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28.xml" ContentType="application/vnd.openxmlformats-officedocument.spreadsheetml.comments+xml"/>
  <Override PartName="/xl/comments27.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comments10.xml" ContentType="application/vnd.openxmlformats-officedocument.spreadsheetml.comments+xml"/>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drawings/vmlDrawing4.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11.vml" ContentType="application/vnd.openxmlformats-officedocument.vmlDrawing"/>
  <Override PartName="/xl/drawings/vmlDrawing12.vml" ContentType="application/vnd.openxmlformats-officedocument.vmlDrawing"/>
  <Override PartName="/xl/drawings/vmlDrawing25.vml" ContentType="application/vnd.openxmlformats-officedocument.vmlDrawing"/>
  <Override PartName="/xl/drawings/vmlDrawing13.vml" ContentType="application/vnd.openxmlformats-officedocument.vmlDrawing"/>
  <Override PartName="/xl/drawings/vmlDrawing2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16.vml" ContentType="application/vnd.openxmlformats-officedocument.vmlDrawing"/>
  <Override PartName="/xl/drawings/vmlDrawing15.vml" ContentType="application/vnd.openxmlformats-officedocument.vmlDrawing"/>
  <Override PartName="/xl/drawings/vmlDrawing14.vml" ContentType="application/vnd.openxmlformats-officedocument.vmlDrawing"/>
  <Override PartName="/xl/comments24.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8.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worksheets/_rels/sheet16.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29.xml.rels" ContentType="application/vnd.openxmlformats-package.relationships+xml"/>
  <Override PartName="/xl/worksheets/_rels/sheet17.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19.xml" ContentType="application/vnd.openxmlformats-officedocument.spreadsheetml.comments+xml"/>
  <Override PartName="/xl/comments21.xml" ContentType="application/vnd.openxmlformats-officedocument.spreadsheetml.comments+xml"/>
  <Override PartName="/xl/comments16.xml" ContentType="application/vnd.openxmlformats-officedocument.spreadsheetml.comments+xml"/>
  <Override PartName="/xl/comments3.xml" ContentType="application/vnd.openxmlformats-officedocument.spreadsheetml.comments+xml"/>
  <Override PartName="/xl/comments13.xml" ContentType="application/vnd.openxmlformats-officedocument.spreadsheetml.comments+xml"/>
  <Override PartName="/xl/comments15.xml" ContentType="application/vnd.openxmlformats-officedocument.spreadsheetml.comments+xml"/>
  <Override PartName="/xl/comments17.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comments25.xml" ContentType="application/vnd.openxmlformats-officedocument.spreadsheetml.comments+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Dashboard" sheetId="2" state="visible" r:id="rId4"/>
    <sheet name="Flights" sheetId="3" state="visible" r:id="rId5"/>
    <sheet name="Checks" sheetId="4" state="visible" r:id="rId6"/>
    <sheet name="Documents" sheetId="5" state="visible" r:id="rId7"/>
    <sheet name="ISOP Register" sheetId="6" state="visible" r:id="rId8"/>
    <sheet name="Requirements" sheetId="7" state="visible" r:id="rId9"/>
    <sheet name="Settings" sheetId="8" state="visible" r:id="rId10"/>
    <sheet name="P01 MH0001 08OCT" sheetId="9" state="visible" r:id="rId11"/>
    <sheet name="P02 MH0727 09OCT" sheetId="10" state="visible" r:id="rId12"/>
    <sheet name="P03 MH0720 10OCT" sheetId="11" state="visible" r:id="rId13"/>
    <sheet name="P04 MH0088 10OCT" sheetId="12" state="visible" r:id="rId14"/>
    <sheet name="P05 MH0089 15OCT" sheetId="13" state="visible" r:id="rId15"/>
    <sheet name="P06 MH0002 15OCT" sheetId="14" state="visible" r:id="rId16"/>
    <sheet name="P07 MH0003 09OCT" sheetId="15" state="visible" r:id="rId17"/>
    <sheet name="P08 MH0752 10OCT" sheetId="16" state="visible" r:id="rId18"/>
    <sheet name="P09 MH0753 11OCT" sheetId="17" state="visible" r:id="rId19"/>
    <sheet name="P10 MH1140 12OCT" sheetId="18" state="visible" r:id="rId20"/>
    <sheet name="P11 MH1149 12OCT" sheetId="19" state="visible" r:id="rId21"/>
    <sheet name="P12 MH0139 12OCT" sheetId="20" state="visible" r:id="rId22"/>
    <sheet name="P13 MH0138 14OCT" sheetId="21" state="visible" r:id="rId23"/>
    <sheet name="P14 MH0004 15OCT" sheetId="22" state="visible" r:id="rId24"/>
    <sheet name="P15 MH0003 25OCT" sheetId="23" state="visible" r:id="rId25"/>
    <sheet name="P16 MH0072 26OCT" sheetId="24" state="visible" r:id="rId26"/>
    <sheet name="P17 MH0073 27OCT" sheetId="25" state="visible" r:id="rId27"/>
    <sheet name="P18 MH0052 27OCT" sheetId="26" state="visible" r:id="rId28"/>
    <sheet name="P19 MH0053 29OCT" sheetId="27" state="visible" r:id="rId29"/>
    <sheet name="P20 MH1450 29OCT" sheetId="28" state="visible" r:id="rId30"/>
    <sheet name="P21 MH1437 30OCT" sheetId="29" state="visible" r:id="rId31"/>
    <sheet name="P22 MH0002 30OCT" sheetId="30" state="visible" r:id="rId32"/>
  </sheets>
  <definedNames>
    <definedName function="false" hidden="false" localSheetId="3" name="_xlnm.Print_Area" vbProcedure="false">Checks!$A$1:$AH$748</definedName>
    <definedName function="false" hidden="false" localSheetId="3" name="_xlnm.Print_Titles" vbProcedure="false">Checks!$A:$C,Checks!$4:$4</definedName>
    <definedName function="false" hidden="true" localSheetId="3" name="_xlnm._FilterDatabase" vbProcedure="false">Checks!$A$4:$AS$748</definedName>
    <definedName function="false" hidden="false" localSheetId="1" name="_xlnm.Print_Area" vbProcedure="false">Dashboard!$B$1:$R$94</definedName>
    <definedName function="false" hidden="false" localSheetId="4" name="_xlnm.Print_Area" vbProcedure="false">Documents!$A$1:$Q$26</definedName>
    <definedName function="false" hidden="false" localSheetId="4" name="_xlnm.Print_Titles" vbProcedure="false">Documents!$A:$B,Documents!$4:$4</definedName>
    <definedName function="false" hidden="false" localSheetId="2" name="_xlnm.Print_Titles" vbProcedure="false">Flights!$A:$F,Flights!$4:$4</definedName>
    <definedName function="false" hidden="true" localSheetId="2" name="_xlnm._FilterDatabase" vbProcedure="false">Flights!$A$4:$BB$26</definedName>
    <definedName function="false" hidden="false" localSheetId="5" name="_xlnm.Print_Titles" vbProcedure="false">'ISOP Register'!$4:$4</definedName>
    <definedName function="false" hidden="false" localSheetId="8" name="_xlnm.Print_Area" vbProcedure="false">'P01 MH0001 08OCT'!$A$1:$H$50</definedName>
    <definedName function="false" hidden="false" localSheetId="8" name="_xlnm.Print_Titles" vbProcedure="false">'P01 MH0001 08OCT'!$21:$21</definedName>
    <definedName function="false" hidden="false" localSheetId="9" name="_xlnm.Print_Area" vbProcedure="false">'P02 MH0727 09OCT'!$A$1:$H$64</definedName>
    <definedName function="false" hidden="false" localSheetId="9" name="_xlnm.Print_Titles" vbProcedure="false">'P02 MH0727 09OCT'!$21:$21</definedName>
    <definedName function="false" hidden="false" localSheetId="10" name="_xlnm.Print_Area" vbProcedure="false">'P03 MH0720 10OCT'!$A$1:$H$46</definedName>
    <definedName function="false" hidden="false" localSheetId="10" name="_xlnm.Print_Titles" vbProcedure="false">'P03 MH0720 10OCT'!$21:$21</definedName>
    <definedName function="false" hidden="false" localSheetId="11" name="_xlnm.Print_Area" vbProcedure="false">'P04 MH0088 10OCT'!$A$1:$H$72</definedName>
    <definedName function="false" hidden="false" localSheetId="11" name="_xlnm.Print_Titles" vbProcedure="false">'P04 MH0088 10OCT'!$21:$21</definedName>
    <definedName function="false" hidden="false" localSheetId="12" name="_xlnm.Print_Area" vbProcedure="false">'P05 MH0089 15OCT'!$A$1:$H$55</definedName>
    <definedName function="false" hidden="false" localSheetId="12" name="_xlnm.Print_Titles" vbProcedure="false">'P05 MH0089 15OCT'!$22:$22</definedName>
    <definedName function="false" hidden="false" localSheetId="13" name="_xlnm.Print_Area" vbProcedure="false">'P06 MH0002 15OCT'!$A$1:$H$72</definedName>
    <definedName function="false" hidden="false" localSheetId="13" name="_xlnm.Print_Titles" vbProcedure="false">'P06 MH0002 15OCT'!$21:$21</definedName>
    <definedName function="false" hidden="false" localSheetId="14" name="_xlnm.Print_Area" vbProcedure="false">'P07 MH0003 09OCT'!$A$1:$H$75</definedName>
    <definedName function="false" hidden="false" localSheetId="14" name="_xlnm.Print_Titles" vbProcedure="false">'P07 MH0003 09OCT'!$22:$22</definedName>
    <definedName function="false" hidden="false" localSheetId="15" name="_xlnm.Print_Area" vbProcedure="false">'P08 MH0752 10OCT'!$A$1:$H$46</definedName>
    <definedName function="false" hidden="false" localSheetId="15" name="_xlnm.Print_Titles" vbProcedure="false">'P08 MH0752 10OCT'!$21:$21</definedName>
    <definedName function="false" hidden="false" localSheetId="16" name="_xlnm.Print_Area" vbProcedure="false">'P09 MH0753 11OCT'!$A$1:$H$64</definedName>
    <definedName function="false" hidden="false" localSheetId="16" name="_xlnm.Print_Titles" vbProcedure="false">'P09 MH0753 11OCT'!$21:$21</definedName>
    <definedName function="false" hidden="false" localSheetId="17" name="_xlnm.Print_Area" vbProcedure="false">'P10 MH1140 12OCT'!$A$1:$H$60</definedName>
    <definedName function="false" hidden="false" localSheetId="17" name="_xlnm.Print_Titles" vbProcedure="false">'P10 MH1140 12OCT'!$21:$21</definedName>
    <definedName function="false" hidden="false" localSheetId="18" name="_xlnm.Print_Area" vbProcedure="false">'P11 MH1149 12OCT'!$A$1:$H$49</definedName>
    <definedName function="false" hidden="false" localSheetId="18" name="_xlnm.Print_Titles" vbProcedure="false">'P11 MH1149 12OCT'!$22:$22</definedName>
    <definedName function="false" hidden="false" localSheetId="19" name="_xlnm.Print_Area" vbProcedure="false">'P12 MH0139 12OCT'!$A$1:$H$72</definedName>
    <definedName function="false" hidden="false" localSheetId="19" name="_xlnm.Print_Titles" vbProcedure="false">'P12 MH0139 12OCT'!$21:$21</definedName>
    <definedName function="false" hidden="false" localSheetId="20" name="_xlnm.Print_Area" vbProcedure="false">'P13 MH0138 14OCT'!$A$1:$H$55</definedName>
    <definedName function="false" hidden="false" localSheetId="20" name="_xlnm.Print_Titles" vbProcedure="false">'P13 MH0138 14OCT'!$22:$22</definedName>
    <definedName function="false" hidden="false" localSheetId="21" name="_xlnm.Print_Area" vbProcedure="false">'P14 MH0004 15OCT'!$A$1:$H$50</definedName>
    <definedName function="false" hidden="false" localSheetId="21" name="_xlnm.Print_Titles" vbProcedure="false">'P14 MH0004 15OCT'!$21:$21</definedName>
    <definedName function="false" hidden="false" localSheetId="22" name="_xlnm.Print_Area" vbProcedure="false">'P15 MH0003 25OCT'!$A$1:$H$50</definedName>
    <definedName function="false" hidden="false" localSheetId="22" name="_xlnm.Print_Titles" vbProcedure="false">'P15 MH0003 25OCT'!$21:$21</definedName>
    <definedName function="false" hidden="false" localSheetId="23" name="_xlnm.Print_Area" vbProcedure="false">'P16 MH0072 26OCT'!$A$1:$H$50</definedName>
    <definedName function="false" hidden="false" localSheetId="23" name="_xlnm.Print_Titles" vbProcedure="false">'P16 MH0072 26OCT'!$21:$21</definedName>
    <definedName function="false" hidden="false" localSheetId="24" name="_xlnm.Print_Area" vbProcedure="false">'P17 MH0073 27OCT'!$A$1:$H$69</definedName>
    <definedName function="false" hidden="false" localSheetId="24" name="_xlnm.Print_Titles" vbProcedure="false">'P17 MH0073 27OCT'!$22:$22</definedName>
    <definedName function="false" hidden="false" localSheetId="25" name="_xlnm.Print_Area" vbProcedure="false">'P18 MH0052 27OCT'!$A$1:$H$70</definedName>
    <definedName function="false" hidden="false" localSheetId="25" name="_xlnm.Print_Titles" vbProcedure="false">'P18 MH0052 27OCT'!$21:$21</definedName>
    <definedName function="false" hidden="false" localSheetId="26" name="_xlnm.Print_Area" vbProcedure="false">'P19 MH0053 29OCT'!$A$1:$H$50</definedName>
    <definedName function="false" hidden="false" localSheetId="26" name="_xlnm.Print_Titles" vbProcedure="false">'P19 MH0053 29OCT'!$21:$21</definedName>
    <definedName function="false" hidden="false" localSheetId="27" name="_xlnm.Print_Area" vbProcedure="false">'P20 MH1450 29OCT'!$A$1:$H$46</definedName>
    <definedName function="false" hidden="false" localSheetId="27" name="_xlnm.Print_Titles" vbProcedure="false">'P20 MH1450 29OCT'!$21:$21</definedName>
    <definedName function="false" hidden="false" localSheetId="28" name="_xlnm.Print_Area" vbProcedure="false">'P21 MH1437 30OCT'!$A$1:$H$63</definedName>
    <definedName function="false" hidden="false" localSheetId="28" name="_xlnm.Print_Titles" vbProcedure="false">'P21 MH1437 30OCT'!$22:$22</definedName>
    <definedName function="false" hidden="false" localSheetId="29" name="_xlnm.Print_Area" vbProcedure="false">'P22 MH0002 30OCT'!$A$1:$H$72</definedName>
    <definedName function="false" hidden="false" localSheetId="29" name="_xlnm.Print_Titles" vbProcedure="false">'P22 MH0002 30OCT'!$21:$21</definedName>
    <definedName function="false" hidden="false" localSheetId="6" name="_xlnm.Print_Titles" vbProcedure="false">Requirements!$A:$B,Requirements!$4:$4</definedName>
    <definedName function="false" hidden="true" localSheetId="6" name="_xlnm._FilterDatabase" vbProcedure="false">Requirements!$A$4:$N$161</definedName>
    <definedName function="false" hidden="false" localSheetId="7" name="_xlnm.Print_Area" vbProcedure="false">Settings!$A$1:$F$23</definedName>
    <definedName function="false" hidden="false" name="AsOfUTC" vbProcedure="false">Settings!$B$6</definedName>
    <definedName function="false" hidden="false" name="L_CA" vbProcedure="false">Settings!$I$4:$I$5</definedName>
    <definedName function="false" hidden="false" name="L_EvidencePhrase" vbProcedure="false">Settings!$L$4:$L$33</definedName>
    <definedName function="false" hidden="false" name="L_EvidenceType" vbProcedure="false">Settings!$U$4:$U$14</definedName>
    <definedName function="false" hidden="false" name="L_NAFiller" vbProcedure="false">Settings!$W$4:$W$60</definedName>
    <definedName function="false" hidden="false" name="L_NegPhrase" vbProcedure="false">Settings!$N$4:$N$2415</definedName>
    <definedName function="false" hidden="false" name="L_NotLoaded" vbProcedure="false">Settings!$S$4:$S$34</definedName>
    <definedName function="false" hidden="false" name="L_NotLoadedNeg" vbProcedure="false">Settings!$T$4:$T$71</definedName>
    <definedName function="false" hidden="false" name="L_Pending" vbProcedure="false">Settings!$O$4:$O$33</definedName>
    <definedName function="false" hidden="false" name="L_PendNeg" vbProcedure="false">Settings!$P$4:$P$176</definedName>
    <definedName function="false" hidden="false" name="L_PendPrep" vbProcedure="false">Settings!$R$4:$R$36</definedName>
    <definedName function="false" hidden="false" name="L_PendStrict" vbProcedure="false">Settings!$Q$4:$Q$64</definedName>
    <definedName function="false" hidden="false" name="L_Placeholder" vbProcedure="false">Settings!$K$4:$K$96</definedName>
    <definedName function="false" hidden="false" name="L_ResultBad" vbProcedure="false">Settings!$M$4:$M$124</definedName>
    <definedName function="false" hidden="false" name="L_Role" vbProcedure="false">Settings!$V$4:$V$125</definedName>
    <definedName function="false" hidden="false" name="L_Status" vbProcedure="false">Settings!$H$4:$H$9</definedName>
    <definedName function="false" hidden="false" name="T12EarlyH" vbProcedure="false">Settings!$C$9</definedName>
    <definedName function="false" hidden="false" name="T24EarlyH" vbProcedure="false">Settings!$C$8</definedName>
    <definedName function="false" hidden="false" name="T7EarlyD" vbProcedure="false">Settings!$C$10</definedName>
    <definedName function="false" hidden="false" name="TZ_DST" vbProcedure="false">Settings!$D$13:$D$22</definedName>
    <definedName function="false" hidden="false" name="TZ_DSTE" vbProcedure="false">Settings!$F$13:$F$22</definedName>
    <definedName function="false" hidden="false" name="TZ_DSTS" vbProcedure="false">Settings!$E$13:$E$22</definedName>
    <definedName function="false" hidden="false" name="TZ_STD" vbProcedure="false">Settings!$C$13:$C$22</definedName>
    <definedName function="false" hidden="false" name="TZ_STN" vbProcedure="false">Settings!$A$13:$A$22</definedName>
    <definedName function="false" hidden="false" name="UpliftWindowH" vbProcedure="false">Settings!$C$7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L4" authorId="0">
      <text>
        <r>
          <rPr>
            <sz val="10"/>
            <rFont val="Arial"/>
            <family val="2"/>
          </rPr>
          <t xml:space="preserve">Editable: if an equipment change occurs, update the fleet – the A339 IFE-menu rule follows this cell.</t>
        </r>
      </text>
    </comment>
    <comment ref="W15" authorId="0">
      <text>
        <r>
          <rPr>
            <sz val="10"/>
            <rFont val="Arial"/>
            <family val="2"/>
          </rPr>
          <t xml:space="preserve">Round-trip catered: reference uplift stn for this sector is KUL only, so return catering is loaded at KUL on MH1140. Preparation checks must finish before that loading window. Enter the actual carrying flight's KUL departure (UTC) in column AX; the deadlines follow it.</t>
        </r>
      </text>
    </comment>
    <comment ref="W25" authorId="0">
      <text>
        <r>
          <rPr>
            <sz val="10"/>
            <rFont val="Arial"/>
            <family val="2"/>
          </rPr>
          <t xml:space="preserve">Round-trip catered: reference uplift stn for this sector is KUL only, so return catering is loaded at KUL on MH1450. Preparation checks must finish before that loading window. Enter the actual carrying flight's KUL departure (UTC) in column AX; the deadlines follow it.</t>
        </r>
      </text>
    </comment>
    <comment ref="AX9" authorId="0">
      <text>
        <r>
          <rPr>
            <sz val="10"/>
            <rFont val="Arial"/>
            <family val="2"/>
          </rPr>
          <t xml:space="preserve">Enter the UTC departure from KUL of the flight that carries this leg's KUL-sourced items. Until entered, the loading deadline assumes the latest possible departure (STD minus shortest agenda block).</t>
        </r>
      </text>
    </comment>
    <comment ref="AX11" authorId="0">
      <text>
        <r>
          <rPr>
            <sz val="10"/>
            <rFont val="Arial"/>
            <family val="2"/>
          </rPr>
          <t xml:space="preserve">Enter the UTC departure from KUL of the flight that carries this leg's KUL-sourced items. Until entered, the loading deadline assumes the latest possible departure (STD minus shortest agenda block).</t>
        </r>
      </text>
    </comment>
    <comment ref="AX15" authorId="0">
      <text>
        <r>
          <rPr>
            <sz val="10"/>
            <rFont val="Arial"/>
            <family val="2"/>
          </rPr>
          <t xml:space="preserve">Enter the UTC departure from KUL of the flight that carries this leg's KUL-sourced items. Until entered, the loading deadline assumes the latest possible departure (STD minus shortest agenda block).</t>
        </r>
      </text>
    </comment>
    <comment ref="AX17" authorId="0">
      <text>
        <r>
          <rPr>
            <sz val="10"/>
            <rFont val="Arial"/>
            <family val="2"/>
          </rPr>
          <t xml:space="preserve">Enter the UTC departure from KUL of the flight that carries this leg's KUL-sourced items. Until entered, the loading deadline assumes the latest possible departure (STD minus shortest agenda block).</t>
        </r>
      </text>
    </comment>
    <comment ref="AX21" authorId="0">
      <text>
        <r>
          <rPr>
            <sz val="10"/>
            <rFont val="Arial"/>
            <family val="2"/>
          </rPr>
          <t xml:space="preserve">Enter the UTC departure from KUL of the flight that carries this leg's KUL-sourced items. Until entered, the loading deadline assumes the latest possible departure (STD minus shortest agenda block).</t>
        </r>
      </text>
    </comment>
    <comment ref="AX25" authorId="0">
      <text>
        <r>
          <rPr>
            <sz val="10"/>
            <rFont val="Arial"/>
            <family val="2"/>
          </rPr>
          <t xml:space="preserve">Enter the UTC departure from KUL of the flight that carries this leg's KUL-sourced items. Until entered, the loading deadline assumes the latest possible departure (STD minus shortest agenda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X24" authorId="0">
      <text>
        <r>
          <rPr>
            <sz val="10"/>
            <rFont val="Arial"/>
            <family val="2"/>
          </rPr>
          <t xml:space="preserve">Follows the tail on Flights N: 9M-MAH = 280 pcs, other A350 (A359) = 260 pcs (SEAT LINEN!B76:C77). Blank until the tail is entered.</t>
        </r>
      </text>
    </comment>
    <comment ref="X29" authorId="0">
      <text>
        <r>
          <rPr>
            <sz val="10"/>
            <rFont val="Arial"/>
            <family val="2"/>
          </rPr>
          <t xml:space="preserve">Follows the tail on Flights N: 9M-MAH = 280 pcs, other A350 (A359) = 260 pcs (SEAT LINEN!B76:C77). Blank until the tail is entered.</t>
        </r>
      </text>
    </comment>
    <comment ref="X157" authorId="0">
      <text>
        <r>
          <rPr>
            <sz val="10"/>
            <rFont val="Arial"/>
            <family val="2"/>
          </rPr>
          <t xml:space="preserve">Follows the tail on Flights N: 9M-MAH = 280 pcs, other A350 (A359) = 260 pcs (SEAT LINEN!B76:C77). Blank until the tail is entered.</t>
        </r>
      </text>
    </comment>
    <comment ref="X164" authorId="0">
      <text>
        <r>
          <rPr>
            <sz val="10"/>
            <rFont val="Arial"/>
            <family val="2"/>
          </rPr>
          <t xml:space="preserve">Follows the tail on Flights N: 9M-MAH = 280 pcs, other A350 (A359) = 260 pcs (SEAT LINEN!B76:C77). Blank until the tail is entered.</t>
        </r>
      </text>
    </comment>
    <comment ref="X447" authorId="0">
      <text>
        <r>
          <rPr>
            <sz val="10"/>
            <rFont val="Arial"/>
            <family val="2"/>
          </rPr>
          <t xml:space="preserve">Pre-filled from reference: STD UPLIFT INFORMATION.xlsx &gt; SEAT LINEN!J9</t>
        </r>
      </text>
    </comment>
    <comment ref="X454" authorId="0">
      <text>
        <r>
          <rPr>
            <sz val="10"/>
            <rFont val="Arial"/>
            <family val="2"/>
          </rPr>
          <t xml:space="preserve">Pre-filled from reference: STD UPLIFT INFORMATION.xlsx &gt; SEAT LINEN!J9</t>
        </r>
      </text>
    </comment>
    <comment ref="X475" authorId="0">
      <text>
        <r>
          <rPr>
            <sz val="10"/>
            <rFont val="Arial"/>
            <family val="2"/>
          </rPr>
          <t xml:space="preserve">Follows the tail on Flights N: 9M-MAH = 280 pcs, other A350 (A359) = 260 pcs (SEAT LINEN!B76:C77). Blank until the tail is entered.</t>
        </r>
      </text>
    </comment>
    <comment ref="X480" authorId="0">
      <text>
        <r>
          <rPr>
            <sz val="10"/>
            <rFont val="Arial"/>
            <family val="2"/>
          </rPr>
          <t xml:space="preserve">Follows the tail on Flights N: 9M-MAH = 280 pcs, other A350 (A359) = 260 pcs (SEAT LINEN!B76:C77). Blank until the tail is entered.</t>
        </r>
      </text>
    </comment>
    <comment ref="X500" authorId="0">
      <text>
        <r>
          <rPr>
            <sz val="10"/>
            <rFont val="Arial"/>
            <family val="2"/>
          </rPr>
          <t xml:space="preserve">Follows the tail on Flights N: 9M-MAH = 280 pcs, other A350 (A359) = 260 pcs (SEAT LINEN!B76:C77). Blank until the tail is entered.</t>
        </r>
      </text>
    </comment>
    <comment ref="X505" authorId="0">
      <text>
        <r>
          <rPr>
            <sz val="10"/>
            <rFont val="Arial"/>
            <family val="2"/>
          </rPr>
          <t xml:space="preserve">Follows the tail on Flights N: 9M-MAH = 280 pcs, other A350 (A359) = 260 pcs (SEAT LINEN!B76:C77). Blank until the tail is entered.</t>
        </r>
      </text>
    </comment>
    <comment ref="X637" authorId="0">
      <text>
        <r>
          <rPr>
            <sz val="10"/>
            <rFont val="Arial"/>
            <family val="2"/>
          </rPr>
          <t xml:space="preserve">Pre-filled from reference: STD UPLIFT INFORMATION.xlsx &gt; SEAT LINEN!J15</t>
        </r>
      </text>
    </comment>
    <comment ref="X642" authorId="0">
      <text>
        <r>
          <rPr>
            <sz val="10"/>
            <rFont val="Arial"/>
            <family val="2"/>
          </rPr>
          <t xml:space="preserve">Pre-filled from reference: STD UPLIFT INFORMATION.xlsx &gt; SEAT LINEN!J15</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Blank = live. Example: 2026-10-09 12:00 to see what is overdue at that UTC time.</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A18" authorId="0">
      <text>
        <r>
          <rPr>
            <sz val="10"/>
            <rFont val="Arial"/>
            <family val="2"/>
          </rPr>
          <t xml:space="preserve">Excel only: insert the GLD / menu checklist image (Insert &gt; Picture) in the insertion area after the checklist table; it is not printed.</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A18" authorId="0">
      <text>
        <r>
          <rPr>
            <sz val="10"/>
            <rFont val="Arial"/>
            <family val="2"/>
          </rPr>
          <t xml:space="preserve">Excel only: insert the GLD / menu checklist image (Insert &gt; Picture) in the insertion area after the checklist table; it is not printed.</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A18" authorId="0">
      <text>
        <r>
          <rPr>
            <sz val="10"/>
            <rFont val="Arial"/>
            <family val="2"/>
          </rPr>
          <t xml:space="preserve">Excel only: insert the GLD / menu checklist image (Insert &gt; Picture) in the insertion area after the checklist table; it is not printed.</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A18" authorId="0">
      <text>
        <r>
          <rPr>
            <sz val="10"/>
            <rFont val="Arial"/>
            <family val="2"/>
          </rPr>
          <t xml:space="preserve">Excel only: insert the GLD / menu checklist image (Insert &gt; Picture) in the insertion area after the checklist table; it is not printed.</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A18" authorId="0">
      <text>
        <r>
          <rPr>
            <sz val="10"/>
            <rFont val="Arial"/>
            <family val="2"/>
          </rPr>
          <t xml:space="preserve">Excel only: insert the GLD / menu checklist image (Insert &gt; Picture) in the insertion area after the checklist table; it is not printed.</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A18" authorId="0">
      <text>
        <r>
          <rPr>
            <sz val="10"/>
            <rFont val="Arial"/>
            <family val="2"/>
          </rPr>
          <t xml:space="preserve">Excel only: insert the GLD / menu checklist image (Insert &gt; Picture) in the insertion area after the checklist table; it is not printed.</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Excel only: insert the GLD / menu checklist image (Insert &gt; Picture) in the insertion area after the checklist table; it is not printed.</t>
        </r>
      </text>
    </comment>
  </commentList>
</comments>
</file>

<file path=xl/sharedStrings.xml><?xml version="1.0" encoding="utf-8"?>
<sst xmlns="http://schemas.openxmlformats.org/spreadsheetml/2006/main" count="15614" uniqueCount="4834">
  <si>
    <t xml:space="preserve">MAGCS Inflight Catering – Skytrax 2026 Readiness Checklist &amp; Monitor</t>
  </si>
  <si>
    <t xml:space="preserve">Built from: Skytrax Agenda 2026 (22 legs, 3 itineraries) and STD UPLIFT INFORMATION.xlsx (aircraft data: Update as @20JUL26).</t>
  </si>
  <si>
    <t xml:space="preserve">How to use this workbook</t>
  </si>
  <si>
    <t xml:space="preserve">Purpose: monitor MAGCS inflight-catering readiness for all 22 legs of the Skytrax Agenda 2026 audit itineraries, with three checkpoints per flight calculated from scheduled departure (STD) in the correct station time zone: T-7D, T-24H and T-12H. T-12H is recorded in two parts: the preparation check at the caterer (T-12H PREP) and the physical on-board uplift confirmation before departure (UPLIFT), so dashboards show four columns.</t>
  </si>
  <si>
    <t xml:space="preserve">Sheets</t>
  </si>
  <si>
    <t xml:space="preserve">•  Dashboard – checkpoint completion, overdue actions, outstanding discrepancies and readiness per flight.</t>
  </si>
  <si>
    <t xml:space="preserve">•  Flights – the 22 legs as scheduled. Enter Tail/Reg, Caterer and Flight PIC (yellow). Due times: T-7D, T-24H, T-12H prep and uplift (= STD).</t>
  </si>
  <si>
    <t xml:space="preserve">•  Checks – one row per check per flight. THE ONLY PLACE TO RECORD RESULTS (yellow columns S–AE).</t>
  </si>
  <si>
    <t xml:space="preserve">•  Documents – galley loading diagram and menu checklist per flight (doc no, revision, date, attachment). ISOP Register – ISOP revisions communicated to caterers.</t>
  </si>
  <si>
    <t xml:space="preserve">•  Requirements – uplift requirements derived from STD UPLIFT INFORMATION.xlsx per flight, with source cell for each.</t>
  </si>
  <si>
    <t xml:space="preserve">•  Settings – as-of time, PC clock offset, validity windows, station time-zone table.</t>
  </si>
  <si>
    <t xml:space="preserve">•  P01–P22 – printable pack per flight (formula views of Checks, A4 landscape). Page 1 is a cover sheet with the flight's due times, readiness, the attachments register (A1 galley loading diagram, A2 menu checklist – staple behind, flagged OUTSTANDING until on file) and sign-off; the checklist starts on page 2. Print one flight's sheet on its own so page numbers run per flight.</t>
  </si>
  <si>
    <t xml:space="preserve">Recording a check (Checks sheet)</t>
  </si>
  <si>
    <t xml:space="preserve">1. Filter column B (Flight ID) or G (Checkpoint). Enter PIC (T).</t>
  </si>
  <si>
    <t xml:space="preserve">2. Record Result (V), Evidence type (S) and Evidence ID (Z), Completion time in LOCAL time of the check station shown in column P (AD) and Verifier (AE).</t>
  </si>
  <si>
    <t xml:space="preserve">3. T-24H sensory: Batch ID (W) is mandatory. Status Pass = batch accepted; Fail = rejected (enter corrective action AA and CA status AB).</t>
  </si>
  <si>
    <t xml:space="preserve">4. Quantity lines: enter Expected (X, from menu checklist / GLD) and Actual (Y). A variance cannot be 'Pass' – use Fail, then 'Pass after CA' once the corrective action is recorded and Closed.</t>
  </si>
  <si>
    <t xml:space="preserve">5. Set Status (U) last. The Record state (AH) tells you whether the entry is accepted.</t>
  </si>
  <si>
    <t xml:space="preserve">6. N/A only with a written justification (AC), PIC (T) and verifier (AE), and only on rows where N/A is permitted. Rule-based N/A (digital IFE menu on non-A339) is automatic and excluded from completion rates.</t>
  </si>
  <si>
    <t xml:space="preserve">Rules built into the formulas</t>
  </si>
  <si>
    <t xml:space="preserve">•  Blank or 'Not started'/'In progress' never counts as complete. 'Pass' without completion time, PIC, evidence or verifier (blank or spaces) shows INVALID and does not count.</t>
  </si>
  <si>
    <t xml:space="preserve">•  A check completed after the flight's departure never counts (INVALID – completed after departure). A check completed after its due time but before departure counts as COMPLETE – LATE.</t>
  </si>
  <si>
    <t xml:space="preserve">•  N/A is only accepted where it can legitimately apply: printed menu cards, reference-derived uplift items and clarification items. Mandatory checks (sensory tests, catering officer, ISOP, GLD, menu checklist, meal/equipment preparation and physical uplift) cannot be N/A'd.</t>
  </si>
  <si>
    <t xml:space="preserve">•  Completion % = complete ÷ in-scope checks; justified and rule-based N/A are removed from both, so they neither raise nor lower the rate.</t>
  </si>
  <si>
    <t xml:space="preserve">•  Preparation checks (T-12H PREP, at the caterer) never confirm loading. Physical uplift rows (UPLIFT) are only accepted when the completion time is inside the uplift window before STD (Settings B7) – an earlier entry shows 'INVALID – before uplift window'.</t>
  </si>
  <si>
    <t xml:space="preserve">•  Completion times in the future, before the valid window or after departure (uplift) are rejected.</t>
  </si>
  <si>
    <t xml:space="preserve">•  GLD / menu-checklist checks cannot be passed until the Documents row is ON FILE (doc no, revision, date and attachment all present).</t>
  </si>
  <si>
    <t xml:space="preserve">•  Readiness order: NOT READY – OVERDUE, – DISCREPANCY, – INVALID ENTRY, – DOCUMENTS (GLD / menu checklist not on file), – CLARIFICATION (reference question open), then PREP DONE – AWAITING UPLIFT, IN PROGRESS or NOT STARTED.</t>
  </si>
  <si>
    <t xml:space="preserve">•  READY only when every in-scope check (including physical uplift) is complete, with zero open discrepancies, zero invalid entries and both documents on file. 'Clarification required' rows (reference ambiguous) also block READY until confirmed (Pass) or justified N/A.</t>
  </si>
  <si>
    <t xml:space="preserve">•  Overdue = not complete and the effective as-of time is past the due time. Settings B4 is an optional override (UTC); when blank the live clock is used. The effective as-of time is shown in Settings B6.</t>
  </si>
  <si>
    <t xml:space="preserve">•  Sheets are protected without a password so formulas cannot be overtyped by accident; yellow input cells stay editable and filtering, row sizing and inserting pictures still work. Do not sort the Checks sheet – the P-sheets read fixed rows; use the filters instead. Review &gt; Unprotect Sheet if a structural change is needed.</t>
  </si>
  <si>
    <t xml:space="preserve">•  Evidence is recorded in two fields: choose the Evidence type in column S, then enter ONLY the record's own ID in column Z (describe the record in Result, not here). An ID is one token with letters joined to at least two digits (SF-2210, IMG_2231, LS/OCT/0118, DN88213, PCS-0727) or a number of 5+ digits (seal 1045521). Links, network paths and file names (…\SF-2210.pdf, https://…) only with type 'Link / file path'. Rejected: flight numbers, dates, times, revisions ('Rev3'), aircraft types, seat or tray numbers, several IDs in one cell (give the main one) and dummy values (00000, 12345, XX-0000). Batch IDs likewise (PASB-261008-BC-017 or 261008-017). Document numbers on the Documents sheet need digits and must not be the flight number. PIC and verifier must be named people – a role or title alone ('QA', 'PASB supervisor', 'Station Manager KUL') is rejected; Settings V lists the role words.</t>
  </si>
  <si>
    <t xml:space="preserve">•  Write results with detail: one-word entries such as 'Good', 'Confirmed', 'Checked OK' or 'Self' are rejected. A plain Pass whose result describes a problem ('3 trays missing', 'menu cards not delivered', '2 meals short') is INVALID and blocks READY: record Fail, then 'Pass after CA' with the corrective action. Negated or zero counts ('no defects found', '0 discrepancies', 'nothing missing') are fine; if a genuine pass is flagged (e.g. a dish name), reword it. Settings M–N hold the word lists.</t>
  </si>
  <si>
    <t xml:space="preserve">•  Placeholder text (e.g. '-', '?', 'TBC', 'n/a', 'pending' – list on Settings K) never counts as evidence, PIC, verifier, result or batch ID. N/A needs a real reason (15+ characters that say why – 'not applicable for this flight', 'as above' or 'same as previous' are rejected; Settings W), a named PIC and a different named verifier, and is only permitted on clarification items and on printed menu cards for refreshment-only flights. A status entered on a check that does not apply to the aircraft (grey 'N/A – RULE' row) is flagged INVALID – clear it.</t>
  </si>
  <si>
    <t xml:space="preserve">•  Preparation checks must be completed before the catering is loaded: before the first on-board confirmation for the flight, or for KUL-loaded items before the carrying flight leaves KUL. On-board checks at an outstation are only valid once the carrying flight could have arrived.</t>
  </si>
  <si>
    <t xml:space="preserve">•  Quantity lines: after a corrective action, update Actual to the corrected quantity; 'Pass after CA' requires Actual = Expected.</t>
  </si>
  <si>
    <t xml:space="preserve">•  PIC and verifier must be different people. Every Pass needs a result/assessment. T-7D evidence older than the Settings B10 window is rejected as stale.</t>
  </si>
  <si>
    <t xml:space="preserve">•  Row heights do not grow automatically for long typed entries: after entering long text, select the rows and use Home &gt; Format &gt; AutoFit Row Height.</t>
  </si>
  <si>
    <t xml:space="preserve">Time zones &amp; special cases</t>
  </si>
  <si>
    <t xml:space="preserve">•  Due times are computed from STD converted to UTC, then shown in local time of the check station. LHR changes from BST to GMT on 25-Oct-2026; ADL is on ACDT (UTC+10:30) from 4-Oct-2026.</t>
  </si>
  <si>
    <t xml:space="preserve">•  MH1149 PEN-KUL and MH1437 LGK-KUL: the reference lists KUL as the only uplift station, so all their catering is loaded at KUL on a carrying flight (agenda candidates MH1140 / MH1450 shown in Flights W). Enter the actual carrying flight's KUL departure (UTC) in Flights AX: T-24H, T-12H prep and the KUL loading-confirmation line are capped at that departure minus the uplift window. Until entered they assume the agenda candidate's KUL departure.</t>
  </si>
  <si>
    <t xml:space="preserve">•  Outstation departures that carry KUL-sourced items (e.g. MH0003 LHR-KUL: pajamas, slippers, signature drinks) have a clarification check to identify the inbound KUL flight. Enter its KUL departure (UTC) on Flights column AX: the preparation due and the KUL loading-confirmation line (UPLIFT, station KUL) follow it. Until entered, they assume the latest possible KUL departure.</t>
  </si>
  <si>
    <t xml:space="preserve">•  Items whose uplift station differs from the departure station (e.g. signature drinks and slippers for LHR-KUL and HKG-KUL are uplifted at KUL) show the item uplift station in Checks column M. Their preparation due time is capped at the KUL loading deadline on Flights AY (carrying flight's KUL departure in AX minus the uplift window).</t>
  </si>
  <si>
    <t xml:space="preserve">Outstanding inputs at issue</t>
  </si>
  <si>
    <t xml:space="preserve">•  Galley loading diagrams and menu checklists were not supplied – all 44 are flagged OUTSTANDING (Documents sheet, Dashboard and each P-sheet cover). Record doc no, revision, revision date and file location on Documents; in Excel you may also insert the image in the area after each P-sheet's checklist.</t>
  </si>
  <si>
    <t xml:space="preserve">•  A350 tail (A359 vs 9M-MAH) decides sales-cart location and EY blanket quantity – enter Tail/Reg on Flights (9M-MAB … 9M-MAH). An A350 flight cannot be READY until its tail is entered (counted as an open clarification).</t>
  </si>
  <si>
    <t xml:space="preserve">•  Caterer per station, ISOP revision numbers and expected meal/equipment quantities come from the caterer/MAGCS documents – not invented here.</t>
  </si>
  <si>
    <t xml:space="preserve">Illustrative entry (example only – not recorded anywhere in this workbook)</t>
  </si>
  <si>
    <t xml:space="preserve">Check F02-T24-01 · PIC: A. Rahman · Status: Pass · Result: Panel score 4.5/5, texture &amp; temperature OK · Batch ID: PASB-261008-BC-017 · Evidence: SENS-261008-017.pdf · Completion time: 08-Oct-26 20:10 (KUL) · Verifier: N. Ismail</t>
  </si>
  <si>
    <t xml:space="preserve">Colour key</t>
  </si>
  <si>
    <t xml:space="preserve">Yellow cell = input – enter data here</t>
  </si>
  <si>
    <t xml:space="preserve">Grey cell = formula – do not overwrite</t>
  </si>
  <si>
    <t xml:space="preserve">Light blue cell = requirement text derived from STD UPLIFT INFORMATION.xlsx</t>
  </si>
  <si>
    <t xml:space="preserve">Blue text = value transcribed from a reference (schedule, time-zone table, reference quantity)</t>
  </si>
  <si>
    <t xml:space="preserve">MAGCS Inflight Catering – Skytrax 2026 Readiness Dashboard</t>
  </si>
  <si>
    <t xml:space="preserve">As of (UTC)</t>
  </si>
  <si>
    <t xml:space="preserve">As of (MYT)</t>
  </si>
  <si>
    <t xml:space="preserve">Key indicators</t>
  </si>
  <si>
    <t xml:space="preserve">Flights</t>
  </si>
  <si>
    <t xml:space="preserve">Flights READY</t>
  </si>
  <si>
    <t xml:space="preserve">Overall completion</t>
  </si>
  <si>
    <t xml:space="preserve">Overdue actions</t>
  </si>
  <si>
    <t xml:space="preserve">Open discrepancies</t>
  </si>
  <si>
    <t xml:space="preserve">Docs outstanding</t>
  </si>
  <si>
    <t xml:space="preserve">Clarifications open</t>
  </si>
  <si>
    <t xml:space="preserve">Invalid entries</t>
  </si>
  <si>
    <t xml:space="preserve">legs on the agenda</t>
  </si>
  <si>
    <t xml:space="preserve">past due, not complete</t>
  </si>
  <si>
    <t xml:space="preserve">fail, qty variance or CA open</t>
  </si>
  <si>
    <t xml:space="preserve">GLD + menu checklist</t>
  </si>
  <si>
    <t xml:space="preserve">awaiting reference answer</t>
  </si>
  <si>
    <t xml:space="preserve">entries failing validation rules</t>
  </si>
  <si>
    <t xml:space="preserve">Checkpoint summary</t>
  </si>
  <si>
    <t xml:space="preserve">Checkpoint</t>
  </si>
  <si>
    <t xml:space="preserve">In scope</t>
  </si>
  <si>
    <t xml:space="preserve">Complete</t>
  </si>
  <si>
    <t xml:space="preserve">N/A (justified + rule)</t>
  </si>
  <si>
    <t xml:space="preserve">Open</t>
  </si>
  <si>
    <t xml:space="preserve">Overdue</t>
  </si>
  <si>
    <t xml:space="preserve">Completion</t>
  </si>
  <si>
    <t xml:space="preserve">What is checked</t>
  </si>
  <si>
    <t xml:space="preserve">T-7D</t>
  </si>
  <si>
    <t xml:space="preserve">Preparation checks due 7 days before STD</t>
  </si>
  <si>
    <t xml:space="preserve">T-24H</t>
  </si>
  <si>
    <t xml:space="preserve">Preparation checks due 24 hours before STD</t>
  </si>
  <si>
    <t xml:space="preserve">T-12H prep</t>
  </si>
  <si>
    <t xml:space="preserve">Preparation checks due 12 hours before STD</t>
  </si>
  <si>
    <t xml:space="preserve">Uplift</t>
  </si>
  <si>
    <t xml:space="preserve">Physical uplift / on-board confirmation, due at STD</t>
  </si>
  <si>
    <t xml:space="preserve">All</t>
  </si>
  <si>
    <t xml:space="preserve">Open = in scope − complete (includes overdue).</t>
  </si>
  <si>
    <t xml:space="preserve">How the figures are calculated</t>
  </si>
  <si>
    <t xml:space="preserve">Blank checks</t>
  </si>
  <si>
    <t xml:space="preserve">A check line with no Status / completion entry never counts as complete. It stays OPEN until its due time, then becomes OVERDUE.</t>
  </si>
  <si>
    <t xml:space="preserve">N/A</t>
  </si>
  <si>
    <t xml:space="preserve">N/A only removes a check from the denominator when it is either rule-based (applicability “N/A – rule”, e.g. fleet-specific items) or JUSTIFIED: Status N/A with a written N/A justification AND a named verifier. An unjustified or unverified N/A is flagged INVALID and still counts as open.</t>
  </si>
  <si>
    <t xml:space="preserve">Status Pass or Pass after CA, with a completion time, evidence ref and verifier; plus the batch ID on T-24H lines and expected + actual quantity on quantity lines. A quantity variance is only accepted as Pass after CA with the CA status Closed. GLD / menu-checklist lines also need the document ON FILE (Documents sheet). The completion time must not be in the future or before the valid window, and uplift lines can only be completed within the uplift window before STD (Settings B7). Anything else is OPEN, OVERDUE or INVALID.</t>
  </si>
  <si>
    <t xml:space="preserve">Discrepancy</t>
  </si>
  <si>
    <t xml:space="preserve">An in-scope check is an open discrepancy when its Status is Fail, OR its CA status is Open, OR its quantity variance is not zero (unless Status is Pass after CA). It clears once the corrective action is recorded and closed.</t>
  </si>
  <si>
    <t xml:space="preserve">READY</t>
  </si>
  <si>
    <t xml:space="preserve">A flight is READY only when every in-scope check at all four checkpoints is complete – including the physical uplift confirmation – with zero open discrepancies, the GLD and menu checklist on file (Documents sheet) and no invalid entries. PREP DONE – AWAITING UPLIFT means all preparation checks are complete but the physical uplift is not yet confirmed.</t>
  </si>
  <si>
    <t xml:space="preserve">Lists</t>
  </si>
  <si>
    <t xml:space="preserve">The overdue and discrepancy pages list the first 18 / 18 lines in Checks order. Long text there is shortened with “…” – the full text is on the Checks sheet.</t>
  </si>
  <si>
    <t xml:space="preserve">Time basis</t>
  </si>
  <si>
    <t xml:space="preserve">Due times are computed in UTC from STD and shown in local time at the check station. As-of time is Settings B6: the override in B4 if set, otherwise the PC clock adjusted by the offset in B5.</t>
  </si>
  <si>
    <t xml:space="preserve">Per-flight readiness</t>
  </si>
  <si>
    <t xml:space="preserve">Itin</t>
  </si>
  <si>
    <t xml:space="preserve">Flight</t>
  </si>
  <si>
    <t xml:space="preserve">Date</t>
  </si>
  <si>
    <t xml:space="preserve">Sector</t>
  </si>
  <si>
    <t xml:space="preserve">Cls</t>
  </si>
  <si>
    <t xml:space="preserve">Fleet</t>
  </si>
  <si>
    <t xml:space="preserve">STD local</t>
  </si>
  <si>
    <t xml:space="preserve">Overall</t>
  </si>
  <si>
    <t xml:space="preserve">Over-due</t>
  </si>
  <si>
    <t xml:space="preserve">Dis-crep.</t>
  </si>
  <si>
    <t xml:space="preserve">Docs out</t>
  </si>
  <si>
    <t xml:space="preserve">Clarif. open</t>
  </si>
  <si>
    <t xml:space="preserve">Readiness</t>
  </si>
  <si>
    <t xml:space="preserve">T-7D / T-24H / T-12H prep / Uplift / Overall = % of in-scope checks complete (“n/a” = no in-scope checks). Over-due, Dis-crep., Docs out, Clarif. open are counts; above zero shown in red. Source: Flights sheet rows 5–26.</t>
  </si>
  <si>
    <t xml:space="preserve">Overdue actions (first 18)</t>
  </si>
  <si>
    <t xml:space="preserve">#</t>
  </si>
  <si>
    <t xml:space="preserve">CheckID</t>
  </si>
  <si>
    <t xml:space="preserve">Check item</t>
  </si>
  <si>
    <t xml:space="preserve">Due local @ stn</t>
  </si>
  <si>
    <t xml:space="preserve">PIC</t>
  </si>
  <si>
    <t xml:space="preserve">Record state</t>
  </si>
  <si>
    <t xml:space="preserve">Checks row</t>
  </si>
  <si>
    <t xml:space="preserve">Outstanding discrepancies (first 18)</t>
  </si>
  <si>
    <t xml:space="preserve">Status</t>
  </si>
  <si>
    <t xml:space="preserve">Exp. qty</t>
  </si>
  <si>
    <t xml:space="preserve">Act. qty</t>
  </si>
  <si>
    <t xml:space="preserve">Vari-ance</t>
  </si>
  <si>
    <t xml:space="preserve">CA status</t>
  </si>
  <si>
    <t xml:space="preserve">Corrective action</t>
  </si>
  <si>
    <t xml:space="preserve">Flight register</t>
  </si>
  <si>
    <t xml:space="preserve">Source: Skytrax Agenda 2026 slide (schedule) and STD UPLIFT INFORMATION.xlsx (uplift). Yellow = input. Times: STD/STA in local time of the departure/arrival station; due times computed from STD in UTC.</t>
  </si>
  <si>
    <t xml:space="preserve">Flight ID</t>
  </si>
  <si>
    <t xml:space="preserve">Seq</t>
  </si>
  <si>
    <t xml:space="preserve">Day</t>
  </si>
  <si>
    <t xml:space="preserve">Flight No</t>
  </si>
  <si>
    <t xml:space="preserve">Dep</t>
  </si>
  <si>
    <t xml:space="preserve">Arr</t>
  </si>
  <si>
    <t xml:space="preserve">STA local</t>
  </si>
  <si>
    <t xml:space="preserve">Class assessed</t>
  </si>
  <si>
    <t xml:space="preserve">Fleet (schedule)</t>
  </si>
  <si>
    <t xml:space="preserve">Aircraft ref type (STD UPLIFT INFO)</t>
  </si>
  <si>
    <t xml:space="preserve">Tail / Reg (input)</t>
  </si>
  <si>
    <t xml:space="preserve">Seat</t>
  </si>
  <si>
    <t xml:space="preserve">Transit</t>
  </si>
  <si>
    <t xml:space="preserve">Remark</t>
  </si>
  <si>
    <t xml:space="preserve">Sector key</t>
  </si>
  <si>
    <t xml:space="preserve">Region</t>
  </si>
  <si>
    <t xml:space="preserve">Service (ref)</t>
  </si>
  <si>
    <t xml:space="preserve">Ref uplift stns</t>
  </si>
  <si>
    <t xml:space="preserve">Meal uplift stn</t>
  </si>
  <si>
    <t xml:space="preserve">Round-trip catered from KUL: agenda candidate carrying flight</t>
  </si>
  <si>
    <t xml:space="preserve">Caterer (input)</t>
  </si>
  <si>
    <t xml:space="preserve">Flight PIC (input)</t>
  </si>
  <si>
    <t xml:space="preserve">Dep UTC offset (h)</t>
  </si>
  <si>
    <t xml:space="preserve">STD UTC</t>
  </si>
  <si>
    <t xml:space="preserve">Block time (h)</t>
  </si>
  <si>
    <t xml:space="preserve">T-7D due UTC</t>
  </si>
  <si>
    <t xml:space="preserve">T-24H due UTC</t>
  </si>
  <si>
    <t xml:space="preserve">T-12H prep due UTC</t>
  </si>
  <si>
    <t xml:space="preserve">Uplift due UTC (= STD)</t>
  </si>
  <si>
    <t xml:space="preserve">T-7D due local (meal uplift stn)</t>
  </si>
  <si>
    <t xml:space="preserve">T-24H due local</t>
  </si>
  <si>
    <t xml:space="preserve">T-12H prep due local</t>
  </si>
  <si>
    <t xml:space="preserve">T-7D %</t>
  </si>
  <si>
    <t xml:space="preserve">T-24H %</t>
  </si>
  <si>
    <t xml:space="preserve">T-12H prep %</t>
  </si>
  <si>
    <t xml:space="preserve">Uplift %</t>
  </si>
  <si>
    <t xml:space="preserve">Overall %</t>
  </si>
  <si>
    <t xml:space="preserve">Open required checks</t>
  </si>
  <si>
    <t xml:space="preserve">READINESS</t>
  </si>
  <si>
    <t xml:space="preserve">Checks completed</t>
  </si>
  <si>
    <t xml:space="preserve">Checks in scope</t>
  </si>
  <si>
    <t xml:space="preserve">Inbound carrying flight: KUL departure (UTC, input)</t>
  </si>
  <si>
    <t xml:space="preserve">KUL loading deadline for KUL-sourced items (UTC)</t>
  </si>
  <si>
    <t xml:space="preserve">Carrying flight earliest arrival at departure stn (UTC)</t>
  </si>
  <si>
    <t xml:space="preserve">First on-board confirmation (UTC)</t>
  </si>
  <si>
    <t xml:space="preserve">Wording flags to review</t>
  </si>
  <si>
    <t xml:space="preserve">F01</t>
  </si>
  <si>
    <t xml:space="preserve">THU</t>
  </si>
  <si>
    <t xml:space="preserve">MH0001</t>
  </si>
  <si>
    <t xml:space="preserve">LHR</t>
  </si>
  <si>
    <t xml:space="preserve">KUL</t>
  </si>
  <si>
    <t xml:space="preserve">EY</t>
  </si>
  <si>
    <t xml:space="preserve">A350</t>
  </si>
  <si>
    <t xml:space="preserve">A350-900: A359 (9M-MAB..MAG) or A350 (9M-MAH) - tail to confirm</t>
  </si>
  <si>
    <t xml:space="preserve">14C</t>
  </si>
  <si>
    <t xml:space="preserve">-</t>
  </si>
  <si>
    <t xml:space="preserve">KUL/LHR/KUL</t>
  </si>
  <si>
    <t xml:space="preserve">EUR</t>
  </si>
  <si>
    <t xml:space="preserve">2.5 Meal (Meal)</t>
  </si>
  <si>
    <t xml:space="preserve">KUL/LHR</t>
  </si>
  <si>
    <t xml:space="preserve">n/a</t>
  </si>
  <si>
    <t xml:space="preserve">F02</t>
  </si>
  <si>
    <t xml:space="preserve">FRI</t>
  </si>
  <si>
    <t xml:space="preserve">MH0727</t>
  </si>
  <si>
    <t xml:space="preserve">CGK</t>
  </si>
  <si>
    <t xml:space="preserve">BC</t>
  </si>
  <si>
    <t xml:space="preserve">B738MAX</t>
  </si>
  <si>
    <t xml:space="preserve">B737-8 (B7M8)</t>
  </si>
  <si>
    <t xml:space="preserve">1C</t>
  </si>
  <si>
    <t xml:space="preserve">4H 00M</t>
  </si>
  <si>
    <t xml:space="preserve">Overnight CGK</t>
  </si>
  <si>
    <t xml:space="preserve">KUL/CGK/KUL</t>
  </si>
  <si>
    <t xml:space="preserve">ASEAN</t>
  </si>
  <si>
    <t xml:space="preserve">1 Meal (Meal)</t>
  </si>
  <si>
    <t xml:space="preserve">KUL/CGK</t>
  </si>
  <si>
    <t xml:space="preserve">F03</t>
  </si>
  <si>
    <t xml:space="preserve">SAT</t>
  </si>
  <si>
    <t xml:space="preserve">MH0720</t>
  </si>
  <si>
    <t xml:space="preserve">A333</t>
  </si>
  <si>
    <t xml:space="preserve">A330-300 (A333)</t>
  </si>
  <si>
    <t xml:space="preserve">11C</t>
  </si>
  <si>
    <t xml:space="preserve">F04</t>
  </si>
  <si>
    <t xml:space="preserve">MH0088</t>
  </si>
  <si>
    <t xml:space="preserve">NRT</t>
  </si>
  <si>
    <t xml:space="preserve">1A</t>
  </si>
  <si>
    <t xml:space="preserve">4H 05M</t>
  </si>
  <si>
    <t xml:space="preserve">Overnight NRT</t>
  </si>
  <si>
    <t xml:space="preserve">KUL/NRT/KUL</t>
  </si>
  <si>
    <t xml:space="preserve">NORTH ASIA</t>
  </si>
  <si>
    <t xml:space="preserve">1.5 Meal (Meal)</t>
  </si>
  <si>
    <t xml:space="preserve">KUL/NRT</t>
  </si>
  <si>
    <t xml:space="preserve">F05</t>
  </si>
  <si>
    <t xml:space="preserve">MH0089</t>
  </si>
  <si>
    <t xml:space="preserve">9K</t>
  </si>
  <si>
    <t xml:space="preserve">F06</t>
  </si>
  <si>
    <t xml:space="preserve">MH0002</t>
  </si>
  <si>
    <t xml:space="preserve">2K</t>
  </si>
  <si>
    <t xml:space="preserve">6H 35M</t>
  </si>
  <si>
    <t xml:space="preserve">F07</t>
  </si>
  <si>
    <t xml:space="preserve">MH0003</t>
  </si>
  <si>
    <t xml:space="preserve">2A</t>
  </si>
  <si>
    <t xml:space="preserve">F08</t>
  </si>
  <si>
    <t xml:space="preserve">MH0752</t>
  </si>
  <si>
    <t xml:space="preserve">HAN</t>
  </si>
  <si>
    <t xml:space="preserve">4A</t>
  </si>
  <si>
    <t xml:space="preserve">2H 50M</t>
  </si>
  <si>
    <t xml:space="preserve">Overnight HAN</t>
  </si>
  <si>
    <t xml:space="preserve">KUL/HAN/KUL</t>
  </si>
  <si>
    <t xml:space="preserve">KUL/HAN</t>
  </si>
  <si>
    <t xml:space="preserve">F09</t>
  </si>
  <si>
    <t xml:space="preserve">SUN</t>
  </si>
  <si>
    <t xml:space="preserve">MH0753</t>
  </si>
  <si>
    <t xml:space="preserve">1F</t>
  </si>
  <si>
    <t xml:space="preserve">Overnight KUL</t>
  </si>
  <si>
    <t xml:space="preserve">F10</t>
  </si>
  <si>
    <t xml:space="preserve">MON</t>
  </si>
  <si>
    <t xml:space="preserve">MH1140</t>
  </si>
  <si>
    <t xml:space="preserve">PEN</t>
  </si>
  <si>
    <t xml:space="preserve">KUL/PEN/KUL</t>
  </si>
  <si>
    <t xml:space="preserve">DOMESTIC</t>
  </si>
  <si>
    <t xml:space="preserve">Refreshment (Peanut &amp; Water)</t>
  </si>
  <si>
    <t xml:space="preserve">F11</t>
  </si>
  <si>
    <t xml:space="preserve">MH1149</t>
  </si>
  <si>
    <t xml:space="preserve">3H 05M</t>
  </si>
  <si>
    <t xml:space="preserve">F12</t>
  </si>
  <si>
    <t xml:space="preserve">MH0139</t>
  </si>
  <si>
    <t xml:space="preserve">ADL</t>
  </si>
  <si>
    <t xml:space="preserve">A339</t>
  </si>
  <si>
    <t xml:space="preserve">A330-900 (A339)</t>
  </si>
  <si>
    <t xml:space="preserve">1K</t>
  </si>
  <si>
    <t xml:space="preserve">5H 30M</t>
  </si>
  <si>
    <t xml:space="preserve">Overnight ADL</t>
  </si>
  <si>
    <t xml:space="preserve">KUL/ADL/KUL</t>
  </si>
  <si>
    <t xml:space="preserve">ANZ</t>
  </si>
  <si>
    <t xml:space="preserve">KUL/ADL</t>
  </si>
  <si>
    <t xml:space="preserve">F13</t>
  </si>
  <si>
    <t xml:space="preserve">WED</t>
  </si>
  <si>
    <t xml:space="preserve">MH0138</t>
  </si>
  <si>
    <t xml:space="preserve">11K</t>
  </si>
  <si>
    <t xml:space="preserve">F14</t>
  </si>
  <si>
    <t xml:space="preserve">MH0004</t>
  </si>
  <si>
    <t xml:space="preserve">F15</t>
  </si>
  <si>
    <t xml:space="preserve">12H</t>
  </si>
  <si>
    <t xml:space="preserve">F16</t>
  </si>
  <si>
    <t xml:space="preserve">MH0072</t>
  </si>
  <si>
    <t xml:space="preserve">HKG</t>
  </si>
  <si>
    <t xml:space="preserve">4C</t>
  </si>
  <si>
    <t xml:space="preserve">2H 25M</t>
  </si>
  <si>
    <t xml:space="preserve">Overnight HKG</t>
  </si>
  <si>
    <t xml:space="preserve">KUL/HKG/KUL</t>
  </si>
  <si>
    <t xml:space="preserve">ORIENTAL</t>
  </si>
  <si>
    <t xml:space="preserve">1 Meal + DAT(Noodles Svc) (Meal)</t>
  </si>
  <si>
    <t xml:space="preserve">KUL/HKG</t>
  </si>
  <si>
    <t xml:space="preserve">F17</t>
  </si>
  <si>
    <t xml:space="preserve">TUE</t>
  </si>
  <si>
    <t xml:space="preserve">MH0073</t>
  </si>
  <si>
    <t xml:space="preserve">F18</t>
  </si>
  <si>
    <t xml:space="preserve">MH0052</t>
  </si>
  <si>
    <t xml:space="preserve">KIX</t>
  </si>
  <si>
    <t xml:space="preserve">1D</t>
  </si>
  <si>
    <t xml:space="preserve">3H 30M</t>
  </si>
  <si>
    <t xml:space="preserve">Overnight KIX</t>
  </si>
  <si>
    <t xml:space="preserve">KUL/KIX/KUL</t>
  </si>
  <si>
    <t xml:space="preserve">KUL/KIX</t>
  </si>
  <si>
    <t xml:space="preserve">F19</t>
  </si>
  <si>
    <t xml:space="preserve">MH0053</t>
  </si>
  <si>
    <t xml:space="preserve">9C</t>
  </si>
  <si>
    <t xml:space="preserve">F20</t>
  </si>
  <si>
    <t xml:space="preserve">MH1450</t>
  </si>
  <si>
    <t xml:space="preserve">LGK</t>
  </si>
  <si>
    <t xml:space="preserve">1H 45M</t>
  </si>
  <si>
    <t xml:space="preserve">Overnight LGK</t>
  </si>
  <si>
    <t xml:space="preserve">KUL/LGK/KUL</t>
  </si>
  <si>
    <t xml:space="preserve">F21</t>
  </si>
  <si>
    <t xml:space="preserve">MH1437</t>
  </si>
  <si>
    <t xml:space="preserve">F22</t>
  </si>
  <si>
    <t xml:space="preserve">5A</t>
  </si>
  <si>
    <t xml:space="preserve">7H 15M</t>
  </si>
  <si>
    <t xml:space="preserve">Check register</t>
  </si>
  <si>
    <t xml:space="preserve">Every readiness record for every flight (single source of truth). Enter results only in the yellow columns S–AE. Blank never counts as complete. Pass requires completion time, evidence and verifier (plus batch ID / quantities where required). N/A requires justification and verifier.</t>
  </si>
  <si>
    <t xml:space="preserve">Check ID</t>
  </si>
  <si>
    <t xml:space="preserve">Class</t>
  </si>
  <si>
    <t xml:space="preserve">Check type</t>
  </si>
  <si>
    <t xml:space="preserve">Category</t>
  </si>
  <si>
    <t xml:space="preserve">Requirement / expected (reference)</t>
  </si>
  <si>
    <t xml:space="preserve">Source reference</t>
  </si>
  <si>
    <t xml:space="preserve">Item uplift stn</t>
  </si>
  <si>
    <t xml:space="preserve">Applicability</t>
  </si>
  <si>
    <t xml:space="preserve">Rule note / clarification question</t>
  </si>
  <si>
    <t xml:space="preserve">Check station</t>
  </si>
  <si>
    <t xml:space="preserve">Due (UTC)</t>
  </si>
  <si>
    <t xml:space="preserve">Due (local @ check stn)</t>
  </si>
  <si>
    <t xml:space="preserve">Evidence type</t>
  </si>
  <si>
    <t xml:space="preserve">Result / assessment</t>
  </si>
  <si>
    <t xml:space="preserve">Batch ID (T-24H)</t>
  </si>
  <si>
    <t xml:space="preserve">Expected qty</t>
  </si>
  <si>
    <t xml:space="preserve">Actual qty</t>
  </si>
  <si>
    <t xml:space="preserve">Evidence ID / reference</t>
  </si>
  <si>
    <t xml:space="preserve">N/A justification</t>
  </si>
  <si>
    <t xml:space="preserve">Completion time (local @ check stn)</t>
  </si>
  <si>
    <t xml:space="preserve">Verifier</t>
  </si>
  <si>
    <t xml:space="preserve">Qty variance</t>
  </si>
  <si>
    <t xml:space="preserve">Completion (UTC)</t>
  </si>
  <si>
    <t xml:space="preserve">RECORD STATE</t>
  </si>
  <si>
    <t xml:space="preserve">Open discrepancy</t>
  </si>
  <si>
    <t xml:space="preserve">Invalid</t>
  </si>
  <si>
    <t xml:space="preserve">Clarification open</t>
  </si>
  <si>
    <t xml:space="preserve">Overdue seq</t>
  </si>
  <si>
    <t xml:space="preserve">Discrepancy seq</t>
  </si>
  <si>
    <t xml:space="preserve">Req batch</t>
  </si>
  <si>
    <t xml:space="preserve">Req qty</t>
  </si>
  <si>
    <t xml:space="preserve">Req doc</t>
  </si>
  <si>
    <t xml:space="preserve">N/A permitted</t>
  </si>
  <si>
    <t xml:space="preserve">n PIC</t>
  </si>
  <si>
    <t xml:space="preserve">n Result</t>
  </si>
  <si>
    <t xml:space="preserve">n Evidence</t>
  </si>
  <si>
    <t xml:space="preserve">n Verifier</t>
  </si>
  <si>
    <t xml:space="preserve">n Batch</t>
  </si>
  <si>
    <t xml:space="preserve">n N/A just.</t>
  </si>
  <si>
    <t xml:space="preserve">n CA</t>
  </si>
  <si>
    <t xml:space="preserve">CA / qty messages</t>
  </si>
  <si>
    <t xml:space="preserve">s Result</t>
  </si>
  <si>
    <t xml:space="preserve">s Evidence</t>
  </si>
  <si>
    <t xml:space="preserve">s Batch</t>
  </si>
  <si>
    <t xml:space="preserve">s N/A just.</t>
  </si>
  <si>
    <t xml:space="preserve">Wording flag</t>
  </si>
  <si>
    <t xml:space="preserve">Pending: result</t>
  </si>
  <si>
    <t xml:space="preserve">Pending: evidence</t>
  </si>
  <si>
    <t xml:space="preserve">Pending: batch</t>
  </si>
  <si>
    <t xml:space="preserve">Pending: N/A just.</t>
  </si>
  <si>
    <t xml:space="preserve">Evidence has ref</t>
  </si>
  <si>
    <t xml:space="preserve">d Evidence</t>
  </si>
  <si>
    <t xml:space="preserve">a Evidence</t>
  </si>
  <si>
    <t xml:space="preserve">d Batch</t>
  </si>
  <si>
    <t xml:space="preserve">a Batch</t>
  </si>
  <si>
    <t xml:space="preserve">Batch has ID</t>
  </si>
  <si>
    <t xml:space="preserve">(spare)</t>
  </si>
  <si>
    <t xml:space="preserve">Not on board</t>
  </si>
  <si>
    <t xml:space="preserve">Earliest valid (UTC)</t>
  </si>
  <si>
    <t xml:space="preserve">Evidence ID shape ok</t>
  </si>
  <si>
    <t xml:space="preserve">F01-T7-01</t>
  </si>
  <si>
    <t xml:space="preserve">Preparation</t>
  </si>
  <si>
    <t xml:space="preserve">Meal</t>
  </si>
  <si>
    <t xml:space="preserve">Meal sensory testing completed for this flight's menu cycle (assessed class)</t>
  </si>
  <si>
    <t xml:space="preserve">Record panel result / score in Result</t>
  </si>
  <si>
    <t xml:space="preserve">User brief (T-7 days)</t>
  </si>
  <si>
    <t xml:space="preserve">Required</t>
  </si>
  <si>
    <t xml:space="preserve">F01-T7-02</t>
  </si>
  <si>
    <t xml:space="preserve">Menu</t>
  </si>
  <si>
    <t xml:space="preserve">Printed menu cards confirmed (content, cycle, language, quantity)</t>
  </si>
  <si>
    <t xml:space="preserve">Menu card matches approved menu for this flight</t>
  </si>
  <si>
    <t xml:space="preserve">F01-T7-03</t>
  </si>
  <si>
    <t xml:space="preserve">IFE</t>
  </si>
  <si>
    <t xml:space="preserve">Digital menu in IFE confirmed (A339 only)</t>
  </si>
  <si>
    <t xml:space="preserve">Applies when fleet = A339</t>
  </si>
  <si>
    <t xml:space="preserve">Digital IFE menu applies to A339 only (user brief). Applicability follows the Fleet cell on Flights.</t>
  </si>
  <si>
    <t xml:space="preserve">F01-T7-04</t>
  </si>
  <si>
    <t xml:space="preserve">Staffing</t>
  </si>
  <si>
    <t xml:space="preserve">Experienced catering officer assigned to this flight</t>
  </si>
  <si>
    <t xml:space="preserve">Record officer name in Result</t>
  </si>
  <si>
    <t xml:space="preserve">F01-T7-05</t>
  </si>
  <si>
    <t xml:space="preserve">ISOP</t>
  </si>
  <si>
    <t xml:space="preserve">All latest applicable ISOP revisions communicated to caterer</t>
  </si>
  <si>
    <t xml:space="preserve">List revision numbers in Result (see ISOP register)</t>
  </si>
  <si>
    <t xml:space="preserve">F01-T7-06</t>
  </si>
  <si>
    <t xml:space="preserve">Caterer acknowledgement of ISOP revisions recorded</t>
  </si>
  <si>
    <t xml:space="preserve">Record acknowledgement ref in Evidence</t>
  </si>
  <si>
    <t xml:space="preserve">F01-T7-07</t>
  </si>
  <si>
    <t xml:space="preserve">Documents</t>
  </si>
  <si>
    <t xml:space="preserve">Galley loading diagram (GLD) received, revision recorded &amp; attached</t>
  </si>
  <si>
    <t xml:space="preserve">Documents sheet row complete</t>
  </si>
  <si>
    <t xml:space="preserve">F01-T7-08</t>
  </si>
  <si>
    <t xml:space="preserve">Menu checklist received, revision recorded &amp; attached</t>
  </si>
  <si>
    <t xml:space="preserve">F01-T7-09</t>
  </si>
  <si>
    <t xml:space="preserve">Uplift plan</t>
  </si>
  <si>
    <t xml:space="preserve">Uplift plan confirmed with caterer vs STD Uplift Information</t>
  </si>
  <si>
    <t xml:space="preserve">Service: 2.5 Meal (Meal); meal uplift stn LHR (ref lists KUL/LHR)</t>
  </si>
  <si>
    <t xml:space="preserve">STD UPLIFT INFORMATION.xlsx &gt; CATERING UPLIFT STN!C9:G9</t>
  </si>
  <si>
    <t xml:space="preserve">F01-T24-01</t>
  </si>
  <si>
    <t xml:space="preserve">Sensory test repeated on ACTUAL production batch for this flight</t>
  </si>
  <si>
    <t xml:space="preserve">Batch ID, result, CA and acceptance mandatory</t>
  </si>
  <si>
    <t xml:space="preserve">User brief (T-24 hours)</t>
  </si>
  <si>
    <t xml:space="preserve">F01-T12-01</t>
  </si>
  <si>
    <t xml:space="preserve">T-12H PREP</t>
  </si>
  <si>
    <t xml:space="preserve">Meal quality vs menu checklist</t>
  </si>
  <si>
    <t xml:space="preserve">User brief (T-12 hours)</t>
  </si>
  <si>
    <t xml:space="preserve">Preparation check at caterer - does NOT confirm loading.</t>
  </si>
  <si>
    <t xml:space="preserve">F01-T12-02</t>
  </si>
  <si>
    <t xml:space="preserve">Meal quantities vs menu checklist</t>
  </si>
  <si>
    <t xml:space="preserve">Enter expected &amp; actual</t>
  </si>
  <si>
    <t xml:space="preserve">F01-T12-03</t>
  </si>
  <si>
    <t xml:space="preserve">Equipment</t>
  </si>
  <si>
    <t xml:space="preserve">Equipment cleanliness vs GLD</t>
  </si>
  <si>
    <t xml:space="preserve">F01-T12-04</t>
  </si>
  <si>
    <t xml:space="preserve">Equipment presentation vs GLD</t>
  </si>
  <si>
    <t xml:space="preserve">F01-T12-05</t>
  </si>
  <si>
    <t xml:space="preserve">Equipment serviceability vs GLD</t>
  </si>
  <si>
    <t xml:space="preserve">F01-T12-06</t>
  </si>
  <si>
    <t xml:space="preserve">Equipment quantities vs GLD</t>
  </si>
  <si>
    <t xml:space="preserve">Enter expected &amp; actual. Aircraft galley data: A350-900 (A359): carts 50.5, SU 70, ovens 14, warming ovens 3, fridges 3, water heaters 7, beverage makers -, espresso 2, folding trolleys 4, headsets BC &amp; EY: Dual Pin (AIRCRAFT TYPE!C6:R6) | A350-900 (A350): carts 41.5, SU 52, ovens 14, warming ovens 0, fridges 1, water heaters 11, beverage makers -, espresso 1, folding trolleys 3, headsets BC: Dual Pin/ EY: Single Pin (AIRCRAFT TYPE!C7:R7)</t>
  </si>
  <si>
    <t xml:space="preserve">F01-T12-07</t>
  </si>
  <si>
    <t xml:space="preserve">Loading positions planned vs GLD</t>
  </si>
  <si>
    <t xml:space="preserve">F01-T12-08</t>
  </si>
  <si>
    <t xml:space="preserve">Amenities</t>
  </si>
  <si>
    <t xml:space="preserve">Toiletry kits - prepared</t>
  </si>
  <si>
    <t xml:space="preserve">Available for sector (ticked in reference)</t>
  </si>
  <si>
    <t xml:space="preserve">STD UPLIFT INFORMATION.xlsx &gt; AMENITIES!D12 / H12</t>
  </si>
  <si>
    <t xml:space="preserve">Clarification required</t>
  </si>
  <si>
    <t xml:space="preserve">Reference does not state the cabin class for toiletry kits. Confirm whether EY receives them; if not, mark N/A with the confirmation as justification.</t>
  </si>
  <si>
    <t xml:space="preserve">F01-T12-09</t>
  </si>
  <si>
    <t xml:space="preserve">Seat Linen</t>
  </si>
  <si>
    <t xml:space="preserve">Seat pillow (EY) - prepared</t>
  </si>
  <si>
    <t xml:space="preserve">Available 100% (ticked in reference)</t>
  </si>
  <si>
    <t xml:space="preserve">STD UPLIFT INFORMATION.xlsx &gt; SEAT LINEN!I7</t>
  </si>
  <si>
    <t xml:space="preserve">Not stated in reference</t>
  </si>
  <si>
    <t xml:space="preserve">Reference gives no uplift stn for this item: preparation checked at the meal uplift stn (LHR) - confirm with caterer.</t>
  </si>
  <si>
    <t xml:space="preserve">F01-T12-10</t>
  </si>
  <si>
    <t xml:space="preserve">Blanket (EY) - prepared</t>
  </si>
  <si>
    <t xml:space="preserve">Available 100% (ticked in reference); qty 280 (A350 9M-MAH) / 260 (A359) - per tail</t>
  </si>
  <si>
    <t xml:space="preserve">STD UPLIFT INFORMATION.xlsx &gt; SEAT LINEN!J7</t>
  </si>
  <si>
    <t xml:space="preserve">EY blanket: flight above 3 hours excl. Regional (SEAT LINEN!B74:C74); block 13.25 h. Qty per tail: A350 280 pcs (SEAT LINEN!B76:C76), A359 260 pcs (SEAT LINEN!B77:C77). Reference gives no uplift stn for this item: preparation checked at the meal uplift stn (LHR) - confirm with caterer.</t>
  </si>
  <si>
    <t xml:space="preserve">F01-UPL-01</t>
  </si>
  <si>
    <t xml:space="preserve">UPLIFT</t>
  </si>
  <si>
    <t xml:space="preserve">Physical uplift</t>
  </si>
  <si>
    <t xml:space="preserve">Meals physically uplifted on board - quantity vs menu checklist</t>
  </si>
  <si>
    <t xml:space="preserve">User brief (T-12 hours - physical uplift)</t>
  </si>
  <si>
    <t xml:space="preserve">Confirm on board before departure; completion time must fall inside the uplift window.</t>
  </si>
  <si>
    <t xml:space="preserve">F01-UPL-02</t>
  </si>
  <si>
    <t xml:space="preserve">Equipment physically loaded at GLD positions - quantity &amp; positions</t>
  </si>
  <si>
    <t xml:space="preserve">F01-UPL-03</t>
  </si>
  <si>
    <t xml:space="preserve">Toiletry kits - on board</t>
  </si>
  <si>
    <t xml:space="preserve">F01-UPL-04</t>
  </si>
  <si>
    <t xml:space="preserve">Seat pillow (EY) - on board</t>
  </si>
  <si>
    <t xml:space="preserve">F01-UPL-05</t>
  </si>
  <si>
    <t xml:space="preserve">Blanket (EY) - on board</t>
  </si>
  <si>
    <t xml:space="preserve">EY blanket: flight above 3 hours excl. Regional (SEAT LINEN!B74:C74); block 13.25 h. Qty per tail: A350 280 pcs (SEAT LINEN!B76:C76), A359 260 pcs (SEAT LINEN!B77:C77).</t>
  </si>
  <si>
    <t xml:space="preserve">F02-T7-01</t>
  </si>
  <si>
    <t xml:space="preserve">F02-T7-02</t>
  </si>
  <si>
    <t xml:space="preserve">F02-T7-03</t>
  </si>
  <si>
    <t xml:space="preserve">F02-T7-04</t>
  </si>
  <si>
    <t xml:space="preserve">F02-T7-05</t>
  </si>
  <si>
    <t xml:space="preserve">F02-T7-06</t>
  </si>
  <si>
    <t xml:space="preserve">F02-T7-07</t>
  </si>
  <si>
    <t xml:space="preserve">F02-T7-08</t>
  </si>
  <si>
    <t xml:space="preserve">F02-T7-09</t>
  </si>
  <si>
    <t xml:space="preserve">Service: 1 Meal (Meal); meal uplift stn KUL (ref lists KUL/CGK)</t>
  </si>
  <si>
    <t xml:space="preserve">STD UPLIFT INFORMATION.xlsx &gt; CATERING UPLIFT STN!C47:G47</t>
  </si>
  <si>
    <t xml:space="preserve">F02-T24-01</t>
  </si>
  <si>
    <t xml:space="preserve">F02-T12-01</t>
  </si>
  <si>
    <t xml:space="preserve">F02-T12-02</t>
  </si>
  <si>
    <t xml:space="preserve">F02-T12-03</t>
  </si>
  <si>
    <t xml:space="preserve">F02-T12-04</t>
  </si>
  <si>
    <t xml:space="preserve">F02-T12-05</t>
  </si>
  <si>
    <t xml:space="preserve">F02-T12-06</t>
  </si>
  <si>
    <t xml:space="preserve">Enter expected &amp; actual. Aircraft galley data: B737-8 (B7M8): carts 10.5, SU 25, ovens 6, warming ovens -, fridges -, water heaters 3, beverage makers -, espresso -, folding trolleys -, headsets - (AIRCRAFT TYPE!C16:R16)</t>
  </si>
  <si>
    <t xml:space="preserve">F02-T12-07</t>
  </si>
  <si>
    <t xml:space="preserve">F02-T12-08</t>
  </si>
  <si>
    <t xml:space="preserve">Disposable slippers in DAM cart (BC, on request) - prepared</t>
  </si>
  <si>
    <t xml:space="preserve">Available in DAM cart on request basis</t>
  </si>
  <si>
    <t xml:space="preserve">STD UPLIFT INFORMATION.xlsx &gt; AMENITIES!G52 / C83</t>
  </si>
  <si>
    <t xml:space="preserve">Sector has no BC slippers; note C83: disposable slipper available in DAM cart (on request basis). Reference gives no uplift stn for this item: preparation checked at the meal uplift stn (KUL) - confirm with caterer.</t>
  </si>
  <si>
    <t xml:space="preserve">F02-T12-09</t>
  </si>
  <si>
    <t xml:space="preserve">F&amp;B Linen</t>
  </si>
  <si>
    <t xml:space="preserve">Towel - prepared</t>
  </si>
  <si>
    <t xml:space="preserve">Available (ticked in reference)</t>
  </si>
  <si>
    <t xml:space="preserve">STD UPLIFT INFORMATION.xlsx &gt; F&amp;B LINEN!D44</t>
  </si>
  <si>
    <t xml:space="preserve">Reference gives no uplift stn for this item: preparation checked at the meal uplift stn (KUL) - confirm with caterer.</t>
  </si>
  <si>
    <t xml:space="preserve">F02-T12-10</t>
  </si>
  <si>
    <t xml:space="preserve">Tray cloth - prepared</t>
  </si>
  <si>
    <t xml:space="preserve">STD UPLIFT INFORMATION.xlsx &gt; F&amp;B LINEN!E44</t>
  </si>
  <si>
    <t xml:space="preserve">F02-T12-11</t>
  </si>
  <si>
    <t xml:space="preserve">Napkin - prepared</t>
  </si>
  <si>
    <t xml:space="preserve">STD UPLIFT INFORMATION.xlsx &gt; F&amp;B LINEN!F44</t>
  </si>
  <si>
    <t xml:space="preserve">F02-T12-12</t>
  </si>
  <si>
    <t xml:space="preserve">Table cloth - prepared</t>
  </si>
  <si>
    <t xml:space="preserve">STD UPLIFT INFORMATION.xlsx &gt; F&amp;B LINEN!G44</t>
  </si>
  <si>
    <t xml:space="preserve">Reference contradicts itself: matrix shows a tick for this sector but note F&amp;B LINEN!B78:C78 says table cloth is 'Not Applicable for Domestic/Asean &amp; Regional' (ASEAN). Confirm before loading; if not carried, mark N/A with the confirmation as justification. Reference gives no uplift stn for this item: preparation checked at the meal uplift stn (KUL) - confirm with caterer.</t>
  </si>
  <si>
    <t xml:space="preserve">F02-T12-13</t>
  </si>
  <si>
    <t xml:space="preserve">Bread linen (using table cloth) - prepared</t>
  </si>
  <si>
    <t xml:space="preserve">STD UPLIFT INFORMATION.xlsx &gt; F&amp;B LINEN!H44</t>
  </si>
  <si>
    <t xml:space="preserve">F02-T12-14</t>
  </si>
  <si>
    <t xml:space="preserve">Trolley cloth - prepared</t>
  </si>
  <si>
    <t xml:space="preserve">Narrow body: Top only</t>
  </si>
  <si>
    <t xml:space="preserve">STD UPLIFT INFORMATION.xlsx &gt; F&amp;B LINEN!I44</t>
  </si>
  <si>
    <t xml:space="preserve">Per note F&amp;B LINEN!B79:C80. Reference gives no uplift stn for this item: preparation checked at the meal uplift stn (KUL) - confirm with caterer.</t>
  </si>
  <si>
    <t xml:space="preserve">F02-T12-15</t>
  </si>
  <si>
    <t xml:space="preserve">Linen bag - prepared</t>
  </si>
  <si>
    <t xml:space="preserve">STD UPLIFT INFORMATION.xlsx &gt; F&amp;B LINEN!J44</t>
  </si>
  <si>
    <t xml:space="preserve">F02-T12-16</t>
  </si>
  <si>
    <t xml:space="preserve">Seat pillow (BS &amp; BC) - prepared</t>
  </si>
  <si>
    <t xml:space="preserve">STD UPLIFT INFORMATION.xlsx &gt; SEAT LINEN!E42</t>
  </si>
  <si>
    <t xml:space="preserve">F02-T12-17</t>
  </si>
  <si>
    <t xml:space="preserve">Blanket (BS &amp; BC) - prepared</t>
  </si>
  <si>
    <t xml:space="preserve">STD UPLIFT INFORMATION.xlsx &gt; SEAT LINEN!H42</t>
  </si>
  <si>
    <t xml:space="preserve">F02-UPL-01</t>
  </si>
  <si>
    <t xml:space="preserve">F02-UPL-02</t>
  </si>
  <si>
    <t xml:space="preserve">F02-UPL-03</t>
  </si>
  <si>
    <t xml:space="preserve">Disposable slippers in DAM cart (BC, on request) - on board</t>
  </si>
  <si>
    <t xml:space="preserve">Sector has no BC slippers; note C83: disposable slipper available in DAM cart (on request basis).</t>
  </si>
  <si>
    <t xml:space="preserve">F02-UPL-04</t>
  </si>
  <si>
    <t xml:space="preserve">Towel - on board</t>
  </si>
  <si>
    <t xml:space="preserve">F02-UPL-05</t>
  </si>
  <si>
    <t xml:space="preserve">Tray cloth - on board</t>
  </si>
  <si>
    <t xml:space="preserve">F02-UPL-06</t>
  </si>
  <si>
    <t xml:space="preserve">Napkin - on board</t>
  </si>
  <si>
    <t xml:space="preserve">F02-UPL-07</t>
  </si>
  <si>
    <t xml:space="preserve">Table cloth - on board</t>
  </si>
  <si>
    <t xml:space="preserve">Reference contradicts itself: matrix shows a tick for this sector but note F&amp;B LINEN!B78:C78 says table cloth is 'Not Applicable for Domestic/Asean &amp; Regional' (ASEAN). Confirm before loading; if not carried, mark N/A with the confirmation as justification.</t>
  </si>
  <si>
    <t xml:space="preserve">F02-UPL-08</t>
  </si>
  <si>
    <t xml:space="preserve">Bread linen (using table cloth) - on board</t>
  </si>
  <si>
    <t xml:space="preserve">F02-UPL-09</t>
  </si>
  <si>
    <t xml:space="preserve">Trolley cloth - on board</t>
  </si>
  <si>
    <t xml:space="preserve">Per note F&amp;B LINEN!B79:C80.</t>
  </si>
  <si>
    <t xml:space="preserve">F02-UPL-10</t>
  </si>
  <si>
    <t xml:space="preserve">Linen bag - on board</t>
  </si>
  <si>
    <t xml:space="preserve">F02-UPL-11</t>
  </si>
  <si>
    <t xml:space="preserve">Seat pillow (BS &amp; BC) - on board</t>
  </si>
  <si>
    <t xml:space="preserve">F02-UPL-12</t>
  </si>
  <si>
    <t xml:space="preserve">Blanket (BS &amp; BC) - on board</t>
  </si>
  <si>
    <t xml:space="preserve">F03-T7-01</t>
  </si>
  <si>
    <t xml:space="preserve">F03-T7-02</t>
  </si>
  <si>
    <t xml:space="preserve">F03-T7-03</t>
  </si>
  <si>
    <t xml:space="preserve">F03-T7-04</t>
  </si>
  <si>
    <t xml:space="preserve">F03-T7-05</t>
  </si>
  <si>
    <t xml:space="preserve">F03-T7-06</t>
  </si>
  <si>
    <t xml:space="preserve">F03-T7-07</t>
  </si>
  <si>
    <t xml:space="preserve">F03-T7-08</t>
  </si>
  <si>
    <t xml:space="preserve">F03-T7-09</t>
  </si>
  <si>
    <t xml:space="preserve">Service: 1 Meal (Meal); meal uplift stn CGK (ref lists KUL/CGK)</t>
  </si>
  <si>
    <t xml:space="preserve">F03-T24-01</t>
  </si>
  <si>
    <t xml:space="preserve">F03-T12-01</t>
  </si>
  <si>
    <t xml:space="preserve">F03-T12-02</t>
  </si>
  <si>
    <t xml:space="preserve">F03-T12-03</t>
  </si>
  <si>
    <t xml:space="preserve">F03-T12-04</t>
  </si>
  <si>
    <t xml:space="preserve">F03-T12-05</t>
  </si>
  <si>
    <t xml:space="preserve">F03-T12-06</t>
  </si>
  <si>
    <t xml:space="preserve">Enter expected &amp; actual. Aircraft galley data: A330-300 (A333): carts 42.5, SU 100, ovens 12, warming ovens 4, fridges 4, water heaters 6, beverage makers -, espresso -, folding trolleys 4, headsets BC &amp; EY: Dual Pin (AIRCRAFT TYPE!C9:R9)</t>
  </si>
  <si>
    <t xml:space="preserve">F03-T12-07</t>
  </si>
  <si>
    <t xml:space="preserve">F03-T12-08</t>
  </si>
  <si>
    <t xml:space="preserve">STD UPLIFT INFORMATION.xlsx &gt; SEAT LINEN!I42</t>
  </si>
  <si>
    <t xml:space="preserve">Reference gives no uplift stn for this item: preparation checked at the meal uplift stn (CGK) - confirm with caterer.</t>
  </si>
  <si>
    <t xml:space="preserve">F03-UPL-01</t>
  </si>
  <si>
    <t xml:space="preserve">F03-UPL-02</t>
  </si>
  <si>
    <t xml:space="preserve">F03-UPL-03</t>
  </si>
  <si>
    <t xml:space="preserve">F04-T7-01</t>
  </si>
  <si>
    <t xml:space="preserve">F04-T7-02</t>
  </si>
  <si>
    <t xml:space="preserve">F04-T7-03</t>
  </si>
  <si>
    <t xml:space="preserve">F04-T7-04</t>
  </si>
  <si>
    <t xml:space="preserve">F04-T7-05</t>
  </si>
  <si>
    <t xml:space="preserve">F04-T7-06</t>
  </si>
  <si>
    <t xml:space="preserve">F04-T7-07</t>
  </si>
  <si>
    <t xml:space="preserve">F04-T7-08</t>
  </si>
  <si>
    <t xml:space="preserve">F04-T7-09</t>
  </si>
  <si>
    <t xml:space="preserve">Service: 1.5 Meal (Meal); meal uplift stn KUL (ref lists KUL/NRT)</t>
  </si>
  <si>
    <t xml:space="preserve">STD UPLIFT INFORMATION.xlsx &gt; CATERING UPLIFT STN!C16:G16</t>
  </si>
  <si>
    <t xml:space="preserve">F04-T24-01</t>
  </si>
  <si>
    <t xml:space="preserve">F04-T12-01</t>
  </si>
  <si>
    <t xml:space="preserve">F04-T12-02</t>
  </si>
  <si>
    <t xml:space="preserve">F04-T12-03</t>
  </si>
  <si>
    <t xml:space="preserve">F04-T12-04</t>
  </si>
  <si>
    <t xml:space="preserve">F04-T12-05</t>
  </si>
  <si>
    <t xml:space="preserve">F04-T12-06</t>
  </si>
  <si>
    <t xml:space="preserve">F04-T12-07</t>
  </si>
  <si>
    <t xml:space="preserve">F04-T12-08</t>
  </si>
  <si>
    <t xml:space="preserve">STD UPLIFT INFORMATION.xlsx &gt; AMENITIES!D23 / H23</t>
  </si>
  <si>
    <t xml:space="preserve">F04-T12-09</t>
  </si>
  <si>
    <t xml:space="preserve">Slippers (BS/BC) - prepared</t>
  </si>
  <si>
    <t xml:space="preserve">STD UPLIFT INFORMATION.xlsx &gt; AMENITIES!G23 / H23</t>
  </si>
  <si>
    <t xml:space="preserve">F04-T12-10</t>
  </si>
  <si>
    <t xml:space="preserve">STD UPLIFT INFORMATION.xlsx &gt; F&amp;B LINEN!D14</t>
  </si>
  <si>
    <t xml:space="preserve">F04-T12-11</t>
  </si>
  <si>
    <t xml:space="preserve">STD UPLIFT INFORMATION.xlsx &gt; F&amp;B LINEN!E14</t>
  </si>
  <si>
    <t xml:space="preserve">F04-T12-12</t>
  </si>
  <si>
    <t xml:space="preserve">STD UPLIFT INFORMATION.xlsx &gt; F&amp;B LINEN!F14</t>
  </si>
  <si>
    <t xml:space="preserve">F04-T12-13</t>
  </si>
  <si>
    <t xml:space="preserve">STD UPLIFT INFORMATION.xlsx &gt; F&amp;B LINEN!G14</t>
  </si>
  <si>
    <t xml:space="preserve">F04-T12-14</t>
  </si>
  <si>
    <t xml:space="preserve">STD UPLIFT INFORMATION.xlsx &gt; F&amp;B LINEN!H14</t>
  </si>
  <si>
    <t xml:space="preserve">F04-T12-15</t>
  </si>
  <si>
    <t xml:space="preserve">Wide body: Top/Middle &amp; Bottom</t>
  </si>
  <si>
    <t xml:space="preserve">STD UPLIFT INFORMATION.xlsx &gt; F&amp;B LINEN!I14</t>
  </si>
  <si>
    <t xml:space="preserve">F04-T12-16</t>
  </si>
  <si>
    <t xml:space="preserve">STD UPLIFT INFORMATION.xlsx &gt; F&amp;B LINEN!J14</t>
  </si>
  <si>
    <t xml:space="preserve">F04-T12-17</t>
  </si>
  <si>
    <t xml:space="preserve">STD UPLIFT INFORMATION.xlsx &gt; SEAT LINEN!E14</t>
  </si>
  <si>
    <t xml:space="preserve">F04-T12-18</t>
  </si>
  <si>
    <t xml:space="preserve">Duvet (BS &amp; BC) - prepared</t>
  </si>
  <si>
    <t xml:space="preserve">STD UPLIFT INFORMATION.xlsx &gt; SEAT LINEN!F14</t>
  </si>
  <si>
    <t xml:space="preserve">F04-T12-19</t>
  </si>
  <si>
    <t xml:space="preserve">Mattress (BS &amp; BC) - prepared</t>
  </si>
  <si>
    <t xml:space="preserve">STD UPLIFT INFORMATION.xlsx &gt; SEAT LINEN!G14</t>
  </si>
  <si>
    <t xml:space="preserve">F04-T12-20</t>
  </si>
  <si>
    <t xml:space="preserve">Signature Drinks</t>
  </si>
  <si>
    <t xml:space="preserve">Signature drink &amp; garnish (BC) - prepared</t>
  </si>
  <si>
    <t xml:space="preserve">STD UPLIFT INFORMATION.xlsx &gt; Signature Drinks!F14 / G14 / D79</t>
  </si>
  <si>
    <t xml:space="preserve">Signature drinks &amp; garnish uplifted from KUL (note D79).</t>
  </si>
  <si>
    <t xml:space="preserve">F04-T12-21</t>
  </si>
  <si>
    <t xml:space="preserve">Sales Cart</t>
  </si>
  <si>
    <t xml:space="preserve">Sales cart (caterer PASB) - prepared</t>
  </si>
  <si>
    <t xml:space="preserve">A359: 5R41A &amp; 5R42A (not applicable for LHR) (full cart); 9M-MAH: G4F13A (half cart) - per tail</t>
  </si>
  <si>
    <t xml:space="preserve">STD UPLIFT INFORMATION.xlsx &gt; SALES CART!K7:K14 / L9 / C9 / O8:R12</t>
  </si>
  <si>
    <t xml:space="preserve">Block 7.17 h &gt;= 4 h. Location depends on tail. Reference gives no uplift stn for this item: preparation checked at the meal uplift stn (KUL) - confirm with caterer.</t>
  </si>
  <si>
    <t xml:space="preserve">F04-UPL-01</t>
  </si>
  <si>
    <t xml:space="preserve">F04-UPL-02</t>
  </si>
  <si>
    <t xml:space="preserve">F04-UPL-03</t>
  </si>
  <si>
    <t xml:space="preserve">F04-UPL-04</t>
  </si>
  <si>
    <t xml:space="preserve">Slippers (BS/BC) - on board</t>
  </si>
  <si>
    <t xml:space="preserve">F04-UPL-05</t>
  </si>
  <si>
    <t xml:space="preserve">F04-UPL-06</t>
  </si>
  <si>
    <t xml:space="preserve">F04-UPL-07</t>
  </si>
  <si>
    <t xml:space="preserve">F04-UPL-08</t>
  </si>
  <si>
    <t xml:space="preserve">F04-UPL-09</t>
  </si>
  <si>
    <t xml:space="preserve">F04-UPL-10</t>
  </si>
  <si>
    <t xml:space="preserve">F04-UPL-11</t>
  </si>
  <si>
    <t xml:space="preserve">F04-UPL-12</t>
  </si>
  <si>
    <t xml:space="preserve">F04-UPL-13</t>
  </si>
  <si>
    <t xml:space="preserve">Duvet (BS &amp; BC) - on board</t>
  </si>
  <si>
    <t xml:space="preserve">F04-UPL-14</t>
  </si>
  <si>
    <t xml:space="preserve">Mattress (BS &amp; BC) - on board</t>
  </si>
  <si>
    <t xml:space="preserve">F04-UPL-15</t>
  </si>
  <si>
    <t xml:space="preserve">Signature drink &amp; garnish (BC) - on board</t>
  </si>
  <si>
    <t xml:space="preserve">F04-UPL-16</t>
  </si>
  <si>
    <t xml:space="preserve">Sales cart (caterer PASB) - on board</t>
  </si>
  <si>
    <t xml:space="preserve">Block 7.17 h &gt;= 4 h. Location depends on tail.</t>
  </si>
  <si>
    <t xml:space="preserve">F05-T7-01</t>
  </si>
  <si>
    <t xml:space="preserve">F05-T7-02</t>
  </si>
  <si>
    <t xml:space="preserve">F05-T7-03</t>
  </si>
  <si>
    <t xml:space="preserve">F05-T7-04</t>
  </si>
  <si>
    <t xml:space="preserve">F05-T7-05</t>
  </si>
  <si>
    <t xml:space="preserve">F05-T7-06</t>
  </si>
  <si>
    <t xml:space="preserve">F05-T7-07</t>
  </si>
  <si>
    <t xml:space="preserve">F05-T7-08</t>
  </si>
  <si>
    <t xml:space="preserve">F05-T7-09</t>
  </si>
  <si>
    <t xml:space="preserve">Service: 1.5 Meal (Meal); meal uplift stn NRT (ref lists KUL/NRT)</t>
  </si>
  <si>
    <t xml:space="preserve">F05-T7-10</t>
  </si>
  <si>
    <t xml:space="preserve">Inbound KUL-NRT flight carrying KUL-sourced items identified and its KUL departure (UTC) entered on Flights col AX</t>
  </si>
  <si>
    <t xml:space="preserve">KUL-sourced items (Toiletry kits) travel on the inbound KUL-NRT sector</t>
  </si>
  <si>
    <t xml:space="preserve">STD UPLIFT INFORMATION.xlsx &gt; item uplift stn columns (see Requirements)</t>
  </si>
  <si>
    <t xml:space="preserve">Cannot be passed until Flights AX holds the carrying flight's KUL departure (no KUL-NRT flight before this leg in the agenda). Until then the prep and KUL-loading dues assume the agenda candidate's KUL departure, or if none, the latest possible one (STD minus the shortest agenda KUL-NRT block).</t>
  </si>
  <si>
    <t xml:space="preserve">F05-T24-01</t>
  </si>
  <si>
    <t xml:space="preserve">F05-T12-01</t>
  </si>
  <si>
    <t xml:space="preserve">F05-T12-02</t>
  </si>
  <si>
    <t xml:space="preserve">F05-T12-03</t>
  </si>
  <si>
    <t xml:space="preserve">F05-T12-04</t>
  </si>
  <si>
    <t xml:space="preserve">F05-T12-05</t>
  </si>
  <si>
    <t xml:space="preserve">F05-T12-06</t>
  </si>
  <si>
    <t xml:space="preserve">F05-T12-07</t>
  </si>
  <si>
    <t xml:space="preserve">F05-T12-08</t>
  </si>
  <si>
    <t xml:space="preserve">Reference does not state the cabin class for toiletry kits. Confirm whether EY receives them; if not, mark N/A with the confirmation as justification. Loaded at KUL on the inbound KUL-NRT flight: due = that flight's KUL departure (Flights AX) minus the uplift window.</t>
  </si>
  <si>
    <t xml:space="preserve">F05-T12-09</t>
  </si>
  <si>
    <t xml:space="preserve">STD UPLIFT INFORMATION.xlsx &gt; SEAT LINEN!I14</t>
  </si>
  <si>
    <t xml:space="preserve">Reference gives no uplift stn for this item: preparation checked at the meal uplift stn (NRT) - confirm with caterer.</t>
  </si>
  <si>
    <t xml:space="preserve">F05-T12-10</t>
  </si>
  <si>
    <t xml:space="preserve">STD UPLIFT INFORMATION.xlsx &gt; SEAT LINEN!J14</t>
  </si>
  <si>
    <t xml:space="preserve">EY blanket: flight above 3 hours excl. Regional (SEAT LINEN!B74:C74); block 7.67 h. Qty per tail: A350 280 pcs (SEAT LINEN!B76:C76), A359 260 pcs (SEAT LINEN!B77:C77). Reference gives no uplift stn for this item: preparation checked at the meal uplift stn (NRT) - confirm with caterer.</t>
  </si>
  <si>
    <t xml:space="preserve">F05-T12-11</t>
  </si>
  <si>
    <t xml:space="preserve">Block 7.67 h &gt;= 4 h. Location depends on tail. Reference names caterer PASB for the KUL/NRT/KUL sector but no uplift station: confirm whether the NRT-KUL sales cart is loaded at KUL (round trip) or at NRT. Reference gives no uplift stn for this item: preparation checked at the meal uplift stn (NRT) - confirm with caterer.</t>
  </si>
  <si>
    <t xml:space="preserve">F05-UPL-01</t>
  </si>
  <si>
    <t xml:space="preserve">F05-UPL-02</t>
  </si>
  <si>
    <t xml:space="preserve">F05-UPL-03</t>
  </si>
  <si>
    <t xml:space="preserve">KUL-sourced items physically loaded at KUL on the inbound KUL-NRT flight</t>
  </si>
  <si>
    <t xml:space="preserve">Items: Toiletry kits. Quantities as per Requirements</t>
  </si>
  <si>
    <t xml:space="preserve">STD UPLIFT INFORMATION.xlsx &gt; item uplift stn columns</t>
  </si>
  <si>
    <t xml:space="preserve">Confirmed at KUL inside the uplift window before the carrying flight's KUL departure (Flights AX).</t>
  </si>
  <si>
    <t xml:space="preserve">F05-UPL-04</t>
  </si>
  <si>
    <t xml:space="preserve">F05-UPL-05</t>
  </si>
  <si>
    <t xml:space="preserve">F05-UPL-06</t>
  </si>
  <si>
    <t xml:space="preserve">EY blanket: flight above 3 hours excl. Regional (SEAT LINEN!B74:C74); block 7.67 h. Qty per tail: A350 280 pcs (SEAT LINEN!B76:C76), A359 260 pcs (SEAT LINEN!B77:C77).</t>
  </si>
  <si>
    <t xml:space="preserve">F05-UPL-07</t>
  </si>
  <si>
    <t xml:space="preserve">Block 7.67 h &gt;= 4 h. Location depends on tail. Reference names caterer PASB for the KUL/NRT/KUL sector but no uplift station: confirm whether the NRT-KUL sales cart is loaded at KUL (round trip) or at NRT.</t>
  </si>
  <si>
    <t xml:space="preserve">F06-T7-01</t>
  </si>
  <si>
    <t xml:space="preserve">F06-T7-02</t>
  </si>
  <si>
    <t xml:space="preserve">F06-T7-03</t>
  </si>
  <si>
    <t xml:space="preserve">F06-T7-04</t>
  </si>
  <si>
    <t xml:space="preserve">F06-T7-05</t>
  </si>
  <si>
    <t xml:space="preserve">F06-T7-06</t>
  </si>
  <si>
    <t xml:space="preserve">F06-T7-07</t>
  </si>
  <si>
    <t xml:space="preserve">F06-T7-08</t>
  </si>
  <si>
    <t xml:space="preserve">F06-T7-09</t>
  </si>
  <si>
    <t xml:space="preserve">Service: 2.5 Meal (Meal); meal uplift stn KUL (ref lists KUL/LHR)</t>
  </si>
  <si>
    <t xml:space="preserve">F06-T24-01</t>
  </si>
  <si>
    <t xml:space="preserve">F06-T12-01</t>
  </si>
  <si>
    <t xml:space="preserve">F06-T12-02</t>
  </si>
  <si>
    <t xml:space="preserve">F06-T12-03</t>
  </si>
  <si>
    <t xml:space="preserve">F06-T12-04</t>
  </si>
  <si>
    <t xml:space="preserve">F06-T12-05</t>
  </si>
  <si>
    <t xml:space="preserve">F06-T12-06</t>
  </si>
  <si>
    <t xml:space="preserve">F06-T12-07</t>
  </si>
  <si>
    <t xml:space="preserve">F06-T12-08</t>
  </si>
  <si>
    <t xml:space="preserve">LHR or KUL - confirm</t>
  </si>
  <si>
    <t xml:space="preserve">A350 row AMENITIES!C12 names LHR as the toiletry-kit uplift stn, but this leg departs KUL (general row C11: uplift stn H11 = KUL). Confirm where toiletry kits for this KUL-LHR BC leg are uplifted; if at LHR they travel on the inbound LHR-KUL sector and must be verified at KUL before this departure.</t>
  </si>
  <si>
    <t xml:space="preserve">F06-T12-09</t>
  </si>
  <si>
    <t xml:space="preserve">Pajamas (BC) - prepared</t>
  </si>
  <si>
    <t xml:space="preserve">Available - BC red-eye only</t>
  </si>
  <si>
    <t xml:space="preserve">STD UPLIFT INFORMATION.xlsx &gt; AMENITIES!F13 / H13</t>
  </si>
  <si>
    <t xml:space="preserve">Red-eye departure 2320 local.</t>
  </si>
  <si>
    <t xml:space="preserve">F06-T12-10</t>
  </si>
  <si>
    <t xml:space="preserve">STD UPLIFT INFORMATION.xlsx &gt; AMENITIES!G13 / H13</t>
  </si>
  <si>
    <t xml:space="preserve">F06-T12-11</t>
  </si>
  <si>
    <t xml:space="preserve">STD UPLIFT INFORMATION.xlsx &gt; F&amp;B LINEN!D7</t>
  </si>
  <si>
    <t xml:space="preserve">F06-T12-12</t>
  </si>
  <si>
    <t xml:space="preserve">STD UPLIFT INFORMATION.xlsx &gt; F&amp;B LINEN!E7</t>
  </si>
  <si>
    <t xml:space="preserve">F06-T12-13</t>
  </si>
  <si>
    <t xml:space="preserve">STD UPLIFT INFORMATION.xlsx &gt; F&amp;B LINEN!F7</t>
  </si>
  <si>
    <t xml:space="preserve">F06-T12-14</t>
  </si>
  <si>
    <t xml:space="preserve">STD UPLIFT INFORMATION.xlsx &gt; F&amp;B LINEN!G7</t>
  </si>
  <si>
    <t xml:space="preserve">F06-T12-15</t>
  </si>
  <si>
    <t xml:space="preserve">STD UPLIFT INFORMATION.xlsx &gt; F&amp;B LINEN!H7</t>
  </si>
  <si>
    <t xml:space="preserve">F06-T12-16</t>
  </si>
  <si>
    <t xml:space="preserve">STD UPLIFT INFORMATION.xlsx &gt; F&amp;B LINEN!I7</t>
  </si>
  <si>
    <t xml:space="preserve">F06-T12-17</t>
  </si>
  <si>
    <t xml:space="preserve">STD UPLIFT INFORMATION.xlsx &gt; F&amp;B LINEN!J7</t>
  </si>
  <si>
    <t xml:space="preserve">F06-T12-18</t>
  </si>
  <si>
    <t xml:space="preserve">STD UPLIFT INFORMATION.xlsx &gt; SEAT LINEN!E7</t>
  </si>
  <si>
    <t xml:space="preserve">F06-T12-19</t>
  </si>
  <si>
    <t xml:space="preserve">STD UPLIFT INFORMATION.xlsx &gt; SEAT LINEN!F7</t>
  </si>
  <si>
    <t xml:space="preserve">F06-T12-20</t>
  </si>
  <si>
    <t xml:space="preserve">STD UPLIFT INFORMATION.xlsx &gt; SEAT LINEN!G7</t>
  </si>
  <si>
    <t xml:space="preserve">F06-T12-21</t>
  </si>
  <si>
    <t xml:space="preserve">STD UPLIFT INFORMATION.xlsx &gt; Signature Drinks!F6 / G6 / D79</t>
  </si>
  <si>
    <t xml:space="preserve">F06-UPL-01</t>
  </si>
  <si>
    <t xml:space="preserve">F06-UPL-02</t>
  </si>
  <si>
    <t xml:space="preserve">F06-UPL-03</t>
  </si>
  <si>
    <t xml:space="preserve">F06-UPL-04</t>
  </si>
  <si>
    <t xml:space="preserve">Pajamas (BC) - on board</t>
  </si>
  <si>
    <t xml:space="preserve">F06-UPL-05</t>
  </si>
  <si>
    <t xml:space="preserve">F06-UPL-06</t>
  </si>
  <si>
    <t xml:space="preserve">F06-UPL-07</t>
  </si>
  <si>
    <t xml:space="preserve">F06-UPL-08</t>
  </si>
  <si>
    <t xml:space="preserve">F06-UPL-09</t>
  </si>
  <si>
    <t xml:space="preserve">F06-UPL-10</t>
  </si>
  <si>
    <t xml:space="preserve">F06-UPL-11</t>
  </si>
  <si>
    <t xml:space="preserve">F06-UPL-12</t>
  </si>
  <si>
    <t xml:space="preserve">F06-UPL-13</t>
  </si>
  <si>
    <t xml:space="preserve">F06-UPL-14</t>
  </si>
  <si>
    <t xml:space="preserve">F06-UPL-15</t>
  </si>
  <si>
    <t xml:space="preserve">F06-UPL-16</t>
  </si>
  <si>
    <t xml:space="preserve">F07-T7-01</t>
  </si>
  <si>
    <t xml:space="preserve">F07-T7-02</t>
  </si>
  <si>
    <t xml:space="preserve">F07-T7-03</t>
  </si>
  <si>
    <t xml:space="preserve">F07-T7-04</t>
  </si>
  <si>
    <t xml:space="preserve">F07-T7-05</t>
  </si>
  <si>
    <t xml:space="preserve">F07-T7-06</t>
  </si>
  <si>
    <t xml:space="preserve">F07-T7-07</t>
  </si>
  <si>
    <t xml:space="preserve">F07-T7-08</t>
  </si>
  <si>
    <t xml:space="preserve">F07-T7-09</t>
  </si>
  <si>
    <t xml:space="preserve">F07-T7-10</t>
  </si>
  <si>
    <t xml:space="preserve">Inbound KUL-LHR flight carrying KUL-sourced items identified and its KUL departure (UTC) entered on Flights col AX</t>
  </si>
  <si>
    <t xml:space="preserve">KUL-sourced items (Pajamas (BC), Slippers (BS/BC), Signature drink &amp; garnish (BC)) travel on the inbound KUL-LHR sector</t>
  </si>
  <si>
    <t xml:space="preserve">Cannot be passed until Flights AX holds the carrying flight's KUL departure (no KUL-LHR flight before this leg in the agenda). Until then the prep and KUL-loading dues assume the agenda candidate's KUL departure, or if none, the latest possible one (STD minus the shortest agenda KUL-LHR block).</t>
  </si>
  <si>
    <t xml:space="preserve">F07-T24-01</t>
  </si>
  <si>
    <t xml:space="preserve">F07-T12-01</t>
  </si>
  <si>
    <t xml:space="preserve">F07-T12-02</t>
  </si>
  <si>
    <t xml:space="preserve">F07-T12-03</t>
  </si>
  <si>
    <t xml:space="preserve">F07-T12-04</t>
  </si>
  <si>
    <t xml:space="preserve">F07-T12-05</t>
  </si>
  <si>
    <t xml:space="preserve">F07-T12-06</t>
  </si>
  <si>
    <t xml:space="preserve">F07-T12-07</t>
  </si>
  <si>
    <t xml:space="preserve">F07-T12-08</t>
  </si>
  <si>
    <t xml:space="preserve">F07-T12-09</t>
  </si>
  <si>
    <t xml:space="preserve">Reference limits BC pajamas to red-eye flights; STD 1100 local arriving 0645+1 - confirm whether this leg counts as red-eye. Loaded at KUL on the inbound KUL-LHR flight: due = that flight's KUL departure (Flights AX) minus the uplift window.</t>
  </si>
  <si>
    <t xml:space="preserve">F07-T12-10</t>
  </si>
  <si>
    <t xml:space="preserve">Loaded at KUL on the inbound KUL-LHR flight: due = that flight's KUL departure (Flights AX) minus the uplift window.</t>
  </si>
  <si>
    <t xml:space="preserve">F07-T12-11</t>
  </si>
  <si>
    <t xml:space="preserve">F07-T12-12</t>
  </si>
  <si>
    <t xml:space="preserve">F07-T12-13</t>
  </si>
  <si>
    <t xml:space="preserve">F07-T12-14</t>
  </si>
  <si>
    <t xml:space="preserve">F07-T12-15</t>
  </si>
  <si>
    <t xml:space="preserve">F07-T12-16</t>
  </si>
  <si>
    <t xml:space="preserve">Per note F&amp;B LINEN!B79:C80. Reference gives no uplift stn for this item: preparation checked at the meal uplift stn (LHR) - confirm with caterer.</t>
  </si>
  <si>
    <t xml:space="preserve">F07-T12-17</t>
  </si>
  <si>
    <t xml:space="preserve">F07-T12-18</t>
  </si>
  <si>
    <t xml:space="preserve">F07-T12-19</t>
  </si>
  <si>
    <t xml:space="preserve">F07-T12-20</t>
  </si>
  <si>
    <t xml:space="preserve">F07-T12-21</t>
  </si>
  <si>
    <t xml:space="preserve">Signature drinks &amp; garnish uplifted from KUL (note D79). Loaded at KUL on the inbound KUL-LHR flight: due = that flight's KUL departure (Flights AX) minus the uplift window.</t>
  </si>
  <si>
    <t xml:space="preserve">F07-UPL-01</t>
  </si>
  <si>
    <t xml:space="preserve">F07-UPL-02</t>
  </si>
  <si>
    <t xml:space="preserve">F07-UPL-03</t>
  </si>
  <si>
    <t xml:space="preserve">KUL-sourced items physically loaded at KUL on the inbound KUL-LHR flight</t>
  </si>
  <si>
    <t xml:space="preserve">Items: Pajamas (BC), Slippers (BS/BC), Signature drink &amp; garnish (BC). Quantities as per Requirements</t>
  </si>
  <si>
    <t xml:space="preserve">F07-UPL-04</t>
  </si>
  <si>
    <t xml:space="preserve">F07-UPL-05</t>
  </si>
  <si>
    <t xml:space="preserve">Reference limits BC pajamas to red-eye flights; STD 1100 local arriving 0645+1 - confirm whether this leg counts as red-eye.</t>
  </si>
  <si>
    <t xml:space="preserve">F07-UPL-06</t>
  </si>
  <si>
    <t xml:space="preserve">F07-UPL-07</t>
  </si>
  <si>
    <t xml:space="preserve">F07-UPL-08</t>
  </si>
  <si>
    <t xml:space="preserve">F07-UPL-09</t>
  </si>
  <si>
    <t xml:space="preserve">F07-UPL-10</t>
  </si>
  <si>
    <t xml:space="preserve">F07-UPL-11</t>
  </si>
  <si>
    <t xml:space="preserve">F07-UPL-12</t>
  </si>
  <si>
    <t xml:space="preserve">F07-UPL-13</t>
  </si>
  <si>
    <t xml:space="preserve">F07-UPL-14</t>
  </si>
  <si>
    <t xml:space="preserve">F07-UPL-15</t>
  </si>
  <si>
    <t xml:space="preserve">F07-UPL-16</t>
  </si>
  <si>
    <t xml:space="preserve">F07-UPL-17</t>
  </si>
  <si>
    <t xml:space="preserve">F08-T7-01</t>
  </si>
  <si>
    <t xml:space="preserve">F08-T7-02</t>
  </si>
  <si>
    <t xml:space="preserve">F08-T7-03</t>
  </si>
  <si>
    <t xml:space="preserve">F08-T7-04</t>
  </si>
  <si>
    <t xml:space="preserve">F08-T7-05</t>
  </si>
  <si>
    <t xml:space="preserve">F08-T7-06</t>
  </si>
  <si>
    <t xml:space="preserve">F08-T7-07</t>
  </si>
  <si>
    <t xml:space="preserve">F08-T7-08</t>
  </si>
  <si>
    <t xml:space="preserve">F08-T7-09</t>
  </si>
  <si>
    <t xml:space="preserve">Service: 1 Meal (Meal); meal uplift stn KUL (ref lists KUL/HAN)</t>
  </si>
  <si>
    <t xml:space="preserve">STD UPLIFT INFORMATION.xlsx &gt; CATERING UPLIFT STN!C51:G51</t>
  </si>
  <si>
    <t xml:space="preserve">F08-T24-01</t>
  </si>
  <si>
    <t xml:space="preserve">F08-T12-01</t>
  </si>
  <si>
    <t xml:space="preserve">F08-T12-02</t>
  </si>
  <si>
    <t xml:space="preserve">F08-T12-03</t>
  </si>
  <si>
    <t xml:space="preserve">F08-T12-04</t>
  </si>
  <si>
    <t xml:space="preserve">F08-T12-05</t>
  </si>
  <si>
    <t xml:space="preserve">F08-T12-06</t>
  </si>
  <si>
    <t xml:space="preserve">F08-T12-07</t>
  </si>
  <si>
    <t xml:space="preserve">F08-T12-08</t>
  </si>
  <si>
    <t xml:space="preserve">STD UPLIFT INFORMATION.xlsx &gt; SEAT LINEN!I46</t>
  </si>
  <si>
    <t xml:space="preserve">F08-UPL-01</t>
  </si>
  <si>
    <t xml:space="preserve">F08-UPL-02</t>
  </si>
  <si>
    <t xml:space="preserve">F08-UPL-03</t>
  </si>
  <si>
    <t xml:space="preserve">F09-T7-01</t>
  </si>
  <si>
    <t xml:space="preserve">F09-T7-02</t>
  </si>
  <si>
    <t xml:space="preserve">F09-T7-03</t>
  </si>
  <si>
    <t xml:space="preserve">F09-T7-04</t>
  </si>
  <si>
    <t xml:space="preserve">F09-T7-05</t>
  </si>
  <si>
    <t xml:space="preserve">F09-T7-06</t>
  </si>
  <si>
    <t xml:space="preserve">F09-T7-07</t>
  </si>
  <si>
    <t xml:space="preserve">F09-T7-08</t>
  </si>
  <si>
    <t xml:space="preserve">F09-T7-09</t>
  </si>
  <si>
    <t xml:space="preserve">Service: 1 Meal (Meal); meal uplift stn HAN (ref lists KUL/HAN)</t>
  </si>
  <si>
    <t xml:space="preserve">F09-T24-01</t>
  </si>
  <si>
    <t xml:space="preserve">F09-T12-01</t>
  </si>
  <si>
    <t xml:space="preserve">F09-T12-02</t>
  </si>
  <si>
    <t xml:space="preserve">F09-T12-03</t>
  </si>
  <si>
    <t xml:space="preserve">F09-T12-04</t>
  </si>
  <si>
    <t xml:space="preserve">F09-T12-05</t>
  </si>
  <si>
    <t xml:space="preserve">F09-T12-06</t>
  </si>
  <si>
    <t xml:space="preserve">F09-T12-07</t>
  </si>
  <si>
    <t xml:space="preserve">F09-T12-08</t>
  </si>
  <si>
    <t xml:space="preserve">STD UPLIFT INFORMATION.xlsx &gt; AMENITIES!G56 / C83</t>
  </si>
  <si>
    <t xml:space="preserve">Sector has no BC slippers; note C83: disposable slipper available in DAM cart (on request basis). Reference gives no uplift stn for this item: preparation checked at the meal uplift stn (HAN) - confirm with caterer.</t>
  </si>
  <si>
    <t xml:space="preserve">F09-T12-09</t>
  </si>
  <si>
    <t xml:space="preserve">STD UPLIFT INFORMATION.xlsx &gt; F&amp;B LINEN!D48</t>
  </si>
  <si>
    <t xml:space="preserve">Reference gives no uplift stn for this item: preparation checked at the meal uplift stn (HAN) - confirm with caterer.</t>
  </si>
  <si>
    <t xml:space="preserve">F09-T12-10</t>
  </si>
  <si>
    <t xml:space="preserve">STD UPLIFT INFORMATION.xlsx &gt; F&amp;B LINEN!E48</t>
  </si>
  <si>
    <t xml:space="preserve">F09-T12-11</t>
  </si>
  <si>
    <t xml:space="preserve">STD UPLIFT INFORMATION.xlsx &gt; F&amp;B LINEN!F48</t>
  </si>
  <si>
    <t xml:space="preserve">F09-T12-12</t>
  </si>
  <si>
    <t xml:space="preserve">STD UPLIFT INFORMATION.xlsx &gt; F&amp;B LINEN!G48</t>
  </si>
  <si>
    <t xml:space="preserve">Reference contradicts itself: matrix shows a tick for this sector but note F&amp;B LINEN!B78:C78 says table cloth is 'Not Applicable for Domestic/Asean &amp; Regional' (ASEAN). Confirm before loading; if not carried, mark N/A with the confirmation as justification. Reference gives no uplift stn for this item: preparation checked at the meal uplift stn (HAN) - confirm with caterer.</t>
  </si>
  <si>
    <t xml:space="preserve">F09-T12-13</t>
  </si>
  <si>
    <t xml:space="preserve">STD UPLIFT INFORMATION.xlsx &gt; F&amp;B LINEN!H48</t>
  </si>
  <si>
    <t xml:space="preserve">F09-T12-14</t>
  </si>
  <si>
    <t xml:space="preserve">STD UPLIFT INFORMATION.xlsx &gt; F&amp;B LINEN!I48</t>
  </si>
  <si>
    <t xml:space="preserve">Per note F&amp;B LINEN!B79:C80. Reference gives no uplift stn for this item: preparation checked at the meal uplift stn (HAN) - confirm with caterer.</t>
  </si>
  <si>
    <t xml:space="preserve">F09-T12-15</t>
  </si>
  <si>
    <t xml:space="preserve">STD UPLIFT INFORMATION.xlsx &gt; F&amp;B LINEN!J48</t>
  </si>
  <si>
    <t xml:space="preserve">F09-T12-16</t>
  </si>
  <si>
    <t xml:space="preserve">STD UPLIFT INFORMATION.xlsx &gt; SEAT LINEN!E46</t>
  </si>
  <si>
    <t xml:space="preserve">F09-T12-17</t>
  </si>
  <si>
    <t xml:space="preserve">STD UPLIFT INFORMATION.xlsx &gt; SEAT LINEN!H46</t>
  </si>
  <si>
    <t xml:space="preserve">F09-UPL-01</t>
  </si>
  <si>
    <t xml:space="preserve">F09-UPL-02</t>
  </si>
  <si>
    <t xml:space="preserve">F09-UPL-03</t>
  </si>
  <si>
    <t xml:space="preserve">F09-UPL-04</t>
  </si>
  <si>
    <t xml:space="preserve">F09-UPL-05</t>
  </si>
  <si>
    <t xml:space="preserve">F09-UPL-06</t>
  </si>
  <si>
    <t xml:space="preserve">F09-UPL-07</t>
  </si>
  <si>
    <t xml:space="preserve">F09-UPL-08</t>
  </si>
  <si>
    <t xml:space="preserve">F09-UPL-09</t>
  </si>
  <si>
    <t xml:space="preserve">F09-UPL-10</t>
  </si>
  <si>
    <t xml:space="preserve">F09-UPL-11</t>
  </si>
  <si>
    <t xml:space="preserve">F09-UPL-12</t>
  </si>
  <si>
    <t xml:space="preserve">F10-T7-01</t>
  </si>
  <si>
    <t xml:space="preserve">Refreshment service: sensory test covers the refreshment items.</t>
  </si>
  <si>
    <t xml:space="preserve">F10-T7-02</t>
  </si>
  <si>
    <t xml:space="preserve">Refreshment service (peanut &amp; water). If no printed menu card is used, mark N/A with the confirmation as justification.</t>
  </si>
  <si>
    <t xml:space="preserve">F10-T7-03</t>
  </si>
  <si>
    <t xml:space="preserve">F10-T7-04</t>
  </si>
  <si>
    <t xml:space="preserve">F10-T7-05</t>
  </si>
  <si>
    <t xml:space="preserve">F10-T7-06</t>
  </si>
  <si>
    <t xml:space="preserve">F10-T7-07</t>
  </si>
  <si>
    <t xml:space="preserve">F10-T7-08</t>
  </si>
  <si>
    <t xml:space="preserve">F10-T7-09</t>
  </si>
  <si>
    <t xml:space="preserve">Service: Refreshment (Peanut &amp; Water); meal uplift stn KUL (ref lists KUL)</t>
  </si>
  <si>
    <t xml:space="preserve">STD UPLIFT INFORMATION.xlsx &gt; CATERING UPLIFT STN!C68:G68</t>
  </si>
  <si>
    <t xml:space="preserve">F10-T24-01</t>
  </si>
  <si>
    <t xml:space="preserve">F10-T12-01</t>
  </si>
  <si>
    <t xml:space="preserve">F10-T12-02</t>
  </si>
  <si>
    <t xml:space="preserve">F10-T12-03</t>
  </si>
  <si>
    <t xml:space="preserve">F10-T12-04</t>
  </si>
  <si>
    <t xml:space="preserve">F10-T12-05</t>
  </si>
  <si>
    <t xml:space="preserve">F10-T12-06</t>
  </si>
  <si>
    <t xml:space="preserve">F10-T12-07</t>
  </si>
  <si>
    <t xml:space="preserve">F10-T12-08</t>
  </si>
  <si>
    <t xml:space="preserve">STD UPLIFT INFORMATION.xlsx &gt; AMENITIES!G72 / C83</t>
  </si>
  <si>
    <t xml:space="preserve">F10-T12-09</t>
  </si>
  <si>
    <t xml:space="preserve">STD UPLIFT INFORMATION.xlsx &gt; F&amp;B LINEN!D66</t>
  </si>
  <si>
    <t xml:space="preserve">F10-T12-10</t>
  </si>
  <si>
    <t xml:space="preserve">STD UPLIFT INFORMATION.xlsx &gt; F&amp;B LINEN!E66</t>
  </si>
  <si>
    <t xml:space="preserve">F10-T12-11</t>
  </si>
  <si>
    <t xml:space="preserve">STD UPLIFT INFORMATION.xlsx &gt; F&amp;B LINEN!F66</t>
  </si>
  <si>
    <t xml:space="preserve">F10-T12-12</t>
  </si>
  <si>
    <t xml:space="preserve">STD UPLIFT INFORMATION.xlsx &gt; F&amp;B LINEN!I66</t>
  </si>
  <si>
    <t xml:space="preserve">F10-T12-13</t>
  </si>
  <si>
    <t xml:space="preserve">STD UPLIFT INFORMATION.xlsx &gt; F&amp;B LINEN!J66</t>
  </si>
  <si>
    <t xml:space="preserve">F10-T12-14</t>
  </si>
  <si>
    <t xml:space="preserve">STD UPLIFT INFORMATION.xlsx &gt; SEAT LINEN!E62</t>
  </si>
  <si>
    <t xml:space="preserve">F10-T12-15</t>
  </si>
  <si>
    <t xml:space="preserve">STD UPLIFT INFORMATION.xlsx &gt; SEAT LINEN!H62</t>
  </si>
  <si>
    <t xml:space="preserve">F10-UPL-01</t>
  </si>
  <si>
    <t xml:space="preserve">F10-UPL-02</t>
  </si>
  <si>
    <t xml:space="preserve">F10-UPL-03</t>
  </si>
  <si>
    <t xml:space="preserve">F10-UPL-04</t>
  </si>
  <si>
    <t xml:space="preserve">F10-UPL-05</t>
  </si>
  <si>
    <t xml:space="preserve">F10-UPL-06</t>
  </si>
  <si>
    <t xml:space="preserve">F10-UPL-07</t>
  </si>
  <si>
    <t xml:space="preserve">F10-UPL-08</t>
  </si>
  <si>
    <t xml:space="preserve">F10-UPL-09</t>
  </si>
  <si>
    <t xml:space="preserve">F10-UPL-10</t>
  </si>
  <si>
    <t xml:space="preserve">F11-T7-01</t>
  </si>
  <si>
    <t xml:space="preserve">F11-T7-02</t>
  </si>
  <si>
    <t xml:space="preserve">F11-T7-03</t>
  </si>
  <si>
    <t xml:space="preserve">F11-T7-04</t>
  </si>
  <si>
    <t xml:space="preserve">F11-T7-05</t>
  </si>
  <si>
    <t xml:space="preserve">F11-T7-06</t>
  </si>
  <si>
    <t xml:space="preserve">F11-T7-07</t>
  </si>
  <si>
    <t xml:space="preserve">F11-T7-08</t>
  </si>
  <si>
    <t xml:space="preserve">F11-T7-09</t>
  </si>
  <si>
    <t xml:space="preserve">Return catering uplifted at KUL on the outbound rotation (ref uplift stn = KUL). Confirm aircraft rotation.</t>
  </si>
  <si>
    <t xml:space="preserve">F11-T7-10</t>
  </si>
  <si>
    <t xml:space="preserve">Carrying flight for this leg's return catering identified and its KUL departure (UTC) entered on Flights col AX</t>
  </si>
  <si>
    <t xml:space="preserve">All catering for MH1149 PEN-KUL is uplifted at KUL (ref uplift stn KUL only)</t>
  </si>
  <si>
    <t xml:space="preserve">PEN does not cater. Agenda candidate: MH1140 (F10, KUL 1145 local) - confirm the aircraft rotation and enter the actual KUL departure in Flights AX (cannot be passed until entered). Until then, T-24H, T-12H prep and the KUL loading line assume the candidate's KUL departure.</t>
  </si>
  <si>
    <t xml:space="preserve">F11-T24-01</t>
  </si>
  <si>
    <t xml:space="preserve">Round-trip catered from KUL: due capped at the KUL loading deadline (Flights AY).</t>
  </si>
  <si>
    <t xml:space="preserve">F11-T12-01</t>
  </si>
  <si>
    <t xml:space="preserve">Preparation check at caterer - does NOT confirm loading. Round-trip catered from KUL: due capped at the KUL loading deadline (Flights AY).</t>
  </si>
  <si>
    <t xml:space="preserve">F11-T12-02</t>
  </si>
  <si>
    <t xml:space="preserve">F11-T12-03</t>
  </si>
  <si>
    <t xml:space="preserve">F11-T12-04</t>
  </si>
  <si>
    <t xml:space="preserve">F11-T12-05</t>
  </si>
  <si>
    <t xml:space="preserve">F11-T12-06</t>
  </si>
  <si>
    <t xml:space="preserve">F11-T12-07</t>
  </si>
  <si>
    <t xml:space="preserve">F11-T12-08</t>
  </si>
  <si>
    <t xml:space="preserve">STD UPLIFT INFORMATION.xlsx &gt; SEAT LINEN!I62</t>
  </si>
  <si>
    <t xml:space="preserve">Reference gives no uplift stn for this item: preparation checked at the meal uplift stn (KUL) - confirm with caterer. Round-trip catered from KUL: due capped at the KUL loading deadline (Flights AY).</t>
  </si>
  <si>
    <t xml:space="preserve">F11-UPL-01</t>
  </si>
  <si>
    <t xml:space="preserve">F11-UPL-02</t>
  </si>
  <si>
    <t xml:space="preserve">F11-UPL-03</t>
  </si>
  <si>
    <t xml:space="preserve">Return catering for MH1149 physically loaded at KUL on the carrying flight (meals, equipment and all items below)</t>
  </si>
  <si>
    <t xml:space="preserve">Items: meals / refreshment, equipment, Seat pillow (EY). Quantities as per menu checklist, GLD and Requirements</t>
  </si>
  <si>
    <t xml:space="preserve">User brief (physical uplift) + CATERING UPLIFT STN (KUL only)</t>
  </si>
  <si>
    <t xml:space="preserve">Loading happens at KUL, so it is confirmed at KUL inside the uplift window before the carrying flight's KUL departure (Flights AX). The on-board lines below are then re-checked at the departure station.</t>
  </si>
  <si>
    <t xml:space="preserve">F11-UPL-04</t>
  </si>
  <si>
    <t xml:space="preserve">F12-T7-01</t>
  </si>
  <si>
    <t xml:space="preserve">F12-T7-02</t>
  </si>
  <si>
    <t xml:space="preserve">F12-T7-03</t>
  </si>
  <si>
    <t xml:space="preserve">F12-T7-04</t>
  </si>
  <si>
    <t xml:space="preserve">F12-T7-05</t>
  </si>
  <si>
    <t xml:space="preserve">F12-T7-06</t>
  </si>
  <si>
    <t xml:space="preserve">F12-T7-07</t>
  </si>
  <si>
    <t xml:space="preserve">F12-T7-08</t>
  </si>
  <si>
    <t xml:space="preserve">F12-T7-09</t>
  </si>
  <si>
    <t xml:space="preserve">Service: 1.5 Meal (Meal); meal uplift stn KUL (ref lists KUL/ADL)</t>
  </si>
  <si>
    <t xml:space="preserve">STD UPLIFT INFORMATION.xlsx &gt; CATERING UPLIFT STN!C11:G11</t>
  </si>
  <si>
    <t xml:space="preserve">F12-T24-01</t>
  </si>
  <si>
    <t xml:space="preserve">F12-T12-01</t>
  </si>
  <si>
    <t xml:space="preserve">F12-T12-02</t>
  </si>
  <si>
    <t xml:space="preserve">F12-T12-03</t>
  </si>
  <si>
    <t xml:space="preserve">F12-T12-04</t>
  </si>
  <si>
    <t xml:space="preserve">F12-T12-05</t>
  </si>
  <si>
    <t xml:space="preserve">F12-T12-06</t>
  </si>
  <si>
    <t xml:space="preserve">Enter expected &amp; actual. Aircraft galley data: A330-900 (A339): carts 43.5, SU 111, ovens 13, warming ovens 4, fridges 2, water heaters 6, beverage makers -, espresso 1, folding trolleys 4, headsets BC: Dual Pin/ EY: Single Pin (AIRCRAFT TYPE!C8:R8)</t>
  </si>
  <si>
    <t xml:space="preserve">F12-T12-07</t>
  </si>
  <si>
    <t xml:space="preserve">F12-T12-08</t>
  </si>
  <si>
    <t xml:space="preserve">STD UPLIFT INFORMATION.xlsx &gt; AMENITIES!D18 / H18</t>
  </si>
  <si>
    <t xml:space="preserve">F12-T12-09</t>
  </si>
  <si>
    <t xml:space="preserve">STD UPLIFT INFORMATION.xlsx &gt; AMENITIES!G18 / H18</t>
  </si>
  <si>
    <t xml:space="preserve">F12-T12-10</t>
  </si>
  <si>
    <t xml:space="preserve">STD UPLIFT INFORMATION.xlsx &gt; F&amp;B LINEN!D9</t>
  </si>
  <si>
    <t xml:space="preserve">F12-T12-11</t>
  </si>
  <si>
    <t xml:space="preserve">STD UPLIFT INFORMATION.xlsx &gt; F&amp;B LINEN!E9</t>
  </si>
  <si>
    <t xml:space="preserve">F12-T12-12</t>
  </si>
  <si>
    <t xml:space="preserve">STD UPLIFT INFORMATION.xlsx &gt; F&amp;B LINEN!F9</t>
  </si>
  <si>
    <t xml:space="preserve">F12-T12-13</t>
  </si>
  <si>
    <t xml:space="preserve">STD UPLIFT INFORMATION.xlsx &gt; F&amp;B LINEN!G9</t>
  </si>
  <si>
    <t xml:space="preserve">F12-T12-14</t>
  </si>
  <si>
    <t xml:space="preserve">STD UPLIFT INFORMATION.xlsx &gt; F&amp;B LINEN!H9</t>
  </si>
  <si>
    <t xml:space="preserve">F12-T12-15</t>
  </si>
  <si>
    <t xml:space="preserve">STD UPLIFT INFORMATION.xlsx &gt; F&amp;B LINEN!I9</t>
  </si>
  <si>
    <t xml:space="preserve">F12-T12-16</t>
  </si>
  <si>
    <t xml:space="preserve">STD UPLIFT INFORMATION.xlsx &gt; F&amp;B LINEN!J9</t>
  </si>
  <si>
    <t xml:space="preserve">F12-T12-17</t>
  </si>
  <si>
    <t xml:space="preserve">STD UPLIFT INFORMATION.xlsx &gt; SEAT LINEN!E9</t>
  </si>
  <si>
    <t xml:space="preserve">F12-T12-18</t>
  </si>
  <si>
    <t xml:space="preserve">STD UPLIFT INFORMATION.xlsx &gt; SEAT LINEN!F9</t>
  </si>
  <si>
    <t xml:space="preserve">F12-T12-19</t>
  </si>
  <si>
    <t xml:space="preserve">STD UPLIFT INFORMATION.xlsx &gt; SEAT LINEN!G9</t>
  </si>
  <si>
    <t xml:space="preserve">F12-T12-20</t>
  </si>
  <si>
    <t xml:space="preserve">STD UPLIFT INFORMATION.xlsx &gt; Signature Drinks!F9 / G9 / D79</t>
  </si>
  <si>
    <t xml:space="preserve">F12-T12-21</t>
  </si>
  <si>
    <t xml:space="preserve">Location 241 &amp; 947 (A339)</t>
  </si>
  <si>
    <t xml:space="preserve">STD UPLIFT INFORMATION.xlsx &gt; SALES CART!J8:J17 / C13 / C40</t>
  </si>
  <si>
    <t xml:space="preserve">Block 7.08 h &gt;= 4 h. Reference gives no uplift stn for this item: preparation checked at the meal uplift stn (KUL) - confirm with caterer.</t>
  </si>
  <si>
    <t xml:space="preserve">F12-UPL-01</t>
  </si>
  <si>
    <t xml:space="preserve">F12-UPL-02</t>
  </si>
  <si>
    <t xml:space="preserve">F12-UPL-03</t>
  </si>
  <si>
    <t xml:space="preserve">F12-UPL-04</t>
  </si>
  <si>
    <t xml:space="preserve">F12-UPL-05</t>
  </si>
  <si>
    <t xml:space="preserve">F12-UPL-06</t>
  </si>
  <si>
    <t xml:space="preserve">F12-UPL-07</t>
  </si>
  <si>
    <t xml:space="preserve">F12-UPL-08</t>
  </si>
  <si>
    <t xml:space="preserve">F12-UPL-09</t>
  </si>
  <si>
    <t xml:space="preserve">F12-UPL-10</t>
  </si>
  <si>
    <t xml:space="preserve">F12-UPL-11</t>
  </si>
  <si>
    <t xml:space="preserve">F12-UPL-12</t>
  </si>
  <si>
    <t xml:space="preserve">F12-UPL-13</t>
  </si>
  <si>
    <t xml:space="preserve">F12-UPL-14</t>
  </si>
  <si>
    <t xml:space="preserve">F12-UPL-15</t>
  </si>
  <si>
    <t xml:space="preserve">F12-UPL-16</t>
  </si>
  <si>
    <t xml:space="preserve">Block 7.08 h &gt;= 4 h.</t>
  </si>
  <si>
    <t xml:space="preserve">F13-T7-01</t>
  </si>
  <si>
    <t xml:space="preserve">F13-T7-02</t>
  </si>
  <si>
    <t xml:space="preserve">F13-T7-03</t>
  </si>
  <si>
    <t xml:space="preserve">F13-T7-04</t>
  </si>
  <si>
    <t xml:space="preserve">F13-T7-05</t>
  </si>
  <si>
    <t xml:space="preserve">F13-T7-06</t>
  </si>
  <si>
    <t xml:space="preserve">F13-T7-07</t>
  </si>
  <si>
    <t xml:space="preserve">F13-T7-08</t>
  </si>
  <si>
    <t xml:space="preserve">F13-T7-09</t>
  </si>
  <si>
    <t xml:space="preserve">Service: 1.5 Meal (Meal); meal uplift stn ADL (ref lists KUL/ADL)</t>
  </si>
  <si>
    <t xml:space="preserve">F13-T7-10</t>
  </si>
  <si>
    <t xml:space="preserve">Inbound KUL-ADL flight carrying KUL-sourced items identified and its KUL departure (UTC) entered on Flights col AX</t>
  </si>
  <si>
    <t xml:space="preserve">KUL-sourced items (Toiletry kits) travel on the inbound KUL-ADL sector</t>
  </si>
  <si>
    <t xml:space="preserve">Cannot be passed until Flights AX holds the carrying flight's KUL departure (agenda candidate MH0139 12-Oct (F12)). Until then the prep and KUL-loading dues assume the agenda candidate's KUL departure, or if none, the latest possible one (STD minus the shortest agenda KUL-ADL block).</t>
  </si>
  <si>
    <t xml:space="preserve">F13-T24-01</t>
  </si>
  <si>
    <t xml:space="preserve">F13-T12-01</t>
  </si>
  <si>
    <t xml:space="preserve">F13-T12-02</t>
  </si>
  <si>
    <t xml:space="preserve">F13-T12-03</t>
  </si>
  <si>
    <t xml:space="preserve">F13-T12-04</t>
  </si>
  <si>
    <t xml:space="preserve">F13-T12-05</t>
  </si>
  <si>
    <t xml:space="preserve">F13-T12-06</t>
  </si>
  <si>
    <t xml:space="preserve">F13-T12-07</t>
  </si>
  <si>
    <t xml:space="preserve">F13-T12-08</t>
  </si>
  <si>
    <t xml:space="preserve">Reference does not state the cabin class for toiletry kits. Confirm whether EY receives them; if not, mark N/A with the confirmation as justification. Loaded at KUL on the inbound KUL-ADL flight: due = that flight's KUL departure (Flights AX) minus the uplift window.</t>
  </si>
  <si>
    <t xml:space="preserve">F13-T12-09</t>
  </si>
  <si>
    <t xml:space="preserve">STD UPLIFT INFORMATION.xlsx &gt; SEAT LINEN!I9</t>
  </si>
  <si>
    <t xml:space="preserve">Reference gives no uplift stn for this item: preparation checked at the meal uplift stn (ADL) - confirm with caterer.</t>
  </si>
  <si>
    <t xml:space="preserve">F13-T12-10</t>
  </si>
  <si>
    <t xml:space="preserve">Available 100% (ticked in reference); qty 280</t>
  </si>
  <si>
    <t xml:space="preserve">STD UPLIFT INFORMATION.xlsx &gt; SEAT LINEN!J9</t>
  </si>
  <si>
    <t xml:space="preserve">EY blanket: flight above 3 hours excl. Regional (SEAT LINEN!B74:C74); block 7.75 h. Qty 280 pcs (14 bundles) for A332/A333/A339 (SEAT LINEN!B75:C75). Reference gives no uplift stn for this item: preparation checked at the meal uplift stn (ADL) - confirm with caterer.</t>
  </si>
  <si>
    <t xml:space="preserve">F13-T12-11</t>
  </si>
  <si>
    <t xml:space="preserve">Block 7.75 h &gt;= 4 h. Reference names caterer PASB for the KUL/ADL/KUL sector but no uplift station: confirm whether the ADL-KUL sales cart is loaded at KUL (round trip) or at ADL. Reference gives no uplift stn for this item: preparation checked at the meal uplift stn (ADL) - confirm with caterer.</t>
  </si>
  <si>
    <t xml:space="preserve">F13-UPL-01</t>
  </si>
  <si>
    <t xml:space="preserve">F13-UPL-02</t>
  </si>
  <si>
    <t xml:space="preserve">F13-UPL-03</t>
  </si>
  <si>
    <t xml:space="preserve">KUL-sourced items physically loaded at KUL on the inbound KUL-ADL flight</t>
  </si>
  <si>
    <t xml:space="preserve">F13-UPL-04</t>
  </si>
  <si>
    <t xml:space="preserve">F13-UPL-05</t>
  </si>
  <si>
    <t xml:space="preserve">F13-UPL-06</t>
  </si>
  <si>
    <t xml:space="preserve">EY blanket: flight above 3 hours excl. Regional (SEAT LINEN!B74:C74); block 7.75 h. Qty 280 pcs (14 bundles) for A332/A333/A339 (SEAT LINEN!B75:C75).</t>
  </si>
  <si>
    <t xml:space="preserve">F13-UPL-07</t>
  </si>
  <si>
    <t xml:space="preserve">Block 7.75 h &gt;= 4 h. Reference names caterer PASB for the KUL/ADL/KUL sector but no uplift station: confirm whether the ADL-KUL sales cart is loaded at KUL (round trip) or at ADL.</t>
  </si>
  <si>
    <t xml:space="preserve">F14-T7-01</t>
  </si>
  <si>
    <t xml:space="preserve">F14-T7-02</t>
  </si>
  <si>
    <t xml:space="preserve">F14-T7-03</t>
  </si>
  <si>
    <t xml:space="preserve">F14-T7-04</t>
  </si>
  <si>
    <t xml:space="preserve">F14-T7-05</t>
  </si>
  <si>
    <t xml:space="preserve">F14-T7-06</t>
  </si>
  <si>
    <t xml:space="preserve">F14-T7-07</t>
  </si>
  <si>
    <t xml:space="preserve">F14-T7-08</t>
  </si>
  <si>
    <t xml:space="preserve">F14-T7-09</t>
  </si>
  <si>
    <t xml:space="preserve">F14-T24-01</t>
  </si>
  <si>
    <t xml:space="preserve">F14-T12-01</t>
  </si>
  <si>
    <t xml:space="preserve">F14-T12-02</t>
  </si>
  <si>
    <t xml:space="preserve">F14-T12-03</t>
  </si>
  <si>
    <t xml:space="preserve">F14-T12-04</t>
  </si>
  <si>
    <t xml:space="preserve">F14-T12-05</t>
  </si>
  <si>
    <t xml:space="preserve">F14-T12-06</t>
  </si>
  <si>
    <t xml:space="preserve">F14-T12-07</t>
  </si>
  <si>
    <t xml:space="preserve">F14-T12-08</t>
  </si>
  <si>
    <t xml:space="preserve">A350 row AMENITIES!C12 names LHR as the toiletry-kit uplift stn, but this leg departs KUL (general row C11: uplift stn H11 = KUL). Confirm where toiletry kits for this KUL-LHR EY leg are uplifted; if at LHR they travel on the inbound LHR-KUL sector and must be verified at KUL before this departure. The reference also does not state the cabin class for toiletry kits: confirm whether EY receives them.</t>
  </si>
  <si>
    <t xml:space="preserve">F14-T12-09</t>
  </si>
  <si>
    <t xml:space="preserve">F14-T12-10</t>
  </si>
  <si>
    <t xml:space="preserve">EY blanket: flight above 3 hours excl. Regional (SEAT LINEN!B74:C74); block 13.75 h. Qty per tail: A350 280 pcs (SEAT LINEN!B76:C76), A359 260 pcs (SEAT LINEN!B77:C77). Reference gives no uplift stn for this item: preparation checked at the meal uplift stn (KUL) - confirm with caterer.</t>
  </si>
  <si>
    <t xml:space="preserve">F14-UPL-01</t>
  </si>
  <si>
    <t xml:space="preserve">F14-UPL-02</t>
  </si>
  <si>
    <t xml:space="preserve">F14-UPL-03</t>
  </si>
  <si>
    <t xml:space="preserve">F14-UPL-04</t>
  </si>
  <si>
    <t xml:space="preserve">F14-UPL-05</t>
  </si>
  <si>
    <t xml:space="preserve">EY blanket: flight above 3 hours excl. Regional (SEAT LINEN!B74:C74); block 13.75 h. Qty per tail: A350 280 pcs (SEAT LINEN!B76:C76), A359 260 pcs (SEAT LINEN!B77:C77).</t>
  </si>
  <si>
    <t xml:space="preserve">F15-T7-01</t>
  </si>
  <si>
    <t xml:space="preserve">Clock change: LHR local time changes between this due time and departure, so the due time shows a different clock hour than STD (168 h before STD is still correct).</t>
  </si>
  <si>
    <t xml:space="preserve">F15-T7-02</t>
  </si>
  <si>
    <t xml:space="preserve">F15-T7-03</t>
  </si>
  <si>
    <t xml:space="preserve">F15-T7-04</t>
  </si>
  <si>
    <t xml:space="preserve">F15-T7-05</t>
  </si>
  <si>
    <t xml:space="preserve">F15-T7-06</t>
  </si>
  <si>
    <t xml:space="preserve">F15-T7-07</t>
  </si>
  <si>
    <t xml:space="preserve">F15-T7-08</t>
  </si>
  <si>
    <t xml:space="preserve">F15-T7-09</t>
  </si>
  <si>
    <t xml:space="preserve">F15-T24-01</t>
  </si>
  <si>
    <t xml:space="preserve">Clock change: LHR local time changes between this due time and departure, so the due time shows a different clock hour than STD (24 h before STD is still correct).</t>
  </si>
  <si>
    <t xml:space="preserve">F15-T12-01</t>
  </si>
  <si>
    <t xml:space="preserve">Preparation check at caterer - does NOT confirm loading. Clock change: LHR local time changes between this due time and departure, so the due time shows a different clock hour than STD (12 h before STD is still correct).</t>
  </si>
  <si>
    <t xml:space="preserve">F15-T12-02</t>
  </si>
  <si>
    <t xml:space="preserve">F15-T12-03</t>
  </si>
  <si>
    <t xml:space="preserve">F15-T12-04</t>
  </si>
  <si>
    <t xml:space="preserve">F15-T12-05</t>
  </si>
  <si>
    <t xml:space="preserve">F15-T12-06</t>
  </si>
  <si>
    <t xml:space="preserve">F15-T12-07</t>
  </si>
  <si>
    <t xml:space="preserve">F15-T12-08</t>
  </si>
  <si>
    <t xml:space="preserve">F15-T12-09</t>
  </si>
  <si>
    <t xml:space="preserve">F15-T12-10</t>
  </si>
  <si>
    <t xml:space="preserve">EY blanket: flight above 3 hours excl. Regional (SEAT LINEN!B74:C74); block 11.75 h. Qty per tail: A350 280 pcs (SEAT LINEN!B76:C76), A359 260 pcs (SEAT LINEN!B77:C77). Reference gives no uplift stn for this item: preparation checked at the meal uplift stn (LHR) - confirm with caterer.</t>
  </si>
  <si>
    <t xml:space="preserve">F15-UPL-01</t>
  </si>
  <si>
    <t xml:space="preserve">F15-UPL-02</t>
  </si>
  <si>
    <t xml:space="preserve">F15-UPL-03</t>
  </si>
  <si>
    <t xml:space="preserve">F15-UPL-04</t>
  </si>
  <si>
    <t xml:space="preserve">F15-UPL-05</t>
  </si>
  <si>
    <t xml:space="preserve">EY blanket: flight above 3 hours excl. Regional (SEAT LINEN!B74:C74); block 11.75 h. Qty per tail: A350 280 pcs (SEAT LINEN!B76:C76), A359 260 pcs (SEAT LINEN!B77:C77).</t>
  </si>
  <si>
    <t xml:space="preserve">F16-T7-01</t>
  </si>
  <si>
    <t xml:space="preserve">F16-T7-02</t>
  </si>
  <si>
    <t xml:space="preserve">F16-T7-03</t>
  </si>
  <si>
    <t xml:space="preserve">F16-T7-04</t>
  </si>
  <si>
    <t xml:space="preserve">F16-T7-05</t>
  </si>
  <si>
    <t xml:space="preserve">F16-T7-06</t>
  </si>
  <si>
    <t xml:space="preserve">F16-T7-07</t>
  </si>
  <si>
    <t xml:space="preserve">F16-T7-08</t>
  </si>
  <si>
    <t xml:space="preserve">F16-T7-09</t>
  </si>
  <si>
    <t xml:space="preserve">Service: 1 Meal + DAT(Noodles Svc) (Meal); meal uplift stn KUL (ref lists KUL/HKG)</t>
  </si>
  <si>
    <t xml:space="preserve">STD UPLIFT INFORMATION.xlsx &gt; CATERING UPLIFT STN!C34:G34</t>
  </si>
  <si>
    <t xml:space="preserve">F16-T24-01</t>
  </si>
  <si>
    <t xml:space="preserve">F16-T12-01</t>
  </si>
  <si>
    <t xml:space="preserve">F16-T12-02</t>
  </si>
  <si>
    <t xml:space="preserve">F16-T12-03</t>
  </si>
  <si>
    <t xml:space="preserve">F16-T12-04</t>
  </si>
  <si>
    <t xml:space="preserve">F16-T12-05</t>
  </si>
  <si>
    <t xml:space="preserve">F16-T12-06</t>
  </si>
  <si>
    <t xml:space="preserve">F16-T12-07</t>
  </si>
  <si>
    <t xml:space="preserve">F16-T12-08</t>
  </si>
  <si>
    <t xml:space="preserve">STD UPLIFT INFORMATION.xlsx &gt; SEAT LINEN!I30</t>
  </si>
  <si>
    <t xml:space="preserve">F16-T12-09</t>
  </si>
  <si>
    <t xml:space="preserve">STD UPLIFT INFORMATION.xlsx &gt; SEAT LINEN!J30</t>
  </si>
  <si>
    <t xml:space="preserve">EY blanket: flight above 3 hours excl. Regional (SEAT LINEN!B74:C74); block 4.08 h. Matrix shows a tick for this ORIENTAL sector but B74 excludes 'Regional sectors' without defining them - confirm whether this sector counts as Regional. Quantity for this aircraft not stated in reference. Reference gives no uplift stn for this item: preparation checked at the meal uplift stn (KUL) - confirm with caterer.</t>
  </si>
  <si>
    <t xml:space="preserve">F16-T12-10</t>
  </si>
  <si>
    <t xml:space="preserve">Sales cart (caterer MCAT) - prepared</t>
  </si>
  <si>
    <t xml:space="preserve">Location 210A (B7M8)</t>
  </si>
  <si>
    <t xml:space="preserve">STD UPLIFT INFORMATION.xlsx &gt; SALES CART!F21:F35 / C28 / M7:M37 / C40</t>
  </si>
  <si>
    <t xml:space="preserve">Block 4.08 h &gt;= 4 h (note SALES CART!C40). Reference gives no uplift stn for this item: preparation checked at the meal uplift stn (KUL) - confirm with caterer.</t>
  </si>
  <si>
    <t xml:space="preserve">F16-UPL-01</t>
  </si>
  <si>
    <t xml:space="preserve">F16-UPL-02</t>
  </si>
  <si>
    <t xml:space="preserve">F16-UPL-03</t>
  </si>
  <si>
    <t xml:space="preserve">F16-UPL-04</t>
  </si>
  <si>
    <t xml:space="preserve">EY blanket: flight above 3 hours excl. Regional (SEAT LINEN!B74:C74); block 4.08 h. Matrix shows a tick for this ORIENTAL sector but B74 excludes 'Regional sectors' without defining them - confirm whether this sector counts as Regional. Quantity for this aircraft not stated in reference.</t>
  </si>
  <si>
    <t xml:space="preserve">F16-UPL-05</t>
  </si>
  <si>
    <t xml:space="preserve">Sales cart (caterer MCAT) - on board</t>
  </si>
  <si>
    <t xml:space="preserve">Block 4.08 h &gt;= 4 h (note SALES CART!C40).</t>
  </si>
  <si>
    <t xml:space="preserve">F17-T7-01</t>
  </si>
  <si>
    <t xml:space="preserve">F17-T7-02</t>
  </si>
  <si>
    <t xml:space="preserve">F17-T7-03</t>
  </si>
  <si>
    <t xml:space="preserve">F17-T7-04</t>
  </si>
  <si>
    <t xml:space="preserve">F17-T7-05</t>
  </si>
  <si>
    <t xml:space="preserve">F17-T7-06</t>
  </si>
  <si>
    <t xml:space="preserve">F17-T7-07</t>
  </si>
  <si>
    <t xml:space="preserve">F17-T7-08</t>
  </si>
  <si>
    <t xml:space="preserve">F17-T7-09</t>
  </si>
  <si>
    <t xml:space="preserve">Service: 1 Meal + DAT(Noodles Svc) (Meal); meal uplift stn HKG (ref lists KUL/HKG)</t>
  </si>
  <si>
    <t xml:space="preserve">F17-T7-10</t>
  </si>
  <si>
    <t xml:space="preserve">Inbound KUL-HKG flight carrying KUL-sourced items identified and its KUL departure (UTC) entered on Flights col AX</t>
  </si>
  <si>
    <t xml:space="preserve">KUL-sourced items (Slippers (BS/BC) - Dispo slipper) travel on the inbound KUL-HKG sector</t>
  </si>
  <si>
    <t xml:space="preserve">Cannot be passed until Flights AX holds the carrying flight's KUL departure (agenda candidate MH0072 26-Oct (F16)). Until then the prep and KUL-loading dues assume the agenda candidate's KUL departure, or if none, the latest possible one (STD minus the shortest agenda KUL-HKG block).</t>
  </si>
  <si>
    <t xml:space="preserve">F17-T24-01</t>
  </si>
  <si>
    <t xml:space="preserve">F17-T12-01</t>
  </si>
  <si>
    <t xml:space="preserve">F17-T12-02</t>
  </si>
  <si>
    <t xml:space="preserve">F17-T12-03</t>
  </si>
  <si>
    <t xml:space="preserve">F17-T12-04</t>
  </si>
  <si>
    <t xml:space="preserve">F17-T12-05</t>
  </si>
  <si>
    <t xml:space="preserve">F17-T12-06</t>
  </si>
  <si>
    <t xml:space="preserve">F17-T12-07</t>
  </si>
  <si>
    <t xml:space="preserve">F17-T12-08</t>
  </si>
  <si>
    <t xml:space="preserve">Slippers (BS/BC) - Dispo slipper - prepared</t>
  </si>
  <si>
    <t xml:space="preserve">STD UPLIFT INFORMATION.xlsx &gt; AMENITIES!G39 / H39 / I39</t>
  </si>
  <si>
    <t xml:space="preserve">Loaded at KUL on the inbound KUL-HKG flight: due = that flight's KUL departure (Flights AX) minus the uplift window.</t>
  </si>
  <si>
    <t xml:space="preserve">F17-T12-09</t>
  </si>
  <si>
    <t xml:space="preserve">STD UPLIFT INFORMATION.xlsx &gt; F&amp;B LINEN!D31</t>
  </si>
  <si>
    <t xml:space="preserve">Reference gives no uplift stn for this item: preparation checked at the meal uplift stn (HKG) - confirm with caterer.</t>
  </si>
  <si>
    <t xml:space="preserve">F17-T12-10</t>
  </si>
  <si>
    <t xml:space="preserve">STD UPLIFT INFORMATION.xlsx &gt; F&amp;B LINEN!E31</t>
  </si>
  <si>
    <t xml:space="preserve">F17-T12-11</t>
  </si>
  <si>
    <t xml:space="preserve">STD UPLIFT INFORMATION.xlsx &gt; F&amp;B LINEN!F31</t>
  </si>
  <si>
    <t xml:space="preserve">F17-T12-12</t>
  </si>
  <si>
    <t xml:space="preserve">STD UPLIFT INFORMATION.xlsx &gt; F&amp;B LINEN!G31</t>
  </si>
  <si>
    <t xml:space="preserve">Reference contradicts itself: matrix shows a tick for this sector but note F&amp;B LINEN!B78:C78 says table cloth is 'Not Applicable for Domestic/Asean &amp; Regional' (ORIENTAL). Confirm before loading; if not carried, mark N/A with the confirmation as justification. Reference gives no uplift stn for this item: preparation checked at the meal uplift stn (HKG) - confirm with caterer.</t>
  </si>
  <si>
    <t xml:space="preserve">F17-T12-13</t>
  </si>
  <si>
    <t xml:space="preserve">STD UPLIFT INFORMATION.xlsx &gt; F&amp;B LINEN!H31</t>
  </si>
  <si>
    <t xml:space="preserve">F17-T12-14</t>
  </si>
  <si>
    <t xml:space="preserve">STD UPLIFT INFORMATION.xlsx &gt; F&amp;B LINEN!I31</t>
  </si>
  <si>
    <t xml:space="preserve">Per note F&amp;B LINEN!B79:C80. Reference gives no uplift stn for this item: preparation checked at the meal uplift stn (HKG) - confirm with caterer.</t>
  </si>
  <si>
    <t xml:space="preserve">F17-T12-15</t>
  </si>
  <si>
    <t xml:space="preserve">STD UPLIFT INFORMATION.xlsx &gt; F&amp;B LINEN!J31</t>
  </si>
  <si>
    <t xml:space="preserve">F17-T12-16</t>
  </si>
  <si>
    <t xml:space="preserve">STD UPLIFT INFORMATION.xlsx &gt; SEAT LINEN!E30</t>
  </si>
  <si>
    <t xml:space="preserve">F17-T12-17</t>
  </si>
  <si>
    <t xml:space="preserve">STD UPLIFT INFORMATION.xlsx &gt; SEAT LINEN!H30</t>
  </si>
  <si>
    <t xml:space="preserve">F17-T12-18</t>
  </si>
  <si>
    <t xml:space="preserve">Block 4.08 h &gt;= 4 h (note SALES CART!C40). Reference names caterer MCAT for the KUL/HKG/KUL sector but no uplift station: confirm whether the HKG-KUL sales cart is loaded at KUL (round trip) or at HKG. Reference gives no uplift stn for this item: preparation checked at the meal uplift stn (HKG) - confirm with caterer.</t>
  </si>
  <si>
    <t xml:space="preserve">F17-UPL-01</t>
  </si>
  <si>
    <t xml:space="preserve">F17-UPL-02</t>
  </si>
  <si>
    <t xml:space="preserve">F17-UPL-03</t>
  </si>
  <si>
    <t xml:space="preserve">KUL-sourced items physically loaded at KUL on the inbound KUL-HKG flight</t>
  </si>
  <si>
    <t xml:space="preserve">Items: Slippers (BS/BC) - Dispo slipper. Quantities as per Requirements</t>
  </si>
  <si>
    <t xml:space="preserve">F17-UPL-04</t>
  </si>
  <si>
    <t xml:space="preserve">Slippers (BS/BC) - Dispo slipper - on board</t>
  </si>
  <si>
    <t xml:space="preserve">F17-UPL-05</t>
  </si>
  <si>
    <t xml:space="preserve">F17-UPL-06</t>
  </si>
  <si>
    <t xml:space="preserve">F17-UPL-07</t>
  </si>
  <si>
    <t xml:space="preserve">F17-UPL-08</t>
  </si>
  <si>
    <t xml:space="preserve">Reference contradicts itself: matrix shows a tick for this sector but note F&amp;B LINEN!B78:C78 says table cloth is 'Not Applicable for Domestic/Asean &amp; Regional' (ORIENTAL). Confirm before loading; if not carried, mark N/A with the confirmation as justification.</t>
  </si>
  <si>
    <t xml:space="preserve">F17-UPL-09</t>
  </si>
  <si>
    <t xml:space="preserve">F17-UPL-10</t>
  </si>
  <si>
    <t xml:space="preserve">F17-UPL-11</t>
  </si>
  <si>
    <t xml:space="preserve">F17-UPL-12</t>
  </si>
  <si>
    <t xml:space="preserve">F17-UPL-13</t>
  </si>
  <si>
    <t xml:space="preserve">F17-UPL-14</t>
  </si>
  <si>
    <t xml:space="preserve">Block 4.08 h &gt;= 4 h (note SALES CART!C40). Reference names caterer MCAT for the KUL/HKG/KUL sector but no uplift station: confirm whether the HKG-KUL sales cart is loaded at KUL (round trip) or at HKG.</t>
  </si>
  <si>
    <t xml:space="preserve">F18-T7-01</t>
  </si>
  <si>
    <t xml:space="preserve">F18-T7-02</t>
  </si>
  <si>
    <t xml:space="preserve">F18-T7-03</t>
  </si>
  <si>
    <t xml:space="preserve">F18-T7-04</t>
  </si>
  <si>
    <t xml:space="preserve">F18-T7-05</t>
  </si>
  <si>
    <t xml:space="preserve">F18-T7-06</t>
  </si>
  <si>
    <t xml:space="preserve">F18-T7-07</t>
  </si>
  <si>
    <t xml:space="preserve">F18-T7-08</t>
  </si>
  <si>
    <t xml:space="preserve">F18-T7-09</t>
  </si>
  <si>
    <t xml:space="preserve">Service: 1.5 Meal (Meal); meal uplift stn KUL (ref lists KUL/KIX)</t>
  </si>
  <si>
    <t xml:space="preserve">STD UPLIFT INFORMATION.xlsx &gt; CATERING UPLIFT STN!C17:G17</t>
  </si>
  <si>
    <t xml:space="preserve">F18-T24-01</t>
  </si>
  <si>
    <t xml:space="preserve">F18-T12-01</t>
  </si>
  <si>
    <t xml:space="preserve">F18-T12-02</t>
  </si>
  <si>
    <t xml:space="preserve">F18-T12-03</t>
  </si>
  <si>
    <t xml:space="preserve">F18-T12-04</t>
  </si>
  <si>
    <t xml:space="preserve">F18-T12-05</t>
  </si>
  <si>
    <t xml:space="preserve">F18-T12-06</t>
  </si>
  <si>
    <t xml:space="preserve">F18-T12-07</t>
  </si>
  <si>
    <t xml:space="preserve">F18-T12-08</t>
  </si>
  <si>
    <t xml:space="preserve">STD UPLIFT INFORMATION.xlsx &gt; AMENITIES!G24 / H24</t>
  </si>
  <si>
    <t xml:space="preserve">F18-T12-09</t>
  </si>
  <si>
    <t xml:space="preserve">STD UPLIFT INFORMATION.xlsx &gt; F&amp;B LINEN!D15</t>
  </si>
  <si>
    <t xml:space="preserve">F18-T12-10</t>
  </si>
  <si>
    <t xml:space="preserve">STD UPLIFT INFORMATION.xlsx &gt; F&amp;B LINEN!E15</t>
  </si>
  <si>
    <t xml:space="preserve">F18-T12-11</t>
  </si>
  <si>
    <t xml:space="preserve">STD UPLIFT INFORMATION.xlsx &gt; F&amp;B LINEN!F15</t>
  </si>
  <si>
    <t xml:space="preserve">F18-T12-12</t>
  </si>
  <si>
    <t xml:space="preserve">STD UPLIFT INFORMATION.xlsx &gt; F&amp;B LINEN!G15</t>
  </si>
  <si>
    <t xml:space="preserve">F18-T12-13</t>
  </si>
  <si>
    <t xml:space="preserve">STD UPLIFT INFORMATION.xlsx &gt; F&amp;B LINEN!H15</t>
  </si>
  <si>
    <t xml:space="preserve">F18-T12-14</t>
  </si>
  <si>
    <t xml:space="preserve">STD UPLIFT INFORMATION.xlsx &gt; F&amp;B LINEN!I15</t>
  </si>
  <si>
    <t xml:space="preserve">F18-T12-15</t>
  </si>
  <si>
    <t xml:space="preserve">STD UPLIFT INFORMATION.xlsx &gt; F&amp;B LINEN!J15</t>
  </si>
  <si>
    <t xml:space="preserve">F18-T12-16</t>
  </si>
  <si>
    <t xml:space="preserve">STD UPLIFT INFORMATION.xlsx &gt; SEAT LINEN!E15</t>
  </si>
  <si>
    <t xml:space="preserve">F18-T12-17</t>
  </si>
  <si>
    <t xml:space="preserve">STD UPLIFT INFORMATION.xlsx &gt; SEAT LINEN!F15</t>
  </si>
  <si>
    <t xml:space="preserve">F18-T12-18</t>
  </si>
  <si>
    <t xml:space="preserve">STD UPLIFT INFORMATION.xlsx &gt; SEAT LINEN!G15</t>
  </si>
  <si>
    <t xml:space="preserve">F18-T12-19</t>
  </si>
  <si>
    <t xml:space="preserve">STD UPLIFT INFORMATION.xlsx &gt; Signature Drinks!F15 / G15 / D79</t>
  </si>
  <si>
    <t xml:space="preserve">F18-T12-20</t>
  </si>
  <si>
    <t xml:space="preserve">Location 643 &amp; 947 (A333, full cart)</t>
  </si>
  <si>
    <t xml:space="preserve">STD UPLIFT INFORMATION.xlsx &gt; SALES CART!I8:I37 / C12 / C40</t>
  </si>
  <si>
    <t xml:space="preserve">Block 6.50 h &gt;= 4 h. Reference gives no uplift stn for this item: preparation checked at the meal uplift stn (KUL) - confirm with caterer.</t>
  </si>
  <si>
    <t xml:space="preserve">F18-UPL-01</t>
  </si>
  <si>
    <t xml:space="preserve">F18-UPL-02</t>
  </si>
  <si>
    <t xml:space="preserve">F18-UPL-03</t>
  </si>
  <si>
    <t xml:space="preserve">F18-UPL-04</t>
  </si>
  <si>
    <t xml:space="preserve">F18-UPL-05</t>
  </si>
  <si>
    <t xml:space="preserve">F18-UPL-06</t>
  </si>
  <si>
    <t xml:space="preserve">F18-UPL-07</t>
  </si>
  <si>
    <t xml:space="preserve">F18-UPL-08</t>
  </si>
  <si>
    <t xml:space="preserve">F18-UPL-09</t>
  </si>
  <si>
    <t xml:space="preserve">F18-UPL-10</t>
  </si>
  <si>
    <t xml:space="preserve">F18-UPL-11</t>
  </si>
  <si>
    <t xml:space="preserve">F18-UPL-12</t>
  </si>
  <si>
    <t xml:space="preserve">F18-UPL-13</t>
  </si>
  <si>
    <t xml:space="preserve">F18-UPL-14</t>
  </si>
  <si>
    <t xml:space="preserve">F18-UPL-15</t>
  </si>
  <si>
    <t xml:space="preserve">Block 6.50 h &gt;= 4 h.</t>
  </si>
  <si>
    <t xml:space="preserve">F19-T7-01</t>
  </si>
  <si>
    <t xml:space="preserve">F19-T7-02</t>
  </si>
  <si>
    <t xml:space="preserve">F19-T7-03</t>
  </si>
  <si>
    <t xml:space="preserve">F19-T7-04</t>
  </si>
  <si>
    <t xml:space="preserve">F19-T7-05</t>
  </si>
  <si>
    <t xml:space="preserve">F19-T7-06</t>
  </si>
  <si>
    <t xml:space="preserve">F19-T7-07</t>
  </si>
  <si>
    <t xml:space="preserve">F19-T7-08</t>
  </si>
  <si>
    <t xml:space="preserve">F19-T7-09</t>
  </si>
  <si>
    <t xml:space="preserve">Service: 1.5 Meal (Meal); meal uplift stn KIX (ref lists KUL/KIX)</t>
  </si>
  <si>
    <t xml:space="preserve">F19-T24-01</t>
  </si>
  <si>
    <t xml:space="preserve">F19-T12-01</t>
  </si>
  <si>
    <t xml:space="preserve">F19-T12-02</t>
  </si>
  <si>
    <t xml:space="preserve">F19-T12-03</t>
  </si>
  <si>
    <t xml:space="preserve">F19-T12-04</t>
  </si>
  <si>
    <t xml:space="preserve">F19-T12-05</t>
  </si>
  <si>
    <t xml:space="preserve">F19-T12-06</t>
  </si>
  <si>
    <t xml:space="preserve">F19-T12-07</t>
  </si>
  <si>
    <t xml:space="preserve">F19-T12-08</t>
  </si>
  <si>
    <t xml:space="preserve">STD UPLIFT INFORMATION.xlsx &gt; SEAT LINEN!I15</t>
  </si>
  <si>
    <t xml:space="preserve">Reference gives no uplift stn for this item: preparation checked at the meal uplift stn (KIX) - confirm with caterer.</t>
  </si>
  <si>
    <t xml:space="preserve">F19-T12-09</t>
  </si>
  <si>
    <t xml:space="preserve">STD UPLIFT INFORMATION.xlsx &gt; SEAT LINEN!J15</t>
  </si>
  <si>
    <t xml:space="preserve">EY blanket: flight above 3 hours excl. Regional (SEAT LINEN!B74:C74); block 8.08 h. Qty 280 pcs (14 bundles) for A332/A333/A339 (SEAT LINEN!B75:C75). Reference gives no uplift stn for this item: preparation checked at the meal uplift stn (KIX) - confirm with caterer.</t>
  </si>
  <si>
    <t xml:space="preserve">F19-T12-10</t>
  </si>
  <si>
    <t xml:space="preserve">Block 8.08 h &gt;= 4 h. Reference names caterer PASB for the KUL/KIX/KUL sector but no uplift station: confirm whether the KIX-KUL sales cart is loaded at KUL (round trip) or at KIX. Reference gives no uplift stn for this item: preparation checked at the meal uplift stn (KIX) - confirm with caterer.</t>
  </si>
  <si>
    <t xml:space="preserve">F19-UPL-01</t>
  </si>
  <si>
    <t xml:space="preserve">F19-UPL-02</t>
  </si>
  <si>
    <t xml:space="preserve">F19-UPL-03</t>
  </si>
  <si>
    <t xml:space="preserve">F19-UPL-04</t>
  </si>
  <si>
    <t xml:space="preserve">EY blanket: flight above 3 hours excl. Regional (SEAT LINEN!B74:C74); block 8.08 h. Qty 280 pcs (14 bundles) for A332/A333/A339 (SEAT LINEN!B75:C75).</t>
  </si>
  <si>
    <t xml:space="preserve">F19-UPL-05</t>
  </si>
  <si>
    <t xml:space="preserve">Block 8.08 h &gt;= 4 h. Reference names caterer PASB for the KUL/KIX/KUL sector but no uplift station: confirm whether the KIX-KUL sales cart is loaded at KUL (round trip) or at KIX.</t>
  </si>
  <si>
    <t xml:space="preserve">F20-T7-01</t>
  </si>
  <si>
    <t xml:space="preserve">F20-T7-02</t>
  </si>
  <si>
    <t xml:space="preserve">F20-T7-03</t>
  </si>
  <si>
    <t xml:space="preserve">F20-T7-04</t>
  </si>
  <si>
    <t xml:space="preserve">F20-T7-05</t>
  </si>
  <si>
    <t xml:space="preserve">F20-T7-06</t>
  </si>
  <si>
    <t xml:space="preserve">F20-T7-07</t>
  </si>
  <si>
    <t xml:space="preserve">F20-T7-08</t>
  </si>
  <si>
    <t xml:space="preserve">F20-T7-09</t>
  </si>
  <si>
    <t xml:space="preserve">STD UPLIFT INFORMATION.xlsx &gt; CATERING UPLIFT STN!C70:G70</t>
  </si>
  <si>
    <t xml:space="preserve">F20-T24-01</t>
  </si>
  <si>
    <t xml:space="preserve">F20-T12-01</t>
  </si>
  <si>
    <t xml:space="preserve">F20-T12-02</t>
  </si>
  <si>
    <t xml:space="preserve">F20-T12-03</t>
  </si>
  <si>
    <t xml:space="preserve">F20-T12-04</t>
  </si>
  <si>
    <t xml:space="preserve">F20-T12-05</t>
  </si>
  <si>
    <t xml:space="preserve">F20-T12-06</t>
  </si>
  <si>
    <t xml:space="preserve">F20-T12-07</t>
  </si>
  <si>
    <t xml:space="preserve">F20-T12-08</t>
  </si>
  <si>
    <t xml:space="preserve">STD UPLIFT INFORMATION.xlsx &gt; SEAT LINEN!I64</t>
  </si>
  <si>
    <t xml:space="preserve">F20-UPL-01</t>
  </si>
  <si>
    <t xml:space="preserve">F20-UPL-02</t>
  </si>
  <si>
    <t xml:space="preserve">F20-UPL-03</t>
  </si>
  <si>
    <t xml:space="preserve">F21-T7-01</t>
  </si>
  <si>
    <t xml:space="preserve">F21-T7-02</t>
  </si>
  <si>
    <t xml:space="preserve">F21-T7-03</t>
  </si>
  <si>
    <t xml:space="preserve">F21-T7-04</t>
  </si>
  <si>
    <t xml:space="preserve">F21-T7-05</t>
  </si>
  <si>
    <t xml:space="preserve">F21-T7-06</t>
  </si>
  <si>
    <t xml:space="preserve">F21-T7-07</t>
  </si>
  <si>
    <t xml:space="preserve">F21-T7-08</t>
  </si>
  <si>
    <t xml:space="preserve">F21-T7-09</t>
  </si>
  <si>
    <t xml:space="preserve">F21-T7-10</t>
  </si>
  <si>
    <t xml:space="preserve">All catering for MH1437 LGK-KUL is uplifted at KUL (ref uplift stn KUL only)</t>
  </si>
  <si>
    <t xml:space="preserve">LGK does not cater. Agenda candidate: MH1450 (F20, KUL 1830 local) - confirm the aircraft rotation and enter the actual KUL departure in Flights AX (cannot be passed until entered). Until then, T-24H, T-12H prep and the KUL loading line assume the candidate's KUL departure.</t>
  </si>
  <si>
    <t xml:space="preserve">F21-T24-01</t>
  </si>
  <si>
    <t xml:space="preserve">F21-T12-01</t>
  </si>
  <si>
    <t xml:space="preserve">F21-T12-02</t>
  </si>
  <si>
    <t xml:space="preserve">F21-T12-03</t>
  </si>
  <si>
    <t xml:space="preserve">F21-T12-04</t>
  </si>
  <si>
    <t xml:space="preserve">F21-T12-05</t>
  </si>
  <si>
    <t xml:space="preserve">F21-T12-06</t>
  </si>
  <si>
    <t xml:space="preserve">F21-T12-07</t>
  </si>
  <si>
    <t xml:space="preserve">F21-T12-08</t>
  </si>
  <si>
    <t xml:space="preserve">STD UPLIFT INFORMATION.xlsx &gt; AMENITIES!G74 / C83</t>
  </si>
  <si>
    <t xml:space="preserve">Sector has no BC slippers; note C83: disposable slipper available in DAM cart (on request basis). Reference gives no uplift stn for this item: preparation checked at the meal uplift stn (KUL) - confirm with caterer. Round-trip catered from KUL: due capped at the KUL loading deadline (Flights AY).</t>
  </si>
  <si>
    <t xml:space="preserve">F21-T12-09</t>
  </si>
  <si>
    <t xml:space="preserve">STD UPLIFT INFORMATION.xlsx &gt; F&amp;B LINEN!D68</t>
  </si>
  <si>
    <t xml:space="preserve">F21-T12-10</t>
  </si>
  <si>
    <t xml:space="preserve">STD UPLIFT INFORMATION.xlsx &gt; F&amp;B LINEN!E68</t>
  </si>
  <si>
    <t xml:space="preserve">F21-T12-11</t>
  </si>
  <si>
    <t xml:space="preserve">STD UPLIFT INFORMATION.xlsx &gt; F&amp;B LINEN!F68</t>
  </si>
  <si>
    <t xml:space="preserve">F21-T12-12</t>
  </si>
  <si>
    <t xml:space="preserve">STD UPLIFT INFORMATION.xlsx &gt; F&amp;B LINEN!I68</t>
  </si>
  <si>
    <t xml:space="preserve">Per note F&amp;B LINEN!B79:C80. Reference gives no uplift stn for this item: preparation checked at the meal uplift stn (KUL) - confirm with caterer. Round-trip catered from KUL: due capped at the KUL loading deadline (Flights AY).</t>
  </si>
  <si>
    <t xml:space="preserve">F21-T12-13</t>
  </si>
  <si>
    <t xml:space="preserve">STD UPLIFT INFORMATION.xlsx &gt; F&amp;B LINEN!J68</t>
  </si>
  <si>
    <t xml:space="preserve">F21-T12-14</t>
  </si>
  <si>
    <t xml:space="preserve">STD UPLIFT INFORMATION.xlsx &gt; SEAT LINEN!E64</t>
  </si>
  <si>
    <t xml:space="preserve">F21-T12-15</t>
  </si>
  <si>
    <t xml:space="preserve">STD UPLIFT INFORMATION.xlsx &gt; SEAT LINEN!H64</t>
  </si>
  <si>
    <t xml:space="preserve">F21-UPL-01</t>
  </si>
  <si>
    <t xml:space="preserve">F21-UPL-02</t>
  </si>
  <si>
    <t xml:space="preserve">F21-UPL-03</t>
  </si>
  <si>
    <t xml:space="preserve">Return catering for MH1437 physically loaded at KUL on the carrying flight (meals, equipment and all items below)</t>
  </si>
  <si>
    <t xml:space="preserve">Items: meals / refreshment, equipment, Disposable slippers in DAM cart (BC, on request), Towel, Tray cloth, Napkin, Trolley cloth, Linen bag, Seat pillow (BS &amp; BC), Blanket (BS &amp; BC). Quantities as per menu checklist, GLD and Requirements</t>
  </si>
  <si>
    <t xml:space="preserve">F21-UPL-04</t>
  </si>
  <si>
    <t xml:space="preserve">F21-UPL-05</t>
  </si>
  <si>
    <t xml:space="preserve">F21-UPL-06</t>
  </si>
  <si>
    <t xml:space="preserve">F21-UPL-07</t>
  </si>
  <si>
    <t xml:space="preserve">F21-UPL-08</t>
  </si>
  <si>
    <t xml:space="preserve">F21-UPL-09</t>
  </si>
  <si>
    <t xml:space="preserve">F21-UPL-10</t>
  </si>
  <si>
    <t xml:space="preserve">F21-UPL-11</t>
  </si>
  <si>
    <t xml:space="preserve">F22-T7-01</t>
  </si>
  <si>
    <t xml:space="preserve">F22-T7-02</t>
  </si>
  <si>
    <t xml:space="preserve">F22-T7-03</t>
  </si>
  <si>
    <t xml:space="preserve">F22-T7-04</t>
  </si>
  <si>
    <t xml:space="preserve">F22-T7-05</t>
  </si>
  <si>
    <t xml:space="preserve">F22-T7-06</t>
  </si>
  <si>
    <t xml:space="preserve">F22-T7-07</t>
  </si>
  <si>
    <t xml:space="preserve">F22-T7-08</t>
  </si>
  <si>
    <t xml:space="preserve">F22-T7-09</t>
  </si>
  <si>
    <t xml:space="preserve">F22-T24-01</t>
  </si>
  <si>
    <t xml:space="preserve">F22-T12-01</t>
  </si>
  <si>
    <t xml:space="preserve">F22-T12-02</t>
  </si>
  <si>
    <t xml:space="preserve">F22-T12-03</t>
  </si>
  <si>
    <t xml:space="preserve">F22-T12-04</t>
  </si>
  <si>
    <t xml:space="preserve">F22-T12-05</t>
  </si>
  <si>
    <t xml:space="preserve">F22-T12-06</t>
  </si>
  <si>
    <t xml:space="preserve">F22-T12-07</t>
  </si>
  <si>
    <t xml:space="preserve">F22-T12-08</t>
  </si>
  <si>
    <t xml:space="preserve">F22-T12-09</t>
  </si>
  <si>
    <t xml:space="preserve">F22-T12-10</t>
  </si>
  <si>
    <t xml:space="preserve">F22-T12-11</t>
  </si>
  <si>
    <t xml:space="preserve">F22-T12-12</t>
  </si>
  <si>
    <t xml:space="preserve">F22-T12-13</t>
  </si>
  <si>
    <t xml:space="preserve">F22-T12-14</t>
  </si>
  <si>
    <t xml:space="preserve">F22-T12-15</t>
  </si>
  <si>
    <t xml:space="preserve">F22-T12-16</t>
  </si>
  <si>
    <t xml:space="preserve">F22-T12-17</t>
  </si>
  <si>
    <t xml:space="preserve">F22-T12-18</t>
  </si>
  <si>
    <t xml:space="preserve">F22-T12-19</t>
  </si>
  <si>
    <t xml:space="preserve">F22-T12-20</t>
  </si>
  <si>
    <t xml:space="preserve">F22-T12-21</t>
  </si>
  <si>
    <t xml:space="preserve">F22-UPL-01</t>
  </si>
  <si>
    <t xml:space="preserve">F22-UPL-02</t>
  </si>
  <si>
    <t xml:space="preserve">F22-UPL-03</t>
  </si>
  <si>
    <t xml:space="preserve">F22-UPL-04</t>
  </si>
  <si>
    <t xml:space="preserve">F22-UPL-05</t>
  </si>
  <si>
    <t xml:space="preserve">F22-UPL-06</t>
  </si>
  <si>
    <t xml:space="preserve">F22-UPL-07</t>
  </si>
  <si>
    <t xml:space="preserve">F22-UPL-08</t>
  </si>
  <si>
    <t xml:space="preserve">F22-UPL-09</t>
  </si>
  <si>
    <t xml:space="preserve">F22-UPL-10</t>
  </si>
  <si>
    <t xml:space="preserve">F22-UPL-11</t>
  </si>
  <si>
    <t xml:space="preserve">F22-UPL-12</t>
  </si>
  <si>
    <t xml:space="preserve">F22-UPL-13</t>
  </si>
  <si>
    <t xml:space="preserve">F22-UPL-14</t>
  </si>
  <si>
    <t xml:space="preserve">F22-UPL-15</t>
  </si>
  <si>
    <t xml:space="preserve">F22-UPL-16</t>
  </si>
  <si>
    <t xml:space="preserve">PIC reference documents: galley loading diagrams (GLD) and menu checklists. No GLD or menu checklist was supplied with the brief: every row starts OUTSTANDING. A row is ON FILE only with a real doc no, revision, a revision date between 2020 and the flight date, and an attachment location. Enter doc no, revision, revision date and attachment location/link (or embed on the flight's P-sheet) to clear it.</t>
  </si>
  <si>
    <t xml:space="preserve">GLD doc no</t>
  </si>
  <si>
    <t xml:space="preserve">GLD revision</t>
  </si>
  <si>
    <t xml:space="preserve">GLD rev date</t>
  </si>
  <si>
    <t xml:space="preserve">GLD attachment (link / location)</t>
  </si>
  <si>
    <t xml:space="preserve">GLD status</t>
  </si>
  <si>
    <t xml:space="preserve">Menu checklist doc no</t>
  </si>
  <si>
    <t xml:space="preserve">Menu checklist revision</t>
  </si>
  <si>
    <t xml:space="preserve">Menu checklist rev date</t>
  </si>
  <si>
    <t xml:space="preserve">Menu checklist attachment (link / location)</t>
  </si>
  <si>
    <t xml:space="preserve">Menu checklist status</t>
  </si>
  <si>
    <t xml:space="preserve">Outstanding</t>
  </si>
  <si>
    <t xml:space="preserve">Notes</t>
  </si>
  <si>
    <t xml:space="preserve">Not supplied with brief – obtain from caterer / MAGCS.</t>
  </si>
  <si>
    <t xml:space="preserve">Not supplied with brief – obtain from caterer / MAGCS. Return catering loaded at KUL: GLD must show return-leg stowage.</t>
  </si>
  <si>
    <t xml:space="preserve">ISOP revision register</t>
  </si>
  <si>
    <t xml:space="preserve">Record every applicable In-flight Service Operating Procedure revision communicated to caterers. The T-7D ISOP checks on each flight should quote the revision numbers listed here.</t>
  </si>
  <si>
    <t xml:space="preserve">ISOP doc / section</t>
  </si>
  <si>
    <t xml:space="preserve">Revision</t>
  </si>
  <si>
    <t xml:space="preserve">Effective date</t>
  </si>
  <si>
    <t xml:space="preserve">Title / change summary</t>
  </si>
  <si>
    <t xml:space="preserve">Applies to stations</t>
  </si>
  <si>
    <t xml:space="preserve">Communicated on</t>
  </si>
  <si>
    <t xml:space="preserve">Communicated by</t>
  </si>
  <si>
    <t xml:space="preserve">Caterer acknowledgement ref</t>
  </si>
  <si>
    <t xml:space="preserve">Requirements</t>
  </si>
  <si>
    <t xml:space="preserve">Uplift requirements by flight, derived from STD UPLIFT INFORMATION.xlsx. Applied by sector, aircraft, assessed cabin class and uplift station. 'Not stated in reference' = the reference gives no uplift station for that item. Clarification rows block READY until resolved (Pass or justified N/A).</t>
  </si>
  <si>
    <t xml:space="preserve">Item</t>
  </si>
  <si>
    <t xml:space="preserve">Expected</t>
  </si>
  <si>
    <t xml:space="preserve">Qty</t>
  </si>
  <si>
    <t xml:space="preserve">Uplift stn</t>
  </si>
  <si>
    <t xml:space="preserve">Note / open question</t>
  </si>
  <si>
    <t xml:space="preserve">Source cell</t>
  </si>
  <si>
    <t xml:space="preserve">LHR-KUL</t>
  </si>
  <si>
    <t xml:space="preserve">Toiletry kits</t>
  </si>
  <si>
    <t xml:space="preserve">Seat pillow (EY)</t>
  </si>
  <si>
    <t xml:space="preserve">Blanket (EY)</t>
  </si>
  <si>
    <t xml:space="preserve">280 (A350 9M-MAH) / 260 (A359) - per tail</t>
  </si>
  <si>
    <t xml:space="preserve">KUL-CGK</t>
  </si>
  <si>
    <t xml:space="preserve">Disposable slippers in DAM cart (BC, on request)</t>
  </si>
  <si>
    <t xml:space="preserve">Towel</t>
  </si>
  <si>
    <t xml:space="preserve">Tray cloth</t>
  </si>
  <si>
    <t xml:space="preserve">Napkin</t>
  </si>
  <si>
    <t xml:space="preserve">Table cloth</t>
  </si>
  <si>
    <t xml:space="preserve">Bread linen (using table cloth)</t>
  </si>
  <si>
    <t xml:space="preserve">Trolley cloth</t>
  </si>
  <si>
    <t xml:space="preserve">Linen bag</t>
  </si>
  <si>
    <t xml:space="preserve">Seat pillow (BS &amp; BC)</t>
  </si>
  <si>
    <t xml:space="preserve">Blanket (BS &amp; BC)</t>
  </si>
  <si>
    <t xml:space="preserve">CGK-KUL</t>
  </si>
  <si>
    <t xml:space="preserve">KUL-NRT</t>
  </si>
  <si>
    <t xml:space="preserve">Slippers (BS/BC)</t>
  </si>
  <si>
    <t xml:space="preserve">Duvet (BS &amp; BC)</t>
  </si>
  <si>
    <t xml:space="preserve">Mattress (BS &amp; BC)</t>
  </si>
  <si>
    <t xml:space="preserve">Signature drink &amp; garnish (BC)</t>
  </si>
  <si>
    <t xml:space="preserve">Sales cart (caterer PASB)</t>
  </si>
  <si>
    <t xml:space="preserve">NRT-KUL</t>
  </si>
  <si>
    <t xml:space="preserve">KUL-LHR</t>
  </si>
  <si>
    <t xml:space="preserve">Pajamas (BC)</t>
  </si>
  <si>
    <t xml:space="preserve">KUL-HAN</t>
  </si>
  <si>
    <t xml:space="preserve">HAN-KUL</t>
  </si>
  <si>
    <t xml:space="preserve">KUL-PEN</t>
  </si>
  <si>
    <t xml:space="preserve">PEN-KUL</t>
  </si>
  <si>
    <t xml:space="preserve">KUL-ADL</t>
  </si>
  <si>
    <t xml:space="preserve">ADL-KUL</t>
  </si>
  <si>
    <t xml:space="preserve">280</t>
  </si>
  <si>
    <t xml:space="preserve">KUL-HKG</t>
  </si>
  <si>
    <t xml:space="preserve">Sales cart (caterer MCAT)</t>
  </si>
  <si>
    <t xml:space="preserve">HKG-KUL</t>
  </si>
  <si>
    <t xml:space="preserve">Slippers (BS/BC) - Dispo slipper</t>
  </si>
  <si>
    <t xml:space="preserve">KUL-KIX</t>
  </si>
  <si>
    <t xml:space="preserve">KIX-KUL</t>
  </si>
  <si>
    <t xml:space="preserve">KUL-LGK</t>
  </si>
  <si>
    <t xml:space="preserve">LGK-KUL</t>
  </si>
  <si>
    <t xml:space="preserve">Items the reference marks NOT provided (X / blank) for each flight – listed for traceability, no check line created</t>
  </si>
  <si>
    <t xml:space="preserve">No sales cart location on LHR sector (A359 'not applicable for LHR'; 9M-MAH '-')</t>
  </si>
  <si>
    <t xml:space="preserve">STD UPLIFT INFORMATION.xlsx &gt; SALES CART!K7:K14 / L7</t>
  </si>
  <si>
    <t xml:space="preserve">STD UPLIFT INFORMATION.xlsx &gt; AMENITIES!D52</t>
  </si>
  <si>
    <t xml:space="preserve">Pajamas (BC red-eye)</t>
  </si>
  <si>
    <t xml:space="preserve">STD UPLIFT INFORMATION.xlsx &gt; AMENITIES!F52</t>
  </si>
  <si>
    <t xml:space="preserve">STD UPLIFT INFORMATION.xlsx &gt; AMENITIES!G52</t>
  </si>
  <si>
    <t xml:space="preserve">Signature drink (BCL)</t>
  </si>
  <si>
    <t xml:space="preserve">STD UPLIFT INFORMATION.xlsx &gt; Signature Drinks!F47</t>
  </si>
  <si>
    <t xml:space="preserve">Duvet</t>
  </si>
  <si>
    <t xml:space="preserve">STD UPLIFT INFORMATION.xlsx &gt; SEAT LINEN!F42 (blank)</t>
  </si>
  <si>
    <t xml:space="preserve">Mattress</t>
  </si>
  <si>
    <t xml:space="preserve">STD UPLIFT INFORMATION.xlsx &gt; SEAT LINEN!G42 (blank)</t>
  </si>
  <si>
    <t xml:space="preserve">Sector not listed</t>
  </si>
  <si>
    <t xml:space="preserve">STD UPLIFT INFORMATION.xlsx &gt; SALES CART!D7:D37</t>
  </si>
  <si>
    <t xml:space="preserve">STD UPLIFT INFORMATION.xlsx &gt; SEAT LINEN!J36:J69 (blank)</t>
  </si>
  <si>
    <t xml:space="preserve">STD UPLIFT INFORMATION.xlsx &gt; AMENITIES!F23</t>
  </si>
  <si>
    <t xml:space="preserve">Blanket</t>
  </si>
  <si>
    <t xml:space="preserve">STD UPLIFT INFORMATION.xlsx &gt; SEAT LINEN!H14 (blank)</t>
  </si>
  <si>
    <t xml:space="preserve">STD UPLIFT INFORMATION.xlsx &gt; SEAT LINEN!H7 (blank)</t>
  </si>
  <si>
    <t xml:space="preserve">STD UPLIFT INFORMATION.xlsx &gt; AMENITIES!D56</t>
  </si>
  <si>
    <t xml:space="preserve">STD UPLIFT INFORMATION.xlsx &gt; AMENITIES!F56</t>
  </si>
  <si>
    <t xml:space="preserve">STD UPLIFT INFORMATION.xlsx &gt; AMENITIES!G56</t>
  </si>
  <si>
    <t xml:space="preserve">STD UPLIFT INFORMATION.xlsx &gt; Signature Drinks!F51</t>
  </si>
  <si>
    <t xml:space="preserve">STD UPLIFT INFORMATION.xlsx &gt; SEAT LINEN!F46 (blank)</t>
  </si>
  <si>
    <t xml:space="preserve">STD UPLIFT INFORMATION.xlsx &gt; SEAT LINEN!G46 (blank)</t>
  </si>
  <si>
    <t xml:space="preserve">STD UPLIFT INFORMATION.xlsx &gt; AMENITIES!D72</t>
  </si>
  <si>
    <t xml:space="preserve">STD UPLIFT INFORMATION.xlsx &gt; AMENITIES!F72</t>
  </si>
  <si>
    <t xml:space="preserve">STD UPLIFT INFORMATION.xlsx &gt; AMENITIES!G72</t>
  </si>
  <si>
    <t xml:space="preserve">STD UPLIFT INFORMATION.xlsx &gt; F&amp;B LINEN!G66</t>
  </si>
  <si>
    <t xml:space="preserve">Bread linen</t>
  </si>
  <si>
    <t xml:space="preserve">STD UPLIFT INFORMATION.xlsx &gt; F&amp;B LINEN!H66</t>
  </si>
  <si>
    <t xml:space="preserve">STD UPLIFT INFORMATION.xlsx &gt; Signature Drinks!F67</t>
  </si>
  <si>
    <t xml:space="preserve">STD UPLIFT INFORMATION.xlsx &gt; SEAT LINEN!F62 (blank)</t>
  </si>
  <si>
    <t xml:space="preserve">STD UPLIFT INFORMATION.xlsx &gt; SEAT LINEN!G62 (blank)</t>
  </si>
  <si>
    <t xml:space="preserve">STD UPLIFT INFORMATION.xlsx &gt; AMENITIES!F18</t>
  </si>
  <si>
    <t xml:space="preserve">STD UPLIFT INFORMATION.xlsx &gt; SEAT LINEN!H9 (blank)</t>
  </si>
  <si>
    <t xml:space="preserve">STD UPLIFT INFORMATION.xlsx &gt; AMENITIES!D39</t>
  </si>
  <si>
    <t xml:space="preserve">STD UPLIFT INFORMATION.xlsx &gt; AMENITIES!F39</t>
  </si>
  <si>
    <t xml:space="preserve">STD UPLIFT INFORMATION.xlsx &gt; Signature Drinks!F34</t>
  </si>
  <si>
    <t xml:space="preserve">STD UPLIFT INFORMATION.xlsx &gt; SEAT LINEN!F30 (blank)</t>
  </si>
  <si>
    <t xml:space="preserve">STD UPLIFT INFORMATION.xlsx &gt; SEAT LINEN!G30 (blank)</t>
  </si>
  <si>
    <t xml:space="preserve">STD UPLIFT INFORMATION.xlsx &gt; AMENITIES!D24</t>
  </si>
  <si>
    <t xml:space="preserve">STD UPLIFT INFORMATION.xlsx &gt; AMENITIES!F24</t>
  </si>
  <si>
    <t xml:space="preserve">STD UPLIFT INFORMATION.xlsx &gt; SEAT LINEN!H15 (blank)</t>
  </si>
  <si>
    <t xml:space="preserve">STD UPLIFT INFORMATION.xlsx &gt; AMENITIES!D74</t>
  </si>
  <si>
    <t xml:space="preserve">STD UPLIFT INFORMATION.xlsx &gt; AMENITIES!F74</t>
  </si>
  <si>
    <t xml:space="preserve">STD UPLIFT INFORMATION.xlsx &gt; AMENITIES!G74</t>
  </si>
  <si>
    <t xml:space="preserve">STD UPLIFT INFORMATION.xlsx &gt; F&amp;B LINEN!G68</t>
  </si>
  <si>
    <t xml:space="preserve">STD UPLIFT INFORMATION.xlsx &gt; F&amp;B LINEN!H68</t>
  </si>
  <si>
    <t xml:space="preserve">STD UPLIFT INFORMATION.xlsx &gt; Signature Drinks!F69</t>
  </si>
  <si>
    <t xml:space="preserve">STD UPLIFT INFORMATION.xlsx &gt; SEAT LINEN!F64 (blank)</t>
  </si>
  <si>
    <t xml:space="preserve">STD UPLIFT INFORMATION.xlsx &gt; SEAT LINEN!G64 (blank)</t>
  </si>
  <si>
    <t xml:space="preserve">Settings &amp; reference tables</t>
  </si>
  <si>
    <t xml:space="preserve">Yellow cells are editable. Everything else is referenced by formulas.</t>
  </si>
  <si>
    <t xml:space="preserve">Status list</t>
  </si>
  <si>
    <t xml:space="preserve">CA status list</t>
  </si>
  <si>
    <t xml:space="preserve">Placeholder words rejected (compared after removing spaces &amp; punctuation, any case)</t>
  </si>
  <si>
    <t xml:space="preserve">Evidence phrases that point elsewhere instead of to a record</t>
  </si>
  <si>
    <t xml:space="preserve">Result words that cannot be a plain Pass (whole words)</t>
  </si>
  <si>
    <t xml:space="preserve">…cancelled when negated / zero-counted (per word)</t>
  </si>
  <si>
    <t xml:space="preserve">'Still pending' phrases – result, evidence, batch, N/A justification, attachments</t>
  </si>
  <si>
    <t xml:space="preserve">…cancelled when negated (per occurrence)</t>
  </si>
  <si>
    <t xml:space="preserve">Strict 'not on file yet' words – evidence, N/A justification, attachments</t>
  </si>
  <si>
    <t xml:space="preserve">…also cancelled on Preparation rows only (prep-stage wording)</t>
  </si>
  <si>
    <t xml:space="preserve">Blocks an on-board (physical uplift) confirmation</t>
  </si>
  <si>
    <t xml:space="preserve">…cancelled when negated</t>
  </si>
  <si>
    <t xml:space="preserve">Evidence types (Checks column S)</t>
  </si>
  <si>
    <t xml:space="preserve">Role / title words – not a person's name (PIC, verifier)</t>
  </si>
  <si>
    <t xml:space="preserve">N/A justification filler – the reason must say more than these</t>
  </si>
  <si>
    <t xml:space="preserve">As-of override (UTC). Leave blank for the live clock; enter a UTC date-time to review the workbook as at that moment.</t>
  </si>
  <si>
    <t xml:space="preserve">Not started</t>
  </si>
  <si>
    <t xml:space="preserve">na</t>
  </si>
  <si>
    <t xml:space="preserve">as above</t>
  </si>
  <si>
    <t xml:space="preserve">reject</t>
  </si>
  <si>
    <t xml:space="preserve">0 below standard</t>
  </si>
  <si>
    <t xml:space="preserve">tbc</t>
  </si>
  <si>
    <t xml:space="preserve">awaiting boarding</t>
  </si>
  <si>
    <t xml:space="preserve">awaiting aircraft</t>
  </si>
  <si>
    <t xml:space="preserve">not loaded</t>
  </si>
  <si>
    <t xml:space="preserve">0 left behind</t>
  </si>
  <si>
    <t xml:space="preserve">Form / checklist</t>
  </si>
  <si>
    <t xml:space="preserve">qa</t>
  </si>
  <si>
    <t xml:space="preserve">not</t>
  </si>
  <si>
    <t xml:space="preserve">This PC's clock offset from UTC (hours). 8 = Malaysia (MYT). Used to convert NOW() to UTC.</t>
  </si>
  <si>
    <t xml:space="preserve">In progress</t>
  </si>
  <si>
    <t xml:space="preserve">Closed</t>
  </si>
  <si>
    <t xml:space="preserve">see above</t>
  </si>
  <si>
    <t xml:space="preserve">rejected</t>
  </si>
  <si>
    <t xml:space="preserve">0 broken</t>
  </si>
  <si>
    <t xml:space="preserve">tbd</t>
  </si>
  <si>
    <t xml:space="preserve">awaiting passengers</t>
  </si>
  <si>
    <t xml:space="preserve">not on board</t>
  </si>
  <si>
    <t xml:space="preserve">0 not delivered</t>
  </si>
  <si>
    <t xml:space="preserve">Sensory panel sheet</t>
  </si>
  <si>
    <t xml:space="preserve">qc</t>
  </si>
  <si>
    <t xml:space="preserve">applicable</t>
  </si>
  <si>
    <t xml:space="preserve">Effective as-of time (UTC) used for all overdue tests</t>
  </si>
  <si>
    <t xml:space="preserve">← as-of in MYT</t>
  </si>
  <si>
    <t xml:space="preserve">Pass</t>
  </si>
  <si>
    <t xml:space="preserve">tba</t>
  </si>
  <si>
    <t xml:space="preserve">ditto</t>
  </si>
  <si>
    <t xml:space="preserve">rejects</t>
  </si>
  <si>
    <t xml:space="preserve">0 contaminated</t>
  </si>
  <si>
    <t xml:space="preserve">awaiting pax</t>
  </si>
  <si>
    <t xml:space="preserve">awaiting collection</t>
  </si>
  <si>
    <t xml:space="preserve">not onboard</t>
  </si>
  <si>
    <t xml:space="preserve">0 not loaded</t>
  </si>
  <si>
    <t xml:space="preserve">Load / uplift sheet</t>
  </si>
  <si>
    <t xml:space="preserve">qaqc</t>
  </si>
  <si>
    <t xml:space="preserve">applies</t>
  </si>
  <si>
    <t xml:space="preserve">Physical-uplift window: on-board confirmation is valid only within this many hours before STD, and not before a carrying flight could have arrived (assumption – adjust to station loading practice; max 10)</t>
  </si>
  <si>
    <t xml:space="preserve">← value in use (limited to 1–10)</t>
  </si>
  <si>
    <t xml:space="preserve">Pass after CA</t>
  </si>
  <si>
    <t xml:space="preserve">verbal</t>
  </si>
  <si>
    <t xml:space="preserve">fail</t>
  </si>
  <si>
    <t xml:space="preserve">0 damaged</t>
  </si>
  <si>
    <t xml:space="preserve">pending</t>
  </si>
  <si>
    <t xml:space="preserve">awaiting pax boarding</t>
  </si>
  <si>
    <t xml:space="preserve">awaiting delivery</t>
  </si>
  <si>
    <t xml:space="preserve">not uplifted</t>
  </si>
  <si>
    <t xml:space="preserve">0 not on board</t>
  </si>
  <si>
    <t xml:space="preserve">Photo</t>
  </si>
  <si>
    <t xml:space="preserve">csm</t>
  </si>
  <si>
    <t xml:space="preserve">apply</t>
  </si>
  <si>
    <t xml:space="preserve">T-24H sensory test: earliest valid completion, hours before its due time (assumption – production batch must exist)</t>
  </si>
  <si>
    <t xml:space="preserve">← value in use (limited to 1–72)</t>
  </si>
  <si>
    <t xml:space="preserve">Fail</t>
  </si>
  <si>
    <t xml:space="preserve">tbconfirmed</t>
  </si>
  <si>
    <t xml:space="preserve">verbally</t>
  </si>
  <si>
    <t xml:space="preserve">failed</t>
  </si>
  <si>
    <t xml:space="preserve">0 defect</t>
  </si>
  <si>
    <t xml:space="preserve">awaiting</t>
  </si>
  <si>
    <t xml:space="preserve">nil awaiting</t>
  </si>
  <si>
    <t xml:space="preserve">awaiting dispatch</t>
  </si>
  <si>
    <t xml:space="preserve">not yet loaded</t>
  </si>
  <si>
    <t xml:space="preserve">0 not uplifted</t>
  </si>
  <si>
    <t xml:space="preserve">Email</t>
  </si>
  <si>
    <t xml:space="preserve">cic</t>
  </si>
  <si>
    <t xml:space="preserve">for</t>
  </si>
  <si>
    <t xml:space="preserve">T-12H preparation check: earliest valid completion, hours before its due time (assumption)</t>
  </si>
  <si>
    <t xml:space="preserve">← value in use (limited to 1–48)</t>
  </si>
  <si>
    <t xml:space="preserve">tobeconfirmed</t>
  </si>
  <si>
    <t xml:space="preserve">refer above</t>
  </si>
  <si>
    <t xml:space="preserve">fails</t>
  </si>
  <si>
    <t xml:space="preserve">0 defective</t>
  </si>
  <si>
    <t xml:space="preserve">waiting</t>
  </si>
  <si>
    <t xml:space="preserve">nil pending</t>
  </si>
  <si>
    <t xml:space="preserve">awaiting loading</t>
  </si>
  <si>
    <t xml:space="preserve">not yet uplifted</t>
  </si>
  <si>
    <t xml:space="preserve">0 off loaded</t>
  </si>
  <si>
    <t xml:space="preserve">Seal no.</t>
  </si>
  <si>
    <t xml:space="preserve">ccic</t>
  </si>
  <si>
    <t xml:space="preserve">this</t>
  </si>
  <si>
    <t xml:space="preserve">T-7D checks: earliest valid completion, days before the T-7D due time (assumption – older evidence is stale)</t>
  </si>
  <si>
    <t xml:space="preserve">← value in use (limited to 1–60)</t>
  </si>
  <si>
    <t xml:space="preserve">tobeadvised</t>
  </si>
  <si>
    <t xml:space="preserve">same as above</t>
  </si>
  <si>
    <t xml:space="preserve">failure</t>
  </si>
  <si>
    <t xml:space="preserve">0 defects</t>
  </si>
  <si>
    <t xml:space="preserve">to follow</t>
  </si>
  <si>
    <t xml:space="preserve">nil tba</t>
  </si>
  <si>
    <t xml:space="preserve">awaiting pick up</t>
  </si>
  <si>
    <t xml:space="preserve">not yet on board</t>
  </si>
  <si>
    <t xml:space="preserve">0 offloaded</t>
  </si>
  <si>
    <t xml:space="preserve">Delivery note / receipt</t>
  </si>
  <si>
    <t xml:space="preserve">ops</t>
  </si>
  <si>
    <t xml:space="preserve">that</t>
  </si>
  <si>
    <t xml:space="preserve">Station time zones (IANA tz database rules; DST windows cover the Oct-2026 programme)</t>
  </si>
  <si>
    <t xml:space="preserve">by phone</t>
  </si>
  <si>
    <t xml:space="preserve">not ok</t>
  </si>
  <si>
    <t xml:space="preserve">0 dirty</t>
  </si>
  <si>
    <t xml:space="preserve">will follow</t>
  </si>
  <si>
    <t xml:space="preserve">nil tbc</t>
  </si>
  <si>
    <t xml:space="preserve">awaiting pickup</t>
  </si>
  <si>
    <t xml:space="preserve">yet to be loaded</t>
  </si>
  <si>
    <t xml:space="preserve">left behind 0</t>
  </si>
  <si>
    <t xml:space="preserve">Memo / letter</t>
  </si>
  <si>
    <t xml:space="preserve">pic</t>
  </si>
  <si>
    <t xml:space="preserve">the</t>
  </si>
  <si>
    <t xml:space="preserve">Station</t>
  </si>
  <si>
    <t xml:space="preserve">IANA zone</t>
  </si>
  <si>
    <t xml:space="preserve">Std offset (h)</t>
  </si>
  <si>
    <t xml:space="preserve">DST offset (h)</t>
  </si>
  <si>
    <t xml:space="preserve">DST start (UTC)</t>
  </si>
  <si>
    <t xml:space="preserve">DST end (UTC)</t>
  </si>
  <si>
    <t xml:space="preserve">phone call</t>
  </si>
  <si>
    <t xml:space="preserve">nok</t>
  </si>
  <si>
    <t xml:space="preserve">0 discrepancies</t>
  </si>
  <si>
    <t xml:space="preserve">to be confirmed</t>
  </si>
  <si>
    <t xml:space="preserve">nil tbd</t>
  </si>
  <si>
    <t xml:space="preserve">awaiting transport</t>
  </si>
  <si>
    <t xml:space="preserve">yet to be uplifted</t>
  </si>
  <si>
    <t xml:space="preserve">left behind nil</t>
  </si>
  <si>
    <t xml:space="preserve">Document (GLD / menu / ISOP)</t>
  </si>
  <si>
    <t xml:space="preserve">self</t>
  </si>
  <si>
    <t xml:space="preserve">flight</t>
  </si>
  <si>
    <t xml:space="preserve">Asia/Kuala_Lumpur</t>
  </si>
  <si>
    <t xml:space="preserve">none</t>
  </si>
  <si>
    <t xml:space="preserve">on the phone</t>
  </si>
  <si>
    <t xml:space="preserve">unsatisfactory</t>
  </si>
  <si>
    <t xml:space="preserve">0 discrepancy</t>
  </si>
  <si>
    <t xml:space="preserve">to be advised</t>
  </si>
  <si>
    <t xml:space="preserve">nil waiting</t>
  </si>
  <si>
    <t xml:space="preserve">awaiting truck</t>
  </si>
  <si>
    <t xml:space="preserve">left behind none</t>
  </si>
  <si>
    <t xml:space="preserve">System record</t>
  </si>
  <si>
    <t xml:space="preserve">team</t>
  </si>
  <si>
    <t xml:space="preserve">flights</t>
  </si>
  <si>
    <t xml:space="preserve">nil</t>
  </si>
  <si>
    <t xml:space="preserve">over the phone</t>
  </si>
  <si>
    <t xml:space="preserve">not acceptable</t>
  </si>
  <si>
    <t xml:space="preserve">0 does not match</t>
  </si>
  <si>
    <t xml:space="preserve">not yet</t>
  </si>
  <si>
    <t xml:space="preserve">no action awaiting</t>
  </si>
  <si>
    <t xml:space="preserve">awaiting uplift</t>
  </si>
  <si>
    <t xml:space="preserve">nil left behind</t>
  </si>
  <si>
    <t xml:space="preserve">Link / file path</t>
  </si>
  <si>
    <t xml:space="preserve">staff</t>
  </si>
  <si>
    <t xml:space="preserve">sector</t>
  </si>
  <si>
    <t xml:space="preserve">null</t>
  </si>
  <si>
    <t xml:space="preserve">told</t>
  </si>
  <si>
    <t xml:space="preserve">unacceptable</t>
  </si>
  <si>
    <t xml:space="preserve">0 expired</t>
  </si>
  <si>
    <t xml:space="preserve">yet to</t>
  </si>
  <si>
    <t xml:space="preserve">no action pending</t>
  </si>
  <si>
    <t xml:space="preserve">not yet arrived</t>
  </si>
  <si>
    <t xml:space="preserve">pending loading</t>
  </si>
  <si>
    <t xml:space="preserve">nil not delivered</t>
  </si>
  <si>
    <t xml:space="preserve">crew</t>
  </si>
  <si>
    <t xml:space="preserve">leg</t>
  </si>
  <si>
    <t xml:space="preserve">Europe/London</t>
  </si>
  <si>
    <t xml:space="preserve">same</t>
  </si>
  <si>
    <t xml:space="preserve">told by</t>
  </si>
  <si>
    <t xml:space="preserve">not satisfactory</t>
  </si>
  <si>
    <t xml:space="preserve">0 fail</t>
  </si>
  <si>
    <t xml:space="preserve">not confirmed</t>
  </si>
  <si>
    <t xml:space="preserve">no action tba</t>
  </si>
  <si>
    <t xml:space="preserve">not yet boarded</t>
  </si>
  <si>
    <t xml:space="preserve">pending uplift</t>
  </si>
  <si>
    <t xml:space="preserve">nil not loaded</t>
  </si>
  <si>
    <t xml:space="preserve">cabin</t>
  </si>
  <si>
    <t xml:space="preserve">Asia/Jakarta</t>
  </si>
  <si>
    <t xml:space="preserve">later</t>
  </si>
  <si>
    <t xml:space="preserve">call with</t>
  </si>
  <si>
    <t xml:space="preserve">below standard</t>
  </si>
  <si>
    <t xml:space="preserve">0 failed</t>
  </si>
  <si>
    <t xml:space="preserve">not received</t>
  </si>
  <si>
    <t xml:space="preserve">no action tbc</t>
  </si>
  <si>
    <t xml:space="preserve">not yet dispatched</t>
  </si>
  <si>
    <t xml:space="preserve">not delivered</t>
  </si>
  <si>
    <t xml:space="preserve">nil not on board</t>
  </si>
  <si>
    <t xml:space="preserve">caterer</t>
  </si>
  <si>
    <t xml:space="preserve">n</t>
  </si>
  <si>
    <t xml:space="preserve">Asia/Ho_Chi_Minh</t>
  </si>
  <si>
    <t xml:space="preserve">unknown</t>
  </si>
  <si>
    <t xml:space="preserve">whatsapp call</t>
  </si>
  <si>
    <t xml:space="preserve">shortfall</t>
  </si>
  <si>
    <t xml:space="preserve">0 fails</t>
  </si>
  <si>
    <t xml:space="preserve">to be provided</t>
  </si>
  <si>
    <t xml:space="preserve">no action tbd</t>
  </si>
  <si>
    <t xml:space="preserve">left behind</t>
  </si>
  <si>
    <t xml:space="preserve">nil not uplifted</t>
  </si>
  <si>
    <t xml:space="preserve">catering</t>
  </si>
  <si>
    <t xml:space="preserve">a</t>
  </si>
  <si>
    <t xml:space="preserve">Asia/Tokyo</t>
  </si>
  <si>
    <t xml:space="preserve">x</t>
  </si>
  <si>
    <t xml:space="preserve">by call</t>
  </si>
  <si>
    <t xml:space="preserve">shortage</t>
  </si>
  <si>
    <t xml:space="preserve">0 failure</t>
  </si>
  <si>
    <t xml:space="preserve">will be uploaded</t>
  </si>
  <si>
    <t xml:space="preserve">no action waiting</t>
  </si>
  <si>
    <t xml:space="preserve">offloaded</t>
  </si>
  <si>
    <t xml:space="preserve">nil off loaded</t>
  </si>
  <si>
    <t xml:space="preserve">pasb</t>
  </si>
  <si>
    <t xml:space="preserve">required</t>
  </si>
  <si>
    <t xml:space="preserve">xx</t>
  </si>
  <si>
    <t xml:space="preserve">telephone</t>
  </si>
  <si>
    <t xml:space="preserve">short by</t>
  </si>
  <si>
    <t xml:space="preserve">0 incorrect</t>
  </si>
  <si>
    <t xml:space="preserve">will be emailed</t>
  </si>
  <si>
    <t xml:space="preserve">no actions awaiting</t>
  </si>
  <si>
    <t xml:space="preserve">pending aircraft</t>
  </si>
  <si>
    <t xml:space="preserve">off loaded</t>
  </si>
  <si>
    <t xml:space="preserve">nil offloaded</t>
  </si>
  <si>
    <t xml:space="preserve">mcat</t>
  </si>
  <si>
    <t xml:space="preserve">needed</t>
  </si>
  <si>
    <t xml:space="preserve">Asia/Hong_Kong</t>
  </si>
  <si>
    <t xml:space="preserve">xxx</t>
  </si>
  <si>
    <t xml:space="preserve">telephoned</t>
  </si>
  <si>
    <t xml:space="preserve">discrepancy</t>
  </si>
  <si>
    <t xml:space="preserve">0 insufficient</t>
  </si>
  <si>
    <t xml:space="preserve">will be sent</t>
  </si>
  <si>
    <t xml:space="preserve">no actions pending</t>
  </si>
  <si>
    <t xml:space="preserve">pending collection</t>
  </si>
  <si>
    <t xml:space="preserve">to be loaded</t>
  </si>
  <si>
    <t xml:space="preserve">no items left behind</t>
  </si>
  <si>
    <t xml:space="preserve">sats</t>
  </si>
  <si>
    <t xml:space="preserve">need</t>
  </si>
  <si>
    <t xml:space="preserve">Australia/Adelaide</t>
  </si>
  <si>
    <t xml:space="preserve">test</t>
  </si>
  <si>
    <t xml:space="preserve">phoned</t>
  </si>
  <si>
    <t xml:space="preserve">discrepancies</t>
  </si>
  <si>
    <t xml:space="preserve">0 late</t>
  </si>
  <si>
    <t xml:space="preserve">will be attached</t>
  </si>
  <si>
    <t xml:space="preserve">no actions tba</t>
  </si>
  <si>
    <t xml:space="preserve">pending delivery</t>
  </si>
  <si>
    <t xml:space="preserve">will be loaded</t>
  </si>
  <si>
    <t xml:space="preserve">no items not delivered</t>
  </si>
  <si>
    <t xml:space="preserve">magcs</t>
  </si>
  <si>
    <t xml:space="preserve">is</t>
  </si>
  <si>
    <t xml:space="preserve">Source: IANA tz database. Europe/London BST ends Sun 25-Oct-2026 01:00 UTC; Australia/Adelaide ACDT (UTC+10:30) starts Sun 4-Oct-2026 02:00 local (03-Oct 16:30 UTC). No DST at other stations.</t>
  </si>
  <si>
    <t xml:space="preserve">dummy</t>
  </si>
  <si>
    <t xml:space="preserve">called</t>
  </si>
  <si>
    <t xml:space="preserve">defect</t>
  </si>
  <si>
    <t xml:space="preserve">0 leaking</t>
  </si>
  <si>
    <t xml:space="preserve">will be provided</t>
  </si>
  <si>
    <t xml:space="preserve">no actions tbc</t>
  </si>
  <si>
    <t xml:space="preserve">pending dispatch</t>
  </si>
  <si>
    <t xml:space="preserve">to be uplifted</t>
  </si>
  <si>
    <t xml:space="preserve">no items not loaded</t>
  </si>
  <si>
    <t xml:space="preserve">mas</t>
  </si>
  <si>
    <t xml:space="preserve">it</t>
  </si>
  <si>
    <t xml:space="preserve">notapplicable</t>
  </si>
  <si>
    <t xml:space="preserve">via phone</t>
  </si>
  <si>
    <t xml:space="preserve">defective</t>
  </si>
  <si>
    <t xml:space="preserve">0 mislabeled</t>
  </si>
  <si>
    <t xml:space="preserve">to be attached</t>
  </si>
  <si>
    <t xml:space="preserve">no actions tbd</t>
  </si>
  <si>
    <t xml:space="preserve">will be uplifted</t>
  </si>
  <si>
    <t xml:space="preserve">no items not on board</t>
  </si>
  <si>
    <t xml:space="preserve">mh</t>
  </si>
  <si>
    <t xml:space="preserve">on</t>
  </si>
  <si>
    <t xml:space="preserve">nophoto</t>
  </si>
  <si>
    <t xml:space="preserve">phone confirmation</t>
  </si>
  <si>
    <t xml:space="preserve">defects</t>
  </si>
  <si>
    <t xml:space="preserve">0 mislabelled</t>
  </si>
  <si>
    <t xml:space="preserve">to be sent</t>
  </si>
  <si>
    <t xml:space="preserve">no actions waiting</t>
  </si>
  <si>
    <t xml:space="preserve">pending transport</t>
  </si>
  <si>
    <t xml:space="preserve">ready for loading</t>
  </si>
  <si>
    <t xml:space="preserve">no items not uplifted</t>
  </si>
  <si>
    <t xml:space="preserve">supervisor</t>
  </si>
  <si>
    <t xml:space="preserve">noevidence</t>
  </si>
  <si>
    <t xml:space="preserve">rang</t>
  </si>
  <si>
    <t xml:space="preserve">dirty</t>
  </si>
  <si>
    <t xml:space="preserve">0 mismatch</t>
  </si>
  <si>
    <t xml:space="preserve">to be emailed</t>
  </si>
  <si>
    <t xml:space="preserve">no answer awaiting</t>
  </si>
  <si>
    <t xml:space="preserve">ready for uplift</t>
  </si>
  <si>
    <t xml:space="preserve">no items off loaded</t>
  </si>
  <si>
    <t xml:space="preserve">spvr</t>
  </si>
  <si>
    <t xml:space="preserve">as</t>
  </si>
  <si>
    <t xml:space="preserve">visualcheck</t>
  </si>
  <si>
    <t xml:space="preserve">orally</t>
  </si>
  <si>
    <t xml:space="preserve">damaged</t>
  </si>
  <si>
    <t xml:space="preserve">0 missing</t>
  </si>
  <si>
    <t xml:space="preserve">to be uploaded</t>
  </si>
  <si>
    <t xml:space="preserve">no answer pending</t>
  </si>
  <si>
    <t xml:space="preserve">waiting at</t>
  </si>
  <si>
    <t xml:space="preserve">loading in progress</t>
  </si>
  <si>
    <t xml:space="preserve">no items offloaded</t>
  </si>
  <si>
    <t xml:space="preserve">supv</t>
  </si>
  <si>
    <t xml:space="preserve">previous</t>
  </si>
  <si>
    <t xml:space="preserve">visuallychecked</t>
  </si>
  <si>
    <t xml:space="preserve">oral confirmation</t>
  </si>
  <si>
    <t xml:space="preserve">missing</t>
  </si>
  <si>
    <t xml:space="preserve">0 nok</t>
  </si>
  <si>
    <t xml:space="preserve">not uploaded</t>
  </si>
  <si>
    <t xml:space="preserve">no answer tba</t>
  </si>
  <si>
    <t xml:space="preserve">waiting for collection</t>
  </si>
  <si>
    <t xml:space="preserve">being loaded</t>
  </si>
  <si>
    <t xml:space="preserve">no left behind</t>
  </si>
  <si>
    <t xml:space="preserve">sup</t>
  </si>
  <si>
    <t xml:space="preserve">above</t>
  </si>
  <si>
    <t xml:space="preserve">visuallyinspected</t>
  </si>
  <si>
    <t xml:space="preserve">tel call</t>
  </si>
  <si>
    <t xml:space="preserve">broken</t>
  </si>
  <si>
    <t xml:space="preserve">0 non conforming</t>
  </si>
  <si>
    <t xml:space="preserve">will upload</t>
  </si>
  <si>
    <t xml:space="preserve">no answer tbc</t>
  </si>
  <si>
    <t xml:space="preserve">waiting for dispatch</t>
  </si>
  <si>
    <t xml:space="preserve">still loading</t>
  </si>
  <si>
    <t xml:space="preserve">no meals left behind</t>
  </si>
  <si>
    <t xml:space="preserve">manager</t>
  </si>
  <si>
    <t xml:space="preserve">below</t>
  </si>
  <si>
    <t xml:space="preserve">checkedok</t>
  </si>
  <si>
    <t xml:space="preserve">tel</t>
  </si>
  <si>
    <t xml:space="preserve">leaking</t>
  </si>
  <si>
    <t xml:space="preserve">0 nonconforming</t>
  </si>
  <si>
    <t xml:space="preserve">will email</t>
  </si>
  <si>
    <t xml:space="preserve">no answer tbd</t>
  </si>
  <si>
    <t xml:space="preserve">waiting for loading</t>
  </si>
  <si>
    <t xml:space="preserve">loading after</t>
  </si>
  <si>
    <t xml:space="preserve">no meals not delivered</t>
  </si>
  <si>
    <t xml:space="preserve">mgr</t>
  </si>
  <si>
    <t xml:space="preserve">see</t>
  </si>
  <si>
    <t xml:space="preserve">sighted</t>
  </si>
  <si>
    <t xml:space="preserve">on call</t>
  </si>
  <si>
    <t xml:space="preserve">expired</t>
  </si>
  <si>
    <t xml:space="preserve">0 not acceptable</t>
  </si>
  <si>
    <t xml:space="preserve">will send</t>
  </si>
  <si>
    <t xml:space="preserve">no answer waiting</t>
  </si>
  <si>
    <t xml:space="preserve">waiting for truck</t>
  </si>
  <si>
    <t xml:space="preserve">delivered to aircraft side</t>
  </si>
  <si>
    <t xml:space="preserve">no meals not loaded</t>
  </si>
  <si>
    <t xml:space="preserve">officer</t>
  </si>
  <si>
    <t xml:space="preserve">refer</t>
  </si>
  <si>
    <t xml:space="preserve">confirmed</t>
  </si>
  <si>
    <t xml:space="preserve">on a call</t>
  </si>
  <si>
    <t xml:space="preserve">non conforming</t>
  </si>
  <si>
    <t xml:space="preserve">0 not available</t>
  </si>
  <si>
    <t xml:space="preserve">upload later</t>
  </si>
  <si>
    <t xml:space="preserve">no awaiting</t>
  </si>
  <si>
    <t xml:space="preserve">waiting for uplift</t>
  </si>
  <si>
    <t xml:space="preserve">at aircraft side</t>
  </si>
  <si>
    <t xml:space="preserve">no meals not on board</t>
  </si>
  <si>
    <t xml:space="preserve">offr</t>
  </si>
  <si>
    <t xml:space="preserve">line</t>
  </si>
  <si>
    <t xml:space="preserve">notrequired</t>
  </si>
  <si>
    <t xml:space="preserve">via call</t>
  </si>
  <si>
    <t xml:space="preserve">nonconforming</t>
  </si>
  <si>
    <t xml:space="preserve">send later</t>
  </si>
  <si>
    <t xml:space="preserve">no ca awaiting</t>
  </si>
  <si>
    <t xml:space="preserve">waiting in</t>
  </si>
  <si>
    <t xml:space="preserve">at the bay</t>
  </si>
  <si>
    <t xml:space="preserve">no meals not uplifted</t>
  </si>
  <si>
    <t xml:space="preserve">steward</t>
  </si>
  <si>
    <t xml:space="preserve">row</t>
  </si>
  <si>
    <t xml:space="preserve">phototaken</t>
  </si>
  <si>
    <t xml:space="preserve">not to spec</t>
  </si>
  <si>
    <t xml:space="preserve">0 not enough</t>
  </si>
  <si>
    <t xml:space="preserve">no ca pending</t>
  </si>
  <si>
    <t xml:space="preserve">awaited</t>
  </si>
  <si>
    <t xml:space="preserve">yet to be dispatched</t>
  </si>
  <si>
    <t xml:space="preserve">at bay</t>
  </si>
  <si>
    <t xml:space="preserve">no meals off loaded</t>
  </si>
  <si>
    <t xml:space="preserve">stewardess</t>
  </si>
  <si>
    <t xml:space="preserve">item</t>
  </si>
  <si>
    <t xml:space="preserve">byphone</t>
  </si>
  <si>
    <t xml:space="preserve">no ca tba</t>
  </si>
  <si>
    <t xml:space="preserve">to be forwarded</t>
  </si>
  <si>
    <t xml:space="preserve">no meals offloaded</t>
  </si>
  <si>
    <t xml:space="preserve">purser</t>
  </si>
  <si>
    <t xml:space="preserve">aspergld</t>
  </si>
  <si>
    <t xml:space="preserve">0 not match</t>
  </si>
  <si>
    <t xml:space="preserve">no ca tbc</t>
  </si>
  <si>
    <t xml:space="preserve">will be forwarded</t>
  </si>
  <si>
    <t xml:space="preserve">no not delivered</t>
  </si>
  <si>
    <t xml:space="preserve">agent</t>
  </si>
  <si>
    <t xml:space="preserve">per</t>
  </si>
  <si>
    <t xml:space="preserve">attached</t>
  </si>
  <si>
    <t xml:space="preserve">not available</t>
  </si>
  <si>
    <t xml:space="preserve">0 not matching</t>
  </si>
  <si>
    <t xml:space="preserve">no ca tbd</t>
  </si>
  <si>
    <t xml:space="preserve">to be scanned</t>
  </si>
  <si>
    <t xml:space="preserve">no not loaded</t>
  </si>
  <si>
    <t xml:space="preserve">agents</t>
  </si>
  <si>
    <t xml:space="preserve">check</t>
  </si>
  <si>
    <t xml:space="preserve">visually</t>
  </si>
  <si>
    <t xml:space="preserve">not provided</t>
  </si>
  <si>
    <t xml:space="preserve">0 not ok</t>
  </si>
  <si>
    <t xml:space="preserve">no ca waiting</t>
  </si>
  <si>
    <t xml:space="preserve">will be scanned</t>
  </si>
  <si>
    <t xml:space="preserve">no not on board</t>
  </si>
  <si>
    <t xml:space="preserve">rep</t>
  </si>
  <si>
    <t xml:space="preserve">checks</t>
  </si>
  <si>
    <t xml:space="preserve">not supplied</t>
  </si>
  <si>
    <t xml:space="preserve">no cas awaiting</t>
  </si>
  <si>
    <t xml:space="preserve">to be filed</t>
  </si>
  <si>
    <t xml:space="preserve">no not uplifted</t>
  </si>
  <si>
    <t xml:space="preserve">reps</t>
  </si>
  <si>
    <t xml:space="preserve">sameaspic</t>
  </si>
  <si>
    <t xml:space="preserve">0 not provided</t>
  </si>
  <si>
    <t xml:space="preserve">no cas pending</t>
  </si>
  <si>
    <t xml:space="preserve">will be filed</t>
  </si>
  <si>
    <t xml:space="preserve">no off loaded</t>
  </si>
  <si>
    <t xml:space="preserve">representative</t>
  </si>
  <si>
    <t xml:space="preserve">0 not received</t>
  </si>
  <si>
    <t xml:space="preserve">no cas tba</t>
  </si>
  <si>
    <t xml:space="preserve">to be shared</t>
  </si>
  <si>
    <t xml:space="preserve">no offloaded</t>
  </si>
  <si>
    <t xml:space="preserve">dept</t>
  </si>
  <si>
    <t xml:space="preserve">no</t>
  </si>
  <si>
    <t xml:space="preserve">me</t>
  </si>
  <si>
    <t xml:space="preserve">incorrect</t>
  </si>
  <si>
    <t xml:space="preserve">0 not satisfactory</t>
  </si>
  <si>
    <t xml:space="preserve">no cas tbc</t>
  </si>
  <si>
    <t xml:space="preserve">will be shared</t>
  </si>
  <si>
    <t xml:space="preserve">none left behind</t>
  </si>
  <si>
    <t xml:space="preserve">department</t>
  </si>
  <si>
    <t xml:space="preserve">relevant</t>
  </si>
  <si>
    <t xml:space="preserve">myself</t>
  </si>
  <si>
    <t xml:space="preserve">wrong</t>
  </si>
  <si>
    <t xml:space="preserve">0 not supplied</t>
  </si>
  <si>
    <t xml:space="preserve">no cas tbd</t>
  </si>
  <si>
    <t xml:space="preserve">will share</t>
  </si>
  <si>
    <t xml:space="preserve">none not delivered</t>
  </si>
  <si>
    <t xml:space="preserve">shift</t>
  </si>
  <si>
    <t xml:space="preserve">case</t>
  </si>
  <si>
    <t xml:space="preserve">good</t>
  </si>
  <si>
    <t xml:space="preserve">stained</t>
  </si>
  <si>
    <t xml:space="preserve">0 not to spec</t>
  </si>
  <si>
    <t xml:space="preserve">no cas waiting</t>
  </si>
  <si>
    <t xml:space="preserve">will forward</t>
  </si>
  <si>
    <t xml:space="preserve">none not loaded</t>
  </si>
  <si>
    <t xml:space="preserve">night</t>
  </si>
  <si>
    <t xml:space="preserve">here</t>
  </si>
  <si>
    <t xml:space="preserve">passed</t>
  </si>
  <si>
    <t xml:space="preserve">torn</t>
  </si>
  <si>
    <t xml:space="preserve">0 out of stock</t>
  </si>
  <si>
    <t xml:space="preserve">no clarification awaiting</t>
  </si>
  <si>
    <t xml:space="preserve">not sent</t>
  </si>
  <si>
    <t xml:space="preserve">none not on board</t>
  </si>
  <si>
    <t xml:space="preserve">day</t>
  </si>
  <si>
    <t xml:space="preserve">now</t>
  </si>
  <si>
    <t xml:space="preserve">satisfactory</t>
  </si>
  <si>
    <t xml:space="preserve">spoiled</t>
  </si>
  <si>
    <t xml:space="preserve">0 reject</t>
  </si>
  <si>
    <t xml:space="preserve">no clarification pending</t>
  </si>
  <si>
    <t xml:space="preserve">not shared</t>
  </si>
  <si>
    <t xml:space="preserve">none not uplifted</t>
  </si>
  <si>
    <t xml:space="preserve">morning</t>
  </si>
  <si>
    <t xml:space="preserve">today</t>
  </si>
  <si>
    <t xml:space="preserve">accepted</t>
  </si>
  <si>
    <t xml:space="preserve">spoilt</t>
  </si>
  <si>
    <t xml:space="preserve">0 rejected</t>
  </si>
  <si>
    <t xml:space="preserve">no clarification tba</t>
  </si>
  <si>
    <t xml:space="preserve">not forwarded</t>
  </si>
  <si>
    <t xml:space="preserve">none off loaded</t>
  </si>
  <si>
    <t xml:space="preserve">evening</t>
  </si>
  <si>
    <t xml:space="preserve">fine</t>
  </si>
  <si>
    <t xml:space="preserve">contaminated</t>
  </si>
  <si>
    <t xml:space="preserve">0 rejects</t>
  </si>
  <si>
    <t xml:space="preserve">no clarification tbc</t>
  </si>
  <si>
    <t xml:space="preserve">not scanned</t>
  </si>
  <si>
    <t xml:space="preserve">none offloaded</t>
  </si>
  <si>
    <t xml:space="preserve">ramp</t>
  </si>
  <si>
    <t xml:space="preserve">noted</t>
  </si>
  <si>
    <t xml:space="preserve">insufficient</t>
  </si>
  <si>
    <t xml:space="preserve">0 short</t>
  </si>
  <si>
    <t xml:space="preserve">no clarification tbd</t>
  </si>
  <si>
    <t xml:space="preserve">not filed</t>
  </si>
  <si>
    <t xml:space="preserve">not loaded 0</t>
  </si>
  <si>
    <t xml:space="preserve">loading</t>
  </si>
  <si>
    <t xml:space="preserve">complete</t>
  </si>
  <si>
    <t xml:space="preserve">not enough</t>
  </si>
  <si>
    <t xml:space="preserve">0 shortage</t>
  </si>
  <si>
    <t xml:space="preserve">no clarification waiting</t>
  </si>
  <si>
    <t xml:space="preserve">still with</t>
  </si>
  <si>
    <t xml:space="preserve">not loaded nil</t>
  </si>
  <si>
    <t xml:space="preserve">hygiene</t>
  </si>
  <si>
    <t xml:space="preserve">to</t>
  </si>
  <si>
    <t xml:space="preserve">completed</t>
  </si>
  <si>
    <t xml:space="preserve">unavailable</t>
  </si>
  <si>
    <t xml:space="preserve">0 shortfall</t>
  </si>
  <si>
    <t xml:space="preserve">no clarifications awaiting</t>
  </si>
  <si>
    <t xml:space="preserve">hard copy outstanding</t>
  </si>
  <si>
    <t xml:space="preserve">not loaded none</t>
  </si>
  <si>
    <t xml:space="preserve">inflight</t>
  </si>
  <si>
    <t xml:space="preserve">of</t>
  </si>
  <si>
    <t xml:space="preserve">notavailable</t>
  </si>
  <si>
    <t xml:space="preserve">out of stock</t>
  </si>
  <si>
    <t xml:space="preserve">0 spoiled</t>
  </si>
  <si>
    <t xml:space="preserve">no clarifications pending</t>
  </si>
  <si>
    <t xml:space="preserve">evidence outstanding</t>
  </si>
  <si>
    <t xml:space="preserve">not on board 0</t>
  </si>
  <si>
    <t xml:space="preserve">services</t>
  </si>
  <si>
    <t xml:space="preserve">and</t>
  </si>
  <si>
    <t xml:space="preserve">notprovided</t>
  </si>
  <si>
    <t xml:space="preserve">short</t>
  </si>
  <si>
    <t xml:space="preserve">0 spoilt</t>
  </si>
  <si>
    <t xml:space="preserve">no clarifications tba</t>
  </si>
  <si>
    <t xml:space="preserve">copy outstanding</t>
  </si>
  <si>
    <t xml:space="preserve">not on board nil</t>
  </si>
  <si>
    <t xml:space="preserve">service</t>
  </si>
  <si>
    <t xml:space="preserve">be</t>
  </si>
  <si>
    <t xml:space="preserve">nobatch</t>
  </si>
  <si>
    <t xml:space="preserve">late</t>
  </si>
  <si>
    <t xml:space="preserve">0 stained</t>
  </si>
  <si>
    <t xml:space="preserve">no clarifications tbc</t>
  </si>
  <si>
    <t xml:space="preserve">documents outstanding</t>
  </si>
  <si>
    <t xml:space="preserve">not on board none</t>
  </si>
  <si>
    <t xml:space="preserve">quality</t>
  </si>
  <si>
    <t xml:space="preserve">one</t>
  </si>
  <si>
    <t xml:space="preserve">nobatchno</t>
  </si>
  <si>
    <t xml:space="preserve">undelivered</t>
  </si>
  <si>
    <t xml:space="preserve">0 torn</t>
  </si>
  <si>
    <t xml:space="preserve">no clarifications tbd</t>
  </si>
  <si>
    <t xml:space="preserve">being prepared</t>
  </si>
  <si>
    <t xml:space="preserve">nothing left behind</t>
  </si>
  <si>
    <t xml:space="preserve">assurance</t>
  </si>
  <si>
    <t xml:space="preserve">other</t>
  </si>
  <si>
    <t xml:space="preserve">nobatchnumber</t>
  </si>
  <si>
    <t xml:space="preserve">mismatch</t>
  </si>
  <si>
    <t xml:space="preserve">0 unacceptable</t>
  </si>
  <si>
    <t xml:space="preserve">no clarifications waiting</t>
  </si>
  <si>
    <t xml:space="preserve">to come</t>
  </si>
  <si>
    <t xml:space="preserve">nothing not delivered</t>
  </si>
  <si>
    <t xml:space="preserve">control</t>
  </si>
  <si>
    <t xml:space="preserve">prev</t>
  </si>
  <si>
    <t xml:space="preserve">seelabel</t>
  </si>
  <si>
    <t xml:space="preserve">not matching</t>
  </si>
  <si>
    <t xml:space="preserve">0 unavailable</t>
  </si>
  <si>
    <t xml:space="preserve">no corrective action awaiting</t>
  </si>
  <si>
    <t xml:space="preserve">once received</t>
  </si>
  <si>
    <t xml:space="preserve">nothing not loaded</t>
  </si>
  <si>
    <t xml:space="preserve">controller</t>
  </si>
  <si>
    <t xml:space="preserve">ref</t>
  </si>
  <si>
    <t xml:space="preserve">unknownbatch</t>
  </si>
  <si>
    <t xml:space="preserve">does not match</t>
  </si>
  <si>
    <t xml:space="preserve">0 undelivered</t>
  </si>
  <si>
    <t xml:space="preserve">no corrective action pending</t>
  </si>
  <si>
    <t xml:space="preserve">requested from</t>
  </si>
  <si>
    <t xml:space="preserve">nothing not on board</t>
  </si>
  <si>
    <t xml:space="preserve">chief</t>
  </si>
  <si>
    <t xml:space="preserve">note</t>
  </si>
  <si>
    <t xml:space="preserve">nonerequired</t>
  </si>
  <si>
    <t xml:space="preserve">not match</t>
  </si>
  <si>
    <t xml:space="preserve">0 unlabeled</t>
  </si>
  <si>
    <t xml:space="preserve">no corrective action tba</t>
  </si>
  <si>
    <t xml:space="preserve">to upload</t>
  </si>
  <si>
    <t xml:space="preserve">nothing not uplifted</t>
  </si>
  <si>
    <t xml:space="preserve">head</t>
  </si>
  <si>
    <t xml:space="preserve">nocarequired</t>
  </si>
  <si>
    <t xml:space="preserve">wrongly</t>
  </si>
  <si>
    <t xml:space="preserve">0 unlabelled</t>
  </si>
  <si>
    <t xml:space="preserve">no corrective action tbc</t>
  </si>
  <si>
    <t xml:space="preserve">draft only</t>
  </si>
  <si>
    <t xml:space="preserve">nothing off loaded</t>
  </si>
  <si>
    <t xml:space="preserve">lead</t>
  </si>
  <si>
    <t xml:space="preserve">ok</t>
  </si>
  <si>
    <t xml:space="preserve">noca</t>
  </si>
  <si>
    <t xml:space="preserve">mislabelled</t>
  </si>
  <si>
    <t xml:space="preserve">0 unsatisfactory</t>
  </si>
  <si>
    <t xml:space="preserve">no corrective action tbd</t>
  </si>
  <si>
    <t xml:space="preserve">not in yet</t>
  </si>
  <si>
    <t xml:space="preserve">nothing offloaded</t>
  </si>
  <si>
    <t xml:space="preserve">leader</t>
  </si>
  <si>
    <t xml:space="preserve">nilca</t>
  </si>
  <si>
    <t xml:space="preserve">mislabeled</t>
  </si>
  <si>
    <t xml:space="preserve">0 wrong</t>
  </si>
  <si>
    <t xml:space="preserve">no corrective action waiting</t>
  </si>
  <si>
    <t xml:space="preserve">will be sent tomorrow</t>
  </si>
  <si>
    <t xml:space="preserve">offloaded 0</t>
  </si>
  <si>
    <t xml:space="preserve">senior</t>
  </si>
  <si>
    <t xml:space="preserve">noactionrequired</t>
  </si>
  <si>
    <t xml:space="preserve">unlabelled</t>
  </si>
  <si>
    <t xml:space="preserve">0 wrongly</t>
  </si>
  <si>
    <t xml:space="preserve">no document awaiting</t>
  </si>
  <si>
    <t xml:space="preserve">expected tomorrow</t>
  </si>
  <si>
    <t xml:space="preserve">offloaded nil</t>
  </si>
  <si>
    <t xml:space="preserve">sr</t>
  </si>
  <si>
    <t xml:space="preserve">noactionneeded</t>
  </si>
  <si>
    <t xml:space="preserve">unlabeled</t>
  </si>
  <si>
    <t xml:space="preserve">any below standard</t>
  </si>
  <si>
    <t xml:space="preserve">no document pending</t>
  </si>
  <si>
    <t xml:space="preserve">due tomorrow</t>
  </si>
  <si>
    <t xml:space="preserve">offloaded none</t>
  </si>
  <si>
    <t xml:space="preserve">jr</t>
  </si>
  <si>
    <t xml:space="preserve">nonenecessary</t>
  </si>
  <si>
    <t xml:space="preserve">short 1</t>
  </si>
  <si>
    <t xml:space="preserve">any broken</t>
  </si>
  <si>
    <t xml:space="preserve">no document tba</t>
  </si>
  <si>
    <t xml:space="preserve">zero left behind</t>
  </si>
  <si>
    <t xml:space="preserve">junior</t>
  </si>
  <si>
    <t xml:space="preserve">short 2</t>
  </si>
  <si>
    <t xml:space="preserve">any contaminated</t>
  </si>
  <si>
    <t xml:space="preserve">no document tbc</t>
  </si>
  <si>
    <t xml:space="preserve">zero not delivered</t>
  </si>
  <si>
    <t xml:space="preserve">station</t>
  </si>
  <si>
    <t xml:space="preserve">short 3</t>
  </si>
  <si>
    <t xml:space="preserve">any damaged</t>
  </si>
  <si>
    <t xml:space="preserve">no document tbd</t>
  </si>
  <si>
    <t xml:space="preserve">zero not loaded</t>
  </si>
  <si>
    <t xml:space="preserve">duty</t>
  </si>
  <si>
    <t xml:space="preserve">short 4</t>
  </si>
  <si>
    <t xml:space="preserve">any defect</t>
  </si>
  <si>
    <t xml:space="preserve">no document waiting</t>
  </si>
  <si>
    <t xml:space="preserve">zero not on board</t>
  </si>
  <si>
    <t xml:space="preserve">inspector</t>
  </si>
  <si>
    <t xml:space="preserve">dutycsm</t>
  </si>
  <si>
    <t xml:space="preserve">short 5</t>
  </si>
  <si>
    <t xml:space="preserve">any defective</t>
  </si>
  <si>
    <t xml:space="preserve">no documents awaiting</t>
  </si>
  <si>
    <t xml:space="preserve">zero not uplifted</t>
  </si>
  <si>
    <t xml:space="preserve">executive</t>
  </si>
  <si>
    <t xml:space="preserve">short 6</t>
  </si>
  <si>
    <t xml:space="preserve">any defects</t>
  </si>
  <si>
    <t xml:space="preserve">no documents pending</t>
  </si>
  <si>
    <t xml:space="preserve">zero off loaded</t>
  </si>
  <si>
    <t xml:space="preserve">exec</t>
  </si>
  <si>
    <t xml:space="preserve">short 7</t>
  </si>
  <si>
    <t xml:space="preserve">any dirty</t>
  </si>
  <si>
    <t xml:space="preserve">no documents tba</t>
  </si>
  <si>
    <t xml:space="preserve">zero offloaded</t>
  </si>
  <si>
    <t xml:space="preserve">captain</t>
  </si>
  <si>
    <t xml:space="preserve">short 8</t>
  </si>
  <si>
    <t xml:space="preserve">any discrepancies</t>
  </si>
  <si>
    <t xml:space="preserve">no documents tbc</t>
  </si>
  <si>
    <t xml:space="preserve">capt</t>
  </si>
  <si>
    <t xml:space="preserve">short 9</t>
  </si>
  <si>
    <t xml:space="preserve">any discrepancy</t>
  </si>
  <si>
    <t xml:space="preserve">no documents tbd</t>
  </si>
  <si>
    <t xml:space="preserve">chef</t>
  </si>
  <si>
    <t xml:space="preserve">short 10</t>
  </si>
  <si>
    <t xml:space="preserve">any does not match</t>
  </si>
  <si>
    <t xml:space="preserve">no documents waiting</t>
  </si>
  <si>
    <t xml:space="preserve">verified</t>
  </si>
  <si>
    <t xml:space="preserve">short 11</t>
  </si>
  <si>
    <t xml:space="preserve">any expired</t>
  </si>
  <si>
    <t xml:space="preserve">no follow up awaiting</t>
  </si>
  <si>
    <t xml:space="preserve">verifier</t>
  </si>
  <si>
    <t xml:space="preserve">short 12</t>
  </si>
  <si>
    <t xml:space="preserve">any fail</t>
  </si>
  <si>
    <t xml:space="preserve">no follow up pending</t>
  </si>
  <si>
    <t xml:space="preserve">checked</t>
  </si>
  <si>
    <t xml:space="preserve">short 13</t>
  </si>
  <si>
    <t xml:space="preserve">any failed</t>
  </si>
  <si>
    <t xml:space="preserve">no follow up tba</t>
  </si>
  <si>
    <t xml:space="preserve">by</t>
  </si>
  <si>
    <t xml:space="preserve">short 14</t>
  </si>
  <si>
    <t xml:space="preserve">any fails</t>
  </si>
  <si>
    <t xml:space="preserve">no follow up tbc</t>
  </si>
  <si>
    <t xml:space="preserve">short 15</t>
  </si>
  <si>
    <t xml:space="preserve">any failure</t>
  </si>
  <si>
    <t xml:space="preserve">no follow up tbd</t>
  </si>
  <si>
    <t xml:space="preserve">qaofficer</t>
  </si>
  <si>
    <t xml:space="preserve">short 16</t>
  </si>
  <si>
    <t xml:space="preserve">any incorrect</t>
  </si>
  <si>
    <t xml:space="preserve">no follow up waiting</t>
  </si>
  <si>
    <t xml:space="preserve">short 17</t>
  </si>
  <si>
    <t xml:space="preserve">any insufficient</t>
  </si>
  <si>
    <t xml:space="preserve">no further action awaiting</t>
  </si>
  <si>
    <t xml:space="preserve">stationstaff</t>
  </si>
  <si>
    <t xml:space="preserve">short 18</t>
  </si>
  <si>
    <t xml:space="preserve">any late</t>
  </si>
  <si>
    <t xml:space="preserve">no further action pending</t>
  </si>
  <si>
    <t xml:space="preserve">desk</t>
  </si>
  <si>
    <t xml:space="preserve">short 19</t>
  </si>
  <si>
    <t xml:space="preserve">any leaking</t>
  </si>
  <si>
    <t xml:space="preserve">no further action tba</t>
  </si>
  <si>
    <t xml:space="preserve">unit</t>
  </si>
  <si>
    <t xml:space="preserve">short 20</t>
  </si>
  <si>
    <t xml:space="preserve">any mislabeled</t>
  </si>
  <si>
    <t xml:space="preserve">no further action tbc</t>
  </si>
  <si>
    <t xml:space="preserve">section</t>
  </si>
  <si>
    <t xml:space="preserve">done</t>
  </si>
  <si>
    <t xml:space="preserve">short 21</t>
  </si>
  <si>
    <t xml:space="preserve">any mislabelled</t>
  </si>
  <si>
    <t xml:space="preserve">no further action tbd</t>
  </si>
  <si>
    <t xml:space="preserve">office</t>
  </si>
  <si>
    <t xml:space="preserve">yes</t>
  </si>
  <si>
    <t xml:space="preserve">short 22</t>
  </si>
  <si>
    <t xml:space="preserve">any mismatch</t>
  </si>
  <si>
    <t xml:space="preserve">no further action waiting</t>
  </si>
  <si>
    <t xml:space="preserve">store</t>
  </si>
  <si>
    <t xml:space="preserve">short 23</t>
  </si>
  <si>
    <t xml:space="preserve">any missing</t>
  </si>
  <si>
    <t xml:space="preserve">no issue awaiting</t>
  </si>
  <si>
    <t xml:space="preserve">stores</t>
  </si>
  <si>
    <t xml:space="preserve">short 24</t>
  </si>
  <si>
    <t xml:space="preserve">any nok</t>
  </si>
  <si>
    <t xml:space="preserve">no issue pending</t>
  </si>
  <si>
    <t xml:space="preserve">kitchen</t>
  </si>
  <si>
    <t xml:space="preserve">okay</t>
  </si>
  <si>
    <t xml:space="preserve">short 25</t>
  </si>
  <si>
    <t xml:space="preserve">any non conforming</t>
  </si>
  <si>
    <t xml:space="preserve">no issue tba</t>
  </si>
  <si>
    <t xml:space="preserve">production</t>
  </si>
  <si>
    <t xml:space="preserve">visual</t>
  </si>
  <si>
    <t xml:space="preserve">short 26</t>
  </si>
  <si>
    <t xml:space="preserve">any nonconforming</t>
  </si>
  <si>
    <t xml:space="preserve">no issue tbc</t>
  </si>
  <si>
    <t xml:space="preserve">planning</t>
  </si>
  <si>
    <t xml:space="preserve">short 27</t>
  </si>
  <si>
    <t xml:space="preserve">any not acceptable</t>
  </si>
  <si>
    <t xml:space="preserve">no issue tbd</t>
  </si>
  <si>
    <t xml:space="preserve">dispatch</t>
  </si>
  <si>
    <t xml:space="preserve">naverbal</t>
  </si>
  <si>
    <t xml:space="preserve">short 28</t>
  </si>
  <si>
    <t xml:space="preserve">any not available</t>
  </si>
  <si>
    <t xml:space="preserve">no issue waiting</t>
  </si>
  <si>
    <t xml:space="preserve">coordinator</t>
  </si>
  <si>
    <t xml:space="preserve">photo</t>
  </si>
  <si>
    <t xml:space="preserve">short 29</t>
  </si>
  <si>
    <t xml:space="preserve">any not delivered</t>
  </si>
  <si>
    <t xml:space="preserve">no issues awaiting</t>
  </si>
  <si>
    <t xml:space="preserve">assistant</t>
  </si>
  <si>
    <t xml:space="preserve">email</t>
  </si>
  <si>
    <t xml:space="preserve">short 30</t>
  </si>
  <si>
    <t xml:space="preserve">any not enough</t>
  </si>
  <si>
    <t xml:space="preserve">no issues pending</t>
  </si>
  <si>
    <t xml:space="preserve">asst</t>
  </si>
  <si>
    <t xml:space="preserve">seen</t>
  </si>
  <si>
    <t xml:space="preserve">1 short</t>
  </si>
  <si>
    <t xml:space="preserve">any not loaded</t>
  </si>
  <si>
    <t xml:space="preserve">no issues tba</t>
  </si>
  <si>
    <t xml:space="preserve">admin</t>
  </si>
  <si>
    <t xml:space="preserve">2 short</t>
  </si>
  <si>
    <t xml:space="preserve">any not match</t>
  </si>
  <si>
    <t xml:space="preserve">no issues tbc</t>
  </si>
  <si>
    <t xml:space="preserve">security</t>
  </si>
  <si>
    <t xml:space="preserve">3 short</t>
  </si>
  <si>
    <t xml:space="preserve">any not matching</t>
  </si>
  <si>
    <t xml:space="preserve">no issues tbd</t>
  </si>
  <si>
    <t xml:space="preserve">engineer</t>
  </si>
  <si>
    <t xml:space="preserve">4 short</t>
  </si>
  <si>
    <t xml:space="preserve">any not ok</t>
  </si>
  <si>
    <t xml:space="preserve">no issues waiting</t>
  </si>
  <si>
    <t xml:space="preserve">tech</t>
  </si>
  <si>
    <t xml:space="preserve">5 short</t>
  </si>
  <si>
    <t xml:space="preserve">any not on board</t>
  </si>
  <si>
    <t xml:space="preserve">no item awaiting</t>
  </si>
  <si>
    <t xml:space="preserve">technician</t>
  </si>
  <si>
    <t xml:space="preserve">6 short</t>
  </si>
  <si>
    <t xml:space="preserve">any not provided</t>
  </si>
  <si>
    <t xml:space="preserve">no item pending</t>
  </si>
  <si>
    <t xml:space="preserve">7 short</t>
  </si>
  <si>
    <t xml:space="preserve">any not received</t>
  </si>
  <si>
    <t xml:space="preserve">no item tba</t>
  </si>
  <si>
    <t xml:space="preserve">mr</t>
  </si>
  <si>
    <t xml:space="preserve">8 short</t>
  </si>
  <si>
    <t xml:space="preserve">any not satisfactory</t>
  </si>
  <si>
    <t xml:space="preserve">no item tbc</t>
  </si>
  <si>
    <t xml:space="preserve">mrs</t>
  </si>
  <si>
    <t xml:space="preserve">9 short</t>
  </si>
  <si>
    <t xml:space="preserve">any not supplied</t>
  </si>
  <si>
    <t xml:space="preserve">no item tbd</t>
  </si>
  <si>
    <t xml:space="preserve">ms</t>
  </si>
  <si>
    <t xml:space="preserve">10 short</t>
  </si>
  <si>
    <t xml:space="preserve">any not to spec</t>
  </si>
  <si>
    <t xml:space="preserve">no item waiting</t>
  </si>
  <si>
    <t xml:space="preserve">dr</t>
  </si>
  <si>
    <t xml:space="preserve">11 short</t>
  </si>
  <si>
    <t xml:space="preserve">any out of stock</t>
  </si>
  <si>
    <t xml:space="preserve">no items awaiting</t>
  </si>
  <si>
    <t xml:space="preserve">en</t>
  </si>
  <si>
    <t xml:space="preserve">12 short</t>
  </si>
  <si>
    <t xml:space="preserve">any reject</t>
  </si>
  <si>
    <t xml:space="preserve">no items pending</t>
  </si>
  <si>
    <t xml:space="preserve">puan</t>
  </si>
  <si>
    <t xml:space="preserve">13 short</t>
  </si>
  <si>
    <t xml:space="preserve">any rejected</t>
  </si>
  <si>
    <t xml:space="preserve">no items tba</t>
  </si>
  <si>
    <t xml:space="preserve">cik</t>
  </si>
  <si>
    <t xml:space="preserve">14 short</t>
  </si>
  <si>
    <t xml:space="preserve">any rejects</t>
  </si>
  <si>
    <t xml:space="preserve">no items tbc</t>
  </si>
  <si>
    <t xml:space="preserve">kul</t>
  </si>
  <si>
    <t xml:space="preserve">15 short</t>
  </si>
  <si>
    <t xml:space="preserve">any short</t>
  </si>
  <si>
    <t xml:space="preserve">no items tbd</t>
  </si>
  <si>
    <t xml:space="preserve">lhr</t>
  </si>
  <si>
    <t xml:space="preserve">16 short</t>
  </si>
  <si>
    <t xml:space="preserve">any shortage</t>
  </si>
  <si>
    <t xml:space="preserve">no items waiting</t>
  </si>
  <si>
    <t xml:space="preserve">pen</t>
  </si>
  <si>
    <t xml:space="preserve">17 short</t>
  </si>
  <si>
    <t xml:space="preserve">any shortfall</t>
  </si>
  <si>
    <t xml:space="preserve">no longer awaiting</t>
  </si>
  <si>
    <t xml:space="preserve">lgk</t>
  </si>
  <si>
    <t xml:space="preserve">18 short</t>
  </si>
  <si>
    <t xml:space="preserve">any spoiled</t>
  </si>
  <si>
    <t xml:space="preserve">no longer pending</t>
  </si>
  <si>
    <t xml:space="preserve">cgk</t>
  </si>
  <si>
    <t xml:space="preserve">19 short</t>
  </si>
  <si>
    <t xml:space="preserve">any spoilt</t>
  </si>
  <si>
    <t xml:space="preserve">no pending</t>
  </si>
  <si>
    <t xml:space="preserve">han</t>
  </si>
  <si>
    <t xml:space="preserve">20 short</t>
  </si>
  <si>
    <t xml:space="preserve">any stained</t>
  </si>
  <si>
    <t xml:space="preserve">no pending items</t>
  </si>
  <si>
    <t xml:space="preserve">hkg</t>
  </si>
  <si>
    <t xml:space="preserve">21 short</t>
  </si>
  <si>
    <t xml:space="preserve">any torn</t>
  </si>
  <si>
    <t xml:space="preserve">no queries awaiting</t>
  </si>
  <si>
    <t xml:space="preserve">kix</t>
  </si>
  <si>
    <t xml:space="preserve">22 short</t>
  </si>
  <si>
    <t xml:space="preserve">any unacceptable</t>
  </si>
  <si>
    <t xml:space="preserve">no queries pending</t>
  </si>
  <si>
    <t xml:space="preserve">nrt</t>
  </si>
  <si>
    <t xml:space="preserve">23 short</t>
  </si>
  <si>
    <t xml:space="preserve">any unavailable</t>
  </si>
  <si>
    <t xml:space="preserve">no queries tba</t>
  </si>
  <si>
    <t xml:space="preserve">adl</t>
  </si>
  <si>
    <t xml:space="preserve">24 short</t>
  </si>
  <si>
    <t xml:space="preserve">any undelivered</t>
  </si>
  <si>
    <t xml:space="preserve">no queries tbc</t>
  </si>
  <si>
    <t xml:space="preserve">in</t>
  </si>
  <si>
    <t xml:space="preserve">25 short</t>
  </si>
  <si>
    <t xml:space="preserve">any unlabeled</t>
  </si>
  <si>
    <t xml:space="preserve">no queries tbd</t>
  </si>
  <si>
    <t xml:space="preserve">charge</t>
  </si>
  <si>
    <t xml:space="preserve">26 short</t>
  </si>
  <si>
    <t xml:space="preserve">any unlabelled</t>
  </si>
  <si>
    <t xml:space="preserve">no queries waiting</t>
  </si>
  <si>
    <t xml:space="preserve">person</t>
  </si>
  <si>
    <t xml:space="preserve">27 short</t>
  </si>
  <si>
    <t xml:space="preserve">any unsatisfactory</t>
  </si>
  <si>
    <t xml:space="preserve">no query awaiting</t>
  </si>
  <si>
    <t xml:space="preserve">incharge</t>
  </si>
  <si>
    <t xml:space="preserve">28 short</t>
  </si>
  <si>
    <t xml:space="preserve">any wrong</t>
  </si>
  <si>
    <t xml:space="preserve">no query pending</t>
  </si>
  <si>
    <t xml:space="preserve">airline</t>
  </si>
  <si>
    <t xml:space="preserve">29 short</t>
  </si>
  <si>
    <t xml:space="preserve">any wrongly</t>
  </si>
  <si>
    <t xml:space="preserve">no query tba</t>
  </si>
  <si>
    <t xml:space="preserve">aircraft</t>
  </si>
  <si>
    <t xml:space="preserve">30 short</t>
  </si>
  <si>
    <t xml:space="preserve">below standard 0</t>
  </si>
  <si>
    <t xml:space="preserve">no query tbc</t>
  </si>
  <si>
    <t xml:space="preserve">operations</t>
  </si>
  <si>
    <t xml:space="preserve">below standard found 0</t>
  </si>
  <si>
    <t xml:space="preserve">no query tbd</t>
  </si>
  <si>
    <t xml:space="preserve">operation</t>
  </si>
  <si>
    <t xml:space="preserve">below standard found nil</t>
  </si>
  <si>
    <t xml:space="preserve">no query waiting</t>
  </si>
  <si>
    <t xml:space="preserve">below standard found none</t>
  </si>
  <si>
    <t xml:space="preserve">no reply awaiting</t>
  </si>
  <si>
    <t xml:space="preserve">below standard free</t>
  </si>
  <si>
    <t xml:space="preserve">no reply pending</t>
  </si>
  <si>
    <t xml:space="preserve">below standard nil</t>
  </si>
  <si>
    <t xml:space="preserve">no reply tba</t>
  </si>
  <si>
    <t xml:space="preserve">below standard none</t>
  </si>
  <si>
    <t xml:space="preserve">no reply tbc</t>
  </si>
  <si>
    <t xml:space="preserve">below standard not found</t>
  </si>
  <si>
    <t xml:space="preserve">no reply tbd</t>
  </si>
  <si>
    <t xml:space="preserve">below standard noted 0</t>
  </si>
  <si>
    <t xml:space="preserve">no reply waiting</t>
  </si>
  <si>
    <t xml:space="preserve">below standard nothing</t>
  </si>
  <si>
    <t xml:space="preserve">no tba</t>
  </si>
  <si>
    <t xml:space="preserve">below standard zero</t>
  </si>
  <si>
    <t xml:space="preserve">no tbc</t>
  </si>
  <si>
    <t xml:space="preserve">broken 0</t>
  </si>
  <si>
    <t xml:space="preserve">no tbd</t>
  </si>
  <si>
    <t xml:space="preserve">broken found 0</t>
  </si>
  <si>
    <t xml:space="preserve">no waiting</t>
  </si>
  <si>
    <t xml:space="preserve">broken found nil</t>
  </si>
  <si>
    <t xml:space="preserve">none awaiting</t>
  </si>
  <si>
    <t xml:space="preserve">broken found none</t>
  </si>
  <si>
    <t xml:space="preserve">none pending</t>
  </si>
  <si>
    <t xml:space="preserve">broken free</t>
  </si>
  <si>
    <t xml:space="preserve">none tba</t>
  </si>
  <si>
    <t xml:space="preserve">broken nil</t>
  </si>
  <si>
    <t xml:space="preserve">none tbc</t>
  </si>
  <si>
    <t xml:space="preserve">broken none</t>
  </si>
  <si>
    <t xml:space="preserve">none tbd</t>
  </si>
  <si>
    <t xml:space="preserve">broken not found</t>
  </si>
  <si>
    <t xml:space="preserve">none waiting</t>
  </si>
  <si>
    <t xml:space="preserve">broken noted 0</t>
  </si>
  <si>
    <t xml:space="preserve">not awaiting</t>
  </si>
  <si>
    <t xml:space="preserve">broken nothing</t>
  </si>
  <si>
    <t xml:space="preserve">not pending</t>
  </si>
  <si>
    <t xml:space="preserve">broken zero</t>
  </si>
  <si>
    <t xml:space="preserve">not tba</t>
  </si>
  <si>
    <t xml:space="preserve">contaminated 0</t>
  </si>
  <si>
    <t xml:space="preserve">not tbc</t>
  </si>
  <si>
    <t xml:space="preserve">contaminated found 0</t>
  </si>
  <si>
    <t xml:space="preserve">not tbd</t>
  </si>
  <si>
    <t xml:space="preserve">contaminated found nil</t>
  </si>
  <si>
    <t xml:space="preserve">not waiting</t>
  </si>
  <si>
    <t xml:space="preserve">contaminated found none</t>
  </si>
  <si>
    <t xml:space="preserve">not yet applicable</t>
  </si>
  <si>
    <t xml:space="preserve">contaminated free</t>
  </si>
  <si>
    <t xml:space="preserve">not yet effective</t>
  </si>
  <si>
    <t xml:space="preserve">contaminated nil</t>
  </si>
  <si>
    <t xml:space="preserve">not yet in service</t>
  </si>
  <si>
    <t xml:space="preserve">contaminated none</t>
  </si>
  <si>
    <t xml:space="preserve">not yet introduced</t>
  </si>
  <si>
    <t xml:space="preserve">contaminated not found</t>
  </si>
  <si>
    <t xml:space="preserve">nothing awaited</t>
  </si>
  <si>
    <t xml:space="preserve">contaminated noted 0</t>
  </si>
  <si>
    <t xml:space="preserve">nothing awaiting</t>
  </si>
  <si>
    <t xml:space="preserve">contaminated nothing</t>
  </si>
  <si>
    <t xml:space="preserve">nothing further to follow</t>
  </si>
  <si>
    <t xml:space="preserve">contaminated zero</t>
  </si>
  <si>
    <t xml:space="preserve">nothing more to follow</t>
  </si>
  <si>
    <t xml:space="preserve">damaged 0</t>
  </si>
  <si>
    <t xml:space="preserve">nothing outstanding or to follow</t>
  </si>
  <si>
    <t xml:space="preserve">damaged found 0</t>
  </si>
  <si>
    <t xml:space="preserve">nothing pending</t>
  </si>
  <si>
    <t xml:space="preserve">damaged found nil</t>
  </si>
  <si>
    <t xml:space="preserve">nothing tba</t>
  </si>
  <si>
    <t xml:space="preserve">damaged found none</t>
  </si>
  <si>
    <t xml:space="preserve">nothing tbc</t>
  </si>
  <si>
    <t xml:space="preserve">damaged free</t>
  </si>
  <si>
    <t xml:space="preserve">nothing tbd</t>
  </si>
  <si>
    <t xml:space="preserve">damaged nil</t>
  </si>
  <si>
    <t xml:space="preserve">nothing to be confirmed</t>
  </si>
  <si>
    <t xml:space="preserve">damaged none</t>
  </si>
  <si>
    <t xml:space="preserve">nothing to be sent</t>
  </si>
  <si>
    <t xml:space="preserve">damaged not found</t>
  </si>
  <si>
    <t xml:space="preserve">nothing to be uploaded</t>
  </si>
  <si>
    <t xml:space="preserve">damaged noted 0</t>
  </si>
  <si>
    <t xml:space="preserve">nothing to follow</t>
  </si>
  <si>
    <t xml:space="preserve">damaged nothing</t>
  </si>
  <si>
    <t xml:space="preserve">nothing waiting</t>
  </si>
  <si>
    <t xml:space="preserve">damaged zero</t>
  </si>
  <si>
    <t xml:space="preserve">or pending</t>
  </si>
  <si>
    <t xml:space="preserve">defect 0</t>
  </si>
  <si>
    <t xml:space="preserve">or to follow</t>
  </si>
  <si>
    <t xml:space="preserve">defect found 0</t>
  </si>
  <si>
    <t xml:space="preserve">pending 0</t>
  </si>
  <si>
    <t xml:space="preserve">defect found nil</t>
  </si>
  <si>
    <t xml:space="preserve">pending items 0</t>
  </si>
  <si>
    <t xml:space="preserve">defect found none</t>
  </si>
  <si>
    <t xml:space="preserve">pending items nil</t>
  </si>
  <si>
    <t xml:space="preserve">defect free</t>
  </si>
  <si>
    <t xml:space="preserve">pending items none</t>
  </si>
  <si>
    <t xml:space="preserve">defect nil</t>
  </si>
  <si>
    <t xml:space="preserve">pending nil</t>
  </si>
  <si>
    <t xml:space="preserve">defect none</t>
  </si>
  <si>
    <t xml:space="preserve">pending none</t>
  </si>
  <si>
    <t xml:space="preserve">defect not found</t>
  </si>
  <si>
    <t xml:space="preserve">yet to be introduced</t>
  </si>
  <si>
    <t xml:space="preserve">defect noted 0</t>
  </si>
  <si>
    <t xml:space="preserve">yet to be launched</t>
  </si>
  <si>
    <t xml:space="preserve">defect nothing</t>
  </si>
  <si>
    <t xml:space="preserve">defect zero</t>
  </si>
  <si>
    <t xml:space="preserve">defective 0</t>
  </si>
  <si>
    <t xml:space="preserve">defective found 0</t>
  </si>
  <si>
    <t xml:space="preserve">defective found nil</t>
  </si>
  <si>
    <t xml:space="preserve">defective found none</t>
  </si>
  <si>
    <t xml:space="preserve">defective free</t>
  </si>
  <si>
    <t xml:space="preserve">defective nil</t>
  </si>
  <si>
    <t xml:space="preserve">defective none</t>
  </si>
  <si>
    <t xml:space="preserve">defective not found</t>
  </si>
  <si>
    <t xml:space="preserve">defective noted 0</t>
  </si>
  <si>
    <t xml:space="preserve">defective nothing</t>
  </si>
  <si>
    <t xml:space="preserve">defective zero</t>
  </si>
  <si>
    <t xml:space="preserve">defects 0</t>
  </si>
  <si>
    <t xml:space="preserve">defects found 0</t>
  </si>
  <si>
    <t xml:space="preserve">defects found nil</t>
  </si>
  <si>
    <t xml:space="preserve">defects found none</t>
  </si>
  <si>
    <t xml:space="preserve">defects free</t>
  </si>
  <si>
    <t xml:space="preserve">defects nil</t>
  </si>
  <si>
    <t xml:space="preserve">defects none</t>
  </si>
  <si>
    <t xml:space="preserve">defects not found</t>
  </si>
  <si>
    <t xml:space="preserve">defects noted 0</t>
  </si>
  <si>
    <t xml:space="preserve">defects nothing</t>
  </si>
  <si>
    <t xml:space="preserve">defects zero</t>
  </si>
  <si>
    <t xml:space="preserve">dirty 0</t>
  </si>
  <si>
    <t xml:space="preserve">dirty found 0</t>
  </si>
  <si>
    <t xml:space="preserve">dirty found nil</t>
  </si>
  <si>
    <t xml:space="preserve">dirty found none</t>
  </si>
  <si>
    <t xml:space="preserve">dirty free</t>
  </si>
  <si>
    <t xml:space="preserve">dirty nil</t>
  </si>
  <si>
    <t xml:space="preserve">dirty none</t>
  </si>
  <si>
    <t xml:space="preserve">dirty not found</t>
  </si>
  <si>
    <t xml:space="preserve">dirty noted 0</t>
  </si>
  <si>
    <t xml:space="preserve">dirty nothing</t>
  </si>
  <si>
    <t xml:space="preserve">dirty zero</t>
  </si>
  <si>
    <t xml:space="preserve">discrepancies 0</t>
  </si>
  <si>
    <t xml:space="preserve">discrepancies found 0</t>
  </si>
  <si>
    <t xml:space="preserve">discrepancies found nil</t>
  </si>
  <si>
    <t xml:space="preserve">discrepancies found none</t>
  </si>
  <si>
    <t xml:space="preserve">discrepancies free</t>
  </si>
  <si>
    <t xml:space="preserve">discrepancies nil</t>
  </si>
  <si>
    <t xml:space="preserve">discrepancies none</t>
  </si>
  <si>
    <t xml:space="preserve">discrepancies not found</t>
  </si>
  <si>
    <t xml:space="preserve">discrepancies noted 0</t>
  </si>
  <si>
    <t xml:space="preserve">discrepancies nothing</t>
  </si>
  <si>
    <t xml:space="preserve">discrepancies zero</t>
  </si>
  <si>
    <t xml:space="preserve">discrepancy 0</t>
  </si>
  <si>
    <t xml:space="preserve">discrepancy found 0</t>
  </si>
  <si>
    <t xml:space="preserve">discrepancy found nil</t>
  </si>
  <si>
    <t xml:space="preserve">discrepancy found none</t>
  </si>
  <si>
    <t xml:space="preserve">discrepancy free</t>
  </si>
  <si>
    <t xml:space="preserve">discrepancy nil</t>
  </si>
  <si>
    <t xml:space="preserve">discrepancy none</t>
  </si>
  <si>
    <t xml:space="preserve">discrepancy not found</t>
  </si>
  <si>
    <t xml:space="preserve">discrepancy noted 0</t>
  </si>
  <si>
    <t xml:space="preserve">discrepancy nothing</t>
  </si>
  <si>
    <t xml:space="preserve">discrepancy zero</t>
  </si>
  <si>
    <t xml:space="preserve">does not match 0</t>
  </si>
  <si>
    <t xml:space="preserve">does not match found 0</t>
  </si>
  <si>
    <t xml:space="preserve">does not match found nil</t>
  </si>
  <si>
    <t xml:space="preserve">does not match found none</t>
  </si>
  <si>
    <t xml:space="preserve">does not match free</t>
  </si>
  <si>
    <t xml:space="preserve">does not match nil</t>
  </si>
  <si>
    <t xml:space="preserve">does not match none</t>
  </si>
  <si>
    <t xml:space="preserve">does not match not found</t>
  </si>
  <si>
    <t xml:space="preserve">does not match noted 0</t>
  </si>
  <si>
    <t xml:space="preserve">does not match nothing</t>
  </si>
  <si>
    <t xml:space="preserve">does not match zero</t>
  </si>
  <si>
    <t xml:space="preserve">expired 0</t>
  </si>
  <si>
    <t xml:space="preserve">expired found 0</t>
  </si>
  <si>
    <t xml:space="preserve">expired found nil</t>
  </si>
  <si>
    <t xml:space="preserve">expired found none</t>
  </si>
  <si>
    <t xml:space="preserve">expired free</t>
  </si>
  <si>
    <t xml:space="preserve">expired nil</t>
  </si>
  <si>
    <t xml:space="preserve">expired none</t>
  </si>
  <si>
    <t xml:space="preserve">expired not found</t>
  </si>
  <si>
    <t xml:space="preserve">expired noted 0</t>
  </si>
  <si>
    <t xml:space="preserve">expired nothing</t>
  </si>
  <si>
    <t xml:space="preserve">expired zero</t>
  </si>
  <si>
    <t xml:space="preserve">fail 0</t>
  </si>
  <si>
    <t xml:space="preserve">fail found 0</t>
  </si>
  <si>
    <t xml:space="preserve">fail found nil</t>
  </si>
  <si>
    <t xml:space="preserve">fail found none</t>
  </si>
  <si>
    <t xml:space="preserve">fail free</t>
  </si>
  <si>
    <t xml:space="preserve">fail nil</t>
  </si>
  <si>
    <t xml:space="preserve">fail none</t>
  </si>
  <si>
    <t xml:space="preserve">fail not found</t>
  </si>
  <si>
    <t xml:space="preserve">fail noted 0</t>
  </si>
  <si>
    <t xml:space="preserve">fail nothing</t>
  </si>
  <si>
    <t xml:space="preserve">fail safe</t>
  </si>
  <si>
    <t xml:space="preserve">fail zero</t>
  </si>
  <si>
    <t xml:space="preserve">failed 0</t>
  </si>
  <si>
    <t xml:space="preserve">failed found 0</t>
  </si>
  <si>
    <t xml:space="preserve">failed found nil</t>
  </si>
  <si>
    <t xml:space="preserve">failed found none</t>
  </si>
  <si>
    <t xml:space="preserve">failed free</t>
  </si>
  <si>
    <t xml:space="preserve">failed nil</t>
  </si>
  <si>
    <t xml:space="preserve">failed none</t>
  </si>
  <si>
    <t xml:space="preserve">failed not found</t>
  </si>
  <si>
    <t xml:space="preserve">failed noted 0</t>
  </si>
  <si>
    <t xml:space="preserve">failed nothing</t>
  </si>
  <si>
    <t xml:space="preserve">failed zero</t>
  </si>
  <si>
    <t xml:space="preserve">fails 0</t>
  </si>
  <si>
    <t xml:space="preserve">fails found 0</t>
  </si>
  <si>
    <t xml:space="preserve">fails found nil</t>
  </si>
  <si>
    <t xml:space="preserve">fails found none</t>
  </si>
  <si>
    <t xml:space="preserve">fails free</t>
  </si>
  <si>
    <t xml:space="preserve">fails nil</t>
  </si>
  <si>
    <t xml:space="preserve">fails none</t>
  </si>
  <si>
    <t xml:space="preserve">fails not found</t>
  </si>
  <si>
    <t xml:space="preserve">fails noted 0</t>
  </si>
  <si>
    <t xml:space="preserve">fails nothing</t>
  </si>
  <si>
    <t xml:space="preserve">fails zero</t>
  </si>
  <si>
    <t xml:space="preserve">failsafe</t>
  </si>
  <si>
    <t xml:space="preserve">failure 0</t>
  </si>
  <si>
    <t xml:space="preserve">failure found 0</t>
  </si>
  <si>
    <t xml:space="preserve">failure found nil</t>
  </si>
  <si>
    <t xml:space="preserve">failure found none</t>
  </si>
  <si>
    <t xml:space="preserve">failure free</t>
  </si>
  <si>
    <t xml:space="preserve">failure nil</t>
  </si>
  <si>
    <t xml:space="preserve">failure none</t>
  </si>
  <si>
    <t xml:space="preserve">failure not found</t>
  </si>
  <si>
    <t xml:space="preserve">failure noted 0</t>
  </si>
  <si>
    <t xml:space="preserve">failure nothing</t>
  </si>
  <si>
    <t xml:space="preserve">failure zero</t>
  </si>
  <si>
    <t xml:space="preserve">free from below standard</t>
  </si>
  <si>
    <t xml:space="preserve">free from broken</t>
  </si>
  <si>
    <t xml:space="preserve">free from contaminated</t>
  </si>
  <si>
    <t xml:space="preserve">free from damaged</t>
  </si>
  <si>
    <t xml:space="preserve">free from defect</t>
  </si>
  <si>
    <t xml:space="preserve">free from defective</t>
  </si>
  <si>
    <t xml:space="preserve">free from defects</t>
  </si>
  <si>
    <t xml:space="preserve">free from dirty</t>
  </si>
  <si>
    <t xml:space="preserve">free from discrepancies</t>
  </si>
  <si>
    <t xml:space="preserve">free from discrepancy</t>
  </si>
  <si>
    <t xml:space="preserve">free from does not match</t>
  </si>
  <si>
    <t xml:space="preserve">free from expired</t>
  </si>
  <si>
    <t xml:space="preserve">free from fail</t>
  </si>
  <si>
    <t xml:space="preserve">free from failed</t>
  </si>
  <si>
    <t xml:space="preserve">free from fails</t>
  </si>
  <si>
    <t xml:space="preserve">free from failure</t>
  </si>
  <si>
    <t xml:space="preserve">free from incorrect</t>
  </si>
  <si>
    <t xml:space="preserve">free from insufficient</t>
  </si>
  <si>
    <t xml:space="preserve">free from late</t>
  </si>
  <si>
    <t xml:space="preserve">free from leaking</t>
  </si>
  <si>
    <t xml:space="preserve">free from mislabeled</t>
  </si>
  <si>
    <t xml:space="preserve">free from mislabelled</t>
  </si>
  <si>
    <t xml:space="preserve">free from mismatch</t>
  </si>
  <si>
    <t xml:space="preserve">free from missing</t>
  </si>
  <si>
    <t xml:space="preserve">free from nok</t>
  </si>
  <si>
    <t xml:space="preserve">free from non conforming</t>
  </si>
  <si>
    <t xml:space="preserve">free from nonconforming</t>
  </si>
  <si>
    <t xml:space="preserve">free from not acceptable</t>
  </si>
  <si>
    <t xml:space="preserve">free from not available</t>
  </si>
  <si>
    <t xml:space="preserve">free from not delivered</t>
  </si>
  <si>
    <t xml:space="preserve">free from not enough</t>
  </si>
  <si>
    <t xml:space="preserve">free from not loaded</t>
  </si>
  <si>
    <t xml:space="preserve">free from not match</t>
  </si>
  <si>
    <t xml:space="preserve">free from not matching</t>
  </si>
  <si>
    <t xml:space="preserve">free from not ok</t>
  </si>
  <si>
    <t xml:space="preserve">free from not on board</t>
  </si>
  <si>
    <t xml:space="preserve">free from not provided</t>
  </si>
  <si>
    <t xml:space="preserve">free from not received</t>
  </si>
  <si>
    <t xml:space="preserve">free from not satisfactory</t>
  </si>
  <si>
    <t xml:space="preserve">free from not supplied</t>
  </si>
  <si>
    <t xml:space="preserve">free from not to spec</t>
  </si>
  <si>
    <t xml:space="preserve">free from out of stock</t>
  </si>
  <si>
    <t xml:space="preserve">free from reject</t>
  </si>
  <si>
    <t xml:space="preserve">free from rejected</t>
  </si>
  <si>
    <t xml:space="preserve">free from rejects</t>
  </si>
  <si>
    <t xml:space="preserve">free from short</t>
  </si>
  <si>
    <t xml:space="preserve">free from shortage</t>
  </si>
  <si>
    <t xml:space="preserve">free from shortfall</t>
  </si>
  <si>
    <t xml:space="preserve">free from spoiled</t>
  </si>
  <si>
    <t xml:space="preserve">free from spoilt</t>
  </si>
  <si>
    <t xml:space="preserve">free from stained</t>
  </si>
  <si>
    <t xml:space="preserve">free from torn</t>
  </si>
  <si>
    <t xml:space="preserve">free from unacceptable</t>
  </si>
  <si>
    <t xml:space="preserve">free from unavailable</t>
  </si>
  <si>
    <t xml:space="preserve">free from undelivered</t>
  </si>
  <si>
    <t xml:space="preserve">free from unlabeled</t>
  </si>
  <si>
    <t xml:space="preserve">free from unlabelled</t>
  </si>
  <si>
    <t xml:space="preserve">free from unsatisfactory</t>
  </si>
  <si>
    <t xml:space="preserve">free from wrong</t>
  </si>
  <si>
    <t xml:space="preserve">free from wrongly</t>
  </si>
  <si>
    <t xml:space="preserve">free of below standard</t>
  </si>
  <si>
    <t xml:space="preserve">free of broken</t>
  </si>
  <si>
    <t xml:space="preserve">free of contaminated</t>
  </si>
  <si>
    <t xml:space="preserve">free of damaged</t>
  </si>
  <si>
    <t xml:space="preserve">free of defect</t>
  </si>
  <si>
    <t xml:space="preserve">free of defective</t>
  </si>
  <si>
    <t xml:space="preserve">free of defects</t>
  </si>
  <si>
    <t xml:space="preserve">free of dirty</t>
  </si>
  <si>
    <t xml:space="preserve">free of discrepancies</t>
  </si>
  <si>
    <t xml:space="preserve">free of discrepancy</t>
  </si>
  <si>
    <t xml:space="preserve">free of does not match</t>
  </si>
  <si>
    <t xml:space="preserve">free of expired</t>
  </si>
  <si>
    <t xml:space="preserve">free of fail</t>
  </si>
  <si>
    <t xml:space="preserve">free of failed</t>
  </si>
  <si>
    <t xml:space="preserve">free of fails</t>
  </si>
  <si>
    <t xml:space="preserve">free of failure</t>
  </si>
  <si>
    <t xml:space="preserve">free of incorrect</t>
  </si>
  <si>
    <t xml:space="preserve">free of insufficient</t>
  </si>
  <si>
    <t xml:space="preserve">free of late</t>
  </si>
  <si>
    <t xml:space="preserve">free of leaking</t>
  </si>
  <si>
    <t xml:space="preserve">free of mislabeled</t>
  </si>
  <si>
    <t xml:space="preserve">free of mislabelled</t>
  </si>
  <si>
    <t xml:space="preserve">free of mismatch</t>
  </si>
  <si>
    <t xml:space="preserve">free of missing</t>
  </si>
  <si>
    <t xml:space="preserve">free of nok</t>
  </si>
  <si>
    <t xml:space="preserve">free of non conforming</t>
  </si>
  <si>
    <t xml:space="preserve">free of nonconforming</t>
  </si>
  <si>
    <t xml:space="preserve">free of not acceptable</t>
  </si>
  <si>
    <t xml:space="preserve">free of not available</t>
  </si>
  <si>
    <t xml:space="preserve">free of not delivered</t>
  </si>
  <si>
    <t xml:space="preserve">free of not enough</t>
  </si>
  <si>
    <t xml:space="preserve">free of not loaded</t>
  </si>
  <si>
    <t xml:space="preserve">free of not match</t>
  </si>
  <si>
    <t xml:space="preserve">free of not matching</t>
  </si>
  <si>
    <t xml:space="preserve">free of not ok</t>
  </si>
  <si>
    <t xml:space="preserve">free of not on board</t>
  </si>
  <si>
    <t xml:space="preserve">free of not provided</t>
  </si>
  <si>
    <t xml:space="preserve">free of not received</t>
  </si>
  <si>
    <t xml:space="preserve">free of not satisfactory</t>
  </si>
  <si>
    <t xml:space="preserve">free of not supplied</t>
  </si>
  <si>
    <t xml:space="preserve">free of not to spec</t>
  </si>
  <si>
    <t xml:space="preserve">free of out of stock</t>
  </si>
  <si>
    <t xml:space="preserve">free of reject</t>
  </si>
  <si>
    <t xml:space="preserve">free of rejected</t>
  </si>
  <si>
    <t xml:space="preserve">free of rejects</t>
  </si>
  <si>
    <t xml:space="preserve">free of short</t>
  </si>
  <si>
    <t xml:space="preserve">free of shortage</t>
  </si>
  <si>
    <t xml:space="preserve">free of shortfall</t>
  </si>
  <si>
    <t xml:space="preserve">free of spoiled</t>
  </si>
  <si>
    <t xml:space="preserve">free of spoilt</t>
  </si>
  <si>
    <t xml:space="preserve">free of stained</t>
  </si>
  <si>
    <t xml:space="preserve">free of torn</t>
  </si>
  <si>
    <t xml:space="preserve">free of unacceptable</t>
  </si>
  <si>
    <t xml:space="preserve">free of unavailable</t>
  </si>
  <si>
    <t xml:space="preserve">free of undelivered</t>
  </si>
  <si>
    <t xml:space="preserve">free of unlabeled</t>
  </si>
  <si>
    <t xml:space="preserve">free of unlabelled</t>
  </si>
  <si>
    <t xml:space="preserve">free of unsatisfactory</t>
  </si>
  <si>
    <t xml:space="preserve">free of wrong</t>
  </si>
  <si>
    <t xml:space="preserve">free of wrongly</t>
  </si>
  <si>
    <t xml:space="preserve">incorrect 0</t>
  </si>
  <si>
    <t xml:space="preserve">incorrect found 0</t>
  </si>
  <si>
    <t xml:space="preserve">incorrect found nil</t>
  </si>
  <si>
    <t xml:space="preserve">incorrect found none</t>
  </si>
  <si>
    <t xml:space="preserve">incorrect free</t>
  </si>
  <si>
    <t xml:space="preserve">incorrect nil</t>
  </si>
  <si>
    <t xml:space="preserve">incorrect none</t>
  </si>
  <si>
    <t xml:space="preserve">incorrect not found</t>
  </si>
  <si>
    <t xml:space="preserve">incorrect noted 0</t>
  </si>
  <si>
    <t xml:space="preserve">incorrect nothing</t>
  </si>
  <si>
    <t xml:space="preserve">incorrect zero</t>
  </si>
  <si>
    <t xml:space="preserve">insufficient 0</t>
  </si>
  <si>
    <t xml:space="preserve">insufficient found 0</t>
  </si>
  <si>
    <t xml:space="preserve">insufficient found nil</t>
  </si>
  <si>
    <t xml:space="preserve">insufficient found none</t>
  </si>
  <si>
    <t xml:space="preserve">insufficient free</t>
  </si>
  <si>
    <t xml:space="preserve">insufficient nil</t>
  </si>
  <si>
    <t xml:space="preserve">insufficient none</t>
  </si>
  <si>
    <t xml:space="preserve">insufficient not found</t>
  </si>
  <si>
    <t xml:space="preserve">insufficient noted 0</t>
  </si>
  <si>
    <t xml:space="preserve">insufficient nothing</t>
  </si>
  <si>
    <t xml:space="preserve">insufficient zero</t>
  </si>
  <si>
    <t xml:space="preserve">late 0</t>
  </si>
  <si>
    <t xml:space="preserve">late found 0</t>
  </si>
  <si>
    <t xml:space="preserve">late found nil</t>
  </si>
  <si>
    <t xml:space="preserve">late found none</t>
  </si>
  <si>
    <t xml:space="preserve">late free</t>
  </si>
  <si>
    <t xml:space="preserve">late nil</t>
  </si>
  <si>
    <t xml:space="preserve">late none</t>
  </si>
  <si>
    <t xml:space="preserve">late not found</t>
  </si>
  <si>
    <t xml:space="preserve">late noted 0</t>
  </si>
  <si>
    <t xml:space="preserve">late nothing</t>
  </si>
  <si>
    <t xml:space="preserve">late zero</t>
  </si>
  <si>
    <t xml:space="preserve">leaking 0</t>
  </si>
  <si>
    <t xml:space="preserve">leaking found 0</t>
  </si>
  <si>
    <t xml:space="preserve">leaking found nil</t>
  </si>
  <si>
    <t xml:space="preserve">leaking found none</t>
  </si>
  <si>
    <t xml:space="preserve">leaking free</t>
  </si>
  <si>
    <t xml:space="preserve">leaking nil</t>
  </si>
  <si>
    <t xml:space="preserve">leaking none</t>
  </si>
  <si>
    <t xml:space="preserve">leaking not found</t>
  </si>
  <si>
    <t xml:space="preserve">leaking noted 0</t>
  </si>
  <si>
    <t xml:space="preserve">leaking nothing</t>
  </si>
  <si>
    <t xml:space="preserve">leaking zero</t>
  </si>
  <si>
    <t xml:space="preserve">mislabeled 0</t>
  </si>
  <si>
    <t xml:space="preserve">mislabeled found 0</t>
  </si>
  <si>
    <t xml:space="preserve">mislabeled found nil</t>
  </si>
  <si>
    <t xml:space="preserve">mislabeled found none</t>
  </si>
  <si>
    <t xml:space="preserve">mislabeled free</t>
  </si>
  <si>
    <t xml:space="preserve">mislabeled nil</t>
  </si>
  <si>
    <t xml:space="preserve">mislabeled none</t>
  </si>
  <si>
    <t xml:space="preserve">mislabeled not found</t>
  </si>
  <si>
    <t xml:space="preserve">mislabeled noted 0</t>
  </si>
  <si>
    <t xml:space="preserve">mislabeled nothing</t>
  </si>
  <si>
    <t xml:space="preserve">mislabeled zero</t>
  </si>
  <si>
    <t xml:space="preserve">mislabelled 0</t>
  </si>
  <si>
    <t xml:space="preserve">mislabelled found 0</t>
  </si>
  <si>
    <t xml:space="preserve">mislabelled found nil</t>
  </si>
  <si>
    <t xml:space="preserve">mislabelled found none</t>
  </si>
  <si>
    <t xml:space="preserve">mislabelled free</t>
  </si>
  <si>
    <t xml:space="preserve">mislabelled nil</t>
  </si>
  <si>
    <t xml:space="preserve">mislabelled none</t>
  </si>
  <si>
    <t xml:space="preserve">mislabelled not found</t>
  </si>
  <si>
    <t xml:space="preserve">mislabelled noted 0</t>
  </si>
  <si>
    <t xml:space="preserve">mislabelled nothing</t>
  </si>
  <si>
    <t xml:space="preserve">mislabelled zero</t>
  </si>
  <si>
    <t xml:space="preserve">mismatch 0</t>
  </si>
  <si>
    <t xml:space="preserve">mismatch found 0</t>
  </si>
  <si>
    <t xml:space="preserve">mismatch found nil</t>
  </si>
  <si>
    <t xml:space="preserve">mismatch found none</t>
  </si>
  <si>
    <t xml:space="preserve">mismatch free</t>
  </si>
  <si>
    <t xml:space="preserve">mismatch nil</t>
  </si>
  <si>
    <t xml:space="preserve">mismatch none</t>
  </si>
  <si>
    <t xml:space="preserve">mismatch not found</t>
  </si>
  <si>
    <t xml:space="preserve">mismatch noted 0</t>
  </si>
  <si>
    <t xml:space="preserve">mismatch nothing</t>
  </si>
  <si>
    <t xml:space="preserve">mismatch zero</t>
  </si>
  <si>
    <t xml:space="preserve">missing 0</t>
  </si>
  <si>
    <t xml:space="preserve">missing found 0</t>
  </si>
  <si>
    <t xml:space="preserve">missing found nil</t>
  </si>
  <si>
    <t xml:space="preserve">missing found none</t>
  </si>
  <si>
    <t xml:space="preserve">missing free</t>
  </si>
  <si>
    <t xml:space="preserve">missing nil</t>
  </si>
  <si>
    <t xml:space="preserve">missing none</t>
  </si>
  <si>
    <t xml:space="preserve">missing not found</t>
  </si>
  <si>
    <t xml:space="preserve">missing noted 0</t>
  </si>
  <si>
    <t xml:space="preserve">missing nothing</t>
  </si>
  <si>
    <t xml:space="preserve">missing zero</t>
  </si>
  <si>
    <t xml:space="preserve">nil below standard</t>
  </si>
  <si>
    <t xml:space="preserve">nil broken</t>
  </si>
  <si>
    <t xml:space="preserve">nil contaminated</t>
  </si>
  <si>
    <t xml:space="preserve">nil damaged</t>
  </si>
  <si>
    <t xml:space="preserve">nil defect</t>
  </si>
  <si>
    <t xml:space="preserve">nil defective</t>
  </si>
  <si>
    <t xml:space="preserve">nil defects</t>
  </si>
  <si>
    <t xml:space="preserve">nil dirty</t>
  </si>
  <si>
    <t xml:space="preserve">nil discrepancies</t>
  </si>
  <si>
    <t xml:space="preserve">nil discrepancy</t>
  </si>
  <si>
    <t xml:space="preserve">nil does not match</t>
  </si>
  <si>
    <t xml:space="preserve">nil expired</t>
  </si>
  <si>
    <t xml:space="preserve">nil fail</t>
  </si>
  <si>
    <t xml:space="preserve">nil failed</t>
  </si>
  <si>
    <t xml:space="preserve">nil fails</t>
  </si>
  <si>
    <t xml:space="preserve">nil failure</t>
  </si>
  <si>
    <t xml:space="preserve">nil incorrect</t>
  </si>
  <si>
    <t xml:space="preserve">nil insufficient</t>
  </si>
  <si>
    <t xml:space="preserve">nil late</t>
  </si>
  <si>
    <t xml:space="preserve">nil leaking</t>
  </si>
  <si>
    <t xml:space="preserve">nil mislabeled</t>
  </si>
  <si>
    <t xml:space="preserve">nil mislabelled</t>
  </si>
  <si>
    <t xml:space="preserve">nil mismatch</t>
  </si>
  <si>
    <t xml:space="preserve">nil missing</t>
  </si>
  <si>
    <t xml:space="preserve">nil nok</t>
  </si>
  <si>
    <t xml:space="preserve">nil non conforming</t>
  </si>
  <si>
    <t xml:space="preserve">nil nonconforming</t>
  </si>
  <si>
    <t xml:space="preserve">nil not acceptable</t>
  </si>
  <si>
    <t xml:space="preserve">nil not available</t>
  </si>
  <si>
    <t xml:space="preserve">nil not enough</t>
  </si>
  <si>
    <t xml:space="preserve">nil not match</t>
  </si>
  <si>
    <t xml:space="preserve">nil not matching</t>
  </si>
  <si>
    <t xml:space="preserve">nil not ok</t>
  </si>
  <si>
    <t xml:space="preserve">nil not provided</t>
  </si>
  <si>
    <t xml:space="preserve">nil not received</t>
  </si>
  <si>
    <t xml:space="preserve">nil not satisfactory</t>
  </si>
  <si>
    <t xml:space="preserve">nil not supplied</t>
  </si>
  <si>
    <t xml:space="preserve">nil not to spec</t>
  </si>
  <si>
    <t xml:space="preserve">nil out of stock</t>
  </si>
  <si>
    <t xml:space="preserve">nil reject</t>
  </si>
  <si>
    <t xml:space="preserve">nil rejected</t>
  </si>
  <si>
    <t xml:space="preserve">nil rejects</t>
  </si>
  <si>
    <t xml:space="preserve">nil short</t>
  </si>
  <si>
    <t xml:space="preserve">nil shortage</t>
  </si>
  <si>
    <t xml:space="preserve">nil shortfall</t>
  </si>
  <si>
    <t xml:space="preserve">nil spoiled</t>
  </si>
  <si>
    <t xml:space="preserve">nil spoilt</t>
  </si>
  <si>
    <t xml:space="preserve">nil stained</t>
  </si>
  <si>
    <t xml:space="preserve">nil torn</t>
  </si>
  <si>
    <t xml:space="preserve">nil unacceptable</t>
  </si>
  <si>
    <t xml:space="preserve">nil unavailable</t>
  </si>
  <si>
    <t xml:space="preserve">nil undelivered</t>
  </si>
  <si>
    <t xml:space="preserve">nil unlabeled</t>
  </si>
  <si>
    <t xml:space="preserve">nil unlabelled</t>
  </si>
  <si>
    <t xml:space="preserve">nil unsatisfactory</t>
  </si>
  <si>
    <t xml:space="preserve">nil wrong</t>
  </si>
  <si>
    <t xml:space="preserve">nil wrongly</t>
  </si>
  <si>
    <t xml:space="preserve">no below standard</t>
  </si>
  <si>
    <t xml:space="preserve">no broken</t>
  </si>
  <si>
    <t xml:space="preserve">no cleanliness below standard</t>
  </si>
  <si>
    <t xml:space="preserve">no cleanliness broken</t>
  </si>
  <si>
    <t xml:space="preserve">no cleanliness contaminated</t>
  </si>
  <si>
    <t xml:space="preserve">no cleanliness damaged</t>
  </si>
  <si>
    <t xml:space="preserve">no cleanliness defect</t>
  </si>
  <si>
    <t xml:space="preserve">no cleanliness defective</t>
  </si>
  <si>
    <t xml:space="preserve">no cleanliness defects</t>
  </si>
  <si>
    <t xml:space="preserve">no cleanliness dirty</t>
  </si>
  <si>
    <t xml:space="preserve">no cleanliness discrepancies</t>
  </si>
  <si>
    <t xml:space="preserve">no cleanliness discrepancy</t>
  </si>
  <si>
    <t xml:space="preserve">no cleanliness does not match</t>
  </si>
  <si>
    <t xml:space="preserve">no cleanliness expired</t>
  </si>
  <si>
    <t xml:space="preserve">no cleanliness fail</t>
  </si>
  <si>
    <t xml:space="preserve">no cleanliness failed</t>
  </si>
  <si>
    <t xml:space="preserve">no cleanliness fails</t>
  </si>
  <si>
    <t xml:space="preserve">no cleanliness failure</t>
  </si>
  <si>
    <t xml:space="preserve">no cleanliness incorrect</t>
  </si>
  <si>
    <t xml:space="preserve">no cleanliness insufficient</t>
  </si>
  <si>
    <t xml:space="preserve">no cleanliness late</t>
  </si>
  <si>
    <t xml:space="preserve">no cleanliness leaking</t>
  </si>
  <si>
    <t xml:space="preserve">no cleanliness mislabeled</t>
  </si>
  <si>
    <t xml:space="preserve">no cleanliness mislabelled</t>
  </si>
  <si>
    <t xml:space="preserve">no cleanliness mismatch</t>
  </si>
  <si>
    <t xml:space="preserve">no cleanliness missing</t>
  </si>
  <si>
    <t xml:space="preserve">no cleanliness nok</t>
  </si>
  <si>
    <t xml:space="preserve">no cleanliness non conforming</t>
  </si>
  <si>
    <t xml:space="preserve">no cleanliness nonconforming</t>
  </si>
  <si>
    <t xml:space="preserve">no cleanliness not acceptable</t>
  </si>
  <si>
    <t xml:space="preserve">no cleanliness not available</t>
  </si>
  <si>
    <t xml:space="preserve">no cleanliness not delivered</t>
  </si>
  <si>
    <t xml:space="preserve">no cleanliness not enough</t>
  </si>
  <si>
    <t xml:space="preserve">no cleanliness not loaded</t>
  </si>
  <si>
    <t xml:space="preserve">no cleanliness not match</t>
  </si>
  <si>
    <t xml:space="preserve">no cleanliness not matching</t>
  </si>
  <si>
    <t xml:space="preserve">no cleanliness not ok</t>
  </si>
  <si>
    <t xml:space="preserve">no cleanliness not on board</t>
  </si>
  <si>
    <t xml:space="preserve">no cleanliness not provided</t>
  </si>
  <si>
    <t xml:space="preserve">no cleanliness not received</t>
  </si>
  <si>
    <t xml:space="preserve">no cleanliness not satisfactory</t>
  </si>
  <si>
    <t xml:space="preserve">no cleanliness not supplied</t>
  </si>
  <si>
    <t xml:space="preserve">no cleanliness not to spec</t>
  </si>
  <si>
    <t xml:space="preserve">no cleanliness out of stock</t>
  </si>
  <si>
    <t xml:space="preserve">no cleanliness reject</t>
  </si>
  <si>
    <t xml:space="preserve">no cleanliness rejected</t>
  </si>
  <si>
    <t xml:space="preserve">no cleanliness rejects</t>
  </si>
  <si>
    <t xml:space="preserve">no cleanliness short</t>
  </si>
  <si>
    <t xml:space="preserve">no cleanliness shortage</t>
  </si>
  <si>
    <t xml:space="preserve">no cleanliness shortfall</t>
  </si>
  <si>
    <t xml:space="preserve">no cleanliness spoiled</t>
  </si>
  <si>
    <t xml:space="preserve">no cleanliness spoilt</t>
  </si>
  <si>
    <t xml:space="preserve">no cleanliness stained</t>
  </si>
  <si>
    <t xml:space="preserve">no cleanliness torn</t>
  </si>
  <si>
    <t xml:space="preserve">no cleanliness unacceptable</t>
  </si>
  <si>
    <t xml:space="preserve">no cleanliness unavailable</t>
  </si>
  <si>
    <t xml:space="preserve">no cleanliness undelivered</t>
  </si>
  <si>
    <t xml:space="preserve">no cleanliness unlabeled</t>
  </si>
  <si>
    <t xml:space="preserve">no cleanliness unlabelled</t>
  </si>
  <si>
    <t xml:space="preserve">no cleanliness unsatisfactory</t>
  </si>
  <si>
    <t xml:space="preserve">no cleanliness wrong</t>
  </si>
  <si>
    <t xml:space="preserve">no cleanliness wrongly</t>
  </si>
  <si>
    <t xml:space="preserve">no contaminated</t>
  </si>
  <si>
    <t xml:space="preserve">no damaged</t>
  </si>
  <si>
    <t xml:space="preserve">no defect</t>
  </si>
  <si>
    <t xml:space="preserve">no defective</t>
  </si>
  <si>
    <t xml:space="preserve">no defects</t>
  </si>
  <si>
    <t xml:space="preserve">no dirty</t>
  </si>
  <si>
    <t xml:space="preserve">no discrepancies</t>
  </si>
  <si>
    <t xml:space="preserve">no discrepancy</t>
  </si>
  <si>
    <t xml:space="preserve">no does not match</t>
  </si>
  <si>
    <t xml:space="preserve">no equipment below standard</t>
  </si>
  <si>
    <t xml:space="preserve">no equipment broken</t>
  </si>
  <si>
    <t xml:space="preserve">no equipment contaminated</t>
  </si>
  <si>
    <t xml:space="preserve">no equipment damaged</t>
  </si>
  <si>
    <t xml:space="preserve">no equipment defect</t>
  </si>
  <si>
    <t xml:space="preserve">no equipment defective</t>
  </si>
  <si>
    <t xml:space="preserve">no equipment defects</t>
  </si>
  <si>
    <t xml:space="preserve">no equipment dirty</t>
  </si>
  <si>
    <t xml:space="preserve">no equipment discrepancies</t>
  </si>
  <si>
    <t xml:space="preserve">no equipment discrepancy</t>
  </si>
  <si>
    <t xml:space="preserve">no equipment does not match</t>
  </si>
  <si>
    <t xml:space="preserve">no equipment expired</t>
  </si>
  <si>
    <t xml:space="preserve">no equipment fail</t>
  </si>
  <si>
    <t xml:space="preserve">no equipment failed</t>
  </si>
  <si>
    <t xml:space="preserve">no equipment fails</t>
  </si>
  <si>
    <t xml:space="preserve">no equipment failure</t>
  </si>
  <si>
    <t xml:space="preserve">no equipment incorrect</t>
  </si>
  <si>
    <t xml:space="preserve">no equipment insufficient</t>
  </si>
  <si>
    <t xml:space="preserve">no equipment late</t>
  </si>
  <si>
    <t xml:space="preserve">no equipment leaking</t>
  </si>
  <si>
    <t xml:space="preserve">no equipment mislabeled</t>
  </si>
  <si>
    <t xml:space="preserve">no equipment mislabelled</t>
  </si>
  <si>
    <t xml:space="preserve">no equipment mismatch</t>
  </si>
  <si>
    <t xml:space="preserve">no equipment missing</t>
  </si>
  <si>
    <t xml:space="preserve">no equipment nok</t>
  </si>
  <si>
    <t xml:space="preserve">no equipment non conforming</t>
  </si>
  <si>
    <t xml:space="preserve">no equipment nonconforming</t>
  </si>
  <si>
    <t xml:space="preserve">no equipment not acceptable</t>
  </si>
  <si>
    <t xml:space="preserve">no equipment not available</t>
  </si>
  <si>
    <t xml:space="preserve">no equipment not delivered</t>
  </si>
  <si>
    <t xml:space="preserve">no equipment not enough</t>
  </si>
  <si>
    <t xml:space="preserve">no equipment not loaded</t>
  </si>
  <si>
    <t xml:space="preserve">no equipment not match</t>
  </si>
  <si>
    <t xml:space="preserve">no equipment not matching</t>
  </si>
  <si>
    <t xml:space="preserve">no equipment not ok</t>
  </si>
  <si>
    <t xml:space="preserve">no equipment not on board</t>
  </si>
  <si>
    <t xml:space="preserve">no equipment not provided</t>
  </si>
  <si>
    <t xml:space="preserve">no equipment not received</t>
  </si>
  <si>
    <t xml:space="preserve">no equipment not satisfactory</t>
  </si>
  <si>
    <t xml:space="preserve">no equipment not supplied</t>
  </si>
  <si>
    <t xml:space="preserve">no equipment not to spec</t>
  </si>
  <si>
    <t xml:space="preserve">no equipment out of stock</t>
  </si>
  <si>
    <t xml:space="preserve">no equipment reject</t>
  </si>
  <si>
    <t xml:space="preserve">no equipment rejected</t>
  </si>
  <si>
    <t xml:space="preserve">no equipment rejects</t>
  </si>
  <si>
    <t xml:space="preserve">no equipment short</t>
  </si>
  <si>
    <t xml:space="preserve">no equipment shortage</t>
  </si>
  <si>
    <t xml:space="preserve">no equipment shortfall</t>
  </si>
  <si>
    <t xml:space="preserve">no equipment spoiled</t>
  </si>
  <si>
    <t xml:space="preserve">no equipment spoilt</t>
  </si>
  <si>
    <t xml:space="preserve">no equipment stained</t>
  </si>
  <si>
    <t xml:space="preserve">no equipment torn</t>
  </si>
  <si>
    <t xml:space="preserve">no equipment unacceptable</t>
  </si>
  <si>
    <t xml:space="preserve">no equipment unavailable</t>
  </si>
  <si>
    <t xml:space="preserve">no equipment undelivered</t>
  </si>
  <si>
    <t xml:space="preserve">no equipment unlabeled</t>
  </si>
  <si>
    <t xml:space="preserve">no equipment unlabelled</t>
  </si>
  <si>
    <t xml:space="preserve">no equipment unsatisfactory</t>
  </si>
  <si>
    <t xml:space="preserve">no equipment wrong</t>
  </si>
  <si>
    <t xml:space="preserve">no equipment wrongly</t>
  </si>
  <si>
    <t xml:space="preserve">no evidence of below standard</t>
  </si>
  <si>
    <t xml:space="preserve">no evidence of broken</t>
  </si>
  <si>
    <t xml:space="preserve">no evidence of contaminated</t>
  </si>
  <si>
    <t xml:space="preserve">no evidence of damaged</t>
  </si>
  <si>
    <t xml:space="preserve">no evidence of defect</t>
  </si>
  <si>
    <t xml:space="preserve">no evidence of defective</t>
  </si>
  <si>
    <t xml:space="preserve">no evidence of defects</t>
  </si>
  <si>
    <t xml:space="preserve">no evidence of dirty</t>
  </si>
  <si>
    <t xml:space="preserve">no evidence of discrepancies</t>
  </si>
  <si>
    <t xml:space="preserve">no evidence of discrepancy</t>
  </si>
  <si>
    <t xml:space="preserve">no evidence of does not match</t>
  </si>
  <si>
    <t xml:space="preserve">no evidence of expired</t>
  </si>
  <si>
    <t xml:space="preserve">no evidence of fail</t>
  </si>
  <si>
    <t xml:space="preserve">no evidence of failed</t>
  </si>
  <si>
    <t xml:space="preserve">no evidence of fails</t>
  </si>
  <si>
    <t xml:space="preserve">no evidence of failure</t>
  </si>
  <si>
    <t xml:space="preserve">no evidence of incorrect</t>
  </si>
  <si>
    <t xml:space="preserve">no evidence of insufficient</t>
  </si>
  <si>
    <t xml:space="preserve">no evidence of late</t>
  </si>
  <si>
    <t xml:space="preserve">no evidence of leaking</t>
  </si>
  <si>
    <t xml:space="preserve">no evidence of mislabeled</t>
  </si>
  <si>
    <t xml:space="preserve">no evidence of mislabelled</t>
  </si>
  <si>
    <t xml:space="preserve">no evidence of mismatch</t>
  </si>
  <si>
    <t xml:space="preserve">no evidence of missing</t>
  </si>
  <si>
    <t xml:space="preserve">no evidence of nok</t>
  </si>
  <si>
    <t xml:space="preserve">no evidence of non conforming</t>
  </si>
  <si>
    <t xml:space="preserve">no evidence of nonconforming</t>
  </si>
  <si>
    <t xml:space="preserve">no evidence of not acceptable</t>
  </si>
  <si>
    <t xml:space="preserve">no evidence of not available</t>
  </si>
  <si>
    <t xml:space="preserve">no evidence of not delivered</t>
  </si>
  <si>
    <t xml:space="preserve">no evidence of not enough</t>
  </si>
  <si>
    <t xml:space="preserve">no evidence of not loaded</t>
  </si>
  <si>
    <t xml:space="preserve">no evidence of not match</t>
  </si>
  <si>
    <t xml:space="preserve">no evidence of not matching</t>
  </si>
  <si>
    <t xml:space="preserve">no evidence of not ok</t>
  </si>
  <si>
    <t xml:space="preserve">no evidence of not on board</t>
  </si>
  <si>
    <t xml:space="preserve">no evidence of not provided</t>
  </si>
  <si>
    <t xml:space="preserve">no evidence of not received</t>
  </si>
  <si>
    <t xml:space="preserve">no evidence of not satisfactory</t>
  </si>
  <si>
    <t xml:space="preserve">no evidence of not supplied</t>
  </si>
  <si>
    <t xml:space="preserve">no evidence of not to spec</t>
  </si>
  <si>
    <t xml:space="preserve">no evidence of out of stock</t>
  </si>
  <si>
    <t xml:space="preserve">no evidence of reject</t>
  </si>
  <si>
    <t xml:space="preserve">no evidence of rejected</t>
  </si>
  <si>
    <t xml:space="preserve">no evidence of rejects</t>
  </si>
  <si>
    <t xml:space="preserve">no evidence of short</t>
  </si>
  <si>
    <t xml:space="preserve">no evidence of shortage</t>
  </si>
  <si>
    <t xml:space="preserve">no evidence of shortfall</t>
  </si>
  <si>
    <t xml:space="preserve">no evidence of spoiled</t>
  </si>
  <si>
    <t xml:space="preserve">no evidence of spoilt</t>
  </si>
  <si>
    <t xml:space="preserve">no evidence of stained</t>
  </si>
  <si>
    <t xml:space="preserve">no evidence of torn</t>
  </si>
  <si>
    <t xml:space="preserve">no evidence of unacceptable</t>
  </si>
  <si>
    <t xml:space="preserve">no evidence of unavailable</t>
  </si>
  <si>
    <t xml:space="preserve">no evidence of undelivered</t>
  </si>
  <si>
    <t xml:space="preserve">no evidence of unlabeled</t>
  </si>
  <si>
    <t xml:space="preserve">no evidence of unlabelled</t>
  </si>
  <si>
    <t xml:space="preserve">no evidence of unsatisfactory</t>
  </si>
  <si>
    <t xml:space="preserve">no evidence of wrong</t>
  </si>
  <si>
    <t xml:space="preserve">no evidence of wrongly</t>
  </si>
  <si>
    <t xml:space="preserve">no expired</t>
  </si>
  <si>
    <t xml:space="preserve">no fail</t>
  </si>
  <si>
    <t xml:space="preserve">no failed</t>
  </si>
  <si>
    <t xml:space="preserve">no fails</t>
  </si>
  <si>
    <t xml:space="preserve">no failure</t>
  </si>
  <si>
    <t xml:space="preserve">no incorrect</t>
  </si>
  <si>
    <t xml:space="preserve">no insufficient</t>
  </si>
  <si>
    <t xml:space="preserve">no items below standard</t>
  </si>
  <si>
    <t xml:space="preserve">no items broken</t>
  </si>
  <si>
    <t xml:space="preserve">no items contaminated</t>
  </si>
  <si>
    <t xml:space="preserve">no items damaged</t>
  </si>
  <si>
    <t xml:space="preserve">no items defect</t>
  </si>
  <si>
    <t xml:space="preserve">no items defective</t>
  </si>
  <si>
    <t xml:space="preserve">no items defects</t>
  </si>
  <si>
    <t xml:space="preserve">no items dirty</t>
  </si>
  <si>
    <t xml:space="preserve">no items discrepancies</t>
  </si>
  <si>
    <t xml:space="preserve">no items discrepancy</t>
  </si>
  <si>
    <t xml:space="preserve">no items does not match</t>
  </si>
  <si>
    <t xml:space="preserve">no items expired</t>
  </si>
  <si>
    <t xml:space="preserve">no items fail</t>
  </si>
  <si>
    <t xml:space="preserve">no items failed</t>
  </si>
  <si>
    <t xml:space="preserve">no items fails</t>
  </si>
  <si>
    <t xml:space="preserve">no items failure</t>
  </si>
  <si>
    <t xml:space="preserve">no items incorrect</t>
  </si>
  <si>
    <t xml:space="preserve">no items insufficient</t>
  </si>
  <si>
    <t xml:space="preserve">no items late</t>
  </si>
  <si>
    <t xml:space="preserve">no items leaking</t>
  </si>
  <si>
    <t xml:space="preserve">no items mislabeled</t>
  </si>
  <si>
    <t xml:space="preserve">no items mislabelled</t>
  </si>
  <si>
    <t xml:space="preserve">no items mismatch</t>
  </si>
  <si>
    <t xml:space="preserve">no items missing</t>
  </si>
  <si>
    <t xml:space="preserve">no items nok</t>
  </si>
  <si>
    <t xml:space="preserve">no items non conforming</t>
  </si>
  <si>
    <t xml:space="preserve">no items nonconforming</t>
  </si>
  <si>
    <t xml:space="preserve">no items not acceptable</t>
  </si>
  <si>
    <t xml:space="preserve">no items not available</t>
  </si>
  <si>
    <t xml:space="preserve">no items not enough</t>
  </si>
  <si>
    <t xml:space="preserve">no items not match</t>
  </si>
  <si>
    <t xml:space="preserve">no items not matching</t>
  </si>
  <si>
    <t xml:space="preserve">no items not ok</t>
  </si>
  <si>
    <t xml:space="preserve">no items not provided</t>
  </si>
  <si>
    <t xml:space="preserve">no items not received</t>
  </si>
  <si>
    <t xml:space="preserve">no items not satisfactory</t>
  </si>
  <si>
    <t xml:space="preserve">no items not supplied</t>
  </si>
  <si>
    <t xml:space="preserve">no items not to spec</t>
  </si>
  <si>
    <t xml:space="preserve">no items out of stock</t>
  </si>
  <si>
    <t xml:space="preserve">no items reject</t>
  </si>
  <si>
    <t xml:space="preserve">no items rejected</t>
  </si>
  <si>
    <t xml:space="preserve">no items rejects</t>
  </si>
  <si>
    <t xml:space="preserve">no items short</t>
  </si>
  <si>
    <t xml:space="preserve">no items shortage</t>
  </si>
  <si>
    <t xml:space="preserve">no items shortfall</t>
  </si>
  <si>
    <t xml:space="preserve">no items spoiled</t>
  </si>
  <si>
    <t xml:space="preserve">no items spoilt</t>
  </si>
  <si>
    <t xml:space="preserve">no items stained</t>
  </si>
  <si>
    <t xml:space="preserve">no items torn</t>
  </si>
  <si>
    <t xml:space="preserve">no items unacceptable</t>
  </si>
  <si>
    <t xml:space="preserve">no items unavailable</t>
  </si>
  <si>
    <t xml:space="preserve">no items undelivered</t>
  </si>
  <si>
    <t xml:space="preserve">no items unlabeled</t>
  </si>
  <si>
    <t xml:space="preserve">no items unlabelled</t>
  </si>
  <si>
    <t xml:space="preserve">no items unsatisfactory</t>
  </si>
  <si>
    <t xml:space="preserve">no items wrong</t>
  </si>
  <si>
    <t xml:space="preserve">no items wrongly</t>
  </si>
  <si>
    <t xml:space="preserve">no late</t>
  </si>
  <si>
    <t xml:space="preserve">no leaking</t>
  </si>
  <si>
    <t xml:space="preserve">no loading below standard</t>
  </si>
  <si>
    <t xml:space="preserve">no loading broken</t>
  </si>
  <si>
    <t xml:space="preserve">no loading contaminated</t>
  </si>
  <si>
    <t xml:space="preserve">no loading damaged</t>
  </si>
  <si>
    <t xml:space="preserve">no loading defect</t>
  </si>
  <si>
    <t xml:space="preserve">no loading defective</t>
  </si>
  <si>
    <t xml:space="preserve">no loading defects</t>
  </si>
  <si>
    <t xml:space="preserve">no loading dirty</t>
  </si>
  <si>
    <t xml:space="preserve">no loading discrepancies</t>
  </si>
  <si>
    <t xml:space="preserve">no loading discrepancy</t>
  </si>
  <si>
    <t xml:space="preserve">no loading does not match</t>
  </si>
  <si>
    <t xml:space="preserve">no loading expired</t>
  </si>
  <si>
    <t xml:space="preserve">no loading fail</t>
  </si>
  <si>
    <t xml:space="preserve">no loading failed</t>
  </si>
  <si>
    <t xml:space="preserve">no loading fails</t>
  </si>
  <si>
    <t xml:space="preserve">no loading failure</t>
  </si>
  <si>
    <t xml:space="preserve">no loading incorrect</t>
  </si>
  <si>
    <t xml:space="preserve">no loading insufficient</t>
  </si>
  <si>
    <t xml:space="preserve">no loading late</t>
  </si>
  <si>
    <t xml:space="preserve">no loading leaking</t>
  </si>
  <si>
    <t xml:space="preserve">no loading mislabeled</t>
  </si>
  <si>
    <t xml:space="preserve">no loading mislabelled</t>
  </si>
  <si>
    <t xml:space="preserve">no loading mismatch</t>
  </si>
  <si>
    <t xml:space="preserve">no loading missing</t>
  </si>
  <si>
    <t xml:space="preserve">no loading nok</t>
  </si>
  <si>
    <t xml:space="preserve">no loading non conforming</t>
  </si>
  <si>
    <t xml:space="preserve">no loading nonconforming</t>
  </si>
  <si>
    <t xml:space="preserve">no loading not acceptable</t>
  </si>
  <si>
    <t xml:space="preserve">no loading not available</t>
  </si>
  <si>
    <t xml:space="preserve">no loading not delivered</t>
  </si>
  <si>
    <t xml:space="preserve">no loading not enough</t>
  </si>
  <si>
    <t xml:space="preserve">no loading not loaded</t>
  </si>
  <si>
    <t xml:space="preserve">no loading not match</t>
  </si>
  <si>
    <t xml:space="preserve">no loading not matching</t>
  </si>
  <si>
    <t xml:space="preserve">no loading not ok</t>
  </si>
  <si>
    <t xml:space="preserve">no loading not on board</t>
  </si>
  <si>
    <t xml:space="preserve">no loading not provided</t>
  </si>
  <si>
    <t xml:space="preserve">no loading not received</t>
  </si>
  <si>
    <t xml:space="preserve">no loading not satisfactory</t>
  </si>
  <si>
    <t xml:space="preserve">no loading not supplied</t>
  </si>
  <si>
    <t xml:space="preserve">no loading not to spec</t>
  </si>
  <si>
    <t xml:space="preserve">no loading out of stock</t>
  </si>
  <si>
    <t xml:space="preserve">no loading reject</t>
  </si>
  <si>
    <t xml:space="preserve">no loading rejected</t>
  </si>
  <si>
    <t xml:space="preserve">no loading rejects</t>
  </si>
  <si>
    <t xml:space="preserve">no loading short</t>
  </si>
  <si>
    <t xml:space="preserve">no loading shortage</t>
  </si>
  <si>
    <t xml:space="preserve">no loading shortfall</t>
  </si>
  <si>
    <t xml:space="preserve">no loading spoiled</t>
  </si>
  <si>
    <t xml:space="preserve">no loading spoilt</t>
  </si>
  <si>
    <t xml:space="preserve">no loading stained</t>
  </si>
  <si>
    <t xml:space="preserve">no loading torn</t>
  </si>
  <si>
    <t xml:space="preserve">no loading unacceptable</t>
  </si>
  <si>
    <t xml:space="preserve">no loading unavailable</t>
  </si>
  <si>
    <t xml:space="preserve">no loading undelivered</t>
  </si>
  <si>
    <t xml:space="preserve">no loading unlabeled</t>
  </si>
  <si>
    <t xml:space="preserve">no loading unlabelled</t>
  </si>
  <si>
    <t xml:space="preserve">no loading unsatisfactory</t>
  </si>
  <si>
    <t xml:space="preserve">no loading wrong</t>
  </si>
  <si>
    <t xml:space="preserve">no loading wrongly</t>
  </si>
  <si>
    <t xml:space="preserve">no meal below standard</t>
  </si>
  <si>
    <t xml:space="preserve">no meal broken</t>
  </si>
  <si>
    <t xml:space="preserve">no meal contaminated</t>
  </si>
  <si>
    <t xml:space="preserve">no meal damaged</t>
  </si>
  <si>
    <t xml:space="preserve">no meal defect</t>
  </si>
  <si>
    <t xml:space="preserve">no meal defective</t>
  </si>
  <si>
    <t xml:space="preserve">no meal defects</t>
  </si>
  <si>
    <t xml:space="preserve">no meal dirty</t>
  </si>
  <si>
    <t xml:space="preserve">no meal discrepancies</t>
  </si>
  <si>
    <t xml:space="preserve">no meal discrepancy</t>
  </si>
  <si>
    <t xml:space="preserve">no meal does not match</t>
  </si>
  <si>
    <t xml:space="preserve">no meal expired</t>
  </si>
  <si>
    <t xml:space="preserve">no meal fail</t>
  </si>
  <si>
    <t xml:space="preserve">no meal failed</t>
  </si>
  <si>
    <t xml:space="preserve">no meal fails</t>
  </si>
  <si>
    <t xml:space="preserve">no meal failure</t>
  </si>
  <si>
    <t xml:space="preserve">no meal incorrect</t>
  </si>
  <si>
    <t xml:space="preserve">no meal insufficient</t>
  </si>
  <si>
    <t xml:space="preserve">no meal late</t>
  </si>
  <si>
    <t xml:space="preserve">no meal leaking</t>
  </si>
  <si>
    <t xml:space="preserve">no meal mislabeled</t>
  </si>
  <si>
    <t xml:space="preserve">no meal mislabelled</t>
  </si>
  <si>
    <t xml:space="preserve">no meal mismatch</t>
  </si>
  <si>
    <t xml:space="preserve">no meal missing</t>
  </si>
  <si>
    <t xml:space="preserve">no meal nok</t>
  </si>
  <si>
    <t xml:space="preserve">no meal non conforming</t>
  </si>
  <si>
    <t xml:space="preserve">no meal nonconforming</t>
  </si>
  <si>
    <t xml:space="preserve">no meal not acceptable</t>
  </si>
  <si>
    <t xml:space="preserve">no meal not available</t>
  </si>
  <si>
    <t xml:space="preserve">no meal not delivered</t>
  </si>
  <si>
    <t xml:space="preserve">no meal not enough</t>
  </si>
  <si>
    <t xml:space="preserve">no meal not loaded</t>
  </si>
  <si>
    <t xml:space="preserve">no meal not match</t>
  </si>
  <si>
    <t xml:space="preserve">no meal not matching</t>
  </si>
  <si>
    <t xml:space="preserve">no meal not ok</t>
  </si>
  <si>
    <t xml:space="preserve">no meal not on board</t>
  </si>
  <si>
    <t xml:space="preserve">no meal not provided</t>
  </si>
  <si>
    <t xml:space="preserve">no meal not received</t>
  </si>
  <si>
    <t xml:space="preserve">no meal not satisfactory</t>
  </si>
  <si>
    <t xml:space="preserve">no meal not supplied</t>
  </si>
  <si>
    <t xml:space="preserve">no meal not to spec</t>
  </si>
  <si>
    <t xml:space="preserve">no meal out of stock</t>
  </si>
  <si>
    <t xml:space="preserve">no meal reject</t>
  </si>
  <si>
    <t xml:space="preserve">no meal rejected</t>
  </si>
  <si>
    <t xml:space="preserve">no meal rejects</t>
  </si>
  <si>
    <t xml:space="preserve">no meal short</t>
  </si>
  <si>
    <t xml:space="preserve">no meal shortage</t>
  </si>
  <si>
    <t xml:space="preserve">no meal shortfall</t>
  </si>
  <si>
    <t xml:space="preserve">no meal spoiled</t>
  </si>
  <si>
    <t xml:space="preserve">no meal spoilt</t>
  </si>
  <si>
    <t xml:space="preserve">no meal stained</t>
  </si>
  <si>
    <t xml:space="preserve">no meal torn</t>
  </si>
  <si>
    <t xml:space="preserve">no meal unacceptable</t>
  </si>
  <si>
    <t xml:space="preserve">no meal unavailable</t>
  </si>
  <si>
    <t xml:space="preserve">no meal undelivered</t>
  </si>
  <si>
    <t xml:space="preserve">no meal unlabeled</t>
  </si>
  <si>
    <t xml:space="preserve">no meal unlabelled</t>
  </si>
  <si>
    <t xml:space="preserve">no meal unsatisfactory</t>
  </si>
  <si>
    <t xml:space="preserve">no meal wrong</t>
  </si>
  <si>
    <t xml:space="preserve">no meal wrongly</t>
  </si>
  <si>
    <t xml:space="preserve">no meals below standard</t>
  </si>
  <si>
    <t xml:space="preserve">no meals broken</t>
  </si>
  <si>
    <t xml:space="preserve">no meals contaminated</t>
  </si>
  <si>
    <t xml:space="preserve">no meals damaged</t>
  </si>
  <si>
    <t xml:space="preserve">no meals defect</t>
  </si>
  <si>
    <t xml:space="preserve">no meals defective</t>
  </si>
  <si>
    <t xml:space="preserve">no meals defects</t>
  </si>
  <si>
    <t xml:space="preserve">no meals dirty</t>
  </si>
  <si>
    <t xml:space="preserve">no meals discrepancies</t>
  </si>
  <si>
    <t xml:space="preserve">no meals discrepancy</t>
  </si>
  <si>
    <t xml:space="preserve">no meals does not match</t>
  </si>
  <si>
    <t xml:space="preserve">no meals expired</t>
  </si>
  <si>
    <t xml:space="preserve">no meals fail</t>
  </si>
  <si>
    <t xml:space="preserve">no meals failed</t>
  </si>
  <si>
    <t xml:space="preserve">no meals fails</t>
  </si>
  <si>
    <t xml:space="preserve">no meals failure</t>
  </si>
  <si>
    <t xml:space="preserve">no meals incorrect</t>
  </si>
  <si>
    <t xml:space="preserve">no meals insufficient</t>
  </si>
  <si>
    <t xml:space="preserve">no meals late</t>
  </si>
  <si>
    <t xml:space="preserve">no meals leaking</t>
  </si>
  <si>
    <t xml:space="preserve">no meals mislabeled</t>
  </si>
  <si>
    <t xml:space="preserve">no meals mislabelled</t>
  </si>
  <si>
    <t xml:space="preserve">no meals mismatch</t>
  </si>
  <si>
    <t xml:space="preserve">no meals missing</t>
  </si>
  <si>
    <t xml:space="preserve">no meals nok</t>
  </si>
  <si>
    <t xml:space="preserve">no meals non conforming</t>
  </si>
  <si>
    <t xml:space="preserve">no meals nonconforming</t>
  </si>
  <si>
    <t xml:space="preserve">no meals not acceptable</t>
  </si>
  <si>
    <t xml:space="preserve">no meals not available</t>
  </si>
  <si>
    <t xml:space="preserve">no meals not enough</t>
  </si>
  <si>
    <t xml:space="preserve">no meals not match</t>
  </si>
  <si>
    <t xml:space="preserve">no meals not matching</t>
  </si>
  <si>
    <t xml:space="preserve">no meals not ok</t>
  </si>
  <si>
    <t xml:space="preserve">no meals not provided</t>
  </si>
  <si>
    <t xml:space="preserve">no meals not received</t>
  </si>
  <si>
    <t xml:space="preserve">no meals not satisfactory</t>
  </si>
  <si>
    <t xml:space="preserve">no meals not supplied</t>
  </si>
  <si>
    <t xml:space="preserve">no meals not to spec</t>
  </si>
  <si>
    <t xml:space="preserve">no meals out of stock</t>
  </si>
  <si>
    <t xml:space="preserve">no meals reject</t>
  </si>
  <si>
    <t xml:space="preserve">no meals rejected</t>
  </si>
  <si>
    <t xml:space="preserve">no meals rejects</t>
  </si>
  <si>
    <t xml:space="preserve">no meals short</t>
  </si>
  <si>
    <t xml:space="preserve">no meals shortage</t>
  </si>
  <si>
    <t xml:space="preserve">no meals shortfall</t>
  </si>
  <si>
    <t xml:space="preserve">no meals spoiled</t>
  </si>
  <si>
    <t xml:space="preserve">no meals spoilt</t>
  </si>
  <si>
    <t xml:space="preserve">no meals stained</t>
  </si>
  <si>
    <t xml:space="preserve">no meals torn</t>
  </si>
  <si>
    <t xml:space="preserve">no meals unacceptable</t>
  </si>
  <si>
    <t xml:space="preserve">no meals unavailable</t>
  </si>
  <si>
    <t xml:space="preserve">no meals undelivered</t>
  </si>
  <si>
    <t xml:space="preserve">no meals unlabeled</t>
  </si>
  <si>
    <t xml:space="preserve">no meals unlabelled</t>
  </si>
  <si>
    <t xml:space="preserve">no meals unsatisfactory</t>
  </si>
  <si>
    <t xml:space="preserve">no meals wrong</t>
  </si>
  <si>
    <t xml:space="preserve">no meals wrongly</t>
  </si>
  <si>
    <t xml:space="preserve">no mislabeled</t>
  </si>
  <si>
    <t xml:space="preserve">no mislabelled</t>
  </si>
  <si>
    <t xml:space="preserve">no mismatch</t>
  </si>
  <si>
    <t xml:space="preserve">no missing</t>
  </si>
  <si>
    <t xml:space="preserve">no nok</t>
  </si>
  <si>
    <t xml:space="preserve">no non conforming</t>
  </si>
  <si>
    <t xml:space="preserve">no nonconforming</t>
  </si>
  <si>
    <t xml:space="preserve">no not acceptable</t>
  </si>
  <si>
    <t xml:space="preserve">no not available</t>
  </si>
  <si>
    <t xml:space="preserve">no not enough</t>
  </si>
  <si>
    <t xml:space="preserve">no not match</t>
  </si>
  <si>
    <t xml:space="preserve">no not matching</t>
  </si>
  <si>
    <t xml:space="preserve">no not ok</t>
  </si>
  <si>
    <t xml:space="preserve">no not provided</t>
  </si>
  <si>
    <t xml:space="preserve">no not received</t>
  </si>
  <si>
    <t xml:space="preserve">no not satisfactory</t>
  </si>
  <si>
    <t xml:space="preserve">no not supplied</t>
  </si>
  <si>
    <t xml:space="preserve">no not to spec</t>
  </si>
  <si>
    <t xml:space="preserve">no obvious below standard</t>
  </si>
  <si>
    <t xml:space="preserve">no obvious broken</t>
  </si>
  <si>
    <t xml:space="preserve">no obvious contaminated</t>
  </si>
  <si>
    <t xml:space="preserve">no obvious damaged</t>
  </si>
  <si>
    <t xml:space="preserve">no obvious defect</t>
  </si>
  <si>
    <t xml:space="preserve">no obvious defective</t>
  </si>
  <si>
    <t xml:space="preserve">no obvious defects</t>
  </si>
  <si>
    <t xml:space="preserve">no obvious dirty</t>
  </si>
  <si>
    <t xml:space="preserve">no obvious discrepancies</t>
  </si>
  <si>
    <t xml:space="preserve">no obvious discrepancy</t>
  </si>
  <si>
    <t xml:space="preserve">no obvious does not match</t>
  </si>
  <si>
    <t xml:space="preserve">no obvious expired</t>
  </si>
  <si>
    <t xml:space="preserve">no obvious fail</t>
  </si>
  <si>
    <t xml:space="preserve">no obvious failed</t>
  </si>
  <si>
    <t xml:space="preserve">no obvious fails</t>
  </si>
  <si>
    <t xml:space="preserve">no obvious failure</t>
  </si>
  <si>
    <t xml:space="preserve">no obvious incorrect</t>
  </si>
  <si>
    <t xml:space="preserve">no obvious insufficient</t>
  </si>
  <si>
    <t xml:space="preserve">no obvious late</t>
  </si>
  <si>
    <t xml:space="preserve">no obvious leaking</t>
  </si>
  <si>
    <t xml:space="preserve">no obvious mislabeled</t>
  </si>
  <si>
    <t xml:space="preserve">no obvious mislabelled</t>
  </si>
  <si>
    <t xml:space="preserve">no obvious mismatch</t>
  </si>
  <si>
    <t xml:space="preserve">no obvious missing</t>
  </si>
  <si>
    <t xml:space="preserve">no obvious nok</t>
  </si>
  <si>
    <t xml:space="preserve">no obvious non conforming</t>
  </si>
  <si>
    <t xml:space="preserve">no obvious nonconforming</t>
  </si>
  <si>
    <t xml:space="preserve">no obvious not acceptable</t>
  </si>
  <si>
    <t xml:space="preserve">no obvious not available</t>
  </si>
  <si>
    <t xml:space="preserve">no obvious not delivered</t>
  </si>
  <si>
    <t xml:space="preserve">no obvious not enough</t>
  </si>
  <si>
    <t xml:space="preserve">no obvious not loaded</t>
  </si>
  <si>
    <t xml:space="preserve">no obvious not match</t>
  </si>
  <si>
    <t xml:space="preserve">no obvious not matching</t>
  </si>
  <si>
    <t xml:space="preserve">no obvious not ok</t>
  </si>
  <si>
    <t xml:space="preserve">no obvious not on board</t>
  </si>
  <si>
    <t xml:space="preserve">no obvious not provided</t>
  </si>
  <si>
    <t xml:space="preserve">no obvious not received</t>
  </si>
  <si>
    <t xml:space="preserve">no obvious not satisfactory</t>
  </si>
  <si>
    <t xml:space="preserve">no obvious not supplied</t>
  </si>
  <si>
    <t xml:space="preserve">no obvious not to spec</t>
  </si>
  <si>
    <t xml:space="preserve">no obvious out of stock</t>
  </si>
  <si>
    <t xml:space="preserve">no obvious reject</t>
  </si>
  <si>
    <t xml:space="preserve">no obvious rejected</t>
  </si>
  <si>
    <t xml:space="preserve">no obvious rejects</t>
  </si>
  <si>
    <t xml:space="preserve">no obvious short</t>
  </si>
  <si>
    <t xml:space="preserve">no obvious shortage</t>
  </si>
  <si>
    <t xml:space="preserve">no obvious shortfall</t>
  </si>
  <si>
    <t xml:space="preserve">no obvious spoiled</t>
  </si>
  <si>
    <t xml:space="preserve">no obvious spoilt</t>
  </si>
  <si>
    <t xml:space="preserve">no obvious stained</t>
  </si>
  <si>
    <t xml:space="preserve">no obvious torn</t>
  </si>
  <si>
    <t xml:space="preserve">no obvious unacceptable</t>
  </si>
  <si>
    <t xml:space="preserve">no obvious unavailable</t>
  </si>
  <si>
    <t xml:space="preserve">no obvious undelivered</t>
  </si>
  <si>
    <t xml:space="preserve">no obvious unlabeled</t>
  </si>
  <si>
    <t xml:space="preserve">no obvious unlabelled</t>
  </si>
  <si>
    <t xml:space="preserve">no obvious unsatisfactory</t>
  </si>
  <si>
    <t xml:space="preserve">no obvious wrong</t>
  </si>
  <si>
    <t xml:space="preserve">no obvious wrongly</t>
  </si>
  <si>
    <t xml:space="preserve">no out of stock</t>
  </si>
  <si>
    <t xml:space="preserve">no presentation below standard</t>
  </si>
  <si>
    <t xml:space="preserve">no presentation broken</t>
  </si>
  <si>
    <t xml:space="preserve">no presentation contaminated</t>
  </si>
  <si>
    <t xml:space="preserve">no presentation damaged</t>
  </si>
  <si>
    <t xml:space="preserve">no presentation defect</t>
  </si>
  <si>
    <t xml:space="preserve">no presentation defective</t>
  </si>
  <si>
    <t xml:space="preserve">no presentation defects</t>
  </si>
  <si>
    <t xml:space="preserve">no presentation dirty</t>
  </si>
  <si>
    <t xml:space="preserve">no presentation discrepancies</t>
  </si>
  <si>
    <t xml:space="preserve">no presentation discrepancy</t>
  </si>
  <si>
    <t xml:space="preserve">no presentation does not match</t>
  </si>
  <si>
    <t xml:space="preserve">no presentation expired</t>
  </si>
  <si>
    <t xml:space="preserve">no presentation fail</t>
  </si>
  <si>
    <t xml:space="preserve">no presentation failed</t>
  </si>
  <si>
    <t xml:space="preserve">no presentation fails</t>
  </si>
  <si>
    <t xml:space="preserve">no presentation failure</t>
  </si>
  <si>
    <t xml:space="preserve">no presentation incorrect</t>
  </si>
  <si>
    <t xml:space="preserve">no presentation insufficient</t>
  </si>
  <si>
    <t xml:space="preserve">no presentation late</t>
  </si>
  <si>
    <t xml:space="preserve">no presentation leaking</t>
  </si>
  <si>
    <t xml:space="preserve">no presentation mislabeled</t>
  </si>
  <si>
    <t xml:space="preserve">no presentation mislabelled</t>
  </si>
  <si>
    <t xml:space="preserve">no presentation mismatch</t>
  </si>
  <si>
    <t xml:space="preserve">no presentation missing</t>
  </si>
  <si>
    <t xml:space="preserve">no presentation nok</t>
  </si>
  <si>
    <t xml:space="preserve">no presentation non conforming</t>
  </si>
  <si>
    <t xml:space="preserve">no presentation nonconforming</t>
  </si>
  <si>
    <t xml:space="preserve">no presentation not acceptable</t>
  </si>
  <si>
    <t xml:space="preserve">no presentation not available</t>
  </si>
  <si>
    <t xml:space="preserve">no presentation not delivered</t>
  </si>
  <si>
    <t xml:space="preserve">no presentation not enough</t>
  </si>
  <si>
    <t xml:space="preserve">no presentation not loaded</t>
  </si>
  <si>
    <t xml:space="preserve">no presentation not match</t>
  </si>
  <si>
    <t xml:space="preserve">no presentation not matching</t>
  </si>
  <si>
    <t xml:space="preserve">no presentation not ok</t>
  </si>
  <si>
    <t xml:space="preserve">no presentation not on board</t>
  </si>
  <si>
    <t xml:space="preserve">no presentation not provided</t>
  </si>
  <si>
    <t xml:space="preserve">no presentation not received</t>
  </si>
  <si>
    <t xml:space="preserve">no presentation not satisfactory</t>
  </si>
  <si>
    <t xml:space="preserve">no presentation not supplied</t>
  </si>
  <si>
    <t xml:space="preserve">no presentation not to spec</t>
  </si>
  <si>
    <t xml:space="preserve">no presentation out of stock</t>
  </si>
  <si>
    <t xml:space="preserve">no presentation reject</t>
  </si>
  <si>
    <t xml:space="preserve">no presentation rejected</t>
  </si>
  <si>
    <t xml:space="preserve">no presentation rejects</t>
  </si>
  <si>
    <t xml:space="preserve">no presentation short</t>
  </si>
  <si>
    <t xml:space="preserve">no presentation shortage</t>
  </si>
  <si>
    <t xml:space="preserve">no presentation shortfall</t>
  </si>
  <si>
    <t xml:space="preserve">no presentation spoiled</t>
  </si>
  <si>
    <t xml:space="preserve">no presentation spoilt</t>
  </si>
  <si>
    <t xml:space="preserve">no presentation stained</t>
  </si>
  <si>
    <t xml:space="preserve">no presentation torn</t>
  </si>
  <si>
    <t xml:space="preserve">no presentation unacceptable</t>
  </si>
  <si>
    <t xml:space="preserve">no presentation unavailable</t>
  </si>
  <si>
    <t xml:space="preserve">no presentation undelivered</t>
  </si>
  <si>
    <t xml:space="preserve">no presentation unlabeled</t>
  </si>
  <si>
    <t xml:space="preserve">no presentation unlabelled</t>
  </si>
  <si>
    <t xml:space="preserve">no presentation unsatisfactory</t>
  </si>
  <si>
    <t xml:space="preserve">no presentation wrong</t>
  </si>
  <si>
    <t xml:space="preserve">no presentation wrongly</t>
  </si>
  <si>
    <t xml:space="preserve">no printing below standard</t>
  </si>
  <si>
    <t xml:space="preserve">no printing broken</t>
  </si>
  <si>
    <t xml:space="preserve">no printing contaminated</t>
  </si>
  <si>
    <t xml:space="preserve">no printing damaged</t>
  </si>
  <si>
    <t xml:space="preserve">no printing defect</t>
  </si>
  <si>
    <t xml:space="preserve">no printing defective</t>
  </si>
  <si>
    <t xml:space="preserve">no printing defects</t>
  </si>
  <si>
    <t xml:space="preserve">no printing dirty</t>
  </si>
  <si>
    <t xml:space="preserve">no printing discrepancies</t>
  </si>
  <si>
    <t xml:space="preserve">no printing discrepancy</t>
  </si>
  <si>
    <t xml:space="preserve">no printing does not match</t>
  </si>
  <si>
    <t xml:space="preserve">no printing expired</t>
  </si>
  <si>
    <t xml:space="preserve">no printing fail</t>
  </si>
  <si>
    <t xml:space="preserve">no printing failed</t>
  </si>
  <si>
    <t xml:space="preserve">no printing fails</t>
  </si>
  <si>
    <t xml:space="preserve">no printing failure</t>
  </si>
  <si>
    <t xml:space="preserve">no printing incorrect</t>
  </si>
  <si>
    <t xml:space="preserve">no printing insufficient</t>
  </si>
  <si>
    <t xml:space="preserve">no printing late</t>
  </si>
  <si>
    <t xml:space="preserve">no printing leaking</t>
  </si>
  <si>
    <t xml:space="preserve">no printing mislabeled</t>
  </si>
  <si>
    <t xml:space="preserve">no printing mislabelled</t>
  </si>
  <si>
    <t xml:space="preserve">no printing mismatch</t>
  </si>
  <si>
    <t xml:space="preserve">no printing missing</t>
  </si>
  <si>
    <t xml:space="preserve">no printing nok</t>
  </si>
  <si>
    <t xml:space="preserve">no printing non conforming</t>
  </si>
  <si>
    <t xml:space="preserve">no printing nonconforming</t>
  </si>
  <si>
    <t xml:space="preserve">no printing not acceptable</t>
  </si>
  <si>
    <t xml:space="preserve">no printing not available</t>
  </si>
  <si>
    <t xml:space="preserve">no printing not delivered</t>
  </si>
  <si>
    <t xml:space="preserve">no printing not enough</t>
  </si>
  <si>
    <t xml:space="preserve">no printing not loaded</t>
  </si>
  <si>
    <t xml:space="preserve">no printing not match</t>
  </si>
  <si>
    <t xml:space="preserve">no printing not matching</t>
  </si>
  <si>
    <t xml:space="preserve">no printing not ok</t>
  </si>
  <si>
    <t xml:space="preserve">no printing not on board</t>
  </si>
  <si>
    <t xml:space="preserve">no printing not provided</t>
  </si>
  <si>
    <t xml:space="preserve">no printing not received</t>
  </si>
  <si>
    <t xml:space="preserve">no printing not satisfactory</t>
  </si>
  <si>
    <t xml:space="preserve">no printing not supplied</t>
  </si>
  <si>
    <t xml:space="preserve">no printing not to spec</t>
  </si>
  <si>
    <t xml:space="preserve">no printing out of stock</t>
  </si>
  <si>
    <t xml:space="preserve">no printing reject</t>
  </si>
  <si>
    <t xml:space="preserve">no printing rejected</t>
  </si>
  <si>
    <t xml:space="preserve">no printing rejects</t>
  </si>
  <si>
    <t xml:space="preserve">no printing short</t>
  </si>
  <si>
    <t xml:space="preserve">no printing shortage</t>
  </si>
  <si>
    <t xml:space="preserve">no printing shortfall</t>
  </si>
  <si>
    <t xml:space="preserve">no printing spoiled</t>
  </si>
  <si>
    <t xml:space="preserve">no printing spoilt</t>
  </si>
  <si>
    <t xml:space="preserve">no printing stained</t>
  </si>
  <si>
    <t xml:space="preserve">no printing torn</t>
  </si>
  <si>
    <t xml:space="preserve">no printing unacceptable</t>
  </si>
  <si>
    <t xml:space="preserve">no printing unavailable</t>
  </si>
  <si>
    <t xml:space="preserve">no printing undelivered</t>
  </si>
  <si>
    <t xml:space="preserve">no printing unlabeled</t>
  </si>
  <si>
    <t xml:space="preserve">no printing unlabelled</t>
  </si>
  <si>
    <t xml:space="preserve">no printing unsatisfactory</t>
  </si>
  <si>
    <t xml:space="preserve">no printing wrong</t>
  </si>
  <si>
    <t xml:space="preserve">no printing wrongly</t>
  </si>
  <si>
    <t xml:space="preserve">no qty below standard</t>
  </si>
  <si>
    <t xml:space="preserve">no qty broken</t>
  </si>
  <si>
    <t xml:space="preserve">no qty contaminated</t>
  </si>
  <si>
    <t xml:space="preserve">no qty damaged</t>
  </si>
  <si>
    <t xml:space="preserve">no qty defect</t>
  </si>
  <si>
    <t xml:space="preserve">no qty defective</t>
  </si>
  <si>
    <t xml:space="preserve">no qty defects</t>
  </si>
  <si>
    <t xml:space="preserve">no qty dirty</t>
  </si>
  <si>
    <t xml:space="preserve">no qty discrepancies</t>
  </si>
  <si>
    <t xml:space="preserve">no qty discrepancy</t>
  </si>
  <si>
    <t xml:space="preserve">no qty does not match</t>
  </si>
  <si>
    <t xml:space="preserve">no qty expired</t>
  </si>
  <si>
    <t xml:space="preserve">no qty fail</t>
  </si>
  <si>
    <t xml:space="preserve">no qty failed</t>
  </si>
  <si>
    <t xml:space="preserve">no qty fails</t>
  </si>
  <si>
    <t xml:space="preserve">no qty failure</t>
  </si>
  <si>
    <t xml:space="preserve">no qty incorrect</t>
  </si>
  <si>
    <t xml:space="preserve">no qty insufficient</t>
  </si>
  <si>
    <t xml:space="preserve">no qty late</t>
  </si>
  <si>
    <t xml:space="preserve">no qty leaking</t>
  </si>
  <si>
    <t xml:space="preserve">no qty mislabeled</t>
  </si>
  <si>
    <t xml:space="preserve">no qty mislabelled</t>
  </si>
  <si>
    <t xml:space="preserve">no qty mismatch</t>
  </si>
  <si>
    <t xml:space="preserve">no qty missing</t>
  </si>
  <si>
    <t xml:space="preserve">no qty nok</t>
  </si>
  <si>
    <t xml:space="preserve">no qty non conforming</t>
  </si>
  <si>
    <t xml:space="preserve">no qty nonconforming</t>
  </si>
  <si>
    <t xml:space="preserve">no qty not acceptable</t>
  </si>
  <si>
    <t xml:space="preserve">no qty not available</t>
  </si>
  <si>
    <t xml:space="preserve">no qty not delivered</t>
  </si>
  <si>
    <t xml:space="preserve">no qty not enough</t>
  </si>
  <si>
    <t xml:space="preserve">no qty not loaded</t>
  </si>
  <si>
    <t xml:space="preserve">no qty not match</t>
  </si>
  <si>
    <t xml:space="preserve">no qty not matching</t>
  </si>
  <si>
    <t xml:space="preserve">no qty not ok</t>
  </si>
  <si>
    <t xml:space="preserve">no qty not on board</t>
  </si>
  <si>
    <t xml:space="preserve">no qty not provided</t>
  </si>
  <si>
    <t xml:space="preserve">no qty not received</t>
  </si>
  <si>
    <t xml:space="preserve">no qty not satisfactory</t>
  </si>
  <si>
    <t xml:space="preserve">no qty not supplied</t>
  </si>
  <si>
    <t xml:space="preserve">no qty not to spec</t>
  </si>
  <si>
    <t xml:space="preserve">no qty out of stock</t>
  </si>
  <si>
    <t xml:space="preserve">no qty reject</t>
  </si>
  <si>
    <t xml:space="preserve">no qty rejected</t>
  </si>
  <si>
    <t xml:space="preserve">no qty rejects</t>
  </si>
  <si>
    <t xml:space="preserve">no qty short</t>
  </si>
  <si>
    <t xml:space="preserve">no qty shortage</t>
  </si>
  <si>
    <t xml:space="preserve">no qty shortfall</t>
  </si>
  <si>
    <t xml:space="preserve">no qty spoiled</t>
  </si>
  <si>
    <t xml:space="preserve">no qty spoilt</t>
  </si>
  <si>
    <t xml:space="preserve">no qty stained</t>
  </si>
  <si>
    <t xml:space="preserve">no qty torn</t>
  </si>
  <si>
    <t xml:space="preserve">no qty unacceptable</t>
  </si>
  <si>
    <t xml:space="preserve">no qty unavailable</t>
  </si>
  <si>
    <t xml:space="preserve">no qty undelivered</t>
  </si>
  <si>
    <t xml:space="preserve">no qty unlabeled</t>
  </si>
  <si>
    <t xml:space="preserve">no qty unlabelled</t>
  </si>
  <si>
    <t xml:space="preserve">no qty unsatisfactory</t>
  </si>
  <si>
    <t xml:space="preserve">no qty wrong</t>
  </si>
  <si>
    <t xml:space="preserve">no qty wrongly</t>
  </si>
  <si>
    <t xml:space="preserve">no quality below standard</t>
  </si>
  <si>
    <t xml:space="preserve">no quality broken</t>
  </si>
  <si>
    <t xml:space="preserve">no quality contaminated</t>
  </si>
  <si>
    <t xml:space="preserve">no quality damaged</t>
  </si>
  <si>
    <t xml:space="preserve">no quality defect</t>
  </si>
  <si>
    <t xml:space="preserve">no quality defective</t>
  </si>
  <si>
    <t xml:space="preserve">no quality defects</t>
  </si>
  <si>
    <t xml:space="preserve">no quality dirty</t>
  </si>
  <si>
    <t xml:space="preserve">no quality discrepancies</t>
  </si>
  <si>
    <t xml:space="preserve">no quality discrepancy</t>
  </si>
  <si>
    <t xml:space="preserve">no quality does not match</t>
  </si>
  <si>
    <t xml:space="preserve">no quality expired</t>
  </si>
  <si>
    <t xml:space="preserve">no quality fail</t>
  </si>
  <si>
    <t xml:space="preserve">no quality failed</t>
  </si>
  <si>
    <t xml:space="preserve">no quality fails</t>
  </si>
  <si>
    <t xml:space="preserve">no quality failure</t>
  </si>
  <si>
    <t xml:space="preserve">no quality incorrect</t>
  </si>
  <si>
    <t xml:space="preserve">no quality insufficient</t>
  </si>
  <si>
    <t xml:space="preserve">no quality late</t>
  </si>
  <si>
    <t xml:space="preserve">no quality leaking</t>
  </si>
  <si>
    <t xml:space="preserve">no quality mislabeled</t>
  </si>
  <si>
    <t xml:space="preserve">no quality mislabelled</t>
  </si>
  <si>
    <t xml:space="preserve">no quality mismatch</t>
  </si>
  <si>
    <t xml:space="preserve">no quality missing</t>
  </si>
  <si>
    <t xml:space="preserve">no quality nok</t>
  </si>
  <si>
    <t xml:space="preserve">no quality non conforming</t>
  </si>
  <si>
    <t xml:space="preserve">no quality nonconforming</t>
  </si>
  <si>
    <t xml:space="preserve">no quality not acceptable</t>
  </si>
  <si>
    <t xml:space="preserve">no quality not available</t>
  </si>
  <si>
    <t xml:space="preserve">no quality not delivered</t>
  </si>
  <si>
    <t xml:space="preserve">no quality not enough</t>
  </si>
  <si>
    <t xml:space="preserve">no quality not loaded</t>
  </si>
  <si>
    <t xml:space="preserve">no quality not match</t>
  </si>
  <si>
    <t xml:space="preserve">no quality not matching</t>
  </si>
  <si>
    <t xml:space="preserve">no quality not ok</t>
  </si>
  <si>
    <t xml:space="preserve">no quality not on board</t>
  </si>
  <si>
    <t xml:space="preserve">no quality not provided</t>
  </si>
  <si>
    <t xml:space="preserve">no quality not received</t>
  </si>
  <si>
    <t xml:space="preserve">no quality not satisfactory</t>
  </si>
  <si>
    <t xml:space="preserve">no quality not supplied</t>
  </si>
  <si>
    <t xml:space="preserve">no quality not to spec</t>
  </si>
  <si>
    <t xml:space="preserve">no quality out of stock</t>
  </si>
  <si>
    <t xml:space="preserve">no quality reject</t>
  </si>
  <si>
    <t xml:space="preserve">no quality rejected</t>
  </si>
  <si>
    <t xml:space="preserve">no quality rejects</t>
  </si>
  <si>
    <t xml:space="preserve">no quality short</t>
  </si>
  <si>
    <t xml:space="preserve">no quality shortage</t>
  </si>
  <si>
    <t xml:space="preserve">no quality shortfall</t>
  </si>
  <si>
    <t xml:space="preserve">no quality spoiled</t>
  </si>
  <si>
    <t xml:space="preserve">no quality spoilt</t>
  </si>
  <si>
    <t xml:space="preserve">no quality stained</t>
  </si>
  <si>
    <t xml:space="preserve">no quality torn</t>
  </si>
  <si>
    <t xml:space="preserve">no quality unacceptable</t>
  </si>
  <si>
    <t xml:space="preserve">no quality unavailable</t>
  </si>
  <si>
    <t xml:space="preserve">no quality undelivered</t>
  </si>
  <si>
    <t xml:space="preserve">no quality unlabeled</t>
  </si>
  <si>
    <t xml:space="preserve">no quality unlabelled</t>
  </si>
  <si>
    <t xml:space="preserve">no quality unsatisfactory</t>
  </si>
  <si>
    <t xml:space="preserve">no quality wrong</t>
  </si>
  <si>
    <t xml:space="preserve">no quality wrongly</t>
  </si>
  <si>
    <t xml:space="preserve">no quantity below standard</t>
  </si>
  <si>
    <t xml:space="preserve">no quantity broken</t>
  </si>
  <si>
    <t xml:space="preserve">no quantity contaminated</t>
  </si>
  <si>
    <t xml:space="preserve">no quantity damaged</t>
  </si>
  <si>
    <t xml:space="preserve">no quantity defect</t>
  </si>
  <si>
    <t xml:space="preserve">no quantity defective</t>
  </si>
  <si>
    <t xml:space="preserve">no quantity defects</t>
  </si>
  <si>
    <t xml:space="preserve">no quantity dirty</t>
  </si>
  <si>
    <t xml:space="preserve">no quantity discrepancies</t>
  </si>
  <si>
    <t xml:space="preserve">no quantity discrepancy</t>
  </si>
  <si>
    <t xml:space="preserve">no quantity does not match</t>
  </si>
  <si>
    <t xml:space="preserve">no quantity expired</t>
  </si>
  <si>
    <t xml:space="preserve">no quantity fail</t>
  </si>
  <si>
    <t xml:space="preserve">no quantity failed</t>
  </si>
  <si>
    <t xml:space="preserve">no quantity fails</t>
  </si>
  <si>
    <t xml:space="preserve">no quantity failure</t>
  </si>
  <si>
    <t xml:space="preserve">no quantity incorrect</t>
  </si>
  <si>
    <t xml:space="preserve">no quantity insufficient</t>
  </si>
  <si>
    <t xml:space="preserve">no quantity late</t>
  </si>
  <si>
    <t xml:space="preserve">no quantity leaking</t>
  </si>
  <si>
    <t xml:space="preserve">no quantity mislabeled</t>
  </si>
  <si>
    <t xml:space="preserve">no quantity mislabelled</t>
  </si>
  <si>
    <t xml:space="preserve">no quantity mismatch</t>
  </si>
  <si>
    <t xml:space="preserve">no quantity missing</t>
  </si>
  <si>
    <t xml:space="preserve">no quantity nok</t>
  </si>
  <si>
    <t xml:space="preserve">no quantity non conforming</t>
  </si>
  <si>
    <t xml:space="preserve">no quantity nonconforming</t>
  </si>
  <si>
    <t xml:space="preserve">no quantity not acceptable</t>
  </si>
  <si>
    <t xml:space="preserve">no quantity not available</t>
  </si>
  <si>
    <t xml:space="preserve">no quantity not delivered</t>
  </si>
  <si>
    <t xml:space="preserve">no quantity not enough</t>
  </si>
  <si>
    <t xml:space="preserve">no quantity not loaded</t>
  </si>
  <si>
    <t xml:space="preserve">no quantity not match</t>
  </si>
  <si>
    <t xml:space="preserve">no quantity not matching</t>
  </si>
  <si>
    <t xml:space="preserve">no quantity not ok</t>
  </si>
  <si>
    <t xml:space="preserve">no quantity not on board</t>
  </si>
  <si>
    <t xml:space="preserve">no quantity not provided</t>
  </si>
  <si>
    <t xml:space="preserve">no quantity not received</t>
  </si>
  <si>
    <t xml:space="preserve">no quantity not satisfactory</t>
  </si>
  <si>
    <t xml:space="preserve">no quantity not supplied</t>
  </si>
  <si>
    <t xml:space="preserve">no quantity not to spec</t>
  </si>
  <si>
    <t xml:space="preserve">no quantity out of stock</t>
  </si>
  <si>
    <t xml:space="preserve">no quantity reject</t>
  </si>
  <si>
    <t xml:space="preserve">no quantity rejected</t>
  </si>
  <si>
    <t xml:space="preserve">no quantity rejects</t>
  </si>
  <si>
    <t xml:space="preserve">no quantity short</t>
  </si>
  <si>
    <t xml:space="preserve">no quantity shortage</t>
  </si>
  <si>
    <t xml:space="preserve">no quantity shortfall</t>
  </si>
  <si>
    <t xml:space="preserve">no quantity spoiled</t>
  </si>
  <si>
    <t xml:space="preserve">no quantity spoilt</t>
  </si>
  <si>
    <t xml:space="preserve">no quantity stained</t>
  </si>
  <si>
    <t xml:space="preserve">no quantity torn</t>
  </si>
  <si>
    <t xml:space="preserve">no quantity unacceptable</t>
  </si>
  <si>
    <t xml:space="preserve">no quantity unavailable</t>
  </si>
  <si>
    <t xml:space="preserve">no quantity undelivered</t>
  </si>
  <si>
    <t xml:space="preserve">no quantity unlabeled</t>
  </si>
  <si>
    <t xml:space="preserve">no quantity unlabelled</t>
  </si>
  <si>
    <t xml:space="preserve">no quantity unsatisfactory</t>
  </si>
  <si>
    <t xml:space="preserve">no quantity wrong</t>
  </si>
  <si>
    <t xml:space="preserve">no quantity wrongly</t>
  </si>
  <si>
    <t xml:space="preserve">no reject</t>
  </si>
  <si>
    <t xml:space="preserve">no rejected</t>
  </si>
  <si>
    <t xml:space="preserve">no rejects</t>
  </si>
  <si>
    <t xml:space="preserve">no short</t>
  </si>
  <si>
    <t xml:space="preserve">no shortage</t>
  </si>
  <si>
    <t xml:space="preserve">no shortfall</t>
  </si>
  <si>
    <t xml:space="preserve">no sign of below standard</t>
  </si>
  <si>
    <t xml:space="preserve">no sign of broken</t>
  </si>
  <si>
    <t xml:space="preserve">no sign of contaminated</t>
  </si>
  <si>
    <t xml:space="preserve">no sign of damaged</t>
  </si>
  <si>
    <t xml:space="preserve">no sign of defect</t>
  </si>
  <si>
    <t xml:space="preserve">no sign of defective</t>
  </si>
  <si>
    <t xml:space="preserve">no sign of defects</t>
  </si>
  <si>
    <t xml:space="preserve">no sign of dirty</t>
  </si>
  <si>
    <t xml:space="preserve">no sign of discrepancies</t>
  </si>
  <si>
    <t xml:space="preserve">no sign of discrepancy</t>
  </si>
  <si>
    <t xml:space="preserve">no sign of does not match</t>
  </si>
  <si>
    <t xml:space="preserve">no sign of expired</t>
  </si>
  <si>
    <t xml:space="preserve">no sign of fail</t>
  </si>
  <si>
    <t xml:space="preserve">no sign of failed</t>
  </si>
  <si>
    <t xml:space="preserve">no sign of fails</t>
  </si>
  <si>
    <t xml:space="preserve">no sign of failure</t>
  </si>
  <si>
    <t xml:space="preserve">no sign of incorrect</t>
  </si>
  <si>
    <t xml:space="preserve">no sign of insufficient</t>
  </si>
  <si>
    <t xml:space="preserve">no sign of late</t>
  </si>
  <si>
    <t xml:space="preserve">no sign of leaking</t>
  </si>
  <si>
    <t xml:space="preserve">no sign of mislabeled</t>
  </si>
  <si>
    <t xml:space="preserve">no sign of mislabelled</t>
  </si>
  <si>
    <t xml:space="preserve">no sign of mismatch</t>
  </si>
  <si>
    <t xml:space="preserve">no sign of missing</t>
  </si>
  <si>
    <t xml:space="preserve">no sign of nok</t>
  </si>
  <si>
    <t xml:space="preserve">no sign of non conforming</t>
  </si>
  <si>
    <t xml:space="preserve">no sign of nonconforming</t>
  </si>
  <si>
    <t xml:space="preserve">no sign of not acceptable</t>
  </si>
  <si>
    <t xml:space="preserve">no sign of not available</t>
  </si>
  <si>
    <t xml:space="preserve">no sign of not delivered</t>
  </si>
  <si>
    <t xml:space="preserve">no sign of not enough</t>
  </si>
  <si>
    <t xml:space="preserve">no sign of not loaded</t>
  </si>
  <si>
    <t xml:space="preserve">no sign of not match</t>
  </si>
  <si>
    <t xml:space="preserve">no sign of not matching</t>
  </si>
  <si>
    <t xml:space="preserve">no sign of not ok</t>
  </si>
  <si>
    <t xml:space="preserve">no sign of not on board</t>
  </si>
  <si>
    <t xml:space="preserve">no sign of not provided</t>
  </si>
  <si>
    <t xml:space="preserve">no sign of not received</t>
  </si>
  <si>
    <t xml:space="preserve">no sign of not satisfactory</t>
  </si>
  <si>
    <t xml:space="preserve">no sign of not supplied</t>
  </si>
  <si>
    <t xml:space="preserve">no sign of not to spec</t>
  </si>
  <si>
    <t xml:space="preserve">no sign of out of stock</t>
  </si>
  <si>
    <t xml:space="preserve">no sign of reject</t>
  </si>
  <si>
    <t xml:space="preserve">no sign of rejected</t>
  </si>
  <si>
    <t xml:space="preserve">no sign of rejects</t>
  </si>
  <si>
    <t xml:space="preserve">no sign of short</t>
  </si>
  <si>
    <t xml:space="preserve">no sign of shortage</t>
  </si>
  <si>
    <t xml:space="preserve">no sign of shortfall</t>
  </si>
  <si>
    <t xml:space="preserve">no sign of spoiled</t>
  </si>
  <si>
    <t xml:space="preserve">no sign of spoilt</t>
  </si>
  <si>
    <t xml:space="preserve">no sign of stained</t>
  </si>
  <si>
    <t xml:space="preserve">no sign of torn</t>
  </si>
  <si>
    <t xml:space="preserve">no sign of unacceptable</t>
  </si>
  <si>
    <t xml:space="preserve">no sign of unavailable</t>
  </si>
  <si>
    <t xml:space="preserve">no sign of undelivered</t>
  </si>
  <si>
    <t xml:space="preserve">no sign of unlabeled</t>
  </si>
  <si>
    <t xml:space="preserve">no sign of unlabelled</t>
  </si>
  <si>
    <t xml:space="preserve">no sign of unsatisfactory</t>
  </si>
  <si>
    <t xml:space="preserve">no sign of wrong</t>
  </si>
  <si>
    <t xml:space="preserve">no sign of wrongly</t>
  </si>
  <si>
    <t xml:space="preserve">no spoiled</t>
  </si>
  <si>
    <t xml:space="preserve">no spoilt</t>
  </si>
  <si>
    <t xml:space="preserve">no stained</t>
  </si>
  <si>
    <t xml:space="preserve">no torn</t>
  </si>
  <si>
    <t xml:space="preserve">no trays below standard</t>
  </si>
  <si>
    <t xml:space="preserve">no trays broken</t>
  </si>
  <si>
    <t xml:space="preserve">no trays contaminated</t>
  </si>
  <si>
    <t xml:space="preserve">no trays damaged</t>
  </si>
  <si>
    <t xml:space="preserve">no trays defect</t>
  </si>
  <si>
    <t xml:space="preserve">no trays defective</t>
  </si>
  <si>
    <t xml:space="preserve">no trays defects</t>
  </si>
  <si>
    <t xml:space="preserve">no trays dirty</t>
  </si>
  <si>
    <t xml:space="preserve">no trays discrepancies</t>
  </si>
  <si>
    <t xml:space="preserve">no trays discrepancy</t>
  </si>
  <si>
    <t xml:space="preserve">no trays does not match</t>
  </si>
  <si>
    <t xml:space="preserve">no trays expired</t>
  </si>
  <si>
    <t xml:space="preserve">no trays fail</t>
  </si>
  <si>
    <t xml:space="preserve">no trays failed</t>
  </si>
  <si>
    <t xml:space="preserve">no trays fails</t>
  </si>
  <si>
    <t xml:space="preserve">no trays failure</t>
  </si>
  <si>
    <t xml:space="preserve">no trays incorrect</t>
  </si>
  <si>
    <t xml:space="preserve">no trays insufficient</t>
  </si>
  <si>
    <t xml:space="preserve">no trays late</t>
  </si>
  <si>
    <t xml:space="preserve">no trays leaking</t>
  </si>
  <si>
    <t xml:space="preserve">no trays mislabeled</t>
  </si>
  <si>
    <t xml:space="preserve">no trays mislabelled</t>
  </si>
  <si>
    <t xml:space="preserve">no trays mismatch</t>
  </si>
  <si>
    <t xml:space="preserve">no trays missing</t>
  </si>
  <si>
    <t xml:space="preserve">no trays nok</t>
  </si>
  <si>
    <t xml:space="preserve">no trays non conforming</t>
  </si>
  <si>
    <t xml:space="preserve">no trays nonconforming</t>
  </si>
  <si>
    <t xml:space="preserve">no trays not acceptable</t>
  </si>
  <si>
    <t xml:space="preserve">no trays not available</t>
  </si>
  <si>
    <t xml:space="preserve">no trays not delivered</t>
  </si>
  <si>
    <t xml:space="preserve">no trays not enough</t>
  </si>
  <si>
    <t xml:space="preserve">no trays not loaded</t>
  </si>
  <si>
    <t xml:space="preserve">no trays not match</t>
  </si>
  <si>
    <t xml:space="preserve">no trays not matching</t>
  </si>
  <si>
    <t xml:space="preserve">no trays not ok</t>
  </si>
  <si>
    <t xml:space="preserve">no trays not on board</t>
  </si>
  <si>
    <t xml:space="preserve">no trays not provided</t>
  </si>
  <si>
    <t xml:space="preserve">no trays not received</t>
  </si>
  <si>
    <t xml:space="preserve">no trays not satisfactory</t>
  </si>
  <si>
    <t xml:space="preserve">no trays not supplied</t>
  </si>
  <si>
    <t xml:space="preserve">no trays not to spec</t>
  </si>
  <si>
    <t xml:space="preserve">no trays out of stock</t>
  </si>
  <si>
    <t xml:space="preserve">no trays reject</t>
  </si>
  <si>
    <t xml:space="preserve">no trays rejected</t>
  </si>
  <si>
    <t xml:space="preserve">no trays rejects</t>
  </si>
  <si>
    <t xml:space="preserve">no trays short</t>
  </si>
  <si>
    <t xml:space="preserve">no trays shortage</t>
  </si>
  <si>
    <t xml:space="preserve">no trays shortfall</t>
  </si>
  <si>
    <t xml:space="preserve">no trays spoiled</t>
  </si>
  <si>
    <t xml:space="preserve">no trays spoilt</t>
  </si>
  <si>
    <t xml:space="preserve">no trays stained</t>
  </si>
  <si>
    <t xml:space="preserve">no trays torn</t>
  </si>
  <si>
    <t xml:space="preserve">no trays unacceptable</t>
  </si>
  <si>
    <t xml:space="preserve">no trays unavailable</t>
  </si>
  <si>
    <t xml:space="preserve">no trays undelivered</t>
  </si>
  <si>
    <t xml:space="preserve">no trays unlabeled</t>
  </si>
  <si>
    <t xml:space="preserve">no trays unlabelled</t>
  </si>
  <si>
    <t xml:space="preserve">no trays unsatisfactory</t>
  </si>
  <si>
    <t xml:space="preserve">no trays wrong</t>
  </si>
  <si>
    <t xml:space="preserve">no trays wrongly</t>
  </si>
  <si>
    <t xml:space="preserve">no unacceptable</t>
  </si>
  <si>
    <t xml:space="preserve">no unavailable</t>
  </si>
  <si>
    <t xml:space="preserve">no undelivered</t>
  </si>
  <si>
    <t xml:space="preserve">no unlabeled</t>
  </si>
  <si>
    <t xml:space="preserve">no unlabelled</t>
  </si>
  <si>
    <t xml:space="preserve">no unsatisfactory</t>
  </si>
  <si>
    <t xml:space="preserve">no visible below standard</t>
  </si>
  <si>
    <t xml:space="preserve">no visible broken</t>
  </si>
  <si>
    <t xml:space="preserve">no visible contaminated</t>
  </si>
  <si>
    <t xml:space="preserve">no visible damaged</t>
  </si>
  <si>
    <t xml:space="preserve">no visible defect</t>
  </si>
  <si>
    <t xml:space="preserve">no visible defective</t>
  </si>
  <si>
    <t xml:space="preserve">no visible defects</t>
  </si>
  <si>
    <t xml:space="preserve">no visible dirty</t>
  </si>
  <si>
    <t xml:space="preserve">no visible discrepancies</t>
  </si>
  <si>
    <t xml:space="preserve">no visible discrepancy</t>
  </si>
  <si>
    <t xml:space="preserve">no visible does not match</t>
  </si>
  <si>
    <t xml:space="preserve">no visible expired</t>
  </si>
  <si>
    <t xml:space="preserve">no visible fail</t>
  </si>
  <si>
    <t xml:space="preserve">no visible failed</t>
  </si>
  <si>
    <t xml:space="preserve">no visible fails</t>
  </si>
  <si>
    <t xml:space="preserve">no visible failure</t>
  </si>
  <si>
    <t xml:space="preserve">no visible incorrect</t>
  </si>
  <si>
    <t xml:space="preserve">no visible insufficient</t>
  </si>
  <si>
    <t xml:space="preserve">no visible late</t>
  </si>
  <si>
    <t xml:space="preserve">no visible leaking</t>
  </si>
  <si>
    <t xml:space="preserve">no visible mislabeled</t>
  </si>
  <si>
    <t xml:space="preserve">no visible mislabelled</t>
  </si>
  <si>
    <t xml:space="preserve">no visible mismatch</t>
  </si>
  <si>
    <t xml:space="preserve">no visible missing</t>
  </si>
  <si>
    <t xml:space="preserve">no visible nok</t>
  </si>
  <si>
    <t xml:space="preserve">no visible non conforming</t>
  </si>
  <si>
    <t xml:space="preserve">no visible nonconforming</t>
  </si>
  <si>
    <t xml:space="preserve">no visible not acceptable</t>
  </si>
  <si>
    <t xml:space="preserve">no visible not available</t>
  </si>
  <si>
    <t xml:space="preserve">no visible not delivered</t>
  </si>
  <si>
    <t xml:space="preserve">no visible not enough</t>
  </si>
  <si>
    <t xml:space="preserve">no visible not loaded</t>
  </si>
  <si>
    <t xml:space="preserve">no visible not match</t>
  </si>
  <si>
    <t xml:space="preserve">no visible not matching</t>
  </si>
  <si>
    <t xml:space="preserve">no visible not ok</t>
  </si>
  <si>
    <t xml:space="preserve">no visible not on board</t>
  </si>
  <si>
    <t xml:space="preserve">no visible not provided</t>
  </si>
  <si>
    <t xml:space="preserve">no visible not received</t>
  </si>
  <si>
    <t xml:space="preserve">no visible not satisfactory</t>
  </si>
  <si>
    <t xml:space="preserve">no visible not supplied</t>
  </si>
  <si>
    <t xml:space="preserve">no visible not to spec</t>
  </si>
  <si>
    <t xml:space="preserve">no visible out of stock</t>
  </si>
  <si>
    <t xml:space="preserve">no visible reject</t>
  </si>
  <si>
    <t xml:space="preserve">no visible rejected</t>
  </si>
  <si>
    <t xml:space="preserve">no visible rejects</t>
  </si>
  <si>
    <t xml:space="preserve">no visible short</t>
  </si>
  <si>
    <t xml:space="preserve">no visible shortage</t>
  </si>
  <si>
    <t xml:space="preserve">no visible shortfall</t>
  </si>
  <si>
    <t xml:space="preserve">no visible spoiled</t>
  </si>
  <si>
    <t xml:space="preserve">no visible spoilt</t>
  </si>
  <si>
    <t xml:space="preserve">no visible stained</t>
  </si>
  <si>
    <t xml:space="preserve">no visible torn</t>
  </si>
  <si>
    <t xml:space="preserve">no visible unacceptable</t>
  </si>
  <si>
    <t xml:space="preserve">no visible unavailable</t>
  </si>
  <si>
    <t xml:space="preserve">no visible undelivered</t>
  </si>
  <si>
    <t xml:space="preserve">no visible unlabeled</t>
  </si>
  <si>
    <t xml:space="preserve">no visible unlabelled</t>
  </si>
  <si>
    <t xml:space="preserve">no visible unsatisfactory</t>
  </si>
  <si>
    <t xml:space="preserve">no visible wrong</t>
  </si>
  <si>
    <t xml:space="preserve">no visible wrongly</t>
  </si>
  <si>
    <t xml:space="preserve">no wrong</t>
  </si>
  <si>
    <t xml:space="preserve">no wrongly</t>
  </si>
  <si>
    <t xml:space="preserve">nok 0</t>
  </si>
  <si>
    <t xml:space="preserve">nok found 0</t>
  </si>
  <si>
    <t xml:space="preserve">nok found nil</t>
  </si>
  <si>
    <t xml:space="preserve">nok found none</t>
  </si>
  <si>
    <t xml:space="preserve">nok free</t>
  </si>
  <si>
    <t xml:space="preserve">nok nil</t>
  </si>
  <si>
    <t xml:space="preserve">nok none</t>
  </si>
  <si>
    <t xml:space="preserve">nok not found</t>
  </si>
  <si>
    <t xml:space="preserve">nok noted 0</t>
  </si>
  <si>
    <t xml:space="preserve">nok nothing</t>
  </si>
  <si>
    <t xml:space="preserve">nok zero</t>
  </si>
  <si>
    <t xml:space="preserve">non conforming 0</t>
  </si>
  <si>
    <t xml:space="preserve">non conforming found 0</t>
  </si>
  <si>
    <t xml:space="preserve">non conforming found nil</t>
  </si>
  <si>
    <t xml:space="preserve">non conforming found none</t>
  </si>
  <si>
    <t xml:space="preserve">non conforming free</t>
  </si>
  <si>
    <t xml:space="preserve">non conforming nil</t>
  </si>
  <si>
    <t xml:space="preserve">non conforming none</t>
  </si>
  <si>
    <t xml:space="preserve">non conforming not found</t>
  </si>
  <si>
    <t xml:space="preserve">non conforming noted 0</t>
  </si>
  <si>
    <t xml:space="preserve">non conforming nothing</t>
  </si>
  <si>
    <t xml:space="preserve">non conforming zero</t>
  </si>
  <si>
    <t xml:space="preserve">nonconforming 0</t>
  </si>
  <si>
    <t xml:space="preserve">nonconforming found 0</t>
  </si>
  <si>
    <t xml:space="preserve">nonconforming found nil</t>
  </si>
  <si>
    <t xml:space="preserve">nonconforming found none</t>
  </si>
  <si>
    <t xml:space="preserve">nonconforming free</t>
  </si>
  <si>
    <t xml:space="preserve">nonconforming nil</t>
  </si>
  <si>
    <t xml:space="preserve">nonconforming none</t>
  </si>
  <si>
    <t xml:space="preserve">nonconforming not found</t>
  </si>
  <si>
    <t xml:space="preserve">nonconforming noted 0</t>
  </si>
  <si>
    <t xml:space="preserve">nonconforming nothing</t>
  </si>
  <si>
    <t xml:space="preserve">nonconforming zero</t>
  </si>
  <si>
    <t xml:space="preserve">none below standard</t>
  </si>
  <si>
    <t xml:space="preserve">none broken</t>
  </si>
  <si>
    <t xml:space="preserve">none contaminated</t>
  </si>
  <si>
    <t xml:space="preserve">none damaged</t>
  </si>
  <si>
    <t xml:space="preserve">none defect</t>
  </si>
  <si>
    <t xml:space="preserve">none defective</t>
  </si>
  <si>
    <t xml:space="preserve">none defects</t>
  </si>
  <si>
    <t xml:space="preserve">none dirty</t>
  </si>
  <si>
    <t xml:space="preserve">none discrepancies</t>
  </si>
  <si>
    <t xml:space="preserve">none discrepancy</t>
  </si>
  <si>
    <t xml:space="preserve">none does not match</t>
  </si>
  <si>
    <t xml:space="preserve">none expired</t>
  </si>
  <si>
    <t xml:space="preserve">none fail</t>
  </si>
  <si>
    <t xml:space="preserve">none failed</t>
  </si>
  <si>
    <t xml:space="preserve">none fails</t>
  </si>
  <si>
    <t xml:space="preserve">none failure</t>
  </si>
  <si>
    <t xml:space="preserve">none incorrect</t>
  </si>
  <si>
    <t xml:space="preserve">none insufficient</t>
  </si>
  <si>
    <t xml:space="preserve">none late</t>
  </si>
  <si>
    <t xml:space="preserve">none leaking</t>
  </si>
  <si>
    <t xml:space="preserve">none mislabeled</t>
  </si>
  <si>
    <t xml:space="preserve">none mislabelled</t>
  </si>
  <si>
    <t xml:space="preserve">none mismatch</t>
  </si>
  <si>
    <t xml:space="preserve">none missing</t>
  </si>
  <si>
    <t xml:space="preserve">none nok</t>
  </si>
  <si>
    <t xml:space="preserve">none non conforming</t>
  </si>
  <si>
    <t xml:space="preserve">none nonconforming</t>
  </si>
  <si>
    <t xml:space="preserve">none not acceptable</t>
  </si>
  <si>
    <t xml:space="preserve">none not available</t>
  </si>
  <si>
    <t xml:space="preserve">none not enough</t>
  </si>
  <si>
    <t xml:space="preserve">none not match</t>
  </si>
  <si>
    <t xml:space="preserve">none not matching</t>
  </si>
  <si>
    <t xml:space="preserve">none not ok</t>
  </si>
  <si>
    <t xml:space="preserve">none not provided</t>
  </si>
  <si>
    <t xml:space="preserve">none not received</t>
  </si>
  <si>
    <t xml:space="preserve">none not satisfactory</t>
  </si>
  <si>
    <t xml:space="preserve">none not supplied</t>
  </si>
  <si>
    <t xml:space="preserve">none not to spec</t>
  </si>
  <si>
    <t xml:space="preserve">none out of stock</t>
  </si>
  <si>
    <t xml:space="preserve">none reject</t>
  </si>
  <si>
    <t xml:space="preserve">none rejected</t>
  </si>
  <si>
    <t xml:space="preserve">none rejects</t>
  </si>
  <si>
    <t xml:space="preserve">none short</t>
  </si>
  <si>
    <t xml:space="preserve">none shortage</t>
  </si>
  <si>
    <t xml:space="preserve">none shortfall</t>
  </si>
  <si>
    <t xml:space="preserve">none spoiled</t>
  </si>
  <si>
    <t xml:space="preserve">none spoilt</t>
  </si>
  <si>
    <t xml:space="preserve">none stained</t>
  </si>
  <si>
    <t xml:space="preserve">none torn</t>
  </si>
  <si>
    <t xml:space="preserve">none unacceptable</t>
  </si>
  <si>
    <t xml:space="preserve">none unavailable</t>
  </si>
  <si>
    <t xml:space="preserve">none undelivered</t>
  </si>
  <si>
    <t xml:space="preserve">none unlabeled</t>
  </si>
  <si>
    <t xml:space="preserve">none unlabelled</t>
  </si>
  <si>
    <t xml:space="preserve">none unsatisfactory</t>
  </si>
  <si>
    <t xml:space="preserve">none wrong</t>
  </si>
  <si>
    <t xml:space="preserve">none wrongly</t>
  </si>
  <si>
    <t xml:space="preserve">nor below standard</t>
  </si>
  <si>
    <t xml:space="preserve">nor broken</t>
  </si>
  <si>
    <t xml:space="preserve">nor contaminated</t>
  </si>
  <si>
    <t xml:space="preserve">nor damaged</t>
  </si>
  <si>
    <t xml:space="preserve">nor defect</t>
  </si>
  <si>
    <t xml:space="preserve">nor defective</t>
  </si>
  <si>
    <t xml:space="preserve">nor defects</t>
  </si>
  <si>
    <t xml:space="preserve">nor dirty</t>
  </si>
  <si>
    <t xml:space="preserve">nor discrepancies</t>
  </si>
  <si>
    <t xml:space="preserve">nor discrepancy</t>
  </si>
  <si>
    <t xml:space="preserve">nor does not match</t>
  </si>
  <si>
    <t xml:space="preserve">nor expired</t>
  </si>
  <si>
    <t xml:space="preserve">nor fail</t>
  </si>
  <si>
    <t xml:space="preserve">nor failed</t>
  </si>
  <si>
    <t xml:space="preserve">nor fails</t>
  </si>
  <si>
    <t xml:space="preserve">nor failure</t>
  </si>
  <si>
    <t xml:space="preserve">nor incorrect</t>
  </si>
  <si>
    <t xml:space="preserve">nor insufficient</t>
  </si>
  <si>
    <t xml:space="preserve">nor late</t>
  </si>
  <si>
    <t xml:space="preserve">nor leaking</t>
  </si>
  <si>
    <t xml:space="preserve">nor mislabeled</t>
  </si>
  <si>
    <t xml:space="preserve">nor mislabelled</t>
  </si>
  <si>
    <t xml:space="preserve">nor mismatch</t>
  </si>
  <si>
    <t xml:space="preserve">nor missing</t>
  </si>
  <si>
    <t xml:space="preserve">nor nok</t>
  </si>
  <si>
    <t xml:space="preserve">nor non conforming</t>
  </si>
  <si>
    <t xml:space="preserve">nor nonconforming</t>
  </si>
  <si>
    <t xml:space="preserve">nor not acceptable</t>
  </si>
  <si>
    <t xml:space="preserve">nor not available</t>
  </si>
  <si>
    <t xml:space="preserve">nor not delivered</t>
  </si>
  <si>
    <t xml:space="preserve">nor not enough</t>
  </si>
  <si>
    <t xml:space="preserve">nor not loaded</t>
  </si>
  <si>
    <t xml:space="preserve">nor not match</t>
  </si>
  <si>
    <t xml:space="preserve">nor not matching</t>
  </si>
  <si>
    <t xml:space="preserve">nor not ok</t>
  </si>
  <si>
    <t xml:space="preserve">nor not on board</t>
  </si>
  <si>
    <t xml:space="preserve">nor not provided</t>
  </si>
  <si>
    <t xml:space="preserve">nor not received</t>
  </si>
  <si>
    <t xml:space="preserve">nor not satisfactory</t>
  </si>
  <si>
    <t xml:space="preserve">nor not supplied</t>
  </si>
  <si>
    <t xml:space="preserve">nor not to spec</t>
  </si>
  <si>
    <t xml:space="preserve">nor out of stock</t>
  </si>
  <si>
    <t xml:space="preserve">nor reject</t>
  </si>
  <si>
    <t xml:space="preserve">nor rejected</t>
  </si>
  <si>
    <t xml:space="preserve">nor rejects</t>
  </si>
  <si>
    <t xml:space="preserve">nor short</t>
  </si>
  <si>
    <t xml:space="preserve">nor shortage</t>
  </si>
  <si>
    <t xml:space="preserve">nor shortfall</t>
  </si>
  <si>
    <t xml:space="preserve">nor spoiled</t>
  </si>
  <si>
    <t xml:space="preserve">nor spoilt</t>
  </si>
  <si>
    <t xml:space="preserve">nor stained</t>
  </si>
  <si>
    <t xml:space="preserve">nor torn</t>
  </si>
  <si>
    <t xml:space="preserve">nor unacceptable</t>
  </si>
  <si>
    <t xml:space="preserve">nor unavailable</t>
  </si>
  <si>
    <t xml:space="preserve">nor undelivered</t>
  </si>
  <si>
    <t xml:space="preserve">nor unlabeled</t>
  </si>
  <si>
    <t xml:space="preserve">nor unlabelled</t>
  </si>
  <si>
    <t xml:space="preserve">nor unsatisfactory</t>
  </si>
  <si>
    <t xml:space="preserve">nor wrong</t>
  </si>
  <si>
    <t xml:space="preserve">nor wrongly</t>
  </si>
  <si>
    <t xml:space="preserve">not acceptable 0</t>
  </si>
  <si>
    <t xml:space="preserve">not acceptable found 0</t>
  </si>
  <si>
    <t xml:space="preserve">not acceptable found nil</t>
  </si>
  <si>
    <t xml:space="preserve">not acceptable found none</t>
  </si>
  <si>
    <t xml:space="preserve">not acceptable free</t>
  </si>
  <si>
    <t xml:space="preserve">not acceptable nil</t>
  </si>
  <si>
    <t xml:space="preserve">not acceptable none</t>
  </si>
  <si>
    <t xml:space="preserve">not acceptable not found</t>
  </si>
  <si>
    <t xml:space="preserve">not acceptable noted 0</t>
  </si>
  <si>
    <t xml:space="preserve">not acceptable nothing</t>
  </si>
  <si>
    <t xml:space="preserve">not acceptable zero</t>
  </si>
  <si>
    <t xml:space="preserve">not available 0</t>
  </si>
  <si>
    <t xml:space="preserve">not available found 0</t>
  </si>
  <si>
    <t xml:space="preserve">not available found nil</t>
  </si>
  <si>
    <t xml:space="preserve">not available found none</t>
  </si>
  <si>
    <t xml:space="preserve">not available free</t>
  </si>
  <si>
    <t xml:space="preserve">not available nil</t>
  </si>
  <si>
    <t xml:space="preserve">not available none</t>
  </si>
  <si>
    <t xml:space="preserve">not available not found</t>
  </si>
  <si>
    <t xml:space="preserve">not available noted 0</t>
  </si>
  <si>
    <t xml:space="preserve">not available nothing</t>
  </si>
  <si>
    <t xml:space="preserve">not available zero</t>
  </si>
  <si>
    <t xml:space="preserve">not below standard</t>
  </si>
  <si>
    <t xml:space="preserve">not broken</t>
  </si>
  <si>
    <t xml:space="preserve">not contaminated</t>
  </si>
  <si>
    <t xml:space="preserve">not damaged</t>
  </si>
  <si>
    <t xml:space="preserve">not defect</t>
  </si>
  <si>
    <t xml:space="preserve">not defective</t>
  </si>
  <si>
    <t xml:space="preserve">not defects</t>
  </si>
  <si>
    <t xml:space="preserve">not delivered 0</t>
  </si>
  <si>
    <t xml:space="preserve">not delivered found 0</t>
  </si>
  <si>
    <t xml:space="preserve">not delivered found nil</t>
  </si>
  <si>
    <t xml:space="preserve">not delivered found none</t>
  </si>
  <si>
    <t xml:space="preserve">not delivered free</t>
  </si>
  <si>
    <t xml:space="preserve">not delivered nil</t>
  </si>
  <si>
    <t xml:space="preserve">not delivered none</t>
  </si>
  <si>
    <t xml:space="preserve">not delivered not found</t>
  </si>
  <si>
    <t xml:space="preserve">not delivered noted 0</t>
  </si>
  <si>
    <t xml:space="preserve">not delivered nothing</t>
  </si>
  <si>
    <t xml:space="preserve">not delivered zero</t>
  </si>
  <si>
    <t xml:space="preserve">not dirty</t>
  </si>
  <si>
    <t xml:space="preserve">not discrepancies</t>
  </si>
  <si>
    <t xml:space="preserve">not discrepancy</t>
  </si>
  <si>
    <t xml:space="preserve">not does not match</t>
  </si>
  <si>
    <t xml:space="preserve">not enough 0</t>
  </si>
  <si>
    <t xml:space="preserve">not enough found 0</t>
  </si>
  <si>
    <t xml:space="preserve">not enough found nil</t>
  </si>
  <si>
    <t xml:space="preserve">not enough found none</t>
  </si>
  <si>
    <t xml:space="preserve">not enough free</t>
  </si>
  <si>
    <t xml:space="preserve">not enough nil</t>
  </si>
  <si>
    <t xml:space="preserve">not enough none</t>
  </si>
  <si>
    <t xml:space="preserve">not enough not found</t>
  </si>
  <si>
    <t xml:space="preserve">not enough noted 0</t>
  </si>
  <si>
    <t xml:space="preserve">not enough nothing</t>
  </si>
  <si>
    <t xml:space="preserve">not enough zero</t>
  </si>
  <si>
    <t xml:space="preserve">not expired</t>
  </si>
  <si>
    <t xml:space="preserve">not fail</t>
  </si>
  <si>
    <t xml:space="preserve">not failed</t>
  </si>
  <si>
    <t xml:space="preserve">not fails</t>
  </si>
  <si>
    <t xml:space="preserve">not failure</t>
  </si>
  <si>
    <t xml:space="preserve">not incorrect</t>
  </si>
  <si>
    <t xml:space="preserve">not insufficient</t>
  </si>
  <si>
    <t xml:space="preserve">not late</t>
  </si>
  <si>
    <t xml:space="preserve">not leaking</t>
  </si>
  <si>
    <t xml:space="preserve">not loaded found 0</t>
  </si>
  <si>
    <t xml:space="preserve">not loaded found nil</t>
  </si>
  <si>
    <t xml:space="preserve">not loaded found none</t>
  </si>
  <si>
    <t xml:space="preserve">not loaded free</t>
  </si>
  <si>
    <t xml:space="preserve">not loaded not found</t>
  </si>
  <si>
    <t xml:space="preserve">not loaded noted 0</t>
  </si>
  <si>
    <t xml:space="preserve">not loaded nothing</t>
  </si>
  <si>
    <t xml:space="preserve">not loaded zero</t>
  </si>
  <si>
    <t xml:space="preserve">not match 0</t>
  </si>
  <si>
    <t xml:space="preserve">not match found 0</t>
  </si>
  <si>
    <t xml:space="preserve">not match found nil</t>
  </si>
  <si>
    <t xml:space="preserve">not match found none</t>
  </si>
  <si>
    <t xml:space="preserve">not match free</t>
  </si>
  <si>
    <t xml:space="preserve">not match nil</t>
  </si>
  <si>
    <t xml:space="preserve">not match none</t>
  </si>
  <si>
    <t xml:space="preserve">not match not found</t>
  </si>
  <si>
    <t xml:space="preserve">not match noted 0</t>
  </si>
  <si>
    <t xml:space="preserve">not match nothing</t>
  </si>
  <si>
    <t xml:space="preserve">not match zero</t>
  </si>
  <si>
    <t xml:space="preserve">not matching 0</t>
  </si>
  <si>
    <t xml:space="preserve">not matching found 0</t>
  </si>
  <si>
    <t xml:space="preserve">not matching found nil</t>
  </si>
  <si>
    <t xml:space="preserve">not matching found none</t>
  </si>
  <si>
    <t xml:space="preserve">not matching free</t>
  </si>
  <si>
    <t xml:space="preserve">not matching nil</t>
  </si>
  <si>
    <t xml:space="preserve">not matching none</t>
  </si>
  <si>
    <t xml:space="preserve">not matching not found</t>
  </si>
  <si>
    <t xml:space="preserve">not matching noted 0</t>
  </si>
  <si>
    <t xml:space="preserve">not matching nothing</t>
  </si>
  <si>
    <t xml:space="preserve">not matching zero</t>
  </si>
  <si>
    <t xml:space="preserve">not mislabeled</t>
  </si>
  <si>
    <t xml:space="preserve">not mislabelled</t>
  </si>
  <si>
    <t xml:space="preserve">not mismatch</t>
  </si>
  <si>
    <t xml:space="preserve">not missing</t>
  </si>
  <si>
    <t xml:space="preserve">not nok</t>
  </si>
  <si>
    <t xml:space="preserve">not non conforming</t>
  </si>
  <si>
    <t xml:space="preserve">not nonconforming</t>
  </si>
  <si>
    <t xml:space="preserve">not not acceptable</t>
  </si>
  <si>
    <t xml:space="preserve">not not available</t>
  </si>
  <si>
    <t xml:space="preserve">not not delivered</t>
  </si>
  <si>
    <t xml:space="preserve">not not enough</t>
  </si>
  <si>
    <t xml:space="preserve">not not loaded</t>
  </si>
  <si>
    <t xml:space="preserve">not not match</t>
  </si>
  <si>
    <t xml:space="preserve">not not matching</t>
  </si>
  <si>
    <t xml:space="preserve">not not ok</t>
  </si>
  <si>
    <t xml:space="preserve">not not on board</t>
  </si>
  <si>
    <t xml:space="preserve">not not provided</t>
  </si>
  <si>
    <t xml:space="preserve">not not received</t>
  </si>
  <si>
    <t xml:space="preserve">not not satisfactory</t>
  </si>
  <si>
    <t xml:space="preserve">not not supplied</t>
  </si>
  <si>
    <t xml:space="preserve">not not to spec</t>
  </si>
  <si>
    <t xml:space="preserve">not ok 0</t>
  </si>
  <si>
    <t xml:space="preserve">not ok found 0</t>
  </si>
  <si>
    <t xml:space="preserve">not ok found nil</t>
  </si>
  <si>
    <t xml:space="preserve">not ok found none</t>
  </si>
  <si>
    <t xml:space="preserve">not ok free</t>
  </si>
  <si>
    <t xml:space="preserve">not ok nil</t>
  </si>
  <si>
    <t xml:space="preserve">not ok none</t>
  </si>
  <si>
    <t xml:space="preserve">not ok not found</t>
  </si>
  <si>
    <t xml:space="preserve">not ok noted 0</t>
  </si>
  <si>
    <t xml:space="preserve">not ok nothing</t>
  </si>
  <si>
    <t xml:space="preserve">not ok zero</t>
  </si>
  <si>
    <t xml:space="preserve">not on board found 0</t>
  </si>
  <si>
    <t xml:space="preserve">not on board found nil</t>
  </si>
  <si>
    <t xml:space="preserve">not on board found none</t>
  </si>
  <si>
    <t xml:space="preserve">not on board free</t>
  </si>
  <si>
    <t xml:space="preserve">not on board not found</t>
  </si>
  <si>
    <t xml:space="preserve">not on board noted 0</t>
  </si>
  <si>
    <t xml:space="preserve">not on board nothing</t>
  </si>
  <si>
    <t xml:space="preserve">not on board zero</t>
  </si>
  <si>
    <t xml:space="preserve">not out of stock</t>
  </si>
  <si>
    <t xml:space="preserve">not provided 0</t>
  </si>
  <si>
    <t xml:space="preserve">not provided found 0</t>
  </si>
  <si>
    <t xml:space="preserve">not provided found nil</t>
  </si>
  <si>
    <t xml:space="preserve">not provided found none</t>
  </si>
  <si>
    <t xml:space="preserve">not provided free</t>
  </si>
  <si>
    <t xml:space="preserve">not provided nil</t>
  </si>
  <si>
    <t xml:space="preserve">not provided none</t>
  </si>
  <si>
    <t xml:space="preserve">not provided not found</t>
  </si>
  <si>
    <t xml:space="preserve">not provided noted 0</t>
  </si>
  <si>
    <t xml:space="preserve">not provided nothing</t>
  </si>
  <si>
    <t xml:space="preserve">not provided zero</t>
  </si>
  <si>
    <t xml:space="preserve">not received 0</t>
  </si>
  <si>
    <t xml:space="preserve">not received found 0</t>
  </si>
  <si>
    <t xml:space="preserve">not received found nil</t>
  </si>
  <si>
    <t xml:space="preserve">not received found none</t>
  </si>
  <si>
    <t xml:space="preserve">not received free</t>
  </si>
  <si>
    <t xml:space="preserve">not received nil</t>
  </si>
  <si>
    <t xml:space="preserve">not received none</t>
  </si>
  <si>
    <t xml:space="preserve">not received not found</t>
  </si>
  <si>
    <t xml:space="preserve">not received noted 0</t>
  </si>
  <si>
    <t xml:space="preserve">not received nothing</t>
  </si>
  <si>
    <t xml:space="preserve">not received zero</t>
  </si>
  <si>
    <t xml:space="preserve">not reject</t>
  </si>
  <si>
    <t xml:space="preserve">not rejected</t>
  </si>
  <si>
    <t xml:space="preserve">not rejects</t>
  </si>
  <si>
    <t xml:space="preserve">not satisfactory 0</t>
  </si>
  <si>
    <t xml:space="preserve">not satisfactory found 0</t>
  </si>
  <si>
    <t xml:space="preserve">not satisfactory found nil</t>
  </si>
  <si>
    <t xml:space="preserve">not satisfactory found none</t>
  </si>
  <si>
    <t xml:space="preserve">not satisfactory free</t>
  </si>
  <si>
    <t xml:space="preserve">not satisfactory nil</t>
  </si>
  <si>
    <t xml:space="preserve">not satisfactory none</t>
  </si>
  <si>
    <t xml:space="preserve">not satisfactory not found</t>
  </si>
  <si>
    <t xml:space="preserve">not satisfactory noted 0</t>
  </si>
  <si>
    <t xml:space="preserve">not satisfactory nothing</t>
  </si>
  <si>
    <t xml:space="preserve">not satisfactory zero</t>
  </si>
  <si>
    <t xml:space="preserve">not short</t>
  </si>
  <si>
    <t xml:space="preserve">not shortage</t>
  </si>
  <si>
    <t xml:space="preserve">not shortfall</t>
  </si>
  <si>
    <t xml:space="preserve">not spoiled</t>
  </si>
  <si>
    <t xml:space="preserve">not spoilt</t>
  </si>
  <si>
    <t xml:space="preserve">not stained</t>
  </si>
  <si>
    <t xml:space="preserve">not supplied 0</t>
  </si>
  <si>
    <t xml:space="preserve">not supplied found 0</t>
  </si>
  <si>
    <t xml:space="preserve">not supplied found nil</t>
  </si>
  <si>
    <t xml:space="preserve">not supplied found none</t>
  </si>
  <si>
    <t xml:space="preserve">not supplied free</t>
  </si>
  <si>
    <t xml:space="preserve">not supplied nil</t>
  </si>
  <si>
    <t xml:space="preserve">not supplied none</t>
  </si>
  <si>
    <t xml:space="preserve">not supplied not found</t>
  </si>
  <si>
    <t xml:space="preserve">not supplied noted 0</t>
  </si>
  <si>
    <t xml:space="preserve">not supplied nothing</t>
  </si>
  <si>
    <t xml:space="preserve">not supplied zero</t>
  </si>
  <si>
    <t xml:space="preserve">not to spec 0</t>
  </si>
  <si>
    <t xml:space="preserve">not to spec found 0</t>
  </si>
  <si>
    <t xml:space="preserve">not to spec found nil</t>
  </si>
  <si>
    <t xml:space="preserve">not to spec found none</t>
  </si>
  <si>
    <t xml:space="preserve">not to spec free</t>
  </si>
  <si>
    <t xml:space="preserve">not to spec nil</t>
  </si>
  <si>
    <t xml:space="preserve">not to spec none</t>
  </si>
  <si>
    <t xml:space="preserve">not to spec not found</t>
  </si>
  <si>
    <t xml:space="preserve">not to spec noted 0</t>
  </si>
  <si>
    <t xml:space="preserve">not to spec nothing</t>
  </si>
  <si>
    <t xml:space="preserve">not to spec zero</t>
  </si>
  <si>
    <t xml:space="preserve">not torn</t>
  </si>
  <si>
    <t xml:space="preserve">not unacceptable</t>
  </si>
  <si>
    <t xml:space="preserve">not unavailable</t>
  </si>
  <si>
    <t xml:space="preserve">not undelivered</t>
  </si>
  <si>
    <t xml:space="preserve">not unlabeled</t>
  </si>
  <si>
    <t xml:space="preserve">not unlabelled</t>
  </si>
  <si>
    <t xml:space="preserve">not unsatisfactory</t>
  </si>
  <si>
    <t xml:space="preserve">not wrong</t>
  </si>
  <si>
    <t xml:space="preserve">not wrongly</t>
  </si>
  <si>
    <t xml:space="preserve">nothing below standard</t>
  </si>
  <si>
    <t xml:space="preserve">nothing broken</t>
  </si>
  <si>
    <t xml:space="preserve">nothing contaminated</t>
  </si>
  <si>
    <t xml:space="preserve">nothing damaged</t>
  </si>
  <si>
    <t xml:space="preserve">nothing defect</t>
  </si>
  <si>
    <t xml:space="preserve">nothing defective</t>
  </si>
  <si>
    <t xml:space="preserve">nothing defects</t>
  </si>
  <si>
    <t xml:space="preserve">nothing dirty</t>
  </si>
  <si>
    <t xml:space="preserve">nothing discrepancies</t>
  </si>
  <si>
    <t xml:space="preserve">nothing discrepancy</t>
  </si>
  <si>
    <t xml:space="preserve">nothing does not match</t>
  </si>
  <si>
    <t xml:space="preserve">nothing expired</t>
  </si>
  <si>
    <t xml:space="preserve">nothing fail</t>
  </si>
  <si>
    <t xml:space="preserve">nothing failed</t>
  </si>
  <si>
    <t xml:space="preserve">nothing fails</t>
  </si>
  <si>
    <t xml:space="preserve">nothing failure</t>
  </si>
  <si>
    <t xml:space="preserve">nothing incorrect</t>
  </si>
  <si>
    <t xml:space="preserve">nothing insufficient</t>
  </si>
  <si>
    <t xml:space="preserve">nothing late</t>
  </si>
  <si>
    <t xml:space="preserve">nothing leaking</t>
  </si>
  <si>
    <t xml:space="preserve">nothing mislabeled</t>
  </si>
  <si>
    <t xml:space="preserve">nothing mislabelled</t>
  </si>
  <si>
    <t xml:space="preserve">nothing mismatch</t>
  </si>
  <si>
    <t xml:space="preserve">nothing missing</t>
  </si>
  <si>
    <t xml:space="preserve">nothing nok</t>
  </si>
  <si>
    <t xml:space="preserve">nothing non conforming</t>
  </si>
  <si>
    <t xml:space="preserve">nothing nonconforming</t>
  </si>
  <si>
    <t xml:space="preserve">nothing not acceptable</t>
  </si>
  <si>
    <t xml:space="preserve">nothing not available</t>
  </si>
  <si>
    <t xml:space="preserve">nothing not enough</t>
  </si>
  <si>
    <t xml:space="preserve">nothing not match</t>
  </si>
  <si>
    <t xml:space="preserve">nothing not matching</t>
  </si>
  <si>
    <t xml:space="preserve">nothing not ok</t>
  </si>
  <si>
    <t xml:space="preserve">nothing not provided</t>
  </si>
  <si>
    <t xml:space="preserve">nothing not received</t>
  </si>
  <si>
    <t xml:space="preserve">nothing not satisfactory</t>
  </si>
  <si>
    <t xml:space="preserve">nothing not supplied</t>
  </si>
  <si>
    <t xml:space="preserve">nothing not to spec</t>
  </si>
  <si>
    <t xml:space="preserve">nothing out of stock</t>
  </si>
  <si>
    <t xml:space="preserve">nothing reject</t>
  </si>
  <si>
    <t xml:space="preserve">nothing rejected</t>
  </si>
  <si>
    <t xml:space="preserve">nothing rejects</t>
  </si>
  <si>
    <t xml:space="preserve">nothing short</t>
  </si>
  <si>
    <t xml:space="preserve">nothing shortage</t>
  </si>
  <si>
    <t xml:space="preserve">nothing shortfall</t>
  </si>
  <si>
    <t xml:space="preserve">nothing spoiled</t>
  </si>
  <si>
    <t xml:space="preserve">nothing spoilt</t>
  </si>
  <si>
    <t xml:space="preserve">nothing stained</t>
  </si>
  <si>
    <t xml:space="preserve">nothing torn</t>
  </si>
  <si>
    <t xml:space="preserve">nothing unacceptable</t>
  </si>
  <si>
    <t xml:space="preserve">nothing unavailable</t>
  </si>
  <si>
    <t xml:space="preserve">nothing undelivered</t>
  </si>
  <si>
    <t xml:space="preserve">nothing unlabeled</t>
  </si>
  <si>
    <t xml:space="preserve">nothing unlabelled</t>
  </si>
  <si>
    <t xml:space="preserve">nothing unsatisfactory</t>
  </si>
  <si>
    <t xml:space="preserve">nothing wrong</t>
  </si>
  <si>
    <t xml:space="preserve">nothing wrongly</t>
  </si>
  <si>
    <t xml:space="preserve">or below standard</t>
  </si>
  <si>
    <t xml:space="preserve">or broken</t>
  </si>
  <si>
    <t xml:space="preserve">or contaminated</t>
  </si>
  <si>
    <t xml:space="preserve">or damaged</t>
  </si>
  <si>
    <t xml:space="preserve">or defect</t>
  </si>
  <si>
    <t xml:space="preserve">or defective</t>
  </si>
  <si>
    <t xml:space="preserve">or defects</t>
  </si>
  <si>
    <t xml:space="preserve">or dirty</t>
  </si>
  <si>
    <t xml:space="preserve">or discrepancies</t>
  </si>
  <si>
    <t xml:space="preserve">or discrepancy</t>
  </si>
  <si>
    <t xml:space="preserve">or does not match</t>
  </si>
  <si>
    <t xml:space="preserve">or expired</t>
  </si>
  <si>
    <t xml:space="preserve">or fail</t>
  </si>
  <si>
    <t xml:space="preserve">or failed</t>
  </si>
  <si>
    <t xml:space="preserve">or fails</t>
  </si>
  <si>
    <t xml:space="preserve">or failure</t>
  </si>
  <si>
    <t xml:space="preserve">or incorrect</t>
  </si>
  <si>
    <t xml:space="preserve">or insufficient</t>
  </si>
  <si>
    <t xml:space="preserve">or late</t>
  </si>
  <si>
    <t xml:space="preserve">or leaking</t>
  </si>
  <si>
    <t xml:space="preserve">or mislabeled</t>
  </si>
  <si>
    <t xml:space="preserve">or mislabelled</t>
  </si>
  <si>
    <t xml:space="preserve">or mismatch</t>
  </si>
  <si>
    <t xml:space="preserve">or missing</t>
  </si>
  <si>
    <t xml:space="preserve">or nok</t>
  </si>
  <si>
    <t xml:space="preserve">or non conforming</t>
  </si>
  <si>
    <t xml:space="preserve">or nonconforming</t>
  </si>
  <si>
    <t xml:space="preserve">or not acceptable</t>
  </si>
  <si>
    <t xml:space="preserve">or not available</t>
  </si>
  <si>
    <t xml:space="preserve">or not delivered</t>
  </si>
  <si>
    <t xml:space="preserve">or not enough</t>
  </si>
  <si>
    <t xml:space="preserve">or not loaded</t>
  </si>
  <si>
    <t xml:space="preserve">or not match</t>
  </si>
  <si>
    <t xml:space="preserve">or not matching</t>
  </si>
  <si>
    <t xml:space="preserve">or not ok</t>
  </si>
  <si>
    <t xml:space="preserve">or not on board</t>
  </si>
  <si>
    <t xml:space="preserve">or not provided</t>
  </si>
  <si>
    <t xml:space="preserve">or not received</t>
  </si>
  <si>
    <t xml:space="preserve">or not satisfactory</t>
  </si>
  <si>
    <t xml:space="preserve">or not supplied</t>
  </si>
  <si>
    <t xml:space="preserve">or not to spec</t>
  </si>
  <si>
    <t xml:space="preserve">or out of stock</t>
  </si>
  <si>
    <t xml:space="preserve">or reject</t>
  </si>
  <si>
    <t xml:space="preserve">or rejected</t>
  </si>
  <si>
    <t xml:space="preserve">or rejects</t>
  </si>
  <si>
    <t xml:space="preserve">or short</t>
  </si>
  <si>
    <t xml:space="preserve">or shortage</t>
  </si>
  <si>
    <t xml:space="preserve">or shortfall</t>
  </si>
  <si>
    <t xml:space="preserve">or spoiled</t>
  </si>
  <si>
    <t xml:space="preserve">or spoilt</t>
  </si>
  <si>
    <t xml:space="preserve">or stained</t>
  </si>
  <si>
    <t xml:space="preserve">or torn</t>
  </si>
  <si>
    <t xml:space="preserve">or unacceptable</t>
  </si>
  <si>
    <t xml:space="preserve">or unavailable</t>
  </si>
  <si>
    <t xml:space="preserve">or undelivered</t>
  </si>
  <si>
    <t xml:space="preserve">or unlabeled</t>
  </si>
  <si>
    <t xml:space="preserve">or unlabelled</t>
  </si>
  <si>
    <t xml:space="preserve">or unsatisfactory</t>
  </si>
  <si>
    <t xml:space="preserve">or wrong</t>
  </si>
  <si>
    <t xml:space="preserve">or wrongly</t>
  </si>
  <si>
    <t xml:space="preserve">out of stock 0</t>
  </si>
  <si>
    <t xml:space="preserve">out of stock found 0</t>
  </si>
  <si>
    <t xml:space="preserve">out of stock found nil</t>
  </si>
  <si>
    <t xml:space="preserve">out of stock found none</t>
  </si>
  <si>
    <t xml:space="preserve">out of stock free</t>
  </si>
  <si>
    <t xml:space="preserve">out of stock nil</t>
  </si>
  <si>
    <t xml:space="preserve">out of stock none</t>
  </si>
  <si>
    <t xml:space="preserve">out of stock not found</t>
  </si>
  <si>
    <t xml:space="preserve">out of stock noted 0</t>
  </si>
  <si>
    <t xml:space="preserve">out of stock nothing</t>
  </si>
  <si>
    <t xml:space="preserve">out of stock zero</t>
  </si>
  <si>
    <t xml:space="preserve">reject 0</t>
  </si>
  <si>
    <t xml:space="preserve">reject found 0</t>
  </si>
  <si>
    <t xml:space="preserve">reject found nil</t>
  </si>
  <si>
    <t xml:space="preserve">reject found none</t>
  </si>
  <si>
    <t xml:space="preserve">reject free</t>
  </si>
  <si>
    <t xml:space="preserve">reject nil</t>
  </si>
  <si>
    <t xml:space="preserve">reject none</t>
  </si>
  <si>
    <t xml:space="preserve">reject not found</t>
  </si>
  <si>
    <t xml:space="preserve">reject noted 0</t>
  </si>
  <si>
    <t xml:space="preserve">reject nothing</t>
  </si>
  <si>
    <t xml:space="preserve">reject zero</t>
  </si>
  <si>
    <t xml:space="preserve">rejected 0</t>
  </si>
  <si>
    <t xml:space="preserve">rejected found 0</t>
  </si>
  <si>
    <t xml:space="preserve">rejected found nil</t>
  </si>
  <si>
    <t xml:space="preserve">rejected found none</t>
  </si>
  <si>
    <t xml:space="preserve">rejected free</t>
  </si>
  <si>
    <t xml:space="preserve">rejected nil</t>
  </si>
  <si>
    <t xml:space="preserve">rejected none</t>
  </si>
  <si>
    <t xml:space="preserve">rejected not found</t>
  </si>
  <si>
    <t xml:space="preserve">rejected noted 0</t>
  </si>
  <si>
    <t xml:space="preserve">rejected nothing</t>
  </si>
  <si>
    <t xml:space="preserve">rejected zero</t>
  </si>
  <si>
    <t xml:space="preserve">rejects 0</t>
  </si>
  <si>
    <t xml:space="preserve">rejects found 0</t>
  </si>
  <si>
    <t xml:space="preserve">rejects found nil</t>
  </si>
  <si>
    <t xml:space="preserve">rejects found none</t>
  </si>
  <si>
    <t xml:space="preserve">rejects free</t>
  </si>
  <si>
    <t xml:space="preserve">rejects nil</t>
  </si>
  <si>
    <t xml:space="preserve">rejects none</t>
  </si>
  <si>
    <t xml:space="preserve">rejects not found</t>
  </si>
  <si>
    <t xml:space="preserve">rejects noted 0</t>
  </si>
  <si>
    <t xml:space="preserve">rejects nothing</t>
  </si>
  <si>
    <t xml:space="preserve">rejects zero</t>
  </si>
  <si>
    <t xml:space="preserve">short 0</t>
  </si>
  <si>
    <t xml:space="preserve">short cake</t>
  </si>
  <si>
    <t xml:space="preserve">short crust</t>
  </si>
  <si>
    <t xml:space="preserve">short found 0</t>
  </si>
  <si>
    <t xml:space="preserve">short found nil</t>
  </si>
  <si>
    <t xml:space="preserve">short found none</t>
  </si>
  <si>
    <t xml:space="preserve">short free</t>
  </si>
  <si>
    <t xml:space="preserve">short grain</t>
  </si>
  <si>
    <t xml:space="preserve">short haul</t>
  </si>
  <si>
    <t xml:space="preserve">short nil</t>
  </si>
  <si>
    <t xml:space="preserve">short none</t>
  </si>
  <si>
    <t xml:space="preserve">short not found</t>
  </si>
  <si>
    <t xml:space="preserve">short noted 0</t>
  </si>
  <si>
    <t xml:space="preserve">short nothing</t>
  </si>
  <si>
    <t xml:space="preserve">short notice</t>
  </si>
  <si>
    <t xml:space="preserve">short pasta</t>
  </si>
  <si>
    <t xml:space="preserve">short rib</t>
  </si>
  <si>
    <t xml:space="preserve">short ribs</t>
  </si>
  <si>
    <t xml:space="preserve">short sector</t>
  </si>
  <si>
    <t xml:space="preserve">short term</t>
  </si>
  <si>
    <t xml:space="preserve">short zero</t>
  </si>
  <si>
    <t xml:space="preserve">shortage 0</t>
  </si>
  <si>
    <t xml:space="preserve">shortage found 0</t>
  </si>
  <si>
    <t xml:space="preserve">shortage found nil</t>
  </si>
  <si>
    <t xml:space="preserve">shortage found none</t>
  </si>
  <si>
    <t xml:space="preserve">shortage free</t>
  </si>
  <si>
    <t xml:space="preserve">shortage nil</t>
  </si>
  <si>
    <t xml:space="preserve">shortage none</t>
  </si>
  <si>
    <t xml:space="preserve">shortage not found</t>
  </si>
  <si>
    <t xml:space="preserve">shortage noted 0</t>
  </si>
  <si>
    <t xml:space="preserve">shortage nothing</t>
  </si>
  <si>
    <t xml:space="preserve">shortage zero</t>
  </si>
  <si>
    <t xml:space="preserve">shortfall 0</t>
  </si>
  <si>
    <t xml:space="preserve">shortfall found 0</t>
  </si>
  <si>
    <t xml:space="preserve">shortfall found nil</t>
  </si>
  <si>
    <t xml:space="preserve">shortfall found none</t>
  </si>
  <si>
    <t xml:space="preserve">shortfall free</t>
  </si>
  <si>
    <t xml:space="preserve">shortfall nil</t>
  </si>
  <si>
    <t xml:space="preserve">shortfall none</t>
  </si>
  <si>
    <t xml:space="preserve">shortfall not found</t>
  </si>
  <si>
    <t xml:space="preserve">shortfall noted 0</t>
  </si>
  <si>
    <t xml:space="preserve">shortfall nothing</t>
  </si>
  <si>
    <t xml:space="preserve">shortfall zero</t>
  </si>
  <si>
    <t xml:space="preserve">spoiled 0</t>
  </si>
  <si>
    <t xml:space="preserve">spoiled found 0</t>
  </si>
  <si>
    <t xml:space="preserve">spoiled found nil</t>
  </si>
  <si>
    <t xml:space="preserve">spoiled found none</t>
  </si>
  <si>
    <t xml:space="preserve">spoiled free</t>
  </si>
  <si>
    <t xml:space="preserve">spoiled nil</t>
  </si>
  <si>
    <t xml:space="preserve">spoiled none</t>
  </si>
  <si>
    <t xml:space="preserve">spoiled not found</t>
  </si>
  <si>
    <t xml:space="preserve">spoiled noted 0</t>
  </si>
  <si>
    <t xml:space="preserve">spoiled nothing</t>
  </si>
  <si>
    <t xml:space="preserve">spoiled zero</t>
  </si>
  <si>
    <t xml:space="preserve">spoilt 0</t>
  </si>
  <si>
    <t xml:space="preserve">spoilt found 0</t>
  </si>
  <si>
    <t xml:space="preserve">spoilt found nil</t>
  </si>
  <si>
    <t xml:space="preserve">spoilt found none</t>
  </si>
  <si>
    <t xml:space="preserve">spoilt free</t>
  </si>
  <si>
    <t xml:space="preserve">spoilt nil</t>
  </si>
  <si>
    <t xml:space="preserve">spoilt none</t>
  </si>
  <si>
    <t xml:space="preserve">spoilt not found</t>
  </si>
  <si>
    <t xml:space="preserve">spoilt noted 0</t>
  </si>
  <si>
    <t xml:space="preserve">spoilt nothing</t>
  </si>
  <si>
    <t xml:space="preserve">spoilt zero</t>
  </si>
  <si>
    <t xml:space="preserve">stained 0</t>
  </si>
  <si>
    <t xml:space="preserve">stained found 0</t>
  </si>
  <si>
    <t xml:space="preserve">stained found nil</t>
  </si>
  <si>
    <t xml:space="preserve">stained found none</t>
  </si>
  <si>
    <t xml:space="preserve">stained free</t>
  </si>
  <si>
    <t xml:space="preserve">stained nil</t>
  </si>
  <si>
    <t xml:space="preserve">stained none</t>
  </si>
  <si>
    <t xml:space="preserve">stained not found</t>
  </si>
  <si>
    <t xml:space="preserve">stained noted 0</t>
  </si>
  <si>
    <t xml:space="preserve">stained nothing</t>
  </si>
  <si>
    <t xml:space="preserve">stained zero</t>
  </si>
  <si>
    <t xml:space="preserve">torn 0</t>
  </si>
  <si>
    <t xml:space="preserve">torn found 0</t>
  </si>
  <si>
    <t xml:space="preserve">torn found nil</t>
  </si>
  <si>
    <t xml:space="preserve">torn found none</t>
  </si>
  <si>
    <t xml:space="preserve">torn free</t>
  </si>
  <si>
    <t xml:space="preserve">torn nil</t>
  </si>
  <si>
    <t xml:space="preserve">torn none</t>
  </si>
  <si>
    <t xml:space="preserve">torn not found</t>
  </si>
  <si>
    <t xml:space="preserve">torn noted 0</t>
  </si>
  <si>
    <t xml:space="preserve">torn nothing</t>
  </si>
  <si>
    <t xml:space="preserve">torn zero</t>
  </si>
  <si>
    <t xml:space="preserve">unacceptable 0</t>
  </si>
  <si>
    <t xml:space="preserve">unacceptable found 0</t>
  </si>
  <si>
    <t xml:space="preserve">unacceptable found nil</t>
  </si>
  <si>
    <t xml:space="preserve">unacceptable found none</t>
  </si>
  <si>
    <t xml:space="preserve">unacceptable free</t>
  </si>
  <si>
    <t xml:space="preserve">unacceptable nil</t>
  </si>
  <si>
    <t xml:space="preserve">unacceptable none</t>
  </si>
  <si>
    <t xml:space="preserve">unacceptable not found</t>
  </si>
  <si>
    <t xml:space="preserve">unacceptable noted 0</t>
  </si>
  <si>
    <t xml:space="preserve">unacceptable nothing</t>
  </si>
  <si>
    <t xml:space="preserve">unacceptable zero</t>
  </si>
  <si>
    <t xml:space="preserve">unavailable 0</t>
  </si>
  <si>
    <t xml:space="preserve">unavailable found 0</t>
  </si>
  <si>
    <t xml:space="preserve">unavailable found nil</t>
  </si>
  <si>
    <t xml:space="preserve">unavailable found none</t>
  </si>
  <si>
    <t xml:space="preserve">unavailable free</t>
  </si>
  <si>
    <t xml:space="preserve">unavailable nil</t>
  </si>
  <si>
    <t xml:space="preserve">unavailable none</t>
  </si>
  <si>
    <t xml:space="preserve">unavailable not found</t>
  </si>
  <si>
    <t xml:space="preserve">unavailable noted 0</t>
  </si>
  <si>
    <t xml:space="preserve">unavailable nothing</t>
  </si>
  <si>
    <t xml:space="preserve">unavailable zero</t>
  </si>
  <si>
    <t xml:space="preserve">undelivered 0</t>
  </si>
  <si>
    <t xml:space="preserve">undelivered found 0</t>
  </si>
  <si>
    <t xml:space="preserve">undelivered found nil</t>
  </si>
  <si>
    <t xml:space="preserve">undelivered found none</t>
  </si>
  <si>
    <t xml:space="preserve">undelivered free</t>
  </si>
  <si>
    <t xml:space="preserve">undelivered nil</t>
  </si>
  <si>
    <t xml:space="preserve">undelivered none</t>
  </si>
  <si>
    <t xml:space="preserve">undelivered not found</t>
  </si>
  <si>
    <t xml:space="preserve">undelivered noted 0</t>
  </si>
  <si>
    <t xml:space="preserve">undelivered nothing</t>
  </si>
  <si>
    <t xml:space="preserve">undelivered zero</t>
  </si>
  <si>
    <t xml:space="preserve">unlabeled 0</t>
  </si>
  <si>
    <t xml:space="preserve">unlabeled found 0</t>
  </si>
  <si>
    <t xml:space="preserve">unlabeled found nil</t>
  </si>
  <si>
    <t xml:space="preserve">unlabeled found none</t>
  </si>
  <si>
    <t xml:space="preserve">unlabeled free</t>
  </si>
  <si>
    <t xml:space="preserve">unlabeled nil</t>
  </si>
  <si>
    <t xml:space="preserve">unlabeled none</t>
  </si>
  <si>
    <t xml:space="preserve">unlabeled not found</t>
  </si>
  <si>
    <t xml:space="preserve">unlabeled noted 0</t>
  </si>
  <si>
    <t xml:space="preserve">unlabeled nothing</t>
  </si>
  <si>
    <t xml:space="preserve">unlabeled zero</t>
  </si>
  <si>
    <t xml:space="preserve">unlabelled 0</t>
  </si>
  <si>
    <t xml:space="preserve">unlabelled found 0</t>
  </si>
  <si>
    <t xml:space="preserve">unlabelled found nil</t>
  </si>
  <si>
    <t xml:space="preserve">unlabelled found none</t>
  </si>
  <si>
    <t xml:space="preserve">unlabelled free</t>
  </si>
  <si>
    <t xml:space="preserve">unlabelled nil</t>
  </si>
  <si>
    <t xml:space="preserve">unlabelled none</t>
  </si>
  <si>
    <t xml:space="preserve">unlabelled not found</t>
  </si>
  <si>
    <t xml:space="preserve">unlabelled noted 0</t>
  </si>
  <si>
    <t xml:space="preserve">unlabelled nothing</t>
  </si>
  <si>
    <t xml:space="preserve">unlabelled zero</t>
  </si>
  <si>
    <t xml:space="preserve">unsatisfactory 0</t>
  </si>
  <si>
    <t xml:space="preserve">unsatisfactory found 0</t>
  </si>
  <si>
    <t xml:space="preserve">unsatisfactory found nil</t>
  </si>
  <si>
    <t xml:space="preserve">unsatisfactory found none</t>
  </si>
  <si>
    <t xml:space="preserve">unsatisfactory free</t>
  </si>
  <si>
    <t xml:space="preserve">unsatisfactory nil</t>
  </si>
  <si>
    <t xml:space="preserve">unsatisfactory none</t>
  </si>
  <si>
    <t xml:space="preserve">unsatisfactory not found</t>
  </si>
  <si>
    <t xml:space="preserve">unsatisfactory noted 0</t>
  </si>
  <si>
    <t xml:space="preserve">unsatisfactory nothing</t>
  </si>
  <si>
    <t xml:space="preserve">unsatisfactory zero</t>
  </si>
  <si>
    <t xml:space="preserve">without below standard</t>
  </si>
  <si>
    <t xml:space="preserve">without broken</t>
  </si>
  <si>
    <t xml:space="preserve">without contaminated</t>
  </si>
  <si>
    <t xml:space="preserve">without damaged</t>
  </si>
  <si>
    <t xml:space="preserve">without defect</t>
  </si>
  <si>
    <t xml:space="preserve">without defective</t>
  </si>
  <si>
    <t xml:space="preserve">without defects</t>
  </si>
  <si>
    <t xml:space="preserve">without dirty</t>
  </si>
  <si>
    <t xml:space="preserve">without discrepancies</t>
  </si>
  <si>
    <t xml:space="preserve">without discrepancy</t>
  </si>
  <si>
    <t xml:space="preserve">without does not match</t>
  </si>
  <si>
    <t xml:space="preserve">without expired</t>
  </si>
  <si>
    <t xml:space="preserve">without fail</t>
  </si>
  <si>
    <t xml:space="preserve">without failed</t>
  </si>
  <si>
    <t xml:space="preserve">without fails</t>
  </si>
  <si>
    <t xml:space="preserve">without failure</t>
  </si>
  <si>
    <t xml:space="preserve">without incorrect</t>
  </si>
  <si>
    <t xml:space="preserve">without insufficient</t>
  </si>
  <si>
    <t xml:space="preserve">without late</t>
  </si>
  <si>
    <t xml:space="preserve">without leaking</t>
  </si>
  <si>
    <t xml:space="preserve">without mislabeled</t>
  </si>
  <si>
    <t xml:space="preserve">without mislabelled</t>
  </si>
  <si>
    <t xml:space="preserve">without mismatch</t>
  </si>
  <si>
    <t xml:space="preserve">without missing</t>
  </si>
  <si>
    <t xml:space="preserve">without nok</t>
  </si>
  <si>
    <t xml:space="preserve">without non conforming</t>
  </si>
  <si>
    <t xml:space="preserve">without nonconforming</t>
  </si>
  <si>
    <t xml:space="preserve">without not acceptable</t>
  </si>
  <si>
    <t xml:space="preserve">without not available</t>
  </si>
  <si>
    <t xml:space="preserve">without not delivered</t>
  </si>
  <si>
    <t xml:space="preserve">without not enough</t>
  </si>
  <si>
    <t xml:space="preserve">without not loaded</t>
  </si>
  <si>
    <t xml:space="preserve">without not match</t>
  </si>
  <si>
    <t xml:space="preserve">without not matching</t>
  </si>
  <si>
    <t xml:space="preserve">without not ok</t>
  </si>
  <si>
    <t xml:space="preserve">without not on board</t>
  </si>
  <si>
    <t xml:space="preserve">without not provided</t>
  </si>
  <si>
    <t xml:space="preserve">without not received</t>
  </si>
  <si>
    <t xml:space="preserve">without not satisfactory</t>
  </si>
  <si>
    <t xml:space="preserve">without not supplied</t>
  </si>
  <si>
    <t xml:space="preserve">without not to spec</t>
  </si>
  <si>
    <t xml:space="preserve">without out of stock</t>
  </si>
  <si>
    <t xml:space="preserve">without reject</t>
  </si>
  <si>
    <t xml:space="preserve">without rejected</t>
  </si>
  <si>
    <t xml:space="preserve">without rejects</t>
  </si>
  <si>
    <t xml:space="preserve">without short</t>
  </si>
  <si>
    <t xml:space="preserve">without shortage</t>
  </si>
  <si>
    <t xml:space="preserve">without shortfall</t>
  </si>
  <si>
    <t xml:space="preserve">without spoiled</t>
  </si>
  <si>
    <t xml:space="preserve">without spoilt</t>
  </si>
  <si>
    <t xml:space="preserve">without stained</t>
  </si>
  <si>
    <t xml:space="preserve">without torn</t>
  </si>
  <si>
    <t xml:space="preserve">without unacceptable</t>
  </si>
  <si>
    <t xml:space="preserve">without unavailable</t>
  </si>
  <si>
    <t xml:space="preserve">without undelivered</t>
  </si>
  <si>
    <t xml:space="preserve">without unlabeled</t>
  </si>
  <si>
    <t xml:space="preserve">without unlabelled</t>
  </si>
  <si>
    <t xml:space="preserve">without unsatisfactory</t>
  </si>
  <si>
    <t xml:space="preserve">without wrong</t>
  </si>
  <si>
    <t xml:space="preserve">without wrongly</t>
  </si>
  <si>
    <t xml:space="preserve">wrong 0</t>
  </si>
  <si>
    <t xml:space="preserve">wrong found 0</t>
  </si>
  <si>
    <t xml:space="preserve">wrong found nil</t>
  </si>
  <si>
    <t xml:space="preserve">wrong found none</t>
  </si>
  <si>
    <t xml:space="preserve">wrong free</t>
  </si>
  <si>
    <t xml:space="preserve">wrong nil</t>
  </si>
  <si>
    <t xml:space="preserve">wrong none</t>
  </si>
  <si>
    <t xml:space="preserve">wrong not found</t>
  </si>
  <si>
    <t xml:space="preserve">wrong noted 0</t>
  </si>
  <si>
    <t xml:space="preserve">wrong nothing</t>
  </si>
  <si>
    <t xml:space="preserve">wrong zero</t>
  </si>
  <si>
    <t xml:space="preserve">wrongly 0</t>
  </si>
  <si>
    <t xml:space="preserve">wrongly found 0</t>
  </si>
  <si>
    <t xml:space="preserve">wrongly found nil</t>
  </si>
  <si>
    <t xml:space="preserve">wrongly found none</t>
  </si>
  <si>
    <t xml:space="preserve">wrongly free</t>
  </si>
  <si>
    <t xml:space="preserve">wrongly nil</t>
  </si>
  <si>
    <t xml:space="preserve">wrongly none</t>
  </si>
  <si>
    <t xml:space="preserve">wrongly not found</t>
  </si>
  <si>
    <t xml:space="preserve">wrongly noted 0</t>
  </si>
  <si>
    <t xml:space="preserve">wrongly nothing</t>
  </si>
  <si>
    <t xml:space="preserve">wrongly zero</t>
  </si>
  <si>
    <t xml:space="preserve">zero below standard</t>
  </si>
  <si>
    <t xml:space="preserve">zero broken</t>
  </si>
  <si>
    <t xml:space="preserve">zero contaminated</t>
  </si>
  <si>
    <t xml:space="preserve">zero damaged</t>
  </si>
  <si>
    <t xml:space="preserve">zero defect</t>
  </si>
  <si>
    <t xml:space="preserve">zero defective</t>
  </si>
  <si>
    <t xml:space="preserve">zero defects</t>
  </si>
  <si>
    <t xml:space="preserve">zero dirty</t>
  </si>
  <si>
    <t xml:space="preserve">zero discrepancies</t>
  </si>
  <si>
    <t xml:space="preserve">zero discrepancy</t>
  </si>
  <si>
    <t xml:space="preserve">zero does not match</t>
  </si>
  <si>
    <t xml:space="preserve">zero expired</t>
  </si>
  <si>
    <t xml:space="preserve">zero fail</t>
  </si>
  <si>
    <t xml:space="preserve">zero failed</t>
  </si>
  <si>
    <t xml:space="preserve">zero fails</t>
  </si>
  <si>
    <t xml:space="preserve">zero failure</t>
  </si>
  <si>
    <t xml:space="preserve">zero incorrect</t>
  </si>
  <si>
    <t xml:space="preserve">zero insufficient</t>
  </si>
  <si>
    <t xml:space="preserve">zero late</t>
  </si>
  <si>
    <t xml:space="preserve">zero leaking</t>
  </si>
  <si>
    <t xml:space="preserve">zero mislabeled</t>
  </si>
  <si>
    <t xml:space="preserve">zero mislabelled</t>
  </si>
  <si>
    <t xml:space="preserve">zero mismatch</t>
  </si>
  <si>
    <t xml:space="preserve">zero missing</t>
  </si>
  <si>
    <t xml:space="preserve">zero nok</t>
  </si>
  <si>
    <t xml:space="preserve">zero non conforming</t>
  </si>
  <si>
    <t xml:space="preserve">zero nonconforming</t>
  </si>
  <si>
    <t xml:space="preserve">zero not acceptable</t>
  </si>
  <si>
    <t xml:space="preserve">zero not available</t>
  </si>
  <si>
    <t xml:space="preserve">zero not enough</t>
  </si>
  <si>
    <t xml:space="preserve">zero not match</t>
  </si>
  <si>
    <t xml:space="preserve">zero not matching</t>
  </si>
  <si>
    <t xml:space="preserve">zero not ok</t>
  </si>
  <si>
    <t xml:space="preserve">zero not provided</t>
  </si>
  <si>
    <t xml:space="preserve">zero not received</t>
  </si>
  <si>
    <t xml:space="preserve">zero not satisfactory</t>
  </si>
  <si>
    <t xml:space="preserve">zero not supplied</t>
  </si>
  <si>
    <t xml:space="preserve">zero not to spec</t>
  </si>
  <si>
    <t xml:space="preserve">zero out of stock</t>
  </si>
  <si>
    <t xml:space="preserve">zero reject</t>
  </si>
  <si>
    <t xml:space="preserve">zero rejected</t>
  </si>
  <si>
    <t xml:space="preserve">zero rejects</t>
  </si>
  <si>
    <t xml:space="preserve">zero short</t>
  </si>
  <si>
    <t xml:space="preserve">zero shortage</t>
  </si>
  <si>
    <t xml:space="preserve">zero shortfall</t>
  </si>
  <si>
    <t xml:space="preserve">zero spoiled</t>
  </si>
  <si>
    <t xml:space="preserve">zero spoilt</t>
  </si>
  <si>
    <t xml:space="preserve">zero stained</t>
  </si>
  <si>
    <t xml:space="preserve">zero torn</t>
  </si>
  <si>
    <t xml:space="preserve">zero unacceptable</t>
  </si>
  <si>
    <t xml:space="preserve">zero unavailable</t>
  </si>
  <si>
    <t xml:space="preserve">zero undelivered</t>
  </si>
  <si>
    <t xml:space="preserve">zero unlabeled</t>
  </si>
  <si>
    <t xml:space="preserve">zero unlabelled</t>
  </si>
  <si>
    <t xml:space="preserve">zero unsatisfactory</t>
  </si>
  <si>
    <t xml:space="preserve">zero wrong</t>
  </si>
  <si>
    <t xml:space="preserve">zero wrongly</t>
  </si>
  <si>
    <t xml:space="preserve">Flight / date</t>
  </si>
  <si>
    <t xml:space="preserve">READINESS STATUS</t>
  </si>
  <si>
    <t xml:space="preserve">Sector / class / seat</t>
  </si>
  <si>
    <t xml:space="preserve">Due (local)</t>
  </si>
  <si>
    <t xml:space="preserve">% complete</t>
  </si>
  <si>
    <t xml:space="preserve">STD → STA (local)</t>
  </si>
  <si>
    <t xml:space="preserve">T-7D – 7 days before departure</t>
  </si>
  <si>
    <t xml:space="preserve">Fleet / aircraft ref</t>
  </si>
  <si>
    <t xml:space="preserve">T-24H – production batch sensory</t>
  </si>
  <si>
    <t xml:space="preserve">Tail / Reg</t>
  </si>
  <si>
    <t xml:space="preserve">T-12H PREP – caterer prep only</t>
  </si>
  <si>
    <t xml:space="preserve">Service type</t>
  </si>
  <si>
    <t xml:space="preserve">UPLIFT – on-board confirmation</t>
  </si>
  <si>
    <t xml:space="preserve">OVERALL (all checkpoints)</t>
  </si>
  <si>
    <t xml:space="preserve">–</t>
  </si>
  <si>
    <t xml:space="preserve">Transit / remark</t>
  </si>
  <si>
    <t xml:space="preserve">Overdue / discrep. / invalid</t>
  </si>
  <si>
    <t xml:space="preserve">Caterer</t>
  </si>
  <si>
    <t xml:space="preserve">Open reqd / clarif. / docs out</t>
  </si>
  <si>
    <t xml:space="preserve">Flight PIC</t>
  </si>
  <si>
    <t xml:space="preserve">Done / in scope | as of UTC</t>
  </si>
  <si>
    <t xml:space="preserve">T-12H PREP = preparation at the caterer only; loading is confirmed solely by the UPLIFT on-board check.  Record-state legend →</t>
  </si>
  <si>
    <t xml:space="preserve">COMPLETE</t>
  </si>
  <si>
    <t xml:space="preserve">OPEN</t>
  </si>
  <si>
    <t xml:space="preserve">OVERDUE / FAIL / INVALID</t>
  </si>
  <si>
    <t xml:space="preserve">Attachments</t>
  </si>
  <si>
    <t xml:space="preserve">Doc no</t>
  </si>
  <si>
    <t xml:space="preserve">Rev / rev date</t>
  </si>
  <si>
    <t xml:space="preserve">Status (from Documents sheet)</t>
  </si>
  <si>
    <t xml:space="preserve">Paper pack instruction / location</t>
  </si>
  <si>
    <t xml:space="preserve">A1  Galley Loading Diagram</t>
  </si>
  <si>
    <t xml:space="preserve">A2  Menu Checklist</t>
  </si>
  <si>
    <t xml:space="preserve">Document notes</t>
  </si>
  <si>
    <t xml:space="preserve">SIGN-OFF – Flight PIC</t>
  </si>
  <si>
    <t xml:space="preserve">SIGN-OFF – Verifier</t>
  </si>
  <si>
    <t xml:space="preserve">SIGN-OFF – Station catering officer</t>
  </si>
  <si>
    <t xml:space="preserve">Signature / date-time:</t>
  </si>
  <si>
    <t xml:space="preserve">Check ID / item</t>
  </si>
  <si>
    <t xml:space="preserve">Requirement / expected</t>
  </si>
  <si>
    <t xml:space="preserve">Applic. / due (local)</t>
  </si>
  <si>
    <t xml:space="preserve">Status (CA)</t>
  </si>
  <si>
    <t xml:space="preserve">Result  |  batch  |  exp / act qty</t>
  </si>
  <si>
    <t xml:space="preserve">Evidence  |  corrective action</t>
  </si>
  <si>
    <t xml:space="preserve">Done (local) / verifier / PIC</t>
  </si>
  <si>
    <t xml:space="preserve">EXCEL INSERTION AREA (on-screen only, not printed) – A1 Galley Loading Diagram: Insert &gt; Picture here. On paper: staple behind this sheet as page A1.</t>
  </si>
  <si>
    <t xml:space="preserve">EXCEL INSERTION AREA (on-screen only, not printed) – A2 Menu Checklist: Insert &gt; Picture here. On paper: staple behind this sheet as page A2.</t>
  </si>
</sst>
</file>

<file path=xl/styles.xml><?xml version="1.0" encoding="utf-8"?>
<styleSheet xmlns="http://schemas.openxmlformats.org/spreadsheetml/2006/main">
  <numFmts count="17">
    <numFmt numFmtId="164" formatCode="General"/>
    <numFmt numFmtId="165" formatCode="dd\-mmm\-yy\ hh:mm"/>
    <numFmt numFmtId="166" formatCode="0"/>
    <numFmt numFmtId="167" formatCode="0.0%"/>
    <numFmt numFmtId="168" formatCode="dd\-mmm"/>
    <numFmt numFmtId="169" formatCode="dd\-mmm\ hh:mm"/>
    <numFmt numFmtId="170" formatCode="0%"/>
    <numFmt numFmtId="171" formatCode="#,##0;\-#,##0;0"/>
    <numFmt numFmtId="172" formatCode="dd\-mmm\-yy"/>
    <numFmt numFmtId="173" formatCode="General"/>
    <numFmt numFmtId="174" formatCode="0.00"/>
    <numFmt numFmtId="175" formatCode="&quot;Overdue &quot;0"/>
    <numFmt numFmtId="176" formatCode="&quot;Discrep. &quot;0"/>
    <numFmt numFmtId="177" formatCode="&quot;Invalid &quot;0"/>
    <numFmt numFmtId="178" formatCode="&quot;Open reqd &quot;0"/>
    <numFmt numFmtId="179" formatCode="&quot;Clarif. &quot;0"/>
    <numFmt numFmtId="180" formatCode="&quot;Docs out &quot;0"/>
  </numFmts>
  <fonts count="4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3"/>
      <color rgb="FF1F3864"/>
      <name val="Arial"/>
      <family val="0"/>
      <charset val="1"/>
    </font>
    <font>
      <sz val="10"/>
      <color rgb="FF000000"/>
      <name val="Arial"/>
      <family val="0"/>
      <charset val="1"/>
    </font>
    <font>
      <b val="true"/>
      <sz val="11"/>
      <color rgb="FF1F3864"/>
      <name val="Arial"/>
      <family val="0"/>
      <charset val="1"/>
    </font>
    <font>
      <sz val="10"/>
      <color rgb="FF0000FF"/>
      <name val="Arial"/>
      <family val="0"/>
      <charset val="1"/>
    </font>
    <font>
      <b val="true"/>
      <sz val="16"/>
      <color rgb="FFFFFFFF"/>
      <name val="Arial"/>
      <family val="0"/>
      <charset val="1"/>
    </font>
    <font>
      <b val="true"/>
      <sz val="10"/>
      <color rgb="FF595959"/>
      <name val="Arial"/>
      <family val="0"/>
      <charset val="1"/>
    </font>
    <font>
      <b val="true"/>
      <sz val="10"/>
      <color rgb="FF1F3864"/>
      <name val="Arial"/>
      <family val="0"/>
      <charset val="1"/>
    </font>
    <font>
      <b val="true"/>
      <sz val="12"/>
      <color rgb="FFFFFFFF"/>
      <name val="Arial"/>
      <family val="0"/>
      <charset val="1"/>
    </font>
    <font>
      <b val="true"/>
      <sz val="20"/>
      <color rgb="FF1F3864"/>
      <name val="Arial"/>
      <family val="0"/>
      <charset val="1"/>
    </font>
    <font>
      <b val="true"/>
      <sz val="10"/>
      <color rgb="FFFFFFFF"/>
      <name val="Arial"/>
      <family val="0"/>
      <charset val="1"/>
    </font>
    <font>
      <sz val="10"/>
      <color rgb="FF595959"/>
      <name val="Arial"/>
      <family val="0"/>
      <charset val="1"/>
    </font>
    <font>
      <b val="true"/>
      <sz val="10"/>
      <color rgb="FF000000"/>
      <name val="Arial"/>
      <family val="0"/>
      <charset val="1"/>
    </font>
    <font>
      <i val="true"/>
      <sz val="10"/>
      <color rgb="FF595959"/>
      <name val="Arial"/>
      <family val="0"/>
      <charset val="1"/>
    </font>
    <font>
      <i val="true"/>
      <sz val="9"/>
      <color rgb="FFFFFFFF"/>
      <name val="Arial"/>
      <family val="0"/>
      <charset val="1"/>
    </font>
    <font>
      <b val="true"/>
      <sz val="9"/>
      <color rgb="FF000000"/>
      <name val="Arial"/>
      <family val="0"/>
      <charset val="1"/>
    </font>
    <font>
      <sz val="8"/>
      <color rgb="FF595959"/>
      <name val="Arial"/>
      <family val="0"/>
      <charset val="1"/>
    </font>
    <font>
      <sz val="9"/>
      <color rgb="FF595959"/>
      <name val="Arial"/>
      <family val="0"/>
      <charset val="1"/>
    </font>
    <font>
      <b val="true"/>
      <i val="true"/>
      <sz val="9"/>
      <color rgb="FF006100"/>
      <name val="Arial"/>
      <family val="0"/>
      <charset val="1"/>
    </font>
    <font>
      <b val="true"/>
      <sz val="14"/>
      <color rgb="FF1F3864"/>
      <name val="Arial"/>
      <family val="0"/>
      <charset val="1"/>
    </font>
    <font>
      <b val="true"/>
      <sz val="9"/>
      <color rgb="FFFFFFFF"/>
      <name val="Arial"/>
      <family val="0"/>
      <charset val="1"/>
    </font>
    <font>
      <sz val="9"/>
      <color rgb="FF000000"/>
      <name val="Arial"/>
      <family val="0"/>
      <charset val="1"/>
    </font>
    <font>
      <sz val="10"/>
      <name val="Arial"/>
      <family val="2"/>
    </font>
    <font>
      <sz val="9"/>
      <color rgb="FF0000FF"/>
      <name val="Arial"/>
      <family val="0"/>
      <charset val="1"/>
    </font>
    <font>
      <b val="true"/>
      <sz val="9"/>
      <color rgb="FFC00000"/>
      <name val="Arial"/>
      <family val="0"/>
      <charset val="1"/>
    </font>
    <font>
      <b val="true"/>
      <sz val="9"/>
      <color rgb="FF1F3864"/>
      <name val="Arial"/>
      <family val="0"/>
      <charset val="1"/>
    </font>
    <font>
      <b val="true"/>
      <sz val="10"/>
      <color rgb="FF0000FF"/>
      <name val="Arial"/>
      <family val="0"/>
      <charset val="1"/>
    </font>
    <font>
      <i val="true"/>
      <sz val="8"/>
      <color rgb="FF595959"/>
      <name val="Arial"/>
      <family val="0"/>
      <charset val="1"/>
    </font>
    <font>
      <b val="true"/>
      <sz val="8.5"/>
      <color rgb="FF000000"/>
      <name val="Arial"/>
      <family val="0"/>
      <charset val="1"/>
    </font>
    <font>
      <b val="true"/>
      <sz val="8.5"/>
      <color rgb="FFFFFFFF"/>
      <name val="Arial"/>
      <family val="0"/>
      <charset val="1"/>
    </font>
    <font>
      <sz val="8"/>
      <color rgb="FF000000"/>
      <name val="Arial"/>
      <family val="0"/>
      <charset val="1"/>
    </font>
    <font>
      <b val="true"/>
      <sz val="8.5"/>
      <color rgb="FFC00000"/>
      <name val="Arial"/>
      <family val="0"/>
      <charset val="1"/>
    </font>
    <font>
      <b val="true"/>
      <sz val="8"/>
      <color rgb="FF000000"/>
      <name val="Arial"/>
      <family val="0"/>
      <charset val="1"/>
    </font>
    <font>
      <sz val="8.5"/>
      <color rgb="FF1F3864"/>
      <name val="Arial"/>
      <family val="0"/>
      <charset val="1"/>
    </font>
    <font>
      <sz val="8.5"/>
      <color rgb="FF000000"/>
      <name val="Arial"/>
      <family val="0"/>
      <charset val="1"/>
    </font>
    <font>
      <i val="true"/>
      <sz val="8"/>
      <color rgb="FF7F7F7F"/>
      <name val="Arial"/>
      <family val="0"/>
      <charset val="1"/>
    </font>
    <font>
      <b val="true"/>
      <sz val="8.5"/>
      <color rgb="FF1F3864"/>
      <name val="Arial"/>
      <family val="0"/>
      <charset val="1"/>
    </font>
    <font>
      <b val="true"/>
      <sz val="8.5"/>
      <color rgb="FF7F4F00"/>
      <name val="Arial"/>
      <family val="0"/>
      <charset val="1"/>
    </font>
  </fonts>
  <fills count="12">
    <fill>
      <patternFill patternType="none"/>
    </fill>
    <fill>
      <patternFill patternType="gray125"/>
    </fill>
    <fill>
      <patternFill patternType="solid">
        <fgColor rgb="FFFFF2CC"/>
        <bgColor rgb="FFF2F2F2"/>
      </patternFill>
    </fill>
    <fill>
      <patternFill patternType="solid">
        <fgColor rgb="FFF2F2F2"/>
        <bgColor rgb="FFE8EEF7"/>
      </patternFill>
    </fill>
    <fill>
      <patternFill patternType="solid">
        <fgColor rgb="FFE8EEF7"/>
        <bgColor rgb="FFF2F2F2"/>
      </patternFill>
    </fill>
    <fill>
      <patternFill patternType="solid">
        <fgColor rgb="FF1F3864"/>
        <bgColor rgb="FF404040"/>
      </patternFill>
    </fill>
    <fill>
      <patternFill patternType="solid">
        <fgColor rgb="FF2F5597"/>
        <bgColor rgb="FF1F3864"/>
      </patternFill>
    </fill>
    <fill>
      <patternFill patternType="solid">
        <fgColor rgb="FFD9E1F2"/>
        <bgColor rgb="FFD9D9D9"/>
      </patternFill>
    </fill>
    <fill>
      <patternFill patternType="solid">
        <fgColor rgb="FFC6EFCE"/>
        <bgColor rgb="FFD9E1F2"/>
      </patternFill>
    </fill>
    <fill>
      <patternFill patternType="solid">
        <fgColor rgb="FFFFEB9C"/>
        <bgColor rgb="FFFFE699"/>
      </patternFill>
    </fill>
    <fill>
      <patternFill patternType="solid">
        <fgColor rgb="FFD9D9D9"/>
        <bgColor rgb="FFD9E1F2"/>
      </patternFill>
    </fill>
    <fill>
      <patternFill patternType="solid">
        <fgColor rgb="FFFFC7CE"/>
        <bgColor rgb="FFF8CBAD"/>
      </patternFill>
    </fill>
  </fills>
  <borders count="6">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color rgb="FF1F3864"/>
      </left>
      <right style="medium">
        <color rgb="FF1F3864"/>
      </right>
      <top style="medium">
        <color rgb="FF1F3864"/>
      </top>
      <bottom/>
      <diagonal/>
    </border>
    <border diagonalUp="false" diagonalDown="false">
      <left style="medium">
        <color rgb="FF1F3864"/>
      </left>
      <right style="medium">
        <color rgb="FF1F3864"/>
      </right>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top" textRotation="0" wrapText="true" indent="0" shrinkToFit="false"/>
      <protection locked="fals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5" borderId="0" xfId="0" applyFont="true" applyBorder="true" applyAlignment="true" applyProtection="false">
      <alignment horizontal="left" vertical="center" textRotation="0" wrapText="false" indent="1" shrinkToFit="false"/>
      <protection locked="true" hidden="false"/>
    </xf>
    <xf numFmtId="164" fontId="11" fillId="3" borderId="0" xfId="0" applyFont="true" applyBorder="true" applyAlignment="true" applyProtection="false">
      <alignment horizontal="left" vertical="center" textRotation="0" wrapText="false" indent="1" shrinkToFit="false"/>
      <protection locked="true" hidden="false"/>
    </xf>
    <xf numFmtId="165" fontId="12" fillId="3"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13" fillId="6" borderId="0" xfId="0" applyFont="true" applyBorder="true" applyAlignment="true" applyProtection="false">
      <alignment horizontal="left" vertical="center" textRotation="0" wrapText="false" indent="1"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6" fontId="14" fillId="3" borderId="0" xfId="0" applyFont="true" applyBorder="true" applyAlignment="true" applyProtection="false">
      <alignment horizontal="center" vertical="center" textRotation="0" wrapText="false" indent="0" shrinkToFit="false"/>
      <protection locked="true" hidden="false"/>
    </xf>
    <xf numFmtId="167" fontId="14" fillId="3"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false" indent="1"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1" shrinkToFit="false"/>
      <protection locked="true" hidden="false"/>
    </xf>
    <xf numFmtId="164" fontId="12" fillId="7" borderId="1" xfId="0" applyFont="true" applyBorder="true" applyAlignment="true" applyProtection="false">
      <alignment horizontal="left" vertical="center" textRotation="0" wrapText="false" indent="1" shrinkToFit="false"/>
      <protection locked="true" hidden="false"/>
    </xf>
    <xf numFmtId="166" fontId="17" fillId="7" borderId="1" xfId="0" applyFont="true" applyBorder="true" applyAlignment="true" applyProtection="false">
      <alignment horizontal="center" vertical="center" textRotation="0" wrapText="false" indent="0" shrinkToFit="false"/>
      <protection locked="true" hidden="false"/>
    </xf>
    <xf numFmtId="167" fontId="17" fillId="7" borderId="1" xfId="0" applyFont="true" applyBorder="true" applyAlignment="true" applyProtection="false">
      <alignment horizontal="center" vertical="center" textRotation="0" wrapText="false" indent="0" shrinkToFit="false"/>
      <protection locked="true" hidden="false"/>
    </xf>
    <xf numFmtId="164" fontId="18" fillId="7" borderId="1" xfId="0" applyFont="true" applyBorder="true" applyAlignment="true" applyProtection="false">
      <alignment horizontal="left" vertical="center" textRotation="0" wrapText="false" indent="1" shrinkToFit="false"/>
      <protection locked="true" hidden="false"/>
    </xf>
    <xf numFmtId="164" fontId="12" fillId="7" borderId="1" xfId="0" applyFont="true" applyBorder="true" applyAlignment="true" applyProtection="false">
      <alignment horizontal="left" vertical="top" textRotation="0" wrapText="true" indent="1" shrinkToFit="false"/>
      <protection locked="true" hidden="false"/>
    </xf>
    <xf numFmtId="164" fontId="7" fillId="0" borderId="1" xfId="0" applyFont="true" applyBorder="true" applyAlignment="true" applyProtection="false">
      <alignment horizontal="left" vertical="top" textRotation="0" wrapText="true" indent="1" shrinkToFit="false"/>
      <protection locked="true" hidden="false"/>
    </xf>
    <xf numFmtId="164" fontId="19" fillId="6" borderId="0" xfId="0" applyFont="true" applyBorder="true" applyAlignment="true" applyProtection="false">
      <alignment horizontal="right" vertical="center" textRotation="0" wrapText="false" indent="1" shrinkToFit="false"/>
      <protection locked="true" hidden="false"/>
    </xf>
    <xf numFmtId="164" fontId="17" fillId="0" borderId="1" xfId="0" applyFont="true" applyBorder="true" applyAlignment="true" applyProtection="false">
      <alignment horizontal="left" vertical="center" textRotation="0" wrapText="false" indent="1"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left" vertical="center" textRotation="0" wrapText="false" indent="1"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4" fontId="17" fillId="3" borderId="1" xfId="0" applyFont="true" applyBorder="true" applyAlignment="true" applyProtection="false">
      <alignment horizontal="left" vertical="center" textRotation="0" wrapText="false" indent="1" shrinkToFit="false"/>
      <protection locked="true" hidden="false"/>
    </xf>
    <xf numFmtId="168"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9" fontId="7" fillId="3" borderId="1" xfId="0" applyFont="true" applyBorder="true" applyAlignment="true" applyProtection="false">
      <alignment horizontal="center" vertical="center" textRotation="0" wrapText="false" indent="0" shrinkToFit="false"/>
      <protection locked="true" hidden="false"/>
    </xf>
    <xf numFmtId="170" fontId="7" fillId="3" borderId="1" xfId="0" applyFont="true" applyBorder="true" applyAlignment="true" applyProtection="false">
      <alignment horizontal="center" vertical="center" textRotation="0" wrapText="false" indent="0" shrinkToFit="false"/>
      <protection locked="true" hidden="false"/>
    </xf>
    <xf numFmtId="164" fontId="20" fillId="3" borderId="1"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top" textRotation="0" wrapText="true" indent="1"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22" fillId="3"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left" vertical="top" textRotation="0" wrapText="true" indent="1"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23" fillId="0" borderId="0" xfId="0" applyFont="true" applyBorder="true" applyAlignment="true" applyProtection="false">
      <alignment horizontal="left" vertical="center" textRotation="0" wrapText="false" indent="1" shrinkToFit="false"/>
      <protection locked="true" hidden="false"/>
    </xf>
    <xf numFmtId="171" fontId="7" fillId="0" borderId="1" xfId="0" applyFont="true" applyBorder="true" applyAlignment="true" applyProtection="false">
      <alignment horizontal="center" vertical="top" textRotation="0" wrapText="true" indent="0" shrinkToFit="false"/>
      <protection locked="true" hidden="false"/>
    </xf>
    <xf numFmtId="171" fontId="7" fillId="3" borderId="1" xfId="0" applyFont="true" applyBorder="true" applyAlignment="true" applyProtection="false">
      <alignment horizontal="center" vertical="top"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25" fillId="5" borderId="2" xfId="0" applyFont="true" applyBorder="true" applyAlignment="true" applyProtection="false">
      <alignment horizontal="center" vertical="center" textRotation="0" wrapText="true" indent="0" shrinkToFit="false"/>
      <protection locked="true" hidden="false"/>
    </xf>
    <xf numFmtId="164" fontId="26" fillId="0" borderId="2" xfId="0" applyFont="true" applyBorder="true" applyAlignment="true" applyProtection="false">
      <alignment horizontal="general" vertical="top" textRotation="0" wrapText="true" indent="0" shrinkToFit="false"/>
      <protection locked="true" hidden="false"/>
    </xf>
    <xf numFmtId="172" fontId="26" fillId="0" borderId="2" xfId="0" applyFont="true" applyBorder="true" applyAlignment="true" applyProtection="false">
      <alignment horizontal="general" vertical="top" textRotation="0" wrapText="true" indent="0" shrinkToFit="false"/>
      <protection locked="true" hidden="false"/>
    </xf>
    <xf numFmtId="165" fontId="26" fillId="0" borderId="2" xfId="0" applyFont="true" applyBorder="true" applyAlignment="true" applyProtection="false">
      <alignment horizontal="general" vertical="top" textRotation="0" wrapText="true" indent="0" shrinkToFit="false"/>
      <protection locked="true" hidden="false"/>
    </xf>
    <xf numFmtId="164" fontId="26" fillId="2" borderId="2" xfId="0" applyFont="true" applyBorder="true" applyAlignment="true" applyProtection="true">
      <alignment horizontal="general" vertical="top" textRotation="0" wrapText="true" indent="0" shrinkToFit="false"/>
      <protection locked="false" hidden="false"/>
    </xf>
    <xf numFmtId="173" fontId="26" fillId="3" borderId="2" xfId="0" applyFont="true" applyBorder="true" applyAlignment="true" applyProtection="false">
      <alignment horizontal="general" vertical="top" textRotation="0" wrapText="true" indent="0" shrinkToFit="false"/>
      <protection locked="true" hidden="false"/>
    </xf>
    <xf numFmtId="165" fontId="26" fillId="3" borderId="2" xfId="0" applyFont="true" applyBorder="true" applyAlignment="true" applyProtection="false">
      <alignment horizontal="general" vertical="top" textRotation="0" wrapText="true" indent="0" shrinkToFit="false"/>
      <protection locked="true" hidden="false"/>
    </xf>
    <xf numFmtId="174" fontId="26" fillId="3" borderId="2" xfId="0" applyFont="true" applyBorder="true" applyAlignment="true" applyProtection="false">
      <alignment horizontal="general" vertical="top" textRotation="0" wrapText="true" indent="0" shrinkToFit="false"/>
      <protection locked="true" hidden="false"/>
    </xf>
    <xf numFmtId="170" fontId="26" fillId="3" borderId="2" xfId="0" applyFont="true" applyBorder="true" applyAlignment="true" applyProtection="false">
      <alignment horizontal="right" vertical="bottom" textRotation="0" wrapText="false" indent="0" shrinkToFit="false"/>
      <protection locked="true" hidden="false"/>
    </xf>
    <xf numFmtId="164" fontId="20" fillId="3" borderId="2" xfId="0" applyFont="true" applyBorder="true" applyAlignment="true" applyProtection="false">
      <alignment horizontal="general" vertical="top" textRotation="0" wrapText="true" indent="0" shrinkToFit="false"/>
      <protection locked="true" hidden="false"/>
    </xf>
    <xf numFmtId="165" fontId="26" fillId="2" borderId="2" xfId="0" applyFont="true" applyBorder="true" applyAlignment="true" applyProtection="true">
      <alignment horizontal="general" vertical="top" textRotation="0" wrapText="true" indent="0" shrinkToFit="false"/>
      <protection locked="false" hidden="false"/>
    </xf>
    <xf numFmtId="164" fontId="26" fillId="4" borderId="2" xfId="0" applyFont="true" applyBorder="true" applyAlignment="true" applyProtection="false">
      <alignment horizontal="general" vertical="top" textRotation="0" wrapText="tru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28" fillId="4" borderId="2" xfId="0" applyFont="true" applyBorder="true" applyAlignment="true" applyProtection="false">
      <alignment horizontal="general" vertical="top" textRotation="0" wrapText="true" indent="0" shrinkToFit="false"/>
      <protection locked="true" hidden="false"/>
    </xf>
    <xf numFmtId="164" fontId="26" fillId="0" borderId="2" xfId="0" applyFont="true" applyBorder="true" applyAlignment="true" applyProtection="false">
      <alignment horizontal="center" vertical="top" textRotation="0" wrapText="true" indent="0" shrinkToFit="false"/>
      <protection locked="true" hidden="false"/>
    </xf>
    <xf numFmtId="172" fontId="26" fillId="0" borderId="2" xfId="0" applyFont="true" applyBorder="true" applyAlignment="true" applyProtection="false">
      <alignment horizontal="center" vertical="top" textRotation="0" wrapText="true" indent="0" shrinkToFit="false"/>
      <protection locked="true" hidden="false"/>
    </xf>
    <xf numFmtId="172" fontId="26" fillId="2" borderId="2" xfId="0" applyFont="true" applyBorder="true" applyAlignment="true" applyProtection="true">
      <alignment horizontal="general" vertical="top" textRotation="0" wrapText="true" indent="0" shrinkToFit="false"/>
      <protection locked="false" hidden="false"/>
    </xf>
    <xf numFmtId="164" fontId="26" fillId="3" borderId="2" xfId="0" applyFont="true" applyBorder="true" applyAlignment="true" applyProtection="false">
      <alignment horizontal="center" vertical="top" textRotation="0" wrapText="true" indent="0" shrinkToFit="false"/>
      <protection locked="true" hidden="false"/>
    </xf>
    <xf numFmtId="173" fontId="26" fillId="3" borderId="2" xfId="0" applyFont="true" applyBorder="true" applyAlignment="true" applyProtection="false">
      <alignment horizontal="center" vertical="top" textRotation="0" wrapText="true" indent="0" shrinkToFit="false"/>
      <protection locked="true" hidden="false"/>
    </xf>
    <xf numFmtId="164" fontId="29"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72" fontId="22" fillId="0" borderId="2"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5" fontId="31" fillId="2" borderId="2" xfId="0" applyFont="true" applyBorder="true" applyAlignment="false" applyProtection="true">
      <alignment horizontal="general" vertical="bottom" textRotation="0" wrapText="false" indent="0" shrinkToFit="false"/>
      <protection locked="fals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31" fillId="2" borderId="2" xfId="0" applyFont="true" applyBorder="true" applyAlignment="false" applyProtection="true">
      <alignment horizontal="general" vertical="bottom" textRotation="0" wrapText="false" indent="0" shrinkToFit="false"/>
      <protection locked="false" hidden="false"/>
    </xf>
    <xf numFmtId="165" fontId="17" fillId="3" borderId="2"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3" fontId="17" fillId="3"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28" fillId="0" borderId="2" xfId="0" applyFont="true" applyBorder="true" applyAlignment="false" applyProtection="false">
      <alignment horizontal="general" vertical="bottom" textRotation="0" wrapText="false" indent="0" shrinkToFit="false"/>
      <protection locked="true" hidden="false"/>
    </xf>
    <xf numFmtId="165" fontId="28" fillId="0" borderId="2"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33" fillId="3" borderId="3" xfId="0" applyFont="true" applyBorder="true" applyAlignment="true" applyProtection="false">
      <alignment horizontal="left" vertical="center" textRotation="0" wrapText="true" indent="0" shrinkToFit="false"/>
      <protection locked="true" hidden="false"/>
    </xf>
    <xf numFmtId="164" fontId="26" fillId="0" borderId="3" xfId="0" applyFont="true" applyBorder="true" applyAlignment="true" applyProtection="false">
      <alignment horizontal="left" vertical="center" textRotation="0" wrapText="true" indent="0" shrinkToFit="false"/>
      <protection locked="true" hidden="false"/>
    </xf>
    <xf numFmtId="164" fontId="34" fillId="5" borderId="3" xfId="0" applyFont="true" applyBorder="true" applyAlignment="true" applyProtection="false">
      <alignment horizontal="center" vertical="center" textRotation="0" wrapText="true" indent="0" shrinkToFit="false"/>
      <protection locked="true" hidden="false"/>
    </xf>
    <xf numFmtId="164" fontId="17" fillId="0" borderId="3" xfId="0" applyFont="true" applyBorder="true" applyAlignment="true" applyProtection="false">
      <alignment horizontal="center" vertical="center" textRotation="0" wrapText="true" indent="0" shrinkToFit="false"/>
      <protection locked="true" hidden="false"/>
    </xf>
    <xf numFmtId="164" fontId="20" fillId="0" borderId="3" xfId="0" applyFont="true" applyBorder="true" applyAlignment="true" applyProtection="false">
      <alignment horizontal="center" vertical="center" textRotation="0" wrapText="true" indent="0" shrinkToFit="false"/>
      <protection locked="true" hidden="false"/>
    </xf>
    <xf numFmtId="170" fontId="20" fillId="0" borderId="3" xfId="0" applyFont="true" applyBorder="true" applyAlignment="true" applyProtection="false">
      <alignment horizontal="center" vertical="center" textRotation="0" wrapText="true" indent="0" shrinkToFit="false"/>
      <protection locked="true" hidden="false"/>
    </xf>
    <xf numFmtId="164" fontId="26" fillId="0" borderId="3" xfId="0" applyFont="true" applyBorder="true" applyAlignment="true" applyProtection="false">
      <alignment horizontal="center" vertical="center" textRotation="0" wrapText="true" indent="0" shrinkToFit="false"/>
      <protection locked="true" hidden="false"/>
    </xf>
    <xf numFmtId="175" fontId="17" fillId="0" borderId="3" xfId="0" applyFont="true" applyBorder="true" applyAlignment="true" applyProtection="false">
      <alignment horizontal="center" vertical="center" textRotation="0" wrapText="true" indent="0" shrinkToFit="false"/>
      <protection locked="true" hidden="false"/>
    </xf>
    <xf numFmtId="176" fontId="17" fillId="0" borderId="3" xfId="0" applyFont="true" applyBorder="true" applyAlignment="true" applyProtection="false">
      <alignment horizontal="center" vertical="center" textRotation="0" wrapText="true" indent="0" shrinkToFit="false"/>
      <protection locked="true" hidden="false"/>
    </xf>
    <xf numFmtId="177" fontId="17" fillId="0" borderId="3" xfId="0" applyFont="true" applyBorder="true" applyAlignment="true" applyProtection="false">
      <alignment horizontal="center" vertical="center" textRotation="0" wrapText="true" indent="0" shrinkToFit="false"/>
      <protection locked="true" hidden="false"/>
    </xf>
    <xf numFmtId="178" fontId="17" fillId="0" borderId="3" xfId="0" applyFont="true" applyBorder="true" applyAlignment="true" applyProtection="false">
      <alignment horizontal="center" vertical="center" textRotation="0" wrapText="true" indent="0" shrinkToFit="false"/>
      <protection locked="true" hidden="false"/>
    </xf>
    <xf numFmtId="179" fontId="17" fillId="0" borderId="3" xfId="0" applyFont="true" applyBorder="true" applyAlignment="true" applyProtection="false">
      <alignment horizontal="center" vertical="center" textRotation="0" wrapText="true" indent="0" shrinkToFit="false"/>
      <protection locked="true" hidden="false"/>
    </xf>
    <xf numFmtId="180" fontId="17" fillId="0" borderId="3" xfId="0" applyFont="true" applyBorder="true" applyAlignment="true" applyProtection="false">
      <alignment horizontal="center" vertical="center" textRotation="0" wrapText="true" indent="0" shrinkToFit="false"/>
      <protection locked="true" hidden="false"/>
    </xf>
    <xf numFmtId="164" fontId="35" fillId="0" borderId="3" xfId="0" applyFont="true" applyBorder="true" applyAlignment="true" applyProtection="false">
      <alignment horizontal="center" vertical="center" textRotation="0" wrapText="true" indent="0" shrinkToFit="false"/>
      <protection locked="true" hidden="false"/>
    </xf>
    <xf numFmtId="164" fontId="36" fillId="0" borderId="3" xfId="0" applyFont="true" applyBorder="true" applyAlignment="true" applyProtection="false">
      <alignment horizontal="left" vertical="center" textRotation="0" wrapText="true" indent="0" shrinkToFit="false"/>
      <protection locked="true" hidden="false"/>
    </xf>
    <xf numFmtId="164" fontId="37" fillId="8" borderId="3" xfId="0" applyFont="true" applyBorder="true" applyAlignment="true" applyProtection="false">
      <alignment horizontal="center" vertical="center" textRotation="0" wrapText="true" indent="0" shrinkToFit="false"/>
      <protection locked="true" hidden="false"/>
    </xf>
    <xf numFmtId="164" fontId="37" fillId="9" borderId="3" xfId="0" applyFont="true" applyBorder="true" applyAlignment="true" applyProtection="false">
      <alignment horizontal="center" vertical="center" textRotation="0" wrapText="true" indent="0" shrinkToFit="false"/>
      <protection locked="true" hidden="false"/>
    </xf>
    <xf numFmtId="164" fontId="37" fillId="10" borderId="3" xfId="0" applyFont="true" applyBorder="true" applyAlignment="true" applyProtection="false">
      <alignment horizontal="center" vertical="center" textRotation="0" wrapText="true" indent="0" shrinkToFit="false"/>
      <protection locked="true" hidden="false"/>
    </xf>
    <xf numFmtId="164" fontId="37" fillId="11" borderId="3" xfId="0" applyFont="true" applyBorder="true" applyAlignment="true" applyProtection="false">
      <alignment horizontal="center" vertical="center" textRotation="0" wrapText="true" indent="0" shrinkToFit="false"/>
      <protection locked="true" hidden="false"/>
    </xf>
    <xf numFmtId="164" fontId="38" fillId="3" borderId="3" xfId="0" applyFont="true" applyBorder="true" applyAlignment="true" applyProtection="false">
      <alignment horizontal="left" vertical="center" textRotation="0" wrapText="true" indent="0" shrinkToFit="false"/>
      <protection locked="true" hidden="false"/>
    </xf>
    <xf numFmtId="164" fontId="20" fillId="0" borderId="3" xfId="0" applyFont="true" applyBorder="true" applyAlignment="true" applyProtection="false">
      <alignment horizontal="left" vertical="center" textRotation="0" wrapText="true" indent="0" shrinkToFit="false"/>
      <protection locked="true" hidden="false"/>
    </xf>
    <xf numFmtId="164" fontId="39" fillId="0" borderId="3" xfId="0" applyFont="true" applyBorder="true" applyAlignment="true" applyProtection="false">
      <alignment horizontal="left" vertical="center" textRotation="0" wrapText="true" indent="0" shrinkToFit="false"/>
      <protection locked="true" hidden="false"/>
    </xf>
    <xf numFmtId="164" fontId="35" fillId="0" borderId="3" xfId="0" applyFont="true" applyBorder="true" applyAlignment="true" applyProtection="false">
      <alignment horizontal="left" vertical="center" textRotation="0" wrapText="true" indent="0" shrinkToFit="false"/>
      <protection locked="true" hidden="false"/>
    </xf>
    <xf numFmtId="164" fontId="34" fillId="5" borderId="3" xfId="0" applyFont="true" applyBorder="true" applyAlignment="true" applyProtection="false">
      <alignment horizontal="left" vertical="center" textRotation="0" wrapText="true" indent="0" shrinkToFit="false"/>
      <protection locked="true" hidden="false"/>
    </xf>
    <xf numFmtId="164" fontId="40" fillId="0" borderId="3" xfId="0" applyFont="true" applyBorder="true" applyAlignment="true" applyProtection="false">
      <alignment horizontal="left" vertical="top" textRotation="0" wrapText="true" indent="0" shrinkToFit="false"/>
      <protection locked="true" hidden="false"/>
    </xf>
    <xf numFmtId="164" fontId="30" fillId="7" borderId="3" xfId="0" applyFont="true" applyBorder="true" applyAlignment="true" applyProtection="false">
      <alignment horizontal="left" vertical="center" textRotation="0" wrapText="true" indent="0" shrinkToFit="false"/>
      <protection locked="true" hidden="false"/>
    </xf>
    <xf numFmtId="164" fontId="26" fillId="0" borderId="3" xfId="0" applyFont="true" applyBorder="true" applyAlignment="true" applyProtection="false">
      <alignment horizontal="left" vertical="top" textRotation="0" wrapText="true" indent="0" shrinkToFit="false"/>
      <protection locked="true" hidden="false"/>
    </xf>
    <xf numFmtId="164" fontId="33" fillId="0" borderId="3" xfId="0" applyFont="true" applyBorder="true" applyAlignment="true" applyProtection="false">
      <alignment horizontal="left" vertical="top" textRotation="0" wrapText="true" indent="0" shrinkToFit="false"/>
      <protection locked="true" hidden="false"/>
    </xf>
    <xf numFmtId="164" fontId="41" fillId="7" borderId="4" xfId="0" applyFont="true" applyBorder="true" applyAlignment="true" applyProtection="false">
      <alignment horizontal="left" vertical="center" textRotation="0" wrapText="true" indent="0" shrinkToFit="false"/>
      <protection locked="true" hidden="false"/>
    </xf>
    <xf numFmtId="164" fontId="0" fillId="0" borderId="5" xfId="0" applyFont="false" applyBorder="true" applyAlignment="true" applyProtection="false">
      <alignment horizontal="center" vertical="center" textRotation="0" wrapText="true" indent="0" shrinkToFit="false"/>
      <protection locked="true" hidden="false"/>
    </xf>
    <xf numFmtId="164" fontId="42" fillId="9"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6">
    <dxf>
      <font>
        <name val="Arial"/>
        <charset val="1"/>
        <family val="0"/>
        <b val="1"/>
        <color rgb="FFC00000"/>
      </font>
    </dxf>
    <dxf>
      <font>
        <name val="Arial"/>
        <charset val="1"/>
        <family val="0"/>
        <b val="1"/>
        <color rgb="FF006100"/>
      </font>
    </dxf>
    <dxf>
      <font>
        <name val="Arial"/>
        <charset val="1"/>
        <family val="0"/>
        <b val="1"/>
        <color rgb="FF006100"/>
      </font>
      <fill>
        <patternFill>
          <bgColor rgb="FFC6EFCE"/>
        </patternFill>
      </fill>
    </dxf>
    <dxf>
      <font>
        <name val="Arial"/>
        <charset val="1"/>
        <family val="0"/>
        <b val="1"/>
        <color rgb="FFC00000"/>
      </font>
      <fill>
        <patternFill>
          <bgColor rgb="FFF8CBAD"/>
        </patternFill>
      </fill>
    </dxf>
    <dxf>
      <font>
        <name val="Arial"/>
        <charset val="1"/>
        <family val="0"/>
        <b val="1"/>
        <color rgb="FF7F6000"/>
      </font>
      <fill>
        <patternFill>
          <bgColor rgb="FFFFE699"/>
        </patternFill>
      </fill>
    </dxf>
    <dxf>
      <font>
        <name val="Arial"/>
        <charset val="1"/>
        <family val="0"/>
        <b val="1"/>
        <color rgb="FF595959"/>
      </font>
      <fill>
        <patternFill>
          <bgColor rgb="FFD9D9D9"/>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F2F2F2"/>
          <bgColor rgb="FF000000"/>
        </patternFill>
      </fill>
    </dxf>
    <dxf>
      <fill>
        <patternFill patternType="solid">
          <fgColor rgb="FFC00000"/>
          <bgColor rgb="FF000000"/>
        </patternFill>
      </fill>
    </dxf>
    <dxf>
      <fill>
        <patternFill patternType="solid">
          <fgColor rgb="FFFFC7CE"/>
          <bgColor rgb="FF000000"/>
        </patternFill>
      </fill>
    </dxf>
    <dxf>
      <fill>
        <patternFill patternType="solid">
          <fgColor rgb="FF9C0006"/>
          <bgColor rgb="FF000000"/>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ill>
        <patternFill>
          <bgColor rgb="FFFFEB9C"/>
        </patternFill>
      </fill>
    </dxf>
    <dxf>
      <fill>
        <patternFill patternType="solid">
          <fgColor rgb="FF808080"/>
          <bgColor rgb="FF000000"/>
        </patternFill>
      </fill>
    </dxf>
    <dxf>
      <fill>
        <patternFill patternType="solid">
          <fgColor rgb="FFE8EEF7"/>
          <bgColor rgb="FF000000"/>
        </patternFill>
      </fill>
    </dxf>
    <dxf>
      <fill>
        <patternFill patternType="solid">
          <fgColor rgb="FF0000FF"/>
          <bgColor rgb="FF000000"/>
        </patternFill>
      </fill>
    </dxf>
    <dxf>
      <fill>
        <patternFill patternType="solid">
          <fgColor rgb="FFD9D9D9"/>
          <bgColor rgb="FF000000"/>
        </patternFill>
      </fill>
    </dxf>
    <dxf>
      <fill>
        <patternFill patternType="solid">
          <fgColor rgb="FFFFEB9C"/>
          <bgColor rgb="FF000000"/>
        </patternFill>
      </fill>
    </dxf>
    <dxf>
      <fill>
        <patternFill>
          <bgColor rgb="FFC6EFCE"/>
        </patternFill>
      </fill>
    </dxf>
    <dxf>
      <fill>
        <patternFill>
          <bgColor rgb="FFFFC7CE"/>
        </patternFill>
      </fill>
    </dxf>
    <dxf>
      <fill>
        <patternFill>
          <bgColor rgb="FFD9D9D9"/>
        </patternFill>
      </fill>
    </dxf>
    <dxf>
      <font>
        <name val="Arial"/>
        <charset val="1"/>
        <family val="0"/>
        <color rgb="FF808080"/>
      </font>
    </dxf>
    <dxf>
      <fill>
        <patternFill>
          <bgColor rgb="FFC6EFCE"/>
        </patternFill>
      </fill>
    </dxf>
    <dxf>
      <font>
        <b val="1"/>
        <color rgb="FF9C0006"/>
      </font>
      <fill>
        <patternFill>
          <bgColor rgb="FFFFC7CE"/>
        </patternFill>
      </fill>
    </dxf>
    <dxf>
      <fill>
        <patternFill>
          <bgColor rgb="FFFFEB9C"/>
        </patternFill>
      </fill>
    </dxf>
    <dxf>
      <font>
        <b val="1"/>
        <color rgb="FFFFFFFF"/>
      </font>
      <fill>
        <patternFill>
          <bgColor rgb="FFC00000"/>
        </patternFill>
      </fill>
    </dxf>
    <dxf>
      <font>
        <b val="1"/>
        <color rgb="FF7F4F00"/>
      </font>
      <fill>
        <patternFill>
          <bgColor rgb="FFFFEB9C"/>
        </patternFill>
      </fill>
    </dxf>
    <dxf>
      <font>
        <b val="1"/>
        <color rgb="FF006100"/>
      </font>
      <fill>
        <patternFill>
          <bgColor rgb="FFC6EFCE"/>
        </patternFill>
      </fill>
    </dxf>
    <dxf>
      <font>
        <b val="1"/>
        <color rgb="FF9C5700"/>
      </font>
      <fill>
        <patternFill>
          <bgColor rgb="FFFFEB9C"/>
        </patternFill>
      </fill>
    </dxf>
    <dxf>
      <font>
        <b val="1"/>
        <color rgb="FF404040"/>
      </font>
      <fill>
        <patternFill>
          <bgColor rgb="FFD9D9D9"/>
        </patternFill>
      </fill>
    </dxf>
    <dxf>
      <font>
        <color rgb="FF808080"/>
      </font>
    </dxf>
  </dxfs>
  <colors>
    <indexedColors>
      <rgbColor rgb="FF000000"/>
      <rgbColor rgb="FFFFFFFF"/>
      <rgbColor rgb="FFC00000"/>
      <rgbColor rgb="FF00FF00"/>
      <rgbColor rgb="FF0000FF"/>
      <rgbColor rgb="FFFFE699"/>
      <rgbColor rgb="FFFF00FF"/>
      <rgbColor rgb="FF00FFFF"/>
      <rgbColor rgb="FF9C0006"/>
      <rgbColor rgb="FF006100"/>
      <rgbColor rgb="FF000080"/>
      <rgbColor rgb="FF7F6000"/>
      <rgbColor rgb="FF800080"/>
      <rgbColor rgb="FF008080"/>
      <rgbColor rgb="FFBFBFBF"/>
      <rgbColor rgb="FF808080"/>
      <rgbColor rgb="FF9999FF"/>
      <rgbColor rgb="FF9C5700"/>
      <rgbColor rgb="FFFFF2CC"/>
      <rgbColor rgb="FFE8EE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1F2"/>
      <rgbColor rgb="FFFFC7CE"/>
      <rgbColor rgb="FFCC99FF"/>
      <rgbColor rgb="FFF8CBAD"/>
      <rgbColor rgb="FF3366FF"/>
      <rgbColor rgb="FF33CCCC"/>
      <rgbColor rgb="FF99CC00"/>
      <rgbColor rgb="FFFFCC00"/>
      <rgbColor rgb="FFFF9900"/>
      <rgbColor rgb="FFFF6600"/>
      <rgbColor rgb="FF595959"/>
      <rgbColor rgb="FF7F7F7F"/>
      <rgbColor rgb="FF1F3864"/>
      <rgbColor rgb="FF339966"/>
      <rgbColor rgb="FF003300"/>
      <rgbColor rgb="FF333300"/>
      <rgbColor rgb="FF7F4F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5.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6.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7.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8.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9.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0.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1.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2.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3.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4.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5.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6.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9.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20.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21.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22.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3.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4.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8"/>
  </cols>
  <sheetData>
    <row r="1" customFormat="false" ht="25.5" hidden="false" customHeight="true" outlineLevel="0" collapsed="false">
      <c r="B1" s="1" t="s">
        <v>0</v>
      </c>
    </row>
    <row r="2" customFormat="false" ht="15" hidden="false" customHeight="false" outlineLevel="0" collapsed="false">
      <c r="B2" s="2" t="s">
        <v>1</v>
      </c>
    </row>
    <row r="4" customFormat="false" ht="16.15" hidden="false" customHeight="false" outlineLevel="0" collapsed="false">
      <c r="B4" s="3" t="s">
        <v>2</v>
      </c>
    </row>
    <row r="5" customFormat="false" ht="84" hidden="false" customHeight="true" outlineLevel="0" collapsed="false">
      <c r="B5" s="4" t="s">
        <v>3</v>
      </c>
    </row>
    <row r="6" customFormat="false" ht="21.75" hidden="false" customHeight="true" outlineLevel="0" collapsed="false">
      <c r="B6" s="5" t="s">
        <v>4</v>
      </c>
    </row>
    <row r="7" customFormat="false" ht="30" hidden="false" customHeight="true" outlineLevel="0" collapsed="false">
      <c r="B7" s="4" t="s">
        <v>5</v>
      </c>
    </row>
    <row r="8" customFormat="false" ht="30" hidden="false" customHeight="true" outlineLevel="0" collapsed="false">
      <c r="B8" s="4" t="s">
        <v>6</v>
      </c>
    </row>
    <row r="9" customFormat="false" ht="30" hidden="false" customHeight="true" outlineLevel="0" collapsed="false">
      <c r="B9" s="4" t="s">
        <v>7</v>
      </c>
    </row>
    <row r="10" customFormat="false" ht="30" hidden="false" customHeight="true" outlineLevel="0" collapsed="false">
      <c r="B10" s="4" t="s">
        <v>8</v>
      </c>
    </row>
    <row r="11" customFormat="false" ht="30" hidden="false" customHeight="true" outlineLevel="0" collapsed="false">
      <c r="B11" s="4" t="s">
        <v>9</v>
      </c>
    </row>
    <row r="12" customFormat="false" ht="16.5" hidden="false" customHeight="true" outlineLevel="0" collapsed="false">
      <c r="B12" s="4" t="s">
        <v>10</v>
      </c>
    </row>
    <row r="13" customFormat="false" ht="70.5" hidden="false" customHeight="true" outlineLevel="0" collapsed="false">
      <c r="B13" s="4" t="s">
        <v>11</v>
      </c>
    </row>
    <row r="14" customFormat="false" ht="21.75" hidden="false" customHeight="true" outlineLevel="0" collapsed="false">
      <c r="B14" s="5" t="s">
        <v>12</v>
      </c>
    </row>
    <row r="15" customFormat="false" ht="16.5" hidden="false" customHeight="true" outlineLevel="0" collapsed="false">
      <c r="B15" s="4" t="s">
        <v>13</v>
      </c>
    </row>
    <row r="16" customFormat="false" ht="30" hidden="false" customHeight="true" outlineLevel="0" collapsed="false">
      <c r="B16" s="4" t="s">
        <v>14</v>
      </c>
    </row>
    <row r="17" customFormat="false" ht="30" hidden="false" customHeight="true" outlineLevel="0" collapsed="false">
      <c r="B17" s="4" t="s">
        <v>15</v>
      </c>
    </row>
    <row r="18" customFormat="false" ht="43.5" hidden="false" customHeight="true" outlineLevel="0" collapsed="false">
      <c r="B18" s="4" t="s">
        <v>16</v>
      </c>
    </row>
    <row r="19" customFormat="false" ht="30" hidden="false" customHeight="true" outlineLevel="0" collapsed="false">
      <c r="B19" s="4" t="s">
        <v>17</v>
      </c>
    </row>
    <row r="20" customFormat="false" ht="43.5" hidden="false" customHeight="true" outlineLevel="0" collapsed="false">
      <c r="B20" s="4" t="s">
        <v>18</v>
      </c>
    </row>
    <row r="21" customFormat="false" ht="21.75" hidden="false" customHeight="true" outlineLevel="0" collapsed="false">
      <c r="B21" s="5" t="s">
        <v>19</v>
      </c>
    </row>
    <row r="22" customFormat="false" ht="43.5" hidden="false" customHeight="true" outlineLevel="0" collapsed="false">
      <c r="B22" s="4" t="s">
        <v>20</v>
      </c>
    </row>
    <row r="23" customFormat="false" ht="43.5" hidden="false" customHeight="true" outlineLevel="0" collapsed="false">
      <c r="B23" s="4" t="s">
        <v>21</v>
      </c>
    </row>
    <row r="24" customFormat="false" ht="57" hidden="false" customHeight="true" outlineLevel="0" collapsed="false">
      <c r="B24" s="4" t="s">
        <v>22</v>
      </c>
    </row>
    <row r="25" customFormat="false" ht="30" hidden="false" customHeight="true" outlineLevel="0" collapsed="false">
      <c r="B25" s="4" t="s">
        <v>23</v>
      </c>
    </row>
    <row r="26" customFormat="false" ht="57" hidden="false" customHeight="true" outlineLevel="0" collapsed="false">
      <c r="B26" s="4" t="s">
        <v>24</v>
      </c>
    </row>
    <row r="27" customFormat="false" ht="30" hidden="false" customHeight="true" outlineLevel="0" collapsed="false">
      <c r="B27" s="4" t="s">
        <v>25</v>
      </c>
    </row>
    <row r="28" customFormat="false" ht="30" hidden="false" customHeight="true" outlineLevel="0" collapsed="false">
      <c r="B28" s="4" t="s">
        <v>26</v>
      </c>
    </row>
    <row r="29" customFormat="false" ht="43.5" hidden="false" customHeight="true" outlineLevel="0" collapsed="false">
      <c r="B29" s="4" t="s">
        <v>27</v>
      </c>
    </row>
    <row r="30" customFormat="false" ht="57" hidden="false" customHeight="true" outlineLevel="0" collapsed="false">
      <c r="B30" s="4" t="s">
        <v>28</v>
      </c>
    </row>
    <row r="31" customFormat="false" ht="43.5" hidden="false" customHeight="true" outlineLevel="0" collapsed="false">
      <c r="B31" s="4" t="s">
        <v>29</v>
      </c>
    </row>
    <row r="32" customFormat="false" ht="57" hidden="false" customHeight="true" outlineLevel="0" collapsed="false">
      <c r="B32" s="4" t="s">
        <v>30</v>
      </c>
    </row>
    <row r="33" customFormat="false" ht="151.5" hidden="false" customHeight="true" outlineLevel="0" collapsed="false">
      <c r="B33" s="4" t="s">
        <v>31</v>
      </c>
    </row>
    <row r="34" customFormat="false" ht="84" hidden="false" customHeight="true" outlineLevel="0" collapsed="false">
      <c r="B34" s="4" t="s">
        <v>32</v>
      </c>
    </row>
    <row r="35" customFormat="false" ht="97.5" hidden="false" customHeight="true" outlineLevel="0" collapsed="false">
      <c r="B35" s="4" t="s">
        <v>33</v>
      </c>
    </row>
    <row r="36" customFormat="false" ht="57" hidden="false" customHeight="true" outlineLevel="0" collapsed="false">
      <c r="B36" s="4" t="s">
        <v>34</v>
      </c>
    </row>
    <row r="37" customFormat="false" ht="30" hidden="false" customHeight="true" outlineLevel="0" collapsed="false">
      <c r="B37" s="4" t="s">
        <v>35</v>
      </c>
    </row>
    <row r="38" customFormat="false" ht="30" hidden="false" customHeight="true" outlineLevel="0" collapsed="false">
      <c r="B38" s="4" t="s">
        <v>36</v>
      </c>
    </row>
    <row r="39" customFormat="false" ht="30" hidden="false" customHeight="true" outlineLevel="0" collapsed="false">
      <c r="B39" s="4" t="s">
        <v>37</v>
      </c>
    </row>
    <row r="40" customFormat="false" ht="21.75" hidden="false" customHeight="true" outlineLevel="0" collapsed="false">
      <c r="B40" s="5" t="s">
        <v>38</v>
      </c>
    </row>
    <row r="41" customFormat="false" ht="43.5" hidden="false" customHeight="true" outlineLevel="0" collapsed="false">
      <c r="B41" s="4" t="s">
        <v>39</v>
      </c>
    </row>
    <row r="42" customFormat="false" ht="84" hidden="false" customHeight="true" outlineLevel="0" collapsed="false">
      <c r="B42" s="4" t="s">
        <v>40</v>
      </c>
    </row>
    <row r="43" customFormat="false" ht="70.5" hidden="false" customHeight="true" outlineLevel="0" collapsed="false">
      <c r="B43" s="4" t="s">
        <v>41</v>
      </c>
    </row>
    <row r="44" customFormat="false" ht="57" hidden="false" customHeight="true" outlineLevel="0" collapsed="false">
      <c r="B44" s="4" t="s">
        <v>42</v>
      </c>
    </row>
    <row r="45" customFormat="false" ht="21.75" hidden="false" customHeight="true" outlineLevel="0" collapsed="false">
      <c r="B45" s="5" t="s">
        <v>43</v>
      </c>
    </row>
    <row r="46" customFormat="false" ht="57" hidden="false" customHeight="true" outlineLevel="0" collapsed="false">
      <c r="B46" s="4" t="s">
        <v>44</v>
      </c>
    </row>
    <row r="47" customFormat="false" ht="43.5" hidden="false" customHeight="true" outlineLevel="0" collapsed="false">
      <c r="B47" s="4" t="s">
        <v>45</v>
      </c>
    </row>
    <row r="48" customFormat="false" ht="30" hidden="false" customHeight="true" outlineLevel="0" collapsed="false">
      <c r="B48" s="4" t="s">
        <v>46</v>
      </c>
    </row>
    <row r="49" customFormat="false" ht="21.75" hidden="false" customHeight="true" outlineLevel="0" collapsed="false">
      <c r="B49" s="5" t="s">
        <v>47</v>
      </c>
    </row>
    <row r="50" customFormat="false" ht="43.5" hidden="false" customHeight="true" outlineLevel="0" collapsed="false">
      <c r="B50" s="4" t="s">
        <v>48</v>
      </c>
    </row>
    <row r="51" customFormat="false" ht="21.75" hidden="false" customHeight="true" outlineLevel="0" collapsed="false">
      <c r="B51" s="5" t="s">
        <v>49</v>
      </c>
    </row>
    <row r="52" customFormat="false" ht="16.5" hidden="false" customHeight="true" outlineLevel="0" collapsed="false">
      <c r="B52" s="6" t="s">
        <v>50</v>
      </c>
    </row>
    <row r="53" customFormat="false" ht="16.5" hidden="false" customHeight="true" outlineLevel="0" collapsed="false">
      <c r="B53" s="7" t="s">
        <v>51</v>
      </c>
    </row>
    <row r="54" customFormat="false" ht="16.5" hidden="false" customHeight="true" outlineLevel="0" collapsed="false">
      <c r="B54" s="8" t="s">
        <v>52</v>
      </c>
    </row>
    <row r="55" customFormat="false" ht="30" hidden="false" customHeight="true" outlineLevel="0" collapsed="false">
      <c r="B55" s="9" t="s">
        <v>53</v>
      </c>
    </row>
  </sheetData>
  <sheetProtection sheet="true" formatCells="false" formatColumns="false" formatRows="false" autoFilter="false"/>
  <printOptions headings="false" gridLines="false" gridLinesSet="true" horizontalCentered="false" verticalCentered="false"/>
  <pageMargins left="0.3" right="0.3" top="1" bottom="1"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&amp;A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T94"/>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9"/>
    <col collapsed="false" customWidth="true" hidden="false" outlineLevel="0" max="4" min="4" style="0" width="8"/>
    <col collapsed="false" customWidth="true" hidden="false" outlineLevel="0" max="5" min="5" style="0" width="9"/>
    <col collapsed="false" customWidth="true" hidden="false" outlineLevel="0" max="6" min="6" style="0" width="5"/>
    <col collapsed="false" customWidth="true" hidden="false" outlineLevel="0" max="7" min="7" style="0" width="10"/>
    <col collapsed="false" customWidth="true" hidden="false" outlineLevel="0" max="8" min="8" style="0" width="14"/>
    <col collapsed="false" customWidth="true" hidden="false" outlineLevel="0" max="12" min="9" style="0" width="8"/>
    <col collapsed="false" customWidth="true" hidden="false" outlineLevel="0" max="13" min="13" style="0" width="9"/>
    <col collapsed="false" customWidth="true" hidden="false" outlineLevel="0" max="17" min="14" style="0" width="8"/>
    <col collapsed="false" customWidth="true" hidden="false" outlineLevel="0" max="18" min="18" style="0" width="30"/>
    <col collapsed="false" customWidth="true" hidden="false" outlineLevel="0" max="19" min="19" style="0" width="2"/>
    <col collapsed="false" customWidth="true" hidden="true" outlineLevel="0" max="20" min="20" style="0" width="8"/>
  </cols>
  <sheetData>
    <row r="1" customFormat="false" ht="30" hidden="false" customHeight="true" outlineLevel="0" collapsed="false">
      <c r="B1" s="10" t="s">
        <v>54</v>
      </c>
      <c r="C1" s="10"/>
      <c r="D1" s="10"/>
      <c r="E1" s="10"/>
      <c r="F1" s="10"/>
      <c r="G1" s="10"/>
      <c r="H1" s="10"/>
      <c r="I1" s="10"/>
      <c r="J1" s="10"/>
      <c r="K1" s="10"/>
      <c r="L1" s="10"/>
      <c r="M1" s="10"/>
      <c r="N1" s="10"/>
      <c r="O1" s="10"/>
      <c r="P1" s="10"/>
      <c r="Q1" s="10"/>
      <c r="R1" s="10"/>
    </row>
    <row r="2" customFormat="false" ht="14.25" hidden="false" customHeight="true" outlineLevel="0" collapsed="false">
      <c r="B2" s="11" t="s">
        <v>55</v>
      </c>
      <c r="C2" s="11"/>
      <c r="D2" s="12" t="n">
        <f aca="false">AsOfUTC</f>
        <v>46294.5373251825</v>
      </c>
      <c r="E2" s="12"/>
      <c r="F2" s="11" t="s">
        <v>56</v>
      </c>
      <c r="G2" s="11"/>
      <c r="H2" s="12" t="n">
        <f aca="false">AsOfUTC+8/24</f>
        <v>46294.8706585158</v>
      </c>
      <c r="I2" s="12"/>
      <c r="J2" s="13" t="str">
        <f aca="false">IF(Settings!$B$4&lt;&gt;"","Settings B4 (override) is set → as-of time is fixed","Settings B4 (override) blank → live clock (recalculate to refresh)")&amp;"; effective as-of shown in Settings B6."</f>
        <v>Settings B4 (override) blank → live clock (recalculate to refresh); effective as-of shown in Settings B6.</v>
      </c>
      <c r="K2" s="13"/>
      <c r="L2" s="13"/>
      <c r="M2" s="13"/>
      <c r="N2" s="13"/>
      <c r="O2" s="13"/>
      <c r="P2" s="13"/>
      <c r="Q2" s="13"/>
      <c r="R2" s="13"/>
    </row>
    <row r="3" customFormat="false" ht="6" hidden="false" customHeight="true" outlineLevel="0" collapsed="false"/>
    <row r="4" customFormat="false" ht="21.75" hidden="false" customHeight="true" outlineLevel="0" collapsed="false">
      <c r="B4" s="14" t="s">
        <v>57</v>
      </c>
      <c r="C4" s="14"/>
      <c r="D4" s="14"/>
      <c r="E4" s="14"/>
      <c r="F4" s="14"/>
      <c r="G4" s="14"/>
      <c r="H4" s="14"/>
      <c r="I4" s="14"/>
      <c r="J4" s="14"/>
      <c r="K4" s="14"/>
      <c r="L4" s="14"/>
      <c r="M4" s="14"/>
      <c r="N4" s="14"/>
      <c r="O4" s="14"/>
      <c r="P4" s="14"/>
      <c r="Q4" s="14"/>
      <c r="R4" s="14"/>
    </row>
    <row r="5" customFormat="false" ht="27.75" hidden="false" customHeight="true" outlineLevel="0" collapsed="false">
      <c r="B5" s="15" t="s">
        <v>58</v>
      </c>
      <c r="C5" s="15"/>
      <c r="D5" s="15" t="s">
        <v>59</v>
      </c>
      <c r="E5" s="15"/>
      <c r="F5" s="15" t="s">
        <v>60</v>
      </c>
      <c r="G5" s="15"/>
      <c r="H5" s="15" t="s">
        <v>61</v>
      </c>
      <c r="I5" s="15"/>
      <c r="J5" s="15" t="s">
        <v>62</v>
      </c>
      <c r="K5" s="15"/>
      <c r="L5" s="15" t="s">
        <v>63</v>
      </c>
      <c r="M5" s="15"/>
      <c r="N5" s="15" t="s">
        <v>64</v>
      </c>
      <c r="O5" s="15"/>
      <c r="P5" s="15" t="s">
        <v>65</v>
      </c>
      <c r="Q5" s="15"/>
      <c r="R5" s="15"/>
    </row>
    <row r="6" customFormat="false" ht="31.5" hidden="false" customHeight="true" outlineLevel="0" collapsed="false">
      <c r="B6" s="16" t="n">
        <f aca="false">COUNTA(Flights!$A$5:$A$26)</f>
        <v>22</v>
      </c>
      <c r="C6" s="16"/>
      <c r="D6" s="16" t="n">
        <f aca="false">COUNTIF(Flights!$AT$5:$AT$26,"READY")</f>
        <v>0</v>
      </c>
      <c r="E6" s="16"/>
      <c r="F6" s="17" t="n">
        <f aca="false">IF(SUM(Checks!$AI$5:$AI$748)=0,"n/a",SUM(Checks!$AJ$5:$AJ$748)/SUM(Checks!$AI$5:$AI$748))</f>
        <v>0</v>
      </c>
      <c r="G6" s="17"/>
      <c r="H6" s="16" t="n">
        <f aca="false">SUM(Checks!$AK$5:$AK$748)</f>
        <v>0</v>
      </c>
      <c r="I6" s="16"/>
      <c r="J6" s="16" t="n">
        <f aca="false">SUM(Checks!$AL$5:$AL$748)</f>
        <v>0</v>
      </c>
      <c r="K6" s="16"/>
      <c r="L6" s="16" t="n">
        <f aca="false">SUM(Flights!$AR$5:$AR$26)</f>
        <v>44</v>
      </c>
      <c r="M6" s="16"/>
      <c r="N6" s="16" t="n">
        <f aca="false">SUM(Flights!$AS$5:$AS$26)</f>
        <v>33</v>
      </c>
      <c r="O6" s="16"/>
      <c r="P6" s="16" t="n">
        <f aca="false">SUM(Checks!$AM$5:$AM$748)</f>
        <v>0</v>
      </c>
      <c r="Q6" s="16"/>
      <c r="R6" s="16"/>
    </row>
    <row r="7" customFormat="false" ht="36" hidden="false" customHeight="true" outlineLevel="0" collapsed="false">
      <c r="B7" s="18" t="s">
        <v>66</v>
      </c>
      <c r="C7" s="18"/>
      <c r="D7" s="18" t="str">
        <f aca="false">"of "&amp;COUNTA(Flights!$A$5:$A$26)&amp;" flights"</f>
        <v>of 22 flights</v>
      </c>
      <c r="E7" s="18"/>
      <c r="F7" s="18" t="str">
        <f aca="false">SUM(Checks!$AJ$5:$AJ$748)&amp;" of "&amp;SUM(Checks!$AI$5:$AI$748)&amp;" checks"</f>
        <v>0 of 724 checks</v>
      </c>
      <c r="G7" s="18"/>
      <c r="H7" s="18" t="s">
        <v>67</v>
      </c>
      <c r="I7" s="18"/>
      <c r="J7" s="18" t="s">
        <v>68</v>
      </c>
      <c r="K7" s="18"/>
      <c r="L7" s="18" t="s">
        <v>69</v>
      </c>
      <c r="M7" s="18"/>
      <c r="N7" s="18" t="s">
        <v>70</v>
      </c>
      <c r="O7" s="18"/>
      <c r="P7" s="18" t="s">
        <v>71</v>
      </c>
      <c r="Q7" s="18"/>
      <c r="R7" s="18"/>
    </row>
    <row r="8" customFormat="false" ht="7.5" hidden="false" customHeight="true" outlineLevel="0" collapsed="false"/>
    <row r="9" customFormat="false" ht="21.75" hidden="false" customHeight="true" outlineLevel="0" collapsed="false">
      <c r="B9" s="14" t="s">
        <v>72</v>
      </c>
      <c r="C9" s="14"/>
      <c r="D9" s="14"/>
      <c r="E9" s="14"/>
      <c r="F9" s="14"/>
      <c r="G9" s="14"/>
      <c r="H9" s="14"/>
      <c r="I9" s="14"/>
      <c r="J9" s="14"/>
      <c r="K9" s="14"/>
      <c r="L9" s="14"/>
      <c r="M9" s="14"/>
      <c r="N9" s="14"/>
      <c r="O9" s="14"/>
      <c r="P9" s="14"/>
      <c r="Q9" s="14"/>
      <c r="R9" s="14"/>
    </row>
    <row r="10" customFormat="false" ht="39.75" hidden="false" customHeight="true" outlineLevel="0" collapsed="false">
      <c r="B10" s="19" t="s">
        <v>73</v>
      </c>
      <c r="C10" s="19"/>
      <c r="D10" s="19" t="s">
        <v>74</v>
      </c>
      <c r="E10" s="19"/>
      <c r="F10" s="19" t="s">
        <v>75</v>
      </c>
      <c r="G10" s="19"/>
      <c r="H10" s="19" t="s">
        <v>76</v>
      </c>
      <c r="I10" s="19" t="s">
        <v>77</v>
      </c>
      <c r="J10" s="19" t="s">
        <v>78</v>
      </c>
      <c r="K10" s="19"/>
      <c r="L10" s="19" t="s">
        <v>79</v>
      </c>
      <c r="M10" s="19"/>
      <c r="N10" s="19" t="s">
        <v>80</v>
      </c>
      <c r="O10" s="19"/>
      <c r="P10" s="19"/>
      <c r="Q10" s="19"/>
      <c r="R10" s="19"/>
    </row>
    <row r="11" customFormat="false" ht="18" hidden="false" customHeight="true" outlineLevel="0" collapsed="false">
      <c r="B11" s="20" t="s">
        <v>81</v>
      </c>
      <c r="C11" s="20"/>
      <c r="D11" s="21" t="n">
        <f aca="false">SUMIFS(Checks!$AI$5:$AI$748,Checks!$G$5:$G$748,"T-7D")</f>
        <v>184</v>
      </c>
      <c r="E11" s="21"/>
      <c r="F11" s="21" t="n">
        <f aca="false">SUMIFS(Checks!$AJ$5:$AJ$748,Checks!$G$5:$G$748,"T-7D")</f>
        <v>0</v>
      </c>
      <c r="G11" s="21"/>
      <c r="H11" s="21" t="n">
        <f aca="false">COUNTIFS(Checks!$G$5:$G$748,"T-7D",Checks!$AH$5:$AH$748,"N/A – JUSTIFIED*")+COUNTIFS(Checks!$G$5:$G$748,"T-7D",Checks!$AH$5:$AH$748,"N/A – RULE*")</f>
        <v>20</v>
      </c>
      <c r="I11" s="21" t="n">
        <f aca="false">D11-F11</f>
        <v>184</v>
      </c>
      <c r="J11" s="21" t="n">
        <f aca="false">SUMIFS(Checks!$AK$5:$AK$748,Checks!$G$5:$G$748,"T-7D")</f>
        <v>0</v>
      </c>
      <c r="K11" s="21"/>
      <c r="L11" s="22" t="n">
        <f aca="false">IF(D11=0,"n/a",F11/D11)</f>
        <v>0</v>
      </c>
      <c r="M11" s="22"/>
      <c r="N11" s="23" t="s">
        <v>82</v>
      </c>
      <c r="O11" s="23"/>
      <c r="P11" s="23"/>
      <c r="Q11" s="23"/>
      <c r="R11" s="23"/>
    </row>
    <row r="12" customFormat="false" ht="18" hidden="false" customHeight="true" outlineLevel="0" collapsed="false">
      <c r="B12" s="20" t="s">
        <v>83</v>
      </c>
      <c r="C12" s="20"/>
      <c r="D12" s="21" t="n">
        <f aca="false">SUMIFS(Checks!$AI$5:$AI$748,Checks!$G$5:$G$748,"T-24H")</f>
        <v>22</v>
      </c>
      <c r="E12" s="21"/>
      <c r="F12" s="21" t="n">
        <f aca="false">SUMIFS(Checks!$AJ$5:$AJ$748,Checks!$G$5:$G$748,"T-24H")</f>
        <v>0</v>
      </c>
      <c r="G12" s="21"/>
      <c r="H12" s="21" t="n">
        <f aca="false">COUNTIFS(Checks!$G$5:$G$748,"T-24H",Checks!$AH$5:$AH$748,"N/A – JUSTIFIED*")+COUNTIFS(Checks!$G$5:$G$748,"T-24H",Checks!$AH$5:$AH$748,"N/A – RULE*")</f>
        <v>0</v>
      </c>
      <c r="I12" s="21" t="n">
        <f aca="false">D12-F12</f>
        <v>22</v>
      </c>
      <c r="J12" s="21" t="n">
        <f aca="false">SUMIFS(Checks!$AK$5:$AK$748,Checks!$G$5:$G$748,"T-24H")</f>
        <v>0</v>
      </c>
      <c r="K12" s="21"/>
      <c r="L12" s="22" t="n">
        <f aca="false">IF(D12=0,"n/a",F12/D12)</f>
        <v>0</v>
      </c>
      <c r="M12" s="22"/>
      <c r="N12" s="23" t="s">
        <v>84</v>
      </c>
      <c r="O12" s="23"/>
      <c r="P12" s="23"/>
      <c r="Q12" s="23"/>
      <c r="R12" s="23"/>
    </row>
    <row r="13" customFormat="false" ht="18" hidden="false" customHeight="true" outlineLevel="0" collapsed="false">
      <c r="B13" s="20" t="s">
        <v>85</v>
      </c>
      <c r="C13" s="20"/>
      <c r="D13" s="21" t="n">
        <f aca="false">SUMIFS(Checks!$AI$5:$AI$748,Checks!$G$5:$G$748,"T-12H PREP")</f>
        <v>311</v>
      </c>
      <c r="E13" s="21"/>
      <c r="F13" s="21" t="n">
        <f aca="false">SUMIFS(Checks!$AJ$5:$AJ$748,Checks!$G$5:$G$748,"T-12H PREP")</f>
        <v>0</v>
      </c>
      <c r="G13" s="21"/>
      <c r="H13" s="21" t="n">
        <f aca="false">COUNTIFS(Checks!$G$5:$G$748,"T-12H PREP",Checks!$AH$5:$AH$748,"N/A – JUSTIFIED*")+COUNTIFS(Checks!$G$5:$G$748,"T-12H PREP",Checks!$AH$5:$AH$748,"N/A – RULE*")</f>
        <v>0</v>
      </c>
      <c r="I13" s="21" t="n">
        <f aca="false">D13-F13</f>
        <v>311</v>
      </c>
      <c r="J13" s="21" t="n">
        <f aca="false">SUMIFS(Checks!$AK$5:$AK$748,Checks!$G$5:$G$748,"T-12H PREP")</f>
        <v>0</v>
      </c>
      <c r="K13" s="21"/>
      <c r="L13" s="22" t="n">
        <f aca="false">IF(D13=0,"n/a",F13/D13)</f>
        <v>0</v>
      </c>
      <c r="M13" s="22"/>
      <c r="N13" s="23" t="s">
        <v>86</v>
      </c>
      <c r="O13" s="23"/>
      <c r="P13" s="23"/>
      <c r="Q13" s="23"/>
      <c r="R13" s="23"/>
    </row>
    <row r="14" customFormat="false" ht="18" hidden="false" customHeight="true" outlineLevel="0" collapsed="false">
      <c r="B14" s="20" t="s">
        <v>87</v>
      </c>
      <c r="C14" s="20"/>
      <c r="D14" s="21" t="n">
        <f aca="false">SUMIFS(Checks!$AI$5:$AI$748,Checks!$G$5:$G$748,"UPLIFT")</f>
        <v>207</v>
      </c>
      <c r="E14" s="21"/>
      <c r="F14" s="21" t="n">
        <f aca="false">SUMIFS(Checks!$AJ$5:$AJ$748,Checks!$G$5:$G$748,"UPLIFT")</f>
        <v>0</v>
      </c>
      <c r="G14" s="21"/>
      <c r="H14" s="21" t="n">
        <f aca="false">COUNTIFS(Checks!$G$5:$G$748,"UPLIFT",Checks!$AH$5:$AH$748,"N/A – JUSTIFIED*")+COUNTIFS(Checks!$G$5:$G$748,"UPLIFT",Checks!$AH$5:$AH$748,"N/A – RULE*")</f>
        <v>0</v>
      </c>
      <c r="I14" s="21" t="n">
        <f aca="false">D14-F14</f>
        <v>207</v>
      </c>
      <c r="J14" s="21" t="n">
        <f aca="false">SUMIFS(Checks!$AK$5:$AK$748,Checks!$G$5:$G$748,"UPLIFT")</f>
        <v>0</v>
      </c>
      <c r="K14" s="21"/>
      <c r="L14" s="22" t="n">
        <f aca="false">IF(D14=0,"n/a",F14/D14)</f>
        <v>0</v>
      </c>
      <c r="M14" s="22"/>
      <c r="N14" s="23" t="s">
        <v>88</v>
      </c>
      <c r="O14" s="23"/>
      <c r="P14" s="23"/>
      <c r="Q14" s="23"/>
      <c r="R14" s="23"/>
    </row>
    <row r="15" customFormat="false" ht="18" hidden="false" customHeight="true" outlineLevel="0" collapsed="false">
      <c r="B15" s="24" t="s">
        <v>89</v>
      </c>
      <c r="C15" s="24"/>
      <c r="D15" s="25" t="n">
        <f aca="false">SUM(D11:D14)</f>
        <v>724</v>
      </c>
      <c r="E15" s="25"/>
      <c r="F15" s="25" t="n">
        <f aca="false">SUM(F11:F14)</f>
        <v>0</v>
      </c>
      <c r="G15" s="25"/>
      <c r="H15" s="25" t="n">
        <f aca="false">SUM(H11:H14)</f>
        <v>20</v>
      </c>
      <c r="I15" s="25" t="n">
        <f aca="false">SUM(I11:I14)</f>
        <v>724</v>
      </c>
      <c r="J15" s="25" t="n">
        <f aca="false">SUM(J11:J14)</f>
        <v>0</v>
      </c>
      <c r="K15" s="25"/>
      <c r="L15" s="26" t="n">
        <f aca="false">IF(D15=0,"n/a",F15/D15)</f>
        <v>0</v>
      </c>
      <c r="M15" s="26"/>
      <c r="N15" s="27" t="s">
        <v>90</v>
      </c>
      <c r="O15" s="27"/>
      <c r="P15" s="27"/>
      <c r="Q15" s="27"/>
      <c r="R15" s="27"/>
    </row>
    <row r="16" customFormat="false" ht="7.5" hidden="false" customHeight="true" outlineLevel="0" collapsed="false"/>
    <row r="17" customFormat="false" ht="21.75" hidden="false" customHeight="true" outlineLevel="0" collapsed="false">
      <c r="B17" s="14" t="s">
        <v>91</v>
      </c>
      <c r="C17" s="14"/>
      <c r="D17" s="14"/>
      <c r="E17" s="14"/>
      <c r="F17" s="14"/>
      <c r="G17" s="14"/>
      <c r="H17" s="14"/>
      <c r="I17" s="14"/>
      <c r="J17" s="14"/>
      <c r="K17" s="14"/>
      <c r="L17" s="14"/>
      <c r="M17" s="14"/>
      <c r="N17" s="14"/>
      <c r="O17" s="14"/>
      <c r="P17" s="14"/>
      <c r="Q17" s="14"/>
      <c r="R17" s="14"/>
    </row>
    <row r="18" customFormat="false" ht="15.75" hidden="false" customHeight="true" outlineLevel="0" collapsed="false">
      <c r="B18" s="28" t="s">
        <v>92</v>
      </c>
      <c r="C18" s="28"/>
      <c r="D18" s="28"/>
      <c r="E18" s="29" t="s">
        <v>93</v>
      </c>
      <c r="F18" s="29"/>
      <c r="G18" s="29"/>
      <c r="H18" s="29"/>
      <c r="I18" s="29"/>
      <c r="J18" s="29"/>
      <c r="K18" s="29"/>
      <c r="L18" s="29"/>
      <c r="M18" s="29"/>
      <c r="N18" s="29"/>
      <c r="O18" s="29"/>
      <c r="P18" s="29"/>
      <c r="Q18" s="29"/>
      <c r="R18" s="29"/>
    </row>
    <row r="19" customFormat="false" ht="27.75" hidden="false" customHeight="true" outlineLevel="0" collapsed="false">
      <c r="B19" s="28" t="s">
        <v>94</v>
      </c>
      <c r="C19" s="28"/>
      <c r="D19" s="28"/>
      <c r="E19" s="29" t="s">
        <v>95</v>
      </c>
      <c r="F19" s="29"/>
      <c r="G19" s="29"/>
      <c r="H19" s="29"/>
      <c r="I19" s="29"/>
      <c r="J19" s="29"/>
      <c r="K19" s="29"/>
      <c r="L19" s="29"/>
      <c r="M19" s="29"/>
      <c r="N19" s="29"/>
      <c r="O19" s="29"/>
      <c r="P19" s="29"/>
      <c r="Q19" s="29"/>
      <c r="R19" s="29"/>
    </row>
    <row r="20" customFormat="false" ht="51.75" hidden="false" customHeight="true" outlineLevel="0" collapsed="false">
      <c r="B20" s="28" t="s">
        <v>75</v>
      </c>
      <c r="C20" s="28"/>
      <c r="D20" s="28"/>
      <c r="E20" s="29" t="s">
        <v>96</v>
      </c>
      <c r="F20" s="29"/>
      <c r="G20" s="29"/>
      <c r="H20" s="29"/>
      <c r="I20" s="29"/>
      <c r="J20" s="29"/>
      <c r="K20" s="29"/>
      <c r="L20" s="29"/>
      <c r="M20" s="29"/>
      <c r="N20" s="29"/>
      <c r="O20" s="29"/>
      <c r="P20" s="29"/>
      <c r="Q20" s="29"/>
      <c r="R20" s="29"/>
    </row>
    <row r="21" customFormat="false" ht="27.75" hidden="false" customHeight="true" outlineLevel="0" collapsed="false">
      <c r="B21" s="28" t="s">
        <v>97</v>
      </c>
      <c r="C21" s="28"/>
      <c r="D21" s="28"/>
      <c r="E21" s="29" t="s">
        <v>98</v>
      </c>
      <c r="F21" s="29"/>
      <c r="G21" s="29"/>
      <c r="H21" s="29"/>
      <c r="I21" s="29"/>
      <c r="J21" s="29"/>
      <c r="K21" s="29"/>
      <c r="L21" s="29"/>
      <c r="M21" s="29"/>
      <c r="N21" s="29"/>
      <c r="O21" s="29"/>
      <c r="P21" s="29"/>
      <c r="Q21" s="29"/>
      <c r="R21" s="29"/>
    </row>
    <row r="22" customFormat="false" ht="39.75" hidden="false" customHeight="true" outlineLevel="0" collapsed="false">
      <c r="B22" s="28" t="s">
        <v>99</v>
      </c>
      <c r="C22" s="28"/>
      <c r="D22" s="28"/>
      <c r="E22" s="29" t="s">
        <v>100</v>
      </c>
      <c r="F22" s="29"/>
      <c r="G22" s="29"/>
      <c r="H22" s="29"/>
      <c r="I22" s="29"/>
      <c r="J22" s="29"/>
      <c r="K22" s="29"/>
      <c r="L22" s="29"/>
      <c r="M22" s="29"/>
      <c r="N22" s="29"/>
      <c r="O22" s="29"/>
      <c r="P22" s="29"/>
      <c r="Q22" s="29"/>
      <c r="R22" s="29"/>
    </row>
    <row r="23" customFormat="false" ht="27.75" hidden="false" customHeight="true" outlineLevel="0" collapsed="false">
      <c r="B23" s="28" t="s">
        <v>101</v>
      </c>
      <c r="C23" s="28"/>
      <c r="D23" s="28"/>
      <c r="E23" s="29" t="s">
        <v>102</v>
      </c>
      <c r="F23" s="29"/>
      <c r="G23" s="29"/>
      <c r="H23" s="29"/>
      <c r="I23" s="29"/>
      <c r="J23" s="29"/>
      <c r="K23" s="29"/>
      <c r="L23" s="29"/>
      <c r="M23" s="29"/>
      <c r="N23" s="29"/>
      <c r="O23" s="29"/>
      <c r="P23" s="29"/>
      <c r="Q23" s="29"/>
      <c r="R23" s="29"/>
    </row>
    <row r="24" customFormat="false" ht="27.75" hidden="false" customHeight="true" outlineLevel="0" collapsed="false">
      <c r="B24" s="28" t="s">
        <v>103</v>
      </c>
      <c r="C24" s="28"/>
      <c r="D24" s="28"/>
      <c r="E24" s="29" t="s">
        <v>104</v>
      </c>
      <c r="F24" s="29"/>
      <c r="G24" s="29"/>
      <c r="H24" s="29"/>
      <c r="I24" s="29"/>
      <c r="J24" s="29"/>
      <c r="K24" s="29"/>
      <c r="L24" s="29"/>
      <c r="M24" s="29"/>
      <c r="N24" s="29"/>
      <c r="O24" s="29"/>
      <c r="P24" s="29"/>
      <c r="Q24" s="29"/>
      <c r="R24" s="29"/>
    </row>
    <row r="26" customFormat="false" ht="21.75" hidden="false" customHeight="true" outlineLevel="0" collapsed="false">
      <c r="B26" s="14" t="s">
        <v>105</v>
      </c>
      <c r="C26" s="14"/>
      <c r="D26" s="14"/>
      <c r="E26" s="14"/>
      <c r="F26" s="14"/>
      <c r="G26" s="14"/>
      <c r="H26" s="14"/>
      <c r="I26" s="14"/>
      <c r="J26" s="14"/>
      <c r="K26" s="14"/>
      <c r="L26" s="30" t="str">
        <f aca="false">"As of "&amp;TEXT(AsOfUTC+8/24,"dd-mmm-yy hh:mm")&amp;" MYT"</f>
        <v>As of 29-Sep-26 20:53 MYT</v>
      </c>
      <c r="M26" s="30"/>
      <c r="N26" s="30"/>
      <c r="O26" s="30"/>
      <c r="P26" s="30"/>
      <c r="Q26" s="30"/>
      <c r="R26" s="30"/>
    </row>
    <row r="27" customFormat="false" ht="27.75" hidden="false" customHeight="true" outlineLevel="0" collapsed="false">
      <c r="B27" s="19" t="s">
        <v>106</v>
      </c>
      <c r="C27" s="19" t="s">
        <v>107</v>
      </c>
      <c r="D27" s="19" t="s">
        <v>108</v>
      </c>
      <c r="E27" s="19" t="s">
        <v>109</v>
      </c>
      <c r="F27" s="19" t="s">
        <v>110</v>
      </c>
      <c r="G27" s="19" t="s">
        <v>111</v>
      </c>
      <c r="H27" s="19" t="s">
        <v>112</v>
      </c>
      <c r="I27" s="19" t="s">
        <v>81</v>
      </c>
      <c r="J27" s="19" t="s">
        <v>83</v>
      </c>
      <c r="K27" s="19" t="s">
        <v>85</v>
      </c>
      <c r="L27" s="19" t="s">
        <v>87</v>
      </c>
      <c r="M27" s="19" t="s">
        <v>113</v>
      </c>
      <c r="N27" s="19" t="s">
        <v>114</v>
      </c>
      <c r="O27" s="19" t="s">
        <v>115</v>
      </c>
      <c r="P27" s="19" t="s">
        <v>116</v>
      </c>
      <c r="Q27" s="19" t="s">
        <v>117</v>
      </c>
      <c r="R27" s="19" t="s">
        <v>118</v>
      </c>
    </row>
    <row r="28" customFormat="false" ht="18.75" hidden="false" customHeight="true" outlineLevel="0" collapsed="false">
      <c r="B28" s="21" t="n">
        <f aca="false">IF(Flights!$B$5="","",Flights!$B$5)</f>
        <v>1</v>
      </c>
      <c r="C28" s="31" t="str">
        <f aca="false">IF(Flights!$F$5="","",Flights!$F$5)</f>
        <v>MH0001</v>
      </c>
      <c r="D28" s="32" t="n">
        <f aca="false">IF(Flights!$D$5="","",Flights!$D$5)</f>
        <v>46303</v>
      </c>
      <c r="E28" s="33" t="str">
        <f aca="false">IF(Flights!$G$5="","",Flights!$G$5&amp;"-"&amp;Flights!$H$5)</f>
        <v>LHR-KUL</v>
      </c>
      <c r="F28" s="33" t="str">
        <f aca="false">IF(Flights!$K$5="","",Flights!$K$5)</f>
        <v>EY</v>
      </c>
      <c r="G28" s="33" t="str">
        <f aca="false">IF(Flights!$L$5="","",Flights!$L$5)</f>
        <v>A350</v>
      </c>
      <c r="H28" s="34" t="n">
        <f aca="false">IF(Flights!$I$5="","",Flights!$I$5)</f>
        <v>46303.8993055556</v>
      </c>
      <c r="I28" s="35" t="n">
        <f aca="false">IF(Flights!$AJ$5="","",Flights!$AJ$5)</f>
        <v>0</v>
      </c>
      <c r="J28" s="35" t="n">
        <f aca="false">IF(Flights!$AK$5="","",Flights!$AK$5)</f>
        <v>0</v>
      </c>
      <c r="K28" s="35" t="n">
        <f aca="false">IF(Flights!$AL$5="","",Flights!$AL$5)</f>
        <v>0</v>
      </c>
      <c r="L28" s="35" t="n">
        <f aca="false">IF(Flights!$AM$5="","",Flights!$AM$5)</f>
        <v>0</v>
      </c>
      <c r="M28" s="35" t="n">
        <f aca="false">IF(Flights!$AN$5="","",Flights!$AN$5)</f>
        <v>0</v>
      </c>
      <c r="N28" s="21" t="n">
        <f aca="false">IF(Flights!$AP$5="","",Flights!$AP$5)</f>
        <v>0</v>
      </c>
      <c r="O28" s="21" t="n">
        <f aca="false">IF(Flights!$AQ$5="","",Flights!$AQ$5)</f>
        <v>0</v>
      </c>
      <c r="P28" s="21" t="n">
        <f aca="false">IF(Flights!$AR$5="","",Flights!$AR$5)</f>
        <v>2</v>
      </c>
      <c r="Q28" s="21" t="n">
        <f aca="false">IF(Flights!$AS$5="","",Flights!$AS$5)</f>
        <v>2</v>
      </c>
      <c r="R28" s="36" t="str">
        <f aca="false">IF(Flights!$AT$5="","",Flights!$AT$5)</f>
        <v>NOT READY – DOCUMENTS</v>
      </c>
    </row>
    <row r="29" customFormat="false" ht="18.75" hidden="false" customHeight="true" outlineLevel="0" collapsed="false">
      <c r="B29" s="37" t="n">
        <f aca="false">IF(Flights!$B$6="","",Flights!$B$6)</f>
        <v>1</v>
      </c>
      <c r="C29" s="38" t="str">
        <f aca="false">IF(Flights!$F$6="","",Flights!$F$6)</f>
        <v>MH0727</v>
      </c>
      <c r="D29" s="39" t="n">
        <f aca="false">IF(Flights!$D$6="","",Flights!$D$6)</f>
        <v>46304</v>
      </c>
      <c r="E29" s="40" t="str">
        <f aca="false">IF(Flights!$G$6="","",Flights!$G$6&amp;"-"&amp;Flights!$H$6)</f>
        <v>KUL-CGK</v>
      </c>
      <c r="F29" s="40" t="str">
        <f aca="false">IF(Flights!$K$6="","",Flights!$K$6)</f>
        <v>BC</v>
      </c>
      <c r="G29" s="40" t="str">
        <f aca="false">IF(Flights!$L$6="","",Flights!$L$6)</f>
        <v>B738MAX</v>
      </c>
      <c r="H29" s="41" t="n">
        <f aca="false">IF(Flights!$I$6="","",Flights!$I$6)</f>
        <v>46304.9097222222</v>
      </c>
      <c r="I29" s="42" t="n">
        <f aca="false">IF(Flights!$AJ$6="","",Flights!$AJ$6)</f>
        <v>0</v>
      </c>
      <c r="J29" s="42" t="n">
        <f aca="false">IF(Flights!$AK$6="","",Flights!$AK$6)</f>
        <v>0</v>
      </c>
      <c r="K29" s="42" t="n">
        <f aca="false">IF(Flights!$AL$6="","",Flights!$AL$6)</f>
        <v>0</v>
      </c>
      <c r="L29" s="42" t="n">
        <f aca="false">IF(Flights!$AM$6="","",Flights!$AM$6)</f>
        <v>0</v>
      </c>
      <c r="M29" s="42" t="n">
        <f aca="false">IF(Flights!$AN$6="","",Flights!$AN$6)</f>
        <v>0</v>
      </c>
      <c r="N29" s="37" t="n">
        <f aca="false">IF(Flights!$AP$6="","",Flights!$AP$6)</f>
        <v>0</v>
      </c>
      <c r="O29" s="37" t="n">
        <f aca="false">IF(Flights!$AQ$6="","",Flights!$AQ$6)</f>
        <v>0</v>
      </c>
      <c r="P29" s="37" t="n">
        <f aca="false">IF(Flights!$AR$6="","",Flights!$AR$6)</f>
        <v>2</v>
      </c>
      <c r="Q29" s="37" t="n">
        <f aca="false">IF(Flights!$AS$6="","",Flights!$AS$6)</f>
        <v>2</v>
      </c>
      <c r="R29" s="43" t="str">
        <f aca="false">IF(Flights!$AT$6="","",Flights!$AT$6)</f>
        <v>NOT READY – DOCUMENTS</v>
      </c>
    </row>
    <row r="30" customFormat="false" ht="18.75" hidden="false" customHeight="true" outlineLevel="0" collapsed="false">
      <c r="B30" s="21" t="n">
        <f aca="false">IF(Flights!$B$7="","",Flights!$B$7)</f>
        <v>1</v>
      </c>
      <c r="C30" s="31" t="str">
        <f aca="false">IF(Flights!$F$7="","",Flights!$F$7)</f>
        <v>MH0720</v>
      </c>
      <c r="D30" s="32" t="n">
        <f aca="false">IF(Flights!$D$7="","",Flights!$D$7)</f>
        <v>46305</v>
      </c>
      <c r="E30" s="33" t="str">
        <f aca="false">IF(Flights!$G$7="","",Flights!$G$7&amp;"-"&amp;Flights!$H$7)</f>
        <v>CGK-KUL</v>
      </c>
      <c r="F30" s="33" t="str">
        <f aca="false">IF(Flights!$K$7="","",Flights!$K$7)</f>
        <v>EY</v>
      </c>
      <c r="G30" s="33" t="str">
        <f aca="false">IF(Flights!$L$7="","",Flights!$L$7)</f>
        <v>A333</v>
      </c>
      <c r="H30" s="34" t="n">
        <f aca="false">IF(Flights!$I$7="","",Flights!$I$7)</f>
        <v>46305.6701388889</v>
      </c>
      <c r="I30" s="35" t="n">
        <f aca="false">IF(Flights!$AJ$7="","",Flights!$AJ$7)</f>
        <v>0</v>
      </c>
      <c r="J30" s="35" t="n">
        <f aca="false">IF(Flights!$AK$7="","",Flights!$AK$7)</f>
        <v>0</v>
      </c>
      <c r="K30" s="35" t="n">
        <f aca="false">IF(Flights!$AL$7="","",Flights!$AL$7)</f>
        <v>0</v>
      </c>
      <c r="L30" s="35" t="n">
        <f aca="false">IF(Flights!$AM$7="","",Flights!$AM$7)</f>
        <v>0</v>
      </c>
      <c r="M30" s="35" t="n">
        <f aca="false">IF(Flights!$AN$7="","",Flights!$AN$7)</f>
        <v>0</v>
      </c>
      <c r="N30" s="21" t="n">
        <f aca="false">IF(Flights!$AP$7="","",Flights!$AP$7)</f>
        <v>0</v>
      </c>
      <c r="O30" s="21" t="n">
        <f aca="false">IF(Flights!$AQ$7="","",Flights!$AQ$7)</f>
        <v>0</v>
      </c>
      <c r="P30" s="21" t="n">
        <f aca="false">IF(Flights!$AR$7="","",Flights!$AR$7)</f>
        <v>2</v>
      </c>
      <c r="Q30" s="21" t="n">
        <f aca="false">IF(Flights!$AS$7="","",Flights!$AS$7)</f>
        <v>0</v>
      </c>
      <c r="R30" s="36" t="str">
        <f aca="false">IF(Flights!$AT$7="","",Flights!$AT$7)</f>
        <v>NOT READY – DOCUMENTS</v>
      </c>
    </row>
    <row r="31" customFormat="false" ht="18.75" hidden="false" customHeight="true" outlineLevel="0" collapsed="false">
      <c r="B31" s="37" t="n">
        <f aca="false">IF(Flights!$B$8="","",Flights!$B$8)</f>
        <v>1</v>
      </c>
      <c r="C31" s="38" t="str">
        <f aca="false">IF(Flights!$F$8="","",Flights!$F$8)</f>
        <v>MH0088</v>
      </c>
      <c r="D31" s="39" t="n">
        <f aca="false">IF(Flights!$D$8="","",Flights!$D$8)</f>
        <v>46305</v>
      </c>
      <c r="E31" s="40" t="str">
        <f aca="false">IF(Flights!$G$8="","",Flights!$G$8&amp;"-"&amp;Flights!$H$8)</f>
        <v>KUL-NRT</v>
      </c>
      <c r="F31" s="40" t="str">
        <f aca="false">IF(Flights!$K$8="","",Flights!$K$8)</f>
        <v>BC</v>
      </c>
      <c r="G31" s="40" t="str">
        <f aca="false">IF(Flights!$L$8="","",Flights!$L$8)</f>
        <v>A350</v>
      </c>
      <c r="H31" s="41" t="n">
        <f aca="false">IF(Flights!$I$8="","",Flights!$I$8)</f>
        <v>46305.9791666667</v>
      </c>
      <c r="I31" s="42" t="n">
        <f aca="false">IF(Flights!$AJ$8="","",Flights!$AJ$8)</f>
        <v>0</v>
      </c>
      <c r="J31" s="42" t="n">
        <f aca="false">IF(Flights!$AK$8="","",Flights!$AK$8)</f>
        <v>0</v>
      </c>
      <c r="K31" s="42" t="n">
        <f aca="false">IF(Flights!$AL$8="","",Flights!$AL$8)</f>
        <v>0</v>
      </c>
      <c r="L31" s="42" t="n">
        <f aca="false">IF(Flights!$AM$8="","",Flights!$AM$8)</f>
        <v>0</v>
      </c>
      <c r="M31" s="42" t="n">
        <f aca="false">IF(Flights!$AN$8="","",Flights!$AN$8)</f>
        <v>0</v>
      </c>
      <c r="N31" s="37" t="n">
        <f aca="false">IF(Flights!$AP$8="","",Flights!$AP$8)</f>
        <v>0</v>
      </c>
      <c r="O31" s="37" t="n">
        <f aca="false">IF(Flights!$AQ$8="","",Flights!$AQ$8)</f>
        <v>0</v>
      </c>
      <c r="P31" s="37" t="n">
        <f aca="false">IF(Flights!$AR$8="","",Flights!$AR$8)</f>
        <v>2</v>
      </c>
      <c r="Q31" s="37" t="n">
        <f aca="false">IF(Flights!$AS$8="","",Flights!$AS$8)</f>
        <v>1</v>
      </c>
      <c r="R31" s="43" t="str">
        <f aca="false">IF(Flights!$AT$8="","",Flights!$AT$8)</f>
        <v>NOT READY – DOCUMENTS</v>
      </c>
    </row>
    <row r="32" customFormat="false" ht="18.75" hidden="false" customHeight="true" outlineLevel="0" collapsed="false">
      <c r="B32" s="21" t="n">
        <f aca="false">IF(Flights!$B$9="","",Flights!$B$9)</f>
        <v>1</v>
      </c>
      <c r="C32" s="31" t="str">
        <f aca="false">IF(Flights!$F$9="","",Flights!$F$9)</f>
        <v>MH0089</v>
      </c>
      <c r="D32" s="32" t="n">
        <f aca="false">IF(Flights!$D$9="","",Flights!$D$9)</f>
        <v>46310</v>
      </c>
      <c r="E32" s="33" t="str">
        <f aca="false">IF(Flights!$G$9="","",Flights!$G$9&amp;"-"&amp;Flights!$H$9)</f>
        <v>NRT-KUL</v>
      </c>
      <c r="F32" s="33" t="str">
        <f aca="false">IF(Flights!$K$9="","",Flights!$K$9)</f>
        <v>EY</v>
      </c>
      <c r="G32" s="33" t="str">
        <f aca="false">IF(Flights!$L$9="","",Flights!$L$9)</f>
        <v>A350</v>
      </c>
      <c r="H32" s="34" t="n">
        <f aca="false">IF(Flights!$I$9="","",Flights!$I$9)</f>
        <v>46310.4201388889</v>
      </c>
      <c r="I32" s="35" t="n">
        <f aca="false">IF(Flights!$AJ$9="","",Flights!$AJ$9)</f>
        <v>0</v>
      </c>
      <c r="J32" s="35" t="n">
        <f aca="false">IF(Flights!$AK$9="","",Flights!$AK$9)</f>
        <v>0</v>
      </c>
      <c r="K32" s="35" t="n">
        <f aca="false">IF(Flights!$AL$9="","",Flights!$AL$9)</f>
        <v>0</v>
      </c>
      <c r="L32" s="35" t="n">
        <f aca="false">IF(Flights!$AM$9="","",Flights!$AM$9)</f>
        <v>0</v>
      </c>
      <c r="M32" s="35" t="n">
        <f aca="false">IF(Flights!$AN$9="","",Flights!$AN$9)</f>
        <v>0</v>
      </c>
      <c r="N32" s="21" t="n">
        <f aca="false">IF(Flights!$AP$9="","",Flights!$AP$9)</f>
        <v>0</v>
      </c>
      <c r="O32" s="21" t="n">
        <f aca="false">IF(Flights!$AQ$9="","",Flights!$AQ$9)</f>
        <v>0</v>
      </c>
      <c r="P32" s="21" t="n">
        <f aca="false">IF(Flights!$AR$9="","",Flights!$AR$9)</f>
        <v>2</v>
      </c>
      <c r="Q32" s="21" t="n">
        <f aca="false">IF(Flights!$AS$9="","",Flights!$AS$9)</f>
        <v>4</v>
      </c>
      <c r="R32" s="36" t="str">
        <f aca="false">IF(Flights!$AT$9="","",Flights!$AT$9)</f>
        <v>NOT READY – DOCUMENTS</v>
      </c>
    </row>
    <row r="33" customFormat="false" ht="18.75" hidden="false" customHeight="true" outlineLevel="0" collapsed="false">
      <c r="B33" s="37" t="n">
        <f aca="false">IF(Flights!$B$10="","",Flights!$B$10)</f>
        <v>1</v>
      </c>
      <c r="C33" s="38" t="str">
        <f aca="false">IF(Flights!$F$10="","",Flights!$F$10)</f>
        <v>MH0002</v>
      </c>
      <c r="D33" s="39" t="n">
        <f aca="false">IF(Flights!$D$10="","",Flights!$D$10)</f>
        <v>46310</v>
      </c>
      <c r="E33" s="40" t="str">
        <f aca="false">IF(Flights!$G$10="","",Flights!$G$10&amp;"-"&amp;Flights!$H$10)</f>
        <v>KUL-LHR</v>
      </c>
      <c r="F33" s="40" t="str">
        <f aca="false">IF(Flights!$K$10="","",Flights!$K$10)</f>
        <v>BC</v>
      </c>
      <c r="G33" s="40" t="str">
        <f aca="false">IF(Flights!$L$10="","",Flights!$L$10)</f>
        <v>A350</v>
      </c>
      <c r="H33" s="41" t="n">
        <f aca="false">IF(Flights!$I$10="","",Flights!$I$10)</f>
        <v>46310.9722222222</v>
      </c>
      <c r="I33" s="42" t="n">
        <f aca="false">IF(Flights!$AJ$10="","",Flights!$AJ$10)</f>
        <v>0</v>
      </c>
      <c r="J33" s="42" t="n">
        <f aca="false">IF(Flights!$AK$10="","",Flights!$AK$10)</f>
        <v>0</v>
      </c>
      <c r="K33" s="42" t="n">
        <f aca="false">IF(Flights!$AL$10="","",Flights!$AL$10)</f>
        <v>0</v>
      </c>
      <c r="L33" s="42" t="n">
        <f aca="false">IF(Flights!$AM$10="","",Flights!$AM$10)</f>
        <v>0</v>
      </c>
      <c r="M33" s="42" t="n">
        <f aca="false">IF(Flights!$AN$10="","",Flights!$AN$10)</f>
        <v>0</v>
      </c>
      <c r="N33" s="37" t="n">
        <f aca="false">IF(Flights!$AP$10="","",Flights!$AP$10)</f>
        <v>0</v>
      </c>
      <c r="O33" s="37" t="n">
        <f aca="false">IF(Flights!$AQ$10="","",Flights!$AQ$10)</f>
        <v>0</v>
      </c>
      <c r="P33" s="37" t="n">
        <f aca="false">IF(Flights!$AR$10="","",Flights!$AR$10)</f>
        <v>2</v>
      </c>
      <c r="Q33" s="37" t="n">
        <f aca="false">IF(Flights!$AS$10="","",Flights!$AS$10)</f>
        <v>2</v>
      </c>
      <c r="R33" s="43" t="str">
        <f aca="false">IF(Flights!$AT$10="","",Flights!$AT$10)</f>
        <v>NOT READY – DOCUMENTS</v>
      </c>
    </row>
    <row r="34" customFormat="false" ht="18.75" hidden="false" customHeight="true" outlineLevel="0" collapsed="false">
      <c r="B34" s="21" t="n">
        <f aca="false">IF(Flights!$B$11="","",Flights!$B$11)</f>
        <v>2</v>
      </c>
      <c r="C34" s="31" t="str">
        <f aca="false">IF(Flights!$F$11="","",Flights!$F$11)</f>
        <v>MH0003</v>
      </c>
      <c r="D34" s="32" t="n">
        <f aca="false">IF(Flights!$D$11="","",Flights!$D$11)</f>
        <v>46304</v>
      </c>
      <c r="E34" s="33" t="str">
        <f aca="false">IF(Flights!$G$11="","",Flights!$G$11&amp;"-"&amp;Flights!$H$11)</f>
        <v>LHR-KUL</v>
      </c>
      <c r="F34" s="33" t="str">
        <f aca="false">IF(Flights!$K$11="","",Flights!$K$11)</f>
        <v>BC</v>
      </c>
      <c r="G34" s="33" t="str">
        <f aca="false">IF(Flights!$L$11="","",Flights!$L$11)</f>
        <v>A350</v>
      </c>
      <c r="H34" s="34" t="n">
        <f aca="false">IF(Flights!$I$11="","",Flights!$I$11)</f>
        <v>46304.4583333333</v>
      </c>
      <c r="I34" s="35" t="n">
        <f aca="false">IF(Flights!$AJ$11="","",Flights!$AJ$11)</f>
        <v>0</v>
      </c>
      <c r="J34" s="35" t="n">
        <f aca="false">IF(Flights!$AK$11="","",Flights!$AK$11)</f>
        <v>0</v>
      </c>
      <c r="K34" s="35" t="n">
        <f aca="false">IF(Flights!$AL$11="","",Flights!$AL$11)</f>
        <v>0</v>
      </c>
      <c r="L34" s="35" t="n">
        <f aca="false">IF(Flights!$AM$11="","",Flights!$AM$11)</f>
        <v>0</v>
      </c>
      <c r="M34" s="35" t="n">
        <f aca="false">IF(Flights!$AN$11="","",Flights!$AN$11)</f>
        <v>0</v>
      </c>
      <c r="N34" s="21" t="n">
        <f aca="false">IF(Flights!$AP$11="","",Flights!$AP$11)</f>
        <v>0</v>
      </c>
      <c r="O34" s="21" t="n">
        <f aca="false">IF(Flights!$AQ$11="","",Flights!$AQ$11)</f>
        <v>0</v>
      </c>
      <c r="P34" s="21" t="n">
        <f aca="false">IF(Flights!$AR$11="","",Flights!$AR$11)</f>
        <v>2</v>
      </c>
      <c r="Q34" s="21" t="n">
        <f aca="false">IF(Flights!$AS$11="","",Flights!$AS$11)</f>
        <v>3</v>
      </c>
      <c r="R34" s="36" t="str">
        <f aca="false">IF(Flights!$AT$11="","",Flights!$AT$11)</f>
        <v>NOT READY – DOCUMENTS</v>
      </c>
    </row>
    <row r="35" customFormat="false" ht="18.75" hidden="false" customHeight="true" outlineLevel="0" collapsed="false">
      <c r="B35" s="37" t="n">
        <f aca="false">IF(Flights!$B$12="","",Flights!$B$12)</f>
        <v>2</v>
      </c>
      <c r="C35" s="38" t="str">
        <f aca="false">IF(Flights!$F$12="","",Flights!$F$12)</f>
        <v>MH0752</v>
      </c>
      <c r="D35" s="39" t="n">
        <f aca="false">IF(Flights!$D$12="","",Flights!$D$12)</f>
        <v>46305</v>
      </c>
      <c r="E35" s="40" t="str">
        <f aca="false">IF(Flights!$G$12="","",Flights!$G$12&amp;"-"&amp;Flights!$H$12)</f>
        <v>KUL-HAN</v>
      </c>
      <c r="F35" s="40" t="str">
        <f aca="false">IF(Flights!$K$12="","",Flights!$K$12)</f>
        <v>EY</v>
      </c>
      <c r="G35" s="40" t="str">
        <f aca="false">IF(Flights!$L$12="","",Flights!$L$12)</f>
        <v>B738MAX</v>
      </c>
      <c r="H35" s="41" t="n">
        <f aca="false">IF(Flights!$I$12="","",Flights!$I$12)</f>
        <v>46305.3993055556</v>
      </c>
      <c r="I35" s="42" t="n">
        <f aca="false">IF(Flights!$AJ$12="","",Flights!$AJ$12)</f>
        <v>0</v>
      </c>
      <c r="J35" s="42" t="n">
        <f aca="false">IF(Flights!$AK$12="","",Flights!$AK$12)</f>
        <v>0</v>
      </c>
      <c r="K35" s="42" t="n">
        <f aca="false">IF(Flights!$AL$12="","",Flights!$AL$12)</f>
        <v>0</v>
      </c>
      <c r="L35" s="42" t="n">
        <f aca="false">IF(Flights!$AM$12="","",Flights!$AM$12)</f>
        <v>0</v>
      </c>
      <c r="M35" s="42" t="n">
        <f aca="false">IF(Flights!$AN$12="","",Flights!$AN$12)</f>
        <v>0</v>
      </c>
      <c r="N35" s="37" t="n">
        <f aca="false">IF(Flights!$AP$12="","",Flights!$AP$12)</f>
        <v>0</v>
      </c>
      <c r="O35" s="37" t="n">
        <f aca="false">IF(Flights!$AQ$12="","",Flights!$AQ$12)</f>
        <v>0</v>
      </c>
      <c r="P35" s="37" t="n">
        <f aca="false">IF(Flights!$AR$12="","",Flights!$AR$12)</f>
        <v>2</v>
      </c>
      <c r="Q35" s="37" t="n">
        <f aca="false">IF(Flights!$AS$12="","",Flights!$AS$12)</f>
        <v>0</v>
      </c>
      <c r="R35" s="43" t="str">
        <f aca="false">IF(Flights!$AT$12="","",Flights!$AT$12)</f>
        <v>NOT READY – DOCUMENTS</v>
      </c>
    </row>
    <row r="36" customFormat="false" ht="18.75" hidden="false" customHeight="true" outlineLevel="0" collapsed="false">
      <c r="B36" s="21" t="n">
        <f aca="false">IF(Flights!$B$13="","",Flights!$B$13)</f>
        <v>2</v>
      </c>
      <c r="C36" s="31" t="str">
        <f aca="false">IF(Flights!$F$13="","",Flights!$F$13)</f>
        <v>MH0753</v>
      </c>
      <c r="D36" s="32" t="n">
        <f aca="false">IF(Flights!$D$13="","",Flights!$D$13)</f>
        <v>46306</v>
      </c>
      <c r="E36" s="33" t="str">
        <f aca="false">IF(Flights!$G$13="","",Flights!$G$13&amp;"-"&amp;Flights!$H$13)</f>
        <v>HAN-KUL</v>
      </c>
      <c r="F36" s="33" t="str">
        <f aca="false">IF(Flights!$K$13="","",Flights!$K$13)</f>
        <v>BC</v>
      </c>
      <c r="G36" s="33" t="str">
        <f aca="false">IF(Flights!$L$13="","",Flights!$L$13)</f>
        <v>B738MAX</v>
      </c>
      <c r="H36" s="34" t="n">
        <f aca="false">IF(Flights!$I$13="","",Flights!$I$13)</f>
        <v>46306.5451388889</v>
      </c>
      <c r="I36" s="35" t="n">
        <f aca="false">IF(Flights!$AJ$13="","",Flights!$AJ$13)</f>
        <v>0</v>
      </c>
      <c r="J36" s="35" t="n">
        <f aca="false">IF(Flights!$AK$13="","",Flights!$AK$13)</f>
        <v>0</v>
      </c>
      <c r="K36" s="35" t="n">
        <f aca="false">IF(Flights!$AL$13="","",Flights!$AL$13)</f>
        <v>0</v>
      </c>
      <c r="L36" s="35" t="n">
        <f aca="false">IF(Flights!$AM$13="","",Flights!$AM$13)</f>
        <v>0</v>
      </c>
      <c r="M36" s="35" t="n">
        <f aca="false">IF(Flights!$AN$13="","",Flights!$AN$13)</f>
        <v>0</v>
      </c>
      <c r="N36" s="21" t="n">
        <f aca="false">IF(Flights!$AP$13="","",Flights!$AP$13)</f>
        <v>0</v>
      </c>
      <c r="O36" s="21" t="n">
        <f aca="false">IF(Flights!$AQ$13="","",Flights!$AQ$13)</f>
        <v>0</v>
      </c>
      <c r="P36" s="21" t="n">
        <f aca="false">IF(Flights!$AR$13="","",Flights!$AR$13)</f>
        <v>2</v>
      </c>
      <c r="Q36" s="21" t="n">
        <f aca="false">IF(Flights!$AS$13="","",Flights!$AS$13)</f>
        <v>2</v>
      </c>
      <c r="R36" s="36" t="str">
        <f aca="false">IF(Flights!$AT$13="","",Flights!$AT$13)</f>
        <v>NOT READY – DOCUMENTS</v>
      </c>
    </row>
    <row r="37" customFormat="false" ht="18.75" hidden="false" customHeight="true" outlineLevel="0" collapsed="false">
      <c r="B37" s="37" t="n">
        <f aca="false">IF(Flights!$B$14="","",Flights!$B$14)</f>
        <v>2</v>
      </c>
      <c r="C37" s="38" t="str">
        <f aca="false">IF(Flights!$F$14="","",Flights!$F$14)</f>
        <v>MH1140</v>
      </c>
      <c r="D37" s="39" t="n">
        <f aca="false">IF(Flights!$D$14="","",Flights!$D$14)</f>
        <v>46307</v>
      </c>
      <c r="E37" s="40" t="str">
        <f aca="false">IF(Flights!$G$14="","",Flights!$G$14&amp;"-"&amp;Flights!$H$14)</f>
        <v>KUL-PEN</v>
      </c>
      <c r="F37" s="40" t="str">
        <f aca="false">IF(Flights!$K$14="","",Flights!$K$14)</f>
        <v>BC</v>
      </c>
      <c r="G37" s="40" t="str">
        <f aca="false">IF(Flights!$L$14="","",Flights!$L$14)</f>
        <v>B738MAX</v>
      </c>
      <c r="H37" s="41" t="n">
        <f aca="false">IF(Flights!$I$14="","",Flights!$I$14)</f>
        <v>46307.4895833333</v>
      </c>
      <c r="I37" s="42" t="n">
        <f aca="false">IF(Flights!$AJ$14="","",Flights!$AJ$14)</f>
        <v>0</v>
      </c>
      <c r="J37" s="42" t="n">
        <f aca="false">IF(Flights!$AK$14="","",Flights!$AK$14)</f>
        <v>0</v>
      </c>
      <c r="K37" s="42" t="n">
        <f aca="false">IF(Flights!$AL$14="","",Flights!$AL$14)</f>
        <v>0</v>
      </c>
      <c r="L37" s="42" t="n">
        <f aca="false">IF(Flights!$AM$14="","",Flights!$AM$14)</f>
        <v>0</v>
      </c>
      <c r="M37" s="42" t="n">
        <f aca="false">IF(Flights!$AN$14="","",Flights!$AN$14)</f>
        <v>0</v>
      </c>
      <c r="N37" s="37" t="n">
        <f aca="false">IF(Flights!$AP$14="","",Flights!$AP$14)</f>
        <v>0</v>
      </c>
      <c r="O37" s="37" t="n">
        <f aca="false">IF(Flights!$AQ$14="","",Flights!$AQ$14)</f>
        <v>0</v>
      </c>
      <c r="P37" s="37" t="n">
        <f aca="false">IF(Flights!$AR$14="","",Flights!$AR$14)</f>
        <v>2</v>
      </c>
      <c r="Q37" s="37" t="n">
        <f aca="false">IF(Flights!$AS$14="","",Flights!$AS$14)</f>
        <v>0</v>
      </c>
      <c r="R37" s="43" t="str">
        <f aca="false">IF(Flights!$AT$14="","",Flights!$AT$14)</f>
        <v>NOT READY – DOCUMENTS</v>
      </c>
    </row>
    <row r="38" customFormat="false" ht="18.75" hidden="false" customHeight="true" outlineLevel="0" collapsed="false">
      <c r="B38" s="21" t="n">
        <f aca="false">IF(Flights!$B$15="","",Flights!$B$15)</f>
        <v>2</v>
      </c>
      <c r="C38" s="31" t="str">
        <f aca="false">IF(Flights!$F$15="","",Flights!$F$15)</f>
        <v>MH1149</v>
      </c>
      <c r="D38" s="32" t="n">
        <f aca="false">IF(Flights!$D$15="","",Flights!$D$15)</f>
        <v>46307</v>
      </c>
      <c r="E38" s="33" t="str">
        <f aca="false">IF(Flights!$G$15="","",Flights!$G$15&amp;"-"&amp;Flights!$H$15)</f>
        <v>PEN-KUL</v>
      </c>
      <c r="F38" s="33" t="str">
        <f aca="false">IF(Flights!$K$15="","",Flights!$K$15)</f>
        <v>EY</v>
      </c>
      <c r="G38" s="33" t="str">
        <f aca="false">IF(Flights!$L$15="","",Flights!$L$15)</f>
        <v>B738MAX</v>
      </c>
      <c r="H38" s="34" t="n">
        <f aca="false">IF(Flights!$I$15="","",Flights!$I$15)</f>
        <v>46307.6597222222</v>
      </c>
      <c r="I38" s="35" t="n">
        <f aca="false">IF(Flights!$AJ$15="","",Flights!$AJ$15)</f>
        <v>0</v>
      </c>
      <c r="J38" s="35" t="n">
        <f aca="false">IF(Flights!$AK$15="","",Flights!$AK$15)</f>
        <v>0</v>
      </c>
      <c r="K38" s="35" t="n">
        <f aca="false">IF(Flights!$AL$15="","",Flights!$AL$15)</f>
        <v>0</v>
      </c>
      <c r="L38" s="35" t="n">
        <f aca="false">IF(Flights!$AM$15="","",Flights!$AM$15)</f>
        <v>0</v>
      </c>
      <c r="M38" s="35" t="n">
        <f aca="false">IF(Flights!$AN$15="","",Flights!$AN$15)</f>
        <v>0</v>
      </c>
      <c r="N38" s="21" t="n">
        <f aca="false">IF(Flights!$AP$15="","",Flights!$AP$15)</f>
        <v>0</v>
      </c>
      <c r="O38" s="21" t="n">
        <f aca="false">IF(Flights!$AQ$15="","",Flights!$AQ$15)</f>
        <v>0</v>
      </c>
      <c r="P38" s="21" t="n">
        <f aca="false">IF(Flights!$AR$15="","",Flights!$AR$15)</f>
        <v>2</v>
      </c>
      <c r="Q38" s="21" t="n">
        <f aca="false">IF(Flights!$AS$15="","",Flights!$AS$15)</f>
        <v>1</v>
      </c>
      <c r="R38" s="36" t="str">
        <f aca="false">IF(Flights!$AT$15="","",Flights!$AT$15)</f>
        <v>NOT READY – DOCUMENTS</v>
      </c>
    </row>
    <row r="39" customFormat="false" ht="18.75" hidden="false" customHeight="true" outlineLevel="0" collapsed="false">
      <c r="B39" s="37" t="n">
        <f aca="false">IF(Flights!$B$16="","",Flights!$B$16)</f>
        <v>2</v>
      </c>
      <c r="C39" s="38" t="str">
        <f aca="false">IF(Flights!$F$16="","",Flights!$F$16)</f>
        <v>MH0139</v>
      </c>
      <c r="D39" s="39" t="n">
        <f aca="false">IF(Flights!$D$16="","",Flights!$D$16)</f>
        <v>46307</v>
      </c>
      <c r="E39" s="40" t="str">
        <f aca="false">IF(Flights!$G$16="","",Flights!$G$16&amp;"-"&amp;Flights!$H$16)</f>
        <v>KUL-ADL</v>
      </c>
      <c r="F39" s="40" t="str">
        <f aca="false">IF(Flights!$K$16="","",Flights!$K$16)</f>
        <v>BC</v>
      </c>
      <c r="G39" s="40" t="str">
        <f aca="false">IF(Flights!$L$16="","",Flights!$L$16)</f>
        <v>A339</v>
      </c>
      <c r="H39" s="41" t="n">
        <f aca="false">IF(Flights!$I$16="","",Flights!$I$16)</f>
        <v>46307.9340277778</v>
      </c>
      <c r="I39" s="42" t="n">
        <f aca="false">IF(Flights!$AJ$16="","",Flights!$AJ$16)</f>
        <v>0</v>
      </c>
      <c r="J39" s="42" t="n">
        <f aca="false">IF(Flights!$AK$16="","",Flights!$AK$16)</f>
        <v>0</v>
      </c>
      <c r="K39" s="42" t="n">
        <f aca="false">IF(Flights!$AL$16="","",Flights!$AL$16)</f>
        <v>0</v>
      </c>
      <c r="L39" s="42" t="n">
        <f aca="false">IF(Flights!$AM$16="","",Flights!$AM$16)</f>
        <v>0</v>
      </c>
      <c r="M39" s="42" t="n">
        <f aca="false">IF(Flights!$AN$16="","",Flights!$AN$16)</f>
        <v>0</v>
      </c>
      <c r="N39" s="37" t="n">
        <f aca="false">IF(Flights!$AP$16="","",Flights!$AP$16)</f>
        <v>0</v>
      </c>
      <c r="O39" s="37" t="n">
        <f aca="false">IF(Flights!$AQ$16="","",Flights!$AQ$16)</f>
        <v>0</v>
      </c>
      <c r="P39" s="37" t="n">
        <f aca="false">IF(Flights!$AR$16="","",Flights!$AR$16)</f>
        <v>2</v>
      </c>
      <c r="Q39" s="37" t="n">
        <f aca="false">IF(Flights!$AS$16="","",Flights!$AS$16)</f>
        <v>0</v>
      </c>
      <c r="R39" s="43" t="str">
        <f aca="false">IF(Flights!$AT$16="","",Flights!$AT$16)</f>
        <v>NOT READY – DOCUMENTS</v>
      </c>
    </row>
    <row r="40" customFormat="false" ht="18.75" hidden="false" customHeight="true" outlineLevel="0" collapsed="false">
      <c r="B40" s="21" t="n">
        <f aca="false">IF(Flights!$B$17="","",Flights!$B$17)</f>
        <v>2</v>
      </c>
      <c r="C40" s="31" t="str">
        <f aca="false">IF(Flights!$F$17="","",Flights!$F$17)</f>
        <v>MH0138</v>
      </c>
      <c r="D40" s="32" t="n">
        <f aca="false">IF(Flights!$D$17="","",Flights!$D$17)</f>
        <v>46309</v>
      </c>
      <c r="E40" s="33" t="str">
        <f aca="false">IF(Flights!$G$17="","",Flights!$G$17&amp;"-"&amp;Flights!$H$17)</f>
        <v>ADL-KUL</v>
      </c>
      <c r="F40" s="33" t="str">
        <f aca="false">IF(Flights!$K$17="","",Flights!$K$17)</f>
        <v>EY</v>
      </c>
      <c r="G40" s="33" t="str">
        <f aca="false">IF(Flights!$L$17="","",Flights!$L$17)</f>
        <v>A339</v>
      </c>
      <c r="H40" s="34" t="n">
        <f aca="false">IF(Flights!$I$17="","",Flights!$I$17)</f>
        <v>46309.4479166667</v>
      </c>
      <c r="I40" s="35" t="n">
        <f aca="false">IF(Flights!$AJ$17="","",Flights!$AJ$17)</f>
        <v>0</v>
      </c>
      <c r="J40" s="35" t="n">
        <f aca="false">IF(Flights!$AK$17="","",Flights!$AK$17)</f>
        <v>0</v>
      </c>
      <c r="K40" s="35" t="n">
        <f aca="false">IF(Flights!$AL$17="","",Flights!$AL$17)</f>
        <v>0</v>
      </c>
      <c r="L40" s="35" t="n">
        <f aca="false">IF(Flights!$AM$17="","",Flights!$AM$17)</f>
        <v>0</v>
      </c>
      <c r="M40" s="35" t="n">
        <f aca="false">IF(Flights!$AN$17="","",Flights!$AN$17)</f>
        <v>0</v>
      </c>
      <c r="N40" s="21" t="n">
        <f aca="false">IF(Flights!$AP$17="","",Flights!$AP$17)</f>
        <v>0</v>
      </c>
      <c r="O40" s="21" t="n">
        <f aca="false">IF(Flights!$AQ$17="","",Flights!$AQ$17)</f>
        <v>0</v>
      </c>
      <c r="P40" s="21" t="n">
        <f aca="false">IF(Flights!$AR$17="","",Flights!$AR$17)</f>
        <v>2</v>
      </c>
      <c r="Q40" s="21" t="n">
        <f aca="false">IF(Flights!$AS$17="","",Flights!$AS$17)</f>
        <v>3</v>
      </c>
      <c r="R40" s="36" t="str">
        <f aca="false">IF(Flights!$AT$17="","",Flights!$AT$17)</f>
        <v>NOT READY – DOCUMENTS</v>
      </c>
    </row>
    <row r="41" customFormat="false" ht="18.75" hidden="false" customHeight="true" outlineLevel="0" collapsed="false">
      <c r="B41" s="37" t="n">
        <f aca="false">IF(Flights!$B$18="","",Flights!$B$18)</f>
        <v>2</v>
      </c>
      <c r="C41" s="38" t="str">
        <f aca="false">IF(Flights!$F$18="","",Flights!$F$18)</f>
        <v>MH0004</v>
      </c>
      <c r="D41" s="39" t="n">
        <f aca="false">IF(Flights!$D$18="","",Flights!$D$18)</f>
        <v>46310</v>
      </c>
      <c r="E41" s="40" t="str">
        <f aca="false">IF(Flights!$G$18="","",Flights!$G$18&amp;"-"&amp;Flights!$H$18)</f>
        <v>KUL-LHR</v>
      </c>
      <c r="F41" s="40" t="str">
        <f aca="false">IF(Flights!$K$18="","",Flights!$K$18)</f>
        <v>EY</v>
      </c>
      <c r="G41" s="40" t="str">
        <f aca="false">IF(Flights!$L$18="","",Flights!$L$18)</f>
        <v>A350</v>
      </c>
      <c r="H41" s="41" t="n">
        <f aca="false">IF(Flights!$I$18="","",Flights!$I$18)</f>
        <v>46310.4097222222</v>
      </c>
      <c r="I41" s="42" t="n">
        <f aca="false">IF(Flights!$AJ$18="","",Flights!$AJ$18)</f>
        <v>0</v>
      </c>
      <c r="J41" s="42" t="n">
        <f aca="false">IF(Flights!$AK$18="","",Flights!$AK$18)</f>
        <v>0</v>
      </c>
      <c r="K41" s="42" t="n">
        <f aca="false">IF(Flights!$AL$18="","",Flights!$AL$18)</f>
        <v>0</v>
      </c>
      <c r="L41" s="42" t="n">
        <f aca="false">IF(Flights!$AM$18="","",Flights!$AM$18)</f>
        <v>0</v>
      </c>
      <c r="M41" s="42" t="n">
        <f aca="false">IF(Flights!$AN$18="","",Flights!$AN$18)</f>
        <v>0</v>
      </c>
      <c r="N41" s="37" t="n">
        <f aca="false">IF(Flights!$AP$18="","",Flights!$AP$18)</f>
        <v>0</v>
      </c>
      <c r="O41" s="37" t="n">
        <f aca="false">IF(Flights!$AQ$18="","",Flights!$AQ$18)</f>
        <v>0</v>
      </c>
      <c r="P41" s="37" t="n">
        <f aca="false">IF(Flights!$AR$18="","",Flights!$AR$18)</f>
        <v>2</v>
      </c>
      <c r="Q41" s="37" t="n">
        <f aca="false">IF(Flights!$AS$18="","",Flights!$AS$18)</f>
        <v>2</v>
      </c>
      <c r="R41" s="43" t="str">
        <f aca="false">IF(Flights!$AT$18="","",Flights!$AT$18)</f>
        <v>NOT READY – DOCUMENTS</v>
      </c>
    </row>
    <row r="42" customFormat="false" ht="18.75" hidden="false" customHeight="true" outlineLevel="0" collapsed="false">
      <c r="B42" s="21" t="n">
        <f aca="false">IF(Flights!$B$19="","",Flights!$B$19)</f>
        <v>3</v>
      </c>
      <c r="C42" s="31" t="str">
        <f aca="false">IF(Flights!$F$19="","",Flights!$F$19)</f>
        <v>MH0003</v>
      </c>
      <c r="D42" s="32" t="n">
        <f aca="false">IF(Flights!$D$19="","",Flights!$D$19)</f>
        <v>46320</v>
      </c>
      <c r="E42" s="33" t="str">
        <f aca="false">IF(Flights!$G$19="","",Flights!$G$19&amp;"-"&amp;Flights!$H$19)</f>
        <v>LHR-KUL</v>
      </c>
      <c r="F42" s="33" t="str">
        <f aca="false">IF(Flights!$K$19="","",Flights!$K$19)</f>
        <v>EY</v>
      </c>
      <c r="G42" s="33" t="str">
        <f aca="false">IF(Flights!$L$19="","",Flights!$L$19)</f>
        <v>A350</v>
      </c>
      <c r="H42" s="34" t="n">
        <f aca="false">IF(Flights!$I$19="","",Flights!$I$19)</f>
        <v>46320.4583333333</v>
      </c>
      <c r="I42" s="35" t="n">
        <f aca="false">IF(Flights!$AJ$19="","",Flights!$AJ$19)</f>
        <v>0</v>
      </c>
      <c r="J42" s="35" t="n">
        <f aca="false">IF(Flights!$AK$19="","",Flights!$AK$19)</f>
        <v>0</v>
      </c>
      <c r="K42" s="35" t="n">
        <f aca="false">IF(Flights!$AL$19="","",Flights!$AL$19)</f>
        <v>0</v>
      </c>
      <c r="L42" s="35" t="n">
        <f aca="false">IF(Flights!$AM$19="","",Flights!$AM$19)</f>
        <v>0</v>
      </c>
      <c r="M42" s="35" t="n">
        <f aca="false">IF(Flights!$AN$19="","",Flights!$AN$19)</f>
        <v>0</v>
      </c>
      <c r="N42" s="21" t="n">
        <f aca="false">IF(Flights!$AP$19="","",Flights!$AP$19)</f>
        <v>0</v>
      </c>
      <c r="O42" s="21" t="n">
        <f aca="false">IF(Flights!$AQ$19="","",Flights!$AQ$19)</f>
        <v>0</v>
      </c>
      <c r="P42" s="21" t="n">
        <f aca="false">IF(Flights!$AR$19="","",Flights!$AR$19)</f>
        <v>2</v>
      </c>
      <c r="Q42" s="21" t="n">
        <f aca="false">IF(Flights!$AS$19="","",Flights!$AS$19)</f>
        <v>2</v>
      </c>
      <c r="R42" s="36" t="str">
        <f aca="false">IF(Flights!$AT$19="","",Flights!$AT$19)</f>
        <v>NOT READY – DOCUMENTS</v>
      </c>
    </row>
    <row r="43" customFormat="false" ht="18.75" hidden="false" customHeight="true" outlineLevel="0" collapsed="false">
      <c r="B43" s="37" t="n">
        <f aca="false">IF(Flights!$B$20="","",Flights!$B$20)</f>
        <v>3</v>
      </c>
      <c r="C43" s="38" t="str">
        <f aca="false">IF(Flights!$F$20="","",Flights!$F$20)</f>
        <v>MH0072</v>
      </c>
      <c r="D43" s="39" t="n">
        <f aca="false">IF(Flights!$D$20="","",Flights!$D$20)</f>
        <v>46321</v>
      </c>
      <c r="E43" s="40" t="str">
        <f aca="false">IF(Flights!$G$20="","",Flights!$G$20&amp;"-"&amp;Flights!$H$20)</f>
        <v>KUL-HKG</v>
      </c>
      <c r="F43" s="40" t="str">
        <f aca="false">IF(Flights!$K$20="","",Flights!$K$20)</f>
        <v>EY</v>
      </c>
      <c r="G43" s="40" t="str">
        <f aca="false">IF(Flights!$L$20="","",Flights!$L$20)</f>
        <v>B738MAX</v>
      </c>
      <c r="H43" s="41" t="n">
        <f aca="false">IF(Flights!$I$20="","",Flights!$I$20)</f>
        <v>46321.3819444445</v>
      </c>
      <c r="I43" s="42" t="n">
        <f aca="false">IF(Flights!$AJ$20="","",Flights!$AJ$20)</f>
        <v>0</v>
      </c>
      <c r="J43" s="42" t="n">
        <f aca="false">IF(Flights!$AK$20="","",Flights!$AK$20)</f>
        <v>0</v>
      </c>
      <c r="K43" s="42" t="n">
        <f aca="false">IF(Flights!$AL$20="","",Flights!$AL$20)</f>
        <v>0</v>
      </c>
      <c r="L43" s="42" t="n">
        <f aca="false">IF(Flights!$AM$20="","",Flights!$AM$20)</f>
        <v>0</v>
      </c>
      <c r="M43" s="42" t="n">
        <f aca="false">IF(Flights!$AN$20="","",Flights!$AN$20)</f>
        <v>0</v>
      </c>
      <c r="N43" s="37" t="n">
        <f aca="false">IF(Flights!$AP$20="","",Flights!$AP$20)</f>
        <v>0</v>
      </c>
      <c r="O43" s="37" t="n">
        <f aca="false">IF(Flights!$AQ$20="","",Flights!$AQ$20)</f>
        <v>0</v>
      </c>
      <c r="P43" s="37" t="n">
        <f aca="false">IF(Flights!$AR$20="","",Flights!$AR$20)</f>
        <v>2</v>
      </c>
      <c r="Q43" s="37" t="n">
        <f aca="false">IF(Flights!$AS$20="","",Flights!$AS$20)</f>
        <v>1</v>
      </c>
      <c r="R43" s="43" t="str">
        <f aca="false">IF(Flights!$AT$20="","",Flights!$AT$20)</f>
        <v>NOT READY – DOCUMENTS</v>
      </c>
    </row>
    <row r="44" customFormat="false" ht="18.75" hidden="false" customHeight="true" outlineLevel="0" collapsed="false">
      <c r="B44" s="21" t="n">
        <f aca="false">IF(Flights!$B$21="","",Flights!$B$21)</f>
        <v>3</v>
      </c>
      <c r="C44" s="31" t="str">
        <f aca="false">IF(Flights!$F$21="","",Flights!$F$21)</f>
        <v>MH0073</v>
      </c>
      <c r="D44" s="32" t="n">
        <f aca="false">IF(Flights!$D$21="","",Flights!$D$21)</f>
        <v>46322</v>
      </c>
      <c r="E44" s="33" t="str">
        <f aca="false">IF(Flights!$G$21="","",Flights!$G$21&amp;"-"&amp;Flights!$H$21)</f>
        <v>HKG-KUL</v>
      </c>
      <c r="F44" s="33" t="str">
        <f aca="false">IF(Flights!$K$21="","",Flights!$K$21)</f>
        <v>BC</v>
      </c>
      <c r="G44" s="33" t="str">
        <f aca="false">IF(Flights!$L$21="","",Flights!$L$21)</f>
        <v>B738MAX</v>
      </c>
      <c r="H44" s="34" t="n">
        <f aca="false">IF(Flights!$I$21="","",Flights!$I$21)</f>
        <v>46322.6180555556</v>
      </c>
      <c r="I44" s="35" t="n">
        <f aca="false">IF(Flights!$AJ$21="","",Flights!$AJ$21)</f>
        <v>0</v>
      </c>
      <c r="J44" s="35" t="n">
        <f aca="false">IF(Flights!$AK$21="","",Flights!$AK$21)</f>
        <v>0</v>
      </c>
      <c r="K44" s="35" t="n">
        <f aca="false">IF(Flights!$AL$21="","",Flights!$AL$21)</f>
        <v>0</v>
      </c>
      <c r="L44" s="35" t="n">
        <f aca="false">IF(Flights!$AM$21="","",Flights!$AM$21)</f>
        <v>0</v>
      </c>
      <c r="M44" s="35" t="n">
        <f aca="false">IF(Flights!$AN$21="","",Flights!$AN$21)</f>
        <v>0</v>
      </c>
      <c r="N44" s="21" t="n">
        <f aca="false">IF(Flights!$AP$21="","",Flights!$AP$21)</f>
        <v>0</v>
      </c>
      <c r="O44" s="21" t="n">
        <f aca="false">IF(Flights!$AQ$21="","",Flights!$AQ$21)</f>
        <v>0</v>
      </c>
      <c r="P44" s="21" t="n">
        <f aca="false">IF(Flights!$AR$21="","",Flights!$AR$21)</f>
        <v>2</v>
      </c>
      <c r="Q44" s="21" t="n">
        <f aca="false">IF(Flights!$AS$21="","",Flights!$AS$21)</f>
        <v>4</v>
      </c>
      <c r="R44" s="36" t="str">
        <f aca="false">IF(Flights!$AT$21="","",Flights!$AT$21)</f>
        <v>NOT READY – DOCUMENTS</v>
      </c>
    </row>
    <row r="45" customFormat="false" ht="18.75" hidden="false" customHeight="true" outlineLevel="0" collapsed="false">
      <c r="B45" s="37" t="n">
        <f aca="false">IF(Flights!$B$22="","",Flights!$B$22)</f>
        <v>3</v>
      </c>
      <c r="C45" s="38" t="str">
        <f aca="false">IF(Flights!$F$22="","",Flights!$F$22)</f>
        <v>MH0052</v>
      </c>
      <c r="D45" s="39" t="n">
        <f aca="false">IF(Flights!$D$22="","",Flights!$D$22)</f>
        <v>46322</v>
      </c>
      <c r="E45" s="40" t="str">
        <f aca="false">IF(Flights!$G$22="","",Flights!$G$22&amp;"-"&amp;Flights!$H$22)</f>
        <v>KUL-KIX</v>
      </c>
      <c r="F45" s="40" t="str">
        <f aca="false">IF(Flights!$K$22="","",Flights!$K$22)</f>
        <v>BC</v>
      </c>
      <c r="G45" s="40" t="str">
        <f aca="false">IF(Flights!$L$22="","",Flights!$L$22)</f>
        <v>A333</v>
      </c>
      <c r="H45" s="41" t="n">
        <f aca="false">IF(Flights!$I$22="","",Flights!$I$22)</f>
        <v>46322.9340277778</v>
      </c>
      <c r="I45" s="42" t="n">
        <f aca="false">IF(Flights!$AJ$22="","",Flights!$AJ$22)</f>
        <v>0</v>
      </c>
      <c r="J45" s="42" t="n">
        <f aca="false">IF(Flights!$AK$22="","",Flights!$AK$22)</f>
        <v>0</v>
      </c>
      <c r="K45" s="42" t="n">
        <f aca="false">IF(Flights!$AL$22="","",Flights!$AL$22)</f>
        <v>0</v>
      </c>
      <c r="L45" s="42" t="n">
        <f aca="false">IF(Flights!$AM$22="","",Flights!$AM$22)</f>
        <v>0</v>
      </c>
      <c r="M45" s="42" t="n">
        <f aca="false">IF(Flights!$AN$22="","",Flights!$AN$22)</f>
        <v>0</v>
      </c>
      <c r="N45" s="37" t="n">
        <f aca="false">IF(Flights!$AP$22="","",Flights!$AP$22)</f>
        <v>0</v>
      </c>
      <c r="O45" s="37" t="n">
        <f aca="false">IF(Flights!$AQ$22="","",Flights!$AQ$22)</f>
        <v>0</v>
      </c>
      <c r="P45" s="37" t="n">
        <f aca="false">IF(Flights!$AR$22="","",Flights!$AR$22)</f>
        <v>2</v>
      </c>
      <c r="Q45" s="37" t="n">
        <f aca="false">IF(Flights!$AS$22="","",Flights!$AS$22)</f>
        <v>0</v>
      </c>
      <c r="R45" s="43" t="str">
        <f aca="false">IF(Flights!$AT$22="","",Flights!$AT$22)</f>
        <v>NOT READY – DOCUMENTS</v>
      </c>
    </row>
    <row r="46" customFormat="false" ht="18.75" hidden="false" customHeight="true" outlineLevel="0" collapsed="false">
      <c r="B46" s="21" t="n">
        <f aca="false">IF(Flights!$B$23="","",Flights!$B$23)</f>
        <v>3</v>
      </c>
      <c r="C46" s="31" t="str">
        <f aca="false">IF(Flights!$F$23="","",Flights!$F$23)</f>
        <v>MH0053</v>
      </c>
      <c r="D46" s="32" t="n">
        <f aca="false">IF(Flights!$D$23="","",Flights!$D$23)</f>
        <v>46324</v>
      </c>
      <c r="E46" s="33" t="str">
        <f aca="false">IF(Flights!$G$23="","",Flights!$G$23&amp;"-"&amp;Flights!$H$23)</f>
        <v>KIX-KUL</v>
      </c>
      <c r="F46" s="33" t="str">
        <f aca="false">IF(Flights!$K$23="","",Flights!$K$23)</f>
        <v>EY</v>
      </c>
      <c r="G46" s="33" t="str">
        <f aca="false">IF(Flights!$L$23="","",Flights!$L$23)</f>
        <v>A333</v>
      </c>
      <c r="H46" s="34" t="n">
        <f aca="false">IF(Flights!$I$23="","",Flights!$I$23)</f>
        <v>46324.4027777778</v>
      </c>
      <c r="I46" s="35" t="n">
        <f aca="false">IF(Flights!$AJ$23="","",Flights!$AJ$23)</f>
        <v>0</v>
      </c>
      <c r="J46" s="35" t="n">
        <f aca="false">IF(Flights!$AK$23="","",Flights!$AK$23)</f>
        <v>0</v>
      </c>
      <c r="K46" s="35" t="n">
        <f aca="false">IF(Flights!$AL$23="","",Flights!$AL$23)</f>
        <v>0</v>
      </c>
      <c r="L46" s="35" t="n">
        <f aca="false">IF(Flights!$AM$23="","",Flights!$AM$23)</f>
        <v>0</v>
      </c>
      <c r="M46" s="35" t="n">
        <f aca="false">IF(Flights!$AN$23="","",Flights!$AN$23)</f>
        <v>0</v>
      </c>
      <c r="N46" s="21" t="n">
        <f aca="false">IF(Flights!$AP$23="","",Flights!$AP$23)</f>
        <v>0</v>
      </c>
      <c r="O46" s="21" t="n">
        <f aca="false">IF(Flights!$AQ$23="","",Flights!$AQ$23)</f>
        <v>0</v>
      </c>
      <c r="P46" s="21" t="n">
        <f aca="false">IF(Flights!$AR$23="","",Flights!$AR$23)</f>
        <v>2</v>
      </c>
      <c r="Q46" s="21" t="n">
        <f aca="false">IF(Flights!$AS$23="","",Flights!$AS$23)</f>
        <v>1</v>
      </c>
      <c r="R46" s="36" t="str">
        <f aca="false">IF(Flights!$AT$23="","",Flights!$AT$23)</f>
        <v>NOT READY – DOCUMENTS</v>
      </c>
    </row>
    <row r="47" customFormat="false" ht="18.75" hidden="false" customHeight="true" outlineLevel="0" collapsed="false">
      <c r="B47" s="37" t="n">
        <f aca="false">IF(Flights!$B$24="","",Flights!$B$24)</f>
        <v>3</v>
      </c>
      <c r="C47" s="38" t="str">
        <f aca="false">IF(Flights!$F$24="","",Flights!$F$24)</f>
        <v>MH1450</v>
      </c>
      <c r="D47" s="39" t="n">
        <f aca="false">IF(Flights!$D$24="","",Flights!$D$24)</f>
        <v>46324</v>
      </c>
      <c r="E47" s="40" t="str">
        <f aca="false">IF(Flights!$G$24="","",Flights!$G$24&amp;"-"&amp;Flights!$H$24)</f>
        <v>KUL-LGK</v>
      </c>
      <c r="F47" s="40" t="str">
        <f aca="false">IF(Flights!$K$24="","",Flights!$K$24)</f>
        <v>EY</v>
      </c>
      <c r="G47" s="40" t="str">
        <f aca="false">IF(Flights!$L$24="","",Flights!$L$24)</f>
        <v>B738MAX</v>
      </c>
      <c r="H47" s="41" t="n">
        <f aca="false">IF(Flights!$I$24="","",Flights!$I$24)</f>
        <v>46324.7708333333</v>
      </c>
      <c r="I47" s="42" t="n">
        <f aca="false">IF(Flights!$AJ$24="","",Flights!$AJ$24)</f>
        <v>0</v>
      </c>
      <c r="J47" s="42" t="n">
        <f aca="false">IF(Flights!$AK$24="","",Flights!$AK$24)</f>
        <v>0</v>
      </c>
      <c r="K47" s="42" t="n">
        <f aca="false">IF(Flights!$AL$24="","",Flights!$AL$24)</f>
        <v>0</v>
      </c>
      <c r="L47" s="42" t="n">
        <f aca="false">IF(Flights!$AM$24="","",Flights!$AM$24)</f>
        <v>0</v>
      </c>
      <c r="M47" s="42" t="n">
        <f aca="false">IF(Flights!$AN$24="","",Flights!$AN$24)</f>
        <v>0</v>
      </c>
      <c r="N47" s="37" t="n">
        <f aca="false">IF(Flights!$AP$24="","",Flights!$AP$24)</f>
        <v>0</v>
      </c>
      <c r="O47" s="37" t="n">
        <f aca="false">IF(Flights!$AQ$24="","",Flights!$AQ$24)</f>
        <v>0</v>
      </c>
      <c r="P47" s="37" t="n">
        <f aca="false">IF(Flights!$AR$24="","",Flights!$AR$24)</f>
        <v>2</v>
      </c>
      <c r="Q47" s="37" t="n">
        <f aca="false">IF(Flights!$AS$24="","",Flights!$AS$24)</f>
        <v>0</v>
      </c>
      <c r="R47" s="43" t="str">
        <f aca="false">IF(Flights!$AT$24="","",Flights!$AT$24)</f>
        <v>NOT READY – DOCUMENTS</v>
      </c>
    </row>
    <row r="48" customFormat="false" ht="18.75" hidden="false" customHeight="true" outlineLevel="0" collapsed="false">
      <c r="B48" s="21" t="n">
        <f aca="false">IF(Flights!$B$25="","",Flights!$B$25)</f>
        <v>3</v>
      </c>
      <c r="C48" s="31" t="str">
        <f aca="false">IF(Flights!$F$25="","",Flights!$F$25)</f>
        <v>MH1437</v>
      </c>
      <c r="D48" s="32" t="n">
        <f aca="false">IF(Flights!$D$25="","",Flights!$D$25)</f>
        <v>46325</v>
      </c>
      <c r="E48" s="33" t="str">
        <f aca="false">IF(Flights!$G$25="","",Flights!$G$25&amp;"-"&amp;Flights!$H$25)</f>
        <v>LGK-KUL</v>
      </c>
      <c r="F48" s="33" t="str">
        <f aca="false">IF(Flights!$K$25="","",Flights!$K$25)</f>
        <v>BC</v>
      </c>
      <c r="G48" s="33" t="str">
        <f aca="false">IF(Flights!$L$25="","",Flights!$L$25)</f>
        <v>B738MAX</v>
      </c>
      <c r="H48" s="34" t="n">
        <f aca="false">IF(Flights!$I$25="","",Flights!$I$25)</f>
        <v>46325.6145833333</v>
      </c>
      <c r="I48" s="35" t="n">
        <f aca="false">IF(Flights!$AJ$25="","",Flights!$AJ$25)</f>
        <v>0</v>
      </c>
      <c r="J48" s="35" t="n">
        <f aca="false">IF(Flights!$AK$25="","",Flights!$AK$25)</f>
        <v>0</v>
      </c>
      <c r="K48" s="35" t="n">
        <f aca="false">IF(Flights!$AL$25="","",Flights!$AL$25)</f>
        <v>0</v>
      </c>
      <c r="L48" s="35" t="n">
        <f aca="false">IF(Flights!$AM$25="","",Flights!$AM$25)</f>
        <v>0</v>
      </c>
      <c r="M48" s="35" t="n">
        <f aca="false">IF(Flights!$AN$25="","",Flights!$AN$25)</f>
        <v>0</v>
      </c>
      <c r="N48" s="21" t="n">
        <f aca="false">IF(Flights!$AP$25="","",Flights!$AP$25)</f>
        <v>0</v>
      </c>
      <c r="O48" s="21" t="n">
        <f aca="false">IF(Flights!$AQ$25="","",Flights!$AQ$25)</f>
        <v>0</v>
      </c>
      <c r="P48" s="21" t="n">
        <f aca="false">IF(Flights!$AR$25="","",Flights!$AR$25)</f>
        <v>2</v>
      </c>
      <c r="Q48" s="21" t="n">
        <f aca="false">IF(Flights!$AS$25="","",Flights!$AS$25)</f>
        <v>1</v>
      </c>
      <c r="R48" s="36" t="str">
        <f aca="false">IF(Flights!$AT$25="","",Flights!$AT$25)</f>
        <v>NOT READY – DOCUMENTS</v>
      </c>
    </row>
    <row r="49" customFormat="false" ht="18.75" hidden="false" customHeight="true" outlineLevel="0" collapsed="false">
      <c r="B49" s="37" t="n">
        <f aca="false">IF(Flights!$B$26="","",Flights!$B$26)</f>
        <v>3</v>
      </c>
      <c r="C49" s="38" t="str">
        <f aca="false">IF(Flights!$F$26="","",Flights!$F$26)</f>
        <v>MH0002</v>
      </c>
      <c r="D49" s="39" t="n">
        <f aca="false">IF(Flights!$D$26="","",Flights!$D$26)</f>
        <v>46325</v>
      </c>
      <c r="E49" s="40" t="str">
        <f aca="false">IF(Flights!$G$26="","",Flights!$G$26&amp;"-"&amp;Flights!$H$26)</f>
        <v>KUL-LHR</v>
      </c>
      <c r="F49" s="40" t="str">
        <f aca="false">IF(Flights!$K$26="","",Flights!$K$26)</f>
        <v>BC</v>
      </c>
      <c r="G49" s="40" t="str">
        <f aca="false">IF(Flights!$L$26="","",Flights!$L$26)</f>
        <v>A350</v>
      </c>
      <c r="H49" s="41" t="n">
        <f aca="false">IF(Flights!$I$26="","",Flights!$I$26)</f>
        <v>46325.9722222222</v>
      </c>
      <c r="I49" s="42" t="n">
        <f aca="false">IF(Flights!$AJ$26="","",Flights!$AJ$26)</f>
        <v>0</v>
      </c>
      <c r="J49" s="42" t="n">
        <f aca="false">IF(Flights!$AK$26="","",Flights!$AK$26)</f>
        <v>0</v>
      </c>
      <c r="K49" s="42" t="n">
        <f aca="false">IF(Flights!$AL$26="","",Flights!$AL$26)</f>
        <v>0</v>
      </c>
      <c r="L49" s="42" t="n">
        <f aca="false">IF(Flights!$AM$26="","",Flights!$AM$26)</f>
        <v>0</v>
      </c>
      <c r="M49" s="42" t="n">
        <f aca="false">IF(Flights!$AN$26="","",Flights!$AN$26)</f>
        <v>0</v>
      </c>
      <c r="N49" s="37" t="n">
        <f aca="false">IF(Flights!$AP$26="","",Flights!$AP$26)</f>
        <v>0</v>
      </c>
      <c r="O49" s="37" t="n">
        <f aca="false">IF(Flights!$AQ$26="","",Flights!$AQ$26)</f>
        <v>0</v>
      </c>
      <c r="P49" s="37" t="n">
        <f aca="false">IF(Flights!$AR$26="","",Flights!$AR$26)</f>
        <v>2</v>
      </c>
      <c r="Q49" s="37" t="n">
        <f aca="false">IF(Flights!$AS$26="","",Flights!$AS$26)</f>
        <v>2</v>
      </c>
      <c r="R49" s="43" t="str">
        <f aca="false">IF(Flights!$AT$26="","",Flights!$AT$26)</f>
        <v>NOT READY – DOCUMENTS</v>
      </c>
    </row>
    <row r="50" customFormat="false" ht="25.5" hidden="false" customHeight="true" outlineLevel="0" collapsed="false">
      <c r="B50" s="44" t="s">
        <v>119</v>
      </c>
      <c r="C50" s="44"/>
      <c r="D50" s="44"/>
      <c r="E50" s="44"/>
      <c r="F50" s="44"/>
      <c r="G50" s="44"/>
      <c r="H50" s="44"/>
      <c r="I50" s="44"/>
      <c r="J50" s="44"/>
      <c r="K50" s="44"/>
      <c r="L50" s="44"/>
      <c r="M50" s="44"/>
      <c r="N50" s="44"/>
      <c r="O50" s="44"/>
      <c r="P50" s="44"/>
      <c r="Q50" s="44"/>
      <c r="R50" s="44"/>
    </row>
    <row r="52" customFormat="false" ht="21.75" hidden="false" customHeight="true" outlineLevel="0" collapsed="false">
      <c r="B52" s="14" t="s">
        <v>120</v>
      </c>
      <c r="C52" s="14"/>
      <c r="D52" s="14"/>
      <c r="E52" s="14"/>
      <c r="F52" s="14"/>
      <c r="G52" s="14"/>
      <c r="H52" s="14"/>
      <c r="I52" s="14"/>
      <c r="J52" s="14"/>
      <c r="K52" s="14"/>
      <c r="L52" s="30" t="str">
        <f aca="false">"Showing "&amp;MIN(18,SUM(Checks!$AK$5:$AK$748))&amp;" of "&amp;SUM(Checks!$AK$5:$AK$748)&amp;"  •  as of "&amp;TEXT(AsOfUTC+8/24,"dd-mmm-yy hh:mm")&amp;" MYT"</f>
        <v>Showing 0 of 0  •  as of 29-Sep-26 20:53 MYT</v>
      </c>
      <c r="M52" s="30"/>
      <c r="N52" s="30"/>
      <c r="O52" s="30"/>
      <c r="P52" s="30"/>
      <c r="Q52" s="30"/>
      <c r="R52" s="30"/>
    </row>
    <row r="53" customFormat="false" ht="27.75" hidden="false" customHeight="true" outlineLevel="0" collapsed="false">
      <c r="B53" s="19" t="s">
        <v>121</v>
      </c>
      <c r="C53" s="19" t="s">
        <v>122</v>
      </c>
      <c r="D53" s="19"/>
      <c r="E53" s="19" t="s">
        <v>107</v>
      </c>
      <c r="F53" s="19" t="s">
        <v>73</v>
      </c>
      <c r="G53" s="19"/>
      <c r="H53" s="19" t="s">
        <v>123</v>
      </c>
      <c r="I53" s="19"/>
      <c r="J53" s="19"/>
      <c r="K53" s="19"/>
      <c r="L53" s="19"/>
      <c r="M53" s="19"/>
      <c r="N53" s="19" t="s">
        <v>124</v>
      </c>
      <c r="O53" s="19"/>
      <c r="P53" s="19" t="s">
        <v>125</v>
      </c>
      <c r="Q53" s="19"/>
      <c r="R53" s="19" t="s">
        <v>126</v>
      </c>
      <c r="T53" s="45" t="s">
        <v>127</v>
      </c>
    </row>
    <row r="54" customFormat="false" ht="27.75" hidden="false" customHeight="true" outlineLevel="0" collapsed="false">
      <c r="B54" s="46" t="str">
        <f aca="false">IF($T54="","",1)</f>
        <v/>
      </c>
      <c r="C54" s="29" t="str">
        <f aca="false">IF($T54="","",IF(LEN(INDEX(Checks!$A$5:$A$748,$T54-4))&gt;28,LEFT(INDEX(Checks!$A$5:$A$748,$T54-4),27)&amp;"…",INDEX(Checks!$A$5:$A$748,$T54-4)&amp;""))</f>
        <v/>
      </c>
      <c r="D54" s="29"/>
      <c r="E54" s="47" t="str">
        <f aca="false">IF($T54="","",IF(LEN(INDEX(Checks!$C$5:$C$748,$T54-4))&gt;14,LEFT(INDEX(Checks!$C$5:$C$748,$T54-4),13)&amp;"…",INDEX(Checks!$C$5:$C$748,$T54-4)&amp;""))</f>
        <v/>
      </c>
      <c r="F54" s="29" t="str">
        <f aca="false">IF($T54="","",IF(LEN(INDEX(Checks!$G$5:$G$748,$T54-4))&gt;25,LEFT(INDEX(Checks!$G$5:$G$748,$T54-4),24)&amp;"…",INDEX(Checks!$G$5:$G$748,$T54-4)&amp;""))</f>
        <v/>
      </c>
      <c r="G54" s="29"/>
      <c r="H54" s="29" t="str">
        <f aca="false">IF($T54="","",IF(LEN(INDEX(Checks!$J$5:$J$748,$T54-4))&gt;100,LEFT(INDEX(Checks!$J$5:$J$748,$T54-4),99)&amp;"…",INDEX(Checks!$J$5:$J$748,$T54-4)&amp;""))</f>
        <v/>
      </c>
      <c r="I54" s="29"/>
      <c r="J54" s="29"/>
      <c r="K54" s="29"/>
      <c r="L54" s="29"/>
      <c r="M54" s="29"/>
      <c r="N54" s="47" t="str">
        <f aca="false">IF($T54="","",IF(ISNUMBER(INDEX(Checks!$R$5:$R$748,$T54-4)),TEXT(INDEX(Checks!$R$5:$R$748,$T54-4),"dd-mmm hh:mm"),"")&amp;" "&amp;INDEX(Checks!$P$5:$P$748,$T54-4))</f>
        <v/>
      </c>
      <c r="O54" s="47"/>
      <c r="P54" s="29" t="str">
        <f aca="false">IF($T54="","",IF(LEN(INDEX(Checks!$T$5:$T$748,$T54-4))&gt;27,LEFT(INDEX(Checks!$T$5:$T$748,$T54-4),26)&amp;"…",INDEX(Checks!$T$5:$T$748,$T54-4)&amp;""))</f>
        <v/>
      </c>
      <c r="Q54" s="29"/>
      <c r="R54" s="29" t="str">
        <f aca="false">IF($T54="","",IF(LEN(INDEX(Checks!$AH$5:$AH$748,$T54-4))&gt;53,LEFT(INDEX(Checks!$AH$5:$AH$748,$T54-4),52)&amp;"…",INDEX(Checks!$AH$5:$AH$748,$T54-4)&amp;""))</f>
        <v/>
      </c>
      <c r="T54" s="45" t="str">
        <f aca="false">IFERROR(MATCH(1,Checks!$AO$5:$AO$748,0)+4,"")</f>
        <v/>
      </c>
    </row>
    <row r="55" customFormat="false" ht="27.75" hidden="false" customHeight="true" outlineLevel="0" collapsed="false">
      <c r="B55" s="48" t="str">
        <f aca="false">IF($T55="","",2)</f>
        <v/>
      </c>
      <c r="C55" s="49" t="str">
        <f aca="false">IF($T55="","",IF(LEN(INDEX(Checks!$A$5:$A$748,$T55-4))&gt;28,LEFT(INDEX(Checks!$A$5:$A$748,$T55-4),27)&amp;"…",INDEX(Checks!$A$5:$A$748,$T55-4)&amp;""))</f>
        <v/>
      </c>
      <c r="D55" s="49"/>
      <c r="E55" s="50" t="str">
        <f aca="false">IF($T55="","",IF(LEN(INDEX(Checks!$C$5:$C$748,$T55-4))&gt;14,LEFT(INDEX(Checks!$C$5:$C$748,$T55-4),13)&amp;"…",INDEX(Checks!$C$5:$C$748,$T55-4)&amp;""))</f>
        <v/>
      </c>
      <c r="F55" s="49" t="str">
        <f aca="false">IF($T55="","",IF(LEN(INDEX(Checks!$G$5:$G$748,$T55-4))&gt;25,LEFT(INDEX(Checks!$G$5:$G$748,$T55-4),24)&amp;"…",INDEX(Checks!$G$5:$G$748,$T55-4)&amp;""))</f>
        <v/>
      </c>
      <c r="G55" s="49"/>
      <c r="H55" s="49" t="str">
        <f aca="false">IF($T55="","",IF(LEN(INDEX(Checks!$J$5:$J$748,$T55-4))&gt;100,LEFT(INDEX(Checks!$J$5:$J$748,$T55-4),99)&amp;"…",INDEX(Checks!$J$5:$J$748,$T55-4)&amp;""))</f>
        <v/>
      </c>
      <c r="I55" s="49"/>
      <c r="J55" s="49"/>
      <c r="K55" s="49"/>
      <c r="L55" s="49"/>
      <c r="M55" s="49"/>
      <c r="N55" s="50" t="str">
        <f aca="false">IF($T55="","",IF(ISNUMBER(INDEX(Checks!$R$5:$R$748,$T55-4)),TEXT(INDEX(Checks!$R$5:$R$748,$T55-4),"dd-mmm hh:mm"),"")&amp;" "&amp;INDEX(Checks!$P$5:$P$748,$T55-4))</f>
        <v/>
      </c>
      <c r="O55" s="50"/>
      <c r="P55" s="49" t="str">
        <f aca="false">IF($T55="","",IF(LEN(INDEX(Checks!$T$5:$T$748,$T55-4))&gt;27,LEFT(INDEX(Checks!$T$5:$T$748,$T55-4),26)&amp;"…",INDEX(Checks!$T$5:$T$748,$T55-4)&amp;""))</f>
        <v/>
      </c>
      <c r="Q55" s="49"/>
      <c r="R55" s="49" t="str">
        <f aca="false">IF($T55="","",IF(LEN(INDEX(Checks!$AH$5:$AH$748,$T55-4))&gt;53,LEFT(INDEX(Checks!$AH$5:$AH$748,$T55-4),52)&amp;"…",INDEX(Checks!$AH$5:$AH$748,$T55-4)&amp;""))</f>
        <v/>
      </c>
      <c r="T55" s="45" t="str">
        <f aca="false">IFERROR(MATCH(2,Checks!$AO$5:$AO$748,0)+4,"")</f>
        <v/>
      </c>
    </row>
    <row r="56" customFormat="false" ht="27.75" hidden="false" customHeight="true" outlineLevel="0" collapsed="false">
      <c r="B56" s="46" t="str">
        <f aca="false">IF($T56="","",3)</f>
        <v/>
      </c>
      <c r="C56" s="29" t="str">
        <f aca="false">IF($T56="","",IF(LEN(INDEX(Checks!$A$5:$A$748,$T56-4))&gt;28,LEFT(INDEX(Checks!$A$5:$A$748,$T56-4),27)&amp;"…",INDEX(Checks!$A$5:$A$748,$T56-4)&amp;""))</f>
        <v/>
      </c>
      <c r="D56" s="29"/>
      <c r="E56" s="47" t="str">
        <f aca="false">IF($T56="","",IF(LEN(INDEX(Checks!$C$5:$C$748,$T56-4))&gt;14,LEFT(INDEX(Checks!$C$5:$C$748,$T56-4),13)&amp;"…",INDEX(Checks!$C$5:$C$748,$T56-4)&amp;""))</f>
        <v/>
      </c>
      <c r="F56" s="29" t="str">
        <f aca="false">IF($T56="","",IF(LEN(INDEX(Checks!$G$5:$G$748,$T56-4))&gt;25,LEFT(INDEX(Checks!$G$5:$G$748,$T56-4),24)&amp;"…",INDEX(Checks!$G$5:$G$748,$T56-4)&amp;""))</f>
        <v/>
      </c>
      <c r="G56" s="29"/>
      <c r="H56" s="29" t="str">
        <f aca="false">IF($T56="","",IF(LEN(INDEX(Checks!$J$5:$J$748,$T56-4))&gt;100,LEFT(INDEX(Checks!$J$5:$J$748,$T56-4),99)&amp;"…",INDEX(Checks!$J$5:$J$748,$T56-4)&amp;""))</f>
        <v/>
      </c>
      <c r="I56" s="29"/>
      <c r="J56" s="29"/>
      <c r="K56" s="29"/>
      <c r="L56" s="29"/>
      <c r="M56" s="29"/>
      <c r="N56" s="47" t="str">
        <f aca="false">IF($T56="","",IF(ISNUMBER(INDEX(Checks!$R$5:$R$748,$T56-4)),TEXT(INDEX(Checks!$R$5:$R$748,$T56-4),"dd-mmm hh:mm"),"")&amp;" "&amp;INDEX(Checks!$P$5:$P$748,$T56-4))</f>
        <v/>
      </c>
      <c r="O56" s="47"/>
      <c r="P56" s="29" t="str">
        <f aca="false">IF($T56="","",IF(LEN(INDEX(Checks!$T$5:$T$748,$T56-4))&gt;27,LEFT(INDEX(Checks!$T$5:$T$748,$T56-4),26)&amp;"…",INDEX(Checks!$T$5:$T$748,$T56-4)&amp;""))</f>
        <v/>
      </c>
      <c r="Q56" s="29"/>
      <c r="R56" s="29" t="str">
        <f aca="false">IF($T56="","",IF(LEN(INDEX(Checks!$AH$5:$AH$748,$T56-4))&gt;53,LEFT(INDEX(Checks!$AH$5:$AH$748,$T56-4),52)&amp;"…",INDEX(Checks!$AH$5:$AH$748,$T56-4)&amp;""))</f>
        <v/>
      </c>
      <c r="T56" s="45" t="str">
        <f aca="false">IFERROR(MATCH(3,Checks!$AO$5:$AO$748,0)+4,"")</f>
        <v/>
      </c>
    </row>
    <row r="57" customFormat="false" ht="27.75" hidden="false" customHeight="true" outlineLevel="0" collapsed="false">
      <c r="B57" s="48" t="str">
        <f aca="false">IF($T57="","",4)</f>
        <v/>
      </c>
      <c r="C57" s="49" t="str">
        <f aca="false">IF($T57="","",IF(LEN(INDEX(Checks!$A$5:$A$748,$T57-4))&gt;28,LEFT(INDEX(Checks!$A$5:$A$748,$T57-4),27)&amp;"…",INDEX(Checks!$A$5:$A$748,$T57-4)&amp;""))</f>
        <v/>
      </c>
      <c r="D57" s="49"/>
      <c r="E57" s="50" t="str">
        <f aca="false">IF($T57="","",IF(LEN(INDEX(Checks!$C$5:$C$748,$T57-4))&gt;14,LEFT(INDEX(Checks!$C$5:$C$748,$T57-4),13)&amp;"…",INDEX(Checks!$C$5:$C$748,$T57-4)&amp;""))</f>
        <v/>
      </c>
      <c r="F57" s="49" t="str">
        <f aca="false">IF($T57="","",IF(LEN(INDEX(Checks!$G$5:$G$748,$T57-4))&gt;25,LEFT(INDEX(Checks!$G$5:$G$748,$T57-4),24)&amp;"…",INDEX(Checks!$G$5:$G$748,$T57-4)&amp;""))</f>
        <v/>
      </c>
      <c r="G57" s="49"/>
      <c r="H57" s="49" t="str">
        <f aca="false">IF($T57="","",IF(LEN(INDEX(Checks!$J$5:$J$748,$T57-4))&gt;100,LEFT(INDEX(Checks!$J$5:$J$748,$T57-4),99)&amp;"…",INDEX(Checks!$J$5:$J$748,$T57-4)&amp;""))</f>
        <v/>
      </c>
      <c r="I57" s="49"/>
      <c r="J57" s="49"/>
      <c r="K57" s="49"/>
      <c r="L57" s="49"/>
      <c r="M57" s="49"/>
      <c r="N57" s="50" t="str">
        <f aca="false">IF($T57="","",IF(ISNUMBER(INDEX(Checks!$R$5:$R$748,$T57-4)),TEXT(INDEX(Checks!$R$5:$R$748,$T57-4),"dd-mmm hh:mm"),"")&amp;" "&amp;INDEX(Checks!$P$5:$P$748,$T57-4))</f>
        <v/>
      </c>
      <c r="O57" s="50"/>
      <c r="P57" s="49" t="str">
        <f aca="false">IF($T57="","",IF(LEN(INDEX(Checks!$T$5:$T$748,$T57-4))&gt;27,LEFT(INDEX(Checks!$T$5:$T$748,$T57-4),26)&amp;"…",INDEX(Checks!$T$5:$T$748,$T57-4)&amp;""))</f>
        <v/>
      </c>
      <c r="Q57" s="49"/>
      <c r="R57" s="49" t="str">
        <f aca="false">IF($T57="","",IF(LEN(INDEX(Checks!$AH$5:$AH$748,$T57-4))&gt;53,LEFT(INDEX(Checks!$AH$5:$AH$748,$T57-4),52)&amp;"…",INDEX(Checks!$AH$5:$AH$748,$T57-4)&amp;""))</f>
        <v/>
      </c>
      <c r="T57" s="45" t="str">
        <f aca="false">IFERROR(MATCH(4,Checks!$AO$5:$AO$748,0)+4,"")</f>
        <v/>
      </c>
    </row>
    <row r="58" customFormat="false" ht="27.75" hidden="false" customHeight="true" outlineLevel="0" collapsed="false">
      <c r="B58" s="46" t="str">
        <f aca="false">IF($T58="","",5)</f>
        <v/>
      </c>
      <c r="C58" s="29" t="str">
        <f aca="false">IF($T58="","",IF(LEN(INDEX(Checks!$A$5:$A$748,$T58-4))&gt;28,LEFT(INDEX(Checks!$A$5:$A$748,$T58-4),27)&amp;"…",INDEX(Checks!$A$5:$A$748,$T58-4)&amp;""))</f>
        <v/>
      </c>
      <c r="D58" s="29"/>
      <c r="E58" s="47" t="str">
        <f aca="false">IF($T58="","",IF(LEN(INDEX(Checks!$C$5:$C$748,$T58-4))&gt;14,LEFT(INDEX(Checks!$C$5:$C$748,$T58-4),13)&amp;"…",INDEX(Checks!$C$5:$C$748,$T58-4)&amp;""))</f>
        <v/>
      </c>
      <c r="F58" s="29" t="str">
        <f aca="false">IF($T58="","",IF(LEN(INDEX(Checks!$G$5:$G$748,$T58-4))&gt;25,LEFT(INDEX(Checks!$G$5:$G$748,$T58-4),24)&amp;"…",INDEX(Checks!$G$5:$G$748,$T58-4)&amp;""))</f>
        <v/>
      </c>
      <c r="G58" s="29"/>
      <c r="H58" s="29" t="str">
        <f aca="false">IF($T58="","",IF(LEN(INDEX(Checks!$J$5:$J$748,$T58-4))&gt;100,LEFT(INDEX(Checks!$J$5:$J$748,$T58-4),99)&amp;"…",INDEX(Checks!$J$5:$J$748,$T58-4)&amp;""))</f>
        <v/>
      </c>
      <c r="I58" s="29"/>
      <c r="J58" s="29"/>
      <c r="K58" s="29"/>
      <c r="L58" s="29"/>
      <c r="M58" s="29"/>
      <c r="N58" s="47" t="str">
        <f aca="false">IF($T58="","",IF(ISNUMBER(INDEX(Checks!$R$5:$R$748,$T58-4)),TEXT(INDEX(Checks!$R$5:$R$748,$T58-4),"dd-mmm hh:mm"),"")&amp;" "&amp;INDEX(Checks!$P$5:$P$748,$T58-4))</f>
        <v/>
      </c>
      <c r="O58" s="47"/>
      <c r="P58" s="29" t="str">
        <f aca="false">IF($T58="","",IF(LEN(INDEX(Checks!$T$5:$T$748,$T58-4))&gt;27,LEFT(INDEX(Checks!$T$5:$T$748,$T58-4),26)&amp;"…",INDEX(Checks!$T$5:$T$748,$T58-4)&amp;""))</f>
        <v/>
      </c>
      <c r="Q58" s="29"/>
      <c r="R58" s="29" t="str">
        <f aca="false">IF($T58="","",IF(LEN(INDEX(Checks!$AH$5:$AH$748,$T58-4))&gt;53,LEFT(INDEX(Checks!$AH$5:$AH$748,$T58-4),52)&amp;"…",INDEX(Checks!$AH$5:$AH$748,$T58-4)&amp;""))</f>
        <v/>
      </c>
      <c r="T58" s="45" t="str">
        <f aca="false">IFERROR(MATCH(5,Checks!$AO$5:$AO$748,0)+4,"")</f>
        <v/>
      </c>
    </row>
    <row r="59" customFormat="false" ht="27.75" hidden="false" customHeight="true" outlineLevel="0" collapsed="false">
      <c r="B59" s="48" t="str">
        <f aca="false">IF($T59="","",6)</f>
        <v/>
      </c>
      <c r="C59" s="49" t="str">
        <f aca="false">IF($T59="","",IF(LEN(INDEX(Checks!$A$5:$A$748,$T59-4))&gt;28,LEFT(INDEX(Checks!$A$5:$A$748,$T59-4),27)&amp;"…",INDEX(Checks!$A$5:$A$748,$T59-4)&amp;""))</f>
        <v/>
      </c>
      <c r="D59" s="49"/>
      <c r="E59" s="50" t="str">
        <f aca="false">IF($T59="","",IF(LEN(INDEX(Checks!$C$5:$C$748,$T59-4))&gt;14,LEFT(INDEX(Checks!$C$5:$C$748,$T59-4),13)&amp;"…",INDEX(Checks!$C$5:$C$748,$T59-4)&amp;""))</f>
        <v/>
      </c>
      <c r="F59" s="49" t="str">
        <f aca="false">IF($T59="","",IF(LEN(INDEX(Checks!$G$5:$G$748,$T59-4))&gt;25,LEFT(INDEX(Checks!$G$5:$G$748,$T59-4),24)&amp;"…",INDEX(Checks!$G$5:$G$748,$T59-4)&amp;""))</f>
        <v/>
      </c>
      <c r="G59" s="49"/>
      <c r="H59" s="49" t="str">
        <f aca="false">IF($T59="","",IF(LEN(INDEX(Checks!$J$5:$J$748,$T59-4))&gt;100,LEFT(INDEX(Checks!$J$5:$J$748,$T59-4),99)&amp;"…",INDEX(Checks!$J$5:$J$748,$T59-4)&amp;""))</f>
        <v/>
      </c>
      <c r="I59" s="49"/>
      <c r="J59" s="49"/>
      <c r="K59" s="49"/>
      <c r="L59" s="49"/>
      <c r="M59" s="49"/>
      <c r="N59" s="50" t="str">
        <f aca="false">IF($T59="","",IF(ISNUMBER(INDEX(Checks!$R$5:$R$748,$T59-4)),TEXT(INDEX(Checks!$R$5:$R$748,$T59-4),"dd-mmm hh:mm"),"")&amp;" "&amp;INDEX(Checks!$P$5:$P$748,$T59-4))</f>
        <v/>
      </c>
      <c r="O59" s="50"/>
      <c r="P59" s="49" t="str">
        <f aca="false">IF($T59="","",IF(LEN(INDEX(Checks!$T$5:$T$748,$T59-4))&gt;27,LEFT(INDEX(Checks!$T$5:$T$748,$T59-4),26)&amp;"…",INDEX(Checks!$T$5:$T$748,$T59-4)&amp;""))</f>
        <v/>
      </c>
      <c r="Q59" s="49"/>
      <c r="R59" s="49" t="str">
        <f aca="false">IF($T59="","",IF(LEN(INDEX(Checks!$AH$5:$AH$748,$T59-4))&gt;53,LEFT(INDEX(Checks!$AH$5:$AH$748,$T59-4),52)&amp;"…",INDEX(Checks!$AH$5:$AH$748,$T59-4)&amp;""))</f>
        <v/>
      </c>
      <c r="T59" s="45" t="str">
        <f aca="false">IFERROR(MATCH(6,Checks!$AO$5:$AO$748,0)+4,"")</f>
        <v/>
      </c>
    </row>
    <row r="60" customFormat="false" ht="27.75" hidden="false" customHeight="true" outlineLevel="0" collapsed="false">
      <c r="B60" s="46" t="str">
        <f aca="false">IF($T60="","",7)</f>
        <v/>
      </c>
      <c r="C60" s="29" t="str">
        <f aca="false">IF($T60="","",IF(LEN(INDEX(Checks!$A$5:$A$748,$T60-4))&gt;28,LEFT(INDEX(Checks!$A$5:$A$748,$T60-4),27)&amp;"…",INDEX(Checks!$A$5:$A$748,$T60-4)&amp;""))</f>
        <v/>
      </c>
      <c r="D60" s="29"/>
      <c r="E60" s="47" t="str">
        <f aca="false">IF($T60="","",IF(LEN(INDEX(Checks!$C$5:$C$748,$T60-4))&gt;14,LEFT(INDEX(Checks!$C$5:$C$748,$T60-4),13)&amp;"…",INDEX(Checks!$C$5:$C$748,$T60-4)&amp;""))</f>
        <v/>
      </c>
      <c r="F60" s="29" t="str">
        <f aca="false">IF($T60="","",IF(LEN(INDEX(Checks!$G$5:$G$748,$T60-4))&gt;25,LEFT(INDEX(Checks!$G$5:$G$748,$T60-4),24)&amp;"…",INDEX(Checks!$G$5:$G$748,$T60-4)&amp;""))</f>
        <v/>
      </c>
      <c r="G60" s="29"/>
      <c r="H60" s="29" t="str">
        <f aca="false">IF($T60="","",IF(LEN(INDEX(Checks!$J$5:$J$748,$T60-4))&gt;100,LEFT(INDEX(Checks!$J$5:$J$748,$T60-4),99)&amp;"…",INDEX(Checks!$J$5:$J$748,$T60-4)&amp;""))</f>
        <v/>
      </c>
      <c r="I60" s="29"/>
      <c r="J60" s="29"/>
      <c r="K60" s="29"/>
      <c r="L60" s="29"/>
      <c r="M60" s="29"/>
      <c r="N60" s="47" t="str">
        <f aca="false">IF($T60="","",IF(ISNUMBER(INDEX(Checks!$R$5:$R$748,$T60-4)),TEXT(INDEX(Checks!$R$5:$R$748,$T60-4),"dd-mmm hh:mm"),"")&amp;" "&amp;INDEX(Checks!$P$5:$P$748,$T60-4))</f>
        <v/>
      </c>
      <c r="O60" s="47"/>
      <c r="P60" s="29" t="str">
        <f aca="false">IF($T60="","",IF(LEN(INDEX(Checks!$T$5:$T$748,$T60-4))&gt;27,LEFT(INDEX(Checks!$T$5:$T$748,$T60-4),26)&amp;"…",INDEX(Checks!$T$5:$T$748,$T60-4)&amp;""))</f>
        <v/>
      </c>
      <c r="Q60" s="29"/>
      <c r="R60" s="29" t="str">
        <f aca="false">IF($T60="","",IF(LEN(INDEX(Checks!$AH$5:$AH$748,$T60-4))&gt;53,LEFT(INDEX(Checks!$AH$5:$AH$748,$T60-4),52)&amp;"…",INDEX(Checks!$AH$5:$AH$748,$T60-4)&amp;""))</f>
        <v/>
      </c>
      <c r="T60" s="45" t="str">
        <f aca="false">IFERROR(MATCH(7,Checks!$AO$5:$AO$748,0)+4,"")</f>
        <v/>
      </c>
    </row>
    <row r="61" customFormat="false" ht="27.75" hidden="false" customHeight="true" outlineLevel="0" collapsed="false">
      <c r="B61" s="48" t="str">
        <f aca="false">IF($T61="","",8)</f>
        <v/>
      </c>
      <c r="C61" s="49" t="str">
        <f aca="false">IF($T61="","",IF(LEN(INDEX(Checks!$A$5:$A$748,$T61-4))&gt;28,LEFT(INDEX(Checks!$A$5:$A$748,$T61-4),27)&amp;"…",INDEX(Checks!$A$5:$A$748,$T61-4)&amp;""))</f>
        <v/>
      </c>
      <c r="D61" s="49"/>
      <c r="E61" s="50" t="str">
        <f aca="false">IF($T61="","",IF(LEN(INDEX(Checks!$C$5:$C$748,$T61-4))&gt;14,LEFT(INDEX(Checks!$C$5:$C$748,$T61-4),13)&amp;"…",INDEX(Checks!$C$5:$C$748,$T61-4)&amp;""))</f>
        <v/>
      </c>
      <c r="F61" s="49" t="str">
        <f aca="false">IF($T61="","",IF(LEN(INDEX(Checks!$G$5:$G$748,$T61-4))&gt;25,LEFT(INDEX(Checks!$G$5:$G$748,$T61-4),24)&amp;"…",INDEX(Checks!$G$5:$G$748,$T61-4)&amp;""))</f>
        <v/>
      </c>
      <c r="G61" s="49"/>
      <c r="H61" s="49" t="str">
        <f aca="false">IF($T61="","",IF(LEN(INDEX(Checks!$J$5:$J$748,$T61-4))&gt;100,LEFT(INDEX(Checks!$J$5:$J$748,$T61-4),99)&amp;"…",INDEX(Checks!$J$5:$J$748,$T61-4)&amp;""))</f>
        <v/>
      </c>
      <c r="I61" s="49"/>
      <c r="J61" s="49"/>
      <c r="K61" s="49"/>
      <c r="L61" s="49"/>
      <c r="M61" s="49"/>
      <c r="N61" s="50" t="str">
        <f aca="false">IF($T61="","",IF(ISNUMBER(INDEX(Checks!$R$5:$R$748,$T61-4)),TEXT(INDEX(Checks!$R$5:$R$748,$T61-4),"dd-mmm hh:mm"),"")&amp;" "&amp;INDEX(Checks!$P$5:$P$748,$T61-4))</f>
        <v/>
      </c>
      <c r="O61" s="50"/>
      <c r="P61" s="49" t="str">
        <f aca="false">IF($T61="","",IF(LEN(INDEX(Checks!$T$5:$T$748,$T61-4))&gt;27,LEFT(INDEX(Checks!$T$5:$T$748,$T61-4),26)&amp;"…",INDEX(Checks!$T$5:$T$748,$T61-4)&amp;""))</f>
        <v/>
      </c>
      <c r="Q61" s="49"/>
      <c r="R61" s="49" t="str">
        <f aca="false">IF($T61="","",IF(LEN(INDEX(Checks!$AH$5:$AH$748,$T61-4))&gt;53,LEFT(INDEX(Checks!$AH$5:$AH$748,$T61-4),52)&amp;"…",INDEX(Checks!$AH$5:$AH$748,$T61-4)&amp;""))</f>
        <v/>
      </c>
      <c r="T61" s="45" t="str">
        <f aca="false">IFERROR(MATCH(8,Checks!$AO$5:$AO$748,0)+4,"")</f>
        <v/>
      </c>
    </row>
    <row r="62" customFormat="false" ht="27.75" hidden="false" customHeight="true" outlineLevel="0" collapsed="false">
      <c r="B62" s="46" t="str">
        <f aca="false">IF($T62="","",9)</f>
        <v/>
      </c>
      <c r="C62" s="29" t="str">
        <f aca="false">IF($T62="","",IF(LEN(INDEX(Checks!$A$5:$A$748,$T62-4))&gt;28,LEFT(INDEX(Checks!$A$5:$A$748,$T62-4),27)&amp;"…",INDEX(Checks!$A$5:$A$748,$T62-4)&amp;""))</f>
        <v/>
      </c>
      <c r="D62" s="29"/>
      <c r="E62" s="47" t="str">
        <f aca="false">IF($T62="","",IF(LEN(INDEX(Checks!$C$5:$C$748,$T62-4))&gt;14,LEFT(INDEX(Checks!$C$5:$C$748,$T62-4),13)&amp;"…",INDEX(Checks!$C$5:$C$748,$T62-4)&amp;""))</f>
        <v/>
      </c>
      <c r="F62" s="29" t="str">
        <f aca="false">IF($T62="","",IF(LEN(INDEX(Checks!$G$5:$G$748,$T62-4))&gt;25,LEFT(INDEX(Checks!$G$5:$G$748,$T62-4),24)&amp;"…",INDEX(Checks!$G$5:$G$748,$T62-4)&amp;""))</f>
        <v/>
      </c>
      <c r="G62" s="29"/>
      <c r="H62" s="29" t="str">
        <f aca="false">IF($T62="","",IF(LEN(INDEX(Checks!$J$5:$J$748,$T62-4))&gt;100,LEFT(INDEX(Checks!$J$5:$J$748,$T62-4),99)&amp;"…",INDEX(Checks!$J$5:$J$748,$T62-4)&amp;""))</f>
        <v/>
      </c>
      <c r="I62" s="29"/>
      <c r="J62" s="29"/>
      <c r="K62" s="29"/>
      <c r="L62" s="29"/>
      <c r="M62" s="29"/>
      <c r="N62" s="47" t="str">
        <f aca="false">IF($T62="","",IF(ISNUMBER(INDEX(Checks!$R$5:$R$748,$T62-4)),TEXT(INDEX(Checks!$R$5:$R$748,$T62-4),"dd-mmm hh:mm"),"")&amp;" "&amp;INDEX(Checks!$P$5:$P$748,$T62-4))</f>
        <v/>
      </c>
      <c r="O62" s="47"/>
      <c r="P62" s="29" t="str">
        <f aca="false">IF($T62="","",IF(LEN(INDEX(Checks!$T$5:$T$748,$T62-4))&gt;27,LEFT(INDEX(Checks!$T$5:$T$748,$T62-4),26)&amp;"…",INDEX(Checks!$T$5:$T$748,$T62-4)&amp;""))</f>
        <v/>
      </c>
      <c r="Q62" s="29"/>
      <c r="R62" s="29" t="str">
        <f aca="false">IF($T62="","",IF(LEN(INDEX(Checks!$AH$5:$AH$748,$T62-4))&gt;53,LEFT(INDEX(Checks!$AH$5:$AH$748,$T62-4),52)&amp;"…",INDEX(Checks!$AH$5:$AH$748,$T62-4)&amp;""))</f>
        <v/>
      </c>
      <c r="T62" s="45" t="str">
        <f aca="false">IFERROR(MATCH(9,Checks!$AO$5:$AO$748,0)+4,"")</f>
        <v/>
      </c>
    </row>
    <row r="63" customFormat="false" ht="27.75" hidden="false" customHeight="true" outlineLevel="0" collapsed="false">
      <c r="B63" s="48" t="str">
        <f aca="false">IF($T63="","",10)</f>
        <v/>
      </c>
      <c r="C63" s="49" t="str">
        <f aca="false">IF($T63="","",IF(LEN(INDEX(Checks!$A$5:$A$748,$T63-4))&gt;28,LEFT(INDEX(Checks!$A$5:$A$748,$T63-4),27)&amp;"…",INDEX(Checks!$A$5:$A$748,$T63-4)&amp;""))</f>
        <v/>
      </c>
      <c r="D63" s="49"/>
      <c r="E63" s="50" t="str">
        <f aca="false">IF($T63="","",IF(LEN(INDEX(Checks!$C$5:$C$748,$T63-4))&gt;14,LEFT(INDEX(Checks!$C$5:$C$748,$T63-4),13)&amp;"…",INDEX(Checks!$C$5:$C$748,$T63-4)&amp;""))</f>
        <v/>
      </c>
      <c r="F63" s="49" t="str">
        <f aca="false">IF($T63="","",IF(LEN(INDEX(Checks!$G$5:$G$748,$T63-4))&gt;25,LEFT(INDEX(Checks!$G$5:$G$748,$T63-4),24)&amp;"…",INDEX(Checks!$G$5:$G$748,$T63-4)&amp;""))</f>
        <v/>
      </c>
      <c r="G63" s="49"/>
      <c r="H63" s="49" t="str">
        <f aca="false">IF($T63="","",IF(LEN(INDEX(Checks!$J$5:$J$748,$T63-4))&gt;100,LEFT(INDEX(Checks!$J$5:$J$748,$T63-4),99)&amp;"…",INDEX(Checks!$J$5:$J$748,$T63-4)&amp;""))</f>
        <v/>
      </c>
      <c r="I63" s="49"/>
      <c r="J63" s="49"/>
      <c r="K63" s="49"/>
      <c r="L63" s="49"/>
      <c r="M63" s="49"/>
      <c r="N63" s="50" t="str">
        <f aca="false">IF($T63="","",IF(ISNUMBER(INDEX(Checks!$R$5:$R$748,$T63-4)),TEXT(INDEX(Checks!$R$5:$R$748,$T63-4),"dd-mmm hh:mm"),"")&amp;" "&amp;INDEX(Checks!$P$5:$P$748,$T63-4))</f>
        <v/>
      </c>
      <c r="O63" s="50"/>
      <c r="P63" s="49" t="str">
        <f aca="false">IF($T63="","",IF(LEN(INDEX(Checks!$T$5:$T$748,$T63-4))&gt;27,LEFT(INDEX(Checks!$T$5:$T$748,$T63-4),26)&amp;"…",INDEX(Checks!$T$5:$T$748,$T63-4)&amp;""))</f>
        <v/>
      </c>
      <c r="Q63" s="49"/>
      <c r="R63" s="49" t="str">
        <f aca="false">IF($T63="","",IF(LEN(INDEX(Checks!$AH$5:$AH$748,$T63-4))&gt;53,LEFT(INDEX(Checks!$AH$5:$AH$748,$T63-4),52)&amp;"…",INDEX(Checks!$AH$5:$AH$748,$T63-4)&amp;""))</f>
        <v/>
      </c>
      <c r="T63" s="45" t="str">
        <f aca="false">IFERROR(MATCH(10,Checks!$AO$5:$AO$748,0)+4,"")</f>
        <v/>
      </c>
    </row>
    <row r="64" customFormat="false" ht="27.75" hidden="false" customHeight="true" outlineLevel="0" collapsed="false">
      <c r="B64" s="46" t="str">
        <f aca="false">IF($T64="","",11)</f>
        <v/>
      </c>
      <c r="C64" s="29" t="str">
        <f aca="false">IF($T64="","",IF(LEN(INDEX(Checks!$A$5:$A$748,$T64-4))&gt;28,LEFT(INDEX(Checks!$A$5:$A$748,$T64-4),27)&amp;"…",INDEX(Checks!$A$5:$A$748,$T64-4)&amp;""))</f>
        <v/>
      </c>
      <c r="D64" s="29"/>
      <c r="E64" s="47" t="str">
        <f aca="false">IF($T64="","",IF(LEN(INDEX(Checks!$C$5:$C$748,$T64-4))&gt;14,LEFT(INDEX(Checks!$C$5:$C$748,$T64-4),13)&amp;"…",INDEX(Checks!$C$5:$C$748,$T64-4)&amp;""))</f>
        <v/>
      </c>
      <c r="F64" s="29" t="str">
        <f aca="false">IF($T64="","",IF(LEN(INDEX(Checks!$G$5:$G$748,$T64-4))&gt;25,LEFT(INDEX(Checks!$G$5:$G$748,$T64-4),24)&amp;"…",INDEX(Checks!$G$5:$G$748,$T64-4)&amp;""))</f>
        <v/>
      </c>
      <c r="G64" s="29"/>
      <c r="H64" s="29" t="str">
        <f aca="false">IF($T64="","",IF(LEN(INDEX(Checks!$J$5:$J$748,$T64-4))&gt;100,LEFT(INDEX(Checks!$J$5:$J$748,$T64-4),99)&amp;"…",INDEX(Checks!$J$5:$J$748,$T64-4)&amp;""))</f>
        <v/>
      </c>
      <c r="I64" s="29"/>
      <c r="J64" s="29"/>
      <c r="K64" s="29"/>
      <c r="L64" s="29"/>
      <c r="M64" s="29"/>
      <c r="N64" s="47" t="str">
        <f aca="false">IF($T64="","",IF(ISNUMBER(INDEX(Checks!$R$5:$R$748,$T64-4)),TEXT(INDEX(Checks!$R$5:$R$748,$T64-4),"dd-mmm hh:mm"),"")&amp;" "&amp;INDEX(Checks!$P$5:$P$748,$T64-4))</f>
        <v/>
      </c>
      <c r="O64" s="47"/>
      <c r="P64" s="29" t="str">
        <f aca="false">IF($T64="","",IF(LEN(INDEX(Checks!$T$5:$T$748,$T64-4))&gt;27,LEFT(INDEX(Checks!$T$5:$T$748,$T64-4),26)&amp;"…",INDEX(Checks!$T$5:$T$748,$T64-4)&amp;""))</f>
        <v/>
      </c>
      <c r="Q64" s="29"/>
      <c r="R64" s="29" t="str">
        <f aca="false">IF($T64="","",IF(LEN(INDEX(Checks!$AH$5:$AH$748,$T64-4))&gt;53,LEFT(INDEX(Checks!$AH$5:$AH$748,$T64-4),52)&amp;"…",INDEX(Checks!$AH$5:$AH$748,$T64-4)&amp;""))</f>
        <v/>
      </c>
      <c r="T64" s="45" t="str">
        <f aca="false">IFERROR(MATCH(11,Checks!$AO$5:$AO$748,0)+4,"")</f>
        <v/>
      </c>
    </row>
    <row r="65" customFormat="false" ht="27.75" hidden="false" customHeight="true" outlineLevel="0" collapsed="false">
      <c r="B65" s="48" t="str">
        <f aca="false">IF($T65="","",12)</f>
        <v/>
      </c>
      <c r="C65" s="49" t="str">
        <f aca="false">IF($T65="","",IF(LEN(INDEX(Checks!$A$5:$A$748,$T65-4))&gt;28,LEFT(INDEX(Checks!$A$5:$A$748,$T65-4),27)&amp;"…",INDEX(Checks!$A$5:$A$748,$T65-4)&amp;""))</f>
        <v/>
      </c>
      <c r="D65" s="49"/>
      <c r="E65" s="50" t="str">
        <f aca="false">IF($T65="","",IF(LEN(INDEX(Checks!$C$5:$C$748,$T65-4))&gt;14,LEFT(INDEX(Checks!$C$5:$C$748,$T65-4),13)&amp;"…",INDEX(Checks!$C$5:$C$748,$T65-4)&amp;""))</f>
        <v/>
      </c>
      <c r="F65" s="49" t="str">
        <f aca="false">IF($T65="","",IF(LEN(INDEX(Checks!$G$5:$G$748,$T65-4))&gt;25,LEFT(INDEX(Checks!$G$5:$G$748,$T65-4),24)&amp;"…",INDEX(Checks!$G$5:$G$748,$T65-4)&amp;""))</f>
        <v/>
      </c>
      <c r="G65" s="49"/>
      <c r="H65" s="49" t="str">
        <f aca="false">IF($T65="","",IF(LEN(INDEX(Checks!$J$5:$J$748,$T65-4))&gt;100,LEFT(INDEX(Checks!$J$5:$J$748,$T65-4),99)&amp;"…",INDEX(Checks!$J$5:$J$748,$T65-4)&amp;""))</f>
        <v/>
      </c>
      <c r="I65" s="49"/>
      <c r="J65" s="49"/>
      <c r="K65" s="49"/>
      <c r="L65" s="49"/>
      <c r="M65" s="49"/>
      <c r="N65" s="50" t="str">
        <f aca="false">IF($T65="","",IF(ISNUMBER(INDEX(Checks!$R$5:$R$748,$T65-4)),TEXT(INDEX(Checks!$R$5:$R$748,$T65-4),"dd-mmm hh:mm"),"")&amp;" "&amp;INDEX(Checks!$P$5:$P$748,$T65-4))</f>
        <v/>
      </c>
      <c r="O65" s="50"/>
      <c r="P65" s="49" t="str">
        <f aca="false">IF($T65="","",IF(LEN(INDEX(Checks!$T$5:$T$748,$T65-4))&gt;27,LEFT(INDEX(Checks!$T$5:$T$748,$T65-4),26)&amp;"…",INDEX(Checks!$T$5:$T$748,$T65-4)&amp;""))</f>
        <v/>
      </c>
      <c r="Q65" s="49"/>
      <c r="R65" s="49" t="str">
        <f aca="false">IF($T65="","",IF(LEN(INDEX(Checks!$AH$5:$AH$748,$T65-4))&gt;53,LEFT(INDEX(Checks!$AH$5:$AH$748,$T65-4),52)&amp;"…",INDEX(Checks!$AH$5:$AH$748,$T65-4)&amp;""))</f>
        <v/>
      </c>
      <c r="T65" s="45" t="str">
        <f aca="false">IFERROR(MATCH(12,Checks!$AO$5:$AO$748,0)+4,"")</f>
        <v/>
      </c>
    </row>
    <row r="66" customFormat="false" ht="27.75" hidden="false" customHeight="true" outlineLevel="0" collapsed="false">
      <c r="B66" s="46" t="str">
        <f aca="false">IF($T66="","",13)</f>
        <v/>
      </c>
      <c r="C66" s="29" t="str">
        <f aca="false">IF($T66="","",IF(LEN(INDEX(Checks!$A$5:$A$748,$T66-4))&gt;28,LEFT(INDEX(Checks!$A$5:$A$748,$T66-4),27)&amp;"…",INDEX(Checks!$A$5:$A$748,$T66-4)&amp;""))</f>
        <v/>
      </c>
      <c r="D66" s="29"/>
      <c r="E66" s="47" t="str">
        <f aca="false">IF($T66="","",IF(LEN(INDEX(Checks!$C$5:$C$748,$T66-4))&gt;14,LEFT(INDEX(Checks!$C$5:$C$748,$T66-4),13)&amp;"…",INDEX(Checks!$C$5:$C$748,$T66-4)&amp;""))</f>
        <v/>
      </c>
      <c r="F66" s="29" t="str">
        <f aca="false">IF($T66="","",IF(LEN(INDEX(Checks!$G$5:$G$748,$T66-4))&gt;25,LEFT(INDEX(Checks!$G$5:$G$748,$T66-4),24)&amp;"…",INDEX(Checks!$G$5:$G$748,$T66-4)&amp;""))</f>
        <v/>
      </c>
      <c r="G66" s="29"/>
      <c r="H66" s="29" t="str">
        <f aca="false">IF($T66="","",IF(LEN(INDEX(Checks!$J$5:$J$748,$T66-4))&gt;100,LEFT(INDEX(Checks!$J$5:$J$748,$T66-4),99)&amp;"…",INDEX(Checks!$J$5:$J$748,$T66-4)&amp;""))</f>
        <v/>
      </c>
      <c r="I66" s="29"/>
      <c r="J66" s="29"/>
      <c r="K66" s="29"/>
      <c r="L66" s="29"/>
      <c r="M66" s="29"/>
      <c r="N66" s="47" t="str">
        <f aca="false">IF($T66="","",IF(ISNUMBER(INDEX(Checks!$R$5:$R$748,$T66-4)),TEXT(INDEX(Checks!$R$5:$R$748,$T66-4),"dd-mmm hh:mm"),"")&amp;" "&amp;INDEX(Checks!$P$5:$P$748,$T66-4))</f>
        <v/>
      </c>
      <c r="O66" s="47"/>
      <c r="P66" s="29" t="str">
        <f aca="false">IF($T66="","",IF(LEN(INDEX(Checks!$T$5:$T$748,$T66-4))&gt;27,LEFT(INDEX(Checks!$T$5:$T$748,$T66-4),26)&amp;"…",INDEX(Checks!$T$5:$T$748,$T66-4)&amp;""))</f>
        <v/>
      </c>
      <c r="Q66" s="29"/>
      <c r="R66" s="29" t="str">
        <f aca="false">IF($T66="","",IF(LEN(INDEX(Checks!$AH$5:$AH$748,$T66-4))&gt;53,LEFT(INDEX(Checks!$AH$5:$AH$748,$T66-4),52)&amp;"…",INDEX(Checks!$AH$5:$AH$748,$T66-4)&amp;""))</f>
        <v/>
      </c>
      <c r="T66" s="45" t="str">
        <f aca="false">IFERROR(MATCH(13,Checks!$AO$5:$AO$748,0)+4,"")</f>
        <v/>
      </c>
    </row>
    <row r="67" customFormat="false" ht="27.75" hidden="false" customHeight="true" outlineLevel="0" collapsed="false">
      <c r="B67" s="48" t="str">
        <f aca="false">IF($T67="","",14)</f>
        <v/>
      </c>
      <c r="C67" s="49" t="str">
        <f aca="false">IF($T67="","",IF(LEN(INDEX(Checks!$A$5:$A$748,$T67-4))&gt;28,LEFT(INDEX(Checks!$A$5:$A$748,$T67-4),27)&amp;"…",INDEX(Checks!$A$5:$A$748,$T67-4)&amp;""))</f>
        <v/>
      </c>
      <c r="D67" s="49"/>
      <c r="E67" s="50" t="str">
        <f aca="false">IF($T67="","",IF(LEN(INDEX(Checks!$C$5:$C$748,$T67-4))&gt;14,LEFT(INDEX(Checks!$C$5:$C$748,$T67-4),13)&amp;"…",INDEX(Checks!$C$5:$C$748,$T67-4)&amp;""))</f>
        <v/>
      </c>
      <c r="F67" s="49" t="str">
        <f aca="false">IF($T67="","",IF(LEN(INDEX(Checks!$G$5:$G$748,$T67-4))&gt;25,LEFT(INDEX(Checks!$G$5:$G$748,$T67-4),24)&amp;"…",INDEX(Checks!$G$5:$G$748,$T67-4)&amp;""))</f>
        <v/>
      </c>
      <c r="G67" s="49"/>
      <c r="H67" s="49" t="str">
        <f aca="false">IF($T67="","",IF(LEN(INDEX(Checks!$J$5:$J$748,$T67-4))&gt;100,LEFT(INDEX(Checks!$J$5:$J$748,$T67-4),99)&amp;"…",INDEX(Checks!$J$5:$J$748,$T67-4)&amp;""))</f>
        <v/>
      </c>
      <c r="I67" s="49"/>
      <c r="J67" s="49"/>
      <c r="K67" s="49"/>
      <c r="L67" s="49"/>
      <c r="M67" s="49"/>
      <c r="N67" s="50" t="str">
        <f aca="false">IF($T67="","",IF(ISNUMBER(INDEX(Checks!$R$5:$R$748,$T67-4)),TEXT(INDEX(Checks!$R$5:$R$748,$T67-4),"dd-mmm hh:mm"),"")&amp;" "&amp;INDEX(Checks!$P$5:$P$748,$T67-4))</f>
        <v/>
      </c>
      <c r="O67" s="50"/>
      <c r="P67" s="49" t="str">
        <f aca="false">IF($T67="","",IF(LEN(INDEX(Checks!$T$5:$T$748,$T67-4))&gt;27,LEFT(INDEX(Checks!$T$5:$T$748,$T67-4),26)&amp;"…",INDEX(Checks!$T$5:$T$748,$T67-4)&amp;""))</f>
        <v/>
      </c>
      <c r="Q67" s="49"/>
      <c r="R67" s="49" t="str">
        <f aca="false">IF($T67="","",IF(LEN(INDEX(Checks!$AH$5:$AH$748,$T67-4))&gt;53,LEFT(INDEX(Checks!$AH$5:$AH$748,$T67-4),52)&amp;"…",INDEX(Checks!$AH$5:$AH$748,$T67-4)&amp;""))</f>
        <v/>
      </c>
      <c r="T67" s="45" t="str">
        <f aca="false">IFERROR(MATCH(14,Checks!$AO$5:$AO$748,0)+4,"")</f>
        <v/>
      </c>
    </row>
    <row r="68" customFormat="false" ht="27.75" hidden="false" customHeight="true" outlineLevel="0" collapsed="false">
      <c r="B68" s="46" t="str">
        <f aca="false">IF($T68="","",15)</f>
        <v/>
      </c>
      <c r="C68" s="29" t="str">
        <f aca="false">IF($T68="","",IF(LEN(INDEX(Checks!$A$5:$A$748,$T68-4))&gt;28,LEFT(INDEX(Checks!$A$5:$A$748,$T68-4),27)&amp;"…",INDEX(Checks!$A$5:$A$748,$T68-4)&amp;""))</f>
        <v/>
      </c>
      <c r="D68" s="29"/>
      <c r="E68" s="47" t="str">
        <f aca="false">IF($T68="","",IF(LEN(INDEX(Checks!$C$5:$C$748,$T68-4))&gt;14,LEFT(INDEX(Checks!$C$5:$C$748,$T68-4),13)&amp;"…",INDEX(Checks!$C$5:$C$748,$T68-4)&amp;""))</f>
        <v/>
      </c>
      <c r="F68" s="29" t="str">
        <f aca="false">IF($T68="","",IF(LEN(INDEX(Checks!$G$5:$G$748,$T68-4))&gt;25,LEFT(INDEX(Checks!$G$5:$G$748,$T68-4),24)&amp;"…",INDEX(Checks!$G$5:$G$748,$T68-4)&amp;""))</f>
        <v/>
      </c>
      <c r="G68" s="29"/>
      <c r="H68" s="29" t="str">
        <f aca="false">IF($T68="","",IF(LEN(INDEX(Checks!$J$5:$J$748,$T68-4))&gt;100,LEFT(INDEX(Checks!$J$5:$J$748,$T68-4),99)&amp;"…",INDEX(Checks!$J$5:$J$748,$T68-4)&amp;""))</f>
        <v/>
      </c>
      <c r="I68" s="29"/>
      <c r="J68" s="29"/>
      <c r="K68" s="29"/>
      <c r="L68" s="29"/>
      <c r="M68" s="29"/>
      <c r="N68" s="47" t="str">
        <f aca="false">IF($T68="","",IF(ISNUMBER(INDEX(Checks!$R$5:$R$748,$T68-4)),TEXT(INDEX(Checks!$R$5:$R$748,$T68-4),"dd-mmm hh:mm"),"")&amp;" "&amp;INDEX(Checks!$P$5:$P$748,$T68-4))</f>
        <v/>
      </c>
      <c r="O68" s="47"/>
      <c r="P68" s="29" t="str">
        <f aca="false">IF($T68="","",IF(LEN(INDEX(Checks!$T$5:$T$748,$T68-4))&gt;27,LEFT(INDEX(Checks!$T$5:$T$748,$T68-4),26)&amp;"…",INDEX(Checks!$T$5:$T$748,$T68-4)&amp;""))</f>
        <v/>
      </c>
      <c r="Q68" s="29"/>
      <c r="R68" s="29" t="str">
        <f aca="false">IF($T68="","",IF(LEN(INDEX(Checks!$AH$5:$AH$748,$T68-4))&gt;53,LEFT(INDEX(Checks!$AH$5:$AH$748,$T68-4),52)&amp;"…",INDEX(Checks!$AH$5:$AH$748,$T68-4)&amp;""))</f>
        <v/>
      </c>
      <c r="T68" s="45" t="str">
        <f aca="false">IFERROR(MATCH(15,Checks!$AO$5:$AO$748,0)+4,"")</f>
        <v/>
      </c>
    </row>
    <row r="69" customFormat="false" ht="27.75" hidden="false" customHeight="true" outlineLevel="0" collapsed="false">
      <c r="B69" s="48" t="str">
        <f aca="false">IF($T69="","",16)</f>
        <v/>
      </c>
      <c r="C69" s="49" t="str">
        <f aca="false">IF($T69="","",IF(LEN(INDEX(Checks!$A$5:$A$748,$T69-4))&gt;28,LEFT(INDEX(Checks!$A$5:$A$748,$T69-4),27)&amp;"…",INDEX(Checks!$A$5:$A$748,$T69-4)&amp;""))</f>
        <v/>
      </c>
      <c r="D69" s="49"/>
      <c r="E69" s="50" t="str">
        <f aca="false">IF($T69="","",IF(LEN(INDEX(Checks!$C$5:$C$748,$T69-4))&gt;14,LEFT(INDEX(Checks!$C$5:$C$748,$T69-4),13)&amp;"…",INDEX(Checks!$C$5:$C$748,$T69-4)&amp;""))</f>
        <v/>
      </c>
      <c r="F69" s="49" t="str">
        <f aca="false">IF($T69="","",IF(LEN(INDEX(Checks!$G$5:$G$748,$T69-4))&gt;25,LEFT(INDEX(Checks!$G$5:$G$748,$T69-4),24)&amp;"…",INDEX(Checks!$G$5:$G$748,$T69-4)&amp;""))</f>
        <v/>
      </c>
      <c r="G69" s="49"/>
      <c r="H69" s="49" t="str">
        <f aca="false">IF($T69="","",IF(LEN(INDEX(Checks!$J$5:$J$748,$T69-4))&gt;100,LEFT(INDEX(Checks!$J$5:$J$748,$T69-4),99)&amp;"…",INDEX(Checks!$J$5:$J$748,$T69-4)&amp;""))</f>
        <v/>
      </c>
      <c r="I69" s="49"/>
      <c r="J69" s="49"/>
      <c r="K69" s="49"/>
      <c r="L69" s="49"/>
      <c r="M69" s="49"/>
      <c r="N69" s="50" t="str">
        <f aca="false">IF($T69="","",IF(ISNUMBER(INDEX(Checks!$R$5:$R$748,$T69-4)),TEXT(INDEX(Checks!$R$5:$R$748,$T69-4),"dd-mmm hh:mm"),"")&amp;" "&amp;INDEX(Checks!$P$5:$P$748,$T69-4))</f>
        <v/>
      </c>
      <c r="O69" s="50"/>
      <c r="P69" s="49" t="str">
        <f aca="false">IF($T69="","",IF(LEN(INDEX(Checks!$T$5:$T$748,$T69-4))&gt;27,LEFT(INDEX(Checks!$T$5:$T$748,$T69-4),26)&amp;"…",INDEX(Checks!$T$5:$T$748,$T69-4)&amp;""))</f>
        <v/>
      </c>
      <c r="Q69" s="49"/>
      <c r="R69" s="49" t="str">
        <f aca="false">IF($T69="","",IF(LEN(INDEX(Checks!$AH$5:$AH$748,$T69-4))&gt;53,LEFT(INDEX(Checks!$AH$5:$AH$748,$T69-4),52)&amp;"…",INDEX(Checks!$AH$5:$AH$748,$T69-4)&amp;""))</f>
        <v/>
      </c>
      <c r="T69" s="45" t="str">
        <f aca="false">IFERROR(MATCH(16,Checks!$AO$5:$AO$748,0)+4,"")</f>
        <v/>
      </c>
    </row>
    <row r="70" customFormat="false" ht="27.75" hidden="false" customHeight="true" outlineLevel="0" collapsed="false">
      <c r="B70" s="46" t="str">
        <f aca="false">IF($T70="","",17)</f>
        <v/>
      </c>
      <c r="C70" s="29" t="str">
        <f aca="false">IF($T70="","",IF(LEN(INDEX(Checks!$A$5:$A$748,$T70-4))&gt;28,LEFT(INDEX(Checks!$A$5:$A$748,$T70-4),27)&amp;"…",INDEX(Checks!$A$5:$A$748,$T70-4)&amp;""))</f>
        <v/>
      </c>
      <c r="D70" s="29"/>
      <c r="E70" s="47" t="str">
        <f aca="false">IF($T70="","",IF(LEN(INDEX(Checks!$C$5:$C$748,$T70-4))&gt;14,LEFT(INDEX(Checks!$C$5:$C$748,$T70-4),13)&amp;"…",INDEX(Checks!$C$5:$C$748,$T70-4)&amp;""))</f>
        <v/>
      </c>
      <c r="F70" s="29" t="str">
        <f aca="false">IF($T70="","",IF(LEN(INDEX(Checks!$G$5:$G$748,$T70-4))&gt;25,LEFT(INDEX(Checks!$G$5:$G$748,$T70-4),24)&amp;"…",INDEX(Checks!$G$5:$G$748,$T70-4)&amp;""))</f>
        <v/>
      </c>
      <c r="G70" s="29"/>
      <c r="H70" s="29" t="str">
        <f aca="false">IF($T70="","",IF(LEN(INDEX(Checks!$J$5:$J$748,$T70-4))&gt;100,LEFT(INDEX(Checks!$J$5:$J$748,$T70-4),99)&amp;"…",INDEX(Checks!$J$5:$J$748,$T70-4)&amp;""))</f>
        <v/>
      </c>
      <c r="I70" s="29"/>
      <c r="J70" s="29"/>
      <c r="K70" s="29"/>
      <c r="L70" s="29"/>
      <c r="M70" s="29"/>
      <c r="N70" s="47" t="str">
        <f aca="false">IF($T70="","",IF(ISNUMBER(INDEX(Checks!$R$5:$R$748,$T70-4)),TEXT(INDEX(Checks!$R$5:$R$748,$T70-4),"dd-mmm hh:mm"),"")&amp;" "&amp;INDEX(Checks!$P$5:$P$748,$T70-4))</f>
        <v/>
      </c>
      <c r="O70" s="47"/>
      <c r="P70" s="29" t="str">
        <f aca="false">IF($T70="","",IF(LEN(INDEX(Checks!$T$5:$T$748,$T70-4))&gt;27,LEFT(INDEX(Checks!$T$5:$T$748,$T70-4),26)&amp;"…",INDEX(Checks!$T$5:$T$748,$T70-4)&amp;""))</f>
        <v/>
      </c>
      <c r="Q70" s="29"/>
      <c r="R70" s="29" t="str">
        <f aca="false">IF($T70="","",IF(LEN(INDEX(Checks!$AH$5:$AH$748,$T70-4))&gt;53,LEFT(INDEX(Checks!$AH$5:$AH$748,$T70-4),52)&amp;"…",INDEX(Checks!$AH$5:$AH$748,$T70-4)&amp;""))</f>
        <v/>
      </c>
      <c r="T70" s="45" t="str">
        <f aca="false">IFERROR(MATCH(17,Checks!$AO$5:$AO$748,0)+4,"")</f>
        <v/>
      </c>
    </row>
    <row r="71" customFormat="false" ht="27.75" hidden="false" customHeight="true" outlineLevel="0" collapsed="false">
      <c r="B71" s="48" t="str">
        <f aca="false">IF($T71="","",18)</f>
        <v/>
      </c>
      <c r="C71" s="49" t="str">
        <f aca="false">IF($T71="","",IF(LEN(INDEX(Checks!$A$5:$A$748,$T71-4))&gt;28,LEFT(INDEX(Checks!$A$5:$A$748,$T71-4),27)&amp;"…",INDEX(Checks!$A$5:$A$748,$T71-4)&amp;""))</f>
        <v/>
      </c>
      <c r="D71" s="49"/>
      <c r="E71" s="50" t="str">
        <f aca="false">IF($T71="","",IF(LEN(INDEX(Checks!$C$5:$C$748,$T71-4))&gt;14,LEFT(INDEX(Checks!$C$5:$C$748,$T71-4),13)&amp;"…",INDEX(Checks!$C$5:$C$748,$T71-4)&amp;""))</f>
        <v/>
      </c>
      <c r="F71" s="49" t="str">
        <f aca="false">IF($T71="","",IF(LEN(INDEX(Checks!$G$5:$G$748,$T71-4))&gt;25,LEFT(INDEX(Checks!$G$5:$G$748,$T71-4),24)&amp;"…",INDEX(Checks!$G$5:$G$748,$T71-4)&amp;""))</f>
        <v/>
      </c>
      <c r="G71" s="49"/>
      <c r="H71" s="49" t="str">
        <f aca="false">IF($T71="","",IF(LEN(INDEX(Checks!$J$5:$J$748,$T71-4))&gt;100,LEFT(INDEX(Checks!$J$5:$J$748,$T71-4),99)&amp;"…",INDEX(Checks!$J$5:$J$748,$T71-4)&amp;""))</f>
        <v/>
      </c>
      <c r="I71" s="49"/>
      <c r="J71" s="49"/>
      <c r="K71" s="49"/>
      <c r="L71" s="49"/>
      <c r="M71" s="49"/>
      <c r="N71" s="50" t="str">
        <f aca="false">IF($T71="","",IF(ISNUMBER(INDEX(Checks!$R$5:$R$748,$T71-4)),TEXT(INDEX(Checks!$R$5:$R$748,$T71-4),"dd-mmm hh:mm"),"")&amp;" "&amp;INDEX(Checks!$P$5:$P$748,$T71-4))</f>
        <v/>
      </c>
      <c r="O71" s="50"/>
      <c r="P71" s="49" t="str">
        <f aca="false">IF($T71="","",IF(LEN(INDEX(Checks!$T$5:$T$748,$T71-4))&gt;27,LEFT(INDEX(Checks!$T$5:$T$748,$T71-4),26)&amp;"…",INDEX(Checks!$T$5:$T$748,$T71-4)&amp;""))</f>
        <v/>
      </c>
      <c r="Q71" s="49"/>
      <c r="R71" s="49" t="str">
        <f aca="false">IF($T71="","",IF(LEN(INDEX(Checks!$AH$5:$AH$748,$T71-4))&gt;53,LEFT(INDEX(Checks!$AH$5:$AH$748,$T71-4),52)&amp;"…",INDEX(Checks!$AH$5:$AH$748,$T71-4)&amp;""))</f>
        <v/>
      </c>
      <c r="T71" s="45" t="str">
        <f aca="false">IFERROR(MATCH(18,Checks!$AO$5:$AO$748,0)+4,"")</f>
        <v/>
      </c>
    </row>
    <row r="72" customFormat="false" ht="15.75" hidden="false" customHeight="true" outlineLevel="0" collapsed="false">
      <c r="B72" s="51" t="str">
        <f aca="false">IF(SUM(Checks!$AK$5:$AK$748)=0,"No overdue actions at the as-of time.",IF(SUM(Checks!$AK$5:$AK$748)&gt;18,"+"&amp;(SUM(Checks!$AK$5:$AK$748)-18)&amp;" more overdue actions not shown – see Checks sheet (filter on column AO).",""))</f>
        <v>No overdue actions at the as-of time.</v>
      </c>
      <c r="C72" s="51"/>
      <c r="D72" s="51"/>
      <c r="E72" s="51"/>
      <c r="F72" s="51"/>
      <c r="G72" s="51"/>
      <c r="H72" s="51"/>
      <c r="I72" s="51"/>
      <c r="J72" s="51"/>
      <c r="K72" s="51"/>
      <c r="L72" s="51"/>
      <c r="M72" s="51"/>
      <c r="N72" s="51"/>
      <c r="O72" s="51"/>
      <c r="P72" s="51"/>
      <c r="Q72" s="51"/>
      <c r="R72" s="51"/>
    </row>
    <row r="74" customFormat="false" ht="21.75" hidden="false" customHeight="true" outlineLevel="0" collapsed="false">
      <c r="B74" s="14" t="s">
        <v>128</v>
      </c>
      <c r="C74" s="14"/>
      <c r="D74" s="14"/>
      <c r="E74" s="14"/>
      <c r="F74" s="14"/>
      <c r="G74" s="14"/>
      <c r="H74" s="14"/>
      <c r="I74" s="14"/>
      <c r="J74" s="14"/>
      <c r="K74" s="14"/>
      <c r="L74" s="30" t="str">
        <f aca="false">"Showing "&amp;MIN(18,SUM(Checks!$AL$5:$AL$748))&amp;" of "&amp;SUM(Checks!$AL$5:$AL$748)&amp;"  •  as of "&amp;TEXT(AsOfUTC+8/24,"dd-mmm-yy hh:mm")&amp;" MYT"</f>
        <v>Showing 0 of 0  •  as of 29-Sep-26 20:53 MYT</v>
      </c>
      <c r="M74" s="30"/>
      <c r="N74" s="30"/>
      <c r="O74" s="30"/>
      <c r="P74" s="30"/>
      <c r="Q74" s="30"/>
      <c r="R74" s="30"/>
    </row>
    <row r="75" customFormat="false" ht="27.75" hidden="false" customHeight="true" outlineLevel="0" collapsed="false">
      <c r="B75" s="19" t="s">
        <v>121</v>
      </c>
      <c r="C75" s="19" t="s">
        <v>122</v>
      </c>
      <c r="D75" s="19"/>
      <c r="E75" s="19" t="s">
        <v>107</v>
      </c>
      <c r="F75" s="19" t="s">
        <v>73</v>
      </c>
      <c r="G75" s="19"/>
      <c r="H75" s="19" t="s">
        <v>123</v>
      </c>
      <c r="I75" s="19"/>
      <c r="J75" s="19"/>
      <c r="K75" s="19"/>
      <c r="L75" s="19" t="s">
        <v>129</v>
      </c>
      <c r="M75" s="19" t="s">
        <v>130</v>
      </c>
      <c r="N75" s="19" t="s">
        <v>131</v>
      </c>
      <c r="O75" s="19" t="s">
        <v>132</v>
      </c>
      <c r="P75" s="19" t="s">
        <v>133</v>
      </c>
      <c r="Q75" s="19" t="s">
        <v>134</v>
      </c>
      <c r="R75" s="19"/>
      <c r="T75" s="45" t="s">
        <v>127</v>
      </c>
    </row>
    <row r="76" customFormat="false" ht="27.75" hidden="false" customHeight="true" outlineLevel="0" collapsed="false">
      <c r="B76" s="46" t="str">
        <f aca="false">IF($T76="","",1)</f>
        <v/>
      </c>
      <c r="C76" s="29" t="str">
        <f aca="false">IF($T76="","",IF(LEN(INDEX(Checks!$A$5:$A$748,$T76-4))&gt;28,LEFT(INDEX(Checks!$A$5:$A$748,$T76-4),27)&amp;"…",INDEX(Checks!$A$5:$A$748,$T76-4)&amp;""))</f>
        <v/>
      </c>
      <c r="D76" s="29"/>
      <c r="E76" s="47" t="str">
        <f aca="false">IF($T76="","",IF(LEN(INDEX(Checks!$C$5:$C$748,$T76-4))&gt;14,LEFT(INDEX(Checks!$C$5:$C$748,$T76-4),13)&amp;"…",INDEX(Checks!$C$5:$C$748,$T76-4)&amp;""))</f>
        <v/>
      </c>
      <c r="F76" s="29" t="str">
        <f aca="false">IF($T76="","",IF(LEN(INDEX(Checks!$G$5:$G$748,$T76-4))&gt;25,LEFT(INDEX(Checks!$G$5:$G$748,$T76-4),24)&amp;"…",INDEX(Checks!$G$5:$G$748,$T76-4)&amp;""))</f>
        <v/>
      </c>
      <c r="G76" s="29"/>
      <c r="H76" s="29" t="str">
        <f aca="false">IF($T76="","",IF(LEN(INDEX(Checks!$J$5:$J$748,$T76-4))&gt;68,LEFT(INDEX(Checks!$J$5:$J$748,$T76-4),67)&amp;"…",INDEX(Checks!$J$5:$J$748,$T76-4)&amp;""))</f>
        <v/>
      </c>
      <c r="I76" s="29"/>
      <c r="J76" s="29"/>
      <c r="K76" s="29"/>
      <c r="L76" s="47" t="str">
        <f aca="false">IF($T76="","",IF(LEN(INDEX(Checks!$U$5:$U$748,$T76-4))&gt;12,LEFT(INDEX(Checks!$U$5:$U$748,$T76-4),11)&amp;"…",INDEX(Checks!$U$5:$U$748,$T76-4)&amp;""))</f>
        <v/>
      </c>
      <c r="M76" s="52" t="str">
        <f aca="false">IF($T76="","",IF(INDEX(Checks!$X$5:$X$748,$T76-4)="","",INDEX(Checks!$X$5:$X$748,$T76-4)))</f>
        <v/>
      </c>
      <c r="N76" s="52" t="str">
        <f aca="false">IF($T76="","",IF(INDEX(Checks!$Y$5:$Y$748,$T76-4)="","",INDEX(Checks!$Y$5:$Y$748,$T76-4)))</f>
        <v/>
      </c>
      <c r="O76" s="52" t="str">
        <f aca="false">IF($T76="","",IF(INDEX(Checks!$AF$5:$AF$748,$T76-4)="","",INDEX(Checks!$AF$5:$AF$748,$T76-4)))</f>
        <v/>
      </c>
      <c r="P76" s="47" t="str">
        <f aca="false">IF($T76="","",IF(LEN(INDEX(Checks!$AB$5:$AB$748,$T76-4))&gt;12,LEFT(INDEX(Checks!$AB$5:$AB$748,$T76-4),11)&amp;"…",INDEX(Checks!$AB$5:$AB$748,$T76-4)&amp;""))</f>
        <v/>
      </c>
      <c r="Q76" s="29" t="str">
        <f aca="false">IF($T76="","",IF(LEN(INDEX(Checks!$AA$5:$AA$748,$T76-4))&gt;68,LEFT(INDEX(Checks!$AA$5:$AA$748,$T76-4),67)&amp;"…",INDEX(Checks!$AA$5:$AA$748,$T76-4)&amp;""))</f>
        <v/>
      </c>
      <c r="R76" s="29"/>
      <c r="T76" s="45" t="str">
        <f aca="false">IFERROR(MATCH(1,Checks!$AP$5:$AP$748,0)+4,"")</f>
        <v/>
      </c>
    </row>
    <row r="77" customFormat="false" ht="27.75" hidden="false" customHeight="true" outlineLevel="0" collapsed="false">
      <c r="B77" s="48" t="str">
        <f aca="false">IF($T77="","",2)</f>
        <v/>
      </c>
      <c r="C77" s="49" t="str">
        <f aca="false">IF($T77="","",IF(LEN(INDEX(Checks!$A$5:$A$748,$T77-4))&gt;28,LEFT(INDEX(Checks!$A$5:$A$748,$T77-4),27)&amp;"…",INDEX(Checks!$A$5:$A$748,$T77-4)&amp;""))</f>
        <v/>
      </c>
      <c r="D77" s="49"/>
      <c r="E77" s="50" t="str">
        <f aca="false">IF($T77="","",IF(LEN(INDEX(Checks!$C$5:$C$748,$T77-4))&gt;14,LEFT(INDEX(Checks!$C$5:$C$748,$T77-4),13)&amp;"…",INDEX(Checks!$C$5:$C$748,$T77-4)&amp;""))</f>
        <v/>
      </c>
      <c r="F77" s="49" t="str">
        <f aca="false">IF($T77="","",IF(LEN(INDEX(Checks!$G$5:$G$748,$T77-4))&gt;25,LEFT(INDEX(Checks!$G$5:$G$748,$T77-4),24)&amp;"…",INDEX(Checks!$G$5:$G$748,$T77-4)&amp;""))</f>
        <v/>
      </c>
      <c r="G77" s="49"/>
      <c r="H77" s="49" t="str">
        <f aca="false">IF($T77="","",IF(LEN(INDEX(Checks!$J$5:$J$748,$T77-4))&gt;68,LEFT(INDEX(Checks!$J$5:$J$748,$T77-4),67)&amp;"…",INDEX(Checks!$J$5:$J$748,$T77-4)&amp;""))</f>
        <v/>
      </c>
      <c r="I77" s="49"/>
      <c r="J77" s="49"/>
      <c r="K77" s="49"/>
      <c r="L77" s="50" t="str">
        <f aca="false">IF($T77="","",IF(LEN(INDEX(Checks!$U$5:$U$748,$T77-4))&gt;12,LEFT(INDEX(Checks!$U$5:$U$748,$T77-4),11)&amp;"…",INDEX(Checks!$U$5:$U$748,$T77-4)&amp;""))</f>
        <v/>
      </c>
      <c r="M77" s="53" t="str">
        <f aca="false">IF($T77="","",IF(INDEX(Checks!$X$5:$X$748,$T77-4)="","",INDEX(Checks!$X$5:$X$748,$T77-4)))</f>
        <v/>
      </c>
      <c r="N77" s="53" t="str">
        <f aca="false">IF($T77="","",IF(INDEX(Checks!$Y$5:$Y$748,$T77-4)="","",INDEX(Checks!$Y$5:$Y$748,$T77-4)))</f>
        <v/>
      </c>
      <c r="O77" s="53" t="str">
        <f aca="false">IF($T77="","",IF(INDEX(Checks!$AF$5:$AF$748,$T77-4)="","",INDEX(Checks!$AF$5:$AF$748,$T77-4)))</f>
        <v/>
      </c>
      <c r="P77" s="50" t="str">
        <f aca="false">IF($T77="","",IF(LEN(INDEX(Checks!$AB$5:$AB$748,$T77-4))&gt;12,LEFT(INDEX(Checks!$AB$5:$AB$748,$T77-4),11)&amp;"…",INDEX(Checks!$AB$5:$AB$748,$T77-4)&amp;""))</f>
        <v/>
      </c>
      <c r="Q77" s="49" t="str">
        <f aca="false">IF($T77="","",IF(LEN(INDEX(Checks!$AA$5:$AA$748,$T77-4))&gt;68,LEFT(INDEX(Checks!$AA$5:$AA$748,$T77-4),67)&amp;"…",INDEX(Checks!$AA$5:$AA$748,$T77-4)&amp;""))</f>
        <v/>
      </c>
      <c r="R77" s="49"/>
      <c r="T77" s="45" t="str">
        <f aca="false">IFERROR(MATCH(2,Checks!$AP$5:$AP$748,0)+4,"")</f>
        <v/>
      </c>
    </row>
    <row r="78" customFormat="false" ht="27.75" hidden="false" customHeight="true" outlineLevel="0" collapsed="false">
      <c r="B78" s="46" t="str">
        <f aca="false">IF($T78="","",3)</f>
        <v/>
      </c>
      <c r="C78" s="29" t="str">
        <f aca="false">IF($T78="","",IF(LEN(INDEX(Checks!$A$5:$A$748,$T78-4))&gt;28,LEFT(INDEX(Checks!$A$5:$A$748,$T78-4),27)&amp;"…",INDEX(Checks!$A$5:$A$748,$T78-4)&amp;""))</f>
        <v/>
      </c>
      <c r="D78" s="29"/>
      <c r="E78" s="47" t="str">
        <f aca="false">IF($T78="","",IF(LEN(INDEX(Checks!$C$5:$C$748,$T78-4))&gt;14,LEFT(INDEX(Checks!$C$5:$C$748,$T78-4),13)&amp;"…",INDEX(Checks!$C$5:$C$748,$T78-4)&amp;""))</f>
        <v/>
      </c>
      <c r="F78" s="29" t="str">
        <f aca="false">IF($T78="","",IF(LEN(INDEX(Checks!$G$5:$G$748,$T78-4))&gt;25,LEFT(INDEX(Checks!$G$5:$G$748,$T78-4),24)&amp;"…",INDEX(Checks!$G$5:$G$748,$T78-4)&amp;""))</f>
        <v/>
      </c>
      <c r="G78" s="29"/>
      <c r="H78" s="29" t="str">
        <f aca="false">IF($T78="","",IF(LEN(INDEX(Checks!$J$5:$J$748,$T78-4))&gt;68,LEFT(INDEX(Checks!$J$5:$J$748,$T78-4),67)&amp;"…",INDEX(Checks!$J$5:$J$748,$T78-4)&amp;""))</f>
        <v/>
      </c>
      <c r="I78" s="29"/>
      <c r="J78" s="29"/>
      <c r="K78" s="29"/>
      <c r="L78" s="47" t="str">
        <f aca="false">IF($T78="","",IF(LEN(INDEX(Checks!$U$5:$U$748,$T78-4))&gt;12,LEFT(INDEX(Checks!$U$5:$U$748,$T78-4),11)&amp;"…",INDEX(Checks!$U$5:$U$748,$T78-4)&amp;""))</f>
        <v/>
      </c>
      <c r="M78" s="52" t="str">
        <f aca="false">IF($T78="","",IF(INDEX(Checks!$X$5:$X$748,$T78-4)="","",INDEX(Checks!$X$5:$X$748,$T78-4)))</f>
        <v/>
      </c>
      <c r="N78" s="52" t="str">
        <f aca="false">IF($T78="","",IF(INDEX(Checks!$Y$5:$Y$748,$T78-4)="","",INDEX(Checks!$Y$5:$Y$748,$T78-4)))</f>
        <v/>
      </c>
      <c r="O78" s="52" t="str">
        <f aca="false">IF($T78="","",IF(INDEX(Checks!$AF$5:$AF$748,$T78-4)="","",INDEX(Checks!$AF$5:$AF$748,$T78-4)))</f>
        <v/>
      </c>
      <c r="P78" s="47" t="str">
        <f aca="false">IF($T78="","",IF(LEN(INDEX(Checks!$AB$5:$AB$748,$T78-4))&gt;12,LEFT(INDEX(Checks!$AB$5:$AB$748,$T78-4),11)&amp;"…",INDEX(Checks!$AB$5:$AB$748,$T78-4)&amp;""))</f>
        <v/>
      </c>
      <c r="Q78" s="29" t="str">
        <f aca="false">IF($T78="","",IF(LEN(INDEX(Checks!$AA$5:$AA$748,$T78-4))&gt;68,LEFT(INDEX(Checks!$AA$5:$AA$748,$T78-4),67)&amp;"…",INDEX(Checks!$AA$5:$AA$748,$T78-4)&amp;""))</f>
        <v/>
      </c>
      <c r="R78" s="29"/>
      <c r="T78" s="45" t="str">
        <f aca="false">IFERROR(MATCH(3,Checks!$AP$5:$AP$748,0)+4,"")</f>
        <v/>
      </c>
    </row>
    <row r="79" customFormat="false" ht="27.75" hidden="false" customHeight="true" outlineLevel="0" collapsed="false">
      <c r="B79" s="48" t="str">
        <f aca="false">IF($T79="","",4)</f>
        <v/>
      </c>
      <c r="C79" s="49" t="str">
        <f aca="false">IF($T79="","",IF(LEN(INDEX(Checks!$A$5:$A$748,$T79-4))&gt;28,LEFT(INDEX(Checks!$A$5:$A$748,$T79-4),27)&amp;"…",INDEX(Checks!$A$5:$A$748,$T79-4)&amp;""))</f>
        <v/>
      </c>
      <c r="D79" s="49"/>
      <c r="E79" s="50" t="str">
        <f aca="false">IF($T79="","",IF(LEN(INDEX(Checks!$C$5:$C$748,$T79-4))&gt;14,LEFT(INDEX(Checks!$C$5:$C$748,$T79-4),13)&amp;"…",INDEX(Checks!$C$5:$C$748,$T79-4)&amp;""))</f>
        <v/>
      </c>
      <c r="F79" s="49" t="str">
        <f aca="false">IF($T79="","",IF(LEN(INDEX(Checks!$G$5:$G$748,$T79-4))&gt;25,LEFT(INDEX(Checks!$G$5:$G$748,$T79-4),24)&amp;"…",INDEX(Checks!$G$5:$G$748,$T79-4)&amp;""))</f>
        <v/>
      </c>
      <c r="G79" s="49"/>
      <c r="H79" s="49" t="str">
        <f aca="false">IF($T79="","",IF(LEN(INDEX(Checks!$J$5:$J$748,$T79-4))&gt;68,LEFT(INDEX(Checks!$J$5:$J$748,$T79-4),67)&amp;"…",INDEX(Checks!$J$5:$J$748,$T79-4)&amp;""))</f>
        <v/>
      </c>
      <c r="I79" s="49"/>
      <c r="J79" s="49"/>
      <c r="K79" s="49"/>
      <c r="L79" s="50" t="str">
        <f aca="false">IF($T79="","",IF(LEN(INDEX(Checks!$U$5:$U$748,$T79-4))&gt;12,LEFT(INDEX(Checks!$U$5:$U$748,$T79-4),11)&amp;"…",INDEX(Checks!$U$5:$U$748,$T79-4)&amp;""))</f>
        <v/>
      </c>
      <c r="M79" s="53" t="str">
        <f aca="false">IF($T79="","",IF(INDEX(Checks!$X$5:$X$748,$T79-4)="","",INDEX(Checks!$X$5:$X$748,$T79-4)))</f>
        <v/>
      </c>
      <c r="N79" s="53" t="str">
        <f aca="false">IF($T79="","",IF(INDEX(Checks!$Y$5:$Y$748,$T79-4)="","",INDEX(Checks!$Y$5:$Y$748,$T79-4)))</f>
        <v/>
      </c>
      <c r="O79" s="53" t="str">
        <f aca="false">IF($T79="","",IF(INDEX(Checks!$AF$5:$AF$748,$T79-4)="","",INDEX(Checks!$AF$5:$AF$748,$T79-4)))</f>
        <v/>
      </c>
      <c r="P79" s="50" t="str">
        <f aca="false">IF($T79="","",IF(LEN(INDEX(Checks!$AB$5:$AB$748,$T79-4))&gt;12,LEFT(INDEX(Checks!$AB$5:$AB$748,$T79-4),11)&amp;"…",INDEX(Checks!$AB$5:$AB$748,$T79-4)&amp;""))</f>
        <v/>
      </c>
      <c r="Q79" s="49" t="str">
        <f aca="false">IF($T79="","",IF(LEN(INDEX(Checks!$AA$5:$AA$748,$T79-4))&gt;68,LEFT(INDEX(Checks!$AA$5:$AA$748,$T79-4),67)&amp;"…",INDEX(Checks!$AA$5:$AA$748,$T79-4)&amp;""))</f>
        <v/>
      </c>
      <c r="R79" s="49"/>
      <c r="T79" s="45" t="str">
        <f aca="false">IFERROR(MATCH(4,Checks!$AP$5:$AP$748,0)+4,"")</f>
        <v/>
      </c>
    </row>
    <row r="80" customFormat="false" ht="27.75" hidden="false" customHeight="true" outlineLevel="0" collapsed="false">
      <c r="B80" s="46" t="str">
        <f aca="false">IF($T80="","",5)</f>
        <v/>
      </c>
      <c r="C80" s="29" t="str">
        <f aca="false">IF($T80="","",IF(LEN(INDEX(Checks!$A$5:$A$748,$T80-4))&gt;28,LEFT(INDEX(Checks!$A$5:$A$748,$T80-4),27)&amp;"…",INDEX(Checks!$A$5:$A$748,$T80-4)&amp;""))</f>
        <v/>
      </c>
      <c r="D80" s="29"/>
      <c r="E80" s="47" t="str">
        <f aca="false">IF($T80="","",IF(LEN(INDEX(Checks!$C$5:$C$748,$T80-4))&gt;14,LEFT(INDEX(Checks!$C$5:$C$748,$T80-4),13)&amp;"…",INDEX(Checks!$C$5:$C$748,$T80-4)&amp;""))</f>
        <v/>
      </c>
      <c r="F80" s="29" t="str">
        <f aca="false">IF($T80="","",IF(LEN(INDEX(Checks!$G$5:$G$748,$T80-4))&gt;25,LEFT(INDEX(Checks!$G$5:$G$748,$T80-4),24)&amp;"…",INDEX(Checks!$G$5:$G$748,$T80-4)&amp;""))</f>
        <v/>
      </c>
      <c r="G80" s="29"/>
      <c r="H80" s="29" t="str">
        <f aca="false">IF($T80="","",IF(LEN(INDEX(Checks!$J$5:$J$748,$T80-4))&gt;68,LEFT(INDEX(Checks!$J$5:$J$748,$T80-4),67)&amp;"…",INDEX(Checks!$J$5:$J$748,$T80-4)&amp;""))</f>
        <v/>
      </c>
      <c r="I80" s="29"/>
      <c r="J80" s="29"/>
      <c r="K80" s="29"/>
      <c r="L80" s="47" t="str">
        <f aca="false">IF($T80="","",IF(LEN(INDEX(Checks!$U$5:$U$748,$T80-4))&gt;12,LEFT(INDEX(Checks!$U$5:$U$748,$T80-4),11)&amp;"…",INDEX(Checks!$U$5:$U$748,$T80-4)&amp;""))</f>
        <v/>
      </c>
      <c r="M80" s="52" t="str">
        <f aca="false">IF($T80="","",IF(INDEX(Checks!$X$5:$X$748,$T80-4)="","",INDEX(Checks!$X$5:$X$748,$T80-4)))</f>
        <v/>
      </c>
      <c r="N80" s="52" t="str">
        <f aca="false">IF($T80="","",IF(INDEX(Checks!$Y$5:$Y$748,$T80-4)="","",INDEX(Checks!$Y$5:$Y$748,$T80-4)))</f>
        <v/>
      </c>
      <c r="O80" s="52" t="str">
        <f aca="false">IF($T80="","",IF(INDEX(Checks!$AF$5:$AF$748,$T80-4)="","",INDEX(Checks!$AF$5:$AF$748,$T80-4)))</f>
        <v/>
      </c>
      <c r="P80" s="47" t="str">
        <f aca="false">IF($T80="","",IF(LEN(INDEX(Checks!$AB$5:$AB$748,$T80-4))&gt;12,LEFT(INDEX(Checks!$AB$5:$AB$748,$T80-4),11)&amp;"…",INDEX(Checks!$AB$5:$AB$748,$T80-4)&amp;""))</f>
        <v/>
      </c>
      <c r="Q80" s="29" t="str">
        <f aca="false">IF($T80="","",IF(LEN(INDEX(Checks!$AA$5:$AA$748,$T80-4))&gt;68,LEFT(INDEX(Checks!$AA$5:$AA$748,$T80-4),67)&amp;"…",INDEX(Checks!$AA$5:$AA$748,$T80-4)&amp;""))</f>
        <v/>
      </c>
      <c r="R80" s="29"/>
      <c r="T80" s="45" t="str">
        <f aca="false">IFERROR(MATCH(5,Checks!$AP$5:$AP$748,0)+4,"")</f>
        <v/>
      </c>
    </row>
    <row r="81" customFormat="false" ht="27.75" hidden="false" customHeight="true" outlineLevel="0" collapsed="false">
      <c r="B81" s="48" t="str">
        <f aca="false">IF($T81="","",6)</f>
        <v/>
      </c>
      <c r="C81" s="49" t="str">
        <f aca="false">IF($T81="","",IF(LEN(INDEX(Checks!$A$5:$A$748,$T81-4))&gt;28,LEFT(INDEX(Checks!$A$5:$A$748,$T81-4),27)&amp;"…",INDEX(Checks!$A$5:$A$748,$T81-4)&amp;""))</f>
        <v/>
      </c>
      <c r="D81" s="49"/>
      <c r="E81" s="50" t="str">
        <f aca="false">IF($T81="","",IF(LEN(INDEX(Checks!$C$5:$C$748,$T81-4))&gt;14,LEFT(INDEX(Checks!$C$5:$C$748,$T81-4),13)&amp;"…",INDEX(Checks!$C$5:$C$748,$T81-4)&amp;""))</f>
        <v/>
      </c>
      <c r="F81" s="49" t="str">
        <f aca="false">IF($T81="","",IF(LEN(INDEX(Checks!$G$5:$G$748,$T81-4))&gt;25,LEFT(INDEX(Checks!$G$5:$G$748,$T81-4),24)&amp;"…",INDEX(Checks!$G$5:$G$748,$T81-4)&amp;""))</f>
        <v/>
      </c>
      <c r="G81" s="49"/>
      <c r="H81" s="49" t="str">
        <f aca="false">IF($T81="","",IF(LEN(INDEX(Checks!$J$5:$J$748,$T81-4))&gt;68,LEFT(INDEX(Checks!$J$5:$J$748,$T81-4),67)&amp;"…",INDEX(Checks!$J$5:$J$748,$T81-4)&amp;""))</f>
        <v/>
      </c>
      <c r="I81" s="49"/>
      <c r="J81" s="49"/>
      <c r="K81" s="49"/>
      <c r="L81" s="50" t="str">
        <f aca="false">IF($T81="","",IF(LEN(INDEX(Checks!$U$5:$U$748,$T81-4))&gt;12,LEFT(INDEX(Checks!$U$5:$U$748,$T81-4),11)&amp;"…",INDEX(Checks!$U$5:$U$748,$T81-4)&amp;""))</f>
        <v/>
      </c>
      <c r="M81" s="53" t="str">
        <f aca="false">IF($T81="","",IF(INDEX(Checks!$X$5:$X$748,$T81-4)="","",INDEX(Checks!$X$5:$X$748,$T81-4)))</f>
        <v/>
      </c>
      <c r="N81" s="53" t="str">
        <f aca="false">IF($T81="","",IF(INDEX(Checks!$Y$5:$Y$748,$T81-4)="","",INDEX(Checks!$Y$5:$Y$748,$T81-4)))</f>
        <v/>
      </c>
      <c r="O81" s="53" t="str">
        <f aca="false">IF($T81="","",IF(INDEX(Checks!$AF$5:$AF$748,$T81-4)="","",INDEX(Checks!$AF$5:$AF$748,$T81-4)))</f>
        <v/>
      </c>
      <c r="P81" s="50" t="str">
        <f aca="false">IF($T81="","",IF(LEN(INDEX(Checks!$AB$5:$AB$748,$T81-4))&gt;12,LEFT(INDEX(Checks!$AB$5:$AB$748,$T81-4),11)&amp;"…",INDEX(Checks!$AB$5:$AB$748,$T81-4)&amp;""))</f>
        <v/>
      </c>
      <c r="Q81" s="49" t="str">
        <f aca="false">IF($T81="","",IF(LEN(INDEX(Checks!$AA$5:$AA$748,$T81-4))&gt;68,LEFT(INDEX(Checks!$AA$5:$AA$748,$T81-4),67)&amp;"…",INDEX(Checks!$AA$5:$AA$748,$T81-4)&amp;""))</f>
        <v/>
      </c>
      <c r="R81" s="49"/>
      <c r="T81" s="45" t="str">
        <f aca="false">IFERROR(MATCH(6,Checks!$AP$5:$AP$748,0)+4,"")</f>
        <v/>
      </c>
    </row>
    <row r="82" customFormat="false" ht="27.75" hidden="false" customHeight="true" outlineLevel="0" collapsed="false">
      <c r="B82" s="46" t="str">
        <f aca="false">IF($T82="","",7)</f>
        <v/>
      </c>
      <c r="C82" s="29" t="str">
        <f aca="false">IF($T82="","",IF(LEN(INDEX(Checks!$A$5:$A$748,$T82-4))&gt;28,LEFT(INDEX(Checks!$A$5:$A$748,$T82-4),27)&amp;"…",INDEX(Checks!$A$5:$A$748,$T82-4)&amp;""))</f>
        <v/>
      </c>
      <c r="D82" s="29"/>
      <c r="E82" s="47" t="str">
        <f aca="false">IF($T82="","",IF(LEN(INDEX(Checks!$C$5:$C$748,$T82-4))&gt;14,LEFT(INDEX(Checks!$C$5:$C$748,$T82-4),13)&amp;"…",INDEX(Checks!$C$5:$C$748,$T82-4)&amp;""))</f>
        <v/>
      </c>
      <c r="F82" s="29" t="str">
        <f aca="false">IF($T82="","",IF(LEN(INDEX(Checks!$G$5:$G$748,$T82-4))&gt;25,LEFT(INDEX(Checks!$G$5:$G$748,$T82-4),24)&amp;"…",INDEX(Checks!$G$5:$G$748,$T82-4)&amp;""))</f>
        <v/>
      </c>
      <c r="G82" s="29"/>
      <c r="H82" s="29" t="str">
        <f aca="false">IF($T82="","",IF(LEN(INDEX(Checks!$J$5:$J$748,$T82-4))&gt;68,LEFT(INDEX(Checks!$J$5:$J$748,$T82-4),67)&amp;"…",INDEX(Checks!$J$5:$J$748,$T82-4)&amp;""))</f>
        <v/>
      </c>
      <c r="I82" s="29"/>
      <c r="J82" s="29"/>
      <c r="K82" s="29"/>
      <c r="L82" s="47" t="str">
        <f aca="false">IF($T82="","",IF(LEN(INDEX(Checks!$U$5:$U$748,$T82-4))&gt;12,LEFT(INDEX(Checks!$U$5:$U$748,$T82-4),11)&amp;"…",INDEX(Checks!$U$5:$U$748,$T82-4)&amp;""))</f>
        <v/>
      </c>
      <c r="M82" s="52" t="str">
        <f aca="false">IF($T82="","",IF(INDEX(Checks!$X$5:$X$748,$T82-4)="","",INDEX(Checks!$X$5:$X$748,$T82-4)))</f>
        <v/>
      </c>
      <c r="N82" s="52" t="str">
        <f aca="false">IF($T82="","",IF(INDEX(Checks!$Y$5:$Y$748,$T82-4)="","",INDEX(Checks!$Y$5:$Y$748,$T82-4)))</f>
        <v/>
      </c>
      <c r="O82" s="52" t="str">
        <f aca="false">IF($T82="","",IF(INDEX(Checks!$AF$5:$AF$748,$T82-4)="","",INDEX(Checks!$AF$5:$AF$748,$T82-4)))</f>
        <v/>
      </c>
      <c r="P82" s="47" t="str">
        <f aca="false">IF($T82="","",IF(LEN(INDEX(Checks!$AB$5:$AB$748,$T82-4))&gt;12,LEFT(INDEX(Checks!$AB$5:$AB$748,$T82-4),11)&amp;"…",INDEX(Checks!$AB$5:$AB$748,$T82-4)&amp;""))</f>
        <v/>
      </c>
      <c r="Q82" s="29" t="str">
        <f aca="false">IF($T82="","",IF(LEN(INDEX(Checks!$AA$5:$AA$748,$T82-4))&gt;68,LEFT(INDEX(Checks!$AA$5:$AA$748,$T82-4),67)&amp;"…",INDEX(Checks!$AA$5:$AA$748,$T82-4)&amp;""))</f>
        <v/>
      </c>
      <c r="R82" s="29"/>
      <c r="T82" s="45" t="str">
        <f aca="false">IFERROR(MATCH(7,Checks!$AP$5:$AP$748,0)+4,"")</f>
        <v/>
      </c>
    </row>
    <row r="83" customFormat="false" ht="27.75" hidden="false" customHeight="true" outlineLevel="0" collapsed="false">
      <c r="B83" s="48" t="str">
        <f aca="false">IF($T83="","",8)</f>
        <v/>
      </c>
      <c r="C83" s="49" t="str">
        <f aca="false">IF($T83="","",IF(LEN(INDEX(Checks!$A$5:$A$748,$T83-4))&gt;28,LEFT(INDEX(Checks!$A$5:$A$748,$T83-4),27)&amp;"…",INDEX(Checks!$A$5:$A$748,$T83-4)&amp;""))</f>
        <v/>
      </c>
      <c r="D83" s="49"/>
      <c r="E83" s="50" t="str">
        <f aca="false">IF($T83="","",IF(LEN(INDEX(Checks!$C$5:$C$748,$T83-4))&gt;14,LEFT(INDEX(Checks!$C$5:$C$748,$T83-4),13)&amp;"…",INDEX(Checks!$C$5:$C$748,$T83-4)&amp;""))</f>
        <v/>
      </c>
      <c r="F83" s="49" t="str">
        <f aca="false">IF($T83="","",IF(LEN(INDEX(Checks!$G$5:$G$748,$T83-4))&gt;25,LEFT(INDEX(Checks!$G$5:$G$748,$T83-4),24)&amp;"…",INDEX(Checks!$G$5:$G$748,$T83-4)&amp;""))</f>
        <v/>
      </c>
      <c r="G83" s="49"/>
      <c r="H83" s="49" t="str">
        <f aca="false">IF($T83="","",IF(LEN(INDEX(Checks!$J$5:$J$748,$T83-4))&gt;68,LEFT(INDEX(Checks!$J$5:$J$748,$T83-4),67)&amp;"…",INDEX(Checks!$J$5:$J$748,$T83-4)&amp;""))</f>
        <v/>
      </c>
      <c r="I83" s="49"/>
      <c r="J83" s="49"/>
      <c r="K83" s="49"/>
      <c r="L83" s="50" t="str">
        <f aca="false">IF($T83="","",IF(LEN(INDEX(Checks!$U$5:$U$748,$T83-4))&gt;12,LEFT(INDEX(Checks!$U$5:$U$748,$T83-4),11)&amp;"…",INDEX(Checks!$U$5:$U$748,$T83-4)&amp;""))</f>
        <v/>
      </c>
      <c r="M83" s="53" t="str">
        <f aca="false">IF($T83="","",IF(INDEX(Checks!$X$5:$X$748,$T83-4)="","",INDEX(Checks!$X$5:$X$748,$T83-4)))</f>
        <v/>
      </c>
      <c r="N83" s="53" t="str">
        <f aca="false">IF($T83="","",IF(INDEX(Checks!$Y$5:$Y$748,$T83-4)="","",INDEX(Checks!$Y$5:$Y$748,$T83-4)))</f>
        <v/>
      </c>
      <c r="O83" s="53" t="str">
        <f aca="false">IF($T83="","",IF(INDEX(Checks!$AF$5:$AF$748,$T83-4)="","",INDEX(Checks!$AF$5:$AF$748,$T83-4)))</f>
        <v/>
      </c>
      <c r="P83" s="50" t="str">
        <f aca="false">IF($T83="","",IF(LEN(INDEX(Checks!$AB$5:$AB$748,$T83-4))&gt;12,LEFT(INDEX(Checks!$AB$5:$AB$748,$T83-4),11)&amp;"…",INDEX(Checks!$AB$5:$AB$748,$T83-4)&amp;""))</f>
        <v/>
      </c>
      <c r="Q83" s="49" t="str">
        <f aca="false">IF($T83="","",IF(LEN(INDEX(Checks!$AA$5:$AA$748,$T83-4))&gt;68,LEFT(INDEX(Checks!$AA$5:$AA$748,$T83-4),67)&amp;"…",INDEX(Checks!$AA$5:$AA$748,$T83-4)&amp;""))</f>
        <v/>
      </c>
      <c r="R83" s="49"/>
      <c r="T83" s="45" t="str">
        <f aca="false">IFERROR(MATCH(8,Checks!$AP$5:$AP$748,0)+4,"")</f>
        <v/>
      </c>
    </row>
    <row r="84" customFormat="false" ht="27.75" hidden="false" customHeight="true" outlineLevel="0" collapsed="false">
      <c r="B84" s="46" t="str">
        <f aca="false">IF($T84="","",9)</f>
        <v/>
      </c>
      <c r="C84" s="29" t="str">
        <f aca="false">IF($T84="","",IF(LEN(INDEX(Checks!$A$5:$A$748,$T84-4))&gt;28,LEFT(INDEX(Checks!$A$5:$A$748,$T84-4),27)&amp;"…",INDEX(Checks!$A$5:$A$748,$T84-4)&amp;""))</f>
        <v/>
      </c>
      <c r="D84" s="29"/>
      <c r="E84" s="47" t="str">
        <f aca="false">IF($T84="","",IF(LEN(INDEX(Checks!$C$5:$C$748,$T84-4))&gt;14,LEFT(INDEX(Checks!$C$5:$C$748,$T84-4),13)&amp;"…",INDEX(Checks!$C$5:$C$748,$T84-4)&amp;""))</f>
        <v/>
      </c>
      <c r="F84" s="29" t="str">
        <f aca="false">IF($T84="","",IF(LEN(INDEX(Checks!$G$5:$G$748,$T84-4))&gt;25,LEFT(INDEX(Checks!$G$5:$G$748,$T84-4),24)&amp;"…",INDEX(Checks!$G$5:$G$748,$T84-4)&amp;""))</f>
        <v/>
      </c>
      <c r="G84" s="29"/>
      <c r="H84" s="29" t="str">
        <f aca="false">IF($T84="","",IF(LEN(INDEX(Checks!$J$5:$J$748,$T84-4))&gt;68,LEFT(INDEX(Checks!$J$5:$J$748,$T84-4),67)&amp;"…",INDEX(Checks!$J$5:$J$748,$T84-4)&amp;""))</f>
        <v/>
      </c>
      <c r="I84" s="29"/>
      <c r="J84" s="29"/>
      <c r="K84" s="29"/>
      <c r="L84" s="47" t="str">
        <f aca="false">IF($T84="","",IF(LEN(INDEX(Checks!$U$5:$U$748,$T84-4))&gt;12,LEFT(INDEX(Checks!$U$5:$U$748,$T84-4),11)&amp;"…",INDEX(Checks!$U$5:$U$748,$T84-4)&amp;""))</f>
        <v/>
      </c>
      <c r="M84" s="52" t="str">
        <f aca="false">IF($T84="","",IF(INDEX(Checks!$X$5:$X$748,$T84-4)="","",INDEX(Checks!$X$5:$X$748,$T84-4)))</f>
        <v/>
      </c>
      <c r="N84" s="52" t="str">
        <f aca="false">IF($T84="","",IF(INDEX(Checks!$Y$5:$Y$748,$T84-4)="","",INDEX(Checks!$Y$5:$Y$748,$T84-4)))</f>
        <v/>
      </c>
      <c r="O84" s="52" t="str">
        <f aca="false">IF($T84="","",IF(INDEX(Checks!$AF$5:$AF$748,$T84-4)="","",INDEX(Checks!$AF$5:$AF$748,$T84-4)))</f>
        <v/>
      </c>
      <c r="P84" s="47" t="str">
        <f aca="false">IF($T84="","",IF(LEN(INDEX(Checks!$AB$5:$AB$748,$T84-4))&gt;12,LEFT(INDEX(Checks!$AB$5:$AB$748,$T84-4),11)&amp;"…",INDEX(Checks!$AB$5:$AB$748,$T84-4)&amp;""))</f>
        <v/>
      </c>
      <c r="Q84" s="29" t="str">
        <f aca="false">IF($T84="","",IF(LEN(INDEX(Checks!$AA$5:$AA$748,$T84-4))&gt;68,LEFT(INDEX(Checks!$AA$5:$AA$748,$T84-4),67)&amp;"…",INDEX(Checks!$AA$5:$AA$748,$T84-4)&amp;""))</f>
        <v/>
      </c>
      <c r="R84" s="29"/>
      <c r="T84" s="45" t="str">
        <f aca="false">IFERROR(MATCH(9,Checks!$AP$5:$AP$748,0)+4,"")</f>
        <v/>
      </c>
    </row>
    <row r="85" customFormat="false" ht="27.75" hidden="false" customHeight="true" outlineLevel="0" collapsed="false">
      <c r="B85" s="48" t="str">
        <f aca="false">IF($T85="","",10)</f>
        <v/>
      </c>
      <c r="C85" s="49" t="str">
        <f aca="false">IF($T85="","",IF(LEN(INDEX(Checks!$A$5:$A$748,$T85-4))&gt;28,LEFT(INDEX(Checks!$A$5:$A$748,$T85-4),27)&amp;"…",INDEX(Checks!$A$5:$A$748,$T85-4)&amp;""))</f>
        <v/>
      </c>
      <c r="D85" s="49"/>
      <c r="E85" s="50" t="str">
        <f aca="false">IF($T85="","",IF(LEN(INDEX(Checks!$C$5:$C$748,$T85-4))&gt;14,LEFT(INDEX(Checks!$C$5:$C$748,$T85-4),13)&amp;"…",INDEX(Checks!$C$5:$C$748,$T85-4)&amp;""))</f>
        <v/>
      </c>
      <c r="F85" s="49" t="str">
        <f aca="false">IF($T85="","",IF(LEN(INDEX(Checks!$G$5:$G$748,$T85-4))&gt;25,LEFT(INDEX(Checks!$G$5:$G$748,$T85-4),24)&amp;"…",INDEX(Checks!$G$5:$G$748,$T85-4)&amp;""))</f>
        <v/>
      </c>
      <c r="G85" s="49"/>
      <c r="H85" s="49" t="str">
        <f aca="false">IF($T85="","",IF(LEN(INDEX(Checks!$J$5:$J$748,$T85-4))&gt;68,LEFT(INDEX(Checks!$J$5:$J$748,$T85-4),67)&amp;"…",INDEX(Checks!$J$5:$J$748,$T85-4)&amp;""))</f>
        <v/>
      </c>
      <c r="I85" s="49"/>
      <c r="J85" s="49"/>
      <c r="K85" s="49"/>
      <c r="L85" s="50" t="str">
        <f aca="false">IF($T85="","",IF(LEN(INDEX(Checks!$U$5:$U$748,$T85-4))&gt;12,LEFT(INDEX(Checks!$U$5:$U$748,$T85-4),11)&amp;"…",INDEX(Checks!$U$5:$U$748,$T85-4)&amp;""))</f>
        <v/>
      </c>
      <c r="M85" s="53" t="str">
        <f aca="false">IF($T85="","",IF(INDEX(Checks!$X$5:$X$748,$T85-4)="","",INDEX(Checks!$X$5:$X$748,$T85-4)))</f>
        <v/>
      </c>
      <c r="N85" s="53" t="str">
        <f aca="false">IF($T85="","",IF(INDEX(Checks!$Y$5:$Y$748,$T85-4)="","",INDEX(Checks!$Y$5:$Y$748,$T85-4)))</f>
        <v/>
      </c>
      <c r="O85" s="53" t="str">
        <f aca="false">IF($T85="","",IF(INDEX(Checks!$AF$5:$AF$748,$T85-4)="","",INDEX(Checks!$AF$5:$AF$748,$T85-4)))</f>
        <v/>
      </c>
      <c r="P85" s="50" t="str">
        <f aca="false">IF($T85="","",IF(LEN(INDEX(Checks!$AB$5:$AB$748,$T85-4))&gt;12,LEFT(INDEX(Checks!$AB$5:$AB$748,$T85-4),11)&amp;"…",INDEX(Checks!$AB$5:$AB$748,$T85-4)&amp;""))</f>
        <v/>
      </c>
      <c r="Q85" s="49" t="str">
        <f aca="false">IF($T85="","",IF(LEN(INDEX(Checks!$AA$5:$AA$748,$T85-4))&gt;68,LEFT(INDEX(Checks!$AA$5:$AA$748,$T85-4),67)&amp;"…",INDEX(Checks!$AA$5:$AA$748,$T85-4)&amp;""))</f>
        <v/>
      </c>
      <c r="R85" s="49"/>
      <c r="T85" s="45" t="str">
        <f aca="false">IFERROR(MATCH(10,Checks!$AP$5:$AP$748,0)+4,"")</f>
        <v/>
      </c>
    </row>
    <row r="86" customFormat="false" ht="27.75" hidden="false" customHeight="true" outlineLevel="0" collapsed="false">
      <c r="B86" s="46" t="str">
        <f aca="false">IF($T86="","",11)</f>
        <v/>
      </c>
      <c r="C86" s="29" t="str">
        <f aca="false">IF($T86="","",IF(LEN(INDEX(Checks!$A$5:$A$748,$T86-4))&gt;28,LEFT(INDEX(Checks!$A$5:$A$748,$T86-4),27)&amp;"…",INDEX(Checks!$A$5:$A$748,$T86-4)&amp;""))</f>
        <v/>
      </c>
      <c r="D86" s="29"/>
      <c r="E86" s="47" t="str">
        <f aca="false">IF($T86="","",IF(LEN(INDEX(Checks!$C$5:$C$748,$T86-4))&gt;14,LEFT(INDEX(Checks!$C$5:$C$748,$T86-4),13)&amp;"…",INDEX(Checks!$C$5:$C$748,$T86-4)&amp;""))</f>
        <v/>
      </c>
      <c r="F86" s="29" t="str">
        <f aca="false">IF($T86="","",IF(LEN(INDEX(Checks!$G$5:$G$748,$T86-4))&gt;25,LEFT(INDEX(Checks!$G$5:$G$748,$T86-4),24)&amp;"…",INDEX(Checks!$G$5:$G$748,$T86-4)&amp;""))</f>
        <v/>
      </c>
      <c r="G86" s="29"/>
      <c r="H86" s="29" t="str">
        <f aca="false">IF($T86="","",IF(LEN(INDEX(Checks!$J$5:$J$748,$T86-4))&gt;68,LEFT(INDEX(Checks!$J$5:$J$748,$T86-4),67)&amp;"…",INDEX(Checks!$J$5:$J$748,$T86-4)&amp;""))</f>
        <v/>
      </c>
      <c r="I86" s="29"/>
      <c r="J86" s="29"/>
      <c r="K86" s="29"/>
      <c r="L86" s="47" t="str">
        <f aca="false">IF($T86="","",IF(LEN(INDEX(Checks!$U$5:$U$748,$T86-4))&gt;12,LEFT(INDEX(Checks!$U$5:$U$748,$T86-4),11)&amp;"…",INDEX(Checks!$U$5:$U$748,$T86-4)&amp;""))</f>
        <v/>
      </c>
      <c r="M86" s="52" t="str">
        <f aca="false">IF($T86="","",IF(INDEX(Checks!$X$5:$X$748,$T86-4)="","",INDEX(Checks!$X$5:$X$748,$T86-4)))</f>
        <v/>
      </c>
      <c r="N86" s="52" t="str">
        <f aca="false">IF($T86="","",IF(INDEX(Checks!$Y$5:$Y$748,$T86-4)="","",INDEX(Checks!$Y$5:$Y$748,$T86-4)))</f>
        <v/>
      </c>
      <c r="O86" s="52" t="str">
        <f aca="false">IF($T86="","",IF(INDEX(Checks!$AF$5:$AF$748,$T86-4)="","",INDEX(Checks!$AF$5:$AF$748,$T86-4)))</f>
        <v/>
      </c>
      <c r="P86" s="47" t="str">
        <f aca="false">IF($T86="","",IF(LEN(INDEX(Checks!$AB$5:$AB$748,$T86-4))&gt;12,LEFT(INDEX(Checks!$AB$5:$AB$748,$T86-4),11)&amp;"…",INDEX(Checks!$AB$5:$AB$748,$T86-4)&amp;""))</f>
        <v/>
      </c>
      <c r="Q86" s="29" t="str">
        <f aca="false">IF($T86="","",IF(LEN(INDEX(Checks!$AA$5:$AA$748,$T86-4))&gt;68,LEFT(INDEX(Checks!$AA$5:$AA$748,$T86-4),67)&amp;"…",INDEX(Checks!$AA$5:$AA$748,$T86-4)&amp;""))</f>
        <v/>
      </c>
      <c r="R86" s="29"/>
      <c r="T86" s="45" t="str">
        <f aca="false">IFERROR(MATCH(11,Checks!$AP$5:$AP$748,0)+4,"")</f>
        <v/>
      </c>
    </row>
    <row r="87" customFormat="false" ht="27.75" hidden="false" customHeight="true" outlineLevel="0" collapsed="false">
      <c r="B87" s="48" t="str">
        <f aca="false">IF($T87="","",12)</f>
        <v/>
      </c>
      <c r="C87" s="49" t="str">
        <f aca="false">IF($T87="","",IF(LEN(INDEX(Checks!$A$5:$A$748,$T87-4))&gt;28,LEFT(INDEX(Checks!$A$5:$A$748,$T87-4),27)&amp;"…",INDEX(Checks!$A$5:$A$748,$T87-4)&amp;""))</f>
        <v/>
      </c>
      <c r="D87" s="49"/>
      <c r="E87" s="50" t="str">
        <f aca="false">IF($T87="","",IF(LEN(INDEX(Checks!$C$5:$C$748,$T87-4))&gt;14,LEFT(INDEX(Checks!$C$5:$C$748,$T87-4),13)&amp;"…",INDEX(Checks!$C$5:$C$748,$T87-4)&amp;""))</f>
        <v/>
      </c>
      <c r="F87" s="49" t="str">
        <f aca="false">IF($T87="","",IF(LEN(INDEX(Checks!$G$5:$G$748,$T87-4))&gt;25,LEFT(INDEX(Checks!$G$5:$G$748,$T87-4),24)&amp;"…",INDEX(Checks!$G$5:$G$748,$T87-4)&amp;""))</f>
        <v/>
      </c>
      <c r="G87" s="49"/>
      <c r="H87" s="49" t="str">
        <f aca="false">IF($T87="","",IF(LEN(INDEX(Checks!$J$5:$J$748,$T87-4))&gt;68,LEFT(INDEX(Checks!$J$5:$J$748,$T87-4),67)&amp;"…",INDEX(Checks!$J$5:$J$748,$T87-4)&amp;""))</f>
        <v/>
      </c>
      <c r="I87" s="49"/>
      <c r="J87" s="49"/>
      <c r="K87" s="49"/>
      <c r="L87" s="50" t="str">
        <f aca="false">IF($T87="","",IF(LEN(INDEX(Checks!$U$5:$U$748,$T87-4))&gt;12,LEFT(INDEX(Checks!$U$5:$U$748,$T87-4),11)&amp;"…",INDEX(Checks!$U$5:$U$748,$T87-4)&amp;""))</f>
        <v/>
      </c>
      <c r="M87" s="53" t="str">
        <f aca="false">IF($T87="","",IF(INDEX(Checks!$X$5:$X$748,$T87-4)="","",INDEX(Checks!$X$5:$X$748,$T87-4)))</f>
        <v/>
      </c>
      <c r="N87" s="53" t="str">
        <f aca="false">IF($T87="","",IF(INDEX(Checks!$Y$5:$Y$748,$T87-4)="","",INDEX(Checks!$Y$5:$Y$748,$T87-4)))</f>
        <v/>
      </c>
      <c r="O87" s="53" t="str">
        <f aca="false">IF($T87="","",IF(INDEX(Checks!$AF$5:$AF$748,$T87-4)="","",INDEX(Checks!$AF$5:$AF$748,$T87-4)))</f>
        <v/>
      </c>
      <c r="P87" s="50" t="str">
        <f aca="false">IF($T87="","",IF(LEN(INDEX(Checks!$AB$5:$AB$748,$T87-4))&gt;12,LEFT(INDEX(Checks!$AB$5:$AB$748,$T87-4),11)&amp;"…",INDEX(Checks!$AB$5:$AB$748,$T87-4)&amp;""))</f>
        <v/>
      </c>
      <c r="Q87" s="49" t="str">
        <f aca="false">IF($T87="","",IF(LEN(INDEX(Checks!$AA$5:$AA$748,$T87-4))&gt;68,LEFT(INDEX(Checks!$AA$5:$AA$748,$T87-4),67)&amp;"…",INDEX(Checks!$AA$5:$AA$748,$T87-4)&amp;""))</f>
        <v/>
      </c>
      <c r="R87" s="49"/>
      <c r="T87" s="45" t="str">
        <f aca="false">IFERROR(MATCH(12,Checks!$AP$5:$AP$748,0)+4,"")</f>
        <v/>
      </c>
    </row>
    <row r="88" customFormat="false" ht="27.75" hidden="false" customHeight="true" outlineLevel="0" collapsed="false">
      <c r="B88" s="46" t="str">
        <f aca="false">IF($T88="","",13)</f>
        <v/>
      </c>
      <c r="C88" s="29" t="str">
        <f aca="false">IF($T88="","",IF(LEN(INDEX(Checks!$A$5:$A$748,$T88-4))&gt;28,LEFT(INDEX(Checks!$A$5:$A$748,$T88-4),27)&amp;"…",INDEX(Checks!$A$5:$A$748,$T88-4)&amp;""))</f>
        <v/>
      </c>
      <c r="D88" s="29"/>
      <c r="E88" s="47" t="str">
        <f aca="false">IF($T88="","",IF(LEN(INDEX(Checks!$C$5:$C$748,$T88-4))&gt;14,LEFT(INDEX(Checks!$C$5:$C$748,$T88-4),13)&amp;"…",INDEX(Checks!$C$5:$C$748,$T88-4)&amp;""))</f>
        <v/>
      </c>
      <c r="F88" s="29" t="str">
        <f aca="false">IF($T88="","",IF(LEN(INDEX(Checks!$G$5:$G$748,$T88-4))&gt;25,LEFT(INDEX(Checks!$G$5:$G$748,$T88-4),24)&amp;"…",INDEX(Checks!$G$5:$G$748,$T88-4)&amp;""))</f>
        <v/>
      </c>
      <c r="G88" s="29"/>
      <c r="H88" s="29" t="str">
        <f aca="false">IF($T88="","",IF(LEN(INDEX(Checks!$J$5:$J$748,$T88-4))&gt;68,LEFT(INDEX(Checks!$J$5:$J$748,$T88-4),67)&amp;"…",INDEX(Checks!$J$5:$J$748,$T88-4)&amp;""))</f>
        <v/>
      </c>
      <c r="I88" s="29"/>
      <c r="J88" s="29"/>
      <c r="K88" s="29"/>
      <c r="L88" s="47" t="str">
        <f aca="false">IF($T88="","",IF(LEN(INDEX(Checks!$U$5:$U$748,$T88-4))&gt;12,LEFT(INDEX(Checks!$U$5:$U$748,$T88-4),11)&amp;"…",INDEX(Checks!$U$5:$U$748,$T88-4)&amp;""))</f>
        <v/>
      </c>
      <c r="M88" s="52" t="str">
        <f aca="false">IF($T88="","",IF(INDEX(Checks!$X$5:$X$748,$T88-4)="","",INDEX(Checks!$X$5:$X$748,$T88-4)))</f>
        <v/>
      </c>
      <c r="N88" s="52" t="str">
        <f aca="false">IF($T88="","",IF(INDEX(Checks!$Y$5:$Y$748,$T88-4)="","",INDEX(Checks!$Y$5:$Y$748,$T88-4)))</f>
        <v/>
      </c>
      <c r="O88" s="52" t="str">
        <f aca="false">IF($T88="","",IF(INDEX(Checks!$AF$5:$AF$748,$T88-4)="","",INDEX(Checks!$AF$5:$AF$748,$T88-4)))</f>
        <v/>
      </c>
      <c r="P88" s="47" t="str">
        <f aca="false">IF($T88="","",IF(LEN(INDEX(Checks!$AB$5:$AB$748,$T88-4))&gt;12,LEFT(INDEX(Checks!$AB$5:$AB$748,$T88-4),11)&amp;"…",INDEX(Checks!$AB$5:$AB$748,$T88-4)&amp;""))</f>
        <v/>
      </c>
      <c r="Q88" s="29" t="str">
        <f aca="false">IF($T88="","",IF(LEN(INDEX(Checks!$AA$5:$AA$748,$T88-4))&gt;68,LEFT(INDEX(Checks!$AA$5:$AA$748,$T88-4),67)&amp;"…",INDEX(Checks!$AA$5:$AA$748,$T88-4)&amp;""))</f>
        <v/>
      </c>
      <c r="R88" s="29"/>
      <c r="T88" s="45" t="str">
        <f aca="false">IFERROR(MATCH(13,Checks!$AP$5:$AP$748,0)+4,"")</f>
        <v/>
      </c>
    </row>
    <row r="89" customFormat="false" ht="27.75" hidden="false" customHeight="true" outlineLevel="0" collapsed="false">
      <c r="B89" s="48" t="str">
        <f aca="false">IF($T89="","",14)</f>
        <v/>
      </c>
      <c r="C89" s="49" t="str">
        <f aca="false">IF($T89="","",IF(LEN(INDEX(Checks!$A$5:$A$748,$T89-4))&gt;28,LEFT(INDEX(Checks!$A$5:$A$748,$T89-4),27)&amp;"…",INDEX(Checks!$A$5:$A$748,$T89-4)&amp;""))</f>
        <v/>
      </c>
      <c r="D89" s="49"/>
      <c r="E89" s="50" t="str">
        <f aca="false">IF($T89="","",IF(LEN(INDEX(Checks!$C$5:$C$748,$T89-4))&gt;14,LEFT(INDEX(Checks!$C$5:$C$748,$T89-4),13)&amp;"…",INDEX(Checks!$C$5:$C$748,$T89-4)&amp;""))</f>
        <v/>
      </c>
      <c r="F89" s="49" t="str">
        <f aca="false">IF($T89="","",IF(LEN(INDEX(Checks!$G$5:$G$748,$T89-4))&gt;25,LEFT(INDEX(Checks!$G$5:$G$748,$T89-4),24)&amp;"…",INDEX(Checks!$G$5:$G$748,$T89-4)&amp;""))</f>
        <v/>
      </c>
      <c r="G89" s="49"/>
      <c r="H89" s="49" t="str">
        <f aca="false">IF($T89="","",IF(LEN(INDEX(Checks!$J$5:$J$748,$T89-4))&gt;68,LEFT(INDEX(Checks!$J$5:$J$748,$T89-4),67)&amp;"…",INDEX(Checks!$J$5:$J$748,$T89-4)&amp;""))</f>
        <v/>
      </c>
      <c r="I89" s="49"/>
      <c r="J89" s="49"/>
      <c r="K89" s="49"/>
      <c r="L89" s="50" t="str">
        <f aca="false">IF($T89="","",IF(LEN(INDEX(Checks!$U$5:$U$748,$T89-4))&gt;12,LEFT(INDEX(Checks!$U$5:$U$748,$T89-4),11)&amp;"…",INDEX(Checks!$U$5:$U$748,$T89-4)&amp;""))</f>
        <v/>
      </c>
      <c r="M89" s="53" t="str">
        <f aca="false">IF($T89="","",IF(INDEX(Checks!$X$5:$X$748,$T89-4)="","",INDEX(Checks!$X$5:$X$748,$T89-4)))</f>
        <v/>
      </c>
      <c r="N89" s="53" t="str">
        <f aca="false">IF($T89="","",IF(INDEX(Checks!$Y$5:$Y$748,$T89-4)="","",INDEX(Checks!$Y$5:$Y$748,$T89-4)))</f>
        <v/>
      </c>
      <c r="O89" s="53" t="str">
        <f aca="false">IF($T89="","",IF(INDEX(Checks!$AF$5:$AF$748,$T89-4)="","",INDEX(Checks!$AF$5:$AF$748,$T89-4)))</f>
        <v/>
      </c>
      <c r="P89" s="50" t="str">
        <f aca="false">IF($T89="","",IF(LEN(INDEX(Checks!$AB$5:$AB$748,$T89-4))&gt;12,LEFT(INDEX(Checks!$AB$5:$AB$748,$T89-4),11)&amp;"…",INDEX(Checks!$AB$5:$AB$748,$T89-4)&amp;""))</f>
        <v/>
      </c>
      <c r="Q89" s="49" t="str">
        <f aca="false">IF($T89="","",IF(LEN(INDEX(Checks!$AA$5:$AA$748,$T89-4))&gt;68,LEFT(INDEX(Checks!$AA$5:$AA$748,$T89-4),67)&amp;"…",INDEX(Checks!$AA$5:$AA$748,$T89-4)&amp;""))</f>
        <v/>
      </c>
      <c r="R89" s="49"/>
      <c r="T89" s="45" t="str">
        <f aca="false">IFERROR(MATCH(14,Checks!$AP$5:$AP$748,0)+4,"")</f>
        <v/>
      </c>
    </row>
    <row r="90" customFormat="false" ht="27.75" hidden="false" customHeight="true" outlineLevel="0" collapsed="false">
      <c r="B90" s="46" t="str">
        <f aca="false">IF($T90="","",15)</f>
        <v/>
      </c>
      <c r="C90" s="29" t="str">
        <f aca="false">IF($T90="","",IF(LEN(INDEX(Checks!$A$5:$A$748,$T90-4))&gt;28,LEFT(INDEX(Checks!$A$5:$A$748,$T90-4),27)&amp;"…",INDEX(Checks!$A$5:$A$748,$T90-4)&amp;""))</f>
        <v/>
      </c>
      <c r="D90" s="29"/>
      <c r="E90" s="47" t="str">
        <f aca="false">IF($T90="","",IF(LEN(INDEX(Checks!$C$5:$C$748,$T90-4))&gt;14,LEFT(INDEX(Checks!$C$5:$C$748,$T90-4),13)&amp;"…",INDEX(Checks!$C$5:$C$748,$T90-4)&amp;""))</f>
        <v/>
      </c>
      <c r="F90" s="29" t="str">
        <f aca="false">IF($T90="","",IF(LEN(INDEX(Checks!$G$5:$G$748,$T90-4))&gt;25,LEFT(INDEX(Checks!$G$5:$G$748,$T90-4),24)&amp;"…",INDEX(Checks!$G$5:$G$748,$T90-4)&amp;""))</f>
        <v/>
      </c>
      <c r="G90" s="29"/>
      <c r="H90" s="29" t="str">
        <f aca="false">IF($T90="","",IF(LEN(INDEX(Checks!$J$5:$J$748,$T90-4))&gt;68,LEFT(INDEX(Checks!$J$5:$J$748,$T90-4),67)&amp;"…",INDEX(Checks!$J$5:$J$748,$T90-4)&amp;""))</f>
        <v/>
      </c>
      <c r="I90" s="29"/>
      <c r="J90" s="29"/>
      <c r="K90" s="29"/>
      <c r="L90" s="47" t="str">
        <f aca="false">IF($T90="","",IF(LEN(INDEX(Checks!$U$5:$U$748,$T90-4))&gt;12,LEFT(INDEX(Checks!$U$5:$U$748,$T90-4),11)&amp;"…",INDEX(Checks!$U$5:$U$748,$T90-4)&amp;""))</f>
        <v/>
      </c>
      <c r="M90" s="52" t="str">
        <f aca="false">IF($T90="","",IF(INDEX(Checks!$X$5:$X$748,$T90-4)="","",INDEX(Checks!$X$5:$X$748,$T90-4)))</f>
        <v/>
      </c>
      <c r="N90" s="52" t="str">
        <f aca="false">IF($T90="","",IF(INDEX(Checks!$Y$5:$Y$748,$T90-4)="","",INDEX(Checks!$Y$5:$Y$748,$T90-4)))</f>
        <v/>
      </c>
      <c r="O90" s="52" t="str">
        <f aca="false">IF($T90="","",IF(INDEX(Checks!$AF$5:$AF$748,$T90-4)="","",INDEX(Checks!$AF$5:$AF$748,$T90-4)))</f>
        <v/>
      </c>
      <c r="P90" s="47" t="str">
        <f aca="false">IF($T90="","",IF(LEN(INDEX(Checks!$AB$5:$AB$748,$T90-4))&gt;12,LEFT(INDEX(Checks!$AB$5:$AB$748,$T90-4),11)&amp;"…",INDEX(Checks!$AB$5:$AB$748,$T90-4)&amp;""))</f>
        <v/>
      </c>
      <c r="Q90" s="29" t="str">
        <f aca="false">IF($T90="","",IF(LEN(INDEX(Checks!$AA$5:$AA$748,$T90-4))&gt;68,LEFT(INDEX(Checks!$AA$5:$AA$748,$T90-4),67)&amp;"…",INDEX(Checks!$AA$5:$AA$748,$T90-4)&amp;""))</f>
        <v/>
      </c>
      <c r="R90" s="29"/>
      <c r="T90" s="45" t="str">
        <f aca="false">IFERROR(MATCH(15,Checks!$AP$5:$AP$748,0)+4,"")</f>
        <v/>
      </c>
    </row>
    <row r="91" customFormat="false" ht="27.75" hidden="false" customHeight="true" outlineLevel="0" collapsed="false">
      <c r="B91" s="48" t="str">
        <f aca="false">IF($T91="","",16)</f>
        <v/>
      </c>
      <c r="C91" s="49" t="str">
        <f aca="false">IF($T91="","",IF(LEN(INDEX(Checks!$A$5:$A$748,$T91-4))&gt;28,LEFT(INDEX(Checks!$A$5:$A$748,$T91-4),27)&amp;"…",INDEX(Checks!$A$5:$A$748,$T91-4)&amp;""))</f>
        <v/>
      </c>
      <c r="D91" s="49"/>
      <c r="E91" s="50" t="str">
        <f aca="false">IF($T91="","",IF(LEN(INDEX(Checks!$C$5:$C$748,$T91-4))&gt;14,LEFT(INDEX(Checks!$C$5:$C$748,$T91-4),13)&amp;"…",INDEX(Checks!$C$5:$C$748,$T91-4)&amp;""))</f>
        <v/>
      </c>
      <c r="F91" s="49" t="str">
        <f aca="false">IF($T91="","",IF(LEN(INDEX(Checks!$G$5:$G$748,$T91-4))&gt;25,LEFT(INDEX(Checks!$G$5:$G$748,$T91-4),24)&amp;"…",INDEX(Checks!$G$5:$G$748,$T91-4)&amp;""))</f>
        <v/>
      </c>
      <c r="G91" s="49"/>
      <c r="H91" s="49" t="str">
        <f aca="false">IF($T91="","",IF(LEN(INDEX(Checks!$J$5:$J$748,$T91-4))&gt;68,LEFT(INDEX(Checks!$J$5:$J$748,$T91-4),67)&amp;"…",INDEX(Checks!$J$5:$J$748,$T91-4)&amp;""))</f>
        <v/>
      </c>
      <c r="I91" s="49"/>
      <c r="J91" s="49"/>
      <c r="K91" s="49"/>
      <c r="L91" s="50" t="str">
        <f aca="false">IF($T91="","",IF(LEN(INDEX(Checks!$U$5:$U$748,$T91-4))&gt;12,LEFT(INDEX(Checks!$U$5:$U$748,$T91-4),11)&amp;"…",INDEX(Checks!$U$5:$U$748,$T91-4)&amp;""))</f>
        <v/>
      </c>
      <c r="M91" s="53" t="str">
        <f aca="false">IF($T91="","",IF(INDEX(Checks!$X$5:$X$748,$T91-4)="","",INDEX(Checks!$X$5:$X$748,$T91-4)))</f>
        <v/>
      </c>
      <c r="N91" s="53" t="str">
        <f aca="false">IF($T91="","",IF(INDEX(Checks!$Y$5:$Y$748,$T91-4)="","",INDEX(Checks!$Y$5:$Y$748,$T91-4)))</f>
        <v/>
      </c>
      <c r="O91" s="53" t="str">
        <f aca="false">IF($T91="","",IF(INDEX(Checks!$AF$5:$AF$748,$T91-4)="","",INDEX(Checks!$AF$5:$AF$748,$T91-4)))</f>
        <v/>
      </c>
      <c r="P91" s="50" t="str">
        <f aca="false">IF($T91="","",IF(LEN(INDEX(Checks!$AB$5:$AB$748,$T91-4))&gt;12,LEFT(INDEX(Checks!$AB$5:$AB$748,$T91-4),11)&amp;"…",INDEX(Checks!$AB$5:$AB$748,$T91-4)&amp;""))</f>
        <v/>
      </c>
      <c r="Q91" s="49" t="str">
        <f aca="false">IF($T91="","",IF(LEN(INDEX(Checks!$AA$5:$AA$748,$T91-4))&gt;68,LEFT(INDEX(Checks!$AA$5:$AA$748,$T91-4),67)&amp;"…",INDEX(Checks!$AA$5:$AA$748,$T91-4)&amp;""))</f>
        <v/>
      </c>
      <c r="R91" s="49"/>
      <c r="T91" s="45" t="str">
        <f aca="false">IFERROR(MATCH(16,Checks!$AP$5:$AP$748,0)+4,"")</f>
        <v/>
      </c>
    </row>
    <row r="92" customFormat="false" ht="27.75" hidden="false" customHeight="true" outlineLevel="0" collapsed="false">
      <c r="B92" s="46" t="str">
        <f aca="false">IF($T92="","",17)</f>
        <v/>
      </c>
      <c r="C92" s="29" t="str">
        <f aca="false">IF($T92="","",IF(LEN(INDEX(Checks!$A$5:$A$748,$T92-4))&gt;28,LEFT(INDEX(Checks!$A$5:$A$748,$T92-4),27)&amp;"…",INDEX(Checks!$A$5:$A$748,$T92-4)&amp;""))</f>
        <v/>
      </c>
      <c r="D92" s="29"/>
      <c r="E92" s="47" t="str">
        <f aca="false">IF($T92="","",IF(LEN(INDEX(Checks!$C$5:$C$748,$T92-4))&gt;14,LEFT(INDEX(Checks!$C$5:$C$748,$T92-4),13)&amp;"…",INDEX(Checks!$C$5:$C$748,$T92-4)&amp;""))</f>
        <v/>
      </c>
      <c r="F92" s="29" t="str">
        <f aca="false">IF($T92="","",IF(LEN(INDEX(Checks!$G$5:$G$748,$T92-4))&gt;25,LEFT(INDEX(Checks!$G$5:$G$748,$T92-4),24)&amp;"…",INDEX(Checks!$G$5:$G$748,$T92-4)&amp;""))</f>
        <v/>
      </c>
      <c r="G92" s="29"/>
      <c r="H92" s="29" t="str">
        <f aca="false">IF($T92="","",IF(LEN(INDEX(Checks!$J$5:$J$748,$T92-4))&gt;68,LEFT(INDEX(Checks!$J$5:$J$748,$T92-4),67)&amp;"…",INDEX(Checks!$J$5:$J$748,$T92-4)&amp;""))</f>
        <v/>
      </c>
      <c r="I92" s="29"/>
      <c r="J92" s="29"/>
      <c r="K92" s="29"/>
      <c r="L92" s="47" t="str">
        <f aca="false">IF($T92="","",IF(LEN(INDEX(Checks!$U$5:$U$748,$T92-4))&gt;12,LEFT(INDEX(Checks!$U$5:$U$748,$T92-4),11)&amp;"…",INDEX(Checks!$U$5:$U$748,$T92-4)&amp;""))</f>
        <v/>
      </c>
      <c r="M92" s="52" t="str">
        <f aca="false">IF($T92="","",IF(INDEX(Checks!$X$5:$X$748,$T92-4)="","",INDEX(Checks!$X$5:$X$748,$T92-4)))</f>
        <v/>
      </c>
      <c r="N92" s="52" t="str">
        <f aca="false">IF($T92="","",IF(INDEX(Checks!$Y$5:$Y$748,$T92-4)="","",INDEX(Checks!$Y$5:$Y$748,$T92-4)))</f>
        <v/>
      </c>
      <c r="O92" s="52" t="str">
        <f aca="false">IF($T92="","",IF(INDEX(Checks!$AF$5:$AF$748,$T92-4)="","",INDEX(Checks!$AF$5:$AF$748,$T92-4)))</f>
        <v/>
      </c>
      <c r="P92" s="47" t="str">
        <f aca="false">IF($T92="","",IF(LEN(INDEX(Checks!$AB$5:$AB$748,$T92-4))&gt;12,LEFT(INDEX(Checks!$AB$5:$AB$748,$T92-4),11)&amp;"…",INDEX(Checks!$AB$5:$AB$748,$T92-4)&amp;""))</f>
        <v/>
      </c>
      <c r="Q92" s="29" t="str">
        <f aca="false">IF($T92="","",IF(LEN(INDEX(Checks!$AA$5:$AA$748,$T92-4))&gt;68,LEFT(INDEX(Checks!$AA$5:$AA$748,$T92-4),67)&amp;"…",INDEX(Checks!$AA$5:$AA$748,$T92-4)&amp;""))</f>
        <v/>
      </c>
      <c r="R92" s="29"/>
      <c r="T92" s="45" t="str">
        <f aca="false">IFERROR(MATCH(17,Checks!$AP$5:$AP$748,0)+4,"")</f>
        <v/>
      </c>
    </row>
    <row r="93" customFormat="false" ht="27.75" hidden="false" customHeight="true" outlineLevel="0" collapsed="false">
      <c r="B93" s="48" t="str">
        <f aca="false">IF($T93="","",18)</f>
        <v/>
      </c>
      <c r="C93" s="49" t="str">
        <f aca="false">IF($T93="","",IF(LEN(INDEX(Checks!$A$5:$A$748,$T93-4))&gt;28,LEFT(INDEX(Checks!$A$5:$A$748,$T93-4),27)&amp;"…",INDEX(Checks!$A$5:$A$748,$T93-4)&amp;""))</f>
        <v/>
      </c>
      <c r="D93" s="49"/>
      <c r="E93" s="50" t="str">
        <f aca="false">IF($T93="","",IF(LEN(INDEX(Checks!$C$5:$C$748,$T93-4))&gt;14,LEFT(INDEX(Checks!$C$5:$C$748,$T93-4),13)&amp;"…",INDEX(Checks!$C$5:$C$748,$T93-4)&amp;""))</f>
        <v/>
      </c>
      <c r="F93" s="49" t="str">
        <f aca="false">IF($T93="","",IF(LEN(INDEX(Checks!$G$5:$G$748,$T93-4))&gt;25,LEFT(INDEX(Checks!$G$5:$G$748,$T93-4),24)&amp;"…",INDEX(Checks!$G$5:$G$748,$T93-4)&amp;""))</f>
        <v/>
      </c>
      <c r="G93" s="49"/>
      <c r="H93" s="49" t="str">
        <f aca="false">IF($T93="","",IF(LEN(INDEX(Checks!$J$5:$J$748,$T93-4))&gt;68,LEFT(INDEX(Checks!$J$5:$J$748,$T93-4),67)&amp;"…",INDEX(Checks!$J$5:$J$748,$T93-4)&amp;""))</f>
        <v/>
      </c>
      <c r="I93" s="49"/>
      <c r="J93" s="49"/>
      <c r="K93" s="49"/>
      <c r="L93" s="50" t="str">
        <f aca="false">IF($T93="","",IF(LEN(INDEX(Checks!$U$5:$U$748,$T93-4))&gt;12,LEFT(INDEX(Checks!$U$5:$U$748,$T93-4),11)&amp;"…",INDEX(Checks!$U$5:$U$748,$T93-4)&amp;""))</f>
        <v/>
      </c>
      <c r="M93" s="53" t="str">
        <f aca="false">IF($T93="","",IF(INDEX(Checks!$X$5:$X$748,$T93-4)="","",INDEX(Checks!$X$5:$X$748,$T93-4)))</f>
        <v/>
      </c>
      <c r="N93" s="53" t="str">
        <f aca="false">IF($T93="","",IF(INDEX(Checks!$Y$5:$Y$748,$T93-4)="","",INDEX(Checks!$Y$5:$Y$748,$T93-4)))</f>
        <v/>
      </c>
      <c r="O93" s="53" t="str">
        <f aca="false">IF($T93="","",IF(INDEX(Checks!$AF$5:$AF$748,$T93-4)="","",INDEX(Checks!$AF$5:$AF$748,$T93-4)))</f>
        <v/>
      </c>
      <c r="P93" s="50" t="str">
        <f aca="false">IF($T93="","",IF(LEN(INDEX(Checks!$AB$5:$AB$748,$T93-4))&gt;12,LEFT(INDEX(Checks!$AB$5:$AB$748,$T93-4),11)&amp;"…",INDEX(Checks!$AB$5:$AB$748,$T93-4)&amp;""))</f>
        <v/>
      </c>
      <c r="Q93" s="49" t="str">
        <f aca="false">IF($T93="","",IF(LEN(INDEX(Checks!$AA$5:$AA$748,$T93-4))&gt;68,LEFT(INDEX(Checks!$AA$5:$AA$748,$T93-4),67)&amp;"…",INDEX(Checks!$AA$5:$AA$748,$T93-4)&amp;""))</f>
        <v/>
      </c>
      <c r="R93" s="49"/>
      <c r="T93" s="45" t="str">
        <f aca="false">IFERROR(MATCH(18,Checks!$AP$5:$AP$748,0)+4,"")</f>
        <v/>
      </c>
    </row>
    <row r="94" customFormat="false" ht="15.75" hidden="false" customHeight="true" outlineLevel="0" collapsed="false">
      <c r="B94" s="51" t="str">
        <f aca="false">IF(SUM(Checks!$AL$5:$AL$748)=0,"No outstanding discrepancies at the as-of time.",IF(SUM(Checks!$AL$5:$AL$748)&gt;18,"+"&amp;(SUM(Checks!$AL$5:$AL$748)-18)&amp;" more outstanding discrepancies not shown – see Checks sheet (filter on column AP).",""))</f>
        <v>No outstanding discrepancies at the as-of time.</v>
      </c>
      <c r="C94" s="51"/>
      <c r="D94" s="51"/>
      <c r="E94" s="51"/>
      <c r="F94" s="51"/>
      <c r="G94" s="51"/>
      <c r="H94" s="51"/>
      <c r="I94" s="51"/>
      <c r="J94" s="51"/>
      <c r="K94" s="51"/>
      <c r="L94" s="51"/>
      <c r="M94" s="51"/>
      <c r="N94" s="51"/>
      <c r="O94" s="51"/>
      <c r="P94" s="51"/>
      <c r="Q94" s="51"/>
      <c r="R94" s="51"/>
    </row>
  </sheetData>
  <sheetProtection sheet="true" formatCells="false" formatColumns="false" formatRows="false" autoFilter="false"/>
  <mergeCells count="263">
    <mergeCell ref="B1:R1"/>
    <mergeCell ref="B2:C2"/>
    <mergeCell ref="D2:E2"/>
    <mergeCell ref="F2:G2"/>
    <mergeCell ref="H2:I2"/>
    <mergeCell ref="J2:R2"/>
    <mergeCell ref="B4:R4"/>
    <mergeCell ref="B5:C5"/>
    <mergeCell ref="D5:E5"/>
    <mergeCell ref="F5:G5"/>
    <mergeCell ref="H5:I5"/>
    <mergeCell ref="J5:K5"/>
    <mergeCell ref="L5:M5"/>
    <mergeCell ref="N5:O5"/>
    <mergeCell ref="P5:R5"/>
    <mergeCell ref="B6:C6"/>
    <mergeCell ref="D6:E6"/>
    <mergeCell ref="F6:G6"/>
    <mergeCell ref="H6:I6"/>
    <mergeCell ref="J6:K6"/>
    <mergeCell ref="L6:M6"/>
    <mergeCell ref="N6:O6"/>
    <mergeCell ref="P6:R6"/>
    <mergeCell ref="B7:C7"/>
    <mergeCell ref="D7:E7"/>
    <mergeCell ref="F7:G7"/>
    <mergeCell ref="H7:I7"/>
    <mergeCell ref="J7:K7"/>
    <mergeCell ref="L7:M7"/>
    <mergeCell ref="N7:O7"/>
    <mergeCell ref="P7:R7"/>
    <mergeCell ref="B9:R9"/>
    <mergeCell ref="B10:C10"/>
    <mergeCell ref="D10:E10"/>
    <mergeCell ref="F10:G10"/>
    <mergeCell ref="J10:K10"/>
    <mergeCell ref="L10:M10"/>
    <mergeCell ref="N10:R10"/>
    <mergeCell ref="B11:C11"/>
    <mergeCell ref="D11:E11"/>
    <mergeCell ref="F11:G11"/>
    <mergeCell ref="J11:K11"/>
    <mergeCell ref="L11:M11"/>
    <mergeCell ref="N11:R11"/>
    <mergeCell ref="B12:C12"/>
    <mergeCell ref="D12:E12"/>
    <mergeCell ref="F12:G12"/>
    <mergeCell ref="J12:K12"/>
    <mergeCell ref="L12:M12"/>
    <mergeCell ref="N12:R12"/>
    <mergeCell ref="B13:C13"/>
    <mergeCell ref="D13:E13"/>
    <mergeCell ref="F13:G13"/>
    <mergeCell ref="J13:K13"/>
    <mergeCell ref="L13:M13"/>
    <mergeCell ref="N13:R13"/>
    <mergeCell ref="B14:C14"/>
    <mergeCell ref="D14:E14"/>
    <mergeCell ref="F14:G14"/>
    <mergeCell ref="J14:K14"/>
    <mergeCell ref="L14:M14"/>
    <mergeCell ref="N14:R14"/>
    <mergeCell ref="B15:C15"/>
    <mergeCell ref="D15:E15"/>
    <mergeCell ref="F15:G15"/>
    <mergeCell ref="J15:K15"/>
    <mergeCell ref="L15:M15"/>
    <mergeCell ref="N15:R15"/>
    <mergeCell ref="B17:R17"/>
    <mergeCell ref="B18:D18"/>
    <mergeCell ref="E18:R18"/>
    <mergeCell ref="B19:D19"/>
    <mergeCell ref="E19:R19"/>
    <mergeCell ref="B20:D20"/>
    <mergeCell ref="E20:R20"/>
    <mergeCell ref="B21:D21"/>
    <mergeCell ref="E21:R21"/>
    <mergeCell ref="B22:D22"/>
    <mergeCell ref="E22:R22"/>
    <mergeCell ref="B23:D23"/>
    <mergeCell ref="E23:R23"/>
    <mergeCell ref="B24:D24"/>
    <mergeCell ref="E24:R24"/>
    <mergeCell ref="B26:K26"/>
    <mergeCell ref="L26:R26"/>
    <mergeCell ref="B50:R50"/>
    <mergeCell ref="B52:K52"/>
    <mergeCell ref="L52:R52"/>
    <mergeCell ref="C53:D53"/>
    <mergeCell ref="F53:G53"/>
    <mergeCell ref="H53:M53"/>
    <mergeCell ref="N53:O53"/>
    <mergeCell ref="P53:Q53"/>
    <mergeCell ref="C54:D54"/>
    <mergeCell ref="F54:G54"/>
    <mergeCell ref="H54:M54"/>
    <mergeCell ref="N54:O54"/>
    <mergeCell ref="P54:Q54"/>
    <mergeCell ref="C55:D55"/>
    <mergeCell ref="F55:G55"/>
    <mergeCell ref="H55:M55"/>
    <mergeCell ref="N55:O55"/>
    <mergeCell ref="P55:Q55"/>
    <mergeCell ref="C56:D56"/>
    <mergeCell ref="F56:G56"/>
    <mergeCell ref="H56:M56"/>
    <mergeCell ref="N56:O56"/>
    <mergeCell ref="P56:Q56"/>
    <mergeCell ref="C57:D57"/>
    <mergeCell ref="F57:G57"/>
    <mergeCell ref="H57:M57"/>
    <mergeCell ref="N57:O57"/>
    <mergeCell ref="P57:Q57"/>
    <mergeCell ref="C58:D58"/>
    <mergeCell ref="F58:G58"/>
    <mergeCell ref="H58:M58"/>
    <mergeCell ref="N58:O58"/>
    <mergeCell ref="P58:Q58"/>
    <mergeCell ref="C59:D59"/>
    <mergeCell ref="F59:G59"/>
    <mergeCell ref="H59:M59"/>
    <mergeCell ref="N59:O59"/>
    <mergeCell ref="P59:Q59"/>
    <mergeCell ref="C60:D60"/>
    <mergeCell ref="F60:G60"/>
    <mergeCell ref="H60:M60"/>
    <mergeCell ref="N60:O60"/>
    <mergeCell ref="P60:Q60"/>
    <mergeCell ref="C61:D61"/>
    <mergeCell ref="F61:G61"/>
    <mergeCell ref="H61:M61"/>
    <mergeCell ref="N61:O61"/>
    <mergeCell ref="P61:Q61"/>
    <mergeCell ref="C62:D62"/>
    <mergeCell ref="F62:G62"/>
    <mergeCell ref="H62:M62"/>
    <mergeCell ref="N62:O62"/>
    <mergeCell ref="P62:Q62"/>
    <mergeCell ref="C63:D63"/>
    <mergeCell ref="F63:G63"/>
    <mergeCell ref="H63:M63"/>
    <mergeCell ref="N63:O63"/>
    <mergeCell ref="P63:Q63"/>
    <mergeCell ref="C64:D64"/>
    <mergeCell ref="F64:G64"/>
    <mergeCell ref="H64:M64"/>
    <mergeCell ref="N64:O64"/>
    <mergeCell ref="P64:Q64"/>
    <mergeCell ref="C65:D65"/>
    <mergeCell ref="F65:G65"/>
    <mergeCell ref="H65:M65"/>
    <mergeCell ref="N65:O65"/>
    <mergeCell ref="P65:Q65"/>
    <mergeCell ref="C66:D66"/>
    <mergeCell ref="F66:G66"/>
    <mergeCell ref="H66:M66"/>
    <mergeCell ref="N66:O66"/>
    <mergeCell ref="P66:Q66"/>
    <mergeCell ref="C67:D67"/>
    <mergeCell ref="F67:G67"/>
    <mergeCell ref="H67:M67"/>
    <mergeCell ref="N67:O67"/>
    <mergeCell ref="P67:Q67"/>
    <mergeCell ref="C68:D68"/>
    <mergeCell ref="F68:G68"/>
    <mergeCell ref="H68:M68"/>
    <mergeCell ref="N68:O68"/>
    <mergeCell ref="P68:Q68"/>
    <mergeCell ref="C69:D69"/>
    <mergeCell ref="F69:G69"/>
    <mergeCell ref="H69:M69"/>
    <mergeCell ref="N69:O69"/>
    <mergeCell ref="P69:Q69"/>
    <mergeCell ref="C70:D70"/>
    <mergeCell ref="F70:G70"/>
    <mergeCell ref="H70:M70"/>
    <mergeCell ref="N70:O70"/>
    <mergeCell ref="P70:Q70"/>
    <mergeCell ref="C71:D71"/>
    <mergeCell ref="F71:G71"/>
    <mergeCell ref="H71:M71"/>
    <mergeCell ref="N71:O71"/>
    <mergeCell ref="P71:Q71"/>
    <mergeCell ref="B72:R72"/>
    <mergeCell ref="B74:K74"/>
    <mergeCell ref="L74:R74"/>
    <mergeCell ref="C75:D75"/>
    <mergeCell ref="F75:G75"/>
    <mergeCell ref="H75:K75"/>
    <mergeCell ref="Q75:R75"/>
    <mergeCell ref="C76:D76"/>
    <mergeCell ref="F76:G76"/>
    <mergeCell ref="H76:K76"/>
    <mergeCell ref="Q76:R76"/>
    <mergeCell ref="C77:D77"/>
    <mergeCell ref="F77:G77"/>
    <mergeCell ref="H77:K77"/>
    <mergeCell ref="Q77:R77"/>
    <mergeCell ref="C78:D78"/>
    <mergeCell ref="F78:G78"/>
    <mergeCell ref="H78:K78"/>
    <mergeCell ref="Q78:R78"/>
    <mergeCell ref="C79:D79"/>
    <mergeCell ref="F79:G79"/>
    <mergeCell ref="H79:K79"/>
    <mergeCell ref="Q79:R79"/>
    <mergeCell ref="C80:D80"/>
    <mergeCell ref="F80:G80"/>
    <mergeCell ref="H80:K80"/>
    <mergeCell ref="Q80:R80"/>
    <mergeCell ref="C81:D81"/>
    <mergeCell ref="F81:G81"/>
    <mergeCell ref="H81:K81"/>
    <mergeCell ref="Q81:R81"/>
    <mergeCell ref="C82:D82"/>
    <mergeCell ref="F82:G82"/>
    <mergeCell ref="H82:K82"/>
    <mergeCell ref="Q82:R82"/>
    <mergeCell ref="C83:D83"/>
    <mergeCell ref="F83:G83"/>
    <mergeCell ref="H83:K83"/>
    <mergeCell ref="Q83:R83"/>
    <mergeCell ref="C84:D84"/>
    <mergeCell ref="F84:G84"/>
    <mergeCell ref="H84:K84"/>
    <mergeCell ref="Q84:R84"/>
    <mergeCell ref="C85:D85"/>
    <mergeCell ref="F85:G85"/>
    <mergeCell ref="H85:K85"/>
    <mergeCell ref="Q85:R85"/>
    <mergeCell ref="C86:D86"/>
    <mergeCell ref="F86:G86"/>
    <mergeCell ref="H86:K86"/>
    <mergeCell ref="Q86:R86"/>
    <mergeCell ref="C87:D87"/>
    <mergeCell ref="F87:G87"/>
    <mergeCell ref="H87:K87"/>
    <mergeCell ref="Q87:R87"/>
    <mergeCell ref="C88:D88"/>
    <mergeCell ref="F88:G88"/>
    <mergeCell ref="H88:K88"/>
    <mergeCell ref="Q88:R88"/>
    <mergeCell ref="C89:D89"/>
    <mergeCell ref="F89:G89"/>
    <mergeCell ref="H89:K89"/>
    <mergeCell ref="Q89:R89"/>
    <mergeCell ref="C90:D90"/>
    <mergeCell ref="F90:G90"/>
    <mergeCell ref="H90:K90"/>
    <mergeCell ref="Q90:R90"/>
    <mergeCell ref="C91:D91"/>
    <mergeCell ref="F91:G91"/>
    <mergeCell ref="H91:K91"/>
    <mergeCell ref="Q91:R91"/>
    <mergeCell ref="C92:D92"/>
    <mergeCell ref="F92:G92"/>
    <mergeCell ref="H92:K92"/>
    <mergeCell ref="Q92:R92"/>
    <mergeCell ref="C93:D93"/>
    <mergeCell ref="F93:G93"/>
    <mergeCell ref="H93:K93"/>
    <mergeCell ref="Q93:R93"/>
    <mergeCell ref="B94:R94"/>
  </mergeCells>
  <conditionalFormatting sqref="H6:I6">
    <cfRule type="cellIs" priority="2" operator="greaterThan" aboveAverage="0" equalAverage="0" bottom="0" percent="0" rank="0" text="" dxfId="0">
      <formula>0</formula>
    </cfRule>
  </conditionalFormatting>
  <conditionalFormatting sqref="J6:K6">
    <cfRule type="cellIs" priority="3" operator="greaterThan" aboveAverage="0" equalAverage="0" bottom="0" percent="0" rank="0" text="" dxfId="0">
      <formula>0</formula>
    </cfRule>
  </conditionalFormatting>
  <conditionalFormatting sqref="L6:M6">
    <cfRule type="cellIs" priority="4" operator="greaterThan" aboveAverage="0" equalAverage="0" bottom="0" percent="0" rank="0" text="" dxfId="0">
      <formula>0</formula>
    </cfRule>
  </conditionalFormatting>
  <conditionalFormatting sqref="N6:O6">
    <cfRule type="cellIs" priority="5" operator="greaterThan" aboveAverage="0" equalAverage="0" bottom="0" percent="0" rank="0" text="" dxfId="0">
      <formula>0</formula>
    </cfRule>
  </conditionalFormatting>
  <conditionalFormatting sqref="P6:R6">
    <cfRule type="cellIs" priority="6" operator="greaterThan" aboveAverage="0" equalAverage="0" bottom="0" percent="0" rank="0" text="" dxfId="0">
      <formula>0</formula>
    </cfRule>
  </conditionalFormatting>
  <conditionalFormatting sqref="F6:G6">
    <cfRule type="expression" priority="7" aboveAverage="0" equalAverage="0" bottom="0" percent="0" rank="0" text="" dxfId="1">
      <formula>AND(ISNUMBER($F$6),$F$6&gt;=1)</formula>
    </cfRule>
  </conditionalFormatting>
  <conditionalFormatting sqref="L11:L15">
    <cfRule type="dataBar" priority="8">
      <dataBar showValue="1" minLength="10" maxLength="90">
        <cfvo type="num" val="0"/>
        <cfvo type="num" val="1"/>
        <color rgb="FF8EA9DB"/>
      </dataBar>
      <extLst>
        <ext xmlns:x14="http://schemas.microsoft.com/office/spreadsheetml/2009/9/main" uri="{B025F937-C7B1-47D3-B67F-A62EFF666E3E}">
          <x14:id>{1A724696-83C6-4CD9-9292-D7A5ED2FDA60}</x14:id>
        </ext>
      </extLst>
    </cfRule>
  </conditionalFormatting>
  <conditionalFormatting sqref="J11:J15">
    <cfRule type="cellIs" priority="9" operator="greaterThan" aboveAverage="0" equalAverage="0" bottom="0" percent="0" rank="0" text="" dxfId="0">
      <formula>0</formula>
    </cfRule>
  </conditionalFormatting>
  <conditionalFormatting sqref="I28:M49">
    <cfRule type="dataBar" priority="10">
      <dataBar showValue="1" minLength="10" maxLength="90">
        <cfvo type="num" val="0"/>
        <cfvo type="num" val="1"/>
        <color rgb="FF8EA9DB"/>
      </dataBar>
      <extLst>
        <ext xmlns:x14="http://schemas.microsoft.com/office/spreadsheetml/2009/9/main" uri="{B025F937-C7B1-47D3-B67F-A62EFF666E3E}">
          <x14:id>{1158DE17-AF5C-4965-84C8-33C885979047}</x14:id>
        </ext>
      </extLst>
    </cfRule>
  </conditionalFormatting>
  <conditionalFormatting sqref="N28:Q49">
    <cfRule type="cellIs" priority="11" operator="greaterThan" aboveAverage="0" equalAverage="0" bottom="0" percent="0" rank="0" text="" dxfId="0">
      <formula>0</formula>
    </cfRule>
  </conditionalFormatting>
  <conditionalFormatting sqref="R28:R49">
    <cfRule type="expression" priority="12" aboveAverage="0" equalAverage="0" bottom="0" percent="0" rank="0" text="" dxfId="2">
      <formula>$R28="READY"</formula>
    </cfRule>
    <cfRule type="expression" priority="13" aboveAverage="0" equalAverage="0" bottom="0" percent="0" rank="0" text="" dxfId="3">
      <formula>LEFT($R28,9)="NOT READY"</formula>
    </cfRule>
    <cfRule type="expression" priority="14" aboveAverage="0" equalAverage="0" bottom="0" percent="0" rank="0" text="" dxfId="4">
      <formula>LEFT($R28,9)="PREP DONE"</formula>
    </cfRule>
    <cfRule type="expression" priority="15" aboveAverage="0" equalAverage="0" bottom="0" percent="0" rank="0" text="" dxfId="5">
      <formula>OR($R28="IN PROGRESS",$R28="NOT STARTED")</formula>
    </cfRule>
  </conditionalFormatting>
  <conditionalFormatting sqref="B72">
    <cfRule type="expression" priority="16" aboveAverage="0" equalAverage="0" bottom="0" percent="0" rank="0" text="" dxfId="0">
      <formula>LEFT($B$72,1)="+"</formula>
    </cfRule>
  </conditionalFormatting>
  <conditionalFormatting sqref="B94">
    <cfRule type="expression" priority="17" aboveAverage="0" equalAverage="0" bottom="0" percent="0" rank="0" text="" dxfId="0">
      <formula>LEFT($B$94,1)="+"</formula>
    </cfRule>
  </conditionalFormatting>
  <printOptions headings="false" gridLines="false" gridLinesSet="true" horizontalCentered="true" verticalCentered="false"/>
  <pageMargins left="0.25" right="0.25" top="0.35" bottom="0.45" header="0.511811023622047" footer="0.15"/>
  <pageSetup paperSize="9" scale="100" fitToWidth="1" fitToHeight="0" pageOrder="downThenOver" orientation="landscape" blackAndWhite="false" draft="false" cellComments="none" horizontalDpi="300" verticalDpi="300" copies="1"/>
  <headerFooter differentFirst="false" differentOddEven="false">
    <oddHeader/>
    <oddFooter>&amp;L&amp;8 MAGCS – Skytrax 2026 catering readiness – Dashboard&amp;R&amp;8 Page &amp;P of &amp;N</oddFooter>
  </headerFooter>
  <rowBreaks count="3" manualBreakCount="3">
    <brk id="25" man="true" max="16383" min="0"/>
    <brk id="51" man="true" max="16383" min="0"/>
    <brk id="73" man="true" max="16383" min="0"/>
  </rowBreaks>
  <extLst>
    <ext xmlns:x14="http://schemas.microsoft.com/office/spreadsheetml/2009/9/main" uri="{78C0D931-6437-407d-A8EE-F0AAD7539E65}">
      <x14:conditionalFormattings>
        <x14:conditionalFormatting xmlns:xm="http://schemas.microsoft.com/office/excel/2006/main">
          <x14:cfRule type="dataBar" id="{1A724696-83C6-4CD9-9292-D7A5ED2FDA60}">
            <x14:dataBar minLength="10" maxLength="90" axisPosition="none" gradient="true">
              <x14:cfvo type="num">
                <xm:f>0</xm:f>
              </x14:cfvo>
              <x14:cfvo type="num">
                <xm:f>1</xm:f>
              </x14:cfvo>
              <x14:negativeFillColor rgb="FF8EA9DB"/>
              <x14:axisColor rgb="FF000000"/>
            </x14:dataBar>
          </x14:cfRule>
          <xm:sqref>L11:L15</xm:sqref>
        </x14:conditionalFormatting>
        <x14:conditionalFormatting xmlns:xm="http://schemas.microsoft.com/office/excel/2006/main">
          <x14:cfRule type="dataBar" id="{1158DE17-AF5C-4965-84C8-33C885979047}">
            <x14:dataBar minLength="10" maxLength="90" axisPosition="none" gradient="true">
              <x14:cfvo type="num">
                <xm:f>0</xm:f>
              </x14:cfvo>
              <x14:cfvo type="num">
                <xm:f>1</xm:f>
              </x14:cfvo>
              <x14:negativeFillColor rgb="FF8EA9DB"/>
              <x14:axisColor rgb="FF000000"/>
            </x14:dataBar>
          </x14:cfRule>
          <xm:sqref>I28:M49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B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5"/>
    <col collapsed="false" customWidth="true" hidden="false" outlineLevel="0" max="4" min="4" style="0" width="10"/>
    <col collapsed="false" customWidth="true" hidden="false" outlineLevel="0" max="5" min="5" style="0" width="6"/>
    <col collapsed="false" customWidth="true" hidden="false" outlineLevel="0" max="6" min="6" style="0" width="9"/>
    <col collapsed="false" customWidth="true" hidden="false" outlineLevel="0" max="8" min="7" style="0" width="6"/>
    <col collapsed="false" customWidth="true" hidden="false" outlineLevel="0" max="10" min="9" style="0" width="15"/>
    <col collapsed="false" customWidth="true" hidden="false" outlineLevel="0" max="11" min="11" style="0" width="8"/>
    <col collapsed="false" customWidth="true" hidden="false" outlineLevel="0" max="12" min="12" style="0" width="9"/>
    <col collapsed="false" customWidth="true" hidden="false" outlineLevel="0" max="13" min="13" style="0" width="30"/>
    <col collapsed="false" customWidth="true" hidden="false" outlineLevel="0" max="14" min="14" style="0" width="12"/>
    <col collapsed="false" customWidth="true" hidden="false" outlineLevel="0" max="15" min="15" style="0" width="6"/>
    <col collapsed="false" customWidth="true" hidden="false" outlineLevel="0" max="16" min="16" style="0" width="8"/>
    <col collapsed="false" customWidth="true" hidden="false" outlineLevel="0" max="17" min="17" style="0" width="14"/>
    <col collapsed="false" customWidth="true" hidden="false" outlineLevel="0" max="18" min="18" style="0" width="13"/>
    <col collapsed="false" customWidth="true" hidden="false" outlineLevel="0" max="19" min="19" style="0" width="12"/>
    <col collapsed="false" customWidth="true" hidden="false" outlineLevel="0" max="20" min="20" style="0" width="22"/>
    <col collapsed="false" customWidth="true" hidden="false" outlineLevel="0" max="21" min="21" style="0" width="11"/>
    <col collapsed="false" customWidth="true" hidden="false" outlineLevel="0" max="22" min="22" style="0" width="9"/>
    <col collapsed="false" customWidth="true" hidden="false" outlineLevel="0" max="23" min="23" style="0" width="16"/>
    <col collapsed="false" customWidth="true" hidden="false" outlineLevel="0" max="24" min="24" style="0" width="14"/>
    <col collapsed="false" customWidth="true" hidden="false" outlineLevel="0" max="25" min="25" style="0" width="16"/>
    <col collapsed="false" customWidth="true" hidden="false" outlineLevel="0" max="26" min="26" style="0" width="8"/>
    <col collapsed="false" customWidth="true" hidden="false" outlineLevel="0" max="27" min="27" style="0" width="15"/>
    <col collapsed="false" customWidth="true" hidden="false" outlineLevel="0" max="28" min="28" style="0" width="8"/>
    <col collapsed="false" customWidth="true" hidden="false" outlineLevel="0" max="35" min="29" style="0" width="15"/>
    <col collapsed="false" customWidth="true" hidden="false" outlineLevel="0" max="40" min="36" style="0" width="8"/>
    <col collapsed="false" customWidth="true" hidden="false" outlineLevel="0" max="41" min="41" style="0" width="9"/>
    <col collapsed="false" customWidth="true" hidden="false" outlineLevel="0" max="42" min="42" style="0" width="8"/>
    <col collapsed="false" customWidth="true" hidden="false" outlineLevel="0" max="45" min="43" style="0" width="9"/>
    <col collapsed="false" customWidth="true" hidden="false" outlineLevel="0" max="46" min="46" style="0" width="26"/>
    <col collapsed="false" customWidth="true" hidden="false" outlineLevel="0" max="47" min="47" style="0" width="8"/>
    <col collapsed="false" customWidth="true" hidden="false" outlineLevel="0" max="49" min="48" style="0" width="9"/>
    <col collapsed="false" customWidth="true" hidden="false" outlineLevel="0" max="52" min="50" style="0" width="17"/>
    <col collapsed="false" customWidth="true" hidden="false" outlineLevel="0" max="53" min="53" style="0" width="15"/>
    <col collapsed="false" customWidth="true" hidden="false" outlineLevel="0" max="54" min="54" style="0" width="10"/>
  </cols>
  <sheetData>
    <row r="1" customFormat="false" ht="24" hidden="false" customHeight="true" outlineLevel="0" collapsed="false">
      <c r="A1" s="54" t="s">
        <v>135</v>
      </c>
    </row>
    <row r="2" customFormat="false" ht="28.5" hidden="false" customHeight="true" outlineLevel="0" collapsed="false">
      <c r="G2" s="55" t="s">
        <v>136</v>
      </c>
      <c r="H2" s="55"/>
      <c r="I2" s="55"/>
      <c r="J2" s="55"/>
      <c r="K2" s="55"/>
      <c r="L2" s="55"/>
      <c r="M2" s="55"/>
    </row>
    <row r="4" customFormat="false" ht="54" hidden="false" customHeight="true" outlineLevel="0" collapsed="false">
      <c r="A4" s="56" t="s">
        <v>137</v>
      </c>
      <c r="B4" s="56" t="s">
        <v>106</v>
      </c>
      <c r="C4" s="56" t="s">
        <v>138</v>
      </c>
      <c r="D4" s="56" t="s">
        <v>108</v>
      </c>
      <c r="E4" s="56" t="s">
        <v>139</v>
      </c>
      <c r="F4" s="56" t="s">
        <v>140</v>
      </c>
      <c r="G4" s="56" t="s">
        <v>141</v>
      </c>
      <c r="H4" s="56" t="s">
        <v>142</v>
      </c>
      <c r="I4" s="56" t="s">
        <v>112</v>
      </c>
      <c r="J4" s="56" t="s">
        <v>143</v>
      </c>
      <c r="K4" s="56" t="s">
        <v>144</v>
      </c>
      <c r="L4" s="56" t="s">
        <v>145</v>
      </c>
      <c r="M4" s="56" t="s">
        <v>146</v>
      </c>
      <c r="N4" s="56" t="s">
        <v>147</v>
      </c>
      <c r="O4" s="56" t="s">
        <v>148</v>
      </c>
      <c r="P4" s="56" t="s">
        <v>149</v>
      </c>
      <c r="Q4" s="56" t="s">
        <v>150</v>
      </c>
      <c r="R4" s="56" t="s">
        <v>151</v>
      </c>
      <c r="S4" s="56" t="s">
        <v>152</v>
      </c>
      <c r="T4" s="56" t="s">
        <v>153</v>
      </c>
      <c r="U4" s="56" t="s">
        <v>154</v>
      </c>
      <c r="V4" s="56" t="s">
        <v>155</v>
      </c>
      <c r="W4" s="56" t="s">
        <v>156</v>
      </c>
      <c r="X4" s="56" t="s">
        <v>157</v>
      </c>
      <c r="Y4" s="56" t="s">
        <v>158</v>
      </c>
      <c r="Z4" s="56" t="s">
        <v>159</v>
      </c>
      <c r="AA4" s="56" t="s">
        <v>160</v>
      </c>
      <c r="AB4" s="56" t="s">
        <v>161</v>
      </c>
      <c r="AC4" s="56" t="s">
        <v>162</v>
      </c>
      <c r="AD4" s="56" t="s">
        <v>163</v>
      </c>
      <c r="AE4" s="56" t="s">
        <v>164</v>
      </c>
      <c r="AF4" s="56" t="s">
        <v>165</v>
      </c>
      <c r="AG4" s="56" t="s">
        <v>166</v>
      </c>
      <c r="AH4" s="56" t="s">
        <v>167</v>
      </c>
      <c r="AI4" s="56" t="s">
        <v>168</v>
      </c>
      <c r="AJ4" s="56" t="s">
        <v>169</v>
      </c>
      <c r="AK4" s="56" t="s">
        <v>170</v>
      </c>
      <c r="AL4" s="56" t="s">
        <v>171</v>
      </c>
      <c r="AM4" s="56" t="s">
        <v>172</v>
      </c>
      <c r="AN4" s="56" t="s">
        <v>173</v>
      </c>
      <c r="AO4" s="56" t="s">
        <v>174</v>
      </c>
      <c r="AP4" s="56" t="s">
        <v>78</v>
      </c>
      <c r="AQ4" s="56" t="s">
        <v>62</v>
      </c>
      <c r="AR4" s="56" t="s">
        <v>63</v>
      </c>
      <c r="AS4" s="56" t="s">
        <v>64</v>
      </c>
      <c r="AT4" s="56" t="s">
        <v>175</v>
      </c>
      <c r="AU4" s="56" t="s">
        <v>65</v>
      </c>
      <c r="AV4" s="56" t="s">
        <v>176</v>
      </c>
      <c r="AW4" s="56" t="s">
        <v>177</v>
      </c>
      <c r="AX4" s="56" t="s">
        <v>178</v>
      </c>
      <c r="AY4" s="56" t="s">
        <v>179</v>
      </c>
      <c r="AZ4" s="56" t="s">
        <v>180</v>
      </c>
      <c r="BA4" s="56" t="s">
        <v>181</v>
      </c>
      <c r="BB4" s="56" t="s">
        <v>182</v>
      </c>
    </row>
    <row r="5" customFormat="false" ht="36" hidden="false" customHeight="true" outlineLevel="0" collapsed="false">
      <c r="A5" s="57" t="s">
        <v>183</v>
      </c>
      <c r="B5" s="57" t="n">
        <v>1</v>
      </c>
      <c r="C5" s="57" t="n">
        <v>1</v>
      </c>
      <c r="D5" s="58" t="n">
        <v>46303</v>
      </c>
      <c r="E5" s="57" t="s">
        <v>184</v>
      </c>
      <c r="F5" s="57" t="s">
        <v>185</v>
      </c>
      <c r="G5" s="57" t="s">
        <v>186</v>
      </c>
      <c r="H5" s="57" t="s">
        <v>187</v>
      </c>
      <c r="I5" s="59" t="n">
        <v>46303.8993055556</v>
      </c>
      <c r="J5" s="59" t="n">
        <v>46304.7430555556</v>
      </c>
      <c r="K5" s="57" t="s">
        <v>188</v>
      </c>
      <c r="L5" s="60" t="s">
        <v>189</v>
      </c>
      <c r="M5" s="57" t="s">
        <v>190</v>
      </c>
      <c r="N5" s="60"/>
      <c r="O5" s="57" t="s">
        <v>191</v>
      </c>
      <c r="P5" s="57" t="s">
        <v>192</v>
      </c>
      <c r="Q5" s="57"/>
      <c r="R5" s="57" t="s">
        <v>193</v>
      </c>
      <c r="S5" s="57" t="s">
        <v>194</v>
      </c>
      <c r="T5" s="57" t="s">
        <v>195</v>
      </c>
      <c r="U5" s="57" t="s">
        <v>196</v>
      </c>
      <c r="V5" s="57" t="s">
        <v>186</v>
      </c>
      <c r="W5" s="57"/>
      <c r="X5" s="60"/>
      <c r="Y5" s="60"/>
      <c r="Z5" s="61" t="n">
        <f aca="false">IF(AND(INDEX(TZ_DSTS,MATCH(G5,TZ_STN,0))&lt;&gt;"",(I5-INDEX(TZ_STD,MATCH(G5,TZ_STN,0))/24)&gt;=INDEX(TZ_DSTS,MATCH(G5,TZ_STN,0)),(I5-INDEX(TZ_STD,MATCH(G5,TZ_STN,0))/24)&lt;INDEX(TZ_DSTE,MATCH(G5,TZ_STN,0))),INDEX(TZ_DST,MATCH(G5,TZ_STN,0)),INDEX(TZ_STD,MATCH(G5,TZ_STN,0)))</f>
        <v>1</v>
      </c>
      <c r="AA5" s="62" t="n">
        <f aca="false">I5-Z5/24</f>
        <v>46303.8576388889</v>
      </c>
      <c r="AB5" s="63" t="n">
        <f aca="false">(J5-(IF(AND(INDEX(TZ_DSTS,MATCH(H5,TZ_STN,0))&lt;&gt;"",(J5-INDEX(TZ_STD,MATCH(H5,TZ_STN,0))/24)&gt;=INDEX(TZ_DSTS,MATCH(H5,TZ_STN,0)),(J5-INDEX(TZ_STD,MATCH(H5,TZ_STN,0))/24)&lt;INDEX(TZ_DSTE,MATCH(H5,TZ_STN,0))),INDEX(TZ_DST,MATCH(H5,TZ_STN,0)),INDEX(TZ_STD,MATCH(H5,TZ_STN,0))))/24-AA5)*24</f>
        <v>13.25</v>
      </c>
      <c r="AC5" s="62" t="n">
        <f aca="false">AA5-7</f>
        <v>46296.8576388889</v>
      </c>
      <c r="AD5" s="62" t="n">
        <f aca="false">AA5-1</f>
        <v>46302.8576388889</v>
      </c>
      <c r="AE5" s="62" t="n">
        <f aca="false">AA5-0.5</f>
        <v>46303.3576388889</v>
      </c>
      <c r="AF5" s="62" t="n">
        <f aca="false">AA5</f>
        <v>46303.8576388889</v>
      </c>
      <c r="AG5" s="62" t="n">
        <f aca="false">AC5+(IF(AND(INDEX(TZ_DSTS,MATCH(V5,TZ_STN,0))&lt;&gt;"",AC5&gt;=INDEX(TZ_DSTS,MATCH(V5,TZ_STN,0)),AC5&lt;INDEX(TZ_DSTE,MATCH(V5,TZ_STN,0))),INDEX(TZ_DST,MATCH(V5,TZ_STN,0)),INDEX(TZ_STD,MATCH(V5,TZ_STN,0))))/24</f>
        <v>46296.8993055556</v>
      </c>
      <c r="AH5" s="62" t="n">
        <f aca="false">AD5+(IF(AND(INDEX(TZ_DSTS,MATCH(V5,TZ_STN,0))&lt;&gt;"",AD5&gt;=INDEX(TZ_DSTS,MATCH(V5,TZ_STN,0)),AD5&lt;INDEX(TZ_DSTE,MATCH(V5,TZ_STN,0))),INDEX(TZ_DST,MATCH(V5,TZ_STN,0)),INDEX(TZ_STD,MATCH(V5,TZ_STN,0))))/24</f>
        <v>46302.8993055556</v>
      </c>
      <c r="AI5" s="62" t="n">
        <f aca="false">AE5+(IF(AND(INDEX(TZ_DSTS,MATCH(V5,TZ_STN,0))&lt;&gt;"",AE5&gt;=INDEX(TZ_DSTS,MATCH(V5,TZ_STN,0)),AE5&lt;INDEX(TZ_DSTE,MATCH(V5,TZ_STN,0))),INDEX(TZ_DST,MATCH(V5,TZ_STN,0)),INDEX(TZ_STD,MATCH(V5,TZ_STN,0))))/24</f>
        <v>46303.3993055556</v>
      </c>
      <c r="AJ5" s="64" t="n">
        <f aca="false">IFERROR(SUMIFS(Checks!$AJ$5:$AJ$748,Checks!$B$5:$B$748,$A5,Checks!$G$5:$G$748,"T-7D")/SUMIFS(Checks!$AI$5:$AI$748,Checks!$B$5:$B$748,$A5,Checks!$G$5:$G$748,"T-7D"),"n/a")</f>
        <v>0</v>
      </c>
      <c r="AK5" s="64" t="n">
        <f aca="false">IFERROR(SUMIFS(Checks!$AJ$5:$AJ$748,Checks!$B$5:$B$748,$A5,Checks!$G$5:$G$748,"T-24H")/SUMIFS(Checks!$AI$5:$AI$748,Checks!$B$5:$B$748,$A5,Checks!$G$5:$G$748,"T-24H"),"n/a")</f>
        <v>0</v>
      </c>
      <c r="AL5" s="64" t="n">
        <f aca="false">IFERROR(SUMIFS(Checks!$AJ$5:$AJ$748,Checks!$B$5:$B$748,$A5,Checks!$G$5:$G$748,"T-12H PREP")/SUMIFS(Checks!$AI$5:$AI$748,Checks!$B$5:$B$748,$A5,Checks!$G$5:$G$748,"T-12H PREP"),"n/a")</f>
        <v>0</v>
      </c>
      <c r="AM5" s="64" t="n">
        <f aca="false">IFERROR(SUMIFS(Checks!$AJ$5:$AJ$748,Checks!$B$5:$B$748,$A5,Checks!$G$5:$G$748,"UPLIFT")/SUMIFS(Checks!$AI$5:$AI$748,Checks!$B$5:$B$748,$A5,Checks!$G$5:$G$748,"UPLIFT"),"n/a")</f>
        <v>0</v>
      </c>
      <c r="AN5" s="64" t="n">
        <f aca="false">IFERROR(SUMIFS(Checks!$AJ$5:$AJ$748,Checks!$B$5:$B$748,$A5)/SUMIFS(Checks!$AI$5:$AI$748,Checks!$B$5:$B$748,$A5),"n/a")</f>
        <v>0</v>
      </c>
      <c r="AO5" s="61" t="n">
        <f aca="false">AW5-AV5</f>
        <v>24</v>
      </c>
      <c r="AP5" s="61" t="n">
        <f aca="false">SUMIFS(Checks!$AK$5:$AK$748,Checks!$B$5:$B$748,$A5)</f>
        <v>0</v>
      </c>
      <c r="AQ5" s="61" t="n">
        <f aca="false">SUMIFS(Checks!$AL$5:$AL$748,Checks!$B$5:$B$748,$A5)</f>
        <v>0</v>
      </c>
      <c r="AR5" s="61" t="n">
        <f aca="false">Documents!P5</f>
        <v>2</v>
      </c>
      <c r="AS5" s="61" t="n">
        <f aca="false">SUMIFS(Checks!$AN$5:$AN$748,Checks!$B$5:$B$748,$A5,Checks!$H$5:$H$748,"Preparation")+IF(AND(TRIM(L5)="A350",ISNA(MATCH(UPPER(SUBSTITUTE(SUBSTITUTE(TRIM(N5),"-","")," ","")),{"9MMAB","9MMAC","9MMAD","9MMAE","9MMAF","9MMAG","9MMAH"},0))),1,0)</f>
        <v>2</v>
      </c>
      <c r="AT5" s="65" t="str">
        <f aca="false">IF(AND(AW5&gt;0,AO5=0,AQ5=0,AR5=0,AS5=0,AU5=0),"READY",IF(AP5&gt;0,"NOT READY – OVERDUE",IF(AQ5&gt;0,"NOT READY – DISCREPANCY",IF(AU5&gt;0,"NOT READY – INVALID ENTRY",IF(AR5&gt;0,"NOT READY – DOCUMENTS",IF(AS5&gt;0,"NOT READY – CLARIFICATION",IF(AND(AV5&gt;0,SUMIFS(Checks!$AJ$5:$AJ$748,Checks!$B$5:$B$748,$A5,Checks!$H$5:$H$748,"Preparation")=SUMIFS(Checks!$AI$5:$AI$748,Checks!$B$5:$B$748,$A5,Checks!$H$5:$H$748,"Preparation")),"PREP DONE – AWAITING UPLIFT",IF(AV5=0,"NOT STARTED","IN PROGRESS"))))))))</f>
        <v>NOT READY – DOCUMENTS</v>
      </c>
      <c r="AU5" s="61" t="n">
        <f aca="false">SUMIFS(Checks!$AM$5:$AM$748,Checks!$B$5:$B$748,$A5)</f>
        <v>0</v>
      </c>
      <c r="AV5" s="61" t="n">
        <f aca="false">SUMIFS(Checks!$AJ$5:$AJ$748,Checks!$B$5:$B$748,$A5)</f>
        <v>0</v>
      </c>
      <c r="AW5" s="61" t="n">
        <f aca="false">SUMIFS(Checks!$AI$5:$AI$748,Checks!$B$5:$B$748,$A5)</f>
        <v>24</v>
      </c>
      <c r="AX5" s="62" t="s">
        <v>197</v>
      </c>
      <c r="AY5" s="62" t="s">
        <v>197</v>
      </c>
      <c r="AZ5" s="62" t="s">
        <v>197</v>
      </c>
      <c r="BA5" s="62" t="str">
        <f aca="false">IFERROR(1/(1/_xlfn.MINIFS(Checks!$AG$5:$AG$748,Checks!$B$5:$B$748,$A5,Checks!$H$5:$H$748,"Physical uplift",Checks!$P$5:$P$748,$G5)),"")</f>
        <v/>
      </c>
      <c r="BB5" s="61" t="n">
        <f aca="false">SUMIFS(Checks!$BG$5:$BG$748,Checks!$B$5:$B$748,$A5)</f>
        <v>0</v>
      </c>
    </row>
    <row r="6" customFormat="false" ht="36" hidden="false" customHeight="true" outlineLevel="0" collapsed="false">
      <c r="A6" s="57" t="s">
        <v>198</v>
      </c>
      <c r="B6" s="57" t="n">
        <v>1</v>
      </c>
      <c r="C6" s="57" t="n">
        <v>2</v>
      </c>
      <c r="D6" s="58" t="n">
        <v>46304</v>
      </c>
      <c r="E6" s="57" t="s">
        <v>199</v>
      </c>
      <c r="F6" s="57" t="s">
        <v>200</v>
      </c>
      <c r="G6" s="57" t="s">
        <v>187</v>
      </c>
      <c r="H6" s="57" t="s">
        <v>201</v>
      </c>
      <c r="I6" s="59" t="n">
        <v>46304.9097222222</v>
      </c>
      <c r="J6" s="59" t="n">
        <v>46304.9618055556</v>
      </c>
      <c r="K6" s="57" t="s">
        <v>202</v>
      </c>
      <c r="L6" s="60" t="s">
        <v>203</v>
      </c>
      <c r="M6" s="57" t="s">
        <v>204</v>
      </c>
      <c r="N6" s="60"/>
      <c r="O6" s="57" t="s">
        <v>205</v>
      </c>
      <c r="P6" s="57" t="s">
        <v>206</v>
      </c>
      <c r="Q6" s="57" t="s">
        <v>207</v>
      </c>
      <c r="R6" s="57" t="s">
        <v>208</v>
      </c>
      <c r="S6" s="57" t="s">
        <v>209</v>
      </c>
      <c r="T6" s="57" t="s">
        <v>210</v>
      </c>
      <c r="U6" s="57" t="s">
        <v>211</v>
      </c>
      <c r="V6" s="57" t="s">
        <v>187</v>
      </c>
      <c r="W6" s="57"/>
      <c r="X6" s="60"/>
      <c r="Y6" s="60"/>
      <c r="Z6" s="61" t="n">
        <f aca="false">IF(AND(INDEX(TZ_DSTS,MATCH(G6,TZ_STN,0))&lt;&gt;"",(I6-INDEX(TZ_STD,MATCH(G6,TZ_STN,0))/24)&gt;=INDEX(TZ_DSTS,MATCH(G6,TZ_STN,0)),(I6-INDEX(TZ_STD,MATCH(G6,TZ_STN,0))/24)&lt;INDEX(TZ_DSTE,MATCH(G6,TZ_STN,0))),INDEX(TZ_DST,MATCH(G6,TZ_STN,0)),INDEX(TZ_STD,MATCH(G6,TZ_STN,0)))</f>
        <v>8</v>
      </c>
      <c r="AA6" s="62" t="n">
        <f aca="false">I6-Z6/24</f>
        <v>46304.5763888889</v>
      </c>
      <c r="AB6" s="63" t="n">
        <f aca="false">(J6-(IF(AND(INDEX(TZ_DSTS,MATCH(H6,TZ_STN,0))&lt;&gt;"",(J6-INDEX(TZ_STD,MATCH(H6,TZ_STN,0))/24)&gt;=INDEX(TZ_DSTS,MATCH(H6,TZ_STN,0)),(J6-INDEX(TZ_STD,MATCH(H6,TZ_STN,0))/24)&lt;INDEX(TZ_DSTE,MATCH(H6,TZ_STN,0))),INDEX(TZ_DST,MATCH(H6,TZ_STN,0)),INDEX(TZ_STD,MATCH(H6,TZ_STN,0))))/24-AA6)*24</f>
        <v>2.25</v>
      </c>
      <c r="AC6" s="62" t="n">
        <f aca="false">AA6-7</f>
        <v>46297.5763888889</v>
      </c>
      <c r="AD6" s="62" t="n">
        <f aca="false">AA6-1</f>
        <v>46303.5763888889</v>
      </c>
      <c r="AE6" s="62" t="n">
        <f aca="false">AA6-0.5</f>
        <v>46304.0763888889</v>
      </c>
      <c r="AF6" s="62" t="n">
        <f aca="false">AA6</f>
        <v>46304.5763888889</v>
      </c>
      <c r="AG6" s="62" t="n">
        <f aca="false">AC6+(IF(AND(INDEX(TZ_DSTS,MATCH(V6,TZ_STN,0))&lt;&gt;"",AC6&gt;=INDEX(TZ_DSTS,MATCH(V6,TZ_STN,0)),AC6&lt;INDEX(TZ_DSTE,MATCH(V6,TZ_STN,0))),INDEX(TZ_DST,MATCH(V6,TZ_STN,0)),INDEX(TZ_STD,MATCH(V6,TZ_STN,0))))/24</f>
        <v>46297.9097222222</v>
      </c>
      <c r="AH6" s="62" t="n">
        <f aca="false">AD6+(IF(AND(INDEX(TZ_DSTS,MATCH(V6,TZ_STN,0))&lt;&gt;"",AD6&gt;=INDEX(TZ_DSTS,MATCH(V6,TZ_STN,0)),AD6&lt;INDEX(TZ_DSTE,MATCH(V6,TZ_STN,0))),INDEX(TZ_DST,MATCH(V6,TZ_STN,0)),INDEX(TZ_STD,MATCH(V6,TZ_STN,0))))/24</f>
        <v>46303.9097222222</v>
      </c>
      <c r="AI6" s="62" t="n">
        <f aca="false">AE6+(IF(AND(INDEX(TZ_DSTS,MATCH(V6,TZ_STN,0))&lt;&gt;"",AE6&gt;=INDEX(TZ_DSTS,MATCH(V6,TZ_STN,0)),AE6&lt;INDEX(TZ_DSTE,MATCH(V6,TZ_STN,0))),INDEX(TZ_DST,MATCH(V6,TZ_STN,0)),INDEX(TZ_STD,MATCH(V6,TZ_STN,0))))/24</f>
        <v>46304.4097222222</v>
      </c>
      <c r="AJ6" s="64" t="n">
        <f aca="false">IFERROR(SUMIFS(Checks!$AJ$5:$AJ$748,Checks!$B$5:$B$748,$A6,Checks!$G$5:$G$748,"T-7D")/SUMIFS(Checks!$AI$5:$AI$748,Checks!$B$5:$B$748,$A6,Checks!$G$5:$G$748,"T-7D"),"n/a")</f>
        <v>0</v>
      </c>
      <c r="AK6" s="64" t="n">
        <f aca="false">IFERROR(SUMIFS(Checks!$AJ$5:$AJ$748,Checks!$B$5:$B$748,$A6,Checks!$G$5:$G$748,"T-24H")/SUMIFS(Checks!$AI$5:$AI$748,Checks!$B$5:$B$748,$A6,Checks!$G$5:$G$748,"T-24H"),"n/a")</f>
        <v>0</v>
      </c>
      <c r="AL6" s="64" t="n">
        <f aca="false">IFERROR(SUMIFS(Checks!$AJ$5:$AJ$748,Checks!$B$5:$B$748,$A6,Checks!$G$5:$G$748,"T-12H PREP")/SUMIFS(Checks!$AI$5:$AI$748,Checks!$B$5:$B$748,$A6,Checks!$G$5:$G$748,"T-12H PREP"),"n/a")</f>
        <v>0</v>
      </c>
      <c r="AM6" s="64" t="n">
        <f aca="false">IFERROR(SUMIFS(Checks!$AJ$5:$AJ$748,Checks!$B$5:$B$748,$A6,Checks!$G$5:$G$748,"UPLIFT")/SUMIFS(Checks!$AI$5:$AI$748,Checks!$B$5:$B$748,$A6,Checks!$G$5:$G$748,"UPLIFT"),"n/a")</f>
        <v>0</v>
      </c>
      <c r="AN6" s="64" t="n">
        <f aca="false">IFERROR(SUMIFS(Checks!$AJ$5:$AJ$748,Checks!$B$5:$B$748,$A6)/SUMIFS(Checks!$AI$5:$AI$748,Checks!$B$5:$B$748,$A6),"n/a")</f>
        <v>0</v>
      </c>
      <c r="AO6" s="61" t="n">
        <f aca="false">AW6-AV6</f>
        <v>38</v>
      </c>
      <c r="AP6" s="61" t="n">
        <f aca="false">SUMIFS(Checks!$AK$5:$AK$748,Checks!$B$5:$B$748,$A6)</f>
        <v>0</v>
      </c>
      <c r="AQ6" s="61" t="n">
        <f aca="false">SUMIFS(Checks!$AL$5:$AL$748,Checks!$B$5:$B$748,$A6)</f>
        <v>0</v>
      </c>
      <c r="AR6" s="61" t="n">
        <f aca="false">Documents!P6</f>
        <v>2</v>
      </c>
      <c r="AS6" s="61" t="n">
        <f aca="false">SUMIFS(Checks!$AN$5:$AN$748,Checks!$B$5:$B$748,$A6,Checks!$H$5:$H$748,"Preparation")+IF(AND(TRIM(L6)="A350",ISNA(MATCH(UPPER(SUBSTITUTE(SUBSTITUTE(TRIM(N6),"-","")," ","")),{"9MMAB","9MMAC","9MMAD","9MMAE","9MMAF","9MMAG","9MMAH"},0))),1,0)</f>
        <v>2</v>
      </c>
      <c r="AT6" s="65" t="str">
        <f aca="false">IF(AND(AW6&gt;0,AO6=0,AQ6=0,AR6=0,AS6=0,AU6=0),"READY",IF(AP6&gt;0,"NOT READY – OVERDUE",IF(AQ6&gt;0,"NOT READY – DISCREPANCY",IF(AU6&gt;0,"NOT READY – INVALID ENTRY",IF(AR6&gt;0,"NOT READY – DOCUMENTS",IF(AS6&gt;0,"NOT READY – CLARIFICATION",IF(AND(AV6&gt;0,SUMIFS(Checks!$AJ$5:$AJ$748,Checks!$B$5:$B$748,$A6,Checks!$H$5:$H$748,"Preparation")=SUMIFS(Checks!$AI$5:$AI$748,Checks!$B$5:$B$748,$A6,Checks!$H$5:$H$748,"Preparation")),"PREP DONE – AWAITING UPLIFT",IF(AV6=0,"NOT STARTED","IN PROGRESS"))))))))</f>
        <v>NOT READY – DOCUMENTS</v>
      </c>
      <c r="AU6" s="61" t="n">
        <f aca="false">SUMIFS(Checks!$AM$5:$AM$748,Checks!$B$5:$B$748,$A6)</f>
        <v>0</v>
      </c>
      <c r="AV6" s="61" t="n">
        <f aca="false">SUMIFS(Checks!$AJ$5:$AJ$748,Checks!$B$5:$B$748,$A6)</f>
        <v>0</v>
      </c>
      <c r="AW6" s="61" t="n">
        <f aca="false">SUMIFS(Checks!$AI$5:$AI$748,Checks!$B$5:$B$748,$A6)</f>
        <v>38</v>
      </c>
      <c r="AX6" s="62" t="s">
        <v>197</v>
      </c>
      <c r="AY6" s="62" t="s">
        <v>197</v>
      </c>
      <c r="AZ6" s="62" t="s">
        <v>197</v>
      </c>
      <c r="BA6" s="62" t="str">
        <f aca="false">IFERROR(1/(1/_xlfn.MINIFS(Checks!$AG$5:$AG$748,Checks!$B$5:$B$748,$A6,Checks!$H$5:$H$748,"Physical uplift",Checks!$P$5:$P$748,$G6)),"")</f>
        <v/>
      </c>
      <c r="BB6" s="61" t="n">
        <f aca="false">SUMIFS(Checks!$BG$5:$BG$748,Checks!$B$5:$B$748,$A6)</f>
        <v>0</v>
      </c>
    </row>
    <row r="7" customFormat="false" ht="36" hidden="false" customHeight="true" outlineLevel="0" collapsed="false">
      <c r="A7" s="57" t="s">
        <v>212</v>
      </c>
      <c r="B7" s="57" t="n">
        <v>1</v>
      </c>
      <c r="C7" s="57" t="n">
        <v>3</v>
      </c>
      <c r="D7" s="58" t="n">
        <v>46305</v>
      </c>
      <c r="E7" s="57" t="s">
        <v>213</v>
      </c>
      <c r="F7" s="57" t="s">
        <v>214</v>
      </c>
      <c r="G7" s="57" t="s">
        <v>201</v>
      </c>
      <c r="H7" s="57" t="s">
        <v>187</v>
      </c>
      <c r="I7" s="59" t="n">
        <v>46305.6701388889</v>
      </c>
      <c r="J7" s="59" t="n">
        <v>46305.8090277778</v>
      </c>
      <c r="K7" s="57" t="s">
        <v>188</v>
      </c>
      <c r="L7" s="60" t="s">
        <v>215</v>
      </c>
      <c r="M7" s="57" t="s">
        <v>216</v>
      </c>
      <c r="N7" s="60"/>
      <c r="O7" s="57" t="s">
        <v>217</v>
      </c>
      <c r="P7" s="57" t="s">
        <v>192</v>
      </c>
      <c r="Q7" s="57"/>
      <c r="R7" s="57" t="s">
        <v>208</v>
      </c>
      <c r="S7" s="57" t="s">
        <v>209</v>
      </c>
      <c r="T7" s="57" t="s">
        <v>210</v>
      </c>
      <c r="U7" s="57" t="s">
        <v>211</v>
      </c>
      <c r="V7" s="57" t="s">
        <v>201</v>
      </c>
      <c r="W7" s="57"/>
      <c r="X7" s="60"/>
      <c r="Y7" s="60"/>
      <c r="Z7" s="61" t="n">
        <f aca="false">IF(AND(INDEX(TZ_DSTS,MATCH(G7,TZ_STN,0))&lt;&gt;"",(I7-INDEX(TZ_STD,MATCH(G7,TZ_STN,0))/24)&gt;=INDEX(TZ_DSTS,MATCH(G7,TZ_STN,0)),(I7-INDEX(TZ_STD,MATCH(G7,TZ_STN,0))/24)&lt;INDEX(TZ_DSTE,MATCH(G7,TZ_STN,0))),INDEX(TZ_DST,MATCH(G7,TZ_STN,0)),INDEX(TZ_STD,MATCH(G7,TZ_STN,0)))</f>
        <v>7</v>
      </c>
      <c r="AA7" s="62" t="n">
        <f aca="false">I7-Z7/24</f>
        <v>46305.3784722222</v>
      </c>
      <c r="AB7" s="63" t="n">
        <f aca="false">(J7-(IF(AND(INDEX(TZ_DSTS,MATCH(H7,TZ_STN,0))&lt;&gt;"",(J7-INDEX(TZ_STD,MATCH(H7,TZ_STN,0))/24)&gt;=INDEX(TZ_DSTS,MATCH(H7,TZ_STN,0)),(J7-INDEX(TZ_STD,MATCH(H7,TZ_STN,0))/24)&lt;INDEX(TZ_DSTE,MATCH(H7,TZ_STN,0))),INDEX(TZ_DST,MATCH(H7,TZ_STN,0)),INDEX(TZ_STD,MATCH(H7,TZ_STN,0))))/24-AA7)*24</f>
        <v>2.33333333333333</v>
      </c>
      <c r="AC7" s="62" t="n">
        <f aca="false">AA7-7</f>
        <v>46298.3784722222</v>
      </c>
      <c r="AD7" s="62" t="n">
        <f aca="false">AA7-1</f>
        <v>46304.3784722222</v>
      </c>
      <c r="AE7" s="62" t="n">
        <f aca="false">AA7-0.5</f>
        <v>46304.8784722222</v>
      </c>
      <c r="AF7" s="62" t="n">
        <f aca="false">AA7</f>
        <v>46305.3784722222</v>
      </c>
      <c r="AG7" s="62" t="n">
        <f aca="false">AC7+(IF(AND(INDEX(TZ_DSTS,MATCH(V7,TZ_STN,0))&lt;&gt;"",AC7&gt;=INDEX(TZ_DSTS,MATCH(V7,TZ_STN,0)),AC7&lt;INDEX(TZ_DSTE,MATCH(V7,TZ_STN,0))),INDEX(TZ_DST,MATCH(V7,TZ_STN,0)),INDEX(TZ_STD,MATCH(V7,TZ_STN,0))))/24</f>
        <v>46298.6701388889</v>
      </c>
      <c r="AH7" s="62" t="n">
        <f aca="false">AD7+(IF(AND(INDEX(TZ_DSTS,MATCH(V7,TZ_STN,0))&lt;&gt;"",AD7&gt;=INDEX(TZ_DSTS,MATCH(V7,TZ_STN,0)),AD7&lt;INDEX(TZ_DSTE,MATCH(V7,TZ_STN,0))),INDEX(TZ_DST,MATCH(V7,TZ_STN,0)),INDEX(TZ_STD,MATCH(V7,TZ_STN,0))))/24</f>
        <v>46304.6701388889</v>
      </c>
      <c r="AI7" s="62" t="n">
        <f aca="false">AE7+(IF(AND(INDEX(TZ_DSTS,MATCH(V7,TZ_STN,0))&lt;&gt;"",AE7&gt;=INDEX(TZ_DSTS,MATCH(V7,TZ_STN,0)),AE7&lt;INDEX(TZ_DSTE,MATCH(V7,TZ_STN,0))),INDEX(TZ_DST,MATCH(V7,TZ_STN,0)),INDEX(TZ_STD,MATCH(V7,TZ_STN,0))))/24</f>
        <v>46305.1701388889</v>
      </c>
      <c r="AJ7" s="64" t="n">
        <f aca="false">IFERROR(SUMIFS(Checks!$AJ$5:$AJ$748,Checks!$B$5:$B$748,$A7,Checks!$G$5:$G$748,"T-7D")/SUMIFS(Checks!$AI$5:$AI$748,Checks!$B$5:$B$748,$A7,Checks!$G$5:$G$748,"T-7D"),"n/a")</f>
        <v>0</v>
      </c>
      <c r="AK7" s="64" t="n">
        <f aca="false">IFERROR(SUMIFS(Checks!$AJ$5:$AJ$748,Checks!$B$5:$B$748,$A7,Checks!$G$5:$G$748,"T-24H")/SUMIFS(Checks!$AI$5:$AI$748,Checks!$B$5:$B$748,$A7,Checks!$G$5:$G$748,"T-24H"),"n/a")</f>
        <v>0</v>
      </c>
      <c r="AL7" s="64" t="n">
        <f aca="false">IFERROR(SUMIFS(Checks!$AJ$5:$AJ$748,Checks!$B$5:$B$748,$A7,Checks!$G$5:$G$748,"T-12H PREP")/SUMIFS(Checks!$AI$5:$AI$748,Checks!$B$5:$B$748,$A7,Checks!$G$5:$G$748,"T-12H PREP"),"n/a")</f>
        <v>0</v>
      </c>
      <c r="AM7" s="64" t="n">
        <f aca="false">IFERROR(SUMIFS(Checks!$AJ$5:$AJ$748,Checks!$B$5:$B$748,$A7,Checks!$G$5:$G$748,"UPLIFT")/SUMIFS(Checks!$AI$5:$AI$748,Checks!$B$5:$B$748,$A7,Checks!$G$5:$G$748,"UPLIFT"),"n/a")</f>
        <v>0</v>
      </c>
      <c r="AN7" s="64" t="n">
        <f aca="false">IFERROR(SUMIFS(Checks!$AJ$5:$AJ$748,Checks!$B$5:$B$748,$A7)/SUMIFS(Checks!$AI$5:$AI$748,Checks!$B$5:$B$748,$A7),"n/a")</f>
        <v>0</v>
      </c>
      <c r="AO7" s="61" t="n">
        <f aca="false">AW7-AV7</f>
        <v>20</v>
      </c>
      <c r="AP7" s="61" t="n">
        <f aca="false">SUMIFS(Checks!$AK$5:$AK$748,Checks!$B$5:$B$748,$A7)</f>
        <v>0</v>
      </c>
      <c r="AQ7" s="61" t="n">
        <f aca="false">SUMIFS(Checks!$AL$5:$AL$748,Checks!$B$5:$B$748,$A7)</f>
        <v>0</v>
      </c>
      <c r="AR7" s="61" t="n">
        <f aca="false">Documents!P7</f>
        <v>2</v>
      </c>
      <c r="AS7" s="61" t="n">
        <f aca="false">SUMIFS(Checks!$AN$5:$AN$748,Checks!$B$5:$B$748,$A7,Checks!$H$5:$H$748,"Preparation")+IF(AND(TRIM(L7)="A350",ISNA(MATCH(UPPER(SUBSTITUTE(SUBSTITUTE(TRIM(N7),"-","")," ","")),{"9MMAB","9MMAC","9MMAD","9MMAE","9MMAF","9MMAG","9MMAH"},0))),1,0)</f>
        <v>0</v>
      </c>
      <c r="AT7" s="65" t="str">
        <f aca="false">IF(AND(AW7&gt;0,AO7=0,AQ7=0,AR7=0,AS7=0,AU7=0),"READY",IF(AP7&gt;0,"NOT READY – OVERDUE",IF(AQ7&gt;0,"NOT READY – DISCREPANCY",IF(AU7&gt;0,"NOT READY – INVALID ENTRY",IF(AR7&gt;0,"NOT READY – DOCUMENTS",IF(AS7&gt;0,"NOT READY – CLARIFICATION",IF(AND(AV7&gt;0,SUMIFS(Checks!$AJ$5:$AJ$748,Checks!$B$5:$B$748,$A7,Checks!$H$5:$H$748,"Preparation")=SUMIFS(Checks!$AI$5:$AI$748,Checks!$B$5:$B$748,$A7,Checks!$H$5:$H$748,"Preparation")),"PREP DONE – AWAITING UPLIFT",IF(AV7=0,"NOT STARTED","IN PROGRESS"))))))))</f>
        <v>NOT READY – DOCUMENTS</v>
      </c>
      <c r="AU7" s="61" t="n">
        <f aca="false">SUMIFS(Checks!$AM$5:$AM$748,Checks!$B$5:$B$748,$A7)</f>
        <v>0</v>
      </c>
      <c r="AV7" s="61" t="n">
        <f aca="false">SUMIFS(Checks!$AJ$5:$AJ$748,Checks!$B$5:$B$748,$A7)</f>
        <v>0</v>
      </c>
      <c r="AW7" s="61" t="n">
        <f aca="false">SUMIFS(Checks!$AI$5:$AI$748,Checks!$B$5:$B$748,$A7)</f>
        <v>20</v>
      </c>
      <c r="AX7" s="62" t="s">
        <v>197</v>
      </c>
      <c r="AY7" s="62" t="s">
        <v>197</v>
      </c>
      <c r="AZ7" s="62" t="s">
        <v>197</v>
      </c>
      <c r="BA7" s="62" t="str">
        <f aca="false">IFERROR(1/(1/_xlfn.MINIFS(Checks!$AG$5:$AG$748,Checks!$B$5:$B$748,$A7,Checks!$H$5:$H$748,"Physical uplift",Checks!$P$5:$P$748,$G7)),"")</f>
        <v/>
      </c>
      <c r="BB7" s="61" t="n">
        <f aca="false">SUMIFS(Checks!$BG$5:$BG$748,Checks!$B$5:$B$748,$A7)</f>
        <v>0</v>
      </c>
    </row>
    <row r="8" customFormat="false" ht="36" hidden="false" customHeight="true" outlineLevel="0" collapsed="false">
      <c r="A8" s="57" t="s">
        <v>218</v>
      </c>
      <c r="B8" s="57" t="n">
        <v>1</v>
      </c>
      <c r="C8" s="57" t="n">
        <v>4</v>
      </c>
      <c r="D8" s="58" t="n">
        <v>46305</v>
      </c>
      <c r="E8" s="57" t="s">
        <v>213</v>
      </c>
      <c r="F8" s="57" t="s">
        <v>219</v>
      </c>
      <c r="G8" s="57" t="s">
        <v>187</v>
      </c>
      <c r="H8" s="57" t="s">
        <v>220</v>
      </c>
      <c r="I8" s="59" t="n">
        <v>46305.9791666667</v>
      </c>
      <c r="J8" s="59" t="n">
        <v>46306.3194444445</v>
      </c>
      <c r="K8" s="57" t="s">
        <v>202</v>
      </c>
      <c r="L8" s="60" t="s">
        <v>189</v>
      </c>
      <c r="M8" s="57" t="s">
        <v>190</v>
      </c>
      <c r="N8" s="60"/>
      <c r="O8" s="57" t="s">
        <v>221</v>
      </c>
      <c r="P8" s="57" t="s">
        <v>222</v>
      </c>
      <c r="Q8" s="57" t="s">
        <v>223</v>
      </c>
      <c r="R8" s="57" t="s">
        <v>224</v>
      </c>
      <c r="S8" s="57" t="s">
        <v>225</v>
      </c>
      <c r="T8" s="57" t="s">
        <v>226</v>
      </c>
      <c r="U8" s="57" t="s">
        <v>227</v>
      </c>
      <c r="V8" s="57" t="s">
        <v>187</v>
      </c>
      <c r="W8" s="57"/>
      <c r="X8" s="60"/>
      <c r="Y8" s="60"/>
      <c r="Z8" s="61" t="n">
        <f aca="false">IF(AND(INDEX(TZ_DSTS,MATCH(G8,TZ_STN,0))&lt;&gt;"",(I8-INDEX(TZ_STD,MATCH(G8,TZ_STN,0))/24)&gt;=INDEX(TZ_DSTS,MATCH(G8,TZ_STN,0)),(I8-INDEX(TZ_STD,MATCH(G8,TZ_STN,0))/24)&lt;INDEX(TZ_DSTE,MATCH(G8,TZ_STN,0))),INDEX(TZ_DST,MATCH(G8,TZ_STN,0)),INDEX(TZ_STD,MATCH(G8,TZ_STN,0)))</f>
        <v>8</v>
      </c>
      <c r="AA8" s="62" t="n">
        <f aca="false">I8-Z8/24</f>
        <v>46305.6458333333</v>
      </c>
      <c r="AB8" s="63" t="n">
        <f aca="false">(J8-(IF(AND(INDEX(TZ_DSTS,MATCH(H8,TZ_STN,0))&lt;&gt;"",(J8-INDEX(TZ_STD,MATCH(H8,TZ_STN,0))/24)&gt;=INDEX(TZ_DSTS,MATCH(H8,TZ_STN,0)),(J8-INDEX(TZ_STD,MATCH(H8,TZ_STN,0))/24)&lt;INDEX(TZ_DSTE,MATCH(H8,TZ_STN,0))),INDEX(TZ_DST,MATCH(H8,TZ_STN,0)),INDEX(TZ_STD,MATCH(H8,TZ_STN,0))))/24-AA8)*24</f>
        <v>7.16666666697695</v>
      </c>
      <c r="AC8" s="62" t="n">
        <f aca="false">AA8-7</f>
        <v>46298.6458333333</v>
      </c>
      <c r="AD8" s="62" t="n">
        <f aca="false">AA8-1</f>
        <v>46304.6458333333</v>
      </c>
      <c r="AE8" s="62" t="n">
        <f aca="false">AA8-0.5</f>
        <v>46305.1458333333</v>
      </c>
      <c r="AF8" s="62" t="n">
        <f aca="false">AA8</f>
        <v>46305.6458333333</v>
      </c>
      <c r="AG8" s="62" t="n">
        <f aca="false">AC8+(IF(AND(INDEX(TZ_DSTS,MATCH(V8,TZ_STN,0))&lt;&gt;"",AC8&gt;=INDEX(TZ_DSTS,MATCH(V8,TZ_STN,0)),AC8&lt;INDEX(TZ_DSTE,MATCH(V8,TZ_STN,0))),INDEX(TZ_DST,MATCH(V8,TZ_STN,0)),INDEX(TZ_STD,MATCH(V8,TZ_STN,0))))/24</f>
        <v>46298.9791666667</v>
      </c>
      <c r="AH8" s="62" t="n">
        <f aca="false">AD8+(IF(AND(INDEX(TZ_DSTS,MATCH(V8,TZ_STN,0))&lt;&gt;"",AD8&gt;=INDEX(TZ_DSTS,MATCH(V8,TZ_STN,0)),AD8&lt;INDEX(TZ_DSTE,MATCH(V8,TZ_STN,0))),INDEX(TZ_DST,MATCH(V8,TZ_STN,0)),INDEX(TZ_STD,MATCH(V8,TZ_STN,0))))/24</f>
        <v>46304.9791666667</v>
      </c>
      <c r="AI8" s="62" t="n">
        <f aca="false">AE8+(IF(AND(INDEX(TZ_DSTS,MATCH(V8,TZ_STN,0))&lt;&gt;"",AE8&gt;=INDEX(TZ_DSTS,MATCH(V8,TZ_STN,0)),AE8&lt;INDEX(TZ_DSTE,MATCH(V8,TZ_STN,0))),INDEX(TZ_DST,MATCH(V8,TZ_STN,0)),INDEX(TZ_STD,MATCH(V8,TZ_STN,0))))/24</f>
        <v>46305.4791666667</v>
      </c>
      <c r="AJ8" s="64" t="n">
        <f aca="false">IFERROR(SUMIFS(Checks!$AJ$5:$AJ$748,Checks!$B$5:$B$748,$A8,Checks!$G$5:$G$748,"T-7D")/SUMIFS(Checks!$AI$5:$AI$748,Checks!$B$5:$B$748,$A8,Checks!$G$5:$G$748,"T-7D"),"n/a")</f>
        <v>0</v>
      </c>
      <c r="AK8" s="64" t="n">
        <f aca="false">IFERROR(SUMIFS(Checks!$AJ$5:$AJ$748,Checks!$B$5:$B$748,$A8,Checks!$G$5:$G$748,"T-24H")/SUMIFS(Checks!$AI$5:$AI$748,Checks!$B$5:$B$748,$A8,Checks!$G$5:$G$748,"T-24H"),"n/a")</f>
        <v>0</v>
      </c>
      <c r="AL8" s="64" t="n">
        <f aca="false">IFERROR(SUMIFS(Checks!$AJ$5:$AJ$748,Checks!$B$5:$B$748,$A8,Checks!$G$5:$G$748,"T-12H PREP")/SUMIFS(Checks!$AI$5:$AI$748,Checks!$B$5:$B$748,$A8,Checks!$G$5:$G$748,"T-12H PREP"),"n/a")</f>
        <v>0</v>
      </c>
      <c r="AM8" s="64" t="n">
        <f aca="false">IFERROR(SUMIFS(Checks!$AJ$5:$AJ$748,Checks!$B$5:$B$748,$A8,Checks!$G$5:$G$748,"UPLIFT")/SUMIFS(Checks!$AI$5:$AI$748,Checks!$B$5:$B$748,$A8,Checks!$G$5:$G$748,"UPLIFT"),"n/a")</f>
        <v>0</v>
      </c>
      <c r="AN8" s="64" t="n">
        <f aca="false">IFERROR(SUMIFS(Checks!$AJ$5:$AJ$748,Checks!$B$5:$B$748,$A8)/SUMIFS(Checks!$AI$5:$AI$748,Checks!$B$5:$B$748,$A8),"n/a")</f>
        <v>0</v>
      </c>
      <c r="AO8" s="61" t="n">
        <f aca="false">AW8-AV8</f>
        <v>46</v>
      </c>
      <c r="AP8" s="61" t="n">
        <f aca="false">SUMIFS(Checks!$AK$5:$AK$748,Checks!$B$5:$B$748,$A8)</f>
        <v>0</v>
      </c>
      <c r="AQ8" s="61" t="n">
        <f aca="false">SUMIFS(Checks!$AL$5:$AL$748,Checks!$B$5:$B$748,$A8)</f>
        <v>0</v>
      </c>
      <c r="AR8" s="61" t="n">
        <f aca="false">Documents!P8</f>
        <v>2</v>
      </c>
      <c r="AS8" s="61" t="n">
        <f aca="false">SUMIFS(Checks!$AN$5:$AN$748,Checks!$B$5:$B$748,$A8,Checks!$H$5:$H$748,"Preparation")+IF(AND(TRIM(L8)="A350",ISNA(MATCH(UPPER(SUBSTITUTE(SUBSTITUTE(TRIM(N8),"-","")," ","")),{"9MMAB","9MMAC","9MMAD","9MMAE","9MMAF","9MMAG","9MMAH"},0))),1,0)</f>
        <v>1</v>
      </c>
      <c r="AT8" s="65" t="str">
        <f aca="false">IF(AND(AW8&gt;0,AO8=0,AQ8=0,AR8=0,AS8=0,AU8=0),"READY",IF(AP8&gt;0,"NOT READY – OVERDUE",IF(AQ8&gt;0,"NOT READY – DISCREPANCY",IF(AU8&gt;0,"NOT READY – INVALID ENTRY",IF(AR8&gt;0,"NOT READY – DOCUMENTS",IF(AS8&gt;0,"NOT READY – CLARIFICATION",IF(AND(AV8&gt;0,SUMIFS(Checks!$AJ$5:$AJ$748,Checks!$B$5:$B$748,$A8,Checks!$H$5:$H$748,"Preparation")=SUMIFS(Checks!$AI$5:$AI$748,Checks!$B$5:$B$748,$A8,Checks!$H$5:$H$748,"Preparation")),"PREP DONE – AWAITING UPLIFT",IF(AV8=0,"NOT STARTED","IN PROGRESS"))))))))</f>
        <v>NOT READY – DOCUMENTS</v>
      </c>
      <c r="AU8" s="61" t="n">
        <f aca="false">SUMIFS(Checks!$AM$5:$AM$748,Checks!$B$5:$B$748,$A8)</f>
        <v>0</v>
      </c>
      <c r="AV8" s="61" t="n">
        <f aca="false">SUMIFS(Checks!$AJ$5:$AJ$748,Checks!$B$5:$B$748,$A8)</f>
        <v>0</v>
      </c>
      <c r="AW8" s="61" t="n">
        <f aca="false">SUMIFS(Checks!$AI$5:$AI$748,Checks!$B$5:$B$748,$A8)</f>
        <v>46</v>
      </c>
      <c r="AX8" s="62" t="s">
        <v>197</v>
      </c>
      <c r="AY8" s="62" t="s">
        <v>197</v>
      </c>
      <c r="AZ8" s="62" t="s">
        <v>197</v>
      </c>
      <c r="BA8" s="62" t="str">
        <f aca="false">IFERROR(1/(1/_xlfn.MINIFS(Checks!$AG$5:$AG$748,Checks!$B$5:$B$748,$A8,Checks!$H$5:$H$748,"Physical uplift",Checks!$P$5:$P$748,$G8)),"")</f>
        <v/>
      </c>
      <c r="BB8" s="61" t="n">
        <f aca="false">SUMIFS(Checks!$BG$5:$BG$748,Checks!$B$5:$B$748,$A8)</f>
        <v>0</v>
      </c>
    </row>
    <row r="9" customFormat="false" ht="36" hidden="false" customHeight="true" outlineLevel="0" collapsed="false">
      <c r="A9" s="57" t="s">
        <v>228</v>
      </c>
      <c r="B9" s="57" t="n">
        <v>1</v>
      </c>
      <c r="C9" s="57" t="n">
        <v>5</v>
      </c>
      <c r="D9" s="58" t="n">
        <v>46310</v>
      </c>
      <c r="E9" s="57" t="s">
        <v>184</v>
      </c>
      <c r="F9" s="57" t="s">
        <v>229</v>
      </c>
      <c r="G9" s="57" t="s">
        <v>220</v>
      </c>
      <c r="H9" s="57" t="s">
        <v>187</v>
      </c>
      <c r="I9" s="59" t="n">
        <v>46310.4201388889</v>
      </c>
      <c r="J9" s="59" t="n">
        <v>46310.6979166667</v>
      </c>
      <c r="K9" s="57" t="s">
        <v>188</v>
      </c>
      <c r="L9" s="60" t="s">
        <v>189</v>
      </c>
      <c r="M9" s="57" t="s">
        <v>190</v>
      </c>
      <c r="N9" s="60"/>
      <c r="O9" s="57" t="s">
        <v>230</v>
      </c>
      <c r="P9" s="57" t="s">
        <v>192</v>
      </c>
      <c r="Q9" s="57"/>
      <c r="R9" s="57" t="s">
        <v>224</v>
      </c>
      <c r="S9" s="57" t="s">
        <v>225</v>
      </c>
      <c r="T9" s="57" t="s">
        <v>226</v>
      </c>
      <c r="U9" s="57" t="s">
        <v>227</v>
      </c>
      <c r="V9" s="57" t="s">
        <v>220</v>
      </c>
      <c r="W9" s="57"/>
      <c r="X9" s="60"/>
      <c r="Y9" s="60"/>
      <c r="Z9" s="61" t="n">
        <f aca="false">IF(AND(INDEX(TZ_DSTS,MATCH(G9,TZ_STN,0))&lt;&gt;"",(I9-INDEX(TZ_STD,MATCH(G9,TZ_STN,0))/24)&gt;=INDEX(TZ_DSTS,MATCH(G9,TZ_STN,0)),(I9-INDEX(TZ_STD,MATCH(G9,TZ_STN,0))/24)&lt;INDEX(TZ_DSTE,MATCH(G9,TZ_STN,0))),INDEX(TZ_DST,MATCH(G9,TZ_STN,0)),INDEX(TZ_STD,MATCH(G9,TZ_STN,0)))</f>
        <v>9</v>
      </c>
      <c r="AA9" s="62" t="n">
        <f aca="false">I9-Z9/24</f>
        <v>46310.0451388889</v>
      </c>
      <c r="AB9" s="63" t="n">
        <f aca="false">(J9-(IF(AND(INDEX(TZ_DSTS,MATCH(H9,TZ_STN,0))&lt;&gt;"",(J9-INDEX(TZ_STD,MATCH(H9,TZ_STN,0))/24)&gt;=INDEX(TZ_DSTS,MATCH(H9,TZ_STN,0)),(J9-INDEX(TZ_STD,MATCH(H9,TZ_STN,0))/24)&lt;INDEX(TZ_DSTE,MATCH(H9,TZ_STN,0))),INDEX(TZ_DST,MATCH(H9,TZ_STN,0)),INDEX(TZ_STD,MATCH(H9,TZ_STN,0))))/24-AA9)*24</f>
        <v>7.66666666633667</v>
      </c>
      <c r="AC9" s="62" t="n">
        <f aca="false">AA9-7</f>
        <v>46303.0451388889</v>
      </c>
      <c r="AD9" s="62" t="n">
        <f aca="false">AA9-1</f>
        <v>46309.0451388889</v>
      </c>
      <c r="AE9" s="62" t="n">
        <f aca="false">AA9-0.5</f>
        <v>46309.5451388889</v>
      </c>
      <c r="AF9" s="62" t="n">
        <f aca="false">AA9</f>
        <v>46310.0451388889</v>
      </c>
      <c r="AG9" s="62" t="n">
        <f aca="false">AC9+(IF(AND(INDEX(TZ_DSTS,MATCH(V9,TZ_STN,0))&lt;&gt;"",AC9&gt;=INDEX(TZ_DSTS,MATCH(V9,TZ_STN,0)),AC9&lt;INDEX(TZ_DSTE,MATCH(V9,TZ_STN,0))),INDEX(TZ_DST,MATCH(V9,TZ_STN,0)),INDEX(TZ_STD,MATCH(V9,TZ_STN,0))))/24</f>
        <v>46303.4201388889</v>
      </c>
      <c r="AH9" s="62" t="n">
        <f aca="false">AD9+(IF(AND(INDEX(TZ_DSTS,MATCH(V9,TZ_STN,0))&lt;&gt;"",AD9&gt;=INDEX(TZ_DSTS,MATCH(V9,TZ_STN,0)),AD9&lt;INDEX(TZ_DSTE,MATCH(V9,TZ_STN,0))),INDEX(TZ_DST,MATCH(V9,TZ_STN,0)),INDEX(TZ_STD,MATCH(V9,TZ_STN,0))))/24</f>
        <v>46309.4201388889</v>
      </c>
      <c r="AI9" s="62" t="n">
        <f aca="false">AE9+(IF(AND(INDEX(TZ_DSTS,MATCH(V9,TZ_STN,0))&lt;&gt;"",AE9&gt;=INDEX(TZ_DSTS,MATCH(V9,TZ_STN,0)),AE9&lt;INDEX(TZ_DSTE,MATCH(V9,TZ_STN,0))),INDEX(TZ_DST,MATCH(V9,TZ_STN,0)),INDEX(TZ_STD,MATCH(V9,TZ_STN,0))))/24</f>
        <v>46309.9201388889</v>
      </c>
      <c r="AJ9" s="64" t="n">
        <f aca="false">IFERROR(SUMIFS(Checks!$AJ$5:$AJ$748,Checks!$B$5:$B$748,$A9,Checks!$G$5:$G$748,"T-7D")/SUMIFS(Checks!$AI$5:$AI$748,Checks!$B$5:$B$748,$A9,Checks!$G$5:$G$748,"T-7D"),"n/a")</f>
        <v>0</v>
      </c>
      <c r="AK9" s="64" t="n">
        <f aca="false">IFERROR(SUMIFS(Checks!$AJ$5:$AJ$748,Checks!$B$5:$B$748,$A9,Checks!$G$5:$G$748,"T-24H")/SUMIFS(Checks!$AI$5:$AI$748,Checks!$B$5:$B$748,$A9,Checks!$G$5:$G$748,"T-24H"),"n/a")</f>
        <v>0</v>
      </c>
      <c r="AL9" s="64" t="n">
        <f aca="false">IFERROR(SUMIFS(Checks!$AJ$5:$AJ$748,Checks!$B$5:$B$748,$A9,Checks!$G$5:$G$748,"T-12H PREP")/SUMIFS(Checks!$AI$5:$AI$748,Checks!$B$5:$B$748,$A9,Checks!$G$5:$G$748,"T-12H PREP"),"n/a")</f>
        <v>0</v>
      </c>
      <c r="AM9" s="64" t="n">
        <f aca="false">IFERROR(SUMIFS(Checks!$AJ$5:$AJ$748,Checks!$B$5:$B$748,$A9,Checks!$G$5:$G$748,"UPLIFT")/SUMIFS(Checks!$AI$5:$AI$748,Checks!$B$5:$B$748,$A9,Checks!$G$5:$G$748,"UPLIFT"),"n/a")</f>
        <v>0</v>
      </c>
      <c r="AN9" s="64" t="n">
        <f aca="false">IFERROR(SUMIFS(Checks!$AJ$5:$AJ$748,Checks!$B$5:$B$748,$A9)/SUMIFS(Checks!$AI$5:$AI$748,Checks!$B$5:$B$748,$A9),"n/a")</f>
        <v>0</v>
      </c>
      <c r="AO9" s="61" t="n">
        <f aca="false">AW9-AV9</f>
        <v>28</v>
      </c>
      <c r="AP9" s="61" t="n">
        <f aca="false">SUMIFS(Checks!$AK$5:$AK$748,Checks!$B$5:$B$748,$A9)</f>
        <v>0</v>
      </c>
      <c r="AQ9" s="61" t="n">
        <f aca="false">SUMIFS(Checks!$AL$5:$AL$748,Checks!$B$5:$B$748,$A9)</f>
        <v>0</v>
      </c>
      <c r="AR9" s="61" t="n">
        <f aca="false">Documents!P9</f>
        <v>2</v>
      </c>
      <c r="AS9" s="61" t="n">
        <f aca="false">SUMIFS(Checks!$AN$5:$AN$748,Checks!$B$5:$B$748,$A9,Checks!$H$5:$H$748,"Preparation")+IF(AND(TRIM(L9)="A350",ISNA(MATCH(UPPER(SUBSTITUTE(SUBSTITUTE(TRIM(N9),"-","")," ","")),{"9MMAB","9MMAC","9MMAD","9MMAE","9MMAF","9MMAG","9MMAH"},0))),1,0)</f>
        <v>4</v>
      </c>
      <c r="AT9" s="65" t="str">
        <f aca="false">IF(AND(AW9&gt;0,AO9=0,AQ9=0,AR9=0,AS9=0,AU9=0),"READY",IF(AP9&gt;0,"NOT READY – OVERDUE",IF(AQ9&gt;0,"NOT READY – DISCREPANCY",IF(AU9&gt;0,"NOT READY – INVALID ENTRY",IF(AR9&gt;0,"NOT READY – DOCUMENTS",IF(AS9&gt;0,"NOT READY – CLARIFICATION",IF(AND(AV9&gt;0,SUMIFS(Checks!$AJ$5:$AJ$748,Checks!$B$5:$B$748,$A9,Checks!$H$5:$H$748,"Preparation")=SUMIFS(Checks!$AI$5:$AI$748,Checks!$B$5:$B$748,$A9,Checks!$H$5:$H$748,"Preparation")),"PREP DONE – AWAITING UPLIFT",IF(AV9=0,"NOT STARTED","IN PROGRESS"))))))))</f>
        <v>NOT READY – DOCUMENTS</v>
      </c>
      <c r="AU9" s="61" t="n">
        <f aca="false">SUMIFS(Checks!$AM$5:$AM$748,Checks!$B$5:$B$748,$A9)</f>
        <v>0</v>
      </c>
      <c r="AV9" s="61" t="n">
        <f aca="false">SUMIFS(Checks!$AJ$5:$AJ$748,Checks!$B$5:$B$748,$A9)</f>
        <v>0</v>
      </c>
      <c r="AW9" s="61" t="n">
        <f aca="false">SUMIFS(Checks!$AI$5:$AI$748,Checks!$B$5:$B$748,$A9)</f>
        <v>28</v>
      </c>
      <c r="AX9" s="66"/>
      <c r="AY9" s="62" t="n">
        <f aca="false">ROUND((IF(ISNUMBER(AX9),AX9,AA9-MIN($AB$8)/24)-UpliftWindowH/24)*1440,0)/1440</f>
        <v>46309.4965277778</v>
      </c>
      <c r="AZ9" s="62" t="n">
        <f aca="false">ROUND((AY9+UpliftWindowH/24+MIN($AB$8)/24)*1440,0)/1440</f>
        <v>46310.0451388889</v>
      </c>
      <c r="BA9" s="62" t="str">
        <f aca="false">IFERROR(1/(1/_xlfn.MINIFS(Checks!$AG$5:$AG$748,Checks!$B$5:$B$748,$A9,Checks!$H$5:$H$748,"Physical uplift",Checks!$P$5:$P$748,$G9)),"")</f>
        <v/>
      </c>
      <c r="BB9" s="61" t="n">
        <f aca="false">SUMIFS(Checks!$BG$5:$BG$748,Checks!$B$5:$B$748,$A9)</f>
        <v>0</v>
      </c>
    </row>
    <row r="10" customFormat="false" ht="36" hidden="false" customHeight="true" outlineLevel="0" collapsed="false">
      <c r="A10" s="57" t="s">
        <v>231</v>
      </c>
      <c r="B10" s="57" t="n">
        <v>1</v>
      </c>
      <c r="C10" s="57" t="n">
        <v>6</v>
      </c>
      <c r="D10" s="58" t="n">
        <v>46310</v>
      </c>
      <c r="E10" s="57" t="s">
        <v>184</v>
      </c>
      <c r="F10" s="57" t="s">
        <v>232</v>
      </c>
      <c r="G10" s="57" t="s">
        <v>187</v>
      </c>
      <c r="H10" s="57" t="s">
        <v>186</v>
      </c>
      <c r="I10" s="59" t="n">
        <v>46310.9722222222</v>
      </c>
      <c r="J10" s="59" t="n">
        <v>46311.2465277778</v>
      </c>
      <c r="K10" s="57" t="s">
        <v>202</v>
      </c>
      <c r="L10" s="60" t="s">
        <v>189</v>
      </c>
      <c r="M10" s="57" t="s">
        <v>190</v>
      </c>
      <c r="N10" s="60"/>
      <c r="O10" s="57" t="s">
        <v>233</v>
      </c>
      <c r="P10" s="57" t="s">
        <v>234</v>
      </c>
      <c r="Q10" s="57"/>
      <c r="R10" s="57" t="s">
        <v>193</v>
      </c>
      <c r="S10" s="57" t="s">
        <v>194</v>
      </c>
      <c r="T10" s="57" t="s">
        <v>195</v>
      </c>
      <c r="U10" s="57" t="s">
        <v>196</v>
      </c>
      <c r="V10" s="57" t="s">
        <v>187</v>
      </c>
      <c r="W10" s="57"/>
      <c r="X10" s="60"/>
      <c r="Y10" s="60"/>
      <c r="Z10" s="61" t="n">
        <f aca="false">IF(AND(INDEX(TZ_DSTS,MATCH(G10,TZ_STN,0))&lt;&gt;"",(I10-INDEX(TZ_STD,MATCH(G10,TZ_STN,0))/24)&gt;=INDEX(TZ_DSTS,MATCH(G10,TZ_STN,0)),(I10-INDEX(TZ_STD,MATCH(G10,TZ_STN,0))/24)&lt;INDEX(TZ_DSTE,MATCH(G10,TZ_STN,0))),INDEX(TZ_DST,MATCH(G10,TZ_STN,0)),INDEX(TZ_STD,MATCH(G10,TZ_STN,0)))</f>
        <v>8</v>
      </c>
      <c r="AA10" s="62" t="n">
        <f aca="false">I10-Z10/24</f>
        <v>46310.6388888889</v>
      </c>
      <c r="AB10" s="63" t="n">
        <f aca="false">(J10-(IF(AND(INDEX(TZ_DSTS,MATCH(H10,TZ_STN,0))&lt;&gt;"",(J10-INDEX(TZ_STD,MATCH(H10,TZ_STN,0))/24)&gt;=INDEX(TZ_DSTS,MATCH(H10,TZ_STN,0)),(J10-INDEX(TZ_STD,MATCH(H10,TZ_STN,0))/24)&lt;INDEX(TZ_DSTE,MATCH(H10,TZ_STN,0))),INDEX(TZ_DST,MATCH(H10,TZ_STN,0)),INDEX(TZ_STD,MATCH(H10,TZ_STN,0))))/24-AA10)*24</f>
        <v>13.5833333333333</v>
      </c>
      <c r="AC10" s="62" t="n">
        <f aca="false">AA10-7</f>
        <v>46303.6388888889</v>
      </c>
      <c r="AD10" s="62" t="n">
        <f aca="false">AA10-1</f>
        <v>46309.6388888889</v>
      </c>
      <c r="AE10" s="62" t="n">
        <f aca="false">AA10-0.5</f>
        <v>46310.1388888889</v>
      </c>
      <c r="AF10" s="62" t="n">
        <f aca="false">AA10</f>
        <v>46310.6388888889</v>
      </c>
      <c r="AG10" s="62" t="n">
        <f aca="false">AC10+(IF(AND(INDEX(TZ_DSTS,MATCH(V10,TZ_STN,0))&lt;&gt;"",AC10&gt;=INDEX(TZ_DSTS,MATCH(V10,TZ_STN,0)),AC10&lt;INDEX(TZ_DSTE,MATCH(V10,TZ_STN,0))),INDEX(TZ_DST,MATCH(V10,TZ_STN,0)),INDEX(TZ_STD,MATCH(V10,TZ_STN,0))))/24</f>
        <v>46303.9722222222</v>
      </c>
      <c r="AH10" s="62" t="n">
        <f aca="false">AD10+(IF(AND(INDEX(TZ_DSTS,MATCH(V10,TZ_STN,0))&lt;&gt;"",AD10&gt;=INDEX(TZ_DSTS,MATCH(V10,TZ_STN,0)),AD10&lt;INDEX(TZ_DSTE,MATCH(V10,TZ_STN,0))),INDEX(TZ_DST,MATCH(V10,TZ_STN,0)),INDEX(TZ_STD,MATCH(V10,TZ_STN,0))))/24</f>
        <v>46309.9722222222</v>
      </c>
      <c r="AI10" s="62" t="n">
        <f aca="false">AE10+(IF(AND(INDEX(TZ_DSTS,MATCH(V10,TZ_STN,0))&lt;&gt;"",AE10&gt;=INDEX(TZ_DSTS,MATCH(V10,TZ_STN,0)),AE10&lt;INDEX(TZ_DSTE,MATCH(V10,TZ_STN,0))),INDEX(TZ_DST,MATCH(V10,TZ_STN,0)),INDEX(TZ_STD,MATCH(V10,TZ_STN,0))))/24</f>
        <v>46310.4722222222</v>
      </c>
      <c r="AJ10" s="64" t="n">
        <f aca="false">IFERROR(SUMIFS(Checks!$AJ$5:$AJ$748,Checks!$B$5:$B$748,$A10,Checks!$G$5:$G$748,"T-7D")/SUMIFS(Checks!$AI$5:$AI$748,Checks!$B$5:$B$748,$A10,Checks!$G$5:$G$748,"T-7D"),"n/a")</f>
        <v>0</v>
      </c>
      <c r="AK10" s="64" t="n">
        <f aca="false">IFERROR(SUMIFS(Checks!$AJ$5:$AJ$748,Checks!$B$5:$B$748,$A10,Checks!$G$5:$G$748,"T-24H")/SUMIFS(Checks!$AI$5:$AI$748,Checks!$B$5:$B$748,$A10,Checks!$G$5:$G$748,"T-24H"),"n/a")</f>
        <v>0</v>
      </c>
      <c r="AL10" s="64" t="n">
        <f aca="false">IFERROR(SUMIFS(Checks!$AJ$5:$AJ$748,Checks!$B$5:$B$748,$A10,Checks!$G$5:$G$748,"T-12H PREP")/SUMIFS(Checks!$AI$5:$AI$748,Checks!$B$5:$B$748,$A10,Checks!$G$5:$G$748,"T-12H PREP"),"n/a")</f>
        <v>0</v>
      </c>
      <c r="AM10" s="64" t="n">
        <f aca="false">IFERROR(SUMIFS(Checks!$AJ$5:$AJ$748,Checks!$B$5:$B$748,$A10,Checks!$G$5:$G$748,"UPLIFT")/SUMIFS(Checks!$AI$5:$AI$748,Checks!$B$5:$B$748,$A10,Checks!$G$5:$G$748,"UPLIFT"),"n/a")</f>
        <v>0</v>
      </c>
      <c r="AN10" s="64" t="n">
        <f aca="false">IFERROR(SUMIFS(Checks!$AJ$5:$AJ$748,Checks!$B$5:$B$748,$A10)/SUMIFS(Checks!$AI$5:$AI$748,Checks!$B$5:$B$748,$A10),"n/a")</f>
        <v>0</v>
      </c>
      <c r="AO10" s="61" t="n">
        <f aca="false">AW10-AV10</f>
        <v>46</v>
      </c>
      <c r="AP10" s="61" t="n">
        <f aca="false">SUMIFS(Checks!$AK$5:$AK$748,Checks!$B$5:$B$748,$A10)</f>
        <v>0</v>
      </c>
      <c r="AQ10" s="61" t="n">
        <f aca="false">SUMIFS(Checks!$AL$5:$AL$748,Checks!$B$5:$B$748,$A10)</f>
        <v>0</v>
      </c>
      <c r="AR10" s="61" t="n">
        <f aca="false">Documents!P10</f>
        <v>2</v>
      </c>
      <c r="AS10" s="61" t="n">
        <f aca="false">SUMIFS(Checks!$AN$5:$AN$748,Checks!$B$5:$B$748,$A10,Checks!$H$5:$H$748,"Preparation")+IF(AND(TRIM(L10)="A350",ISNA(MATCH(UPPER(SUBSTITUTE(SUBSTITUTE(TRIM(N10),"-","")," ","")),{"9MMAB","9MMAC","9MMAD","9MMAE","9MMAF","9MMAG","9MMAH"},0))),1,0)</f>
        <v>2</v>
      </c>
      <c r="AT10" s="65" t="str">
        <f aca="false">IF(AND(AW10&gt;0,AO10=0,AQ10=0,AR10=0,AS10=0,AU10=0),"READY",IF(AP10&gt;0,"NOT READY – OVERDUE",IF(AQ10&gt;0,"NOT READY – DISCREPANCY",IF(AU10&gt;0,"NOT READY – INVALID ENTRY",IF(AR10&gt;0,"NOT READY – DOCUMENTS",IF(AS10&gt;0,"NOT READY – CLARIFICATION",IF(AND(AV10&gt;0,SUMIFS(Checks!$AJ$5:$AJ$748,Checks!$B$5:$B$748,$A10,Checks!$H$5:$H$748,"Preparation")=SUMIFS(Checks!$AI$5:$AI$748,Checks!$B$5:$B$748,$A10,Checks!$H$5:$H$748,"Preparation")),"PREP DONE – AWAITING UPLIFT",IF(AV10=0,"NOT STARTED","IN PROGRESS"))))))))</f>
        <v>NOT READY – DOCUMENTS</v>
      </c>
      <c r="AU10" s="61" t="n">
        <f aca="false">SUMIFS(Checks!$AM$5:$AM$748,Checks!$B$5:$B$748,$A10)</f>
        <v>0</v>
      </c>
      <c r="AV10" s="61" t="n">
        <f aca="false">SUMIFS(Checks!$AJ$5:$AJ$748,Checks!$B$5:$B$748,$A10)</f>
        <v>0</v>
      </c>
      <c r="AW10" s="61" t="n">
        <f aca="false">SUMIFS(Checks!$AI$5:$AI$748,Checks!$B$5:$B$748,$A10)</f>
        <v>46</v>
      </c>
      <c r="AX10" s="62" t="s">
        <v>197</v>
      </c>
      <c r="AY10" s="62" t="s">
        <v>197</v>
      </c>
      <c r="AZ10" s="62" t="s">
        <v>197</v>
      </c>
      <c r="BA10" s="62" t="str">
        <f aca="false">IFERROR(1/(1/_xlfn.MINIFS(Checks!$AG$5:$AG$748,Checks!$B$5:$B$748,$A10,Checks!$H$5:$H$748,"Physical uplift",Checks!$P$5:$P$748,$G10)),"")</f>
        <v/>
      </c>
      <c r="BB10" s="61" t="n">
        <f aca="false">SUMIFS(Checks!$BG$5:$BG$748,Checks!$B$5:$B$748,$A10)</f>
        <v>0</v>
      </c>
    </row>
    <row r="11" customFormat="false" ht="36" hidden="false" customHeight="true" outlineLevel="0" collapsed="false">
      <c r="A11" s="57" t="s">
        <v>235</v>
      </c>
      <c r="B11" s="57" t="n">
        <v>2</v>
      </c>
      <c r="C11" s="57" t="n">
        <v>7</v>
      </c>
      <c r="D11" s="58" t="n">
        <v>46304</v>
      </c>
      <c r="E11" s="57" t="s">
        <v>199</v>
      </c>
      <c r="F11" s="57" t="s">
        <v>236</v>
      </c>
      <c r="G11" s="57" t="s">
        <v>186</v>
      </c>
      <c r="H11" s="57" t="s">
        <v>187</v>
      </c>
      <c r="I11" s="59" t="n">
        <v>46304.4583333333</v>
      </c>
      <c r="J11" s="59" t="n">
        <v>46305.28125</v>
      </c>
      <c r="K11" s="57" t="s">
        <v>202</v>
      </c>
      <c r="L11" s="60" t="s">
        <v>189</v>
      </c>
      <c r="M11" s="57" t="s">
        <v>190</v>
      </c>
      <c r="N11" s="60"/>
      <c r="O11" s="57" t="s">
        <v>237</v>
      </c>
      <c r="P11" s="57" t="s">
        <v>192</v>
      </c>
      <c r="Q11" s="57"/>
      <c r="R11" s="57" t="s">
        <v>193</v>
      </c>
      <c r="S11" s="57" t="s">
        <v>194</v>
      </c>
      <c r="T11" s="57" t="s">
        <v>195</v>
      </c>
      <c r="U11" s="57" t="s">
        <v>196</v>
      </c>
      <c r="V11" s="57" t="s">
        <v>186</v>
      </c>
      <c r="W11" s="57"/>
      <c r="X11" s="60"/>
      <c r="Y11" s="60"/>
      <c r="Z11" s="61" t="n">
        <f aca="false">IF(AND(INDEX(TZ_DSTS,MATCH(G11,TZ_STN,0))&lt;&gt;"",(I11-INDEX(TZ_STD,MATCH(G11,TZ_STN,0))/24)&gt;=INDEX(TZ_DSTS,MATCH(G11,TZ_STN,0)),(I11-INDEX(TZ_STD,MATCH(G11,TZ_STN,0))/24)&lt;INDEX(TZ_DSTE,MATCH(G11,TZ_STN,0))),INDEX(TZ_DST,MATCH(G11,TZ_STN,0)),INDEX(TZ_STD,MATCH(G11,TZ_STN,0)))</f>
        <v>1</v>
      </c>
      <c r="AA11" s="62" t="n">
        <f aca="false">I11-Z11/24</f>
        <v>46304.4166666667</v>
      </c>
      <c r="AB11" s="63" t="n">
        <f aca="false">(J11-(IF(AND(INDEX(TZ_DSTS,MATCH(H11,TZ_STN,0))&lt;&gt;"",(J11-INDEX(TZ_STD,MATCH(H11,TZ_STN,0))/24)&gt;=INDEX(TZ_DSTS,MATCH(H11,TZ_STN,0)),(J11-INDEX(TZ_STD,MATCH(H11,TZ_STN,0))/24)&lt;INDEX(TZ_DSTE,MATCH(H11,TZ_STN,0))),INDEX(TZ_DST,MATCH(H11,TZ_STN,0)),INDEX(TZ_STD,MATCH(H11,TZ_STN,0))))/24-AA11)*24</f>
        <v>12.7499999996506</v>
      </c>
      <c r="AC11" s="62" t="n">
        <f aca="false">AA11-7</f>
        <v>46297.4166666667</v>
      </c>
      <c r="AD11" s="62" t="n">
        <f aca="false">AA11-1</f>
        <v>46303.4166666667</v>
      </c>
      <c r="AE11" s="62" t="n">
        <f aca="false">AA11-0.5</f>
        <v>46303.9166666667</v>
      </c>
      <c r="AF11" s="62" t="n">
        <f aca="false">AA11</f>
        <v>46304.4166666667</v>
      </c>
      <c r="AG11" s="62" t="n">
        <f aca="false">AC11+(IF(AND(INDEX(TZ_DSTS,MATCH(V11,TZ_STN,0))&lt;&gt;"",AC11&gt;=INDEX(TZ_DSTS,MATCH(V11,TZ_STN,0)),AC11&lt;INDEX(TZ_DSTE,MATCH(V11,TZ_STN,0))),INDEX(TZ_DST,MATCH(V11,TZ_STN,0)),INDEX(TZ_STD,MATCH(V11,TZ_STN,0))))/24</f>
        <v>46297.4583333333</v>
      </c>
      <c r="AH11" s="62" t="n">
        <f aca="false">AD11+(IF(AND(INDEX(TZ_DSTS,MATCH(V11,TZ_STN,0))&lt;&gt;"",AD11&gt;=INDEX(TZ_DSTS,MATCH(V11,TZ_STN,0)),AD11&lt;INDEX(TZ_DSTE,MATCH(V11,TZ_STN,0))),INDEX(TZ_DST,MATCH(V11,TZ_STN,0)),INDEX(TZ_STD,MATCH(V11,TZ_STN,0))))/24</f>
        <v>46303.4583333333</v>
      </c>
      <c r="AI11" s="62" t="n">
        <f aca="false">AE11+(IF(AND(INDEX(TZ_DSTS,MATCH(V11,TZ_STN,0))&lt;&gt;"",AE11&gt;=INDEX(TZ_DSTS,MATCH(V11,TZ_STN,0)),AE11&lt;INDEX(TZ_DSTE,MATCH(V11,TZ_STN,0))),INDEX(TZ_DST,MATCH(V11,TZ_STN,0)),INDEX(TZ_STD,MATCH(V11,TZ_STN,0))))/24</f>
        <v>46303.9583333333</v>
      </c>
      <c r="AJ11" s="64" t="n">
        <f aca="false">IFERROR(SUMIFS(Checks!$AJ$5:$AJ$748,Checks!$B$5:$B$748,$A11,Checks!$G$5:$G$748,"T-7D")/SUMIFS(Checks!$AI$5:$AI$748,Checks!$B$5:$B$748,$A11,Checks!$G$5:$G$748,"T-7D"),"n/a")</f>
        <v>0</v>
      </c>
      <c r="AK11" s="64" t="n">
        <f aca="false">IFERROR(SUMIFS(Checks!$AJ$5:$AJ$748,Checks!$B$5:$B$748,$A11,Checks!$G$5:$G$748,"T-24H")/SUMIFS(Checks!$AI$5:$AI$748,Checks!$B$5:$B$748,$A11,Checks!$G$5:$G$748,"T-24H"),"n/a")</f>
        <v>0</v>
      </c>
      <c r="AL11" s="64" t="n">
        <f aca="false">IFERROR(SUMIFS(Checks!$AJ$5:$AJ$748,Checks!$B$5:$B$748,$A11,Checks!$G$5:$G$748,"T-12H PREP")/SUMIFS(Checks!$AI$5:$AI$748,Checks!$B$5:$B$748,$A11,Checks!$G$5:$G$748,"T-12H PREP"),"n/a")</f>
        <v>0</v>
      </c>
      <c r="AM11" s="64" t="n">
        <f aca="false">IFERROR(SUMIFS(Checks!$AJ$5:$AJ$748,Checks!$B$5:$B$748,$A11,Checks!$G$5:$G$748,"UPLIFT")/SUMIFS(Checks!$AI$5:$AI$748,Checks!$B$5:$B$748,$A11,Checks!$G$5:$G$748,"UPLIFT"),"n/a")</f>
        <v>0</v>
      </c>
      <c r="AN11" s="64" t="n">
        <f aca="false">IFERROR(SUMIFS(Checks!$AJ$5:$AJ$748,Checks!$B$5:$B$748,$A11)/SUMIFS(Checks!$AI$5:$AI$748,Checks!$B$5:$B$748,$A11),"n/a")</f>
        <v>0</v>
      </c>
      <c r="AO11" s="61" t="n">
        <f aca="false">AW11-AV11</f>
        <v>48</v>
      </c>
      <c r="AP11" s="61" t="n">
        <f aca="false">SUMIFS(Checks!$AK$5:$AK$748,Checks!$B$5:$B$748,$A11)</f>
        <v>0</v>
      </c>
      <c r="AQ11" s="61" t="n">
        <f aca="false">SUMIFS(Checks!$AL$5:$AL$748,Checks!$B$5:$B$748,$A11)</f>
        <v>0</v>
      </c>
      <c r="AR11" s="61" t="n">
        <f aca="false">Documents!P11</f>
        <v>2</v>
      </c>
      <c r="AS11" s="61" t="n">
        <f aca="false">SUMIFS(Checks!$AN$5:$AN$748,Checks!$B$5:$B$748,$A11,Checks!$H$5:$H$748,"Preparation")+IF(AND(TRIM(L11)="A350",ISNA(MATCH(UPPER(SUBSTITUTE(SUBSTITUTE(TRIM(N11),"-","")," ","")),{"9MMAB","9MMAC","9MMAD","9MMAE","9MMAF","9MMAG","9MMAH"},0))),1,0)</f>
        <v>3</v>
      </c>
      <c r="AT11" s="65" t="str">
        <f aca="false">IF(AND(AW11&gt;0,AO11=0,AQ11=0,AR11=0,AS11=0,AU11=0),"READY",IF(AP11&gt;0,"NOT READY – OVERDUE",IF(AQ11&gt;0,"NOT READY – DISCREPANCY",IF(AU11&gt;0,"NOT READY – INVALID ENTRY",IF(AR11&gt;0,"NOT READY – DOCUMENTS",IF(AS11&gt;0,"NOT READY – CLARIFICATION",IF(AND(AV11&gt;0,SUMIFS(Checks!$AJ$5:$AJ$748,Checks!$B$5:$B$748,$A11,Checks!$H$5:$H$748,"Preparation")=SUMIFS(Checks!$AI$5:$AI$748,Checks!$B$5:$B$748,$A11,Checks!$H$5:$H$748,"Preparation")),"PREP DONE – AWAITING UPLIFT",IF(AV11=0,"NOT STARTED","IN PROGRESS"))))))))</f>
        <v>NOT READY – DOCUMENTS</v>
      </c>
      <c r="AU11" s="61" t="n">
        <f aca="false">SUMIFS(Checks!$AM$5:$AM$748,Checks!$B$5:$B$748,$A11)</f>
        <v>0</v>
      </c>
      <c r="AV11" s="61" t="n">
        <f aca="false">SUMIFS(Checks!$AJ$5:$AJ$748,Checks!$B$5:$B$748,$A11)</f>
        <v>0</v>
      </c>
      <c r="AW11" s="61" t="n">
        <f aca="false">SUMIFS(Checks!$AI$5:$AI$748,Checks!$B$5:$B$748,$A11)</f>
        <v>48</v>
      </c>
      <c r="AX11" s="66"/>
      <c r="AY11" s="62" t="n">
        <f aca="false">ROUND((IF(ISNUMBER(AX11),AX11,AA11-MIN($AB$10,$AB$18,$AB$26)/24)-UpliftWindowH/24)*1440,0)/1440</f>
        <v>46303.6006944444</v>
      </c>
      <c r="AZ11" s="62" t="n">
        <f aca="false">ROUND((AY11+UpliftWindowH/24+MIN($AB$10,$AB$18,$AB$26)/24)*1440,0)/1440</f>
        <v>46304.4166666667</v>
      </c>
      <c r="BA11" s="62" t="str">
        <f aca="false">IFERROR(1/(1/_xlfn.MINIFS(Checks!$AG$5:$AG$748,Checks!$B$5:$B$748,$A11,Checks!$H$5:$H$748,"Physical uplift",Checks!$P$5:$P$748,$G11)),"")</f>
        <v/>
      </c>
      <c r="BB11" s="61" t="n">
        <f aca="false">SUMIFS(Checks!$BG$5:$BG$748,Checks!$B$5:$B$748,$A11)</f>
        <v>0</v>
      </c>
    </row>
    <row r="12" customFormat="false" ht="36" hidden="false" customHeight="true" outlineLevel="0" collapsed="false">
      <c r="A12" s="57" t="s">
        <v>238</v>
      </c>
      <c r="B12" s="57" t="n">
        <v>2</v>
      </c>
      <c r="C12" s="57" t="n">
        <v>8</v>
      </c>
      <c r="D12" s="58" t="n">
        <v>46305</v>
      </c>
      <c r="E12" s="57" t="s">
        <v>213</v>
      </c>
      <c r="F12" s="57" t="s">
        <v>239</v>
      </c>
      <c r="G12" s="57" t="s">
        <v>187</v>
      </c>
      <c r="H12" s="57" t="s">
        <v>240</v>
      </c>
      <c r="I12" s="59" t="n">
        <v>46305.3993055556</v>
      </c>
      <c r="J12" s="59" t="n">
        <v>46305.5104166667</v>
      </c>
      <c r="K12" s="57" t="s">
        <v>188</v>
      </c>
      <c r="L12" s="60" t="s">
        <v>203</v>
      </c>
      <c r="M12" s="57" t="s">
        <v>204</v>
      </c>
      <c r="N12" s="60"/>
      <c r="O12" s="57" t="s">
        <v>241</v>
      </c>
      <c r="P12" s="57" t="s">
        <v>242</v>
      </c>
      <c r="Q12" s="57" t="s">
        <v>243</v>
      </c>
      <c r="R12" s="57" t="s">
        <v>244</v>
      </c>
      <c r="S12" s="57" t="s">
        <v>209</v>
      </c>
      <c r="T12" s="57" t="s">
        <v>210</v>
      </c>
      <c r="U12" s="57" t="s">
        <v>245</v>
      </c>
      <c r="V12" s="57" t="s">
        <v>187</v>
      </c>
      <c r="W12" s="57"/>
      <c r="X12" s="60"/>
      <c r="Y12" s="60"/>
      <c r="Z12" s="61" t="n">
        <f aca="false">IF(AND(INDEX(TZ_DSTS,MATCH(G12,TZ_STN,0))&lt;&gt;"",(I12-INDEX(TZ_STD,MATCH(G12,TZ_STN,0))/24)&gt;=INDEX(TZ_DSTS,MATCH(G12,TZ_STN,0)),(I12-INDEX(TZ_STD,MATCH(G12,TZ_STN,0))/24)&lt;INDEX(TZ_DSTE,MATCH(G12,TZ_STN,0))),INDEX(TZ_DST,MATCH(G12,TZ_STN,0)),INDEX(TZ_STD,MATCH(G12,TZ_STN,0)))</f>
        <v>8</v>
      </c>
      <c r="AA12" s="62" t="n">
        <f aca="false">I12-Z12/24</f>
        <v>46305.0659722222</v>
      </c>
      <c r="AB12" s="63" t="n">
        <f aca="false">(J12-(IF(AND(INDEX(TZ_DSTS,MATCH(H12,TZ_STN,0))&lt;&gt;"",(J12-INDEX(TZ_STD,MATCH(H12,TZ_STN,0))/24)&gt;=INDEX(TZ_DSTS,MATCH(H12,TZ_STN,0)),(J12-INDEX(TZ_STD,MATCH(H12,TZ_STN,0))/24)&lt;INDEX(TZ_DSTE,MATCH(H12,TZ_STN,0))),INDEX(TZ_DST,MATCH(H12,TZ_STN,0)),INDEX(TZ_STD,MATCH(H12,TZ_STN,0))))/24-AA12)*24</f>
        <v>3.66666666666667</v>
      </c>
      <c r="AC12" s="62" t="n">
        <f aca="false">AA12-7</f>
        <v>46298.0659722222</v>
      </c>
      <c r="AD12" s="62" t="n">
        <f aca="false">AA12-1</f>
        <v>46304.0659722222</v>
      </c>
      <c r="AE12" s="62" t="n">
        <f aca="false">AA12-0.5</f>
        <v>46304.5659722222</v>
      </c>
      <c r="AF12" s="62" t="n">
        <f aca="false">AA12</f>
        <v>46305.0659722222</v>
      </c>
      <c r="AG12" s="62" t="n">
        <f aca="false">AC12+(IF(AND(INDEX(TZ_DSTS,MATCH(V12,TZ_STN,0))&lt;&gt;"",AC12&gt;=INDEX(TZ_DSTS,MATCH(V12,TZ_STN,0)),AC12&lt;INDEX(TZ_DSTE,MATCH(V12,TZ_STN,0))),INDEX(TZ_DST,MATCH(V12,TZ_STN,0)),INDEX(TZ_STD,MATCH(V12,TZ_STN,0))))/24</f>
        <v>46298.3993055556</v>
      </c>
      <c r="AH12" s="62" t="n">
        <f aca="false">AD12+(IF(AND(INDEX(TZ_DSTS,MATCH(V12,TZ_STN,0))&lt;&gt;"",AD12&gt;=INDEX(TZ_DSTS,MATCH(V12,TZ_STN,0)),AD12&lt;INDEX(TZ_DSTE,MATCH(V12,TZ_STN,0))),INDEX(TZ_DST,MATCH(V12,TZ_STN,0)),INDEX(TZ_STD,MATCH(V12,TZ_STN,0))))/24</f>
        <v>46304.3993055556</v>
      </c>
      <c r="AI12" s="62" t="n">
        <f aca="false">AE12+(IF(AND(INDEX(TZ_DSTS,MATCH(V12,TZ_STN,0))&lt;&gt;"",AE12&gt;=INDEX(TZ_DSTS,MATCH(V12,TZ_STN,0)),AE12&lt;INDEX(TZ_DSTE,MATCH(V12,TZ_STN,0))),INDEX(TZ_DST,MATCH(V12,TZ_STN,0)),INDEX(TZ_STD,MATCH(V12,TZ_STN,0))))/24</f>
        <v>46304.8993055556</v>
      </c>
      <c r="AJ12" s="64" t="n">
        <f aca="false">IFERROR(SUMIFS(Checks!$AJ$5:$AJ$748,Checks!$B$5:$B$748,$A12,Checks!$G$5:$G$748,"T-7D")/SUMIFS(Checks!$AI$5:$AI$748,Checks!$B$5:$B$748,$A12,Checks!$G$5:$G$748,"T-7D"),"n/a")</f>
        <v>0</v>
      </c>
      <c r="AK12" s="64" t="n">
        <f aca="false">IFERROR(SUMIFS(Checks!$AJ$5:$AJ$748,Checks!$B$5:$B$748,$A12,Checks!$G$5:$G$748,"T-24H")/SUMIFS(Checks!$AI$5:$AI$748,Checks!$B$5:$B$748,$A12,Checks!$G$5:$G$748,"T-24H"),"n/a")</f>
        <v>0</v>
      </c>
      <c r="AL12" s="64" t="n">
        <f aca="false">IFERROR(SUMIFS(Checks!$AJ$5:$AJ$748,Checks!$B$5:$B$748,$A12,Checks!$G$5:$G$748,"T-12H PREP")/SUMIFS(Checks!$AI$5:$AI$748,Checks!$B$5:$B$748,$A12,Checks!$G$5:$G$748,"T-12H PREP"),"n/a")</f>
        <v>0</v>
      </c>
      <c r="AM12" s="64" t="n">
        <f aca="false">IFERROR(SUMIFS(Checks!$AJ$5:$AJ$748,Checks!$B$5:$B$748,$A12,Checks!$G$5:$G$748,"UPLIFT")/SUMIFS(Checks!$AI$5:$AI$748,Checks!$B$5:$B$748,$A12,Checks!$G$5:$G$748,"UPLIFT"),"n/a")</f>
        <v>0</v>
      </c>
      <c r="AN12" s="64" t="n">
        <f aca="false">IFERROR(SUMIFS(Checks!$AJ$5:$AJ$748,Checks!$B$5:$B$748,$A12)/SUMIFS(Checks!$AI$5:$AI$748,Checks!$B$5:$B$748,$A12),"n/a")</f>
        <v>0</v>
      </c>
      <c r="AO12" s="61" t="n">
        <f aca="false">AW12-AV12</f>
        <v>20</v>
      </c>
      <c r="AP12" s="61" t="n">
        <f aca="false">SUMIFS(Checks!$AK$5:$AK$748,Checks!$B$5:$B$748,$A12)</f>
        <v>0</v>
      </c>
      <c r="AQ12" s="61" t="n">
        <f aca="false">SUMIFS(Checks!$AL$5:$AL$748,Checks!$B$5:$B$748,$A12)</f>
        <v>0</v>
      </c>
      <c r="AR12" s="61" t="n">
        <f aca="false">Documents!P12</f>
        <v>2</v>
      </c>
      <c r="AS12" s="61" t="n">
        <f aca="false">SUMIFS(Checks!$AN$5:$AN$748,Checks!$B$5:$B$748,$A12,Checks!$H$5:$H$748,"Preparation")+IF(AND(TRIM(L12)="A350",ISNA(MATCH(UPPER(SUBSTITUTE(SUBSTITUTE(TRIM(N12),"-","")," ","")),{"9MMAB","9MMAC","9MMAD","9MMAE","9MMAF","9MMAG","9MMAH"},0))),1,0)</f>
        <v>0</v>
      </c>
      <c r="AT12" s="65" t="str">
        <f aca="false">IF(AND(AW12&gt;0,AO12=0,AQ12=0,AR12=0,AS12=0,AU12=0),"READY",IF(AP12&gt;0,"NOT READY – OVERDUE",IF(AQ12&gt;0,"NOT READY – DISCREPANCY",IF(AU12&gt;0,"NOT READY – INVALID ENTRY",IF(AR12&gt;0,"NOT READY – DOCUMENTS",IF(AS12&gt;0,"NOT READY – CLARIFICATION",IF(AND(AV12&gt;0,SUMIFS(Checks!$AJ$5:$AJ$748,Checks!$B$5:$B$748,$A12,Checks!$H$5:$H$748,"Preparation")=SUMIFS(Checks!$AI$5:$AI$748,Checks!$B$5:$B$748,$A12,Checks!$H$5:$H$748,"Preparation")),"PREP DONE – AWAITING UPLIFT",IF(AV12=0,"NOT STARTED","IN PROGRESS"))))))))</f>
        <v>NOT READY – DOCUMENTS</v>
      </c>
      <c r="AU12" s="61" t="n">
        <f aca="false">SUMIFS(Checks!$AM$5:$AM$748,Checks!$B$5:$B$748,$A12)</f>
        <v>0</v>
      </c>
      <c r="AV12" s="61" t="n">
        <f aca="false">SUMIFS(Checks!$AJ$5:$AJ$748,Checks!$B$5:$B$748,$A12)</f>
        <v>0</v>
      </c>
      <c r="AW12" s="61" t="n">
        <f aca="false">SUMIFS(Checks!$AI$5:$AI$748,Checks!$B$5:$B$748,$A12)</f>
        <v>20</v>
      </c>
      <c r="AX12" s="62" t="s">
        <v>197</v>
      </c>
      <c r="AY12" s="62" t="s">
        <v>197</v>
      </c>
      <c r="AZ12" s="62" t="s">
        <v>197</v>
      </c>
      <c r="BA12" s="62" t="str">
        <f aca="false">IFERROR(1/(1/_xlfn.MINIFS(Checks!$AG$5:$AG$748,Checks!$B$5:$B$748,$A12,Checks!$H$5:$H$748,"Physical uplift",Checks!$P$5:$P$748,$G12)),"")</f>
        <v/>
      </c>
      <c r="BB12" s="61" t="n">
        <f aca="false">SUMIFS(Checks!$BG$5:$BG$748,Checks!$B$5:$B$748,$A12)</f>
        <v>0</v>
      </c>
    </row>
    <row r="13" customFormat="false" ht="36" hidden="false" customHeight="true" outlineLevel="0" collapsed="false">
      <c r="A13" s="57" t="s">
        <v>246</v>
      </c>
      <c r="B13" s="57" t="n">
        <v>2</v>
      </c>
      <c r="C13" s="57" t="n">
        <v>9</v>
      </c>
      <c r="D13" s="58" t="n">
        <v>46306</v>
      </c>
      <c r="E13" s="57" t="s">
        <v>247</v>
      </c>
      <c r="F13" s="57" t="s">
        <v>248</v>
      </c>
      <c r="G13" s="57" t="s">
        <v>240</v>
      </c>
      <c r="H13" s="57" t="s">
        <v>187</v>
      </c>
      <c r="I13" s="59" t="n">
        <v>46306.5451388889</v>
      </c>
      <c r="J13" s="59" t="n">
        <v>46306.7291666667</v>
      </c>
      <c r="K13" s="57" t="s">
        <v>202</v>
      </c>
      <c r="L13" s="60" t="s">
        <v>203</v>
      </c>
      <c r="M13" s="57" t="s">
        <v>204</v>
      </c>
      <c r="N13" s="60"/>
      <c r="O13" s="57" t="s">
        <v>249</v>
      </c>
      <c r="P13" s="57" t="s">
        <v>192</v>
      </c>
      <c r="Q13" s="57" t="s">
        <v>250</v>
      </c>
      <c r="R13" s="57" t="s">
        <v>244</v>
      </c>
      <c r="S13" s="57" t="s">
        <v>209</v>
      </c>
      <c r="T13" s="57" t="s">
        <v>210</v>
      </c>
      <c r="U13" s="57" t="s">
        <v>245</v>
      </c>
      <c r="V13" s="57" t="s">
        <v>240</v>
      </c>
      <c r="W13" s="57"/>
      <c r="X13" s="60"/>
      <c r="Y13" s="60"/>
      <c r="Z13" s="61" t="n">
        <f aca="false">IF(AND(INDEX(TZ_DSTS,MATCH(G13,TZ_STN,0))&lt;&gt;"",(I13-INDEX(TZ_STD,MATCH(G13,TZ_STN,0))/24)&gt;=INDEX(TZ_DSTS,MATCH(G13,TZ_STN,0)),(I13-INDEX(TZ_STD,MATCH(G13,TZ_STN,0))/24)&lt;INDEX(TZ_DSTE,MATCH(G13,TZ_STN,0))),INDEX(TZ_DST,MATCH(G13,TZ_STN,0)),INDEX(TZ_STD,MATCH(G13,TZ_STN,0)))</f>
        <v>7</v>
      </c>
      <c r="AA13" s="62" t="n">
        <f aca="false">I13-Z13/24</f>
        <v>46306.2534722222</v>
      </c>
      <c r="AB13" s="63" t="n">
        <f aca="false">(J13-(IF(AND(INDEX(TZ_DSTS,MATCH(H13,TZ_STN,0))&lt;&gt;"",(J13-INDEX(TZ_STD,MATCH(H13,TZ_STN,0))/24)&gt;=INDEX(TZ_DSTS,MATCH(H13,TZ_STN,0)),(J13-INDEX(TZ_STD,MATCH(H13,TZ_STN,0))/24)&lt;INDEX(TZ_DSTE,MATCH(H13,TZ_STN,0))),INDEX(TZ_DST,MATCH(H13,TZ_STN,0)),INDEX(TZ_STD,MATCH(H13,TZ_STN,0))))/24-AA13)*24</f>
        <v>3.41666666666667</v>
      </c>
      <c r="AC13" s="62" t="n">
        <f aca="false">AA13-7</f>
        <v>46299.2534722222</v>
      </c>
      <c r="AD13" s="62" t="n">
        <f aca="false">AA13-1</f>
        <v>46305.2534722222</v>
      </c>
      <c r="AE13" s="62" t="n">
        <f aca="false">AA13-0.5</f>
        <v>46305.7534722222</v>
      </c>
      <c r="AF13" s="62" t="n">
        <f aca="false">AA13</f>
        <v>46306.2534722222</v>
      </c>
      <c r="AG13" s="62" t="n">
        <f aca="false">AC13+(IF(AND(INDEX(TZ_DSTS,MATCH(V13,TZ_STN,0))&lt;&gt;"",AC13&gt;=INDEX(TZ_DSTS,MATCH(V13,TZ_STN,0)),AC13&lt;INDEX(TZ_DSTE,MATCH(V13,TZ_STN,0))),INDEX(TZ_DST,MATCH(V13,TZ_STN,0)),INDEX(TZ_STD,MATCH(V13,TZ_STN,0))))/24</f>
        <v>46299.5451388889</v>
      </c>
      <c r="AH13" s="62" t="n">
        <f aca="false">AD13+(IF(AND(INDEX(TZ_DSTS,MATCH(V13,TZ_STN,0))&lt;&gt;"",AD13&gt;=INDEX(TZ_DSTS,MATCH(V13,TZ_STN,0)),AD13&lt;INDEX(TZ_DSTE,MATCH(V13,TZ_STN,0))),INDEX(TZ_DST,MATCH(V13,TZ_STN,0)),INDEX(TZ_STD,MATCH(V13,TZ_STN,0))))/24</f>
        <v>46305.5451388889</v>
      </c>
      <c r="AI13" s="62" t="n">
        <f aca="false">AE13+(IF(AND(INDEX(TZ_DSTS,MATCH(V13,TZ_STN,0))&lt;&gt;"",AE13&gt;=INDEX(TZ_DSTS,MATCH(V13,TZ_STN,0)),AE13&lt;INDEX(TZ_DSTE,MATCH(V13,TZ_STN,0))),INDEX(TZ_DST,MATCH(V13,TZ_STN,0)),INDEX(TZ_STD,MATCH(V13,TZ_STN,0))))/24</f>
        <v>46306.0451388889</v>
      </c>
      <c r="AJ13" s="64" t="n">
        <f aca="false">IFERROR(SUMIFS(Checks!$AJ$5:$AJ$748,Checks!$B$5:$B$748,$A13,Checks!$G$5:$G$748,"T-7D")/SUMIFS(Checks!$AI$5:$AI$748,Checks!$B$5:$B$748,$A13,Checks!$G$5:$G$748,"T-7D"),"n/a")</f>
        <v>0</v>
      </c>
      <c r="AK13" s="64" t="n">
        <f aca="false">IFERROR(SUMIFS(Checks!$AJ$5:$AJ$748,Checks!$B$5:$B$748,$A13,Checks!$G$5:$G$748,"T-24H")/SUMIFS(Checks!$AI$5:$AI$748,Checks!$B$5:$B$748,$A13,Checks!$G$5:$G$748,"T-24H"),"n/a")</f>
        <v>0</v>
      </c>
      <c r="AL13" s="64" t="n">
        <f aca="false">IFERROR(SUMIFS(Checks!$AJ$5:$AJ$748,Checks!$B$5:$B$748,$A13,Checks!$G$5:$G$748,"T-12H PREP")/SUMIFS(Checks!$AI$5:$AI$748,Checks!$B$5:$B$748,$A13,Checks!$G$5:$G$748,"T-12H PREP"),"n/a")</f>
        <v>0</v>
      </c>
      <c r="AM13" s="64" t="n">
        <f aca="false">IFERROR(SUMIFS(Checks!$AJ$5:$AJ$748,Checks!$B$5:$B$748,$A13,Checks!$G$5:$G$748,"UPLIFT")/SUMIFS(Checks!$AI$5:$AI$748,Checks!$B$5:$B$748,$A13,Checks!$G$5:$G$748,"UPLIFT"),"n/a")</f>
        <v>0</v>
      </c>
      <c r="AN13" s="64" t="n">
        <f aca="false">IFERROR(SUMIFS(Checks!$AJ$5:$AJ$748,Checks!$B$5:$B$748,$A13)/SUMIFS(Checks!$AI$5:$AI$748,Checks!$B$5:$B$748,$A13),"n/a")</f>
        <v>0</v>
      </c>
      <c r="AO13" s="61" t="n">
        <f aca="false">AW13-AV13</f>
        <v>38</v>
      </c>
      <c r="AP13" s="61" t="n">
        <f aca="false">SUMIFS(Checks!$AK$5:$AK$748,Checks!$B$5:$B$748,$A13)</f>
        <v>0</v>
      </c>
      <c r="AQ13" s="61" t="n">
        <f aca="false">SUMIFS(Checks!$AL$5:$AL$748,Checks!$B$5:$B$748,$A13)</f>
        <v>0</v>
      </c>
      <c r="AR13" s="61" t="n">
        <f aca="false">Documents!P13</f>
        <v>2</v>
      </c>
      <c r="AS13" s="61" t="n">
        <f aca="false">SUMIFS(Checks!$AN$5:$AN$748,Checks!$B$5:$B$748,$A13,Checks!$H$5:$H$748,"Preparation")+IF(AND(TRIM(L13)="A350",ISNA(MATCH(UPPER(SUBSTITUTE(SUBSTITUTE(TRIM(N13),"-","")," ","")),{"9MMAB","9MMAC","9MMAD","9MMAE","9MMAF","9MMAG","9MMAH"},0))),1,0)</f>
        <v>2</v>
      </c>
      <c r="AT13" s="65" t="str">
        <f aca="false">IF(AND(AW13&gt;0,AO13=0,AQ13=0,AR13=0,AS13=0,AU13=0),"READY",IF(AP13&gt;0,"NOT READY – OVERDUE",IF(AQ13&gt;0,"NOT READY – DISCREPANCY",IF(AU13&gt;0,"NOT READY – INVALID ENTRY",IF(AR13&gt;0,"NOT READY – DOCUMENTS",IF(AS13&gt;0,"NOT READY – CLARIFICATION",IF(AND(AV13&gt;0,SUMIFS(Checks!$AJ$5:$AJ$748,Checks!$B$5:$B$748,$A13,Checks!$H$5:$H$748,"Preparation")=SUMIFS(Checks!$AI$5:$AI$748,Checks!$B$5:$B$748,$A13,Checks!$H$5:$H$748,"Preparation")),"PREP DONE – AWAITING UPLIFT",IF(AV13=0,"NOT STARTED","IN PROGRESS"))))))))</f>
        <v>NOT READY – DOCUMENTS</v>
      </c>
      <c r="AU13" s="61" t="n">
        <f aca="false">SUMIFS(Checks!$AM$5:$AM$748,Checks!$B$5:$B$748,$A13)</f>
        <v>0</v>
      </c>
      <c r="AV13" s="61" t="n">
        <f aca="false">SUMIFS(Checks!$AJ$5:$AJ$748,Checks!$B$5:$B$748,$A13)</f>
        <v>0</v>
      </c>
      <c r="AW13" s="61" t="n">
        <f aca="false">SUMIFS(Checks!$AI$5:$AI$748,Checks!$B$5:$B$748,$A13)</f>
        <v>38</v>
      </c>
      <c r="AX13" s="62" t="s">
        <v>197</v>
      </c>
      <c r="AY13" s="62" t="s">
        <v>197</v>
      </c>
      <c r="AZ13" s="62" t="s">
        <v>197</v>
      </c>
      <c r="BA13" s="62" t="str">
        <f aca="false">IFERROR(1/(1/_xlfn.MINIFS(Checks!$AG$5:$AG$748,Checks!$B$5:$B$748,$A13,Checks!$H$5:$H$748,"Physical uplift",Checks!$P$5:$P$748,$G13)),"")</f>
        <v/>
      </c>
      <c r="BB13" s="61" t="n">
        <f aca="false">SUMIFS(Checks!$BG$5:$BG$748,Checks!$B$5:$B$748,$A13)</f>
        <v>0</v>
      </c>
    </row>
    <row r="14" customFormat="false" ht="36" hidden="false" customHeight="true" outlineLevel="0" collapsed="false">
      <c r="A14" s="57" t="s">
        <v>251</v>
      </c>
      <c r="B14" s="57" t="n">
        <v>2</v>
      </c>
      <c r="C14" s="57" t="n">
        <v>10</v>
      </c>
      <c r="D14" s="58" t="n">
        <v>46307</v>
      </c>
      <c r="E14" s="57" t="s">
        <v>252</v>
      </c>
      <c r="F14" s="57" t="s">
        <v>253</v>
      </c>
      <c r="G14" s="57" t="s">
        <v>187</v>
      </c>
      <c r="H14" s="57" t="s">
        <v>254</v>
      </c>
      <c r="I14" s="59" t="n">
        <v>46307.4895833333</v>
      </c>
      <c r="J14" s="59" t="n">
        <v>46307.53125</v>
      </c>
      <c r="K14" s="57" t="s">
        <v>202</v>
      </c>
      <c r="L14" s="60" t="s">
        <v>203</v>
      </c>
      <c r="M14" s="57" t="s">
        <v>204</v>
      </c>
      <c r="N14" s="60"/>
      <c r="O14" s="57" t="s">
        <v>249</v>
      </c>
      <c r="P14" s="57" t="s">
        <v>192</v>
      </c>
      <c r="Q14" s="57"/>
      <c r="R14" s="57" t="s">
        <v>255</v>
      </c>
      <c r="S14" s="57" t="s">
        <v>256</v>
      </c>
      <c r="T14" s="57" t="s">
        <v>257</v>
      </c>
      <c r="U14" s="57" t="s">
        <v>187</v>
      </c>
      <c r="V14" s="57" t="s">
        <v>187</v>
      </c>
      <c r="W14" s="57"/>
      <c r="X14" s="60"/>
      <c r="Y14" s="60"/>
      <c r="Z14" s="61" t="n">
        <f aca="false">IF(AND(INDEX(TZ_DSTS,MATCH(G14,TZ_STN,0))&lt;&gt;"",(I14-INDEX(TZ_STD,MATCH(G14,TZ_STN,0))/24)&gt;=INDEX(TZ_DSTS,MATCH(G14,TZ_STN,0)),(I14-INDEX(TZ_STD,MATCH(G14,TZ_STN,0))/24)&lt;INDEX(TZ_DSTE,MATCH(G14,TZ_STN,0))),INDEX(TZ_DST,MATCH(G14,TZ_STN,0)),INDEX(TZ_STD,MATCH(G14,TZ_STN,0)))</f>
        <v>8</v>
      </c>
      <c r="AA14" s="62" t="n">
        <f aca="false">I14-Z14/24</f>
        <v>46307.15625</v>
      </c>
      <c r="AB14" s="63" t="n">
        <f aca="false">(J14-(IF(AND(INDEX(TZ_DSTS,MATCH(H14,TZ_STN,0))&lt;&gt;"",(J14-INDEX(TZ_STD,MATCH(H14,TZ_STN,0))/24)&gt;=INDEX(TZ_DSTS,MATCH(H14,TZ_STN,0)),(J14-INDEX(TZ_STD,MATCH(H14,TZ_STN,0))/24)&lt;INDEX(TZ_DSTE,MATCH(H14,TZ_STN,0))),INDEX(TZ_DST,MATCH(H14,TZ_STN,0)),INDEX(TZ_STD,MATCH(H14,TZ_STN,0))))/24-AA14)*24</f>
        <v>1</v>
      </c>
      <c r="AC14" s="62" t="n">
        <f aca="false">AA14-7</f>
        <v>46300.15625</v>
      </c>
      <c r="AD14" s="62" t="n">
        <f aca="false">AA14-1</f>
        <v>46306.15625</v>
      </c>
      <c r="AE14" s="62" t="n">
        <f aca="false">AA14-0.5</f>
        <v>46306.65625</v>
      </c>
      <c r="AF14" s="62" t="n">
        <f aca="false">AA14</f>
        <v>46307.15625</v>
      </c>
      <c r="AG14" s="62" t="n">
        <f aca="false">AC14+(IF(AND(INDEX(TZ_DSTS,MATCH(V14,TZ_STN,0))&lt;&gt;"",AC14&gt;=INDEX(TZ_DSTS,MATCH(V14,TZ_STN,0)),AC14&lt;INDEX(TZ_DSTE,MATCH(V14,TZ_STN,0))),INDEX(TZ_DST,MATCH(V14,TZ_STN,0)),INDEX(TZ_STD,MATCH(V14,TZ_STN,0))))/24</f>
        <v>46300.4895833333</v>
      </c>
      <c r="AH14" s="62" t="n">
        <f aca="false">AD14+(IF(AND(INDEX(TZ_DSTS,MATCH(V14,TZ_STN,0))&lt;&gt;"",AD14&gt;=INDEX(TZ_DSTS,MATCH(V14,TZ_STN,0)),AD14&lt;INDEX(TZ_DSTE,MATCH(V14,TZ_STN,0))),INDEX(TZ_DST,MATCH(V14,TZ_STN,0)),INDEX(TZ_STD,MATCH(V14,TZ_STN,0))))/24</f>
        <v>46306.4895833333</v>
      </c>
      <c r="AI14" s="62" t="n">
        <f aca="false">AE14+(IF(AND(INDEX(TZ_DSTS,MATCH(V14,TZ_STN,0))&lt;&gt;"",AE14&gt;=INDEX(TZ_DSTS,MATCH(V14,TZ_STN,0)),AE14&lt;INDEX(TZ_DSTE,MATCH(V14,TZ_STN,0))),INDEX(TZ_DST,MATCH(V14,TZ_STN,0)),INDEX(TZ_STD,MATCH(V14,TZ_STN,0))))/24</f>
        <v>46306.9895833333</v>
      </c>
      <c r="AJ14" s="64" t="n">
        <f aca="false">IFERROR(SUMIFS(Checks!$AJ$5:$AJ$748,Checks!$B$5:$B$748,$A14,Checks!$G$5:$G$748,"T-7D")/SUMIFS(Checks!$AI$5:$AI$748,Checks!$B$5:$B$748,$A14,Checks!$G$5:$G$748,"T-7D"),"n/a")</f>
        <v>0</v>
      </c>
      <c r="AK14" s="64" t="n">
        <f aca="false">IFERROR(SUMIFS(Checks!$AJ$5:$AJ$748,Checks!$B$5:$B$748,$A14,Checks!$G$5:$G$748,"T-24H")/SUMIFS(Checks!$AI$5:$AI$748,Checks!$B$5:$B$748,$A14,Checks!$G$5:$G$748,"T-24H"),"n/a")</f>
        <v>0</v>
      </c>
      <c r="AL14" s="64" t="n">
        <f aca="false">IFERROR(SUMIFS(Checks!$AJ$5:$AJ$748,Checks!$B$5:$B$748,$A14,Checks!$G$5:$G$748,"T-12H PREP")/SUMIFS(Checks!$AI$5:$AI$748,Checks!$B$5:$B$748,$A14,Checks!$G$5:$G$748,"T-12H PREP"),"n/a")</f>
        <v>0</v>
      </c>
      <c r="AM14" s="64" t="n">
        <f aca="false">IFERROR(SUMIFS(Checks!$AJ$5:$AJ$748,Checks!$B$5:$B$748,$A14,Checks!$G$5:$G$748,"UPLIFT")/SUMIFS(Checks!$AI$5:$AI$748,Checks!$B$5:$B$748,$A14,Checks!$G$5:$G$748,"UPLIFT"),"n/a")</f>
        <v>0</v>
      </c>
      <c r="AN14" s="64" t="n">
        <f aca="false">IFERROR(SUMIFS(Checks!$AJ$5:$AJ$748,Checks!$B$5:$B$748,$A14)/SUMIFS(Checks!$AI$5:$AI$748,Checks!$B$5:$B$748,$A14),"n/a")</f>
        <v>0</v>
      </c>
      <c r="AO14" s="61" t="n">
        <f aca="false">AW14-AV14</f>
        <v>34</v>
      </c>
      <c r="AP14" s="61" t="n">
        <f aca="false">SUMIFS(Checks!$AK$5:$AK$748,Checks!$B$5:$B$748,$A14)</f>
        <v>0</v>
      </c>
      <c r="AQ14" s="61" t="n">
        <f aca="false">SUMIFS(Checks!$AL$5:$AL$748,Checks!$B$5:$B$748,$A14)</f>
        <v>0</v>
      </c>
      <c r="AR14" s="61" t="n">
        <f aca="false">Documents!P14</f>
        <v>2</v>
      </c>
      <c r="AS14" s="61" t="n">
        <f aca="false">SUMIFS(Checks!$AN$5:$AN$748,Checks!$B$5:$B$748,$A14,Checks!$H$5:$H$748,"Preparation")+IF(AND(TRIM(L14)="A350",ISNA(MATCH(UPPER(SUBSTITUTE(SUBSTITUTE(TRIM(N14),"-","")," ","")),{"9MMAB","9MMAC","9MMAD","9MMAE","9MMAF","9MMAG","9MMAH"},0))),1,0)</f>
        <v>0</v>
      </c>
      <c r="AT14" s="65" t="str">
        <f aca="false">IF(AND(AW14&gt;0,AO14=0,AQ14=0,AR14=0,AS14=0,AU14=0),"READY",IF(AP14&gt;0,"NOT READY – OVERDUE",IF(AQ14&gt;0,"NOT READY – DISCREPANCY",IF(AU14&gt;0,"NOT READY – INVALID ENTRY",IF(AR14&gt;0,"NOT READY – DOCUMENTS",IF(AS14&gt;0,"NOT READY – CLARIFICATION",IF(AND(AV14&gt;0,SUMIFS(Checks!$AJ$5:$AJ$748,Checks!$B$5:$B$748,$A14,Checks!$H$5:$H$748,"Preparation")=SUMIFS(Checks!$AI$5:$AI$748,Checks!$B$5:$B$748,$A14,Checks!$H$5:$H$748,"Preparation")),"PREP DONE – AWAITING UPLIFT",IF(AV14=0,"NOT STARTED","IN PROGRESS"))))))))</f>
        <v>NOT READY – DOCUMENTS</v>
      </c>
      <c r="AU14" s="61" t="n">
        <f aca="false">SUMIFS(Checks!$AM$5:$AM$748,Checks!$B$5:$B$748,$A14)</f>
        <v>0</v>
      </c>
      <c r="AV14" s="61" t="n">
        <f aca="false">SUMIFS(Checks!$AJ$5:$AJ$748,Checks!$B$5:$B$748,$A14)</f>
        <v>0</v>
      </c>
      <c r="AW14" s="61" t="n">
        <f aca="false">SUMIFS(Checks!$AI$5:$AI$748,Checks!$B$5:$B$748,$A14)</f>
        <v>34</v>
      </c>
      <c r="AX14" s="62" t="s">
        <v>197</v>
      </c>
      <c r="AY14" s="62" t="s">
        <v>197</v>
      </c>
      <c r="AZ14" s="62" t="s">
        <v>197</v>
      </c>
      <c r="BA14" s="62" t="str">
        <f aca="false">IFERROR(1/(1/_xlfn.MINIFS(Checks!$AG$5:$AG$748,Checks!$B$5:$B$748,$A14,Checks!$H$5:$H$748,"Physical uplift",Checks!$P$5:$P$748,$G14)),"")</f>
        <v/>
      </c>
      <c r="BB14" s="61" t="n">
        <f aca="false">SUMIFS(Checks!$BG$5:$BG$748,Checks!$B$5:$B$748,$A14)</f>
        <v>0</v>
      </c>
    </row>
    <row r="15" customFormat="false" ht="36" hidden="false" customHeight="true" outlineLevel="0" collapsed="false">
      <c r="A15" s="57" t="s">
        <v>258</v>
      </c>
      <c r="B15" s="57" t="n">
        <v>2</v>
      </c>
      <c r="C15" s="57" t="n">
        <v>11</v>
      </c>
      <c r="D15" s="58" t="n">
        <v>46307</v>
      </c>
      <c r="E15" s="57" t="s">
        <v>252</v>
      </c>
      <c r="F15" s="57" t="s">
        <v>259</v>
      </c>
      <c r="G15" s="57" t="s">
        <v>254</v>
      </c>
      <c r="H15" s="57" t="s">
        <v>187</v>
      </c>
      <c r="I15" s="59" t="n">
        <v>46307.6597222222</v>
      </c>
      <c r="J15" s="59" t="n">
        <v>46307.7048611111</v>
      </c>
      <c r="K15" s="57" t="s">
        <v>188</v>
      </c>
      <c r="L15" s="60" t="s">
        <v>203</v>
      </c>
      <c r="M15" s="57" t="s">
        <v>204</v>
      </c>
      <c r="N15" s="60"/>
      <c r="O15" s="57" t="s">
        <v>241</v>
      </c>
      <c r="P15" s="57" t="s">
        <v>260</v>
      </c>
      <c r="Q15" s="57"/>
      <c r="R15" s="57" t="s">
        <v>255</v>
      </c>
      <c r="S15" s="57" t="s">
        <v>256</v>
      </c>
      <c r="T15" s="57" t="s">
        <v>257</v>
      </c>
      <c r="U15" s="57" t="s">
        <v>187</v>
      </c>
      <c r="V15" s="57" t="s">
        <v>187</v>
      </c>
      <c r="W15" s="57" t="s">
        <v>251</v>
      </c>
      <c r="X15" s="60"/>
      <c r="Y15" s="60"/>
      <c r="Z15" s="61" t="n">
        <f aca="false">IF(AND(INDEX(TZ_DSTS,MATCH(G15,TZ_STN,0))&lt;&gt;"",(I15-INDEX(TZ_STD,MATCH(G15,TZ_STN,0))/24)&gt;=INDEX(TZ_DSTS,MATCH(G15,TZ_STN,0)),(I15-INDEX(TZ_STD,MATCH(G15,TZ_STN,0))/24)&lt;INDEX(TZ_DSTE,MATCH(G15,TZ_STN,0))),INDEX(TZ_DST,MATCH(G15,TZ_STN,0)),INDEX(TZ_STD,MATCH(G15,TZ_STN,0)))</f>
        <v>8</v>
      </c>
      <c r="AA15" s="62" t="n">
        <f aca="false">I15-Z15/24</f>
        <v>46307.3263888889</v>
      </c>
      <c r="AB15" s="63" t="n">
        <f aca="false">(J15-(IF(AND(INDEX(TZ_DSTS,MATCH(H15,TZ_STN,0))&lt;&gt;"",(J15-INDEX(TZ_STD,MATCH(H15,TZ_STN,0))/24)&gt;=INDEX(TZ_DSTS,MATCH(H15,TZ_STN,0)),(J15-INDEX(TZ_STD,MATCH(H15,TZ_STN,0))/24)&lt;INDEX(TZ_DSTE,MATCH(H15,TZ_STN,0))),INDEX(TZ_DST,MATCH(H15,TZ_STN,0)),INDEX(TZ_STD,MATCH(H15,TZ_STN,0))))/24-AA15)*24</f>
        <v>1.08333333333333</v>
      </c>
      <c r="AC15" s="62" t="n">
        <f aca="false">AA15-7</f>
        <v>46300.3263888889</v>
      </c>
      <c r="AD15" s="62" t="n">
        <f aca="false">MIN(AA15-1,AY15)</f>
        <v>46306.3263888889</v>
      </c>
      <c r="AE15" s="62" t="n">
        <f aca="false">MIN(AA15-0.5,AY15)</f>
        <v>46306.8263888889</v>
      </c>
      <c r="AF15" s="62" t="n">
        <f aca="false">AA15</f>
        <v>46307.3263888889</v>
      </c>
      <c r="AG15" s="62" t="n">
        <f aca="false">AC15+(IF(AND(INDEX(TZ_DSTS,MATCH(V15,TZ_STN,0))&lt;&gt;"",AC15&gt;=INDEX(TZ_DSTS,MATCH(V15,TZ_STN,0)),AC15&lt;INDEX(TZ_DSTE,MATCH(V15,TZ_STN,0))),INDEX(TZ_DST,MATCH(V15,TZ_STN,0)),INDEX(TZ_STD,MATCH(V15,TZ_STN,0))))/24</f>
        <v>46300.6597222222</v>
      </c>
      <c r="AH15" s="62" t="n">
        <f aca="false">AD15+(IF(AND(INDEX(TZ_DSTS,MATCH(V15,TZ_STN,0))&lt;&gt;"",AD15&gt;=INDEX(TZ_DSTS,MATCH(V15,TZ_STN,0)),AD15&lt;INDEX(TZ_DSTE,MATCH(V15,TZ_STN,0))),INDEX(TZ_DST,MATCH(V15,TZ_STN,0)),INDEX(TZ_STD,MATCH(V15,TZ_STN,0))))/24</f>
        <v>46306.6597222222</v>
      </c>
      <c r="AI15" s="62" t="n">
        <f aca="false">AE15+(IF(AND(INDEX(TZ_DSTS,MATCH(V15,TZ_STN,0))&lt;&gt;"",AE15&gt;=INDEX(TZ_DSTS,MATCH(V15,TZ_STN,0)),AE15&lt;INDEX(TZ_DSTE,MATCH(V15,TZ_STN,0))),INDEX(TZ_DST,MATCH(V15,TZ_STN,0)),INDEX(TZ_STD,MATCH(V15,TZ_STN,0))))/24</f>
        <v>46307.1597222222</v>
      </c>
      <c r="AJ15" s="64" t="n">
        <f aca="false">IFERROR(SUMIFS(Checks!$AJ$5:$AJ$748,Checks!$B$5:$B$748,$A15,Checks!$G$5:$G$748,"T-7D")/SUMIFS(Checks!$AI$5:$AI$748,Checks!$B$5:$B$748,$A15,Checks!$G$5:$G$748,"T-7D"),"n/a")</f>
        <v>0</v>
      </c>
      <c r="AK15" s="64" t="n">
        <f aca="false">IFERROR(SUMIFS(Checks!$AJ$5:$AJ$748,Checks!$B$5:$B$748,$A15,Checks!$G$5:$G$748,"T-24H")/SUMIFS(Checks!$AI$5:$AI$748,Checks!$B$5:$B$748,$A15,Checks!$G$5:$G$748,"T-24H"),"n/a")</f>
        <v>0</v>
      </c>
      <c r="AL15" s="64" t="n">
        <f aca="false">IFERROR(SUMIFS(Checks!$AJ$5:$AJ$748,Checks!$B$5:$B$748,$A15,Checks!$G$5:$G$748,"T-12H PREP")/SUMIFS(Checks!$AI$5:$AI$748,Checks!$B$5:$B$748,$A15,Checks!$G$5:$G$748,"T-12H PREP"),"n/a")</f>
        <v>0</v>
      </c>
      <c r="AM15" s="64" t="n">
        <f aca="false">IFERROR(SUMIFS(Checks!$AJ$5:$AJ$748,Checks!$B$5:$B$748,$A15,Checks!$G$5:$G$748,"UPLIFT")/SUMIFS(Checks!$AI$5:$AI$748,Checks!$B$5:$B$748,$A15,Checks!$G$5:$G$748,"UPLIFT"),"n/a")</f>
        <v>0</v>
      </c>
      <c r="AN15" s="64" t="n">
        <f aca="false">IFERROR(SUMIFS(Checks!$AJ$5:$AJ$748,Checks!$B$5:$B$748,$A15)/SUMIFS(Checks!$AI$5:$AI$748,Checks!$B$5:$B$748,$A15),"n/a")</f>
        <v>0</v>
      </c>
      <c r="AO15" s="61" t="n">
        <f aca="false">AW15-AV15</f>
        <v>22</v>
      </c>
      <c r="AP15" s="61" t="n">
        <f aca="false">SUMIFS(Checks!$AK$5:$AK$748,Checks!$B$5:$B$748,$A15)</f>
        <v>0</v>
      </c>
      <c r="AQ15" s="61" t="n">
        <f aca="false">SUMIFS(Checks!$AL$5:$AL$748,Checks!$B$5:$B$748,$A15)</f>
        <v>0</v>
      </c>
      <c r="AR15" s="61" t="n">
        <f aca="false">Documents!P15</f>
        <v>2</v>
      </c>
      <c r="AS15" s="61" t="n">
        <f aca="false">SUMIFS(Checks!$AN$5:$AN$748,Checks!$B$5:$B$748,$A15,Checks!$H$5:$H$748,"Preparation")+IF(AND(TRIM(L15)="A350",ISNA(MATCH(UPPER(SUBSTITUTE(SUBSTITUTE(TRIM(N15),"-","")," ","")),{"9MMAB","9MMAC","9MMAD","9MMAE","9MMAF","9MMAG","9MMAH"},0))),1,0)</f>
        <v>1</v>
      </c>
      <c r="AT15" s="65" t="str">
        <f aca="false">IF(AND(AW15&gt;0,AO15=0,AQ15=0,AR15=0,AS15=0,AU15=0),"READY",IF(AP15&gt;0,"NOT READY – OVERDUE",IF(AQ15&gt;0,"NOT READY – DISCREPANCY",IF(AU15&gt;0,"NOT READY – INVALID ENTRY",IF(AR15&gt;0,"NOT READY – DOCUMENTS",IF(AS15&gt;0,"NOT READY – CLARIFICATION",IF(AND(AV15&gt;0,SUMIFS(Checks!$AJ$5:$AJ$748,Checks!$B$5:$B$748,$A15,Checks!$H$5:$H$748,"Preparation")=SUMIFS(Checks!$AI$5:$AI$748,Checks!$B$5:$B$748,$A15,Checks!$H$5:$H$748,"Preparation")),"PREP DONE – AWAITING UPLIFT",IF(AV15=0,"NOT STARTED","IN PROGRESS"))))))))</f>
        <v>NOT READY – DOCUMENTS</v>
      </c>
      <c r="AU15" s="61" t="n">
        <f aca="false">SUMIFS(Checks!$AM$5:$AM$748,Checks!$B$5:$B$748,$A15)</f>
        <v>0</v>
      </c>
      <c r="AV15" s="61" t="n">
        <f aca="false">SUMIFS(Checks!$AJ$5:$AJ$748,Checks!$B$5:$B$748,$A15)</f>
        <v>0</v>
      </c>
      <c r="AW15" s="61" t="n">
        <f aca="false">SUMIFS(Checks!$AI$5:$AI$748,Checks!$B$5:$B$748,$A15)</f>
        <v>22</v>
      </c>
      <c r="AX15" s="66"/>
      <c r="AY15" s="62" t="n">
        <f aca="false">ROUND((IF(ISNUMBER(AX15),AX15,$AA$14)-UpliftWindowH/24)*1440,0)/1440</f>
        <v>46306.90625</v>
      </c>
      <c r="AZ15" s="62" t="n">
        <f aca="false">ROUND((AY15+UpliftWindowH/24+MIN($AB$14)/24)*1440,0)/1440</f>
        <v>46307.1979166667</v>
      </c>
      <c r="BA15" s="62" t="str">
        <f aca="false">IFERROR(1/(1/_xlfn.MINIFS(Checks!$AG$5:$AG$748,Checks!$B$5:$B$748,$A15,Checks!$H$5:$H$748,"Physical uplift",Checks!$P$5:$P$748,$G15)),"")</f>
        <v/>
      </c>
      <c r="BB15" s="61" t="n">
        <f aca="false">SUMIFS(Checks!$BG$5:$BG$748,Checks!$B$5:$B$748,$A15)</f>
        <v>0</v>
      </c>
    </row>
    <row r="16" customFormat="false" ht="36" hidden="false" customHeight="true" outlineLevel="0" collapsed="false">
      <c r="A16" s="57" t="s">
        <v>261</v>
      </c>
      <c r="B16" s="57" t="n">
        <v>2</v>
      </c>
      <c r="C16" s="57" t="n">
        <v>12</v>
      </c>
      <c r="D16" s="58" t="n">
        <v>46307</v>
      </c>
      <c r="E16" s="57" t="s">
        <v>252</v>
      </c>
      <c r="F16" s="57" t="s">
        <v>262</v>
      </c>
      <c r="G16" s="57" t="s">
        <v>187</v>
      </c>
      <c r="H16" s="57" t="s">
        <v>263</v>
      </c>
      <c r="I16" s="59" t="n">
        <v>46307.9340277778</v>
      </c>
      <c r="J16" s="59" t="n">
        <v>46308.3333333333</v>
      </c>
      <c r="K16" s="57" t="s">
        <v>202</v>
      </c>
      <c r="L16" s="60" t="s">
        <v>264</v>
      </c>
      <c r="M16" s="57" t="s">
        <v>265</v>
      </c>
      <c r="N16" s="60"/>
      <c r="O16" s="57" t="s">
        <v>266</v>
      </c>
      <c r="P16" s="57" t="s">
        <v>267</v>
      </c>
      <c r="Q16" s="57" t="s">
        <v>268</v>
      </c>
      <c r="R16" s="57" t="s">
        <v>269</v>
      </c>
      <c r="S16" s="57" t="s">
        <v>270</v>
      </c>
      <c r="T16" s="57" t="s">
        <v>226</v>
      </c>
      <c r="U16" s="57" t="s">
        <v>271</v>
      </c>
      <c r="V16" s="57" t="s">
        <v>187</v>
      </c>
      <c r="W16" s="57"/>
      <c r="X16" s="60"/>
      <c r="Y16" s="60"/>
      <c r="Z16" s="61" t="n">
        <f aca="false">IF(AND(INDEX(TZ_DSTS,MATCH(G16,TZ_STN,0))&lt;&gt;"",(I16-INDEX(TZ_STD,MATCH(G16,TZ_STN,0))/24)&gt;=INDEX(TZ_DSTS,MATCH(G16,TZ_STN,0)),(I16-INDEX(TZ_STD,MATCH(G16,TZ_STN,0))/24)&lt;INDEX(TZ_DSTE,MATCH(G16,TZ_STN,0))),INDEX(TZ_DST,MATCH(G16,TZ_STN,0)),INDEX(TZ_STD,MATCH(G16,TZ_STN,0)))</f>
        <v>8</v>
      </c>
      <c r="AA16" s="62" t="n">
        <f aca="false">I16-Z16/24</f>
        <v>46307.6006944444</v>
      </c>
      <c r="AB16" s="63" t="n">
        <f aca="false">(J16-(IF(AND(INDEX(TZ_DSTS,MATCH(H16,TZ_STN,0))&lt;&gt;"",(J16-INDEX(TZ_STD,MATCH(H16,TZ_STN,0))/24)&gt;=INDEX(TZ_DSTS,MATCH(H16,TZ_STN,0)),(J16-INDEX(TZ_STD,MATCH(H16,TZ_STN,0))/24)&lt;INDEX(TZ_DSTE,MATCH(H16,TZ_STN,0))),INDEX(TZ_DST,MATCH(H16,TZ_STN,0)),INDEX(TZ_STD,MATCH(H16,TZ_STN,0))))/24-AA16)*24</f>
        <v>7.08333333333333</v>
      </c>
      <c r="AC16" s="62" t="n">
        <f aca="false">AA16-7</f>
        <v>46300.6006944444</v>
      </c>
      <c r="AD16" s="62" t="n">
        <f aca="false">AA16-1</f>
        <v>46306.6006944444</v>
      </c>
      <c r="AE16" s="62" t="n">
        <f aca="false">AA16-0.5</f>
        <v>46307.1006944444</v>
      </c>
      <c r="AF16" s="62" t="n">
        <f aca="false">AA16</f>
        <v>46307.6006944444</v>
      </c>
      <c r="AG16" s="62" t="n">
        <f aca="false">AC16+(IF(AND(INDEX(TZ_DSTS,MATCH(V16,TZ_STN,0))&lt;&gt;"",AC16&gt;=INDEX(TZ_DSTS,MATCH(V16,TZ_STN,0)),AC16&lt;INDEX(TZ_DSTE,MATCH(V16,TZ_STN,0))),INDEX(TZ_DST,MATCH(V16,TZ_STN,0)),INDEX(TZ_STD,MATCH(V16,TZ_STN,0))))/24</f>
        <v>46300.9340277778</v>
      </c>
      <c r="AH16" s="62" t="n">
        <f aca="false">AD16+(IF(AND(INDEX(TZ_DSTS,MATCH(V16,TZ_STN,0))&lt;&gt;"",AD16&gt;=INDEX(TZ_DSTS,MATCH(V16,TZ_STN,0)),AD16&lt;INDEX(TZ_DSTE,MATCH(V16,TZ_STN,0))),INDEX(TZ_DST,MATCH(V16,TZ_STN,0)),INDEX(TZ_STD,MATCH(V16,TZ_STN,0))))/24</f>
        <v>46306.9340277778</v>
      </c>
      <c r="AI16" s="62" t="n">
        <f aca="false">AE16+(IF(AND(INDEX(TZ_DSTS,MATCH(V16,TZ_STN,0))&lt;&gt;"",AE16&gt;=INDEX(TZ_DSTS,MATCH(V16,TZ_STN,0)),AE16&lt;INDEX(TZ_DSTE,MATCH(V16,TZ_STN,0))),INDEX(TZ_DST,MATCH(V16,TZ_STN,0)),INDEX(TZ_STD,MATCH(V16,TZ_STN,0))))/24</f>
        <v>46307.4340277778</v>
      </c>
      <c r="AJ16" s="64" t="n">
        <f aca="false">IFERROR(SUMIFS(Checks!$AJ$5:$AJ$748,Checks!$B$5:$B$748,$A16,Checks!$G$5:$G$748,"T-7D")/SUMIFS(Checks!$AI$5:$AI$748,Checks!$B$5:$B$748,$A16,Checks!$G$5:$G$748,"T-7D"),"n/a")</f>
        <v>0</v>
      </c>
      <c r="AK16" s="64" t="n">
        <f aca="false">IFERROR(SUMIFS(Checks!$AJ$5:$AJ$748,Checks!$B$5:$B$748,$A16,Checks!$G$5:$G$748,"T-24H")/SUMIFS(Checks!$AI$5:$AI$748,Checks!$B$5:$B$748,$A16,Checks!$G$5:$G$748,"T-24H"),"n/a")</f>
        <v>0</v>
      </c>
      <c r="AL16" s="64" t="n">
        <f aca="false">IFERROR(SUMIFS(Checks!$AJ$5:$AJ$748,Checks!$B$5:$B$748,$A16,Checks!$G$5:$G$748,"T-12H PREP")/SUMIFS(Checks!$AI$5:$AI$748,Checks!$B$5:$B$748,$A16,Checks!$G$5:$G$748,"T-12H PREP"),"n/a")</f>
        <v>0</v>
      </c>
      <c r="AM16" s="64" t="n">
        <f aca="false">IFERROR(SUMIFS(Checks!$AJ$5:$AJ$748,Checks!$B$5:$B$748,$A16,Checks!$G$5:$G$748,"UPLIFT")/SUMIFS(Checks!$AI$5:$AI$748,Checks!$B$5:$B$748,$A16,Checks!$G$5:$G$748,"UPLIFT"),"n/a")</f>
        <v>0</v>
      </c>
      <c r="AN16" s="64" t="n">
        <f aca="false">IFERROR(SUMIFS(Checks!$AJ$5:$AJ$748,Checks!$B$5:$B$748,$A16)/SUMIFS(Checks!$AI$5:$AI$748,Checks!$B$5:$B$748,$A16),"n/a")</f>
        <v>0</v>
      </c>
      <c r="AO16" s="61" t="n">
        <f aca="false">AW16-AV16</f>
        <v>47</v>
      </c>
      <c r="AP16" s="61" t="n">
        <f aca="false">SUMIFS(Checks!$AK$5:$AK$748,Checks!$B$5:$B$748,$A16)</f>
        <v>0</v>
      </c>
      <c r="AQ16" s="61" t="n">
        <f aca="false">SUMIFS(Checks!$AL$5:$AL$748,Checks!$B$5:$B$748,$A16)</f>
        <v>0</v>
      </c>
      <c r="AR16" s="61" t="n">
        <f aca="false">Documents!P16</f>
        <v>2</v>
      </c>
      <c r="AS16" s="61" t="n">
        <f aca="false">SUMIFS(Checks!$AN$5:$AN$748,Checks!$B$5:$B$748,$A16,Checks!$H$5:$H$748,"Preparation")+IF(AND(TRIM(L16)="A350",ISNA(MATCH(UPPER(SUBSTITUTE(SUBSTITUTE(TRIM(N16),"-","")," ","")),{"9MMAB","9MMAC","9MMAD","9MMAE","9MMAF","9MMAG","9MMAH"},0))),1,0)</f>
        <v>0</v>
      </c>
      <c r="AT16" s="65" t="str">
        <f aca="false">IF(AND(AW16&gt;0,AO16=0,AQ16=0,AR16=0,AS16=0,AU16=0),"READY",IF(AP16&gt;0,"NOT READY – OVERDUE",IF(AQ16&gt;0,"NOT READY – DISCREPANCY",IF(AU16&gt;0,"NOT READY – INVALID ENTRY",IF(AR16&gt;0,"NOT READY – DOCUMENTS",IF(AS16&gt;0,"NOT READY – CLARIFICATION",IF(AND(AV16&gt;0,SUMIFS(Checks!$AJ$5:$AJ$748,Checks!$B$5:$B$748,$A16,Checks!$H$5:$H$748,"Preparation")=SUMIFS(Checks!$AI$5:$AI$748,Checks!$B$5:$B$748,$A16,Checks!$H$5:$H$748,"Preparation")),"PREP DONE – AWAITING UPLIFT",IF(AV16=0,"NOT STARTED","IN PROGRESS"))))))))</f>
        <v>NOT READY – DOCUMENTS</v>
      </c>
      <c r="AU16" s="61" t="n">
        <f aca="false">SUMIFS(Checks!$AM$5:$AM$748,Checks!$B$5:$B$748,$A16)</f>
        <v>0</v>
      </c>
      <c r="AV16" s="61" t="n">
        <f aca="false">SUMIFS(Checks!$AJ$5:$AJ$748,Checks!$B$5:$B$748,$A16)</f>
        <v>0</v>
      </c>
      <c r="AW16" s="61" t="n">
        <f aca="false">SUMIFS(Checks!$AI$5:$AI$748,Checks!$B$5:$B$748,$A16)</f>
        <v>47</v>
      </c>
      <c r="AX16" s="62" t="s">
        <v>197</v>
      </c>
      <c r="AY16" s="62" t="s">
        <v>197</v>
      </c>
      <c r="AZ16" s="62" t="s">
        <v>197</v>
      </c>
      <c r="BA16" s="62" t="str">
        <f aca="false">IFERROR(1/(1/_xlfn.MINIFS(Checks!$AG$5:$AG$748,Checks!$B$5:$B$748,$A16,Checks!$H$5:$H$748,"Physical uplift",Checks!$P$5:$P$748,$G16)),"")</f>
        <v/>
      </c>
      <c r="BB16" s="61" t="n">
        <f aca="false">SUMIFS(Checks!$BG$5:$BG$748,Checks!$B$5:$B$748,$A16)</f>
        <v>0</v>
      </c>
    </row>
    <row r="17" customFormat="false" ht="36" hidden="false" customHeight="true" outlineLevel="0" collapsed="false">
      <c r="A17" s="57" t="s">
        <v>272</v>
      </c>
      <c r="B17" s="57" t="n">
        <v>2</v>
      </c>
      <c r="C17" s="57" t="n">
        <v>13</v>
      </c>
      <c r="D17" s="58" t="n">
        <v>46309</v>
      </c>
      <c r="E17" s="57" t="s">
        <v>273</v>
      </c>
      <c r="F17" s="57" t="s">
        <v>274</v>
      </c>
      <c r="G17" s="57" t="s">
        <v>263</v>
      </c>
      <c r="H17" s="57" t="s">
        <v>187</v>
      </c>
      <c r="I17" s="59" t="n">
        <v>46309.4479166667</v>
      </c>
      <c r="J17" s="59" t="n">
        <v>46309.6666666667</v>
      </c>
      <c r="K17" s="57" t="s">
        <v>188</v>
      </c>
      <c r="L17" s="60" t="s">
        <v>264</v>
      </c>
      <c r="M17" s="57" t="s">
        <v>265</v>
      </c>
      <c r="N17" s="60"/>
      <c r="O17" s="57" t="s">
        <v>275</v>
      </c>
      <c r="P17" s="57" t="s">
        <v>192</v>
      </c>
      <c r="Q17" s="57" t="s">
        <v>250</v>
      </c>
      <c r="R17" s="57" t="s">
        <v>269</v>
      </c>
      <c r="S17" s="57" t="s">
        <v>270</v>
      </c>
      <c r="T17" s="57" t="s">
        <v>226</v>
      </c>
      <c r="U17" s="57" t="s">
        <v>271</v>
      </c>
      <c r="V17" s="57" t="s">
        <v>263</v>
      </c>
      <c r="W17" s="57"/>
      <c r="X17" s="60"/>
      <c r="Y17" s="60"/>
      <c r="Z17" s="61" t="n">
        <f aca="false">IF(AND(INDEX(TZ_DSTS,MATCH(G17,TZ_STN,0))&lt;&gt;"",(I17-INDEX(TZ_STD,MATCH(G17,TZ_STN,0))/24)&gt;=INDEX(TZ_DSTS,MATCH(G17,TZ_STN,0)),(I17-INDEX(TZ_STD,MATCH(G17,TZ_STN,0))/24)&lt;INDEX(TZ_DSTE,MATCH(G17,TZ_STN,0))),INDEX(TZ_DST,MATCH(G17,TZ_STN,0)),INDEX(TZ_STD,MATCH(G17,TZ_STN,0)))</f>
        <v>10.5</v>
      </c>
      <c r="AA17" s="62" t="n">
        <f aca="false">I17-Z17/24</f>
        <v>46309.0104166667</v>
      </c>
      <c r="AB17" s="63" t="n">
        <f aca="false">(J17-(IF(AND(INDEX(TZ_DSTS,MATCH(H17,TZ_STN,0))&lt;&gt;"",(J17-INDEX(TZ_STD,MATCH(H17,TZ_STN,0))/24)&gt;=INDEX(TZ_DSTS,MATCH(H17,TZ_STN,0)),(J17-INDEX(TZ_STD,MATCH(H17,TZ_STN,0))/24)&lt;INDEX(TZ_DSTE,MATCH(H17,TZ_STN,0))),INDEX(TZ_DST,MATCH(H17,TZ_STN,0)),INDEX(TZ_STD,MATCH(H17,TZ_STN,0))))/24-AA17)*24</f>
        <v>7.75</v>
      </c>
      <c r="AC17" s="62" t="n">
        <f aca="false">AA17-7</f>
        <v>46302.0104166667</v>
      </c>
      <c r="AD17" s="62" t="n">
        <f aca="false">AA17-1</f>
        <v>46308.0104166667</v>
      </c>
      <c r="AE17" s="62" t="n">
        <f aca="false">AA17-0.5</f>
        <v>46308.5104166667</v>
      </c>
      <c r="AF17" s="62" t="n">
        <f aca="false">AA17</f>
        <v>46309.0104166667</v>
      </c>
      <c r="AG17" s="62" t="n">
        <f aca="false">AC17+(IF(AND(INDEX(TZ_DSTS,MATCH(V17,TZ_STN,0))&lt;&gt;"",AC17&gt;=INDEX(TZ_DSTS,MATCH(V17,TZ_STN,0)),AC17&lt;INDEX(TZ_DSTE,MATCH(V17,TZ_STN,0))),INDEX(TZ_DST,MATCH(V17,TZ_STN,0)),INDEX(TZ_STD,MATCH(V17,TZ_STN,0))))/24</f>
        <v>46302.4479166667</v>
      </c>
      <c r="AH17" s="62" t="n">
        <f aca="false">AD17+(IF(AND(INDEX(TZ_DSTS,MATCH(V17,TZ_STN,0))&lt;&gt;"",AD17&gt;=INDEX(TZ_DSTS,MATCH(V17,TZ_STN,0)),AD17&lt;INDEX(TZ_DSTE,MATCH(V17,TZ_STN,0))),INDEX(TZ_DST,MATCH(V17,TZ_STN,0)),INDEX(TZ_STD,MATCH(V17,TZ_STN,0))))/24</f>
        <v>46308.4479166667</v>
      </c>
      <c r="AI17" s="62" t="n">
        <f aca="false">AE17+(IF(AND(INDEX(TZ_DSTS,MATCH(V17,TZ_STN,0))&lt;&gt;"",AE17&gt;=INDEX(TZ_DSTS,MATCH(V17,TZ_STN,0)),AE17&lt;INDEX(TZ_DSTE,MATCH(V17,TZ_STN,0))),INDEX(TZ_DST,MATCH(V17,TZ_STN,0)),INDEX(TZ_STD,MATCH(V17,TZ_STN,0))))/24</f>
        <v>46308.9479166667</v>
      </c>
      <c r="AJ17" s="64" t="n">
        <f aca="false">IFERROR(SUMIFS(Checks!$AJ$5:$AJ$748,Checks!$B$5:$B$748,$A17,Checks!$G$5:$G$748,"T-7D")/SUMIFS(Checks!$AI$5:$AI$748,Checks!$B$5:$B$748,$A17,Checks!$G$5:$G$748,"T-7D"),"n/a")</f>
        <v>0</v>
      </c>
      <c r="AK17" s="64" t="n">
        <f aca="false">IFERROR(SUMIFS(Checks!$AJ$5:$AJ$748,Checks!$B$5:$B$748,$A17,Checks!$G$5:$G$748,"T-24H")/SUMIFS(Checks!$AI$5:$AI$748,Checks!$B$5:$B$748,$A17,Checks!$G$5:$G$748,"T-24H"),"n/a")</f>
        <v>0</v>
      </c>
      <c r="AL17" s="64" t="n">
        <f aca="false">IFERROR(SUMIFS(Checks!$AJ$5:$AJ$748,Checks!$B$5:$B$748,$A17,Checks!$G$5:$G$748,"T-12H PREP")/SUMIFS(Checks!$AI$5:$AI$748,Checks!$B$5:$B$748,$A17,Checks!$G$5:$G$748,"T-12H PREP"),"n/a")</f>
        <v>0</v>
      </c>
      <c r="AM17" s="64" t="n">
        <f aca="false">IFERROR(SUMIFS(Checks!$AJ$5:$AJ$748,Checks!$B$5:$B$748,$A17,Checks!$G$5:$G$748,"UPLIFT")/SUMIFS(Checks!$AI$5:$AI$748,Checks!$B$5:$B$748,$A17,Checks!$G$5:$G$748,"UPLIFT"),"n/a")</f>
        <v>0</v>
      </c>
      <c r="AN17" s="64" t="n">
        <f aca="false">IFERROR(SUMIFS(Checks!$AJ$5:$AJ$748,Checks!$B$5:$B$748,$A17)/SUMIFS(Checks!$AI$5:$AI$748,Checks!$B$5:$B$748,$A17),"n/a")</f>
        <v>0</v>
      </c>
      <c r="AO17" s="61" t="n">
        <f aca="false">AW17-AV17</f>
        <v>29</v>
      </c>
      <c r="AP17" s="61" t="n">
        <f aca="false">SUMIFS(Checks!$AK$5:$AK$748,Checks!$B$5:$B$748,$A17)</f>
        <v>0</v>
      </c>
      <c r="AQ17" s="61" t="n">
        <f aca="false">SUMIFS(Checks!$AL$5:$AL$748,Checks!$B$5:$B$748,$A17)</f>
        <v>0</v>
      </c>
      <c r="AR17" s="61" t="n">
        <f aca="false">Documents!P17</f>
        <v>2</v>
      </c>
      <c r="AS17" s="61" t="n">
        <f aca="false">SUMIFS(Checks!$AN$5:$AN$748,Checks!$B$5:$B$748,$A17,Checks!$H$5:$H$748,"Preparation")+IF(AND(TRIM(L17)="A350",ISNA(MATCH(UPPER(SUBSTITUTE(SUBSTITUTE(TRIM(N17),"-","")," ","")),{"9MMAB","9MMAC","9MMAD","9MMAE","9MMAF","9MMAG","9MMAH"},0))),1,0)</f>
        <v>3</v>
      </c>
      <c r="AT17" s="65" t="str">
        <f aca="false">IF(AND(AW17&gt;0,AO17=0,AQ17=0,AR17=0,AS17=0,AU17=0),"READY",IF(AP17&gt;0,"NOT READY – OVERDUE",IF(AQ17&gt;0,"NOT READY – DISCREPANCY",IF(AU17&gt;0,"NOT READY – INVALID ENTRY",IF(AR17&gt;0,"NOT READY – DOCUMENTS",IF(AS17&gt;0,"NOT READY – CLARIFICATION",IF(AND(AV17&gt;0,SUMIFS(Checks!$AJ$5:$AJ$748,Checks!$B$5:$B$748,$A17,Checks!$H$5:$H$748,"Preparation")=SUMIFS(Checks!$AI$5:$AI$748,Checks!$B$5:$B$748,$A17,Checks!$H$5:$H$748,"Preparation")),"PREP DONE – AWAITING UPLIFT",IF(AV17=0,"NOT STARTED","IN PROGRESS"))))))))</f>
        <v>NOT READY – DOCUMENTS</v>
      </c>
      <c r="AU17" s="61" t="n">
        <f aca="false">SUMIFS(Checks!$AM$5:$AM$748,Checks!$B$5:$B$748,$A17)</f>
        <v>0</v>
      </c>
      <c r="AV17" s="61" t="n">
        <f aca="false">SUMIFS(Checks!$AJ$5:$AJ$748,Checks!$B$5:$B$748,$A17)</f>
        <v>0</v>
      </c>
      <c r="AW17" s="61" t="n">
        <f aca="false">SUMIFS(Checks!$AI$5:$AI$748,Checks!$B$5:$B$748,$A17)</f>
        <v>29</v>
      </c>
      <c r="AX17" s="66"/>
      <c r="AY17" s="62" t="n">
        <f aca="false">ROUND((IF(ISNUMBER(AX17),AX17,$AA$16)-UpliftWindowH/24)*1440,0)/1440</f>
        <v>46307.3506944444</v>
      </c>
      <c r="AZ17" s="62" t="n">
        <f aca="false">ROUND((AY17+UpliftWindowH/24+MIN($AB$16)/24)*1440,0)/1440</f>
        <v>46307.8958333333</v>
      </c>
      <c r="BA17" s="62" t="str">
        <f aca="false">IFERROR(1/(1/_xlfn.MINIFS(Checks!$AG$5:$AG$748,Checks!$B$5:$B$748,$A17,Checks!$H$5:$H$748,"Physical uplift",Checks!$P$5:$P$748,$G17)),"")</f>
        <v/>
      </c>
      <c r="BB17" s="61" t="n">
        <f aca="false">SUMIFS(Checks!$BG$5:$BG$748,Checks!$B$5:$B$748,$A17)</f>
        <v>0</v>
      </c>
    </row>
    <row r="18" customFormat="false" ht="36" hidden="false" customHeight="true" outlineLevel="0" collapsed="false">
      <c r="A18" s="57" t="s">
        <v>276</v>
      </c>
      <c r="B18" s="57" t="n">
        <v>2</v>
      </c>
      <c r="C18" s="57" t="n">
        <v>14</v>
      </c>
      <c r="D18" s="58" t="n">
        <v>46310</v>
      </c>
      <c r="E18" s="57" t="s">
        <v>184</v>
      </c>
      <c r="F18" s="57" t="s">
        <v>277</v>
      </c>
      <c r="G18" s="57" t="s">
        <v>187</v>
      </c>
      <c r="H18" s="57" t="s">
        <v>186</v>
      </c>
      <c r="I18" s="59" t="n">
        <v>46310.4097222222</v>
      </c>
      <c r="J18" s="59" t="n">
        <v>46310.6909722222</v>
      </c>
      <c r="K18" s="57" t="s">
        <v>188</v>
      </c>
      <c r="L18" s="60" t="s">
        <v>189</v>
      </c>
      <c r="M18" s="57" t="s">
        <v>190</v>
      </c>
      <c r="N18" s="60"/>
      <c r="O18" s="57" t="s">
        <v>191</v>
      </c>
      <c r="P18" s="57" t="s">
        <v>192</v>
      </c>
      <c r="Q18" s="57"/>
      <c r="R18" s="57" t="s">
        <v>193</v>
      </c>
      <c r="S18" s="57" t="s">
        <v>194</v>
      </c>
      <c r="T18" s="57" t="s">
        <v>195</v>
      </c>
      <c r="U18" s="57" t="s">
        <v>196</v>
      </c>
      <c r="V18" s="57" t="s">
        <v>187</v>
      </c>
      <c r="W18" s="57"/>
      <c r="X18" s="60"/>
      <c r="Y18" s="60"/>
      <c r="Z18" s="61" t="n">
        <f aca="false">IF(AND(INDEX(TZ_DSTS,MATCH(G18,TZ_STN,0))&lt;&gt;"",(I18-INDEX(TZ_STD,MATCH(G18,TZ_STN,0))/24)&gt;=INDEX(TZ_DSTS,MATCH(G18,TZ_STN,0)),(I18-INDEX(TZ_STD,MATCH(G18,TZ_STN,0))/24)&lt;INDEX(TZ_DSTE,MATCH(G18,TZ_STN,0))),INDEX(TZ_DST,MATCH(G18,TZ_STN,0)),INDEX(TZ_STD,MATCH(G18,TZ_STN,0)))</f>
        <v>8</v>
      </c>
      <c r="AA18" s="62" t="n">
        <f aca="false">I18-Z18/24</f>
        <v>46310.0763888889</v>
      </c>
      <c r="AB18" s="63" t="n">
        <f aca="false">(J18-(IF(AND(INDEX(TZ_DSTS,MATCH(H18,TZ_STN,0))&lt;&gt;"",(J18-INDEX(TZ_STD,MATCH(H18,TZ_STN,0))/24)&gt;=INDEX(TZ_DSTS,MATCH(H18,TZ_STN,0)),(J18-INDEX(TZ_STD,MATCH(H18,TZ_STN,0))/24)&lt;INDEX(TZ_DSTE,MATCH(H18,TZ_STN,0))),INDEX(TZ_DST,MATCH(H18,TZ_STN,0)),INDEX(TZ_STD,MATCH(H18,TZ_STN,0))))/24-AA18)*24</f>
        <v>13.75</v>
      </c>
      <c r="AC18" s="62" t="n">
        <f aca="false">AA18-7</f>
        <v>46303.0763888889</v>
      </c>
      <c r="AD18" s="62" t="n">
        <f aca="false">AA18-1</f>
        <v>46309.0763888889</v>
      </c>
      <c r="AE18" s="62" t="n">
        <f aca="false">AA18-0.5</f>
        <v>46309.5763888889</v>
      </c>
      <c r="AF18" s="62" t="n">
        <f aca="false">AA18</f>
        <v>46310.0763888889</v>
      </c>
      <c r="AG18" s="62" t="n">
        <f aca="false">AC18+(IF(AND(INDEX(TZ_DSTS,MATCH(V18,TZ_STN,0))&lt;&gt;"",AC18&gt;=INDEX(TZ_DSTS,MATCH(V18,TZ_STN,0)),AC18&lt;INDEX(TZ_DSTE,MATCH(V18,TZ_STN,0))),INDEX(TZ_DST,MATCH(V18,TZ_STN,0)),INDEX(TZ_STD,MATCH(V18,TZ_STN,0))))/24</f>
        <v>46303.4097222222</v>
      </c>
      <c r="AH18" s="62" t="n">
        <f aca="false">AD18+(IF(AND(INDEX(TZ_DSTS,MATCH(V18,TZ_STN,0))&lt;&gt;"",AD18&gt;=INDEX(TZ_DSTS,MATCH(V18,TZ_STN,0)),AD18&lt;INDEX(TZ_DSTE,MATCH(V18,TZ_STN,0))),INDEX(TZ_DST,MATCH(V18,TZ_STN,0)),INDEX(TZ_STD,MATCH(V18,TZ_STN,0))))/24</f>
        <v>46309.4097222222</v>
      </c>
      <c r="AI18" s="62" t="n">
        <f aca="false">AE18+(IF(AND(INDEX(TZ_DSTS,MATCH(V18,TZ_STN,0))&lt;&gt;"",AE18&gt;=INDEX(TZ_DSTS,MATCH(V18,TZ_STN,0)),AE18&lt;INDEX(TZ_DSTE,MATCH(V18,TZ_STN,0))),INDEX(TZ_DST,MATCH(V18,TZ_STN,0)),INDEX(TZ_STD,MATCH(V18,TZ_STN,0))))/24</f>
        <v>46309.9097222222</v>
      </c>
      <c r="AJ18" s="64" t="n">
        <f aca="false">IFERROR(SUMIFS(Checks!$AJ$5:$AJ$748,Checks!$B$5:$B$748,$A18,Checks!$G$5:$G$748,"T-7D")/SUMIFS(Checks!$AI$5:$AI$748,Checks!$B$5:$B$748,$A18,Checks!$G$5:$G$748,"T-7D"),"n/a")</f>
        <v>0</v>
      </c>
      <c r="AK18" s="64" t="n">
        <f aca="false">IFERROR(SUMIFS(Checks!$AJ$5:$AJ$748,Checks!$B$5:$B$748,$A18,Checks!$G$5:$G$748,"T-24H")/SUMIFS(Checks!$AI$5:$AI$748,Checks!$B$5:$B$748,$A18,Checks!$G$5:$G$748,"T-24H"),"n/a")</f>
        <v>0</v>
      </c>
      <c r="AL18" s="64" t="n">
        <f aca="false">IFERROR(SUMIFS(Checks!$AJ$5:$AJ$748,Checks!$B$5:$B$748,$A18,Checks!$G$5:$G$748,"T-12H PREP")/SUMIFS(Checks!$AI$5:$AI$748,Checks!$B$5:$B$748,$A18,Checks!$G$5:$G$748,"T-12H PREP"),"n/a")</f>
        <v>0</v>
      </c>
      <c r="AM18" s="64" t="n">
        <f aca="false">IFERROR(SUMIFS(Checks!$AJ$5:$AJ$748,Checks!$B$5:$B$748,$A18,Checks!$G$5:$G$748,"UPLIFT")/SUMIFS(Checks!$AI$5:$AI$748,Checks!$B$5:$B$748,$A18,Checks!$G$5:$G$748,"UPLIFT"),"n/a")</f>
        <v>0</v>
      </c>
      <c r="AN18" s="64" t="n">
        <f aca="false">IFERROR(SUMIFS(Checks!$AJ$5:$AJ$748,Checks!$B$5:$B$748,$A18)/SUMIFS(Checks!$AI$5:$AI$748,Checks!$B$5:$B$748,$A18),"n/a")</f>
        <v>0</v>
      </c>
      <c r="AO18" s="61" t="n">
        <f aca="false">AW18-AV18</f>
        <v>24</v>
      </c>
      <c r="AP18" s="61" t="n">
        <f aca="false">SUMIFS(Checks!$AK$5:$AK$748,Checks!$B$5:$B$748,$A18)</f>
        <v>0</v>
      </c>
      <c r="AQ18" s="61" t="n">
        <f aca="false">SUMIFS(Checks!$AL$5:$AL$748,Checks!$B$5:$B$748,$A18)</f>
        <v>0</v>
      </c>
      <c r="AR18" s="61" t="n">
        <f aca="false">Documents!P18</f>
        <v>2</v>
      </c>
      <c r="AS18" s="61" t="n">
        <f aca="false">SUMIFS(Checks!$AN$5:$AN$748,Checks!$B$5:$B$748,$A18,Checks!$H$5:$H$748,"Preparation")+IF(AND(TRIM(L18)="A350",ISNA(MATCH(UPPER(SUBSTITUTE(SUBSTITUTE(TRIM(N18),"-","")," ","")),{"9MMAB","9MMAC","9MMAD","9MMAE","9MMAF","9MMAG","9MMAH"},0))),1,0)</f>
        <v>2</v>
      </c>
      <c r="AT18" s="65" t="str">
        <f aca="false">IF(AND(AW18&gt;0,AO18=0,AQ18=0,AR18=0,AS18=0,AU18=0),"READY",IF(AP18&gt;0,"NOT READY – OVERDUE",IF(AQ18&gt;0,"NOT READY – DISCREPANCY",IF(AU18&gt;0,"NOT READY – INVALID ENTRY",IF(AR18&gt;0,"NOT READY – DOCUMENTS",IF(AS18&gt;0,"NOT READY – CLARIFICATION",IF(AND(AV18&gt;0,SUMIFS(Checks!$AJ$5:$AJ$748,Checks!$B$5:$B$748,$A18,Checks!$H$5:$H$748,"Preparation")=SUMIFS(Checks!$AI$5:$AI$748,Checks!$B$5:$B$748,$A18,Checks!$H$5:$H$748,"Preparation")),"PREP DONE – AWAITING UPLIFT",IF(AV18=0,"NOT STARTED","IN PROGRESS"))))))))</f>
        <v>NOT READY – DOCUMENTS</v>
      </c>
      <c r="AU18" s="61" t="n">
        <f aca="false">SUMIFS(Checks!$AM$5:$AM$748,Checks!$B$5:$B$748,$A18)</f>
        <v>0</v>
      </c>
      <c r="AV18" s="61" t="n">
        <f aca="false">SUMIFS(Checks!$AJ$5:$AJ$748,Checks!$B$5:$B$748,$A18)</f>
        <v>0</v>
      </c>
      <c r="AW18" s="61" t="n">
        <f aca="false">SUMIFS(Checks!$AI$5:$AI$748,Checks!$B$5:$B$748,$A18)</f>
        <v>24</v>
      </c>
      <c r="AX18" s="62" t="s">
        <v>197</v>
      </c>
      <c r="AY18" s="62" t="s">
        <v>197</v>
      </c>
      <c r="AZ18" s="62" t="s">
        <v>197</v>
      </c>
      <c r="BA18" s="62" t="str">
        <f aca="false">IFERROR(1/(1/_xlfn.MINIFS(Checks!$AG$5:$AG$748,Checks!$B$5:$B$748,$A18,Checks!$H$5:$H$748,"Physical uplift",Checks!$P$5:$P$748,$G18)),"")</f>
        <v/>
      </c>
      <c r="BB18" s="61" t="n">
        <f aca="false">SUMIFS(Checks!$BG$5:$BG$748,Checks!$B$5:$B$748,$A18)</f>
        <v>0</v>
      </c>
    </row>
    <row r="19" customFormat="false" ht="36" hidden="false" customHeight="true" outlineLevel="0" collapsed="false">
      <c r="A19" s="57" t="s">
        <v>278</v>
      </c>
      <c r="B19" s="57" t="n">
        <v>3</v>
      </c>
      <c r="C19" s="57" t="n">
        <v>15</v>
      </c>
      <c r="D19" s="58" t="n">
        <v>46320</v>
      </c>
      <c r="E19" s="57" t="s">
        <v>247</v>
      </c>
      <c r="F19" s="57" t="s">
        <v>236</v>
      </c>
      <c r="G19" s="57" t="s">
        <v>186</v>
      </c>
      <c r="H19" s="57" t="s">
        <v>187</v>
      </c>
      <c r="I19" s="59" t="n">
        <v>46320.4583333333</v>
      </c>
      <c r="J19" s="59" t="n">
        <v>46321.28125</v>
      </c>
      <c r="K19" s="57" t="s">
        <v>188</v>
      </c>
      <c r="L19" s="60" t="s">
        <v>189</v>
      </c>
      <c r="M19" s="57" t="s">
        <v>190</v>
      </c>
      <c r="N19" s="60"/>
      <c r="O19" s="57" t="s">
        <v>279</v>
      </c>
      <c r="P19" s="57" t="s">
        <v>192</v>
      </c>
      <c r="Q19" s="57"/>
      <c r="R19" s="57" t="s">
        <v>193</v>
      </c>
      <c r="S19" s="57" t="s">
        <v>194</v>
      </c>
      <c r="T19" s="57" t="s">
        <v>195</v>
      </c>
      <c r="U19" s="57" t="s">
        <v>196</v>
      </c>
      <c r="V19" s="57" t="s">
        <v>186</v>
      </c>
      <c r="W19" s="57"/>
      <c r="X19" s="60"/>
      <c r="Y19" s="60"/>
      <c r="Z19" s="61" t="n">
        <f aca="false">IF(AND(INDEX(TZ_DSTS,MATCH(G19,TZ_STN,0))&lt;&gt;"",(I19-INDEX(TZ_STD,MATCH(G19,TZ_STN,0))/24)&gt;=INDEX(TZ_DSTS,MATCH(G19,TZ_STN,0)),(I19-INDEX(TZ_STD,MATCH(G19,TZ_STN,0))/24)&lt;INDEX(TZ_DSTE,MATCH(G19,TZ_STN,0))),INDEX(TZ_DST,MATCH(G19,TZ_STN,0)),INDEX(TZ_STD,MATCH(G19,TZ_STN,0)))</f>
        <v>0</v>
      </c>
      <c r="AA19" s="62" t="n">
        <f aca="false">I19-Z19/24</f>
        <v>46320.4583333333</v>
      </c>
      <c r="AB19" s="63" t="n">
        <f aca="false">(J19-(IF(AND(INDEX(TZ_DSTS,MATCH(H19,TZ_STN,0))&lt;&gt;"",(J19-INDEX(TZ_STD,MATCH(H19,TZ_STN,0))/24)&gt;=INDEX(TZ_DSTS,MATCH(H19,TZ_STN,0)),(J19-INDEX(TZ_STD,MATCH(H19,TZ_STN,0))/24)&lt;INDEX(TZ_DSTE,MATCH(H19,TZ_STN,0))),INDEX(TZ_DST,MATCH(H19,TZ_STN,0)),INDEX(TZ_STD,MATCH(H19,TZ_STN,0))))/24-AA19)*24</f>
        <v>11.75</v>
      </c>
      <c r="AC19" s="62" t="n">
        <f aca="false">AA19-7</f>
        <v>46313.4583333333</v>
      </c>
      <c r="AD19" s="62" t="n">
        <f aca="false">AA19-1</f>
        <v>46319.4583333333</v>
      </c>
      <c r="AE19" s="62" t="n">
        <f aca="false">AA19-0.5</f>
        <v>46319.9583333333</v>
      </c>
      <c r="AF19" s="62" t="n">
        <f aca="false">AA19</f>
        <v>46320.4583333333</v>
      </c>
      <c r="AG19" s="62" t="n">
        <f aca="false">AC19+(IF(AND(INDEX(TZ_DSTS,MATCH(V19,TZ_STN,0))&lt;&gt;"",AC19&gt;=INDEX(TZ_DSTS,MATCH(V19,TZ_STN,0)),AC19&lt;INDEX(TZ_DSTE,MATCH(V19,TZ_STN,0))),INDEX(TZ_DST,MATCH(V19,TZ_STN,0)),INDEX(TZ_STD,MATCH(V19,TZ_STN,0))))/24</f>
        <v>46313.5</v>
      </c>
      <c r="AH19" s="62" t="n">
        <f aca="false">AD19+(IF(AND(INDEX(TZ_DSTS,MATCH(V19,TZ_STN,0))&lt;&gt;"",AD19&gt;=INDEX(TZ_DSTS,MATCH(V19,TZ_STN,0)),AD19&lt;INDEX(TZ_DSTE,MATCH(V19,TZ_STN,0))),INDEX(TZ_DST,MATCH(V19,TZ_STN,0)),INDEX(TZ_STD,MATCH(V19,TZ_STN,0))))/24</f>
        <v>46319.5</v>
      </c>
      <c r="AI19" s="62" t="n">
        <f aca="false">AE19+(IF(AND(INDEX(TZ_DSTS,MATCH(V19,TZ_STN,0))&lt;&gt;"",AE19&gt;=INDEX(TZ_DSTS,MATCH(V19,TZ_STN,0)),AE19&lt;INDEX(TZ_DSTE,MATCH(V19,TZ_STN,0))),INDEX(TZ_DST,MATCH(V19,TZ_STN,0)),INDEX(TZ_STD,MATCH(V19,TZ_STN,0))))/24</f>
        <v>46320</v>
      </c>
      <c r="AJ19" s="64" t="n">
        <f aca="false">IFERROR(SUMIFS(Checks!$AJ$5:$AJ$748,Checks!$B$5:$B$748,$A19,Checks!$G$5:$G$748,"T-7D")/SUMIFS(Checks!$AI$5:$AI$748,Checks!$B$5:$B$748,$A19,Checks!$G$5:$G$748,"T-7D"),"n/a")</f>
        <v>0</v>
      </c>
      <c r="AK19" s="64" t="n">
        <f aca="false">IFERROR(SUMIFS(Checks!$AJ$5:$AJ$748,Checks!$B$5:$B$748,$A19,Checks!$G$5:$G$748,"T-24H")/SUMIFS(Checks!$AI$5:$AI$748,Checks!$B$5:$B$748,$A19,Checks!$G$5:$G$748,"T-24H"),"n/a")</f>
        <v>0</v>
      </c>
      <c r="AL19" s="64" t="n">
        <f aca="false">IFERROR(SUMIFS(Checks!$AJ$5:$AJ$748,Checks!$B$5:$B$748,$A19,Checks!$G$5:$G$748,"T-12H PREP")/SUMIFS(Checks!$AI$5:$AI$748,Checks!$B$5:$B$748,$A19,Checks!$G$5:$G$748,"T-12H PREP"),"n/a")</f>
        <v>0</v>
      </c>
      <c r="AM19" s="64" t="n">
        <f aca="false">IFERROR(SUMIFS(Checks!$AJ$5:$AJ$748,Checks!$B$5:$B$748,$A19,Checks!$G$5:$G$748,"UPLIFT")/SUMIFS(Checks!$AI$5:$AI$748,Checks!$B$5:$B$748,$A19,Checks!$G$5:$G$748,"UPLIFT"),"n/a")</f>
        <v>0</v>
      </c>
      <c r="AN19" s="64" t="n">
        <f aca="false">IFERROR(SUMIFS(Checks!$AJ$5:$AJ$748,Checks!$B$5:$B$748,$A19)/SUMIFS(Checks!$AI$5:$AI$748,Checks!$B$5:$B$748,$A19),"n/a")</f>
        <v>0</v>
      </c>
      <c r="AO19" s="61" t="n">
        <f aca="false">AW19-AV19</f>
        <v>24</v>
      </c>
      <c r="AP19" s="61" t="n">
        <f aca="false">SUMIFS(Checks!$AK$5:$AK$748,Checks!$B$5:$B$748,$A19)</f>
        <v>0</v>
      </c>
      <c r="AQ19" s="61" t="n">
        <f aca="false">SUMIFS(Checks!$AL$5:$AL$748,Checks!$B$5:$B$748,$A19)</f>
        <v>0</v>
      </c>
      <c r="AR19" s="61" t="n">
        <f aca="false">Documents!P19</f>
        <v>2</v>
      </c>
      <c r="AS19" s="61" t="n">
        <f aca="false">SUMIFS(Checks!$AN$5:$AN$748,Checks!$B$5:$B$748,$A19,Checks!$H$5:$H$748,"Preparation")+IF(AND(TRIM(L19)="A350",ISNA(MATCH(UPPER(SUBSTITUTE(SUBSTITUTE(TRIM(N19),"-","")," ","")),{"9MMAB","9MMAC","9MMAD","9MMAE","9MMAF","9MMAG","9MMAH"},0))),1,0)</f>
        <v>2</v>
      </c>
      <c r="AT19" s="65" t="str">
        <f aca="false">IF(AND(AW19&gt;0,AO19=0,AQ19=0,AR19=0,AS19=0,AU19=0),"READY",IF(AP19&gt;0,"NOT READY – OVERDUE",IF(AQ19&gt;0,"NOT READY – DISCREPANCY",IF(AU19&gt;0,"NOT READY – INVALID ENTRY",IF(AR19&gt;0,"NOT READY – DOCUMENTS",IF(AS19&gt;0,"NOT READY – CLARIFICATION",IF(AND(AV19&gt;0,SUMIFS(Checks!$AJ$5:$AJ$748,Checks!$B$5:$B$748,$A19,Checks!$H$5:$H$748,"Preparation")=SUMIFS(Checks!$AI$5:$AI$748,Checks!$B$5:$B$748,$A19,Checks!$H$5:$H$748,"Preparation")),"PREP DONE – AWAITING UPLIFT",IF(AV19=0,"NOT STARTED","IN PROGRESS"))))))))</f>
        <v>NOT READY – DOCUMENTS</v>
      </c>
      <c r="AU19" s="61" t="n">
        <f aca="false">SUMIFS(Checks!$AM$5:$AM$748,Checks!$B$5:$B$748,$A19)</f>
        <v>0</v>
      </c>
      <c r="AV19" s="61" t="n">
        <f aca="false">SUMIFS(Checks!$AJ$5:$AJ$748,Checks!$B$5:$B$748,$A19)</f>
        <v>0</v>
      </c>
      <c r="AW19" s="61" t="n">
        <f aca="false">SUMIFS(Checks!$AI$5:$AI$748,Checks!$B$5:$B$748,$A19)</f>
        <v>24</v>
      </c>
      <c r="AX19" s="62" t="s">
        <v>197</v>
      </c>
      <c r="AY19" s="62" t="s">
        <v>197</v>
      </c>
      <c r="AZ19" s="62" t="s">
        <v>197</v>
      </c>
      <c r="BA19" s="62" t="str">
        <f aca="false">IFERROR(1/(1/_xlfn.MINIFS(Checks!$AG$5:$AG$748,Checks!$B$5:$B$748,$A19,Checks!$H$5:$H$748,"Physical uplift",Checks!$P$5:$P$748,$G19)),"")</f>
        <v/>
      </c>
      <c r="BB19" s="61" t="n">
        <f aca="false">SUMIFS(Checks!$BG$5:$BG$748,Checks!$B$5:$B$748,$A19)</f>
        <v>0</v>
      </c>
    </row>
    <row r="20" customFormat="false" ht="36" hidden="false" customHeight="true" outlineLevel="0" collapsed="false">
      <c r="A20" s="57" t="s">
        <v>280</v>
      </c>
      <c r="B20" s="57" t="n">
        <v>3</v>
      </c>
      <c r="C20" s="57" t="n">
        <v>16</v>
      </c>
      <c r="D20" s="58" t="n">
        <v>46321</v>
      </c>
      <c r="E20" s="57" t="s">
        <v>252</v>
      </c>
      <c r="F20" s="57" t="s">
        <v>281</v>
      </c>
      <c r="G20" s="57" t="s">
        <v>187</v>
      </c>
      <c r="H20" s="57" t="s">
        <v>282</v>
      </c>
      <c r="I20" s="59" t="n">
        <v>46321.3819444445</v>
      </c>
      <c r="J20" s="59" t="n">
        <v>46321.5520833333</v>
      </c>
      <c r="K20" s="57" t="s">
        <v>188</v>
      </c>
      <c r="L20" s="60" t="s">
        <v>203</v>
      </c>
      <c r="M20" s="57" t="s">
        <v>204</v>
      </c>
      <c r="N20" s="60"/>
      <c r="O20" s="57" t="s">
        <v>283</v>
      </c>
      <c r="P20" s="57" t="s">
        <v>284</v>
      </c>
      <c r="Q20" s="57" t="s">
        <v>285</v>
      </c>
      <c r="R20" s="57" t="s">
        <v>286</v>
      </c>
      <c r="S20" s="57" t="s">
        <v>287</v>
      </c>
      <c r="T20" s="57" t="s">
        <v>288</v>
      </c>
      <c r="U20" s="57" t="s">
        <v>289</v>
      </c>
      <c r="V20" s="57" t="s">
        <v>187</v>
      </c>
      <c r="W20" s="57"/>
      <c r="X20" s="60"/>
      <c r="Y20" s="60"/>
      <c r="Z20" s="61" t="n">
        <f aca="false">IF(AND(INDEX(TZ_DSTS,MATCH(G20,TZ_STN,0))&lt;&gt;"",(I20-INDEX(TZ_STD,MATCH(G20,TZ_STN,0))/24)&gt;=INDEX(TZ_DSTS,MATCH(G20,TZ_STN,0)),(I20-INDEX(TZ_STD,MATCH(G20,TZ_STN,0))/24)&lt;INDEX(TZ_DSTE,MATCH(G20,TZ_STN,0))),INDEX(TZ_DST,MATCH(G20,TZ_STN,0)),INDEX(TZ_STD,MATCH(G20,TZ_STN,0)))</f>
        <v>8</v>
      </c>
      <c r="AA20" s="62" t="n">
        <f aca="false">I20-Z20/24</f>
        <v>46321.0486111111</v>
      </c>
      <c r="AB20" s="63" t="n">
        <f aca="false">(J20-(IF(AND(INDEX(TZ_DSTS,MATCH(H20,TZ_STN,0))&lt;&gt;"",(J20-INDEX(TZ_STD,MATCH(H20,TZ_STN,0))/24)&gt;=INDEX(TZ_DSTS,MATCH(H20,TZ_STN,0)),(J20-INDEX(TZ_STD,MATCH(H20,TZ_STN,0))/24)&lt;INDEX(TZ_DSTE,MATCH(H20,TZ_STN,0))),INDEX(TZ_DST,MATCH(H20,TZ_STN,0)),INDEX(TZ_STD,MATCH(H20,TZ_STN,0))))/24-AA20)*24</f>
        <v>4.08333333333333</v>
      </c>
      <c r="AC20" s="62" t="n">
        <f aca="false">AA20-7</f>
        <v>46314.0486111111</v>
      </c>
      <c r="AD20" s="62" t="n">
        <f aca="false">AA20-1</f>
        <v>46320.0486111111</v>
      </c>
      <c r="AE20" s="62" t="n">
        <f aca="false">AA20-0.5</f>
        <v>46320.5486111111</v>
      </c>
      <c r="AF20" s="62" t="n">
        <f aca="false">AA20</f>
        <v>46321.0486111111</v>
      </c>
      <c r="AG20" s="62" t="n">
        <f aca="false">AC20+(IF(AND(INDEX(TZ_DSTS,MATCH(V20,TZ_STN,0))&lt;&gt;"",AC20&gt;=INDEX(TZ_DSTS,MATCH(V20,TZ_STN,0)),AC20&lt;INDEX(TZ_DSTE,MATCH(V20,TZ_STN,0))),INDEX(TZ_DST,MATCH(V20,TZ_STN,0)),INDEX(TZ_STD,MATCH(V20,TZ_STN,0))))/24</f>
        <v>46314.3819444444</v>
      </c>
      <c r="AH20" s="62" t="n">
        <f aca="false">AD20+(IF(AND(INDEX(TZ_DSTS,MATCH(V20,TZ_STN,0))&lt;&gt;"",AD20&gt;=INDEX(TZ_DSTS,MATCH(V20,TZ_STN,0)),AD20&lt;INDEX(TZ_DSTE,MATCH(V20,TZ_STN,0))),INDEX(TZ_DST,MATCH(V20,TZ_STN,0)),INDEX(TZ_STD,MATCH(V20,TZ_STN,0))))/24</f>
        <v>46320.3819444444</v>
      </c>
      <c r="AI20" s="62" t="n">
        <f aca="false">AE20+(IF(AND(INDEX(TZ_DSTS,MATCH(V20,TZ_STN,0))&lt;&gt;"",AE20&gt;=INDEX(TZ_DSTS,MATCH(V20,TZ_STN,0)),AE20&lt;INDEX(TZ_DSTE,MATCH(V20,TZ_STN,0))),INDEX(TZ_DST,MATCH(V20,TZ_STN,0)),INDEX(TZ_STD,MATCH(V20,TZ_STN,0))))/24</f>
        <v>46320.8819444444</v>
      </c>
      <c r="AJ20" s="64" t="n">
        <f aca="false">IFERROR(SUMIFS(Checks!$AJ$5:$AJ$748,Checks!$B$5:$B$748,$A20,Checks!$G$5:$G$748,"T-7D")/SUMIFS(Checks!$AI$5:$AI$748,Checks!$B$5:$B$748,$A20,Checks!$G$5:$G$748,"T-7D"),"n/a")</f>
        <v>0</v>
      </c>
      <c r="AK20" s="64" t="n">
        <f aca="false">IFERROR(SUMIFS(Checks!$AJ$5:$AJ$748,Checks!$B$5:$B$748,$A20,Checks!$G$5:$G$748,"T-24H")/SUMIFS(Checks!$AI$5:$AI$748,Checks!$B$5:$B$748,$A20,Checks!$G$5:$G$748,"T-24H"),"n/a")</f>
        <v>0</v>
      </c>
      <c r="AL20" s="64" t="n">
        <f aca="false">IFERROR(SUMIFS(Checks!$AJ$5:$AJ$748,Checks!$B$5:$B$748,$A20,Checks!$G$5:$G$748,"T-12H PREP")/SUMIFS(Checks!$AI$5:$AI$748,Checks!$B$5:$B$748,$A20,Checks!$G$5:$G$748,"T-12H PREP"),"n/a")</f>
        <v>0</v>
      </c>
      <c r="AM20" s="64" t="n">
        <f aca="false">IFERROR(SUMIFS(Checks!$AJ$5:$AJ$748,Checks!$B$5:$B$748,$A20,Checks!$G$5:$G$748,"UPLIFT")/SUMIFS(Checks!$AI$5:$AI$748,Checks!$B$5:$B$748,$A20,Checks!$G$5:$G$748,"UPLIFT"),"n/a")</f>
        <v>0</v>
      </c>
      <c r="AN20" s="64" t="n">
        <f aca="false">IFERROR(SUMIFS(Checks!$AJ$5:$AJ$748,Checks!$B$5:$B$748,$A20)/SUMIFS(Checks!$AI$5:$AI$748,Checks!$B$5:$B$748,$A20),"n/a")</f>
        <v>0</v>
      </c>
      <c r="AO20" s="61" t="n">
        <f aca="false">AW20-AV20</f>
        <v>24</v>
      </c>
      <c r="AP20" s="61" t="n">
        <f aca="false">SUMIFS(Checks!$AK$5:$AK$748,Checks!$B$5:$B$748,$A20)</f>
        <v>0</v>
      </c>
      <c r="AQ20" s="61" t="n">
        <f aca="false">SUMIFS(Checks!$AL$5:$AL$748,Checks!$B$5:$B$748,$A20)</f>
        <v>0</v>
      </c>
      <c r="AR20" s="61" t="n">
        <f aca="false">Documents!P20</f>
        <v>2</v>
      </c>
      <c r="AS20" s="61" t="n">
        <f aca="false">SUMIFS(Checks!$AN$5:$AN$748,Checks!$B$5:$B$748,$A20,Checks!$H$5:$H$748,"Preparation")+IF(AND(TRIM(L20)="A350",ISNA(MATCH(UPPER(SUBSTITUTE(SUBSTITUTE(TRIM(N20),"-","")," ","")),{"9MMAB","9MMAC","9MMAD","9MMAE","9MMAF","9MMAG","9MMAH"},0))),1,0)</f>
        <v>1</v>
      </c>
      <c r="AT20" s="65" t="str">
        <f aca="false">IF(AND(AW20&gt;0,AO20=0,AQ20=0,AR20=0,AS20=0,AU20=0),"READY",IF(AP20&gt;0,"NOT READY – OVERDUE",IF(AQ20&gt;0,"NOT READY – DISCREPANCY",IF(AU20&gt;0,"NOT READY – INVALID ENTRY",IF(AR20&gt;0,"NOT READY – DOCUMENTS",IF(AS20&gt;0,"NOT READY – CLARIFICATION",IF(AND(AV20&gt;0,SUMIFS(Checks!$AJ$5:$AJ$748,Checks!$B$5:$B$748,$A20,Checks!$H$5:$H$748,"Preparation")=SUMIFS(Checks!$AI$5:$AI$748,Checks!$B$5:$B$748,$A20,Checks!$H$5:$H$748,"Preparation")),"PREP DONE – AWAITING UPLIFT",IF(AV20=0,"NOT STARTED","IN PROGRESS"))))))))</f>
        <v>NOT READY – DOCUMENTS</v>
      </c>
      <c r="AU20" s="61" t="n">
        <f aca="false">SUMIFS(Checks!$AM$5:$AM$748,Checks!$B$5:$B$748,$A20)</f>
        <v>0</v>
      </c>
      <c r="AV20" s="61" t="n">
        <f aca="false">SUMIFS(Checks!$AJ$5:$AJ$748,Checks!$B$5:$B$748,$A20)</f>
        <v>0</v>
      </c>
      <c r="AW20" s="61" t="n">
        <f aca="false">SUMIFS(Checks!$AI$5:$AI$748,Checks!$B$5:$B$748,$A20)</f>
        <v>24</v>
      </c>
      <c r="AX20" s="62" t="s">
        <v>197</v>
      </c>
      <c r="AY20" s="62" t="s">
        <v>197</v>
      </c>
      <c r="AZ20" s="62" t="s">
        <v>197</v>
      </c>
      <c r="BA20" s="62" t="str">
        <f aca="false">IFERROR(1/(1/_xlfn.MINIFS(Checks!$AG$5:$AG$748,Checks!$B$5:$B$748,$A20,Checks!$H$5:$H$748,"Physical uplift",Checks!$P$5:$P$748,$G20)),"")</f>
        <v/>
      </c>
      <c r="BB20" s="61" t="n">
        <f aca="false">SUMIFS(Checks!$BG$5:$BG$748,Checks!$B$5:$B$748,$A20)</f>
        <v>0</v>
      </c>
    </row>
    <row r="21" customFormat="false" ht="36" hidden="false" customHeight="true" outlineLevel="0" collapsed="false">
      <c r="A21" s="57" t="s">
        <v>290</v>
      </c>
      <c r="B21" s="57" t="n">
        <v>3</v>
      </c>
      <c r="C21" s="57" t="n">
        <v>17</v>
      </c>
      <c r="D21" s="58" t="n">
        <v>46322</v>
      </c>
      <c r="E21" s="57" t="s">
        <v>291</v>
      </c>
      <c r="F21" s="57" t="s">
        <v>292</v>
      </c>
      <c r="G21" s="57" t="s">
        <v>282</v>
      </c>
      <c r="H21" s="57" t="s">
        <v>187</v>
      </c>
      <c r="I21" s="59" t="n">
        <v>46322.6180555556</v>
      </c>
      <c r="J21" s="59" t="n">
        <v>46322.7881944445</v>
      </c>
      <c r="K21" s="57" t="s">
        <v>202</v>
      </c>
      <c r="L21" s="60" t="s">
        <v>203</v>
      </c>
      <c r="M21" s="57" t="s">
        <v>204</v>
      </c>
      <c r="N21" s="60"/>
      <c r="O21" s="57" t="s">
        <v>205</v>
      </c>
      <c r="P21" s="57" t="s">
        <v>192</v>
      </c>
      <c r="Q21" s="57"/>
      <c r="R21" s="57" t="s">
        <v>286</v>
      </c>
      <c r="S21" s="57" t="s">
        <v>287</v>
      </c>
      <c r="T21" s="57" t="s">
        <v>288</v>
      </c>
      <c r="U21" s="57" t="s">
        <v>289</v>
      </c>
      <c r="V21" s="57" t="s">
        <v>282</v>
      </c>
      <c r="W21" s="57"/>
      <c r="X21" s="60"/>
      <c r="Y21" s="60"/>
      <c r="Z21" s="61" t="n">
        <f aca="false">IF(AND(INDEX(TZ_DSTS,MATCH(G21,TZ_STN,0))&lt;&gt;"",(I21-INDEX(TZ_STD,MATCH(G21,TZ_STN,0))/24)&gt;=INDEX(TZ_DSTS,MATCH(G21,TZ_STN,0)),(I21-INDEX(TZ_STD,MATCH(G21,TZ_STN,0))/24)&lt;INDEX(TZ_DSTE,MATCH(G21,TZ_STN,0))),INDEX(TZ_DST,MATCH(G21,TZ_STN,0)),INDEX(TZ_STD,MATCH(G21,TZ_STN,0)))</f>
        <v>8</v>
      </c>
      <c r="AA21" s="62" t="n">
        <f aca="false">I21-Z21/24</f>
        <v>46322.2847222222</v>
      </c>
      <c r="AB21" s="63" t="n">
        <f aca="false">(J21-(IF(AND(INDEX(TZ_DSTS,MATCH(H21,TZ_STN,0))&lt;&gt;"",(J21-INDEX(TZ_STD,MATCH(H21,TZ_STN,0))/24)&gt;=INDEX(TZ_DSTS,MATCH(H21,TZ_STN,0)),(J21-INDEX(TZ_STD,MATCH(H21,TZ_STN,0))/24)&lt;INDEX(TZ_DSTE,MATCH(H21,TZ_STN,0))),INDEX(TZ_DST,MATCH(H21,TZ_STN,0)),INDEX(TZ_STD,MATCH(H21,TZ_STN,0))))/24-AA21)*24</f>
        <v>4.08333333333333</v>
      </c>
      <c r="AC21" s="62" t="n">
        <f aca="false">AA21-7</f>
        <v>46315.2847222222</v>
      </c>
      <c r="AD21" s="62" t="n">
        <f aca="false">AA21-1</f>
        <v>46321.2847222222</v>
      </c>
      <c r="AE21" s="62" t="n">
        <f aca="false">AA21-0.5</f>
        <v>46321.7847222222</v>
      </c>
      <c r="AF21" s="62" t="n">
        <f aca="false">AA21</f>
        <v>46322.2847222222</v>
      </c>
      <c r="AG21" s="62" t="n">
        <f aca="false">AC21+(IF(AND(INDEX(TZ_DSTS,MATCH(V21,TZ_STN,0))&lt;&gt;"",AC21&gt;=INDEX(TZ_DSTS,MATCH(V21,TZ_STN,0)),AC21&lt;INDEX(TZ_DSTE,MATCH(V21,TZ_STN,0))),INDEX(TZ_DST,MATCH(V21,TZ_STN,0)),INDEX(TZ_STD,MATCH(V21,TZ_STN,0))))/24</f>
        <v>46315.6180555556</v>
      </c>
      <c r="AH21" s="62" t="n">
        <f aca="false">AD21+(IF(AND(INDEX(TZ_DSTS,MATCH(V21,TZ_STN,0))&lt;&gt;"",AD21&gt;=INDEX(TZ_DSTS,MATCH(V21,TZ_STN,0)),AD21&lt;INDEX(TZ_DSTE,MATCH(V21,TZ_STN,0))),INDEX(TZ_DST,MATCH(V21,TZ_STN,0)),INDEX(TZ_STD,MATCH(V21,TZ_STN,0))))/24</f>
        <v>46321.6180555556</v>
      </c>
      <c r="AI21" s="62" t="n">
        <f aca="false">AE21+(IF(AND(INDEX(TZ_DSTS,MATCH(V21,TZ_STN,0))&lt;&gt;"",AE21&gt;=INDEX(TZ_DSTS,MATCH(V21,TZ_STN,0)),AE21&lt;INDEX(TZ_DSTE,MATCH(V21,TZ_STN,0))),INDEX(TZ_DST,MATCH(V21,TZ_STN,0)),INDEX(TZ_STD,MATCH(V21,TZ_STN,0))))/24</f>
        <v>46322.1180555556</v>
      </c>
      <c r="AJ21" s="64" t="n">
        <f aca="false">IFERROR(SUMIFS(Checks!$AJ$5:$AJ$748,Checks!$B$5:$B$748,$A21,Checks!$G$5:$G$748,"T-7D")/SUMIFS(Checks!$AI$5:$AI$748,Checks!$B$5:$B$748,$A21,Checks!$G$5:$G$748,"T-7D"),"n/a")</f>
        <v>0</v>
      </c>
      <c r="AK21" s="64" t="n">
        <f aca="false">IFERROR(SUMIFS(Checks!$AJ$5:$AJ$748,Checks!$B$5:$B$748,$A21,Checks!$G$5:$G$748,"T-24H")/SUMIFS(Checks!$AI$5:$AI$748,Checks!$B$5:$B$748,$A21,Checks!$G$5:$G$748,"T-24H"),"n/a")</f>
        <v>0</v>
      </c>
      <c r="AL21" s="64" t="n">
        <f aca="false">IFERROR(SUMIFS(Checks!$AJ$5:$AJ$748,Checks!$B$5:$B$748,$A21,Checks!$G$5:$G$748,"T-12H PREP")/SUMIFS(Checks!$AI$5:$AI$748,Checks!$B$5:$B$748,$A21,Checks!$G$5:$G$748,"T-12H PREP"),"n/a")</f>
        <v>0</v>
      </c>
      <c r="AM21" s="64" t="n">
        <f aca="false">IFERROR(SUMIFS(Checks!$AJ$5:$AJ$748,Checks!$B$5:$B$748,$A21,Checks!$G$5:$G$748,"UPLIFT")/SUMIFS(Checks!$AI$5:$AI$748,Checks!$B$5:$B$748,$A21,Checks!$G$5:$G$748,"UPLIFT"),"n/a")</f>
        <v>0</v>
      </c>
      <c r="AN21" s="64" t="n">
        <f aca="false">IFERROR(SUMIFS(Checks!$AJ$5:$AJ$748,Checks!$B$5:$B$748,$A21)/SUMIFS(Checks!$AI$5:$AI$748,Checks!$B$5:$B$748,$A21),"n/a")</f>
        <v>0</v>
      </c>
      <c r="AO21" s="61" t="n">
        <f aca="false">AW21-AV21</f>
        <v>42</v>
      </c>
      <c r="AP21" s="61" t="n">
        <f aca="false">SUMIFS(Checks!$AK$5:$AK$748,Checks!$B$5:$B$748,$A21)</f>
        <v>0</v>
      </c>
      <c r="AQ21" s="61" t="n">
        <f aca="false">SUMIFS(Checks!$AL$5:$AL$748,Checks!$B$5:$B$748,$A21)</f>
        <v>0</v>
      </c>
      <c r="AR21" s="61" t="n">
        <f aca="false">Documents!P21</f>
        <v>2</v>
      </c>
      <c r="AS21" s="61" t="n">
        <f aca="false">SUMIFS(Checks!$AN$5:$AN$748,Checks!$B$5:$B$748,$A21,Checks!$H$5:$H$748,"Preparation")+IF(AND(TRIM(L21)="A350",ISNA(MATCH(UPPER(SUBSTITUTE(SUBSTITUTE(TRIM(N21),"-","")," ","")),{"9MMAB","9MMAC","9MMAD","9MMAE","9MMAF","9MMAG","9MMAH"},0))),1,0)</f>
        <v>4</v>
      </c>
      <c r="AT21" s="65" t="str">
        <f aca="false">IF(AND(AW21&gt;0,AO21=0,AQ21=0,AR21=0,AS21=0,AU21=0),"READY",IF(AP21&gt;0,"NOT READY – OVERDUE",IF(AQ21&gt;0,"NOT READY – DISCREPANCY",IF(AU21&gt;0,"NOT READY – INVALID ENTRY",IF(AR21&gt;0,"NOT READY – DOCUMENTS",IF(AS21&gt;0,"NOT READY – CLARIFICATION",IF(AND(AV21&gt;0,SUMIFS(Checks!$AJ$5:$AJ$748,Checks!$B$5:$B$748,$A21,Checks!$H$5:$H$748,"Preparation")=SUMIFS(Checks!$AI$5:$AI$748,Checks!$B$5:$B$748,$A21,Checks!$H$5:$H$748,"Preparation")),"PREP DONE – AWAITING UPLIFT",IF(AV21=0,"NOT STARTED","IN PROGRESS"))))))))</f>
        <v>NOT READY – DOCUMENTS</v>
      </c>
      <c r="AU21" s="61" t="n">
        <f aca="false">SUMIFS(Checks!$AM$5:$AM$748,Checks!$B$5:$B$748,$A21)</f>
        <v>0</v>
      </c>
      <c r="AV21" s="61" t="n">
        <f aca="false">SUMIFS(Checks!$AJ$5:$AJ$748,Checks!$B$5:$B$748,$A21)</f>
        <v>0</v>
      </c>
      <c r="AW21" s="61" t="n">
        <f aca="false">SUMIFS(Checks!$AI$5:$AI$748,Checks!$B$5:$B$748,$A21)</f>
        <v>42</v>
      </c>
      <c r="AX21" s="66"/>
      <c r="AY21" s="62" t="n">
        <f aca="false">ROUND((IF(ISNUMBER(AX21),AX21,$AA$20)-UpliftWindowH/24)*1440,0)/1440</f>
        <v>46320.7986111111</v>
      </c>
      <c r="AZ21" s="62" t="n">
        <f aca="false">ROUND((AY21+UpliftWindowH/24+MIN($AB$20)/24)*1440,0)/1440</f>
        <v>46321.21875</v>
      </c>
      <c r="BA21" s="62" t="str">
        <f aca="false">IFERROR(1/(1/_xlfn.MINIFS(Checks!$AG$5:$AG$748,Checks!$B$5:$B$748,$A21,Checks!$H$5:$H$748,"Physical uplift",Checks!$P$5:$P$748,$G21)),"")</f>
        <v/>
      </c>
      <c r="BB21" s="61" t="n">
        <f aca="false">SUMIFS(Checks!$BG$5:$BG$748,Checks!$B$5:$B$748,$A21)</f>
        <v>0</v>
      </c>
    </row>
    <row r="22" customFormat="false" ht="36" hidden="false" customHeight="true" outlineLevel="0" collapsed="false">
      <c r="A22" s="57" t="s">
        <v>293</v>
      </c>
      <c r="B22" s="57" t="n">
        <v>3</v>
      </c>
      <c r="C22" s="57" t="n">
        <v>18</v>
      </c>
      <c r="D22" s="58" t="n">
        <v>46322</v>
      </c>
      <c r="E22" s="57" t="s">
        <v>291</v>
      </c>
      <c r="F22" s="57" t="s">
        <v>294</v>
      </c>
      <c r="G22" s="57" t="s">
        <v>187</v>
      </c>
      <c r="H22" s="57" t="s">
        <v>295</v>
      </c>
      <c r="I22" s="59" t="n">
        <v>46322.9340277778</v>
      </c>
      <c r="J22" s="59" t="n">
        <v>46323.2465277778</v>
      </c>
      <c r="K22" s="57" t="s">
        <v>202</v>
      </c>
      <c r="L22" s="60" t="s">
        <v>215</v>
      </c>
      <c r="M22" s="57" t="s">
        <v>216</v>
      </c>
      <c r="N22" s="60"/>
      <c r="O22" s="57" t="s">
        <v>296</v>
      </c>
      <c r="P22" s="57" t="s">
        <v>297</v>
      </c>
      <c r="Q22" s="57" t="s">
        <v>298</v>
      </c>
      <c r="R22" s="57" t="s">
        <v>299</v>
      </c>
      <c r="S22" s="57" t="s">
        <v>225</v>
      </c>
      <c r="T22" s="57" t="s">
        <v>226</v>
      </c>
      <c r="U22" s="57" t="s">
        <v>300</v>
      </c>
      <c r="V22" s="57" t="s">
        <v>187</v>
      </c>
      <c r="W22" s="57"/>
      <c r="X22" s="60"/>
      <c r="Y22" s="60"/>
      <c r="Z22" s="61" t="n">
        <f aca="false">IF(AND(INDEX(TZ_DSTS,MATCH(G22,TZ_STN,0))&lt;&gt;"",(I22-INDEX(TZ_STD,MATCH(G22,TZ_STN,0))/24)&gt;=INDEX(TZ_DSTS,MATCH(G22,TZ_STN,0)),(I22-INDEX(TZ_STD,MATCH(G22,TZ_STN,0))/24)&lt;INDEX(TZ_DSTE,MATCH(G22,TZ_STN,0))),INDEX(TZ_DST,MATCH(G22,TZ_STN,0)),INDEX(TZ_STD,MATCH(G22,TZ_STN,0)))</f>
        <v>8</v>
      </c>
      <c r="AA22" s="62" t="n">
        <f aca="false">I22-Z22/24</f>
        <v>46322.6006944444</v>
      </c>
      <c r="AB22" s="63" t="n">
        <f aca="false">(J22-(IF(AND(INDEX(TZ_DSTS,MATCH(H22,TZ_STN,0))&lt;&gt;"",(J22-INDEX(TZ_STD,MATCH(H22,TZ_STN,0))/24)&gt;=INDEX(TZ_DSTS,MATCH(H22,TZ_STN,0)),(J22-INDEX(TZ_STD,MATCH(H22,TZ_STN,0))/24)&lt;INDEX(TZ_DSTE,MATCH(H22,TZ_STN,0))),INDEX(TZ_DST,MATCH(H22,TZ_STN,0)),INDEX(TZ_STD,MATCH(H22,TZ_STN,0))))/24-AA22)*24</f>
        <v>6.5</v>
      </c>
      <c r="AC22" s="62" t="n">
        <f aca="false">AA22-7</f>
        <v>46315.6006944444</v>
      </c>
      <c r="AD22" s="62" t="n">
        <f aca="false">AA22-1</f>
        <v>46321.6006944444</v>
      </c>
      <c r="AE22" s="62" t="n">
        <f aca="false">AA22-0.5</f>
        <v>46322.1006944444</v>
      </c>
      <c r="AF22" s="62" t="n">
        <f aca="false">AA22</f>
        <v>46322.6006944444</v>
      </c>
      <c r="AG22" s="62" t="n">
        <f aca="false">AC22+(IF(AND(INDEX(TZ_DSTS,MATCH(V22,TZ_STN,0))&lt;&gt;"",AC22&gt;=INDEX(TZ_DSTS,MATCH(V22,TZ_STN,0)),AC22&lt;INDEX(TZ_DSTE,MATCH(V22,TZ_STN,0))),INDEX(TZ_DST,MATCH(V22,TZ_STN,0)),INDEX(TZ_STD,MATCH(V22,TZ_STN,0))))/24</f>
        <v>46315.9340277778</v>
      </c>
      <c r="AH22" s="62" t="n">
        <f aca="false">AD22+(IF(AND(INDEX(TZ_DSTS,MATCH(V22,TZ_STN,0))&lt;&gt;"",AD22&gt;=INDEX(TZ_DSTS,MATCH(V22,TZ_STN,0)),AD22&lt;INDEX(TZ_DSTE,MATCH(V22,TZ_STN,0))),INDEX(TZ_DST,MATCH(V22,TZ_STN,0)),INDEX(TZ_STD,MATCH(V22,TZ_STN,0))))/24</f>
        <v>46321.9340277778</v>
      </c>
      <c r="AI22" s="62" t="n">
        <f aca="false">AE22+(IF(AND(INDEX(TZ_DSTS,MATCH(V22,TZ_STN,0))&lt;&gt;"",AE22&gt;=INDEX(TZ_DSTS,MATCH(V22,TZ_STN,0)),AE22&lt;INDEX(TZ_DSTE,MATCH(V22,TZ_STN,0))),INDEX(TZ_DST,MATCH(V22,TZ_STN,0)),INDEX(TZ_STD,MATCH(V22,TZ_STN,0))))/24</f>
        <v>46322.4340277778</v>
      </c>
      <c r="AJ22" s="64" t="n">
        <f aca="false">IFERROR(SUMIFS(Checks!$AJ$5:$AJ$748,Checks!$B$5:$B$748,$A22,Checks!$G$5:$G$748,"T-7D")/SUMIFS(Checks!$AI$5:$AI$748,Checks!$B$5:$B$748,$A22,Checks!$G$5:$G$748,"T-7D"),"n/a")</f>
        <v>0</v>
      </c>
      <c r="AK22" s="64" t="n">
        <f aca="false">IFERROR(SUMIFS(Checks!$AJ$5:$AJ$748,Checks!$B$5:$B$748,$A22,Checks!$G$5:$G$748,"T-24H")/SUMIFS(Checks!$AI$5:$AI$748,Checks!$B$5:$B$748,$A22,Checks!$G$5:$G$748,"T-24H"),"n/a")</f>
        <v>0</v>
      </c>
      <c r="AL22" s="64" t="n">
        <f aca="false">IFERROR(SUMIFS(Checks!$AJ$5:$AJ$748,Checks!$B$5:$B$748,$A22,Checks!$G$5:$G$748,"T-12H PREP")/SUMIFS(Checks!$AI$5:$AI$748,Checks!$B$5:$B$748,$A22,Checks!$G$5:$G$748,"T-12H PREP"),"n/a")</f>
        <v>0</v>
      </c>
      <c r="AM22" s="64" t="n">
        <f aca="false">IFERROR(SUMIFS(Checks!$AJ$5:$AJ$748,Checks!$B$5:$B$748,$A22,Checks!$G$5:$G$748,"UPLIFT")/SUMIFS(Checks!$AI$5:$AI$748,Checks!$B$5:$B$748,$A22,Checks!$G$5:$G$748,"UPLIFT"),"n/a")</f>
        <v>0</v>
      </c>
      <c r="AN22" s="64" t="n">
        <f aca="false">IFERROR(SUMIFS(Checks!$AJ$5:$AJ$748,Checks!$B$5:$B$748,$A22)/SUMIFS(Checks!$AI$5:$AI$748,Checks!$B$5:$B$748,$A22),"n/a")</f>
        <v>0</v>
      </c>
      <c r="AO22" s="61" t="n">
        <f aca="false">AW22-AV22</f>
        <v>44</v>
      </c>
      <c r="AP22" s="61" t="n">
        <f aca="false">SUMIFS(Checks!$AK$5:$AK$748,Checks!$B$5:$B$748,$A22)</f>
        <v>0</v>
      </c>
      <c r="AQ22" s="61" t="n">
        <f aca="false">SUMIFS(Checks!$AL$5:$AL$748,Checks!$B$5:$B$748,$A22)</f>
        <v>0</v>
      </c>
      <c r="AR22" s="61" t="n">
        <f aca="false">Documents!P22</f>
        <v>2</v>
      </c>
      <c r="AS22" s="61" t="n">
        <f aca="false">SUMIFS(Checks!$AN$5:$AN$748,Checks!$B$5:$B$748,$A22,Checks!$H$5:$H$748,"Preparation")+IF(AND(TRIM(L22)="A350",ISNA(MATCH(UPPER(SUBSTITUTE(SUBSTITUTE(TRIM(N22),"-","")," ","")),{"9MMAB","9MMAC","9MMAD","9MMAE","9MMAF","9MMAG","9MMAH"},0))),1,0)</f>
        <v>0</v>
      </c>
      <c r="AT22" s="65" t="str">
        <f aca="false">IF(AND(AW22&gt;0,AO22=0,AQ22=0,AR22=0,AS22=0,AU22=0),"READY",IF(AP22&gt;0,"NOT READY – OVERDUE",IF(AQ22&gt;0,"NOT READY – DISCREPANCY",IF(AU22&gt;0,"NOT READY – INVALID ENTRY",IF(AR22&gt;0,"NOT READY – DOCUMENTS",IF(AS22&gt;0,"NOT READY – CLARIFICATION",IF(AND(AV22&gt;0,SUMIFS(Checks!$AJ$5:$AJ$748,Checks!$B$5:$B$748,$A22,Checks!$H$5:$H$748,"Preparation")=SUMIFS(Checks!$AI$5:$AI$748,Checks!$B$5:$B$748,$A22,Checks!$H$5:$H$748,"Preparation")),"PREP DONE – AWAITING UPLIFT",IF(AV22=0,"NOT STARTED","IN PROGRESS"))))))))</f>
        <v>NOT READY – DOCUMENTS</v>
      </c>
      <c r="AU22" s="61" t="n">
        <f aca="false">SUMIFS(Checks!$AM$5:$AM$748,Checks!$B$5:$B$748,$A22)</f>
        <v>0</v>
      </c>
      <c r="AV22" s="61" t="n">
        <f aca="false">SUMIFS(Checks!$AJ$5:$AJ$748,Checks!$B$5:$B$748,$A22)</f>
        <v>0</v>
      </c>
      <c r="AW22" s="61" t="n">
        <f aca="false">SUMIFS(Checks!$AI$5:$AI$748,Checks!$B$5:$B$748,$A22)</f>
        <v>44</v>
      </c>
      <c r="AX22" s="62" t="s">
        <v>197</v>
      </c>
      <c r="AY22" s="62" t="s">
        <v>197</v>
      </c>
      <c r="AZ22" s="62" t="s">
        <v>197</v>
      </c>
      <c r="BA22" s="62" t="str">
        <f aca="false">IFERROR(1/(1/_xlfn.MINIFS(Checks!$AG$5:$AG$748,Checks!$B$5:$B$748,$A22,Checks!$H$5:$H$748,"Physical uplift",Checks!$P$5:$P$748,$G22)),"")</f>
        <v/>
      </c>
      <c r="BB22" s="61" t="n">
        <f aca="false">SUMIFS(Checks!$BG$5:$BG$748,Checks!$B$5:$B$748,$A22)</f>
        <v>0</v>
      </c>
    </row>
    <row r="23" customFormat="false" ht="36" hidden="false" customHeight="true" outlineLevel="0" collapsed="false">
      <c r="A23" s="57" t="s">
        <v>301</v>
      </c>
      <c r="B23" s="57" t="n">
        <v>3</v>
      </c>
      <c r="C23" s="57" t="n">
        <v>19</v>
      </c>
      <c r="D23" s="58" t="n">
        <v>46324</v>
      </c>
      <c r="E23" s="57" t="s">
        <v>184</v>
      </c>
      <c r="F23" s="57" t="s">
        <v>302</v>
      </c>
      <c r="G23" s="57" t="s">
        <v>295</v>
      </c>
      <c r="H23" s="57" t="s">
        <v>187</v>
      </c>
      <c r="I23" s="59" t="n">
        <v>46324.4027777778</v>
      </c>
      <c r="J23" s="59" t="n">
        <v>46324.6979166667</v>
      </c>
      <c r="K23" s="57" t="s">
        <v>188</v>
      </c>
      <c r="L23" s="60" t="s">
        <v>215</v>
      </c>
      <c r="M23" s="57" t="s">
        <v>216</v>
      </c>
      <c r="N23" s="60"/>
      <c r="O23" s="57" t="s">
        <v>303</v>
      </c>
      <c r="P23" s="57" t="s">
        <v>192</v>
      </c>
      <c r="Q23" s="57"/>
      <c r="R23" s="57" t="s">
        <v>299</v>
      </c>
      <c r="S23" s="57" t="s">
        <v>225</v>
      </c>
      <c r="T23" s="57" t="s">
        <v>226</v>
      </c>
      <c r="U23" s="57" t="s">
        <v>300</v>
      </c>
      <c r="V23" s="57" t="s">
        <v>295</v>
      </c>
      <c r="W23" s="57"/>
      <c r="X23" s="60"/>
      <c r="Y23" s="60"/>
      <c r="Z23" s="61" t="n">
        <f aca="false">IF(AND(INDEX(TZ_DSTS,MATCH(G23,TZ_STN,0))&lt;&gt;"",(I23-INDEX(TZ_STD,MATCH(G23,TZ_STN,0))/24)&gt;=INDEX(TZ_DSTS,MATCH(G23,TZ_STN,0)),(I23-INDEX(TZ_STD,MATCH(G23,TZ_STN,0))/24)&lt;INDEX(TZ_DSTE,MATCH(G23,TZ_STN,0))),INDEX(TZ_DST,MATCH(G23,TZ_STN,0)),INDEX(TZ_STD,MATCH(G23,TZ_STN,0)))</f>
        <v>9</v>
      </c>
      <c r="AA23" s="62" t="n">
        <f aca="false">I23-Z23/24</f>
        <v>46324.0277777778</v>
      </c>
      <c r="AB23" s="63" t="n">
        <f aca="false">(J23-(IF(AND(INDEX(TZ_DSTS,MATCH(H23,TZ_STN,0))&lt;&gt;"",(J23-INDEX(TZ_STD,MATCH(H23,TZ_STN,0))/24)&gt;=INDEX(TZ_DSTS,MATCH(H23,TZ_STN,0)),(J23-INDEX(TZ_STD,MATCH(H23,TZ_STN,0))/24)&lt;INDEX(TZ_DSTE,MATCH(H23,TZ_STN,0))),INDEX(TZ_DST,MATCH(H23,TZ_STN,0)),INDEX(TZ_STD,MATCH(H23,TZ_STN,0))))/24-AA23)*24</f>
        <v>8.08333333296444</v>
      </c>
      <c r="AC23" s="62" t="n">
        <f aca="false">AA23-7</f>
        <v>46317.0277777778</v>
      </c>
      <c r="AD23" s="62" t="n">
        <f aca="false">AA23-1</f>
        <v>46323.0277777778</v>
      </c>
      <c r="AE23" s="62" t="n">
        <f aca="false">AA23-0.5</f>
        <v>46323.5277777778</v>
      </c>
      <c r="AF23" s="62" t="n">
        <f aca="false">AA23</f>
        <v>46324.0277777778</v>
      </c>
      <c r="AG23" s="62" t="n">
        <f aca="false">AC23+(IF(AND(INDEX(TZ_DSTS,MATCH(V23,TZ_STN,0))&lt;&gt;"",AC23&gt;=INDEX(TZ_DSTS,MATCH(V23,TZ_STN,0)),AC23&lt;INDEX(TZ_DSTE,MATCH(V23,TZ_STN,0))),INDEX(TZ_DST,MATCH(V23,TZ_STN,0)),INDEX(TZ_STD,MATCH(V23,TZ_STN,0))))/24</f>
        <v>46317.4027777778</v>
      </c>
      <c r="AH23" s="62" t="n">
        <f aca="false">AD23+(IF(AND(INDEX(TZ_DSTS,MATCH(V23,TZ_STN,0))&lt;&gt;"",AD23&gt;=INDEX(TZ_DSTS,MATCH(V23,TZ_STN,0)),AD23&lt;INDEX(TZ_DSTE,MATCH(V23,TZ_STN,0))),INDEX(TZ_DST,MATCH(V23,TZ_STN,0)),INDEX(TZ_STD,MATCH(V23,TZ_STN,0))))/24</f>
        <v>46323.4027777778</v>
      </c>
      <c r="AI23" s="62" t="n">
        <f aca="false">AE23+(IF(AND(INDEX(TZ_DSTS,MATCH(V23,TZ_STN,0))&lt;&gt;"",AE23&gt;=INDEX(TZ_DSTS,MATCH(V23,TZ_STN,0)),AE23&lt;INDEX(TZ_DSTE,MATCH(V23,TZ_STN,0))),INDEX(TZ_DST,MATCH(V23,TZ_STN,0)),INDEX(TZ_STD,MATCH(V23,TZ_STN,0))))/24</f>
        <v>46323.9027777778</v>
      </c>
      <c r="AJ23" s="64" t="n">
        <f aca="false">IFERROR(SUMIFS(Checks!$AJ$5:$AJ$748,Checks!$B$5:$B$748,$A23,Checks!$G$5:$G$748,"T-7D")/SUMIFS(Checks!$AI$5:$AI$748,Checks!$B$5:$B$748,$A23,Checks!$G$5:$G$748,"T-7D"),"n/a")</f>
        <v>0</v>
      </c>
      <c r="AK23" s="64" t="n">
        <f aca="false">IFERROR(SUMIFS(Checks!$AJ$5:$AJ$748,Checks!$B$5:$B$748,$A23,Checks!$G$5:$G$748,"T-24H")/SUMIFS(Checks!$AI$5:$AI$748,Checks!$B$5:$B$748,$A23,Checks!$G$5:$G$748,"T-24H"),"n/a")</f>
        <v>0</v>
      </c>
      <c r="AL23" s="64" t="n">
        <f aca="false">IFERROR(SUMIFS(Checks!$AJ$5:$AJ$748,Checks!$B$5:$B$748,$A23,Checks!$G$5:$G$748,"T-12H PREP")/SUMIFS(Checks!$AI$5:$AI$748,Checks!$B$5:$B$748,$A23,Checks!$G$5:$G$748,"T-12H PREP"),"n/a")</f>
        <v>0</v>
      </c>
      <c r="AM23" s="64" t="n">
        <f aca="false">IFERROR(SUMIFS(Checks!$AJ$5:$AJ$748,Checks!$B$5:$B$748,$A23,Checks!$G$5:$G$748,"UPLIFT")/SUMIFS(Checks!$AI$5:$AI$748,Checks!$B$5:$B$748,$A23,Checks!$G$5:$G$748,"UPLIFT"),"n/a")</f>
        <v>0</v>
      </c>
      <c r="AN23" s="64" t="n">
        <f aca="false">IFERROR(SUMIFS(Checks!$AJ$5:$AJ$748,Checks!$B$5:$B$748,$A23)/SUMIFS(Checks!$AI$5:$AI$748,Checks!$B$5:$B$748,$A23),"n/a")</f>
        <v>0</v>
      </c>
      <c r="AO23" s="61" t="n">
        <f aca="false">AW23-AV23</f>
        <v>24</v>
      </c>
      <c r="AP23" s="61" t="n">
        <f aca="false">SUMIFS(Checks!$AK$5:$AK$748,Checks!$B$5:$B$748,$A23)</f>
        <v>0</v>
      </c>
      <c r="AQ23" s="61" t="n">
        <f aca="false">SUMIFS(Checks!$AL$5:$AL$748,Checks!$B$5:$B$748,$A23)</f>
        <v>0</v>
      </c>
      <c r="AR23" s="61" t="n">
        <f aca="false">Documents!P23</f>
        <v>2</v>
      </c>
      <c r="AS23" s="61" t="n">
        <f aca="false">SUMIFS(Checks!$AN$5:$AN$748,Checks!$B$5:$B$748,$A23,Checks!$H$5:$H$748,"Preparation")+IF(AND(TRIM(L23)="A350",ISNA(MATCH(UPPER(SUBSTITUTE(SUBSTITUTE(TRIM(N23),"-","")," ","")),{"9MMAB","9MMAC","9MMAD","9MMAE","9MMAF","9MMAG","9MMAH"},0))),1,0)</f>
        <v>1</v>
      </c>
      <c r="AT23" s="65" t="str">
        <f aca="false">IF(AND(AW23&gt;0,AO23=0,AQ23=0,AR23=0,AS23=0,AU23=0),"READY",IF(AP23&gt;0,"NOT READY – OVERDUE",IF(AQ23&gt;0,"NOT READY – DISCREPANCY",IF(AU23&gt;0,"NOT READY – INVALID ENTRY",IF(AR23&gt;0,"NOT READY – DOCUMENTS",IF(AS23&gt;0,"NOT READY – CLARIFICATION",IF(AND(AV23&gt;0,SUMIFS(Checks!$AJ$5:$AJ$748,Checks!$B$5:$B$748,$A23,Checks!$H$5:$H$748,"Preparation")=SUMIFS(Checks!$AI$5:$AI$748,Checks!$B$5:$B$748,$A23,Checks!$H$5:$H$748,"Preparation")),"PREP DONE – AWAITING UPLIFT",IF(AV23=0,"NOT STARTED","IN PROGRESS"))))))))</f>
        <v>NOT READY – DOCUMENTS</v>
      </c>
      <c r="AU23" s="61" t="n">
        <f aca="false">SUMIFS(Checks!$AM$5:$AM$748,Checks!$B$5:$B$748,$A23)</f>
        <v>0</v>
      </c>
      <c r="AV23" s="61" t="n">
        <f aca="false">SUMIFS(Checks!$AJ$5:$AJ$748,Checks!$B$5:$B$748,$A23)</f>
        <v>0</v>
      </c>
      <c r="AW23" s="61" t="n">
        <f aca="false">SUMIFS(Checks!$AI$5:$AI$748,Checks!$B$5:$B$748,$A23)</f>
        <v>24</v>
      </c>
      <c r="AX23" s="62" t="s">
        <v>197</v>
      </c>
      <c r="AY23" s="62" t="s">
        <v>197</v>
      </c>
      <c r="AZ23" s="62" t="s">
        <v>197</v>
      </c>
      <c r="BA23" s="62" t="str">
        <f aca="false">IFERROR(1/(1/_xlfn.MINIFS(Checks!$AG$5:$AG$748,Checks!$B$5:$B$748,$A23,Checks!$H$5:$H$748,"Physical uplift",Checks!$P$5:$P$748,$G23)),"")</f>
        <v/>
      </c>
      <c r="BB23" s="61" t="n">
        <f aca="false">SUMIFS(Checks!$BG$5:$BG$748,Checks!$B$5:$B$748,$A23)</f>
        <v>0</v>
      </c>
    </row>
    <row r="24" customFormat="false" ht="36" hidden="false" customHeight="true" outlineLevel="0" collapsed="false">
      <c r="A24" s="57" t="s">
        <v>304</v>
      </c>
      <c r="B24" s="57" t="n">
        <v>3</v>
      </c>
      <c r="C24" s="57" t="n">
        <v>20</v>
      </c>
      <c r="D24" s="58" t="n">
        <v>46324</v>
      </c>
      <c r="E24" s="57" t="s">
        <v>184</v>
      </c>
      <c r="F24" s="57" t="s">
        <v>305</v>
      </c>
      <c r="G24" s="57" t="s">
        <v>187</v>
      </c>
      <c r="H24" s="57" t="s">
        <v>306</v>
      </c>
      <c r="I24" s="59" t="n">
        <v>46324.7708333333</v>
      </c>
      <c r="J24" s="59" t="n">
        <v>46324.8333333333</v>
      </c>
      <c r="K24" s="57" t="s">
        <v>188</v>
      </c>
      <c r="L24" s="60" t="s">
        <v>203</v>
      </c>
      <c r="M24" s="57" t="s">
        <v>204</v>
      </c>
      <c r="N24" s="60"/>
      <c r="O24" s="57" t="s">
        <v>241</v>
      </c>
      <c r="P24" s="57" t="s">
        <v>307</v>
      </c>
      <c r="Q24" s="57" t="s">
        <v>308</v>
      </c>
      <c r="R24" s="57" t="s">
        <v>309</v>
      </c>
      <c r="S24" s="57" t="s">
        <v>256</v>
      </c>
      <c r="T24" s="57" t="s">
        <v>257</v>
      </c>
      <c r="U24" s="57" t="s">
        <v>187</v>
      </c>
      <c r="V24" s="57" t="s">
        <v>187</v>
      </c>
      <c r="W24" s="57"/>
      <c r="X24" s="60"/>
      <c r="Y24" s="60"/>
      <c r="Z24" s="61" t="n">
        <f aca="false">IF(AND(INDEX(TZ_DSTS,MATCH(G24,TZ_STN,0))&lt;&gt;"",(I24-INDEX(TZ_STD,MATCH(G24,TZ_STN,0))/24)&gt;=INDEX(TZ_DSTS,MATCH(G24,TZ_STN,0)),(I24-INDEX(TZ_STD,MATCH(G24,TZ_STN,0))/24)&lt;INDEX(TZ_DSTE,MATCH(G24,TZ_STN,0))),INDEX(TZ_DST,MATCH(G24,TZ_STN,0)),INDEX(TZ_STD,MATCH(G24,TZ_STN,0)))</f>
        <v>8</v>
      </c>
      <c r="AA24" s="62" t="n">
        <f aca="false">I24-Z24/24</f>
        <v>46324.4375</v>
      </c>
      <c r="AB24" s="63" t="n">
        <f aca="false">(J24-(IF(AND(INDEX(TZ_DSTS,MATCH(H24,TZ_STN,0))&lt;&gt;"",(J24-INDEX(TZ_STD,MATCH(H24,TZ_STN,0))/24)&gt;=INDEX(TZ_DSTS,MATCH(H24,TZ_STN,0)),(J24-INDEX(TZ_STD,MATCH(H24,TZ_STN,0))/24)&lt;INDEX(TZ_DSTE,MATCH(H24,TZ_STN,0))),INDEX(TZ_DST,MATCH(H24,TZ_STN,0)),INDEX(TZ_STD,MATCH(H24,TZ_STN,0))))/24-AA24)*24</f>
        <v>1.5</v>
      </c>
      <c r="AC24" s="62" t="n">
        <f aca="false">AA24-7</f>
        <v>46317.4375</v>
      </c>
      <c r="AD24" s="62" t="n">
        <f aca="false">AA24-1</f>
        <v>46323.4375</v>
      </c>
      <c r="AE24" s="62" t="n">
        <f aca="false">AA24-0.5</f>
        <v>46323.9375</v>
      </c>
      <c r="AF24" s="62" t="n">
        <f aca="false">AA24</f>
        <v>46324.4375</v>
      </c>
      <c r="AG24" s="62" t="n">
        <f aca="false">AC24+(IF(AND(INDEX(TZ_DSTS,MATCH(V24,TZ_STN,0))&lt;&gt;"",AC24&gt;=INDEX(TZ_DSTS,MATCH(V24,TZ_STN,0)),AC24&lt;INDEX(TZ_DSTE,MATCH(V24,TZ_STN,0))),INDEX(TZ_DST,MATCH(V24,TZ_STN,0)),INDEX(TZ_STD,MATCH(V24,TZ_STN,0))))/24</f>
        <v>46317.7708333333</v>
      </c>
      <c r="AH24" s="62" t="n">
        <f aca="false">AD24+(IF(AND(INDEX(TZ_DSTS,MATCH(V24,TZ_STN,0))&lt;&gt;"",AD24&gt;=INDEX(TZ_DSTS,MATCH(V24,TZ_STN,0)),AD24&lt;INDEX(TZ_DSTE,MATCH(V24,TZ_STN,0))),INDEX(TZ_DST,MATCH(V24,TZ_STN,0)),INDEX(TZ_STD,MATCH(V24,TZ_STN,0))))/24</f>
        <v>46323.7708333333</v>
      </c>
      <c r="AI24" s="62" t="n">
        <f aca="false">AE24+(IF(AND(INDEX(TZ_DSTS,MATCH(V24,TZ_STN,0))&lt;&gt;"",AE24&gt;=INDEX(TZ_DSTS,MATCH(V24,TZ_STN,0)),AE24&lt;INDEX(TZ_DSTE,MATCH(V24,TZ_STN,0))),INDEX(TZ_DST,MATCH(V24,TZ_STN,0)),INDEX(TZ_STD,MATCH(V24,TZ_STN,0))))/24</f>
        <v>46324.2708333333</v>
      </c>
      <c r="AJ24" s="64" t="n">
        <f aca="false">IFERROR(SUMIFS(Checks!$AJ$5:$AJ$748,Checks!$B$5:$B$748,$A24,Checks!$G$5:$G$748,"T-7D")/SUMIFS(Checks!$AI$5:$AI$748,Checks!$B$5:$B$748,$A24,Checks!$G$5:$G$748,"T-7D"),"n/a")</f>
        <v>0</v>
      </c>
      <c r="AK24" s="64" t="n">
        <f aca="false">IFERROR(SUMIFS(Checks!$AJ$5:$AJ$748,Checks!$B$5:$B$748,$A24,Checks!$G$5:$G$748,"T-24H")/SUMIFS(Checks!$AI$5:$AI$748,Checks!$B$5:$B$748,$A24,Checks!$G$5:$G$748,"T-24H"),"n/a")</f>
        <v>0</v>
      </c>
      <c r="AL24" s="64" t="n">
        <f aca="false">IFERROR(SUMIFS(Checks!$AJ$5:$AJ$748,Checks!$B$5:$B$748,$A24,Checks!$G$5:$G$748,"T-12H PREP")/SUMIFS(Checks!$AI$5:$AI$748,Checks!$B$5:$B$748,$A24,Checks!$G$5:$G$748,"T-12H PREP"),"n/a")</f>
        <v>0</v>
      </c>
      <c r="AM24" s="64" t="n">
        <f aca="false">IFERROR(SUMIFS(Checks!$AJ$5:$AJ$748,Checks!$B$5:$B$748,$A24,Checks!$G$5:$G$748,"UPLIFT")/SUMIFS(Checks!$AI$5:$AI$748,Checks!$B$5:$B$748,$A24,Checks!$G$5:$G$748,"UPLIFT"),"n/a")</f>
        <v>0</v>
      </c>
      <c r="AN24" s="64" t="n">
        <f aca="false">IFERROR(SUMIFS(Checks!$AJ$5:$AJ$748,Checks!$B$5:$B$748,$A24)/SUMIFS(Checks!$AI$5:$AI$748,Checks!$B$5:$B$748,$A24),"n/a")</f>
        <v>0</v>
      </c>
      <c r="AO24" s="61" t="n">
        <f aca="false">AW24-AV24</f>
        <v>20</v>
      </c>
      <c r="AP24" s="61" t="n">
        <f aca="false">SUMIFS(Checks!$AK$5:$AK$748,Checks!$B$5:$B$748,$A24)</f>
        <v>0</v>
      </c>
      <c r="AQ24" s="61" t="n">
        <f aca="false">SUMIFS(Checks!$AL$5:$AL$748,Checks!$B$5:$B$748,$A24)</f>
        <v>0</v>
      </c>
      <c r="AR24" s="61" t="n">
        <f aca="false">Documents!P24</f>
        <v>2</v>
      </c>
      <c r="AS24" s="61" t="n">
        <f aca="false">SUMIFS(Checks!$AN$5:$AN$748,Checks!$B$5:$B$748,$A24,Checks!$H$5:$H$748,"Preparation")+IF(AND(TRIM(L24)="A350",ISNA(MATCH(UPPER(SUBSTITUTE(SUBSTITUTE(TRIM(N24),"-","")," ","")),{"9MMAB","9MMAC","9MMAD","9MMAE","9MMAF","9MMAG","9MMAH"},0))),1,0)</f>
        <v>0</v>
      </c>
      <c r="AT24" s="65" t="str">
        <f aca="false">IF(AND(AW24&gt;0,AO24=0,AQ24=0,AR24=0,AS24=0,AU24=0),"READY",IF(AP24&gt;0,"NOT READY – OVERDUE",IF(AQ24&gt;0,"NOT READY – DISCREPANCY",IF(AU24&gt;0,"NOT READY – INVALID ENTRY",IF(AR24&gt;0,"NOT READY – DOCUMENTS",IF(AS24&gt;0,"NOT READY – CLARIFICATION",IF(AND(AV24&gt;0,SUMIFS(Checks!$AJ$5:$AJ$748,Checks!$B$5:$B$748,$A24,Checks!$H$5:$H$748,"Preparation")=SUMIFS(Checks!$AI$5:$AI$748,Checks!$B$5:$B$748,$A24,Checks!$H$5:$H$748,"Preparation")),"PREP DONE – AWAITING UPLIFT",IF(AV24=0,"NOT STARTED","IN PROGRESS"))))))))</f>
        <v>NOT READY – DOCUMENTS</v>
      </c>
      <c r="AU24" s="61" t="n">
        <f aca="false">SUMIFS(Checks!$AM$5:$AM$748,Checks!$B$5:$B$748,$A24)</f>
        <v>0</v>
      </c>
      <c r="AV24" s="61" t="n">
        <f aca="false">SUMIFS(Checks!$AJ$5:$AJ$748,Checks!$B$5:$B$748,$A24)</f>
        <v>0</v>
      </c>
      <c r="AW24" s="61" t="n">
        <f aca="false">SUMIFS(Checks!$AI$5:$AI$748,Checks!$B$5:$B$748,$A24)</f>
        <v>20</v>
      </c>
      <c r="AX24" s="62" t="s">
        <v>197</v>
      </c>
      <c r="AY24" s="62" t="s">
        <v>197</v>
      </c>
      <c r="AZ24" s="62" t="s">
        <v>197</v>
      </c>
      <c r="BA24" s="62" t="str">
        <f aca="false">IFERROR(1/(1/_xlfn.MINIFS(Checks!$AG$5:$AG$748,Checks!$B$5:$B$748,$A24,Checks!$H$5:$H$748,"Physical uplift",Checks!$P$5:$P$748,$G24)),"")</f>
        <v/>
      </c>
      <c r="BB24" s="61" t="n">
        <f aca="false">SUMIFS(Checks!$BG$5:$BG$748,Checks!$B$5:$B$748,$A24)</f>
        <v>0</v>
      </c>
    </row>
    <row r="25" customFormat="false" ht="36" hidden="false" customHeight="true" outlineLevel="0" collapsed="false">
      <c r="A25" s="57" t="s">
        <v>310</v>
      </c>
      <c r="B25" s="57" t="n">
        <v>3</v>
      </c>
      <c r="C25" s="57" t="n">
        <v>21</v>
      </c>
      <c r="D25" s="58" t="n">
        <v>46325</v>
      </c>
      <c r="E25" s="57" t="s">
        <v>199</v>
      </c>
      <c r="F25" s="57" t="s">
        <v>311</v>
      </c>
      <c r="G25" s="57" t="s">
        <v>306</v>
      </c>
      <c r="H25" s="57" t="s">
        <v>187</v>
      </c>
      <c r="I25" s="59" t="n">
        <v>46325.6145833333</v>
      </c>
      <c r="J25" s="59" t="n">
        <v>46325.6701388889</v>
      </c>
      <c r="K25" s="57" t="s">
        <v>202</v>
      </c>
      <c r="L25" s="60" t="s">
        <v>203</v>
      </c>
      <c r="M25" s="57" t="s">
        <v>204</v>
      </c>
      <c r="N25" s="60"/>
      <c r="O25" s="57" t="s">
        <v>205</v>
      </c>
      <c r="P25" s="57" t="s">
        <v>192</v>
      </c>
      <c r="Q25" s="57"/>
      <c r="R25" s="57" t="s">
        <v>309</v>
      </c>
      <c r="S25" s="57" t="s">
        <v>256</v>
      </c>
      <c r="T25" s="57" t="s">
        <v>257</v>
      </c>
      <c r="U25" s="57" t="s">
        <v>187</v>
      </c>
      <c r="V25" s="57" t="s">
        <v>187</v>
      </c>
      <c r="W25" s="57" t="s">
        <v>304</v>
      </c>
      <c r="X25" s="60"/>
      <c r="Y25" s="60"/>
      <c r="Z25" s="61" t="n">
        <f aca="false">IF(AND(INDEX(TZ_DSTS,MATCH(G25,TZ_STN,0))&lt;&gt;"",(I25-INDEX(TZ_STD,MATCH(G25,TZ_STN,0))/24)&gt;=INDEX(TZ_DSTS,MATCH(G25,TZ_STN,0)),(I25-INDEX(TZ_STD,MATCH(G25,TZ_STN,0))/24)&lt;INDEX(TZ_DSTE,MATCH(G25,TZ_STN,0))),INDEX(TZ_DST,MATCH(G25,TZ_STN,0)),INDEX(TZ_STD,MATCH(G25,TZ_STN,0)))</f>
        <v>8</v>
      </c>
      <c r="AA25" s="62" t="n">
        <f aca="false">I25-Z25/24</f>
        <v>46325.28125</v>
      </c>
      <c r="AB25" s="63" t="n">
        <f aca="false">(J25-(IF(AND(INDEX(TZ_DSTS,MATCH(H25,TZ_STN,0))&lt;&gt;"",(J25-INDEX(TZ_STD,MATCH(H25,TZ_STN,0))/24)&gt;=INDEX(TZ_DSTS,MATCH(H25,TZ_STN,0)),(J25-INDEX(TZ_STD,MATCH(H25,TZ_STN,0))/24)&lt;INDEX(TZ_DSTE,MATCH(H25,TZ_STN,0))),INDEX(TZ_DST,MATCH(H25,TZ_STN,0)),INDEX(TZ_STD,MATCH(H25,TZ_STN,0))))/24-AA25)*24</f>
        <v>1.33333333333333</v>
      </c>
      <c r="AC25" s="62" t="n">
        <f aca="false">AA25-7</f>
        <v>46318.28125</v>
      </c>
      <c r="AD25" s="62" t="n">
        <f aca="false">MIN(AA25-1,AY25)</f>
        <v>46324.1875</v>
      </c>
      <c r="AE25" s="62" t="n">
        <f aca="false">MIN(AA25-0.5,AY25)</f>
        <v>46324.1875</v>
      </c>
      <c r="AF25" s="62" t="n">
        <f aca="false">AA25</f>
        <v>46325.28125</v>
      </c>
      <c r="AG25" s="62" t="n">
        <f aca="false">AC25+(IF(AND(INDEX(TZ_DSTS,MATCH(V25,TZ_STN,0))&lt;&gt;"",AC25&gt;=INDEX(TZ_DSTS,MATCH(V25,TZ_STN,0)),AC25&lt;INDEX(TZ_DSTE,MATCH(V25,TZ_STN,0))),INDEX(TZ_DST,MATCH(V25,TZ_STN,0)),INDEX(TZ_STD,MATCH(V25,TZ_STN,0))))/24</f>
        <v>46318.6145833333</v>
      </c>
      <c r="AH25" s="62" t="n">
        <f aca="false">AD25+(IF(AND(INDEX(TZ_DSTS,MATCH(V25,TZ_STN,0))&lt;&gt;"",AD25&gt;=INDEX(TZ_DSTS,MATCH(V25,TZ_STN,0)),AD25&lt;INDEX(TZ_DSTE,MATCH(V25,TZ_STN,0))),INDEX(TZ_DST,MATCH(V25,TZ_STN,0)),INDEX(TZ_STD,MATCH(V25,TZ_STN,0))))/24</f>
        <v>46324.5208333333</v>
      </c>
      <c r="AI25" s="62" t="n">
        <f aca="false">AE25+(IF(AND(INDEX(TZ_DSTS,MATCH(V25,TZ_STN,0))&lt;&gt;"",AE25&gt;=INDEX(TZ_DSTS,MATCH(V25,TZ_STN,0)),AE25&lt;INDEX(TZ_DSTE,MATCH(V25,TZ_STN,0))),INDEX(TZ_DST,MATCH(V25,TZ_STN,0)),INDEX(TZ_STD,MATCH(V25,TZ_STN,0))))/24</f>
        <v>46324.5208333333</v>
      </c>
      <c r="AJ25" s="64" t="n">
        <f aca="false">IFERROR(SUMIFS(Checks!$AJ$5:$AJ$748,Checks!$B$5:$B$748,$A25,Checks!$G$5:$G$748,"T-7D")/SUMIFS(Checks!$AI$5:$AI$748,Checks!$B$5:$B$748,$A25,Checks!$G$5:$G$748,"T-7D"),"n/a")</f>
        <v>0</v>
      </c>
      <c r="AK25" s="64" t="n">
        <f aca="false">IFERROR(SUMIFS(Checks!$AJ$5:$AJ$748,Checks!$B$5:$B$748,$A25,Checks!$G$5:$G$748,"T-24H")/SUMIFS(Checks!$AI$5:$AI$748,Checks!$B$5:$B$748,$A25,Checks!$G$5:$G$748,"T-24H"),"n/a")</f>
        <v>0</v>
      </c>
      <c r="AL25" s="64" t="n">
        <f aca="false">IFERROR(SUMIFS(Checks!$AJ$5:$AJ$748,Checks!$B$5:$B$748,$A25,Checks!$G$5:$G$748,"T-12H PREP")/SUMIFS(Checks!$AI$5:$AI$748,Checks!$B$5:$B$748,$A25,Checks!$G$5:$G$748,"T-12H PREP"),"n/a")</f>
        <v>0</v>
      </c>
      <c r="AM25" s="64" t="n">
        <f aca="false">IFERROR(SUMIFS(Checks!$AJ$5:$AJ$748,Checks!$B$5:$B$748,$A25,Checks!$G$5:$G$748,"UPLIFT")/SUMIFS(Checks!$AI$5:$AI$748,Checks!$B$5:$B$748,$A25,Checks!$G$5:$G$748,"UPLIFT"),"n/a")</f>
        <v>0</v>
      </c>
      <c r="AN25" s="64" t="n">
        <f aca="false">IFERROR(SUMIFS(Checks!$AJ$5:$AJ$748,Checks!$B$5:$B$748,$A25)/SUMIFS(Checks!$AI$5:$AI$748,Checks!$B$5:$B$748,$A25),"n/a")</f>
        <v>0</v>
      </c>
      <c r="AO25" s="61" t="n">
        <f aca="false">AW25-AV25</f>
        <v>36</v>
      </c>
      <c r="AP25" s="61" t="n">
        <f aca="false">SUMIFS(Checks!$AK$5:$AK$748,Checks!$B$5:$B$748,$A25)</f>
        <v>0</v>
      </c>
      <c r="AQ25" s="61" t="n">
        <f aca="false">SUMIFS(Checks!$AL$5:$AL$748,Checks!$B$5:$B$748,$A25)</f>
        <v>0</v>
      </c>
      <c r="AR25" s="61" t="n">
        <f aca="false">Documents!P25</f>
        <v>2</v>
      </c>
      <c r="AS25" s="61" t="n">
        <f aca="false">SUMIFS(Checks!$AN$5:$AN$748,Checks!$B$5:$B$748,$A25,Checks!$H$5:$H$748,"Preparation")+IF(AND(TRIM(L25)="A350",ISNA(MATCH(UPPER(SUBSTITUTE(SUBSTITUTE(TRIM(N25),"-","")," ","")),{"9MMAB","9MMAC","9MMAD","9MMAE","9MMAF","9MMAG","9MMAH"},0))),1,0)</f>
        <v>1</v>
      </c>
      <c r="AT25" s="65" t="str">
        <f aca="false">IF(AND(AW25&gt;0,AO25=0,AQ25=0,AR25=0,AS25=0,AU25=0),"READY",IF(AP25&gt;0,"NOT READY – OVERDUE",IF(AQ25&gt;0,"NOT READY – DISCREPANCY",IF(AU25&gt;0,"NOT READY – INVALID ENTRY",IF(AR25&gt;0,"NOT READY – DOCUMENTS",IF(AS25&gt;0,"NOT READY – CLARIFICATION",IF(AND(AV25&gt;0,SUMIFS(Checks!$AJ$5:$AJ$748,Checks!$B$5:$B$748,$A25,Checks!$H$5:$H$748,"Preparation")=SUMIFS(Checks!$AI$5:$AI$748,Checks!$B$5:$B$748,$A25,Checks!$H$5:$H$748,"Preparation")),"PREP DONE – AWAITING UPLIFT",IF(AV25=0,"NOT STARTED","IN PROGRESS"))))))))</f>
        <v>NOT READY – DOCUMENTS</v>
      </c>
      <c r="AU25" s="61" t="n">
        <f aca="false">SUMIFS(Checks!$AM$5:$AM$748,Checks!$B$5:$B$748,$A25)</f>
        <v>0</v>
      </c>
      <c r="AV25" s="61" t="n">
        <f aca="false">SUMIFS(Checks!$AJ$5:$AJ$748,Checks!$B$5:$B$748,$A25)</f>
        <v>0</v>
      </c>
      <c r="AW25" s="61" t="n">
        <f aca="false">SUMIFS(Checks!$AI$5:$AI$748,Checks!$B$5:$B$748,$A25)</f>
        <v>36</v>
      </c>
      <c r="AX25" s="66"/>
      <c r="AY25" s="62" t="n">
        <f aca="false">ROUND((IF(ISNUMBER(AX25),AX25,$AA$24)-UpliftWindowH/24)*1440,0)/1440</f>
        <v>46324.1875</v>
      </c>
      <c r="AZ25" s="62" t="n">
        <f aca="false">ROUND((AY25+UpliftWindowH/24+MIN($AB$24)/24)*1440,0)/1440</f>
        <v>46324.5</v>
      </c>
      <c r="BA25" s="62" t="str">
        <f aca="false">IFERROR(1/(1/_xlfn.MINIFS(Checks!$AG$5:$AG$748,Checks!$B$5:$B$748,$A25,Checks!$H$5:$H$748,"Physical uplift",Checks!$P$5:$P$748,$G25)),"")</f>
        <v/>
      </c>
      <c r="BB25" s="61" t="n">
        <f aca="false">SUMIFS(Checks!$BG$5:$BG$748,Checks!$B$5:$B$748,$A25)</f>
        <v>0</v>
      </c>
    </row>
    <row r="26" customFormat="false" ht="36" hidden="false" customHeight="true" outlineLevel="0" collapsed="false">
      <c r="A26" s="57" t="s">
        <v>312</v>
      </c>
      <c r="B26" s="57" t="n">
        <v>3</v>
      </c>
      <c r="C26" s="57" t="n">
        <v>22</v>
      </c>
      <c r="D26" s="58" t="n">
        <v>46325</v>
      </c>
      <c r="E26" s="57" t="s">
        <v>199</v>
      </c>
      <c r="F26" s="57" t="s">
        <v>232</v>
      </c>
      <c r="G26" s="57" t="s">
        <v>187</v>
      </c>
      <c r="H26" s="57" t="s">
        <v>186</v>
      </c>
      <c r="I26" s="59" t="n">
        <v>46325.9722222222</v>
      </c>
      <c r="J26" s="59" t="n">
        <v>46326.2465277778</v>
      </c>
      <c r="K26" s="57" t="s">
        <v>202</v>
      </c>
      <c r="L26" s="60" t="s">
        <v>189</v>
      </c>
      <c r="M26" s="57" t="s">
        <v>190</v>
      </c>
      <c r="N26" s="60"/>
      <c r="O26" s="57" t="s">
        <v>313</v>
      </c>
      <c r="P26" s="57" t="s">
        <v>314</v>
      </c>
      <c r="Q26" s="57"/>
      <c r="R26" s="57" t="s">
        <v>193</v>
      </c>
      <c r="S26" s="57" t="s">
        <v>194</v>
      </c>
      <c r="T26" s="57" t="s">
        <v>195</v>
      </c>
      <c r="U26" s="57" t="s">
        <v>196</v>
      </c>
      <c r="V26" s="57" t="s">
        <v>187</v>
      </c>
      <c r="W26" s="57"/>
      <c r="X26" s="60"/>
      <c r="Y26" s="60"/>
      <c r="Z26" s="61" t="n">
        <f aca="false">IF(AND(INDEX(TZ_DSTS,MATCH(G26,TZ_STN,0))&lt;&gt;"",(I26-INDEX(TZ_STD,MATCH(G26,TZ_STN,0))/24)&gt;=INDEX(TZ_DSTS,MATCH(G26,TZ_STN,0)),(I26-INDEX(TZ_STD,MATCH(G26,TZ_STN,0))/24)&lt;INDEX(TZ_DSTE,MATCH(G26,TZ_STN,0))),INDEX(TZ_DST,MATCH(G26,TZ_STN,0)),INDEX(TZ_STD,MATCH(G26,TZ_STN,0)))</f>
        <v>8</v>
      </c>
      <c r="AA26" s="62" t="n">
        <f aca="false">I26-Z26/24</f>
        <v>46325.6388888889</v>
      </c>
      <c r="AB26" s="63" t="n">
        <f aca="false">(J26-(IF(AND(INDEX(TZ_DSTS,MATCH(H26,TZ_STN,0))&lt;&gt;"",(J26-INDEX(TZ_STD,MATCH(H26,TZ_STN,0))/24)&gt;=INDEX(TZ_DSTS,MATCH(H26,TZ_STN,0)),(J26-INDEX(TZ_STD,MATCH(H26,TZ_STN,0))/24)&lt;INDEX(TZ_DSTE,MATCH(H26,TZ_STN,0))),INDEX(TZ_DST,MATCH(H26,TZ_STN,0)),INDEX(TZ_STD,MATCH(H26,TZ_STN,0))))/24-AA26)*24</f>
        <v>14.5833333333333</v>
      </c>
      <c r="AC26" s="62" t="n">
        <f aca="false">AA26-7</f>
        <v>46318.6388888889</v>
      </c>
      <c r="AD26" s="62" t="n">
        <f aca="false">AA26-1</f>
        <v>46324.6388888889</v>
      </c>
      <c r="AE26" s="62" t="n">
        <f aca="false">AA26-0.5</f>
        <v>46325.1388888889</v>
      </c>
      <c r="AF26" s="62" t="n">
        <f aca="false">AA26</f>
        <v>46325.6388888889</v>
      </c>
      <c r="AG26" s="62" t="n">
        <f aca="false">AC26+(IF(AND(INDEX(TZ_DSTS,MATCH(V26,TZ_STN,0))&lt;&gt;"",AC26&gt;=INDEX(TZ_DSTS,MATCH(V26,TZ_STN,0)),AC26&lt;INDEX(TZ_DSTE,MATCH(V26,TZ_STN,0))),INDEX(TZ_DST,MATCH(V26,TZ_STN,0)),INDEX(TZ_STD,MATCH(V26,TZ_STN,0))))/24</f>
        <v>46318.9722222222</v>
      </c>
      <c r="AH26" s="62" t="n">
        <f aca="false">AD26+(IF(AND(INDEX(TZ_DSTS,MATCH(V26,TZ_STN,0))&lt;&gt;"",AD26&gt;=INDEX(TZ_DSTS,MATCH(V26,TZ_STN,0)),AD26&lt;INDEX(TZ_DSTE,MATCH(V26,TZ_STN,0))),INDEX(TZ_DST,MATCH(V26,TZ_STN,0)),INDEX(TZ_STD,MATCH(V26,TZ_STN,0))))/24</f>
        <v>46324.9722222222</v>
      </c>
      <c r="AI26" s="62" t="n">
        <f aca="false">AE26+(IF(AND(INDEX(TZ_DSTS,MATCH(V26,TZ_STN,0))&lt;&gt;"",AE26&gt;=INDEX(TZ_DSTS,MATCH(V26,TZ_STN,0)),AE26&lt;INDEX(TZ_DSTE,MATCH(V26,TZ_STN,0))),INDEX(TZ_DST,MATCH(V26,TZ_STN,0)),INDEX(TZ_STD,MATCH(V26,TZ_STN,0))))/24</f>
        <v>46325.4722222222</v>
      </c>
      <c r="AJ26" s="64" t="n">
        <f aca="false">IFERROR(SUMIFS(Checks!$AJ$5:$AJ$748,Checks!$B$5:$B$748,$A26,Checks!$G$5:$G$748,"T-7D")/SUMIFS(Checks!$AI$5:$AI$748,Checks!$B$5:$B$748,$A26,Checks!$G$5:$G$748,"T-7D"),"n/a")</f>
        <v>0</v>
      </c>
      <c r="AK26" s="64" t="n">
        <f aca="false">IFERROR(SUMIFS(Checks!$AJ$5:$AJ$748,Checks!$B$5:$B$748,$A26,Checks!$G$5:$G$748,"T-24H")/SUMIFS(Checks!$AI$5:$AI$748,Checks!$B$5:$B$748,$A26,Checks!$G$5:$G$748,"T-24H"),"n/a")</f>
        <v>0</v>
      </c>
      <c r="AL26" s="64" t="n">
        <f aca="false">IFERROR(SUMIFS(Checks!$AJ$5:$AJ$748,Checks!$B$5:$B$748,$A26,Checks!$G$5:$G$748,"T-12H PREP")/SUMIFS(Checks!$AI$5:$AI$748,Checks!$B$5:$B$748,$A26,Checks!$G$5:$G$748,"T-12H PREP"),"n/a")</f>
        <v>0</v>
      </c>
      <c r="AM26" s="64" t="n">
        <f aca="false">IFERROR(SUMIFS(Checks!$AJ$5:$AJ$748,Checks!$B$5:$B$748,$A26,Checks!$G$5:$G$748,"UPLIFT")/SUMIFS(Checks!$AI$5:$AI$748,Checks!$B$5:$B$748,$A26,Checks!$G$5:$G$748,"UPLIFT"),"n/a")</f>
        <v>0</v>
      </c>
      <c r="AN26" s="64" t="n">
        <f aca="false">IFERROR(SUMIFS(Checks!$AJ$5:$AJ$748,Checks!$B$5:$B$748,$A26)/SUMIFS(Checks!$AI$5:$AI$748,Checks!$B$5:$B$748,$A26),"n/a")</f>
        <v>0</v>
      </c>
      <c r="AO26" s="61" t="n">
        <f aca="false">AW26-AV26</f>
        <v>46</v>
      </c>
      <c r="AP26" s="61" t="n">
        <f aca="false">SUMIFS(Checks!$AK$5:$AK$748,Checks!$B$5:$B$748,$A26)</f>
        <v>0</v>
      </c>
      <c r="AQ26" s="61" t="n">
        <f aca="false">SUMIFS(Checks!$AL$5:$AL$748,Checks!$B$5:$B$748,$A26)</f>
        <v>0</v>
      </c>
      <c r="AR26" s="61" t="n">
        <f aca="false">Documents!P26</f>
        <v>2</v>
      </c>
      <c r="AS26" s="61" t="n">
        <f aca="false">SUMIFS(Checks!$AN$5:$AN$748,Checks!$B$5:$B$748,$A26,Checks!$H$5:$H$748,"Preparation")+IF(AND(TRIM(L26)="A350",ISNA(MATCH(UPPER(SUBSTITUTE(SUBSTITUTE(TRIM(N26),"-","")," ","")),{"9MMAB","9MMAC","9MMAD","9MMAE","9MMAF","9MMAG","9MMAH"},0))),1,0)</f>
        <v>2</v>
      </c>
      <c r="AT26" s="65" t="str">
        <f aca="false">IF(AND(AW26&gt;0,AO26=0,AQ26=0,AR26=0,AS26=0,AU26=0),"READY",IF(AP26&gt;0,"NOT READY – OVERDUE",IF(AQ26&gt;0,"NOT READY – DISCREPANCY",IF(AU26&gt;0,"NOT READY – INVALID ENTRY",IF(AR26&gt;0,"NOT READY – DOCUMENTS",IF(AS26&gt;0,"NOT READY – CLARIFICATION",IF(AND(AV26&gt;0,SUMIFS(Checks!$AJ$5:$AJ$748,Checks!$B$5:$B$748,$A26,Checks!$H$5:$H$748,"Preparation")=SUMIFS(Checks!$AI$5:$AI$748,Checks!$B$5:$B$748,$A26,Checks!$H$5:$H$748,"Preparation")),"PREP DONE – AWAITING UPLIFT",IF(AV26=0,"NOT STARTED","IN PROGRESS"))))))))</f>
        <v>NOT READY – DOCUMENTS</v>
      </c>
      <c r="AU26" s="61" t="n">
        <f aca="false">SUMIFS(Checks!$AM$5:$AM$748,Checks!$B$5:$B$748,$A26)</f>
        <v>0</v>
      </c>
      <c r="AV26" s="61" t="n">
        <f aca="false">SUMIFS(Checks!$AJ$5:$AJ$748,Checks!$B$5:$B$748,$A26)</f>
        <v>0</v>
      </c>
      <c r="AW26" s="61" t="n">
        <f aca="false">SUMIFS(Checks!$AI$5:$AI$748,Checks!$B$5:$B$748,$A26)</f>
        <v>46</v>
      </c>
      <c r="AX26" s="62" t="s">
        <v>197</v>
      </c>
      <c r="AY26" s="62" t="s">
        <v>197</v>
      </c>
      <c r="AZ26" s="62" t="s">
        <v>197</v>
      </c>
      <c r="BA26" s="62" t="str">
        <f aca="false">IFERROR(1/(1/_xlfn.MINIFS(Checks!$AG$5:$AG$748,Checks!$B$5:$B$748,$A26,Checks!$H$5:$H$748,"Physical uplift",Checks!$P$5:$P$748,$G26)),"")</f>
        <v/>
      </c>
      <c r="BB26" s="61" t="n">
        <f aca="false">SUMIFS(Checks!$BG$5:$BG$748,Checks!$B$5:$B$748,$A26)</f>
        <v>0</v>
      </c>
    </row>
  </sheetData>
  <sheetProtection sheet="true" formatCells="false" formatColumns="false" formatRows="false" autoFilter="false"/>
  <autoFilter ref="A4:BB26"/>
  <mergeCells count="1">
    <mergeCell ref="G2:M2"/>
  </mergeCells>
  <conditionalFormatting sqref="AT5:AT26">
    <cfRule type="cellIs" priority="2" operator="equal" aboveAverage="0" equalAverage="0" bottom="0" percent="0" rank="0" text="" dxfId="15">
      <formula>"READY"</formula>
    </cfRule>
    <cfRule type="expression" priority="3" aboveAverage="0" equalAverage="0" bottom="0" percent="0" rank="0" text="" dxfId="16">
      <formula>LEFT(AT5,9)="NOT READY"</formula>
    </cfRule>
    <cfRule type="expression" priority="4" aboveAverage="0" equalAverage="0" bottom="0" percent="0" rank="0" text="" dxfId="17">
      <formula>LEFT(AT5,9)="PREP DONE"</formula>
    </cfRule>
  </conditionalFormatting>
  <conditionalFormatting sqref="AP5:AS26">
    <cfRule type="cellIs" priority="5" operator="greaterThan" aboveAverage="0" equalAverage="0" bottom="0" percent="0" rank="0" text="" dxfId="0">
      <formula>0</formula>
    </cfRule>
  </conditionalFormatting>
  <dataValidations count="2">
    <dataValidation allowBlank="false" error="Choose the fleet from the list (schedule values)." errorStyle="stop" errorTitle="Fleet" operator="between" showDropDown="false" showErrorMessage="true" showInputMessage="false" sqref="L5:L26" type="list">
      <formula1>"A350,A333,A339,B738MAX"</formula1>
      <formula2>0</formula2>
    </dataValidation>
    <dataValidation allowBlank="true" error="Enter the carrying flight's KUL departure as a UTC date-time (Jul 2026 - Jan 2027)." errorStyle="stop" operator="between" showDropDown="false" showErrorMessage="true" showInputMessage="false" sqref="AX5:AX26" type="decimal">
      <formula1>46204</formula1>
      <formula2>46419</formula2>
    </dataValidation>
  </dataValidations>
  <printOptions headings="false" gridLines="false" gridLinesSet="true" horizontalCentered="false" verticalCentered="false"/>
  <pageMargins left="0.3" right="0.3" top="1" bottom="1" header="0.511811023622047" footer="0.5"/>
  <pageSetup paperSize="9" scale="100" fitToWidth="7" fitToHeight="0" pageOrder="downThenOver" orientation="landscape" blackAndWhite="false" draft="false" cellComments="none" horizontalDpi="300" verticalDpi="300" copies="1"/>
  <headerFooter differentFirst="false" differentOddEven="false">
    <oddHeader/>
    <oddFooter>&amp;C&amp;8 &amp;A  |  Page &amp;P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G74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0" ySplit="4" topLeftCell="K5" activePane="bottomRight" state="frozen"/>
      <selection pane="topLeft" activeCell="A1" activeCellId="0" sqref="A1"/>
      <selection pane="topRight" activeCell="K1" activeCellId="0" sqref="K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
    <col collapsed="false" customWidth="true" hidden="false" outlineLevel="0" max="3" min="3" style="0" width="9"/>
    <col collapsed="false" customWidth="true" hidden="false" outlineLevel="0" max="4" min="4" style="0" width="10"/>
    <col collapsed="false" customWidth="true" hidden="false" outlineLevel="0" max="5" min="5" style="0" width="9"/>
    <col collapsed="false" customWidth="true" hidden="false" outlineLevel="0" max="6" min="6" style="0" width="6"/>
    <col collapsed="false" customWidth="true" hidden="false" outlineLevel="0" max="8" min="7" style="0" width="11"/>
    <col collapsed="false" customWidth="true" hidden="false" outlineLevel="0" max="9" min="9" style="0" width="12"/>
    <col collapsed="false" customWidth="true" hidden="false" outlineLevel="0" max="11" min="10" style="0" width="38"/>
    <col collapsed="false" customWidth="true" hidden="false" outlineLevel="0" max="12" min="12" style="0" width="30"/>
    <col collapsed="false" customWidth="true" hidden="false" outlineLevel="0" max="13" min="13" style="0" width="9"/>
    <col collapsed="false" customWidth="true" hidden="false" outlineLevel="0" max="14" min="14" style="0" width="13"/>
    <col collapsed="false" customWidth="true" hidden="false" outlineLevel="0" max="15" min="15" style="0" width="40"/>
    <col collapsed="false" customWidth="true" hidden="false" outlineLevel="0" max="16" min="16" style="0" width="8"/>
    <col collapsed="false" customWidth="true" hidden="false" outlineLevel="0" max="19" min="17" style="0" width="15"/>
    <col collapsed="false" customWidth="true" hidden="false" outlineLevel="0" max="20" min="20" style="0" width="14"/>
    <col collapsed="false" customWidth="true" hidden="false" outlineLevel="0" max="21" min="21" style="0" width="13"/>
    <col collapsed="false" customWidth="true" hidden="false" outlineLevel="0" max="22" min="22" style="0" width="40"/>
    <col collapsed="false" customWidth="true" hidden="false" outlineLevel="0" max="23" min="23" style="0" width="16"/>
    <col collapsed="false" customWidth="true" hidden="false" outlineLevel="0" max="25" min="24" style="0" width="9"/>
    <col collapsed="false" customWidth="true" hidden="false" outlineLevel="0" max="26" min="26" style="0" width="22"/>
    <col collapsed="false" customWidth="true" hidden="false" outlineLevel="0" max="27" min="27" style="0" width="40"/>
    <col collapsed="false" customWidth="true" hidden="false" outlineLevel="0" max="28" min="28" style="0" width="9"/>
    <col collapsed="false" customWidth="true" hidden="false" outlineLevel="0" max="29" min="29" style="0" width="26"/>
    <col collapsed="false" customWidth="true" hidden="false" outlineLevel="0" max="30" min="30" style="0" width="17"/>
    <col collapsed="false" customWidth="true" hidden="false" outlineLevel="0" max="31" min="31" style="0" width="18"/>
    <col collapsed="false" customWidth="true" hidden="false" outlineLevel="0" max="32" min="32" style="0" width="9"/>
    <col collapsed="false" customWidth="true" hidden="false" outlineLevel="0" max="33" min="33" style="0" width="15"/>
    <col collapsed="false" customWidth="true" hidden="false" outlineLevel="0" max="34" min="34" style="0" width="34"/>
    <col collapsed="false" customWidth="true" hidden="false" outlineLevel="0" max="35" min="35" style="0" width="6"/>
    <col collapsed="false" customWidth="true" hidden="false" outlineLevel="0" max="37" min="36" style="0" width="7"/>
    <col collapsed="false" customWidth="true" hidden="false" outlineLevel="0" max="38" min="38" style="0" width="9"/>
    <col collapsed="false" customWidth="true" hidden="false" outlineLevel="0" max="39" min="39" style="0" width="7"/>
    <col collapsed="false" customWidth="true" hidden="false" outlineLevel="0" max="40" min="40" style="0" width="9"/>
    <col collapsed="false" customWidth="true" hidden="false" outlineLevel="0" max="41" min="41" style="0" width="8"/>
    <col collapsed="false" customWidth="true" hidden="false" outlineLevel="0" max="42" min="42" style="0" width="9"/>
    <col collapsed="false" customWidth="true" hidden="true" outlineLevel="0" max="45" min="43" style="0" width="6"/>
    <col collapsed="false" customWidth="true" hidden="true" outlineLevel="0" max="53" min="46" style="0" width="8"/>
    <col collapsed="false" customWidth="true" hidden="true" outlineLevel="0" max="54" min="54" style="0" width="20"/>
    <col collapsed="false" customWidth="true" hidden="true" outlineLevel="0" max="58" min="55" style="0" width="12"/>
    <col collapsed="false" customWidth="true" hidden="true" outlineLevel="0" max="64" min="59" style="0" width="8"/>
    <col collapsed="false" customWidth="true" hidden="true" outlineLevel="0" max="68" min="65" style="0" width="10"/>
    <col collapsed="false" customWidth="true" hidden="true" outlineLevel="0" max="69" min="69" style="0" width="8"/>
    <col collapsed="false" customWidth="true" hidden="true" outlineLevel="0" max="73" min="70" style="0" width="10"/>
    <col collapsed="false" customWidth="true" hidden="true" outlineLevel="0" max="74" min="74" style="0" width="8"/>
    <col collapsed="false" customWidth="true" hidden="true" outlineLevel="0" max="76" min="75" style="0" width="10"/>
    <col collapsed="false" customWidth="true" hidden="true" outlineLevel="0" max="77" min="77" style="0" width="15"/>
    <col collapsed="false" customWidth="true" hidden="true" outlineLevel="0" max="78" min="78" style="0" width="8"/>
    <col collapsed="false" customWidth="true" hidden="true" outlineLevel="0" max="83" min="79" style="0" width="13"/>
    <col collapsed="false" customWidth="true" hidden="true" outlineLevel="0" max="85" min="85" style="0" width="13"/>
  </cols>
  <sheetData>
    <row r="1" customFormat="false" ht="24" hidden="false" customHeight="true" outlineLevel="0" collapsed="false">
      <c r="A1" s="54" t="s">
        <v>315</v>
      </c>
    </row>
    <row r="2" customFormat="false" ht="41.25" hidden="false" customHeight="true" outlineLevel="0" collapsed="false">
      <c r="D2" s="55" t="s">
        <v>316</v>
      </c>
      <c r="E2" s="55"/>
      <c r="F2" s="55"/>
      <c r="G2" s="55"/>
      <c r="H2" s="55"/>
      <c r="I2" s="55"/>
      <c r="J2" s="55"/>
    </row>
    <row r="4" customFormat="false" ht="54" hidden="false" customHeight="true" outlineLevel="0" collapsed="false">
      <c r="A4" s="56" t="s">
        <v>317</v>
      </c>
      <c r="B4" s="56" t="s">
        <v>137</v>
      </c>
      <c r="C4" s="56" t="s">
        <v>140</v>
      </c>
      <c r="D4" s="56" t="s">
        <v>108</v>
      </c>
      <c r="E4" s="56" t="s">
        <v>109</v>
      </c>
      <c r="F4" s="56" t="s">
        <v>318</v>
      </c>
      <c r="G4" s="56" t="s">
        <v>73</v>
      </c>
      <c r="H4" s="56" t="s">
        <v>319</v>
      </c>
      <c r="I4" s="56" t="s">
        <v>320</v>
      </c>
      <c r="J4" s="56" t="s">
        <v>123</v>
      </c>
      <c r="K4" s="56" t="s">
        <v>321</v>
      </c>
      <c r="L4" s="56" t="s">
        <v>322</v>
      </c>
      <c r="M4" s="56" t="s">
        <v>323</v>
      </c>
      <c r="N4" s="56" t="s">
        <v>324</v>
      </c>
      <c r="O4" s="56" t="s">
        <v>325</v>
      </c>
      <c r="P4" s="56" t="s">
        <v>326</v>
      </c>
      <c r="Q4" s="56" t="s">
        <v>327</v>
      </c>
      <c r="R4" s="56" t="s">
        <v>328</v>
      </c>
      <c r="S4" s="56" t="s">
        <v>329</v>
      </c>
      <c r="T4" s="56" t="s">
        <v>125</v>
      </c>
      <c r="U4" s="56" t="s">
        <v>129</v>
      </c>
      <c r="V4" s="56" t="s">
        <v>330</v>
      </c>
      <c r="W4" s="56" t="s">
        <v>331</v>
      </c>
      <c r="X4" s="56" t="s">
        <v>332</v>
      </c>
      <c r="Y4" s="56" t="s">
        <v>333</v>
      </c>
      <c r="Z4" s="56" t="s">
        <v>334</v>
      </c>
      <c r="AA4" s="56" t="s">
        <v>134</v>
      </c>
      <c r="AB4" s="56" t="s">
        <v>133</v>
      </c>
      <c r="AC4" s="56" t="s">
        <v>335</v>
      </c>
      <c r="AD4" s="56" t="s">
        <v>336</v>
      </c>
      <c r="AE4" s="56" t="s">
        <v>337</v>
      </c>
      <c r="AF4" s="56" t="s">
        <v>338</v>
      </c>
      <c r="AG4" s="56" t="s">
        <v>339</v>
      </c>
      <c r="AH4" s="56" t="s">
        <v>340</v>
      </c>
      <c r="AI4" s="56" t="s">
        <v>74</v>
      </c>
      <c r="AJ4" s="56" t="s">
        <v>75</v>
      </c>
      <c r="AK4" s="56" t="s">
        <v>78</v>
      </c>
      <c r="AL4" s="56" t="s">
        <v>341</v>
      </c>
      <c r="AM4" s="56" t="s">
        <v>342</v>
      </c>
      <c r="AN4" s="56" t="s">
        <v>343</v>
      </c>
      <c r="AO4" s="56" t="s">
        <v>344</v>
      </c>
      <c r="AP4" s="56" t="s">
        <v>345</v>
      </c>
      <c r="AQ4" s="56" t="s">
        <v>346</v>
      </c>
      <c r="AR4" s="56" t="s">
        <v>347</v>
      </c>
      <c r="AS4" s="56" t="s">
        <v>348</v>
      </c>
      <c r="AT4" s="56" t="s">
        <v>349</v>
      </c>
      <c r="AU4" s="56" t="s">
        <v>350</v>
      </c>
      <c r="AV4" s="56" t="s">
        <v>351</v>
      </c>
      <c r="AW4" s="56" t="s">
        <v>352</v>
      </c>
      <c r="AX4" s="56" t="s">
        <v>353</v>
      </c>
      <c r="AY4" s="56" t="s">
        <v>354</v>
      </c>
      <c r="AZ4" s="56" t="s">
        <v>355</v>
      </c>
      <c r="BA4" s="56" t="s">
        <v>356</v>
      </c>
      <c r="BB4" s="56" t="s">
        <v>357</v>
      </c>
      <c r="BC4" s="56" t="s">
        <v>358</v>
      </c>
      <c r="BD4" s="56" t="s">
        <v>359</v>
      </c>
      <c r="BE4" s="56" t="s">
        <v>360</v>
      </c>
      <c r="BF4" s="56" t="s">
        <v>361</v>
      </c>
      <c r="BG4" s="56" t="s">
        <v>362</v>
      </c>
      <c r="BH4" s="56" t="s">
        <v>363</v>
      </c>
      <c r="BI4" s="56" t="s">
        <v>364</v>
      </c>
      <c r="BJ4" s="56" t="s">
        <v>365</v>
      </c>
      <c r="BK4" s="56" t="s">
        <v>366</v>
      </c>
      <c r="BL4" s="56" t="s">
        <v>367</v>
      </c>
      <c r="BM4" s="56" t="s">
        <v>368</v>
      </c>
      <c r="BN4" s="56" t="s">
        <v>369</v>
      </c>
      <c r="BO4" s="56" t="s">
        <v>370</v>
      </c>
      <c r="BP4" s="56" t="s">
        <v>371</v>
      </c>
      <c r="BQ4" s="56" t="s">
        <v>372</v>
      </c>
      <c r="BR4" s="56" t="s">
        <v>373</v>
      </c>
      <c r="BS4" s="56" t="s">
        <v>373</v>
      </c>
      <c r="BT4" s="56" t="s">
        <v>373</v>
      </c>
      <c r="BU4" s="56" t="s">
        <v>373</v>
      </c>
      <c r="BV4" s="56" t="s">
        <v>374</v>
      </c>
      <c r="BW4" s="56" t="s">
        <v>373</v>
      </c>
      <c r="BX4" s="56" t="s">
        <v>373</v>
      </c>
      <c r="BY4" s="56" t="s">
        <v>375</v>
      </c>
      <c r="BZ4" s="56" t="s">
        <v>376</v>
      </c>
    </row>
    <row r="5" customFormat="false" ht="39.75" hidden="false" customHeight="true" outlineLevel="0" collapsed="false">
      <c r="A5" s="57" t="s">
        <v>377</v>
      </c>
      <c r="B5" s="57" t="s">
        <v>183</v>
      </c>
      <c r="C5" s="57" t="str">
        <f aca="false">Flights!$F$5</f>
        <v>MH0001</v>
      </c>
      <c r="D5" s="58" t="n">
        <f aca="false">Flights!$D$5</f>
        <v>46303</v>
      </c>
      <c r="E5" s="57" t="str">
        <f aca="false">Flights!$G$5&amp;"-"&amp;Flights!$H$5</f>
        <v>LHR-KUL</v>
      </c>
      <c r="F5" s="57" t="str">
        <f aca="false">Flights!$K$5</f>
        <v>EY</v>
      </c>
      <c r="G5" s="57" t="s">
        <v>81</v>
      </c>
      <c r="H5" s="57" t="s">
        <v>378</v>
      </c>
      <c r="I5" s="57" t="s">
        <v>379</v>
      </c>
      <c r="J5" s="57" t="s">
        <v>380</v>
      </c>
      <c r="K5" s="67" t="s">
        <v>381</v>
      </c>
      <c r="L5" s="67" t="s">
        <v>382</v>
      </c>
      <c r="M5" s="67"/>
      <c r="N5" s="67" t="s">
        <v>383</v>
      </c>
      <c r="O5" s="67"/>
      <c r="P5" s="57" t="s">
        <v>186</v>
      </c>
      <c r="Q5" s="59" t="n">
        <f aca="false">ROUND((Flights!$AC$5)*1440,0)/1440</f>
        <v>46296.8576388889</v>
      </c>
      <c r="R5" s="59" t="n">
        <f aca="false">Q5+(IF(AND(INDEX(TZ_DSTS,MATCH(P5,TZ_STN,0))&lt;&gt;"",Q5&gt;=INDEX(TZ_DSTS,MATCH(P5,TZ_STN,0)),Q5&lt;INDEX(TZ_DSTE,MATCH(P5,TZ_STN,0))),INDEX(TZ_DST,MATCH(P5,TZ_STN,0)),INDEX(TZ_STD,MATCH(P5,TZ_STN,0))))/24</f>
        <v>46296.8993055556</v>
      </c>
      <c r="S5" s="60"/>
      <c r="T5" s="60"/>
      <c r="U5" s="60"/>
      <c r="V5" s="60"/>
      <c r="W5" s="61"/>
      <c r="X5" s="60"/>
      <c r="Y5" s="60"/>
      <c r="Z5" s="60"/>
      <c r="AA5" s="60"/>
      <c r="AB5" s="60"/>
      <c r="AC5" s="60"/>
      <c r="AD5" s="66"/>
      <c r="AE5" s="60"/>
      <c r="AF5" s="61" t="str">
        <f aca="false">IF(AND(ISNUMBER(X5),ISNUMBER(Y5)),Y5-X5,"")</f>
        <v/>
      </c>
      <c r="AG5" s="62" t="str">
        <f aca="false">IF(ISNUMBER(AD5),AD5-(IF(AND(INDEX(TZ_DSTS,MATCH(P5,TZ_STN,0))&lt;&gt;"",(AD5-INDEX(TZ_STD,MATCH(P5,TZ_STN,0))/24)&gt;=INDEX(TZ_DSTS,MATCH(P5,TZ_STN,0)),(AD5-INDEX(TZ_STD,MATCH(P5,TZ_STN,0))/24)&lt;INDEX(TZ_DSTE,MATCH(P5,TZ_STN,0))),INDEX(TZ_DST,MATCH(P5,TZ_STN,0)),INDEX(TZ_STD,MATCH(P5,TZ_STN,0))))/24,"")</f>
        <v/>
      </c>
      <c r="AH5" s="65" t="str">
        <f aca="false">IFERROR(IF(N5="N/A – rule",IF(OR(TRIM(U5)="",TRIM(U5)="N/A",TRIM(U5)="Not started"),"N/A – RULE","INVALID – this check does not apply to this aircraft: clear the status (or correct the fleet on Flights)"),IF(TRIM(U5)="N/A",IF(AT5=0,"INVALID – N/A not permitted for this check",IF(AND(TRIM(AB5)&lt;&gt;"",TRIM(AB5)&lt;&gt;"Closed"),"INVALID – corrective action still open",IF(AND(NOT(OR(LEN(AZ5)&lt;15,ISNUMBER(MATCH(AZ5,L_Placeholder,0)))),BK5=0,CG5&gt;=8,NOT(OR(LEN(AU5)&lt;2,ISNUMBER(MATCH(AU5,L_Placeholder,0)))),BR5&gt;=3,NOT(OR(LEN(AX5)&lt;2,ISNUMBER(MATCH(AX5,L_Placeholder,0)))),BS5&gt;=3,TRIM(AE5)&lt;&gt;TRIM(T5),AX5&lt;&gt;AU5,CE5=0),"N/A – JUSTIFIED","INVALID – N/A needs a real, settled reason (not 'not applicable' / 'as above' / TBC), a named PIC and a different named verifier"))),IF(OR(TRIM(U5)="Pass",TRIM(U5)="Pass after CA"),IF(NOT(ISNUMBER(AD5)),"INVALID – completion time missing",IF(OR(OR(LEN(AU5)&lt;2,ISNUMBER(MATCH(AU5,L_Placeholder,0))),BR5&lt;3),"INVALID – PIC missing or not a named person (a role such as QA / CSM is not a name)",IF(OR(LEN(AV5)&lt;2,ISNUMBER(MATCH(AV5,L_Placeholder,0))),"INVALID – result / assessment missing",IF(OR(OR(LEN(AW5)&lt;3,ISNUMBER(MATCH(AW5,L_Placeholder,0))),SUMPRODUCT(--ISNUMBER(SEARCH(" "&amp;L_EvidencePhrase&amp;" ",BD5)))&gt;0,BI5=1),"INVALID – evidence missing, placeholder or not yet on file",IF(ISNA(MATCH(TRIM(S5),L_EvidenceType,0)),"INVALID – choose the evidence type from the list (column S)",IF(BL5=0,"INVALID – evidence ID must be the record's own ID only (e.g. SF-2210, IMG_2231, 1045521); a link / file name needs type 'Link / file path'",IF(OR(OR(LEN(AX5)&lt;2,ISNUMBER(MATCH(AX5,L_Placeholder,0))),BS5&lt;3),"INVALID – verifier missing or not a named person (a role such as QA / CSM is not a name)",IF(OR(AX5=AU5,CE5=1,AND(LEN(AU5)&gt;=4,ISNUMBER(SEARCH(AU5,AX5))),AND(LEN(AX5)&gt;=4,ISNUMBER(SEARCH(AX5,AU5)))),"INVALID – verifier must be a different, named person (not the PIC or a role)",IF(BH5=1,"INVALID – result not yet available (awaiting / TBC)",IF(BG5=1,"INVALID – result describes a problem: record Fail, then Pass after CA (or reword if it is not a problem)",IF(BV5=1,"INVALID – wording says not on board: an on-board confirmation needs the item loaded",IF(AND(AQ5=1,OR(OR(LEN(AY5)&lt;3,ISNUMBER(MATCH(AY5,L_Placeholder,0))),BJ5=1,BQ5=0)),"INVALID – batch ID missing, placeholder or not an ID (e.g. PASB-261008-BC-017)",IF(AND(AR5=1,OR(NOT(ISNUMBER(X5)),NOT(ISNUMBER(Y5)))),"INVALID – expected/actual qty missing",IF(AND(AR5=1,OR(X5&lt;=0,Y5&lt;0)),"INVALID – expected qty must be above 0 and actual not negative",IF(BB5&lt;&gt;"",BB5,IF(AND(AS5=1,Documents!$J$5&lt;&gt;"ON FILE"),"INVALID – GLD not on file (Documents sheet)",IF(AND(AS5=2,Documents!$O$5&lt;&gt;"ON FILE"),"INVALID – menu checklist not on file (Documents sheet)",IF(AND(AS5=3,NOT(ISNUMBER(Flights!$AX$5))),"INVALID – enter carrying flight KUL departure (Flights AX)",IF(AND(AS5=3,OR(Flights!$AZ$5&gt;Flights!$AA$5,Flights!$AX$5&lt;Flights!$AA$5-3)),"INVALID – carrying flight (Flights AX) cannot arrive before this leg's STD, or is over 3 days early",IF(AG5&gt;AsOfUTC,"INVALID – completion time is in the future",IF(AND(ISNUMBER(BY5),AG5&lt;BY5),IF(H5="Physical uplift","INVALID – before uplift window (cannot confirm loading)","INVALID – before valid window"),IF(AG5&gt;Flights!$AA$5,"INVALID – completed after departure (cannot establish readiness)",IF(AND(H5="Preparation",AG5&gt;=IF(ISNUMBER(Flights!$BA$5),MIN(Flights!$BA$5,Flights!$AA$5),Flights!$AA$5)),"INVALID – completed after loading / departure (cannot establish readiness)",IF(AND(H5="Physical uplift",AG5&gt;Q5),"INVALID – recorded after the loading flight departed",IF(AG5&gt;Q5,"COMPLETE – LATE","COMPLETE"))))))))))))))))))))))))),IF(TRIM(U5)="Fail","FAIL – DISCREPANCY",IF(AND(TRIM(U5)&lt;&gt;"",TRIM(U5)&lt;&gt;"Not started",TRIM(U5)&lt;&gt;"In progress"),"INVALID – unrecognised status (use the list)",IF(AsOfUTC&gt;Q5,"OVERDUE",IF(N5="Clarification required","OPEN – CLARIFICATION","OPEN"))))))),"INVALID – error value in an input cell")</f>
        <v>OPEN</v>
      </c>
      <c r="AI5" s="61" t="n">
        <f aca="false">IF(OR(AH5="N/A – RULE",AH5="N/A – JUSTIFIED"),0,1)</f>
        <v>1</v>
      </c>
      <c r="AJ5" s="61" t="n">
        <f aca="false">IF(LEFT(AH5,8)="COMPLETE",1,0)</f>
        <v>0</v>
      </c>
      <c r="AK5" s="61" t="n">
        <f aca="false">IF(AND(AI5=1,AJ5=0,AsOfUTC&gt;Q5),1,0)</f>
        <v>0</v>
      </c>
      <c r="AL5" s="61" t="n">
        <f aca="false">IFERROR(IF(AND(AI5=1,OR(TRIM(U5)="Fail",AND(TRIM(AB5)&lt;&gt;"",TRIM(AB5)&lt;&gt;"Closed"),AND(ISNUMBER(AF5),AF5&lt;&gt;0,TRIM(U5)&lt;&gt;"Pass after CA"))),1,0),1)</f>
        <v>0</v>
      </c>
      <c r="AM5" s="61" t="n">
        <f aca="false">IF(LEFT(AH5,7)="INVALID",1,0)</f>
        <v>0</v>
      </c>
      <c r="AN5" s="61" t="n">
        <f aca="false">IF(AND(N5="Clarification required",AI5=1,AJ5=0),1,0)</f>
        <v>0</v>
      </c>
      <c r="AO5" s="61" t="str">
        <f aca="false">IF(AK5=1,SUM(AK$5:AK5),"")</f>
        <v/>
      </c>
      <c r="AP5" s="61" t="str">
        <f aca="false">IF(AL5=1,SUM(AL$5:AL5),"")</f>
        <v/>
      </c>
      <c r="AQ5" s="61" t="n">
        <v>0</v>
      </c>
      <c r="AR5" s="61" t="n">
        <v>0</v>
      </c>
      <c r="AS5" s="61" t="n">
        <v>0</v>
      </c>
      <c r="AT5" s="61" t="n">
        <v>0</v>
      </c>
      <c r="AU5" s="61" t="str">
        <f aca="false">SUBSTITUTE(SUBSTITUTE(SUBSTITUTE(SUBSTITUTE(SUBSTITUTE(SUBSTITUTE(SUBSTITUTE(SUBSTITUTE(SUBSTITUTE(SUBSTITUTE(SUBSTITUTE(SUBSTITUTE(SUBSTITUTE(SUBSTITUTE(SUBSTITUTE(SUBSTITUTE(LOWER(T5&amp;""),CHAR(10),""),CHAR(13),""),CHAR(9),""),CHAR(160),"")," ",""),".",""),"-",""),"/",""),"?",""),"_",""),",",""),"[",""),"]",""),"(",""),")",""),"*","")</f>
        <v/>
      </c>
      <c r="AV5" s="61" t="str">
        <f aca="false">SUBSTITUTE(SUBSTITUTE(SUBSTITUTE(SUBSTITUTE(SUBSTITUTE(SUBSTITUTE(SUBSTITUTE(SUBSTITUTE(SUBSTITUTE(SUBSTITUTE(SUBSTITUTE(SUBSTITUTE(SUBSTITUTE(SUBSTITUTE(SUBSTITUTE(SUBSTITUTE(LOWER(V5&amp;""),CHAR(10),""),CHAR(13),""),CHAR(9),""),CHAR(160),"")," ",""),".",""),"-",""),"/",""),"?",""),"_",""),",",""),"[",""),"]",""),"(",""),")",""),"*","")</f>
        <v/>
      </c>
      <c r="AW5" s="61" t="str">
        <f aca="false">SUBSTITUTE(SUBSTITUTE(SUBSTITUTE(SUBSTITUTE(SUBSTITUTE(SUBSTITUTE(SUBSTITUTE(SUBSTITUTE(SUBSTITUTE(SUBSTITUTE(SUBSTITUTE(SUBSTITUTE(SUBSTITUTE(SUBSTITUTE(SUBSTITUTE(SUBSTITUTE(LOWER(Z5&amp;""),CHAR(10),""),CHAR(13),""),CHAR(9),""),CHAR(160),"")," ",""),".",""),"-",""),"/",""),"?",""),"_",""),",",""),"[",""),"]",""),"(",""),")",""),"*","")</f>
        <v/>
      </c>
      <c r="AX5" s="61" t="str">
        <f aca="false">SUBSTITUTE(SUBSTITUTE(SUBSTITUTE(SUBSTITUTE(SUBSTITUTE(SUBSTITUTE(SUBSTITUTE(SUBSTITUTE(SUBSTITUTE(SUBSTITUTE(SUBSTITUTE(SUBSTITUTE(SUBSTITUTE(SUBSTITUTE(SUBSTITUTE(SUBSTITUTE(LOWER(AE5&amp;""),CHAR(10),""),CHAR(13),""),CHAR(9),""),CHAR(160),"")," ",""),".",""),"-",""),"/",""),"?",""),"_",""),",",""),"[",""),"]",""),"(",""),")",""),"*","")</f>
        <v/>
      </c>
      <c r="AY5" s="61" t="str">
        <f aca="false">SUBSTITUTE(SUBSTITUTE(SUBSTITUTE(SUBSTITUTE(SUBSTITUTE(SUBSTITUTE(SUBSTITUTE(SUBSTITUTE(SUBSTITUTE(SUBSTITUTE(SUBSTITUTE(SUBSTITUTE(SUBSTITUTE(SUBSTITUTE(SUBSTITUTE(SUBSTITUTE(LOWER(W5&amp;""),CHAR(10),""),CHAR(13),""),CHAR(9),""),CHAR(160),"")," ",""),".",""),"-",""),"/",""),"?",""),"_",""),",",""),"[",""),"]",""),"(",""),")",""),"*","")</f>
        <v/>
      </c>
      <c r="AZ5" s="61" t="str">
        <f aca="false">SUBSTITUTE(SUBSTITUTE(SUBSTITUTE(SUBSTITUTE(SUBSTITUTE(SUBSTITUTE(SUBSTITUTE(SUBSTITUTE(SUBSTITUTE(SUBSTITUTE(SUBSTITUTE(SUBSTITUTE(SUBSTITUTE(SUBSTITUTE(SUBSTITUTE(SUBSTITUTE(LOWER(AC5&amp;""),CHAR(10),""),CHAR(13),""),CHAR(9),""),CHAR(160),"")," ",""),".",""),"-",""),"/",""),"?",""),"_",""),",",""),"[",""),"]",""),"(",""),")",""),"*","")</f>
        <v/>
      </c>
      <c r="BA5" s="61" t="str">
        <f aca="false">SUBSTITUTE(SUBSTITUTE(SUBSTITUTE(SUBSTITUTE(SUBSTITUTE(SUBSTITUTE(SUBSTITUTE(SUBSTITUTE(SUBSTITUTE(SUBSTITUTE(SUBSTITUTE(SUBSTITUTE(SUBSTITUTE(SUBSTITUTE(SUBSTITUTE(SUBSTITUTE(LOWER(AA5&amp;""),CHAR(10),""),CHAR(13),""),CHAR(9),""),CHAR(160),"")," ",""),".",""),"-",""),"/",""),"?",""),"_",""),",",""),"[",""),"]",""),"(",""),")",""),"*","")</f>
        <v/>
      </c>
      <c r="BB5" s="61" t="str">
        <f aca="false">IF(AND(TRIM(U5)="Pass",ISNUMBER(AF5)),IF(AF5&lt;&gt;0,"INVALID – qty variance: use Fail or Pass after CA",""),"")&amp;IF(AND(TRIM(U5)="Pass after CA",ISNUMBER(AF5)),IF(AF5&lt;&gt;0,"INVALID – after the corrective action the actual qty must equal expected (update Actual)",""),"")&amp;IF(AND(TRIM(U5)="Pass",TRIM(AB5)&lt;&gt;"",TRIM(AB5)&lt;&gt;"Closed"),"INVALID – corrective action not closed: use Fail, then Pass after CA","")&amp;IF(AND(LEN(BA5)&gt;=2,ISNA(MATCH(LEFT(BA5,255),L_Placeholder,0)),TRIM(AB5)=""),"INVALID – CA status missing for the recorded corrective action","")&amp;IF(AND(TRIM(U5)="Pass after CA",OR(OR(LEN(BA5)&lt;5,ISNUMBER(MATCH(BA5,L_Placeholder,0))),TRIM(AB5)&lt;&gt;"Closed")),"INVALID – corrective action not recorded/closed","")</f>
        <v/>
      </c>
      <c r="BC5" s="61" t="str">
        <f aca="false">" "&amp;TRIM(SUBSTITUTE(SUBSTITUTE(SUBSTITUTE(SUBSTITUTE(SUBSTITUTE(SUBSTITUTE(SUBSTITUTE(SUBSTITUTE(SUBSTITUTE(SUBSTITUTE(SUBSTITUTE(SUBSTITUTE(SUBSTITUTE(SUBSTITUTE(SUBSTITUTE(SUBSTITUTE(SUBSTITUTE(SUBSTITUTE(SUBSTITUTE(SUBSTITUTE(SUBSTITUTE(SUBSTITUTE(SUBSTITUTE(SUBSTITUTE(LOWER(V5&amp;""),CHAR(10)," "),CHAR(13)," "),CHAR(9)," "),CHAR(160)," "),"."," "),","," "),"-"," "),"/"," "),"("," "),")"," "),":"," "),";"," "),"_"," "),"–"," "),"?"," "),"!"," "),"*"," "),"["," "),"]"," "),"'"," "),"#"," "),"+"," "),"&amp;"," "),"\"," "))&amp;" "</f>
        <v>  </v>
      </c>
      <c r="BD5" s="61" t="str">
        <f aca="false">" "&amp;TRIM(SUBSTITUTE(SUBSTITUTE(SUBSTITUTE(SUBSTITUTE(SUBSTITUTE(SUBSTITUTE(SUBSTITUTE(SUBSTITUTE(SUBSTITUTE(SUBSTITUTE(SUBSTITUTE(SUBSTITUTE(SUBSTITUTE(SUBSTITUTE(SUBSTITUTE(SUBSTITUTE(SUBSTITUTE(SUBSTITUTE(SUBSTITUTE(SUBSTITUTE(SUBSTITUTE(SUBSTITUTE(SUBSTITUTE(SUBSTITUTE(LOWER(Z5&amp;""),CHAR(10)," "),CHAR(13)," "),CHAR(9)," "),CHAR(160)," "),"."," "),","," "),"-"," "),"/"," "),"("," "),")"," "),":"," "),";"," "),"_"," "),"–"," "),"?"," "),"!"," "),"*"," "),"["," "),"]"," "),"'"," "),"#"," "),"+"," "),"&amp;"," "),"\"," "))&amp;" "</f>
        <v>  </v>
      </c>
      <c r="BE5" s="61" t="str">
        <f aca="false">" "&amp;TRIM(SUBSTITUTE(SUBSTITUTE(SUBSTITUTE(SUBSTITUTE(SUBSTITUTE(SUBSTITUTE(SUBSTITUTE(SUBSTITUTE(SUBSTITUTE(SUBSTITUTE(SUBSTITUTE(SUBSTITUTE(SUBSTITUTE(SUBSTITUTE(SUBSTITUTE(SUBSTITUTE(SUBSTITUTE(SUBSTITUTE(SUBSTITUTE(SUBSTITUTE(SUBSTITUTE(SUBSTITUTE(SUBSTITUTE(SUBSTITUTE(LOWER(W5&amp;""),CHAR(10)," "),CHAR(13)," "),CHAR(9)," "),CHAR(160)," "),"."," "),","," "),"-"," "),"/"," "),"("," "),")"," "),":"," "),";"," "),"_"," "),"–"," "),"?"," "),"!"," "),"*"," "),"["," "),"]"," "),"'"," "),"#"," "),"+"," "),"&amp;"," "),"\"," "))&amp;" "</f>
        <v>  </v>
      </c>
      <c r="BF5" s="61" t="str">
        <f aca="false">" "&amp;TRIM(SUBSTITUTE(SUBSTITUTE(SUBSTITUTE(SUBSTITUTE(SUBSTITUTE(SUBSTITUTE(SUBSTITUTE(SUBSTITUTE(SUBSTITUTE(SUBSTITUTE(SUBSTITUTE(SUBSTITUTE(SUBSTITUTE(SUBSTITUTE(SUBSTITUTE(SUBSTITUTE(SUBSTITUTE(SUBSTITUTE(SUBSTITUTE(SUBSTITUTE(SUBSTITUTE(SUBSTITUTE(SUBSTITUTE(SUBSTITUTE(LOWER(AC5&amp;""),CHAR(10)," "),CHAR(13)," "),CHAR(9)," "),CHAR(160)," "),"."," "),","," "),"-"," "),"/"," "),"("," "),")"," "),":"," "),";"," "),"_"," "),"–"," "),"?"," "),"!"," "),"*"," "),"["," "),"]"," "),"'"," "),"#"," "),"+"," "),"&amp;"," "),"\"," "))&amp;" "</f>
        <v>  </v>
      </c>
      <c r="BG5" s="61" t="n">
        <f aca="false">IFERROR(IF(AND(TRIM(U5)="Pass",SUMPRODUCT((LEN(BC5)-LEN(SUBSTITUTE(BC5," "&amp;L_ResultBad&amp;" "," ")))/(LEN(L_ResultBad)+1))&gt;SUMPRODUCT((LEN(BC5)-LEN(SUBSTITUTE(BC5," "&amp;L_NegPhrase&amp;" "," ")))/(LEN(L_NegPhrase)+1))),1,0),0)</f>
        <v>0</v>
      </c>
      <c r="BH5" s="61" t="n">
        <f aca="false">IFERROR(IF(SUMPRODUCT((LEN(BC5)-LEN(SUBSTITUTE(BC5," "&amp;L_Pending&amp;" "," ")))/(LEN(L_Pending)+1))&gt;SUMPRODUCT((LEN(BC5)-LEN(SUBSTITUTE(BC5," "&amp;L_PendNeg&amp;" "," ")))/(LEN(L_PendNeg)+1))+SUMPRODUCT((LEN(BC5)-LEN(SUBSTITUTE(BC5," "&amp;L_PendPrep&amp;" "," ")))/(LEN(L_PendPrep)+1)),1,0),1)</f>
        <v>0</v>
      </c>
      <c r="BI5" s="61" t="n">
        <f aca="false">IFERROR(IF(SUMPRODUCT((LEN(BD5)-LEN(SUBSTITUTE(BD5," "&amp;L_PendStrict&amp;" "," ")))/(LEN(L_PendStrict)+1))&gt;SUMPRODUCT((LEN(BD5)-LEN(SUBSTITUTE(BD5," "&amp;L_PendNeg&amp;" "," ")))/(LEN(L_PendNeg)+1)),1,0),1)</f>
        <v>0</v>
      </c>
      <c r="BJ5" s="61" t="n">
        <f aca="false">IFERROR(IF(SUMPRODUCT((LEN(BE5)-LEN(SUBSTITUTE(BE5," "&amp;L_Pending&amp;" "," ")))/(LEN(L_Pending)+1))&gt;SUMPRODUCT((LEN(BE5)-LEN(SUBSTITUTE(BE5," "&amp;L_PendNeg&amp;" "," ")))/(LEN(L_PendNeg)+1))+SUMPRODUCT((LEN(BE5)-LEN(SUBSTITUTE(BE5," "&amp;L_PendPrep&amp;" "," ")))/(LEN(L_PendPrep)+1)),1,0),1)</f>
        <v>0</v>
      </c>
      <c r="BK5" s="61" t="n">
        <f aca="false">IFERROR(IF(SUMPRODUCT((LEN(BF5)-LEN(SUBSTITUTE(BF5," "&amp;L_PendStrict&amp;" "," ")))/(LEN(L_PendStrict)+1))&gt;SUMPRODUCT((LEN(BF5)-LEN(SUBSTITUTE(BF5," "&amp;L_PendNeg&amp;" "," ")))/(LEN(L_PendNeg)+1)),1,0),1)</f>
        <v>0</v>
      </c>
      <c r="BL5" s="61" t="n">
        <f aca="false">IF(ISNA(MATCH(TRIM(S5),L_EvidenceType,0)),0,BZ5)</f>
        <v>0</v>
      </c>
      <c r="BM5" s="61" t="str">
        <f aca="false">SUBSTITUTE(SUBSTITUTE(SUBSTITUTE(SUBSTITUTE(SUBSTITUTE(SUBSTITUTE(SUBSTITUTE(SUBSTITUTE(SUBSTITUTE(LOWER(Z5&amp;""),"1","0"),"2","0"),"3","0"),"4","0"),"5","0"),"6","0"),"7","0"),"8","0"),"9","0")</f>
        <v/>
      </c>
      <c r="BN5" s="61" t="str">
        <f aca="false">SUBSTITUTE(SUBSTITUTE(SUBSTITUTE(SUBSTITUTE(SUBSTITUTE(SUBSTITUTE(SUBSTITUTE(SUBSTITUTE(SUBSTITUTE(SUBSTITUTE(SUBSTITUTE(SUBSTITUTE(SUBSTITUTE(SUBSTITUTE(SUBSTITUTE(SUBSTITUTE(SUBSTITUTE(SUBSTITUTE(SUBSTITUTE(SUBSTITUTE(SUBSTITUTE(SUBSTITUTE(SUBSTITUTE(SUBSTITUTE(SUBSTITUTE(BM5,"b","a"),"c","a"),"d","a"),"e","a"),"f","a"),"g","a"),"h","a"),"i","a"),"j","a"),"k","a"),"l","a"),"m","a"),"n","a"),"o","a"),"p","a"),"q","a"),"r","a"),"s","a"),"t","a"),"u","a"),"v","a"),"w","a"),"x","a"),"y","a"),"z","a")</f>
        <v/>
      </c>
      <c r="BO5" s="61" t="str">
        <f aca="false">SUBSTITUTE(SUBSTITUTE(SUBSTITUTE(SUBSTITUTE(SUBSTITUTE(SUBSTITUTE(SUBSTITUTE(SUBSTITUTE(SUBSTITUTE(LOWER(W5&amp;""),"1","0"),"2","0"),"3","0"),"4","0"),"5","0"),"6","0"),"7","0"),"8","0"),"9","0")</f>
        <v/>
      </c>
      <c r="BP5" s="61" t="str">
        <f aca="false">SUBSTITUTE(SUBSTITUTE(SUBSTITUTE(SUBSTITUTE(SUBSTITUTE(SUBSTITUTE(SUBSTITUTE(SUBSTITUTE(SUBSTITUTE(SUBSTITUTE(SUBSTITUTE(SUBSTITUTE(SUBSTITUTE(SUBSTITUTE(SUBSTITUTE(SUBSTITUTE(SUBSTITUTE(SUBSTITUTE(SUBSTITUTE(SUBSTITUTE(SUBSTITUTE(SUBSTITUTE(SUBSTITUTE(SUBSTITUTE(SUBSTITUTE(BO5,"b","a"),"c","a"),"d","a"),"e","a"),"f","a"),"g","a"),"h","a"),"i","a"),"j","a"),"k","a"),"l","a"),"m","a"),"n","a"),"o","a"),"p","a"),"q","a"),"r","a"),"s","a"),"t","a"),"u","a"),"v","a"),"w","a"),"x","a"),"y","a"),"z","a")</f>
        <v/>
      </c>
      <c r="BQ5" s="61" t="n">
        <f aca="false">IFERROR(IF(AND(ISERROR(SEARCH(" mh"," "&amp;LOWER(W5))),ISNA(MATCH(LEFT(TRIM(BP5),255),{"0000a","000a","00a","0000aa","000aa","00aa","0aa","0000aaa","000aaa","00a00","0a00","0000-0000","00:00","a00","a0","00.00.0000","00/00/0000","00-00-0000","0000-00-00","0000/00/00","0000.00.00","00.00.00","00/00/00","00-00-00","0.00.0000","0/00/0000","0-00-0000"},0)),ISNA(MATCH(LEFT(TRIM(CA5),255),{"0000a","000a","00a","0000aa","000aa","00aa","0aa","0000aaa","000aaa","00a00","0a00","0000-0000","00:00","a00","a0","00.00.0000","00/00/0000","00-00-0000","0000-00-00","0000/00/00","0000.00.00","00.00.00","00/00/00","00-00-00","0.00.0000","0/00/0000","0-00-0000"},0)),LEN(CB5)&gt;=3,NOT(OR(SUBSTITUTE(CB5,"0","")="",AND(LEN(CB5)&gt;=4,CB5=REPT(LEFT(CB5),LEN(CB5))),ISNUMBER(MATCH(CB5,{"123","1234","12345","123456","1234567","12345678","0123","01234","012345","98765","987654","54321"},0)),AND(LEN(CB5)=8,LEFT(CB5,3)="202"))),OR(AND((LEN(CA5)-LEN(SUBSTITUTE(CA5,"a","")))&gt;=1,SUMPRODUCT(--ISNUMBER(SEARCH({"a0","a-0","a_0","a/0","a.0","a#0","0a","0-a","0_a","0/a"},BP5)))&gt;0),ISNUMBER(SEARCH("000000",BP5)))),1,0),0)</f>
        <v>0</v>
      </c>
      <c r="BR5" s="61" t="n">
        <f aca="false">IFERROR(LEN(SUBSTITUTE(CC5," ",""))-SUMPRODUCT((LEN(CC5)-LEN(SUBSTITUTE(CC5," "&amp;L_Role&amp;" "," ")))/(LEN(L_Role)+1)*LEN(L_Role)),0)</f>
        <v>0</v>
      </c>
      <c r="BS5" s="61" t="n">
        <f aca="false">IFERROR(LEN(SUBSTITUTE(CD5," ",""))-SUMPRODUCT((LEN(CD5)-LEN(SUBSTITUTE(CD5," "&amp;L_Role&amp;" "," ")))/(LEN(L_Role)+1)*LEN(L_Role)),0)</f>
        <v>0</v>
      </c>
      <c r="BT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revision",""),"version",""),"jan",""),"feb",""),"mar",""),"apr",""),"may",""),"jun",""),"jul",""),"aug",""),"sep",""),"oct",""),"nov",""),"dec",""),"utc",""),"gmt",""),"myt",""),"bst",""),"rev",""),"ver",""),"b","a"),"c","a"),"d","a"),"e","a"),"f","a"),"g","a"),"h","a"),"i","a"),"j","a"),"k","a"),"l","a"),"m","a"),"n","a"),"o","a"),"p","a"),"q","a"),"r","a"),"s","a"),"t","a"),"u","a"),"v","a"),"w","a"),"x","a"),"y","a"),"z","a")</f>
        <v/>
      </c>
      <c r="BU5" s="61" t="str">
        <f aca="false">SUBSTITUTE(SUBSTITUTE(SUBSTITUTE(SUBSTITUTE(SUBSTITUTE(SUBSTITUTE(SUBSTITUTE(SUBSTITUTE(SUBSTITUTE(SUBSTITUTE(LEFT(BM5,FIND("0",BM5&amp;"0")-1),"-",""),"_",""),"/",""),".",""),"#",""),"\\",""),":","")," ",""),"(",""),")","")</f>
        <v/>
      </c>
      <c r="BV5" s="61" t="n">
        <f aca="false">0</f>
        <v>0</v>
      </c>
      <c r="BW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amp;""),"a",""),"b",""),"c",""),"d",""),"e",""),"f",""),"g",""),"h",""),"i",""),"j",""),"k",""),"l",""),"m",""),"n",""),"o",""),"p",""),"q",""),"r",""),"s",""),"t",""),"u",""),"v",""),"w",""),"x",""),"y",""),"z",""),"-",""),"_",""),"/",""),".",""),"#",""),"\\",""),":","")," ",""),"(",""),")","")</f>
        <v/>
      </c>
      <c r="BX5" s="61" t="str">
        <f aca="false">SUBSTITUTE(SUBSTITUTE(SUBSTITUTE(SUBSTITUTE(SUBSTITUTE(SUBSTITUTE(SUBSTITUTE(SUBSTITUTE(SUBSTITUTE(SUBSTITUTE(SUBSTITUTE(BM5,"0",""),"-",""),"_",""),"/",""),".",""),"#",""),"\\",""),":","")," ",""),"(",""),")","")</f>
        <v/>
      </c>
      <c r="BY5" s="62" t="n">
        <f aca="false">Q5-T7EarlyD*24/24</f>
        <v>46282.8576388889</v>
      </c>
      <c r="BZ5" s="61" t="n">
        <f aca="false">IFERROR(IF(IF(TRIM(S5)="Link / file path",AND(LEN(TRIM(Z5))&gt;=5,SUMPRODUCT(--ISNUMBER(SEARCH({"http","www.","\\",":\",".pdf",".jpg",".jpeg",".png",".heic",".xls",".doc",".msg",".eml",".ppt",".txt",".zip"},Z5)))&gt;0),AND(ISERROR(FIND(" ",TRIM(Z5))),NOT(OR(SUMPRODUCT(--ISNUMBER(FIND({",",";","&amp;","+"},Z5)))&gt;0,SUMPRODUCT(--ISNUMBER(SEARCH({"0/aa","0\\aa"},BN5)))&gt;0)),NOT(SUMPRODUCT(--ISNUMBER(SEARCH({"http","www.","\\",":\",".pdf",".jpg",".jpeg",".png",".heic",".xls",".doc",".msg",".eml",".ppt",".txt",".zip"},Z5)))&gt;0),NOT(LOWER(TRIM(Z5))=LOWER(Flights!$F$5)),ISNA(MATCH(BU5,{"mh","rev","revision","ver","version","v","r","a","b","seat","tray","row","gate","bay","stand","page","pg","item","line","no","cart","galley","flight","flt","table","box","bag","oven","etd","eta","std","sta","atd","ata","qty","pax","x","time","tel","ph","mob","day","wk","week","utc","gmt","myt","lt"},0)),NOT(OR(ISNUMBER(MATCH(LEFT(BN5,255),{"0000a","000a","00a","0000aa","000aa","00aa","0aa","0000aaa","000aaa","00a00","0a00","0000-0000","00:00","a00","a0","00.00.0000","00/00/0000","00-00-0000","0000-00-00","0000/00/00","0000.00.00","00.00.00","00/00/00","00-00-00","0.00.0000","0/00/0000","0-00-0000"},0)),ISNUMBER(MATCH(LEFT(BT5,255),{"0000a","000a","00a","0000aa","000aa","00aa","0aa","0000aaa","000aaa","00a00","0a00","0000-0000","00:00","a00","a0","00.00.0000","00/00/0000","00-00-0000","0000-00-00","0000/00/00","0000.00.00","00.00.00","00/00/00","00-00-00","0.00.0000","0/00/0000","0-00-0000"},0)))),NOT(OR(AND(BW5&lt;&gt;"",SUBSTITUTE(BW5,"0","")=""),AND(LEN(BW5)&gt;=4,BW5=REPT(LEFT(BW5),LEN(BW5))),ISNUMBER(MATCH(BW5,{"123","1234","12345","123456","1234567","12345678","0123","01234","012345","98765","987654","54321"},0)),ISNUMBER(MATCH(BX5,{"x","xx","xxx","xxxx","xxxxx","abc","abcd","nil","na","nan","test","tbc","tba","tbd","dummy","sample","example","eg","zz","zzz","none","null","xyz","qwe","asd","id","ref"},0)),AND(LEN(BW5)=8,BX5="",OR(LEFT(BW5,3)="202",ISNUMBER(MATCH(RIGHT(BW5,4),{"2025","2026","2027"},0)))))),OR(AND((LEN(BT5)-LEN(SUBSTITUTE(BT5,"a","")))&gt;=1,(LEN(BN5)-LEN(SUBSTITUTE(BN5,"0","")))&gt;=2,SUMPRODUCT(--ISNUMBER(SEARCH({"a0","a-0","a_0","a/0","a.0","a#0","0a","0-a","0_a","0/a"},BN5)))&gt;0),AND((LEN(BN5)-LEN(SUBSTITUTE(BN5,"a","")))=0,(LEN(BN5)-LEN(SUBSTITUTE(BN5,"0","")))&gt;=5)))),1,0),0)</f>
        <v>0</v>
      </c>
      <c r="CA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revision",""),"version",""),"jan",""),"feb",""),"mar",""),"apr",""),"may",""),"jun",""),"jul",""),"aug",""),"sep",""),"oct",""),"nov",""),"dec",""),"utc",""),"gmt",""),"myt",""),"bst",""),"rev",""),"ver",""),"b","a"),"c","a"),"d","a"),"e","a"),"f","a"),"g","a"),"h","a"),"i","a"),"j","a"),"k","a"),"l","a"),"m","a"),"n","a"),"o","a"),"p","a"),"q","a"),"r","a"),"s","a"),"t","a"),"u","a"),"v","a"),"w","a"),"x","a"),"y","a"),"z","a")</f>
        <v/>
      </c>
      <c r="CB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amp;""),"a",""),"b",""),"c",""),"d",""),"e",""),"f",""),"g",""),"h",""),"i",""),"j",""),"k",""),"l",""),"m",""),"n",""),"o",""),"p",""),"q",""),"r",""),"s",""),"t",""),"u",""),"v",""),"w",""),"x",""),"y",""),"z",""),"-",""),"_",""),"/",""),".",""),"#",""),"\\",""),":","")," ",""),"(",""),")","")</f>
        <v/>
      </c>
      <c r="CC5" s="0" t="str">
        <f aca="false">" "&amp;TRIM(SUBSTITUTE(SUBSTITUTE(SUBSTITUTE(SUBSTITUTE(SUBSTITUTE(SUBSTITUTE(SUBSTITUTE(SUBSTITUTE(SUBSTITUTE(SUBSTITUTE(SUBSTITUTE(SUBSTITUTE(SUBSTITUTE(SUBSTITUTE(SUBSTITUTE(SUBSTITUTE(SUBSTITUTE(SUBSTITUTE(SUBSTITUTE(SUBSTITUTE(SUBSTITUTE(SUBSTITUTE(SUBSTITUTE(SUBSTITUTE(LOWER(T5&amp;""),CHAR(10)," "),CHAR(13)," "),CHAR(9)," "),CHAR(160)," "),"."," "),","," "),"-"," "),"/"," "),"("," "),")"," "),":"," "),";"," "),"_"," "),"–"," "),"?"," "),"!"," "),"*"," "),"["," "),"]"," "),"'"," "),"#"," "),"+"," "),"&amp;"," "),"\"," "))&amp;" "</f>
        <v>  </v>
      </c>
      <c r="CD5" s="0" t="str">
        <f aca="false">" "&amp;TRIM(SUBSTITUTE(SUBSTITUTE(SUBSTITUTE(SUBSTITUTE(SUBSTITUTE(SUBSTITUTE(SUBSTITUTE(SUBSTITUTE(SUBSTITUTE(SUBSTITUTE(SUBSTITUTE(SUBSTITUTE(SUBSTITUTE(SUBSTITUTE(SUBSTITUTE(SUBSTITUTE(SUBSTITUTE(SUBSTITUTE(SUBSTITUTE(SUBSTITUTE(SUBSTITUTE(SUBSTITUTE(SUBSTITUTE(SUBSTITUTE(LOWER(AE5&amp;""),CHAR(10)," "),CHAR(13)," "),CHAR(9)," "),CHAR(160)," "),"."," "),","," "),"-"," "),"/"," "),"("," "),")"," "),":"," "),";"," "),"_"," "),"–"," "),"?"," "),"!"," "),"*"," "),"["," "),"]"," "),"'"," "),"#"," "),"+"," "),"&amp;"," "),"\"," "))&amp;" "</f>
        <v>  </v>
      </c>
      <c r="CE5" s="68" t="n">
        <f aca="false">IFERROR(IF(AND(LEN(AU5)&gt;0,LEN(AU5)=LEN(AX5),OR(TRIM(MID(SUBSTITUTE(TRIM(CC5)," ",REPT(" ",60)),1,60))="",ISNUMBER(SEARCH(" "&amp;TRIM(MID(SUBSTITUTE(TRIM(CC5)," ",REPT(" ",60)),1,60))&amp;" ",CD5))),OR(TRIM(MID(SUBSTITUTE(TRIM(CC5)," ",REPT(" ",60)),61,60))="",ISNUMBER(SEARCH(" "&amp;TRIM(MID(SUBSTITUTE(TRIM(CC5)," ",REPT(" ",60)),61,60))&amp;" ",CD5))),OR(TRIM(MID(SUBSTITUTE(TRIM(CC5)," ",REPT(" ",60)),121,60))="",ISNUMBER(SEARCH(" "&amp;TRIM(MID(SUBSTITUTE(TRIM(CC5)," ",REPT(" ",60)),121,60))&amp;" ",CD5)))),1,0),0)</f>
        <v>0</v>
      </c>
      <c r="CG5" s="68" t="n">
        <f aca="false">IFERROR(LEN(SUBSTITUTE(BF5," ",""))-SUMPRODUCT((LEN(BF5)-LEN(SUBSTITUTE(BF5," "&amp;L_NAFiller&amp;" "," ")))/(LEN(L_NAFiller)+1)*LEN(L_NAFiller)),0)</f>
        <v>0</v>
      </c>
    </row>
    <row r="6" customFormat="false" ht="39.75" hidden="false" customHeight="true" outlineLevel="0" collapsed="false">
      <c r="A6" s="57" t="s">
        <v>384</v>
      </c>
      <c r="B6" s="57" t="s">
        <v>183</v>
      </c>
      <c r="C6" s="57" t="str">
        <f aca="false">Flights!$F$5</f>
        <v>MH0001</v>
      </c>
      <c r="D6" s="58" t="n">
        <f aca="false">Flights!$D$5</f>
        <v>46303</v>
      </c>
      <c r="E6" s="57" t="str">
        <f aca="false">Flights!$G$5&amp;"-"&amp;Flights!$H$5</f>
        <v>LHR-KUL</v>
      </c>
      <c r="F6" s="57" t="str">
        <f aca="false">Flights!$K$5</f>
        <v>EY</v>
      </c>
      <c r="G6" s="57" t="s">
        <v>81</v>
      </c>
      <c r="H6" s="57" t="s">
        <v>378</v>
      </c>
      <c r="I6" s="57" t="s">
        <v>385</v>
      </c>
      <c r="J6" s="57" t="s">
        <v>386</v>
      </c>
      <c r="K6" s="67" t="s">
        <v>387</v>
      </c>
      <c r="L6" s="67" t="s">
        <v>382</v>
      </c>
      <c r="M6" s="67"/>
      <c r="N6" s="67" t="s">
        <v>383</v>
      </c>
      <c r="O6" s="67"/>
      <c r="P6" s="57" t="s">
        <v>186</v>
      </c>
      <c r="Q6" s="59" t="n">
        <f aca="false">ROUND((Flights!$AC$5)*1440,0)/1440</f>
        <v>46296.8576388889</v>
      </c>
      <c r="R6" s="59" t="n">
        <f aca="false">Q6+(IF(AND(INDEX(TZ_DSTS,MATCH(P6,TZ_STN,0))&lt;&gt;"",Q6&gt;=INDEX(TZ_DSTS,MATCH(P6,TZ_STN,0)),Q6&lt;INDEX(TZ_DSTE,MATCH(P6,TZ_STN,0))),INDEX(TZ_DST,MATCH(P6,TZ_STN,0)),INDEX(TZ_STD,MATCH(P6,TZ_STN,0))))/24</f>
        <v>46296.8993055556</v>
      </c>
      <c r="S6" s="60"/>
      <c r="T6" s="60"/>
      <c r="U6" s="60"/>
      <c r="V6" s="60"/>
      <c r="W6" s="61"/>
      <c r="X6" s="60"/>
      <c r="Y6" s="60"/>
      <c r="Z6" s="60"/>
      <c r="AA6" s="60"/>
      <c r="AB6" s="60"/>
      <c r="AC6" s="60"/>
      <c r="AD6" s="66"/>
      <c r="AE6" s="60"/>
      <c r="AF6" s="61" t="str">
        <f aca="false">IF(AND(ISNUMBER(X6),ISNUMBER(Y6)),Y6-X6,"")</f>
        <v/>
      </c>
      <c r="AG6" s="62" t="str">
        <f aca="false">IF(ISNUMBER(AD6),AD6-(IF(AND(INDEX(TZ_DSTS,MATCH(P6,TZ_STN,0))&lt;&gt;"",(AD6-INDEX(TZ_STD,MATCH(P6,TZ_STN,0))/24)&gt;=INDEX(TZ_DSTS,MATCH(P6,TZ_STN,0)),(AD6-INDEX(TZ_STD,MATCH(P6,TZ_STN,0))/24)&lt;INDEX(TZ_DSTE,MATCH(P6,TZ_STN,0))),INDEX(TZ_DST,MATCH(P6,TZ_STN,0)),INDEX(TZ_STD,MATCH(P6,TZ_STN,0))))/24,"")</f>
        <v/>
      </c>
      <c r="AH6" s="65" t="str">
        <f aca="false">IFERROR(IF(N6="N/A – rule",IF(OR(TRIM(U6)="",TRIM(U6)="N/A",TRIM(U6)="Not started"),"N/A – RULE","INVALID – this check does not apply to this aircraft: clear the status (or correct the fleet on Flights)"),IF(TRIM(U6)="N/A",IF(AT6=0,"INVALID – N/A not permitted for this check",IF(AND(TRIM(AB6)&lt;&gt;"",TRIM(AB6)&lt;&gt;"Closed"),"INVALID – corrective action still open",IF(AND(NOT(OR(LEN(AZ6)&lt;15,ISNUMBER(MATCH(AZ6,L_Placeholder,0)))),BK6=0,CG6&gt;=8,NOT(OR(LEN(AU6)&lt;2,ISNUMBER(MATCH(AU6,L_Placeholder,0)))),BR6&gt;=3,NOT(OR(LEN(AX6)&lt;2,ISNUMBER(MATCH(AX6,L_Placeholder,0)))),BS6&gt;=3,TRIM(AE6)&lt;&gt;TRIM(T6),AX6&lt;&gt;AU6,CE6=0),"N/A – JUSTIFIED","INVALID – N/A needs a real, settled reason (not 'not applicable' / 'as above' / TBC), a named PIC and a different named verifier"))),IF(OR(TRIM(U6)="Pass",TRIM(U6)="Pass after CA"),IF(NOT(ISNUMBER(AD6)),"INVALID – completion time missing",IF(OR(OR(LEN(AU6)&lt;2,ISNUMBER(MATCH(AU6,L_Placeholder,0))),BR6&lt;3),"INVALID – PIC missing or not a named person (a role such as QA / CSM is not a name)",IF(OR(LEN(AV6)&lt;2,ISNUMBER(MATCH(AV6,L_Placeholder,0))),"INVALID – result / assessment missing",IF(OR(OR(LEN(AW6)&lt;3,ISNUMBER(MATCH(AW6,L_Placeholder,0))),SUMPRODUCT(--ISNUMBER(SEARCH(" "&amp;L_EvidencePhrase&amp;" ",BD6)))&gt;0,BI6=1),"INVALID – evidence missing, placeholder or not yet on file",IF(ISNA(MATCH(TRIM(S6),L_EvidenceType,0)),"INVALID – choose the evidence type from the list (column S)",IF(BL6=0,"INVALID – evidence ID must be the record's own ID only (e.g. SF-2210, IMG_2231, 1045521); a link / file name needs type 'Link / file path'",IF(OR(OR(LEN(AX6)&lt;2,ISNUMBER(MATCH(AX6,L_Placeholder,0))),BS6&lt;3),"INVALID – verifier missing or not a named person (a role such as QA / CSM is not a name)",IF(OR(AX6=AU6,CE6=1,AND(LEN(AU6)&gt;=4,ISNUMBER(SEARCH(AU6,AX6))),AND(LEN(AX6)&gt;=4,ISNUMBER(SEARCH(AX6,AU6)))),"INVALID – verifier must be a different, named person (not the PIC or a role)",IF(BH6=1,"INVALID – result not yet available (awaiting / TBC)",IF(BG6=1,"INVALID – result describes a problem: record Fail, then Pass after CA (or reword if it is not a problem)",IF(BV6=1,"INVALID – wording says not on board: an on-board confirmation needs the item loaded",IF(AND(AQ6=1,OR(OR(LEN(AY6)&lt;3,ISNUMBER(MATCH(AY6,L_Placeholder,0))),BJ6=1,BQ6=0)),"INVALID – batch ID missing, placeholder or not an ID (e.g. PASB-261008-BC-017)",IF(AND(AR6=1,OR(NOT(ISNUMBER(X6)),NOT(ISNUMBER(Y6)))),"INVALID – expected/actual qty missing",IF(AND(AR6=1,OR(X6&lt;=0,Y6&lt;0)),"INVALID – expected qty must be above 0 and actual not negative",IF(BB6&lt;&gt;"",BB6,IF(AND(AS6=1,Documents!$J$5&lt;&gt;"ON FILE"),"INVALID – GLD not on file (Documents sheet)",IF(AND(AS6=2,Documents!$O$5&lt;&gt;"ON FILE"),"INVALID – menu checklist not on file (Documents sheet)",IF(AND(AS6=3,NOT(ISNUMBER(Flights!$AX$5))),"INVALID – enter carrying flight KUL departure (Flights AX)",IF(AND(AS6=3,OR(Flights!$AZ$5&gt;Flights!$AA$5,Flights!$AX$5&lt;Flights!$AA$5-3)),"INVALID – carrying flight (Flights AX) cannot arrive before this leg's STD, or is over 3 days early",IF(AG6&gt;AsOfUTC,"INVALID – completion time is in the future",IF(AND(ISNUMBER(BY6),AG6&lt;BY6),IF(H6="Physical uplift","INVALID – before uplift window (cannot confirm loading)","INVALID – before valid window"),IF(AG6&gt;Flights!$AA$5,"INVALID – completed after departure (cannot establish readiness)",IF(AND(H6="Preparation",AG6&gt;=IF(ISNUMBER(Flights!$BA$5),MIN(Flights!$BA$5,Flights!$AA$5),Flights!$AA$5)),"INVALID – completed after loading / departure (cannot establish readiness)",IF(AND(H6="Physical uplift",AG6&gt;Q6),"INVALID – recorded after the loading flight departed",IF(AG6&gt;Q6,"COMPLETE – LATE","COMPLETE"))))))))))))))))))))))))),IF(TRIM(U6)="Fail","FAIL – DISCREPANCY",IF(AND(TRIM(U6)&lt;&gt;"",TRIM(U6)&lt;&gt;"Not started",TRIM(U6)&lt;&gt;"In progress"),"INVALID – unrecognised status (use the list)",IF(AsOfUTC&gt;Q6,"OVERDUE",IF(N6="Clarification required","OPEN – CLARIFICATION","OPEN"))))))),"INVALID – error value in an input cell")</f>
        <v>OPEN</v>
      </c>
      <c r="AI6" s="61" t="n">
        <f aca="false">IF(OR(AH6="N/A – RULE",AH6="N/A – JUSTIFIED"),0,1)</f>
        <v>1</v>
      </c>
      <c r="AJ6" s="61" t="n">
        <f aca="false">IF(LEFT(AH6,8)="COMPLETE",1,0)</f>
        <v>0</v>
      </c>
      <c r="AK6" s="61" t="n">
        <f aca="false">IF(AND(AI6=1,AJ6=0,AsOfUTC&gt;Q6),1,0)</f>
        <v>0</v>
      </c>
      <c r="AL6" s="61" t="n">
        <f aca="false">IFERROR(IF(AND(AI6=1,OR(TRIM(U6)="Fail",AND(TRIM(AB6)&lt;&gt;"",TRIM(AB6)&lt;&gt;"Closed"),AND(ISNUMBER(AF6),AF6&lt;&gt;0,TRIM(U6)&lt;&gt;"Pass after CA"))),1,0),1)</f>
        <v>0</v>
      </c>
      <c r="AM6" s="61" t="n">
        <f aca="false">IF(LEFT(AH6,7)="INVALID",1,0)</f>
        <v>0</v>
      </c>
      <c r="AN6" s="61" t="n">
        <f aca="false">IF(AND(N6="Clarification required",AI6=1,AJ6=0),1,0)</f>
        <v>0</v>
      </c>
      <c r="AO6" s="61" t="str">
        <f aca="false">IF(AK6=1,SUM(AK$5:AK6),"")</f>
        <v/>
      </c>
      <c r="AP6" s="61" t="str">
        <f aca="false">IF(AL6=1,SUM(AL$5:AL6),"")</f>
        <v/>
      </c>
      <c r="AQ6" s="61" t="n">
        <v>0</v>
      </c>
      <c r="AR6" s="61" t="n">
        <v>0</v>
      </c>
      <c r="AS6" s="61" t="n">
        <v>0</v>
      </c>
      <c r="AT6" s="61" t="n">
        <v>0</v>
      </c>
      <c r="AU6" s="61" t="str">
        <f aca="false">SUBSTITUTE(SUBSTITUTE(SUBSTITUTE(SUBSTITUTE(SUBSTITUTE(SUBSTITUTE(SUBSTITUTE(SUBSTITUTE(SUBSTITUTE(SUBSTITUTE(SUBSTITUTE(SUBSTITUTE(SUBSTITUTE(SUBSTITUTE(SUBSTITUTE(SUBSTITUTE(LOWER(T6&amp;""),CHAR(10),""),CHAR(13),""),CHAR(9),""),CHAR(160),"")," ",""),".",""),"-",""),"/",""),"?",""),"_",""),",",""),"[",""),"]",""),"(",""),")",""),"*","")</f>
        <v/>
      </c>
      <c r="AV6" s="61" t="str">
        <f aca="false">SUBSTITUTE(SUBSTITUTE(SUBSTITUTE(SUBSTITUTE(SUBSTITUTE(SUBSTITUTE(SUBSTITUTE(SUBSTITUTE(SUBSTITUTE(SUBSTITUTE(SUBSTITUTE(SUBSTITUTE(SUBSTITUTE(SUBSTITUTE(SUBSTITUTE(SUBSTITUTE(LOWER(V6&amp;""),CHAR(10),""),CHAR(13),""),CHAR(9),""),CHAR(160),"")," ",""),".",""),"-",""),"/",""),"?",""),"_",""),",",""),"[",""),"]",""),"(",""),")",""),"*","")</f>
        <v/>
      </c>
      <c r="AW6" s="61" t="str">
        <f aca="false">SUBSTITUTE(SUBSTITUTE(SUBSTITUTE(SUBSTITUTE(SUBSTITUTE(SUBSTITUTE(SUBSTITUTE(SUBSTITUTE(SUBSTITUTE(SUBSTITUTE(SUBSTITUTE(SUBSTITUTE(SUBSTITUTE(SUBSTITUTE(SUBSTITUTE(SUBSTITUTE(LOWER(Z6&amp;""),CHAR(10),""),CHAR(13),""),CHAR(9),""),CHAR(160),"")," ",""),".",""),"-",""),"/",""),"?",""),"_",""),",",""),"[",""),"]",""),"(",""),")",""),"*","")</f>
        <v/>
      </c>
      <c r="AX6" s="61" t="str">
        <f aca="false">SUBSTITUTE(SUBSTITUTE(SUBSTITUTE(SUBSTITUTE(SUBSTITUTE(SUBSTITUTE(SUBSTITUTE(SUBSTITUTE(SUBSTITUTE(SUBSTITUTE(SUBSTITUTE(SUBSTITUTE(SUBSTITUTE(SUBSTITUTE(SUBSTITUTE(SUBSTITUTE(LOWER(AE6&amp;""),CHAR(10),""),CHAR(13),""),CHAR(9),""),CHAR(160),"")," ",""),".",""),"-",""),"/",""),"?",""),"_",""),",",""),"[",""),"]",""),"(",""),")",""),"*","")</f>
        <v/>
      </c>
      <c r="AY6" s="61" t="str">
        <f aca="false">SUBSTITUTE(SUBSTITUTE(SUBSTITUTE(SUBSTITUTE(SUBSTITUTE(SUBSTITUTE(SUBSTITUTE(SUBSTITUTE(SUBSTITUTE(SUBSTITUTE(SUBSTITUTE(SUBSTITUTE(SUBSTITUTE(SUBSTITUTE(SUBSTITUTE(SUBSTITUTE(LOWER(W6&amp;""),CHAR(10),""),CHAR(13),""),CHAR(9),""),CHAR(160),"")," ",""),".",""),"-",""),"/",""),"?",""),"_",""),",",""),"[",""),"]",""),"(",""),")",""),"*","")</f>
        <v/>
      </c>
      <c r="AZ6" s="61" t="str">
        <f aca="false">SUBSTITUTE(SUBSTITUTE(SUBSTITUTE(SUBSTITUTE(SUBSTITUTE(SUBSTITUTE(SUBSTITUTE(SUBSTITUTE(SUBSTITUTE(SUBSTITUTE(SUBSTITUTE(SUBSTITUTE(SUBSTITUTE(SUBSTITUTE(SUBSTITUTE(SUBSTITUTE(LOWER(AC6&amp;""),CHAR(10),""),CHAR(13),""),CHAR(9),""),CHAR(160),"")," ",""),".",""),"-",""),"/",""),"?",""),"_",""),",",""),"[",""),"]",""),"(",""),")",""),"*","")</f>
        <v/>
      </c>
      <c r="BA6" s="61" t="str">
        <f aca="false">SUBSTITUTE(SUBSTITUTE(SUBSTITUTE(SUBSTITUTE(SUBSTITUTE(SUBSTITUTE(SUBSTITUTE(SUBSTITUTE(SUBSTITUTE(SUBSTITUTE(SUBSTITUTE(SUBSTITUTE(SUBSTITUTE(SUBSTITUTE(SUBSTITUTE(SUBSTITUTE(LOWER(AA6&amp;""),CHAR(10),""),CHAR(13),""),CHAR(9),""),CHAR(160),"")," ",""),".",""),"-",""),"/",""),"?",""),"_",""),",",""),"[",""),"]",""),"(",""),")",""),"*","")</f>
        <v/>
      </c>
      <c r="BB6" s="61" t="str">
        <f aca="false">IF(AND(TRIM(U6)="Pass",ISNUMBER(AF6)),IF(AF6&lt;&gt;0,"INVALID – qty variance: use Fail or Pass after CA",""),"")&amp;IF(AND(TRIM(U6)="Pass after CA",ISNUMBER(AF6)),IF(AF6&lt;&gt;0,"INVALID – after the corrective action the actual qty must equal expected (update Actual)",""),"")&amp;IF(AND(TRIM(U6)="Pass",TRIM(AB6)&lt;&gt;"",TRIM(AB6)&lt;&gt;"Closed"),"INVALID – corrective action not closed: use Fail, then Pass after CA","")&amp;IF(AND(LEN(BA6)&gt;=2,ISNA(MATCH(LEFT(BA6,255),L_Placeholder,0)),TRIM(AB6)=""),"INVALID – CA status missing for the recorded corrective action","")&amp;IF(AND(TRIM(U6)="Pass after CA",OR(OR(LEN(BA6)&lt;5,ISNUMBER(MATCH(BA6,L_Placeholder,0))),TRIM(AB6)&lt;&gt;"Closed")),"INVALID – corrective action not recorded/closed","")</f>
        <v/>
      </c>
      <c r="BC6" s="61" t="str">
        <f aca="false">" "&amp;TRIM(SUBSTITUTE(SUBSTITUTE(SUBSTITUTE(SUBSTITUTE(SUBSTITUTE(SUBSTITUTE(SUBSTITUTE(SUBSTITUTE(SUBSTITUTE(SUBSTITUTE(SUBSTITUTE(SUBSTITUTE(SUBSTITUTE(SUBSTITUTE(SUBSTITUTE(SUBSTITUTE(SUBSTITUTE(SUBSTITUTE(SUBSTITUTE(SUBSTITUTE(SUBSTITUTE(SUBSTITUTE(SUBSTITUTE(SUBSTITUTE(LOWER(V6&amp;""),CHAR(10)," "),CHAR(13)," "),CHAR(9)," "),CHAR(160)," "),"."," "),","," "),"-"," "),"/"," "),"("," "),")"," "),":"," "),";"," "),"_"," "),"–"," "),"?"," "),"!"," "),"*"," "),"["," "),"]"," "),"'"," "),"#"," "),"+"," "),"&amp;"," "),"\"," "))&amp;" "</f>
        <v>  </v>
      </c>
      <c r="BD6" s="61" t="str">
        <f aca="false">" "&amp;TRIM(SUBSTITUTE(SUBSTITUTE(SUBSTITUTE(SUBSTITUTE(SUBSTITUTE(SUBSTITUTE(SUBSTITUTE(SUBSTITUTE(SUBSTITUTE(SUBSTITUTE(SUBSTITUTE(SUBSTITUTE(SUBSTITUTE(SUBSTITUTE(SUBSTITUTE(SUBSTITUTE(SUBSTITUTE(SUBSTITUTE(SUBSTITUTE(SUBSTITUTE(SUBSTITUTE(SUBSTITUTE(SUBSTITUTE(SUBSTITUTE(LOWER(Z6&amp;""),CHAR(10)," "),CHAR(13)," "),CHAR(9)," "),CHAR(160)," "),"."," "),","," "),"-"," "),"/"," "),"("," "),")"," "),":"," "),";"," "),"_"," "),"–"," "),"?"," "),"!"," "),"*"," "),"["," "),"]"," "),"'"," "),"#"," "),"+"," "),"&amp;"," "),"\"," "))&amp;" "</f>
        <v>  </v>
      </c>
      <c r="BE6" s="61" t="str">
        <f aca="false">" "&amp;TRIM(SUBSTITUTE(SUBSTITUTE(SUBSTITUTE(SUBSTITUTE(SUBSTITUTE(SUBSTITUTE(SUBSTITUTE(SUBSTITUTE(SUBSTITUTE(SUBSTITUTE(SUBSTITUTE(SUBSTITUTE(SUBSTITUTE(SUBSTITUTE(SUBSTITUTE(SUBSTITUTE(SUBSTITUTE(SUBSTITUTE(SUBSTITUTE(SUBSTITUTE(SUBSTITUTE(SUBSTITUTE(SUBSTITUTE(SUBSTITUTE(LOWER(W6&amp;""),CHAR(10)," "),CHAR(13)," "),CHAR(9)," "),CHAR(160)," "),"."," "),","," "),"-"," "),"/"," "),"("," "),")"," "),":"," "),";"," "),"_"," "),"–"," "),"?"," "),"!"," "),"*"," "),"["," "),"]"," "),"'"," "),"#"," "),"+"," "),"&amp;"," "),"\"," "))&amp;" "</f>
        <v>  </v>
      </c>
      <c r="BF6" s="61" t="str">
        <f aca="false">" "&amp;TRIM(SUBSTITUTE(SUBSTITUTE(SUBSTITUTE(SUBSTITUTE(SUBSTITUTE(SUBSTITUTE(SUBSTITUTE(SUBSTITUTE(SUBSTITUTE(SUBSTITUTE(SUBSTITUTE(SUBSTITUTE(SUBSTITUTE(SUBSTITUTE(SUBSTITUTE(SUBSTITUTE(SUBSTITUTE(SUBSTITUTE(SUBSTITUTE(SUBSTITUTE(SUBSTITUTE(SUBSTITUTE(SUBSTITUTE(SUBSTITUTE(LOWER(AC6&amp;""),CHAR(10)," "),CHAR(13)," "),CHAR(9)," "),CHAR(160)," "),"."," "),","," "),"-"," "),"/"," "),"("," "),")"," "),":"," "),";"," "),"_"," "),"–"," "),"?"," "),"!"," "),"*"," "),"["," "),"]"," "),"'"," "),"#"," "),"+"," "),"&amp;"," "),"\"," "))&amp;" "</f>
        <v>  </v>
      </c>
      <c r="BG6" s="61" t="n">
        <f aca="false">IFERROR(IF(AND(TRIM(U6)="Pass",SUMPRODUCT((LEN(BC6)-LEN(SUBSTITUTE(BC6," "&amp;L_ResultBad&amp;" "," ")))/(LEN(L_ResultBad)+1))&gt;SUMPRODUCT((LEN(BC6)-LEN(SUBSTITUTE(BC6," "&amp;L_NegPhrase&amp;" "," ")))/(LEN(L_NegPhrase)+1))),1,0),0)</f>
        <v>0</v>
      </c>
      <c r="BH6" s="61" t="n">
        <f aca="false">IFERROR(IF(SUMPRODUCT((LEN(BC6)-LEN(SUBSTITUTE(BC6," "&amp;L_Pending&amp;" "," ")))/(LEN(L_Pending)+1))&gt;SUMPRODUCT((LEN(BC6)-LEN(SUBSTITUTE(BC6," "&amp;L_PendNeg&amp;" "," ")))/(LEN(L_PendNeg)+1))+SUMPRODUCT((LEN(BC6)-LEN(SUBSTITUTE(BC6," "&amp;L_PendPrep&amp;" "," ")))/(LEN(L_PendPrep)+1)),1,0),1)</f>
        <v>0</v>
      </c>
      <c r="BI6" s="61" t="n">
        <f aca="false">IFERROR(IF(SUMPRODUCT((LEN(BD6)-LEN(SUBSTITUTE(BD6," "&amp;L_PendStrict&amp;" "," ")))/(LEN(L_PendStrict)+1))&gt;SUMPRODUCT((LEN(BD6)-LEN(SUBSTITUTE(BD6," "&amp;L_PendNeg&amp;" "," ")))/(LEN(L_PendNeg)+1)),1,0),1)</f>
        <v>0</v>
      </c>
      <c r="BJ6" s="61" t="n">
        <f aca="false">IFERROR(IF(SUMPRODUCT((LEN(BE6)-LEN(SUBSTITUTE(BE6," "&amp;L_Pending&amp;" "," ")))/(LEN(L_Pending)+1))&gt;SUMPRODUCT((LEN(BE6)-LEN(SUBSTITUTE(BE6," "&amp;L_PendNeg&amp;" "," ")))/(LEN(L_PendNeg)+1))+SUMPRODUCT((LEN(BE6)-LEN(SUBSTITUTE(BE6," "&amp;L_PendPrep&amp;" "," ")))/(LEN(L_PendPrep)+1)),1,0),1)</f>
        <v>0</v>
      </c>
      <c r="BK6" s="61" t="n">
        <f aca="false">IFERROR(IF(SUMPRODUCT((LEN(BF6)-LEN(SUBSTITUTE(BF6," "&amp;L_PendStrict&amp;" "," ")))/(LEN(L_PendStrict)+1))&gt;SUMPRODUCT((LEN(BF6)-LEN(SUBSTITUTE(BF6," "&amp;L_PendNeg&amp;" "," ")))/(LEN(L_PendNeg)+1)),1,0),1)</f>
        <v>0</v>
      </c>
      <c r="BL6" s="61" t="n">
        <f aca="false">IF(ISNA(MATCH(TRIM(S6),L_EvidenceType,0)),0,BZ6)</f>
        <v>0</v>
      </c>
      <c r="BM6" s="61" t="str">
        <f aca="false">SUBSTITUTE(SUBSTITUTE(SUBSTITUTE(SUBSTITUTE(SUBSTITUTE(SUBSTITUTE(SUBSTITUTE(SUBSTITUTE(SUBSTITUTE(LOWER(Z6&amp;""),"1","0"),"2","0"),"3","0"),"4","0"),"5","0"),"6","0"),"7","0"),"8","0"),"9","0")</f>
        <v/>
      </c>
      <c r="BN6" s="61" t="str">
        <f aca="false">SUBSTITUTE(SUBSTITUTE(SUBSTITUTE(SUBSTITUTE(SUBSTITUTE(SUBSTITUTE(SUBSTITUTE(SUBSTITUTE(SUBSTITUTE(SUBSTITUTE(SUBSTITUTE(SUBSTITUTE(SUBSTITUTE(SUBSTITUTE(SUBSTITUTE(SUBSTITUTE(SUBSTITUTE(SUBSTITUTE(SUBSTITUTE(SUBSTITUTE(SUBSTITUTE(SUBSTITUTE(SUBSTITUTE(SUBSTITUTE(SUBSTITUTE(BM6,"b","a"),"c","a"),"d","a"),"e","a"),"f","a"),"g","a"),"h","a"),"i","a"),"j","a"),"k","a"),"l","a"),"m","a"),"n","a"),"o","a"),"p","a"),"q","a"),"r","a"),"s","a"),"t","a"),"u","a"),"v","a"),"w","a"),"x","a"),"y","a"),"z","a")</f>
        <v/>
      </c>
      <c r="BO6" s="61" t="str">
        <f aca="false">SUBSTITUTE(SUBSTITUTE(SUBSTITUTE(SUBSTITUTE(SUBSTITUTE(SUBSTITUTE(SUBSTITUTE(SUBSTITUTE(SUBSTITUTE(LOWER(W6&amp;""),"1","0"),"2","0"),"3","0"),"4","0"),"5","0"),"6","0"),"7","0"),"8","0"),"9","0")</f>
        <v/>
      </c>
      <c r="BP6" s="61" t="str">
        <f aca="false">SUBSTITUTE(SUBSTITUTE(SUBSTITUTE(SUBSTITUTE(SUBSTITUTE(SUBSTITUTE(SUBSTITUTE(SUBSTITUTE(SUBSTITUTE(SUBSTITUTE(SUBSTITUTE(SUBSTITUTE(SUBSTITUTE(SUBSTITUTE(SUBSTITUTE(SUBSTITUTE(SUBSTITUTE(SUBSTITUTE(SUBSTITUTE(SUBSTITUTE(SUBSTITUTE(SUBSTITUTE(SUBSTITUTE(SUBSTITUTE(SUBSTITUTE(BO6,"b","a"),"c","a"),"d","a"),"e","a"),"f","a"),"g","a"),"h","a"),"i","a"),"j","a"),"k","a"),"l","a"),"m","a"),"n","a"),"o","a"),"p","a"),"q","a"),"r","a"),"s","a"),"t","a"),"u","a"),"v","a"),"w","a"),"x","a"),"y","a"),"z","a")</f>
        <v/>
      </c>
      <c r="BQ6" s="61" t="n">
        <f aca="false">IFERROR(IF(AND(ISERROR(SEARCH(" mh"," "&amp;LOWER(W6))),ISNA(MATCH(LEFT(TRIM(BP6),255),{"0000a","000a","00a","0000aa","000aa","00aa","0aa","0000aaa","000aaa","00a00","0a00","0000-0000","00:00","a00","a0","00.00.0000","00/00/0000","00-00-0000","0000-00-00","0000/00/00","0000.00.00","00.00.00","00/00/00","00-00-00","0.00.0000","0/00/0000","0-00-0000"},0)),ISNA(MATCH(LEFT(TRIM(CA6),255),{"0000a","000a","00a","0000aa","000aa","00aa","0aa","0000aaa","000aaa","00a00","0a00","0000-0000","00:00","a00","a0","00.00.0000","00/00/0000","00-00-0000","0000-00-00","0000/00/00","0000.00.00","00.00.00","00/00/00","00-00-00","0.00.0000","0/00/0000","0-00-0000"},0)),LEN(CB6)&gt;=3,NOT(OR(SUBSTITUTE(CB6,"0","")="",AND(LEN(CB6)&gt;=4,CB6=REPT(LEFT(CB6),LEN(CB6))),ISNUMBER(MATCH(CB6,{"123","1234","12345","123456","1234567","12345678","0123","01234","012345","98765","987654","54321"},0)),AND(LEN(CB6)=8,LEFT(CB6,3)="202"))),OR(AND((LEN(CA6)-LEN(SUBSTITUTE(CA6,"a","")))&gt;=1,SUMPRODUCT(--ISNUMBER(SEARCH({"a0","a-0","a_0","a/0","a.0","a#0","0a","0-a","0_a","0/a"},BP6)))&gt;0),ISNUMBER(SEARCH("000000",BP6)))),1,0),0)</f>
        <v>0</v>
      </c>
      <c r="BR6" s="61" t="n">
        <f aca="false">IFERROR(LEN(SUBSTITUTE(CC6," ",""))-SUMPRODUCT((LEN(CC6)-LEN(SUBSTITUTE(CC6," "&amp;L_Role&amp;" "," ")))/(LEN(L_Role)+1)*LEN(L_Role)),0)</f>
        <v>0</v>
      </c>
      <c r="BS6" s="61" t="n">
        <f aca="false">IFERROR(LEN(SUBSTITUTE(CD6," ",""))-SUMPRODUCT((LEN(CD6)-LEN(SUBSTITUTE(CD6," "&amp;L_Role&amp;" "," ")))/(LEN(L_Role)+1)*LEN(L_Role)),0)</f>
        <v>0</v>
      </c>
      <c r="BT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revision",""),"version",""),"jan",""),"feb",""),"mar",""),"apr",""),"may",""),"jun",""),"jul",""),"aug",""),"sep",""),"oct",""),"nov",""),"dec",""),"utc",""),"gmt",""),"myt",""),"bst",""),"rev",""),"ver",""),"b","a"),"c","a"),"d","a"),"e","a"),"f","a"),"g","a"),"h","a"),"i","a"),"j","a"),"k","a"),"l","a"),"m","a"),"n","a"),"o","a"),"p","a"),"q","a"),"r","a"),"s","a"),"t","a"),"u","a"),"v","a"),"w","a"),"x","a"),"y","a"),"z","a")</f>
        <v/>
      </c>
      <c r="BU6" s="61" t="str">
        <f aca="false">SUBSTITUTE(SUBSTITUTE(SUBSTITUTE(SUBSTITUTE(SUBSTITUTE(SUBSTITUTE(SUBSTITUTE(SUBSTITUTE(SUBSTITUTE(SUBSTITUTE(LEFT(BM6,FIND("0",BM6&amp;"0")-1),"-",""),"_",""),"/",""),".",""),"#",""),"\\",""),":","")," ",""),"(",""),")","")</f>
        <v/>
      </c>
      <c r="BV6" s="61" t="n">
        <f aca="false">0</f>
        <v>0</v>
      </c>
      <c r="BW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amp;""),"a",""),"b",""),"c",""),"d",""),"e",""),"f",""),"g",""),"h",""),"i",""),"j",""),"k",""),"l",""),"m",""),"n",""),"o",""),"p",""),"q",""),"r",""),"s",""),"t",""),"u",""),"v",""),"w",""),"x",""),"y",""),"z",""),"-",""),"_",""),"/",""),".",""),"#",""),"\\",""),":","")," ",""),"(",""),")","")</f>
        <v/>
      </c>
      <c r="BX6" s="61" t="str">
        <f aca="false">SUBSTITUTE(SUBSTITUTE(SUBSTITUTE(SUBSTITUTE(SUBSTITUTE(SUBSTITUTE(SUBSTITUTE(SUBSTITUTE(SUBSTITUTE(SUBSTITUTE(SUBSTITUTE(BM6,"0",""),"-",""),"_",""),"/",""),".",""),"#",""),"\\",""),":","")," ",""),"(",""),")","")</f>
        <v/>
      </c>
      <c r="BY6" s="62" t="n">
        <f aca="false">Q6-T7EarlyD*24/24</f>
        <v>46282.8576388889</v>
      </c>
      <c r="BZ6" s="61" t="n">
        <f aca="false">IFERROR(IF(IF(TRIM(S6)="Link / file path",AND(LEN(TRIM(Z6))&gt;=5,SUMPRODUCT(--ISNUMBER(SEARCH({"http","www.","\\",":\",".pdf",".jpg",".jpeg",".png",".heic",".xls",".doc",".msg",".eml",".ppt",".txt",".zip"},Z6)))&gt;0),AND(ISERROR(FIND(" ",TRIM(Z6))),NOT(OR(SUMPRODUCT(--ISNUMBER(FIND({",",";","&amp;","+"},Z6)))&gt;0,SUMPRODUCT(--ISNUMBER(SEARCH({"0/aa","0\\aa"},BN6)))&gt;0)),NOT(SUMPRODUCT(--ISNUMBER(SEARCH({"http","www.","\\",":\",".pdf",".jpg",".jpeg",".png",".heic",".xls",".doc",".msg",".eml",".ppt",".txt",".zip"},Z6)))&gt;0),NOT(LOWER(TRIM(Z6))=LOWER(Flights!$F$5)),ISNA(MATCH(BU6,{"mh","rev","revision","ver","version","v","r","a","b","seat","tray","row","gate","bay","stand","page","pg","item","line","no","cart","galley","flight","flt","table","box","bag","oven","etd","eta","std","sta","atd","ata","qty","pax","x","time","tel","ph","mob","day","wk","week","utc","gmt","myt","lt"},0)),NOT(OR(ISNUMBER(MATCH(LEFT(BN6,255),{"0000a","000a","00a","0000aa","000aa","00aa","0aa","0000aaa","000aaa","00a00","0a00","0000-0000","00:00","a00","a0","00.00.0000","00/00/0000","00-00-0000","0000-00-00","0000/00/00","0000.00.00","00.00.00","00/00/00","00-00-00","0.00.0000","0/00/0000","0-00-0000"},0)),ISNUMBER(MATCH(LEFT(BT6,255),{"0000a","000a","00a","0000aa","000aa","00aa","0aa","0000aaa","000aaa","00a00","0a00","0000-0000","00:00","a00","a0","00.00.0000","00/00/0000","00-00-0000","0000-00-00","0000/00/00","0000.00.00","00.00.00","00/00/00","00-00-00","0.00.0000","0/00/0000","0-00-0000"},0)))),NOT(OR(AND(BW6&lt;&gt;"",SUBSTITUTE(BW6,"0","")=""),AND(LEN(BW6)&gt;=4,BW6=REPT(LEFT(BW6),LEN(BW6))),ISNUMBER(MATCH(BW6,{"123","1234","12345","123456","1234567","12345678","0123","01234","012345","98765","987654","54321"},0)),ISNUMBER(MATCH(BX6,{"x","xx","xxx","xxxx","xxxxx","abc","abcd","nil","na","nan","test","tbc","tba","tbd","dummy","sample","example","eg","zz","zzz","none","null","xyz","qwe","asd","id","ref"},0)),AND(LEN(BW6)=8,BX6="",OR(LEFT(BW6,3)="202",ISNUMBER(MATCH(RIGHT(BW6,4),{"2025","2026","2027"},0)))))),OR(AND((LEN(BT6)-LEN(SUBSTITUTE(BT6,"a","")))&gt;=1,(LEN(BN6)-LEN(SUBSTITUTE(BN6,"0","")))&gt;=2,SUMPRODUCT(--ISNUMBER(SEARCH({"a0","a-0","a_0","a/0","a.0","a#0","0a","0-a","0_a","0/a"},BN6)))&gt;0),AND((LEN(BN6)-LEN(SUBSTITUTE(BN6,"a","")))=0,(LEN(BN6)-LEN(SUBSTITUTE(BN6,"0","")))&gt;=5)))),1,0),0)</f>
        <v>0</v>
      </c>
      <c r="CA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revision",""),"version",""),"jan",""),"feb",""),"mar",""),"apr",""),"may",""),"jun",""),"jul",""),"aug",""),"sep",""),"oct",""),"nov",""),"dec",""),"utc",""),"gmt",""),"myt",""),"bst",""),"rev",""),"ver",""),"b","a"),"c","a"),"d","a"),"e","a"),"f","a"),"g","a"),"h","a"),"i","a"),"j","a"),"k","a"),"l","a"),"m","a"),"n","a"),"o","a"),"p","a"),"q","a"),"r","a"),"s","a"),"t","a"),"u","a"),"v","a"),"w","a"),"x","a"),"y","a"),"z","a")</f>
        <v/>
      </c>
      <c r="CB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amp;""),"a",""),"b",""),"c",""),"d",""),"e",""),"f",""),"g",""),"h",""),"i",""),"j",""),"k",""),"l",""),"m",""),"n",""),"o",""),"p",""),"q",""),"r",""),"s",""),"t",""),"u",""),"v",""),"w",""),"x",""),"y",""),"z",""),"-",""),"_",""),"/",""),".",""),"#",""),"\\",""),":","")," ",""),"(",""),")","")</f>
        <v/>
      </c>
      <c r="CC6" s="0" t="str">
        <f aca="false">" "&amp;TRIM(SUBSTITUTE(SUBSTITUTE(SUBSTITUTE(SUBSTITUTE(SUBSTITUTE(SUBSTITUTE(SUBSTITUTE(SUBSTITUTE(SUBSTITUTE(SUBSTITUTE(SUBSTITUTE(SUBSTITUTE(SUBSTITUTE(SUBSTITUTE(SUBSTITUTE(SUBSTITUTE(SUBSTITUTE(SUBSTITUTE(SUBSTITUTE(SUBSTITUTE(SUBSTITUTE(SUBSTITUTE(SUBSTITUTE(SUBSTITUTE(LOWER(T6&amp;""),CHAR(10)," "),CHAR(13)," "),CHAR(9)," "),CHAR(160)," "),"."," "),","," "),"-"," "),"/"," "),"("," "),")"," "),":"," "),";"," "),"_"," "),"–"," "),"?"," "),"!"," "),"*"," "),"["," "),"]"," "),"'"," "),"#"," "),"+"," "),"&amp;"," "),"\"," "))&amp;" "</f>
        <v>  </v>
      </c>
      <c r="CD6" s="0" t="str">
        <f aca="false">" "&amp;TRIM(SUBSTITUTE(SUBSTITUTE(SUBSTITUTE(SUBSTITUTE(SUBSTITUTE(SUBSTITUTE(SUBSTITUTE(SUBSTITUTE(SUBSTITUTE(SUBSTITUTE(SUBSTITUTE(SUBSTITUTE(SUBSTITUTE(SUBSTITUTE(SUBSTITUTE(SUBSTITUTE(SUBSTITUTE(SUBSTITUTE(SUBSTITUTE(SUBSTITUTE(SUBSTITUTE(SUBSTITUTE(SUBSTITUTE(SUBSTITUTE(LOWER(AE6&amp;""),CHAR(10)," "),CHAR(13)," "),CHAR(9)," "),CHAR(160)," "),"."," "),","," "),"-"," "),"/"," "),"("," "),")"," "),":"," "),";"," "),"_"," "),"–"," "),"?"," "),"!"," "),"*"," "),"["," "),"]"," "),"'"," "),"#"," "),"+"," "),"&amp;"," "),"\"," "))&amp;" "</f>
        <v>  </v>
      </c>
      <c r="CE6" s="68" t="n">
        <f aca="false">IFERROR(IF(AND(LEN(AU6)&gt;0,LEN(AU6)=LEN(AX6),OR(TRIM(MID(SUBSTITUTE(TRIM(CC6)," ",REPT(" ",60)),1,60))="",ISNUMBER(SEARCH(" "&amp;TRIM(MID(SUBSTITUTE(TRIM(CC6)," ",REPT(" ",60)),1,60))&amp;" ",CD6))),OR(TRIM(MID(SUBSTITUTE(TRIM(CC6)," ",REPT(" ",60)),61,60))="",ISNUMBER(SEARCH(" "&amp;TRIM(MID(SUBSTITUTE(TRIM(CC6)," ",REPT(" ",60)),61,60))&amp;" ",CD6))),OR(TRIM(MID(SUBSTITUTE(TRIM(CC6)," ",REPT(" ",60)),121,60))="",ISNUMBER(SEARCH(" "&amp;TRIM(MID(SUBSTITUTE(TRIM(CC6)," ",REPT(" ",60)),121,60))&amp;" ",CD6)))),1,0),0)</f>
        <v>0</v>
      </c>
      <c r="CG6" s="68" t="n">
        <f aca="false">IFERROR(LEN(SUBSTITUTE(BF6," ",""))-SUMPRODUCT((LEN(BF6)-LEN(SUBSTITUTE(BF6," "&amp;L_NAFiller&amp;" "," ")))/(LEN(L_NAFiller)+1)*LEN(L_NAFiller)),0)</f>
        <v>0</v>
      </c>
    </row>
    <row r="7" customFormat="false" ht="41.25" hidden="false" customHeight="true" outlineLevel="0" collapsed="false">
      <c r="A7" s="57" t="s">
        <v>388</v>
      </c>
      <c r="B7" s="57" t="s">
        <v>183</v>
      </c>
      <c r="C7" s="57" t="str">
        <f aca="false">Flights!$F$5</f>
        <v>MH0001</v>
      </c>
      <c r="D7" s="58" t="n">
        <f aca="false">Flights!$D$5</f>
        <v>46303</v>
      </c>
      <c r="E7" s="57" t="str">
        <f aca="false">Flights!$G$5&amp;"-"&amp;Flights!$H$5</f>
        <v>LHR-KUL</v>
      </c>
      <c r="F7" s="57" t="str">
        <f aca="false">Flights!$K$5</f>
        <v>EY</v>
      </c>
      <c r="G7" s="57" t="s">
        <v>81</v>
      </c>
      <c r="H7" s="57" t="s">
        <v>378</v>
      </c>
      <c r="I7" s="57" t="s">
        <v>389</v>
      </c>
      <c r="J7" s="57" t="s">
        <v>390</v>
      </c>
      <c r="K7" s="67" t="s">
        <v>391</v>
      </c>
      <c r="L7" s="67" t="s">
        <v>382</v>
      </c>
      <c r="M7" s="67"/>
      <c r="N7" s="67" t="str">
        <f aca="false">IF(TRIM(Flights!$L$5)="A339","Required","N/A – rule")</f>
        <v>N/A – rule</v>
      </c>
      <c r="O7" s="67" t="s">
        <v>392</v>
      </c>
      <c r="P7" s="57" t="s">
        <v>186</v>
      </c>
      <c r="Q7" s="59" t="n">
        <f aca="false">ROUND((Flights!$AC$5)*1440,0)/1440</f>
        <v>46296.8576388889</v>
      </c>
      <c r="R7" s="59" t="n">
        <f aca="false">Q7+(IF(AND(INDEX(TZ_DSTS,MATCH(P7,TZ_STN,0))&lt;&gt;"",Q7&gt;=INDEX(TZ_DSTS,MATCH(P7,TZ_STN,0)),Q7&lt;INDEX(TZ_DSTE,MATCH(P7,TZ_STN,0))),INDEX(TZ_DST,MATCH(P7,TZ_STN,0)),INDEX(TZ_STD,MATCH(P7,TZ_STN,0))))/24</f>
        <v>46296.8993055556</v>
      </c>
      <c r="S7" s="60"/>
      <c r="T7" s="60"/>
      <c r="U7" s="60"/>
      <c r="V7" s="60"/>
      <c r="W7" s="61"/>
      <c r="X7" s="60"/>
      <c r="Y7" s="60"/>
      <c r="Z7" s="60"/>
      <c r="AA7" s="60"/>
      <c r="AB7" s="60"/>
      <c r="AC7" s="60"/>
      <c r="AD7" s="66"/>
      <c r="AE7" s="60"/>
      <c r="AF7" s="61" t="str">
        <f aca="false">IF(AND(ISNUMBER(X7),ISNUMBER(Y7)),Y7-X7,"")</f>
        <v/>
      </c>
      <c r="AG7" s="62" t="str">
        <f aca="false">IF(ISNUMBER(AD7),AD7-(IF(AND(INDEX(TZ_DSTS,MATCH(P7,TZ_STN,0))&lt;&gt;"",(AD7-INDEX(TZ_STD,MATCH(P7,TZ_STN,0))/24)&gt;=INDEX(TZ_DSTS,MATCH(P7,TZ_STN,0)),(AD7-INDEX(TZ_STD,MATCH(P7,TZ_STN,0))/24)&lt;INDEX(TZ_DSTE,MATCH(P7,TZ_STN,0))),INDEX(TZ_DST,MATCH(P7,TZ_STN,0)),INDEX(TZ_STD,MATCH(P7,TZ_STN,0))))/24,"")</f>
        <v/>
      </c>
      <c r="AH7" s="65" t="str">
        <f aca="false">IFERROR(IF(N7="N/A – rule",IF(OR(TRIM(U7)="",TRIM(U7)="N/A",TRIM(U7)="Not started"),"N/A – RULE","INVALID – this check does not apply to this aircraft: clear the status (or correct the fleet on Flights)"),IF(TRIM(U7)="N/A",IF(AT7=0,"INVALID – N/A not permitted for this check",IF(AND(TRIM(AB7)&lt;&gt;"",TRIM(AB7)&lt;&gt;"Closed"),"INVALID – corrective action still open",IF(AND(NOT(OR(LEN(AZ7)&lt;15,ISNUMBER(MATCH(AZ7,L_Placeholder,0)))),BK7=0,CG7&gt;=8,NOT(OR(LEN(AU7)&lt;2,ISNUMBER(MATCH(AU7,L_Placeholder,0)))),BR7&gt;=3,NOT(OR(LEN(AX7)&lt;2,ISNUMBER(MATCH(AX7,L_Placeholder,0)))),BS7&gt;=3,TRIM(AE7)&lt;&gt;TRIM(T7),AX7&lt;&gt;AU7,CE7=0),"N/A – JUSTIFIED","INVALID – N/A needs a real, settled reason (not 'not applicable' / 'as above' / TBC), a named PIC and a different named verifier"))),IF(OR(TRIM(U7)="Pass",TRIM(U7)="Pass after CA"),IF(NOT(ISNUMBER(AD7)),"INVALID – completion time missing",IF(OR(OR(LEN(AU7)&lt;2,ISNUMBER(MATCH(AU7,L_Placeholder,0))),BR7&lt;3),"INVALID – PIC missing or not a named person (a role such as QA / CSM is not a name)",IF(OR(LEN(AV7)&lt;2,ISNUMBER(MATCH(AV7,L_Placeholder,0))),"INVALID – result / assessment missing",IF(OR(OR(LEN(AW7)&lt;3,ISNUMBER(MATCH(AW7,L_Placeholder,0))),SUMPRODUCT(--ISNUMBER(SEARCH(" "&amp;L_EvidencePhrase&amp;" ",BD7)))&gt;0,BI7=1),"INVALID – evidence missing, placeholder or not yet on file",IF(ISNA(MATCH(TRIM(S7),L_EvidenceType,0)),"INVALID – choose the evidence type from the list (column S)",IF(BL7=0,"INVALID – evidence ID must be the record's own ID only (e.g. SF-2210, IMG_2231, 1045521); a link / file name needs type 'Link / file path'",IF(OR(OR(LEN(AX7)&lt;2,ISNUMBER(MATCH(AX7,L_Placeholder,0))),BS7&lt;3),"INVALID – verifier missing or not a named person (a role such as QA / CSM is not a name)",IF(OR(AX7=AU7,CE7=1,AND(LEN(AU7)&gt;=4,ISNUMBER(SEARCH(AU7,AX7))),AND(LEN(AX7)&gt;=4,ISNUMBER(SEARCH(AX7,AU7)))),"INVALID – verifier must be a different, named person (not the PIC or a role)",IF(BH7=1,"INVALID – result not yet available (awaiting / TBC)",IF(BG7=1,"INVALID – result describes a problem: record Fail, then Pass after CA (or reword if it is not a problem)",IF(BV7=1,"INVALID – wording says not on board: an on-board confirmation needs the item loaded",IF(AND(AQ7=1,OR(OR(LEN(AY7)&lt;3,ISNUMBER(MATCH(AY7,L_Placeholder,0))),BJ7=1,BQ7=0)),"INVALID – batch ID missing, placeholder or not an ID (e.g. PASB-261008-BC-017)",IF(AND(AR7=1,OR(NOT(ISNUMBER(X7)),NOT(ISNUMBER(Y7)))),"INVALID – expected/actual qty missing",IF(AND(AR7=1,OR(X7&lt;=0,Y7&lt;0)),"INVALID – expected qty must be above 0 and actual not negative",IF(BB7&lt;&gt;"",BB7,IF(AND(AS7=1,Documents!$J$5&lt;&gt;"ON FILE"),"INVALID – GLD not on file (Documents sheet)",IF(AND(AS7=2,Documents!$O$5&lt;&gt;"ON FILE"),"INVALID – menu checklist not on file (Documents sheet)",IF(AND(AS7=3,NOT(ISNUMBER(Flights!$AX$5))),"INVALID – enter carrying flight KUL departure (Flights AX)",IF(AND(AS7=3,OR(Flights!$AZ$5&gt;Flights!$AA$5,Flights!$AX$5&lt;Flights!$AA$5-3)),"INVALID – carrying flight (Flights AX) cannot arrive before this leg's STD, or is over 3 days early",IF(AG7&gt;AsOfUTC,"INVALID – completion time is in the future",IF(AND(ISNUMBER(BY7),AG7&lt;BY7),IF(H7="Physical uplift","INVALID – before uplift window (cannot confirm loading)","INVALID – before valid window"),IF(AG7&gt;Flights!$AA$5,"INVALID – completed after departure (cannot establish readiness)",IF(AND(H7="Preparation",AG7&gt;=IF(ISNUMBER(Flights!$BA$5),MIN(Flights!$BA$5,Flights!$AA$5),Flights!$AA$5)),"INVALID – completed after loading / departure (cannot establish readiness)",IF(AND(H7="Physical uplift",AG7&gt;Q7),"INVALID – recorded after the loading flight departed",IF(AG7&gt;Q7,"COMPLETE – LATE","COMPLETE"))))))))))))))))))))))))),IF(TRIM(U7)="Fail","FAIL – DISCREPANCY",IF(AND(TRIM(U7)&lt;&gt;"",TRIM(U7)&lt;&gt;"Not started",TRIM(U7)&lt;&gt;"In progress"),"INVALID – unrecognised status (use the list)",IF(AsOfUTC&gt;Q7,"OVERDUE",IF(N7="Clarification required","OPEN – CLARIFICATION","OPEN"))))))),"INVALID – error value in an input cell")</f>
        <v>N/A – RULE</v>
      </c>
      <c r="AI7" s="61" t="n">
        <f aca="false">IF(OR(AH7="N/A – RULE",AH7="N/A – JUSTIFIED"),0,1)</f>
        <v>0</v>
      </c>
      <c r="AJ7" s="61" t="n">
        <f aca="false">IF(LEFT(AH7,8)="COMPLETE",1,0)</f>
        <v>0</v>
      </c>
      <c r="AK7" s="61" t="n">
        <f aca="false">IF(AND(AI7=1,AJ7=0,AsOfUTC&gt;Q7),1,0)</f>
        <v>0</v>
      </c>
      <c r="AL7" s="61" t="n">
        <f aca="false">IFERROR(IF(AND(AI7=1,OR(TRIM(U7)="Fail",AND(TRIM(AB7)&lt;&gt;"",TRIM(AB7)&lt;&gt;"Closed"),AND(ISNUMBER(AF7),AF7&lt;&gt;0,TRIM(U7)&lt;&gt;"Pass after CA"))),1,0),1)</f>
        <v>0</v>
      </c>
      <c r="AM7" s="61" t="n">
        <f aca="false">IF(LEFT(AH7,7)="INVALID",1,0)</f>
        <v>0</v>
      </c>
      <c r="AN7" s="61" t="n">
        <f aca="false">IF(AND(N7="Clarification required",AI7=1,AJ7=0),1,0)</f>
        <v>0</v>
      </c>
      <c r="AO7" s="61" t="str">
        <f aca="false">IF(AK7=1,SUM(AK$5:AK7),"")</f>
        <v/>
      </c>
      <c r="AP7" s="61" t="str">
        <f aca="false">IF(AL7=1,SUM(AL$5:AL7),"")</f>
        <v/>
      </c>
      <c r="AQ7" s="61" t="n">
        <v>0</v>
      </c>
      <c r="AR7" s="61" t="n">
        <v>0</v>
      </c>
      <c r="AS7" s="61" t="n">
        <v>0</v>
      </c>
      <c r="AT7" s="61" t="n">
        <v>0</v>
      </c>
      <c r="AU7" s="61" t="str">
        <f aca="false">SUBSTITUTE(SUBSTITUTE(SUBSTITUTE(SUBSTITUTE(SUBSTITUTE(SUBSTITUTE(SUBSTITUTE(SUBSTITUTE(SUBSTITUTE(SUBSTITUTE(SUBSTITUTE(SUBSTITUTE(SUBSTITUTE(SUBSTITUTE(SUBSTITUTE(SUBSTITUTE(LOWER(T7&amp;""),CHAR(10),""),CHAR(13),""),CHAR(9),""),CHAR(160),"")," ",""),".",""),"-",""),"/",""),"?",""),"_",""),",",""),"[",""),"]",""),"(",""),")",""),"*","")</f>
        <v/>
      </c>
      <c r="AV7" s="61" t="str">
        <f aca="false">SUBSTITUTE(SUBSTITUTE(SUBSTITUTE(SUBSTITUTE(SUBSTITUTE(SUBSTITUTE(SUBSTITUTE(SUBSTITUTE(SUBSTITUTE(SUBSTITUTE(SUBSTITUTE(SUBSTITUTE(SUBSTITUTE(SUBSTITUTE(SUBSTITUTE(SUBSTITUTE(LOWER(V7&amp;""),CHAR(10),""),CHAR(13),""),CHAR(9),""),CHAR(160),"")," ",""),".",""),"-",""),"/",""),"?",""),"_",""),",",""),"[",""),"]",""),"(",""),")",""),"*","")</f>
        <v/>
      </c>
      <c r="AW7" s="61" t="str">
        <f aca="false">SUBSTITUTE(SUBSTITUTE(SUBSTITUTE(SUBSTITUTE(SUBSTITUTE(SUBSTITUTE(SUBSTITUTE(SUBSTITUTE(SUBSTITUTE(SUBSTITUTE(SUBSTITUTE(SUBSTITUTE(SUBSTITUTE(SUBSTITUTE(SUBSTITUTE(SUBSTITUTE(LOWER(Z7&amp;""),CHAR(10),""),CHAR(13),""),CHAR(9),""),CHAR(160),"")," ",""),".",""),"-",""),"/",""),"?",""),"_",""),",",""),"[",""),"]",""),"(",""),")",""),"*","")</f>
        <v/>
      </c>
      <c r="AX7" s="61" t="str">
        <f aca="false">SUBSTITUTE(SUBSTITUTE(SUBSTITUTE(SUBSTITUTE(SUBSTITUTE(SUBSTITUTE(SUBSTITUTE(SUBSTITUTE(SUBSTITUTE(SUBSTITUTE(SUBSTITUTE(SUBSTITUTE(SUBSTITUTE(SUBSTITUTE(SUBSTITUTE(SUBSTITUTE(LOWER(AE7&amp;""),CHAR(10),""),CHAR(13),""),CHAR(9),""),CHAR(160),"")," ",""),".",""),"-",""),"/",""),"?",""),"_",""),",",""),"[",""),"]",""),"(",""),")",""),"*","")</f>
        <v/>
      </c>
      <c r="AY7" s="61" t="str">
        <f aca="false">SUBSTITUTE(SUBSTITUTE(SUBSTITUTE(SUBSTITUTE(SUBSTITUTE(SUBSTITUTE(SUBSTITUTE(SUBSTITUTE(SUBSTITUTE(SUBSTITUTE(SUBSTITUTE(SUBSTITUTE(SUBSTITUTE(SUBSTITUTE(SUBSTITUTE(SUBSTITUTE(LOWER(W7&amp;""),CHAR(10),""),CHAR(13),""),CHAR(9),""),CHAR(160),"")," ",""),".",""),"-",""),"/",""),"?",""),"_",""),",",""),"[",""),"]",""),"(",""),")",""),"*","")</f>
        <v/>
      </c>
      <c r="AZ7" s="61" t="str">
        <f aca="false">SUBSTITUTE(SUBSTITUTE(SUBSTITUTE(SUBSTITUTE(SUBSTITUTE(SUBSTITUTE(SUBSTITUTE(SUBSTITUTE(SUBSTITUTE(SUBSTITUTE(SUBSTITUTE(SUBSTITUTE(SUBSTITUTE(SUBSTITUTE(SUBSTITUTE(SUBSTITUTE(LOWER(AC7&amp;""),CHAR(10),""),CHAR(13),""),CHAR(9),""),CHAR(160),"")," ",""),".",""),"-",""),"/",""),"?",""),"_",""),",",""),"[",""),"]",""),"(",""),")",""),"*","")</f>
        <v/>
      </c>
      <c r="BA7" s="61" t="str">
        <f aca="false">SUBSTITUTE(SUBSTITUTE(SUBSTITUTE(SUBSTITUTE(SUBSTITUTE(SUBSTITUTE(SUBSTITUTE(SUBSTITUTE(SUBSTITUTE(SUBSTITUTE(SUBSTITUTE(SUBSTITUTE(SUBSTITUTE(SUBSTITUTE(SUBSTITUTE(SUBSTITUTE(LOWER(AA7&amp;""),CHAR(10),""),CHAR(13),""),CHAR(9),""),CHAR(160),"")," ",""),".",""),"-",""),"/",""),"?",""),"_",""),",",""),"[",""),"]",""),"(",""),")",""),"*","")</f>
        <v/>
      </c>
      <c r="BB7" s="61" t="str">
        <f aca="false">IF(AND(TRIM(U7)="Pass",ISNUMBER(AF7)),IF(AF7&lt;&gt;0,"INVALID – qty variance: use Fail or Pass after CA",""),"")&amp;IF(AND(TRIM(U7)="Pass after CA",ISNUMBER(AF7)),IF(AF7&lt;&gt;0,"INVALID – after the corrective action the actual qty must equal expected (update Actual)",""),"")&amp;IF(AND(TRIM(U7)="Pass",TRIM(AB7)&lt;&gt;"",TRIM(AB7)&lt;&gt;"Closed"),"INVALID – corrective action not closed: use Fail, then Pass after CA","")&amp;IF(AND(LEN(BA7)&gt;=2,ISNA(MATCH(LEFT(BA7,255),L_Placeholder,0)),TRIM(AB7)=""),"INVALID – CA status missing for the recorded corrective action","")&amp;IF(AND(TRIM(U7)="Pass after CA",OR(OR(LEN(BA7)&lt;5,ISNUMBER(MATCH(BA7,L_Placeholder,0))),TRIM(AB7)&lt;&gt;"Closed")),"INVALID – corrective action not recorded/closed","")</f>
        <v/>
      </c>
      <c r="BC7" s="61" t="str">
        <f aca="false">" "&amp;TRIM(SUBSTITUTE(SUBSTITUTE(SUBSTITUTE(SUBSTITUTE(SUBSTITUTE(SUBSTITUTE(SUBSTITUTE(SUBSTITUTE(SUBSTITUTE(SUBSTITUTE(SUBSTITUTE(SUBSTITUTE(SUBSTITUTE(SUBSTITUTE(SUBSTITUTE(SUBSTITUTE(SUBSTITUTE(SUBSTITUTE(SUBSTITUTE(SUBSTITUTE(SUBSTITUTE(SUBSTITUTE(SUBSTITUTE(SUBSTITUTE(LOWER(V7&amp;""),CHAR(10)," "),CHAR(13)," "),CHAR(9)," "),CHAR(160)," "),"."," "),","," "),"-"," "),"/"," "),"("," "),")"," "),":"," "),";"," "),"_"," "),"–"," "),"?"," "),"!"," "),"*"," "),"["," "),"]"," "),"'"," "),"#"," "),"+"," "),"&amp;"," "),"\"," "))&amp;" "</f>
        <v>  </v>
      </c>
      <c r="BD7" s="61" t="str">
        <f aca="false">" "&amp;TRIM(SUBSTITUTE(SUBSTITUTE(SUBSTITUTE(SUBSTITUTE(SUBSTITUTE(SUBSTITUTE(SUBSTITUTE(SUBSTITUTE(SUBSTITUTE(SUBSTITUTE(SUBSTITUTE(SUBSTITUTE(SUBSTITUTE(SUBSTITUTE(SUBSTITUTE(SUBSTITUTE(SUBSTITUTE(SUBSTITUTE(SUBSTITUTE(SUBSTITUTE(SUBSTITUTE(SUBSTITUTE(SUBSTITUTE(SUBSTITUTE(LOWER(Z7&amp;""),CHAR(10)," "),CHAR(13)," "),CHAR(9)," "),CHAR(160)," "),"."," "),","," "),"-"," "),"/"," "),"("," "),")"," "),":"," "),";"," "),"_"," "),"–"," "),"?"," "),"!"," "),"*"," "),"["," "),"]"," "),"'"," "),"#"," "),"+"," "),"&amp;"," "),"\"," "))&amp;" "</f>
        <v>  </v>
      </c>
      <c r="BE7" s="61" t="str">
        <f aca="false">" "&amp;TRIM(SUBSTITUTE(SUBSTITUTE(SUBSTITUTE(SUBSTITUTE(SUBSTITUTE(SUBSTITUTE(SUBSTITUTE(SUBSTITUTE(SUBSTITUTE(SUBSTITUTE(SUBSTITUTE(SUBSTITUTE(SUBSTITUTE(SUBSTITUTE(SUBSTITUTE(SUBSTITUTE(SUBSTITUTE(SUBSTITUTE(SUBSTITUTE(SUBSTITUTE(SUBSTITUTE(SUBSTITUTE(SUBSTITUTE(SUBSTITUTE(LOWER(W7&amp;""),CHAR(10)," "),CHAR(13)," "),CHAR(9)," "),CHAR(160)," "),"."," "),","," "),"-"," "),"/"," "),"("," "),")"," "),":"," "),";"," "),"_"," "),"–"," "),"?"," "),"!"," "),"*"," "),"["," "),"]"," "),"'"," "),"#"," "),"+"," "),"&amp;"," "),"\"," "))&amp;" "</f>
        <v>  </v>
      </c>
      <c r="BF7" s="61" t="str">
        <f aca="false">" "&amp;TRIM(SUBSTITUTE(SUBSTITUTE(SUBSTITUTE(SUBSTITUTE(SUBSTITUTE(SUBSTITUTE(SUBSTITUTE(SUBSTITUTE(SUBSTITUTE(SUBSTITUTE(SUBSTITUTE(SUBSTITUTE(SUBSTITUTE(SUBSTITUTE(SUBSTITUTE(SUBSTITUTE(SUBSTITUTE(SUBSTITUTE(SUBSTITUTE(SUBSTITUTE(SUBSTITUTE(SUBSTITUTE(SUBSTITUTE(SUBSTITUTE(LOWER(AC7&amp;""),CHAR(10)," "),CHAR(13)," "),CHAR(9)," "),CHAR(160)," "),"."," "),","," "),"-"," "),"/"," "),"("," "),")"," "),":"," "),";"," "),"_"," "),"–"," "),"?"," "),"!"," "),"*"," "),"["," "),"]"," "),"'"," "),"#"," "),"+"," "),"&amp;"," "),"\"," "))&amp;" "</f>
        <v>  </v>
      </c>
      <c r="BG7" s="61" t="n">
        <f aca="false">IFERROR(IF(AND(TRIM(U7)="Pass",SUMPRODUCT((LEN(BC7)-LEN(SUBSTITUTE(BC7," "&amp;L_ResultBad&amp;" "," ")))/(LEN(L_ResultBad)+1))&gt;SUMPRODUCT((LEN(BC7)-LEN(SUBSTITUTE(BC7," "&amp;L_NegPhrase&amp;" "," ")))/(LEN(L_NegPhrase)+1))),1,0),0)</f>
        <v>0</v>
      </c>
      <c r="BH7" s="61" t="n">
        <f aca="false">IFERROR(IF(SUMPRODUCT((LEN(BC7)-LEN(SUBSTITUTE(BC7," "&amp;L_Pending&amp;" "," ")))/(LEN(L_Pending)+1))&gt;SUMPRODUCT((LEN(BC7)-LEN(SUBSTITUTE(BC7," "&amp;L_PendNeg&amp;" "," ")))/(LEN(L_PendNeg)+1))+SUMPRODUCT((LEN(BC7)-LEN(SUBSTITUTE(BC7," "&amp;L_PendPrep&amp;" "," ")))/(LEN(L_PendPrep)+1)),1,0),1)</f>
        <v>0</v>
      </c>
      <c r="BI7" s="61" t="n">
        <f aca="false">IFERROR(IF(SUMPRODUCT((LEN(BD7)-LEN(SUBSTITUTE(BD7," "&amp;L_PendStrict&amp;" "," ")))/(LEN(L_PendStrict)+1))&gt;SUMPRODUCT((LEN(BD7)-LEN(SUBSTITUTE(BD7," "&amp;L_PendNeg&amp;" "," ")))/(LEN(L_PendNeg)+1)),1,0),1)</f>
        <v>0</v>
      </c>
      <c r="BJ7" s="61" t="n">
        <f aca="false">IFERROR(IF(SUMPRODUCT((LEN(BE7)-LEN(SUBSTITUTE(BE7," "&amp;L_Pending&amp;" "," ")))/(LEN(L_Pending)+1))&gt;SUMPRODUCT((LEN(BE7)-LEN(SUBSTITUTE(BE7," "&amp;L_PendNeg&amp;" "," ")))/(LEN(L_PendNeg)+1))+SUMPRODUCT((LEN(BE7)-LEN(SUBSTITUTE(BE7," "&amp;L_PendPrep&amp;" "," ")))/(LEN(L_PendPrep)+1)),1,0),1)</f>
        <v>0</v>
      </c>
      <c r="BK7" s="61" t="n">
        <f aca="false">IFERROR(IF(SUMPRODUCT((LEN(BF7)-LEN(SUBSTITUTE(BF7," "&amp;L_PendStrict&amp;" "," ")))/(LEN(L_PendStrict)+1))&gt;SUMPRODUCT((LEN(BF7)-LEN(SUBSTITUTE(BF7," "&amp;L_PendNeg&amp;" "," ")))/(LEN(L_PendNeg)+1)),1,0),1)</f>
        <v>0</v>
      </c>
      <c r="BL7" s="61" t="n">
        <f aca="false">IF(ISNA(MATCH(TRIM(S7),L_EvidenceType,0)),0,BZ7)</f>
        <v>0</v>
      </c>
      <c r="BM7" s="61" t="str">
        <f aca="false">SUBSTITUTE(SUBSTITUTE(SUBSTITUTE(SUBSTITUTE(SUBSTITUTE(SUBSTITUTE(SUBSTITUTE(SUBSTITUTE(SUBSTITUTE(LOWER(Z7&amp;""),"1","0"),"2","0"),"3","0"),"4","0"),"5","0"),"6","0"),"7","0"),"8","0"),"9","0")</f>
        <v/>
      </c>
      <c r="BN7" s="61" t="str">
        <f aca="false">SUBSTITUTE(SUBSTITUTE(SUBSTITUTE(SUBSTITUTE(SUBSTITUTE(SUBSTITUTE(SUBSTITUTE(SUBSTITUTE(SUBSTITUTE(SUBSTITUTE(SUBSTITUTE(SUBSTITUTE(SUBSTITUTE(SUBSTITUTE(SUBSTITUTE(SUBSTITUTE(SUBSTITUTE(SUBSTITUTE(SUBSTITUTE(SUBSTITUTE(SUBSTITUTE(SUBSTITUTE(SUBSTITUTE(SUBSTITUTE(SUBSTITUTE(BM7,"b","a"),"c","a"),"d","a"),"e","a"),"f","a"),"g","a"),"h","a"),"i","a"),"j","a"),"k","a"),"l","a"),"m","a"),"n","a"),"o","a"),"p","a"),"q","a"),"r","a"),"s","a"),"t","a"),"u","a"),"v","a"),"w","a"),"x","a"),"y","a"),"z","a")</f>
        <v/>
      </c>
      <c r="BO7" s="61" t="str">
        <f aca="false">SUBSTITUTE(SUBSTITUTE(SUBSTITUTE(SUBSTITUTE(SUBSTITUTE(SUBSTITUTE(SUBSTITUTE(SUBSTITUTE(SUBSTITUTE(LOWER(W7&amp;""),"1","0"),"2","0"),"3","0"),"4","0"),"5","0"),"6","0"),"7","0"),"8","0"),"9","0")</f>
        <v/>
      </c>
      <c r="BP7" s="61" t="str">
        <f aca="false">SUBSTITUTE(SUBSTITUTE(SUBSTITUTE(SUBSTITUTE(SUBSTITUTE(SUBSTITUTE(SUBSTITUTE(SUBSTITUTE(SUBSTITUTE(SUBSTITUTE(SUBSTITUTE(SUBSTITUTE(SUBSTITUTE(SUBSTITUTE(SUBSTITUTE(SUBSTITUTE(SUBSTITUTE(SUBSTITUTE(SUBSTITUTE(SUBSTITUTE(SUBSTITUTE(SUBSTITUTE(SUBSTITUTE(SUBSTITUTE(SUBSTITUTE(BO7,"b","a"),"c","a"),"d","a"),"e","a"),"f","a"),"g","a"),"h","a"),"i","a"),"j","a"),"k","a"),"l","a"),"m","a"),"n","a"),"o","a"),"p","a"),"q","a"),"r","a"),"s","a"),"t","a"),"u","a"),"v","a"),"w","a"),"x","a"),"y","a"),"z","a")</f>
        <v/>
      </c>
      <c r="BQ7" s="61" t="n">
        <f aca="false">IFERROR(IF(AND(ISERROR(SEARCH(" mh"," "&amp;LOWER(W7))),ISNA(MATCH(LEFT(TRIM(BP7),255),{"0000a","000a","00a","0000aa","000aa","00aa","0aa","0000aaa","000aaa","00a00","0a00","0000-0000","00:00","a00","a0","00.00.0000","00/00/0000","00-00-0000","0000-00-00","0000/00/00","0000.00.00","00.00.00","00/00/00","00-00-00","0.00.0000","0/00/0000","0-00-0000"},0)),ISNA(MATCH(LEFT(TRIM(CA7),255),{"0000a","000a","00a","0000aa","000aa","00aa","0aa","0000aaa","000aaa","00a00","0a00","0000-0000","00:00","a00","a0","00.00.0000","00/00/0000","00-00-0000","0000-00-00","0000/00/00","0000.00.00","00.00.00","00/00/00","00-00-00","0.00.0000","0/00/0000","0-00-0000"},0)),LEN(CB7)&gt;=3,NOT(OR(SUBSTITUTE(CB7,"0","")="",AND(LEN(CB7)&gt;=4,CB7=REPT(LEFT(CB7),LEN(CB7))),ISNUMBER(MATCH(CB7,{"123","1234","12345","123456","1234567","12345678","0123","01234","012345","98765","987654","54321"},0)),AND(LEN(CB7)=8,LEFT(CB7,3)="202"))),OR(AND((LEN(CA7)-LEN(SUBSTITUTE(CA7,"a","")))&gt;=1,SUMPRODUCT(--ISNUMBER(SEARCH({"a0","a-0","a_0","a/0","a.0","a#0","0a","0-a","0_a","0/a"},BP7)))&gt;0),ISNUMBER(SEARCH("000000",BP7)))),1,0),0)</f>
        <v>0</v>
      </c>
      <c r="BR7" s="61" t="n">
        <f aca="false">IFERROR(LEN(SUBSTITUTE(CC7," ",""))-SUMPRODUCT((LEN(CC7)-LEN(SUBSTITUTE(CC7," "&amp;L_Role&amp;" "," ")))/(LEN(L_Role)+1)*LEN(L_Role)),0)</f>
        <v>0</v>
      </c>
      <c r="BS7" s="61" t="n">
        <f aca="false">IFERROR(LEN(SUBSTITUTE(CD7," ",""))-SUMPRODUCT((LEN(CD7)-LEN(SUBSTITUTE(CD7," "&amp;L_Role&amp;" "," ")))/(LEN(L_Role)+1)*LEN(L_Role)),0)</f>
        <v>0</v>
      </c>
      <c r="BT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revision",""),"version",""),"jan",""),"feb",""),"mar",""),"apr",""),"may",""),"jun",""),"jul",""),"aug",""),"sep",""),"oct",""),"nov",""),"dec",""),"utc",""),"gmt",""),"myt",""),"bst",""),"rev",""),"ver",""),"b","a"),"c","a"),"d","a"),"e","a"),"f","a"),"g","a"),"h","a"),"i","a"),"j","a"),"k","a"),"l","a"),"m","a"),"n","a"),"o","a"),"p","a"),"q","a"),"r","a"),"s","a"),"t","a"),"u","a"),"v","a"),"w","a"),"x","a"),"y","a"),"z","a")</f>
        <v/>
      </c>
      <c r="BU7" s="61" t="str">
        <f aca="false">SUBSTITUTE(SUBSTITUTE(SUBSTITUTE(SUBSTITUTE(SUBSTITUTE(SUBSTITUTE(SUBSTITUTE(SUBSTITUTE(SUBSTITUTE(SUBSTITUTE(LEFT(BM7,FIND("0",BM7&amp;"0")-1),"-",""),"_",""),"/",""),".",""),"#",""),"\\",""),":","")," ",""),"(",""),")","")</f>
        <v/>
      </c>
      <c r="BV7" s="61" t="n">
        <f aca="false">0</f>
        <v>0</v>
      </c>
      <c r="BW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amp;""),"a",""),"b",""),"c",""),"d",""),"e",""),"f",""),"g",""),"h",""),"i",""),"j",""),"k",""),"l",""),"m",""),"n",""),"o",""),"p",""),"q",""),"r",""),"s",""),"t",""),"u",""),"v",""),"w",""),"x",""),"y",""),"z",""),"-",""),"_",""),"/",""),".",""),"#",""),"\\",""),":","")," ",""),"(",""),")","")</f>
        <v/>
      </c>
      <c r="BX7" s="61" t="str">
        <f aca="false">SUBSTITUTE(SUBSTITUTE(SUBSTITUTE(SUBSTITUTE(SUBSTITUTE(SUBSTITUTE(SUBSTITUTE(SUBSTITUTE(SUBSTITUTE(SUBSTITUTE(SUBSTITUTE(BM7,"0",""),"-",""),"_",""),"/",""),".",""),"#",""),"\\",""),":","")," ",""),"(",""),")","")</f>
        <v/>
      </c>
      <c r="BY7" s="62" t="n">
        <f aca="false">Q7-T7EarlyD*24/24</f>
        <v>46282.8576388889</v>
      </c>
      <c r="BZ7" s="61" t="n">
        <f aca="false">IFERROR(IF(IF(TRIM(S7)="Link / file path",AND(LEN(TRIM(Z7))&gt;=5,SUMPRODUCT(--ISNUMBER(SEARCH({"http","www.","\\",":\",".pdf",".jpg",".jpeg",".png",".heic",".xls",".doc",".msg",".eml",".ppt",".txt",".zip"},Z7)))&gt;0),AND(ISERROR(FIND(" ",TRIM(Z7))),NOT(OR(SUMPRODUCT(--ISNUMBER(FIND({",",";","&amp;","+"},Z7)))&gt;0,SUMPRODUCT(--ISNUMBER(SEARCH({"0/aa","0\\aa"},BN7)))&gt;0)),NOT(SUMPRODUCT(--ISNUMBER(SEARCH({"http","www.","\\",":\",".pdf",".jpg",".jpeg",".png",".heic",".xls",".doc",".msg",".eml",".ppt",".txt",".zip"},Z7)))&gt;0),NOT(LOWER(TRIM(Z7))=LOWER(Flights!$F$5)),ISNA(MATCH(BU7,{"mh","rev","revision","ver","version","v","r","a","b","seat","tray","row","gate","bay","stand","page","pg","item","line","no","cart","galley","flight","flt","table","box","bag","oven","etd","eta","std","sta","atd","ata","qty","pax","x","time","tel","ph","mob","day","wk","week","utc","gmt","myt","lt"},0)),NOT(OR(ISNUMBER(MATCH(LEFT(BN7,255),{"0000a","000a","00a","0000aa","000aa","00aa","0aa","0000aaa","000aaa","00a00","0a00","0000-0000","00:00","a00","a0","00.00.0000","00/00/0000","00-00-0000","0000-00-00","0000/00/00","0000.00.00","00.00.00","00/00/00","00-00-00","0.00.0000","0/00/0000","0-00-0000"},0)),ISNUMBER(MATCH(LEFT(BT7,255),{"0000a","000a","00a","0000aa","000aa","00aa","0aa","0000aaa","000aaa","00a00","0a00","0000-0000","00:00","a00","a0","00.00.0000","00/00/0000","00-00-0000","0000-00-00","0000/00/00","0000.00.00","00.00.00","00/00/00","00-00-00","0.00.0000","0/00/0000","0-00-0000"},0)))),NOT(OR(AND(BW7&lt;&gt;"",SUBSTITUTE(BW7,"0","")=""),AND(LEN(BW7)&gt;=4,BW7=REPT(LEFT(BW7),LEN(BW7))),ISNUMBER(MATCH(BW7,{"123","1234","12345","123456","1234567","12345678","0123","01234","012345","98765","987654","54321"},0)),ISNUMBER(MATCH(BX7,{"x","xx","xxx","xxxx","xxxxx","abc","abcd","nil","na","nan","test","tbc","tba","tbd","dummy","sample","example","eg","zz","zzz","none","null","xyz","qwe","asd","id","ref"},0)),AND(LEN(BW7)=8,BX7="",OR(LEFT(BW7,3)="202",ISNUMBER(MATCH(RIGHT(BW7,4),{"2025","2026","2027"},0)))))),OR(AND((LEN(BT7)-LEN(SUBSTITUTE(BT7,"a","")))&gt;=1,(LEN(BN7)-LEN(SUBSTITUTE(BN7,"0","")))&gt;=2,SUMPRODUCT(--ISNUMBER(SEARCH({"a0","a-0","a_0","a/0","a.0","a#0","0a","0-a","0_a","0/a"},BN7)))&gt;0),AND((LEN(BN7)-LEN(SUBSTITUTE(BN7,"a","")))=0,(LEN(BN7)-LEN(SUBSTITUTE(BN7,"0","")))&gt;=5)))),1,0),0)</f>
        <v>0</v>
      </c>
      <c r="CA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revision",""),"version",""),"jan",""),"feb",""),"mar",""),"apr",""),"may",""),"jun",""),"jul",""),"aug",""),"sep",""),"oct",""),"nov",""),"dec",""),"utc",""),"gmt",""),"myt",""),"bst",""),"rev",""),"ver",""),"b","a"),"c","a"),"d","a"),"e","a"),"f","a"),"g","a"),"h","a"),"i","a"),"j","a"),"k","a"),"l","a"),"m","a"),"n","a"),"o","a"),"p","a"),"q","a"),"r","a"),"s","a"),"t","a"),"u","a"),"v","a"),"w","a"),"x","a"),"y","a"),"z","a")</f>
        <v/>
      </c>
      <c r="CB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amp;""),"a",""),"b",""),"c",""),"d",""),"e",""),"f",""),"g",""),"h",""),"i",""),"j",""),"k",""),"l",""),"m",""),"n",""),"o",""),"p",""),"q",""),"r",""),"s",""),"t",""),"u",""),"v",""),"w",""),"x",""),"y",""),"z",""),"-",""),"_",""),"/",""),".",""),"#",""),"\\",""),":","")," ",""),"(",""),")","")</f>
        <v/>
      </c>
      <c r="CC7" s="0" t="str">
        <f aca="false">" "&amp;TRIM(SUBSTITUTE(SUBSTITUTE(SUBSTITUTE(SUBSTITUTE(SUBSTITUTE(SUBSTITUTE(SUBSTITUTE(SUBSTITUTE(SUBSTITUTE(SUBSTITUTE(SUBSTITUTE(SUBSTITUTE(SUBSTITUTE(SUBSTITUTE(SUBSTITUTE(SUBSTITUTE(SUBSTITUTE(SUBSTITUTE(SUBSTITUTE(SUBSTITUTE(SUBSTITUTE(SUBSTITUTE(SUBSTITUTE(SUBSTITUTE(LOWER(T7&amp;""),CHAR(10)," "),CHAR(13)," "),CHAR(9)," "),CHAR(160)," "),"."," "),","," "),"-"," "),"/"," "),"("," "),")"," "),":"," "),";"," "),"_"," "),"–"," "),"?"," "),"!"," "),"*"," "),"["," "),"]"," "),"'"," "),"#"," "),"+"," "),"&amp;"," "),"\"," "))&amp;" "</f>
        <v>  </v>
      </c>
      <c r="CD7" s="0" t="str">
        <f aca="false">" "&amp;TRIM(SUBSTITUTE(SUBSTITUTE(SUBSTITUTE(SUBSTITUTE(SUBSTITUTE(SUBSTITUTE(SUBSTITUTE(SUBSTITUTE(SUBSTITUTE(SUBSTITUTE(SUBSTITUTE(SUBSTITUTE(SUBSTITUTE(SUBSTITUTE(SUBSTITUTE(SUBSTITUTE(SUBSTITUTE(SUBSTITUTE(SUBSTITUTE(SUBSTITUTE(SUBSTITUTE(SUBSTITUTE(SUBSTITUTE(SUBSTITUTE(LOWER(AE7&amp;""),CHAR(10)," "),CHAR(13)," "),CHAR(9)," "),CHAR(160)," "),"."," "),","," "),"-"," "),"/"," "),"("," "),")"," "),":"," "),";"," "),"_"," "),"–"," "),"?"," "),"!"," "),"*"," "),"["," "),"]"," "),"'"," "),"#"," "),"+"," "),"&amp;"," "),"\"," "))&amp;" "</f>
        <v>  </v>
      </c>
      <c r="CE7" s="68" t="n">
        <f aca="false">IFERROR(IF(AND(LEN(AU7)&gt;0,LEN(AU7)=LEN(AX7),OR(TRIM(MID(SUBSTITUTE(TRIM(CC7)," ",REPT(" ",60)),1,60))="",ISNUMBER(SEARCH(" "&amp;TRIM(MID(SUBSTITUTE(TRIM(CC7)," ",REPT(" ",60)),1,60))&amp;" ",CD7))),OR(TRIM(MID(SUBSTITUTE(TRIM(CC7)," ",REPT(" ",60)),61,60))="",ISNUMBER(SEARCH(" "&amp;TRIM(MID(SUBSTITUTE(TRIM(CC7)," ",REPT(" ",60)),61,60))&amp;" ",CD7))),OR(TRIM(MID(SUBSTITUTE(TRIM(CC7)," ",REPT(" ",60)),121,60))="",ISNUMBER(SEARCH(" "&amp;TRIM(MID(SUBSTITUTE(TRIM(CC7)," ",REPT(" ",60)),121,60))&amp;" ",CD7)))),1,0),0)</f>
        <v>0</v>
      </c>
      <c r="CG7" s="68" t="n">
        <f aca="false">IFERROR(LEN(SUBSTITUTE(BF7," ",""))-SUMPRODUCT((LEN(BF7)-LEN(SUBSTITUTE(BF7," "&amp;L_NAFiller&amp;" "," ")))/(LEN(L_NAFiller)+1)*LEN(L_NAFiller)),0)</f>
        <v>0</v>
      </c>
    </row>
    <row r="8" customFormat="false" ht="39.75" hidden="false" customHeight="true" outlineLevel="0" collapsed="false">
      <c r="A8" s="57" t="s">
        <v>393</v>
      </c>
      <c r="B8" s="57" t="s">
        <v>183</v>
      </c>
      <c r="C8" s="57" t="str">
        <f aca="false">Flights!$F$5</f>
        <v>MH0001</v>
      </c>
      <c r="D8" s="58" t="n">
        <f aca="false">Flights!$D$5</f>
        <v>46303</v>
      </c>
      <c r="E8" s="57" t="str">
        <f aca="false">Flights!$G$5&amp;"-"&amp;Flights!$H$5</f>
        <v>LHR-KUL</v>
      </c>
      <c r="F8" s="57" t="str">
        <f aca="false">Flights!$K$5</f>
        <v>EY</v>
      </c>
      <c r="G8" s="57" t="s">
        <v>81</v>
      </c>
      <c r="H8" s="57" t="s">
        <v>378</v>
      </c>
      <c r="I8" s="57" t="s">
        <v>394</v>
      </c>
      <c r="J8" s="57" t="s">
        <v>395</v>
      </c>
      <c r="K8" s="67" t="s">
        <v>396</v>
      </c>
      <c r="L8" s="67" t="s">
        <v>382</v>
      </c>
      <c r="M8" s="67"/>
      <c r="N8" s="67" t="s">
        <v>383</v>
      </c>
      <c r="O8" s="67"/>
      <c r="P8" s="57" t="s">
        <v>186</v>
      </c>
      <c r="Q8" s="59" t="n">
        <f aca="false">ROUND((Flights!$AC$5)*1440,0)/1440</f>
        <v>46296.8576388889</v>
      </c>
      <c r="R8" s="59" t="n">
        <f aca="false">Q8+(IF(AND(INDEX(TZ_DSTS,MATCH(P8,TZ_STN,0))&lt;&gt;"",Q8&gt;=INDEX(TZ_DSTS,MATCH(P8,TZ_STN,0)),Q8&lt;INDEX(TZ_DSTE,MATCH(P8,TZ_STN,0))),INDEX(TZ_DST,MATCH(P8,TZ_STN,0)),INDEX(TZ_STD,MATCH(P8,TZ_STN,0))))/24</f>
        <v>46296.8993055556</v>
      </c>
      <c r="S8" s="60"/>
      <c r="T8" s="60"/>
      <c r="U8" s="60"/>
      <c r="V8" s="60"/>
      <c r="W8" s="61"/>
      <c r="X8" s="60"/>
      <c r="Y8" s="60"/>
      <c r="Z8" s="60"/>
      <c r="AA8" s="60"/>
      <c r="AB8" s="60"/>
      <c r="AC8" s="60"/>
      <c r="AD8" s="66"/>
      <c r="AE8" s="60"/>
      <c r="AF8" s="61" t="str">
        <f aca="false">IF(AND(ISNUMBER(X8),ISNUMBER(Y8)),Y8-X8,"")</f>
        <v/>
      </c>
      <c r="AG8" s="62" t="str">
        <f aca="false">IF(ISNUMBER(AD8),AD8-(IF(AND(INDEX(TZ_DSTS,MATCH(P8,TZ_STN,0))&lt;&gt;"",(AD8-INDEX(TZ_STD,MATCH(P8,TZ_STN,0))/24)&gt;=INDEX(TZ_DSTS,MATCH(P8,TZ_STN,0)),(AD8-INDEX(TZ_STD,MATCH(P8,TZ_STN,0))/24)&lt;INDEX(TZ_DSTE,MATCH(P8,TZ_STN,0))),INDEX(TZ_DST,MATCH(P8,TZ_STN,0)),INDEX(TZ_STD,MATCH(P8,TZ_STN,0))))/24,"")</f>
        <v/>
      </c>
      <c r="AH8" s="65" t="str">
        <f aca="false">IFERROR(IF(N8="N/A – rule",IF(OR(TRIM(U8)="",TRIM(U8)="N/A",TRIM(U8)="Not started"),"N/A – RULE","INVALID – this check does not apply to this aircraft: clear the status (or correct the fleet on Flights)"),IF(TRIM(U8)="N/A",IF(AT8=0,"INVALID – N/A not permitted for this check",IF(AND(TRIM(AB8)&lt;&gt;"",TRIM(AB8)&lt;&gt;"Closed"),"INVALID – corrective action still open",IF(AND(NOT(OR(LEN(AZ8)&lt;15,ISNUMBER(MATCH(AZ8,L_Placeholder,0)))),BK8=0,CG8&gt;=8,NOT(OR(LEN(AU8)&lt;2,ISNUMBER(MATCH(AU8,L_Placeholder,0)))),BR8&gt;=3,NOT(OR(LEN(AX8)&lt;2,ISNUMBER(MATCH(AX8,L_Placeholder,0)))),BS8&gt;=3,TRIM(AE8)&lt;&gt;TRIM(T8),AX8&lt;&gt;AU8,CE8=0),"N/A – JUSTIFIED","INVALID – N/A needs a real, settled reason (not 'not applicable' / 'as above' / TBC), a named PIC and a different named verifier"))),IF(OR(TRIM(U8)="Pass",TRIM(U8)="Pass after CA"),IF(NOT(ISNUMBER(AD8)),"INVALID – completion time missing",IF(OR(OR(LEN(AU8)&lt;2,ISNUMBER(MATCH(AU8,L_Placeholder,0))),BR8&lt;3),"INVALID – PIC missing or not a named person (a role such as QA / CSM is not a name)",IF(OR(LEN(AV8)&lt;2,ISNUMBER(MATCH(AV8,L_Placeholder,0))),"INVALID – result / assessment missing",IF(OR(OR(LEN(AW8)&lt;3,ISNUMBER(MATCH(AW8,L_Placeholder,0))),SUMPRODUCT(--ISNUMBER(SEARCH(" "&amp;L_EvidencePhrase&amp;" ",BD8)))&gt;0,BI8=1),"INVALID – evidence missing, placeholder or not yet on file",IF(ISNA(MATCH(TRIM(S8),L_EvidenceType,0)),"INVALID – choose the evidence type from the list (column S)",IF(BL8=0,"INVALID – evidence ID must be the record's own ID only (e.g. SF-2210, IMG_2231, 1045521); a link / file name needs type 'Link / file path'",IF(OR(OR(LEN(AX8)&lt;2,ISNUMBER(MATCH(AX8,L_Placeholder,0))),BS8&lt;3),"INVALID – verifier missing or not a named person (a role such as QA / CSM is not a name)",IF(OR(AX8=AU8,CE8=1,AND(LEN(AU8)&gt;=4,ISNUMBER(SEARCH(AU8,AX8))),AND(LEN(AX8)&gt;=4,ISNUMBER(SEARCH(AX8,AU8)))),"INVALID – verifier must be a different, named person (not the PIC or a role)",IF(BH8=1,"INVALID – result not yet available (awaiting / TBC)",IF(BG8=1,"INVALID – result describes a problem: record Fail, then Pass after CA (or reword if it is not a problem)",IF(BV8=1,"INVALID – wording says not on board: an on-board confirmation needs the item loaded",IF(AND(AQ8=1,OR(OR(LEN(AY8)&lt;3,ISNUMBER(MATCH(AY8,L_Placeholder,0))),BJ8=1,BQ8=0)),"INVALID – batch ID missing, placeholder or not an ID (e.g. PASB-261008-BC-017)",IF(AND(AR8=1,OR(NOT(ISNUMBER(X8)),NOT(ISNUMBER(Y8)))),"INVALID – expected/actual qty missing",IF(AND(AR8=1,OR(X8&lt;=0,Y8&lt;0)),"INVALID – expected qty must be above 0 and actual not negative",IF(BB8&lt;&gt;"",BB8,IF(AND(AS8=1,Documents!$J$5&lt;&gt;"ON FILE"),"INVALID – GLD not on file (Documents sheet)",IF(AND(AS8=2,Documents!$O$5&lt;&gt;"ON FILE"),"INVALID – menu checklist not on file (Documents sheet)",IF(AND(AS8=3,NOT(ISNUMBER(Flights!$AX$5))),"INVALID – enter carrying flight KUL departure (Flights AX)",IF(AND(AS8=3,OR(Flights!$AZ$5&gt;Flights!$AA$5,Flights!$AX$5&lt;Flights!$AA$5-3)),"INVALID – carrying flight (Flights AX) cannot arrive before this leg's STD, or is over 3 days early",IF(AG8&gt;AsOfUTC,"INVALID – completion time is in the future",IF(AND(ISNUMBER(BY8),AG8&lt;BY8),IF(H8="Physical uplift","INVALID – before uplift window (cannot confirm loading)","INVALID – before valid window"),IF(AG8&gt;Flights!$AA$5,"INVALID – completed after departure (cannot establish readiness)",IF(AND(H8="Preparation",AG8&gt;=IF(ISNUMBER(Flights!$BA$5),MIN(Flights!$BA$5,Flights!$AA$5),Flights!$AA$5)),"INVALID – completed after loading / departure (cannot establish readiness)",IF(AND(H8="Physical uplift",AG8&gt;Q8),"INVALID – recorded after the loading flight departed",IF(AG8&gt;Q8,"COMPLETE – LATE","COMPLETE"))))))))))))))))))))))))),IF(TRIM(U8)="Fail","FAIL – DISCREPANCY",IF(AND(TRIM(U8)&lt;&gt;"",TRIM(U8)&lt;&gt;"Not started",TRIM(U8)&lt;&gt;"In progress"),"INVALID – unrecognised status (use the list)",IF(AsOfUTC&gt;Q8,"OVERDUE",IF(N8="Clarification required","OPEN – CLARIFICATION","OPEN"))))))),"INVALID – error value in an input cell")</f>
        <v>OPEN</v>
      </c>
      <c r="AI8" s="61" t="n">
        <f aca="false">IF(OR(AH8="N/A – RULE",AH8="N/A – JUSTIFIED"),0,1)</f>
        <v>1</v>
      </c>
      <c r="AJ8" s="61" t="n">
        <f aca="false">IF(LEFT(AH8,8)="COMPLETE",1,0)</f>
        <v>0</v>
      </c>
      <c r="AK8" s="61" t="n">
        <f aca="false">IF(AND(AI8=1,AJ8=0,AsOfUTC&gt;Q8),1,0)</f>
        <v>0</v>
      </c>
      <c r="AL8" s="61" t="n">
        <f aca="false">IFERROR(IF(AND(AI8=1,OR(TRIM(U8)="Fail",AND(TRIM(AB8)&lt;&gt;"",TRIM(AB8)&lt;&gt;"Closed"),AND(ISNUMBER(AF8),AF8&lt;&gt;0,TRIM(U8)&lt;&gt;"Pass after CA"))),1,0),1)</f>
        <v>0</v>
      </c>
      <c r="AM8" s="61" t="n">
        <f aca="false">IF(LEFT(AH8,7)="INVALID",1,0)</f>
        <v>0</v>
      </c>
      <c r="AN8" s="61" t="n">
        <f aca="false">IF(AND(N8="Clarification required",AI8=1,AJ8=0),1,0)</f>
        <v>0</v>
      </c>
      <c r="AO8" s="61" t="str">
        <f aca="false">IF(AK8=1,SUM(AK$5:AK8),"")</f>
        <v/>
      </c>
      <c r="AP8" s="61" t="str">
        <f aca="false">IF(AL8=1,SUM(AL$5:AL8),"")</f>
        <v/>
      </c>
      <c r="AQ8" s="61" t="n">
        <v>0</v>
      </c>
      <c r="AR8" s="61" t="n">
        <v>0</v>
      </c>
      <c r="AS8" s="61" t="n">
        <v>0</v>
      </c>
      <c r="AT8" s="61" t="n">
        <v>0</v>
      </c>
      <c r="AU8" s="61" t="str">
        <f aca="false">SUBSTITUTE(SUBSTITUTE(SUBSTITUTE(SUBSTITUTE(SUBSTITUTE(SUBSTITUTE(SUBSTITUTE(SUBSTITUTE(SUBSTITUTE(SUBSTITUTE(SUBSTITUTE(SUBSTITUTE(SUBSTITUTE(SUBSTITUTE(SUBSTITUTE(SUBSTITUTE(LOWER(T8&amp;""),CHAR(10),""),CHAR(13),""),CHAR(9),""),CHAR(160),"")," ",""),".",""),"-",""),"/",""),"?",""),"_",""),",",""),"[",""),"]",""),"(",""),")",""),"*","")</f>
        <v/>
      </c>
      <c r="AV8" s="61" t="str">
        <f aca="false">SUBSTITUTE(SUBSTITUTE(SUBSTITUTE(SUBSTITUTE(SUBSTITUTE(SUBSTITUTE(SUBSTITUTE(SUBSTITUTE(SUBSTITUTE(SUBSTITUTE(SUBSTITUTE(SUBSTITUTE(SUBSTITUTE(SUBSTITUTE(SUBSTITUTE(SUBSTITUTE(LOWER(V8&amp;""),CHAR(10),""),CHAR(13),""),CHAR(9),""),CHAR(160),"")," ",""),".",""),"-",""),"/",""),"?",""),"_",""),",",""),"[",""),"]",""),"(",""),")",""),"*","")</f>
        <v/>
      </c>
      <c r="AW8" s="61" t="str">
        <f aca="false">SUBSTITUTE(SUBSTITUTE(SUBSTITUTE(SUBSTITUTE(SUBSTITUTE(SUBSTITUTE(SUBSTITUTE(SUBSTITUTE(SUBSTITUTE(SUBSTITUTE(SUBSTITUTE(SUBSTITUTE(SUBSTITUTE(SUBSTITUTE(SUBSTITUTE(SUBSTITUTE(LOWER(Z8&amp;""),CHAR(10),""),CHAR(13),""),CHAR(9),""),CHAR(160),"")," ",""),".",""),"-",""),"/",""),"?",""),"_",""),",",""),"[",""),"]",""),"(",""),")",""),"*","")</f>
        <v/>
      </c>
      <c r="AX8" s="61" t="str">
        <f aca="false">SUBSTITUTE(SUBSTITUTE(SUBSTITUTE(SUBSTITUTE(SUBSTITUTE(SUBSTITUTE(SUBSTITUTE(SUBSTITUTE(SUBSTITUTE(SUBSTITUTE(SUBSTITUTE(SUBSTITUTE(SUBSTITUTE(SUBSTITUTE(SUBSTITUTE(SUBSTITUTE(LOWER(AE8&amp;""),CHAR(10),""),CHAR(13),""),CHAR(9),""),CHAR(160),"")," ",""),".",""),"-",""),"/",""),"?",""),"_",""),",",""),"[",""),"]",""),"(",""),")",""),"*","")</f>
        <v/>
      </c>
      <c r="AY8" s="61" t="str">
        <f aca="false">SUBSTITUTE(SUBSTITUTE(SUBSTITUTE(SUBSTITUTE(SUBSTITUTE(SUBSTITUTE(SUBSTITUTE(SUBSTITUTE(SUBSTITUTE(SUBSTITUTE(SUBSTITUTE(SUBSTITUTE(SUBSTITUTE(SUBSTITUTE(SUBSTITUTE(SUBSTITUTE(LOWER(W8&amp;""),CHAR(10),""),CHAR(13),""),CHAR(9),""),CHAR(160),"")," ",""),".",""),"-",""),"/",""),"?",""),"_",""),",",""),"[",""),"]",""),"(",""),")",""),"*","")</f>
        <v/>
      </c>
      <c r="AZ8" s="61" t="str">
        <f aca="false">SUBSTITUTE(SUBSTITUTE(SUBSTITUTE(SUBSTITUTE(SUBSTITUTE(SUBSTITUTE(SUBSTITUTE(SUBSTITUTE(SUBSTITUTE(SUBSTITUTE(SUBSTITUTE(SUBSTITUTE(SUBSTITUTE(SUBSTITUTE(SUBSTITUTE(SUBSTITUTE(LOWER(AC8&amp;""),CHAR(10),""),CHAR(13),""),CHAR(9),""),CHAR(160),"")," ",""),".",""),"-",""),"/",""),"?",""),"_",""),",",""),"[",""),"]",""),"(",""),")",""),"*","")</f>
        <v/>
      </c>
      <c r="BA8" s="61" t="str">
        <f aca="false">SUBSTITUTE(SUBSTITUTE(SUBSTITUTE(SUBSTITUTE(SUBSTITUTE(SUBSTITUTE(SUBSTITUTE(SUBSTITUTE(SUBSTITUTE(SUBSTITUTE(SUBSTITUTE(SUBSTITUTE(SUBSTITUTE(SUBSTITUTE(SUBSTITUTE(SUBSTITUTE(LOWER(AA8&amp;""),CHAR(10),""),CHAR(13),""),CHAR(9),""),CHAR(160),"")," ",""),".",""),"-",""),"/",""),"?",""),"_",""),",",""),"[",""),"]",""),"(",""),")",""),"*","")</f>
        <v/>
      </c>
      <c r="BB8" s="61" t="str">
        <f aca="false">IF(AND(TRIM(U8)="Pass",ISNUMBER(AF8)),IF(AF8&lt;&gt;0,"INVALID – qty variance: use Fail or Pass after CA",""),"")&amp;IF(AND(TRIM(U8)="Pass after CA",ISNUMBER(AF8)),IF(AF8&lt;&gt;0,"INVALID – after the corrective action the actual qty must equal expected (update Actual)",""),"")&amp;IF(AND(TRIM(U8)="Pass",TRIM(AB8)&lt;&gt;"",TRIM(AB8)&lt;&gt;"Closed"),"INVALID – corrective action not closed: use Fail, then Pass after CA","")&amp;IF(AND(LEN(BA8)&gt;=2,ISNA(MATCH(LEFT(BA8,255),L_Placeholder,0)),TRIM(AB8)=""),"INVALID – CA status missing for the recorded corrective action","")&amp;IF(AND(TRIM(U8)="Pass after CA",OR(OR(LEN(BA8)&lt;5,ISNUMBER(MATCH(BA8,L_Placeholder,0))),TRIM(AB8)&lt;&gt;"Closed")),"INVALID – corrective action not recorded/closed","")</f>
        <v/>
      </c>
      <c r="BC8" s="61" t="str">
        <f aca="false">" "&amp;TRIM(SUBSTITUTE(SUBSTITUTE(SUBSTITUTE(SUBSTITUTE(SUBSTITUTE(SUBSTITUTE(SUBSTITUTE(SUBSTITUTE(SUBSTITUTE(SUBSTITUTE(SUBSTITUTE(SUBSTITUTE(SUBSTITUTE(SUBSTITUTE(SUBSTITUTE(SUBSTITUTE(SUBSTITUTE(SUBSTITUTE(SUBSTITUTE(SUBSTITUTE(SUBSTITUTE(SUBSTITUTE(SUBSTITUTE(SUBSTITUTE(LOWER(V8&amp;""),CHAR(10)," "),CHAR(13)," "),CHAR(9)," "),CHAR(160)," "),"."," "),","," "),"-"," "),"/"," "),"("," "),")"," "),":"," "),";"," "),"_"," "),"–"," "),"?"," "),"!"," "),"*"," "),"["," "),"]"," "),"'"," "),"#"," "),"+"," "),"&amp;"," "),"\"," "))&amp;" "</f>
        <v>  </v>
      </c>
      <c r="BD8" s="61" t="str">
        <f aca="false">" "&amp;TRIM(SUBSTITUTE(SUBSTITUTE(SUBSTITUTE(SUBSTITUTE(SUBSTITUTE(SUBSTITUTE(SUBSTITUTE(SUBSTITUTE(SUBSTITUTE(SUBSTITUTE(SUBSTITUTE(SUBSTITUTE(SUBSTITUTE(SUBSTITUTE(SUBSTITUTE(SUBSTITUTE(SUBSTITUTE(SUBSTITUTE(SUBSTITUTE(SUBSTITUTE(SUBSTITUTE(SUBSTITUTE(SUBSTITUTE(SUBSTITUTE(LOWER(Z8&amp;""),CHAR(10)," "),CHAR(13)," "),CHAR(9)," "),CHAR(160)," "),"."," "),","," "),"-"," "),"/"," "),"("," "),")"," "),":"," "),";"," "),"_"," "),"–"," "),"?"," "),"!"," "),"*"," "),"["," "),"]"," "),"'"," "),"#"," "),"+"," "),"&amp;"," "),"\"," "))&amp;" "</f>
        <v>  </v>
      </c>
      <c r="BE8" s="61" t="str">
        <f aca="false">" "&amp;TRIM(SUBSTITUTE(SUBSTITUTE(SUBSTITUTE(SUBSTITUTE(SUBSTITUTE(SUBSTITUTE(SUBSTITUTE(SUBSTITUTE(SUBSTITUTE(SUBSTITUTE(SUBSTITUTE(SUBSTITUTE(SUBSTITUTE(SUBSTITUTE(SUBSTITUTE(SUBSTITUTE(SUBSTITUTE(SUBSTITUTE(SUBSTITUTE(SUBSTITUTE(SUBSTITUTE(SUBSTITUTE(SUBSTITUTE(SUBSTITUTE(LOWER(W8&amp;""),CHAR(10)," "),CHAR(13)," "),CHAR(9)," "),CHAR(160)," "),"."," "),","," "),"-"," "),"/"," "),"("," "),")"," "),":"," "),";"," "),"_"," "),"–"," "),"?"," "),"!"," "),"*"," "),"["," "),"]"," "),"'"," "),"#"," "),"+"," "),"&amp;"," "),"\"," "))&amp;" "</f>
        <v>  </v>
      </c>
      <c r="BF8" s="61" t="str">
        <f aca="false">" "&amp;TRIM(SUBSTITUTE(SUBSTITUTE(SUBSTITUTE(SUBSTITUTE(SUBSTITUTE(SUBSTITUTE(SUBSTITUTE(SUBSTITUTE(SUBSTITUTE(SUBSTITUTE(SUBSTITUTE(SUBSTITUTE(SUBSTITUTE(SUBSTITUTE(SUBSTITUTE(SUBSTITUTE(SUBSTITUTE(SUBSTITUTE(SUBSTITUTE(SUBSTITUTE(SUBSTITUTE(SUBSTITUTE(SUBSTITUTE(SUBSTITUTE(LOWER(AC8&amp;""),CHAR(10)," "),CHAR(13)," "),CHAR(9)," "),CHAR(160)," "),"."," "),","," "),"-"," "),"/"," "),"("," "),")"," "),":"," "),";"," "),"_"," "),"–"," "),"?"," "),"!"," "),"*"," "),"["," "),"]"," "),"'"," "),"#"," "),"+"," "),"&amp;"," "),"\"," "))&amp;" "</f>
        <v>  </v>
      </c>
      <c r="BG8" s="61" t="n">
        <f aca="false">IFERROR(IF(AND(TRIM(U8)="Pass",SUMPRODUCT((LEN(BC8)-LEN(SUBSTITUTE(BC8," "&amp;L_ResultBad&amp;" "," ")))/(LEN(L_ResultBad)+1))&gt;SUMPRODUCT((LEN(BC8)-LEN(SUBSTITUTE(BC8," "&amp;L_NegPhrase&amp;" "," ")))/(LEN(L_NegPhrase)+1))),1,0),0)</f>
        <v>0</v>
      </c>
      <c r="BH8" s="61" t="n">
        <f aca="false">IFERROR(IF(SUMPRODUCT((LEN(BC8)-LEN(SUBSTITUTE(BC8," "&amp;L_Pending&amp;" "," ")))/(LEN(L_Pending)+1))&gt;SUMPRODUCT((LEN(BC8)-LEN(SUBSTITUTE(BC8," "&amp;L_PendNeg&amp;" "," ")))/(LEN(L_PendNeg)+1))+SUMPRODUCT((LEN(BC8)-LEN(SUBSTITUTE(BC8," "&amp;L_PendPrep&amp;" "," ")))/(LEN(L_PendPrep)+1)),1,0),1)</f>
        <v>0</v>
      </c>
      <c r="BI8" s="61" t="n">
        <f aca="false">IFERROR(IF(SUMPRODUCT((LEN(BD8)-LEN(SUBSTITUTE(BD8," "&amp;L_PendStrict&amp;" "," ")))/(LEN(L_PendStrict)+1))&gt;SUMPRODUCT((LEN(BD8)-LEN(SUBSTITUTE(BD8," "&amp;L_PendNeg&amp;" "," ")))/(LEN(L_PendNeg)+1)),1,0),1)</f>
        <v>0</v>
      </c>
      <c r="BJ8" s="61" t="n">
        <f aca="false">IFERROR(IF(SUMPRODUCT((LEN(BE8)-LEN(SUBSTITUTE(BE8," "&amp;L_Pending&amp;" "," ")))/(LEN(L_Pending)+1))&gt;SUMPRODUCT((LEN(BE8)-LEN(SUBSTITUTE(BE8," "&amp;L_PendNeg&amp;" "," ")))/(LEN(L_PendNeg)+1))+SUMPRODUCT((LEN(BE8)-LEN(SUBSTITUTE(BE8," "&amp;L_PendPrep&amp;" "," ")))/(LEN(L_PendPrep)+1)),1,0),1)</f>
        <v>0</v>
      </c>
      <c r="BK8" s="61" t="n">
        <f aca="false">IFERROR(IF(SUMPRODUCT((LEN(BF8)-LEN(SUBSTITUTE(BF8," "&amp;L_PendStrict&amp;" "," ")))/(LEN(L_PendStrict)+1))&gt;SUMPRODUCT((LEN(BF8)-LEN(SUBSTITUTE(BF8," "&amp;L_PendNeg&amp;" "," ")))/(LEN(L_PendNeg)+1)),1,0),1)</f>
        <v>0</v>
      </c>
      <c r="BL8" s="61" t="n">
        <f aca="false">IF(ISNA(MATCH(TRIM(S8),L_EvidenceType,0)),0,BZ8)</f>
        <v>0</v>
      </c>
      <c r="BM8" s="61" t="str">
        <f aca="false">SUBSTITUTE(SUBSTITUTE(SUBSTITUTE(SUBSTITUTE(SUBSTITUTE(SUBSTITUTE(SUBSTITUTE(SUBSTITUTE(SUBSTITUTE(LOWER(Z8&amp;""),"1","0"),"2","0"),"3","0"),"4","0"),"5","0"),"6","0"),"7","0"),"8","0"),"9","0")</f>
        <v/>
      </c>
      <c r="BN8" s="61" t="str">
        <f aca="false">SUBSTITUTE(SUBSTITUTE(SUBSTITUTE(SUBSTITUTE(SUBSTITUTE(SUBSTITUTE(SUBSTITUTE(SUBSTITUTE(SUBSTITUTE(SUBSTITUTE(SUBSTITUTE(SUBSTITUTE(SUBSTITUTE(SUBSTITUTE(SUBSTITUTE(SUBSTITUTE(SUBSTITUTE(SUBSTITUTE(SUBSTITUTE(SUBSTITUTE(SUBSTITUTE(SUBSTITUTE(SUBSTITUTE(SUBSTITUTE(SUBSTITUTE(BM8,"b","a"),"c","a"),"d","a"),"e","a"),"f","a"),"g","a"),"h","a"),"i","a"),"j","a"),"k","a"),"l","a"),"m","a"),"n","a"),"o","a"),"p","a"),"q","a"),"r","a"),"s","a"),"t","a"),"u","a"),"v","a"),"w","a"),"x","a"),"y","a"),"z","a")</f>
        <v/>
      </c>
      <c r="BO8" s="61" t="str">
        <f aca="false">SUBSTITUTE(SUBSTITUTE(SUBSTITUTE(SUBSTITUTE(SUBSTITUTE(SUBSTITUTE(SUBSTITUTE(SUBSTITUTE(SUBSTITUTE(LOWER(W8&amp;""),"1","0"),"2","0"),"3","0"),"4","0"),"5","0"),"6","0"),"7","0"),"8","0"),"9","0")</f>
        <v/>
      </c>
      <c r="BP8" s="61" t="str">
        <f aca="false">SUBSTITUTE(SUBSTITUTE(SUBSTITUTE(SUBSTITUTE(SUBSTITUTE(SUBSTITUTE(SUBSTITUTE(SUBSTITUTE(SUBSTITUTE(SUBSTITUTE(SUBSTITUTE(SUBSTITUTE(SUBSTITUTE(SUBSTITUTE(SUBSTITUTE(SUBSTITUTE(SUBSTITUTE(SUBSTITUTE(SUBSTITUTE(SUBSTITUTE(SUBSTITUTE(SUBSTITUTE(SUBSTITUTE(SUBSTITUTE(SUBSTITUTE(BO8,"b","a"),"c","a"),"d","a"),"e","a"),"f","a"),"g","a"),"h","a"),"i","a"),"j","a"),"k","a"),"l","a"),"m","a"),"n","a"),"o","a"),"p","a"),"q","a"),"r","a"),"s","a"),"t","a"),"u","a"),"v","a"),"w","a"),"x","a"),"y","a"),"z","a")</f>
        <v/>
      </c>
      <c r="BQ8" s="61" t="n">
        <f aca="false">IFERROR(IF(AND(ISERROR(SEARCH(" mh"," "&amp;LOWER(W8))),ISNA(MATCH(LEFT(TRIM(BP8),255),{"0000a","000a","00a","0000aa","000aa","00aa","0aa","0000aaa","000aaa","00a00","0a00","0000-0000","00:00","a00","a0","00.00.0000","00/00/0000","00-00-0000","0000-00-00","0000/00/00","0000.00.00","00.00.00","00/00/00","00-00-00","0.00.0000","0/00/0000","0-00-0000"},0)),ISNA(MATCH(LEFT(TRIM(CA8),255),{"0000a","000a","00a","0000aa","000aa","00aa","0aa","0000aaa","000aaa","00a00","0a00","0000-0000","00:00","a00","a0","00.00.0000","00/00/0000","00-00-0000","0000-00-00","0000/00/00","0000.00.00","00.00.00","00/00/00","00-00-00","0.00.0000","0/00/0000","0-00-0000"},0)),LEN(CB8)&gt;=3,NOT(OR(SUBSTITUTE(CB8,"0","")="",AND(LEN(CB8)&gt;=4,CB8=REPT(LEFT(CB8),LEN(CB8))),ISNUMBER(MATCH(CB8,{"123","1234","12345","123456","1234567","12345678","0123","01234","012345","98765","987654","54321"},0)),AND(LEN(CB8)=8,LEFT(CB8,3)="202"))),OR(AND((LEN(CA8)-LEN(SUBSTITUTE(CA8,"a","")))&gt;=1,SUMPRODUCT(--ISNUMBER(SEARCH({"a0","a-0","a_0","a/0","a.0","a#0","0a","0-a","0_a","0/a"},BP8)))&gt;0),ISNUMBER(SEARCH("000000",BP8)))),1,0),0)</f>
        <v>0</v>
      </c>
      <c r="BR8" s="61" t="n">
        <f aca="false">IFERROR(LEN(SUBSTITUTE(CC8," ",""))-SUMPRODUCT((LEN(CC8)-LEN(SUBSTITUTE(CC8," "&amp;L_Role&amp;" "," ")))/(LEN(L_Role)+1)*LEN(L_Role)),0)</f>
        <v>0</v>
      </c>
      <c r="BS8" s="61" t="n">
        <f aca="false">IFERROR(LEN(SUBSTITUTE(CD8," ",""))-SUMPRODUCT((LEN(CD8)-LEN(SUBSTITUTE(CD8," "&amp;L_Role&amp;" "," ")))/(LEN(L_Role)+1)*LEN(L_Role)),0)</f>
        <v>0</v>
      </c>
      <c r="BT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revision",""),"version",""),"jan",""),"feb",""),"mar",""),"apr",""),"may",""),"jun",""),"jul",""),"aug",""),"sep",""),"oct",""),"nov",""),"dec",""),"utc",""),"gmt",""),"myt",""),"bst",""),"rev",""),"ver",""),"b","a"),"c","a"),"d","a"),"e","a"),"f","a"),"g","a"),"h","a"),"i","a"),"j","a"),"k","a"),"l","a"),"m","a"),"n","a"),"o","a"),"p","a"),"q","a"),"r","a"),"s","a"),"t","a"),"u","a"),"v","a"),"w","a"),"x","a"),"y","a"),"z","a")</f>
        <v/>
      </c>
      <c r="BU8" s="61" t="str">
        <f aca="false">SUBSTITUTE(SUBSTITUTE(SUBSTITUTE(SUBSTITUTE(SUBSTITUTE(SUBSTITUTE(SUBSTITUTE(SUBSTITUTE(SUBSTITUTE(SUBSTITUTE(LEFT(BM8,FIND("0",BM8&amp;"0")-1),"-",""),"_",""),"/",""),".",""),"#",""),"\\",""),":","")," ",""),"(",""),")","")</f>
        <v/>
      </c>
      <c r="BV8" s="61" t="n">
        <f aca="false">0</f>
        <v>0</v>
      </c>
      <c r="BW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amp;""),"a",""),"b",""),"c",""),"d",""),"e",""),"f",""),"g",""),"h",""),"i",""),"j",""),"k",""),"l",""),"m",""),"n",""),"o",""),"p",""),"q",""),"r",""),"s",""),"t",""),"u",""),"v",""),"w",""),"x",""),"y",""),"z",""),"-",""),"_",""),"/",""),".",""),"#",""),"\\",""),":","")," ",""),"(",""),")","")</f>
        <v/>
      </c>
      <c r="BX8" s="61" t="str">
        <f aca="false">SUBSTITUTE(SUBSTITUTE(SUBSTITUTE(SUBSTITUTE(SUBSTITUTE(SUBSTITUTE(SUBSTITUTE(SUBSTITUTE(SUBSTITUTE(SUBSTITUTE(SUBSTITUTE(BM8,"0",""),"-",""),"_",""),"/",""),".",""),"#",""),"\\",""),":","")," ",""),"(",""),")","")</f>
        <v/>
      </c>
      <c r="BY8" s="62" t="n">
        <f aca="false">Q8-T7EarlyD*24/24</f>
        <v>46282.8576388889</v>
      </c>
      <c r="BZ8" s="61" t="n">
        <f aca="false">IFERROR(IF(IF(TRIM(S8)="Link / file path",AND(LEN(TRIM(Z8))&gt;=5,SUMPRODUCT(--ISNUMBER(SEARCH({"http","www.","\\",":\",".pdf",".jpg",".jpeg",".png",".heic",".xls",".doc",".msg",".eml",".ppt",".txt",".zip"},Z8)))&gt;0),AND(ISERROR(FIND(" ",TRIM(Z8))),NOT(OR(SUMPRODUCT(--ISNUMBER(FIND({",",";","&amp;","+"},Z8)))&gt;0,SUMPRODUCT(--ISNUMBER(SEARCH({"0/aa","0\\aa"},BN8)))&gt;0)),NOT(SUMPRODUCT(--ISNUMBER(SEARCH({"http","www.","\\",":\",".pdf",".jpg",".jpeg",".png",".heic",".xls",".doc",".msg",".eml",".ppt",".txt",".zip"},Z8)))&gt;0),NOT(LOWER(TRIM(Z8))=LOWER(Flights!$F$5)),ISNA(MATCH(BU8,{"mh","rev","revision","ver","version","v","r","a","b","seat","tray","row","gate","bay","stand","page","pg","item","line","no","cart","galley","flight","flt","table","box","bag","oven","etd","eta","std","sta","atd","ata","qty","pax","x","time","tel","ph","mob","day","wk","week","utc","gmt","myt","lt"},0)),NOT(OR(ISNUMBER(MATCH(LEFT(BN8,255),{"0000a","000a","00a","0000aa","000aa","00aa","0aa","0000aaa","000aaa","00a00","0a00","0000-0000","00:00","a00","a0","00.00.0000","00/00/0000","00-00-0000","0000-00-00","0000/00/00","0000.00.00","00.00.00","00/00/00","00-00-00","0.00.0000","0/00/0000","0-00-0000"},0)),ISNUMBER(MATCH(LEFT(BT8,255),{"0000a","000a","00a","0000aa","000aa","00aa","0aa","0000aaa","000aaa","00a00","0a00","0000-0000","00:00","a00","a0","00.00.0000","00/00/0000","00-00-0000","0000-00-00","0000/00/00","0000.00.00","00.00.00","00/00/00","00-00-00","0.00.0000","0/00/0000","0-00-0000"},0)))),NOT(OR(AND(BW8&lt;&gt;"",SUBSTITUTE(BW8,"0","")=""),AND(LEN(BW8)&gt;=4,BW8=REPT(LEFT(BW8),LEN(BW8))),ISNUMBER(MATCH(BW8,{"123","1234","12345","123456","1234567","12345678","0123","01234","012345","98765","987654","54321"},0)),ISNUMBER(MATCH(BX8,{"x","xx","xxx","xxxx","xxxxx","abc","abcd","nil","na","nan","test","tbc","tba","tbd","dummy","sample","example","eg","zz","zzz","none","null","xyz","qwe","asd","id","ref"},0)),AND(LEN(BW8)=8,BX8="",OR(LEFT(BW8,3)="202",ISNUMBER(MATCH(RIGHT(BW8,4),{"2025","2026","2027"},0)))))),OR(AND((LEN(BT8)-LEN(SUBSTITUTE(BT8,"a","")))&gt;=1,(LEN(BN8)-LEN(SUBSTITUTE(BN8,"0","")))&gt;=2,SUMPRODUCT(--ISNUMBER(SEARCH({"a0","a-0","a_0","a/0","a.0","a#0","0a","0-a","0_a","0/a"},BN8)))&gt;0),AND((LEN(BN8)-LEN(SUBSTITUTE(BN8,"a","")))=0,(LEN(BN8)-LEN(SUBSTITUTE(BN8,"0","")))&gt;=5)))),1,0),0)</f>
        <v>0</v>
      </c>
      <c r="CA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revision",""),"version",""),"jan",""),"feb",""),"mar",""),"apr",""),"may",""),"jun",""),"jul",""),"aug",""),"sep",""),"oct",""),"nov",""),"dec",""),"utc",""),"gmt",""),"myt",""),"bst",""),"rev",""),"ver",""),"b","a"),"c","a"),"d","a"),"e","a"),"f","a"),"g","a"),"h","a"),"i","a"),"j","a"),"k","a"),"l","a"),"m","a"),"n","a"),"o","a"),"p","a"),"q","a"),"r","a"),"s","a"),"t","a"),"u","a"),"v","a"),"w","a"),"x","a"),"y","a"),"z","a")</f>
        <v/>
      </c>
      <c r="CB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amp;""),"a",""),"b",""),"c",""),"d",""),"e",""),"f",""),"g",""),"h",""),"i",""),"j",""),"k",""),"l",""),"m",""),"n",""),"o",""),"p",""),"q",""),"r",""),"s",""),"t",""),"u",""),"v",""),"w",""),"x",""),"y",""),"z",""),"-",""),"_",""),"/",""),".",""),"#",""),"\\",""),":","")," ",""),"(",""),")","")</f>
        <v/>
      </c>
      <c r="CC8" s="0" t="str">
        <f aca="false">" "&amp;TRIM(SUBSTITUTE(SUBSTITUTE(SUBSTITUTE(SUBSTITUTE(SUBSTITUTE(SUBSTITUTE(SUBSTITUTE(SUBSTITUTE(SUBSTITUTE(SUBSTITUTE(SUBSTITUTE(SUBSTITUTE(SUBSTITUTE(SUBSTITUTE(SUBSTITUTE(SUBSTITUTE(SUBSTITUTE(SUBSTITUTE(SUBSTITUTE(SUBSTITUTE(SUBSTITUTE(SUBSTITUTE(SUBSTITUTE(SUBSTITUTE(LOWER(T8&amp;""),CHAR(10)," "),CHAR(13)," "),CHAR(9)," "),CHAR(160)," "),"."," "),","," "),"-"," "),"/"," "),"("," "),")"," "),":"," "),";"," "),"_"," "),"–"," "),"?"," "),"!"," "),"*"," "),"["," "),"]"," "),"'"," "),"#"," "),"+"," "),"&amp;"," "),"\"," "))&amp;" "</f>
        <v>  </v>
      </c>
      <c r="CD8" s="0" t="str">
        <f aca="false">" "&amp;TRIM(SUBSTITUTE(SUBSTITUTE(SUBSTITUTE(SUBSTITUTE(SUBSTITUTE(SUBSTITUTE(SUBSTITUTE(SUBSTITUTE(SUBSTITUTE(SUBSTITUTE(SUBSTITUTE(SUBSTITUTE(SUBSTITUTE(SUBSTITUTE(SUBSTITUTE(SUBSTITUTE(SUBSTITUTE(SUBSTITUTE(SUBSTITUTE(SUBSTITUTE(SUBSTITUTE(SUBSTITUTE(SUBSTITUTE(SUBSTITUTE(LOWER(AE8&amp;""),CHAR(10)," "),CHAR(13)," "),CHAR(9)," "),CHAR(160)," "),"."," "),","," "),"-"," "),"/"," "),"("," "),")"," "),":"," "),";"," "),"_"," "),"–"," "),"?"," "),"!"," "),"*"," "),"["," "),"]"," "),"'"," "),"#"," "),"+"," "),"&amp;"," "),"\"," "))&amp;" "</f>
        <v>  </v>
      </c>
      <c r="CE8" s="68" t="n">
        <f aca="false">IFERROR(IF(AND(LEN(AU8)&gt;0,LEN(AU8)=LEN(AX8),OR(TRIM(MID(SUBSTITUTE(TRIM(CC8)," ",REPT(" ",60)),1,60))="",ISNUMBER(SEARCH(" "&amp;TRIM(MID(SUBSTITUTE(TRIM(CC8)," ",REPT(" ",60)),1,60))&amp;" ",CD8))),OR(TRIM(MID(SUBSTITUTE(TRIM(CC8)," ",REPT(" ",60)),61,60))="",ISNUMBER(SEARCH(" "&amp;TRIM(MID(SUBSTITUTE(TRIM(CC8)," ",REPT(" ",60)),61,60))&amp;" ",CD8))),OR(TRIM(MID(SUBSTITUTE(TRIM(CC8)," ",REPT(" ",60)),121,60))="",ISNUMBER(SEARCH(" "&amp;TRIM(MID(SUBSTITUTE(TRIM(CC8)," ",REPT(" ",60)),121,60))&amp;" ",CD8)))),1,0),0)</f>
        <v>0</v>
      </c>
      <c r="CG8" s="68" t="n">
        <f aca="false">IFERROR(LEN(SUBSTITUTE(BF8," ",""))-SUMPRODUCT((LEN(BF8)-LEN(SUBSTITUTE(BF8," "&amp;L_NAFiller&amp;" "," ")))/(LEN(L_NAFiller)+1)*LEN(L_NAFiller)),0)</f>
        <v>0</v>
      </c>
    </row>
    <row r="9" customFormat="false" ht="39.75" hidden="false" customHeight="true" outlineLevel="0" collapsed="false">
      <c r="A9" s="57" t="s">
        <v>397</v>
      </c>
      <c r="B9" s="57" t="s">
        <v>183</v>
      </c>
      <c r="C9" s="57" t="str">
        <f aca="false">Flights!$F$5</f>
        <v>MH0001</v>
      </c>
      <c r="D9" s="58" t="n">
        <f aca="false">Flights!$D$5</f>
        <v>46303</v>
      </c>
      <c r="E9" s="57" t="str">
        <f aca="false">Flights!$G$5&amp;"-"&amp;Flights!$H$5</f>
        <v>LHR-KUL</v>
      </c>
      <c r="F9" s="57" t="str">
        <f aca="false">Flights!$K$5</f>
        <v>EY</v>
      </c>
      <c r="G9" s="57" t="s">
        <v>81</v>
      </c>
      <c r="H9" s="57" t="s">
        <v>378</v>
      </c>
      <c r="I9" s="57" t="s">
        <v>398</v>
      </c>
      <c r="J9" s="57" t="s">
        <v>399</v>
      </c>
      <c r="K9" s="67" t="s">
        <v>400</v>
      </c>
      <c r="L9" s="67" t="s">
        <v>382</v>
      </c>
      <c r="M9" s="67"/>
      <c r="N9" s="67" t="s">
        <v>383</v>
      </c>
      <c r="O9" s="67"/>
      <c r="P9" s="57" t="s">
        <v>186</v>
      </c>
      <c r="Q9" s="59" t="n">
        <f aca="false">ROUND((Flights!$AC$5)*1440,0)/1440</f>
        <v>46296.8576388889</v>
      </c>
      <c r="R9" s="59" t="n">
        <f aca="false">Q9+(IF(AND(INDEX(TZ_DSTS,MATCH(P9,TZ_STN,0))&lt;&gt;"",Q9&gt;=INDEX(TZ_DSTS,MATCH(P9,TZ_STN,0)),Q9&lt;INDEX(TZ_DSTE,MATCH(P9,TZ_STN,0))),INDEX(TZ_DST,MATCH(P9,TZ_STN,0)),INDEX(TZ_STD,MATCH(P9,TZ_STN,0))))/24</f>
        <v>46296.8993055556</v>
      </c>
      <c r="S9" s="60"/>
      <c r="T9" s="60"/>
      <c r="U9" s="60"/>
      <c r="V9" s="60"/>
      <c r="W9" s="61"/>
      <c r="X9" s="60"/>
      <c r="Y9" s="60"/>
      <c r="Z9" s="60"/>
      <c r="AA9" s="60"/>
      <c r="AB9" s="60"/>
      <c r="AC9" s="60"/>
      <c r="AD9" s="66"/>
      <c r="AE9" s="60"/>
      <c r="AF9" s="61" t="str">
        <f aca="false">IF(AND(ISNUMBER(X9),ISNUMBER(Y9)),Y9-X9,"")</f>
        <v/>
      </c>
      <c r="AG9" s="62" t="str">
        <f aca="false">IF(ISNUMBER(AD9),AD9-(IF(AND(INDEX(TZ_DSTS,MATCH(P9,TZ_STN,0))&lt;&gt;"",(AD9-INDEX(TZ_STD,MATCH(P9,TZ_STN,0))/24)&gt;=INDEX(TZ_DSTS,MATCH(P9,TZ_STN,0)),(AD9-INDEX(TZ_STD,MATCH(P9,TZ_STN,0))/24)&lt;INDEX(TZ_DSTE,MATCH(P9,TZ_STN,0))),INDEX(TZ_DST,MATCH(P9,TZ_STN,0)),INDEX(TZ_STD,MATCH(P9,TZ_STN,0))))/24,"")</f>
        <v/>
      </c>
      <c r="AH9" s="65" t="str">
        <f aca="false">IFERROR(IF(N9="N/A – rule",IF(OR(TRIM(U9)="",TRIM(U9)="N/A",TRIM(U9)="Not started"),"N/A – RULE","INVALID – this check does not apply to this aircraft: clear the status (or correct the fleet on Flights)"),IF(TRIM(U9)="N/A",IF(AT9=0,"INVALID – N/A not permitted for this check",IF(AND(TRIM(AB9)&lt;&gt;"",TRIM(AB9)&lt;&gt;"Closed"),"INVALID – corrective action still open",IF(AND(NOT(OR(LEN(AZ9)&lt;15,ISNUMBER(MATCH(AZ9,L_Placeholder,0)))),BK9=0,CG9&gt;=8,NOT(OR(LEN(AU9)&lt;2,ISNUMBER(MATCH(AU9,L_Placeholder,0)))),BR9&gt;=3,NOT(OR(LEN(AX9)&lt;2,ISNUMBER(MATCH(AX9,L_Placeholder,0)))),BS9&gt;=3,TRIM(AE9)&lt;&gt;TRIM(T9),AX9&lt;&gt;AU9,CE9=0),"N/A – JUSTIFIED","INVALID – N/A needs a real, settled reason (not 'not applicable' / 'as above' / TBC), a named PIC and a different named verifier"))),IF(OR(TRIM(U9)="Pass",TRIM(U9)="Pass after CA"),IF(NOT(ISNUMBER(AD9)),"INVALID – completion time missing",IF(OR(OR(LEN(AU9)&lt;2,ISNUMBER(MATCH(AU9,L_Placeholder,0))),BR9&lt;3),"INVALID – PIC missing or not a named person (a role such as QA / CSM is not a name)",IF(OR(LEN(AV9)&lt;2,ISNUMBER(MATCH(AV9,L_Placeholder,0))),"INVALID – result / assessment missing",IF(OR(OR(LEN(AW9)&lt;3,ISNUMBER(MATCH(AW9,L_Placeholder,0))),SUMPRODUCT(--ISNUMBER(SEARCH(" "&amp;L_EvidencePhrase&amp;" ",BD9)))&gt;0,BI9=1),"INVALID – evidence missing, placeholder or not yet on file",IF(ISNA(MATCH(TRIM(S9),L_EvidenceType,0)),"INVALID – choose the evidence type from the list (column S)",IF(BL9=0,"INVALID – evidence ID must be the record's own ID only (e.g. SF-2210, IMG_2231, 1045521); a link / file name needs type 'Link / file path'",IF(OR(OR(LEN(AX9)&lt;2,ISNUMBER(MATCH(AX9,L_Placeholder,0))),BS9&lt;3),"INVALID – verifier missing or not a named person (a role such as QA / CSM is not a name)",IF(OR(AX9=AU9,CE9=1,AND(LEN(AU9)&gt;=4,ISNUMBER(SEARCH(AU9,AX9))),AND(LEN(AX9)&gt;=4,ISNUMBER(SEARCH(AX9,AU9)))),"INVALID – verifier must be a different, named person (not the PIC or a role)",IF(BH9=1,"INVALID – result not yet available (awaiting / TBC)",IF(BG9=1,"INVALID – result describes a problem: record Fail, then Pass after CA (or reword if it is not a problem)",IF(BV9=1,"INVALID – wording says not on board: an on-board confirmation needs the item loaded",IF(AND(AQ9=1,OR(OR(LEN(AY9)&lt;3,ISNUMBER(MATCH(AY9,L_Placeholder,0))),BJ9=1,BQ9=0)),"INVALID – batch ID missing, placeholder or not an ID (e.g. PASB-261008-BC-017)",IF(AND(AR9=1,OR(NOT(ISNUMBER(X9)),NOT(ISNUMBER(Y9)))),"INVALID – expected/actual qty missing",IF(AND(AR9=1,OR(X9&lt;=0,Y9&lt;0)),"INVALID – expected qty must be above 0 and actual not negative",IF(BB9&lt;&gt;"",BB9,IF(AND(AS9=1,Documents!$J$5&lt;&gt;"ON FILE"),"INVALID – GLD not on file (Documents sheet)",IF(AND(AS9=2,Documents!$O$5&lt;&gt;"ON FILE"),"INVALID – menu checklist not on file (Documents sheet)",IF(AND(AS9=3,NOT(ISNUMBER(Flights!$AX$5))),"INVALID – enter carrying flight KUL departure (Flights AX)",IF(AND(AS9=3,OR(Flights!$AZ$5&gt;Flights!$AA$5,Flights!$AX$5&lt;Flights!$AA$5-3)),"INVALID – carrying flight (Flights AX) cannot arrive before this leg's STD, or is over 3 days early",IF(AG9&gt;AsOfUTC,"INVALID – completion time is in the future",IF(AND(ISNUMBER(BY9),AG9&lt;BY9),IF(H9="Physical uplift","INVALID – before uplift window (cannot confirm loading)","INVALID – before valid window"),IF(AG9&gt;Flights!$AA$5,"INVALID – completed after departure (cannot establish readiness)",IF(AND(H9="Preparation",AG9&gt;=IF(ISNUMBER(Flights!$BA$5),MIN(Flights!$BA$5,Flights!$AA$5),Flights!$AA$5)),"INVALID – completed after loading / departure (cannot establish readiness)",IF(AND(H9="Physical uplift",AG9&gt;Q9),"INVALID – recorded after the loading flight departed",IF(AG9&gt;Q9,"COMPLETE – LATE","COMPLETE"))))))))))))))))))))))))),IF(TRIM(U9)="Fail","FAIL – DISCREPANCY",IF(AND(TRIM(U9)&lt;&gt;"",TRIM(U9)&lt;&gt;"Not started",TRIM(U9)&lt;&gt;"In progress"),"INVALID – unrecognised status (use the list)",IF(AsOfUTC&gt;Q9,"OVERDUE",IF(N9="Clarification required","OPEN – CLARIFICATION","OPEN"))))))),"INVALID – error value in an input cell")</f>
        <v>OPEN</v>
      </c>
      <c r="AI9" s="61" t="n">
        <f aca="false">IF(OR(AH9="N/A – RULE",AH9="N/A – JUSTIFIED"),0,1)</f>
        <v>1</v>
      </c>
      <c r="AJ9" s="61" t="n">
        <f aca="false">IF(LEFT(AH9,8)="COMPLETE",1,0)</f>
        <v>0</v>
      </c>
      <c r="AK9" s="61" t="n">
        <f aca="false">IF(AND(AI9=1,AJ9=0,AsOfUTC&gt;Q9),1,0)</f>
        <v>0</v>
      </c>
      <c r="AL9" s="61" t="n">
        <f aca="false">IFERROR(IF(AND(AI9=1,OR(TRIM(U9)="Fail",AND(TRIM(AB9)&lt;&gt;"",TRIM(AB9)&lt;&gt;"Closed"),AND(ISNUMBER(AF9),AF9&lt;&gt;0,TRIM(U9)&lt;&gt;"Pass after CA"))),1,0),1)</f>
        <v>0</v>
      </c>
      <c r="AM9" s="61" t="n">
        <f aca="false">IF(LEFT(AH9,7)="INVALID",1,0)</f>
        <v>0</v>
      </c>
      <c r="AN9" s="61" t="n">
        <f aca="false">IF(AND(N9="Clarification required",AI9=1,AJ9=0),1,0)</f>
        <v>0</v>
      </c>
      <c r="AO9" s="61" t="str">
        <f aca="false">IF(AK9=1,SUM(AK$5:AK9),"")</f>
        <v/>
      </c>
      <c r="AP9" s="61" t="str">
        <f aca="false">IF(AL9=1,SUM(AL$5:AL9),"")</f>
        <v/>
      </c>
      <c r="AQ9" s="61" t="n">
        <v>0</v>
      </c>
      <c r="AR9" s="61" t="n">
        <v>0</v>
      </c>
      <c r="AS9" s="61" t="n">
        <v>0</v>
      </c>
      <c r="AT9" s="61" t="n">
        <v>0</v>
      </c>
      <c r="AU9" s="61" t="str">
        <f aca="false">SUBSTITUTE(SUBSTITUTE(SUBSTITUTE(SUBSTITUTE(SUBSTITUTE(SUBSTITUTE(SUBSTITUTE(SUBSTITUTE(SUBSTITUTE(SUBSTITUTE(SUBSTITUTE(SUBSTITUTE(SUBSTITUTE(SUBSTITUTE(SUBSTITUTE(SUBSTITUTE(LOWER(T9&amp;""),CHAR(10),""),CHAR(13),""),CHAR(9),""),CHAR(160),"")," ",""),".",""),"-",""),"/",""),"?",""),"_",""),",",""),"[",""),"]",""),"(",""),")",""),"*","")</f>
        <v/>
      </c>
      <c r="AV9" s="61" t="str">
        <f aca="false">SUBSTITUTE(SUBSTITUTE(SUBSTITUTE(SUBSTITUTE(SUBSTITUTE(SUBSTITUTE(SUBSTITUTE(SUBSTITUTE(SUBSTITUTE(SUBSTITUTE(SUBSTITUTE(SUBSTITUTE(SUBSTITUTE(SUBSTITUTE(SUBSTITUTE(SUBSTITUTE(LOWER(V9&amp;""),CHAR(10),""),CHAR(13),""),CHAR(9),""),CHAR(160),"")," ",""),".",""),"-",""),"/",""),"?",""),"_",""),",",""),"[",""),"]",""),"(",""),")",""),"*","")</f>
        <v/>
      </c>
      <c r="AW9" s="61" t="str">
        <f aca="false">SUBSTITUTE(SUBSTITUTE(SUBSTITUTE(SUBSTITUTE(SUBSTITUTE(SUBSTITUTE(SUBSTITUTE(SUBSTITUTE(SUBSTITUTE(SUBSTITUTE(SUBSTITUTE(SUBSTITUTE(SUBSTITUTE(SUBSTITUTE(SUBSTITUTE(SUBSTITUTE(LOWER(Z9&amp;""),CHAR(10),""),CHAR(13),""),CHAR(9),""),CHAR(160),"")," ",""),".",""),"-",""),"/",""),"?",""),"_",""),",",""),"[",""),"]",""),"(",""),")",""),"*","")</f>
        <v/>
      </c>
      <c r="AX9" s="61" t="str">
        <f aca="false">SUBSTITUTE(SUBSTITUTE(SUBSTITUTE(SUBSTITUTE(SUBSTITUTE(SUBSTITUTE(SUBSTITUTE(SUBSTITUTE(SUBSTITUTE(SUBSTITUTE(SUBSTITUTE(SUBSTITUTE(SUBSTITUTE(SUBSTITUTE(SUBSTITUTE(SUBSTITUTE(LOWER(AE9&amp;""),CHAR(10),""),CHAR(13),""),CHAR(9),""),CHAR(160),"")," ",""),".",""),"-",""),"/",""),"?",""),"_",""),",",""),"[",""),"]",""),"(",""),")",""),"*","")</f>
        <v/>
      </c>
      <c r="AY9" s="61" t="str">
        <f aca="false">SUBSTITUTE(SUBSTITUTE(SUBSTITUTE(SUBSTITUTE(SUBSTITUTE(SUBSTITUTE(SUBSTITUTE(SUBSTITUTE(SUBSTITUTE(SUBSTITUTE(SUBSTITUTE(SUBSTITUTE(SUBSTITUTE(SUBSTITUTE(SUBSTITUTE(SUBSTITUTE(LOWER(W9&amp;""),CHAR(10),""),CHAR(13),""),CHAR(9),""),CHAR(160),"")," ",""),".",""),"-",""),"/",""),"?",""),"_",""),",",""),"[",""),"]",""),"(",""),")",""),"*","")</f>
        <v/>
      </c>
      <c r="AZ9" s="61" t="str">
        <f aca="false">SUBSTITUTE(SUBSTITUTE(SUBSTITUTE(SUBSTITUTE(SUBSTITUTE(SUBSTITUTE(SUBSTITUTE(SUBSTITUTE(SUBSTITUTE(SUBSTITUTE(SUBSTITUTE(SUBSTITUTE(SUBSTITUTE(SUBSTITUTE(SUBSTITUTE(SUBSTITUTE(LOWER(AC9&amp;""),CHAR(10),""),CHAR(13),""),CHAR(9),""),CHAR(160),"")," ",""),".",""),"-",""),"/",""),"?",""),"_",""),",",""),"[",""),"]",""),"(",""),")",""),"*","")</f>
        <v/>
      </c>
      <c r="BA9" s="61" t="str">
        <f aca="false">SUBSTITUTE(SUBSTITUTE(SUBSTITUTE(SUBSTITUTE(SUBSTITUTE(SUBSTITUTE(SUBSTITUTE(SUBSTITUTE(SUBSTITUTE(SUBSTITUTE(SUBSTITUTE(SUBSTITUTE(SUBSTITUTE(SUBSTITUTE(SUBSTITUTE(SUBSTITUTE(LOWER(AA9&amp;""),CHAR(10),""),CHAR(13),""),CHAR(9),""),CHAR(160),"")," ",""),".",""),"-",""),"/",""),"?",""),"_",""),",",""),"[",""),"]",""),"(",""),")",""),"*","")</f>
        <v/>
      </c>
      <c r="BB9" s="61" t="str">
        <f aca="false">IF(AND(TRIM(U9)="Pass",ISNUMBER(AF9)),IF(AF9&lt;&gt;0,"INVALID – qty variance: use Fail or Pass after CA",""),"")&amp;IF(AND(TRIM(U9)="Pass after CA",ISNUMBER(AF9)),IF(AF9&lt;&gt;0,"INVALID – after the corrective action the actual qty must equal expected (update Actual)",""),"")&amp;IF(AND(TRIM(U9)="Pass",TRIM(AB9)&lt;&gt;"",TRIM(AB9)&lt;&gt;"Closed"),"INVALID – corrective action not closed: use Fail, then Pass after CA","")&amp;IF(AND(LEN(BA9)&gt;=2,ISNA(MATCH(LEFT(BA9,255),L_Placeholder,0)),TRIM(AB9)=""),"INVALID – CA status missing for the recorded corrective action","")&amp;IF(AND(TRIM(U9)="Pass after CA",OR(OR(LEN(BA9)&lt;5,ISNUMBER(MATCH(BA9,L_Placeholder,0))),TRIM(AB9)&lt;&gt;"Closed")),"INVALID – corrective action not recorded/closed","")</f>
        <v/>
      </c>
      <c r="BC9" s="61" t="str">
        <f aca="false">" "&amp;TRIM(SUBSTITUTE(SUBSTITUTE(SUBSTITUTE(SUBSTITUTE(SUBSTITUTE(SUBSTITUTE(SUBSTITUTE(SUBSTITUTE(SUBSTITUTE(SUBSTITUTE(SUBSTITUTE(SUBSTITUTE(SUBSTITUTE(SUBSTITUTE(SUBSTITUTE(SUBSTITUTE(SUBSTITUTE(SUBSTITUTE(SUBSTITUTE(SUBSTITUTE(SUBSTITUTE(SUBSTITUTE(SUBSTITUTE(SUBSTITUTE(LOWER(V9&amp;""),CHAR(10)," "),CHAR(13)," "),CHAR(9)," "),CHAR(160)," "),"."," "),","," "),"-"," "),"/"," "),"("," "),")"," "),":"," "),";"," "),"_"," "),"–"," "),"?"," "),"!"," "),"*"," "),"["," "),"]"," "),"'"," "),"#"," "),"+"," "),"&amp;"," "),"\"," "))&amp;" "</f>
        <v>  </v>
      </c>
      <c r="BD9" s="61" t="str">
        <f aca="false">" "&amp;TRIM(SUBSTITUTE(SUBSTITUTE(SUBSTITUTE(SUBSTITUTE(SUBSTITUTE(SUBSTITUTE(SUBSTITUTE(SUBSTITUTE(SUBSTITUTE(SUBSTITUTE(SUBSTITUTE(SUBSTITUTE(SUBSTITUTE(SUBSTITUTE(SUBSTITUTE(SUBSTITUTE(SUBSTITUTE(SUBSTITUTE(SUBSTITUTE(SUBSTITUTE(SUBSTITUTE(SUBSTITUTE(SUBSTITUTE(SUBSTITUTE(LOWER(Z9&amp;""),CHAR(10)," "),CHAR(13)," "),CHAR(9)," "),CHAR(160)," "),"."," "),","," "),"-"," "),"/"," "),"("," "),")"," "),":"," "),";"," "),"_"," "),"–"," "),"?"," "),"!"," "),"*"," "),"["," "),"]"," "),"'"," "),"#"," "),"+"," "),"&amp;"," "),"\"," "))&amp;" "</f>
        <v>  </v>
      </c>
      <c r="BE9" s="61" t="str">
        <f aca="false">" "&amp;TRIM(SUBSTITUTE(SUBSTITUTE(SUBSTITUTE(SUBSTITUTE(SUBSTITUTE(SUBSTITUTE(SUBSTITUTE(SUBSTITUTE(SUBSTITUTE(SUBSTITUTE(SUBSTITUTE(SUBSTITUTE(SUBSTITUTE(SUBSTITUTE(SUBSTITUTE(SUBSTITUTE(SUBSTITUTE(SUBSTITUTE(SUBSTITUTE(SUBSTITUTE(SUBSTITUTE(SUBSTITUTE(SUBSTITUTE(SUBSTITUTE(LOWER(W9&amp;""),CHAR(10)," "),CHAR(13)," "),CHAR(9)," "),CHAR(160)," "),"."," "),","," "),"-"," "),"/"," "),"("," "),")"," "),":"," "),";"," "),"_"," "),"–"," "),"?"," "),"!"," "),"*"," "),"["," "),"]"," "),"'"," "),"#"," "),"+"," "),"&amp;"," "),"\"," "))&amp;" "</f>
        <v>  </v>
      </c>
      <c r="BF9" s="61" t="str">
        <f aca="false">" "&amp;TRIM(SUBSTITUTE(SUBSTITUTE(SUBSTITUTE(SUBSTITUTE(SUBSTITUTE(SUBSTITUTE(SUBSTITUTE(SUBSTITUTE(SUBSTITUTE(SUBSTITUTE(SUBSTITUTE(SUBSTITUTE(SUBSTITUTE(SUBSTITUTE(SUBSTITUTE(SUBSTITUTE(SUBSTITUTE(SUBSTITUTE(SUBSTITUTE(SUBSTITUTE(SUBSTITUTE(SUBSTITUTE(SUBSTITUTE(SUBSTITUTE(LOWER(AC9&amp;""),CHAR(10)," "),CHAR(13)," "),CHAR(9)," "),CHAR(160)," "),"."," "),","," "),"-"," "),"/"," "),"("," "),")"," "),":"," "),";"," "),"_"," "),"–"," "),"?"," "),"!"," "),"*"," "),"["," "),"]"," "),"'"," "),"#"," "),"+"," "),"&amp;"," "),"\"," "))&amp;" "</f>
        <v>  </v>
      </c>
      <c r="BG9" s="61" t="n">
        <f aca="false">IFERROR(IF(AND(TRIM(U9)="Pass",SUMPRODUCT((LEN(BC9)-LEN(SUBSTITUTE(BC9," "&amp;L_ResultBad&amp;" "," ")))/(LEN(L_ResultBad)+1))&gt;SUMPRODUCT((LEN(BC9)-LEN(SUBSTITUTE(BC9," "&amp;L_NegPhrase&amp;" "," ")))/(LEN(L_NegPhrase)+1))),1,0),0)</f>
        <v>0</v>
      </c>
      <c r="BH9" s="61" t="n">
        <f aca="false">IFERROR(IF(SUMPRODUCT((LEN(BC9)-LEN(SUBSTITUTE(BC9," "&amp;L_Pending&amp;" "," ")))/(LEN(L_Pending)+1))&gt;SUMPRODUCT((LEN(BC9)-LEN(SUBSTITUTE(BC9," "&amp;L_PendNeg&amp;" "," ")))/(LEN(L_PendNeg)+1))+SUMPRODUCT((LEN(BC9)-LEN(SUBSTITUTE(BC9," "&amp;L_PendPrep&amp;" "," ")))/(LEN(L_PendPrep)+1)),1,0),1)</f>
        <v>0</v>
      </c>
      <c r="BI9" s="61" t="n">
        <f aca="false">IFERROR(IF(SUMPRODUCT((LEN(BD9)-LEN(SUBSTITUTE(BD9," "&amp;L_PendStrict&amp;" "," ")))/(LEN(L_PendStrict)+1))&gt;SUMPRODUCT((LEN(BD9)-LEN(SUBSTITUTE(BD9," "&amp;L_PendNeg&amp;" "," ")))/(LEN(L_PendNeg)+1)),1,0),1)</f>
        <v>0</v>
      </c>
      <c r="BJ9" s="61" t="n">
        <f aca="false">IFERROR(IF(SUMPRODUCT((LEN(BE9)-LEN(SUBSTITUTE(BE9," "&amp;L_Pending&amp;" "," ")))/(LEN(L_Pending)+1))&gt;SUMPRODUCT((LEN(BE9)-LEN(SUBSTITUTE(BE9," "&amp;L_PendNeg&amp;" "," ")))/(LEN(L_PendNeg)+1))+SUMPRODUCT((LEN(BE9)-LEN(SUBSTITUTE(BE9," "&amp;L_PendPrep&amp;" "," ")))/(LEN(L_PendPrep)+1)),1,0),1)</f>
        <v>0</v>
      </c>
      <c r="BK9" s="61" t="n">
        <f aca="false">IFERROR(IF(SUMPRODUCT((LEN(BF9)-LEN(SUBSTITUTE(BF9," "&amp;L_PendStrict&amp;" "," ")))/(LEN(L_PendStrict)+1))&gt;SUMPRODUCT((LEN(BF9)-LEN(SUBSTITUTE(BF9," "&amp;L_PendNeg&amp;" "," ")))/(LEN(L_PendNeg)+1)),1,0),1)</f>
        <v>0</v>
      </c>
      <c r="BL9" s="61" t="n">
        <f aca="false">IF(ISNA(MATCH(TRIM(S9),L_EvidenceType,0)),0,BZ9)</f>
        <v>0</v>
      </c>
      <c r="BM9" s="61" t="str">
        <f aca="false">SUBSTITUTE(SUBSTITUTE(SUBSTITUTE(SUBSTITUTE(SUBSTITUTE(SUBSTITUTE(SUBSTITUTE(SUBSTITUTE(SUBSTITUTE(LOWER(Z9&amp;""),"1","0"),"2","0"),"3","0"),"4","0"),"5","0"),"6","0"),"7","0"),"8","0"),"9","0")</f>
        <v/>
      </c>
      <c r="BN9" s="61" t="str">
        <f aca="false">SUBSTITUTE(SUBSTITUTE(SUBSTITUTE(SUBSTITUTE(SUBSTITUTE(SUBSTITUTE(SUBSTITUTE(SUBSTITUTE(SUBSTITUTE(SUBSTITUTE(SUBSTITUTE(SUBSTITUTE(SUBSTITUTE(SUBSTITUTE(SUBSTITUTE(SUBSTITUTE(SUBSTITUTE(SUBSTITUTE(SUBSTITUTE(SUBSTITUTE(SUBSTITUTE(SUBSTITUTE(SUBSTITUTE(SUBSTITUTE(SUBSTITUTE(BM9,"b","a"),"c","a"),"d","a"),"e","a"),"f","a"),"g","a"),"h","a"),"i","a"),"j","a"),"k","a"),"l","a"),"m","a"),"n","a"),"o","a"),"p","a"),"q","a"),"r","a"),"s","a"),"t","a"),"u","a"),"v","a"),"w","a"),"x","a"),"y","a"),"z","a")</f>
        <v/>
      </c>
      <c r="BO9" s="61" t="str">
        <f aca="false">SUBSTITUTE(SUBSTITUTE(SUBSTITUTE(SUBSTITUTE(SUBSTITUTE(SUBSTITUTE(SUBSTITUTE(SUBSTITUTE(SUBSTITUTE(LOWER(W9&amp;""),"1","0"),"2","0"),"3","0"),"4","0"),"5","0"),"6","0"),"7","0"),"8","0"),"9","0")</f>
        <v/>
      </c>
      <c r="BP9" s="61" t="str">
        <f aca="false">SUBSTITUTE(SUBSTITUTE(SUBSTITUTE(SUBSTITUTE(SUBSTITUTE(SUBSTITUTE(SUBSTITUTE(SUBSTITUTE(SUBSTITUTE(SUBSTITUTE(SUBSTITUTE(SUBSTITUTE(SUBSTITUTE(SUBSTITUTE(SUBSTITUTE(SUBSTITUTE(SUBSTITUTE(SUBSTITUTE(SUBSTITUTE(SUBSTITUTE(SUBSTITUTE(SUBSTITUTE(SUBSTITUTE(SUBSTITUTE(SUBSTITUTE(BO9,"b","a"),"c","a"),"d","a"),"e","a"),"f","a"),"g","a"),"h","a"),"i","a"),"j","a"),"k","a"),"l","a"),"m","a"),"n","a"),"o","a"),"p","a"),"q","a"),"r","a"),"s","a"),"t","a"),"u","a"),"v","a"),"w","a"),"x","a"),"y","a"),"z","a")</f>
        <v/>
      </c>
      <c r="BQ9" s="61" t="n">
        <f aca="false">IFERROR(IF(AND(ISERROR(SEARCH(" mh"," "&amp;LOWER(W9))),ISNA(MATCH(LEFT(TRIM(BP9),255),{"0000a","000a","00a","0000aa","000aa","00aa","0aa","0000aaa","000aaa","00a00","0a00","0000-0000","00:00","a00","a0","00.00.0000","00/00/0000","00-00-0000","0000-00-00","0000/00/00","0000.00.00","00.00.00","00/00/00","00-00-00","0.00.0000","0/00/0000","0-00-0000"},0)),ISNA(MATCH(LEFT(TRIM(CA9),255),{"0000a","000a","00a","0000aa","000aa","00aa","0aa","0000aaa","000aaa","00a00","0a00","0000-0000","00:00","a00","a0","00.00.0000","00/00/0000","00-00-0000","0000-00-00","0000/00/00","0000.00.00","00.00.00","00/00/00","00-00-00","0.00.0000","0/00/0000","0-00-0000"},0)),LEN(CB9)&gt;=3,NOT(OR(SUBSTITUTE(CB9,"0","")="",AND(LEN(CB9)&gt;=4,CB9=REPT(LEFT(CB9),LEN(CB9))),ISNUMBER(MATCH(CB9,{"123","1234","12345","123456","1234567","12345678","0123","01234","012345","98765","987654","54321"},0)),AND(LEN(CB9)=8,LEFT(CB9,3)="202"))),OR(AND((LEN(CA9)-LEN(SUBSTITUTE(CA9,"a","")))&gt;=1,SUMPRODUCT(--ISNUMBER(SEARCH({"a0","a-0","a_0","a/0","a.0","a#0","0a","0-a","0_a","0/a"},BP9)))&gt;0),ISNUMBER(SEARCH("000000",BP9)))),1,0),0)</f>
        <v>0</v>
      </c>
      <c r="BR9" s="61" t="n">
        <f aca="false">IFERROR(LEN(SUBSTITUTE(CC9," ",""))-SUMPRODUCT((LEN(CC9)-LEN(SUBSTITUTE(CC9," "&amp;L_Role&amp;" "," ")))/(LEN(L_Role)+1)*LEN(L_Role)),0)</f>
        <v>0</v>
      </c>
      <c r="BS9" s="61" t="n">
        <f aca="false">IFERROR(LEN(SUBSTITUTE(CD9," ",""))-SUMPRODUCT((LEN(CD9)-LEN(SUBSTITUTE(CD9," "&amp;L_Role&amp;" "," ")))/(LEN(L_Role)+1)*LEN(L_Role)),0)</f>
        <v>0</v>
      </c>
      <c r="BT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revision",""),"version",""),"jan",""),"feb",""),"mar",""),"apr",""),"may",""),"jun",""),"jul",""),"aug",""),"sep",""),"oct",""),"nov",""),"dec",""),"utc",""),"gmt",""),"myt",""),"bst",""),"rev",""),"ver",""),"b","a"),"c","a"),"d","a"),"e","a"),"f","a"),"g","a"),"h","a"),"i","a"),"j","a"),"k","a"),"l","a"),"m","a"),"n","a"),"o","a"),"p","a"),"q","a"),"r","a"),"s","a"),"t","a"),"u","a"),"v","a"),"w","a"),"x","a"),"y","a"),"z","a")</f>
        <v/>
      </c>
      <c r="BU9" s="61" t="str">
        <f aca="false">SUBSTITUTE(SUBSTITUTE(SUBSTITUTE(SUBSTITUTE(SUBSTITUTE(SUBSTITUTE(SUBSTITUTE(SUBSTITUTE(SUBSTITUTE(SUBSTITUTE(LEFT(BM9,FIND("0",BM9&amp;"0")-1),"-",""),"_",""),"/",""),".",""),"#",""),"\\",""),":","")," ",""),"(",""),")","")</f>
        <v/>
      </c>
      <c r="BV9" s="61" t="n">
        <f aca="false">0</f>
        <v>0</v>
      </c>
      <c r="BW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amp;""),"a",""),"b",""),"c",""),"d",""),"e",""),"f",""),"g",""),"h",""),"i",""),"j",""),"k",""),"l",""),"m",""),"n",""),"o",""),"p",""),"q",""),"r",""),"s",""),"t",""),"u",""),"v",""),"w",""),"x",""),"y",""),"z",""),"-",""),"_",""),"/",""),".",""),"#",""),"\\",""),":","")," ",""),"(",""),")","")</f>
        <v/>
      </c>
      <c r="BX9" s="61" t="str">
        <f aca="false">SUBSTITUTE(SUBSTITUTE(SUBSTITUTE(SUBSTITUTE(SUBSTITUTE(SUBSTITUTE(SUBSTITUTE(SUBSTITUTE(SUBSTITUTE(SUBSTITUTE(SUBSTITUTE(BM9,"0",""),"-",""),"_",""),"/",""),".",""),"#",""),"\\",""),":","")," ",""),"(",""),")","")</f>
        <v/>
      </c>
      <c r="BY9" s="62" t="n">
        <f aca="false">Q9-T7EarlyD*24/24</f>
        <v>46282.8576388889</v>
      </c>
      <c r="BZ9" s="61" t="n">
        <f aca="false">IFERROR(IF(IF(TRIM(S9)="Link / file path",AND(LEN(TRIM(Z9))&gt;=5,SUMPRODUCT(--ISNUMBER(SEARCH({"http","www.","\\",":\",".pdf",".jpg",".jpeg",".png",".heic",".xls",".doc",".msg",".eml",".ppt",".txt",".zip"},Z9)))&gt;0),AND(ISERROR(FIND(" ",TRIM(Z9))),NOT(OR(SUMPRODUCT(--ISNUMBER(FIND({",",";","&amp;","+"},Z9)))&gt;0,SUMPRODUCT(--ISNUMBER(SEARCH({"0/aa","0\\aa"},BN9)))&gt;0)),NOT(SUMPRODUCT(--ISNUMBER(SEARCH({"http","www.","\\",":\",".pdf",".jpg",".jpeg",".png",".heic",".xls",".doc",".msg",".eml",".ppt",".txt",".zip"},Z9)))&gt;0),NOT(LOWER(TRIM(Z9))=LOWER(Flights!$F$5)),ISNA(MATCH(BU9,{"mh","rev","revision","ver","version","v","r","a","b","seat","tray","row","gate","bay","stand","page","pg","item","line","no","cart","galley","flight","flt","table","box","bag","oven","etd","eta","std","sta","atd","ata","qty","pax","x","time","tel","ph","mob","day","wk","week","utc","gmt","myt","lt"},0)),NOT(OR(ISNUMBER(MATCH(LEFT(BN9,255),{"0000a","000a","00a","0000aa","000aa","00aa","0aa","0000aaa","000aaa","00a00","0a00","0000-0000","00:00","a00","a0","00.00.0000","00/00/0000","00-00-0000","0000-00-00","0000/00/00","0000.00.00","00.00.00","00/00/00","00-00-00","0.00.0000","0/00/0000","0-00-0000"},0)),ISNUMBER(MATCH(LEFT(BT9,255),{"0000a","000a","00a","0000aa","000aa","00aa","0aa","0000aaa","000aaa","00a00","0a00","0000-0000","00:00","a00","a0","00.00.0000","00/00/0000","00-00-0000","0000-00-00","0000/00/00","0000.00.00","00.00.00","00/00/00","00-00-00","0.00.0000","0/00/0000","0-00-0000"},0)))),NOT(OR(AND(BW9&lt;&gt;"",SUBSTITUTE(BW9,"0","")=""),AND(LEN(BW9)&gt;=4,BW9=REPT(LEFT(BW9),LEN(BW9))),ISNUMBER(MATCH(BW9,{"123","1234","12345","123456","1234567","12345678","0123","01234","012345","98765","987654","54321"},0)),ISNUMBER(MATCH(BX9,{"x","xx","xxx","xxxx","xxxxx","abc","abcd","nil","na","nan","test","tbc","tba","tbd","dummy","sample","example","eg","zz","zzz","none","null","xyz","qwe","asd","id","ref"},0)),AND(LEN(BW9)=8,BX9="",OR(LEFT(BW9,3)="202",ISNUMBER(MATCH(RIGHT(BW9,4),{"2025","2026","2027"},0)))))),OR(AND((LEN(BT9)-LEN(SUBSTITUTE(BT9,"a","")))&gt;=1,(LEN(BN9)-LEN(SUBSTITUTE(BN9,"0","")))&gt;=2,SUMPRODUCT(--ISNUMBER(SEARCH({"a0","a-0","a_0","a/0","a.0","a#0","0a","0-a","0_a","0/a"},BN9)))&gt;0),AND((LEN(BN9)-LEN(SUBSTITUTE(BN9,"a","")))=0,(LEN(BN9)-LEN(SUBSTITUTE(BN9,"0","")))&gt;=5)))),1,0),0)</f>
        <v>0</v>
      </c>
      <c r="CA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revision",""),"version",""),"jan",""),"feb",""),"mar",""),"apr",""),"may",""),"jun",""),"jul",""),"aug",""),"sep",""),"oct",""),"nov",""),"dec",""),"utc",""),"gmt",""),"myt",""),"bst",""),"rev",""),"ver",""),"b","a"),"c","a"),"d","a"),"e","a"),"f","a"),"g","a"),"h","a"),"i","a"),"j","a"),"k","a"),"l","a"),"m","a"),"n","a"),"o","a"),"p","a"),"q","a"),"r","a"),"s","a"),"t","a"),"u","a"),"v","a"),"w","a"),"x","a"),"y","a"),"z","a")</f>
        <v/>
      </c>
      <c r="CB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amp;""),"a",""),"b",""),"c",""),"d",""),"e",""),"f",""),"g",""),"h",""),"i",""),"j",""),"k",""),"l",""),"m",""),"n",""),"o",""),"p",""),"q",""),"r",""),"s",""),"t",""),"u",""),"v",""),"w",""),"x",""),"y",""),"z",""),"-",""),"_",""),"/",""),".",""),"#",""),"\\",""),":","")," ",""),"(",""),")","")</f>
        <v/>
      </c>
      <c r="CC9" s="0" t="str">
        <f aca="false">" "&amp;TRIM(SUBSTITUTE(SUBSTITUTE(SUBSTITUTE(SUBSTITUTE(SUBSTITUTE(SUBSTITUTE(SUBSTITUTE(SUBSTITUTE(SUBSTITUTE(SUBSTITUTE(SUBSTITUTE(SUBSTITUTE(SUBSTITUTE(SUBSTITUTE(SUBSTITUTE(SUBSTITUTE(SUBSTITUTE(SUBSTITUTE(SUBSTITUTE(SUBSTITUTE(SUBSTITUTE(SUBSTITUTE(SUBSTITUTE(SUBSTITUTE(LOWER(T9&amp;""),CHAR(10)," "),CHAR(13)," "),CHAR(9)," "),CHAR(160)," "),"."," "),","," "),"-"," "),"/"," "),"("," "),")"," "),":"," "),";"," "),"_"," "),"–"," "),"?"," "),"!"," "),"*"," "),"["," "),"]"," "),"'"," "),"#"," "),"+"," "),"&amp;"," "),"\"," "))&amp;" "</f>
        <v>  </v>
      </c>
      <c r="CD9" s="0" t="str">
        <f aca="false">" "&amp;TRIM(SUBSTITUTE(SUBSTITUTE(SUBSTITUTE(SUBSTITUTE(SUBSTITUTE(SUBSTITUTE(SUBSTITUTE(SUBSTITUTE(SUBSTITUTE(SUBSTITUTE(SUBSTITUTE(SUBSTITUTE(SUBSTITUTE(SUBSTITUTE(SUBSTITUTE(SUBSTITUTE(SUBSTITUTE(SUBSTITUTE(SUBSTITUTE(SUBSTITUTE(SUBSTITUTE(SUBSTITUTE(SUBSTITUTE(SUBSTITUTE(LOWER(AE9&amp;""),CHAR(10)," "),CHAR(13)," "),CHAR(9)," "),CHAR(160)," "),"."," "),","," "),"-"," "),"/"," "),"("," "),")"," "),":"," "),";"," "),"_"," "),"–"," "),"?"," "),"!"," "),"*"," "),"["," "),"]"," "),"'"," "),"#"," "),"+"," "),"&amp;"," "),"\"," "))&amp;" "</f>
        <v>  </v>
      </c>
      <c r="CE9" s="68" t="n">
        <f aca="false">IFERROR(IF(AND(LEN(AU9)&gt;0,LEN(AU9)=LEN(AX9),OR(TRIM(MID(SUBSTITUTE(TRIM(CC9)," ",REPT(" ",60)),1,60))="",ISNUMBER(SEARCH(" "&amp;TRIM(MID(SUBSTITUTE(TRIM(CC9)," ",REPT(" ",60)),1,60))&amp;" ",CD9))),OR(TRIM(MID(SUBSTITUTE(TRIM(CC9)," ",REPT(" ",60)),61,60))="",ISNUMBER(SEARCH(" "&amp;TRIM(MID(SUBSTITUTE(TRIM(CC9)," ",REPT(" ",60)),61,60))&amp;" ",CD9))),OR(TRIM(MID(SUBSTITUTE(TRIM(CC9)," ",REPT(" ",60)),121,60))="",ISNUMBER(SEARCH(" "&amp;TRIM(MID(SUBSTITUTE(TRIM(CC9)," ",REPT(" ",60)),121,60))&amp;" ",CD9)))),1,0),0)</f>
        <v>0</v>
      </c>
      <c r="CG9" s="68" t="n">
        <f aca="false">IFERROR(LEN(SUBSTITUTE(BF9," ",""))-SUMPRODUCT((LEN(BF9)-LEN(SUBSTITUTE(BF9," "&amp;L_NAFiller&amp;" "," ")))/(LEN(L_NAFiller)+1)*LEN(L_NAFiller)),0)</f>
        <v>0</v>
      </c>
    </row>
    <row r="10" customFormat="false" ht="39.75" hidden="false" customHeight="true" outlineLevel="0" collapsed="false">
      <c r="A10" s="57" t="s">
        <v>401</v>
      </c>
      <c r="B10" s="57" t="s">
        <v>183</v>
      </c>
      <c r="C10" s="57" t="str">
        <f aca="false">Flights!$F$5</f>
        <v>MH0001</v>
      </c>
      <c r="D10" s="58" t="n">
        <f aca="false">Flights!$D$5</f>
        <v>46303</v>
      </c>
      <c r="E10" s="57" t="str">
        <f aca="false">Flights!$G$5&amp;"-"&amp;Flights!$H$5</f>
        <v>LHR-KUL</v>
      </c>
      <c r="F10" s="57" t="str">
        <f aca="false">Flights!$K$5</f>
        <v>EY</v>
      </c>
      <c r="G10" s="57" t="s">
        <v>81</v>
      </c>
      <c r="H10" s="57" t="s">
        <v>378</v>
      </c>
      <c r="I10" s="57" t="s">
        <v>398</v>
      </c>
      <c r="J10" s="57" t="s">
        <v>402</v>
      </c>
      <c r="K10" s="67" t="s">
        <v>403</v>
      </c>
      <c r="L10" s="67" t="s">
        <v>382</v>
      </c>
      <c r="M10" s="67"/>
      <c r="N10" s="67" t="s">
        <v>383</v>
      </c>
      <c r="O10" s="67"/>
      <c r="P10" s="57" t="s">
        <v>186</v>
      </c>
      <c r="Q10" s="59" t="n">
        <f aca="false">ROUND((Flights!$AC$5)*1440,0)/1440</f>
        <v>46296.8576388889</v>
      </c>
      <c r="R10" s="59" t="n">
        <f aca="false">Q10+(IF(AND(INDEX(TZ_DSTS,MATCH(P10,TZ_STN,0))&lt;&gt;"",Q10&gt;=INDEX(TZ_DSTS,MATCH(P10,TZ_STN,0)),Q10&lt;INDEX(TZ_DSTE,MATCH(P10,TZ_STN,0))),INDEX(TZ_DST,MATCH(P10,TZ_STN,0)),INDEX(TZ_STD,MATCH(P10,TZ_STN,0))))/24</f>
        <v>46296.8993055556</v>
      </c>
      <c r="S10" s="60"/>
      <c r="T10" s="60"/>
      <c r="U10" s="60"/>
      <c r="V10" s="60"/>
      <c r="W10" s="61"/>
      <c r="X10" s="60"/>
      <c r="Y10" s="60"/>
      <c r="Z10" s="60"/>
      <c r="AA10" s="60"/>
      <c r="AB10" s="60"/>
      <c r="AC10" s="60"/>
      <c r="AD10" s="66"/>
      <c r="AE10" s="60"/>
      <c r="AF10" s="61" t="str">
        <f aca="false">IF(AND(ISNUMBER(X10),ISNUMBER(Y10)),Y10-X10,"")</f>
        <v/>
      </c>
      <c r="AG10" s="62" t="str">
        <f aca="false">IF(ISNUMBER(AD10),AD10-(IF(AND(INDEX(TZ_DSTS,MATCH(P10,TZ_STN,0))&lt;&gt;"",(AD10-INDEX(TZ_STD,MATCH(P10,TZ_STN,0))/24)&gt;=INDEX(TZ_DSTS,MATCH(P10,TZ_STN,0)),(AD10-INDEX(TZ_STD,MATCH(P10,TZ_STN,0))/24)&lt;INDEX(TZ_DSTE,MATCH(P10,TZ_STN,0))),INDEX(TZ_DST,MATCH(P10,TZ_STN,0)),INDEX(TZ_STD,MATCH(P10,TZ_STN,0))))/24,"")</f>
        <v/>
      </c>
      <c r="AH10" s="65" t="str">
        <f aca="false">IFERROR(IF(N10="N/A – rule",IF(OR(TRIM(U10)="",TRIM(U10)="N/A",TRIM(U10)="Not started"),"N/A – RULE","INVALID – this check does not apply to this aircraft: clear the status (or correct the fleet on Flights)"),IF(TRIM(U10)="N/A",IF(AT10=0,"INVALID – N/A not permitted for this check",IF(AND(TRIM(AB10)&lt;&gt;"",TRIM(AB10)&lt;&gt;"Closed"),"INVALID – corrective action still open",IF(AND(NOT(OR(LEN(AZ10)&lt;15,ISNUMBER(MATCH(AZ10,L_Placeholder,0)))),BK10=0,CG10&gt;=8,NOT(OR(LEN(AU10)&lt;2,ISNUMBER(MATCH(AU10,L_Placeholder,0)))),BR10&gt;=3,NOT(OR(LEN(AX10)&lt;2,ISNUMBER(MATCH(AX10,L_Placeholder,0)))),BS10&gt;=3,TRIM(AE10)&lt;&gt;TRIM(T10),AX10&lt;&gt;AU10,CE10=0),"N/A – JUSTIFIED","INVALID – N/A needs a real, settled reason (not 'not applicable' / 'as above' / TBC), a named PIC and a different named verifier"))),IF(OR(TRIM(U10)="Pass",TRIM(U10)="Pass after CA"),IF(NOT(ISNUMBER(AD10)),"INVALID – completion time missing",IF(OR(OR(LEN(AU10)&lt;2,ISNUMBER(MATCH(AU10,L_Placeholder,0))),BR10&lt;3),"INVALID – PIC missing or not a named person (a role such as QA / CSM is not a name)",IF(OR(LEN(AV10)&lt;2,ISNUMBER(MATCH(AV10,L_Placeholder,0))),"INVALID – result / assessment missing",IF(OR(OR(LEN(AW10)&lt;3,ISNUMBER(MATCH(AW10,L_Placeholder,0))),SUMPRODUCT(--ISNUMBER(SEARCH(" "&amp;L_EvidencePhrase&amp;" ",BD10)))&gt;0,BI10=1),"INVALID – evidence missing, placeholder or not yet on file",IF(ISNA(MATCH(TRIM(S10),L_EvidenceType,0)),"INVALID – choose the evidence type from the list (column S)",IF(BL10=0,"INVALID – evidence ID must be the record's own ID only (e.g. SF-2210, IMG_2231, 1045521); a link / file name needs type 'Link / file path'",IF(OR(OR(LEN(AX10)&lt;2,ISNUMBER(MATCH(AX10,L_Placeholder,0))),BS10&lt;3),"INVALID – verifier missing or not a named person (a role such as QA / CSM is not a name)",IF(OR(AX10=AU10,CE10=1,AND(LEN(AU10)&gt;=4,ISNUMBER(SEARCH(AU10,AX10))),AND(LEN(AX10)&gt;=4,ISNUMBER(SEARCH(AX10,AU10)))),"INVALID – verifier must be a different, named person (not the PIC or a role)",IF(BH10=1,"INVALID – result not yet available (awaiting / TBC)",IF(BG10=1,"INVALID – result describes a problem: record Fail, then Pass after CA (or reword if it is not a problem)",IF(BV10=1,"INVALID – wording says not on board: an on-board confirmation needs the item loaded",IF(AND(AQ10=1,OR(OR(LEN(AY10)&lt;3,ISNUMBER(MATCH(AY10,L_Placeholder,0))),BJ10=1,BQ10=0)),"INVALID – batch ID missing, placeholder or not an ID (e.g. PASB-261008-BC-017)",IF(AND(AR10=1,OR(NOT(ISNUMBER(X10)),NOT(ISNUMBER(Y10)))),"INVALID – expected/actual qty missing",IF(AND(AR10=1,OR(X10&lt;=0,Y10&lt;0)),"INVALID – expected qty must be above 0 and actual not negative",IF(BB10&lt;&gt;"",BB10,IF(AND(AS10=1,Documents!$J$5&lt;&gt;"ON FILE"),"INVALID – GLD not on file (Documents sheet)",IF(AND(AS10=2,Documents!$O$5&lt;&gt;"ON FILE"),"INVALID – menu checklist not on file (Documents sheet)",IF(AND(AS10=3,NOT(ISNUMBER(Flights!$AX$5))),"INVALID – enter carrying flight KUL departure (Flights AX)",IF(AND(AS10=3,OR(Flights!$AZ$5&gt;Flights!$AA$5,Flights!$AX$5&lt;Flights!$AA$5-3)),"INVALID – carrying flight (Flights AX) cannot arrive before this leg's STD, or is over 3 days early",IF(AG10&gt;AsOfUTC,"INVALID – completion time is in the future",IF(AND(ISNUMBER(BY10),AG10&lt;BY10),IF(H10="Physical uplift","INVALID – before uplift window (cannot confirm loading)","INVALID – before valid window"),IF(AG10&gt;Flights!$AA$5,"INVALID – completed after departure (cannot establish readiness)",IF(AND(H10="Preparation",AG10&gt;=IF(ISNUMBER(Flights!$BA$5),MIN(Flights!$BA$5,Flights!$AA$5),Flights!$AA$5)),"INVALID – completed after loading / departure (cannot establish readiness)",IF(AND(H10="Physical uplift",AG10&gt;Q10),"INVALID – recorded after the loading flight departed",IF(AG10&gt;Q10,"COMPLETE – LATE","COMPLETE"))))))))))))))))))))))))),IF(TRIM(U10)="Fail","FAIL – DISCREPANCY",IF(AND(TRIM(U10)&lt;&gt;"",TRIM(U10)&lt;&gt;"Not started",TRIM(U10)&lt;&gt;"In progress"),"INVALID – unrecognised status (use the list)",IF(AsOfUTC&gt;Q10,"OVERDUE",IF(N10="Clarification required","OPEN – CLARIFICATION","OPEN"))))))),"INVALID – error value in an input cell")</f>
        <v>OPEN</v>
      </c>
      <c r="AI10" s="61" t="n">
        <f aca="false">IF(OR(AH10="N/A – RULE",AH10="N/A – JUSTIFIED"),0,1)</f>
        <v>1</v>
      </c>
      <c r="AJ10" s="61" t="n">
        <f aca="false">IF(LEFT(AH10,8)="COMPLETE",1,0)</f>
        <v>0</v>
      </c>
      <c r="AK10" s="61" t="n">
        <f aca="false">IF(AND(AI10=1,AJ10=0,AsOfUTC&gt;Q10),1,0)</f>
        <v>0</v>
      </c>
      <c r="AL10" s="61" t="n">
        <f aca="false">IFERROR(IF(AND(AI10=1,OR(TRIM(U10)="Fail",AND(TRIM(AB10)&lt;&gt;"",TRIM(AB10)&lt;&gt;"Closed"),AND(ISNUMBER(AF10),AF10&lt;&gt;0,TRIM(U10)&lt;&gt;"Pass after CA"))),1,0),1)</f>
        <v>0</v>
      </c>
      <c r="AM10" s="61" t="n">
        <f aca="false">IF(LEFT(AH10,7)="INVALID",1,0)</f>
        <v>0</v>
      </c>
      <c r="AN10" s="61" t="n">
        <f aca="false">IF(AND(N10="Clarification required",AI10=1,AJ10=0),1,0)</f>
        <v>0</v>
      </c>
      <c r="AO10" s="61" t="str">
        <f aca="false">IF(AK10=1,SUM(AK$5:AK10),"")</f>
        <v/>
      </c>
      <c r="AP10" s="61" t="str">
        <f aca="false">IF(AL10=1,SUM(AL$5:AL10),"")</f>
        <v/>
      </c>
      <c r="AQ10" s="61" t="n">
        <v>0</v>
      </c>
      <c r="AR10" s="61" t="n">
        <v>0</v>
      </c>
      <c r="AS10" s="61" t="n">
        <v>0</v>
      </c>
      <c r="AT10" s="61" t="n">
        <v>0</v>
      </c>
      <c r="AU10" s="61" t="str">
        <f aca="false">SUBSTITUTE(SUBSTITUTE(SUBSTITUTE(SUBSTITUTE(SUBSTITUTE(SUBSTITUTE(SUBSTITUTE(SUBSTITUTE(SUBSTITUTE(SUBSTITUTE(SUBSTITUTE(SUBSTITUTE(SUBSTITUTE(SUBSTITUTE(SUBSTITUTE(SUBSTITUTE(LOWER(T10&amp;""),CHAR(10),""),CHAR(13),""),CHAR(9),""),CHAR(160),"")," ",""),".",""),"-",""),"/",""),"?",""),"_",""),",",""),"[",""),"]",""),"(",""),")",""),"*","")</f>
        <v/>
      </c>
      <c r="AV10" s="61" t="str">
        <f aca="false">SUBSTITUTE(SUBSTITUTE(SUBSTITUTE(SUBSTITUTE(SUBSTITUTE(SUBSTITUTE(SUBSTITUTE(SUBSTITUTE(SUBSTITUTE(SUBSTITUTE(SUBSTITUTE(SUBSTITUTE(SUBSTITUTE(SUBSTITUTE(SUBSTITUTE(SUBSTITUTE(LOWER(V10&amp;""),CHAR(10),""),CHAR(13),""),CHAR(9),""),CHAR(160),"")," ",""),".",""),"-",""),"/",""),"?",""),"_",""),",",""),"[",""),"]",""),"(",""),")",""),"*","")</f>
        <v/>
      </c>
      <c r="AW10" s="61" t="str">
        <f aca="false">SUBSTITUTE(SUBSTITUTE(SUBSTITUTE(SUBSTITUTE(SUBSTITUTE(SUBSTITUTE(SUBSTITUTE(SUBSTITUTE(SUBSTITUTE(SUBSTITUTE(SUBSTITUTE(SUBSTITUTE(SUBSTITUTE(SUBSTITUTE(SUBSTITUTE(SUBSTITUTE(LOWER(Z10&amp;""),CHAR(10),""),CHAR(13),""),CHAR(9),""),CHAR(160),"")," ",""),".",""),"-",""),"/",""),"?",""),"_",""),",",""),"[",""),"]",""),"(",""),")",""),"*","")</f>
        <v/>
      </c>
      <c r="AX10" s="61" t="str">
        <f aca="false">SUBSTITUTE(SUBSTITUTE(SUBSTITUTE(SUBSTITUTE(SUBSTITUTE(SUBSTITUTE(SUBSTITUTE(SUBSTITUTE(SUBSTITUTE(SUBSTITUTE(SUBSTITUTE(SUBSTITUTE(SUBSTITUTE(SUBSTITUTE(SUBSTITUTE(SUBSTITUTE(LOWER(AE10&amp;""),CHAR(10),""),CHAR(13),""),CHAR(9),""),CHAR(160),"")," ",""),".",""),"-",""),"/",""),"?",""),"_",""),",",""),"[",""),"]",""),"(",""),")",""),"*","")</f>
        <v/>
      </c>
      <c r="AY10" s="61" t="str">
        <f aca="false">SUBSTITUTE(SUBSTITUTE(SUBSTITUTE(SUBSTITUTE(SUBSTITUTE(SUBSTITUTE(SUBSTITUTE(SUBSTITUTE(SUBSTITUTE(SUBSTITUTE(SUBSTITUTE(SUBSTITUTE(SUBSTITUTE(SUBSTITUTE(SUBSTITUTE(SUBSTITUTE(LOWER(W10&amp;""),CHAR(10),""),CHAR(13),""),CHAR(9),""),CHAR(160),"")," ",""),".",""),"-",""),"/",""),"?",""),"_",""),",",""),"[",""),"]",""),"(",""),")",""),"*","")</f>
        <v/>
      </c>
      <c r="AZ10" s="61" t="str">
        <f aca="false">SUBSTITUTE(SUBSTITUTE(SUBSTITUTE(SUBSTITUTE(SUBSTITUTE(SUBSTITUTE(SUBSTITUTE(SUBSTITUTE(SUBSTITUTE(SUBSTITUTE(SUBSTITUTE(SUBSTITUTE(SUBSTITUTE(SUBSTITUTE(SUBSTITUTE(SUBSTITUTE(LOWER(AC10&amp;""),CHAR(10),""),CHAR(13),""),CHAR(9),""),CHAR(160),"")," ",""),".",""),"-",""),"/",""),"?",""),"_",""),",",""),"[",""),"]",""),"(",""),")",""),"*","")</f>
        <v/>
      </c>
      <c r="BA10" s="61" t="str">
        <f aca="false">SUBSTITUTE(SUBSTITUTE(SUBSTITUTE(SUBSTITUTE(SUBSTITUTE(SUBSTITUTE(SUBSTITUTE(SUBSTITUTE(SUBSTITUTE(SUBSTITUTE(SUBSTITUTE(SUBSTITUTE(SUBSTITUTE(SUBSTITUTE(SUBSTITUTE(SUBSTITUTE(LOWER(AA10&amp;""),CHAR(10),""),CHAR(13),""),CHAR(9),""),CHAR(160),"")," ",""),".",""),"-",""),"/",""),"?",""),"_",""),",",""),"[",""),"]",""),"(",""),")",""),"*","")</f>
        <v/>
      </c>
      <c r="BB10" s="61" t="str">
        <f aca="false">IF(AND(TRIM(U10)="Pass",ISNUMBER(AF10)),IF(AF10&lt;&gt;0,"INVALID – qty variance: use Fail or Pass after CA",""),"")&amp;IF(AND(TRIM(U10)="Pass after CA",ISNUMBER(AF10)),IF(AF10&lt;&gt;0,"INVALID – after the corrective action the actual qty must equal expected (update Actual)",""),"")&amp;IF(AND(TRIM(U10)="Pass",TRIM(AB10)&lt;&gt;"",TRIM(AB10)&lt;&gt;"Closed"),"INVALID – corrective action not closed: use Fail, then Pass after CA","")&amp;IF(AND(LEN(BA10)&gt;=2,ISNA(MATCH(LEFT(BA10,255),L_Placeholder,0)),TRIM(AB10)=""),"INVALID – CA status missing for the recorded corrective action","")&amp;IF(AND(TRIM(U10)="Pass after CA",OR(OR(LEN(BA10)&lt;5,ISNUMBER(MATCH(BA10,L_Placeholder,0))),TRIM(AB10)&lt;&gt;"Closed")),"INVALID – corrective action not recorded/closed","")</f>
        <v/>
      </c>
      <c r="BC10" s="61" t="str">
        <f aca="false">" "&amp;TRIM(SUBSTITUTE(SUBSTITUTE(SUBSTITUTE(SUBSTITUTE(SUBSTITUTE(SUBSTITUTE(SUBSTITUTE(SUBSTITUTE(SUBSTITUTE(SUBSTITUTE(SUBSTITUTE(SUBSTITUTE(SUBSTITUTE(SUBSTITUTE(SUBSTITUTE(SUBSTITUTE(SUBSTITUTE(SUBSTITUTE(SUBSTITUTE(SUBSTITUTE(SUBSTITUTE(SUBSTITUTE(SUBSTITUTE(SUBSTITUTE(LOWER(V10&amp;""),CHAR(10)," "),CHAR(13)," "),CHAR(9)," "),CHAR(160)," "),"."," "),","," "),"-"," "),"/"," "),"("," "),")"," "),":"," "),";"," "),"_"," "),"–"," "),"?"," "),"!"," "),"*"," "),"["," "),"]"," "),"'"," "),"#"," "),"+"," "),"&amp;"," "),"\"," "))&amp;" "</f>
        <v>  </v>
      </c>
      <c r="BD10" s="61" t="str">
        <f aca="false">" "&amp;TRIM(SUBSTITUTE(SUBSTITUTE(SUBSTITUTE(SUBSTITUTE(SUBSTITUTE(SUBSTITUTE(SUBSTITUTE(SUBSTITUTE(SUBSTITUTE(SUBSTITUTE(SUBSTITUTE(SUBSTITUTE(SUBSTITUTE(SUBSTITUTE(SUBSTITUTE(SUBSTITUTE(SUBSTITUTE(SUBSTITUTE(SUBSTITUTE(SUBSTITUTE(SUBSTITUTE(SUBSTITUTE(SUBSTITUTE(SUBSTITUTE(LOWER(Z10&amp;""),CHAR(10)," "),CHAR(13)," "),CHAR(9)," "),CHAR(160)," "),"."," "),","," "),"-"," "),"/"," "),"("," "),")"," "),":"," "),";"," "),"_"," "),"–"," "),"?"," "),"!"," "),"*"," "),"["," "),"]"," "),"'"," "),"#"," "),"+"," "),"&amp;"," "),"\"," "))&amp;" "</f>
        <v>  </v>
      </c>
      <c r="BE10" s="61" t="str">
        <f aca="false">" "&amp;TRIM(SUBSTITUTE(SUBSTITUTE(SUBSTITUTE(SUBSTITUTE(SUBSTITUTE(SUBSTITUTE(SUBSTITUTE(SUBSTITUTE(SUBSTITUTE(SUBSTITUTE(SUBSTITUTE(SUBSTITUTE(SUBSTITUTE(SUBSTITUTE(SUBSTITUTE(SUBSTITUTE(SUBSTITUTE(SUBSTITUTE(SUBSTITUTE(SUBSTITUTE(SUBSTITUTE(SUBSTITUTE(SUBSTITUTE(SUBSTITUTE(LOWER(W10&amp;""),CHAR(10)," "),CHAR(13)," "),CHAR(9)," "),CHAR(160)," "),"."," "),","," "),"-"," "),"/"," "),"("," "),")"," "),":"," "),";"," "),"_"," "),"–"," "),"?"," "),"!"," "),"*"," "),"["," "),"]"," "),"'"," "),"#"," "),"+"," "),"&amp;"," "),"\"," "))&amp;" "</f>
        <v>  </v>
      </c>
      <c r="BF10" s="61" t="str">
        <f aca="false">" "&amp;TRIM(SUBSTITUTE(SUBSTITUTE(SUBSTITUTE(SUBSTITUTE(SUBSTITUTE(SUBSTITUTE(SUBSTITUTE(SUBSTITUTE(SUBSTITUTE(SUBSTITUTE(SUBSTITUTE(SUBSTITUTE(SUBSTITUTE(SUBSTITUTE(SUBSTITUTE(SUBSTITUTE(SUBSTITUTE(SUBSTITUTE(SUBSTITUTE(SUBSTITUTE(SUBSTITUTE(SUBSTITUTE(SUBSTITUTE(SUBSTITUTE(LOWER(AC10&amp;""),CHAR(10)," "),CHAR(13)," "),CHAR(9)," "),CHAR(160)," "),"."," "),","," "),"-"," "),"/"," "),"("," "),")"," "),":"," "),";"," "),"_"," "),"–"," "),"?"," "),"!"," "),"*"," "),"["," "),"]"," "),"'"," "),"#"," "),"+"," "),"&amp;"," "),"\"," "))&amp;" "</f>
        <v>  </v>
      </c>
      <c r="BG10" s="61" t="n">
        <f aca="false">IFERROR(IF(AND(TRIM(U10)="Pass",SUMPRODUCT((LEN(BC10)-LEN(SUBSTITUTE(BC10," "&amp;L_ResultBad&amp;" "," ")))/(LEN(L_ResultBad)+1))&gt;SUMPRODUCT((LEN(BC10)-LEN(SUBSTITUTE(BC10," "&amp;L_NegPhrase&amp;" "," ")))/(LEN(L_NegPhrase)+1))),1,0),0)</f>
        <v>0</v>
      </c>
      <c r="BH10" s="61" t="n">
        <f aca="false">IFERROR(IF(SUMPRODUCT((LEN(BC10)-LEN(SUBSTITUTE(BC10," "&amp;L_Pending&amp;" "," ")))/(LEN(L_Pending)+1))&gt;SUMPRODUCT((LEN(BC10)-LEN(SUBSTITUTE(BC10," "&amp;L_PendNeg&amp;" "," ")))/(LEN(L_PendNeg)+1))+SUMPRODUCT((LEN(BC10)-LEN(SUBSTITUTE(BC10," "&amp;L_PendPrep&amp;" "," ")))/(LEN(L_PendPrep)+1)),1,0),1)</f>
        <v>0</v>
      </c>
      <c r="BI10" s="61" t="n">
        <f aca="false">IFERROR(IF(SUMPRODUCT((LEN(BD10)-LEN(SUBSTITUTE(BD10," "&amp;L_PendStrict&amp;" "," ")))/(LEN(L_PendStrict)+1))&gt;SUMPRODUCT((LEN(BD10)-LEN(SUBSTITUTE(BD10," "&amp;L_PendNeg&amp;" "," ")))/(LEN(L_PendNeg)+1)),1,0),1)</f>
        <v>0</v>
      </c>
      <c r="BJ10" s="61" t="n">
        <f aca="false">IFERROR(IF(SUMPRODUCT((LEN(BE10)-LEN(SUBSTITUTE(BE10," "&amp;L_Pending&amp;" "," ")))/(LEN(L_Pending)+1))&gt;SUMPRODUCT((LEN(BE10)-LEN(SUBSTITUTE(BE10," "&amp;L_PendNeg&amp;" "," ")))/(LEN(L_PendNeg)+1))+SUMPRODUCT((LEN(BE10)-LEN(SUBSTITUTE(BE10," "&amp;L_PendPrep&amp;" "," ")))/(LEN(L_PendPrep)+1)),1,0),1)</f>
        <v>0</v>
      </c>
      <c r="BK10" s="61" t="n">
        <f aca="false">IFERROR(IF(SUMPRODUCT((LEN(BF10)-LEN(SUBSTITUTE(BF10," "&amp;L_PendStrict&amp;" "," ")))/(LEN(L_PendStrict)+1))&gt;SUMPRODUCT((LEN(BF10)-LEN(SUBSTITUTE(BF10," "&amp;L_PendNeg&amp;" "," ")))/(LEN(L_PendNeg)+1)),1,0),1)</f>
        <v>0</v>
      </c>
      <c r="BL10" s="61" t="n">
        <f aca="false">IF(ISNA(MATCH(TRIM(S10),L_EvidenceType,0)),0,BZ10)</f>
        <v>0</v>
      </c>
      <c r="BM10" s="61" t="str">
        <f aca="false">SUBSTITUTE(SUBSTITUTE(SUBSTITUTE(SUBSTITUTE(SUBSTITUTE(SUBSTITUTE(SUBSTITUTE(SUBSTITUTE(SUBSTITUTE(LOWER(Z10&amp;""),"1","0"),"2","0"),"3","0"),"4","0"),"5","0"),"6","0"),"7","0"),"8","0"),"9","0")</f>
        <v/>
      </c>
      <c r="BN10" s="61" t="str">
        <f aca="false">SUBSTITUTE(SUBSTITUTE(SUBSTITUTE(SUBSTITUTE(SUBSTITUTE(SUBSTITUTE(SUBSTITUTE(SUBSTITUTE(SUBSTITUTE(SUBSTITUTE(SUBSTITUTE(SUBSTITUTE(SUBSTITUTE(SUBSTITUTE(SUBSTITUTE(SUBSTITUTE(SUBSTITUTE(SUBSTITUTE(SUBSTITUTE(SUBSTITUTE(SUBSTITUTE(SUBSTITUTE(SUBSTITUTE(SUBSTITUTE(SUBSTITUTE(BM10,"b","a"),"c","a"),"d","a"),"e","a"),"f","a"),"g","a"),"h","a"),"i","a"),"j","a"),"k","a"),"l","a"),"m","a"),"n","a"),"o","a"),"p","a"),"q","a"),"r","a"),"s","a"),"t","a"),"u","a"),"v","a"),"w","a"),"x","a"),"y","a"),"z","a")</f>
        <v/>
      </c>
      <c r="BO10" s="61" t="str">
        <f aca="false">SUBSTITUTE(SUBSTITUTE(SUBSTITUTE(SUBSTITUTE(SUBSTITUTE(SUBSTITUTE(SUBSTITUTE(SUBSTITUTE(SUBSTITUTE(LOWER(W10&amp;""),"1","0"),"2","0"),"3","0"),"4","0"),"5","0"),"6","0"),"7","0"),"8","0"),"9","0")</f>
        <v/>
      </c>
      <c r="BP10" s="61" t="str">
        <f aca="false">SUBSTITUTE(SUBSTITUTE(SUBSTITUTE(SUBSTITUTE(SUBSTITUTE(SUBSTITUTE(SUBSTITUTE(SUBSTITUTE(SUBSTITUTE(SUBSTITUTE(SUBSTITUTE(SUBSTITUTE(SUBSTITUTE(SUBSTITUTE(SUBSTITUTE(SUBSTITUTE(SUBSTITUTE(SUBSTITUTE(SUBSTITUTE(SUBSTITUTE(SUBSTITUTE(SUBSTITUTE(SUBSTITUTE(SUBSTITUTE(SUBSTITUTE(BO10,"b","a"),"c","a"),"d","a"),"e","a"),"f","a"),"g","a"),"h","a"),"i","a"),"j","a"),"k","a"),"l","a"),"m","a"),"n","a"),"o","a"),"p","a"),"q","a"),"r","a"),"s","a"),"t","a"),"u","a"),"v","a"),"w","a"),"x","a"),"y","a"),"z","a")</f>
        <v/>
      </c>
      <c r="BQ10" s="61" t="n">
        <f aca="false">IFERROR(IF(AND(ISERROR(SEARCH(" mh"," "&amp;LOWER(W10))),ISNA(MATCH(LEFT(TRIM(BP10),255),{"0000a","000a","00a","0000aa","000aa","00aa","0aa","0000aaa","000aaa","00a00","0a00","0000-0000","00:00","a00","a0","00.00.0000","00/00/0000","00-00-0000","0000-00-00","0000/00/00","0000.00.00","00.00.00","00/00/00","00-00-00","0.00.0000","0/00/0000","0-00-0000"},0)),ISNA(MATCH(LEFT(TRIM(CA10),255),{"0000a","000a","00a","0000aa","000aa","00aa","0aa","0000aaa","000aaa","00a00","0a00","0000-0000","00:00","a00","a0","00.00.0000","00/00/0000","00-00-0000","0000-00-00","0000/00/00","0000.00.00","00.00.00","00/00/00","00-00-00","0.00.0000","0/00/0000","0-00-0000"},0)),LEN(CB10)&gt;=3,NOT(OR(SUBSTITUTE(CB10,"0","")="",AND(LEN(CB10)&gt;=4,CB10=REPT(LEFT(CB10),LEN(CB10))),ISNUMBER(MATCH(CB10,{"123","1234","12345","123456","1234567","12345678","0123","01234","012345","98765","987654","54321"},0)),AND(LEN(CB10)=8,LEFT(CB10,3)="202"))),OR(AND((LEN(CA10)-LEN(SUBSTITUTE(CA10,"a","")))&gt;=1,SUMPRODUCT(--ISNUMBER(SEARCH({"a0","a-0","a_0","a/0","a.0","a#0","0a","0-a","0_a","0/a"},BP10)))&gt;0),ISNUMBER(SEARCH("000000",BP10)))),1,0),0)</f>
        <v>0</v>
      </c>
      <c r="BR10" s="61" t="n">
        <f aca="false">IFERROR(LEN(SUBSTITUTE(CC10," ",""))-SUMPRODUCT((LEN(CC10)-LEN(SUBSTITUTE(CC10," "&amp;L_Role&amp;" "," ")))/(LEN(L_Role)+1)*LEN(L_Role)),0)</f>
        <v>0</v>
      </c>
      <c r="BS10" s="61" t="n">
        <f aca="false">IFERROR(LEN(SUBSTITUTE(CD10," ",""))-SUMPRODUCT((LEN(CD10)-LEN(SUBSTITUTE(CD10," "&amp;L_Role&amp;" "," ")))/(LEN(L_Role)+1)*LEN(L_Role)),0)</f>
        <v>0</v>
      </c>
      <c r="BT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revision",""),"version",""),"jan",""),"feb",""),"mar",""),"apr",""),"may",""),"jun",""),"jul",""),"aug",""),"sep",""),"oct",""),"nov",""),"dec",""),"utc",""),"gmt",""),"myt",""),"bst",""),"rev",""),"ver",""),"b","a"),"c","a"),"d","a"),"e","a"),"f","a"),"g","a"),"h","a"),"i","a"),"j","a"),"k","a"),"l","a"),"m","a"),"n","a"),"o","a"),"p","a"),"q","a"),"r","a"),"s","a"),"t","a"),"u","a"),"v","a"),"w","a"),"x","a"),"y","a"),"z","a")</f>
        <v/>
      </c>
      <c r="BU10" s="61" t="str">
        <f aca="false">SUBSTITUTE(SUBSTITUTE(SUBSTITUTE(SUBSTITUTE(SUBSTITUTE(SUBSTITUTE(SUBSTITUTE(SUBSTITUTE(SUBSTITUTE(SUBSTITUTE(LEFT(BM10,FIND("0",BM10&amp;"0")-1),"-",""),"_",""),"/",""),".",""),"#",""),"\\",""),":","")," ",""),"(",""),")","")</f>
        <v/>
      </c>
      <c r="BV10" s="61" t="n">
        <f aca="false">0</f>
        <v>0</v>
      </c>
      <c r="BW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amp;""),"a",""),"b",""),"c",""),"d",""),"e",""),"f",""),"g",""),"h",""),"i",""),"j",""),"k",""),"l",""),"m",""),"n",""),"o",""),"p",""),"q",""),"r",""),"s",""),"t",""),"u",""),"v",""),"w",""),"x",""),"y",""),"z",""),"-",""),"_",""),"/",""),".",""),"#",""),"\\",""),":","")," ",""),"(",""),")","")</f>
        <v/>
      </c>
      <c r="BX10" s="61" t="str">
        <f aca="false">SUBSTITUTE(SUBSTITUTE(SUBSTITUTE(SUBSTITUTE(SUBSTITUTE(SUBSTITUTE(SUBSTITUTE(SUBSTITUTE(SUBSTITUTE(SUBSTITUTE(SUBSTITUTE(BM10,"0",""),"-",""),"_",""),"/",""),".",""),"#",""),"\\",""),":","")," ",""),"(",""),")","")</f>
        <v/>
      </c>
      <c r="BY10" s="62" t="n">
        <f aca="false">Q10-T7EarlyD*24/24</f>
        <v>46282.8576388889</v>
      </c>
      <c r="BZ10" s="61" t="n">
        <f aca="false">IFERROR(IF(IF(TRIM(S10)="Link / file path",AND(LEN(TRIM(Z10))&gt;=5,SUMPRODUCT(--ISNUMBER(SEARCH({"http","www.","\\",":\",".pdf",".jpg",".jpeg",".png",".heic",".xls",".doc",".msg",".eml",".ppt",".txt",".zip"},Z10)))&gt;0),AND(ISERROR(FIND(" ",TRIM(Z10))),NOT(OR(SUMPRODUCT(--ISNUMBER(FIND({",",";","&amp;","+"},Z10)))&gt;0,SUMPRODUCT(--ISNUMBER(SEARCH({"0/aa","0\\aa"},BN10)))&gt;0)),NOT(SUMPRODUCT(--ISNUMBER(SEARCH({"http","www.","\\",":\",".pdf",".jpg",".jpeg",".png",".heic",".xls",".doc",".msg",".eml",".ppt",".txt",".zip"},Z10)))&gt;0),NOT(LOWER(TRIM(Z10))=LOWER(Flights!$F$5)),ISNA(MATCH(BU10,{"mh","rev","revision","ver","version","v","r","a","b","seat","tray","row","gate","bay","stand","page","pg","item","line","no","cart","galley","flight","flt","table","box","bag","oven","etd","eta","std","sta","atd","ata","qty","pax","x","time","tel","ph","mob","day","wk","week","utc","gmt","myt","lt"},0)),NOT(OR(ISNUMBER(MATCH(LEFT(BN10,255),{"0000a","000a","00a","0000aa","000aa","00aa","0aa","0000aaa","000aaa","00a00","0a00","0000-0000","00:00","a00","a0","00.00.0000","00/00/0000","00-00-0000","0000-00-00","0000/00/00","0000.00.00","00.00.00","00/00/00","00-00-00","0.00.0000","0/00/0000","0-00-0000"},0)),ISNUMBER(MATCH(LEFT(BT10,255),{"0000a","000a","00a","0000aa","000aa","00aa","0aa","0000aaa","000aaa","00a00","0a00","0000-0000","00:00","a00","a0","00.00.0000","00/00/0000","00-00-0000","0000-00-00","0000/00/00","0000.00.00","00.00.00","00/00/00","00-00-00","0.00.0000","0/00/0000","0-00-0000"},0)))),NOT(OR(AND(BW10&lt;&gt;"",SUBSTITUTE(BW10,"0","")=""),AND(LEN(BW10)&gt;=4,BW10=REPT(LEFT(BW10),LEN(BW10))),ISNUMBER(MATCH(BW10,{"123","1234","12345","123456","1234567","12345678","0123","01234","012345","98765","987654","54321"},0)),ISNUMBER(MATCH(BX10,{"x","xx","xxx","xxxx","xxxxx","abc","abcd","nil","na","nan","test","tbc","tba","tbd","dummy","sample","example","eg","zz","zzz","none","null","xyz","qwe","asd","id","ref"},0)),AND(LEN(BW10)=8,BX10="",OR(LEFT(BW10,3)="202",ISNUMBER(MATCH(RIGHT(BW10,4),{"2025","2026","2027"},0)))))),OR(AND((LEN(BT10)-LEN(SUBSTITUTE(BT10,"a","")))&gt;=1,(LEN(BN10)-LEN(SUBSTITUTE(BN10,"0","")))&gt;=2,SUMPRODUCT(--ISNUMBER(SEARCH({"a0","a-0","a_0","a/0","a.0","a#0","0a","0-a","0_a","0/a"},BN10)))&gt;0),AND((LEN(BN10)-LEN(SUBSTITUTE(BN10,"a","")))=0,(LEN(BN10)-LEN(SUBSTITUTE(BN10,"0","")))&gt;=5)))),1,0),0)</f>
        <v>0</v>
      </c>
      <c r="CA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revision",""),"version",""),"jan",""),"feb",""),"mar",""),"apr",""),"may",""),"jun",""),"jul",""),"aug",""),"sep",""),"oct",""),"nov",""),"dec",""),"utc",""),"gmt",""),"myt",""),"bst",""),"rev",""),"ver",""),"b","a"),"c","a"),"d","a"),"e","a"),"f","a"),"g","a"),"h","a"),"i","a"),"j","a"),"k","a"),"l","a"),"m","a"),"n","a"),"o","a"),"p","a"),"q","a"),"r","a"),"s","a"),"t","a"),"u","a"),"v","a"),"w","a"),"x","a"),"y","a"),"z","a")</f>
        <v/>
      </c>
      <c r="CB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amp;""),"a",""),"b",""),"c",""),"d",""),"e",""),"f",""),"g",""),"h",""),"i",""),"j",""),"k",""),"l",""),"m",""),"n",""),"o",""),"p",""),"q",""),"r",""),"s",""),"t",""),"u",""),"v",""),"w",""),"x",""),"y",""),"z",""),"-",""),"_",""),"/",""),".",""),"#",""),"\\",""),":","")," ",""),"(",""),")","")</f>
        <v/>
      </c>
      <c r="CC10" s="0" t="str">
        <f aca="false">" "&amp;TRIM(SUBSTITUTE(SUBSTITUTE(SUBSTITUTE(SUBSTITUTE(SUBSTITUTE(SUBSTITUTE(SUBSTITUTE(SUBSTITUTE(SUBSTITUTE(SUBSTITUTE(SUBSTITUTE(SUBSTITUTE(SUBSTITUTE(SUBSTITUTE(SUBSTITUTE(SUBSTITUTE(SUBSTITUTE(SUBSTITUTE(SUBSTITUTE(SUBSTITUTE(SUBSTITUTE(SUBSTITUTE(SUBSTITUTE(SUBSTITUTE(LOWER(T10&amp;""),CHAR(10)," "),CHAR(13)," "),CHAR(9)," "),CHAR(160)," "),"."," "),","," "),"-"," "),"/"," "),"("," "),")"," "),":"," "),";"," "),"_"," "),"–"," "),"?"," "),"!"," "),"*"," "),"["," "),"]"," "),"'"," "),"#"," "),"+"," "),"&amp;"," "),"\"," "))&amp;" "</f>
        <v>  </v>
      </c>
      <c r="CD10" s="0" t="str">
        <f aca="false">" "&amp;TRIM(SUBSTITUTE(SUBSTITUTE(SUBSTITUTE(SUBSTITUTE(SUBSTITUTE(SUBSTITUTE(SUBSTITUTE(SUBSTITUTE(SUBSTITUTE(SUBSTITUTE(SUBSTITUTE(SUBSTITUTE(SUBSTITUTE(SUBSTITUTE(SUBSTITUTE(SUBSTITUTE(SUBSTITUTE(SUBSTITUTE(SUBSTITUTE(SUBSTITUTE(SUBSTITUTE(SUBSTITUTE(SUBSTITUTE(SUBSTITUTE(LOWER(AE10&amp;""),CHAR(10)," "),CHAR(13)," "),CHAR(9)," "),CHAR(160)," "),"."," "),","," "),"-"," "),"/"," "),"("," "),")"," "),":"," "),";"," "),"_"," "),"–"," "),"?"," "),"!"," "),"*"," "),"["," "),"]"," "),"'"," "),"#"," "),"+"," "),"&amp;"," "),"\"," "))&amp;" "</f>
        <v>  </v>
      </c>
      <c r="CE10" s="68" t="n">
        <f aca="false">IFERROR(IF(AND(LEN(AU10)&gt;0,LEN(AU10)=LEN(AX10),OR(TRIM(MID(SUBSTITUTE(TRIM(CC10)," ",REPT(" ",60)),1,60))="",ISNUMBER(SEARCH(" "&amp;TRIM(MID(SUBSTITUTE(TRIM(CC10)," ",REPT(" ",60)),1,60))&amp;" ",CD10))),OR(TRIM(MID(SUBSTITUTE(TRIM(CC10)," ",REPT(" ",60)),61,60))="",ISNUMBER(SEARCH(" "&amp;TRIM(MID(SUBSTITUTE(TRIM(CC10)," ",REPT(" ",60)),61,60))&amp;" ",CD10))),OR(TRIM(MID(SUBSTITUTE(TRIM(CC10)," ",REPT(" ",60)),121,60))="",ISNUMBER(SEARCH(" "&amp;TRIM(MID(SUBSTITUTE(TRIM(CC10)," ",REPT(" ",60)),121,60))&amp;" ",CD10)))),1,0),0)</f>
        <v>0</v>
      </c>
      <c r="CG10" s="68" t="n">
        <f aca="false">IFERROR(LEN(SUBSTITUTE(BF10," ",""))-SUMPRODUCT((LEN(BF10)-LEN(SUBSTITUTE(BF10," "&amp;L_NAFiller&amp;" "," ")))/(LEN(L_NAFiller)+1)*LEN(L_NAFiller)),0)</f>
        <v>0</v>
      </c>
    </row>
    <row r="11" customFormat="false" ht="39.75" hidden="false" customHeight="true" outlineLevel="0" collapsed="false">
      <c r="A11" s="57" t="s">
        <v>404</v>
      </c>
      <c r="B11" s="57" t="s">
        <v>183</v>
      </c>
      <c r="C11" s="57" t="str">
        <f aca="false">Flights!$F$5</f>
        <v>MH0001</v>
      </c>
      <c r="D11" s="58" t="n">
        <f aca="false">Flights!$D$5</f>
        <v>46303</v>
      </c>
      <c r="E11" s="57" t="str">
        <f aca="false">Flights!$G$5&amp;"-"&amp;Flights!$H$5</f>
        <v>LHR-KUL</v>
      </c>
      <c r="F11" s="57" t="str">
        <f aca="false">Flights!$K$5</f>
        <v>EY</v>
      </c>
      <c r="G11" s="57" t="s">
        <v>81</v>
      </c>
      <c r="H11" s="57" t="s">
        <v>378</v>
      </c>
      <c r="I11" s="57" t="s">
        <v>405</v>
      </c>
      <c r="J11" s="57" t="s">
        <v>406</v>
      </c>
      <c r="K11" s="67" t="s">
        <v>407</v>
      </c>
      <c r="L11" s="67" t="s">
        <v>382</v>
      </c>
      <c r="M11" s="67"/>
      <c r="N11" s="67" t="s">
        <v>383</v>
      </c>
      <c r="O11" s="67"/>
      <c r="P11" s="57" t="s">
        <v>186</v>
      </c>
      <c r="Q11" s="59" t="n">
        <f aca="false">ROUND((Flights!$AC$5)*1440,0)/1440</f>
        <v>46296.8576388889</v>
      </c>
      <c r="R11" s="59" t="n">
        <f aca="false">Q11+(IF(AND(INDEX(TZ_DSTS,MATCH(P11,TZ_STN,0))&lt;&gt;"",Q11&gt;=INDEX(TZ_DSTS,MATCH(P11,TZ_STN,0)),Q11&lt;INDEX(TZ_DSTE,MATCH(P11,TZ_STN,0))),INDEX(TZ_DST,MATCH(P11,TZ_STN,0)),INDEX(TZ_STD,MATCH(P11,TZ_STN,0))))/24</f>
        <v>46296.8993055556</v>
      </c>
      <c r="S11" s="60"/>
      <c r="T11" s="60"/>
      <c r="U11" s="60"/>
      <c r="V11" s="60"/>
      <c r="W11" s="61"/>
      <c r="X11" s="60"/>
      <c r="Y11" s="60"/>
      <c r="Z11" s="60"/>
      <c r="AA11" s="60"/>
      <c r="AB11" s="60"/>
      <c r="AC11" s="60"/>
      <c r="AD11" s="66"/>
      <c r="AE11" s="60"/>
      <c r="AF11" s="61" t="str">
        <f aca="false">IF(AND(ISNUMBER(X11),ISNUMBER(Y11)),Y11-X11,"")</f>
        <v/>
      </c>
      <c r="AG11" s="62" t="str">
        <f aca="false">IF(ISNUMBER(AD11),AD11-(IF(AND(INDEX(TZ_DSTS,MATCH(P11,TZ_STN,0))&lt;&gt;"",(AD11-INDEX(TZ_STD,MATCH(P11,TZ_STN,0))/24)&gt;=INDEX(TZ_DSTS,MATCH(P11,TZ_STN,0)),(AD11-INDEX(TZ_STD,MATCH(P11,TZ_STN,0))/24)&lt;INDEX(TZ_DSTE,MATCH(P11,TZ_STN,0))),INDEX(TZ_DST,MATCH(P11,TZ_STN,0)),INDEX(TZ_STD,MATCH(P11,TZ_STN,0))))/24,"")</f>
        <v/>
      </c>
      <c r="AH11" s="65" t="str">
        <f aca="false">IFERROR(IF(N11="N/A – rule",IF(OR(TRIM(U11)="",TRIM(U11)="N/A",TRIM(U11)="Not started"),"N/A – RULE","INVALID – this check does not apply to this aircraft: clear the status (or correct the fleet on Flights)"),IF(TRIM(U11)="N/A",IF(AT11=0,"INVALID – N/A not permitted for this check",IF(AND(TRIM(AB11)&lt;&gt;"",TRIM(AB11)&lt;&gt;"Closed"),"INVALID – corrective action still open",IF(AND(NOT(OR(LEN(AZ11)&lt;15,ISNUMBER(MATCH(AZ11,L_Placeholder,0)))),BK11=0,CG11&gt;=8,NOT(OR(LEN(AU11)&lt;2,ISNUMBER(MATCH(AU11,L_Placeholder,0)))),BR11&gt;=3,NOT(OR(LEN(AX11)&lt;2,ISNUMBER(MATCH(AX11,L_Placeholder,0)))),BS11&gt;=3,TRIM(AE11)&lt;&gt;TRIM(T11),AX11&lt;&gt;AU11,CE11=0),"N/A – JUSTIFIED","INVALID – N/A needs a real, settled reason (not 'not applicable' / 'as above' / TBC), a named PIC and a different named verifier"))),IF(OR(TRIM(U11)="Pass",TRIM(U11)="Pass after CA"),IF(NOT(ISNUMBER(AD11)),"INVALID – completion time missing",IF(OR(OR(LEN(AU11)&lt;2,ISNUMBER(MATCH(AU11,L_Placeholder,0))),BR11&lt;3),"INVALID – PIC missing or not a named person (a role such as QA / CSM is not a name)",IF(OR(LEN(AV11)&lt;2,ISNUMBER(MATCH(AV11,L_Placeholder,0))),"INVALID – result / assessment missing",IF(OR(OR(LEN(AW11)&lt;3,ISNUMBER(MATCH(AW11,L_Placeholder,0))),SUMPRODUCT(--ISNUMBER(SEARCH(" "&amp;L_EvidencePhrase&amp;" ",BD11)))&gt;0,BI11=1),"INVALID – evidence missing, placeholder or not yet on file",IF(ISNA(MATCH(TRIM(S11),L_EvidenceType,0)),"INVALID – choose the evidence type from the list (column S)",IF(BL11=0,"INVALID – evidence ID must be the record's own ID only (e.g. SF-2210, IMG_2231, 1045521); a link / file name needs type 'Link / file path'",IF(OR(OR(LEN(AX11)&lt;2,ISNUMBER(MATCH(AX11,L_Placeholder,0))),BS11&lt;3),"INVALID – verifier missing or not a named person (a role such as QA / CSM is not a name)",IF(OR(AX11=AU11,CE11=1,AND(LEN(AU11)&gt;=4,ISNUMBER(SEARCH(AU11,AX11))),AND(LEN(AX11)&gt;=4,ISNUMBER(SEARCH(AX11,AU11)))),"INVALID – verifier must be a different, named person (not the PIC or a role)",IF(BH11=1,"INVALID – result not yet available (awaiting / TBC)",IF(BG11=1,"INVALID – result describes a problem: record Fail, then Pass after CA (or reword if it is not a problem)",IF(BV11=1,"INVALID – wording says not on board: an on-board confirmation needs the item loaded",IF(AND(AQ11=1,OR(OR(LEN(AY11)&lt;3,ISNUMBER(MATCH(AY11,L_Placeholder,0))),BJ11=1,BQ11=0)),"INVALID – batch ID missing, placeholder or not an ID (e.g. PASB-261008-BC-017)",IF(AND(AR11=1,OR(NOT(ISNUMBER(X11)),NOT(ISNUMBER(Y11)))),"INVALID – expected/actual qty missing",IF(AND(AR11=1,OR(X11&lt;=0,Y11&lt;0)),"INVALID – expected qty must be above 0 and actual not negative",IF(BB11&lt;&gt;"",BB11,IF(AND(AS11=1,Documents!$J$5&lt;&gt;"ON FILE"),"INVALID – GLD not on file (Documents sheet)",IF(AND(AS11=2,Documents!$O$5&lt;&gt;"ON FILE"),"INVALID – menu checklist not on file (Documents sheet)",IF(AND(AS11=3,NOT(ISNUMBER(Flights!$AX$5))),"INVALID – enter carrying flight KUL departure (Flights AX)",IF(AND(AS11=3,OR(Flights!$AZ$5&gt;Flights!$AA$5,Flights!$AX$5&lt;Flights!$AA$5-3)),"INVALID – carrying flight (Flights AX) cannot arrive before this leg's STD, or is over 3 days early",IF(AG11&gt;AsOfUTC,"INVALID – completion time is in the future",IF(AND(ISNUMBER(BY11),AG11&lt;BY11),IF(H11="Physical uplift","INVALID – before uplift window (cannot confirm loading)","INVALID – before valid window"),IF(AG11&gt;Flights!$AA$5,"INVALID – completed after departure (cannot establish readiness)",IF(AND(H11="Preparation",AG11&gt;=IF(ISNUMBER(Flights!$BA$5),MIN(Flights!$BA$5,Flights!$AA$5),Flights!$AA$5)),"INVALID – completed after loading / departure (cannot establish readiness)",IF(AND(H11="Physical uplift",AG11&gt;Q11),"INVALID – recorded after the loading flight departed",IF(AG11&gt;Q11,"COMPLETE – LATE","COMPLETE"))))))))))))))))))))))))),IF(TRIM(U11)="Fail","FAIL – DISCREPANCY",IF(AND(TRIM(U11)&lt;&gt;"",TRIM(U11)&lt;&gt;"Not started",TRIM(U11)&lt;&gt;"In progress"),"INVALID – unrecognised status (use the list)",IF(AsOfUTC&gt;Q11,"OVERDUE",IF(N11="Clarification required","OPEN – CLARIFICATION","OPEN"))))))),"INVALID – error value in an input cell")</f>
        <v>OPEN</v>
      </c>
      <c r="AI11" s="61" t="n">
        <f aca="false">IF(OR(AH11="N/A – RULE",AH11="N/A – JUSTIFIED"),0,1)</f>
        <v>1</v>
      </c>
      <c r="AJ11" s="61" t="n">
        <f aca="false">IF(LEFT(AH11,8)="COMPLETE",1,0)</f>
        <v>0</v>
      </c>
      <c r="AK11" s="61" t="n">
        <f aca="false">IF(AND(AI11=1,AJ11=0,AsOfUTC&gt;Q11),1,0)</f>
        <v>0</v>
      </c>
      <c r="AL11" s="61" t="n">
        <f aca="false">IFERROR(IF(AND(AI11=1,OR(TRIM(U11)="Fail",AND(TRIM(AB11)&lt;&gt;"",TRIM(AB11)&lt;&gt;"Closed"),AND(ISNUMBER(AF11),AF11&lt;&gt;0,TRIM(U11)&lt;&gt;"Pass after CA"))),1,0),1)</f>
        <v>0</v>
      </c>
      <c r="AM11" s="61" t="n">
        <f aca="false">IF(LEFT(AH11,7)="INVALID",1,0)</f>
        <v>0</v>
      </c>
      <c r="AN11" s="61" t="n">
        <f aca="false">IF(AND(N11="Clarification required",AI11=1,AJ11=0),1,0)</f>
        <v>0</v>
      </c>
      <c r="AO11" s="61" t="str">
        <f aca="false">IF(AK11=1,SUM(AK$5:AK11),"")</f>
        <v/>
      </c>
      <c r="AP11" s="61" t="str">
        <f aca="false">IF(AL11=1,SUM(AL$5:AL11),"")</f>
        <v/>
      </c>
      <c r="AQ11" s="61" t="n">
        <v>0</v>
      </c>
      <c r="AR11" s="61" t="n">
        <v>0</v>
      </c>
      <c r="AS11" s="61" t="n">
        <v>1</v>
      </c>
      <c r="AT11" s="61" t="n">
        <v>0</v>
      </c>
      <c r="AU11" s="61" t="str">
        <f aca="false">SUBSTITUTE(SUBSTITUTE(SUBSTITUTE(SUBSTITUTE(SUBSTITUTE(SUBSTITUTE(SUBSTITUTE(SUBSTITUTE(SUBSTITUTE(SUBSTITUTE(SUBSTITUTE(SUBSTITUTE(SUBSTITUTE(SUBSTITUTE(SUBSTITUTE(SUBSTITUTE(LOWER(T11&amp;""),CHAR(10),""),CHAR(13),""),CHAR(9),""),CHAR(160),"")," ",""),".",""),"-",""),"/",""),"?",""),"_",""),",",""),"[",""),"]",""),"(",""),")",""),"*","")</f>
        <v/>
      </c>
      <c r="AV11" s="61" t="str">
        <f aca="false">SUBSTITUTE(SUBSTITUTE(SUBSTITUTE(SUBSTITUTE(SUBSTITUTE(SUBSTITUTE(SUBSTITUTE(SUBSTITUTE(SUBSTITUTE(SUBSTITUTE(SUBSTITUTE(SUBSTITUTE(SUBSTITUTE(SUBSTITUTE(SUBSTITUTE(SUBSTITUTE(LOWER(V11&amp;""),CHAR(10),""),CHAR(13),""),CHAR(9),""),CHAR(160),"")," ",""),".",""),"-",""),"/",""),"?",""),"_",""),",",""),"[",""),"]",""),"(",""),")",""),"*","")</f>
        <v/>
      </c>
      <c r="AW11" s="61" t="str">
        <f aca="false">SUBSTITUTE(SUBSTITUTE(SUBSTITUTE(SUBSTITUTE(SUBSTITUTE(SUBSTITUTE(SUBSTITUTE(SUBSTITUTE(SUBSTITUTE(SUBSTITUTE(SUBSTITUTE(SUBSTITUTE(SUBSTITUTE(SUBSTITUTE(SUBSTITUTE(SUBSTITUTE(LOWER(Z11&amp;""),CHAR(10),""),CHAR(13),""),CHAR(9),""),CHAR(160),"")," ",""),".",""),"-",""),"/",""),"?",""),"_",""),",",""),"[",""),"]",""),"(",""),")",""),"*","")</f>
        <v/>
      </c>
      <c r="AX11" s="61" t="str">
        <f aca="false">SUBSTITUTE(SUBSTITUTE(SUBSTITUTE(SUBSTITUTE(SUBSTITUTE(SUBSTITUTE(SUBSTITUTE(SUBSTITUTE(SUBSTITUTE(SUBSTITUTE(SUBSTITUTE(SUBSTITUTE(SUBSTITUTE(SUBSTITUTE(SUBSTITUTE(SUBSTITUTE(LOWER(AE11&amp;""),CHAR(10),""),CHAR(13),""),CHAR(9),""),CHAR(160),"")," ",""),".",""),"-",""),"/",""),"?",""),"_",""),",",""),"[",""),"]",""),"(",""),")",""),"*","")</f>
        <v/>
      </c>
      <c r="AY11" s="61" t="str">
        <f aca="false">SUBSTITUTE(SUBSTITUTE(SUBSTITUTE(SUBSTITUTE(SUBSTITUTE(SUBSTITUTE(SUBSTITUTE(SUBSTITUTE(SUBSTITUTE(SUBSTITUTE(SUBSTITUTE(SUBSTITUTE(SUBSTITUTE(SUBSTITUTE(SUBSTITUTE(SUBSTITUTE(LOWER(W11&amp;""),CHAR(10),""),CHAR(13),""),CHAR(9),""),CHAR(160),"")," ",""),".",""),"-",""),"/",""),"?",""),"_",""),",",""),"[",""),"]",""),"(",""),")",""),"*","")</f>
        <v/>
      </c>
      <c r="AZ11" s="61" t="str">
        <f aca="false">SUBSTITUTE(SUBSTITUTE(SUBSTITUTE(SUBSTITUTE(SUBSTITUTE(SUBSTITUTE(SUBSTITUTE(SUBSTITUTE(SUBSTITUTE(SUBSTITUTE(SUBSTITUTE(SUBSTITUTE(SUBSTITUTE(SUBSTITUTE(SUBSTITUTE(SUBSTITUTE(LOWER(AC11&amp;""),CHAR(10),""),CHAR(13),""),CHAR(9),""),CHAR(160),"")," ",""),".",""),"-",""),"/",""),"?",""),"_",""),",",""),"[",""),"]",""),"(",""),")",""),"*","")</f>
        <v/>
      </c>
      <c r="BA11" s="61" t="str">
        <f aca="false">SUBSTITUTE(SUBSTITUTE(SUBSTITUTE(SUBSTITUTE(SUBSTITUTE(SUBSTITUTE(SUBSTITUTE(SUBSTITUTE(SUBSTITUTE(SUBSTITUTE(SUBSTITUTE(SUBSTITUTE(SUBSTITUTE(SUBSTITUTE(SUBSTITUTE(SUBSTITUTE(LOWER(AA11&amp;""),CHAR(10),""),CHAR(13),""),CHAR(9),""),CHAR(160),"")," ",""),".",""),"-",""),"/",""),"?",""),"_",""),",",""),"[",""),"]",""),"(",""),")",""),"*","")</f>
        <v/>
      </c>
      <c r="BB11" s="61" t="str">
        <f aca="false">IF(AND(TRIM(U11)="Pass",ISNUMBER(AF11)),IF(AF11&lt;&gt;0,"INVALID – qty variance: use Fail or Pass after CA",""),"")&amp;IF(AND(TRIM(U11)="Pass after CA",ISNUMBER(AF11)),IF(AF11&lt;&gt;0,"INVALID – after the corrective action the actual qty must equal expected (update Actual)",""),"")&amp;IF(AND(TRIM(U11)="Pass",TRIM(AB11)&lt;&gt;"",TRIM(AB11)&lt;&gt;"Closed"),"INVALID – corrective action not closed: use Fail, then Pass after CA","")&amp;IF(AND(LEN(BA11)&gt;=2,ISNA(MATCH(LEFT(BA11,255),L_Placeholder,0)),TRIM(AB11)=""),"INVALID – CA status missing for the recorded corrective action","")&amp;IF(AND(TRIM(U11)="Pass after CA",OR(OR(LEN(BA11)&lt;5,ISNUMBER(MATCH(BA11,L_Placeholder,0))),TRIM(AB11)&lt;&gt;"Closed")),"INVALID – corrective action not recorded/closed","")</f>
        <v/>
      </c>
      <c r="BC11" s="61" t="str">
        <f aca="false">" "&amp;TRIM(SUBSTITUTE(SUBSTITUTE(SUBSTITUTE(SUBSTITUTE(SUBSTITUTE(SUBSTITUTE(SUBSTITUTE(SUBSTITUTE(SUBSTITUTE(SUBSTITUTE(SUBSTITUTE(SUBSTITUTE(SUBSTITUTE(SUBSTITUTE(SUBSTITUTE(SUBSTITUTE(SUBSTITUTE(SUBSTITUTE(SUBSTITUTE(SUBSTITUTE(SUBSTITUTE(SUBSTITUTE(SUBSTITUTE(SUBSTITUTE(LOWER(V11&amp;""),CHAR(10)," "),CHAR(13)," "),CHAR(9)," "),CHAR(160)," "),"."," "),","," "),"-"," "),"/"," "),"("," "),")"," "),":"," "),";"," "),"_"," "),"–"," "),"?"," "),"!"," "),"*"," "),"["," "),"]"," "),"'"," "),"#"," "),"+"," "),"&amp;"," "),"\"," "))&amp;" "</f>
        <v>  </v>
      </c>
      <c r="BD11" s="61" t="str">
        <f aca="false">" "&amp;TRIM(SUBSTITUTE(SUBSTITUTE(SUBSTITUTE(SUBSTITUTE(SUBSTITUTE(SUBSTITUTE(SUBSTITUTE(SUBSTITUTE(SUBSTITUTE(SUBSTITUTE(SUBSTITUTE(SUBSTITUTE(SUBSTITUTE(SUBSTITUTE(SUBSTITUTE(SUBSTITUTE(SUBSTITUTE(SUBSTITUTE(SUBSTITUTE(SUBSTITUTE(SUBSTITUTE(SUBSTITUTE(SUBSTITUTE(SUBSTITUTE(LOWER(Z11&amp;""),CHAR(10)," "),CHAR(13)," "),CHAR(9)," "),CHAR(160)," "),"."," "),","," "),"-"," "),"/"," "),"("," "),")"," "),":"," "),";"," "),"_"," "),"–"," "),"?"," "),"!"," "),"*"," "),"["," "),"]"," "),"'"," "),"#"," "),"+"," "),"&amp;"," "),"\"," "))&amp;" "</f>
        <v>  </v>
      </c>
      <c r="BE11" s="61" t="str">
        <f aca="false">" "&amp;TRIM(SUBSTITUTE(SUBSTITUTE(SUBSTITUTE(SUBSTITUTE(SUBSTITUTE(SUBSTITUTE(SUBSTITUTE(SUBSTITUTE(SUBSTITUTE(SUBSTITUTE(SUBSTITUTE(SUBSTITUTE(SUBSTITUTE(SUBSTITUTE(SUBSTITUTE(SUBSTITUTE(SUBSTITUTE(SUBSTITUTE(SUBSTITUTE(SUBSTITUTE(SUBSTITUTE(SUBSTITUTE(SUBSTITUTE(SUBSTITUTE(LOWER(W11&amp;""),CHAR(10)," "),CHAR(13)," "),CHAR(9)," "),CHAR(160)," "),"."," "),","," "),"-"," "),"/"," "),"("," "),")"," "),":"," "),";"," "),"_"," "),"–"," "),"?"," "),"!"," "),"*"," "),"["," "),"]"," "),"'"," "),"#"," "),"+"," "),"&amp;"," "),"\"," "))&amp;" "</f>
        <v>  </v>
      </c>
      <c r="BF11" s="61" t="str">
        <f aca="false">" "&amp;TRIM(SUBSTITUTE(SUBSTITUTE(SUBSTITUTE(SUBSTITUTE(SUBSTITUTE(SUBSTITUTE(SUBSTITUTE(SUBSTITUTE(SUBSTITUTE(SUBSTITUTE(SUBSTITUTE(SUBSTITUTE(SUBSTITUTE(SUBSTITUTE(SUBSTITUTE(SUBSTITUTE(SUBSTITUTE(SUBSTITUTE(SUBSTITUTE(SUBSTITUTE(SUBSTITUTE(SUBSTITUTE(SUBSTITUTE(SUBSTITUTE(LOWER(AC11&amp;""),CHAR(10)," "),CHAR(13)," "),CHAR(9)," "),CHAR(160)," "),"."," "),","," "),"-"," "),"/"," "),"("," "),")"," "),":"," "),";"," "),"_"," "),"–"," "),"?"," "),"!"," "),"*"," "),"["," "),"]"," "),"'"," "),"#"," "),"+"," "),"&amp;"," "),"\"," "))&amp;" "</f>
        <v>  </v>
      </c>
      <c r="BG11" s="61" t="n">
        <f aca="false">IFERROR(IF(AND(TRIM(U11)="Pass",SUMPRODUCT((LEN(BC11)-LEN(SUBSTITUTE(BC11," "&amp;L_ResultBad&amp;" "," ")))/(LEN(L_ResultBad)+1))&gt;SUMPRODUCT((LEN(BC11)-LEN(SUBSTITUTE(BC11," "&amp;L_NegPhrase&amp;" "," ")))/(LEN(L_NegPhrase)+1))),1,0),0)</f>
        <v>0</v>
      </c>
      <c r="BH11" s="61" t="n">
        <f aca="false">IFERROR(IF(SUMPRODUCT((LEN(BC11)-LEN(SUBSTITUTE(BC11," "&amp;L_Pending&amp;" "," ")))/(LEN(L_Pending)+1))&gt;SUMPRODUCT((LEN(BC11)-LEN(SUBSTITUTE(BC11," "&amp;L_PendNeg&amp;" "," ")))/(LEN(L_PendNeg)+1))+SUMPRODUCT((LEN(BC11)-LEN(SUBSTITUTE(BC11," "&amp;L_PendPrep&amp;" "," ")))/(LEN(L_PendPrep)+1)),1,0),1)</f>
        <v>0</v>
      </c>
      <c r="BI11" s="61" t="n">
        <f aca="false">IFERROR(IF(SUMPRODUCT((LEN(BD11)-LEN(SUBSTITUTE(BD11," "&amp;L_PendStrict&amp;" "," ")))/(LEN(L_PendStrict)+1))&gt;SUMPRODUCT((LEN(BD11)-LEN(SUBSTITUTE(BD11," "&amp;L_PendNeg&amp;" "," ")))/(LEN(L_PendNeg)+1)),1,0),1)</f>
        <v>0</v>
      </c>
      <c r="BJ11" s="61" t="n">
        <f aca="false">IFERROR(IF(SUMPRODUCT((LEN(BE11)-LEN(SUBSTITUTE(BE11," "&amp;L_Pending&amp;" "," ")))/(LEN(L_Pending)+1))&gt;SUMPRODUCT((LEN(BE11)-LEN(SUBSTITUTE(BE11," "&amp;L_PendNeg&amp;" "," ")))/(LEN(L_PendNeg)+1))+SUMPRODUCT((LEN(BE11)-LEN(SUBSTITUTE(BE11," "&amp;L_PendPrep&amp;" "," ")))/(LEN(L_PendPrep)+1)),1,0),1)</f>
        <v>0</v>
      </c>
      <c r="BK11" s="61" t="n">
        <f aca="false">IFERROR(IF(SUMPRODUCT((LEN(BF11)-LEN(SUBSTITUTE(BF11," "&amp;L_PendStrict&amp;" "," ")))/(LEN(L_PendStrict)+1))&gt;SUMPRODUCT((LEN(BF11)-LEN(SUBSTITUTE(BF11," "&amp;L_PendNeg&amp;" "," ")))/(LEN(L_PendNeg)+1)),1,0),1)</f>
        <v>0</v>
      </c>
      <c r="BL11" s="61" t="n">
        <f aca="false">IF(ISNA(MATCH(TRIM(S11),L_EvidenceType,0)),0,BZ11)</f>
        <v>0</v>
      </c>
      <c r="BM11" s="61" t="str">
        <f aca="false">SUBSTITUTE(SUBSTITUTE(SUBSTITUTE(SUBSTITUTE(SUBSTITUTE(SUBSTITUTE(SUBSTITUTE(SUBSTITUTE(SUBSTITUTE(LOWER(Z11&amp;""),"1","0"),"2","0"),"3","0"),"4","0"),"5","0"),"6","0"),"7","0"),"8","0"),"9","0")</f>
        <v/>
      </c>
      <c r="BN11" s="61" t="str">
        <f aca="false">SUBSTITUTE(SUBSTITUTE(SUBSTITUTE(SUBSTITUTE(SUBSTITUTE(SUBSTITUTE(SUBSTITUTE(SUBSTITUTE(SUBSTITUTE(SUBSTITUTE(SUBSTITUTE(SUBSTITUTE(SUBSTITUTE(SUBSTITUTE(SUBSTITUTE(SUBSTITUTE(SUBSTITUTE(SUBSTITUTE(SUBSTITUTE(SUBSTITUTE(SUBSTITUTE(SUBSTITUTE(SUBSTITUTE(SUBSTITUTE(SUBSTITUTE(BM11,"b","a"),"c","a"),"d","a"),"e","a"),"f","a"),"g","a"),"h","a"),"i","a"),"j","a"),"k","a"),"l","a"),"m","a"),"n","a"),"o","a"),"p","a"),"q","a"),"r","a"),"s","a"),"t","a"),"u","a"),"v","a"),"w","a"),"x","a"),"y","a"),"z","a")</f>
        <v/>
      </c>
      <c r="BO11" s="61" t="str">
        <f aca="false">SUBSTITUTE(SUBSTITUTE(SUBSTITUTE(SUBSTITUTE(SUBSTITUTE(SUBSTITUTE(SUBSTITUTE(SUBSTITUTE(SUBSTITUTE(LOWER(W11&amp;""),"1","0"),"2","0"),"3","0"),"4","0"),"5","0"),"6","0"),"7","0"),"8","0"),"9","0")</f>
        <v/>
      </c>
      <c r="BP11" s="61" t="str">
        <f aca="false">SUBSTITUTE(SUBSTITUTE(SUBSTITUTE(SUBSTITUTE(SUBSTITUTE(SUBSTITUTE(SUBSTITUTE(SUBSTITUTE(SUBSTITUTE(SUBSTITUTE(SUBSTITUTE(SUBSTITUTE(SUBSTITUTE(SUBSTITUTE(SUBSTITUTE(SUBSTITUTE(SUBSTITUTE(SUBSTITUTE(SUBSTITUTE(SUBSTITUTE(SUBSTITUTE(SUBSTITUTE(SUBSTITUTE(SUBSTITUTE(SUBSTITUTE(BO11,"b","a"),"c","a"),"d","a"),"e","a"),"f","a"),"g","a"),"h","a"),"i","a"),"j","a"),"k","a"),"l","a"),"m","a"),"n","a"),"o","a"),"p","a"),"q","a"),"r","a"),"s","a"),"t","a"),"u","a"),"v","a"),"w","a"),"x","a"),"y","a"),"z","a")</f>
        <v/>
      </c>
      <c r="BQ11" s="61" t="n">
        <f aca="false">IFERROR(IF(AND(ISERROR(SEARCH(" mh"," "&amp;LOWER(W11))),ISNA(MATCH(LEFT(TRIM(BP11),255),{"0000a","000a","00a","0000aa","000aa","00aa","0aa","0000aaa","000aaa","00a00","0a00","0000-0000","00:00","a00","a0","00.00.0000","00/00/0000","00-00-0000","0000-00-00","0000/00/00","0000.00.00","00.00.00","00/00/00","00-00-00","0.00.0000","0/00/0000","0-00-0000"},0)),ISNA(MATCH(LEFT(TRIM(CA11),255),{"0000a","000a","00a","0000aa","000aa","00aa","0aa","0000aaa","000aaa","00a00","0a00","0000-0000","00:00","a00","a0","00.00.0000","00/00/0000","00-00-0000","0000-00-00","0000/00/00","0000.00.00","00.00.00","00/00/00","00-00-00","0.00.0000","0/00/0000","0-00-0000"},0)),LEN(CB11)&gt;=3,NOT(OR(SUBSTITUTE(CB11,"0","")="",AND(LEN(CB11)&gt;=4,CB11=REPT(LEFT(CB11),LEN(CB11))),ISNUMBER(MATCH(CB11,{"123","1234","12345","123456","1234567","12345678","0123","01234","012345","98765","987654","54321"},0)),AND(LEN(CB11)=8,LEFT(CB11,3)="202"))),OR(AND((LEN(CA11)-LEN(SUBSTITUTE(CA11,"a","")))&gt;=1,SUMPRODUCT(--ISNUMBER(SEARCH({"a0","a-0","a_0","a/0","a.0","a#0","0a","0-a","0_a","0/a"},BP11)))&gt;0),ISNUMBER(SEARCH("000000",BP11)))),1,0),0)</f>
        <v>0</v>
      </c>
      <c r="BR11" s="61" t="n">
        <f aca="false">IFERROR(LEN(SUBSTITUTE(CC11," ",""))-SUMPRODUCT((LEN(CC11)-LEN(SUBSTITUTE(CC11," "&amp;L_Role&amp;" "," ")))/(LEN(L_Role)+1)*LEN(L_Role)),0)</f>
        <v>0</v>
      </c>
      <c r="BS11" s="61" t="n">
        <f aca="false">IFERROR(LEN(SUBSTITUTE(CD11," ",""))-SUMPRODUCT((LEN(CD11)-LEN(SUBSTITUTE(CD11," "&amp;L_Role&amp;" "," ")))/(LEN(L_Role)+1)*LEN(L_Role)),0)</f>
        <v>0</v>
      </c>
      <c r="BT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revision",""),"version",""),"jan",""),"feb",""),"mar",""),"apr",""),"may",""),"jun",""),"jul",""),"aug",""),"sep",""),"oct",""),"nov",""),"dec",""),"utc",""),"gmt",""),"myt",""),"bst",""),"rev",""),"ver",""),"b","a"),"c","a"),"d","a"),"e","a"),"f","a"),"g","a"),"h","a"),"i","a"),"j","a"),"k","a"),"l","a"),"m","a"),"n","a"),"o","a"),"p","a"),"q","a"),"r","a"),"s","a"),"t","a"),"u","a"),"v","a"),"w","a"),"x","a"),"y","a"),"z","a")</f>
        <v/>
      </c>
      <c r="BU11" s="61" t="str">
        <f aca="false">SUBSTITUTE(SUBSTITUTE(SUBSTITUTE(SUBSTITUTE(SUBSTITUTE(SUBSTITUTE(SUBSTITUTE(SUBSTITUTE(SUBSTITUTE(SUBSTITUTE(LEFT(BM11,FIND("0",BM11&amp;"0")-1),"-",""),"_",""),"/",""),".",""),"#",""),"\\",""),":","")," ",""),"(",""),")","")</f>
        <v/>
      </c>
      <c r="BV11" s="61" t="n">
        <f aca="false">0</f>
        <v>0</v>
      </c>
      <c r="BW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amp;""),"a",""),"b",""),"c",""),"d",""),"e",""),"f",""),"g",""),"h",""),"i",""),"j",""),"k",""),"l",""),"m",""),"n",""),"o",""),"p",""),"q",""),"r",""),"s",""),"t",""),"u",""),"v",""),"w",""),"x",""),"y",""),"z",""),"-",""),"_",""),"/",""),".",""),"#",""),"\\",""),":","")," ",""),"(",""),")","")</f>
        <v/>
      </c>
      <c r="BX11" s="61" t="str">
        <f aca="false">SUBSTITUTE(SUBSTITUTE(SUBSTITUTE(SUBSTITUTE(SUBSTITUTE(SUBSTITUTE(SUBSTITUTE(SUBSTITUTE(SUBSTITUTE(SUBSTITUTE(SUBSTITUTE(BM11,"0",""),"-",""),"_",""),"/",""),".",""),"#",""),"\\",""),":","")," ",""),"(",""),")","")</f>
        <v/>
      </c>
      <c r="BY11" s="62" t="n">
        <f aca="false">Q11-T7EarlyD*24/24</f>
        <v>46282.8576388889</v>
      </c>
      <c r="BZ11" s="61" t="n">
        <f aca="false">IFERROR(IF(IF(TRIM(S11)="Link / file path",AND(LEN(TRIM(Z11))&gt;=5,SUMPRODUCT(--ISNUMBER(SEARCH({"http","www.","\\",":\",".pdf",".jpg",".jpeg",".png",".heic",".xls",".doc",".msg",".eml",".ppt",".txt",".zip"},Z11)))&gt;0),AND(ISERROR(FIND(" ",TRIM(Z11))),NOT(OR(SUMPRODUCT(--ISNUMBER(FIND({",",";","&amp;","+"},Z11)))&gt;0,SUMPRODUCT(--ISNUMBER(SEARCH({"0/aa","0\\aa"},BN11)))&gt;0)),NOT(SUMPRODUCT(--ISNUMBER(SEARCH({"http","www.","\\",":\",".pdf",".jpg",".jpeg",".png",".heic",".xls",".doc",".msg",".eml",".ppt",".txt",".zip"},Z11)))&gt;0),NOT(LOWER(TRIM(Z11))=LOWER(Flights!$F$5)),ISNA(MATCH(BU11,{"mh","rev","revision","ver","version","v","r","a","b","seat","tray","row","gate","bay","stand","page","pg","item","line","no","cart","galley","flight","flt","table","box","bag","oven","etd","eta","std","sta","atd","ata","qty","pax","x","time","tel","ph","mob","day","wk","week","utc","gmt","myt","lt"},0)),NOT(OR(ISNUMBER(MATCH(LEFT(BN11,255),{"0000a","000a","00a","0000aa","000aa","00aa","0aa","0000aaa","000aaa","00a00","0a00","0000-0000","00:00","a00","a0","00.00.0000","00/00/0000","00-00-0000","0000-00-00","0000/00/00","0000.00.00","00.00.00","00/00/00","00-00-00","0.00.0000","0/00/0000","0-00-0000"},0)),ISNUMBER(MATCH(LEFT(BT11,255),{"0000a","000a","00a","0000aa","000aa","00aa","0aa","0000aaa","000aaa","00a00","0a00","0000-0000","00:00","a00","a0","00.00.0000","00/00/0000","00-00-0000","0000-00-00","0000/00/00","0000.00.00","00.00.00","00/00/00","00-00-00","0.00.0000","0/00/0000","0-00-0000"},0)))),NOT(OR(AND(BW11&lt;&gt;"",SUBSTITUTE(BW11,"0","")=""),AND(LEN(BW11)&gt;=4,BW11=REPT(LEFT(BW11),LEN(BW11))),ISNUMBER(MATCH(BW11,{"123","1234","12345","123456","1234567","12345678","0123","01234","012345","98765","987654","54321"},0)),ISNUMBER(MATCH(BX11,{"x","xx","xxx","xxxx","xxxxx","abc","abcd","nil","na","nan","test","tbc","tba","tbd","dummy","sample","example","eg","zz","zzz","none","null","xyz","qwe","asd","id","ref"},0)),AND(LEN(BW11)=8,BX11="",OR(LEFT(BW11,3)="202",ISNUMBER(MATCH(RIGHT(BW11,4),{"2025","2026","2027"},0)))))),OR(AND((LEN(BT11)-LEN(SUBSTITUTE(BT11,"a","")))&gt;=1,(LEN(BN11)-LEN(SUBSTITUTE(BN11,"0","")))&gt;=2,SUMPRODUCT(--ISNUMBER(SEARCH({"a0","a-0","a_0","a/0","a.0","a#0","0a","0-a","0_a","0/a"},BN11)))&gt;0),AND((LEN(BN11)-LEN(SUBSTITUTE(BN11,"a","")))=0,(LEN(BN11)-LEN(SUBSTITUTE(BN11,"0","")))&gt;=5)))),1,0),0)</f>
        <v>0</v>
      </c>
      <c r="CA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revision",""),"version",""),"jan",""),"feb",""),"mar",""),"apr",""),"may",""),"jun",""),"jul",""),"aug",""),"sep",""),"oct",""),"nov",""),"dec",""),"utc",""),"gmt",""),"myt",""),"bst",""),"rev",""),"ver",""),"b","a"),"c","a"),"d","a"),"e","a"),"f","a"),"g","a"),"h","a"),"i","a"),"j","a"),"k","a"),"l","a"),"m","a"),"n","a"),"o","a"),"p","a"),"q","a"),"r","a"),"s","a"),"t","a"),"u","a"),"v","a"),"w","a"),"x","a"),"y","a"),"z","a")</f>
        <v/>
      </c>
      <c r="CB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amp;""),"a",""),"b",""),"c",""),"d",""),"e",""),"f",""),"g",""),"h",""),"i",""),"j",""),"k",""),"l",""),"m",""),"n",""),"o",""),"p",""),"q",""),"r",""),"s",""),"t",""),"u",""),"v",""),"w",""),"x",""),"y",""),"z",""),"-",""),"_",""),"/",""),".",""),"#",""),"\\",""),":","")," ",""),"(",""),")","")</f>
        <v/>
      </c>
      <c r="CC11" s="0" t="str">
        <f aca="false">" "&amp;TRIM(SUBSTITUTE(SUBSTITUTE(SUBSTITUTE(SUBSTITUTE(SUBSTITUTE(SUBSTITUTE(SUBSTITUTE(SUBSTITUTE(SUBSTITUTE(SUBSTITUTE(SUBSTITUTE(SUBSTITUTE(SUBSTITUTE(SUBSTITUTE(SUBSTITUTE(SUBSTITUTE(SUBSTITUTE(SUBSTITUTE(SUBSTITUTE(SUBSTITUTE(SUBSTITUTE(SUBSTITUTE(SUBSTITUTE(SUBSTITUTE(LOWER(T11&amp;""),CHAR(10)," "),CHAR(13)," "),CHAR(9)," "),CHAR(160)," "),"."," "),","," "),"-"," "),"/"," "),"("," "),")"," "),":"," "),";"," "),"_"," "),"–"," "),"?"," "),"!"," "),"*"," "),"["," "),"]"," "),"'"," "),"#"," "),"+"," "),"&amp;"," "),"\"," "))&amp;" "</f>
        <v>  </v>
      </c>
      <c r="CD11" s="0" t="str">
        <f aca="false">" "&amp;TRIM(SUBSTITUTE(SUBSTITUTE(SUBSTITUTE(SUBSTITUTE(SUBSTITUTE(SUBSTITUTE(SUBSTITUTE(SUBSTITUTE(SUBSTITUTE(SUBSTITUTE(SUBSTITUTE(SUBSTITUTE(SUBSTITUTE(SUBSTITUTE(SUBSTITUTE(SUBSTITUTE(SUBSTITUTE(SUBSTITUTE(SUBSTITUTE(SUBSTITUTE(SUBSTITUTE(SUBSTITUTE(SUBSTITUTE(SUBSTITUTE(LOWER(AE11&amp;""),CHAR(10)," "),CHAR(13)," "),CHAR(9)," "),CHAR(160)," "),"."," "),","," "),"-"," "),"/"," "),"("," "),")"," "),":"," "),";"," "),"_"," "),"–"," "),"?"," "),"!"," "),"*"," "),"["," "),"]"," "),"'"," "),"#"," "),"+"," "),"&amp;"," "),"\"," "))&amp;" "</f>
        <v>  </v>
      </c>
      <c r="CE11" s="68" t="n">
        <f aca="false">IFERROR(IF(AND(LEN(AU11)&gt;0,LEN(AU11)=LEN(AX11),OR(TRIM(MID(SUBSTITUTE(TRIM(CC11)," ",REPT(" ",60)),1,60))="",ISNUMBER(SEARCH(" "&amp;TRIM(MID(SUBSTITUTE(TRIM(CC11)," ",REPT(" ",60)),1,60))&amp;" ",CD11))),OR(TRIM(MID(SUBSTITUTE(TRIM(CC11)," ",REPT(" ",60)),61,60))="",ISNUMBER(SEARCH(" "&amp;TRIM(MID(SUBSTITUTE(TRIM(CC11)," ",REPT(" ",60)),61,60))&amp;" ",CD11))),OR(TRIM(MID(SUBSTITUTE(TRIM(CC11)," ",REPT(" ",60)),121,60))="",ISNUMBER(SEARCH(" "&amp;TRIM(MID(SUBSTITUTE(TRIM(CC11)," ",REPT(" ",60)),121,60))&amp;" ",CD11)))),1,0),0)</f>
        <v>0</v>
      </c>
      <c r="CG11" s="68" t="n">
        <f aca="false">IFERROR(LEN(SUBSTITUTE(BF11," ",""))-SUMPRODUCT((LEN(BF11)-LEN(SUBSTITUTE(BF11," "&amp;L_NAFiller&amp;" "," ")))/(LEN(L_NAFiller)+1)*LEN(L_NAFiller)),0)</f>
        <v>0</v>
      </c>
    </row>
    <row r="12" customFormat="false" ht="39.75" hidden="false" customHeight="true" outlineLevel="0" collapsed="false">
      <c r="A12" s="57" t="s">
        <v>408</v>
      </c>
      <c r="B12" s="57" t="s">
        <v>183</v>
      </c>
      <c r="C12" s="57" t="str">
        <f aca="false">Flights!$F$5</f>
        <v>MH0001</v>
      </c>
      <c r="D12" s="58" t="n">
        <f aca="false">Flights!$D$5</f>
        <v>46303</v>
      </c>
      <c r="E12" s="57" t="str">
        <f aca="false">Flights!$G$5&amp;"-"&amp;Flights!$H$5</f>
        <v>LHR-KUL</v>
      </c>
      <c r="F12" s="57" t="str">
        <f aca="false">Flights!$K$5</f>
        <v>EY</v>
      </c>
      <c r="G12" s="57" t="s">
        <v>81</v>
      </c>
      <c r="H12" s="57" t="s">
        <v>378</v>
      </c>
      <c r="I12" s="57" t="s">
        <v>405</v>
      </c>
      <c r="J12" s="57" t="s">
        <v>409</v>
      </c>
      <c r="K12" s="67" t="s">
        <v>407</v>
      </c>
      <c r="L12" s="67" t="s">
        <v>382</v>
      </c>
      <c r="M12" s="67"/>
      <c r="N12" s="67" t="s">
        <v>383</v>
      </c>
      <c r="O12" s="67"/>
      <c r="P12" s="57" t="s">
        <v>186</v>
      </c>
      <c r="Q12" s="59" t="n">
        <f aca="false">ROUND((Flights!$AC$5)*1440,0)/1440</f>
        <v>46296.8576388889</v>
      </c>
      <c r="R12" s="59" t="n">
        <f aca="false">Q12+(IF(AND(INDEX(TZ_DSTS,MATCH(P12,TZ_STN,0))&lt;&gt;"",Q12&gt;=INDEX(TZ_DSTS,MATCH(P12,TZ_STN,0)),Q12&lt;INDEX(TZ_DSTE,MATCH(P12,TZ_STN,0))),INDEX(TZ_DST,MATCH(P12,TZ_STN,0)),INDEX(TZ_STD,MATCH(P12,TZ_STN,0))))/24</f>
        <v>46296.8993055556</v>
      </c>
      <c r="S12" s="60"/>
      <c r="T12" s="60"/>
      <c r="U12" s="60"/>
      <c r="V12" s="60"/>
      <c r="W12" s="61"/>
      <c r="X12" s="60"/>
      <c r="Y12" s="60"/>
      <c r="Z12" s="60"/>
      <c r="AA12" s="60"/>
      <c r="AB12" s="60"/>
      <c r="AC12" s="60"/>
      <c r="AD12" s="66"/>
      <c r="AE12" s="60"/>
      <c r="AF12" s="61" t="str">
        <f aca="false">IF(AND(ISNUMBER(X12),ISNUMBER(Y12)),Y12-X12,"")</f>
        <v/>
      </c>
      <c r="AG12" s="62" t="str">
        <f aca="false">IF(ISNUMBER(AD12),AD12-(IF(AND(INDEX(TZ_DSTS,MATCH(P12,TZ_STN,0))&lt;&gt;"",(AD12-INDEX(TZ_STD,MATCH(P12,TZ_STN,0))/24)&gt;=INDEX(TZ_DSTS,MATCH(P12,TZ_STN,0)),(AD12-INDEX(TZ_STD,MATCH(P12,TZ_STN,0))/24)&lt;INDEX(TZ_DSTE,MATCH(P12,TZ_STN,0))),INDEX(TZ_DST,MATCH(P12,TZ_STN,0)),INDEX(TZ_STD,MATCH(P12,TZ_STN,0))))/24,"")</f>
        <v/>
      </c>
      <c r="AH12" s="65" t="str">
        <f aca="false">IFERROR(IF(N12="N/A – rule",IF(OR(TRIM(U12)="",TRIM(U12)="N/A",TRIM(U12)="Not started"),"N/A – RULE","INVALID – this check does not apply to this aircraft: clear the status (or correct the fleet on Flights)"),IF(TRIM(U12)="N/A",IF(AT12=0,"INVALID – N/A not permitted for this check",IF(AND(TRIM(AB12)&lt;&gt;"",TRIM(AB12)&lt;&gt;"Closed"),"INVALID – corrective action still open",IF(AND(NOT(OR(LEN(AZ12)&lt;15,ISNUMBER(MATCH(AZ12,L_Placeholder,0)))),BK12=0,CG12&gt;=8,NOT(OR(LEN(AU12)&lt;2,ISNUMBER(MATCH(AU12,L_Placeholder,0)))),BR12&gt;=3,NOT(OR(LEN(AX12)&lt;2,ISNUMBER(MATCH(AX12,L_Placeholder,0)))),BS12&gt;=3,TRIM(AE12)&lt;&gt;TRIM(T12),AX12&lt;&gt;AU12,CE12=0),"N/A – JUSTIFIED","INVALID – N/A needs a real, settled reason (not 'not applicable' / 'as above' / TBC), a named PIC and a different named verifier"))),IF(OR(TRIM(U12)="Pass",TRIM(U12)="Pass after CA"),IF(NOT(ISNUMBER(AD12)),"INVALID – completion time missing",IF(OR(OR(LEN(AU12)&lt;2,ISNUMBER(MATCH(AU12,L_Placeholder,0))),BR12&lt;3),"INVALID – PIC missing or not a named person (a role such as QA / CSM is not a name)",IF(OR(LEN(AV12)&lt;2,ISNUMBER(MATCH(AV12,L_Placeholder,0))),"INVALID – result / assessment missing",IF(OR(OR(LEN(AW12)&lt;3,ISNUMBER(MATCH(AW12,L_Placeholder,0))),SUMPRODUCT(--ISNUMBER(SEARCH(" "&amp;L_EvidencePhrase&amp;" ",BD12)))&gt;0,BI12=1),"INVALID – evidence missing, placeholder or not yet on file",IF(ISNA(MATCH(TRIM(S12),L_EvidenceType,0)),"INVALID – choose the evidence type from the list (column S)",IF(BL12=0,"INVALID – evidence ID must be the record's own ID only (e.g. SF-2210, IMG_2231, 1045521); a link / file name needs type 'Link / file path'",IF(OR(OR(LEN(AX12)&lt;2,ISNUMBER(MATCH(AX12,L_Placeholder,0))),BS12&lt;3),"INVALID – verifier missing or not a named person (a role such as QA / CSM is not a name)",IF(OR(AX12=AU12,CE12=1,AND(LEN(AU12)&gt;=4,ISNUMBER(SEARCH(AU12,AX12))),AND(LEN(AX12)&gt;=4,ISNUMBER(SEARCH(AX12,AU12)))),"INVALID – verifier must be a different, named person (not the PIC or a role)",IF(BH12=1,"INVALID – result not yet available (awaiting / TBC)",IF(BG12=1,"INVALID – result describes a problem: record Fail, then Pass after CA (or reword if it is not a problem)",IF(BV12=1,"INVALID – wording says not on board: an on-board confirmation needs the item loaded",IF(AND(AQ12=1,OR(OR(LEN(AY12)&lt;3,ISNUMBER(MATCH(AY12,L_Placeholder,0))),BJ12=1,BQ12=0)),"INVALID – batch ID missing, placeholder or not an ID (e.g. PASB-261008-BC-017)",IF(AND(AR12=1,OR(NOT(ISNUMBER(X12)),NOT(ISNUMBER(Y12)))),"INVALID – expected/actual qty missing",IF(AND(AR12=1,OR(X12&lt;=0,Y12&lt;0)),"INVALID – expected qty must be above 0 and actual not negative",IF(BB12&lt;&gt;"",BB12,IF(AND(AS12=1,Documents!$J$5&lt;&gt;"ON FILE"),"INVALID – GLD not on file (Documents sheet)",IF(AND(AS12=2,Documents!$O$5&lt;&gt;"ON FILE"),"INVALID – menu checklist not on file (Documents sheet)",IF(AND(AS12=3,NOT(ISNUMBER(Flights!$AX$5))),"INVALID – enter carrying flight KUL departure (Flights AX)",IF(AND(AS12=3,OR(Flights!$AZ$5&gt;Flights!$AA$5,Flights!$AX$5&lt;Flights!$AA$5-3)),"INVALID – carrying flight (Flights AX) cannot arrive before this leg's STD, or is over 3 days early",IF(AG12&gt;AsOfUTC,"INVALID – completion time is in the future",IF(AND(ISNUMBER(BY12),AG12&lt;BY12),IF(H12="Physical uplift","INVALID – before uplift window (cannot confirm loading)","INVALID – before valid window"),IF(AG12&gt;Flights!$AA$5,"INVALID – completed after departure (cannot establish readiness)",IF(AND(H12="Preparation",AG12&gt;=IF(ISNUMBER(Flights!$BA$5),MIN(Flights!$BA$5,Flights!$AA$5),Flights!$AA$5)),"INVALID – completed after loading / departure (cannot establish readiness)",IF(AND(H12="Physical uplift",AG12&gt;Q12),"INVALID – recorded after the loading flight departed",IF(AG12&gt;Q12,"COMPLETE – LATE","COMPLETE"))))))))))))))))))))))))),IF(TRIM(U12)="Fail","FAIL – DISCREPANCY",IF(AND(TRIM(U12)&lt;&gt;"",TRIM(U12)&lt;&gt;"Not started",TRIM(U12)&lt;&gt;"In progress"),"INVALID – unrecognised status (use the list)",IF(AsOfUTC&gt;Q12,"OVERDUE",IF(N12="Clarification required","OPEN – CLARIFICATION","OPEN"))))))),"INVALID – error value in an input cell")</f>
        <v>OPEN</v>
      </c>
      <c r="AI12" s="61" t="n">
        <f aca="false">IF(OR(AH12="N/A – RULE",AH12="N/A – JUSTIFIED"),0,1)</f>
        <v>1</v>
      </c>
      <c r="AJ12" s="61" t="n">
        <f aca="false">IF(LEFT(AH12,8)="COMPLETE",1,0)</f>
        <v>0</v>
      </c>
      <c r="AK12" s="61" t="n">
        <f aca="false">IF(AND(AI12=1,AJ12=0,AsOfUTC&gt;Q12),1,0)</f>
        <v>0</v>
      </c>
      <c r="AL12" s="61" t="n">
        <f aca="false">IFERROR(IF(AND(AI12=1,OR(TRIM(U12)="Fail",AND(TRIM(AB12)&lt;&gt;"",TRIM(AB12)&lt;&gt;"Closed"),AND(ISNUMBER(AF12),AF12&lt;&gt;0,TRIM(U12)&lt;&gt;"Pass after CA"))),1,0),1)</f>
        <v>0</v>
      </c>
      <c r="AM12" s="61" t="n">
        <f aca="false">IF(LEFT(AH12,7)="INVALID",1,0)</f>
        <v>0</v>
      </c>
      <c r="AN12" s="61" t="n">
        <f aca="false">IF(AND(N12="Clarification required",AI12=1,AJ12=0),1,0)</f>
        <v>0</v>
      </c>
      <c r="AO12" s="61" t="str">
        <f aca="false">IF(AK12=1,SUM(AK$5:AK12),"")</f>
        <v/>
      </c>
      <c r="AP12" s="61" t="str">
        <f aca="false">IF(AL12=1,SUM(AL$5:AL12),"")</f>
        <v/>
      </c>
      <c r="AQ12" s="61" t="n">
        <v>0</v>
      </c>
      <c r="AR12" s="61" t="n">
        <v>0</v>
      </c>
      <c r="AS12" s="61" t="n">
        <v>2</v>
      </c>
      <c r="AT12" s="61" t="n">
        <v>0</v>
      </c>
      <c r="AU12" s="61" t="str">
        <f aca="false">SUBSTITUTE(SUBSTITUTE(SUBSTITUTE(SUBSTITUTE(SUBSTITUTE(SUBSTITUTE(SUBSTITUTE(SUBSTITUTE(SUBSTITUTE(SUBSTITUTE(SUBSTITUTE(SUBSTITUTE(SUBSTITUTE(SUBSTITUTE(SUBSTITUTE(SUBSTITUTE(LOWER(T12&amp;""),CHAR(10),""),CHAR(13),""),CHAR(9),""),CHAR(160),"")," ",""),".",""),"-",""),"/",""),"?",""),"_",""),",",""),"[",""),"]",""),"(",""),")",""),"*","")</f>
        <v/>
      </c>
      <c r="AV12" s="61" t="str">
        <f aca="false">SUBSTITUTE(SUBSTITUTE(SUBSTITUTE(SUBSTITUTE(SUBSTITUTE(SUBSTITUTE(SUBSTITUTE(SUBSTITUTE(SUBSTITUTE(SUBSTITUTE(SUBSTITUTE(SUBSTITUTE(SUBSTITUTE(SUBSTITUTE(SUBSTITUTE(SUBSTITUTE(LOWER(V12&amp;""),CHAR(10),""),CHAR(13),""),CHAR(9),""),CHAR(160),"")," ",""),".",""),"-",""),"/",""),"?",""),"_",""),",",""),"[",""),"]",""),"(",""),")",""),"*","")</f>
        <v/>
      </c>
      <c r="AW12" s="61" t="str">
        <f aca="false">SUBSTITUTE(SUBSTITUTE(SUBSTITUTE(SUBSTITUTE(SUBSTITUTE(SUBSTITUTE(SUBSTITUTE(SUBSTITUTE(SUBSTITUTE(SUBSTITUTE(SUBSTITUTE(SUBSTITUTE(SUBSTITUTE(SUBSTITUTE(SUBSTITUTE(SUBSTITUTE(LOWER(Z12&amp;""),CHAR(10),""),CHAR(13),""),CHAR(9),""),CHAR(160),"")," ",""),".",""),"-",""),"/",""),"?",""),"_",""),",",""),"[",""),"]",""),"(",""),")",""),"*","")</f>
        <v/>
      </c>
      <c r="AX12" s="61" t="str">
        <f aca="false">SUBSTITUTE(SUBSTITUTE(SUBSTITUTE(SUBSTITUTE(SUBSTITUTE(SUBSTITUTE(SUBSTITUTE(SUBSTITUTE(SUBSTITUTE(SUBSTITUTE(SUBSTITUTE(SUBSTITUTE(SUBSTITUTE(SUBSTITUTE(SUBSTITUTE(SUBSTITUTE(LOWER(AE12&amp;""),CHAR(10),""),CHAR(13),""),CHAR(9),""),CHAR(160),"")," ",""),".",""),"-",""),"/",""),"?",""),"_",""),",",""),"[",""),"]",""),"(",""),")",""),"*","")</f>
        <v/>
      </c>
      <c r="AY12" s="61" t="str">
        <f aca="false">SUBSTITUTE(SUBSTITUTE(SUBSTITUTE(SUBSTITUTE(SUBSTITUTE(SUBSTITUTE(SUBSTITUTE(SUBSTITUTE(SUBSTITUTE(SUBSTITUTE(SUBSTITUTE(SUBSTITUTE(SUBSTITUTE(SUBSTITUTE(SUBSTITUTE(SUBSTITUTE(LOWER(W12&amp;""),CHAR(10),""),CHAR(13),""),CHAR(9),""),CHAR(160),"")," ",""),".",""),"-",""),"/",""),"?",""),"_",""),",",""),"[",""),"]",""),"(",""),")",""),"*","")</f>
        <v/>
      </c>
      <c r="AZ12" s="61" t="str">
        <f aca="false">SUBSTITUTE(SUBSTITUTE(SUBSTITUTE(SUBSTITUTE(SUBSTITUTE(SUBSTITUTE(SUBSTITUTE(SUBSTITUTE(SUBSTITUTE(SUBSTITUTE(SUBSTITUTE(SUBSTITUTE(SUBSTITUTE(SUBSTITUTE(SUBSTITUTE(SUBSTITUTE(LOWER(AC12&amp;""),CHAR(10),""),CHAR(13),""),CHAR(9),""),CHAR(160),"")," ",""),".",""),"-",""),"/",""),"?",""),"_",""),",",""),"[",""),"]",""),"(",""),")",""),"*","")</f>
        <v/>
      </c>
      <c r="BA12" s="61" t="str">
        <f aca="false">SUBSTITUTE(SUBSTITUTE(SUBSTITUTE(SUBSTITUTE(SUBSTITUTE(SUBSTITUTE(SUBSTITUTE(SUBSTITUTE(SUBSTITUTE(SUBSTITUTE(SUBSTITUTE(SUBSTITUTE(SUBSTITUTE(SUBSTITUTE(SUBSTITUTE(SUBSTITUTE(LOWER(AA12&amp;""),CHAR(10),""),CHAR(13),""),CHAR(9),""),CHAR(160),"")," ",""),".",""),"-",""),"/",""),"?",""),"_",""),",",""),"[",""),"]",""),"(",""),")",""),"*","")</f>
        <v/>
      </c>
      <c r="BB12" s="61" t="str">
        <f aca="false">IF(AND(TRIM(U12)="Pass",ISNUMBER(AF12)),IF(AF12&lt;&gt;0,"INVALID – qty variance: use Fail or Pass after CA",""),"")&amp;IF(AND(TRIM(U12)="Pass after CA",ISNUMBER(AF12)),IF(AF12&lt;&gt;0,"INVALID – after the corrective action the actual qty must equal expected (update Actual)",""),"")&amp;IF(AND(TRIM(U12)="Pass",TRIM(AB12)&lt;&gt;"",TRIM(AB12)&lt;&gt;"Closed"),"INVALID – corrective action not closed: use Fail, then Pass after CA","")&amp;IF(AND(LEN(BA12)&gt;=2,ISNA(MATCH(LEFT(BA12,255),L_Placeholder,0)),TRIM(AB12)=""),"INVALID – CA status missing for the recorded corrective action","")&amp;IF(AND(TRIM(U12)="Pass after CA",OR(OR(LEN(BA12)&lt;5,ISNUMBER(MATCH(BA12,L_Placeholder,0))),TRIM(AB12)&lt;&gt;"Closed")),"INVALID – corrective action not recorded/closed","")</f>
        <v/>
      </c>
      <c r="BC12" s="61" t="str">
        <f aca="false">" "&amp;TRIM(SUBSTITUTE(SUBSTITUTE(SUBSTITUTE(SUBSTITUTE(SUBSTITUTE(SUBSTITUTE(SUBSTITUTE(SUBSTITUTE(SUBSTITUTE(SUBSTITUTE(SUBSTITUTE(SUBSTITUTE(SUBSTITUTE(SUBSTITUTE(SUBSTITUTE(SUBSTITUTE(SUBSTITUTE(SUBSTITUTE(SUBSTITUTE(SUBSTITUTE(SUBSTITUTE(SUBSTITUTE(SUBSTITUTE(SUBSTITUTE(LOWER(V12&amp;""),CHAR(10)," "),CHAR(13)," "),CHAR(9)," "),CHAR(160)," "),"."," "),","," "),"-"," "),"/"," "),"("," "),")"," "),":"," "),";"," "),"_"," "),"–"," "),"?"," "),"!"," "),"*"," "),"["," "),"]"," "),"'"," "),"#"," "),"+"," "),"&amp;"," "),"\"," "))&amp;" "</f>
        <v>  </v>
      </c>
      <c r="BD12" s="61" t="str">
        <f aca="false">" "&amp;TRIM(SUBSTITUTE(SUBSTITUTE(SUBSTITUTE(SUBSTITUTE(SUBSTITUTE(SUBSTITUTE(SUBSTITUTE(SUBSTITUTE(SUBSTITUTE(SUBSTITUTE(SUBSTITUTE(SUBSTITUTE(SUBSTITUTE(SUBSTITUTE(SUBSTITUTE(SUBSTITUTE(SUBSTITUTE(SUBSTITUTE(SUBSTITUTE(SUBSTITUTE(SUBSTITUTE(SUBSTITUTE(SUBSTITUTE(SUBSTITUTE(LOWER(Z12&amp;""),CHAR(10)," "),CHAR(13)," "),CHAR(9)," "),CHAR(160)," "),"."," "),","," "),"-"," "),"/"," "),"("," "),")"," "),":"," "),";"," "),"_"," "),"–"," "),"?"," "),"!"," "),"*"," "),"["," "),"]"," "),"'"," "),"#"," "),"+"," "),"&amp;"," "),"\"," "))&amp;" "</f>
        <v>  </v>
      </c>
      <c r="BE12" s="61" t="str">
        <f aca="false">" "&amp;TRIM(SUBSTITUTE(SUBSTITUTE(SUBSTITUTE(SUBSTITUTE(SUBSTITUTE(SUBSTITUTE(SUBSTITUTE(SUBSTITUTE(SUBSTITUTE(SUBSTITUTE(SUBSTITUTE(SUBSTITUTE(SUBSTITUTE(SUBSTITUTE(SUBSTITUTE(SUBSTITUTE(SUBSTITUTE(SUBSTITUTE(SUBSTITUTE(SUBSTITUTE(SUBSTITUTE(SUBSTITUTE(SUBSTITUTE(SUBSTITUTE(LOWER(W12&amp;""),CHAR(10)," "),CHAR(13)," "),CHAR(9)," "),CHAR(160)," "),"."," "),","," "),"-"," "),"/"," "),"("," "),")"," "),":"," "),";"," "),"_"," "),"–"," "),"?"," "),"!"," "),"*"," "),"["," "),"]"," "),"'"," "),"#"," "),"+"," "),"&amp;"," "),"\"," "))&amp;" "</f>
        <v>  </v>
      </c>
      <c r="BF12" s="61" t="str">
        <f aca="false">" "&amp;TRIM(SUBSTITUTE(SUBSTITUTE(SUBSTITUTE(SUBSTITUTE(SUBSTITUTE(SUBSTITUTE(SUBSTITUTE(SUBSTITUTE(SUBSTITUTE(SUBSTITUTE(SUBSTITUTE(SUBSTITUTE(SUBSTITUTE(SUBSTITUTE(SUBSTITUTE(SUBSTITUTE(SUBSTITUTE(SUBSTITUTE(SUBSTITUTE(SUBSTITUTE(SUBSTITUTE(SUBSTITUTE(SUBSTITUTE(SUBSTITUTE(LOWER(AC12&amp;""),CHAR(10)," "),CHAR(13)," "),CHAR(9)," "),CHAR(160)," "),"."," "),","," "),"-"," "),"/"," "),"("," "),")"," "),":"," "),";"," "),"_"," "),"–"," "),"?"," "),"!"," "),"*"," "),"["," "),"]"," "),"'"," "),"#"," "),"+"," "),"&amp;"," "),"\"," "))&amp;" "</f>
        <v>  </v>
      </c>
      <c r="BG12" s="61" t="n">
        <f aca="false">IFERROR(IF(AND(TRIM(U12)="Pass",SUMPRODUCT((LEN(BC12)-LEN(SUBSTITUTE(BC12," "&amp;L_ResultBad&amp;" "," ")))/(LEN(L_ResultBad)+1))&gt;SUMPRODUCT((LEN(BC12)-LEN(SUBSTITUTE(BC12," "&amp;L_NegPhrase&amp;" "," ")))/(LEN(L_NegPhrase)+1))),1,0),0)</f>
        <v>0</v>
      </c>
      <c r="BH12" s="61" t="n">
        <f aca="false">IFERROR(IF(SUMPRODUCT((LEN(BC12)-LEN(SUBSTITUTE(BC12," "&amp;L_Pending&amp;" "," ")))/(LEN(L_Pending)+1))&gt;SUMPRODUCT((LEN(BC12)-LEN(SUBSTITUTE(BC12," "&amp;L_PendNeg&amp;" "," ")))/(LEN(L_PendNeg)+1))+SUMPRODUCT((LEN(BC12)-LEN(SUBSTITUTE(BC12," "&amp;L_PendPrep&amp;" "," ")))/(LEN(L_PendPrep)+1)),1,0),1)</f>
        <v>0</v>
      </c>
      <c r="BI12" s="61" t="n">
        <f aca="false">IFERROR(IF(SUMPRODUCT((LEN(BD12)-LEN(SUBSTITUTE(BD12," "&amp;L_PendStrict&amp;" "," ")))/(LEN(L_PendStrict)+1))&gt;SUMPRODUCT((LEN(BD12)-LEN(SUBSTITUTE(BD12," "&amp;L_PendNeg&amp;" "," ")))/(LEN(L_PendNeg)+1)),1,0),1)</f>
        <v>0</v>
      </c>
      <c r="BJ12" s="61" t="n">
        <f aca="false">IFERROR(IF(SUMPRODUCT((LEN(BE12)-LEN(SUBSTITUTE(BE12," "&amp;L_Pending&amp;" "," ")))/(LEN(L_Pending)+1))&gt;SUMPRODUCT((LEN(BE12)-LEN(SUBSTITUTE(BE12," "&amp;L_PendNeg&amp;" "," ")))/(LEN(L_PendNeg)+1))+SUMPRODUCT((LEN(BE12)-LEN(SUBSTITUTE(BE12," "&amp;L_PendPrep&amp;" "," ")))/(LEN(L_PendPrep)+1)),1,0),1)</f>
        <v>0</v>
      </c>
      <c r="BK12" s="61" t="n">
        <f aca="false">IFERROR(IF(SUMPRODUCT((LEN(BF12)-LEN(SUBSTITUTE(BF12," "&amp;L_PendStrict&amp;" "," ")))/(LEN(L_PendStrict)+1))&gt;SUMPRODUCT((LEN(BF12)-LEN(SUBSTITUTE(BF12," "&amp;L_PendNeg&amp;" "," ")))/(LEN(L_PendNeg)+1)),1,0),1)</f>
        <v>0</v>
      </c>
      <c r="BL12" s="61" t="n">
        <f aca="false">IF(ISNA(MATCH(TRIM(S12),L_EvidenceType,0)),0,BZ12)</f>
        <v>0</v>
      </c>
      <c r="BM12" s="61" t="str">
        <f aca="false">SUBSTITUTE(SUBSTITUTE(SUBSTITUTE(SUBSTITUTE(SUBSTITUTE(SUBSTITUTE(SUBSTITUTE(SUBSTITUTE(SUBSTITUTE(LOWER(Z12&amp;""),"1","0"),"2","0"),"3","0"),"4","0"),"5","0"),"6","0"),"7","0"),"8","0"),"9","0")</f>
        <v/>
      </c>
      <c r="BN12" s="61" t="str">
        <f aca="false">SUBSTITUTE(SUBSTITUTE(SUBSTITUTE(SUBSTITUTE(SUBSTITUTE(SUBSTITUTE(SUBSTITUTE(SUBSTITUTE(SUBSTITUTE(SUBSTITUTE(SUBSTITUTE(SUBSTITUTE(SUBSTITUTE(SUBSTITUTE(SUBSTITUTE(SUBSTITUTE(SUBSTITUTE(SUBSTITUTE(SUBSTITUTE(SUBSTITUTE(SUBSTITUTE(SUBSTITUTE(SUBSTITUTE(SUBSTITUTE(SUBSTITUTE(BM12,"b","a"),"c","a"),"d","a"),"e","a"),"f","a"),"g","a"),"h","a"),"i","a"),"j","a"),"k","a"),"l","a"),"m","a"),"n","a"),"o","a"),"p","a"),"q","a"),"r","a"),"s","a"),"t","a"),"u","a"),"v","a"),"w","a"),"x","a"),"y","a"),"z","a")</f>
        <v/>
      </c>
      <c r="BO12" s="61" t="str">
        <f aca="false">SUBSTITUTE(SUBSTITUTE(SUBSTITUTE(SUBSTITUTE(SUBSTITUTE(SUBSTITUTE(SUBSTITUTE(SUBSTITUTE(SUBSTITUTE(LOWER(W12&amp;""),"1","0"),"2","0"),"3","0"),"4","0"),"5","0"),"6","0"),"7","0"),"8","0"),"9","0")</f>
        <v/>
      </c>
      <c r="BP12" s="61" t="str">
        <f aca="false">SUBSTITUTE(SUBSTITUTE(SUBSTITUTE(SUBSTITUTE(SUBSTITUTE(SUBSTITUTE(SUBSTITUTE(SUBSTITUTE(SUBSTITUTE(SUBSTITUTE(SUBSTITUTE(SUBSTITUTE(SUBSTITUTE(SUBSTITUTE(SUBSTITUTE(SUBSTITUTE(SUBSTITUTE(SUBSTITUTE(SUBSTITUTE(SUBSTITUTE(SUBSTITUTE(SUBSTITUTE(SUBSTITUTE(SUBSTITUTE(SUBSTITUTE(BO12,"b","a"),"c","a"),"d","a"),"e","a"),"f","a"),"g","a"),"h","a"),"i","a"),"j","a"),"k","a"),"l","a"),"m","a"),"n","a"),"o","a"),"p","a"),"q","a"),"r","a"),"s","a"),"t","a"),"u","a"),"v","a"),"w","a"),"x","a"),"y","a"),"z","a")</f>
        <v/>
      </c>
      <c r="BQ12" s="61" t="n">
        <f aca="false">IFERROR(IF(AND(ISERROR(SEARCH(" mh"," "&amp;LOWER(W12))),ISNA(MATCH(LEFT(TRIM(BP12),255),{"0000a","000a","00a","0000aa","000aa","00aa","0aa","0000aaa","000aaa","00a00","0a00","0000-0000","00:00","a00","a0","00.00.0000","00/00/0000","00-00-0000","0000-00-00","0000/00/00","0000.00.00","00.00.00","00/00/00","00-00-00","0.00.0000","0/00/0000","0-00-0000"},0)),ISNA(MATCH(LEFT(TRIM(CA12),255),{"0000a","000a","00a","0000aa","000aa","00aa","0aa","0000aaa","000aaa","00a00","0a00","0000-0000","00:00","a00","a0","00.00.0000","00/00/0000","00-00-0000","0000-00-00","0000/00/00","0000.00.00","00.00.00","00/00/00","00-00-00","0.00.0000","0/00/0000","0-00-0000"},0)),LEN(CB12)&gt;=3,NOT(OR(SUBSTITUTE(CB12,"0","")="",AND(LEN(CB12)&gt;=4,CB12=REPT(LEFT(CB12),LEN(CB12))),ISNUMBER(MATCH(CB12,{"123","1234","12345","123456","1234567","12345678","0123","01234","012345","98765","987654","54321"},0)),AND(LEN(CB12)=8,LEFT(CB12,3)="202"))),OR(AND((LEN(CA12)-LEN(SUBSTITUTE(CA12,"a","")))&gt;=1,SUMPRODUCT(--ISNUMBER(SEARCH({"a0","a-0","a_0","a/0","a.0","a#0","0a","0-a","0_a","0/a"},BP12)))&gt;0),ISNUMBER(SEARCH("000000",BP12)))),1,0),0)</f>
        <v>0</v>
      </c>
      <c r="BR12" s="61" t="n">
        <f aca="false">IFERROR(LEN(SUBSTITUTE(CC12," ",""))-SUMPRODUCT((LEN(CC12)-LEN(SUBSTITUTE(CC12," "&amp;L_Role&amp;" "," ")))/(LEN(L_Role)+1)*LEN(L_Role)),0)</f>
        <v>0</v>
      </c>
      <c r="BS12" s="61" t="n">
        <f aca="false">IFERROR(LEN(SUBSTITUTE(CD12," ",""))-SUMPRODUCT((LEN(CD12)-LEN(SUBSTITUTE(CD12," "&amp;L_Role&amp;" "," ")))/(LEN(L_Role)+1)*LEN(L_Role)),0)</f>
        <v>0</v>
      </c>
      <c r="BT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revision",""),"version",""),"jan",""),"feb",""),"mar",""),"apr",""),"may",""),"jun",""),"jul",""),"aug",""),"sep",""),"oct",""),"nov",""),"dec",""),"utc",""),"gmt",""),"myt",""),"bst",""),"rev",""),"ver",""),"b","a"),"c","a"),"d","a"),"e","a"),"f","a"),"g","a"),"h","a"),"i","a"),"j","a"),"k","a"),"l","a"),"m","a"),"n","a"),"o","a"),"p","a"),"q","a"),"r","a"),"s","a"),"t","a"),"u","a"),"v","a"),"w","a"),"x","a"),"y","a"),"z","a")</f>
        <v/>
      </c>
      <c r="BU12" s="61" t="str">
        <f aca="false">SUBSTITUTE(SUBSTITUTE(SUBSTITUTE(SUBSTITUTE(SUBSTITUTE(SUBSTITUTE(SUBSTITUTE(SUBSTITUTE(SUBSTITUTE(SUBSTITUTE(LEFT(BM12,FIND("0",BM12&amp;"0")-1),"-",""),"_",""),"/",""),".",""),"#",""),"\\",""),":","")," ",""),"(",""),")","")</f>
        <v/>
      </c>
      <c r="BV12" s="61" t="n">
        <f aca="false">0</f>
        <v>0</v>
      </c>
      <c r="BW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amp;""),"a",""),"b",""),"c",""),"d",""),"e",""),"f",""),"g",""),"h",""),"i",""),"j",""),"k",""),"l",""),"m",""),"n",""),"o",""),"p",""),"q",""),"r",""),"s",""),"t",""),"u",""),"v",""),"w",""),"x",""),"y",""),"z",""),"-",""),"_",""),"/",""),".",""),"#",""),"\\",""),":","")," ",""),"(",""),")","")</f>
        <v/>
      </c>
      <c r="BX12" s="61" t="str">
        <f aca="false">SUBSTITUTE(SUBSTITUTE(SUBSTITUTE(SUBSTITUTE(SUBSTITUTE(SUBSTITUTE(SUBSTITUTE(SUBSTITUTE(SUBSTITUTE(SUBSTITUTE(SUBSTITUTE(BM12,"0",""),"-",""),"_",""),"/",""),".",""),"#",""),"\\",""),":","")," ",""),"(",""),")","")</f>
        <v/>
      </c>
      <c r="BY12" s="62" t="n">
        <f aca="false">Q12-T7EarlyD*24/24</f>
        <v>46282.8576388889</v>
      </c>
      <c r="BZ12" s="61" t="n">
        <f aca="false">IFERROR(IF(IF(TRIM(S12)="Link / file path",AND(LEN(TRIM(Z12))&gt;=5,SUMPRODUCT(--ISNUMBER(SEARCH({"http","www.","\\",":\",".pdf",".jpg",".jpeg",".png",".heic",".xls",".doc",".msg",".eml",".ppt",".txt",".zip"},Z12)))&gt;0),AND(ISERROR(FIND(" ",TRIM(Z12))),NOT(OR(SUMPRODUCT(--ISNUMBER(FIND({",",";","&amp;","+"},Z12)))&gt;0,SUMPRODUCT(--ISNUMBER(SEARCH({"0/aa","0\\aa"},BN12)))&gt;0)),NOT(SUMPRODUCT(--ISNUMBER(SEARCH({"http","www.","\\",":\",".pdf",".jpg",".jpeg",".png",".heic",".xls",".doc",".msg",".eml",".ppt",".txt",".zip"},Z12)))&gt;0),NOT(LOWER(TRIM(Z12))=LOWER(Flights!$F$5)),ISNA(MATCH(BU12,{"mh","rev","revision","ver","version","v","r","a","b","seat","tray","row","gate","bay","stand","page","pg","item","line","no","cart","galley","flight","flt","table","box","bag","oven","etd","eta","std","sta","atd","ata","qty","pax","x","time","tel","ph","mob","day","wk","week","utc","gmt","myt","lt"},0)),NOT(OR(ISNUMBER(MATCH(LEFT(BN12,255),{"0000a","000a","00a","0000aa","000aa","00aa","0aa","0000aaa","000aaa","00a00","0a00","0000-0000","00:00","a00","a0","00.00.0000","00/00/0000","00-00-0000","0000-00-00","0000/00/00","0000.00.00","00.00.00","00/00/00","00-00-00","0.00.0000","0/00/0000","0-00-0000"},0)),ISNUMBER(MATCH(LEFT(BT12,255),{"0000a","000a","00a","0000aa","000aa","00aa","0aa","0000aaa","000aaa","00a00","0a00","0000-0000","00:00","a00","a0","00.00.0000","00/00/0000","00-00-0000","0000-00-00","0000/00/00","0000.00.00","00.00.00","00/00/00","00-00-00","0.00.0000","0/00/0000","0-00-0000"},0)))),NOT(OR(AND(BW12&lt;&gt;"",SUBSTITUTE(BW12,"0","")=""),AND(LEN(BW12)&gt;=4,BW12=REPT(LEFT(BW12),LEN(BW12))),ISNUMBER(MATCH(BW12,{"123","1234","12345","123456","1234567","12345678","0123","01234","012345","98765","987654","54321"},0)),ISNUMBER(MATCH(BX12,{"x","xx","xxx","xxxx","xxxxx","abc","abcd","nil","na","nan","test","tbc","tba","tbd","dummy","sample","example","eg","zz","zzz","none","null","xyz","qwe","asd","id","ref"},0)),AND(LEN(BW12)=8,BX12="",OR(LEFT(BW12,3)="202",ISNUMBER(MATCH(RIGHT(BW12,4),{"2025","2026","2027"},0)))))),OR(AND((LEN(BT12)-LEN(SUBSTITUTE(BT12,"a","")))&gt;=1,(LEN(BN12)-LEN(SUBSTITUTE(BN12,"0","")))&gt;=2,SUMPRODUCT(--ISNUMBER(SEARCH({"a0","a-0","a_0","a/0","a.0","a#0","0a","0-a","0_a","0/a"},BN12)))&gt;0),AND((LEN(BN12)-LEN(SUBSTITUTE(BN12,"a","")))=0,(LEN(BN12)-LEN(SUBSTITUTE(BN12,"0","")))&gt;=5)))),1,0),0)</f>
        <v>0</v>
      </c>
      <c r="CA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revision",""),"version",""),"jan",""),"feb",""),"mar",""),"apr",""),"may",""),"jun",""),"jul",""),"aug",""),"sep",""),"oct",""),"nov",""),"dec",""),"utc",""),"gmt",""),"myt",""),"bst",""),"rev",""),"ver",""),"b","a"),"c","a"),"d","a"),"e","a"),"f","a"),"g","a"),"h","a"),"i","a"),"j","a"),"k","a"),"l","a"),"m","a"),"n","a"),"o","a"),"p","a"),"q","a"),"r","a"),"s","a"),"t","a"),"u","a"),"v","a"),"w","a"),"x","a"),"y","a"),"z","a")</f>
        <v/>
      </c>
      <c r="CB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amp;""),"a",""),"b",""),"c",""),"d",""),"e",""),"f",""),"g",""),"h",""),"i",""),"j",""),"k",""),"l",""),"m",""),"n",""),"o",""),"p",""),"q",""),"r",""),"s",""),"t",""),"u",""),"v",""),"w",""),"x",""),"y",""),"z",""),"-",""),"_",""),"/",""),".",""),"#",""),"\\",""),":","")," ",""),"(",""),")","")</f>
        <v/>
      </c>
      <c r="CC12" s="0" t="str">
        <f aca="false">" "&amp;TRIM(SUBSTITUTE(SUBSTITUTE(SUBSTITUTE(SUBSTITUTE(SUBSTITUTE(SUBSTITUTE(SUBSTITUTE(SUBSTITUTE(SUBSTITUTE(SUBSTITUTE(SUBSTITUTE(SUBSTITUTE(SUBSTITUTE(SUBSTITUTE(SUBSTITUTE(SUBSTITUTE(SUBSTITUTE(SUBSTITUTE(SUBSTITUTE(SUBSTITUTE(SUBSTITUTE(SUBSTITUTE(SUBSTITUTE(SUBSTITUTE(LOWER(T12&amp;""),CHAR(10)," "),CHAR(13)," "),CHAR(9)," "),CHAR(160)," "),"."," "),","," "),"-"," "),"/"," "),"("," "),")"," "),":"," "),";"," "),"_"," "),"–"," "),"?"," "),"!"," "),"*"," "),"["," "),"]"," "),"'"," "),"#"," "),"+"," "),"&amp;"," "),"\"," "))&amp;" "</f>
        <v>  </v>
      </c>
      <c r="CD12" s="0" t="str">
        <f aca="false">" "&amp;TRIM(SUBSTITUTE(SUBSTITUTE(SUBSTITUTE(SUBSTITUTE(SUBSTITUTE(SUBSTITUTE(SUBSTITUTE(SUBSTITUTE(SUBSTITUTE(SUBSTITUTE(SUBSTITUTE(SUBSTITUTE(SUBSTITUTE(SUBSTITUTE(SUBSTITUTE(SUBSTITUTE(SUBSTITUTE(SUBSTITUTE(SUBSTITUTE(SUBSTITUTE(SUBSTITUTE(SUBSTITUTE(SUBSTITUTE(SUBSTITUTE(LOWER(AE12&amp;""),CHAR(10)," "),CHAR(13)," "),CHAR(9)," "),CHAR(160)," "),"."," "),","," "),"-"," "),"/"," "),"("," "),")"," "),":"," "),";"," "),"_"," "),"–"," "),"?"," "),"!"," "),"*"," "),"["," "),"]"," "),"'"," "),"#"," "),"+"," "),"&amp;"," "),"\"," "))&amp;" "</f>
        <v>  </v>
      </c>
      <c r="CE12" s="68" t="n">
        <f aca="false">IFERROR(IF(AND(LEN(AU12)&gt;0,LEN(AU12)=LEN(AX12),OR(TRIM(MID(SUBSTITUTE(TRIM(CC12)," ",REPT(" ",60)),1,60))="",ISNUMBER(SEARCH(" "&amp;TRIM(MID(SUBSTITUTE(TRIM(CC12)," ",REPT(" ",60)),1,60))&amp;" ",CD12))),OR(TRIM(MID(SUBSTITUTE(TRIM(CC12)," ",REPT(" ",60)),61,60))="",ISNUMBER(SEARCH(" "&amp;TRIM(MID(SUBSTITUTE(TRIM(CC12)," ",REPT(" ",60)),61,60))&amp;" ",CD12))),OR(TRIM(MID(SUBSTITUTE(TRIM(CC12)," ",REPT(" ",60)),121,60))="",ISNUMBER(SEARCH(" "&amp;TRIM(MID(SUBSTITUTE(TRIM(CC12)," ",REPT(" ",60)),121,60))&amp;" ",CD12)))),1,0),0)</f>
        <v>0</v>
      </c>
      <c r="CG12" s="68" t="n">
        <f aca="false">IFERROR(LEN(SUBSTITUTE(BF12," ",""))-SUMPRODUCT((LEN(BF12)-LEN(SUBSTITUTE(BF12," "&amp;L_NAFiller&amp;" "," ")))/(LEN(L_NAFiller)+1)*LEN(L_NAFiller)),0)</f>
        <v>0</v>
      </c>
    </row>
    <row r="13" customFormat="false" ht="39.75" hidden="false" customHeight="true" outlineLevel="0" collapsed="false">
      <c r="A13" s="57" t="s">
        <v>410</v>
      </c>
      <c r="B13" s="57" t="s">
        <v>183</v>
      </c>
      <c r="C13" s="57" t="str">
        <f aca="false">Flights!$F$5</f>
        <v>MH0001</v>
      </c>
      <c r="D13" s="58" t="n">
        <f aca="false">Flights!$D$5</f>
        <v>46303</v>
      </c>
      <c r="E13" s="57" t="str">
        <f aca="false">Flights!$G$5&amp;"-"&amp;Flights!$H$5</f>
        <v>LHR-KUL</v>
      </c>
      <c r="F13" s="57" t="str">
        <f aca="false">Flights!$K$5</f>
        <v>EY</v>
      </c>
      <c r="G13" s="57" t="s">
        <v>81</v>
      </c>
      <c r="H13" s="57" t="s">
        <v>378</v>
      </c>
      <c r="I13" s="57" t="s">
        <v>411</v>
      </c>
      <c r="J13" s="57" t="s">
        <v>412</v>
      </c>
      <c r="K13" s="67" t="s">
        <v>413</v>
      </c>
      <c r="L13" s="67" t="s">
        <v>414</v>
      </c>
      <c r="M13" s="67"/>
      <c r="N13" s="67" t="s">
        <v>383</v>
      </c>
      <c r="O13" s="67"/>
      <c r="P13" s="57" t="s">
        <v>186</v>
      </c>
      <c r="Q13" s="59" t="n">
        <f aca="false">ROUND((Flights!$AC$5)*1440,0)/1440</f>
        <v>46296.8576388889</v>
      </c>
      <c r="R13" s="59" t="n">
        <f aca="false">Q13+(IF(AND(INDEX(TZ_DSTS,MATCH(P13,TZ_STN,0))&lt;&gt;"",Q13&gt;=INDEX(TZ_DSTS,MATCH(P13,TZ_STN,0)),Q13&lt;INDEX(TZ_DSTE,MATCH(P13,TZ_STN,0))),INDEX(TZ_DST,MATCH(P13,TZ_STN,0)),INDEX(TZ_STD,MATCH(P13,TZ_STN,0))))/24</f>
        <v>46296.8993055556</v>
      </c>
      <c r="S13" s="60"/>
      <c r="T13" s="60"/>
      <c r="U13" s="60"/>
      <c r="V13" s="60"/>
      <c r="W13" s="61"/>
      <c r="X13" s="60"/>
      <c r="Y13" s="60"/>
      <c r="Z13" s="60"/>
      <c r="AA13" s="60"/>
      <c r="AB13" s="60"/>
      <c r="AC13" s="60"/>
      <c r="AD13" s="66"/>
      <c r="AE13" s="60"/>
      <c r="AF13" s="61" t="str">
        <f aca="false">IF(AND(ISNUMBER(X13),ISNUMBER(Y13)),Y13-X13,"")</f>
        <v/>
      </c>
      <c r="AG13" s="62" t="str">
        <f aca="false">IF(ISNUMBER(AD13),AD13-(IF(AND(INDEX(TZ_DSTS,MATCH(P13,TZ_STN,0))&lt;&gt;"",(AD13-INDEX(TZ_STD,MATCH(P13,TZ_STN,0))/24)&gt;=INDEX(TZ_DSTS,MATCH(P13,TZ_STN,0)),(AD13-INDEX(TZ_STD,MATCH(P13,TZ_STN,0))/24)&lt;INDEX(TZ_DSTE,MATCH(P13,TZ_STN,0))),INDEX(TZ_DST,MATCH(P13,TZ_STN,0)),INDEX(TZ_STD,MATCH(P13,TZ_STN,0))))/24,"")</f>
        <v/>
      </c>
      <c r="AH13" s="65" t="str">
        <f aca="false">IFERROR(IF(N13="N/A – rule",IF(OR(TRIM(U13)="",TRIM(U13)="N/A",TRIM(U13)="Not started"),"N/A – RULE","INVALID – this check does not apply to this aircraft: clear the status (or correct the fleet on Flights)"),IF(TRIM(U13)="N/A",IF(AT13=0,"INVALID – N/A not permitted for this check",IF(AND(TRIM(AB13)&lt;&gt;"",TRIM(AB13)&lt;&gt;"Closed"),"INVALID – corrective action still open",IF(AND(NOT(OR(LEN(AZ13)&lt;15,ISNUMBER(MATCH(AZ13,L_Placeholder,0)))),BK13=0,CG13&gt;=8,NOT(OR(LEN(AU13)&lt;2,ISNUMBER(MATCH(AU13,L_Placeholder,0)))),BR13&gt;=3,NOT(OR(LEN(AX13)&lt;2,ISNUMBER(MATCH(AX13,L_Placeholder,0)))),BS13&gt;=3,TRIM(AE13)&lt;&gt;TRIM(T13),AX13&lt;&gt;AU13,CE13=0),"N/A – JUSTIFIED","INVALID – N/A needs a real, settled reason (not 'not applicable' / 'as above' / TBC), a named PIC and a different named verifier"))),IF(OR(TRIM(U13)="Pass",TRIM(U13)="Pass after CA"),IF(NOT(ISNUMBER(AD13)),"INVALID – completion time missing",IF(OR(OR(LEN(AU13)&lt;2,ISNUMBER(MATCH(AU13,L_Placeholder,0))),BR13&lt;3),"INVALID – PIC missing or not a named person (a role such as QA / CSM is not a name)",IF(OR(LEN(AV13)&lt;2,ISNUMBER(MATCH(AV13,L_Placeholder,0))),"INVALID – result / assessment missing",IF(OR(OR(LEN(AW13)&lt;3,ISNUMBER(MATCH(AW13,L_Placeholder,0))),SUMPRODUCT(--ISNUMBER(SEARCH(" "&amp;L_EvidencePhrase&amp;" ",BD13)))&gt;0,BI13=1),"INVALID – evidence missing, placeholder or not yet on file",IF(ISNA(MATCH(TRIM(S13),L_EvidenceType,0)),"INVALID – choose the evidence type from the list (column S)",IF(BL13=0,"INVALID – evidence ID must be the record's own ID only (e.g. SF-2210, IMG_2231, 1045521); a link / file name needs type 'Link / file path'",IF(OR(OR(LEN(AX13)&lt;2,ISNUMBER(MATCH(AX13,L_Placeholder,0))),BS13&lt;3),"INVALID – verifier missing or not a named person (a role such as QA / CSM is not a name)",IF(OR(AX13=AU13,CE13=1,AND(LEN(AU13)&gt;=4,ISNUMBER(SEARCH(AU13,AX13))),AND(LEN(AX13)&gt;=4,ISNUMBER(SEARCH(AX13,AU13)))),"INVALID – verifier must be a different, named person (not the PIC or a role)",IF(BH13=1,"INVALID – result not yet available (awaiting / TBC)",IF(BG13=1,"INVALID – result describes a problem: record Fail, then Pass after CA (or reword if it is not a problem)",IF(BV13=1,"INVALID – wording says not on board: an on-board confirmation needs the item loaded",IF(AND(AQ13=1,OR(OR(LEN(AY13)&lt;3,ISNUMBER(MATCH(AY13,L_Placeholder,0))),BJ13=1,BQ13=0)),"INVALID – batch ID missing, placeholder or not an ID (e.g. PASB-261008-BC-017)",IF(AND(AR13=1,OR(NOT(ISNUMBER(X13)),NOT(ISNUMBER(Y13)))),"INVALID – expected/actual qty missing",IF(AND(AR13=1,OR(X13&lt;=0,Y13&lt;0)),"INVALID – expected qty must be above 0 and actual not negative",IF(BB13&lt;&gt;"",BB13,IF(AND(AS13=1,Documents!$J$5&lt;&gt;"ON FILE"),"INVALID – GLD not on file (Documents sheet)",IF(AND(AS13=2,Documents!$O$5&lt;&gt;"ON FILE"),"INVALID – menu checklist not on file (Documents sheet)",IF(AND(AS13=3,NOT(ISNUMBER(Flights!$AX$5))),"INVALID – enter carrying flight KUL departure (Flights AX)",IF(AND(AS13=3,OR(Flights!$AZ$5&gt;Flights!$AA$5,Flights!$AX$5&lt;Flights!$AA$5-3)),"INVALID – carrying flight (Flights AX) cannot arrive before this leg's STD, or is over 3 days early",IF(AG13&gt;AsOfUTC,"INVALID – completion time is in the future",IF(AND(ISNUMBER(BY13),AG13&lt;BY13),IF(H13="Physical uplift","INVALID – before uplift window (cannot confirm loading)","INVALID – before valid window"),IF(AG13&gt;Flights!$AA$5,"INVALID – completed after departure (cannot establish readiness)",IF(AND(H13="Preparation",AG13&gt;=IF(ISNUMBER(Flights!$BA$5),MIN(Flights!$BA$5,Flights!$AA$5),Flights!$AA$5)),"INVALID – completed after loading / departure (cannot establish readiness)",IF(AND(H13="Physical uplift",AG13&gt;Q13),"INVALID – recorded after the loading flight departed",IF(AG13&gt;Q13,"COMPLETE – LATE","COMPLETE"))))))))))))))))))))))))),IF(TRIM(U13)="Fail","FAIL – DISCREPANCY",IF(AND(TRIM(U13)&lt;&gt;"",TRIM(U13)&lt;&gt;"Not started",TRIM(U13)&lt;&gt;"In progress"),"INVALID – unrecognised status (use the list)",IF(AsOfUTC&gt;Q13,"OVERDUE",IF(N13="Clarification required","OPEN – CLARIFICATION","OPEN"))))))),"INVALID – error value in an input cell")</f>
        <v>OPEN</v>
      </c>
      <c r="AI13" s="61" t="n">
        <f aca="false">IF(OR(AH13="N/A – RULE",AH13="N/A – JUSTIFIED"),0,1)</f>
        <v>1</v>
      </c>
      <c r="AJ13" s="61" t="n">
        <f aca="false">IF(LEFT(AH13,8)="COMPLETE",1,0)</f>
        <v>0</v>
      </c>
      <c r="AK13" s="61" t="n">
        <f aca="false">IF(AND(AI13=1,AJ13=0,AsOfUTC&gt;Q13),1,0)</f>
        <v>0</v>
      </c>
      <c r="AL13" s="61" t="n">
        <f aca="false">IFERROR(IF(AND(AI13=1,OR(TRIM(U13)="Fail",AND(TRIM(AB13)&lt;&gt;"",TRIM(AB13)&lt;&gt;"Closed"),AND(ISNUMBER(AF13),AF13&lt;&gt;0,TRIM(U13)&lt;&gt;"Pass after CA"))),1,0),1)</f>
        <v>0</v>
      </c>
      <c r="AM13" s="61" t="n">
        <f aca="false">IF(LEFT(AH13,7)="INVALID",1,0)</f>
        <v>0</v>
      </c>
      <c r="AN13" s="61" t="n">
        <f aca="false">IF(AND(N13="Clarification required",AI13=1,AJ13=0),1,0)</f>
        <v>0</v>
      </c>
      <c r="AO13" s="61" t="str">
        <f aca="false">IF(AK13=1,SUM(AK$5:AK13),"")</f>
        <v/>
      </c>
      <c r="AP13" s="61" t="str">
        <f aca="false">IF(AL13=1,SUM(AL$5:AL13),"")</f>
        <v/>
      </c>
      <c r="AQ13" s="61" t="n">
        <v>0</v>
      </c>
      <c r="AR13" s="61" t="n">
        <v>0</v>
      </c>
      <c r="AS13" s="61" t="n">
        <v>0</v>
      </c>
      <c r="AT13" s="61" t="n">
        <v>0</v>
      </c>
      <c r="AU13" s="61" t="str">
        <f aca="false">SUBSTITUTE(SUBSTITUTE(SUBSTITUTE(SUBSTITUTE(SUBSTITUTE(SUBSTITUTE(SUBSTITUTE(SUBSTITUTE(SUBSTITUTE(SUBSTITUTE(SUBSTITUTE(SUBSTITUTE(SUBSTITUTE(SUBSTITUTE(SUBSTITUTE(SUBSTITUTE(LOWER(T13&amp;""),CHAR(10),""),CHAR(13),""),CHAR(9),""),CHAR(160),"")," ",""),".",""),"-",""),"/",""),"?",""),"_",""),",",""),"[",""),"]",""),"(",""),")",""),"*","")</f>
        <v/>
      </c>
      <c r="AV13" s="61" t="str">
        <f aca="false">SUBSTITUTE(SUBSTITUTE(SUBSTITUTE(SUBSTITUTE(SUBSTITUTE(SUBSTITUTE(SUBSTITUTE(SUBSTITUTE(SUBSTITUTE(SUBSTITUTE(SUBSTITUTE(SUBSTITUTE(SUBSTITUTE(SUBSTITUTE(SUBSTITUTE(SUBSTITUTE(LOWER(V13&amp;""),CHAR(10),""),CHAR(13),""),CHAR(9),""),CHAR(160),"")," ",""),".",""),"-",""),"/",""),"?",""),"_",""),",",""),"[",""),"]",""),"(",""),")",""),"*","")</f>
        <v/>
      </c>
      <c r="AW13" s="61" t="str">
        <f aca="false">SUBSTITUTE(SUBSTITUTE(SUBSTITUTE(SUBSTITUTE(SUBSTITUTE(SUBSTITUTE(SUBSTITUTE(SUBSTITUTE(SUBSTITUTE(SUBSTITUTE(SUBSTITUTE(SUBSTITUTE(SUBSTITUTE(SUBSTITUTE(SUBSTITUTE(SUBSTITUTE(LOWER(Z13&amp;""),CHAR(10),""),CHAR(13),""),CHAR(9),""),CHAR(160),"")," ",""),".",""),"-",""),"/",""),"?",""),"_",""),",",""),"[",""),"]",""),"(",""),")",""),"*","")</f>
        <v/>
      </c>
      <c r="AX13" s="61" t="str">
        <f aca="false">SUBSTITUTE(SUBSTITUTE(SUBSTITUTE(SUBSTITUTE(SUBSTITUTE(SUBSTITUTE(SUBSTITUTE(SUBSTITUTE(SUBSTITUTE(SUBSTITUTE(SUBSTITUTE(SUBSTITUTE(SUBSTITUTE(SUBSTITUTE(SUBSTITUTE(SUBSTITUTE(LOWER(AE13&amp;""),CHAR(10),""),CHAR(13),""),CHAR(9),""),CHAR(160),"")," ",""),".",""),"-",""),"/",""),"?",""),"_",""),",",""),"[",""),"]",""),"(",""),")",""),"*","")</f>
        <v/>
      </c>
      <c r="AY13" s="61" t="str">
        <f aca="false">SUBSTITUTE(SUBSTITUTE(SUBSTITUTE(SUBSTITUTE(SUBSTITUTE(SUBSTITUTE(SUBSTITUTE(SUBSTITUTE(SUBSTITUTE(SUBSTITUTE(SUBSTITUTE(SUBSTITUTE(SUBSTITUTE(SUBSTITUTE(SUBSTITUTE(SUBSTITUTE(LOWER(W13&amp;""),CHAR(10),""),CHAR(13),""),CHAR(9),""),CHAR(160),"")," ",""),".",""),"-",""),"/",""),"?",""),"_",""),",",""),"[",""),"]",""),"(",""),")",""),"*","")</f>
        <v/>
      </c>
      <c r="AZ13" s="61" t="str">
        <f aca="false">SUBSTITUTE(SUBSTITUTE(SUBSTITUTE(SUBSTITUTE(SUBSTITUTE(SUBSTITUTE(SUBSTITUTE(SUBSTITUTE(SUBSTITUTE(SUBSTITUTE(SUBSTITUTE(SUBSTITUTE(SUBSTITUTE(SUBSTITUTE(SUBSTITUTE(SUBSTITUTE(LOWER(AC13&amp;""),CHAR(10),""),CHAR(13),""),CHAR(9),""),CHAR(160),"")," ",""),".",""),"-",""),"/",""),"?",""),"_",""),",",""),"[",""),"]",""),"(",""),")",""),"*","")</f>
        <v/>
      </c>
      <c r="BA13" s="61" t="str">
        <f aca="false">SUBSTITUTE(SUBSTITUTE(SUBSTITUTE(SUBSTITUTE(SUBSTITUTE(SUBSTITUTE(SUBSTITUTE(SUBSTITUTE(SUBSTITUTE(SUBSTITUTE(SUBSTITUTE(SUBSTITUTE(SUBSTITUTE(SUBSTITUTE(SUBSTITUTE(SUBSTITUTE(LOWER(AA13&amp;""),CHAR(10),""),CHAR(13),""),CHAR(9),""),CHAR(160),"")," ",""),".",""),"-",""),"/",""),"?",""),"_",""),",",""),"[",""),"]",""),"(",""),")",""),"*","")</f>
        <v/>
      </c>
      <c r="BB13" s="61" t="str">
        <f aca="false">IF(AND(TRIM(U13)="Pass",ISNUMBER(AF13)),IF(AF13&lt;&gt;0,"INVALID – qty variance: use Fail or Pass after CA",""),"")&amp;IF(AND(TRIM(U13)="Pass after CA",ISNUMBER(AF13)),IF(AF13&lt;&gt;0,"INVALID – after the corrective action the actual qty must equal expected (update Actual)",""),"")&amp;IF(AND(TRIM(U13)="Pass",TRIM(AB13)&lt;&gt;"",TRIM(AB13)&lt;&gt;"Closed"),"INVALID – corrective action not closed: use Fail, then Pass after CA","")&amp;IF(AND(LEN(BA13)&gt;=2,ISNA(MATCH(LEFT(BA13,255),L_Placeholder,0)),TRIM(AB13)=""),"INVALID – CA status missing for the recorded corrective action","")&amp;IF(AND(TRIM(U13)="Pass after CA",OR(OR(LEN(BA13)&lt;5,ISNUMBER(MATCH(BA13,L_Placeholder,0))),TRIM(AB13)&lt;&gt;"Closed")),"INVALID – corrective action not recorded/closed","")</f>
        <v/>
      </c>
      <c r="BC13" s="61" t="str">
        <f aca="false">" "&amp;TRIM(SUBSTITUTE(SUBSTITUTE(SUBSTITUTE(SUBSTITUTE(SUBSTITUTE(SUBSTITUTE(SUBSTITUTE(SUBSTITUTE(SUBSTITUTE(SUBSTITUTE(SUBSTITUTE(SUBSTITUTE(SUBSTITUTE(SUBSTITUTE(SUBSTITUTE(SUBSTITUTE(SUBSTITUTE(SUBSTITUTE(SUBSTITUTE(SUBSTITUTE(SUBSTITUTE(SUBSTITUTE(SUBSTITUTE(SUBSTITUTE(LOWER(V13&amp;""),CHAR(10)," "),CHAR(13)," "),CHAR(9)," "),CHAR(160)," "),"."," "),","," "),"-"," "),"/"," "),"("," "),")"," "),":"," "),";"," "),"_"," "),"–"," "),"?"," "),"!"," "),"*"," "),"["," "),"]"," "),"'"," "),"#"," "),"+"," "),"&amp;"," "),"\"," "))&amp;" "</f>
        <v>  </v>
      </c>
      <c r="BD13" s="61" t="str">
        <f aca="false">" "&amp;TRIM(SUBSTITUTE(SUBSTITUTE(SUBSTITUTE(SUBSTITUTE(SUBSTITUTE(SUBSTITUTE(SUBSTITUTE(SUBSTITUTE(SUBSTITUTE(SUBSTITUTE(SUBSTITUTE(SUBSTITUTE(SUBSTITUTE(SUBSTITUTE(SUBSTITUTE(SUBSTITUTE(SUBSTITUTE(SUBSTITUTE(SUBSTITUTE(SUBSTITUTE(SUBSTITUTE(SUBSTITUTE(SUBSTITUTE(SUBSTITUTE(LOWER(Z13&amp;""),CHAR(10)," "),CHAR(13)," "),CHAR(9)," "),CHAR(160)," "),"."," "),","," "),"-"," "),"/"," "),"("," "),")"," "),":"," "),";"," "),"_"," "),"–"," "),"?"," "),"!"," "),"*"," "),"["," "),"]"," "),"'"," "),"#"," "),"+"," "),"&amp;"," "),"\"," "))&amp;" "</f>
        <v>  </v>
      </c>
      <c r="BE13" s="61" t="str">
        <f aca="false">" "&amp;TRIM(SUBSTITUTE(SUBSTITUTE(SUBSTITUTE(SUBSTITUTE(SUBSTITUTE(SUBSTITUTE(SUBSTITUTE(SUBSTITUTE(SUBSTITUTE(SUBSTITUTE(SUBSTITUTE(SUBSTITUTE(SUBSTITUTE(SUBSTITUTE(SUBSTITUTE(SUBSTITUTE(SUBSTITUTE(SUBSTITUTE(SUBSTITUTE(SUBSTITUTE(SUBSTITUTE(SUBSTITUTE(SUBSTITUTE(SUBSTITUTE(LOWER(W13&amp;""),CHAR(10)," "),CHAR(13)," "),CHAR(9)," "),CHAR(160)," "),"."," "),","," "),"-"," "),"/"," "),"("," "),")"," "),":"," "),";"," "),"_"," "),"–"," "),"?"," "),"!"," "),"*"," "),"["," "),"]"," "),"'"," "),"#"," "),"+"," "),"&amp;"," "),"\"," "))&amp;" "</f>
        <v>  </v>
      </c>
      <c r="BF13" s="61" t="str">
        <f aca="false">" "&amp;TRIM(SUBSTITUTE(SUBSTITUTE(SUBSTITUTE(SUBSTITUTE(SUBSTITUTE(SUBSTITUTE(SUBSTITUTE(SUBSTITUTE(SUBSTITUTE(SUBSTITUTE(SUBSTITUTE(SUBSTITUTE(SUBSTITUTE(SUBSTITUTE(SUBSTITUTE(SUBSTITUTE(SUBSTITUTE(SUBSTITUTE(SUBSTITUTE(SUBSTITUTE(SUBSTITUTE(SUBSTITUTE(SUBSTITUTE(SUBSTITUTE(LOWER(AC13&amp;""),CHAR(10)," "),CHAR(13)," "),CHAR(9)," "),CHAR(160)," "),"."," "),","," "),"-"," "),"/"," "),"("," "),")"," "),":"," "),";"," "),"_"," "),"–"," "),"?"," "),"!"," "),"*"," "),"["," "),"]"," "),"'"," "),"#"," "),"+"," "),"&amp;"," "),"\"," "))&amp;" "</f>
        <v>  </v>
      </c>
      <c r="BG13" s="61" t="n">
        <f aca="false">IFERROR(IF(AND(TRIM(U13)="Pass",SUMPRODUCT((LEN(BC13)-LEN(SUBSTITUTE(BC13," "&amp;L_ResultBad&amp;" "," ")))/(LEN(L_ResultBad)+1))&gt;SUMPRODUCT((LEN(BC13)-LEN(SUBSTITUTE(BC13," "&amp;L_NegPhrase&amp;" "," ")))/(LEN(L_NegPhrase)+1))),1,0),0)</f>
        <v>0</v>
      </c>
      <c r="BH13" s="61" t="n">
        <f aca="false">IFERROR(IF(SUMPRODUCT((LEN(BC13)-LEN(SUBSTITUTE(BC13," "&amp;L_Pending&amp;" "," ")))/(LEN(L_Pending)+1))&gt;SUMPRODUCT((LEN(BC13)-LEN(SUBSTITUTE(BC13," "&amp;L_PendNeg&amp;" "," ")))/(LEN(L_PendNeg)+1))+SUMPRODUCT((LEN(BC13)-LEN(SUBSTITUTE(BC13," "&amp;L_PendPrep&amp;" "," ")))/(LEN(L_PendPrep)+1)),1,0),1)</f>
        <v>0</v>
      </c>
      <c r="BI13" s="61" t="n">
        <f aca="false">IFERROR(IF(SUMPRODUCT((LEN(BD13)-LEN(SUBSTITUTE(BD13," "&amp;L_PendStrict&amp;" "," ")))/(LEN(L_PendStrict)+1))&gt;SUMPRODUCT((LEN(BD13)-LEN(SUBSTITUTE(BD13," "&amp;L_PendNeg&amp;" "," ")))/(LEN(L_PendNeg)+1)),1,0),1)</f>
        <v>0</v>
      </c>
      <c r="BJ13" s="61" t="n">
        <f aca="false">IFERROR(IF(SUMPRODUCT((LEN(BE13)-LEN(SUBSTITUTE(BE13," "&amp;L_Pending&amp;" "," ")))/(LEN(L_Pending)+1))&gt;SUMPRODUCT((LEN(BE13)-LEN(SUBSTITUTE(BE13," "&amp;L_PendNeg&amp;" "," ")))/(LEN(L_PendNeg)+1))+SUMPRODUCT((LEN(BE13)-LEN(SUBSTITUTE(BE13," "&amp;L_PendPrep&amp;" "," ")))/(LEN(L_PendPrep)+1)),1,0),1)</f>
        <v>0</v>
      </c>
      <c r="BK13" s="61" t="n">
        <f aca="false">IFERROR(IF(SUMPRODUCT((LEN(BF13)-LEN(SUBSTITUTE(BF13," "&amp;L_PendStrict&amp;" "," ")))/(LEN(L_PendStrict)+1))&gt;SUMPRODUCT((LEN(BF13)-LEN(SUBSTITUTE(BF13," "&amp;L_PendNeg&amp;" "," ")))/(LEN(L_PendNeg)+1)),1,0),1)</f>
        <v>0</v>
      </c>
      <c r="BL13" s="61" t="n">
        <f aca="false">IF(ISNA(MATCH(TRIM(S13),L_EvidenceType,0)),0,BZ13)</f>
        <v>0</v>
      </c>
      <c r="BM13" s="61" t="str">
        <f aca="false">SUBSTITUTE(SUBSTITUTE(SUBSTITUTE(SUBSTITUTE(SUBSTITUTE(SUBSTITUTE(SUBSTITUTE(SUBSTITUTE(SUBSTITUTE(LOWER(Z13&amp;""),"1","0"),"2","0"),"3","0"),"4","0"),"5","0"),"6","0"),"7","0"),"8","0"),"9","0")</f>
        <v/>
      </c>
      <c r="BN13" s="61" t="str">
        <f aca="false">SUBSTITUTE(SUBSTITUTE(SUBSTITUTE(SUBSTITUTE(SUBSTITUTE(SUBSTITUTE(SUBSTITUTE(SUBSTITUTE(SUBSTITUTE(SUBSTITUTE(SUBSTITUTE(SUBSTITUTE(SUBSTITUTE(SUBSTITUTE(SUBSTITUTE(SUBSTITUTE(SUBSTITUTE(SUBSTITUTE(SUBSTITUTE(SUBSTITUTE(SUBSTITUTE(SUBSTITUTE(SUBSTITUTE(SUBSTITUTE(SUBSTITUTE(BM13,"b","a"),"c","a"),"d","a"),"e","a"),"f","a"),"g","a"),"h","a"),"i","a"),"j","a"),"k","a"),"l","a"),"m","a"),"n","a"),"o","a"),"p","a"),"q","a"),"r","a"),"s","a"),"t","a"),"u","a"),"v","a"),"w","a"),"x","a"),"y","a"),"z","a")</f>
        <v/>
      </c>
      <c r="BO13" s="61" t="str">
        <f aca="false">SUBSTITUTE(SUBSTITUTE(SUBSTITUTE(SUBSTITUTE(SUBSTITUTE(SUBSTITUTE(SUBSTITUTE(SUBSTITUTE(SUBSTITUTE(LOWER(W13&amp;""),"1","0"),"2","0"),"3","0"),"4","0"),"5","0"),"6","0"),"7","0"),"8","0"),"9","0")</f>
        <v/>
      </c>
      <c r="BP13" s="61" t="str">
        <f aca="false">SUBSTITUTE(SUBSTITUTE(SUBSTITUTE(SUBSTITUTE(SUBSTITUTE(SUBSTITUTE(SUBSTITUTE(SUBSTITUTE(SUBSTITUTE(SUBSTITUTE(SUBSTITUTE(SUBSTITUTE(SUBSTITUTE(SUBSTITUTE(SUBSTITUTE(SUBSTITUTE(SUBSTITUTE(SUBSTITUTE(SUBSTITUTE(SUBSTITUTE(SUBSTITUTE(SUBSTITUTE(SUBSTITUTE(SUBSTITUTE(SUBSTITUTE(BO13,"b","a"),"c","a"),"d","a"),"e","a"),"f","a"),"g","a"),"h","a"),"i","a"),"j","a"),"k","a"),"l","a"),"m","a"),"n","a"),"o","a"),"p","a"),"q","a"),"r","a"),"s","a"),"t","a"),"u","a"),"v","a"),"w","a"),"x","a"),"y","a"),"z","a")</f>
        <v/>
      </c>
      <c r="BQ13" s="61" t="n">
        <f aca="false">IFERROR(IF(AND(ISERROR(SEARCH(" mh"," "&amp;LOWER(W13))),ISNA(MATCH(LEFT(TRIM(BP13),255),{"0000a","000a","00a","0000aa","000aa","00aa","0aa","0000aaa","000aaa","00a00","0a00","0000-0000","00:00","a00","a0","00.00.0000","00/00/0000","00-00-0000","0000-00-00","0000/00/00","0000.00.00","00.00.00","00/00/00","00-00-00","0.00.0000","0/00/0000","0-00-0000"},0)),ISNA(MATCH(LEFT(TRIM(CA13),255),{"0000a","000a","00a","0000aa","000aa","00aa","0aa","0000aaa","000aaa","00a00","0a00","0000-0000","00:00","a00","a0","00.00.0000","00/00/0000","00-00-0000","0000-00-00","0000/00/00","0000.00.00","00.00.00","00/00/00","00-00-00","0.00.0000","0/00/0000","0-00-0000"},0)),LEN(CB13)&gt;=3,NOT(OR(SUBSTITUTE(CB13,"0","")="",AND(LEN(CB13)&gt;=4,CB13=REPT(LEFT(CB13),LEN(CB13))),ISNUMBER(MATCH(CB13,{"123","1234","12345","123456","1234567","12345678","0123","01234","012345","98765","987654","54321"},0)),AND(LEN(CB13)=8,LEFT(CB13,3)="202"))),OR(AND((LEN(CA13)-LEN(SUBSTITUTE(CA13,"a","")))&gt;=1,SUMPRODUCT(--ISNUMBER(SEARCH({"a0","a-0","a_0","a/0","a.0","a#0","0a","0-a","0_a","0/a"},BP13)))&gt;0),ISNUMBER(SEARCH("000000",BP13)))),1,0),0)</f>
        <v>0</v>
      </c>
      <c r="BR13" s="61" t="n">
        <f aca="false">IFERROR(LEN(SUBSTITUTE(CC13," ",""))-SUMPRODUCT((LEN(CC13)-LEN(SUBSTITUTE(CC13," "&amp;L_Role&amp;" "," ")))/(LEN(L_Role)+1)*LEN(L_Role)),0)</f>
        <v>0</v>
      </c>
      <c r="BS13" s="61" t="n">
        <f aca="false">IFERROR(LEN(SUBSTITUTE(CD13," ",""))-SUMPRODUCT((LEN(CD13)-LEN(SUBSTITUTE(CD13," "&amp;L_Role&amp;" "," ")))/(LEN(L_Role)+1)*LEN(L_Role)),0)</f>
        <v>0</v>
      </c>
      <c r="BT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revision",""),"version",""),"jan",""),"feb",""),"mar",""),"apr",""),"may",""),"jun",""),"jul",""),"aug",""),"sep",""),"oct",""),"nov",""),"dec",""),"utc",""),"gmt",""),"myt",""),"bst",""),"rev",""),"ver",""),"b","a"),"c","a"),"d","a"),"e","a"),"f","a"),"g","a"),"h","a"),"i","a"),"j","a"),"k","a"),"l","a"),"m","a"),"n","a"),"o","a"),"p","a"),"q","a"),"r","a"),"s","a"),"t","a"),"u","a"),"v","a"),"w","a"),"x","a"),"y","a"),"z","a")</f>
        <v/>
      </c>
      <c r="BU13" s="61" t="str">
        <f aca="false">SUBSTITUTE(SUBSTITUTE(SUBSTITUTE(SUBSTITUTE(SUBSTITUTE(SUBSTITUTE(SUBSTITUTE(SUBSTITUTE(SUBSTITUTE(SUBSTITUTE(LEFT(BM13,FIND("0",BM13&amp;"0")-1),"-",""),"_",""),"/",""),".",""),"#",""),"\\",""),":","")," ",""),"(",""),")","")</f>
        <v/>
      </c>
      <c r="BV13" s="61" t="n">
        <f aca="false">0</f>
        <v>0</v>
      </c>
      <c r="BW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amp;""),"a",""),"b",""),"c",""),"d",""),"e",""),"f",""),"g",""),"h",""),"i",""),"j",""),"k",""),"l",""),"m",""),"n",""),"o",""),"p",""),"q",""),"r",""),"s",""),"t",""),"u",""),"v",""),"w",""),"x",""),"y",""),"z",""),"-",""),"_",""),"/",""),".",""),"#",""),"\\",""),":","")," ",""),"(",""),")","")</f>
        <v/>
      </c>
      <c r="BX13" s="61" t="str">
        <f aca="false">SUBSTITUTE(SUBSTITUTE(SUBSTITUTE(SUBSTITUTE(SUBSTITUTE(SUBSTITUTE(SUBSTITUTE(SUBSTITUTE(SUBSTITUTE(SUBSTITUTE(SUBSTITUTE(BM13,"0",""),"-",""),"_",""),"/",""),".",""),"#",""),"\\",""),":","")," ",""),"(",""),")","")</f>
        <v/>
      </c>
      <c r="BY13" s="62" t="n">
        <f aca="false">Q13-T7EarlyD*24/24</f>
        <v>46282.8576388889</v>
      </c>
      <c r="BZ13" s="61" t="n">
        <f aca="false">IFERROR(IF(IF(TRIM(S13)="Link / file path",AND(LEN(TRIM(Z13))&gt;=5,SUMPRODUCT(--ISNUMBER(SEARCH({"http","www.","\\",":\",".pdf",".jpg",".jpeg",".png",".heic",".xls",".doc",".msg",".eml",".ppt",".txt",".zip"},Z13)))&gt;0),AND(ISERROR(FIND(" ",TRIM(Z13))),NOT(OR(SUMPRODUCT(--ISNUMBER(FIND({",",";","&amp;","+"},Z13)))&gt;0,SUMPRODUCT(--ISNUMBER(SEARCH({"0/aa","0\\aa"},BN13)))&gt;0)),NOT(SUMPRODUCT(--ISNUMBER(SEARCH({"http","www.","\\",":\",".pdf",".jpg",".jpeg",".png",".heic",".xls",".doc",".msg",".eml",".ppt",".txt",".zip"},Z13)))&gt;0),NOT(LOWER(TRIM(Z13))=LOWER(Flights!$F$5)),ISNA(MATCH(BU13,{"mh","rev","revision","ver","version","v","r","a","b","seat","tray","row","gate","bay","stand","page","pg","item","line","no","cart","galley","flight","flt","table","box","bag","oven","etd","eta","std","sta","atd","ata","qty","pax","x","time","tel","ph","mob","day","wk","week","utc","gmt","myt","lt"},0)),NOT(OR(ISNUMBER(MATCH(LEFT(BN13,255),{"0000a","000a","00a","0000aa","000aa","00aa","0aa","0000aaa","000aaa","00a00","0a00","0000-0000","00:00","a00","a0","00.00.0000","00/00/0000","00-00-0000","0000-00-00","0000/00/00","0000.00.00","00.00.00","00/00/00","00-00-00","0.00.0000","0/00/0000","0-00-0000"},0)),ISNUMBER(MATCH(LEFT(BT13,255),{"0000a","000a","00a","0000aa","000aa","00aa","0aa","0000aaa","000aaa","00a00","0a00","0000-0000","00:00","a00","a0","00.00.0000","00/00/0000","00-00-0000","0000-00-00","0000/00/00","0000.00.00","00.00.00","00/00/00","00-00-00","0.00.0000","0/00/0000","0-00-0000"},0)))),NOT(OR(AND(BW13&lt;&gt;"",SUBSTITUTE(BW13,"0","")=""),AND(LEN(BW13)&gt;=4,BW13=REPT(LEFT(BW13),LEN(BW13))),ISNUMBER(MATCH(BW13,{"123","1234","12345","123456","1234567","12345678","0123","01234","012345","98765","987654","54321"},0)),ISNUMBER(MATCH(BX13,{"x","xx","xxx","xxxx","xxxxx","abc","abcd","nil","na","nan","test","tbc","tba","tbd","dummy","sample","example","eg","zz","zzz","none","null","xyz","qwe","asd","id","ref"},0)),AND(LEN(BW13)=8,BX13="",OR(LEFT(BW13,3)="202",ISNUMBER(MATCH(RIGHT(BW13,4),{"2025","2026","2027"},0)))))),OR(AND((LEN(BT13)-LEN(SUBSTITUTE(BT13,"a","")))&gt;=1,(LEN(BN13)-LEN(SUBSTITUTE(BN13,"0","")))&gt;=2,SUMPRODUCT(--ISNUMBER(SEARCH({"a0","a-0","a_0","a/0","a.0","a#0","0a","0-a","0_a","0/a"},BN13)))&gt;0),AND((LEN(BN13)-LEN(SUBSTITUTE(BN13,"a","")))=0,(LEN(BN13)-LEN(SUBSTITUTE(BN13,"0","")))&gt;=5)))),1,0),0)</f>
        <v>0</v>
      </c>
      <c r="CA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revision",""),"version",""),"jan",""),"feb",""),"mar",""),"apr",""),"may",""),"jun",""),"jul",""),"aug",""),"sep",""),"oct",""),"nov",""),"dec",""),"utc",""),"gmt",""),"myt",""),"bst",""),"rev",""),"ver",""),"b","a"),"c","a"),"d","a"),"e","a"),"f","a"),"g","a"),"h","a"),"i","a"),"j","a"),"k","a"),"l","a"),"m","a"),"n","a"),"o","a"),"p","a"),"q","a"),"r","a"),"s","a"),"t","a"),"u","a"),"v","a"),"w","a"),"x","a"),"y","a"),"z","a")</f>
        <v/>
      </c>
      <c r="CB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amp;""),"a",""),"b",""),"c",""),"d",""),"e",""),"f",""),"g",""),"h",""),"i",""),"j",""),"k",""),"l",""),"m",""),"n",""),"o",""),"p",""),"q",""),"r",""),"s",""),"t",""),"u",""),"v",""),"w",""),"x",""),"y",""),"z",""),"-",""),"_",""),"/",""),".",""),"#",""),"\\",""),":","")," ",""),"(",""),")","")</f>
        <v/>
      </c>
      <c r="CC13" s="0" t="str">
        <f aca="false">" "&amp;TRIM(SUBSTITUTE(SUBSTITUTE(SUBSTITUTE(SUBSTITUTE(SUBSTITUTE(SUBSTITUTE(SUBSTITUTE(SUBSTITUTE(SUBSTITUTE(SUBSTITUTE(SUBSTITUTE(SUBSTITUTE(SUBSTITUTE(SUBSTITUTE(SUBSTITUTE(SUBSTITUTE(SUBSTITUTE(SUBSTITUTE(SUBSTITUTE(SUBSTITUTE(SUBSTITUTE(SUBSTITUTE(SUBSTITUTE(SUBSTITUTE(LOWER(T13&amp;""),CHAR(10)," "),CHAR(13)," "),CHAR(9)," "),CHAR(160)," "),"."," "),","," "),"-"," "),"/"," "),"("," "),")"," "),":"," "),";"," "),"_"," "),"–"," "),"?"," "),"!"," "),"*"," "),"["," "),"]"," "),"'"," "),"#"," "),"+"," "),"&amp;"," "),"\"," "))&amp;" "</f>
        <v>  </v>
      </c>
      <c r="CD13" s="0" t="str">
        <f aca="false">" "&amp;TRIM(SUBSTITUTE(SUBSTITUTE(SUBSTITUTE(SUBSTITUTE(SUBSTITUTE(SUBSTITUTE(SUBSTITUTE(SUBSTITUTE(SUBSTITUTE(SUBSTITUTE(SUBSTITUTE(SUBSTITUTE(SUBSTITUTE(SUBSTITUTE(SUBSTITUTE(SUBSTITUTE(SUBSTITUTE(SUBSTITUTE(SUBSTITUTE(SUBSTITUTE(SUBSTITUTE(SUBSTITUTE(SUBSTITUTE(SUBSTITUTE(LOWER(AE13&amp;""),CHAR(10)," "),CHAR(13)," "),CHAR(9)," "),CHAR(160)," "),"."," "),","," "),"-"," "),"/"," "),"("," "),")"," "),":"," "),";"," "),"_"," "),"–"," "),"?"," "),"!"," "),"*"," "),"["," "),"]"," "),"'"," "),"#"," "),"+"," "),"&amp;"," "),"\"," "))&amp;" "</f>
        <v>  </v>
      </c>
      <c r="CE13" s="68" t="n">
        <f aca="false">IFERROR(IF(AND(LEN(AU13)&gt;0,LEN(AU13)=LEN(AX13),OR(TRIM(MID(SUBSTITUTE(TRIM(CC13)," ",REPT(" ",60)),1,60))="",ISNUMBER(SEARCH(" "&amp;TRIM(MID(SUBSTITUTE(TRIM(CC13)," ",REPT(" ",60)),1,60))&amp;" ",CD13))),OR(TRIM(MID(SUBSTITUTE(TRIM(CC13)," ",REPT(" ",60)),61,60))="",ISNUMBER(SEARCH(" "&amp;TRIM(MID(SUBSTITUTE(TRIM(CC13)," ",REPT(" ",60)),61,60))&amp;" ",CD13))),OR(TRIM(MID(SUBSTITUTE(TRIM(CC13)," ",REPT(" ",60)),121,60))="",ISNUMBER(SEARCH(" "&amp;TRIM(MID(SUBSTITUTE(TRIM(CC13)," ",REPT(" ",60)),121,60))&amp;" ",CD13)))),1,0),0)</f>
        <v>0</v>
      </c>
      <c r="CG13" s="68" t="n">
        <f aca="false">IFERROR(LEN(SUBSTITUTE(BF13," ",""))-SUMPRODUCT((LEN(BF13)-LEN(SUBSTITUTE(BF13," "&amp;L_NAFiller&amp;" "," ")))/(LEN(L_NAFiller)+1)*LEN(L_NAFiller)),0)</f>
        <v>0</v>
      </c>
    </row>
    <row r="14" customFormat="false" ht="39.75" hidden="false" customHeight="true" outlineLevel="0" collapsed="false">
      <c r="A14" s="57" t="s">
        <v>415</v>
      </c>
      <c r="B14" s="57" t="s">
        <v>183</v>
      </c>
      <c r="C14" s="57" t="str">
        <f aca="false">Flights!$F$5</f>
        <v>MH0001</v>
      </c>
      <c r="D14" s="58" t="n">
        <f aca="false">Flights!$D$5</f>
        <v>46303</v>
      </c>
      <c r="E14" s="57" t="str">
        <f aca="false">Flights!$G$5&amp;"-"&amp;Flights!$H$5</f>
        <v>LHR-KUL</v>
      </c>
      <c r="F14" s="57" t="str">
        <f aca="false">Flights!$K$5</f>
        <v>EY</v>
      </c>
      <c r="G14" s="57" t="s">
        <v>83</v>
      </c>
      <c r="H14" s="57" t="s">
        <v>378</v>
      </c>
      <c r="I14" s="57" t="s">
        <v>379</v>
      </c>
      <c r="J14" s="57" t="s">
        <v>416</v>
      </c>
      <c r="K14" s="67" t="s">
        <v>417</v>
      </c>
      <c r="L14" s="67" t="s">
        <v>418</v>
      </c>
      <c r="M14" s="67"/>
      <c r="N14" s="67" t="s">
        <v>383</v>
      </c>
      <c r="O14" s="67"/>
      <c r="P14" s="57" t="s">
        <v>186</v>
      </c>
      <c r="Q14" s="59" t="n">
        <f aca="false">ROUND((Flights!$AD$5)*1440,0)/1440</f>
        <v>46302.8576388889</v>
      </c>
      <c r="R14" s="59" t="n">
        <f aca="false">Q14+(IF(AND(INDEX(TZ_DSTS,MATCH(P14,TZ_STN,0))&lt;&gt;"",Q14&gt;=INDEX(TZ_DSTS,MATCH(P14,TZ_STN,0)),Q14&lt;INDEX(TZ_DSTE,MATCH(P14,TZ_STN,0))),INDEX(TZ_DST,MATCH(P14,TZ_STN,0)),INDEX(TZ_STD,MATCH(P14,TZ_STN,0))))/24</f>
        <v>46302.8993055556</v>
      </c>
      <c r="S14" s="60"/>
      <c r="T14" s="60"/>
      <c r="U14" s="60"/>
      <c r="V14" s="60"/>
      <c r="W14" s="60"/>
      <c r="X14" s="60"/>
      <c r="Y14" s="60"/>
      <c r="Z14" s="60"/>
      <c r="AA14" s="60"/>
      <c r="AB14" s="60"/>
      <c r="AC14" s="60"/>
      <c r="AD14" s="66"/>
      <c r="AE14" s="60"/>
      <c r="AF14" s="61" t="str">
        <f aca="false">IF(AND(ISNUMBER(X14),ISNUMBER(Y14)),Y14-X14,"")</f>
        <v/>
      </c>
      <c r="AG14" s="62" t="str">
        <f aca="false">IF(ISNUMBER(AD14),AD14-(IF(AND(INDEX(TZ_DSTS,MATCH(P14,TZ_STN,0))&lt;&gt;"",(AD14-INDEX(TZ_STD,MATCH(P14,TZ_STN,0))/24)&gt;=INDEX(TZ_DSTS,MATCH(P14,TZ_STN,0)),(AD14-INDEX(TZ_STD,MATCH(P14,TZ_STN,0))/24)&lt;INDEX(TZ_DSTE,MATCH(P14,TZ_STN,0))),INDEX(TZ_DST,MATCH(P14,TZ_STN,0)),INDEX(TZ_STD,MATCH(P14,TZ_STN,0))))/24,"")</f>
        <v/>
      </c>
      <c r="AH14" s="65" t="str">
        <f aca="false">IFERROR(IF(N14="N/A – rule",IF(OR(TRIM(U14)="",TRIM(U14)="N/A",TRIM(U14)="Not started"),"N/A – RULE","INVALID – this check does not apply to this aircraft: clear the status (or correct the fleet on Flights)"),IF(TRIM(U14)="N/A",IF(AT14=0,"INVALID – N/A not permitted for this check",IF(AND(TRIM(AB14)&lt;&gt;"",TRIM(AB14)&lt;&gt;"Closed"),"INVALID – corrective action still open",IF(AND(NOT(OR(LEN(AZ14)&lt;15,ISNUMBER(MATCH(AZ14,L_Placeholder,0)))),BK14=0,CG14&gt;=8,NOT(OR(LEN(AU14)&lt;2,ISNUMBER(MATCH(AU14,L_Placeholder,0)))),BR14&gt;=3,NOT(OR(LEN(AX14)&lt;2,ISNUMBER(MATCH(AX14,L_Placeholder,0)))),BS14&gt;=3,TRIM(AE14)&lt;&gt;TRIM(T14),AX14&lt;&gt;AU14,CE14=0),"N/A – JUSTIFIED","INVALID – N/A needs a real, settled reason (not 'not applicable' / 'as above' / TBC), a named PIC and a different named verifier"))),IF(OR(TRIM(U14)="Pass",TRIM(U14)="Pass after CA"),IF(NOT(ISNUMBER(AD14)),"INVALID – completion time missing",IF(OR(OR(LEN(AU14)&lt;2,ISNUMBER(MATCH(AU14,L_Placeholder,0))),BR14&lt;3),"INVALID – PIC missing or not a named person (a role such as QA / CSM is not a name)",IF(OR(LEN(AV14)&lt;2,ISNUMBER(MATCH(AV14,L_Placeholder,0))),"INVALID – result / assessment missing",IF(OR(OR(LEN(AW14)&lt;3,ISNUMBER(MATCH(AW14,L_Placeholder,0))),SUMPRODUCT(--ISNUMBER(SEARCH(" "&amp;L_EvidencePhrase&amp;" ",BD14)))&gt;0,BI14=1),"INVALID – evidence missing, placeholder or not yet on file",IF(ISNA(MATCH(TRIM(S14),L_EvidenceType,0)),"INVALID – choose the evidence type from the list (column S)",IF(BL14=0,"INVALID – evidence ID must be the record's own ID only (e.g. SF-2210, IMG_2231, 1045521); a link / file name needs type 'Link / file path'",IF(OR(OR(LEN(AX14)&lt;2,ISNUMBER(MATCH(AX14,L_Placeholder,0))),BS14&lt;3),"INVALID – verifier missing or not a named person (a role such as QA / CSM is not a name)",IF(OR(AX14=AU14,CE14=1,AND(LEN(AU14)&gt;=4,ISNUMBER(SEARCH(AU14,AX14))),AND(LEN(AX14)&gt;=4,ISNUMBER(SEARCH(AX14,AU14)))),"INVALID – verifier must be a different, named person (not the PIC or a role)",IF(BH14=1,"INVALID – result not yet available (awaiting / TBC)",IF(BG14=1,"INVALID – result describes a problem: record Fail, then Pass after CA (or reword if it is not a problem)",IF(BV14=1,"INVALID – wording says not on board: an on-board confirmation needs the item loaded",IF(AND(AQ14=1,OR(OR(LEN(AY14)&lt;3,ISNUMBER(MATCH(AY14,L_Placeholder,0))),BJ14=1,BQ14=0)),"INVALID – batch ID missing, placeholder or not an ID (e.g. PASB-261008-BC-017)",IF(AND(AR14=1,OR(NOT(ISNUMBER(X14)),NOT(ISNUMBER(Y14)))),"INVALID – expected/actual qty missing",IF(AND(AR14=1,OR(X14&lt;=0,Y14&lt;0)),"INVALID – expected qty must be above 0 and actual not negative",IF(BB14&lt;&gt;"",BB14,IF(AND(AS14=1,Documents!$J$5&lt;&gt;"ON FILE"),"INVALID – GLD not on file (Documents sheet)",IF(AND(AS14=2,Documents!$O$5&lt;&gt;"ON FILE"),"INVALID – menu checklist not on file (Documents sheet)",IF(AND(AS14=3,NOT(ISNUMBER(Flights!$AX$5))),"INVALID – enter carrying flight KUL departure (Flights AX)",IF(AND(AS14=3,OR(Flights!$AZ$5&gt;Flights!$AA$5,Flights!$AX$5&lt;Flights!$AA$5-3)),"INVALID – carrying flight (Flights AX) cannot arrive before this leg's STD, or is over 3 days early",IF(AG14&gt;AsOfUTC,"INVALID – completion time is in the future",IF(AND(ISNUMBER(BY14),AG14&lt;BY14),IF(H14="Physical uplift","INVALID – before uplift window (cannot confirm loading)","INVALID – before valid window"),IF(AG14&gt;Flights!$AA$5,"INVALID – completed after departure (cannot establish readiness)",IF(AND(H14="Preparation",AG14&gt;=IF(ISNUMBER(Flights!$BA$5),MIN(Flights!$BA$5,Flights!$AA$5),Flights!$AA$5)),"INVALID – completed after loading / departure (cannot establish readiness)",IF(AND(H14="Physical uplift",AG14&gt;Q14),"INVALID – recorded after the loading flight departed",IF(AG14&gt;Q14,"COMPLETE – LATE","COMPLETE"))))))))))))))))))))))))),IF(TRIM(U14)="Fail","FAIL – DISCREPANCY",IF(AND(TRIM(U14)&lt;&gt;"",TRIM(U14)&lt;&gt;"Not started",TRIM(U14)&lt;&gt;"In progress"),"INVALID – unrecognised status (use the list)",IF(AsOfUTC&gt;Q14,"OVERDUE",IF(N14="Clarification required","OPEN – CLARIFICATION","OPEN"))))))),"INVALID – error value in an input cell")</f>
        <v>OPEN</v>
      </c>
      <c r="AI14" s="61" t="n">
        <f aca="false">IF(OR(AH14="N/A – RULE",AH14="N/A – JUSTIFIED"),0,1)</f>
        <v>1</v>
      </c>
      <c r="AJ14" s="61" t="n">
        <f aca="false">IF(LEFT(AH14,8)="COMPLETE",1,0)</f>
        <v>0</v>
      </c>
      <c r="AK14" s="61" t="n">
        <f aca="false">IF(AND(AI14=1,AJ14=0,AsOfUTC&gt;Q14),1,0)</f>
        <v>0</v>
      </c>
      <c r="AL14" s="61" t="n">
        <f aca="false">IFERROR(IF(AND(AI14=1,OR(TRIM(U14)="Fail",AND(TRIM(AB14)&lt;&gt;"",TRIM(AB14)&lt;&gt;"Closed"),AND(ISNUMBER(AF14),AF14&lt;&gt;0,TRIM(U14)&lt;&gt;"Pass after CA"))),1,0),1)</f>
        <v>0</v>
      </c>
      <c r="AM14" s="61" t="n">
        <f aca="false">IF(LEFT(AH14,7)="INVALID",1,0)</f>
        <v>0</v>
      </c>
      <c r="AN14" s="61" t="n">
        <f aca="false">IF(AND(N14="Clarification required",AI14=1,AJ14=0),1,0)</f>
        <v>0</v>
      </c>
      <c r="AO14" s="61" t="str">
        <f aca="false">IF(AK14=1,SUM(AK$5:AK14),"")</f>
        <v/>
      </c>
      <c r="AP14" s="61" t="str">
        <f aca="false">IF(AL14=1,SUM(AL$5:AL14),"")</f>
        <v/>
      </c>
      <c r="AQ14" s="61" t="n">
        <v>1</v>
      </c>
      <c r="AR14" s="61" t="n">
        <v>0</v>
      </c>
      <c r="AS14" s="61" t="n">
        <v>0</v>
      </c>
      <c r="AT14" s="61" t="n">
        <v>0</v>
      </c>
      <c r="AU14" s="61" t="str">
        <f aca="false">SUBSTITUTE(SUBSTITUTE(SUBSTITUTE(SUBSTITUTE(SUBSTITUTE(SUBSTITUTE(SUBSTITUTE(SUBSTITUTE(SUBSTITUTE(SUBSTITUTE(SUBSTITUTE(SUBSTITUTE(SUBSTITUTE(SUBSTITUTE(SUBSTITUTE(SUBSTITUTE(LOWER(T14&amp;""),CHAR(10),""),CHAR(13),""),CHAR(9),""),CHAR(160),"")," ",""),".",""),"-",""),"/",""),"?",""),"_",""),",",""),"[",""),"]",""),"(",""),")",""),"*","")</f>
        <v/>
      </c>
      <c r="AV14" s="61" t="str">
        <f aca="false">SUBSTITUTE(SUBSTITUTE(SUBSTITUTE(SUBSTITUTE(SUBSTITUTE(SUBSTITUTE(SUBSTITUTE(SUBSTITUTE(SUBSTITUTE(SUBSTITUTE(SUBSTITUTE(SUBSTITUTE(SUBSTITUTE(SUBSTITUTE(SUBSTITUTE(SUBSTITUTE(LOWER(V14&amp;""),CHAR(10),""),CHAR(13),""),CHAR(9),""),CHAR(160),"")," ",""),".",""),"-",""),"/",""),"?",""),"_",""),",",""),"[",""),"]",""),"(",""),")",""),"*","")</f>
        <v/>
      </c>
      <c r="AW14" s="61" t="str">
        <f aca="false">SUBSTITUTE(SUBSTITUTE(SUBSTITUTE(SUBSTITUTE(SUBSTITUTE(SUBSTITUTE(SUBSTITUTE(SUBSTITUTE(SUBSTITUTE(SUBSTITUTE(SUBSTITUTE(SUBSTITUTE(SUBSTITUTE(SUBSTITUTE(SUBSTITUTE(SUBSTITUTE(LOWER(Z14&amp;""),CHAR(10),""),CHAR(13),""),CHAR(9),""),CHAR(160),"")," ",""),".",""),"-",""),"/",""),"?",""),"_",""),",",""),"[",""),"]",""),"(",""),")",""),"*","")</f>
        <v/>
      </c>
      <c r="AX14" s="61" t="str">
        <f aca="false">SUBSTITUTE(SUBSTITUTE(SUBSTITUTE(SUBSTITUTE(SUBSTITUTE(SUBSTITUTE(SUBSTITUTE(SUBSTITUTE(SUBSTITUTE(SUBSTITUTE(SUBSTITUTE(SUBSTITUTE(SUBSTITUTE(SUBSTITUTE(SUBSTITUTE(SUBSTITUTE(LOWER(AE14&amp;""),CHAR(10),""),CHAR(13),""),CHAR(9),""),CHAR(160),"")," ",""),".",""),"-",""),"/",""),"?",""),"_",""),",",""),"[",""),"]",""),"(",""),")",""),"*","")</f>
        <v/>
      </c>
      <c r="AY14" s="61" t="str">
        <f aca="false">SUBSTITUTE(SUBSTITUTE(SUBSTITUTE(SUBSTITUTE(SUBSTITUTE(SUBSTITUTE(SUBSTITUTE(SUBSTITUTE(SUBSTITUTE(SUBSTITUTE(SUBSTITUTE(SUBSTITUTE(SUBSTITUTE(SUBSTITUTE(SUBSTITUTE(SUBSTITUTE(LOWER(W14&amp;""),CHAR(10),""),CHAR(13),""),CHAR(9),""),CHAR(160),"")," ",""),".",""),"-",""),"/",""),"?",""),"_",""),",",""),"[",""),"]",""),"(",""),")",""),"*","")</f>
        <v/>
      </c>
      <c r="AZ14" s="61" t="str">
        <f aca="false">SUBSTITUTE(SUBSTITUTE(SUBSTITUTE(SUBSTITUTE(SUBSTITUTE(SUBSTITUTE(SUBSTITUTE(SUBSTITUTE(SUBSTITUTE(SUBSTITUTE(SUBSTITUTE(SUBSTITUTE(SUBSTITUTE(SUBSTITUTE(SUBSTITUTE(SUBSTITUTE(LOWER(AC14&amp;""),CHAR(10),""),CHAR(13),""),CHAR(9),""),CHAR(160),"")," ",""),".",""),"-",""),"/",""),"?",""),"_",""),",",""),"[",""),"]",""),"(",""),")",""),"*","")</f>
        <v/>
      </c>
      <c r="BA14" s="61" t="str">
        <f aca="false">SUBSTITUTE(SUBSTITUTE(SUBSTITUTE(SUBSTITUTE(SUBSTITUTE(SUBSTITUTE(SUBSTITUTE(SUBSTITUTE(SUBSTITUTE(SUBSTITUTE(SUBSTITUTE(SUBSTITUTE(SUBSTITUTE(SUBSTITUTE(SUBSTITUTE(SUBSTITUTE(LOWER(AA14&amp;""),CHAR(10),""),CHAR(13),""),CHAR(9),""),CHAR(160),"")," ",""),".",""),"-",""),"/",""),"?",""),"_",""),",",""),"[",""),"]",""),"(",""),")",""),"*","")</f>
        <v/>
      </c>
      <c r="BB14" s="61" t="str">
        <f aca="false">IF(AND(TRIM(U14)="Pass",ISNUMBER(AF14)),IF(AF14&lt;&gt;0,"INVALID – qty variance: use Fail or Pass after CA",""),"")&amp;IF(AND(TRIM(U14)="Pass after CA",ISNUMBER(AF14)),IF(AF14&lt;&gt;0,"INVALID – after the corrective action the actual qty must equal expected (update Actual)",""),"")&amp;IF(AND(TRIM(U14)="Pass",TRIM(AB14)&lt;&gt;"",TRIM(AB14)&lt;&gt;"Closed"),"INVALID – corrective action not closed: use Fail, then Pass after CA","")&amp;IF(AND(LEN(BA14)&gt;=2,ISNA(MATCH(LEFT(BA14,255),L_Placeholder,0)),TRIM(AB14)=""),"INVALID – CA status missing for the recorded corrective action","")&amp;IF(AND(TRIM(U14)="Pass after CA",OR(OR(LEN(BA14)&lt;5,ISNUMBER(MATCH(BA14,L_Placeholder,0))),TRIM(AB14)&lt;&gt;"Closed")),"INVALID – corrective action not recorded/closed","")</f>
        <v/>
      </c>
      <c r="BC14" s="61" t="str">
        <f aca="false">" "&amp;TRIM(SUBSTITUTE(SUBSTITUTE(SUBSTITUTE(SUBSTITUTE(SUBSTITUTE(SUBSTITUTE(SUBSTITUTE(SUBSTITUTE(SUBSTITUTE(SUBSTITUTE(SUBSTITUTE(SUBSTITUTE(SUBSTITUTE(SUBSTITUTE(SUBSTITUTE(SUBSTITUTE(SUBSTITUTE(SUBSTITUTE(SUBSTITUTE(SUBSTITUTE(SUBSTITUTE(SUBSTITUTE(SUBSTITUTE(SUBSTITUTE(LOWER(V14&amp;""),CHAR(10)," "),CHAR(13)," "),CHAR(9)," "),CHAR(160)," "),"."," "),","," "),"-"," "),"/"," "),"("," "),")"," "),":"," "),";"," "),"_"," "),"–"," "),"?"," "),"!"," "),"*"," "),"["," "),"]"," "),"'"," "),"#"," "),"+"," "),"&amp;"," "),"\"," "))&amp;" "</f>
        <v>  </v>
      </c>
      <c r="BD14" s="61" t="str">
        <f aca="false">" "&amp;TRIM(SUBSTITUTE(SUBSTITUTE(SUBSTITUTE(SUBSTITUTE(SUBSTITUTE(SUBSTITUTE(SUBSTITUTE(SUBSTITUTE(SUBSTITUTE(SUBSTITUTE(SUBSTITUTE(SUBSTITUTE(SUBSTITUTE(SUBSTITUTE(SUBSTITUTE(SUBSTITUTE(SUBSTITUTE(SUBSTITUTE(SUBSTITUTE(SUBSTITUTE(SUBSTITUTE(SUBSTITUTE(SUBSTITUTE(SUBSTITUTE(LOWER(Z14&amp;""),CHAR(10)," "),CHAR(13)," "),CHAR(9)," "),CHAR(160)," "),"."," "),","," "),"-"," "),"/"," "),"("," "),")"," "),":"," "),";"," "),"_"," "),"–"," "),"?"," "),"!"," "),"*"," "),"["," "),"]"," "),"'"," "),"#"," "),"+"," "),"&amp;"," "),"\"," "))&amp;" "</f>
        <v>  </v>
      </c>
      <c r="BE14" s="61" t="str">
        <f aca="false">" "&amp;TRIM(SUBSTITUTE(SUBSTITUTE(SUBSTITUTE(SUBSTITUTE(SUBSTITUTE(SUBSTITUTE(SUBSTITUTE(SUBSTITUTE(SUBSTITUTE(SUBSTITUTE(SUBSTITUTE(SUBSTITUTE(SUBSTITUTE(SUBSTITUTE(SUBSTITUTE(SUBSTITUTE(SUBSTITUTE(SUBSTITUTE(SUBSTITUTE(SUBSTITUTE(SUBSTITUTE(SUBSTITUTE(SUBSTITUTE(SUBSTITUTE(LOWER(W14&amp;""),CHAR(10)," "),CHAR(13)," "),CHAR(9)," "),CHAR(160)," "),"."," "),","," "),"-"," "),"/"," "),"("," "),")"," "),":"," "),";"," "),"_"," "),"–"," "),"?"," "),"!"," "),"*"," "),"["," "),"]"," "),"'"," "),"#"," "),"+"," "),"&amp;"," "),"\"," "))&amp;" "</f>
        <v>  </v>
      </c>
      <c r="BF14" s="61" t="str">
        <f aca="false">" "&amp;TRIM(SUBSTITUTE(SUBSTITUTE(SUBSTITUTE(SUBSTITUTE(SUBSTITUTE(SUBSTITUTE(SUBSTITUTE(SUBSTITUTE(SUBSTITUTE(SUBSTITUTE(SUBSTITUTE(SUBSTITUTE(SUBSTITUTE(SUBSTITUTE(SUBSTITUTE(SUBSTITUTE(SUBSTITUTE(SUBSTITUTE(SUBSTITUTE(SUBSTITUTE(SUBSTITUTE(SUBSTITUTE(SUBSTITUTE(SUBSTITUTE(LOWER(AC14&amp;""),CHAR(10)," "),CHAR(13)," "),CHAR(9)," "),CHAR(160)," "),"."," "),","," "),"-"," "),"/"," "),"("," "),")"," "),":"," "),";"," "),"_"," "),"–"," "),"?"," "),"!"," "),"*"," "),"["," "),"]"," "),"'"," "),"#"," "),"+"," "),"&amp;"," "),"\"," "))&amp;" "</f>
        <v>  </v>
      </c>
      <c r="BG14" s="61" t="n">
        <f aca="false">IFERROR(IF(AND(TRIM(U14)="Pass",SUMPRODUCT((LEN(BC14)-LEN(SUBSTITUTE(BC14," "&amp;L_ResultBad&amp;" "," ")))/(LEN(L_ResultBad)+1))&gt;SUMPRODUCT((LEN(BC14)-LEN(SUBSTITUTE(BC14," "&amp;L_NegPhrase&amp;" "," ")))/(LEN(L_NegPhrase)+1))),1,0),0)</f>
        <v>0</v>
      </c>
      <c r="BH14" s="61" t="n">
        <f aca="false">IFERROR(IF(SUMPRODUCT((LEN(BC14)-LEN(SUBSTITUTE(BC14," "&amp;L_Pending&amp;" "," ")))/(LEN(L_Pending)+1))&gt;SUMPRODUCT((LEN(BC14)-LEN(SUBSTITUTE(BC14," "&amp;L_PendNeg&amp;" "," ")))/(LEN(L_PendNeg)+1))+SUMPRODUCT((LEN(BC14)-LEN(SUBSTITUTE(BC14," "&amp;L_PendPrep&amp;" "," ")))/(LEN(L_PendPrep)+1)),1,0),1)</f>
        <v>0</v>
      </c>
      <c r="BI14" s="61" t="n">
        <f aca="false">IFERROR(IF(SUMPRODUCT((LEN(BD14)-LEN(SUBSTITUTE(BD14," "&amp;L_PendStrict&amp;" "," ")))/(LEN(L_PendStrict)+1))&gt;SUMPRODUCT((LEN(BD14)-LEN(SUBSTITUTE(BD14," "&amp;L_PendNeg&amp;" "," ")))/(LEN(L_PendNeg)+1)),1,0),1)</f>
        <v>0</v>
      </c>
      <c r="BJ14" s="61" t="n">
        <f aca="false">IFERROR(IF(SUMPRODUCT((LEN(BE14)-LEN(SUBSTITUTE(BE14," "&amp;L_Pending&amp;" "," ")))/(LEN(L_Pending)+1))&gt;SUMPRODUCT((LEN(BE14)-LEN(SUBSTITUTE(BE14," "&amp;L_PendNeg&amp;" "," ")))/(LEN(L_PendNeg)+1))+SUMPRODUCT((LEN(BE14)-LEN(SUBSTITUTE(BE14," "&amp;L_PendPrep&amp;" "," ")))/(LEN(L_PendPrep)+1)),1,0),1)</f>
        <v>0</v>
      </c>
      <c r="BK14" s="61" t="n">
        <f aca="false">IFERROR(IF(SUMPRODUCT((LEN(BF14)-LEN(SUBSTITUTE(BF14," "&amp;L_PendStrict&amp;" "," ")))/(LEN(L_PendStrict)+1))&gt;SUMPRODUCT((LEN(BF14)-LEN(SUBSTITUTE(BF14," "&amp;L_PendNeg&amp;" "," ")))/(LEN(L_PendNeg)+1)),1,0),1)</f>
        <v>0</v>
      </c>
      <c r="BL14" s="61" t="n">
        <f aca="false">IF(ISNA(MATCH(TRIM(S14),L_EvidenceType,0)),0,BZ14)</f>
        <v>0</v>
      </c>
      <c r="BM14" s="61" t="str">
        <f aca="false">SUBSTITUTE(SUBSTITUTE(SUBSTITUTE(SUBSTITUTE(SUBSTITUTE(SUBSTITUTE(SUBSTITUTE(SUBSTITUTE(SUBSTITUTE(LOWER(Z14&amp;""),"1","0"),"2","0"),"3","0"),"4","0"),"5","0"),"6","0"),"7","0"),"8","0"),"9","0")</f>
        <v/>
      </c>
      <c r="BN14" s="61" t="str">
        <f aca="false">SUBSTITUTE(SUBSTITUTE(SUBSTITUTE(SUBSTITUTE(SUBSTITUTE(SUBSTITUTE(SUBSTITUTE(SUBSTITUTE(SUBSTITUTE(SUBSTITUTE(SUBSTITUTE(SUBSTITUTE(SUBSTITUTE(SUBSTITUTE(SUBSTITUTE(SUBSTITUTE(SUBSTITUTE(SUBSTITUTE(SUBSTITUTE(SUBSTITUTE(SUBSTITUTE(SUBSTITUTE(SUBSTITUTE(SUBSTITUTE(SUBSTITUTE(BM14,"b","a"),"c","a"),"d","a"),"e","a"),"f","a"),"g","a"),"h","a"),"i","a"),"j","a"),"k","a"),"l","a"),"m","a"),"n","a"),"o","a"),"p","a"),"q","a"),"r","a"),"s","a"),"t","a"),"u","a"),"v","a"),"w","a"),"x","a"),"y","a"),"z","a")</f>
        <v/>
      </c>
      <c r="BO14" s="61" t="str">
        <f aca="false">SUBSTITUTE(SUBSTITUTE(SUBSTITUTE(SUBSTITUTE(SUBSTITUTE(SUBSTITUTE(SUBSTITUTE(SUBSTITUTE(SUBSTITUTE(LOWER(W14&amp;""),"1","0"),"2","0"),"3","0"),"4","0"),"5","0"),"6","0"),"7","0"),"8","0"),"9","0")</f>
        <v/>
      </c>
      <c r="BP14" s="61" t="str">
        <f aca="false">SUBSTITUTE(SUBSTITUTE(SUBSTITUTE(SUBSTITUTE(SUBSTITUTE(SUBSTITUTE(SUBSTITUTE(SUBSTITUTE(SUBSTITUTE(SUBSTITUTE(SUBSTITUTE(SUBSTITUTE(SUBSTITUTE(SUBSTITUTE(SUBSTITUTE(SUBSTITUTE(SUBSTITUTE(SUBSTITUTE(SUBSTITUTE(SUBSTITUTE(SUBSTITUTE(SUBSTITUTE(SUBSTITUTE(SUBSTITUTE(SUBSTITUTE(BO14,"b","a"),"c","a"),"d","a"),"e","a"),"f","a"),"g","a"),"h","a"),"i","a"),"j","a"),"k","a"),"l","a"),"m","a"),"n","a"),"o","a"),"p","a"),"q","a"),"r","a"),"s","a"),"t","a"),"u","a"),"v","a"),"w","a"),"x","a"),"y","a"),"z","a")</f>
        <v/>
      </c>
      <c r="BQ14" s="61" t="n">
        <f aca="false">IFERROR(IF(AND(ISERROR(SEARCH(" mh"," "&amp;LOWER(W14))),ISNA(MATCH(LEFT(TRIM(BP14),255),{"0000a","000a","00a","0000aa","000aa","00aa","0aa","0000aaa","000aaa","00a00","0a00","0000-0000","00:00","a00","a0","00.00.0000","00/00/0000","00-00-0000","0000-00-00","0000/00/00","0000.00.00","00.00.00","00/00/00","00-00-00","0.00.0000","0/00/0000","0-00-0000"},0)),ISNA(MATCH(LEFT(TRIM(CA14),255),{"0000a","000a","00a","0000aa","000aa","00aa","0aa","0000aaa","000aaa","00a00","0a00","0000-0000","00:00","a00","a0","00.00.0000","00/00/0000","00-00-0000","0000-00-00","0000/00/00","0000.00.00","00.00.00","00/00/00","00-00-00","0.00.0000","0/00/0000","0-00-0000"},0)),LEN(CB14)&gt;=3,NOT(OR(SUBSTITUTE(CB14,"0","")="",AND(LEN(CB14)&gt;=4,CB14=REPT(LEFT(CB14),LEN(CB14))),ISNUMBER(MATCH(CB14,{"123","1234","12345","123456","1234567","12345678","0123","01234","012345","98765","987654","54321"},0)),AND(LEN(CB14)=8,LEFT(CB14,3)="202"))),OR(AND((LEN(CA14)-LEN(SUBSTITUTE(CA14,"a","")))&gt;=1,SUMPRODUCT(--ISNUMBER(SEARCH({"a0","a-0","a_0","a/0","a.0","a#0","0a","0-a","0_a","0/a"},BP14)))&gt;0),ISNUMBER(SEARCH("000000",BP14)))),1,0),0)</f>
        <v>0</v>
      </c>
      <c r="BR14" s="61" t="n">
        <f aca="false">IFERROR(LEN(SUBSTITUTE(CC14," ",""))-SUMPRODUCT((LEN(CC14)-LEN(SUBSTITUTE(CC14," "&amp;L_Role&amp;" "," ")))/(LEN(L_Role)+1)*LEN(L_Role)),0)</f>
        <v>0</v>
      </c>
      <c r="BS14" s="61" t="n">
        <f aca="false">IFERROR(LEN(SUBSTITUTE(CD14," ",""))-SUMPRODUCT((LEN(CD14)-LEN(SUBSTITUTE(CD14," "&amp;L_Role&amp;" "," ")))/(LEN(L_Role)+1)*LEN(L_Role)),0)</f>
        <v>0</v>
      </c>
      <c r="BT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revision",""),"version",""),"jan",""),"feb",""),"mar",""),"apr",""),"may",""),"jun",""),"jul",""),"aug",""),"sep",""),"oct",""),"nov",""),"dec",""),"utc",""),"gmt",""),"myt",""),"bst",""),"rev",""),"ver",""),"b","a"),"c","a"),"d","a"),"e","a"),"f","a"),"g","a"),"h","a"),"i","a"),"j","a"),"k","a"),"l","a"),"m","a"),"n","a"),"o","a"),"p","a"),"q","a"),"r","a"),"s","a"),"t","a"),"u","a"),"v","a"),"w","a"),"x","a"),"y","a"),"z","a")</f>
        <v/>
      </c>
      <c r="BU14" s="61" t="str">
        <f aca="false">SUBSTITUTE(SUBSTITUTE(SUBSTITUTE(SUBSTITUTE(SUBSTITUTE(SUBSTITUTE(SUBSTITUTE(SUBSTITUTE(SUBSTITUTE(SUBSTITUTE(LEFT(BM14,FIND("0",BM14&amp;"0")-1),"-",""),"_",""),"/",""),".",""),"#",""),"\\",""),":","")," ",""),"(",""),")","")</f>
        <v/>
      </c>
      <c r="BV14" s="61" t="n">
        <f aca="false">0</f>
        <v>0</v>
      </c>
      <c r="BW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amp;""),"a",""),"b",""),"c",""),"d",""),"e",""),"f",""),"g",""),"h",""),"i",""),"j",""),"k",""),"l",""),"m",""),"n",""),"o",""),"p",""),"q",""),"r",""),"s",""),"t",""),"u",""),"v",""),"w",""),"x",""),"y",""),"z",""),"-",""),"_",""),"/",""),".",""),"#",""),"\\",""),":","")," ",""),"(",""),")","")</f>
        <v/>
      </c>
      <c r="BX14" s="61" t="str">
        <f aca="false">SUBSTITUTE(SUBSTITUTE(SUBSTITUTE(SUBSTITUTE(SUBSTITUTE(SUBSTITUTE(SUBSTITUTE(SUBSTITUTE(SUBSTITUTE(SUBSTITUTE(SUBSTITUTE(BM14,"0",""),"-",""),"_",""),"/",""),".",""),"#",""),"\\",""),":","")," ",""),"(",""),")","")</f>
        <v/>
      </c>
      <c r="BY14" s="62" t="n">
        <f aca="false">Q14-T24EarlyH/24</f>
        <v>46301.8576388889</v>
      </c>
      <c r="BZ14" s="61" t="n">
        <f aca="false">IFERROR(IF(IF(TRIM(S14)="Link / file path",AND(LEN(TRIM(Z14))&gt;=5,SUMPRODUCT(--ISNUMBER(SEARCH({"http","www.","\\",":\",".pdf",".jpg",".jpeg",".png",".heic",".xls",".doc",".msg",".eml",".ppt",".txt",".zip"},Z14)))&gt;0),AND(ISERROR(FIND(" ",TRIM(Z14))),NOT(OR(SUMPRODUCT(--ISNUMBER(FIND({",",";","&amp;","+"},Z14)))&gt;0,SUMPRODUCT(--ISNUMBER(SEARCH({"0/aa","0\\aa"},BN14)))&gt;0)),NOT(SUMPRODUCT(--ISNUMBER(SEARCH({"http","www.","\\",":\",".pdf",".jpg",".jpeg",".png",".heic",".xls",".doc",".msg",".eml",".ppt",".txt",".zip"},Z14)))&gt;0),NOT(LOWER(TRIM(Z14))=LOWER(Flights!$F$5)),ISNA(MATCH(BU14,{"mh","rev","revision","ver","version","v","r","a","b","seat","tray","row","gate","bay","stand","page","pg","item","line","no","cart","galley","flight","flt","table","box","bag","oven","etd","eta","std","sta","atd","ata","qty","pax","x","time","tel","ph","mob","day","wk","week","utc","gmt","myt","lt"},0)),NOT(OR(ISNUMBER(MATCH(LEFT(BN14,255),{"0000a","000a","00a","0000aa","000aa","00aa","0aa","0000aaa","000aaa","00a00","0a00","0000-0000","00:00","a00","a0","00.00.0000","00/00/0000","00-00-0000","0000-00-00","0000/00/00","0000.00.00","00.00.00","00/00/00","00-00-00","0.00.0000","0/00/0000","0-00-0000"},0)),ISNUMBER(MATCH(LEFT(BT14,255),{"0000a","000a","00a","0000aa","000aa","00aa","0aa","0000aaa","000aaa","00a00","0a00","0000-0000","00:00","a00","a0","00.00.0000","00/00/0000","00-00-0000","0000-00-00","0000/00/00","0000.00.00","00.00.00","00/00/00","00-00-00","0.00.0000","0/00/0000","0-00-0000"},0)))),NOT(OR(AND(BW14&lt;&gt;"",SUBSTITUTE(BW14,"0","")=""),AND(LEN(BW14)&gt;=4,BW14=REPT(LEFT(BW14),LEN(BW14))),ISNUMBER(MATCH(BW14,{"123","1234","12345","123456","1234567","12345678","0123","01234","012345","98765","987654","54321"},0)),ISNUMBER(MATCH(BX14,{"x","xx","xxx","xxxx","xxxxx","abc","abcd","nil","na","nan","test","tbc","tba","tbd","dummy","sample","example","eg","zz","zzz","none","null","xyz","qwe","asd","id","ref"},0)),AND(LEN(BW14)=8,BX14="",OR(LEFT(BW14,3)="202",ISNUMBER(MATCH(RIGHT(BW14,4),{"2025","2026","2027"},0)))))),OR(AND((LEN(BT14)-LEN(SUBSTITUTE(BT14,"a","")))&gt;=1,(LEN(BN14)-LEN(SUBSTITUTE(BN14,"0","")))&gt;=2,SUMPRODUCT(--ISNUMBER(SEARCH({"a0","a-0","a_0","a/0","a.0","a#0","0a","0-a","0_a","0/a"},BN14)))&gt;0),AND((LEN(BN14)-LEN(SUBSTITUTE(BN14,"a","")))=0,(LEN(BN14)-LEN(SUBSTITUTE(BN14,"0","")))&gt;=5)))),1,0),0)</f>
        <v>0</v>
      </c>
      <c r="CA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revision",""),"version",""),"jan",""),"feb",""),"mar",""),"apr",""),"may",""),"jun",""),"jul",""),"aug",""),"sep",""),"oct",""),"nov",""),"dec",""),"utc",""),"gmt",""),"myt",""),"bst",""),"rev",""),"ver",""),"b","a"),"c","a"),"d","a"),"e","a"),"f","a"),"g","a"),"h","a"),"i","a"),"j","a"),"k","a"),"l","a"),"m","a"),"n","a"),"o","a"),"p","a"),"q","a"),"r","a"),"s","a"),"t","a"),"u","a"),"v","a"),"w","a"),"x","a"),"y","a"),"z","a")</f>
        <v/>
      </c>
      <c r="CB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amp;""),"a",""),"b",""),"c",""),"d",""),"e",""),"f",""),"g",""),"h",""),"i",""),"j",""),"k",""),"l",""),"m",""),"n",""),"o",""),"p",""),"q",""),"r",""),"s",""),"t",""),"u",""),"v",""),"w",""),"x",""),"y",""),"z",""),"-",""),"_",""),"/",""),".",""),"#",""),"\\",""),":","")," ",""),"(",""),")","")</f>
        <v/>
      </c>
      <c r="CC14" s="0" t="str">
        <f aca="false">" "&amp;TRIM(SUBSTITUTE(SUBSTITUTE(SUBSTITUTE(SUBSTITUTE(SUBSTITUTE(SUBSTITUTE(SUBSTITUTE(SUBSTITUTE(SUBSTITUTE(SUBSTITUTE(SUBSTITUTE(SUBSTITUTE(SUBSTITUTE(SUBSTITUTE(SUBSTITUTE(SUBSTITUTE(SUBSTITUTE(SUBSTITUTE(SUBSTITUTE(SUBSTITUTE(SUBSTITUTE(SUBSTITUTE(SUBSTITUTE(SUBSTITUTE(LOWER(T14&amp;""),CHAR(10)," "),CHAR(13)," "),CHAR(9)," "),CHAR(160)," "),"."," "),","," "),"-"," "),"/"," "),"("," "),")"," "),":"," "),";"," "),"_"," "),"–"," "),"?"," "),"!"," "),"*"," "),"["," "),"]"," "),"'"," "),"#"," "),"+"," "),"&amp;"," "),"\"," "))&amp;" "</f>
        <v>  </v>
      </c>
      <c r="CD14" s="0" t="str">
        <f aca="false">" "&amp;TRIM(SUBSTITUTE(SUBSTITUTE(SUBSTITUTE(SUBSTITUTE(SUBSTITUTE(SUBSTITUTE(SUBSTITUTE(SUBSTITUTE(SUBSTITUTE(SUBSTITUTE(SUBSTITUTE(SUBSTITUTE(SUBSTITUTE(SUBSTITUTE(SUBSTITUTE(SUBSTITUTE(SUBSTITUTE(SUBSTITUTE(SUBSTITUTE(SUBSTITUTE(SUBSTITUTE(SUBSTITUTE(SUBSTITUTE(SUBSTITUTE(LOWER(AE14&amp;""),CHAR(10)," "),CHAR(13)," "),CHAR(9)," "),CHAR(160)," "),"."," "),","," "),"-"," "),"/"," "),"("," "),")"," "),":"," "),";"," "),"_"," "),"–"," "),"?"," "),"!"," "),"*"," "),"["," "),"]"," "),"'"," "),"#"," "),"+"," "),"&amp;"," "),"\"," "))&amp;" "</f>
        <v>  </v>
      </c>
      <c r="CE14" s="68" t="n">
        <f aca="false">IFERROR(IF(AND(LEN(AU14)&gt;0,LEN(AU14)=LEN(AX14),OR(TRIM(MID(SUBSTITUTE(TRIM(CC14)," ",REPT(" ",60)),1,60))="",ISNUMBER(SEARCH(" "&amp;TRIM(MID(SUBSTITUTE(TRIM(CC14)," ",REPT(" ",60)),1,60))&amp;" ",CD14))),OR(TRIM(MID(SUBSTITUTE(TRIM(CC14)," ",REPT(" ",60)),61,60))="",ISNUMBER(SEARCH(" "&amp;TRIM(MID(SUBSTITUTE(TRIM(CC14)," ",REPT(" ",60)),61,60))&amp;" ",CD14))),OR(TRIM(MID(SUBSTITUTE(TRIM(CC14)," ",REPT(" ",60)),121,60))="",ISNUMBER(SEARCH(" "&amp;TRIM(MID(SUBSTITUTE(TRIM(CC14)," ",REPT(" ",60)),121,60))&amp;" ",CD14)))),1,0),0)</f>
        <v>0</v>
      </c>
      <c r="CG14" s="68" t="n">
        <f aca="false">IFERROR(LEN(SUBSTITUTE(BF14," ",""))-SUMPRODUCT((LEN(BF14)-LEN(SUBSTITUTE(BF14," "&amp;L_NAFiller&amp;" "," ")))/(LEN(L_NAFiller)+1)*LEN(L_NAFiller)),0)</f>
        <v>0</v>
      </c>
    </row>
    <row r="15" customFormat="false" ht="39.75" hidden="false" customHeight="true" outlineLevel="0" collapsed="false">
      <c r="A15" s="57" t="s">
        <v>419</v>
      </c>
      <c r="B15" s="57" t="s">
        <v>183</v>
      </c>
      <c r="C15" s="57" t="str">
        <f aca="false">Flights!$F$5</f>
        <v>MH0001</v>
      </c>
      <c r="D15" s="58" t="n">
        <f aca="false">Flights!$D$5</f>
        <v>46303</v>
      </c>
      <c r="E15" s="57" t="str">
        <f aca="false">Flights!$G$5&amp;"-"&amp;Flights!$H$5</f>
        <v>LHR-KUL</v>
      </c>
      <c r="F15" s="57" t="str">
        <f aca="false">Flights!$K$5</f>
        <v>EY</v>
      </c>
      <c r="G15" s="57" t="s">
        <v>420</v>
      </c>
      <c r="H15" s="57" t="s">
        <v>378</v>
      </c>
      <c r="I15" s="57" t="s">
        <v>379</v>
      </c>
      <c r="J15" s="57" t="s">
        <v>421</v>
      </c>
      <c r="K15" s="67"/>
      <c r="L15" s="67" t="s">
        <v>422</v>
      </c>
      <c r="M15" s="67"/>
      <c r="N15" s="67" t="s">
        <v>383</v>
      </c>
      <c r="O15" s="67" t="s">
        <v>423</v>
      </c>
      <c r="P15" s="57" t="s">
        <v>186</v>
      </c>
      <c r="Q15" s="59" t="n">
        <f aca="false">ROUND((Flights!$AE$5)*1440,0)/1440</f>
        <v>46303.3576388889</v>
      </c>
      <c r="R15" s="59" t="n">
        <f aca="false">Q15+(IF(AND(INDEX(TZ_DSTS,MATCH(P15,TZ_STN,0))&lt;&gt;"",Q15&gt;=INDEX(TZ_DSTS,MATCH(P15,TZ_STN,0)),Q15&lt;INDEX(TZ_DSTE,MATCH(P15,TZ_STN,0))),INDEX(TZ_DST,MATCH(P15,TZ_STN,0)),INDEX(TZ_STD,MATCH(P15,TZ_STN,0))))/24</f>
        <v>46303.3993055556</v>
      </c>
      <c r="S15" s="60"/>
      <c r="T15" s="60"/>
      <c r="U15" s="60"/>
      <c r="V15" s="60"/>
      <c r="W15" s="61"/>
      <c r="X15" s="60"/>
      <c r="Y15" s="60"/>
      <c r="Z15" s="60"/>
      <c r="AA15" s="60"/>
      <c r="AB15" s="60"/>
      <c r="AC15" s="60"/>
      <c r="AD15" s="66"/>
      <c r="AE15" s="60"/>
      <c r="AF15" s="61" t="str">
        <f aca="false">IF(AND(ISNUMBER(X15),ISNUMBER(Y15)),Y15-X15,"")</f>
        <v/>
      </c>
      <c r="AG15" s="62" t="str">
        <f aca="false">IF(ISNUMBER(AD15),AD15-(IF(AND(INDEX(TZ_DSTS,MATCH(P15,TZ_STN,0))&lt;&gt;"",(AD15-INDEX(TZ_STD,MATCH(P15,TZ_STN,0))/24)&gt;=INDEX(TZ_DSTS,MATCH(P15,TZ_STN,0)),(AD15-INDEX(TZ_STD,MATCH(P15,TZ_STN,0))/24)&lt;INDEX(TZ_DSTE,MATCH(P15,TZ_STN,0))),INDEX(TZ_DST,MATCH(P15,TZ_STN,0)),INDEX(TZ_STD,MATCH(P15,TZ_STN,0))))/24,"")</f>
        <v/>
      </c>
      <c r="AH15" s="65" t="str">
        <f aca="false">IFERROR(IF(N15="N/A – rule",IF(OR(TRIM(U15)="",TRIM(U15)="N/A",TRIM(U15)="Not started"),"N/A – RULE","INVALID – this check does not apply to this aircraft: clear the status (or correct the fleet on Flights)"),IF(TRIM(U15)="N/A",IF(AT15=0,"INVALID – N/A not permitted for this check",IF(AND(TRIM(AB15)&lt;&gt;"",TRIM(AB15)&lt;&gt;"Closed"),"INVALID – corrective action still open",IF(AND(NOT(OR(LEN(AZ15)&lt;15,ISNUMBER(MATCH(AZ15,L_Placeholder,0)))),BK15=0,CG15&gt;=8,NOT(OR(LEN(AU15)&lt;2,ISNUMBER(MATCH(AU15,L_Placeholder,0)))),BR15&gt;=3,NOT(OR(LEN(AX15)&lt;2,ISNUMBER(MATCH(AX15,L_Placeholder,0)))),BS15&gt;=3,TRIM(AE15)&lt;&gt;TRIM(T15),AX15&lt;&gt;AU15,CE15=0),"N/A – JUSTIFIED","INVALID – N/A needs a real, settled reason (not 'not applicable' / 'as above' / TBC), a named PIC and a different named verifier"))),IF(OR(TRIM(U15)="Pass",TRIM(U15)="Pass after CA"),IF(NOT(ISNUMBER(AD15)),"INVALID – completion time missing",IF(OR(OR(LEN(AU15)&lt;2,ISNUMBER(MATCH(AU15,L_Placeholder,0))),BR15&lt;3),"INVALID – PIC missing or not a named person (a role such as QA / CSM is not a name)",IF(OR(LEN(AV15)&lt;2,ISNUMBER(MATCH(AV15,L_Placeholder,0))),"INVALID – result / assessment missing",IF(OR(OR(LEN(AW15)&lt;3,ISNUMBER(MATCH(AW15,L_Placeholder,0))),SUMPRODUCT(--ISNUMBER(SEARCH(" "&amp;L_EvidencePhrase&amp;" ",BD15)))&gt;0,BI15=1),"INVALID – evidence missing, placeholder or not yet on file",IF(ISNA(MATCH(TRIM(S15),L_EvidenceType,0)),"INVALID – choose the evidence type from the list (column S)",IF(BL15=0,"INVALID – evidence ID must be the record's own ID only (e.g. SF-2210, IMG_2231, 1045521); a link / file name needs type 'Link / file path'",IF(OR(OR(LEN(AX15)&lt;2,ISNUMBER(MATCH(AX15,L_Placeholder,0))),BS15&lt;3),"INVALID – verifier missing or not a named person (a role such as QA / CSM is not a name)",IF(OR(AX15=AU15,CE15=1,AND(LEN(AU15)&gt;=4,ISNUMBER(SEARCH(AU15,AX15))),AND(LEN(AX15)&gt;=4,ISNUMBER(SEARCH(AX15,AU15)))),"INVALID – verifier must be a different, named person (not the PIC or a role)",IF(BH15=1,"INVALID – result not yet available (awaiting / TBC)",IF(BG15=1,"INVALID – result describes a problem: record Fail, then Pass after CA (or reword if it is not a problem)",IF(BV15=1,"INVALID – wording says not on board: an on-board confirmation needs the item loaded",IF(AND(AQ15=1,OR(OR(LEN(AY15)&lt;3,ISNUMBER(MATCH(AY15,L_Placeholder,0))),BJ15=1,BQ15=0)),"INVALID – batch ID missing, placeholder or not an ID (e.g. PASB-261008-BC-017)",IF(AND(AR15=1,OR(NOT(ISNUMBER(X15)),NOT(ISNUMBER(Y15)))),"INVALID – expected/actual qty missing",IF(AND(AR15=1,OR(X15&lt;=0,Y15&lt;0)),"INVALID – expected qty must be above 0 and actual not negative",IF(BB15&lt;&gt;"",BB15,IF(AND(AS15=1,Documents!$J$5&lt;&gt;"ON FILE"),"INVALID – GLD not on file (Documents sheet)",IF(AND(AS15=2,Documents!$O$5&lt;&gt;"ON FILE"),"INVALID – menu checklist not on file (Documents sheet)",IF(AND(AS15=3,NOT(ISNUMBER(Flights!$AX$5))),"INVALID – enter carrying flight KUL departure (Flights AX)",IF(AND(AS15=3,OR(Flights!$AZ$5&gt;Flights!$AA$5,Flights!$AX$5&lt;Flights!$AA$5-3)),"INVALID – carrying flight (Flights AX) cannot arrive before this leg's STD, or is over 3 days early",IF(AG15&gt;AsOfUTC,"INVALID – completion time is in the future",IF(AND(ISNUMBER(BY15),AG15&lt;BY15),IF(H15="Physical uplift","INVALID – before uplift window (cannot confirm loading)","INVALID – before valid window"),IF(AG15&gt;Flights!$AA$5,"INVALID – completed after departure (cannot establish readiness)",IF(AND(H15="Preparation",AG15&gt;=IF(ISNUMBER(Flights!$BA$5),MIN(Flights!$BA$5,Flights!$AA$5),Flights!$AA$5)),"INVALID – completed after loading / departure (cannot establish readiness)",IF(AND(H15="Physical uplift",AG15&gt;Q15),"INVALID – recorded after the loading flight departed",IF(AG15&gt;Q15,"COMPLETE – LATE","COMPLETE"))))))))))))))))))))))))),IF(TRIM(U15)="Fail","FAIL – DISCREPANCY",IF(AND(TRIM(U15)&lt;&gt;"",TRIM(U15)&lt;&gt;"Not started",TRIM(U15)&lt;&gt;"In progress"),"INVALID – unrecognised status (use the list)",IF(AsOfUTC&gt;Q15,"OVERDUE",IF(N15="Clarification required","OPEN – CLARIFICATION","OPEN"))))))),"INVALID – error value in an input cell")</f>
        <v>OPEN</v>
      </c>
      <c r="AI15" s="61" t="n">
        <f aca="false">IF(OR(AH15="N/A – RULE",AH15="N/A – JUSTIFIED"),0,1)</f>
        <v>1</v>
      </c>
      <c r="AJ15" s="61" t="n">
        <f aca="false">IF(LEFT(AH15,8)="COMPLETE",1,0)</f>
        <v>0</v>
      </c>
      <c r="AK15" s="61" t="n">
        <f aca="false">IF(AND(AI15=1,AJ15=0,AsOfUTC&gt;Q15),1,0)</f>
        <v>0</v>
      </c>
      <c r="AL15" s="61" t="n">
        <f aca="false">IFERROR(IF(AND(AI15=1,OR(TRIM(U15)="Fail",AND(TRIM(AB15)&lt;&gt;"",TRIM(AB15)&lt;&gt;"Closed"),AND(ISNUMBER(AF15),AF15&lt;&gt;0,TRIM(U15)&lt;&gt;"Pass after CA"))),1,0),1)</f>
        <v>0</v>
      </c>
      <c r="AM15" s="61" t="n">
        <f aca="false">IF(LEFT(AH15,7)="INVALID",1,0)</f>
        <v>0</v>
      </c>
      <c r="AN15" s="61" t="n">
        <f aca="false">IF(AND(N15="Clarification required",AI15=1,AJ15=0),1,0)</f>
        <v>0</v>
      </c>
      <c r="AO15" s="61" t="str">
        <f aca="false">IF(AK15=1,SUM(AK$5:AK15),"")</f>
        <v/>
      </c>
      <c r="AP15" s="61" t="str">
        <f aca="false">IF(AL15=1,SUM(AL$5:AL15),"")</f>
        <v/>
      </c>
      <c r="AQ15" s="61" t="n">
        <v>0</v>
      </c>
      <c r="AR15" s="61" t="n">
        <v>0</v>
      </c>
      <c r="AS15" s="61" t="n">
        <v>0</v>
      </c>
      <c r="AT15" s="61" t="n">
        <v>0</v>
      </c>
      <c r="AU15" s="61" t="str">
        <f aca="false">SUBSTITUTE(SUBSTITUTE(SUBSTITUTE(SUBSTITUTE(SUBSTITUTE(SUBSTITUTE(SUBSTITUTE(SUBSTITUTE(SUBSTITUTE(SUBSTITUTE(SUBSTITUTE(SUBSTITUTE(SUBSTITUTE(SUBSTITUTE(SUBSTITUTE(SUBSTITUTE(LOWER(T15&amp;""),CHAR(10),""),CHAR(13),""),CHAR(9),""),CHAR(160),"")," ",""),".",""),"-",""),"/",""),"?",""),"_",""),",",""),"[",""),"]",""),"(",""),")",""),"*","")</f>
        <v/>
      </c>
      <c r="AV15" s="61" t="str">
        <f aca="false">SUBSTITUTE(SUBSTITUTE(SUBSTITUTE(SUBSTITUTE(SUBSTITUTE(SUBSTITUTE(SUBSTITUTE(SUBSTITUTE(SUBSTITUTE(SUBSTITUTE(SUBSTITUTE(SUBSTITUTE(SUBSTITUTE(SUBSTITUTE(SUBSTITUTE(SUBSTITUTE(LOWER(V15&amp;""),CHAR(10),""),CHAR(13),""),CHAR(9),""),CHAR(160),"")," ",""),".",""),"-",""),"/",""),"?",""),"_",""),",",""),"[",""),"]",""),"(",""),")",""),"*","")</f>
        <v/>
      </c>
      <c r="AW15" s="61" t="str">
        <f aca="false">SUBSTITUTE(SUBSTITUTE(SUBSTITUTE(SUBSTITUTE(SUBSTITUTE(SUBSTITUTE(SUBSTITUTE(SUBSTITUTE(SUBSTITUTE(SUBSTITUTE(SUBSTITUTE(SUBSTITUTE(SUBSTITUTE(SUBSTITUTE(SUBSTITUTE(SUBSTITUTE(LOWER(Z15&amp;""),CHAR(10),""),CHAR(13),""),CHAR(9),""),CHAR(160),"")," ",""),".",""),"-",""),"/",""),"?",""),"_",""),",",""),"[",""),"]",""),"(",""),")",""),"*","")</f>
        <v/>
      </c>
      <c r="AX15" s="61" t="str">
        <f aca="false">SUBSTITUTE(SUBSTITUTE(SUBSTITUTE(SUBSTITUTE(SUBSTITUTE(SUBSTITUTE(SUBSTITUTE(SUBSTITUTE(SUBSTITUTE(SUBSTITUTE(SUBSTITUTE(SUBSTITUTE(SUBSTITUTE(SUBSTITUTE(SUBSTITUTE(SUBSTITUTE(LOWER(AE15&amp;""),CHAR(10),""),CHAR(13),""),CHAR(9),""),CHAR(160),"")," ",""),".",""),"-",""),"/",""),"?",""),"_",""),",",""),"[",""),"]",""),"(",""),")",""),"*","")</f>
        <v/>
      </c>
      <c r="AY15" s="61" t="str">
        <f aca="false">SUBSTITUTE(SUBSTITUTE(SUBSTITUTE(SUBSTITUTE(SUBSTITUTE(SUBSTITUTE(SUBSTITUTE(SUBSTITUTE(SUBSTITUTE(SUBSTITUTE(SUBSTITUTE(SUBSTITUTE(SUBSTITUTE(SUBSTITUTE(SUBSTITUTE(SUBSTITUTE(LOWER(W15&amp;""),CHAR(10),""),CHAR(13),""),CHAR(9),""),CHAR(160),"")," ",""),".",""),"-",""),"/",""),"?",""),"_",""),",",""),"[",""),"]",""),"(",""),")",""),"*","")</f>
        <v/>
      </c>
      <c r="AZ15" s="61" t="str">
        <f aca="false">SUBSTITUTE(SUBSTITUTE(SUBSTITUTE(SUBSTITUTE(SUBSTITUTE(SUBSTITUTE(SUBSTITUTE(SUBSTITUTE(SUBSTITUTE(SUBSTITUTE(SUBSTITUTE(SUBSTITUTE(SUBSTITUTE(SUBSTITUTE(SUBSTITUTE(SUBSTITUTE(LOWER(AC15&amp;""),CHAR(10),""),CHAR(13),""),CHAR(9),""),CHAR(160),"")," ",""),".",""),"-",""),"/",""),"?",""),"_",""),",",""),"[",""),"]",""),"(",""),")",""),"*","")</f>
        <v/>
      </c>
      <c r="BA15" s="61" t="str">
        <f aca="false">SUBSTITUTE(SUBSTITUTE(SUBSTITUTE(SUBSTITUTE(SUBSTITUTE(SUBSTITUTE(SUBSTITUTE(SUBSTITUTE(SUBSTITUTE(SUBSTITUTE(SUBSTITUTE(SUBSTITUTE(SUBSTITUTE(SUBSTITUTE(SUBSTITUTE(SUBSTITUTE(LOWER(AA15&amp;""),CHAR(10),""),CHAR(13),""),CHAR(9),""),CHAR(160),"")," ",""),".",""),"-",""),"/",""),"?",""),"_",""),",",""),"[",""),"]",""),"(",""),")",""),"*","")</f>
        <v/>
      </c>
      <c r="BB15" s="61" t="str">
        <f aca="false">IF(AND(TRIM(U15)="Pass",ISNUMBER(AF15)),IF(AF15&lt;&gt;0,"INVALID – qty variance: use Fail or Pass after CA",""),"")&amp;IF(AND(TRIM(U15)="Pass after CA",ISNUMBER(AF15)),IF(AF15&lt;&gt;0,"INVALID – after the corrective action the actual qty must equal expected (update Actual)",""),"")&amp;IF(AND(TRIM(U15)="Pass",TRIM(AB15)&lt;&gt;"",TRIM(AB15)&lt;&gt;"Closed"),"INVALID – corrective action not closed: use Fail, then Pass after CA","")&amp;IF(AND(LEN(BA15)&gt;=2,ISNA(MATCH(LEFT(BA15,255),L_Placeholder,0)),TRIM(AB15)=""),"INVALID – CA status missing for the recorded corrective action","")&amp;IF(AND(TRIM(U15)="Pass after CA",OR(OR(LEN(BA15)&lt;5,ISNUMBER(MATCH(BA15,L_Placeholder,0))),TRIM(AB15)&lt;&gt;"Closed")),"INVALID – corrective action not recorded/closed","")</f>
        <v/>
      </c>
      <c r="BC15" s="61" t="str">
        <f aca="false">" "&amp;TRIM(SUBSTITUTE(SUBSTITUTE(SUBSTITUTE(SUBSTITUTE(SUBSTITUTE(SUBSTITUTE(SUBSTITUTE(SUBSTITUTE(SUBSTITUTE(SUBSTITUTE(SUBSTITUTE(SUBSTITUTE(SUBSTITUTE(SUBSTITUTE(SUBSTITUTE(SUBSTITUTE(SUBSTITUTE(SUBSTITUTE(SUBSTITUTE(SUBSTITUTE(SUBSTITUTE(SUBSTITUTE(SUBSTITUTE(SUBSTITUTE(LOWER(V15&amp;""),CHAR(10)," "),CHAR(13)," "),CHAR(9)," "),CHAR(160)," "),"."," "),","," "),"-"," "),"/"," "),"("," "),")"," "),":"," "),";"," "),"_"," "),"–"," "),"?"," "),"!"," "),"*"," "),"["," "),"]"," "),"'"," "),"#"," "),"+"," "),"&amp;"," "),"\"," "))&amp;" "</f>
        <v>  </v>
      </c>
      <c r="BD15" s="61" t="str">
        <f aca="false">" "&amp;TRIM(SUBSTITUTE(SUBSTITUTE(SUBSTITUTE(SUBSTITUTE(SUBSTITUTE(SUBSTITUTE(SUBSTITUTE(SUBSTITUTE(SUBSTITUTE(SUBSTITUTE(SUBSTITUTE(SUBSTITUTE(SUBSTITUTE(SUBSTITUTE(SUBSTITUTE(SUBSTITUTE(SUBSTITUTE(SUBSTITUTE(SUBSTITUTE(SUBSTITUTE(SUBSTITUTE(SUBSTITUTE(SUBSTITUTE(SUBSTITUTE(LOWER(Z15&amp;""),CHAR(10)," "),CHAR(13)," "),CHAR(9)," "),CHAR(160)," "),"."," "),","," "),"-"," "),"/"," "),"("," "),")"," "),":"," "),";"," "),"_"," "),"–"," "),"?"," "),"!"," "),"*"," "),"["," "),"]"," "),"'"," "),"#"," "),"+"," "),"&amp;"," "),"\"," "))&amp;" "</f>
        <v>  </v>
      </c>
      <c r="BE15" s="61" t="str">
        <f aca="false">" "&amp;TRIM(SUBSTITUTE(SUBSTITUTE(SUBSTITUTE(SUBSTITUTE(SUBSTITUTE(SUBSTITUTE(SUBSTITUTE(SUBSTITUTE(SUBSTITUTE(SUBSTITUTE(SUBSTITUTE(SUBSTITUTE(SUBSTITUTE(SUBSTITUTE(SUBSTITUTE(SUBSTITUTE(SUBSTITUTE(SUBSTITUTE(SUBSTITUTE(SUBSTITUTE(SUBSTITUTE(SUBSTITUTE(SUBSTITUTE(SUBSTITUTE(LOWER(W15&amp;""),CHAR(10)," "),CHAR(13)," "),CHAR(9)," "),CHAR(160)," "),"."," "),","," "),"-"," "),"/"," "),"("," "),")"," "),":"," "),";"," "),"_"," "),"–"," "),"?"," "),"!"," "),"*"," "),"["," "),"]"," "),"'"," "),"#"," "),"+"," "),"&amp;"," "),"\"," "))&amp;" "</f>
        <v>  </v>
      </c>
      <c r="BF15" s="61" t="str">
        <f aca="false">" "&amp;TRIM(SUBSTITUTE(SUBSTITUTE(SUBSTITUTE(SUBSTITUTE(SUBSTITUTE(SUBSTITUTE(SUBSTITUTE(SUBSTITUTE(SUBSTITUTE(SUBSTITUTE(SUBSTITUTE(SUBSTITUTE(SUBSTITUTE(SUBSTITUTE(SUBSTITUTE(SUBSTITUTE(SUBSTITUTE(SUBSTITUTE(SUBSTITUTE(SUBSTITUTE(SUBSTITUTE(SUBSTITUTE(SUBSTITUTE(SUBSTITUTE(LOWER(AC15&amp;""),CHAR(10)," "),CHAR(13)," "),CHAR(9)," "),CHAR(160)," "),"."," "),","," "),"-"," "),"/"," "),"("," "),")"," "),":"," "),";"," "),"_"," "),"–"," "),"?"," "),"!"," "),"*"," "),"["," "),"]"," "),"'"," "),"#"," "),"+"," "),"&amp;"," "),"\"," "))&amp;" "</f>
        <v>  </v>
      </c>
      <c r="BG15" s="61" t="n">
        <f aca="false">IFERROR(IF(AND(TRIM(U15)="Pass",SUMPRODUCT((LEN(BC15)-LEN(SUBSTITUTE(BC15," "&amp;L_ResultBad&amp;" "," ")))/(LEN(L_ResultBad)+1))&gt;SUMPRODUCT((LEN(BC15)-LEN(SUBSTITUTE(BC15," "&amp;L_NegPhrase&amp;" "," ")))/(LEN(L_NegPhrase)+1))),1,0),0)</f>
        <v>0</v>
      </c>
      <c r="BH15" s="61" t="n">
        <f aca="false">IFERROR(IF(SUMPRODUCT((LEN(BC15)-LEN(SUBSTITUTE(BC15," "&amp;L_Pending&amp;" "," ")))/(LEN(L_Pending)+1))&gt;SUMPRODUCT((LEN(BC15)-LEN(SUBSTITUTE(BC15," "&amp;L_PendNeg&amp;" "," ")))/(LEN(L_PendNeg)+1))+SUMPRODUCT((LEN(BC15)-LEN(SUBSTITUTE(BC15," "&amp;L_PendPrep&amp;" "," ")))/(LEN(L_PendPrep)+1)),1,0),1)</f>
        <v>0</v>
      </c>
      <c r="BI15" s="61" t="n">
        <f aca="false">IFERROR(IF(SUMPRODUCT((LEN(BD15)-LEN(SUBSTITUTE(BD15," "&amp;L_PendStrict&amp;" "," ")))/(LEN(L_PendStrict)+1))&gt;SUMPRODUCT((LEN(BD15)-LEN(SUBSTITUTE(BD15," "&amp;L_PendNeg&amp;" "," ")))/(LEN(L_PendNeg)+1)),1,0),1)</f>
        <v>0</v>
      </c>
      <c r="BJ15" s="61" t="n">
        <f aca="false">IFERROR(IF(SUMPRODUCT((LEN(BE15)-LEN(SUBSTITUTE(BE15," "&amp;L_Pending&amp;" "," ")))/(LEN(L_Pending)+1))&gt;SUMPRODUCT((LEN(BE15)-LEN(SUBSTITUTE(BE15," "&amp;L_PendNeg&amp;" "," ")))/(LEN(L_PendNeg)+1))+SUMPRODUCT((LEN(BE15)-LEN(SUBSTITUTE(BE15," "&amp;L_PendPrep&amp;" "," ")))/(LEN(L_PendPrep)+1)),1,0),1)</f>
        <v>0</v>
      </c>
      <c r="BK15" s="61" t="n">
        <f aca="false">IFERROR(IF(SUMPRODUCT((LEN(BF15)-LEN(SUBSTITUTE(BF15," "&amp;L_PendStrict&amp;" "," ")))/(LEN(L_PendStrict)+1))&gt;SUMPRODUCT((LEN(BF15)-LEN(SUBSTITUTE(BF15," "&amp;L_PendNeg&amp;" "," ")))/(LEN(L_PendNeg)+1)),1,0),1)</f>
        <v>0</v>
      </c>
      <c r="BL15" s="61" t="n">
        <f aca="false">IF(ISNA(MATCH(TRIM(S15),L_EvidenceType,0)),0,BZ15)</f>
        <v>0</v>
      </c>
      <c r="BM15" s="61" t="str">
        <f aca="false">SUBSTITUTE(SUBSTITUTE(SUBSTITUTE(SUBSTITUTE(SUBSTITUTE(SUBSTITUTE(SUBSTITUTE(SUBSTITUTE(SUBSTITUTE(LOWER(Z15&amp;""),"1","0"),"2","0"),"3","0"),"4","0"),"5","0"),"6","0"),"7","0"),"8","0"),"9","0")</f>
        <v/>
      </c>
      <c r="BN15" s="61" t="str">
        <f aca="false">SUBSTITUTE(SUBSTITUTE(SUBSTITUTE(SUBSTITUTE(SUBSTITUTE(SUBSTITUTE(SUBSTITUTE(SUBSTITUTE(SUBSTITUTE(SUBSTITUTE(SUBSTITUTE(SUBSTITUTE(SUBSTITUTE(SUBSTITUTE(SUBSTITUTE(SUBSTITUTE(SUBSTITUTE(SUBSTITUTE(SUBSTITUTE(SUBSTITUTE(SUBSTITUTE(SUBSTITUTE(SUBSTITUTE(SUBSTITUTE(SUBSTITUTE(BM15,"b","a"),"c","a"),"d","a"),"e","a"),"f","a"),"g","a"),"h","a"),"i","a"),"j","a"),"k","a"),"l","a"),"m","a"),"n","a"),"o","a"),"p","a"),"q","a"),"r","a"),"s","a"),"t","a"),"u","a"),"v","a"),"w","a"),"x","a"),"y","a"),"z","a")</f>
        <v/>
      </c>
      <c r="BO15" s="61" t="str">
        <f aca="false">SUBSTITUTE(SUBSTITUTE(SUBSTITUTE(SUBSTITUTE(SUBSTITUTE(SUBSTITUTE(SUBSTITUTE(SUBSTITUTE(SUBSTITUTE(LOWER(W15&amp;""),"1","0"),"2","0"),"3","0"),"4","0"),"5","0"),"6","0"),"7","0"),"8","0"),"9","0")</f>
        <v/>
      </c>
      <c r="BP15" s="61" t="str">
        <f aca="false">SUBSTITUTE(SUBSTITUTE(SUBSTITUTE(SUBSTITUTE(SUBSTITUTE(SUBSTITUTE(SUBSTITUTE(SUBSTITUTE(SUBSTITUTE(SUBSTITUTE(SUBSTITUTE(SUBSTITUTE(SUBSTITUTE(SUBSTITUTE(SUBSTITUTE(SUBSTITUTE(SUBSTITUTE(SUBSTITUTE(SUBSTITUTE(SUBSTITUTE(SUBSTITUTE(SUBSTITUTE(SUBSTITUTE(SUBSTITUTE(SUBSTITUTE(BO15,"b","a"),"c","a"),"d","a"),"e","a"),"f","a"),"g","a"),"h","a"),"i","a"),"j","a"),"k","a"),"l","a"),"m","a"),"n","a"),"o","a"),"p","a"),"q","a"),"r","a"),"s","a"),"t","a"),"u","a"),"v","a"),"w","a"),"x","a"),"y","a"),"z","a")</f>
        <v/>
      </c>
      <c r="BQ15" s="61" t="n">
        <f aca="false">IFERROR(IF(AND(ISERROR(SEARCH(" mh"," "&amp;LOWER(W15))),ISNA(MATCH(LEFT(TRIM(BP15),255),{"0000a","000a","00a","0000aa","000aa","00aa","0aa","0000aaa","000aaa","00a00","0a00","0000-0000","00:00","a00","a0","00.00.0000","00/00/0000","00-00-0000","0000-00-00","0000/00/00","0000.00.00","00.00.00","00/00/00","00-00-00","0.00.0000","0/00/0000","0-00-0000"},0)),ISNA(MATCH(LEFT(TRIM(CA15),255),{"0000a","000a","00a","0000aa","000aa","00aa","0aa","0000aaa","000aaa","00a00","0a00","0000-0000","00:00","a00","a0","00.00.0000","00/00/0000","00-00-0000","0000-00-00","0000/00/00","0000.00.00","00.00.00","00/00/00","00-00-00","0.00.0000","0/00/0000","0-00-0000"},0)),LEN(CB15)&gt;=3,NOT(OR(SUBSTITUTE(CB15,"0","")="",AND(LEN(CB15)&gt;=4,CB15=REPT(LEFT(CB15),LEN(CB15))),ISNUMBER(MATCH(CB15,{"123","1234","12345","123456","1234567","12345678","0123","01234","012345","98765","987654","54321"},0)),AND(LEN(CB15)=8,LEFT(CB15,3)="202"))),OR(AND((LEN(CA15)-LEN(SUBSTITUTE(CA15,"a","")))&gt;=1,SUMPRODUCT(--ISNUMBER(SEARCH({"a0","a-0","a_0","a/0","a.0","a#0","0a","0-a","0_a","0/a"},BP15)))&gt;0),ISNUMBER(SEARCH("000000",BP15)))),1,0),0)</f>
        <v>0</v>
      </c>
      <c r="BR15" s="61" t="n">
        <f aca="false">IFERROR(LEN(SUBSTITUTE(CC15," ",""))-SUMPRODUCT((LEN(CC15)-LEN(SUBSTITUTE(CC15," "&amp;L_Role&amp;" "," ")))/(LEN(L_Role)+1)*LEN(L_Role)),0)</f>
        <v>0</v>
      </c>
      <c r="BS15" s="61" t="n">
        <f aca="false">IFERROR(LEN(SUBSTITUTE(CD15," ",""))-SUMPRODUCT((LEN(CD15)-LEN(SUBSTITUTE(CD15," "&amp;L_Role&amp;" "," ")))/(LEN(L_Role)+1)*LEN(L_Role)),0)</f>
        <v>0</v>
      </c>
      <c r="BT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revision",""),"version",""),"jan",""),"feb",""),"mar",""),"apr",""),"may",""),"jun",""),"jul",""),"aug",""),"sep",""),"oct",""),"nov",""),"dec",""),"utc",""),"gmt",""),"myt",""),"bst",""),"rev",""),"ver",""),"b","a"),"c","a"),"d","a"),"e","a"),"f","a"),"g","a"),"h","a"),"i","a"),"j","a"),"k","a"),"l","a"),"m","a"),"n","a"),"o","a"),"p","a"),"q","a"),"r","a"),"s","a"),"t","a"),"u","a"),"v","a"),"w","a"),"x","a"),"y","a"),"z","a")</f>
        <v/>
      </c>
      <c r="BU15" s="61" t="str">
        <f aca="false">SUBSTITUTE(SUBSTITUTE(SUBSTITUTE(SUBSTITUTE(SUBSTITUTE(SUBSTITUTE(SUBSTITUTE(SUBSTITUTE(SUBSTITUTE(SUBSTITUTE(LEFT(BM15,FIND("0",BM15&amp;"0")-1),"-",""),"_",""),"/",""),".",""),"#",""),"\\",""),":","")," ",""),"(",""),")","")</f>
        <v/>
      </c>
      <c r="BV15" s="61" t="n">
        <f aca="false">0</f>
        <v>0</v>
      </c>
      <c r="BW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amp;""),"a",""),"b",""),"c",""),"d",""),"e",""),"f",""),"g",""),"h",""),"i",""),"j",""),"k",""),"l",""),"m",""),"n",""),"o",""),"p",""),"q",""),"r",""),"s",""),"t",""),"u",""),"v",""),"w",""),"x",""),"y",""),"z",""),"-",""),"_",""),"/",""),".",""),"#",""),"\\",""),":","")," ",""),"(",""),")","")</f>
        <v/>
      </c>
      <c r="BX15" s="61" t="str">
        <f aca="false">SUBSTITUTE(SUBSTITUTE(SUBSTITUTE(SUBSTITUTE(SUBSTITUTE(SUBSTITUTE(SUBSTITUTE(SUBSTITUTE(SUBSTITUTE(SUBSTITUTE(SUBSTITUTE(BM15,"0",""),"-",""),"_",""),"/",""),".",""),"#",""),"\\",""),":","")," ",""),"(",""),")","")</f>
        <v/>
      </c>
      <c r="BY15" s="62" t="n">
        <f aca="false">Q15-T12EarlyH/24</f>
        <v>46302.8576388889</v>
      </c>
      <c r="BZ15" s="61" t="n">
        <f aca="false">IFERROR(IF(IF(TRIM(S15)="Link / file path",AND(LEN(TRIM(Z15))&gt;=5,SUMPRODUCT(--ISNUMBER(SEARCH({"http","www.","\\",":\",".pdf",".jpg",".jpeg",".png",".heic",".xls",".doc",".msg",".eml",".ppt",".txt",".zip"},Z15)))&gt;0),AND(ISERROR(FIND(" ",TRIM(Z15))),NOT(OR(SUMPRODUCT(--ISNUMBER(FIND({",",";","&amp;","+"},Z15)))&gt;0,SUMPRODUCT(--ISNUMBER(SEARCH({"0/aa","0\\aa"},BN15)))&gt;0)),NOT(SUMPRODUCT(--ISNUMBER(SEARCH({"http","www.","\\",":\",".pdf",".jpg",".jpeg",".png",".heic",".xls",".doc",".msg",".eml",".ppt",".txt",".zip"},Z15)))&gt;0),NOT(LOWER(TRIM(Z15))=LOWER(Flights!$F$5)),ISNA(MATCH(BU15,{"mh","rev","revision","ver","version","v","r","a","b","seat","tray","row","gate","bay","stand","page","pg","item","line","no","cart","galley","flight","flt","table","box","bag","oven","etd","eta","std","sta","atd","ata","qty","pax","x","time","tel","ph","mob","day","wk","week","utc","gmt","myt","lt"},0)),NOT(OR(ISNUMBER(MATCH(LEFT(BN15,255),{"0000a","000a","00a","0000aa","000aa","00aa","0aa","0000aaa","000aaa","00a00","0a00","0000-0000","00:00","a00","a0","00.00.0000","00/00/0000","00-00-0000","0000-00-00","0000/00/00","0000.00.00","00.00.00","00/00/00","00-00-00","0.00.0000","0/00/0000","0-00-0000"},0)),ISNUMBER(MATCH(LEFT(BT15,255),{"0000a","000a","00a","0000aa","000aa","00aa","0aa","0000aaa","000aaa","00a00","0a00","0000-0000","00:00","a00","a0","00.00.0000","00/00/0000","00-00-0000","0000-00-00","0000/00/00","0000.00.00","00.00.00","00/00/00","00-00-00","0.00.0000","0/00/0000","0-00-0000"},0)))),NOT(OR(AND(BW15&lt;&gt;"",SUBSTITUTE(BW15,"0","")=""),AND(LEN(BW15)&gt;=4,BW15=REPT(LEFT(BW15),LEN(BW15))),ISNUMBER(MATCH(BW15,{"123","1234","12345","123456","1234567","12345678","0123","01234","012345","98765","987654","54321"},0)),ISNUMBER(MATCH(BX15,{"x","xx","xxx","xxxx","xxxxx","abc","abcd","nil","na","nan","test","tbc","tba","tbd","dummy","sample","example","eg","zz","zzz","none","null","xyz","qwe","asd","id","ref"},0)),AND(LEN(BW15)=8,BX15="",OR(LEFT(BW15,3)="202",ISNUMBER(MATCH(RIGHT(BW15,4),{"2025","2026","2027"},0)))))),OR(AND((LEN(BT15)-LEN(SUBSTITUTE(BT15,"a","")))&gt;=1,(LEN(BN15)-LEN(SUBSTITUTE(BN15,"0","")))&gt;=2,SUMPRODUCT(--ISNUMBER(SEARCH({"a0","a-0","a_0","a/0","a.0","a#0","0a","0-a","0_a","0/a"},BN15)))&gt;0),AND((LEN(BN15)-LEN(SUBSTITUTE(BN15,"a","")))=0,(LEN(BN15)-LEN(SUBSTITUTE(BN15,"0","")))&gt;=5)))),1,0),0)</f>
        <v>0</v>
      </c>
      <c r="CA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revision",""),"version",""),"jan",""),"feb",""),"mar",""),"apr",""),"may",""),"jun",""),"jul",""),"aug",""),"sep",""),"oct",""),"nov",""),"dec",""),"utc",""),"gmt",""),"myt",""),"bst",""),"rev",""),"ver",""),"b","a"),"c","a"),"d","a"),"e","a"),"f","a"),"g","a"),"h","a"),"i","a"),"j","a"),"k","a"),"l","a"),"m","a"),"n","a"),"o","a"),"p","a"),"q","a"),"r","a"),"s","a"),"t","a"),"u","a"),"v","a"),"w","a"),"x","a"),"y","a"),"z","a")</f>
        <v/>
      </c>
      <c r="CB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amp;""),"a",""),"b",""),"c",""),"d",""),"e",""),"f",""),"g",""),"h",""),"i",""),"j",""),"k",""),"l",""),"m",""),"n",""),"o",""),"p",""),"q",""),"r",""),"s",""),"t",""),"u",""),"v",""),"w",""),"x",""),"y",""),"z",""),"-",""),"_",""),"/",""),".",""),"#",""),"\\",""),":","")," ",""),"(",""),")","")</f>
        <v/>
      </c>
      <c r="CC15" s="0" t="str">
        <f aca="false">" "&amp;TRIM(SUBSTITUTE(SUBSTITUTE(SUBSTITUTE(SUBSTITUTE(SUBSTITUTE(SUBSTITUTE(SUBSTITUTE(SUBSTITUTE(SUBSTITUTE(SUBSTITUTE(SUBSTITUTE(SUBSTITUTE(SUBSTITUTE(SUBSTITUTE(SUBSTITUTE(SUBSTITUTE(SUBSTITUTE(SUBSTITUTE(SUBSTITUTE(SUBSTITUTE(SUBSTITUTE(SUBSTITUTE(SUBSTITUTE(SUBSTITUTE(LOWER(T15&amp;""),CHAR(10)," "),CHAR(13)," "),CHAR(9)," "),CHAR(160)," "),"."," "),","," "),"-"," "),"/"," "),"("," "),")"," "),":"," "),";"," "),"_"," "),"–"," "),"?"," "),"!"," "),"*"," "),"["," "),"]"," "),"'"," "),"#"," "),"+"," "),"&amp;"," "),"\"," "))&amp;" "</f>
        <v>  </v>
      </c>
      <c r="CD15" s="0" t="str">
        <f aca="false">" "&amp;TRIM(SUBSTITUTE(SUBSTITUTE(SUBSTITUTE(SUBSTITUTE(SUBSTITUTE(SUBSTITUTE(SUBSTITUTE(SUBSTITUTE(SUBSTITUTE(SUBSTITUTE(SUBSTITUTE(SUBSTITUTE(SUBSTITUTE(SUBSTITUTE(SUBSTITUTE(SUBSTITUTE(SUBSTITUTE(SUBSTITUTE(SUBSTITUTE(SUBSTITUTE(SUBSTITUTE(SUBSTITUTE(SUBSTITUTE(SUBSTITUTE(LOWER(AE15&amp;""),CHAR(10)," "),CHAR(13)," "),CHAR(9)," "),CHAR(160)," "),"."," "),","," "),"-"," "),"/"," "),"("," "),")"," "),":"," "),";"," "),"_"," "),"–"," "),"?"," "),"!"," "),"*"," "),"["," "),"]"," "),"'"," "),"#"," "),"+"," "),"&amp;"," "),"\"," "))&amp;" "</f>
        <v>  </v>
      </c>
      <c r="CE15" s="68" t="n">
        <f aca="false">IFERROR(IF(AND(LEN(AU15)&gt;0,LEN(AU15)=LEN(AX15),OR(TRIM(MID(SUBSTITUTE(TRIM(CC15)," ",REPT(" ",60)),1,60))="",ISNUMBER(SEARCH(" "&amp;TRIM(MID(SUBSTITUTE(TRIM(CC15)," ",REPT(" ",60)),1,60))&amp;" ",CD15))),OR(TRIM(MID(SUBSTITUTE(TRIM(CC15)," ",REPT(" ",60)),61,60))="",ISNUMBER(SEARCH(" "&amp;TRIM(MID(SUBSTITUTE(TRIM(CC15)," ",REPT(" ",60)),61,60))&amp;" ",CD15))),OR(TRIM(MID(SUBSTITUTE(TRIM(CC15)," ",REPT(" ",60)),121,60))="",ISNUMBER(SEARCH(" "&amp;TRIM(MID(SUBSTITUTE(TRIM(CC15)," ",REPT(" ",60)),121,60))&amp;" ",CD15)))),1,0),0)</f>
        <v>0</v>
      </c>
      <c r="CG15" s="68" t="n">
        <f aca="false">IFERROR(LEN(SUBSTITUTE(BF15," ",""))-SUMPRODUCT((LEN(BF15)-LEN(SUBSTITUTE(BF15," "&amp;L_NAFiller&amp;" "," ")))/(LEN(L_NAFiller)+1)*LEN(L_NAFiller)),0)</f>
        <v>0</v>
      </c>
    </row>
    <row r="16" customFormat="false" ht="39.75" hidden="false" customHeight="true" outlineLevel="0" collapsed="false">
      <c r="A16" s="57" t="s">
        <v>424</v>
      </c>
      <c r="B16" s="57" t="s">
        <v>183</v>
      </c>
      <c r="C16" s="57" t="str">
        <f aca="false">Flights!$F$5</f>
        <v>MH0001</v>
      </c>
      <c r="D16" s="58" t="n">
        <f aca="false">Flights!$D$5</f>
        <v>46303</v>
      </c>
      <c r="E16" s="57" t="str">
        <f aca="false">Flights!$G$5&amp;"-"&amp;Flights!$H$5</f>
        <v>LHR-KUL</v>
      </c>
      <c r="F16" s="57" t="str">
        <f aca="false">Flights!$K$5</f>
        <v>EY</v>
      </c>
      <c r="G16" s="57" t="s">
        <v>420</v>
      </c>
      <c r="H16" s="57" t="s">
        <v>378</v>
      </c>
      <c r="I16" s="57" t="s">
        <v>379</v>
      </c>
      <c r="J16" s="57" t="s">
        <v>425</v>
      </c>
      <c r="K16" s="67" t="s">
        <v>426</v>
      </c>
      <c r="L16" s="67" t="s">
        <v>422</v>
      </c>
      <c r="M16" s="67"/>
      <c r="N16" s="67" t="s">
        <v>383</v>
      </c>
      <c r="O16" s="67" t="s">
        <v>423</v>
      </c>
      <c r="P16" s="57" t="s">
        <v>186</v>
      </c>
      <c r="Q16" s="59" t="n">
        <f aca="false">ROUND((Flights!$AE$5)*1440,0)/1440</f>
        <v>46303.3576388889</v>
      </c>
      <c r="R16" s="59" t="n">
        <f aca="false">Q16+(IF(AND(INDEX(TZ_DSTS,MATCH(P16,TZ_STN,0))&lt;&gt;"",Q16&gt;=INDEX(TZ_DSTS,MATCH(P16,TZ_STN,0)),Q16&lt;INDEX(TZ_DSTE,MATCH(P16,TZ_STN,0))),INDEX(TZ_DST,MATCH(P16,TZ_STN,0)),INDEX(TZ_STD,MATCH(P16,TZ_STN,0))))/24</f>
        <v>46303.3993055556</v>
      </c>
      <c r="S16" s="60"/>
      <c r="T16" s="60"/>
      <c r="U16" s="60"/>
      <c r="V16" s="60"/>
      <c r="W16" s="61"/>
      <c r="X16" s="60"/>
      <c r="Y16" s="60"/>
      <c r="Z16" s="60"/>
      <c r="AA16" s="60"/>
      <c r="AB16" s="60"/>
      <c r="AC16" s="60"/>
      <c r="AD16" s="66"/>
      <c r="AE16" s="60"/>
      <c r="AF16" s="61" t="str">
        <f aca="false">IF(AND(ISNUMBER(X16),ISNUMBER(Y16)),Y16-X16,"")</f>
        <v/>
      </c>
      <c r="AG16" s="62" t="str">
        <f aca="false">IF(ISNUMBER(AD16),AD16-(IF(AND(INDEX(TZ_DSTS,MATCH(P16,TZ_STN,0))&lt;&gt;"",(AD16-INDEX(TZ_STD,MATCH(P16,TZ_STN,0))/24)&gt;=INDEX(TZ_DSTS,MATCH(P16,TZ_STN,0)),(AD16-INDEX(TZ_STD,MATCH(P16,TZ_STN,0))/24)&lt;INDEX(TZ_DSTE,MATCH(P16,TZ_STN,0))),INDEX(TZ_DST,MATCH(P16,TZ_STN,0)),INDEX(TZ_STD,MATCH(P16,TZ_STN,0))))/24,"")</f>
        <v/>
      </c>
      <c r="AH16" s="65" t="str">
        <f aca="false">IFERROR(IF(N16="N/A – rule",IF(OR(TRIM(U16)="",TRIM(U16)="N/A",TRIM(U16)="Not started"),"N/A – RULE","INVALID – this check does not apply to this aircraft: clear the status (or correct the fleet on Flights)"),IF(TRIM(U16)="N/A",IF(AT16=0,"INVALID – N/A not permitted for this check",IF(AND(TRIM(AB16)&lt;&gt;"",TRIM(AB16)&lt;&gt;"Closed"),"INVALID – corrective action still open",IF(AND(NOT(OR(LEN(AZ16)&lt;15,ISNUMBER(MATCH(AZ16,L_Placeholder,0)))),BK16=0,CG16&gt;=8,NOT(OR(LEN(AU16)&lt;2,ISNUMBER(MATCH(AU16,L_Placeholder,0)))),BR16&gt;=3,NOT(OR(LEN(AX16)&lt;2,ISNUMBER(MATCH(AX16,L_Placeholder,0)))),BS16&gt;=3,TRIM(AE16)&lt;&gt;TRIM(T16),AX16&lt;&gt;AU16,CE16=0),"N/A – JUSTIFIED","INVALID – N/A needs a real, settled reason (not 'not applicable' / 'as above' / TBC), a named PIC and a different named verifier"))),IF(OR(TRIM(U16)="Pass",TRIM(U16)="Pass after CA"),IF(NOT(ISNUMBER(AD16)),"INVALID – completion time missing",IF(OR(OR(LEN(AU16)&lt;2,ISNUMBER(MATCH(AU16,L_Placeholder,0))),BR16&lt;3),"INVALID – PIC missing or not a named person (a role such as QA / CSM is not a name)",IF(OR(LEN(AV16)&lt;2,ISNUMBER(MATCH(AV16,L_Placeholder,0))),"INVALID – result / assessment missing",IF(OR(OR(LEN(AW16)&lt;3,ISNUMBER(MATCH(AW16,L_Placeholder,0))),SUMPRODUCT(--ISNUMBER(SEARCH(" "&amp;L_EvidencePhrase&amp;" ",BD16)))&gt;0,BI16=1),"INVALID – evidence missing, placeholder or not yet on file",IF(ISNA(MATCH(TRIM(S16),L_EvidenceType,0)),"INVALID – choose the evidence type from the list (column S)",IF(BL16=0,"INVALID – evidence ID must be the record's own ID only (e.g. SF-2210, IMG_2231, 1045521); a link / file name needs type 'Link / file path'",IF(OR(OR(LEN(AX16)&lt;2,ISNUMBER(MATCH(AX16,L_Placeholder,0))),BS16&lt;3),"INVALID – verifier missing or not a named person (a role such as QA / CSM is not a name)",IF(OR(AX16=AU16,CE16=1,AND(LEN(AU16)&gt;=4,ISNUMBER(SEARCH(AU16,AX16))),AND(LEN(AX16)&gt;=4,ISNUMBER(SEARCH(AX16,AU16)))),"INVALID – verifier must be a different, named person (not the PIC or a role)",IF(BH16=1,"INVALID – result not yet available (awaiting / TBC)",IF(BG16=1,"INVALID – result describes a problem: record Fail, then Pass after CA (or reword if it is not a problem)",IF(BV16=1,"INVALID – wording says not on board: an on-board confirmation needs the item loaded",IF(AND(AQ16=1,OR(OR(LEN(AY16)&lt;3,ISNUMBER(MATCH(AY16,L_Placeholder,0))),BJ16=1,BQ16=0)),"INVALID – batch ID missing, placeholder or not an ID (e.g. PASB-261008-BC-017)",IF(AND(AR16=1,OR(NOT(ISNUMBER(X16)),NOT(ISNUMBER(Y16)))),"INVALID – expected/actual qty missing",IF(AND(AR16=1,OR(X16&lt;=0,Y16&lt;0)),"INVALID – expected qty must be above 0 and actual not negative",IF(BB16&lt;&gt;"",BB16,IF(AND(AS16=1,Documents!$J$5&lt;&gt;"ON FILE"),"INVALID – GLD not on file (Documents sheet)",IF(AND(AS16=2,Documents!$O$5&lt;&gt;"ON FILE"),"INVALID – menu checklist not on file (Documents sheet)",IF(AND(AS16=3,NOT(ISNUMBER(Flights!$AX$5))),"INVALID – enter carrying flight KUL departure (Flights AX)",IF(AND(AS16=3,OR(Flights!$AZ$5&gt;Flights!$AA$5,Flights!$AX$5&lt;Flights!$AA$5-3)),"INVALID – carrying flight (Flights AX) cannot arrive before this leg's STD, or is over 3 days early",IF(AG16&gt;AsOfUTC,"INVALID – completion time is in the future",IF(AND(ISNUMBER(BY16),AG16&lt;BY16),IF(H16="Physical uplift","INVALID – before uplift window (cannot confirm loading)","INVALID – before valid window"),IF(AG16&gt;Flights!$AA$5,"INVALID – completed after departure (cannot establish readiness)",IF(AND(H16="Preparation",AG16&gt;=IF(ISNUMBER(Flights!$BA$5),MIN(Flights!$BA$5,Flights!$AA$5),Flights!$AA$5)),"INVALID – completed after loading / departure (cannot establish readiness)",IF(AND(H16="Physical uplift",AG16&gt;Q16),"INVALID – recorded after the loading flight departed",IF(AG16&gt;Q16,"COMPLETE – LATE","COMPLETE"))))))))))))))))))))))))),IF(TRIM(U16)="Fail","FAIL – DISCREPANCY",IF(AND(TRIM(U16)&lt;&gt;"",TRIM(U16)&lt;&gt;"Not started",TRIM(U16)&lt;&gt;"In progress"),"INVALID – unrecognised status (use the list)",IF(AsOfUTC&gt;Q16,"OVERDUE",IF(N16="Clarification required","OPEN – CLARIFICATION","OPEN"))))))),"INVALID – error value in an input cell")</f>
        <v>OPEN</v>
      </c>
      <c r="AI16" s="61" t="n">
        <f aca="false">IF(OR(AH16="N/A – RULE",AH16="N/A – JUSTIFIED"),0,1)</f>
        <v>1</v>
      </c>
      <c r="AJ16" s="61" t="n">
        <f aca="false">IF(LEFT(AH16,8)="COMPLETE",1,0)</f>
        <v>0</v>
      </c>
      <c r="AK16" s="61" t="n">
        <f aca="false">IF(AND(AI16=1,AJ16=0,AsOfUTC&gt;Q16),1,0)</f>
        <v>0</v>
      </c>
      <c r="AL16" s="61" t="n">
        <f aca="false">IFERROR(IF(AND(AI16=1,OR(TRIM(U16)="Fail",AND(TRIM(AB16)&lt;&gt;"",TRIM(AB16)&lt;&gt;"Closed"),AND(ISNUMBER(AF16),AF16&lt;&gt;0,TRIM(U16)&lt;&gt;"Pass after CA"))),1,0),1)</f>
        <v>0</v>
      </c>
      <c r="AM16" s="61" t="n">
        <f aca="false">IF(LEFT(AH16,7)="INVALID",1,0)</f>
        <v>0</v>
      </c>
      <c r="AN16" s="61" t="n">
        <f aca="false">IF(AND(N16="Clarification required",AI16=1,AJ16=0),1,0)</f>
        <v>0</v>
      </c>
      <c r="AO16" s="61" t="str">
        <f aca="false">IF(AK16=1,SUM(AK$5:AK16),"")</f>
        <v/>
      </c>
      <c r="AP16" s="61" t="str">
        <f aca="false">IF(AL16=1,SUM(AL$5:AL16),"")</f>
        <v/>
      </c>
      <c r="AQ16" s="61" t="n">
        <v>0</v>
      </c>
      <c r="AR16" s="61" t="n">
        <v>1</v>
      </c>
      <c r="AS16" s="61" t="n">
        <v>0</v>
      </c>
      <c r="AT16" s="61" t="n">
        <v>0</v>
      </c>
      <c r="AU16" s="61" t="str">
        <f aca="false">SUBSTITUTE(SUBSTITUTE(SUBSTITUTE(SUBSTITUTE(SUBSTITUTE(SUBSTITUTE(SUBSTITUTE(SUBSTITUTE(SUBSTITUTE(SUBSTITUTE(SUBSTITUTE(SUBSTITUTE(SUBSTITUTE(SUBSTITUTE(SUBSTITUTE(SUBSTITUTE(LOWER(T16&amp;""),CHAR(10),""),CHAR(13),""),CHAR(9),""),CHAR(160),"")," ",""),".",""),"-",""),"/",""),"?",""),"_",""),",",""),"[",""),"]",""),"(",""),")",""),"*","")</f>
        <v/>
      </c>
      <c r="AV16" s="61" t="str">
        <f aca="false">SUBSTITUTE(SUBSTITUTE(SUBSTITUTE(SUBSTITUTE(SUBSTITUTE(SUBSTITUTE(SUBSTITUTE(SUBSTITUTE(SUBSTITUTE(SUBSTITUTE(SUBSTITUTE(SUBSTITUTE(SUBSTITUTE(SUBSTITUTE(SUBSTITUTE(SUBSTITUTE(LOWER(V16&amp;""),CHAR(10),""),CHAR(13),""),CHAR(9),""),CHAR(160),"")," ",""),".",""),"-",""),"/",""),"?",""),"_",""),",",""),"[",""),"]",""),"(",""),")",""),"*","")</f>
        <v/>
      </c>
      <c r="AW16" s="61" t="str">
        <f aca="false">SUBSTITUTE(SUBSTITUTE(SUBSTITUTE(SUBSTITUTE(SUBSTITUTE(SUBSTITUTE(SUBSTITUTE(SUBSTITUTE(SUBSTITUTE(SUBSTITUTE(SUBSTITUTE(SUBSTITUTE(SUBSTITUTE(SUBSTITUTE(SUBSTITUTE(SUBSTITUTE(LOWER(Z16&amp;""),CHAR(10),""),CHAR(13),""),CHAR(9),""),CHAR(160),"")," ",""),".",""),"-",""),"/",""),"?",""),"_",""),",",""),"[",""),"]",""),"(",""),")",""),"*","")</f>
        <v/>
      </c>
      <c r="AX16" s="61" t="str">
        <f aca="false">SUBSTITUTE(SUBSTITUTE(SUBSTITUTE(SUBSTITUTE(SUBSTITUTE(SUBSTITUTE(SUBSTITUTE(SUBSTITUTE(SUBSTITUTE(SUBSTITUTE(SUBSTITUTE(SUBSTITUTE(SUBSTITUTE(SUBSTITUTE(SUBSTITUTE(SUBSTITUTE(LOWER(AE16&amp;""),CHAR(10),""),CHAR(13),""),CHAR(9),""),CHAR(160),"")," ",""),".",""),"-",""),"/",""),"?",""),"_",""),",",""),"[",""),"]",""),"(",""),")",""),"*","")</f>
        <v/>
      </c>
      <c r="AY16" s="61" t="str">
        <f aca="false">SUBSTITUTE(SUBSTITUTE(SUBSTITUTE(SUBSTITUTE(SUBSTITUTE(SUBSTITUTE(SUBSTITUTE(SUBSTITUTE(SUBSTITUTE(SUBSTITUTE(SUBSTITUTE(SUBSTITUTE(SUBSTITUTE(SUBSTITUTE(SUBSTITUTE(SUBSTITUTE(LOWER(W16&amp;""),CHAR(10),""),CHAR(13),""),CHAR(9),""),CHAR(160),"")," ",""),".",""),"-",""),"/",""),"?",""),"_",""),",",""),"[",""),"]",""),"(",""),")",""),"*","")</f>
        <v/>
      </c>
      <c r="AZ16" s="61" t="str">
        <f aca="false">SUBSTITUTE(SUBSTITUTE(SUBSTITUTE(SUBSTITUTE(SUBSTITUTE(SUBSTITUTE(SUBSTITUTE(SUBSTITUTE(SUBSTITUTE(SUBSTITUTE(SUBSTITUTE(SUBSTITUTE(SUBSTITUTE(SUBSTITUTE(SUBSTITUTE(SUBSTITUTE(LOWER(AC16&amp;""),CHAR(10),""),CHAR(13),""),CHAR(9),""),CHAR(160),"")," ",""),".",""),"-",""),"/",""),"?",""),"_",""),",",""),"[",""),"]",""),"(",""),")",""),"*","")</f>
        <v/>
      </c>
      <c r="BA16" s="61" t="str">
        <f aca="false">SUBSTITUTE(SUBSTITUTE(SUBSTITUTE(SUBSTITUTE(SUBSTITUTE(SUBSTITUTE(SUBSTITUTE(SUBSTITUTE(SUBSTITUTE(SUBSTITUTE(SUBSTITUTE(SUBSTITUTE(SUBSTITUTE(SUBSTITUTE(SUBSTITUTE(SUBSTITUTE(LOWER(AA16&amp;""),CHAR(10),""),CHAR(13),""),CHAR(9),""),CHAR(160),"")," ",""),".",""),"-",""),"/",""),"?",""),"_",""),",",""),"[",""),"]",""),"(",""),")",""),"*","")</f>
        <v/>
      </c>
      <c r="BB16" s="61" t="str">
        <f aca="false">IF(AND(TRIM(U16)="Pass",ISNUMBER(AF16)),IF(AF16&lt;&gt;0,"INVALID – qty variance: use Fail or Pass after CA",""),"")&amp;IF(AND(TRIM(U16)="Pass after CA",ISNUMBER(AF16)),IF(AF16&lt;&gt;0,"INVALID – after the corrective action the actual qty must equal expected (update Actual)",""),"")&amp;IF(AND(TRIM(U16)="Pass",TRIM(AB16)&lt;&gt;"",TRIM(AB16)&lt;&gt;"Closed"),"INVALID – corrective action not closed: use Fail, then Pass after CA","")&amp;IF(AND(LEN(BA16)&gt;=2,ISNA(MATCH(LEFT(BA16,255),L_Placeholder,0)),TRIM(AB16)=""),"INVALID – CA status missing for the recorded corrective action","")&amp;IF(AND(TRIM(U16)="Pass after CA",OR(OR(LEN(BA16)&lt;5,ISNUMBER(MATCH(BA16,L_Placeholder,0))),TRIM(AB16)&lt;&gt;"Closed")),"INVALID – corrective action not recorded/closed","")</f>
        <v/>
      </c>
      <c r="BC16" s="61" t="str">
        <f aca="false">" "&amp;TRIM(SUBSTITUTE(SUBSTITUTE(SUBSTITUTE(SUBSTITUTE(SUBSTITUTE(SUBSTITUTE(SUBSTITUTE(SUBSTITUTE(SUBSTITUTE(SUBSTITUTE(SUBSTITUTE(SUBSTITUTE(SUBSTITUTE(SUBSTITUTE(SUBSTITUTE(SUBSTITUTE(SUBSTITUTE(SUBSTITUTE(SUBSTITUTE(SUBSTITUTE(SUBSTITUTE(SUBSTITUTE(SUBSTITUTE(SUBSTITUTE(LOWER(V16&amp;""),CHAR(10)," "),CHAR(13)," "),CHAR(9)," "),CHAR(160)," "),"."," "),","," "),"-"," "),"/"," "),"("," "),")"," "),":"," "),";"," "),"_"," "),"–"," "),"?"," "),"!"," "),"*"," "),"["," "),"]"," "),"'"," "),"#"," "),"+"," "),"&amp;"," "),"\"," "))&amp;" "</f>
        <v>  </v>
      </c>
      <c r="BD16" s="61" t="str">
        <f aca="false">" "&amp;TRIM(SUBSTITUTE(SUBSTITUTE(SUBSTITUTE(SUBSTITUTE(SUBSTITUTE(SUBSTITUTE(SUBSTITUTE(SUBSTITUTE(SUBSTITUTE(SUBSTITUTE(SUBSTITUTE(SUBSTITUTE(SUBSTITUTE(SUBSTITUTE(SUBSTITUTE(SUBSTITUTE(SUBSTITUTE(SUBSTITUTE(SUBSTITUTE(SUBSTITUTE(SUBSTITUTE(SUBSTITUTE(SUBSTITUTE(SUBSTITUTE(LOWER(Z16&amp;""),CHAR(10)," "),CHAR(13)," "),CHAR(9)," "),CHAR(160)," "),"."," "),","," "),"-"," "),"/"," "),"("," "),")"," "),":"," "),";"," "),"_"," "),"–"," "),"?"," "),"!"," "),"*"," "),"["," "),"]"," "),"'"," "),"#"," "),"+"," "),"&amp;"," "),"\"," "))&amp;" "</f>
        <v>  </v>
      </c>
      <c r="BE16" s="61" t="str">
        <f aca="false">" "&amp;TRIM(SUBSTITUTE(SUBSTITUTE(SUBSTITUTE(SUBSTITUTE(SUBSTITUTE(SUBSTITUTE(SUBSTITUTE(SUBSTITUTE(SUBSTITUTE(SUBSTITUTE(SUBSTITUTE(SUBSTITUTE(SUBSTITUTE(SUBSTITUTE(SUBSTITUTE(SUBSTITUTE(SUBSTITUTE(SUBSTITUTE(SUBSTITUTE(SUBSTITUTE(SUBSTITUTE(SUBSTITUTE(SUBSTITUTE(SUBSTITUTE(LOWER(W16&amp;""),CHAR(10)," "),CHAR(13)," "),CHAR(9)," "),CHAR(160)," "),"."," "),","," "),"-"," "),"/"," "),"("," "),")"," "),":"," "),";"," "),"_"," "),"–"," "),"?"," "),"!"," "),"*"," "),"["," "),"]"," "),"'"," "),"#"," "),"+"," "),"&amp;"," "),"\"," "))&amp;" "</f>
        <v>  </v>
      </c>
      <c r="BF16" s="61" t="str">
        <f aca="false">" "&amp;TRIM(SUBSTITUTE(SUBSTITUTE(SUBSTITUTE(SUBSTITUTE(SUBSTITUTE(SUBSTITUTE(SUBSTITUTE(SUBSTITUTE(SUBSTITUTE(SUBSTITUTE(SUBSTITUTE(SUBSTITUTE(SUBSTITUTE(SUBSTITUTE(SUBSTITUTE(SUBSTITUTE(SUBSTITUTE(SUBSTITUTE(SUBSTITUTE(SUBSTITUTE(SUBSTITUTE(SUBSTITUTE(SUBSTITUTE(SUBSTITUTE(LOWER(AC16&amp;""),CHAR(10)," "),CHAR(13)," "),CHAR(9)," "),CHAR(160)," "),"."," "),","," "),"-"," "),"/"," "),"("," "),")"," "),":"," "),";"," "),"_"," "),"–"," "),"?"," "),"!"," "),"*"," "),"["," "),"]"," "),"'"," "),"#"," "),"+"," "),"&amp;"," "),"\"," "))&amp;" "</f>
        <v>  </v>
      </c>
      <c r="BG16" s="61" t="n">
        <f aca="false">IFERROR(IF(AND(TRIM(U16)="Pass",SUMPRODUCT((LEN(BC16)-LEN(SUBSTITUTE(BC16," "&amp;L_ResultBad&amp;" "," ")))/(LEN(L_ResultBad)+1))&gt;SUMPRODUCT((LEN(BC16)-LEN(SUBSTITUTE(BC16," "&amp;L_NegPhrase&amp;" "," ")))/(LEN(L_NegPhrase)+1))),1,0),0)</f>
        <v>0</v>
      </c>
      <c r="BH16" s="61" t="n">
        <f aca="false">IFERROR(IF(SUMPRODUCT((LEN(BC16)-LEN(SUBSTITUTE(BC16," "&amp;L_Pending&amp;" "," ")))/(LEN(L_Pending)+1))&gt;SUMPRODUCT((LEN(BC16)-LEN(SUBSTITUTE(BC16," "&amp;L_PendNeg&amp;" "," ")))/(LEN(L_PendNeg)+1))+SUMPRODUCT((LEN(BC16)-LEN(SUBSTITUTE(BC16," "&amp;L_PendPrep&amp;" "," ")))/(LEN(L_PendPrep)+1)),1,0),1)</f>
        <v>0</v>
      </c>
      <c r="BI16" s="61" t="n">
        <f aca="false">IFERROR(IF(SUMPRODUCT((LEN(BD16)-LEN(SUBSTITUTE(BD16," "&amp;L_PendStrict&amp;" "," ")))/(LEN(L_PendStrict)+1))&gt;SUMPRODUCT((LEN(BD16)-LEN(SUBSTITUTE(BD16," "&amp;L_PendNeg&amp;" "," ")))/(LEN(L_PendNeg)+1)),1,0),1)</f>
        <v>0</v>
      </c>
      <c r="BJ16" s="61" t="n">
        <f aca="false">IFERROR(IF(SUMPRODUCT((LEN(BE16)-LEN(SUBSTITUTE(BE16," "&amp;L_Pending&amp;" "," ")))/(LEN(L_Pending)+1))&gt;SUMPRODUCT((LEN(BE16)-LEN(SUBSTITUTE(BE16," "&amp;L_PendNeg&amp;" "," ")))/(LEN(L_PendNeg)+1))+SUMPRODUCT((LEN(BE16)-LEN(SUBSTITUTE(BE16," "&amp;L_PendPrep&amp;" "," ")))/(LEN(L_PendPrep)+1)),1,0),1)</f>
        <v>0</v>
      </c>
      <c r="BK16" s="61" t="n">
        <f aca="false">IFERROR(IF(SUMPRODUCT((LEN(BF16)-LEN(SUBSTITUTE(BF16," "&amp;L_PendStrict&amp;" "," ")))/(LEN(L_PendStrict)+1))&gt;SUMPRODUCT((LEN(BF16)-LEN(SUBSTITUTE(BF16," "&amp;L_PendNeg&amp;" "," ")))/(LEN(L_PendNeg)+1)),1,0),1)</f>
        <v>0</v>
      </c>
      <c r="BL16" s="61" t="n">
        <f aca="false">IF(ISNA(MATCH(TRIM(S16),L_EvidenceType,0)),0,BZ16)</f>
        <v>0</v>
      </c>
      <c r="BM16" s="61" t="str">
        <f aca="false">SUBSTITUTE(SUBSTITUTE(SUBSTITUTE(SUBSTITUTE(SUBSTITUTE(SUBSTITUTE(SUBSTITUTE(SUBSTITUTE(SUBSTITUTE(LOWER(Z16&amp;""),"1","0"),"2","0"),"3","0"),"4","0"),"5","0"),"6","0"),"7","0"),"8","0"),"9","0")</f>
        <v/>
      </c>
      <c r="BN16" s="61" t="str">
        <f aca="false">SUBSTITUTE(SUBSTITUTE(SUBSTITUTE(SUBSTITUTE(SUBSTITUTE(SUBSTITUTE(SUBSTITUTE(SUBSTITUTE(SUBSTITUTE(SUBSTITUTE(SUBSTITUTE(SUBSTITUTE(SUBSTITUTE(SUBSTITUTE(SUBSTITUTE(SUBSTITUTE(SUBSTITUTE(SUBSTITUTE(SUBSTITUTE(SUBSTITUTE(SUBSTITUTE(SUBSTITUTE(SUBSTITUTE(SUBSTITUTE(SUBSTITUTE(BM16,"b","a"),"c","a"),"d","a"),"e","a"),"f","a"),"g","a"),"h","a"),"i","a"),"j","a"),"k","a"),"l","a"),"m","a"),"n","a"),"o","a"),"p","a"),"q","a"),"r","a"),"s","a"),"t","a"),"u","a"),"v","a"),"w","a"),"x","a"),"y","a"),"z","a")</f>
        <v/>
      </c>
      <c r="BO16" s="61" t="str">
        <f aca="false">SUBSTITUTE(SUBSTITUTE(SUBSTITUTE(SUBSTITUTE(SUBSTITUTE(SUBSTITUTE(SUBSTITUTE(SUBSTITUTE(SUBSTITUTE(LOWER(W16&amp;""),"1","0"),"2","0"),"3","0"),"4","0"),"5","0"),"6","0"),"7","0"),"8","0"),"9","0")</f>
        <v/>
      </c>
      <c r="BP16" s="61" t="str">
        <f aca="false">SUBSTITUTE(SUBSTITUTE(SUBSTITUTE(SUBSTITUTE(SUBSTITUTE(SUBSTITUTE(SUBSTITUTE(SUBSTITUTE(SUBSTITUTE(SUBSTITUTE(SUBSTITUTE(SUBSTITUTE(SUBSTITUTE(SUBSTITUTE(SUBSTITUTE(SUBSTITUTE(SUBSTITUTE(SUBSTITUTE(SUBSTITUTE(SUBSTITUTE(SUBSTITUTE(SUBSTITUTE(SUBSTITUTE(SUBSTITUTE(SUBSTITUTE(BO16,"b","a"),"c","a"),"d","a"),"e","a"),"f","a"),"g","a"),"h","a"),"i","a"),"j","a"),"k","a"),"l","a"),"m","a"),"n","a"),"o","a"),"p","a"),"q","a"),"r","a"),"s","a"),"t","a"),"u","a"),"v","a"),"w","a"),"x","a"),"y","a"),"z","a")</f>
        <v/>
      </c>
      <c r="BQ16" s="61" t="n">
        <f aca="false">IFERROR(IF(AND(ISERROR(SEARCH(" mh"," "&amp;LOWER(W16))),ISNA(MATCH(LEFT(TRIM(BP16),255),{"0000a","000a","00a","0000aa","000aa","00aa","0aa","0000aaa","000aaa","00a00","0a00","0000-0000","00:00","a00","a0","00.00.0000","00/00/0000","00-00-0000","0000-00-00","0000/00/00","0000.00.00","00.00.00","00/00/00","00-00-00","0.00.0000","0/00/0000","0-00-0000"},0)),ISNA(MATCH(LEFT(TRIM(CA16),255),{"0000a","000a","00a","0000aa","000aa","00aa","0aa","0000aaa","000aaa","00a00","0a00","0000-0000","00:00","a00","a0","00.00.0000","00/00/0000","00-00-0000","0000-00-00","0000/00/00","0000.00.00","00.00.00","00/00/00","00-00-00","0.00.0000","0/00/0000","0-00-0000"},0)),LEN(CB16)&gt;=3,NOT(OR(SUBSTITUTE(CB16,"0","")="",AND(LEN(CB16)&gt;=4,CB16=REPT(LEFT(CB16),LEN(CB16))),ISNUMBER(MATCH(CB16,{"123","1234","12345","123456","1234567","12345678","0123","01234","012345","98765","987654","54321"},0)),AND(LEN(CB16)=8,LEFT(CB16,3)="202"))),OR(AND((LEN(CA16)-LEN(SUBSTITUTE(CA16,"a","")))&gt;=1,SUMPRODUCT(--ISNUMBER(SEARCH({"a0","a-0","a_0","a/0","a.0","a#0","0a","0-a","0_a","0/a"},BP16)))&gt;0),ISNUMBER(SEARCH("000000",BP16)))),1,0),0)</f>
        <v>0</v>
      </c>
      <c r="BR16" s="61" t="n">
        <f aca="false">IFERROR(LEN(SUBSTITUTE(CC16," ",""))-SUMPRODUCT((LEN(CC16)-LEN(SUBSTITUTE(CC16," "&amp;L_Role&amp;" "," ")))/(LEN(L_Role)+1)*LEN(L_Role)),0)</f>
        <v>0</v>
      </c>
      <c r="BS16" s="61" t="n">
        <f aca="false">IFERROR(LEN(SUBSTITUTE(CD16," ",""))-SUMPRODUCT((LEN(CD16)-LEN(SUBSTITUTE(CD16," "&amp;L_Role&amp;" "," ")))/(LEN(L_Role)+1)*LEN(L_Role)),0)</f>
        <v>0</v>
      </c>
      <c r="BT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revision",""),"version",""),"jan",""),"feb",""),"mar",""),"apr",""),"may",""),"jun",""),"jul",""),"aug",""),"sep",""),"oct",""),"nov",""),"dec",""),"utc",""),"gmt",""),"myt",""),"bst",""),"rev",""),"ver",""),"b","a"),"c","a"),"d","a"),"e","a"),"f","a"),"g","a"),"h","a"),"i","a"),"j","a"),"k","a"),"l","a"),"m","a"),"n","a"),"o","a"),"p","a"),"q","a"),"r","a"),"s","a"),"t","a"),"u","a"),"v","a"),"w","a"),"x","a"),"y","a"),"z","a")</f>
        <v/>
      </c>
      <c r="BU16" s="61" t="str">
        <f aca="false">SUBSTITUTE(SUBSTITUTE(SUBSTITUTE(SUBSTITUTE(SUBSTITUTE(SUBSTITUTE(SUBSTITUTE(SUBSTITUTE(SUBSTITUTE(SUBSTITUTE(LEFT(BM16,FIND("0",BM16&amp;"0")-1),"-",""),"_",""),"/",""),".",""),"#",""),"\\",""),":","")," ",""),"(",""),")","")</f>
        <v/>
      </c>
      <c r="BV16" s="61" t="n">
        <f aca="false">0</f>
        <v>0</v>
      </c>
      <c r="BW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amp;""),"a",""),"b",""),"c",""),"d",""),"e",""),"f",""),"g",""),"h",""),"i",""),"j",""),"k",""),"l",""),"m",""),"n",""),"o",""),"p",""),"q",""),"r",""),"s",""),"t",""),"u",""),"v",""),"w",""),"x",""),"y",""),"z",""),"-",""),"_",""),"/",""),".",""),"#",""),"\\",""),":","")," ",""),"(",""),")","")</f>
        <v/>
      </c>
      <c r="BX16" s="61" t="str">
        <f aca="false">SUBSTITUTE(SUBSTITUTE(SUBSTITUTE(SUBSTITUTE(SUBSTITUTE(SUBSTITUTE(SUBSTITUTE(SUBSTITUTE(SUBSTITUTE(SUBSTITUTE(SUBSTITUTE(BM16,"0",""),"-",""),"_",""),"/",""),".",""),"#",""),"\\",""),":","")," ",""),"(",""),")","")</f>
        <v/>
      </c>
      <c r="BY16" s="62" t="n">
        <f aca="false">Q16-T12EarlyH/24</f>
        <v>46302.8576388889</v>
      </c>
      <c r="BZ16" s="61" t="n">
        <f aca="false">IFERROR(IF(IF(TRIM(S16)="Link / file path",AND(LEN(TRIM(Z16))&gt;=5,SUMPRODUCT(--ISNUMBER(SEARCH({"http","www.","\\",":\",".pdf",".jpg",".jpeg",".png",".heic",".xls",".doc",".msg",".eml",".ppt",".txt",".zip"},Z16)))&gt;0),AND(ISERROR(FIND(" ",TRIM(Z16))),NOT(OR(SUMPRODUCT(--ISNUMBER(FIND({",",";","&amp;","+"},Z16)))&gt;0,SUMPRODUCT(--ISNUMBER(SEARCH({"0/aa","0\\aa"},BN16)))&gt;0)),NOT(SUMPRODUCT(--ISNUMBER(SEARCH({"http","www.","\\",":\",".pdf",".jpg",".jpeg",".png",".heic",".xls",".doc",".msg",".eml",".ppt",".txt",".zip"},Z16)))&gt;0),NOT(LOWER(TRIM(Z16))=LOWER(Flights!$F$5)),ISNA(MATCH(BU16,{"mh","rev","revision","ver","version","v","r","a","b","seat","tray","row","gate","bay","stand","page","pg","item","line","no","cart","galley","flight","flt","table","box","bag","oven","etd","eta","std","sta","atd","ata","qty","pax","x","time","tel","ph","mob","day","wk","week","utc","gmt","myt","lt"},0)),NOT(OR(ISNUMBER(MATCH(LEFT(BN16,255),{"0000a","000a","00a","0000aa","000aa","00aa","0aa","0000aaa","000aaa","00a00","0a00","0000-0000","00:00","a00","a0","00.00.0000","00/00/0000","00-00-0000","0000-00-00","0000/00/00","0000.00.00","00.00.00","00/00/00","00-00-00","0.00.0000","0/00/0000","0-00-0000"},0)),ISNUMBER(MATCH(LEFT(BT16,255),{"0000a","000a","00a","0000aa","000aa","00aa","0aa","0000aaa","000aaa","00a00","0a00","0000-0000","00:00","a00","a0","00.00.0000","00/00/0000","00-00-0000","0000-00-00","0000/00/00","0000.00.00","00.00.00","00/00/00","00-00-00","0.00.0000","0/00/0000","0-00-0000"},0)))),NOT(OR(AND(BW16&lt;&gt;"",SUBSTITUTE(BW16,"0","")=""),AND(LEN(BW16)&gt;=4,BW16=REPT(LEFT(BW16),LEN(BW16))),ISNUMBER(MATCH(BW16,{"123","1234","12345","123456","1234567","12345678","0123","01234","012345","98765","987654","54321"},0)),ISNUMBER(MATCH(BX16,{"x","xx","xxx","xxxx","xxxxx","abc","abcd","nil","na","nan","test","tbc","tba","tbd","dummy","sample","example","eg","zz","zzz","none","null","xyz","qwe","asd","id","ref"},0)),AND(LEN(BW16)=8,BX16="",OR(LEFT(BW16,3)="202",ISNUMBER(MATCH(RIGHT(BW16,4),{"2025","2026","2027"},0)))))),OR(AND((LEN(BT16)-LEN(SUBSTITUTE(BT16,"a","")))&gt;=1,(LEN(BN16)-LEN(SUBSTITUTE(BN16,"0","")))&gt;=2,SUMPRODUCT(--ISNUMBER(SEARCH({"a0","a-0","a_0","a/0","a.0","a#0","0a","0-a","0_a","0/a"},BN16)))&gt;0),AND((LEN(BN16)-LEN(SUBSTITUTE(BN16,"a","")))=0,(LEN(BN16)-LEN(SUBSTITUTE(BN16,"0","")))&gt;=5)))),1,0),0)</f>
        <v>0</v>
      </c>
      <c r="CA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revision",""),"version",""),"jan",""),"feb",""),"mar",""),"apr",""),"may",""),"jun",""),"jul",""),"aug",""),"sep",""),"oct",""),"nov",""),"dec",""),"utc",""),"gmt",""),"myt",""),"bst",""),"rev",""),"ver",""),"b","a"),"c","a"),"d","a"),"e","a"),"f","a"),"g","a"),"h","a"),"i","a"),"j","a"),"k","a"),"l","a"),"m","a"),"n","a"),"o","a"),"p","a"),"q","a"),"r","a"),"s","a"),"t","a"),"u","a"),"v","a"),"w","a"),"x","a"),"y","a"),"z","a")</f>
        <v/>
      </c>
      <c r="CB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amp;""),"a",""),"b",""),"c",""),"d",""),"e",""),"f",""),"g",""),"h",""),"i",""),"j",""),"k",""),"l",""),"m",""),"n",""),"o",""),"p",""),"q",""),"r",""),"s",""),"t",""),"u",""),"v",""),"w",""),"x",""),"y",""),"z",""),"-",""),"_",""),"/",""),".",""),"#",""),"\\",""),":","")," ",""),"(",""),")","")</f>
        <v/>
      </c>
      <c r="CC16" s="0" t="str">
        <f aca="false">" "&amp;TRIM(SUBSTITUTE(SUBSTITUTE(SUBSTITUTE(SUBSTITUTE(SUBSTITUTE(SUBSTITUTE(SUBSTITUTE(SUBSTITUTE(SUBSTITUTE(SUBSTITUTE(SUBSTITUTE(SUBSTITUTE(SUBSTITUTE(SUBSTITUTE(SUBSTITUTE(SUBSTITUTE(SUBSTITUTE(SUBSTITUTE(SUBSTITUTE(SUBSTITUTE(SUBSTITUTE(SUBSTITUTE(SUBSTITUTE(SUBSTITUTE(LOWER(T16&amp;""),CHAR(10)," "),CHAR(13)," "),CHAR(9)," "),CHAR(160)," "),"."," "),","," "),"-"," "),"/"," "),"("," "),")"," "),":"," "),";"," "),"_"," "),"–"," "),"?"," "),"!"," "),"*"," "),"["," "),"]"," "),"'"," "),"#"," "),"+"," "),"&amp;"," "),"\"," "))&amp;" "</f>
        <v>  </v>
      </c>
      <c r="CD16" s="0" t="str">
        <f aca="false">" "&amp;TRIM(SUBSTITUTE(SUBSTITUTE(SUBSTITUTE(SUBSTITUTE(SUBSTITUTE(SUBSTITUTE(SUBSTITUTE(SUBSTITUTE(SUBSTITUTE(SUBSTITUTE(SUBSTITUTE(SUBSTITUTE(SUBSTITUTE(SUBSTITUTE(SUBSTITUTE(SUBSTITUTE(SUBSTITUTE(SUBSTITUTE(SUBSTITUTE(SUBSTITUTE(SUBSTITUTE(SUBSTITUTE(SUBSTITUTE(SUBSTITUTE(LOWER(AE16&amp;""),CHAR(10)," "),CHAR(13)," "),CHAR(9)," "),CHAR(160)," "),"."," "),","," "),"-"," "),"/"," "),"("," "),")"," "),":"," "),";"," "),"_"," "),"–"," "),"?"," "),"!"," "),"*"," "),"["," "),"]"," "),"'"," "),"#"," "),"+"," "),"&amp;"," "),"\"," "))&amp;" "</f>
        <v>  </v>
      </c>
      <c r="CE16" s="68" t="n">
        <f aca="false">IFERROR(IF(AND(LEN(AU16)&gt;0,LEN(AU16)=LEN(AX16),OR(TRIM(MID(SUBSTITUTE(TRIM(CC16)," ",REPT(" ",60)),1,60))="",ISNUMBER(SEARCH(" "&amp;TRIM(MID(SUBSTITUTE(TRIM(CC16)," ",REPT(" ",60)),1,60))&amp;" ",CD16))),OR(TRIM(MID(SUBSTITUTE(TRIM(CC16)," ",REPT(" ",60)),61,60))="",ISNUMBER(SEARCH(" "&amp;TRIM(MID(SUBSTITUTE(TRIM(CC16)," ",REPT(" ",60)),61,60))&amp;" ",CD16))),OR(TRIM(MID(SUBSTITUTE(TRIM(CC16)," ",REPT(" ",60)),121,60))="",ISNUMBER(SEARCH(" "&amp;TRIM(MID(SUBSTITUTE(TRIM(CC16)," ",REPT(" ",60)),121,60))&amp;" ",CD16)))),1,0),0)</f>
        <v>0</v>
      </c>
      <c r="CG16" s="68" t="n">
        <f aca="false">IFERROR(LEN(SUBSTITUTE(BF16," ",""))-SUMPRODUCT((LEN(BF16)-LEN(SUBSTITUTE(BF16," "&amp;L_NAFiller&amp;" "," ")))/(LEN(L_NAFiller)+1)*LEN(L_NAFiller)),0)</f>
        <v>0</v>
      </c>
    </row>
    <row r="17" customFormat="false" ht="39.75" hidden="false" customHeight="true" outlineLevel="0" collapsed="false">
      <c r="A17" s="57" t="s">
        <v>427</v>
      </c>
      <c r="B17" s="57" t="s">
        <v>183</v>
      </c>
      <c r="C17" s="57" t="str">
        <f aca="false">Flights!$F$5</f>
        <v>MH0001</v>
      </c>
      <c r="D17" s="58" t="n">
        <f aca="false">Flights!$D$5</f>
        <v>46303</v>
      </c>
      <c r="E17" s="57" t="str">
        <f aca="false">Flights!$G$5&amp;"-"&amp;Flights!$H$5</f>
        <v>LHR-KUL</v>
      </c>
      <c r="F17" s="57" t="str">
        <f aca="false">Flights!$K$5</f>
        <v>EY</v>
      </c>
      <c r="G17" s="57" t="s">
        <v>420</v>
      </c>
      <c r="H17" s="57" t="s">
        <v>378</v>
      </c>
      <c r="I17" s="57" t="s">
        <v>428</v>
      </c>
      <c r="J17" s="57" t="s">
        <v>429</v>
      </c>
      <c r="K17" s="67"/>
      <c r="L17" s="67" t="s">
        <v>422</v>
      </c>
      <c r="M17" s="67"/>
      <c r="N17" s="67" t="s">
        <v>383</v>
      </c>
      <c r="O17" s="67" t="s">
        <v>423</v>
      </c>
      <c r="P17" s="57" t="s">
        <v>186</v>
      </c>
      <c r="Q17" s="59" t="n">
        <f aca="false">ROUND((Flights!$AE$5)*1440,0)/1440</f>
        <v>46303.3576388889</v>
      </c>
      <c r="R17" s="59" t="n">
        <f aca="false">Q17+(IF(AND(INDEX(TZ_DSTS,MATCH(P17,TZ_STN,0))&lt;&gt;"",Q17&gt;=INDEX(TZ_DSTS,MATCH(P17,TZ_STN,0)),Q17&lt;INDEX(TZ_DSTE,MATCH(P17,TZ_STN,0))),INDEX(TZ_DST,MATCH(P17,TZ_STN,0)),INDEX(TZ_STD,MATCH(P17,TZ_STN,0))))/24</f>
        <v>46303.3993055556</v>
      </c>
      <c r="S17" s="60"/>
      <c r="T17" s="60"/>
      <c r="U17" s="60"/>
      <c r="V17" s="60"/>
      <c r="W17" s="61"/>
      <c r="X17" s="60"/>
      <c r="Y17" s="60"/>
      <c r="Z17" s="60"/>
      <c r="AA17" s="60"/>
      <c r="AB17" s="60"/>
      <c r="AC17" s="60"/>
      <c r="AD17" s="66"/>
      <c r="AE17" s="60"/>
      <c r="AF17" s="61" t="str">
        <f aca="false">IF(AND(ISNUMBER(X17),ISNUMBER(Y17)),Y17-X17,"")</f>
        <v/>
      </c>
      <c r="AG17" s="62" t="str">
        <f aca="false">IF(ISNUMBER(AD17),AD17-(IF(AND(INDEX(TZ_DSTS,MATCH(P17,TZ_STN,0))&lt;&gt;"",(AD17-INDEX(TZ_STD,MATCH(P17,TZ_STN,0))/24)&gt;=INDEX(TZ_DSTS,MATCH(P17,TZ_STN,0)),(AD17-INDEX(TZ_STD,MATCH(P17,TZ_STN,0))/24)&lt;INDEX(TZ_DSTE,MATCH(P17,TZ_STN,0))),INDEX(TZ_DST,MATCH(P17,TZ_STN,0)),INDEX(TZ_STD,MATCH(P17,TZ_STN,0))))/24,"")</f>
        <v/>
      </c>
      <c r="AH17" s="65" t="str">
        <f aca="false">IFERROR(IF(N17="N/A – rule",IF(OR(TRIM(U17)="",TRIM(U17)="N/A",TRIM(U17)="Not started"),"N/A – RULE","INVALID – this check does not apply to this aircraft: clear the status (or correct the fleet on Flights)"),IF(TRIM(U17)="N/A",IF(AT17=0,"INVALID – N/A not permitted for this check",IF(AND(TRIM(AB17)&lt;&gt;"",TRIM(AB17)&lt;&gt;"Closed"),"INVALID – corrective action still open",IF(AND(NOT(OR(LEN(AZ17)&lt;15,ISNUMBER(MATCH(AZ17,L_Placeholder,0)))),BK17=0,CG17&gt;=8,NOT(OR(LEN(AU17)&lt;2,ISNUMBER(MATCH(AU17,L_Placeholder,0)))),BR17&gt;=3,NOT(OR(LEN(AX17)&lt;2,ISNUMBER(MATCH(AX17,L_Placeholder,0)))),BS17&gt;=3,TRIM(AE17)&lt;&gt;TRIM(T17),AX17&lt;&gt;AU17,CE17=0),"N/A – JUSTIFIED","INVALID – N/A needs a real, settled reason (not 'not applicable' / 'as above' / TBC), a named PIC and a different named verifier"))),IF(OR(TRIM(U17)="Pass",TRIM(U17)="Pass after CA"),IF(NOT(ISNUMBER(AD17)),"INVALID – completion time missing",IF(OR(OR(LEN(AU17)&lt;2,ISNUMBER(MATCH(AU17,L_Placeholder,0))),BR17&lt;3),"INVALID – PIC missing or not a named person (a role such as QA / CSM is not a name)",IF(OR(LEN(AV17)&lt;2,ISNUMBER(MATCH(AV17,L_Placeholder,0))),"INVALID – result / assessment missing",IF(OR(OR(LEN(AW17)&lt;3,ISNUMBER(MATCH(AW17,L_Placeholder,0))),SUMPRODUCT(--ISNUMBER(SEARCH(" "&amp;L_EvidencePhrase&amp;" ",BD17)))&gt;0,BI17=1),"INVALID – evidence missing, placeholder or not yet on file",IF(ISNA(MATCH(TRIM(S17),L_EvidenceType,0)),"INVALID – choose the evidence type from the list (column S)",IF(BL17=0,"INVALID – evidence ID must be the record's own ID only (e.g. SF-2210, IMG_2231, 1045521); a link / file name needs type 'Link / file path'",IF(OR(OR(LEN(AX17)&lt;2,ISNUMBER(MATCH(AX17,L_Placeholder,0))),BS17&lt;3),"INVALID – verifier missing or not a named person (a role such as QA / CSM is not a name)",IF(OR(AX17=AU17,CE17=1,AND(LEN(AU17)&gt;=4,ISNUMBER(SEARCH(AU17,AX17))),AND(LEN(AX17)&gt;=4,ISNUMBER(SEARCH(AX17,AU17)))),"INVALID – verifier must be a different, named person (not the PIC or a role)",IF(BH17=1,"INVALID – result not yet available (awaiting / TBC)",IF(BG17=1,"INVALID – result describes a problem: record Fail, then Pass after CA (or reword if it is not a problem)",IF(BV17=1,"INVALID – wording says not on board: an on-board confirmation needs the item loaded",IF(AND(AQ17=1,OR(OR(LEN(AY17)&lt;3,ISNUMBER(MATCH(AY17,L_Placeholder,0))),BJ17=1,BQ17=0)),"INVALID – batch ID missing, placeholder or not an ID (e.g. PASB-261008-BC-017)",IF(AND(AR17=1,OR(NOT(ISNUMBER(X17)),NOT(ISNUMBER(Y17)))),"INVALID – expected/actual qty missing",IF(AND(AR17=1,OR(X17&lt;=0,Y17&lt;0)),"INVALID – expected qty must be above 0 and actual not negative",IF(BB17&lt;&gt;"",BB17,IF(AND(AS17=1,Documents!$J$5&lt;&gt;"ON FILE"),"INVALID – GLD not on file (Documents sheet)",IF(AND(AS17=2,Documents!$O$5&lt;&gt;"ON FILE"),"INVALID – menu checklist not on file (Documents sheet)",IF(AND(AS17=3,NOT(ISNUMBER(Flights!$AX$5))),"INVALID – enter carrying flight KUL departure (Flights AX)",IF(AND(AS17=3,OR(Flights!$AZ$5&gt;Flights!$AA$5,Flights!$AX$5&lt;Flights!$AA$5-3)),"INVALID – carrying flight (Flights AX) cannot arrive before this leg's STD, or is over 3 days early",IF(AG17&gt;AsOfUTC,"INVALID – completion time is in the future",IF(AND(ISNUMBER(BY17),AG17&lt;BY17),IF(H17="Physical uplift","INVALID – before uplift window (cannot confirm loading)","INVALID – before valid window"),IF(AG17&gt;Flights!$AA$5,"INVALID – completed after departure (cannot establish readiness)",IF(AND(H17="Preparation",AG17&gt;=IF(ISNUMBER(Flights!$BA$5),MIN(Flights!$BA$5,Flights!$AA$5),Flights!$AA$5)),"INVALID – completed after loading / departure (cannot establish readiness)",IF(AND(H17="Physical uplift",AG17&gt;Q17),"INVALID – recorded after the loading flight departed",IF(AG17&gt;Q17,"COMPLETE – LATE","COMPLETE"))))))))))))))))))))))))),IF(TRIM(U17)="Fail","FAIL – DISCREPANCY",IF(AND(TRIM(U17)&lt;&gt;"",TRIM(U17)&lt;&gt;"Not started",TRIM(U17)&lt;&gt;"In progress"),"INVALID – unrecognised status (use the list)",IF(AsOfUTC&gt;Q17,"OVERDUE",IF(N17="Clarification required","OPEN – CLARIFICATION","OPEN"))))))),"INVALID – error value in an input cell")</f>
        <v>OPEN</v>
      </c>
      <c r="AI17" s="61" t="n">
        <f aca="false">IF(OR(AH17="N/A – RULE",AH17="N/A – JUSTIFIED"),0,1)</f>
        <v>1</v>
      </c>
      <c r="AJ17" s="61" t="n">
        <f aca="false">IF(LEFT(AH17,8)="COMPLETE",1,0)</f>
        <v>0</v>
      </c>
      <c r="AK17" s="61" t="n">
        <f aca="false">IF(AND(AI17=1,AJ17=0,AsOfUTC&gt;Q17),1,0)</f>
        <v>0</v>
      </c>
      <c r="AL17" s="61" t="n">
        <f aca="false">IFERROR(IF(AND(AI17=1,OR(TRIM(U17)="Fail",AND(TRIM(AB17)&lt;&gt;"",TRIM(AB17)&lt;&gt;"Closed"),AND(ISNUMBER(AF17),AF17&lt;&gt;0,TRIM(U17)&lt;&gt;"Pass after CA"))),1,0),1)</f>
        <v>0</v>
      </c>
      <c r="AM17" s="61" t="n">
        <f aca="false">IF(LEFT(AH17,7)="INVALID",1,0)</f>
        <v>0</v>
      </c>
      <c r="AN17" s="61" t="n">
        <f aca="false">IF(AND(N17="Clarification required",AI17=1,AJ17=0),1,0)</f>
        <v>0</v>
      </c>
      <c r="AO17" s="61" t="str">
        <f aca="false">IF(AK17=1,SUM(AK$5:AK17),"")</f>
        <v/>
      </c>
      <c r="AP17" s="61" t="str">
        <f aca="false">IF(AL17=1,SUM(AL$5:AL17),"")</f>
        <v/>
      </c>
      <c r="AQ17" s="61" t="n">
        <v>0</v>
      </c>
      <c r="AR17" s="61" t="n">
        <v>0</v>
      </c>
      <c r="AS17" s="61" t="n">
        <v>0</v>
      </c>
      <c r="AT17" s="61" t="n">
        <v>0</v>
      </c>
      <c r="AU17" s="61" t="str">
        <f aca="false">SUBSTITUTE(SUBSTITUTE(SUBSTITUTE(SUBSTITUTE(SUBSTITUTE(SUBSTITUTE(SUBSTITUTE(SUBSTITUTE(SUBSTITUTE(SUBSTITUTE(SUBSTITUTE(SUBSTITUTE(SUBSTITUTE(SUBSTITUTE(SUBSTITUTE(SUBSTITUTE(LOWER(T17&amp;""),CHAR(10),""),CHAR(13),""),CHAR(9),""),CHAR(160),"")," ",""),".",""),"-",""),"/",""),"?",""),"_",""),",",""),"[",""),"]",""),"(",""),")",""),"*","")</f>
        <v/>
      </c>
      <c r="AV17" s="61" t="str">
        <f aca="false">SUBSTITUTE(SUBSTITUTE(SUBSTITUTE(SUBSTITUTE(SUBSTITUTE(SUBSTITUTE(SUBSTITUTE(SUBSTITUTE(SUBSTITUTE(SUBSTITUTE(SUBSTITUTE(SUBSTITUTE(SUBSTITUTE(SUBSTITUTE(SUBSTITUTE(SUBSTITUTE(LOWER(V17&amp;""),CHAR(10),""),CHAR(13),""),CHAR(9),""),CHAR(160),"")," ",""),".",""),"-",""),"/",""),"?",""),"_",""),",",""),"[",""),"]",""),"(",""),")",""),"*","")</f>
        <v/>
      </c>
      <c r="AW17" s="61" t="str">
        <f aca="false">SUBSTITUTE(SUBSTITUTE(SUBSTITUTE(SUBSTITUTE(SUBSTITUTE(SUBSTITUTE(SUBSTITUTE(SUBSTITUTE(SUBSTITUTE(SUBSTITUTE(SUBSTITUTE(SUBSTITUTE(SUBSTITUTE(SUBSTITUTE(SUBSTITUTE(SUBSTITUTE(LOWER(Z17&amp;""),CHAR(10),""),CHAR(13),""),CHAR(9),""),CHAR(160),"")," ",""),".",""),"-",""),"/",""),"?",""),"_",""),",",""),"[",""),"]",""),"(",""),")",""),"*","")</f>
        <v/>
      </c>
      <c r="AX17" s="61" t="str">
        <f aca="false">SUBSTITUTE(SUBSTITUTE(SUBSTITUTE(SUBSTITUTE(SUBSTITUTE(SUBSTITUTE(SUBSTITUTE(SUBSTITUTE(SUBSTITUTE(SUBSTITUTE(SUBSTITUTE(SUBSTITUTE(SUBSTITUTE(SUBSTITUTE(SUBSTITUTE(SUBSTITUTE(LOWER(AE17&amp;""),CHAR(10),""),CHAR(13),""),CHAR(9),""),CHAR(160),"")," ",""),".",""),"-",""),"/",""),"?",""),"_",""),",",""),"[",""),"]",""),"(",""),")",""),"*","")</f>
        <v/>
      </c>
      <c r="AY17" s="61" t="str">
        <f aca="false">SUBSTITUTE(SUBSTITUTE(SUBSTITUTE(SUBSTITUTE(SUBSTITUTE(SUBSTITUTE(SUBSTITUTE(SUBSTITUTE(SUBSTITUTE(SUBSTITUTE(SUBSTITUTE(SUBSTITUTE(SUBSTITUTE(SUBSTITUTE(SUBSTITUTE(SUBSTITUTE(LOWER(W17&amp;""),CHAR(10),""),CHAR(13),""),CHAR(9),""),CHAR(160),"")," ",""),".",""),"-",""),"/",""),"?",""),"_",""),",",""),"[",""),"]",""),"(",""),")",""),"*","")</f>
        <v/>
      </c>
      <c r="AZ17" s="61" t="str">
        <f aca="false">SUBSTITUTE(SUBSTITUTE(SUBSTITUTE(SUBSTITUTE(SUBSTITUTE(SUBSTITUTE(SUBSTITUTE(SUBSTITUTE(SUBSTITUTE(SUBSTITUTE(SUBSTITUTE(SUBSTITUTE(SUBSTITUTE(SUBSTITUTE(SUBSTITUTE(SUBSTITUTE(LOWER(AC17&amp;""),CHAR(10),""),CHAR(13),""),CHAR(9),""),CHAR(160),"")," ",""),".",""),"-",""),"/",""),"?",""),"_",""),",",""),"[",""),"]",""),"(",""),")",""),"*","")</f>
        <v/>
      </c>
      <c r="BA17" s="61" t="str">
        <f aca="false">SUBSTITUTE(SUBSTITUTE(SUBSTITUTE(SUBSTITUTE(SUBSTITUTE(SUBSTITUTE(SUBSTITUTE(SUBSTITUTE(SUBSTITUTE(SUBSTITUTE(SUBSTITUTE(SUBSTITUTE(SUBSTITUTE(SUBSTITUTE(SUBSTITUTE(SUBSTITUTE(LOWER(AA17&amp;""),CHAR(10),""),CHAR(13),""),CHAR(9),""),CHAR(160),"")," ",""),".",""),"-",""),"/",""),"?",""),"_",""),",",""),"[",""),"]",""),"(",""),")",""),"*","")</f>
        <v/>
      </c>
      <c r="BB17" s="61" t="str">
        <f aca="false">IF(AND(TRIM(U17)="Pass",ISNUMBER(AF17)),IF(AF17&lt;&gt;0,"INVALID – qty variance: use Fail or Pass after CA",""),"")&amp;IF(AND(TRIM(U17)="Pass after CA",ISNUMBER(AF17)),IF(AF17&lt;&gt;0,"INVALID – after the corrective action the actual qty must equal expected (update Actual)",""),"")&amp;IF(AND(TRIM(U17)="Pass",TRIM(AB17)&lt;&gt;"",TRIM(AB17)&lt;&gt;"Closed"),"INVALID – corrective action not closed: use Fail, then Pass after CA","")&amp;IF(AND(LEN(BA17)&gt;=2,ISNA(MATCH(LEFT(BA17,255),L_Placeholder,0)),TRIM(AB17)=""),"INVALID – CA status missing for the recorded corrective action","")&amp;IF(AND(TRIM(U17)="Pass after CA",OR(OR(LEN(BA17)&lt;5,ISNUMBER(MATCH(BA17,L_Placeholder,0))),TRIM(AB17)&lt;&gt;"Closed")),"INVALID – corrective action not recorded/closed","")</f>
        <v/>
      </c>
      <c r="BC17" s="61" t="str">
        <f aca="false">" "&amp;TRIM(SUBSTITUTE(SUBSTITUTE(SUBSTITUTE(SUBSTITUTE(SUBSTITUTE(SUBSTITUTE(SUBSTITUTE(SUBSTITUTE(SUBSTITUTE(SUBSTITUTE(SUBSTITUTE(SUBSTITUTE(SUBSTITUTE(SUBSTITUTE(SUBSTITUTE(SUBSTITUTE(SUBSTITUTE(SUBSTITUTE(SUBSTITUTE(SUBSTITUTE(SUBSTITUTE(SUBSTITUTE(SUBSTITUTE(SUBSTITUTE(LOWER(V17&amp;""),CHAR(10)," "),CHAR(13)," "),CHAR(9)," "),CHAR(160)," "),"."," "),","," "),"-"," "),"/"," "),"("," "),")"," "),":"," "),";"," "),"_"," "),"–"," "),"?"," "),"!"," "),"*"," "),"["," "),"]"," "),"'"," "),"#"," "),"+"," "),"&amp;"," "),"\"," "))&amp;" "</f>
        <v>  </v>
      </c>
      <c r="BD17" s="61" t="str">
        <f aca="false">" "&amp;TRIM(SUBSTITUTE(SUBSTITUTE(SUBSTITUTE(SUBSTITUTE(SUBSTITUTE(SUBSTITUTE(SUBSTITUTE(SUBSTITUTE(SUBSTITUTE(SUBSTITUTE(SUBSTITUTE(SUBSTITUTE(SUBSTITUTE(SUBSTITUTE(SUBSTITUTE(SUBSTITUTE(SUBSTITUTE(SUBSTITUTE(SUBSTITUTE(SUBSTITUTE(SUBSTITUTE(SUBSTITUTE(SUBSTITUTE(SUBSTITUTE(LOWER(Z17&amp;""),CHAR(10)," "),CHAR(13)," "),CHAR(9)," "),CHAR(160)," "),"."," "),","," "),"-"," "),"/"," "),"("," "),")"," "),":"," "),";"," "),"_"," "),"–"," "),"?"," "),"!"," "),"*"," "),"["," "),"]"," "),"'"," "),"#"," "),"+"," "),"&amp;"," "),"\"," "))&amp;" "</f>
        <v>  </v>
      </c>
      <c r="BE17" s="61" t="str">
        <f aca="false">" "&amp;TRIM(SUBSTITUTE(SUBSTITUTE(SUBSTITUTE(SUBSTITUTE(SUBSTITUTE(SUBSTITUTE(SUBSTITUTE(SUBSTITUTE(SUBSTITUTE(SUBSTITUTE(SUBSTITUTE(SUBSTITUTE(SUBSTITUTE(SUBSTITUTE(SUBSTITUTE(SUBSTITUTE(SUBSTITUTE(SUBSTITUTE(SUBSTITUTE(SUBSTITUTE(SUBSTITUTE(SUBSTITUTE(SUBSTITUTE(SUBSTITUTE(LOWER(W17&amp;""),CHAR(10)," "),CHAR(13)," "),CHAR(9)," "),CHAR(160)," "),"."," "),","," "),"-"," "),"/"," "),"("," "),")"," "),":"," "),";"," "),"_"," "),"–"," "),"?"," "),"!"," "),"*"," "),"["," "),"]"," "),"'"," "),"#"," "),"+"," "),"&amp;"," "),"\"," "))&amp;" "</f>
        <v>  </v>
      </c>
      <c r="BF17" s="61" t="str">
        <f aca="false">" "&amp;TRIM(SUBSTITUTE(SUBSTITUTE(SUBSTITUTE(SUBSTITUTE(SUBSTITUTE(SUBSTITUTE(SUBSTITUTE(SUBSTITUTE(SUBSTITUTE(SUBSTITUTE(SUBSTITUTE(SUBSTITUTE(SUBSTITUTE(SUBSTITUTE(SUBSTITUTE(SUBSTITUTE(SUBSTITUTE(SUBSTITUTE(SUBSTITUTE(SUBSTITUTE(SUBSTITUTE(SUBSTITUTE(SUBSTITUTE(SUBSTITUTE(LOWER(AC17&amp;""),CHAR(10)," "),CHAR(13)," "),CHAR(9)," "),CHAR(160)," "),"."," "),","," "),"-"," "),"/"," "),"("," "),")"," "),":"," "),";"," "),"_"," "),"–"," "),"?"," "),"!"," "),"*"," "),"["," "),"]"," "),"'"," "),"#"," "),"+"," "),"&amp;"," "),"\"," "))&amp;" "</f>
        <v>  </v>
      </c>
      <c r="BG17" s="61" t="n">
        <f aca="false">IFERROR(IF(AND(TRIM(U17)="Pass",SUMPRODUCT((LEN(BC17)-LEN(SUBSTITUTE(BC17," "&amp;L_ResultBad&amp;" "," ")))/(LEN(L_ResultBad)+1))&gt;SUMPRODUCT((LEN(BC17)-LEN(SUBSTITUTE(BC17," "&amp;L_NegPhrase&amp;" "," ")))/(LEN(L_NegPhrase)+1))),1,0),0)</f>
        <v>0</v>
      </c>
      <c r="BH17" s="61" t="n">
        <f aca="false">IFERROR(IF(SUMPRODUCT((LEN(BC17)-LEN(SUBSTITUTE(BC17," "&amp;L_Pending&amp;" "," ")))/(LEN(L_Pending)+1))&gt;SUMPRODUCT((LEN(BC17)-LEN(SUBSTITUTE(BC17," "&amp;L_PendNeg&amp;" "," ")))/(LEN(L_PendNeg)+1))+SUMPRODUCT((LEN(BC17)-LEN(SUBSTITUTE(BC17," "&amp;L_PendPrep&amp;" "," ")))/(LEN(L_PendPrep)+1)),1,0),1)</f>
        <v>0</v>
      </c>
      <c r="BI17" s="61" t="n">
        <f aca="false">IFERROR(IF(SUMPRODUCT((LEN(BD17)-LEN(SUBSTITUTE(BD17," "&amp;L_PendStrict&amp;" "," ")))/(LEN(L_PendStrict)+1))&gt;SUMPRODUCT((LEN(BD17)-LEN(SUBSTITUTE(BD17," "&amp;L_PendNeg&amp;" "," ")))/(LEN(L_PendNeg)+1)),1,0),1)</f>
        <v>0</v>
      </c>
      <c r="BJ17" s="61" t="n">
        <f aca="false">IFERROR(IF(SUMPRODUCT((LEN(BE17)-LEN(SUBSTITUTE(BE17," "&amp;L_Pending&amp;" "," ")))/(LEN(L_Pending)+1))&gt;SUMPRODUCT((LEN(BE17)-LEN(SUBSTITUTE(BE17," "&amp;L_PendNeg&amp;" "," ")))/(LEN(L_PendNeg)+1))+SUMPRODUCT((LEN(BE17)-LEN(SUBSTITUTE(BE17," "&amp;L_PendPrep&amp;" "," ")))/(LEN(L_PendPrep)+1)),1,0),1)</f>
        <v>0</v>
      </c>
      <c r="BK17" s="61" t="n">
        <f aca="false">IFERROR(IF(SUMPRODUCT((LEN(BF17)-LEN(SUBSTITUTE(BF17," "&amp;L_PendStrict&amp;" "," ")))/(LEN(L_PendStrict)+1))&gt;SUMPRODUCT((LEN(BF17)-LEN(SUBSTITUTE(BF17," "&amp;L_PendNeg&amp;" "," ")))/(LEN(L_PendNeg)+1)),1,0),1)</f>
        <v>0</v>
      </c>
      <c r="BL17" s="61" t="n">
        <f aca="false">IF(ISNA(MATCH(TRIM(S17),L_EvidenceType,0)),0,BZ17)</f>
        <v>0</v>
      </c>
      <c r="BM17" s="61" t="str">
        <f aca="false">SUBSTITUTE(SUBSTITUTE(SUBSTITUTE(SUBSTITUTE(SUBSTITUTE(SUBSTITUTE(SUBSTITUTE(SUBSTITUTE(SUBSTITUTE(LOWER(Z17&amp;""),"1","0"),"2","0"),"3","0"),"4","0"),"5","0"),"6","0"),"7","0"),"8","0"),"9","0")</f>
        <v/>
      </c>
      <c r="BN17" s="61" t="str">
        <f aca="false">SUBSTITUTE(SUBSTITUTE(SUBSTITUTE(SUBSTITUTE(SUBSTITUTE(SUBSTITUTE(SUBSTITUTE(SUBSTITUTE(SUBSTITUTE(SUBSTITUTE(SUBSTITUTE(SUBSTITUTE(SUBSTITUTE(SUBSTITUTE(SUBSTITUTE(SUBSTITUTE(SUBSTITUTE(SUBSTITUTE(SUBSTITUTE(SUBSTITUTE(SUBSTITUTE(SUBSTITUTE(SUBSTITUTE(SUBSTITUTE(SUBSTITUTE(BM17,"b","a"),"c","a"),"d","a"),"e","a"),"f","a"),"g","a"),"h","a"),"i","a"),"j","a"),"k","a"),"l","a"),"m","a"),"n","a"),"o","a"),"p","a"),"q","a"),"r","a"),"s","a"),"t","a"),"u","a"),"v","a"),"w","a"),"x","a"),"y","a"),"z","a")</f>
        <v/>
      </c>
      <c r="BO17" s="61" t="str">
        <f aca="false">SUBSTITUTE(SUBSTITUTE(SUBSTITUTE(SUBSTITUTE(SUBSTITUTE(SUBSTITUTE(SUBSTITUTE(SUBSTITUTE(SUBSTITUTE(LOWER(W17&amp;""),"1","0"),"2","0"),"3","0"),"4","0"),"5","0"),"6","0"),"7","0"),"8","0"),"9","0")</f>
        <v/>
      </c>
      <c r="BP17" s="61" t="str">
        <f aca="false">SUBSTITUTE(SUBSTITUTE(SUBSTITUTE(SUBSTITUTE(SUBSTITUTE(SUBSTITUTE(SUBSTITUTE(SUBSTITUTE(SUBSTITUTE(SUBSTITUTE(SUBSTITUTE(SUBSTITUTE(SUBSTITUTE(SUBSTITUTE(SUBSTITUTE(SUBSTITUTE(SUBSTITUTE(SUBSTITUTE(SUBSTITUTE(SUBSTITUTE(SUBSTITUTE(SUBSTITUTE(SUBSTITUTE(SUBSTITUTE(SUBSTITUTE(BO17,"b","a"),"c","a"),"d","a"),"e","a"),"f","a"),"g","a"),"h","a"),"i","a"),"j","a"),"k","a"),"l","a"),"m","a"),"n","a"),"o","a"),"p","a"),"q","a"),"r","a"),"s","a"),"t","a"),"u","a"),"v","a"),"w","a"),"x","a"),"y","a"),"z","a")</f>
        <v/>
      </c>
      <c r="BQ17" s="61" t="n">
        <f aca="false">IFERROR(IF(AND(ISERROR(SEARCH(" mh"," "&amp;LOWER(W17))),ISNA(MATCH(LEFT(TRIM(BP17),255),{"0000a","000a","00a","0000aa","000aa","00aa","0aa","0000aaa","000aaa","00a00","0a00","0000-0000","00:00","a00","a0","00.00.0000","00/00/0000","00-00-0000","0000-00-00","0000/00/00","0000.00.00","00.00.00","00/00/00","00-00-00","0.00.0000","0/00/0000","0-00-0000"},0)),ISNA(MATCH(LEFT(TRIM(CA17),255),{"0000a","000a","00a","0000aa","000aa","00aa","0aa","0000aaa","000aaa","00a00","0a00","0000-0000","00:00","a00","a0","00.00.0000","00/00/0000","00-00-0000","0000-00-00","0000/00/00","0000.00.00","00.00.00","00/00/00","00-00-00","0.00.0000","0/00/0000","0-00-0000"},0)),LEN(CB17)&gt;=3,NOT(OR(SUBSTITUTE(CB17,"0","")="",AND(LEN(CB17)&gt;=4,CB17=REPT(LEFT(CB17),LEN(CB17))),ISNUMBER(MATCH(CB17,{"123","1234","12345","123456","1234567","12345678","0123","01234","012345","98765","987654","54321"},0)),AND(LEN(CB17)=8,LEFT(CB17,3)="202"))),OR(AND((LEN(CA17)-LEN(SUBSTITUTE(CA17,"a","")))&gt;=1,SUMPRODUCT(--ISNUMBER(SEARCH({"a0","a-0","a_0","a/0","a.0","a#0","0a","0-a","0_a","0/a"},BP17)))&gt;0),ISNUMBER(SEARCH("000000",BP17)))),1,0),0)</f>
        <v>0</v>
      </c>
      <c r="BR17" s="61" t="n">
        <f aca="false">IFERROR(LEN(SUBSTITUTE(CC17," ",""))-SUMPRODUCT((LEN(CC17)-LEN(SUBSTITUTE(CC17," "&amp;L_Role&amp;" "," ")))/(LEN(L_Role)+1)*LEN(L_Role)),0)</f>
        <v>0</v>
      </c>
      <c r="BS17" s="61" t="n">
        <f aca="false">IFERROR(LEN(SUBSTITUTE(CD17," ",""))-SUMPRODUCT((LEN(CD17)-LEN(SUBSTITUTE(CD17," "&amp;L_Role&amp;" "," ")))/(LEN(L_Role)+1)*LEN(L_Role)),0)</f>
        <v>0</v>
      </c>
      <c r="BT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revision",""),"version",""),"jan",""),"feb",""),"mar",""),"apr",""),"may",""),"jun",""),"jul",""),"aug",""),"sep",""),"oct",""),"nov",""),"dec",""),"utc",""),"gmt",""),"myt",""),"bst",""),"rev",""),"ver",""),"b","a"),"c","a"),"d","a"),"e","a"),"f","a"),"g","a"),"h","a"),"i","a"),"j","a"),"k","a"),"l","a"),"m","a"),"n","a"),"o","a"),"p","a"),"q","a"),"r","a"),"s","a"),"t","a"),"u","a"),"v","a"),"w","a"),"x","a"),"y","a"),"z","a")</f>
        <v/>
      </c>
      <c r="BU17" s="61" t="str">
        <f aca="false">SUBSTITUTE(SUBSTITUTE(SUBSTITUTE(SUBSTITUTE(SUBSTITUTE(SUBSTITUTE(SUBSTITUTE(SUBSTITUTE(SUBSTITUTE(SUBSTITUTE(LEFT(BM17,FIND("0",BM17&amp;"0")-1),"-",""),"_",""),"/",""),".",""),"#",""),"\\",""),":","")," ",""),"(",""),")","")</f>
        <v/>
      </c>
      <c r="BV17" s="61" t="n">
        <f aca="false">0</f>
        <v>0</v>
      </c>
      <c r="BW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amp;""),"a",""),"b",""),"c",""),"d",""),"e",""),"f",""),"g",""),"h",""),"i",""),"j",""),"k",""),"l",""),"m",""),"n",""),"o",""),"p",""),"q",""),"r",""),"s",""),"t",""),"u",""),"v",""),"w",""),"x",""),"y",""),"z",""),"-",""),"_",""),"/",""),".",""),"#",""),"\\",""),":","")," ",""),"(",""),")","")</f>
        <v/>
      </c>
      <c r="BX17" s="61" t="str">
        <f aca="false">SUBSTITUTE(SUBSTITUTE(SUBSTITUTE(SUBSTITUTE(SUBSTITUTE(SUBSTITUTE(SUBSTITUTE(SUBSTITUTE(SUBSTITUTE(SUBSTITUTE(SUBSTITUTE(BM17,"0",""),"-",""),"_",""),"/",""),".",""),"#",""),"\\",""),":","")," ",""),"(",""),")","")</f>
        <v/>
      </c>
      <c r="BY17" s="62" t="n">
        <f aca="false">Q17-T12EarlyH/24</f>
        <v>46302.8576388889</v>
      </c>
      <c r="BZ17" s="61" t="n">
        <f aca="false">IFERROR(IF(IF(TRIM(S17)="Link / file path",AND(LEN(TRIM(Z17))&gt;=5,SUMPRODUCT(--ISNUMBER(SEARCH({"http","www.","\\",":\",".pdf",".jpg",".jpeg",".png",".heic",".xls",".doc",".msg",".eml",".ppt",".txt",".zip"},Z17)))&gt;0),AND(ISERROR(FIND(" ",TRIM(Z17))),NOT(OR(SUMPRODUCT(--ISNUMBER(FIND({",",";","&amp;","+"},Z17)))&gt;0,SUMPRODUCT(--ISNUMBER(SEARCH({"0/aa","0\\aa"},BN17)))&gt;0)),NOT(SUMPRODUCT(--ISNUMBER(SEARCH({"http","www.","\\",":\",".pdf",".jpg",".jpeg",".png",".heic",".xls",".doc",".msg",".eml",".ppt",".txt",".zip"},Z17)))&gt;0),NOT(LOWER(TRIM(Z17))=LOWER(Flights!$F$5)),ISNA(MATCH(BU17,{"mh","rev","revision","ver","version","v","r","a","b","seat","tray","row","gate","bay","stand","page","pg","item","line","no","cart","galley","flight","flt","table","box","bag","oven","etd","eta","std","sta","atd","ata","qty","pax","x","time","tel","ph","mob","day","wk","week","utc","gmt","myt","lt"},0)),NOT(OR(ISNUMBER(MATCH(LEFT(BN17,255),{"0000a","000a","00a","0000aa","000aa","00aa","0aa","0000aaa","000aaa","00a00","0a00","0000-0000","00:00","a00","a0","00.00.0000","00/00/0000","00-00-0000","0000-00-00","0000/00/00","0000.00.00","00.00.00","00/00/00","00-00-00","0.00.0000","0/00/0000","0-00-0000"},0)),ISNUMBER(MATCH(LEFT(BT17,255),{"0000a","000a","00a","0000aa","000aa","00aa","0aa","0000aaa","000aaa","00a00","0a00","0000-0000","00:00","a00","a0","00.00.0000","00/00/0000","00-00-0000","0000-00-00","0000/00/00","0000.00.00","00.00.00","00/00/00","00-00-00","0.00.0000","0/00/0000","0-00-0000"},0)))),NOT(OR(AND(BW17&lt;&gt;"",SUBSTITUTE(BW17,"0","")=""),AND(LEN(BW17)&gt;=4,BW17=REPT(LEFT(BW17),LEN(BW17))),ISNUMBER(MATCH(BW17,{"123","1234","12345","123456","1234567","12345678","0123","01234","012345","98765","987654","54321"},0)),ISNUMBER(MATCH(BX17,{"x","xx","xxx","xxxx","xxxxx","abc","abcd","nil","na","nan","test","tbc","tba","tbd","dummy","sample","example","eg","zz","zzz","none","null","xyz","qwe","asd","id","ref"},0)),AND(LEN(BW17)=8,BX17="",OR(LEFT(BW17,3)="202",ISNUMBER(MATCH(RIGHT(BW17,4),{"2025","2026","2027"},0)))))),OR(AND((LEN(BT17)-LEN(SUBSTITUTE(BT17,"a","")))&gt;=1,(LEN(BN17)-LEN(SUBSTITUTE(BN17,"0","")))&gt;=2,SUMPRODUCT(--ISNUMBER(SEARCH({"a0","a-0","a_0","a/0","a.0","a#0","0a","0-a","0_a","0/a"},BN17)))&gt;0),AND((LEN(BN17)-LEN(SUBSTITUTE(BN17,"a","")))=0,(LEN(BN17)-LEN(SUBSTITUTE(BN17,"0","")))&gt;=5)))),1,0),0)</f>
        <v>0</v>
      </c>
      <c r="CA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revision",""),"version",""),"jan",""),"feb",""),"mar",""),"apr",""),"may",""),"jun",""),"jul",""),"aug",""),"sep",""),"oct",""),"nov",""),"dec",""),"utc",""),"gmt",""),"myt",""),"bst",""),"rev",""),"ver",""),"b","a"),"c","a"),"d","a"),"e","a"),"f","a"),"g","a"),"h","a"),"i","a"),"j","a"),"k","a"),"l","a"),"m","a"),"n","a"),"o","a"),"p","a"),"q","a"),"r","a"),"s","a"),"t","a"),"u","a"),"v","a"),"w","a"),"x","a"),"y","a"),"z","a")</f>
        <v/>
      </c>
      <c r="CB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amp;""),"a",""),"b",""),"c",""),"d",""),"e",""),"f",""),"g",""),"h",""),"i",""),"j",""),"k",""),"l",""),"m",""),"n",""),"o",""),"p",""),"q",""),"r",""),"s",""),"t",""),"u",""),"v",""),"w",""),"x",""),"y",""),"z",""),"-",""),"_",""),"/",""),".",""),"#",""),"\\",""),":","")," ",""),"(",""),")","")</f>
        <v/>
      </c>
      <c r="CC17" s="0" t="str">
        <f aca="false">" "&amp;TRIM(SUBSTITUTE(SUBSTITUTE(SUBSTITUTE(SUBSTITUTE(SUBSTITUTE(SUBSTITUTE(SUBSTITUTE(SUBSTITUTE(SUBSTITUTE(SUBSTITUTE(SUBSTITUTE(SUBSTITUTE(SUBSTITUTE(SUBSTITUTE(SUBSTITUTE(SUBSTITUTE(SUBSTITUTE(SUBSTITUTE(SUBSTITUTE(SUBSTITUTE(SUBSTITUTE(SUBSTITUTE(SUBSTITUTE(SUBSTITUTE(LOWER(T17&amp;""),CHAR(10)," "),CHAR(13)," "),CHAR(9)," "),CHAR(160)," "),"."," "),","," "),"-"," "),"/"," "),"("," "),")"," "),":"," "),";"," "),"_"," "),"–"," "),"?"," "),"!"," "),"*"," "),"["," "),"]"," "),"'"," "),"#"," "),"+"," "),"&amp;"," "),"\"," "))&amp;" "</f>
        <v>  </v>
      </c>
      <c r="CD17" s="0" t="str">
        <f aca="false">" "&amp;TRIM(SUBSTITUTE(SUBSTITUTE(SUBSTITUTE(SUBSTITUTE(SUBSTITUTE(SUBSTITUTE(SUBSTITUTE(SUBSTITUTE(SUBSTITUTE(SUBSTITUTE(SUBSTITUTE(SUBSTITUTE(SUBSTITUTE(SUBSTITUTE(SUBSTITUTE(SUBSTITUTE(SUBSTITUTE(SUBSTITUTE(SUBSTITUTE(SUBSTITUTE(SUBSTITUTE(SUBSTITUTE(SUBSTITUTE(SUBSTITUTE(LOWER(AE17&amp;""),CHAR(10)," "),CHAR(13)," "),CHAR(9)," "),CHAR(160)," "),"."," "),","," "),"-"," "),"/"," "),"("," "),")"," "),":"," "),";"," "),"_"," "),"–"," "),"?"," "),"!"," "),"*"," "),"["," "),"]"," "),"'"," "),"#"," "),"+"," "),"&amp;"," "),"\"," "))&amp;" "</f>
        <v>  </v>
      </c>
      <c r="CE17" s="68" t="n">
        <f aca="false">IFERROR(IF(AND(LEN(AU17)&gt;0,LEN(AU17)=LEN(AX17),OR(TRIM(MID(SUBSTITUTE(TRIM(CC17)," ",REPT(" ",60)),1,60))="",ISNUMBER(SEARCH(" "&amp;TRIM(MID(SUBSTITUTE(TRIM(CC17)," ",REPT(" ",60)),1,60))&amp;" ",CD17))),OR(TRIM(MID(SUBSTITUTE(TRIM(CC17)," ",REPT(" ",60)),61,60))="",ISNUMBER(SEARCH(" "&amp;TRIM(MID(SUBSTITUTE(TRIM(CC17)," ",REPT(" ",60)),61,60))&amp;" ",CD17))),OR(TRIM(MID(SUBSTITUTE(TRIM(CC17)," ",REPT(" ",60)),121,60))="",ISNUMBER(SEARCH(" "&amp;TRIM(MID(SUBSTITUTE(TRIM(CC17)," ",REPT(" ",60)),121,60))&amp;" ",CD17)))),1,0),0)</f>
        <v>0</v>
      </c>
      <c r="CG17" s="68" t="n">
        <f aca="false">IFERROR(LEN(SUBSTITUTE(BF17," ",""))-SUMPRODUCT((LEN(BF17)-LEN(SUBSTITUTE(BF17," "&amp;L_NAFiller&amp;" "," ")))/(LEN(L_NAFiller)+1)*LEN(L_NAFiller)),0)</f>
        <v>0</v>
      </c>
    </row>
    <row r="18" customFormat="false" ht="39.75" hidden="false" customHeight="true" outlineLevel="0" collapsed="false">
      <c r="A18" s="57" t="s">
        <v>430</v>
      </c>
      <c r="B18" s="57" t="s">
        <v>183</v>
      </c>
      <c r="C18" s="57" t="str">
        <f aca="false">Flights!$F$5</f>
        <v>MH0001</v>
      </c>
      <c r="D18" s="58" t="n">
        <f aca="false">Flights!$D$5</f>
        <v>46303</v>
      </c>
      <c r="E18" s="57" t="str">
        <f aca="false">Flights!$G$5&amp;"-"&amp;Flights!$H$5</f>
        <v>LHR-KUL</v>
      </c>
      <c r="F18" s="57" t="str">
        <f aca="false">Flights!$K$5</f>
        <v>EY</v>
      </c>
      <c r="G18" s="57" t="s">
        <v>420</v>
      </c>
      <c r="H18" s="57" t="s">
        <v>378</v>
      </c>
      <c r="I18" s="57" t="s">
        <v>428</v>
      </c>
      <c r="J18" s="57" t="s">
        <v>431</v>
      </c>
      <c r="K18" s="67"/>
      <c r="L18" s="67" t="s">
        <v>422</v>
      </c>
      <c r="M18" s="67"/>
      <c r="N18" s="67" t="s">
        <v>383</v>
      </c>
      <c r="O18" s="67" t="s">
        <v>423</v>
      </c>
      <c r="P18" s="57" t="s">
        <v>186</v>
      </c>
      <c r="Q18" s="59" t="n">
        <f aca="false">ROUND((Flights!$AE$5)*1440,0)/1440</f>
        <v>46303.3576388889</v>
      </c>
      <c r="R18" s="59" t="n">
        <f aca="false">Q18+(IF(AND(INDEX(TZ_DSTS,MATCH(P18,TZ_STN,0))&lt;&gt;"",Q18&gt;=INDEX(TZ_DSTS,MATCH(P18,TZ_STN,0)),Q18&lt;INDEX(TZ_DSTE,MATCH(P18,TZ_STN,0))),INDEX(TZ_DST,MATCH(P18,TZ_STN,0)),INDEX(TZ_STD,MATCH(P18,TZ_STN,0))))/24</f>
        <v>46303.3993055556</v>
      </c>
      <c r="S18" s="60"/>
      <c r="T18" s="60"/>
      <c r="U18" s="60"/>
      <c r="V18" s="60"/>
      <c r="W18" s="61"/>
      <c r="X18" s="60"/>
      <c r="Y18" s="60"/>
      <c r="Z18" s="60"/>
      <c r="AA18" s="60"/>
      <c r="AB18" s="60"/>
      <c r="AC18" s="60"/>
      <c r="AD18" s="66"/>
      <c r="AE18" s="60"/>
      <c r="AF18" s="61" t="str">
        <f aca="false">IF(AND(ISNUMBER(X18),ISNUMBER(Y18)),Y18-X18,"")</f>
        <v/>
      </c>
      <c r="AG18" s="62" t="str">
        <f aca="false">IF(ISNUMBER(AD18),AD18-(IF(AND(INDEX(TZ_DSTS,MATCH(P18,TZ_STN,0))&lt;&gt;"",(AD18-INDEX(TZ_STD,MATCH(P18,TZ_STN,0))/24)&gt;=INDEX(TZ_DSTS,MATCH(P18,TZ_STN,0)),(AD18-INDEX(TZ_STD,MATCH(P18,TZ_STN,0))/24)&lt;INDEX(TZ_DSTE,MATCH(P18,TZ_STN,0))),INDEX(TZ_DST,MATCH(P18,TZ_STN,0)),INDEX(TZ_STD,MATCH(P18,TZ_STN,0))))/24,"")</f>
        <v/>
      </c>
      <c r="AH18" s="65" t="str">
        <f aca="false">IFERROR(IF(N18="N/A – rule",IF(OR(TRIM(U18)="",TRIM(U18)="N/A",TRIM(U18)="Not started"),"N/A – RULE","INVALID – this check does not apply to this aircraft: clear the status (or correct the fleet on Flights)"),IF(TRIM(U18)="N/A",IF(AT18=0,"INVALID – N/A not permitted for this check",IF(AND(TRIM(AB18)&lt;&gt;"",TRIM(AB18)&lt;&gt;"Closed"),"INVALID – corrective action still open",IF(AND(NOT(OR(LEN(AZ18)&lt;15,ISNUMBER(MATCH(AZ18,L_Placeholder,0)))),BK18=0,CG18&gt;=8,NOT(OR(LEN(AU18)&lt;2,ISNUMBER(MATCH(AU18,L_Placeholder,0)))),BR18&gt;=3,NOT(OR(LEN(AX18)&lt;2,ISNUMBER(MATCH(AX18,L_Placeholder,0)))),BS18&gt;=3,TRIM(AE18)&lt;&gt;TRIM(T18),AX18&lt;&gt;AU18,CE18=0),"N/A – JUSTIFIED","INVALID – N/A needs a real, settled reason (not 'not applicable' / 'as above' / TBC), a named PIC and a different named verifier"))),IF(OR(TRIM(U18)="Pass",TRIM(U18)="Pass after CA"),IF(NOT(ISNUMBER(AD18)),"INVALID – completion time missing",IF(OR(OR(LEN(AU18)&lt;2,ISNUMBER(MATCH(AU18,L_Placeholder,0))),BR18&lt;3),"INVALID – PIC missing or not a named person (a role such as QA / CSM is not a name)",IF(OR(LEN(AV18)&lt;2,ISNUMBER(MATCH(AV18,L_Placeholder,0))),"INVALID – result / assessment missing",IF(OR(OR(LEN(AW18)&lt;3,ISNUMBER(MATCH(AW18,L_Placeholder,0))),SUMPRODUCT(--ISNUMBER(SEARCH(" "&amp;L_EvidencePhrase&amp;" ",BD18)))&gt;0,BI18=1),"INVALID – evidence missing, placeholder or not yet on file",IF(ISNA(MATCH(TRIM(S18),L_EvidenceType,0)),"INVALID – choose the evidence type from the list (column S)",IF(BL18=0,"INVALID – evidence ID must be the record's own ID only (e.g. SF-2210, IMG_2231, 1045521); a link / file name needs type 'Link / file path'",IF(OR(OR(LEN(AX18)&lt;2,ISNUMBER(MATCH(AX18,L_Placeholder,0))),BS18&lt;3),"INVALID – verifier missing or not a named person (a role such as QA / CSM is not a name)",IF(OR(AX18=AU18,CE18=1,AND(LEN(AU18)&gt;=4,ISNUMBER(SEARCH(AU18,AX18))),AND(LEN(AX18)&gt;=4,ISNUMBER(SEARCH(AX18,AU18)))),"INVALID – verifier must be a different, named person (not the PIC or a role)",IF(BH18=1,"INVALID – result not yet available (awaiting / TBC)",IF(BG18=1,"INVALID – result describes a problem: record Fail, then Pass after CA (or reword if it is not a problem)",IF(BV18=1,"INVALID – wording says not on board: an on-board confirmation needs the item loaded",IF(AND(AQ18=1,OR(OR(LEN(AY18)&lt;3,ISNUMBER(MATCH(AY18,L_Placeholder,0))),BJ18=1,BQ18=0)),"INVALID – batch ID missing, placeholder or not an ID (e.g. PASB-261008-BC-017)",IF(AND(AR18=1,OR(NOT(ISNUMBER(X18)),NOT(ISNUMBER(Y18)))),"INVALID – expected/actual qty missing",IF(AND(AR18=1,OR(X18&lt;=0,Y18&lt;0)),"INVALID – expected qty must be above 0 and actual not negative",IF(BB18&lt;&gt;"",BB18,IF(AND(AS18=1,Documents!$J$5&lt;&gt;"ON FILE"),"INVALID – GLD not on file (Documents sheet)",IF(AND(AS18=2,Documents!$O$5&lt;&gt;"ON FILE"),"INVALID – menu checklist not on file (Documents sheet)",IF(AND(AS18=3,NOT(ISNUMBER(Flights!$AX$5))),"INVALID – enter carrying flight KUL departure (Flights AX)",IF(AND(AS18=3,OR(Flights!$AZ$5&gt;Flights!$AA$5,Flights!$AX$5&lt;Flights!$AA$5-3)),"INVALID – carrying flight (Flights AX) cannot arrive before this leg's STD, or is over 3 days early",IF(AG18&gt;AsOfUTC,"INVALID – completion time is in the future",IF(AND(ISNUMBER(BY18),AG18&lt;BY18),IF(H18="Physical uplift","INVALID – before uplift window (cannot confirm loading)","INVALID – before valid window"),IF(AG18&gt;Flights!$AA$5,"INVALID – completed after departure (cannot establish readiness)",IF(AND(H18="Preparation",AG18&gt;=IF(ISNUMBER(Flights!$BA$5),MIN(Flights!$BA$5,Flights!$AA$5),Flights!$AA$5)),"INVALID – completed after loading / departure (cannot establish readiness)",IF(AND(H18="Physical uplift",AG18&gt;Q18),"INVALID – recorded after the loading flight departed",IF(AG18&gt;Q18,"COMPLETE – LATE","COMPLETE"))))))))))))))))))))))))),IF(TRIM(U18)="Fail","FAIL – DISCREPANCY",IF(AND(TRIM(U18)&lt;&gt;"",TRIM(U18)&lt;&gt;"Not started",TRIM(U18)&lt;&gt;"In progress"),"INVALID – unrecognised status (use the list)",IF(AsOfUTC&gt;Q18,"OVERDUE",IF(N18="Clarification required","OPEN – CLARIFICATION","OPEN"))))))),"INVALID – error value in an input cell")</f>
        <v>OPEN</v>
      </c>
      <c r="AI18" s="61" t="n">
        <f aca="false">IF(OR(AH18="N/A – RULE",AH18="N/A – JUSTIFIED"),0,1)</f>
        <v>1</v>
      </c>
      <c r="AJ18" s="61" t="n">
        <f aca="false">IF(LEFT(AH18,8)="COMPLETE",1,0)</f>
        <v>0</v>
      </c>
      <c r="AK18" s="61" t="n">
        <f aca="false">IF(AND(AI18=1,AJ18=0,AsOfUTC&gt;Q18),1,0)</f>
        <v>0</v>
      </c>
      <c r="AL18" s="61" t="n">
        <f aca="false">IFERROR(IF(AND(AI18=1,OR(TRIM(U18)="Fail",AND(TRIM(AB18)&lt;&gt;"",TRIM(AB18)&lt;&gt;"Closed"),AND(ISNUMBER(AF18),AF18&lt;&gt;0,TRIM(U18)&lt;&gt;"Pass after CA"))),1,0),1)</f>
        <v>0</v>
      </c>
      <c r="AM18" s="61" t="n">
        <f aca="false">IF(LEFT(AH18,7)="INVALID",1,0)</f>
        <v>0</v>
      </c>
      <c r="AN18" s="61" t="n">
        <f aca="false">IF(AND(N18="Clarification required",AI18=1,AJ18=0),1,0)</f>
        <v>0</v>
      </c>
      <c r="AO18" s="61" t="str">
        <f aca="false">IF(AK18=1,SUM(AK$5:AK18),"")</f>
        <v/>
      </c>
      <c r="AP18" s="61" t="str">
        <f aca="false">IF(AL18=1,SUM(AL$5:AL18),"")</f>
        <v/>
      </c>
      <c r="AQ18" s="61" t="n">
        <v>0</v>
      </c>
      <c r="AR18" s="61" t="n">
        <v>0</v>
      </c>
      <c r="AS18" s="61" t="n">
        <v>0</v>
      </c>
      <c r="AT18" s="61" t="n">
        <v>0</v>
      </c>
      <c r="AU18" s="61" t="str">
        <f aca="false">SUBSTITUTE(SUBSTITUTE(SUBSTITUTE(SUBSTITUTE(SUBSTITUTE(SUBSTITUTE(SUBSTITUTE(SUBSTITUTE(SUBSTITUTE(SUBSTITUTE(SUBSTITUTE(SUBSTITUTE(SUBSTITUTE(SUBSTITUTE(SUBSTITUTE(SUBSTITUTE(LOWER(T18&amp;""),CHAR(10),""),CHAR(13),""),CHAR(9),""),CHAR(160),"")," ",""),".",""),"-",""),"/",""),"?",""),"_",""),",",""),"[",""),"]",""),"(",""),")",""),"*","")</f>
        <v/>
      </c>
      <c r="AV18" s="61" t="str">
        <f aca="false">SUBSTITUTE(SUBSTITUTE(SUBSTITUTE(SUBSTITUTE(SUBSTITUTE(SUBSTITUTE(SUBSTITUTE(SUBSTITUTE(SUBSTITUTE(SUBSTITUTE(SUBSTITUTE(SUBSTITUTE(SUBSTITUTE(SUBSTITUTE(SUBSTITUTE(SUBSTITUTE(LOWER(V18&amp;""),CHAR(10),""),CHAR(13),""),CHAR(9),""),CHAR(160),"")," ",""),".",""),"-",""),"/",""),"?",""),"_",""),",",""),"[",""),"]",""),"(",""),")",""),"*","")</f>
        <v/>
      </c>
      <c r="AW18" s="61" t="str">
        <f aca="false">SUBSTITUTE(SUBSTITUTE(SUBSTITUTE(SUBSTITUTE(SUBSTITUTE(SUBSTITUTE(SUBSTITUTE(SUBSTITUTE(SUBSTITUTE(SUBSTITUTE(SUBSTITUTE(SUBSTITUTE(SUBSTITUTE(SUBSTITUTE(SUBSTITUTE(SUBSTITUTE(LOWER(Z18&amp;""),CHAR(10),""),CHAR(13),""),CHAR(9),""),CHAR(160),"")," ",""),".",""),"-",""),"/",""),"?",""),"_",""),",",""),"[",""),"]",""),"(",""),")",""),"*","")</f>
        <v/>
      </c>
      <c r="AX18" s="61" t="str">
        <f aca="false">SUBSTITUTE(SUBSTITUTE(SUBSTITUTE(SUBSTITUTE(SUBSTITUTE(SUBSTITUTE(SUBSTITUTE(SUBSTITUTE(SUBSTITUTE(SUBSTITUTE(SUBSTITUTE(SUBSTITUTE(SUBSTITUTE(SUBSTITUTE(SUBSTITUTE(SUBSTITUTE(LOWER(AE18&amp;""),CHAR(10),""),CHAR(13),""),CHAR(9),""),CHAR(160),"")," ",""),".",""),"-",""),"/",""),"?",""),"_",""),",",""),"[",""),"]",""),"(",""),")",""),"*","")</f>
        <v/>
      </c>
      <c r="AY18" s="61" t="str">
        <f aca="false">SUBSTITUTE(SUBSTITUTE(SUBSTITUTE(SUBSTITUTE(SUBSTITUTE(SUBSTITUTE(SUBSTITUTE(SUBSTITUTE(SUBSTITUTE(SUBSTITUTE(SUBSTITUTE(SUBSTITUTE(SUBSTITUTE(SUBSTITUTE(SUBSTITUTE(SUBSTITUTE(LOWER(W18&amp;""),CHAR(10),""),CHAR(13),""),CHAR(9),""),CHAR(160),"")," ",""),".",""),"-",""),"/",""),"?",""),"_",""),",",""),"[",""),"]",""),"(",""),")",""),"*","")</f>
        <v/>
      </c>
      <c r="AZ18" s="61" t="str">
        <f aca="false">SUBSTITUTE(SUBSTITUTE(SUBSTITUTE(SUBSTITUTE(SUBSTITUTE(SUBSTITUTE(SUBSTITUTE(SUBSTITUTE(SUBSTITUTE(SUBSTITUTE(SUBSTITUTE(SUBSTITUTE(SUBSTITUTE(SUBSTITUTE(SUBSTITUTE(SUBSTITUTE(LOWER(AC18&amp;""),CHAR(10),""),CHAR(13),""),CHAR(9),""),CHAR(160),"")," ",""),".",""),"-",""),"/",""),"?",""),"_",""),",",""),"[",""),"]",""),"(",""),")",""),"*","")</f>
        <v/>
      </c>
      <c r="BA18" s="61" t="str">
        <f aca="false">SUBSTITUTE(SUBSTITUTE(SUBSTITUTE(SUBSTITUTE(SUBSTITUTE(SUBSTITUTE(SUBSTITUTE(SUBSTITUTE(SUBSTITUTE(SUBSTITUTE(SUBSTITUTE(SUBSTITUTE(SUBSTITUTE(SUBSTITUTE(SUBSTITUTE(SUBSTITUTE(LOWER(AA18&amp;""),CHAR(10),""),CHAR(13),""),CHAR(9),""),CHAR(160),"")," ",""),".",""),"-",""),"/",""),"?",""),"_",""),",",""),"[",""),"]",""),"(",""),")",""),"*","")</f>
        <v/>
      </c>
      <c r="BB18" s="61" t="str">
        <f aca="false">IF(AND(TRIM(U18)="Pass",ISNUMBER(AF18)),IF(AF18&lt;&gt;0,"INVALID – qty variance: use Fail or Pass after CA",""),"")&amp;IF(AND(TRIM(U18)="Pass after CA",ISNUMBER(AF18)),IF(AF18&lt;&gt;0,"INVALID – after the corrective action the actual qty must equal expected (update Actual)",""),"")&amp;IF(AND(TRIM(U18)="Pass",TRIM(AB18)&lt;&gt;"",TRIM(AB18)&lt;&gt;"Closed"),"INVALID – corrective action not closed: use Fail, then Pass after CA","")&amp;IF(AND(LEN(BA18)&gt;=2,ISNA(MATCH(LEFT(BA18,255),L_Placeholder,0)),TRIM(AB18)=""),"INVALID – CA status missing for the recorded corrective action","")&amp;IF(AND(TRIM(U18)="Pass after CA",OR(OR(LEN(BA18)&lt;5,ISNUMBER(MATCH(BA18,L_Placeholder,0))),TRIM(AB18)&lt;&gt;"Closed")),"INVALID – corrective action not recorded/closed","")</f>
        <v/>
      </c>
      <c r="BC18" s="61" t="str">
        <f aca="false">" "&amp;TRIM(SUBSTITUTE(SUBSTITUTE(SUBSTITUTE(SUBSTITUTE(SUBSTITUTE(SUBSTITUTE(SUBSTITUTE(SUBSTITUTE(SUBSTITUTE(SUBSTITUTE(SUBSTITUTE(SUBSTITUTE(SUBSTITUTE(SUBSTITUTE(SUBSTITUTE(SUBSTITUTE(SUBSTITUTE(SUBSTITUTE(SUBSTITUTE(SUBSTITUTE(SUBSTITUTE(SUBSTITUTE(SUBSTITUTE(SUBSTITUTE(LOWER(V18&amp;""),CHAR(10)," "),CHAR(13)," "),CHAR(9)," "),CHAR(160)," "),"."," "),","," "),"-"," "),"/"," "),"("," "),")"," "),":"," "),";"," "),"_"," "),"–"," "),"?"," "),"!"," "),"*"," "),"["," "),"]"," "),"'"," "),"#"," "),"+"," "),"&amp;"," "),"\"," "))&amp;" "</f>
        <v>  </v>
      </c>
      <c r="BD18" s="61" t="str">
        <f aca="false">" "&amp;TRIM(SUBSTITUTE(SUBSTITUTE(SUBSTITUTE(SUBSTITUTE(SUBSTITUTE(SUBSTITUTE(SUBSTITUTE(SUBSTITUTE(SUBSTITUTE(SUBSTITUTE(SUBSTITUTE(SUBSTITUTE(SUBSTITUTE(SUBSTITUTE(SUBSTITUTE(SUBSTITUTE(SUBSTITUTE(SUBSTITUTE(SUBSTITUTE(SUBSTITUTE(SUBSTITUTE(SUBSTITUTE(SUBSTITUTE(SUBSTITUTE(LOWER(Z18&amp;""),CHAR(10)," "),CHAR(13)," "),CHAR(9)," "),CHAR(160)," "),"."," "),","," "),"-"," "),"/"," "),"("," "),")"," "),":"," "),";"," "),"_"," "),"–"," "),"?"," "),"!"," "),"*"," "),"["," "),"]"," "),"'"," "),"#"," "),"+"," "),"&amp;"," "),"\"," "))&amp;" "</f>
        <v>  </v>
      </c>
      <c r="BE18" s="61" t="str">
        <f aca="false">" "&amp;TRIM(SUBSTITUTE(SUBSTITUTE(SUBSTITUTE(SUBSTITUTE(SUBSTITUTE(SUBSTITUTE(SUBSTITUTE(SUBSTITUTE(SUBSTITUTE(SUBSTITUTE(SUBSTITUTE(SUBSTITUTE(SUBSTITUTE(SUBSTITUTE(SUBSTITUTE(SUBSTITUTE(SUBSTITUTE(SUBSTITUTE(SUBSTITUTE(SUBSTITUTE(SUBSTITUTE(SUBSTITUTE(SUBSTITUTE(SUBSTITUTE(LOWER(W18&amp;""),CHAR(10)," "),CHAR(13)," "),CHAR(9)," "),CHAR(160)," "),"."," "),","," "),"-"," "),"/"," "),"("," "),")"," "),":"," "),";"," "),"_"," "),"–"," "),"?"," "),"!"," "),"*"," "),"["," "),"]"," "),"'"," "),"#"," "),"+"," "),"&amp;"," "),"\"," "))&amp;" "</f>
        <v>  </v>
      </c>
      <c r="BF18" s="61" t="str">
        <f aca="false">" "&amp;TRIM(SUBSTITUTE(SUBSTITUTE(SUBSTITUTE(SUBSTITUTE(SUBSTITUTE(SUBSTITUTE(SUBSTITUTE(SUBSTITUTE(SUBSTITUTE(SUBSTITUTE(SUBSTITUTE(SUBSTITUTE(SUBSTITUTE(SUBSTITUTE(SUBSTITUTE(SUBSTITUTE(SUBSTITUTE(SUBSTITUTE(SUBSTITUTE(SUBSTITUTE(SUBSTITUTE(SUBSTITUTE(SUBSTITUTE(SUBSTITUTE(LOWER(AC18&amp;""),CHAR(10)," "),CHAR(13)," "),CHAR(9)," "),CHAR(160)," "),"."," "),","," "),"-"," "),"/"," "),"("," "),")"," "),":"," "),";"," "),"_"," "),"–"," "),"?"," "),"!"," "),"*"," "),"["," "),"]"," "),"'"," "),"#"," "),"+"," "),"&amp;"," "),"\"," "))&amp;" "</f>
        <v>  </v>
      </c>
      <c r="BG18" s="61" t="n">
        <f aca="false">IFERROR(IF(AND(TRIM(U18)="Pass",SUMPRODUCT((LEN(BC18)-LEN(SUBSTITUTE(BC18," "&amp;L_ResultBad&amp;" "," ")))/(LEN(L_ResultBad)+1))&gt;SUMPRODUCT((LEN(BC18)-LEN(SUBSTITUTE(BC18," "&amp;L_NegPhrase&amp;" "," ")))/(LEN(L_NegPhrase)+1))),1,0),0)</f>
        <v>0</v>
      </c>
      <c r="BH18" s="61" t="n">
        <f aca="false">IFERROR(IF(SUMPRODUCT((LEN(BC18)-LEN(SUBSTITUTE(BC18," "&amp;L_Pending&amp;" "," ")))/(LEN(L_Pending)+1))&gt;SUMPRODUCT((LEN(BC18)-LEN(SUBSTITUTE(BC18," "&amp;L_PendNeg&amp;" "," ")))/(LEN(L_PendNeg)+1))+SUMPRODUCT((LEN(BC18)-LEN(SUBSTITUTE(BC18," "&amp;L_PendPrep&amp;" "," ")))/(LEN(L_PendPrep)+1)),1,0),1)</f>
        <v>0</v>
      </c>
      <c r="BI18" s="61" t="n">
        <f aca="false">IFERROR(IF(SUMPRODUCT((LEN(BD18)-LEN(SUBSTITUTE(BD18," "&amp;L_PendStrict&amp;" "," ")))/(LEN(L_PendStrict)+1))&gt;SUMPRODUCT((LEN(BD18)-LEN(SUBSTITUTE(BD18," "&amp;L_PendNeg&amp;" "," ")))/(LEN(L_PendNeg)+1)),1,0),1)</f>
        <v>0</v>
      </c>
      <c r="BJ18" s="61" t="n">
        <f aca="false">IFERROR(IF(SUMPRODUCT((LEN(BE18)-LEN(SUBSTITUTE(BE18," "&amp;L_Pending&amp;" "," ")))/(LEN(L_Pending)+1))&gt;SUMPRODUCT((LEN(BE18)-LEN(SUBSTITUTE(BE18," "&amp;L_PendNeg&amp;" "," ")))/(LEN(L_PendNeg)+1))+SUMPRODUCT((LEN(BE18)-LEN(SUBSTITUTE(BE18," "&amp;L_PendPrep&amp;" "," ")))/(LEN(L_PendPrep)+1)),1,0),1)</f>
        <v>0</v>
      </c>
      <c r="BK18" s="61" t="n">
        <f aca="false">IFERROR(IF(SUMPRODUCT((LEN(BF18)-LEN(SUBSTITUTE(BF18," "&amp;L_PendStrict&amp;" "," ")))/(LEN(L_PendStrict)+1))&gt;SUMPRODUCT((LEN(BF18)-LEN(SUBSTITUTE(BF18," "&amp;L_PendNeg&amp;" "," ")))/(LEN(L_PendNeg)+1)),1,0),1)</f>
        <v>0</v>
      </c>
      <c r="BL18" s="61" t="n">
        <f aca="false">IF(ISNA(MATCH(TRIM(S18),L_EvidenceType,0)),0,BZ18)</f>
        <v>0</v>
      </c>
      <c r="BM18" s="61" t="str">
        <f aca="false">SUBSTITUTE(SUBSTITUTE(SUBSTITUTE(SUBSTITUTE(SUBSTITUTE(SUBSTITUTE(SUBSTITUTE(SUBSTITUTE(SUBSTITUTE(LOWER(Z18&amp;""),"1","0"),"2","0"),"3","0"),"4","0"),"5","0"),"6","0"),"7","0"),"8","0"),"9","0")</f>
        <v/>
      </c>
      <c r="BN18" s="61" t="str">
        <f aca="false">SUBSTITUTE(SUBSTITUTE(SUBSTITUTE(SUBSTITUTE(SUBSTITUTE(SUBSTITUTE(SUBSTITUTE(SUBSTITUTE(SUBSTITUTE(SUBSTITUTE(SUBSTITUTE(SUBSTITUTE(SUBSTITUTE(SUBSTITUTE(SUBSTITUTE(SUBSTITUTE(SUBSTITUTE(SUBSTITUTE(SUBSTITUTE(SUBSTITUTE(SUBSTITUTE(SUBSTITUTE(SUBSTITUTE(SUBSTITUTE(SUBSTITUTE(BM18,"b","a"),"c","a"),"d","a"),"e","a"),"f","a"),"g","a"),"h","a"),"i","a"),"j","a"),"k","a"),"l","a"),"m","a"),"n","a"),"o","a"),"p","a"),"q","a"),"r","a"),"s","a"),"t","a"),"u","a"),"v","a"),"w","a"),"x","a"),"y","a"),"z","a")</f>
        <v/>
      </c>
      <c r="BO18" s="61" t="str">
        <f aca="false">SUBSTITUTE(SUBSTITUTE(SUBSTITUTE(SUBSTITUTE(SUBSTITUTE(SUBSTITUTE(SUBSTITUTE(SUBSTITUTE(SUBSTITUTE(LOWER(W18&amp;""),"1","0"),"2","0"),"3","0"),"4","0"),"5","0"),"6","0"),"7","0"),"8","0"),"9","0")</f>
        <v/>
      </c>
      <c r="BP18" s="61" t="str">
        <f aca="false">SUBSTITUTE(SUBSTITUTE(SUBSTITUTE(SUBSTITUTE(SUBSTITUTE(SUBSTITUTE(SUBSTITUTE(SUBSTITUTE(SUBSTITUTE(SUBSTITUTE(SUBSTITUTE(SUBSTITUTE(SUBSTITUTE(SUBSTITUTE(SUBSTITUTE(SUBSTITUTE(SUBSTITUTE(SUBSTITUTE(SUBSTITUTE(SUBSTITUTE(SUBSTITUTE(SUBSTITUTE(SUBSTITUTE(SUBSTITUTE(SUBSTITUTE(BO18,"b","a"),"c","a"),"d","a"),"e","a"),"f","a"),"g","a"),"h","a"),"i","a"),"j","a"),"k","a"),"l","a"),"m","a"),"n","a"),"o","a"),"p","a"),"q","a"),"r","a"),"s","a"),"t","a"),"u","a"),"v","a"),"w","a"),"x","a"),"y","a"),"z","a")</f>
        <v/>
      </c>
      <c r="BQ18" s="61" t="n">
        <f aca="false">IFERROR(IF(AND(ISERROR(SEARCH(" mh"," "&amp;LOWER(W18))),ISNA(MATCH(LEFT(TRIM(BP18),255),{"0000a","000a","00a","0000aa","000aa","00aa","0aa","0000aaa","000aaa","00a00","0a00","0000-0000","00:00","a00","a0","00.00.0000","00/00/0000","00-00-0000","0000-00-00","0000/00/00","0000.00.00","00.00.00","00/00/00","00-00-00","0.00.0000","0/00/0000","0-00-0000"},0)),ISNA(MATCH(LEFT(TRIM(CA18),255),{"0000a","000a","00a","0000aa","000aa","00aa","0aa","0000aaa","000aaa","00a00","0a00","0000-0000","00:00","a00","a0","00.00.0000","00/00/0000","00-00-0000","0000-00-00","0000/00/00","0000.00.00","00.00.00","00/00/00","00-00-00","0.00.0000","0/00/0000","0-00-0000"},0)),LEN(CB18)&gt;=3,NOT(OR(SUBSTITUTE(CB18,"0","")="",AND(LEN(CB18)&gt;=4,CB18=REPT(LEFT(CB18),LEN(CB18))),ISNUMBER(MATCH(CB18,{"123","1234","12345","123456","1234567","12345678","0123","01234","012345","98765","987654","54321"},0)),AND(LEN(CB18)=8,LEFT(CB18,3)="202"))),OR(AND((LEN(CA18)-LEN(SUBSTITUTE(CA18,"a","")))&gt;=1,SUMPRODUCT(--ISNUMBER(SEARCH({"a0","a-0","a_0","a/0","a.0","a#0","0a","0-a","0_a","0/a"},BP18)))&gt;0),ISNUMBER(SEARCH("000000",BP18)))),1,0),0)</f>
        <v>0</v>
      </c>
      <c r="BR18" s="61" t="n">
        <f aca="false">IFERROR(LEN(SUBSTITUTE(CC18," ",""))-SUMPRODUCT((LEN(CC18)-LEN(SUBSTITUTE(CC18," "&amp;L_Role&amp;" "," ")))/(LEN(L_Role)+1)*LEN(L_Role)),0)</f>
        <v>0</v>
      </c>
      <c r="BS18" s="61" t="n">
        <f aca="false">IFERROR(LEN(SUBSTITUTE(CD18," ",""))-SUMPRODUCT((LEN(CD18)-LEN(SUBSTITUTE(CD18," "&amp;L_Role&amp;" "," ")))/(LEN(L_Role)+1)*LEN(L_Role)),0)</f>
        <v>0</v>
      </c>
      <c r="BT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revision",""),"version",""),"jan",""),"feb",""),"mar",""),"apr",""),"may",""),"jun",""),"jul",""),"aug",""),"sep",""),"oct",""),"nov",""),"dec",""),"utc",""),"gmt",""),"myt",""),"bst",""),"rev",""),"ver",""),"b","a"),"c","a"),"d","a"),"e","a"),"f","a"),"g","a"),"h","a"),"i","a"),"j","a"),"k","a"),"l","a"),"m","a"),"n","a"),"o","a"),"p","a"),"q","a"),"r","a"),"s","a"),"t","a"),"u","a"),"v","a"),"w","a"),"x","a"),"y","a"),"z","a")</f>
        <v/>
      </c>
      <c r="BU18" s="61" t="str">
        <f aca="false">SUBSTITUTE(SUBSTITUTE(SUBSTITUTE(SUBSTITUTE(SUBSTITUTE(SUBSTITUTE(SUBSTITUTE(SUBSTITUTE(SUBSTITUTE(SUBSTITUTE(LEFT(BM18,FIND("0",BM18&amp;"0")-1),"-",""),"_",""),"/",""),".",""),"#",""),"\\",""),":","")," ",""),"(",""),")","")</f>
        <v/>
      </c>
      <c r="BV18" s="61" t="n">
        <f aca="false">0</f>
        <v>0</v>
      </c>
      <c r="BW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amp;""),"a",""),"b",""),"c",""),"d",""),"e",""),"f",""),"g",""),"h",""),"i",""),"j",""),"k",""),"l",""),"m",""),"n",""),"o",""),"p",""),"q",""),"r",""),"s",""),"t",""),"u",""),"v",""),"w",""),"x",""),"y",""),"z",""),"-",""),"_",""),"/",""),".",""),"#",""),"\\",""),":","")," ",""),"(",""),")","")</f>
        <v/>
      </c>
      <c r="BX18" s="61" t="str">
        <f aca="false">SUBSTITUTE(SUBSTITUTE(SUBSTITUTE(SUBSTITUTE(SUBSTITUTE(SUBSTITUTE(SUBSTITUTE(SUBSTITUTE(SUBSTITUTE(SUBSTITUTE(SUBSTITUTE(BM18,"0",""),"-",""),"_",""),"/",""),".",""),"#",""),"\\",""),":","")," ",""),"(",""),")","")</f>
        <v/>
      </c>
      <c r="BY18" s="62" t="n">
        <f aca="false">Q18-T12EarlyH/24</f>
        <v>46302.8576388889</v>
      </c>
      <c r="BZ18" s="61" t="n">
        <f aca="false">IFERROR(IF(IF(TRIM(S18)="Link / file path",AND(LEN(TRIM(Z18))&gt;=5,SUMPRODUCT(--ISNUMBER(SEARCH({"http","www.","\\",":\",".pdf",".jpg",".jpeg",".png",".heic",".xls",".doc",".msg",".eml",".ppt",".txt",".zip"},Z18)))&gt;0),AND(ISERROR(FIND(" ",TRIM(Z18))),NOT(OR(SUMPRODUCT(--ISNUMBER(FIND({",",";","&amp;","+"},Z18)))&gt;0,SUMPRODUCT(--ISNUMBER(SEARCH({"0/aa","0\\aa"},BN18)))&gt;0)),NOT(SUMPRODUCT(--ISNUMBER(SEARCH({"http","www.","\\",":\",".pdf",".jpg",".jpeg",".png",".heic",".xls",".doc",".msg",".eml",".ppt",".txt",".zip"},Z18)))&gt;0),NOT(LOWER(TRIM(Z18))=LOWER(Flights!$F$5)),ISNA(MATCH(BU18,{"mh","rev","revision","ver","version","v","r","a","b","seat","tray","row","gate","bay","stand","page","pg","item","line","no","cart","galley","flight","flt","table","box","bag","oven","etd","eta","std","sta","atd","ata","qty","pax","x","time","tel","ph","mob","day","wk","week","utc","gmt","myt","lt"},0)),NOT(OR(ISNUMBER(MATCH(LEFT(BN18,255),{"0000a","000a","00a","0000aa","000aa","00aa","0aa","0000aaa","000aaa","00a00","0a00","0000-0000","00:00","a00","a0","00.00.0000","00/00/0000","00-00-0000","0000-00-00","0000/00/00","0000.00.00","00.00.00","00/00/00","00-00-00","0.00.0000","0/00/0000","0-00-0000"},0)),ISNUMBER(MATCH(LEFT(BT18,255),{"0000a","000a","00a","0000aa","000aa","00aa","0aa","0000aaa","000aaa","00a00","0a00","0000-0000","00:00","a00","a0","00.00.0000","00/00/0000","00-00-0000","0000-00-00","0000/00/00","0000.00.00","00.00.00","00/00/00","00-00-00","0.00.0000","0/00/0000","0-00-0000"},0)))),NOT(OR(AND(BW18&lt;&gt;"",SUBSTITUTE(BW18,"0","")=""),AND(LEN(BW18)&gt;=4,BW18=REPT(LEFT(BW18),LEN(BW18))),ISNUMBER(MATCH(BW18,{"123","1234","12345","123456","1234567","12345678","0123","01234","012345","98765","987654","54321"},0)),ISNUMBER(MATCH(BX18,{"x","xx","xxx","xxxx","xxxxx","abc","abcd","nil","na","nan","test","tbc","tba","tbd","dummy","sample","example","eg","zz","zzz","none","null","xyz","qwe","asd","id","ref"},0)),AND(LEN(BW18)=8,BX18="",OR(LEFT(BW18,3)="202",ISNUMBER(MATCH(RIGHT(BW18,4),{"2025","2026","2027"},0)))))),OR(AND((LEN(BT18)-LEN(SUBSTITUTE(BT18,"a","")))&gt;=1,(LEN(BN18)-LEN(SUBSTITUTE(BN18,"0","")))&gt;=2,SUMPRODUCT(--ISNUMBER(SEARCH({"a0","a-0","a_0","a/0","a.0","a#0","0a","0-a","0_a","0/a"},BN18)))&gt;0),AND((LEN(BN18)-LEN(SUBSTITUTE(BN18,"a","")))=0,(LEN(BN18)-LEN(SUBSTITUTE(BN18,"0","")))&gt;=5)))),1,0),0)</f>
        <v>0</v>
      </c>
      <c r="CA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revision",""),"version",""),"jan",""),"feb",""),"mar",""),"apr",""),"may",""),"jun",""),"jul",""),"aug",""),"sep",""),"oct",""),"nov",""),"dec",""),"utc",""),"gmt",""),"myt",""),"bst",""),"rev",""),"ver",""),"b","a"),"c","a"),"d","a"),"e","a"),"f","a"),"g","a"),"h","a"),"i","a"),"j","a"),"k","a"),"l","a"),"m","a"),"n","a"),"o","a"),"p","a"),"q","a"),"r","a"),"s","a"),"t","a"),"u","a"),"v","a"),"w","a"),"x","a"),"y","a"),"z","a")</f>
        <v/>
      </c>
      <c r="CB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amp;""),"a",""),"b",""),"c",""),"d",""),"e",""),"f",""),"g",""),"h",""),"i",""),"j",""),"k",""),"l",""),"m",""),"n",""),"o",""),"p",""),"q",""),"r",""),"s",""),"t",""),"u",""),"v",""),"w",""),"x",""),"y",""),"z",""),"-",""),"_",""),"/",""),".",""),"#",""),"\\",""),":","")," ",""),"(",""),")","")</f>
        <v/>
      </c>
      <c r="CC18" s="0" t="str">
        <f aca="false">" "&amp;TRIM(SUBSTITUTE(SUBSTITUTE(SUBSTITUTE(SUBSTITUTE(SUBSTITUTE(SUBSTITUTE(SUBSTITUTE(SUBSTITUTE(SUBSTITUTE(SUBSTITUTE(SUBSTITUTE(SUBSTITUTE(SUBSTITUTE(SUBSTITUTE(SUBSTITUTE(SUBSTITUTE(SUBSTITUTE(SUBSTITUTE(SUBSTITUTE(SUBSTITUTE(SUBSTITUTE(SUBSTITUTE(SUBSTITUTE(SUBSTITUTE(LOWER(T18&amp;""),CHAR(10)," "),CHAR(13)," "),CHAR(9)," "),CHAR(160)," "),"."," "),","," "),"-"," "),"/"," "),"("," "),")"," "),":"," "),";"," "),"_"," "),"–"," "),"?"," "),"!"," "),"*"," "),"["," "),"]"," "),"'"," "),"#"," "),"+"," "),"&amp;"," "),"\"," "))&amp;" "</f>
        <v>  </v>
      </c>
      <c r="CD18" s="0" t="str">
        <f aca="false">" "&amp;TRIM(SUBSTITUTE(SUBSTITUTE(SUBSTITUTE(SUBSTITUTE(SUBSTITUTE(SUBSTITUTE(SUBSTITUTE(SUBSTITUTE(SUBSTITUTE(SUBSTITUTE(SUBSTITUTE(SUBSTITUTE(SUBSTITUTE(SUBSTITUTE(SUBSTITUTE(SUBSTITUTE(SUBSTITUTE(SUBSTITUTE(SUBSTITUTE(SUBSTITUTE(SUBSTITUTE(SUBSTITUTE(SUBSTITUTE(SUBSTITUTE(LOWER(AE18&amp;""),CHAR(10)," "),CHAR(13)," "),CHAR(9)," "),CHAR(160)," "),"."," "),","," "),"-"," "),"/"," "),"("," "),")"," "),":"," "),";"," "),"_"," "),"–"," "),"?"," "),"!"," "),"*"," "),"["," "),"]"," "),"'"," "),"#"," "),"+"," "),"&amp;"," "),"\"," "))&amp;" "</f>
        <v>  </v>
      </c>
      <c r="CE18" s="68" t="n">
        <f aca="false">IFERROR(IF(AND(LEN(AU18)&gt;0,LEN(AU18)=LEN(AX18),OR(TRIM(MID(SUBSTITUTE(TRIM(CC18)," ",REPT(" ",60)),1,60))="",ISNUMBER(SEARCH(" "&amp;TRIM(MID(SUBSTITUTE(TRIM(CC18)," ",REPT(" ",60)),1,60))&amp;" ",CD18))),OR(TRIM(MID(SUBSTITUTE(TRIM(CC18)," ",REPT(" ",60)),61,60))="",ISNUMBER(SEARCH(" "&amp;TRIM(MID(SUBSTITUTE(TRIM(CC18)," ",REPT(" ",60)),61,60))&amp;" ",CD18))),OR(TRIM(MID(SUBSTITUTE(TRIM(CC18)," ",REPT(" ",60)),121,60))="",ISNUMBER(SEARCH(" "&amp;TRIM(MID(SUBSTITUTE(TRIM(CC18)," ",REPT(" ",60)),121,60))&amp;" ",CD18)))),1,0),0)</f>
        <v>0</v>
      </c>
      <c r="CG18" s="68" t="n">
        <f aca="false">IFERROR(LEN(SUBSTITUTE(BF18," ",""))-SUMPRODUCT((LEN(BF18)-LEN(SUBSTITUTE(BF18," "&amp;L_NAFiller&amp;" "," ")))/(LEN(L_NAFiller)+1)*LEN(L_NAFiller)),0)</f>
        <v>0</v>
      </c>
    </row>
    <row r="19" customFormat="false" ht="39.75" hidden="false" customHeight="true" outlineLevel="0" collapsed="false">
      <c r="A19" s="57" t="s">
        <v>432</v>
      </c>
      <c r="B19" s="57" t="s">
        <v>183</v>
      </c>
      <c r="C19" s="57" t="str">
        <f aca="false">Flights!$F$5</f>
        <v>MH0001</v>
      </c>
      <c r="D19" s="58" t="n">
        <f aca="false">Flights!$D$5</f>
        <v>46303</v>
      </c>
      <c r="E19" s="57" t="str">
        <f aca="false">Flights!$G$5&amp;"-"&amp;Flights!$H$5</f>
        <v>LHR-KUL</v>
      </c>
      <c r="F19" s="57" t="str">
        <f aca="false">Flights!$K$5</f>
        <v>EY</v>
      </c>
      <c r="G19" s="57" t="s">
        <v>420</v>
      </c>
      <c r="H19" s="57" t="s">
        <v>378</v>
      </c>
      <c r="I19" s="57" t="s">
        <v>428</v>
      </c>
      <c r="J19" s="57" t="s">
        <v>433</v>
      </c>
      <c r="K19" s="67"/>
      <c r="L19" s="67" t="s">
        <v>422</v>
      </c>
      <c r="M19" s="67"/>
      <c r="N19" s="67" t="s">
        <v>383</v>
      </c>
      <c r="O19" s="67" t="s">
        <v>423</v>
      </c>
      <c r="P19" s="57" t="s">
        <v>186</v>
      </c>
      <c r="Q19" s="59" t="n">
        <f aca="false">ROUND((Flights!$AE$5)*1440,0)/1440</f>
        <v>46303.3576388889</v>
      </c>
      <c r="R19" s="59" t="n">
        <f aca="false">Q19+(IF(AND(INDEX(TZ_DSTS,MATCH(P19,TZ_STN,0))&lt;&gt;"",Q19&gt;=INDEX(TZ_DSTS,MATCH(P19,TZ_STN,0)),Q19&lt;INDEX(TZ_DSTE,MATCH(P19,TZ_STN,0))),INDEX(TZ_DST,MATCH(P19,TZ_STN,0)),INDEX(TZ_STD,MATCH(P19,TZ_STN,0))))/24</f>
        <v>46303.3993055556</v>
      </c>
      <c r="S19" s="60"/>
      <c r="T19" s="60"/>
      <c r="U19" s="60"/>
      <c r="V19" s="60"/>
      <c r="W19" s="61"/>
      <c r="X19" s="60"/>
      <c r="Y19" s="60"/>
      <c r="Z19" s="60"/>
      <c r="AA19" s="60"/>
      <c r="AB19" s="60"/>
      <c r="AC19" s="60"/>
      <c r="AD19" s="66"/>
      <c r="AE19" s="60"/>
      <c r="AF19" s="61" t="str">
        <f aca="false">IF(AND(ISNUMBER(X19),ISNUMBER(Y19)),Y19-X19,"")</f>
        <v/>
      </c>
      <c r="AG19" s="62" t="str">
        <f aca="false">IF(ISNUMBER(AD19),AD19-(IF(AND(INDEX(TZ_DSTS,MATCH(P19,TZ_STN,0))&lt;&gt;"",(AD19-INDEX(TZ_STD,MATCH(P19,TZ_STN,0))/24)&gt;=INDEX(TZ_DSTS,MATCH(P19,TZ_STN,0)),(AD19-INDEX(TZ_STD,MATCH(P19,TZ_STN,0))/24)&lt;INDEX(TZ_DSTE,MATCH(P19,TZ_STN,0))),INDEX(TZ_DST,MATCH(P19,TZ_STN,0)),INDEX(TZ_STD,MATCH(P19,TZ_STN,0))))/24,"")</f>
        <v/>
      </c>
      <c r="AH19" s="65" t="str">
        <f aca="false">IFERROR(IF(N19="N/A – rule",IF(OR(TRIM(U19)="",TRIM(U19)="N/A",TRIM(U19)="Not started"),"N/A – RULE","INVALID – this check does not apply to this aircraft: clear the status (or correct the fleet on Flights)"),IF(TRIM(U19)="N/A",IF(AT19=0,"INVALID – N/A not permitted for this check",IF(AND(TRIM(AB19)&lt;&gt;"",TRIM(AB19)&lt;&gt;"Closed"),"INVALID – corrective action still open",IF(AND(NOT(OR(LEN(AZ19)&lt;15,ISNUMBER(MATCH(AZ19,L_Placeholder,0)))),BK19=0,CG19&gt;=8,NOT(OR(LEN(AU19)&lt;2,ISNUMBER(MATCH(AU19,L_Placeholder,0)))),BR19&gt;=3,NOT(OR(LEN(AX19)&lt;2,ISNUMBER(MATCH(AX19,L_Placeholder,0)))),BS19&gt;=3,TRIM(AE19)&lt;&gt;TRIM(T19),AX19&lt;&gt;AU19,CE19=0),"N/A – JUSTIFIED","INVALID – N/A needs a real, settled reason (not 'not applicable' / 'as above' / TBC), a named PIC and a different named verifier"))),IF(OR(TRIM(U19)="Pass",TRIM(U19)="Pass after CA"),IF(NOT(ISNUMBER(AD19)),"INVALID – completion time missing",IF(OR(OR(LEN(AU19)&lt;2,ISNUMBER(MATCH(AU19,L_Placeholder,0))),BR19&lt;3),"INVALID – PIC missing or not a named person (a role such as QA / CSM is not a name)",IF(OR(LEN(AV19)&lt;2,ISNUMBER(MATCH(AV19,L_Placeholder,0))),"INVALID – result / assessment missing",IF(OR(OR(LEN(AW19)&lt;3,ISNUMBER(MATCH(AW19,L_Placeholder,0))),SUMPRODUCT(--ISNUMBER(SEARCH(" "&amp;L_EvidencePhrase&amp;" ",BD19)))&gt;0,BI19=1),"INVALID – evidence missing, placeholder or not yet on file",IF(ISNA(MATCH(TRIM(S19),L_EvidenceType,0)),"INVALID – choose the evidence type from the list (column S)",IF(BL19=0,"INVALID – evidence ID must be the record's own ID only (e.g. SF-2210, IMG_2231, 1045521); a link / file name needs type 'Link / file path'",IF(OR(OR(LEN(AX19)&lt;2,ISNUMBER(MATCH(AX19,L_Placeholder,0))),BS19&lt;3),"INVALID – verifier missing or not a named person (a role such as QA / CSM is not a name)",IF(OR(AX19=AU19,CE19=1,AND(LEN(AU19)&gt;=4,ISNUMBER(SEARCH(AU19,AX19))),AND(LEN(AX19)&gt;=4,ISNUMBER(SEARCH(AX19,AU19)))),"INVALID – verifier must be a different, named person (not the PIC or a role)",IF(BH19=1,"INVALID – result not yet available (awaiting / TBC)",IF(BG19=1,"INVALID – result describes a problem: record Fail, then Pass after CA (or reword if it is not a problem)",IF(BV19=1,"INVALID – wording says not on board: an on-board confirmation needs the item loaded",IF(AND(AQ19=1,OR(OR(LEN(AY19)&lt;3,ISNUMBER(MATCH(AY19,L_Placeholder,0))),BJ19=1,BQ19=0)),"INVALID – batch ID missing, placeholder or not an ID (e.g. PASB-261008-BC-017)",IF(AND(AR19=1,OR(NOT(ISNUMBER(X19)),NOT(ISNUMBER(Y19)))),"INVALID – expected/actual qty missing",IF(AND(AR19=1,OR(X19&lt;=0,Y19&lt;0)),"INVALID – expected qty must be above 0 and actual not negative",IF(BB19&lt;&gt;"",BB19,IF(AND(AS19=1,Documents!$J$5&lt;&gt;"ON FILE"),"INVALID – GLD not on file (Documents sheet)",IF(AND(AS19=2,Documents!$O$5&lt;&gt;"ON FILE"),"INVALID – menu checklist not on file (Documents sheet)",IF(AND(AS19=3,NOT(ISNUMBER(Flights!$AX$5))),"INVALID – enter carrying flight KUL departure (Flights AX)",IF(AND(AS19=3,OR(Flights!$AZ$5&gt;Flights!$AA$5,Flights!$AX$5&lt;Flights!$AA$5-3)),"INVALID – carrying flight (Flights AX) cannot arrive before this leg's STD, or is over 3 days early",IF(AG19&gt;AsOfUTC,"INVALID – completion time is in the future",IF(AND(ISNUMBER(BY19),AG19&lt;BY19),IF(H19="Physical uplift","INVALID – before uplift window (cannot confirm loading)","INVALID – before valid window"),IF(AG19&gt;Flights!$AA$5,"INVALID – completed after departure (cannot establish readiness)",IF(AND(H19="Preparation",AG19&gt;=IF(ISNUMBER(Flights!$BA$5),MIN(Flights!$BA$5,Flights!$AA$5),Flights!$AA$5)),"INVALID – completed after loading / departure (cannot establish readiness)",IF(AND(H19="Physical uplift",AG19&gt;Q19),"INVALID – recorded after the loading flight departed",IF(AG19&gt;Q19,"COMPLETE – LATE","COMPLETE"))))))))))))))))))))))))),IF(TRIM(U19)="Fail","FAIL – DISCREPANCY",IF(AND(TRIM(U19)&lt;&gt;"",TRIM(U19)&lt;&gt;"Not started",TRIM(U19)&lt;&gt;"In progress"),"INVALID – unrecognised status (use the list)",IF(AsOfUTC&gt;Q19,"OVERDUE",IF(N19="Clarification required","OPEN – CLARIFICATION","OPEN"))))))),"INVALID – error value in an input cell")</f>
        <v>OPEN</v>
      </c>
      <c r="AI19" s="61" t="n">
        <f aca="false">IF(OR(AH19="N/A – RULE",AH19="N/A – JUSTIFIED"),0,1)</f>
        <v>1</v>
      </c>
      <c r="AJ19" s="61" t="n">
        <f aca="false">IF(LEFT(AH19,8)="COMPLETE",1,0)</f>
        <v>0</v>
      </c>
      <c r="AK19" s="61" t="n">
        <f aca="false">IF(AND(AI19=1,AJ19=0,AsOfUTC&gt;Q19),1,0)</f>
        <v>0</v>
      </c>
      <c r="AL19" s="61" t="n">
        <f aca="false">IFERROR(IF(AND(AI19=1,OR(TRIM(U19)="Fail",AND(TRIM(AB19)&lt;&gt;"",TRIM(AB19)&lt;&gt;"Closed"),AND(ISNUMBER(AF19),AF19&lt;&gt;0,TRIM(U19)&lt;&gt;"Pass after CA"))),1,0),1)</f>
        <v>0</v>
      </c>
      <c r="AM19" s="61" t="n">
        <f aca="false">IF(LEFT(AH19,7)="INVALID",1,0)</f>
        <v>0</v>
      </c>
      <c r="AN19" s="61" t="n">
        <f aca="false">IF(AND(N19="Clarification required",AI19=1,AJ19=0),1,0)</f>
        <v>0</v>
      </c>
      <c r="AO19" s="61" t="str">
        <f aca="false">IF(AK19=1,SUM(AK$5:AK19),"")</f>
        <v/>
      </c>
      <c r="AP19" s="61" t="str">
        <f aca="false">IF(AL19=1,SUM(AL$5:AL19),"")</f>
        <v/>
      </c>
      <c r="AQ19" s="61" t="n">
        <v>0</v>
      </c>
      <c r="AR19" s="61" t="n">
        <v>0</v>
      </c>
      <c r="AS19" s="61" t="n">
        <v>0</v>
      </c>
      <c r="AT19" s="61" t="n">
        <v>0</v>
      </c>
      <c r="AU19" s="61" t="str">
        <f aca="false">SUBSTITUTE(SUBSTITUTE(SUBSTITUTE(SUBSTITUTE(SUBSTITUTE(SUBSTITUTE(SUBSTITUTE(SUBSTITUTE(SUBSTITUTE(SUBSTITUTE(SUBSTITUTE(SUBSTITUTE(SUBSTITUTE(SUBSTITUTE(SUBSTITUTE(SUBSTITUTE(LOWER(T19&amp;""),CHAR(10),""),CHAR(13),""),CHAR(9),""),CHAR(160),"")," ",""),".",""),"-",""),"/",""),"?",""),"_",""),",",""),"[",""),"]",""),"(",""),")",""),"*","")</f>
        <v/>
      </c>
      <c r="AV19" s="61" t="str">
        <f aca="false">SUBSTITUTE(SUBSTITUTE(SUBSTITUTE(SUBSTITUTE(SUBSTITUTE(SUBSTITUTE(SUBSTITUTE(SUBSTITUTE(SUBSTITUTE(SUBSTITUTE(SUBSTITUTE(SUBSTITUTE(SUBSTITUTE(SUBSTITUTE(SUBSTITUTE(SUBSTITUTE(LOWER(V19&amp;""),CHAR(10),""),CHAR(13),""),CHAR(9),""),CHAR(160),"")," ",""),".",""),"-",""),"/",""),"?",""),"_",""),",",""),"[",""),"]",""),"(",""),")",""),"*","")</f>
        <v/>
      </c>
      <c r="AW19" s="61" t="str">
        <f aca="false">SUBSTITUTE(SUBSTITUTE(SUBSTITUTE(SUBSTITUTE(SUBSTITUTE(SUBSTITUTE(SUBSTITUTE(SUBSTITUTE(SUBSTITUTE(SUBSTITUTE(SUBSTITUTE(SUBSTITUTE(SUBSTITUTE(SUBSTITUTE(SUBSTITUTE(SUBSTITUTE(LOWER(Z19&amp;""),CHAR(10),""),CHAR(13),""),CHAR(9),""),CHAR(160),"")," ",""),".",""),"-",""),"/",""),"?",""),"_",""),",",""),"[",""),"]",""),"(",""),")",""),"*","")</f>
        <v/>
      </c>
      <c r="AX19" s="61" t="str">
        <f aca="false">SUBSTITUTE(SUBSTITUTE(SUBSTITUTE(SUBSTITUTE(SUBSTITUTE(SUBSTITUTE(SUBSTITUTE(SUBSTITUTE(SUBSTITUTE(SUBSTITUTE(SUBSTITUTE(SUBSTITUTE(SUBSTITUTE(SUBSTITUTE(SUBSTITUTE(SUBSTITUTE(LOWER(AE19&amp;""),CHAR(10),""),CHAR(13),""),CHAR(9),""),CHAR(160),"")," ",""),".",""),"-",""),"/",""),"?",""),"_",""),",",""),"[",""),"]",""),"(",""),")",""),"*","")</f>
        <v/>
      </c>
      <c r="AY19" s="61" t="str">
        <f aca="false">SUBSTITUTE(SUBSTITUTE(SUBSTITUTE(SUBSTITUTE(SUBSTITUTE(SUBSTITUTE(SUBSTITUTE(SUBSTITUTE(SUBSTITUTE(SUBSTITUTE(SUBSTITUTE(SUBSTITUTE(SUBSTITUTE(SUBSTITUTE(SUBSTITUTE(SUBSTITUTE(LOWER(W19&amp;""),CHAR(10),""),CHAR(13),""),CHAR(9),""),CHAR(160),"")," ",""),".",""),"-",""),"/",""),"?",""),"_",""),",",""),"[",""),"]",""),"(",""),")",""),"*","")</f>
        <v/>
      </c>
      <c r="AZ19" s="61" t="str">
        <f aca="false">SUBSTITUTE(SUBSTITUTE(SUBSTITUTE(SUBSTITUTE(SUBSTITUTE(SUBSTITUTE(SUBSTITUTE(SUBSTITUTE(SUBSTITUTE(SUBSTITUTE(SUBSTITUTE(SUBSTITUTE(SUBSTITUTE(SUBSTITUTE(SUBSTITUTE(SUBSTITUTE(LOWER(AC19&amp;""),CHAR(10),""),CHAR(13),""),CHAR(9),""),CHAR(160),"")," ",""),".",""),"-",""),"/",""),"?",""),"_",""),",",""),"[",""),"]",""),"(",""),")",""),"*","")</f>
        <v/>
      </c>
      <c r="BA19" s="61" t="str">
        <f aca="false">SUBSTITUTE(SUBSTITUTE(SUBSTITUTE(SUBSTITUTE(SUBSTITUTE(SUBSTITUTE(SUBSTITUTE(SUBSTITUTE(SUBSTITUTE(SUBSTITUTE(SUBSTITUTE(SUBSTITUTE(SUBSTITUTE(SUBSTITUTE(SUBSTITUTE(SUBSTITUTE(LOWER(AA19&amp;""),CHAR(10),""),CHAR(13),""),CHAR(9),""),CHAR(160),"")," ",""),".",""),"-",""),"/",""),"?",""),"_",""),",",""),"[",""),"]",""),"(",""),")",""),"*","")</f>
        <v/>
      </c>
      <c r="BB19" s="61" t="str">
        <f aca="false">IF(AND(TRIM(U19)="Pass",ISNUMBER(AF19)),IF(AF19&lt;&gt;0,"INVALID – qty variance: use Fail or Pass after CA",""),"")&amp;IF(AND(TRIM(U19)="Pass after CA",ISNUMBER(AF19)),IF(AF19&lt;&gt;0,"INVALID – after the corrective action the actual qty must equal expected (update Actual)",""),"")&amp;IF(AND(TRIM(U19)="Pass",TRIM(AB19)&lt;&gt;"",TRIM(AB19)&lt;&gt;"Closed"),"INVALID – corrective action not closed: use Fail, then Pass after CA","")&amp;IF(AND(LEN(BA19)&gt;=2,ISNA(MATCH(LEFT(BA19,255),L_Placeholder,0)),TRIM(AB19)=""),"INVALID – CA status missing for the recorded corrective action","")&amp;IF(AND(TRIM(U19)="Pass after CA",OR(OR(LEN(BA19)&lt;5,ISNUMBER(MATCH(BA19,L_Placeholder,0))),TRIM(AB19)&lt;&gt;"Closed")),"INVALID – corrective action not recorded/closed","")</f>
        <v/>
      </c>
      <c r="BC19" s="61" t="str">
        <f aca="false">" "&amp;TRIM(SUBSTITUTE(SUBSTITUTE(SUBSTITUTE(SUBSTITUTE(SUBSTITUTE(SUBSTITUTE(SUBSTITUTE(SUBSTITUTE(SUBSTITUTE(SUBSTITUTE(SUBSTITUTE(SUBSTITUTE(SUBSTITUTE(SUBSTITUTE(SUBSTITUTE(SUBSTITUTE(SUBSTITUTE(SUBSTITUTE(SUBSTITUTE(SUBSTITUTE(SUBSTITUTE(SUBSTITUTE(SUBSTITUTE(SUBSTITUTE(LOWER(V19&amp;""),CHAR(10)," "),CHAR(13)," "),CHAR(9)," "),CHAR(160)," "),"."," "),","," "),"-"," "),"/"," "),"("," "),")"," "),":"," "),";"," "),"_"," "),"–"," "),"?"," "),"!"," "),"*"," "),"["," "),"]"," "),"'"," "),"#"," "),"+"," "),"&amp;"," "),"\"," "))&amp;" "</f>
        <v>  </v>
      </c>
      <c r="BD19" s="61" t="str">
        <f aca="false">" "&amp;TRIM(SUBSTITUTE(SUBSTITUTE(SUBSTITUTE(SUBSTITUTE(SUBSTITUTE(SUBSTITUTE(SUBSTITUTE(SUBSTITUTE(SUBSTITUTE(SUBSTITUTE(SUBSTITUTE(SUBSTITUTE(SUBSTITUTE(SUBSTITUTE(SUBSTITUTE(SUBSTITUTE(SUBSTITUTE(SUBSTITUTE(SUBSTITUTE(SUBSTITUTE(SUBSTITUTE(SUBSTITUTE(SUBSTITUTE(SUBSTITUTE(LOWER(Z19&amp;""),CHAR(10)," "),CHAR(13)," "),CHAR(9)," "),CHAR(160)," "),"."," "),","," "),"-"," "),"/"," "),"("," "),")"," "),":"," "),";"," "),"_"," "),"–"," "),"?"," "),"!"," "),"*"," "),"["," "),"]"," "),"'"," "),"#"," "),"+"," "),"&amp;"," "),"\"," "))&amp;" "</f>
        <v>  </v>
      </c>
      <c r="BE19" s="61" t="str">
        <f aca="false">" "&amp;TRIM(SUBSTITUTE(SUBSTITUTE(SUBSTITUTE(SUBSTITUTE(SUBSTITUTE(SUBSTITUTE(SUBSTITUTE(SUBSTITUTE(SUBSTITUTE(SUBSTITUTE(SUBSTITUTE(SUBSTITUTE(SUBSTITUTE(SUBSTITUTE(SUBSTITUTE(SUBSTITUTE(SUBSTITUTE(SUBSTITUTE(SUBSTITUTE(SUBSTITUTE(SUBSTITUTE(SUBSTITUTE(SUBSTITUTE(SUBSTITUTE(LOWER(W19&amp;""),CHAR(10)," "),CHAR(13)," "),CHAR(9)," "),CHAR(160)," "),"."," "),","," "),"-"," "),"/"," "),"("," "),")"," "),":"," "),";"," "),"_"," "),"–"," "),"?"," "),"!"," "),"*"," "),"["," "),"]"," "),"'"," "),"#"," "),"+"," "),"&amp;"," "),"\"," "))&amp;" "</f>
        <v>  </v>
      </c>
      <c r="BF19" s="61" t="str">
        <f aca="false">" "&amp;TRIM(SUBSTITUTE(SUBSTITUTE(SUBSTITUTE(SUBSTITUTE(SUBSTITUTE(SUBSTITUTE(SUBSTITUTE(SUBSTITUTE(SUBSTITUTE(SUBSTITUTE(SUBSTITUTE(SUBSTITUTE(SUBSTITUTE(SUBSTITUTE(SUBSTITUTE(SUBSTITUTE(SUBSTITUTE(SUBSTITUTE(SUBSTITUTE(SUBSTITUTE(SUBSTITUTE(SUBSTITUTE(SUBSTITUTE(SUBSTITUTE(LOWER(AC19&amp;""),CHAR(10)," "),CHAR(13)," "),CHAR(9)," "),CHAR(160)," "),"."," "),","," "),"-"," "),"/"," "),"("," "),")"," "),":"," "),";"," "),"_"," "),"–"," "),"?"," "),"!"," "),"*"," "),"["," "),"]"," "),"'"," "),"#"," "),"+"," "),"&amp;"," "),"\"," "))&amp;" "</f>
        <v>  </v>
      </c>
      <c r="BG19" s="61" t="n">
        <f aca="false">IFERROR(IF(AND(TRIM(U19)="Pass",SUMPRODUCT((LEN(BC19)-LEN(SUBSTITUTE(BC19," "&amp;L_ResultBad&amp;" "," ")))/(LEN(L_ResultBad)+1))&gt;SUMPRODUCT((LEN(BC19)-LEN(SUBSTITUTE(BC19," "&amp;L_NegPhrase&amp;" "," ")))/(LEN(L_NegPhrase)+1))),1,0),0)</f>
        <v>0</v>
      </c>
      <c r="BH19" s="61" t="n">
        <f aca="false">IFERROR(IF(SUMPRODUCT((LEN(BC19)-LEN(SUBSTITUTE(BC19," "&amp;L_Pending&amp;" "," ")))/(LEN(L_Pending)+1))&gt;SUMPRODUCT((LEN(BC19)-LEN(SUBSTITUTE(BC19," "&amp;L_PendNeg&amp;" "," ")))/(LEN(L_PendNeg)+1))+SUMPRODUCT((LEN(BC19)-LEN(SUBSTITUTE(BC19," "&amp;L_PendPrep&amp;" "," ")))/(LEN(L_PendPrep)+1)),1,0),1)</f>
        <v>0</v>
      </c>
      <c r="BI19" s="61" t="n">
        <f aca="false">IFERROR(IF(SUMPRODUCT((LEN(BD19)-LEN(SUBSTITUTE(BD19," "&amp;L_PendStrict&amp;" "," ")))/(LEN(L_PendStrict)+1))&gt;SUMPRODUCT((LEN(BD19)-LEN(SUBSTITUTE(BD19," "&amp;L_PendNeg&amp;" "," ")))/(LEN(L_PendNeg)+1)),1,0),1)</f>
        <v>0</v>
      </c>
      <c r="BJ19" s="61" t="n">
        <f aca="false">IFERROR(IF(SUMPRODUCT((LEN(BE19)-LEN(SUBSTITUTE(BE19," "&amp;L_Pending&amp;" "," ")))/(LEN(L_Pending)+1))&gt;SUMPRODUCT((LEN(BE19)-LEN(SUBSTITUTE(BE19," "&amp;L_PendNeg&amp;" "," ")))/(LEN(L_PendNeg)+1))+SUMPRODUCT((LEN(BE19)-LEN(SUBSTITUTE(BE19," "&amp;L_PendPrep&amp;" "," ")))/(LEN(L_PendPrep)+1)),1,0),1)</f>
        <v>0</v>
      </c>
      <c r="BK19" s="61" t="n">
        <f aca="false">IFERROR(IF(SUMPRODUCT((LEN(BF19)-LEN(SUBSTITUTE(BF19," "&amp;L_PendStrict&amp;" "," ")))/(LEN(L_PendStrict)+1))&gt;SUMPRODUCT((LEN(BF19)-LEN(SUBSTITUTE(BF19," "&amp;L_PendNeg&amp;" "," ")))/(LEN(L_PendNeg)+1)),1,0),1)</f>
        <v>0</v>
      </c>
      <c r="BL19" s="61" t="n">
        <f aca="false">IF(ISNA(MATCH(TRIM(S19),L_EvidenceType,0)),0,BZ19)</f>
        <v>0</v>
      </c>
      <c r="BM19" s="61" t="str">
        <f aca="false">SUBSTITUTE(SUBSTITUTE(SUBSTITUTE(SUBSTITUTE(SUBSTITUTE(SUBSTITUTE(SUBSTITUTE(SUBSTITUTE(SUBSTITUTE(LOWER(Z19&amp;""),"1","0"),"2","0"),"3","0"),"4","0"),"5","0"),"6","0"),"7","0"),"8","0"),"9","0")</f>
        <v/>
      </c>
      <c r="BN19" s="61" t="str">
        <f aca="false">SUBSTITUTE(SUBSTITUTE(SUBSTITUTE(SUBSTITUTE(SUBSTITUTE(SUBSTITUTE(SUBSTITUTE(SUBSTITUTE(SUBSTITUTE(SUBSTITUTE(SUBSTITUTE(SUBSTITUTE(SUBSTITUTE(SUBSTITUTE(SUBSTITUTE(SUBSTITUTE(SUBSTITUTE(SUBSTITUTE(SUBSTITUTE(SUBSTITUTE(SUBSTITUTE(SUBSTITUTE(SUBSTITUTE(SUBSTITUTE(SUBSTITUTE(BM19,"b","a"),"c","a"),"d","a"),"e","a"),"f","a"),"g","a"),"h","a"),"i","a"),"j","a"),"k","a"),"l","a"),"m","a"),"n","a"),"o","a"),"p","a"),"q","a"),"r","a"),"s","a"),"t","a"),"u","a"),"v","a"),"w","a"),"x","a"),"y","a"),"z","a")</f>
        <v/>
      </c>
      <c r="BO19" s="61" t="str">
        <f aca="false">SUBSTITUTE(SUBSTITUTE(SUBSTITUTE(SUBSTITUTE(SUBSTITUTE(SUBSTITUTE(SUBSTITUTE(SUBSTITUTE(SUBSTITUTE(LOWER(W19&amp;""),"1","0"),"2","0"),"3","0"),"4","0"),"5","0"),"6","0"),"7","0"),"8","0"),"9","0")</f>
        <v/>
      </c>
      <c r="BP19" s="61" t="str">
        <f aca="false">SUBSTITUTE(SUBSTITUTE(SUBSTITUTE(SUBSTITUTE(SUBSTITUTE(SUBSTITUTE(SUBSTITUTE(SUBSTITUTE(SUBSTITUTE(SUBSTITUTE(SUBSTITUTE(SUBSTITUTE(SUBSTITUTE(SUBSTITUTE(SUBSTITUTE(SUBSTITUTE(SUBSTITUTE(SUBSTITUTE(SUBSTITUTE(SUBSTITUTE(SUBSTITUTE(SUBSTITUTE(SUBSTITUTE(SUBSTITUTE(SUBSTITUTE(BO19,"b","a"),"c","a"),"d","a"),"e","a"),"f","a"),"g","a"),"h","a"),"i","a"),"j","a"),"k","a"),"l","a"),"m","a"),"n","a"),"o","a"),"p","a"),"q","a"),"r","a"),"s","a"),"t","a"),"u","a"),"v","a"),"w","a"),"x","a"),"y","a"),"z","a")</f>
        <v/>
      </c>
      <c r="BQ19" s="61" t="n">
        <f aca="false">IFERROR(IF(AND(ISERROR(SEARCH(" mh"," "&amp;LOWER(W19))),ISNA(MATCH(LEFT(TRIM(BP19),255),{"0000a","000a","00a","0000aa","000aa","00aa","0aa","0000aaa","000aaa","00a00","0a00","0000-0000","00:00","a00","a0","00.00.0000","00/00/0000","00-00-0000","0000-00-00","0000/00/00","0000.00.00","00.00.00","00/00/00","00-00-00","0.00.0000","0/00/0000","0-00-0000"},0)),ISNA(MATCH(LEFT(TRIM(CA19),255),{"0000a","000a","00a","0000aa","000aa","00aa","0aa","0000aaa","000aaa","00a00","0a00","0000-0000","00:00","a00","a0","00.00.0000","00/00/0000","00-00-0000","0000-00-00","0000/00/00","0000.00.00","00.00.00","00/00/00","00-00-00","0.00.0000","0/00/0000","0-00-0000"},0)),LEN(CB19)&gt;=3,NOT(OR(SUBSTITUTE(CB19,"0","")="",AND(LEN(CB19)&gt;=4,CB19=REPT(LEFT(CB19),LEN(CB19))),ISNUMBER(MATCH(CB19,{"123","1234","12345","123456","1234567","12345678","0123","01234","012345","98765","987654","54321"},0)),AND(LEN(CB19)=8,LEFT(CB19,3)="202"))),OR(AND((LEN(CA19)-LEN(SUBSTITUTE(CA19,"a","")))&gt;=1,SUMPRODUCT(--ISNUMBER(SEARCH({"a0","a-0","a_0","a/0","a.0","a#0","0a","0-a","0_a","0/a"},BP19)))&gt;0),ISNUMBER(SEARCH("000000",BP19)))),1,0),0)</f>
        <v>0</v>
      </c>
      <c r="BR19" s="61" t="n">
        <f aca="false">IFERROR(LEN(SUBSTITUTE(CC19," ",""))-SUMPRODUCT((LEN(CC19)-LEN(SUBSTITUTE(CC19," "&amp;L_Role&amp;" "," ")))/(LEN(L_Role)+1)*LEN(L_Role)),0)</f>
        <v>0</v>
      </c>
      <c r="BS19" s="61" t="n">
        <f aca="false">IFERROR(LEN(SUBSTITUTE(CD19," ",""))-SUMPRODUCT((LEN(CD19)-LEN(SUBSTITUTE(CD19," "&amp;L_Role&amp;" "," ")))/(LEN(L_Role)+1)*LEN(L_Role)),0)</f>
        <v>0</v>
      </c>
      <c r="BT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revision",""),"version",""),"jan",""),"feb",""),"mar",""),"apr",""),"may",""),"jun",""),"jul",""),"aug",""),"sep",""),"oct",""),"nov",""),"dec",""),"utc",""),"gmt",""),"myt",""),"bst",""),"rev",""),"ver",""),"b","a"),"c","a"),"d","a"),"e","a"),"f","a"),"g","a"),"h","a"),"i","a"),"j","a"),"k","a"),"l","a"),"m","a"),"n","a"),"o","a"),"p","a"),"q","a"),"r","a"),"s","a"),"t","a"),"u","a"),"v","a"),"w","a"),"x","a"),"y","a"),"z","a")</f>
        <v/>
      </c>
      <c r="BU19" s="61" t="str">
        <f aca="false">SUBSTITUTE(SUBSTITUTE(SUBSTITUTE(SUBSTITUTE(SUBSTITUTE(SUBSTITUTE(SUBSTITUTE(SUBSTITUTE(SUBSTITUTE(SUBSTITUTE(LEFT(BM19,FIND("0",BM19&amp;"0")-1),"-",""),"_",""),"/",""),".",""),"#",""),"\\",""),":","")," ",""),"(",""),")","")</f>
        <v/>
      </c>
      <c r="BV19" s="61" t="n">
        <f aca="false">0</f>
        <v>0</v>
      </c>
      <c r="BW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amp;""),"a",""),"b",""),"c",""),"d",""),"e",""),"f",""),"g",""),"h",""),"i",""),"j",""),"k",""),"l",""),"m",""),"n",""),"o",""),"p",""),"q",""),"r",""),"s",""),"t",""),"u",""),"v",""),"w",""),"x",""),"y",""),"z",""),"-",""),"_",""),"/",""),".",""),"#",""),"\\",""),":","")," ",""),"(",""),")","")</f>
        <v/>
      </c>
      <c r="BX19" s="61" t="str">
        <f aca="false">SUBSTITUTE(SUBSTITUTE(SUBSTITUTE(SUBSTITUTE(SUBSTITUTE(SUBSTITUTE(SUBSTITUTE(SUBSTITUTE(SUBSTITUTE(SUBSTITUTE(SUBSTITUTE(BM19,"0",""),"-",""),"_",""),"/",""),".",""),"#",""),"\\",""),":","")," ",""),"(",""),")","")</f>
        <v/>
      </c>
      <c r="BY19" s="62" t="n">
        <f aca="false">Q19-T12EarlyH/24</f>
        <v>46302.8576388889</v>
      </c>
      <c r="BZ19" s="61" t="n">
        <f aca="false">IFERROR(IF(IF(TRIM(S19)="Link / file path",AND(LEN(TRIM(Z19))&gt;=5,SUMPRODUCT(--ISNUMBER(SEARCH({"http","www.","\\",":\",".pdf",".jpg",".jpeg",".png",".heic",".xls",".doc",".msg",".eml",".ppt",".txt",".zip"},Z19)))&gt;0),AND(ISERROR(FIND(" ",TRIM(Z19))),NOT(OR(SUMPRODUCT(--ISNUMBER(FIND({",",";","&amp;","+"},Z19)))&gt;0,SUMPRODUCT(--ISNUMBER(SEARCH({"0/aa","0\\aa"},BN19)))&gt;0)),NOT(SUMPRODUCT(--ISNUMBER(SEARCH({"http","www.","\\",":\",".pdf",".jpg",".jpeg",".png",".heic",".xls",".doc",".msg",".eml",".ppt",".txt",".zip"},Z19)))&gt;0),NOT(LOWER(TRIM(Z19))=LOWER(Flights!$F$5)),ISNA(MATCH(BU19,{"mh","rev","revision","ver","version","v","r","a","b","seat","tray","row","gate","bay","stand","page","pg","item","line","no","cart","galley","flight","flt","table","box","bag","oven","etd","eta","std","sta","atd","ata","qty","pax","x","time","tel","ph","mob","day","wk","week","utc","gmt","myt","lt"},0)),NOT(OR(ISNUMBER(MATCH(LEFT(BN19,255),{"0000a","000a","00a","0000aa","000aa","00aa","0aa","0000aaa","000aaa","00a00","0a00","0000-0000","00:00","a00","a0","00.00.0000","00/00/0000","00-00-0000","0000-00-00","0000/00/00","0000.00.00","00.00.00","00/00/00","00-00-00","0.00.0000","0/00/0000","0-00-0000"},0)),ISNUMBER(MATCH(LEFT(BT19,255),{"0000a","000a","00a","0000aa","000aa","00aa","0aa","0000aaa","000aaa","00a00","0a00","0000-0000","00:00","a00","a0","00.00.0000","00/00/0000","00-00-0000","0000-00-00","0000/00/00","0000.00.00","00.00.00","00/00/00","00-00-00","0.00.0000","0/00/0000","0-00-0000"},0)))),NOT(OR(AND(BW19&lt;&gt;"",SUBSTITUTE(BW19,"0","")=""),AND(LEN(BW19)&gt;=4,BW19=REPT(LEFT(BW19),LEN(BW19))),ISNUMBER(MATCH(BW19,{"123","1234","12345","123456","1234567","12345678","0123","01234","012345","98765","987654","54321"},0)),ISNUMBER(MATCH(BX19,{"x","xx","xxx","xxxx","xxxxx","abc","abcd","nil","na","nan","test","tbc","tba","tbd","dummy","sample","example","eg","zz","zzz","none","null","xyz","qwe","asd","id","ref"},0)),AND(LEN(BW19)=8,BX19="",OR(LEFT(BW19,3)="202",ISNUMBER(MATCH(RIGHT(BW19,4),{"2025","2026","2027"},0)))))),OR(AND((LEN(BT19)-LEN(SUBSTITUTE(BT19,"a","")))&gt;=1,(LEN(BN19)-LEN(SUBSTITUTE(BN19,"0","")))&gt;=2,SUMPRODUCT(--ISNUMBER(SEARCH({"a0","a-0","a_0","a/0","a.0","a#0","0a","0-a","0_a","0/a"},BN19)))&gt;0),AND((LEN(BN19)-LEN(SUBSTITUTE(BN19,"a","")))=0,(LEN(BN19)-LEN(SUBSTITUTE(BN19,"0","")))&gt;=5)))),1,0),0)</f>
        <v>0</v>
      </c>
      <c r="CA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revision",""),"version",""),"jan",""),"feb",""),"mar",""),"apr",""),"may",""),"jun",""),"jul",""),"aug",""),"sep",""),"oct",""),"nov",""),"dec",""),"utc",""),"gmt",""),"myt",""),"bst",""),"rev",""),"ver",""),"b","a"),"c","a"),"d","a"),"e","a"),"f","a"),"g","a"),"h","a"),"i","a"),"j","a"),"k","a"),"l","a"),"m","a"),"n","a"),"o","a"),"p","a"),"q","a"),"r","a"),"s","a"),"t","a"),"u","a"),"v","a"),"w","a"),"x","a"),"y","a"),"z","a")</f>
        <v/>
      </c>
      <c r="CB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amp;""),"a",""),"b",""),"c",""),"d",""),"e",""),"f",""),"g",""),"h",""),"i",""),"j",""),"k",""),"l",""),"m",""),"n",""),"o",""),"p",""),"q",""),"r",""),"s",""),"t",""),"u",""),"v",""),"w",""),"x",""),"y",""),"z",""),"-",""),"_",""),"/",""),".",""),"#",""),"\\",""),":","")," ",""),"(",""),")","")</f>
        <v/>
      </c>
      <c r="CC19" s="0" t="str">
        <f aca="false">" "&amp;TRIM(SUBSTITUTE(SUBSTITUTE(SUBSTITUTE(SUBSTITUTE(SUBSTITUTE(SUBSTITUTE(SUBSTITUTE(SUBSTITUTE(SUBSTITUTE(SUBSTITUTE(SUBSTITUTE(SUBSTITUTE(SUBSTITUTE(SUBSTITUTE(SUBSTITUTE(SUBSTITUTE(SUBSTITUTE(SUBSTITUTE(SUBSTITUTE(SUBSTITUTE(SUBSTITUTE(SUBSTITUTE(SUBSTITUTE(SUBSTITUTE(LOWER(T19&amp;""),CHAR(10)," "),CHAR(13)," "),CHAR(9)," "),CHAR(160)," "),"."," "),","," "),"-"," "),"/"," "),"("," "),")"," "),":"," "),";"," "),"_"," "),"–"," "),"?"," "),"!"," "),"*"," "),"["," "),"]"," "),"'"," "),"#"," "),"+"," "),"&amp;"," "),"\"," "))&amp;" "</f>
        <v>  </v>
      </c>
      <c r="CD19" s="0" t="str">
        <f aca="false">" "&amp;TRIM(SUBSTITUTE(SUBSTITUTE(SUBSTITUTE(SUBSTITUTE(SUBSTITUTE(SUBSTITUTE(SUBSTITUTE(SUBSTITUTE(SUBSTITUTE(SUBSTITUTE(SUBSTITUTE(SUBSTITUTE(SUBSTITUTE(SUBSTITUTE(SUBSTITUTE(SUBSTITUTE(SUBSTITUTE(SUBSTITUTE(SUBSTITUTE(SUBSTITUTE(SUBSTITUTE(SUBSTITUTE(SUBSTITUTE(SUBSTITUTE(LOWER(AE19&amp;""),CHAR(10)," "),CHAR(13)," "),CHAR(9)," "),CHAR(160)," "),"."," "),","," "),"-"," "),"/"," "),"("," "),")"," "),":"," "),";"," "),"_"," "),"–"," "),"?"," "),"!"," "),"*"," "),"["," "),"]"," "),"'"," "),"#"," "),"+"," "),"&amp;"," "),"\"," "))&amp;" "</f>
        <v>  </v>
      </c>
      <c r="CE19" s="68" t="n">
        <f aca="false">IFERROR(IF(AND(LEN(AU19)&gt;0,LEN(AU19)=LEN(AX19),OR(TRIM(MID(SUBSTITUTE(TRIM(CC19)," ",REPT(" ",60)),1,60))="",ISNUMBER(SEARCH(" "&amp;TRIM(MID(SUBSTITUTE(TRIM(CC19)," ",REPT(" ",60)),1,60))&amp;" ",CD19))),OR(TRIM(MID(SUBSTITUTE(TRIM(CC19)," ",REPT(" ",60)),61,60))="",ISNUMBER(SEARCH(" "&amp;TRIM(MID(SUBSTITUTE(TRIM(CC19)," ",REPT(" ",60)),61,60))&amp;" ",CD19))),OR(TRIM(MID(SUBSTITUTE(TRIM(CC19)," ",REPT(" ",60)),121,60))="",ISNUMBER(SEARCH(" "&amp;TRIM(MID(SUBSTITUTE(TRIM(CC19)," ",REPT(" ",60)),121,60))&amp;" ",CD19)))),1,0),0)</f>
        <v>0</v>
      </c>
      <c r="CG19" s="68" t="n">
        <f aca="false">IFERROR(LEN(SUBSTITUTE(BF19," ",""))-SUMPRODUCT((LEN(BF19)-LEN(SUBSTITUTE(BF19," "&amp;L_NAFiller&amp;" "," ")))/(LEN(L_NAFiller)+1)*LEN(L_NAFiller)),0)</f>
        <v>0</v>
      </c>
    </row>
    <row r="20" customFormat="false" ht="141" hidden="false" customHeight="true" outlineLevel="0" collapsed="false">
      <c r="A20" s="57" t="s">
        <v>434</v>
      </c>
      <c r="B20" s="57" t="s">
        <v>183</v>
      </c>
      <c r="C20" s="57" t="str">
        <f aca="false">Flights!$F$5</f>
        <v>MH0001</v>
      </c>
      <c r="D20" s="58" t="n">
        <f aca="false">Flights!$D$5</f>
        <v>46303</v>
      </c>
      <c r="E20" s="57" t="str">
        <f aca="false">Flights!$G$5&amp;"-"&amp;Flights!$H$5</f>
        <v>LHR-KUL</v>
      </c>
      <c r="F20" s="57" t="str">
        <f aca="false">Flights!$K$5</f>
        <v>EY</v>
      </c>
      <c r="G20" s="57" t="s">
        <v>420</v>
      </c>
      <c r="H20" s="57" t="s">
        <v>378</v>
      </c>
      <c r="I20" s="57" t="s">
        <v>428</v>
      </c>
      <c r="J20" s="57" t="s">
        <v>435</v>
      </c>
      <c r="K20" s="67" t="s">
        <v>436</v>
      </c>
      <c r="L20" s="67" t="s">
        <v>422</v>
      </c>
      <c r="M20" s="67"/>
      <c r="N20" s="67" t="s">
        <v>383</v>
      </c>
      <c r="O20" s="67" t="s">
        <v>423</v>
      </c>
      <c r="P20" s="57" t="s">
        <v>186</v>
      </c>
      <c r="Q20" s="59" t="n">
        <f aca="false">ROUND((Flights!$AE$5)*1440,0)/1440</f>
        <v>46303.3576388889</v>
      </c>
      <c r="R20" s="59" t="n">
        <f aca="false">Q20+(IF(AND(INDEX(TZ_DSTS,MATCH(P20,TZ_STN,0))&lt;&gt;"",Q20&gt;=INDEX(TZ_DSTS,MATCH(P20,TZ_STN,0)),Q20&lt;INDEX(TZ_DSTE,MATCH(P20,TZ_STN,0))),INDEX(TZ_DST,MATCH(P20,TZ_STN,0)),INDEX(TZ_STD,MATCH(P20,TZ_STN,0))))/24</f>
        <v>46303.3993055556</v>
      </c>
      <c r="S20" s="60"/>
      <c r="T20" s="60"/>
      <c r="U20" s="60"/>
      <c r="V20" s="60"/>
      <c r="W20" s="61"/>
      <c r="X20" s="60"/>
      <c r="Y20" s="60"/>
      <c r="Z20" s="60"/>
      <c r="AA20" s="60"/>
      <c r="AB20" s="60"/>
      <c r="AC20" s="60"/>
      <c r="AD20" s="66"/>
      <c r="AE20" s="60"/>
      <c r="AF20" s="61" t="str">
        <f aca="false">IF(AND(ISNUMBER(X20),ISNUMBER(Y20)),Y20-X20,"")</f>
        <v/>
      </c>
      <c r="AG20" s="62" t="str">
        <f aca="false">IF(ISNUMBER(AD20),AD20-(IF(AND(INDEX(TZ_DSTS,MATCH(P20,TZ_STN,0))&lt;&gt;"",(AD20-INDEX(TZ_STD,MATCH(P20,TZ_STN,0))/24)&gt;=INDEX(TZ_DSTS,MATCH(P20,TZ_STN,0)),(AD20-INDEX(TZ_STD,MATCH(P20,TZ_STN,0))/24)&lt;INDEX(TZ_DSTE,MATCH(P20,TZ_STN,0))),INDEX(TZ_DST,MATCH(P20,TZ_STN,0)),INDEX(TZ_STD,MATCH(P20,TZ_STN,0))))/24,"")</f>
        <v/>
      </c>
      <c r="AH20" s="65" t="str">
        <f aca="false">IFERROR(IF(N20="N/A – rule",IF(OR(TRIM(U20)="",TRIM(U20)="N/A",TRIM(U20)="Not started"),"N/A – RULE","INVALID – this check does not apply to this aircraft: clear the status (or correct the fleet on Flights)"),IF(TRIM(U20)="N/A",IF(AT20=0,"INVALID – N/A not permitted for this check",IF(AND(TRIM(AB20)&lt;&gt;"",TRIM(AB20)&lt;&gt;"Closed"),"INVALID – corrective action still open",IF(AND(NOT(OR(LEN(AZ20)&lt;15,ISNUMBER(MATCH(AZ20,L_Placeholder,0)))),BK20=0,CG20&gt;=8,NOT(OR(LEN(AU20)&lt;2,ISNUMBER(MATCH(AU20,L_Placeholder,0)))),BR20&gt;=3,NOT(OR(LEN(AX20)&lt;2,ISNUMBER(MATCH(AX20,L_Placeholder,0)))),BS20&gt;=3,TRIM(AE20)&lt;&gt;TRIM(T20),AX20&lt;&gt;AU20,CE20=0),"N/A – JUSTIFIED","INVALID – N/A needs a real, settled reason (not 'not applicable' / 'as above' / TBC), a named PIC and a different named verifier"))),IF(OR(TRIM(U20)="Pass",TRIM(U20)="Pass after CA"),IF(NOT(ISNUMBER(AD20)),"INVALID – completion time missing",IF(OR(OR(LEN(AU20)&lt;2,ISNUMBER(MATCH(AU20,L_Placeholder,0))),BR20&lt;3),"INVALID – PIC missing or not a named person (a role such as QA / CSM is not a name)",IF(OR(LEN(AV20)&lt;2,ISNUMBER(MATCH(AV20,L_Placeholder,0))),"INVALID – result / assessment missing",IF(OR(OR(LEN(AW20)&lt;3,ISNUMBER(MATCH(AW20,L_Placeholder,0))),SUMPRODUCT(--ISNUMBER(SEARCH(" "&amp;L_EvidencePhrase&amp;" ",BD20)))&gt;0,BI20=1),"INVALID – evidence missing, placeholder or not yet on file",IF(ISNA(MATCH(TRIM(S20),L_EvidenceType,0)),"INVALID – choose the evidence type from the list (column S)",IF(BL20=0,"INVALID – evidence ID must be the record's own ID only (e.g. SF-2210, IMG_2231, 1045521); a link / file name needs type 'Link / file path'",IF(OR(OR(LEN(AX20)&lt;2,ISNUMBER(MATCH(AX20,L_Placeholder,0))),BS20&lt;3),"INVALID – verifier missing or not a named person (a role such as QA / CSM is not a name)",IF(OR(AX20=AU20,CE20=1,AND(LEN(AU20)&gt;=4,ISNUMBER(SEARCH(AU20,AX20))),AND(LEN(AX20)&gt;=4,ISNUMBER(SEARCH(AX20,AU20)))),"INVALID – verifier must be a different, named person (not the PIC or a role)",IF(BH20=1,"INVALID – result not yet available (awaiting / TBC)",IF(BG20=1,"INVALID – result describes a problem: record Fail, then Pass after CA (or reword if it is not a problem)",IF(BV20=1,"INVALID – wording says not on board: an on-board confirmation needs the item loaded",IF(AND(AQ20=1,OR(OR(LEN(AY20)&lt;3,ISNUMBER(MATCH(AY20,L_Placeholder,0))),BJ20=1,BQ20=0)),"INVALID – batch ID missing, placeholder or not an ID (e.g. PASB-261008-BC-017)",IF(AND(AR20=1,OR(NOT(ISNUMBER(X20)),NOT(ISNUMBER(Y20)))),"INVALID – expected/actual qty missing",IF(AND(AR20=1,OR(X20&lt;=0,Y20&lt;0)),"INVALID – expected qty must be above 0 and actual not negative",IF(BB20&lt;&gt;"",BB20,IF(AND(AS20=1,Documents!$J$5&lt;&gt;"ON FILE"),"INVALID – GLD not on file (Documents sheet)",IF(AND(AS20=2,Documents!$O$5&lt;&gt;"ON FILE"),"INVALID – menu checklist not on file (Documents sheet)",IF(AND(AS20=3,NOT(ISNUMBER(Flights!$AX$5))),"INVALID – enter carrying flight KUL departure (Flights AX)",IF(AND(AS20=3,OR(Flights!$AZ$5&gt;Flights!$AA$5,Flights!$AX$5&lt;Flights!$AA$5-3)),"INVALID – carrying flight (Flights AX) cannot arrive before this leg's STD, or is over 3 days early",IF(AG20&gt;AsOfUTC,"INVALID – completion time is in the future",IF(AND(ISNUMBER(BY20),AG20&lt;BY20),IF(H20="Physical uplift","INVALID – before uplift window (cannot confirm loading)","INVALID – before valid window"),IF(AG20&gt;Flights!$AA$5,"INVALID – completed after departure (cannot establish readiness)",IF(AND(H20="Preparation",AG20&gt;=IF(ISNUMBER(Flights!$BA$5),MIN(Flights!$BA$5,Flights!$AA$5),Flights!$AA$5)),"INVALID – completed after loading / departure (cannot establish readiness)",IF(AND(H20="Physical uplift",AG20&gt;Q20),"INVALID – recorded after the loading flight departed",IF(AG20&gt;Q20,"COMPLETE – LATE","COMPLETE"))))))))))))))))))))))))),IF(TRIM(U20)="Fail","FAIL – DISCREPANCY",IF(AND(TRIM(U20)&lt;&gt;"",TRIM(U20)&lt;&gt;"Not started",TRIM(U20)&lt;&gt;"In progress"),"INVALID – unrecognised status (use the list)",IF(AsOfUTC&gt;Q20,"OVERDUE",IF(N20="Clarification required","OPEN – CLARIFICATION","OPEN"))))))),"INVALID – error value in an input cell")</f>
        <v>OPEN</v>
      </c>
      <c r="AI20" s="61" t="n">
        <f aca="false">IF(OR(AH20="N/A – RULE",AH20="N/A – JUSTIFIED"),0,1)</f>
        <v>1</v>
      </c>
      <c r="AJ20" s="61" t="n">
        <f aca="false">IF(LEFT(AH20,8)="COMPLETE",1,0)</f>
        <v>0</v>
      </c>
      <c r="AK20" s="61" t="n">
        <f aca="false">IF(AND(AI20=1,AJ20=0,AsOfUTC&gt;Q20),1,0)</f>
        <v>0</v>
      </c>
      <c r="AL20" s="61" t="n">
        <f aca="false">IFERROR(IF(AND(AI20=1,OR(TRIM(U20)="Fail",AND(TRIM(AB20)&lt;&gt;"",TRIM(AB20)&lt;&gt;"Closed"),AND(ISNUMBER(AF20),AF20&lt;&gt;0,TRIM(U20)&lt;&gt;"Pass after CA"))),1,0),1)</f>
        <v>0</v>
      </c>
      <c r="AM20" s="61" t="n">
        <f aca="false">IF(LEFT(AH20,7)="INVALID",1,0)</f>
        <v>0</v>
      </c>
      <c r="AN20" s="61" t="n">
        <f aca="false">IF(AND(N20="Clarification required",AI20=1,AJ20=0),1,0)</f>
        <v>0</v>
      </c>
      <c r="AO20" s="61" t="str">
        <f aca="false">IF(AK20=1,SUM(AK$5:AK20),"")</f>
        <v/>
      </c>
      <c r="AP20" s="61" t="str">
        <f aca="false">IF(AL20=1,SUM(AL$5:AL20),"")</f>
        <v/>
      </c>
      <c r="AQ20" s="61" t="n">
        <v>0</v>
      </c>
      <c r="AR20" s="61" t="n">
        <v>1</v>
      </c>
      <c r="AS20" s="61" t="n">
        <v>0</v>
      </c>
      <c r="AT20" s="61" t="n">
        <v>0</v>
      </c>
      <c r="AU20" s="61" t="str">
        <f aca="false">SUBSTITUTE(SUBSTITUTE(SUBSTITUTE(SUBSTITUTE(SUBSTITUTE(SUBSTITUTE(SUBSTITUTE(SUBSTITUTE(SUBSTITUTE(SUBSTITUTE(SUBSTITUTE(SUBSTITUTE(SUBSTITUTE(SUBSTITUTE(SUBSTITUTE(SUBSTITUTE(LOWER(T20&amp;""),CHAR(10),""),CHAR(13),""),CHAR(9),""),CHAR(160),"")," ",""),".",""),"-",""),"/",""),"?",""),"_",""),",",""),"[",""),"]",""),"(",""),")",""),"*","")</f>
        <v/>
      </c>
      <c r="AV20" s="61" t="str">
        <f aca="false">SUBSTITUTE(SUBSTITUTE(SUBSTITUTE(SUBSTITUTE(SUBSTITUTE(SUBSTITUTE(SUBSTITUTE(SUBSTITUTE(SUBSTITUTE(SUBSTITUTE(SUBSTITUTE(SUBSTITUTE(SUBSTITUTE(SUBSTITUTE(SUBSTITUTE(SUBSTITUTE(LOWER(V20&amp;""),CHAR(10),""),CHAR(13),""),CHAR(9),""),CHAR(160),"")," ",""),".",""),"-",""),"/",""),"?",""),"_",""),",",""),"[",""),"]",""),"(",""),")",""),"*","")</f>
        <v/>
      </c>
      <c r="AW20" s="61" t="str">
        <f aca="false">SUBSTITUTE(SUBSTITUTE(SUBSTITUTE(SUBSTITUTE(SUBSTITUTE(SUBSTITUTE(SUBSTITUTE(SUBSTITUTE(SUBSTITUTE(SUBSTITUTE(SUBSTITUTE(SUBSTITUTE(SUBSTITUTE(SUBSTITUTE(SUBSTITUTE(SUBSTITUTE(LOWER(Z20&amp;""),CHAR(10),""),CHAR(13),""),CHAR(9),""),CHAR(160),"")," ",""),".",""),"-",""),"/",""),"?",""),"_",""),",",""),"[",""),"]",""),"(",""),")",""),"*","")</f>
        <v/>
      </c>
      <c r="AX20" s="61" t="str">
        <f aca="false">SUBSTITUTE(SUBSTITUTE(SUBSTITUTE(SUBSTITUTE(SUBSTITUTE(SUBSTITUTE(SUBSTITUTE(SUBSTITUTE(SUBSTITUTE(SUBSTITUTE(SUBSTITUTE(SUBSTITUTE(SUBSTITUTE(SUBSTITUTE(SUBSTITUTE(SUBSTITUTE(LOWER(AE20&amp;""),CHAR(10),""),CHAR(13),""),CHAR(9),""),CHAR(160),"")," ",""),".",""),"-",""),"/",""),"?",""),"_",""),",",""),"[",""),"]",""),"(",""),")",""),"*","")</f>
        <v/>
      </c>
      <c r="AY20" s="61" t="str">
        <f aca="false">SUBSTITUTE(SUBSTITUTE(SUBSTITUTE(SUBSTITUTE(SUBSTITUTE(SUBSTITUTE(SUBSTITUTE(SUBSTITUTE(SUBSTITUTE(SUBSTITUTE(SUBSTITUTE(SUBSTITUTE(SUBSTITUTE(SUBSTITUTE(SUBSTITUTE(SUBSTITUTE(LOWER(W20&amp;""),CHAR(10),""),CHAR(13),""),CHAR(9),""),CHAR(160),"")," ",""),".",""),"-",""),"/",""),"?",""),"_",""),",",""),"[",""),"]",""),"(",""),")",""),"*","")</f>
        <v/>
      </c>
      <c r="AZ20" s="61" t="str">
        <f aca="false">SUBSTITUTE(SUBSTITUTE(SUBSTITUTE(SUBSTITUTE(SUBSTITUTE(SUBSTITUTE(SUBSTITUTE(SUBSTITUTE(SUBSTITUTE(SUBSTITUTE(SUBSTITUTE(SUBSTITUTE(SUBSTITUTE(SUBSTITUTE(SUBSTITUTE(SUBSTITUTE(LOWER(AC20&amp;""),CHAR(10),""),CHAR(13),""),CHAR(9),""),CHAR(160),"")," ",""),".",""),"-",""),"/",""),"?",""),"_",""),",",""),"[",""),"]",""),"(",""),")",""),"*","")</f>
        <v/>
      </c>
      <c r="BA20" s="61" t="str">
        <f aca="false">SUBSTITUTE(SUBSTITUTE(SUBSTITUTE(SUBSTITUTE(SUBSTITUTE(SUBSTITUTE(SUBSTITUTE(SUBSTITUTE(SUBSTITUTE(SUBSTITUTE(SUBSTITUTE(SUBSTITUTE(SUBSTITUTE(SUBSTITUTE(SUBSTITUTE(SUBSTITUTE(LOWER(AA20&amp;""),CHAR(10),""),CHAR(13),""),CHAR(9),""),CHAR(160),"")," ",""),".",""),"-",""),"/",""),"?",""),"_",""),",",""),"[",""),"]",""),"(",""),")",""),"*","")</f>
        <v/>
      </c>
      <c r="BB20" s="61" t="str">
        <f aca="false">IF(AND(TRIM(U20)="Pass",ISNUMBER(AF20)),IF(AF20&lt;&gt;0,"INVALID – qty variance: use Fail or Pass after CA",""),"")&amp;IF(AND(TRIM(U20)="Pass after CA",ISNUMBER(AF20)),IF(AF20&lt;&gt;0,"INVALID – after the corrective action the actual qty must equal expected (update Actual)",""),"")&amp;IF(AND(TRIM(U20)="Pass",TRIM(AB20)&lt;&gt;"",TRIM(AB20)&lt;&gt;"Closed"),"INVALID – corrective action not closed: use Fail, then Pass after CA","")&amp;IF(AND(LEN(BA20)&gt;=2,ISNA(MATCH(LEFT(BA20,255),L_Placeholder,0)),TRIM(AB20)=""),"INVALID – CA status missing for the recorded corrective action","")&amp;IF(AND(TRIM(U20)="Pass after CA",OR(OR(LEN(BA20)&lt;5,ISNUMBER(MATCH(BA20,L_Placeholder,0))),TRIM(AB20)&lt;&gt;"Closed")),"INVALID – corrective action not recorded/closed","")</f>
        <v/>
      </c>
      <c r="BC20" s="61" t="str">
        <f aca="false">" "&amp;TRIM(SUBSTITUTE(SUBSTITUTE(SUBSTITUTE(SUBSTITUTE(SUBSTITUTE(SUBSTITUTE(SUBSTITUTE(SUBSTITUTE(SUBSTITUTE(SUBSTITUTE(SUBSTITUTE(SUBSTITUTE(SUBSTITUTE(SUBSTITUTE(SUBSTITUTE(SUBSTITUTE(SUBSTITUTE(SUBSTITUTE(SUBSTITUTE(SUBSTITUTE(SUBSTITUTE(SUBSTITUTE(SUBSTITUTE(SUBSTITUTE(LOWER(V20&amp;""),CHAR(10)," "),CHAR(13)," "),CHAR(9)," "),CHAR(160)," "),"."," "),","," "),"-"," "),"/"," "),"("," "),")"," "),":"," "),";"," "),"_"," "),"–"," "),"?"," "),"!"," "),"*"," "),"["," "),"]"," "),"'"," "),"#"," "),"+"," "),"&amp;"," "),"\"," "))&amp;" "</f>
        <v>  </v>
      </c>
      <c r="BD20" s="61" t="str">
        <f aca="false">" "&amp;TRIM(SUBSTITUTE(SUBSTITUTE(SUBSTITUTE(SUBSTITUTE(SUBSTITUTE(SUBSTITUTE(SUBSTITUTE(SUBSTITUTE(SUBSTITUTE(SUBSTITUTE(SUBSTITUTE(SUBSTITUTE(SUBSTITUTE(SUBSTITUTE(SUBSTITUTE(SUBSTITUTE(SUBSTITUTE(SUBSTITUTE(SUBSTITUTE(SUBSTITUTE(SUBSTITUTE(SUBSTITUTE(SUBSTITUTE(SUBSTITUTE(LOWER(Z20&amp;""),CHAR(10)," "),CHAR(13)," "),CHAR(9)," "),CHAR(160)," "),"."," "),","," "),"-"," "),"/"," "),"("," "),")"," "),":"," "),";"," "),"_"," "),"–"," "),"?"," "),"!"," "),"*"," "),"["," "),"]"," "),"'"," "),"#"," "),"+"," "),"&amp;"," "),"\"," "))&amp;" "</f>
        <v>  </v>
      </c>
      <c r="BE20" s="61" t="str">
        <f aca="false">" "&amp;TRIM(SUBSTITUTE(SUBSTITUTE(SUBSTITUTE(SUBSTITUTE(SUBSTITUTE(SUBSTITUTE(SUBSTITUTE(SUBSTITUTE(SUBSTITUTE(SUBSTITUTE(SUBSTITUTE(SUBSTITUTE(SUBSTITUTE(SUBSTITUTE(SUBSTITUTE(SUBSTITUTE(SUBSTITUTE(SUBSTITUTE(SUBSTITUTE(SUBSTITUTE(SUBSTITUTE(SUBSTITUTE(SUBSTITUTE(SUBSTITUTE(LOWER(W20&amp;""),CHAR(10)," "),CHAR(13)," "),CHAR(9)," "),CHAR(160)," "),"."," "),","," "),"-"," "),"/"," "),"("," "),")"," "),":"," "),";"," "),"_"," "),"–"," "),"?"," "),"!"," "),"*"," "),"["," "),"]"," "),"'"," "),"#"," "),"+"," "),"&amp;"," "),"\"," "))&amp;" "</f>
        <v>  </v>
      </c>
      <c r="BF20" s="61" t="str">
        <f aca="false">" "&amp;TRIM(SUBSTITUTE(SUBSTITUTE(SUBSTITUTE(SUBSTITUTE(SUBSTITUTE(SUBSTITUTE(SUBSTITUTE(SUBSTITUTE(SUBSTITUTE(SUBSTITUTE(SUBSTITUTE(SUBSTITUTE(SUBSTITUTE(SUBSTITUTE(SUBSTITUTE(SUBSTITUTE(SUBSTITUTE(SUBSTITUTE(SUBSTITUTE(SUBSTITUTE(SUBSTITUTE(SUBSTITUTE(SUBSTITUTE(SUBSTITUTE(LOWER(AC20&amp;""),CHAR(10)," "),CHAR(13)," "),CHAR(9)," "),CHAR(160)," "),"."," "),","," "),"-"," "),"/"," "),"("," "),")"," "),":"," "),";"," "),"_"," "),"–"," "),"?"," "),"!"," "),"*"," "),"["," "),"]"," "),"'"," "),"#"," "),"+"," "),"&amp;"," "),"\"," "))&amp;" "</f>
        <v>  </v>
      </c>
      <c r="BG20" s="61" t="n">
        <f aca="false">IFERROR(IF(AND(TRIM(U20)="Pass",SUMPRODUCT((LEN(BC20)-LEN(SUBSTITUTE(BC20," "&amp;L_ResultBad&amp;" "," ")))/(LEN(L_ResultBad)+1))&gt;SUMPRODUCT((LEN(BC20)-LEN(SUBSTITUTE(BC20," "&amp;L_NegPhrase&amp;" "," ")))/(LEN(L_NegPhrase)+1))),1,0),0)</f>
        <v>0</v>
      </c>
      <c r="BH20" s="61" t="n">
        <f aca="false">IFERROR(IF(SUMPRODUCT((LEN(BC20)-LEN(SUBSTITUTE(BC20," "&amp;L_Pending&amp;" "," ")))/(LEN(L_Pending)+1))&gt;SUMPRODUCT((LEN(BC20)-LEN(SUBSTITUTE(BC20," "&amp;L_PendNeg&amp;" "," ")))/(LEN(L_PendNeg)+1))+SUMPRODUCT((LEN(BC20)-LEN(SUBSTITUTE(BC20," "&amp;L_PendPrep&amp;" "," ")))/(LEN(L_PendPrep)+1)),1,0),1)</f>
        <v>0</v>
      </c>
      <c r="BI20" s="61" t="n">
        <f aca="false">IFERROR(IF(SUMPRODUCT((LEN(BD20)-LEN(SUBSTITUTE(BD20," "&amp;L_PendStrict&amp;" "," ")))/(LEN(L_PendStrict)+1))&gt;SUMPRODUCT((LEN(BD20)-LEN(SUBSTITUTE(BD20," "&amp;L_PendNeg&amp;" "," ")))/(LEN(L_PendNeg)+1)),1,0),1)</f>
        <v>0</v>
      </c>
      <c r="BJ20" s="61" t="n">
        <f aca="false">IFERROR(IF(SUMPRODUCT((LEN(BE20)-LEN(SUBSTITUTE(BE20," "&amp;L_Pending&amp;" "," ")))/(LEN(L_Pending)+1))&gt;SUMPRODUCT((LEN(BE20)-LEN(SUBSTITUTE(BE20," "&amp;L_PendNeg&amp;" "," ")))/(LEN(L_PendNeg)+1))+SUMPRODUCT((LEN(BE20)-LEN(SUBSTITUTE(BE20," "&amp;L_PendPrep&amp;" "," ")))/(LEN(L_PendPrep)+1)),1,0),1)</f>
        <v>0</v>
      </c>
      <c r="BK20" s="61" t="n">
        <f aca="false">IFERROR(IF(SUMPRODUCT((LEN(BF20)-LEN(SUBSTITUTE(BF20," "&amp;L_PendStrict&amp;" "," ")))/(LEN(L_PendStrict)+1))&gt;SUMPRODUCT((LEN(BF20)-LEN(SUBSTITUTE(BF20," "&amp;L_PendNeg&amp;" "," ")))/(LEN(L_PendNeg)+1)),1,0),1)</f>
        <v>0</v>
      </c>
      <c r="BL20" s="61" t="n">
        <f aca="false">IF(ISNA(MATCH(TRIM(S20),L_EvidenceType,0)),0,BZ20)</f>
        <v>0</v>
      </c>
      <c r="BM20" s="61" t="str">
        <f aca="false">SUBSTITUTE(SUBSTITUTE(SUBSTITUTE(SUBSTITUTE(SUBSTITUTE(SUBSTITUTE(SUBSTITUTE(SUBSTITUTE(SUBSTITUTE(LOWER(Z20&amp;""),"1","0"),"2","0"),"3","0"),"4","0"),"5","0"),"6","0"),"7","0"),"8","0"),"9","0")</f>
        <v/>
      </c>
      <c r="BN20" s="61" t="str">
        <f aca="false">SUBSTITUTE(SUBSTITUTE(SUBSTITUTE(SUBSTITUTE(SUBSTITUTE(SUBSTITUTE(SUBSTITUTE(SUBSTITUTE(SUBSTITUTE(SUBSTITUTE(SUBSTITUTE(SUBSTITUTE(SUBSTITUTE(SUBSTITUTE(SUBSTITUTE(SUBSTITUTE(SUBSTITUTE(SUBSTITUTE(SUBSTITUTE(SUBSTITUTE(SUBSTITUTE(SUBSTITUTE(SUBSTITUTE(SUBSTITUTE(SUBSTITUTE(BM20,"b","a"),"c","a"),"d","a"),"e","a"),"f","a"),"g","a"),"h","a"),"i","a"),"j","a"),"k","a"),"l","a"),"m","a"),"n","a"),"o","a"),"p","a"),"q","a"),"r","a"),"s","a"),"t","a"),"u","a"),"v","a"),"w","a"),"x","a"),"y","a"),"z","a")</f>
        <v/>
      </c>
      <c r="BO20" s="61" t="str">
        <f aca="false">SUBSTITUTE(SUBSTITUTE(SUBSTITUTE(SUBSTITUTE(SUBSTITUTE(SUBSTITUTE(SUBSTITUTE(SUBSTITUTE(SUBSTITUTE(LOWER(W20&amp;""),"1","0"),"2","0"),"3","0"),"4","0"),"5","0"),"6","0"),"7","0"),"8","0"),"9","0")</f>
        <v/>
      </c>
      <c r="BP20" s="61" t="str">
        <f aca="false">SUBSTITUTE(SUBSTITUTE(SUBSTITUTE(SUBSTITUTE(SUBSTITUTE(SUBSTITUTE(SUBSTITUTE(SUBSTITUTE(SUBSTITUTE(SUBSTITUTE(SUBSTITUTE(SUBSTITUTE(SUBSTITUTE(SUBSTITUTE(SUBSTITUTE(SUBSTITUTE(SUBSTITUTE(SUBSTITUTE(SUBSTITUTE(SUBSTITUTE(SUBSTITUTE(SUBSTITUTE(SUBSTITUTE(SUBSTITUTE(SUBSTITUTE(BO20,"b","a"),"c","a"),"d","a"),"e","a"),"f","a"),"g","a"),"h","a"),"i","a"),"j","a"),"k","a"),"l","a"),"m","a"),"n","a"),"o","a"),"p","a"),"q","a"),"r","a"),"s","a"),"t","a"),"u","a"),"v","a"),"w","a"),"x","a"),"y","a"),"z","a")</f>
        <v/>
      </c>
      <c r="BQ20" s="61" t="n">
        <f aca="false">IFERROR(IF(AND(ISERROR(SEARCH(" mh"," "&amp;LOWER(W20))),ISNA(MATCH(LEFT(TRIM(BP20),255),{"0000a","000a","00a","0000aa","000aa","00aa","0aa","0000aaa","000aaa","00a00","0a00","0000-0000","00:00","a00","a0","00.00.0000","00/00/0000","00-00-0000","0000-00-00","0000/00/00","0000.00.00","00.00.00","00/00/00","00-00-00","0.00.0000","0/00/0000","0-00-0000"},0)),ISNA(MATCH(LEFT(TRIM(CA20),255),{"0000a","000a","00a","0000aa","000aa","00aa","0aa","0000aaa","000aaa","00a00","0a00","0000-0000","00:00","a00","a0","00.00.0000","00/00/0000","00-00-0000","0000-00-00","0000/00/00","0000.00.00","00.00.00","00/00/00","00-00-00","0.00.0000","0/00/0000","0-00-0000"},0)),LEN(CB20)&gt;=3,NOT(OR(SUBSTITUTE(CB20,"0","")="",AND(LEN(CB20)&gt;=4,CB20=REPT(LEFT(CB20),LEN(CB20))),ISNUMBER(MATCH(CB20,{"123","1234","12345","123456","1234567","12345678","0123","01234","012345","98765","987654","54321"},0)),AND(LEN(CB20)=8,LEFT(CB20,3)="202"))),OR(AND((LEN(CA20)-LEN(SUBSTITUTE(CA20,"a","")))&gt;=1,SUMPRODUCT(--ISNUMBER(SEARCH({"a0","a-0","a_0","a/0","a.0","a#0","0a","0-a","0_a","0/a"},BP20)))&gt;0),ISNUMBER(SEARCH("000000",BP20)))),1,0),0)</f>
        <v>0</v>
      </c>
      <c r="BR20" s="61" t="n">
        <f aca="false">IFERROR(LEN(SUBSTITUTE(CC20," ",""))-SUMPRODUCT((LEN(CC20)-LEN(SUBSTITUTE(CC20," "&amp;L_Role&amp;" "," ")))/(LEN(L_Role)+1)*LEN(L_Role)),0)</f>
        <v>0</v>
      </c>
      <c r="BS20" s="61" t="n">
        <f aca="false">IFERROR(LEN(SUBSTITUTE(CD20," ",""))-SUMPRODUCT((LEN(CD20)-LEN(SUBSTITUTE(CD20," "&amp;L_Role&amp;" "," ")))/(LEN(L_Role)+1)*LEN(L_Role)),0)</f>
        <v>0</v>
      </c>
      <c r="BT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revision",""),"version",""),"jan",""),"feb",""),"mar",""),"apr",""),"may",""),"jun",""),"jul",""),"aug",""),"sep",""),"oct",""),"nov",""),"dec",""),"utc",""),"gmt",""),"myt",""),"bst",""),"rev",""),"ver",""),"b","a"),"c","a"),"d","a"),"e","a"),"f","a"),"g","a"),"h","a"),"i","a"),"j","a"),"k","a"),"l","a"),"m","a"),"n","a"),"o","a"),"p","a"),"q","a"),"r","a"),"s","a"),"t","a"),"u","a"),"v","a"),"w","a"),"x","a"),"y","a"),"z","a")</f>
        <v/>
      </c>
      <c r="BU20" s="61" t="str">
        <f aca="false">SUBSTITUTE(SUBSTITUTE(SUBSTITUTE(SUBSTITUTE(SUBSTITUTE(SUBSTITUTE(SUBSTITUTE(SUBSTITUTE(SUBSTITUTE(SUBSTITUTE(LEFT(BM20,FIND("0",BM20&amp;"0")-1),"-",""),"_",""),"/",""),".",""),"#",""),"\\",""),":","")," ",""),"(",""),")","")</f>
        <v/>
      </c>
      <c r="BV20" s="61" t="n">
        <f aca="false">0</f>
        <v>0</v>
      </c>
      <c r="BW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amp;""),"a",""),"b",""),"c",""),"d",""),"e",""),"f",""),"g",""),"h",""),"i",""),"j",""),"k",""),"l",""),"m",""),"n",""),"o",""),"p",""),"q",""),"r",""),"s",""),"t",""),"u",""),"v",""),"w",""),"x",""),"y",""),"z",""),"-",""),"_",""),"/",""),".",""),"#",""),"\\",""),":","")," ",""),"(",""),")","")</f>
        <v/>
      </c>
      <c r="BX20" s="61" t="str">
        <f aca="false">SUBSTITUTE(SUBSTITUTE(SUBSTITUTE(SUBSTITUTE(SUBSTITUTE(SUBSTITUTE(SUBSTITUTE(SUBSTITUTE(SUBSTITUTE(SUBSTITUTE(SUBSTITUTE(BM20,"0",""),"-",""),"_",""),"/",""),".",""),"#",""),"\\",""),":","")," ",""),"(",""),")","")</f>
        <v/>
      </c>
      <c r="BY20" s="62" t="n">
        <f aca="false">Q20-T12EarlyH/24</f>
        <v>46302.8576388889</v>
      </c>
      <c r="BZ20" s="61" t="n">
        <f aca="false">IFERROR(IF(IF(TRIM(S20)="Link / file path",AND(LEN(TRIM(Z20))&gt;=5,SUMPRODUCT(--ISNUMBER(SEARCH({"http","www.","\\",":\",".pdf",".jpg",".jpeg",".png",".heic",".xls",".doc",".msg",".eml",".ppt",".txt",".zip"},Z20)))&gt;0),AND(ISERROR(FIND(" ",TRIM(Z20))),NOT(OR(SUMPRODUCT(--ISNUMBER(FIND({",",";","&amp;","+"},Z20)))&gt;0,SUMPRODUCT(--ISNUMBER(SEARCH({"0/aa","0\\aa"},BN20)))&gt;0)),NOT(SUMPRODUCT(--ISNUMBER(SEARCH({"http","www.","\\",":\",".pdf",".jpg",".jpeg",".png",".heic",".xls",".doc",".msg",".eml",".ppt",".txt",".zip"},Z20)))&gt;0),NOT(LOWER(TRIM(Z20))=LOWER(Flights!$F$5)),ISNA(MATCH(BU20,{"mh","rev","revision","ver","version","v","r","a","b","seat","tray","row","gate","bay","stand","page","pg","item","line","no","cart","galley","flight","flt","table","box","bag","oven","etd","eta","std","sta","atd","ata","qty","pax","x","time","tel","ph","mob","day","wk","week","utc","gmt","myt","lt"},0)),NOT(OR(ISNUMBER(MATCH(LEFT(BN20,255),{"0000a","000a","00a","0000aa","000aa","00aa","0aa","0000aaa","000aaa","00a00","0a00","0000-0000","00:00","a00","a0","00.00.0000","00/00/0000","00-00-0000","0000-00-00","0000/00/00","0000.00.00","00.00.00","00/00/00","00-00-00","0.00.0000","0/00/0000","0-00-0000"},0)),ISNUMBER(MATCH(LEFT(BT20,255),{"0000a","000a","00a","0000aa","000aa","00aa","0aa","0000aaa","000aaa","00a00","0a00","0000-0000","00:00","a00","a0","00.00.0000","00/00/0000","00-00-0000","0000-00-00","0000/00/00","0000.00.00","00.00.00","00/00/00","00-00-00","0.00.0000","0/00/0000","0-00-0000"},0)))),NOT(OR(AND(BW20&lt;&gt;"",SUBSTITUTE(BW20,"0","")=""),AND(LEN(BW20)&gt;=4,BW20=REPT(LEFT(BW20),LEN(BW20))),ISNUMBER(MATCH(BW20,{"123","1234","12345","123456","1234567","12345678","0123","01234","012345","98765","987654","54321"},0)),ISNUMBER(MATCH(BX20,{"x","xx","xxx","xxxx","xxxxx","abc","abcd","nil","na","nan","test","tbc","tba","tbd","dummy","sample","example","eg","zz","zzz","none","null","xyz","qwe","asd","id","ref"},0)),AND(LEN(BW20)=8,BX20="",OR(LEFT(BW20,3)="202",ISNUMBER(MATCH(RIGHT(BW20,4),{"2025","2026","2027"},0)))))),OR(AND((LEN(BT20)-LEN(SUBSTITUTE(BT20,"a","")))&gt;=1,(LEN(BN20)-LEN(SUBSTITUTE(BN20,"0","")))&gt;=2,SUMPRODUCT(--ISNUMBER(SEARCH({"a0","a-0","a_0","a/0","a.0","a#0","0a","0-a","0_a","0/a"},BN20)))&gt;0),AND((LEN(BN20)-LEN(SUBSTITUTE(BN20,"a","")))=0,(LEN(BN20)-LEN(SUBSTITUTE(BN20,"0","")))&gt;=5)))),1,0),0)</f>
        <v>0</v>
      </c>
      <c r="CA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revision",""),"version",""),"jan",""),"feb",""),"mar",""),"apr",""),"may",""),"jun",""),"jul",""),"aug",""),"sep",""),"oct",""),"nov",""),"dec",""),"utc",""),"gmt",""),"myt",""),"bst",""),"rev",""),"ver",""),"b","a"),"c","a"),"d","a"),"e","a"),"f","a"),"g","a"),"h","a"),"i","a"),"j","a"),"k","a"),"l","a"),"m","a"),"n","a"),"o","a"),"p","a"),"q","a"),"r","a"),"s","a"),"t","a"),"u","a"),"v","a"),"w","a"),"x","a"),"y","a"),"z","a")</f>
        <v/>
      </c>
      <c r="CB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amp;""),"a",""),"b",""),"c",""),"d",""),"e",""),"f",""),"g",""),"h",""),"i",""),"j",""),"k",""),"l",""),"m",""),"n",""),"o",""),"p",""),"q",""),"r",""),"s",""),"t",""),"u",""),"v",""),"w",""),"x",""),"y",""),"z",""),"-",""),"_",""),"/",""),".",""),"#",""),"\\",""),":","")," ",""),"(",""),")","")</f>
        <v/>
      </c>
      <c r="CC20" s="0" t="str">
        <f aca="false">" "&amp;TRIM(SUBSTITUTE(SUBSTITUTE(SUBSTITUTE(SUBSTITUTE(SUBSTITUTE(SUBSTITUTE(SUBSTITUTE(SUBSTITUTE(SUBSTITUTE(SUBSTITUTE(SUBSTITUTE(SUBSTITUTE(SUBSTITUTE(SUBSTITUTE(SUBSTITUTE(SUBSTITUTE(SUBSTITUTE(SUBSTITUTE(SUBSTITUTE(SUBSTITUTE(SUBSTITUTE(SUBSTITUTE(SUBSTITUTE(SUBSTITUTE(LOWER(T20&amp;""),CHAR(10)," "),CHAR(13)," "),CHAR(9)," "),CHAR(160)," "),"."," "),","," "),"-"," "),"/"," "),"("," "),")"," "),":"," "),";"," "),"_"," "),"–"," "),"?"," "),"!"," "),"*"," "),"["," "),"]"," "),"'"," "),"#"," "),"+"," "),"&amp;"," "),"\"," "))&amp;" "</f>
        <v>  </v>
      </c>
      <c r="CD20" s="0" t="str">
        <f aca="false">" "&amp;TRIM(SUBSTITUTE(SUBSTITUTE(SUBSTITUTE(SUBSTITUTE(SUBSTITUTE(SUBSTITUTE(SUBSTITUTE(SUBSTITUTE(SUBSTITUTE(SUBSTITUTE(SUBSTITUTE(SUBSTITUTE(SUBSTITUTE(SUBSTITUTE(SUBSTITUTE(SUBSTITUTE(SUBSTITUTE(SUBSTITUTE(SUBSTITUTE(SUBSTITUTE(SUBSTITUTE(SUBSTITUTE(SUBSTITUTE(SUBSTITUTE(LOWER(AE20&amp;""),CHAR(10)," "),CHAR(13)," "),CHAR(9)," "),CHAR(160)," "),"."," "),","," "),"-"," "),"/"," "),"("," "),")"," "),":"," "),";"," "),"_"," "),"–"," "),"?"," "),"!"," "),"*"," "),"["," "),"]"," "),"'"," "),"#"," "),"+"," "),"&amp;"," "),"\"," "))&amp;" "</f>
        <v>  </v>
      </c>
      <c r="CE20" s="68" t="n">
        <f aca="false">IFERROR(IF(AND(LEN(AU20)&gt;0,LEN(AU20)=LEN(AX20),OR(TRIM(MID(SUBSTITUTE(TRIM(CC20)," ",REPT(" ",60)),1,60))="",ISNUMBER(SEARCH(" "&amp;TRIM(MID(SUBSTITUTE(TRIM(CC20)," ",REPT(" ",60)),1,60))&amp;" ",CD20))),OR(TRIM(MID(SUBSTITUTE(TRIM(CC20)," ",REPT(" ",60)),61,60))="",ISNUMBER(SEARCH(" "&amp;TRIM(MID(SUBSTITUTE(TRIM(CC20)," ",REPT(" ",60)),61,60))&amp;" ",CD20))),OR(TRIM(MID(SUBSTITUTE(TRIM(CC20)," ",REPT(" ",60)),121,60))="",ISNUMBER(SEARCH(" "&amp;TRIM(MID(SUBSTITUTE(TRIM(CC20)," ",REPT(" ",60)),121,60))&amp;" ",CD20)))),1,0),0)</f>
        <v>0</v>
      </c>
      <c r="CG20" s="68" t="n">
        <f aca="false">IFERROR(LEN(SUBSTITUTE(BF20," ",""))-SUMPRODUCT((LEN(BF20)-LEN(SUBSTITUTE(BF20," "&amp;L_NAFiller&amp;" "," ")))/(LEN(L_NAFiller)+1)*LEN(L_NAFiller)),0)</f>
        <v>0</v>
      </c>
    </row>
    <row r="21" customFormat="false" ht="39.75" hidden="false" customHeight="true" outlineLevel="0" collapsed="false">
      <c r="A21" s="57" t="s">
        <v>437</v>
      </c>
      <c r="B21" s="57" t="s">
        <v>183</v>
      </c>
      <c r="C21" s="57" t="str">
        <f aca="false">Flights!$F$5</f>
        <v>MH0001</v>
      </c>
      <c r="D21" s="58" t="n">
        <f aca="false">Flights!$D$5</f>
        <v>46303</v>
      </c>
      <c r="E21" s="57" t="str">
        <f aca="false">Flights!$G$5&amp;"-"&amp;Flights!$H$5</f>
        <v>LHR-KUL</v>
      </c>
      <c r="F21" s="57" t="str">
        <f aca="false">Flights!$K$5</f>
        <v>EY</v>
      </c>
      <c r="G21" s="57" t="s">
        <v>420</v>
      </c>
      <c r="H21" s="57" t="s">
        <v>378</v>
      </c>
      <c r="I21" s="57" t="s">
        <v>428</v>
      </c>
      <c r="J21" s="57" t="s">
        <v>438</v>
      </c>
      <c r="K21" s="67"/>
      <c r="L21" s="67" t="s">
        <v>422</v>
      </c>
      <c r="M21" s="67"/>
      <c r="N21" s="67" t="s">
        <v>383</v>
      </c>
      <c r="O21" s="67" t="s">
        <v>423</v>
      </c>
      <c r="P21" s="57" t="s">
        <v>186</v>
      </c>
      <c r="Q21" s="59" t="n">
        <f aca="false">ROUND((Flights!$AE$5)*1440,0)/1440</f>
        <v>46303.3576388889</v>
      </c>
      <c r="R21" s="59" t="n">
        <f aca="false">Q21+(IF(AND(INDEX(TZ_DSTS,MATCH(P21,TZ_STN,0))&lt;&gt;"",Q21&gt;=INDEX(TZ_DSTS,MATCH(P21,TZ_STN,0)),Q21&lt;INDEX(TZ_DSTE,MATCH(P21,TZ_STN,0))),INDEX(TZ_DST,MATCH(P21,TZ_STN,0)),INDEX(TZ_STD,MATCH(P21,TZ_STN,0))))/24</f>
        <v>46303.3993055556</v>
      </c>
      <c r="S21" s="60"/>
      <c r="T21" s="60"/>
      <c r="U21" s="60"/>
      <c r="V21" s="60"/>
      <c r="W21" s="61"/>
      <c r="X21" s="60"/>
      <c r="Y21" s="60"/>
      <c r="Z21" s="60"/>
      <c r="AA21" s="60"/>
      <c r="AB21" s="60"/>
      <c r="AC21" s="60"/>
      <c r="AD21" s="66"/>
      <c r="AE21" s="60"/>
      <c r="AF21" s="61" t="str">
        <f aca="false">IF(AND(ISNUMBER(X21),ISNUMBER(Y21)),Y21-X21,"")</f>
        <v/>
      </c>
      <c r="AG21" s="62" t="str">
        <f aca="false">IF(ISNUMBER(AD21),AD21-(IF(AND(INDEX(TZ_DSTS,MATCH(P21,TZ_STN,0))&lt;&gt;"",(AD21-INDEX(TZ_STD,MATCH(P21,TZ_STN,0))/24)&gt;=INDEX(TZ_DSTS,MATCH(P21,TZ_STN,0)),(AD21-INDEX(TZ_STD,MATCH(P21,TZ_STN,0))/24)&lt;INDEX(TZ_DSTE,MATCH(P21,TZ_STN,0))),INDEX(TZ_DST,MATCH(P21,TZ_STN,0)),INDEX(TZ_STD,MATCH(P21,TZ_STN,0))))/24,"")</f>
        <v/>
      </c>
      <c r="AH21" s="65" t="str">
        <f aca="false">IFERROR(IF(N21="N/A – rule",IF(OR(TRIM(U21)="",TRIM(U21)="N/A",TRIM(U21)="Not started"),"N/A – RULE","INVALID – this check does not apply to this aircraft: clear the status (or correct the fleet on Flights)"),IF(TRIM(U21)="N/A",IF(AT21=0,"INVALID – N/A not permitted for this check",IF(AND(TRIM(AB21)&lt;&gt;"",TRIM(AB21)&lt;&gt;"Closed"),"INVALID – corrective action still open",IF(AND(NOT(OR(LEN(AZ21)&lt;15,ISNUMBER(MATCH(AZ21,L_Placeholder,0)))),BK21=0,CG21&gt;=8,NOT(OR(LEN(AU21)&lt;2,ISNUMBER(MATCH(AU21,L_Placeholder,0)))),BR21&gt;=3,NOT(OR(LEN(AX21)&lt;2,ISNUMBER(MATCH(AX21,L_Placeholder,0)))),BS21&gt;=3,TRIM(AE21)&lt;&gt;TRIM(T21),AX21&lt;&gt;AU21,CE21=0),"N/A – JUSTIFIED","INVALID – N/A needs a real, settled reason (not 'not applicable' / 'as above' / TBC), a named PIC and a different named verifier"))),IF(OR(TRIM(U21)="Pass",TRIM(U21)="Pass after CA"),IF(NOT(ISNUMBER(AD21)),"INVALID – completion time missing",IF(OR(OR(LEN(AU21)&lt;2,ISNUMBER(MATCH(AU21,L_Placeholder,0))),BR21&lt;3),"INVALID – PIC missing or not a named person (a role such as QA / CSM is not a name)",IF(OR(LEN(AV21)&lt;2,ISNUMBER(MATCH(AV21,L_Placeholder,0))),"INVALID – result / assessment missing",IF(OR(OR(LEN(AW21)&lt;3,ISNUMBER(MATCH(AW21,L_Placeholder,0))),SUMPRODUCT(--ISNUMBER(SEARCH(" "&amp;L_EvidencePhrase&amp;" ",BD21)))&gt;0,BI21=1),"INVALID – evidence missing, placeholder or not yet on file",IF(ISNA(MATCH(TRIM(S21),L_EvidenceType,0)),"INVALID – choose the evidence type from the list (column S)",IF(BL21=0,"INVALID – evidence ID must be the record's own ID only (e.g. SF-2210, IMG_2231, 1045521); a link / file name needs type 'Link / file path'",IF(OR(OR(LEN(AX21)&lt;2,ISNUMBER(MATCH(AX21,L_Placeholder,0))),BS21&lt;3),"INVALID – verifier missing or not a named person (a role such as QA / CSM is not a name)",IF(OR(AX21=AU21,CE21=1,AND(LEN(AU21)&gt;=4,ISNUMBER(SEARCH(AU21,AX21))),AND(LEN(AX21)&gt;=4,ISNUMBER(SEARCH(AX21,AU21)))),"INVALID – verifier must be a different, named person (not the PIC or a role)",IF(BH21=1,"INVALID – result not yet available (awaiting / TBC)",IF(BG21=1,"INVALID – result describes a problem: record Fail, then Pass after CA (or reword if it is not a problem)",IF(BV21=1,"INVALID – wording says not on board: an on-board confirmation needs the item loaded",IF(AND(AQ21=1,OR(OR(LEN(AY21)&lt;3,ISNUMBER(MATCH(AY21,L_Placeholder,0))),BJ21=1,BQ21=0)),"INVALID – batch ID missing, placeholder or not an ID (e.g. PASB-261008-BC-017)",IF(AND(AR21=1,OR(NOT(ISNUMBER(X21)),NOT(ISNUMBER(Y21)))),"INVALID – expected/actual qty missing",IF(AND(AR21=1,OR(X21&lt;=0,Y21&lt;0)),"INVALID – expected qty must be above 0 and actual not negative",IF(BB21&lt;&gt;"",BB21,IF(AND(AS21=1,Documents!$J$5&lt;&gt;"ON FILE"),"INVALID – GLD not on file (Documents sheet)",IF(AND(AS21=2,Documents!$O$5&lt;&gt;"ON FILE"),"INVALID – menu checklist not on file (Documents sheet)",IF(AND(AS21=3,NOT(ISNUMBER(Flights!$AX$5))),"INVALID – enter carrying flight KUL departure (Flights AX)",IF(AND(AS21=3,OR(Flights!$AZ$5&gt;Flights!$AA$5,Flights!$AX$5&lt;Flights!$AA$5-3)),"INVALID – carrying flight (Flights AX) cannot arrive before this leg's STD, or is over 3 days early",IF(AG21&gt;AsOfUTC,"INVALID – completion time is in the future",IF(AND(ISNUMBER(BY21),AG21&lt;BY21),IF(H21="Physical uplift","INVALID – before uplift window (cannot confirm loading)","INVALID – before valid window"),IF(AG21&gt;Flights!$AA$5,"INVALID – completed after departure (cannot establish readiness)",IF(AND(H21="Preparation",AG21&gt;=IF(ISNUMBER(Flights!$BA$5),MIN(Flights!$BA$5,Flights!$AA$5),Flights!$AA$5)),"INVALID – completed after loading / departure (cannot establish readiness)",IF(AND(H21="Physical uplift",AG21&gt;Q21),"INVALID – recorded after the loading flight departed",IF(AG21&gt;Q21,"COMPLETE – LATE","COMPLETE"))))))))))))))))))))))))),IF(TRIM(U21)="Fail","FAIL – DISCREPANCY",IF(AND(TRIM(U21)&lt;&gt;"",TRIM(U21)&lt;&gt;"Not started",TRIM(U21)&lt;&gt;"In progress"),"INVALID – unrecognised status (use the list)",IF(AsOfUTC&gt;Q21,"OVERDUE",IF(N21="Clarification required","OPEN – CLARIFICATION","OPEN"))))))),"INVALID – error value in an input cell")</f>
        <v>OPEN</v>
      </c>
      <c r="AI21" s="61" t="n">
        <f aca="false">IF(OR(AH21="N/A – RULE",AH21="N/A – JUSTIFIED"),0,1)</f>
        <v>1</v>
      </c>
      <c r="AJ21" s="61" t="n">
        <f aca="false">IF(LEFT(AH21,8)="COMPLETE",1,0)</f>
        <v>0</v>
      </c>
      <c r="AK21" s="61" t="n">
        <f aca="false">IF(AND(AI21=1,AJ21=0,AsOfUTC&gt;Q21),1,0)</f>
        <v>0</v>
      </c>
      <c r="AL21" s="61" t="n">
        <f aca="false">IFERROR(IF(AND(AI21=1,OR(TRIM(U21)="Fail",AND(TRIM(AB21)&lt;&gt;"",TRIM(AB21)&lt;&gt;"Closed"),AND(ISNUMBER(AF21),AF21&lt;&gt;0,TRIM(U21)&lt;&gt;"Pass after CA"))),1,0),1)</f>
        <v>0</v>
      </c>
      <c r="AM21" s="61" t="n">
        <f aca="false">IF(LEFT(AH21,7)="INVALID",1,0)</f>
        <v>0</v>
      </c>
      <c r="AN21" s="61" t="n">
        <f aca="false">IF(AND(N21="Clarification required",AI21=1,AJ21=0),1,0)</f>
        <v>0</v>
      </c>
      <c r="AO21" s="61" t="str">
        <f aca="false">IF(AK21=1,SUM(AK$5:AK21),"")</f>
        <v/>
      </c>
      <c r="AP21" s="61" t="str">
        <f aca="false">IF(AL21=1,SUM(AL$5:AL21),"")</f>
        <v/>
      </c>
      <c r="AQ21" s="61" t="n">
        <v>0</v>
      </c>
      <c r="AR21" s="61" t="n">
        <v>0</v>
      </c>
      <c r="AS21" s="61" t="n">
        <v>0</v>
      </c>
      <c r="AT21" s="61" t="n">
        <v>0</v>
      </c>
      <c r="AU21" s="61" t="str">
        <f aca="false">SUBSTITUTE(SUBSTITUTE(SUBSTITUTE(SUBSTITUTE(SUBSTITUTE(SUBSTITUTE(SUBSTITUTE(SUBSTITUTE(SUBSTITUTE(SUBSTITUTE(SUBSTITUTE(SUBSTITUTE(SUBSTITUTE(SUBSTITUTE(SUBSTITUTE(SUBSTITUTE(LOWER(T21&amp;""),CHAR(10),""),CHAR(13),""),CHAR(9),""),CHAR(160),"")," ",""),".",""),"-",""),"/",""),"?",""),"_",""),",",""),"[",""),"]",""),"(",""),")",""),"*","")</f>
        <v/>
      </c>
      <c r="AV21" s="61" t="str">
        <f aca="false">SUBSTITUTE(SUBSTITUTE(SUBSTITUTE(SUBSTITUTE(SUBSTITUTE(SUBSTITUTE(SUBSTITUTE(SUBSTITUTE(SUBSTITUTE(SUBSTITUTE(SUBSTITUTE(SUBSTITUTE(SUBSTITUTE(SUBSTITUTE(SUBSTITUTE(SUBSTITUTE(LOWER(V21&amp;""),CHAR(10),""),CHAR(13),""),CHAR(9),""),CHAR(160),"")," ",""),".",""),"-",""),"/",""),"?",""),"_",""),",",""),"[",""),"]",""),"(",""),")",""),"*","")</f>
        <v/>
      </c>
      <c r="AW21" s="61" t="str">
        <f aca="false">SUBSTITUTE(SUBSTITUTE(SUBSTITUTE(SUBSTITUTE(SUBSTITUTE(SUBSTITUTE(SUBSTITUTE(SUBSTITUTE(SUBSTITUTE(SUBSTITUTE(SUBSTITUTE(SUBSTITUTE(SUBSTITUTE(SUBSTITUTE(SUBSTITUTE(SUBSTITUTE(LOWER(Z21&amp;""),CHAR(10),""),CHAR(13),""),CHAR(9),""),CHAR(160),"")," ",""),".",""),"-",""),"/",""),"?",""),"_",""),",",""),"[",""),"]",""),"(",""),")",""),"*","")</f>
        <v/>
      </c>
      <c r="AX21" s="61" t="str">
        <f aca="false">SUBSTITUTE(SUBSTITUTE(SUBSTITUTE(SUBSTITUTE(SUBSTITUTE(SUBSTITUTE(SUBSTITUTE(SUBSTITUTE(SUBSTITUTE(SUBSTITUTE(SUBSTITUTE(SUBSTITUTE(SUBSTITUTE(SUBSTITUTE(SUBSTITUTE(SUBSTITUTE(LOWER(AE21&amp;""),CHAR(10),""),CHAR(13),""),CHAR(9),""),CHAR(160),"")," ",""),".",""),"-",""),"/",""),"?",""),"_",""),",",""),"[",""),"]",""),"(",""),")",""),"*","")</f>
        <v/>
      </c>
      <c r="AY21" s="61" t="str">
        <f aca="false">SUBSTITUTE(SUBSTITUTE(SUBSTITUTE(SUBSTITUTE(SUBSTITUTE(SUBSTITUTE(SUBSTITUTE(SUBSTITUTE(SUBSTITUTE(SUBSTITUTE(SUBSTITUTE(SUBSTITUTE(SUBSTITUTE(SUBSTITUTE(SUBSTITUTE(SUBSTITUTE(LOWER(W21&amp;""),CHAR(10),""),CHAR(13),""),CHAR(9),""),CHAR(160),"")," ",""),".",""),"-",""),"/",""),"?",""),"_",""),",",""),"[",""),"]",""),"(",""),")",""),"*","")</f>
        <v/>
      </c>
      <c r="AZ21" s="61" t="str">
        <f aca="false">SUBSTITUTE(SUBSTITUTE(SUBSTITUTE(SUBSTITUTE(SUBSTITUTE(SUBSTITUTE(SUBSTITUTE(SUBSTITUTE(SUBSTITUTE(SUBSTITUTE(SUBSTITUTE(SUBSTITUTE(SUBSTITUTE(SUBSTITUTE(SUBSTITUTE(SUBSTITUTE(LOWER(AC21&amp;""),CHAR(10),""),CHAR(13),""),CHAR(9),""),CHAR(160),"")," ",""),".",""),"-",""),"/",""),"?",""),"_",""),",",""),"[",""),"]",""),"(",""),")",""),"*","")</f>
        <v/>
      </c>
      <c r="BA21" s="61" t="str">
        <f aca="false">SUBSTITUTE(SUBSTITUTE(SUBSTITUTE(SUBSTITUTE(SUBSTITUTE(SUBSTITUTE(SUBSTITUTE(SUBSTITUTE(SUBSTITUTE(SUBSTITUTE(SUBSTITUTE(SUBSTITUTE(SUBSTITUTE(SUBSTITUTE(SUBSTITUTE(SUBSTITUTE(LOWER(AA21&amp;""),CHAR(10),""),CHAR(13),""),CHAR(9),""),CHAR(160),"")," ",""),".",""),"-",""),"/",""),"?",""),"_",""),",",""),"[",""),"]",""),"(",""),")",""),"*","")</f>
        <v/>
      </c>
      <c r="BB21" s="61" t="str">
        <f aca="false">IF(AND(TRIM(U21)="Pass",ISNUMBER(AF21)),IF(AF21&lt;&gt;0,"INVALID – qty variance: use Fail or Pass after CA",""),"")&amp;IF(AND(TRIM(U21)="Pass after CA",ISNUMBER(AF21)),IF(AF21&lt;&gt;0,"INVALID – after the corrective action the actual qty must equal expected (update Actual)",""),"")&amp;IF(AND(TRIM(U21)="Pass",TRIM(AB21)&lt;&gt;"",TRIM(AB21)&lt;&gt;"Closed"),"INVALID – corrective action not closed: use Fail, then Pass after CA","")&amp;IF(AND(LEN(BA21)&gt;=2,ISNA(MATCH(LEFT(BA21,255),L_Placeholder,0)),TRIM(AB21)=""),"INVALID – CA status missing for the recorded corrective action","")&amp;IF(AND(TRIM(U21)="Pass after CA",OR(OR(LEN(BA21)&lt;5,ISNUMBER(MATCH(BA21,L_Placeholder,0))),TRIM(AB21)&lt;&gt;"Closed")),"INVALID – corrective action not recorded/closed","")</f>
        <v/>
      </c>
      <c r="BC21" s="61" t="str">
        <f aca="false">" "&amp;TRIM(SUBSTITUTE(SUBSTITUTE(SUBSTITUTE(SUBSTITUTE(SUBSTITUTE(SUBSTITUTE(SUBSTITUTE(SUBSTITUTE(SUBSTITUTE(SUBSTITUTE(SUBSTITUTE(SUBSTITUTE(SUBSTITUTE(SUBSTITUTE(SUBSTITUTE(SUBSTITUTE(SUBSTITUTE(SUBSTITUTE(SUBSTITUTE(SUBSTITUTE(SUBSTITUTE(SUBSTITUTE(SUBSTITUTE(SUBSTITUTE(LOWER(V21&amp;""),CHAR(10)," "),CHAR(13)," "),CHAR(9)," "),CHAR(160)," "),"."," "),","," "),"-"," "),"/"," "),"("," "),")"," "),":"," "),";"," "),"_"," "),"–"," "),"?"," "),"!"," "),"*"," "),"["," "),"]"," "),"'"," "),"#"," "),"+"," "),"&amp;"," "),"\"," "))&amp;" "</f>
        <v>  </v>
      </c>
      <c r="BD21" s="61" t="str">
        <f aca="false">" "&amp;TRIM(SUBSTITUTE(SUBSTITUTE(SUBSTITUTE(SUBSTITUTE(SUBSTITUTE(SUBSTITUTE(SUBSTITUTE(SUBSTITUTE(SUBSTITUTE(SUBSTITUTE(SUBSTITUTE(SUBSTITUTE(SUBSTITUTE(SUBSTITUTE(SUBSTITUTE(SUBSTITUTE(SUBSTITUTE(SUBSTITUTE(SUBSTITUTE(SUBSTITUTE(SUBSTITUTE(SUBSTITUTE(SUBSTITUTE(SUBSTITUTE(LOWER(Z21&amp;""),CHAR(10)," "),CHAR(13)," "),CHAR(9)," "),CHAR(160)," "),"."," "),","," "),"-"," "),"/"," "),"("," "),")"," "),":"," "),";"," "),"_"," "),"–"," "),"?"," "),"!"," "),"*"," "),"["," "),"]"," "),"'"," "),"#"," "),"+"," "),"&amp;"," "),"\"," "))&amp;" "</f>
        <v>  </v>
      </c>
      <c r="BE21" s="61" t="str">
        <f aca="false">" "&amp;TRIM(SUBSTITUTE(SUBSTITUTE(SUBSTITUTE(SUBSTITUTE(SUBSTITUTE(SUBSTITUTE(SUBSTITUTE(SUBSTITUTE(SUBSTITUTE(SUBSTITUTE(SUBSTITUTE(SUBSTITUTE(SUBSTITUTE(SUBSTITUTE(SUBSTITUTE(SUBSTITUTE(SUBSTITUTE(SUBSTITUTE(SUBSTITUTE(SUBSTITUTE(SUBSTITUTE(SUBSTITUTE(SUBSTITUTE(SUBSTITUTE(LOWER(W21&amp;""),CHAR(10)," "),CHAR(13)," "),CHAR(9)," "),CHAR(160)," "),"."," "),","," "),"-"," "),"/"," "),"("," "),")"," "),":"," "),";"," "),"_"," "),"–"," "),"?"," "),"!"," "),"*"," "),"["," "),"]"," "),"'"," "),"#"," "),"+"," "),"&amp;"," "),"\"," "))&amp;" "</f>
        <v>  </v>
      </c>
      <c r="BF21" s="61" t="str">
        <f aca="false">" "&amp;TRIM(SUBSTITUTE(SUBSTITUTE(SUBSTITUTE(SUBSTITUTE(SUBSTITUTE(SUBSTITUTE(SUBSTITUTE(SUBSTITUTE(SUBSTITUTE(SUBSTITUTE(SUBSTITUTE(SUBSTITUTE(SUBSTITUTE(SUBSTITUTE(SUBSTITUTE(SUBSTITUTE(SUBSTITUTE(SUBSTITUTE(SUBSTITUTE(SUBSTITUTE(SUBSTITUTE(SUBSTITUTE(SUBSTITUTE(SUBSTITUTE(LOWER(AC21&amp;""),CHAR(10)," "),CHAR(13)," "),CHAR(9)," "),CHAR(160)," "),"."," "),","," "),"-"," "),"/"," "),"("," "),")"," "),":"," "),";"," "),"_"," "),"–"," "),"?"," "),"!"," "),"*"," "),"["," "),"]"," "),"'"," "),"#"," "),"+"," "),"&amp;"," "),"\"," "))&amp;" "</f>
        <v>  </v>
      </c>
      <c r="BG21" s="61" t="n">
        <f aca="false">IFERROR(IF(AND(TRIM(U21)="Pass",SUMPRODUCT((LEN(BC21)-LEN(SUBSTITUTE(BC21," "&amp;L_ResultBad&amp;" "," ")))/(LEN(L_ResultBad)+1))&gt;SUMPRODUCT((LEN(BC21)-LEN(SUBSTITUTE(BC21," "&amp;L_NegPhrase&amp;" "," ")))/(LEN(L_NegPhrase)+1))),1,0),0)</f>
        <v>0</v>
      </c>
      <c r="BH21" s="61" t="n">
        <f aca="false">IFERROR(IF(SUMPRODUCT((LEN(BC21)-LEN(SUBSTITUTE(BC21," "&amp;L_Pending&amp;" "," ")))/(LEN(L_Pending)+1))&gt;SUMPRODUCT((LEN(BC21)-LEN(SUBSTITUTE(BC21," "&amp;L_PendNeg&amp;" "," ")))/(LEN(L_PendNeg)+1))+SUMPRODUCT((LEN(BC21)-LEN(SUBSTITUTE(BC21," "&amp;L_PendPrep&amp;" "," ")))/(LEN(L_PendPrep)+1)),1,0),1)</f>
        <v>0</v>
      </c>
      <c r="BI21" s="61" t="n">
        <f aca="false">IFERROR(IF(SUMPRODUCT((LEN(BD21)-LEN(SUBSTITUTE(BD21," "&amp;L_PendStrict&amp;" "," ")))/(LEN(L_PendStrict)+1))&gt;SUMPRODUCT((LEN(BD21)-LEN(SUBSTITUTE(BD21," "&amp;L_PendNeg&amp;" "," ")))/(LEN(L_PendNeg)+1)),1,0),1)</f>
        <v>0</v>
      </c>
      <c r="BJ21" s="61" t="n">
        <f aca="false">IFERROR(IF(SUMPRODUCT((LEN(BE21)-LEN(SUBSTITUTE(BE21," "&amp;L_Pending&amp;" "," ")))/(LEN(L_Pending)+1))&gt;SUMPRODUCT((LEN(BE21)-LEN(SUBSTITUTE(BE21," "&amp;L_PendNeg&amp;" "," ")))/(LEN(L_PendNeg)+1))+SUMPRODUCT((LEN(BE21)-LEN(SUBSTITUTE(BE21," "&amp;L_PendPrep&amp;" "," ")))/(LEN(L_PendPrep)+1)),1,0),1)</f>
        <v>0</v>
      </c>
      <c r="BK21" s="61" t="n">
        <f aca="false">IFERROR(IF(SUMPRODUCT((LEN(BF21)-LEN(SUBSTITUTE(BF21," "&amp;L_PendStrict&amp;" "," ")))/(LEN(L_PendStrict)+1))&gt;SUMPRODUCT((LEN(BF21)-LEN(SUBSTITUTE(BF21," "&amp;L_PendNeg&amp;" "," ")))/(LEN(L_PendNeg)+1)),1,0),1)</f>
        <v>0</v>
      </c>
      <c r="BL21" s="61" t="n">
        <f aca="false">IF(ISNA(MATCH(TRIM(S21),L_EvidenceType,0)),0,BZ21)</f>
        <v>0</v>
      </c>
      <c r="BM21" s="61" t="str">
        <f aca="false">SUBSTITUTE(SUBSTITUTE(SUBSTITUTE(SUBSTITUTE(SUBSTITUTE(SUBSTITUTE(SUBSTITUTE(SUBSTITUTE(SUBSTITUTE(LOWER(Z21&amp;""),"1","0"),"2","0"),"3","0"),"4","0"),"5","0"),"6","0"),"7","0"),"8","0"),"9","0")</f>
        <v/>
      </c>
      <c r="BN21" s="61" t="str">
        <f aca="false">SUBSTITUTE(SUBSTITUTE(SUBSTITUTE(SUBSTITUTE(SUBSTITUTE(SUBSTITUTE(SUBSTITUTE(SUBSTITUTE(SUBSTITUTE(SUBSTITUTE(SUBSTITUTE(SUBSTITUTE(SUBSTITUTE(SUBSTITUTE(SUBSTITUTE(SUBSTITUTE(SUBSTITUTE(SUBSTITUTE(SUBSTITUTE(SUBSTITUTE(SUBSTITUTE(SUBSTITUTE(SUBSTITUTE(SUBSTITUTE(SUBSTITUTE(BM21,"b","a"),"c","a"),"d","a"),"e","a"),"f","a"),"g","a"),"h","a"),"i","a"),"j","a"),"k","a"),"l","a"),"m","a"),"n","a"),"o","a"),"p","a"),"q","a"),"r","a"),"s","a"),"t","a"),"u","a"),"v","a"),"w","a"),"x","a"),"y","a"),"z","a")</f>
        <v/>
      </c>
      <c r="BO21" s="61" t="str">
        <f aca="false">SUBSTITUTE(SUBSTITUTE(SUBSTITUTE(SUBSTITUTE(SUBSTITUTE(SUBSTITUTE(SUBSTITUTE(SUBSTITUTE(SUBSTITUTE(LOWER(W21&amp;""),"1","0"),"2","0"),"3","0"),"4","0"),"5","0"),"6","0"),"7","0"),"8","0"),"9","0")</f>
        <v/>
      </c>
      <c r="BP21" s="61" t="str">
        <f aca="false">SUBSTITUTE(SUBSTITUTE(SUBSTITUTE(SUBSTITUTE(SUBSTITUTE(SUBSTITUTE(SUBSTITUTE(SUBSTITUTE(SUBSTITUTE(SUBSTITUTE(SUBSTITUTE(SUBSTITUTE(SUBSTITUTE(SUBSTITUTE(SUBSTITUTE(SUBSTITUTE(SUBSTITUTE(SUBSTITUTE(SUBSTITUTE(SUBSTITUTE(SUBSTITUTE(SUBSTITUTE(SUBSTITUTE(SUBSTITUTE(SUBSTITUTE(BO21,"b","a"),"c","a"),"d","a"),"e","a"),"f","a"),"g","a"),"h","a"),"i","a"),"j","a"),"k","a"),"l","a"),"m","a"),"n","a"),"o","a"),"p","a"),"q","a"),"r","a"),"s","a"),"t","a"),"u","a"),"v","a"),"w","a"),"x","a"),"y","a"),"z","a")</f>
        <v/>
      </c>
      <c r="BQ21" s="61" t="n">
        <f aca="false">IFERROR(IF(AND(ISERROR(SEARCH(" mh"," "&amp;LOWER(W21))),ISNA(MATCH(LEFT(TRIM(BP21),255),{"0000a","000a","00a","0000aa","000aa","00aa","0aa","0000aaa","000aaa","00a00","0a00","0000-0000","00:00","a00","a0","00.00.0000","00/00/0000","00-00-0000","0000-00-00","0000/00/00","0000.00.00","00.00.00","00/00/00","00-00-00","0.00.0000","0/00/0000","0-00-0000"},0)),ISNA(MATCH(LEFT(TRIM(CA21),255),{"0000a","000a","00a","0000aa","000aa","00aa","0aa","0000aaa","000aaa","00a00","0a00","0000-0000","00:00","a00","a0","00.00.0000","00/00/0000","00-00-0000","0000-00-00","0000/00/00","0000.00.00","00.00.00","00/00/00","00-00-00","0.00.0000","0/00/0000","0-00-0000"},0)),LEN(CB21)&gt;=3,NOT(OR(SUBSTITUTE(CB21,"0","")="",AND(LEN(CB21)&gt;=4,CB21=REPT(LEFT(CB21),LEN(CB21))),ISNUMBER(MATCH(CB21,{"123","1234","12345","123456","1234567","12345678","0123","01234","012345","98765","987654","54321"},0)),AND(LEN(CB21)=8,LEFT(CB21,3)="202"))),OR(AND((LEN(CA21)-LEN(SUBSTITUTE(CA21,"a","")))&gt;=1,SUMPRODUCT(--ISNUMBER(SEARCH({"a0","a-0","a_0","a/0","a.0","a#0","0a","0-a","0_a","0/a"},BP21)))&gt;0),ISNUMBER(SEARCH("000000",BP21)))),1,0),0)</f>
        <v>0</v>
      </c>
      <c r="BR21" s="61" t="n">
        <f aca="false">IFERROR(LEN(SUBSTITUTE(CC21," ",""))-SUMPRODUCT((LEN(CC21)-LEN(SUBSTITUTE(CC21," "&amp;L_Role&amp;" "," ")))/(LEN(L_Role)+1)*LEN(L_Role)),0)</f>
        <v>0</v>
      </c>
      <c r="BS21" s="61" t="n">
        <f aca="false">IFERROR(LEN(SUBSTITUTE(CD21," ",""))-SUMPRODUCT((LEN(CD21)-LEN(SUBSTITUTE(CD21," "&amp;L_Role&amp;" "," ")))/(LEN(L_Role)+1)*LEN(L_Role)),0)</f>
        <v>0</v>
      </c>
      <c r="BT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revision",""),"version",""),"jan",""),"feb",""),"mar",""),"apr",""),"may",""),"jun",""),"jul",""),"aug",""),"sep",""),"oct",""),"nov",""),"dec",""),"utc",""),"gmt",""),"myt",""),"bst",""),"rev",""),"ver",""),"b","a"),"c","a"),"d","a"),"e","a"),"f","a"),"g","a"),"h","a"),"i","a"),"j","a"),"k","a"),"l","a"),"m","a"),"n","a"),"o","a"),"p","a"),"q","a"),"r","a"),"s","a"),"t","a"),"u","a"),"v","a"),"w","a"),"x","a"),"y","a"),"z","a")</f>
        <v/>
      </c>
      <c r="BU21" s="61" t="str">
        <f aca="false">SUBSTITUTE(SUBSTITUTE(SUBSTITUTE(SUBSTITUTE(SUBSTITUTE(SUBSTITUTE(SUBSTITUTE(SUBSTITUTE(SUBSTITUTE(SUBSTITUTE(LEFT(BM21,FIND("0",BM21&amp;"0")-1),"-",""),"_",""),"/",""),".",""),"#",""),"\\",""),":","")," ",""),"(",""),")","")</f>
        <v/>
      </c>
      <c r="BV21" s="61" t="n">
        <f aca="false">0</f>
        <v>0</v>
      </c>
      <c r="BW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amp;""),"a",""),"b",""),"c",""),"d",""),"e",""),"f",""),"g",""),"h",""),"i",""),"j",""),"k",""),"l",""),"m",""),"n",""),"o",""),"p",""),"q",""),"r",""),"s",""),"t",""),"u",""),"v",""),"w",""),"x",""),"y",""),"z",""),"-",""),"_",""),"/",""),".",""),"#",""),"\\",""),":","")," ",""),"(",""),")","")</f>
        <v/>
      </c>
      <c r="BX21" s="61" t="str">
        <f aca="false">SUBSTITUTE(SUBSTITUTE(SUBSTITUTE(SUBSTITUTE(SUBSTITUTE(SUBSTITUTE(SUBSTITUTE(SUBSTITUTE(SUBSTITUTE(SUBSTITUTE(SUBSTITUTE(BM21,"0",""),"-",""),"_",""),"/",""),".",""),"#",""),"\\",""),":","")," ",""),"(",""),")","")</f>
        <v/>
      </c>
      <c r="BY21" s="62" t="n">
        <f aca="false">Q21-T12EarlyH/24</f>
        <v>46302.8576388889</v>
      </c>
      <c r="BZ21" s="61" t="n">
        <f aca="false">IFERROR(IF(IF(TRIM(S21)="Link / file path",AND(LEN(TRIM(Z21))&gt;=5,SUMPRODUCT(--ISNUMBER(SEARCH({"http","www.","\\",":\",".pdf",".jpg",".jpeg",".png",".heic",".xls",".doc",".msg",".eml",".ppt",".txt",".zip"},Z21)))&gt;0),AND(ISERROR(FIND(" ",TRIM(Z21))),NOT(OR(SUMPRODUCT(--ISNUMBER(FIND({",",";","&amp;","+"},Z21)))&gt;0,SUMPRODUCT(--ISNUMBER(SEARCH({"0/aa","0\\aa"},BN21)))&gt;0)),NOT(SUMPRODUCT(--ISNUMBER(SEARCH({"http","www.","\\",":\",".pdf",".jpg",".jpeg",".png",".heic",".xls",".doc",".msg",".eml",".ppt",".txt",".zip"},Z21)))&gt;0),NOT(LOWER(TRIM(Z21))=LOWER(Flights!$F$5)),ISNA(MATCH(BU21,{"mh","rev","revision","ver","version","v","r","a","b","seat","tray","row","gate","bay","stand","page","pg","item","line","no","cart","galley","flight","flt","table","box","bag","oven","etd","eta","std","sta","atd","ata","qty","pax","x","time","tel","ph","mob","day","wk","week","utc","gmt","myt","lt"},0)),NOT(OR(ISNUMBER(MATCH(LEFT(BN21,255),{"0000a","000a","00a","0000aa","000aa","00aa","0aa","0000aaa","000aaa","00a00","0a00","0000-0000","00:00","a00","a0","00.00.0000","00/00/0000","00-00-0000","0000-00-00","0000/00/00","0000.00.00","00.00.00","00/00/00","00-00-00","0.00.0000","0/00/0000","0-00-0000"},0)),ISNUMBER(MATCH(LEFT(BT21,255),{"0000a","000a","00a","0000aa","000aa","00aa","0aa","0000aaa","000aaa","00a00","0a00","0000-0000","00:00","a00","a0","00.00.0000","00/00/0000","00-00-0000","0000-00-00","0000/00/00","0000.00.00","00.00.00","00/00/00","00-00-00","0.00.0000","0/00/0000","0-00-0000"},0)))),NOT(OR(AND(BW21&lt;&gt;"",SUBSTITUTE(BW21,"0","")=""),AND(LEN(BW21)&gt;=4,BW21=REPT(LEFT(BW21),LEN(BW21))),ISNUMBER(MATCH(BW21,{"123","1234","12345","123456","1234567","12345678","0123","01234","012345","98765","987654","54321"},0)),ISNUMBER(MATCH(BX21,{"x","xx","xxx","xxxx","xxxxx","abc","abcd","nil","na","nan","test","tbc","tba","tbd","dummy","sample","example","eg","zz","zzz","none","null","xyz","qwe","asd","id","ref"},0)),AND(LEN(BW21)=8,BX21="",OR(LEFT(BW21,3)="202",ISNUMBER(MATCH(RIGHT(BW21,4),{"2025","2026","2027"},0)))))),OR(AND((LEN(BT21)-LEN(SUBSTITUTE(BT21,"a","")))&gt;=1,(LEN(BN21)-LEN(SUBSTITUTE(BN21,"0","")))&gt;=2,SUMPRODUCT(--ISNUMBER(SEARCH({"a0","a-0","a_0","a/0","a.0","a#0","0a","0-a","0_a","0/a"},BN21)))&gt;0),AND((LEN(BN21)-LEN(SUBSTITUTE(BN21,"a","")))=0,(LEN(BN21)-LEN(SUBSTITUTE(BN21,"0","")))&gt;=5)))),1,0),0)</f>
        <v>0</v>
      </c>
      <c r="CA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revision",""),"version",""),"jan",""),"feb",""),"mar",""),"apr",""),"may",""),"jun",""),"jul",""),"aug",""),"sep",""),"oct",""),"nov",""),"dec",""),"utc",""),"gmt",""),"myt",""),"bst",""),"rev",""),"ver",""),"b","a"),"c","a"),"d","a"),"e","a"),"f","a"),"g","a"),"h","a"),"i","a"),"j","a"),"k","a"),"l","a"),"m","a"),"n","a"),"o","a"),"p","a"),"q","a"),"r","a"),"s","a"),"t","a"),"u","a"),"v","a"),"w","a"),"x","a"),"y","a"),"z","a")</f>
        <v/>
      </c>
      <c r="CB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amp;""),"a",""),"b",""),"c",""),"d",""),"e",""),"f",""),"g",""),"h",""),"i",""),"j",""),"k",""),"l",""),"m",""),"n",""),"o",""),"p",""),"q",""),"r",""),"s",""),"t",""),"u",""),"v",""),"w",""),"x",""),"y",""),"z",""),"-",""),"_",""),"/",""),".",""),"#",""),"\\",""),":","")," ",""),"(",""),")","")</f>
        <v/>
      </c>
      <c r="CC21" s="0" t="str">
        <f aca="false">" "&amp;TRIM(SUBSTITUTE(SUBSTITUTE(SUBSTITUTE(SUBSTITUTE(SUBSTITUTE(SUBSTITUTE(SUBSTITUTE(SUBSTITUTE(SUBSTITUTE(SUBSTITUTE(SUBSTITUTE(SUBSTITUTE(SUBSTITUTE(SUBSTITUTE(SUBSTITUTE(SUBSTITUTE(SUBSTITUTE(SUBSTITUTE(SUBSTITUTE(SUBSTITUTE(SUBSTITUTE(SUBSTITUTE(SUBSTITUTE(SUBSTITUTE(LOWER(T21&amp;""),CHAR(10)," "),CHAR(13)," "),CHAR(9)," "),CHAR(160)," "),"."," "),","," "),"-"," "),"/"," "),"("," "),")"," "),":"," "),";"," "),"_"," "),"–"," "),"?"," "),"!"," "),"*"," "),"["," "),"]"," "),"'"," "),"#"," "),"+"," "),"&amp;"," "),"\"," "))&amp;" "</f>
        <v>  </v>
      </c>
      <c r="CD21" s="0" t="str">
        <f aca="false">" "&amp;TRIM(SUBSTITUTE(SUBSTITUTE(SUBSTITUTE(SUBSTITUTE(SUBSTITUTE(SUBSTITUTE(SUBSTITUTE(SUBSTITUTE(SUBSTITUTE(SUBSTITUTE(SUBSTITUTE(SUBSTITUTE(SUBSTITUTE(SUBSTITUTE(SUBSTITUTE(SUBSTITUTE(SUBSTITUTE(SUBSTITUTE(SUBSTITUTE(SUBSTITUTE(SUBSTITUTE(SUBSTITUTE(SUBSTITUTE(SUBSTITUTE(LOWER(AE21&amp;""),CHAR(10)," "),CHAR(13)," "),CHAR(9)," "),CHAR(160)," "),"."," "),","," "),"-"," "),"/"," "),"("," "),")"," "),":"," "),";"," "),"_"," "),"–"," "),"?"," "),"!"," "),"*"," "),"["," "),"]"," "),"'"," "),"#"," "),"+"," "),"&amp;"," "),"\"," "))&amp;" "</f>
        <v>  </v>
      </c>
      <c r="CE21" s="68" t="n">
        <f aca="false">IFERROR(IF(AND(LEN(AU21)&gt;0,LEN(AU21)=LEN(AX21),OR(TRIM(MID(SUBSTITUTE(TRIM(CC21)," ",REPT(" ",60)),1,60))="",ISNUMBER(SEARCH(" "&amp;TRIM(MID(SUBSTITUTE(TRIM(CC21)," ",REPT(" ",60)),1,60))&amp;" ",CD21))),OR(TRIM(MID(SUBSTITUTE(TRIM(CC21)," ",REPT(" ",60)),61,60))="",ISNUMBER(SEARCH(" "&amp;TRIM(MID(SUBSTITUTE(TRIM(CC21)," ",REPT(" ",60)),61,60))&amp;" ",CD21))),OR(TRIM(MID(SUBSTITUTE(TRIM(CC21)," ",REPT(" ",60)),121,60))="",ISNUMBER(SEARCH(" "&amp;TRIM(MID(SUBSTITUTE(TRIM(CC21)," ",REPT(" ",60)),121,60))&amp;" ",CD21)))),1,0),0)</f>
        <v>0</v>
      </c>
      <c r="CG21" s="68" t="n">
        <f aca="false">IFERROR(LEN(SUBSTITUTE(BF21," ",""))-SUMPRODUCT((LEN(BF21)-LEN(SUBSTITUTE(BF21," "&amp;L_NAFiller&amp;" "," ")))/(LEN(L_NAFiller)+1)*LEN(L_NAFiller)),0)</f>
        <v>0</v>
      </c>
    </row>
    <row r="22" customFormat="false" ht="54" hidden="false" customHeight="true" outlineLevel="0" collapsed="false">
      <c r="A22" s="57" t="s">
        <v>439</v>
      </c>
      <c r="B22" s="57" t="s">
        <v>183</v>
      </c>
      <c r="C22" s="57" t="str">
        <f aca="false">Flights!$F$5</f>
        <v>MH0001</v>
      </c>
      <c r="D22" s="58" t="n">
        <f aca="false">Flights!$D$5</f>
        <v>46303</v>
      </c>
      <c r="E22" s="57" t="str">
        <f aca="false">Flights!$G$5&amp;"-"&amp;Flights!$H$5</f>
        <v>LHR-KUL</v>
      </c>
      <c r="F22" s="57" t="str">
        <f aca="false">Flights!$K$5</f>
        <v>EY</v>
      </c>
      <c r="G22" s="57" t="s">
        <v>420</v>
      </c>
      <c r="H22" s="57" t="s">
        <v>378</v>
      </c>
      <c r="I22" s="57" t="s">
        <v>440</v>
      </c>
      <c r="J22" s="57" t="s">
        <v>441</v>
      </c>
      <c r="K22" s="67" t="s">
        <v>442</v>
      </c>
      <c r="L22" s="67" t="s">
        <v>443</v>
      </c>
      <c r="M22" s="67" t="s">
        <v>186</v>
      </c>
      <c r="N22" s="67" t="s">
        <v>444</v>
      </c>
      <c r="O22" s="67" t="s">
        <v>445</v>
      </c>
      <c r="P22" s="57" t="s">
        <v>186</v>
      </c>
      <c r="Q22" s="59" t="n">
        <f aca="false">ROUND((Flights!$AE$5)*1440,0)/1440</f>
        <v>46303.3576388889</v>
      </c>
      <c r="R22" s="59" t="n">
        <f aca="false">Q22+(IF(AND(INDEX(TZ_DSTS,MATCH(P22,TZ_STN,0))&lt;&gt;"",Q22&gt;=INDEX(TZ_DSTS,MATCH(P22,TZ_STN,0)),Q22&lt;INDEX(TZ_DSTE,MATCH(P22,TZ_STN,0))),INDEX(TZ_DST,MATCH(P22,TZ_STN,0)),INDEX(TZ_STD,MATCH(P22,TZ_STN,0))))/24</f>
        <v>46303.3993055556</v>
      </c>
      <c r="S22" s="60"/>
      <c r="T22" s="60"/>
      <c r="U22" s="60"/>
      <c r="V22" s="60"/>
      <c r="W22" s="61"/>
      <c r="X22" s="60"/>
      <c r="Y22" s="60"/>
      <c r="Z22" s="60"/>
      <c r="AA22" s="60"/>
      <c r="AB22" s="60"/>
      <c r="AC22" s="60"/>
      <c r="AD22" s="66"/>
      <c r="AE22" s="60"/>
      <c r="AF22" s="61" t="str">
        <f aca="false">IF(AND(ISNUMBER(X22),ISNUMBER(Y22)),Y22-X22,"")</f>
        <v/>
      </c>
      <c r="AG22" s="62" t="str">
        <f aca="false">IF(ISNUMBER(AD22),AD22-(IF(AND(INDEX(TZ_DSTS,MATCH(P22,TZ_STN,0))&lt;&gt;"",(AD22-INDEX(TZ_STD,MATCH(P22,TZ_STN,0))/24)&gt;=INDEX(TZ_DSTS,MATCH(P22,TZ_STN,0)),(AD22-INDEX(TZ_STD,MATCH(P22,TZ_STN,0))/24)&lt;INDEX(TZ_DSTE,MATCH(P22,TZ_STN,0))),INDEX(TZ_DST,MATCH(P22,TZ_STN,0)),INDEX(TZ_STD,MATCH(P22,TZ_STN,0))))/24,"")</f>
        <v/>
      </c>
      <c r="AH22" s="65" t="str">
        <f aca="false">IFERROR(IF(N22="N/A – rule",IF(OR(TRIM(U22)="",TRIM(U22)="N/A",TRIM(U22)="Not started"),"N/A – RULE","INVALID – this check does not apply to this aircraft: clear the status (or correct the fleet on Flights)"),IF(TRIM(U22)="N/A",IF(AT22=0,"INVALID – N/A not permitted for this check",IF(AND(TRIM(AB22)&lt;&gt;"",TRIM(AB22)&lt;&gt;"Closed"),"INVALID – corrective action still open",IF(AND(NOT(OR(LEN(AZ22)&lt;15,ISNUMBER(MATCH(AZ22,L_Placeholder,0)))),BK22=0,CG22&gt;=8,NOT(OR(LEN(AU22)&lt;2,ISNUMBER(MATCH(AU22,L_Placeholder,0)))),BR22&gt;=3,NOT(OR(LEN(AX22)&lt;2,ISNUMBER(MATCH(AX22,L_Placeholder,0)))),BS22&gt;=3,TRIM(AE22)&lt;&gt;TRIM(T22),AX22&lt;&gt;AU22,CE22=0),"N/A – JUSTIFIED","INVALID – N/A needs a real, settled reason (not 'not applicable' / 'as above' / TBC), a named PIC and a different named verifier"))),IF(OR(TRIM(U22)="Pass",TRIM(U22)="Pass after CA"),IF(NOT(ISNUMBER(AD22)),"INVALID – completion time missing",IF(OR(OR(LEN(AU22)&lt;2,ISNUMBER(MATCH(AU22,L_Placeholder,0))),BR22&lt;3),"INVALID – PIC missing or not a named person (a role such as QA / CSM is not a name)",IF(OR(LEN(AV22)&lt;2,ISNUMBER(MATCH(AV22,L_Placeholder,0))),"INVALID – result / assessment missing",IF(OR(OR(LEN(AW22)&lt;3,ISNUMBER(MATCH(AW22,L_Placeholder,0))),SUMPRODUCT(--ISNUMBER(SEARCH(" "&amp;L_EvidencePhrase&amp;" ",BD22)))&gt;0,BI22=1),"INVALID – evidence missing, placeholder or not yet on file",IF(ISNA(MATCH(TRIM(S22),L_EvidenceType,0)),"INVALID – choose the evidence type from the list (column S)",IF(BL22=0,"INVALID – evidence ID must be the record's own ID only (e.g. SF-2210, IMG_2231, 1045521); a link / file name needs type 'Link / file path'",IF(OR(OR(LEN(AX22)&lt;2,ISNUMBER(MATCH(AX22,L_Placeholder,0))),BS22&lt;3),"INVALID – verifier missing or not a named person (a role such as QA / CSM is not a name)",IF(OR(AX22=AU22,CE22=1,AND(LEN(AU22)&gt;=4,ISNUMBER(SEARCH(AU22,AX22))),AND(LEN(AX22)&gt;=4,ISNUMBER(SEARCH(AX22,AU22)))),"INVALID – verifier must be a different, named person (not the PIC or a role)",IF(BH22=1,"INVALID – result not yet available (awaiting / TBC)",IF(BG22=1,"INVALID – result describes a problem: record Fail, then Pass after CA (or reword if it is not a problem)",IF(BV22=1,"INVALID – wording says not on board: an on-board confirmation needs the item loaded",IF(AND(AQ22=1,OR(OR(LEN(AY22)&lt;3,ISNUMBER(MATCH(AY22,L_Placeholder,0))),BJ22=1,BQ22=0)),"INVALID – batch ID missing, placeholder or not an ID (e.g. PASB-261008-BC-017)",IF(AND(AR22=1,OR(NOT(ISNUMBER(X22)),NOT(ISNUMBER(Y22)))),"INVALID – expected/actual qty missing",IF(AND(AR22=1,OR(X22&lt;=0,Y22&lt;0)),"INVALID – expected qty must be above 0 and actual not negative",IF(BB22&lt;&gt;"",BB22,IF(AND(AS22=1,Documents!$J$5&lt;&gt;"ON FILE"),"INVALID – GLD not on file (Documents sheet)",IF(AND(AS22=2,Documents!$O$5&lt;&gt;"ON FILE"),"INVALID – menu checklist not on file (Documents sheet)",IF(AND(AS22=3,NOT(ISNUMBER(Flights!$AX$5))),"INVALID – enter carrying flight KUL departure (Flights AX)",IF(AND(AS22=3,OR(Flights!$AZ$5&gt;Flights!$AA$5,Flights!$AX$5&lt;Flights!$AA$5-3)),"INVALID – carrying flight (Flights AX) cannot arrive before this leg's STD, or is over 3 days early",IF(AG22&gt;AsOfUTC,"INVALID – completion time is in the future",IF(AND(ISNUMBER(BY22),AG22&lt;BY22),IF(H22="Physical uplift","INVALID – before uplift window (cannot confirm loading)","INVALID – before valid window"),IF(AG22&gt;Flights!$AA$5,"INVALID – completed after departure (cannot establish readiness)",IF(AND(H22="Preparation",AG22&gt;=IF(ISNUMBER(Flights!$BA$5),MIN(Flights!$BA$5,Flights!$AA$5),Flights!$AA$5)),"INVALID – completed after loading / departure (cannot establish readiness)",IF(AND(H22="Physical uplift",AG22&gt;Q22),"INVALID – recorded after the loading flight departed",IF(AG22&gt;Q22,"COMPLETE – LATE","COMPLETE"))))))))))))))))))))))))),IF(TRIM(U22)="Fail","FAIL – DISCREPANCY",IF(AND(TRIM(U22)&lt;&gt;"",TRIM(U22)&lt;&gt;"Not started",TRIM(U22)&lt;&gt;"In progress"),"INVALID – unrecognised status (use the list)",IF(AsOfUTC&gt;Q22,"OVERDUE",IF(N22="Clarification required","OPEN – CLARIFICATION","OPEN"))))))),"INVALID – error value in an input cell")</f>
        <v>OPEN – CLARIFICATION</v>
      </c>
      <c r="AI22" s="61" t="n">
        <f aca="false">IF(OR(AH22="N/A – RULE",AH22="N/A – JUSTIFIED"),0,1)</f>
        <v>1</v>
      </c>
      <c r="AJ22" s="61" t="n">
        <f aca="false">IF(LEFT(AH22,8)="COMPLETE",1,0)</f>
        <v>0</v>
      </c>
      <c r="AK22" s="61" t="n">
        <f aca="false">IF(AND(AI22=1,AJ22=0,AsOfUTC&gt;Q22),1,0)</f>
        <v>0</v>
      </c>
      <c r="AL22" s="61" t="n">
        <f aca="false">IFERROR(IF(AND(AI22=1,OR(TRIM(U22)="Fail",AND(TRIM(AB22)&lt;&gt;"",TRIM(AB22)&lt;&gt;"Closed"),AND(ISNUMBER(AF22),AF22&lt;&gt;0,TRIM(U22)&lt;&gt;"Pass after CA"))),1,0),1)</f>
        <v>0</v>
      </c>
      <c r="AM22" s="61" t="n">
        <f aca="false">IF(LEFT(AH22,7)="INVALID",1,0)</f>
        <v>0</v>
      </c>
      <c r="AN22" s="61" t="n">
        <f aca="false">IF(AND(N22="Clarification required",AI22=1,AJ22=0),1,0)</f>
        <v>1</v>
      </c>
      <c r="AO22" s="61" t="str">
        <f aca="false">IF(AK22=1,SUM(AK$5:AK22),"")</f>
        <v/>
      </c>
      <c r="AP22" s="61" t="str">
        <f aca="false">IF(AL22=1,SUM(AL$5:AL22),"")</f>
        <v/>
      </c>
      <c r="AQ22" s="61" t="n">
        <v>0</v>
      </c>
      <c r="AR22" s="61" t="n">
        <v>0</v>
      </c>
      <c r="AS22" s="61" t="n">
        <v>0</v>
      </c>
      <c r="AT22" s="61" t="n">
        <v>1</v>
      </c>
      <c r="AU22" s="61" t="str">
        <f aca="false">SUBSTITUTE(SUBSTITUTE(SUBSTITUTE(SUBSTITUTE(SUBSTITUTE(SUBSTITUTE(SUBSTITUTE(SUBSTITUTE(SUBSTITUTE(SUBSTITUTE(SUBSTITUTE(SUBSTITUTE(SUBSTITUTE(SUBSTITUTE(SUBSTITUTE(SUBSTITUTE(LOWER(T22&amp;""),CHAR(10),""),CHAR(13),""),CHAR(9),""),CHAR(160),"")," ",""),".",""),"-",""),"/",""),"?",""),"_",""),",",""),"[",""),"]",""),"(",""),")",""),"*","")</f>
        <v/>
      </c>
      <c r="AV22" s="61" t="str">
        <f aca="false">SUBSTITUTE(SUBSTITUTE(SUBSTITUTE(SUBSTITUTE(SUBSTITUTE(SUBSTITUTE(SUBSTITUTE(SUBSTITUTE(SUBSTITUTE(SUBSTITUTE(SUBSTITUTE(SUBSTITUTE(SUBSTITUTE(SUBSTITUTE(SUBSTITUTE(SUBSTITUTE(LOWER(V22&amp;""),CHAR(10),""),CHAR(13),""),CHAR(9),""),CHAR(160),"")," ",""),".",""),"-",""),"/",""),"?",""),"_",""),",",""),"[",""),"]",""),"(",""),")",""),"*","")</f>
        <v/>
      </c>
      <c r="AW22" s="61" t="str">
        <f aca="false">SUBSTITUTE(SUBSTITUTE(SUBSTITUTE(SUBSTITUTE(SUBSTITUTE(SUBSTITUTE(SUBSTITUTE(SUBSTITUTE(SUBSTITUTE(SUBSTITUTE(SUBSTITUTE(SUBSTITUTE(SUBSTITUTE(SUBSTITUTE(SUBSTITUTE(SUBSTITUTE(LOWER(Z22&amp;""),CHAR(10),""),CHAR(13),""),CHAR(9),""),CHAR(160),"")," ",""),".",""),"-",""),"/",""),"?",""),"_",""),",",""),"[",""),"]",""),"(",""),")",""),"*","")</f>
        <v/>
      </c>
      <c r="AX22" s="61" t="str">
        <f aca="false">SUBSTITUTE(SUBSTITUTE(SUBSTITUTE(SUBSTITUTE(SUBSTITUTE(SUBSTITUTE(SUBSTITUTE(SUBSTITUTE(SUBSTITUTE(SUBSTITUTE(SUBSTITUTE(SUBSTITUTE(SUBSTITUTE(SUBSTITUTE(SUBSTITUTE(SUBSTITUTE(LOWER(AE22&amp;""),CHAR(10),""),CHAR(13),""),CHAR(9),""),CHAR(160),"")," ",""),".",""),"-",""),"/",""),"?",""),"_",""),",",""),"[",""),"]",""),"(",""),")",""),"*","")</f>
        <v/>
      </c>
      <c r="AY22" s="61" t="str">
        <f aca="false">SUBSTITUTE(SUBSTITUTE(SUBSTITUTE(SUBSTITUTE(SUBSTITUTE(SUBSTITUTE(SUBSTITUTE(SUBSTITUTE(SUBSTITUTE(SUBSTITUTE(SUBSTITUTE(SUBSTITUTE(SUBSTITUTE(SUBSTITUTE(SUBSTITUTE(SUBSTITUTE(LOWER(W22&amp;""),CHAR(10),""),CHAR(13),""),CHAR(9),""),CHAR(160),"")," ",""),".",""),"-",""),"/",""),"?",""),"_",""),",",""),"[",""),"]",""),"(",""),")",""),"*","")</f>
        <v/>
      </c>
      <c r="AZ22" s="61" t="str">
        <f aca="false">SUBSTITUTE(SUBSTITUTE(SUBSTITUTE(SUBSTITUTE(SUBSTITUTE(SUBSTITUTE(SUBSTITUTE(SUBSTITUTE(SUBSTITUTE(SUBSTITUTE(SUBSTITUTE(SUBSTITUTE(SUBSTITUTE(SUBSTITUTE(SUBSTITUTE(SUBSTITUTE(LOWER(AC22&amp;""),CHAR(10),""),CHAR(13),""),CHAR(9),""),CHAR(160),"")," ",""),".",""),"-",""),"/",""),"?",""),"_",""),",",""),"[",""),"]",""),"(",""),")",""),"*","")</f>
        <v/>
      </c>
      <c r="BA22" s="61" t="str">
        <f aca="false">SUBSTITUTE(SUBSTITUTE(SUBSTITUTE(SUBSTITUTE(SUBSTITUTE(SUBSTITUTE(SUBSTITUTE(SUBSTITUTE(SUBSTITUTE(SUBSTITUTE(SUBSTITUTE(SUBSTITUTE(SUBSTITUTE(SUBSTITUTE(SUBSTITUTE(SUBSTITUTE(LOWER(AA22&amp;""),CHAR(10),""),CHAR(13),""),CHAR(9),""),CHAR(160),"")," ",""),".",""),"-",""),"/",""),"?",""),"_",""),",",""),"[",""),"]",""),"(",""),")",""),"*","")</f>
        <v/>
      </c>
      <c r="BB22" s="61" t="str">
        <f aca="false">IF(AND(TRIM(U22)="Pass",ISNUMBER(AF22)),IF(AF22&lt;&gt;0,"INVALID – qty variance: use Fail or Pass after CA",""),"")&amp;IF(AND(TRIM(U22)="Pass after CA",ISNUMBER(AF22)),IF(AF22&lt;&gt;0,"INVALID – after the corrective action the actual qty must equal expected (update Actual)",""),"")&amp;IF(AND(TRIM(U22)="Pass",TRIM(AB22)&lt;&gt;"",TRIM(AB22)&lt;&gt;"Closed"),"INVALID – corrective action not closed: use Fail, then Pass after CA","")&amp;IF(AND(LEN(BA22)&gt;=2,ISNA(MATCH(LEFT(BA22,255),L_Placeholder,0)),TRIM(AB22)=""),"INVALID – CA status missing for the recorded corrective action","")&amp;IF(AND(TRIM(U22)="Pass after CA",OR(OR(LEN(BA22)&lt;5,ISNUMBER(MATCH(BA22,L_Placeholder,0))),TRIM(AB22)&lt;&gt;"Closed")),"INVALID – corrective action not recorded/closed","")</f>
        <v/>
      </c>
      <c r="BC22" s="61" t="str">
        <f aca="false">" "&amp;TRIM(SUBSTITUTE(SUBSTITUTE(SUBSTITUTE(SUBSTITUTE(SUBSTITUTE(SUBSTITUTE(SUBSTITUTE(SUBSTITUTE(SUBSTITUTE(SUBSTITUTE(SUBSTITUTE(SUBSTITUTE(SUBSTITUTE(SUBSTITUTE(SUBSTITUTE(SUBSTITUTE(SUBSTITUTE(SUBSTITUTE(SUBSTITUTE(SUBSTITUTE(SUBSTITUTE(SUBSTITUTE(SUBSTITUTE(SUBSTITUTE(LOWER(V22&amp;""),CHAR(10)," "),CHAR(13)," "),CHAR(9)," "),CHAR(160)," "),"."," "),","," "),"-"," "),"/"," "),"("," "),")"," "),":"," "),";"," "),"_"," "),"–"," "),"?"," "),"!"," "),"*"," "),"["," "),"]"," "),"'"," "),"#"," "),"+"," "),"&amp;"," "),"\"," "))&amp;" "</f>
        <v>  </v>
      </c>
      <c r="BD22" s="61" t="str">
        <f aca="false">" "&amp;TRIM(SUBSTITUTE(SUBSTITUTE(SUBSTITUTE(SUBSTITUTE(SUBSTITUTE(SUBSTITUTE(SUBSTITUTE(SUBSTITUTE(SUBSTITUTE(SUBSTITUTE(SUBSTITUTE(SUBSTITUTE(SUBSTITUTE(SUBSTITUTE(SUBSTITUTE(SUBSTITUTE(SUBSTITUTE(SUBSTITUTE(SUBSTITUTE(SUBSTITUTE(SUBSTITUTE(SUBSTITUTE(SUBSTITUTE(SUBSTITUTE(LOWER(Z22&amp;""),CHAR(10)," "),CHAR(13)," "),CHAR(9)," "),CHAR(160)," "),"."," "),","," "),"-"," "),"/"," "),"("," "),")"," "),":"," "),";"," "),"_"," "),"–"," "),"?"," "),"!"," "),"*"," "),"["," "),"]"," "),"'"," "),"#"," "),"+"," "),"&amp;"," "),"\"," "))&amp;" "</f>
        <v>  </v>
      </c>
      <c r="BE22" s="61" t="str">
        <f aca="false">" "&amp;TRIM(SUBSTITUTE(SUBSTITUTE(SUBSTITUTE(SUBSTITUTE(SUBSTITUTE(SUBSTITUTE(SUBSTITUTE(SUBSTITUTE(SUBSTITUTE(SUBSTITUTE(SUBSTITUTE(SUBSTITUTE(SUBSTITUTE(SUBSTITUTE(SUBSTITUTE(SUBSTITUTE(SUBSTITUTE(SUBSTITUTE(SUBSTITUTE(SUBSTITUTE(SUBSTITUTE(SUBSTITUTE(SUBSTITUTE(SUBSTITUTE(LOWER(W22&amp;""),CHAR(10)," "),CHAR(13)," "),CHAR(9)," "),CHAR(160)," "),"."," "),","," "),"-"," "),"/"," "),"("," "),")"," "),":"," "),";"," "),"_"," "),"–"," "),"?"," "),"!"," "),"*"," "),"["," "),"]"," "),"'"," "),"#"," "),"+"," "),"&amp;"," "),"\"," "))&amp;" "</f>
        <v>  </v>
      </c>
      <c r="BF22" s="61" t="str">
        <f aca="false">" "&amp;TRIM(SUBSTITUTE(SUBSTITUTE(SUBSTITUTE(SUBSTITUTE(SUBSTITUTE(SUBSTITUTE(SUBSTITUTE(SUBSTITUTE(SUBSTITUTE(SUBSTITUTE(SUBSTITUTE(SUBSTITUTE(SUBSTITUTE(SUBSTITUTE(SUBSTITUTE(SUBSTITUTE(SUBSTITUTE(SUBSTITUTE(SUBSTITUTE(SUBSTITUTE(SUBSTITUTE(SUBSTITUTE(SUBSTITUTE(SUBSTITUTE(LOWER(AC22&amp;""),CHAR(10)," "),CHAR(13)," "),CHAR(9)," "),CHAR(160)," "),"."," "),","," "),"-"," "),"/"," "),"("," "),")"," "),":"," "),";"," "),"_"," "),"–"," "),"?"," "),"!"," "),"*"," "),"["," "),"]"," "),"'"," "),"#"," "),"+"," "),"&amp;"," "),"\"," "))&amp;" "</f>
        <v>  </v>
      </c>
      <c r="BG22" s="61" t="n">
        <f aca="false">IFERROR(IF(AND(TRIM(U22)="Pass",SUMPRODUCT((LEN(BC22)-LEN(SUBSTITUTE(BC22," "&amp;L_ResultBad&amp;" "," ")))/(LEN(L_ResultBad)+1))&gt;SUMPRODUCT((LEN(BC22)-LEN(SUBSTITUTE(BC22," "&amp;L_NegPhrase&amp;" "," ")))/(LEN(L_NegPhrase)+1))),1,0),0)</f>
        <v>0</v>
      </c>
      <c r="BH22" s="61" t="n">
        <f aca="false">IFERROR(IF(SUMPRODUCT((LEN(BC22)-LEN(SUBSTITUTE(BC22," "&amp;L_Pending&amp;" "," ")))/(LEN(L_Pending)+1))&gt;SUMPRODUCT((LEN(BC22)-LEN(SUBSTITUTE(BC22," "&amp;L_PendNeg&amp;" "," ")))/(LEN(L_PendNeg)+1))+SUMPRODUCT((LEN(BC22)-LEN(SUBSTITUTE(BC22," "&amp;L_PendPrep&amp;" "," ")))/(LEN(L_PendPrep)+1)),1,0),1)</f>
        <v>0</v>
      </c>
      <c r="BI22" s="61" t="n">
        <f aca="false">IFERROR(IF(SUMPRODUCT((LEN(BD22)-LEN(SUBSTITUTE(BD22," "&amp;L_PendStrict&amp;" "," ")))/(LEN(L_PendStrict)+1))&gt;SUMPRODUCT((LEN(BD22)-LEN(SUBSTITUTE(BD22," "&amp;L_PendNeg&amp;" "," ")))/(LEN(L_PendNeg)+1)),1,0),1)</f>
        <v>0</v>
      </c>
      <c r="BJ22" s="61" t="n">
        <f aca="false">IFERROR(IF(SUMPRODUCT((LEN(BE22)-LEN(SUBSTITUTE(BE22," "&amp;L_Pending&amp;" "," ")))/(LEN(L_Pending)+1))&gt;SUMPRODUCT((LEN(BE22)-LEN(SUBSTITUTE(BE22," "&amp;L_PendNeg&amp;" "," ")))/(LEN(L_PendNeg)+1))+SUMPRODUCT((LEN(BE22)-LEN(SUBSTITUTE(BE22," "&amp;L_PendPrep&amp;" "," ")))/(LEN(L_PendPrep)+1)),1,0),1)</f>
        <v>0</v>
      </c>
      <c r="BK22" s="61" t="n">
        <f aca="false">IFERROR(IF(SUMPRODUCT((LEN(BF22)-LEN(SUBSTITUTE(BF22," "&amp;L_PendStrict&amp;" "," ")))/(LEN(L_PendStrict)+1))&gt;SUMPRODUCT((LEN(BF22)-LEN(SUBSTITUTE(BF22," "&amp;L_PendNeg&amp;" "," ")))/(LEN(L_PendNeg)+1)),1,0),1)</f>
        <v>0</v>
      </c>
      <c r="BL22" s="61" t="n">
        <f aca="false">IF(ISNA(MATCH(TRIM(S22),L_EvidenceType,0)),0,BZ22)</f>
        <v>0</v>
      </c>
      <c r="BM22" s="61" t="str">
        <f aca="false">SUBSTITUTE(SUBSTITUTE(SUBSTITUTE(SUBSTITUTE(SUBSTITUTE(SUBSTITUTE(SUBSTITUTE(SUBSTITUTE(SUBSTITUTE(LOWER(Z22&amp;""),"1","0"),"2","0"),"3","0"),"4","0"),"5","0"),"6","0"),"7","0"),"8","0"),"9","0")</f>
        <v/>
      </c>
      <c r="BN22" s="61" t="str">
        <f aca="false">SUBSTITUTE(SUBSTITUTE(SUBSTITUTE(SUBSTITUTE(SUBSTITUTE(SUBSTITUTE(SUBSTITUTE(SUBSTITUTE(SUBSTITUTE(SUBSTITUTE(SUBSTITUTE(SUBSTITUTE(SUBSTITUTE(SUBSTITUTE(SUBSTITUTE(SUBSTITUTE(SUBSTITUTE(SUBSTITUTE(SUBSTITUTE(SUBSTITUTE(SUBSTITUTE(SUBSTITUTE(SUBSTITUTE(SUBSTITUTE(SUBSTITUTE(BM22,"b","a"),"c","a"),"d","a"),"e","a"),"f","a"),"g","a"),"h","a"),"i","a"),"j","a"),"k","a"),"l","a"),"m","a"),"n","a"),"o","a"),"p","a"),"q","a"),"r","a"),"s","a"),"t","a"),"u","a"),"v","a"),"w","a"),"x","a"),"y","a"),"z","a")</f>
        <v/>
      </c>
      <c r="BO22" s="61" t="str">
        <f aca="false">SUBSTITUTE(SUBSTITUTE(SUBSTITUTE(SUBSTITUTE(SUBSTITUTE(SUBSTITUTE(SUBSTITUTE(SUBSTITUTE(SUBSTITUTE(LOWER(W22&amp;""),"1","0"),"2","0"),"3","0"),"4","0"),"5","0"),"6","0"),"7","0"),"8","0"),"9","0")</f>
        <v/>
      </c>
      <c r="BP22" s="61" t="str">
        <f aca="false">SUBSTITUTE(SUBSTITUTE(SUBSTITUTE(SUBSTITUTE(SUBSTITUTE(SUBSTITUTE(SUBSTITUTE(SUBSTITUTE(SUBSTITUTE(SUBSTITUTE(SUBSTITUTE(SUBSTITUTE(SUBSTITUTE(SUBSTITUTE(SUBSTITUTE(SUBSTITUTE(SUBSTITUTE(SUBSTITUTE(SUBSTITUTE(SUBSTITUTE(SUBSTITUTE(SUBSTITUTE(SUBSTITUTE(SUBSTITUTE(SUBSTITUTE(BO22,"b","a"),"c","a"),"d","a"),"e","a"),"f","a"),"g","a"),"h","a"),"i","a"),"j","a"),"k","a"),"l","a"),"m","a"),"n","a"),"o","a"),"p","a"),"q","a"),"r","a"),"s","a"),"t","a"),"u","a"),"v","a"),"w","a"),"x","a"),"y","a"),"z","a")</f>
        <v/>
      </c>
      <c r="BQ22" s="61" t="n">
        <f aca="false">IFERROR(IF(AND(ISERROR(SEARCH(" mh"," "&amp;LOWER(W22))),ISNA(MATCH(LEFT(TRIM(BP22),255),{"0000a","000a","00a","0000aa","000aa","00aa","0aa","0000aaa","000aaa","00a00","0a00","0000-0000","00:00","a00","a0","00.00.0000","00/00/0000","00-00-0000","0000-00-00","0000/00/00","0000.00.00","00.00.00","00/00/00","00-00-00","0.00.0000","0/00/0000","0-00-0000"},0)),ISNA(MATCH(LEFT(TRIM(CA22),255),{"0000a","000a","00a","0000aa","000aa","00aa","0aa","0000aaa","000aaa","00a00","0a00","0000-0000","00:00","a00","a0","00.00.0000","00/00/0000","00-00-0000","0000-00-00","0000/00/00","0000.00.00","00.00.00","00/00/00","00-00-00","0.00.0000","0/00/0000","0-00-0000"},0)),LEN(CB22)&gt;=3,NOT(OR(SUBSTITUTE(CB22,"0","")="",AND(LEN(CB22)&gt;=4,CB22=REPT(LEFT(CB22),LEN(CB22))),ISNUMBER(MATCH(CB22,{"123","1234","12345","123456","1234567","12345678","0123","01234","012345","98765","987654","54321"},0)),AND(LEN(CB22)=8,LEFT(CB22,3)="202"))),OR(AND((LEN(CA22)-LEN(SUBSTITUTE(CA22,"a","")))&gt;=1,SUMPRODUCT(--ISNUMBER(SEARCH({"a0","a-0","a_0","a/0","a.0","a#0","0a","0-a","0_a","0/a"},BP22)))&gt;0),ISNUMBER(SEARCH("000000",BP22)))),1,0),0)</f>
        <v>0</v>
      </c>
      <c r="BR22" s="61" t="n">
        <f aca="false">IFERROR(LEN(SUBSTITUTE(CC22," ",""))-SUMPRODUCT((LEN(CC22)-LEN(SUBSTITUTE(CC22," "&amp;L_Role&amp;" "," ")))/(LEN(L_Role)+1)*LEN(L_Role)),0)</f>
        <v>0</v>
      </c>
      <c r="BS22" s="61" t="n">
        <f aca="false">IFERROR(LEN(SUBSTITUTE(CD22," ",""))-SUMPRODUCT((LEN(CD22)-LEN(SUBSTITUTE(CD22," "&amp;L_Role&amp;" "," ")))/(LEN(L_Role)+1)*LEN(L_Role)),0)</f>
        <v>0</v>
      </c>
      <c r="BT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revision",""),"version",""),"jan",""),"feb",""),"mar",""),"apr",""),"may",""),"jun",""),"jul",""),"aug",""),"sep",""),"oct",""),"nov",""),"dec",""),"utc",""),"gmt",""),"myt",""),"bst",""),"rev",""),"ver",""),"b","a"),"c","a"),"d","a"),"e","a"),"f","a"),"g","a"),"h","a"),"i","a"),"j","a"),"k","a"),"l","a"),"m","a"),"n","a"),"o","a"),"p","a"),"q","a"),"r","a"),"s","a"),"t","a"),"u","a"),"v","a"),"w","a"),"x","a"),"y","a"),"z","a")</f>
        <v/>
      </c>
      <c r="BU22" s="61" t="str">
        <f aca="false">SUBSTITUTE(SUBSTITUTE(SUBSTITUTE(SUBSTITUTE(SUBSTITUTE(SUBSTITUTE(SUBSTITUTE(SUBSTITUTE(SUBSTITUTE(SUBSTITUTE(LEFT(BM22,FIND("0",BM22&amp;"0")-1),"-",""),"_",""),"/",""),".",""),"#",""),"\\",""),":","")," ",""),"(",""),")","")</f>
        <v/>
      </c>
      <c r="BV22" s="61" t="n">
        <f aca="false">0</f>
        <v>0</v>
      </c>
      <c r="BW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amp;""),"a",""),"b",""),"c",""),"d",""),"e",""),"f",""),"g",""),"h",""),"i",""),"j",""),"k",""),"l",""),"m",""),"n",""),"o",""),"p",""),"q",""),"r",""),"s",""),"t",""),"u",""),"v",""),"w",""),"x",""),"y",""),"z",""),"-",""),"_",""),"/",""),".",""),"#",""),"\\",""),":","")," ",""),"(",""),")","")</f>
        <v/>
      </c>
      <c r="BX22" s="61" t="str">
        <f aca="false">SUBSTITUTE(SUBSTITUTE(SUBSTITUTE(SUBSTITUTE(SUBSTITUTE(SUBSTITUTE(SUBSTITUTE(SUBSTITUTE(SUBSTITUTE(SUBSTITUTE(SUBSTITUTE(BM22,"0",""),"-",""),"_",""),"/",""),".",""),"#",""),"\\",""),":","")," ",""),"(",""),")","")</f>
        <v/>
      </c>
      <c r="BY22" s="62" t="n">
        <f aca="false">Q22-T12EarlyH/24</f>
        <v>46302.8576388889</v>
      </c>
      <c r="BZ22" s="61" t="n">
        <f aca="false">IFERROR(IF(IF(TRIM(S22)="Link / file path",AND(LEN(TRIM(Z22))&gt;=5,SUMPRODUCT(--ISNUMBER(SEARCH({"http","www.","\\",":\",".pdf",".jpg",".jpeg",".png",".heic",".xls",".doc",".msg",".eml",".ppt",".txt",".zip"},Z22)))&gt;0),AND(ISERROR(FIND(" ",TRIM(Z22))),NOT(OR(SUMPRODUCT(--ISNUMBER(FIND({",",";","&amp;","+"},Z22)))&gt;0,SUMPRODUCT(--ISNUMBER(SEARCH({"0/aa","0\\aa"},BN22)))&gt;0)),NOT(SUMPRODUCT(--ISNUMBER(SEARCH({"http","www.","\\",":\",".pdf",".jpg",".jpeg",".png",".heic",".xls",".doc",".msg",".eml",".ppt",".txt",".zip"},Z22)))&gt;0),NOT(LOWER(TRIM(Z22))=LOWER(Flights!$F$5)),ISNA(MATCH(BU22,{"mh","rev","revision","ver","version","v","r","a","b","seat","tray","row","gate","bay","stand","page","pg","item","line","no","cart","galley","flight","flt","table","box","bag","oven","etd","eta","std","sta","atd","ata","qty","pax","x","time","tel","ph","mob","day","wk","week","utc","gmt","myt","lt"},0)),NOT(OR(ISNUMBER(MATCH(LEFT(BN22,255),{"0000a","000a","00a","0000aa","000aa","00aa","0aa","0000aaa","000aaa","00a00","0a00","0000-0000","00:00","a00","a0","00.00.0000","00/00/0000","00-00-0000","0000-00-00","0000/00/00","0000.00.00","00.00.00","00/00/00","00-00-00","0.00.0000","0/00/0000","0-00-0000"},0)),ISNUMBER(MATCH(LEFT(BT22,255),{"0000a","000a","00a","0000aa","000aa","00aa","0aa","0000aaa","000aaa","00a00","0a00","0000-0000","00:00","a00","a0","00.00.0000","00/00/0000","00-00-0000","0000-00-00","0000/00/00","0000.00.00","00.00.00","00/00/00","00-00-00","0.00.0000","0/00/0000","0-00-0000"},0)))),NOT(OR(AND(BW22&lt;&gt;"",SUBSTITUTE(BW22,"0","")=""),AND(LEN(BW22)&gt;=4,BW22=REPT(LEFT(BW22),LEN(BW22))),ISNUMBER(MATCH(BW22,{"123","1234","12345","123456","1234567","12345678","0123","01234","012345","98765","987654","54321"},0)),ISNUMBER(MATCH(BX22,{"x","xx","xxx","xxxx","xxxxx","abc","abcd","nil","na","nan","test","tbc","tba","tbd","dummy","sample","example","eg","zz","zzz","none","null","xyz","qwe","asd","id","ref"},0)),AND(LEN(BW22)=8,BX22="",OR(LEFT(BW22,3)="202",ISNUMBER(MATCH(RIGHT(BW22,4),{"2025","2026","2027"},0)))))),OR(AND((LEN(BT22)-LEN(SUBSTITUTE(BT22,"a","")))&gt;=1,(LEN(BN22)-LEN(SUBSTITUTE(BN22,"0","")))&gt;=2,SUMPRODUCT(--ISNUMBER(SEARCH({"a0","a-0","a_0","a/0","a.0","a#0","0a","0-a","0_a","0/a"},BN22)))&gt;0),AND((LEN(BN22)-LEN(SUBSTITUTE(BN22,"a","")))=0,(LEN(BN22)-LEN(SUBSTITUTE(BN22,"0","")))&gt;=5)))),1,0),0)</f>
        <v>0</v>
      </c>
      <c r="CA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revision",""),"version",""),"jan",""),"feb",""),"mar",""),"apr",""),"may",""),"jun",""),"jul",""),"aug",""),"sep",""),"oct",""),"nov",""),"dec",""),"utc",""),"gmt",""),"myt",""),"bst",""),"rev",""),"ver",""),"b","a"),"c","a"),"d","a"),"e","a"),"f","a"),"g","a"),"h","a"),"i","a"),"j","a"),"k","a"),"l","a"),"m","a"),"n","a"),"o","a"),"p","a"),"q","a"),"r","a"),"s","a"),"t","a"),"u","a"),"v","a"),"w","a"),"x","a"),"y","a"),"z","a")</f>
        <v/>
      </c>
      <c r="CB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amp;""),"a",""),"b",""),"c",""),"d",""),"e",""),"f",""),"g",""),"h",""),"i",""),"j",""),"k",""),"l",""),"m",""),"n",""),"o",""),"p",""),"q",""),"r",""),"s",""),"t",""),"u",""),"v",""),"w",""),"x",""),"y",""),"z",""),"-",""),"_",""),"/",""),".",""),"#",""),"\\",""),":","")," ",""),"(",""),")","")</f>
        <v/>
      </c>
      <c r="CC22" s="0" t="str">
        <f aca="false">" "&amp;TRIM(SUBSTITUTE(SUBSTITUTE(SUBSTITUTE(SUBSTITUTE(SUBSTITUTE(SUBSTITUTE(SUBSTITUTE(SUBSTITUTE(SUBSTITUTE(SUBSTITUTE(SUBSTITUTE(SUBSTITUTE(SUBSTITUTE(SUBSTITUTE(SUBSTITUTE(SUBSTITUTE(SUBSTITUTE(SUBSTITUTE(SUBSTITUTE(SUBSTITUTE(SUBSTITUTE(SUBSTITUTE(SUBSTITUTE(SUBSTITUTE(LOWER(T22&amp;""),CHAR(10)," "),CHAR(13)," "),CHAR(9)," "),CHAR(160)," "),"."," "),","," "),"-"," "),"/"," "),"("," "),")"," "),":"," "),";"," "),"_"," "),"–"," "),"?"," "),"!"," "),"*"," "),"["," "),"]"," "),"'"," "),"#"," "),"+"," "),"&amp;"," "),"\"," "))&amp;" "</f>
        <v>  </v>
      </c>
      <c r="CD22" s="0" t="str">
        <f aca="false">" "&amp;TRIM(SUBSTITUTE(SUBSTITUTE(SUBSTITUTE(SUBSTITUTE(SUBSTITUTE(SUBSTITUTE(SUBSTITUTE(SUBSTITUTE(SUBSTITUTE(SUBSTITUTE(SUBSTITUTE(SUBSTITUTE(SUBSTITUTE(SUBSTITUTE(SUBSTITUTE(SUBSTITUTE(SUBSTITUTE(SUBSTITUTE(SUBSTITUTE(SUBSTITUTE(SUBSTITUTE(SUBSTITUTE(SUBSTITUTE(SUBSTITUTE(LOWER(AE22&amp;""),CHAR(10)," "),CHAR(13)," "),CHAR(9)," "),CHAR(160)," "),"."," "),","," "),"-"," "),"/"," "),"("," "),")"," "),":"," "),";"," "),"_"," "),"–"," "),"?"," "),"!"," "),"*"," "),"["," "),"]"," "),"'"," "),"#"," "),"+"," "),"&amp;"," "),"\"," "))&amp;" "</f>
        <v>  </v>
      </c>
      <c r="CE22" s="68" t="n">
        <f aca="false">IFERROR(IF(AND(LEN(AU22)&gt;0,LEN(AU22)=LEN(AX22),OR(TRIM(MID(SUBSTITUTE(TRIM(CC22)," ",REPT(" ",60)),1,60))="",ISNUMBER(SEARCH(" "&amp;TRIM(MID(SUBSTITUTE(TRIM(CC22)," ",REPT(" ",60)),1,60))&amp;" ",CD22))),OR(TRIM(MID(SUBSTITUTE(TRIM(CC22)," ",REPT(" ",60)),61,60))="",ISNUMBER(SEARCH(" "&amp;TRIM(MID(SUBSTITUTE(TRIM(CC22)," ",REPT(" ",60)),61,60))&amp;" ",CD22))),OR(TRIM(MID(SUBSTITUTE(TRIM(CC22)," ",REPT(" ",60)),121,60))="",ISNUMBER(SEARCH(" "&amp;TRIM(MID(SUBSTITUTE(TRIM(CC22)," ",REPT(" ",60)),121,60))&amp;" ",CD22)))),1,0),0)</f>
        <v>0</v>
      </c>
      <c r="CG22" s="68" t="n">
        <f aca="false">IFERROR(LEN(SUBSTITUTE(BF22," ",""))-SUMPRODUCT((LEN(BF22)-LEN(SUBSTITUTE(BF22," "&amp;L_NAFiller&amp;" "," ")))/(LEN(L_NAFiller)+1)*LEN(L_NAFiller)),0)</f>
        <v>0</v>
      </c>
    </row>
    <row r="23" customFormat="false" ht="41.25" hidden="false" customHeight="true" outlineLevel="0" collapsed="false">
      <c r="A23" s="57" t="s">
        <v>446</v>
      </c>
      <c r="B23" s="57" t="s">
        <v>183</v>
      </c>
      <c r="C23" s="57" t="str">
        <f aca="false">Flights!$F$5</f>
        <v>MH0001</v>
      </c>
      <c r="D23" s="58" t="n">
        <f aca="false">Flights!$D$5</f>
        <v>46303</v>
      </c>
      <c r="E23" s="57" t="str">
        <f aca="false">Flights!$G$5&amp;"-"&amp;Flights!$H$5</f>
        <v>LHR-KUL</v>
      </c>
      <c r="F23" s="57" t="str">
        <f aca="false">Flights!$K$5</f>
        <v>EY</v>
      </c>
      <c r="G23" s="57" t="s">
        <v>420</v>
      </c>
      <c r="H23" s="57" t="s">
        <v>378</v>
      </c>
      <c r="I23" s="57" t="s">
        <v>447</v>
      </c>
      <c r="J23" s="57" t="s">
        <v>448</v>
      </c>
      <c r="K23" s="67" t="s">
        <v>449</v>
      </c>
      <c r="L23" s="67" t="s">
        <v>450</v>
      </c>
      <c r="M23" s="67" t="s">
        <v>451</v>
      </c>
      <c r="N23" s="67" t="s">
        <v>383</v>
      </c>
      <c r="O23" s="67" t="s">
        <v>452</v>
      </c>
      <c r="P23" s="57" t="s">
        <v>186</v>
      </c>
      <c r="Q23" s="59" t="n">
        <f aca="false">ROUND((Flights!$AE$5)*1440,0)/1440</f>
        <v>46303.3576388889</v>
      </c>
      <c r="R23" s="59" t="n">
        <f aca="false">Q23+(IF(AND(INDEX(TZ_DSTS,MATCH(P23,TZ_STN,0))&lt;&gt;"",Q23&gt;=INDEX(TZ_DSTS,MATCH(P23,TZ_STN,0)),Q23&lt;INDEX(TZ_DSTE,MATCH(P23,TZ_STN,0))),INDEX(TZ_DST,MATCH(P23,TZ_STN,0)),INDEX(TZ_STD,MATCH(P23,TZ_STN,0))))/24</f>
        <v>46303.3993055556</v>
      </c>
      <c r="S23" s="60"/>
      <c r="T23" s="60"/>
      <c r="U23" s="60"/>
      <c r="V23" s="60"/>
      <c r="W23" s="61"/>
      <c r="X23" s="60"/>
      <c r="Y23" s="60"/>
      <c r="Z23" s="60"/>
      <c r="AA23" s="60"/>
      <c r="AB23" s="60"/>
      <c r="AC23" s="60"/>
      <c r="AD23" s="66"/>
      <c r="AE23" s="60"/>
      <c r="AF23" s="61" t="str">
        <f aca="false">IF(AND(ISNUMBER(X23),ISNUMBER(Y23)),Y23-X23,"")</f>
        <v/>
      </c>
      <c r="AG23" s="62" t="str">
        <f aca="false">IF(ISNUMBER(AD23),AD23-(IF(AND(INDEX(TZ_DSTS,MATCH(P23,TZ_STN,0))&lt;&gt;"",(AD23-INDEX(TZ_STD,MATCH(P23,TZ_STN,0))/24)&gt;=INDEX(TZ_DSTS,MATCH(P23,TZ_STN,0)),(AD23-INDEX(TZ_STD,MATCH(P23,TZ_STN,0))/24)&lt;INDEX(TZ_DSTE,MATCH(P23,TZ_STN,0))),INDEX(TZ_DST,MATCH(P23,TZ_STN,0)),INDEX(TZ_STD,MATCH(P23,TZ_STN,0))))/24,"")</f>
        <v/>
      </c>
      <c r="AH23" s="65" t="str">
        <f aca="false">IFERROR(IF(N23="N/A – rule",IF(OR(TRIM(U23)="",TRIM(U23)="N/A",TRIM(U23)="Not started"),"N/A – RULE","INVALID – this check does not apply to this aircraft: clear the status (or correct the fleet on Flights)"),IF(TRIM(U23)="N/A",IF(AT23=0,"INVALID – N/A not permitted for this check",IF(AND(TRIM(AB23)&lt;&gt;"",TRIM(AB23)&lt;&gt;"Closed"),"INVALID – corrective action still open",IF(AND(NOT(OR(LEN(AZ23)&lt;15,ISNUMBER(MATCH(AZ23,L_Placeholder,0)))),BK23=0,CG23&gt;=8,NOT(OR(LEN(AU23)&lt;2,ISNUMBER(MATCH(AU23,L_Placeholder,0)))),BR23&gt;=3,NOT(OR(LEN(AX23)&lt;2,ISNUMBER(MATCH(AX23,L_Placeholder,0)))),BS23&gt;=3,TRIM(AE23)&lt;&gt;TRIM(T23),AX23&lt;&gt;AU23,CE23=0),"N/A – JUSTIFIED","INVALID – N/A needs a real, settled reason (not 'not applicable' / 'as above' / TBC), a named PIC and a different named verifier"))),IF(OR(TRIM(U23)="Pass",TRIM(U23)="Pass after CA"),IF(NOT(ISNUMBER(AD23)),"INVALID – completion time missing",IF(OR(OR(LEN(AU23)&lt;2,ISNUMBER(MATCH(AU23,L_Placeholder,0))),BR23&lt;3),"INVALID – PIC missing or not a named person (a role such as QA / CSM is not a name)",IF(OR(LEN(AV23)&lt;2,ISNUMBER(MATCH(AV23,L_Placeholder,0))),"INVALID – result / assessment missing",IF(OR(OR(LEN(AW23)&lt;3,ISNUMBER(MATCH(AW23,L_Placeholder,0))),SUMPRODUCT(--ISNUMBER(SEARCH(" "&amp;L_EvidencePhrase&amp;" ",BD23)))&gt;0,BI23=1),"INVALID – evidence missing, placeholder or not yet on file",IF(ISNA(MATCH(TRIM(S23),L_EvidenceType,0)),"INVALID – choose the evidence type from the list (column S)",IF(BL23=0,"INVALID – evidence ID must be the record's own ID only (e.g. SF-2210, IMG_2231, 1045521); a link / file name needs type 'Link / file path'",IF(OR(OR(LEN(AX23)&lt;2,ISNUMBER(MATCH(AX23,L_Placeholder,0))),BS23&lt;3),"INVALID – verifier missing or not a named person (a role such as QA / CSM is not a name)",IF(OR(AX23=AU23,CE23=1,AND(LEN(AU23)&gt;=4,ISNUMBER(SEARCH(AU23,AX23))),AND(LEN(AX23)&gt;=4,ISNUMBER(SEARCH(AX23,AU23)))),"INVALID – verifier must be a different, named person (not the PIC or a role)",IF(BH23=1,"INVALID – result not yet available (awaiting / TBC)",IF(BG23=1,"INVALID – result describes a problem: record Fail, then Pass after CA (or reword if it is not a problem)",IF(BV23=1,"INVALID – wording says not on board: an on-board confirmation needs the item loaded",IF(AND(AQ23=1,OR(OR(LEN(AY23)&lt;3,ISNUMBER(MATCH(AY23,L_Placeholder,0))),BJ23=1,BQ23=0)),"INVALID – batch ID missing, placeholder or not an ID (e.g. PASB-261008-BC-017)",IF(AND(AR23=1,OR(NOT(ISNUMBER(X23)),NOT(ISNUMBER(Y23)))),"INVALID – expected/actual qty missing",IF(AND(AR23=1,OR(X23&lt;=0,Y23&lt;0)),"INVALID – expected qty must be above 0 and actual not negative",IF(BB23&lt;&gt;"",BB23,IF(AND(AS23=1,Documents!$J$5&lt;&gt;"ON FILE"),"INVALID – GLD not on file (Documents sheet)",IF(AND(AS23=2,Documents!$O$5&lt;&gt;"ON FILE"),"INVALID – menu checklist not on file (Documents sheet)",IF(AND(AS23=3,NOT(ISNUMBER(Flights!$AX$5))),"INVALID – enter carrying flight KUL departure (Flights AX)",IF(AND(AS23=3,OR(Flights!$AZ$5&gt;Flights!$AA$5,Flights!$AX$5&lt;Flights!$AA$5-3)),"INVALID – carrying flight (Flights AX) cannot arrive before this leg's STD, or is over 3 days early",IF(AG23&gt;AsOfUTC,"INVALID – completion time is in the future",IF(AND(ISNUMBER(BY23),AG23&lt;BY23),IF(H23="Physical uplift","INVALID – before uplift window (cannot confirm loading)","INVALID – before valid window"),IF(AG23&gt;Flights!$AA$5,"INVALID – completed after departure (cannot establish readiness)",IF(AND(H23="Preparation",AG23&gt;=IF(ISNUMBER(Flights!$BA$5),MIN(Flights!$BA$5,Flights!$AA$5),Flights!$AA$5)),"INVALID – completed after loading / departure (cannot establish readiness)",IF(AND(H23="Physical uplift",AG23&gt;Q23),"INVALID – recorded after the loading flight departed",IF(AG23&gt;Q23,"COMPLETE – LATE","COMPLETE"))))))))))))))))))))))))),IF(TRIM(U23)="Fail","FAIL – DISCREPANCY",IF(AND(TRIM(U23)&lt;&gt;"",TRIM(U23)&lt;&gt;"Not started",TRIM(U23)&lt;&gt;"In progress"),"INVALID – unrecognised status (use the list)",IF(AsOfUTC&gt;Q23,"OVERDUE",IF(N23="Clarification required","OPEN – CLARIFICATION","OPEN"))))))),"INVALID – error value in an input cell")</f>
        <v>OPEN</v>
      </c>
      <c r="AI23" s="61" t="n">
        <f aca="false">IF(OR(AH23="N/A – RULE",AH23="N/A – JUSTIFIED"),0,1)</f>
        <v>1</v>
      </c>
      <c r="AJ23" s="61" t="n">
        <f aca="false">IF(LEFT(AH23,8)="COMPLETE",1,0)</f>
        <v>0</v>
      </c>
      <c r="AK23" s="61" t="n">
        <f aca="false">IF(AND(AI23=1,AJ23=0,AsOfUTC&gt;Q23),1,0)</f>
        <v>0</v>
      </c>
      <c r="AL23" s="61" t="n">
        <f aca="false">IFERROR(IF(AND(AI23=1,OR(TRIM(U23)="Fail",AND(TRIM(AB23)&lt;&gt;"",TRIM(AB23)&lt;&gt;"Closed"),AND(ISNUMBER(AF23),AF23&lt;&gt;0,TRIM(U23)&lt;&gt;"Pass after CA"))),1,0),1)</f>
        <v>0</v>
      </c>
      <c r="AM23" s="61" t="n">
        <f aca="false">IF(LEFT(AH23,7)="INVALID",1,0)</f>
        <v>0</v>
      </c>
      <c r="AN23" s="61" t="n">
        <f aca="false">IF(AND(N23="Clarification required",AI23=1,AJ23=0),1,0)</f>
        <v>0</v>
      </c>
      <c r="AO23" s="61" t="str">
        <f aca="false">IF(AK23=1,SUM(AK$5:AK23),"")</f>
        <v/>
      </c>
      <c r="AP23" s="61" t="str">
        <f aca="false">IF(AL23=1,SUM(AL$5:AL23),"")</f>
        <v/>
      </c>
      <c r="AQ23" s="61" t="n">
        <v>0</v>
      </c>
      <c r="AR23" s="61" t="n">
        <v>0</v>
      </c>
      <c r="AS23" s="61" t="n">
        <v>0</v>
      </c>
      <c r="AT23" s="61" t="n">
        <v>0</v>
      </c>
      <c r="AU23" s="61" t="str">
        <f aca="false">SUBSTITUTE(SUBSTITUTE(SUBSTITUTE(SUBSTITUTE(SUBSTITUTE(SUBSTITUTE(SUBSTITUTE(SUBSTITUTE(SUBSTITUTE(SUBSTITUTE(SUBSTITUTE(SUBSTITUTE(SUBSTITUTE(SUBSTITUTE(SUBSTITUTE(SUBSTITUTE(LOWER(T23&amp;""),CHAR(10),""),CHAR(13),""),CHAR(9),""),CHAR(160),"")," ",""),".",""),"-",""),"/",""),"?",""),"_",""),",",""),"[",""),"]",""),"(",""),")",""),"*","")</f>
        <v/>
      </c>
      <c r="AV23" s="61" t="str">
        <f aca="false">SUBSTITUTE(SUBSTITUTE(SUBSTITUTE(SUBSTITUTE(SUBSTITUTE(SUBSTITUTE(SUBSTITUTE(SUBSTITUTE(SUBSTITUTE(SUBSTITUTE(SUBSTITUTE(SUBSTITUTE(SUBSTITUTE(SUBSTITUTE(SUBSTITUTE(SUBSTITUTE(LOWER(V23&amp;""),CHAR(10),""),CHAR(13),""),CHAR(9),""),CHAR(160),"")," ",""),".",""),"-",""),"/",""),"?",""),"_",""),",",""),"[",""),"]",""),"(",""),")",""),"*","")</f>
        <v/>
      </c>
      <c r="AW23" s="61" t="str">
        <f aca="false">SUBSTITUTE(SUBSTITUTE(SUBSTITUTE(SUBSTITUTE(SUBSTITUTE(SUBSTITUTE(SUBSTITUTE(SUBSTITUTE(SUBSTITUTE(SUBSTITUTE(SUBSTITUTE(SUBSTITUTE(SUBSTITUTE(SUBSTITUTE(SUBSTITUTE(SUBSTITUTE(LOWER(Z23&amp;""),CHAR(10),""),CHAR(13),""),CHAR(9),""),CHAR(160),"")," ",""),".",""),"-",""),"/",""),"?",""),"_",""),",",""),"[",""),"]",""),"(",""),")",""),"*","")</f>
        <v/>
      </c>
      <c r="AX23" s="61" t="str">
        <f aca="false">SUBSTITUTE(SUBSTITUTE(SUBSTITUTE(SUBSTITUTE(SUBSTITUTE(SUBSTITUTE(SUBSTITUTE(SUBSTITUTE(SUBSTITUTE(SUBSTITUTE(SUBSTITUTE(SUBSTITUTE(SUBSTITUTE(SUBSTITUTE(SUBSTITUTE(SUBSTITUTE(LOWER(AE23&amp;""),CHAR(10),""),CHAR(13),""),CHAR(9),""),CHAR(160),"")," ",""),".",""),"-",""),"/",""),"?",""),"_",""),",",""),"[",""),"]",""),"(",""),")",""),"*","")</f>
        <v/>
      </c>
      <c r="AY23" s="61" t="str">
        <f aca="false">SUBSTITUTE(SUBSTITUTE(SUBSTITUTE(SUBSTITUTE(SUBSTITUTE(SUBSTITUTE(SUBSTITUTE(SUBSTITUTE(SUBSTITUTE(SUBSTITUTE(SUBSTITUTE(SUBSTITUTE(SUBSTITUTE(SUBSTITUTE(SUBSTITUTE(SUBSTITUTE(LOWER(W23&amp;""),CHAR(10),""),CHAR(13),""),CHAR(9),""),CHAR(160),"")," ",""),".",""),"-",""),"/",""),"?",""),"_",""),",",""),"[",""),"]",""),"(",""),")",""),"*","")</f>
        <v/>
      </c>
      <c r="AZ23" s="61" t="str">
        <f aca="false">SUBSTITUTE(SUBSTITUTE(SUBSTITUTE(SUBSTITUTE(SUBSTITUTE(SUBSTITUTE(SUBSTITUTE(SUBSTITUTE(SUBSTITUTE(SUBSTITUTE(SUBSTITUTE(SUBSTITUTE(SUBSTITUTE(SUBSTITUTE(SUBSTITUTE(SUBSTITUTE(LOWER(AC23&amp;""),CHAR(10),""),CHAR(13),""),CHAR(9),""),CHAR(160),"")," ",""),".",""),"-",""),"/",""),"?",""),"_",""),",",""),"[",""),"]",""),"(",""),")",""),"*","")</f>
        <v/>
      </c>
      <c r="BA23" s="61" t="str">
        <f aca="false">SUBSTITUTE(SUBSTITUTE(SUBSTITUTE(SUBSTITUTE(SUBSTITUTE(SUBSTITUTE(SUBSTITUTE(SUBSTITUTE(SUBSTITUTE(SUBSTITUTE(SUBSTITUTE(SUBSTITUTE(SUBSTITUTE(SUBSTITUTE(SUBSTITUTE(SUBSTITUTE(LOWER(AA23&amp;""),CHAR(10),""),CHAR(13),""),CHAR(9),""),CHAR(160),"")," ",""),".",""),"-",""),"/",""),"?",""),"_",""),",",""),"[",""),"]",""),"(",""),")",""),"*","")</f>
        <v/>
      </c>
      <c r="BB23" s="61" t="str">
        <f aca="false">IF(AND(TRIM(U23)="Pass",ISNUMBER(AF23)),IF(AF23&lt;&gt;0,"INVALID – qty variance: use Fail or Pass after CA",""),"")&amp;IF(AND(TRIM(U23)="Pass after CA",ISNUMBER(AF23)),IF(AF23&lt;&gt;0,"INVALID – after the corrective action the actual qty must equal expected (update Actual)",""),"")&amp;IF(AND(TRIM(U23)="Pass",TRIM(AB23)&lt;&gt;"",TRIM(AB23)&lt;&gt;"Closed"),"INVALID – corrective action not closed: use Fail, then Pass after CA","")&amp;IF(AND(LEN(BA23)&gt;=2,ISNA(MATCH(LEFT(BA23,255),L_Placeholder,0)),TRIM(AB23)=""),"INVALID – CA status missing for the recorded corrective action","")&amp;IF(AND(TRIM(U23)="Pass after CA",OR(OR(LEN(BA23)&lt;5,ISNUMBER(MATCH(BA23,L_Placeholder,0))),TRIM(AB23)&lt;&gt;"Closed")),"INVALID – corrective action not recorded/closed","")</f>
        <v/>
      </c>
      <c r="BC23" s="61" t="str">
        <f aca="false">" "&amp;TRIM(SUBSTITUTE(SUBSTITUTE(SUBSTITUTE(SUBSTITUTE(SUBSTITUTE(SUBSTITUTE(SUBSTITUTE(SUBSTITUTE(SUBSTITUTE(SUBSTITUTE(SUBSTITUTE(SUBSTITUTE(SUBSTITUTE(SUBSTITUTE(SUBSTITUTE(SUBSTITUTE(SUBSTITUTE(SUBSTITUTE(SUBSTITUTE(SUBSTITUTE(SUBSTITUTE(SUBSTITUTE(SUBSTITUTE(SUBSTITUTE(LOWER(V23&amp;""),CHAR(10)," "),CHAR(13)," "),CHAR(9)," "),CHAR(160)," "),"."," "),","," "),"-"," "),"/"," "),"("," "),")"," "),":"," "),";"," "),"_"," "),"–"," "),"?"," "),"!"," "),"*"," "),"["," "),"]"," "),"'"," "),"#"," "),"+"," "),"&amp;"," "),"\"," "))&amp;" "</f>
        <v>  </v>
      </c>
      <c r="BD23" s="61" t="str">
        <f aca="false">" "&amp;TRIM(SUBSTITUTE(SUBSTITUTE(SUBSTITUTE(SUBSTITUTE(SUBSTITUTE(SUBSTITUTE(SUBSTITUTE(SUBSTITUTE(SUBSTITUTE(SUBSTITUTE(SUBSTITUTE(SUBSTITUTE(SUBSTITUTE(SUBSTITUTE(SUBSTITUTE(SUBSTITUTE(SUBSTITUTE(SUBSTITUTE(SUBSTITUTE(SUBSTITUTE(SUBSTITUTE(SUBSTITUTE(SUBSTITUTE(SUBSTITUTE(LOWER(Z23&amp;""),CHAR(10)," "),CHAR(13)," "),CHAR(9)," "),CHAR(160)," "),"."," "),","," "),"-"," "),"/"," "),"("," "),")"," "),":"," "),";"," "),"_"," "),"–"," "),"?"," "),"!"," "),"*"," "),"["," "),"]"," "),"'"," "),"#"," "),"+"," "),"&amp;"," "),"\"," "))&amp;" "</f>
        <v>  </v>
      </c>
      <c r="BE23" s="61" t="str">
        <f aca="false">" "&amp;TRIM(SUBSTITUTE(SUBSTITUTE(SUBSTITUTE(SUBSTITUTE(SUBSTITUTE(SUBSTITUTE(SUBSTITUTE(SUBSTITUTE(SUBSTITUTE(SUBSTITUTE(SUBSTITUTE(SUBSTITUTE(SUBSTITUTE(SUBSTITUTE(SUBSTITUTE(SUBSTITUTE(SUBSTITUTE(SUBSTITUTE(SUBSTITUTE(SUBSTITUTE(SUBSTITUTE(SUBSTITUTE(SUBSTITUTE(SUBSTITUTE(LOWER(W23&amp;""),CHAR(10)," "),CHAR(13)," "),CHAR(9)," "),CHAR(160)," "),"."," "),","," "),"-"," "),"/"," "),"("," "),")"," "),":"," "),";"," "),"_"," "),"–"," "),"?"," "),"!"," "),"*"," "),"["," "),"]"," "),"'"," "),"#"," "),"+"," "),"&amp;"," "),"\"," "))&amp;" "</f>
        <v>  </v>
      </c>
      <c r="BF23" s="61" t="str">
        <f aca="false">" "&amp;TRIM(SUBSTITUTE(SUBSTITUTE(SUBSTITUTE(SUBSTITUTE(SUBSTITUTE(SUBSTITUTE(SUBSTITUTE(SUBSTITUTE(SUBSTITUTE(SUBSTITUTE(SUBSTITUTE(SUBSTITUTE(SUBSTITUTE(SUBSTITUTE(SUBSTITUTE(SUBSTITUTE(SUBSTITUTE(SUBSTITUTE(SUBSTITUTE(SUBSTITUTE(SUBSTITUTE(SUBSTITUTE(SUBSTITUTE(SUBSTITUTE(LOWER(AC23&amp;""),CHAR(10)," "),CHAR(13)," "),CHAR(9)," "),CHAR(160)," "),"."," "),","," "),"-"," "),"/"," "),"("," "),")"," "),":"," "),";"," "),"_"," "),"–"," "),"?"," "),"!"," "),"*"," "),"["," "),"]"," "),"'"," "),"#"," "),"+"," "),"&amp;"," "),"\"," "))&amp;" "</f>
        <v>  </v>
      </c>
      <c r="BG23" s="61" t="n">
        <f aca="false">IFERROR(IF(AND(TRIM(U23)="Pass",SUMPRODUCT((LEN(BC23)-LEN(SUBSTITUTE(BC23," "&amp;L_ResultBad&amp;" "," ")))/(LEN(L_ResultBad)+1))&gt;SUMPRODUCT((LEN(BC23)-LEN(SUBSTITUTE(BC23," "&amp;L_NegPhrase&amp;" "," ")))/(LEN(L_NegPhrase)+1))),1,0),0)</f>
        <v>0</v>
      </c>
      <c r="BH23" s="61" t="n">
        <f aca="false">IFERROR(IF(SUMPRODUCT((LEN(BC23)-LEN(SUBSTITUTE(BC23," "&amp;L_Pending&amp;" "," ")))/(LEN(L_Pending)+1))&gt;SUMPRODUCT((LEN(BC23)-LEN(SUBSTITUTE(BC23," "&amp;L_PendNeg&amp;" "," ")))/(LEN(L_PendNeg)+1))+SUMPRODUCT((LEN(BC23)-LEN(SUBSTITUTE(BC23," "&amp;L_PendPrep&amp;" "," ")))/(LEN(L_PendPrep)+1)),1,0),1)</f>
        <v>0</v>
      </c>
      <c r="BI23" s="61" t="n">
        <f aca="false">IFERROR(IF(SUMPRODUCT((LEN(BD23)-LEN(SUBSTITUTE(BD23," "&amp;L_PendStrict&amp;" "," ")))/(LEN(L_PendStrict)+1))&gt;SUMPRODUCT((LEN(BD23)-LEN(SUBSTITUTE(BD23," "&amp;L_PendNeg&amp;" "," ")))/(LEN(L_PendNeg)+1)),1,0),1)</f>
        <v>0</v>
      </c>
      <c r="BJ23" s="61" t="n">
        <f aca="false">IFERROR(IF(SUMPRODUCT((LEN(BE23)-LEN(SUBSTITUTE(BE23," "&amp;L_Pending&amp;" "," ")))/(LEN(L_Pending)+1))&gt;SUMPRODUCT((LEN(BE23)-LEN(SUBSTITUTE(BE23," "&amp;L_PendNeg&amp;" "," ")))/(LEN(L_PendNeg)+1))+SUMPRODUCT((LEN(BE23)-LEN(SUBSTITUTE(BE23," "&amp;L_PendPrep&amp;" "," ")))/(LEN(L_PendPrep)+1)),1,0),1)</f>
        <v>0</v>
      </c>
      <c r="BK23" s="61" t="n">
        <f aca="false">IFERROR(IF(SUMPRODUCT((LEN(BF23)-LEN(SUBSTITUTE(BF23," "&amp;L_PendStrict&amp;" "," ")))/(LEN(L_PendStrict)+1))&gt;SUMPRODUCT((LEN(BF23)-LEN(SUBSTITUTE(BF23," "&amp;L_PendNeg&amp;" "," ")))/(LEN(L_PendNeg)+1)),1,0),1)</f>
        <v>0</v>
      </c>
      <c r="BL23" s="61" t="n">
        <f aca="false">IF(ISNA(MATCH(TRIM(S23),L_EvidenceType,0)),0,BZ23)</f>
        <v>0</v>
      </c>
      <c r="BM23" s="61" t="str">
        <f aca="false">SUBSTITUTE(SUBSTITUTE(SUBSTITUTE(SUBSTITUTE(SUBSTITUTE(SUBSTITUTE(SUBSTITUTE(SUBSTITUTE(SUBSTITUTE(LOWER(Z23&amp;""),"1","0"),"2","0"),"3","0"),"4","0"),"5","0"),"6","0"),"7","0"),"8","0"),"9","0")</f>
        <v/>
      </c>
      <c r="BN23" s="61" t="str">
        <f aca="false">SUBSTITUTE(SUBSTITUTE(SUBSTITUTE(SUBSTITUTE(SUBSTITUTE(SUBSTITUTE(SUBSTITUTE(SUBSTITUTE(SUBSTITUTE(SUBSTITUTE(SUBSTITUTE(SUBSTITUTE(SUBSTITUTE(SUBSTITUTE(SUBSTITUTE(SUBSTITUTE(SUBSTITUTE(SUBSTITUTE(SUBSTITUTE(SUBSTITUTE(SUBSTITUTE(SUBSTITUTE(SUBSTITUTE(SUBSTITUTE(SUBSTITUTE(BM23,"b","a"),"c","a"),"d","a"),"e","a"),"f","a"),"g","a"),"h","a"),"i","a"),"j","a"),"k","a"),"l","a"),"m","a"),"n","a"),"o","a"),"p","a"),"q","a"),"r","a"),"s","a"),"t","a"),"u","a"),"v","a"),"w","a"),"x","a"),"y","a"),"z","a")</f>
        <v/>
      </c>
      <c r="BO23" s="61" t="str">
        <f aca="false">SUBSTITUTE(SUBSTITUTE(SUBSTITUTE(SUBSTITUTE(SUBSTITUTE(SUBSTITUTE(SUBSTITUTE(SUBSTITUTE(SUBSTITUTE(LOWER(W23&amp;""),"1","0"),"2","0"),"3","0"),"4","0"),"5","0"),"6","0"),"7","0"),"8","0"),"9","0")</f>
        <v/>
      </c>
      <c r="BP23" s="61" t="str">
        <f aca="false">SUBSTITUTE(SUBSTITUTE(SUBSTITUTE(SUBSTITUTE(SUBSTITUTE(SUBSTITUTE(SUBSTITUTE(SUBSTITUTE(SUBSTITUTE(SUBSTITUTE(SUBSTITUTE(SUBSTITUTE(SUBSTITUTE(SUBSTITUTE(SUBSTITUTE(SUBSTITUTE(SUBSTITUTE(SUBSTITUTE(SUBSTITUTE(SUBSTITUTE(SUBSTITUTE(SUBSTITUTE(SUBSTITUTE(SUBSTITUTE(SUBSTITUTE(BO23,"b","a"),"c","a"),"d","a"),"e","a"),"f","a"),"g","a"),"h","a"),"i","a"),"j","a"),"k","a"),"l","a"),"m","a"),"n","a"),"o","a"),"p","a"),"q","a"),"r","a"),"s","a"),"t","a"),"u","a"),"v","a"),"w","a"),"x","a"),"y","a"),"z","a")</f>
        <v/>
      </c>
      <c r="BQ23" s="61" t="n">
        <f aca="false">IFERROR(IF(AND(ISERROR(SEARCH(" mh"," "&amp;LOWER(W23))),ISNA(MATCH(LEFT(TRIM(BP23),255),{"0000a","000a","00a","0000aa","000aa","00aa","0aa","0000aaa","000aaa","00a00","0a00","0000-0000","00:00","a00","a0","00.00.0000","00/00/0000","00-00-0000","0000-00-00","0000/00/00","0000.00.00","00.00.00","00/00/00","00-00-00","0.00.0000","0/00/0000","0-00-0000"},0)),ISNA(MATCH(LEFT(TRIM(CA23),255),{"0000a","000a","00a","0000aa","000aa","00aa","0aa","0000aaa","000aaa","00a00","0a00","0000-0000","00:00","a00","a0","00.00.0000","00/00/0000","00-00-0000","0000-00-00","0000/00/00","0000.00.00","00.00.00","00/00/00","00-00-00","0.00.0000","0/00/0000","0-00-0000"},0)),LEN(CB23)&gt;=3,NOT(OR(SUBSTITUTE(CB23,"0","")="",AND(LEN(CB23)&gt;=4,CB23=REPT(LEFT(CB23),LEN(CB23))),ISNUMBER(MATCH(CB23,{"123","1234","12345","123456","1234567","12345678","0123","01234","012345","98765","987654","54321"},0)),AND(LEN(CB23)=8,LEFT(CB23,3)="202"))),OR(AND((LEN(CA23)-LEN(SUBSTITUTE(CA23,"a","")))&gt;=1,SUMPRODUCT(--ISNUMBER(SEARCH({"a0","a-0","a_0","a/0","a.0","a#0","0a","0-a","0_a","0/a"},BP23)))&gt;0),ISNUMBER(SEARCH("000000",BP23)))),1,0),0)</f>
        <v>0</v>
      </c>
      <c r="BR23" s="61" t="n">
        <f aca="false">IFERROR(LEN(SUBSTITUTE(CC23," ",""))-SUMPRODUCT((LEN(CC23)-LEN(SUBSTITUTE(CC23," "&amp;L_Role&amp;" "," ")))/(LEN(L_Role)+1)*LEN(L_Role)),0)</f>
        <v>0</v>
      </c>
      <c r="BS23" s="61" t="n">
        <f aca="false">IFERROR(LEN(SUBSTITUTE(CD23," ",""))-SUMPRODUCT((LEN(CD23)-LEN(SUBSTITUTE(CD23," "&amp;L_Role&amp;" "," ")))/(LEN(L_Role)+1)*LEN(L_Role)),0)</f>
        <v>0</v>
      </c>
      <c r="BT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revision",""),"version",""),"jan",""),"feb",""),"mar",""),"apr",""),"may",""),"jun",""),"jul",""),"aug",""),"sep",""),"oct",""),"nov",""),"dec",""),"utc",""),"gmt",""),"myt",""),"bst",""),"rev",""),"ver",""),"b","a"),"c","a"),"d","a"),"e","a"),"f","a"),"g","a"),"h","a"),"i","a"),"j","a"),"k","a"),"l","a"),"m","a"),"n","a"),"o","a"),"p","a"),"q","a"),"r","a"),"s","a"),"t","a"),"u","a"),"v","a"),"w","a"),"x","a"),"y","a"),"z","a")</f>
        <v/>
      </c>
      <c r="BU23" s="61" t="str">
        <f aca="false">SUBSTITUTE(SUBSTITUTE(SUBSTITUTE(SUBSTITUTE(SUBSTITUTE(SUBSTITUTE(SUBSTITUTE(SUBSTITUTE(SUBSTITUTE(SUBSTITUTE(LEFT(BM23,FIND("0",BM23&amp;"0")-1),"-",""),"_",""),"/",""),".",""),"#",""),"\\",""),":","")," ",""),"(",""),")","")</f>
        <v/>
      </c>
      <c r="BV23" s="61" t="n">
        <f aca="false">0</f>
        <v>0</v>
      </c>
      <c r="BW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amp;""),"a",""),"b",""),"c",""),"d",""),"e",""),"f",""),"g",""),"h",""),"i",""),"j",""),"k",""),"l",""),"m",""),"n",""),"o",""),"p",""),"q",""),"r",""),"s",""),"t",""),"u",""),"v",""),"w",""),"x",""),"y",""),"z",""),"-",""),"_",""),"/",""),".",""),"#",""),"\\",""),":","")," ",""),"(",""),")","")</f>
        <v/>
      </c>
      <c r="BX23" s="61" t="str">
        <f aca="false">SUBSTITUTE(SUBSTITUTE(SUBSTITUTE(SUBSTITUTE(SUBSTITUTE(SUBSTITUTE(SUBSTITUTE(SUBSTITUTE(SUBSTITUTE(SUBSTITUTE(SUBSTITUTE(BM23,"0",""),"-",""),"_",""),"/",""),".",""),"#",""),"\\",""),":","")," ",""),"(",""),")","")</f>
        <v/>
      </c>
      <c r="BY23" s="62" t="n">
        <f aca="false">Q23-T12EarlyH/24</f>
        <v>46302.8576388889</v>
      </c>
      <c r="BZ23" s="61" t="n">
        <f aca="false">IFERROR(IF(IF(TRIM(S23)="Link / file path",AND(LEN(TRIM(Z23))&gt;=5,SUMPRODUCT(--ISNUMBER(SEARCH({"http","www.","\\",":\",".pdf",".jpg",".jpeg",".png",".heic",".xls",".doc",".msg",".eml",".ppt",".txt",".zip"},Z23)))&gt;0),AND(ISERROR(FIND(" ",TRIM(Z23))),NOT(OR(SUMPRODUCT(--ISNUMBER(FIND({",",";","&amp;","+"},Z23)))&gt;0,SUMPRODUCT(--ISNUMBER(SEARCH({"0/aa","0\\aa"},BN23)))&gt;0)),NOT(SUMPRODUCT(--ISNUMBER(SEARCH({"http","www.","\\",":\",".pdf",".jpg",".jpeg",".png",".heic",".xls",".doc",".msg",".eml",".ppt",".txt",".zip"},Z23)))&gt;0),NOT(LOWER(TRIM(Z23))=LOWER(Flights!$F$5)),ISNA(MATCH(BU23,{"mh","rev","revision","ver","version","v","r","a","b","seat","tray","row","gate","bay","stand","page","pg","item","line","no","cart","galley","flight","flt","table","box","bag","oven","etd","eta","std","sta","atd","ata","qty","pax","x","time","tel","ph","mob","day","wk","week","utc","gmt","myt","lt"},0)),NOT(OR(ISNUMBER(MATCH(LEFT(BN23,255),{"0000a","000a","00a","0000aa","000aa","00aa","0aa","0000aaa","000aaa","00a00","0a00","0000-0000","00:00","a00","a0","00.00.0000","00/00/0000","00-00-0000","0000-00-00","0000/00/00","0000.00.00","00.00.00","00/00/00","00-00-00","0.00.0000","0/00/0000","0-00-0000"},0)),ISNUMBER(MATCH(LEFT(BT23,255),{"0000a","000a","00a","0000aa","000aa","00aa","0aa","0000aaa","000aaa","00a00","0a00","0000-0000","00:00","a00","a0","00.00.0000","00/00/0000","00-00-0000","0000-00-00","0000/00/00","0000.00.00","00.00.00","00/00/00","00-00-00","0.00.0000","0/00/0000","0-00-0000"},0)))),NOT(OR(AND(BW23&lt;&gt;"",SUBSTITUTE(BW23,"0","")=""),AND(LEN(BW23)&gt;=4,BW23=REPT(LEFT(BW23),LEN(BW23))),ISNUMBER(MATCH(BW23,{"123","1234","12345","123456","1234567","12345678","0123","01234","012345","98765","987654","54321"},0)),ISNUMBER(MATCH(BX23,{"x","xx","xxx","xxxx","xxxxx","abc","abcd","nil","na","nan","test","tbc","tba","tbd","dummy","sample","example","eg","zz","zzz","none","null","xyz","qwe","asd","id","ref"},0)),AND(LEN(BW23)=8,BX23="",OR(LEFT(BW23,3)="202",ISNUMBER(MATCH(RIGHT(BW23,4),{"2025","2026","2027"},0)))))),OR(AND((LEN(BT23)-LEN(SUBSTITUTE(BT23,"a","")))&gt;=1,(LEN(BN23)-LEN(SUBSTITUTE(BN23,"0","")))&gt;=2,SUMPRODUCT(--ISNUMBER(SEARCH({"a0","a-0","a_0","a/0","a.0","a#0","0a","0-a","0_a","0/a"},BN23)))&gt;0),AND((LEN(BN23)-LEN(SUBSTITUTE(BN23,"a","")))=0,(LEN(BN23)-LEN(SUBSTITUTE(BN23,"0","")))&gt;=5)))),1,0),0)</f>
        <v>0</v>
      </c>
      <c r="CA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revision",""),"version",""),"jan",""),"feb",""),"mar",""),"apr",""),"may",""),"jun",""),"jul",""),"aug",""),"sep",""),"oct",""),"nov",""),"dec",""),"utc",""),"gmt",""),"myt",""),"bst",""),"rev",""),"ver",""),"b","a"),"c","a"),"d","a"),"e","a"),"f","a"),"g","a"),"h","a"),"i","a"),"j","a"),"k","a"),"l","a"),"m","a"),"n","a"),"o","a"),"p","a"),"q","a"),"r","a"),"s","a"),"t","a"),"u","a"),"v","a"),"w","a"),"x","a"),"y","a"),"z","a")</f>
        <v/>
      </c>
      <c r="CB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amp;""),"a",""),"b",""),"c",""),"d",""),"e",""),"f",""),"g",""),"h",""),"i",""),"j",""),"k",""),"l",""),"m",""),"n",""),"o",""),"p",""),"q",""),"r",""),"s",""),"t",""),"u",""),"v",""),"w",""),"x",""),"y",""),"z",""),"-",""),"_",""),"/",""),".",""),"#",""),"\\",""),":","")," ",""),"(",""),")","")</f>
        <v/>
      </c>
      <c r="CC23" s="0" t="str">
        <f aca="false">" "&amp;TRIM(SUBSTITUTE(SUBSTITUTE(SUBSTITUTE(SUBSTITUTE(SUBSTITUTE(SUBSTITUTE(SUBSTITUTE(SUBSTITUTE(SUBSTITUTE(SUBSTITUTE(SUBSTITUTE(SUBSTITUTE(SUBSTITUTE(SUBSTITUTE(SUBSTITUTE(SUBSTITUTE(SUBSTITUTE(SUBSTITUTE(SUBSTITUTE(SUBSTITUTE(SUBSTITUTE(SUBSTITUTE(SUBSTITUTE(SUBSTITUTE(LOWER(T23&amp;""),CHAR(10)," "),CHAR(13)," "),CHAR(9)," "),CHAR(160)," "),"."," "),","," "),"-"," "),"/"," "),"("," "),")"," "),":"," "),";"," "),"_"," "),"–"," "),"?"," "),"!"," "),"*"," "),"["," "),"]"," "),"'"," "),"#"," "),"+"," "),"&amp;"," "),"\"," "))&amp;" "</f>
        <v>  </v>
      </c>
      <c r="CD23" s="0" t="str">
        <f aca="false">" "&amp;TRIM(SUBSTITUTE(SUBSTITUTE(SUBSTITUTE(SUBSTITUTE(SUBSTITUTE(SUBSTITUTE(SUBSTITUTE(SUBSTITUTE(SUBSTITUTE(SUBSTITUTE(SUBSTITUTE(SUBSTITUTE(SUBSTITUTE(SUBSTITUTE(SUBSTITUTE(SUBSTITUTE(SUBSTITUTE(SUBSTITUTE(SUBSTITUTE(SUBSTITUTE(SUBSTITUTE(SUBSTITUTE(SUBSTITUTE(SUBSTITUTE(LOWER(AE23&amp;""),CHAR(10)," "),CHAR(13)," "),CHAR(9)," "),CHAR(160)," "),"."," "),","," "),"-"," "),"/"," "),"("," "),")"," "),":"," "),";"," "),"_"," "),"–"," "),"?"," "),"!"," "),"*"," "),"["," "),"]"," "),"'"," "),"#"," "),"+"," "),"&amp;"," "),"\"," "))&amp;" "</f>
        <v>  </v>
      </c>
      <c r="CE23" s="68" t="n">
        <f aca="false">IFERROR(IF(AND(LEN(AU23)&gt;0,LEN(AU23)=LEN(AX23),OR(TRIM(MID(SUBSTITUTE(TRIM(CC23)," ",REPT(" ",60)),1,60))="",ISNUMBER(SEARCH(" "&amp;TRIM(MID(SUBSTITUTE(TRIM(CC23)," ",REPT(" ",60)),1,60))&amp;" ",CD23))),OR(TRIM(MID(SUBSTITUTE(TRIM(CC23)," ",REPT(" ",60)),61,60))="",ISNUMBER(SEARCH(" "&amp;TRIM(MID(SUBSTITUTE(TRIM(CC23)," ",REPT(" ",60)),61,60))&amp;" ",CD23))),OR(TRIM(MID(SUBSTITUTE(TRIM(CC23)," ",REPT(" ",60)),121,60))="",ISNUMBER(SEARCH(" "&amp;TRIM(MID(SUBSTITUTE(TRIM(CC23)," ",REPT(" ",60)),121,60))&amp;" ",CD23)))),1,0),0)</f>
        <v>0</v>
      </c>
      <c r="CG23" s="68" t="n">
        <f aca="false">IFERROR(LEN(SUBSTITUTE(BF23," ",""))-SUMPRODUCT((LEN(BF23)-LEN(SUBSTITUTE(BF23," "&amp;L_NAFiller&amp;" "," ")))/(LEN(L_NAFiller)+1)*LEN(L_NAFiller)),0)</f>
        <v>0</v>
      </c>
    </row>
    <row r="24" customFormat="false" ht="91.5" hidden="false" customHeight="true" outlineLevel="0" collapsed="false">
      <c r="A24" s="57" t="s">
        <v>453</v>
      </c>
      <c r="B24" s="57" t="s">
        <v>183</v>
      </c>
      <c r="C24" s="57" t="str">
        <f aca="false">Flights!$F$5</f>
        <v>MH0001</v>
      </c>
      <c r="D24" s="58" t="n">
        <f aca="false">Flights!$D$5</f>
        <v>46303</v>
      </c>
      <c r="E24" s="57" t="str">
        <f aca="false">Flights!$G$5&amp;"-"&amp;Flights!$H$5</f>
        <v>LHR-KUL</v>
      </c>
      <c r="F24" s="57" t="str">
        <f aca="false">Flights!$K$5</f>
        <v>EY</v>
      </c>
      <c r="G24" s="57" t="s">
        <v>420</v>
      </c>
      <c r="H24" s="57" t="s">
        <v>378</v>
      </c>
      <c r="I24" s="57" t="s">
        <v>447</v>
      </c>
      <c r="J24" s="57" t="s">
        <v>454</v>
      </c>
      <c r="K24" s="67" t="s">
        <v>455</v>
      </c>
      <c r="L24" s="67" t="s">
        <v>456</v>
      </c>
      <c r="M24" s="67" t="s">
        <v>451</v>
      </c>
      <c r="N24" s="67" t="s">
        <v>383</v>
      </c>
      <c r="O24" s="67" t="s">
        <v>457</v>
      </c>
      <c r="P24" s="57" t="s">
        <v>186</v>
      </c>
      <c r="Q24" s="59" t="n">
        <f aca="false">ROUND((Flights!$AE$5)*1440,0)/1440</f>
        <v>46303.3576388889</v>
      </c>
      <c r="R24" s="59" t="n">
        <f aca="false">Q24+(IF(AND(INDEX(TZ_DSTS,MATCH(P24,TZ_STN,0))&lt;&gt;"",Q24&gt;=INDEX(TZ_DSTS,MATCH(P24,TZ_STN,0)),Q24&lt;INDEX(TZ_DSTE,MATCH(P24,TZ_STN,0))),INDEX(TZ_DST,MATCH(P24,TZ_STN,0)),INDEX(TZ_STD,MATCH(P24,TZ_STN,0))))/24</f>
        <v>46303.3993055556</v>
      </c>
      <c r="S24" s="60"/>
      <c r="T24" s="60"/>
      <c r="U24" s="60"/>
      <c r="V24" s="60"/>
      <c r="W24" s="61"/>
      <c r="X24" s="69" t="str">
        <f aca="false">IF(TRIM(Flights!$N$5)="","",IF(ISNUMBER(SEARCH("MAH",Flights!$N$5)),280,260))</f>
        <v/>
      </c>
      <c r="Y24" s="60"/>
      <c r="Z24" s="60"/>
      <c r="AA24" s="60"/>
      <c r="AB24" s="60"/>
      <c r="AC24" s="60"/>
      <c r="AD24" s="66"/>
      <c r="AE24" s="60"/>
      <c r="AF24" s="61" t="str">
        <f aca="false">IF(AND(ISNUMBER(X24),ISNUMBER(Y24)),Y24-X24,"")</f>
        <v/>
      </c>
      <c r="AG24" s="62" t="str">
        <f aca="false">IF(ISNUMBER(AD24),AD24-(IF(AND(INDEX(TZ_DSTS,MATCH(P24,TZ_STN,0))&lt;&gt;"",(AD24-INDEX(TZ_STD,MATCH(P24,TZ_STN,0))/24)&gt;=INDEX(TZ_DSTS,MATCH(P24,TZ_STN,0)),(AD24-INDEX(TZ_STD,MATCH(P24,TZ_STN,0))/24)&lt;INDEX(TZ_DSTE,MATCH(P24,TZ_STN,0))),INDEX(TZ_DST,MATCH(P24,TZ_STN,0)),INDEX(TZ_STD,MATCH(P24,TZ_STN,0))))/24,"")</f>
        <v/>
      </c>
      <c r="AH24" s="65" t="str">
        <f aca="false">IFERROR(IF(N24="N/A – rule",IF(OR(TRIM(U24)="",TRIM(U24)="N/A",TRIM(U24)="Not started"),"N/A – RULE","INVALID – this check does not apply to this aircraft: clear the status (or correct the fleet on Flights)"),IF(TRIM(U24)="N/A",IF(AT24=0,"INVALID – N/A not permitted for this check",IF(AND(TRIM(AB24)&lt;&gt;"",TRIM(AB24)&lt;&gt;"Closed"),"INVALID – corrective action still open",IF(AND(NOT(OR(LEN(AZ24)&lt;15,ISNUMBER(MATCH(AZ24,L_Placeholder,0)))),BK24=0,CG24&gt;=8,NOT(OR(LEN(AU24)&lt;2,ISNUMBER(MATCH(AU24,L_Placeholder,0)))),BR24&gt;=3,NOT(OR(LEN(AX24)&lt;2,ISNUMBER(MATCH(AX24,L_Placeholder,0)))),BS24&gt;=3,TRIM(AE24)&lt;&gt;TRIM(T24),AX24&lt;&gt;AU24,CE24=0),"N/A – JUSTIFIED","INVALID – N/A needs a real, settled reason (not 'not applicable' / 'as above' / TBC), a named PIC and a different named verifier"))),IF(OR(TRIM(U24)="Pass",TRIM(U24)="Pass after CA"),IF(NOT(ISNUMBER(AD24)),"INVALID – completion time missing",IF(OR(OR(LEN(AU24)&lt;2,ISNUMBER(MATCH(AU24,L_Placeholder,0))),BR24&lt;3),"INVALID – PIC missing or not a named person (a role such as QA / CSM is not a name)",IF(OR(LEN(AV24)&lt;2,ISNUMBER(MATCH(AV24,L_Placeholder,0))),"INVALID – result / assessment missing",IF(OR(OR(LEN(AW24)&lt;3,ISNUMBER(MATCH(AW24,L_Placeholder,0))),SUMPRODUCT(--ISNUMBER(SEARCH(" "&amp;L_EvidencePhrase&amp;" ",BD24)))&gt;0,BI24=1),"INVALID – evidence missing, placeholder or not yet on file",IF(ISNA(MATCH(TRIM(S24),L_EvidenceType,0)),"INVALID – choose the evidence type from the list (column S)",IF(BL24=0,"INVALID – evidence ID must be the record's own ID only (e.g. SF-2210, IMG_2231, 1045521); a link / file name needs type 'Link / file path'",IF(OR(OR(LEN(AX24)&lt;2,ISNUMBER(MATCH(AX24,L_Placeholder,0))),BS24&lt;3),"INVALID – verifier missing or not a named person (a role such as QA / CSM is not a name)",IF(OR(AX24=AU24,CE24=1,AND(LEN(AU24)&gt;=4,ISNUMBER(SEARCH(AU24,AX24))),AND(LEN(AX24)&gt;=4,ISNUMBER(SEARCH(AX24,AU24)))),"INVALID – verifier must be a different, named person (not the PIC or a role)",IF(BH24=1,"INVALID – result not yet available (awaiting / TBC)",IF(BG24=1,"INVALID – result describes a problem: record Fail, then Pass after CA (or reword if it is not a problem)",IF(BV24=1,"INVALID – wording says not on board: an on-board confirmation needs the item loaded",IF(AND(AQ24=1,OR(OR(LEN(AY24)&lt;3,ISNUMBER(MATCH(AY24,L_Placeholder,0))),BJ24=1,BQ24=0)),"INVALID – batch ID missing, placeholder or not an ID (e.g. PASB-261008-BC-017)",IF(AND(AR24=1,OR(NOT(ISNUMBER(X24)),NOT(ISNUMBER(Y24)))),"INVALID – expected/actual qty missing",IF(AND(AR24=1,OR(X24&lt;=0,Y24&lt;0)),"INVALID – expected qty must be above 0 and actual not negative",IF(BB24&lt;&gt;"",BB24,IF(AND(AS24=1,Documents!$J$5&lt;&gt;"ON FILE"),"INVALID – GLD not on file (Documents sheet)",IF(AND(AS24=2,Documents!$O$5&lt;&gt;"ON FILE"),"INVALID – menu checklist not on file (Documents sheet)",IF(AND(AS24=3,NOT(ISNUMBER(Flights!$AX$5))),"INVALID – enter carrying flight KUL departure (Flights AX)",IF(AND(AS24=3,OR(Flights!$AZ$5&gt;Flights!$AA$5,Flights!$AX$5&lt;Flights!$AA$5-3)),"INVALID – carrying flight (Flights AX) cannot arrive before this leg's STD, or is over 3 days early",IF(AG24&gt;AsOfUTC,"INVALID – completion time is in the future",IF(AND(ISNUMBER(BY24),AG24&lt;BY24),IF(H24="Physical uplift","INVALID – before uplift window (cannot confirm loading)","INVALID – before valid window"),IF(AG24&gt;Flights!$AA$5,"INVALID – completed after departure (cannot establish readiness)",IF(AND(H24="Preparation",AG24&gt;=IF(ISNUMBER(Flights!$BA$5),MIN(Flights!$BA$5,Flights!$AA$5),Flights!$AA$5)),"INVALID – completed after loading / departure (cannot establish readiness)",IF(AND(H24="Physical uplift",AG24&gt;Q24),"INVALID – recorded after the loading flight departed",IF(AG24&gt;Q24,"COMPLETE – LATE","COMPLETE"))))))))))))))))))))))))),IF(TRIM(U24)="Fail","FAIL – DISCREPANCY",IF(AND(TRIM(U24)&lt;&gt;"",TRIM(U24)&lt;&gt;"Not started",TRIM(U24)&lt;&gt;"In progress"),"INVALID – unrecognised status (use the list)",IF(AsOfUTC&gt;Q24,"OVERDUE",IF(N24="Clarification required","OPEN – CLARIFICATION","OPEN"))))))),"INVALID – error value in an input cell")</f>
        <v>OPEN</v>
      </c>
      <c r="AI24" s="61" t="n">
        <f aca="false">IF(OR(AH24="N/A – RULE",AH24="N/A – JUSTIFIED"),0,1)</f>
        <v>1</v>
      </c>
      <c r="AJ24" s="61" t="n">
        <f aca="false">IF(LEFT(AH24,8)="COMPLETE",1,0)</f>
        <v>0</v>
      </c>
      <c r="AK24" s="61" t="n">
        <f aca="false">IF(AND(AI24=1,AJ24=0,AsOfUTC&gt;Q24),1,0)</f>
        <v>0</v>
      </c>
      <c r="AL24" s="61" t="n">
        <f aca="false">IFERROR(IF(AND(AI24=1,OR(TRIM(U24)="Fail",AND(TRIM(AB24)&lt;&gt;"",TRIM(AB24)&lt;&gt;"Closed"),AND(ISNUMBER(AF24),AF24&lt;&gt;0,TRIM(U24)&lt;&gt;"Pass after CA"))),1,0),1)</f>
        <v>0</v>
      </c>
      <c r="AM24" s="61" t="n">
        <f aca="false">IF(LEFT(AH24,7)="INVALID",1,0)</f>
        <v>0</v>
      </c>
      <c r="AN24" s="61" t="n">
        <f aca="false">IF(AND(N24="Clarification required",AI24=1,AJ24=0),1,0)</f>
        <v>0</v>
      </c>
      <c r="AO24" s="61" t="str">
        <f aca="false">IF(AK24=1,SUM(AK$5:AK24),"")</f>
        <v/>
      </c>
      <c r="AP24" s="61" t="str">
        <f aca="false">IF(AL24=1,SUM(AL$5:AL24),"")</f>
        <v/>
      </c>
      <c r="AQ24" s="61" t="n">
        <v>0</v>
      </c>
      <c r="AR24" s="61" t="n">
        <v>1</v>
      </c>
      <c r="AS24" s="61" t="n">
        <v>0</v>
      </c>
      <c r="AT24" s="61" t="n">
        <v>0</v>
      </c>
      <c r="AU24" s="61" t="str">
        <f aca="false">SUBSTITUTE(SUBSTITUTE(SUBSTITUTE(SUBSTITUTE(SUBSTITUTE(SUBSTITUTE(SUBSTITUTE(SUBSTITUTE(SUBSTITUTE(SUBSTITUTE(SUBSTITUTE(SUBSTITUTE(SUBSTITUTE(SUBSTITUTE(SUBSTITUTE(SUBSTITUTE(LOWER(T24&amp;""),CHAR(10),""),CHAR(13),""),CHAR(9),""),CHAR(160),"")," ",""),".",""),"-",""),"/",""),"?",""),"_",""),",",""),"[",""),"]",""),"(",""),")",""),"*","")</f>
        <v/>
      </c>
      <c r="AV24" s="61" t="str">
        <f aca="false">SUBSTITUTE(SUBSTITUTE(SUBSTITUTE(SUBSTITUTE(SUBSTITUTE(SUBSTITUTE(SUBSTITUTE(SUBSTITUTE(SUBSTITUTE(SUBSTITUTE(SUBSTITUTE(SUBSTITUTE(SUBSTITUTE(SUBSTITUTE(SUBSTITUTE(SUBSTITUTE(LOWER(V24&amp;""),CHAR(10),""),CHAR(13),""),CHAR(9),""),CHAR(160),"")," ",""),".",""),"-",""),"/",""),"?",""),"_",""),",",""),"[",""),"]",""),"(",""),")",""),"*","")</f>
        <v/>
      </c>
      <c r="AW24" s="61" t="str">
        <f aca="false">SUBSTITUTE(SUBSTITUTE(SUBSTITUTE(SUBSTITUTE(SUBSTITUTE(SUBSTITUTE(SUBSTITUTE(SUBSTITUTE(SUBSTITUTE(SUBSTITUTE(SUBSTITUTE(SUBSTITUTE(SUBSTITUTE(SUBSTITUTE(SUBSTITUTE(SUBSTITUTE(LOWER(Z24&amp;""),CHAR(10),""),CHAR(13),""),CHAR(9),""),CHAR(160),"")," ",""),".",""),"-",""),"/",""),"?",""),"_",""),",",""),"[",""),"]",""),"(",""),")",""),"*","")</f>
        <v/>
      </c>
      <c r="AX24" s="61" t="str">
        <f aca="false">SUBSTITUTE(SUBSTITUTE(SUBSTITUTE(SUBSTITUTE(SUBSTITUTE(SUBSTITUTE(SUBSTITUTE(SUBSTITUTE(SUBSTITUTE(SUBSTITUTE(SUBSTITUTE(SUBSTITUTE(SUBSTITUTE(SUBSTITUTE(SUBSTITUTE(SUBSTITUTE(LOWER(AE24&amp;""),CHAR(10),""),CHAR(13),""),CHAR(9),""),CHAR(160),"")," ",""),".",""),"-",""),"/",""),"?",""),"_",""),",",""),"[",""),"]",""),"(",""),")",""),"*","")</f>
        <v/>
      </c>
      <c r="AY24" s="61" t="str">
        <f aca="false">SUBSTITUTE(SUBSTITUTE(SUBSTITUTE(SUBSTITUTE(SUBSTITUTE(SUBSTITUTE(SUBSTITUTE(SUBSTITUTE(SUBSTITUTE(SUBSTITUTE(SUBSTITUTE(SUBSTITUTE(SUBSTITUTE(SUBSTITUTE(SUBSTITUTE(SUBSTITUTE(LOWER(W24&amp;""),CHAR(10),""),CHAR(13),""),CHAR(9),""),CHAR(160),"")," ",""),".",""),"-",""),"/",""),"?",""),"_",""),",",""),"[",""),"]",""),"(",""),")",""),"*","")</f>
        <v/>
      </c>
      <c r="AZ24" s="61" t="str">
        <f aca="false">SUBSTITUTE(SUBSTITUTE(SUBSTITUTE(SUBSTITUTE(SUBSTITUTE(SUBSTITUTE(SUBSTITUTE(SUBSTITUTE(SUBSTITUTE(SUBSTITUTE(SUBSTITUTE(SUBSTITUTE(SUBSTITUTE(SUBSTITUTE(SUBSTITUTE(SUBSTITUTE(LOWER(AC24&amp;""),CHAR(10),""),CHAR(13),""),CHAR(9),""),CHAR(160),"")," ",""),".",""),"-",""),"/",""),"?",""),"_",""),",",""),"[",""),"]",""),"(",""),")",""),"*","")</f>
        <v/>
      </c>
      <c r="BA24" s="61" t="str">
        <f aca="false">SUBSTITUTE(SUBSTITUTE(SUBSTITUTE(SUBSTITUTE(SUBSTITUTE(SUBSTITUTE(SUBSTITUTE(SUBSTITUTE(SUBSTITUTE(SUBSTITUTE(SUBSTITUTE(SUBSTITUTE(SUBSTITUTE(SUBSTITUTE(SUBSTITUTE(SUBSTITUTE(LOWER(AA24&amp;""),CHAR(10),""),CHAR(13),""),CHAR(9),""),CHAR(160),"")," ",""),".",""),"-",""),"/",""),"?",""),"_",""),",",""),"[",""),"]",""),"(",""),")",""),"*","")</f>
        <v/>
      </c>
      <c r="BB24" s="61" t="str">
        <f aca="false">IF(AND(TRIM(U24)="Pass",ISNUMBER(AF24)),IF(AF24&lt;&gt;0,"INVALID – qty variance: use Fail or Pass after CA",""),"")&amp;IF(AND(TRIM(U24)="Pass after CA",ISNUMBER(AF24)),IF(AF24&lt;&gt;0,"INVALID – after the corrective action the actual qty must equal expected (update Actual)",""),"")&amp;IF(AND(TRIM(U24)="Pass",TRIM(AB24)&lt;&gt;"",TRIM(AB24)&lt;&gt;"Closed"),"INVALID – corrective action not closed: use Fail, then Pass after CA","")&amp;IF(AND(LEN(BA24)&gt;=2,ISNA(MATCH(LEFT(BA24,255),L_Placeholder,0)),TRIM(AB24)=""),"INVALID – CA status missing for the recorded corrective action","")&amp;IF(AND(TRIM(U24)="Pass after CA",OR(OR(LEN(BA24)&lt;5,ISNUMBER(MATCH(BA24,L_Placeholder,0))),TRIM(AB24)&lt;&gt;"Closed")),"INVALID – corrective action not recorded/closed","")</f>
        <v/>
      </c>
      <c r="BC24" s="61" t="str">
        <f aca="false">" "&amp;TRIM(SUBSTITUTE(SUBSTITUTE(SUBSTITUTE(SUBSTITUTE(SUBSTITUTE(SUBSTITUTE(SUBSTITUTE(SUBSTITUTE(SUBSTITUTE(SUBSTITUTE(SUBSTITUTE(SUBSTITUTE(SUBSTITUTE(SUBSTITUTE(SUBSTITUTE(SUBSTITUTE(SUBSTITUTE(SUBSTITUTE(SUBSTITUTE(SUBSTITUTE(SUBSTITUTE(SUBSTITUTE(SUBSTITUTE(SUBSTITUTE(LOWER(V24&amp;""),CHAR(10)," "),CHAR(13)," "),CHAR(9)," "),CHAR(160)," "),"."," "),","," "),"-"," "),"/"," "),"("," "),")"," "),":"," "),";"," "),"_"," "),"–"," "),"?"," "),"!"," "),"*"," "),"["," "),"]"," "),"'"," "),"#"," "),"+"," "),"&amp;"," "),"\"," "))&amp;" "</f>
        <v>  </v>
      </c>
      <c r="BD24" s="61" t="str">
        <f aca="false">" "&amp;TRIM(SUBSTITUTE(SUBSTITUTE(SUBSTITUTE(SUBSTITUTE(SUBSTITUTE(SUBSTITUTE(SUBSTITUTE(SUBSTITUTE(SUBSTITUTE(SUBSTITUTE(SUBSTITUTE(SUBSTITUTE(SUBSTITUTE(SUBSTITUTE(SUBSTITUTE(SUBSTITUTE(SUBSTITUTE(SUBSTITUTE(SUBSTITUTE(SUBSTITUTE(SUBSTITUTE(SUBSTITUTE(SUBSTITUTE(SUBSTITUTE(LOWER(Z24&amp;""),CHAR(10)," "),CHAR(13)," "),CHAR(9)," "),CHAR(160)," "),"."," "),","," "),"-"," "),"/"," "),"("," "),")"," "),":"," "),";"," "),"_"," "),"–"," "),"?"," "),"!"," "),"*"," "),"["," "),"]"," "),"'"," "),"#"," "),"+"," "),"&amp;"," "),"\"," "))&amp;" "</f>
        <v>  </v>
      </c>
      <c r="BE24" s="61" t="str">
        <f aca="false">" "&amp;TRIM(SUBSTITUTE(SUBSTITUTE(SUBSTITUTE(SUBSTITUTE(SUBSTITUTE(SUBSTITUTE(SUBSTITUTE(SUBSTITUTE(SUBSTITUTE(SUBSTITUTE(SUBSTITUTE(SUBSTITUTE(SUBSTITUTE(SUBSTITUTE(SUBSTITUTE(SUBSTITUTE(SUBSTITUTE(SUBSTITUTE(SUBSTITUTE(SUBSTITUTE(SUBSTITUTE(SUBSTITUTE(SUBSTITUTE(SUBSTITUTE(LOWER(W24&amp;""),CHAR(10)," "),CHAR(13)," "),CHAR(9)," "),CHAR(160)," "),"."," "),","," "),"-"," "),"/"," "),"("," "),")"," "),":"," "),";"," "),"_"," "),"–"," "),"?"," "),"!"," "),"*"," "),"["," "),"]"," "),"'"," "),"#"," "),"+"," "),"&amp;"," "),"\"," "))&amp;" "</f>
        <v>  </v>
      </c>
      <c r="BF24" s="61" t="str">
        <f aca="false">" "&amp;TRIM(SUBSTITUTE(SUBSTITUTE(SUBSTITUTE(SUBSTITUTE(SUBSTITUTE(SUBSTITUTE(SUBSTITUTE(SUBSTITUTE(SUBSTITUTE(SUBSTITUTE(SUBSTITUTE(SUBSTITUTE(SUBSTITUTE(SUBSTITUTE(SUBSTITUTE(SUBSTITUTE(SUBSTITUTE(SUBSTITUTE(SUBSTITUTE(SUBSTITUTE(SUBSTITUTE(SUBSTITUTE(SUBSTITUTE(SUBSTITUTE(LOWER(AC24&amp;""),CHAR(10)," "),CHAR(13)," "),CHAR(9)," "),CHAR(160)," "),"."," "),","," "),"-"," "),"/"," "),"("," "),")"," "),":"," "),";"," "),"_"," "),"–"," "),"?"," "),"!"," "),"*"," "),"["," "),"]"," "),"'"," "),"#"," "),"+"," "),"&amp;"," "),"\"," "))&amp;" "</f>
        <v>  </v>
      </c>
      <c r="BG24" s="61" t="n">
        <f aca="false">IFERROR(IF(AND(TRIM(U24)="Pass",SUMPRODUCT((LEN(BC24)-LEN(SUBSTITUTE(BC24," "&amp;L_ResultBad&amp;" "," ")))/(LEN(L_ResultBad)+1))&gt;SUMPRODUCT((LEN(BC24)-LEN(SUBSTITUTE(BC24," "&amp;L_NegPhrase&amp;" "," ")))/(LEN(L_NegPhrase)+1))),1,0),0)</f>
        <v>0</v>
      </c>
      <c r="BH24" s="61" t="n">
        <f aca="false">IFERROR(IF(SUMPRODUCT((LEN(BC24)-LEN(SUBSTITUTE(BC24," "&amp;L_Pending&amp;" "," ")))/(LEN(L_Pending)+1))&gt;SUMPRODUCT((LEN(BC24)-LEN(SUBSTITUTE(BC24," "&amp;L_PendNeg&amp;" "," ")))/(LEN(L_PendNeg)+1))+SUMPRODUCT((LEN(BC24)-LEN(SUBSTITUTE(BC24," "&amp;L_PendPrep&amp;" "," ")))/(LEN(L_PendPrep)+1)),1,0),1)</f>
        <v>0</v>
      </c>
      <c r="BI24" s="61" t="n">
        <f aca="false">IFERROR(IF(SUMPRODUCT((LEN(BD24)-LEN(SUBSTITUTE(BD24," "&amp;L_PendStrict&amp;" "," ")))/(LEN(L_PendStrict)+1))&gt;SUMPRODUCT((LEN(BD24)-LEN(SUBSTITUTE(BD24," "&amp;L_PendNeg&amp;" "," ")))/(LEN(L_PendNeg)+1)),1,0),1)</f>
        <v>0</v>
      </c>
      <c r="BJ24" s="61" t="n">
        <f aca="false">IFERROR(IF(SUMPRODUCT((LEN(BE24)-LEN(SUBSTITUTE(BE24," "&amp;L_Pending&amp;" "," ")))/(LEN(L_Pending)+1))&gt;SUMPRODUCT((LEN(BE24)-LEN(SUBSTITUTE(BE24," "&amp;L_PendNeg&amp;" "," ")))/(LEN(L_PendNeg)+1))+SUMPRODUCT((LEN(BE24)-LEN(SUBSTITUTE(BE24," "&amp;L_PendPrep&amp;" "," ")))/(LEN(L_PendPrep)+1)),1,0),1)</f>
        <v>0</v>
      </c>
      <c r="BK24" s="61" t="n">
        <f aca="false">IFERROR(IF(SUMPRODUCT((LEN(BF24)-LEN(SUBSTITUTE(BF24," "&amp;L_PendStrict&amp;" "," ")))/(LEN(L_PendStrict)+1))&gt;SUMPRODUCT((LEN(BF24)-LEN(SUBSTITUTE(BF24," "&amp;L_PendNeg&amp;" "," ")))/(LEN(L_PendNeg)+1)),1,0),1)</f>
        <v>0</v>
      </c>
      <c r="BL24" s="61" t="n">
        <f aca="false">IF(ISNA(MATCH(TRIM(S24),L_EvidenceType,0)),0,BZ24)</f>
        <v>0</v>
      </c>
      <c r="BM24" s="61" t="str">
        <f aca="false">SUBSTITUTE(SUBSTITUTE(SUBSTITUTE(SUBSTITUTE(SUBSTITUTE(SUBSTITUTE(SUBSTITUTE(SUBSTITUTE(SUBSTITUTE(LOWER(Z24&amp;""),"1","0"),"2","0"),"3","0"),"4","0"),"5","0"),"6","0"),"7","0"),"8","0"),"9","0")</f>
        <v/>
      </c>
      <c r="BN24" s="61" t="str">
        <f aca="false">SUBSTITUTE(SUBSTITUTE(SUBSTITUTE(SUBSTITUTE(SUBSTITUTE(SUBSTITUTE(SUBSTITUTE(SUBSTITUTE(SUBSTITUTE(SUBSTITUTE(SUBSTITUTE(SUBSTITUTE(SUBSTITUTE(SUBSTITUTE(SUBSTITUTE(SUBSTITUTE(SUBSTITUTE(SUBSTITUTE(SUBSTITUTE(SUBSTITUTE(SUBSTITUTE(SUBSTITUTE(SUBSTITUTE(SUBSTITUTE(SUBSTITUTE(BM24,"b","a"),"c","a"),"d","a"),"e","a"),"f","a"),"g","a"),"h","a"),"i","a"),"j","a"),"k","a"),"l","a"),"m","a"),"n","a"),"o","a"),"p","a"),"q","a"),"r","a"),"s","a"),"t","a"),"u","a"),"v","a"),"w","a"),"x","a"),"y","a"),"z","a")</f>
        <v/>
      </c>
      <c r="BO24" s="61" t="str">
        <f aca="false">SUBSTITUTE(SUBSTITUTE(SUBSTITUTE(SUBSTITUTE(SUBSTITUTE(SUBSTITUTE(SUBSTITUTE(SUBSTITUTE(SUBSTITUTE(LOWER(W24&amp;""),"1","0"),"2","0"),"3","0"),"4","0"),"5","0"),"6","0"),"7","0"),"8","0"),"9","0")</f>
        <v/>
      </c>
      <c r="BP24" s="61" t="str">
        <f aca="false">SUBSTITUTE(SUBSTITUTE(SUBSTITUTE(SUBSTITUTE(SUBSTITUTE(SUBSTITUTE(SUBSTITUTE(SUBSTITUTE(SUBSTITUTE(SUBSTITUTE(SUBSTITUTE(SUBSTITUTE(SUBSTITUTE(SUBSTITUTE(SUBSTITUTE(SUBSTITUTE(SUBSTITUTE(SUBSTITUTE(SUBSTITUTE(SUBSTITUTE(SUBSTITUTE(SUBSTITUTE(SUBSTITUTE(SUBSTITUTE(SUBSTITUTE(BO24,"b","a"),"c","a"),"d","a"),"e","a"),"f","a"),"g","a"),"h","a"),"i","a"),"j","a"),"k","a"),"l","a"),"m","a"),"n","a"),"o","a"),"p","a"),"q","a"),"r","a"),"s","a"),"t","a"),"u","a"),"v","a"),"w","a"),"x","a"),"y","a"),"z","a")</f>
        <v/>
      </c>
      <c r="BQ24" s="61" t="n">
        <f aca="false">IFERROR(IF(AND(ISERROR(SEARCH(" mh"," "&amp;LOWER(W24))),ISNA(MATCH(LEFT(TRIM(BP24),255),{"0000a","000a","00a","0000aa","000aa","00aa","0aa","0000aaa","000aaa","00a00","0a00","0000-0000","00:00","a00","a0","00.00.0000","00/00/0000","00-00-0000","0000-00-00","0000/00/00","0000.00.00","00.00.00","00/00/00","00-00-00","0.00.0000","0/00/0000","0-00-0000"},0)),ISNA(MATCH(LEFT(TRIM(CA24),255),{"0000a","000a","00a","0000aa","000aa","00aa","0aa","0000aaa","000aaa","00a00","0a00","0000-0000","00:00","a00","a0","00.00.0000","00/00/0000","00-00-0000","0000-00-00","0000/00/00","0000.00.00","00.00.00","00/00/00","00-00-00","0.00.0000","0/00/0000","0-00-0000"},0)),LEN(CB24)&gt;=3,NOT(OR(SUBSTITUTE(CB24,"0","")="",AND(LEN(CB24)&gt;=4,CB24=REPT(LEFT(CB24),LEN(CB24))),ISNUMBER(MATCH(CB24,{"123","1234","12345","123456","1234567","12345678","0123","01234","012345","98765","987654","54321"},0)),AND(LEN(CB24)=8,LEFT(CB24,3)="202"))),OR(AND((LEN(CA24)-LEN(SUBSTITUTE(CA24,"a","")))&gt;=1,SUMPRODUCT(--ISNUMBER(SEARCH({"a0","a-0","a_0","a/0","a.0","a#0","0a","0-a","0_a","0/a"},BP24)))&gt;0),ISNUMBER(SEARCH("000000",BP24)))),1,0),0)</f>
        <v>0</v>
      </c>
      <c r="BR24" s="61" t="n">
        <f aca="false">IFERROR(LEN(SUBSTITUTE(CC24," ",""))-SUMPRODUCT((LEN(CC24)-LEN(SUBSTITUTE(CC24," "&amp;L_Role&amp;" "," ")))/(LEN(L_Role)+1)*LEN(L_Role)),0)</f>
        <v>0</v>
      </c>
      <c r="BS24" s="61" t="n">
        <f aca="false">IFERROR(LEN(SUBSTITUTE(CD24," ",""))-SUMPRODUCT((LEN(CD24)-LEN(SUBSTITUTE(CD24," "&amp;L_Role&amp;" "," ")))/(LEN(L_Role)+1)*LEN(L_Role)),0)</f>
        <v>0</v>
      </c>
      <c r="BT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revision",""),"version",""),"jan",""),"feb",""),"mar",""),"apr",""),"may",""),"jun",""),"jul",""),"aug",""),"sep",""),"oct",""),"nov",""),"dec",""),"utc",""),"gmt",""),"myt",""),"bst",""),"rev",""),"ver",""),"b","a"),"c","a"),"d","a"),"e","a"),"f","a"),"g","a"),"h","a"),"i","a"),"j","a"),"k","a"),"l","a"),"m","a"),"n","a"),"o","a"),"p","a"),"q","a"),"r","a"),"s","a"),"t","a"),"u","a"),"v","a"),"w","a"),"x","a"),"y","a"),"z","a")</f>
        <v/>
      </c>
      <c r="BU24" s="61" t="str">
        <f aca="false">SUBSTITUTE(SUBSTITUTE(SUBSTITUTE(SUBSTITUTE(SUBSTITUTE(SUBSTITUTE(SUBSTITUTE(SUBSTITUTE(SUBSTITUTE(SUBSTITUTE(LEFT(BM24,FIND("0",BM24&amp;"0")-1),"-",""),"_",""),"/",""),".",""),"#",""),"\\",""),":","")," ",""),"(",""),")","")</f>
        <v/>
      </c>
      <c r="BV24" s="61" t="n">
        <f aca="false">0</f>
        <v>0</v>
      </c>
      <c r="BW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amp;""),"a",""),"b",""),"c",""),"d",""),"e",""),"f",""),"g",""),"h",""),"i",""),"j",""),"k",""),"l",""),"m",""),"n",""),"o",""),"p",""),"q",""),"r",""),"s",""),"t",""),"u",""),"v",""),"w",""),"x",""),"y",""),"z",""),"-",""),"_",""),"/",""),".",""),"#",""),"\\",""),":","")," ",""),"(",""),")","")</f>
        <v/>
      </c>
      <c r="BX24" s="61" t="str">
        <f aca="false">SUBSTITUTE(SUBSTITUTE(SUBSTITUTE(SUBSTITUTE(SUBSTITUTE(SUBSTITUTE(SUBSTITUTE(SUBSTITUTE(SUBSTITUTE(SUBSTITUTE(SUBSTITUTE(BM24,"0",""),"-",""),"_",""),"/",""),".",""),"#",""),"\\",""),":","")," ",""),"(",""),")","")</f>
        <v/>
      </c>
      <c r="BY24" s="62" t="n">
        <f aca="false">Q24-T12EarlyH/24</f>
        <v>46302.8576388889</v>
      </c>
      <c r="BZ24" s="61" t="n">
        <f aca="false">IFERROR(IF(IF(TRIM(S24)="Link / file path",AND(LEN(TRIM(Z24))&gt;=5,SUMPRODUCT(--ISNUMBER(SEARCH({"http","www.","\\",":\",".pdf",".jpg",".jpeg",".png",".heic",".xls",".doc",".msg",".eml",".ppt",".txt",".zip"},Z24)))&gt;0),AND(ISERROR(FIND(" ",TRIM(Z24))),NOT(OR(SUMPRODUCT(--ISNUMBER(FIND({",",";","&amp;","+"},Z24)))&gt;0,SUMPRODUCT(--ISNUMBER(SEARCH({"0/aa","0\\aa"},BN24)))&gt;0)),NOT(SUMPRODUCT(--ISNUMBER(SEARCH({"http","www.","\\",":\",".pdf",".jpg",".jpeg",".png",".heic",".xls",".doc",".msg",".eml",".ppt",".txt",".zip"},Z24)))&gt;0),NOT(LOWER(TRIM(Z24))=LOWER(Flights!$F$5)),ISNA(MATCH(BU24,{"mh","rev","revision","ver","version","v","r","a","b","seat","tray","row","gate","bay","stand","page","pg","item","line","no","cart","galley","flight","flt","table","box","bag","oven","etd","eta","std","sta","atd","ata","qty","pax","x","time","tel","ph","mob","day","wk","week","utc","gmt","myt","lt"},0)),NOT(OR(ISNUMBER(MATCH(LEFT(BN24,255),{"0000a","000a","00a","0000aa","000aa","00aa","0aa","0000aaa","000aaa","00a00","0a00","0000-0000","00:00","a00","a0","00.00.0000","00/00/0000","00-00-0000","0000-00-00","0000/00/00","0000.00.00","00.00.00","00/00/00","00-00-00","0.00.0000","0/00/0000","0-00-0000"},0)),ISNUMBER(MATCH(LEFT(BT24,255),{"0000a","000a","00a","0000aa","000aa","00aa","0aa","0000aaa","000aaa","00a00","0a00","0000-0000","00:00","a00","a0","00.00.0000","00/00/0000","00-00-0000","0000-00-00","0000/00/00","0000.00.00","00.00.00","00/00/00","00-00-00","0.00.0000","0/00/0000","0-00-0000"},0)))),NOT(OR(AND(BW24&lt;&gt;"",SUBSTITUTE(BW24,"0","")=""),AND(LEN(BW24)&gt;=4,BW24=REPT(LEFT(BW24),LEN(BW24))),ISNUMBER(MATCH(BW24,{"123","1234","12345","123456","1234567","12345678","0123","01234","012345","98765","987654","54321"},0)),ISNUMBER(MATCH(BX24,{"x","xx","xxx","xxxx","xxxxx","abc","abcd","nil","na","nan","test","tbc","tba","tbd","dummy","sample","example","eg","zz","zzz","none","null","xyz","qwe","asd","id","ref"},0)),AND(LEN(BW24)=8,BX24="",OR(LEFT(BW24,3)="202",ISNUMBER(MATCH(RIGHT(BW24,4),{"2025","2026","2027"},0)))))),OR(AND((LEN(BT24)-LEN(SUBSTITUTE(BT24,"a","")))&gt;=1,(LEN(BN24)-LEN(SUBSTITUTE(BN24,"0","")))&gt;=2,SUMPRODUCT(--ISNUMBER(SEARCH({"a0","a-0","a_0","a/0","a.0","a#0","0a","0-a","0_a","0/a"},BN24)))&gt;0),AND((LEN(BN24)-LEN(SUBSTITUTE(BN24,"a","")))=0,(LEN(BN24)-LEN(SUBSTITUTE(BN24,"0","")))&gt;=5)))),1,0),0)</f>
        <v>0</v>
      </c>
      <c r="CA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revision",""),"version",""),"jan",""),"feb",""),"mar",""),"apr",""),"may",""),"jun",""),"jul",""),"aug",""),"sep",""),"oct",""),"nov",""),"dec",""),"utc",""),"gmt",""),"myt",""),"bst",""),"rev",""),"ver",""),"b","a"),"c","a"),"d","a"),"e","a"),"f","a"),"g","a"),"h","a"),"i","a"),"j","a"),"k","a"),"l","a"),"m","a"),"n","a"),"o","a"),"p","a"),"q","a"),"r","a"),"s","a"),"t","a"),"u","a"),"v","a"),"w","a"),"x","a"),"y","a"),"z","a")</f>
        <v/>
      </c>
      <c r="CB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amp;""),"a",""),"b",""),"c",""),"d",""),"e",""),"f",""),"g",""),"h",""),"i",""),"j",""),"k",""),"l",""),"m",""),"n",""),"o",""),"p",""),"q",""),"r",""),"s",""),"t",""),"u",""),"v",""),"w",""),"x",""),"y",""),"z",""),"-",""),"_",""),"/",""),".",""),"#",""),"\\",""),":","")," ",""),"(",""),")","")</f>
        <v/>
      </c>
      <c r="CC24" s="0" t="str">
        <f aca="false">" "&amp;TRIM(SUBSTITUTE(SUBSTITUTE(SUBSTITUTE(SUBSTITUTE(SUBSTITUTE(SUBSTITUTE(SUBSTITUTE(SUBSTITUTE(SUBSTITUTE(SUBSTITUTE(SUBSTITUTE(SUBSTITUTE(SUBSTITUTE(SUBSTITUTE(SUBSTITUTE(SUBSTITUTE(SUBSTITUTE(SUBSTITUTE(SUBSTITUTE(SUBSTITUTE(SUBSTITUTE(SUBSTITUTE(SUBSTITUTE(SUBSTITUTE(LOWER(T24&amp;""),CHAR(10)," "),CHAR(13)," "),CHAR(9)," "),CHAR(160)," "),"."," "),","," "),"-"," "),"/"," "),"("," "),")"," "),":"," "),";"," "),"_"," "),"–"," "),"?"," "),"!"," "),"*"," "),"["," "),"]"," "),"'"," "),"#"," "),"+"," "),"&amp;"," "),"\"," "))&amp;" "</f>
        <v>  </v>
      </c>
      <c r="CD24" s="0" t="str">
        <f aca="false">" "&amp;TRIM(SUBSTITUTE(SUBSTITUTE(SUBSTITUTE(SUBSTITUTE(SUBSTITUTE(SUBSTITUTE(SUBSTITUTE(SUBSTITUTE(SUBSTITUTE(SUBSTITUTE(SUBSTITUTE(SUBSTITUTE(SUBSTITUTE(SUBSTITUTE(SUBSTITUTE(SUBSTITUTE(SUBSTITUTE(SUBSTITUTE(SUBSTITUTE(SUBSTITUTE(SUBSTITUTE(SUBSTITUTE(SUBSTITUTE(SUBSTITUTE(LOWER(AE24&amp;""),CHAR(10)," "),CHAR(13)," "),CHAR(9)," "),CHAR(160)," "),"."," "),","," "),"-"," "),"/"," "),"("," "),")"," "),":"," "),";"," "),"_"," "),"–"," "),"?"," "),"!"," "),"*"," "),"["," "),"]"," "),"'"," "),"#"," "),"+"," "),"&amp;"," "),"\"," "))&amp;" "</f>
        <v>  </v>
      </c>
      <c r="CE24" s="68" t="n">
        <f aca="false">IFERROR(IF(AND(LEN(AU24)&gt;0,LEN(AU24)=LEN(AX24),OR(TRIM(MID(SUBSTITUTE(TRIM(CC24)," ",REPT(" ",60)),1,60))="",ISNUMBER(SEARCH(" "&amp;TRIM(MID(SUBSTITUTE(TRIM(CC24)," ",REPT(" ",60)),1,60))&amp;" ",CD24))),OR(TRIM(MID(SUBSTITUTE(TRIM(CC24)," ",REPT(" ",60)),61,60))="",ISNUMBER(SEARCH(" "&amp;TRIM(MID(SUBSTITUTE(TRIM(CC24)," ",REPT(" ",60)),61,60))&amp;" ",CD24))),OR(TRIM(MID(SUBSTITUTE(TRIM(CC24)," ",REPT(" ",60)),121,60))="",ISNUMBER(SEARCH(" "&amp;TRIM(MID(SUBSTITUTE(TRIM(CC24)," ",REPT(" ",60)),121,60))&amp;" ",CD24)))),1,0),0)</f>
        <v>0</v>
      </c>
      <c r="CG24" s="68" t="n">
        <f aca="false">IFERROR(LEN(SUBSTITUTE(BF24," ",""))-SUMPRODUCT((LEN(BF24)-LEN(SUBSTITUTE(BF24," "&amp;L_NAFiller&amp;" "," ")))/(LEN(L_NAFiller)+1)*LEN(L_NAFiller)),0)</f>
        <v>0</v>
      </c>
    </row>
    <row r="25" customFormat="false" ht="39.75" hidden="false" customHeight="true" outlineLevel="0" collapsed="false">
      <c r="A25" s="57" t="s">
        <v>458</v>
      </c>
      <c r="B25" s="57" t="s">
        <v>183</v>
      </c>
      <c r="C25" s="57" t="str">
        <f aca="false">Flights!$F$5</f>
        <v>MH0001</v>
      </c>
      <c r="D25" s="58" t="n">
        <f aca="false">Flights!$D$5</f>
        <v>46303</v>
      </c>
      <c r="E25" s="57" t="str">
        <f aca="false">Flights!$G$5&amp;"-"&amp;Flights!$H$5</f>
        <v>LHR-KUL</v>
      </c>
      <c r="F25" s="57" t="str">
        <f aca="false">Flights!$K$5</f>
        <v>EY</v>
      </c>
      <c r="G25" s="57" t="s">
        <v>459</v>
      </c>
      <c r="H25" s="57" t="s">
        <v>460</v>
      </c>
      <c r="I25" s="57" t="s">
        <v>379</v>
      </c>
      <c r="J25" s="57" t="s">
        <v>461</v>
      </c>
      <c r="K25" s="67" t="s">
        <v>426</v>
      </c>
      <c r="L25" s="67" t="s">
        <v>462</v>
      </c>
      <c r="M25" s="67"/>
      <c r="N25" s="67" t="s">
        <v>383</v>
      </c>
      <c r="O25" s="67" t="s">
        <v>463</v>
      </c>
      <c r="P25" s="57" t="s">
        <v>186</v>
      </c>
      <c r="Q25" s="59" t="n">
        <f aca="false">ROUND((Flights!$AF$5)*1440,0)/1440</f>
        <v>46303.8576388889</v>
      </c>
      <c r="R25" s="59" t="n">
        <f aca="false">Q25+(IF(AND(INDEX(TZ_DSTS,MATCH(P25,TZ_STN,0))&lt;&gt;"",Q25&gt;=INDEX(TZ_DSTS,MATCH(P25,TZ_STN,0)),Q25&lt;INDEX(TZ_DSTE,MATCH(P25,TZ_STN,0))),INDEX(TZ_DST,MATCH(P25,TZ_STN,0)),INDEX(TZ_STD,MATCH(P25,TZ_STN,0))))/24</f>
        <v>46303.8993055556</v>
      </c>
      <c r="S25" s="60"/>
      <c r="T25" s="60"/>
      <c r="U25" s="60"/>
      <c r="V25" s="60"/>
      <c r="W25" s="61"/>
      <c r="X25" s="60"/>
      <c r="Y25" s="60"/>
      <c r="Z25" s="60"/>
      <c r="AA25" s="60"/>
      <c r="AB25" s="60"/>
      <c r="AC25" s="60"/>
      <c r="AD25" s="66"/>
      <c r="AE25" s="60"/>
      <c r="AF25" s="61" t="str">
        <f aca="false">IF(AND(ISNUMBER(X25),ISNUMBER(Y25)),Y25-X25,"")</f>
        <v/>
      </c>
      <c r="AG25" s="62" t="str">
        <f aca="false">IF(ISNUMBER(AD25),AD25-(IF(AND(INDEX(TZ_DSTS,MATCH(P25,TZ_STN,0))&lt;&gt;"",(AD25-INDEX(TZ_STD,MATCH(P25,TZ_STN,0))/24)&gt;=INDEX(TZ_DSTS,MATCH(P25,TZ_STN,0)),(AD25-INDEX(TZ_STD,MATCH(P25,TZ_STN,0))/24)&lt;INDEX(TZ_DSTE,MATCH(P25,TZ_STN,0))),INDEX(TZ_DST,MATCH(P25,TZ_STN,0)),INDEX(TZ_STD,MATCH(P25,TZ_STN,0))))/24,"")</f>
        <v/>
      </c>
      <c r="AH25" s="65" t="str">
        <f aca="false">IFERROR(IF(N25="N/A – rule",IF(OR(TRIM(U25)="",TRIM(U25)="N/A",TRIM(U25)="Not started"),"N/A – RULE","INVALID – this check does not apply to this aircraft: clear the status (or correct the fleet on Flights)"),IF(TRIM(U25)="N/A",IF(AT25=0,"INVALID – N/A not permitted for this check",IF(AND(TRIM(AB25)&lt;&gt;"",TRIM(AB25)&lt;&gt;"Closed"),"INVALID – corrective action still open",IF(AND(NOT(OR(LEN(AZ25)&lt;15,ISNUMBER(MATCH(AZ25,L_Placeholder,0)))),BK25=0,CG25&gt;=8,NOT(OR(LEN(AU25)&lt;2,ISNUMBER(MATCH(AU25,L_Placeholder,0)))),BR25&gt;=3,NOT(OR(LEN(AX25)&lt;2,ISNUMBER(MATCH(AX25,L_Placeholder,0)))),BS25&gt;=3,TRIM(AE25)&lt;&gt;TRIM(T25),AX25&lt;&gt;AU25,CE25=0),"N/A – JUSTIFIED","INVALID – N/A needs a real, settled reason (not 'not applicable' / 'as above' / TBC), a named PIC and a different named verifier"))),IF(OR(TRIM(U25)="Pass",TRIM(U25)="Pass after CA"),IF(NOT(ISNUMBER(AD25)),"INVALID – completion time missing",IF(OR(OR(LEN(AU25)&lt;2,ISNUMBER(MATCH(AU25,L_Placeholder,0))),BR25&lt;3),"INVALID – PIC missing or not a named person (a role such as QA / CSM is not a name)",IF(OR(LEN(AV25)&lt;2,ISNUMBER(MATCH(AV25,L_Placeholder,0))),"INVALID – result / assessment missing",IF(OR(OR(LEN(AW25)&lt;3,ISNUMBER(MATCH(AW25,L_Placeholder,0))),SUMPRODUCT(--ISNUMBER(SEARCH(" "&amp;L_EvidencePhrase&amp;" ",BD25)))&gt;0,BI25=1),"INVALID – evidence missing, placeholder or not yet on file",IF(ISNA(MATCH(TRIM(S25),L_EvidenceType,0)),"INVALID – choose the evidence type from the list (column S)",IF(BL25=0,"INVALID – evidence ID must be the record's own ID only (e.g. SF-2210, IMG_2231, 1045521); a link / file name needs type 'Link / file path'",IF(OR(OR(LEN(AX25)&lt;2,ISNUMBER(MATCH(AX25,L_Placeholder,0))),BS25&lt;3),"INVALID – verifier missing or not a named person (a role such as QA / CSM is not a name)",IF(OR(AX25=AU25,CE25=1,AND(LEN(AU25)&gt;=4,ISNUMBER(SEARCH(AU25,AX25))),AND(LEN(AX25)&gt;=4,ISNUMBER(SEARCH(AX25,AU25)))),"INVALID – verifier must be a different, named person (not the PIC or a role)",IF(BH25=1,"INVALID – result not yet available (awaiting / TBC)",IF(BG25=1,"INVALID – result describes a problem: record Fail, then Pass after CA (or reword if it is not a problem)",IF(BV25=1,"INVALID – wording says not on board: an on-board confirmation needs the item loaded",IF(AND(AQ25=1,OR(OR(LEN(AY25)&lt;3,ISNUMBER(MATCH(AY25,L_Placeholder,0))),BJ25=1,BQ25=0)),"INVALID – batch ID missing, placeholder or not an ID (e.g. PASB-261008-BC-017)",IF(AND(AR25=1,OR(NOT(ISNUMBER(X25)),NOT(ISNUMBER(Y25)))),"INVALID – expected/actual qty missing",IF(AND(AR25=1,OR(X25&lt;=0,Y25&lt;0)),"INVALID – expected qty must be above 0 and actual not negative",IF(AH16="N/A – JUSTIFIED","INVALID – preparation row F01-T12-02 is N/A",IF(AND(AR25=1,ISNUMBER(X16),X25&lt;&gt;X16,TRIM(U25)&lt;&gt;"Pass after CA"),"INVALID – expected qty differs from preparation check F01-T12-02: record the load change as a corrective action (Pass after CA)",IF(BB25&lt;&gt;"",BB25,IF(AND(AS25=1,Documents!$J$5&lt;&gt;"ON FILE"),"INVALID – GLD not on file (Documents sheet)",IF(AND(AS25=2,Documents!$O$5&lt;&gt;"ON FILE"),"INVALID – menu checklist not on file (Documents sheet)",IF(AND(AS25=3,NOT(ISNUMBER(Flights!$AX$5))),"INVALID – enter carrying flight KUL departure (Flights AX)",IF(AND(AS25=3,OR(Flights!$AZ$5&gt;Flights!$AA$5,Flights!$AX$5&lt;Flights!$AA$5-3)),"INVALID – carrying flight (Flights AX) cannot arrive before this leg's STD, or is over 3 days early",IF(AG25&gt;AsOfUTC,"INVALID – completion time is in the future",IF(AND(ISNUMBER(BY25),AG25&lt;BY25),IF(H25="Physical uplift","INVALID – before uplift window (cannot confirm loading)","INVALID – before valid window"),IF(AG25&gt;Flights!$AA$5,"INVALID – completed after departure (cannot establish readiness)",IF(AND(H25="Preparation",AG25&gt;=IF(ISNUMBER(Flights!$BA$5),MIN(Flights!$BA$5,Flights!$AA$5),Flights!$AA$5)),"INVALID – completed after loading / departure (cannot establish readiness)",IF(AND(H25="Physical uplift",AG25&gt;Q25),"INVALID – recorded after the loading flight departed",IF(AG25&gt;Q25,"COMPLETE – LATE","COMPLETE"))))))))))))))))))))))))))),IF(TRIM(U25)="Fail","FAIL – DISCREPANCY",IF(AND(TRIM(U25)&lt;&gt;"",TRIM(U25)&lt;&gt;"Not started",TRIM(U25)&lt;&gt;"In progress"),"INVALID – unrecognised status (use the list)",IF(AsOfUTC&gt;Q25,"OVERDUE",IF(N25="Clarification required","OPEN – CLARIFICATION","OPEN"))))))),"INVALID – error value in an input cell")</f>
        <v>OPEN</v>
      </c>
      <c r="AI25" s="61" t="n">
        <f aca="false">IF(OR(AH25="N/A – RULE",AH25="N/A – JUSTIFIED"),0,1)</f>
        <v>1</v>
      </c>
      <c r="AJ25" s="61" t="n">
        <f aca="false">IF(LEFT(AH25,8)="COMPLETE",1,0)</f>
        <v>0</v>
      </c>
      <c r="AK25" s="61" t="n">
        <f aca="false">IF(AND(AI25=1,AJ25=0,AsOfUTC&gt;Q25),1,0)</f>
        <v>0</v>
      </c>
      <c r="AL25" s="61" t="n">
        <f aca="false">IFERROR(IF(AND(AI25=1,OR(TRIM(U25)="Fail",AND(TRIM(AB25)&lt;&gt;"",TRIM(AB25)&lt;&gt;"Closed"),AND(ISNUMBER(AF25),AF25&lt;&gt;0,TRIM(U25)&lt;&gt;"Pass after CA"))),1,0),1)</f>
        <v>0</v>
      </c>
      <c r="AM25" s="61" t="n">
        <f aca="false">IF(LEFT(AH25,7)="INVALID",1,0)</f>
        <v>0</v>
      </c>
      <c r="AN25" s="61" t="n">
        <f aca="false">IF(AND(N25="Clarification required",AI25=1,AJ25=0),1,0)</f>
        <v>0</v>
      </c>
      <c r="AO25" s="61" t="str">
        <f aca="false">IF(AK25=1,SUM(AK$5:AK25),"")</f>
        <v/>
      </c>
      <c r="AP25" s="61" t="str">
        <f aca="false">IF(AL25=1,SUM(AL$5:AL25),"")</f>
        <v/>
      </c>
      <c r="AQ25" s="61" t="n">
        <v>0</v>
      </c>
      <c r="AR25" s="61" t="n">
        <v>1</v>
      </c>
      <c r="AS25" s="61" t="n">
        <v>0</v>
      </c>
      <c r="AT25" s="61" t="n">
        <v>0</v>
      </c>
      <c r="AU25" s="61" t="str">
        <f aca="false">SUBSTITUTE(SUBSTITUTE(SUBSTITUTE(SUBSTITUTE(SUBSTITUTE(SUBSTITUTE(SUBSTITUTE(SUBSTITUTE(SUBSTITUTE(SUBSTITUTE(SUBSTITUTE(SUBSTITUTE(SUBSTITUTE(SUBSTITUTE(SUBSTITUTE(SUBSTITUTE(LOWER(T25&amp;""),CHAR(10),""),CHAR(13),""),CHAR(9),""),CHAR(160),"")," ",""),".",""),"-",""),"/",""),"?",""),"_",""),",",""),"[",""),"]",""),"(",""),")",""),"*","")</f>
        <v/>
      </c>
      <c r="AV25" s="61" t="str">
        <f aca="false">SUBSTITUTE(SUBSTITUTE(SUBSTITUTE(SUBSTITUTE(SUBSTITUTE(SUBSTITUTE(SUBSTITUTE(SUBSTITUTE(SUBSTITUTE(SUBSTITUTE(SUBSTITUTE(SUBSTITUTE(SUBSTITUTE(SUBSTITUTE(SUBSTITUTE(SUBSTITUTE(LOWER(V25&amp;""),CHAR(10),""),CHAR(13),""),CHAR(9),""),CHAR(160),"")," ",""),".",""),"-",""),"/",""),"?",""),"_",""),",",""),"[",""),"]",""),"(",""),")",""),"*","")</f>
        <v/>
      </c>
      <c r="AW25" s="61" t="str">
        <f aca="false">SUBSTITUTE(SUBSTITUTE(SUBSTITUTE(SUBSTITUTE(SUBSTITUTE(SUBSTITUTE(SUBSTITUTE(SUBSTITUTE(SUBSTITUTE(SUBSTITUTE(SUBSTITUTE(SUBSTITUTE(SUBSTITUTE(SUBSTITUTE(SUBSTITUTE(SUBSTITUTE(LOWER(Z25&amp;""),CHAR(10),""),CHAR(13),""),CHAR(9),""),CHAR(160),"")," ",""),".",""),"-",""),"/",""),"?",""),"_",""),",",""),"[",""),"]",""),"(",""),")",""),"*","")</f>
        <v/>
      </c>
      <c r="AX25" s="61" t="str">
        <f aca="false">SUBSTITUTE(SUBSTITUTE(SUBSTITUTE(SUBSTITUTE(SUBSTITUTE(SUBSTITUTE(SUBSTITUTE(SUBSTITUTE(SUBSTITUTE(SUBSTITUTE(SUBSTITUTE(SUBSTITUTE(SUBSTITUTE(SUBSTITUTE(SUBSTITUTE(SUBSTITUTE(LOWER(AE25&amp;""),CHAR(10),""),CHAR(13),""),CHAR(9),""),CHAR(160),"")," ",""),".",""),"-",""),"/",""),"?",""),"_",""),",",""),"[",""),"]",""),"(",""),")",""),"*","")</f>
        <v/>
      </c>
      <c r="AY25" s="61" t="str">
        <f aca="false">SUBSTITUTE(SUBSTITUTE(SUBSTITUTE(SUBSTITUTE(SUBSTITUTE(SUBSTITUTE(SUBSTITUTE(SUBSTITUTE(SUBSTITUTE(SUBSTITUTE(SUBSTITUTE(SUBSTITUTE(SUBSTITUTE(SUBSTITUTE(SUBSTITUTE(SUBSTITUTE(LOWER(W25&amp;""),CHAR(10),""),CHAR(13),""),CHAR(9),""),CHAR(160),"")," ",""),".",""),"-",""),"/",""),"?",""),"_",""),",",""),"[",""),"]",""),"(",""),")",""),"*","")</f>
        <v/>
      </c>
      <c r="AZ25" s="61" t="str">
        <f aca="false">SUBSTITUTE(SUBSTITUTE(SUBSTITUTE(SUBSTITUTE(SUBSTITUTE(SUBSTITUTE(SUBSTITUTE(SUBSTITUTE(SUBSTITUTE(SUBSTITUTE(SUBSTITUTE(SUBSTITUTE(SUBSTITUTE(SUBSTITUTE(SUBSTITUTE(SUBSTITUTE(LOWER(AC25&amp;""),CHAR(10),""),CHAR(13),""),CHAR(9),""),CHAR(160),"")," ",""),".",""),"-",""),"/",""),"?",""),"_",""),",",""),"[",""),"]",""),"(",""),")",""),"*","")</f>
        <v/>
      </c>
      <c r="BA25" s="61" t="str">
        <f aca="false">SUBSTITUTE(SUBSTITUTE(SUBSTITUTE(SUBSTITUTE(SUBSTITUTE(SUBSTITUTE(SUBSTITUTE(SUBSTITUTE(SUBSTITUTE(SUBSTITUTE(SUBSTITUTE(SUBSTITUTE(SUBSTITUTE(SUBSTITUTE(SUBSTITUTE(SUBSTITUTE(LOWER(AA25&amp;""),CHAR(10),""),CHAR(13),""),CHAR(9),""),CHAR(160),"")," ",""),".",""),"-",""),"/",""),"?",""),"_",""),",",""),"[",""),"]",""),"(",""),")",""),"*","")</f>
        <v/>
      </c>
      <c r="BB25" s="61" t="str">
        <f aca="false">IF(AND(TRIM(U25)="Pass",ISNUMBER(AF25)),IF(AF25&lt;&gt;0,"INVALID – qty variance: use Fail or Pass after CA",""),"")&amp;IF(AND(TRIM(U25)="Pass after CA",ISNUMBER(AF25)),IF(AF25&lt;&gt;0,"INVALID – after the corrective action the actual qty must equal expected (update Actual)",""),"")&amp;IF(AND(TRIM(U25)="Pass",TRIM(AB25)&lt;&gt;"",TRIM(AB25)&lt;&gt;"Closed"),"INVALID – corrective action not closed: use Fail, then Pass after CA","")&amp;IF(AND(LEN(BA25)&gt;=2,ISNA(MATCH(LEFT(BA25,255),L_Placeholder,0)),TRIM(AB25)=""),"INVALID – CA status missing for the recorded corrective action","")&amp;IF(AND(TRIM(U25)="Pass after CA",OR(OR(LEN(BA25)&lt;5,ISNUMBER(MATCH(BA25,L_Placeholder,0))),TRIM(AB25)&lt;&gt;"Closed")),"INVALID – corrective action not recorded/closed","")</f>
        <v/>
      </c>
      <c r="BC25" s="61" t="str">
        <f aca="false">" "&amp;TRIM(SUBSTITUTE(SUBSTITUTE(SUBSTITUTE(SUBSTITUTE(SUBSTITUTE(SUBSTITUTE(SUBSTITUTE(SUBSTITUTE(SUBSTITUTE(SUBSTITUTE(SUBSTITUTE(SUBSTITUTE(SUBSTITUTE(SUBSTITUTE(SUBSTITUTE(SUBSTITUTE(SUBSTITUTE(SUBSTITUTE(SUBSTITUTE(SUBSTITUTE(SUBSTITUTE(SUBSTITUTE(SUBSTITUTE(SUBSTITUTE(LOWER(V25&amp;""),CHAR(10)," "),CHAR(13)," "),CHAR(9)," "),CHAR(160)," "),"."," "),","," "),"-"," "),"/"," "),"("," "),")"," "),":"," "),";"," "),"_"," "),"–"," "),"?"," "),"!"," "),"*"," "),"["," "),"]"," "),"'"," "),"#"," "),"+"," "),"&amp;"," "),"\"," "))&amp;" "</f>
        <v>  </v>
      </c>
      <c r="BD25" s="61" t="str">
        <f aca="false">" "&amp;TRIM(SUBSTITUTE(SUBSTITUTE(SUBSTITUTE(SUBSTITUTE(SUBSTITUTE(SUBSTITUTE(SUBSTITUTE(SUBSTITUTE(SUBSTITUTE(SUBSTITUTE(SUBSTITUTE(SUBSTITUTE(SUBSTITUTE(SUBSTITUTE(SUBSTITUTE(SUBSTITUTE(SUBSTITUTE(SUBSTITUTE(SUBSTITUTE(SUBSTITUTE(SUBSTITUTE(SUBSTITUTE(SUBSTITUTE(SUBSTITUTE(LOWER(Z25&amp;""),CHAR(10)," "),CHAR(13)," "),CHAR(9)," "),CHAR(160)," "),"."," "),","," "),"-"," "),"/"," "),"("," "),")"," "),":"," "),";"," "),"_"," "),"–"," "),"?"," "),"!"," "),"*"," "),"["," "),"]"," "),"'"," "),"#"," "),"+"," "),"&amp;"," "),"\"," "))&amp;" "</f>
        <v>  </v>
      </c>
      <c r="BE25" s="61" t="str">
        <f aca="false">" "&amp;TRIM(SUBSTITUTE(SUBSTITUTE(SUBSTITUTE(SUBSTITUTE(SUBSTITUTE(SUBSTITUTE(SUBSTITUTE(SUBSTITUTE(SUBSTITUTE(SUBSTITUTE(SUBSTITUTE(SUBSTITUTE(SUBSTITUTE(SUBSTITUTE(SUBSTITUTE(SUBSTITUTE(SUBSTITUTE(SUBSTITUTE(SUBSTITUTE(SUBSTITUTE(SUBSTITUTE(SUBSTITUTE(SUBSTITUTE(SUBSTITUTE(LOWER(W25&amp;""),CHAR(10)," "),CHAR(13)," "),CHAR(9)," "),CHAR(160)," "),"."," "),","," "),"-"," "),"/"," "),"("," "),")"," "),":"," "),";"," "),"_"," "),"–"," "),"?"," "),"!"," "),"*"," "),"["," "),"]"," "),"'"," "),"#"," "),"+"," "),"&amp;"," "),"\"," "))&amp;" "</f>
        <v>  </v>
      </c>
      <c r="BF25" s="61" t="str">
        <f aca="false">" "&amp;TRIM(SUBSTITUTE(SUBSTITUTE(SUBSTITUTE(SUBSTITUTE(SUBSTITUTE(SUBSTITUTE(SUBSTITUTE(SUBSTITUTE(SUBSTITUTE(SUBSTITUTE(SUBSTITUTE(SUBSTITUTE(SUBSTITUTE(SUBSTITUTE(SUBSTITUTE(SUBSTITUTE(SUBSTITUTE(SUBSTITUTE(SUBSTITUTE(SUBSTITUTE(SUBSTITUTE(SUBSTITUTE(SUBSTITUTE(SUBSTITUTE(LOWER(AC25&amp;""),CHAR(10)," "),CHAR(13)," "),CHAR(9)," "),CHAR(160)," "),"."," "),","," "),"-"," "),"/"," "),"("," "),")"," "),":"," "),";"," "),"_"," "),"–"," "),"?"," "),"!"," "),"*"," "),"["," "),"]"," "),"'"," "),"#"," "),"+"," "),"&amp;"," "),"\"," "))&amp;" "</f>
        <v>  </v>
      </c>
      <c r="BG25" s="61" t="n">
        <f aca="false">IFERROR(IF(AND(TRIM(U25)="Pass",SUMPRODUCT((LEN(BC25)-LEN(SUBSTITUTE(BC25," "&amp;L_ResultBad&amp;" "," ")))/(LEN(L_ResultBad)+1))&gt;SUMPRODUCT((LEN(BC25)-LEN(SUBSTITUTE(BC25," "&amp;L_NegPhrase&amp;" "," ")))/(LEN(L_NegPhrase)+1))),1,0),0)</f>
        <v>0</v>
      </c>
      <c r="BH25" s="61" t="n">
        <f aca="false">IFERROR(IF(SUMPRODUCT((LEN(BC25)-LEN(SUBSTITUTE(BC25," "&amp;L_Pending&amp;" "," ")))/(LEN(L_Pending)+1))&gt;SUMPRODUCT((LEN(BC25)-LEN(SUBSTITUTE(BC25," "&amp;L_PendNeg&amp;" "," ")))/(LEN(L_PendNeg)+1)),1,0),1)</f>
        <v>0</v>
      </c>
      <c r="BI25" s="61" t="n">
        <f aca="false">IFERROR(IF(SUMPRODUCT((LEN(BD25)-LEN(SUBSTITUTE(BD25," "&amp;L_PendStrict&amp;" "," ")))/(LEN(L_PendStrict)+1))&gt;SUMPRODUCT((LEN(BD25)-LEN(SUBSTITUTE(BD25," "&amp;L_PendNeg&amp;" "," ")))/(LEN(L_PendNeg)+1)),1,0),1)</f>
        <v>0</v>
      </c>
      <c r="BJ25" s="61" t="n">
        <f aca="false">IFERROR(IF(SUMPRODUCT((LEN(BE25)-LEN(SUBSTITUTE(BE25," "&amp;L_Pending&amp;" "," ")))/(LEN(L_Pending)+1))&gt;SUMPRODUCT((LEN(BE25)-LEN(SUBSTITUTE(BE25," "&amp;L_PendNeg&amp;" "," ")))/(LEN(L_PendNeg)+1)),1,0),1)</f>
        <v>0</v>
      </c>
      <c r="BK25" s="61" t="n">
        <f aca="false">IFERROR(IF(SUMPRODUCT((LEN(BF25)-LEN(SUBSTITUTE(BF25," "&amp;L_PendStrict&amp;" "," ")))/(LEN(L_PendStrict)+1))&gt;SUMPRODUCT((LEN(BF25)-LEN(SUBSTITUTE(BF25," "&amp;L_PendNeg&amp;" "," ")))/(LEN(L_PendNeg)+1)),1,0),1)</f>
        <v>0</v>
      </c>
      <c r="BL25" s="61" t="n">
        <f aca="false">IF(ISNA(MATCH(TRIM(S25),L_EvidenceType,0)),0,BZ25)</f>
        <v>0</v>
      </c>
      <c r="BM25" s="61" t="str">
        <f aca="false">SUBSTITUTE(SUBSTITUTE(SUBSTITUTE(SUBSTITUTE(SUBSTITUTE(SUBSTITUTE(SUBSTITUTE(SUBSTITUTE(SUBSTITUTE(LOWER(Z25&amp;""),"1","0"),"2","0"),"3","0"),"4","0"),"5","0"),"6","0"),"7","0"),"8","0"),"9","0")</f>
        <v/>
      </c>
      <c r="BN25" s="61" t="str">
        <f aca="false">SUBSTITUTE(SUBSTITUTE(SUBSTITUTE(SUBSTITUTE(SUBSTITUTE(SUBSTITUTE(SUBSTITUTE(SUBSTITUTE(SUBSTITUTE(SUBSTITUTE(SUBSTITUTE(SUBSTITUTE(SUBSTITUTE(SUBSTITUTE(SUBSTITUTE(SUBSTITUTE(SUBSTITUTE(SUBSTITUTE(SUBSTITUTE(SUBSTITUTE(SUBSTITUTE(SUBSTITUTE(SUBSTITUTE(SUBSTITUTE(SUBSTITUTE(BM25,"b","a"),"c","a"),"d","a"),"e","a"),"f","a"),"g","a"),"h","a"),"i","a"),"j","a"),"k","a"),"l","a"),"m","a"),"n","a"),"o","a"),"p","a"),"q","a"),"r","a"),"s","a"),"t","a"),"u","a"),"v","a"),"w","a"),"x","a"),"y","a"),"z","a")</f>
        <v/>
      </c>
      <c r="BO25" s="61" t="str">
        <f aca="false">SUBSTITUTE(SUBSTITUTE(SUBSTITUTE(SUBSTITUTE(SUBSTITUTE(SUBSTITUTE(SUBSTITUTE(SUBSTITUTE(SUBSTITUTE(LOWER(W25&amp;""),"1","0"),"2","0"),"3","0"),"4","0"),"5","0"),"6","0"),"7","0"),"8","0"),"9","0")</f>
        <v/>
      </c>
      <c r="BP25" s="61" t="str">
        <f aca="false">SUBSTITUTE(SUBSTITUTE(SUBSTITUTE(SUBSTITUTE(SUBSTITUTE(SUBSTITUTE(SUBSTITUTE(SUBSTITUTE(SUBSTITUTE(SUBSTITUTE(SUBSTITUTE(SUBSTITUTE(SUBSTITUTE(SUBSTITUTE(SUBSTITUTE(SUBSTITUTE(SUBSTITUTE(SUBSTITUTE(SUBSTITUTE(SUBSTITUTE(SUBSTITUTE(SUBSTITUTE(SUBSTITUTE(SUBSTITUTE(SUBSTITUTE(BO25,"b","a"),"c","a"),"d","a"),"e","a"),"f","a"),"g","a"),"h","a"),"i","a"),"j","a"),"k","a"),"l","a"),"m","a"),"n","a"),"o","a"),"p","a"),"q","a"),"r","a"),"s","a"),"t","a"),"u","a"),"v","a"),"w","a"),"x","a"),"y","a"),"z","a")</f>
        <v/>
      </c>
      <c r="BQ25" s="61" t="n">
        <f aca="false">IFERROR(IF(AND(ISERROR(SEARCH(" mh"," "&amp;LOWER(W25))),ISNA(MATCH(LEFT(TRIM(BP25),255),{"0000a","000a","00a","0000aa","000aa","00aa","0aa","0000aaa","000aaa","00a00","0a00","0000-0000","00:00","a00","a0","00.00.0000","00/00/0000","00-00-0000","0000-00-00","0000/00/00","0000.00.00","00.00.00","00/00/00","00-00-00","0.00.0000","0/00/0000","0-00-0000"},0)),ISNA(MATCH(LEFT(TRIM(CA25),255),{"0000a","000a","00a","0000aa","000aa","00aa","0aa","0000aaa","000aaa","00a00","0a00","0000-0000","00:00","a00","a0","00.00.0000","00/00/0000","00-00-0000","0000-00-00","0000/00/00","0000.00.00","00.00.00","00/00/00","00-00-00","0.00.0000","0/00/0000","0-00-0000"},0)),LEN(CB25)&gt;=3,NOT(OR(SUBSTITUTE(CB25,"0","")="",AND(LEN(CB25)&gt;=4,CB25=REPT(LEFT(CB25),LEN(CB25))),ISNUMBER(MATCH(CB25,{"123","1234","12345","123456","1234567","12345678","0123","01234","012345","98765","987654","54321"},0)),AND(LEN(CB25)=8,LEFT(CB25,3)="202"))),OR(AND((LEN(CA25)-LEN(SUBSTITUTE(CA25,"a","")))&gt;=1,SUMPRODUCT(--ISNUMBER(SEARCH({"a0","a-0","a_0","a/0","a.0","a#0","0a","0-a","0_a","0/a"},BP25)))&gt;0),ISNUMBER(SEARCH("000000",BP25)))),1,0),0)</f>
        <v>0</v>
      </c>
      <c r="BR25" s="61" t="n">
        <f aca="false">IFERROR(LEN(SUBSTITUTE(CC25," ",""))-SUMPRODUCT((LEN(CC25)-LEN(SUBSTITUTE(CC25," "&amp;L_Role&amp;" "," ")))/(LEN(L_Role)+1)*LEN(L_Role)),0)</f>
        <v>0</v>
      </c>
      <c r="BS25" s="61" t="n">
        <f aca="false">IFERROR(LEN(SUBSTITUTE(CD25," ",""))-SUMPRODUCT((LEN(CD25)-LEN(SUBSTITUTE(CD25," "&amp;L_Role&amp;" "," ")))/(LEN(L_Role)+1)*LEN(L_Role)),0)</f>
        <v>0</v>
      </c>
      <c r="BT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revision",""),"version",""),"jan",""),"feb",""),"mar",""),"apr",""),"may",""),"jun",""),"jul",""),"aug",""),"sep",""),"oct",""),"nov",""),"dec",""),"utc",""),"gmt",""),"myt",""),"bst",""),"rev",""),"ver",""),"b","a"),"c","a"),"d","a"),"e","a"),"f","a"),"g","a"),"h","a"),"i","a"),"j","a"),"k","a"),"l","a"),"m","a"),"n","a"),"o","a"),"p","a"),"q","a"),"r","a"),"s","a"),"t","a"),"u","a"),"v","a"),"w","a"),"x","a"),"y","a"),"z","a")</f>
        <v/>
      </c>
      <c r="BU25" s="61" t="str">
        <f aca="false">SUBSTITUTE(SUBSTITUTE(SUBSTITUTE(SUBSTITUTE(SUBSTITUTE(SUBSTITUTE(SUBSTITUTE(SUBSTITUTE(SUBSTITUTE(SUBSTITUTE(LEFT(BM25,FIND("0",BM25&amp;"0")-1),"-",""),"_",""),"/",""),".",""),"#",""),"\\",""),":","")," ",""),"(",""),")","")</f>
        <v/>
      </c>
      <c r="BV25" s="61" t="n">
        <f aca="false">IFERROR(IF(OR(SUMPRODUCT((LEN(BC25)-LEN(SUBSTITUTE(BC25," "&amp;L_NotLoaded&amp;" "," ")))/(LEN(L_NotLoaded)+1))&gt;SUMPRODUCT((LEN(BC25)-LEN(SUBSTITUTE(BC25," "&amp;L_NotLoadedNeg&amp;" "," ")))/(LEN(L_NotLoadedNeg)+1)),SUMPRODUCT((LEN(BD25)-LEN(SUBSTITUTE(BD25," "&amp;L_NotLoaded&amp;" "," ")))/(LEN(L_NotLoaded)+1))&gt;SUMPRODUCT((LEN(BD25)-LEN(SUBSTITUTE(BD25," "&amp;L_NotLoadedNeg&amp;" "," ")))/(LEN(L_NotLoadedNeg)+1))),1,0),0)</f>
        <v>0</v>
      </c>
      <c r="BW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amp;""),"a",""),"b",""),"c",""),"d",""),"e",""),"f",""),"g",""),"h",""),"i",""),"j",""),"k",""),"l",""),"m",""),"n",""),"o",""),"p",""),"q",""),"r",""),"s",""),"t",""),"u",""),"v",""),"w",""),"x",""),"y",""),"z",""),"-",""),"_",""),"/",""),".",""),"#",""),"\\",""),":","")," ",""),"(",""),")","")</f>
        <v/>
      </c>
      <c r="BX25" s="61" t="str">
        <f aca="false">SUBSTITUTE(SUBSTITUTE(SUBSTITUTE(SUBSTITUTE(SUBSTITUTE(SUBSTITUTE(SUBSTITUTE(SUBSTITUTE(SUBSTITUTE(SUBSTITUTE(SUBSTITUTE(BM25,"0",""),"-",""),"_",""),"/",""),".",""),"#",""),"\\",""),":","")," ",""),"(",""),")","")</f>
        <v/>
      </c>
      <c r="BY25" s="62" t="n">
        <f aca="false">IF(ISNUMBER(Flights!$AZ$5),MAX(Q25-UpliftWindowH/24,Flights!$AZ$5),Q25-UpliftWindowH/24)</f>
        <v>46303.6076388889</v>
      </c>
      <c r="BZ25" s="61" t="n">
        <f aca="false">IFERROR(IF(IF(TRIM(S25)="Link / file path",AND(LEN(TRIM(Z25))&gt;=5,SUMPRODUCT(--ISNUMBER(SEARCH({"http","www.","\\",":\",".pdf",".jpg",".jpeg",".png",".heic",".xls",".doc",".msg",".eml",".ppt",".txt",".zip"},Z25)))&gt;0),AND(ISERROR(FIND(" ",TRIM(Z25))),NOT(OR(SUMPRODUCT(--ISNUMBER(FIND({",",";","&amp;","+"},Z25)))&gt;0,SUMPRODUCT(--ISNUMBER(SEARCH({"0/aa","0\\aa"},BN25)))&gt;0)),NOT(SUMPRODUCT(--ISNUMBER(SEARCH({"http","www.","\\",":\",".pdf",".jpg",".jpeg",".png",".heic",".xls",".doc",".msg",".eml",".ppt",".txt",".zip"},Z25)))&gt;0),NOT(LOWER(TRIM(Z25))=LOWER(Flights!$F$5)),ISNA(MATCH(BU25,{"mh","rev","revision","ver","version","v","r","a","b","seat","tray","row","gate","bay","stand","page","pg","item","line","no","cart","galley","flight","flt","table","box","bag","oven","etd","eta","std","sta","atd","ata","qty","pax","x","time","tel","ph","mob","day","wk","week","utc","gmt","myt","lt"},0)),NOT(OR(ISNUMBER(MATCH(LEFT(BN25,255),{"0000a","000a","00a","0000aa","000aa","00aa","0aa","0000aaa","000aaa","00a00","0a00","0000-0000","00:00","a00","a0","00.00.0000","00/00/0000","00-00-0000","0000-00-00","0000/00/00","0000.00.00","00.00.00","00/00/00","00-00-00","0.00.0000","0/00/0000","0-00-0000"},0)),ISNUMBER(MATCH(LEFT(BT25,255),{"0000a","000a","00a","0000aa","000aa","00aa","0aa","0000aaa","000aaa","00a00","0a00","0000-0000","00:00","a00","a0","00.00.0000","00/00/0000","00-00-0000","0000-00-00","0000/00/00","0000.00.00","00.00.00","00/00/00","00-00-00","0.00.0000","0/00/0000","0-00-0000"},0)))),NOT(OR(AND(BW25&lt;&gt;"",SUBSTITUTE(BW25,"0","")=""),AND(LEN(BW25)&gt;=4,BW25=REPT(LEFT(BW25),LEN(BW25))),ISNUMBER(MATCH(BW25,{"123","1234","12345","123456","1234567","12345678","0123","01234","012345","98765","987654","54321"},0)),ISNUMBER(MATCH(BX25,{"x","xx","xxx","xxxx","xxxxx","abc","abcd","nil","na","nan","test","tbc","tba","tbd","dummy","sample","example","eg","zz","zzz","none","null","xyz","qwe","asd","id","ref"},0)),AND(LEN(BW25)=8,BX25="",OR(LEFT(BW25,3)="202",ISNUMBER(MATCH(RIGHT(BW25,4),{"2025","2026","2027"},0)))))),OR(AND((LEN(BT25)-LEN(SUBSTITUTE(BT25,"a","")))&gt;=1,(LEN(BN25)-LEN(SUBSTITUTE(BN25,"0","")))&gt;=2,SUMPRODUCT(--ISNUMBER(SEARCH({"a0","a-0","a_0","a/0","a.0","a#0","0a","0-a","0_a","0/a"},BN25)))&gt;0),AND((LEN(BN25)-LEN(SUBSTITUTE(BN25,"a","")))=0,(LEN(BN25)-LEN(SUBSTITUTE(BN25,"0","")))&gt;=5)))),1,0),0)</f>
        <v>0</v>
      </c>
      <c r="CA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revision",""),"version",""),"jan",""),"feb",""),"mar",""),"apr",""),"may",""),"jun",""),"jul",""),"aug",""),"sep",""),"oct",""),"nov",""),"dec",""),"utc",""),"gmt",""),"myt",""),"bst",""),"rev",""),"ver",""),"b","a"),"c","a"),"d","a"),"e","a"),"f","a"),"g","a"),"h","a"),"i","a"),"j","a"),"k","a"),"l","a"),"m","a"),"n","a"),"o","a"),"p","a"),"q","a"),"r","a"),"s","a"),"t","a"),"u","a"),"v","a"),"w","a"),"x","a"),"y","a"),"z","a")</f>
        <v/>
      </c>
      <c r="CB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amp;""),"a",""),"b",""),"c",""),"d",""),"e",""),"f",""),"g",""),"h",""),"i",""),"j",""),"k",""),"l",""),"m",""),"n",""),"o",""),"p",""),"q",""),"r",""),"s",""),"t",""),"u",""),"v",""),"w",""),"x",""),"y",""),"z",""),"-",""),"_",""),"/",""),".",""),"#",""),"\\",""),":","")," ",""),"(",""),")","")</f>
        <v/>
      </c>
      <c r="CC25" s="0" t="str">
        <f aca="false">" "&amp;TRIM(SUBSTITUTE(SUBSTITUTE(SUBSTITUTE(SUBSTITUTE(SUBSTITUTE(SUBSTITUTE(SUBSTITUTE(SUBSTITUTE(SUBSTITUTE(SUBSTITUTE(SUBSTITUTE(SUBSTITUTE(SUBSTITUTE(SUBSTITUTE(SUBSTITUTE(SUBSTITUTE(SUBSTITUTE(SUBSTITUTE(SUBSTITUTE(SUBSTITUTE(SUBSTITUTE(SUBSTITUTE(SUBSTITUTE(SUBSTITUTE(LOWER(T25&amp;""),CHAR(10)," "),CHAR(13)," "),CHAR(9)," "),CHAR(160)," "),"."," "),","," "),"-"," "),"/"," "),"("," "),")"," "),":"," "),";"," "),"_"," "),"–"," "),"?"," "),"!"," "),"*"," "),"["," "),"]"," "),"'"," "),"#"," "),"+"," "),"&amp;"," "),"\"," "))&amp;" "</f>
        <v>  </v>
      </c>
      <c r="CD25" s="0" t="str">
        <f aca="false">" "&amp;TRIM(SUBSTITUTE(SUBSTITUTE(SUBSTITUTE(SUBSTITUTE(SUBSTITUTE(SUBSTITUTE(SUBSTITUTE(SUBSTITUTE(SUBSTITUTE(SUBSTITUTE(SUBSTITUTE(SUBSTITUTE(SUBSTITUTE(SUBSTITUTE(SUBSTITUTE(SUBSTITUTE(SUBSTITUTE(SUBSTITUTE(SUBSTITUTE(SUBSTITUTE(SUBSTITUTE(SUBSTITUTE(SUBSTITUTE(SUBSTITUTE(LOWER(AE25&amp;""),CHAR(10)," "),CHAR(13)," "),CHAR(9)," "),CHAR(160)," "),"."," "),","," "),"-"," "),"/"," "),"("," "),")"," "),":"," "),";"," "),"_"," "),"–"," "),"?"," "),"!"," "),"*"," "),"["," "),"]"," "),"'"," "),"#"," "),"+"," "),"&amp;"," "),"\"," "))&amp;" "</f>
        <v>  </v>
      </c>
      <c r="CE25" s="68" t="n">
        <f aca="false">IFERROR(IF(AND(LEN(AU25)&gt;0,LEN(AU25)=LEN(AX25),OR(TRIM(MID(SUBSTITUTE(TRIM(CC25)," ",REPT(" ",60)),1,60))="",ISNUMBER(SEARCH(" "&amp;TRIM(MID(SUBSTITUTE(TRIM(CC25)," ",REPT(" ",60)),1,60))&amp;" ",CD25))),OR(TRIM(MID(SUBSTITUTE(TRIM(CC25)," ",REPT(" ",60)),61,60))="",ISNUMBER(SEARCH(" "&amp;TRIM(MID(SUBSTITUTE(TRIM(CC25)," ",REPT(" ",60)),61,60))&amp;" ",CD25))),OR(TRIM(MID(SUBSTITUTE(TRIM(CC25)," ",REPT(" ",60)),121,60))="",ISNUMBER(SEARCH(" "&amp;TRIM(MID(SUBSTITUTE(TRIM(CC25)," ",REPT(" ",60)),121,60))&amp;" ",CD25)))),1,0),0)</f>
        <v>0</v>
      </c>
      <c r="CG25" s="68" t="n">
        <f aca="false">IFERROR(LEN(SUBSTITUTE(BF25," ",""))-SUMPRODUCT((LEN(BF25)-LEN(SUBSTITUTE(BF25," "&amp;L_NAFiller&amp;" "," ")))/(LEN(L_NAFiller)+1)*LEN(L_NAFiller)),0)</f>
        <v>0</v>
      </c>
    </row>
    <row r="26" customFormat="false" ht="39.75" hidden="false" customHeight="true" outlineLevel="0" collapsed="false">
      <c r="A26" s="57" t="s">
        <v>464</v>
      </c>
      <c r="B26" s="57" t="s">
        <v>183</v>
      </c>
      <c r="C26" s="57" t="str">
        <f aca="false">Flights!$F$5</f>
        <v>MH0001</v>
      </c>
      <c r="D26" s="58" t="n">
        <f aca="false">Flights!$D$5</f>
        <v>46303</v>
      </c>
      <c r="E26" s="57" t="str">
        <f aca="false">Flights!$G$5&amp;"-"&amp;Flights!$H$5</f>
        <v>LHR-KUL</v>
      </c>
      <c r="F26" s="57" t="str">
        <f aca="false">Flights!$K$5</f>
        <v>EY</v>
      </c>
      <c r="G26" s="57" t="s">
        <v>459</v>
      </c>
      <c r="H26" s="57" t="s">
        <v>460</v>
      </c>
      <c r="I26" s="57" t="s">
        <v>428</v>
      </c>
      <c r="J26" s="57" t="s">
        <v>465</v>
      </c>
      <c r="K26" s="67" t="s">
        <v>426</v>
      </c>
      <c r="L26" s="67" t="s">
        <v>462</v>
      </c>
      <c r="M26" s="67"/>
      <c r="N26" s="67" t="s">
        <v>383</v>
      </c>
      <c r="O26" s="67" t="s">
        <v>463</v>
      </c>
      <c r="P26" s="57" t="s">
        <v>186</v>
      </c>
      <c r="Q26" s="59" t="n">
        <f aca="false">ROUND((Flights!$AF$5)*1440,0)/1440</f>
        <v>46303.8576388889</v>
      </c>
      <c r="R26" s="59" t="n">
        <f aca="false">Q26+(IF(AND(INDEX(TZ_DSTS,MATCH(P26,TZ_STN,0))&lt;&gt;"",Q26&gt;=INDEX(TZ_DSTS,MATCH(P26,TZ_STN,0)),Q26&lt;INDEX(TZ_DSTE,MATCH(P26,TZ_STN,0))),INDEX(TZ_DST,MATCH(P26,TZ_STN,0)),INDEX(TZ_STD,MATCH(P26,TZ_STN,0))))/24</f>
        <v>46303.8993055556</v>
      </c>
      <c r="S26" s="60"/>
      <c r="T26" s="60"/>
      <c r="U26" s="60"/>
      <c r="V26" s="60"/>
      <c r="W26" s="61"/>
      <c r="X26" s="60"/>
      <c r="Y26" s="60"/>
      <c r="Z26" s="60"/>
      <c r="AA26" s="60"/>
      <c r="AB26" s="60"/>
      <c r="AC26" s="60"/>
      <c r="AD26" s="66"/>
      <c r="AE26" s="60"/>
      <c r="AF26" s="61" t="str">
        <f aca="false">IF(AND(ISNUMBER(X26),ISNUMBER(Y26)),Y26-X26,"")</f>
        <v/>
      </c>
      <c r="AG26" s="62" t="str">
        <f aca="false">IF(ISNUMBER(AD26),AD26-(IF(AND(INDEX(TZ_DSTS,MATCH(P26,TZ_STN,0))&lt;&gt;"",(AD26-INDEX(TZ_STD,MATCH(P26,TZ_STN,0))/24)&gt;=INDEX(TZ_DSTS,MATCH(P26,TZ_STN,0)),(AD26-INDEX(TZ_STD,MATCH(P26,TZ_STN,0))/24)&lt;INDEX(TZ_DSTE,MATCH(P26,TZ_STN,0))),INDEX(TZ_DST,MATCH(P26,TZ_STN,0)),INDEX(TZ_STD,MATCH(P26,TZ_STN,0))))/24,"")</f>
        <v/>
      </c>
      <c r="AH26" s="65" t="str">
        <f aca="false">IFERROR(IF(N26="N/A – rule",IF(OR(TRIM(U26)="",TRIM(U26)="N/A",TRIM(U26)="Not started"),"N/A – RULE","INVALID – this check does not apply to this aircraft: clear the status (or correct the fleet on Flights)"),IF(TRIM(U26)="N/A",IF(AT26=0,"INVALID – N/A not permitted for this check",IF(AND(TRIM(AB26)&lt;&gt;"",TRIM(AB26)&lt;&gt;"Closed"),"INVALID – corrective action still open",IF(AND(NOT(OR(LEN(AZ26)&lt;15,ISNUMBER(MATCH(AZ26,L_Placeholder,0)))),BK26=0,CG26&gt;=8,NOT(OR(LEN(AU26)&lt;2,ISNUMBER(MATCH(AU26,L_Placeholder,0)))),BR26&gt;=3,NOT(OR(LEN(AX26)&lt;2,ISNUMBER(MATCH(AX26,L_Placeholder,0)))),BS26&gt;=3,TRIM(AE26)&lt;&gt;TRIM(T26),AX26&lt;&gt;AU26,CE26=0),"N/A – JUSTIFIED","INVALID – N/A needs a real, settled reason (not 'not applicable' / 'as above' / TBC), a named PIC and a different named verifier"))),IF(OR(TRIM(U26)="Pass",TRIM(U26)="Pass after CA"),IF(NOT(ISNUMBER(AD26)),"INVALID – completion time missing",IF(OR(OR(LEN(AU26)&lt;2,ISNUMBER(MATCH(AU26,L_Placeholder,0))),BR26&lt;3),"INVALID – PIC missing or not a named person (a role such as QA / CSM is not a name)",IF(OR(LEN(AV26)&lt;2,ISNUMBER(MATCH(AV26,L_Placeholder,0))),"INVALID – result / assessment missing",IF(OR(OR(LEN(AW26)&lt;3,ISNUMBER(MATCH(AW26,L_Placeholder,0))),SUMPRODUCT(--ISNUMBER(SEARCH(" "&amp;L_EvidencePhrase&amp;" ",BD26)))&gt;0,BI26=1),"INVALID – evidence missing, placeholder or not yet on file",IF(ISNA(MATCH(TRIM(S26),L_EvidenceType,0)),"INVALID – choose the evidence type from the list (column S)",IF(BL26=0,"INVALID – evidence ID must be the record's own ID only (e.g. SF-2210, IMG_2231, 1045521); a link / file name needs type 'Link / file path'",IF(OR(OR(LEN(AX26)&lt;2,ISNUMBER(MATCH(AX26,L_Placeholder,0))),BS26&lt;3),"INVALID – verifier missing or not a named person (a role such as QA / CSM is not a name)",IF(OR(AX26=AU26,CE26=1,AND(LEN(AU26)&gt;=4,ISNUMBER(SEARCH(AU26,AX26))),AND(LEN(AX26)&gt;=4,ISNUMBER(SEARCH(AX26,AU26)))),"INVALID – verifier must be a different, named person (not the PIC or a role)",IF(BH26=1,"INVALID – result not yet available (awaiting / TBC)",IF(BG26=1,"INVALID – result describes a problem: record Fail, then Pass after CA (or reword if it is not a problem)",IF(BV26=1,"INVALID – wording says not on board: an on-board confirmation needs the item loaded",IF(AND(AQ26=1,OR(OR(LEN(AY26)&lt;3,ISNUMBER(MATCH(AY26,L_Placeholder,0))),BJ26=1,BQ26=0)),"INVALID – batch ID missing, placeholder or not an ID (e.g. PASB-261008-BC-017)",IF(AND(AR26=1,OR(NOT(ISNUMBER(X26)),NOT(ISNUMBER(Y26)))),"INVALID – expected/actual qty missing",IF(AND(AR26=1,OR(X26&lt;=0,Y26&lt;0)),"INVALID – expected qty must be above 0 and actual not negative",IF(AH20="N/A – JUSTIFIED","INVALID – preparation row F01-T12-06 is N/A",IF(AND(AR26=1,ISNUMBER(X20),X26&lt;&gt;X20,TRIM(U26)&lt;&gt;"Pass after CA"),"INVALID – expected qty differs from preparation check F01-T12-06: record the load change as a corrective action (Pass after CA)",IF(BB26&lt;&gt;"",BB26,IF(AND(AS26=1,Documents!$J$5&lt;&gt;"ON FILE"),"INVALID – GLD not on file (Documents sheet)",IF(AND(AS26=2,Documents!$O$5&lt;&gt;"ON FILE"),"INVALID – menu checklist not on file (Documents sheet)",IF(AND(AS26=3,NOT(ISNUMBER(Flights!$AX$5))),"INVALID – enter carrying flight KUL departure (Flights AX)",IF(AND(AS26=3,OR(Flights!$AZ$5&gt;Flights!$AA$5,Flights!$AX$5&lt;Flights!$AA$5-3)),"INVALID – carrying flight (Flights AX) cannot arrive before this leg's STD, or is over 3 days early",IF(AG26&gt;AsOfUTC,"INVALID – completion time is in the future",IF(AND(ISNUMBER(BY26),AG26&lt;BY26),IF(H26="Physical uplift","INVALID – before uplift window (cannot confirm loading)","INVALID – before valid window"),IF(AG26&gt;Flights!$AA$5,"INVALID – completed after departure (cannot establish readiness)",IF(AND(H26="Preparation",AG26&gt;=IF(ISNUMBER(Flights!$BA$5),MIN(Flights!$BA$5,Flights!$AA$5),Flights!$AA$5)),"INVALID – completed after loading / departure (cannot establish readiness)",IF(AND(H26="Physical uplift",AG26&gt;Q26),"INVALID – recorded after the loading flight departed",IF(AG26&gt;Q26,"COMPLETE – LATE","COMPLETE"))))))))))))))))))))))))))),IF(TRIM(U26)="Fail","FAIL – DISCREPANCY",IF(AND(TRIM(U26)&lt;&gt;"",TRIM(U26)&lt;&gt;"Not started",TRIM(U26)&lt;&gt;"In progress"),"INVALID – unrecognised status (use the list)",IF(AsOfUTC&gt;Q26,"OVERDUE",IF(N26="Clarification required","OPEN – CLARIFICATION","OPEN"))))))),"INVALID – error value in an input cell")</f>
        <v>OPEN</v>
      </c>
      <c r="AI26" s="61" t="n">
        <f aca="false">IF(OR(AH26="N/A – RULE",AH26="N/A – JUSTIFIED"),0,1)</f>
        <v>1</v>
      </c>
      <c r="AJ26" s="61" t="n">
        <f aca="false">IF(LEFT(AH26,8)="COMPLETE",1,0)</f>
        <v>0</v>
      </c>
      <c r="AK26" s="61" t="n">
        <f aca="false">IF(AND(AI26=1,AJ26=0,AsOfUTC&gt;Q26),1,0)</f>
        <v>0</v>
      </c>
      <c r="AL26" s="61" t="n">
        <f aca="false">IFERROR(IF(AND(AI26=1,OR(TRIM(U26)="Fail",AND(TRIM(AB26)&lt;&gt;"",TRIM(AB26)&lt;&gt;"Closed"),AND(ISNUMBER(AF26),AF26&lt;&gt;0,TRIM(U26)&lt;&gt;"Pass after CA"))),1,0),1)</f>
        <v>0</v>
      </c>
      <c r="AM26" s="61" t="n">
        <f aca="false">IF(LEFT(AH26,7)="INVALID",1,0)</f>
        <v>0</v>
      </c>
      <c r="AN26" s="61" t="n">
        <f aca="false">IF(AND(N26="Clarification required",AI26=1,AJ26=0),1,0)</f>
        <v>0</v>
      </c>
      <c r="AO26" s="61" t="str">
        <f aca="false">IF(AK26=1,SUM(AK$5:AK26),"")</f>
        <v/>
      </c>
      <c r="AP26" s="61" t="str">
        <f aca="false">IF(AL26=1,SUM(AL$5:AL26),"")</f>
        <v/>
      </c>
      <c r="AQ26" s="61" t="n">
        <v>0</v>
      </c>
      <c r="AR26" s="61" t="n">
        <v>1</v>
      </c>
      <c r="AS26" s="61" t="n">
        <v>0</v>
      </c>
      <c r="AT26" s="61" t="n">
        <v>0</v>
      </c>
      <c r="AU26" s="61" t="str">
        <f aca="false">SUBSTITUTE(SUBSTITUTE(SUBSTITUTE(SUBSTITUTE(SUBSTITUTE(SUBSTITUTE(SUBSTITUTE(SUBSTITUTE(SUBSTITUTE(SUBSTITUTE(SUBSTITUTE(SUBSTITUTE(SUBSTITUTE(SUBSTITUTE(SUBSTITUTE(SUBSTITUTE(LOWER(T26&amp;""),CHAR(10),""),CHAR(13),""),CHAR(9),""),CHAR(160),"")," ",""),".",""),"-",""),"/",""),"?",""),"_",""),",",""),"[",""),"]",""),"(",""),")",""),"*","")</f>
        <v/>
      </c>
      <c r="AV26" s="61" t="str">
        <f aca="false">SUBSTITUTE(SUBSTITUTE(SUBSTITUTE(SUBSTITUTE(SUBSTITUTE(SUBSTITUTE(SUBSTITUTE(SUBSTITUTE(SUBSTITUTE(SUBSTITUTE(SUBSTITUTE(SUBSTITUTE(SUBSTITUTE(SUBSTITUTE(SUBSTITUTE(SUBSTITUTE(LOWER(V26&amp;""),CHAR(10),""),CHAR(13),""),CHAR(9),""),CHAR(160),"")," ",""),".",""),"-",""),"/",""),"?",""),"_",""),",",""),"[",""),"]",""),"(",""),")",""),"*","")</f>
        <v/>
      </c>
      <c r="AW26" s="61" t="str">
        <f aca="false">SUBSTITUTE(SUBSTITUTE(SUBSTITUTE(SUBSTITUTE(SUBSTITUTE(SUBSTITUTE(SUBSTITUTE(SUBSTITUTE(SUBSTITUTE(SUBSTITUTE(SUBSTITUTE(SUBSTITUTE(SUBSTITUTE(SUBSTITUTE(SUBSTITUTE(SUBSTITUTE(LOWER(Z26&amp;""),CHAR(10),""),CHAR(13),""),CHAR(9),""),CHAR(160),"")," ",""),".",""),"-",""),"/",""),"?",""),"_",""),",",""),"[",""),"]",""),"(",""),")",""),"*","")</f>
        <v/>
      </c>
      <c r="AX26" s="61" t="str">
        <f aca="false">SUBSTITUTE(SUBSTITUTE(SUBSTITUTE(SUBSTITUTE(SUBSTITUTE(SUBSTITUTE(SUBSTITUTE(SUBSTITUTE(SUBSTITUTE(SUBSTITUTE(SUBSTITUTE(SUBSTITUTE(SUBSTITUTE(SUBSTITUTE(SUBSTITUTE(SUBSTITUTE(LOWER(AE26&amp;""),CHAR(10),""),CHAR(13),""),CHAR(9),""),CHAR(160),"")," ",""),".",""),"-",""),"/",""),"?",""),"_",""),",",""),"[",""),"]",""),"(",""),")",""),"*","")</f>
        <v/>
      </c>
      <c r="AY26" s="61" t="str">
        <f aca="false">SUBSTITUTE(SUBSTITUTE(SUBSTITUTE(SUBSTITUTE(SUBSTITUTE(SUBSTITUTE(SUBSTITUTE(SUBSTITUTE(SUBSTITUTE(SUBSTITUTE(SUBSTITUTE(SUBSTITUTE(SUBSTITUTE(SUBSTITUTE(SUBSTITUTE(SUBSTITUTE(LOWER(W26&amp;""),CHAR(10),""),CHAR(13),""),CHAR(9),""),CHAR(160),"")," ",""),".",""),"-",""),"/",""),"?",""),"_",""),",",""),"[",""),"]",""),"(",""),")",""),"*","")</f>
        <v/>
      </c>
      <c r="AZ26" s="61" t="str">
        <f aca="false">SUBSTITUTE(SUBSTITUTE(SUBSTITUTE(SUBSTITUTE(SUBSTITUTE(SUBSTITUTE(SUBSTITUTE(SUBSTITUTE(SUBSTITUTE(SUBSTITUTE(SUBSTITUTE(SUBSTITUTE(SUBSTITUTE(SUBSTITUTE(SUBSTITUTE(SUBSTITUTE(LOWER(AC26&amp;""),CHAR(10),""),CHAR(13),""),CHAR(9),""),CHAR(160),"")," ",""),".",""),"-",""),"/",""),"?",""),"_",""),",",""),"[",""),"]",""),"(",""),")",""),"*","")</f>
        <v/>
      </c>
      <c r="BA26" s="61" t="str">
        <f aca="false">SUBSTITUTE(SUBSTITUTE(SUBSTITUTE(SUBSTITUTE(SUBSTITUTE(SUBSTITUTE(SUBSTITUTE(SUBSTITUTE(SUBSTITUTE(SUBSTITUTE(SUBSTITUTE(SUBSTITUTE(SUBSTITUTE(SUBSTITUTE(SUBSTITUTE(SUBSTITUTE(LOWER(AA26&amp;""),CHAR(10),""),CHAR(13),""),CHAR(9),""),CHAR(160),"")," ",""),".",""),"-",""),"/",""),"?",""),"_",""),",",""),"[",""),"]",""),"(",""),")",""),"*","")</f>
        <v/>
      </c>
      <c r="BB26" s="61" t="str">
        <f aca="false">IF(AND(TRIM(U26)="Pass",ISNUMBER(AF26)),IF(AF26&lt;&gt;0,"INVALID – qty variance: use Fail or Pass after CA",""),"")&amp;IF(AND(TRIM(U26)="Pass after CA",ISNUMBER(AF26)),IF(AF26&lt;&gt;0,"INVALID – after the corrective action the actual qty must equal expected (update Actual)",""),"")&amp;IF(AND(TRIM(U26)="Pass",TRIM(AB26)&lt;&gt;"",TRIM(AB26)&lt;&gt;"Closed"),"INVALID – corrective action not closed: use Fail, then Pass after CA","")&amp;IF(AND(LEN(BA26)&gt;=2,ISNA(MATCH(LEFT(BA26,255),L_Placeholder,0)),TRIM(AB26)=""),"INVALID – CA status missing for the recorded corrective action","")&amp;IF(AND(TRIM(U26)="Pass after CA",OR(OR(LEN(BA26)&lt;5,ISNUMBER(MATCH(BA26,L_Placeholder,0))),TRIM(AB26)&lt;&gt;"Closed")),"INVALID – corrective action not recorded/closed","")</f>
        <v/>
      </c>
      <c r="BC26" s="61" t="str">
        <f aca="false">" "&amp;TRIM(SUBSTITUTE(SUBSTITUTE(SUBSTITUTE(SUBSTITUTE(SUBSTITUTE(SUBSTITUTE(SUBSTITUTE(SUBSTITUTE(SUBSTITUTE(SUBSTITUTE(SUBSTITUTE(SUBSTITUTE(SUBSTITUTE(SUBSTITUTE(SUBSTITUTE(SUBSTITUTE(SUBSTITUTE(SUBSTITUTE(SUBSTITUTE(SUBSTITUTE(SUBSTITUTE(SUBSTITUTE(SUBSTITUTE(SUBSTITUTE(LOWER(V26&amp;""),CHAR(10)," "),CHAR(13)," "),CHAR(9)," "),CHAR(160)," "),"."," "),","," "),"-"," "),"/"," "),"("," "),")"," "),":"," "),";"," "),"_"," "),"–"," "),"?"," "),"!"," "),"*"," "),"["," "),"]"," "),"'"," "),"#"," "),"+"," "),"&amp;"," "),"\"," "))&amp;" "</f>
        <v>  </v>
      </c>
      <c r="BD26" s="61" t="str">
        <f aca="false">" "&amp;TRIM(SUBSTITUTE(SUBSTITUTE(SUBSTITUTE(SUBSTITUTE(SUBSTITUTE(SUBSTITUTE(SUBSTITUTE(SUBSTITUTE(SUBSTITUTE(SUBSTITUTE(SUBSTITUTE(SUBSTITUTE(SUBSTITUTE(SUBSTITUTE(SUBSTITUTE(SUBSTITUTE(SUBSTITUTE(SUBSTITUTE(SUBSTITUTE(SUBSTITUTE(SUBSTITUTE(SUBSTITUTE(SUBSTITUTE(SUBSTITUTE(LOWER(Z26&amp;""),CHAR(10)," "),CHAR(13)," "),CHAR(9)," "),CHAR(160)," "),"."," "),","," "),"-"," "),"/"," "),"("," "),")"," "),":"," "),";"," "),"_"," "),"–"," "),"?"," "),"!"," "),"*"," "),"["," "),"]"," "),"'"," "),"#"," "),"+"," "),"&amp;"," "),"\"," "))&amp;" "</f>
        <v>  </v>
      </c>
      <c r="BE26" s="61" t="str">
        <f aca="false">" "&amp;TRIM(SUBSTITUTE(SUBSTITUTE(SUBSTITUTE(SUBSTITUTE(SUBSTITUTE(SUBSTITUTE(SUBSTITUTE(SUBSTITUTE(SUBSTITUTE(SUBSTITUTE(SUBSTITUTE(SUBSTITUTE(SUBSTITUTE(SUBSTITUTE(SUBSTITUTE(SUBSTITUTE(SUBSTITUTE(SUBSTITUTE(SUBSTITUTE(SUBSTITUTE(SUBSTITUTE(SUBSTITUTE(SUBSTITUTE(SUBSTITUTE(LOWER(W26&amp;""),CHAR(10)," "),CHAR(13)," "),CHAR(9)," "),CHAR(160)," "),"."," "),","," "),"-"," "),"/"," "),"("," "),")"," "),":"," "),";"," "),"_"," "),"–"," "),"?"," "),"!"," "),"*"," "),"["," "),"]"," "),"'"," "),"#"," "),"+"," "),"&amp;"," "),"\"," "))&amp;" "</f>
        <v>  </v>
      </c>
      <c r="BF26" s="61" t="str">
        <f aca="false">" "&amp;TRIM(SUBSTITUTE(SUBSTITUTE(SUBSTITUTE(SUBSTITUTE(SUBSTITUTE(SUBSTITUTE(SUBSTITUTE(SUBSTITUTE(SUBSTITUTE(SUBSTITUTE(SUBSTITUTE(SUBSTITUTE(SUBSTITUTE(SUBSTITUTE(SUBSTITUTE(SUBSTITUTE(SUBSTITUTE(SUBSTITUTE(SUBSTITUTE(SUBSTITUTE(SUBSTITUTE(SUBSTITUTE(SUBSTITUTE(SUBSTITUTE(LOWER(AC26&amp;""),CHAR(10)," "),CHAR(13)," "),CHAR(9)," "),CHAR(160)," "),"."," "),","," "),"-"," "),"/"," "),"("," "),")"," "),":"," "),";"," "),"_"," "),"–"," "),"?"," "),"!"," "),"*"," "),"["," "),"]"," "),"'"," "),"#"," "),"+"," "),"&amp;"," "),"\"," "))&amp;" "</f>
        <v>  </v>
      </c>
      <c r="BG26" s="61" t="n">
        <f aca="false">IFERROR(IF(AND(TRIM(U26)="Pass",SUMPRODUCT((LEN(BC26)-LEN(SUBSTITUTE(BC26," "&amp;L_ResultBad&amp;" "," ")))/(LEN(L_ResultBad)+1))&gt;SUMPRODUCT((LEN(BC26)-LEN(SUBSTITUTE(BC26," "&amp;L_NegPhrase&amp;" "," ")))/(LEN(L_NegPhrase)+1))),1,0),0)</f>
        <v>0</v>
      </c>
      <c r="BH26" s="61" t="n">
        <f aca="false">IFERROR(IF(SUMPRODUCT((LEN(BC26)-LEN(SUBSTITUTE(BC26," "&amp;L_Pending&amp;" "," ")))/(LEN(L_Pending)+1))&gt;SUMPRODUCT((LEN(BC26)-LEN(SUBSTITUTE(BC26," "&amp;L_PendNeg&amp;" "," ")))/(LEN(L_PendNeg)+1)),1,0),1)</f>
        <v>0</v>
      </c>
      <c r="BI26" s="61" t="n">
        <f aca="false">IFERROR(IF(SUMPRODUCT((LEN(BD26)-LEN(SUBSTITUTE(BD26," "&amp;L_PendStrict&amp;" "," ")))/(LEN(L_PendStrict)+1))&gt;SUMPRODUCT((LEN(BD26)-LEN(SUBSTITUTE(BD26," "&amp;L_PendNeg&amp;" "," ")))/(LEN(L_PendNeg)+1)),1,0),1)</f>
        <v>0</v>
      </c>
      <c r="BJ26" s="61" t="n">
        <f aca="false">IFERROR(IF(SUMPRODUCT((LEN(BE26)-LEN(SUBSTITUTE(BE26," "&amp;L_Pending&amp;" "," ")))/(LEN(L_Pending)+1))&gt;SUMPRODUCT((LEN(BE26)-LEN(SUBSTITUTE(BE26," "&amp;L_PendNeg&amp;" "," ")))/(LEN(L_PendNeg)+1)),1,0),1)</f>
        <v>0</v>
      </c>
      <c r="BK26" s="61" t="n">
        <f aca="false">IFERROR(IF(SUMPRODUCT((LEN(BF26)-LEN(SUBSTITUTE(BF26," "&amp;L_PendStrict&amp;" "," ")))/(LEN(L_PendStrict)+1))&gt;SUMPRODUCT((LEN(BF26)-LEN(SUBSTITUTE(BF26," "&amp;L_PendNeg&amp;" "," ")))/(LEN(L_PendNeg)+1)),1,0),1)</f>
        <v>0</v>
      </c>
      <c r="BL26" s="61" t="n">
        <f aca="false">IF(ISNA(MATCH(TRIM(S26),L_EvidenceType,0)),0,BZ26)</f>
        <v>0</v>
      </c>
      <c r="BM26" s="61" t="str">
        <f aca="false">SUBSTITUTE(SUBSTITUTE(SUBSTITUTE(SUBSTITUTE(SUBSTITUTE(SUBSTITUTE(SUBSTITUTE(SUBSTITUTE(SUBSTITUTE(LOWER(Z26&amp;""),"1","0"),"2","0"),"3","0"),"4","0"),"5","0"),"6","0"),"7","0"),"8","0"),"9","0")</f>
        <v/>
      </c>
      <c r="BN26" s="61" t="str">
        <f aca="false">SUBSTITUTE(SUBSTITUTE(SUBSTITUTE(SUBSTITUTE(SUBSTITUTE(SUBSTITUTE(SUBSTITUTE(SUBSTITUTE(SUBSTITUTE(SUBSTITUTE(SUBSTITUTE(SUBSTITUTE(SUBSTITUTE(SUBSTITUTE(SUBSTITUTE(SUBSTITUTE(SUBSTITUTE(SUBSTITUTE(SUBSTITUTE(SUBSTITUTE(SUBSTITUTE(SUBSTITUTE(SUBSTITUTE(SUBSTITUTE(SUBSTITUTE(BM26,"b","a"),"c","a"),"d","a"),"e","a"),"f","a"),"g","a"),"h","a"),"i","a"),"j","a"),"k","a"),"l","a"),"m","a"),"n","a"),"o","a"),"p","a"),"q","a"),"r","a"),"s","a"),"t","a"),"u","a"),"v","a"),"w","a"),"x","a"),"y","a"),"z","a")</f>
        <v/>
      </c>
      <c r="BO26" s="61" t="str">
        <f aca="false">SUBSTITUTE(SUBSTITUTE(SUBSTITUTE(SUBSTITUTE(SUBSTITUTE(SUBSTITUTE(SUBSTITUTE(SUBSTITUTE(SUBSTITUTE(LOWER(W26&amp;""),"1","0"),"2","0"),"3","0"),"4","0"),"5","0"),"6","0"),"7","0"),"8","0"),"9","0")</f>
        <v/>
      </c>
      <c r="BP26" s="61" t="str">
        <f aca="false">SUBSTITUTE(SUBSTITUTE(SUBSTITUTE(SUBSTITUTE(SUBSTITUTE(SUBSTITUTE(SUBSTITUTE(SUBSTITUTE(SUBSTITUTE(SUBSTITUTE(SUBSTITUTE(SUBSTITUTE(SUBSTITUTE(SUBSTITUTE(SUBSTITUTE(SUBSTITUTE(SUBSTITUTE(SUBSTITUTE(SUBSTITUTE(SUBSTITUTE(SUBSTITUTE(SUBSTITUTE(SUBSTITUTE(SUBSTITUTE(SUBSTITUTE(BO26,"b","a"),"c","a"),"d","a"),"e","a"),"f","a"),"g","a"),"h","a"),"i","a"),"j","a"),"k","a"),"l","a"),"m","a"),"n","a"),"o","a"),"p","a"),"q","a"),"r","a"),"s","a"),"t","a"),"u","a"),"v","a"),"w","a"),"x","a"),"y","a"),"z","a")</f>
        <v/>
      </c>
      <c r="BQ26" s="61" t="n">
        <f aca="false">IFERROR(IF(AND(ISERROR(SEARCH(" mh"," "&amp;LOWER(W26))),ISNA(MATCH(LEFT(TRIM(BP26),255),{"0000a","000a","00a","0000aa","000aa","00aa","0aa","0000aaa","000aaa","00a00","0a00","0000-0000","00:00","a00","a0","00.00.0000","00/00/0000","00-00-0000","0000-00-00","0000/00/00","0000.00.00","00.00.00","00/00/00","00-00-00","0.00.0000","0/00/0000","0-00-0000"},0)),ISNA(MATCH(LEFT(TRIM(CA26),255),{"0000a","000a","00a","0000aa","000aa","00aa","0aa","0000aaa","000aaa","00a00","0a00","0000-0000","00:00","a00","a0","00.00.0000","00/00/0000","00-00-0000","0000-00-00","0000/00/00","0000.00.00","00.00.00","00/00/00","00-00-00","0.00.0000","0/00/0000","0-00-0000"},0)),LEN(CB26)&gt;=3,NOT(OR(SUBSTITUTE(CB26,"0","")="",AND(LEN(CB26)&gt;=4,CB26=REPT(LEFT(CB26),LEN(CB26))),ISNUMBER(MATCH(CB26,{"123","1234","12345","123456","1234567","12345678","0123","01234","012345","98765","987654","54321"},0)),AND(LEN(CB26)=8,LEFT(CB26,3)="202"))),OR(AND((LEN(CA26)-LEN(SUBSTITUTE(CA26,"a","")))&gt;=1,SUMPRODUCT(--ISNUMBER(SEARCH({"a0","a-0","a_0","a/0","a.0","a#0","0a","0-a","0_a","0/a"},BP26)))&gt;0),ISNUMBER(SEARCH("000000",BP26)))),1,0),0)</f>
        <v>0</v>
      </c>
      <c r="BR26" s="61" t="n">
        <f aca="false">IFERROR(LEN(SUBSTITUTE(CC26," ",""))-SUMPRODUCT((LEN(CC26)-LEN(SUBSTITUTE(CC26," "&amp;L_Role&amp;" "," ")))/(LEN(L_Role)+1)*LEN(L_Role)),0)</f>
        <v>0</v>
      </c>
      <c r="BS26" s="61" t="n">
        <f aca="false">IFERROR(LEN(SUBSTITUTE(CD26," ",""))-SUMPRODUCT((LEN(CD26)-LEN(SUBSTITUTE(CD26," "&amp;L_Role&amp;" "," ")))/(LEN(L_Role)+1)*LEN(L_Role)),0)</f>
        <v>0</v>
      </c>
      <c r="BT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revision",""),"version",""),"jan",""),"feb",""),"mar",""),"apr",""),"may",""),"jun",""),"jul",""),"aug",""),"sep",""),"oct",""),"nov",""),"dec",""),"utc",""),"gmt",""),"myt",""),"bst",""),"rev",""),"ver",""),"b","a"),"c","a"),"d","a"),"e","a"),"f","a"),"g","a"),"h","a"),"i","a"),"j","a"),"k","a"),"l","a"),"m","a"),"n","a"),"o","a"),"p","a"),"q","a"),"r","a"),"s","a"),"t","a"),"u","a"),"v","a"),"w","a"),"x","a"),"y","a"),"z","a")</f>
        <v/>
      </c>
      <c r="BU26" s="61" t="str">
        <f aca="false">SUBSTITUTE(SUBSTITUTE(SUBSTITUTE(SUBSTITUTE(SUBSTITUTE(SUBSTITUTE(SUBSTITUTE(SUBSTITUTE(SUBSTITUTE(SUBSTITUTE(LEFT(BM26,FIND("0",BM26&amp;"0")-1),"-",""),"_",""),"/",""),".",""),"#",""),"\\",""),":","")," ",""),"(",""),")","")</f>
        <v/>
      </c>
      <c r="BV26" s="61" t="n">
        <f aca="false">IFERROR(IF(OR(SUMPRODUCT((LEN(BC26)-LEN(SUBSTITUTE(BC26," "&amp;L_NotLoaded&amp;" "," ")))/(LEN(L_NotLoaded)+1))&gt;SUMPRODUCT((LEN(BC26)-LEN(SUBSTITUTE(BC26," "&amp;L_NotLoadedNeg&amp;" "," ")))/(LEN(L_NotLoadedNeg)+1)),SUMPRODUCT((LEN(BD26)-LEN(SUBSTITUTE(BD26," "&amp;L_NotLoaded&amp;" "," ")))/(LEN(L_NotLoaded)+1))&gt;SUMPRODUCT((LEN(BD26)-LEN(SUBSTITUTE(BD26," "&amp;L_NotLoadedNeg&amp;" "," ")))/(LEN(L_NotLoadedNeg)+1))),1,0),0)</f>
        <v>0</v>
      </c>
      <c r="BW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amp;""),"a",""),"b",""),"c",""),"d",""),"e",""),"f",""),"g",""),"h",""),"i",""),"j",""),"k",""),"l",""),"m",""),"n",""),"o",""),"p",""),"q",""),"r",""),"s",""),"t",""),"u",""),"v",""),"w",""),"x",""),"y",""),"z",""),"-",""),"_",""),"/",""),".",""),"#",""),"\\",""),":","")," ",""),"(",""),")","")</f>
        <v/>
      </c>
      <c r="BX26" s="61" t="str">
        <f aca="false">SUBSTITUTE(SUBSTITUTE(SUBSTITUTE(SUBSTITUTE(SUBSTITUTE(SUBSTITUTE(SUBSTITUTE(SUBSTITUTE(SUBSTITUTE(SUBSTITUTE(SUBSTITUTE(BM26,"0",""),"-",""),"_",""),"/",""),".",""),"#",""),"\\",""),":","")," ",""),"(",""),")","")</f>
        <v/>
      </c>
      <c r="BY26" s="62" t="n">
        <f aca="false">IF(ISNUMBER(Flights!$AZ$5),MAX(Q26-UpliftWindowH/24,Flights!$AZ$5),Q26-UpliftWindowH/24)</f>
        <v>46303.6076388889</v>
      </c>
      <c r="BZ26" s="61" t="n">
        <f aca="false">IFERROR(IF(IF(TRIM(S26)="Link / file path",AND(LEN(TRIM(Z26))&gt;=5,SUMPRODUCT(--ISNUMBER(SEARCH({"http","www.","\\",":\",".pdf",".jpg",".jpeg",".png",".heic",".xls",".doc",".msg",".eml",".ppt",".txt",".zip"},Z26)))&gt;0),AND(ISERROR(FIND(" ",TRIM(Z26))),NOT(OR(SUMPRODUCT(--ISNUMBER(FIND({",",";","&amp;","+"},Z26)))&gt;0,SUMPRODUCT(--ISNUMBER(SEARCH({"0/aa","0\\aa"},BN26)))&gt;0)),NOT(SUMPRODUCT(--ISNUMBER(SEARCH({"http","www.","\\",":\",".pdf",".jpg",".jpeg",".png",".heic",".xls",".doc",".msg",".eml",".ppt",".txt",".zip"},Z26)))&gt;0),NOT(LOWER(TRIM(Z26))=LOWER(Flights!$F$5)),ISNA(MATCH(BU26,{"mh","rev","revision","ver","version","v","r","a","b","seat","tray","row","gate","bay","stand","page","pg","item","line","no","cart","galley","flight","flt","table","box","bag","oven","etd","eta","std","sta","atd","ata","qty","pax","x","time","tel","ph","mob","day","wk","week","utc","gmt","myt","lt"},0)),NOT(OR(ISNUMBER(MATCH(LEFT(BN26,255),{"0000a","000a","00a","0000aa","000aa","00aa","0aa","0000aaa","000aaa","00a00","0a00","0000-0000","00:00","a00","a0","00.00.0000","00/00/0000","00-00-0000","0000-00-00","0000/00/00","0000.00.00","00.00.00","00/00/00","00-00-00","0.00.0000","0/00/0000","0-00-0000"},0)),ISNUMBER(MATCH(LEFT(BT26,255),{"0000a","000a","00a","0000aa","000aa","00aa","0aa","0000aaa","000aaa","00a00","0a00","0000-0000","00:00","a00","a0","00.00.0000","00/00/0000","00-00-0000","0000-00-00","0000/00/00","0000.00.00","00.00.00","00/00/00","00-00-00","0.00.0000","0/00/0000","0-00-0000"},0)))),NOT(OR(AND(BW26&lt;&gt;"",SUBSTITUTE(BW26,"0","")=""),AND(LEN(BW26)&gt;=4,BW26=REPT(LEFT(BW26),LEN(BW26))),ISNUMBER(MATCH(BW26,{"123","1234","12345","123456","1234567","12345678","0123","01234","012345","98765","987654","54321"},0)),ISNUMBER(MATCH(BX26,{"x","xx","xxx","xxxx","xxxxx","abc","abcd","nil","na","nan","test","tbc","tba","tbd","dummy","sample","example","eg","zz","zzz","none","null","xyz","qwe","asd","id","ref"},0)),AND(LEN(BW26)=8,BX26="",OR(LEFT(BW26,3)="202",ISNUMBER(MATCH(RIGHT(BW26,4),{"2025","2026","2027"},0)))))),OR(AND((LEN(BT26)-LEN(SUBSTITUTE(BT26,"a","")))&gt;=1,(LEN(BN26)-LEN(SUBSTITUTE(BN26,"0","")))&gt;=2,SUMPRODUCT(--ISNUMBER(SEARCH({"a0","a-0","a_0","a/0","a.0","a#0","0a","0-a","0_a","0/a"},BN26)))&gt;0),AND((LEN(BN26)-LEN(SUBSTITUTE(BN26,"a","")))=0,(LEN(BN26)-LEN(SUBSTITUTE(BN26,"0","")))&gt;=5)))),1,0),0)</f>
        <v>0</v>
      </c>
      <c r="CA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revision",""),"version",""),"jan",""),"feb",""),"mar",""),"apr",""),"may",""),"jun",""),"jul",""),"aug",""),"sep",""),"oct",""),"nov",""),"dec",""),"utc",""),"gmt",""),"myt",""),"bst",""),"rev",""),"ver",""),"b","a"),"c","a"),"d","a"),"e","a"),"f","a"),"g","a"),"h","a"),"i","a"),"j","a"),"k","a"),"l","a"),"m","a"),"n","a"),"o","a"),"p","a"),"q","a"),"r","a"),"s","a"),"t","a"),"u","a"),"v","a"),"w","a"),"x","a"),"y","a"),"z","a")</f>
        <v/>
      </c>
      <c r="CB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amp;""),"a",""),"b",""),"c",""),"d",""),"e",""),"f",""),"g",""),"h",""),"i",""),"j",""),"k",""),"l",""),"m",""),"n",""),"o",""),"p",""),"q",""),"r",""),"s",""),"t",""),"u",""),"v",""),"w",""),"x",""),"y",""),"z",""),"-",""),"_",""),"/",""),".",""),"#",""),"\\",""),":","")," ",""),"(",""),")","")</f>
        <v/>
      </c>
      <c r="CC26" s="0" t="str">
        <f aca="false">" "&amp;TRIM(SUBSTITUTE(SUBSTITUTE(SUBSTITUTE(SUBSTITUTE(SUBSTITUTE(SUBSTITUTE(SUBSTITUTE(SUBSTITUTE(SUBSTITUTE(SUBSTITUTE(SUBSTITUTE(SUBSTITUTE(SUBSTITUTE(SUBSTITUTE(SUBSTITUTE(SUBSTITUTE(SUBSTITUTE(SUBSTITUTE(SUBSTITUTE(SUBSTITUTE(SUBSTITUTE(SUBSTITUTE(SUBSTITUTE(SUBSTITUTE(LOWER(T26&amp;""),CHAR(10)," "),CHAR(13)," "),CHAR(9)," "),CHAR(160)," "),"."," "),","," "),"-"," "),"/"," "),"("," "),")"," "),":"," "),";"," "),"_"," "),"–"," "),"?"," "),"!"," "),"*"," "),"["," "),"]"," "),"'"," "),"#"," "),"+"," "),"&amp;"," "),"\"," "))&amp;" "</f>
        <v>  </v>
      </c>
      <c r="CD26" s="0" t="str">
        <f aca="false">" "&amp;TRIM(SUBSTITUTE(SUBSTITUTE(SUBSTITUTE(SUBSTITUTE(SUBSTITUTE(SUBSTITUTE(SUBSTITUTE(SUBSTITUTE(SUBSTITUTE(SUBSTITUTE(SUBSTITUTE(SUBSTITUTE(SUBSTITUTE(SUBSTITUTE(SUBSTITUTE(SUBSTITUTE(SUBSTITUTE(SUBSTITUTE(SUBSTITUTE(SUBSTITUTE(SUBSTITUTE(SUBSTITUTE(SUBSTITUTE(SUBSTITUTE(LOWER(AE26&amp;""),CHAR(10)," "),CHAR(13)," "),CHAR(9)," "),CHAR(160)," "),"."," "),","," "),"-"," "),"/"," "),"("," "),")"," "),":"," "),";"," "),"_"," "),"–"," "),"?"," "),"!"," "),"*"," "),"["," "),"]"," "),"'"," "),"#"," "),"+"," "),"&amp;"," "),"\"," "))&amp;" "</f>
        <v>  </v>
      </c>
      <c r="CE26" s="68" t="n">
        <f aca="false">IFERROR(IF(AND(LEN(AU26)&gt;0,LEN(AU26)=LEN(AX26),OR(TRIM(MID(SUBSTITUTE(TRIM(CC26)," ",REPT(" ",60)),1,60))="",ISNUMBER(SEARCH(" "&amp;TRIM(MID(SUBSTITUTE(TRIM(CC26)," ",REPT(" ",60)),1,60))&amp;" ",CD26))),OR(TRIM(MID(SUBSTITUTE(TRIM(CC26)," ",REPT(" ",60)),61,60))="",ISNUMBER(SEARCH(" "&amp;TRIM(MID(SUBSTITUTE(TRIM(CC26)," ",REPT(" ",60)),61,60))&amp;" ",CD26))),OR(TRIM(MID(SUBSTITUTE(TRIM(CC26)," ",REPT(" ",60)),121,60))="",ISNUMBER(SEARCH(" "&amp;TRIM(MID(SUBSTITUTE(TRIM(CC26)," ",REPT(" ",60)),121,60))&amp;" ",CD26)))),1,0),0)</f>
        <v>0</v>
      </c>
      <c r="CG26" s="68" t="n">
        <f aca="false">IFERROR(LEN(SUBSTITUTE(BF26," ",""))-SUMPRODUCT((LEN(BF26)-LEN(SUBSTITUTE(BF26," "&amp;L_NAFiller&amp;" "," ")))/(LEN(L_NAFiller)+1)*LEN(L_NAFiller)),0)</f>
        <v>0</v>
      </c>
    </row>
    <row r="27" customFormat="false" ht="54" hidden="false" customHeight="true" outlineLevel="0" collapsed="false">
      <c r="A27" s="57" t="s">
        <v>466</v>
      </c>
      <c r="B27" s="57" t="s">
        <v>183</v>
      </c>
      <c r="C27" s="57" t="str">
        <f aca="false">Flights!$F$5</f>
        <v>MH0001</v>
      </c>
      <c r="D27" s="58" t="n">
        <f aca="false">Flights!$D$5</f>
        <v>46303</v>
      </c>
      <c r="E27" s="57" t="str">
        <f aca="false">Flights!$G$5&amp;"-"&amp;Flights!$H$5</f>
        <v>LHR-KUL</v>
      </c>
      <c r="F27" s="57" t="str">
        <f aca="false">Flights!$K$5</f>
        <v>EY</v>
      </c>
      <c r="G27" s="57" t="s">
        <v>459</v>
      </c>
      <c r="H27" s="57" t="s">
        <v>460</v>
      </c>
      <c r="I27" s="57" t="s">
        <v>440</v>
      </c>
      <c r="J27" s="57" t="s">
        <v>467</v>
      </c>
      <c r="K27" s="67" t="s">
        <v>442</v>
      </c>
      <c r="L27" s="67" t="s">
        <v>443</v>
      </c>
      <c r="M27" s="67" t="s">
        <v>186</v>
      </c>
      <c r="N27" s="67" t="s">
        <v>444</v>
      </c>
      <c r="O27" s="67" t="s">
        <v>445</v>
      </c>
      <c r="P27" s="57" t="s">
        <v>186</v>
      </c>
      <c r="Q27" s="59" t="n">
        <f aca="false">ROUND((Flights!$AF$5)*1440,0)/1440</f>
        <v>46303.8576388889</v>
      </c>
      <c r="R27" s="59" t="n">
        <f aca="false">Q27+(IF(AND(INDEX(TZ_DSTS,MATCH(P27,TZ_STN,0))&lt;&gt;"",Q27&gt;=INDEX(TZ_DSTS,MATCH(P27,TZ_STN,0)),Q27&lt;INDEX(TZ_DSTE,MATCH(P27,TZ_STN,0))),INDEX(TZ_DST,MATCH(P27,TZ_STN,0)),INDEX(TZ_STD,MATCH(P27,TZ_STN,0))))/24</f>
        <v>46303.8993055556</v>
      </c>
      <c r="S27" s="60"/>
      <c r="T27" s="60"/>
      <c r="U27" s="60"/>
      <c r="V27" s="60"/>
      <c r="W27" s="61"/>
      <c r="X27" s="60"/>
      <c r="Y27" s="60"/>
      <c r="Z27" s="60"/>
      <c r="AA27" s="60"/>
      <c r="AB27" s="60"/>
      <c r="AC27" s="60"/>
      <c r="AD27" s="66"/>
      <c r="AE27" s="60"/>
      <c r="AF27" s="61" t="str">
        <f aca="false">IF(AND(ISNUMBER(X27),ISNUMBER(Y27)),Y27-X27,"")</f>
        <v/>
      </c>
      <c r="AG27" s="62" t="str">
        <f aca="false">IF(ISNUMBER(AD27),AD27-(IF(AND(INDEX(TZ_DSTS,MATCH(P27,TZ_STN,0))&lt;&gt;"",(AD27-INDEX(TZ_STD,MATCH(P27,TZ_STN,0))/24)&gt;=INDEX(TZ_DSTS,MATCH(P27,TZ_STN,0)),(AD27-INDEX(TZ_STD,MATCH(P27,TZ_STN,0))/24)&lt;INDEX(TZ_DSTE,MATCH(P27,TZ_STN,0))),INDEX(TZ_DST,MATCH(P27,TZ_STN,0)),INDEX(TZ_STD,MATCH(P27,TZ_STN,0))))/24,"")</f>
        <v/>
      </c>
      <c r="AH27" s="65" t="str">
        <f aca="false">IFERROR(IF(N27="N/A – rule",IF(OR(TRIM(U27)="",TRIM(U27)="N/A",TRIM(U27)="Not started"),"N/A – RULE","INVALID – this check does not apply to this aircraft: clear the status (or correct the fleet on Flights)"),IF(TRIM(U27)="N/A",IF(AT27=0,"INVALID – N/A not permitted for this check",IF(AND(TRIM(AB27)&lt;&gt;"",TRIM(AB27)&lt;&gt;"Closed"),"INVALID – corrective action still open",IF(AND(NOT(OR(LEN(AZ27)&lt;15,ISNUMBER(MATCH(AZ27,L_Placeholder,0)))),BK27=0,CG27&gt;=8,NOT(OR(LEN(AU27)&lt;2,ISNUMBER(MATCH(AU27,L_Placeholder,0)))),BR27&gt;=3,NOT(OR(LEN(AX27)&lt;2,ISNUMBER(MATCH(AX27,L_Placeholder,0)))),BS27&gt;=3,TRIM(AE27)&lt;&gt;TRIM(T27),AX27&lt;&gt;AU27,CE27=0),"N/A – JUSTIFIED","INVALID – N/A needs a real, settled reason (not 'not applicable' / 'as above' / TBC), a named PIC and a different named verifier"))),IF(OR(TRIM(U27)="Pass",TRIM(U27)="Pass after CA"),IF(NOT(ISNUMBER(AD27)),"INVALID – completion time missing",IF(OR(OR(LEN(AU27)&lt;2,ISNUMBER(MATCH(AU27,L_Placeholder,0))),BR27&lt;3),"INVALID – PIC missing or not a named person (a role such as QA / CSM is not a name)",IF(OR(LEN(AV27)&lt;2,ISNUMBER(MATCH(AV27,L_Placeholder,0))),"INVALID – result / assessment missing",IF(OR(OR(LEN(AW27)&lt;3,ISNUMBER(MATCH(AW27,L_Placeholder,0))),SUMPRODUCT(--ISNUMBER(SEARCH(" "&amp;L_EvidencePhrase&amp;" ",BD27)))&gt;0,BI27=1),"INVALID – evidence missing, placeholder or not yet on file",IF(ISNA(MATCH(TRIM(S27),L_EvidenceType,0)),"INVALID – choose the evidence type from the list (column S)",IF(BL27=0,"INVALID – evidence ID must be the record's own ID only (e.g. SF-2210, IMG_2231, 1045521); a link / file name needs type 'Link / file path'",IF(OR(OR(LEN(AX27)&lt;2,ISNUMBER(MATCH(AX27,L_Placeholder,0))),BS27&lt;3),"INVALID – verifier missing or not a named person (a role such as QA / CSM is not a name)",IF(OR(AX27=AU27,CE27=1,AND(LEN(AU27)&gt;=4,ISNUMBER(SEARCH(AU27,AX27))),AND(LEN(AX27)&gt;=4,ISNUMBER(SEARCH(AX27,AU27)))),"INVALID – verifier must be a different, named person (not the PIC or a role)",IF(BH27=1,"INVALID – result not yet available (awaiting / TBC)",IF(BG27=1,"INVALID – result describes a problem: record Fail, then Pass after CA (or reword if it is not a problem)",IF(BV27=1,"INVALID – wording says not on board: an on-board confirmation needs the item loaded",IF(AND(AQ27=1,OR(OR(LEN(AY27)&lt;3,ISNUMBER(MATCH(AY27,L_Placeholder,0))),BJ27=1,BQ27=0)),"INVALID – batch ID missing, placeholder or not an ID (e.g. PASB-261008-BC-017)",IF(AND(AR27=1,OR(NOT(ISNUMBER(X27)),NOT(ISNUMBER(Y27)))),"INVALID – expected/actual qty missing",IF(AND(AR27=1,OR(X27&lt;=0,Y27&lt;0)),"INVALID – expected qty must be above 0 and actual not negative",IF(AH22="N/A – JUSTIFIED","INVALID – preparation row F01-T12-08 is N/A",IF(AND(AR27=1,ISNUMBER(X22),X27&lt;&gt;X22,TRIM(U27)&lt;&gt;"Pass after CA"),"INVALID – expected qty differs from preparation check F01-T12-08: record the load change as a corrective action (Pass after CA)",IF(BB27&lt;&gt;"",BB27,IF(AND(AS27=1,Documents!$J$5&lt;&gt;"ON FILE"),"INVALID – GLD not on file (Documents sheet)",IF(AND(AS27=2,Documents!$O$5&lt;&gt;"ON FILE"),"INVALID – menu checklist not on file (Documents sheet)",IF(AND(AS27=3,NOT(ISNUMBER(Flights!$AX$5))),"INVALID – enter carrying flight KUL departure (Flights AX)",IF(AND(AS27=3,OR(Flights!$AZ$5&gt;Flights!$AA$5,Flights!$AX$5&lt;Flights!$AA$5-3)),"INVALID – carrying flight (Flights AX) cannot arrive before this leg's STD, or is over 3 days early",IF(AG27&gt;AsOfUTC,"INVALID – completion time is in the future",IF(AND(ISNUMBER(BY27),AG27&lt;BY27),IF(H27="Physical uplift","INVALID – before uplift window (cannot confirm loading)","INVALID – before valid window"),IF(AG27&gt;Flights!$AA$5,"INVALID – completed after departure (cannot establish readiness)",IF(AND(H27="Preparation",AG27&gt;=IF(ISNUMBER(Flights!$BA$5),MIN(Flights!$BA$5,Flights!$AA$5),Flights!$AA$5)),"INVALID – completed after loading / departure (cannot establish readiness)",IF(AND(H27="Physical uplift",AG27&gt;Q27),"INVALID – recorded after the loading flight departed",IF(AG27&gt;Q27,"COMPLETE – LATE","COMPLETE"))))))))))))))))))))))))))),IF(TRIM(U27)="Fail","FAIL – DISCREPANCY",IF(AND(TRIM(U27)&lt;&gt;"",TRIM(U27)&lt;&gt;"Not started",TRIM(U27)&lt;&gt;"In progress"),"INVALID – unrecognised status (use the list)",IF(AsOfUTC&gt;Q27,"OVERDUE",IF(N27="Clarification required","OPEN – CLARIFICATION","OPEN"))))))),"INVALID – error value in an input cell")</f>
        <v>OPEN – CLARIFICATION</v>
      </c>
      <c r="AI27" s="61" t="n">
        <f aca="false">IF(OR(AH27="N/A – RULE",AH27="N/A – JUSTIFIED"),0,1)</f>
        <v>1</v>
      </c>
      <c r="AJ27" s="61" t="n">
        <f aca="false">IF(LEFT(AH27,8)="COMPLETE",1,0)</f>
        <v>0</v>
      </c>
      <c r="AK27" s="61" t="n">
        <f aca="false">IF(AND(AI27=1,AJ27=0,AsOfUTC&gt;Q27),1,0)</f>
        <v>0</v>
      </c>
      <c r="AL27" s="61" t="n">
        <f aca="false">IFERROR(IF(AND(AI27=1,OR(TRIM(U27)="Fail",AND(TRIM(AB27)&lt;&gt;"",TRIM(AB27)&lt;&gt;"Closed"),AND(ISNUMBER(AF27),AF27&lt;&gt;0,TRIM(U27)&lt;&gt;"Pass after CA"))),1,0),1)</f>
        <v>0</v>
      </c>
      <c r="AM27" s="61" t="n">
        <f aca="false">IF(LEFT(AH27,7)="INVALID",1,0)</f>
        <v>0</v>
      </c>
      <c r="AN27" s="61" t="n">
        <f aca="false">IF(AND(N27="Clarification required",AI27=1,AJ27=0),1,0)</f>
        <v>1</v>
      </c>
      <c r="AO27" s="61" t="str">
        <f aca="false">IF(AK27=1,SUM(AK$5:AK27),"")</f>
        <v/>
      </c>
      <c r="AP27" s="61" t="str">
        <f aca="false">IF(AL27=1,SUM(AL$5:AL27),"")</f>
        <v/>
      </c>
      <c r="AQ27" s="61" t="n">
        <v>0</v>
      </c>
      <c r="AR27" s="61" t="n">
        <v>0</v>
      </c>
      <c r="AS27" s="61" t="n">
        <v>0</v>
      </c>
      <c r="AT27" s="61" t="n">
        <v>1</v>
      </c>
      <c r="AU27" s="61" t="str">
        <f aca="false">SUBSTITUTE(SUBSTITUTE(SUBSTITUTE(SUBSTITUTE(SUBSTITUTE(SUBSTITUTE(SUBSTITUTE(SUBSTITUTE(SUBSTITUTE(SUBSTITUTE(SUBSTITUTE(SUBSTITUTE(SUBSTITUTE(SUBSTITUTE(SUBSTITUTE(SUBSTITUTE(LOWER(T27&amp;""),CHAR(10),""),CHAR(13),""),CHAR(9),""),CHAR(160),"")," ",""),".",""),"-",""),"/",""),"?",""),"_",""),",",""),"[",""),"]",""),"(",""),")",""),"*","")</f>
        <v/>
      </c>
      <c r="AV27" s="61" t="str">
        <f aca="false">SUBSTITUTE(SUBSTITUTE(SUBSTITUTE(SUBSTITUTE(SUBSTITUTE(SUBSTITUTE(SUBSTITUTE(SUBSTITUTE(SUBSTITUTE(SUBSTITUTE(SUBSTITUTE(SUBSTITUTE(SUBSTITUTE(SUBSTITUTE(SUBSTITUTE(SUBSTITUTE(LOWER(V27&amp;""),CHAR(10),""),CHAR(13),""),CHAR(9),""),CHAR(160),"")," ",""),".",""),"-",""),"/",""),"?",""),"_",""),",",""),"[",""),"]",""),"(",""),")",""),"*","")</f>
        <v/>
      </c>
      <c r="AW27" s="61" t="str">
        <f aca="false">SUBSTITUTE(SUBSTITUTE(SUBSTITUTE(SUBSTITUTE(SUBSTITUTE(SUBSTITUTE(SUBSTITUTE(SUBSTITUTE(SUBSTITUTE(SUBSTITUTE(SUBSTITUTE(SUBSTITUTE(SUBSTITUTE(SUBSTITUTE(SUBSTITUTE(SUBSTITUTE(LOWER(Z27&amp;""),CHAR(10),""),CHAR(13),""),CHAR(9),""),CHAR(160),"")," ",""),".",""),"-",""),"/",""),"?",""),"_",""),",",""),"[",""),"]",""),"(",""),")",""),"*","")</f>
        <v/>
      </c>
      <c r="AX27" s="61" t="str">
        <f aca="false">SUBSTITUTE(SUBSTITUTE(SUBSTITUTE(SUBSTITUTE(SUBSTITUTE(SUBSTITUTE(SUBSTITUTE(SUBSTITUTE(SUBSTITUTE(SUBSTITUTE(SUBSTITUTE(SUBSTITUTE(SUBSTITUTE(SUBSTITUTE(SUBSTITUTE(SUBSTITUTE(LOWER(AE27&amp;""),CHAR(10),""),CHAR(13),""),CHAR(9),""),CHAR(160),"")," ",""),".",""),"-",""),"/",""),"?",""),"_",""),",",""),"[",""),"]",""),"(",""),")",""),"*","")</f>
        <v/>
      </c>
      <c r="AY27" s="61" t="str">
        <f aca="false">SUBSTITUTE(SUBSTITUTE(SUBSTITUTE(SUBSTITUTE(SUBSTITUTE(SUBSTITUTE(SUBSTITUTE(SUBSTITUTE(SUBSTITUTE(SUBSTITUTE(SUBSTITUTE(SUBSTITUTE(SUBSTITUTE(SUBSTITUTE(SUBSTITUTE(SUBSTITUTE(LOWER(W27&amp;""),CHAR(10),""),CHAR(13),""),CHAR(9),""),CHAR(160),"")," ",""),".",""),"-",""),"/",""),"?",""),"_",""),",",""),"[",""),"]",""),"(",""),")",""),"*","")</f>
        <v/>
      </c>
      <c r="AZ27" s="61" t="str">
        <f aca="false">SUBSTITUTE(SUBSTITUTE(SUBSTITUTE(SUBSTITUTE(SUBSTITUTE(SUBSTITUTE(SUBSTITUTE(SUBSTITUTE(SUBSTITUTE(SUBSTITUTE(SUBSTITUTE(SUBSTITUTE(SUBSTITUTE(SUBSTITUTE(SUBSTITUTE(SUBSTITUTE(LOWER(AC27&amp;""),CHAR(10),""),CHAR(13),""),CHAR(9),""),CHAR(160),"")," ",""),".",""),"-",""),"/",""),"?",""),"_",""),",",""),"[",""),"]",""),"(",""),")",""),"*","")</f>
        <v/>
      </c>
      <c r="BA27" s="61" t="str">
        <f aca="false">SUBSTITUTE(SUBSTITUTE(SUBSTITUTE(SUBSTITUTE(SUBSTITUTE(SUBSTITUTE(SUBSTITUTE(SUBSTITUTE(SUBSTITUTE(SUBSTITUTE(SUBSTITUTE(SUBSTITUTE(SUBSTITUTE(SUBSTITUTE(SUBSTITUTE(SUBSTITUTE(LOWER(AA27&amp;""),CHAR(10),""),CHAR(13),""),CHAR(9),""),CHAR(160),"")," ",""),".",""),"-",""),"/",""),"?",""),"_",""),",",""),"[",""),"]",""),"(",""),")",""),"*","")</f>
        <v/>
      </c>
      <c r="BB27" s="61" t="str">
        <f aca="false">IF(AND(TRIM(U27)="Pass",ISNUMBER(AF27)),IF(AF27&lt;&gt;0,"INVALID – qty variance: use Fail or Pass after CA",""),"")&amp;IF(AND(TRIM(U27)="Pass after CA",ISNUMBER(AF27)),IF(AF27&lt;&gt;0,"INVALID – after the corrective action the actual qty must equal expected (update Actual)",""),"")&amp;IF(AND(TRIM(U27)="Pass",TRIM(AB27)&lt;&gt;"",TRIM(AB27)&lt;&gt;"Closed"),"INVALID – corrective action not closed: use Fail, then Pass after CA","")&amp;IF(AND(LEN(BA27)&gt;=2,ISNA(MATCH(LEFT(BA27,255),L_Placeholder,0)),TRIM(AB27)=""),"INVALID – CA status missing for the recorded corrective action","")&amp;IF(AND(TRIM(U27)="Pass after CA",OR(OR(LEN(BA27)&lt;5,ISNUMBER(MATCH(BA27,L_Placeholder,0))),TRIM(AB27)&lt;&gt;"Closed")),"INVALID – corrective action not recorded/closed","")</f>
        <v/>
      </c>
      <c r="BC27" s="61" t="str">
        <f aca="false">" "&amp;TRIM(SUBSTITUTE(SUBSTITUTE(SUBSTITUTE(SUBSTITUTE(SUBSTITUTE(SUBSTITUTE(SUBSTITUTE(SUBSTITUTE(SUBSTITUTE(SUBSTITUTE(SUBSTITUTE(SUBSTITUTE(SUBSTITUTE(SUBSTITUTE(SUBSTITUTE(SUBSTITUTE(SUBSTITUTE(SUBSTITUTE(SUBSTITUTE(SUBSTITUTE(SUBSTITUTE(SUBSTITUTE(SUBSTITUTE(SUBSTITUTE(LOWER(V27&amp;""),CHAR(10)," "),CHAR(13)," "),CHAR(9)," "),CHAR(160)," "),"."," "),","," "),"-"," "),"/"," "),"("," "),")"," "),":"," "),";"," "),"_"," "),"–"," "),"?"," "),"!"," "),"*"," "),"["," "),"]"," "),"'"," "),"#"," "),"+"," "),"&amp;"," "),"\"," "))&amp;" "</f>
        <v>  </v>
      </c>
      <c r="BD27" s="61" t="str">
        <f aca="false">" "&amp;TRIM(SUBSTITUTE(SUBSTITUTE(SUBSTITUTE(SUBSTITUTE(SUBSTITUTE(SUBSTITUTE(SUBSTITUTE(SUBSTITUTE(SUBSTITUTE(SUBSTITUTE(SUBSTITUTE(SUBSTITUTE(SUBSTITUTE(SUBSTITUTE(SUBSTITUTE(SUBSTITUTE(SUBSTITUTE(SUBSTITUTE(SUBSTITUTE(SUBSTITUTE(SUBSTITUTE(SUBSTITUTE(SUBSTITUTE(SUBSTITUTE(LOWER(Z27&amp;""),CHAR(10)," "),CHAR(13)," "),CHAR(9)," "),CHAR(160)," "),"."," "),","," "),"-"," "),"/"," "),"("," "),")"," "),":"," "),";"," "),"_"," "),"–"," "),"?"," "),"!"," "),"*"," "),"["," "),"]"," "),"'"," "),"#"," "),"+"," "),"&amp;"," "),"\"," "))&amp;" "</f>
        <v>  </v>
      </c>
      <c r="BE27" s="61" t="str">
        <f aca="false">" "&amp;TRIM(SUBSTITUTE(SUBSTITUTE(SUBSTITUTE(SUBSTITUTE(SUBSTITUTE(SUBSTITUTE(SUBSTITUTE(SUBSTITUTE(SUBSTITUTE(SUBSTITUTE(SUBSTITUTE(SUBSTITUTE(SUBSTITUTE(SUBSTITUTE(SUBSTITUTE(SUBSTITUTE(SUBSTITUTE(SUBSTITUTE(SUBSTITUTE(SUBSTITUTE(SUBSTITUTE(SUBSTITUTE(SUBSTITUTE(SUBSTITUTE(LOWER(W27&amp;""),CHAR(10)," "),CHAR(13)," "),CHAR(9)," "),CHAR(160)," "),"."," "),","," "),"-"," "),"/"," "),"("," "),")"," "),":"," "),";"," "),"_"," "),"–"," "),"?"," "),"!"," "),"*"," "),"["," "),"]"," "),"'"," "),"#"," "),"+"," "),"&amp;"," "),"\"," "))&amp;" "</f>
        <v>  </v>
      </c>
      <c r="BF27" s="61" t="str">
        <f aca="false">" "&amp;TRIM(SUBSTITUTE(SUBSTITUTE(SUBSTITUTE(SUBSTITUTE(SUBSTITUTE(SUBSTITUTE(SUBSTITUTE(SUBSTITUTE(SUBSTITUTE(SUBSTITUTE(SUBSTITUTE(SUBSTITUTE(SUBSTITUTE(SUBSTITUTE(SUBSTITUTE(SUBSTITUTE(SUBSTITUTE(SUBSTITUTE(SUBSTITUTE(SUBSTITUTE(SUBSTITUTE(SUBSTITUTE(SUBSTITUTE(SUBSTITUTE(LOWER(AC27&amp;""),CHAR(10)," "),CHAR(13)," "),CHAR(9)," "),CHAR(160)," "),"."," "),","," "),"-"," "),"/"," "),"("," "),")"," "),":"," "),";"," "),"_"," "),"–"," "),"?"," "),"!"," "),"*"," "),"["," "),"]"," "),"'"," "),"#"," "),"+"," "),"&amp;"," "),"\"," "))&amp;" "</f>
        <v>  </v>
      </c>
      <c r="BG27" s="61" t="n">
        <f aca="false">IFERROR(IF(AND(TRIM(U27)="Pass",SUMPRODUCT((LEN(BC27)-LEN(SUBSTITUTE(BC27," "&amp;L_ResultBad&amp;" "," ")))/(LEN(L_ResultBad)+1))&gt;SUMPRODUCT((LEN(BC27)-LEN(SUBSTITUTE(BC27," "&amp;L_NegPhrase&amp;" "," ")))/(LEN(L_NegPhrase)+1))),1,0),0)</f>
        <v>0</v>
      </c>
      <c r="BH27" s="61" t="n">
        <f aca="false">IFERROR(IF(SUMPRODUCT((LEN(BC27)-LEN(SUBSTITUTE(BC27," "&amp;L_Pending&amp;" "," ")))/(LEN(L_Pending)+1))&gt;SUMPRODUCT((LEN(BC27)-LEN(SUBSTITUTE(BC27," "&amp;L_PendNeg&amp;" "," ")))/(LEN(L_PendNeg)+1)),1,0),1)</f>
        <v>0</v>
      </c>
      <c r="BI27" s="61" t="n">
        <f aca="false">IFERROR(IF(SUMPRODUCT((LEN(BD27)-LEN(SUBSTITUTE(BD27," "&amp;L_PendStrict&amp;" "," ")))/(LEN(L_PendStrict)+1))&gt;SUMPRODUCT((LEN(BD27)-LEN(SUBSTITUTE(BD27," "&amp;L_PendNeg&amp;" "," ")))/(LEN(L_PendNeg)+1)),1,0),1)</f>
        <v>0</v>
      </c>
      <c r="BJ27" s="61" t="n">
        <f aca="false">IFERROR(IF(SUMPRODUCT((LEN(BE27)-LEN(SUBSTITUTE(BE27," "&amp;L_Pending&amp;" "," ")))/(LEN(L_Pending)+1))&gt;SUMPRODUCT((LEN(BE27)-LEN(SUBSTITUTE(BE27," "&amp;L_PendNeg&amp;" "," ")))/(LEN(L_PendNeg)+1)),1,0),1)</f>
        <v>0</v>
      </c>
      <c r="BK27" s="61" t="n">
        <f aca="false">IFERROR(IF(SUMPRODUCT((LEN(BF27)-LEN(SUBSTITUTE(BF27," "&amp;L_PendStrict&amp;" "," ")))/(LEN(L_PendStrict)+1))&gt;SUMPRODUCT((LEN(BF27)-LEN(SUBSTITUTE(BF27," "&amp;L_PendNeg&amp;" "," ")))/(LEN(L_PendNeg)+1)),1,0),1)</f>
        <v>0</v>
      </c>
      <c r="BL27" s="61" t="n">
        <f aca="false">IF(ISNA(MATCH(TRIM(S27),L_EvidenceType,0)),0,BZ27)</f>
        <v>0</v>
      </c>
      <c r="BM27" s="61" t="str">
        <f aca="false">SUBSTITUTE(SUBSTITUTE(SUBSTITUTE(SUBSTITUTE(SUBSTITUTE(SUBSTITUTE(SUBSTITUTE(SUBSTITUTE(SUBSTITUTE(LOWER(Z27&amp;""),"1","0"),"2","0"),"3","0"),"4","0"),"5","0"),"6","0"),"7","0"),"8","0"),"9","0")</f>
        <v/>
      </c>
      <c r="BN27" s="61" t="str">
        <f aca="false">SUBSTITUTE(SUBSTITUTE(SUBSTITUTE(SUBSTITUTE(SUBSTITUTE(SUBSTITUTE(SUBSTITUTE(SUBSTITUTE(SUBSTITUTE(SUBSTITUTE(SUBSTITUTE(SUBSTITUTE(SUBSTITUTE(SUBSTITUTE(SUBSTITUTE(SUBSTITUTE(SUBSTITUTE(SUBSTITUTE(SUBSTITUTE(SUBSTITUTE(SUBSTITUTE(SUBSTITUTE(SUBSTITUTE(SUBSTITUTE(SUBSTITUTE(BM27,"b","a"),"c","a"),"d","a"),"e","a"),"f","a"),"g","a"),"h","a"),"i","a"),"j","a"),"k","a"),"l","a"),"m","a"),"n","a"),"o","a"),"p","a"),"q","a"),"r","a"),"s","a"),"t","a"),"u","a"),"v","a"),"w","a"),"x","a"),"y","a"),"z","a")</f>
        <v/>
      </c>
      <c r="BO27" s="61" t="str">
        <f aca="false">SUBSTITUTE(SUBSTITUTE(SUBSTITUTE(SUBSTITUTE(SUBSTITUTE(SUBSTITUTE(SUBSTITUTE(SUBSTITUTE(SUBSTITUTE(LOWER(W27&amp;""),"1","0"),"2","0"),"3","0"),"4","0"),"5","0"),"6","0"),"7","0"),"8","0"),"9","0")</f>
        <v/>
      </c>
      <c r="BP27" s="61" t="str">
        <f aca="false">SUBSTITUTE(SUBSTITUTE(SUBSTITUTE(SUBSTITUTE(SUBSTITUTE(SUBSTITUTE(SUBSTITUTE(SUBSTITUTE(SUBSTITUTE(SUBSTITUTE(SUBSTITUTE(SUBSTITUTE(SUBSTITUTE(SUBSTITUTE(SUBSTITUTE(SUBSTITUTE(SUBSTITUTE(SUBSTITUTE(SUBSTITUTE(SUBSTITUTE(SUBSTITUTE(SUBSTITUTE(SUBSTITUTE(SUBSTITUTE(SUBSTITUTE(BO27,"b","a"),"c","a"),"d","a"),"e","a"),"f","a"),"g","a"),"h","a"),"i","a"),"j","a"),"k","a"),"l","a"),"m","a"),"n","a"),"o","a"),"p","a"),"q","a"),"r","a"),"s","a"),"t","a"),"u","a"),"v","a"),"w","a"),"x","a"),"y","a"),"z","a")</f>
        <v/>
      </c>
      <c r="BQ27" s="61" t="n">
        <f aca="false">IFERROR(IF(AND(ISERROR(SEARCH(" mh"," "&amp;LOWER(W27))),ISNA(MATCH(LEFT(TRIM(BP27),255),{"0000a","000a","00a","0000aa","000aa","00aa","0aa","0000aaa","000aaa","00a00","0a00","0000-0000","00:00","a00","a0","00.00.0000","00/00/0000","00-00-0000","0000-00-00","0000/00/00","0000.00.00","00.00.00","00/00/00","00-00-00","0.00.0000","0/00/0000","0-00-0000"},0)),ISNA(MATCH(LEFT(TRIM(CA27),255),{"0000a","000a","00a","0000aa","000aa","00aa","0aa","0000aaa","000aaa","00a00","0a00","0000-0000","00:00","a00","a0","00.00.0000","00/00/0000","00-00-0000","0000-00-00","0000/00/00","0000.00.00","00.00.00","00/00/00","00-00-00","0.00.0000","0/00/0000","0-00-0000"},0)),LEN(CB27)&gt;=3,NOT(OR(SUBSTITUTE(CB27,"0","")="",AND(LEN(CB27)&gt;=4,CB27=REPT(LEFT(CB27),LEN(CB27))),ISNUMBER(MATCH(CB27,{"123","1234","12345","123456","1234567","12345678","0123","01234","012345","98765","987654","54321"},0)),AND(LEN(CB27)=8,LEFT(CB27,3)="202"))),OR(AND((LEN(CA27)-LEN(SUBSTITUTE(CA27,"a","")))&gt;=1,SUMPRODUCT(--ISNUMBER(SEARCH({"a0","a-0","a_0","a/0","a.0","a#0","0a","0-a","0_a","0/a"},BP27)))&gt;0),ISNUMBER(SEARCH("000000",BP27)))),1,0),0)</f>
        <v>0</v>
      </c>
      <c r="BR27" s="61" t="n">
        <f aca="false">IFERROR(LEN(SUBSTITUTE(CC27," ",""))-SUMPRODUCT((LEN(CC27)-LEN(SUBSTITUTE(CC27," "&amp;L_Role&amp;" "," ")))/(LEN(L_Role)+1)*LEN(L_Role)),0)</f>
        <v>0</v>
      </c>
      <c r="BS27" s="61" t="n">
        <f aca="false">IFERROR(LEN(SUBSTITUTE(CD27," ",""))-SUMPRODUCT((LEN(CD27)-LEN(SUBSTITUTE(CD27," "&amp;L_Role&amp;" "," ")))/(LEN(L_Role)+1)*LEN(L_Role)),0)</f>
        <v>0</v>
      </c>
      <c r="BT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revision",""),"version",""),"jan",""),"feb",""),"mar",""),"apr",""),"may",""),"jun",""),"jul",""),"aug",""),"sep",""),"oct",""),"nov",""),"dec",""),"utc",""),"gmt",""),"myt",""),"bst",""),"rev",""),"ver",""),"b","a"),"c","a"),"d","a"),"e","a"),"f","a"),"g","a"),"h","a"),"i","a"),"j","a"),"k","a"),"l","a"),"m","a"),"n","a"),"o","a"),"p","a"),"q","a"),"r","a"),"s","a"),"t","a"),"u","a"),"v","a"),"w","a"),"x","a"),"y","a"),"z","a")</f>
        <v/>
      </c>
      <c r="BU27" s="61" t="str">
        <f aca="false">SUBSTITUTE(SUBSTITUTE(SUBSTITUTE(SUBSTITUTE(SUBSTITUTE(SUBSTITUTE(SUBSTITUTE(SUBSTITUTE(SUBSTITUTE(SUBSTITUTE(LEFT(BM27,FIND("0",BM27&amp;"0")-1),"-",""),"_",""),"/",""),".",""),"#",""),"\\",""),":","")," ",""),"(",""),")","")</f>
        <v/>
      </c>
      <c r="BV27" s="61" t="n">
        <f aca="false">IFERROR(IF(OR(SUMPRODUCT((LEN(BC27)-LEN(SUBSTITUTE(BC27," "&amp;L_NotLoaded&amp;" "," ")))/(LEN(L_NotLoaded)+1))&gt;SUMPRODUCT((LEN(BC27)-LEN(SUBSTITUTE(BC27," "&amp;L_NotLoadedNeg&amp;" "," ")))/(LEN(L_NotLoadedNeg)+1)),SUMPRODUCT((LEN(BD27)-LEN(SUBSTITUTE(BD27," "&amp;L_NotLoaded&amp;" "," ")))/(LEN(L_NotLoaded)+1))&gt;SUMPRODUCT((LEN(BD27)-LEN(SUBSTITUTE(BD27," "&amp;L_NotLoadedNeg&amp;" "," ")))/(LEN(L_NotLoadedNeg)+1))),1,0),0)</f>
        <v>0</v>
      </c>
      <c r="BW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amp;""),"a",""),"b",""),"c",""),"d",""),"e",""),"f",""),"g",""),"h",""),"i",""),"j",""),"k",""),"l",""),"m",""),"n",""),"o",""),"p",""),"q",""),"r",""),"s",""),"t",""),"u",""),"v",""),"w",""),"x",""),"y",""),"z",""),"-",""),"_",""),"/",""),".",""),"#",""),"\\",""),":","")," ",""),"(",""),")","")</f>
        <v/>
      </c>
      <c r="BX27" s="61" t="str">
        <f aca="false">SUBSTITUTE(SUBSTITUTE(SUBSTITUTE(SUBSTITUTE(SUBSTITUTE(SUBSTITUTE(SUBSTITUTE(SUBSTITUTE(SUBSTITUTE(SUBSTITUTE(SUBSTITUTE(BM27,"0",""),"-",""),"_",""),"/",""),".",""),"#",""),"\\",""),":","")," ",""),"(",""),")","")</f>
        <v/>
      </c>
      <c r="BY27" s="62" t="n">
        <f aca="false">IF(ISNUMBER(Flights!$AZ$5),MAX(Q27-UpliftWindowH/24,Flights!$AZ$5),Q27-UpliftWindowH/24)</f>
        <v>46303.6076388889</v>
      </c>
      <c r="BZ27" s="61" t="n">
        <f aca="false">IFERROR(IF(IF(TRIM(S27)="Link / file path",AND(LEN(TRIM(Z27))&gt;=5,SUMPRODUCT(--ISNUMBER(SEARCH({"http","www.","\\",":\",".pdf",".jpg",".jpeg",".png",".heic",".xls",".doc",".msg",".eml",".ppt",".txt",".zip"},Z27)))&gt;0),AND(ISERROR(FIND(" ",TRIM(Z27))),NOT(OR(SUMPRODUCT(--ISNUMBER(FIND({",",";","&amp;","+"},Z27)))&gt;0,SUMPRODUCT(--ISNUMBER(SEARCH({"0/aa","0\\aa"},BN27)))&gt;0)),NOT(SUMPRODUCT(--ISNUMBER(SEARCH({"http","www.","\\",":\",".pdf",".jpg",".jpeg",".png",".heic",".xls",".doc",".msg",".eml",".ppt",".txt",".zip"},Z27)))&gt;0),NOT(LOWER(TRIM(Z27))=LOWER(Flights!$F$5)),ISNA(MATCH(BU27,{"mh","rev","revision","ver","version","v","r","a","b","seat","tray","row","gate","bay","stand","page","pg","item","line","no","cart","galley","flight","flt","table","box","bag","oven","etd","eta","std","sta","atd","ata","qty","pax","x","time","tel","ph","mob","day","wk","week","utc","gmt","myt","lt"},0)),NOT(OR(ISNUMBER(MATCH(LEFT(BN27,255),{"0000a","000a","00a","0000aa","000aa","00aa","0aa","0000aaa","000aaa","00a00","0a00","0000-0000","00:00","a00","a0","00.00.0000","00/00/0000","00-00-0000","0000-00-00","0000/00/00","0000.00.00","00.00.00","00/00/00","00-00-00","0.00.0000","0/00/0000","0-00-0000"},0)),ISNUMBER(MATCH(LEFT(BT27,255),{"0000a","000a","00a","0000aa","000aa","00aa","0aa","0000aaa","000aaa","00a00","0a00","0000-0000","00:00","a00","a0","00.00.0000","00/00/0000","00-00-0000","0000-00-00","0000/00/00","0000.00.00","00.00.00","00/00/00","00-00-00","0.00.0000","0/00/0000","0-00-0000"},0)))),NOT(OR(AND(BW27&lt;&gt;"",SUBSTITUTE(BW27,"0","")=""),AND(LEN(BW27)&gt;=4,BW27=REPT(LEFT(BW27),LEN(BW27))),ISNUMBER(MATCH(BW27,{"123","1234","12345","123456","1234567","12345678","0123","01234","012345","98765","987654","54321"},0)),ISNUMBER(MATCH(BX27,{"x","xx","xxx","xxxx","xxxxx","abc","abcd","nil","na","nan","test","tbc","tba","tbd","dummy","sample","example","eg","zz","zzz","none","null","xyz","qwe","asd","id","ref"},0)),AND(LEN(BW27)=8,BX27="",OR(LEFT(BW27,3)="202",ISNUMBER(MATCH(RIGHT(BW27,4),{"2025","2026","2027"},0)))))),OR(AND((LEN(BT27)-LEN(SUBSTITUTE(BT27,"a","")))&gt;=1,(LEN(BN27)-LEN(SUBSTITUTE(BN27,"0","")))&gt;=2,SUMPRODUCT(--ISNUMBER(SEARCH({"a0","a-0","a_0","a/0","a.0","a#0","0a","0-a","0_a","0/a"},BN27)))&gt;0),AND((LEN(BN27)-LEN(SUBSTITUTE(BN27,"a","")))=0,(LEN(BN27)-LEN(SUBSTITUTE(BN27,"0","")))&gt;=5)))),1,0),0)</f>
        <v>0</v>
      </c>
      <c r="CA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revision",""),"version",""),"jan",""),"feb",""),"mar",""),"apr",""),"may",""),"jun",""),"jul",""),"aug",""),"sep",""),"oct",""),"nov",""),"dec",""),"utc",""),"gmt",""),"myt",""),"bst",""),"rev",""),"ver",""),"b","a"),"c","a"),"d","a"),"e","a"),"f","a"),"g","a"),"h","a"),"i","a"),"j","a"),"k","a"),"l","a"),"m","a"),"n","a"),"o","a"),"p","a"),"q","a"),"r","a"),"s","a"),"t","a"),"u","a"),"v","a"),"w","a"),"x","a"),"y","a"),"z","a")</f>
        <v/>
      </c>
      <c r="CB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amp;""),"a",""),"b",""),"c",""),"d",""),"e",""),"f",""),"g",""),"h",""),"i",""),"j",""),"k",""),"l",""),"m",""),"n",""),"o",""),"p",""),"q",""),"r",""),"s",""),"t",""),"u",""),"v",""),"w",""),"x",""),"y",""),"z",""),"-",""),"_",""),"/",""),".",""),"#",""),"\\",""),":","")," ",""),"(",""),")","")</f>
        <v/>
      </c>
      <c r="CC27" s="0" t="str">
        <f aca="false">" "&amp;TRIM(SUBSTITUTE(SUBSTITUTE(SUBSTITUTE(SUBSTITUTE(SUBSTITUTE(SUBSTITUTE(SUBSTITUTE(SUBSTITUTE(SUBSTITUTE(SUBSTITUTE(SUBSTITUTE(SUBSTITUTE(SUBSTITUTE(SUBSTITUTE(SUBSTITUTE(SUBSTITUTE(SUBSTITUTE(SUBSTITUTE(SUBSTITUTE(SUBSTITUTE(SUBSTITUTE(SUBSTITUTE(SUBSTITUTE(SUBSTITUTE(LOWER(T27&amp;""),CHAR(10)," "),CHAR(13)," "),CHAR(9)," "),CHAR(160)," "),"."," "),","," "),"-"," "),"/"," "),"("," "),")"," "),":"," "),";"," "),"_"," "),"–"," "),"?"," "),"!"," "),"*"," "),"["," "),"]"," "),"'"," "),"#"," "),"+"," "),"&amp;"," "),"\"," "))&amp;" "</f>
        <v>  </v>
      </c>
      <c r="CD27" s="0" t="str">
        <f aca="false">" "&amp;TRIM(SUBSTITUTE(SUBSTITUTE(SUBSTITUTE(SUBSTITUTE(SUBSTITUTE(SUBSTITUTE(SUBSTITUTE(SUBSTITUTE(SUBSTITUTE(SUBSTITUTE(SUBSTITUTE(SUBSTITUTE(SUBSTITUTE(SUBSTITUTE(SUBSTITUTE(SUBSTITUTE(SUBSTITUTE(SUBSTITUTE(SUBSTITUTE(SUBSTITUTE(SUBSTITUTE(SUBSTITUTE(SUBSTITUTE(SUBSTITUTE(LOWER(AE27&amp;""),CHAR(10)," "),CHAR(13)," "),CHAR(9)," "),CHAR(160)," "),"."," "),","," "),"-"," "),"/"," "),"("," "),")"," "),":"," "),";"," "),"_"," "),"–"," "),"?"," "),"!"," "),"*"," "),"["," "),"]"," "),"'"," "),"#"," "),"+"," "),"&amp;"," "),"\"," "))&amp;" "</f>
        <v>  </v>
      </c>
      <c r="CE27" s="68" t="n">
        <f aca="false">IFERROR(IF(AND(LEN(AU27)&gt;0,LEN(AU27)=LEN(AX27),OR(TRIM(MID(SUBSTITUTE(TRIM(CC27)," ",REPT(" ",60)),1,60))="",ISNUMBER(SEARCH(" "&amp;TRIM(MID(SUBSTITUTE(TRIM(CC27)," ",REPT(" ",60)),1,60))&amp;" ",CD27))),OR(TRIM(MID(SUBSTITUTE(TRIM(CC27)," ",REPT(" ",60)),61,60))="",ISNUMBER(SEARCH(" "&amp;TRIM(MID(SUBSTITUTE(TRIM(CC27)," ",REPT(" ",60)),61,60))&amp;" ",CD27))),OR(TRIM(MID(SUBSTITUTE(TRIM(CC27)," ",REPT(" ",60)),121,60))="",ISNUMBER(SEARCH(" "&amp;TRIM(MID(SUBSTITUTE(TRIM(CC27)," ",REPT(" ",60)),121,60))&amp;" ",CD27)))),1,0),0)</f>
        <v>0</v>
      </c>
      <c r="CG27" s="68" t="n">
        <f aca="false">IFERROR(LEN(SUBSTITUTE(BF27," ",""))-SUMPRODUCT((LEN(BF27)-LEN(SUBSTITUTE(BF27," "&amp;L_NAFiller&amp;" "," ")))/(LEN(L_NAFiller)+1)*LEN(L_NAFiller)),0)</f>
        <v>0</v>
      </c>
    </row>
    <row r="28" customFormat="false" ht="39.75" hidden="false" customHeight="true" outlineLevel="0" collapsed="false">
      <c r="A28" s="57" t="s">
        <v>468</v>
      </c>
      <c r="B28" s="57" t="s">
        <v>183</v>
      </c>
      <c r="C28" s="57" t="str">
        <f aca="false">Flights!$F$5</f>
        <v>MH0001</v>
      </c>
      <c r="D28" s="58" t="n">
        <f aca="false">Flights!$D$5</f>
        <v>46303</v>
      </c>
      <c r="E28" s="57" t="str">
        <f aca="false">Flights!$G$5&amp;"-"&amp;Flights!$H$5</f>
        <v>LHR-KUL</v>
      </c>
      <c r="F28" s="57" t="str">
        <f aca="false">Flights!$K$5</f>
        <v>EY</v>
      </c>
      <c r="G28" s="57" t="s">
        <v>459</v>
      </c>
      <c r="H28" s="57" t="s">
        <v>460</v>
      </c>
      <c r="I28" s="57" t="s">
        <v>447</v>
      </c>
      <c r="J28" s="57" t="s">
        <v>469</v>
      </c>
      <c r="K28" s="67" t="s">
        <v>449</v>
      </c>
      <c r="L28" s="67" t="s">
        <v>450</v>
      </c>
      <c r="M28" s="67" t="s">
        <v>451</v>
      </c>
      <c r="N28" s="67" t="s">
        <v>383</v>
      </c>
      <c r="O28" s="67"/>
      <c r="P28" s="57" t="s">
        <v>186</v>
      </c>
      <c r="Q28" s="59" t="n">
        <f aca="false">ROUND((Flights!$AF$5)*1440,0)/1440</f>
        <v>46303.8576388889</v>
      </c>
      <c r="R28" s="59" t="n">
        <f aca="false">Q28+(IF(AND(INDEX(TZ_DSTS,MATCH(P28,TZ_STN,0))&lt;&gt;"",Q28&gt;=INDEX(TZ_DSTS,MATCH(P28,TZ_STN,0)),Q28&lt;INDEX(TZ_DSTE,MATCH(P28,TZ_STN,0))),INDEX(TZ_DST,MATCH(P28,TZ_STN,0)),INDEX(TZ_STD,MATCH(P28,TZ_STN,0))))/24</f>
        <v>46303.8993055556</v>
      </c>
      <c r="S28" s="60"/>
      <c r="T28" s="60"/>
      <c r="U28" s="60"/>
      <c r="V28" s="60"/>
      <c r="W28" s="61"/>
      <c r="X28" s="60"/>
      <c r="Y28" s="60"/>
      <c r="Z28" s="60"/>
      <c r="AA28" s="60"/>
      <c r="AB28" s="60"/>
      <c r="AC28" s="60"/>
      <c r="AD28" s="66"/>
      <c r="AE28" s="60"/>
      <c r="AF28" s="61" t="str">
        <f aca="false">IF(AND(ISNUMBER(X28),ISNUMBER(Y28)),Y28-X28,"")</f>
        <v/>
      </c>
      <c r="AG28" s="62" t="str">
        <f aca="false">IF(ISNUMBER(AD28),AD28-(IF(AND(INDEX(TZ_DSTS,MATCH(P28,TZ_STN,0))&lt;&gt;"",(AD28-INDEX(TZ_STD,MATCH(P28,TZ_STN,0))/24)&gt;=INDEX(TZ_DSTS,MATCH(P28,TZ_STN,0)),(AD28-INDEX(TZ_STD,MATCH(P28,TZ_STN,0))/24)&lt;INDEX(TZ_DSTE,MATCH(P28,TZ_STN,0))),INDEX(TZ_DST,MATCH(P28,TZ_STN,0)),INDEX(TZ_STD,MATCH(P28,TZ_STN,0))))/24,"")</f>
        <v/>
      </c>
      <c r="AH28" s="65" t="str">
        <f aca="false">IFERROR(IF(N28="N/A – rule",IF(OR(TRIM(U28)="",TRIM(U28)="N/A",TRIM(U28)="Not started"),"N/A – RULE","INVALID – this check does not apply to this aircraft: clear the status (or correct the fleet on Flights)"),IF(TRIM(U28)="N/A",IF(AT28=0,"INVALID – N/A not permitted for this check",IF(AND(TRIM(AB28)&lt;&gt;"",TRIM(AB28)&lt;&gt;"Closed"),"INVALID – corrective action still open",IF(AND(NOT(OR(LEN(AZ28)&lt;15,ISNUMBER(MATCH(AZ28,L_Placeholder,0)))),BK28=0,CG28&gt;=8,NOT(OR(LEN(AU28)&lt;2,ISNUMBER(MATCH(AU28,L_Placeholder,0)))),BR28&gt;=3,NOT(OR(LEN(AX28)&lt;2,ISNUMBER(MATCH(AX28,L_Placeholder,0)))),BS28&gt;=3,TRIM(AE28)&lt;&gt;TRIM(T28),AX28&lt;&gt;AU28,CE28=0),"N/A – JUSTIFIED","INVALID – N/A needs a real, settled reason (not 'not applicable' / 'as above' / TBC), a named PIC and a different named verifier"))),IF(OR(TRIM(U28)="Pass",TRIM(U28)="Pass after CA"),IF(NOT(ISNUMBER(AD28)),"INVALID – completion time missing",IF(OR(OR(LEN(AU28)&lt;2,ISNUMBER(MATCH(AU28,L_Placeholder,0))),BR28&lt;3),"INVALID – PIC missing or not a named person (a role such as QA / CSM is not a name)",IF(OR(LEN(AV28)&lt;2,ISNUMBER(MATCH(AV28,L_Placeholder,0))),"INVALID – result / assessment missing",IF(OR(OR(LEN(AW28)&lt;3,ISNUMBER(MATCH(AW28,L_Placeholder,0))),SUMPRODUCT(--ISNUMBER(SEARCH(" "&amp;L_EvidencePhrase&amp;" ",BD28)))&gt;0,BI28=1),"INVALID – evidence missing, placeholder or not yet on file",IF(ISNA(MATCH(TRIM(S28),L_EvidenceType,0)),"INVALID – choose the evidence type from the list (column S)",IF(BL28=0,"INVALID – evidence ID must be the record's own ID only (e.g. SF-2210, IMG_2231, 1045521); a link / file name needs type 'Link / file path'",IF(OR(OR(LEN(AX28)&lt;2,ISNUMBER(MATCH(AX28,L_Placeholder,0))),BS28&lt;3),"INVALID – verifier missing or not a named person (a role such as QA / CSM is not a name)",IF(OR(AX28=AU28,CE28=1,AND(LEN(AU28)&gt;=4,ISNUMBER(SEARCH(AU28,AX28))),AND(LEN(AX28)&gt;=4,ISNUMBER(SEARCH(AX28,AU28)))),"INVALID – verifier must be a different, named person (not the PIC or a role)",IF(BH28=1,"INVALID – result not yet available (awaiting / TBC)",IF(BG28=1,"INVALID – result describes a problem: record Fail, then Pass after CA (or reword if it is not a problem)",IF(BV28=1,"INVALID – wording says not on board: an on-board confirmation needs the item loaded",IF(AND(AQ28=1,OR(OR(LEN(AY28)&lt;3,ISNUMBER(MATCH(AY28,L_Placeholder,0))),BJ28=1,BQ28=0)),"INVALID – batch ID missing, placeholder or not an ID (e.g. PASB-261008-BC-017)",IF(AND(AR28=1,OR(NOT(ISNUMBER(X28)),NOT(ISNUMBER(Y28)))),"INVALID – expected/actual qty missing",IF(AND(AR28=1,OR(X28&lt;=0,Y28&lt;0)),"INVALID – expected qty must be above 0 and actual not negative",IF(AH23="N/A – JUSTIFIED","INVALID – preparation row F01-T12-09 is N/A",IF(AND(AR28=1,ISNUMBER(X23),X28&lt;&gt;X23,TRIM(U28)&lt;&gt;"Pass after CA"),"INVALID – expected qty differs from preparation check F01-T12-09: record the load change as a corrective action (Pass after CA)",IF(BB28&lt;&gt;"",BB28,IF(AND(AS28=1,Documents!$J$5&lt;&gt;"ON FILE"),"INVALID – GLD not on file (Documents sheet)",IF(AND(AS28=2,Documents!$O$5&lt;&gt;"ON FILE"),"INVALID – menu checklist not on file (Documents sheet)",IF(AND(AS28=3,NOT(ISNUMBER(Flights!$AX$5))),"INVALID – enter carrying flight KUL departure (Flights AX)",IF(AND(AS28=3,OR(Flights!$AZ$5&gt;Flights!$AA$5,Flights!$AX$5&lt;Flights!$AA$5-3)),"INVALID – carrying flight (Flights AX) cannot arrive before this leg's STD, or is over 3 days early",IF(AG28&gt;AsOfUTC,"INVALID – completion time is in the future",IF(AND(ISNUMBER(BY28),AG28&lt;BY28),IF(H28="Physical uplift","INVALID – before uplift window (cannot confirm loading)","INVALID – before valid window"),IF(AG28&gt;Flights!$AA$5,"INVALID – completed after departure (cannot establish readiness)",IF(AND(H28="Preparation",AG28&gt;=IF(ISNUMBER(Flights!$BA$5),MIN(Flights!$BA$5,Flights!$AA$5),Flights!$AA$5)),"INVALID – completed after loading / departure (cannot establish readiness)",IF(AND(H28="Physical uplift",AG28&gt;Q28),"INVALID – recorded after the loading flight departed",IF(AG28&gt;Q28,"COMPLETE – LATE","COMPLETE"))))))))))))))))))))))))))),IF(TRIM(U28)="Fail","FAIL – DISCREPANCY",IF(AND(TRIM(U28)&lt;&gt;"",TRIM(U28)&lt;&gt;"Not started",TRIM(U28)&lt;&gt;"In progress"),"INVALID – unrecognised status (use the list)",IF(AsOfUTC&gt;Q28,"OVERDUE",IF(N28="Clarification required","OPEN – CLARIFICATION","OPEN"))))))),"INVALID – error value in an input cell")</f>
        <v>OPEN</v>
      </c>
      <c r="AI28" s="61" t="n">
        <f aca="false">IF(OR(AH28="N/A – RULE",AH28="N/A – JUSTIFIED"),0,1)</f>
        <v>1</v>
      </c>
      <c r="AJ28" s="61" t="n">
        <f aca="false">IF(LEFT(AH28,8)="COMPLETE",1,0)</f>
        <v>0</v>
      </c>
      <c r="AK28" s="61" t="n">
        <f aca="false">IF(AND(AI28=1,AJ28=0,AsOfUTC&gt;Q28),1,0)</f>
        <v>0</v>
      </c>
      <c r="AL28" s="61" t="n">
        <f aca="false">IFERROR(IF(AND(AI28=1,OR(TRIM(U28)="Fail",AND(TRIM(AB28)&lt;&gt;"",TRIM(AB28)&lt;&gt;"Closed"),AND(ISNUMBER(AF28),AF28&lt;&gt;0,TRIM(U28)&lt;&gt;"Pass after CA"))),1,0),1)</f>
        <v>0</v>
      </c>
      <c r="AM28" s="61" t="n">
        <f aca="false">IF(LEFT(AH28,7)="INVALID",1,0)</f>
        <v>0</v>
      </c>
      <c r="AN28" s="61" t="n">
        <f aca="false">IF(AND(N28="Clarification required",AI28=1,AJ28=0),1,0)</f>
        <v>0</v>
      </c>
      <c r="AO28" s="61" t="str">
        <f aca="false">IF(AK28=1,SUM(AK$5:AK28),"")</f>
        <v/>
      </c>
      <c r="AP28" s="61" t="str">
        <f aca="false">IF(AL28=1,SUM(AL$5:AL28),"")</f>
        <v/>
      </c>
      <c r="AQ28" s="61" t="n">
        <v>0</v>
      </c>
      <c r="AR28" s="61" t="n">
        <v>0</v>
      </c>
      <c r="AS28" s="61" t="n">
        <v>0</v>
      </c>
      <c r="AT28" s="61" t="n">
        <v>0</v>
      </c>
      <c r="AU28" s="61" t="str">
        <f aca="false">SUBSTITUTE(SUBSTITUTE(SUBSTITUTE(SUBSTITUTE(SUBSTITUTE(SUBSTITUTE(SUBSTITUTE(SUBSTITUTE(SUBSTITUTE(SUBSTITUTE(SUBSTITUTE(SUBSTITUTE(SUBSTITUTE(SUBSTITUTE(SUBSTITUTE(SUBSTITUTE(LOWER(T28&amp;""),CHAR(10),""),CHAR(13),""),CHAR(9),""),CHAR(160),"")," ",""),".",""),"-",""),"/",""),"?",""),"_",""),",",""),"[",""),"]",""),"(",""),")",""),"*","")</f>
        <v/>
      </c>
      <c r="AV28" s="61" t="str">
        <f aca="false">SUBSTITUTE(SUBSTITUTE(SUBSTITUTE(SUBSTITUTE(SUBSTITUTE(SUBSTITUTE(SUBSTITUTE(SUBSTITUTE(SUBSTITUTE(SUBSTITUTE(SUBSTITUTE(SUBSTITUTE(SUBSTITUTE(SUBSTITUTE(SUBSTITUTE(SUBSTITUTE(LOWER(V28&amp;""),CHAR(10),""),CHAR(13),""),CHAR(9),""),CHAR(160),"")," ",""),".",""),"-",""),"/",""),"?",""),"_",""),",",""),"[",""),"]",""),"(",""),")",""),"*","")</f>
        <v/>
      </c>
      <c r="AW28" s="61" t="str">
        <f aca="false">SUBSTITUTE(SUBSTITUTE(SUBSTITUTE(SUBSTITUTE(SUBSTITUTE(SUBSTITUTE(SUBSTITUTE(SUBSTITUTE(SUBSTITUTE(SUBSTITUTE(SUBSTITUTE(SUBSTITUTE(SUBSTITUTE(SUBSTITUTE(SUBSTITUTE(SUBSTITUTE(LOWER(Z28&amp;""),CHAR(10),""),CHAR(13),""),CHAR(9),""),CHAR(160),"")," ",""),".",""),"-",""),"/",""),"?",""),"_",""),",",""),"[",""),"]",""),"(",""),")",""),"*","")</f>
        <v/>
      </c>
      <c r="AX28" s="61" t="str">
        <f aca="false">SUBSTITUTE(SUBSTITUTE(SUBSTITUTE(SUBSTITUTE(SUBSTITUTE(SUBSTITUTE(SUBSTITUTE(SUBSTITUTE(SUBSTITUTE(SUBSTITUTE(SUBSTITUTE(SUBSTITUTE(SUBSTITUTE(SUBSTITUTE(SUBSTITUTE(SUBSTITUTE(LOWER(AE28&amp;""),CHAR(10),""),CHAR(13),""),CHAR(9),""),CHAR(160),"")," ",""),".",""),"-",""),"/",""),"?",""),"_",""),",",""),"[",""),"]",""),"(",""),")",""),"*","")</f>
        <v/>
      </c>
      <c r="AY28" s="61" t="str">
        <f aca="false">SUBSTITUTE(SUBSTITUTE(SUBSTITUTE(SUBSTITUTE(SUBSTITUTE(SUBSTITUTE(SUBSTITUTE(SUBSTITUTE(SUBSTITUTE(SUBSTITUTE(SUBSTITUTE(SUBSTITUTE(SUBSTITUTE(SUBSTITUTE(SUBSTITUTE(SUBSTITUTE(LOWER(W28&amp;""),CHAR(10),""),CHAR(13),""),CHAR(9),""),CHAR(160),"")," ",""),".",""),"-",""),"/",""),"?",""),"_",""),",",""),"[",""),"]",""),"(",""),")",""),"*","")</f>
        <v/>
      </c>
      <c r="AZ28" s="61" t="str">
        <f aca="false">SUBSTITUTE(SUBSTITUTE(SUBSTITUTE(SUBSTITUTE(SUBSTITUTE(SUBSTITUTE(SUBSTITUTE(SUBSTITUTE(SUBSTITUTE(SUBSTITUTE(SUBSTITUTE(SUBSTITUTE(SUBSTITUTE(SUBSTITUTE(SUBSTITUTE(SUBSTITUTE(LOWER(AC28&amp;""),CHAR(10),""),CHAR(13),""),CHAR(9),""),CHAR(160),"")," ",""),".",""),"-",""),"/",""),"?",""),"_",""),",",""),"[",""),"]",""),"(",""),")",""),"*","")</f>
        <v/>
      </c>
      <c r="BA28" s="61" t="str">
        <f aca="false">SUBSTITUTE(SUBSTITUTE(SUBSTITUTE(SUBSTITUTE(SUBSTITUTE(SUBSTITUTE(SUBSTITUTE(SUBSTITUTE(SUBSTITUTE(SUBSTITUTE(SUBSTITUTE(SUBSTITUTE(SUBSTITUTE(SUBSTITUTE(SUBSTITUTE(SUBSTITUTE(LOWER(AA28&amp;""),CHAR(10),""),CHAR(13),""),CHAR(9),""),CHAR(160),"")," ",""),".",""),"-",""),"/",""),"?",""),"_",""),",",""),"[",""),"]",""),"(",""),")",""),"*","")</f>
        <v/>
      </c>
      <c r="BB28" s="61" t="str">
        <f aca="false">IF(AND(TRIM(U28)="Pass",ISNUMBER(AF28)),IF(AF28&lt;&gt;0,"INVALID – qty variance: use Fail or Pass after CA",""),"")&amp;IF(AND(TRIM(U28)="Pass after CA",ISNUMBER(AF28)),IF(AF28&lt;&gt;0,"INVALID – after the corrective action the actual qty must equal expected (update Actual)",""),"")&amp;IF(AND(TRIM(U28)="Pass",TRIM(AB28)&lt;&gt;"",TRIM(AB28)&lt;&gt;"Closed"),"INVALID – corrective action not closed: use Fail, then Pass after CA","")&amp;IF(AND(LEN(BA28)&gt;=2,ISNA(MATCH(LEFT(BA28,255),L_Placeholder,0)),TRIM(AB28)=""),"INVALID – CA status missing for the recorded corrective action","")&amp;IF(AND(TRIM(U28)="Pass after CA",OR(OR(LEN(BA28)&lt;5,ISNUMBER(MATCH(BA28,L_Placeholder,0))),TRIM(AB28)&lt;&gt;"Closed")),"INVALID – corrective action not recorded/closed","")</f>
        <v/>
      </c>
      <c r="BC28" s="61" t="str">
        <f aca="false">" "&amp;TRIM(SUBSTITUTE(SUBSTITUTE(SUBSTITUTE(SUBSTITUTE(SUBSTITUTE(SUBSTITUTE(SUBSTITUTE(SUBSTITUTE(SUBSTITUTE(SUBSTITUTE(SUBSTITUTE(SUBSTITUTE(SUBSTITUTE(SUBSTITUTE(SUBSTITUTE(SUBSTITUTE(SUBSTITUTE(SUBSTITUTE(SUBSTITUTE(SUBSTITUTE(SUBSTITUTE(SUBSTITUTE(SUBSTITUTE(SUBSTITUTE(LOWER(V28&amp;""),CHAR(10)," "),CHAR(13)," "),CHAR(9)," "),CHAR(160)," "),"."," "),","," "),"-"," "),"/"," "),"("," "),")"," "),":"," "),";"," "),"_"," "),"–"," "),"?"," "),"!"," "),"*"," "),"["," "),"]"," "),"'"," "),"#"," "),"+"," "),"&amp;"," "),"\"," "))&amp;" "</f>
        <v>  </v>
      </c>
      <c r="BD28" s="61" t="str">
        <f aca="false">" "&amp;TRIM(SUBSTITUTE(SUBSTITUTE(SUBSTITUTE(SUBSTITUTE(SUBSTITUTE(SUBSTITUTE(SUBSTITUTE(SUBSTITUTE(SUBSTITUTE(SUBSTITUTE(SUBSTITUTE(SUBSTITUTE(SUBSTITUTE(SUBSTITUTE(SUBSTITUTE(SUBSTITUTE(SUBSTITUTE(SUBSTITUTE(SUBSTITUTE(SUBSTITUTE(SUBSTITUTE(SUBSTITUTE(SUBSTITUTE(SUBSTITUTE(LOWER(Z28&amp;""),CHAR(10)," "),CHAR(13)," "),CHAR(9)," "),CHAR(160)," "),"."," "),","," "),"-"," "),"/"," "),"("," "),")"," "),":"," "),";"," "),"_"," "),"–"," "),"?"," "),"!"," "),"*"," "),"["," "),"]"," "),"'"," "),"#"," "),"+"," "),"&amp;"," "),"\"," "))&amp;" "</f>
        <v>  </v>
      </c>
      <c r="BE28" s="61" t="str">
        <f aca="false">" "&amp;TRIM(SUBSTITUTE(SUBSTITUTE(SUBSTITUTE(SUBSTITUTE(SUBSTITUTE(SUBSTITUTE(SUBSTITUTE(SUBSTITUTE(SUBSTITUTE(SUBSTITUTE(SUBSTITUTE(SUBSTITUTE(SUBSTITUTE(SUBSTITUTE(SUBSTITUTE(SUBSTITUTE(SUBSTITUTE(SUBSTITUTE(SUBSTITUTE(SUBSTITUTE(SUBSTITUTE(SUBSTITUTE(SUBSTITUTE(SUBSTITUTE(LOWER(W28&amp;""),CHAR(10)," "),CHAR(13)," "),CHAR(9)," "),CHAR(160)," "),"."," "),","," "),"-"," "),"/"," "),"("," "),")"," "),":"," "),";"," "),"_"," "),"–"," "),"?"," "),"!"," "),"*"," "),"["," "),"]"," "),"'"," "),"#"," "),"+"," "),"&amp;"," "),"\"," "))&amp;" "</f>
        <v>  </v>
      </c>
      <c r="BF28" s="61" t="str">
        <f aca="false">" "&amp;TRIM(SUBSTITUTE(SUBSTITUTE(SUBSTITUTE(SUBSTITUTE(SUBSTITUTE(SUBSTITUTE(SUBSTITUTE(SUBSTITUTE(SUBSTITUTE(SUBSTITUTE(SUBSTITUTE(SUBSTITUTE(SUBSTITUTE(SUBSTITUTE(SUBSTITUTE(SUBSTITUTE(SUBSTITUTE(SUBSTITUTE(SUBSTITUTE(SUBSTITUTE(SUBSTITUTE(SUBSTITUTE(SUBSTITUTE(SUBSTITUTE(LOWER(AC28&amp;""),CHAR(10)," "),CHAR(13)," "),CHAR(9)," "),CHAR(160)," "),"."," "),","," "),"-"," "),"/"," "),"("," "),")"," "),":"," "),";"," "),"_"," "),"–"," "),"?"," "),"!"," "),"*"," "),"["," "),"]"," "),"'"," "),"#"," "),"+"," "),"&amp;"," "),"\"," "))&amp;" "</f>
        <v>  </v>
      </c>
      <c r="BG28" s="61" t="n">
        <f aca="false">IFERROR(IF(AND(TRIM(U28)="Pass",SUMPRODUCT((LEN(BC28)-LEN(SUBSTITUTE(BC28," "&amp;L_ResultBad&amp;" "," ")))/(LEN(L_ResultBad)+1))&gt;SUMPRODUCT((LEN(BC28)-LEN(SUBSTITUTE(BC28," "&amp;L_NegPhrase&amp;" "," ")))/(LEN(L_NegPhrase)+1))),1,0),0)</f>
        <v>0</v>
      </c>
      <c r="BH28" s="61" t="n">
        <f aca="false">IFERROR(IF(SUMPRODUCT((LEN(BC28)-LEN(SUBSTITUTE(BC28," "&amp;L_Pending&amp;" "," ")))/(LEN(L_Pending)+1))&gt;SUMPRODUCT((LEN(BC28)-LEN(SUBSTITUTE(BC28," "&amp;L_PendNeg&amp;" "," ")))/(LEN(L_PendNeg)+1)),1,0),1)</f>
        <v>0</v>
      </c>
      <c r="BI28" s="61" t="n">
        <f aca="false">IFERROR(IF(SUMPRODUCT((LEN(BD28)-LEN(SUBSTITUTE(BD28," "&amp;L_PendStrict&amp;" "," ")))/(LEN(L_PendStrict)+1))&gt;SUMPRODUCT((LEN(BD28)-LEN(SUBSTITUTE(BD28," "&amp;L_PendNeg&amp;" "," ")))/(LEN(L_PendNeg)+1)),1,0),1)</f>
        <v>0</v>
      </c>
      <c r="BJ28" s="61" t="n">
        <f aca="false">IFERROR(IF(SUMPRODUCT((LEN(BE28)-LEN(SUBSTITUTE(BE28," "&amp;L_Pending&amp;" "," ")))/(LEN(L_Pending)+1))&gt;SUMPRODUCT((LEN(BE28)-LEN(SUBSTITUTE(BE28," "&amp;L_PendNeg&amp;" "," ")))/(LEN(L_PendNeg)+1)),1,0),1)</f>
        <v>0</v>
      </c>
      <c r="BK28" s="61" t="n">
        <f aca="false">IFERROR(IF(SUMPRODUCT((LEN(BF28)-LEN(SUBSTITUTE(BF28," "&amp;L_PendStrict&amp;" "," ")))/(LEN(L_PendStrict)+1))&gt;SUMPRODUCT((LEN(BF28)-LEN(SUBSTITUTE(BF28," "&amp;L_PendNeg&amp;" "," ")))/(LEN(L_PendNeg)+1)),1,0),1)</f>
        <v>0</v>
      </c>
      <c r="BL28" s="61" t="n">
        <f aca="false">IF(ISNA(MATCH(TRIM(S28),L_EvidenceType,0)),0,BZ28)</f>
        <v>0</v>
      </c>
      <c r="BM28" s="61" t="str">
        <f aca="false">SUBSTITUTE(SUBSTITUTE(SUBSTITUTE(SUBSTITUTE(SUBSTITUTE(SUBSTITUTE(SUBSTITUTE(SUBSTITUTE(SUBSTITUTE(LOWER(Z28&amp;""),"1","0"),"2","0"),"3","0"),"4","0"),"5","0"),"6","0"),"7","0"),"8","0"),"9","0")</f>
        <v/>
      </c>
      <c r="BN28" s="61" t="str">
        <f aca="false">SUBSTITUTE(SUBSTITUTE(SUBSTITUTE(SUBSTITUTE(SUBSTITUTE(SUBSTITUTE(SUBSTITUTE(SUBSTITUTE(SUBSTITUTE(SUBSTITUTE(SUBSTITUTE(SUBSTITUTE(SUBSTITUTE(SUBSTITUTE(SUBSTITUTE(SUBSTITUTE(SUBSTITUTE(SUBSTITUTE(SUBSTITUTE(SUBSTITUTE(SUBSTITUTE(SUBSTITUTE(SUBSTITUTE(SUBSTITUTE(SUBSTITUTE(BM28,"b","a"),"c","a"),"d","a"),"e","a"),"f","a"),"g","a"),"h","a"),"i","a"),"j","a"),"k","a"),"l","a"),"m","a"),"n","a"),"o","a"),"p","a"),"q","a"),"r","a"),"s","a"),"t","a"),"u","a"),"v","a"),"w","a"),"x","a"),"y","a"),"z","a")</f>
        <v/>
      </c>
      <c r="BO28" s="61" t="str">
        <f aca="false">SUBSTITUTE(SUBSTITUTE(SUBSTITUTE(SUBSTITUTE(SUBSTITUTE(SUBSTITUTE(SUBSTITUTE(SUBSTITUTE(SUBSTITUTE(LOWER(W28&amp;""),"1","0"),"2","0"),"3","0"),"4","0"),"5","0"),"6","0"),"7","0"),"8","0"),"9","0")</f>
        <v/>
      </c>
      <c r="BP28" s="61" t="str">
        <f aca="false">SUBSTITUTE(SUBSTITUTE(SUBSTITUTE(SUBSTITUTE(SUBSTITUTE(SUBSTITUTE(SUBSTITUTE(SUBSTITUTE(SUBSTITUTE(SUBSTITUTE(SUBSTITUTE(SUBSTITUTE(SUBSTITUTE(SUBSTITUTE(SUBSTITUTE(SUBSTITUTE(SUBSTITUTE(SUBSTITUTE(SUBSTITUTE(SUBSTITUTE(SUBSTITUTE(SUBSTITUTE(SUBSTITUTE(SUBSTITUTE(SUBSTITUTE(BO28,"b","a"),"c","a"),"d","a"),"e","a"),"f","a"),"g","a"),"h","a"),"i","a"),"j","a"),"k","a"),"l","a"),"m","a"),"n","a"),"o","a"),"p","a"),"q","a"),"r","a"),"s","a"),"t","a"),"u","a"),"v","a"),"w","a"),"x","a"),"y","a"),"z","a")</f>
        <v/>
      </c>
      <c r="BQ28" s="61" t="n">
        <f aca="false">IFERROR(IF(AND(ISERROR(SEARCH(" mh"," "&amp;LOWER(W28))),ISNA(MATCH(LEFT(TRIM(BP28),255),{"0000a","000a","00a","0000aa","000aa","00aa","0aa","0000aaa","000aaa","00a00","0a00","0000-0000","00:00","a00","a0","00.00.0000","00/00/0000","00-00-0000","0000-00-00","0000/00/00","0000.00.00","00.00.00","00/00/00","00-00-00","0.00.0000","0/00/0000","0-00-0000"},0)),ISNA(MATCH(LEFT(TRIM(CA28),255),{"0000a","000a","00a","0000aa","000aa","00aa","0aa","0000aaa","000aaa","00a00","0a00","0000-0000","00:00","a00","a0","00.00.0000","00/00/0000","00-00-0000","0000-00-00","0000/00/00","0000.00.00","00.00.00","00/00/00","00-00-00","0.00.0000","0/00/0000","0-00-0000"},0)),LEN(CB28)&gt;=3,NOT(OR(SUBSTITUTE(CB28,"0","")="",AND(LEN(CB28)&gt;=4,CB28=REPT(LEFT(CB28),LEN(CB28))),ISNUMBER(MATCH(CB28,{"123","1234","12345","123456","1234567","12345678","0123","01234","012345","98765","987654","54321"},0)),AND(LEN(CB28)=8,LEFT(CB28,3)="202"))),OR(AND((LEN(CA28)-LEN(SUBSTITUTE(CA28,"a","")))&gt;=1,SUMPRODUCT(--ISNUMBER(SEARCH({"a0","a-0","a_0","a/0","a.0","a#0","0a","0-a","0_a","0/a"},BP28)))&gt;0),ISNUMBER(SEARCH("000000",BP28)))),1,0),0)</f>
        <v>0</v>
      </c>
      <c r="BR28" s="61" t="n">
        <f aca="false">IFERROR(LEN(SUBSTITUTE(CC28," ",""))-SUMPRODUCT((LEN(CC28)-LEN(SUBSTITUTE(CC28," "&amp;L_Role&amp;" "," ")))/(LEN(L_Role)+1)*LEN(L_Role)),0)</f>
        <v>0</v>
      </c>
      <c r="BS28" s="61" t="n">
        <f aca="false">IFERROR(LEN(SUBSTITUTE(CD28," ",""))-SUMPRODUCT((LEN(CD28)-LEN(SUBSTITUTE(CD28," "&amp;L_Role&amp;" "," ")))/(LEN(L_Role)+1)*LEN(L_Role)),0)</f>
        <v>0</v>
      </c>
      <c r="BT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revision",""),"version",""),"jan",""),"feb",""),"mar",""),"apr",""),"may",""),"jun",""),"jul",""),"aug",""),"sep",""),"oct",""),"nov",""),"dec",""),"utc",""),"gmt",""),"myt",""),"bst",""),"rev",""),"ver",""),"b","a"),"c","a"),"d","a"),"e","a"),"f","a"),"g","a"),"h","a"),"i","a"),"j","a"),"k","a"),"l","a"),"m","a"),"n","a"),"o","a"),"p","a"),"q","a"),"r","a"),"s","a"),"t","a"),"u","a"),"v","a"),"w","a"),"x","a"),"y","a"),"z","a")</f>
        <v/>
      </c>
      <c r="BU28" s="61" t="str">
        <f aca="false">SUBSTITUTE(SUBSTITUTE(SUBSTITUTE(SUBSTITUTE(SUBSTITUTE(SUBSTITUTE(SUBSTITUTE(SUBSTITUTE(SUBSTITUTE(SUBSTITUTE(LEFT(BM28,FIND("0",BM28&amp;"0")-1),"-",""),"_",""),"/",""),".",""),"#",""),"\\",""),":","")," ",""),"(",""),")","")</f>
        <v/>
      </c>
      <c r="BV28" s="61" t="n">
        <f aca="false">IFERROR(IF(OR(SUMPRODUCT((LEN(BC28)-LEN(SUBSTITUTE(BC28," "&amp;L_NotLoaded&amp;" "," ")))/(LEN(L_NotLoaded)+1))&gt;SUMPRODUCT((LEN(BC28)-LEN(SUBSTITUTE(BC28," "&amp;L_NotLoadedNeg&amp;" "," ")))/(LEN(L_NotLoadedNeg)+1)),SUMPRODUCT((LEN(BD28)-LEN(SUBSTITUTE(BD28," "&amp;L_NotLoaded&amp;" "," ")))/(LEN(L_NotLoaded)+1))&gt;SUMPRODUCT((LEN(BD28)-LEN(SUBSTITUTE(BD28," "&amp;L_NotLoadedNeg&amp;" "," ")))/(LEN(L_NotLoadedNeg)+1))),1,0),0)</f>
        <v>0</v>
      </c>
      <c r="BW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amp;""),"a",""),"b",""),"c",""),"d",""),"e",""),"f",""),"g",""),"h",""),"i",""),"j",""),"k",""),"l",""),"m",""),"n",""),"o",""),"p",""),"q",""),"r",""),"s",""),"t",""),"u",""),"v",""),"w",""),"x",""),"y",""),"z",""),"-",""),"_",""),"/",""),".",""),"#",""),"\\",""),":","")," ",""),"(",""),")","")</f>
        <v/>
      </c>
      <c r="BX28" s="61" t="str">
        <f aca="false">SUBSTITUTE(SUBSTITUTE(SUBSTITUTE(SUBSTITUTE(SUBSTITUTE(SUBSTITUTE(SUBSTITUTE(SUBSTITUTE(SUBSTITUTE(SUBSTITUTE(SUBSTITUTE(BM28,"0",""),"-",""),"_",""),"/",""),".",""),"#",""),"\\",""),":","")," ",""),"(",""),")","")</f>
        <v/>
      </c>
      <c r="BY28" s="62" t="n">
        <f aca="false">IF(ISNUMBER(Flights!$AZ$5),MAX(Q28-UpliftWindowH/24,Flights!$AZ$5),Q28-UpliftWindowH/24)</f>
        <v>46303.6076388889</v>
      </c>
      <c r="BZ28" s="61" t="n">
        <f aca="false">IFERROR(IF(IF(TRIM(S28)="Link / file path",AND(LEN(TRIM(Z28))&gt;=5,SUMPRODUCT(--ISNUMBER(SEARCH({"http","www.","\\",":\",".pdf",".jpg",".jpeg",".png",".heic",".xls",".doc",".msg",".eml",".ppt",".txt",".zip"},Z28)))&gt;0),AND(ISERROR(FIND(" ",TRIM(Z28))),NOT(OR(SUMPRODUCT(--ISNUMBER(FIND({",",";","&amp;","+"},Z28)))&gt;0,SUMPRODUCT(--ISNUMBER(SEARCH({"0/aa","0\\aa"},BN28)))&gt;0)),NOT(SUMPRODUCT(--ISNUMBER(SEARCH({"http","www.","\\",":\",".pdf",".jpg",".jpeg",".png",".heic",".xls",".doc",".msg",".eml",".ppt",".txt",".zip"},Z28)))&gt;0),NOT(LOWER(TRIM(Z28))=LOWER(Flights!$F$5)),ISNA(MATCH(BU28,{"mh","rev","revision","ver","version","v","r","a","b","seat","tray","row","gate","bay","stand","page","pg","item","line","no","cart","galley","flight","flt","table","box","bag","oven","etd","eta","std","sta","atd","ata","qty","pax","x","time","tel","ph","mob","day","wk","week","utc","gmt","myt","lt"},0)),NOT(OR(ISNUMBER(MATCH(LEFT(BN28,255),{"0000a","000a","00a","0000aa","000aa","00aa","0aa","0000aaa","000aaa","00a00","0a00","0000-0000","00:00","a00","a0","00.00.0000","00/00/0000","00-00-0000","0000-00-00","0000/00/00","0000.00.00","00.00.00","00/00/00","00-00-00","0.00.0000","0/00/0000","0-00-0000"},0)),ISNUMBER(MATCH(LEFT(BT28,255),{"0000a","000a","00a","0000aa","000aa","00aa","0aa","0000aaa","000aaa","00a00","0a00","0000-0000","00:00","a00","a0","00.00.0000","00/00/0000","00-00-0000","0000-00-00","0000/00/00","0000.00.00","00.00.00","00/00/00","00-00-00","0.00.0000","0/00/0000","0-00-0000"},0)))),NOT(OR(AND(BW28&lt;&gt;"",SUBSTITUTE(BW28,"0","")=""),AND(LEN(BW28)&gt;=4,BW28=REPT(LEFT(BW28),LEN(BW28))),ISNUMBER(MATCH(BW28,{"123","1234","12345","123456","1234567","12345678","0123","01234","012345","98765","987654","54321"},0)),ISNUMBER(MATCH(BX28,{"x","xx","xxx","xxxx","xxxxx","abc","abcd","nil","na","nan","test","tbc","tba","tbd","dummy","sample","example","eg","zz","zzz","none","null","xyz","qwe","asd","id","ref"},0)),AND(LEN(BW28)=8,BX28="",OR(LEFT(BW28,3)="202",ISNUMBER(MATCH(RIGHT(BW28,4),{"2025","2026","2027"},0)))))),OR(AND((LEN(BT28)-LEN(SUBSTITUTE(BT28,"a","")))&gt;=1,(LEN(BN28)-LEN(SUBSTITUTE(BN28,"0","")))&gt;=2,SUMPRODUCT(--ISNUMBER(SEARCH({"a0","a-0","a_0","a/0","a.0","a#0","0a","0-a","0_a","0/a"},BN28)))&gt;0),AND((LEN(BN28)-LEN(SUBSTITUTE(BN28,"a","")))=0,(LEN(BN28)-LEN(SUBSTITUTE(BN28,"0","")))&gt;=5)))),1,0),0)</f>
        <v>0</v>
      </c>
      <c r="CA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revision",""),"version",""),"jan",""),"feb",""),"mar",""),"apr",""),"may",""),"jun",""),"jul",""),"aug",""),"sep",""),"oct",""),"nov",""),"dec",""),"utc",""),"gmt",""),"myt",""),"bst",""),"rev",""),"ver",""),"b","a"),"c","a"),"d","a"),"e","a"),"f","a"),"g","a"),"h","a"),"i","a"),"j","a"),"k","a"),"l","a"),"m","a"),"n","a"),"o","a"),"p","a"),"q","a"),"r","a"),"s","a"),"t","a"),"u","a"),"v","a"),"w","a"),"x","a"),"y","a"),"z","a")</f>
        <v/>
      </c>
      <c r="CB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amp;""),"a",""),"b",""),"c",""),"d",""),"e",""),"f",""),"g",""),"h",""),"i",""),"j",""),"k",""),"l",""),"m",""),"n",""),"o",""),"p",""),"q",""),"r",""),"s",""),"t",""),"u",""),"v",""),"w",""),"x",""),"y",""),"z",""),"-",""),"_",""),"/",""),".",""),"#",""),"\\",""),":","")," ",""),"(",""),")","")</f>
        <v/>
      </c>
      <c r="CC28" s="0" t="str">
        <f aca="false">" "&amp;TRIM(SUBSTITUTE(SUBSTITUTE(SUBSTITUTE(SUBSTITUTE(SUBSTITUTE(SUBSTITUTE(SUBSTITUTE(SUBSTITUTE(SUBSTITUTE(SUBSTITUTE(SUBSTITUTE(SUBSTITUTE(SUBSTITUTE(SUBSTITUTE(SUBSTITUTE(SUBSTITUTE(SUBSTITUTE(SUBSTITUTE(SUBSTITUTE(SUBSTITUTE(SUBSTITUTE(SUBSTITUTE(SUBSTITUTE(SUBSTITUTE(LOWER(T28&amp;""),CHAR(10)," "),CHAR(13)," "),CHAR(9)," "),CHAR(160)," "),"."," "),","," "),"-"," "),"/"," "),"("," "),")"," "),":"," "),";"," "),"_"," "),"–"," "),"?"," "),"!"," "),"*"," "),"["," "),"]"," "),"'"," "),"#"," "),"+"," "),"&amp;"," "),"\"," "))&amp;" "</f>
        <v>  </v>
      </c>
      <c r="CD28" s="0" t="str">
        <f aca="false">" "&amp;TRIM(SUBSTITUTE(SUBSTITUTE(SUBSTITUTE(SUBSTITUTE(SUBSTITUTE(SUBSTITUTE(SUBSTITUTE(SUBSTITUTE(SUBSTITUTE(SUBSTITUTE(SUBSTITUTE(SUBSTITUTE(SUBSTITUTE(SUBSTITUTE(SUBSTITUTE(SUBSTITUTE(SUBSTITUTE(SUBSTITUTE(SUBSTITUTE(SUBSTITUTE(SUBSTITUTE(SUBSTITUTE(SUBSTITUTE(SUBSTITUTE(LOWER(AE28&amp;""),CHAR(10)," "),CHAR(13)," "),CHAR(9)," "),CHAR(160)," "),"."," "),","," "),"-"," "),"/"," "),"("," "),")"," "),":"," "),";"," "),"_"," "),"–"," "),"?"," "),"!"," "),"*"," "),"["," "),"]"," "),"'"," "),"#"," "),"+"," "),"&amp;"," "),"\"," "))&amp;" "</f>
        <v>  </v>
      </c>
      <c r="CE28" s="68" t="n">
        <f aca="false">IFERROR(IF(AND(LEN(AU28)&gt;0,LEN(AU28)=LEN(AX28),OR(TRIM(MID(SUBSTITUTE(TRIM(CC28)," ",REPT(" ",60)),1,60))="",ISNUMBER(SEARCH(" "&amp;TRIM(MID(SUBSTITUTE(TRIM(CC28)," ",REPT(" ",60)),1,60))&amp;" ",CD28))),OR(TRIM(MID(SUBSTITUTE(TRIM(CC28)," ",REPT(" ",60)),61,60))="",ISNUMBER(SEARCH(" "&amp;TRIM(MID(SUBSTITUTE(TRIM(CC28)," ",REPT(" ",60)),61,60))&amp;" ",CD28))),OR(TRIM(MID(SUBSTITUTE(TRIM(CC28)," ",REPT(" ",60)),121,60))="",ISNUMBER(SEARCH(" "&amp;TRIM(MID(SUBSTITUTE(TRIM(CC28)," ",REPT(" ",60)),121,60))&amp;" ",CD28)))),1,0),0)</f>
        <v>0</v>
      </c>
      <c r="CG28" s="68" t="n">
        <f aca="false">IFERROR(LEN(SUBSTITUTE(BF28," ",""))-SUMPRODUCT((LEN(BF28)-LEN(SUBSTITUTE(BF28," "&amp;L_NAFiller&amp;" "," ")))/(LEN(L_NAFiller)+1)*LEN(L_NAFiller)),0)</f>
        <v>0</v>
      </c>
    </row>
    <row r="29" customFormat="false" ht="54" hidden="false" customHeight="true" outlineLevel="0" collapsed="false">
      <c r="A29" s="57" t="s">
        <v>470</v>
      </c>
      <c r="B29" s="57" t="s">
        <v>183</v>
      </c>
      <c r="C29" s="57" t="str">
        <f aca="false">Flights!$F$5</f>
        <v>MH0001</v>
      </c>
      <c r="D29" s="58" t="n">
        <f aca="false">Flights!$D$5</f>
        <v>46303</v>
      </c>
      <c r="E29" s="57" t="str">
        <f aca="false">Flights!$G$5&amp;"-"&amp;Flights!$H$5</f>
        <v>LHR-KUL</v>
      </c>
      <c r="F29" s="57" t="str">
        <f aca="false">Flights!$K$5</f>
        <v>EY</v>
      </c>
      <c r="G29" s="57" t="s">
        <v>459</v>
      </c>
      <c r="H29" s="57" t="s">
        <v>460</v>
      </c>
      <c r="I29" s="57" t="s">
        <v>447</v>
      </c>
      <c r="J29" s="57" t="s">
        <v>471</v>
      </c>
      <c r="K29" s="67" t="s">
        <v>455</v>
      </c>
      <c r="L29" s="67" t="s">
        <v>456</v>
      </c>
      <c r="M29" s="67" t="s">
        <v>451</v>
      </c>
      <c r="N29" s="67" t="s">
        <v>383</v>
      </c>
      <c r="O29" s="67" t="s">
        <v>472</v>
      </c>
      <c r="P29" s="57" t="s">
        <v>186</v>
      </c>
      <c r="Q29" s="59" t="n">
        <f aca="false">ROUND((Flights!$AF$5)*1440,0)/1440</f>
        <v>46303.8576388889</v>
      </c>
      <c r="R29" s="59" t="n">
        <f aca="false">Q29+(IF(AND(INDEX(TZ_DSTS,MATCH(P29,TZ_STN,0))&lt;&gt;"",Q29&gt;=INDEX(TZ_DSTS,MATCH(P29,TZ_STN,0)),Q29&lt;INDEX(TZ_DSTE,MATCH(P29,TZ_STN,0))),INDEX(TZ_DST,MATCH(P29,TZ_STN,0)),INDEX(TZ_STD,MATCH(P29,TZ_STN,0))))/24</f>
        <v>46303.8993055556</v>
      </c>
      <c r="S29" s="60"/>
      <c r="T29" s="60"/>
      <c r="U29" s="60"/>
      <c r="V29" s="60"/>
      <c r="W29" s="61"/>
      <c r="X29" s="69" t="str">
        <f aca="false">IF(TRIM(Flights!$N$5)="","",IF(ISNUMBER(SEARCH("MAH",Flights!$N$5)),280,260))</f>
        <v/>
      </c>
      <c r="Y29" s="60"/>
      <c r="Z29" s="60"/>
      <c r="AA29" s="60"/>
      <c r="AB29" s="60"/>
      <c r="AC29" s="60"/>
      <c r="AD29" s="66"/>
      <c r="AE29" s="60"/>
      <c r="AF29" s="61" t="str">
        <f aca="false">IF(AND(ISNUMBER(X29),ISNUMBER(Y29)),Y29-X29,"")</f>
        <v/>
      </c>
      <c r="AG29" s="62" t="str">
        <f aca="false">IF(ISNUMBER(AD29),AD29-(IF(AND(INDEX(TZ_DSTS,MATCH(P29,TZ_STN,0))&lt;&gt;"",(AD29-INDEX(TZ_STD,MATCH(P29,TZ_STN,0))/24)&gt;=INDEX(TZ_DSTS,MATCH(P29,TZ_STN,0)),(AD29-INDEX(TZ_STD,MATCH(P29,TZ_STN,0))/24)&lt;INDEX(TZ_DSTE,MATCH(P29,TZ_STN,0))),INDEX(TZ_DST,MATCH(P29,TZ_STN,0)),INDEX(TZ_STD,MATCH(P29,TZ_STN,0))))/24,"")</f>
        <v/>
      </c>
      <c r="AH29" s="65" t="str">
        <f aca="false">IFERROR(IF(N29="N/A – rule",IF(OR(TRIM(U29)="",TRIM(U29)="N/A",TRIM(U29)="Not started"),"N/A – RULE","INVALID – this check does not apply to this aircraft: clear the status (or correct the fleet on Flights)"),IF(TRIM(U29)="N/A",IF(AT29=0,"INVALID – N/A not permitted for this check",IF(AND(TRIM(AB29)&lt;&gt;"",TRIM(AB29)&lt;&gt;"Closed"),"INVALID – corrective action still open",IF(AND(NOT(OR(LEN(AZ29)&lt;15,ISNUMBER(MATCH(AZ29,L_Placeholder,0)))),BK29=0,CG29&gt;=8,NOT(OR(LEN(AU29)&lt;2,ISNUMBER(MATCH(AU29,L_Placeholder,0)))),BR29&gt;=3,NOT(OR(LEN(AX29)&lt;2,ISNUMBER(MATCH(AX29,L_Placeholder,0)))),BS29&gt;=3,TRIM(AE29)&lt;&gt;TRIM(T29),AX29&lt;&gt;AU29,CE29=0),"N/A – JUSTIFIED","INVALID – N/A needs a real, settled reason (not 'not applicable' / 'as above' / TBC), a named PIC and a different named verifier"))),IF(OR(TRIM(U29)="Pass",TRIM(U29)="Pass after CA"),IF(NOT(ISNUMBER(AD29)),"INVALID – completion time missing",IF(OR(OR(LEN(AU29)&lt;2,ISNUMBER(MATCH(AU29,L_Placeholder,0))),BR29&lt;3),"INVALID – PIC missing or not a named person (a role such as QA / CSM is not a name)",IF(OR(LEN(AV29)&lt;2,ISNUMBER(MATCH(AV29,L_Placeholder,0))),"INVALID – result / assessment missing",IF(OR(OR(LEN(AW29)&lt;3,ISNUMBER(MATCH(AW29,L_Placeholder,0))),SUMPRODUCT(--ISNUMBER(SEARCH(" "&amp;L_EvidencePhrase&amp;" ",BD29)))&gt;0,BI29=1),"INVALID – evidence missing, placeholder or not yet on file",IF(ISNA(MATCH(TRIM(S29),L_EvidenceType,0)),"INVALID – choose the evidence type from the list (column S)",IF(BL29=0,"INVALID – evidence ID must be the record's own ID only (e.g. SF-2210, IMG_2231, 1045521); a link / file name needs type 'Link / file path'",IF(OR(OR(LEN(AX29)&lt;2,ISNUMBER(MATCH(AX29,L_Placeholder,0))),BS29&lt;3),"INVALID – verifier missing or not a named person (a role such as QA / CSM is not a name)",IF(OR(AX29=AU29,CE29=1,AND(LEN(AU29)&gt;=4,ISNUMBER(SEARCH(AU29,AX29))),AND(LEN(AX29)&gt;=4,ISNUMBER(SEARCH(AX29,AU29)))),"INVALID – verifier must be a different, named person (not the PIC or a role)",IF(BH29=1,"INVALID – result not yet available (awaiting / TBC)",IF(BG29=1,"INVALID – result describes a problem: record Fail, then Pass after CA (or reword if it is not a problem)",IF(BV29=1,"INVALID – wording says not on board: an on-board confirmation needs the item loaded",IF(AND(AQ29=1,OR(OR(LEN(AY29)&lt;3,ISNUMBER(MATCH(AY29,L_Placeholder,0))),BJ29=1,BQ29=0)),"INVALID – batch ID missing, placeholder or not an ID (e.g. PASB-261008-BC-017)",IF(AND(AR29=1,OR(NOT(ISNUMBER(X29)),NOT(ISNUMBER(Y29)))),"INVALID – expected/actual qty missing",IF(AND(AR29=1,OR(X29&lt;=0,Y29&lt;0)),"INVALID – expected qty must be above 0 and actual not negative",IF(AH24="N/A – JUSTIFIED","INVALID – preparation row F01-T12-10 is N/A",IF(AND(AR29=1,ISNUMBER(X24),X29&lt;&gt;X24,TRIM(U29)&lt;&gt;"Pass after CA"),"INVALID – expected qty differs from preparation check F01-T12-10: record the load change as a corrective action (Pass after CA)",IF(BB29&lt;&gt;"",BB29,IF(AND(AS29=1,Documents!$J$5&lt;&gt;"ON FILE"),"INVALID – GLD not on file (Documents sheet)",IF(AND(AS29=2,Documents!$O$5&lt;&gt;"ON FILE"),"INVALID – menu checklist not on file (Documents sheet)",IF(AND(AS29=3,NOT(ISNUMBER(Flights!$AX$5))),"INVALID – enter carrying flight KUL departure (Flights AX)",IF(AND(AS29=3,OR(Flights!$AZ$5&gt;Flights!$AA$5,Flights!$AX$5&lt;Flights!$AA$5-3)),"INVALID – carrying flight (Flights AX) cannot arrive before this leg's STD, or is over 3 days early",IF(AG29&gt;AsOfUTC,"INVALID – completion time is in the future",IF(AND(ISNUMBER(BY29),AG29&lt;BY29),IF(H29="Physical uplift","INVALID – before uplift window (cannot confirm loading)","INVALID – before valid window"),IF(AG29&gt;Flights!$AA$5,"INVALID – completed after departure (cannot establish readiness)",IF(AND(H29="Preparation",AG29&gt;=IF(ISNUMBER(Flights!$BA$5),MIN(Flights!$BA$5,Flights!$AA$5),Flights!$AA$5)),"INVALID – completed after loading / departure (cannot establish readiness)",IF(AND(H29="Physical uplift",AG29&gt;Q29),"INVALID – recorded after the loading flight departed",IF(AG29&gt;Q29,"COMPLETE – LATE","COMPLETE"))))))))))))))))))))))))))),IF(TRIM(U29)="Fail","FAIL – DISCREPANCY",IF(AND(TRIM(U29)&lt;&gt;"",TRIM(U29)&lt;&gt;"Not started",TRIM(U29)&lt;&gt;"In progress"),"INVALID – unrecognised status (use the list)",IF(AsOfUTC&gt;Q29,"OVERDUE",IF(N29="Clarification required","OPEN – CLARIFICATION","OPEN"))))))),"INVALID – error value in an input cell")</f>
        <v>OPEN</v>
      </c>
      <c r="AI29" s="61" t="n">
        <f aca="false">IF(OR(AH29="N/A – RULE",AH29="N/A – JUSTIFIED"),0,1)</f>
        <v>1</v>
      </c>
      <c r="AJ29" s="61" t="n">
        <f aca="false">IF(LEFT(AH29,8)="COMPLETE",1,0)</f>
        <v>0</v>
      </c>
      <c r="AK29" s="61" t="n">
        <f aca="false">IF(AND(AI29=1,AJ29=0,AsOfUTC&gt;Q29),1,0)</f>
        <v>0</v>
      </c>
      <c r="AL29" s="61" t="n">
        <f aca="false">IFERROR(IF(AND(AI29=1,OR(TRIM(U29)="Fail",AND(TRIM(AB29)&lt;&gt;"",TRIM(AB29)&lt;&gt;"Closed"),AND(ISNUMBER(AF29),AF29&lt;&gt;0,TRIM(U29)&lt;&gt;"Pass after CA"))),1,0),1)</f>
        <v>0</v>
      </c>
      <c r="AM29" s="61" t="n">
        <f aca="false">IF(LEFT(AH29,7)="INVALID",1,0)</f>
        <v>0</v>
      </c>
      <c r="AN29" s="61" t="n">
        <f aca="false">IF(AND(N29="Clarification required",AI29=1,AJ29=0),1,0)</f>
        <v>0</v>
      </c>
      <c r="AO29" s="61" t="str">
        <f aca="false">IF(AK29=1,SUM(AK$5:AK29),"")</f>
        <v/>
      </c>
      <c r="AP29" s="61" t="str">
        <f aca="false">IF(AL29=1,SUM(AL$5:AL29),"")</f>
        <v/>
      </c>
      <c r="AQ29" s="61" t="n">
        <v>0</v>
      </c>
      <c r="AR29" s="61" t="n">
        <v>1</v>
      </c>
      <c r="AS29" s="61" t="n">
        <v>0</v>
      </c>
      <c r="AT29" s="61" t="n">
        <v>0</v>
      </c>
      <c r="AU29" s="61" t="str">
        <f aca="false">SUBSTITUTE(SUBSTITUTE(SUBSTITUTE(SUBSTITUTE(SUBSTITUTE(SUBSTITUTE(SUBSTITUTE(SUBSTITUTE(SUBSTITUTE(SUBSTITUTE(SUBSTITUTE(SUBSTITUTE(SUBSTITUTE(SUBSTITUTE(SUBSTITUTE(SUBSTITUTE(LOWER(T29&amp;""),CHAR(10),""),CHAR(13),""),CHAR(9),""),CHAR(160),"")," ",""),".",""),"-",""),"/",""),"?",""),"_",""),",",""),"[",""),"]",""),"(",""),")",""),"*","")</f>
        <v/>
      </c>
      <c r="AV29" s="61" t="str">
        <f aca="false">SUBSTITUTE(SUBSTITUTE(SUBSTITUTE(SUBSTITUTE(SUBSTITUTE(SUBSTITUTE(SUBSTITUTE(SUBSTITUTE(SUBSTITUTE(SUBSTITUTE(SUBSTITUTE(SUBSTITUTE(SUBSTITUTE(SUBSTITUTE(SUBSTITUTE(SUBSTITUTE(LOWER(V29&amp;""),CHAR(10),""),CHAR(13),""),CHAR(9),""),CHAR(160),"")," ",""),".",""),"-",""),"/",""),"?",""),"_",""),",",""),"[",""),"]",""),"(",""),")",""),"*","")</f>
        <v/>
      </c>
      <c r="AW29" s="61" t="str">
        <f aca="false">SUBSTITUTE(SUBSTITUTE(SUBSTITUTE(SUBSTITUTE(SUBSTITUTE(SUBSTITUTE(SUBSTITUTE(SUBSTITUTE(SUBSTITUTE(SUBSTITUTE(SUBSTITUTE(SUBSTITUTE(SUBSTITUTE(SUBSTITUTE(SUBSTITUTE(SUBSTITUTE(LOWER(Z29&amp;""),CHAR(10),""),CHAR(13),""),CHAR(9),""),CHAR(160),"")," ",""),".",""),"-",""),"/",""),"?",""),"_",""),",",""),"[",""),"]",""),"(",""),")",""),"*","")</f>
        <v/>
      </c>
      <c r="AX29" s="61" t="str">
        <f aca="false">SUBSTITUTE(SUBSTITUTE(SUBSTITUTE(SUBSTITUTE(SUBSTITUTE(SUBSTITUTE(SUBSTITUTE(SUBSTITUTE(SUBSTITUTE(SUBSTITUTE(SUBSTITUTE(SUBSTITUTE(SUBSTITUTE(SUBSTITUTE(SUBSTITUTE(SUBSTITUTE(LOWER(AE29&amp;""),CHAR(10),""),CHAR(13),""),CHAR(9),""),CHAR(160),"")," ",""),".",""),"-",""),"/",""),"?",""),"_",""),",",""),"[",""),"]",""),"(",""),")",""),"*","")</f>
        <v/>
      </c>
      <c r="AY29" s="61" t="str">
        <f aca="false">SUBSTITUTE(SUBSTITUTE(SUBSTITUTE(SUBSTITUTE(SUBSTITUTE(SUBSTITUTE(SUBSTITUTE(SUBSTITUTE(SUBSTITUTE(SUBSTITUTE(SUBSTITUTE(SUBSTITUTE(SUBSTITUTE(SUBSTITUTE(SUBSTITUTE(SUBSTITUTE(LOWER(W29&amp;""),CHAR(10),""),CHAR(13),""),CHAR(9),""),CHAR(160),"")," ",""),".",""),"-",""),"/",""),"?",""),"_",""),",",""),"[",""),"]",""),"(",""),")",""),"*","")</f>
        <v/>
      </c>
      <c r="AZ29" s="61" t="str">
        <f aca="false">SUBSTITUTE(SUBSTITUTE(SUBSTITUTE(SUBSTITUTE(SUBSTITUTE(SUBSTITUTE(SUBSTITUTE(SUBSTITUTE(SUBSTITUTE(SUBSTITUTE(SUBSTITUTE(SUBSTITUTE(SUBSTITUTE(SUBSTITUTE(SUBSTITUTE(SUBSTITUTE(LOWER(AC29&amp;""),CHAR(10),""),CHAR(13),""),CHAR(9),""),CHAR(160),"")," ",""),".",""),"-",""),"/",""),"?",""),"_",""),",",""),"[",""),"]",""),"(",""),")",""),"*","")</f>
        <v/>
      </c>
      <c r="BA29" s="61" t="str">
        <f aca="false">SUBSTITUTE(SUBSTITUTE(SUBSTITUTE(SUBSTITUTE(SUBSTITUTE(SUBSTITUTE(SUBSTITUTE(SUBSTITUTE(SUBSTITUTE(SUBSTITUTE(SUBSTITUTE(SUBSTITUTE(SUBSTITUTE(SUBSTITUTE(SUBSTITUTE(SUBSTITUTE(LOWER(AA29&amp;""),CHAR(10),""),CHAR(13),""),CHAR(9),""),CHAR(160),"")," ",""),".",""),"-",""),"/",""),"?",""),"_",""),",",""),"[",""),"]",""),"(",""),")",""),"*","")</f>
        <v/>
      </c>
      <c r="BB29" s="61" t="str">
        <f aca="false">IF(AND(TRIM(U29)="Pass",ISNUMBER(AF29)),IF(AF29&lt;&gt;0,"INVALID – qty variance: use Fail or Pass after CA",""),"")&amp;IF(AND(TRIM(U29)="Pass after CA",ISNUMBER(AF29)),IF(AF29&lt;&gt;0,"INVALID – after the corrective action the actual qty must equal expected (update Actual)",""),"")&amp;IF(AND(TRIM(U29)="Pass",TRIM(AB29)&lt;&gt;"",TRIM(AB29)&lt;&gt;"Closed"),"INVALID – corrective action not closed: use Fail, then Pass after CA","")&amp;IF(AND(LEN(BA29)&gt;=2,ISNA(MATCH(LEFT(BA29,255),L_Placeholder,0)),TRIM(AB29)=""),"INVALID – CA status missing for the recorded corrective action","")&amp;IF(AND(TRIM(U29)="Pass after CA",OR(OR(LEN(BA29)&lt;5,ISNUMBER(MATCH(BA29,L_Placeholder,0))),TRIM(AB29)&lt;&gt;"Closed")),"INVALID – corrective action not recorded/closed","")</f>
        <v/>
      </c>
      <c r="BC29" s="61" t="str">
        <f aca="false">" "&amp;TRIM(SUBSTITUTE(SUBSTITUTE(SUBSTITUTE(SUBSTITUTE(SUBSTITUTE(SUBSTITUTE(SUBSTITUTE(SUBSTITUTE(SUBSTITUTE(SUBSTITUTE(SUBSTITUTE(SUBSTITUTE(SUBSTITUTE(SUBSTITUTE(SUBSTITUTE(SUBSTITUTE(SUBSTITUTE(SUBSTITUTE(SUBSTITUTE(SUBSTITUTE(SUBSTITUTE(SUBSTITUTE(SUBSTITUTE(SUBSTITUTE(LOWER(V29&amp;""),CHAR(10)," "),CHAR(13)," "),CHAR(9)," "),CHAR(160)," "),"."," "),","," "),"-"," "),"/"," "),"("," "),")"," "),":"," "),";"," "),"_"," "),"–"," "),"?"," "),"!"," "),"*"," "),"["," "),"]"," "),"'"," "),"#"," "),"+"," "),"&amp;"," "),"\"," "))&amp;" "</f>
        <v>  </v>
      </c>
      <c r="BD29" s="61" t="str">
        <f aca="false">" "&amp;TRIM(SUBSTITUTE(SUBSTITUTE(SUBSTITUTE(SUBSTITUTE(SUBSTITUTE(SUBSTITUTE(SUBSTITUTE(SUBSTITUTE(SUBSTITUTE(SUBSTITUTE(SUBSTITUTE(SUBSTITUTE(SUBSTITUTE(SUBSTITUTE(SUBSTITUTE(SUBSTITUTE(SUBSTITUTE(SUBSTITUTE(SUBSTITUTE(SUBSTITUTE(SUBSTITUTE(SUBSTITUTE(SUBSTITUTE(SUBSTITUTE(LOWER(Z29&amp;""),CHAR(10)," "),CHAR(13)," "),CHAR(9)," "),CHAR(160)," "),"."," "),","," "),"-"," "),"/"," "),"("," "),")"," "),":"," "),";"," "),"_"," "),"–"," "),"?"," "),"!"," "),"*"," "),"["," "),"]"," "),"'"," "),"#"," "),"+"," "),"&amp;"," "),"\"," "))&amp;" "</f>
        <v>  </v>
      </c>
      <c r="BE29" s="61" t="str">
        <f aca="false">" "&amp;TRIM(SUBSTITUTE(SUBSTITUTE(SUBSTITUTE(SUBSTITUTE(SUBSTITUTE(SUBSTITUTE(SUBSTITUTE(SUBSTITUTE(SUBSTITUTE(SUBSTITUTE(SUBSTITUTE(SUBSTITUTE(SUBSTITUTE(SUBSTITUTE(SUBSTITUTE(SUBSTITUTE(SUBSTITUTE(SUBSTITUTE(SUBSTITUTE(SUBSTITUTE(SUBSTITUTE(SUBSTITUTE(SUBSTITUTE(SUBSTITUTE(LOWER(W29&amp;""),CHAR(10)," "),CHAR(13)," "),CHAR(9)," "),CHAR(160)," "),"."," "),","," "),"-"," "),"/"," "),"("," "),")"," "),":"," "),";"," "),"_"," "),"–"," "),"?"," "),"!"," "),"*"," "),"["," "),"]"," "),"'"," "),"#"," "),"+"," "),"&amp;"," "),"\"," "))&amp;" "</f>
        <v>  </v>
      </c>
      <c r="BF29" s="61" t="str">
        <f aca="false">" "&amp;TRIM(SUBSTITUTE(SUBSTITUTE(SUBSTITUTE(SUBSTITUTE(SUBSTITUTE(SUBSTITUTE(SUBSTITUTE(SUBSTITUTE(SUBSTITUTE(SUBSTITUTE(SUBSTITUTE(SUBSTITUTE(SUBSTITUTE(SUBSTITUTE(SUBSTITUTE(SUBSTITUTE(SUBSTITUTE(SUBSTITUTE(SUBSTITUTE(SUBSTITUTE(SUBSTITUTE(SUBSTITUTE(SUBSTITUTE(SUBSTITUTE(LOWER(AC29&amp;""),CHAR(10)," "),CHAR(13)," "),CHAR(9)," "),CHAR(160)," "),"."," "),","," "),"-"," "),"/"," "),"("," "),")"," "),":"," "),";"," "),"_"," "),"–"," "),"?"," "),"!"," "),"*"," "),"["," "),"]"," "),"'"," "),"#"," "),"+"," "),"&amp;"," "),"\"," "))&amp;" "</f>
        <v>  </v>
      </c>
      <c r="BG29" s="61" t="n">
        <f aca="false">IFERROR(IF(AND(TRIM(U29)="Pass",SUMPRODUCT((LEN(BC29)-LEN(SUBSTITUTE(BC29," "&amp;L_ResultBad&amp;" "," ")))/(LEN(L_ResultBad)+1))&gt;SUMPRODUCT((LEN(BC29)-LEN(SUBSTITUTE(BC29," "&amp;L_NegPhrase&amp;" "," ")))/(LEN(L_NegPhrase)+1))),1,0),0)</f>
        <v>0</v>
      </c>
      <c r="BH29" s="61" t="n">
        <f aca="false">IFERROR(IF(SUMPRODUCT((LEN(BC29)-LEN(SUBSTITUTE(BC29," "&amp;L_Pending&amp;" "," ")))/(LEN(L_Pending)+1))&gt;SUMPRODUCT((LEN(BC29)-LEN(SUBSTITUTE(BC29," "&amp;L_PendNeg&amp;" "," ")))/(LEN(L_PendNeg)+1)),1,0),1)</f>
        <v>0</v>
      </c>
      <c r="BI29" s="61" t="n">
        <f aca="false">IFERROR(IF(SUMPRODUCT((LEN(BD29)-LEN(SUBSTITUTE(BD29," "&amp;L_PendStrict&amp;" "," ")))/(LEN(L_PendStrict)+1))&gt;SUMPRODUCT((LEN(BD29)-LEN(SUBSTITUTE(BD29," "&amp;L_PendNeg&amp;" "," ")))/(LEN(L_PendNeg)+1)),1,0),1)</f>
        <v>0</v>
      </c>
      <c r="BJ29" s="61" t="n">
        <f aca="false">IFERROR(IF(SUMPRODUCT((LEN(BE29)-LEN(SUBSTITUTE(BE29," "&amp;L_Pending&amp;" "," ")))/(LEN(L_Pending)+1))&gt;SUMPRODUCT((LEN(BE29)-LEN(SUBSTITUTE(BE29," "&amp;L_PendNeg&amp;" "," ")))/(LEN(L_PendNeg)+1)),1,0),1)</f>
        <v>0</v>
      </c>
      <c r="BK29" s="61" t="n">
        <f aca="false">IFERROR(IF(SUMPRODUCT((LEN(BF29)-LEN(SUBSTITUTE(BF29," "&amp;L_PendStrict&amp;" "," ")))/(LEN(L_PendStrict)+1))&gt;SUMPRODUCT((LEN(BF29)-LEN(SUBSTITUTE(BF29," "&amp;L_PendNeg&amp;" "," ")))/(LEN(L_PendNeg)+1)),1,0),1)</f>
        <v>0</v>
      </c>
      <c r="BL29" s="61" t="n">
        <f aca="false">IF(ISNA(MATCH(TRIM(S29),L_EvidenceType,0)),0,BZ29)</f>
        <v>0</v>
      </c>
      <c r="BM29" s="61" t="str">
        <f aca="false">SUBSTITUTE(SUBSTITUTE(SUBSTITUTE(SUBSTITUTE(SUBSTITUTE(SUBSTITUTE(SUBSTITUTE(SUBSTITUTE(SUBSTITUTE(LOWER(Z29&amp;""),"1","0"),"2","0"),"3","0"),"4","0"),"5","0"),"6","0"),"7","0"),"8","0"),"9","0")</f>
        <v/>
      </c>
      <c r="BN29" s="61" t="str">
        <f aca="false">SUBSTITUTE(SUBSTITUTE(SUBSTITUTE(SUBSTITUTE(SUBSTITUTE(SUBSTITUTE(SUBSTITUTE(SUBSTITUTE(SUBSTITUTE(SUBSTITUTE(SUBSTITUTE(SUBSTITUTE(SUBSTITUTE(SUBSTITUTE(SUBSTITUTE(SUBSTITUTE(SUBSTITUTE(SUBSTITUTE(SUBSTITUTE(SUBSTITUTE(SUBSTITUTE(SUBSTITUTE(SUBSTITUTE(SUBSTITUTE(SUBSTITUTE(BM29,"b","a"),"c","a"),"d","a"),"e","a"),"f","a"),"g","a"),"h","a"),"i","a"),"j","a"),"k","a"),"l","a"),"m","a"),"n","a"),"o","a"),"p","a"),"q","a"),"r","a"),"s","a"),"t","a"),"u","a"),"v","a"),"w","a"),"x","a"),"y","a"),"z","a")</f>
        <v/>
      </c>
      <c r="BO29" s="61" t="str">
        <f aca="false">SUBSTITUTE(SUBSTITUTE(SUBSTITUTE(SUBSTITUTE(SUBSTITUTE(SUBSTITUTE(SUBSTITUTE(SUBSTITUTE(SUBSTITUTE(LOWER(W29&amp;""),"1","0"),"2","0"),"3","0"),"4","0"),"5","0"),"6","0"),"7","0"),"8","0"),"9","0")</f>
        <v/>
      </c>
      <c r="BP29" s="61" t="str">
        <f aca="false">SUBSTITUTE(SUBSTITUTE(SUBSTITUTE(SUBSTITUTE(SUBSTITUTE(SUBSTITUTE(SUBSTITUTE(SUBSTITUTE(SUBSTITUTE(SUBSTITUTE(SUBSTITUTE(SUBSTITUTE(SUBSTITUTE(SUBSTITUTE(SUBSTITUTE(SUBSTITUTE(SUBSTITUTE(SUBSTITUTE(SUBSTITUTE(SUBSTITUTE(SUBSTITUTE(SUBSTITUTE(SUBSTITUTE(SUBSTITUTE(SUBSTITUTE(BO29,"b","a"),"c","a"),"d","a"),"e","a"),"f","a"),"g","a"),"h","a"),"i","a"),"j","a"),"k","a"),"l","a"),"m","a"),"n","a"),"o","a"),"p","a"),"q","a"),"r","a"),"s","a"),"t","a"),"u","a"),"v","a"),"w","a"),"x","a"),"y","a"),"z","a")</f>
        <v/>
      </c>
      <c r="BQ29" s="61" t="n">
        <f aca="false">IFERROR(IF(AND(ISERROR(SEARCH(" mh"," "&amp;LOWER(W29))),ISNA(MATCH(LEFT(TRIM(BP29),255),{"0000a","000a","00a","0000aa","000aa","00aa","0aa","0000aaa","000aaa","00a00","0a00","0000-0000","00:00","a00","a0","00.00.0000","00/00/0000","00-00-0000","0000-00-00","0000/00/00","0000.00.00","00.00.00","00/00/00","00-00-00","0.00.0000","0/00/0000","0-00-0000"},0)),ISNA(MATCH(LEFT(TRIM(CA29),255),{"0000a","000a","00a","0000aa","000aa","00aa","0aa","0000aaa","000aaa","00a00","0a00","0000-0000","00:00","a00","a0","00.00.0000","00/00/0000","00-00-0000","0000-00-00","0000/00/00","0000.00.00","00.00.00","00/00/00","00-00-00","0.00.0000","0/00/0000","0-00-0000"},0)),LEN(CB29)&gt;=3,NOT(OR(SUBSTITUTE(CB29,"0","")="",AND(LEN(CB29)&gt;=4,CB29=REPT(LEFT(CB29),LEN(CB29))),ISNUMBER(MATCH(CB29,{"123","1234","12345","123456","1234567","12345678","0123","01234","012345","98765","987654","54321"},0)),AND(LEN(CB29)=8,LEFT(CB29,3)="202"))),OR(AND((LEN(CA29)-LEN(SUBSTITUTE(CA29,"a","")))&gt;=1,SUMPRODUCT(--ISNUMBER(SEARCH({"a0","a-0","a_0","a/0","a.0","a#0","0a","0-a","0_a","0/a"},BP29)))&gt;0),ISNUMBER(SEARCH("000000",BP29)))),1,0),0)</f>
        <v>0</v>
      </c>
      <c r="BR29" s="61" t="n">
        <f aca="false">IFERROR(LEN(SUBSTITUTE(CC29," ",""))-SUMPRODUCT((LEN(CC29)-LEN(SUBSTITUTE(CC29," "&amp;L_Role&amp;" "," ")))/(LEN(L_Role)+1)*LEN(L_Role)),0)</f>
        <v>0</v>
      </c>
      <c r="BS29" s="61" t="n">
        <f aca="false">IFERROR(LEN(SUBSTITUTE(CD29," ",""))-SUMPRODUCT((LEN(CD29)-LEN(SUBSTITUTE(CD29," "&amp;L_Role&amp;" "," ")))/(LEN(L_Role)+1)*LEN(L_Role)),0)</f>
        <v>0</v>
      </c>
      <c r="BT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revision",""),"version",""),"jan",""),"feb",""),"mar",""),"apr",""),"may",""),"jun",""),"jul",""),"aug",""),"sep",""),"oct",""),"nov",""),"dec",""),"utc",""),"gmt",""),"myt",""),"bst",""),"rev",""),"ver",""),"b","a"),"c","a"),"d","a"),"e","a"),"f","a"),"g","a"),"h","a"),"i","a"),"j","a"),"k","a"),"l","a"),"m","a"),"n","a"),"o","a"),"p","a"),"q","a"),"r","a"),"s","a"),"t","a"),"u","a"),"v","a"),"w","a"),"x","a"),"y","a"),"z","a")</f>
        <v/>
      </c>
      <c r="BU29" s="61" t="str">
        <f aca="false">SUBSTITUTE(SUBSTITUTE(SUBSTITUTE(SUBSTITUTE(SUBSTITUTE(SUBSTITUTE(SUBSTITUTE(SUBSTITUTE(SUBSTITUTE(SUBSTITUTE(LEFT(BM29,FIND("0",BM29&amp;"0")-1),"-",""),"_",""),"/",""),".",""),"#",""),"\\",""),":","")," ",""),"(",""),")","")</f>
        <v/>
      </c>
      <c r="BV29" s="61" t="n">
        <f aca="false">IFERROR(IF(OR(SUMPRODUCT((LEN(BC29)-LEN(SUBSTITUTE(BC29," "&amp;L_NotLoaded&amp;" "," ")))/(LEN(L_NotLoaded)+1))&gt;SUMPRODUCT((LEN(BC29)-LEN(SUBSTITUTE(BC29," "&amp;L_NotLoadedNeg&amp;" "," ")))/(LEN(L_NotLoadedNeg)+1)),SUMPRODUCT((LEN(BD29)-LEN(SUBSTITUTE(BD29," "&amp;L_NotLoaded&amp;" "," ")))/(LEN(L_NotLoaded)+1))&gt;SUMPRODUCT((LEN(BD29)-LEN(SUBSTITUTE(BD29," "&amp;L_NotLoadedNeg&amp;" "," ")))/(LEN(L_NotLoadedNeg)+1))),1,0),0)</f>
        <v>0</v>
      </c>
      <c r="BW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amp;""),"a",""),"b",""),"c",""),"d",""),"e",""),"f",""),"g",""),"h",""),"i",""),"j",""),"k",""),"l",""),"m",""),"n",""),"o",""),"p",""),"q",""),"r",""),"s",""),"t",""),"u",""),"v",""),"w",""),"x",""),"y",""),"z",""),"-",""),"_",""),"/",""),".",""),"#",""),"\\",""),":","")," ",""),"(",""),")","")</f>
        <v/>
      </c>
      <c r="BX29" s="61" t="str">
        <f aca="false">SUBSTITUTE(SUBSTITUTE(SUBSTITUTE(SUBSTITUTE(SUBSTITUTE(SUBSTITUTE(SUBSTITUTE(SUBSTITUTE(SUBSTITUTE(SUBSTITUTE(SUBSTITUTE(BM29,"0",""),"-",""),"_",""),"/",""),".",""),"#",""),"\\",""),":","")," ",""),"(",""),")","")</f>
        <v/>
      </c>
      <c r="BY29" s="62" t="n">
        <f aca="false">IF(ISNUMBER(Flights!$AZ$5),MAX(Q29-UpliftWindowH/24,Flights!$AZ$5),Q29-UpliftWindowH/24)</f>
        <v>46303.6076388889</v>
      </c>
      <c r="BZ29" s="61" t="n">
        <f aca="false">IFERROR(IF(IF(TRIM(S29)="Link / file path",AND(LEN(TRIM(Z29))&gt;=5,SUMPRODUCT(--ISNUMBER(SEARCH({"http","www.","\\",":\",".pdf",".jpg",".jpeg",".png",".heic",".xls",".doc",".msg",".eml",".ppt",".txt",".zip"},Z29)))&gt;0),AND(ISERROR(FIND(" ",TRIM(Z29))),NOT(OR(SUMPRODUCT(--ISNUMBER(FIND({",",";","&amp;","+"},Z29)))&gt;0,SUMPRODUCT(--ISNUMBER(SEARCH({"0/aa","0\\aa"},BN29)))&gt;0)),NOT(SUMPRODUCT(--ISNUMBER(SEARCH({"http","www.","\\",":\",".pdf",".jpg",".jpeg",".png",".heic",".xls",".doc",".msg",".eml",".ppt",".txt",".zip"},Z29)))&gt;0),NOT(LOWER(TRIM(Z29))=LOWER(Flights!$F$5)),ISNA(MATCH(BU29,{"mh","rev","revision","ver","version","v","r","a","b","seat","tray","row","gate","bay","stand","page","pg","item","line","no","cart","galley","flight","flt","table","box","bag","oven","etd","eta","std","sta","atd","ata","qty","pax","x","time","tel","ph","mob","day","wk","week","utc","gmt","myt","lt"},0)),NOT(OR(ISNUMBER(MATCH(LEFT(BN29,255),{"0000a","000a","00a","0000aa","000aa","00aa","0aa","0000aaa","000aaa","00a00","0a00","0000-0000","00:00","a00","a0","00.00.0000","00/00/0000","00-00-0000","0000-00-00","0000/00/00","0000.00.00","00.00.00","00/00/00","00-00-00","0.00.0000","0/00/0000","0-00-0000"},0)),ISNUMBER(MATCH(LEFT(BT29,255),{"0000a","000a","00a","0000aa","000aa","00aa","0aa","0000aaa","000aaa","00a00","0a00","0000-0000","00:00","a00","a0","00.00.0000","00/00/0000","00-00-0000","0000-00-00","0000/00/00","0000.00.00","00.00.00","00/00/00","00-00-00","0.00.0000","0/00/0000","0-00-0000"},0)))),NOT(OR(AND(BW29&lt;&gt;"",SUBSTITUTE(BW29,"0","")=""),AND(LEN(BW29)&gt;=4,BW29=REPT(LEFT(BW29),LEN(BW29))),ISNUMBER(MATCH(BW29,{"123","1234","12345","123456","1234567","12345678","0123","01234","012345","98765","987654","54321"},0)),ISNUMBER(MATCH(BX29,{"x","xx","xxx","xxxx","xxxxx","abc","abcd","nil","na","nan","test","tbc","tba","tbd","dummy","sample","example","eg","zz","zzz","none","null","xyz","qwe","asd","id","ref"},0)),AND(LEN(BW29)=8,BX29="",OR(LEFT(BW29,3)="202",ISNUMBER(MATCH(RIGHT(BW29,4),{"2025","2026","2027"},0)))))),OR(AND((LEN(BT29)-LEN(SUBSTITUTE(BT29,"a","")))&gt;=1,(LEN(BN29)-LEN(SUBSTITUTE(BN29,"0","")))&gt;=2,SUMPRODUCT(--ISNUMBER(SEARCH({"a0","a-0","a_0","a/0","a.0","a#0","0a","0-a","0_a","0/a"},BN29)))&gt;0),AND((LEN(BN29)-LEN(SUBSTITUTE(BN29,"a","")))=0,(LEN(BN29)-LEN(SUBSTITUTE(BN29,"0","")))&gt;=5)))),1,0),0)</f>
        <v>0</v>
      </c>
      <c r="CA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revision",""),"version",""),"jan",""),"feb",""),"mar",""),"apr",""),"may",""),"jun",""),"jul",""),"aug",""),"sep",""),"oct",""),"nov",""),"dec",""),"utc",""),"gmt",""),"myt",""),"bst",""),"rev",""),"ver",""),"b","a"),"c","a"),"d","a"),"e","a"),"f","a"),"g","a"),"h","a"),"i","a"),"j","a"),"k","a"),"l","a"),"m","a"),"n","a"),"o","a"),"p","a"),"q","a"),"r","a"),"s","a"),"t","a"),"u","a"),"v","a"),"w","a"),"x","a"),"y","a"),"z","a")</f>
        <v/>
      </c>
      <c r="CB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amp;""),"a",""),"b",""),"c",""),"d",""),"e",""),"f",""),"g",""),"h",""),"i",""),"j",""),"k",""),"l",""),"m",""),"n",""),"o",""),"p",""),"q",""),"r",""),"s",""),"t",""),"u",""),"v",""),"w",""),"x",""),"y",""),"z",""),"-",""),"_",""),"/",""),".",""),"#",""),"\\",""),":","")," ",""),"(",""),")","")</f>
        <v/>
      </c>
      <c r="CC29" s="0" t="str">
        <f aca="false">" "&amp;TRIM(SUBSTITUTE(SUBSTITUTE(SUBSTITUTE(SUBSTITUTE(SUBSTITUTE(SUBSTITUTE(SUBSTITUTE(SUBSTITUTE(SUBSTITUTE(SUBSTITUTE(SUBSTITUTE(SUBSTITUTE(SUBSTITUTE(SUBSTITUTE(SUBSTITUTE(SUBSTITUTE(SUBSTITUTE(SUBSTITUTE(SUBSTITUTE(SUBSTITUTE(SUBSTITUTE(SUBSTITUTE(SUBSTITUTE(SUBSTITUTE(LOWER(T29&amp;""),CHAR(10)," "),CHAR(13)," "),CHAR(9)," "),CHAR(160)," "),"."," "),","," "),"-"," "),"/"," "),"("," "),")"," "),":"," "),";"," "),"_"," "),"–"," "),"?"," "),"!"," "),"*"," "),"["," "),"]"," "),"'"," "),"#"," "),"+"," "),"&amp;"," "),"\"," "))&amp;" "</f>
        <v>  </v>
      </c>
      <c r="CD29" s="0" t="str">
        <f aca="false">" "&amp;TRIM(SUBSTITUTE(SUBSTITUTE(SUBSTITUTE(SUBSTITUTE(SUBSTITUTE(SUBSTITUTE(SUBSTITUTE(SUBSTITUTE(SUBSTITUTE(SUBSTITUTE(SUBSTITUTE(SUBSTITUTE(SUBSTITUTE(SUBSTITUTE(SUBSTITUTE(SUBSTITUTE(SUBSTITUTE(SUBSTITUTE(SUBSTITUTE(SUBSTITUTE(SUBSTITUTE(SUBSTITUTE(SUBSTITUTE(SUBSTITUTE(LOWER(AE29&amp;""),CHAR(10)," "),CHAR(13)," "),CHAR(9)," "),CHAR(160)," "),"."," "),","," "),"-"," "),"/"," "),"("," "),")"," "),":"," "),";"," "),"_"," "),"–"," "),"?"," "),"!"," "),"*"," "),"["," "),"]"," "),"'"," "),"#"," "),"+"," "),"&amp;"," "),"\"," "))&amp;" "</f>
        <v>  </v>
      </c>
      <c r="CE29" s="68" t="n">
        <f aca="false">IFERROR(IF(AND(LEN(AU29)&gt;0,LEN(AU29)=LEN(AX29),OR(TRIM(MID(SUBSTITUTE(TRIM(CC29)," ",REPT(" ",60)),1,60))="",ISNUMBER(SEARCH(" "&amp;TRIM(MID(SUBSTITUTE(TRIM(CC29)," ",REPT(" ",60)),1,60))&amp;" ",CD29))),OR(TRIM(MID(SUBSTITUTE(TRIM(CC29)," ",REPT(" ",60)),61,60))="",ISNUMBER(SEARCH(" "&amp;TRIM(MID(SUBSTITUTE(TRIM(CC29)," ",REPT(" ",60)),61,60))&amp;" ",CD29))),OR(TRIM(MID(SUBSTITUTE(TRIM(CC29)," ",REPT(" ",60)),121,60))="",ISNUMBER(SEARCH(" "&amp;TRIM(MID(SUBSTITUTE(TRIM(CC29)," ",REPT(" ",60)),121,60))&amp;" ",CD29)))),1,0),0)</f>
        <v>0</v>
      </c>
      <c r="CG29" s="68" t="n">
        <f aca="false">IFERROR(LEN(SUBSTITUTE(BF29," ",""))-SUMPRODUCT((LEN(BF29)-LEN(SUBSTITUTE(BF29," "&amp;L_NAFiller&amp;" "," ")))/(LEN(L_NAFiller)+1)*LEN(L_NAFiller)),0)</f>
        <v>0</v>
      </c>
    </row>
    <row r="30" customFormat="false" ht="39.75" hidden="false" customHeight="true" outlineLevel="0" collapsed="false">
      <c r="A30" s="57" t="s">
        <v>473</v>
      </c>
      <c r="B30" s="57" t="s">
        <v>198</v>
      </c>
      <c r="C30" s="57" t="str">
        <f aca="false">Flights!$F$6</f>
        <v>MH0727</v>
      </c>
      <c r="D30" s="58" t="n">
        <f aca="false">Flights!$D$6</f>
        <v>46304</v>
      </c>
      <c r="E30" s="57" t="str">
        <f aca="false">Flights!$G$6&amp;"-"&amp;Flights!$H$6</f>
        <v>KUL-CGK</v>
      </c>
      <c r="F30" s="57" t="str">
        <f aca="false">Flights!$K$6</f>
        <v>BC</v>
      </c>
      <c r="G30" s="57" t="s">
        <v>81</v>
      </c>
      <c r="H30" s="57" t="s">
        <v>378</v>
      </c>
      <c r="I30" s="57" t="s">
        <v>379</v>
      </c>
      <c r="J30" s="57" t="s">
        <v>380</v>
      </c>
      <c r="K30" s="67" t="s">
        <v>381</v>
      </c>
      <c r="L30" s="67" t="s">
        <v>382</v>
      </c>
      <c r="M30" s="67"/>
      <c r="N30" s="67" t="s">
        <v>383</v>
      </c>
      <c r="O30" s="67"/>
      <c r="P30" s="57" t="s">
        <v>187</v>
      </c>
      <c r="Q30" s="59" t="n">
        <f aca="false">ROUND((Flights!$AC$6)*1440,0)/1440</f>
        <v>46297.5763888889</v>
      </c>
      <c r="R30" s="59" t="n">
        <f aca="false">Q30+(IF(AND(INDEX(TZ_DSTS,MATCH(P30,TZ_STN,0))&lt;&gt;"",Q30&gt;=INDEX(TZ_DSTS,MATCH(P30,TZ_STN,0)),Q30&lt;INDEX(TZ_DSTE,MATCH(P30,TZ_STN,0))),INDEX(TZ_DST,MATCH(P30,TZ_STN,0)),INDEX(TZ_STD,MATCH(P30,TZ_STN,0))))/24</f>
        <v>46297.9097222222</v>
      </c>
      <c r="S30" s="60"/>
      <c r="T30" s="60"/>
      <c r="U30" s="60"/>
      <c r="V30" s="60"/>
      <c r="W30" s="61"/>
      <c r="X30" s="60"/>
      <c r="Y30" s="60"/>
      <c r="Z30" s="60"/>
      <c r="AA30" s="60"/>
      <c r="AB30" s="60"/>
      <c r="AC30" s="60"/>
      <c r="AD30" s="66"/>
      <c r="AE30" s="60"/>
      <c r="AF30" s="61" t="str">
        <f aca="false">IF(AND(ISNUMBER(X30),ISNUMBER(Y30)),Y30-X30,"")</f>
        <v/>
      </c>
      <c r="AG30" s="62" t="str">
        <f aca="false">IF(ISNUMBER(AD30),AD30-(IF(AND(INDEX(TZ_DSTS,MATCH(P30,TZ_STN,0))&lt;&gt;"",(AD30-INDEX(TZ_STD,MATCH(P30,TZ_STN,0))/24)&gt;=INDEX(TZ_DSTS,MATCH(P30,TZ_STN,0)),(AD30-INDEX(TZ_STD,MATCH(P30,TZ_STN,0))/24)&lt;INDEX(TZ_DSTE,MATCH(P30,TZ_STN,0))),INDEX(TZ_DST,MATCH(P30,TZ_STN,0)),INDEX(TZ_STD,MATCH(P30,TZ_STN,0))))/24,"")</f>
        <v/>
      </c>
      <c r="AH30" s="65" t="str">
        <f aca="false">IFERROR(IF(N30="N/A – rule",IF(OR(TRIM(U30)="",TRIM(U30)="N/A",TRIM(U30)="Not started"),"N/A – RULE","INVALID – this check does not apply to this aircraft: clear the status (or correct the fleet on Flights)"),IF(TRIM(U30)="N/A",IF(AT30=0,"INVALID – N/A not permitted for this check",IF(AND(TRIM(AB30)&lt;&gt;"",TRIM(AB30)&lt;&gt;"Closed"),"INVALID – corrective action still open",IF(AND(NOT(OR(LEN(AZ30)&lt;15,ISNUMBER(MATCH(AZ30,L_Placeholder,0)))),BK30=0,CG30&gt;=8,NOT(OR(LEN(AU30)&lt;2,ISNUMBER(MATCH(AU30,L_Placeholder,0)))),BR30&gt;=3,NOT(OR(LEN(AX30)&lt;2,ISNUMBER(MATCH(AX30,L_Placeholder,0)))),BS30&gt;=3,TRIM(AE30)&lt;&gt;TRIM(T30),AX30&lt;&gt;AU30,CE30=0),"N/A – JUSTIFIED","INVALID – N/A needs a real, settled reason (not 'not applicable' / 'as above' / TBC), a named PIC and a different named verifier"))),IF(OR(TRIM(U30)="Pass",TRIM(U30)="Pass after CA"),IF(NOT(ISNUMBER(AD30)),"INVALID – completion time missing",IF(OR(OR(LEN(AU30)&lt;2,ISNUMBER(MATCH(AU30,L_Placeholder,0))),BR30&lt;3),"INVALID – PIC missing or not a named person (a role such as QA / CSM is not a name)",IF(OR(LEN(AV30)&lt;2,ISNUMBER(MATCH(AV30,L_Placeholder,0))),"INVALID – result / assessment missing",IF(OR(OR(LEN(AW30)&lt;3,ISNUMBER(MATCH(AW30,L_Placeholder,0))),SUMPRODUCT(--ISNUMBER(SEARCH(" "&amp;L_EvidencePhrase&amp;" ",BD30)))&gt;0,BI30=1),"INVALID – evidence missing, placeholder or not yet on file",IF(ISNA(MATCH(TRIM(S30),L_EvidenceType,0)),"INVALID – choose the evidence type from the list (column S)",IF(BL30=0,"INVALID – evidence ID must be the record's own ID only (e.g. SF-2210, IMG_2231, 1045521); a link / file name needs type 'Link / file path'",IF(OR(OR(LEN(AX30)&lt;2,ISNUMBER(MATCH(AX30,L_Placeholder,0))),BS30&lt;3),"INVALID – verifier missing or not a named person (a role such as QA / CSM is not a name)",IF(OR(AX30=AU30,CE30=1,AND(LEN(AU30)&gt;=4,ISNUMBER(SEARCH(AU30,AX30))),AND(LEN(AX30)&gt;=4,ISNUMBER(SEARCH(AX30,AU30)))),"INVALID – verifier must be a different, named person (not the PIC or a role)",IF(BH30=1,"INVALID – result not yet available (awaiting / TBC)",IF(BG30=1,"INVALID – result describes a problem: record Fail, then Pass after CA (or reword if it is not a problem)",IF(BV30=1,"INVALID – wording says not on board: an on-board confirmation needs the item loaded",IF(AND(AQ30=1,OR(OR(LEN(AY30)&lt;3,ISNUMBER(MATCH(AY30,L_Placeholder,0))),BJ30=1,BQ30=0)),"INVALID – batch ID missing, placeholder or not an ID (e.g. PASB-261008-BC-017)",IF(AND(AR30=1,OR(NOT(ISNUMBER(X30)),NOT(ISNUMBER(Y30)))),"INVALID – expected/actual qty missing",IF(AND(AR30=1,OR(X30&lt;=0,Y30&lt;0)),"INVALID – expected qty must be above 0 and actual not negative",IF(BB30&lt;&gt;"",BB30,IF(AND(AS30=1,Documents!$J$6&lt;&gt;"ON FILE"),"INVALID – GLD not on file (Documents sheet)",IF(AND(AS30=2,Documents!$O$6&lt;&gt;"ON FILE"),"INVALID – menu checklist not on file (Documents sheet)",IF(AND(AS30=3,NOT(ISNUMBER(Flights!$AX$6))),"INVALID – enter carrying flight KUL departure (Flights AX)",IF(AND(AS30=3,OR(Flights!$AZ$6&gt;Flights!$AA$6,Flights!$AX$6&lt;Flights!$AA$6-3)),"INVALID – carrying flight (Flights AX) cannot arrive before this leg's STD, or is over 3 days early",IF(AG30&gt;AsOfUTC,"INVALID – completion time is in the future",IF(AND(ISNUMBER(BY30),AG30&lt;BY30),IF(H30="Physical uplift","INVALID – before uplift window (cannot confirm loading)","INVALID – before valid window"),IF(AG30&gt;Flights!$AA$6,"INVALID – completed after departure (cannot establish readiness)",IF(AND(H30="Preparation",AG30&gt;=IF(ISNUMBER(Flights!$BA$6),MIN(Flights!$BA$6,Flights!$AA$6),Flights!$AA$6)),"INVALID – completed after loading / departure (cannot establish readiness)",IF(AND(H30="Physical uplift",AG30&gt;Q30),"INVALID – recorded after the loading flight departed",IF(AG30&gt;Q30,"COMPLETE – LATE","COMPLETE"))))))))))))))))))))))))),IF(TRIM(U30)="Fail","FAIL – DISCREPANCY",IF(AND(TRIM(U30)&lt;&gt;"",TRIM(U30)&lt;&gt;"Not started",TRIM(U30)&lt;&gt;"In progress"),"INVALID – unrecognised status (use the list)",IF(AsOfUTC&gt;Q30,"OVERDUE",IF(N30="Clarification required","OPEN – CLARIFICATION","OPEN"))))))),"INVALID – error value in an input cell")</f>
        <v>OPEN</v>
      </c>
      <c r="AI30" s="61" t="n">
        <f aca="false">IF(OR(AH30="N/A – RULE",AH30="N/A – JUSTIFIED"),0,1)</f>
        <v>1</v>
      </c>
      <c r="AJ30" s="61" t="n">
        <f aca="false">IF(LEFT(AH30,8)="COMPLETE",1,0)</f>
        <v>0</v>
      </c>
      <c r="AK30" s="61" t="n">
        <f aca="false">IF(AND(AI30=1,AJ30=0,AsOfUTC&gt;Q30),1,0)</f>
        <v>0</v>
      </c>
      <c r="AL30" s="61" t="n">
        <f aca="false">IFERROR(IF(AND(AI30=1,OR(TRIM(U30)="Fail",AND(TRIM(AB30)&lt;&gt;"",TRIM(AB30)&lt;&gt;"Closed"),AND(ISNUMBER(AF30),AF30&lt;&gt;0,TRIM(U30)&lt;&gt;"Pass after CA"))),1,0),1)</f>
        <v>0</v>
      </c>
      <c r="AM30" s="61" t="n">
        <f aca="false">IF(LEFT(AH30,7)="INVALID",1,0)</f>
        <v>0</v>
      </c>
      <c r="AN30" s="61" t="n">
        <f aca="false">IF(AND(N30="Clarification required",AI30=1,AJ30=0),1,0)</f>
        <v>0</v>
      </c>
      <c r="AO30" s="61" t="str">
        <f aca="false">IF(AK30=1,SUM(AK$5:AK30),"")</f>
        <v/>
      </c>
      <c r="AP30" s="61" t="str">
        <f aca="false">IF(AL30=1,SUM(AL$5:AL30),"")</f>
        <v/>
      </c>
      <c r="AQ30" s="61" t="n">
        <v>0</v>
      </c>
      <c r="AR30" s="61" t="n">
        <v>0</v>
      </c>
      <c r="AS30" s="61" t="n">
        <v>0</v>
      </c>
      <c r="AT30" s="61" t="n">
        <v>0</v>
      </c>
      <c r="AU30" s="61" t="str">
        <f aca="false">SUBSTITUTE(SUBSTITUTE(SUBSTITUTE(SUBSTITUTE(SUBSTITUTE(SUBSTITUTE(SUBSTITUTE(SUBSTITUTE(SUBSTITUTE(SUBSTITUTE(SUBSTITUTE(SUBSTITUTE(SUBSTITUTE(SUBSTITUTE(SUBSTITUTE(SUBSTITUTE(LOWER(T30&amp;""),CHAR(10),""),CHAR(13),""),CHAR(9),""),CHAR(160),"")," ",""),".",""),"-",""),"/",""),"?",""),"_",""),",",""),"[",""),"]",""),"(",""),")",""),"*","")</f>
        <v/>
      </c>
      <c r="AV30" s="61" t="str">
        <f aca="false">SUBSTITUTE(SUBSTITUTE(SUBSTITUTE(SUBSTITUTE(SUBSTITUTE(SUBSTITUTE(SUBSTITUTE(SUBSTITUTE(SUBSTITUTE(SUBSTITUTE(SUBSTITUTE(SUBSTITUTE(SUBSTITUTE(SUBSTITUTE(SUBSTITUTE(SUBSTITUTE(LOWER(V30&amp;""),CHAR(10),""),CHAR(13),""),CHAR(9),""),CHAR(160),"")," ",""),".",""),"-",""),"/",""),"?",""),"_",""),",",""),"[",""),"]",""),"(",""),")",""),"*","")</f>
        <v/>
      </c>
      <c r="AW30" s="61" t="str">
        <f aca="false">SUBSTITUTE(SUBSTITUTE(SUBSTITUTE(SUBSTITUTE(SUBSTITUTE(SUBSTITUTE(SUBSTITUTE(SUBSTITUTE(SUBSTITUTE(SUBSTITUTE(SUBSTITUTE(SUBSTITUTE(SUBSTITUTE(SUBSTITUTE(SUBSTITUTE(SUBSTITUTE(LOWER(Z30&amp;""),CHAR(10),""),CHAR(13),""),CHAR(9),""),CHAR(160),"")," ",""),".",""),"-",""),"/",""),"?",""),"_",""),",",""),"[",""),"]",""),"(",""),")",""),"*","")</f>
        <v/>
      </c>
      <c r="AX30" s="61" t="str">
        <f aca="false">SUBSTITUTE(SUBSTITUTE(SUBSTITUTE(SUBSTITUTE(SUBSTITUTE(SUBSTITUTE(SUBSTITUTE(SUBSTITUTE(SUBSTITUTE(SUBSTITUTE(SUBSTITUTE(SUBSTITUTE(SUBSTITUTE(SUBSTITUTE(SUBSTITUTE(SUBSTITUTE(LOWER(AE30&amp;""),CHAR(10),""),CHAR(13),""),CHAR(9),""),CHAR(160),"")," ",""),".",""),"-",""),"/",""),"?",""),"_",""),",",""),"[",""),"]",""),"(",""),")",""),"*","")</f>
        <v/>
      </c>
      <c r="AY30" s="61" t="str">
        <f aca="false">SUBSTITUTE(SUBSTITUTE(SUBSTITUTE(SUBSTITUTE(SUBSTITUTE(SUBSTITUTE(SUBSTITUTE(SUBSTITUTE(SUBSTITUTE(SUBSTITUTE(SUBSTITUTE(SUBSTITUTE(SUBSTITUTE(SUBSTITUTE(SUBSTITUTE(SUBSTITUTE(LOWER(W30&amp;""),CHAR(10),""),CHAR(13),""),CHAR(9),""),CHAR(160),"")," ",""),".",""),"-",""),"/",""),"?",""),"_",""),",",""),"[",""),"]",""),"(",""),")",""),"*","")</f>
        <v/>
      </c>
      <c r="AZ30" s="61" t="str">
        <f aca="false">SUBSTITUTE(SUBSTITUTE(SUBSTITUTE(SUBSTITUTE(SUBSTITUTE(SUBSTITUTE(SUBSTITUTE(SUBSTITUTE(SUBSTITUTE(SUBSTITUTE(SUBSTITUTE(SUBSTITUTE(SUBSTITUTE(SUBSTITUTE(SUBSTITUTE(SUBSTITUTE(LOWER(AC30&amp;""),CHAR(10),""),CHAR(13),""),CHAR(9),""),CHAR(160),"")," ",""),".",""),"-",""),"/",""),"?",""),"_",""),",",""),"[",""),"]",""),"(",""),")",""),"*","")</f>
        <v/>
      </c>
      <c r="BA30" s="61" t="str">
        <f aca="false">SUBSTITUTE(SUBSTITUTE(SUBSTITUTE(SUBSTITUTE(SUBSTITUTE(SUBSTITUTE(SUBSTITUTE(SUBSTITUTE(SUBSTITUTE(SUBSTITUTE(SUBSTITUTE(SUBSTITUTE(SUBSTITUTE(SUBSTITUTE(SUBSTITUTE(SUBSTITUTE(LOWER(AA30&amp;""),CHAR(10),""),CHAR(13),""),CHAR(9),""),CHAR(160),"")," ",""),".",""),"-",""),"/",""),"?",""),"_",""),",",""),"[",""),"]",""),"(",""),")",""),"*","")</f>
        <v/>
      </c>
      <c r="BB30" s="61" t="str">
        <f aca="false">IF(AND(TRIM(U30)="Pass",ISNUMBER(AF30)),IF(AF30&lt;&gt;0,"INVALID – qty variance: use Fail or Pass after CA",""),"")&amp;IF(AND(TRIM(U30)="Pass after CA",ISNUMBER(AF30)),IF(AF30&lt;&gt;0,"INVALID – after the corrective action the actual qty must equal expected (update Actual)",""),"")&amp;IF(AND(TRIM(U30)="Pass",TRIM(AB30)&lt;&gt;"",TRIM(AB30)&lt;&gt;"Closed"),"INVALID – corrective action not closed: use Fail, then Pass after CA","")&amp;IF(AND(LEN(BA30)&gt;=2,ISNA(MATCH(LEFT(BA30,255),L_Placeholder,0)),TRIM(AB30)=""),"INVALID – CA status missing for the recorded corrective action","")&amp;IF(AND(TRIM(U30)="Pass after CA",OR(OR(LEN(BA30)&lt;5,ISNUMBER(MATCH(BA30,L_Placeholder,0))),TRIM(AB30)&lt;&gt;"Closed")),"INVALID – corrective action not recorded/closed","")</f>
        <v/>
      </c>
      <c r="BC30" s="61" t="str">
        <f aca="false">" "&amp;TRIM(SUBSTITUTE(SUBSTITUTE(SUBSTITUTE(SUBSTITUTE(SUBSTITUTE(SUBSTITUTE(SUBSTITUTE(SUBSTITUTE(SUBSTITUTE(SUBSTITUTE(SUBSTITUTE(SUBSTITUTE(SUBSTITUTE(SUBSTITUTE(SUBSTITUTE(SUBSTITUTE(SUBSTITUTE(SUBSTITUTE(SUBSTITUTE(SUBSTITUTE(SUBSTITUTE(SUBSTITUTE(SUBSTITUTE(SUBSTITUTE(LOWER(V30&amp;""),CHAR(10)," "),CHAR(13)," "),CHAR(9)," "),CHAR(160)," "),"."," "),","," "),"-"," "),"/"," "),"("," "),")"," "),":"," "),";"," "),"_"," "),"–"," "),"?"," "),"!"," "),"*"," "),"["," "),"]"," "),"'"," "),"#"," "),"+"," "),"&amp;"," "),"\"," "))&amp;" "</f>
        <v>  </v>
      </c>
      <c r="BD30" s="61" t="str">
        <f aca="false">" "&amp;TRIM(SUBSTITUTE(SUBSTITUTE(SUBSTITUTE(SUBSTITUTE(SUBSTITUTE(SUBSTITUTE(SUBSTITUTE(SUBSTITUTE(SUBSTITUTE(SUBSTITUTE(SUBSTITUTE(SUBSTITUTE(SUBSTITUTE(SUBSTITUTE(SUBSTITUTE(SUBSTITUTE(SUBSTITUTE(SUBSTITUTE(SUBSTITUTE(SUBSTITUTE(SUBSTITUTE(SUBSTITUTE(SUBSTITUTE(SUBSTITUTE(LOWER(Z30&amp;""),CHAR(10)," "),CHAR(13)," "),CHAR(9)," "),CHAR(160)," "),"."," "),","," "),"-"," "),"/"," "),"("," "),")"," "),":"," "),";"," "),"_"," "),"–"," "),"?"," "),"!"," "),"*"," "),"["," "),"]"," "),"'"," "),"#"," "),"+"," "),"&amp;"," "),"\"," "))&amp;" "</f>
        <v>  </v>
      </c>
      <c r="BE30" s="61" t="str">
        <f aca="false">" "&amp;TRIM(SUBSTITUTE(SUBSTITUTE(SUBSTITUTE(SUBSTITUTE(SUBSTITUTE(SUBSTITUTE(SUBSTITUTE(SUBSTITUTE(SUBSTITUTE(SUBSTITUTE(SUBSTITUTE(SUBSTITUTE(SUBSTITUTE(SUBSTITUTE(SUBSTITUTE(SUBSTITUTE(SUBSTITUTE(SUBSTITUTE(SUBSTITUTE(SUBSTITUTE(SUBSTITUTE(SUBSTITUTE(SUBSTITUTE(SUBSTITUTE(LOWER(W30&amp;""),CHAR(10)," "),CHAR(13)," "),CHAR(9)," "),CHAR(160)," "),"."," "),","," "),"-"," "),"/"," "),"("," "),")"," "),":"," "),";"," "),"_"," "),"–"," "),"?"," "),"!"," "),"*"," "),"["," "),"]"," "),"'"," "),"#"," "),"+"," "),"&amp;"," "),"\"," "))&amp;" "</f>
        <v>  </v>
      </c>
      <c r="BF30" s="61" t="str">
        <f aca="false">" "&amp;TRIM(SUBSTITUTE(SUBSTITUTE(SUBSTITUTE(SUBSTITUTE(SUBSTITUTE(SUBSTITUTE(SUBSTITUTE(SUBSTITUTE(SUBSTITUTE(SUBSTITUTE(SUBSTITUTE(SUBSTITUTE(SUBSTITUTE(SUBSTITUTE(SUBSTITUTE(SUBSTITUTE(SUBSTITUTE(SUBSTITUTE(SUBSTITUTE(SUBSTITUTE(SUBSTITUTE(SUBSTITUTE(SUBSTITUTE(SUBSTITUTE(LOWER(AC30&amp;""),CHAR(10)," "),CHAR(13)," "),CHAR(9)," "),CHAR(160)," "),"."," "),","," "),"-"," "),"/"," "),"("," "),")"," "),":"," "),";"," "),"_"," "),"–"," "),"?"," "),"!"," "),"*"," "),"["," "),"]"," "),"'"," "),"#"," "),"+"," "),"&amp;"," "),"\"," "))&amp;" "</f>
        <v>  </v>
      </c>
      <c r="BG30" s="61" t="n">
        <f aca="false">IFERROR(IF(AND(TRIM(U30)="Pass",SUMPRODUCT((LEN(BC30)-LEN(SUBSTITUTE(BC30," "&amp;L_ResultBad&amp;" "," ")))/(LEN(L_ResultBad)+1))&gt;SUMPRODUCT((LEN(BC30)-LEN(SUBSTITUTE(BC30," "&amp;L_NegPhrase&amp;" "," ")))/(LEN(L_NegPhrase)+1))),1,0),0)</f>
        <v>0</v>
      </c>
      <c r="BH30" s="61" t="n">
        <f aca="false">IFERROR(IF(SUMPRODUCT((LEN(BC30)-LEN(SUBSTITUTE(BC30," "&amp;L_Pending&amp;" "," ")))/(LEN(L_Pending)+1))&gt;SUMPRODUCT((LEN(BC30)-LEN(SUBSTITUTE(BC30," "&amp;L_PendNeg&amp;" "," ")))/(LEN(L_PendNeg)+1))+SUMPRODUCT((LEN(BC30)-LEN(SUBSTITUTE(BC30," "&amp;L_PendPrep&amp;" "," ")))/(LEN(L_PendPrep)+1)),1,0),1)</f>
        <v>0</v>
      </c>
      <c r="BI30" s="61" t="n">
        <f aca="false">IFERROR(IF(SUMPRODUCT((LEN(BD30)-LEN(SUBSTITUTE(BD30," "&amp;L_PendStrict&amp;" "," ")))/(LEN(L_PendStrict)+1))&gt;SUMPRODUCT((LEN(BD30)-LEN(SUBSTITUTE(BD30," "&amp;L_PendNeg&amp;" "," ")))/(LEN(L_PendNeg)+1)),1,0),1)</f>
        <v>0</v>
      </c>
      <c r="BJ30" s="61" t="n">
        <f aca="false">IFERROR(IF(SUMPRODUCT((LEN(BE30)-LEN(SUBSTITUTE(BE30," "&amp;L_Pending&amp;" "," ")))/(LEN(L_Pending)+1))&gt;SUMPRODUCT((LEN(BE30)-LEN(SUBSTITUTE(BE30," "&amp;L_PendNeg&amp;" "," ")))/(LEN(L_PendNeg)+1))+SUMPRODUCT((LEN(BE30)-LEN(SUBSTITUTE(BE30," "&amp;L_PendPrep&amp;" "," ")))/(LEN(L_PendPrep)+1)),1,0),1)</f>
        <v>0</v>
      </c>
      <c r="BK30" s="61" t="n">
        <f aca="false">IFERROR(IF(SUMPRODUCT((LEN(BF30)-LEN(SUBSTITUTE(BF30," "&amp;L_PendStrict&amp;" "," ")))/(LEN(L_PendStrict)+1))&gt;SUMPRODUCT((LEN(BF30)-LEN(SUBSTITUTE(BF30," "&amp;L_PendNeg&amp;" "," ")))/(LEN(L_PendNeg)+1)),1,0),1)</f>
        <v>0</v>
      </c>
      <c r="BL30" s="61" t="n">
        <f aca="false">IF(ISNA(MATCH(TRIM(S30),L_EvidenceType,0)),0,BZ30)</f>
        <v>0</v>
      </c>
      <c r="BM30" s="61" t="str">
        <f aca="false">SUBSTITUTE(SUBSTITUTE(SUBSTITUTE(SUBSTITUTE(SUBSTITUTE(SUBSTITUTE(SUBSTITUTE(SUBSTITUTE(SUBSTITUTE(LOWER(Z30&amp;""),"1","0"),"2","0"),"3","0"),"4","0"),"5","0"),"6","0"),"7","0"),"8","0"),"9","0")</f>
        <v/>
      </c>
      <c r="BN30" s="61" t="str">
        <f aca="false">SUBSTITUTE(SUBSTITUTE(SUBSTITUTE(SUBSTITUTE(SUBSTITUTE(SUBSTITUTE(SUBSTITUTE(SUBSTITUTE(SUBSTITUTE(SUBSTITUTE(SUBSTITUTE(SUBSTITUTE(SUBSTITUTE(SUBSTITUTE(SUBSTITUTE(SUBSTITUTE(SUBSTITUTE(SUBSTITUTE(SUBSTITUTE(SUBSTITUTE(SUBSTITUTE(SUBSTITUTE(SUBSTITUTE(SUBSTITUTE(SUBSTITUTE(BM30,"b","a"),"c","a"),"d","a"),"e","a"),"f","a"),"g","a"),"h","a"),"i","a"),"j","a"),"k","a"),"l","a"),"m","a"),"n","a"),"o","a"),"p","a"),"q","a"),"r","a"),"s","a"),"t","a"),"u","a"),"v","a"),"w","a"),"x","a"),"y","a"),"z","a")</f>
        <v/>
      </c>
      <c r="BO30" s="61" t="str">
        <f aca="false">SUBSTITUTE(SUBSTITUTE(SUBSTITUTE(SUBSTITUTE(SUBSTITUTE(SUBSTITUTE(SUBSTITUTE(SUBSTITUTE(SUBSTITUTE(LOWER(W30&amp;""),"1","0"),"2","0"),"3","0"),"4","0"),"5","0"),"6","0"),"7","0"),"8","0"),"9","0")</f>
        <v/>
      </c>
      <c r="BP30" s="61" t="str">
        <f aca="false">SUBSTITUTE(SUBSTITUTE(SUBSTITUTE(SUBSTITUTE(SUBSTITUTE(SUBSTITUTE(SUBSTITUTE(SUBSTITUTE(SUBSTITUTE(SUBSTITUTE(SUBSTITUTE(SUBSTITUTE(SUBSTITUTE(SUBSTITUTE(SUBSTITUTE(SUBSTITUTE(SUBSTITUTE(SUBSTITUTE(SUBSTITUTE(SUBSTITUTE(SUBSTITUTE(SUBSTITUTE(SUBSTITUTE(SUBSTITUTE(SUBSTITUTE(BO30,"b","a"),"c","a"),"d","a"),"e","a"),"f","a"),"g","a"),"h","a"),"i","a"),"j","a"),"k","a"),"l","a"),"m","a"),"n","a"),"o","a"),"p","a"),"q","a"),"r","a"),"s","a"),"t","a"),"u","a"),"v","a"),"w","a"),"x","a"),"y","a"),"z","a")</f>
        <v/>
      </c>
      <c r="BQ30" s="61" t="n">
        <f aca="false">IFERROR(IF(AND(ISERROR(SEARCH(" mh"," "&amp;LOWER(W30))),ISNA(MATCH(LEFT(TRIM(BP30),255),{"0000a","000a","00a","0000aa","000aa","00aa","0aa","0000aaa","000aaa","00a00","0a00","0000-0000","00:00","a00","a0","00.00.0000","00/00/0000","00-00-0000","0000-00-00","0000/00/00","0000.00.00","00.00.00","00/00/00","00-00-00","0.00.0000","0/00/0000","0-00-0000"},0)),ISNA(MATCH(LEFT(TRIM(CA30),255),{"0000a","000a","00a","0000aa","000aa","00aa","0aa","0000aaa","000aaa","00a00","0a00","0000-0000","00:00","a00","a0","00.00.0000","00/00/0000","00-00-0000","0000-00-00","0000/00/00","0000.00.00","00.00.00","00/00/00","00-00-00","0.00.0000","0/00/0000","0-00-0000"},0)),LEN(CB30)&gt;=3,NOT(OR(SUBSTITUTE(CB30,"0","")="",AND(LEN(CB30)&gt;=4,CB30=REPT(LEFT(CB30),LEN(CB30))),ISNUMBER(MATCH(CB30,{"123","1234","12345","123456","1234567","12345678","0123","01234","012345","98765","987654","54321"},0)),AND(LEN(CB30)=8,LEFT(CB30,3)="202"))),OR(AND((LEN(CA30)-LEN(SUBSTITUTE(CA30,"a","")))&gt;=1,SUMPRODUCT(--ISNUMBER(SEARCH({"a0","a-0","a_0","a/0","a.0","a#0","0a","0-a","0_a","0/a"},BP30)))&gt;0),ISNUMBER(SEARCH("000000",BP30)))),1,0),0)</f>
        <v>0</v>
      </c>
      <c r="BR30" s="61" t="n">
        <f aca="false">IFERROR(LEN(SUBSTITUTE(CC30," ",""))-SUMPRODUCT((LEN(CC30)-LEN(SUBSTITUTE(CC30," "&amp;L_Role&amp;" "," ")))/(LEN(L_Role)+1)*LEN(L_Role)),0)</f>
        <v>0</v>
      </c>
      <c r="BS30" s="61" t="n">
        <f aca="false">IFERROR(LEN(SUBSTITUTE(CD30," ",""))-SUMPRODUCT((LEN(CD30)-LEN(SUBSTITUTE(CD30," "&amp;L_Role&amp;" "," ")))/(LEN(L_Role)+1)*LEN(L_Role)),0)</f>
        <v>0</v>
      </c>
      <c r="BT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revision",""),"version",""),"jan",""),"feb",""),"mar",""),"apr",""),"may",""),"jun",""),"jul",""),"aug",""),"sep",""),"oct",""),"nov",""),"dec",""),"utc",""),"gmt",""),"myt",""),"bst",""),"rev",""),"ver",""),"b","a"),"c","a"),"d","a"),"e","a"),"f","a"),"g","a"),"h","a"),"i","a"),"j","a"),"k","a"),"l","a"),"m","a"),"n","a"),"o","a"),"p","a"),"q","a"),"r","a"),"s","a"),"t","a"),"u","a"),"v","a"),"w","a"),"x","a"),"y","a"),"z","a")</f>
        <v/>
      </c>
      <c r="BU30" s="61" t="str">
        <f aca="false">SUBSTITUTE(SUBSTITUTE(SUBSTITUTE(SUBSTITUTE(SUBSTITUTE(SUBSTITUTE(SUBSTITUTE(SUBSTITUTE(SUBSTITUTE(SUBSTITUTE(LEFT(BM30,FIND("0",BM30&amp;"0")-1),"-",""),"_",""),"/",""),".",""),"#",""),"\\",""),":","")," ",""),"(",""),")","")</f>
        <v/>
      </c>
      <c r="BV30" s="61" t="n">
        <f aca="false">0</f>
        <v>0</v>
      </c>
      <c r="BW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amp;""),"a",""),"b",""),"c",""),"d",""),"e",""),"f",""),"g",""),"h",""),"i",""),"j",""),"k",""),"l",""),"m",""),"n",""),"o",""),"p",""),"q",""),"r",""),"s",""),"t",""),"u",""),"v",""),"w",""),"x",""),"y",""),"z",""),"-",""),"_",""),"/",""),".",""),"#",""),"\\",""),":","")," ",""),"(",""),")","")</f>
        <v/>
      </c>
      <c r="BX30" s="61" t="str">
        <f aca="false">SUBSTITUTE(SUBSTITUTE(SUBSTITUTE(SUBSTITUTE(SUBSTITUTE(SUBSTITUTE(SUBSTITUTE(SUBSTITUTE(SUBSTITUTE(SUBSTITUTE(SUBSTITUTE(BM30,"0",""),"-",""),"_",""),"/",""),".",""),"#",""),"\\",""),":","")," ",""),"(",""),")","")</f>
        <v/>
      </c>
      <c r="BY30" s="62" t="n">
        <f aca="false">Q30-T7EarlyD*24/24</f>
        <v>46283.5763888889</v>
      </c>
      <c r="BZ30" s="61" t="n">
        <f aca="false">IFERROR(IF(IF(TRIM(S30)="Link / file path",AND(LEN(TRIM(Z30))&gt;=5,SUMPRODUCT(--ISNUMBER(SEARCH({"http","www.","\\",":\",".pdf",".jpg",".jpeg",".png",".heic",".xls",".doc",".msg",".eml",".ppt",".txt",".zip"},Z30)))&gt;0),AND(ISERROR(FIND(" ",TRIM(Z30))),NOT(OR(SUMPRODUCT(--ISNUMBER(FIND({",",";","&amp;","+"},Z30)))&gt;0,SUMPRODUCT(--ISNUMBER(SEARCH({"0/aa","0\\aa"},BN30)))&gt;0)),NOT(SUMPRODUCT(--ISNUMBER(SEARCH({"http","www.","\\",":\",".pdf",".jpg",".jpeg",".png",".heic",".xls",".doc",".msg",".eml",".ppt",".txt",".zip"},Z30)))&gt;0),NOT(LOWER(TRIM(Z30))=LOWER(Flights!$F$6)),ISNA(MATCH(BU30,{"mh","rev","revision","ver","version","v","r","a","b","seat","tray","row","gate","bay","stand","page","pg","item","line","no","cart","galley","flight","flt","table","box","bag","oven","etd","eta","std","sta","atd","ata","qty","pax","x","time","tel","ph","mob","day","wk","week","utc","gmt","myt","lt"},0)),NOT(OR(ISNUMBER(MATCH(LEFT(BN30,255),{"0000a","000a","00a","0000aa","000aa","00aa","0aa","0000aaa","000aaa","00a00","0a00","0000-0000","00:00","a00","a0","00.00.0000","00/00/0000","00-00-0000","0000-00-00","0000/00/00","0000.00.00","00.00.00","00/00/00","00-00-00","0.00.0000","0/00/0000","0-00-0000"},0)),ISNUMBER(MATCH(LEFT(BT30,255),{"0000a","000a","00a","0000aa","000aa","00aa","0aa","0000aaa","000aaa","00a00","0a00","0000-0000","00:00","a00","a0","00.00.0000","00/00/0000","00-00-0000","0000-00-00","0000/00/00","0000.00.00","00.00.00","00/00/00","00-00-00","0.00.0000","0/00/0000","0-00-0000"},0)))),NOT(OR(AND(BW30&lt;&gt;"",SUBSTITUTE(BW30,"0","")=""),AND(LEN(BW30)&gt;=4,BW30=REPT(LEFT(BW30),LEN(BW30))),ISNUMBER(MATCH(BW30,{"123","1234","12345","123456","1234567","12345678","0123","01234","012345","98765","987654","54321"},0)),ISNUMBER(MATCH(BX30,{"x","xx","xxx","xxxx","xxxxx","abc","abcd","nil","na","nan","test","tbc","tba","tbd","dummy","sample","example","eg","zz","zzz","none","null","xyz","qwe","asd","id","ref"},0)),AND(LEN(BW30)=8,BX30="",OR(LEFT(BW30,3)="202",ISNUMBER(MATCH(RIGHT(BW30,4),{"2025","2026","2027"},0)))))),OR(AND((LEN(BT30)-LEN(SUBSTITUTE(BT30,"a","")))&gt;=1,(LEN(BN30)-LEN(SUBSTITUTE(BN30,"0","")))&gt;=2,SUMPRODUCT(--ISNUMBER(SEARCH({"a0","a-0","a_0","a/0","a.0","a#0","0a","0-a","0_a","0/a"},BN30)))&gt;0),AND((LEN(BN30)-LEN(SUBSTITUTE(BN30,"a","")))=0,(LEN(BN30)-LEN(SUBSTITUTE(BN30,"0","")))&gt;=5)))),1,0),0)</f>
        <v>0</v>
      </c>
      <c r="CA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revision",""),"version",""),"jan",""),"feb",""),"mar",""),"apr",""),"may",""),"jun",""),"jul",""),"aug",""),"sep",""),"oct",""),"nov",""),"dec",""),"utc",""),"gmt",""),"myt",""),"bst",""),"rev",""),"ver",""),"b","a"),"c","a"),"d","a"),"e","a"),"f","a"),"g","a"),"h","a"),"i","a"),"j","a"),"k","a"),"l","a"),"m","a"),"n","a"),"o","a"),"p","a"),"q","a"),"r","a"),"s","a"),"t","a"),"u","a"),"v","a"),"w","a"),"x","a"),"y","a"),"z","a")</f>
        <v/>
      </c>
      <c r="CB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amp;""),"a",""),"b",""),"c",""),"d",""),"e",""),"f",""),"g",""),"h",""),"i",""),"j",""),"k",""),"l",""),"m",""),"n",""),"o",""),"p",""),"q",""),"r",""),"s",""),"t",""),"u",""),"v",""),"w",""),"x",""),"y",""),"z",""),"-",""),"_",""),"/",""),".",""),"#",""),"\\",""),":","")," ",""),"(",""),")","")</f>
        <v/>
      </c>
      <c r="CC30" s="0" t="str">
        <f aca="false">" "&amp;TRIM(SUBSTITUTE(SUBSTITUTE(SUBSTITUTE(SUBSTITUTE(SUBSTITUTE(SUBSTITUTE(SUBSTITUTE(SUBSTITUTE(SUBSTITUTE(SUBSTITUTE(SUBSTITUTE(SUBSTITUTE(SUBSTITUTE(SUBSTITUTE(SUBSTITUTE(SUBSTITUTE(SUBSTITUTE(SUBSTITUTE(SUBSTITUTE(SUBSTITUTE(SUBSTITUTE(SUBSTITUTE(SUBSTITUTE(SUBSTITUTE(LOWER(T30&amp;""),CHAR(10)," "),CHAR(13)," "),CHAR(9)," "),CHAR(160)," "),"."," "),","," "),"-"," "),"/"," "),"("," "),")"," "),":"," "),";"," "),"_"," "),"–"," "),"?"," "),"!"," "),"*"," "),"["," "),"]"," "),"'"," "),"#"," "),"+"," "),"&amp;"," "),"\"," "))&amp;" "</f>
        <v>  </v>
      </c>
      <c r="CD30" s="0" t="str">
        <f aca="false">" "&amp;TRIM(SUBSTITUTE(SUBSTITUTE(SUBSTITUTE(SUBSTITUTE(SUBSTITUTE(SUBSTITUTE(SUBSTITUTE(SUBSTITUTE(SUBSTITUTE(SUBSTITUTE(SUBSTITUTE(SUBSTITUTE(SUBSTITUTE(SUBSTITUTE(SUBSTITUTE(SUBSTITUTE(SUBSTITUTE(SUBSTITUTE(SUBSTITUTE(SUBSTITUTE(SUBSTITUTE(SUBSTITUTE(SUBSTITUTE(SUBSTITUTE(LOWER(AE30&amp;""),CHAR(10)," "),CHAR(13)," "),CHAR(9)," "),CHAR(160)," "),"."," "),","," "),"-"," "),"/"," "),"("," "),")"," "),":"," "),";"," "),"_"," "),"–"," "),"?"," "),"!"," "),"*"," "),"["," "),"]"," "),"'"," "),"#"," "),"+"," "),"&amp;"," "),"\"," "))&amp;" "</f>
        <v>  </v>
      </c>
      <c r="CE30" s="68" t="n">
        <f aca="false">IFERROR(IF(AND(LEN(AU30)&gt;0,LEN(AU30)=LEN(AX30),OR(TRIM(MID(SUBSTITUTE(TRIM(CC30)," ",REPT(" ",60)),1,60))="",ISNUMBER(SEARCH(" "&amp;TRIM(MID(SUBSTITUTE(TRIM(CC30)," ",REPT(" ",60)),1,60))&amp;" ",CD30))),OR(TRIM(MID(SUBSTITUTE(TRIM(CC30)," ",REPT(" ",60)),61,60))="",ISNUMBER(SEARCH(" "&amp;TRIM(MID(SUBSTITUTE(TRIM(CC30)," ",REPT(" ",60)),61,60))&amp;" ",CD30))),OR(TRIM(MID(SUBSTITUTE(TRIM(CC30)," ",REPT(" ",60)),121,60))="",ISNUMBER(SEARCH(" "&amp;TRIM(MID(SUBSTITUTE(TRIM(CC30)," ",REPT(" ",60)),121,60))&amp;" ",CD30)))),1,0),0)</f>
        <v>0</v>
      </c>
      <c r="CG30" s="68" t="n">
        <f aca="false">IFERROR(LEN(SUBSTITUTE(BF30," ",""))-SUMPRODUCT((LEN(BF30)-LEN(SUBSTITUTE(BF30," "&amp;L_NAFiller&amp;" "," ")))/(LEN(L_NAFiller)+1)*LEN(L_NAFiller)),0)</f>
        <v>0</v>
      </c>
    </row>
    <row r="31" customFormat="false" ht="39.75" hidden="false" customHeight="true" outlineLevel="0" collapsed="false">
      <c r="A31" s="57" t="s">
        <v>474</v>
      </c>
      <c r="B31" s="57" t="s">
        <v>198</v>
      </c>
      <c r="C31" s="57" t="str">
        <f aca="false">Flights!$F$6</f>
        <v>MH0727</v>
      </c>
      <c r="D31" s="58" t="n">
        <f aca="false">Flights!$D$6</f>
        <v>46304</v>
      </c>
      <c r="E31" s="57" t="str">
        <f aca="false">Flights!$G$6&amp;"-"&amp;Flights!$H$6</f>
        <v>KUL-CGK</v>
      </c>
      <c r="F31" s="57" t="str">
        <f aca="false">Flights!$K$6</f>
        <v>BC</v>
      </c>
      <c r="G31" s="57" t="s">
        <v>81</v>
      </c>
      <c r="H31" s="57" t="s">
        <v>378</v>
      </c>
      <c r="I31" s="57" t="s">
        <v>385</v>
      </c>
      <c r="J31" s="57" t="s">
        <v>386</v>
      </c>
      <c r="K31" s="67" t="s">
        <v>387</v>
      </c>
      <c r="L31" s="67" t="s">
        <v>382</v>
      </c>
      <c r="M31" s="67"/>
      <c r="N31" s="67" t="s">
        <v>383</v>
      </c>
      <c r="O31" s="67"/>
      <c r="P31" s="57" t="s">
        <v>187</v>
      </c>
      <c r="Q31" s="59" t="n">
        <f aca="false">ROUND((Flights!$AC$6)*1440,0)/1440</f>
        <v>46297.5763888889</v>
      </c>
      <c r="R31" s="59" t="n">
        <f aca="false">Q31+(IF(AND(INDEX(TZ_DSTS,MATCH(P31,TZ_STN,0))&lt;&gt;"",Q31&gt;=INDEX(TZ_DSTS,MATCH(P31,TZ_STN,0)),Q31&lt;INDEX(TZ_DSTE,MATCH(P31,TZ_STN,0))),INDEX(TZ_DST,MATCH(P31,TZ_STN,0)),INDEX(TZ_STD,MATCH(P31,TZ_STN,0))))/24</f>
        <v>46297.9097222222</v>
      </c>
      <c r="S31" s="60"/>
      <c r="T31" s="60"/>
      <c r="U31" s="60"/>
      <c r="V31" s="60"/>
      <c r="W31" s="61"/>
      <c r="X31" s="60"/>
      <c r="Y31" s="60"/>
      <c r="Z31" s="60"/>
      <c r="AA31" s="60"/>
      <c r="AB31" s="60"/>
      <c r="AC31" s="60"/>
      <c r="AD31" s="66"/>
      <c r="AE31" s="60"/>
      <c r="AF31" s="61" t="str">
        <f aca="false">IF(AND(ISNUMBER(X31),ISNUMBER(Y31)),Y31-X31,"")</f>
        <v/>
      </c>
      <c r="AG31" s="62" t="str">
        <f aca="false">IF(ISNUMBER(AD31),AD31-(IF(AND(INDEX(TZ_DSTS,MATCH(P31,TZ_STN,0))&lt;&gt;"",(AD31-INDEX(TZ_STD,MATCH(P31,TZ_STN,0))/24)&gt;=INDEX(TZ_DSTS,MATCH(P31,TZ_STN,0)),(AD31-INDEX(TZ_STD,MATCH(P31,TZ_STN,0))/24)&lt;INDEX(TZ_DSTE,MATCH(P31,TZ_STN,0))),INDEX(TZ_DST,MATCH(P31,TZ_STN,0)),INDEX(TZ_STD,MATCH(P31,TZ_STN,0))))/24,"")</f>
        <v/>
      </c>
      <c r="AH31" s="65" t="str">
        <f aca="false">IFERROR(IF(N31="N/A – rule",IF(OR(TRIM(U31)="",TRIM(U31)="N/A",TRIM(U31)="Not started"),"N/A – RULE","INVALID – this check does not apply to this aircraft: clear the status (or correct the fleet on Flights)"),IF(TRIM(U31)="N/A",IF(AT31=0,"INVALID – N/A not permitted for this check",IF(AND(TRIM(AB31)&lt;&gt;"",TRIM(AB31)&lt;&gt;"Closed"),"INVALID – corrective action still open",IF(AND(NOT(OR(LEN(AZ31)&lt;15,ISNUMBER(MATCH(AZ31,L_Placeholder,0)))),BK31=0,CG31&gt;=8,NOT(OR(LEN(AU31)&lt;2,ISNUMBER(MATCH(AU31,L_Placeholder,0)))),BR31&gt;=3,NOT(OR(LEN(AX31)&lt;2,ISNUMBER(MATCH(AX31,L_Placeholder,0)))),BS31&gt;=3,TRIM(AE31)&lt;&gt;TRIM(T31),AX31&lt;&gt;AU31,CE31=0),"N/A – JUSTIFIED","INVALID – N/A needs a real, settled reason (not 'not applicable' / 'as above' / TBC), a named PIC and a different named verifier"))),IF(OR(TRIM(U31)="Pass",TRIM(U31)="Pass after CA"),IF(NOT(ISNUMBER(AD31)),"INVALID – completion time missing",IF(OR(OR(LEN(AU31)&lt;2,ISNUMBER(MATCH(AU31,L_Placeholder,0))),BR31&lt;3),"INVALID – PIC missing or not a named person (a role such as QA / CSM is not a name)",IF(OR(LEN(AV31)&lt;2,ISNUMBER(MATCH(AV31,L_Placeholder,0))),"INVALID – result / assessment missing",IF(OR(OR(LEN(AW31)&lt;3,ISNUMBER(MATCH(AW31,L_Placeholder,0))),SUMPRODUCT(--ISNUMBER(SEARCH(" "&amp;L_EvidencePhrase&amp;" ",BD31)))&gt;0,BI31=1),"INVALID – evidence missing, placeholder or not yet on file",IF(ISNA(MATCH(TRIM(S31),L_EvidenceType,0)),"INVALID – choose the evidence type from the list (column S)",IF(BL31=0,"INVALID – evidence ID must be the record's own ID only (e.g. SF-2210, IMG_2231, 1045521); a link / file name needs type 'Link / file path'",IF(OR(OR(LEN(AX31)&lt;2,ISNUMBER(MATCH(AX31,L_Placeholder,0))),BS31&lt;3),"INVALID – verifier missing or not a named person (a role such as QA / CSM is not a name)",IF(OR(AX31=AU31,CE31=1,AND(LEN(AU31)&gt;=4,ISNUMBER(SEARCH(AU31,AX31))),AND(LEN(AX31)&gt;=4,ISNUMBER(SEARCH(AX31,AU31)))),"INVALID – verifier must be a different, named person (not the PIC or a role)",IF(BH31=1,"INVALID – result not yet available (awaiting / TBC)",IF(BG31=1,"INVALID – result describes a problem: record Fail, then Pass after CA (or reword if it is not a problem)",IF(BV31=1,"INVALID – wording says not on board: an on-board confirmation needs the item loaded",IF(AND(AQ31=1,OR(OR(LEN(AY31)&lt;3,ISNUMBER(MATCH(AY31,L_Placeholder,0))),BJ31=1,BQ31=0)),"INVALID – batch ID missing, placeholder or not an ID (e.g. PASB-261008-BC-017)",IF(AND(AR31=1,OR(NOT(ISNUMBER(X31)),NOT(ISNUMBER(Y31)))),"INVALID – expected/actual qty missing",IF(AND(AR31=1,OR(X31&lt;=0,Y31&lt;0)),"INVALID – expected qty must be above 0 and actual not negative",IF(BB31&lt;&gt;"",BB31,IF(AND(AS31=1,Documents!$J$6&lt;&gt;"ON FILE"),"INVALID – GLD not on file (Documents sheet)",IF(AND(AS31=2,Documents!$O$6&lt;&gt;"ON FILE"),"INVALID – menu checklist not on file (Documents sheet)",IF(AND(AS31=3,NOT(ISNUMBER(Flights!$AX$6))),"INVALID – enter carrying flight KUL departure (Flights AX)",IF(AND(AS31=3,OR(Flights!$AZ$6&gt;Flights!$AA$6,Flights!$AX$6&lt;Flights!$AA$6-3)),"INVALID – carrying flight (Flights AX) cannot arrive before this leg's STD, or is over 3 days early",IF(AG31&gt;AsOfUTC,"INVALID – completion time is in the future",IF(AND(ISNUMBER(BY31),AG31&lt;BY31),IF(H31="Physical uplift","INVALID – before uplift window (cannot confirm loading)","INVALID – before valid window"),IF(AG31&gt;Flights!$AA$6,"INVALID – completed after departure (cannot establish readiness)",IF(AND(H31="Preparation",AG31&gt;=IF(ISNUMBER(Flights!$BA$6),MIN(Flights!$BA$6,Flights!$AA$6),Flights!$AA$6)),"INVALID – completed after loading / departure (cannot establish readiness)",IF(AND(H31="Physical uplift",AG31&gt;Q31),"INVALID – recorded after the loading flight departed",IF(AG31&gt;Q31,"COMPLETE – LATE","COMPLETE"))))))))))))))))))))))))),IF(TRIM(U31)="Fail","FAIL – DISCREPANCY",IF(AND(TRIM(U31)&lt;&gt;"",TRIM(U31)&lt;&gt;"Not started",TRIM(U31)&lt;&gt;"In progress"),"INVALID – unrecognised status (use the list)",IF(AsOfUTC&gt;Q31,"OVERDUE",IF(N31="Clarification required","OPEN – CLARIFICATION","OPEN"))))))),"INVALID – error value in an input cell")</f>
        <v>OPEN</v>
      </c>
      <c r="AI31" s="61" t="n">
        <f aca="false">IF(OR(AH31="N/A – RULE",AH31="N/A – JUSTIFIED"),0,1)</f>
        <v>1</v>
      </c>
      <c r="AJ31" s="61" t="n">
        <f aca="false">IF(LEFT(AH31,8)="COMPLETE",1,0)</f>
        <v>0</v>
      </c>
      <c r="AK31" s="61" t="n">
        <f aca="false">IF(AND(AI31=1,AJ31=0,AsOfUTC&gt;Q31),1,0)</f>
        <v>0</v>
      </c>
      <c r="AL31" s="61" t="n">
        <f aca="false">IFERROR(IF(AND(AI31=1,OR(TRIM(U31)="Fail",AND(TRIM(AB31)&lt;&gt;"",TRIM(AB31)&lt;&gt;"Closed"),AND(ISNUMBER(AF31),AF31&lt;&gt;0,TRIM(U31)&lt;&gt;"Pass after CA"))),1,0),1)</f>
        <v>0</v>
      </c>
      <c r="AM31" s="61" t="n">
        <f aca="false">IF(LEFT(AH31,7)="INVALID",1,0)</f>
        <v>0</v>
      </c>
      <c r="AN31" s="61" t="n">
        <f aca="false">IF(AND(N31="Clarification required",AI31=1,AJ31=0),1,0)</f>
        <v>0</v>
      </c>
      <c r="AO31" s="61" t="str">
        <f aca="false">IF(AK31=1,SUM(AK$5:AK31),"")</f>
        <v/>
      </c>
      <c r="AP31" s="61" t="str">
        <f aca="false">IF(AL31=1,SUM(AL$5:AL31),"")</f>
        <v/>
      </c>
      <c r="AQ31" s="61" t="n">
        <v>0</v>
      </c>
      <c r="AR31" s="61" t="n">
        <v>0</v>
      </c>
      <c r="AS31" s="61" t="n">
        <v>0</v>
      </c>
      <c r="AT31" s="61" t="n">
        <v>0</v>
      </c>
      <c r="AU31" s="61" t="str">
        <f aca="false">SUBSTITUTE(SUBSTITUTE(SUBSTITUTE(SUBSTITUTE(SUBSTITUTE(SUBSTITUTE(SUBSTITUTE(SUBSTITUTE(SUBSTITUTE(SUBSTITUTE(SUBSTITUTE(SUBSTITUTE(SUBSTITUTE(SUBSTITUTE(SUBSTITUTE(SUBSTITUTE(LOWER(T31&amp;""),CHAR(10),""),CHAR(13),""),CHAR(9),""),CHAR(160),"")," ",""),".",""),"-",""),"/",""),"?",""),"_",""),",",""),"[",""),"]",""),"(",""),")",""),"*","")</f>
        <v/>
      </c>
      <c r="AV31" s="61" t="str">
        <f aca="false">SUBSTITUTE(SUBSTITUTE(SUBSTITUTE(SUBSTITUTE(SUBSTITUTE(SUBSTITUTE(SUBSTITUTE(SUBSTITUTE(SUBSTITUTE(SUBSTITUTE(SUBSTITUTE(SUBSTITUTE(SUBSTITUTE(SUBSTITUTE(SUBSTITUTE(SUBSTITUTE(LOWER(V31&amp;""),CHAR(10),""),CHAR(13),""),CHAR(9),""),CHAR(160),"")," ",""),".",""),"-",""),"/",""),"?",""),"_",""),",",""),"[",""),"]",""),"(",""),")",""),"*","")</f>
        <v/>
      </c>
      <c r="AW31" s="61" t="str">
        <f aca="false">SUBSTITUTE(SUBSTITUTE(SUBSTITUTE(SUBSTITUTE(SUBSTITUTE(SUBSTITUTE(SUBSTITUTE(SUBSTITUTE(SUBSTITUTE(SUBSTITUTE(SUBSTITUTE(SUBSTITUTE(SUBSTITUTE(SUBSTITUTE(SUBSTITUTE(SUBSTITUTE(LOWER(Z31&amp;""),CHAR(10),""),CHAR(13),""),CHAR(9),""),CHAR(160),"")," ",""),".",""),"-",""),"/",""),"?",""),"_",""),",",""),"[",""),"]",""),"(",""),")",""),"*","")</f>
        <v/>
      </c>
      <c r="AX31" s="61" t="str">
        <f aca="false">SUBSTITUTE(SUBSTITUTE(SUBSTITUTE(SUBSTITUTE(SUBSTITUTE(SUBSTITUTE(SUBSTITUTE(SUBSTITUTE(SUBSTITUTE(SUBSTITUTE(SUBSTITUTE(SUBSTITUTE(SUBSTITUTE(SUBSTITUTE(SUBSTITUTE(SUBSTITUTE(LOWER(AE31&amp;""),CHAR(10),""),CHAR(13),""),CHAR(9),""),CHAR(160),"")," ",""),".",""),"-",""),"/",""),"?",""),"_",""),",",""),"[",""),"]",""),"(",""),")",""),"*","")</f>
        <v/>
      </c>
      <c r="AY31" s="61" t="str">
        <f aca="false">SUBSTITUTE(SUBSTITUTE(SUBSTITUTE(SUBSTITUTE(SUBSTITUTE(SUBSTITUTE(SUBSTITUTE(SUBSTITUTE(SUBSTITUTE(SUBSTITUTE(SUBSTITUTE(SUBSTITUTE(SUBSTITUTE(SUBSTITUTE(SUBSTITUTE(SUBSTITUTE(LOWER(W31&amp;""),CHAR(10),""),CHAR(13),""),CHAR(9),""),CHAR(160),"")," ",""),".",""),"-",""),"/",""),"?",""),"_",""),",",""),"[",""),"]",""),"(",""),")",""),"*","")</f>
        <v/>
      </c>
      <c r="AZ31" s="61" t="str">
        <f aca="false">SUBSTITUTE(SUBSTITUTE(SUBSTITUTE(SUBSTITUTE(SUBSTITUTE(SUBSTITUTE(SUBSTITUTE(SUBSTITUTE(SUBSTITUTE(SUBSTITUTE(SUBSTITUTE(SUBSTITUTE(SUBSTITUTE(SUBSTITUTE(SUBSTITUTE(SUBSTITUTE(LOWER(AC31&amp;""),CHAR(10),""),CHAR(13),""),CHAR(9),""),CHAR(160),"")," ",""),".",""),"-",""),"/",""),"?",""),"_",""),",",""),"[",""),"]",""),"(",""),")",""),"*","")</f>
        <v/>
      </c>
      <c r="BA31" s="61" t="str">
        <f aca="false">SUBSTITUTE(SUBSTITUTE(SUBSTITUTE(SUBSTITUTE(SUBSTITUTE(SUBSTITUTE(SUBSTITUTE(SUBSTITUTE(SUBSTITUTE(SUBSTITUTE(SUBSTITUTE(SUBSTITUTE(SUBSTITUTE(SUBSTITUTE(SUBSTITUTE(SUBSTITUTE(LOWER(AA31&amp;""),CHAR(10),""),CHAR(13),""),CHAR(9),""),CHAR(160),"")," ",""),".",""),"-",""),"/",""),"?",""),"_",""),",",""),"[",""),"]",""),"(",""),")",""),"*","")</f>
        <v/>
      </c>
      <c r="BB31" s="61" t="str">
        <f aca="false">IF(AND(TRIM(U31)="Pass",ISNUMBER(AF31)),IF(AF31&lt;&gt;0,"INVALID – qty variance: use Fail or Pass after CA",""),"")&amp;IF(AND(TRIM(U31)="Pass after CA",ISNUMBER(AF31)),IF(AF31&lt;&gt;0,"INVALID – after the corrective action the actual qty must equal expected (update Actual)",""),"")&amp;IF(AND(TRIM(U31)="Pass",TRIM(AB31)&lt;&gt;"",TRIM(AB31)&lt;&gt;"Closed"),"INVALID – corrective action not closed: use Fail, then Pass after CA","")&amp;IF(AND(LEN(BA31)&gt;=2,ISNA(MATCH(LEFT(BA31,255),L_Placeholder,0)),TRIM(AB31)=""),"INVALID – CA status missing for the recorded corrective action","")&amp;IF(AND(TRIM(U31)="Pass after CA",OR(OR(LEN(BA31)&lt;5,ISNUMBER(MATCH(BA31,L_Placeholder,0))),TRIM(AB31)&lt;&gt;"Closed")),"INVALID – corrective action not recorded/closed","")</f>
        <v/>
      </c>
      <c r="BC31" s="61" t="str">
        <f aca="false">" "&amp;TRIM(SUBSTITUTE(SUBSTITUTE(SUBSTITUTE(SUBSTITUTE(SUBSTITUTE(SUBSTITUTE(SUBSTITUTE(SUBSTITUTE(SUBSTITUTE(SUBSTITUTE(SUBSTITUTE(SUBSTITUTE(SUBSTITUTE(SUBSTITUTE(SUBSTITUTE(SUBSTITUTE(SUBSTITUTE(SUBSTITUTE(SUBSTITUTE(SUBSTITUTE(SUBSTITUTE(SUBSTITUTE(SUBSTITUTE(SUBSTITUTE(LOWER(V31&amp;""),CHAR(10)," "),CHAR(13)," "),CHAR(9)," "),CHAR(160)," "),"."," "),","," "),"-"," "),"/"," "),"("," "),")"," "),":"," "),";"," "),"_"," "),"–"," "),"?"," "),"!"," "),"*"," "),"["," "),"]"," "),"'"," "),"#"," "),"+"," "),"&amp;"," "),"\"," "))&amp;" "</f>
        <v>  </v>
      </c>
      <c r="BD31" s="61" t="str">
        <f aca="false">" "&amp;TRIM(SUBSTITUTE(SUBSTITUTE(SUBSTITUTE(SUBSTITUTE(SUBSTITUTE(SUBSTITUTE(SUBSTITUTE(SUBSTITUTE(SUBSTITUTE(SUBSTITUTE(SUBSTITUTE(SUBSTITUTE(SUBSTITUTE(SUBSTITUTE(SUBSTITUTE(SUBSTITUTE(SUBSTITUTE(SUBSTITUTE(SUBSTITUTE(SUBSTITUTE(SUBSTITUTE(SUBSTITUTE(SUBSTITUTE(SUBSTITUTE(LOWER(Z31&amp;""),CHAR(10)," "),CHAR(13)," "),CHAR(9)," "),CHAR(160)," "),"."," "),","," "),"-"," "),"/"," "),"("," "),")"," "),":"," "),";"," "),"_"," "),"–"," "),"?"," "),"!"," "),"*"," "),"["," "),"]"," "),"'"," "),"#"," "),"+"," "),"&amp;"," "),"\"," "))&amp;" "</f>
        <v>  </v>
      </c>
      <c r="BE31" s="61" t="str">
        <f aca="false">" "&amp;TRIM(SUBSTITUTE(SUBSTITUTE(SUBSTITUTE(SUBSTITUTE(SUBSTITUTE(SUBSTITUTE(SUBSTITUTE(SUBSTITUTE(SUBSTITUTE(SUBSTITUTE(SUBSTITUTE(SUBSTITUTE(SUBSTITUTE(SUBSTITUTE(SUBSTITUTE(SUBSTITUTE(SUBSTITUTE(SUBSTITUTE(SUBSTITUTE(SUBSTITUTE(SUBSTITUTE(SUBSTITUTE(SUBSTITUTE(SUBSTITUTE(LOWER(W31&amp;""),CHAR(10)," "),CHAR(13)," "),CHAR(9)," "),CHAR(160)," "),"."," "),","," "),"-"," "),"/"," "),"("," "),")"," "),":"," "),";"," "),"_"," "),"–"," "),"?"," "),"!"," "),"*"," "),"["," "),"]"," "),"'"," "),"#"," "),"+"," "),"&amp;"," "),"\"," "))&amp;" "</f>
        <v>  </v>
      </c>
      <c r="BF31" s="61" t="str">
        <f aca="false">" "&amp;TRIM(SUBSTITUTE(SUBSTITUTE(SUBSTITUTE(SUBSTITUTE(SUBSTITUTE(SUBSTITUTE(SUBSTITUTE(SUBSTITUTE(SUBSTITUTE(SUBSTITUTE(SUBSTITUTE(SUBSTITUTE(SUBSTITUTE(SUBSTITUTE(SUBSTITUTE(SUBSTITUTE(SUBSTITUTE(SUBSTITUTE(SUBSTITUTE(SUBSTITUTE(SUBSTITUTE(SUBSTITUTE(SUBSTITUTE(SUBSTITUTE(LOWER(AC31&amp;""),CHAR(10)," "),CHAR(13)," "),CHAR(9)," "),CHAR(160)," "),"."," "),","," "),"-"," "),"/"," "),"("," "),")"," "),":"," "),";"," "),"_"," "),"–"," "),"?"," "),"!"," "),"*"," "),"["," "),"]"," "),"'"," "),"#"," "),"+"," "),"&amp;"," "),"\"," "))&amp;" "</f>
        <v>  </v>
      </c>
      <c r="BG31" s="61" t="n">
        <f aca="false">IFERROR(IF(AND(TRIM(U31)="Pass",SUMPRODUCT((LEN(BC31)-LEN(SUBSTITUTE(BC31," "&amp;L_ResultBad&amp;" "," ")))/(LEN(L_ResultBad)+1))&gt;SUMPRODUCT((LEN(BC31)-LEN(SUBSTITUTE(BC31," "&amp;L_NegPhrase&amp;" "," ")))/(LEN(L_NegPhrase)+1))),1,0),0)</f>
        <v>0</v>
      </c>
      <c r="BH31" s="61" t="n">
        <f aca="false">IFERROR(IF(SUMPRODUCT((LEN(BC31)-LEN(SUBSTITUTE(BC31," "&amp;L_Pending&amp;" "," ")))/(LEN(L_Pending)+1))&gt;SUMPRODUCT((LEN(BC31)-LEN(SUBSTITUTE(BC31," "&amp;L_PendNeg&amp;" "," ")))/(LEN(L_PendNeg)+1))+SUMPRODUCT((LEN(BC31)-LEN(SUBSTITUTE(BC31," "&amp;L_PendPrep&amp;" "," ")))/(LEN(L_PendPrep)+1)),1,0),1)</f>
        <v>0</v>
      </c>
      <c r="BI31" s="61" t="n">
        <f aca="false">IFERROR(IF(SUMPRODUCT((LEN(BD31)-LEN(SUBSTITUTE(BD31," "&amp;L_PendStrict&amp;" "," ")))/(LEN(L_PendStrict)+1))&gt;SUMPRODUCT((LEN(BD31)-LEN(SUBSTITUTE(BD31," "&amp;L_PendNeg&amp;" "," ")))/(LEN(L_PendNeg)+1)),1,0),1)</f>
        <v>0</v>
      </c>
      <c r="BJ31" s="61" t="n">
        <f aca="false">IFERROR(IF(SUMPRODUCT((LEN(BE31)-LEN(SUBSTITUTE(BE31," "&amp;L_Pending&amp;" "," ")))/(LEN(L_Pending)+1))&gt;SUMPRODUCT((LEN(BE31)-LEN(SUBSTITUTE(BE31," "&amp;L_PendNeg&amp;" "," ")))/(LEN(L_PendNeg)+1))+SUMPRODUCT((LEN(BE31)-LEN(SUBSTITUTE(BE31," "&amp;L_PendPrep&amp;" "," ")))/(LEN(L_PendPrep)+1)),1,0),1)</f>
        <v>0</v>
      </c>
      <c r="BK31" s="61" t="n">
        <f aca="false">IFERROR(IF(SUMPRODUCT((LEN(BF31)-LEN(SUBSTITUTE(BF31," "&amp;L_PendStrict&amp;" "," ")))/(LEN(L_PendStrict)+1))&gt;SUMPRODUCT((LEN(BF31)-LEN(SUBSTITUTE(BF31," "&amp;L_PendNeg&amp;" "," ")))/(LEN(L_PendNeg)+1)),1,0),1)</f>
        <v>0</v>
      </c>
      <c r="BL31" s="61" t="n">
        <f aca="false">IF(ISNA(MATCH(TRIM(S31),L_EvidenceType,0)),0,BZ31)</f>
        <v>0</v>
      </c>
      <c r="BM31" s="61" t="str">
        <f aca="false">SUBSTITUTE(SUBSTITUTE(SUBSTITUTE(SUBSTITUTE(SUBSTITUTE(SUBSTITUTE(SUBSTITUTE(SUBSTITUTE(SUBSTITUTE(LOWER(Z31&amp;""),"1","0"),"2","0"),"3","0"),"4","0"),"5","0"),"6","0"),"7","0"),"8","0"),"9","0")</f>
        <v/>
      </c>
      <c r="BN31" s="61" t="str">
        <f aca="false">SUBSTITUTE(SUBSTITUTE(SUBSTITUTE(SUBSTITUTE(SUBSTITUTE(SUBSTITUTE(SUBSTITUTE(SUBSTITUTE(SUBSTITUTE(SUBSTITUTE(SUBSTITUTE(SUBSTITUTE(SUBSTITUTE(SUBSTITUTE(SUBSTITUTE(SUBSTITUTE(SUBSTITUTE(SUBSTITUTE(SUBSTITUTE(SUBSTITUTE(SUBSTITUTE(SUBSTITUTE(SUBSTITUTE(SUBSTITUTE(SUBSTITUTE(BM31,"b","a"),"c","a"),"d","a"),"e","a"),"f","a"),"g","a"),"h","a"),"i","a"),"j","a"),"k","a"),"l","a"),"m","a"),"n","a"),"o","a"),"p","a"),"q","a"),"r","a"),"s","a"),"t","a"),"u","a"),"v","a"),"w","a"),"x","a"),"y","a"),"z","a")</f>
        <v/>
      </c>
      <c r="BO31" s="61" t="str">
        <f aca="false">SUBSTITUTE(SUBSTITUTE(SUBSTITUTE(SUBSTITUTE(SUBSTITUTE(SUBSTITUTE(SUBSTITUTE(SUBSTITUTE(SUBSTITUTE(LOWER(W31&amp;""),"1","0"),"2","0"),"3","0"),"4","0"),"5","0"),"6","0"),"7","0"),"8","0"),"9","0")</f>
        <v/>
      </c>
      <c r="BP31" s="61" t="str">
        <f aca="false">SUBSTITUTE(SUBSTITUTE(SUBSTITUTE(SUBSTITUTE(SUBSTITUTE(SUBSTITUTE(SUBSTITUTE(SUBSTITUTE(SUBSTITUTE(SUBSTITUTE(SUBSTITUTE(SUBSTITUTE(SUBSTITUTE(SUBSTITUTE(SUBSTITUTE(SUBSTITUTE(SUBSTITUTE(SUBSTITUTE(SUBSTITUTE(SUBSTITUTE(SUBSTITUTE(SUBSTITUTE(SUBSTITUTE(SUBSTITUTE(SUBSTITUTE(BO31,"b","a"),"c","a"),"d","a"),"e","a"),"f","a"),"g","a"),"h","a"),"i","a"),"j","a"),"k","a"),"l","a"),"m","a"),"n","a"),"o","a"),"p","a"),"q","a"),"r","a"),"s","a"),"t","a"),"u","a"),"v","a"),"w","a"),"x","a"),"y","a"),"z","a")</f>
        <v/>
      </c>
      <c r="BQ31" s="61" t="n">
        <f aca="false">IFERROR(IF(AND(ISERROR(SEARCH(" mh"," "&amp;LOWER(W31))),ISNA(MATCH(LEFT(TRIM(BP31),255),{"0000a","000a","00a","0000aa","000aa","00aa","0aa","0000aaa","000aaa","00a00","0a00","0000-0000","00:00","a00","a0","00.00.0000","00/00/0000","00-00-0000","0000-00-00","0000/00/00","0000.00.00","00.00.00","00/00/00","00-00-00","0.00.0000","0/00/0000","0-00-0000"},0)),ISNA(MATCH(LEFT(TRIM(CA31),255),{"0000a","000a","00a","0000aa","000aa","00aa","0aa","0000aaa","000aaa","00a00","0a00","0000-0000","00:00","a00","a0","00.00.0000","00/00/0000","00-00-0000","0000-00-00","0000/00/00","0000.00.00","00.00.00","00/00/00","00-00-00","0.00.0000","0/00/0000","0-00-0000"},0)),LEN(CB31)&gt;=3,NOT(OR(SUBSTITUTE(CB31,"0","")="",AND(LEN(CB31)&gt;=4,CB31=REPT(LEFT(CB31),LEN(CB31))),ISNUMBER(MATCH(CB31,{"123","1234","12345","123456","1234567","12345678","0123","01234","012345","98765","987654","54321"},0)),AND(LEN(CB31)=8,LEFT(CB31,3)="202"))),OR(AND((LEN(CA31)-LEN(SUBSTITUTE(CA31,"a","")))&gt;=1,SUMPRODUCT(--ISNUMBER(SEARCH({"a0","a-0","a_0","a/0","a.0","a#0","0a","0-a","0_a","0/a"},BP31)))&gt;0),ISNUMBER(SEARCH("000000",BP31)))),1,0),0)</f>
        <v>0</v>
      </c>
      <c r="BR31" s="61" t="n">
        <f aca="false">IFERROR(LEN(SUBSTITUTE(CC31," ",""))-SUMPRODUCT((LEN(CC31)-LEN(SUBSTITUTE(CC31," "&amp;L_Role&amp;" "," ")))/(LEN(L_Role)+1)*LEN(L_Role)),0)</f>
        <v>0</v>
      </c>
      <c r="BS31" s="61" t="n">
        <f aca="false">IFERROR(LEN(SUBSTITUTE(CD31," ",""))-SUMPRODUCT((LEN(CD31)-LEN(SUBSTITUTE(CD31," "&amp;L_Role&amp;" "," ")))/(LEN(L_Role)+1)*LEN(L_Role)),0)</f>
        <v>0</v>
      </c>
      <c r="BT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revision",""),"version",""),"jan",""),"feb",""),"mar",""),"apr",""),"may",""),"jun",""),"jul",""),"aug",""),"sep",""),"oct",""),"nov",""),"dec",""),"utc",""),"gmt",""),"myt",""),"bst",""),"rev",""),"ver",""),"b","a"),"c","a"),"d","a"),"e","a"),"f","a"),"g","a"),"h","a"),"i","a"),"j","a"),"k","a"),"l","a"),"m","a"),"n","a"),"o","a"),"p","a"),"q","a"),"r","a"),"s","a"),"t","a"),"u","a"),"v","a"),"w","a"),"x","a"),"y","a"),"z","a")</f>
        <v/>
      </c>
      <c r="BU31" s="61" t="str">
        <f aca="false">SUBSTITUTE(SUBSTITUTE(SUBSTITUTE(SUBSTITUTE(SUBSTITUTE(SUBSTITUTE(SUBSTITUTE(SUBSTITUTE(SUBSTITUTE(SUBSTITUTE(LEFT(BM31,FIND("0",BM31&amp;"0")-1),"-",""),"_",""),"/",""),".",""),"#",""),"\\",""),":","")," ",""),"(",""),")","")</f>
        <v/>
      </c>
      <c r="BV31" s="61" t="n">
        <f aca="false">0</f>
        <v>0</v>
      </c>
      <c r="BW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amp;""),"a",""),"b",""),"c",""),"d",""),"e",""),"f",""),"g",""),"h",""),"i",""),"j",""),"k",""),"l",""),"m",""),"n",""),"o",""),"p",""),"q",""),"r",""),"s",""),"t",""),"u",""),"v",""),"w",""),"x",""),"y",""),"z",""),"-",""),"_",""),"/",""),".",""),"#",""),"\\",""),":","")," ",""),"(",""),")","")</f>
        <v/>
      </c>
      <c r="BX31" s="61" t="str">
        <f aca="false">SUBSTITUTE(SUBSTITUTE(SUBSTITUTE(SUBSTITUTE(SUBSTITUTE(SUBSTITUTE(SUBSTITUTE(SUBSTITUTE(SUBSTITUTE(SUBSTITUTE(SUBSTITUTE(BM31,"0",""),"-",""),"_",""),"/",""),".",""),"#",""),"\\",""),":","")," ",""),"(",""),")","")</f>
        <v/>
      </c>
      <c r="BY31" s="62" t="n">
        <f aca="false">Q31-T7EarlyD*24/24</f>
        <v>46283.5763888889</v>
      </c>
      <c r="BZ31" s="61" t="n">
        <f aca="false">IFERROR(IF(IF(TRIM(S31)="Link / file path",AND(LEN(TRIM(Z31))&gt;=5,SUMPRODUCT(--ISNUMBER(SEARCH({"http","www.","\\",":\",".pdf",".jpg",".jpeg",".png",".heic",".xls",".doc",".msg",".eml",".ppt",".txt",".zip"},Z31)))&gt;0),AND(ISERROR(FIND(" ",TRIM(Z31))),NOT(OR(SUMPRODUCT(--ISNUMBER(FIND({",",";","&amp;","+"},Z31)))&gt;0,SUMPRODUCT(--ISNUMBER(SEARCH({"0/aa","0\\aa"},BN31)))&gt;0)),NOT(SUMPRODUCT(--ISNUMBER(SEARCH({"http","www.","\\",":\",".pdf",".jpg",".jpeg",".png",".heic",".xls",".doc",".msg",".eml",".ppt",".txt",".zip"},Z31)))&gt;0),NOT(LOWER(TRIM(Z31))=LOWER(Flights!$F$6)),ISNA(MATCH(BU31,{"mh","rev","revision","ver","version","v","r","a","b","seat","tray","row","gate","bay","stand","page","pg","item","line","no","cart","galley","flight","flt","table","box","bag","oven","etd","eta","std","sta","atd","ata","qty","pax","x","time","tel","ph","mob","day","wk","week","utc","gmt","myt","lt"},0)),NOT(OR(ISNUMBER(MATCH(LEFT(BN31,255),{"0000a","000a","00a","0000aa","000aa","00aa","0aa","0000aaa","000aaa","00a00","0a00","0000-0000","00:00","a00","a0","00.00.0000","00/00/0000","00-00-0000","0000-00-00","0000/00/00","0000.00.00","00.00.00","00/00/00","00-00-00","0.00.0000","0/00/0000","0-00-0000"},0)),ISNUMBER(MATCH(LEFT(BT31,255),{"0000a","000a","00a","0000aa","000aa","00aa","0aa","0000aaa","000aaa","00a00","0a00","0000-0000","00:00","a00","a0","00.00.0000","00/00/0000","00-00-0000","0000-00-00","0000/00/00","0000.00.00","00.00.00","00/00/00","00-00-00","0.00.0000","0/00/0000","0-00-0000"},0)))),NOT(OR(AND(BW31&lt;&gt;"",SUBSTITUTE(BW31,"0","")=""),AND(LEN(BW31)&gt;=4,BW31=REPT(LEFT(BW31),LEN(BW31))),ISNUMBER(MATCH(BW31,{"123","1234","12345","123456","1234567","12345678","0123","01234","012345","98765","987654","54321"},0)),ISNUMBER(MATCH(BX31,{"x","xx","xxx","xxxx","xxxxx","abc","abcd","nil","na","nan","test","tbc","tba","tbd","dummy","sample","example","eg","zz","zzz","none","null","xyz","qwe","asd","id","ref"},0)),AND(LEN(BW31)=8,BX31="",OR(LEFT(BW31,3)="202",ISNUMBER(MATCH(RIGHT(BW31,4),{"2025","2026","2027"},0)))))),OR(AND((LEN(BT31)-LEN(SUBSTITUTE(BT31,"a","")))&gt;=1,(LEN(BN31)-LEN(SUBSTITUTE(BN31,"0","")))&gt;=2,SUMPRODUCT(--ISNUMBER(SEARCH({"a0","a-0","a_0","a/0","a.0","a#0","0a","0-a","0_a","0/a"},BN31)))&gt;0),AND((LEN(BN31)-LEN(SUBSTITUTE(BN31,"a","")))=0,(LEN(BN31)-LEN(SUBSTITUTE(BN31,"0","")))&gt;=5)))),1,0),0)</f>
        <v>0</v>
      </c>
      <c r="CA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revision",""),"version",""),"jan",""),"feb",""),"mar",""),"apr",""),"may",""),"jun",""),"jul",""),"aug",""),"sep",""),"oct",""),"nov",""),"dec",""),"utc",""),"gmt",""),"myt",""),"bst",""),"rev",""),"ver",""),"b","a"),"c","a"),"d","a"),"e","a"),"f","a"),"g","a"),"h","a"),"i","a"),"j","a"),"k","a"),"l","a"),"m","a"),"n","a"),"o","a"),"p","a"),"q","a"),"r","a"),"s","a"),"t","a"),"u","a"),"v","a"),"w","a"),"x","a"),"y","a"),"z","a")</f>
        <v/>
      </c>
      <c r="CB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amp;""),"a",""),"b",""),"c",""),"d",""),"e",""),"f",""),"g",""),"h",""),"i",""),"j",""),"k",""),"l",""),"m",""),"n",""),"o",""),"p",""),"q",""),"r",""),"s",""),"t",""),"u",""),"v",""),"w",""),"x",""),"y",""),"z",""),"-",""),"_",""),"/",""),".",""),"#",""),"\\",""),":","")," ",""),"(",""),")","")</f>
        <v/>
      </c>
      <c r="CC31" s="0" t="str">
        <f aca="false">" "&amp;TRIM(SUBSTITUTE(SUBSTITUTE(SUBSTITUTE(SUBSTITUTE(SUBSTITUTE(SUBSTITUTE(SUBSTITUTE(SUBSTITUTE(SUBSTITUTE(SUBSTITUTE(SUBSTITUTE(SUBSTITUTE(SUBSTITUTE(SUBSTITUTE(SUBSTITUTE(SUBSTITUTE(SUBSTITUTE(SUBSTITUTE(SUBSTITUTE(SUBSTITUTE(SUBSTITUTE(SUBSTITUTE(SUBSTITUTE(SUBSTITUTE(LOWER(T31&amp;""),CHAR(10)," "),CHAR(13)," "),CHAR(9)," "),CHAR(160)," "),"."," "),","," "),"-"," "),"/"," "),"("," "),")"," "),":"," "),";"," "),"_"," "),"–"," "),"?"," "),"!"," "),"*"," "),"["," "),"]"," "),"'"," "),"#"," "),"+"," "),"&amp;"," "),"\"," "))&amp;" "</f>
        <v>  </v>
      </c>
      <c r="CD31" s="0" t="str">
        <f aca="false">" "&amp;TRIM(SUBSTITUTE(SUBSTITUTE(SUBSTITUTE(SUBSTITUTE(SUBSTITUTE(SUBSTITUTE(SUBSTITUTE(SUBSTITUTE(SUBSTITUTE(SUBSTITUTE(SUBSTITUTE(SUBSTITUTE(SUBSTITUTE(SUBSTITUTE(SUBSTITUTE(SUBSTITUTE(SUBSTITUTE(SUBSTITUTE(SUBSTITUTE(SUBSTITUTE(SUBSTITUTE(SUBSTITUTE(SUBSTITUTE(SUBSTITUTE(LOWER(AE31&amp;""),CHAR(10)," "),CHAR(13)," "),CHAR(9)," "),CHAR(160)," "),"."," "),","," "),"-"," "),"/"," "),"("," "),")"," "),":"," "),";"," "),"_"," "),"–"," "),"?"," "),"!"," "),"*"," "),"["," "),"]"," "),"'"," "),"#"," "),"+"," "),"&amp;"," "),"\"," "))&amp;" "</f>
        <v>  </v>
      </c>
      <c r="CE31" s="68" t="n">
        <f aca="false">IFERROR(IF(AND(LEN(AU31)&gt;0,LEN(AU31)=LEN(AX31),OR(TRIM(MID(SUBSTITUTE(TRIM(CC31)," ",REPT(" ",60)),1,60))="",ISNUMBER(SEARCH(" "&amp;TRIM(MID(SUBSTITUTE(TRIM(CC31)," ",REPT(" ",60)),1,60))&amp;" ",CD31))),OR(TRIM(MID(SUBSTITUTE(TRIM(CC31)," ",REPT(" ",60)),61,60))="",ISNUMBER(SEARCH(" "&amp;TRIM(MID(SUBSTITUTE(TRIM(CC31)," ",REPT(" ",60)),61,60))&amp;" ",CD31))),OR(TRIM(MID(SUBSTITUTE(TRIM(CC31)," ",REPT(" ",60)),121,60))="",ISNUMBER(SEARCH(" "&amp;TRIM(MID(SUBSTITUTE(TRIM(CC31)," ",REPT(" ",60)),121,60))&amp;" ",CD31)))),1,0),0)</f>
        <v>0</v>
      </c>
      <c r="CG31" s="68" t="n">
        <f aca="false">IFERROR(LEN(SUBSTITUTE(BF31," ",""))-SUMPRODUCT((LEN(BF31)-LEN(SUBSTITUTE(BF31," "&amp;L_NAFiller&amp;" "," ")))/(LEN(L_NAFiller)+1)*LEN(L_NAFiller)),0)</f>
        <v>0</v>
      </c>
    </row>
    <row r="32" customFormat="false" ht="41.25" hidden="false" customHeight="true" outlineLevel="0" collapsed="false">
      <c r="A32" s="57" t="s">
        <v>475</v>
      </c>
      <c r="B32" s="57" t="s">
        <v>198</v>
      </c>
      <c r="C32" s="57" t="str">
        <f aca="false">Flights!$F$6</f>
        <v>MH0727</v>
      </c>
      <c r="D32" s="58" t="n">
        <f aca="false">Flights!$D$6</f>
        <v>46304</v>
      </c>
      <c r="E32" s="57" t="str">
        <f aca="false">Flights!$G$6&amp;"-"&amp;Flights!$H$6</f>
        <v>KUL-CGK</v>
      </c>
      <c r="F32" s="57" t="str">
        <f aca="false">Flights!$K$6</f>
        <v>BC</v>
      </c>
      <c r="G32" s="57" t="s">
        <v>81</v>
      </c>
      <c r="H32" s="57" t="s">
        <v>378</v>
      </c>
      <c r="I32" s="57" t="s">
        <v>389</v>
      </c>
      <c r="J32" s="57" t="s">
        <v>390</v>
      </c>
      <c r="K32" s="67" t="s">
        <v>391</v>
      </c>
      <c r="L32" s="67" t="s">
        <v>382</v>
      </c>
      <c r="M32" s="67"/>
      <c r="N32" s="67" t="str">
        <f aca="false">IF(TRIM(Flights!$L$6)="A339","Required","N/A – rule")</f>
        <v>N/A – rule</v>
      </c>
      <c r="O32" s="67" t="s">
        <v>392</v>
      </c>
      <c r="P32" s="57" t="s">
        <v>187</v>
      </c>
      <c r="Q32" s="59" t="n">
        <f aca="false">ROUND((Flights!$AC$6)*1440,0)/1440</f>
        <v>46297.5763888889</v>
      </c>
      <c r="R32" s="59" t="n">
        <f aca="false">Q32+(IF(AND(INDEX(TZ_DSTS,MATCH(P32,TZ_STN,0))&lt;&gt;"",Q32&gt;=INDEX(TZ_DSTS,MATCH(P32,TZ_STN,0)),Q32&lt;INDEX(TZ_DSTE,MATCH(P32,TZ_STN,0))),INDEX(TZ_DST,MATCH(P32,TZ_STN,0)),INDEX(TZ_STD,MATCH(P32,TZ_STN,0))))/24</f>
        <v>46297.9097222222</v>
      </c>
      <c r="S32" s="60"/>
      <c r="T32" s="60"/>
      <c r="U32" s="60"/>
      <c r="V32" s="60"/>
      <c r="W32" s="61"/>
      <c r="X32" s="60"/>
      <c r="Y32" s="60"/>
      <c r="Z32" s="60"/>
      <c r="AA32" s="60"/>
      <c r="AB32" s="60"/>
      <c r="AC32" s="60"/>
      <c r="AD32" s="66"/>
      <c r="AE32" s="60"/>
      <c r="AF32" s="61" t="str">
        <f aca="false">IF(AND(ISNUMBER(X32),ISNUMBER(Y32)),Y32-X32,"")</f>
        <v/>
      </c>
      <c r="AG32" s="62" t="str">
        <f aca="false">IF(ISNUMBER(AD32),AD32-(IF(AND(INDEX(TZ_DSTS,MATCH(P32,TZ_STN,0))&lt;&gt;"",(AD32-INDEX(TZ_STD,MATCH(P32,TZ_STN,0))/24)&gt;=INDEX(TZ_DSTS,MATCH(P32,TZ_STN,0)),(AD32-INDEX(TZ_STD,MATCH(P32,TZ_STN,0))/24)&lt;INDEX(TZ_DSTE,MATCH(P32,TZ_STN,0))),INDEX(TZ_DST,MATCH(P32,TZ_STN,0)),INDEX(TZ_STD,MATCH(P32,TZ_STN,0))))/24,"")</f>
        <v/>
      </c>
      <c r="AH32" s="65" t="str">
        <f aca="false">IFERROR(IF(N32="N/A – rule",IF(OR(TRIM(U32)="",TRIM(U32)="N/A",TRIM(U32)="Not started"),"N/A – RULE","INVALID – this check does not apply to this aircraft: clear the status (or correct the fleet on Flights)"),IF(TRIM(U32)="N/A",IF(AT32=0,"INVALID – N/A not permitted for this check",IF(AND(TRIM(AB32)&lt;&gt;"",TRIM(AB32)&lt;&gt;"Closed"),"INVALID – corrective action still open",IF(AND(NOT(OR(LEN(AZ32)&lt;15,ISNUMBER(MATCH(AZ32,L_Placeholder,0)))),BK32=0,CG32&gt;=8,NOT(OR(LEN(AU32)&lt;2,ISNUMBER(MATCH(AU32,L_Placeholder,0)))),BR32&gt;=3,NOT(OR(LEN(AX32)&lt;2,ISNUMBER(MATCH(AX32,L_Placeholder,0)))),BS32&gt;=3,TRIM(AE32)&lt;&gt;TRIM(T32),AX32&lt;&gt;AU32,CE32=0),"N/A – JUSTIFIED","INVALID – N/A needs a real, settled reason (not 'not applicable' / 'as above' / TBC), a named PIC and a different named verifier"))),IF(OR(TRIM(U32)="Pass",TRIM(U32)="Pass after CA"),IF(NOT(ISNUMBER(AD32)),"INVALID – completion time missing",IF(OR(OR(LEN(AU32)&lt;2,ISNUMBER(MATCH(AU32,L_Placeholder,0))),BR32&lt;3),"INVALID – PIC missing or not a named person (a role such as QA / CSM is not a name)",IF(OR(LEN(AV32)&lt;2,ISNUMBER(MATCH(AV32,L_Placeholder,0))),"INVALID – result / assessment missing",IF(OR(OR(LEN(AW32)&lt;3,ISNUMBER(MATCH(AW32,L_Placeholder,0))),SUMPRODUCT(--ISNUMBER(SEARCH(" "&amp;L_EvidencePhrase&amp;" ",BD32)))&gt;0,BI32=1),"INVALID – evidence missing, placeholder or not yet on file",IF(ISNA(MATCH(TRIM(S32),L_EvidenceType,0)),"INVALID – choose the evidence type from the list (column S)",IF(BL32=0,"INVALID – evidence ID must be the record's own ID only (e.g. SF-2210, IMG_2231, 1045521); a link / file name needs type 'Link / file path'",IF(OR(OR(LEN(AX32)&lt;2,ISNUMBER(MATCH(AX32,L_Placeholder,0))),BS32&lt;3),"INVALID – verifier missing or not a named person (a role such as QA / CSM is not a name)",IF(OR(AX32=AU32,CE32=1,AND(LEN(AU32)&gt;=4,ISNUMBER(SEARCH(AU32,AX32))),AND(LEN(AX32)&gt;=4,ISNUMBER(SEARCH(AX32,AU32)))),"INVALID – verifier must be a different, named person (not the PIC or a role)",IF(BH32=1,"INVALID – result not yet available (awaiting / TBC)",IF(BG32=1,"INVALID – result describes a problem: record Fail, then Pass after CA (or reword if it is not a problem)",IF(BV32=1,"INVALID – wording says not on board: an on-board confirmation needs the item loaded",IF(AND(AQ32=1,OR(OR(LEN(AY32)&lt;3,ISNUMBER(MATCH(AY32,L_Placeholder,0))),BJ32=1,BQ32=0)),"INVALID – batch ID missing, placeholder or not an ID (e.g. PASB-261008-BC-017)",IF(AND(AR32=1,OR(NOT(ISNUMBER(X32)),NOT(ISNUMBER(Y32)))),"INVALID – expected/actual qty missing",IF(AND(AR32=1,OR(X32&lt;=0,Y32&lt;0)),"INVALID – expected qty must be above 0 and actual not negative",IF(BB32&lt;&gt;"",BB32,IF(AND(AS32=1,Documents!$J$6&lt;&gt;"ON FILE"),"INVALID – GLD not on file (Documents sheet)",IF(AND(AS32=2,Documents!$O$6&lt;&gt;"ON FILE"),"INVALID – menu checklist not on file (Documents sheet)",IF(AND(AS32=3,NOT(ISNUMBER(Flights!$AX$6))),"INVALID – enter carrying flight KUL departure (Flights AX)",IF(AND(AS32=3,OR(Flights!$AZ$6&gt;Flights!$AA$6,Flights!$AX$6&lt;Flights!$AA$6-3)),"INVALID – carrying flight (Flights AX) cannot arrive before this leg's STD, or is over 3 days early",IF(AG32&gt;AsOfUTC,"INVALID – completion time is in the future",IF(AND(ISNUMBER(BY32),AG32&lt;BY32),IF(H32="Physical uplift","INVALID – before uplift window (cannot confirm loading)","INVALID – before valid window"),IF(AG32&gt;Flights!$AA$6,"INVALID – completed after departure (cannot establish readiness)",IF(AND(H32="Preparation",AG32&gt;=IF(ISNUMBER(Flights!$BA$6),MIN(Flights!$BA$6,Flights!$AA$6),Flights!$AA$6)),"INVALID – completed after loading / departure (cannot establish readiness)",IF(AND(H32="Physical uplift",AG32&gt;Q32),"INVALID – recorded after the loading flight departed",IF(AG32&gt;Q32,"COMPLETE – LATE","COMPLETE"))))))))))))))))))))))))),IF(TRIM(U32)="Fail","FAIL – DISCREPANCY",IF(AND(TRIM(U32)&lt;&gt;"",TRIM(U32)&lt;&gt;"Not started",TRIM(U32)&lt;&gt;"In progress"),"INVALID – unrecognised status (use the list)",IF(AsOfUTC&gt;Q32,"OVERDUE",IF(N32="Clarification required","OPEN – CLARIFICATION","OPEN"))))))),"INVALID – error value in an input cell")</f>
        <v>N/A – RULE</v>
      </c>
      <c r="AI32" s="61" t="n">
        <f aca="false">IF(OR(AH32="N/A – RULE",AH32="N/A – JUSTIFIED"),0,1)</f>
        <v>0</v>
      </c>
      <c r="AJ32" s="61" t="n">
        <f aca="false">IF(LEFT(AH32,8)="COMPLETE",1,0)</f>
        <v>0</v>
      </c>
      <c r="AK32" s="61" t="n">
        <f aca="false">IF(AND(AI32=1,AJ32=0,AsOfUTC&gt;Q32),1,0)</f>
        <v>0</v>
      </c>
      <c r="AL32" s="61" t="n">
        <f aca="false">IFERROR(IF(AND(AI32=1,OR(TRIM(U32)="Fail",AND(TRIM(AB32)&lt;&gt;"",TRIM(AB32)&lt;&gt;"Closed"),AND(ISNUMBER(AF32),AF32&lt;&gt;0,TRIM(U32)&lt;&gt;"Pass after CA"))),1,0),1)</f>
        <v>0</v>
      </c>
      <c r="AM32" s="61" t="n">
        <f aca="false">IF(LEFT(AH32,7)="INVALID",1,0)</f>
        <v>0</v>
      </c>
      <c r="AN32" s="61" t="n">
        <f aca="false">IF(AND(N32="Clarification required",AI32=1,AJ32=0),1,0)</f>
        <v>0</v>
      </c>
      <c r="AO32" s="61" t="str">
        <f aca="false">IF(AK32=1,SUM(AK$5:AK32),"")</f>
        <v/>
      </c>
      <c r="AP32" s="61" t="str">
        <f aca="false">IF(AL32=1,SUM(AL$5:AL32),"")</f>
        <v/>
      </c>
      <c r="AQ32" s="61" t="n">
        <v>0</v>
      </c>
      <c r="AR32" s="61" t="n">
        <v>0</v>
      </c>
      <c r="AS32" s="61" t="n">
        <v>0</v>
      </c>
      <c r="AT32" s="61" t="n">
        <v>0</v>
      </c>
      <c r="AU32" s="61" t="str">
        <f aca="false">SUBSTITUTE(SUBSTITUTE(SUBSTITUTE(SUBSTITUTE(SUBSTITUTE(SUBSTITUTE(SUBSTITUTE(SUBSTITUTE(SUBSTITUTE(SUBSTITUTE(SUBSTITUTE(SUBSTITUTE(SUBSTITUTE(SUBSTITUTE(SUBSTITUTE(SUBSTITUTE(LOWER(T32&amp;""),CHAR(10),""),CHAR(13),""),CHAR(9),""),CHAR(160),"")," ",""),".",""),"-",""),"/",""),"?",""),"_",""),",",""),"[",""),"]",""),"(",""),")",""),"*","")</f>
        <v/>
      </c>
      <c r="AV32" s="61" t="str">
        <f aca="false">SUBSTITUTE(SUBSTITUTE(SUBSTITUTE(SUBSTITUTE(SUBSTITUTE(SUBSTITUTE(SUBSTITUTE(SUBSTITUTE(SUBSTITUTE(SUBSTITUTE(SUBSTITUTE(SUBSTITUTE(SUBSTITUTE(SUBSTITUTE(SUBSTITUTE(SUBSTITUTE(LOWER(V32&amp;""),CHAR(10),""),CHAR(13),""),CHAR(9),""),CHAR(160),"")," ",""),".",""),"-",""),"/",""),"?",""),"_",""),",",""),"[",""),"]",""),"(",""),")",""),"*","")</f>
        <v/>
      </c>
      <c r="AW32" s="61" t="str">
        <f aca="false">SUBSTITUTE(SUBSTITUTE(SUBSTITUTE(SUBSTITUTE(SUBSTITUTE(SUBSTITUTE(SUBSTITUTE(SUBSTITUTE(SUBSTITUTE(SUBSTITUTE(SUBSTITUTE(SUBSTITUTE(SUBSTITUTE(SUBSTITUTE(SUBSTITUTE(SUBSTITUTE(LOWER(Z32&amp;""),CHAR(10),""),CHAR(13),""),CHAR(9),""),CHAR(160),"")," ",""),".",""),"-",""),"/",""),"?",""),"_",""),",",""),"[",""),"]",""),"(",""),")",""),"*","")</f>
        <v/>
      </c>
      <c r="AX32" s="61" t="str">
        <f aca="false">SUBSTITUTE(SUBSTITUTE(SUBSTITUTE(SUBSTITUTE(SUBSTITUTE(SUBSTITUTE(SUBSTITUTE(SUBSTITUTE(SUBSTITUTE(SUBSTITUTE(SUBSTITUTE(SUBSTITUTE(SUBSTITUTE(SUBSTITUTE(SUBSTITUTE(SUBSTITUTE(LOWER(AE32&amp;""),CHAR(10),""),CHAR(13),""),CHAR(9),""),CHAR(160),"")," ",""),".",""),"-",""),"/",""),"?",""),"_",""),",",""),"[",""),"]",""),"(",""),")",""),"*","")</f>
        <v/>
      </c>
      <c r="AY32" s="61" t="str">
        <f aca="false">SUBSTITUTE(SUBSTITUTE(SUBSTITUTE(SUBSTITUTE(SUBSTITUTE(SUBSTITUTE(SUBSTITUTE(SUBSTITUTE(SUBSTITUTE(SUBSTITUTE(SUBSTITUTE(SUBSTITUTE(SUBSTITUTE(SUBSTITUTE(SUBSTITUTE(SUBSTITUTE(LOWER(W32&amp;""),CHAR(10),""),CHAR(13),""),CHAR(9),""),CHAR(160),"")," ",""),".",""),"-",""),"/",""),"?",""),"_",""),",",""),"[",""),"]",""),"(",""),")",""),"*","")</f>
        <v/>
      </c>
      <c r="AZ32" s="61" t="str">
        <f aca="false">SUBSTITUTE(SUBSTITUTE(SUBSTITUTE(SUBSTITUTE(SUBSTITUTE(SUBSTITUTE(SUBSTITUTE(SUBSTITUTE(SUBSTITUTE(SUBSTITUTE(SUBSTITUTE(SUBSTITUTE(SUBSTITUTE(SUBSTITUTE(SUBSTITUTE(SUBSTITUTE(LOWER(AC32&amp;""),CHAR(10),""),CHAR(13),""),CHAR(9),""),CHAR(160),"")," ",""),".",""),"-",""),"/",""),"?",""),"_",""),",",""),"[",""),"]",""),"(",""),")",""),"*","")</f>
        <v/>
      </c>
      <c r="BA32" s="61" t="str">
        <f aca="false">SUBSTITUTE(SUBSTITUTE(SUBSTITUTE(SUBSTITUTE(SUBSTITUTE(SUBSTITUTE(SUBSTITUTE(SUBSTITUTE(SUBSTITUTE(SUBSTITUTE(SUBSTITUTE(SUBSTITUTE(SUBSTITUTE(SUBSTITUTE(SUBSTITUTE(SUBSTITUTE(LOWER(AA32&amp;""),CHAR(10),""),CHAR(13),""),CHAR(9),""),CHAR(160),"")," ",""),".",""),"-",""),"/",""),"?",""),"_",""),",",""),"[",""),"]",""),"(",""),")",""),"*","")</f>
        <v/>
      </c>
      <c r="BB32" s="61" t="str">
        <f aca="false">IF(AND(TRIM(U32)="Pass",ISNUMBER(AF32)),IF(AF32&lt;&gt;0,"INVALID – qty variance: use Fail or Pass after CA",""),"")&amp;IF(AND(TRIM(U32)="Pass after CA",ISNUMBER(AF32)),IF(AF32&lt;&gt;0,"INVALID – after the corrective action the actual qty must equal expected (update Actual)",""),"")&amp;IF(AND(TRIM(U32)="Pass",TRIM(AB32)&lt;&gt;"",TRIM(AB32)&lt;&gt;"Closed"),"INVALID – corrective action not closed: use Fail, then Pass after CA","")&amp;IF(AND(LEN(BA32)&gt;=2,ISNA(MATCH(LEFT(BA32,255),L_Placeholder,0)),TRIM(AB32)=""),"INVALID – CA status missing for the recorded corrective action","")&amp;IF(AND(TRIM(U32)="Pass after CA",OR(OR(LEN(BA32)&lt;5,ISNUMBER(MATCH(BA32,L_Placeholder,0))),TRIM(AB32)&lt;&gt;"Closed")),"INVALID – corrective action not recorded/closed","")</f>
        <v/>
      </c>
      <c r="BC32" s="61" t="str">
        <f aca="false">" "&amp;TRIM(SUBSTITUTE(SUBSTITUTE(SUBSTITUTE(SUBSTITUTE(SUBSTITUTE(SUBSTITUTE(SUBSTITUTE(SUBSTITUTE(SUBSTITUTE(SUBSTITUTE(SUBSTITUTE(SUBSTITUTE(SUBSTITUTE(SUBSTITUTE(SUBSTITUTE(SUBSTITUTE(SUBSTITUTE(SUBSTITUTE(SUBSTITUTE(SUBSTITUTE(SUBSTITUTE(SUBSTITUTE(SUBSTITUTE(SUBSTITUTE(LOWER(V32&amp;""),CHAR(10)," "),CHAR(13)," "),CHAR(9)," "),CHAR(160)," "),"."," "),","," "),"-"," "),"/"," "),"("," "),")"," "),":"," "),";"," "),"_"," "),"–"," "),"?"," "),"!"," "),"*"," "),"["," "),"]"," "),"'"," "),"#"," "),"+"," "),"&amp;"," "),"\"," "))&amp;" "</f>
        <v>  </v>
      </c>
      <c r="BD32" s="61" t="str">
        <f aca="false">" "&amp;TRIM(SUBSTITUTE(SUBSTITUTE(SUBSTITUTE(SUBSTITUTE(SUBSTITUTE(SUBSTITUTE(SUBSTITUTE(SUBSTITUTE(SUBSTITUTE(SUBSTITUTE(SUBSTITUTE(SUBSTITUTE(SUBSTITUTE(SUBSTITUTE(SUBSTITUTE(SUBSTITUTE(SUBSTITUTE(SUBSTITUTE(SUBSTITUTE(SUBSTITUTE(SUBSTITUTE(SUBSTITUTE(SUBSTITUTE(SUBSTITUTE(LOWER(Z32&amp;""),CHAR(10)," "),CHAR(13)," "),CHAR(9)," "),CHAR(160)," "),"."," "),","," "),"-"," "),"/"," "),"("," "),")"," "),":"," "),";"," "),"_"," "),"–"," "),"?"," "),"!"," "),"*"," "),"["," "),"]"," "),"'"," "),"#"," "),"+"," "),"&amp;"," "),"\"," "))&amp;" "</f>
        <v>  </v>
      </c>
      <c r="BE32" s="61" t="str">
        <f aca="false">" "&amp;TRIM(SUBSTITUTE(SUBSTITUTE(SUBSTITUTE(SUBSTITUTE(SUBSTITUTE(SUBSTITUTE(SUBSTITUTE(SUBSTITUTE(SUBSTITUTE(SUBSTITUTE(SUBSTITUTE(SUBSTITUTE(SUBSTITUTE(SUBSTITUTE(SUBSTITUTE(SUBSTITUTE(SUBSTITUTE(SUBSTITUTE(SUBSTITUTE(SUBSTITUTE(SUBSTITUTE(SUBSTITUTE(SUBSTITUTE(SUBSTITUTE(LOWER(W32&amp;""),CHAR(10)," "),CHAR(13)," "),CHAR(9)," "),CHAR(160)," "),"."," "),","," "),"-"," "),"/"," "),"("," "),")"," "),":"," "),";"," "),"_"," "),"–"," "),"?"," "),"!"," "),"*"," "),"["," "),"]"," "),"'"," "),"#"," "),"+"," "),"&amp;"," "),"\"," "))&amp;" "</f>
        <v>  </v>
      </c>
      <c r="BF32" s="61" t="str">
        <f aca="false">" "&amp;TRIM(SUBSTITUTE(SUBSTITUTE(SUBSTITUTE(SUBSTITUTE(SUBSTITUTE(SUBSTITUTE(SUBSTITUTE(SUBSTITUTE(SUBSTITUTE(SUBSTITUTE(SUBSTITUTE(SUBSTITUTE(SUBSTITUTE(SUBSTITUTE(SUBSTITUTE(SUBSTITUTE(SUBSTITUTE(SUBSTITUTE(SUBSTITUTE(SUBSTITUTE(SUBSTITUTE(SUBSTITUTE(SUBSTITUTE(SUBSTITUTE(LOWER(AC32&amp;""),CHAR(10)," "),CHAR(13)," "),CHAR(9)," "),CHAR(160)," "),"."," "),","," "),"-"," "),"/"," "),"("," "),")"," "),":"," "),";"," "),"_"," "),"–"," "),"?"," "),"!"," "),"*"," "),"["," "),"]"," "),"'"," "),"#"," "),"+"," "),"&amp;"," "),"\"," "))&amp;" "</f>
        <v>  </v>
      </c>
      <c r="BG32" s="61" t="n">
        <f aca="false">IFERROR(IF(AND(TRIM(U32)="Pass",SUMPRODUCT((LEN(BC32)-LEN(SUBSTITUTE(BC32," "&amp;L_ResultBad&amp;" "," ")))/(LEN(L_ResultBad)+1))&gt;SUMPRODUCT((LEN(BC32)-LEN(SUBSTITUTE(BC32," "&amp;L_NegPhrase&amp;" "," ")))/(LEN(L_NegPhrase)+1))),1,0),0)</f>
        <v>0</v>
      </c>
      <c r="BH32" s="61" t="n">
        <f aca="false">IFERROR(IF(SUMPRODUCT((LEN(BC32)-LEN(SUBSTITUTE(BC32," "&amp;L_Pending&amp;" "," ")))/(LEN(L_Pending)+1))&gt;SUMPRODUCT((LEN(BC32)-LEN(SUBSTITUTE(BC32," "&amp;L_PendNeg&amp;" "," ")))/(LEN(L_PendNeg)+1))+SUMPRODUCT((LEN(BC32)-LEN(SUBSTITUTE(BC32," "&amp;L_PendPrep&amp;" "," ")))/(LEN(L_PendPrep)+1)),1,0),1)</f>
        <v>0</v>
      </c>
      <c r="BI32" s="61" t="n">
        <f aca="false">IFERROR(IF(SUMPRODUCT((LEN(BD32)-LEN(SUBSTITUTE(BD32," "&amp;L_PendStrict&amp;" "," ")))/(LEN(L_PendStrict)+1))&gt;SUMPRODUCT((LEN(BD32)-LEN(SUBSTITUTE(BD32," "&amp;L_PendNeg&amp;" "," ")))/(LEN(L_PendNeg)+1)),1,0),1)</f>
        <v>0</v>
      </c>
      <c r="BJ32" s="61" t="n">
        <f aca="false">IFERROR(IF(SUMPRODUCT((LEN(BE32)-LEN(SUBSTITUTE(BE32," "&amp;L_Pending&amp;" "," ")))/(LEN(L_Pending)+1))&gt;SUMPRODUCT((LEN(BE32)-LEN(SUBSTITUTE(BE32," "&amp;L_PendNeg&amp;" "," ")))/(LEN(L_PendNeg)+1))+SUMPRODUCT((LEN(BE32)-LEN(SUBSTITUTE(BE32," "&amp;L_PendPrep&amp;" "," ")))/(LEN(L_PendPrep)+1)),1,0),1)</f>
        <v>0</v>
      </c>
      <c r="BK32" s="61" t="n">
        <f aca="false">IFERROR(IF(SUMPRODUCT((LEN(BF32)-LEN(SUBSTITUTE(BF32," "&amp;L_PendStrict&amp;" "," ")))/(LEN(L_PendStrict)+1))&gt;SUMPRODUCT((LEN(BF32)-LEN(SUBSTITUTE(BF32," "&amp;L_PendNeg&amp;" "," ")))/(LEN(L_PendNeg)+1)),1,0),1)</f>
        <v>0</v>
      </c>
      <c r="BL32" s="61" t="n">
        <f aca="false">IF(ISNA(MATCH(TRIM(S32),L_EvidenceType,0)),0,BZ32)</f>
        <v>0</v>
      </c>
      <c r="BM32" s="61" t="str">
        <f aca="false">SUBSTITUTE(SUBSTITUTE(SUBSTITUTE(SUBSTITUTE(SUBSTITUTE(SUBSTITUTE(SUBSTITUTE(SUBSTITUTE(SUBSTITUTE(LOWER(Z32&amp;""),"1","0"),"2","0"),"3","0"),"4","0"),"5","0"),"6","0"),"7","0"),"8","0"),"9","0")</f>
        <v/>
      </c>
      <c r="BN32" s="61" t="str">
        <f aca="false">SUBSTITUTE(SUBSTITUTE(SUBSTITUTE(SUBSTITUTE(SUBSTITUTE(SUBSTITUTE(SUBSTITUTE(SUBSTITUTE(SUBSTITUTE(SUBSTITUTE(SUBSTITUTE(SUBSTITUTE(SUBSTITUTE(SUBSTITUTE(SUBSTITUTE(SUBSTITUTE(SUBSTITUTE(SUBSTITUTE(SUBSTITUTE(SUBSTITUTE(SUBSTITUTE(SUBSTITUTE(SUBSTITUTE(SUBSTITUTE(SUBSTITUTE(BM32,"b","a"),"c","a"),"d","a"),"e","a"),"f","a"),"g","a"),"h","a"),"i","a"),"j","a"),"k","a"),"l","a"),"m","a"),"n","a"),"o","a"),"p","a"),"q","a"),"r","a"),"s","a"),"t","a"),"u","a"),"v","a"),"w","a"),"x","a"),"y","a"),"z","a")</f>
        <v/>
      </c>
      <c r="BO32" s="61" t="str">
        <f aca="false">SUBSTITUTE(SUBSTITUTE(SUBSTITUTE(SUBSTITUTE(SUBSTITUTE(SUBSTITUTE(SUBSTITUTE(SUBSTITUTE(SUBSTITUTE(LOWER(W32&amp;""),"1","0"),"2","0"),"3","0"),"4","0"),"5","0"),"6","0"),"7","0"),"8","0"),"9","0")</f>
        <v/>
      </c>
      <c r="BP32" s="61" t="str">
        <f aca="false">SUBSTITUTE(SUBSTITUTE(SUBSTITUTE(SUBSTITUTE(SUBSTITUTE(SUBSTITUTE(SUBSTITUTE(SUBSTITUTE(SUBSTITUTE(SUBSTITUTE(SUBSTITUTE(SUBSTITUTE(SUBSTITUTE(SUBSTITUTE(SUBSTITUTE(SUBSTITUTE(SUBSTITUTE(SUBSTITUTE(SUBSTITUTE(SUBSTITUTE(SUBSTITUTE(SUBSTITUTE(SUBSTITUTE(SUBSTITUTE(SUBSTITUTE(BO32,"b","a"),"c","a"),"d","a"),"e","a"),"f","a"),"g","a"),"h","a"),"i","a"),"j","a"),"k","a"),"l","a"),"m","a"),"n","a"),"o","a"),"p","a"),"q","a"),"r","a"),"s","a"),"t","a"),"u","a"),"v","a"),"w","a"),"x","a"),"y","a"),"z","a")</f>
        <v/>
      </c>
      <c r="BQ32" s="61" t="n">
        <f aca="false">IFERROR(IF(AND(ISERROR(SEARCH(" mh"," "&amp;LOWER(W32))),ISNA(MATCH(LEFT(TRIM(BP32),255),{"0000a","000a","00a","0000aa","000aa","00aa","0aa","0000aaa","000aaa","00a00","0a00","0000-0000","00:00","a00","a0","00.00.0000","00/00/0000","00-00-0000","0000-00-00","0000/00/00","0000.00.00","00.00.00","00/00/00","00-00-00","0.00.0000","0/00/0000","0-00-0000"},0)),ISNA(MATCH(LEFT(TRIM(CA32),255),{"0000a","000a","00a","0000aa","000aa","00aa","0aa","0000aaa","000aaa","00a00","0a00","0000-0000","00:00","a00","a0","00.00.0000","00/00/0000","00-00-0000","0000-00-00","0000/00/00","0000.00.00","00.00.00","00/00/00","00-00-00","0.00.0000","0/00/0000","0-00-0000"},0)),LEN(CB32)&gt;=3,NOT(OR(SUBSTITUTE(CB32,"0","")="",AND(LEN(CB32)&gt;=4,CB32=REPT(LEFT(CB32),LEN(CB32))),ISNUMBER(MATCH(CB32,{"123","1234","12345","123456","1234567","12345678","0123","01234","012345","98765","987654","54321"},0)),AND(LEN(CB32)=8,LEFT(CB32,3)="202"))),OR(AND((LEN(CA32)-LEN(SUBSTITUTE(CA32,"a","")))&gt;=1,SUMPRODUCT(--ISNUMBER(SEARCH({"a0","a-0","a_0","a/0","a.0","a#0","0a","0-a","0_a","0/a"},BP32)))&gt;0),ISNUMBER(SEARCH("000000",BP32)))),1,0),0)</f>
        <v>0</v>
      </c>
      <c r="BR32" s="61" t="n">
        <f aca="false">IFERROR(LEN(SUBSTITUTE(CC32," ",""))-SUMPRODUCT((LEN(CC32)-LEN(SUBSTITUTE(CC32," "&amp;L_Role&amp;" "," ")))/(LEN(L_Role)+1)*LEN(L_Role)),0)</f>
        <v>0</v>
      </c>
      <c r="BS32" s="61" t="n">
        <f aca="false">IFERROR(LEN(SUBSTITUTE(CD32," ",""))-SUMPRODUCT((LEN(CD32)-LEN(SUBSTITUTE(CD32," "&amp;L_Role&amp;" "," ")))/(LEN(L_Role)+1)*LEN(L_Role)),0)</f>
        <v>0</v>
      </c>
      <c r="BT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revision",""),"version",""),"jan",""),"feb",""),"mar",""),"apr",""),"may",""),"jun",""),"jul",""),"aug",""),"sep",""),"oct",""),"nov",""),"dec",""),"utc",""),"gmt",""),"myt",""),"bst",""),"rev",""),"ver",""),"b","a"),"c","a"),"d","a"),"e","a"),"f","a"),"g","a"),"h","a"),"i","a"),"j","a"),"k","a"),"l","a"),"m","a"),"n","a"),"o","a"),"p","a"),"q","a"),"r","a"),"s","a"),"t","a"),"u","a"),"v","a"),"w","a"),"x","a"),"y","a"),"z","a")</f>
        <v/>
      </c>
      <c r="BU32" s="61" t="str">
        <f aca="false">SUBSTITUTE(SUBSTITUTE(SUBSTITUTE(SUBSTITUTE(SUBSTITUTE(SUBSTITUTE(SUBSTITUTE(SUBSTITUTE(SUBSTITUTE(SUBSTITUTE(LEFT(BM32,FIND("0",BM32&amp;"0")-1),"-",""),"_",""),"/",""),".",""),"#",""),"\\",""),":","")," ",""),"(",""),")","")</f>
        <v/>
      </c>
      <c r="BV32" s="61" t="n">
        <f aca="false">0</f>
        <v>0</v>
      </c>
      <c r="BW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amp;""),"a",""),"b",""),"c",""),"d",""),"e",""),"f",""),"g",""),"h",""),"i",""),"j",""),"k",""),"l",""),"m",""),"n",""),"o",""),"p",""),"q",""),"r",""),"s",""),"t",""),"u",""),"v",""),"w",""),"x",""),"y",""),"z",""),"-",""),"_",""),"/",""),".",""),"#",""),"\\",""),":","")," ",""),"(",""),")","")</f>
        <v/>
      </c>
      <c r="BX32" s="61" t="str">
        <f aca="false">SUBSTITUTE(SUBSTITUTE(SUBSTITUTE(SUBSTITUTE(SUBSTITUTE(SUBSTITUTE(SUBSTITUTE(SUBSTITUTE(SUBSTITUTE(SUBSTITUTE(SUBSTITUTE(BM32,"0",""),"-",""),"_",""),"/",""),".",""),"#",""),"\\",""),":","")," ",""),"(",""),")","")</f>
        <v/>
      </c>
      <c r="BY32" s="62" t="n">
        <f aca="false">Q32-T7EarlyD*24/24</f>
        <v>46283.5763888889</v>
      </c>
      <c r="BZ32" s="61" t="n">
        <f aca="false">IFERROR(IF(IF(TRIM(S32)="Link / file path",AND(LEN(TRIM(Z32))&gt;=5,SUMPRODUCT(--ISNUMBER(SEARCH({"http","www.","\\",":\",".pdf",".jpg",".jpeg",".png",".heic",".xls",".doc",".msg",".eml",".ppt",".txt",".zip"},Z32)))&gt;0),AND(ISERROR(FIND(" ",TRIM(Z32))),NOT(OR(SUMPRODUCT(--ISNUMBER(FIND({",",";","&amp;","+"},Z32)))&gt;0,SUMPRODUCT(--ISNUMBER(SEARCH({"0/aa","0\\aa"},BN32)))&gt;0)),NOT(SUMPRODUCT(--ISNUMBER(SEARCH({"http","www.","\\",":\",".pdf",".jpg",".jpeg",".png",".heic",".xls",".doc",".msg",".eml",".ppt",".txt",".zip"},Z32)))&gt;0),NOT(LOWER(TRIM(Z32))=LOWER(Flights!$F$6)),ISNA(MATCH(BU32,{"mh","rev","revision","ver","version","v","r","a","b","seat","tray","row","gate","bay","stand","page","pg","item","line","no","cart","galley","flight","flt","table","box","bag","oven","etd","eta","std","sta","atd","ata","qty","pax","x","time","tel","ph","mob","day","wk","week","utc","gmt","myt","lt"},0)),NOT(OR(ISNUMBER(MATCH(LEFT(BN32,255),{"0000a","000a","00a","0000aa","000aa","00aa","0aa","0000aaa","000aaa","00a00","0a00","0000-0000","00:00","a00","a0","00.00.0000","00/00/0000","00-00-0000","0000-00-00","0000/00/00","0000.00.00","00.00.00","00/00/00","00-00-00","0.00.0000","0/00/0000","0-00-0000"},0)),ISNUMBER(MATCH(LEFT(BT32,255),{"0000a","000a","00a","0000aa","000aa","00aa","0aa","0000aaa","000aaa","00a00","0a00","0000-0000","00:00","a00","a0","00.00.0000","00/00/0000","00-00-0000","0000-00-00","0000/00/00","0000.00.00","00.00.00","00/00/00","00-00-00","0.00.0000","0/00/0000","0-00-0000"},0)))),NOT(OR(AND(BW32&lt;&gt;"",SUBSTITUTE(BW32,"0","")=""),AND(LEN(BW32)&gt;=4,BW32=REPT(LEFT(BW32),LEN(BW32))),ISNUMBER(MATCH(BW32,{"123","1234","12345","123456","1234567","12345678","0123","01234","012345","98765","987654","54321"},0)),ISNUMBER(MATCH(BX32,{"x","xx","xxx","xxxx","xxxxx","abc","abcd","nil","na","nan","test","tbc","tba","tbd","dummy","sample","example","eg","zz","zzz","none","null","xyz","qwe","asd","id","ref"},0)),AND(LEN(BW32)=8,BX32="",OR(LEFT(BW32,3)="202",ISNUMBER(MATCH(RIGHT(BW32,4),{"2025","2026","2027"},0)))))),OR(AND((LEN(BT32)-LEN(SUBSTITUTE(BT32,"a","")))&gt;=1,(LEN(BN32)-LEN(SUBSTITUTE(BN32,"0","")))&gt;=2,SUMPRODUCT(--ISNUMBER(SEARCH({"a0","a-0","a_0","a/0","a.0","a#0","0a","0-a","0_a","0/a"},BN32)))&gt;0),AND((LEN(BN32)-LEN(SUBSTITUTE(BN32,"a","")))=0,(LEN(BN32)-LEN(SUBSTITUTE(BN32,"0","")))&gt;=5)))),1,0),0)</f>
        <v>0</v>
      </c>
      <c r="CA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revision",""),"version",""),"jan",""),"feb",""),"mar",""),"apr",""),"may",""),"jun",""),"jul",""),"aug",""),"sep",""),"oct",""),"nov",""),"dec",""),"utc",""),"gmt",""),"myt",""),"bst",""),"rev",""),"ver",""),"b","a"),"c","a"),"d","a"),"e","a"),"f","a"),"g","a"),"h","a"),"i","a"),"j","a"),"k","a"),"l","a"),"m","a"),"n","a"),"o","a"),"p","a"),"q","a"),"r","a"),"s","a"),"t","a"),"u","a"),"v","a"),"w","a"),"x","a"),"y","a"),"z","a")</f>
        <v/>
      </c>
      <c r="CB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amp;""),"a",""),"b",""),"c",""),"d",""),"e",""),"f",""),"g",""),"h",""),"i",""),"j",""),"k",""),"l",""),"m",""),"n",""),"o",""),"p",""),"q",""),"r",""),"s",""),"t",""),"u",""),"v",""),"w",""),"x",""),"y",""),"z",""),"-",""),"_",""),"/",""),".",""),"#",""),"\\",""),":","")," ",""),"(",""),")","")</f>
        <v/>
      </c>
      <c r="CC32" s="0" t="str">
        <f aca="false">" "&amp;TRIM(SUBSTITUTE(SUBSTITUTE(SUBSTITUTE(SUBSTITUTE(SUBSTITUTE(SUBSTITUTE(SUBSTITUTE(SUBSTITUTE(SUBSTITUTE(SUBSTITUTE(SUBSTITUTE(SUBSTITUTE(SUBSTITUTE(SUBSTITUTE(SUBSTITUTE(SUBSTITUTE(SUBSTITUTE(SUBSTITUTE(SUBSTITUTE(SUBSTITUTE(SUBSTITUTE(SUBSTITUTE(SUBSTITUTE(SUBSTITUTE(LOWER(T32&amp;""),CHAR(10)," "),CHAR(13)," "),CHAR(9)," "),CHAR(160)," "),"."," "),","," "),"-"," "),"/"," "),"("," "),")"," "),":"," "),";"," "),"_"," "),"–"," "),"?"," "),"!"," "),"*"," "),"["," "),"]"," "),"'"," "),"#"," "),"+"," "),"&amp;"," "),"\"," "))&amp;" "</f>
        <v>  </v>
      </c>
      <c r="CD32" s="0" t="str">
        <f aca="false">" "&amp;TRIM(SUBSTITUTE(SUBSTITUTE(SUBSTITUTE(SUBSTITUTE(SUBSTITUTE(SUBSTITUTE(SUBSTITUTE(SUBSTITUTE(SUBSTITUTE(SUBSTITUTE(SUBSTITUTE(SUBSTITUTE(SUBSTITUTE(SUBSTITUTE(SUBSTITUTE(SUBSTITUTE(SUBSTITUTE(SUBSTITUTE(SUBSTITUTE(SUBSTITUTE(SUBSTITUTE(SUBSTITUTE(SUBSTITUTE(SUBSTITUTE(LOWER(AE32&amp;""),CHAR(10)," "),CHAR(13)," "),CHAR(9)," "),CHAR(160)," "),"."," "),","," "),"-"," "),"/"," "),"("," "),")"," "),":"," "),";"," "),"_"," "),"–"," "),"?"," "),"!"," "),"*"," "),"["," "),"]"," "),"'"," "),"#"," "),"+"," "),"&amp;"," "),"\"," "))&amp;" "</f>
        <v>  </v>
      </c>
      <c r="CE32" s="68" t="n">
        <f aca="false">IFERROR(IF(AND(LEN(AU32)&gt;0,LEN(AU32)=LEN(AX32),OR(TRIM(MID(SUBSTITUTE(TRIM(CC32)," ",REPT(" ",60)),1,60))="",ISNUMBER(SEARCH(" "&amp;TRIM(MID(SUBSTITUTE(TRIM(CC32)," ",REPT(" ",60)),1,60))&amp;" ",CD32))),OR(TRIM(MID(SUBSTITUTE(TRIM(CC32)," ",REPT(" ",60)),61,60))="",ISNUMBER(SEARCH(" "&amp;TRIM(MID(SUBSTITUTE(TRIM(CC32)," ",REPT(" ",60)),61,60))&amp;" ",CD32))),OR(TRIM(MID(SUBSTITUTE(TRIM(CC32)," ",REPT(" ",60)),121,60))="",ISNUMBER(SEARCH(" "&amp;TRIM(MID(SUBSTITUTE(TRIM(CC32)," ",REPT(" ",60)),121,60))&amp;" ",CD32)))),1,0),0)</f>
        <v>0</v>
      </c>
      <c r="CG32" s="68" t="n">
        <f aca="false">IFERROR(LEN(SUBSTITUTE(BF32," ",""))-SUMPRODUCT((LEN(BF32)-LEN(SUBSTITUTE(BF32," "&amp;L_NAFiller&amp;" "," ")))/(LEN(L_NAFiller)+1)*LEN(L_NAFiller)),0)</f>
        <v>0</v>
      </c>
    </row>
    <row r="33" customFormat="false" ht="39.75" hidden="false" customHeight="true" outlineLevel="0" collapsed="false">
      <c r="A33" s="57" t="s">
        <v>476</v>
      </c>
      <c r="B33" s="57" t="s">
        <v>198</v>
      </c>
      <c r="C33" s="57" t="str">
        <f aca="false">Flights!$F$6</f>
        <v>MH0727</v>
      </c>
      <c r="D33" s="58" t="n">
        <f aca="false">Flights!$D$6</f>
        <v>46304</v>
      </c>
      <c r="E33" s="57" t="str">
        <f aca="false">Flights!$G$6&amp;"-"&amp;Flights!$H$6</f>
        <v>KUL-CGK</v>
      </c>
      <c r="F33" s="57" t="str">
        <f aca="false">Flights!$K$6</f>
        <v>BC</v>
      </c>
      <c r="G33" s="57" t="s">
        <v>81</v>
      </c>
      <c r="H33" s="57" t="s">
        <v>378</v>
      </c>
      <c r="I33" s="57" t="s">
        <v>394</v>
      </c>
      <c r="J33" s="57" t="s">
        <v>395</v>
      </c>
      <c r="K33" s="67" t="s">
        <v>396</v>
      </c>
      <c r="L33" s="67" t="s">
        <v>382</v>
      </c>
      <c r="M33" s="67"/>
      <c r="N33" s="67" t="s">
        <v>383</v>
      </c>
      <c r="O33" s="67"/>
      <c r="P33" s="57" t="s">
        <v>187</v>
      </c>
      <c r="Q33" s="59" t="n">
        <f aca="false">ROUND((Flights!$AC$6)*1440,0)/1440</f>
        <v>46297.5763888889</v>
      </c>
      <c r="R33" s="59" t="n">
        <f aca="false">Q33+(IF(AND(INDEX(TZ_DSTS,MATCH(P33,TZ_STN,0))&lt;&gt;"",Q33&gt;=INDEX(TZ_DSTS,MATCH(P33,TZ_STN,0)),Q33&lt;INDEX(TZ_DSTE,MATCH(P33,TZ_STN,0))),INDEX(TZ_DST,MATCH(P33,TZ_STN,0)),INDEX(TZ_STD,MATCH(P33,TZ_STN,0))))/24</f>
        <v>46297.9097222222</v>
      </c>
      <c r="S33" s="60"/>
      <c r="T33" s="60"/>
      <c r="U33" s="60"/>
      <c r="V33" s="60"/>
      <c r="W33" s="61"/>
      <c r="X33" s="60"/>
      <c r="Y33" s="60"/>
      <c r="Z33" s="60"/>
      <c r="AA33" s="60"/>
      <c r="AB33" s="60"/>
      <c r="AC33" s="60"/>
      <c r="AD33" s="66"/>
      <c r="AE33" s="60"/>
      <c r="AF33" s="61" t="str">
        <f aca="false">IF(AND(ISNUMBER(X33),ISNUMBER(Y33)),Y33-X33,"")</f>
        <v/>
      </c>
      <c r="AG33" s="62" t="str">
        <f aca="false">IF(ISNUMBER(AD33),AD33-(IF(AND(INDEX(TZ_DSTS,MATCH(P33,TZ_STN,0))&lt;&gt;"",(AD33-INDEX(TZ_STD,MATCH(P33,TZ_STN,0))/24)&gt;=INDEX(TZ_DSTS,MATCH(P33,TZ_STN,0)),(AD33-INDEX(TZ_STD,MATCH(P33,TZ_STN,0))/24)&lt;INDEX(TZ_DSTE,MATCH(P33,TZ_STN,0))),INDEX(TZ_DST,MATCH(P33,TZ_STN,0)),INDEX(TZ_STD,MATCH(P33,TZ_STN,0))))/24,"")</f>
        <v/>
      </c>
      <c r="AH33" s="65" t="str">
        <f aca="false">IFERROR(IF(N33="N/A – rule",IF(OR(TRIM(U33)="",TRIM(U33)="N/A",TRIM(U33)="Not started"),"N/A – RULE","INVALID – this check does not apply to this aircraft: clear the status (or correct the fleet on Flights)"),IF(TRIM(U33)="N/A",IF(AT33=0,"INVALID – N/A not permitted for this check",IF(AND(TRIM(AB33)&lt;&gt;"",TRIM(AB33)&lt;&gt;"Closed"),"INVALID – corrective action still open",IF(AND(NOT(OR(LEN(AZ33)&lt;15,ISNUMBER(MATCH(AZ33,L_Placeholder,0)))),BK33=0,CG33&gt;=8,NOT(OR(LEN(AU33)&lt;2,ISNUMBER(MATCH(AU33,L_Placeholder,0)))),BR33&gt;=3,NOT(OR(LEN(AX33)&lt;2,ISNUMBER(MATCH(AX33,L_Placeholder,0)))),BS33&gt;=3,TRIM(AE33)&lt;&gt;TRIM(T33),AX33&lt;&gt;AU33,CE33=0),"N/A – JUSTIFIED","INVALID – N/A needs a real, settled reason (not 'not applicable' / 'as above' / TBC), a named PIC and a different named verifier"))),IF(OR(TRIM(U33)="Pass",TRIM(U33)="Pass after CA"),IF(NOT(ISNUMBER(AD33)),"INVALID – completion time missing",IF(OR(OR(LEN(AU33)&lt;2,ISNUMBER(MATCH(AU33,L_Placeholder,0))),BR33&lt;3),"INVALID – PIC missing or not a named person (a role such as QA / CSM is not a name)",IF(OR(LEN(AV33)&lt;2,ISNUMBER(MATCH(AV33,L_Placeholder,0))),"INVALID – result / assessment missing",IF(OR(OR(LEN(AW33)&lt;3,ISNUMBER(MATCH(AW33,L_Placeholder,0))),SUMPRODUCT(--ISNUMBER(SEARCH(" "&amp;L_EvidencePhrase&amp;" ",BD33)))&gt;0,BI33=1),"INVALID – evidence missing, placeholder or not yet on file",IF(ISNA(MATCH(TRIM(S33),L_EvidenceType,0)),"INVALID – choose the evidence type from the list (column S)",IF(BL33=0,"INVALID – evidence ID must be the record's own ID only (e.g. SF-2210, IMG_2231, 1045521); a link / file name needs type 'Link / file path'",IF(OR(OR(LEN(AX33)&lt;2,ISNUMBER(MATCH(AX33,L_Placeholder,0))),BS33&lt;3),"INVALID – verifier missing or not a named person (a role such as QA / CSM is not a name)",IF(OR(AX33=AU33,CE33=1,AND(LEN(AU33)&gt;=4,ISNUMBER(SEARCH(AU33,AX33))),AND(LEN(AX33)&gt;=4,ISNUMBER(SEARCH(AX33,AU33)))),"INVALID – verifier must be a different, named person (not the PIC or a role)",IF(BH33=1,"INVALID – result not yet available (awaiting / TBC)",IF(BG33=1,"INVALID – result describes a problem: record Fail, then Pass after CA (or reword if it is not a problem)",IF(BV33=1,"INVALID – wording says not on board: an on-board confirmation needs the item loaded",IF(AND(AQ33=1,OR(OR(LEN(AY33)&lt;3,ISNUMBER(MATCH(AY33,L_Placeholder,0))),BJ33=1,BQ33=0)),"INVALID – batch ID missing, placeholder or not an ID (e.g. PASB-261008-BC-017)",IF(AND(AR33=1,OR(NOT(ISNUMBER(X33)),NOT(ISNUMBER(Y33)))),"INVALID – expected/actual qty missing",IF(AND(AR33=1,OR(X33&lt;=0,Y33&lt;0)),"INVALID – expected qty must be above 0 and actual not negative",IF(BB33&lt;&gt;"",BB33,IF(AND(AS33=1,Documents!$J$6&lt;&gt;"ON FILE"),"INVALID – GLD not on file (Documents sheet)",IF(AND(AS33=2,Documents!$O$6&lt;&gt;"ON FILE"),"INVALID – menu checklist not on file (Documents sheet)",IF(AND(AS33=3,NOT(ISNUMBER(Flights!$AX$6))),"INVALID – enter carrying flight KUL departure (Flights AX)",IF(AND(AS33=3,OR(Flights!$AZ$6&gt;Flights!$AA$6,Flights!$AX$6&lt;Flights!$AA$6-3)),"INVALID – carrying flight (Flights AX) cannot arrive before this leg's STD, or is over 3 days early",IF(AG33&gt;AsOfUTC,"INVALID – completion time is in the future",IF(AND(ISNUMBER(BY33),AG33&lt;BY33),IF(H33="Physical uplift","INVALID – before uplift window (cannot confirm loading)","INVALID – before valid window"),IF(AG33&gt;Flights!$AA$6,"INVALID – completed after departure (cannot establish readiness)",IF(AND(H33="Preparation",AG33&gt;=IF(ISNUMBER(Flights!$BA$6),MIN(Flights!$BA$6,Flights!$AA$6),Flights!$AA$6)),"INVALID – completed after loading / departure (cannot establish readiness)",IF(AND(H33="Physical uplift",AG33&gt;Q33),"INVALID – recorded after the loading flight departed",IF(AG33&gt;Q33,"COMPLETE – LATE","COMPLETE"))))))))))))))))))))))))),IF(TRIM(U33)="Fail","FAIL – DISCREPANCY",IF(AND(TRIM(U33)&lt;&gt;"",TRIM(U33)&lt;&gt;"Not started",TRIM(U33)&lt;&gt;"In progress"),"INVALID – unrecognised status (use the list)",IF(AsOfUTC&gt;Q33,"OVERDUE",IF(N33="Clarification required","OPEN – CLARIFICATION","OPEN"))))))),"INVALID – error value in an input cell")</f>
        <v>OPEN</v>
      </c>
      <c r="AI33" s="61" t="n">
        <f aca="false">IF(OR(AH33="N/A – RULE",AH33="N/A – JUSTIFIED"),0,1)</f>
        <v>1</v>
      </c>
      <c r="AJ33" s="61" t="n">
        <f aca="false">IF(LEFT(AH33,8)="COMPLETE",1,0)</f>
        <v>0</v>
      </c>
      <c r="AK33" s="61" t="n">
        <f aca="false">IF(AND(AI33=1,AJ33=0,AsOfUTC&gt;Q33),1,0)</f>
        <v>0</v>
      </c>
      <c r="AL33" s="61" t="n">
        <f aca="false">IFERROR(IF(AND(AI33=1,OR(TRIM(U33)="Fail",AND(TRIM(AB33)&lt;&gt;"",TRIM(AB33)&lt;&gt;"Closed"),AND(ISNUMBER(AF33),AF33&lt;&gt;0,TRIM(U33)&lt;&gt;"Pass after CA"))),1,0),1)</f>
        <v>0</v>
      </c>
      <c r="AM33" s="61" t="n">
        <f aca="false">IF(LEFT(AH33,7)="INVALID",1,0)</f>
        <v>0</v>
      </c>
      <c r="AN33" s="61" t="n">
        <f aca="false">IF(AND(N33="Clarification required",AI33=1,AJ33=0),1,0)</f>
        <v>0</v>
      </c>
      <c r="AO33" s="61" t="str">
        <f aca="false">IF(AK33=1,SUM(AK$5:AK33),"")</f>
        <v/>
      </c>
      <c r="AP33" s="61" t="str">
        <f aca="false">IF(AL33=1,SUM(AL$5:AL33),"")</f>
        <v/>
      </c>
      <c r="AQ33" s="61" t="n">
        <v>0</v>
      </c>
      <c r="AR33" s="61" t="n">
        <v>0</v>
      </c>
      <c r="AS33" s="61" t="n">
        <v>0</v>
      </c>
      <c r="AT33" s="61" t="n">
        <v>0</v>
      </c>
      <c r="AU33" s="61" t="str">
        <f aca="false">SUBSTITUTE(SUBSTITUTE(SUBSTITUTE(SUBSTITUTE(SUBSTITUTE(SUBSTITUTE(SUBSTITUTE(SUBSTITUTE(SUBSTITUTE(SUBSTITUTE(SUBSTITUTE(SUBSTITUTE(SUBSTITUTE(SUBSTITUTE(SUBSTITUTE(SUBSTITUTE(LOWER(T33&amp;""),CHAR(10),""),CHAR(13),""),CHAR(9),""),CHAR(160),"")," ",""),".",""),"-",""),"/",""),"?",""),"_",""),",",""),"[",""),"]",""),"(",""),")",""),"*","")</f>
        <v/>
      </c>
      <c r="AV33" s="61" t="str">
        <f aca="false">SUBSTITUTE(SUBSTITUTE(SUBSTITUTE(SUBSTITUTE(SUBSTITUTE(SUBSTITUTE(SUBSTITUTE(SUBSTITUTE(SUBSTITUTE(SUBSTITUTE(SUBSTITUTE(SUBSTITUTE(SUBSTITUTE(SUBSTITUTE(SUBSTITUTE(SUBSTITUTE(LOWER(V33&amp;""),CHAR(10),""),CHAR(13),""),CHAR(9),""),CHAR(160),"")," ",""),".",""),"-",""),"/",""),"?",""),"_",""),",",""),"[",""),"]",""),"(",""),")",""),"*","")</f>
        <v/>
      </c>
      <c r="AW33" s="61" t="str">
        <f aca="false">SUBSTITUTE(SUBSTITUTE(SUBSTITUTE(SUBSTITUTE(SUBSTITUTE(SUBSTITUTE(SUBSTITUTE(SUBSTITUTE(SUBSTITUTE(SUBSTITUTE(SUBSTITUTE(SUBSTITUTE(SUBSTITUTE(SUBSTITUTE(SUBSTITUTE(SUBSTITUTE(LOWER(Z33&amp;""),CHAR(10),""),CHAR(13),""),CHAR(9),""),CHAR(160),"")," ",""),".",""),"-",""),"/",""),"?",""),"_",""),",",""),"[",""),"]",""),"(",""),")",""),"*","")</f>
        <v/>
      </c>
      <c r="AX33" s="61" t="str">
        <f aca="false">SUBSTITUTE(SUBSTITUTE(SUBSTITUTE(SUBSTITUTE(SUBSTITUTE(SUBSTITUTE(SUBSTITUTE(SUBSTITUTE(SUBSTITUTE(SUBSTITUTE(SUBSTITUTE(SUBSTITUTE(SUBSTITUTE(SUBSTITUTE(SUBSTITUTE(SUBSTITUTE(LOWER(AE33&amp;""),CHAR(10),""),CHAR(13),""),CHAR(9),""),CHAR(160),"")," ",""),".",""),"-",""),"/",""),"?",""),"_",""),",",""),"[",""),"]",""),"(",""),")",""),"*","")</f>
        <v/>
      </c>
      <c r="AY33" s="61" t="str">
        <f aca="false">SUBSTITUTE(SUBSTITUTE(SUBSTITUTE(SUBSTITUTE(SUBSTITUTE(SUBSTITUTE(SUBSTITUTE(SUBSTITUTE(SUBSTITUTE(SUBSTITUTE(SUBSTITUTE(SUBSTITUTE(SUBSTITUTE(SUBSTITUTE(SUBSTITUTE(SUBSTITUTE(LOWER(W33&amp;""),CHAR(10),""),CHAR(13),""),CHAR(9),""),CHAR(160),"")," ",""),".",""),"-",""),"/",""),"?",""),"_",""),",",""),"[",""),"]",""),"(",""),")",""),"*","")</f>
        <v/>
      </c>
      <c r="AZ33" s="61" t="str">
        <f aca="false">SUBSTITUTE(SUBSTITUTE(SUBSTITUTE(SUBSTITUTE(SUBSTITUTE(SUBSTITUTE(SUBSTITUTE(SUBSTITUTE(SUBSTITUTE(SUBSTITUTE(SUBSTITUTE(SUBSTITUTE(SUBSTITUTE(SUBSTITUTE(SUBSTITUTE(SUBSTITUTE(LOWER(AC33&amp;""),CHAR(10),""),CHAR(13),""),CHAR(9),""),CHAR(160),"")," ",""),".",""),"-",""),"/",""),"?",""),"_",""),",",""),"[",""),"]",""),"(",""),")",""),"*","")</f>
        <v/>
      </c>
      <c r="BA33" s="61" t="str">
        <f aca="false">SUBSTITUTE(SUBSTITUTE(SUBSTITUTE(SUBSTITUTE(SUBSTITUTE(SUBSTITUTE(SUBSTITUTE(SUBSTITUTE(SUBSTITUTE(SUBSTITUTE(SUBSTITUTE(SUBSTITUTE(SUBSTITUTE(SUBSTITUTE(SUBSTITUTE(SUBSTITUTE(LOWER(AA33&amp;""),CHAR(10),""),CHAR(13),""),CHAR(9),""),CHAR(160),"")," ",""),".",""),"-",""),"/",""),"?",""),"_",""),",",""),"[",""),"]",""),"(",""),")",""),"*","")</f>
        <v/>
      </c>
      <c r="BB33" s="61" t="str">
        <f aca="false">IF(AND(TRIM(U33)="Pass",ISNUMBER(AF33)),IF(AF33&lt;&gt;0,"INVALID – qty variance: use Fail or Pass after CA",""),"")&amp;IF(AND(TRIM(U33)="Pass after CA",ISNUMBER(AF33)),IF(AF33&lt;&gt;0,"INVALID – after the corrective action the actual qty must equal expected (update Actual)",""),"")&amp;IF(AND(TRIM(U33)="Pass",TRIM(AB33)&lt;&gt;"",TRIM(AB33)&lt;&gt;"Closed"),"INVALID – corrective action not closed: use Fail, then Pass after CA","")&amp;IF(AND(LEN(BA33)&gt;=2,ISNA(MATCH(LEFT(BA33,255),L_Placeholder,0)),TRIM(AB33)=""),"INVALID – CA status missing for the recorded corrective action","")&amp;IF(AND(TRIM(U33)="Pass after CA",OR(OR(LEN(BA33)&lt;5,ISNUMBER(MATCH(BA33,L_Placeholder,0))),TRIM(AB33)&lt;&gt;"Closed")),"INVALID – corrective action not recorded/closed","")</f>
        <v/>
      </c>
      <c r="BC33" s="61" t="str">
        <f aca="false">" "&amp;TRIM(SUBSTITUTE(SUBSTITUTE(SUBSTITUTE(SUBSTITUTE(SUBSTITUTE(SUBSTITUTE(SUBSTITUTE(SUBSTITUTE(SUBSTITUTE(SUBSTITUTE(SUBSTITUTE(SUBSTITUTE(SUBSTITUTE(SUBSTITUTE(SUBSTITUTE(SUBSTITUTE(SUBSTITUTE(SUBSTITUTE(SUBSTITUTE(SUBSTITUTE(SUBSTITUTE(SUBSTITUTE(SUBSTITUTE(SUBSTITUTE(LOWER(V33&amp;""),CHAR(10)," "),CHAR(13)," "),CHAR(9)," "),CHAR(160)," "),"."," "),","," "),"-"," "),"/"," "),"("," "),")"," "),":"," "),";"," "),"_"," "),"–"," "),"?"," "),"!"," "),"*"," "),"["," "),"]"," "),"'"," "),"#"," "),"+"," "),"&amp;"," "),"\"," "))&amp;" "</f>
        <v>  </v>
      </c>
      <c r="BD33" s="61" t="str">
        <f aca="false">" "&amp;TRIM(SUBSTITUTE(SUBSTITUTE(SUBSTITUTE(SUBSTITUTE(SUBSTITUTE(SUBSTITUTE(SUBSTITUTE(SUBSTITUTE(SUBSTITUTE(SUBSTITUTE(SUBSTITUTE(SUBSTITUTE(SUBSTITUTE(SUBSTITUTE(SUBSTITUTE(SUBSTITUTE(SUBSTITUTE(SUBSTITUTE(SUBSTITUTE(SUBSTITUTE(SUBSTITUTE(SUBSTITUTE(SUBSTITUTE(SUBSTITUTE(LOWER(Z33&amp;""),CHAR(10)," "),CHAR(13)," "),CHAR(9)," "),CHAR(160)," "),"."," "),","," "),"-"," "),"/"," "),"("," "),")"," "),":"," "),";"," "),"_"," "),"–"," "),"?"," "),"!"," "),"*"," "),"["," "),"]"," "),"'"," "),"#"," "),"+"," "),"&amp;"," "),"\"," "))&amp;" "</f>
        <v>  </v>
      </c>
      <c r="BE33" s="61" t="str">
        <f aca="false">" "&amp;TRIM(SUBSTITUTE(SUBSTITUTE(SUBSTITUTE(SUBSTITUTE(SUBSTITUTE(SUBSTITUTE(SUBSTITUTE(SUBSTITUTE(SUBSTITUTE(SUBSTITUTE(SUBSTITUTE(SUBSTITUTE(SUBSTITUTE(SUBSTITUTE(SUBSTITUTE(SUBSTITUTE(SUBSTITUTE(SUBSTITUTE(SUBSTITUTE(SUBSTITUTE(SUBSTITUTE(SUBSTITUTE(SUBSTITUTE(SUBSTITUTE(LOWER(W33&amp;""),CHAR(10)," "),CHAR(13)," "),CHAR(9)," "),CHAR(160)," "),"."," "),","," "),"-"," "),"/"," "),"("," "),")"," "),":"," "),";"," "),"_"," "),"–"," "),"?"," "),"!"," "),"*"," "),"["," "),"]"," "),"'"," "),"#"," "),"+"," "),"&amp;"," "),"\"," "))&amp;" "</f>
        <v>  </v>
      </c>
      <c r="BF33" s="61" t="str">
        <f aca="false">" "&amp;TRIM(SUBSTITUTE(SUBSTITUTE(SUBSTITUTE(SUBSTITUTE(SUBSTITUTE(SUBSTITUTE(SUBSTITUTE(SUBSTITUTE(SUBSTITUTE(SUBSTITUTE(SUBSTITUTE(SUBSTITUTE(SUBSTITUTE(SUBSTITUTE(SUBSTITUTE(SUBSTITUTE(SUBSTITUTE(SUBSTITUTE(SUBSTITUTE(SUBSTITUTE(SUBSTITUTE(SUBSTITUTE(SUBSTITUTE(SUBSTITUTE(LOWER(AC33&amp;""),CHAR(10)," "),CHAR(13)," "),CHAR(9)," "),CHAR(160)," "),"."," "),","," "),"-"," "),"/"," "),"("," "),")"," "),":"," "),";"," "),"_"," "),"–"," "),"?"," "),"!"," "),"*"," "),"["," "),"]"," "),"'"," "),"#"," "),"+"," "),"&amp;"," "),"\"," "))&amp;" "</f>
        <v>  </v>
      </c>
      <c r="BG33" s="61" t="n">
        <f aca="false">IFERROR(IF(AND(TRIM(U33)="Pass",SUMPRODUCT((LEN(BC33)-LEN(SUBSTITUTE(BC33," "&amp;L_ResultBad&amp;" "," ")))/(LEN(L_ResultBad)+1))&gt;SUMPRODUCT((LEN(BC33)-LEN(SUBSTITUTE(BC33," "&amp;L_NegPhrase&amp;" "," ")))/(LEN(L_NegPhrase)+1))),1,0),0)</f>
        <v>0</v>
      </c>
      <c r="BH33" s="61" t="n">
        <f aca="false">IFERROR(IF(SUMPRODUCT((LEN(BC33)-LEN(SUBSTITUTE(BC33," "&amp;L_Pending&amp;" "," ")))/(LEN(L_Pending)+1))&gt;SUMPRODUCT((LEN(BC33)-LEN(SUBSTITUTE(BC33," "&amp;L_PendNeg&amp;" "," ")))/(LEN(L_PendNeg)+1))+SUMPRODUCT((LEN(BC33)-LEN(SUBSTITUTE(BC33," "&amp;L_PendPrep&amp;" "," ")))/(LEN(L_PendPrep)+1)),1,0),1)</f>
        <v>0</v>
      </c>
      <c r="BI33" s="61" t="n">
        <f aca="false">IFERROR(IF(SUMPRODUCT((LEN(BD33)-LEN(SUBSTITUTE(BD33," "&amp;L_PendStrict&amp;" "," ")))/(LEN(L_PendStrict)+1))&gt;SUMPRODUCT((LEN(BD33)-LEN(SUBSTITUTE(BD33," "&amp;L_PendNeg&amp;" "," ")))/(LEN(L_PendNeg)+1)),1,0),1)</f>
        <v>0</v>
      </c>
      <c r="BJ33" s="61" t="n">
        <f aca="false">IFERROR(IF(SUMPRODUCT((LEN(BE33)-LEN(SUBSTITUTE(BE33," "&amp;L_Pending&amp;" "," ")))/(LEN(L_Pending)+1))&gt;SUMPRODUCT((LEN(BE33)-LEN(SUBSTITUTE(BE33," "&amp;L_PendNeg&amp;" "," ")))/(LEN(L_PendNeg)+1))+SUMPRODUCT((LEN(BE33)-LEN(SUBSTITUTE(BE33," "&amp;L_PendPrep&amp;" "," ")))/(LEN(L_PendPrep)+1)),1,0),1)</f>
        <v>0</v>
      </c>
      <c r="BK33" s="61" t="n">
        <f aca="false">IFERROR(IF(SUMPRODUCT((LEN(BF33)-LEN(SUBSTITUTE(BF33," "&amp;L_PendStrict&amp;" "," ")))/(LEN(L_PendStrict)+1))&gt;SUMPRODUCT((LEN(BF33)-LEN(SUBSTITUTE(BF33," "&amp;L_PendNeg&amp;" "," ")))/(LEN(L_PendNeg)+1)),1,0),1)</f>
        <v>0</v>
      </c>
      <c r="BL33" s="61" t="n">
        <f aca="false">IF(ISNA(MATCH(TRIM(S33),L_EvidenceType,0)),0,BZ33)</f>
        <v>0</v>
      </c>
      <c r="BM33" s="61" t="str">
        <f aca="false">SUBSTITUTE(SUBSTITUTE(SUBSTITUTE(SUBSTITUTE(SUBSTITUTE(SUBSTITUTE(SUBSTITUTE(SUBSTITUTE(SUBSTITUTE(LOWER(Z33&amp;""),"1","0"),"2","0"),"3","0"),"4","0"),"5","0"),"6","0"),"7","0"),"8","0"),"9","0")</f>
        <v/>
      </c>
      <c r="BN33" s="61" t="str">
        <f aca="false">SUBSTITUTE(SUBSTITUTE(SUBSTITUTE(SUBSTITUTE(SUBSTITUTE(SUBSTITUTE(SUBSTITUTE(SUBSTITUTE(SUBSTITUTE(SUBSTITUTE(SUBSTITUTE(SUBSTITUTE(SUBSTITUTE(SUBSTITUTE(SUBSTITUTE(SUBSTITUTE(SUBSTITUTE(SUBSTITUTE(SUBSTITUTE(SUBSTITUTE(SUBSTITUTE(SUBSTITUTE(SUBSTITUTE(SUBSTITUTE(SUBSTITUTE(BM33,"b","a"),"c","a"),"d","a"),"e","a"),"f","a"),"g","a"),"h","a"),"i","a"),"j","a"),"k","a"),"l","a"),"m","a"),"n","a"),"o","a"),"p","a"),"q","a"),"r","a"),"s","a"),"t","a"),"u","a"),"v","a"),"w","a"),"x","a"),"y","a"),"z","a")</f>
        <v/>
      </c>
      <c r="BO33" s="61" t="str">
        <f aca="false">SUBSTITUTE(SUBSTITUTE(SUBSTITUTE(SUBSTITUTE(SUBSTITUTE(SUBSTITUTE(SUBSTITUTE(SUBSTITUTE(SUBSTITUTE(LOWER(W33&amp;""),"1","0"),"2","0"),"3","0"),"4","0"),"5","0"),"6","0"),"7","0"),"8","0"),"9","0")</f>
        <v/>
      </c>
      <c r="BP33" s="61" t="str">
        <f aca="false">SUBSTITUTE(SUBSTITUTE(SUBSTITUTE(SUBSTITUTE(SUBSTITUTE(SUBSTITUTE(SUBSTITUTE(SUBSTITUTE(SUBSTITUTE(SUBSTITUTE(SUBSTITUTE(SUBSTITUTE(SUBSTITUTE(SUBSTITUTE(SUBSTITUTE(SUBSTITUTE(SUBSTITUTE(SUBSTITUTE(SUBSTITUTE(SUBSTITUTE(SUBSTITUTE(SUBSTITUTE(SUBSTITUTE(SUBSTITUTE(SUBSTITUTE(BO33,"b","a"),"c","a"),"d","a"),"e","a"),"f","a"),"g","a"),"h","a"),"i","a"),"j","a"),"k","a"),"l","a"),"m","a"),"n","a"),"o","a"),"p","a"),"q","a"),"r","a"),"s","a"),"t","a"),"u","a"),"v","a"),"w","a"),"x","a"),"y","a"),"z","a")</f>
        <v/>
      </c>
      <c r="BQ33" s="61" t="n">
        <f aca="false">IFERROR(IF(AND(ISERROR(SEARCH(" mh"," "&amp;LOWER(W33))),ISNA(MATCH(LEFT(TRIM(BP33),255),{"0000a","000a","00a","0000aa","000aa","00aa","0aa","0000aaa","000aaa","00a00","0a00","0000-0000","00:00","a00","a0","00.00.0000","00/00/0000","00-00-0000","0000-00-00","0000/00/00","0000.00.00","00.00.00","00/00/00","00-00-00","0.00.0000","0/00/0000","0-00-0000"},0)),ISNA(MATCH(LEFT(TRIM(CA33),255),{"0000a","000a","00a","0000aa","000aa","00aa","0aa","0000aaa","000aaa","00a00","0a00","0000-0000","00:00","a00","a0","00.00.0000","00/00/0000","00-00-0000","0000-00-00","0000/00/00","0000.00.00","00.00.00","00/00/00","00-00-00","0.00.0000","0/00/0000","0-00-0000"},0)),LEN(CB33)&gt;=3,NOT(OR(SUBSTITUTE(CB33,"0","")="",AND(LEN(CB33)&gt;=4,CB33=REPT(LEFT(CB33),LEN(CB33))),ISNUMBER(MATCH(CB33,{"123","1234","12345","123456","1234567","12345678","0123","01234","012345","98765","987654","54321"},0)),AND(LEN(CB33)=8,LEFT(CB33,3)="202"))),OR(AND((LEN(CA33)-LEN(SUBSTITUTE(CA33,"a","")))&gt;=1,SUMPRODUCT(--ISNUMBER(SEARCH({"a0","a-0","a_0","a/0","a.0","a#0","0a","0-a","0_a","0/a"},BP33)))&gt;0),ISNUMBER(SEARCH("000000",BP33)))),1,0),0)</f>
        <v>0</v>
      </c>
      <c r="BR33" s="61" t="n">
        <f aca="false">IFERROR(LEN(SUBSTITUTE(CC33," ",""))-SUMPRODUCT((LEN(CC33)-LEN(SUBSTITUTE(CC33," "&amp;L_Role&amp;" "," ")))/(LEN(L_Role)+1)*LEN(L_Role)),0)</f>
        <v>0</v>
      </c>
      <c r="BS33" s="61" t="n">
        <f aca="false">IFERROR(LEN(SUBSTITUTE(CD33," ",""))-SUMPRODUCT((LEN(CD33)-LEN(SUBSTITUTE(CD33," "&amp;L_Role&amp;" "," ")))/(LEN(L_Role)+1)*LEN(L_Role)),0)</f>
        <v>0</v>
      </c>
      <c r="BT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revision",""),"version",""),"jan",""),"feb",""),"mar",""),"apr",""),"may",""),"jun",""),"jul",""),"aug",""),"sep",""),"oct",""),"nov",""),"dec",""),"utc",""),"gmt",""),"myt",""),"bst",""),"rev",""),"ver",""),"b","a"),"c","a"),"d","a"),"e","a"),"f","a"),"g","a"),"h","a"),"i","a"),"j","a"),"k","a"),"l","a"),"m","a"),"n","a"),"o","a"),"p","a"),"q","a"),"r","a"),"s","a"),"t","a"),"u","a"),"v","a"),"w","a"),"x","a"),"y","a"),"z","a")</f>
        <v/>
      </c>
      <c r="BU33" s="61" t="str">
        <f aca="false">SUBSTITUTE(SUBSTITUTE(SUBSTITUTE(SUBSTITUTE(SUBSTITUTE(SUBSTITUTE(SUBSTITUTE(SUBSTITUTE(SUBSTITUTE(SUBSTITUTE(LEFT(BM33,FIND("0",BM33&amp;"0")-1),"-",""),"_",""),"/",""),".",""),"#",""),"\\",""),":","")," ",""),"(",""),")","")</f>
        <v/>
      </c>
      <c r="BV33" s="61" t="n">
        <f aca="false">0</f>
        <v>0</v>
      </c>
      <c r="BW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amp;""),"a",""),"b",""),"c",""),"d",""),"e",""),"f",""),"g",""),"h",""),"i",""),"j",""),"k",""),"l",""),"m",""),"n",""),"o",""),"p",""),"q",""),"r",""),"s",""),"t",""),"u",""),"v",""),"w",""),"x",""),"y",""),"z",""),"-",""),"_",""),"/",""),".",""),"#",""),"\\",""),":","")," ",""),"(",""),")","")</f>
        <v/>
      </c>
      <c r="BX33" s="61" t="str">
        <f aca="false">SUBSTITUTE(SUBSTITUTE(SUBSTITUTE(SUBSTITUTE(SUBSTITUTE(SUBSTITUTE(SUBSTITUTE(SUBSTITUTE(SUBSTITUTE(SUBSTITUTE(SUBSTITUTE(BM33,"0",""),"-",""),"_",""),"/",""),".",""),"#",""),"\\",""),":","")," ",""),"(",""),")","")</f>
        <v/>
      </c>
      <c r="BY33" s="62" t="n">
        <f aca="false">Q33-T7EarlyD*24/24</f>
        <v>46283.5763888889</v>
      </c>
      <c r="BZ33" s="61" t="n">
        <f aca="false">IFERROR(IF(IF(TRIM(S33)="Link / file path",AND(LEN(TRIM(Z33))&gt;=5,SUMPRODUCT(--ISNUMBER(SEARCH({"http","www.","\\",":\",".pdf",".jpg",".jpeg",".png",".heic",".xls",".doc",".msg",".eml",".ppt",".txt",".zip"},Z33)))&gt;0),AND(ISERROR(FIND(" ",TRIM(Z33))),NOT(OR(SUMPRODUCT(--ISNUMBER(FIND({",",";","&amp;","+"},Z33)))&gt;0,SUMPRODUCT(--ISNUMBER(SEARCH({"0/aa","0\\aa"},BN33)))&gt;0)),NOT(SUMPRODUCT(--ISNUMBER(SEARCH({"http","www.","\\",":\",".pdf",".jpg",".jpeg",".png",".heic",".xls",".doc",".msg",".eml",".ppt",".txt",".zip"},Z33)))&gt;0),NOT(LOWER(TRIM(Z33))=LOWER(Flights!$F$6)),ISNA(MATCH(BU33,{"mh","rev","revision","ver","version","v","r","a","b","seat","tray","row","gate","bay","stand","page","pg","item","line","no","cart","galley","flight","flt","table","box","bag","oven","etd","eta","std","sta","atd","ata","qty","pax","x","time","tel","ph","mob","day","wk","week","utc","gmt","myt","lt"},0)),NOT(OR(ISNUMBER(MATCH(LEFT(BN33,255),{"0000a","000a","00a","0000aa","000aa","00aa","0aa","0000aaa","000aaa","00a00","0a00","0000-0000","00:00","a00","a0","00.00.0000","00/00/0000","00-00-0000","0000-00-00","0000/00/00","0000.00.00","00.00.00","00/00/00","00-00-00","0.00.0000","0/00/0000","0-00-0000"},0)),ISNUMBER(MATCH(LEFT(BT33,255),{"0000a","000a","00a","0000aa","000aa","00aa","0aa","0000aaa","000aaa","00a00","0a00","0000-0000","00:00","a00","a0","00.00.0000","00/00/0000","00-00-0000","0000-00-00","0000/00/00","0000.00.00","00.00.00","00/00/00","00-00-00","0.00.0000","0/00/0000","0-00-0000"},0)))),NOT(OR(AND(BW33&lt;&gt;"",SUBSTITUTE(BW33,"0","")=""),AND(LEN(BW33)&gt;=4,BW33=REPT(LEFT(BW33),LEN(BW33))),ISNUMBER(MATCH(BW33,{"123","1234","12345","123456","1234567","12345678","0123","01234","012345","98765","987654","54321"},0)),ISNUMBER(MATCH(BX33,{"x","xx","xxx","xxxx","xxxxx","abc","abcd","nil","na","nan","test","tbc","tba","tbd","dummy","sample","example","eg","zz","zzz","none","null","xyz","qwe","asd","id","ref"},0)),AND(LEN(BW33)=8,BX33="",OR(LEFT(BW33,3)="202",ISNUMBER(MATCH(RIGHT(BW33,4),{"2025","2026","2027"},0)))))),OR(AND((LEN(BT33)-LEN(SUBSTITUTE(BT33,"a","")))&gt;=1,(LEN(BN33)-LEN(SUBSTITUTE(BN33,"0","")))&gt;=2,SUMPRODUCT(--ISNUMBER(SEARCH({"a0","a-0","a_0","a/0","a.0","a#0","0a","0-a","0_a","0/a"},BN33)))&gt;0),AND((LEN(BN33)-LEN(SUBSTITUTE(BN33,"a","")))=0,(LEN(BN33)-LEN(SUBSTITUTE(BN33,"0","")))&gt;=5)))),1,0),0)</f>
        <v>0</v>
      </c>
      <c r="CA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revision",""),"version",""),"jan",""),"feb",""),"mar",""),"apr",""),"may",""),"jun",""),"jul",""),"aug",""),"sep",""),"oct",""),"nov",""),"dec",""),"utc",""),"gmt",""),"myt",""),"bst",""),"rev",""),"ver",""),"b","a"),"c","a"),"d","a"),"e","a"),"f","a"),"g","a"),"h","a"),"i","a"),"j","a"),"k","a"),"l","a"),"m","a"),"n","a"),"o","a"),"p","a"),"q","a"),"r","a"),"s","a"),"t","a"),"u","a"),"v","a"),"w","a"),"x","a"),"y","a"),"z","a")</f>
        <v/>
      </c>
      <c r="CB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amp;""),"a",""),"b",""),"c",""),"d",""),"e",""),"f",""),"g",""),"h",""),"i",""),"j",""),"k",""),"l",""),"m",""),"n",""),"o",""),"p",""),"q",""),"r",""),"s",""),"t",""),"u",""),"v",""),"w",""),"x",""),"y",""),"z",""),"-",""),"_",""),"/",""),".",""),"#",""),"\\",""),":","")," ",""),"(",""),")","")</f>
        <v/>
      </c>
      <c r="CC33" s="0" t="str">
        <f aca="false">" "&amp;TRIM(SUBSTITUTE(SUBSTITUTE(SUBSTITUTE(SUBSTITUTE(SUBSTITUTE(SUBSTITUTE(SUBSTITUTE(SUBSTITUTE(SUBSTITUTE(SUBSTITUTE(SUBSTITUTE(SUBSTITUTE(SUBSTITUTE(SUBSTITUTE(SUBSTITUTE(SUBSTITUTE(SUBSTITUTE(SUBSTITUTE(SUBSTITUTE(SUBSTITUTE(SUBSTITUTE(SUBSTITUTE(SUBSTITUTE(SUBSTITUTE(LOWER(T33&amp;""),CHAR(10)," "),CHAR(13)," "),CHAR(9)," "),CHAR(160)," "),"."," "),","," "),"-"," "),"/"," "),"("," "),")"," "),":"," "),";"," "),"_"," "),"–"," "),"?"," "),"!"," "),"*"," "),"["," "),"]"," "),"'"," "),"#"," "),"+"," "),"&amp;"," "),"\"," "))&amp;" "</f>
        <v>  </v>
      </c>
      <c r="CD33" s="0" t="str">
        <f aca="false">" "&amp;TRIM(SUBSTITUTE(SUBSTITUTE(SUBSTITUTE(SUBSTITUTE(SUBSTITUTE(SUBSTITUTE(SUBSTITUTE(SUBSTITUTE(SUBSTITUTE(SUBSTITUTE(SUBSTITUTE(SUBSTITUTE(SUBSTITUTE(SUBSTITUTE(SUBSTITUTE(SUBSTITUTE(SUBSTITUTE(SUBSTITUTE(SUBSTITUTE(SUBSTITUTE(SUBSTITUTE(SUBSTITUTE(SUBSTITUTE(SUBSTITUTE(LOWER(AE33&amp;""),CHAR(10)," "),CHAR(13)," "),CHAR(9)," "),CHAR(160)," "),"."," "),","," "),"-"," "),"/"," "),"("," "),")"," "),":"," "),";"," "),"_"," "),"–"," "),"?"," "),"!"," "),"*"," "),"["," "),"]"," "),"'"," "),"#"," "),"+"," "),"&amp;"," "),"\"," "))&amp;" "</f>
        <v>  </v>
      </c>
      <c r="CE33" s="68" t="n">
        <f aca="false">IFERROR(IF(AND(LEN(AU33)&gt;0,LEN(AU33)=LEN(AX33),OR(TRIM(MID(SUBSTITUTE(TRIM(CC33)," ",REPT(" ",60)),1,60))="",ISNUMBER(SEARCH(" "&amp;TRIM(MID(SUBSTITUTE(TRIM(CC33)," ",REPT(" ",60)),1,60))&amp;" ",CD33))),OR(TRIM(MID(SUBSTITUTE(TRIM(CC33)," ",REPT(" ",60)),61,60))="",ISNUMBER(SEARCH(" "&amp;TRIM(MID(SUBSTITUTE(TRIM(CC33)," ",REPT(" ",60)),61,60))&amp;" ",CD33))),OR(TRIM(MID(SUBSTITUTE(TRIM(CC33)," ",REPT(" ",60)),121,60))="",ISNUMBER(SEARCH(" "&amp;TRIM(MID(SUBSTITUTE(TRIM(CC33)," ",REPT(" ",60)),121,60))&amp;" ",CD33)))),1,0),0)</f>
        <v>0</v>
      </c>
      <c r="CG33" s="68" t="n">
        <f aca="false">IFERROR(LEN(SUBSTITUTE(BF33," ",""))-SUMPRODUCT((LEN(BF33)-LEN(SUBSTITUTE(BF33," "&amp;L_NAFiller&amp;" "," ")))/(LEN(L_NAFiller)+1)*LEN(L_NAFiller)),0)</f>
        <v>0</v>
      </c>
    </row>
    <row r="34" customFormat="false" ht="39.75" hidden="false" customHeight="true" outlineLevel="0" collapsed="false">
      <c r="A34" s="57" t="s">
        <v>477</v>
      </c>
      <c r="B34" s="57" t="s">
        <v>198</v>
      </c>
      <c r="C34" s="57" t="str">
        <f aca="false">Flights!$F$6</f>
        <v>MH0727</v>
      </c>
      <c r="D34" s="58" t="n">
        <f aca="false">Flights!$D$6</f>
        <v>46304</v>
      </c>
      <c r="E34" s="57" t="str">
        <f aca="false">Flights!$G$6&amp;"-"&amp;Flights!$H$6</f>
        <v>KUL-CGK</v>
      </c>
      <c r="F34" s="57" t="str">
        <f aca="false">Flights!$K$6</f>
        <v>BC</v>
      </c>
      <c r="G34" s="57" t="s">
        <v>81</v>
      </c>
      <c r="H34" s="57" t="s">
        <v>378</v>
      </c>
      <c r="I34" s="57" t="s">
        <v>398</v>
      </c>
      <c r="J34" s="57" t="s">
        <v>399</v>
      </c>
      <c r="K34" s="67" t="s">
        <v>400</v>
      </c>
      <c r="L34" s="67" t="s">
        <v>382</v>
      </c>
      <c r="M34" s="67"/>
      <c r="N34" s="67" t="s">
        <v>383</v>
      </c>
      <c r="O34" s="67"/>
      <c r="P34" s="57" t="s">
        <v>187</v>
      </c>
      <c r="Q34" s="59" t="n">
        <f aca="false">ROUND((Flights!$AC$6)*1440,0)/1440</f>
        <v>46297.5763888889</v>
      </c>
      <c r="R34" s="59" t="n">
        <f aca="false">Q34+(IF(AND(INDEX(TZ_DSTS,MATCH(P34,TZ_STN,0))&lt;&gt;"",Q34&gt;=INDEX(TZ_DSTS,MATCH(P34,TZ_STN,0)),Q34&lt;INDEX(TZ_DSTE,MATCH(P34,TZ_STN,0))),INDEX(TZ_DST,MATCH(P34,TZ_STN,0)),INDEX(TZ_STD,MATCH(P34,TZ_STN,0))))/24</f>
        <v>46297.9097222222</v>
      </c>
      <c r="S34" s="60"/>
      <c r="T34" s="60"/>
      <c r="U34" s="60"/>
      <c r="V34" s="60"/>
      <c r="W34" s="61"/>
      <c r="X34" s="60"/>
      <c r="Y34" s="60"/>
      <c r="Z34" s="60"/>
      <c r="AA34" s="60"/>
      <c r="AB34" s="60"/>
      <c r="AC34" s="60"/>
      <c r="AD34" s="66"/>
      <c r="AE34" s="60"/>
      <c r="AF34" s="61" t="str">
        <f aca="false">IF(AND(ISNUMBER(X34),ISNUMBER(Y34)),Y34-X34,"")</f>
        <v/>
      </c>
      <c r="AG34" s="62" t="str">
        <f aca="false">IF(ISNUMBER(AD34),AD34-(IF(AND(INDEX(TZ_DSTS,MATCH(P34,TZ_STN,0))&lt;&gt;"",(AD34-INDEX(TZ_STD,MATCH(P34,TZ_STN,0))/24)&gt;=INDEX(TZ_DSTS,MATCH(P34,TZ_STN,0)),(AD34-INDEX(TZ_STD,MATCH(P34,TZ_STN,0))/24)&lt;INDEX(TZ_DSTE,MATCH(P34,TZ_STN,0))),INDEX(TZ_DST,MATCH(P34,TZ_STN,0)),INDEX(TZ_STD,MATCH(P34,TZ_STN,0))))/24,"")</f>
        <v/>
      </c>
      <c r="AH34" s="65" t="str">
        <f aca="false">IFERROR(IF(N34="N/A – rule",IF(OR(TRIM(U34)="",TRIM(U34)="N/A",TRIM(U34)="Not started"),"N/A – RULE","INVALID – this check does not apply to this aircraft: clear the status (or correct the fleet on Flights)"),IF(TRIM(U34)="N/A",IF(AT34=0,"INVALID – N/A not permitted for this check",IF(AND(TRIM(AB34)&lt;&gt;"",TRIM(AB34)&lt;&gt;"Closed"),"INVALID – corrective action still open",IF(AND(NOT(OR(LEN(AZ34)&lt;15,ISNUMBER(MATCH(AZ34,L_Placeholder,0)))),BK34=0,CG34&gt;=8,NOT(OR(LEN(AU34)&lt;2,ISNUMBER(MATCH(AU34,L_Placeholder,0)))),BR34&gt;=3,NOT(OR(LEN(AX34)&lt;2,ISNUMBER(MATCH(AX34,L_Placeholder,0)))),BS34&gt;=3,TRIM(AE34)&lt;&gt;TRIM(T34),AX34&lt;&gt;AU34,CE34=0),"N/A – JUSTIFIED","INVALID – N/A needs a real, settled reason (not 'not applicable' / 'as above' / TBC), a named PIC and a different named verifier"))),IF(OR(TRIM(U34)="Pass",TRIM(U34)="Pass after CA"),IF(NOT(ISNUMBER(AD34)),"INVALID – completion time missing",IF(OR(OR(LEN(AU34)&lt;2,ISNUMBER(MATCH(AU34,L_Placeholder,0))),BR34&lt;3),"INVALID – PIC missing or not a named person (a role such as QA / CSM is not a name)",IF(OR(LEN(AV34)&lt;2,ISNUMBER(MATCH(AV34,L_Placeholder,0))),"INVALID – result / assessment missing",IF(OR(OR(LEN(AW34)&lt;3,ISNUMBER(MATCH(AW34,L_Placeholder,0))),SUMPRODUCT(--ISNUMBER(SEARCH(" "&amp;L_EvidencePhrase&amp;" ",BD34)))&gt;0,BI34=1),"INVALID – evidence missing, placeholder or not yet on file",IF(ISNA(MATCH(TRIM(S34),L_EvidenceType,0)),"INVALID – choose the evidence type from the list (column S)",IF(BL34=0,"INVALID – evidence ID must be the record's own ID only (e.g. SF-2210, IMG_2231, 1045521); a link / file name needs type 'Link / file path'",IF(OR(OR(LEN(AX34)&lt;2,ISNUMBER(MATCH(AX34,L_Placeholder,0))),BS34&lt;3),"INVALID – verifier missing or not a named person (a role such as QA / CSM is not a name)",IF(OR(AX34=AU34,CE34=1,AND(LEN(AU34)&gt;=4,ISNUMBER(SEARCH(AU34,AX34))),AND(LEN(AX34)&gt;=4,ISNUMBER(SEARCH(AX34,AU34)))),"INVALID – verifier must be a different, named person (not the PIC or a role)",IF(BH34=1,"INVALID – result not yet available (awaiting / TBC)",IF(BG34=1,"INVALID – result describes a problem: record Fail, then Pass after CA (or reword if it is not a problem)",IF(BV34=1,"INVALID – wording says not on board: an on-board confirmation needs the item loaded",IF(AND(AQ34=1,OR(OR(LEN(AY34)&lt;3,ISNUMBER(MATCH(AY34,L_Placeholder,0))),BJ34=1,BQ34=0)),"INVALID – batch ID missing, placeholder or not an ID (e.g. PASB-261008-BC-017)",IF(AND(AR34=1,OR(NOT(ISNUMBER(X34)),NOT(ISNUMBER(Y34)))),"INVALID – expected/actual qty missing",IF(AND(AR34=1,OR(X34&lt;=0,Y34&lt;0)),"INVALID – expected qty must be above 0 and actual not negative",IF(BB34&lt;&gt;"",BB34,IF(AND(AS34=1,Documents!$J$6&lt;&gt;"ON FILE"),"INVALID – GLD not on file (Documents sheet)",IF(AND(AS34=2,Documents!$O$6&lt;&gt;"ON FILE"),"INVALID – menu checklist not on file (Documents sheet)",IF(AND(AS34=3,NOT(ISNUMBER(Flights!$AX$6))),"INVALID – enter carrying flight KUL departure (Flights AX)",IF(AND(AS34=3,OR(Flights!$AZ$6&gt;Flights!$AA$6,Flights!$AX$6&lt;Flights!$AA$6-3)),"INVALID – carrying flight (Flights AX) cannot arrive before this leg's STD, or is over 3 days early",IF(AG34&gt;AsOfUTC,"INVALID – completion time is in the future",IF(AND(ISNUMBER(BY34),AG34&lt;BY34),IF(H34="Physical uplift","INVALID – before uplift window (cannot confirm loading)","INVALID – before valid window"),IF(AG34&gt;Flights!$AA$6,"INVALID – completed after departure (cannot establish readiness)",IF(AND(H34="Preparation",AG34&gt;=IF(ISNUMBER(Flights!$BA$6),MIN(Flights!$BA$6,Flights!$AA$6),Flights!$AA$6)),"INVALID – completed after loading / departure (cannot establish readiness)",IF(AND(H34="Physical uplift",AG34&gt;Q34),"INVALID – recorded after the loading flight departed",IF(AG34&gt;Q34,"COMPLETE – LATE","COMPLETE"))))))))))))))))))))))))),IF(TRIM(U34)="Fail","FAIL – DISCREPANCY",IF(AND(TRIM(U34)&lt;&gt;"",TRIM(U34)&lt;&gt;"Not started",TRIM(U34)&lt;&gt;"In progress"),"INVALID – unrecognised status (use the list)",IF(AsOfUTC&gt;Q34,"OVERDUE",IF(N34="Clarification required","OPEN – CLARIFICATION","OPEN"))))))),"INVALID – error value in an input cell")</f>
        <v>OPEN</v>
      </c>
      <c r="AI34" s="61" t="n">
        <f aca="false">IF(OR(AH34="N/A – RULE",AH34="N/A – JUSTIFIED"),0,1)</f>
        <v>1</v>
      </c>
      <c r="AJ34" s="61" t="n">
        <f aca="false">IF(LEFT(AH34,8)="COMPLETE",1,0)</f>
        <v>0</v>
      </c>
      <c r="AK34" s="61" t="n">
        <f aca="false">IF(AND(AI34=1,AJ34=0,AsOfUTC&gt;Q34),1,0)</f>
        <v>0</v>
      </c>
      <c r="AL34" s="61" t="n">
        <f aca="false">IFERROR(IF(AND(AI34=1,OR(TRIM(U34)="Fail",AND(TRIM(AB34)&lt;&gt;"",TRIM(AB34)&lt;&gt;"Closed"),AND(ISNUMBER(AF34),AF34&lt;&gt;0,TRIM(U34)&lt;&gt;"Pass after CA"))),1,0),1)</f>
        <v>0</v>
      </c>
      <c r="AM34" s="61" t="n">
        <f aca="false">IF(LEFT(AH34,7)="INVALID",1,0)</f>
        <v>0</v>
      </c>
      <c r="AN34" s="61" t="n">
        <f aca="false">IF(AND(N34="Clarification required",AI34=1,AJ34=0),1,0)</f>
        <v>0</v>
      </c>
      <c r="AO34" s="61" t="str">
        <f aca="false">IF(AK34=1,SUM(AK$5:AK34),"")</f>
        <v/>
      </c>
      <c r="AP34" s="61" t="str">
        <f aca="false">IF(AL34=1,SUM(AL$5:AL34),"")</f>
        <v/>
      </c>
      <c r="AQ34" s="61" t="n">
        <v>0</v>
      </c>
      <c r="AR34" s="61" t="n">
        <v>0</v>
      </c>
      <c r="AS34" s="61" t="n">
        <v>0</v>
      </c>
      <c r="AT34" s="61" t="n">
        <v>0</v>
      </c>
      <c r="AU34" s="61" t="str">
        <f aca="false">SUBSTITUTE(SUBSTITUTE(SUBSTITUTE(SUBSTITUTE(SUBSTITUTE(SUBSTITUTE(SUBSTITUTE(SUBSTITUTE(SUBSTITUTE(SUBSTITUTE(SUBSTITUTE(SUBSTITUTE(SUBSTITUTE(SUBSTITUTE(SUBSTITUTE(SUBSTITUTE(LOWER(T34&amp;""),CHAR(10),""),CHAR(13),""),CHAR(9),""),CHAR(160),"")," ",""),".",""),"-",""),"/",""),"?",""),"_",""),",",""),"[",""),"]",""),"(",""),")",""),"*","")</f>
        <v/>
      </c>
      <c r="AV34" s="61" t="str">
        <f aca="false">SUBSTITUTE(SUBSTITUTE(SUBSTITUTE(SUBSTITUTE(SUBSTITUTE(SUBSTITUTE(SUBSTITUTE(SUBSTITUTE(SUBSTITUTE(SUBSTITUTE(SUBSTITUTE(SUBSTITUTE(SUBSTITUTE(SUBSTITUTE(SUBSTITUTE(SUBSTITUTE(LOWER(V34&amp;""),CHAR(10),""),CHAR(13),""),CHAR(9),""),CHAR(160),"")," ",""),".",""),"-",""),"/",""),"?",""),"_",""),",",""),"[",""),"]",""),"(",""),")",""),"*","")</f>
        <v/>
      </c>
      <c r="AW34" s="61" t="str">
        <f aca="false">SUBSTITUTE(SUBSTITUTE(SUBSTITUTE(SUBSTITUTE(SUBSTITUTE(SUBSTITUTE(SUBSTITUTE(SUBSTITUTE(SUBSTITUTE(SUBSTITUTE(SUBSTITUTE(SUBSTITUTE(SUBSTITUTE(SUBSTITUTE(SUBSTITUTE(SUBSTITUTE(LOWER(Z34&amp;""),CHAR(10),""),CHAR(13),""),CHAR(9),""),CHAR(160),"")," ",""),".",""),"-",""),"/",""),"?",""),"_",""),",",""),"[",""),"]",""),"(",""),")",""),"*","")</f>
        <v/>
      </c>
      <c r="AX34" s="61" t="str">
        <f aca="false">SUBSTITUTE(SUBSTITUTE(SUBSTITUTE(SUBSTITUTE(SUBSTITUTE(SUBSTITUTE(SUBSTITUTE(SUBSTITUTE(SUBSTITUTE(SUBSTITUTE(SUBSTITUTE(SUBSTITUTE(SUBSTITUTE(SUBSTITUTE(SUBSTITUTE(SUBSTITUTE(LOWER(AE34&amp;""),CHAR(10),""),CHAR(13),""),CHAR(9),""),CHAR(160),"")," ",""),".",""),"-",""),"/",""),"?",""),"_",""),",",""),"[",""),"]",""),"(",""),")",""),"*","")</f>
        <v/>
      </c>
      <c r="AY34" s="61" t="str">
        <f aca="false">SUBSTITUTE(SUBSTITUTE(SUBSTITUTE(SUBSTITUTE(SUBSTITUTE(SUBSTITUTE(SUBSTITUTE(SUBSTITUTE(SUBSTITUTE(SUBSTITUTE(SUBSTITUTE(SUBSTITUTE(SUBSTITUTE(SUBSTITUTE(SUBSTITUTE(SUBSTITUTE(LOWER(W34&amp;""),CHAR(10),""),CHAR(13),""),CHAR(9),""),CHAR(160),"")," ",""),".",""),"-",""),"/",""),"?",""),"_",""),",",""),"[",""),"]",""),"(",""),")",""),"*","")</f>
        <v/>
      </c>
      <c r="AZ34" s="61" t="str">
        <f aca="false">SUBSTITUTE(SUBSTITUTE(SUBSTITUTE(SUBSTITUTE(SUBSTITUTE(SUBSTITUTE(SUBSTITUTE(SUBSTITUTE(SUBSTITUTE(SUBSTITUTE(SUBSTITUTE(SUBSTITUTE(SUBSTITUTE(SUBSTITUTE(SUBSTITUTE(SUBSTITUTE(LOWER(AC34&amp;""),CHAR(10),""),CHAR(13),""),CHAR(9),""),CHAR(160),"")," ",""),".",""),"-",""),"/",""),"?",""),"_",""),",",""),"[",""),"]",""),"(",""),")",""),"*","")</f>
        <v/>
      </c>
      <c r="BA34" s="61" t="str">
        <f aca="false">SUBSTITUTE(SUBSTITUTE(SUBSTITUTE(SUBSTITUTE(SUBSTITUTE(SUBSTITUTE(SUBSTITUTE(SUBSTITUTE(SUBSTITUTE(SUBSTITUTE(SUBSTITUTE(SUBSTITUTE(SUBSTITUTE(SUBSTITUTE(SUBSTITUTE(SUBSTITUTE(LOWER(AA34&amp;""),CHAR(10),""),CHAR(13),""),CHAR(9),""),CHAR(160),"")," ",""),".",""),"-",""),"/",""),"?",""),"_",""),",",""),"[",""),"]",""),"(",""),")",""),"*","")</f>
        <v/>
      </c>
      <c r="BB34" s="61" t="str">
        <f aca="false">IF(AND(TRIM(U34)="Pass",ISNUMBER(AF34)),IF(AF34&lt;&gt;0,"INVALID – qty variance: use Fail or Pass after CA",""),"")&amp;IF(AND(TRIM(U34)="Pass after CA",ISNUMBER(AF34)),IF(AF34&lt;&gt;0,"INVALID – after the corrective action the actual qty must equal expected (update Actual)",""),"")&amp;IF(AND(TRIM(U34)="Pass",TRIM(AB34)&lt;&gt;"",TRIM(AB34)&lt;&gt;"Closed"),"INVALID – corrective action not closed: use Fail, then Pass after CA","")&amp;IF(AND(LEN(BA34)&gt;=2,ISNA(MATCH(LEFT(BA34,255),L_Placeholder,0)),TRIM(AB34)=""),"INVALID – CA status missing for the recorded corrective action","")&amp;IF(AND(TRIM(U34)="Pass after CA",OR(OR(LEN(BA34)&lt;5,ISNUMBER(MATCH(BA34,L_Placeholder,0))),TRIM(AB34)&lt;&gt;"Closed")),"INVALID – corrective action not recorded/closed","")</f>
        <v/>
      </c>
      <c r="BC34" s="61" t="str">
        <f aca="false">" "&amp;TRIM(SUBSTITUTE(SUBSTITUTE(SUBSTITUTE(SUBSTITUTE(SUBSTITUTE(SUBSTITUTE(SUBSTITUTE(SUBSTITUTE(SUBSTITUTE(SUBSTITUTE(SUBSTITUTE(SUBSTITUTE(SUBSTITUTE(SUBSTITUTE(SUBSTITUTE(SUBSTITUTE(SUBSTITUTE(SUBSTITUTE(SUBSTITUTE(SUBSTITUTE(SUBSTITUTE(SUBSTITUTE(SUBSTITUTE(SUBSTITUTE(LOWER(V34&amp;""),CHAR(10)," "),CHAR(13)," "),CHAR(9)," "),CHAR(160)," "),"."," "),","," "),"-"," "),"/"," "),"("," "),")"," "),":"," "),";"," "),"_"," "),"–"," "),"?"," "),"!"," "),"*"," "),"["," "),"]"," "),"'"," "),"#"," "),"+"," "),"&amp;"," "),"\"," "))&amp;" "</f>
        <v>  </v>
      </c>
      <c r="BD34" s="61" t="str">
        <f aca="false">" "&amp;TRIM(SUBSTITUTE(SUBSTITUTE(SUBSTITUTE(SUBSTITUTE(SUBSTITUTE(SUBSTITUTE(SUBSTITUTE(SUBSTITUTE(SUBSTITUTE(SUBSTITUTE(SUBSTITUTE(SUBSTITUTE(SUBSTITUTE(SUBSTITUTE(SUBSTITUTE(SUBSTITUTE(SUBSTITUTE(SUBSTITUTE(SUBSTITUTE(SUBSTITUTE(SUBSTITUTE(SUBSTITUTE(SUBSTITUTE(SUBSTITUTE(LOWER(Z34&amp;""),CHAR(10)," "),CHAR(13)," "),CHAR(9)," "),CHAR(160)," "),"."," "),","," "),"-"," "),"/"," "),"("," "),")"," "),":"," "),";"," "),"_"," "),"–"," "),"?"," "),"!"," "),"*"," "),"["," "),"]"," "),"'"," "),"#"," "),"+"," "),"&amp;"," "),"\"," "))&amp;" "</f>
        <v>  </v>
      </c>
      <c r="BE34" s="61" t="str">
        <f aca="false">" "&amp;TRIM(SUBSTITUTE(SUBSTITUTE(SUBSTITUTE(SUBSTITUTE(SUBSTITUTE(SUBSTITUTE(SUBSTITUTE(SUBSTITUTE(SUBSTITUTE(SUBSTITUTE(SUBSTITUTE(SUBSTITUTE(SUBSTITUTE(SUBSTITUTE(SUBSTITUTE(SUBSTITUTE(SUBSTITUTE(SUBSTITUTE(SUBSTITUTE(SUBSTITUTE(SUBSTITUTE(SUBSTITUTE(SUBSTITUTE(SUBSTITUTE(LOWER(W34&amp;""),CHAR(10)," "),CHAR(13)," "),CHAR(9)," "),CHAR(160)," "),"."," "),","," "),"-"," "),"/"," "),"("," "),")"," "),":"," "),";"," "),"_"," "),"–"," "),"?"," "),"!"," "),"*"," "),"["," "),"]"," "),"'"," "),"#"," "),"+"," "),"&amp;"," "),"\"," "))&amp;" "</f>
        <v>  </v>
      </c>
      <c r="BF34" s="61" t="str">
        <f aca="false">" "&amp;TRIM(SUBSTITUTE(SUBSTITUTE(SUBSTITUTE(SUBSTITUTE(SUBSTITUTE(SUBSTITUTE(SUBSTITUTE(SUBSTITUTE(SUBSTITUTE(SUBSTITUTE(SUBSTITUTE(SUBSTITUTE(SUBSTITUTE(SUBSTITUTE(SUBSTITUTE(SUBSTITUTE(SUBSTITUTE(SUBSTITUTE(SUBSTITUTE(SUBSTITUTE(SUBSTITUTE(SUBSTITUTE(SUBSTITUTE(SUBSTITUTE(LOWER(AC34&amp;""),CHAR(10)," "),CHAR(13)," "),CHAR(9)," "),CHAR(160)," "),"."," "),","," "),"-"," "),"/"," "),"("," "),")"," "),":"," "),";"," "),"_"," "),"–"," "),"?"," "),"!"," "),"*"," "),"["," "),"]"," "),"'"," "),"#"," "),"+"," "),"&amp;"," "),"\"," "))&amp;" "</f>
        <v>  </v>
      </c>
      <c r="BG34" s="61" t="n">
        <f aca="false">IFERROR(IF(AND(TRIM(U34)="Pass",SUMPRODUCT((LEN(BC34)-LEN(SUBSTITUTE(BC34," "&amp;L_ResultBad&amp;" "," ")))/(LEN(L_ResultBad)+1))&gt;SUMPRODUCT((LEN(BC34)-LEN(SUBSTITUTE(BC34," "&amp;L_NegPhrase&amp;" "," ")))/(LEN(L_NegPhrase)+1))),1,0),0)</f>
        <v>0</v>
      </c>
      <c r="BH34" s="61" t="n">
        <f aca="false">IFERROR(IF(SUMPRODUCT((LEN(BC34)-LEN(SUBSTITUTE(BC34," "&amp;L_Pending&amp;" "," ")))/(LEN(L_Pending)+1))&gt;SUMPRODUCT((LEN(BC34)-LEN(SUBSTITUTE(BC34," "&amp;L_PendNeg&amp;" "," ")))/(LEN(L_PendNeg)+1))+SUMPRODUCT((LEN(BC34)-LEN(SUBSTITUTE(BC34," "&amp;L_PendPrep&amp;" "," ")))/(LEN(L_PendPrep)+1)),1,0),1)</f>
        <v>0</v>
      </c>
      <c r="BI34" s="61" t="n">
        <f aca="false">IFERROR(IF(SUMPRODUCT((LEN(BD34)-LEN(SUBSTITUTE(BD34," "&amp;L_PendStrict&amp;" "," ")))/(LEN(L_PendStrict)+1))&gt;SUMPRODUCT((LEN(BD34)-LEN(SUBSTITUTE(BD34," "&amp;L_PendNeg&amp;" "," ")))/(LEN(L_PendNeg)+1)),1,0),1)</f>
        <v>0</v>
      </c>
      <c r="BJ34" s="61" t="n">
        <f aca="false">IFERROR(IF(SUMPRODUCT((LEN(BE34)-LEN(SUBSTITUTE(BE34," "&amp;L_Pending&amp;" "," ")))/(LEN(L_Pending)+1))&gt;SUMPRODUCT((LEN(BE34)-LEN(SUBSTITUTE(BE34," "&amp;L_PendNeg&amp;" "," ")))/(LEN(L_PendNeg)+1))+SUMPRODUCT((LEN(BE34)-LEN(SUBSTITUTE(BE34," "&amp;L_PendPrep&amp;" "," ")))/(LEN(L_PendPrep)+1)),1,0),1)</f>
        <v>0</v>
      </c>
      <c r="BK34" s="61" t="n">
        <f aca="false">IFERROR(IF(SUMPRODUCT((LEN(BF34)-LEN(SUBSTITUTE(BF34," "&amp;L_PendStrict&amp;" "," ")))/(LEN(L_PendStrict)+1))&gt;SUMPRODUCT((LEN(BF34)-LEN(SUBSTITUTE(BF34," "&amp;L_PendNeg&amp;" "," ")))/(LEN(L_PendNeg)+1)),1,0),1)</f>
        <v>0</v>
      </c>
      <c r="BL34" s="61" t="n">
        <f aca="false">IF(ISNA(MATCH(TRIM(S34),L_EvidenceType,0)),0,BZ34)</f>
        <v>0</v>
      </c>
      <c r="BM34" s="61" t="str">
        <f aca="false">SUBSTITUTE(SUBSTITUTE(SUBSTITUTE(SUBSTITUTE(SUBSTITUTE(SUBSTITUTE(SUBSTITUTE(SUBSTITUTE(SUBSTITUTE(LOWER(Z34&amp;""),"1","0"),"2","0"),"3","0"),"4","0"),"5","0"),"6","0"),"7","0"),"8","0"),"9","0")</f>
        <v/>
      </c>
      <c r="BN34" s="61" t="str">
        <f aca="false">SUBSTITUTE(SUBSTITUTE(SUBSTITUTE(SUBSTITUTE(SUBSTITUTE(SUBSTITUTE(SUBSTITUTE(SUBSTITUTE(SUBSTITUTE(SUBSTITUTE(SUBSTITUTE(SUBSTITUTE(SUBSTITUTE(SUBSTITUTE(SUBSTITUTE(SUBSTITUTE(SUBSTITUTE(SUBSTITUTE(SUBSTITUTE(SUBSTITUTE(SUBSTITUTE(SUBSTITUTE(SUBSTITUTE(SUBSTITUTE(SUBSTITUTE(BM34,"b","a"),"c","a"),"d","a"),"e","a"),"f","a"),"g","a"),"h","a"),"i","a"),"j","a"),"k","a"),"l","a"),"m","a"),"n","a"),"o","a"),"p","a"),"q","a"),"r","a"),"s","a"),"t","a"),"u","a"),"v","a"),"w","a"),"x","a"),"y","a"),"z","a")</f>
        <v/>
      </c>
      <c r="BO34" s="61" t="str">
        <f aca="false">SUBSTITUTE(SUBSTITUTE(SUBSTITUTE(SUBSTITUTE(SUBSTITUTE(SUBSTITUTE(SUBSTITUTE(SUBSTITUTE(SUBSTITUTE(LOWER(W34&amp;""),"1","0"),"2","0"),"3","0"),"4","0"),"5","0"),"6","0"),"7","0"),"8","0"),"9","0")</f>
        <v/>
      </c>
      <c r="BP34" s="61" t="str">
        <f aca="false">SUBSTITUTE(SUBSTITUTE(SUBSTITUTE(SUBSTITUTE(SUBSTITUTE(SUBSTITUTE(SUBSTITUTE(SUBSTITUTE(SUBSTITUTE(SUBSTITUTE(SUBSTITUTE(SUBSTITUTE(SUBSTITUTE(SUBSTITUTE(SUBSTITUTE(SUBSTITUTE(SUBSTITUTE(SUBSTITUTE(SUBSTITUTE(SUBSTITUTE(SUBSTITUTE(SUBSTITUTE(SUBSTITUTE(SUBSTITUTE(SUBSTITUTE(BO34,"b","a"),"c","a"),"d","a"),"e","a"),"f","a"),"g","a"),"h","a"),"i","a"),"j","a"),"k","a"),"l","a"),"m","a"),"n","a"),"o","a"),"p","a"),"q","a"),"r","a"),"s","a"),"t","a"),"u","a"),"v","a"),"w","a"),"x","a"),"y","a"),"z","a")</f>
        <v/>
      </c>
      <c r="BQ34" s="61" t="n">
        <f aca="false">IFERROR(IF(AND(ISERROR(SEARCH(" mh"," "&amp;LOWER(W34))),ISNA(MATCH(LEFT(TRIM(BP34),255),{"0000a","000a","00a","0000aa","000aa","00aa","0aa","0000aaa","000aaa","00a00","0a00","0000-0000","00:00","a00","a0","00.00.0000","00/00/0000","00-00-0000","0000-00-00","0000/00/00","0000.00.00","00.00.00","00/00/00","00-00-00","0.00.0000","0/00/0000","0-00-0000"},0)),ISNA(MATCH(LEFT(TRIM(CA34),255),{"0000a","000a","00a","0000aa","000aa","00aa","0aa","0000aaa","000aaa","00a00","0a00","0000-0000","00:00","a00","a0","00.00.0000","00/00/0000","00-00-0000","0000-00-00","0000/00/00","0000.00.00","00.00.00","00/00/00","00-00-00","0.00.0000","0/00/0000","0-00-0000"},0)),LEN(CB34)&gt;=3,NOT(OR(SUBSTITUTE(CB34,"0","")="",AND(LEN(CB34)&gt;=4,CB34=REPT(LEFT(CB34),LEN(CB34))),ISNUMBER(MATCH(CB34,{"123","1234","12345","123456","1234567","12345678","0123","01234","012345","98765","987654","54321"},0)),AND(LEN(CB34)=8,LEFT(CB34,3)="202"))),OR(AND((LEN(CA34)-LEN(SUBSTITUTE(CA34,"a","")))&gt;=1,SUMPRODUCT(--ISNUMBER(SEARCH({"a0","a-0","a_0","a/0","a.0","a#0","0a","0-a","0_a","0/a"},BP34)))&gt;0),ISNUMBER(SEARCH("000000",BP34)))),1,0),0)</f>
        <v>0</v>
      </c>
      <c r="BR34" s="61" t="n">
        <f aca="false">IFERROR(LEN(SUBSTITUTE(CC34," ",""))-SUMPRODUCT((LEN(CC34)-LEN(SUBSTITUTE(CC34," "&amp;L_Role&amp;" "," ")))/(LEN(L_Role)+1)*LEN(L_Role)),0)</f>
        <v>0</v>
      </c>
      <c r="BS34" s="61" t="n">
        <f aca="false">IFERROR(LEN(SUBSTITUTE(CD34," ",""))-SUMPRODUCT((LEN(CD34)-LEN(SUBSTITUTE(CD34," "&amp;L_Role&amp;" "," ")))/(LEN(L_Role)+1)*LEN(L_Role)),0)</f>
        <v>0</v>
      </c>
      <c r="BT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revision",""),"version",""),"jan",""),"feb",""),"mar",""),"apr",""),"may",""),"jun",""),"jul",""),"aug",""),"sep",""),"oct",""),"nov",""),"dec",""),"utc",""),"gmt",""),"myt",""),"bst",""),"rev",""),"ver",""),"b","a"),"c","a"),"d","a"),"e","a"),"f","a"),"g","a"),"h","a"),"i","a"),"j","a"),"k","a"),"l","a"),"m","a"),"n","a"),"o","a"),"p","a"),"q","a"),"r","a"),"s","a"),"t","a"),"u","a"),"v","a"),"w","a"),"x","a"),"y","a"),"z","a")</f>
        <v/>
      </c>
      <c r="BU34" s="61" t="str">
        <f aca="false">SUBSTITUTE(SUBSTITUTE(SUBSTITUTE(SUBSTITUTE(SUBSTITUTE(SUBSTITUTE(SUBSTITUTE(SUBSTITUTE(SUBSTITUTE(SUBSTITUTE(LEFT(BM34,FIND("0",BM34&amp;"0")-1),"-",""),"_",""),"/",""),".",""),"#",""),"\\",""),":","")," ",""),"(",""),")","")</f>
        <v/>
      </c>
      <c r="BV34" s="61" t="n">
        <f aca="false">0</f>
        <v>0</v>
      </c>
      <c r="BW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amp;""),"a",""),"b",""),"c",""),"d",""),"e",""),"f",""),"g",""),"h",""),"i",""),"j",""),"k",""),"l",""),"m",""),"n",""),"o",""),"p",""),"q",""),"r",""),"s",""),"t",""),"u",""),"v",""),"w",""),"x",""),"y",""),"z",""),"-",""),"_",""),"/",""),".",""),"#",""),"\\",""),":","")," ",""),"(",""),")","")</f>
        <v/>
      </c>
      <c r="BX34" s="61" t="str">
        <f aca="false">SUBSTITUTE(SUBSTITUTE(SUBSTITUTE(SUBSTITUTE(SUBSTITUTE(SUBSTITUTE(SUBSTITUTE(SUBSTITUTE(SUBSTITUTE(SUBSTITUTE(SUBSTITUTE(BM34,"0",""),"-",""),"_",""),"/",""),".",""),"#",""),"\\",""),":","")," ",""),"(",""),")","")</f>
        <v/>
      </c>
      <c r="BY34" s="62" t="n">
        <f aca="false">Q34-T7EarlyD*24/24</f>
        <v>46283.5763888889</v>
      </c>
      <c r="BZ34" s="61" t="n">
        <f aca="false">IFERROR(IF(IF(TRIM(S34)="Link / file path",AND(LEN(TRIM(Z34))&gt;=5,SUMPRODUCT(--ISNUMBER(SEARCH({"http","www.","\\",":\",".pdf",".jpg",".jpeg",".png",".heic",".xls",".doc",".msg",".eml",".ppt",".txt",".zip"},Z34)))&gt;0),AND(ISERROR(FIND(" ",TRIM(Z34))),NOT(OR(SUMPRODUCT(--ISNUMBER(FIND({",",";","&amp;","+"},Z34)))&gt;0,SUMPRODUCT(--ISNUMBER(SEARCH({"0/aa","0\\aa"},BN34)))&gt;0)),NOT(SUMPRODUCT(--ISNUMBER(SEARCH({"http","www.","\\",":\",".pdf",".jpg",".jpeg",".png",".heic",".xls",".doc",".msg",".eml",".ppt",".txt",".zip"},Z34)))&gt;0),NOT(LOWER(TRIM(Z34))=LOWER(Flights!$F$6)),ISNA(MATCH(BU34,{"mh","rev","revision","ver","version","v","r","a","b","seat","tray","row","gate","bay","stand","page","pg","item","line","no","cart","galley","flight","flt","table","box","bag","oven","etd","eta","std","sta","atd","ata","qty","pax","x","time","tel","ph","mob","day","wk","week","utc","gmt","myt","lt"},0)),NOT(OR(ISNUMBER(MATCH(LEFT(BN34,255),{"0000a","000a","00a","0000aa","000aa","00aa","0aa","0000aaa","000aaa","00a00","0a00","0000-0000","00:00","a00","a0","00.00.0000","00/00/0000","00-00-0000","0000-00-00","0000/00/00","0000.00.00","00.00.00","00/00/00","00-00-00","0.00.0000","0/00/0000","0-00-0000"},0)),ISNUMBER(MATCH(LEFT(BT34,255),{"0000a","000a","00a","0000aa","000aa","00aa","0aa","0000aaa","000aaa","00a00","0a00","0000-0000","00:00","a00","a0","00.00.0000","00/00/0000","00-00-0000","0000-00-00","0000/00/00","0000.00.00","00.00.00","00/00/00","00-00-00","0.00.0000","0/00/0000","0-00-0000"},0)))),NOT(OR(AND(BW34&lt;&gt;"",SUBSTITUTE(BW34,"0","")=""),AND(LEN(BW34)&gt;=4,BW34=REPT(LEFT(BW34),LEN(BW34))),ISNUMBER(MATCH(BW34,{"123","1234","12345","123456","1234567","12345678","0123","01234","012345","98765","987654","54321"},0)),ISNUMBER(MATCH(BX34,{"x","xx","xxx","xxxx","xxxxx","abc","abcd","nil","na","nan","test","tbc","tba","tbd","dummy","sample","example","eg","zz","zzz","none","null","xyz","qwe","asd","id","ref"},0)),AND(LEN(BW34)=8,BX34="",OR(LEFT(BW34,3)="202",ISNUMBER(MATCH(RIGHT(BW34,4),{"2025","2026","2027"},0)))))),OR(AND((LEN(BT34)-LEN(SUBSTITUTE(BT34,"a","")))&gt;=1,(LEN(BN34)-LEN(SUBSTITUTE(BN34,"0","")))&gt;=2,SUMPRODUCT(--ISNUMBER(SEARCH({"a0","a-0","a_0","a/0","a.0","a#0","0a","0-a","0_a","0/a"},BN34)))&gt;0),AND((LEN(BN34)-LEN(SUBSTITUTE(BN34,"a","")))=0,(LEN(BN34)-LEN(SUBSTITUTE(BN34,"0","")))&gt;=5)))),1,0),0)</f>
        <v>0</v>
      </c>
      <c r="CA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revision",""),"version",""),"jan",""),"feb",""),"mar",""),"apr",""),"may",""),"jun",""),"jul",""),"aug",""),"sep",""),"oct",""),"nov",""),"dec",""),"utc",""),"gmt",""),"myt",""),"bst",""),"rev",""),"ver",""),"b","a"),"c","a"),"d","a"),"e","a"),"f","a"),"g","a"),"h","a"),"i","a"),"j","a"),"k","a"),"l","a"),"m","a"),"n","a"),"o","a"),"p","a"),"q","a"),"r","a"),"s","a"),"t","a"),"u","a"),"v","a"),"w","a"),"x","a"),"y","a"),"z","a")</f>
        <v/>
      </c>
      <c r="CB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amp;""),"a",""),"b",""),"c",""),"d",""),"e",""),"f",""),"g",""),"h",""),"i",""),"j",""),"k",""),"l",""),"m",""),"n",""),"o",""),"p",""),"q",""),"r",""),"s",""),"t",""),"u",""),"v",""),"w",""),"x",""),"y",""),"z",""),"-",""),"_",""),"/",""),".",""),"#",""),"\\",""),":","")," ",""),"(",""),")","")</f>
        <v/>
      </c>
      <c r="CC34" s="0" t="str">
        <f aca="false">" "&amp;TRIM(SUBSTITUTE(SUBSTITUTE(SUBSTITUTE(SUBSTITUTE(SUBSTITUTE(SUBSTITUTE(SUBSTITUTE(SUBSTITUTE(SUBSTITUTE(SUBSTITUTE(SUBSTITUTE(SUBSTITUTE(SUBSTITUTE(SUBSTITUTE(SUBSTITUTE(SUBSTITUTE(SUBSTITUTE(SUBSTITUTE(SUBSTITUTE(SUBSTITUTE(SUBSTITUTE(SUBSTITUTE(SUBSTITUTE(SUBSTITUTE(LOWER(T34&amp;""),CHAR(10)," "),CHAR(13)," "),CHAR(9)," "),CHAR(160)," "),"."," "),","," "),"-"," "),"/"," "),"("," "),")"," "),":"," "),";"," "),"_"," "),"–"," "),"?"," "),"!"," "),"*"," "),"["," "),"]"," "),"'"," "),"#"," "),"+"," "),"&amp;"," "),"\"," "))&amp;" "</f>
        <v>  </v>
      </c>
      <c r="CD34" s="0" t="str">
        <f aca="false">" "&amp;TRIM(SUBSTITUTE(SUBSTITUTE(SUBSTITUTE(SUBSTITUTE(SUBSTITUTE(SUBSTITUTE(SUBSTITUTE(SUBSTITUTE(SUBSTITUTE(SUBSTITUTE(SUBSTITUTE(SUBSTITUTE(SUBSTITUTE(SUBSTITUTE(SUBSTITUTE(SUBSTITUTE(SUBSTITUTE(SUBSTITUTE(SUBSTITUTE(SUBSTITUTE(SUBSTITUTE(SUBSTITUTE(SUBSTITUTE(SUBSTITUTE(LOWER(AE34&amp;""),CHAR(10)," "),CHAR(13)," "),CHAR(9)," "),CHAR(160)," "),"."," "),","," "),"-"," "),"/"," "),"("," "),")"," "),":"," "),";"," "),"_"," "),"–"," "),"?"," "),"!"," "),"*"," "),"["," "),"]"," "),"'"," "),"#"," "),"+"," "),"&amp;"," "),"\"," "))&amp;" "</f>
        <v>  </v>
      </c>
      <c r="CE34" s="68" t="n">
        <f aca="false">IFERROR(IF(AND(LEN(AU34)&gt;0,LEN(AU34)=LEN(AX34),OR(TRIM(MID(SUBSTITUTE(TRIM(CC34)," ",REPT(" ",60)),1,60))="",ISNUMBER(SEARCH(" "&amp;TRIM(MID(SUBSTITUTE(TRIM(CC34)," ",REPT(" ",60)),1,60))&amp;" ",CD34))),OR(TRIM(MID(SUBSTITUTE(TRIM(CC34)," ",REPT(" ",60)),61,60))="",ISNUMBER(SEARCH(" "&amp;TRIM(MID(SUBSTITUTE(TRIM(CC34)," ",REPT(" ",60)),61,60))&amp;" ",CD34))),OR(TRIM(MID(SUBSTITUTE(TRIM(CC34)," ",REPT(" ",60)),121,60))="",ISNUMBER(SEARCH(" "&amp;TRIM(MID(SUBSTITUTE(TRIM(CC34)," ",REPT(" ",60)),121,60))&amp;" ",CD34)))),1,0),0)</f>
        <v>0</v>
      </c>
      <c r="CG34" s="68" t="n">
        <f aca="false">IFERROR(LEN(SUBSTITUTE(BF34," ",""))-SUMPRODUCT((LEN(BF34)-LEN(SUBSTITUTE(BF34," "&amp;L_NAFiller&amp;" "," ")))/(LEN(L_NAFiller)+1)*LEN(L_NAFiller)),0)</f>
        <v>0</v>
      </c>
    </row>
    <row r="35" customFormat="false" ht="39.75" hidden="false" customHeight="true" outlineLevel="0" collapsed="false">
      <c r="A35" s="57" t="s">
        <v>478</v>
      </c>
      <c r="B35" s="57" t="s">
        <v>198</v>
      </c>
      <c r="C35" s="57" t="str">
        <f aca="false">Flights!$F$6</f>
        <v>MH0727</v>
      </c>
      <c r="D35" s="58" t="n">
        <f aca="false">Flights!$D$6</f>
        <v>46304</v>
      </c>
      <c r="E35" s="57" t="str">
        <f aca="false">Flights!$G$6&amp;"-"&amp;Flights!$H$6</f>
        <v>KUL-CGK</v>
      </c>
      <c r="F35" s="57" t="str">
        <f aca="false">Flights!$K$6</f>
        <v>BC</v>
      </c>
      <c r="G35" s="57" t="s">
        <v>81</v>
      </c>
      <c r="H35" s="57" t="s">
        <v>378</v>
      </c>
      <c r="I35" s="57" t="s">
        <v>398</v>
      </c>
      <c r="J35" s="57" t="s">
        <v>402</v>
      </c>
      <c r="K35" s="67" t="s">
        <v>403</v>
      </c>
      <c r="L35" s="67" t="s">
        <v>382</v>
      </c>
      <c r="M35" s="67"/>
      <c r="N35" s="67" t="s">
        <v>383</v>
      </c>
      <c r="O35" s="67"/>
      <c r="P35" s="57" t="s">
        <v>187</v>
      </c>
      <c r="Q35" s="59" t="n">
        <f aca="false">ROUND((Flights!$AC$6)*1440,0)/1440</f>
        <v>46297.5763888889</v>
      </c>
      <c r="R35" s="59" t="n">
        <f aca="false">Q35+(IF(AND(INDEX(TZ_DSTS,MATCH(P35,TZ_STN,0))&lt;&gt;"",Q35&gt;=INDEX(TZ_DSTS,MATCH(P35,TZ_STN,0)),Q35&lt;INDEX(TZ_DSTE,MATCH(P35,TZ_STN,0))),INDEX(TZ_DST,MATCH(P35,TZ_STN,0)),INDEX(TZ_STD,MATCH(P35,TZ_STN,0))))/24</f>
        <v>46297.9097222222</v>
      </c>
      <c r="S35" s="60"/>
      <c r="T35" s="60"/>
      <c r="U35" s="60"/>
      <c r="V35" s="60"/>
      <c r="W35" s="61"/>
      <c r="X35" s="60"/>
      <c r="Y35" s="60"/>
      <c r="Z35" s="60"/>
      <c r="AA35" s="60"/>
      <c r="AB35" s="60"/>
      <c r="AC35" s="60"/>
      <c r="AD35" s="66"/>
      <c r="AE35" s="60"/>
      <c r="AF35" s="61" t="str">
        <f aca="false">IF(AND(ISNUMBER(X35),ISNUMBER(Y35)),Y35-X35,"")</f>
        <v/>
      </c>
      <c r="AG35" s="62" t="str">
        <f aca="false">IF(ISNUMBER(AD35),AD35-(IF(AND(INDEX(TZ_DSTS,MATCH(P35,TZ_STN,0))&lt;&gt;"",(AD35-INDEX(TZ_STD,MATCH(P35,TZ_STN,0))/24)&gt;=INDEX(TZ_DSTS,MATCH(P35,TZ_STN,0)),(AD35-INDEX(TZ_STD,MATCH(P35,TZ_STN,0))/24)&lt;INDEX(TZ_DSTE,MATCH(P35,TZ_STN,0))),INDEX(TZ_DST,MATCH(P35,TZ_STN,0)),INDEX(TZ_STD,MATCH(P35,TZ_STN,0))))/24,"")</f>
        <v/>
      </c>
      <c r="AH35" s="65" t="str">
        <f aca="false">IFERROR(IF(N35="N/A – rule",IF(OR(TRIM(U35)="",TRIM(U35)="N/A",TRIM(U35)="Not started"),"N/A – RULE","INVALID – this check does not apply to this aircraft: clear the status (or correct the fleet on Flights)"),IF(TRIM(U35)="N/A",IF(AT35=0,"INVALID – N/A not permitted for this check",IF(AND(TRIM(AB35)&lt;&gt;"",TRIM(AB35)&lt;&gt;"Closed"),"INVALID – corrective action still open",IF(AND(NOT(OR(LEN(AZ35)&lt;15,ISNUMBER(MATCH(AZ35,L_Placeholder,0)))),BK35=0,CG35&gt;=8,NOT(OR(LEN(AU35)&lt;2,ISNUMBER(MATCH(AU35,L_Placeholder,0)))),BR35&gt;=3,NOT(OR(LEN(AX35)&lt;2,ISNUMBER(MATCH(AX35,L_Placeholder,0)))),BS35&gt;=3,TRIM(AE35)&lt;&gt;TRIM(T35),AX35&lt;&gt;AU35,CE35=0),"N/A – JUSTIFIED","INVALID – N/A needs a real, settled reason (not 'not applicable' / 'as above' / TBC), a named PIC and a different named verifier"))),IF(OR(TRIM(U35)="Pass",TRIM(U35)="Pass after CA"),IF(NOT(ISNUMBER(AD35)),"INVALID – completion time missing",IF(OR(OR(LEN(AU35)&lt;2,ISNUMBER(MATCH(AU35,L_Placeholder,0))),BR35&lt;3),"INVALID – PIC missing or not a named person (a role such as QA / CSM is not a name)",IF(OR(LEN(AV35)&lt;2,ISNUMBER(MATCH(AV35,L_Placeholder,0))),"INVALID – result / assessment missing",IF(OR(OR(LEN(AW35)&lt;3,ISNUMBER(MATCH(AW35,L_Placeholder,0))),SUMPRODUCT(--ISNUMBER(SEARCH(" "&amp;L_EvidencePhrase&amp;" ",BD35)))&gt;0,BI35=1),"INVALID – evidence missing, placeholder or not yet on file",IF(ISNA(MATCH(TRIM(S35),L_EvidenceType,0)),"INVALID – choose the evidence type from the list (column S)",IF(BL35=0,"INVALID – evidence ID must be the record's own ID only (e.g. SF-2210, IMG_2231, 1045521); a link / file name needs type 'Link / file path'",IF(OR(OR(LEN(AX35)&lt;2,ISNUMBER(MATCH(AX35,L_Placeholder,0))),BS35&lt;3),"INVALID – verifier missing or not a named person (a role such as QA / CSM is not a name)",IF(OR(AX35=AU35,CE35=1,AND(LEN(AU35)&gt;=4,ISNUMBER(SEARCH(AU35,AX35))),AND(LEN(AX35)&gt;=4,ISNUMBER(SEARCH(AX35,AU35)))),"INVALID – verifier must be a different, named person (not the PIC or a role)",IF(BH35=1,"INVALID – result not yet available (awaiting / TBC)",IF(BG35=1,"INVALID – result describes a problem: record Fail, then Pass after CA (or reword if it is not a problem)",IF(BV35=1,"INVALID – wording says not on board: an on-board confirmation needs the item loaded",IF(AND(AQ35=1,OR(OR(LEN(AY35)&lt;3,ISNUMBER(MATCH(AY35,L_Placeholder,0))),BJ35=1,BQ35=0)),"INVALID – batch ID missing, placeholder or not an ID (e.g. PASB-261008-BC-017)",IF(AND(AR35=1,OR(NOT(ISNUMBER(X35)),NOT(ISNUMBER(Y35)))),"INVALID – expected/actual qty missing",IF(AND(AR35=1,OR(X35&lt;=0,Y35&lt;0)),"INVALID – expected qty must be above 0 and actual not negative",IF(BB35&lt;&gt;"",BB35,IF(AND(AS35=1,Documents!$J$6&lt;&gt;"ON FILE"),"INVALID – GLD not on file (Documents sheet)",IF(AND(AS35=2,Documents!$O$6&lt;&gt;"ON FILE"),"INVALID – menu checklist not on file (Documents sheet)",IF(AND(AS35=3,NOT(ISNUMBER(Flights!$AX$6))),"INVALID – enter carrying flight KUL departure (Flights AX)",IF(AND(AS35=3,OR(Flights!$AZ$6&gt;Flights!$AA$6,Flights!$AX$6&lt;Flights!$AA$6-3)),"INVALID – carrying flight (Flights AX) cannot arrive before this leg's STD, or is over 3 days early",IF(AG35&gt;AsOfUTC,"INVALID – completion time is in the future",IF(AND(ISNUMBER(BY35),AG35&lt;BY35),IF(H35="Physical uplift","INVALID – before uplift window (cannot confirm loading)","INVALID – before valid window"),IF(AG35&gt;Flights!$AA$6,"INVALID – completed after departure (cannot establish readiness)",IF(AND(H35="Preparation",AG35&gt;=IF(ISNUMBER(Flights!$BA$6),MIN(Flights!$BA$6,Flights!$AA$6),Flights!$AA$6)),"INVALID – completed after loading / departure (cannot establish readiness)",IF(AND(H35="Physical uplift",AG35&gt;Q35),"INVALID – recorded after the loading flight departed",IF(AG35&gt;Q35,"COMPLETE – LATE","COMPLETE"))))))))))))))))))))))))),IF(TRIM(U35)="Fail","FAIL – DISCREPANCY",IF(AND(TRIM(U35)&lt;&gt;"",TRIM(U35)&lt;&gt;"Not started",TRIM(U35)&lt;&gt;"In progress"),"INVALID – unrecognised status (use the list)",IF(AsOfUTC&gt;Q35,"OVERDUE",IF(N35="Clarification required","OPEN – CLARIFICATION","OPEN"))))))),"INVALID – error value in an input cell")</f>
        <v>OPEN</v>
      </c>
      <c r="AI35" s="61" t="n">
        <f aca="false">IF(OR(AH35="N/A – RULE",AH35="N/A – JUSTIFIED"),0,1)</f>
        <v>1</v>
      </c>
      <c r="AJ35" s="61" t="n">
        <f aca="false">IF(LEFT(AH35,8)="COMPLETE",1,0)</f>
        <v>0</v>
      </c>
      <c r="AK35" s="61" t="n">
        <f aca="false">IF(AND(AI35=1,AJ35=0,AsOfUTC&gt;Q35),1,0)</f>
        <v>0</v>
      </c>
      <c r="AL35" s="61" t="n">
        <f aca="false">IFERROR(IF(AND(AI35=1,OR(TRIM(U35)="Fail",AND(TRIM(AB35)&lt;&gt;"",TRIM(AB35)&lt;&gt;"Closed"),AND(ISNUMBER(AF35),AF35&lt;&gt;0,TRIM(U35)&lt;&gt;"Pass after CA"))),1,0),1)</f>
        <v>0</v>
      </c>
      <c r="AM35" s="61" t="n">
        <f aca="false">IF(LEFT(AH35,7)="INVALID",1,0)</f>
        <v>0</v>
      </c>
      <c r="AN35" s="61" t="n">
        <f aca="false">IF(AND(N35="Clarification required",AI35=1,AJ35=0),1,0)</f>
        <v>0</v>
      </c>
      <c r="AO35" s="61" t="str">
        <f aca="false">IF(AK35=1,SUM(AK$5:AK35),"")</f>
        <v/>
      </c>
      <c r="AP35" s="61" t="str">
        <f aca="false">IF(AL35=1,SUM(AL$5:AL35),"")</f>
        <v/>
      </c>
      <c r="AQ35" s="61" t="n">
        <v>0</v>
      </c>
      <c r="AR35" s="61" t="n">
        <v>0</v>
      </c>
      <c r="AS35" s="61" t="n">
        <v>0</v>
      </c>
      <c r="AT35" s="61" t="n">
        <v>0</v>
      </c>
      <c r="AU35" s="61" t="str">
        <f aca="false">SUBSTITUTE(SUBSTITUTE(SUBSTITUTE(SUBSTITUTE(SUBSTITUTE(SUBSTITUTE(SUBSTITUTE(SUBSTITUTE(SUBSTITUTE(SUBSTITUTE(SUBSTITUTE(SUBSTITUTE(SUBSTITUTE(SUBSTITUTE(SUBSTITUTE(SUBSTITUTE(LOWER(T35&amp;""),CHAR(10),""),CHAR(13),""),CHAR(9),""),CHAR(160),"")," ",""),".",""),"-",""),"/",""),"?",""),"_",""),",",""),"[",""),"]",""),"(",""),")",""),"*","")</f>
        <v/>
      </c>
      <c r="AV35" s="61" t="str">
        <f aca="false">SUBSTITUTE(SUBSTITUTE(SUBSTITUTE(SUBSTITUTE(SUBSTITUTE(SUBSTITUTE(SUBSTITUTE(SUBSTITUTE(SUBSTITUTE(SUBSTITUTE(SUBSTITUTE(SUBSTITUTE(SUBSTITUTE(SUBSTITUTE(SUBSTITUTE(SUBSTITUTE(LOWER(V35&amp;""),CHAR(10),""),CHAR(13),""),CHAR(9),""),CHAR(160),"")," ",""),".",""),"-",""),"/",""),"?",""),"_",""),",",""),"[",""),"]",""),"(",""),")",""),"*","")</f>
        <v/>
      </c>
      <c r="AW35" s="61" t="str">
        <f aca="false">SUBSTITUTE(SUBSTITUTE(SUBSTITUTE(SUBSTITUTE(SUBSTITUTE(SUBSTITUTE(SUBSTITUTE(SUBSTITUTE(SUBSTITUTE(SUBSTITUTE(SUBSTITUTE(SUBSTITUTE(SUBSTITUTE(SUBSTITUTE(SUBSTITUTE(SUBSTITUTE(LOWER(Z35&amp;""),CHAR(10),""),CHAR(13),""),CHAR(9),""),CHAR(160),"")," ",""),".",""),"-",""),"/",""),"?",""),"_",""),",",""),"[",""),"]",""),"(",""),")",""),"*","")</f>
        <v/>
      </c>
      <c r="AX35" s="61" t="str">
        <f aca="false">SUBSTITUTE(SUBSTITUTE(SUBSTITUTE(SUBSTITUTE(SUBSTITUTE(SUBSTITUTE(SUBSTITUTE(SUBSTITUTE(SUBSTITUTE(SUBSTITUTE(SUBSTITUTE(SUBSTITUTE(SUBSTITUTE(SUBSTITUTE(SUBSTITUTE(SUBSTITUTE(LOWER(AE35&amp;""),CHAR(10),""),CHAR(13),""),CHAR(9),""),CHAR(160),"")," ",""),".",""),"-",""),"/",""),"?",""),"_",""),",",""),"[",""),"]",""),"(",""),")",""),"*","")</f>
        <v/>
      </c>
      <c r="AY35" s="61" t="str">
        <f aca="false">SUBSTITUTE(SUBSTITUTE(SUBSTITUTE(SUBSTITUTE(SUBSTITUTE(SUBSTITUTE(SUBSTITUTE(SUBSTITUTE(SUBSTITUTE(SUBSTITUTE(SUBSTITUTE(SUBSTITUTE(SUBSTITUTE(SUBSTITUTE(SUBSTITUTE(SUBSTITUTE(LOWER(W35&amp;""),CHAR(10),""),CHAR(13),""),CHAR(9),""),CHAR(160),"")," ",""),".",""),"-",""),"/",""),"?",""),"_",""),",",""),"[",""),"]",""),"(",""),")",""),"*","")</f>
        <v/>
      </c>
      <c r="AZ35" s="61" t="str">
        <f aca="false">SUBSTITUTE(SUBSTITUTE(SUBSTITUTE(SUBSTITUTE(SUBSTITUTE(SUBSTITUTE(SUBSTITUTE(SUBSTITUTE(SUBSTITUTE(SUBSTITUTE(SUBSTITUTE(SUBSTITUTE(SUBSTITUTE(SUBSTITUTE(SUBSTITUTE(SUBSTITUTE(LOWER(AC35&amp;""),CHAR(10),""),CHAR(13),""),CHAR(9),""),CHAR(160),"")," ",""),".",""),"-",""),"/",""),"?",""),"_",""),",",""),"[",""),"]",""),"(",""),")",""),"*","")</f>
        <v/>
      </c>
      <c r="BA35" s="61" t="str">
        <f aca="false">SUBSTITUTE(SUBSTITUTE(SUBSTITUTE(SUBSTITUTE(SUBSTITUTE(SUBSTITUTE(SUBSTITUTE(SUBSTITUTE(SUBSTITUTE(SUBSTITUTE(SUBSTITUTE(SUBSTITUTE(SUBSTITUTE(SUBSTITUTE(SUBSTITUTE(SUBSTITUTE(LOWER(AA35&amp;""),CHAR(10),""),CHAR(13),""),CHAR(9),""),CHAR(160),"")," ",""),".",""),"-",""),"/",""),"?",""),"_",""),",",""),"[",""),"]",""),"(",""),")",""),"*","")</f>
        <v/>
      </c>
      <c r="BB35" s="61" t="str">
        <f aca="false">IF(AND(TRIM(U35)="Pass",ISNUMBER(AF35)),IF(AF35&lt;&gt;0,"INVALID – qty variance: use Fail or Pass after CA",""),"")&amp;IF(AND(TRIM(U35)="Pass after CA",ISNUMBER(AF35)),IF(AF35&lt;&gt;0,"INVALID – after the corrective action the actual qty must equal expected (update Actual)",""),"")&amp;IF(AND(TRIM(U35)="Pass",TRIM(AB35)&lt;&gt;"",TRIM(AB35)&lt;&gt;"Closed"),"INVALID – corrective action not closed: use Fail, then Pass after CA","")&amp;IF(AND(LEN(BA35)&gt;=2,ISNA(MATCH(LEFT(BA35,255),L_Placeholder,0)),TRIM(AB35)=""),"INVALID – CA status missing for the recorded corrective action","")&amp;IF(AND(TRIM(U35)="Pass after CA",OR(OR(LEN(BA35)&lt;5,ISNUMBER(MATCH(BA35,L_Placeholder,0))),TRIM(AB35)&lt;&gt;"Closed")),"INVALID – corrective action not recorded/closed","")</f>
        <v/>
      </c>
      <c r="BC35" s="61" t="str">
        <f aca="false">" "&amp;TRIM(SUBSTITUTE(SUBSTITUTE(SUBSTITUTE(SUBSTITUTE(SUBSTITUTE(SUBSTITUTE(SUBSTITUTE(SUBSTITUTE(SUBSTITUTE(SUBSTITUTE(SUBSTITUTE(SUBSTITUTE(SUBSTITUTE(SUBSTITUTE(SUBSTITUTE(SUBSTITUTE(SUBSTITUTE(SUBSTITUTE(SUBSTITUTE(SUBSTITUTE(SUBSTITUTE(SUBSTITUTE(SUBSTITUTE(SUBSTITUTE(LOWER(V35&amp;""),CHAR(10)," "),CHAR(13)," "),CHAR(9)," "),CHAR(160)," "),"."," "),","," "),"-"," "),"/"," "),"("," "),")"," "),":"," "),";"," "),"_"," "),"–"," "),"?"," "),"!"," "),"*"," "),"["," "),"]"," "),"'"," "),"#"," "),"+"," "),"&amp;"," "),"\"," "))&amp;" "</f>
        <v>  </v>
      </c>
      <c r="BD35" s="61" t="str">
        <f aca="false">" "&amp;TRIM(SUBSTITUTE(SUBSTITUTE(SUBSTITUTE(SUBSTITUTE(SUBSTITUTE(SUBSTITUTE(SUBSTITUTE(SUBSTITUTE(SUBSTITUTE(SUBSTITUTE(SUBSTITUTE(SUBSTITUTE(SUBSTITUTE(SUBSTITUTE(SUBSTITUTE(SUBSTITUTE(SUBSTITUTE(SUBSTITUTE(SUBSTITUTE(SUBSTITUTE(SUBSTITUTE(SUBSTITUTE(SUBSTITUTE(SUBSTITUTE(LOWER(Z35&amp;""),CHAR(10)," "),CHAR(13)," "),CHAR(9)," "),CHAR(160)," "),"."," "),","," "),"-"," "),"/"," "),"("," "),")"," "),":"," "),";"," "),"_"," "),"–"," "),"?"," "),"!"," "),"*"," "),"["," "),"]"," "),"'"," "),"#"," "),"+"," "),"&amp;"," "),"\"," "))&amp;" "</f>
        <v>  </v>
      </c>
      <c r="BE35" s="61" t="str">
        <f aca="false">" "&amp;TRIM(SUBSTITUTE(SUBSTITUTE(SUBSTITUTE(SUBSTITUTE(SUBSTITUTE(SUBSTITUTE(SUBSTITUTE(SUBSTITUTE(SUBSTITUTE(SUBSTITUTE(SUBSTITUTE(SUBSTITUTE(SUBSTITUTE(SUBSTITUTE(SUBSTITUTE(SUBSTITUTE(SUBSTITUTE(SUBSTITUTE(SUBSTITUTE(SUBSTITUTE(SUBSTITUTE(SUBSTITUTE(SUBSTITUTE(SUBSTITUTE(LOWER(W35&amp;""),CHAR(10)," "),CHAR(13)," "),CHAR(9)," "),CHAR(160)," "),"."," "),","," "),"-"," "),"/"," "),"("," "),")"," "),":"," "),";"," "),"_"," "),"–"," "),"?"," "),"!"," "),"*"," "),"["," "),"]"," "),"'"," "),"#"," "),"+"," "),"&amp;"," "),"\"," "))&amp;" "</f>
        <v>  </v>
      </c>
      <c r="BF35" s="61" t="str">
        <f aca="false">" "&amp;TRIM(SUBSTITUTE(SUBSTITUTE(SUBSTITUTE(SUBSTITUTE(SUBSTITUTE(SUBSTITUTE(SUBSTITUTE(SUBSTITUTE(SUBSTITUTE(SUBSTITUTE(SUBSTITUTE(SUBSTITUTE(SUBSTITUTE(SUBSTITUTE(SUBSTITUTE(SUBSTITUTE(SUBSTITUTE(SUBSTITUTE(SUBSTITUTE(SUBSTITUTE(SUBSTITUTE(SUBSTITUTE(SUBSTITUTE(SUBSTITUTE(LOWER(AC35&amp;""),CHAR(10)," "),CHAR(13)," "),CHAR(9)," "),CHAR(160)," "),"."," "),","," "),"-"," "),"/"," "),"("," "),")"," "),":"," "),";"," "),"_"," "),"–"," "),"?"," "),"!"," "),"*"," "),"["," "),"]"," "),"'"," "),"#"," "),"+"," "),"&amp;"," "),"\"," "))&amp;" "</f>
        <v>  </v>
      </c>
      <c r="BG35" s="61" t="n">
        <f aca="false">IFERROR(IF(AND(TRIM(U35)="Pass",SUMPRODUCT((LEN(BC35)-LEN(SUBSTITUTE(BC35," "&amp;L_ResultBad&amp;" "," ")))/(LEN(L_ResultBad)+1))&gt;SUMPRODUCT((LEN(BC35)-LEN(SUBSTITUTE(BC35," "&amp;L_NegPhrase&amp;" "," ")))/(LEN(L_NegPhrase)+1))),1,0),0)</f>
        <v>0</v>
      </c>
      <c r="BH35" s="61" t="n">
        <f aca="false">IFERROR(IF(SUMPRODUCT((LEN(BC35)-LEN(SUBSTITUTE(BC35," "&amp;L_Pending&amp;" "," ")))/(LEN(L_Pending)+1))&gt;SUMPRODUCT((LEN(BC35)-LEN(SUBSTITUTE(BC35," "&amp;L_PendNeg&amp;" "," ")))/(LEN(L_PendNeg)+1))+SUMPRODUCT((LEN(BC35)-LEN(SUBSTITUTE(BC35," "&amp;L_PendPrep&amp;" "," ")))/(LEN(L_PendPrep)+1)),1,0),1)</f>
        <v>0</v>
      </c>
      <c r="BI35" s="61" t="n">
        <f aca="false">IFERROR(IF(SUMPRODUCT((LEN(BD35)-LEN(SUBSTITUTE(BD35," "&amp;L_PendStrict&amp;" "," ")))/(LEN(L_PendStrict)+1))&gt;SUMPRODUCT((LEN(BD35)-LEN(SUBSTITUTE(BD35," "&amp;L_PendNeg&amp;" "," ")))/(LEN(L_PendNeg)+1)),1,0),1)</f>
        <v>0</v>
      </c>
      <c r="BJ35" s="61" t="n">
        <f aca="false">IFERROR(IF(SUMPRODUCT((LEN(BE35)-LEN(SUBSTITUTE(BE35," "&amp;L_Pending&amp;" "," ")))/(LEN(L_Pending)+1))&gt;SUMPRODUCT((LEN(BE35)-LEN(SUBSTITUTE(BE35," "&amp;L_PendNeg&amp;" "," ")))/(LEN(L_PendNeg)+1))+SUMPRODUCT((LEN(BE35)-LEN(SUBSTITUTE(BE35," "&amp;L_PendPrep&amp;" "," ")))/(LEN(L_PendPrep)+1)),1,0),1)</f>
        <v>0</v>
      </c>
      <c r="BK35" s="61" t="n">
        <f aca="false">IFERROR(IF(SUMPRODUCT((LEN(BF35)-LEN(SUBSTITUTE(BF35," "&amp;L_PendStrict&amp;" "," ")))/(LEN(L_PendStrict)+1))&gt;SUMPRODUCT((LEN(BF35)-LEN(SUBSTITUTE(BF35," "&amp;L_PendNeg&amp;" "," ")))/(LEN(L_PendNeg)+1)),1,0),1)</f>
        <v>0</v>
      </c>
      <c r="BL35" s="61" t="n">
        <f aca="false">IF(ISNA(MATCH(TRIM(S35),L_EvidenceType,0)),0,BZ35)</f>
        <v>0</v>
      </c>
      <c r="BM35" s="61" t="str">
        <f aca="false">SUBSTITUTE(SUBSTITUTE(SUBSTITUTE(SUBSTITUTE(SUBSTITUTE(SUBSTITUTE(SUBSTITUTE(SUBSTITUTE(SUBSTITUTE(LOWER(Z35&amp;""),"1","0"),"2","0"),"3","0"),"4","0"),"5","0"),"6","0"),"7","0"),"8","0"),"9","0")</f>
        <v/>
      </c>
      <c r="BN35" s="61" t="str">
        <f aca="false">SUBSTITUTE(SUBSTITUTE(SUBSTITUTE(SUBSTITUTE(SUBSTITUTE(SUBSTITUTE(SUBSTITUTE(SUBSTITUTE(SUBSTITUTE(SUBSTITUTE(SUBSTITUTE(SUBSTITUTE(SUBSTITUTE(SUBSTITUTE(SUBSTITUTE(SUBSTITUTE(SUBSTITUTE(SUBSTITUTE(SUBSTITUTE(SUBSTITUTE(SUBSTITUTE(SUBSTITUTE(SUBSTITUTE(SUBSTITUTE(SUBSTITUTE(BM35,"b","a"),"c","a"),"d","a"),"e","a"),"f","a"),"g","a"),"h","a"),"i","a"),"j","a"),"k","a"),"l","a"),"m","a"),"n","a"),"o","a"),"p","a"),"q","a"),"r","a"),"s","a"),"t","a"),"u","a"),"v","a"),"w","a"),"x","a"),"y","a"),"z","a")</f>
        <v/>
      </c>
      <c r="BO35" s="61" t="str">
        <f aca="false">SUBSTITUTE(SUBSTITUTE(SUBSTITUTE(SUBSTITUTE(SUBSTITUTE(SUBSTITUTE(SUBSTITUTE(SUBSTITUTE(SUBSTITUTE(LOWER(W35&amp;""),"1","0"),"2","0"),"3","0"),"4","0"),"5","0"),"6","0"),"7","0"),"8","0"),"9","0")</f>
        <v/>
      </c>
      <c r="BP35" s="61" t="str">
        <f aca="false">SUBSTITUTE(SUBSTITUTE(SUBSTITUTE(SUBSTITUTE(SUBSTITUTE(SUBSTITUTE(SUBSTITUTE(SUBSTITUTE(SUBSTITUTE(SUBSTITUTE(SUBSTITUTE(SUBSTITUTE(SUBSTITUTE(SUBSTITUTE(SUBSTITUTE(SUBSTITUTE(SUBSTITUTE(SUBSTITUTE(SUBSTITUTE(SUBSTITUTE(SUBSTITUTE(SUBSTITUTE(SUBSTITUTE(SUBSTITUTE(SUBSTITUTE(BO35,"b","a"),"c","a"),"d","a"),"e","a"),"f","a"),"g","a"),"h","a"),"i","a"),"j","a"),"k","a"),"l","a"),"m","a"),"n","a"),"o","a"),"p","a"),"q","a"),"r","a"),"s","a"),"t","a"),"u","a"),"v","a"),"w","a"),"x","a"),"y","a"),"z","a")</f>
        <v/>
      </c>
      <c r="BQ35" s="61" t="n">
        <f aca="false">IFERROR(IF(AND(ISERROR(SEARCH(" mh"," "&amp;LOWER(W35))),ISNA(MATCH(LEFT(TRIM(BP35),255),{"0000a","000a","00a","0000aa","000aa","00aa","0aa","0000aaa","000aaa","00a00","0a00","0000-0000","00:00","a00","a0","00.00.0000","00/00/0000","00-00-0000","0000-00-00","0000/00/00","0000.00.00","00.00.00","00/00/00","00-00-00","0.00.0000","0/00/0000","0-00-0000"},0)),ISNA(MATCH(LEFT(TRIM(CA35),255),{"0000a","000a","00a","0000aa","000aa","00aa","0aa","0000aaa","000aaa","00a00","0a00","0000-0000","00:00","a00","a0","00.00.0000","00/00/0000","00-00-0000","0000-00-00","0000/00/00","0000.00.00","00.00.00","00/00/00","00-00-00","0.00.0000","0/00/0000","0-00-0000"},0)),LEN(CB35)&gt;=3,NOT(OR(SUBSTITUTE(CB35,"0","")="",AND(LEN(CB35)&gt;=4,CB35=REPT(LEFT(CB35),LEN(CB35))),ISNUMBER(MATCH(CB35,{"123","1234","12345","123456","1234567","12345678","0123","01234","012345","98765","987654","54321"},0)),AND(LEN(CB35)=8,LEFT(CB35,3)="202"))),OR(AND((LEN(CA35)-LEN(SUBSTITUTE(CA35,"a","")))&gt;=1,SUMPRODUCT(--ISNUMBER(SEARCH({"a0","a-0","a_0","a/0","a.0","a#0","0a","0-a","0_a","0/a"},BP35)))&gt;0),ISNUMBER(SEARCH("000000",BP35)))),1,0),0)</f>
        <v>0</v>
      </c>
      <c r="BR35" s="61" t="n">
        <f aca="false">IFERROR(LEN(SUBSTITUTE(CC35," ",""))-SUMPRODUCT((LEN(CC35)-LEN(SUBSTITUTE(CC35," "&amp;L_Role&amp;" "," ")))/(LEN(L_Role)+1)*LEN(L_Role)),0)</f>
        <v>0</v>
      </c>
      <c r="BS35" s="61" t="n">
        <f aca="false">IFERROR(LEN(SUBSTITUTE(CD35," ",""))-SUMPRODUCT((LEN(CD35)-LEN(SUBSTITUTE(CD35," "&amp;L_Role&amp;" "," ")))/(LEN(L_Role)+1)*LEN(L_Role)),0)</f>
        <v>0</v>
      </c>
      <c r="BT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revision",""),"version",""),"jan",""),"feb",""),"mar",""),"apr",""),"may",""),"jun",""),"jul",""),"aug",""),"sep",""),"oct",""),"nov",""),"dec",""),"utc",""),"gmt",""),"myt",""),"bst",""),"rev",""),"ver",""),"b","a"),"c","a"),"d","a"),"e","a"),"f","a"),"g","a"),"h","a"),"i","a"),"j","a"),"k","a"),"l","a"),"m","a"),"n","a"),"o","a"),"p","a"),"q","a"),"r","a"),"s","a"),"t","a"),"u","a"),"v","a"),"w","a"),"x","a"),"y","a"),"z","a")</f>
        <v/>
      </c>
      <c r="BU35" s="61" t="str">
        <f aca="false">SUBSTITUTE(SUBSTITUTE(SUBSTITUTE(SUBSTITUTE(SUBSTITUTE(SUBSTITUTE(SUBSTITUTE(SUBSTITUTE(SUBSTITUTE(SUBSTITUTE(LEFT(BM35,FIND("0",BM35&amp;"0")-1),"-",""),"_",""),"/",""),".",""),"#",""),"\\",""),":","")," ",""),"(",""),")","")</f>
        <v/>
      </c>
      <c r="BV35" s="61" t="n">
        <f aca="false">0</f>
        <v>0</v>
      </c>
      <c r="BW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amp;""),"a",""),"b",""),"c",""),"d",""),"e",""),"f",""),"g",""),"h",""),"i",""),"j",""),"k",""),"l",""),"m",""),"n",""),"o",""),"p",""),"q",""),"r",""),"s",""),"t",""),"u",""),"v",""),"w",""),"x",""),"y",""),"z",""),"-",""),"_",""),"/",""),".",""),"#",""),"\\",""),":","")," ",""),"(",""),")","")</f>
        <v/>
      </c>
      <c r="BX35" s="61" t="str">
        <f aca="false">SUBSTITUTE(SUBSTITUTE(SUBSTITUTE(SUBSTITUTE(SUBSTITUTE(SUBSTITUTE(SUBSTITUTE(SUBSTITUTE(SUBSTITUTE(SUBSTITUTE(SUBSTITUTE(BM35,"0",""),"-",""),"_",""),"/",""),".",""),"#",""),"\\",""),":","")," ",""),"(",""),")","")</f>
        <v/>
      </c>
      <c r="BY35" s="62" t="n">
        <f aca="false">Q35-T7EarlyD*24/24</f>
        <v>46283.5763888889</v>
      </c>
      <c r="BZ35" s="61" t="n">
        <f aca="false">IFERROR(IF(IF(TRIM(S35)="Link / file path",AND(LEN(TRIM(Z35))&gt;=5,SUMPRODUCT(--ISNUMBER(SEARCH({"http","www.","\\",":\",".pdf",".jpg",".jpeg",".png",".heic",".xls",".doc",".msg",".eml",".ppt",".txt",".zip"},Z35)))&gt;0),AND(ISERROR(FIND(" ",TRIM(Z35))),NOT(OR(SUMPRODUCT(--ISNUMBER(FIND({",",";","&amp;","+"},Z35)))&gt;0,SUMPRODUCT(--ISNUMBER(SEARCH({"0/aa","0\\aa"},BN35)))&gt;0)),NOT(SUMPRODUCT(--ISNUMBER(SEARCH({"http","www.","\\",":\",".pdf",".jpg",".jpeg",".png",".heic",".xls",".doc",".msg",".eml",".ppt",".txt",".zip"},Z35)))&gt;0),NOT(LOWER(TRIM(Z35))=LOWER(Flights!$F$6)),ISNA(MATCH(BU35,{"mh","rev","revision","ver","version","v","r","a","b","seat","tray","row","gate","bay","stand","page","pg","item","line","no","cart","galley","flight","flt","table","box","bag","oven","etd","eta","std","sta","atd","ata","qty","pax","x","time","tel","ph","mob","day","wk","week","utc","gmt","myt","lt"},0)),NOT(OR(ISNUMBER(MATCH(LEFT(BN35,255),{"0000a","000a","00a","0000aa","000aa","00aa","0aa","0000aaa","000aaa","00a00","0a00","0000-0000","00:00","a00","a0","00.00.0000","00/00/0000","00-00-0000","0000-00-00","0000/00/00","0000.00.00","00.00.00","00/00/00","00-00-00","0.00.0000","0/00/0000","0-00-0000"},0)),ISNUMBER(MATCH(LEFT(BT35,255),{"0000a","000a","00a","0000aa","000aa","00aa","0aa","0000aaa","000aaa","00a00","0a00","0000-0000","00:00","a00","a0","00.00.0000","00/00/0000","00-00-0000","0000-00-00","0000/00/00","0000.00.00","00.00.00","00/00/00","00-00-00","0.00.0000","0/00/0000","0-00-0000"},0)))),NOT(OR(AND(BW35&lt;&gt;"",SUBSTITUTE(BW35,"0","")=""),AND(LEN(BW35)&gt;=4,BW35=REPT(LEFT(BW35),LEN(BW35))),ISNUMBER(MATCH(BW35,{"123","1234","12345","123456","1234567","12345678","0123","01234","012345","98765","987654","54321"},0)),ISNUMBER(MATCH(BX35,{"x","xx","xxx","xxxx","xxxxx","abc","abcd","nil","na","nan","test","tbc","tba","tbd","dummy","sample","example","eg","zz","zzz","none","null","xyz","qwe","asd","id","ref"},0)),AND(LEN(BW35)=8,BX35="",OR(LEFT(BW35,3)="202",ISNUMBER(MATCH(RIGHT(BW35,4),{"2025","2026","2027"},0)))))),OR(AND((LEN(BT35)-LEN(SUBSTITUTE(BT35,"a","")))&gt;=1,(LEN(BN35)-LEN(SUBSTITUTE(BN35,"0","")))&gt;=2,SUMPRODUCT(--ISNUMBER(SEARCH({"a0","a-0","a_0","a/0","a.0","a#0","0a","0-a","0_a","0/a"},BN35)))&gt;0),AND((LEN(BN35)-LEN(SUBSTITUTE(BN35,"a","")))=0,(LEN(BN35)-LEN(SUBSTITUTE(BN35,"0","")))&gt;=5)))),1,0),0)</f>
        <v>0</v>
      </c>
      <c r="CA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revision",""),"version",""),"jan",""),"feb",""),"mar",""),"apr",""),"may",""),"jun",""),"jul",""),"aug",""),"sep",""),"oct",""),"nov",""),"dec",""),"utc",""),"gmt",""),"myt",""),"bst",""),"rev",""),"ver",""),"b","a"),"c","a"),"d","a"),"e","a"),"f","a"),"g","a"),"h","a"),"i","a"),"j","a"),"k","a"),"l","a"),"m","a"),"n","a"),"o","a"),"p","a"),"q","a"),"r","a"),"s","a"),"t","a"),"u","a"),"v","a"),"w","a"),"x","a"),"y","a"),"z","a")</f>
        <v/>
      </c>
      <c r="CB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amp;""),"a",""),"b",""),"c",""),"d",""),"e",""),"f",""),"g",""),"h",""),"i",""),"j",""),"k",""),"l",""),"m",""),"n",""),"o",""),"p",""),"q",""),"r",""),"s",""),"t",""),"u",""),"v",""),"w",""),"x",""),"y",""),"z",""),"-",""),"_",""),"/",""),".",""),"#",""),"\\",""),":","")," ",""),"(",""),")","")</f>
        <v/>
      </c>
      <c r="CC35" s="0" t="str">
        <f aca="false">" "&amp;TRIM(SUBSTITUTE(SUBSTITUTE(SUBSTITUTE(SUBSTITUTE(SUBSTITUTE(SUBSTITUTE(SUBSTITUTE(SUBSTITUTE(SUBSTITUTE(SUBSTITUTE(SUBSTITUTE(SUBSTITUTE(SUBSTITUTE(SUBSTITUTE(SUBSTITUTE(SUBSTITUTE(SUBSTITUTE(SUBSTITUTE(SUBSTITUTE(SUBSTITUTE(SUBSTITUTE(SUBSTITUTE(SUBSTITUTE(SUBSTITUTE(LOWER(T35&amp;""),CHAR(10)," "),CHAR(13)," "),CHAR(9)," "),CHAR(160)," "),"."," "),","," "),"-"," "),"/"," "),"("," "),")"," "),":"," "),";"," "),"_"," "),"–"," "),"?"," "),"!"," "),"*"," "),"["," "),"]"," "),"'"," "),"#"," "),"+"," "),"&amp;"," "),"\"," "))&amp;" "</f>
        <v>  </v>
      </c>
      <c r="CD35" s="0" t="str">
        <f aca="false">" "&amp;TRIM(SUBSTITUTE(SUBSTITUTE(SUBSTITUTE(SUBSTITUTE(SUBSTITUTE(SUBSTITUTE(SUBSTITUTE(SUBSTITUTE(SUBSTITUTE(SUBSTITUTE(SUBSTITUTE(SUBSTITUTE(SUBSTITUTE(SUBSTITUTE(SUBSTITUTE(SUBSTITUTE(SUBSTITUTE(SUBSTITUTE(SUBSTITUTE(SUBSTITUTE(SUBSTITUTE(SUBSTITUTE(SUBSTITUTE(SUBSTITUTE(LOWER(AE35&amp;""),CHAR(10)," "),CHAR(13)," "),CHAR(9)," "),CHAR(160)," "),"."," "),","," "),"-"," "),"/"," "),"("," "),")"," "),":"," "),";"," "),"_"," "),"–"," "),"?"," "),"!"," "),"*"," "),"["," "),"]"," "),"'"," "),"#"," "),"+"," "),"&amp;"," "),"\"," "))&amp;" "</f>
        <v>  </v>
      </c>
      <c r="CE35" s="68" t="n">
        <f aca="false">IFERROR(IF(AND(LEN(AU35)&gt;0,LEN(AU35)=LEN(AX35),OR(TRIM(MID(SUBSTITUTE(TRIM(CC35)," ",REPT(" ",60)),1,60))="",ISNUMBER(SEARCH(" "&amp;TRIM(MID(SUBSTITUTE(TRIM(CC35)," ",REPT(" ",60)),1,60))&amp;" ",CD35))),OR(TRIM(MID(SUBSTITUTE(TRIM(CC35)," ",REPT(" ",60)),61,60))="",ISNUMBER(SEARCH(" "&amp;TRIM(MID(SUBSTITUTE(TRIM(CC35)," ",REPT(" ",60)),61,60))&amp;" ",CD35))),OR(TRIM(MID(SUBSTITUTE(TRIM(CC35)," ",REPT(" ",60)),121,60))="",ISNUMBER(SEARCH(" "&amp;TRIM(MID(SUBSTITUTE(TRIM(CC35)," ",REPT(" ",60)),121,60))&amp;" ",CD35)))),1,0),0)</f>
        <v>0</v>
      </c>
      <c r="CG35" s="68" t="n">
        <f aca="false">IFERROR(LEN(SUBSTITUTE(BF35," ",""))-SUMPRODUCT((LEN(BF35)-LEN(SUBSTITUTE(BF35," "&amp;L_NAFiller&amp;" "," ")))/(LEN(L_NAFiller)+1)*LEN(L_NAFiller)),0)</f>
        <v>0</v>
      </c>
    </row>
    <row r="36" customFormat="false" ht="39.75" hidden="false" customHeight="true" outlineLevel="0" collapsed="false">
      <c r="A36" s="57" t="s">
        <v>479</v>
      </c>
      <c r="B36" s="57" t="s">
        <v>198</v>
      </c>
      <c r="C36" s="57" t="str">
        <f aca="false">Flights!$F$6</f>
        <v>MH0727</v>
      </c>
      <c r="D36" s="58" t="n">
        <f aca="false">Flights!$D$6</f>
        <v>46304</v>
      </c>
      <c r="E36" s="57" t="str">
        <f aca="false">Flights!$G$6&amp;"-"&amp;Flights!$H$6</f>
        <v>KUL-CGK</v>
      </c>
      <c r="F36" s="57" t="str">
        <f aca="false">Flights!$K$6</f>
        <v>BC</v>
      </c>
      <c r="G36" s="57" t="s">
        <v>81</v>
      </c>
      <c r="H36" s="57" t="s">
        <v>378</v>
      </c>
      <c r="I36" s="57" t="s">
        <v>405</v>
      </c>
      <c r="J36" s="57" t="s">
        <v>406</v>
      </c>
      <c r="K36" s="67" t="s">
        <v>407</v>
      </c>
      <c r="L36" s="67" t="s">
        <v>382</v>
      </c>
      <c r="M36" s="67"/>
      <c r="N36" s="67" t="s">
        <v>383</v>
      </c>
      <c r="O36" s="67"/>
      <c r="P36" s="57" t="s">
        <v>187</v>
      </c>
      <c r="Q36" s="59" t="n">
        <f aca="false">ROUND((Flights!$AC$6)*1440,0)/1440</f>
        <v>46297.5763888889</v>
      </c>
      <c r="R36" s="59" t="n">
        <f aca="false">Q36+(IF(AND(INDEX(TZ_DSTS,MATCH(P36,TZ_STN,0))&lt;&gt;"",Q36&gt;=INDEX(TZ_DSTS,MATCH(P36,TZ_STN,0)),Q36&lt;INDEX(TZ_DSTE,MATCH(P36,TZ_STN,0))),INDEX(TZ_DST,MATCH(P36,TZ_STN,0)),INDEX(TZ_STD,MATCH(P36,TZ_STN,0))))/24</f>
        <v>46297.9097222222</v>
      </c>
      <c r="S36" s="60"/>
      <c r="T36" s="60"/>
      <c r="U36" s="60"/>
      <c r="V36" s="60"/>
      <c r="W36" s="61"/>
      <c r="X36" s="60"/>
      <c r="Y36" s="60"/>
      <c r="Z36" s="60"/>
      <c r="AA36" s="60"/>
      <c r="AB36" s="60"/>
      <c r="AC36" s="60"/>
      <c r="AD36" s="66"/>
      <c r="AE36" s="60"/>
      <c r="AF36" s="61" t="str">
        <f aca="false">IF(AND(ISNUMBER(X36),ISNUMBER(Y36)),Y36-X36,"")</f>
        <v/>
      </c>
      <c r="AG36" s="62" t="str">
        <f aca="false">IF(ISNUMBER(AD36),AD36-(IF(AND(INDEX(TZ_DSTS,MATCH(P36,TZ_STN,0))&lt;&gt;"",(AD36-INDEX(TZ_STD,MATCH(P36,TZ_STN,0))/24)&gt;=INDEX(TZ_DSTS,MATCH(P36,TZ_STN,0)),(AD36-INDEX(TZ_STD,MATCH(P36,TZ_STN,0))/24)&lt;INDEX(TZ_DSTE,MATCH(P36,TZ_STN,0))),INDEX(TZ_DST,MATCH(P36,TZ_STN,0)),INDEX(TZ_STD,MATCH(P36,TZ_STN,0))))/24,"")</f>
        <v/>
      </c>
      <c r="AH36" s="65" t="str">
        <f aca="false">IFERROR(IF(N36="N/A – rule",IF(OR(TRIM(U36)="",TRIM(U36)="N/A",TRIM(U36)="Not started"),"N/A – RULE","INVALID – this check does not apply to this aircraft: clear the status (or correct the fleet on Flights)"),IF(TRIM(U36)="N/A",IF(AT36=0,"INVALID – N/A not permitted for this check",IF(AND(TRIM(AB36)&lt;&gt;"",TRIM(AB36)&lt;&gt;"Closed"),"INVALID – corrective action still open",IF(AND(NOT(OR(LEN(AZ36)&lt;15,ISNUMBER(MATCH(AZ36,L_Placeholder,0)))),BK36=0,CG36&gt;=8,NOT(OR(LEN(AU36)&lt;2,ISNUMBER(MATCH(AU36,L_Placeholder,0)))),BR36&gt;=3,NOT(OR(LEN(AX36)&lt;2,ISNUMBER(MATCH(AX36,L_Placeholder,0)))),BS36&gt;=3,TRIM(AE36)&lt;&gt;TRIM(T36),AX36&lt;&gt;AU36,CE36=0),"N/A – JUSTIFIED","INVALID – N/A needs a real, settled reason (not 'not applicable' / 'as above' / TBC), a named PIC and a different named verifier"))),IF(OR(TRIM(U36)="Pass",TRIM(U36)="Pass after CA"),IF(NOT(ISNUMBER(AD36)),"INVALID – completion time missing",IF(OR(OR(LEN(AU36)&lt;2,ISNUMBER(MATCH(AU36,L_Placeholder,0))),BR36&lt;3),"INVALID – PIC missing or not a named person (a role such as QA / CSM is not a name)",IF(OR(LEN(AV36)&lt;2,ISNUMBER(MATCH(AV36,L_Placeholder,0))),"INVALID – result / assessment missing",IF(OR(OR(LEN(AW36)&lt;3,ISNUMBER(MATCH(AW36,L_Placeholder,0))),SUMPRODUCT(--ISNUMBER(SEARCH(" "&amp;L_EvidencePhrase&amp;" ",BD36)))&gt;0,BI36=1),"INVALID – evidence missing, placeholder or not yet on file",IF(ISNA(MATCH(TRIM(S36),L_EvidenceType,0)),"INVALID – choose the evidence type from the list (column S)",IF(BL36=0,"INVALID – evidence ID must be the record's own ID only (e.g. SF-2210, IMG_2231, 1045521); a link / file name needs type 'Link / file path'",IF(OR(OR(LEN(AX36)&lt;2,ISNUMBER(MATCH(AX36,L_Placeholder,0))),BS36&lt;3),"INVALID – verifier missing or not a named person (a role such as QA / CSM is not a name)",IF(OR(AX36=AU36,CE36=1,AND(LEN(AU36)&gt;=4,ISNUMBER(SEARCH(AU36,AX36))),AND(LEN(AX36)&gt;=4,ISNUMBER(SEARCH(AX36,AU36)))),"INVALID – verifier must be a different, named person (not the PIC or a role)",IF(BH36=1,"INVALID – result not yet available (awaiting / TBC)",IF(BG36=1,"INVALID – result describes a problem: record Fail, then Pass after CA (or reword if it is not a problem)",IF(BV36=1,"INVALID – wording says not on board: an on-board confirmation needs the item loaded",IF(AND(AQ36=1,OR(OR(LEN(AY36)&lt;3,ISNUMBER(MATCH(AY36,L_Placeholder,0))),BJ36=1,BQ36=0)),"INVALID – batch ID missing, placeholder or not an ID (e.g. PASB-261008-BC-017)",IF(AND(AR36=1,OR(NOT(ISNUMBER(X36)),NOT(ISNUMBER(Y36)))),"INVALID – expected/actual qty missing",IF(AND(AR36=1,OR(X36&lt;=0,Y36&lt;0)),"INVALID – expected qty must be above 0 and actual not negative",IF(BB36&lt;&gt;"",BB36,IF(AND(AS36=1,Documents!$J$6&lt;&gt;"ON FILE"),"INVALID – GLD not on file (Documents sheet)",IF(AND(AS36=2,Documents!$O$6&lt;&gt;"ON FILE"),"INVALID – menu checklist not on file (Documents sheet)",IF(AND(AS36=3,NOT(ISNUMBER(Flights!$AX$6))),"INVALID – enter carrying flight KUL departure (Flights AX)",IF(AND(AS36=3,OR(Flights!$AZ$6&gt;Flights!$AA$6,Flights!$AX$6&lt;Flights!$AA$6-3)),"INVALID – carrying flight (Flights AX) cannot arrive before this leg's STD, or is over 3 days early",IF(AG36&gt;AsOfUTC,"INVALID – completion time is in the future",IF(AND(ISNUMBER(BY36),AG36&lt;BY36),IF(H36="Physical uplift","INVALID – before uplift window (cannot confirm loading)","INVALID – before valid window"),IF(AG36&gt;Flights!$AA$6,"INVALID – completed after departure (cannot establish readiness)",IF(AND(H36="Preparation",AG36&gt;=IF(ISNUMBER(Flights!$BA$6),MIN(Flights!$BA$6,Flights!$AA$6),Flights!$AA$6)),"INVALID – completed after loading / departure (cannot establish readiness)",IF(AND(H36="Physical uplift",AG36&gt;Q36),"INVALID – recorded after the loading flight departed",IF(AG36&gt;Q36,"COMPLETE – LATE","COMPLETE"))))))))))))))))))))))))),IF(TRIM(U36)="Fail","FAIL – DISCREPANCY",IF(AND(TRIM(U36)&lt;&gt;"",TRIM(U36)&lt;&gt;"Not started",TRIM(U36)&lt;&gt;"In progress"),"INVALID – unrecognised status (use the list)",IF(AsOfUTC&gt;Q36,"OVERDUE",IF(N36="Clarification required","OPEN – CLARIFICATION","OPEN"))))))),"INVALID – error value in an input cell")</f>
        <v>OPEN</v>
      </c>
      <c r="AI36" s="61" t="n">
        <f aca="false">IF(OR(AH36="N/A – RULE",AH36="N/A – JUSTIFIED"),0,1)</f>
        <v>1</v>
      </c>
      <c r="AJ36" s="61" t="n">
        <f aca="false">IF(LEFT(AH36,8)="COMPLETE",1,0)</f>
        <v>0</v>
      </c>
      <c r="AK36" s="61" t="n">
        <f aca="false">IF(AND(AI36=1,AJ36=0,AsOfUTC&gt;Q36),1,0)</f>
        <v>0</v>
      </c>
      <c r="AL36" s="61" t="n">
        <f aca="false">IFERROR(IF(AND(AI36=1,OR(TRIM(U36)="Fail",AND(TRIM(AB36)&lt;&gt;"",TRIM(AB36)&lt;&gt;"Closed"),AND(ISNUMBER(AF36),AF36&lt;&gt;0,TRIM(U36)&lt;&gt;"Pass after CA"))),1,0),1)</f>
        <v>0</v>
      </c>
      <c r="AM36" s="61" t="n">
        <f aca="false">IF(LEFT(AH36,7)="INVALID",1,0)</f>
        <v>0</v>
      </c>
      <c r="AN36" s="61" t="n">
        <f aca="false">IF(AND(N36="Clarification required",AI36=1,AJ36=0),1,0)</f>
        <v>0</v>
      </c>
      <c r="AO36" s="61" t="str">
        <f aca="false">IF(AK36=1,SUM(AK$5:AK36),"")</f>
        <v/>
      </c>
      <c r="AP36" s="61" t="str">
        <f aca="false">IF(AL36=1,SUM(AL$5:AL36),"")</f>
        <v/>
      </c>
      <c r="AQ36" s="61" t="n">
        <v>0</v>
      </c>
      <c r="AR36" s="61" t="n">
        <v>0</v>
      </c>
      <c r="AS36" s="61" t="n">
        <v>1</v>
      </c>
      <c r="AT36" s="61" t="n">
        <v>0</v>
      </c>
      <c r="AU36" s="61" t="str">
        <f aca="false">SUBSTITUTE(SUBSTITUTE(SUBSTITUTE(SUBSTITUTE(SUBSTITUTE(SUBSTITUTE(SUBSTITUTE(SUBSTITUTE(SUBSTITUTE(SUBSTITUTE(SUBSTITUTE(SUBSTITUTE(SUBSTITUTE(SUBSTITUTE(SUBSTITUTE(SUBSTITUTE(LOWER(T36&amp;""),CHAR(10),""),CHAR(13),""),CHAR(9),""),CHAR(160),"")," ",""),".",""),"-",""),"/",""),"?",""),"_",""),",",""),"[",""),"]",""),"(",""),")",""),"*","")</f>
        <v/>
      </c>
      <c r="AV36" s="61" t="str">
        <f aca="false">SUBSTITUTE(SUBSTITUTE(SUBSTITUTE(SUBSTITUTE(SUBSTITUTE(SUBSTITUTE(SUBSTITUTE(SUBSTITUTE(SUBSTITUTE(SUBSTITUTE(SUBSTITUTE(SUBSTITUTE(SUBSTITUTE(SUBSTITUTE(SUBSTITUTE(SUBSTITUTE(LOWER(V36&amp;""),CHAR(10),""),CHAR(13),""),CHAR(9),""),CHAR(160),"")," ",""),".",""),"-",""),"/",""),"?",""),"_",""),",",""),"[",""),"]",""),"(",""),")",""),"*","")</f>
        <v/>
      </c>
      <c r="AW36" s="61" t="str">
        <f aca="false">SUBSTITUTE(SUBSTITUTE(SUBSTITUTE(SUBSTITUTE(SUBSTITUTE(SUBSTITUTE(SUBSTITUTE(SUBSTITUTE(SUBSTITUTE(SUBSTITUTE(SUBSTITUTE(SUBSTITUTE(SUBSTITUTE(SUBSTITUTE(SUBSTITUTE(SUBSTITUTE(LOWER(Z36&amp;""),CHAR(10),""),CHAR(13),""),CHAR(9),""),CHAR(160),"")," ",""),".",""),"-",""),"/",""),"?",""),"_",""),",",""),"[",""),"]",""),"(",""),")",""),"*","")</f>
        <v/>
      </c>
      <c r="AX36" s="61" t="str">
        <f aca="false">SUBSTITUTE(SUBSTITUTE(SUBSTITUTE(SUBSTITUTE(SUBSTITUTE(SUBSTITUTE(SUBSTITUTE(SUBSTITUTE(SUBSTITUTE(SUBSTITUTE(SUBSTITUTE(SUBSTITUTE(SUBSTITUTE(SUBSTITUTE(SUBSTITUTE(SUBSTITUTE(LOWER(AE36&amp;""),CHAR(10),""),CHAR(13),""),CHAR(9),""),CHAR(160),"")," ",""),".",""),"-",""),"/",""),"?",""),"_",""),",",""),"[",""),"]",""),"(",""),")",""),"*","")</f>
        <v/>
      </c>
      <c r="AY36" s="61" t="str">
        <f aca="false">SUBSTITUTE(SUBSTITUTE(SUBSTITUTE(SUBSTITUTE(SUBSTITUTE(SUBSTITUTE(SUBSTITUTE(SUBSTITUTE(SUBSTITUTE(SUBSTITUTE(SUBSTITUTE(SUBSTITUTE(SUBSTITUTE(SUBSTITUTE(SUBSTITUTE(SUBSTITUTE(LOWER(W36&amp;""),CHAR(10),""),CHAR(13),""),CHAR(9),""),CHAR(160),"")," ",""),".",""),"-",""),"/",""),"?",""),"_",""),",",""),"[",""),"]",""),"(",""),")",""),"*","")</f>
        <v/>
      </c>
      <c r="AZ36" s="61" t="str">
        <f aca="false">SUBSTITUTE(SUBSTITUTE(SUBSTITUTE(SUBSTITUTE(SUBSTITUTE(SUBSTITUTE(SUBSTITUTE(SUBSTITUTE(SUBSTITUTE(SUBSTITUTE(SUBSTITUTE(SUBSTITUTE(SUBSTITUTE(SUBSTITUTE(SUBSTITUTE(SUBSTITUTE(LOWER(AC36&amp;""),CHAR(10),""),CHAR(13),""),CHAR(9),""),CHAR(160),"")," ",""),".",""),"-",""),"/",""),"?",""),"_",""),",",""),"[",""),"]",""),"(",""),")",""),"*","")</f>
        <v/>
      </c>
      <c r="BA36" s="61" t="str">
        <f aca="false">SUBSTITUTE(SUBSTITUTE(SUBSTITUTE(SUBSTITUTE(SUBSTITUTE(SUBSTITUTE(SUBSTITUTE(SUBSTITUTE(SUBSTITUTE(SUBSTITUTE(SUBSTITUTE(SUBSTITUTE(SUBSTITUTE(SUBSTITUTE(SUBSTITUTE(SUBSTITUTE(LOWER(AA36&amp;""),CHAR(10),""),CHAR(13),""),CHAR(9),""),CHAR(160),"")," ",""),".",""),"-",""),"/",""),"?",""),"_",""),",",""),"[",""),"]",""),"(",""),")",""),"*","")</f>
        <v/>
      </c>
      <c r="BB36" s="61" t="str">
        <f aca="false">IF(AND(TRIM(U36)="Pass",ISNUMBER(AF36)),IF(AF36&lt;&gt;0,"INVALID – qty variance: use Fail or Pass after CA",""),"")&amp;IF(AND(TRIM(U36)="Pass after CA",ISNUMBER(AF36)),IF(AF36&lt;&gt;0,"INVALID – after the corrective action the actual qty must equal expected (update Actual)",""),"")&amp;IF(AND(TRIM(U36)="Pass",TRIM(AB36)&lt;&gt;"",TRIM(AB36)&lt;&gt;"Closed"),"INVALID – corrective action not closed: use Fail, then Pass after CA","")&amp;IF(AND(LEN(BA36)&gt;=2,ISNA(MATCH(LEFT(BA36,255),L_Placeholder,0)),TRIM(AB36)=""),"INVALID – CA status missing for the recorded corrective action","")&amp;IF(AND(TRIM(U36)="Pass after CA",OR(OR(LEN(BA36)&lt;5,ISNUMBER(MATCH(BA36,L_Placeholder,0))),TRIM(AB36)&lt;&gt;"Closed")),"INVALID – corrective action not recorded/closed","")</f>
        <v/>
      </c>
      <c r="BC36" s="61" t="str">
        <f aca="false">" "&amp;TRIM(SUBSTITUTE(SUBSTITUTE(SUBSTITUTE(SUBSTITUTE(SUBSTITUTE(SUBSTITUTE(SUBSTITUTE(SUBSTITUTE(SUBSTITUTE(SUBSTITUTE(SUBSTITUTE(SUBSTITUTE(SUBSTITUTE(SUBSTITUTE(SUBSTITUTE(SUBSTITUTE(SUBSTITUTE(SUBSTITUTE(SUBSTITUTE(SUBSTITUTE(SUBSTITUTE(SUBSTITUTE(SUBSTITUTE(SUBSTITUTE(LOWER(V36&amp;""),CHAR(10)," "),CHAR(13)," "),CHAR(9)," "),CHAR(160)," "),"."," "),","," "),"-"," "),"/"," "),"("," "),")"," "),":"," "),";"," "),"_"," "),"–"," "),"?"," "),"!"," "),"*"," "),"["," "),"]"," "),"'"," "),"#"," "),"+"," "),"&amp;"," "),"\"," "))&amp;" "</f>
        <v>  </v>
      </c>
      <c r="BD36" s="61" t="str">
        <f aca="false">" "&amp;TRIM(SUBSTITUTE(SUBSTITUTE(SUBSTITUTE(SUBSTITUTE(SUBSTITUTE(SUBSTITUTE(SUBSTITUTE(SUBSTITUTE(SUBSTITUTE(SUBSTITUTE(SUBSTITUTE(SUBSTITUTE(SUBSTITUTE(SUBSTITUTE(SUBSTITUTE(SUBSTITUTE(SUBSTITUTE(SUBSTITUTE(SUBSTITUTE(SUBSTITUTE(SUBSTITUTE(SUBSTITUTE(SUBSTITUTE(SUBSTITUTE(LOWER(Z36&amp;""),CHAR(10)," "),CHAR(13)," "),CHAR(9)," "),CHAR(160)," "),"."," "),","," "),"-"," "),"/"," "),"("," "),")"," "),":"," "),";"," "),"_"," "),"–"," "),"?"," "),"!"," "),"*"," "),"["," "),"]"," "),"'"," "),"#"," "),"+"," "),"&amp;"," "),"\"," "))&amp;" "</f>
        <v>  </v>
      </c>
      <c r="BE36" s="61" t="str">
        <f aca="false">" "&amp;TRIM(SUBSTITUTE(SUBSTITUTE(SUBSTITUTE(SUBSTITUTE(SUBSTITUTE(SUBSTITUTE(SUBSTITUTE(SUBSTITUTE(SUBSTITUTE(SUBSTITUTE(SUBSTITUTE(SUBSTITUTE(SUBSTITUTE(SUBSTITUTE(SUBSTITUTE(SUBSTITUTE(SUBSTITUTE(SUBSTITUTE(SUBSTITUTE(SUBSTITUTE(SUBSTITUTE(SUBSTITUTE(SUBSTITUTE(SUBSTITUTE(LOWER(W36&amp;""),CHAR(10)," "),CHAR(13)," "),CHAR(9)," "),CHAR(160)," "),"."," "),","," "),"-"," "),"/"," "),"("," "),")"," "),":"," "),";"," "),"_"," "),"–"," "),"?"," "),"!"," "),"*"," "),"["," "),"]"," "),"'"," "),"#"," "),"+"," "),"&amp;"," "),"\"," "))&amp;" "</f>
        <v>  </v>
      </c>
      <c r="BF36" s="61" t="str">
        <f aca="false">" "&amp;TRIM(SUBSTITUTE(SUBSTITUTE(SUBSTITUTE(SUBSTITUTE(SUBSTITUTE(SUBSTITUTE(SUBSTITUTE(SUBSTITUTE(SUBSTITUTE(SUBSTITUTE(SUBSTITUTE(SUBSTITUTE(SUBSTITUTE(SUBSTITUTE(SUBSTITUTE(SUBSTITUTE(SUBSTITUTE(SUBSTITUTE(SUBSTITUTE(SUBSTITUTE(SUBSTITUTE(SUBSTITUTE(SUBSTITUTE(SUBSTITUTE(LOWER(AC36&amp;""),CHAR(10)," "),CHAR(13)," "),CHAR(9)," "),CHAR(160)," "),"."," "),","," "),"-"," "),"/"," "),"("," "),")"," "),":"," "),";"," "),"_"," "),"–"," "),"?"," "),"!"," "),"*"," "),"["," "),"]"," "),"'"," "),"#"," "),"+"," "),"&amp;"," "),"\"," "))&amp;" "</f>
        <v>  </v>
      </c>
      <c r="BG36" s="61" t="n">
        <f aca="false">IFERROR(IF(AND(TRIM(U36)="Pass",SUMPRODUCT((LEN(BC36)-LEN(SUBSTITUTE(BC36," "&amp;L_ResultBad&amp;" "," ")))/(LEN(L_ResultBad)+1))&gt;SUMPRODUCT((LEN(BC36)-LEN(SUBSTITUTE(BC36," "&amp;L_NegPhrase&amp;" "," ")))/(LEN(L_NegPhrase)+1))),1,0),0)</f>
        <v>0</v>
      </c>
      <c r="BH36" s="61" t="n">
        <f aca="false">IFERROR(IF(SUMPRODUCT((LEN(BC36)-LEN(SUBSTITUTE(BC36," "&amp;L_Pending&amp;" "," ")))/(LEN(L_Pending)+1))&gt;SUMPRODUCT((LEN(BC36)-LEN(SUBSTITUTE(BC36," "&amp;L_PendNeg&amp;" "," ")))/(LEN(L_PendNeg)+1))+SUMPRODUCT((LEN(BC36)-LEN(SUBSTITUTE(BC36," "&amp;L_PendPrep&amp;" "," ")))/(LEN(L_PendPrep)+1)),1,0),1)</f>
        <v>0</v>
      </c>
      <c r="BI36" s="61" t="n">
        <f aca="false">IFERROR(IF(SUMPRODUCT((LEN(BD36)-LEN(SUBSTITUTE(BD36," "&amp;L_PendStrict&amp;" "," ")))/(LEN(L_PendStrict)+1))&gt;SUMPRODUCT((LEN(BD36)-LEN(SUBSTITUTE(BD36," "&amp;L_PendNeg&amp;" "," ")))/(LEN(L_PendNeg)+1)),1,0),1)</f>
        <v>0</v>
      </c>
      <c r="BJ36" s="61" t="n">
        <f aca="false">IFERROR(IF(SUMPRODUCT((LEN(BE36)-LEN(SUBSTITUTE(BE36," "&amp;L_Pending&amp;" "," ")))/(LEN(L_Pending)+1))&gt;SUMPRODUCT((LEN(BE36)-LEN(SUBSTITUTE(BE36," "&amp;L_PendNeg&amp;" "," ")))/(LEN(L_PendNeg)+1))+SUMPRODUCT((LEN(BE36)-LEN(SUBSTITUTE(BE36," "&amp;L_PendPrep&amp;" "," ")))/(LEN(L_PendPrep)+1)),1,0),1)</f>
        <v>0</v>
      </c>
      <c r="BK36" s="61" t="n">
        <f aca="false">IFERROR(IF(SUMPRODUCT((LEN(BF36)-LEN(SUBSTITUTE(BF36," "&amp;L_PendStrict&amp;" "," ")))/(LEN(L_PendStrict)+1))&gt;SUMPRODUCT((LEN(BF36)-LEN(SUBSTITUTE(BF36," "&amp;L_PendNeg&amp;" "," ")))/(LEN(L_PendNeg)+1)),1,0),1)</f>
        <v>0</v>
      </c>
      <c r="BL36" s="61" t="n">
        <f aca="false">IF(ISNA(MATCH(TRIM(S36),L_EvidenceType,0)),0,BZ36)</f>
        <v>0</v>
      </c>
      <c r="BM36" s="61" t="str">
        <f aca="false">SUBSTITUTE(SUBSTITUTE(SUBSTITUTE(SUBSTITUTE(SUBSTITUTE(SUBSTITUTE(SUBSTITUTE(SUBSTITUTE(SUBSTITUTE(LOWER(Z36&amp;""),"1","0"),"2","0"),"3","0"),"4","0"),"5","0"),"6","0"),"7","0"),"8","0"),"9","0")</f>
        <v/>
      </c>
      <c r="BN36" s="61" t="str">
        <f aca="false">SUBSTITUTE(SUBSTITUTE(SUBSTITUTE(SUBSTITUTE(SUBSTITUTE(SUBSTITUTE(SUBSTITUTE(SUBSTITUTE(SUBSTITUTE(SUBSTITUTE(SUBSTITUTE(SUBSTITUTE(SUBSTITUTE(SUBSTITUTE(SUBSTITUTE(SUBSTITUTE(SUBSTITUTE(SUBSTITUTE(SUBSTITUTE(SUBSTITUTE(SUBSTITUTE(SUBSTITUTE(SUBSTITUTE(SUBSTITUTE(SUBSTITUTE(BM36,"b","a"),"c","a"),"d","a"),"e","a"),"f","a"),"g","a"),"h","a"),"i","a"),"j","a"),"k","a"),"l","a"),"m","a"),"n","a"),"o","a"),"p","a"),"q","a"),"r","a"),"s","a"),"t","a"),"u","a"),"v","a"),"w","a"),"x","a"),"y","a"),"z","a")</f>
        <v/>
      </c>
      <c r="BO36" s="61" t="str">
        <f aca="false">SUBSTITUTE(SUBSTITUTE(SUBSTITUTE(SUBSTITUTE(SUBSTITUTE(SUBSTITUTE(SUBSTITUTE(SUBSTITUTE(SUBSTITUTE(LOWER(W36&amp;""),"1","0"),"2","0"),"3","0"),"4","0"),"5","0"),"6","0"),"7","0"),"8","0"),"9","0")</f>
        <v/>
      </c>
      <c r="BP36" s="61" t="str">
        <f aca="false">SUBSTITUTE(SUBSTITUTE(SUBSTITUTE(SUBSTITUTE(SUBSTITUTE(SUBSTITUTE(SUBSTITUTE(SUBSTITUTE(SUBSTITUTE(SUBSTITUTE(SUBSTITUTE(SUBSTITUTE(SUBSTITUTE(SUBSTITUTE(SUBSTITUTE(SUBSTITUTE(SUBSTITUTE(SUBSTITUTE(SUBSTITUTE(SUBSTITUTE(SUBSTITUTE(SUBSTITUTE(SUBSTITUTE(SUBSTITUTE(SUBSTITUTE(BO36,"b","a"),"c","a"),"d","a"),"e","a"),"f","a"),"g","a"),"h","a"),"i","a"),"j","a"),"k","a"),"l","a"),"m","a"),"n","a"),"o","a"),"p","a"),"q","a"),"r","a"),"s","a"),"t","a"),"u","a"),"v","a"),"w","a"),"x","a"),"y","a"),"z","a")</f>
        <v/>
      </c>
      <c r="BQ36" s="61" t="n">
        <f aca="false">IFERROR(IF(AND(ISERROR(SEARCH(" mh"," "&amp;LOWER(W36))),ISNA(MATCH(LEFT(TRIM(BP36),255),{"0000a","000a","00a","0000aa","000aa","00aa","0aa","0000aaa","000aaa","00a00","0a00","0000-0000","00:00","a00","a0","00.00.0000","00/00/0000","00-00-0000","0000-00-00","0000/00/00","0000.00.00","00.00.00","00/00/00","00-00-00","0.00.0000","0/00/0000","0-00-0000"},0)),ISNA(MATCH(LEFT(TRIM(CA36),255),{"0000a","000a","00a","0000aa","000aa","00aa","0aa","0000aaa","000aaa","00a00","0a00","0000-0000","00:00","a00","a0","00.00.0000","00/00/0000","00-00-0000","0000-00-00","0000/00/00","0000.00.00","00.00.00","00/00/00","00-00-00","0.00.0000","0/00/0000","0-00-0000"},0)),LEN(CB36)&gt;=3,NOT(OR(SUBSTITUTE(CB36,"0","")="",AND(LEN(CB36)&gt;=4,CB36=REPT(LEFT(CB36),LEN(CB36))),ISNUMBER(MATCH(CB36,{"123","1234","12345","123456","1234567","12345678","0123","01234","012345","98765","987654","54321"},0)),AND(LEN(CB36)=8,LEFT(CB36,3)="202"))),OR(AND((LEN(CA36)-LEN(SUBSTITUTE(CA36,"a","")))&gt;=1,SUMPRODUCT(--ISNUMBER(SEARCH({"a0","a-0","a_0","a/0","a.0","a#0","0a","0-a","0_a","0/a"},BP36)))&gt;0),ISNUMBER(SEARCH("000000",BP36)))),1,0),0)</f>
        <v>0</v>
      </c>
      <c r="BR36" s="61" t="n">
        <f aca="false">IFERROR(LEN(SUBSTITUTE(CC36," ",""))-SUMPRODUCT((LEN(CC36)-LEN(SUBSTITUTE(CC36," "&amp;L_Role&amp;" "," ")))/(LEN(L_Role)+1)*LEN(L_Role)),0)</f>
        <v>0</v>
      </c>
      <c r="BS36" s="61" t="n">
        <f aca="false">IFERROR(LEN(SUBSTITUTE(CD36," ",""))-SUMPRODUCT((LEN(CD36)-LEN(SUBSTITUTE(CD36," "&amp;L_Role&amp;" "," ")))/(LEN(L_Role)+1)*LEN(L_Role)),0)</f>
        <v>0</v>
      </c>
      <c r="BT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revision",""),"version",""),"jan",""),"feb",""),"mar",""),"apr",""),"may",""),"jun",""),"jul",""),"aug",""),"sep",""),"oct",""),"nov",""),"dec",""),"utc",""),"gmt",""),"myt",""),"bst",""),"rev",""),"ver",""),"b","a"),"c","a"),"d","a"),"e","a"),"f","a"),"g","a"),"h","a"),"i","a"),"j","a"),"k","a"),"l","a"),"m","a"),"n","a"),"o","a"),"p","a"),"q","a"),"r","a"),"s","a"),"t","a"),"u","a"),"v","a"),"w","a"),"x","a"),"y","a"),"z","a")</f>
        <v/>
      </c>
      <c r="BU36" s="61" t="str">
        <f aca="false">SUBSTITUTE(SUBSTITUTE(SUBSTITUTE(SUBSTITUTE(SUBSTITUTE(SUBSTITUTE(SUBSTITUTE(SUBSTITUTE(SUBSTITUTE(SUBSTITUTE(LEFT(BM36,FIND("0",BM36&amp;"0")-1),"-",""),"_",""),"/",""),".",""),"#",""),"\\",""),":","")," ",""),"(",""),")","")</f>
        <v/>
      </c>
      <c r="BV36" s="61" t="n">
        <f aca="false">0</f>
        <v>0</v>
      </c>
      <c r="BW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amp;""),"a",""),"b",""),"c",""),"d",""),"e",""),"f",""),"g",""),"h",""),"i",""),"j",""),"k",""),"l",""),"m",""),"n",""),"o",""),"p",""),"q",""),"r",""),"s",""),"t",""),"u",""),"v",""),"w",""),"x",""),"y",""),"z",""),"-",""),"_",""),"/",""),".",""),"#",""),"\\",""),":","")," ",""),"(",""),")","")</f>
        <v/>
      </c>
      <c r="BX36" s="61" t="str">
        <f aca="false">SUBSTITUTE(SUBSTITUTE(SUBSTITUTE(SUBSTITUTE(SUBSTITUTE(SUBSTITUTE(SUBSTITUTE(SUBSTITUTE(SUBSTITUTE(SUBSTITUTE(SUBSTITUTE(BM36,"0",""),"-",""),"_",""),"/",""),".",""),"#",""),"\\",""),":","")," ",""),"(",""),")","")</f>
        <v/>
      </c>
      <c r="BY36" s="62" t="n">
        <f aca="false">Q36-T7EarlyD*24/24</f>
        <v>46283.5763888889</v>
      </c>
      <c r="BZ36" s="61" t="n">
        <f aca="false">IFERROR(IF(IF(TRIM(S36)="Link / file path",AND(LEN(TRIM(Z36))&gt;=5,SUMPRODUCT(--ISNUMBER(SEARCH({"http","www.","\\",":\",".pdf",".jpg",".jpeg",".png",".heic",".xls",".doc",".msg",".eml",".ppt",".txt",".zip"},Z36)))&gt;0),AND(ISERROR(FIND(" ",TRIM(Z36))),NOT(OR(SUMPRODUCT(--ISNUMBER(FIND({",",";","&amp;","+"},Z36)))&gt;0,SUMPRODUCT(--ISNUMBER(SEARCH({"0/aa","0\\aa"},BN36)))&gt;0)),NOT(SUMPRODUCT(--ISNUMBER(SEARCH({"http","www.","\\",":\",".pdf",".jpg",".jpeg",".png",".heic",".xls",".doc",".msg",".eml",".ppt",".txt",".zip"},Z36)))&gt;0),NOT(LOWER(TRIM(Z36))=LOWER(Flights!$F$6)),ISNA(MATCH(BU36,{"mh","rev","revision","ver","version","v","r","a","b","seat","tray","row","gate","bay","stand","page","pg","item","line","no","cart","galley","flight","flt","table","box","bag","oven","etd","eta","std","sta","atd","ata","qty","pax","x","time","tel","ph","mob","day","wk","week","utc","gmt","myt","lt"},0)),NOT(OR(ISNUMBER(MATCH(LEFT(BN36,255),{"0000a","000a","00a","0000aa","000aa","00aa","0aa","0000aaa","000aaa","00a00","0a00","0000-0000","00:00","a00","a0","00.00.0000","00/00/0000","00-00-0000","0000-00-00","0000/00/00","0000.00.00","00.00.00","00/00/00","00-00-00","0.00.0000","0/00/0000","0-00-0000"},0)),ISNUMBER(MATCH(LEFT(BT36,255),{"0000a","000a","00a","0000aa","000aa","00aa","0aa","0000aaa","000aaa","00a00","0a00","0000-0000","00:00","a00","a0","00.00.0000","00/00/0000","00-00-0000","0000-00-00","0000/00/00","0000.00.00","00.00.00","00/00/00","00-00-00","0.00.0000","0/00/0000","0-00-0000"},0)))),NOT(OR(AND(BW36&lt;&gt;"",SUBSTITUTE(BW36,"0","")=""),AND(LEN(BW36)&gt;=4,BW36=REPT(LEFT(BW36),LEN(BW36))),ISNUMBER(MATCH(BW36,{"123","1234","12345","123456","1234567","12345678","0123","01234","012345","98765","987654","54321"},0)),ISNUMBER(MATCH(BX36,{"x","xx","xxx","xxxx","xxxxx","abc","abcd","nil","na","nan","test","tbc","tba","tbd","dummy","sample","example","eg","zz","zzz","none","null","xyz","qwe","asd","id","ref"},0)),AND(LEN(BW36)=8,BX36="",OR(LEFT(BW36,3)="202",ISNUMBER(MATCH(RIGHT(BW36,4),{"2025","2026","2027"},0)))))),OR(AND((LEN(BT36)-LEN(SUBSTITUTE(BT36,"a","")))&gt;=1,(LEN(BN36)-LEN(SUBSTITUTE(BN36,"0","")))&gt;=2,SUMPRODUCT(--ISNUMBER(SEARCH({"a0","a-0","a_0","a/0","a.0","a#0","0a","0-a","0_a","0/a"},BN36)))&gt;0),AND((LEN(BN36)-LEN(SUBSTITUTE(BN36,"a","")))=0,(LEN(BN36)-LEN(SUBSTITUTE(BN36,"0","")))&gt;=5)))),1,0),0)</f>
        <v>0</v>
      </c>
      <c r="CA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revision",""),"version",""),"jan",""),"feb",""),"mar",""),"apr",""),"may",""),"jun",""),"jul",""),"aug",""),"sep",""),"oct",""),"nov",""),"dec",""),"utc",""),"gmt",""),"myt",""),"bst",""),"rev",""),"ver",""),"b","a"),"c","a"),"d","a"),"e","a"),"f","a"),"g","a"),"h","a"),"i","a"),"j","a"),"k","a"),"l","a"),"m","a"),"n","a"),"o","a"),"p","a"),"q","a"),"r","a"),"s","a"),"t","a"),"u","a"),"v","a"),"w","a"),"x","a"),"y","a"),"z","a")</f>
        <v/>
      </c>
      <c r="CB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amp;""),"a",""),"b",""),"c",""),"d",""),"e",""),"f",""),"g",""),"h",""),"i",""),"j",""),"k",""),"l",""),"m",""),"n",""),"o",""),"p",""),"q",""),"r",""),"s",""),"t",""),"u",""),"v",""),"w",""),"x",""),"y",""),"z",""),"-",""),"_",""),"/",""),".",""),"#",""),"\\",""),":","")," ",""),"(",""),")","")</f>
        <v/>
      </c>
      <c r="CC36" s="0" t="str">
        <f aca="false">" "&amp;TRIM(SUBSTITUTE(SUBSTITUTE(SUBSTITUTE(SUBSTITUTE(SUBSTITUTE(SUBSTITUTE(SUBSTITUTE(SUBSTITUTE(SUBSTITUTE(SUBSTITUTE(SUBSTITUTE(SUBSTITUTE(SUBSTITUTE(SUBSTITUTE(SUBSTITUTE(SUBSTITUTE(SUBSTITUTE(SUBSTITUTE(SUBSTITUTE(SUBSTITUTE(SUBSTITUTE(SUBSTITUTE(SUBSTITUTE(SUBSTITUTE(LOWER(T36&amp;""),CHAR(10)," "),CHAR(13)," "),CHAR(9)," "),CHAR(160)," "),"."," "),","," "),"-"," "),"/"," "),"("," "),")"," "),":"," "),";"," "),"_"," "),"–"," "),"?"," "),"!"," "),"*"," "),"["," "),"]"," "),"'"," "),"#"," "),"+"," "),"&amp;"," "),"\"," "))&amp;" "</f>
        <v>  </v>
      </c>
      <c r="CD36" s="0" t="str">
        <f aca="false">" "&amp;TRIM(SUBSTITUTE(SUBSTITUTE(SUBSTITUTE(SUBSTITUTE(SUBSTITUTE(SUBSTITUTE(SUBSTITUTE(SUBSTITUTE(SUBSTITUTE(SUBSTITUTE(SUBSTITUTE(SUBSTITUTE(SUBSTITUTE(SUBSTITUTE(SUBSTITUTE(SUBSTITUTE(SUBSTITUTE(SUBSTITUTE(SUBSTITUTE(SUBSTITUTE(SUBSTITUTE(SUBSTITUTE(SUBSTITUTE(SUBSTITUTE(LOWER(AE36&amp;""),CHAR(10)," "),CHAR(13)," "),CHAR(9)," "),CHAR(160)," "),"."," "),","," "),"-"," "),"/"," "),"("," "),")"," "),":"," "),";"," "),"_"," "),"–"," "),"?"," "),"!"," "),"*"," "),"["," "),"]"," "),"'"," "),"#"," "),"+"," "),"&amp;"," "),"\"," "))&amp;" "</f>
        <v>  </v>
      </c>
      <c r="CE36" s="68" t="n">
        <f aca="false">IFERROR(IF(AND(LEN(AU36)&gt;0,LEN(AU36)=LEN(AX36),OR(TRIM(MID(SUBSTITUTE(TRIM(CC36)," ",REPT(" ",60)),1,60))="",ISNUMBER(SEARCH(" "&amp;TRIM(MID(SUBSTITUTE(TRIM(CC36)," ",REPT(" ",60)),1,60))&amp;" ",CD36))),OR(TRIM(MID(SUBSTITUTE(TRIM(CC36)," ",REPT(" ",60)),61,60))="",ISNUMBER(SEARCH(" "&amp;TRIM(MID(SUBSTITUTE(TRIM(CC36)," ",REPT(" ",60)),61,60))&amp;" ",CD36))),OR(TRIM(MID(SUBSTITUTE(TRIM(CC36)," ",REPT(" ",60)),121,60))="",ISNUMBER(SEARCH(" "&amp;TRIM(MID(SUBSTITUTE(TRIM(CC36)," ",REPT(" ",60)),121,60))&amp;" ",CD36)))),1,0),0)</f>
        <v>0</v>
      </c>
      <c r="CG36" s="68" t="n">
        <f aca="false">IFERROR(LEN(SUBSTITUTE(BF36," ",""))-SUMPRODUCT((LEN(BF36)-LEN(SUBSTITUTE(BF36," "&amp;L_NAFiller&amp;" "," ")))/(LEN(L_NAFiller)+1)*LEN(L_NAFiller)),0)</f>
        <v>0</v>
      </c>
    </row>
    <row r="37" customFormat="false" ht="39.75" hidden="false" customHeight="true" outlineLevel="0" collapsed="false">
      <c r="A37" s="57" t="s">
        <v>480</v>
      </c>
      <c r="B37" s="57" t="s">
        <v>198</v>
      </c>
      <c r="C37" s="57" t="str">
        <f aca="false">Flights!$F$6</f>
        <v>MH0727</v>
      </c>
      <c r="D37" s="58" t="n">
        <f aca="false">Flights!$D$6</f>
        <v>46304</v>
      </c>
      <c r="E37" s="57" t="str">
        <f aca="false">Flights!$G$6&amp;"-"&amp;Flights!$H$6</f>
        <v>KUL-CGK</v>
      </c>
      <c r="F37" s="57" t="str">
        <f aca="false">Flights!$K$6</f>
        <v>BC</v>
      </c>
      <c r="G37" s="57" t="s">
        <v>81</v>
      </c>
      <c r="H37" s="57" t="s">
        <v>378</v>
      </c>
      <c r="I37" s="57" t="s">
        <v>405</v>
      </c>
      <c r="J37" s="57" t="s">
        <v>409</v>
      </c>
      <c r="K37" s="67" t="s">
        <v>407</v>
      </c>
      <c r="L37" s="67" t="s">
        <v>382</v>
      </c>
      <c r="M37" s="67"/>
      <c r="N37" s="67" t="s">
        <v>383</v>
      </c>
      <c r="O37" s="67"/>
      <c r="P37" s="57" t="s">
        <v>187</v>
      </c>
      <c r="Q37" s="59" t="n">
        <f aca="false">ROUND((Flights!$AC$6)*1440,0)/1440</f>
        <v>46297.5763888889</v>
      </c>
      <c r="R37" s="59" t="n">
        <f aca="false">Q37+(IF(AND(INDEX(TZ_DSTS,MATCH(P37,TZ_STN,0))&lt;&gt;"",Q37&gt;=INDEX(TZ_DSTS,MATCH(P37,TZ_STN,0)),Q37&lt;INDEX(TZ_DSTE,MATCH(P37,TZ_STN,0))),INDEX(TZ_DST,MATCH(P37,TZ_STN,0)),INDEX(TZ_STD,MATCH(P37,TZ_STN,0))))/24</f>
        <v>46297.9097222222</v>
      </c>
      <c r="S37" s="60"/>
      <c r="T37" s="60"/>
      <c r="U37" s="60"/>
      <c r="V37" s="60"/>
      <c r="W37" s="61"/>
      <c r="X37" s="60"/>
      <c r="Y37" s="60"/>
      <c r="Z37" s="60"/>
      <c r="AA37" s="60"/>
      <c r="AB37" s="60"/>
      <c r="AC37" s="60"/>
      <c r="AD37" s="66"/>
      <c r="AE37" s="60"/>
      <c r="AF37" s="61" t="str">
        <f aca="false">IF(AND(ISNUMBER(X37),ISNUMBER(Y37)),Y37-X37,"")</f>
        <v/>
      </c>
      <c r="AG37" s="62" t="str">
        <f aca="false">IF(ISNUMBER(AD37),AD37-(IF(AND(INDEX(TZ_DSTS,MATCH(P37,TZ_STN,0))&lt;&gt;"",(AD37-INDEX(TZ_STD,MATCH(P37,TZ_STN,0))/24)&gt;=INDEX(TZ_DSTS,MATCH(P37,TZ_STN,0)),(AD37-INDEX(TZ_STD,MATCH(P37,TZ_STN,0))/24)&lt;INDEX(TZ_DSTE,MATCH(P37,TZ_STN,0))),INDEX(TZ_DST,MATCH(P37,TZ_STN,0)),INDEX(TZ_STD,MATCH(P37,TZ_STN,0))))/24,"")</f>
        <v/>
      </c>
      <c r="AH37" s="65" t="str">
        <f aca="false">IFERROR(IF(N37="N/A – rule",IF(OR(TRIM(U37)="",TRIM(U37)="N/A",TRIM(U37)="Not started"),"N/A – RULE","INVALID – this check does not apply to this aircraft: clear the status (or correct the fleet on Flights)"),IF(TRIM(U37)="N/A",IF(AT37=0,"INVALID – N/A not permitted for this check",IF(AND(TRIM(AB37)&lt;&gt;"",TRIM(AB37)&lt;&gt;"Closed"),"INVALID – corrective action still open",IF(AND(NOT(OR(LEN(AZ37)&lt;15,ISNUMBER(MATCH(AZ37,L_Placeholder,0)))),BK37=0,CG37&gt;=8,NOT(OR(LEN(AU37)&lt;2,ISNUMBER(MATCH(AU37,L_Placeholder,0)))),BR37&gt;=3,NOT(OR(LEN(AX37)&lt;2,ISNUMBER(MATCH(AX37,L_Placeholder,0)))),BS37&gt;=3,TRIM(AE37)&lt;&gt;TRIM(T37),AX37&lt;&gt;AU37,CE37=0),"N/A – JUSTIFIED","INVALID – N/A needs a real, settled reason (not 'not applicable' / 'as above' / TBC), a named PIC and a different named verifier"))),IF(OR(TRIM(U37)="Pass",TRIM(U37)="Pass after CA"),IF(NOT(ISNUMBER(AD37)),"INVALID – completion time missing",IF(OR(OR(LEN(AU37)&lt;2,ISNUMBER(MATCH(AU37,L_Placeholder,0))),BR37&lt;3),"INVALID – PIC missing or not a named person (a role such as QA / CSM is not a name)",IF(OR(LEN(AV37)&lt;2,ISNUMBER(MATCH(AV37,L_Placeholder,0))),"INVALID – result / assessment missing",IF(OR(OR(LEN(AW37)&lt;3,ISNUMBER(MATCH(AW37,L_Placeholder,0))),SUMPRODUCT(--ISNUMBER(SEARCH(" "&amp;L_EvidencePhrase&amp;" ",BD37)))&gt;0,BI37=1),"INVALID – evidence missing, placeholder or not yet on file",IF(ISNA(MATCH(TRIM(S37),L_EvidenceType,0)),"INVALID – choose the evidence type from the list (column S)",IF(BL37=0,"INVALID – evidence ID must be the record's own ID only (e.g. SF-2210, IMG_2231, 1045521); a link / file name needs type 'Link / file path'",IF(OR(OR(LEN(AX37)&lt;2,ISNUMBER(MATCH(AX37,L_Placeholder,0))),BS37&lt;3),"INVALID – verifier missing or not a named person (a role such as QA / CSM is not a name)",IF(OR(AX37=AU37,CE37=1,AND(LEN(AU37)&gt;=4,ISNUMBER(SEARCH(AU37,AX37))),AND(LEN(AX37)&gt;=4,ISNUMBER(SEARCH(AX37,AU37)))),"INVALID – verifier must be a different, named person (not the PIC or a role)",IF(BH37=1,"INVALID – result not yet available (awaiting / TBC)",IF(BG37=1,"INVALID – result describes a problem: record Fail, then Pass after CA (or reword if it is not a problem)",IF(BV37=1,"INVALID – wording says not on board: an on-board confirmation needs the item loaded",IF(AND(AQ37=1,OR(OR(LEN(AY37)&lt;3,ISNUMBER(MATCH(AY37,L_Placeholder,0))),BJ37=1,BQ37=0)),"INVALID – batch ID missing, placeholder or not an ID (e.g. PASB-261008-BC-017)",IF(AND(AR37=1,OR(NOT(ISNUMBER(X37)),NOT(ISNUMBER(Y37)))),"INVALID – expected/actual qty missing",IF(AND(AR37=1,OR(X37&lt;=0,Y37&lt;0)),"INVALID – expected qty must be above 0 and actual not negative",IF(BB37&lt;&gt;"",BB37,IF(AND(AS37=1,Documents!$J$6&lt;&gt;"ON FILE"),"INVALID – GLD not on file (Documents sheet)",IF(AND(AS37=2,Documents!$O$6&lt;&gt;"ON FILE"),"INVALID – menu checklist not on file (Documents sheet)",IF(AND(AS37=3,NOT(ISNUMBER(Flights!$AX$6))),"INVALID – enter carrying flight KUL departure (Flights AX)",IF(AND(AS37=3,OR(Flights!$AZ$6&gt;Flights!$AA$6,Flights!$AX$6&lt;Flights!$AA$6-3)),"INVALID – carrying flight (Flights AX) cannot arrive before this leg's STD, or is over 3 days early",IF(AG37&gt;AsOfUTC,"INVALID – completion time is in the future",IF(AND(ISNUMBER(BY37),AG37&lt;BY37),IF(H37="Physical uplift","INVALID – before uplift window (cannot confirm loading)","INVALID – before valid window"),IF(AG37&gt;Flights!$AA$6,"INVALID – completed after departure (cannot establish readiness)",IF(AND(H37="Preparation",AG37&gt;=IF(ISNUMBER(Flights!$BA$6),MIN(Flights!$BA$6,Flights!$AA$6),Flights!$AA$6)),"INVALID – completed after loading / departure (cannot establish readiness)",IF(AND(H37="Physical uplift",AG37&gt;Q37),"INVALID – recorded after the loading flight departed",IF(AG37&gt;Q37,"COMPLETE – LATE","COMPLETE"))))))))))))))))))))))))),IF(TRIM(U37)="Fail","FAIL – DISCREPANCY",IF(AND(TRIM(U37)&lt;&gt;"",TRIM(U37)&lt;&gt;"Not started",TRIM(U37)&lt;&gt;"In progress"),"INVALID – unrecognised status (use the list)",IF(AsOfUTC&gt;Q37,"OVERDUE",IF(N37="Clarification required","OPEN – CLARIFICATION","OPEN"))))))),"INVALID – error value in an input cell")</f>
        <v>OPEN</v>
      </c>
      <c r="AI37" s="61" t="n">
        <f aca="false">IF(OR(AH37="N/A – RULE",AH37="N/A – JUSTIFIED"),0,1)</f>
        <v>1</v>
      </c>
      <c r="AJ37" s="61" t="n">
        <f aca="false">IF(LEFT(AH37,8)="COMPLETE",1,0)</f>
        <v>0</v>
      </c>
      <c r="AK37" s="61" t="n">
        <f aca="false">IF(AND(AI37=1,AJ37=0,AsOfUTC&gt;Q37),1,0)</f>
        <v>0</v>
      </c>
      <c r="AL37" s="61" t="n">
        <f aca="false">IFERROR(IF(AND(AI37=1,OR(TRIM(U37)="Fail",AND(TRIM(AB37)&lt;&gt;"",TRIM(AB37)&lt;&gt;"Closed"),AND(ISNUMBER(AF37),AF37&lt;&gt;0,TRIM(U37)&lt;&gt;"Pass after CA"))),1,0),1)</f>
        <v>0</v>
      </c>
      <c r="AM37" s="61" t="n">
        <f aca="false">IF(LEFT(AH37,7)="INVALID",1,0)</f>
        <v>0</v>
      </c>
      <c r="AN37" s="61" t="n">
        <f aca="false">IF(AND(N37="Clarification required",AI37=1,AJ37=0),1,0)</f>
        <v>0</v>
      </c>
      <c r="AO37" s="61" t="str">
        <f aca="false">IF(AK37=1,SUM(AK$5:AK37),"")</f>
        <v/>
      </c>
      <c r="AP37" s="61" t="str">
        <f aca="false">IF(AL37=1,SUM(AL$5:AL37),"")</f>
        <v/>
      </c>
      <c r="AQ37" s="61" t="n">
        <v>0</v>
      </c>
      <c r="AR37" s="61" t="n">
        <v>0</v>
      </c>
      <c r="AS37" s="61" t="n">
        <v>2</v>
      </c>
      <c r="AT37" s="61" t="n">
        <v>0</v>
      </c>
      <c r="AU37" s="61" t="str">
        <f aca="false">SUBSTITUTE(SUBSTITUTE(SUBSTITUTE(SUBSTITUTE(SUBSTITUTE(SUBSTITUTE(SUBSTITUTE(SUBSTITUTE(SUBSTITUTE(SUBSTITUTE(SUBSTITUTE(SUBSTITUTE(SUBSTITUTE(SUBSTITUTE(SUBSTITUTE(SUBSTITUTE(LOWER(T37&amp;""),CHAR(10),""),CHAR(13),""),CHAR(9),""),CHAR(160),"")," ",""),".",""),"-",""),"/",""),"?",""),"_",""),",",""),"[",""),"]",""),"(",""),")",""),"*","")</f>
        <v/>
      </c>
      <c r="AV37" s="61" t="str">
        <f aca="false">SUBSTITUTE(SUBSTITUTE(SUBSTITUTE(SUBSTITUTE(SUBSTITUTE(SUBSTITUTE(SUBSTITUTE(SUBSTITUTE(SUBSTITUTE(SUBSTITUTE(SUBSTITUTE(SUBSTITUTE(SUBSTITUTE(SUBSTITUTE(SUBSTITUTE(SUBSTITUTE(LOWER(V37&amp;""),CHAR(10),""),CHAR(13),""),CHAR(9),""),CHAR(160),"")," ",""),".",""),"-",""),"/",""),"?",""),"_",""),",",""),"[",""),"]",""),"(",""),")",""),"*","")</f>
        <v/>
      </c>
      <c r="AW37" s="61" t="str">
        <f aca="false">SUBSTITUTE(SUBSTITUTE(SUBSTITUTE(SUBSTITUTE(SUBSTITUTE(SUBSTITUTE(SUBSTITUTE(SUBSTITUTE(SUBSTITUTE(SUBSTITUTE(SUBSTITUTE(SUBSTITUTE(SUBSTITUTE(SUBSTITUTE(SUBSTITUTE(SUBSTITUTE(LOWER(Z37&amp;""),CHAR(10),""),CHAR(13),""),CHAR(9),""),CHAR(160),"")," ",""),".",""),"-",""),"/",""),"?",""),"_",""),",",""),"[",""),"]",""),"(",""),")",""),"*","")</f>
        <v/>
      </c>
      <c r="AX37" s="61" t="str">
        <f aca="false">SUBSTITUTE(SUBSTITUTE(SUBSTITUTE(SUBSTITUTE(SUBSTITUTE(SUBSTITUTE(SUBSTITUTE(SUBSTITUTE(SUBSTITUTE(SUBSTITUTE(SUBSTITUTE(SUBSTITUTE(SUBSTITUTE(SUBSTITUTE(SUBSTITUTE(SUBSTITUTE(LOWER(AE37&amp;""),CHAR(10),""),CHAR(13),""),CHAR(9),""),CHAR(160),"")," ",""),".",""),"-",""),"/",""),"?",""),"_",""),",",""),"[",""),"]",""),"(",""),")",""),"*","")</f>
        <v/>
      </c>
      <c r="AY37" s="61" t="str">
        <f aca="false">SUBSTITUTE(SUBSTITUTE(SUBSTITUTE(SUBSTITUTE(SUBSTITUTE(SUBSTITUTE(SUBSTITUTE(SUBSTITUTE(SUBSTITUTE(SUBSTITUTE(SUBSTITUTE(SUBSTITUTE(SUBSTITUTE(SUBSTITUTE(SUBSTITUTE(SUBSTITUTE(LOWER(W37&amp;""),CHAR(10),""),CHAR(13),""),CHAR(9),""),CHAR(160),"")," ",""),".",""),"-",""),"/",""),"?",""),"_",""),",",""),"[",""),"]",""),"(",""),")",""),"*","")</f>
        <v/>
      </c>
      <c r="AZ37" s="61" t="str">
        <f aca="false">SUBSTITUTE(SUBSTITUTE(SUBSTITUTE(SUBSTITUTE(SUBSTITUTE(SUBSTITUTE(SUBSTITUTE(SUBSTITUTE(SUBSTITUTE(SUBSTITUTE(SUBSTITUTE(SUBSTITUTE(SUBSTITUTE(SUBSTITUTE(SUBSTITUTE(SUBSTITUTE(LOWER(AC37&amp;""),CHAR(10),""),CHAR(13),""),CHAR(9),""),CHAR(160),"")," ",""),".",""),"-",""),"/",""),"?",""),"_",""),",",""),"[",""),"]",""),"(",""),")",""),"*","")</f>
        <v/>
      </c>
      <c r="BA37" s="61" t="str">
        <f aca="false">SUBSTITUTE(SUBSTITUTE(SUBSTITUTE(SUBSTITUTE(SUBSTITUTE(SUBSTITUTE(SUBSTITUTE(SUBSTITUTE(SUBSTITUTE(SUBSTITUTE(SUBSTITUTE(SUBSTITUTE(SUBSTITUTE(SUBSTITUTE(SUBSTITUTE(SUBSTITUTE(LOWER(AA37&amp;""),CHAR(10),""),CHAR(13),""),CHAR(9),""),CHAR(160),"")," ",""),".",""),"-",""),"/",""),"?",""),"_",""),",",""),"[",""),"]",""),"(",""),")",""),"*","")</f>
        <v/>
      </c>
      <c r="BB37" s="61" t="str">
        <f aca="false">IF(AND(TRIM(U37)="Pass",ISNUMBER(AF37)),IF(AF37&lt;&gt;0,"INVALID – qty variance: use Fail or Pass after CA",""),"")&amp;IF(AND(TRIM(U37)="Pass after CA",ISNUMBER(AF37)),IF(AF37&lt;&gt;0,"INVALID – after the corrective action the actual qty must equal expected (update Actual)",""),"")&amp;IF(AND(TRIM(U37)="Pass",TRIM(AB37)&lt;&gt;"",TRIM(AB37)&lt;&gt;"Closed"),"INVALID – corrective action not closed: use Fail, then Pass after CA","")&amp;IF(AND(LEN(BA37)&gt;=2,ISNA(MATCH(LEFT(BA37,255),L_Placeholder,0)),TRIM(AB37)=""),"INVALID – CA status missing for the recorded corrective action","")&amp;IF(AND(TRIM(U37)="Pass after CA",OR(OR(LEN(BA37)&lt;5,ISNUMBER(MATCH(BA37,L_Placeholder,0))),TRIM(AB37)&lt;&gt;"Closed")),"INVALID – corrective action not recorded/closed","")</f>
        <v/>
      </c>
      <c r="BC37" s="61" t="str">
        <f aca="false">" "&amp;TRIM(SUBSTITUTE(SUBSTITUTE(SUBSTITUTE(SUBSTITUTE(SUBSTITUTE(SUBSTITUTE(SUBSTITUTE(SUBSTITUTE(SUBSTITUTE(SUBSTITUTE(SUBSTITUTE(SUBSTITUTE(SUBSTITUTE(SUBSTITUTE(SUBSTITUTE(SUBSTITUTE(SUBSTITUTE(SUBSTITUTE(SUBSTITUTE(SUBSTITUTE(SUBSTITUTE(SUBSTITUTE(SUBSTITUTE(SUBSTITUTE(LOWER(V37&amp;""),CHAR(10)," "),CHAR(13)," "),CHAR(9)," "),CHAR(160)," "),"."," "),","," "),"-"," "),"/"," "),"("," "),")"," "),":"," "),";"," "),"_"," "),"–"," "),"?"," "),"!"," "),"*"," "),"["," "),"]"," "),"'"," "),"#"," "),"+"," "),"&amp;"," "),"\"," "))&amp;" "</f>
        <v>  </v>
      </c>
      <c r="BD37" s="61" t="str">
        <f aca="false">" "&amp;TRIM(SUBSTITUTE(SUBSTITUTE(SUBSTITUTE(SUBSTITUTE(SUBSTITUTE(SUBSTITUTE(SUBSTITUTE(SUBSTITUTE(SUBSTITUTE(SUBSTITUTE(SUBSTITUTE(SUBSTITUTE(SUBSTITUTE(SUBSTITUTE(SUBSTITUTE(SUBSTITUTE(SUBSTITUTE(SUBSTITUTE(SUBSTITUTE(SUBSTITUTE(SUBSTITUTE(SUBSTITUTE(SUBSTITUTE(SUBSTITUTE(LOWER(Z37&amp;""),CHAR(10)," "),CHAR(13)," "),CHAR(9)," "),CHAR(160)," "),"."," "),","," "),"-"," "),"/"," "),"("," "),")"," "),":"," "),";"," "),"_"," "),"–"," "),"?"," "),"!"," "),"*"," "),"["," "),"]"," "),"'"," "),"#"," "),"+"," "),"&amp;"," "),"\"," "))&amp;" "</f>
        <v>  </v>
      </c>
      <c r="BE37" s="61" t="str">
        <f aca="false">" "&amp;TRIM(SUBSTITUTE(SUBSTITUTE(SUBSTITUTE(SUBSTITUTE(SUBSTITUTE(SUBSTITUTE(SUBSTITUTE(SUBSTITUTE(SUBSTITUTE(SUBSTITUTE(SUBSTITUTE(SUBSTITUTE(SUBSTITUTE(SUBSTITUTE(SUBSTITUTE(SUBSTITUTE(SUBSTITUTE(SUBSTITUTE(SUBSTITUTE(SUBSTITUTE(SUBSTITUTE(SUBSTITUTE(SUBSTITUTE(SUBSTITUTE(LOWER(W37&amp;""),CHAR(10)," "),CHAR(13)," "),CHAR(9)," "),CHAR(160)," "),"."," "),","," "),"-"," "),"/"," "),"("," "),")"," "),":"," "),";"," "),"_"," "),"–"," "),"?"," "),"!"," "),"*"," "),"["," "),"]"," "),"'"," "),"#"," "),"+"," "),"&amp;"," "),"\"," "))&amp;" "</f>
        <v>  </v>
      </c>
      <c r="BF37" s="61" t="str">
        <f aca="false">" "&amp;TRIM(SUBSTITUTE(SUBSTITUTE(SUBSTITUTE(SUBSTITUTE(SUBSTITUTE(SUBSTITUTE(SUBSTITUTE(SUBSTITUTE(SUBSTITUTE(SUBSTITUTE(SUBSTITUTE(SUBSTITUTE(SUBSTITUTE(SUBSTITUTE(SUBSTITUTE(SUBSTITUTE(SUBSTITUTE(SUBSTITUTE(SUBSTITUTE(SUBSTITUTE(SUBSTITUTE(SUBSTITUTE(SUBSTITUTE(SUBSTITUTE(LOWER(AC37&amp;""),CHAR(10)," "),CHAR(13)," "),CHAR(9)," "),CHAR(160)," "),"."," "),","," "),"-"," "),"/"," "),"("," "),")"," "),":"," "),";"," "),"_"," "),"–"," "),"?"," "),"!"," "),"*"," "),"["," "),"]"," "),"'"," "),"#"," "),"+"," "),"&amp;"," "),"\"," "))&amp;" "</f>
        <v>  </v>
      </c>
      <c r="BG37" s="61" t="n">
        <f aca="false">IFERROR(IF(AND(TRIM(U37)="Pass",SUMPRODUCT((LEN(BC37)-LEN(SUBSTITUTE(BC37," "&amp;L_ResultBad&amp;" "," ")))/(LEN(L_ResultBad)+1))&gt;SUMPRODUCT((LEN(BC37)-LEN(SUBSTITUTE(BC37," "&amp;L_NegPhrase&amp;" "," ")))/(LEN(L_NegPhrase)+1))),1,0),0)</f>
        <v>0</v>
      </c>
      <c r="BH37" s="61" t="n">
        <f aca="false">IFERROR(IF(SUMPRODUCT((LEN(BC37)-LEN(SUBSTITUTE(BC37," "&amp;L_Pending&amp;" "," ")))/(LEN(L_Pending)+1))&gt;SUMPRODUCT((LEN(BC37)-LEN(SUBSTITUTE(BC37," "&amp;L_PendNeg&amp;" "," ")))/(LEN(L_PendNeg)+1))+SUMPRODUCT((LEN(BC37)-LEN(SUBSTITUTE(BC37," "&amp;L_PendPrep&amp;" "," ")))/(LEN(L_PendPrep)+1)),1,0),1)</f>
        <v>0</v>
      </c>
      <c r="BI37" s="61" t="n">
        <f aca="false">IFERROR(IF(SUMPRODUCT((LEN(BD37)-LEN(SUBSTITUTE(BD37," "&amp;L_PendStrict&amp;" "," ")))/(LEN(L_PendStrict)+1))&gt;SUMPRODUCT((LEN(BD37)-LEN(SUBSTITUTE(BD37," "&amp;L_PendNeg&amp;" "," ")))/(LEN(L_PendNeg)+1)),1,0),1)</f>
        <v>0</v>
      </c>
      <c r="BJ37" s="61" t="n">
        <f aca="false">IFERROR(IF(SUMPRODUCT((LEN(BE37)-LEN(SUBSTITUTE(BE37," "&amp;L_Pending&amp;" "," ")))/(LEN(L_Pending)+1))&gt;SUMPRODUCT((LEN(BE37)-LEN(SUBSTITUTE(BE37," "&amp;L_PendNeg&amp;" "," ")))/(LEN(L_PendNeg)+1))+SUMPRODUCT((LEN(BE37)-LEN(SUBSTITUTE(BE37," "&amp;L_PendPrep&amp;" "," ")))/(LEN(L_PendPrep)+1)),1,0),1)</f>
        <v>0</v>
      </c>
      <c r="BK37" s="61" t="n">
        <f aca="false">IFERROR(IF(SUMPRODUCT((LEN(BF37)-LEN(SUBSTITUTE(BF37," "&amp;L_PendStrict&amp;" "," ")))/(LEN(L_PendStrict)+1))&gt;SUMPRODUCT((LEN(BF37)-LEN(SUBSTITUTE(BF37," "&amp;L_PendNeg&amp;" "," ")))/(LEN(L_PendNeg)+1)),1,0),1)</f>
        <v>0</v>
      </c>
      <c r="BL37" s="61" t="n">
        <f aca="false">IF(ISNA(MATCH(TRIM(S37),L_EvidenceType,0)),0,BZ37)</f>
        <v>0</v>
      </c>
      <c r="BM37" s="61" t="str">
        <f aca="false">SUBSTITUTE(SUBSTITUTE(SUBSTITUTE(SUBSTITUTE(SUBSTITUTE(SUBSTITUTE(SUBSTITUTE(SUBSTITUTE(SUBSTITUTE(LOWER(Z37&amp;""),"1","0"),"2","0"),"3","0"),"4","0"),"5","0"),"6","0"),"7","0"),"8","0"),"9","0")</f>
        <v/>
      </c>
      <c r="BN37" s="61" t="str">
        <f aca="false">SUBSTITUTE(SUBSTITUTE(SUBSTITUTE(SUBSTITUTE(SUBSTITUTE(SUBSTITUTE(SUBSTITUTE(SUBSTITUTE(SUBSTITUTE(SUBSTITUTE(SUBSTITUTE(SUBSTITUTE(SUBSTITUTE(SUBSTITUTE(SUBSTITUTE(SUBSTITUTE(SUBSTITUTE(SUBSTITUTE(SUBSTITUTE(SUBSTITUTE(SUBSTITUTE(SUBSTITUTE(SUBSTITUTE(SUBSTITUTE(SUBSTITUTE(BM37,"b","a"),"c","a"),"d","a"),"e","a"),"f","a"),"g","a"),"h","a"),"i","a"),"j","a"),"k","a"),"l","a"),"m","a"),"n","a"),"o","a"),"p","a"),"q","a"),"r","a"),"s","a"),"t","a"),"u","a"),"v","a"),"w","a"),"x","a"),"y","a"),"z","a")</f>
        <v/>
      </c>
      <c r="BO37" s="61" t="str">
        <f aca="false">SUBSTITUTE(SUBSTITUTE(SUBSTITUTE(SUBSTITUTE(SUBSTITUTE(SUBSTITUTE(SUBSTITUTE(SUBSTITUTE(SUBSTITUTE(LOWER(W37&amp;""),"1","0"),"2","0"),"3","0"),"4","0"),"5","0"),"6","0"),"7","0"),"8","0"),"9","0")</f>
        <v/>
      </c>
      <c r="BP37" s="61" t="str">
        <f aca="false">SUBSTITUTE(SUBSTITUTE(SUBSTITUTE(SUBSTITUTE(SUBSTITUTE(SUBSTITUTE(SUBSTITUTE(SUBSTITUTE(SUBSTITUTE(SUBSTITUTE(SUBSTITUTE(SUBSTITUTE(SUBSTITUTE(SUBSTITUTE(SUBSTITUTE(SUBSTITUTE(SUBSTITUTE(SUBSTITUTE(SUBSTITUTE(SUBSTITUTE(SUBSTITUTE(SUBSTITUTE(SUBSTITUTE(SUBSTITUTE(SUBSTITUTE(BO37,"b","a"),"c","a"),"d","a"),"e","a"),"f","a"),"g","a"),"h","a"),"i","a"),"j","a"),"k","a"),"l","a"),"m","a"),"n","a"),"o","a"),"p","a"),"q","a"),"r","a"),"s","a"),"t","a"),"u","a"),"v","a"),"w","a"),"x","a"),"y","a"),"z","a")</f>
        <v/>
      </c>
      <c r="BQ37" s="61" t="n">
        <f aca="false">IFERROR(IF(AND(ISERROR(SEARCH(" mh"," "&amp;LOWER(W37))),ISNA(MATCH(LEFT(TRIM(BP37),255),{"0000a","000a","00a","0000aa","000aa","00aa","0aa","0000aaa","000aaa","00a00","0a00","0000-0000","00:00","a00","a0","00.00.0000","00/00/0000","00-00-0000","0000-00-00","0000/00/00","0000.00.00","00.00.00","00/00/00","00-00-00","0.00.0000","0/00/0000","0-00-0000"},0)),ISNA(MATCH(LEFT(TRIM(CA37),255),{"0000a","000a","00a","0000aa","000aa","00aa","0aa","0000aaa","000aaa","00a00","0a00","0000-0000","00:00","a00","a0","00.00.0000","00/00/0000","00-00-0000","0000-00-00","0000/00/00","0000.00.00","00.00.00","00/00/00","00-00-00","0.00.0000","0/00/0000","0-00-0000"},0)),LEN(CB37)&gt;=3,NOT(OR(SUBSTITUTE(CB37,"0","")="",AND(LEN(CB37)&gt;=4,CB37=REPT(LEFT(CB37),LEN(CB37))),ISNUMBER(MATCH(CB37,{"123","1234","12345","123456","1234567","12345678","0123","01234","012345","98765","987654","54321"},0)),AND(LEN(CB37)=8,LEFT(CB37,3)="202"))),OR(AND((LEN(CA37)-LEN(SUBSTITUTE(CA37,"a","")))&gt;=1,SUMPRODUCT(--ISNUMBER(SEARCH({"a0","a-0","a_0","a/0","a.0","a#0","0a","0-a","0_a","0/a"},BP37)))&gt;0),ISNUMBER(SEARCH("000000",BP37)))),1,0),0)</f>
        <v>0</v>
      </c>
      <c r="BR37" s="61" t="n">
        <f aca="false">IFERROR(LEN(SUBSTITUTE(CC37," ",""))-SUMPRODUCT((LEN(CC37)-LEN(SUBSTITUTE(CC37," "&amp;L_Role&amp;" "," ")))/(LEN(L_Role)+1)*LEN(L_Role)),0)</f>
        <v>0</v>
      </c>
      <c r="BS37" s="61" t="n">
        <f aca="false">IFERROR(LEN(SUBSTITUTE(CD37," ",""))-SUMPRODUCT((LEN(CD37)-LEN(SUBSTITUTE(CD37," "&amp;L_Role&amp;" "," ")))/(LEN(L_Role)+1)*LEN(L_Role)),0)</f>
        <v>0</v>
      </c>
      <c r="BT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revision",""),"version",""),"jan",""),"feb",""),"mar",""),"apr",""),"may",""),"jun",""),"jul",""),"aug",""),"sep",""),"oct",""),"nov",""),"dec",""),"utc",""),"gmt",""),"myt",""),"bst",""),"rev",""),"ver",""),"b","a"),"c","a"),"d","a"),"e","a"),"f","a"),"g","a"),"h","a"),"i","a"),"j","a"),"k","a"),"l","a"),"m","a"),"n","a"),"o","a"),"p","a"),"q","a"),"r","a"),"s","a"),"t","a"),"u","a"),"v","a"),"w","a"),"x","a"),"y","a"),"z","a")</f>
        <v/>
      </c>
      <c r="BU37" s="61" t="str">
        <f aca="false">SUBSTITUTE(SUBSTITUTE(SUBSTITUTE(SUBSTITUTE(SUBSTITUTE(SUBSTITUTE(SUBSTITUTE(SUBSTITUTE(SUBSTITUTE(SUBSTITUTE(LEFT(BM37,FIND("0",BM37&amp;"0")-1),"-",""),"_",""),"/",""),".",""),"#",""),"\\",""),":","")," ",""),"(",""),")","")</f>
        <v/>
      </c>
      <c r="BV37" s="61" t="n">
        <f aca="false">0</f>
        <v>0</v>
      </c>
      <c r="BW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amp;""),"a",""),"b",""),"c",""),"d",""),"e",""),"f",""),"g",""),"h",""),"i",""),"j",""),"k",""),"l",""),"m",""),"n",""),"o",""),"p",""),"q",""),"r",""),"s",""),"t",""),"u",""),"v",""),"w",""),"x",""),"y",""),"z",""),"-",""),"_",""),"/",""),".",""),"#",""),"\\",""),":","")," ",""),"(",""),")","")</f>
        <v/>
      </c>
      <c r="BX37" s="61" t="str">
        <f aca="false">SUBSTITUTE(SUBSTITUTE(SUBSTITUTE(SUBSTITUTE(SUBSTITUTE(SUBSTITUTE(SUBSTITUTE(SUBSTITUTE(SUBSTITUTE(SUBSTITUTE(SUBSTITUTE(BM37,"0",""),"-",""),"_",""),"/",""),".",""),"#",""),"\\",""),":","")," ",""),"(",""),")","")</f>
        <v/>
      </c>
      <c r="BY37" s="62" t="n">
        <f aca="false">Q37-T7EarlyD*24/24</f>
        <v>46283.5763888889</v>
      </c>
      <c r="BZ37" s="61" t="n">
        <f aca="false">IFERROR(IF(IF(TRIM(S37)="Link / file path",AND(LEN(TRIM(Z37))&gt;=5,SUMPRODUCT(--ISNUMBER(SEARCH({"http","www.","\\",":\",".pdf",".jpg",".jpeg",".png",".heic",".xls",".doc",".msg",".eml",".ppt",".txt",".zip"},Z37)))&gt;0),AND(ISERROR(FIND(" ",TRIM(Z37))),NOT(OR(SUMPRODUCT(--ISNUMBER(FIND({",",";","&amp;","+"},Z37)))&gt;0,SUMPRODUCT(--ISNUMBER(SEARCH({"0/aa","0\\aa"},BN37)))&gt;0)),NOT(SUMPRODUCT(--ISNUMBER(SEARCH({"http","www.","\\",":\",".pdf",".jpg",".jpeg",".png",".heic",".xls",".doc",".msg",".eml",".ppt",".txt",".zip"},Z37)))&gt;0),NOT(LOWER(TRIM(Z37))=LOWER(Flights!$F$6)),ISNA(MATCH(BU37,{"mh","rev","revision","ver","version","v","r","a","b","seat","tray","row","gate","bay","stand","page","pg","item","line","no","cart","galley","flight","flt","table","box","bag","oven","etd","eta","std","sta","atd","ata","qty","pax","x","time","tel","ph","mob","day","wk","week","utc","gmt","myt","lt"},0)),NOT(OR(ISNUMBER(MATCH(LEFT(BN37,255),{"0000a","000a","00a","0000aa","000aa","00aa","0aa","0000aaa","000aaa","00a00","0a00","0000-0000","00:00","a00","a0","00.00.0000","00/00/0000","00-00-0000","0000-00-00","0000/00/00","0000.00.00","00.00.00","00/00/00","00-00-00","0.00.0000","0/00/0000","0-00-0000"},0)),ISNUMBER(MATCH(LEFT(BT37,255),{"0000a","000a","00a","0000aa","000aa","00aa","0aa","0000aaa","000aaa","00a00","0a00","0000-0000","00:00","a00","a0","00.00.0000","00/00/0000","00-00-0000","0000-00-00","0000/00/00","0000.00.00","00.00.00","00/00/00","00-00-00","0.00.0000","0/00/0000","0-00-0000"},0)))),NOT(OR(AND(BW37&lt;&gt;"",SUBSTITUTE(BW37,"0","")=""),AND(LEN(BW37)&gt;=4,BW37=REPT(LEFT(BW37),LEN(BW37))),ISNUMBER(MATCH(BW37,{"123","1234","12345","123456","1234567","12345678","0123","01234","012345","98765","987654","54321"},0)),ISNUMBER(MATCH(BX37,{"x","xx","xxx","xxxx","xxxxx","abc","abcd","nil","na","nan","test","tbc","tba","tbd","dummy","sample","example","eg","zz","zzz","none","null","xyz","qwe","asd","id","ref"},0)),AND(LEN(BW37)=8,BX37="",OR(LEFT(BW37,3)="202",ISNUMBER(MATCH(RIGHT(BW37,4),{"2025","2026","2027"},0)))))),OR(AND((LEN(BT37)-LEN(SUBSTITUTE(BT37,"a","")))&gt;=1,(LEN(BN37)-LEN(SUBSTITUTE(BN37,"0","")))&gt;=2,SUMPRODUCT(--ISNUMBER(SEARCH({"a0","a-0","a_0","a/0","a.0","a#0","0a","0-a","0_a","0/a"},BN37)))&gt;0),AND((LEN(BN37)-LEN(SUBSTITUTE(BN37,"a","")))=0,(LEN(BN37)-LEN(SUBSTITUTE(BN37,"0","")))&gt;=5)))),1,0),0)</f>
        <v>0</v>
      </c>
      <c r="CA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revision",""),"version",""),"jan",""),"feb",""),"mar",""),"apr",""),"may",""),"jun",""),"jul",""),"aug",""),"sep",""),"oct",""),"nov",""),"dec",""),"utc",""),"gmt",""),"myt",""),"bst",""),"rev",""),"ver",""),"b","a"),"c","a"),"d","a"),"e","a"),"f","a"),"g","a"),"h","a"),"i","a"),"j","a"),"k","a"),"l","a"),"m","a"),"n","a"),"o","a"),"p","a"),"q","a"),"r","a"),"s","a"),"t","a"),"u","a"),"v","a"),"w","a"),"x","a"),"y","a"),"z","a")</f>
        <v/>
      </c>
      <c r="CB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amp;""),"a",""),"b",""),"c",""),"d",""),"e",""),"f",""),"g",""),"h",""),"i",""),"j",""),"k",""),"l",""),"m",""),"n",""),"o",""),"p",""),"q",""),"r",""),"s",""),"t",""),"u",""),"v",""),"w",""),"x",""),"y",""),"z",""),"-",""),"_",""),"/",""),".",""),"#",""),"\\",""),":","")," ",""),"(",""),")","")</f>
        <v/>
      </c>
      <c r="CC37" s="0" t="str">
        <f aca="false">" "&amp;TRIM(SUBSTITUTE(SUBSTITUTE(SUBSTITUTE(SUBSTITUTE(SUBSTITUTE(SUBSTITUTE(SUBSTITUTE(SUBSTITUTE(SUBSTITUTE(SUBSTITUTE(SUBSTITUTE(SUBSTITUTE(SUBSTITUTE(SUBSTITUTE(SUBSTITUTE(SUBSTITUTE(SUBSTITUTE(SUBSTITUTE(SUBSTITUTE(SUBSTITUTE(SUBSTITUTE(SUBSTITUTE(SUBSTITUTE(SUBSTITUTE(LOWER(T37&amp;""),CHAR(10)," "),CHAR(13)," "),CHAR(9)," "),CHAR(160)," "),"."," "),","," "),"-"," "),"/"," "),"("," "),")"," "),":"," "),";"," "),"_"," "),"–"," "),"?"," "),"!"," "),"*"," "),"["," "),"]"," "),"'"," "),"#"," "),"+"," "),"&amp;"," "),"\"," "))&amp;" "</f>
        <v>  </v>
      </c>
      <c r="CD37" s="0" t="str">
        <f aca="false">" "&amp;TRIM(SUBSTITUTE(SUBSTITUTE(SUBSTITUTE(SUBSTITUTE(SUBSTITUTE(SUBSTITUTE(SUBSTITUTE(SUBSTITUTE(SUBSTITUTE(SUBSTITUTE(SUBSTITUTE(SUBSTITUTE(SUBSTITUTE(SUBSTITUTE(SUBSTITUTE(SUBSTITUTE(SUBSTITUTE(SUBSTITUTE(SUBSTITUTE(SUBSTITUTE(SUBSTITUTE(SUBSTITUTE(SUBSTITUTE(SUBSTITUTE(LOWER(AE37&amp;""),CHAR(10)," "),CHAR(13)," "),CHAR(9)," "),CHAR(160)," "),"."," "),","," "),"-"," "),"/"," "),"("," "),")"," "),":"," "),";"," "),"_"," "),"–"," "),"?"," "),"!"," "),"*"," "),"["," "),"]"," "),"'"," "),"#"," "),"+"," "),"&amp;"," "),"\"," "))&amp;" "</f>
        <v>  </v>
      </c>
      <c r="CE37" s="68" t="n">
        <f aca="false">IFERROR(IF(AND(LEN(AU37)&gt;0,LEN(AU37)=LEN(AX37),OR(TRIM(MID(SUBSTITUTE(TRIM(CC37)," ",REPT(" ",60)),1,60))="",ISNUMBER(SEARCH(" "&amp;TRIM(MID(SUBSTITUTE(TRIM(CC37)," ",REPT(" ",60)),1,60))&amp;" ",CD37))),OR(TRIM(MID(SUBSTITUTE(TRIM(CC37)," ",REPT(" ",60)),61,60))="",ISNUMBER(SEARCH(" "&amp;TRIM(MID(SUBSTITUTE(TRIM(CC37)," ",REPT(" ",60)),61,60))&amp;" ",CD37))),OR(TRIM(MID(SUBSTITUTE(TRIM(CC37)," ",REPT(" ",60)),121,60))="",ISNUMBER(SEARCH(" "&amp;TRIM(MID(SUBSTITUTE(TRIM(CC37)," ",REPT(" ",60)),121,60))&amp;" ",CD37)))),1,0),0)</f>
        <v>0</v>
      </c>
      <c r="CG37" s="68" t="n">
        <f aca="false">IFERROR(LEN(SUBSTITUTE(BF37," ",""))-SUMPRODUCT((LEN(BF37)-LEN(SUBSTITUTE(BF37," "&amp;L_NAFiller&amp;" "," ")))/(LEN(L_NAFiller)+1)*LEN(L_NAFiller)),0)</f>
        <v>0</v>
      </c>
    </row>
    <row r="38" customFormat="false" ht="39.75" hidden="false" customHeight="true" outlineLevel="0" collapsed="false">
      <c r="A38" s="57" t="s">
        <v>481</v>
      </c>
      <c r="B38" s="57" t="s">
        <v>198</v>
      </c>
      <c r="C38" s="57" t="str">
        <f aca="false">Flights!$F$6</f>
        <v>MH0727</v>
      </c>
      <c r="D38" s="58" t="n">
        <f aca="false">Flights!$D$6</f>
        <v>46304</v>
      </c>
      <c r="E38" s="57" t="str">
        <f aca="false">Flights!$G$6&amp;"-"&amp;Flights!$H$6</f>
        <v>KUL-CGK</v>
      </c>
      <c r="F38" s="57" t="str">
        <f aca="false">Flights!$K$6</f>
        <v>BC</v>
      </c>
      <c r="G38" s="57" t="s">
        <v>81</v>
      </c>
      <c r="H38" s="57" t="s">
        <v>378</v>
      </c>
      <c r="I38" s="57" t="s">
        <v>411</v>
      </c>
      <c r="J38" s="57" t="s">
        <v>412</v>
      </c>
      <c r="K38" s="67" t="s">
        <v>482</v>
      </c>
      <c r="L38" s="67" t="s">
        <v>483</v>
      </c>
      <c r="M38" s="67"/>
      <c r="N38" s="67" t="s">
        <v>383</v>
      </c>
      <c r="O38" s="67"/>
      <c r="P38" s="57" t="s">
        <v>187</v>
      </c>
      <c r="Q38" s="59" t="n">
        <f aca="false">ROUND((Flights!$AC$6)*1440,0)/1440</f>
        <v>46297.5763888889</v>
      </c>
      <c r="R38" s="59" t="n">
        <f aca="false">Q38+(IF(AND(INDEX(TZ_DSTS,MATCH(P38,TZ_STN,0))&lt;&gt;"",Q38&gt;=INDEX(TZ_DSTS,MATCH(P38,TZ_STN,0)),Q38&lt;INDEX(TZ_DSTE,MATCH(P38,TZ_STN,0))),INDEX(TZ_DST,MATCH(P38,TZ_STN,0)),INDEX(TZ_STD,MATCH(P38,TZ_STN,0))))/24</f>
        <v>46297.9097222222</v>
      </c>
      <c r="S38" s="60"/>
      <c r="T38" s="60"/>
      <c r="U38" s="60"/>
      <c r="V38" s="60"/>
      <c r="W38" s="61"/>
      <c r="X38" s="60"/>
      <c r="Y38" s="60"/>
      <c r="Z38" s="60"/>
      <c r="AA38" s="60"/>
      <c r="AB38" s="60"/>
      <c r="AC38" s="60"/>
      <c r="AD38" s="66"/>
      <c r="AE38" s="60"/>
      <c r="AF38" s="61" t="str">
        <f aca="false">IF(AND(ISNUMBER(X38),ISNUMBER(Y38)),Y38-X38,"")</f>
        <v/>
      </c>
      <c r="AG38" s="62" t="str">
        <f aca="false">IF(ISNUMBER(AD38),AD38-(IF(AND(INDEX(TZ_DSTS,MATCH(P38,TZ_STN,0))&lt;&gt;"",(AD38-INDEX(TZ_STD,MATCH(P38,TZ_STN,0))/24)&gt;=INDEX(TZ_DSTS,MATCH(P38,TZ_STN,0)),(AD38-INDEX(TZ_STD,MATCH(P38,TZ_STN,0))/24)&lt;INDEX(TZ_DSTE,MATCH(P38,TZ_STN,0))),INDEX(TZ_DST,MATCH(P38,TZ_STN,0)),INDEX(TZ_STD,MATCH(P38,TZ_STN,0))))/24,"")</f>
        <v/>
      </c>
      <c r="AH38" s="65" t="str">
        <f aca="false">IFERROR(IF(N38="N/A – rule",IF(OR(TRIM(U38)="",TRIM(U38)="N/A",TRIM(U38)="Not started"),"N/A – RULE","INVALID – this check does not apply to this aircraft: clear the status (or correct the fleet on Flights)"),IF(TRIM(U38)="N/A",IF(AT38=0,"INVALID – N/A not permitted for this check",IF(AND(TRIM(AB38)&lt;&gt;"",TRIM(AB38)&lt;&gt;"Closed"),"INVALID – corrective action still open",IF(AND(NOT(OR(LEN(AZ38)&lt;15,ISNUMBER(MATCH(AZ38,L_Placeholder,0)))),BK38=0,CG38&gt;=8,NOT(OR(LEN(AU38)&lt;2,ISNUMBER(MATCH(AU38,L_Placeholder,0)))),BR38&gt;=3,NOT(OR(LEN(AX38)&lt;2,ISNUMBER(MATCH(AX38,L_Placeholder,0)))),BS38&gt;=3,TRIM(AE38)&lt;&gt;TRIM(T38),AX38&lt;&gt;AU38,CE38=0),"N/A – JUSTIFIED","INVALID – N/A needs a real, settled reason (not 'not applicable' / 'as above' / TBC), a named PIC and a different named verifier"))),IF(OR(TRIM(U38)="Pass",TRIM(U38)="Pass after CA"),IF(NOT(ISNUMBER(AD38)),"INVALID – completion time missing",IF(OR(OR(LEN(AU38)&lt;2,ISNUMBER(MATCH(AU38,L_Placeholder,0))),BR38&lt;3),"INVALID – PIC missing or not a named person (a role such as QA / CSM is not a name)",IF(OR(LEN(AV38)&lt;2,ISNUMBER(MATCH(AV38,L_Placeholder,0))),"INVALID – result / assessment missing",IF(OR(OR(LEN(AW38)&lt;3,ISNUMBER(MATCH(AW38,L_Placeholder,0))),SUMPRODUCT(--ISNUMBER(SEARCH(" "&amp;L_EvidencePhrase&amp;" ",BD38)))&gt;0,BI38=1),"INVALID – evidence missing, placeholder or not yet on file",IF(ISNA(MATCH(TRIM(S38),L_EvidenceType,0)),"INVALID – choose the evidence type from the list (column S)",IF(BL38=0,"INVALID – evidence ID must be the record's own ID only (e.g. SF-2210, IMG_2231, 1045521); a link / file name needs type 'Link / file path'",IF(OR(OR(LEN(AX38)&lt;2,ISNUMBER(MATCH(AX38,L_Placeholder,0))),BS38&lt;3),"INVALID – verifier missing or not a named person (a role such as QA / CSM is not a name)",IF(OR(AX38=AU38,CE38=1,AND(LEN(AU38)&gt;=4,ISNUMBER(SEARCH(AU38,AX38))),AND(LEN(AX38)&gt;=4,ISNUMBER(SEARCH(AX38,AU38)))),"INVALID – verifier must be a different, named person (not the PIC or a role)",IF(BH38=1,"INVALID – result not yet available (awaiting / TBC)",IF(BG38=1,"INVALID – result describes a problem: record Fail, then Pass after CA (or reword if it is not a problem)",IF(BV38=1,"INVALID – wording says not on board: an on-board confirmation needs the item loaded",IF(AND(AQ38=1,OR(OR(LEN(AY38)&lt;3,ISNUMBER(MATCH(AY38,L_Placeholder,0))),BJ38=1,BQ38=0)),"INVALID – batch ID missing, placeholder or not an ID (e.g. PASB-261008-BC-017)",IF(AND(AR38=1,OR(NOT(ISNUMBER(X38)),NOT(ISNUMBER(Y38)))),"INVALID – expected/actual qty missing",IF(AND(AR38=1,OR(X38&lt;=0,Y38&lt;0)),"INVALID – expected qty must be above 0 and actual not negative",IF(BB38&lt;&gt;"",BB38,IF(AND(AS38=1,Documents!$J$6&lt;&gt;"ON FILE"),"INVALID – GLD not on file (Documents sheet)",IF(AND(AS38=2,Documents!$O$6&lt;&gt;"ON FILE"),"INVALID – menu checklist not on file (Documents sheet)",IF(AND(AS38=3,NOT(ISNUMBER(Flights!$AX$6))),"INVALID – enter carrying flight KUL departure (Flights AX)",IF(AND(AS38=3,OR(Flights!$AZ$6&gt;Flights!$AA$6,Flights!$AX$6&lt;Flights!$AA$6-3)),"INVALID – carrying flight (Flights AX) cannot arrive before this leg's STD, or is over 3 days early",IF(AG38&gt;AsOfUTC,"INVALID – completion time is in the future",IF(AND(ISNUMBER(BY38),AG38&lt;BY38),IF(H38="Physical uplift","INVALID – before uplift window (cannot confirm loading)","INVALID – before valid window"),IF(AG38&gt;Flights!$AA$6,"INVALID – completed after departure (cannot establish readiness)",IF(AND(H38="Preparation",AG38&gt;=IF(ISNUMBER(Flights!$BA$6),MIN(Flights!$BA$6,Flights!$AA$6),Flights!$AA$6)),"INVALID – completed after loading / departure (cannot establish readiness)",IF(AND(H38="Physical uplift",AG38&gt;Q38),"INVALID – recorded after the loading flight departed",IF(AG38&gt;Q38,"COMPLETE – LATE","COMPLETE"))))))))))))))))))))))))),IF(TRIM(U38)="Fail","FAIL – DISCREPANCY",IF(AND(TRIM(U38)&lt;&gt;"",TRIM(U38)&lt;&gt;"Not started",TRIM(U38)&lt;&gt;"In progress"),"INVALID – unrecognised status (use the list)",IF(AsOfUTC&gt;Q38,"OVERDUE",IF(N38="Clarification required","OPEN – CLARIFICATION","OPEN"))))))),"INVALID – error value in an input cell")</f>
        <v>OPEN</v>
      </c>
      <c r="AI38" s="61" t="n">
        <f aca="false">IF(OR(AH38="N/A – RULE",AH38="N/A – JUSTIFIED"),0,1)</f>
        <v>1</v>
      </c>
      <c r="AJ38" s="61" t="n">
        <f aca="false">IF(LEFT(AH38,8)="COMPLETE",1,0)</f>
        <v>0</v>
      </c>
      <c r="AK38" s="61" t="n">
        <f aca="false">IF(AND(AI38=1,AJ38=0,AsOfUTC&gt;Q38),1,0)</f>
        <v>0</v>
      </c>
      <c r="AL38" s="61" t="n">
        <f aca="false">IFERROR(IF(AND(AI38=1,OR(TRIM(U38)="Fail",AND(TRIM(AB38)&lt;&gt;"",TRIM(AB38)&lt;&gt;"Closed"),AND(ISNUMBER(AF38),AF38&lt;&gt;0,TRIM(U38)&lt;&gt;"Pass after CA"))),1,0),1)</f>
        <v>0</v>
      </c>
      <c r="AM38" s="61" t="n">
        <f aca="false">IF(LEFT(AH38,7)="INVALID",1,0)</f>
        <v>0</v>
      </c>
      <c r="AN38" s="61" t="n">
        <f aca="false">IF(AND(N38="Clarification required",AI38=1,AJ38=0),1,0)</f>
        <v>0</v>
      </c>
      <c r="AO38" s="61" t="str">
        <f aca="false">IF(AK38=1,SUM(AK$5:AK38),"")</f>
        <v/>
      </c>
      <c r="AP38" s="61" t="str">
        <f aca="false">IF(AL38=1,SUM(AL$5:AL38),"")</f>
        <v/>
      </c>
      <c r="AQ38" s="61" t="n">
        <v>0</v>
      </c>
      <c r="AR38" s="61" t="n">
        <v>0</v>
      </c>
      <c r="AS38" s="61" t="n">
        <v>0</v>
      </c>
      <c r="AT38" s="61" t="n">
        <v>0</v>
      </c>
      <c r="AU38" s="61" t="str">
        <f aca="false">SUBSTITUTE(SUBSTITUTE(SUBSTITUTE(SUBSTITUTE(SUBSTITUTE(SUBSTITUTE(SUBSTITUTE(SUBSTITUTE(SUBSTITUTE(SUBSTITUTE(SUBSTITUTE(SUBSTITUTE(SUBSTITUTE(SUBSTITUTE(SUBSTITUTE(SUBSTITUTE(LOWER(T38&amp;""),CHAR(10),""),CHAR(13),""),CHAR(9),""),CHAR(160),"")," ",""),".",""),"-",""),"/",""),"?",""),"_",""),",",""),"[",""),"]",""),"(",""),")",""),"*","")</f>
        <v/>
      </c>
      <c r="AV38" s="61" t="str">
        <f aca="false">SUBSTITUTE(SUBSTITUTE(SUBSTITUTE(SUBSTITUTE(SUBSTITUTE(SUBSTITUTE(SUBSTITUTE(SUBSTITUTE(SUBSTITUTE(SUBSTITUTE(SUBSTITUTE(SUBSTITUTE(SUBSTITUTE(SUBSTITUTE(SUBSTITUTE(SUBSTITUTE(LOWER(V38&amp;""),CHAR(10),""),CHAR(13),""),CHAR(9),""),CHAR(160),"")," ",""),".",""),"-",""),"/",""),"?",""),"_",""),",",""),"[",""),"]",""),"(",""),")",""),"*","")</f>
        <v/>
      </c>
      <c r="AW38" s="61" t="str">
        <f aca="false">SUBSTITUTE(SUBSTITUTE(SUBSTITUTE(SUBSTITUTE(SUBSTITUTE(SUBSTITUTE(SUBSTITUTE(SUBSTITUTE(SUBSTITUTE(SUBSTITUTE(SUBSTITUTE(SUBSTITUTE(SUBSTITUTE(SUBSTITUTE(SUBSTITUTE(SUBSTITUTE(LOWER(Z38&amp;""),CHAR(10),""),CHAR(13),""),CHAR(9),""),CHAR(160),"")," ",""),".",""),"-",""),"/",""),"?",""),"_",""),",",""),"[",""),"]",""),"(",""),")",""),"*","")</f>
        <v/>
      </c>
      <c r="AX38" s="61" t="str">
        <f aca="false">SUBSTITUTE(SUBSTITUTE(SUBSTITUTE(SUBSTITUTE(SUBSTITUTE(SUBSTITUTE(SUBSTITUTE(SUBSTITUTE(SUBSTITUTE(SUBSTITUTE(SUBSTITUTE(SUBSTITUTE(SUBSTITUTE(SUBSTITUTE(SUBSTITUTE(SUBSTITUTE(LOWER(AE38&amp;""),CHAR(10),""),CHAR(13),""),CHAR(9),""),CHAR(160),"")," ",""),".",""),"-",""),"/",""),"?",""),"_",""),",",""),"[",""),"]",""),"(",""),")",""),"*","")</f>
        <v/>
      </c>
      <c r="AY38" s="61" t="str">
        <f aca="false">SUBSTITUTE(SUBSTITUTE(SUBSTITUTE(SUBSTITUTE(SUBSTITUTE(SUBSTITUTE(SUBSTITUTE(SUBSTITUTE(SUBSTITUTE(SUBSTITUTE(SUBSTITUTE(SUBSTITUTE(SUBSTITUTE(SUBSTITUTE(SUBSTITUTE(SUBSTITUTE(LOWER(W38&amp;""),CHAR(10),""),CHAR(13),""),CHAR(9),""),CHAR(160),"")," ",""),".",""),"-",""),"/",""),"?",""),"_",""),",",""),"[",""),"]",""),"(",""),")",""),"*","")</f>
        <v/>
      </c>
      <c r="AZ38" s="61" t="str">
        <f aca="false">SUBSTITUTE(SUBSTITUTE(SUBSTITUTE(SUBSTITUTE(SUBSTITUTE(SUBSTITUTE(SUBSTITUTE(SUBSTITUTE(SUBSTITUTE(SUBSTITUTE(SUBSTITUTE(SUBSTITUTE(SUBSTITUTE(SUBSTITUTE(SUBSTITUTE(SUBSTITUTE(LOWER(AC38&amp;""),CHAR(10),""),CHAR(13),""),CHAR(9),""),CHAR(160),"")," ",""),".",""),"-",""),"/",""),"?",""),"_",""),",",""),"[",""),"]",""),"(",""),")",""),"*","")</f>
        <v/>
      </c>
      <c r="BA38" s="61" t="str">
        <f aca="false">SUBSTITUTE(SUBSTITUTE(SUBSTITUTE(SUBSTITUTE(SUBSTITUTE(SUBSTITUTE(SUBSTITUTE(SUBSTITUTE(SUBSTITUTE(SUBSTITUTE(SUBSTITUTE(SUBSTITUTE(SUBSTITUTE(SUBSTITUTE(SUBSTITUTE(SUBSTITUTE(LOWER(AA38&amp;""),CHAR(10),""),CHAR(13),""),CHAR(9),""),CHAR(160),"")," ",""),".",""),"-",""),"/",""),"?",""),"_",""),",",""),"[",""),"]",""),"(",""),")",""),"*","")</f>
        <v/>
      </c>
      <c r="BB38" s="61" t="str">
        <f aca="false">IF(AND(TRIM(U38)="Pass",ISNUMBER(AF38)),IF(AF38&lt;&gt;0,"INVALID – qty variance: use Fail or Pass after CA",""),"")&amp;IF(AND(TRIM(U38)="Pass after CA",ISNUMBER(AF38)),IF(AF38&lt;&gt;0,"INVALID – after the corrective action the actual qty must equal expected (update Actual)",""),"")&amp;IF(AND(TRIM(U38)="Pass",TRIM(AB38)&lt;&gt;"",TRIM(AB38)&lt;&gt;"Closed"),"INVALID – corrective action not closed: use Fail, then Pass after CA","")&amp;IF(AND(LEN(BA38)&gt;=2,ISNA(MATCH(LEFT(BA38,255),L_Placeholder,0)),TRIM(AB38)=""),"INVALID – CA status missing for the recorded corrective action","")&amp;IF(AND(TRIM(U38)="Pass after CA",OR(OR(LEN(BA38)&lt;5,ISNUMBER(MATCH(BA38,L_Placeholder,0))),TRIM(AB38)&lt;&gt;"Closed")),"INVALID – corrective action not recorded/closed","")</f>
        <v/>
      </c>
      <c r="BC38" s="61" t="str">
        <f aca="false">" "&amp;TRIM(SUBSTITUTE(SUBSTITUTE(SUBSTITUTE(SUBSTITUTE(SUBSTITUTE(SUBSTITUTE(SUBSTITUTE(SUBSTITUTE(SUBSTITUTE(SUBSTITUTE(SUBSTITUTE(SUBSTITUTE(SUBSTITUTE(SUBSTITUTE(SUBSTITUTE(SUBSTITUTE(SUBSTITUTE(SUBSTITUTE(SUBSTITUTE(SUBSTITUTE(SUBSTITUTE(SUBSTITUTE(SUBSTITUTE(SUBSTITUTE(LOWER(V38&amp;""),CHAR(10)," "),CHAR(13)," "),CHAR(9)," "),CHAR(160)," "),"."," "),","," "),"-"," "),"/"," "),"("," "),")"," "),":"," "),";"," "),"_"," "),"–"," "),"?"," "),"!"," "),"*"," "),"["," "),"]"," "),"'"," "),"#"," "),"+"," "),"&amp;"," "),"\"," "))&amp;" "</f>
        <v>  </v>
      </c>
      <c r="BD38" s="61" t="str">
        <f aca="false">" "&amp;TRIM(SUBSTITUTE(SUBSTITUTE(SUBSTITUTE(SUBSTITUTE(SUBSTITUTE(SUBSTITUTE(SUBSTITUTE(SUBSTITUTE(SUBSTITUTE(SUBSTITUTE(SUBSTITUTE(SUBSTITUTE(SUBSTITUTE(SUBSTITUTE(SUBSTITUTE(SUBSTITUTE(SUBSTITUTE(SUBSTITUTE(SUBSTITUTE(SUBSTITUTE(SUBSTITUTE(SUBSTITUTE(SUBSTITUTE(SUBSTITUTE(LOWER(Z38&amp;""),CHAR(10)," "),CHAR(13)," "),CHAR(9)," "),CHAR(160)," "),"."," "),","," "),"-"," "),"/"," "),"("," "),")"," "),":"," "),";"," "),"_"," "),"–"," "),"?"," "),"!"," "),"*"," "),"["," "),"]"," "),"'"," "),"#"," "),"+"," "),"&amp;"," "),"\"," "))&amp;" "</f>
        <v>  </v>
      </c>
      <c r="BE38" s="61" t="str">
        <f aca="false">" "&amp;TRIM(SUBSTITUTE(SUBSTITUTE(SUBSTITUTE(SUBSTITUTE(SUBSTITUTE(SUBSTITUTE(SUBSTITUTE(SUBSTITUTE(SUBSTITUTE(SUBSTITUTE(SUBSTITUTE(SUBSTITUTE(SUBSTITUTE(SUBSTITUTE(SUBSTITUTE(SUBSTITUTE(SUBSTITUTE(SUBSTITUTE(SUBSTITUTE(SUBSTITUTE(SUBSTITUTE(SUBSTITUTE(SUBSTITUTE(SUBSTITUTE(LOWER(W38&amp;""),CHAR(10)," "),CHAR(13)," "),CHAR(9)," "),CHAR(160)," "),"."," "),","," "),"-"," "),"/"," "),"("," "),")"," "),":"," "),";"," "),"_"," "),"–"," "),"?"," "),"!"," "),"*"," "),"["," "),"]"," "),"'"," "),"#"," "),"+"," "),"&amp;"," "),"\"," "))&amp;" "</f>
        <v>  </v>
      </c>
      <c r="BF38" s="61" t="str">
        <f aca="false">" "&amp;TRIM(SUBSTITUTE(SUBSTITUTE(SUBSTITUTE(SUBSTITUTE(SUBSTITUTE(SUBSTITUTE(SUBSTITUTE(SUBSTITUTE(SUBSTITUTE(SUBSTITUTE(SUBSTITUTE(SUBSTITUTE(SUBSTITUTE(SUBSTITUTE(SUBSTITUTE(SUBSTITUTE(SUBSTITUTE(SUBSTITUTE(SUBSTITUTE(SUBSTITUTE(SUBSTITUTE(SUBSTITUTE(SUBSTITUTE(SUBSTITUTE(LOWER(AC38&amp;""),CHAR(10)," "),CHAR(13)," "),CHAR(9)," "),CHAR(160)," "),"."," "),","," "),"-"," "),"/"," "),"("," "),")"," "),":"," "),";"," "),"_"," "),"–"," "),"?"," "),"!"," "),"*"," "),"["," "),"]"," "),"'"," "),"#"," "),"+"," "),"&amp;"," "),"\"," "))&amp;" "</f>
        <v>  </v>
      </c>
      <c r="BG38" s="61" t="n">
        <f aca="false">IFERROR(IF(AND(TRIM(U38)="Pass",SUMPRODUCT((LEN(BC38)-LEN(SUBSTITUTE(BC38," "&amp;L_ResultBad&amp;" "," ")))/(LEN(L_ResultBad)+1))&gt;SUMPRODUCT((LEN(BC38)-LEN(SUBSTITUTE(BC38," "&amp;L_NegPhrase&amp;" "," ")))/(LEN(L_NegPhrase)+1))),1,0),0)</f>
        <v>0</v>
      </c>
      <c r="BH38" s="61" t="n">
        <f aca="false">IFERROR(IF(SUMPRODUCT((LEN(BC38)-LEN(SUBSTITUTE(BC38," "&amp;L_Pending&amp;" "," ")))/(LEN(L_Pending)+1))&gt;SUMPRODUCT((LEN(BC38)-LEN(SUBSTITUTE(BC38," "&amp;L_PendNeg&amp;" "," ")))/(LEN(L_PendNeg)+1))+SUMPRODUCT((LEN(BC38)-LEN(SUBSTITUTE(BC38," "&amp;L_PendPrep&amp;" "," ")))/(LEN(L_PendPrep)+1)),1,0),1)</f>
        <v>0</v>
      </c>
      <c r="BI38" s="61" t="n">
        <f aca="false">IFERROR(IF(SUMPRODUCT((LEN(BD38)-LEN(SUBSTITUTE(BD38," "&amp;L_PendStrict&amp;" "," ")))/(LEN(L_PendStrict)+1))&gt;SUMPRODUCT((LEN(BD38)-LEN(SUBSTITUTE(BD38," "&amp;L_PendNeg&amp;" "," ")))/(LEN(L_PendNeg)+1)),1,0),1)</f>
        <v>0</v>
      </c>
      <c r="BJ38" s="61" t="n">
        <f aca="false">IFERROR(IF(SUMPRODUCT((LEN(BE38)-LEN(SUBSTITUTE(BE38," "&amp;L_Pending&amp;" "," ")))/(LEN(L_Pending)+1))&gt;SUMPRODUCT((LEN(BE38)-LEN(SUBSTITUTE(BE38," "&amp;L_PendNeg&amp;" "," ")))/(LEN(L_PendNeg)+1))+SUMPRODUCT((LEN(BE38)-LEN(SUBSTITUTE(BE38," "&amp;L_PendPrep&amp;" "," ")))/(LEN(L_PendPrep)+1)),1,0),1)</f>
        <v>0</v>
      </c>
      <c r="BK38" s="61" t="n">
        <f aca="false">IFERROR(IF(SUMPRODUCT((LEN(BF38)-LEN(SUBSTITUTE(BF38," "&amp;L_PendStrict&amp;" "," ")))/(LEN(L_PendStrict)+1))&gt;SUMPRODUCT((LEN(BF38)-LEN(SUBSTITUTE(BF38," "&amp;L_PendNeg&amp;" "," ")))/(LEN(L_PendNeg)+1)),1,0),1)</f>
        <v>0</v>
      </c>
      <c r="BL38" s="61" t="n">
        <f aca="false">IF(ISNA(MATCH(TRIM(S38),L_EvidenceType,0)),0,BZ38)</f>
        <v>0</v>
      </c>
      <c r="BM38" s="61" t="str">
        <f aca="false">SUBSTITUTE(SUBSTITUTE(SUBSTITUTE(SUBSTITUTE(SUBSTITUTE(SUBSTITUTE(SUBSTITUTE(SUBSTITUTE(SUBSTITUTE(LOWER(Z38&amp;""),"1","0"),"2","0"),"3","0"),"4","0"),"5","0"),"6","0"),"7","0"),"8","0"),"9","0")</f>
        <v/>
      </c>
      <c r="BN38" s="61" t="str">
        <f aca="false">SUBSTITUTE(SUBSTITUTE(SUBSTITUTE(SUBSTITUTE(SUBSTITUTE(SUBSTITUTE(SUBSTITUTE(SUBSTITUTE(SUBSTITUTE(SUBSTITUTE(SUBSTITUTE(SUBSTITUTE(SUBSTITUTE(SUBSTITUTE(SUBSTITUTE(SUBSTITUTE(SUBSTITUTE(SUBSTITUTE(SUBSTITUTE(SUBSTITUTE(SUBSTITUTE(SUBSTITUTE(SUBSTITUTE(SUBSTITUTE(SUBSTITUTE(BM38,"b","a"),"c","a"),"d","a"),"e","a"),"f","a"),"g","a"),"h","a"),"i","a"),"j","a"),"k","a"),"l","a"),"m","a"),"n","a"),"o","a"),"p","a"),"q","a"),"r","a"),"s","a"),"t","a"),"u","a"),"v","a"),"w","a"),"x","a"),"y","a"),"z","a")</f>
        <v/>
      </c>
      <c r="BO38" s="61" t="str">
        <f aca="false">SUBSTITUTE(SUBSTITUTE(SUBSTITUTE(SUBSTITUTE(SUBSTITUTE(SUBSTITUTE(SUBSTITUTE(SUBSTITUTE(SUBSTITUTE(LOWER(W38&amp;""),"1","0"),"2","0"),"3","0"),"4","0"),"5","0"),"6","0"),"7","0"),"8","0"),"9","0")</f>
        <v/>
      </c>
      <c r="BP38" s="61" t="str">
        <f aca="false">SUBSTITUTE(SUBSTITUTE(SUBSTITUTE(SUBSTITUTE(SUBSTITUTE(SUBSTITUTE(SUBSTITUTE(SUBSTITUTE(SUBSTITUTE(SUBSTITUTE(SUBSTITUTE(SUBSTITUTE(SUBSTITUTE(SUBSTITUTE(SUBSTITUTE(SUBSTITUTE(SUBSTITUTE(SUBSTITUTE(SUBSTITUTE(SUBSTITUTE(SUBSTITUTE(SUBSTITUTE(SUBSTITUTE(SUBSTITUTE(SUBSTITUTE(BO38,"b","a"),"c","a"),"d","a"),"e","a"),"f","a"),"g","a"),"h","a"),"i","a"),"j","a"),"k","a"),"l","a"),"m","a"),"n","a"),"o","a"),"p","a"),"q","a"),"r","a"),"s","a"),"t","a"),"u","a"),"v","a"),"w","a"),"x","a"),"y","a"),"z","a")</f>
        <v/>
      </c>
      <c r="BQ38" s="61" t="n">
        <f aca="false">IFERROR(IF(AND(ISERROR(SEARCH(" mh"," "&amp;LOWER(W38))),ISNA(MATCH(LEFT(TRIM(BP38),255),{"0000a","000a","00a","0000aa","000aa","00aa","0aa","0000aaa","000aaa","00a00","0a00","0000-0000","00:00","a00","a0","00.00.0000","00/00/0000","00-00-0000","0000-00-00","0000/00/00","0000.00.00","00.00.00","00/00/00","00-00-00","0.00.0000","0/00/0000","0-00-0000"},0)),ISNA(MATCH(LEFT(TRIM(CA38),255),{"0000a","000a","00a","0000aa","000aa","00aa","0aa","0000aaa","000aaa","00a00","0a00","0000-0000","00:00","a00","a0","00.00.0000","00/00/0000","00-00-0000","0000-00-00","0000/00/00","0000.00.00","00.00.00","00/00/00","00-00-00","0.00.0000","0/00/0000","0-00-0000"},0)),LEN(CB38)&gt;=3,NOT(OR(SUBSTITUTE(CB38,"0","")="",AND(LEN(CB38)&gt;=4,CB38=REPT(LEFT(CB38),LEN(CB38))),ISNUMBER(MATCH(CB38,{"123","1234","12345","123456","1234567","12345678","0123","01234","012345","98765","987654","54321"},0)),AND(LEN(CB38)=8,LEFT(CB38,3)="202"))),OR(AND((LEN(CA38)-LEN(SUBSTITUTE(CA38,"a","")))&gt;=1,SUMPRODUCT(--ISNUMBER(SEARCH({"a0","a-0","a_0","a/0","a.0","a#0","0a","0-a","0_a","0/a"},BP38)))&gt;0),ISNUMBER(SEARCH("000000",BP38)))),1,0),0)</f>
        <v>0</v>
      </c>
      <c r="BR38" s="61" t="n">
        <f aca="false">IFERROR(LEN(SUBSTITUTE(CC38," ",""))-SUMPRODUCT((LEN(CC38)-LEN(SUBSTITUTE(CC38," "&amp;L_Role&amp;" "," ")))/(LEN(L_Role)+1)*LEN(L_Role)),0)</f>
        <v>0</v>
      </c>
      <c r="BS38" s="61" t="n">
        <f aca="false">IFERROR(LEN(SUBSTITUTE(CD38," ",""))-SUMPRODUCT((LEN(CD38)-LEN(SUBSTITUTE(CD38," "&amp;L_Role&amp;" "," ")))/(LEN(L_Role)+1)*LEN(L_Role)),0)</f>
        <v>0</v>
      </c>
      <c r="BT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revision",""),"version",""),"jan",""),"feb",""),"mar",""),"apr",""),"may",""),"jun",""),"jul",""),"aug",""),"sep",""),"oct",""),"nov",""),"dec",""),"utc",""),"gmt",""),"myt",""),"bst",""),"rev",""),"ver",""),"b","a"),"c","a"),"d","a"),"e","a"),"f","a"),"g","a"),"h","a"),"i","a"),"j","a"),"k","a"),"l","a"),"m","a"),"n","a"),"o","a"),"p","a"),"q","a"),"r","a"),"s","a"),"t","a"),"u","a"),"v","a"),"w","a"),"x","a"),"y","a"),"z","a")</f>
        <v/>
      </c>
      <c r="BU38" s="61" t="str">
        <f aca="false">SUBSTITUTE(SUBSTITUTE(SUBSTITUTE(SUBSTITUTE(SUBSTITUTE(SUBSTITUTE(SUBSTITUTE(SUBSTITUTE(SUBSTITUTE(SUBSTITUTE(LEFT(BM38,FIND("0",BM38&amp;"0")-1),"-",""),"_",""),"/",""),".",""),"#",""),"\\",""),":","")," ",""),"(",""),")","")</f>
        <v/>
      </c>
      <c r="BV38" s="61" t="n">
        <f aca="false">0</f>
        <v>0</v>
      </c>
      <c r="BW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amp;""),"a",""),"b",""),"c",""),"d",""),"e",""),"f",""),"g",""),"h",""),"i",""),"j",""),"k",""),"l",""),"m",""),"n",""),"o",""),"p",""),"q",""),"r",""),"s",""),"t",""),"u",""),"v",""),"w",""),"x",""),"y",""),"z",""),"-",""),"_",""),"/",""),".",""),"#",""),"\\",""),":","")," ",""),"(",""),")","")</f>
        <v/>
      </c>
      <c r="BX38" s="61" t="str">
        <f aca="false">SUBSTITUTE(SUBSTITUTE(SUBSTITUTE(SUBSTITUTE(SUBSTITUTE(SUBSTITUTE(SUBSTITUTE(SUBSTITUTE(SUBSTITUTE(SUBSTITUTE(SUBSTITUTE(BM38,"0",""),"-",""),"_",""),"/",""),".",""),"#",""),"\\",""),":","")," ",""),"(",""),")","")</f>
        <v/>
      </c>
      <c r="BY38" s="62" t="n">
        <f aca="false">Q38-T7EarlyD*24/24</f>
        <v>46283.5763888889</v>
      </c>
      <c r="BZ38" s="61" t="n">
        <f aca="false">IFERROR(IF(IF(TRIM(S38)="Link / file path",AND(LEN(TRIM(Z38))&gt;=5,SUMPRODUCT(--ISNUMBER(SEARCH({"http","www.","\\",":\",".pdf",".jpg",".jpeg",".png",".heic",".xls",".doc",".msg",".eml",".ppt",".txt",".zip"},Z38)))&gt;0),AND(ISERROR(FIND(" ",TRIM(Z38))),NOT(OR(SUMPRODUCT(--ISNUMBER(FIND({",",";","&amp;","+"},Z38)))&gt;0,SUMPRODUCT(--ISNUMBER(SEARCH({"0/aa","0\\aa"},BN38)))&gt;0)),NOT(SUMPRODUCT(--ISNUMBER(SEARCH({"http","www.","\\",":\",".pdf",".jpg",".jpeg",".png",".heic",".xls",".doc",".msg",".eml",".ppt",".txt",".zip"},Z38)))&gt;0),NOT(LOWER(TRIM(Z38))=LOWER(Flights!$F$6)),ISNA(MATCH(BU38,{"mh","rev","revision","ver","version","v","r","a","b","seat","tray","row","gate","bay","stand","page","pg","item","line","no","cart","galley","flight","flt","table","box","bag","oven","etd","eta","std","sta","atd","ata","qty","pax","x","time","tel","ph","mob","day","wk","week","utc","gmt","myt","lt"},0)),NOT(OR(ISNUMBER(MATCH(LEFT(BN38,255),{"0000a","000a","00a","0000aa","000aa","00aa","0aa","0000aaa","000aaa","00a00","0a00","0000-0000","00:00","a00","a0","00.00.0000","00/00/0000","00-00-0000","0000-00-00","0000/00/00","0000.00.00","00.00.00","00/00/00","00-00-00","0.00.0000","0/00/0000","0-00-0000"},0)),ISNUMBER(MATCH(LEFT(BT38,255),{"0000a","000a","00a","0000aa","000aa","00aa","0aa","0000aaa","000aaa","00a00","0a00","0000-0000","00:00","a00","a0","00.00.0000","00/00/0000","00-00-0000","0000-00-00","0000/00/00","0000.00.00","00.00.00","00/00/00","00-00-00","0.00.0000","0/00/0000","0-00-0000"},0)))),NOT(OR(AND(BW38&lt;&gt;"",SUBSTITUTE(BW38,"0","")=""),AND(LEN(BW38)&gt;=4,BW38=REPT(LEFT(BW38),LEN(BW38))),ISNUMBER(MATCH(BW38,{"123","1234","12345","123456","1234567","12345678","0123","01234","012345","98765","987654","54321"},0)),ISNUMBER(MATCH(BX38,{"x","xx","xxx","xxxx","xxxxx","abc","abcd","nil","na","nan","test","tbc","tba","tbd","dummy","sample","example","eg","zz","zzz","none","null","xyz","qwe","asd","id","ref"},0)),AND(LEN(BW38)=8,BX38="",OR(LEFT(BW38,3)="202",ISNUMBER(MATCH(RIGHT(BW38,4),{"2025","2026","2027"},0)))))),OR(AND((LEN(BT38)-LEN(SUBSTITUTE(BT38,"a","")))&gt;=1,(LEN(BN38)-LEN(SUBSTITUTE(BN38,"0","")))&gt;=2,SUMPRODUCT(--ISNUMBER(SEARCH({"a0","a-0","a_0","a/0","a.0","a#0","0a","0-a","0_a","0/a"},BN38)))&gt;0),AND((LEN(BN38)-LEN(SUBSTITUTE(BN38,"a","")))=0,(LEN(BN38)-LEN(SUBSTITUTE(BN38,"0","")))&gt;=5)))),1,0),0)</f>
        <v>0</v>
      </c>
      <c r="CA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revision",""),"version",""),"jan",""),"feb",""),"mar",""),"apr",""),"may",""),"jun",""),"jul",""),"aug",""),"sep",""),"oct",""),"nov",""),"dec",""),"utc",""),"gmt",""),"myt",""),"bst",""),"rev",""),"ver",""),"b","a"),"c","a"),"d","a"),"e","a"),"f","a"),"g","a"),"h","a"),"i","a"),"j","a"),"k","a"),"l","a"),"m","a"),"n","a"),"o","a"),"p","a"),"q","a"),"r","a"),"s","a"),"t","a"),"u","a"),"v","a"),"w","a"),"x","a"),"y","a"),"z","a")</f>
        <v/>
      </c>
      <c r="CB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amp;""),"a",""),"b",""),"c",""),"d",""),"e",""),"f",""),"g",""),"h",""),"i",""),"j",""),"k",""),"l",""),"m",""),"n",""),"o",""),"p",""),"q",""),"r",""),"s",""),"t",""),"u",""),"v",""),"w",""),"x",""),"y",""),"z",""),"-",""),"_",""),"/",""),".",""),"#",""),"\\",""),":","")," ",""),"(",""),")","")</f>
        <v/>
      </c>
      <c r="CC38" s="0" t="str">
        <f aca="false">" "&amp;TRIM(SUBSTITUTE(SUBSTITUTE(SUBSTITUTE(SUBSTITUTE(SUBSTITUTE(SUBSTITUTE(SUBSTITUTE(SUBSTITUTE(SUBSTITUTE(SUBSTITUTE(SUBSTITUTE(SUBSTITUTE(SUBSTITUTE(SUBSTITUTE(SUBSTITUTE(SUBSTITUTE(SUBSTITUTE(SUBSTITUTE(SUBSTITUTE(SUBSTITUTE(SUBSTITUTE(SUBSTITUTE(SUBSTITUTE(SUBSTITUTE(LOWER(T38&amp;""),CHAR(10)," "),CHAR(13)," "),CHAR(9)," "),CHAR(160)," "),"."," "),","," "),"-"," "),"/"," "),"("," "),")"," "),":"," "),";"," "),"_"," "),"–"," "),"?"," "),"!"," "),"*"," "),"["," "),"]"," "),"'"," "),"#"," "),"+"," "),"&amp;"," "),"\"," "))&amp;" "</f>
        <v>  </v>
      </c>
      <c r="CD38" s="0" t="str">
        <f aca="false">" "&amp;TRIM(SUBSTITUTE(SUBSTITUTE(SUBSTITUTE(SUBSTITUTE(SUBSTITUTE(SUBSTITUTE(SUBSTITUTE(SUBSTITUTE(SUBSTITUTE(SUBSTITUTE(SUBSTITUTE(SUBSTITUTE(SUBSTITUTE(SUBSTITUTE(SUBSTITUTE(SUBSTITUTE(SUBSTITUTE(SUBSTITUTE(SUBSTITUTE(SUBSTITUTE(SUBSTITUTE(SUBSTITUTE(SUBSTITUTE(SUBSTITUTE(LOWER(AE38&amp;""),CHAR(10)," "),CHAR(13)," "),CHAR(9)," "),CHAR(160)," "),"."," "),","," "),"-"," "),"/"," "),"("," "),")"," "),":"," "),";"," "),"_"," "),"–"," "),"?"," "),"!"," "),"*"," "),"["," "),"]"," "),"'"," "),"#"," "),"+"," "),"&amp;"," "),"\"," "))&amp;" "</f>
        <v>  </v>
      </c>
      <c r="CE38" s="68" t="n">
        <f aca="false">IFERROR(IF(AND(LEN(AU38)&gt;0,LEN(AU38)=LEN(AX38),OR(TRIM(MID(SUBSTITUTE(TRIM(CC38)," ",REPT(" ",60)),1,60))="",ISNUMBER(SEARCH(" "&amp;TRIM(MID(SUBSTITUTE(TRIM(CC38)," ",REPT(" ",60)),1,60))&amp;" ",CD38))),OR(TRIM(MID(SUBSTITUTE(TRIM(CC38)," ",REPT(" ",60)),61,60))="",ISNUMBER(SEARCH(" "&amp;TRIM(MID(SUBSTITUTE(TRIM(CC38)," ",REPT(" ",60)),61,60))&amp;" ",CD38))),OR(TRIM(MID(SUBSTITUTE(TRIM(CC38)," ",REPT(" ",60)),121,60))="",ISNUMBER(SEARCH(" "&amp;TRIM(MID(SUBSTITUTE(TRIM(CC38)," ",REPT(" ",60)),121,60))&amp;" ",CD38)))),1,0),0)</f>
        <v>0</v>
      </c>
      <c r="CG38" s="68" t="n">
        <f aca="false">IFERROR(LEN(SUBSTITUTE(BF38," ",""))-SUMPRODUCT((LEN(BF38)-LEN(SUBSTITUTE(BF38," "&amp;L_NAFiller&amp;" "," ")))/(LEN(L_NAFiller)+1)*LEN(L_NAFiller)),0)</f>
        <v>0</v>
      </c>
    </row>
    <row r="39" customFormat="false" ht="39.75" hidden="false" customHeight="true" outlineLevel="0" collapsed="false">
      <c r="A39" s="57" t="s">
        <v>484</v>
      </c>
      <c r="B39" s="57" t="s">
        <v>198</v>
      </c>
      <c r="C39" s="57" t="str">
        <f aca="false">Flights!$F$6</f>
        <v>MH0727</v>
      </c>
      <c r="D39" s="58" t="n">
        <f aca="false">Flights!$D$6</f>
        <v>46304</v>
      </c>
      <c r="E39" s="57" t="str">
        <f aca="false">Flights!$G$6&amp;"-"&amp;Flights!$H$6</f>
        <v>KUL-CGK</v>
      </c>
      <c r="F39" s="57" t="str">
        <f aca="false">Flights!$K$6</f>
        <v>BC</v>
      </c>
      <c r="G39" s="57" t="s">
        <v>83</v>
      </c>
      <c r="H39" s="57" t="s">
        <v>378</v>
      </c>
      <c r="I39" s="57" t="s">
        <v>379</v>
      </c>
      <c r="J39" s="57" t="s">
        <v>416</v>
      </c>
      <c r="K39" s="67" t="s">
        <v>417</v>
      </c>
      <c r="L39" s="67" t="s">
        <v>418</v>
      </c>
      <c r="M39" s="67"/>
      <c r="N39" s="67" t="s">
        <v>383</v>
      </c>
      <c r="O39" s="67"/>
      <c r="P39" s="57" t="s">
        <v>187</v>
      </c>
      <c r="Q39" s="59" t="n">
        <f aca="false">ROUND((Flights!$AD$6)*1440,0)/1440</f>
        <v>46303.5763888889</v>
      </c>
      <c r="R39" s="59" t="n">
        <f aca="false">Q39+(IF(AND(INDEX(TZ_DSTS,MATCH(P39,TZ_STN,0))&lt;&gt;"",Q39&gt;=INDEX(TZ_DSTS,MATCH(P39,TZ_STN,0)),Q39&lt;INDEX(TZ_DSTE,MATCH(P39,TZ_STN,0))),INDEX(TZ_DST,MATCH(P39,TZ_STN,0)),INDEX(TZ_STD,MATCH(P39,TZ_STN,0))))/24</f>
        <v>46303.9097222222</v>
      </c>
      <c r="S39" s="60"/>
      <c r="T39" s="60"/>
      <c r="U39" s="60"/>
      <c r="V39" s="60"/>
      <c r="W39" s="60"/>
      <c r="X39" s="60"/>
      <c r="Y39" s="60"/>
      <c r="Z39" s="60"/>
      <c r="AA39" s="60"/>
      <c r="AB39" s="60"/>
      <c r="AC39" s="60"/>
      <c r="AD39" s="66"/>
      <c r="AE39" s="60"/>
      <c r="AF39" s="61" t="str">
        <f aca="false">IF(AND(ISNUMBER(X39),ISNUMBER(Y39)),Y39-X39,"")</f>
        <v/>
      </c>
      <c r="AG39" s="62" t="str">
        <f aca="false">IF(ISNUMBER(AD39),AD39-(IF(AND(INDEX(TZ_DSTS,MATCH(P39,TZ_STN,0))&lt;&gt;"",(AD39-INDEX(TZ_STD,MATCH(P39,TZ_STN,0))/24)&gt;=INDEX(TZ_DSTS,MATCH(P39,TZ_STN,0)),(AD39-INDEX(TZ_STD,MATCH(P39,TZ_STN,0))/24)&lt;INDEX(TZ_DSTE,MATCH(P39,TZ_STN,0))),INDEX(TZ_DST,MATCH(P39,TZ_STN,0)),INDEX(TZ_STD,MATCH(P39,TZ_STN,0))))/24,"")</f>
        <v/>
      </c>
      <c r="AH39" s="65" t="str">
        <f aca="false">IFERROR(IF(N39="N/A – rule",IF(OR(TRIM(U39)="",TRIM(U39)="N/A",TRIM(U39)="Not started"),"N/A – RULE","INVALID – this check does not apply to this aircraft: clear the status (or correct the fleet on Flights)"),IF(TRIM(U39)="N/A",IF(AT39=0,"INVALID – N/A not permitted for this check",IF(AND(TRIM(AB39)&lt;&gt;"",TRIM(AB39)&lt;&gt;"Closed"),"INVALID – corrective action still open",IF(AND(NOT(OR(LEN(AZ39)&lt;15,ISNUMBER(MATCH(AZ39,L_Placeholder,0)))),BK39=0,CG39&gt;=8,NOT(OR(LEN(AU39)&lt;2,ISNUMBER(MATCH(AU39,L_Placeholder,0)))),BR39&gt;=3,NOT(OR(LEN(AX39)&lt;2,ISNUMBER(MATCH(AX39,L_Placeholder,0)))),BS39&gt;=3,TRIM(AE39)&lt;&gt;TRIM(T39),AX39&lt;&gt;AU39,CE39=0),"N/A – JUSTIFIED","INVALID – N/A needs a real, settled reason (not 'not applicable' / 'as above' / TBC), a named PIC and a different named verifier"))),IF(OR(TRIM(U39)="Pass",TRIM(U39)="Pass after CA"),IF(NOT(ISNUMBER(AD39)),"INVALID – completion time missing",IF(OR(OR(LEN(AU39)&lt;2,ISNUMBER(MATCH(AU39,L_Placeholder,0))),BR39&lt;3),"INVALID – PIC missing or not a named person (a role such as QA / CSM is not a name)",IF(OR(LEN(AV39)&lt;2,ISNUMBER(MATCH(AV39,L_Placeholder,0))),"INVALID – result / assessment missing",IF(OR(OR(LEN(AW39)&lt;3,ISNUMBER(MATCH(AW39,L_Placeholder,0))),SUMPRODUCT(--ISNUMBER(SEARCH(" "&amp;L_EvidencePhrase&amp;" ",BD39)))&gt;0,BI39=1),"INVALID – evidence missing, placeholder or not yet on file",IF(ISNA(MATCH(TRIM(S39),L_EvidenceType,0)),"INVALID – choose the evidence type from the list (column S)",IF(BL39=0,"INVALID – evidence ID must be the record's own ID only (e.g. SF-2210, IMG_2231, 1045521); a link / file name needs type 'Link / file path'",IF(OR(OR(LEN(AX39)&lt;2,ISNUMBER(MATCH(AX39,L_Placeholder,0))),BS39&lt;3),"INVALID – verifier missing or not a named person (a role such as QA / CSM is not a name)",IF(OR(AX39=AU39,CE39=1,AND(LEN(AU39)&gt;=4,ISNUMBER(SEARCH(AU39,AX39))),AND(LEN(AX39)&gt;=4,ISNUMBER(SEARCH(AX39,AU39)))),"INVALID – verifier must be a different, named person (not the PIC or a role)",IF(BH39=1,"INVALID – result not yet available (awaiting / TBC)",IF(BG39=1,"INVALID – result describes a problem: record Fail, then Pass after CA (or reword if it is not a problem)",IF(BV39=1,"INVALID – wording says not on board: an on-board confirmation needs the item loaded",IF(AND(AQ39=1,OR(OR(LEN(AY39)&lt;3,ISNUMBER(MATCH(AY39,L_Placeholder,0))),BJ39=1,BQ39=0)),"INVALID – batch ID missing, placeholder or not an ID (e.g. PASB-261008-BC-017)",IF(AND(AR39=1,OR(NOT(ISNUMBER(X39)),NOT(ISNUMBER(Y39)))),"INVALID – expected/actual qty missing",IF(AND(AR39=1,OR(X39&lt;=0,Y39&lt;0)),"INVALID – expected qty must be above 0 and actual not negative",IF(BB39&lt;&gt;"",BB39,IF(AND(AS39=1,Documents!$J$6&lt;&gt;"ON FILE"),"INVALID – GLD not on file (Documents sheet)",IF(AND(AS39=2,Documents!$O$6&lt;&gt;"ON FILE"),"INVALID – menu checklist not on file (Documents sheet)",IF(AND(AS39=3,NOT(ISNUMBER(Flights!$AX$6))),"INVALID – enter carrying flight KUL departure (Flights AX)",IF(AND(AS39=3,OR(Flights!$AZ$6&gt;Flights!$AA$6,Flights!$AX$6&lt;Flights!$AA$6-3)),"INVALID – carrying flight (Flights AX) cannot arrive before this leg's STD, or is over 3 days early",IF(AG39&gt;AsOfUTC,"INVALID – completion time is in the future",IF(AND(ISNUMBER(BY39),AG39&lt;BY39),IF(H39="Physical uplift","INVALID – before uplift window (cannot confirm loading)","INVALID – before valid window"),IF(AG39&gt;Flights!$AA$6,"INVALID – completed after departure (cannot establish readiness)",IF(AND(H39="Preparation",AG39&gt;=IF(ISNUMBER(Flights!$BA$6),MIN(Flights!$BA$6,Flights!$AA$6),Flights!$AA$6)),"INVALID – completed after loading / departure (cannot establish readiness)",IF(AND(H39="Physical uplift",AG39&gt;Q39),"INVALID – recorded after the loading flight departed",IF(AG39&gt;Q39,"COMPLETE – LATE","COMPLETE"))))))))))))))))))))))))),IF(TRIM(U39)="Fail","FAIL – DISCREPANCY",IF(AND(TRIM(U39)&lt;&gt;"",TRIM(U39)&lt;&gt;"Not started",TRIM(U39)&lt;&gt;"In progress"),"INVALID – unrecognised status (use the list)",IF(AsOfUTC&gt;Q39,"OVERDUE",IF(N39="Clarification required","OPEN – CLARIFICATION","OPEN"))))))),"INVALID – error value in an input cell")</f>
        <v>OPEN</v>
      </c>
      <c r="AI39" s="61" t="n">
        <f aca="false">IF(OR(AH39="N/A – RULE",AH39="N/A – JUSTIFIED"),0,1)</f>
        <v>1</v>
      </c>
      <c r="AJ39" s="61" t="n">
        <f aca="false">IF(LEFT(AH39,8)="COMPLETE",1,0)</f>
        <v>0</v>
      </c>
      <c r="AK39" s="61" t="n">
        <f aca="false">IF(AND(AI39=1,AJ39=0,AsOfUTC&gt;Q39),1,0)</f>
        <v>0</v>
      </c>
      <c r="AL39" s="61" t="n">
        <f aca="false">IFERROR(IF(AND(AI39=1,OR(TRIM(U39)="Fail",AND(TRIM(AB39)&lt;&gt;"",TRIM(AB39)&lt;&gt;"Closed"),AND(ISNUMBER(AF39),AF39&lt;&gt;0,TRIM(U39)&lt;&gt;"Pass after CA"))),1,0),1)</f>
        <v>0</v>
      </c>
      <c r="AM39" s="61" t="n">
        <f aca="false">IF(LEFT(AH39,7)="INVALID",1,0)</f>
        <v>0</v>
      </c>
      <c r="AN39" s="61" t="n">
        <f aca="false">IF(AND(N39="Clarification required",AI39=1,AJ39=0),1,0)</f>
        <v>0</v>
      </c>
      <c r="AO39" s="61" t="str">
        <f aca="false">IF(AK39=1,SUM(AK$5:AK39),"")</f>
        <v/>
      </c>
      <c r="AP39" s="61" t="str">
        <f aca="false">IF(AL39=1,SUM(AL$5:AL39),"")</f>
        <v/>
      </c>
      <c r="AQ39" s="61" t="n">
        <v>1</v>
      </c>
      <c r="AR39" s="61" t="n">
        <v>0</v>
      </c>
      <c r="AS39" s="61" t="n">
        <v>0</v>
      </c>
      <c r="AT39" s="61" t="n">
        <v>0</v>
      </c>
      <c r="AU39" s="61" t="str">
        <f aca="false">SUBSTITUTE(SUBSTITUTE(SUBSTITUTE(SUBSTITUTE(SUBSTITUTE(SUBSTITUTE(SUBSTITUTE(SUBSTITUTE(SUBSTITUTE(SUBSTITUTE(SUBSTITUTE(SUBSTITUTE(SUBSTITUTE(SUBSTITUTE(SUBSTITUTE(SUBSTITUTE(LOWER(T39&amp;""),CHAR(10),""),CHAR(13),""),CHAR(9),""),CHAR(160),"")," ",""),".",""),"-",""),"/",""),"?",""),"_",""),",",""),"[",""),"]",""),"(",""),")",""),"*","")</f>
        <v/>
      </c>
      <c r="AV39" s="61" t="str">
        <f aca="false">SUBSTITUTE(SUBSTITUTE(SUBSTITUTE(SUBSTITUTE(SUBSTITUTE(SUBSTITUTE(SUBSTITUTE(SUBSTITUTE(SUBSTITUTE(SUBSTITUTE(SUBSTITUTE(SUBSTITUTE(SUBSTITUTE(SUBSTITUTE(SUBSTITUTE(SUBSTITUTE(LOWER(V39&amp;""),CHAR(10),""),CHAR(13),""),CHAR(9),""),CHAR(160),"")," ",""),".",""),"-",""),"/",""),"?",""),"_",""),",",""),"[",""),"]",""),"(",""),")",""),"*","")</f>
        <v/>
      </c>
      <c r="AW39" s="61" t="str">
        <f aca="false">SUBSTITUTE(SUBSTITUTE(SUBSTITUTE(SUBSTITUTE(SUBSTITUTE(SUBSTITUTE(SUBSTITUTE(SUBSTITUTE(SUBSTITUTE(SUBSTITUTE(SUBSTITUTE(SUBSTITUTE(SUBSTITUTE(SUBSTITUTE(SUBSTITUTE(SUBSTITUTE(LOWER(Z39&amp;""),CHAR(10),""),CHAR(13),""),CHAR(9),""),CHAR(160),"")," ",""),".",""),"-",""),"/",""),"?",""),"_",""),",",""),"[",""),"]",""),"(",""),")",""),"*","")</f>
        <v/>
      </c>
      <c r="AX39" s="61" t="str">
        <f aca="false">SUBSTITUTE(SUBSTITUTE(SUBSTITUTE(SUBSTITUTE(SUBSTITUTE(SUBSTITUTE(SUBSTITUTE(SUBSTITUTE(SUBSTITUTE(SUBSTITUTE(SUBSTITUTE(SUBSTITUTE(SUBSTITUTE(SUBSTITUTE(SUBSTITUTE(SUBSTITUTE(LOWER(AE39&amp;""),CHAR(10),""),CHAR(13),""),CHAR(9),""),CHAR(160),"")," ",""),".",""),"-",""),"/",""),"?",""),"_",""),",",""),"[",""),"]",""),"(",""),")",""),"*","")</f>
        <v/>
      </c>
      <c r="AY39" s="61" t="str">
        <f aca="false">SUBSTITUTE(SUBSTITUTE(SUBSTITUTE(SUBSTITUTE(SUBSTITUTE(SUBSTITUTE(SUBSTITUTE(SUBSTITUTE(SUBSTITUTE(SUBSTITUTE(SUBSTITUTE(SUBSTITUTE(SUBSTITUTE(SUBSTITUTE(SUBSTITUTE(SUBSTITUTE(LOWER(W39&amp;""),CHAR(10),""),CHAR(13),""),CHAR(9),""),CHAR(160),"")," ",""),".",""),"-",""),"/",""),"?",""),"_",""),",",""),"[",""),"]",""),"(",""),")",""),"*","")</f>
        <v/>
      </c>
      <c r="AZ39" s="61" t="str">
        <f aca="false">SUBSTITUTE(SUBSTITUTE(SUBSTITUTE(SUBSTITUTE(SUBSTITUTE(SUBSTITUTE(SUBSTITUTE(SUBSTITUTE(SUBSTITUTE(SUBSTITUTE(SUBSTITUTE(SUBSTITUTE(SUBSTITUTE(SUBSTITUTE(SUBSTITUTE(SUBSTITUTE(LOWER(AC39&amp;""),CHAR(10),""),CHAR(13),""),CHAR(9),""),CHAR(160),"")," ",""),".",""),"-",""),"/",""),"?",""),"_",""),",",""),"[",""),"]",""),"(",""),")",""),"*","")</f>
        <v/>
      </c>
      <c r="BA39" s="61" t="str">
        <f aca="false">SUBSTITUTE(SUBSTITUTE(SUBSTITUTE(SUBSTITUTE(SUBSTITUTE(SUBSTITUTE(SUBSTITUTE(SUBSTITUTE(SUBSTITUTE(SUBSTITUTE(SUBSTITUTE(SUBSTITUTE(SUBSTITUTE(SUBSTITUTE(SUBSTITUTE(SUBSTITUTE(LOWER(AA39&amp;""),CHAR(10),""),CHAR(13),""),CHAR(9),""),CHAR(160),"")," ",""),".",""),"-",""),"/",""),"?",""),"_",""),",",""),"[",""),"]",""),"(",""),")",""),"*","")</f>
        <v/>
      </c>
      <c r="BB39" s="61" t="str">
        <f aca="false">IF(AND(TRIM(U39)="Pass",ISNUMBER(AF39)),IF(AF39&lt;&gt;0,"INVALID – qty variance: use Fail or Pass after CA",""),"")&amp;IF(AND(TRIM(U39)="Pass after CA",ISNUMBER(AF39)),IF(AF39&lt;&gt;0,"INVALID – after the corrective action the actual qty must equal expected (update Actual)",""),"")&amp;IF(AND(TRIM(U39)="Pass",TRIM(AB39)&lt;&gt;"",TRIM(AB39)&lt;&gt;"Closed"),"INVALID – corrective action not closed: use Fail, then Pass after CA","")&amp;IF(AND(LEN(BA39)&gt;=2,ISNA(MATCH(LEFT(BA39,255),L_Placeholder,0)),TRIM(AB39)=""),"INVALID – CA status missing for the recorded corrective action","")&amp;IF(AND(TRIM(U39)="Pass after CA",OR(OR(LEN(BA39)&lt;5,ISNUMBER(MATCH(BA39,L_Placeholder,0))),TRIM(AB39)&lt;&gt;"Closed")),"INVALID – corrective action not recorded/closed","")</f>
        <v/>
      </c>
      <c r="BC39" s="61" t="str">
        <f aca="false">" "&amp;TRIM(SUBSTITUTE(SUBSTITUTE(SUBSTITUTE(SUBSTITUTE(SUBSTITUTE(SUBSTITUTE(SUBSTITUTE(SUBSTITUTE(SUBSTITUTE(SUBSTITUTE(SUBSTITUTE(SUBSTITUTE(SUBSTITUTE(SUBSTITUTE(SUBSTITUTE(SUBSTITUTE(SUBSTITUTE(SUBSTITUTE(SUBSTITUTE(SUBSTITUTE(SUBSTITUTE(SUBSTITUTE(SUBSTITUTE(SUBSTITUTE(LOWER(V39&amp;""),CHAR(10)," "),CHAR(13)," "),CHAR(9)," "),CHAR(160)," "),"."," "),","," "),"-"," "),"/"," "),"("," "),")"," "),":"," "),";"," "),"_"," "),"–"," "),"?"," "),"!"," "),"*"," "),"["," "),"]"," "),"'"," "),"#"," "),"+"," "),"&amp;"," "),"\"," "))&amp;" "</f>
        <v>  </v>
      </c>
      <c r="BD39" s="61" t="str">
        <f aca="false">" "&amp;TRIM(SUBSTITUTE(SUBSTITUTE(SUBSTITUTE(SUBSTITUTE(SUBSTITUTE(SUBSTITUTE(SUBSTITUTE(SUBSTITUTE(SUBSTITUTE(SUBSTITUTE(SUBSTITUTE(SUBSTITUTE(SUBSTITUTE(SUBSTITUTE(SUBSTITUTE(SUBSTITUTE(SUBSTITUTE(SUBSTITUTE(SUBSTITUTE(SUBSTITUTE(SUBSTITUTE(SUBSTITUTE(SUBSTITUTE(SUBSTITUTE(LOWER(Z39&amp;""),CHAR(10)," "),CHAR(13)," "),CHAR(9)," "),CHAR(160)," "),"."," "),","," "),"-"," "),"/"," "),"("," "),")"," "),":"," "),";"," "),"_"," "),"–"," "),"?"," "),"!"," "),"*"," "),"["," "),"]"," "),"'"," "),"#"," "),"+"," "),"&amp;"," "),"\"," "))&amp;" "</f>
        <v>  </v>
      </c>
      <c r="BE39" s="61" t="str">
        <f aca="false">" "&amp;TRIM(SUBSTITUTE(SUBSTITUTE(SUBSTITUTE(SUBSTITUTE(SUBSTITUTE(SUBSTITUTE(SUBSTITUTE(SUBSTITUTE(SUBSTITUTE(SUBSTITUTE(SUBSTITUTE(SUBSTITUTE(SUBSTITUTE(SUBSTITUTE(SUBSTITUTE(SUBSTITUTE(SUBSTITUTE(SUBSTITUTE(SUBSTITUTE(SUBSTITUTE(SUBSTITUTE(SUBSTITUTE(SUBSTITUTE(SUBSTITUTE(LOWER(W39&amp;""),CHAR(10)," "),CHAR(13)," "),CHAR(9)," "),CHAR(160)," "),"."," "),","," "),"-"," "),"/"," "),"("," "),")"," "),":"," "),";"," "),"_"," "),"–"," "),"?"," "),"!"," "),"*"," "),"["," "),"]"," "),"'"," "),"#"," "),"+"," "),"&amp;"," "),"\"," "))&amp;" "</f>
        <v>  </v>
      </c>
      <c r="BF39" s="61" t="str">
        <f aca="false">" "&amp;TRIM(SUBSTITUTE(SUBSTITUTE(SUBSTITUTE(SUBSTITUTE(SUBSTITUTE(SUBSTITUTE(SUBSTITUTE(SUBSTITUTE(SUBSTITUTE(SUBSTITUTE(SUBSTITUTE(SUBSTITUTE(SUBSTITUTE(SUBSTITUTE(SUBSTITUTE(SUBSTITUTE(SUBSTITUTE(SUBSTITUTE(SUBSTITUTE(SUBSTITUTE(SUBSTITUTE(SUBSTITUTE(SUBSTITUTE(SUBSTITUTE(LOWER(AC39&amp;""),CHAR(10)," "),CHAR(13)," "),CHAR(9)," "),CHAR(160)," "),"."," "),","," "),"-"," "),"/"," "),"("," "),")"," "),":"," "),";"," "),"_"," "),"–"," "),"?"," "),"!"," "),"*"," "),"["," "),"]"," "),"'"," "),"#"," "),"+"," "),"&amp;"," "),"\"," "))&amp;" "</f>
        <v>  </v>
      </c>
      <c r="BG39" s="61" t="n">
        <f aca="false">IFERROR(IF(AND(TRIM(U39)="Pass",SUMPRODUCT((LEN(BC39)-LEN(SUBSTITUTE(BC39," "&amp;L_ResultBad&amp;" "," ")))/(LEN(L_ResultBad)+1))&gt;SUMPRODUCT((LEN(BC39)-LEN(SUBSTITUTE(BC39," "&amp;L_NegPhrase&amp;" "," ")))/(LEN(L_NegPhrase)+1))),1,0),0)</f>
        <v>0</v>
      </c>
      <c r="BH39" s="61" t="n">
        <f aca="false">IFERROR(IF(SUMPRODUCT((LEN(BC39)-LEN(SUBSTITUTE(BC39," "&amp;L_Pending&amp;" "," ")))/(LEN(L_Pending)+1))&gt;SUMPRODUCT((LEN(BC39)-LEN(SUBSTITUTE(BC39," "&amp;L_PendNeg&amp;" "," ")))/(LEN(L_PendNeg)+1))+SUMPRODUCT((LEN(BC39)-LEN(SUBSTITUTE(BC39," "&amp;L_PendPrep&amp;" "," ")))/(LEN(L_PendPrep)+1)),1,0),1)</f>
        <v>0</v>
      </c>
      <c r="BI39" s="61" t="n">
        <f aca="false">IFERROR(IF(SUMPRODUCT((LEN(BD39)-LEN(SUBSTITUTE(BD39," "&amp;L_PendStrict&amp;" "," ")))/(LEN(L_PendStrict)+1))&gt;SUMPRODUCT((LEN(BD39)-LEN(SUBSTITUTE(BD39," "&amp;L_PendNeg&amp;" "," ")))/(LEN(L_PendNeg)+1)),1,0),1)</f>
        <v>0</v>
      </c>
      <c r="BJ39" s="61" t="n">
        <f aca="false">IFERROR(IF(SUMPRODUCT((LEN(BE39)-LEN(SUBSTITUTE(BE39," "&amp;L_Pending&amp;" "," ")))/(LEN(L_Pending)+1))&gt;SUMPRODUCT((LEN(BE39)-LEN(SUBSTITUTE(BE39," "&amp;L_PendNeg&amp;" "," ")))/(LEN(L_PendNeg)+1))+SUMPRODUCT((LEN(BE39)-LEN(SUBSTITUTE(BE39," "&amp;L_PendPrep&amp;" "," ")))/(LEN(L_PendPrep)+1)),1,0),1)</f>
        <v>0</v>
      </c>
      <c r="BK39" s="61" t="n">
        <f aca="false">IFERROR(IF(SUMPRODUCT((LEN(BF39)-LEN(SUBSTITUTE(BF39," "&amp;L_PendStrict&amp;" "," ")))/(LEN(L_PendStrict)+1))&gt;SUMPRODUCT((LEN(BF39)-LEN(SUBSTITUTE(BF39," "&amp;L_PendNeg&amp;" "," ")))/(LEN(L_PendNeg)+1)),1,0),1)</f>
        <v>0</v>
      </c>
      <c r="BL39" s="61" t="n">
        <f aca="false">IF(ISNA(MATCH(TRIM(S39),L_EvidenceType,0)),0,BZ39)</f>
        <v>0</v>
      </c>
      <c r="BM39" s="61" t="str">
        <f aca="false">SUBSTITUTE(SUBSTITUTE(SUBSTITUTE(SUBSTITUTE(SUBSTITUTE(SUBSTITUTE(SUBSTITUTE(SUBSTITUTE(SUBSTITUTE(LOWER(Z39&amp;""),"1","0"),"2","0"),"3","0"),"4","0"),"5","0"),"6","0"),"7","0"),"8","0"),"9","0")</f>
        <v/>
      </c>
      <c r="BN39" s="61" t="str">
        <f aca="false">SUBSTITUTE(SUBSTITUTE(SUBSTITUTE(SUBSTITUTE(SUBSTITUTE(SUBSTITUTE(SUBSTITUTE(SUBSTITUTE(SUBSTITUTE(SUBSTITUTE(SUBSTITUTE(SUBSTITUTE(SUBSTITUTE(SUBSTITUTE(SUBSTITUTE(SUBSTITUTE(SUBSTITUTE(SUBSTITUTE(SUBSTITUTE(SUBSTITUTE(SUBSTITUTE(SUBSTITUTE(SUBSTITUTE(SUBSTITUTE(SUBSTITUTE(BM39,"b","a"),"c","a"),"d","a"),"e","a"),"f","a"),"g","a"),"h","a"),"i","a"),"j","a"),"k","a"),"l","a"),"m","a"),"n","a"),"o","a"),"p","a"),"q","a"),"r","a"),"s","a"),"t","a"),"u","a"),"v","a"),"w","a"),"x","a"),"y","a"),"z","a")</f>
        <v/>
      </c>
      <c r="BO39" s="61" t="str">
        <f aca="false">SUBSTITUTE(SUBSTITUTE(SUBSTITUTE(SUBSTITUTE(SUBSTITUTE(SUBSTITUTE(SUBSTITUTE(SUBSTITUTE(SUBSTITUTE(LOWER(W39&amp;""),"1","0"),"2","0"),"3","0"),"4","0"),"5","0"),"6","0"),"7","0"),"8","0"),"9","0")</f>
        <v/>
      </c>
      <c r="BP39" s="61" t="str">
        <f aca="false">SUBSTITUTE(SUBSTITUTE(SUBSTITUTE(SUBSTITUTE(SUBSTITUTE(SUBSTITUTE(SUBSTITUTE(SUBSTITUTE(SUBSTITUTE(SUBSTITUTE(SUBSTITUTE(SUBSTITUTE(SUBSTITUTE(SUBSTITUTE(SUBSTITUTE(SUBSTITUTE(SUBSTITUTE(SUBSTITUTE(SUBSTITUTE(SUBSTITUTE(SUBSTITUTE(SUBSTITUTE(SUBSTITUTE(SUBSTITUTE(SUBSTITUTE(BO39,"b","a"),"c","a"),"d","a"),"e","a"),"f","a"),"g","a"),"h","a"),"i","a"),"j","a"),"k","a"),"l","a"),"m","a"),"n","a"),"o","a"),"p","a"),"q","a"),"r","a"),"s","a"),"t","a"),"u","a"),"v","a"),"w","a"),"x","a"),"y","a"),"z","a")</f>
        <v/>
      </c>
      <c r="BQ39" s="61" t="n">
        <f aca="false">IFERROR(IF(AND(ISERROR(SEARCH(" mh"," "&amp;LOWER(W39))),ISNA(MATCH(LEFT(TRIM(BP39),255),{"0000a","000a","00a","0000aa","000aa","00aa","0aa","0000aaa","000aaa","00a00","0a00","0000-0000","00:00","a00","a0","00.00.0000","00/00/0000","00-00-0000","0000-00-00","0000/00/00","0000.00.00","00.00.00","00/00/00","00-00-00","0.00.0000","0/00/0000","0-00-0000"},0)),ISNA(MATCH(LEFT(TRIM(CA39),255),{"0000a","000a","00a","0000aa","000aa","00aa","0aa","0000aaa","000aaa","00a00","0a00","0000-0000","00:00","a00","a0","00.00.0000","00/00/0000","00-00-0000","0000-00-00","0000/00/00","0000.00.00","00.00.00","00/00/00","00-00-00","0.00.0000","0/00/0000","0-00-0000"},0)),LEN(CB39)&gt;=3,NOT(OR(SUBSTITUTE(CB39,"0","")="",AND(LEN(CB39)&gt;=4,CB39=REPT(LEFT(CB39),LEN(CB39))),ISNUMBER(MATCH(CB39,{"123","1234","12345","123456","1234567","12345678","0123","01234","012345","98765","987654","54321"},0)),AND(LEN(CB39)=8,LEFT(CB39,3)="202"))),OR(AND((LEN(CA39)-LEN(SUBSTITUTE(CA39,"a","")))&gt;=1,SUMPRODUCT(--ISNUMBER(SEARCH({"a0","a-0","a_0","a/0","a.0","a#0","0a","0-a","0_a","0/a"},BP39)))&gt;0),ISNUMBER(SEARCH("000000",BP39)))),1,0),0)</f>
        <v>0</v>
      </c>
      <c r="BR39" s="61" t="n">
        <f aca="false">IFERROR(LEN(SUBSTITUTE(CC39," ",""))-SUMPRODUCT((LEN(CC39)-LEN(SUBSTITUTE(CC39," "&amp;L_Role&amp;" "," ")))/(LEN(L_Role)+1)*LEN(L_Role)),0)</f>
        <v>0</v>
      </c>
      <c r="BS39" s="61" t="n">
        <f aca="false">IFERROR(LEN(SUBSTITUTE(CD39," ",""))-SUMPRODUCT((LEN(CD39)-LEN(SUBSTITUTE(CD39," "&amp;L_Role&amp;" "," ")))/(LEN(L_Role)+1)*LEN(L_Role)),0)</f>
        <v>0</v>
      </c>
      <c r="BT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revision",""),"version",""),"jan",""),"feb",""),"mar",""),"apr",""),"may",""),"jun",""),"jul",""),"aug",""),"sep",""),"oct",""),"nov",""),"dec",""),"utc",""),"gmt",""),"myt",""),"bst",""),"rev",""),"ver",""),"b","a"),"c","a"),"d","a"),"e","a"),"f","a"),"g","a"),"h","a"),"i","a"),"j","a"),"k","a"),"l","a"),"m","a"),"n","a"),"o","a"),"p","a"),"q","a"),"r","a"),"s","a"),"t","a"),"u","a"),"v","a"),"w","a"),"x","a"),"y","a"),"z","a")</f>
        <v/>
      </c>
      <c r="BU39" s="61" t="str">
        <f aca="false">SUBSTITUTE(SUBSTITUTE(SUBSTITUTE(SUBSTITUTE(SUBSTITUTE(SUBSTITUTE(SUBSTITUTE(SUBSTITUTE(SUBSTITUTE(SUBSTITUTE(LEFT(BM39,FIND("0",BM39&amp;"0")-1),"-",""),"_",""),"/",""),".",""),"#",""),"\\",""),":","")," ",""),"(",""),")","")</f>
        <v/>
      </c>
      <c r="BV39" s="61" t="n">
        <f aca="false">0</f>
        <v>0</v>
      </c>
      <c r="BW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amp;""),"a",""),"b",""),"c",""),"d",""),"e",""),"f",""),"g",""),"h",""),"i",""),"j",""),"k",""),"l",""),"m",""),"n",""),"o",""),"p",""),"q",""),"r",""),"s",""),"t",""),"u",""),"v",""),"w",""),"x",""),"y",""),"z",""),"-",""),"_",""),"/",""),".",""),"#",""),"\\",""),":","")," ",""),"(",""),")","")</f>
        <v/>
      </c>
      <c r="BX39" s="61" t="str">
        <f aca="false">SUBSTITUTE(SUBSTITUTE(SUBSTITUTE(SUBSTITUTE(SUBSTITUTE(SUBSTITUTE(SUBSTITUTE(SUBSTITUTE(SUBSTITUTE(SUBSTITUTE(SUBSTITUTE(BM39,"0",""),"-",""),"_",""),"/",""),".",""),"#",""),"\\",""),":","")," ",""),"(",""),")","")</f>
        <v/>
      </c>
      <c r="BY39" s="62" t="n">
        <f aca="false">Q39-T24EarlyH/24</f>
        <v>46302.5763888889</v>
      </c>
      <c r="BZ39" s="61" t="n">
        <f aca="false">IFERROR(IF(IF(TRIM(S39)="Link / file path",AND(LEN(TRIM(Z39))&gt;=5,SUMPRODUCT(--ISNUMBER(SEARCH({"http","www.","\\",":\",".pdf",".jpg",".jpeg",".png",".heic",".xls",".doc",".msg",".eml",".ppt",".txt",".zip"},Z39)))&gt;0),AND(ISERROR(FIND(" ",TRIM(Z39))),NOT(OR(SUMPRODUCT(--ISNUMBER(FIND({",",";","&amp;","+"},Z39)))&gt;0,SUMPRODUCT(--ISNUMBER(SEARCH({"0/aa","0\\aa"},BN39)))&gt;0)),NOT(SUMPRODUCT(--ISNUMBER(SEARCH({"http","www.","\\",":\",".pdf",".jpg",".jpeg",".png",".heic",".xls",".doc",".msg",".eml",".ppt",".txt",".zip"},Z39)))&gt;0),NOT(LOWER(TRIM(Z39))=LOWER(Flights!$F$6)),ISNA(MATCH(BU39,{"mh","rev","revision","ver","version","v","r","a","b","seat","tray","row","gate","bay","stand","page","pg","item","line","no","cart","galley","flight","flt","table","box","bag","oven","etd","eta","std","sta","atd","ata","qty","pax","x","time","tel","ph","mob","day","wk","week","utc","gmt","myt","lt"},0)),NOT(OR(ISNUMBER(MATCH(LEFT(BN39,255),{"0000a","000a","00a","0000aa","000aa","00aa","0aa","0000aaa","000aaa","00a00","0a00","0000-0000","00:00","a00","a0","00.00.0000","00/00/0000","00-00-0000","0000-00-00","0000/00/00","0000.00.00","00.00.00","00/00/00","00-00-00","0.00.0000","0/00/0000","0-00-0000"},0)),ISNUMBER(MATCH(LEFT(BT39,255),{"0000a","000a","00a","0000aa","000aa","00aa","0aa","0000aaa","000aaa","00a00","0a00","0000-0000","00:00","a00","a0","00.00.0000","00/00/0000","00-00-0000","0000-00-00","0000/00/00","0000.00.00","00.00.00","00/00/00","00-00-00","0.00.0000","0/00/0000","0-00-0000"},0)))),NOT(OR(AND(BW39&lt;&gt;"",SUBSTITUTE(BW39,"0","")=""),AND(LEN(BW39)&gt;=4,BW39=REPT(LEFT(BW39),LEN(BW39))),ISNUMBER(MATCH(BW39,{"123","1234","12345","123456","1234567","12345678","0123","01234","012345","98765","987654","54321"},0)),ISNUMBER(MATCH(BX39,{"x","xx","xxx","xxxx","xxxxx","abc","abcd","nil","na","nan","test","tbc","tba","tbd","dummy","sample","example","eg","zz","zzz","none","null","xyz","qwe","asd","id","ref"},0)),AND(LEN(BW39)=8,BX39="",OR(LEFT(BW39,3)="202",ISNUMBER(MATCH(RIGHT(BW39,4),{"2025","2026","2027"},0)))))),OR(AND((LEN(BT39)-LEN(SUBSTITUTE(BT39,"a","")))&gt;=1,(LEN(BN39)-LEN(SUBSTITUTE(BN39,"0","")))&gt;=2,SUMPRODUCT(--ISNUMBER(SEARCH({"a0","a-0","a_0","a/0","a.0","a#0","0a","0-a","0_a","0/a"},BN39)))&gt;0),AND((LEN(BN39)-LEN(SUBSTITUTE(BN39,"a","")))=0,(LEN(BN39)-LEN(SUBSTITUTE(BN39,"0","")))&gt;=5)))),1,0),0)</f>
        <v>0</v>
      </c>
      <c r="CA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revision",""),"version",""),"jan",""),"feb",""),"mar",""),"apr",""),"may",""),"jun",""),"jul",""),"aug",""),"sep",""),"oct",""),"nov",""),"dec",""),"utc",""),"gmt",""),"myt",""),"bst",""),"rev",""),"ver",""),"b","a"),"c","a"),"d","a"),"e","a"),"f","a"),"g","a"),"h","a"),"i","a"),"j","a"),"k","a"),"l","a"),"m","a"),"n","a"),"o","a"),"p","a"),"q","a"),"r","a"),"s","a"),"t","a"),"u","a"),"v","a"),"w","a"),"x","a"),"y","a"),"z","a")</f>
        <v/>
      </c>
      <c r="CB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amp;""),"a",""),"b",""),"c",""),"d",""),"e",""),"f",""),"g",""),"h",""),"i",""),"j",""),"k",""),"l",""),"m",""),"n",""),"o",""),"p",""),"q",""),"r",""),"s",""),"t",""),"u",""),"v",""),"w",""),"x",""),"y",""),"z",""),"-",""),"_",""),"/",""),".",""),"#",""),"\\",""),":","")," ",""),"(",""),")","")</f>
        <v/>
      </c>
      <c r="CC39" s="0" t="str">
        <f aca="false">" "&amp;TRIM(SUBSTITUTE(SUBSTITUTE(SUBSTITUTE(SUBSTITUTE(SUBSTITUTE(SUBSTITUTE(SUBSTITUTE(SUBSTITUTE(SUBSTITUTE(SUBSTITUTE(SUBSTITUTE(SUBSTITUTE(SUBSTITUTE(SUBSTITUTE(SUBSTITUTE(SUBSTITUTE(SUBSTITUTE(SUBSTITUTE(SUBSTITUTE(SUBSTITUTE(SUBSTITUTE(SUBSTITUTE(SUBSTITUTE(SUBSTITUTE(LOWER(T39&amp;""),CHAR(10)," "),CHAR(13)," "),CHAR(9)," "),CHAR(160)," "),"."," "),","," "),"-"," "),"/"," "),"("," "),")"," "),":"," "),";"," "),"_"," "),"–"," "),"?"," "),"!"," "),"*"," "),"["," "),"]"," "),"'"," "),"#"," "),"+"," "),"&amp;"," "),"\"," "))&amp;" "</f>
        <v>  </v>
      </c>
      <c r="CD39" s="0" t="str">
        <f aca="false">" "&amp;TRIM(SUBSTITUTE(SUBSTITUTE(SUBSTITUTE(SUBSTITUTE(SUBSTITUTE(SUBSTITUTE(SUBSTITUTE(SUBSTITUTE(SUBSTITUTE(SUBSTITUTE(SUBSTITUTE(SUBSTITUTE(SUBSTITUTE(SUBSTITUTE(SUBSTITUTE(SUBSTITUTE(SUBSTITUTE(SUBSTITUTE(SUBSTITUTE(SUBSTITUTE(SUBSTITUTE(SUBSTITUTE(SUBSTITUTE(SUBSTITUTE(LOWER(AE39&amp;""),CHAR(10)," "),CHAR(13)," "),CHAR(9)," "),CHAR(160)," "),"."," "),","," "),"-"," "),"/"," "),"("," "),")"," "),":"," "),";"," "),"_"," "),"–"," "),"?"," "),"!"," "),"*"," "),"["," "),"]"," "),"'"," "),"#"," "),"+"," "),"&amp;"," "),"\"," "))&amp;" "</f>
        <v>  </v>
      </c>
      <c r="CE39" s="68" t="n">
        <f aca="false">IFERROR(IF(AND(LEN(AU39)&gt;0,LEN(AU39)=LEN(AX39),OR(TRIM(MID(SUBSTITUTE(TRIM(CC39)," ",REPT(" ",60)),1,60))="",ISNUMBER(SEARCH(" "&amp;TRIM(MID(SUBSTITUTE(TRIM(CC39)," ",REPT(" ",60)),1,60))&amp;" ",CD39))),OR(TRIM(MID(SUBSTITUTE(TRIM(CC39)," ",REPT(" ",60)),61,60))="",ISNUMBER(SEARCH(" "&amp;TRIM(MID(SUBSTITUTE(TRIM(CC39)," ",REPT(" ",60)),61,60))&amp;" ",CD39))),OR(TRIM(MID(SUBSTITUTE(TRIM(CC39)," ",REPT(" ",60)),121,60))="",ISNUMBER(SEARCH(" "&amp;TRIM(MID(SUBSTITUTE(TRIM(CC39)," ",REPT(" ",60)),121,60))&amp;" ",CD39)))),1,0),0)</f>
        <v>0</v>
      </c>
      <c r="CG39" s="68" t="n">
        <f aca="false">IFERROR(LEN(SUBSTITUTE(BF39," ",""))-SUMPRODUCT((LEN(BF39)-LEN(SUBSTITUTE(BF39," "&amp;L_NAFiller&amp;" "," ")))/(LEN(L_NAFiller)+1)*LEN(L_NAFiller)),0)</f>
        <v>0</v>
      </c>
    </row>
    <row r="40" customFormat="false" ht="39.75" hidden="false" customHeight="true" outlineLevel="0" collapsed="false">
      <c r="A40" s="57" t="s">
        <v>485</v>
      </c>
      <c r="B40" s="57" t="s">
        <v>198</v>
      </c>
      <c r="C40" s="57" t="str">
        <f aca="false">Flights!$F$6</f>
        <v>MH0727</v>
      </c>
      <c r="D40" s="58" t="n">
        <f aca="false">Flights!$D$6</f>
        <v>46304</v>
      </c>
      <c r="E40" s="57" t="str">
        <f aca="false">Flights!$G$6&amp;"-"&amp;Flights!$H$6</f>
        <v>KUL-CGK</v>
      </c>
      <c r="F40" s="57" t="str">
        <f aca="false">Flights!$K$6</f>
        <v>BC</v>
      </c>
      <c r="G40" s="57" t="s">
        <v>420</v>
      </c>
      <c r="H40" s="57" t="s">
        <v>378</v>
      </c>
      <c r="I40" s="57" t="s">
        <v>379</v>
      </c>
      <c r="J40" s="57" t="s">
        <v>421</v>
      </c>
      <c r="K40" s="67"/>
      <c r="L40" s="67" t="s">
        <v>422</v>
      </c>
      <c r="M40" s="67"/>
      <c r="N40" s="67" t="s">
        <v>383</v>
      </c>
      <c r="O40" s="67" t="s">
        <v>423</v>
      </c>
      <c r="P40" s="57" t="s">
        <v>187</v>
      </c>
      <c r="Q40" s="59" t="n">
        <f aca="false">ROUND((Flights!$AE$6)*1440,0)/1440</f>
        <v>46304.0763888889</v>
      </c>
      <c r="R40" s="59" t="n">
        <f aca="false">Q40+(IF(AND(INDEX(TZ_DSTS,MATCH(P40,TZ_STN,0))&lt;&gt;"",Q40&gt;=INDEX(TZ_DSTS,MATCH(P40,TZ_STN,0)),Q40&lt;INDEX(TZ_DSTE,MATCH(P40,TZ_STN,0))),INDEX(TZ_DST,MATCH(P40,TZ_STN,0)),INDEX(TZ_STD,MATCH(P40,TZ_STN,0))))/24</f>
        <v>46304.4097222222</v>
      </c>
      <c r="S40" s="60"/>
      <c r="T40" s="60"/>
      <c r="U40" s="60"/>
      <c r="V40" s="60"/>
      <c r="W40" s="61"/>
      <c r="X40" s="60"/>
      <c r="Y40" s="60"/>
      <c r="Z40" s="60"/>
      <c r="AA40" s="60"/>
      <c r="AB40" s="60"/>
      <c r="AC40" s="60"/>
      <c r="AD40" s="66"/>
      <c r="AE40" s="60"/>
      <c r="AF40" s="61" t="str">
        <f aca="false">IF(AND(ISNUMBER(X40),ISNUMBER(Y40)),Y40-X40,"")</f>
        <v/>
      </c>
      <c r="AG40" s="62" t="str">
        <f aca="false">IF(ISNUMBER(AD40),AD40-(IF(AND(INDEX(TZ_DSTS,MATCH(P40,TZ_STN,0))&lt;&gt;"",(AD40-INDEX(TZ_STD,MATCH(P40,TZ_STN,0))/24)&gt;=INDEX(TZ_DSTS,MATCH(P40,TZ_STN,0)),(AD40-INDEX(TZ_STD,MATCH(P40,TZ_STN,0))/24)&lt;INDEX(TZ_DSTE,MATCH(P40,TZ_STN,0))),INDEX(TZ_DST,MATCH(P40,TZ_STN,0)),INDEX(TZ_STD,MATCH(P40,TZ_STN,0))))/24,"")</f>
        <v/>
      </c>
      <c r="AH40" s="65" t="str">
        <f aca="false">IFERROR(IF(N40="N/A – rule",IF(OR(TRIM(U40)="",TRIM(U40)="N/A",TRIM(U40)="Not started"),"N/A – RULE","INVALID – this check does not apply to this aircraft: clear the status (or correct the fleet on Flights)"),IF(TRIM(U40)="N/A",IF(AT40=0,"INVALID – N/A not permitted for this check",IF(AND(TRIM(AB40)&lt;&gt;"",TRIM(AB40)&lt;&gt;"Closed"),"INVALID – corrective action still open",IF(AND(NOT(OR(LEN(AZ40)&lt;15,ISNUMBER(MATCH(AZ40,L_Placeholder,0)))),BK40=0,CG40&gt;=8,NOT(OR(LEN(AU40)&lt;2,ISNUMBER(MATCH(AU40,L_Placeholder,0)))),BR40&gt;=3,NOT(OR(LEN(AX40)&lt;2,ISNUMBER(MATCH(AX40,L_Placeholder,0)))),BS40&gt;=3,TRIM(AE40)&lt;&gt;TRIM(T40),AX40&lt;&gt;AU40,CE40=0),"N/A – JUSTIFIED","INVALID – N/A needs a real, settled reason (not 'not applicable' / 'as above' / TBC), a named PIC and a different named verifier"))),IF(OR(TRIM(U40)="Pass",TRIM(U40)="Pass after CA"),IF(NOT(ISNUMBER(AD40)),"INVALID – completion time missing",IF(OR(OR(LEN(AU40)&lt;2,ISNUMBER(MATCH(AU40,L_Placeholder,0))),BR40&lt;3),"INVALID – PIC missing or not a named person (a role such as QA / CSM is not a name)",IF(OR(LEN(AV40)&lt;2,ISNUMBER(MATCH(AV40,L_Placeholder,0))),"INVALID – result / assessment missing",IF(OR(OR(LEN(AW40)&lt;3,ISNUMBER(MATCH(AW40,L_Placeholder,0))),SUMPRODUCT(--ISNUMBER(SEARCH(" "&amp;L_EvidencePhrase&amp;" ",BD40)))&gt;0,BI40=1),"INVALID – evidence missing, placeholder or not yet on file",IF(ISNA(MATCH(TRIM(S40),L_EvidenceType,0)),"INVALID – choose the evidence type from the list (column S)",IF(BL40=0,"INVALID – evidence ID must be the record's own ID only (e.g. SF-2210, IMG_2231, 1045521); a link / file name needs type 'Link / file path'",IF(OR(OR(LEN(AX40)&lt;2,ISNUMBER(MATCH(AX40,L_Placeholder,0))),BS40&lt;3),"INVALID – verifier missing or not a named person (a role such as QA / CSM is not a name)",IF(OR(AX40=AU40,CE40=1,AND(LEN(AU40)&gt;=4,ISNUMBER(SEARCH(AU40,AX40))),AND(LEN(AX40)&gt;=4,ISNUMBER(SEARCH(AX40,AU40)))),"INVALID – verifier must be a different, named person (not the PIC or a role)",IF(BH40=1,"INVALID – result not yet available (awaiting / TBC)",IF(BG40=1,"INVALID – result describes a problem: record Fail, then Pass after CA (or reword if it is not a problem)",IF(BV40=1,"INVALID – wording says not on board: an on-board confirmation needs the item loaded",IF(AND(AQ40=1,OR(OR(LEN(AY40)&lt;3,ISNUMBER(MATCH(AY40,L_Placeholder,0))),BJ40=1,BQ40=0)),"INVALID – batch ID missing, placeholder or not an ID (e.g. PASB-261008-BC-017)",IF(AND(AR40=1,OR(NOT(ISNUMBER(X40)),NOT(ISNUMBER(Y40)))),"INVALID – expected/actual qty missing",IF(AND(AR40=1,OR(X40&lt;=0,Y40&lt;0)),"INVALID – expected qty must be above 0 and actual not negative",IF(BB40&lt;&gt;"",BB40,IF(AND(AS40=1,Documents!$J$6&lt;&gt;"ON FILE"),"INVALID – GLD not on file (Documents sheet)",IF(AND(AS40=2,Documents!$O$6&lt;&gt;"ON FILE"),"INVALID – menu checklist not on file (Documents sheet)",IF(AND(AS40=3,NOT(ISNUMBER(Flights!$AX$6))),"INVALID – enter carrying flight KUL departure (Flights AX)",IF(AND(AS40=3,OR(Flights!$AZ$6&gt;Flights!$AA$6,Flights!$AX$6&lt;Flights!$AA$6-3)),"INVALID – carrying flight (Flights AX) cannot arrive before this leg's STD, or is over 3 days early",IF(AG40&gt;AsOfUTC,"INVALID – completion time is in the future",IF(AND(ISNUMBER(BY40),AG40&lt;BY40),IF(H40="Physical uplift","INVALID – before uplift window (cannot confirm loading)","INVALID – before valid window"),IF(AG40&gt;Flights!$AA$6,"INVALID – completed after departure (cannot establish readiness)",IF(AND(H40="Preparation",AG40&gt;=IF(ISNUMBER(Flights!$BA$6),MIN(Flights!$BA$6,Flights!$AA$6),Flights!$AA$6)),"INVALID – completed after loading / departure (cannot establish readiness)",IF(AND(H40="Physical uplift",AG40&gt;Q40),"INVALID – recorded after the loading flight departed",IF(AG40&gt;Q40,"COMPLETE – LATE","COMPLETE"))))))))))))))))))))))))),IF(TRIM(U40)="Fail","FAIL – DISCREPANCY",IF(AND(TRIM(U40)&lt;&gt;"",TRIM(U40)&lt;&gt;"Not started",TRIM(U40)&lt;&gt;"In progress"),"INVALID – unrecognised status (use the list)",IF(AsOfUTC&gt;Q40,"OVERDUE",IF(N40="Clarification required","OPEN – CLARIFICATION","OPEN"))))))),"INVALID – error value in an input cell")</f>
        <v>OPEN</v>
      </c>
      <c r="AI40" s="61" t="n">
        <f aca="false">IF(OR(AH40="N/A – RULE",AH40="N/A – JUSTIFIED"),0,1)</f>
        <v>1</v>
      </c>
      <c r="AJ40" s="61" t="n">
        <f aca="false">IF(LEFT(AH40,8)="COMPLETE",1,0)</f>
        <v>0</v>
      </c>
      <c r="AK40" s="61" t="n">
        <f aca="false">IF(AND(AI40=1,AJ40=0,AsOfUTC&gt;Q40),1,0)</f>
        <v>0</v>
      </c>
      <c r="AL40" s="61" t="n">
        <f aca="false">IFERROR(IF(AND(AI40=1,OR(TRIM(U40)="Fail",AND(TRIM(AB40)&lt;&gt;"",TRIM(AB40)&lt;&gt;"Closed"),AND(ISNUMBER(AF40),AF40&lt;&gt;0,TRIM(U40)&lt;&gt;"Pass after CA"))),1,0),1)</f>
        <v>0</v>
      </c>
      <c r="AM40" s="61" t="n">
        <f aca="false">IF(LEFT(AH40,7)="INVALID",1,0)</f>
        <v>0</v>
      </c>
      <c r="AN40" s="61" t="n">
        <f aca="false">IF(AND(N40="Clarification required",AI40=1,AJ40=0),1,0)</f>
        <v>0</v>
      </c>
      <c r="AO40" s="61" t="str">
        <f aca="false">IF(AK40=1,SUM(AK$5:AK40),"")</f>
        <v/>
      </c>
      <c r="AP40" s="61" t="str">
        <f aca="false">IF(AL40=1,SUM(AL$5:AL40),"")</f>
        <v/>
      </c>
      <c r="AQ40" s="61" t="n">
        <v>0</v>
      </c>
      <c r="AR40" s="61" t="n">
        <v>0</v>
      </c>
      <c r="AS40" s="61" t="n">
        <v>0</v>
      </c>
      <c r="AT40" s="61" t="n">
        <v>0</v>
      </c>
      <c r="AU40" s="61" t="str">
        <f aca="false">SUBSTITUTE(SUBSTITUTE(SUBSTITUTE(SUBSTITUTE(SUBSTITUTE(SUBSTITUTE(SUBSTITUTE(SUBSTITUTE(SUBSTITUTE(SUBSTITUTE(SUBSTITUTE(SUBSTITUTE(SUBSTITUTE(SUBSTITUTE(SUBSTITUTE(SUBSTITUTE(LOWER(T40&amp;""),CHAR(10),""),CHAR(13),""),CHAR(9),""),CHAR(160),"")," ",""),".",""),"-",""),"/",""),"?",""),"_",""),",",""),"[",""),"]",""),"(",""),")",""),"*","")</f>
        <v/>
      </c>
      <c r="AV40" s="61" t="str">
        <f aca="false">SUBSTITUTE(SUBSTITUTE(SUBSTITUTE(SUBSTITUTE(SUBSTITUTE(SUBSTITUTE(SUBSTITUTE(SUBSTITUTE(SUBSTITUTE(SUBSTITUTE(SUBSTITUTE(SUBSTITUTE(SUBSTITUTE(SUBSTITUTE(SUBSTITUTE(SUBSTITUTE(LOWER(V40&amp;""),CHAR(10),""),CHAR(13),""),CHAR(9),""),CHAR(160),"")," ",""),".",""),"-",""),"/",""),"?",""),"_",""),",",""),"[",""),"]",""),"(",""),")",""),"*","")</f>
        <v/>
      </c>
      <c r="AW40" s="61" t="str">
        <f aca="false">SUBSTITUTE(SUBSTITUTE(SUBSTITUTE(SUBSTITUTE(SUBSTITUTE(SUBSTITUTE(SUBSTITUTE(SUBSTITUTE(SUBSTITUTE(SUBSTITUTE(SUBSTITUTE(SUBSTITUTE(SUBSTITUTE(SUBSTITUTE(SUBSTITUTE(SUBSTITUTE(LOWER(Z40&amp;""),CHAR(10),""),CHAR(13),""),CHAR(9),""),CHAR(160),"")," ",""),".",""),"-",""),"/",""),"?",""),"_",""),",",""),"[",""),"]",""),"(",""),")",""),"*","")</f>
        <v/>
      </c>
      <c r="AX40" s="61" t="str">
        <f aca="false">SUBSTITUTE(SUBSTITUTE(SUBSTITUTE(SUBSTITUTE(SUBSTITUTE(SUBSTITUTE(SUBSTITUTE(SUBSTITUTE(SUBSTITUTE(SUBSTITUTE(SUBSTITUTE(SUBSTITUTE(SUBSTITUTE(SUBSTITUTE(SUBSTITUTE(SUBSTITUTE(LOWER(AE40&amp;""),CHAR(10),""),CHAR(13),""),CHAR(9),""),CHAR(160),"")," ",""),".",""),"-",""),"/",""),"?",""),"_",""),",",""),"[",""),"]",""),"(",""),")",""),"*","")</f>
        <v/>
      </c>
      <c r="AY40" s="61" t="str">
        <f aca="false">SUBSTITUTE(SUBSTITUTE(SUBSTITUTE(SUBSTITUTE(SUBSTITUTE(SUBSTITUTE(SUBSTITUTE(SUBSTITUTE(SUBSTITUTE(SUBSTITUTE(SUBSTITUTE(SUBSTITUTE(SUBSTITUTE(SUBSTITUTE(SUBSTITUTE(SUBSTITUTE(LOWER(W40&amp;""),CHAR(10),""),CHAR(13),""),CHAR(9),""),CHAR(160),"")," ",""),".",""),"-",""),"/",""),"?",""),"_",""),",",""),"[",""),"]",""),"(",""),")",""),"*","")</f>
        <v/>
      </c>
      <c r="AZ40" s="61" t="str">
        <f aca="false">SUBSTITUTE(SUBSTITUTE(SUBSTITUTE(SUBSTITUTE(SUBSTITUTE(SUBSTITUTE(SUBSTITUTE(SUBSTITUTE(SUBSTITUTE(SUBSTITUTE(SUBSTITUTE(SUBSTITUTE(SUBSTITUTE(SUBSTITUTE(SUBSTITUTE(SUBSTITUTE(LOWER(AC40&amp;""),CHAR(10),""),CHAR(13),""),CHAR(9),""),CHAR(160),"")," ",""),".",""),"-",""),"/",""),"?",""),"_",""),",",""),"[",""),"]",""),"(",""),")",""),"*","")</f>
        <v/>
      </c>
      <c r="BA40" s="61" t="str">
        <f aca="false">SUBSTITUTE(SUBSTITUTE(SUBSTITUTE(SUBSTITUTE(SUBSTITUTE(SUBSTITUTE(SUBSTITUTE(SUBSTITUTE(SUBSTITUTE(SUBSTITUTE(SUBSTITUTE(SUBSTITUTE(SUBSTITUTE(SUBSTITUTE(SUBSTITUTE(SUBSTITUTE(LOWER(AA40&amp;""),CHAR(10),""),CHAR(13),""),CHAR(9),""),CHAR(160),"")," ",""),".",""),"-",""),"/",""),"?",""),"_",""),",",""),"[",""),"]",""),"(",""),")",""),"*","")</f>
        <v/>
      </c>
      <c r="BB40" s="61" t="str">
        <f aca="false">IF(AND(TRIM(U40)="Pass",ISNUMBER(AF40)),IF(AF40&lt;&gt;0,"INVALID – qty variance: use Fail or Pass after CA",""),"")&amp;IF(AND(TRIM(U40)="Pass after CA",ISNUMBER(AF40)),IF(AF40&lt;&gt;0,"INVALID – after the corrective action the actual qty must equal expected (update Actual)",""),"")&amp;IF(AND(TRIM(U40)="Pass",TRIM(AB40)&lt;&gt;"",TRIM(AB40)&lt;&gt;"Closed"),"INVALID – corrective action not closed: use Fail, then Pass after CA","")&amp;IF(AND(LEN(BA40)&gt;=2,ISNA(MATCH(LEFT(BA40,255),L_Placeholder,0)),TRIM(AB40)=""),"INVALID – CA status missing for the recorded corrective action","")&amp;IF(AND(TRIM(U40)="Pass after CA",OR(OR(LEN(BA40)&lt;5,ISNUMBER(MATCH(BA40,L_Placeholder,0))),TRIM(AB40)&lt;&gt;"Closed")),"INVALID – corrective action not recorded/closed","")</f>
        <v/>
      </c>
      <c r="BC40" s="61" t="str">
        <f aca="false">" "&amp;TRIM(SUBSTITUTE(SUBSTITUTE(SUBSTITUTE(SUBSTITUTE(SUBSTITUTE(SUBSTITUTE(SUBSTITUTE(SUBSTITUTE(SUBSTITUTE(SUBSTITUTE(SUBSTITUTE(SUBSTITUTE(SUBSTITUTE(SUBSTITUTE(SUBSTITUTE(SUBSTITUTE(SUBSTITUTE(SUBSTITUTE(SUBSTITUTE(SUBSTITUTE(SUBSTITUTE(SUBSTITUTE(SUBSTITUTE(SUBSTITUTE(LOWER(V40&amp;""),CHAR(10)," "),CHAR(13)," "),CHAR(9)," "),CHAR(160)," "),"."," "),","," "),"-"," "),"/"," "),"("," "),")"," "),":"," "),";"," "),"_"," "),"–"," "),"?"," "),"!"," "),"*"," "),"["," "),"]"," "),"'"," "),"#"," "),"+"," "),"&amp;"," "),"\"," "))&amp;" "</f>
        <v>  </v>
      </c>
      <c r="BD40" s="61" t="str">
        <f aca="false">" "&amp;TRIM(SUBSTITUTE(SUBSTITUTE(SUBSTITUTE(SUBSTITUTE(SUBSTITUTE(SUBSTITUTE(SUBSTITUTE(SUBSTITUTE(SUBSTITUTE(SUBSTITUTE(SUBSTITUTE(SUBSTITUTE(SUBSTITUTE(SUBSTITUTE(SUBSTITUTE(SUBSTITUTE(SUBSTITUTE(SUBSTITUTE(SUBSTITUTE(SUBSTITUTE(SUBSTITUTE(SUBSTITUTE(SUBSTITUTE(SUBSTITUTE(LOWER(Z40&amp;""),CHAR(10)," "),CHAR(13)," "),CHAR(9)," "),CHAR(160)," "),"."," "),","," "),"-"," "),"/"," "),"("," "),")"," "),":"," "),";"," "),"_"," "),"–"," "),"?"," "),"!"," "),"*"," "),"["," "),"]"," "),"'"," "),"#"," "),"+"," "),"&amp;"," "),"\"," "))&amp;" "</f>
        <v>  </v>
      </c>
      <c r="BE40" s="61" t="str">
        <f aca="false">" "&amp;TRIM(SUBSTITUTE(SUBSTITUTE(SUBSTITUTE(SUBSTITUTE(SUBSTITUTE(SUBSTITUTE(SUBSTITUTE(SUBSTITUTE(SUBSTITUTE(SUBSTITUTE(SUBSTITUTE(SUBSTITUTE(SUBSTITUTE(SUBSTITUTE(SUBSTITUTE(SUBSTITUTE(SUBSTITUTE(SUBSTITUTE(SUBSTITUTE(SUBSTITUTE(SUBSTITUTE(SUBSTITUTE(SUBSTITUTE(SUBSTITUTE(LOWER(W40&amp;""),CHAR(10)," "),CHAR(13)," "),CHAR(9)," "),CHAR(160)," "),"."," "),","," "),"-"," "),"/"," "),"("," "),")"," "),":"," "),";"," "),"_"," "),"–"," "),"?"," "),"!"," "),"*"," "),"["," "),"]"," "),"'"," "),"#"," "),"+"," "),"&amp;"," "),"\"," "))&amp;" "</f>
        <v>  </v>
      </c>
      <c r="BF40" s="61" t="str">
        <f aca="false">" "&amp;TRIM(SUBSTITUTE(SUBSTITUTE(SUBSTITUTE(SUBSTITUTE(SUBSTITUTE(SUBSTITUTE(SUBSTITUTE(SUBSTITUTE(SUBSTITUTE(SUBSTITUTE(SUBSTITUTE(SUBSTITUTE(SUBSTITUTE(SUBSTITUTE(SUBSTITUTE(SUBSTITUTE(SUBSTITUTE(SUBSTITUTE(SUBSTITUTE(SUBSTITUTE(SUBSTITUTE(SUBSTITUTE(SUBSTITUTE(SUBSTITUTE(LOWER(AC40&amp;""),CHAR(10)," "),CHAR(13)," "),CHAR(9)," "),CHAR(160)," "),"."," "),","," "),"-"," "),"/"," "),"("," "),")"," "),":"," "),";"," "),"_"," "),"–"," "),"?"," "),"!"," "),"*"," "),"["," "),"]"," "),"'"," "),"#"," "),"+"," "),"&amp;"," "),"\"," "))&amp;" "</f>
        <v>  </v>
      </c>
      <c r="BG40" s="61" t="n">
        <f aca="false">IFERROR(IF(AND(TRIM(U40)="Pass",SUMPRODUCT((LEN(BC40)-LEN(SUBSTITUTE(BC40," "&amp;L_ResultBad&amp;" "," ")))/(LEN(L_ResultBad)+1))&gt;SUMPRODUCT((LEN(BC40)-LEN(SUBSTITUTE(BC40," "&amp;L_NegPhrase&amp;" "," ")))/(LEN(L_NegPhrase)+1))),1,0),0)</f>
        <v>0</v>
      </c>
      <c r="BH40" s="61" t="n">
        <f aca="false">IFERROR(IF(SUMPRODUCT((LEN(BC40)-LEN(SUBSTITUTE(BC40," "&amp;L_Pending&amp;" "," ")))/(LEN(L_Pending)+1))&gt;SUMPRODUCT((LEN(BC40)-LEN(SUBSTITUTE(BC40," "&amp;L_PendNeg&amp;" "," ")))/(LEN(L_PendNeg)+1))+SUMPRODUCT((LEN(BC40)-LEN(SUBSTITUTE(BC40," "&amp;L_PendPrep&amp;" "," ")))/(LEN(L_PendPrep)+1)),1,0),1)</f>
        <v>0</v>
      </c>
      <c r="BI40" s="61" t="n">
        <f aca="false">IFERROR(IF(SUMPRODUCT((LEN(BD40)-LEN(SUBSTITUTE(BD40," "&amp;L_PendStrict&amp;" "," ")))/(LEN(L_PendStrict)+1))&gt;SUMPRODUCT((LEN(BD40)-LEN(SUBSTITUTE(BD40," "&amp;L_PendNeg&amp;" "," ")))/(LEN(L_PendNeg)+1)),1,0),1)</f>
        <v>0</v>
      </c>
      <c r="BJ40" s="61" t="n">
        <f aca="false">IFERROR(IF(SUMPRODUCT((LEN(BE40)-LEN(SUBSTITUTE(BE40," "&amp;L_Pending&amp;" "," ")))/(LEN(L_Pending)+1))&gt;SUMPRODUCT((LEN(BE40)-LEN(SUBSTITUTE(BE40," "&amp;L_PendNeg&amp;" "," ")))/(LEN(L_PendNeg)+1))+SUMPRODUCT((LEN(BE40)-LEN(SUBSTITUTE(BE40," "&amp;L_PendPrep&amp;" "," ")))/(LEN(L_PendPrep)+1)),1,0),1)</f>
        <v>0</v>
      </c>
      <c r="BK40" s="61" t="n">
        <f aca="false">IFERROR(IF(SUMPRODUCT((LEN(BF40)-LEN(SUBSTITUTE(BF40," "&amp;L_PendStrict&amp;" "," ")))/(LEN(L_PendStrict)+1))&gt;SUMPRODUCT((LEN(BF40)-LEN(SUBSTITUTE(BF40," "&amp;L_PendNeg&amp;" "," ")))/(LEN(L_PendNeg)+1)),1,0),1)</f>
        <v>0</v>
      </c>
      <c r="BL40" s="61" t="n">
        <f aca="false">IF(ISNA(MATCH(TRIM(S40),L_EvidenceType,0)),0,BZ40)</f>
        <v>0</v>
      </c>
      <c r="BM40" s="61" t="str">
        <f aca="false">SUBSTITUTE(SUBSTITUTE(SUBSTITUTE(SUBSTITUTE(SUBSTITUTE(SUBSTITUTE(SUBSTITUTE(SUBSTITUTE(SUBSTITUTE(LOWER(Z40&amp;""),"1","0"),"2","0"),"3","0"),"4","0"),"5","0"),"6","0"),"7","0"),"8","0"),"9","0")</f>
        <v/>
      </c>
      <c r="BN40" s="61" t="str">
        <f aca="false">SUBSTITUTE(SUBSTITUTE(SUBSTITUTE(SUBSTITUTE(SUBSTITUTE(SUBSTITUTE(SUBSTITUTE(SUBSTITUTE(SUBSTITUTE(SUBSTITUTE(SUBSTITUTE(SUBSTITUTE(SUBSTITUTE(SUBSTITUTE(SUBSTITUTE(SUBSTITUTE(SUBSTITUTE(SUBSTITUTE(SUBSTITUTE(SUBSTITUTE(SUBSTITUTE(SUBSTITUTE(SUBSTITUTE(SUBSTITUTE(SUBSTITUTE(BM40,"b","a"),"c","a"),"d","a"),"e","a"),"f","a"),"g","a"),"h","a"),"i","a"),"j","a"),"k","a"),"l","a"),"m","a"),"n","a"),"o","a"),"p","a"),"q","a"),"r","a"),"s","a"),"t","a"),"u","a"),"v","a"),"w","a"),"x","a"),"y","a"),"z","a")</f>
        <v/>
      </c>
      <c r="BO40" s="61" t="str">
        <f aca="false">SUBSTITUTE(SUBSTITUTE(SUBSTITUTE(SUBSTITUTE(SUBSTITUTE(SUBSTITUTE(SUBSTITUTE(SUBSTITUTE(SUBSTITUTE(LOWER(W40&amp;""),"1","0"),"2","0"),"3","0"),"4","0"),"5","0"),"6","0"),"7","0"),"8","0"),"9","0")</f>
        <v/>
      </c>
      <c r="BP40" s="61" t="str">
        <f aca="false">SUBSTITUTE(SUBSTITUTE(SUBSTITUTE(SUBSTITUTE(SUBSTITUTE(SUBSTITUTE(SUBSTITUTE(SUBSTITUTE(SUBSTITUTE(SUBSTITUTE(SUBSTITUTE(SUBSTITUTE(SUBSTITUTE(SUBSTITUTE(SUBSTITUTE(SUBSTITUTE(SUBSTITUTE(SUBSTITUTE(SUBSTITUTE(SUBSTITUTE(SUBSTITUTE(SUBSTITUTE(SUBSTITUTE(SUBSTITUTE(SUBSTITUTE(BO40,"b","a"),"c","a"),"d","a"),"e","a"),"f","a"),"g","a"),"h","a"),"i","a"),"j","a"),"k","a"),"l","a"),"m","a"),"n","a"),"o","a"),"p","a"),"q","a"),"r","a"),"s","a"),"t","a"),"u","a"),"v","a"),"w","a"),"x","a"),"y","a"),"z","a")</f>
        <v/>
      </c>
      <c r="BQ40" s="61" t="n">
        <f aca="false">IFERROR(IF(AND(ISERROR(SEARCH(" mh"," "&amp;LOWER(W40))),ISNA(MATCH(LEFT(TRIM(BP40),255),{"0000a","000a","00a","0000aa","000aa","00aa","0aa","0000aaa","000aaa","00a00","0a00","0000-0000","00:00","a00","a0","00.00.0000","00/00/0000","00-00-0000","0000-00-00","0000/00/00","0000.00.00","00.00.00","00/00/00","00-00-00","0.00.0000","0/00/0000","0-00-0000"},0)),ISNA(MATCH(LEFT(TRIM(CA40),255),{"0000a","000a","00a","0000aa","000aa","00aa","0aa","0000aaa","000aaa","00a00","0a00","0000-0000","00:00","a00","a0","00.00.0000","00/00/0000","00-00-0000","0000-00-00","0000/00/00","0000.00.00","00.00.00","00/00/00","00-00-00","0.00.0000","0/00/0000","0-00-0000"},0)),LEN(CB40)&gt;=3,NOT(OR(SUBSTITUTE(CB40,"0","")="",AND(LEN(CB40)&gt;=4,CB40=REPT(LEFT(CB40),LEN(CB40))),ISNUMBER(MATCH(CB40,{"123","1234","12345","123456","1234567","12345678","0123","01234","012345","98765","987654","54321"},0)),AND(LEN(CB40)=8,LEFT(CB40,3)="202"))),OR(AND((LEN(CA40)-LEN(SUBSTITUTE(CA40,"a","")))&gt;=1,SUMPRODUCT(--ISNUMBER(SEARCH({"a0","a-0","a_0","a/0","a.0","a#0","0a","0-a","0_a","0/a"},BP40)))&gt;0),ISNUMBER(SEARCH("000000",BP40)))),1,0),0)</f>
        <v>0</v>
      </c>
      <c r="BR40" s="61" t="n">
        <f aca="false">IFERROR(LEN(SUBSTITUTE(CC40," ",""))-SUMPRODUCT((LEN(CC40)-LEN(SUBSTITUTE(CC40," "&amp;L_Role&amp;" "," ")))/(LEN(L_Role)+1)*LEN(L_Role)),0)</f>
        <v>0</v>
      </c>
      <c r="BS40" s="61" t="n">
        <f aca="false">IFERROR(LEN(SUBSTITUTE(CD40," ",""))-SUMPRODUCT((LEN(CD40)-LEN(SUBSTITUTE(CD40," "&amp;L_Role&amp;" "," ")))/(LEN(L_Role)+1)*LEN(L_Role)),0)</f>
        <v>0</v>
      </c>
      <c r="BT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revision",""),"version",""),"jan",""),"feb",""),"mar",""),"apr",""),"may",""),"jun",""),"jul",""),"aug",""),"sep",""),"oct",""),"nov",""),"dec",""),"utc",""),"gmt",""),"myt",""),"bst",""),"rev",""),"ver",""),"b","a"),"c","a"),"d","a"),"e","a"),"f","a"),"g","a"),"h","a"),"i","a"),"j","a"),"k","a"),"l","a"),"m","a"),"n","a"),"o","a"),"p","a"),"q","a"),"r","a"),"s","a"),"t","a"),"u","a"),"v","a"),"w","a"),"x","a"),"y","a"),"z","a")</f>
        <v/>
      </c>
      <c r="BU40" s="61" t="str">
        <f aca="false">SUBSTITUTE(SUBSTITUTE(SUBSTITUTE(SUBSTITUTE(SUBSTITUTE(SUBSTITUTE(SUBSTITUTE(SUBSTITUTE(SUBSTITUTE(SUBSTITUTE(LEFT(BM40,FIND("0",BM40&amp;"0")-1),"-",""),"_",""),"/",""),".",""),"#",""),"\\",""),":","")," ",""),"(",""),")","")</f>
        <v/>
      </c>
      <c r="BV40" s="61" t="n">
        <f aca="false">0</f>
        <v>0</v>
      </c>
      <c r="BW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amp;""),"a",""),"b",""),"c",""),"d",""),"e",""),"f",""),"g",""),"h",""),"i",""),"j",""),"k",""),"l",""),"m",""),"n",""),"o",""),"p",""),"q",""),"r",""),"s",""),"t",""),"u",""),"v",""),"w",""),"x",""),"y",""),"z",""),"-",""),"_",""),"/",""),".",""),"#",""),"\\",""),":","")," ",""),"(",""),")","")</f>
        <v/>
      </c>
      <c r="BX40" s="61" t="str">
        <f aca="false">SUBSTITUTE(SUBSTITUTE(SUBSTITUTE(SUBSTITUTE(SUBSTITUTE(SUBSTITUTE(SUBSTITUTE(SUBSTITUTE(SUBSTITUTE(SUBSTITUTE(SUBSTITUTE(BM40,"0",""),"-",""),"_",""),"/",""),".",""),"#",""),"\\",""),":","")," ",""),"(",""),")","")</f>
        <v/>
      </c>
      <c r="BY40" s="62" t="n">
        <f aca="false">Q40-T12EarlyH/24</f>
        <v>46303.5763888889</v>
      </c>
      <c r="BZ40" s="61" t="n">
        <f aca="false">IFERROR(IF(IF(TRIM(S40)="Link / file path",AND(LEN(TRIM(Z40))&gt;=5,SUMPRODUCT(--ISNUMBER(SEARCH({"http","www.","\\",":\",".pdf",".jpg",".jpeg",".png",".heic",".xls",".doc",".msg",".eml",".ppt",".txt",".zip"},Z40)))&gt;0),AND(ISERROR(FIND(" ",TRIM(Z40))),NOT(OR(SUMPRODUCT(--ISNUMBER(FIND({",",";","&amp;","+"},Z40)))&gt;0,SUMPRODUCT(--ISNUMBER(SEARCH({"0/aa","0\\aa"},BN40)))&gt;0)),NOT(SUMPRODUCT(--ISNUMBER(SEARCH({"http","www.","\\",":\",".pdf",".jpg",".jpeg",".png",".heic",".xls",".doc",".msg",".eml",".ppt",".txt",".zip"},Z40)))&gt;0),NOT(LOWER(TRIM(Z40))=LOWER(Flights!$F$6)),ISNA(MATCH(BU40,{"mh","rev","revision","ver","version","v","r","a","b","seat","tray","row","gate","bay","stand","page","pg","item","line","no","cart","galley","flight","flt","table","box","bag","oven","etd","eta","std","sta","atd","ata","qty","pax","x","time","tel","ph","mob","day","wk","week","utc","gmt","myt","lt"},0)),NOT(OR(ISNUMBER(MATCH(LEFT(BN40,255),{"0000a","000a","00a","0000aa","000aa","00aa","0aa","0000aaa","000aaa","00a00","0a00","0000-0000","00:00","a00","a0","00.00.0000","00/00/0000","00-00-0000","0000-00-00","0000/00/00","0000.00.00","00.00.00","00/00/00","00-00-00","0.00.0000","0/00/0000","0-00-0000"},0)),ISNUMBER(MATCH(LEFT(BT40,255),{"0000a","000a","00a","0000aa","000aa","00aa","0aa","0000aaa","000aaa","00a00","0a00","0000-0000","00:00","a00","a0","00.00.0000","00/00/0000","00-00-0000","0000-00-00","0000/00/00","0000.00.00","00.00.00","00/00/00","00-00-00","0.00.0000","0/00/0000","0-00-0000"},0)))),NOT(OR(AND(BW40&lt;&gt;"",SUBSTITUTE(BW40,"0","")=""),AND(LEN(BW40)&gt;=4,BW40=REPT(LEFT(BW40),LEN(BW40))),ISNUMBER(MATCH(BW40,{"123","1234","12345","123456","1234567","12345678","0123","01234","012345","98765","987654","54321"},0)),ISNUMBER(MATCH(BX40,{"x","xx","xxx","xxxx","xxxxx","abc","abcd","nil","na","nan","test","tbc","tba","tbd","dummy","sample","example","eg","zz","zzz","none","null","xyz","qwe","asd","id","ref"},0)),AND(LEN(BW40)=8,BX40="",OR(LEFT(BW40,3)="202",ISNUMBER(MATCH(RIGHT(BW40,4),{"2025","2026","2027"},0)))))),OR(AND((LEN(BT40)-LEN(SUBSTITUTE(BT40,"a","")))&gt;=1,(LEN(BN40)-LEN(SUBSTITUTE(BN40,"0","")))&gt;=2,SUMPRODUCT(--ISNUMBER(SEARCH({"a0","a-0","a_0","a/0","a.0","a#0","0a","0-a","0_a","0/a"},BN40)))&gt;0),AND((LEN(BN40)-LEN(SUBSTITUTE(BN40,"a","")))=0,(LEN(BN40)-LEN(SUBSTITUTE(BN40,"0","")))&gt;=5)))),1,0),0)</f>
        <v>0</v>
      </c>
      <c r="CA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revision",""),"version",""),"jan",""),"feb",""),"mar",""),"apr",""),"may",""),"jun",""),"jul",""),"aug",""),"sep",""),"oct",""),"nov",""),"dec",""),"utc",""),"gmt",""),"myt",""),"bst",""),"rev",""),"ver",""),"b","a"),"c","a"),"d","a"),"e","a"),"f","a"),"g","a"),"h","a"),"i","a"),"j","a"),"k","a"),"l","a"),"m","a"),"n","a"),"o","a"),"p","a"),"q","a"),"r","a"),"s","a"),"t","a"),"u","a"),"v","a"),"w","a"),"x","a"),"y","a"),"z","a")</f>
        <v/>
      </c>
      <c r="CB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amp;""),"a",""),"b",""),"c",""),"d",""),"e",""),"f",""),"g",""),"h",""),"i",""),"j",""),"k",""),"l",""),"m",""),"n",""),"o",""),"p",""),"q",""),"r",""),"s",""),"t",""),"u",""),"v",""),"w",""),"x",""),"y",""),"z",""),"-",""),"_",""),"/",""),".",""),"#",""),"\\",""),":","")," ",""),"(",""),")","")</f>
        <v/>
      </c>
      <c r="CC40" s="0" t="str">
        <f aca="false">" "&amp;TRIM(SUBSTITUTE(SUBSTITUTE(SUBSTITUTE(SUBSTITUTE(SUBSTITUTE(SUBSTITUTE(SUBSTITUTE(SUBSTITUTE(SUBSTITUTE(SUBSTITUTE(SUBSTITUTE(SUBSTITUTE(SUBSTITUTE(SUBSTITUTE(SUBSTITUTE(SUBSTITUTE(SUBSTITUTE(SUBSTITUTE(SUBSTITUTE(SUBSTITUTE(SUBSTITUTE(SUBSTITUTE(SUBSTITUTE(SUBSTITUTE(LOWER(T40&amp;""),CHAR(10)," "),CHAR(13)," "),CHAR(9)," "),CHAR(160)," "),"."," "),","," "),"-"," "),"/"," "),"("," "),")"," "),":"," "),";"," "),"_"," "),"–"," "),"?"," "),"!"," "),"*"," "),"["," "),"]"," "),"'"," "),"#"," "),"+"," "),"&amp;"," "),"\"," "))&amp;" "</f>
        <v>  </v>
      </c>
      <c r="CD40" s="0" t="str">
        <f aca="false">" "&amp;TRIM(SUBSTITUTE(SUBSTITUTE(SUBSTITUTE(SUBSTITUTE(SUBSTITUTE(SUBSTITUTE(SUBSTITUTE(SUBSTITUTE(SUBSTITUTE(SUBSTITUTE(SUBSTITUTE(SUBSTITUTE(SUBSTITUTE(SUBSTITUTE(SUBSTITUTE(SUBSTITUTE(SUBSTITUTE(SUBSTITUTE(SUBSTITUTE(SUBSTITUTE(SUBSTITUTE(SUBSTITUTE(SUBSTITUTE(SUBSTITUTE(LOWER(AE40&amp;""),CHAR(10)," "),CHAR(13)," "),CHAR(9)," "),CHAR(160)," "),"."," "),","," "),"-"," "),"/"," "),"("," "),")"," "),":"," "),";"," "),"_"," "),"–"," "),"?"," "),"!"," "),"*"," "),"["," "),"]"," "),"'"," "),"#"," "),"+"," "),"&amp;"," "),"\"," "))&amp;" "</f>
        <v>  </v>
      </c>
      <c r="CE40" s="68" t="n">
        <f aca="false">IFERROR(IF(AND(LEN(AU40)&gt;0,LEN(AU40)=LEN(AX40),OR(TRIM(MID(SUBSTITUTE(TRIM(CC40)," ",REPT(" ",60)),1,60))="",ISNUMBER(SEARCH(" "&amp;TRIM(MID(SUBSTITUTE(TRIM(CC40)," ",REPT(" ",60)),1,60))&amp;" ",CD40))),OR(TRIM(MID(SUBSTITUTE(TRIM(CC40)," ",REPT(" ",60)),61,60))="",ISNUMBER(SEARCH(" "&amp;TRIM(MID(SUBSTITUTE(TRIM(CC40)," ",REPT(" ",60)),61,60))&amp;" ",CD40))),OR(TRIM(MID(SUBSTITUTE(TRIM(CC40)," ",REPT(" ",60)),121,60))="",ISNUMBER(SEARCH(" "&amp;TRIM(MID(SUBSTITUTE(TRIM(CC40)," ",REPT(" ",60)),121,60))&amp;" ",CD40)))),1,0),0)</f>
        <v>0</v>
      </c>
      <c r="CG40" s="68" t="n">
        <f aca="false">IFERROR(LEN(SUBSTITUTE(BF40," ",""))-SUMPRODUCT((LEN(BF40)-LEN(SUBSTITUTE(BF40," "&amp;L_NAFiller&amp;" "," ")))/(LEN(L_NAFiller)+1)*LEN(L_NAFiller)),0)</f>
        <v>0</v>
      </c>
    </row>
    <row r="41" customFormat="false" ht="39.75" hidden="false" customHeight="true" outlineLevel="0" collapsed="false">
      <c r="A41" s="57" t="s">
        <v>486</v>
      </c>
      <c r="B41" s="57" t="s">
        <v>198</v>
      </c>
      <c r="C41" s="57" t="str">
        <f aca="false">Flights!$F$6</f>
        <v>MH0727</v>
      </c>
      <c r="D41" s="58" t="n">
        <f aca="false">Flights!$D$6</f>
        <v>46304</v>
      </c>
      <c r="E41" s="57" t="str">
        <f aca="false">Flights!$G$6&amp;"-"&amp;Flights!$H$6</f>
        <v>KUL-CGK</v>
      </c>
      <c r="F41" s="57" t="str">
        <f aca="false">Flights!$K$6</f>
        <v>BC</v>
      </c>
      <c r="G41" s="57" t="s">
        <v>420</v>
      </c>
      <c r="H41" s="57" t="s">
        <v>378</v>
      </c>
      <c r="I41" s="57" t="s">
        <v>379</v>
      </c>
      <c r="J41" s="57" t="s">
        <v>425</v>
      </c>
      <c r="K41" s="67" t="s">
        <v>426</v>
      </c>
      <c r="L41" s="67" t="s">
        <v>422</v>
      </c>
      <c r="M41" s="67"/>
      <c r="N41" s="67" t="s">
        <v>383</v>
      </c>
      <c r="O41" s="67" t="s">
        <v>423</v>
      </c>
      <c r="P41" s="57" t="s">
        <v>187</v>
      </c>
      <c r="Q41" s="59" t="n">
        <f aca="false">ROUND((Flights!$AE$6)*1440,0)/1440</f>
        <v>46304.0763888889</v>
      </c>
      <c r="R41" s="59" t="n">
        <f aca="false">Q41+(IF(AND(INDEX(TZ_DSTS,MATCH(P41,TZ_STN,0))&lt;&gt;"",Q41&gt;=INDEX(TZ_DSTS,MATCH(P41,TZ_STN,0)),Q41&lt;INDEX(TZ_DSTE,MATCH(P41,TZ_STN,0))),INDEX(TZ_DST,MATCH(P41,TZ_STN,0)),INDEX(TZ_STD,MATCH(P41,TZ_STN,0))))/24</f>
        <v>46304.4097222222</v>
      </c>
      <c r="S41" s="60"/>
      <c r="T41" s="60"/>
      <c r="U41" s="60"/>
      <c r="V41" s="60"/>
      <c r="W41" s="61"/>
      <c r="X41" s="60"/>
      <c r="Y41" s="60"/>
      <c r="Z41" s="60"/>
      <c r="AA41" s="60"/>
      <c r="AB41" s="60"/>
      <c r="AC41" s="60"/>
      <c r="AD41" s="66"/>
      <c r="AE41" s="60"/>
      <c r="AF41" s="61" t="str">
        <f aca="false">IF(AND(ISNUMBER(X41),ISNUMBER(Y41)),Y41-X41,"")</f>
        <v/>
      </c>
      <c r="AG41" s="62" t="str">
        <f aca="false">IF(ISNUMBER(AD41),AD41-(IF(AND(INDEX(TZ_DSTS,MATCH(P41,TZ_STN,0))&lt;&gt;"",(AD41-INDEX(TZ_STD,MATCH(P41,TZ_STN,0))/24)&gt;=INDEX(TZ_DSTS,MATCH(P41,TZ_STN,0)),(AD41-INDEX(TZ_STD,MATCH(P41,TZ_STN,0))/24)&lt;INDEX(TZ_DSTE,MATCH(P41,TZ_STN,0))),INDEX(TZ_DST,MATCH(P41,TZ_STN,0)),INDEX(TZ_STD,MATCH(P41,TZ_STN,0))))/24,"")</f>
        <v/>
      </c>
      <c r="AH41" s="65" t="str">
        <f aca="false">IFERROR(IF(N41="N/A – rule",IF(OR(TRIM(U41)="",TRIM(U41)="N/A",TRIM(U41)="Not started"),"N/A – RULE","INVALID – this check does not apply to this aircraft: clear the status (or correct the fleet on Flights)"),IF(TRIM(U41)="N/A",IF(AT41=0,"INVALID – N/A not permitted for this check",IF(AND(TRIM(AB41)&lt;&gt;"",TRIM(AB41)&lt;&gt;"Closed"),"INVALID – corrective action still open",IF(AND(NOT(OR(LEN(AZ41)&lt;15,ISNUMBER(MATCH(AZ41,L_Placeholder,0)))),BK41=0,CG41&gt;=8,NOT(OR(LEN(AU41)&lt;2,ISNUMBER(MATCH(AU41,L_Placeholder,0)))),BR41&gt;=3,NOT(OR(LEN(AX41)&lt;2,ISNUMBER(MATCH(AX41,L_Placeholder,0)))),BS41&gt;=3,TRIM(AE41)&lt;&gt;TRIM(T41),AX41&lt;&gt;AU41,CE41=0),"N/A – JUSTIFIED","INVALID – N/A needs a real, settled reason (not 'not applicable' / 'as above' / TBC), a named PIC and a different named verifier"))),IF(OR(TRIM(U41)="Pass",TRIM(U41)="Pass after CA"),IF(NOT(ISNUMBER(AD41)),"INVALID – completion time missing",IF(OR(OR(LEN(AU41)&lt;2,ISNUMBER(MATCH(AU41,L_Placeholder,0))),BR41&lt;3),"INVALID – PIC missing or not a named person (a role such as QA / CSM is not a name)",IF(OR(LEN(AV41)&lt;2,ISNUMBER(MATCH(AV41,L_Placeholder,0))),"INVALID – result / assessment missing",IF(OR(OR(LEN(AW41)&lt;3,ISNUMBER(MATCH(AW41,L_Placeholder,0))),SUMPRODUCT(--ISNUMBER(SEARCH(" "&amp;L_EvidencePhrase&amp;" ",BD41)))&gt;0,BI41=1),"INVALID – evidence missing, placeholder or not yet on file",IF(ISNA(MATCH(TRIM(S41),L_EvidenceType,0)),"INVALID – choose the evidence type from the list (column S)",IF(BL41=0,"INVALID – evidence ID must be the record's own ID only (e.g. SF-2210, IMG_2231, 1045521); a link / file name needs type 'Link / file path'",IF(OR(OR(LEN(AX41)&lt;2,ISNUMBER(MATCH(AX41,L_Placeholder,0))),BS41&lt;3),"INVALID – verifier missing or not a named person (a role such as QA / CSM is not a name)",IF(OR(AX41=AU41,CE41=1,AND(LEN(AU41)&gt;=4,ISNUMBER(SEARCH(AU41,AX41))),AND(LEN(AX41)&gt;=4,ISNUMBER(SEARCH(AX41,AU41)))),"INVALID – verifier must be a different, named person (not the PIC or a role)",IF(BH41=1,"INVALID – result not yet available (awaiting / TBC)",IF(BG41=1,"INVALID – result describes a problem: record Fail, then Pass after CA (or reword if it is not a problem)",IF(BV41=1,"INVALID – wording says not on board: an on-board confirmation needs the item loaded",IF(AND(AQ41=1,OR(OR(LEN(AY41)&lt;3,ISNUMBER(MATCH(AY41,L_Placeholder,0))),BJ41=1,BQ41=0)),"INVALID – batch ID missing, placeholder or not an ID (e.g. PASB-261008-BC-017)",IF(AND(AR41=1,OR(NOT(ISNUMBER(X41)),NOT(ISNUMBER(Y41)))),"INVALID – expected/actual qty missing",IF(AND(AR41=1,OR(X41&lt;=0,Y41&lt;0)),"INVALID – expected qty must be above 0 and actual not negative",IF(BB41&lt;&gt;"",BB41,IF(AND(AS41=1,Documents!$J$6&lt;&gt;"ON FILE"),"INVALID – GLD not on file (Documents sheet)",IF(AND(AS41=2,Documents!$O$6&lt;&gt;"ON FILE"),"INVALID – menu checklist not on file (Documents sheet)",IF(AND(AS41=3,NOT(ISNUMBER(Flights!$AX$6))),"INVALID – enter carrying flight KUL departure (Flights AX)",IF(AND(AS41=3,OR(Flights!$AZ$6&gt;Flights!$AA$6,Flights!$AX$6&lt;Flights!$AA$6-3)),"INVALID – carrying flight (Flights AX) cannot arrive before this leg's STD, or is over 3 days early",IF(AG41&gt;AsOfUTC,"INVALID – completion time is in the future",IF(AND(ISNUMBER(BY41),AG41&lt;BY41),IF(H41="Physical uplift","INVALID – before uplift window (cannot confirm loading)","INVALID – before valid window"),IF(AG41&gt;Flights!$AA$6,"INVALID – completed after departure (cannot establish readiness)",IF(AND(H41="Preparation",AG41&gt;=IF(ISNUMBER(Flights!$BA$6),MIN(Flights!$BA$6,Flights!$AA$6),Flights!$AA$6)),"INVALID – completed after loading / departure (cannot establish readiness)",IF(AND(H41="Physical uplift",AG41&gt;Q41),"INVALID – recorded after the loading flight departed",IF(AG41&gt;Q41,"COMPLETE – LATE","COMPLETE"))))))))))))))))))))))))),IF(TRIM(U41)="Fail","FAIL – DISCREPANCY",IF(AND(TRIM(U41)&lt;&gt;"",TRIM(U41)&lt;&gt;"Not started",TRIM(U41)&lt;&gt;"In progress"),"INVALID – unrecognised status (use the list)",IF(AsOfUTC&gt;Q41,"OVERDUE",IF(N41="Clarification required","OPEN – CLARIFICATION","OPEN"))))))),"INVALID – error value in an input cell")</f>
        <v>OPEN</v>
      </c>
      <c r="AI41" s="61" t="n">
        <f aca="false">IF(OR(AH41="N/A – RULE",AH41="N/A – JUSTIFIED"),0,1)</f>
        <v>1</v>
      </c>
      <c r="AJ41" s="61" t="n">
        <f aca="false">IF(LEFT(AH41,8)="COMPLETE",1,0)</f>
        <v>0</v>
      </c>
      <c r="AK41" s="61" t="n">
        <f aca="false">IF(AND(AI41=1,AJ41=0,AsOfUTC&gt;Q41),1,0)</f>
        <v>0</v>
      </c>
      <c r="AL41" s="61" t="n">
        <f aca="false">IFERROR(IF(AND(AI41=1,OR(TRIM(U41)="Fail",AND(TRIM(AB41)&lt;&gt;"",TRIM(AB41)&lt;&gt;"Closed"),AND(ISNUMBER(AF41),AF41&lt;&gt;0,TRIM(U41)&lt;&gt;"Pass after CA"))),1,0),1)</f>
        <v>0</v>
      </c>
      <c r="AM41" s="61" t="n">
        <f aca="false">IF(LEFT(AH41,7)="INVALID",1,0)</f>
        <v>0</v>
      </c>
      <c r="AN41" s="61" t="n">
        <f aca="false">IF(AND(N41="Clarification required",AI41=1,AJ41=0),1,0)</f>
        <v>0</v>
      </c>
      <c r="AO41" s="61" t="str">
        <f aca="false">IF(AK41=1,SUM(AK$5:AK41),"")</f>
        <v/>
      </c>
      <c r="AP41" s="61" t="str">
        <f aca="false">IF(AL41=1,SUM(AL$5:AL41),"")</f>
        <v/>
      </c>
      <c r="AQ41" s="61" t="n">
        <v>0</v>
      </c>
      <c r="AR41" s="61" t="n">
        <v>1</v>
      </c>
      <c r="AS41" s="61" t="n">
        <v>0</v>
      </c>
      <c r="AT41" s="61" t="n">
        <v>0</v>
      </c>
      <c r="AU41" s="61" t="str">
        <f aca="false">SUBSTITUTE(SUBSTITUTE(SUBSTITUTE(SUBSTITUTE(SUBSTITUTE(SUBSTITUTE(SUBSTITUTE(SUBSTITUTE(SUBSTITUTE(SUBSTITUTE(SUBSTITUTE(SUBSTITUTE(SUBSTITUTE(SUBSTITUTE(SUBSTITUTE(SUBSTITUTE(LOWER(T41&amp;""),CHAR(10),""),CHAR(13),""),CHAR(9),""),CHAR(160),"")," ",""),".",""),"-",""),"/",""),"?",""),"_",""),",",""),"[",""),"]",""),"(",""),")",""),"*","")</f>
        <v/>
      </c>
      <c r="AV41" s="61" t="str">
        <f aca="false">SUBSTITUTE(SUBSTITUTE(SUBSTITUTE(SUBSTITUTE(SUBSTITUTE(SUBSTITUTE(SUBSTITUTE(SUBSTITUTE(SUBSTITUTE(SUBSTITUTE(SUBSTITUTE(SUBSTITUTE(SUBSTITUTE(SUBSTITUTE(SUBSTITUTE(SUBSTITUTE(LOWER(V41&amp;""),CHAR(10),""),CHAR(13),""),CHAR(9),""),CHAR(160),"")," ",""),".",""),"-",""),"/",""),"?",""),"_",""),",",""),"[",""),"]",""),"(",""),")",""),"*","")</f>
        <v/>
      </c>
      <c r="AW41" s="61" t="str">
        <f aca="false">SUBSTITUTE(SUBSTITUTE(SUBSTITUTE(SUBSTITUTE(SUBSTITUTE(SUBSTITUTE(SUBSTITUTE(SUBSTITUTE(SUBSTITUTE(SUBSTITUTE(SUBSTITUTE(SUBSTITUTE(SUBSTITUTE(SUBSTITUTE(SUBSTITUTE(SUBSTITUTE(LOWER(Z41&amp;""),CHAR(10),""),CHAR(13),""),CHAR(9),""),CHAR(160),"")," ",""),".",""),"-",""),"/",""),"?",""),"_",""),",",""),"[",""),"]",""),"(",""),")",""),"*","")</f>
        <v/>
      </c>
      <c r="AX41" s="61" t="str">
        <f aca="false">SUBSTITUTE(SUBSTITUTE(SUBSTITUTE(SUBSTITUTE(SUBSTITUTE(SUBSTITUTE(SUBSTITUTE(SUBSTITUTE(SUBSTITUTE(SUBSTITUTE(SUBSTITUTE(SUBSTITUTE(SUBSTITUTE(SUBSTITUTE(SUBSTITUTE(SUBSTITUTE(LOWER(AE41&amp;""),CHAR(10),""),CHAR(13),""),CHAR(9),""),CHAR(160),"")," ",""),".",""),"-",""),"/",""),"?",""),"_",""),",",""),"[",""),"]",""),"(",""),")",""),"*","")</f>
        <v/>
      </c>
      <c r="AY41" s="61" t="str">
        <f aca="false">SUBSTITUTE(SUBSTITUTE(SUBSTITUTE(SUBSTITUTE(SUBSTITUTE(SUBSTITUTE(SUBSTITUTE(SUBSTITUTE(SUBSTITUTE(SUBSTITUTE(SUBSTITUTE(SUBSTITUTE(SUBSTITUTE(SUBSTITUTE(SUBSTITUTE(SUBSTITUTE(LOWER(W41&amp;""),CHAR(10),""),CHAR(13),""),CHAR(9),""),CHAR(160),"")," ",""),".",""),"-",""),"/",""),"?",""),"_",""),",",""),"[",""),"]",""),"(",""),")",""),"*","")</f>
        <v/>
      </c>
      <c r="AZ41" s="61" t="str">
        <f aca="false">SUBSTITUTE(SUBSTITUTE(SUBSTITUTE(SUBSTITUTE(SUBSTITUTE(SUBSTITUTE(SUBSTITUTE(SUBSTITUTE(SUBSTITUTE(SUBSTITUTE(SUBSTITUTE(SUBSTITUTE(SUBSTITUTE(SUBSTITUTE(SUBSTITUTE(SUBSTITUTE(LOWER(AC41&amp;""),CHAR(10),""),CHAR(13),""),CHAR(9),""),CHAR(160),"")," ",""),".",""),"-",""),"/",""),"?",""),"_",""),",",""),"[",""),"]",""),"(",""),")",""),"*","")</f>
        <v/>
      </c>
      <c r="BA41" s="61" t="str">
        <f aca="false">SUBSTITUTE(SUBSTITUTE(SUBSTITUTE(SUBSTITUTE(SUBSTITUTE(SUBSTITUTE(SUBSTITUTE(SUBSTITUTE(SUBSTITUTE(SUBSTITUTE(SUBSTITUTE(SUBSTITUTE(SUBSTITUTE(SUBSTITUTE(SUBSTITUTE(SUBSTITUTE(LOWER(AA41&amp;""),CHAR(10),""),CHAR(13),""),CHAR(9),""),CHAR(160),"")," ",""),".",""),"-",""),"/",""),"?",""),"_",""),",",""),"[",""),"]",""),"(",""),")",""),"*","")</f>
        <v/>
      </c>
      <c r="BB41" s="61" t="str">
        <f aca="false">IF(AND(TRIM(U41)="Pass",ISNUMBER(AF41)),IF(AF41&lt;&gt;0,"INVALID – qty variance: use Fail or Pass after CA",""),"")&amp;IF(AND(TRIM(U41)="Pass after CA",ISNUMBER(AF41)),IF(AF41&lt;&gt;0,"INVALID – after the corrective action the actual qty must equal expected (update Actual)",""),"")&amp;IF(AND(TRIM(U41)="Pass",TRIM(AB41)&lt;&gt;"",TRIM(AB41)&lt;&gt;"Closed"),"INVALID – corrective action not closed: use Fail, then Pass after CA","")&amp;IF(AND(LEN(BA41)&gt;=2,ISNA(MATCH(LEFT(BA41,255),L_Placeholder,0)),TRIM(AB41)=""),"INVALID – CA status missing for the recorded corrective action","")&amp;IF(AND(TRIM(U41)="Pass after CA",OR(OR(LEN(BA41)&lt;5,ISNUMBER(MATCH(BA41,L_Placeholder,0))),TRIM(AB41)&lt;&gt;"Closed")),"INVALID – corrective action not recorded/closed","")</f>
        <v/>
      </c>
      <c r="BC41" s="61" t="str">
        <f aca="false">" "&amp;TRIM(SUBSTITUTE(SUBSTITUTE(SUBSTITUTE(SUBSTITUTE(SUBSTITUTE(SUBSTITUTE(SUBSTITUTE(SUBSTITUTE(SUBSTITUTE(SUBSTITUTE(SUBSTITUTE(SUBSTITUTE(SUBSTITUTE(SUBSTITUTE(SUBSTITUTE(SUBSTITUTE(SUBSTITUTE(SUBSTITUTE(SUBSTITUTE(SUBSTITUTE(SUBSTITUTE(SUBSTITUTE(SUBSTITUTE(SUBSTITUTE(LOWER(V41&amp;""),CHAR(10)," "),CHAR(13)," "),CHAR(9)," "),CHAR(160)," "),"."," "),","," "),"-"," "),"/"," "),"("," "),")"," "),":"," "),";"," "),"_"," "),"–"," "),"?"," "),"!"," "),"*"," "),"["," "),"]"," "),"'"," "),"#"," "),"+"," "),"&amp;"," "),"\"," "))&amp;" "</f>
        <v>  </v>
      </c>
      <c r="BD41" s="61" t="str">
        <f aca="false">" "&amp;TRIM(SUBSTITUTE(SUBSTITUTE(SUBSTITUTE(SUBSTITUTE(SUBSTITUTE(SUBSTITUTE(SUBSTITUTE(SUBSTITUTE(SUBSTITUTE(SUBSTITUTE(SUBSTITUTE(SUBSTITUTE(SUBSTITUTE(SUBSTITUTE(SUBSTITUTE(SUBSTITUTE(SUBSTITUTE(SUBSTITUTE(SUBSTITUTE(SUBSTITUTE(SUBSTITUTE(SUBSTITUTE(SUBSTITUTE(SUBSTITUTE(LOWER(Z41&amp;""),CHAR(10)," "),CHAR(13)," "),CHAR(9)," "),CHAR(160)," "),"."," "),","," "),"-"," "),"/"," "),"("," "),")"," "),":"," "),";"," "),"_"," "),"–"," "),"?"," "),"!"," "),"*"," "),"["," "),"]"," "),"'"," "),"#"," "),"+"," "),"&amp;"," "),"\"," "))&amp;" "</f>
        <v>  </v>
      </c>
      <c r="BE41" s="61" t="str">
        <f aca="false">" "&amp;TRIM(SUBSTITUTE(SUBSTITUTE(SUBSTITUTE(SUBSTITUTE(SUBSTITUTE(SUBSTITUTE(SUBSTITUTE(SUBSTITUTE(SUBSTITUTE(SUBSTITUTE(SUBSTITUTE(SUBSTITUTE(SUBSTITUTE(SUBSTITUTE(SUBSTITUTE(SUBSTITUTE(SUBSTITUTE(SUBSTITUTE(SUBSTITUTE(SUBSTITUTE(SUBSTITUTE(SUBSTITUTE(SUBSTITUTE(SUBSTITUTE(LOWER(W41&amp;""),CHAR(10)," "),CHAR(13)," "),CHAR(9)," "),CHAR(160)," "),"."," "),","," "),"-"," "),"/"," "),"("," "),")"," "),":"," "),";"," "),"_"," "),"–"," "),"?"," "),"!"," "),"*"," "),"["," "),"]"," "),"'"," "),"#"," "),"+"," "),"&amp;"," "),"\"," "))&amp;" "</f>
        <v>  </v>
      </c>
      <c r="BF41" s="61" t="str">
        <f aca="false">" "&amp;TRIM(SUBSTITUTE(SUBSTITUTE(SUBSTITUTE(SUBSTITUTE(SUBSTITUTE(SUBSTITUTE(SUBSTITUTE(SUBSTITUTE(SUBSTITUTE(SUBSTITUTE(SUBSTITUTE(SUBSTITUTE(SUBSTITUTE(SUBSTITUTE(SUBSTITUTE(SUBSTITUTE(SUBSTITUTE(SUBSTITUTE(SUBSTITUTE(SUBSTITUTE(SUBSTITUTE(SUBSTITUTE(SUBSTITUTE(SUBSTITUTE(LOWER(AC41&amp;""),CHAR(10)," "),CHAR(13)," "),CHAR(9)," "),CHAR(160)," "),"."," "),","," "),"-"," "),"/"," "),"("," "),")"," "),":"," "),";"," "),"_"," "),"–"," "),"?"," "),"!"," "),"*"," "),"["," "),"]"," "),"'"," "),"#"," "),"+"," "),"&amp;"," "),"\"," "))&amp;" "</f>
        <v>  </v>
      </c>
      <c r="BG41" s="61" t="n">
        <f aca="false">IFERROR(IF(AND(TRIM(U41)="Pass",SUMPRODUCT((LEN(BC41)-LEN(SUBSTITUTE(BC41," "&amp;L_ResultBad&amp;" "," ")))/(LEN(L_ResultBad)+1))&gt;SUMPRODUCT((LEN(BC41)-LEN(SUBSTITUTE(BC41," "&amp;L_NegPhrase&amp;" "," ")))/(LEN(L_NegPhrase)+1))),1,0),0)</f>
        <v>0</v>
      </c>
      <c r="BH41" s="61" t="n">
        <f aca="false">IFERROR(IF(SUMPRODUCT((LEN(BC41)-LEN(SUBSTITUTE(BC41," "&amp;L_Pending&amp;" "," ")))/(LEN(L_Pending)+1))&gt;SUMPRODUCT((LEN(BC41)-LEN(SUBSTITUTE(BC41," "&amp;L_PendNeg&amp;" "," ")))/(LEN(L_PendNeg)+1))+SUMPRODUCT((LEN(BC41)-LEN(SUBSTITUTE(BC41," "&amp;L_PendPrep&amp;" "," ")))/(LEN(L_PendPrep)+1)),1,0),1)</f>
        <v>0</v>
      </c>
      <c r="BI41" s="61" t="n">
        <f aca="false">IFERROR(IF(SUMPRODUCT((LEN(BD41)-LEN(SUBSTITUTE(BD41," "&amp;L_PendStrict&amp;" "," ")))/(LEN(L_PendStrict)+1))&gt;SUMPRODUCT((LEN(BD41)-LEN(SUBSTITUTE(BD41," "&amp;L_PendNeg&amp;" "," ")))/(LEN(L_PendNeg)+1)),1,0),1)</f>
        <v>0</v>
      </c>
      <c r="BJ41" s="61" t="n">
        <f aca="false">IFERROR(IF(SUMPRODUCT((LEN(BE41)-LEN(SUBSTITUTE(BE41," "&amp;L_Pending&amp;" "," ")))/(LEN(L_Pending)+1))&gt;SUMPRODUCT((LEN(BE41)-LEN(SUBSTITUTE(BE41," "&amp;L_PendNeg&amp;" "," ")))/(LEN(L_PendNeg)+1))+SUMPRODUCT((LEN(BE41)-LEN(SUBSTITUTE(BE41," "&amp;L_PendPrep&amp;" "," ")))/(LEN(L_PendPrep)+1)),1,0),1)</f>
        <v>0</v>
      </c>
      <c r="BK41" s="61" t="n">
        <f aca="false">IFERROR(IF(SUMPRODUCT((LEN(BF41)-LEN(SUBSTITUTE(BF41," "&amp;L_PendStrict&amp;" "," ")))/(LEN(L_PendStrict)+1))&gt;SUMPRODUCT((LEN(BF41)-LEN(SUBSTITUTE(BF41," "&amp;L_PendNeg&amp;" "," ")))/(LEN(L_PendNeg)+1)),1,0),1)</f>
        <v>0</v>
      </c>
      <c r="BL41" s="61" t="n">
        <f aca="false">IF(ISNA(MATCH(TRIM(S41),L_EvidenceType,0)),0,BZ41)</f>
        <v>0</v>
      </c>
      <c r="BM41" s="61" t="str">
        <f aca="false">SUBSTITUTE(SUBSTITUTE(SUBSTITUTE(SUBSTITUTE(SUBSTITUTE(SUBSTITUTE(SUBSTITUTE(SUBSTITUTE(SUBSTITUTE(LOWER(Z41&amp;""),"1","0"),"2","0"),"3","0"),"4","0"),"5","0"),"6","0"),"7","0"),"8","0"),"9","0")</f>
        <v/>
      </c>
      <c r="BN41" s="61" t="str">
        <f aca="false">SUBSTITUTE(SUBSTITUTE(SUBSTITUTE(SUBSTITUTE(SUBSTITUTE(SUBSTITUTE(SUBSTITUTE(SUBSTITUTE(SUBSTITUTE(SUBSTITUTE(SUBSTITUTE(SUBSTITUTE(SUBSTITUTE(SUBSTITUTE(SUBSTITUTE(SUBSTITUTE(SUBSTITUTE(SUBSTITUTE(SUBSTITUTE(SUBSTITUTE(SUBSTITUTE(SUBSTITUTE(SUBSTITUTE(SUBSTITUTE(SUBSTITUTE(BM41,"b","a"),"c","a"),"d","a"),"e","a"),"f","a"),"g","a"),"h","a"),"i","a"),"j","a"),"k","a"),"l","a"),"m","a"),"n","a"),"o","a"),"p","a"),"q","a"),"r","a"),"s","a"),"t","a"),"u","a"),"v","a"),"w","a"),"x","a"),"y","a"),"z","a")</f>
        <v/>
      </c>
      <c r="BO41" s="61" t="str">
        <f aca="false">SUBSTITUTE(SUBSTITUTE(SUBSTITUTE(SUBSTITUTE(SUBSTITUTE(SUBSTITUTE(SUBSTITUTE(SUBSTITUTE(SUBSTITUTE(LOWER(W41&amp;""),"1","0"),"2","0"),"3","0"),"4","0"),"5","0"),"6","0"),"7","0"),"8","0"),"9","0")</f>
        <v/>
      </c>
      <c r="BP41" s="61" t="str">
        <f aca="false">SUBSTITUTE(SUBSTITUTE(SUBSTITUTE(SUBSTITUTE(SUBSTITUTE(SUBSTITUTE(SUBSTITUTE(SUBSTITUTE(SUBSTITUTE(SUBSTITUTE(SUBSTITUTE(SUBSTITUTE(SUBSTITUTE(SUBSTITUTE(SUBSTITUTE(SUBSTITUTE(SUBSTITUTE(SUBSTITUTE(SUBSTITUTE(SUBSTITUTE(SUBSTITUTE(SUBSTITUTE(SUBSTITUTE(SUBSTITUTE(SUBSTITUTE(BO41,"b","a"),"c","a"),"d","a"),"e","a"),"f","a"),"g","a"),"h","a"),"i","a"),"j","a"),"k","a"),"l","a"),"m","a"),"n","a"),"o","a"),"p","a"),"q","a"),"r","a"),"s","a"),"t","a"),"u","a"),"v","a"),"w","a"),"x","a"),"y","a"),"z","a")</f>
        <v/>
      </c>
      <c r="BQ41" s="61" t="n">
        <f aca="false">IFERROR(IF(AND(ISERROR(SEARCH(" mh"," "&amp;LOWER(W41))),ISNA(MATCH(LEFT(TRIM(BP41),255),{"0000a","000a","00a","0000aa","000aa","00aa","0aa","0000aaa","000aaa","00a00","0a00","0000-0000","00:00","a00","a0","00.00.0000","00/00/0000","00-00-0000","0000-00-00","0000/00/00","0000.00.00","00.00.00","00/00/00","00-00-00","0.00.0000","0/00/0000","0-00-0000"},0)),ISNA(MATCH(LEFT(TRIM(CA41),255),{"0000a","000a","00a","0000aa","000aa","00aa","0aa","0000aaa","000aaa","00a00","0a00","0000-0000","00:00","a00","a0","00.00.0000","00/00/0000","00-00-0000","0000-00-00","0000/00/00","0000.00.00","00.00.00","00/00/00","00-00-00","0.00.0000","0/00/0000","0-00-0000"},0)),LEN(CB41)&gt;=3,NOT(OR(SUBSTITUTE(CB41,"0","")="",AND(LEN(CB41)&gt;=4,CB41=REPT(LEFT(CB41),LEN(CB41))),ISNUMBER(MATCH(CB41,{"123","1234","12345","123456","1234567","12345678","0123","01234","012345","98765","987654","54321"},0)),AND(LEN(CB41)=8,LEFT(CB41,3)="202"))),OR(AND((LEN(CA41)-LEN(SUBSTITUTE(CA41,"a","")))&gt;=1,SUMPRODUCT(--ISNUMBER(SEARCH({"a0","a-0","a_0","a/0","a.0","a#0","0a","0-a","0_a","0/a"},BP41)))&gt;0),ISNUMBER(SEARCH("000000",BP41)))),1,0),0)</f>
        <v>0</v>
      </c>
      <c r="BR41" s="61" t="n">
        <f aca="false">IFERROR(LEN(SUBSTITUTE(CC41," ",""))-SUMPRODUCT((LEN(CC41)-LEN(SUBSTITUTE(CC41," "&amp;L_Role&amp;" "," ")))/(LEN(L_Role)+1)*LEN(L_Role)),0)</f>
        <v>0</v>
      </c>
      <c r="BS41" s="61" t="n">
        <f aca="false">IFERROR(LEN(SUBSTITUTE(CD41," ",""))-SUMPRODUCT((LEN(CD41)-LEN(SUBSTITUTE(CD41," "&amp;L_Role&amp;" "," ")))/(LEN(L_Role)+1)*LEN(L_Role)),0)</f>
        <v>0</v>
      </c>
      <c r="BT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revision",""),"version",""),"jan",""),"feb",""),"mar",""),"apr",""),"may",""),"jun",""),"jul",""),"aug",""),"sep",""),"oct",""),"nov",""),"dec",""),"utc",""),"gmt",""),"myt",""),"bst",""),"rev",""),"ver",""),"b","a"),"c","a"),"d","a"),"e","a"),"f","a"),"g","a"),"h","a"),"i","a"),"j","a"),"k","a"),"l","a"),"m","a"),"n","a"),"o","a"),"p","a"),"q","a"),"r","a"),"s","a"),"t","a"),"u","a"),"v","a"),"w","a"),"x","a"),"y","a"),"z","a")</f>
        <v/>
      </c>
      <c r="BU41" s="61" t="str">
        <f aca="false">SUBSTITUTE(SUBSTITUTE(SUBSTITUTE(SUBSTITUTE(SUBSTITUTE(SUBSTITUTE(SUBSTITUTE(SUBSTITUTE(SUBSTITUTE(SUBSTITUTE(LEFT(BM41,FIND("0",BM41&amp;"0")-1),"-",""),"_",""),"/",""),".",""),"#",""),"\\",""),":","")," ",""),"(",""),")","")</f>
        <v/>
      </c>
      <c r="BV41" s="61" t="n">
        <f aca="false">0</f>
        <v>0</v>
      </c>
      <c r="BW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amp;""),"a",""),"b",""),"c",""),"d",""),"e",""),"f",""),"g",""),"h",""),"i",""),"j",""),"k",""),"l",""),"m",""),"n",""),"o",""),"p",""),"q",""),"r",""),"s",""),"t",""),"u",""),"v",""),"w",""),"x",""),"y",""),"z",""),"-",""),"_",""),"/",""),".",""),"#",""),"\\",""),":","")," ",""),"(",""),")","")</f>
        <v/>
      </c>
      <c r="BX41" s="61" t="str">
        <f aca="false">SUBSTITUTE(SUBSTITUTE(SUBSTITUTE(SUBSTITUTE(SUBSTITUTE(SUBSTITUTE(SUBSTITUTE(SUBSTITUTE(SUBSTITUTE(SUBSTITUTE(SUBSTITUTE(BM41,"0",""),"-",""),"_",""),"/",""),".",""),"#",""),"\\",""),":","")," ",""),"(",""),")","")</f>
        <v/>
      </c>
      <c r="BY41" s="62" t="n">
        <f aca="false">Q41-T12EarlyH/24</f>
        <v>46303.5763888889</v>
      </c>
      <c r="BZ41" s="61" t="n">
        <f aca="false">IFERROR(IF(IF(TRIM(S41)="Link / file path",AND(LEN(TRIM(Z41))&gt;=5,SUMPRODUCT(--ISNUMBER(SEARCH({"http","www.","\\",":\",".pdf",".jpg",".jpeg",".png",".heic",".xls",".doc",".msg",".eml",".ppt",".txt",".zip"},Z41)))&gt;0),AND(ISERROR(FIND(" ",TRIM(Z41))),NOT(OR(SUMPRODUCT(--ISNUMBER(FIND({",",";","&amp;","+"},Z41)))&gt;0,SUMPRODUCT(--ISNUMBER(SEARCH({"0/aa","0\\aa"},BN41)))&gt;0)),NOT(SUMPRODUCT(--ISNUMBER(SEARCH({"http","www.","\\",":\",".pdf",".jpg",".jpeg",".png",".heic",".xls",".doc",".msg",".eml",".ppt",".txt",".zip"},Z41)))&gt;0),NOT(LOWER(TRIM(Z41))=LOWER(Flights!$F$6)),ISNA(MATCH(BU41,{"mh","rev","revision","ver","version","v","r","a","b","seat","tray","row","gate","bay","stand","page","pg","item","line","no","cart","galley","flight","flt","table","box","bag","oven","etd","eta","std","sta","atd","ata","qty","pax","x","time","tel","ph","mob","day","wk","week","utc","gmt","myt","lt"},0)),NOT(OR(ISNUMBER(MATCH(LEFT(BN41,255),{"0000a","000a","00a","0000aa","000aa","00aa","0aa","0000aaa","000aaa","00a00","0a00","0000-0000","00:00","a00","a0","00.00.0000","00/00/0000","00-00-0000","0000-00-00","0000/00/00","0000.00.00","00.00.00","00/00/00","00-00-00","0.00.0000","0/00/0000","0-00-0000"},0)),ISNUMBER(MATCH(LEFT(BT41,255),{"0000a","000a","00a","0000aa","000aa","00aa","0aa","0000aaa","000aaa","00a00","0a00","0000-0000","00:00","a00","a0","00.00.0000","00/00/0000","00-00-0000","0000-00-00","0000/00/00","0000.00.00","00.00.00","00/00/00","00-00-00","0.00.0000","0/00/0000","0-00-0000"},0)))),NOT(OR(AND(BW41&lt;&gt;"",SUBSTITUTE(BW41,"0","")=""),AND(LEN(BW41)&gt;=4,BW41=REPT(LEFT(BW41),LEN(BW41))),ISNUMBER(MATCH(BW41,{"123","1234","12345","123456","1234567","12345678","0123","01234","012345","98765","987654","54321"},0)),ISNUMBER(MATCH(BX41,{"x","xx","xxx","xxxx","xxxxx","abc","abcd","nil","na","nan","test","tbc","tba","tbd","dummy","sample","example","eg","zz","zzz","none","null","xyz","qwe","asd","id","ref"},0)),AND(LEN(BW41)=8,BX41="",OR(LEFT(BW41,3)="202",ISNUMBER(MATCH(RIGHT(BW41,4),{"2025","2026","2027"},0)))))),OR(AND((LEN(BT41)-LEN(SUBSTITUTE(BT41,"a","")))&gt;=1,(LEN(BN41)-LEN(SUBSTITUTE(BN41,"0","")))&gt;=2,SUMPRODUCT(--ISNUMBER(SEARCH({"a0","a-0","a_0","a/0","a.0","a#0","0a","0-a","0_a","0/a"},BN41)))&gt;0),AND((LEN(BN41)-LEN(SUBSTITUTE(BN41,"a","")))=0,(LEN(BN41)-LEN(SUBSTITUTE(BN41,"0","")))&gt;=5)))),1,0),0)</f>
        <v>0</v>
      </c>
      <c r="CA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revision",""),"version",""),"jan",""),"feb",""),"mar",""),"apr",""),"may",""),"jun",""),"jul",""),"aug",""),"sep",""),"oct",""),"nov",""),"dec",""),"utc",""),"gmt",""),"myt",""),"bst",""),"rev",""),"ver",""),"b","a"),"c","a"),"d","a"),"e","a"),"f","a"),"g","a"),"h","a"),"i","a"),"j","a"),"k","a"),"l","a"),"m","a"),"n","a"),"o","a"),"p","a"),"q","a"),"r","a"),"s","a"),"t","a"),"u","a"),"v","a"),"w","a"),"x","a"),"y","a"),"z","a")</f>
        <v/>
      </c>
      <c r="CB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amp;""),"a",""),"b",""),"c",""),"d",""),"e",""),"f",""),"g",""),"h",""),"i",""),"j",""),"k",""),"l",""),"m",""),"n",""),"o",""),"p",""),"q",""),"r",""),"s",""),"t",""),"u",""),"v",""),"w",""),"x",""),"y",""),"z",""),"-",""),"_",""),"/",""),".",""),"#",""),"\\",""),":","")," ",""),"(",""),")","")</f>
        <v/>
      </c>
      <c r="CC41" s="0" t="str">
        <f aca="false">" "&amp;TRIM(SUBSTITUTE(SUBSTITUTE(SUBSTITUTE(SUBSTITUTE(SUBSTITUTE(SUBSTITUTE(SUBSTITUTE(SUBSTITUTE(SUBSTITUTE(SUBSTITUTE(SUBSTITUTE(SUBSTITUTE(SUBSTITUTE(SUBSTITUTE(SUBSTITUTE(SUBSTITUTE(SUBSTITUTE(SUBSTITUTE(SUBSTITUTE(SUBSTITUTE(SUBSTITUTE(SUBSTITUTE(SUBSTITUTE(SUBSTITUTE(LOWER(T41&amp;""),CHAR(10)," "),CHAR(13)," "),CHAR(9)," "),CHAR(160)," "),"."," "),","," "),"-"," "),"/"," "),"("," "),")"," "),":"," "),";"," "),"_"," "),"–"," "),"?"," "),"!"," "),"*"," "),"["," "),"]"," "),"'"," "),"#"," "),"+"," "),"&amp;"," "),"\"," "))&amp;" "</f>
        <v>  </v>
      </c>
      <c r="CD41" s="0" t="str">
        <f aca="false">" "&amp;TRIM(SUBSTITUTE(SUBSTITUTE(SUBSTITUTE(SUBSTITUTE(SUBSTITUTE(SUBSTITUTE(SUBSTITUTE(SUBSTITUTE(SUBSTITUTE(SUBSTITUTE(SUBSTITUTE(SUBSTITUTE(SUBSTITUTE(SUBSTITUTE(SUBSTITUTE(SUBSTITUTE(SUBSTITUTE(SUBSTITUTE(SUBSTITUTE(SUBSTITUTE(SUBSTITUTE(SUBSTITUTE(SUBSTITUTE(SUBSTITUTE(LOWER(AE41&amp;""),CHAR(10)," "),CHAR(13)," "),CHAR(9)," "),CHAR(160)," "),"."," "),","," "),"-"," "),"/"," "),"("," "),")"," "),":"," "),";"," "),"_"," "),"–"," "),"?"," "),"!"," "),"*"," "),"["," "),"]"," "),"'"," "),"#"," "),"+"," "),"&amp;"," "),"\"," "))&amp;" "</f>
        <v>  </v>
      </c>
      <c r="CE41" s="68" t="n">
        <f aca="false">IFERROR(IF(AND(LEN(AU41)&gt;0,LEN(AU41)=LEN(AX41),OR(TRIM(MID(SUBSTITUTE(TRIM(CC41)," ",REPT(" ",60)),1,60))="",ISNUMBER(SEARCH(" "&amp;TRIM(MID(SUBSTITUTE(TRIM(CC41)," ",REPT(" ",60)),1,60))&amp;" ",CD41))),OR(TRIM(MID(SUBSTITUTE(TRIM(CC41)," ",REPT(" ",60)),61,60))="",ISNUMBER(SEARCH(" "&amp;TRIM(MID(SUBSTITUTE(TRIM(CC41)," ",REPT(" ",60)),61,60))&amp;" ",CD41))),OR(TRIM(MID(SUBSTITUTE(TRIM(CC41)," ",REPT(" ",60)),121,60))="",ISNUMBER(SEARCH(" "&amp;TRIM(MID(SUBSTITUTE(TRIM(CC41)," ",REPT(" ",60)),121,60))&amp;" ",CD41)))),1,0),0)</f>
        <v>0</v>
      </c>
      <c r="CG41" s="68" t="n">
        <f aca="false">IFERROR(LEN(SUBSTITUTE(BF41," ",""))-SUMPRODUCT((LEN(BF41)-LEN(SUBSTITUTE(BF41," "&amp;L_NAFiller&amp;" "," ")))/(LEN(L_NAFiller)+1)*LEN(L_NAFiller)),0)</f>
        <v>0</v>
      </c>
    </row>
    <row r="42" customFormat="false" ht="39.75" hidden="false" customHeight="true" outlineLevel="0" collapsed="false">
      <c r="A42" s="57" t="s">
        <v>487</v>
      </c>
      <c r="B42" s="57" t="s">
        <v>198</v>
      </c>
      <c r="C42" s="57" t="str">
        <f aca="false">Flights!$F$6</f>
        <v>MH0727</v>
      </c>
      <c r="D42" s="58" t="n">
        <f aca="false">Flights!$D$6</f>
        <v>46304</v>
      </c>
      <c r="E42" s="57" t="str">
        <f aca="false">Flights!$G$6&amp;"-"&amp;Flights!$H$6</f>
        <v>KUL-CGK</v>
      </c>
      <c r="F42" s="57" t="str">
        <f aca="false">Flights!$K$6</f>
        <v>BC</v>
      </c>
      <c r="G42" s="57" t="s">
        <v>420</v>
      </c>
      <c r="H42" s="57" t="s">
        <v>378</v>
      </c>
      <c r="I42" s="57" t="s">
        <v>428</v>
      </c>
      <c r="J42" s="57" t="s">
        <v>429</v>
      </c>
      <c r="K42" s="67"/>
      <c r="L42" s="67" t="s">
        <v>422</v>
      </c>
      <c r="M42" s="67"/>
      <c r="N42" s="67" t="s">
        <v>383</v>
      </c>
      <c r="O42" s="67" t="s">
        <v>423</v>
      </c>
      <c r="P42" s="57" t="s">
        <v>187</v>
      </c>
      <c r="Q42" s="59" t="n">
        <f aca="false">ROUND((Flights!$AE$6)*1440,0)/1440</f>
        <v>46304.0763888889</v>
      </c>
      <c r="R42" s="59" t="n">
        <f aca="false">Q42+(IF(AND(INDEX(TZ_DSTS,MATCH(P42,TZ_STN,0))&lt;&gt;"",Q42&gt;=INDEX(TZ_DSTS,MATCH(P42,TZ_STN,0)),Q42&lt;INDEX(TZ_DSTE,MATCH(P42,TZ_STN,0))),INDEX(TZ_DST,MATCH(P42,TZ_STN,0)),INDEX(TZ_STD,MATCH(P42,TZ_STN,0))))/24</f>
        <v>46304.4097222222</v>
      </c>
      <c r="S42" s="60"/>
      <c r="T42" s="60"/>
      <c r="U42" s="60"/>
      <c r="V42" s="60"/>
      <c r="W42" s="61"/>
      <c r="X42" s="60"/>
      <c r="Y42" s="60"/>
      <c r="Z42" s="60"/>
      <c r="AA42" s="60"/>
      <c r="AB42" s="60"/>
      <c r="AC42" s="60"/>
      <c r="AD42" s="66"/>
      <c r="AE42" s="60"/>
      <c r="AF42" s="61" t="str">
        <f aca="false">IF(AND(ISNUMBER(X42),ISNUMBER(Y42)),Y42-X42,"")</f>
        <v/>
      </c>
      <c r="AG42" s="62" t="str">
        <f aca="false">IF(ISNUMBER(AD42),AD42-(IF(AND(INDEX(TZ_DSTS,MATCH(P42,TZ_STN,0))&lt;&gt;"",(AD42-INDEX(TZ_STD,MATCH(P42,TZ_STN,0))/24)&gt;=INDEX(TZ_DSTS,MATCH(P42,TZ_STN,0)),(AD42-INDEX(TZ_STD,MATCH(P42,TZ_STN,0))/24)&lt;INDEX(TZ_DSTE,MATCH(P42,TZ_STN,0))),INDEX(TZ_DST,MATCH(P42,TZ_STN,0)),INDEX(TZ_STD,MATCH(P42,TZ_STN,0))))/24,"")</f>
        <v/>
      </c>
      <c r="AH42" s="65" t="str">
        <f aca="false">IFERROR(IF(N42="N/A – rule",IF(OR(TRIM(U42)="",TRIM(U42)="N/A",TRIM(U42)="Not started"),"N/A – RULE","INVALID – this check does not apply to this aircraft: clear the status (or correct the fleet on Flights)"),IF(TRIM(U42)="N/A",IF(AT42=0,"INVALID – N/A not permitted for this check",IF(AND(TRIM(AB42)&lt;&gt;"",TRIM(AB42)&lt;&gt;"Closed"),"INVALID – corrective action still open",IF(AND(NOT(OR(LEN(AZ42)&lt;15,ISNUMBER(MATCH(AZ42,L_Placeholder,0)))),BK42=0,CG42&gt;=8,NOT(OR(LEN(AU42)&lt;2,ISNUMBER(MATCH(AU42,L_Placeholder,0)))),BR42&gt;=3,NOT(OR(LEN(AX42)&lt;2,ISNUMBER(MATCH(AX42,L_Placeholder,0)))),BS42&gt;=3,TRIM(AE42)&lt;&gt;TRIM(T42),AX42&lt;&gt;AU42,CE42=0),"N/A – JUSTIFIED","INVALID – N/A needs a real, settled reason (not 'not applicable' / 'as above' / TBC), a named PIC and a different named verifier"))),IF(OR(TRIM(U42)="Pass",TRIM(U42)="Pass after CA"),IF(NOT(ISNUMBER(AD42)),"INVALID – completion time missing",IF(OR(OR(LEN(AU42)&lt;2,ISNUMBER(MATCH(AU42,L_Placeholder,0))),BR42&lt;3),"INVALID – PIC missing or not a named person (a role such as QA / CSM is not a name)",IF(OR(LEN(AV42)&lt;2,ISNUMBER(MATCH(AV42,L_Placeholder,0))),"INVALID – result / assessment missing",IF(OR(OR(LEN(AW42)&lt;3,ISNUMBER(MATCH(AW42,L_Placeholder,0))),SUMPRODUCT(--ISNUMBER(SEARCH(" "&amp;L_EvidencePhrase&amp;" ",BD42)))&gt;0,BI42=1),"INVALID – evidence missing, placeholder or not yet on file",IF(ISNA(MATCH(TRIM(S42),L_EvidenceType,0)),"INVALID – choose the evidence type from the list (column S)",IF(BL42=0,"INVALID – evidence ID must be the record's own ID only (e.g. SF-2210, IMG_2231, 1045521); a link / file name needs type 'Link / file path'",IF(OR(OR(LEN(AX42)&lt;2,ISNUMBER(MATCH(AX42,L_Placeholder,0))),BS42&lt;3),"INVALID – verifier missing or not a named person (a role such as QA / CSM is not a name)",IF(OR(AX42=AU42,CE42=1,AND(LEN(AU42)&gt;=4,ISNUMBER(SEARCH(AU42,AX42))),AND(LEN(AX42)&gt;=4,ISNUMBER(SEARCH(AX42,AU42)))),"INVALID – verifier must be a different, named person (not the PIC or a role)",IF(BH42=1,"INVALID – result not yet available (awaiting / TBC)",IF(BG42=1,"INVALID – result describes a problem: record Fail, then Pass after CA (or reword if it is not a problem)",IF(BV42=1,"INVALID – wording says not on board: an on-board confirmation needs the item loaded",IF(AND(AQ42=1,OR(OR(LEN(AY42)&lt;3,ISNUMBER(MATCH(AY42,L_Placeholder,0))),BJ42=1,BQ42=0)),"INVALID – batch ID missing, placeholder or not an ID (e.g. PASB-261008-BC-017)",IF(AND(AR42=1,OR(NOT(ISNUMBER(X42)),NOT(ISNUMBER(Y42)))),"INVALID – expected/actual qty missing",IF(AND(AR42=1,OR(X42&lt;=0,Y42&lt;0)),"INVALID – expected qty must be above 0 and actual not negative",IF(BB42&lt;&gt;"",BB42,IF(AND(AS42=1,Documents!$J$6&lt;&gt;"ON FILE"),"INVALID – GLD not on file (Documents sheet)",IF(AND(AS42=2,Documents!$O$6&lt;&gt;"ON FILE"),"INVALID – menu checklist not on file (Documents sheet)",IF(AND(AS42=3,NOT(ISNUMBER(Flights!$AX$6))),"INVALID – enter carrying flight KUL departure (Flights AX)",IF(AND(AS42=3,OR(Flights!$AZ$6&gt;Flights!$AA$6,Flights!$AX$6&lt;Flights!$AA$6-3)),"INVALID – carrying flight (Flights AX) cannot arrive before this leg's STD, or is over 3 days early",IF(AG42&gt;AsOfUTC,"INVALID – completion time is in the future",IF(AND(ISNUMBER(BY42),AG42&lt;BY42),IF(H42="Physical uplift","INVALID – before uplift window (cannot confirm loading)","INVALID – before valid window"),IF(AG42&gt;Flights!$AA$6,"INVALID – completed after departure (cannot establish readiness)",IF(AND(H42="Preparation",AG42&gt;=IF(ISNUMBER(Flights!$BA$6),MIN(Flights!$BA$6,Flights!$AA$6),Flights!$AA$6)),"INVALID – completed after loading / departure (cannot establish readiness)",IF(AND(H42="Physical uplift",AG42&gt;Q42),"INVALID – recorded after the loading flight departed",IF(AG42&gt;Q42,"COMPLETE – LATE","COMPLETE"))))))))))))))))))))))))),IF(TRIM(U42)="Fail","FAIL – DISCREPANCY",IF(AND(TRIM(U42)&lt;&gt;"",TRIM(U42)&lt;&gt;"Not started",TRIM(U42)&lt;&gt;"In progress"),"INVALID – unrecognised status (use the list)",IF(AsOfUTC&gt;Q42,"OVERDUE",IF(N42="Clarification required","OPEN – CLARIFICATION","OPEN"))))))),"INVALID – error value in an input cell")</f>
        <v>OPEN</v>
      </c>
      <c r="AI42" s="61" t="n">
        <f aca="false">IF(OR(AH42="N/A – RULE",AH42="N/A – JUSTIFIED"),0,1)</f>
        <v>1</v>
      </c>
      <c r="AJ42" s="61" t="n">
        <f aca="false">IF(LEFT(AH42,8)="COMPLETE",1,0)</f>
        <v>0</v>
      </c>
      <c r="AK42" s="61" t="n">
        <f aca="false">IF(AND(AI42=1,AJ42=0,AsOfUTC&gt;Q42),1,0)</f>
        <v>0</v>
      </c>
      <c r="AL42" s="61" t="n">
        <f aca="false">IFERROR(IF(AND(AI42=1,OR(TRIM(U42)="Fail",AND(TRIM(AB42)&lt;&gt;"",TRIM(AB42)&lt;&gt;"Closed"),AND(ISNUMBER(AF42),AF42&lt;&gt;0,TRIM(U42)&lt;&gt;"Pass after CA"))),1,0),1)</f>
        <v>0</v>
      </c>
      <c r="AM42" s="61" t="n">
        <f aca="false">IF(LEFT(AH42,7)="INVALID",1,0)</f>
        <v>0</v>
      </c>
      <c r="AN42" s="61" t="n">
        <f aca="false">IF(AND(N42="Clarification required",AI42=1,AJ42=0),1,0)</f>
        <v>0</v>
      </c>
      <c r="AO42" s="61" t="str">
        <f aca="false">IF(AK42=1,SUM(AK$5:AK42),"")</f>
        <v/>
      </c>
      <c r="AP42" s="61" t="str">
        <f aca="false">IF(AL42=1,SUM(AL$5:AL42),"")</f>
        <v/>
      </c>
      <c r="AQ42" s="61" t="n">
        <v>0</v>
      </c>
      <c r="AR42" s="61" t="n">
        <v>0</v>
      </c>
      <c r="AS42" s="61" t="n">
        <v>0</v>
      </c>
      <c r="AT42" s="61" t="n">
        <v>0</v>
      </c>
      <c r="AU42" s="61" t="str">
        <f aca="false">SUBSTITUTE(SUBSTITUTE(SUBSTITUTE(SUBSTITUTE(SUBSTITUTE(SUBSTITUTE(SUBSTITUTE(SUBSTITUTE(SUBSTITUTE(SUBSTITUTE(SUBSTITUTE(SUBSTITUTE(SUBSTITUTE(SUBSTITUTE(SUBSTITUTE(SUBSTITUTE(LOWER(T42&amp;""),CHAR(10),""),CHAR(13),""),CHAR(9),""),CHAR(160),"")," ",""),".",""),"-",""),"/",""),"?",""),"_",""),",",""),"[",""),"]",""),"(",""),")",""),"*","")</f>
        <v/>
      </c>
      <c r="AV42" s="61" t="str">
        <f aca="false">SUBSTITUTE(SUBSTITUTE(SUBSTITUTE(SUBSTITUTE(SUBSTITUTE(SUBSTITUTE(SUBSTITUTE(SUBSTITUTE(SUBSTITUTE(SUBSTITUTE(SUBSTITUTE(SUBSTITUTE(SUBSTITUTE(SUBSTITUTE(SUBSTITUTE(SUBSTITUTE(LOWER(V42&amp;""),CHAR(10),""),CHAR(13),""),CHAR(9),""),CHAR(160),"")," ",""),".",""),"-",""),"/",""),"?",""),"_",""),",",""),"[",""),"]",""),"(",""),")",""),"*","")</f>
        <v/>
      </c>
      <c r="AW42" s="61" t="str">
        <f aca="false">SUBSTITUTE(SUBSTITUTE(SUBSTITUTE(SUBSTITUTE(SUBSTITUTE(SUBSTITUTE(SUBSTITUTE(SUBSTITUTE(SUBSTITUTE(SUBSTITUTE(SUBSTITUTE(SUBSTITUTE(SUBSTITUTE(SUBSTITUTE(SUBSTITUTE(SUBSTITUTE(LOWER(Z42&amp;""),CHAR(10),""),CHAR(13),""),CHAR(9),""),CHAR(160),"")," ",""),".",""),"-",""),"/",""),"?",""),"_",""),",",""),"[",""),"]",""),"(",""),")",""),"*","")</f>
        <v/>
      </c>
      <c r="AX42" s="61" t="str">
        <f aca="false">SUBSTITUTE(SUBSTITUTE(SUBSTITUTE(SUBSTITUTE(SUBSTITUTE(SUBSTITUTE(SUBSTITUTE(SUBSTITUTE(SUBSTITUTE(SUBSTITUTE(SUBSTITUTE(SUBSTITUTE(SUBSTITUTE(SUBSTITUTE(SUBSTITUTE(SUBSTITUTE(LOWER(AE42&amp;""),CHAR(10),""),CHAR(13),""),CHAR(9),""),CHAR(160),"")," ",""),".",""),"-",""),"/",""),"?",""),"_",""),",",""),"[",""),"]",""),"(",""),")",""),"*","")</f>
        <v/>
      </c>
      <c r="AY42" s="61" t="str">
        <f aca="false">SUBSTITUTE(SUBSTITUTE(SUBSTITUTE(SUBSTITUTE(SUBSTITUTE(SUBSTITUTE(SUBSTITUTE(SUBSTITUTE(SUBSTITUTE(SUBSTITUTE(SUBSTITUTE(SUBSTITUTE(SUBSTITUTE(SUBSTITUTE(SUBSTITUTE(SUBSTITUTE(LOWER(W42&amp;""),CHAR(10),""),CHAR(13),""),CHAR(9),""),CHAR(160),"")," ",""),".",""),"-",""),"/",""),"?",""),"_",""),",",""),"[",""),"]",""),"(",""),")",""),"*","")</f>
        <v/>
      </c>
      <c r="AZ42" s="61" t="str">
        <f aca="false">SUBSTITUTE(SUBSTITUTE(SUBSTITUTE(SUBSTITUTE(SUBSTITUTE(SUBSTITUTE(SUBSTITUTE(SUBSTITUTE(SUBSTITUTE(SUBSTITUTE(SUBSTITUTE(SUBSTITUTE(SUBSTITUTE(SUBSTITUTE(SUBSTITUTE(SUBSTITUTE(LOWER(AC42&amp;""),CHAR(10),""),CHAR(13),""),CHAR(9),""),CHAR(160),"")," ",""),".",""),"-",""),"/",""),"?",""),"_",""),",",""),"[",""),"]",""),"(",""),")",""),"*","")</f>
        <v/>
      </c>
      <c r="BA42" s="61" t="str">
        <f aca="false">SUBSTITUTE(SUBSTITUTE(SUBSTITUTE(SUBSTITUTE(SUBSTITUTE(SUBSTITUTE(SUBSTITUTE(SUBSTITUTE(SUBSTITUTE(SUBSTITUTE(SUBSTITUTE(SUBSTITUTE(SUBSTITUTE(SUBSTITUTE(SUBSTITUTE(SUBSTITUTE(LOWER(AA42&amp;""),CHAR(10),""),CHAR(13),""),CHAR(9),""),CHAR(160),"")," ",""),".",""),"-",""),"/",""),"?",""),"_",""),",",""),"[",""),"]",""),"(",""),")",""),"*","")</f>
        <v/>
      </c>
      <c r="BB42" s="61" t="str">
        <f aca="false">IF(AND(TRIM(U42)="Pass",ISNUMBER(AF42)),IF(AF42&lt;&gt;0,"INVALID – qty variance: use Fail or Pass after CA",""),"")&amp;IF(AND(TRIM(U42)="Pass after CA",ISNUMBER(AF42)),IF(AF42&lt;&gt;0,"INVALID – after the corrective action the actual qty must equal expected (update Actual)",""),"")&amp;IF(AND(TRIM(U42)="Pass",TRIM(AB42)&lt;&gt;"",TRIM(AB42)&lt;&gt;"Closed"),"INVALID – corrective action not closed: use Fail, then Pass after CA","")&amp;IF(AND(LEN(BA42)&gt;=2,ISNA(MATCH(LEFT(BA42,255),L_Placeholder,0)),TRIM(AB42)=""),"INVALID – CA status missing for the recorded corrective action","")&amp;IF(AND(TRIM(U42)="Pass after CA",OR(OR(LEN(BA42)&lt;5,ISNUMBER(MATCH(BA42,L_Placeholder,0))),TRIM(AB42)&lt;&gt;"Closed")),"INVALID – corrective action not recorded/closed","")</f>
        <v/>
      </c>
      <c r="BC42" s="61" t="str">
        <f aca="false">" "&amp;TRIM(SUBSTITUTE(SUBSTITUTE(SUBSTITUTE(SUBSTITUTE(SUBSTITUTE(SUBSTITUTE(SUBSTITUTE(SUBSTITUTE(SUBSTITUTE(SUBSTITUTE(SUBSTITUTE(SUBSTITUTE(SUBSTITUTE(SUBSTITUTE(SUBSTITUTE(SUBSTITUTE(SUBSTITUTE(SUBSTITUTE(SUBSTITUTE(SUBSTITUTE(SUBSTITUTE(SUBSTITUTE(SUBSTITUTE(SUBSTITUTE(LOWER(V42&amp;""),CHAR(10)," "),CHAR(13)," "),CHAR(9)," "),CHAR(160)," "),"."," "),","," "),"-"," "),"/"," "),"("," "),")"," "),":"," "),";"," "),"_"," "),"–"," "),"?"," "),"!"," "),"*"," "),"["," "),"]"," "),"'"," "),"#"," "),"+"," "),"&amp;"," "),"\"," "))&amp;" "</f>
        <v>  </v>
      </c>
      <c r="BD42" s="61" t="str">
        <f aca="false">" "&amp;TRIM(SUBSTITUTE(SUBSTITUTE(SUBSTITUTE(SUBSTITUTE(SUBSTITUTE(SUBSTITUTE(SUBSTITUTE(SUBSTITUTE(SUBSTITUTE(SUBSTITUTE(SUBSTITUTE(SUBSTITUTE(SUBSTITUTE(SUBSTITUTE(SUBSTITUTE(SUBSTITUTE(SUBSTITUTE(SUBSTITUTE(SUBSTITUTE(SUBSTITUTE(SUBSTITUTE(SUBSTITUTE(SUBSTITUTE(SUBSTITUTE(LOWER(Z42&amp;""),CHAR(10)," "),CHAR(13)," "),CHAR(9)," "),CHAR(160)," "),"."," "),","," "),"-"," "),"/"," "),"("," "),")"," "),":"," "),";"," "),"_"," "),"–"," "),"?"," "),"!"," "),"*"," "),"["," "),"]"," "),"'"," "),"#"," "),"+"," "),"&amp;"," "),"\"," "))&amp;" "</f>
        <v>  </v>
      </c>
      <c r="BE42" s="61" t="str">
        <f aca="false">" "&amp;TRIM(SUBSTITUTE(SUBSTITUTE(SUBSTITUTE(SUBSTITUTE(SUBSTITUTE(SUBSTITUTE(SUBSTITUTE(SUBSTITUTE(SUBSTITUTE(SUBSTITUTE(SUBSTITUTE(SUBSTITUTE(SUBSTITUTE(SUBSTITUTE(SUBSTITUTE(SUBSTITUTE(SUBSTITUTE(SUBSTITUTE(SUBSTITUTE(SUBSTITUTE(SUBSTITUTE(SUBSTITUTE(SUBSTITUTE(SUBSTITUTE(LOWER(W42&amp;""),CHAR(10)," "),CHAR(13)," "),CHAR(9)," "),CHAR(160)," "),"."," "),","," "),"-"," "),"/"," "),"("," "),")"," "),":"," "),";"," "),"_"," "),"–"," "),"?"," "),"!"," "),"*"," "),"["," "),"]"," "),"'"," "),"#"," "),"+"," "),"&amp;"," "),"\"," "))&amp;" "</f>
        <v>  </v>
      </c>
      <c r="BF42" s="61" t="str">
        <f aca="false">" "&amp;TRIM(SUBSTITUTE(SUBSTITUTE(SUBSTITUTE(SUBSTITUTE(SUBSTITUTE(SUBSTITUTE(SUBSTITUTE(SUBSTITUTE(SUBSTITUTE(SUBSTITUTE(SUBSTITUTE(SUBSTITUTE(SUBSTITUTE(SUBSTITUTE(SUBSTITUTE(SUBSTITUTE(SUBSTITUTE(SUBSTITUTE(SUBSTITUTE(SUBSTITUTE(SUBSTITUTE(SUBSTITUTE(SUBSTITUTE(SUBSTITUTE(LOWER(AC42&amp;""),CHAR(10)," "),CHAR(13)," "),CHAR(9)," "),CHAR(160)," "),"."," "),","," "),"-"," "),"/"," "),"("," "),")"," "),":"," "),";"," "),"_"," "),"–"," "),"?"," "),"!"," "),"*"," "),"["," "),"]"," "),"'"," "),"#"," "),"+"," "),"&amp;"," "),"\"," "))&amp;" "</f>
        <v>  </v>
      </c>
      <c r="BG42" s="61" t="n">
        <f aca="false">IFERROR(IF(AND(TRIM(U42)="Pass",SUMPRODUCT((LEN(BC42)-LEN(SUBSTITUTE(BC42," "&amp;L_ResultBad&amp;" "," ")))/(LEN(L_ResultBad)+1))&gt;SUMPRODUCT((LEN(BC42)-LEN(SUBSTITUTE(BC42," "&amp;L_NegPhrase&amp;" "," ")))/(LEN(L_NegPhrase)+1))),1,0),0)</f>
        <v>0</v>
      </c>
      <c r="BH42" s="61" t="n">
        <f aca="false">IFERROR(IF(SUMPRODUCT((LEN(BC42)-LEN(SUBSTITUTE(BC42," "&amp;L_Pending&amp;" "," ")))/(LEN(L_Pending)+1))&gt;SUMPRODUCT((LEN(BC42)-LEN(SUBSTITUTE(BC42," "&amp;L_PendNeg&amp;" "," ")))/(LEN(L_PendNeg)+1))+SUMPRODUCT((LEN(BC42)-LEN(SUBSTITUTE(BC42," "&amp;L_PendPrep&amp;" "," ")))/(LEN(L_PendPrep)+1)),1,0),1)</f>
        <v>0</v>
      </c>
      <c r="BI42" s="61" t="n">
        <f aca="false">IFERROR(IF(SUMPRODUCT((LEN(BD42)-LEN(SUBSTITUTE(BD42," "&amp;L_PendStrict&amp;" "," ")))/(LEN(L_PendStrict)+1))&gt;SUMPRODUCT((LEN(BD42)-LEN(SUBSTITUTE(BD42," "&amp;L_PendNeg&amp;" "," ")))/(LEN(L_PendNeg)+1)),1,0),1)</f>
        <v>0</v>
      </c>
      <c r="BJ42" s="61" t="n">
        <f aca="false">IFERROR(IF(SUMPRODUCT((LEN(BE42)-LEN(SUBSTITUTE(BE42," "&amp;L_Pending&amp;" "," ")))/(LEN(L_Pending)+1))&gt;SUMPRODUCT((LEN(BE42)-LEN(SUBSTITUTE(BE42," "&amp;L_PendNeg&amp;" "," ")))/(LEN(L_PendNeg)+1))+SUMPRODUCT((LEN(BE42)-LEN(SUBSTITUTE(BE42," "&amp;L_PendPrep&amp;" "," ")))/(LEN(L_PendPrep)+1)),1,0),1)</f>
        <v>0</v>
      </c>
      <c r="BK42" s="61" t="n">
        <f aca="false">IFERROR(IF(SUMPRODUCT((LEN(BF42)-LEN(SUBSTITUTE(BF42," "&amp;L_PendStrict&amp;" "," ")))/(LEN(L_PendStrict)+1))&gt;SUMPRODUCT((LEN(BF42)-LEN(SUBSTITUTE(BF42," "&amp;L_PendNeg&amp;" "," ")))/(LEN(L_PendNeg)+1)),1,0),1)</f>
        <v>0</v>
      </c>
      <c r="BL42" s="61" t="n">
        <f aca="false">IF(ISNA(MATCH(TRIM(S42),L_EvidenceType,0)),0,BZ42)</f>
        <v>0</v>
      </c>
      <c r="BM42" s="61" t="str">
        <f aca="false">SUBSTITUTE(SUBSTITUTE(SUBSTITUTE(SUBSTITUTE(SUBSTITUTE(SUBSTITUTE(SUBSTITUTE(SUBSTITUTE(SUBSTITUTE(LOWER(Z42&amp;""),"1","0"),"2","0"),"3","0"),"4","0"),"5","0"),"6","0"),"7","0"),"8","0"),"9","0")</f>
        <v/>
      </c>
      <c r="BN42" s="61" t="str">
        <f aca="false">SUBSTITUTE(SUBSTITUTE(SUBSTITUTE(SUBSTITUTE(SUBSTITUTE(SUBSTITUTE(SUBSTITUTE(SUBSTITUTE(SUBSTITUTE(SUBSTITUTE(SUBSTITUTE(SUBSTITUTE(SUBSTITUTE(SUBSTITUTE(SUBSTITUTE(SUBSTITUTE(SUBSTITUTE(SUBSTITUTE(SUBSTITUTE(SUBSTITUTE(SUBSTITUTE(SUBSTITUTE(SUBSTITUTE(SUBSTITUTE(SUBSTITUTE(BM42,"b","a"),"c","a"),"d","a"),"e","a"),"f","a"),"g","a"),"h","a"),"i","a"),"j","a"),"k","a"),"l","a"),"m","a"),"n","a"),"o","a"),"p","a"),"q","a"),"r","a"),"s","a"),"t","a"),"u","a"),"v","a"),"w","a"),"x","a"),"y","a"),"z","a")</f>
        <v/>
      </c>
      <c r="BO42" s="61" t="str">
        <f aca="false">SUBSTITUTE(SUBSTITUTE(SUBSTITUTE(SUBSTITUTE(SUBSTITUTE(SUBSTITUTE(SUBSTITUTE(SUBSTITUTE(SUBSTITUTE(LOWER(W42&amp;""),"1","0"),"2","0"),"3","0"),"4","0"),"5","0"),"6","0"),"7","0"),"8","0"),"9","0")</f>
        <v/>
      </c>
      <c r="BP42" s="61" t="str">
        <f aca="false">SUBSTITUTE(SUBSTITUTE(SUBSTITUTE(SUBSTITUTE(SUBSTITUTE(SUBSTITUTE(SUBSTITUTE(SUBSTITUTE(SUBSTITUTE(SUBSTITUTE(SUBSTITUTE(SUBSTITUTE(SUBSTITUTE(SUBSTITUTE(SUBSTITUTE(SUBSTITUTE(SUBSTITUTE(SUBSTITUTE(SUBSTITUTE(SUBSTITUTE(SUBSTITUTE(SUBSTITUTE(SUBSTITUTE(SUBSTITUTE(SUBSTITUTE(BO42,"b","a"),"c","a"),"d","a"),"e","a"),"f","a"),"g","a"),"h","a"),"i","a"),"j","a"),"k","a"),"l","a"),"m","a"),"n","a"),"o","a"),"p","a"),"q","a"),"r","a"),"s","a"),"t","a"),"u","a"),"v","a"),"w","a"),"x","a"),"y","a"),"z","a")</f>
        <v/>
      </c>
      <c r="BQ42" s="61" t="n">
        <f aca="false">IFERROR(IF(AND(ISERROR(SEARCH(" mh"," "&amp;LOWER(W42))),ISNA(MATCH(LEFT(TRIM(BP42),255),{"0000a","000a","00a","0000aa","000aa","00aa","0aa","0000aaa","000aaa","00a00","0a00","0000-0000","00:00","a00","a0","00.00.0000","00/00/0000","00-00-0000","0000-00-00","0000/00/00","0000.00.00","00.00.00","00/00/00","00-00-00","0.00.0000","0/00/0000","0-00-0000"},0)),ISNA(MATCH(LEFT(TRIM(CA42),255),{"0000a","000a","00a","0000aa","000aa","00aa","0aa","0000aaa","000aaa","00a00","0a00","0000-0000","00:00","a00","a0","00.00.0000","00/00/0000","00-00-0000","0000-00-00","0000/00/00","0000.00.00","00.00.00","00/00/00","00-00-00","0.00.0000","0/00/0000","0-00-0000"},0)),LEN(CB42)&gt;=3,NOT(OR(SUBSTITUTE(CB42,"0","")="",AND(LEN(CB42)&gt;=4,CB42=REPT(LEFT(CB42),LEN(CB42))),ISNUMBER(MATCH(CB42,{"123","1234","12345","123456","1234567","12345678","0123","01234","012345","98765","987654","54321"},0)),AND(LEN(CB42)=8,LEFT(CB42,3)="202"))),OR(AND((LEN(CA42)-LEN(SUBSTITUTE(CA42,"a","")))&gt;=1,SUMPRODUCT(--ISNUMBER(SEARCH({"a0","a-0","a_0","a/0","a.0","a#0","0a","0-a","0_a","0/a"},BP42)))&gt;0),ISNUMBER(SEARCH("000000",BP42)))),1,0),0)</f>
        <v>0</v>
      </c>
      <c r="BR42" s="61" t="n">
        <f aca="false">IFERROR(LEN(SUBSTITUTE(CC42," ",""))-SUMPRODUCT((LEN(CC42)-LEN(SUBSTITUTE(CC42," "&amp;L_Role&amp;" "," ")))/(LEN(L_Role)+1)*LEN(L_Role)),0)</f>
        <v>0</v>
      </c>
      <c r="BS42" s="61" t="n">
        <f aca="false">IFERROR(LEN(SUBSTITUTE(CD42," ",""))-SUMPRODUCT((LEN(CD42)-LEN(SUBSTITUTE(CD42," "&amp;L_Role&amp;" "," ")))/(LEN(L_Role)+1)*LEN(L_Role)),0)</f>
        <v>0</v>
      </c>
      <c r="BT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revision",""),"version",""),"jan",""),"feb",""),"mar",""),"apr",""),"may",""),"jun",""),"jul",""),"aug",""),"sep",""),"oct",""),"nov",""),"dec",""),"utc",""),"gmt",""),"myt",""),"bst",""),"rev",""),"ver",""),"b","a"),"c","a"),"d","a"),"e","a"),"f","a"),"g","a"),"h","a"),"i","a"),"j","a"),"k","a"),"l","a"),"m","a"),"n","a"),"o","a"),"p","a"),"q","a"),"r","a"),"s","a"),"t","a"),"u","a"),"v","a"),"w","a"),"x","a"),"y","a"),"z","a")</f>
        <v/>
      </c>
      <c r="BU42" s="61" t="str">
        <f aca="false">SUBSTITUTE(SUBSTITUTE(SUBSTITUTE(SUBSTITUTE(SUBSTITUTE(SUBSTITUTE(SUBSTITUTE(SUBSTITUTE(SUBSTITUTE(SUBSTITUTE(LEFT(BM42,FIND("0",BM42&amp;"0")-1),"-",""),"_",""),"/",""),".",""),"#",""),"\\",""),":","")," ",""),"(",""),")","")</f>
        <v/>
      </c>
      <c r="BV42" s="61" t="n">
        <f aca="false">0</f>
        <v>0</v>
      </c>
      <c r="BW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amp;""),"a",""),"b",""),"c",""),"d",""),"e",""),"f",""),"g",""),"h",""),"i",""),"j",""),"k",""),"l",""),"m",""),"n",""),"o",""),"p",""),"q",""),"r",""),"s",""),"t",""),"u",""),"v",""),"w",""),"x",""),"y",""),"z",""),"-",""),"_",""),"/",""),".",""),"#",""),"\\",""),":","")," ",""),"(",""),")","")</f>
        <v/>
      </c>
      <c r="BX42" s="61" t="str">
        <f aca="false">SUBSTITUTE(SUBSTITUTE(SUBSTITUTE(SUBSTITUTE(SUBSTITUTE(SUBSTITUTE(SUBSTITUTE(SUBSTITUTE(SUBSTITUTE(SUBSTITUTE(SUBSTITUTE(BM42,"0",""),"-",""),"_",""),"/",""),".",""),"#",""),"\\",""),":","")," ",""),"(",""),")","")</f>
        <v/>
      </c>
      <c r="BY42" s="62" t="n">
        <f aca="false">Q42-T12EarlyH/24</f>
        <v>46303.5763888889</v>
      </c>
      <c r="BZ42" s="61" t="n">
        <f aca="false">IFERROR(IF(IF(TRIM(S42)="Link / file path",AND(LEN(TRIM(Z42))&gt;=5,SUMPRODUCT(--ISNUMBER(SEARCH({"http","www.","\\",":\",".pdf",".jpg",".jpeg",".png",".heic",".xls",".doc",".msg",".eml",".ppt",".txt",".zip"},Z42)))&gt;0),AND(ISERROR(FIND(" ",TRIM(Z42))),NOT(OR(SUMPRODUCT(--ISNUMBER(FIND({",",";","&amp;","+"},Z42)))&gt;0,SUMPRODUCT(--ISNUMBER(SEARCH({"0/aa","0\\aa"},BN42)))&gt;0)),NOT(SUMPRODUCT(--ISNUMBER(SEARCH({"http","www.","\\",":\",".pdf",".jpg",".jpeg",".png",".heic",".xls",".doc",".msg",".eml",".ppt",".txt",".zip"},Z42)))&gt;0),NOT(LOWER(TRIM(Z42))=LOWER(Flights!$F$6)),ISNA(MATCH(BU42,{"mh","rev","revision","ver","version","v","r","a","b","seat","tray","row","gate","bay","stand","page","pg","item","line","no","cart","galley","flight","flt","table","box","bag","oven","etd","eta","std","sta","atd","ata","qty","pax","x","time","tel","ph","mob","day","wk","week","utc","gmt","myt","lt"},0)),NOT(OR(ISNUMBER(MATCH(LEFT(BN42,255),{"0000a","000a","00a","0000aa","000aa","00aa","0aa","0000aaa","000aaa","00a00","0a00","0000-0000","00:00","a00","a0","00.00.0000","00/00/0000","00-00-0000","0000-00-00","0000/00/00","0000.00.00","00.00.00","00/00/00","00-00-00","0.00.0000","0/00/0000","0-00-0000"},0)),ISNUMBER(MATCH(LEFT(BT42,255),{"0000a","000a","00a","0000aa","000aa","00aa","0aa","0000aaa","000aaa","00a00","0a00","0000-0000","00:00","a00","a0","00.00.0000","00/00/0000","00-00-0000","0000-00-00","0000/00/00","0000.00.00","00.00.00","00/00/00","00-00-00","0.00.0000","0/00/0000","0-00-0000"},0)))),NOT(OR(AND(BW42&lt;&gt;"",SUBSTITUTE(BW42,"0","")=""),AND(LEN(BW42)&gt;=4,BW42=REPT(LEFT(BW42),LEN(BW42))),ISNUMBER(MATCH(BW42,{"123","1234","12345","123456","1234567","12345678","0123","01234","012345","98765","987654","54321"},0)),ISNUMBER(MATCH(BX42,{"x","xx","xxx","xxxx","xxxxx","abc","abcd","nil","na","nan","test","tbc","tba","tbd","dummy","sample","example","eg","zz","zzz","none","null","xyz","qwe","asd","id","ref"},0)),AND(LEN(BW42)=8,BX42="",OR(LEFT(BW42,3)="202",ISNUMBER(MATCH(RIGHT(BW42,4),{"2025","2026","2027"},0)))))),OR(AND((LEN(BT42)-LEN(SUBSTITUTE(BT42,"a","")))&gt;=1,(LEN(BN42)-LEN(SUBSTITUTE(BN42,"0","")))&gt;=2,SUMPRODUCT(--ISNUMBER(SEARCH({"a0","a-0","a_0","a/0","a.0","a#0","0a","0-a","0_a","0/a"},BN42)))&gt;0),AND((LEN(BN42)-LEN(SUBSTITUTE(BN42,"a","")))=0,(LEN(BN42)-LEN(SUBSTITUTE(BN42,"0","")))&gt;=5)))),1,0),0)</f>
        <v>0</v>
      </c>
      <c r="CA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revision",""),"version",""),"jan",""),"feb",""),"mar",""),"apr",""),"may",""),"jun",""),"jul",""),"aug",""),"sep",""),"oct",""),"nov",""),"dec",""),"utc",""),"gmt",""),"myt",""),"bst",""),"rev",""),"ver",""),"b","a"),"c","a"),"d","a"),"e","a"),"f","a"),"g","a"),"h","a"),"i","a"),"j","a"),"k","a"),"l","a"),"m","a"),"n","a"),"o","a"),"p","a"),"q","a"),"r","a"),"s","a"),"t","a"),"u","a"),"v","a"),"w","a"),"x","a"),"y","a"),"z","a")</f>
        <v/>
      </c>
      <c r="CB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amp;""),"a",""),"b",""),"c",""),"d",""),"e",""),"f",""),"g",""),"h",""),"i",""),"j",""),"k",""),"l",""),"m",""),"n",""),"o",""),"p",""),"q",""),"r",""),"s",""),"t",""),"u",""),"v",""),"w",""),"x",""),"y",""),"z",""),"-",""),"_",""),"/",""),".",""),"#",""),"\\",""),":","")," ",""),"(",""),")","")</f>
        <v/>
      </c>
      <c r="CC42" s="0" t="str">
        <f aca="false">" "&amp;TRIM(SUBSTITUTE(SUBSTITUTE(SUBSTITUTE(SUBSTITUTE(SUBSTITUTE(SUBSTITUTE(SUBSTITUTE(SUBSTITUTE(SUBSTITUTE(SUBSTITUTE(SUBSTITUTE(SUBSTITUTE(SUBSTITUTE(SUBSTITUTE(SUBSTITUTE(SUBSTITUTE(SUBSTITUTE(SUBSTITUTE(SUBSTITUTE(SUBSTITUTE(SUBSTITUTE(SUBSTITUTE(SUBSTITUTE(SUBSTITUTE(LOWER(T42&amp;""),CHAR(10)," "),CHAR(13)," "),CHAR(9)," "),CHAR(160)," "),"."," "),","," "),"-"," "),"/"," "),"("," "),")"," "),":"," "),";"," "),"_"," "),"–"," "),"?"," "),"!"," "),"*"," "),"["," "),"]"," "),"'"," "),"#"," "),"+"," "),"&amp;"," "),"\"," "))&amp;" "</f>
        <v>  </v>
      </c>
      <c r="CD42" s="0" t="str">
        <f aca="false">" "&amp;TRIM(SUBSTITUTE(SUBSTITUTE(SUBSTITUTE(SUBSTITUTE(SUBSTITUTE(SUBSTITUTE(SUBSTITUTE(SUBSTITUTE(SUBSTITUTE(SUBSTITUTE(SUBSTITUTE(SUBSTITUTE(SUBSTITUTE(SUBSTITUTE(SUBSTITUTE(SUBSTITUTE(SUBSTITUTE(SUBSTITUTE(SUBSTITUTE(SUBSTITUTE(SUBSTITUTE(SUBSTITUTE(SUBSTITUTE(SUBSTITUTE(LOWER(AE42&amp;""),CHAR(10)," "),CHAR(13)," "),CHAR(9)," "),CHAR(160)," "),"."," "),","," "),"-"," "),"/"," "),"("," "),")"," "),":"," "),";"," "),"_"," "),"–"," "),"?"," "),"!"," "),"*"," "),"["," "),"]"," "),"'"," "),"#"," "),"+"," "),"&amp;"," "),"\"," "))&amp;" "</f>
        <v>  </v>
      </c>
      <c r="CE42" s="68" t="n">
        <f aca="false">IFERROR(IF(AND(LEN(AU42)&gt;0,LEN(AU42)=LEN(AX42),OR(TRIM(MID(SUBSTITUTE(TRIM(CC42)," ",REPT(" ",60)),1,60))="",ISNUMBER(SEARCH(" "&amp;TRIM(MID(SUBSTITUTE(TRIM(CC42)," ",REPT(" ",60)),1,60))&amp;" ",CD42))),OR(TRIM(MID(SUBSTITUTE(TRIM(CC42)," ",REPT(" ",60)),61,60))="",ISNUMBER(SEARCH(" "&amp;TRIM(MID(SUBSTITUTE(TRIM(CC42)," ",REPT(" ",60)),61,60))&amp;" ",CD42))),OR(TRIM(MID(SUBSTITUTE(TRIM(CC42)," ",REPT(" ",60)),121,60))="",ISNUMBER(SEARCH(" "&amp;TRIM(MID(SUBSTITUTE(TRIM(CC42)," ",REPT(" ",60)),121,60))&amp;" ",CD42)))),1,0),0)</f>
        <v>0</v>
      </c>
      <c r="CG42" s="68" t="n">
        <f aca="false">IFERROR(LEN(SUBSTITUTE(BF42," ",""))-SUMPRODUCT((LEN(BF42)-LEN(SUBSTITUTE(BF42," "&amp;L_NAFiller&amp;" "," ")))/(LEN(L_NAFiller)+1)*LEN(L_NAFiller)),0)</f>
        <v>0</v>
      </c>
    </row>
    <row r="43" customFormat="false" ht="39.75" hidden="false" customHeight="true" outlineLevel="0" collapsed="false">
      <c r="A43" s="57" t="s">
        <v>488</v>
      </c>
      <c r="B43" s="57" t="s">
        <v>198</v>
      </c>
      <c r="C43" s="57" t="str">
        <f aca="false">Flights!$F$6</f>
        <v>MH0727</v>
      </c>
      <c r="D43" s="58" t="n">
        <f aca="false">Flights!$D$6</f>
        <v>46304</v>
      </c>
      <c r="E43" s="57" t="str">
        <f aca="false">Flights!$G$6&amp;"-"&amp;Flights!$H$6</f>
        <v>KUL-CGK</v>
      </c>
      <c r="F43" s="57" t="str">
        <f aca="false">Flights!$K$6</f>
        <v>BC</v>
      </c>
      <c r="G43" s="57" t="s">
        <v>420</v>
      </c>
      <c r="H43" s="57" t="s">
        <v>378</v>
      </c>
      <c r="I43" s="57" t="s">
        <v>428</v>
      </c>
      <c r="J43" s="57" t="s">
        <v>431</v>
      </c>
      <c r="K43" s="67"/>
      <c r="L43" s="67" t="s">
        <v>422</v>
      </c>
      <c r="M43" s="67"/>
      <c r="N43" s="67" t="s">
        <v>383</v>
      </c>
      <c r="O43" s="67" t="s">
        <v>423</v>
      </c>
      <c r="P43" s="57" t="s">
        <v>187</v>
      </c>
      <c r="Q43" s="59" t="n">
        <f aca="false">ROUND((Flights!$AE$6)*1440,0)/1440</f>
        <v>46304.0763888889</v>
      </c>
      <c r="R43" s="59" t="n">
        <f aca="false">Q43+(IF(AND(INDEX(TZ_DSTS,MATCH(P43,TZ_STN,0))&lt;&gt;"",Q43&gt;=INDEX(TZ_DSTS,MATCH(P43,TZ_STN,0)),Q43&lt;INDEX(TZ_DSTE,MATCH(P43,TZ_STN,0))),INDEX(TZ_DST,MATCH(P43,TZ_STN,0)),INDEX(TZ_STD,MATCH(P43,TZ_STN,0))))/24</f>
        <v>46304.4097222222</v>
      </c>
      <c r="S43" s="60"/>
      <c r="T43" s="60"/>
      <c r="U43" s="60"/>
      <c r="V43" s="60"/>
      <c r="W43" s="61"/>
      <c r="X43" s="60"/>
      <c r="Y43" s="60"/>
      <c r="Z43" s="60"/>
      <c r="AA43" s="60"/>
      <c r="AB43" s="60"/>
      <c r="AC43" s="60"/>
      <c r="AD43" s="66"/>
      <c r="AE43" s="60"/>
      <c r="AF43" s="61" t="str">
        <f aca="false">IF(AND(ISNUMBER(X43),ISNUMBER(Y43)),Y43-X43,"")</f>
        <v/>
      </c>
      <c r="AG43" s="62" t="str">
        <f aca="false">IF(ISNUMBER(AD43),AD43-(IF(AND(INDEX(TZ_DSTS,MATCH(P43,TZ_STN,0))&lt;&gt;"",(AD43-INDEX(TZ_STD,MATCH(P43,TZ_STN,0))/24)&gt;=INDEX(TZ_DSTS,MATCH(P43,TZ_STN,0)),(AD43-INDEX(TZ_STD,MATCH(P43,TZ_STN,0))/24)&lt;INDEX(TZ_DSTE,MATCH(P43,TZ_STN,0))),INDEX(TZ_DST,MATCH(P43,TZ_STN,0)),INDEX(TZ_STD,MATCH(P43,TZ_STN,0))))/24,"")</f>
        <v/>
      </c>
      <c r="AH43" s="65" t="str">
        <f aca="false">IFERROR(IF(N43="N/A – rule",IF(OR(TRIM(U43)="",TRIM(U43)="N/A",TRIM(U43)="Not started"),"N/A – RULE","INVALID – this check does not apply to this aircraft: clear the status (or correct the fleet on Flights)"),IF(TRIM(U43)="N/A",IF(AT43=0,"INVALID – N/A not permitted for this check",IF(AND(TRIM(AB43)&lt;&gt;"",TRIM(AB43)&lt;&gt;"Closed"),"INVALID – corrective action still open",IF(AND(NOT(OR(LEN(AZ43)&lt;15,ISNUMBER(MATCH(AZ43,L_Placeholder,0)))),BK43=0,CG43&gt;=8,NOT(OR(LEN(AU43)&lt;2,ISNUMBER(MATCH(AU43,L_Placeholder,0)))),BR43&gt;=3,NOT(OR(LEN(AX43)&lt;2,ISNUMBER(MATCH(AX43,L_Placeholder,0)))),BS43&gt;=3,TRIM(AE43)&lt;&gt;TRIM(T43),AX43&lt;&gt;AU43,CE43=0),"N/A – JUSTIFIED","INVALID – N/A needs a real, settled reason (not 'not applicable' / 'as above' / TBC), a named PIC and a different named verifier"))),IF(OR(TRIM(U43)="Pass",TRIM(U43)="Pass after CA"),IF(NOT(ISNUMBER(AD43)),"INVALID – completion time missing",IF(OR(OR(LEN(AU43)&lt;2,ISNUMBER(MATCH(AU43,L_Placeholder,0))),BR43&lt;3),"INVALID – PIC missing or not a named person (a role such as QA / CSM is not a name)",IF(OR(LEN(AV43)&lt;2,ISNUMBER(MATCH(AV43,L_Placeholder,0))),"INVALID – result / assessment missing",IF(OR(OR(LEN(AW43)&lt;3,ISNUMBER(MATCH(AW43,L_Placeholder,0))),SUMPRODUCT(--ISNUMBER(SEARCH(" "&amp;L_EvidencePhrase&amp;" ",BD43)))&gt;0,BI43=1),"INVALID – evidence missing, placeholder or not yet on file",IF(ISNA(MATCH(TRIM(S43),L_EvidenceType,0)),"INVALID – choose the evidence type from the list (column S)",IF(BL43=0,"INVALID – evidence ID must be the record's own ID only (e.g. SF-2210, IMG_2231, 1045521); a link / file name needs type 'Link / file path'",IF(OR(OR(LEN(AX43)&lt;2,ISNUMBER(MATCH(AX43,L_Placeholder,0))),BS43&lt;3),"INVALID – verifier missing or not a named person (a role such as QA / CSM is not a name)",IF(OR(AX43=AU43,CE43=1,AND(LEN(AU43)&gt;=4,ISNUMBER(SEARCH(AU43,AX43))),AND(LEN(AX43)&gt;=4,ISNUMBER(SEARCH(AX43,AU43)))),"INVALID – verifier must be a different, named person (not the PIC or a role)",IF(BH43=1,"INVALID – result not yet available (awaiting / TBC)",IF(BG43=1,"INVALID – result describes a problem: record Fail, then Pass after CA (or reword if it is not a problem)",IF(BV43=1,"INVALID – wording says not on board: an on-board confirmation needs the item loaded",IF(AND(AQ43=1,OR(OR(LEN(AY43)&lt;3,ISNUMBER(MATCH(AY43,L_Placeholder,0))),BJ43=1,BQ43=0)),"INVALID – batch ID missing, placeholder or not an ID (e.g. PASB-261008-BC-017)",IF(AND(AR43=1,OR(NOT(ISNUMBER(X43)),NOT(ISNUMBER(Y43)))),"INVALID – expected/actual qty missing",IF(AND(AR43=1,OR(X43&lt;=0,Y43&lt;0)),"INVALID – expected qty must be above 0 and actual not negative",IF(BB43&lt;&gt;"",BB43,IF(AND(AS43=1,Documents!$J$6&lt;&gt;"ON FILE"),"INVALID – GLD not on file (Documents sheet)",IF(AND(AS43=2,Documents!$O$6&lt;&gt;"ON FILE"),"INVALID – menu checklist not on file (Documents sheet)",IF(AND(AS43=3,NOT(ISNUMBER(Flights!$AX$6))),"INVALID – enter carrying flight KUL departure (Flights AX)",IF(AND(AS43=3,OR(Flights!$AZ$6&gt;Flights!$AA$6,Flights!$AX$6&lt;Flights!$AA$6-3)),"INVALID – carrying flight (Flights AX) cannot arrive before this leg's STD, or is over 3 days early",IF(AG43&gt;AsOfUTC,"INVALID – completion time is in the future",IF(AND(ISNUMBER(BY43),AG43&lt;BY43),IF(H43="Physical uplift","INVALID – before uplift window (cannot confirm loading)","INVALID – before valid window"),IF(AG43&gt;Flights!$AA$6,"INVALID – completed after departure (cannot establish readiness)",IF(AND(H43="Preparation",AG43&gt;=IF(ISNUMBER(Flights!$BA$6),MIN(Flights!$BA$6,Flights!$AA$6),Flights!$AA$6)),"INVALID – completed after loading / departure (cannot establish readiness)",IF(AND(H43="Physical uplift",AG43&gt;Q43),"INVALID – recorded after the loading flight departed",IF(AG43&gt;Q43,"COMPLETE – LATE","COMPLETE"))))))))))))))))))))))))),IF(TRIM(U43)="Fail","FAIL – DISCREPANCY",IF(AND(TRIM(U43)&lt;&gt;"",TRIM(U43)&lt;&gt;"Not started",TRIM(U43)&lt;&gt;"In progress"),"INVALID – unrecognised status (use the list)",IF(AsOfUTC&gt;Q43,"OVERDUE",IF(N43="Clarification required","OPEN – CLARIFICATION","OPEN"))))))),"INVALID – error value in an input cell")</f>
        <v>OPEN</v>
      </c>
      <c r="AI43" s="61" t="n">
        <f aca="false">IF(OR(AH43="N/A – RULE",AH43="N/A – JUSTIFIED"),0,1)</f>
        <v>1</v>
      </c>
      <c r="AJ43" s="61" t="n">
        <f aca="false">IF(LEFT(AH43,8)="COMPLETE",1,0)</f>
        <v>0</v>
      </c>
      <c r="AK43" s="61" t="n">
        <f aca="false">IF(AND(AI43=1,AJ43=0,AsOfUTC&gt;Q43),1,0)</f>
        <v>0</v>
      </c>
      <c r="AL43" s="61" t="n">
        <f aca="false">IFERROR(IF(AND(AI43=1,OR(TRIM(U43)="Fail",AND(TRIM(AB43)&lt;&gt;"",TRIM(AB43)&lt;&gt;"Closed"),AND(ISNUMBER(AF43),AF43&lt;&gt;0,TRIM(U43)&lt;&gt;"Pass after CA"))),1,0),1)</f>
        <v>0</v>
      </c>
      <c r="AM43" s="61" t="n">
        <f aca="false">IF(LEFT(AH43,7)="INVALID",1,0)</f>
        <v>0</v>
      </c>
      <c r="AN43" s="61" t="n">
        <f aca="false">IF(AND(N43="Clarification required",AI43=1,AJ43=0),1,0)</f>
        <v>0</v>
      </c>
      <c r="AO43" s="61" t="str">
        <f aca="false">IF(AK43=1,SUM(AK$5:AK43),"")</f>
        <v/>
      </c>
      <c r="AP43" s="61" t="str">
        <f aca="false">IF(AL43=1,SUM(AL$5:AL43),"")</f>
        <v/>
      </c>
      <c r="AQ43" s="61" t="n">
        <v>0</v>
      </c>
      <c r="AR43" s="61" t="n">
        <v>0</v>
      </c>
      <c r="AS43" s="61" t="n">
        <v>0</v>
      </c>
      <c r="AT43" s="61" t="n">
        <v>0</v>
      </c>
      <c r="AU43" s="61" t="str">
        <f aca="false">SUBSTITUTE(SUBSTITUTE(SUBSTITUTE(SUBSTITUTE(SUBSTITUTE(SUBSTITUTE(SUBSTITUTE(SUBSTITUTE(SUBSTITUTE(SUBSTITUTE(SUBSTITUTE(SUBSTITUTE(SUBSTITUTE(SUBSTITUTE(SUBSTITUTE(SUBSTITUTE(LOWER(T43&amp;""),CHAR(10),""),CHAR(13),""),CHAR(9),""),CHAR(160),"")," ",""),".",""),"-",""),"/",""),"?",""),"_",""),",",""),"[",""),"]",""),"(",""),")",""),"*","")</f>
        <v/>
      </c>
      <c r="AV43" s="61" t="str">
        <f aca="false">SUBSTITUTE(SUBSTITUTE(SUBSTITUTE(SUBSTITUTE(SUBSTITUTE(SUBSTITUTE(SUBSTITUTE(SUBSTITUTE(SUBSTITUTE(SUBSTITUTE(SUBSTITUTE(SUBSTITUTE(SUBSTITUTE(SUBSTITUTE(SUBSTITUTE(SUBSTITUTE(LOWER(V43&amp;""),CHAR(10),""),CHAR(13),""),CHAR(9),""),CHAR(160),"")," ",""),".",""),"-",""),"/",""),"?",""),"_",""),",",""),"[",""),"]",""),"(",""),")",""),"*","")</f>
        <v/>
      </c>
      <c r="AW43" s="61" t="str">
        <f aca="false">SUBSTITUTE(SUBSTITUTE(SUBSTITUTE(SUBSTITUTE(SUBSTITUTE(SUBSTITUTE(SUBSTITUTE(SUBSTITUTE(SUBSTITUTE(SUBSTITUTE(SUBSTITUTE(SUBSTITUTE(SUBSTITUTE(SUBSTITUTE(SUBSTITUTE(SUBSTITUTE(LOWER(Z43&amp;""),CHAR(10),""),CHAR(13),""),CHAR(9),""),CHAR(160),"")," ",""),".",""),"-",""),"/",""),"?",""),"_",""),",",""),"[",""),"]",""),"(",""),")",""),"*","")</f>
        <v/>
      </c>
      <c r="AX43" s="61" t="str">
        <f aca="false">SUBSTITUTE(SUBSTITUTE(SUBSTITUTE(SUBSTITUTE(SUBSTITUTE(SUBSTITUTE(SUBSTITUTE(SUBSTITUTE(SUBSTITUTE(SUBSTITUTE(SUBSTITUTE(SUBSTITUTE(SUBSTITUTE(SUBSTITUTE(SUBSTITUTE(SUBSTITUTE(LOWER(AE43&amp;""),CHAR(10),""),CHAR(13),""),CHAR(9),""),CHAR(160),"")," ",""),".",""),"-",""),"/",""),"?",""),"_",""),",",""),"[",""),"]",""),"(",""),")",""),"*","")</f>
        <v/>
      </c>
      <c r="AY43" s="61" t="str">
        <f aca="false">SUBSTITUTE(SUBSTITUTE(SUBSTITUTE(SUBSTITUTE(SUBSTITUTE(SUBSTITUTE(SUBSTITUTE(SUBSTITUTE(SUBSTITUTE(SUBSTITUTE(SUBSTITUTE(SUBSTITUTE(SUBSTITUTE(SUBSTITUTE(SUBSTITUTE(SUBSTITUTE(LOWER(W43&amp;""),CHAR(10),""),CHAR(13),""),CHAR(9),""),CHAR(160),"")," ",""),".",""),"-",""),"/",""),"?",""),"_",""),",",""),"[",""),"]",""),"(",""),")",""),"*","")</f>
        <v/>
      </c>
      <c r="AZ43" s="61" t="str">
        <f aca="false">SUBSTITUTE(SUBSTITUTE(SUBSTITUTE(SUBSTITUTE(SUBSTITUTE(SUBSTITUTE(SUBSTITUTE(SUBSTITUTE(SUBSTITUTE(SUBSTITUTE(SUBSTITUTE(SUBSTITUTE(SUBSTITUTE(SUBSTITUTE(SUBSTITUTE(SUBSTITUTE(LOWER(AC43&amp;""),CHAR(10),""),CHAR(13),""),CHAR(9),""),CHAR(160),"")," ",""),".",""),"-",""),"/",""),"?",""),"_",""),",",""),"[",""),"]",""),"(",""),")",""),"*","")</f>
        <v/>
      </c>
      <c r="BA43" s="61" t="str">
        <f aca="false">SUBSTITUTE(SUBSTITUTE(SUBSTITUTE(SUBSTITUTE(SUBSTITUTE(SUBSTITUTE(SUBSTITUTE(SUBSTITUTE(SUBSTITUTE(SUBSTITUTE(SUBSTITUTE(SUBSTITUTE(SUBSTITUTE(SUBSTITUTE(SUBSTITUTE(SUBSTITUTE(LOWER(AA43&amp;""),CHAR(10),""),CHAR(13),""),CHAR(9),""),CHAR(160),"")," ",""),".",""),"-",""),"/",""),"?",""),"_",""),",",""),"[",""),"]",""),"(",""),")",""),"*","")</f>
        <v/>
      </c>
      <c r="BB43" s="61" t="str">
        <f aca="false">IF(AND(TRIM(U43)="Pass",ISNUMBER(AF43)),IF(AF43&lt;&gt;0,"INVALID – qty variance: use Fail or Pass after CA",""),"")&amp;IF(AND(TRIM(U43)="Pass after CA",ISNUMBER(AF43)),IF(AF43&lt;&gt;0,"INVALID – after the corrective action the actual qty must equal expected (update Actual)",""),"")&amp;IF(AND(TRIM(U43)="Pass",TRIM(AB43)&lt;&gt;"",TRIM(AB43)&lt;&gt;"Closed"),"INVALID – corrective action not closed: use Fail, then Pass after CA","")&amp;IF(AND(LEN(BA43)&gt;=2,ISNA(MATCH(LEFT(BA43,255),L_Placeholder,0)),TRIM(AB43)=""),"INVALID – CA status missing for the recorded corrective action","")&amp;IF(AND(TRIM(U43)="Pass after CA",OR(OR(LEN(BA43)&lt;5,ISNUMBER(MATCH(BA43,L_Placeholder,0))),TRIM(AB43)&lt;&gt;"Closed")),"INVALID – corrective action not recorded/closed","")</f>
        <v/>
      </c>
      <c r="BC43" s="61" t="str">
        <f aca="false">" "&amp;TRIM(SUBSTITUTE(SUBSTITUTE(SUBSTITUTE(SUBSTITUTE(SUBSTITUTE(SUBSTITUTE(SUBSTITUTE(SUBSTITUTE(SUBSTITUTE(SUBSTITUTE(SUBSTITUTE(SUBSTITUTE(SUBSTITUTE(SUBSTITUTE(SUBSTITUTE(SUBSTITUTE(SUBSTITUTE(SUBSTITUTE(SUBSTITUTE(SUBSTITUTE(SUBSTITUTE(SUBSTITUTE(SUBSTITUTE(SUBSTITUTE(LOWER(V43&amp;""),CHAR(10)," "),CHAR(13)," "),CHAR(9)," "),CHAR(160)," "),"."," "),","," "),"-"," "),"/"," "),"("," "),")"," "),":"," "),";"," "),"_"," "),"–"," "),"?"," "),"!"," "),"*"," "),"["," "),"]"," "),"'"," "),"#"," "),"+"," "),"&amp;"," "),"\"," "))&amp;" "</f>
        <v>  </v>
      </c>
      <c r="BD43" s="61" t="str">
        <f aca="false">" "&amp;TRIM(SUBSTITUTE(SUBSTITUTE(SUBSTITUTE(SUBSTITUTE(SUBSTITUTE(SUBSTITUTE(SUBSTITUTE(SUBSTITUTE(SUBSTITUTE(SUBSTITUTE(SUBSTITUTE(SUBSTITUTE(SUBSTITUTE(SUBSTITUTE(SUBSTITUTE(SUBSTITUTE(SUBSTITUTE(SUBSTITUTE(SUBSTITUTE(SUBSTITUTE(SUBSTITUTE(SUBSTITUTE(SUBSTITUTE(SUBSTITUTE(LOWER(Z43&amp;""),CHAR(10)," "),CHAR(13)," "),CHAR(9)," "),CHAR(160)," "),"."," "),","," "),"-"," "),"/"," "),"("," "),")"," "),":"," "),";"," "),"_"," "),"–"," "),"?"," "),"!"," "),"*"," "),"["," "),"]"," "),"'"," "),"#"," "),"+"," "),"&amp;"," "),"\"," "))&amp;" "</f>
        <v>  </v>
      </c>
      <c r="BE43" s="61" t="str">
        <f aca="false">" "&amp;TRIM(SUBSTITUTE(SUBSTITUTE(SUBSTITUTE(SUBSTITUTE(SUBSTITUTE(SUBSTITUTE(SUBSTITUTE(SUBSTITUTE(SUBSTITUTE(SUBSTITUTE(SUBSTITUTE(SUBSTITUTE(SUBSTITUTE(SUBSTITUTE(SUBSTITUTE(SUBSTITUTE(SUBSTITUTE(SUBSTITUTE(SUBSTITUTE(SUBSTITUTE(SUBSTITUTE(SUBSTITUTE(SUBSTITUTE(SUBSTITUTE(LOWER(W43&amp;""),CHAR(10)," "),CHAR(13)," "),CHAR(9)," "),CHAR(160)," "),"."," "),","," "),"-"," "),"/"," "),"("," "),")"," "),":"," "),";"," "),"_"," "),"–"," "),"?"," "),"!"," "),"*"," "),"["," "),"]"," "),"'"," "),"#"," "),"+"," "),"&amp;"," "),"\"," "))&amp;" "</f>
        <v>  </v>
      </c>
      <c r="BF43" s="61" t="str">
        <f aca="false">" "&amp;TRIM(SUBSTITUTE(SUBSTITUTE(SUBSTITUTE(SUBSTITUTE(SUBSTITUTE(SUBSTITUTE(SUBSTITUTE(SUBSTITUTE(SUBSTITUTE(SUBSTITUTE(SUBSTITUTE(SUBSTITUTE(SUBSTITUTE(SUBSTITUTE(SUBSTITUTE(SUBSTITUTE(SUBSTITUTE(SUBSTITUTE(SUBSTITUTE(SUBSTITUTE(SUBSTITUTE(SUBSTITUTE(SUBSTITUTE(SUBSTITUTE(LOWER(AC43&amp;""),CHAR(10)," "),CHAR(13)," "),CHAR(9)," "),CHAR(160)," "),"."," "),","," "),"-"," "),"/"," "),"("," "),")"," "),":"," "),";"," "),"_"," "),"–"," "),"?"," "),"!"," "),"*"," "),"["," "),"]"," "),"'"," "),"#"," "),"+"," "),"&amp;"," "),"\"," "))&amp;" "</f>
        <v>  </v>
      </c>
      <c r="BG43" s="61" t="n">
        <f aca="false">IFERROR(IF(AND(TRIM(U43)="Pass",SUMPRODUCT((LEN(BC43)-LEN(SUBSTITUTE(BC43," "&amp;L_ResultBad&amp;" "," ")))/(LEN(L_ResultBad)+1))&gt;SUMPRODUCT((LEN(BC43)-LEN(SUBSTITUTE(BC43," "&amp;L_NegPhrase&amp;" "," ")))/(LEN(L_NegPhrase)+1))),1,0),0)</f>
        <v>0</v>
      </c>
      <c r="BH43" s="61" t="n">
        <f aca="false">IFERROR(IF(SUMPRODUCT((LEN(BC43)-LEN(SUBSTITUTE(BC43," "&amp;L_Pending&amp;" "," ")))/(LEN(L_Pending)+1))&gt;SUMPRODUCT((LEN(BC43)-LEN(SUBSTITUTE(BC43," "&amp;L_PendNeg&amp;" "," ")))/(LEN(L_PendNeg)+1))+SUMPRODUCT((LEN(BC43)-LEN(SUBSTITUTE(BC43," "&amp;L_PendPrep&amp;" "," ")))/(LEN(L_PendPrep)+1)),1,0),1)</f>
        <v>0</v>
      </c>
      <c r="BI43" s="61" t="n">
        <f aca="false">IFERROR(IF(SUMPRODUCT((LEN(BD43)-LEN(SUBSTITUTE(BD43," "&amp;L_PendStrict&amp;" "," ")))/(LEN(L_PendStrict)+1))&gt;SUMPRODUCT((LEN(BD43)-LEN(SUBSTITUTE(BD43," "&amp;L_PendNeg&amp;" "," ")))/(LEN(L_PendNeg)+1)),1,0),1)</f>
        <v>0</v>
      </c>
      <c r="BJ43" s="61" t="n">
        <f aca="false">IFERROR(IF(SUMPRODUCT((LEN(BE43)-LEN(SUBSTITUTE(BE43," "&amp;L_Pending&amp;" "," ")))/(LEN(L_Pending)+1))&gt;SUMPRODUCT((LEN(BE43)-LEN(SUBSTITUTE(BE43," "&amp;L_PendNeg&amp;" "," ")))/(LEN(L_PendNeg)+1))+SUMPRODUCT((LEN(BE43)-LEN(SUBSTITUTE(BE43," "&amp;L_PendPrep&amp;" "," ")))/(LEN(L_PendPrep)+1)),1,0),1)</f>
        <v>0</v>
      </c>
      <c r="BK43" s="61" t="n">
        <f aca="false">IFERROR(IF(SUMPRODUCT((LEN(BF43)-LEN(SUBSTITUTE(BF43," "&amp;L_PendStrict&amp;" "," ")))/(LEN(L_PendStrict)+1))&gt;SUMPRODUCT((LEN(BF43)-LEN(SUBSTITUTE(BF43," "&amp;L_PendNeg&amp;" "," ")))/(LEN(L_PendNeg)+1)),1,0),1)</f>
        <v>0</v>
      </c>
      <c r="BL43" s="61" t="n">
        <f aca="false">IF(ISNA(MATCH(TRIM(S43),L_EvidenceType,0)),0,BZ43)</f>
        <v>0</v>
      </c>
      <c r="BM43" s="61" t="str">
        <f aca="false">SUBSTITUTE(SUBSTITUTE(SUBSTITUTE(SUBSTITUTE(SUBSTITUTE(SUBSTITUTE(SUBSTITUTE(SUBSTITUTE(SUBSTITUTE(LOWER(Z43&amp;""),"1","0"),"2","0"),"3","0"),"4","0"),"5","0"),"6","0"),"7","0"),"8","0"),"9","0")</f>
        <v/>
      </c>
      <c r="BN43" s="61" t="str">
        <f aca="false">SUBSTITUTE(SUBSTITUTE(SUBSTITUTE(SUBSTITUTE(SUBSTITUTE(SUBSTITUTE(SUBSTITUTE(SUBSTITUTE(SUBSTITUTE(SUBSTITUTE(SUBSTITUTE(SUBSTITUTE(SUBSTITUTE(SUBSTITUTE(SUBSTITUTE(SUBSTITUTE(SUBSTITUTE(SUBSTITUTE(SUBSTITUTE(SUBSTITUTE(SUBSTITUTE(SUBSTITUTE(SUBSTITUTE(SUBSTITUTE(SUBSTITUTE(BM43,"b","a"),"c","a"),"d","a"),"e","a"),"f","a"),"g","a"),"h","a"),"i","a"),"j","a"),"k","a"),"l","a"),"m","a"),"n","a"),"o","a"),"p","a"),"q","a"),"r","a"),"s","a"),"t","a"),"u","a"),"v","a"),"w","a"),"x","a"),"y","a"),"z","a")</f>
        <v/>
      </c>
      <c r="BO43" s="61" t="str">
        <f aca="false">SUBSTITUTE(SUBSTITUTE(SUBSTITUTE(SUBSTITUTE(SUBSTITUTE(SUBSTITUTE(SUBSTITUTE(SUBSTITUTE(SUBSTITUTE(LOWER(W43&amp;""),"1","0"),"2","0"),"3","0"),"4","0"),"5","0"),"6","0"),"7","0"),"8","0"),"9","0")</f>
        <v/>
      </c>
      <c r="BP43" s="61" t="str">
        <f aca="false">SUBSTITUTE(SUBSTITUTE(SUBSTITUTE(SUBSTITUTE(SUBSTITUTE(SUBSTITUTE(SUBSTITUTE(SUBSTITUTE(SUBSTITUTE(SUBSTITUTE(SUBSTITUTE(SUBSTITUTE(SUBSTITUTE(SUBSTITUTE(SUBSTITUTE(SUBSTITUTE(SUBSTITUTE(SUBSTITUTE(SUBSTITUTE(SUBSTITUTE(SUBSTITUTE(SUBSTITUTE(SUBSTITUTE(SUBSTITUTE(SUBSTITUTE(BO43,"b","a"),"c","a"),"d","a"),"e","a"),"f","a"),"g","a"),"h","a"),"i","a"),"j","a"),"k","a"),"l","a"),"m","a"),"n","a"),"o","a"),"p","a"),"q","a"),"r","a"),"s","a"),"t","a"),"u","a"),"v","a"),"w","a"),"x","a"),"y","a"),"z","a")</f>
        <v/>
      </c>
      <c r="BQ43" s="61" t="n">
        <f aca="false">IFERROR(IF(AND(ISERROR(SEARCH(" mh"," "&amp;LOWER(W43))),ISNA(MATCH(LEFT(TRIM(BP43),255),{"0000a","000a","00a","0000aa","000aa","00aa","0aa","0000aaa","000aaa","00a00","0a00","0000-0000","00:00","a00","a0","00.00.0000","00/00/0000","00-00-0000","0000-00-00","0000/00/00","0000.00.00","00.00.00","00/00/00","00-00-00","0.00.0000","0/00/0000","0-00-0000"},0)),ISNA(MATCH(LEFT(TRIM(CA43),255),{"0000a","000a","00a","0000aa","000aa","00aa","0aa","0000aaa","000aaa","00a00","0a00","0000-0000","00:00","a00","a0","00.00.0000","00/00/0000","00-00-0000","0000-00-00","0000/00/00","0000.00.00","00.00.00","00/00/00","00-00-00","0.00.0000","0/00/0000","0-00-0000"},0)),LEN(CB43)&gt;=3,NOT(OR(SUBSTITUTE(CB43,"0","")="",AND(LEN(CB43)&gt;=4,CB43=REPT(LEFT(CB43),LEN(CB43))),ISNUMBER(MATCH(CB43,{"123","1234","12345","123456","1234567","12345678","0123","01234","012345","98765","987654","54321"},0)),AND(LEN(CB43)=8,LEFT(CB43,3)="202"))),OR(AND((LEN(CA43)-LEN(SUBSTITUTE(CA43,"a","")))&gt;=1,SUMPRODUCT(--ISNUMBER(SEARCH({"a0","a-0","a_0","a/0","a.0","a#0","0a","0-a","0_a","0/a"},BP43)))&gt;0),ISNUMBER(SEARCH("000000",BP43)))),1,0),0)</f>
        <v>0</v>
      </c>
      <c r="BR43" s="61" t="n">
        <f aca="false">IFERROR(LEN(SUBSTITUTE(CC43," ",""))-SUMPRODUCT((LEN(CC43)-LEN(SUBSTITUTE(CC43," "&amp;L_Role&amp;" "," ")))/(LEN(L_Role)+1)*LEN(L_Role)),0)</f>
        <v>0</v>
      </c>
      <c r="BS43" s="61" t="n">
        <f aca="false">IFERROR(LEN(SUBSTITUTE(CD43," ",""))-SUMPRODUCT((LEN(CD43)-LEN(SUBSTITUTE(CD43," "&amp;L_Role&amp;" "," ")))/(LEN(L_Role)+1)*LEN(L_Role)),0)</f>
        <v>0</v>
      </c>
      <c r="BT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revision",""),"version",""),"jan",""),"feb",""),"mar",""),"apr",""),"may",""),"jun",""),"jul",""),"aug",""),"sep",""),"oct",""),"nov",""),"dec",""),"utc",""),"gmt",""),"myt",""),"bst",""),"rev",""),"ver",""),"b","a"),"c","a"),"d","a"),"e","a"),"f","a"),"g","a"),"h","a"),"i","a"),"j","a"),"k","a"),"l","a"),"m","a"),"n","a"),"o","a"),"p","a"),"q","a"),"r","a"),"s","a"),"t","a"),"u","a"),"v","a"),"w","a"),"x","a"),"y","a"),"z","a")</f>
        <v/>
      </c>
      <c r="BU43" s="61" t="str">
        <f aca="false">SUBSTITUTE(SUBSTITUTE(SUBSTITUTE(SUBSTITUTE(SUBSTITUTE(SUBSTITUTE(SUBSTITUTE(SUBSTITUTE(SUBSTITUTE(SUBSTITUTE(LEFT(BM43,FIND("0",BM43&amp;"0")-1),"-",""),"_",""),"/",""),".",""),"#",""),"\\",""),":","")," ",""),"(",""),")","")</f>
        <v/>
      </c>
      <c r="BV43" s="61" t="n">
        <f aca="false">0</f>
        <v>0</v>
      </c>
      <c r="BW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amp;""),"a",""),"b",""),"c",""),"d",""),"e",""),"f",""),"g",""),"h",""),"i",""),"j",""),"k",""),"l",""),"m",""),"n",""),"o",""),"p",""),"q",""),"r",""),"s",""),"t",""),"u",""),"v",""),"w",""),"x",""),"y",""),"z",""),"-",""),"_",""),"/",""),".",""),"#",""),"\\",""),":","")," ",""),"(",""),")","")</f>
        <v/>
      </c>
      <c r="BX43" s="61" t="str">
        <f aca="false">SUBSTITUTE(SUBSTITUTE(SUBSTITUTE(SUBSTITUTE(SUBSTITUTE(SUBSTITUTE(SUBSTITUTE(SUBSTITUTE(SUBSTITUTE(SUBSTITUTE(SUBSTITUTE(BM43,"0",""),"-",""),"_",""),"/",""),".",""),"#",""),"\\",""),":","")," ",""),"(",""),")","")</f>
        <v/>
      </c>
      <c r="BY43" s="62" t="n">
        <f aca="false">Q43-T12EarlyH/24</f>
        <v>46303.5763888889</v>
      </c>
      <c r="BZ43" s="61" t="n">
        <f aca="false">IFERROR(IF(IF(TRIM(S43)="Link / file path",AND(LEN(TRIM(Z43))&gt;=5,SUMPRODUCT(--ISNUMBER(SEARCH({"http","www.","\\",":\",".pdf",".jpg",".jpeg",".png",".heic",".xls",".doc",".msg",".eml",".ppt",".txt",".zip"},Z43)))&gt;0),AND(ISERROR(FIND(" ",TRIM(Z43))),NOT(OR(SUMPRODUCT(--ISNUMBER(FIND({",",";","&amp;","+"},Z43)))&gt;0,SUMPRODUCT(--ISNUMBER(SEARCH({"0/aa","0\\aa"},BN43)))&gt;0)),NOT(SUMPRODUCT(--ISNUMBER(SEARCH({"http","www.","\\",":\",".pdf",".jpg",".jpeg",".png",".heic",".xls",".doc",".msg",".eml",".ppt",".txt",".zip"},Z43)))&gt;0),NOT(LOWER(TRIM(Z43))=LOWER(Flights!$F$6)),ISNA(MATCH(BU43,{"mh","rev","revision","ver","version","v","r","a","b","seat","tray","row","gate","bay","stand","page","pg","item","line","no","cart","galley","flight","flt","table","box","bag","oven","etd","eta","std","sta","atd","ata","qty","pax","x","time","tel","ph","mob","day","wk","week","utc","gmt","myt","lt"},0)),NOT(OR(ISNUMBER(MATCH(LEFT(BN43,255),{"0000a","000a","00a","0000aa","000aa","00aa","0aa","0000aaa","000aaa","00a00","0a00","0000-0000","00:00","a00","a0","00.00.0000","00/00/0000","00-00-0000","0000-00-00","0000/00/00","0000.00.00","00.00.00","00/00/00","00-00-00","0.00.0000","0/00/0000","0-00-0000"},0)),ISNUMBER(MATCH(LEFT(BT43,255),{"0000a","000a","00a","0000aa","000aa","00aa","0aa","0000aaa","000aaa","00a00","0a00","0000-0000","00:00","a00","a0","00.00.0000","00/00/0000","00-00-0000","0000-00-00","0000/00/00","0000.00.00","00.00.00","00/00/00","00-00-00","0.00.0000","0/00/0000","0-00-0000"},0)))),NOT(OR(AND(BW43&lt;&gt;"",SUBSTITUTE(BW43,"0","")=""),AND(LEN(BW43)&gt;=4,BW43=REPT(LEFT(BW43),LEN(BW43))),ISNUMBER(MATCH(BW43,{"123","1234","12345","123456","1234567","12345678","0123","01234","012345","98765","987654","54321"},0)),ISNUMBER(MATCH(BX43,{"x","xx","xxx","xxxx","xxxxx","abc","abcd","nil","na","nan","test","tbc","tba","tbd","dummy","sample","example","eg","zz","zzz","none","null","xyz","qwe","asd","id","ref"},0)),AND(LEN(BW43)=8,BX43="",OR(LEFT(BW43,3)="202",ISNUMBER(MATCH(RIGHT(BW43,4),{"2025","2026","2027"},0)))))),OR(AND((LEN(BT43)-LEN(SUBSTITUTE(BT43,"a","")))&gt;=1,(LEN(BN43)-LEN(SUBSTITUTE(BN43,"0","")))&gt;=2,SUMPRODUCT(--ISNUMBER(SEARCH({"a0","a-0","a_0","a/0","a.0","a#0","0a","0-a","0_a","0/a"},BN43)))&gt;0),AND((LEN(BN43)-LEN(SUBSTITUTE(BN43,"a","")))=0,(LEN(BN43)-LEN(SUBSTITUTE(BN43,"0","")))&gt;=5)))),1,0),0)</f>
        <v>0</v>
      </c>
      <c r="CA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revision",""),"version",""),"jan",""),"feb",""),"mar",""),"apr",""),"may",""),"jun",""),"jul",""),"aug",""),"sep",""),"oct",""),"nov",""),"dec",""),"utc",""),"gmt",""),"myt",""),"bst",""),"rev",""),"ver",""),"b","a"),"c","a"),"d","a"),"e","a"),"f","a"),"g","a"),"h","a"),"i","a"),"j","a"),"k","a"),"l","a"),"m","a"),"n","a"),"o","a"),"p","a"),"q","a"),"r","a"),"s","a"),"t","a"),"u","a"),"v","a"),"w","a"),"x","a"),"y","a"),"z","a")</f>
        <v/>
      </c>
      <c r="CB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amp;""),"a",""),"b",""),"c",""),"d",""),"e",""),"f",""),"g",""),"h",""),"i",""),"j",""),"k",""),"l",""),"m",""),"n",""),"o",""),"p",""),"q",""),"r",""),"s",""),"t",""),"u",""),"v",""),"w",""),"x",""),"y",""),"z",""),"-",""),"_",""),"/",""),".",""),"#",""),"\\",""),":","")," ",""),"(",""),")","")</f>
        <v/>
      </c>
      <c r="CC43" s="0" t="str">
        <f aca="false">" "&amp;TRIM(SUBSTITUTE(SUBSTITUTE(SUBSTITUTE(SUBSTITUTE(SUBSTITUTE(SUBSTITUTE(SUBSTITUTE(SUBSTITUTE(SUBSTITUTE(SUBSTITUTE(SUBSTITUTE(SUBSTITUTE(SUBSTITUTE(SUBSTITUTE(SUBSTITUTE(SUBSTITUTE(SUBSTITUTE(SUBSTITUTE(SUBSTITUTE(SUBSTITUTE(SUBSTITUTE(SUBSTITUTE(SUBSTITUTE(SUBSTITUTE(LOWER(T43&amp;""),CHAR(10)," "),CHAR(13)," "),CHAR(9)," "),CHAR(160)," "),"."," "),","," "),"-"," "),"/"," "),"("," "),")"," "),":"," "),";"," "),"_"," "),"–"," "),"?"," "),"!"," "),"*"," "),"["," "),"]"," "),"'"," "),"#"," "),"+"," "),"&amp;"," "),"\"," "))&amp;" "</f>
        <v>  </v>
      </c>
      <c r="CD43" s="0" t="str">
        <f aca="false">" "&amp;TRIM(SUBSTITUTE(SUBSTITUTE(SUBSTITUTE(SUBSTITUTE(SUBSTITUTE(SUBSTITUTE(SUBSTITUTE(SUBSTITUTE(SUBSTITUTE(SUBSTITUTE(SUBSTITUTE(SUBSTITUTE(SUBSTITUTE(SUBSTITUTE(SUBSTITUTE(SUBSTITUTE(SUBSTITUTE(SUBSTITUTE(SUBSTITUTE(SUBSTITUTE(SUBSTITUTE(SUBSTITUTE(SUBSTITUTE(SUBSTITUTE(LOWER(AE43&amp;""),CHAR(10)," "),CHAR(13)," "),CHAR(9)," "),CHAR(160)," "),"."," "),","," "),"-"," "),"/"," "),"("," "),")"," "),":"," "),";"," "),"_"," "),"–"," "),"?"," "),"!"," "),"*"," "),"["," "),"]"," "),"'"," "),"#"," "),"+"," "),"&amp;"," "),"\"," "))&amp;" "</f>
        <v>  </v>
      </c>
      <c r="CE43" s="68" t="n">
        <f aca="false">IFERROR(IF(AND(LEN(AU43)&gt;0,LEN(AU43)=LEN(AX43),OR(TRIM(MID(SUBSTITUTE(TRIM(CC43)," ",REPT(" ",60)),1,60))="",ISNUMBER(SEARCH(" "&amp;TRIM(MID(SUBSTITUTE(TRIM(CC43)," ",REPT(" ",60)),1,60))&amp;" ",CD43))),OR(TRIM(MID(SUBSTITUTE(TRIM(CC43)," ",REPT(" ",60)),61,60))="",ISNUMBER(SEARCH(" "&amp;TRIM(MID(SUBSTITUTE(TRIM(CC43)," ",REPT(" ",60)),61,60))&amp;" ",CD43))),OR(TRIM(MID(SUBSTITUTE(TRIM(CC43)," ",REPT(" ",60)),121,60))="",ISNUMBER(SEARCH(" "&amp;TRIM(MID(SUBSTITUTE(TRIM(CC43)," ",REPT(" ",60)),121,60))&amp;" ",CD43)))),1,0),0)</f>
        <v>0</v>
      </c>
      <c r="CG43" s="68" t="n">
        <f aca="false">IFERROR(LEN(SUBSTITUTE(BF43," ",""))-SUMPRODUCT((LEN(BF43)-LEN(SUBSTITUTE(BF43," "&amp;L_NAFiller&amp;" "," ")))/(LEN(L_NAFiller)+1)*LEN(L_NAFiller)),0)</f>
        <v>0</v>
      </c>
    </row>
    <row r="44" customFormat="false" ht="39.75" hidden="false" customHeight="true" outlineLevel="0" collapsed="false">
      <c r="A44" s="57" t="s">
        <v>489</v>
      </c>
      <c r="B44" s="57" t="s">
        <v>198</v>
      </c>
      <c r="C44" s="57" t="str">
        <f aca="false">Flights!$F$6</f>
        <v>MH0727</v>
      </c>
      <c r="D44" s="58" t="n">
        <f aca="false">Flights!$D$6</f>
        <v>46304</v>
      </c>
      <c r="E44" s="57" t="str">
        <f aca="false">Flights!$G$6&amp;"-"&amp;Flights!$H$6</f>
        <v>KUL-CGK</v>
      </c>
      <c r="F44" s="57" t="str">
        <f aca="false">Flights!$K$6</f>
        <v>BC</v>
      </c>
      <c r="G44" s="57" t="s">
        <v>420</v>
      </c>
      <c r="H44" s="57" t="s">
        <v>378</v>
      </c>
      <c r="I44" s="57" t="s">
        <v>428</v>
      </c>
      <c r="J44" s="57" t="s">
        <v>433</v>
      </c>
      <c r="K44" s="67"/>
      <c r="L44" s="67" t="s">
        <v>422</v>
      </c>
      <c r="M44" s="67"/>
      <c r="N44" s="67" t="s">
        <v>383</v>
      </c>
      <c r="O44" s="67" t="s">
        <v>423</v>
      </c>
      <c r="P44" s="57" t="s">
        <v>187</v>
      </c>
      <c r="Q44" s="59" t="n">
        <f aca="false">ROUND((Flights!$AE$6)*1440,0)/1440</f>
        <v>46304.0763888889</v>
      </c>
      <c r="R44" s="59" t="n">
        <f aca="false">Q44+(IF(AND(INDEX(TZ_DSTS,MATCH(P44,TZ_STN,0))&lt;&gt;"",Q44&gt;=INDEX(TZ_DSTS,MATCH(P44,TZ_STN,0)),Q44&lt;INDEX(TZ_DSTE,MATCH(P44,TZ_STN,0))),INDEX(TZ_DST,MATCH(P44,TZ_STN,0)),INDEX(TZ_STD,MATCH(P44,TZ_STN,0))))/24</f>
        <v>46304.4097222222</v>
      </c>
      <c r="S44" s="60"/>
      <c r="T44" s="60"/>
      <c r="U44" s="60"/>
      <c r="V44" s="60"/>
      <c r="W44" s="61"/>
      <c r="X44" s="60"/>
      <c r="Y44" s="60"/>
      <c r="Z44" s="60"/>
      <c r="AA44" s="60"/>
      <c r="AB44" s="60"/>
      <c r="AC44" s="60"/>
      <c r="AD44" s="66"/>
      <c r="AE44" s="60"/>
      <c r="AF44" s="61" t="str">
        <f aca="false">IF(AND(ISNUMBER(X44),ISNUMBER(Y44)),Y44-X44,"")</f>
        <v/>
      </c>
      <c r="AG44" s="62" t="str">
        <f aca="false">IF(ISNUMBER(AD44),AD44-(IF(AND(INDEX(TZ_DSTS,MATCH(P44,TZ_STN,0))&lt;&gt;"",(AD44-INDEX(TZ_STD,MATCH(P44,TZ_STN,0))/24)&gt;=INDEX(TZ_DSTS,MATCH(P44,TZ_STN,0)),(AD44-INDEX(TZ_STD,MATCH(P44,TZ_STN,0))/24)&lt;INDEX(TZ_DSTE,MATCH(P44,TZ_STN,0))),INDEX(TZ_DST,MATCH(P44,TZ_STN,0)),INDEX(TZ_STD,MATCH(P44,TZ_STN,0))))/24,"")</f>
        <v/>
      </c>
      <c r="AH44" s="65" t="str">
        <f aca="false">IFERROR(IF(N44="N/A – rule",IF(OR(TRIM(U44)="",TRIM(U44)="N/A",TRIM(U44)="Not started"),"N/A – RULE","INVALID – this check does not apply to this aircraft: clear the status (or correct the fleet on Flights)"),IF(TRIM(U44)="N/A",IF(AT44=0,"INVALID – N/A not permitted for this check",IF(AND(TRIM(AB44)&lt;&gt;"",TRIM(AB44)&lt;&gt;"Closed"),"INVALID – corrective action still open",IF(AND(NOT(OR(LEN(AZ44)&lt;15,ISNUMBER(MATCH(AZ44,L_Placeholder,0)))),BK44=0,CG44&gt;=8,NOT(OR(LEN(AU44)&lt;2,ISNUMBER(MATCH(AU44,L_Placeholder,0)))),BR44&gt;=3,NOT(OR(LEN(AX44)&lt;2,ISNUMBER(MATCH(AX44,L_Placeholder,0)))),BS44&gt;=3,TRIM(AE44)&lt;&gt;TRIM(T44),AX44&lt;&gt;AU44,CE44=0),"N/A – JUSTIFIED","INVALID – N/A needs a real, settled reason (not 'not applicable' / 'as above' / TBC), a named PIC and a different named verifier"))),IF(OR(TRIM(U44)="Pass",TRIM(U44)="Pass after CA"),IF(NOT(ISNUMBER(AD44)),"INVALID – completion time missing",IF(OR(OR(LEN(AU44)&lt;2,ISNUMBER(MATCH(AU44,L_Placeholder,0))),BR44&lt;3),"INVALID – PIC missing or not a named person (a role such as QA / CSM is not a name)",IF(OR(LEN(AV44)&lt;2,ISNUMBER(MATCH(AV44,L_Placeholder,0))),"INVALID – result / assessment missing",IF(OR(OR(LEN(AW44)&lt;3,ISNUMBER(MATCH(AW44,L_Placeholder,0))),SUMPRODUCT(--ISNUMBER(SEARCH(" "&amp;L_EvidencePhrase&amp;" ",BD44)))&gt;0,BI44=1),"INVALID – evidence missing, placeholder or not yet on file",IF(ISNA(MATCH(TRIM(S44),L_EvidenceType,0)),"INVALID – choose the evidence type from the list (column S)",IF(BL44=0,"INVALID – evidence ID must be the record's own ID only (e.g. SF-2210, IMG_2231, 1045521); a link / file name needs type 'Link / file path'",IF(OR(OR(LEN(AX44)&lt;2,ISNUMBER(MATCH(AX44,L_Placeholder,0))),BS44&lt;3),"INVALID – verifier missing or not a named person (a role such as QA / CSM is not a name)",IF(OR(AX44=AU44,CE44=1,AND(LEN(AU44)&gt;=4,ISNUMBER(SEARCH(AU44,AX44))),AND(LEN(AX44)&gt;=4,ISNUMBER(SEARCH(AX44,AU44)))),"INVALID – verifier must be a different, named person (not the PIC or a role)",IF(BH44=1,"INVALID – result not yet available (awaiting / TBC)",IF(BG44=1,"INVALID – result describes a problem: record Fail, then Pass after CA (or reword if it is not a problem)",IF(BV44=1,"INVALID – wording says not on board: an on-board confirmation needs the item loaded",IF(AND(AQ44=1,OR(OR(LEN(AY44)&lt;3,ISNUMBER(MATCH(AY44,L_Placeholder,0))),BJ44=1,BQ44=0)),"INVALID – batch ID missing, placeholder or not an ID (e.g. PASB-261008-BC-017)",IF(AND(AR44=1,OR(NOT(ISNUMBER(X44)),NOT(ISNUMBER(Y44)))),"INVALID – expected/actual qty missing",IF(AND(AR44=1,OR(X44&lt;=0,Y44&lt;0)),"INVALID – expected qty must be above 0 and actual not negative",IF(BB44&lt;&gt;"",BB44,IF(AND(AS44=1,Documents!$J$6&lt;&gt;"ON FILE"),"INVALID – GLD not on file (Documents sheet)",IF(AND(AS44=2,Documents!$O$6&lt;&gt;"ON FILE"),"INVALID – menu checklist not on file (Documents sheet)",IF(AND(AS44=3,NOT(ISNUMBER(Flights!$AX$6))),"INVALID – enter carrying flight KUL departure (Flights AX)",IF(AND(AS44=3,OR(Flights!$AZ$6&gt;Flights!$AA$6,Flights!$AX$6&lt;Flights!$AA$6-3)),"INVALID – carrying flight (Flights AX) cannot arrive before this leg's STD, or is over 3 days early",IF(AG44&gt;AsOfUTC,"INVALID – completion time is in the future",IF(AND(ISNUMBER(BY44),AG44&lt;BY44),IF(H44="Physical uplift","INVALID – before uplift window (cannot confirm loading)","INVALID – before valid window"),IF(AG44&gt;Flights!$AA$6,"INVALID – completed after departure (cannot establish readiness)",IF(AND(H44="Preparation",AG44&gt;=IF(ISNUMBER(Flights!$BA$6),MIN(Flights!$BA$6,Flights!$AA$6),Flights!$AA$6)),"INVALID – completed after loading / departure (cannot establish readiness)",IF(AND(H44="Physical uplift",AG44&gt;Q44),"INVALID – recorded after the loading flight departed",IF(AG44&gt;Q44,"COMPLETE – LATE","COMPLETE"))))))))))))))))))))))))),IF(TRIM(U44)="Fail","FAIL – DISCREPANCY",IF(AND(TRIM(U44)&lt;&gt;"",TRIM(U44)&lt;&gt;"Not started",TRIM(U44)&lt;&gt;"In progress"),"INVALID – unrecognised status (use the list)",IF(AsOfUTC&gt;Q44,"OVERDUE",IF(N44="Clarification required","OPEN – CLARIFICATION","OPEN"))))))),"INVALID – error value in an input cell")</f>
        <v>OPEN</v>
      </c>
      <c r="AI44" s="61" t="n">
        <f aca="false">IF(OR(AH44="N/A – RULE",AH44="N/A – JUSTIFIED"),0,1)</f>
        <v>1</v>
      </c>
      <c r="AJ44" s="61" t="n">
        <f aca="false">IF(LEFT(AH44,8)="COMPLETE",1,0)</f>
        <v>0</v>
      </c>
      <c r="AK44" s="61" t="n">
        <f aca="false">IF(AND(AI44=1,AJ44=0,AsOfUTC&gt;Q44),1,0)</f>
        <v>0</v>
      </c>
      <c r="AL44" s="61" t="n">
        <f aca="false">IFERROR(IF(AND(AI44=1,OR(TRIM(U44)="Fail",AND(TRIM(AB44)&lt;&gt;"",TRIM(AB44)&lt;&gt;"Closed"),AND(ISNUMBER(AF44),AF44&lt;&gt;0,TRIM(U44)&lt;&gt;"Pass after CA"))),1,0),1)</f>
        <v>0</v>
      </c>
      <c r="AM44" s="61" t="n">
        <f aca="false">IF(LEFT(AH44,7)="INVALID",1,0)</f>
        <v>0</v>
      </c>
      <c r="AN44" s="61" t="n">
        <f aca="false">IF(AND(N44="Clarification required",AI44=1,AJ44=0),1,0)</f>
        <v>0</v>
      </c>
      <c r="AO44" s="61" t="str">
        <f aca="false">IF(AK44=1,SUM(AK$5:AK44),"")</f>
        <v/>
      </c>
      <c r="AP44" s="61" t="str">
        <f aca="false">IF(AL44=1,SUM(AL$5:AL44),"")</f>
        <v/>
      </c>
      <c r="AQ44" s="61" t="n">
        <v>0</v>
      </c>
      <c r="AR44" s="61" t="n">
        <v>0</v>
      </c>
      <c r="AS44" s="61" t="n">
        <v>0</v>
      </c>
      <c r="AT44" s="61" t="n">
        <v>0</v>
      </c>
      <c r="AU44" s="61" t="str">
        <f aca="false">SUBSTITUTE(SUBSTITUTE(SUBSTITUTE(SUBSTITUTE(SUBSTITUTE(SUBSTITUTE(SUBSTITUTE(SUBSTITUTE(SUBSTITUTE(SUBSTITUTE(SUBSTITUTE(SUBSTITUTE(SUBSTITUTE(SUBSTITUTE(SUBSTITUTE(SUBSTITUTE(LOWER(T44&amp;""),CHAR(10),""),CHAR(13),""),CHAR(9),""),CHAR(160),"")," ",""),".",""),"-",""),"/",""),"?",""),"_",""),",",""),"[",""),"]",""),"(",""),")",""),"*","")</f>
        <v/>
      </c>
      <c r="AV44" s="61" t="str">
        <f aca="false">SUBSTITUTE(SUBSTITUTE(SUBSTITUTE(SUBSTITUTE(SUBSTITUTE(SUBSTITUTE(SUBSTITUTE(SUBSTITUTE(SUBSTITUTE(SUBSTITUTE(SUBSTITUTE(SUBSTITUTE(SUBSTITUTE(SUBSTITUTE(SUBSTITUTE(SUBSTITUTE(LOWER(V44&amp;""),CHAR(10),""),CHAR(13),""),CHAR(9),""),CHAR(160),"")," ",""),".",""),"-",""),"/",""),"?",""),"_",""),",",""),"[",""),"]",""),"(",""),")",""),"*","")</f>
        <v/>
      </c>
      <c r="AW44" s="61" t="str">
        <f aca="false">SUBSTITUTE(SUBSTITUTE(SUBSTITUTE(SUBSTITUTE(SUBSTITUTE(SUBSTITUTE(SUBSTITUTE(SUBSTITUTE(SUBSTITUTE(SUBSTITUTE(SUBSTITUTE(SUBSTITUTE(SUBSTITUTE(SUBSTITUTE(SUBSTITUTE(SUBSTITUTE(LOWER(Z44&amp;""),CHAR(10),""),CHAR(13),""),CHAR(9),""),CHAR(160),"")," ",""),".",""),"-",""),"/",""),"?",""),"_",""),",",""),"[",""),"]",""),"(",""),")",""),"*","")</f>
        <v/>
      </c>
      <c r="AX44" s="61" t="str">
        <f aca="false">SUBSTITUTE(SUBSTITUTE(SUBSTITUTE(SUBSTITUTE(SUBSTITUTE(SUBSTITUTE(SUBSTITUTE(SUBSTITUTE(SUBSTITUTE(SUBSTITUTE(SUBSTITUTE(SUBSTITUTE(SUBSTITUTE(SUBSTITUTE(SUBSTITUTE(SUBSTITUTE(LOWER(AE44&amp;""),CHAR(10),""),CHAR(13),""),CHAR(9),""),CHAR(160),"")," ",""),".",""),"-",""),"/",""),"?",""),"_",""),",",""),"[",""),"]",""),"(",""),")",""),"*","")</f>
        <v/>
      </c>
      <c r="AY44" s="61" t="str">
        <f aca="false">SUBSTITUTE(SUBSTITUTE(SUBSTITUTE(SUBSTITUTE(SUBSTITUTE(SUBSTITUTE(SUBSTITUTE(SUBSTITUTE(SUBSTITUTE(SUBSTITUTE(SUBSTITUTE(SUBSTITUTE(SUBSTITUTE(SUBSTITUTE(SUBSTITUTE(SUBSTITUTE(LOWER(W44&amp;""),CHAR(10),""),CHAR(13),""),CHAR(9),""),CHAR(160),"")," ",""),".",""),"-",""),"/",""),"?",""),"_",""),",",""),"[",""),"]",""),"(",""),")",""),"*","")</f>
        <v/>
      </c>
      <c r="AZ44" s="61" t="str">
        <f aca="false">SUBSTITUTE(SUBSTITUTE(SUBSTITUTE(SUBSTITUTE(SUBSTITUTE(SUBSTITUTE(SUBSTITUTE(SUBSTITUTE(SUBSTITUTE(SUBSTITUTE(SUBSTITUTE(SUBSTITUTE(SUBSTITUTE(SUBSTITUTE(SUBSTITUTE(SUBSTITUTE(LOWER(AC44&amp;""),CHAR(10),""),CHAR(13),""),CHAR(9),""),CHAR(160),"")," ",""),".",""),"-",""),"/",""),"?",""),"_",""),",",""),"[",""),"]",""),"(",""),")",""),"*","")</f>
        <v/>
      </c>
      <c r="BA44" s="61" t="str">
        <f aca="false">SUBSTITUTE(SUBSTITUTE(SUBSTITUTE(SUBSTITUTE(SUBSTITUTE(SUBSTITUTE(SUBSTITUTE(SUBSTITUTE(SUBSTITUTE(SUBSTITUTE(SUBSTITUTE(SUBSTITUTE(SUBSTITUTE(SUBSTITUTE(SUBSTITUTE(SUBSTITUTE(LOWER(AA44&amp;""),CHAR(10),""),CHAR(13),""),CHAR(9),""),CHAR(160),"")," ",""),".",""),"-",""),"/",""),"?",""),"_",""),",",""),"[",""),"]",""),"(",""),")",""),"*","")</f>
        <v/>
      </c>
      <c r="BB44" s="61" t="str">
        <f aca="false">IF(AND(TRIM(U44)="Pass",ISNUMBER(AF44)),IF(AF44&lt;&gt;0,"INVALID – qty variance: use Fail or Pass after CA",""),"")&amp;IF(AND(TRIM(U44)="Pass after CA",ISNUMBER(AF44)),IF(AF44&lt;&gt;0,"INVALID – after the corrective action the actual qty must equal expected (update Actual)",""),"")&amp;IF(AND(TRIM(U44)="Pass",TRIM(AB44)&lt;&gt;"",TRIM(AB44)&lt;&gt;"Closed"),"INVALID – corrective action not closed: use Fail, then Pass after CA","")&amp;IF(AND(LEN(BA44)&gt;=2,ISNA(MATCH(LEFT(BA44,255),L_Placeholder,0)),TRIM(AB44)=""),"INVALID – CA status missing for the recorded corrective action","")&amp;IF(AND(TRIM(U44)="Pass after CA",OR(OR(LEN(BA44)&lt;5,ISNUMBER(MATCH(BA44,L_Placeholder,0))),TRIM(AB44)&lt;&gt;"Closed")),"INVALID – corrective action not recorded/closed","")</f>
        <v/>
      </c>
      <c r="BC44" s="61" t="str">
        <f aca="false">" "&amp;TRIM(SUBSTITUTE(SUBSTITUTE(SUBSTITUTE(SUBSTITUTE(SUBSTITUTE(SUBSTITUTE(SUBSTITUTE(SUBSTITUTE(SUBSTITUTE(SUBSTITUTE(SUBSTITUTE(SUBSTITUTE(SUBSTITUTE(SUBSTITUTE(SUBSTITUTE(SUBSTITUTE(SUBSTITUTE(SUBSTITUTE(SUBSTITUTE(SUBSTITUTE(SUBSTITUTE(SUBSTITUTE(SUBSTITUTE(SUBSTITUTE(LOWER(V44&amp;""),CHAR(10)," "),CHAR(13)," "),CHAR(9)," "),CHAR(160)," "),"."," "),","," "),"-"," "),"/"," "),"("," "),")"," "),":"," "),";"," "),"_"," "),"–"," "),"?"," "),"!"," "),"*"," "),"["," "),"]"," "),"'"," "),"#"," "),"+"," "),"&amp;"," "),"\"," "))&amp;" "</f>
        <v>  </v>
      </c>
      <c r="BD44" s="61" t="str">
        <f aca="false">" "&amp;TRIM(SUBSTITUTE(SUBSTITUTE(SUBSTITUTE(SUBSTITUTE(SUBSTITUTE(SUBSTITUTE(SUBSTITUTE(SUBSTITUTE(SUBSTITUTE(SUBSTITUTE(SUBSTITUTE(SUBSTITUTE(SUBSTITUTE(SUBSTITUTE(SUBSTITUTE(SUBSTITUTE(SUBSTITUTE(SUBSTITUTE(SUBSTITUTE(SUBSTITUTE(SUBSTITUTE(SUBSTITUTE(SUBSTITUTE(SUBSTITUTE(LOWER(Z44&amp;""),CHAR(10)," "),CHAR(13)," "),CHAR(9)," "),CHAR(160)," "),"."," "),","," "),"-"," "),"/"," "),"("," "),")"," "),":"," "),";"," "),"_"," "),"–"," "),"?"," "),"!"," "),"*"," "),"["," "),"]"," "),"'"," "),"#"," "),"+"," "),"&amp;"," "),"\"," "))&amp;" "</f>
        <v>  </v>
      </c>
      <c r="BE44" s="61" t="str">
        <f aca="false">" "&amp;TRIM(SUBSTITUTE(SUBSTITUTE(SUBSTITUTE(SUBSTITUTE(SUBSTITUTE(SUBSTITUTE(SUBSTITUTE(SUBSTITUTE(SUBSTITUTE(SUBSTITUTE(SUBSTITUTE(SUBSTITUTE(SUBSTITUTE(SUBSTITUTE(SUBSTITUTE(SUBSTITUTE(SUBSTITUTE(SUBSTITUTE(SUBSTITUTE(SUBSTITUTE(SUBSTITUTE(SUBSTITUTE(SUBSTITUTE(SUBSTITUTE(LOWER(W44&amp;""),CHAR(10)," "),CHAR(13)," "),CHAR(9)," "),CHAR(160)," "),"."," "),","," "),"-"," "),"/"," "),"("," "),")"," "),":"," "),";"," "),"_"," "),"–"," "),"?"," "),"!"," "),"*"," "),"["," "),"]"," "),"'"," "),"#"," "),"+"," "),"&amp;"," "),"\"," "))&amp;" "</f>
        <v>  </v>
      </c>
      <c r="BF44" s="61" t="str">
        <f aca="false">" "&amp;TRIM(SUBSTITUTE(SUBSTITUTE(SUBSTITUTE(SUBSTITUTE(SUBSTITUTE(SUBSTITUTE(SUBSTITUTE(SUBSTITUTE(SUBSTITUTE(SUBSTITUTE(SUBSTITUTE(SUBSTITUTE(SUBSTITUTE(SUBSTITUTE(SUBSTITUTE(SUBSTITUTE(SUBSTITUTE(SUBSTITUTE(SUBSTITUTE(SUBSTITUTE(SUBSTITUTE(SUBSTITUTE(SUBSTITUTE(SUBSTITUTE(LOWER(AC44&amp;""),CHAR(10)," "),CHAR(13)," "),CHAR(9)," "),CHAR(160)," "),"."," "),","," "),"-"," "),"/"," "),"("," "),")"," "),":"," "),";"," "),"_"," "),"–"," "),"?"," "),"!"," "),"*"," "),"["," "),"]"," "),"'"," "),"#"," "),"+"," "),"&amp;"," "),"\"," "))&amp;" "</f>
        <v>  </v>
      </c>
      <c r="BG44" s="61" t="n">
        <f aca="false">IFERROR(IF(AND(TRIM(U44)="Pass",SUMPRODUCT((LEN(BC44)-LEN(SUBSTITUTE(BC44," "&amp;L_ResultBad&amp;" "," ")))/(LEN(L_ResultBad)+1))&gt;SUMPRODUCT((LEN(BC44)-LEN(SUBSTITUTE(BC44," "&amp;L_NegPhrase&amp;" "," ")))/(LEN(L_NegPhrase)+1))),1,0),0)</f>
        <v>0</v>
      </c>
      <c r="BH44" s="61" t="n">
        <f aca="false">IFERROR(IF(SUMPRODUCT((LEN(BC44)-LEN(SUBSTITUTE(BC44," "&amp;L_Pending&amp;" "," ")))/(LEN(L_Pending)+1))&gt;SUMPRODUCT((LEN(BC44)-LEN(SUBSTITUTE(BC44," "&amp;L_PendNeg&amp;" "," ")))/(LEN(L_PendNeg)+1))+SUMPRODUCT((LEN(BC44)-LEN(SUBSTITUTE(BC44," "&amp;L_PendPrep&amp;" "," ")))/(LEN(L_PendPrep)+1)),1,0),1)</f>
        <v>0</v>
      </c>
      <c r="BI44" s="61" t="n">
        <f aca="false">IFERROR(IF(SUMPRODUCT((LEN(BD44)-LEN(SUBSTITUTE(BD44," "&amp;L_PendStrict&amp;" "," ")))/(LEN(L_PendStrict)+1))&gt;SUMPRODUCT((LEN(BD44)-LEN(SUBSTITUTE(BD44," "&amp;L_PendNeg&amp;" "," ")))/(LEN(L_PendNeg)+1)),1,0),1)</f>
        <v>0</v>
      </c>
      <c r="BJ44" s="61" t="n">
        <f aca="false">IFERROR(IF(SUMPRODUCT((LEN(BE44)-LEN(SUBSTITUTE(BE44," "&amp;L_Pending&amp;" "," ")))/(LEN(L_Pending)+1))&gt;SUMPRODUCT((LEN(BE44)-LEN(SUBSTITUTE(BE44," "&amp;L_PendNeg&amp;" "," ")))/(LEN(L_PendNeg)+1))+SUMPRODUCT((LEN(BE44)-LEN(SUBSTITUTE(BE44," "&amp;L_PendPrep&amp;" "," ")))/(LEN(L_PendPrep)+1)),1,0),1)</f>
        <v>0</v>
      </c>
      <c r="BK44" s="61" t="n">
        <f aca="false">IFERROR(IF(SUMPRODUCT((LEN(BF44)-LEN(SUBSTITUTE(BF44," "&amp;L_PendStrict&amp;" "," ")))/(LEN(L_PendStrict)+1))&gt;SUMPRODUCT((LEN(BF44)-LEN(SUBSTITUTE(BF44," "&amp;L_PendNeg&amp;" "," ")))/(LEN(L_PendNeg)+1)),1,0),1)</f>
        <v>0</v>
      </c>
      <c r="BL44" s="61" t="n">
        <f aca="false">IF(ISNA(MATCH(TRIM(S44),L_EvidenceType,0)),0,BZ44)</f>
        <v>0</v>
      </c>
      <c r="BM44" s="61" t="str">
        <f aca="false">SUBSTITUTE(SUBSTITUTE(SUBSTITUTE(SUBSTITUTE(SUBSTITUTE(SUBSTITUTE(SUBSTITUTE(SUBSTITUTE(SUBSTITUTE(LOWER(Z44&amp;""),"1","0"),"2","0"),"3","0"),"4","0"),"5","0"),"6","0"),"7","0"),"8","0"),"9","0")</f>
        <v/>
      </c>
      <c r="BN44" s="61" t="str">
        <f aca="false">SUBSTITUTE(SUBSTITUTE(SUBSTITUTE(SUBSTITUTE(SUBSTITUTE(SUBSTITUTE(SUBSTITUTE(SUBSTITUTE(SUBSTITUTE(SUBSTITUTE(SUBSTITUTE(SUBSTITUTE(SUBSTITUTE(SUBSTITUTE(SUBSTITUTE(SUBSTITUTE(SUBSTITUTE(SUBSTITUTE(SUBSTITUTE(SUBSTITUTE(SUBSTITUTE(SUBSTITUTE(SUBSTITUTE(SUBSTITUTE(SUBSTITUTE(BM44,"b","a"),"c","a"),"d","a"),"e","a"),"f","a"),"g","a"),"h","a"),"i","a"),"j","a"),"k","a"),"l","a"),"m","a"),"n","a"),"o","a"),"p","a"),"q","a"),"r","a"),"s","a"),"t","a"),"u","a"),"v","a"),"w","a"),"x","a"),"y","a"),"z","a")</f>
        <v/>
      </c>
      <c r="BO44" s="61" t="str">
        <f aca="false">SUBSTITUTE(SUBSTITUTE(SUBSTITUTE(SUBSTITUTE(SUBSTITUTE(SUBSTITUTE(SUBSTITUTE(SUBSTITUTE(SUBSTITUTE(LOWER(W44&amp;""),"1","0"),"2","0"),"3","0"),"4","0"),"5","0"),"6","0"),"7","0"),"8","0"),"9","0")</f>
        <v/>
      </c>
      <c r="BP44" s="61" t="str">
        <f aca="false">SUBSTITUTE(SUBSTITUTE(SUBSTITUTE(SUBSTITUTE(SUBSTITUTE(SUBSTITUTE(SUBSTITUTE(SUBSTITUTE(SUBSTITUTE(SUBSTITUTE(SUBSTITUTE(SUBSTITUTE(SUBSTITUTE(SUBSTITUTE(SUBSTITUTE(SUBSTITUTE(SUBSTITUTE(SUBSTITUTE(SUBSTITUTE(SUBSTITUTE(SUBSTITUTE(SUBSTITUTE(SUBSTITUTE(SUBSTITUTE(SUBSTITUTE(BO44,"b","a"),"c","a"),"d","a"),"e","a"),"f","a"),"g","a"),"h","a"),"i","a"),"j","a"),"k","a"),"l","a"),"m","a"),"n","a"),"o","a"),"p","a"),"q","a"),"r","a"),"s","a"),"t","a"),"u","a"),"v","a"),"w","a"),"x","a"),"y","a"),"z","a")</f>
        <v/>
      </c>
      <c r="BQ44" s="61" t="n">
        <f aca="false">IFERROR(IF(AND(ISERROR(SEARCH(" mh"," "&amp;LOWER(W44))),ISNA(MATCH(LEFT(TRIM(BP44),255),{"0000a","000a","00a","0000aa","000aa","00aa","0aa","0000aaa","000aaa","00a00","0a00","0000-0000","00:00","a00","a0","00.00.0000","00/00/0000","00-00-0000","0000-00-00","0000/00/00","0000.00.00","00.00.00","00/00/00","00-00-00","0.00.0000","0/00/0000","0-00-0000"},0)),ISNA(MATCH(LEFT(TRIM(CA44),255),{"0000a","000a","00a","0000aa","000aa","00aa","0aa","0000aaa","000aaa","00a00","0a00","0000-0000","00:00","a00","a0","00.00.0000","00/00/0000","00-00-0000","0000-00-00","0000/00/00","0000.00.00","00.00.00","00/00/00","00-00-00","0.00.0000","0/00/0000","0-00-0000"},0)),LEN(CB44)&gt;=3,NOT(OR(SUBSTITUTE(CB44,"0","")="",AND(LEN(CB44)&gt;=4,CB44=REPT(LEFT(CB44),LEN(CB44))),ISNUMBER(MATCH(CB44,{"123","1234","12345","123456","1234567","12345678","0123","01234","012345","98765","987654","54321"},0)),AND(LEN(CB44)=8,LEFT(CB44,3)="202"))),OR(AND((LEN(CA44)-LEN(SUBSTITUTE(CA44,"a","")))&gt;=1,SUMPRODUCT(--ISNUMBER(SEARCH({"a0","a-0","a_0","a/0","a.0","a#0","0a","0-a","0_a","0/a"},BP44)))&gt;0),ISNUMBER(SEARCH("000000",BP44)))),1,0),0)</f>
        <v>0</v>
      </c>
      <c r="BR44" s="61" t="n">
        <f aca="false">IFERROR(LEN(SUBSTITUTE(CC44," ",""))-SUMPRODUCT((LEN(CC44)-LEN(SUBSTITUTE(CC44," "&amp;L_Role&amp;" "," ")))/(LEN(L_Role)+1)*LEN(L_Role)),0)</f>
        <v>0</v>
      </c>
      <c r="BS44" s="61" t="n">
        <f aca="false">IFERROR(LEN(SUBSTITUTE(CD44," ",""))-SUMPRODUCT((LEN(CD44)-LEN(SUBSTITUTE(CD44," "&amp;L_Role&amp;" "," ")))/(LEN(L_Role)+1)*LEN(L_Role)),0)</f>
        <v>0</v>
      </c>
      <c r="BT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revision",""),"version",""),"jan",""),"feb",""),"mar",""),"apr",""),"may",""),"jun",""),"jul",""),"aug",""),"sep",""),"oct",""),"nov",""),"dec",""),"utc",""),"gmt",""),"myt",""),"bst",""),"rev",""),"ver",""),"b","a"),"c","a"),"d","a"),"e","a"),"f","a"),"g","a"),"h","a"),"i","a"),"j","a"),"k","a"),"l","a"),"m","a"),"n","a"),"o","a"),"p","a"),"q","a"),"r","a"),"s","a"),"t","a"),"u","a"),"v","a"),"w","a"),"x","a"),"y","a"),"z","a")</f>
        <v/>
      </c>
      <c r="BU44" s="61" t="str">
        <f aca="false">SUBSTITUTE(SUBSTITUTE(SUBSTITUTE(SUBSTITUTE(SUBSTITUTE(SUBSTITUTE(SUBSTITUTE(SUBSTITUTE(SUBSTITUTE(SUBSTITUTE(LEFT(BM44,FIND("0",BM44&amp;"0")-1),"-",""),"_",""),"/",""),".",""),"#",""),"\\",""),":","")," ",""),"(",""),")","")</f>
        <v/>
      </c>
      <c r="BV44" s="61" t="n">
        <f aca="false">0</f>
        <v>0</v>
      </c>
      <c r="BW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amp;""),"a",""),"b",""),"c",""),"d",""),"e",""),"f",""),"g",""),"h",""),"i",""),"j",""),"k",""),"l",""),"m",""),"n",""),"o",""),"p",""),"q",""),"r",""),"s",""),"t",""),"u",""),"v",""),"w",""),"x",""),"y",""),"z",""),"-",""),"_",""),"/",""),".",""),"#",""),"\\",""),":","")," ",""),"(",""),")","")</f>
        <v/>
      </c>
      <c r="BX44" s="61" t="str">
        <f aca="false">SUBSTITUTE(SUBSTITUTE(SUBSTITUTE(SUBSTITUTE(SUBSTITUTE(SUBSTITUTE(SUBSTITUTE(SUBSTITUTE(SUBSTITUTE(SUBSTITUTE(SUBSTITUTE(BM44,"0",""),"-",""),"_",""),"/",""),".",""),"#",""),"\\",""),":","")," ",""),"(",""),")","")</f>
        <v/>
      </c>
      <c r="BY44" s="62" t="n">
        <f aca="false">Q44-T12EarlyH/24</f>
        <v>46303.5763888889</v>
      </c>
      <c r="BZ44" s="61" t="n">
        <f aca="false">IFERROR(IF(IF(TRIM(S44)="Link / file path",AND(LEN(TRIM(Z44))&gt;=5,SUMPRODUCT(--ISNUMBER(SEARCH({"http","www.","\\",":\",".pdf",".jpg",".jpeg",".png",".heic",".xls",".doc",".msg",".eml",".ppt",".txt",".zip"},Z44)))&gt;0),AND(ISERROR(FIND(" ",TRIM(Z44))),NOT(OR(SUMPRODUCT(--ISNUMBER(FIND({",",";","&amp;","+"},Z44)))&gt;0,SUMPRODUCT(--ISNUMBER(SEARCH({"0/aa","0\\aa"},BN44)))&gt;0)),NOT(SUMPRODUCT(--ISNUMBER(SEARCH({"http","www.","\\",":\",".pdf",".jpg",".jpeg",".png",".heic",".xls",".doc",".msg",".eml",".ppt",".txt",".zip"},Z44)))&gt;0),NOT(LOWER(TRIM(Z44))=LOWER(Flights!$F$6)),ISNA(MATCH(BU44,{"mh","rev","revision","ver","version","v","r","a","b","seat","tray","row","gate","bay","stand","page","pg","item","line","no","cart","galley","flight","flt","table","box","bag","oven","etd","eta","std","sta","atd","ata","qty","pax","x","time","tel","ph","mob","day","wk","week","utc","gmt","myt","lt"},0)),NOT(OR(ISNUMBER(MATCH(LEFT(BN44,255),{"0000a","000a","00a","0000aa","000aa","00aa","0aa","0000aaa","000aaa","00a00","0a00","0000-0000","00:00","a00","a0","00.00.0000","00/00/0000","00-00-0000","0000-00-00","0000/00/00","0000.00.00","00.00.00","00/00/00","00-00-00","0.00.0000","0/00/0000","0-00-0000"},0)),ISNUMBER(MATCH(LEFT(BT44,255),{"0000a","000a","00a","0000aa","000aa","00aa","0aa","0000aaa","000aaa","00a00","0a00","0000-0000","00:00","a00","a0","00.00.0000","00/00/0000","00-00-0000","0000-00-00","0000/00/00","0000.00.00","00.00.00","00/00/00","00-00-00","0.00.0000","0/00/0000","0-00-0000"},0)))),NOT(OR(AND(BW44&lt;&gt;"",SUBSTITUTE(BW44,"0","")=""),AND(LEN(BW44)&gt;=4,BW44=REPT(LEFT(BW44),LEN(BW44))),ISNUMBER(MATCH(BW44,{"123","1234","12345","123456","1234567","12345678","0123","01234","012345","98765","987654","54321"},0)),ISNUMBER(MATCH(BX44,{"x","xx","xxx","xxxx","xxxxx","abc","abcd","nil","na","nan","test","tbc","tba","tbd","dummy","sample","example","eg","zz","zzz","none","null","xyz","qwe","asd","id","ref"},0)),AND(LEN(BW44)=8,BX44="",OR(LEFT(BW44,3)="202",ISNUMBER(MATCH(RIGHT(BW44,4),{"2025","2026","2027"},0)))))),OR(AND((LEN(BT44)-LEN(SUBSTITUTE(BT44,"a","")))&gt;=1,(LEN(BN44)-LEN(SUBSTITUTE(BN44,"0","")))&gt;=2,SUMPRODUCT(--ISNUMBER(SEARCH({"a0","a-0","a_0","a/0","a.0","a#0","0a","0-a","0_a","0/a"},BN44)))&gt;0),AND((LEN(BN44)-LEN(SUBSTITUTE(BN44,"a","")))=0,(LEN(BN44)-LEN(SUBSTITUTE(BN44,"0","")))&gt;=5)))),1,0),0)</f>
        <v>0</v>
      </c>
      <c r="CA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revision",""),"version",""),"jan",""),"feb",""),"mar",""),"apr",""),"may",""),"jun",""),"jul",""),"aug",""),"sep",""),"oct",""),"nov",""),"dec",""),"utc",""),"gmt",""),"myt",""),"bst",""),"rev",""),"ver",""),"b","a"),"c","a"),"d","a"),"e","a"),"f","a"),"g","a"),"h","a"),"i","a"),"j","a"),"k","a"),"l","a"),"m","a"),"n","a"),"o","a"),"p","a"),"q","a"),"r","a"),"s","a"),"t","a"),"u","a"),"v","a"),"w","a"),"x","a"),"y","a"),"z","a")</f>
        <v/>
      </c>
      <c r="CB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amp;""),"a",""),"b",""),"c",""),"d",""),"e",""),"f",""),"g",""),"h",""),"i",""),"j",""),"k",""),"l",""),"m",""),"n",""),"o",""),"p",""),"q",""),"r",""),"s",""),"t",""),"u",""),"v",""),"w",""),"x",""),"y",""),"z",""),"-",""),"_",""),"/",""),".",""),"#",""),"\\",""),":","")," ",""),"(",""),")","")</f>
        <v/>
      </c>
      <c r="CC44" s="0" t="str">
        <f aca="false">" "&amp;TRIM(SUBSTITUTE(SUBSTITUTE(SUBSTITUTE(SUBSTITUTE(SUBSTITUTE(SUBSTITUTE(SUBSTITUTE(SUBSTITUTE(SUBSTITUTE(SUBSTITUTE(SUBSTITUTE(SUBSTITUTE(SUBSTITUTE(SUBSTITUTE(SUBSTITUTE(SUBSTITUTE(SUBSTITUTE(SUBSTITUTE(SUBSTITUTE(SUBSTITUTE(SUBSTITUTE(SUBSTITUTE(SUBSTITUTE(SUBSTITUTE(LOWER(T44&amp;""),CHAR(10)," "),CHAR(13)," "),CHAR(9)," "),CHAR(160)," "),"."," "),","," "),"-"," "),"/"," "),"("," "),")"," "),":"," "),";"," "),"_"," "),"–"," "),"?"," "),"!"," "),"*"," "),"["," "),"]"," "),"'"," "),"#"," "),"+"," "),"&amp;"," "),"\"," "))&amp;" "</f>
        <v>  </v>
      </c>
      <c r="CD44" s="0" t="str">
        <f aca="false">" "&amp;TRIM(SUBSTITUTE(SUBSTITUTE(SUBSTITUTE(SUBSTITUTE(SUBSTITUTE(SUBSTITUTE(SUBSTITUTE(SUBSTITUTE(SUBSTITUTE(SUBSTITUTE(SUBSTITUTE(SUBSTITUTE(SUBSTITUTE(SUBSTITUTE(SUBSTITUTE(SUBSTITUTE(SUBSTITUTE(SUBSTITUTE(SUBSTITUTE(SUBSTITUTE(SUBSTITUTE(SUBSTITUTE(SUBSTITUTE(SUBSTITUTE(LOWER(AE44&amp;""),CHAR(10)," "),CHAR(13)," "),CHAR(9)," "),CHAR(160)," "),"."," "),","," "),"-"," "),"/"," "),"("," "),")"," "),":"," "),";"," "),"_"," "),"–"," "),"?"," "),"!"," "),"*"," "),"["," "),"]"," "),"'"," "),"#"," "),"+"," "),"&amp;"," "),"\"," "))&amp;" "</f>
        <v>  </v>
      </c>
      <c r="CE44" s="68" t="n">
        <f aca="false">IFERROR(IF(AND(LEN(AU44)&gt;0,LEN(AU44)=LEN(AX44),OR(TRIM(MID(SUBSTITUTE(TRIM(CC44)," ",REPT(" ",60)),1,60))="",ISNUMBER(SEARCH(" "&amp;TRIM(MID(SUBSTITUTE(TRIM(CC44)," ",REPT(" ",60)),1,60))&amp;" ",CD44))),OR(TRIM(MID(SUBSTITUTE(TRIM(CC44)," ",REPT(" ",60)),61,60))="",ISNUMBER(SEARCH(" "&amp;TRIM(MID(SUBSTITUTE(TRIM(CC44)," ",REPT(" ",60)),61,60))&amp;" ",CD44))),OR(TRIM(MID(SUBSTITUTE(TRIM(CC44)," ",REPT(" ",60)),121,60))="",ISNUMBER(SEARCH(" "&amp;TRIM(MID(SUBSTITUTE(TRIM(CC44)," ",REPT(" ",60)),121,60))&amp;" ",CD44)))),1,0),0)</f>
        <v>0</v>
      </c>
      <c r="CG44" s="68" t="n">
        <f aca="false">IFERROR(LEN(SUBSTITUTE(BF44," ",""))-SUMPRODUCT((LEN(BF44)-LEN(SUBSTITUTE(BF44," "&amp;L_NAFiller&amp;" "," ")))/(LEN(L_NAFiller)+1)*LEN(L_NAFiller)),0)</f>
        <v>0</v>
      </c>
    </row>
    <row r="45" customFormat="false" ht="78.75" hidden="false" customHeight="true" outlineLevel="0" collapsed="false">
      <c r="A45" s="57" t="s">
        <v>490</v>
      </c>
      <c r="B45" s="57" t="s">
        <v>198</v>
      </c>
      <c r="C45" s="57" t="str">
        <f aca="false">Flights!$F$6</f>
        <v>MH0727</v>
      </c>
      <c r="D45" s="58" t="n">
        <f aca="false">Flights!$D$6</f>
        <v>46304</v>
      </c>
      <c r="E45" s="57" t="str">
        <f aca="false">Flights!$G$6&amp;"-"&amp;Flights!$H$6</f>
        <v>KUL-CGK</v>
      </c>
      <c r="F45" s="57" t="str">
        <f aca="false">Flights!$K$6</f>
        <v>BC</v>
      </c>
      <c r="G45" s="57" t="s">
        <v>420</v>
      </c>
      <c r="H45" s="57" t="s">
        <v>378</v>
      </c>
      <c r="I45" s="57" t="s">
        <v>428</v>
      </c>
      <c r="J45" s="57" t="s">
        <v>435</v>
      </c>
      <c r="K45" s="67" t="s">
        <v>491</v>
      </c>
      <c r="L45" s="67" t="s">
        <v>422</v>
      </c>
      <c r="M45" s="67"/>
      <c r="N45" s="67" t="s">
        <v>383</v>
      </c>
      <c r="O45" s="67" t="s">
        <v>423</v>
      </c>
      <c r="P45" s="57" t="s">
        <v>187</v>
      </c>
      <c r="Q45" s="59" t="n">
        <f aca="false">ROUND((Flights!$AE$6)*1440,0)/1440</f>
        <v>46304.0763888889</v>
      </c>
      <c r="R45" s="59" t="n">
        <f aca="false">Q45+(IF(AND(INDEX(TZ_DSTS,MATCH(P45,TZ_STN,0))&lt;&gt;"",Q45&gt;=INDEX(TZ_DSTS,MATCH(P45,TZ_STN,0)),Q45&lt;INDEX(TZ_DSTE,MATCH(P45,TZ_STN,0))),INDEX(TZ_DST,MATCH(P45,TZ_STN,0)),INDEX(TZ_STD,MATCH(P45,TZ_STN,0))))/24</f>
        <v>46304.4097222222</v>
      </c>
      <c r="S45" s="60"/>
      <c r="T45" s="60"/>
      <c r="U45" s="60"/>
      <c r="V45" s="60"/>
      <c r="W45" s="61"/>
      <c r="X45" s="60"/>
      <c r="Y45" s="60"/>
      <c r="Z45" s="60"/>
      <c r="AA45" s="60"/>
      <c r="AB45" s="60"/>
      <c r="AC45" s="60"/>
      <c r="AD45" s="66"/>
      <c r="AE45" s="60"/>
      <c r="AF45" s="61" t="str">
        <f aca="false">IF(AND(ISNUMBER(X45),ISNUMBER(Y45)),Y45-X45,"")</f>
        <v/>
      </c>
      <c r="AG45" s="62" t="str">
        <f aca="false">IF(ISNUMBER(AD45),AD45-(IF(AND(INDEX(TZ_DSTS,MATCH(P45,TZ_STN,0))&lt;&gt;"",(AD45-INDEX(TZ_STD,MATCH(P45,TZ_STN,0))/24)&gt;=INDEX(TZ_DSTS,MATCH(P45,TZ_STN,0)),(AD45-INDEX(TZ_STD,MATCH(P45,TZ_STN,0))/24)&lt;INDEX(TZ_DSTE,MATCH(P45,TZ_STN,0))),INDEX(TZ_DST,MATCH(P45,TZ_STN,0)),INDEX(TZ_STD,MATCH(P45,TZ_STN,0))))/24,"")</f>
        <v/>
      </c>
      <c r="AH45" s="65" t="str">
        <f aca="false">IFERROR(IF(N45="N/A – rule",IF(OR(TRIM(U45)="",TRIM(U45)="N/A",TRIM(U45)="Not started"),"N/A – RULE","INVALID – this check does not apply to this aircraft: clear the status (or correct the fleet on Flights)"),IF(TRIM(U45)="N/A",IF(AT45=0,"INVALID – N/A not permitted for this check",IF(AND(TRIM(AB45)&lt;&gt;"",TRIM(AB45)&lt;&gt;"Closed"),"INVALID – corrective action still open",IF(AND(NOT(OR(LEN(AZ45)&lt;15,ISNUMBER(MATCH(AZ45,L_Placeholder,0)))),BK45=0,CG45&gt;=8,NOT(OR(LEN(AU45)&lt;2,ISNUMBER(MATCH(AU45,L_Placeholder,0)))),BR45&gt;=3,NOT(OR(LEN(AX45)&lt;2,ISNUMBER(MATCH(AX45,L_Placeholder,0)))),BS45&gt;=3,TRIM(AE45)&lt;&gt;TRIM(T45),AX45&lt;&gt;AU45,CE45=0),"N/A – JUSTIFIED","INVALID – N/A needs a real, settled reason (not 'not applicable' / 'as above' / TBC), a named PIC and a different named verifier"))),IF(OR(TRIM(U45)="Pass",TRIM(U45)="Pass after CA"),IF(NOT(ISNUMBER(AD45)),"INVALID – completion time missing",IF(OR(OR(LEN(AU45)&lt;2,ISNUMBER(MATCH(AU45,L_Placeholder,0))),BR45&lt;3),"INVALID – PIC missing or not a named person (a role such as QA / CSM is not a name)",IF(OR(LEN(AV45)&lt;2,ISNUMBER(MATCH(AV45,L_Placeholder,0))),"INVALID – result / assessment missing",IF(OR(OR(LEN(AW45)&lt;3,ISNUMBER(MATCH(AW45,L_Placeholder,0))),SUMPRODUCT(--ISNUMBER(SEARCH(" "&amp;L_EvidencePhrase&amp;" ",BD45)))&gt;0,BI45=1),"INVALID – evidence missing, placeholder or not yet on file",IF(ISNA(MATCH(TRIM(S45),L_EvidenceType,0)),"INVALID – choose the evidence type from the list (column S)",IF(BL45=0,"INVALID – evidence ID must be the record's own ID only (e.g. SF-2210, IMG_2231, 1045521); a link / file name needs type 'Link / file path'",IF(OR(OR(LEN(AX45)&lt;2,ISNUMBER(MATCH(AX45,L_Placeholder,0))),BS45&lt;3),"INVALID – verifier missing or not a named person (a role such as QA / CSM is not a name)",IF(OR(AX45=AU45,CE45=1,AND(LEN(AU45)&gt;=4,ISNUMBER(SEARCH(AU45,AX45))),AND(LEN(AX45)&gt;=4,ISNUMBER(SEARCH(AX45,AU45)))),"INVALID – verifier must be a different, named person (not the PIC or a role)",IF(BH45=1,"INVALID – result not yet available (awaiting / TBC)",IF(BG45=1,"INVALID – result describes a problem: record Fail, then Pass after CA (or reword if it is not a problem)",IF(BV45=1,"INVALID – wording says not on board: an on-board confirmation needs the item loaded",IF(AND(AQ45=1,OR(OR(LEN(AY45)&lt;3,ISNUMBER(MATCH(AY45,L_Placeholder,0))),BJ45=1,BQ45=0)),"INVALID – batch ID missing, placeholder or not an ID (e.g. PASB-261008-BC-017)",IF(AND(AR45=1,OR(NOT(ISNUMBER(X45)),NOT(ISNUMBER(Y45)))),"INVALID – expected/actual qty missing",IF(AND(AR45=1,OR(X45&lt;=0,Y45&lt;0)),"INVALID – expected qty must be above 0 and actual not negative",IF(BB45&lt;&gt;"",BB45,IF(AND(AS45=1,Documents!$J$6&lt;&gt;"ON FILE"),"INVALID – GLD not on file (Documents sheet)",IF(AND(AS45=2,Documents!$O$6&lt;&gt;"ON FILE"),"INVALID – menu checklist not on file (Documents sheet)",IF(AND(AS45=3,NOT(ISNUMBER(Flights!$AX$6))),"INVALID – enter carrying flight KUL departure (Flights AX)",IF(AND(AS45=3,OR(Flights!$AZ$6&gt;Flights!$AA$6,Flights!$AX$6&lt;Flights!$AA$6-3)),"INVALID – carrying flight (Flights AX) cannot arrive before this leg's STD, or is over 3 days early",IF(AG45&gt;AsOfUTC,"INVALID – completion time is in the future",IF(AND(ISNUMBER(BY45),AG45&lt;BY45),IF(H45="Physical uplift","INVALID – before uplift window (cannot confirm loading)","INVALID – before valid window"),IF(AG45&gt;Flights!$AA$6,"INVALID – completed after departure (cannot establish readiness)",IF(AND(H45="Preparation",AG45&gt;=IF(ISNUMBER(Flights!$BA$6),MIN(Flights!$BA$6,Flights!$AA$6),Flights!$AA$6)),"INVALID – completed after loading / departure (cannot establish readiness)",IF(AND(H45="Physical uplift",AG45&gt;Q45),"INVALID – recorded after the loading flight departed",IF(AG45&gt;Q45,"COMPLETE – LATE","COMPLETE"))))))))))))))))))))))))),IF(TRIM(U45)="Fail","FAIL – DISCREPANCY",IF(AND(TRIM(U45)&lt;&gt;"",TRIM(U45)&lt;&gt;"Not started",TRIM(U45)&lt;&gt;"In progress"),"INVALID – unrecognised status (use the list)",IF(AsOfUTC&gt;Q45,"OVERDUE",IF(N45="Clarification required","OPEN – CLARIFICATION","OPEN"))))))),"INVALID – error value in an input cell")</f>
        <v>OPEN</v>
      </c>
      <c r="AI45" s="61" t="n">
        <f aca="false">IF(OR(AH45="N/A – RULE",AH45="N/A – JUSTIFIED"),0,1)</f>
        <v>1</v>
      </c>
      <c r="AJ45" s="61" t="n">
        <f aca="false">IF(LEFT(AH45,8)="COMPLETE",1,0)</f>
        <v>0</v>
      </c>
      <c r="AK45" s="61" t="n">
        <f aca="false">IF(AND(AI45=1,AJ45=0,AsOfUTC&gt;Q45),1,0)</f>
        <v>0</v>
      </c>
      <c r="AL45" s="61" t="n">
        <f aca="false">IFERROR(IF(AND(AI45=1,OR(TRIM(U45)="Fail",AND(TRIM(AB45)&lt;&gt;"",TRIM(AB45)&lt;&gt;"Closed"),AND(ISNUMBER(AF45),AF45&lt;&gt;0,TRIM(U45)&lt;&gt;"Pass after CA"))),1,0),1)</f>
        <v>0</v>
      </c>
      <c r="AM45" s="61" t="n">
        <f aca="false">IF(LEFT(AH45,7)="INVALID",1,0)</f>
        <v>0</v>
      </c>
      <c r="AN45" s="61" t="n">
        <f aca="false">IF(AND(N45="Clarification required",AI45=1,AJ45=0),1,0)</f>
        <v>0</v>
      </c>
      <c r="AO45" s="61" t="str">
        <f aca="false">IF(AK45=1,SUM(AK$5:AK45),"")</f>
        <v/>
      </c>
      <c r="AP45" s="61" t="str">
        <f aca="false">IF(AL45=1,SUM(AL$5:AL45),"")</f>
        <v/>
      </c>
      <c r="AQ45" s="61" t="n">
        <v>0</v>
      </c>
      <c r="AR45" s="61" t="n">
        <v>1</v>
      </c>
      <c r="AS45" s="61" t="n">
        <v>0</v>
      </c>
      <c r="AT45" s="61" t="n">
        <v>0</v>
      </c>
      <c r="AU45" s="61" t="str">
        <f aca="false">SUBSTITUTE(SUBSTITUTE(SUBSTITUTE(SUBSTITUTE(SUBSTITUTE(SUBSTITUTE(SUBSTITUTE(SUBSTITUTE(SUBSTITUTE(SUBSTITUTE(SUBSTITUTE(SUBSTITUTE(SUBSTITUTE(SUBSTITUTE(SUBSTITUTE(SUBSTITUTE(LOWER(T45&amp;""),CHAR(10),""),CHAR(13),""),CHAR(9),""),CHAR(160),"")," ",""),".",""),"-",""),"/",""),"?",""),"_",""),",",""),"[",""),"]",""),"(",""),")",""),"*","")</f>
        <v/>
      </c>
      <c r="AV45" s="61" t="str">
        <f aca="false">SUBSTITUTE(SUBSTITUTE(SUBSTITUTE(SUBSTITUTE(SUBSTITUTE(SUBSTITUTE(SUBSTITUTE(SUBSTITUTE(SUBSTITUTE(SUBSTITUTE(SUBSTITUTE(SUBSTITUTE(SUBSTITUTE(SUBSTITUTE(SUBSTITUTE(SUBSTITUTE(LOWER(V45&amp;""),CHAR(10),""),CHAR(13),""),CHAR(9),""),CHAR(160),"")," ",""),".",""),"-",""),"/",""),"?",""),"_",""),",",""),"[",""),"]",""),"(",""),")",""),"*","")</f>
        <v/>
      </c>
      <c r="AW45" s="61" t="str">
        <f aca="false">SUBSTITUTE(SUBSTITUTE(SUBSTITUTE(SUBSTITUTE(SUBSTITUTE(SUBSTITUTE(SUBSTITUTE(SUBSTITUTE(SUBSTITUTE(SUBSTITUTE(SUBSTITUTE(SUBSTITUTE(SUBSTITUTE(SUBSTITUTE(SUBSTITUTE(SUBSTITUTE(LOWER(Z45&amp;""),CHAR(10),""),CHAR(13),""),CHAR(9),""),CHAR(160),"")," ",""),".",""),"-",""),"/",""),"?",""),"_",""),",",""),"[",""),"]",""),"(",""),")",""),"*","")</f>
        <v/>
      </c>
      <c r="AX45" s="61" t="str">
        <f aca="false">SUBSTITUTE(SUBSTITUTE(SUBSTITUTE(SUBSTITUTE(SUBSTITUTE(SUBSTITUTE(SUBSTITUTE(SUBSTITUTE(SUBSTITUTE(SUBSTITUTE(SUBSTITUTE(SUBSTITUTE(SUBSTITUTE(SUBSTITUTE(SUBSTITUTE(SUBSTITUTE(LOWER(AE45&amp;""),CHAR(10),""),CHAR(13),""),CHAR(9),""),CHAR(160),"")," ",""),".",""),"-",""),"/",""),"?",""),"_",""),",",""),"[",""),"]",""),"(",""),")",""),"*","")</f>
        <v/>
      </c>
      <c r="AY45" s="61" t="str">
        <f aca="false">SUBSTITUTE(SUBSTITUTE(SUBSTITUTE(SUBSTITUTE(SUBSTITUTE(SUBSTITUTE(SUBSTITUTE(SUBSTITUTE(SUBSTITUTE(SUBSTITUTE(SUBSTITUTE(SUBSTITUTE(SUBSTITUTE(SUBSTITUTE(SUBSTITUTE(SUBSTITUTE(LOWER(W45&amp;""),CHAR(10),""),CHAR(13),""),CHAR(9),""),CHAR(160),"")," ",""),".",""),"-",""),"/",""),"?",""),"_",""),",",""),"[",""),"]",""),"(",""),")",""),"*","")</f>
        <v/>
      </c>
      <c r="AZ45" s="61" t="str">
        <f aca="false">SUBSTITUTE(SUBSTITUTE(SUBSTITUTE(SUBSTITUTE(SUBSTITUTE(SUBSTITUTE(SUBSTITUTE(SUBSTITUTE(SUBSTITUTE(SUBSTITUTE(SUBSTITUTE(SUBSTITUTE(SUBSTITUTE(SUBSTITUTE(SUBSTITUTE(SUBSTITUTE(LOWER(AC45&amp;""),CHAR(10),""),CHAR(13),""),CHAR(9),""),CHAR(160),"")," ",""),".",""),"-",""),"/",""),"?",""),"_",""),",",""),"[",""),"]",""),"(",""),")",""),"*","")</f>
        <v/>
      </c>
      <c r="BA45" s="61" t="str">
        <f aca="false">SUBSTITUTE(SUBSTITUTE(SUBSTITUTE(SUBSTITUTE(SUBSTITUTE(SUBSTITUTE(SUBSTITUTE(SUBSTITUTE(SUBSTITUTE(SUBSTITUTE(SUBSTITUTE(SUBSTITUTE(SUBSTITUTE(SUBSTITUTE(SUBSTITUTE(SUBSTITUTE(LOWER(AA45&amp;""),CHAR(10),""),CHAR(13),""),CHAR(9),""),CHAR(160),"")," ",""),".",""),"-",""),"/",""),"?",""),"_",""),",",""),"[",""),"]",""),"(",""),")",""),"*","")</f>
        <v/>
      </c>
      <c r="BB45" s="61" t="str">
        <f aca="false">IF(AND(TRIM(U45)="Pass",ISNUMBER(AF45)),IF(AF45&lt;&gt;0,"INVALID – qty variance: use Fail or Pass after CA",""),"")&amp;IF(AND(TRIM(U45)="Pass after CA",ISNUMBER(AF45)),IF(AF45&lt;&gt;0,"INVALID – after the corrective action the actual qty must equal expected (update Actual)",""),"")&amp;IF(AND(TRIM(U45)="Pass",TRIM(AB45)&lt;&gt;"",TRIM(AB45)&lt;&gt;"Closed"),"INVALID – corrective action not closed: use Fail, then Pass after CA","")&amp;IF(AND(LEN(BA45)&gt;=2,ISNA(MATCH(LEFT(BA45,255),L_Placeholder,0)),TRIM(AB45)=""),"INVALID – CA status missing for the recorded corrective action","")&amp;IF(AND(TRIM(U45)="Pass after CA",OR(OR(LEN(BA45)&lt;5,ISNUMBER(MATCH(BA45,L_Placeholder,0))),TRIM(AB45)&lt;&gt;"Closed")),"INVALID – corrective action not recorded/closed","")</f>
        <v/>
      </c>
      <c r="BC45" s="61" t="str">
        <f aca="false">" "&amp;TRIM(SUBSTITUTE(SUBSTITUTE(SUBSTITUTE(SUBSTITUTE(SUBSTITUTE(SUBSTITUTE(SUBSTITUTE(SUBSTITUTE(SUBSTITUTE(SUBSTITUTE(SUBSTITUTE(SUBSTITUTE(SUBSTITUTE(SUBSTITUTE(SUBSTITUTE(SUBSTITUTE(SUBSTITUTE(SUBSTITUTE(SUBSTITUTE(SUBSTITUTE(SUBSTITUTE(SUBSTITUTE(SUBSTITUTE(SUBSTITUTE(LOWER(V45&amp;""),CHAR(10)," "),CHAR(13)," "),CHAR(9)," "),CHAR(160)," "),"."," "),","," "),"-"," "),"/"," "),"("," "),")"," "),":"," "),";"," "),"_"," "),"–"," "),"?"," "),"!"," "),"*"," "),"["," "),"]"," "),"'"," "),"#"," "),"+"," "),"&amp;"," "),"\"," "))&amp;" "</f>
        <v>  </v>
      </c>
      <c r="BD45" s="61" t="str">
        <f aca="false">" "&amp;TRIM(SUBSTITUTE(SUBSTITUTE(SUBSTITUTE(SUBSTITUTE(SUBSTITUTE(SUBSTITUTE(SUBSTITUTE(SUBSTITUTE(SUBSTITUTE(SUBSTITUTE(SUBSTITUTE(SUBSTITUTE(SUBSTITUTE(SUBSTITUTE(SUBSTITUTE(SUBSTITUTE(SUBSTITUTE(SUBSTITUTE(SUBSTITUTE(SUBSTITUTE(SUBSTITUTE(SUBSTITUTE(SUBSTITUTE(SUBSTITUTE(LOWER(Z45&amp;""),CHAR(10)," "),CHAR(13)," "),CHAR(9)," "),CHAR(160)," "),"."," "),","," "),"-"," "),"/"," "),"("," "),")"," "),":"," "),";"," "),"_"," "),"–"," "),"?"," "),"!"," "),"*"," "),"["," "),"]"," "),"'"," "),"#"," "),"+"," "),"&amp;"," "),"\"," "))&amp;" "</f>
        <v>  </v>
      </c>
      <c r="BE45" s="61" t="str">
        <f aca="false">" "&amp;TRIM(SUBSTITUTE(SUBSTITUTE(SUBSTITUTE(SUBSTITUTE(SUBSTITUTE(SUBSTITUTE(SUBSTITUTE(SUBSTITUTE(SUBSTITUTE(SUBSTITUTE(SUBSTITUTE(SUBSTITUTE(SUBSTITUTE(SUBSTITUTE(SUBSTITUTE(SUBSTITUTE(SUBSTITUTE(SUBSTITUTE(SUBSTITUTE(SUBSTITUTE(SUBSTITUTE(SUBSTITUTE(SUBSTITUTE(SUBSTITUTE(LOWER(W45&amp;""),CHAR(10)," "),CHAR(13)," "),CHAR(9)," "),CHAR(160)," "),"."," "),","," "),"-"," "),"/"," "),"("," "),")"," "),":"," "),";"," "),"_"," "),"–"," "),"?"," "),"!"," "),"*"," "),"["," "),"]"," "),"'"," "),"#"," "),"+"," "),"&amp;"," "),"\"," "))&amp;" "</f>
        <v>  </v>
      </c>
      <c r="BF45" s="61" t="str">
        <f aca="false">" "&amp;TRIM(SUBSTITUTE(SUBSTITUTE(SUBSTITUTE(SUBSTITUTE(SUBSTITUTE(SUBSTITUTE(SUBSTITUTE(SUBSTITUTE(SUBSTITUTE(SUBSTITUTE(SUBSTITUTE(SUBSTITUTE(SUBSTITUTE(SUBSTITUTE(SUBSTITUTE(SUBSTITUTE(SUBSTITUTE(SUBSTITUTE(SUBSTITUTE(SUBSTITUTE(SUBSTITUTE(SUBSTITUTE(SUBSTITUTE(SUBSTITUTE(LOWER(AC45&amp;""),CHAR(10)," "),CHAR(13)," "),CHAR(9)," "),CHAR(160)," "),"."," "),","," "),"-"," "),"/"," "),"("," "),")"," "),":"," "),";"," "),"_"," "),"–"," "),"?"," "),"!"," "),"*"," "),"["," "),"]"," "),"'"," "),"#"," "),"+"," "),"&amp;"," "),"\"," "))&amp;" "</f>
        <v>  </v>
      </c>
      <c r="BG45" s="61" t="n">
        <f aca="false">IFERROR(IF(AND(TRIM(U45)="Pass",SUMPRODUCT((LEN(BC45)-LEN(SUBSTITUTE(BC45," "&amp;L_ResultBad&amp;" "," ")))/(LEN(L_ResultBad)+1))&gt;SUMPRODUCT((LEN(BC45)-LEN(SUBSTITUTE(BC45," "&amp;L_NegPhrase&amp;" "," ")))/(LEN(L_NegPhrase)+1))),1,0),0)</f>
        <v>0</v>
      </c>
      <c r="BH45" s="61" t="n">
        <f aca="false">IFERROR(IF(SUMPRODUCT((LEN(BC45)-LEN(SUBSTITUTE(BC45," "&amp;L_Pending&amp;" "," ")))/(LEN(L_Pending)+1))&gt;SUMPRODUCT((LEN(BC45)-LEN(SUBSTITUTE(BC45," "&amp;L_PendNeg&amp;" "," ")))/(LEN(L_PendNeg)+1))+SUMPRODUCT((LEN(BC45)-LEN(SUBSTITUTE(BC45," "&amp;L_PendPrep&amp;" "," ")))/(LEN(L_PendPrep)+1)),1,0),1)</f>
        <v>0</v>
      </c>
      <c r="BI45" s="61" t="n">
        <f aca="false">IFERROR(IF(SUMPRODUCT((LEN(BD45)-LEN(SUBSTITUTE(BD45," "&amp;L_PendStrict&amp;" "," ")))/(LEN(L_PendStrict)+1))&gt;SUMPRODUCT((LEN(BD45)-LEN(SUBSTITUTE(BD45," "&amp;L_PendNeg&amp;" "," ")))/(LEN(L_PendNeg)+1)),1,0),1)</f>
        <v>0</v>
      </c>
      <c r="BJ45" s="61" t="n">
        <f aca="false">IFERROR(IF(SUMPRODUCT((LEN(BE45)-LEN(SUBSTITUTE(BE45," "&amp;L_Pending&amp;" "," ")))/(LEN(L_Pending)+1))&gt;SUMPRODUCT((LEN(BE45)-LEN(SUBSTITUTE(BE45," "&amp;L_PendNeg&amp;" "," ")))/(LEN(L_PendNeg)+1))+SUMPRODUCT((LEN(BE45)-LEN(SUBSTITUTE(BE45," "&amp;L_PendPrep&amp;" "," ")))/(LEN(L_PendPrep)+1)),1,0),1)</f>
        <v>0</v>
      </c>
      <c r="BK45" s="61" t="n">
        <f aca="false">IFERROR(IF(SUMPRODUCT((LEN(BF45)-LEN(SUBSTITUTE(BF45," "&amp;L_PendStrict&amp;" "," ")))/(LEN(L_PendStrict)+1))&gt;SUMPRODUCT((LEN(BF45)-LEN(SUBSTITUTE(BF45," "&amp;L_PendNeg&amp;" "," ")))/(LEN(L_PendNeg)+1)),1,0),1)</f>
        <v>0</v>
      </c>
      <c r="BL45" s="61" t="n">
        <f aca="false">IF(ISNA(MATCH(TRIM(S45),L_EvidenceType,0)),0,BZ45)</f>
        <v>0</v>
      </c>
      <c r="BM45" s="61" t="str">
        <f aca="false">SUBSTITUTE(SUBSTITUTE(SUBSTITUTE(SUBSTITUTE(SUBSTITUTE(SUBSTITUTE(SUBSTITUTE(SUBSTITUTE(SUBSTITUTE(LOWER(Z45&amp;""),"1","0"),"2","0"),"3","0"),"4","0"),"5","0"),"6","0"),"7","0"),"8","0"),"9","0")</f>
        <v/>
      </c>
      <c r="BN45" s="61" t="str">
        <f aca="false">SUBSTITUTE(SUBSTITUTE(SUBSTITUTE(SUBSTITUTE(SUBSTITUTE(SUBSTITUTE(SUBSTITUTE(SUBSTITUTE(SUBSTITUTE(SUBSTITUTE(SUBSTITUTE(SUBSTITUTE(SUBSTITUTE(SUBSTITUTE(SUBSTITUTE(SUBSTITUTE(SUBSTITUTE(SUBSTITUTE(SUBSTITUTE(SUBSTITUTE(SUBSTITUTE(SUBSTITUTE(SUBSTITUTE(SUBSTITUTE(SUBSTITUTE(BM45,"b","a"),"c","a"),"d","a"),"e","a"),"f","a"),"g","a"),"h","a"),"i","a"),"j","a"),"k","a"),"l","a"),"m","a"),"n","a"),"o","a"),"p","a"),"q","a"),"r","a"),"s","a"),"t","a"),"u","a"),"v","a"),"w","a"),"x","a"),"y","a"),"z","a")</f>
        <v/>
      </c>
      <c r="BO45" s="61" t="str">
        <f aca="false">SUBSTITUTE(SUBSTITUTE(SUBSTITUTE(SUBSTITUTE(SUBSTITUTE(SUBSTITUTE(SUBSTITUTE(SUBSTITUTE(SUBSTITUTE(LOWER(W45&amp;""),"1","0"),"2","0"),"3","0"),"4","0"),"5","0"),"6","0"),"7","0"),"8","0"),"9","0")</f>
        <v/>
      </c>
      <c r="BP45" s="61" t="str">
        <f aca="false">SUBSTITUTE(SUBSTITUTE(SUBSTITUTE(SUBSTITUTE(SUBSTITUTE(SUBSTITUTE(SUBSTITUTE(SUBSTITUTE(SUBSTITUTE(SUBSTITUTE(SUBSTITUTE(SUBSTITUTE(SUBSTITUTE(SUBSTITUTE(SUBSTITUTE(SUBSTITUTE(SUBSTITUTE(SUBSTITUTE(SUBSTITUTE(SUBSTITUTE(SUBSTITUTE(SUBSTITUTE(SUBSTITUTE(SUBSTITUTE(SUBSTITUTE(BO45,"b","a"),"c","a"),"d","a"),"e","a"),"f","a"),"g","a"),"h","a"),"i","a"),"j","a"),"k","a"),"l","a"),"m","a"),"n","a"),"o","a"),"p","a"),"q","a"),"r","a"),"s","a"),"t","a"),"u","a"),"v","a"),"w","a"),"x","a"),"y","a"),"z","a")</f>
        <v/>
      </c>
      <c r="BQ45" s="61" t="n">
        <f aca="false">IFERROR(IF(AND(ISERROR(SEARCH(" mh"," "&amp;LOWER(W45))),ISNA(MATCH(LEFT(TRIM(BP45),255),{"0000a","000a","00a","0000aa","000aa","00aa","0aa","0000aaa","000aaa","00a00","0a00","0000-0000","00:00","a00","a0","00.00.0000","00/00/0000","00-00-0000","0000-00-00","0000/00/00","0000.00.00","00.00.00","00/00/00","00-00-00","0.00.0000","0/00/0000","0-00-0000"},0)),ISNA(MATCH(LEFT(TRIM(CA45),255),{"0000a","000a","00a","0000aa","000aa","00aa","0aa","0000aaa","000aaa","00a00","0a00","0000-0000","00:00","a00","a0","00.00.0000","00/00/0000","00-00-0000","0000-00-00","0000/00/00","0000.00.00","00.00.00","00/00/00","00-00-00","0.00.0000","0/00/0000","0-00-0000"},0)),LEN(CB45)&gt;=3,NOT(OR(SUBSTITUTE(CB45,"0","")="",AND(LEN(CB45)&gt;=4,CB45=REPT(LEFT(CB45),LEN(CB45))),ISNUMBER(MATCH(CB45,{"123","1234","12345","123456","1234567","12345678","0123","01234","012345","98765","987654","54321"},0)),AND(LEN(CB45)=8,LEFT(CB45,3)="202"))),OR(AND((LEN(CA45)-LEN(SUBSTITUTE(CA45,"a","")))&gt;=1,SUMPRODUCT(--ISNUMBER(SEARCH({"a0","a-0","a_0","a/0","a.0","a#0","0a","0-a","0_a","0/a"},BP45)))&gt;0),ISNUMBER(SEARCH("000000",BP45)))),1,0),0)</f>
        <v>0</v>
      </c>
      <c r="BR45" s="61" t="n">
        <f aca="false">IFERROR(LEN(SUBSTITUTE(CC45," ",""))-SUMPRODUCT((LEN(CC45)-LEN(SUBSTITUTE(CC45," "&amp;L_Role&amp;" "," ")))/(LEN(L_Role)+1)*LEN(L_Role)),0)</f>
        <v>0</v>
      </c>
      <c r="BS45" s="61" t="n">
        <f aca="false">IFERROR(LEN(SUBSTITUTE(CD45," ",""))-SUMPRODUCT((LEN(CD45)-LEN(SUBSTITUTE(CD45," "&amp;L_Role&amp;" "," ")))/(LEN(L_Role)+1)*LEN(L_Role)),0)</f>
        <v>0</v>
      </c>
      <c r="BT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revision",""),"version",""),"jan",""),"feb",""),"mar",""),"apr",""),"may",""),"jun",""),"jul",""),"aug",""),"sep",""),"oct",""),"nov",""),"dec",""),"utc",""),"gmt",""),"myt",""),"bst",""),"rev",""),"ver",""),"b","a"),"c","a"),"d","a"),"e","a"),"f","a"),"g","a"),"h","a"),"i","a"),"j","a"),"k","a"),"l","a"),"m","a"),"n","a"),"o","a"),"p","a"),"q","a"),"r","a"),"s","a"),"t","a"),"u","a"),"v","a"),"w","a"),"x","a"),"y","a"),"z","a")</f>
        <v/>
      </c>
      <c r="BU45" s="61" t="str">
        <f aca="false">SUBSTITUTE(SUBSTITUTE(SUBSTITUTE(SUBSTITUTE(SUBSTITUTE(SUBSTITUTE(SUBSTITUTE(SUBSTITUTE(SUBSTITUTE(SUBSTITUTE(LEFT(BM45,FIND("0",BM45&amp;"0")-1),"-",""),"_",""),"/",""),".",""),"#",""),"\\",""),":","")," ",""),"(",""),")","")</f>
        <v/>
      </c>
      <c r="BV45" s="61" t="n">
        <f aca="false">0</f>
        <v>0</v>
      </c>
      <c r="BW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amp;""),"a",""),"b",""),"c",""),"d",""),"e",""),"f",""),"g",""),"h",""),"i",""),"j",""),"k",""),"l",""),"m",""),"n",""),"o",""),"p",""),"q",""),"r",""),"s",""),"t",""),"u",""),"v",""),"w",""),"x",""),"y",""),"z",""),"-",""),"_",""),"/",""),".",""),"#",""),"\\",""),":","")," ",""),"(",""),")","")</f>
        <v/>
      </c>
      <c r="BX45" s="61" t="str">
        <f aca="false">SUBSTITUTE(SUBSTITUTE(SUBSTITUTE(SUBSTITUTE(SUBSTITUTE(SUBSTITUTE(SUBSTITUTE(SUBSTITUTE(SUBSTITUTE(SUBSTITUTE(SUBSTITUTE(BM45,"0",""),"-",""),"_",""),"/",""),".",""),"#",""),"\\",""),":","")," ",""),"(",""),")","")</f>
        <v/>
      </c>
      <c r="BY45" s="62" t="n">
        <f aca="false">Q45-T12EarlyH/24</f>
        <v>46303.5763888889</v>
      </c>
      <c r="BZ45" s="61" t="n">
        <f aca="false">IFERROR(IF(IF(TRIM(S45)="Link / file path",AND(LEN(TRIM(Z45))&gt;=5,SUMPRODUCT(--ISNUMBER(SEARCH({"http","www.","\\",":\",".pdf",".jpg",".jpeg",".png",".heic",".xls",".doc",".msg",".eml",".ppt",".txt",".zip"},Z45)))&gt;0),AND(ISERROR(FIND(" ",TRIM(Z45))),NOT(OR(SUMPRODUCT(--ISNUMBER(FIND({",",";","&amp;","+"},Z45)))&gt;0,SUMPRODUCT(--ISNUMBER(SEARCH({"0/aa","0\\aa"},BN45)))&gt;0)),NOT(SUMPRODUCT(--ISNUMBER(SEARCH({"http","www.","\\",":\",".pdf",".jpg",".jpeg",".png",".heic",".xls",".doc",".msg",".eml",".ppt",".txt",".zip"},Z45)))&gt;0),NOT(LOWER(TRIM(Z45))=LOWER(Flights!$F$6)),ISNA(MATCH(BU45,{"mh","rev","revision","ver","version","v","r","a","b","seat","tray","row","gate","bay","stand","page","pg","item","line","no","cart","galley","flight","flt","table","box","bag","oven","etd","eta","std","sta","atd","ata","qty","pax","x","time","tel","ph","mob","day","wk","week","utc","gmt","myt","lt"},0)),NOT(OR(ISNUMBER(MATCH(LEFT(BN45,255),{"0000a","000a","00a","0000aa","000aa","00aa","0aa","0000aaa","000aaa","00a00","0a00","0000-0000","00:00","a00","a0","00.00.0000","00/00/0000","00-00-0000","0000-00-00","0000/00/00","0000.00.00","00.00.00","00/00/00","00-00-00","0.00.0000","0/00/0000","0-00-0000"},0)),ISNUMBER(MATCH(LEFT(BT45,255),{"0000a","000a","00a","0000aa","000aa","00aa","0aa","0000aaa","000aaa","00a00","0a00","0000-0000","00:00","a00","a0","00.00.0000","00/00/0000","00-00-0000","0000-00-00","0000/00/00","0000.00.00","00.00.00","00/00/00","00-00-00","0.00.0000","0/00/0000","0-00-0000"},0)))),NOT(OR(AND(BW45&lt;&gt;"",SUBSTITUTE(BW45,"0","")=""),AND(LEN(BW45)&gt;=4,BW45=REPT(LEFT(BW45),LEN(BW45))),ISNUMBER(MATCH(BW45,{"123","1234","12345","123456","1234567","12345678","0123","01234","012345","98765","987654","54321"},0)),ISNUMBER(MATCH(BX45,{"x","xx","xxx","xxxx","xxxxx","abc","abcd","nil","na","nan","test","tbc","tba","tbd","dummy","sample","example","eg","zz","zzz","none","null","xyz","qwe","asd","id","ref"},0)),AND(LEN(BW45)=8,BX45="",OR(LEFT(BW45,3)="202",ISNUMBER(MATCH(RIGHT(BW45,4),{"2025","2026","2027"},0)))))),OR(AND((LEN(BT45)-LEN(SUBSTITUTE(BT45,"a","")))&gt;=1,(LEN(BN45)-LEN(SUBSTITUTE(BN45,"0","")))&gt;=2,SUMPRODUCT(--ISNUMBER(SEARCH({"a0","a-0","a_0","a/0","a.0","a#0","0a","0-a","0_a","0/a"},BN45)))&gt;0),AND((LEN(BN45)-LEN(SUBSTITUTE(BN45,"a","")))=0,(LEN(BN45)-LEN(SUBSTITUTE(BN45,"0","")))&gt;=5)))),1,0),0)</f>
        <v>0</v>
      </c>
      <c r="CA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revision",""),"version",""),"jan",""),"feb",""),"mar",""),"apr",""),"may",""),"jun",""),"jul",""),"aug",""),"sep",""),"oct",""),"nov",""),"dec",""),"utc",""),"gmt",""),"myt",""),"bst",""),"rev",""),"ver",""),"b","a"),"c","a"),"d","a"),"e","a"),"f","a"),"g","a"),"h","a"),"i","a"),"j","a"),"k","a"),"l","a"),"m","a"),"n","a"),"o","a"),"p","a"),"q","a"),"r","a"),"s","a"),"t","a"),"u","a"),"v","a"),"w","a"),"x","a"),"y","a"),"z","a")</f>
        <v/>
      </c>
      <c r="CB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amp;""),"a",""),"b",""),"c",""),"d",""),"e",""),"f",""),"g",""),"h",""),"i",""),"j",""),"k",""),"l",""),"m",""),"n",""),"o",""),"p",""),"q",""),"r",""),"s",""),"t",""),"u",""),"v",""),"w",""),"x",""),"y",""),"z",""),"-",""),"_",""),"/",""),".",""),"#",""),"\\",""),":","")," ",""),"(",""),")","")</f>
        <v/>
      </c>
      <c r="CC45" s="0" t="str">
        <f aca="false">" "&amp;TRIM(SUBSTITUTE(SUBSTITUTE(SUBSTITUTE(SUBSTITUTE(SUBSTITUTE(SUBSTITUTE(SUBSTITUTE(SUBSTITUTE(SUBSTITUTE(SUBSTITUTE(SUBSTITUTE(SUBSTITUTE(SUBSTITUTE(SUBSTITUTE(SUBSTITUTE(SUBSTITUTE(SUBSTITUTE(SUBSTITUTE(SUBSTITUTE(SUBSTITUTE(SUBSTITUTE(SUBSTITUTE(SUBSTITUTE(SUBSTITUTE(LOWER(T45&amp;""),CHAR(10)," "),CHAR(13)," "),CHAR(9)," "),CHAR(160)," "),"."," "),","," "),"-"," "),"/"," "),"("," "),")"," "),":"," "),";"," "),"_"," "),"–"," "),"?"," "),"!"," "),"*"," "),"["," "),"]"," "),"'"," "),"#"," "),"+"," "),"&amp;"," "),"\"," "))&amp;" "</f>
        <v>  </v>
      </c>
      <c r="CD45" s="0" t="str">
        <f aca="false">" "&amp;TRIM(SUBSTITUTE(SUBSTITUTE(SUBSTITUTE(SUBSTITUTE(SUBSTITUTE(SUBSTITUTE(SUBSTITUTE(SUBSTITUTE(SUBSTITUTE(SUBSTITUTE(SUBSTITUTE(SUBSTITUTE(SUBSTITUTE(SUBSTITUTE(SUBSTITUTE(SUBSTITUTE(SUBSTITUTE(SUBSTITUTE(SUBSTITUTE(SUBSTITUTE(SUBSTITUTE(SUBSTITUTE(SUBSTITUTE(SUBSTITUTE(LOWER(AE45&amp;""),CHAR(10)," "),CHAR(13)," "),CHAR(9)," "),CHAR(160)," "),"."," "),","," "),"-"," "),"/"," "),"("," "),")"," "),":"," "),";"," "),"_"," "),"–"," "),"?"," "),"!"," "),"*"," "),"["," "),"]"," "),"'"," "),"#"," "),"+"," "),"&amp;"," "),"\"," "))&amp;" "</f>
        <v>  </v>
      </c>
      <c r="CE45" s="68" t="n">
        <f aca="false">IFERROR(IF(AND(LEN(AU45)&gt;0,LEN(AU45)=LEN(AX45),OR(TRIM(MID(SUBSTITUTE(TRIM(CC45)," ",REPT(" ",60)),1,60))="",ISNUMBER(SEARCH(" "&amp;TRIM(MID(SUBSTITUTE(TRIM(CC45)," ",REPT(" ",60)),1,60))&amp;" ",CD45))),OR(TRIM(MID(SUBSTITUTE(TRIM(CC45)," ",REPT(" ",60)),61,60))="",ISNUMBER(SEARCH(" "&amp;TRIM(MID(SUBSTITUTE(TRIM(CC45)," ",REPT(" ",60)),61,60))&amp;" ",CD45))),OR(TRIM(MID(SUBSTITUTE(TRIM(CC45)," ",REPT(" ",60)),121,60))="",ISNUMBER(SEARCH(" "&amp;TRIM(MID(SUBSTITUTE(TRIM(CC45)," ",REPT(" ",60)),121,60))&amp;" ",CD45)))),1,0),0)</f>
        <v>0</v>
      </c>
      <c r="CG45" s="68" t="n">
        <f aca="false">IFERROR(LEN(SUBSTITUTE(BF45," ",""))-SUMPRODUCT((LEN(BF45)-LEN(SUBSTITUTE(BF45," "&amp;L_NAFiller&amp;" "," ")))/(LEN(L_NAFiller)+1)*LEN(L_NAFiller)),0)</f>
        <v>0</v>
      </c>
    </row>
    <row r="46" customFormat="false" ht="39.75" hidden="false" customHeight="true" outlineLevel="0" collapsed="false">
      <c r="A46" s="57" t="s">
        <v>492</v>
      </c>
      <c r="B46" s="57" t="s">
        <v>198</v>
      </c>
      <c r="C46" s="57" t="str">
        <f aca="false">Flights!$F$6</f>
        <v>MH0727</v>
      </c>
      <c r="D46" s="58" t="n">
        <f aca="false">Flights!$D$6</f>
        <v>46304</v>
      </c>
      <c r="E46" s="57" t="str">
        <f aca="false">Flights!$G$6&amp;"-"&amp;Flights!$H$6</f>
        <v>KUL-CGK</v>
      </c>
      <c r="F46" s="57" t="str">
        <f aca="false">Flights!$K$6</f>
        <v>BC</v>
      </c>
      <c r="G46" s="57" t="s">
        <v>420</v>
      </c>
      <c r="H46" s="57" t="s">
        <v>378</v>
      </c>
      <c r="I46" s="57" t="s">
        <v>428</v>
      </c>
      <c r="J46" s="57" t="s">
        <v>438</v>
      </c>
      <c r="K46" s="67"/>
      <c r="L46" s="67" t="s">
        <v>422</v>
      </c>
      <c r="M46" s="67"/>
      <c r="N46" s="67" t="s">
        <v>383</v>
      </c>
      <c r="O46" s="67" t="s">
        <v>423</v>
      </c>
      <c r="P46" s="57" t="s">
        <v>187</v>
      </c>
      <c r="Q46" s="59" t="n">
        <f aca="false">ROUND((Flights!$AE$6)*1440,0)/1440</f>
        <v>46304.0763888889</v>
      </c>
      <c r="R46" s="59" t="n">
        <f aca="false">Q46+(IF(AND(INDEX(TZ_DSTS,MATCH(P46,TZ_STN,0))&lt;&gt;"",Q46&gt;=INDEX(TZ_DSTS,MATCH(P46,TZ_STN,0)),Q46&lt;INDEX(TZ_DSTE,MATCH(P46,TZ_STN,0))),INDEX(TZ_DST,MATCH(P46,TZ_STN,0)),INDEX(TZ_STD,MATCH(P46,TZ_STN,0))))/24</f>
        <v>46304.4097222222</v>
      </c>
      <c r="S46" s="60"/>
      <c r="T46" s="60"/>
      <c r="U46" s="60"/>
      <c r="V46" s="60"/>
      <c r="W46" s="61"/>
      <c r="X46" s="60"/>
      <c r="Y46" s="60"/>
      <c r="Z46" s="60"/>
      <c r="AA46" s="60"/>
      <c r="AB46" s="60"/>
      <c r="AC46" s="60"/>
      <c r="AD46" s="66"/>
      <c r="AE46" s="60"/>
      <c r="AF46" s="61" t="str">
        <f aca="false">IF(AND(ISNUMBER(X46),ISNUMBER(Y46)),Y46-X46,"")</f>
        <v/>
      </c>
      <c r="AG46" s="62" t="str">
        <f aca="false">IF(ISNUMBER(AD46),AD46-(IF(AND(INDEX(TZ_DSTS,MATCH(P46,TZ_STN,0))&lt;&gt;"",(AD46-INDEX(TZ_STD,MATCH(P46,TZ_STN,0))/24)&gt;=INDEX(TZ_DSTS,MATCH(P46,TZ_STN,0)),(AD46-INDEX(TZ_STD,MATCH(P46,TZ_STN,0))/24)&lt;INDEX(TZ_DSTE,MATCH(P46,TZ_STN,0))),INDEX(TZ_DST,MATCH(P46,TZ_STN,0)),INDEX(TZ_STD,MATCH(P46,TZ_STN,0))))/24,"")</f>
        <v/>
      </c>
      <c r="AH46" s="65" t="str">
        <f aca="false">IFERROR(IF(N46="N/A – rule",IF(OR(TRIM(U46)="",TRIM(U46)="N/A",TRIM(U46)="Not started"),"N/A – RULE","INVALID – this check does not apply to this aircraft: clear the status (or correct the fleet on Flights)"),IF(TRIM(U46)="N/A",IF(AT46=0,"INVALID – N/A not permitted for this check",IF(AND(TRIM(AB46)&lt;&gt;"",TRIM(AB46)&lt;&gt;"Closed"),"INVALID – corrective action still open",IF(AND(NOT(OR(LEN(AZ46)&lt;15,ISNUMBER(MATCH(AZ46,L_Placeholder,0)))),BK46=0,CG46&gt;=8,NOT(OR(LEN(AU46)&lt;2,ISNUMBER(MATCH(AU46,L_Placeholder,0)))),BR46&gt;=3,NOT(OR(LEN(AX46)&lt;2,ISNUMBER(MATCH(AX46,L_Placeholder,0)))),BS46&gt;=3,TRIM(AE46)&lt;&gt;TRIM(T46),AX46&lt;&gt;AU46,CE46=0),"N/A – JUSTIFIED","INVALID – N/A needs a real, settled reason (not 'not applicable' / 'as above' / TBC), a named PIC and a different named verifier"))),IF(OR(TRIM(U46)="Pass",TRIM(U46)="Pass after CA"),IF(NOT(ISNUMBER(AD46)),"INVALID – completion time missing",IF(OR(OR(LEN(AU46)&lt;2,ISNUMBER(MATCH(AU46,L_Placeholder,0))),BR46&lt;3),"INVALID – PIC missing or not a named person (a role such as QA / CSM is not a name)",IF(OR(LEN(AV46)&lt;2,ISNUMBER(MATCH(AV46,L_Placeholder,0))),"INVALID – result / assessment missing",IF(OR(OR(LEN(AW46)&lt;3,ISNUMBER(MATCH(AW46,L_Placeholder,0))),SUMPRODUCT(--ISNUMBER(SEARCH(" "&amp;L_EvidencePhrase&amp;" ",BD46)))&gt;0,BI46=1),"INVALID – evidence missing, placeholder or not yet on file",IF(ISNA(MATCH(TRIM(S46),L_EvidenceType,0)),"INVALID – choose the evidence type from the list (column S)",IF(BL46=0,"INVALID – evidence ID must be the record's own ID only (e.g. SF-2210, IMG_2231, 1045521); a link / file name needs type 'Link / file path'",IF(OR(OR(LEN(AX46)&lt;2,ISNUMBER(MATCH(AX46,L_Placeholder,0))),BS46&lt;3),"INVALID – verifier missing or not a named person (a role such as QA / CSM is not a name)",IF(OR(AX46=AU46,CE46=1,AND(LEN(AU46)&gt;=4,ISNUMBER(SEARCH(AU46,AX46))),AND(LEN(AX46)&gt;=4,ISNUMBER(SEARCH(AX46,AU46)))),"INVALID – verifier must be a different, named person (not the PIC or a role)",IF(BH46=1,"INVALID – result not yet available (awaiting / TBC)",IF(BG46=1,"INVALID – result describes a problem: record Fail, then Pass after CA (or reword if it is not a problem)",IF(BV46=1,"INVALID – wording says not on board: an on-board confirmation needs the item loaded",IF(AND(AQ46=1,OR(OR(LEN(AY46)&lt;3,ISNUMBER(MATCH(AY46,L_Placeholder,0))),BJ46=1,BQ46=0)),"INVALID – batch ID missing, placeholder or not an ID (e.g. PASB-261008-BC-017)",IF(AND(AR46=1,OR(NOT(ISNUMBER(X46)),NOT(ISNUMBER(Y46)))),"INVALID – expected/actual qty missing",IF(AND(AR46=1,OR(X46&lt;=0,Y46&lt;0)),"INVALID – expected qty must be above 0 and actual not negative",IF(BB46&lt;&gt;"",BB46,IF(AND(AS46=1,Documents!$J$6&lt;&gt;"ON FILE"),"INVALID – GLD not on file (Documents sheet)",IF(AND(AS46=2,Documents!$O$6&lt;&gt;"ON FILE"),"INVALID – menu checklist not on file (Documents sheet)",IF(AND(AS46=3,NOT(ISNUMBER(Flights!$AX$6))),"INVALID – enter carrying flight KUL departure (Flights AX)",IF(AND(AS46=3,OR(Flights!$AZ$6&gt;Flights!$AA$6,Flights!$AX$6&lt;Flights!$AA$6-3)),"INVALID – carrying flight (Flights AX) cannot arrive before this leg's STD, or is over 3 days early",IF(AG46&gt;AsOfUTC,"INVALID – completion time is in the future",IF(AND(ISNUMBER(BY46),AG46&lt;BY46),IF(H46="Physical uplift","INVALID – before uplift window (cannot confirm loading)","INVALID – before valid window"),IF(AG46&gt;Flights!$AA$6,"INVALID – completed after departure (cannot establish readiness)",IF(AND(H46="Preparation",AG46&gt;=IF(ISNUMBER(Flights!$BA$6),MIN(Flights!$BA$6,Flights!$AA$6),Flights!$AA$6)),"INVALID – completed after loading / departure (cannot establish readiness)",IF(AND(H46="Physical uplift",AG46&gt;Q46),"INVALID – recorded after the loading flight departed",IF(AG46&gt;Q46,"COMPLETE – LATE","COMPLETE"))))))))))))))))))))))))),IF(TRIM(U46)="Fail","FAIL – DISCREPANCY",IF(AND(TRIM(U46)&lt;&gt;"",TRIM(U46)&lt;&gt;"Not started",TRIM(U46)&lt;&gt;"In progress"),"INVALID – unrecognised status (use the list)",IF(AsOfUTC&gt;Q46,"OVERDUE",IF(N46="Clarification required","OPEN – CLARIFICATION","OPEN"))))))),"INVALID – error value in an input cell")</f>
        <v>OPEN</v>
      </c>
      <c r="AI46" s="61" t="n">
        <f aca="false">IF(OR(AH46="N/A – RULE",AH46="N/A – JUSTIFIED"),0,1)</f>
        <v>1</v>
      </c>
      <c r="AJ46" s="61" t="n">
        <f aca="false">IF(LEFT(AH46,8)="COMPLETE",1,0)</f>
        <v>0</v>
      </c>
      <c r="AK46" s="61" t="n">
        <f aca="false">IF(AND(AI46=1,AJ46=0,AsOfUTC&gt;Q46),1,0)</f>
        <v>0</v>
      </c>
      <c r="AL46" s="61" t="n">
        <f aca="false">IFERROR(IF(AND(AI46=1,OR(TRIM(U46)="Fail",AND(TRIM(AB46)&lt;&gt;"",TRIM(AB46)&lt;&gt;"Closed"),AND(ISNUMBER(AF46),AF46&lt;&gt;0,TRIM(U46)&lt;&gt;"Pass after CA"))),1,0),1)</f>
        <v>0</v>
      </c>
      <c r="AM46" s="61" t="n">
        <f aca="false">IF(LEFT(AH46,7)="INVALID",1,0)</f>
        <v>0</v>
      </c>
      <c r="AN46" s="61" t="n">
        <f aca="false">IF(AND(N46="Clarification required",AI46=1,AJ46=0),1,0)</f>
        <v>0</v>
      </c>
      <c r="AO46" s="61" t="str">
        <f aca="false">IF(AK46=1,SUM(AK$5:AK46),"")</f>
        <v/>
      </c>
      <c r="AP46" s="61" t="str">
        <f aca="false">IF(AL46=1,SUM(AL$5:AL46),"")</f>
        <v/>
      </c>
      <c r="AQ46" s="61" t="n">
        <v>0</v>
      </c>
      <c r="AR46" s="61" t="n">
        <v>0</v>
      </c>
      <c r="AS46" s="61" t="n">
        <v>0</v>
      </c>
      <c r="AT46" s="61" t="n">
        <v>0</v>
      </c>
      <c r="AU46" s="61" t="str">
        <f aca="false">SUBSTITUTE(SUBSTITUTE(SUBSTITUTE(SUBSTITUTE(SUBSTITUTE(SUBSTITUTE(SUBSTITUTE(SUBSTITUTE(SUBSTITUTE(SUBSTITUTE(SUBSTITUTE(SUBSTITUTE(SUBSTITUTE(SUBSTITUTE(SUBSTITUTE(SUBSTITUTE(LOWER(T46&amp;""),CHAR(10),""),CHAR(13),""),CHAR(9),""),CHAR(160),"")," ",""),".",""),"-",""),"/",""),"?",""),"_",""),",",""),"[",""),"]",""),"(",""),")",""),"*","")</f>
        <v/>
      </c>
      <c r="AV46" s="61" t="str">
        <f aca="false">SUBSTITUTE(SUBSTITUTE(SUBSTITUTE(SUBSTITUTE(SUBSTITUTE(SUBSTITUTE(SUBSTITUTE(SUBSTITUTE(SUBSTITUTE(SUBSTITUTE(SUBSTITUTE(SUBSTITUTE(SUBSTITUTE(SUBSTITUTE(SUBSTITUTE(SUBSTITUTE(LOWER(V46&amp;""),CHAR(10),""),CHAR(13),""),CHAR(9),""),CHAR(160),"")," ",""),".",""),"-",""),"/",""),"?",""),"_",""),",",""),"[",""),"]",""),"(",""),")",""),"*","")</f>
        <v/>
      </c>
      <c r="AW46" s="61" t="str">
        <f aca="false">SUBSTITUTE(SUBSTITUTE(SUBSTITUTE(SUBSTITUTE(SUBSTITUTE(SUBSTITUTE(SUBSTITUTE(SUBSTITUTE(SUBSTITUTE(SUBSTITUTE(SUBSTITUTE(SUBSTITUTE(SUBSTITUTE(SUBSTITUTE(SUBSTITUTE(SUBSTITUTE(LOWER(Z46&amp;""),CHAR(10),""),CHAR(13),""),CHAR(9),""),CHAR(160),"")," ",""),".",""),"-",""),"/",""),"?",""),"_",""),",",""),"[",""),"]",""),"(",""),")",""),"*","")</f>
        <v/>
      </c>
      <c r="AX46" s="61" t="str">
        <f aca="false">SUBSTITUTE(SUBSTITUTE(SUBSTITUTE(SUBSTITUTE(SUBSTITUTE(SUBSTITUTE(SUBSTITUTE(SUBSTITUTE(SUBSTITUTE(SUBSTITUTE(SUBSTITUTE(SUBSTITUTE(SUBSTITUTE(SUBSTITUTE(SUBSTITUTE(SUBSTITUTE(LOWER(AE46&amp;""),CHAR(10),""),CHAR(13),""),CHAR(9),""),CHAR(160),"")," ",""),".",""),"-",""),"/",""),"?",""),"_",""),",",""),"[",""),"]",""),"(",""),")",""),"*","")</f>
        <v/>
      </c>
      <c r="AY46" s="61" t="str">
        <f aca="false">SUBSTITUTE(SUBSTITUTE(SUBSTITUTE(SUBSTITUTE(SUBSTITUTE(SUBSTITUTE(SUBSTITUTE(SUBSTITUTE(SUBSTITUTE(SUBSTITUTE(SUBSTITUTE(SUBSTITUTE(SUBSTITUTE(SUBSTITUTE(SUBSTITUTE(SUBSTITUTE(LOWER(W46&amp;""),CHAR(10),""),CHAR(13),""),CHAR(9),""),CHAR(160),"")," ",""),".",""),"-",""),"/",""),"?",""),"_",""),",",""),"[",""),"]",""),"(",""),")",""),"*","")</f>
        <v/>
      </c>
      <c r="AZ46" s="61" t="str">
        <f aca="false">SUBSTITUTE(SUBSTITUTE(SUBSTITUTE(SUBSTITUTE(SUBSTITUTE(SUBSTITUTE(SUBSTITUTE(SUBSTITUTE(SUBSTITUTE(SUBSTITUTE(SUBSTITUTE(SUBSTITUTE(SUBSTITUTE(SUBSTITUTE(SUBSTITUTE(SUBSTITUTE(LOWER(AC46&amp;""),CHAR(10),""),CHAR(13),""),CHAR(9),""),CHAR(160),"")," ",""),".",""),"-",""),"/",""),"?",""),"_",""),",",""),"[",""),"]",""),"(",""),")",""),"*","")</f>
        <v/>
      </c>
      <c r="BA46" s="61" t="str">
        <f aca="false">SUBSTITUTE(SUBSTITUTE(SUBSTITUTE(SUBSTITUTE(SUBSTITUTE(SUBSTITUTE(SUBSTITUTE(SUBSTITUTE(SUBSTITUTE(SUBSTITUTE(SUBSTITUTE(SUBSTITUTE(SUBSTITUTE(SUBSTITUTE(SUBSTITUTE(SUBSTITUTE(LOWER(AA46&amp;""),CHAR(10),""),CHAR(13),""),CHAR(9),""),CHAR(160),"")," ",""),".",""),"-",""),"/",""),"?",""),"_",""),",",""),"[",""),"]",""),"(",""),")",""),"*","")</f>
        <v/>
      </c>
      <c r="BB46" s="61" t="str">
        <f aca="false">IF(AND(TRIM(U46)="Pass",ISNUMBER(AF46)),IF(AF46&lt;&gt;0,"INVALID – qty variance: use Fail or Pass after CA",""),"")&amp;IF(AND(TRIM(U46)="Pass after CA",ISNUMBER(AF46)),IF(AF46&lt;&gt;0,"INVALID – after the corrective action the actual qty must equal expected (update Actual)",""),"")&amp;IF(AND(TRIM(U46)="Pass",TRIM(AB46)&lt;&gt;"",TRIM(AB46)&lt;&gt;"Closed"),"INVALID – corrective action not closed: use Fail, then Pass after CA","")&amp;IF(AND(LEN(BA46)&gt;=2,ISNA(MATCH(LEFT(BA46,255),L_Placeholder,0)),TRIM(AB46)=""),"INVALID – CA status missing for the recorded corrective action","")&amp;IF(AND(TRIM(U46)="Pass after CA",OR(OR(LEN(BA46)&lt;5,ISNUMBER(MATCH(BA46,L_Placeholder,0))),TRIM(AB46)&lt;&gt;"Closed")),"INVALID – corrective action not recorded/closed","")</f>
        <v/>
      </c>
      <c r="BC46" s="61" t="str">
        <f aca="false">" "&amp;TRIM(SUBSTITUTE(SUBSTITUTE(SUBSTITUTE(SUBSTITUTE(SUBSTITUTE(SUBSTITUTE(SUBSTITUTE(SUBSTITUTE(SUBSTITUTE(SUBSTITUTE(SUBSTITUTE(SUBSTITUTE(SUBSTITUTE(SUBSTITUTE(SUBSTITUTE(SUBSTITUTE(SUBSTITUTE(SUBSTITUTE(SUBSTITUTE(SUBSTITUTE(SUBSTITUTE(SUBSTITUTE(SUBSTITUTE(SUBSTITUTE(LOWER(V46&amp;""),CHAR(10)," "),CHAR(13)," "),CHAR(9)," "),CHAR(160)," "),"."," "),","," "),"-"," "),"/"," "),"("," "),")"," "),":"," "),";"," "),"_"," "),"–"," "),"?"," "),"!"," "),"*"," "),"["," "),"]"," "),"'"," "),"#"," "),"+"," "),"&amp;"," "),"\"," "))&amp;" "</f>
        <v>  </v>
      </c>
      <c r="BD46" s="61" t="str">
        <f aca="false">" "&amp;TRIM(SUBSTITUTE(SUBSTITUTE(SUBSTITUTE(SUBSTITUTE(SUBSTITUTE(SUBSTITUTE(SUBSTITUTE(SUBSTITUTE(SUBSTITUTE(SUBSTITUTE(SUBSTITUTE(SUBSTITUTE(SUBSTITUTE(SUBSTITUTE(SUBSTITUTE(SUBSTITUTE(SUBSTITUTE(SUBSTITUTE(SUBSTITUTE(SUBSTITUTE(SUBSTITUTE(SUBSTITUTE(SUBSTITUTE(SUBSTITUTE(LOWER(Z46&amp;""),CHAR(10)," "),CHAR(13)," "),CHAR(9)," "),CHAR(160)," "),"."," "),","," "),"-"," "),"/"," "),"("," "),")"," "),":"," "),";"," "),"_"," "),"–"," "),"?"," "),"!"," "),"*"," "),"["," "),"]"," "),"'"," "),"#"," "),"+"," "),"&amp;"," "),"\"," "))&amp;" "</f>
        <v>  </v>
      </c>
      <c r="BE46" s="61" t="str">
        <f aca="false">" "&amp;TRIM(SUBSTITUTE(SUBSTITUTE(SUBSTITUTE(SUBSTITUTE(SUBSTITUTE(SUBSTITUTE(SUBSTITUTE(SUBSTITUTE(SUBSTITUTE(SUBSTITUTE(SUBSTITUTE(SUBSTITUTE(SUBSTITUTE(SUBSTITUTE(SUBSTITUTE(SUBSTITUTE(SUBSTITUTE(SUBSTITUTE(SUBSTITUTE(SUBSTITUTE(SUBSTITUTE(SUBSTITUTE(SUBSTITUTE(SUBSTITUTE(LOWER(W46&amp;""),CHAR(10)," "),CHAR(13)," "),CHAR(9)," "),CHAR(160)," "),"."," "),","," "),"-"," "),"/"," "),"("," "),")"," "),":"," "),";"," "),"_"," "),"–"," "),"?"," "),"!"," "),"*"," "),"["," "),"]"," "),"'"," "),"#"," "),"+"," "),"&amp;"," "),"\"," "))&amp;" "</f>
        <v>  </v>
      </c>
      <c r="BF46" s="61" t="str">
        <f aca="false">" "&amp;TRIM(SUBSTITUTE(SUBSTITUTE(SUBSTITUTE(SUBSTITUTE(SUBSTITUTE(SUBSTITUTE(SUBSTITUTE(SUBSTITUTE(SUBSTITUTE(SUBSTITUTE(SUBSTITUTE(SUBSTITUTE(SUBSTITUTE(SUBSTITUTE(SUBSTITUTE(SUBSTITUTE(SUBSTITUTE(SUBSTITUTE(SUBSTITUTE(SUBSTITUTE(SUBSTITUTE(SUBSTITUTE(SUBSTITUTE(SUBSTITUTE(LOWER(AC46&amp;""),CHAR(10)," "),CHAR(13)," "),CHAR(9)," "),CHAR(160)," "),"."," "),","," "),"-"," "),"/"," "),"("," "),")"," "),":"," "),";"," "),"_"," "),"–"," "),"?"," "),"!"," "),"*"," "),"["," "),"]"," "),"'"," "),"#"," "),"+"," "),"&amp;"," "),"\"," "))&amp;" "</f>
        <v>  </v>
      </c>
      <c r="BG46" s="61" t="n">
        <f aca="false">IFERROR(IF(AND(TRIM(U46)="Pass",SUMPRODUCT((LEN(BC46)-LEN(SUBSTITUTE(BC46," "&amp;L_ResultBad&amp;" "," ")))/(LEN(L_ResultBad)+1))&gt;SUMPRODUCT((LEN(BC46)-LEN(SUBSTITUTE(BC46," "&amp;L_NegPhrase&amp;" "," ")))/(LEN(L_NegPhrase)+1))),1,0),0)</f>
        <v>0</v>
      </c>
      <c r="BH46" s="61" t="n">
        <f aca="false">IFERROR(IF(SUMPRODUCT((LEN(BC46)-LEN(SUBSTITUTE(BC46," "&amp;L_Pending&amp;" "," ")))/(LEN(L_Pending)+1))&gt;SUMPRODUCT((LEN(BC46)-LEN(SUBSTITUTE(BC46," "&amp;L_PendNeg&amp;" "," ")))/(LEN(L_PendNeg)+1))+SUMPRODUCT((LEN(BC46)-LEN(SUBSTITUTE(BC46," "&amp;L_PendPrep&amp;" "," ")))/(LEN(L_PendPrep)+1)),1,0),1)</f>
        <v>0</v>
      </c>
      <c r="BI46" s="61" t="n">
        <f aca="false">IFERROR(IF(SUMPRODUCT((LEN(BD46)-LEN(SUBSTITUTE(BD46," "&amp;L_PendStrict&amp;" "," ")))/(LEN(L_PendStrict)+1))&gt;SUMPRODUCT((LEN(BD46)-LEN(SUBSTITUTE(BD46," "&amp;L_PendNeg&amp;" "," ")))/(LEN(L_PendNeg)+1)),1,0),1)</f>
        <v>0</v>
      </c>
      <c r="BJ46" s="61" t="n">
        <f aca="false">IFERROR(IF(SUMPRODUCT((LEN(BE46)-LEN(SUBSTITUTE(BE46," "&amp;L_Pending&amp;" "," ")))/(LEN(L_Pending)+1))&gt;SUMPRODUCT((LEN(BE46)-LEN(SUBSTITUTE(BE46," "&amp;L_PendNeg&amp;" "," ")))/(LEN(L_PendNeg)+1))+SUMPRODUCT((LEN(BE46)-LEN(SUBSTITUTE(BE46," "&amp;L_PendPrep&amp;" "," ")))/(LEN(L_PendPrep)+1)),1,0),1)</f>
        <v>0</v>
      </c>
      <c r="BK46" s="61" t="n">
        <f aca="false">IFERROR(IF(SUMPRODUCT((LEN(BF46)-LEN(SUBSTITUTE(BF46," "&amp;L_PendStrict&amp;" "," ")))/(LEN(L_PendStrict)+1))&gt;SUMPRODUCT((LEN(BF46)-LEN(SUBSTITUTE(BF46," "&amp;L_PendNeg&amp;" "," ")))/(LEN(L_PendNeg)+1)),1,0),1)</f>
        <v>0</v>
      </c>
      <c r="BL46" s="61" t="n">
        <f aca="false">IF(ISNA(MATCH(TRIM(S46),L_EvidenceType,0)),0,BZ46)</f>
        <v>0</v>
      </c>
      <c r="BM46" s="61" t="str">
        <f aca="false">SUBSTITUTE(SUBSTITUTE(SUBSTITUTE(SUBSTITUTE(SUBSTITUTE(SUBSTITUTE(SUBSTITUTE(SUBSTITUTE(SUBSTITUTE(LOWER(Z46&amp;""),"1","0"),"2","0"),"3","0"),"4","0"),"5","0"),"6","0"),"7","0"),"8","0"),"9","0")</f>
        <v/>
      </c>
      <c r="BN46" s="61" t="str">
        <f aca="false">SUBSTITUTE(SUBSTITUTE(SUBSTITUTE(SUBSTITUTE(SUBSTITUTE(SUBSTITUTE(SUBSTITUTE(SUBSTITUTE(SUBSTITUTE(SUBSTITUTE(SUBSTITUTE(SUBSTITUTE(SUBSTITUTE(SUBSTITUTE(SUBSTITUTE(SUBSTITUTE(SUBSTITUTE(SUBSTITUTE(SUBSTITUTE(SUBSTITUTE(SUBSTITUTE(SUBSTITUTE(SUBSTITUTE(SUBSTITUTE(SUBSTITUTE(BM46,"b","a"),"c","a"),"d","a"),"e","a"),"f","a"),"g","a"),"h","a"),"i","a"),"j","a"),"k","a"),"l","a"),"m","a"),"n","a"),"o","a"),"p","a"),"q","a"),"r","a"),"s","a"),"t","a"),"u","a"),"v","a"),"w","a"),"x","a"),"y","a"),"z","a")</f>
        <v/>
      </c>
      <c r="BO46" s="61" t="str">
        <f aca="false">SUBSTITUTE(SUBSTITUTE(SUBSTITUTE(SUBSTITUTE(SUBSTITUTE(SUBSTITUTE(SUBSTITUTE(SUBSTITUTE(SUBSTITUTE(LOWER(W46&amp;""),"1","0"),"2","0"),"3","0"),"4","0"),"5","0"),"6","0"),"7","0"),"8","0"),"9","0")</f>
        <v/>
      </c>
      <c r="BP46" s="61" t="str">
        <f aca="false">SUBSTITUTE(SUBSTITUTE(SUBSTITUTE(SUBSTITUTE(SUBSTITUTE(SUBSTITUTE(SUBSTITUTE(SUBSTITUTE(SUBSTITUTE(SUBSTITUTE(SUBSTITUTE(SUBSTITUTE(SUBSTITUTE(SUBSTITUTE(SUBSTITUTE(SUBSTITUTE(SUBSTITUTE(SUBSTITUTE(SUBSTITUTE(SUBSTITUTE(SUBSTITUTE(SUBSTITUTE(SUBSTITUTE(SUBSTITUTE(SUBSTITUTE(BO46,"b","a"),"c","a"),"d","a"),"e","a"),"f","a"),"g","a"),"h","a"),"i","a"),"j","a"),"k","a"),"l","a"),"m","a"),"n","a"),"o","a"),"p","a"),"q","a"),"r","a"),"s","a"),"t","a"),"u","a"),"v","a"),"w","a"),"x","a"),"y","a"),"z","a")</f>
        <v/>
      </c>
      <c r="BQ46" s="61" t="n">
        <f aca="false">IFERROR(IF(AND(ISERROR(SEARCH(" mh"," "&amp;LOWER(W46))),ISNA(MATCH(LEFT(TRIM(BP46),255),{"0000a","000a","00a","0000aa","000aa","00aa","0aa","0000aaa","000aaa","00a00","0a00","0000-0000","00:00","a00","a0","00.00.0000","00/00/0000","00-00-0000","0000-00-00","0000/00/00","0000.00.00","00.00.00","00/00/00","00-00-00","0.00.0000","0/00/0000","0-00-0000"},0)),ISNA(MATCH(LEFT(TRIM(CA46),255),{"0000a","000a","00a","0000aa","000aa","00aa","0aa","0000aaa","000aaa","00a00","0a00","0000-0000","00:00","a00","a0","00.00.0000","00/00/0000","00-00-0000","0000-00-00","0000/00/00","0000.00.00","00.00.00","00/00/00","00-00-00","0.00.0000","0/00/0000","0-00-0000"},0)),LEN(CB46)&gt;=3,NOT(OR(SUBSTITUTE(CB46,"0","")="",AND(LEN(CB46)&gt;=4,CB46=REPT(LEFT(CB46),LEN(CB46))),ISNUMBER(MATCH(CB46,{"123","1234","12345","123456","1234567","12345678","0123","01234","012345","98765","987654","54321"},0)),AND(LEN(CB46)=8,LEFT(CB46,3)="202"))),OR(AND((LEN(CA46)-LEN(SUBSTITUTE(CA46,"a","")))&gt;=1,SUMPRODUCT(--ISNUMBER(SEARCH({"a0","a-0","a_0","a/0","a.0","a#0","0a","0-a","0_a","0/a"},BP46)))&gt;0),ISNUMBER(SEARCH("000000",BP46)))),1,0),0)</f>
        <v>0</v>
      </c>
      <c r="BR46" s="61" t="n">
        <f aca="false">IFERROR(LEN(SUBSTITUTE(CC46," ",""))-SUMPRODUCT((LEN(CC46)-LEN(SUBSTITUTE(CC46," "&amp;L_Role&amp;" "," ")))/(LEN(L_Role)+1)*LEN(L_Role)),0)</f>
        <v>0</v>
      </c>
      <c r="BS46" s="61" t="n">
        <f aca="false">IFERROR(LEN(SUBSTITUTE(CD46," ",""))-SUMPRODUCT((LEN(CD46)-LEN(SUBSTITUTE(CD46," "&amp;L_Role&amp;" "," ")))/(LEN(L_Role)+1)*LEN(L_Role)),0)</f>
        <v>0</v>
      </c>
      <c r="BT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revision",""),"version",""),"jan",""),"feb",""),"mar",""),"apr",""),"may",""),"jun",""),"jul",""),"aug",""),"sep",""),"oct",""),"nov",""),"dec",""),"utc",""),"gmt",""),"myt",""),"bst",""),"rev",""),"ver",""),"b","a"),"c","a"),"d","a"),"e","a"),"f","a"),"g","a"),"h","a"),"i","a"),"j","a"),"k","a"),"l","a"),"m","a"),"n","a"),"o","a"),"p","a"),"q","a"),"r","a"),"s","a"),"t","a"),"u","a"),"v","a"),"w","a"),"x","a"),"y","a"),"z","a")</f>
        <v/>
      </c>
      <c r="BU46" s="61" t="str">
        <f aca="false">SUBSTITUTE(SUBSTITUTE(SUBSTITUTE(SUBSTITUTE(SUBSTITUTE(SUBSTITUTE(SUBSTITUTE(SUBSTITUTE(SUBSTITUTE(SUBSTITUTE(LEFT(BM46,FIND("0",BM46&amp;"0")-1),"-",""),"_",""),"/",""),".",""),"#",""),"\\",""),":","")," ",""),"(",""),")","")</f>
        <v/>
      </c>
      <c r="BV46" s="61" t="n">
        <f aca="false">0</f>
        <v>0</v>
      </c>
      <c r="BW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amp;""),"a",""),"b",""),"c",""),"d",""),"e",""),"f",""),"g",""),"h",""),"i",""),"j",""),"k",""),"l",""),"m",""),"n",""),"o",""),"p",""),"q",""),"r",""),"s",""),"t",""),"u",""),"v",""),"w",""),"x",""),"y",""),"z",""),"-",""),"_",""),"/",""),".",""),"#",""),"\\",""),":","")," ",""),"(",""),")","")</f>
        <v/>
      </c>
      <c r="BX46" s="61" t="str">
        <f aca="false">SUBSTITUTE(SUBSTITUTE(SUBSTITUTE(SUBSTITUTE(SUBSTITUTE(SUBSTITUTE(SUBSTITUTE(SUBSTITUTE(SUBSTITUTE(SUBSTITUTE(SUBSTITUTE(BM46,"0",""),"-",""),"_",""),"/",""),".",""),"#",""),"\\",""),":","")," ",""),"(",""),")","")</f>
        <v/>
      </c>
      <c r="BY46" s="62" t="n">
        <f aca="false">Q46-T12EarlyH/24</f>
        <v>46303.5763888889</v>
      </c>
      <c r="BZ46" s="61" t="n">
        <f aca="false">IFERROR(IF(IF(TRIM(S46)="Link / file path",AND(LEN(TRIM(Z46))&gt;=5,SUMPRODUCT(--ISNUMBER(SEARCH({"http","www.","\\",":\",".pdf",".jpg",".jpeg",".png",".heic",".xls",".doc",".msg",".eml",".ppt",".txt",".zip"},Z46)))&gt;0),AND(ISERROR(FIND(" ",TRIM(Z46))),NOT(OR(SUMPRODUCT(--ISNUMBER(FIND({",",";","&amp;","+"},Z46)))&gt;0,SUMPRODUCT(--ISNUMBER(SEARCH({"0/aa","0\\aa"},BN46)))&gt;0)),NOT(SUMPRODUCT(--ISNUMBER(SEARCH({"http","www.","\\",":\",".pdf",".jpg",".jpeg",".png",".heic",".xls",".doc",".msg",".eml",".ppt",".txt",".zip"},Z46)))&gt;0),NOT(LOWER(TRIM(Z46))=LOWER(Flights!$F$6)),ISNA(MATCH(BU46,{"mh","rev","revision","ver","version","v","r","a","b","seat","tray","row","gate","bay","stand","page","pg","item","line","no","cart","galley","flight","flt","table","box","bag","oven","etd","eta","std","sta","atd","ata","qty","pax","x","time","tel","ph","mob","day","wk","week","utc","gmt","myt","lt"},0)),NOT(OR(ISNUMBER(MATCH(LEFT(BN46,255),{"0000a","000a","00a","0000aa","000aa","00aa","0aa","0000aaa","000aaa","00a00","0a00","0000-0000","00:00","a00","a0","00.00.0000","00/00/0000","00-00-0000","0000-00-00","0000/00/00","0000.00.00","00.00.00","00/00/00","00-00-00","0.00.0000","0/00/0000","0-00-0000"},0)),ISNUMBER(MATCH(LEFT(BT46,255),{"0000a","000a","00a","0000aa","000aa","00aa","0aa","0000aaa","000aaa","00a00","0a00","0000-0000","00:00","a00","a0","00.00.0000","00/00/0000","00-00-0000","0000-00-00","0000/00/00","0000.00.00","00.00.00","00/00/00","00-00-00","0.00.0000","0/00/0000","0-00-0000"},0)))),NOT(OR(AND(BW46&lt;&gt;"",SUBSTITUTE(BW46,"0","")=""),AND(LEN(BW46)&gt;=4,BW46=REPT(LEFT(BW46),LEN(BW46))),ISNUMBER(MATCH(BW46,{"123","1234","12345","123456","1234567","12345678","0123","01234","012345","98765","987654","54321"},0)),ISNUMBER(MATCH(BX46,{"x","xx","xxx","xxxx","xxxxx","abc","abcd","nil","na","nan","test","tbc","tba","tbd","dummy","sample","example","eg","zz","zzz","none","null","xyz","qwe","asd","id","ref"},0)),AND(LEN(BW46)=8,BX46="",OR(LEFT(BW46,3)="202",ISNUMBER(MATCH(RIGHT(BW46,4),{"2025","2026","2027"},0)))))),OR(AND((LEN(BT46)-LEN(SUBSTITUTE(BT46,"a","")))&gt;=1,(LEN(BN46)-LEN(SUBSTITUTE(BN46,"0","")))&gt;=2,SUMPRODUCT(--ISNUMBER(SEARCH({"a0","a-0","a_0","a/0","a.0","a#0","0a","0-a","0_a","0/a"},BN46)))&gt;0),AND((LEN(BN46)-LEN(SUBSTITUTE(BN46,"a","")))=0,(LEN(BN46)-LEN(SUBSTITUTE(BN46,"0","")))&gt;=5)))),1,0),0)</f>
        <v>0</v>
      </c>
      <c r="CA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revision",""),"version",""),"jan",""),"feb",""),"mar",""),"apr",""),"may",""),"jun",""),"jul",""),"aug",""),"sep",""),"oct",""),"nov",""),"dec",""),"utc",""),"gmt",""),"myt",""),"bst",""),"rev",""),"ver",""),"b","a"),"c","a"),"d","a"),"e","a"),"f","a"),"g","a"),"h","a"),"i","a"),"j","a"),"k","a"),"l","a"),"m","a"),"n","a"),"o","a"),"p","a"),"q","a"),"r","a"),"s","a"),"t","a"),"u","a"),"v","a"),"w","a"),"x","a"),"y","a"),"z","a")</f>
        <v/>
      </c>
      <c r="CB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amp;""),"a",""),"b",""),"c",""),"d",""),"e",""),"f",""),"g",""),"h",""),"i",""),"j",""),"k",""),"l",""),"m",""),"n",""),"o",""),"p",""),"q",""),"r",""),"s",""),"t",""),"u",""),"v",""),"w",""),"x",""),"y",""),"z",""),"-",""),"_",""),"/",""),".",""),"#",""),"\\",""),":","")," ",""),"(",""),")","")</f>
        <v/>
      </c>
      <c r="CC46" s="0" t="str">
        <f aca="false">" "&amp;TRIM(SUBSTITUTE(SUBSTITUTE(SUBSTITUTE(SUBSTITUTE(SUBSTITUTE(SUBSTITUTE(SUBSTITUTE(SUBSTITUTE(SUBSTITUTE(SUBSTITUTE(SUBSTITUTE(SUBSTITUTE(SUBSTITUTE(SUBSTITUTE(SUBSTITUTE(SUBSTITUTE(SUBSTITUTE(SUBSTITUTE(SUBSTITUTE(SUBSTITUTE(SUBSTITUTE(SUBSTITUTE(SUBSTITUTE(SUBSTITUTE(LOWER(T46&amp;""),CHAR(10)," "),CHAR(13)," "),CHAR(9)," "),CHAR(160)," "),"."," "),","," "),"-"," "),"/"," "),"("," "),")"," "),":"," "),";"," "),"_"," "),"–"," "),"?"," "),"!"," "),"*"," "),"["," "),"]"," "),"'"," "),"#"," "),"+"," "),"&amp;"," "),"\"," "))&amp;" "</f>
        <v>  </v>
      </c>
      <c r="CD46" s="0" t="str">
        <f aca="false">" "&amp;TRIM(SUBSTITUTE(SUBSTITUTE(SUBSTITUTE(SUBSTITUTE(SUBSTITUTE(SUBSTITUTE(SUBSTITUTE(SUBSTITUTE(SUBSTITUTE(SUBSTITUTE(SUBSTITUTE(SUBSTITUTE(SUBSTITUTE(SUBSTITUTE(SUBSTITUTE(SUBSTITUTE(SUBSTITUTE(SUBSTITUTE(SUBSTITUTE(SUBSTITUTE(SUBSTITUTE(SUBSTITUTE(SUBSTITUTE(SUBSTITUTE(LOWER(AE46&amp;""),CHAR(10)," "),CHAR(13)," "),CHAR(9)," "),CHAR(160)," "),"."," "),","," "),"-"," "),"/"," "),"("," "),")"," "),":"," "),";"," "),"_"," "),"–"," "),"?"," "),"!"," "),"*"," "),"["," "),"]"," "),"'"," "),"#"," "),"+"," "),"&amp;"," "),"\"," "))&amp;" "</f>
        <v>  </v>
      </c>
      <c r="CE46" s="68" t="n">
        <f aca="false">IFERROR(IF(AND(LEN(AU46)&gt;0,LEN(AU46)=LEN(AX46),OR(TRIM(MID(SUBSTITUTE(TRIM(CC46)," ",REPT(" ",60)),1,60))="",ISNUMBER(SEARCH(" "&amp;TRIM(MID(SUBSTITUTE(TRIM(CC46)," ",REPT(" ",60)),1,60))&amp;" ",CD46))),OR(TRIM(MID(SUBSTITUTE(TRIM(CC46)," ",REPT(" ",60)),61,60))="",ISNUMBER(SEARCH(" "&amp;TRIM(MID(SUBSTITUTE(TRIM(CC46)," ",REPT(" ",60)),61,60))&amp;" ",CD46))),OR(TRIM(MID(SUBSTITUTE(TRIM(CC46)," ",REPT(" ",60)),121,60))="",ISNUMBER(SEARCH(" "&amp;TRIM(MID(SUBSTITUTE(TRIM(CC46)," ",REPT(" ",60)),121,60))&amp;" ",CD46)))),1,0),0)</f>
        <v>0</v>
      </c>
      <c r="CG46" s="68" t="n">
        <f aca="false">IFERROR(LEN(SUBSTITUTE(BF46," ",""))-SUMPRODUCT((LEN(BF46)-LEN(SUBSTITUTE(BF46," "&amp;L_NAFiller&amp;" "," ")))/(LEN(L_NAFiller)+1)*LEN(L_NAFiller)),0)</f>
        <v>0</v>
      </c>
    </row>
    <row r="47" customFormat="false" ht="66" hidden="false" customHeight="true" outlineLevel="0" collapsed="false">
      <c r="A47" s="57" t="s">
        <v>493</v>
      </c>
      <c r="B47" s="57" t="s">
        <v>198</v>
      </c>
      <c r="C47" s="57" t="str">
        <f aca="false">Flights!$F$6</f>
        <v>MH0727</v>
      </c>
      <c r="D47" s="58" t="n">
        <f aca="false">Flights!$D$6</f>
        <v>46304</v>
      </c>
      <c r="E47" s="57" t="str">
        <f aca="false">Flights!$G$6&amp;"-"&amp;Flights!$H$6</f>
        <v>KUL-CGK</v>
      </c>
      <c r="F47" s="57" t="str">
        <f aca="false">Flights!$K$6</f>
        <v>BC</v>
      </c>
      <c r="G47" s="57" t="s">
        <v>420</v>
      </c>
      <c r="H47" s="57" t="s">
        <v>378</v>
      </c>
      <c r="I47" s="57" t="s">
        <v>440</v>
      </c>
      <c r="J47" s="57" t="s">
        <v>494</v>
      </c>
      <c r="K47" s="67" t="s">
        <v>495</v>
      </c>
      <c r="L47" s="67" t="s">
        <v>496</v>
      </c>
      <c r="M47" s="67" t="s">
        <v>451</v>
      </c>
      <c r="N47" s="67" t="s">
        <v>383</v>
      </c>
      <c r="O47" s="67" t="s">
        <v>497</v>
      </c>
      <c r="P47" s="57" t="s">
        <v>187</v>
      </c>
      <c r="Q47" s="59" t="n">
        <f aca="false">ROUND((Flights!$AE$6)*1440,0)/1440</f>
        <v>46304.0763888889</v>
      </c>
      <c r="R47" s="59" t="n">
        <f aca="false">Q47+(IF(AND(INDEX(TZ_DSTS,MATCH(P47,TZ_STN,0))&lt;&gt;"",Q47&gt;=INDEX(TZ_DSTS,MATCH(P47,TZ_STN,0)),Q47&lt;INDEX(TZ_DSTE,MATCH(P47,TZ_STN,0))),INDEX(TZ_DST,MATCH(P47,TZ_STN,0)),INDEX(TZ_STD,MATCH(P47,TZ_STN,0))))/24</f>
        <v>46304.4097222222</v>
      </c>
      <c r="S47" s="60"/>
      <c r="T47" s="60"/>
      <c r="U47" s="60"/>
      <c r="V47" s="60"/>
      <c r="W47" s="61"/>
      <c r="X47" s="60"/>
      <c r="Y47" s="60"/>
      <c r="Z47" s="60"/>
      <c r="AA47" s="60"/>
      <c r="AB47" s="60"/>
      <c r="AC47" s="60"/>
      <c r="AD47" s="66"/>
      <c r="AE47" s="60"/>
      <c r="AF47" s="61" t="str">
        <f aca="false">IF(AND(ISNUMBER(X47),ISNUMBER(Y47)),Y47-X47,"")</f>
        <v/>
      </c>
      <c r="AG47" s="62" t="str">
        <f aca="false">IF(ISNUMBER(AD47),AD47-(IF(AND(INDEX(TZ_DSTS,MATCH(P47,TZ_STN,0))&lt;&gt;"",(AD47-INDEX(TZ_STD,MATCH(P47,TZ_STN,0))/24)&gt;=INDEX(TZ_DSTS,MATCH(P47,TZ_STN,0)),(AD47-INDEX(TZ_STD,MATCH(P47,TZ_STN,0))/24)&lt;INDEX(TZ_DSTE,MATCH(P47,TZ_STN,0))),INDEX(TZ_DST,MATCH(P47,TZ_STN,0)),INDEX(TZ_STD,MATCH(P47,TZ_STN,0))))/24,"")</f>
        <v/>
      </c>
      <c r="AH47" s="65" t="str">
        <f aca="false">IFERROR(IF(N47="N/A – rule",IF(OR(TRIM(U47)="",TRIM(U47)="N/A",TRIM(U47)="Not started"),"N/A – RULE","INVALID – this check does not apply to this aircraft: clear the status (or correct the fleet on Flights)"),IF(TRIM(U47)="N/A",IF(AT47=0,"INVALID – N/A not permitted for this check",IF(AND(TRIM(AB47)&lt;&gt;"",TRIM(AB47)&lt;&gt;"Closed"),"INVALID – corrective action still open",IF(AND(NOT(OR(LEN(AZ47)&lt;15,ISNUMBER(MATCH(AZ47,L_Placeholder,0)))),BK47=0,CG47&gt;=8,NOT(OR(LEN(AU47)&lt;2,ISNUMBER(MATCH(AU47,L_Placeholder,0)))),BR47&gt;=3,NOT(OR(LEN(AX47)&lt;2,ISNUMBER(MATCH(AX47,L_Placeholder,0)))),BS47&gt;=3,TRIM(AE47)&lt;&gt;TRIM(T47),AX47&lt;&gt;AU47,CE47=0),"N/A – JUSTIFIED","INVALID – N/A needs a real, settled reason (not 'not applicable' / 'as above' / TBC), a named PIC and a different named verifier"))),IF(OR(TRIM(U47)="Pass",TRIM(U47)="Pass after CA"),IF(NOT(ISNUMBER(AD47)),"INVALID – completion time missing",IF(OR(OR(LEN(AU47)&lt;2,ISNUMBER(MATCH(AU47,L_Placeholder,0))),BR47&lt;3),"INVALID – PIC missing or not a named person (a role such as QA / CSM is not a name)",IF(OR(LEN(AV47)&lt;2,ISNUMBER(MATCH(AV47,L_Placeholder,0))),"INVALID – result / assessment missing",IF(OR(OR(LEN(AW47)&lt;3,ISNUMBER(MATCH(AW47,L_Placeholder,0))),SUMPRODUCT(--ISNUMBER(SEARCH(" "&amp;L_EvidencePhrase&amp;" ",BD47)))&gt;0,BI47=1),"INVALID – evidence missing, placeholder or not yet on file",IF(ISNA(MATCH(TRIM(S47),L_EvidenceType,0)),"INVALID – choose the evidence type from the list (column S)",IF(BL47=0,"INVALID – evidence ID must be the record's own ID only (e.g. SF-2210, IMG_2231, 1045521); a link / file name needs type 'Link / file path'",IF(OR(OR(LEN(AX47)&lt;2,ISNUMBER(MATCH(AX47,L_Placeholder,0))),BS47&lt;3),"INVALID – verifier missing or not a named person (a role such as QA / CSM is not a name)",IF(OR(AX47=AU47,CE47=1,AND(LEN(AU47)&gt;=4,ISNUMBER(SEARCH(AU47,AX47))),AND(LEN(AX47)&gt;=4,ISNUMBER(SEARCH(AX47,AU47)))),"INVALID – verifier must be a different, named person (not the PIC or a role)",IF(BH47=1,"INVALID – result not yet available (awaiting / TBC)",IF(BG47=1,"INVALID – result describes a problem: record Fail, then Pass after CA (or reword if it is not a problem)",IF(BV47=1,"INVALID – wording says not on board: an on-board confirmation needs the item loaded",IF(AND(AQ47=1,OR(OR(LEN(AY47)&lt;3,ISNUMBER(MATCH(AY47,L_Placeholder,0))),BJ47=1,BQ47=0)),"INVALID – batch ID missing, placeholder or not an ID (e.g. PASB-261008-BC-017)",IF(AND(AR47=1,OR(NOT(ISNUMBER(X47)),NOT(ISNUMBER(Y47)))),"INVALID – expected/actual qty missing",IF(AND(AR47=1,OR(X47&lt;=0,Y47&lt;0)),"INVALID – expected qty must be above 0 and actual not negative",IF(BB47&lt;&gt;"",BB47,IF(AND(AS47=1,Documents!$J$6&lt;&gt;"ON FILE"),"INVALID – GLD not on file (Documents sheet)",IF(AND(AS47=2,Documents!$O$6&lt;&gt;"ON FILE"),"INVALID – menu checklist not on file (Documents sheet)",IF(AND(AS47=3,NOT(ISNUMBER(Flights!$AX$6))),"INVALID – enter carrying flight KUL departure (Flights AX)",IF(AND(AS47=3,OR(Flights!$AZ$6&gt;Flights!$AA$6,Flights!$AX$6&lt;Flights!$AA$6-3)),"INVALID – carrying flight (Flights AX) cannot arrive before this leg's STD, or is over 3 days early",IF(AG47&gt;AsOfUTC,"INVALID – completion time is in the future",IF(AND(ISNUMBER(BY47),AG47&lt;BY47),IF(H47="Physical uplift","INVALID – before uplift window (cannot confirm loading)","INVALID – before valid window"),IF(AG47&gt;Flights!$AA$6,"INVALID – completed after departure (cannot establish readiness)",IF(AND(H47="Preparation",AG47&gt;=IF(ISNUMBER(Flights!$BA$6),MIN(Flights!$BA$6,Flights!$AA$6),Flights!$AA$6)),"INVALID – completed after loading / departure (cannot establish readiness)",IF(AND(H47="Physical uplift",AG47&gt;Q47),"INVALID – recorded after the loading flight departed",IF(AG47&gt;Q47,"COMPLETE – LATE","COMPLETE"))))))))))))))))))))))))),IF(TRIM(U47)="Fail","FAIL – DISCREPANCY",IF(AND(TRIM(U47)&lt;&gt;"",TRIM(U47)&lt;&gt;"Not started",TRIM(U47)&lt;&gt;"In progress"),"INVALID – unrecognised status (use the list)",IF(AsOfUTC&gt;Q47,"OVERDUE",IF(N47="Clarification required","OPEN – CLARIFICATION","OPEN"))))))),"INVALID – error value in an input cell")</f>
        <v>OPEN</v>
      </c>
      <c r="AI47" s="61" t="n">
        <f aca="false">IF(OR(AH47="N/A – RULE",AH47="N/A – JUSTIFIED"),0,1)</f>
        <v>1</v>
      </c>
      <c r="AJ47" s="61" t="n">
        <f aca="false">IF(LEFT(AH47,8)="COMPLETE",1,0)</f>
        <v>0</v>
      </c>
      <c r="AK47" s="61" t="n">
        <f aca="false">IF(AND(AI47=1,AJ47=0,AsOfUTC&gt;Q47),1,0)</f>
        <v>0</v>
      </c>
      <c r="AL47" s="61" t="n">
        <f aca="false">IFERROR(IF(AND(AI47=1,OR(TRIM(U47)="Fail",AND(TRIM(AB47)&lt;&gt;"",TRIM(AB47)&lt;&gt;"Closed"),AND(ISNUMBER(AF47),AF47&lt;&gt;0,TRIM(U47)&lt;&gt;"Pass after CA"))),1,0),1)</f>
        <v>0</v>
      </c>
      <c r="AM47" s="61" t="n">
        <f aca="false">IF(LEFT(AH47,7)="INVALID",1,0)</f>
        <v>0</v>
      </c>
      <c r="AN47" s="61" t="n">
        <f aca="false">IF(AND(N47="Clarification required",AI47=1,AJ47=0),1,0)</f>
        <v>0</v>
      </c>
      <c r="AO47" s="61" t="str">
        <f aca="false">IF(AK47=1,SUM(AK$5:AK47),"")</f>
        <v/>
      </c>
      <c r="AP47" s="61" t="str">
        <f aca="false">IF(AL47=1,SUM(AL$5:AL47),"")</f>
        <v/>
      </c>
      <c r="AQ47" s="61" t="n">
        <v>0</v>
      </c>
      <c r="AR47" s="61" t="n">
        <v>0</v>
      </c>
      <c r="AS47" s="61" t="n">
        <v>0</v>
      </c>
      <c r="AT47" s="61" t="n">
        <v>0</v>
      </c>
      <c r="AU47" s="61" t="str">
        <f aca="false">SUBSTITUTE(SUBSTITUTE(SUBSTITUTE(SUBSTITUTE(SUBSTITUTE(SUBSTITUTE(SUBSTITUTE(SUBSTITUTE(SUBSTITUTE(SUBSTITUTE(SUBSTITUTE(SUBSTITUTE(SUBSTITUTE(SUBSTITUTE(SUBSTITUTE(SUBSTITUTE(LOWER(T47&amp;""),CHAR(10),""),CHAR(13),""),CHAR(9),""),CHAR(160),"")," ",""),".",""),"-",""),"/",""),"?",""),"_",""),",",""),"[",""),"]",""),"(",""),")",""),"*","")</f>
        <v/>
      </c>
      <c r="AV47" s="61" t="str">
        <f aca="false">SUBSTITUTE(SUBSTITUTE(SUBSTITUTE(SUBSTITUTE(SUBSTITUTE(SUBSTITUTE(SUBSTITUTE(SUBSTITUTE(SUBSTITUTE(SUBSTITUTE(SUBSTITUTE(SUBSTITUTE(SUBSTITUTE(SUBSTITUTE(SUBSTITUTE(SUBSTITUTE(LOWER(V47&amp;""),CHAR(10),""),CHAR(13),""),CHAR(9),""),CHAR(160),"")," ",""),".",""),"-",""),"/",""),"?",""),"_",""),",",""),"[",""),"]",""),"(",""),")",""),"*","")</f>
        <v/>
      </c>
      <c r="AW47" s="61" t="str">
        <f aca="false">SUBSTITUTE(SUBSTITUTE(SUBSTITUTE(SUBSTITUTE(SUBSTITUTE(SUBSTITUTE(SUBSTITUTE(SUBSTITUTE(SUBSTITUTE(SUBSTITUTE(SUBSTITUTE(SUBSTITUTE(SUBSTITUTE(SUBSTITUTE(SUBSTITUTE(SUBSTITUTE(LOWER(Z47&amp;""),CHAR(10),""),CHAR(13),""),CHAR(9),""),CHAR(160),"")," ",""),".",""),"-",""),"/",""),"?",""),"_",""),",",""),"[",""),"]",""),"(",""),")",""),"*","")</f>
        <v/>
      </c>
      <c r="AX47" s="61" t="str">
        <f aca="false">SUBSTITUTE(SUBSTITUTE(SUBSTITUTE(SUBSTITUTE(SUBSTITUTE(SUBSTITUTE(SUBSTITUTE(SUBSTITUTE(SUBSTITUTE(SUBSTITUTE(SUBSTITUTE(SUBSTITUTE(SUBSTITUTE(SUBSTITUTE(SUBSTITUTE(SUBSTITUTE(LOWER(AE47&amp;""),CHAR(10),""),CHAR(13),""),CHAR(9),""),CHAR(160),"")," ",""),".",""),"-",""),"/",""),"?",""),"_",""),",",""),"[",""),"]",""),"(",""),")",""),"*","")</f>
        <v/>
      </c>
      <c r="AY47" s="61" t="str">
        <f aca="false">SUBSTITUTE(SUBSTITUTE(SUBSTITUTE(SUBSTITUTE(SUBSTITUTE(SUBSTITUTE(SUBSTITUTE(SUBSTITUTE(SUBSTITUTE(SUBSTITUTE(SUBSTITUTE(SUBSTITUTE(SUBSTITUTE(SUBSTITUTE(SUBSTITUTE(SUBSTITUTE(LOWER(W47&amp;""),CHAR(10),""),CHAR(13),""),CHAR(9),""),CHAR(160),"")," ",""),".",""),"-",""),"/",""),"?",""),"_",""),",",""),"[",""),"]",""),"(",""),")",""),"*","")</f>
        <v/>
      </c>
      <c r="AZ47" s="61" t="str">
        <f aca="false">SUBSTITUTE(SUBSTITUTE(SUBSTITUTE(SUBSTITUTE(SUBSTITUTE(SUBSTITUTE(SUBSTITUTE(SUBSTITUTE(SUBSTITUTE(SUBSTITUTE(SUBSTITUTE(SUBSTITUTE(SUBSTITUTE(SUBSTITUTE(SUBSTITUTE(SUBSTITUTE(LOWER(AC47&amp;""),CHAR(10),""),CHAR(13),""),CHAR(9),""),CHAR(160),"")," ",""),".",""),"-",""),"/",""),"?",""),"_",""),",",""),"[",""),"]",""),"(",""),")",""),"*","")</f>
        <v/>
      </c>
      <c r="BA47" s="61" t="str">
        <f aca="false">SUBSTITUTE(SUBSTITUTE(SUBSTITUTE(SUBSTITUTE(SUBSTITUTE(SUBSTITUTE(SUBSTITUTE(SUBSTITUTE(SUBSTITUTE(SUBSTITUTE(SUBSTITUTE(SUBSTITUTE(SUBSTITUTE(SUBSTITUTE(SUBSTITUTE(SUBSTITUTE(LOWER(AA47&amp;""),CHAR(10),""),CHAR(13),""),CHAR(9),""),CHAR(160),"")," ",""),".",""),"-",""),"/",""),"?",""),"_",""),",",""),"[",""),"]",""),"(",""),")",""),"*","")</f>
        <v/>
      </c>
      <c r="BB47" s="61" t="str">
        <f aca="false">IF(AND(TRIM(U47)="Pass",ISNUMBER(AF47)),IF(AF47&lt;&gt;0,"INVALID – qty variance: use Fail or Pass after CA",""),"")&amp;IF(AND(TRIM(U47)="Pass after CA",ISNUMBER(AF47)),IF(AF47&lt;&gt;0,"INVALID – after the corrective action the actual qty must equal expected (update Actual)",""),"")&amp;IF(AND(TRIM(U47)="Pass",TRIM(AB47)&lt;&gt;"",TRIM(AB47)&lt;&gt;"Closed"),"INVALID – corrective action not closed: use Fail, then Pass after CA","")&amp;IF(AND(LEN(BA47)&gt;=2,ISNA(MATCH(LEFT(BA47,255),L_Placeholder,0)),TRIM(AB47)=""),"INVALID – CA status missing for the recorded corrective action","")&amp;IF(AND(TRIM(U47)="Pass after CA",OR(OR(LEN(BA47)&lt;5,ISNUMBER(MATCH(BA47,L_Placeholder,0))),TRIM(AB47)&lt;&gt;"Closed")),"INVALID – corrective action not recorded/closed","")</f>
        <v/>
      </c>
      <c r="BC47" s="61" t="str">
        <f aca="false">" "&amp;TRIM(SUBSTITUTE(SUBSTITUTE(SUBSTITUTE(SUBSTITUTE(SUBSTITUTE(SUBSTITUTE(SUBSTITUTE(SUBSTITUTE(SUBSTITUTE(SUBSTITUTE(SUBSTITUTE(SUBSTITUTE(SUBSTITUTE(SUBSTITUTE(SUBSTITUTE(SUBSTITUTE(SUBSTITUTE(SUBSTITUTE(SUBSTITUTE(SUBSTITUTE(SUBSTITUTE(SUBSTITUTE(SUBSTITUTE(SUBSTITUTE(LOWER(V47&amp;""),CHAR(10)," "),CHAR(13)," "),CHAR(9)," "),CHAR(160)," "),"."," "),","," "),"-"," "),"/"," "),"("," "),")"," "),":"," "),";"," "),"_"," "),"–"," "),"?"," "),"!"," "),"*"," "),"["," "),"]"," "),"'"," "),"#"," "),"+"," "),"&amp;"," "),"\"," "))&amp;" "</f>
        <v>  </v>
      </c>
      <c r="BD47" s="61" t="str">
        <f aca="false">" "&amp;TRIM(SUBSTITUTE(SUBSTITUTE(SUBSTITUTE(SUBSTITUTE(SUBSTITUTE(SUBSTITUTE(SUBSTITUTE(SUBSTITUTE(SUBSTITUTE(SUBSTITUTE(SUBSTITUTE(SUBSTITUTE(SUBSTITUTE(SUBSTITUTE(SUBSTITUTE(SUBSTITUTE(SUBSTITUTE(SUBSTITUTE(SUBSTITUTE(SUBSTITUTE(SUBSTITUTE(SUBSTITUTE(SUBSTITUTE(SUBSTITUTE(LOWER(Z47&amp;""),CHAR(10)," "),CHAR(13)," "),CHAR(9)," "),CHAR(160)," "),"."," "),","," "),"-"," "),"/"," "),"("," "),")"," "),":"," "),";"," "),"_"," "),"–"," "),"?"," "),"!"," "),"*"," "),"["," "),"]"," "),"'"," "),"#"," "),"+"," "),"&amp;"," "),"\"," "))&amp;" "</f>
        <v>  </v>
      </c>
      <c r="BE47" s="61" t="str">
        <f aca="false">" "&amp;TRIM(SUBSTITUTE(SUBSTITUTE(SUBSTITUTE(SUBSTITUTE(SUBSTITUTE(SUBSTITUTE(SUBSTITUTE(SUBSTITUTE(SUBSTITUTE(SUBSTITUTE(SUBSTITUTE(SUBSTITUTE(SUBSTITUTE(SUBSTITUTE(SUBSTITUTE(SUBSTITUTE(SUBSTITUTE(SUBSTITUTE(SUBSTITUTE(SUBSTITUTE(SUBSTITUTE(SUBSTITUTE(SUBSTITUTE(SUBSTITUTE(LOWER(W47&amp;""),CHAR(10)," "),CHAR(13)," "),CHAR(9)," "),CHAR(160)," "),"."," "),","," "),"-"," "),"/"," "),"("," "),")"," "),":"," "),";"," "),"_"," "),"–"," "),"?"," "),"!"," "),"*"," "),"["," "),"]"," "),"'"," "),"#"," "),"+"," "),"&amp;"," "),"\"," "))&amp;" "</f>
        <v>  </v>
      </c>
      <c r="BF47" s="61" t="str">
        <f aca="false">" "&amp;TRIM(SUBSTITUTE(SUBSTITUTE(SUBSTITUTE(SUBSTITUTE(SUBSTITUTE(SUBSTITUTE(SUBSTITUTE(SUBSTITUTE(SUBSTITUTE(SUBSTITUTE(SUBSTITUTE(SUBSTITUTE(SUBSTITUTE(SUBSTITUTE(SUBSTITUTE(SUBSTITUTE(SUBSTITUTE(SUBSTITUTE(SUBSTITUTE(SUBSTITUTE(SUBSTITUTE(SUBSTITUTE(SUBSTITUTE(SUBSTITUTE(LOWER(AC47&amp;""),CHAR(10)," "),CHAR(13)," "),CHAR(9)," "),CHAR(160)," "),"."," "),","," "),"-"," "),"/"," "),"("," "),")"," "),":"," "),";"," "),"_"," "),"–"," "),"?"," "),"!"," "),"*"," "),"["," "),"]"," "),"'"," "),"#"," "),"+"," "),"&amp;"," "),"\"," "))&amp;" "</f>
        <v>  </v>
      </c>
      <c r="BG47" s="61" t="n">
        <f aca="false">IFERROR(IF(AND(TRIM(U47)="Pass",SUMPRODUCT((LEN(BC47)-LEN(SUBSTITUTE(BC47," "&amp;L_ResultBad&amp;" "," ")))/(LEN(L_ResultBad)+1))&gt;SUMPRODUCT((LEN(BC47)-LEN(SUBSTITUTE(BC47," "&amp;L_NegPhrase&amp;" "," ")))/(LEN(L_NegPhrase)+1))),1,0),0)</f>
        <v>0</v>
      </c>
      <c r="BH47" s="61" t="n">
        <f aca="false">IFERROR(IF(SUMPRODUCT((LEN(BC47)-LEN(SUBSTITUTE(BC47," "&amp;L_Pending&amp;" "," ")))/(LEN(L_Pending)+1))&gt;SUMPRODUCT((LEN(BC47)-LEN(SUBSTITUTE(BC47," "&amp;L_PendNeg&amp;" "," ")))/(LEN(L_PendNeg)+1))+SUMPRODUCT((LEN(BC47)-LEN(SUBSTITUTE(BC47," "&amp;L_PendPrep&amp;" "," ")))/(LEN(L_PendPrep)+1)),1,0),1)</f>
        <v>0</v>
      </c>
      <c r="BI47" s="61" t="n">
        <f aca="false">IFERROR(IF(SUMPRODUCT((LEN(BD47)-LEN(SUBSTITUTE(BD47," "&amp;L_PendStrict&amp;" "," ")))/(LEN(L_PendStrict)+1))&gt;SUMPRODUCT((LEN(BD47)-LEN(SUBSTITUTE(BD47," "&amp;L_PendNeg&amp;" "," ")))/(LEN(L_PendNeg)+1)),1,0),1)</f>
        <v>0</v>
      </c>
      <c r="BJ47" s="61" t="n">
        <f aca="false">IFERROR(IF(SUMPRODUCT((LEN(BE47)-LEN(SUBSTITUTE(BE47," "&amp;L_Pending&amp;" "," ")))/(LEN(L_Pending)+1))&gt;SUMPRODUCT((LEN(BE47)-LEN(SUBSTITUTE(BE47," "&amp;L_PendNeg&amp;" "," ")))/(LEN(L_PendNeg)+1))+SUMPRODUCT((LEN(BE47)-LEN(SUBSTITUTE(BE47," "&amp;L_PendPrep&amp;" "," ")))/(LEN(L_PendPrep)+1)),1,0),1)</f>
        <v>0</v>
      </c>
      <c r="BK47" s="61" t="n">
        <f aca="false">IFERROR(IF(SUMPRODUCT((LEN(BF47)-LEN(SUBSTITUTE(BF47," "&amp;L_PendStrict&amp;" "," ")))/(LEN(L_PendStrict)+1))&gt;SUMPRODUCT((LEN(BF47)-LEN(SUBSTITUTE(BF47," "&amp;L_PendNeg&amp;" "," ")))/(LEN(L_PendNeg)+1)),1,0),1)</f>
        <v>0</v>
      </c>
      <c r="BL47" s="61" t="n">
        <f aca="false">IF(ISNA(MATCH(TRIM(S47),L_EvidenceType,0)),0,BZ47)</f>
        <v>0</v>
      </c>
      <c r="BM47" s="61" t="str">
        <f aca="false">SUBSTITUTE(SUBSTITUTE(SUBSTITUTE(SUBSTITUTE(SUBSTITUTE(SUBSTITUTE(SUBSTITUTE(SUBSTITUTE(SUBSTITUTE(LOWER(Z47&amp;""),"1","0"),"2","0"),"3","0"),"4","0"),"5","0"),"6","0"),"7","0"),"8","0"),"9","0")</f>
        <v/>
      </c>
      <c r="BN47" s="61" t="str">
        <f aca="false">SUBSTITUTE(SUBSTITUTE(SUBSTITUTE(SUBSTITUTE(SUBSTITUTE(SUBSTITUTE(SUBSTITUTE(SUBSTITUTE(SUBSTITUTE(SUBSTITUTE(SUBSTITUTE(SUBSTITUTE(SUBSTITUTE(SUBSTITUTE(SUBSTITUTE(SUBSTITUTE(SUBSTITUTE(SUBSTITUTE(SUBSTITUTE(SUBSTITUTE(SUBSTITUTE(SUBSTITUTE(SUBSTITUTE(SUBSTITUTE(SUBSTITUTE(BM47,"b","a"),"c","a"),"d","a"),"e","a"),"f","a"),"g","a"),"h","a"),"i","a"),"j","a"),"k","a"),"l","a"),"m","a"),"n","a"),"o","a"),"p","a"),"q","a"),"r","a"),"s","a"),"t","a"),"u","a"),"v","a"),"w","a"),"x","a"),"y","a"),"z","a")</f>
        <v/>
      </c>
      <c r="BO47" s="61" t="str">
        <f aca="false">SUBSTITUTE(SUBSTITUTE(SUBSTITUTE(SUBSTITUTE(SUBSTITUTE(SUBSTITUTE(SUBSTITUTE(SUBSTITUTE(SUBSTITUTE(LOWER(W47&amp;""),"1","0"),"2","0"),"3","0"),"4","0"),"5","0"),"6","0"),"7","0"),"8","0"),"9","0")</f>
        <v/>
      </c>
      <c r="BP47" s="61" t="str">
        <f aca="false">SUBSTITUTE(SUBSTITUTE(SUBSTITUTE(SUBSTITUTE(SUBSTITUTE(SUBSTITUTE(SUBSTITUTE(SUBSTITUTE(SUBSTITUTE(SUBSTITUTE(SUBSTITUTE(SUBSTITUTE(SUBSTITUTE(SUBSTITUTE(SUBSTITUTE(SUBSTITUTE(SUBSTITUTE(SUBSTITUTE(SUBSTITUTE(SUBSTITUTE(SUBSTITUTE(SUBSTITUTE(SUBSTITUTE(SUBSTITUTE(SUBSTITUTE(BO47,"b","a"),"c","a"),"d","a"),"e","a"),"f","a"),"g","a"),"h","a"),"i","a"),"j","a"),"k","a"),"l","a"),"m","a"),"n","a"),"o","a"),"p","a"),"q","a"),"r","a"),"s","a"),"t","a"),"u","a"),"v","a"),"w","a"),"x","a"),"y","a"),"z","a")</f>
        <v/>
      </c>
      <c r="BQ47" s="61" t="n">
        <f aca="false">IFERROR(IF(AND(ISERROR(SEARCH(" mh"," "&amp;LOWER(W47))),ISNA(MATCH(LEFT(TRIM(BP47),255),{"0000a","000a","00a","0000aa","000aa","00aa","0aa","0000aaa","000aaa","00a00","0a00","0000-0000","00:00","a00","a0","00.00.0000","00/00/0000","00-00-0000","0000-00-00","0000/00/00","0000.00.00","00.00.00","00/00/00","00-00-00","0.00.0000","0/00/0000","0-00-0000"},0)),ISNA(MATCH(LEFT(TRIM(CA47),255),{"0000a","000a","00a","0000aa","000aa","00aa","0aa","0000aaa","000aaa","00a00","0a00","0000-0000","00:00","a00","a0","00.00.0000","00/00/0000","00-00-0000","0000-00-00","0000/00/00","0000.00.00","00.00.00","00/00/00","00-00-00","0.00.0000","0/00/0000","0-00-0000"},0)),LEN(CB47)&gt;=3,NOT(OR(SUBSTITUTE(CB47,"0","")="",AND(LEN(CB47)&gt;=4,CB47=REPT(LEFT(CB47),LEN(CB47))),ISNUMBER(MATCH(CB47,{"123","1234","12345","123456","1234567","12345678","0123","01234","012345","98765","987654","54321"},0)),AND(LEN(CB47)=8,LEFT(CB47,3)="202"))),OR(AND((LEN(CA47)-LEN(SUBSTITUTE(CA47,"a","")))&gt;=1,SUMPRODUCT(--ISNUMBER(SEARCH({"a0","a-0","a_0","a/0","a.0","a#0","0a","0-a","0_a","0/a"},BP47)))&gt;0),ISNUMBER(SEARCH("000000",BP47)))),1,0),0)</f>
        <v>0</v>
      </c>
      <c r="BR47" s="61" t="n">
        <f aca="false">IFERROR(LEN(SUBSTITUTE(CC47," ",""))-SUMPRODUCT((LEN(CC47)-LEN(SUBSTITUTE(CC47," "&amp;L_Role&amp;" "," ")))/(LEN(L_Role)+1)*LEN(L_Role)),0)</f>
        <v>0</v>
      </c>
      <c r="BS47" s="61" t="n">
        <f aca="false">IFERROR(LEN(SUBSTITUTE(CD47," ",""))-SUMPRODUCT((LEN(CD47)-LEN(SUBSTITUTE(CD47," "&amp;L_Role&amp;" "," ")))/(LEN(L_Role)+1)*LEN(L_Role)),0)</f>
        <v>0</v>
      </c>
      <c r="BT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revision",""),"version",""),"jan",""),"feb",""),"mar",""),"apr",""),"may",""),"jun",""),"jul",""),"aug",""),"sep",""),"oct",""),"nov",""),"dec",""),"utc",""),"gmt",""),"myt",""),"bst",""),"rev",""),"ver",""),"b","a"),"c","a"),"d","a"),"e","a"),"f","a"),"g","a"),"h","a"),"i","a"),"j","a"),"k","a"),"l","a"),"m","a"),"n","a"),"o","a"),"p","a"),"q","a"),"r","a"),"s","a"),"t","a"),"u","a"),"v","a"),"w","a"),"x","a"),"y","a"),"z","a")</f>
        <v/>
      </c>
      <c r="BU47" s="61" t="str">
        <f aca="false">SUBSTITUTE(SUBSTITUTE(SUBSTITUTE(SUBSTITUTE(SUBSTITUTE(SUBSTITUTE(SUBSTITUTE(SUBSTITUTE(SUBSTITUTE(SUBSTITUTE(LEFT(BM47,FIND("0",BM47&amp;"0")-1),"-",""),"_",""),"/",""),".",""),"#",""),"\\",""),":","")," ",""),"(",""),")","")</f>
        <v/>
      </c>
      <c r="BV47" s="61" t="n">
        <f aca="false">0</f>
        <v>0</v>
      </c>
      <c r="BW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amp;""),"a",""),"b",""),"c",""),"d",""),"e",""),"f",""),"g",""),"h",""),"i",""),"j",""),"k",""),"l",""),"m",""),"n",""),"o",""),"p",""),"q",""),"r",""),"s",""),"t",""),"u",""),"v",""),"w",""),"x",""),"y",""),"z",""),"-",""),"_",""),"/",""),".",""),"#",""),"\\",""),":","")," ",""),"(",""),")","")</f>
        <v/>
      </c>
      <c r="BX47" s="61" t="str">
        <f aca="false">SUBSTITUTE(SUBSTITUTE(SUBSTITUTE(SUBSTITUTE(SUBSTITUTE(SUBSTITUTE(SUBSTITUTE(SUBSTITUTE(SUBSTITUTE(SUBSTITUTE(SUBSTITUTE(BM47,"0",""),"-",""),"_",""),"/",""),".",""),"#",""),"\\",""),":","")," ",""),"(",""),")","")</f>
        <v/>
      </c>
      <c r="BY47" s="62" t="n">
        <f aca="false">Q47-T12EarlyH/24</f>
        <v>46303.5763888889</v>
      </c>
      <c r="BZ47" s="61" t="n">
        <f aca="false">IFERROR(IF(IF(TRIM(S47)="Link / file path",AND(LEN(TRIM(Z47))&gt;=5,SUMPRODUCT(--ISNUMBER(SEARCH({"http","www.","\\",":\",".pdf",".jpg",".jpeg",".png",".heic",".xls",".doc",".msg",".eml",".ppt",".txt",".zip"},Z47)))&gt;0),AND(ISERROR(FIND(" ",TRIM(Z47))),NOT(OR(SUMPRODUCT(--ISNUMBER(FIND({",",";","&amp;","+"},Z47)))&gt;0,SUMPRODUCT(--ISNUMBER(SEARCH({"0/aa","0\\aa"},BN47)))&gt;0)),NOT(SUMPRODUCT(--ISNUMBER(SEARCH({"http","www.","\\",":\",".pdf",".jpg",".jpeg",".png",".heic",".xls",".doc",".msg",".eml",".ppt",".txt",".zip"},Z47)))&gt;0),NOT(LOWER(TRIM(Z47))=LOWER(Flights!$F$6)),ISNA(MATCH(BU47,{"mh","rev","revision","ver","version","v","r","a","b","seat","tray","row","gate","bay","stand","page","pg","item","line","no","cart","galley","flight","flt","table","box","bag","oven","etd","eta","std","sta","atd","ata","qty","pax","x","time","tel","ph","mob","day","wk","week","utc","gmt","myt","lt"},0)),NOT(OR(ISNUMBER(MATCH(LEFT(BN47,255),{"0000a","000a","00a","0000aa","000aa","00aa","0aa","0000aaa","000aaa","00a00","0a00","0000-0000","00:00","a00","a0","00.00.0000","00/00/0000","00-00-0000","0000-00-00","0000/00/00","0000.00.00","00.00.00","00/00/00","00-00-00","0.00.0000","0/00/0000","0-00-0000"},0)),ISNUMBER(MATCH(LEFT(BT47,255),{"0000a","000a","00a","0000aa","000aa","00aa","0aa","0000aaa","000aaa","00a00","0a00","0000-0000","00:00","a00","a0","00.00.0000","00/00/0000","00-00-0000","0000-00-00","0000/00/00","0000.00.00","00.00.00","00/00/00","00-00-00","0.00.0000","0/00/0000","0-00-0000"},0)))),NOT(OR(AND(BW47&lt;&gt;"",SUBSTITUTE(BW47,"0","")=""),AND(LEN(BW47)&gt;=4,BW47=REPT(LEFT(BW47),LEN(BW47))),ISNUMBER(MATCH(BW47,{"123","1234","12345","123456","1234567","12345678","0123","01234","012345","98765","987654","54321"},0)),ISNUMBER(MATCH(BX47,{"x","xx","xxx","xxxx","xxxxx","abc","abcd","nil","na","nan","test","tbc","tba","tbd","dummy","sample","example","eg","zz","zzz","none","null","xyz","qwe","asd","id","ref"},0)),AND(LEN(BW47)=8,BX47="",OR(LEFT(BW47,3)="202",ISNUMBER(MATCH(RIGHT(BW47,4),{"2025","2026","2027"},0)))))),OR(AND((LEN(BT47)-LEN(SUBSTITUTE(BT47,"a","")))&gt;=1,(LEN(BN47)-LEN(SUBSTITUTE(BN47,"0","")))&gt;=2,SUMPRODUCT(--ISNUMBER(SEARCH({"a0","a-0","a_0","a/0","a.0","a#0","0a","0-a","0_a","0/a"},BN47)))&gt;0),AND((LEN(BN47)-LEN(SUBSTITUTE(BN47,"a","")))=0,(LEN(BN47)-LEN(SUBSTITUTE(BN47,"0","")))&gt;=5)))),1,0),0)</f>
        <v>0</v>
      </c>
      <c r="CA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revision",""),"version",""),"jan",""),"feb",""),"mar",""),"apr",""),"may",""),"jun",""),"jul",""),"aug",""),"sep",""),"oct",""),"nov",""),"dec",""),"utc",""),"gmt",""),"myt",""),"bst",""),"rev",""),"ver",""),"b","a"),"c","a"),"d","a"),"e","a"),"f","a"),"g","a"),"h","a"),"i","a"),"j","a"),"k","a"),"l","a"),"m","a"),"n","a"),"o","a"),"p","a"),"q","a"),"r","a"),"s","a"),"t","a"),"u","a"),"v","a"),"w","a"),"x","a"),"y","a"),"z","a")</f>
        <v/>
      </c>
      <c r="CB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amp;""),"a",""),"b",""),"c",""),"d",""),"e",""),"f",""),"g",""),"h",""),"i",""),"j",""),"k",""),"l",""),"m",""),"n",""),"o",""),"p",""),"q",""),"r",""),"s",""),"t",""),"u",""),"v",""),"w",""),"x",""),"y",""),"z",""),"-",""),"_",""),"/",""),".",""),"#",""),"\\",""),":","")," ",""),"(",""),")","")</f>
        <v/>
      </c>
      <c r="CC47" s="0" t="str">
        <f aca="false">" "&amp;TRIM(SUBSTITUTE(SUBSTITUTE(SUBSTITUTE(SUBSTITUTE(SUBSTITUTE(SUBSTITUTE(SUBSTITUTE(SUBSTITUTE(SUBSTITUTE(SUBSTITUTE(SUBSTITUTE(SUBSTITUTE(SUBSTITUTE(SUBSTITUTE(SUBSTITUTE(SUBSTITUTE(SUBSTITUTE(SUBSTITUTE(SUBSTITUTE(SUBSTITUTE(SUBSTITUTE(SUBSTITUTE(SUBSTITUTE(SUBSTITUTE(LOWER(T47&amp;""),CHAR(10)," "),CHAR(13)," "),CHAR(9)," "),CHAR(160)," "),"."," "),","," "),"-"," "),"/"," "),"("," "),")"," "),":"," "),";"," "),"_"," "),"–"," "),"?"," "),"!"," "),"*"," "),"["," "),"]"," "),"'"," "),"#"," "),"+"," "),"&amp;"," "),"\"," "))&amp;" "</f>
        <v>  </v>
      </c>
      <c r="CD47" s="0" t="str">
        <f aca="false">" "&amp;TRIM(SUBSTITUTE(SUBSTITUTE(SUBSTITUTE(SUBSTITUTE(SUBSTITUTE(SUBSTITUTE(SUBSTITUTE(SUBSTITUTE(SUBSTITUTE(SUBSTITUTE(SUBSTITUTE(SUBSTITUTE(SUBSTITUTE(SUBSTITUTE(SUBSTITUTE(SUBSTITUTE(SUBSTITUTE(SUBSTITUTE(SUBSTITUTE(SUBSTITUTE(SUBSTITUTE(SUBSTITUTE(SUBSTITUTE(SUBSTITUTE(LOWER(AE47&amp;""),CHAR(10)," "),CHAR(13)," "),CHAR(9)," "),CHAR(160)," "),"."," "),","," "),"-"," "),"/"," "),"("," "),")"," "),":"," "),";"," "),"_"," "),"–"," "),"?"," "),"!"," "),"*"," "),"["," "),"]"," "),"'"," "),"#"," "),"+"," "),"&amp;"," "),"\"," "))&amp;" "</f>
        <v>  </v>
      </c>
      <c r="CE47" s="68" t="n">
        <f aca="false">IFERROR(IF(AND(LEN(AU47)&gt;0,LEN(AU47)=LEN(AX47),OR(TRIM(MID(SUBSTITUTE(TRIM(CC47)," ",REPT(" ",60)),1,60))="",ISNUMBER(SEARCH(" "&amp;TRIM(MID(SUBSTITUTE(TRIM(CC47)," ",REPT(" ",60)),1,60))&amp;" ",CD47))),OR(TRIM(MID(SUBSTITUTE(TRIM(CC47)," ",REPT(" ",60)),61,60))="",ISNUMBER(SEARCH(" "&amp;TRIM(MID(SUBSTITUTE(TRIM(CC47)," ",REPT(" ",60)),61,60))&amp;" ",CD47))),OR(TRIM(MID(SUBSTITUTE(TRIM(CC47)," ",REPT(" ",60)),121,60))="",ISNUMBER(SEARCH(" "&amp;TRIM(MID(SUBSTITUTE(TRIM(CC47)," ",REPT(" ",60)),121,60))&amp;" ",CD47)))),1,0),0)</f>
        <v>0</v>
      </c>
      <c r="CG47" s="68" t="n">
        <f aca="false">IFERROR(LEN(SUBSTITUTE(BF47," ",""))-SUMPRODUCT((LEN(BF47)-LEN(SUBSTITUTE(BF47," "&amp;L_NAFiller&amp;" "," ")))/(LEN(L_NAFiller)+1)*LEN(L_NAFiller)),0)</f>
        <v>0</v>
      </c>
    </row>
    <row r="48" customFormat="false" ht="41.25" hidden="false" customHeight="true" outlineLevel="0" collapsed="false">
      <c r="A48" s="57" t="s">
        <v>498</v>
      </c>
      <c r="B48" s="57" t="s">
        <v>198</v>
      </c>
      <c r="C48" s="57" t="str">
        <f aca="false">Flights!$F$6</f>
        <v>MH0727</v>
      </c>
      <c r="D48" s="58" t="n">
        <f aca="false">Flights!$D$6</f>
        <v>46304</v>
      </c>
      <c r="E48" s="57" t="str">
        <f aca="false">Flights!$G$6&amp;"-"&amp;Flights!$H$6</f>
        <v>KUL-CGK</v>
      </c>
      <c r="F48" s="57" t="str">
        <f aca="false">Flights!$K$6</f>
        <v>BC</v>
      </c>
      <c r="G48" s="57" t="s">
        <v>420</v>
      </c>
      <c r="H48" s="57" t="s">
        <v>378</v>
      </c>
      <c r="I48" s="57" t="s">
        <v>499</v>
      </c>
      <c r="J48" s="57" t="s">
        <v>500</v>
      </c>
      <c r="K48" s="67" t="s">
        <v>501</v>
      </c>
      <c r="L48" s="67" t="s">
        <v>502</v>
      </c>
      <c r="M48" s="67" t="s">
        <v>451</v>
      </c>
      <c r="N48" s="67" t="s">
        <v>383</v>
      </c>
      <c r="O48" s="67" t="s">
        <v>503</v>
      </c>
      <c r="P48" s="57" t="s">
        <v>187</v>
      </c>
      <c r="Q48" s="59" t="n">
        <f aca="false">ROUND((Flights!$AE$6)*1440,0)/1440</f>
        <v>46304.0763888889</v>
      </c>
      <c r="R48" s="59" t="n">
        <f aca="false">Q48+(IF(AND(INDEX(TZ_DSTS,MATCH(P48,TZ_STN,0))&lt;&gt;"",Q48&gt;=INDEX(TZ_DSTS,MATCH(P48,TZ_STN,0)),Q48&lt;INDEX(TZ_DSTE,MATCH(P48,TZ_STN,0))),INDEX(TZ_DST,MATCH(P48,TZ_STN,0)),INDEX(TZ_STD,MATCH(P48,TZ_STN,0))))/24</f>
        <v>46304.4097222222</v>
      </c>
      <c r="S48" s="60"/>
      <c r="T48" s="60"/>
      <c r="U48" s="60"/>
      <c r="V48" s="60"/>
      <c r="W48" s="61"/>
      <c r="X48" s="60"/>
      <c r="Y48" s="60"/>
      <c r="Z48" s="60"/>
      <c r="AA48" s="60"/>
      <c r="AB48" s="60"/>
      <c r="AC48" s="60"/>
      <c r="AD48" s="66"/>
      <c r="AE48" s="60"/>
      <c r="AF48" s="61" t="str">
        <f aca="false">IF(AND(ISNUMBER(X48),ISNUMBER(Y48)),Y48-X48,"")</f>
        <v/>
      </c>
      <c r="AG48" s="62" t="str">
        <f aca="false">IF(ISNUMBER(AD48),AD48-(IF(AND(INDEX(TZ_DSTS,MATCH(P48,TZ_STN,0))&lt;&gt;"",(AD48-INDEX(TZ_STD,MATCH(P48,TZ_STN,0))/24)&gt;=INDEX(TZ_DSTS,MATCH(P48,TZ_STN,0)),(AD48-INDEX(TZ_STD,MATCH(P48,TZ_STN,0))/24)&lt;INDEX(TZ_DSTE,MATCH(P48,TZ_STN,0))),INDEX(TZ_DST,MATCH(P48,TZ_STN,0)),INDEX(TZ_STD,MATCH(P48,TZ_STN,0))))/24,"")</f>
        <v/>
      </c>
      <c r="AH48" s="65" t="str">
        <f aca="false">IFERROR(IF(N48="N/A – rule",IF(OR(TRIM(U48)="",TRIM(U48)="N/A",TRIM(U48)="Not started"),"N/A – RULE","INVALID – this check does not apply to this aircraft: clear the status (or correct the fleet on Flights)"),IF(TRIM(U48)="N/A",IF(AT48=0,"INVALID – N/A not permitted for this check",IF(AND(TRIM(AB48)&lt;&gt;"",TRIM(AB48)&lt;&gt;"Closed"),"INVALID – corrective action still open",IF(AND(NOT(OR(LEN(AZ48)&lt;15,ISNUMBER(MATCH(AZ48,L_Placeholder,0)))),BK48=0,CG48&gt;=8,NOT(OR(LEN(AU48)&lt;2,ISNUMBER(MATCH(AU48,L_Placeholder,0)))),BR48&gt;=3,NOT(OR(LEN(AX48)&lt;2,ISNUMBER(MATCH(AX48,L_Placeholder,0)))),BS48&gt;=3,TRIM(AE48)&lt;&gt;TRIM(T48),AX48&lt;&gt;AU48,CE48=0),"N/A – JUSTIFIED","INVALID – N/A needs a real, settled reason (not 'not applicable' / 'as above' / TBC), a named PIC and a different named verifier"))),IF(OR(TRIM(U48)="Pass",TRIM(U48)="Pass after CA"),IF(NOT(ISNUMBER(AD48)),"INVALID – completion time missing",IF(OR(OR(LEN(AU48)&lt;2,ISNUMBER(MATCH(AU48,L_Placeholder,0))),BR48&lt;3),"INVALID – PIC missing or not a named person (a role such as QA / CSM is not a name)",IF(OR(LEN(AV48)&lt;2,ISNUMBER(MATCH(AV48,L_Placeholder,0))),"INVALID – result / assessment missing",IF(OR(OR(LEN(AW48)&lt;3,ISNUMBER(MATCH(AW48,L_Placeholder,0))),SUMPRODUCT(--ISNUMBER(SEARCH(" "&amp;L_EvidencePhrase&amp;" ",BD48)))&gt;0,BI48=1),"INVALID – evidence missing, placeholder or not yet on file",IF(ISNA(MATCH(TRIM(S48),L_EvidenceType,0)),"INVALID – choose the evidence type from the list (column S)",IF(BL48=0,"INVALID – evidence ID must be the record's own ID only (e.g. SF-2210, IMG_2231, 1045521); a link / file name needs type 'Link / file path'",IF(OR(OR(LEN(AX48)&lt;2,ISNUMBER(MATCH(AX48,L_Placeholder,0))),BS48&lt;3),"INVALID – verifier missing or not a named person (a role such as QA / CSM is not a name)",IF(OR(AX48=AU48,CE48=1,AND(LEN(AU48)&gt;=4,ISNUMBER(SEARCH(AU48,AX48))),AND(LEN(AX48)&gt;=4,ISNUMBER(SEARCH(AX48,AU48)))),"INVALID – verifier must be a different, named person (not the PIC or a role)",IF(BH48=1,"INVALID – result not yet available (awaiting / TBC)",IF(BG48=1,"INVALID – result describes a problem: record Fail, then Pass after CA (or reword if it is not a problem)",IF(BV48=1,"INVALID – wording says not on board: an on-board confirmation needs the item loaded",IF(AND(AQ48=1,OR(OR(LEN(AY48)&lt;3,ISNUMBER(MATCH(AY48,L_Placeholder,0))),BJ48=1,BQ48=0)),"INVALID – batch ID missing, placeholder or not an ID (e.g. PASB-261008-BC-017)",IF(AND(AR48=1,OR(NOT(ISNUMBER(X48)),NOT(ISNUMBER(Y48)))),"INVALID – expected/actual qty missing",IF(AND(AR48=1,OR(X48&lt;=0,Y48&lt;0)),"INVALID – expected qty must be above 0 and actual not negative",IF(BB48&lt;&gt;"",BB48,IF(AND(AS48=1,Documents!$J$6&lt;&gt;"ON FILE"),"INVALID – GLD not on file (Documents sheet)",IF(AND(AS48=2,Documents!$O$6&lt;&gt;"ON FILE"),"INVALID – menu checklist not on file (Documents sheet)",IF(AND(AS48=3,NOT(ISNUMBER(Flights!$AX$6))),"INVALID – enter carrying flight KUL departure (Flights AX)",IF(AND(AS48=3,OR(Flights!$AZ$6&gt;Flights!$AA$6,Flights!$AX$6&lt;Flights!$AA$6-3)),"INVALID – carrying flight (Flights AX) cannot arrive before this leg's STD, or is over 3 days early",IF(AG48&gt;AsOfUTC,"INVALID – completion time is in the future",IF(AND(ISNUMBER(BY48),AG48&lt;BY48),IF(H48="Physical uplift","INVALID – before uplift window (cannot confirm loading)","INVALID – before valid window"),IF(AG48&gt;Flights!$AA$6,"INVALID – completed after departure (cannot establish readiness)",IF(AND(H48="Preparation",AG48&gt;=IF(ISNUMBER(Flights!$BA$6),MIN(Flights!$BA$6,Flights!$AA$6),Flights!$AA$6)),"INVALID – completed after loading / departure (cannot establish readiness)",IF(AND(H48="Physical uplift",AG48&gt;Q48),"INVALID – recorded after the loading flight departed",IF(AG48&gt;Q48,"COMPLETE – LATE","COMPLETE"))))))))))))))))))))))))),IF(TRIM(U48)="Fail","FAIL – DISCREPANCY",IF(AND(TRIM(U48)&lt;&gt;"",TRIM(U48)&lt;&gt;"Not started",TRIM(U48)&lt;&gt;"In progress"),"INVALID – unrecognised status (use the list)",IF(AsOfUTC&gt;Q48,"OVERDUE",IF(N48="Clarification required","OPEN – CLARIFICATION","OPEN"))))))),"INVALID – error value in an input cell")</f>
        <v>OPEN</v>
      </c>
      <c r="AI48" s="61" t="n">
        <f aca="false">IF(OR(AH48="N/A – RULE",AH48="N/A – JUSTIFIED"),0,1)</f>
        <v>1</v>
      </c>
      <c r="AJ48" s="61" t="n">
        <f aca="false">IF(LEFT(AH48,8)="COMPLETE",1,0)</f>
        <v>0</v>
      </c>
      <c r="AK48" s="61" t="n">
        <f aca="false">IF(AND(AI48=1,AJ48=0,AsOfUTC&gt;Q48),1,0)</f>
        <v>0</v>
      </c>
      <c r="AL48" s="61" t="n">
        <f aca="false">IFERROR(IF(AND(AI48=1,OR(TRIM(U48)="Fail",AND(TRIM(AB48)&lt;&gt;"",TRIM(AB48)&lt;&gt;"Closed"),AND(ISNUMBER(AF48),AF48&lt;&gt;0,TRIM(U48)&lt;&gt;"Pass after CA"))),1,0),1)</f>
        <v>0</v>
      </c>
      <c r="AM48" s="61" t="n">
        <f aca="false">IF(LEFT(AH48,7)="INVALID",1,0)</f>
        <v>0</v>
      </c>
      <c r="AN48" s="61" t="n">
        <f aca="false">IF(AND(N48="Clarification required",AI48=1,AJ48=0),1,0)</f>
        <v>0</v>
      </c>
      <c r="AO48" s="61" t="str">
        <f aca="false">IF(AK48=1,SUM(AK$5:AK48),"")</f>
        <v/>
      </c>
      <c r="AP48" s="61" t="str">
        <f aca="false">IF(AL48=1,SUM(AL$5:AL48),"")</f>
        <v/>
      </c>
      <c r="AQ48" s="61" t="n">
        <v>0</v>
      </c>
      <c r="AR48" s="61" t="n">
        <v>0</v>
      </c>
      <c r="AS48" s="61" t="n">
        <v>0</v>
      </c>
      <c r="AT48" s="61" t="n">
        <v>0</v>
      </c>
      <c r="AU48" s="61" t="str">
        <f aca="false">SUBSTITUTE(SUBSTITUTE(SUBSTITUTE(SUBSTITUTE(SUBSTITUTE(SUBSTITUTE(SUBSTITUTE(SUBSTITUTE(SUBSTITUTE(SUBSTITUTE(SUBSTITUTE(SUBSTITUTE(SUBSTITUTE(SUBSTITUTE(SUBSTITUTE(SUBSTITUTE(LOWER(T48&amp;""),CHAR(10),""),CHAR(13),""),CHAR(9),""),CHAR(160),"")," ",""),".",""),"-",""),"/",""),"?",""),"_",""),",",""),"[",""),"]",""),"(",""),")",""),"*","")</f>
        <v/>
      </c>
      <c r="AV48" s="61" t="str">
        <f aca="false">SUBSTITUTE(SUBSTITUTE(SUBSTITUTE(SUBSTITUTE(SUBSTITUTE(SUBSTITUTE(SUBSTITUTE(SUBSTITUTE(SUBSTITUTE(SUBSTITUTE(SUBSTITUTE(SUBSTITUTE(SUBSTITUTE(SUBSTITUTE(SUBSTITUTE(SUBSTITUTE(LOWER(V48&amp;""),CHAR(10),""),CHAR(13),""),CHAR(9),""),CHAR(160),"")," ",""),".",""),"-",""),"/",""),"?",""),"_",""),",",""),"[",""),"]",""),"(",""),")",""),"*","")</f>
        <v/>
      </c>
      <c r="AW48" s="61" t="str">
        <f aca="false">SUBSTITUTE(SUBSTITUTE(SUBSTITUTE(SUBSTITUTE(SUBSTITUTE(SUBSTITUTE(SUBSTITUTE(SUBSTITUTE(SUBSTITUTE(SUBSTITUTE(SUBSTITUTE(SUBSTITUTE(SUBSTITUTE(SUBSTITUTE(SUBSTITUTE(SUBSTITUTE(LOWER(Z48&amp;""),CHAR(10),""),CHAR(13),""),CHAR(9),""),CHAR(160),"")," ",""),".",""),"-",""),"/",""),"?",""),"_",""),",",""),"[",""),"]",""),"(",""),")",""),"*","")</f>
        <v/>
      </c>
      <c r="AX48" s="61" t="str">
        <f aca="false">SUBSTITUTE(SUBSTITUTE(SUBSTITUTE(SUBSTITUTE(SUBSTITUTE(SUBSTITUTE(SUBSTITUTE(SUBSTITUTE(SUBSTITUTE(SUBSTITUTE(SUBSTITUTE(SUBSTITUTE(SUBSTITUTE(SUBSTITUTE(SUBSTITUTE(SUBSTITUTE(LOWER(AE48&amp;""),CHAR(10),""),CHAR(13),""),CHAR(9),""),CHAR(160),"")," ",""),".",""),"-",""),"/",""),"?",""),"_",""),",",""),"[",""),"]",""),"(",""),")",""),"*","")</f>
        <v/>
      </c>
      <c r="AY48" s="61" t="str">
        <f aca="false">SUBSTITUTE(SUBSTITUTE(SUBSTITUTE(SUBSTITUTE(SUBSTITUTE(SUBSTITUTE(SUBSTITUTE(SUBSTITUTE(SUBSTITUTE(SUBSTITUTE(SUBSTITUTE(SUBSTITUTE(SUBSTITUTE(SUBSTITUTE(SUBSTITUTE(SUBSTITUTE(LOWER(W48&amp;""),CHAR(10),""),CHAR(13),""),CHAR(9),""),CHAR(160),"")," ",""),".",""),"-",""),"/",""),"?",""),"_",""),",",""),"[",""),"]",""),"(",""),")",""),"*","")</f>
        <v/>
      </c>
      <c r="AZ48" s="61" t="str">
        <f aca="false">SUBSTITUTE(SUBSTITUTE(SUBSTITUTE(SUBSTITUTE(SUBSTITUTE(SUBSTITUTE(SUBSTITUTE(SUBSTITUTE(SUBSTITUTE(SUBSTITUTE(SUBSTITUTE(SUBSTITUTE(SUBSTITUTE(SUBSTITUTE(SUBSTITUTE(SUBSTITUTE(LOWER(AC48&amp;""),CHAR(10),""),CHAR(13),""),CHAR(9),""),CHAR(160),"")," ",""),".",""),"-",""),"/",""),"?",""),"_",""),",",""),"[",""),"]",""),"(",""),")",""),"*","")</f>
        <v/>
      </c>
      <c r="BA48" s="61" t="str">
        <f aca="false">SUBSTITUTE(SUBSTITUTE(SUBSTITUTE(SUBSTITUTE(SUBSTITUTE(SUBSTITUTE(SUBSTITUTE(SUBSTITUTE(SUBSTITUTE(SUBSTITUTE(SUBSTITUTE(SUBSTITUTE(SUBSTITUTE(SUBSTITUTE(SUBSTITUTE(SUBSTITUTE(LOWER(AA48&amp;""),CHAR(10),""),CHAR(13),""),CHAR(9),""),CHAR(160),"")," ",""),".",""),"-",""),"/",""),"?",""),"_",""),",",""),"[",""),"]",""),"(",""),")",""),"*","")</f>
        <v/>
      </c>
      <c r="BB48" s="61" t="str">
        <f aca="false">IF(AND(TRIM(U48)="Pass",ISNUMBER(AF48)),IF(AF48&lt;&gt;0,"INVALID – qty variance: use Fail or Pass after CA",""),"")&amp;IF(AND(TRIM(U48)="Pass after CA",ISNUMBER(AF48)),IF(AF48&lt;&gt;0,"INVALID – after the corrective action the actual qty must equal expected (update Actual)",""),"")&amp;IF(AND(TRIM(U48)="Pass",TRIM(AB48)&lt;&gt;"",TRIM(AB48)&lt;&gt;"Closed"),"INVALID – corrective action not closed: use Fail, then Pass after CA","")&amp;IF(AND(LEN(BA48)&gt;=2,ISNA(MATCH(LEFT(BA48,255),L_Placeholder,0)),TRIM(AB48)=""),"INVALID – CA status missing for the recorded corrective action","")&amp;IF(AND(TRIM(U48)="Pass after CA",OR(OR(LEN(BA48)&lt;5,ISNUMBER(MATCH(BA48,L_Placeholder,0))),TRIM(AB48)&lt;&gt;"Closed")),"INVALID – corrective action not recorded/closed","")</f>
        <v/>
      </c>
      <c r="BC48" s="61" t="str">
        <f aca="false">" "&amp;TRIM(SUBSTITUTE(SUBSTITUTE(SUBSTITUTE(SUBSTITUTE(SUBSTITUTE(SUBSTITUTE(SUBSTITUTE(SUBSTITUTE(SUBSTITUTE(SUBSTITUTE(SUBSTITUTE(SUBSTITUTE(SUBSTITUTE(SUBSTITUTE(SUBSTITUTE(SUBSTITUTE(SUBSTITUTE(SUBSTITUTE(SUBSTITUTE(SUBSTITUTE(SUBSTITUTE(SUBSTITUTE(SUBSTITUTE(SUBSTITUTE(LOWER(V48&amp;""),CHAR(10)," "),CHAR(13)," "),CHAR(9)," "),CHAR(160)," "),"."," "),","," "),"-"," "),"/"," "),"("," "),")"," "),":"," "),";"," "),"_"," "),"–"," "),"?"," "),"!"," "),"*"," "),"["," "),"]"," "),"'"," "),"#"," "),"+"," "),"&amp;"," "),"\"," "))&amp;" "</f>
        <v>  </v>
      </c>
      <c r="BD48" s="61" t="str">
        <f aca="false">" "&amp;TRIM(SUBSTITUTE(SUBSTITUTE(SUBSTITUTE(SUBSTITUTE(SUBSTITUTE(SUBSTITUTE(SUBSTITUTE(SUBSTITUTE(SUBSTITUTE(SUBSTITUTE(SUBSTITUTE(SUBSTITUTE(SUBSTITUTE(SUBSTITUTE(SUBSTITUTE(SUBSTITUTE(SUBSTITUTE(SUBSTITUTE(SUBSTITUTE(SUBSTITUTE(SUBSTITUTE(SUBSTITUTE(SUBSTITUTE(SUBSTITUTE(LOWER(Z48&amp;""),CHAR(10)," "),CHAR(13)," "),CHAR(9)," "),CHAR(160)," "),"."," "),","," "),"-"," "),"/"," "),"("," "),")"," "),":"," "),";"," "),"_"," "),"–"," "),"?"," "),"!"," "),"*"," "),"["," "),"]"," "),"'"," "),"#"," "),"+"," "),"&amp;"," "),"\"," "))&amp;" "</f>
        <v>  </v>
      </c>
      <c r="BE48" s="61" t="str">
        <f aca="false">" "&amp;TRIM(SUBSTITUTE(SUBSTITUTE(SUBSTITUTE(SUBSTITUTE(SUBSTITUTE(SUBSTITUTE(SUBSTITUTE(SUBSTITUTE(SUBSTITUTE(SUBSTITUTE(SUBSTITUTE(SUBSTITUTE(SUBSTITUTE(SUBSTITUTE(SUBSTITUTE(SUBSTITUTE(SUBSTITUTE(SUBSTITUTE(SUBSTITUTE(SUBSTITUTE(SUBSTITUTE(SUBSTITUTE(SUBSTITUTE(SUBSTITUTE(LOWER(W48&amp;""),CHAR(10)," "),CHAR(13)," "),CHAR(9)," "),CHAR(160)," "),"."," "),","," "),"-"," "),"/"," "),"("," "),")"," "),":"," "),";"," "),"_"," "),"–"," "),"?"," "),"!"," "),"*"," "),"["," "),"]"," "),"'"," "),"#"," "),"+"," "),"&amp;"," "),"\"," "))&amp;" "</f>
        <v>  </v>
      </c>
      <c r="BF48" s="61" t="str">
        <f aca="false">" "&amp;TRIM(SUBSTITUTE(SUBSTITUTE(SUBSTITUTE(SUBSTITUTE(SUBSTITUTE(SUBSTITUTE(SUBSTITUTE(SUBSTITUTE(SUBSTITUTE(SUBSTITUTE(SUBSTITUTE(SUBSTITUTE(SUBSTITUTE(SUBSTITUTE(SUBSTITUTE(SUBSTITUTE(SUBSTITUTE(SUBSTITUTE(SUBSTITUTE(SUBSTITUTE(SUBSTITUTE(SUBSTITUTE(SUBSTITUTE(SUBSTITUTE(LOWER(AC48&amp;""),CHAR(10)," "),CHAR(13)," "),CHAR(9)," "),CHAR(160)," "),"."," "),","," "),"-"," "),"/"," "),"("," "),")"," "),":"," "),";"," "),"_"," "),"–"," "),"?"," "),"!"," "),"*"," "),"["," "),"]"," "),"'"," "),"#"," "),"+"," "),"&amp;"," "),"\"," "))&amp;" "</f>
        <v>  </v>
      </c>
      <c r="BG48" s="61" t="n">
        <f aca="false">IFERROR(IF(AND(TRIM(U48)="Pass",SUMPRODUCT((LEN(BC48)-LEN(SUBSTITUTE(BC48," "&amp;L_ResultBad&amp;" "," ")))/(LEN(L_ResultBad)+1))&gt;SUMPRODUCT((LEN(BC48)-LEN(SUBSTITUTE(BC48," "&amp;L_NegPhrase&amp;" "," ")))/(LEN(L_NegPhrase)+1))),1,0),0)</f>
        <v>0</v>
      </c>
      <c r="BH48" s="61" t="n">
        <f aca="false">IFERROR(IF(SUMPRODUCT((LEN(BC48)-LEN(SUBSTITUTE(BC48," "&amp;L_Pending&amp;" "," ")))/(LEN(L_Pending)+1))&gt;SUMPRODUCT((LEN(BC48)-LEN(SUBSTITUTE(BC48," "&amp;L_PendNeg&amp;" "," ")))/(LEN(L_PendNeg)+1))+SUMPRODUCT((LEN(BC48)-LEN(SUBSTITUTE(BC48," "&amp;L_PendPrep&amp;" "," ")))/(LEN(L_PendPrep)+1)),1,0),1)</f>
        <v>0</v>
      </c>
      <c r="BI48" s="61" t="n">
        <f aca="false">IFERROR(IF(SUMPRODUCT((LEN(BD48)-LEN(SUBSTITUTE(BD48," "&amp;L_PendStrict&amp;" "," ")))/(LEN(L_PendStrict)+1))&gt;SUMPRODUCT((LEN(BD48)-LEN(SUBSTITUTE(BD48," "&amp;L_PendNeg&amp;" "," ")))/(LEN(L_PendNeg)+1)),1,0),1)</f>
        <v>0</v>
      </c>
      <c r="BJ48" s="61" t="n">
        <f aca="false">IFERROR(IF(SUMPRODUCT((LEN(BE48)-LEN(SUBSTITUTE(BE48," "&amp;L_Pending&amp;" "," ")))/(LEN(L_Pending)+1))&gt;SUMPRODUCT((LEN(BE48)-LEN(SUBSTITUTE(BE48," "&amp;L_PendNeg&amp;" "," ")))/(LEN(L_PendNeg)+1))+SUMPRODUCT((LEN(BE48)-LEN(SUBSTITUTE(BE48," "&amp;L_PendPrep&amp;" "," ")))/(LEN(L_PendPrep)+1)),1,0),1)</f>
        <v>0</v>
      </c>
      <c r="BK48" s="61" t="n">
        <f aca="false">IFERROR(IF(SUMPRODUCT((LEN(BF48)-LEN(SUBSTITUTE(BF48," "&amp;L_PendStrict&amp;" "," ")))/(LEN(L_PendStrict)+1))&gt;SUMPRODUCT((LEN(BF48)-LEN(SUBSTITUTE(BF48," "&amp;L_PendNeg&amp;" "," ")))/(LEN(L_PendNeg)+1)),1,0),1)</f>
        <v>0</v>
      </c>
      <c r="BL48" s="61" t="n">
        <f aca="false">IF(ISNA(MATCH(TRIM(S48),L_EvidenceType,0)),0,BZ48)</f>
        <v>0</v>
      </c>
      <c r="BM48" s="61" t="str">
        <f aca="false">SUBSTITUTE(SUBSTITUTE(SUBSTITUTE(SUBSTITUTE(SUBSTITUTE(SUBSTITUTE(SUBSTITUTE(SUBSTITUTE(SUBSTITUTE(LOWER(Z48&amp;""),"1","0"),"2","0"),"3","0"),"4","0"),"5","0"),"6","0"),"7","0"),"8","0"),"9","0")</f>
        <v/>
      </c>
      <c r="BN48" s="61" t="str">
        <f aca="false">SUBSTITUTE(SUBSTITUTE(SUBSTITUTE(SUBSTITUTE(SUBSTITUTE(SUBSTITUTE(SUBSTITUTE(SUBSTITUTE(SUBSTITUTE(SUBSTITUTE(SUBSTITUTE(SUBSTITUTE(SUBSTITUTE(SUBSTITUTE(SUBSTITUTE(SUBSTITUTE(SUBSTITUTE(SUBSTITUTE(SUBSTITUTE(SUBSTITUTE(SUBSTITUTE(SUBSTITUTE(SUBSTITUTE(SUBSTITUTE(SUBSTITUTE(BM48,"b","a"),"c","a"),"d","a"),"e","a"),"f","a"),"g","a"),"h","a"),"i","a"),"j","a"),"k","a"),"l","a"),"m","a"),"n","a"),"o","a"),"p","a"),"q","a"),"r","a"),"s","a"),"t","a"),"u","a"),"v","a"),"w","a"),"x","a"),"y","a"),"z","a")</f>
        <v/>
      </c>
      <c r="BO48" s="61" t="str">
        <f aca="false">SUBSTITUTE(SUBSTITUTE(SUBSTITUTE(SUBSTITUTE(SUBSTITUTE(SUBSTITUTE(SUBSTITUTE(SUBSTITUTE(SUBSTITUTE(LOWER(W48&amp;""),"1","0"),"2","0"),"3","0"),"4","0"),"5","0"),"6","0"),"7","0"),"8","0"),"9","0")</f>
        <v/>
      </c>
      <c r="BP48" s="61" t="str">
        <f aca="false">SUBSTITUTE(SUBSTITUTE(SUBSTITUTE(SUBSTITUTE(SUBSTITUTE(SUBSTITUTE(SUBSTITUTE(SUBSTITUTE(SUBSTITUTE(SUBSTITUTE(SUBSTITUTE(SUBSTITUTE(SUBSTITUTE(SUBSTITUTE(SUBSTITUTE(SUBSTITUTE(SUBSTITUTE(SUBSTITUTE(SUBSTITUTE(SUBSTITUTE(SUBSTITUTE(SUBSTITUTE(SUBSTITUTE(SUBSTITUTE(SUBSTITUTE(BO48,"b","a"),"c","a"),"d","a"),"e","a"),"f","a"),"g","a"),"h","a"),"i","a"),"j","a"),"k","a"),"l","a"),"m","a"),"n","a"),"o","a"),"p","a"),"q","a"),"r","a"),"s","a"),"t","a"),"u","a"),"v","a"),"w","a"),"x","a"),"y","a"),"z","a")</f>
        <v/>
      </c>
      <c r="BQ48" s="61" t="n">
        <f aca="false">IFERROR(IF(AND(ISERROR(SEARCH(" mh"," "&amp;LOWER(W48))),ISNA(MATCH(LEFT(TRIM(BP48),255),{"0000a","000a","00a","0000aa","000aa","00aa","0aa","0000aaa","000aaa","00a00","0a00","0000-0000","00:00","a00","a0","00.00.0000","00/00/0000","00-00-0000","0000-00-00","0000/00/00","0000.00.00","00.00.00","00/00/00","00-00-00","0.00.0000","0/00/0000","0-00-0000"},0)),ISNA(MATCH(LEFT(TRIM(CA48),255),{"0000a","000a","00a","0000aa","000aa","00aa","0aa","0000aaa","000aaa","00a00","0a00","0000-0000","00:00","a00","a0","00.00.0000","00/00/0000","00-00-0000","0000-00-00","0000/00/00","0000.00.00","00.00.00","00/00/00","00-00-00","0.00.0000","0/00/0000","0-00-0000"},0)),LEN(CB48)&gt;=3,NOT(OR(SUBSTITUTE(CB48,"0","")="",AND(LEN(CB48)&gt;=4,CB48=REPT(LEFT(CB48),LEN(CB48))),ISNUMBER(MATCH(CB48,{"123","1234","12345","123456","1234567","12345678","0123","01234","012345","98765","987654","54321"},0)),AND(LEN(CB48)=8,LEFT(CB48,3)="202"))),OR(AND((LEN(CA48)-LEN(SUBSTITUTE(CA48,"a","")))&gt;=1,SUMPRODUCT(--ISNUMBER(SEARCH({"a0","a-0","a_0","a/0","a.0","a#0","0a","0-a","0_a","0/a"},BP48)))&gt;0),ISNUMBER(SEARCH("000000",BP48)))),1,0),0)</f>
        <v>0</v>
      </c>
      <c r="BR48" s="61" t="n">
        <f aca="false">IFERROR(LEN(SUBSTITUTE(CC48," ",""))-SUMPRODUCT((LEN(CC48)-LEN(SUBSTITUTE(CC48," "&amp;L_Role&amp;" "," ")))/(LEN(L_Role)+1)*LEN(L_Role)),0)</f>
        <v>0</v>
      </c>
      <c r="BS48" s="61" t="n">
        <f aca="false">IFERROR(LEN(SUBSTITUTE(CD48," ",""))-SUMPRODUCT((LEN(CD48)-LEN(SUBSTITUTE(CD48," "&amp;L_Role&amp;" "," ")))/(LEN(L_Role)+1)*LEN(L_Role)),0)</f>
        <v>0</v>
      </c>
      <c r="BT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revision",""),"version",""),"jan",""),"feb",""),"mar",""),"apr",""),"may",""),"jun",""),"jul",""),"aug",""),"sep",""),"oct",""),"nov",""),"dec",""),"utc",""),"gmt",""),"myt",""),"bst",""),"rev",""),"ver",""),"b","a"),"c","a"),"d","a"),"e","a"),"f","a"),"g","a"),"h","a"),"i","a"),"j","a"),"k","a"),"l","a"),"m","a"),"n","a"),"o","a"),"p","a"),"q","a"),"r","a"),"s","a"),"t","a"),"u","a"),"v","a"),"w","a"),"x","a"),"y","a"),"z","a")</f>
        <v/>
      </c>
      <c r="BU48" s="61" t="str">
        <f aca="false">SUBSTITUTE(SUBSTITUTE(SUBSTITUTE(SUBSTITUTE(SUBSTITUTE(SUBSTITUTE(SUBSTITUTE(SUBSTITUTE(SUBSTITUTE(SUBSTITUTE(LEFT(BM48,FIND("0",BM48&amp;"0")-1),"-",""),"_",""),"/",""),".",""),"#",""),"\\",""),":","")," ",""),"(",""),")","")</f>
        <v/>
      </c>
      <c r="BV48" s="61" t="n">
        <f aca="false">0</f>
        <v>0</v>
      </c>
      <c r="BW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amp;""),"a",""),"b",""),"c",""),"d",""),"e",""),"f",""),"g",""),"h",""),"i",""),"j",""),"k",""),"l",""),"m",""),"n",""),"o",""),"p",""),"q",""),"r",""),"s",""),"t",""),"u",""),"v",""),"w",""),"x",""),"y",""),"z",""),"-",""),"_",""),"/",""),".",""),"#",""),"\\",""),":","")," ",""),"(",""),")","")</f>
        <v/>
      </c>
      <c r="BX48" s="61" t="str">
        <f aca="false">SUBSTITUTE(SUBSTITUTE(SUBSTITUTE(SUBSTITUTE(SUBSTITUTE(SUBSTITUTE(SUBSTITUTE(SUBSTITUTE(SUBSTITUTE(SUBSTITUTE(SUBSTITUTE(BM48,"0",""),"-",""),"_",""),"/",""),".",""),"#",""),"\\",""),":","")," ",""),"(",""),")","")</f>
        <v/>
      </c>
      <c r="BY48" s="62" t="n">
        <f aca="false">Q48-T12EarlyH/24</f>
        <v>46303.5763888889</v>
      </c>
      <c r="BZ48" s="61" t="n">
        <f aca="false">IFERROR(IF(IF(TRIM(S48)="Link / file path",AND(LEN(TRIM(Z48))&gt;=5,SUMPRODUCT(--ISNUMBER(SEARCH({"http","www.","\\",":\",".pdf",".jpg",".jpeg",".png",".heic",".xls",".doc",".msg",".eml",".ppt",".txt",".zip"},Z48)))&gt;0),AND(ISERROR(FIND(" ",TRIM(Z48))),NOT(OR(SUMPRODUCT(--ISNUMBER(FIND({",",";","&amp;","+"},Z48)))&gt;0,SUMPRODUCT(--ISNUMBER(SEARCH({"0/aa","0\\aa"},BN48)))&gt;0)),NOT(SUMPRODUCT(--ISNUMBER(SEARCH({"http","www.","\\",":\",".pdf",".jpg",".jpeg",".png",".heic",".xls",".doc",".msg",".eml",".ppt",".txt",".zip"},Z48)))&gt;0),NOT(LOWER(TRIM(Z48))=LOWER(Flights!$F$6)),ISNA(MATCH(BU48,{"mh","rev","revision","ver","version","v","r","a","b","seat","tray","row","gate","bay","stand","page","pg","item","line","no","cart","galley","flight","flt","table","box","bag","oven","etd","eta","std","sta","atd","ata","qty","pax","x","time","tel","ph","mob","day","wk","week","utc","gmt","myt","lt"},0)),NOT(OR(ISNUMBER(MATCH(LEFT(BN48,255),{"0000a","000a","00a","0000aa","000aa","00aa","0aa","0000aaa","000aaa","00a00","0a00","0000-0000","00:00","a00","a0","00.00.0000","00/00/0000","00-00-0000","0000-00-00","0000/00/00","0000.00.00","00.00.00","00/00/00","00-00-00","0.00.0000","0/00/0000","0-00-0000"},0)),ISNUMBER(MATCH(LEFT(BT48,255),{"0000a","000a","00a","0000aa","000aa","00aa","0aa","0000aaa","000aaa","00a00","0a00","0000-0000","00:00","a00","a0","00.00.0000","00/00/0000","00-00-0000","0000-00-00","0000/00/00","0000.00.00","00.00.00","00/00/00","00-00-00","0.00.0000","0/00/0000","0-00-0000"},0)))),NOT(OR(AND(BW48&lt;&gt;"",SUBSTITUTE(BW48,"0","")=""),AND(LEN(BW48)&gt;=4,BW48=REPT(LEFT(BW48),LEN(BW48))),ISNUMBER(MATCH(BW48,{"123","1234","12345","123456","1234567","12345678","0123","01234","012345","98765","987654","54321"},0)),ISNUMBER(MATCH(BX48,{"x","xx","xxx","xxxx","xxxxx","abc","abcd","nil","na","nan","test","tbc","tba","tbd","dummy","sample","example","eg","zz","zzz","none","null","xyz","qwe","asd","id","ref"},0)),AND(LEN(BW48)=8,BX48="",OR(LEFT(BW48,3)="202",ISNUMBER(MATCH(RIGHT(BW48,4),{"2025","2026","2027"},0)))))),OR(AND((LEN(BT48)-LEN(SUBSTITUTE(BT48,"a","")))&gt;=1,(LEN(BN48)-LEN(SUBSTITUTE(BN48,"0","")))&gt;=2,SUMPRODUCT(--ISNUMBER(SEARCH({"a0","a-0","a_0","a/0","a.0","a#0","0a","0-a","0_a","0/a"},BN48)))&gt;0),AND((LEN(BN48)-LEN(SUBSTITUTE(BN48,"a","")))=0,(LEN(BN48)-LEN(SUBSTITUTE(BN48,"0","")))&gt;=5)))),1,0),0)</f>
        <v>0</v>
      </c>
      <c r="CA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revision",""),"version",""),"jan",""),"feb",""),"mar",""),"apr",""),"may",""),"jun",""),"jul",""),"aug",""),"sep",""),"oct",""),"nov",""),"dec",""),"utc",""),"gmt",""),"myt",""),"bst",""),"rev",""),"ver",""),"b","a"),"c","a"),"d","a"),"e","a"),"f","a"),"g","a"),"h","a"),"i","a"),"j","a"),"k","a"),"l","a"),"m","a"),"n","a"),"o","a"),"p","a"),"q","a"),"r","a"),"s","a"),"t","a"),"u","a"),"v","a"),"w","a"),"x","a"),"y","a"),"z","a")</f>
        <v/>
      </c>
      <c r="CB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amp;""),"a",""),"b",""),"c",""),"d",""),"e",""),"f",""),"g",""),"h",""),"i",""),"j",""),"k",""),"l",""),"m",""),"n",""),"o",""),"p",""),"q",""),"r",""),"s",""),"t",""),"u",""),"v",""),"w",""),"x",""),"y",""),"z",""),"-",""),"_",""),"/",""),".",""),"#",""),"\\",""),":","")," ",""),"(",""),")","")</f>
        <v/>
      </c>
      <c r="CC48" s="0" t="str">
        <f aca="false">" "&amp;TRIM(SUBSTITUTE(SUBSTITUTE(SUBSTITUTE(SUBSTITUTE(SUBSTITUTE(SUBSTITUTE(SUBSTITUTE(SUBSTITUTE(SUBSTITUTE(SUBSTITUTE(SUBSTITUTE(SUBSTITUTE(SUBSTITUTE(SUBSTITUTE(SUBSTITUTE(SUBSTITUTE(SUBSTITUTE(SUBSTITUTE(SUBSTITUTE(SUBSTITUTE(SUBSTITUTE(SUBSTITUTE(SUBSTITUTE(SUBSTITUTE(LOWER(T48&amp;""),CHAR(10)," "),CHAR(13)," "),CHAR(9)," "),CHAR(160)," "),"."," "),","," "),"-"," "),"/"," "),"("," "),")"," "),":"," "),";"," "),"_"," "),"–"," "),"?"," "),"!"," "),"*"," "),"["," "),"]"," "),"'"," "),"#"," "),"+"," "),"&amp;"," "),"\"," "))&amp;" "</f>
        <v>  </v>
      </c>
      <c r="CD48" s="0" t="str">
        <f aca="false">" "&amp;TRIM(SUBSTITUTE(SUBSTITUTE(SUBSTITUTE(SUBSTITUTE(SUBSTITUTE(SUBSTITUTE(SUBSTITUTE(SUBSTITUTE(SUBSTITUTE(SUBSTITUTE(SUBSTITUTE(SUBSTITUTE(SUBSTITUTE(SUBSTITUTE(SUBSTITUTE(SUBSTITUTE(SUBSTITUTE(SUBSTITUTE(SUBSTITUTE(SUBSTITUTE(SUBSTITUTE(SUBSTITUTE(SUBSTITUTE(SUBSTITUTE(LOWER(AE48&amp;""),CHAR(10)," "),CHAR(13)," "),CHAR(9)," "),CHAR(160)," "),"."," "),","," "),"-"," "),"/"," "),"("," "),")"," "),":"," "),";"," "),"_"," "),"–"," "),"?"," "),"!"," "),"*"," "),"["," "),"]"," "),"'"," "),"#"," "),"+"," "),"&amp;"," "),"\"," "))&amp;" "</f>
        <v>  </v>
      </c>
      <c r="CE48" s="68" t="n">
        <f aca="false">IFERROR(IF(AND(LEN(AU48)&gt;0,LEN(AU48)=LEN(AX48),OR(TRIM(MID(SUBSTITUTE(TRIM(CC48)," ",REPT(" ",60)),1,60))="",ISNUMBER(SEARCH(" "&amp;TRIM(MID(SUBSTITUTE(TRIM(CC48)," ",REPT(" ",60)),1,60))&amp;" ",CD48))),OR(TRIM(MID(SUBSTITUTE(TRIM(CC48)," ",REPT(" ",60)),61,60))="",ISNUMBER(SEARCH(" "&amp;TRIM(MID(SUBSTITUTE(TRIM(CC48)," ",REPT(" ",60)),61,60))&amp;" ",CD48))),OR(TRIM(MID(SUBSTITUTE(TRIM(CC48)," ",REPT(" ",60)),121,60))="",ISNUMBER(SEARCH(" "&amp;TRIM(MID(SUBSTITUTE(TRIM(CC48)," ",REPT(" ",60)),121,60))&amp;" ",CD48)))),1,0),0)</f>
        <v>0</v>
      </c>
      <c r="CG48" s="68" t="n">
        <f aca="false">IFERROR(LEN(SUBSTITUTE(BF48," ",""))-SUMPRODUCT((LEN(BF48)-LEN(SUBSTITUTE(BF48," "&amp;L_NAFiller&amp;" "," ")))/(LEN(L_NAFiller)+1)*LEN(L_NAFiller)),0)</f>
        <v>0</v>
      </c>
    </row>
    <row r="49" customFormat="false" ht="41.25" hidden="false" customHeight="true" outlineLevel="0" collapsed="false">
      <c r="A49" s="57" t="s">
        <v>504</v>
      </c>
      <c r="B49" s="57" t="s">
        <v>198</v>
      </c>
      <c r="C49" s="57" t="str">
        <f aca="false">Flights!$F$6</f>
        <v>MH0727</v>
      </c>
      <c r="D49" s="58" t="n">
        <f aca="false">Flights!$D$6</f>
        <v>46304</v>
      </c>
      <c r="E49" s="57" t="str">
        <f aca="false">Flights!$G$6&amp;"-"&amp;Flights!$H$6</f>
        <v>KUL-CGK</v>
      </c>
      <c r="F49" s="57" t="str">
        <f aca="false">Flights!$K$6</f>
        <v>BC</v>
      </c>
      <c r="G49" s="57" t="s">
        <v>420</v>
      </c>
      <c r="H49" s="57" t="s">
        <v>378</v>
      </c>
      <c r="I49" s="57" t="s">
        <v>499</v>
      </c>
      <c r="J49" s="57" t="s">
        <v>505</v>
      </c>
      <c r="K49" s="67" t="s">
        <v>501</v>
      </c>
      <c r="L49" s="67" t="s">
        <v>506</v>
      </c>
      <c r="M49" s="67" t="s">
        <v>451</v>
      </c>
      <c r="N49" s="67" t="s">
        <v>383</v>
      </c>
      <c r="O49" s="67" t="s">
        <v>503</v>
      </c>
      <c r="P49" s="57" t="s">
        <v>187</v>
      </c>
      <c r="Q49" s="59" t="n">
        <f aca="false">ROUND((Flights!$AE$6)*1440,0)/1440</f>
        <v>46304.0763888889</v>
      </c>
      <c r="R49" s="59" t="n">
        <f aca="false">Q49+(IF(AND(INDEX(TZ_DSTS,MATCH(P49,TZ_STN,0))&lt;&gt;"",Q49&gt;=INDEX(TZ_DSTS,MATCH(P49,TZ_STN,0)),Q49&lt;INDEX(TZ_DSTE,MATCH(P49,TZ_STN,0))),INDEX(TZ_DST,MATCH(P49,TZ_STN,0)),INDEX(TZ_STD,MATCH(P49,TZ_STN,0))))/24</f>
        <v>46304.4097222222</v>
      </c>
      <c r="S49" s="60"/>
      <c r="T49" s="60"/>
      <c r="U49" s="60"/>
      <c r="V49" s="60"/>
      <c r="W49" s="61"/>
      <c r="X49" s="60"/>
      <c r="Y49" s="60"/>
      <c r="Z49" s="60"/>
      <c r="AA49" s="60"/>
      <c r="AB49" s="60"/>
      <c r="AC49" s="60"/>
      <c r="AD49" s="66"/>
      <c r="AE49" s="60"/>
      <c r="AF49" s="61" t="str">
        <f aca="false">IF(AND(ISNUMBER(X49),ISNUMBER(Y49)),Y49-X49,"")</f>
        <v/>
      </c>
      <c r="AG49" s="62" t="str">
        <f aca="false">IF(ISNUMBER(AD49),AD49-(IF(AND(INDEX(TZ_DSTS,MATCH(P49,TZ_STN,0))&lt;&gt;"",(AD49-INDEX(TZ_STD,MATCH(P49,TZ_STN,0))/24)&gt;=INDEX(TZ_DSTS,MATCH(P49,TZ_STN,0)),(AD49-INDEX(TZ_STD,MATCH(P49,TZ_STN,0))/24)&lt;INDEX(TZ_DSTE,MATCH(P49,TZ_STN,0))),INDEX(TZ_DST,MATCH(P49,TZ_STN,0)),INDEX(TZ_STD,MATCH(P49,TZ_STN,0))))/24,"")</f>
        <v/>
      </c>
      <c r="AH49" s="65" t="str">
        <f aca="false">IFERROR(IF(N49="N/A – rule",IF(OR(TRIM(U49)="",TRIM(U49)="N/A",TRIM(U49)="Not started"),"N/A – RULE","INVALID – this check does not apply to this aircraft: clear the status (or correct the fleet on Flights)"),IF(TRIM(U49)="N/A",IF(AT49=0,"INVALID – N/A not permitted for this check",IF(AND(TRIM(AB49)&lt;&gt;"",TRIM(AB49)&lt;&gt;"Closed"),"INVALID – corrective action still open",IF(AND(NOT(OR(LEN(AZ49)&lt;15,ISNUMBER(MATCH(AZ49,L_Placeholder,0)))),BK49=0,CG49&gt;=8,NOT(OR(LEN(AU49)&lt;2,ISNUMBER(MATCH(AU49,L_Placeholder,0)))),BR49&gt;=3,NOT(OR(LEN(AX49)&lt;2,ISNUMBER(MATCH(AX49,L_Placeholder,0)))),BS49&gt;=3,TRIM(AE49)&lt;&gt;TRIM(T49),AX49&lt;&gt;AU49,CE49=0),"N/A – JUSTIFIED","INVALID – N/A needs a real, settled reason (not 'not applicable' / 'as above' / TBC), a named PIC and a different named verifier"))),IF(OR(TRIM(U49)="Pass",TRIM(U49)="Pass after CA"),IF(NOT(ISNUMBER(AD49)),"INVALID – completion time missing",IF(OR(OR(LEN(AU49)&lt;2,ISNUMBER(MATCH(AU49,L_Placeholder,0))),BR49&lt;3),"INVALID – PIC missing or not a named person (a role such as QA / CSM is not a name)",IF(OR(LEN(AV49)&lt;2,ISNUMBER(MATCH(AV49,L_Placeholder,0))),"INVALID – result / assessment missing",IF(OR(OR(LEN(AW49)&lt;3,ISNUMBER(MATCH(AW49,L_Placeholder,0))),SUMPRODUCT(--ISNUMBER(SEARCH(" "&amp;L_EvidencePhrase&amp;" ",BD49)))&gt;0,BI49=1),"INVALID – evidence missing, placeholder or not yet on file",IF(ISNA(MATCH(TRIM(S49),L_EvidenceType,0)),"INVALID – choose the evidence type from the list (column S)",IF(BL49=0,"INVALID – evidence ID must be the record's own ID only (e.g. SF-2210, IMG_2231, 1045521); a link / file name needs type 'Link / file path'",IF(OR(OR(LEN(AX49)&lt;2,ISNUMBER(MATCH(AX49,L_Placeholder,0))),BS49&lt;3),"INVALID – verifier missing or not a named person (a role such as QA / CSM is not a name)",IF(OR(AX49=AU49,CE49=1,AND(LEN(AU49)&gt;=4,ISNUMBER(SEARCH(AU49,AX49))),AND(LEN(AX49)&gt;=4,ISNUMBER(SEARCH(AX49,AU49)))),"INVALID – verifier must be a different, named person (not the PIC or a role)",IF(BH49=1,"INVALID – result not yet available (awaiting / TBC)",IF(BG49=1,"INVALID – result describes a problem: record Fail, then Pass after CA (or reword if it is not a problem)",IF(BV49=1,"INVALID – wording says not on board: an on-board confirmation needs the item loaded",IF(AND(AQ49=1,OR(OR(LEN(AY49)&lt;3,ISNUMBER(MATCH(AY49,L_Placeholder,0))),BJ49=1,BQ49=0)),"INVALID – batch ID missing, placeholder or not an ID (e.g. PASB-261008-BC-017)",IF(AND(AR49=1,OR(NOT(ISNUMBER(X49)),NOT(ISNUMBER(Y49)))),"INVALID – expected/actual qty missing",IF(AND(AR49=1,OR(X49&lt;=0,Y49&lt;0)),"INVALID – expected qty must be above 0 and actual not negative",IF(BB49&lt;&gt;"",BB49,IF(AND(AS49=1,Documents!$J$6&lt;&gt;"ON FILE"),"INVALID – GLD not on file (Documents sheet)",IF(AND(AS49=2,Documents!$O$6&lt;&gt;"ON FILE"),"INVALID – menu checklist not on file (Documents sheet)",IF(AND(AS49=3,NOT(ISNUMBER(Flights!$AX$6))),"INVALID – enter carrying flight KUL departure (Flights AX)",IF(AND(AS49=3,OR(Flights!$AZ$6&gt;Flights!$AA$6,Flights!$AX$6&lt;Flights!$AA$6-3)),"INVALID – carrying flight (Flights AX) cannot arrive before this leg's STD, or is over 3 days early",IF(AG49&gt;AsOfUTC,"INVALID – completion time is in the future",IF(AND(ISNUMBER(BY49),AG49&lt;BY49),IF(H49="Physical uplift","INVALID – before uplift window (cannot confirm loading)","INVALID – before valid window"),IF(AG49&gt;Flights!$AA$6,"INVALID – completed after departure (cannot establish readiness)",IF(AND(H49="Preparation",AG49&gt;=IF(ISNUMBER(Flights!$BA$6),MIN(Flights!$BA$6,Flights!$AA$6),Flights!$AA$6)),"INVALID – completed after loading / departure (cannot establish readiness)",IF(AND(H49="Physical uplift",AG49&gt;Q49),"INVALID – recorded after the loading flight departed",IF(AG49&gt;Q49,"COMPLETE – LATE","COMPLETE"))))))))))))))))))))))))),IF(TRIM(U49)="Fail","FAIL – DISCREPANCY",IF(AND(TRIM(U49)&lt;&gt;"",TRIM(U49)&lt;&gt;"Not started",TRIM(U49)&lt;&gt;"In progress"),"INVALID – unrecognised status (use the list)",IF(AsOfUTC&gt;Q49,"OVERDUE",IF(N49="Clarification required","OPEN – CLARIFICATION","OPEN"))))))),"INVALID – error value in an input cell")</f>
        <v>OPEN</v>
      </c>
      <c r="AI49" s="61" t="n">
        <f aca="false">IF(OR(AH49="N/A – RULE",AH49="N/A – JUSTIFIED"),0,1)</f>
        <v>1</v>
      </c>
      <c r="AJ49" s="61" t="n">
        <f aca="false">IF(LEFT(AH49,8)="COMPLETE",1,0)</f>
        <v>0</v>
      </c>
      <c r="AK49" s="61" t="n">
        <f aca="false">IF(AND(AI49=1,AJ49=0,AsOfUTC&gt;Q49),1,0)</f>
        <v>0</v>
      </c>
      <c r="AL49" s="61" t="n">
        <f aca="false">IFERROR(IF(AND(AI49=1,OR(TRIM(U49)="Fail",AND(TRIM(AB49)&lt;&gt;"",TRIM(AB49)&lt;&gt;"Closed"),AND(ISNUMBER(AF49),AF49&lt;&gt;0,TRIM(U49)&lt;&gt;"Pass after CA"))),1,0),1)</f>
        <v>0</v>
      </c>
      <c r="AM49" s="61" t="n">
        <f aca="false">IF(LEFT(AH49,7)="INVALID",1,0)</f>
        <v>0</v>
      </c>
      <c r="AN49" s="61" t="n">
        <f aca="false">IF(AND(N49="Clarification required",AI49=1,AJ49=0),1,0)</f>
        <v>0</v>
      </c>
      <c r="AO49" s="61" t="str">
        <f aca="false">IF(AK49=1,SUM(AK$5:AK49),"")</f>
        <v/>
      </c>
      <c r="AP49" s="61" t="str">
        <f aca="false">IF(AL49=1,SUM(AL$5:AL49),"")</f>
        <v/>
      </c>
      <c r="AQ49" s="61" t="n">
        <v>0</v>
      </c>
      <c r="AR49" s="61" t="n">
        <v>0</v>
      </c>
      <c r="AS49" s="61" t="n">
        <v>0</v>
      </c>
      <c r="AT49" s="61" t="n">
        <v>0</v>
      </c>
      <c r="AU49" s="61" t="str">
        <f aca="false">SUBSTITUTE(SUBSTITUTE(SUBSTITUTE(SUBSTITUTE(SUBSTITUTE(SUBSTITUTE(SUBSTITUTE(SUBSTITUTE(SUBSTITUTE(SUBSTITUTE(SUBSTITUTE(SUBSTITUTE(SUBSTITUTE(SUBSTITUTE(SUBSTITUTE(SUBSTITUTE(LOWER(T49&amp;""),CHAR(10),""),CHAR(13),""),CHAR(9),""),CHAR(160),"")," ",""),".",""),"-",""),"/",""),"?",""),"_",""),",",""),"[",""),"]",""),"(",""),")",""),"*","")</f>
        <v/>
      </c>
      <c r="AV49" s="61" t="str">
        <f aca="false">SUBSTITUTE(SUBSTITUTE(SUBSTITUTE(SUBSTITUTE(SUBSTITUTE(SUBSTITUTE(SUBSTITUTE(SUBSTITUTE(SUBSTITUTE(SUBSTITUTE(SUBSTITUTE(SUBSTITUTE(SUBSTITUTE(SUBSTITUTE(SUBSTITUTE(SUBSTITUTE(LOWER(V49&amp;""),CHAR(10),""),CHAR(13),""),CHAR(9),""),CHAR(160),"")," ",""),".",""),"-",""),"/",""),"?",""),"_",""),",",""),"[",""),"]",""),"(",""),")",""),"*","")</f>
        <v/>
      </c>
      <c r="AW49" s="61" t="str">
        <f aca="false">SUBSTITUTE(SUBSTITUTE(SUBSTITUTE(SUBSTITUTE(SUBSTITUTE(SUBSTITUTE(SUBSTITUTE(SUBSTITUTE(SUBSTITUTE(SUBSTITUTE(SUBSTITUTE(SUBSTITUTE(SUBSTITUTE(SUBSTITUTE(SUBSTITUTE(SUBSTITUTE(LOWER(Z49&amp;""),CHAR(10),""),CHAR(13),""),CHAR(9),""),CHAR(160),"")," ",""),".",""),"-",""),"/",""),"?",""),"_",""),",",""),"[",""),"]",""),"(",""),")",""),"*","")</f>
        <v/>
      </c>
      <c r="AX49" s="61" t="str">
        <f aca="false">SUBSTITUTE(SUBSTITUTE(SUBSTITUTE(SUBSTITUTE(SUBSTITUTE(SUBSTITUTE(SUBSTITUTE(SUBSTITUTE(SUBSTITUTE(SUBSTITUTE(SUBSTITUTE(SUBSTITUTE(SUBSTITUTE(SUBSTITUTE(SUBSTITUTE(SUBSTITUTE(LOWER(AE49&amp;""),CHAR(10),""),CHAR(13),""),CHAR(9),""),CHAR(160),"")," ",""),".",""),"-",""),"/",""),"?",""),"_",""),",",""),"[",""),"]",""),"(",""),")",""),"*","")</f>
        <v/>
      </c>
      <c r="AY49" s="61" t="str">
        <f aca="false">SUBSTITUTE(SUBSTITUTE(SUBSTITUTE(SUBSTITUTE(SUBSTITUTE(SUBSTITUTE(SUBSTITUTE(SUBSTITUTE(SUBSTITUTE(SUBSTITUTE(SUBSTITUTE(SUBSTITUTE(SUBSTITUTE(SUBSTITUTE(SUBSTITUTE(SUBSTITUTE(LOWER(W49&amp;""),CHAR(10),""),CHAR(13),""),CHAR(9),""),CHAR(160),"")," ",""),".",""),"-",""),"/",""),"?",""),"_",""),",",""),"[",""),"]",""),"(",""),")",""),"*","")</f>
        <v/>
      </c>
      <c r="AZ49" s="61" t="str">
        <f aca="false">SUBSTITUTE(SUBSTITUTE(SUBSTITUTE(SUBSTITUTE(SUBSTITUTE(SUBSTITUTE(SUBSTITUTE(SUBSTITUTE(SUBSTITUTE(SUBSTITUTE(SUBSTITUTE(SUBSTITUTE(SUBSTITUTE(SUBSTITUTE(SUBSTITUTE(SUBSTITUTE(LOWER(AC49&amp;""),CHAR(10),""),CHAR(13),""),CHAR(9),""),CHAR(160),"")," ",""),".",""),"-",""),"/",""),"?",""),"_",""),",",""),"[",""),"]",""),"(",""),")",""),"*","")</f>
        <v/>
      </c>
      <c r="BA49" s="61" t="str">
        <f aca="false">SUBSTITUTE(SUBSTITUTE(SUBSTITUTE(SUBSTITUTE(SUBSTITUTE(SUBSTITUTE(SUBSTITUTE(SUBSTITUTE(SUBSTITUTE(SUBSTITUTE(SUBSTITUTE(SUBSTITUTE(SUBSTITUTE(SUBSTITUTE(SUBSTITUTE(SUBSTITUTE(LOWER(AA49&amp;""),CHAR(10),""),CHAR(13),""),CHAR(9),""),CHAR(160),"")," ",""),".",""),"-",""),"/",""),"?",""),"_",""),",",""),"[",""),"]",""),"(",""),")",""),"*","")</f>
        <v/>
      </c>
      <c r="BB49" s="61" t="str">
        <f aca="false">IF(AND(TRIM(U49)="Pass",ISNUMBER(AF49)),IF(AF49&lt;&gt;0,"INVALID – qty variance: use Fail or Pass after CA",""),"")&amp;IF(AND(TRIM(U49)="Pass after CA",ISNUMBER(AF49)),IF(AF49&lt;&gt;0,"INVALID – after the corrective action the actual qty must equal expected (update Actual)",""),"")&amp;IF(AND(TRIM(U49)="Pass",TRIM(AB49)&lt;&gt;"",TRIM(AB49)&lt;&gt;"Closed"),"INVALID – corrective action not closed: use Fail, then Pass after CA","")&amp;IF(AND(LEN(BA49)&gt;=2,ISNA(MATCH(LEFT(BA49,255),L_Placeholder,0)),TRIM(AB49)=""),"INVALID – CA status missing for the recorded corrective action","")&amp;IF(AND(TRIM(U49)="Pass after CA",OR(OR(LEN(BA49)&lt;5,ISNUMBER(MATCH(BA49,L_Placeholder,0))),TRIM(AB49)&lt;&gt;"Closed")),"INVALID – corrective action not recorded/closed","")</f>
        <v/>
      </c>
      <c r="BC49" s="61" t="str">
        <f aca="false">" "&amp;TRIM(SUBSTITUTE(SUBSTITUTE(SUBSTITUTE(SUBSTITUTE(SUBSTITUTE(SUBSTITUTE(SUBSTITUTE(SUBSTITUTE(SUBSTITUTE(SUBSTITUTE(SUBSTITUTE(SUBSTITUTE(SUBSTITUTE(SUBSTITUTE(SUBSTITUTE(SUBSTITUTE(SUBSTITUTE(SUBSTITUTE(SUBSTITUTE(SUBSTITUTE(SUBSTITUTE(SUBSTITUTE(SUBSTITUTE(SUBSTITUTE(LOWER(V49&amp;""),CHAR(10)," "),CHAR(13)," "),CHAR(9)," "),CHAR(160)," "),"."," "),","," "),"-"," "),"/"," "),"("," "),")"," "),":"," "),";"," "),"_"," "),"–"," "),"?"," "),"!"," "),"*"," "),"["," "),"]"," "),"'"," "),"#"," "),"+"," "),"&amp;"," "),"\"," "))&amp;" "</f>
        <v>  </v>
      </c>
      <c r="BD49" s="61" t="str">
        <f aca="false">" "&amp;TRIM(SUBSTITUTE(SUBSTITUTE(SUBSTITUTE(SUBSTITUTE(SUBSTITUTE(SUBSTITUTE(SUBSTITUTE(SUBSTITUTE(SUBSTITUTE(SUBSTITUTE(SUBSTITUTE(SUBSTITUTE(SUBSTITUTE(SUBSTITUTE(SUBSTITUTE(SUBSTITUTE(SUBSTITUTE(SUBSTITUTE(SUBSTITUTE(SUBSTITUTE(SUBSTITUTE(SUBSTITUTE(SUBSTITUTE(SUBSTITUTE(LOWER(Z49&amp;""),CHAR(10)," "),CHAR(13)," "),CHAR(9)," "),CHAR(160)," "),"."," "),","," "),"-"," "),"/"," "),"("," "),")"," "),":"," "),";"," "),"_"," "),"–"," "),"?"," "),"!"," "),"*"," "),"["," "),"]"," "),"'"," "),"#"," "),"+"," "),"&amp;"," "),"\"," "))&amp;" "</f>
        <v>  </v>
      </c>
      <c r="BE49" s="61" t="str">
        <f aca="false">" "&amp;TRIM(SUBSTITUTE(SUBSTITUTE(SUBSTITUTE(SUBSTITUTE(SUBSTITUTE(SUBSTITUTE(SUBSTITUTE(SUBSTITUTE(SUBSTITUTE(SUBSTITUTE(SUBSTITUTE(SUBSTITUTE(SUBSTITUTE(SUBSTITUTE(SUBSTITUTE(SUBSTITUTE(SUBSTITUTE(SUBSTITUTE(SUBSTITUTE(SUBSTITUTE(SUBSTITUTE(SUBSTITUTE(SUBSTITUTE(SUBSTITUTE(LOWER(W49&amp;""),CHAR(10)," "),CHAR(13)," "),CHAR(9)," "),CHAR(160)," "),"."," "),","," "),"-"," "),"/"," "),"("," "),")"," "),":"," "),";"," "),"_"," "),"–"," "),"?"," "),"!"," "),"*"," "),"["," "),"]"," "),"'"," "),"#"," "),"+"," "),"&amp;"," "),"\"," "))&amp;" "</f>
        <v>  </v>
      </c>
      <c r="BF49" s="61" t="str">
        <f aca="false">" "&amp;TRIM(SUBSTITUTE(SUBSTITUTE(SUBSTITUTE(SUBSTITUTE(SUBSTITUTE(SUBSTITUTE(SUBSTITUTE(SUBSTITUTE(SUBSTITUTE(SUBSTITUTE(SUBSTITUTE(SUBSTITUTE(SUBSTITUTE(SUBSTITUTE(SUBSTITUTE(SUBSTITUTE(SUBSTITUTE(SUBSTITUTE(SUBSTITUTE(SUBSTITUTE(SUBSTITUTE(SUBSTITUTE(SUBSTITUTE(SUBSTITUTE(LOWER(AC49&amp;""),CHAR(10)," "),CHAR(13)," "),CHAR(9)," "),CHAR(160)," "),"."," "),","," "),"-"," "),"/"," "),"("," "),")"," "),":"," "),";"," "),"_"," "),"–"," "),"?"," "),"!"," "),"*"," "),"["," "),"]"," "),"'"," "),"#"," "),"+"," "),"&amp;"," "),"\"," "))&amp;" "</f>
        <v>  </v>
      </c>
      <c r="BG49" s="61" t="n">
        <f aca="false">IFERROR(IF(AND(TRIM(U49)="Pass",SUMPRODUCT((LEN(BC49)-LEN(SUBSTITUTE(BC49," "&amp;L_ResultBad&amp;" "," ")))/(LEN(L_ResultBad)+1))&gt;SUMPRODUCT((LEN(BC49)-LEN(SUBSTITUTE(BC49," "&amp;L_NegPhrase&amp;" "," ")))/(LEN(L_NegPhrase)+1))),1,0),0)</f>
        <v>0</v>
      </c>
      <c r="BH49" s="61" t="n">
        <f aca="false">IFERROR(IF(SUMPRODUCT((LEN(BC49)-LEN(SUBSTITUTE(BC49," "&amp;L_Pending&amp;" "," ")))/(LEN(L_Pending)+1))&gt;SUMPRODUCT((LEN(BC49)-LEN(SUBSTITUTE(BC49," "&amp;L_PendNeg&amp;" "," ")))/(LEN(L_PendNeg)+1))+SUMPRODUCT((LEN(BC49)-LEN(SUBSTITUTE(BC49," "&amp;L_PendPrep&amp;" "," ")))/(LEN(L_PendPrep)+1)),1,0),1)</f>
        <v>0</v>
      </c>
      <c r="BI49" s="61" t="n">
        <f aca="false">IFERROR(IF(SUMPRODUCT((LEN(BD49)-LEN(SUBSTITUTE(BD49," "&amp;L_PendStrict&amp;" "," ")))/(LEN(L_PendStrict)+1))&gt;SUMPRODUCT((LEN(BD49)-LEN(SUBSTITUTE(BD49," "&amp;L_PendNeg&amp;" "," ")))/(LEN(L_PendNeg)+1)),1,0),1)</f>
        <v>0</v>
      </c>
      <c r="BJ49" s="61" t="n">
        <f aca="false">IFERROR(IF(SUMPRODUCT((LEN(BE49)-LEN(SUBSTITUTE(BE49," "&amp;L_Pending&amp;" "," ")))/(LEN(L_Pending)+1))&gt;SUMPRODUCT((LEN(BE49)-LEN(SUBSTITUTE(BE49," "&amp;L_PendNeg&amp;" "," ")))/(LEN(L_PendNeg)+1))+SUMPRODUCT((LEN(BE49)-LEN(SUBSTITUTE(BE49," "&amp;L_PendPrep&amp;" "," ")))/(LEN(L_PendPrep)+1)),1,0),1)</f>
        <v>0</v>
      </c>
      <c r="BK49" s="61" t="n">
        <f aca="false">IFERROR(IF(SUMPRODUCT((LEN(BF49)-LEN(SUBSTITUTE(BF49," "&amp;L_PendStrict&amp;" "," ")))/(LEN(L_PendStrict)+1))&gt;SUMPRODUCT((LEN(BF49)-LEN(SUBSTITUTE(BF49," "&amp;L_PendNeg&amp;" "," ")))/(LEN(L_PendNeg)+1)),1,0),1)</f>
        <v>0</v>
      </c>
      <c r="BL49" s="61" t="n">
        <f aca="false">IF(ISNA(MATCH(TRIM(S49),L_EvidenceType,0)),0,BZ49)</f>
        <v>0</v>
      </c>
      <c r="BM49" s="61" t="str">
        <f aca="false">SUBSTITUTE(SUBSTITUTE(SUBSTITUTE(SUBSTITUTE(SUBSTITUTE(SUBSTITUTE(SUBSTITUTE(SUBSTITUTE(SUBSTITUTE(LOWER(Z49&amp;""),"1","0"),"2","0"),"3","0"),"4","0"),"5","0"),"6","0"),"7","0"),"8","0"),"9","0")</f>
        <v/>
      </c>
      <c r="BN49" s="61" t="str">
        <f aca="false">SUBSTITUTE(SUBSTITUTE(SUBSTITUTE(SUBSTITUTE(SUBSTITUTE(SUBSTITUTE(SUBSTITUTE(SUBSTITUTE(SUBSTITUTE(SUBSTITUTE(SUBSTITUTE(SUBSTITUTE(SUBSTITUTE(SUBSTITUTE(SUBSTITUTE(SUBSTITUTE(SUBSTITUTE(SUBSTITUTE(SUBSTITUTE(SUBSTITUTE(SUBSTITUTE(SUBSTITUTE(SUBSTITUTE(SUBSTITUTE(SUBSTITUTE(BM49,"b","a"),"c","a"),"d","a"),"e","a"),"f","a"),"g","a"),"h","a"),"i","a"),"j","a"),"k","a"),"l","a"),"m","a"),"n","a"),"o","a"),"p","a"),"q","a"),"r","a"),"s","a"),"t","a"),"u","a"),"v","a"),"w","a"),"x","a"),"y","a"),"z","a")</f>
        <v/>
      </c>
      <c r="BO49" s="61" t="str">
        <f aca="false">SUBSTITUTE(SUBSTITUTE(SUBSTITUTE(SUBSTITUTE(SUBSTITUTE(SUBSTITUTE(SUBSTITUTE(SUBSTITUTE(SUBSTITUTE(LOWER(W49&amp;""),"1","0"),"2","0"),"3","0"),"4","0"),"5","0"),"6","0"),"7","0"),"8","0"),"9","0")</f>
        <v/>
      </c>
      <c r="BP49" s="61" t="str">
        <f aca="false">SUBSTITUTE(SUBSTITUTE(SUBSTITUTE(SUBSTITUTE(SUBSTITUTE(SUBSTITUTE(SUBSTITUTE(SUBSTITUTE(SUBSTITUTE(SUBSTITUTE(SUBSTITUTE(SUBSTITUTE(SUBSTITUTE(SUBSTITUTE(SUBSTITUTE(SUBSTITUTE(SUBSTITUTE(SUBSTITUTE(SUBSTITUTE(SUBSTITUTE(SUBSTITUTE(SUBSTITUTE(SUBSTITUTE(SUBSTITUTE(SUBSTITUTE(BO49,"b","a"),"c","a"),"d","a"),"e","a"),"f","a"),"g","a"),"h","a"),"i","a"),"j","a"),"k","a"),"l","a"),"m","a"),"n","a"),"o","a"),"p","a"),"q","a"),"r","a"),"s","a"),"t","a"),"u","a"),"v","a"),"w","a"),"x","a"),"y","a"),"z","a")</f>
        <v/>
      </c>
      <c r="BQ49" s="61" t="n">
        <f aca="false">IFERROR(IF(AND(ISERROR(SEARCH(" mh"," "&amp;LOWER(W49))),ISNA(MATCH(LEFT(TRIM(BP49),255),{"0000a","000a","00a","0000aa","000aa","00aa","0aa","0000aaa","000aaa","00a00","0a00","0000-0000","00:00","a00","a0","00.00.0000","00/00/0000","00-00-0000","0000-00-00","0000/00/00","0000.00.00","00.00.00","00/00/00","00-00-00","0.00.0000","0/00/0000","0-00-0000"},0)),ISNA(MATCH(LEFT(TRIM(CA49),255),{"0000a","000a","00a","0000aa","000aa","00aa","0aa","0000aaa","000aaa","00a00","0a00","0000-0000","00:00","a00","a0","00.00.0000","00/00/0000","00-00-0000","0000-00-00","0000/00/00","0000.00.00","00.00.00","00/00/00","00-00-00","0.00.0000","0/00/0000","0-00-0000"},0)),LEN(CB49)&gt;=3,NOT(OR(SUBSTITUTE(CB49,"0","")="",AND(LEN(CB49)&gt;=4,CB49=REPT(LEFT(CB49),LEN(CB49))),ISNUMBER(MATCH(CB49,{"123","1234","12345","123456","1234567","12345678","0123","01234","012345","98765","987654","54321"},0)),AND(LEN(CB49)=8,LEFT(CB49,3)="202"))),OR(AND((LEN(CA49)-LEN(SUBSTITUTE(CA49,"a","")))&gt;=1,SUMPRODUCT(--ISNUMBER(SEARCH({"a0","a-0","a_0","a/0","a.0","a#0","0a","0-a","0_a","0/a"},BP49)))&gt;0),ISNUMBER(SEARCH("000000",BP49)))),1,0),0)</f>
        <v>0</v>
      </c>
      <c r="BR49" s="61" t="n">
        <f aca="false">IFERROR(LEN(SUBSTITUTE(CC49," ",""))-SUMPRODUCT((LEN(CC49)-LEN(SUBSTITUTE(CC49," "&amp;L_Role&amp;" "," ")))/(LEN(L_Role)+1)*LEN(L_Role)),0)</f>
        <v>0</v>
      </c>
      <c r="BS49" s="61" t="n">
        <f aca="false">IFERROR(LEN(SUBSTITUTE(CD49," ",""))-SUMPRODUCT((LEN(CD49)-LEN(SUBSTITUTE(CD49," "&amp;L_Role&amp;" "," ")))/(LEN(L_Role)+1)*LEN(L_Role)),0)</f>
        <v>0</v>
      </c>
      <c r="BT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revision",""),"version",""),"jan",""),"feb",""),"mar",""),"apr",""),"may",""),"jun",""),"jul",""),"aug",""),"sep",""),"oct",""),"nov",""),"dec",""),"utc",""),"gmt",""),"myt",""),"bst",""),"rev",""),"ver",""),"b","a"),"c","a"),"d","a"),"e","a"),"f","a"),"g","a"),"h","a"),"i","a"),"j","a"),"k","a"),"l","a"),"m","a"),"n","a"),"o","a"),"p","a"),"q","a"),"r","a"),"s","a"),"t","a"),"u","a"),"v","a"),"w","a"),"x","a"),"y","a"),"z","a")</f>
        <v/>
      </c>
      <c r="BU49" s="61" t="str">
        <f aca="false">SUBSTITUTE(SUBSTITUTE(SUBSTITUTE(SUBSTITUTE(SUBSTITUTE(SUBSTITUTE(SUBSTITUTE(SUBSTITUTE(SUBSTITUTE(SUBSTITUTE(LEFT(BM49,FIND("0",BM49&amp;"0")-1),"-",""),"_",""),"/",""),".",""),"#",""),"\\",""),":","")," ",""),"(",""),")","")</f>
        <v/>
      </c>
      <c r="BV49" s="61" t="n">
        <f aca="false">0</f>
        <v>0</v>
      </c>
      <c r="BW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amp;""),"a",""),"b",""),"c",""),"d",""),"e",""),"f",""),"g",""),"h",""),"i",""),"j",""),"k",""),"l",""),"m",""),"n",""),"o",""),"p",""),"q",""),"r",""),"s",""),"t",""),"u",""),"v",""),"w",""),"x",""),"y",""),"z",""),"-",""),"_",""),"/",""),".",""),"#",""),"\\",""),":","")," ",""),"(",""),")","")</f>
        <v/>
      </c>
      <c r="BX49" s="61" t="str">
        <f aca="false">SUBSTITUTE(SUBSTITUTE(SUBSTITUTE(SUBSTITUTE(SUBSTITUTE(SUBSTITUTE(SUBSTITUTE(SUBSTITUTE(SUBSTITUTE(SUBSTITUTE(SUBSTITUTE(BM49,"0",""),"-",""),"_",""),"/",""),".",""),"#",""),"\\",""),":","")," ",""),"(",""),")","")</f>
        <v/>
      </c>
      <c r="BY49" s="62" t="n">
        <f aca="false">Q49-T12EarlyH/24</f>
        <v>46303.5763888889</v>
      </c>
      <c r="BZ49" s="61" t="n">
        <f aca="false">IFERROR(IF(IF(TRIM(S49)="Link / file path",AND(LEN(TRIM(Z49))&gt;=5,SUMPRODUCT(--ISNUMBER(SEARCH({"http","www.","\\",":\",".pdf",".jpg",".jpeg",".png",".heic",".xls",".doc",".msg",".eml",".ppt",".txt",".zip"},Z49)))&gt;0),AND(ISERROR(FIND(" ",TRIM(Z49))),NOT(OR(SUMPRODUCT(--ISNUMBER(FIND({",",";","&amp;","+"},Z49)))&gt;0,SUMPRODUCT(--ISNUMBER(SEARCH({"0/aa","0\\aa"},BN49)))&gt;0)),NOT(SUMPRODUCT(--ISNUMBER(SEARCH({"http","www.","\\",":\",".pdf",".jpg",".jpeg",".png",".heic",".xls",".doc",".msg",".eml",".ppt",".txt",".zip"},Z49)))&gt;0),NOT(LOWER(TRIM(Z49))=LOWER(Flights!$F$6)),ISNA(MATCH(BU49,{"mh","rev","revision","ver","version","v","r","a","b","seat","tray","row","gate","bay","stand","page","pg","item","line","no","cart","galley","flight","flt","table","box","bag","oven","etd","eta","std","sta","atd","ata","qty","pax","x","time","tel","ph","mob","day","wk","week","utc","gmt","myt","lt"},0)),NOT(OR(ISNUMBER(MATCH(LEFT(BN49,255),{"0000a","000a","00a","0000aa","000aa","00aa","0aa","0000aaa","000aaa","00a00","0a00","0000-0000","00:00","a00","a0","00.00.0000","00/00/0000","00-00-0000","0000-00-00","0000/00/00","0000.00.00","00.00.00","00/00/00","00-00-00","0.00.0000","0/00/0000","0-00-0000"},0)),ISNUMBER(MATCH(LEFT(BT49,255),{"0000a","000a","00a","0000aa","000aa","00aa","0aa","0000aaa","000aaa","00a00","0a00","0000-0000","00:00","a00","a0","00.00.0000","00/00/0000","00-00-0000","0000-00-00","0000/00/00","0000.00.00","00.00.00","00/00/00","00-00-00","0.00.0000","0/00/0000","0-00-0000"},0)))),NOT(OR(AND(BW49&lt;&gt;"",SUBSTITUTE(BW49,"0","")=""),AND(LEN(BW49)&gt;=4,BW49=REPT(LEFT(BW49),LEN(BW49))),ISNUMBER(MATCH(BW49,{"123","1234","12345","123456","1234567","12345678","0123","01234","012345","98765","987654","54321"},0)),ISNUMBER(MATCH(BX49,{"x","xx","xxx","xxxx","xxxxx","abc","abcd","nil","na","nan","test","tbc","tba","tbd","dummy","sample","example","eg","zz","zzz","none","null","xyz","qwe","asd","id","ref"},0)),AND(LEN(BW49)=8,BX49="",OR(LEFT(BW49,3)="202",ISNUMBER(MATCH(RIGHT(BW49,4),{"2025","2026","2027"},0)))))),OR(AND((LEN(BT49)-LEN(SUBSTITUTE(BT49,"a","")))&gt;=1,(LEN(BN49)-LEN(SUBSTITUTE(BN49,"0","")))&gt;=2,SUMPRODUCT(--ISNUMBER(SEARCH({"a0","a-0","a_0","a/0","a.0","a#0","0a","0-a","0_a","0/a"},BN49)))&gt;0),AND((LEN(BN49)-LEN(SUBSTITUTE(BN49,"a","")))=0,(LEN(BN49)-LEN(SUBSTITUTE(BN49,"0","")))&gt;=5)))),1,0),0)</f>
        <v>0</v>
      </c>
      <c r="CA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revision",""),"version",""),"jan",""),"feb",""),"mar",""),"apr",""),"may",""),"jun",""),"jul",""),"aug",""),"sep",""),"oct",""),"nov",""),"dec",""),"utc",""),"gmt",""),"myt",""),"bst",""),"rev",""),"ver",""),"b","a"),"c","a"),"d","a"),"e","a"),"f","a"),"g","a"),"h","a"),"i","a"),"j","a"),"k","a"),"l","a"),"m","a"),"n","a"),"o","a"),"p","a"),"q","a"),"r","a"),"s","a"),"t","a"),"u","a"),"v","a"),"w","a"),"x","a"),"y","a"),"z","a")</f>
        <v/>
      </c>
      <c r="CB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amp;""),"a",""),"b",""),"c",""),"d",""),"e",""),"f",""),"g",""),"h",""),"i",""),"j",""),"k",""),"l",""),"m",""),"n",""),"o",""),"p",""),"q",""),"r",""),"s",""),"t",""),"u",""),"v",""),"w",""),"x",""),"y",""),"z",""),"-",""),"_",""),"/",""),".",""),"#",""),"\\",""),":","")," ",""),"(",""),")","")</f>
        <v/>
      </c>
      <c r="CC49" s="0" t="str">
        <f aca="false">" "&amp;TRIM(SUBSTITUTE(SUBSTITUTE(SUBSTITUTE(SUBSTITUTE(SUBSTITUTE(SUBSTITUTE(SUBSTITUTE(SUBSTITUTE(SUBSTITUTE(SUBSTITUTE(SUBSTITUTE(SUBSTITUTE(SUBSTITUTE(SUBSTITUTE(SUBSTITUTE(SUBSTITUTE(SUBSTITUTE(SUBSTITUTE(SUBSTITUTE(SUBSTITUTE(SUBSTITUTE(SUBSTITUTE(SUBSTITUTE(SUBSTITUTE(LOWER(T49&amp;""),CHAR(10)," "),CHAR(13)," "),CHAR(9)," "),CHAR(160)," "),"."," "),","," "),"-"," "),"/"," "),"("," "),")"," "),":"," "),";"," "),"_"," "),"–"," "),"?"," "),"!"," "),"*"," "),"["," "),"]"," "),"'"," "),"#"," "),"+"," "),"&amp;"," "),"\"," "))&amp;" "</f>
        <v>  </v>
      </c>
      <c r="CD49" s="0" t="str">
        <f aca="false">" "&amp;TRIM(SUBSTITUTE(SUBSTITUTE(SUBSTITUTE(SUBSTITUTE(SUBSTITUTE(SUBSTITUTE(SUBSTITUTE(SUBSTITUTE(SUBSTITUTE(SUBSTITUTE(SUBSTITUTE(SUBSTITUTE(SUBSTITUTE(SUBSTITUTE(SUBSTITUTE(SUBSTITUTE(SUBSTITUTE(SUBSTITUTE(SUBSTITUTE(SUBSTITUTE(SUBSTITUTE(SUBSTITUTE(SUBSTITUTE(SUBSTITUTE(LOWER(AE49&amp;""),CHAR(10)," "),CHAR(13)," "),CHAR(9)," "),CHAR(160)," "),"."," "),","," "),"-"," "),"/"," "),"("," "),")"," "),":"," "),";"," "),"_"," "),"–"," "),"?"," "),"!"," "),"*"," "),"["," "),"]"," "),"'"," "),"#"," "),"+"," "),"&amp;"," "),"\"," "))&amp;" "</f>
        <v>  </v>
      </c>
      <c r="CE49" s="68" t="n">
        <f aca="false">IFERROR(IF(AND(LEN(AU49)&gt;0,LEN(AU49)=LEN(AX49),OR(TRIM(MID(SUBSTITUTE(TRIM(CC49)," ",REPT(" ",60)),1,60))="",ISNUMBER(SEARCH(" "&amp;TRIM(MID(SUBSTITUTE(TRIM(CC49)," ",REPT(" ",60)),1,60))&amp;" ",CD49))),OR(TRIM(MID(SUBSTITUTE(TRIM(CC49)," ",REPT(" ",60)),61,60))="",ISNUMBER(SEARCH(" "&amp;TRIM(MID(SUBSTITUTE(TRIM(CC49)," ",REPT(" ",60)),61,60))&amp;" ",CD49))),OR(TRIM(MID(SUBSTITUTE(TRIM(CC49)," ",REPT(" ",60)),121,60))="",ISNUMBER(SEARCH(" "&amp;TRIM(MID(SUBSTITUTE(TRIM(CC49)," ",REPT(" ",60)),121,60))&amp;" ",CD49)))),1,0),0)</f>
        <v>0</v>
      </c>
      <c r="CG49" s="68" t="n">
        <f aca="false">IFERROR(LEN(SUBSTITUTE(BF49," ",""))-SUMPRODUCT((LEN(BF49)-LEN(SUBSTITUTE(BF49," "&amp;L_NAFiller&amp;" "," ")))/(LEN(L_NAFiller)+1)*LEN(L_NAFiller)),0)</f>
        <v>0</v>
      </c>
    </row>
    <row r="50" customFormat="false" ht="41.25" hidden="false" customHeight="true" outlineLevel="0" collapsed="false">
      <c r="A50" s="57" t="s">
        <v>507</v>
      </c>
      <c r="B50" s="57" t="s">
        <v>198</v>
      </c>
      <c r="C50" s="57" t="str">
        <f aca="false">Flights!$F$6</f>
        <v>MH0727</v>
      </c>
      <c r="D50" s="58" t="n">
        <f aca="false">Flights!$D$6</f>
        <v>46304</v>
      </c>
      <c r="E50" s="57" t="str">
        <f aca="false">Flights!$G$6&amp;"-"&amp;Flights!$H$6</f>
        <v>KUL-CGK</v>
      </c>
      <c r="F50" s="57" t="str">
        <f aca="false">Flights!$K$6</f>
        <v>BC</v>
      </c>
      <c r="G50" s="57" t="s">
        <v>420</v>
      </c>
      <c r="H50" s="57" t="s">
        <v>378</v>
      </c>
      <c r="I50" s="57" t="s">
        <v>499</v>
      </c>
      <c r="J50" s="57" t="s">
        <v>508</v>
      </c>
      <c r="K50" s="67" t="s">
        <v>501</v>
      </c>
      <c r="L50" s="67" t="s">
        <v>509</v>
      </c>
      <c r="M50" s="67" t="s">
        <v>451</v>
      </c>
      <c r="N50" s="67" t="s">
        <v>383</v>
      </c>
      <c r="O50" s="67" t="s">
        <v>503</v>
      </c>
      <c r="P50" s="57" t="s">
        <v>187</v>
      </c>
      <c r="Q50" s="59" t="n">
        <f aca="false">ROUND((Flights!$AE$6)*1440,0)/1440</f>
        <v>46304.0763888889</v>
      </c>
      <c r="R50" s="59" t="n">
        <f aca="false">Q50+(IF(AND(INDEX(TZ_DSTS,MATCH(P50,TZ_STN,0))&lt;&gt;"",Q50&gt;=INDEX(TZ_DSTS,MATCH(P50,TZ_STN,0)),Q50&lt;INDEX(TZ_DSTE,MATCH(P50,TZ_STN,0))),INDEX(TZ_DST,MATCH(P50,TZ_STN,0)),INDEX(TZ_STD,MATCH(P50,TZ_STN,0))))/24</f>
        <v>46304.4097222222</v>
      </c>
      <c r="S50" s="60"/>
      <c r="T50" s="60"/>
      <c r="U50" s="60"/>
      <c r="V50" s="60"/>
      <c r="W50" s="61"/>
      <c r="X50" s="60"/>
      <c r="Y50" s="60"/>
      <c r="Z50" s="60"/>
      <c r="AA50" s="60"/>
      <c r="AB50" s="60"/>
      <c r="AC50" s="60"/>
      <c r="AD50" s="66"/>
      <c r="AE50" s="60"/>
      <c r="AF50" s="61" t="str">
        <f aca="false">IF(AND(ISNUMBER(X50),ISNUMBER(Y50)),Y50-X50,"")</f>
        <v/>
      </c>
      <c r="AG50" s="62" t="str">
        <f aca="false">IF(ISNUMBER(AD50),AD50-(IF(AND(INDEX(TZ_DSTS,MATCH(P50,TZ_STN,0))&lt;&gt;"",(AD50-INDEX(TZ_STD,MATCH(P50,TZ_STN,0))/24)&gt;=INDEX(TZ_DSTS,MATCH(P50,TZ_STN,0)),(AD50-INDEX(TZ_STD,MATCH(P50,TZ_STN,0))/24)&lt;INDEX(TZ_DSTE,MATCH(P50,TZ_STN,0))),INDEX(TZ_DST,MATCH(P50,TZ_STN,0)),INDEX(TZ_STD,MATCH(P50,TZ_STN,0))))/24,"")</f>
        <v/>
      </c>
      <c r="AH50" s="65" t="str">
        <f aca="false">IFERROR(IF(N50="N/A – rule",IF(OR(TRIM(U50)="",TRIM(U50)="N/A",TRIM(U50)="Not started"),"N/A – RULE","INVALID – this check does not apply to this aircraft: clear the status (or correct the fleet on Flights)"),IF(TRIM(U50)="N/A",IF(AT50=0,"INVALID – N/A not permitted for this check",IF(AND(TRIM(AB50)&lt;&gt;"",TRIM(AB50)&lt;&gt;"Closed"),"INVALID – corrective action still open",IF(AND(NOT(OR(LEN(AZ50)&lt;15,ISNUMBER(MATCH(AZ50,L_Placeholder,0)))),BK50=0,CG50&gt;=8,NOT(OR(LEN(AU50)&lt;2,ISNUMBER(MATCH(AU50,L_Placeholder,0)))),BR50&gt;=3,NOT(OR(LEN(AX50)&lt;2,ISNUMBER(MATCH(AX50,L_Placeholder,0)))),BS50&gt;=3,TRIM(AE50)&lt;&gt;TRIM(T50),AX50&lt;&gt;AU50,CE50=0),"N/A – JUSTIFIED","INVALID – N/A needs a real, settled reason (not 'not applicable' / 'as above' / TBC), a named PIC and a different named verifier"))),IF(OR(TRIM(U50)="Pass",TRIM(U50)="Pass after CA"),IF(NOT(ISNUMBER(AD50)),"INVALID – completion time missing",IF(OR(OR(LEN(AU50)&lt;2,ISNUMBER(MATCH(AU50,L_Placeholder,0))),BR50&lt;3),"INVALID – PIC missing or not a named person (a role such as QA / CSM is not a name)",IF(OR(LEN(AV50)&lt;2,ISNUMBER(MATCH(AV50,L_Placeholder,0))),"INVALID – result / assessment missing",IF(OR(OR(LEN(AW50)&lt;3,ISNUMBER(MATCH(AW50,L_Placeholder,0))),SUMPRODUCT(--ISNUMBER(SEARCH(" "&amp;L_EvidencePhrase&amp;" ",BD50)))&gt;0,BI50=1),"INVALID – evidence missing, placeholder or not yet on file",IF(ISNA(MATCH(TRIM(S50),L_EvidenceType,0)),"INVALID – choose the evidence type from the list (column S)",IF(BL50=0,"INVALID – evidence ID must be the record's own ID only (e.g. SF-2210, IMG_2231, 1045521); a link / file name needs type 'Link / file path'",IF(OR(OR(LEN(AX50)&lt;2,ISNUMBER(MATCH(AX50,L_Placeholder,0))),BS50&lt;3),"INVALID – verifier missing or not a named person (a role such as QA / CSM is not a name)",IF(OR(AX50=AU50,CE50=1,AND(LEN(AU50)&gt;=4,ISNUMBER(SEARCH(AU50,AX50))),AND(LEN(AX50)&gt;=4,ISNUMBER(SEARCH(AX50,AU50)))),"INVALID – verifier must be a different, named person (not the PIC or a role)",IF(BH50=1,"INVALID – result not yet available (awaiting / TBC)",IF(BG50=1,"INVALID – result describes a problem: record Fail, then Pass after CA (or reword if it is not a problem)",IF(BV50=1,"INVALID – wording says not on board: an on-board confirmation needs the item loaded",IF(AND(AQ50=1,OR(OR(LEN(AY50)&lt;3,ISNUMBER(MATCH(AY50,L_Placeholder,0))),BJ50=1,BQ50=0)),"INVALID – batch ID missing, placeholder or not an ID (e.g. PASB-261008-BC-017)",IF(AND(AR50=1,OR(NOT(ISNUMBER(X50)),NOT(ISNUMBER(Y50)))),"INVALID – expected/actual qty missing",IF(AND(AR50=1,OR(X50&lt;=0,Y50&lt;0)),"INVALID – expected qty must be above 0 and actual not negative",IF(BB50&lt;&gt;"",BB50,IF(AND(AS50=1,Documents!$J$6&lt;&gt;"ON FILE"),"INVALID – GLD not on file (Documents sheet)",IF(AND(AS50=2,Documents!$O$6&lt;&gt;"ON FILE"),"INVALID – menu checklist not on file (Documents sheet)",IF(AND(AS50=3,NOT(ISNUMBER(Flights!$AX$6))),"INVALID – enter carrying flight KUL departure (Flights AX)",IF(AND(AS50=3,OR(Flights!$AZ$6&gt;Flights!$AA$6,Flights!$AX$6&lt;Flights!$AA$6-3)),"INVALID – carrying flight (Flights AX) cannot arrive before this leg's STD, or is over 3 days early",IF(AG50&gt;AsOfUTC,"INVALID – completion time is in the future",IF(AND(ISNUMBER(BY50),AG50&lt;BY50),IF(H50="Physical uplift","INVALID – before uplift window (cannot confirm loading)","INVALID – before valid window"),IF(AG50&gt;Flights!$AA$6,"INVALID – completed after departure (cannot establish readiness)",IF(AND(H50="Preparation",AG50&gt;=IF(ISNUMBER(Flights!$BA$6),MIN(Flights!$BA$6,Flights!$AA$6),Flights!$AA$6)),"INVALID – completed after loading / departure (cannot establish readiness)",IF(AND(H50="Physical uplift",AG50&gt;Q50),"INVALID – recorded after the loading flight departed",IF(AG50&gt;Q50,"COMPLETE – LATE","COMPLETE"))))))))))))))))))))))))),IF(TRIM(U50)="Fail","FAIL – DISCREPANCY",IF(AND(TRIM(U50)&lt;&gt;"",TRIM(U50)&lt;&gt;"Not started",TRIM(U50)&lt;&gt;"In progress"),"INVALID – unrecognised status (use the list)",IF(AsOfUTC&gt;Q50,"OVERDUE",IF(N50="Clarification required","OPEN – CLARIFICATION","OPEN"))))))),"INVALID – error value in an input cell")</f>
        <v>OPEN</v>
      </c>
      <c r="AI50" s="61" t="n">
        <f aca="false">IF(OR(AH50="N/A – RULE",AH50="N/A – JUSTIFIED"),0,1)</f>
        <v>1</v>
      </c>
      <c r="AJ50" s="61" t="n">
        <f aca="false">IF(LEFT(AH50,8)="COMPLETE",1,0)</f>
        <v>0</v>
      </c>
      <c r="AK50" s="61" t="n">
        <f aca="false">IF(AND(AI50=1,AJ50=0,AsOfUTC&gt;Q50),1,0)</f>
        <v>0</v>
      </c>
      <c r="AL50" s="61" t="n">
        <f aca="false">IFERROR(IF(AND(AI50=1,OR(TRIM(U50)="Fail",AND(TRIM(AB50)&lt;&gt;"",TRIM(AB50)&lt;&gt;"Closed"),AND(ISNUMBER(AF50),AF50&lt;&gt;0,TRIM(U50)&lt;&gt;"Pass after CA"))),1,0),1)</f>
        <v>0</v>
      </c>
      <c r="AM50" s="61" t="n">
        <f aca="false">IF(LEFT(AH50,7)="INVALID",1,0)</f>
        <v>0</v>
      </c>
      <c r="AN50" s="61" t="n">
        <f aca="false">IF(AND(N50="Clarification required",AI50=1,AJ50=0),1,0)</f>
        <v>0</v>
      </c>
      <c r="AO50" s="61" t="str">
        <f aca="false">IF(AK50=1,SUM(AK$5:AK50),"")</f>
        <v/>
      </c>
      <c r="AP50" s="61" t="str">
        <f aca="false">IF(AL50=1,SUM(AL$5:AL50),"")</f>
        <v/>
      </c>
      <c r="AQ50" s="61" t="n">
        <v>0</v>
      </c>
      <c r="AR50" s="61" t="n">
        <v>0</v>
      </c>
      <c r="AS50" s="61" t="n">
        <v>0</v>
      </c>
      <c r="AT50" s="61" t="n">
        <v>0</v>
      </c>
      <c r="AU50" s="61" t="str">
        <f aca="false">SUBSTITUTE(SUBSTITUTE(SUBSTITUTE(SUBSTITUTE(SUBSTITUTE(SUBSTITUTE(SUBSTITUTE(SUBSTITUTE(SUBSTITUTE(SUBSTITUTE(SUBSTITUTE(SUBSTITUTE(SUBSTITUTE(SUBSTITUTE(SUBSTITUTE(SUBSTITUTE(LOWER(T50&amp;""),CHAR(10),""),CHAR(13),""),CHAR(9),""),CHAR(160),"")," ",""),".",""),"-",""),"/",""),"?",""),"_",""),",",""),"[",""),"]",""),"(",""),")",""),"*","")</f>
        <v/>
      </c>
      <c r="AV50" s="61" t="str">
        <f aca="false">SUBSTITUTE(SUBSTITUTE(SUBSTITUTE(SUBSTITUTE(SUBSTITUTE(SUBSTITUTE(SUBSTITUTE(SUBSTITUTE(SUBSTITUTE(SUBSTITUTE(SUBSTITUTE(SUBSTITUTE(SUBSTITUTE(SUBSTITUTE(SUBSTITUTE(SUBSTITUTE(LOWER(V50&amp;""),CHAR(10),""),CHAR(13),""),CHAR(9),""),CHAR(160),"")," ",""),".",""),"-",""),"/",""),"?",""),"_",""),",",""),"[",""),"]",""),"(",""),")",""),"*","")</f>
        <v/>
      </c>
      <c r="AW50" s="61" t="str">
        <f aca="false">SUBSTITUTE(SUBSTITUTE(SUBSTITUTE(SUBSTITUTE(SUBSTITUTE(SUBSTITUTE(SUBSTITUTE(SUBSTITUTE(SUBSTITUTE(SUBSTITUTE(SUBSTITUTE(SUBSTITUTE(SUBSTITUTE(SUBSTITUTE(SUBSTITUTE(SUBSTITUTE(LOWER(Z50&amp;""),CHAR(10),""),CHAR(13),""),CHAR(9),""),CHAR(160),"")," ",""),".",""),"-",""),"/",""),"?",""),"_",""),",",""),"[",""),"]",""),"(",""),")",""),"*","")</f>
        <v/>
      </c>
      <c r="AX50" s="61" t="str">
        <f aca="false">SUBSTITUTE(SUBSTITUTE(SUBSTITUTE(SUBSTITUTE(SUBSTITUTE(SUBSTITUTE(SUBSTITUTE(SUBSTITUTE(SUBSTITUTE(SUBSTITUTE(SUBSTITUTE(SUBSTITUTE(SUBSTITUTE(SUBSTITUTE(SUBSTITUTE(SUBSTITUTE(LOWER(AE50&amp;""),CHAR(10),""),CHAR(13),""),CHAR(9),""),CHAR(160),"")," ",""),".",""),"-",""),"/",""),"?",""),"_",""),",",""),"[",""),"]",""),"(",""),")",""),"*","")</f>
        <v/>
      </c>
      <c r="AY50" s="61" t="str">
        <f aca="false">SUBSTITUTE(SUBSTITUTE(SUBSTITUTE(SUBSTITUTE(SUBSTITUTE(SUBSTITUTE(SUBSTITUTE(SUBSTITUTE(SUBSTITUTE(SUBSTITUTE(SUBSTITUTE(SUBSTITUTE(SUBSTITUTE(SUBSTITUTE(SUBSTITUTE(SUBSTITUTE(LOWER(W50&amp;""),CHAR(10),""),CHAR(13),""),CHAR(9),""),CHAR(160),"")," ",""),".",""),"-",""),"/",""),"?",""),"_",""),",",""),"[",""),"]",""),"(",""),")",""),"*","")</f>
        <v/>
      </c>
      <c r="AZ50" s="61" t="str">
        <f aca="false">SUBSTITUTE(SUBSTITUTE(SUBSTITUTE(SUBSTITUTE(SUBSTITUTE(SUBSTITUTE(SUBSTITUTE(SUBSTITUTE(SUBSTITUTE(SUBSTITUTE(SUBSTITUTE(SUBSTITUTE(SUBSTITUTE(SUBSTITUTE(SUBSTITUTE(SUBSTITUTE(LOWER(AC50&amp;""),CHAR(10),""),CHAR(13),""),CHAR(9),""),CHAR(160),"")," ",""),".",""),"-",""),"/",""),"?",""),"_",""),",",""),"[",""),"]",""),"(",""),")",""),"*","")</f>
        <v/>
      </c>
      <c r="BA50" s="61" t="str">
        <f aca="false">SUBSTITUTE(SUBSTITUTE(SUBSTITUTE(SUBSTITUTE(SUBSTITUTE(SUBSTITUTE(SUBSTITUTE(SUBSTITUTE(SUBSTITUTE(SUBSTITUTE(SUBSTITUTE(SUBSTITUTE(SUBSTITUTE(SUBSTITUTE(SUBSTITUTE(SUBSTITUTE(LOWER(AA50&amp;""),CHAR(10),""),CHAR(13),""),CHAR(9),""),CHAR(160),"")," ",""),".",""),"-",""),"/",""),"?",""),"_",""),",",""),"[",""),"]",""),"(",""),")",""),"*","")</f>
        <v/>
      </c>
      <c r="BB50" s="61" t="str">
        <f aca="false">IF(AND(TRIM(U50)="Pass",ISNUMBER(AF50)),IF(AF50&lt;&gt;0,"INVALID – qty variance: use Fail or Pass after CA",""),"")&amp;IF(AND(TRIM(U50)="Pass after CA",ISNUMBER(AF50)),IF(AF50&lt;&gt;0,"INVALID – after the corrective action the actual qty must equal expected (update Actual)",""),"")&amp;IF(AND(TRIM(U50)="Pass",TRIM(AB50)&lt;&gt;"",TRIM(AB50)&lt;&gt;"Closed"),"INVALID – corrective action not closed: use Fail, then Pass after CA","")&amp;IF(AND(LEN(BA50)&gt;=2,ISNA(MATCH(LEFT(BA50,255),L_Placeholder,0)),TRIM(AB50)=""),"INVALID – CA status missing for the recorded corrective action","")&amp;IF(AND(TRIM(U50)="Pass after CA",OR(OR(LEN(BA50)&lt;5,ISNUMBER(MATCH(BA50,L_Placeholder,0))),TRIM(AB50)&lt;&gt;"Closed")),"INVALID – corrective action not recorded/closed","")</f>
        <v/>
      </c>
      <c r="BC50" s="61" t="str">
        <f aca="false">" "&amp;TRIM(SUBSTITUTE(SUBSTITUTE(SUBSTITUTE(SUBSTITUTE(SUBSTITUTE(SUBSTITUTE(SUBSTITUTE(SUBSTITUTE(SUBSTITUTE(SUBSTITUTE(SUBSTITUTE(SUBSTITUTE(SUBSTITUTE(SUBSTITUTE(SUBSTITUTE(SUBSTITUTE(SUBSTITUTE(SUBSTITUTE(SUBSTITUTE(SUBSTITUTE(SUBSTITUTE(SUBSTITUTE(SUBSTITUTE(SUBSTITUTE(LOWER(V50&amp;""),CHAR(10)," "),CHAR(13)," "),CHAR(9)," "),CHAR(160)," "),"."," "),","," "),"-"," "),"/"," "),"("," "),")"," "),":"," "),";"," "),"_"," "),"–"," "),"?"," "),"!"," "),"*"," "),"["," "),"]"," "),"'"," "),"#"," "),"+"," "),"&amp;"," "),"\"," "))&amp;" "</f>
        <v>  </v>
      </c>
      <c r="BD50" s="61" t="str">
        <f aca="false">" "&amp;TRIM(SUBSTITUTE(SUBSTITUTE(SUBSTITUTE(SUBSTITUTE(SUBSTITUTE(SUBSTITUTE(SUBSTITUTE(SUBSTITUTE(SUBSTITUTE(SUBSTITUTE(SUBSTITUTE(SUBSTITUTE(SUBSTITUTE(SUBSTITUTE(SUBSTITUTE(SUBSTITUTE(SUBSTITUTE(SUBSTITUTE(SUBSTITUTE(SUBSTITUTE(SUBSTITUTE(SUBSTITUTE(SUBSTITUTE(SUBSTITUTE(LOWER(Z50&amp;""),CHAR(10)," "),CHAR(13)," "),CHAR(9)," "),CHAR(160)," "),"."," "),","," "),"-"," "),"/"," "),"("," "),")"," "),":"," "),";"," "),"_"," "),"–"," "),"?"," "),"!"," "),"*"," "),"["," "),"]"," "),"'"," "),"#"," "),"+"," "),"&amp;"," "),"\"," "))&amp;" "</f>
        <v>  </v>
      </c>
      <c r="BE50" s="61" t="str">
        <f aca="false">" "&amp;TRIM(SUBSTITUTE(SUBSTITUTE(SUBSTITUTE(SUBSTITUTE(SUBSTITUTE(SUBSTITUTE(SUBSTITUTE(SUBSTITUTE(SUBSTITUTE(SUBSTITUTE(SUBSTITUTE(SUBSTITUTE(SUBSTITUTE(SUBSTITUTE(SUBSTITUTE(SUBSTITUTE(SUBSTITUTE(SUBSTITUTE(SUBSTITUTE(SUBSTITUTE(SUBSTITUTE(SUBSTITUTE(SUBSTITUTE(SUBSTITUTE(LOWER(W50&amp;""),CHAR(10)," "),CHAR(13)," "),CHAR(9)," "),CHAR(160)," "),"."," "),","," "),"-"," "),"/"," "),"("," "),")"," "),":"," "),";"," "),"_"," "),"–"," "),"?"," "),"!"," "),"*"," "),"["," "),"]"," "),"'"," "),"#"," "),"+"," "),"&amp;"," "),"\"," "))&amp;" "</f>
        <v>  </v>
      </c>
      <c r="BF50" s="61" t="str">
        <f aca="false">" "&amp;TRIM(SUBSTITUTE(SUBSTITUTE(SUBSTITUTE(SUBSTITUTE(SUBSTITUTE(SUBSTITUTE(SUBSTITUTE(SUBSTITUTE(SUBSTITUTE(SUBSTITUTE(SUBSTITUTE(SUBSTITUTE(SUBSTITUTE(SUBSTITUTE(SUBSTITUTE(SUBSTITUTE(SUBSTITUTE(SUBSTITUTE(SUBSTITUTE(SUBSTITUTE(SUBSTITUTE(SUBSTITUTE(SUBSTITUTE(SUBSTITUTE(LOWER(AC50&amp;""),CHAR(10)," "),CHAR(13)," "),CHAR(9)," "),CHAR(160)," "),"."," "),","," "),"-"," "),"/"," "),"("," "),")"," "),":"," "),";"," "),"_"," "),"–"," "),"?"," "),"!"," "),"*"," "),"["," "),"]"," "),"'"," "),"#"," "),"+"," "),"&amp;"," "),"\"," "))&amp;" "</f>
        <v>  </v>
      </c>
      <c r="BG50" s="61" t="n">
        <f aca="false">IFERROR(IF(AND(TRIM(U50)="Pass",SUMPRODUCT((LEN(BC50)-LEN(SUBSTITUTE(BC50," "&amp;L_ResultBad&amp;" "," ")))/(LEN(L_ResultBad)+1))&gt;SUMPRODUCT((LEN(BC50)-LEN(SUBSTITUTE(BC50," "&amp;L_NegPhrase&amp;" "," ")))/(LEN(L_NegPhrase)+1))),1,0),0)</f>
        <v>0</v>
      </c>
      <c r="BH50" s="61" t="n">
        <f aca="false">IFERROR(IF(SUMPRODUCT((LEN(BC50)-LEN(SUBSTITUTE(BC50," "&amp;L_Pending&amp;" "," ")))/(LEN(L_Pending)+1))&gt;SUMPRODUCT((LEN(BC50)-LEN(SUBSTITUTE(BC50," "&amp;L_PendNeg&amp;" "," ")))/(LEN(L_PendNeg)+1))+SUMPRODUCT((LEN(BC50)-LEN(SUBSTITUTE(BC50," "&amp;L_PendPrep&amp;" "," ")))/(LEN(L_PendPrep)+1)),1,0),1)</f>
        <v>0</v>
      </c>
      <c r="BI50" s="61" t="n">
        <f aca="false">IFERROR(IF(SUMPRODUCT((LEN(BD50)-LEN(SUBSTITUTE(BD50," "&amp;L_PendStrict&amp;" "," ")))/(LEN(L_PendStrict)+1))&gt;SUMPRODUCT((LEN(BD50)-LEN(SUBSTITUTE(BD50," "&amp;L_PendNeg&amp;" "," ")))/(LEN(L_PendNeg)+1)),1,0),1)</f>
        <v>0</v>
      </c>
      <c r="BJ50" s="61" t="n">
        <f aca="false">IFERROR(IF(SUMPRODUCT((LEN(BE50)-LEN(SUBSTITUTE(BE50," "&amp;L_Pending&amp;" "," ")))/(LEN(L_Pending)+1))&gt;SUMPRODUCT((LEN(BE50)-LEN(SUBSTITUTE(BE50," "&amp;L_PendNeg&amp;" "," ")))/(LEN(L_PendNeg)+1))+SUMPRODUCT((LEN(BE50)-LEN(SUBSTITUTE(BE50," "&amp;L_PendPrep&amp;" "," ")))/(LEN(L_PendPrep)+1)),1,0),1)</f>
        <v>0</v>
      </c>
      <c r="BK50" s="61" t="n">
        <f aca="false">IFERROR(IF(SUMPRODUCT((LEN(BF50)-LEN(SUBSTITUTE(BF50," "&amp;L_PendStrict&amp;" "," ")))/(LEN(L_PendStrict)+1))&gt;SUMPRODUCT((LEN(BF50)-LEN(SUBSTITUTE(BF50," "&amp;L_PendNeg&amp;" "," ")))/(LEN(L_PendNeg)+1)),1,0),1)</f>
        <v>0</v>
      </c>
      <c r="BL50" s="61" t="n">
        <f aca="false">IF(ISNA(MATCH(TRIM(S50),L_EvidenceType,0)),0,BZ50)</f>
        <v>0</v>
      </c>
      <c r="BM50" s="61" t="str">
        <f aca="false">SUBSTITUTE(SUBSTITUTE(SUBSTITUTE(SUBSTITUTE(SUBSTITUTE(SUBSTITUTE(SUBSTITUTE(SUBSTITUTE(SUBSTITUTE(LOWER(Z50&amp;""),"1","0"),"2","0"),"3","0"),"4","0"),"5","0"),"6","0"),"7","0"),"8","0"),"9","0")</f>
        <v/>
      </c>
      <c r="BN50" s="61" t="str">
        <f aca="false">SUBSTITUTE(SUBSTITUTE(SUBSTITUTE(SUBSTITUTE(SUBSTITUTE(SUBSTITUTE(SUBSTITUTE(SUBSTITUTE(SUBSTITUTE(SUBSTITUTE(SUBSTITUTE(SUBSTITUTE(SUBSTITUTE(SUBSTITUTE(SUBSTITUTE(SUBSTITUTE(SUBSTITUTE(SUBSTITUTE(SUBSTITUTE(SUBSTITUTE(SUBSTITUTE(SUBSTITUTE(SUBSTITUTE(SUBSTITUTE(SUBSTITUTE(BM50,"b","a"),"c","a"),"d","a"),"e","a"),"f","a"),"g","a"),"h","a"),"i","a"),"j","a"),"k","a"),"l","a"),"m","a"),"n","a"),"o","a"),"p","a"),"q","a"),"r","a"),"s","a"),"t","a"),"u","a"),"v","a"),"w","a"),"x","a"),"y","a"),"z","a")</f>
        <v/>
      </c>
      <c r="BO50" s="61" t="str">
        <f aca="false">SUBSTITUTE(SUBSTITUTE(SUBSTITUTE(SUBSTITUTE(SUBSTITUTE(SUBSTITUTE(SUBSTITUTE(SUBSTITUTE(SUBSTITUTE(LOWER(W50&amp;""),"1","0"),"2","0"),"3","0"),"4","0"),"5","0"),"6","0"),"7","0"),"8","0"),"9","0")</f>
        <v/>
      </c>
      <c r="BP50" s="61" t="str">
        <f aca="false">SUBSTITUTE(SUBSTITUTE(SUBSTITUTE(SUBSTITUTE(SUBSTITUTE(SUBSTITUTE(SUBSTITUTE(SUBSTITUTE(SUBSTITUTE(SUBSTITUTE(SUBSTITUTE(SUBSTITUTE(SUBSTITUTE(SUBSTITUTE(SUBSTITUTE(SUBSTITUTE(SUBSTITUTE(SUBSTITUTE(SUBSTITUTE(SUBSTITUTE(SUBSTITUTE(SUBSTITUTE(SUBSTITUTE(SUBSTITUTE(SUBSTITUTE(BO50,"b","a"),"c","a"),"d","a"),"e","a"),"f","a"),"g","a"),"h","a"),"i","a"),"j","a"),"k","a"),"l","a"),"m","a"),"n","a"),"o","a"),"p","a"),"q","a"),"r","a"),"s","a"),"t","a"),"u","a"),"v","a"),"w","a"),"x","a"),"y","a"),"z","a")</f>
        <v/>
      </c>
      <c r="BQ50" s="61" t="n">
        <f aca="false">IFERROR(IF(AND(ISERROR(SEARCH(" mh"," "&amp;LOWER(W50))),ISNA(MATCH(LEFT(TRIM(BP50),255),{"0000a","000a","00a","0000aa","000aa","00aa","0aa","0000aaa","000aaa","00a00","0a00","0000-0000","00:00","a00","a0","00.00.0000","00/00/0000","00-00-0000","0000-00-00","0000/00/00","0000.00.00","00.00.00","00/00/00","00-00-00","0.00.0000","0/00/0000","0-00-0000"},0)),ISNA(MATCH(LEFT(TRIM(CA50),255),{"0000a","000a","00a","0000aa","000aa","00aa","0aa","0000aaa","000aaa","00a00","0a00","0000-0000","00:00","a00","a0","00.00.0000","00/00/0000","00-00-0000","0000-00-00","0000/00/00","0000.00.00","00.00.00","00/00/00","00-00-00","0.00.0000","0/00/0000","0-00-0000"},0)),LEN(CB50)&gt;=3,NOT(OR(SUBSTITUTE(CB50,"0","")="",AND(LEN(CB50)&gt;=4,CB50=REPT(LEFT(CB50),LEN(CB50))),ISNUMBER(MATCH(CB50,{"123","1234","12345","123456","1234567","12345678","0123","01234","012345","98765","987654","54321"},0)),AND(LEN(CB50)=8,LEFT(CB50,3)="202"))),OR(AND((LEN(CA50)-LEN(SUBSTITUTE(CA50,"a","")))&gt;=1,SUMPRODUCT(--ISNUMBER(SEARCH({"a0","a-0","a_0","a/0","a.0","a#0","0a","0-a","0_a","0/a"},BP50)))&gt;0),ISNUMBER(SEARCH("000000",BP50)))),1,0),0)</f>
        <v>0</v>
      </c>
      <c r="BR50" s="61" t="n">
        <f aca="false">IFERROR(LEN(SUBSTITUTE(CC50," ",""))-SUMPRODUCT((LEN(CC50)-LEN(SUBSTITUTE(CC50," "&amp;L_Role&amp;" "," ")))/(LEN(L_Role)+1)*LEN(L_Role)),0)</f>
        <v>0</v>
      </c>
      <c r="BS50" s="61" t="n">
        <f aca="false">IFERROR(LEN(SUBSTITUTE(CD50," ",""))-SUMPRODUCT((LEN(CD50)-LEN(SUBSTITUTE(CD50," "&amp;L_Role&amp;" "," ")))/(LEN(L_Role)+1)*LEN(L_Role)),0)</f>
        <v>0</v>
      </c>
      <c r="BT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revision",""),"version",""),"jan",""),"feb",""),"mar",""),"apr",""),"may",""),"jun",""),"jul",""),"aug",""),"sep",""),"oct",""),"nov",""),"dec",""),"utc",""),"gmt",""),"myt",""),"bst",""),"rev",""),"ver",""),"b","a"),"c","a"),"d","a"),"e","a"),"f","a"),"g","a"),"h","a"),"i","a"),"j","a"),"k","a"),"l","a"),"m","a"),"n","a"),"o","a"),"p","a"),"q","a"),"r","a"),"s","a"),"t","a"),"u","a"),"v","a"),"w","a"),"x","a"),"y","a"),"z","a")</f>
        <v/>
      </c>
      <c r="BU50" s="61" t="str">
        <f aca="false">SUBSTITUTE(SUBSTITUTE(SUBSTITUTE(SUBSTITUTE(SUBSTITUTE(SUBSTITUTE(SUBSTITUTE(SUBSTITUTE(SUBSTITUTE(SUBSTITUTE(LEFT(BM50,FIND("0",BM50&amp;"0")-1),"-",""),"_",""),"/",""),".",""),"#",""),"\\",""),":","")," ",""),"(",""),")","")</f>
        <v/>
      </c>
      <c r="BV50" s="61" t="n">
        <f aca="false">0</f>
        <v>0</v>
      </c>
      <c r="BW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amp;""),"a",""),"b",""),"c",""),"d",""),"e",""),"f",""),"g",""),"h",""),"i",""),"j",""),"k",""),"l",""),"m",""),"n",""),"o",""),"p",""),"q",""),"r",""),"s",""),"t",""),"u",""),"v",""),"w",""),"x",""),"y",""),"z",""),"-",""),"_",""),"/",""),".",""),"#",""),"\\",""),":","")," ",""),"(",""),")","")</f>
        <v/>
      </c>
      <c r="BX50" s="61" t="str">
        <f aca="false">SUBSTITUTE(SUBSTITUTE(SUBSTITUTE(SUBSTITUTE(SUBSTITUTE(SUBSTITUTE(SUBSTITUTE(SUBSTITUTE(SUBSTITUTE(SUBSTITUTE(SUBSTITUTE(BM50,"0",""),"-",""),"_",""),"/",""),".",""),"#",""),"\\",""),":","")," ",""),"(",""),")","")</f>
        <v/>
      </c>
      <c r="BY50" s="62" t="n">
        <f aca="false">Q50-T12EarlyH/24</f>
        <v>46303.5763888889</v>
      </c>
      <c r="BZ50" s="61" t="n">
        <f aca="false">IFERROR(IF(IF(TRIM(S50)="Link / file path",AND(LEN(TRIM(Z50))&gt;=5,SUMPRODUCT(--ISNUMBER(SEARCH({"http","www.","\\",":\",".pdf",".jpg",".jpeg",".png",".heic",".xls",".doc",".msg",".eml",".ppt",".txt",".zip"},Z50)))&gt;0),AND(ISERROR(FIND(" ",TRIM(Z50))),NOT(OR(SUMPRODUCT(--ISNUMBER(FIND({",",";","&amp;","+"},Z50)))&gt;0,SUMPRODUCT(--ISNUMBER(SEARCH({"0/aa","0\\aa"},BN50)))&gt;0)),NOT(SUMPRODUCT(--ISNUMBER(SEARCH({"http","www.","\\",":\",".pdf",".jpg",".jpeg",".png",".heic",".xls",".doc",".msg",".eml",".ppt",".txt",".zip"},Z50)))&gt;0),NOT(LOWER(TRIM(Z50))=LOWER(Flights!$F$6)),ISNA(MATCH(BU50,{"mh","rev","revision","ver","version","v","r","a","b","seat","tray","row","gate","bay","stand","page","pg","item","line","no","cart","galley","flight","flt","table","box","bag","oven","etd","eta","std","sta","atd","ata","qty","pax","x","time","tel","ph","mob","day","wk","week","utc","gmt","myt","lt"},0)),NOT(OR(ISNUMBER(MATCH(LEFT(BN50,255),{"0000a","000a","00a","0000aa","000aa","00aa","0aa","0000aaa","000aaa","00a00","0a00","0000-0000","00:00","a00","a0","00.00.0000","00/00/0000","00-00-0000","0000-00-00","0000/00/00","0000.00.00","00.00.00","00/00/00","00-00-00","0.00.0000","0/00/0000","0-00-0000"},0)),ISNUMBER(MATCH(LEFT(BT50,255),{"0000a","000a","00a","0000aa","000aa","00aa","0aa","0000aaa","000aaa","00a00","0a00","0000-0000","00:00","a00","a0","00.00.0000","00/00/0000","00-00-0000","0000-00-00","0000/00/00","0000.00.00","00.00.00","00/00/00","00-00-00","0.00.0000","0/00/0000","0-00-0000"},0)))),NOT(OR(AND(BW50&lt;&gt;"",SUBSTITUTE(BW50,"0","")=""),AND(LEN(BW50)&gt;=4,BW50=REPT(LEFT(BW50),LEN(BW50))),ISNUMBER(MATCH(BW50,{"123","1234","12345","123456","1234567","12345678","0123","01234","012345","98765","987654","54321"},0)),ISNUMBER(MATCH(BX50,{"x","xx","xxx","xxxx","xxxxx","abc","abcd","nil","na","nan","test","tbc","tba","tbd","dummy","sample","example","eg","zz","zzz","none","null","xyz","qwe","asd","id","ref"},0)),AND(LEN(BW50)=8,BX50="",OR(LEFT(BW50,3)="202",ISNUMBER(MATCH(RIGHT(BW50,4),{"2025","2026","2027"},0)))))),OR(AND((LEN(BT50)-LEN(SUBSTITUTE(BT50,"a","")))&gt;=1,(LEN(BN50)-LEN(SUBSTITUTE(BN50,"0","")))&gt;=2,SUMPRODUCT(--ISNUMBER(SEARCH({"a0","a-0","a_0","a/0","a.0","a#0","0a","0-a","0_a","0/a"},BN50)))&gt;0),AND((LEN(BN50)-LEN(SUBSTITUTE(BN50,"a","")))=0,(LEN(BN50)-LEN(SUBSTITUTE(BN50,"0","")))&gt;=5)))),1,0),0)</f>
        <v>0</v>
      </c>
      <c r="CA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revision",""),"version",""),"jan",""),"feb",""),"mar",""),"apr",""),"may",""),"jun",""),"jul",""),"aug",""),"sep",""),"oct",""),"nov",""),"dec",""),"utc",""),"gmt",""),"myt",""),"bst",""),"rev",""),"ver",""),"b","a"),"c","a"),"d","a"),"e","a"),"f","a"),"g","a"),"h","a"),"i","a"),"j","a"),"k","a"),"l","a"),"m","a"),"n","a"),"o","a"),"p","a"),"q","a"),"r","a"),"s","a"),"t","a"),"u","a"),"v","a"),"w","a"),"x","a"),"y","a"),"z","a")</f>
        <v/>
      </c>
      <c r="CB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amp;""),"a",""),"b",""),"c",""),"d",""),"e",""),"f",""),"g",""),"h",""),"i",""),"j",""),"k",""),"l",""),"m",""),"n",""),"o",""),"p",""),"q",""),"r",""),"s",""),"t",""),"u",""),"v",""),"w",""),"x",""),"y",""),"z",""),"-",""),"_",""),"/",""),".",""),"#",""),"\\",""),":","")," ",""),"(",""),")","")</f>
        <v/>
      </c>
      <c r="CC50" s="0" t="str">
        <f aca="false">" "&amp;TRIM(SUBSTITUTE(SUBSTITUTE(SUBSTITUTE(SUBSTITUTE(SUBSTITUTE(SUBSTITUTE(SUBSTITUTE(SUBSTITUTE(SUBSTITUTE(SUBSTITUTE(SUBSTITUTE(SUBSTITUTE(SUBSTITUTE(SUBSTITUTE(SUBSTITUTE(SUBSTITUTE(SUBSTITUTE(SUBSTITUTE(SUBSTITUTE(SUBSTITUTE(SUBSTITUTE(SUBSTITUTE(SUBSTITUTE(SUBSTITUTE(LOWER(T50&amp;""),CHAR(10)," "),CHAR(13)," "),CHAR(9)," "),CHAR(160)," "),"."," "),","," "),"-"," "),"/"," "),"("," "),")"," "),":"," "),";"," "),"_"," "),"–"," "),"?"," "),"!"," "),"*"," "),"["," "),"]"," "),"'"," "),"#"," "),"+"," "),"&amp;"," "),"\"," "))&amp;" "</f>
        <v>  </v>
      </c>
      <c r="CD50" s="0" t="str">
        <f aca="false">" "&amp;TRIM(SUBSTITUTE(SUBSTITUTE(SUBSTITUTE(SUBSTITUTE(SUBSTITUTE(SUBSTITUTE(SUBSTITUTE(SUBSTITUTE(SUBSTITUTE(SUBSTITUTE(SUBSTITUTE(SUBSTITUTE(SUBSTITUTE(SUBSTITUTE(SUBSTITUTE(SUBSTITUTE(SUBSTITUTE(SUBSTITUTE(SUBSTITUTE(SUBSTITUTE(SUBSTITUTE(SUBSTITUTE(SUBSTITUTE(SUBSTITUTE(LOWER(AE50&amp;""),CHAR(10)," "),CHAR(13)," "),CHAR(9)," "),CHAR(160)," "),"."," "),","," "),"-"," "),"/"," "),"("," "),")"," "),":"," "),";"," "),"_"," "),"–"," "),"?"," "),"!"," "),"*"," "),"["," "),"]"," "),"'"," "),"#"," "),"+"," "),"&amp;"," "),"\"," "))&amp;" "</f>
        <v>  </v>
      </c>
      <c r="CE50" s="68" t="n">
        <f aca="false">IFERROR(IF(AND(LEN(AU50)&gt;0,LEN(AU50)=LEN(AX50),OR(TRIM(MID(SUBSTITUTE(TRIM(CC50)," ",REPT(" ",60)),1,60))="",ISNUMBER(SEARCH(" "&amp;TRIM(MID(SUBSTITUTE(TRIM(CC50)," ",REPT(" ",60)),1,60))&amp;" ",CD50))),OR(TRIM(MID(SUBSTITUTE(TRIM(CC50)," ",REPT(" ",60)),61,60))="",ISNUMBER(SEARCH(" "&amp;TRIM(MID(SUBSTITUTE(TRIM(CC50)," ",REPT(" ",60)),61,60))&amp;" ",CD50))),OR(TRIM(MID(SUBSTITUTE(TRIM(CC50)," ",REPT(" ",60)),121,60))="",ISNUMBER(SEARCH(" "&amp;TRIM(MID(SUBSTITUTE(TRIM(CC50)," ",REPT(" ",60)),121,60))&amp;" ",CD50)))),1,0),0)</f>
        <v>0</v>
      </c>
      <c r="CG50" s="68" t="n">
        <f aca="false">IFERROR(LEN(SUBSTITUTE(BF50," ",""))-SUMPRODUCT((LEN(BF50)-LEN(SUBSTITUTE(BF50," "&amp;L_NAFiller&amp;" "," ")))/(LEN(L_NAFiller)+1)*LEN(L_NAFiller)),0)</f>
        <v>0</v>
      </c>
    </row>
    <row r="51" customFormat="false" ht="116.25" hidden="false" customHeight="true" outlineLevel="0" collapsed="false">
      <c r="A51" s="57" t="s">
        <v>510</v>
      </c>
      <c r="B51" s="57" t="s">
        <v>198</v>
      </c>
      <c r="C51" s="57" t="str">
        <f aca="false">Flights!$F$6</f>
        <v>MH0727</v>
      </c>
      <c r="D51" s="58" t="n">
        <f aca="false">Flights!$D$6</f>
        <v>46304</v>
      </c>
      <c r="E51" s="57" t="str">
        <f aca="false">Flights!$G$6&amp;"-"&amp;Flights!$H$6</f>
        <v>KUL-CGK</v>
      </c>
      <c r="F51" s="57" t="str">
        <f aca="false">Flights!$K$6</f>
        <v>BC</v>
      </c>
      <c r="G51" s="57" t="s">
        <v>420</v>
      </c>
      <c r="H51" s="57" t="s">
        <v>378</v>
      </c>
      <c r="I51" s="57" t="s">
        <v>499</v>
      </c>
      <c r="J51" s="57" t="s">
        <v>511</v>
      </c>
      <c r="K51" s="67" t="s">
        <v>501</v>
      </c>
      <c r="L51" s="67" t="s">
        <v>512</v>
      </c>
      <c r="M51" s="67" t="s">
        <v>451</v>
      </c>
      <c r="N51" s="67" t="s">
        <v>444</v>
      </c>
      <c r="O51" s="67" t="s">
        <v>513</v>
      </c>
      <c r="P51" s="57" t="s">
        <v>187</v>
      </c>
      <c r="Q51" s="59" t="n">
        <f aca="false">ROUND((Flights!$AE$6)*1440,0)/1440</f>
        <v>46304.0763888889</v>
      </c>
      <c r="R51" s="59" t="n">
        <f aca="false">Q51+(IF(AND(INDEX(TZ_DSTS,MATCH(P51,TZ_STN,0))&lt;&gt;"",Q51&gt;=INDEX(TZ_DSTS,MATCH(P51,TZ_STN,0)),Q51&lt;INDEX(TZ_DSTE,MATCH(P51,TZ_STN,0))),INDEX(TZ_DST,MATCH(P51,TZ_STN,0)),INDEX(TZ_STD,MATCH(P51,TZ_STN,0))))/24</f>
        <v>46304.4097222222</v>
      </c>
      <c r="S51" s="60"/>
      <c r="T51" s="60"/>
      <c r="U51" s="60"/>
      <c r="V51" s="60"/>
      <c r="W51" s="61"/>
      <c r="X51" s="60"/>
      <c r="Y51" s="60"/>
      <c r="Z51" s="60"/>
      <c r="AA51" s="60"/>
      <c r="AB51" s="60"/>
      <c r="AC51" s="60"/>
      <c r="AD51" s="66"/>
      <c r="AE51" s="60"/>
      <c r="AF51" s="61" t="str">
        <f aca="false">IF(AND(ISNUMBER(X51),ISNUMBER(Y51)),Y51-X51,"")</f>
        <v/>
      </c>
      <c r="AG51" s="62" t="str">
        <f aca="false">IF(ISNUMBER(AD51),AD51-(IF(AND(INDEX(TZ_DSTS,MATCH(P51,TZ_STN,0))&lt;&gt;"",(AD51-INDEX(TZ_STD,MATCH(P51,TZ_STN,0))/24)&gt;=INDEX(TZ_DSTS,MATCH(P51,TZ_STN,0)),(AD51-INDEX(TZ_STD,MATCH(P51,TZ_STN,0))/24)&lt;INDEX(TZ_DSTE,MATCH(P51,TZ_STN,0))),INDEX(TZ_DST,MATCH(P51,TZ_STN,0)),INDEX(TZ_STD,MATCH(P51,TZ_STN,0))))/24,"")</f>
        <v/>
      </c>
      <c r="AH51" s="65" t="str">
        <f aca="false">IFERROR(IF(N51="N/A – rule",IF(OR(TRIM(U51)="",TRIM(U51)="N/A",TRIM(U51)="Not started"),"N/A – RULE","INVALID – this check does not apply to this aircraft: clear the status (or correct the fleet on Flights)"),IF(TRIM(U51)="N/A",IF(AT51=0,"INVALID – N/A not permitted for this check",IF(AND(TRIM(AB51)&lt;&gt;"",TRIM(AB51)&lt;&gt;"Closed"),"INVALID – corrective action still open",IF(AND(NOT(OR(LEN(AZ51)&lt;15,ISNUMBER(MATCH(AZ51,L_Placeholder,0)))),BK51=0,CG51&gt;=8,NOT(OR(LEN(AU51)&lt;2,ISNUMBER(MATCH(AU51,L_Placeholder,0)))),BR51&gt;=3,NOT(OR(LEN(AX51)&lt;2,ISNUMBER(MATCH(AX51,L_Placeholder,0)))),BS51&gt;=3,TRIM(AE51)&lt;&gt;TRIM(T51),AX51&lt;&gt;AU51,CE51=0),"N/A – JUSTIFIED","INVALID – N/A needs a real, settled reason (not 'not applicable' / 'as above' / TBC), a named PIC and a different named verifier"))),IF(OR(TRIM(U51)="Pass",TRIM(U51)="Pass after CA"),IF(NOT(ISNUMBER(AD51)),"INVALID – completion time missing",IF(OR(OR(LEN(AU51)&lt;2,ISNUMBER(MATCH(AU51,L_Placeholder,0))),BR51&lt;3),"INVALID – PIC missing or not a named person (a role such as QA / CSM is not a name)",IF(OR(LEN(AV51)&lt;2,ISNUMBER(MATCH(AV51,L_Placeholder,0))),"INVALID – result / assessment missing",IF(OR(OR(LEN(AW51)&lt;3,ISNUMBER(MATCH(AW51,L_Placeholder,0))),SUMPRODUCT(--ISNUMBER(SEARCH(" "&amp;L_EvidencePhrase&amp;" ",BD51)))&gt;0,BI51=1),"INVALID – evidence missing, placeholder or not yet on file",IF(ISNA(MATCH(TRIM(S51),L_EvidenceType,0)),"INVALID – choose the evidence type from the list (column S)",IF(BL51=0,"INVALID – evidence ID must be the record's own ID only (e.g. SF-2210, IMG_2231, 1045521); a link / file name needs type 'Link / file path'",IF(OR(OR(LEN(AX51)&lt;2,ISNUMBER(MATCH(AX51,L_Placeholder,0))),BS51&lt;3),"INVALID – verifier missing or not a named person (a role such as QA / CSM is not a name)",IF(OR(AX51=AU51,CE51=1,AND(LEN(AU51)&gt;=4,ISNUMBER(SEARCH(AU51,AX51))),AND(LEN(AX51)&gt;=4,ISNUMBER(SEARCH(AX51,AU51)))),"INVALID – verifier must be a different, named person (not the PIC or a role)",IF(BH51=1,"INVALID – result not yet available (awaiting / TBC)",IF(BG51=1,"INVALID – result describes a problem: record Fail, then Pass after CA (or reword if it is not a problem)",IF(BV51=1,"INVALID – wording says not on board: an on-board confirmation needs the item loaded",IF(AND(AQ51=1,OR(OR(LEN(AY51)&lt;3,ISNUMBER(MATCH(AY51,L_Placeholder,0))),BJ51=1,BQ51=0)),"INVALID – batch ID missing, placeholder or not an ID (e.g. PASB-261008-BC-017)",IF(AND(AR51=1,OR(NOT(ISNUMBER(X51)),NOT(ISNUMBER(Y51)))),"INVALID – expected/actual qty missing",IF(AND(AR51=1,OR(X51&lt;=0,Y51&lt;0)),"INVALID – expected qty must be above 0 and actual not negative",IF(BB51&lt;&gt;"",BB51,IF(AND(AS51=1,Documents!$J$6&lt;&gt;"ON FILE"),"INVALID – GLD not on file (Documents sheet)",IF(AND(AS51=2,Documents!$O$6&lt;&gt;"ON FILE"),"INVALID – menu checklist not on file (Documents sheet)",IF(AND(AS51=3,NOT(ISNUMBER(Flights!$AX$6))),"INVALID – enter carrying flight KUL departure (Flights AX)",IF(AND(AS51=3,OR(Flights!$AZ$6&gt;Flights!$AA$6,Flights!$AX$6&lt;Flights!$AA$6-3)),"INVALID – carrying flight (Flights AX) cannot arrive before this leg's STD, or is over 3 days early",IF(AG51&gt;AsOfUTC,"INVALID – completion time is in the future",IF(AND(ISNUMBER(BY51),AG51&lt;BY51),IF(H51="Physical uplift","INVALID – before uplift window (cannot confirm loading)","INVALID – before valid window"),IF(AG51&gt;Flights!$AA$6,"INVALID – completed after departure (cannot establish readiness)",IF(AND(H51="Preparation",AG51&gt;=IF(ISNUMBER(Flights!$BA$6),MIN(Flights!$BA$6,Flights!$AA$6),Flights!$AA$6)),"INVALID – completed after loading / departure (cannot establish readiness)",IF(AND(H51="Physical uplift",AG51&gt;Q51),"INVALID – recorded after the loading flight departed",IF(AG51&gt;Q51,"COMPLETE – LATE","COMPLETE"))))))))))))))))))))))))),IF(TRIM(U51)="Fail","FAIL – DISCREPANCY",IF(AND(TRIM(U51)&lt;&gt;"",TRIM(U51)&lt;&gt;"Not started",TRIM(U51)&lt;&gt;"In progress"),"INVALID – unrecognised status (use the list)",IF(AsOfUTC&gt;Q51,"OVERDUE",IF(N51="Clarification required","OPEN – CLARIFICATION","OPEN"))))))),"INVALID – error value in an input cell")</f>
        <v>OPEN – CLARIFICATION</v>
      </c>
      <c r="AI51" s="61" t="n">
        <f aca="false">IF(OR(AH51="N/A – RULE",AH51="N/A – JUSTIFIED"),0,1)</f>
        <v>1</v>
      </c>
      <c r="AJ51" s="61" t="n">
        <f aca="false">IF(LEFT(AH51,8)="COMPLETE",1,0)</f>
        <v>0</v>
      </c>
      <c r="AK51" s="61" t="n">
        <f aca="false">IF(AND(AI51=1,AJ51=0,AsOfUTC&gt;Q51),1,0)</f>
        <v>0</v>
      </c>
      <c r="AL51" s="61" t="n">
        <f aca="false">IFERROR(IF(AND(AI51=1,OR(TRIM(U51)="Fail",AND(TRIM(AB51)&lt;&gt;"",TRIM(AB51)&lt;&gt;"Closed"),AND(ISNUMBER(AF51),AF51&lt;&gt;0,TRIM(U51)&lt;&gt;"Pass after CA"))),1,0),1)</f>
        <v>0</v>
      </c>
      <c r="AM51" s="61" t="n">
        <f aca="false">IF(LEFT(AH51,7)="INVALID",1,0)</f>
        <v>0</v>
      </c>
      <c r="AN51" s="61" t="n">
        <f aca="false">IF(AND(N51="Clarification required",AI51=1,AJ51=0),1,0)</f>
        <v>1</v>
      </c>
      <c r="AO51" s="61" t="str">
        <f aca="false">IF(AK51=1,SUM(AK$5:AK51),"")</f>
        <v/>
      </c>
      <c r="AP51" s="61" t="str">
        <f aca="false">IF(AL51=1,SUM(AL$5:AL51),"")</f>
        <v/>
      </c>
      <c r="AQ51" s="61" t="n">
        <v>0</v>
      </c>
      <c r="AR51" s="61" t="n">
        <v>0</v>
      </c>
      <c r="AS51" s="61" t="n">
        <v>0</v>
      </c>
      <c r="AT51" s="61" t="n">
        <v>1</v>
      </c>
      <c r="AU51" s="61" t="str">
        <f aca="false">SUBSTITUTE(SUBSTITUTE(SUBSTITUTE(SUBSTITUTE(SUBSTITUTE(SUBSTITUTE(SUBSTITUTE(SUBSTITUTE(SUBSTITUTE(SUBSTITUTE(SUBSTITUTE(SUBSTITUTE(SUBSTITUTE(SUBSTITUTE(SUBSTITUTE(SUBSTITUTE(LOWER(T51&amp;""),CHAR(10),""),CHAR(13),""),CHAR(9),""),CHAR(160),"")," ",""),".",""),"-",""),"/",""),"?",""),"_",""),",",""),"[",""),"]",""),"(",""),")",""),"*","")</f>
        <v/>
      </c>
      <c r="AV51" s="61" t="str">
        <f aca="false">SUBSTITUTE(SUBSTITUTE(SUBSTITUTE(SUBSTITUTE(SUBSTITUTE(SUBSTITUTE(SUBSTITUTE(SUBSTITUTE(SUBSTITUTE(SUBSTITUTE(SUBSTITUTE(SUBSTITUTE(SUBSTITUTE(SUBSTITUTE(SUBSTITUTE(SUBSTITUTE(LOWER(V51&amp;""),CHAR(10),""),CHAR(13),""),CHAR(9),""),CHAR(160),"")," ",""),".",""),"-",""),"/",""),"?",""),"_",""),",",""),"[",""),"]",""),"(",""),")",""),"*","")</f>
        <v/>
      </c>
      <c r="AW51" s="61" t="str">
        <f aca="false">SUBSTITUTE(SUBSTITUTE(SUBSTITUTE(SUBSTITUTE(SUBSTITUTE(SUBSTITUTE(SUBSTITUTE(SUBSTITUTE(SUBSTITUTE(SUBSTITUTE(SUBSTITUTE(SUBSTITUTE(SUBSTITUTE(SUBSTITUTE(SUBSTITUTE(SUBSTITUTE(LOWER(Z51&amp;""),CHAR(10),""),CHAR(13),""),CHAR(9),""),CHAR(160),"")," ",""),".",""),"-",""),"/",""),"?",""),"_",""),",",""),"[",""),"]",""),"(",""),")",""),"*","")</f>
        <v/>
      </c>
      <c r="AX51" s="61" t="str">
        <f aca="false">SUBSTITUTE(SUBSTITUTE(SUBSTITUTE(SUBSTITUTE(SUBSTITUTE(SUBSTITUTE(SUBSTITUTE(SUBSTITUTE(SUBSTITUTE(SUBSTITUTE(SUBSTITUTE(SUBSTITUTE(SUBSTITUTE(SUBSTITUTE(SUBSTITUTE(SUBSTITUTE(LOWER(AE51&amp;""),CHAR(10),""),CHAR(13),""),CHAR(9),""),CHAR(160),"")," ",""),".",""),"-",""),"/",""),"?",""),"_",""),",",""),"[",""),"]",""),"(",""),")",""),"*","")</f>
        <v/>
      </c>
      <c r="AY51" s="61" t="str">
        <f aca="false">SUBSTITUTE(SUBSTITUTE(SUBSTITUTE(SUBSTITUTE(SUBSTITUTE(SUBSTITUTE(SUBSTITUTE(SUBSTITUTE(SUBSTITUTE(SUBSTITUTE(SUBSTITUTE(SUBSTITUTE(SUBSTITUTE(SUBSTITUTE(SUBSTITUTE(SUBSTITUTE(LOWER(W51&amp;""),CHAR(10),""),CHAR(13),""),CHAR(9),""),CHAR(160),"")," ",""),".",""),"-",""),"/",""),"?",""),"_",""),",",""),"[",""),"]",""),"(",""),")",""),"*","")</f>
        <v/>
      </c>
      <c r="AZ51" s="61" t="str">
        <f aca="false">SUBSTITUTE(SUBSTITUTE(SUBSTITUTE(SUBSTITUTE(SUBSTITUTE(SUBSTITUTE(SUBSTITUTE(SUBSTITUTE(SUBSTITUTE(SUBSTITUTE(SUBSTITUTE(SUBSTITUTE(SUBSTITUTE(SUBSTITUTE(SUBSTITUTE(SUBSTITUTE(LOWER(AC51&amp;""),CHAR(10),""),CHAR(13),""),CHAR(9),""),CHAR(160),"")," ",""),".",""),"-",""),"/",""),"?",""),"_",""),",",""),"[",""),"]",""),"(",""),")",""),"*","")</f>
        <v/>
      </c>
      <c r="BA51" s="61" t="str">
        <f aca="false">SUBSTITUTE(SUBSTITUTE(SUBSTITUTE(SUBSTITUTE(SUBSTITUTE(SUBSTITUTE(SUBSTITUTE(SUBSTITUTE(SUBSTITUTE(SUBSTITUTE(SUBSTITUTE(SUBSTITUTE(SUBSTITUTE(SUBSTITUTE(SUBSTITUTE(SUBSTITUTE(LOWER(AA51&amp;""),CHAR(10),""),CHAR(13),""),CHAR(9),""),CHAR(160),"")," ",""),".",""),"-",""),"/",""),"?",""),"_",""),",",""),"[",""),"]",""),"(",""),")",""),"*","")</f>
        <v/>
      </c>
      <c r="BB51" s="61" t="str">
        <f aca="false">IF(AND(TRIM(U51)="Pass",ISNUMBER(AF51)),IF(AF51&lt;&gt;0,"INVALID – qty variance: use Fail or Pass after CA",""),"")&amp;IF(AND(TRIM(U51)="Pass after CA",ISNUMBER(AF51)),IF(AF51&lt;&gt;0,"INVALID – after the corrective action the actual qty must equal expected (update Actual)",""),"")&amp;IF(AND(TRIM(U51)="Pass",TRIM(AB51)&lt;&gt;"",TRIM(AB51)&lt;&gt;"Closed"),"INVALID – corrective action not closed: use Fail, then Pass after CA","")&amp;IF(AND(LEN(BA51)&gt;=2,ISNA(MATCH(LEFT(BA51,255),L_Placeholder,0)),TRIM(AB51)=""),"INVALID – CA status missing for the recorded corrective action","")&amp;IF(AND(TRIM(U51)="Pass after CA",OR(OR(LEN(BA51)&lt;5,ISNUMBER(MATCH(BA51,L_Placeholder,0))),TRIM(AB51)&lt;&gt;"Closed")),"INVALID – corrective action not recorded/closed","")</f>
        <v/>
      </c>
      <c r="BC51" s="61" t="str">
        <f aca="false">" "&amp;TRIM(SUBSTITUTE(SUBSTITUTE(SUBSTITUTE(SUBSTITUTE(SUBSTITUTE(SUBSTITUTE(SUBSTITUTE(SUBSTITUTE(SUBSTITUTE(SUBSTITUTE(SUBSTITUTE(SUBSTITUTE(SUBSTITUTE(SUBSTITUTE(SUBSTITUTE(SUBSTITUTE(SUBSTITUTE(SUBSTITUTE(SUBSTITUTE(SUBSTITUTE(SUBSTITUTE(SUBSTITUTE(SUBSTITUTE(SUBSTITUTE(LOWER(V51&amp;""),CHAR(10)," "),CHAR(13)," "),CHAR(9)," "),CHAR(160)," "),"."," "),","," "),"-"," "),"/"," "),"("," "),")"," "),":"," "),";"," "),"_"," "),"–"," "),"?"," "),"!"," "),"*"," "),"["," "),"]"," "),"'"," "),"#"," "),"+"," "),"&amp;"," "),"\"," "))&amp;" "</f>
        <v>  </v>
      </c>
      <c r="BD51" s="61" t="str">
        <f aca="false">" "&amp;TRIM(SUBSTITUTE(SUBSTITUTE(SUBSTITUTE(SUBSTITUTE(SUBSTITUTE(SUBSTITUTE(SUBSTITUTE(SUBSTITUTE(SUBSTITUTE(SUBSTITUTE(SUBSTITUTE(SUBSTITUTE(SUBSTITUTE(SUBSTITUTE(SUBSTITUTE(SUBSTITUTE(SUBSTITUTE(SUBSTITUTE(SUBSTITUTE(SUBSTITUTE(SUBSTITUTE(SUBSTITUTE(SUBSTITUTE(SUBSTITUTE(LOWER(Z51&amp;""),CHAR(10)," "),CHAR(13)," "),CHAR(9)," "),CHAR(160)," "),"."," "),","," "),"-"," "),"/"," "),"("," "),")"," "),":"," "),";"," "),"_"," "),"–"," "),"?"," "),"!"," "),"*"," "),"["," "),"]"," "),"'"," "),"#"," "),"+"," "),"&amp;"," "),"\"," "))&amp;" "</f>
        <v>  </v>
      </c>
      <c r="BE51" s="61" t="str">
        <f aca="false">" "&amp;TRIM(SUBSTITUTE(SUBSTITUTE(SUBSTITUTE(SUBSTITUTE(SUBSTITUTE(SUBSTITUTE(SUBSTITUTE(SUBSTITUTE(SUBSTITUTE(SUBSTITUTE(SUBSTITUTE(SUBSTITUTE(SUBSTITUTE(SUBSTITUTE(SUBSTITUTE(SUBSTITUTE(SUBSTITUTE(SUBSTITUTE(SUBSTITUTE(SUBSTITUTE(SUBSTITUTE(SUBSTITUTE(SUBSTITUTE(SUBSTITUTE(LOWER(W51&amp;""),CHAR(10)," "),CHAR(13)," "),CHAR(9)," "),CHAR(160)," "),"."," "),","," "),"-"," "),"/"," "),"("," "),")"," "),":"," "),";"," "),"_"," "),"–"," "),"?"," "),"!"," "),"*"," "),"["," "),"]"," "),"'"," "),"#"," "),"+"," "),"&amp;"," "),"\"," "))&amp;" "</f>
        <v>  </v>
      </c>
      <c r="BF51" s="61" t="str">
        <f aca="false">" "&amp;TRIM(SUBSTITUTE(SUBSTITUTE(SUBSTITUTE(SUBSTITUTE(SUBSTITUTE(SUBSTITUTE(SUBSTITUTE(SUBSTITUTE(SUBSTITUTE(SUBSTITUTE(SUBSTITUTE(SUBSTITUTE(SUBSTITUTE(SUBSTITUTE(SUBSTITUTE(SUBSTITUTE(SUBSTITUTE(SUBSTITUTE(SUBSTITUTE(SUBSTITUTE(SUBSTITUTE(SUBSTITUTE(SUBSTITUTE(SUBSTITUTE(LOWER(AC51&amp;""),CHAR(10)," "),CHAR(13)," "),CHAR(9)," "),CHAR(160)," "),"."," "),","," "),"-"," "),"/"," "),"("," "),")"," "),":"," "),";"," "),"_"," "),"–"," "),"?"," "),"!"," "),"*"," "),"["," "),"]"," "),"'"," "),"#"," "),"+"," "),"&amp;"," "),"\"," "))&amp;" "</f>
        <v>  </v>
      </c>
      <c r="BG51" s="61" t="n">
        <f aca="false">IFERROR(IF(AND(TRIM(U51)="Pass",SUMPRODUCT((LEN(BC51)-LEN(SUBSTITUTE(BC51," "&amp;L_ResultBad&amp;" "," ")))/(LEN(L_ResultBad)+1))&gt;SUMPRODUCT((LEN(BC51)-LEN(SUBSTITUTE(BC51," "&amp;L_NegPhrase&amp;" "," ")))/(LEN(L_NegPhrase)+1))),1,0),0)</f>
        <v>0</v>
      </c>
      <c r="BH51" s="61" t="n">
        <f aca="false">IFERROR(IF(SUMPRODUCT((LEN(BC51)-LEN(SUBSTITUTE(BC51," "&amp;L_Pending&amp;" "," ")))/(LEN(L_Pending)+1))&gt;SUMPRODUCT((LEN(BC51)-LEN(SUBSTITUTE(BC51," "&amp;L_PendNeg&amp;" "," ")))/(LEN(L_PendNeg)+1))+SUMPRODUCT((LEN(BC51)-LEN(SUBSTITUTE(BC51," "&amp;L_PendPrep&amp;" "," ")))/(LEN(L_PendPrep)+1)),1,0),1)</f>
        <v>0</v>
      </c>
      <c r="BI51" s="61" t="n">
        <f aca="false">IFERROR(IF(SUMPRODUCT((LEN(BD51)-LEN(SUBSTITUTE(BD51," "&amp;L_PendStrict&amp;" "," ")))/(LEN(L_PendStrict)+1))&gt;SUMPRODUCT((LEN(BD51)-LEN(SUBSTITUTE(BD51," "&amp;L_PendNeg&amp;" "," ")))/(LEN(L_PendNeg)+1)),1,0),1)</f>
        <v>0</v>
      </c>
      <c r="BJ51" s="61" t="n">
        <f aca="false">IFERROR(IF(SUMPRODUCT((LEN(BE51)-LEN(SUBSTITUTE(BE51," "&amp;L_Pending&amp;" "," ")))/(LEN(L_Pending)+1))&gt;SUMPRODUCT((LEN(BE51)-LEN(SUBSTITUTE(BE51," "&amp;L_PendNeg&amp;" "," ")))/(LEN(L_PendNeg)+1))+SUMPRODUCT((LEN(BE51)-LEN(SUBSTITUTE(BE51," "&amp;L_PendPrep&amp;" "," ")))/(LEN(L_PendPrep)+1)),1,0),1)</f>
        <v>0</v>
      </c>
      <c r="BK51" s="61" t="n">
        <f aca="false">IFERROR(IF(SUMPRODUCT((LEN(BF51)-LEN(SUBSTITUTE(BF51," "&amp;L_PendStrict&amp;" "," ")))/(LEN(L_PendStrict)+1))&gt;SUMPRODUCT((LEN(BF51)-LEN(SUBSTITUTE(BF51," "&amp;L_PendNeg&amp;" "," ")))/(LEN(L_PendNeg)+1)),1,0),1)</f>
        <v>0</v>
      </c>
      <c r="BL51" s="61" t="n">
        <f aca="false">IF(ISNA(MATCH(TRIM(S51),L_EvidenceType,0)),0,BZ51)</f>
        <v>0</v>
      </c>
      <c r="BM51" s="61" t="str">
        <f aca="false">SUBSTITUTE(SUBSTITUTE(SUBSTITUTE(SUBSTITUTE(SUBSTITUTE(SUBSTITUTE(SUBSTITUTE(SUBSTITUTE(SUBSTITUTE(LOWER(Z51&amp;""),"1","0"),"2","0"),"3","0"),"4","0"),"5","0"),"6","0"),"7","0"),"8","0"),"9","0")</f>
        <v/>
      </c>
      <c r="BN51" s="61" t="str">
        <f aca="false">SUBSTITUTE(SUBSTITUTE(SUBSTITUTE(SUBSTITUTE(SUBSTITUTE(SUBSTITUTE(SUBSTITUTE(SUBSTITUTE(SUBSTITUTE(SUBSTITUTE(SUBSTITUTE(SUBSTITUTE(SUBSTITUTE(SUBSTITUTE(SUBSTITUTE(SUBSTITUTE(SUBSTITUTE(SUBSTITUTE(SUBSTITUTE(SUBSTITUTE(SUBSTITUTE(SUBSTITUTE(SUBSTITUTE(SUBSTITUTE(SUBSTITUTE(BM51,"b","a"),"c","a"),"d","a"),"e","a"),"f","a"),"g","a"),"h","a"),"i","a"),"j","a"),"k","a"),"l","a"),"m","a"),"n","a"),"o","a"),"p","a"),"q","a"),"r","a"),"s","a"),"t","a"),"u","a"),"v","a"),"w","a"),"x","a"),"y","a"),"z","a")</f>
        <v/>
      </c>
      <c r="BO51" s="61" t="str">
        <f aca="false">SUBSTITUTE(SUBSTITUTE(SUBSTITUTE(SUBSTITUTE(SUBSTITUTE(SUBSTITUTE(SUBSTITUTE(SUBSTITUTE(SUBSTITUTE(LOWER(W51&amp;""),"1","0"),"2","0"),"3","0"),"4","0"),"5","0"),"6","0"),"7","0"),"8","0"),"9","0")</f>
        <v/>
      </c>
      <c r="BP51" s="61" t="str">
        <f aca="false">SUBSTITUTE(SUBSTITUTE(SUBSTITUTE(SUBSTITUTE(SUBSTITUTE(SUBSTITUTE(SUBSTITUTE(SUBSTITUTE(SUBSTITUTE(SUBSTITUTE(SUBSTITUTE(SUBSTITUTE(SUBSTITUTE(SUBSTITUTE(SUBSTITUTE(SUBSTITUTE(SUBSTITUTE(SUBSTITUTE(SUBSTITUTE(SUBSTITUTE(SUBSTITUTE(SUBSTITUTE(SUBSTITUTE(SUBSTITUTE(SUBSTITUTE(BO51,"b","a"),"c","a"),"d","a"),"e","a"),"f","a"),"g","a"),"h","a"),"i","a"),"j","a"),"k","a"),"l","a"),"m","a"),"n","a"),"o","a"),"p","a"),"q","a"),"r","a"),"s","a"),"t","a"),"u","a"),"v","a"),"w","a"),"x","a"),"y","a"),"z","a")</f>
        <v/>
      </c>
      <c r="BQ51" s="61" t="n">
        <f aca="false">IFERROR(IF(AND(ISERROR(SEARCH(" mh"," "&amp;LOWER(W51))),ISNA(MATCH(LEFT(TRIM(BP51),255),{"0000a","000a","00a","0000aa","000aa","00aa","0aa","0000aaa","000aaa","00a00","0a00","0000-0000","00:00","a00","a0","00.00.0000","00/00/0000","00-00-0000","0000-00-00","0000/00/00","0000.00.00","00.00.00","00/00/00","00-00-00","0.00.0000","0/00/0000","0-00-0000"},0)),ISNA(MATCH(LEFT(TRIM(CA51),255),{"0000a","000a","00a","0000aa","000aa","00aa","0aa","0000aaa","000aaa","00a00","0a00","0000-0000","00:00","a00","a0","00.00.0000","00/00/0000","00-00-0000","0000-00-00","0000/00/00","0000.00.00","00.00.00","00/00/00","00-00-00","0.00.0000","0/00/0000","0-00-0000"},0)),LEN(CB51)&gt;=3,NOT(OR(SUBSTITUTE(CB51,"0","")="",AND(LEN(CB51)&gt;=4,CB51=REPT(LEFT(CB51),LEN(CB51))),ISNUMBER(MATCH(CB51,{"123","1234","12345","123456","1234567","12345678","0123","01234","012345","98765","987654","54321"},0)),AND(LEN(CB51)=8,LEFT(CB51,3)="202"))),OR(AND((LEN(CA51)-LEN(SUBSTITUTE(CA51,"a","")))&gt;=1,SUMPRODUCT(--ISNUMBER(SEARCH({"a0","a-0","a_0","a/0","a.0","a#0","0a","0-a","0_a","0/a"},BP51)))&gt;0),ISNUMBER(SEARCH("000000",BP51)))),1,0),0)</f>
        <v>0</v>
      </c>
      <c r="BR51" s="61" t="n">
        <f aca="false">IFERROR(LEN(SUBSTITUTE(CC51," ",""))-SUMPRODUCT((LEN(CC51)-LEN(SUBSTITUTE(CC51," "&amp;L_Role&amp;" "," ")))/(LEN(L_Role)+1)*LEN(L_Role)),0)</f>
        <v>0</v>
      </c>
      <c r="BS51" s="61" t="n">
        <f aca="false">IFERROR(LEN(SUBSTITUTE(CD51," ",""))-SUMPRODUCT((LEN(CD51)-LEN(SUBSTITUTE(CD51," "&amp;L_Role&amp;" "," ")))/(LEN(L_Role)+1)*LEN(L_Role)),0)</f>
        <v>0</v>
      </c>
      <c r="BT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revision",""),"version",""),"jan",""),"feb",""),"mar",""),"apr",""),"may",""),"jun",""),"jul",""),"aug",""),"sep",""),"oct",""),"nov",""),"dec",""),"utc",""),"gmt",""),"myt",""),"bst",""),"rev",""),"ver",""),"b","a"),"c","a"),"d","a"),"e","a"),"f","a"),"g","a"),"h","a"),"i","a"),"j","a"),"k","a"),"l","a"),"m","a"),"n","a"),"o","a"),"p","a"),"q","a"),"r","a"),"s","a"),"t","a"),"u","a"),"v","a"),"w","a"),"x","a"),"y","a"),"z","a")</f>
        <v/>
      </c>
      <c r="BU51" s="61" t="str">
        <f aca="false">SUBSTITUTE(SUBSTITUTE(SUBSTITUTE(SUBSTITUTE(SUBSTITUTE(SUBSTITUTE(SUBSTITUTE(SUBSTITUTE(SUBSTITUTE(SUBSTITUTE(LEFT(BM51,FIND("0",BM51&amp;"0")-1),"-",""),"_",""),"/",""),".",""),"#",""),"\\",""),":","")," ",""),"(",""),")","")</f>
        <v/>
      </c>
      <c r="BV51" s="61" t="n">
        <f aca="false">0</f>
        <v>0</v>
      </c>
      <c r="BW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amp;""),"a",""),"b",""),"c",""),"d",""),"e",""),"f",""),"g",""),"h",""),"i",""),"j",""),"k",""),"l",""),"m",""),"n",""),"o",""),"p",""),"q",""),"r",""),"s",""),"t",""),"u",""),"v",""),"w",""),"x",""),"y",""),"z",""),"-",""),"_",""),"/",""),".",""),"#",""),"\\",""),":","")," ",""),"(",""),")","")</f>
        <v/>
      </c>
      <c r="BX51" s="61" t="str">
        <f aca="false">SUBSTITUTE(SUBSTITUTE(SUBSTITUTE(SUBSTITUTE(SUBSTITUTE(SUBSTITUTE(SUBSTITUTE(SUBSTITUTE(SUBSTITUTE(SUBSTITUTE(SUBSTITUTE(BM51,"0",""),"-",""),"_",""),"/",""),".",""),"#",""),"\\",""),":","")," ",""),"(",""),")","")</f>
        <v/>
      </c>
      <c r="BY51" s="62" t="n">
        <f aca="false">Q51-T12EarlyH/24</f>
        <v>46303.5763888889</v>
      </c>
      <c r="BZ51" s="61" t="n">
        <f aca="false">IFERROR(IF(IF(TRIM(S51)="Link / file path",AND(LEN(TRIM(Z51))&gt;=5,SUMPRODUCT(--ISNUMBER(SEARCH({"http","www.","\\",":\",".pdf",".jpg",".jpeg",".png",".heic",".xls",".doc",".msg",".eml",".ppt",".txt",".zip"},Z51)))&gt;0),AND(ISERROR(FIND(" ",TRIM(Z51))),NOT(OR(SUMPRODUCT(--ISNUMBER(FIND({",",";","&amp;","+"},Z51)))&gt;0,SUMPRODUCT(--ISNUMBER(SEARCH({"0/aa","0\\aa"},BN51)))&gt;0)),NOT(SUMPRODUCT(--ISNUMBER(SEARCH({"http","www.","\\",":\",".pdf",".jpg",".jpeg",".png",".heic",".xls",".doc",".msg",".eml",".ppt",".txt",".zip"},Z51)))&gt;0),NOT(LOWER(TRIM(Z51))=LOWER(Flights!$F$6)),ISNA(MATCH(BU51,{"mh","rev","revision","ver","version","v","r","a","b","seat","tray","row","gate","bay","stand","page","pg","item","line","no","cart","galley","flight","flt","table","box","bag","oven","etd","eta","std","sta","atd","ata","qty","pax","x","time","tel","ph","mob","day","wk","week","utc","gmt","myt","lt"},0)),NOT(OR(ISNUMBER(MATCH(LEFT(BN51,255),{"0000a","000a","00a","0000aa","000aa","00aa","0aa","0000aaa","000aaa","00a00","0a00","0000-0000","00:00","a00","a0","00.00.0000","00/00/0000","00-00-0000","0000-00-00","0000/00/00","0000.00.00","00.00.00","00/00/00","00-00-00","0.00.0000","0/00/0000","0-00-0000"},0)),ISNUMBER(MATCH(LEFT(BT51,255),{"0000a","000a","00a","0000aa","000aa","00aa","0aa","0000aaa","000aaa","00a00","0a00","0000-0000","00:00","a00","a0","00.00.0000","00/00/0000","00-00-0000","0000-00-00","0000/00/00","0000.00.00","00.00.00","00/00/00","00-00-00","0.00.0000","0/00/0000","0-00-0000"},0)))),NOT(OR(AND(BW51&lt;&gt;"",SUBSTITUTE(BW51,"0","")=""),AND(LEN(BW51)&gt;=4,BW51=REPT(LEFT(BW51),LEN(BW51))),ISNUMBER(MATCH(BW51,{"123","1234","12345","123456","1234567","12345678","0123","01234","012345","98765","987654","54321"},0)),ISNUMBER(MATCH(BX51,{"x","xx","xxx","xxxx","xxxxx","abc","abcd","nil","na","nan","test","tbc","tba","tbd","dummy","sample","example","eg","zz","zzz","none","null","xyz","qwe","asd","id","ref"},0)),AND(LEN(BW51)=8,BX51="",OR(LEFT(BW51,3)="202",ISNUMBER(MATCH(RIGHT(BW51,4),{"2025","2026","2027"},0)))))),OR(AND((LEN(BT51)-LEN(SUBSTITUTE(BT51,"a","")))&gt;=1,(LEN(BN51)-LEN(SUBSTITUTE(BN51,"0","")))&gt;=2,SUMPRODUCT(--ISNUMBER(SEARCH({"a0","a-0","a_0","a/0","a.0","a#0","0a","0-a","0_a","0/a"},BN51)))&gt;0),AND((LEN(BN51)-LEN(SUBSTITUTE(BN51,"a","")))=0,(LEN(BN51)-LEN(SUBSTITUTE(BN51,"0","")))&gt;=5)))),1,0),0)</f>
        <v>0</v>
      </c>
      <c r="CA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revision",""),"version",""),"jan",""),"feb",""),"mar",""),"apr",""),"may",""),"jun",""),"jul",""),"aug",""),"sep",""),"oct",""),"nov",""),"dec",""),"utc",""),"gmt",""),"myt",""),"bst",""),"rev",""),"ver",""),"b","a"),"c","a"),"d","a"),"e","a"),"f","a"),"g","a"),"h","a"),"i","a"),"j","a"),"k","a"),"l","a"),"m","a"),"n","a"),"o","a"),"p","a"),"q","a"),"r","a"),"s","a"),"t","a"),"u","a"),"v","a"),"w","a"),"x","a"),"y","a"),"z","a")</f>
        <v/>
      </c>
      <c r="CB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amp;""),"a",""),"b",""),"c",""),"d",""),"e",""),"f",""),"g",""),"h",""),"i",""),"j",""),"k",""),"l",""),"m",""),"n",""),"o",""),"p",""),"q",""),"r",""),"s",""),"t",""),"u",""),"v",""),"w",""),"x",""),"y",""),"z",""),"-",""),"_",""),"/",""),".",""),"#",""),"\\",""),":","")," ",""),"(",""),")","")</f>
        <v/>
      </c>
      <c r="CC51" s="0" t="str">
        <f aca="false">" "&amp;TRIM(SUBSTITUTE(SUBSTITUTE(SUBSTITUTE(SUBSTITUTE(SUBSTITUTE(SUBSTITUTE(SUBSTITUTE(SUBSTITUTE(SUBSTITUTE(SUBSTITUTE(SUBSTITUTE(SUBSTITUTE(SUBSTITUTE(SUBSTITUTE(SUBSTITUTE(SUBSTITUTE(SUBSTITUTE(SUBSTITUTE(SUBSTITUTE(SUBSTITUTE(SUBSTITUTE(SUBSTITUTE(SUBSTITUTE(SUBSTITUTE(LOWER(T51&amp;""),CHAR(10)," "),CHAR(13)," "),CHAR(9)," "),CHAR(160)," "),"."," "),","," "),"-"," "),"/"," "),"("," "),")"," "),":"," "),";"," "),"_"," "),"–"," "),"?"," "),"!"," "),"*"," "),"["," "),"]"," "),"'"," "),"#"," "),"+"," "),"&amp;"," "),"\"," "))&amp;" "</f>
        <v>  </v>
      </c>
      <c r="CD51" s="0" t="str">
        <f aca="false">" "&amp;TRIM(SUBSTITUTE(SUBSTITUTE(SUBSTITUTE(SUBSTITUTE(SUBSTITUTE(SUBSTITUTE(SUBSTITUTE(SUBSTITUTE(SUBSTITUTE(SUBSTITUTE(SUBSTITUTE(SUBSTITUTE(SUBSTITUTE(SUBSTITUTE(SUBSTITUTE(SUBSTITUTE(SUBSTITUTE(SUBSTITUTE(SUBSTITUTE(SUBSTITUTE(SUBSTITUTE(SUBSTITUTE(SUBSTITUTE(SUBSTITUTE(LOWER(AE51&amp;""),CHAR(10)," "),CHAR(13)," "),CHAR(9)," "),CHAR(160)," "),"."," "),","," "),"-"," "),"/"," "),"("," "),")"," "),":"," "),";"," "),"_"," "),"–"," "),"?"," "),"!"," "),"*"," "),"["," "),"]"," "),"'"," "),"#"," "),"+"," "),"&amp;"," "),"\"," "))&amp;" "</f>
        <v>  </v>
      </c>
      <c r="CE51" s="68" t="n">
        <f aca="false">IFERROR(IF(AND(LEN(AU51)&gt;0,LEN(AU51)=LEN(AX51),OR(TRIM(MID(SUBSTITUTE(TRIM(CC51)," ",REPT(" ",60)),1,60))="",ISNUMBER(SEARCH(" "&amp;TRIM(MID(SUBSTITUTE(TRIM(CC51)," ",REPT(" ",60)),1,60))&amp;" ",CD51))),OR(TRIM(MID(SUBSTITUTE(TRIM(CC51)," ",REPT(" ",60)),61,60))="",ISNUMBER(SEARCH(" "&amp;TRIM(MID(SUBSTITUTE(TRIM(CC51)," ",REPT(" ",60)),61,60))&amp;" ",CD51))),OR(TRIM(MID(SUBSTITUTE(TRIM(CC51)," ",REPT(" ",60)),121,60))="",ISNUMBER(SEARCH(" "&amp;TRIM(MID(SUBSTITUTE(TRIM(CC51)," ",REPT(" ",60)),121,60))&amp;" ",CD51)))),1,0),0)</f>
        <v>0</v>
      </c>
      <c r="CG51" s="68" t="n">
        <f aca="false">IFERROR(LEN(SUBSTITUTE(BF51," ",""))-SUMPRODUCT((LEN(BF51)-LEN(SUBSTITUTE(BF51," "&amp;L_NAFiller&amp;" "," ")))/(LEN(L_NAFiller)+1)*LEN(L_NAFiller)),0)</f>
        <v>0</v>
      </c>
    </row>
    <row r="52" customFormat="false" ht="116.25" hidden="false" customHeight="true" outlineLevel="0" collapsed="false">
      <c r="A52" s="57" t="s">
        <v>514</v>
      </c>
      <c r="B52" s="57" t="s">
        <v>198</v>
      </c>
      <c r="C52" s="57" t="str">
        <f aca="false">Flights!$F$6</f>
        <v>MH0727</v>
      </c>
      <c r="D52" s="58" t="n">
        <f aca="false">Flights!$D$6</f>
        <v>46304</v>
      </c>
      <c r="E52" s="57" t="str">
        <f aca="false">Flights!$G$6&amp;"-"&amp;Flights!$H$6</f>
        <v>KUL-CGK</v>
      </c>
      <c r="F52" s="57" t="str">
        <f aca="false">Flights!$K$6</f>
        <v>BC</v>
      </c>
      <c r="G52" s="57" t="s">
        <v>420</v>
      </c>
      <c r="H52" s="57" t="s">
        <v>378</v>
      </c>
      <c r="I52" s="57" t="s">
        <v>499</v>
      </c>
      <c r="J52" s="57" t="s">
        <v>515</v>
      </c>
      <c r="K52" s="67" t="s">
        <v>501</v>
      </c>
      <c r="L52" s="67" t="s">
        <v>516</v>
      </c>
      <c r="M52" s="67" t="s">
        <v>451</v>
      </c>
      <c r="N52" s="67" t="s">
        <v>444</v>
      </c>
      <c r="O52" s="67" t="s">
        <v>513</v>
      </c>
      <c r="P52" s="57" t="s">
        <v>187</v>
      </c>
      <c r="Q52" s="59" t="n">
        <f aca="false">ROUND((Flights!$AE$6)*1440,0)/1440</f>
        <v>46304.0763888889</v>
      </c>
      <c r="R52" s="59" t="n">
        <f aca="false">Q52+(IF(AND(INDEX(TZ_DSTS,MATCH(P52,TZ_STN,0))&lt;&gt;"",Q52&gt;=INDEX(TZ_DSTS,MATCH(P52,TZ_STN,0)),Q52&lt;INDEX(TZ_DSTE,MATCH(P52,TZ_STN,0))),INDEX(TZ_DST,MATCH(P52,TZ_STN,0)),INDEX(TZ_STD,MATCH(P52,TZ_STN,0))))/24</f>
        <v>46304.4097222222</v>
      </c>
      <c r="S52" s="60"/>
      <c r="T52" s="60"/>
      <c r="U52" s="60"/>
      <c r="V52" s="60"/>
      <c r="W52" s="61"/>
      <c r="X52" s="60"/>
      <c r="Y52" s="60"/>
      <c r="Z52" s="60"/>
      <c r="AA52" s="60"/>
      <c r="AB52" s="60"/>
      <c r="AC52" s="60"/>
      <c r="AD52" s="66"/>
      <c r="AE52" s="60"/>
      <c r="AF52" s="61" t="str">
        <f aca="false">IF(AND(ISNUMBER(X52),ISNUMBER(Y52)),Y52-X52,"")</f>
        <v/>
      </c>
      <c r="AG52" s="62" t="str">
        <f aca="false">IF(ISNUMBER(AD52),AD52-(IF(AND(INDEX(TZ_DSTS,MATCH(P52,TZ_STN,0))&lt;&gt;"",(AD52-INDEX(TZ_STD,MATCH(P52,TZ_STN,0))/24)&gt;=INDEX(TZ_DSTS,MATCH(P52,TZ_STN,0)),(AD52-INDEX(TZ_STD,MATCH(P52,TZ_STN,0))/24)&lt;INDEX(TZ_DSTE,MATCH(P52,TZ_STN,0))),INDEX(TZ_DST,MATCH(P52,TZ_STN,0)),INDEX(TZ_STD,MATCH(P52,TZ_STN,0))))/24,"")</f>
        <v/>
      </c>
      <c r="AH52" s="65" t="str">
        <f aca="false">IFERROR(IF(N52="N/A – rule",IF(OR(TRIM(U52)="",TRIM(U52)="N/A",TRIM(U52)="Not started"),"N/A – RULE","INVALID – this check does not apply to this aircraft: clear the status (or correct the fleet on Flights)"),IF(TRIM(U52)="N/A",IF(AT52=0,"INVALID – N/A not permitted for this check",IF(AND(TRIM(AB52)&lt;&gt;"",TRIM(AB52)&lt;&gt;"Closed"),"INVALID – corrective action still open",IF(AND(NOT(OR(LEN(AZ52)&lt;15,ISNUMBER(MATCH(AZ52,L_Placeholder,0)))),BK52=0,CG52&gt;=8,NOT(OR(LEN(AU52)&lt;2,ISNUMBER(MATCH(AU52,L_Placeholder,0)))),BR52&gt;=3,NOT(OR(LEN(AX52)&lt;2,ISNUMBER(MATCH(AX52,L_Placeholder,0)))),BS52&gt;=3,TRIM(AE52)&lt;&gt;TRIM(T52),AX52&lt;&gt;AU52,CE52=0),"N/A – JUSTIFIED","INVALID – N/A needs a real, settled reason (not 'not applicable' / 'as above' / TBC), a named PIC and a different named verifier"))),IF(OR(TRIM(U52)="Pass",TRIM(U52)="Pass after CA"),IF(NOT(ISNUMBER(AD52)),"INVALID – completion time missing",IF(OR(OR(LEN(AU52)&lt;2,ISNUMBER(MATCH(AU52,L_Placeholder,0))),BR52&lt;3),"INVALID – PIC missing or not a named person (a role such as QA / CSM is not a name)",IF(OR(LEN(AV52)&lt;2,ISNUMBER(MATCH(AV52,L_Placeholder,0))),"INVALID – result / assessment missing",IF(OR(OR(LEN(AW52)&lt;3,ISNUMBER(MATCH(AW52,L_Placeholder,0))),SUMPRODUCT(--ISNUMBER(SEARCH(" "&amp;L_EvidencePhrase&amp;" ",BD52)))&gt;0,BI52=1),"INVALID – evidence missing, placeholder or not yet on file",IF(ISNA(MATCH(TRIM(S52),L_EvidenceType,0)),"INVALID – choose the evidence type from the list (column S)",IF(BL52=0,"INVALID – evidence ID must be the record's own ID only (e.g. SF-2210, IMG_2231, 1045521); a link / file name needs type 'Link / file path'",IF(OR(OR(LEN(AX52)&lt;2,ISNUMBER(MATCH(AX52,L_Placeholder,0))),BS52&lt;3),"INVALID – verifier missing or not a named person (a role such as QA / CSM is not a name)",IF(OR(AX52=AU52,CE52=1,AND(LEN(AU52)&gt;=4,ISNUMBER(SEARCH(AU52,AX52))),AND(LEN(AX52)&gt;=4,ISNUMBER(SEARCH(AX52,AU52)))),"INVALID – verifier must be a different, named person (not the PIC or a role)",IF(BH52=1,"INVALID – result not yet available (awaiting / TBC)",IF(BG52=1,"INVALID – result describes a problem: record Fail, then Pass after CA (or reword if it is not a problem)",IF(BV52=1,"INVALID – wording says not on board: an on-board confirmation needs the item loaded",IF(AND(AQ52=1,OR(OR(LEN(AY52)&lt;3,ISNUMBER(MATCH(AY52,L_Placeholder,0))),BJ52=1,BQ52=0)),"INVALID – batch ID missing, placeholder or not an ID (e.g. PASB-261008-BC-017)",IF(AND(AR52=1,OR(NOT(ISNUMBER(X52)),NOT(ISNUMBER(Y52)))),"INVALID – expected/actual qty missing",IF(AND(AR52=1,OR(X52&lt;=0,Y52&lt;0)),"INVALID – expected qty must be above 0 and actual not negative",IF(BB52&lt;&gt;"",BB52,IF(AND(AS52=1,Documents!$J$6&lt;&gt;"ON FILE"),"INVALID – GLD not on file (Documents sheet)",IF(AND(AS52=2,Documents!$O$6&lt;&gt;"ON FILE"),"INVALID – menu checklist not on file (Documents sheet)",IF(AND(AS52=3,NOT(ISNUMBER(Flights!$AX$6))),"INVALID – enter carrying flight KUL departure (Flights AX)",IF(AND(AS52=3,OR(Flights!$AZ$6&gt;Flights!$AA$6,Flights!$AX$6&lt;Flights!$AA$6-3)),"INVALID – carrying flight (Flights AX) cannot arrive before this leg's STD, or is over 3 days early",IF(AG52&gt;AsOfUTC,"INVALID – completion time is in the future",IF(AND(ISNUMBER(BY52),AG52&lt;BY52),IF(H52="Physical uplift","INVALID – before uplift window (cannot confirm loading)","INVALID – before valid window"),IF(AG52&gt;Flights!$AA$6,"INVALID – completed after departure (cannot establish readiness)",IF(AND(H52="Preparation",AG52&gt;=IF(ISNUMBER(Flights!$BA$6),MIN(Flights!$BA$6,Flights!$AA$6),Flights!$AA$6)),"INVALID – completed after loading / departure (cannot establish readiness)",IF(AND(H52="Physical uplift",AG52&gt;Q52),"INVALID – recorded after the loading flight departed",IF(AG52&gt;Q52,"COMPLETE – LATE","COMPLETE"))))))))))))))))))))))))),IF(TRIM(U52)="Fail","FAIL – DISCREPANCY",IF(AND(TRIM(U52)&lt;&gt;"",TRIM(U52)&lt;&gt;"Not started",TRIM(U52)&lt;&gt;"In progress"),"INVALID – unrecognised status (use the list)",IF(AsOfUTC&gt;Q52,"OVERDUE",IF(N52="Clarification required","OPEN – CLARIFICATION","OPEN"))))))),"INVALID – error value in an input cell")</f>
        <v>OPEN – CLARIFICATION</v>
      </c>
      <c r="AI52" s="61" t="n">
        <f aca="false">IF(OR(AH52="N/A – RULE",AH52="N/A – JUSTIFIED"),0,1)</f>
        <v>1</v>
      </c>
      <c r="AJ52" s="61" t="n">
        <f aca="false">IF(LEFT(AH52,8)="COMPLETE",1,0)</f>
        <v>0</v>
      </c>
      <c r="AK52" s="61" t="n">
        <f aca="false">IF(AND(AI52=1,AJ52=0,AsOfUTC&gt;Q52),1,0)</f>
        <v>0</v>
      </c>
      <c r="AL52" s="61" t="n">
        <f aca="false">IFERROR(IF(AND(AI52=1,OR(TRIM(U52)="Fail",AND(TRIM(AB52)&lt;&gt;"",TRIM(AB52)&lt;&gt;"Closed"),AND(ISNUMBER(AF52),AF52&lt;&gt;0,TRIM(U52)&lt;&gt;"Pass after CA"))),1,0),1)</f>
        <v>0</v>
      </c>
      <c r="AM52" s="61" t="n">
        <f aca="false">IF(LEFT(AH52,7)="INVALID",1,0)</f>
        <v>0</v>
      </c>
      <c r="AN52" s="61" t="n">
        <f aca="false">IF(AND(N52="Clarification required",AI52=1,AJ52=0),1,0)</f>
        <v>1</v>
      </c>
      <c r="AO52" s="61" t="str">
        <f aca="false">IF(AK52=1,SUM(AK$5:AK52),"")</f>
        <v/>
      </c>
      <c r="AP52" s="61" t="str">
        <f aca="false">IF(AL52=1,SUM(AL$5:AL52),"")</f>
        <v/>
      </c>
      <c r="AQ52" s="61" t="n">
        <v>0</v>
      </c>
      <c r="AR52" s="61" t="n">
        <v>0</v>
      </c>
      <c r="AS52" s="61" t="n">
        <v>0</v>
      </c>
      <c r="AT52" s="61" t="n">
        <v>1</v>
      </c>
      <c r="AU52" s="61" t="str">
        <f aca="false">SUBSTITUTE(SUBSTITUTE(SUBSTITUTE(SUBSTITUTE(SUBSTITUTE(SUBSTITUTE(SUBSTITUTE(SUBSTITUTE(SUBSTITUTE(SUBSTITUTE(SUBSTITUTE(SUBSTITUTE(SUBSTITUTE(SUBSTITUTE(SUBSTITUTE(SUBSTITUTE(LOWER(T52&amp;""),CHAR(10),""),CHAR(13),""),CHAR(9),""),CHAR(160),"")," ",""),".",""),"-",""),"/",""),"?",""),"_",""),",",""),"[",""),"]",""),"(",""),")",""),"*","")</f>
        <v/>
      </c>
      <c r="AV52" s="61" t="str">
        <f aca="false">SUBSTITUTE(SUBSTITUTE(SUBSTITUTE(SUBSTITUTE(SUBSTITUTE(SUBSTITUTE(SUBSTITUTE(SUBSTITUTE(SUBSTITUTE(SUBSTITUTE(SUBSTITUTE(SUBSTITUTE(SUBSTITUTE(SUBSTITUTE(SUBSTITUTE(SUBSTITUTE(LOWER(V52&amp;""),CHAR(10),""),CHAR(13),""),CHAR(9),""),CHAR(160),"")," ",""),".",""),"-",""),"/",""),"?",""),"_",""),",",""),"[",""),"]",""),"(",""),")",""),"*","")</f>
        <v/>
      </c>
      <c r="AW52" s="61" t="str">
        <f aca="false">SUBSTITUTE(SUBSTITUTE(SUBSTITUTE(SUBSTITUTE(SUBSTITUTE(SUBSTITUTE(SUBSTITUTE(SUBSTITUTE(SUBSTITUTE(SUBSTITUTE(SUBSTITUTE(SUBSTITUTE(SUBSTITUTE(SUBSTITUTE(SUBSTITUTE(SUBSTITUTE(LOWER(Z52&amp;""),CHAR(10),""),CHAR(13),""),CHAR(9),""),CHAR(160),"")," ",""),".",""),"-",""),"/",""),"?",""),"_",""),",",""),"[",""),"]",""),"(",""),")",""),"*","")</f>
        <v/>
      </c>
      <c r="AX52" s="61" t="str">
        <f aca="false">SUBSTITUTE(SUBSTITUTE(SUBSTITUTE(SUBSTITUTE(SUBSTITUTE(SUBSTITUTE(SUBSTITUTE(SUBSTITUTE(SUBSTITUTE(SUBSTITUTE(SUBSTITUTE(SUBSTITUTE(SUBSTITUTE(SUBSTITUTE(SUBSTITUTE(SUBSTITUTE(LOWER(AE52&amp;""),CHAR(10),""),CHAR(13),""),CHAR(9),""),CHAR(160),"")," ",""),".",""),"-",""),"/",""),"?",""),"_",""),",",""),"[",""),"]",""),"(",""),")",""),"*","")</f>
        <v/>
      </c>
      <c r="AY52" s="61" t="str">
        <f aca="false">SUBSTITUTE(SUBSTITUTE(SUBSTITUTE(SUBSTITUTE(SUBSTITUTE(SUBSTITUTE(SUBSTITUTE(SUBSTITUTE(SUBSTITUTE(SUBSTITUTE(SUBSTITUTE(SUBSTITUTE(SUBSTITUTE(SUBSTITUTE(SUBSTITUTE(SUBSTITUTE(LOWER(W52&amp;""),CHAR(10),""),CHAR(13),""),CHAR(9),""),CHAR(160),"")," ",""),".",""),"-",""),"/",""),"?",""),"_",""),",",""),"[",""),"]",""),"(",""),")",""),"*","")</f>
        <v/>
      </c>
      <c r="AZ52" s="61" t="str">
        <f aca="false">SUBSTITUTE(SUBSTITUTE(SUBSTITUTE(SUBSTITUTE(SUBSTITUTE(SUBSTITUTE(SUBSTITUTE(SUBSTITUTE(SUBSTITUTE(SUBSTITUTE(SUBSTITUTE(SUBSTITUTE(SUBSTITUTE(SUBSTITUTE(SUBSTITUTE(SUBSTITUTE(LOWER(AC52&amp;""),CHAR(10),""),CHAR(13),""),CHAR(9),""),CHAR(160),"")," ",""),".",""),"-",""),"/",""),"?",""),"_",""),",",""),"[",""),"]",""),"(",""),")",""),"*","")</f>
        <v/>
      </c>
      <c r="BA52" s="61" t="str">
        <f aca="false">SUBSTITUTE(SUBSTITUTE(SUBSTITUTE(SUBSTITUTE(SUBSTITUTE(SUBSTITUTE(SUBSTITUTE(SUBSTITUTE(SUBSTITUTE(SUBSTITUTE(SUBSTITUTE(SUBSTITUTE(SUBSTITUTE(SUBSTITUTE(SUBSTITUTE(SUBSTITUTE(LOWER(AA52&amp;""),CHAR(10),""),CHAR(13),""),CHAR(9),""),CHAR(160),"")," ",""),".",""),"-",""),"/",""),"?",""),"_",""),",",""),"[",""),"]",""),"(",""),")",""),"*","")</f>
        <v/>
      </c>
      <c r="BB52" s="61" t="str">
        <f aca="false">IF(AND(TRIM(U52)="Pass",ISNUMBER(AF52)),IF(AF52&lt;&gt;0,"INVALID – qty variance: use Fail or Pass after CA",""),"")&amp;IF(AND(TRIM(U52)="Pass after CA",ISNUMBER(AF52)),IF(AF52&lt;&gt;0,"INVALID – after the corrective action the actual qty must equal expected (update Actual)",""),"")&amp;IF(AND(TRIM(U52)="Pass",TRIM(AB52)&lt;&gt;"",TRIM(AB52)&lt;&gt;"Closed"),"INVALID – corrective action not closed: use Fail, then Pass after CA","")&amp;IF(AND(LEN(BA52)&gt;=2,ISNA(MATCH(LEFT(BA52,255),L_Placeholder,0)),TRIM(AB52)=""),"INVALID – CA status missing for the recorded corrective action","")&amp;IF(AND(TRIM(U52)="Pass after CA",OR(OR(LEN(BA52)&lt;5,ISNUMBER(MATCH(BA52,L_Placeholder,0))),TRIM(AB52)&lt;&gt;"Closed")),"INVALID – corrective action not recorded/closed","")</f>
        <v/>
      </c>
      <c r="BC52" s="61" t="str">
        <f aca="false">" "&amp;TRIM(SUBSTITUTE(SUBSTITUTE(SUBSTITUTE(SUBSTITUTE(SUBSTITUTE(SUBSTITUTE(SUBSTITUTE(SUBSTITUTE(SUBSTITUTE(SUBSTITUTE(SUBSTITUTE(SUBSTITUTE(SUBSTITUTE(SUBSTITUTE(SUBSTITUTE(SUBSTITUTE(SUBSTITUTE(SUBSTITUTE(SUBSTITUTE(SUBSTITUTE(SUBSTITUTE(SUBSTITUTE(SUBSTITUTE(SUBSTITUTE(LOWER(V52&amp;""),CHAR(10)," "),CHAR(13)," "),CHAR(9)," "),CHAR(160)," "),"."," "),","," "),"-"," "),"/"," "),"("," "),")"," "),":"," "),";"," "),"_"," "),"–"," "),"?"," "),"!"," "),"*"," "),"["," "),"]"," "),"'"," "),"#"," "),"+"," "),"&amp;"," "),"\"," "))&amp;" "</f>
        <v>  </v>
      </c>
      <c r="BD52" s="61" t="str">
        <f aca="false">" "&amp;TRIM(SUBSTITUTE(SUBSTITUTE(SUBSTITUTE(SUBSTITUTE(SUBSTITUTE(SUBSTITUTE(SUBSTITUTE(SUBSTITUTE(SUBSTITUTE(SUBSTITUTE(SUBSTITUTE(SUBSTITUTE(SUBSTITUTE(SUBSTITUTE(SUBSTITUTE(SUBSTITUTE(SUBSTITUTE(SUBSTITUTE(SUBSTITUTE(SUBSTITUTE(SUBSTITUTE(SUBSTITUTE(SUBSTITUTE(SUBSTITUTE(LOWER(Z52&amp;""),CHAR(10)," "),CHAR(13)," "),CHAR(9)," "),CHAR(160)," "),"."," "),","," "),"-"," "),"/"," "),"("," "),")"," "),":"," "),";"," "),"_"," "),"–"," "),"?"," "),"!"," "),"*"," "),"["," "),"]"," "),"'"," "),"#"," "),"+"," "),"&amp;"," "),"\"," "))&amp;" "</f>
        <v>  </v>
      </c>
      <c r="BE52" s="61" t="str">
        <f aca="false">" "&amp;TRIM(SUBSTITUTE(SUBSTITUTE(SUBSTITUTE(SUBSTITUTE(SUBSTITUTE(SUBSTITUTE(SUBSTITUTE(SUBSTITUTE(SUBSTITUTE(SUBSTITUTE(SUBSTITUTE(SUBSTITUTE(SUBSTITUTE(SUBSTITUTE(SUBSTITUTE(SUBSTITUTE(SUBSTITUTE(SUBSTITUTE(SUBSTITUTE(SUBSTITUTE(SUBSTITUTE(SUBSTITUTE(SUBSTITUTE(SUBSTITUTE(LOWER(W52&amp;""),CHAR(10)," "),CHAR(13)," "),CHAR(9)," "),CHAR(160)," "),"."," "),","," "),"-"," "),"/"," "),"("," "),")"," "),":"," "),";"," "),"_"," "),"–"," "),"?"," "),"!"," "),"*"," "),"["," "),"]"," "),"'"," "),"#"," "),"+"," "),"&amp;"," "),"\"," "))&amp;" "</f>
        <v>  </v>
      </c>
      <c r="BF52" s="61" t="str">
        <f aca="false">" "&amp;TRIM(SUBSTITUTE(SUBSTITUTE(SUBSTITUTE(SUBSTITUTE(SUBSTITUTE(SUBSTITUTE(SUBSTITUTE(SUBSTITUTE(SUBSTITUTE(SUBSTITUTE(SUBSTITUTE(SUBSTITUTE(SUBSTITUTE(SUBSTITUTE(SUBSTITUTE(SUBSTITUTE(SUBSTITUTE(SUBSTITUTE(SUBSTITUTE(SUBSTITUTE(SUBSTITUTE(SUBSTITUTE(SUBSTITUTE(SUBSTITUTE(LOWER(AC52&amp;""),CHAR(10)," "),CHAR(13)," "),CHAR(9)," "),CHAR(160)," "),"."," "),","," "),"-"," "),"/"," "),"("," "),")"," "),":"," "),";"," "),"_"," "),"–"," "),"?"," "),"!"," "),"*"," "),"["," "),"]"," "),"'"," "),"#"," "),"+"," "),"&amp;"," "),"\"," "))&amp;" "</f>
        <v>  </v>
      </c>
      <c r="BG52" s="61" t="n">
        <f aca="false">IFERROR(IF(AND(TRIM(U52)="Pass",SUMPRODUCT((LEN(BC52)-LEN(SUBSTITUTE(BC52," "&amp;L_ResultBad&amp;" "," ")))/(LEN(L_ResultBad)+1))&gt;SUMPRODUCT((LEN(BC52)-LEN(SUBSTITUTE(BC52," "&amp;L_NegPhrase&amp;" "," ")))/(LEN(L_NegPhrase)+1))),1,0),0)</f>
        <v>0</v>
      </c>
      <c r="BH52" s="61" t="n">
        <f aca="false">IFERROR(IF(SUMPRODUCT((LEN(BC52)-LEN(SUBSTITUTE(BC52," "&amp;L_Pending&amp;" "," ")))/(LEN(L_Pending)+1))&gt;SUMPRODUCT((LEN(BC52)-LEN(SUBSTITUTE(BC52," "&amp;L_PendNeg&amp;" "," ")))/(LEN(L_PendNeg)+1))+SUMPRODUCT((LEN(BC52)-LEN(SUBSTITUTE(BC52," "&amp;L_PendPrep&amp;" "," ")))/(LEN(L_PendPrep)+1)),1,0),1)</f>
        <v>0</v>
      </c>
      <c r="BI52" s="61" t="n">
        <f aca="false">IFERROR(IF(SUMPRODUCT((LEN(BD52)-LEN(SUBSTITUTE(BD52," "&amp;L_PendStrict&amp;" "," ")))/(LEN(L_PendStrict)+1))&gt;SUMPRODUCT((LEN(BD52)-LEN(SUBSTITUTE(BD52," "&amp;L_PendNeg&amp;" "," ")))/(LEN(L_PendNeg)+1)),1,0),1)</f>
        <v>0</v>
      </c>
      <c r="BJ52" s="61" t="n">
        <f aca="false">IFERROR(IF(SUMPRODUCT((LEN(BE52)-LEN(SUBSTITUTE(BE52," "&amp;L_Pending&amp;" "," ")))/(LEN(L_Pending)+1))&gt;SUMPRODUCT((LEN(BE52)-LEN(SUBSTITUTE(BE52," "&amp;L_PendNeg&amp;" "," ")))/(LEN(L_PendNeg)+1))+SUMPRODUCT((LEN(BE52)-LEN(SUBSTITUTE(BE52," "&amp;L_PendPrep&amp;" "," ")))/(LEN(L_PendPrep)+1)),1,0),1)</f>
        <v>0</v>
      </c>
      <c r="BK52" s="61" t="n">
        <f aca="false">IFERROR(IF(SUMPRODUCT((LEN(BF52)-LEN(SUBSTITUTE(BF52," "&amp;L_PendStrict&amp;" "," ")))/(LEN(L_PendStrict)+1))&gt;SUMPRODUCT((LEN(BF52)-LEN(SUBSTITUTE(BF52," "&amp;L_PendNeg&amp;" "," ")))/(LEN(L_PendNeg)+1)),1,0),1)</f>
        <v>0</v>
      </c>
      <c r="BL52" s="61" t="n">
        <f aca="false">IF(ISNA(MATCH(TRIM(S52),L_EvidenceType,0)),0,BZ52)</f>
        <v>0</v>
      </c>
      <c r="BM52" s="61" t="str">
        <f aca="false">SUBSTITUTE(SUBSTITUTE(SUBSTITUTE(SUBSTITUTE(SUBSTITUTE(SUBSTITUTE(SUBSTITUTE(SUBSTITUTE(SUBSTITUTE(LOWER(Z52&amp;""),"1","0"),"2","0"),"3","0"),"4","0"),"5","0"),"6","0"),"7","0"),"8","0"),"9","0")</f>
        <v/>
      </c>
      <c r="BN52" s="61" t="str">
        <f aca="false">SUBSTITUTE(SUBSTITUTE(SUBSTITUTE(SUBSTITUTE(SUBSTITUTE(SUBSTITUTE(SUBSTITUTE(SUBSTITUTE(SUBSTITUTE(SUBSTITUTE(SUBSTITUTE(SUBSTITUTE(SUBSTITUTE(SUBSTITUTE(SUBSTITUTE(SUBSTITUTE(SUBSTITUTE(SUBSTITUTE(SUBSTITUTE(SUBSTITUTE(SUBSTITUTE(SUBSTITUTE(SUBSTITUTE(SUBSTITUTE(SUBSTITUTE(BM52,"b","a"),"c","a"),"d","a"),"e","a"),"f","a"),"g","a"),"h","a"),"i","a"),"j","a"),"k","a"),"l","a"),"m","a"),"n","a"),"o","a"),"p","a"),"q","a"),"r","a"),"s","a"),"t","a"),"u","a"),"v","a"),"w","a"),"x","a"),"y","a"),"z","a")</f>
        <v/>
      </c>
      <c r="BO52" s="61" t="str">
        <f aca="false">SUBSTITUTE(SUBSTITUTE(SUBSTITUTE(SUBSTITUTE(SUBSTITUTE(SUBSTITUTE(SUBSTITUTE(SUBSTITUTE(SUBSTITUTE(LOWER(W52&amp;""),"1","0"),"2","0"),"3","0"),"4","0"),"5","0"),"6","0"),"7","0"),"8","0"),"9","0")</f>
        <v/>
      </c>
      <c r="BP52" s="61" t="str">
        <f aca="false">SUBSTITUTE(SUBSTITUTE(SUBSTITUTE(SUBSTITUTE(SUBSTITUTE(SUBSTITUTE(SUBSTITUTE(SUBSTITUTE(SUBSTITUTE(SUBSTITUTE(SUBSTITUTE(SUBSTITUTE(SUBSTITUTE(SUBSTITUTE(SUBSTITUTE(SUBSTITUTE(SUBSTITUTE(SUBSTITUTE(SUBSTITUTE(SUBSTITUTE(SUBSTITUTE(SUBSTITUTE(SUBSTITUTE(SUBSTITUTE(SUBSTITUTE(BO52,"b","a"),"c","a"),"d","a"),"e","a"),"f","a"),"g","a"),"h","a"),"i","a"),"j","a"),"k","a"),"l","a"),"m","a"),"n","a"),"o","a"),"p","a"),"q","a"),"r","a"),"s","a"),"t","a"),"u","a"),"v","a"),"w","a"),"x","a"),"y","a"),"z","a")</f>
        <v/>
      </c>
      <c r="BQ52" s="61" t="n">
        <f aca="false">IFERROR(IF(AND(ISERROR(SEARCH(" mh"," "&amp;LOWER(W52))),ISNA(MATCH(LEFT(TRIM(BP52),255),{"0000a","000a","00a","0000aa","000aa","00aa","0aa","0000aaa","000aaa","00a00","0a00","0000-0000","00:00","a00","a0","00.00.0000","00/00/0000","00-00-0000","0000-00-00","0000/00/00","0000.00.00","00.00.00","00/00/00","00-00-00","0.00.0000","0/00/0000","0-00-0000"},0)),ISNA(MATCH(LEFT(TRIM(CA52),255),{"0000a","000a","00a","0000aa","000aa","00aa","0aa","0000aaa","000aaa","00a00","0a00","0000-0000","00:00","a00","a0","00.00.0000","00/00/0000","00-00-0000","0000-00-00","0000/00/00","0000.00.00","00.00.00","00/00/00","00-00-00","0.00.0000","0/00/0000","0-00-0000"},0)),LEN(CB52)&gt;=3,NOT(OR(SUBSTITUTE(CB52,"0","")="",AND(LEN(CB52)&gt;=4,CB52=REPT(LEFT(CB52),LEN(CB52))),ISNUMBER(MATCH(CB52,{"123","1234","12345","123456","1234567","12345678","0123","01234","012345","98765","987654","54321"},0)),AND(LEN(CB52)=8,LEFT(CB52,3)="202"))),OR(AND((LEN(CA52)-LEN(SUBSTITUTE(CA52,"a","")))&gt;=1,SUMPRODUCT(--ISNUMBER(SEARCH({"a0","a-0","a_0","a/0","a.0","a#0","0a","0-a","0_a","0/a"},BP52)))&gt;0),ISNUMBER(SEARCH("000000",BP52)))),1,0),0)</f>
        <v>0</v>
      </c>
      <c r="BR52" s="61" t="n">
        <f aca="false">IFERROR(LEN(SUBSTITUTE(CC52," ",""))-SUMPRODUCT((LEN(CC52)-LEN(SUBSTITUTE(CC52," "&amp;L_Role&amp;" "," ")))/(LEN(L_Role)+1)*LEN(L_Role)),0)</f>
        <v>0</v>
      </c>
      <c r="BS52" s="61" t="n">
        <f aca="false">IFERROR(LEN(SUBSTITUTE(CD52," ",""))-SUMPRODUCT((LEN(CD52)-LEN(SUBSTITUTE(CD52," "&amp;L_Role&amp;" "," ")))/(LEN(L_Role)+1)*LEN(L_Role)),0)</f>
        <v>0</v>
      </c>
      <c r="BT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revision",""),"version",""),"jan",""),"feb",""),"mar",""),"apr",""),"may",""),"jun",""),"jul",""),"aug",""),"sep",""),"oct",""),"nov",""),"dec",""),"utc",""),"gmt",""),"myt",""),"bst",""),"rev",""),"ver",""),"b","a"),"c","a"),"d","a"),"e","a"),"f","a"),"g","a"),"h","a"),"i","a"),"j","a"),"k","a"),"l","a"),"m","a"),"n","a"),"o","a"),"p","a"),"q","a"),"r","a"),"s","a"),"t","a"),"u","a"),"v","a"),"w","a"),"x","a"),"y","a"),"z","a")</f>
        <v/>
      </c>
      <c r="BU52" s="61" t="str">
        <f aca="false">SUBSTITUTE(SUBSTITUTE(SUBSTITUTE(SUBSTITUTE(SUBSTITUTE(SUBSTITUTE(SUBSTITUTE(SUBSTITUTE(SUBSTITUTE(SUBSTITUTE(LEFT(BM52,FIND("0",BM52&amp;"0")-1),"-",""),"_",""),"/",""),".",""),"#",""),"\\",""),":","")," ",""),"(",""),")","")</f>
        <v/>
      </c>
      <c r="BV52" s="61" t="n">
        <f aca="false">0</f>
        <v>0</v>
      </c>
      <c r="BW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amp;""),"a",""),"b",""),"c",""),"d",""),"e",""),"f",""),"g",""),"h",""),"i",""),"j",""),"k",""),"l",""),"m",""),"n",""),"o",""),"p",""),"q",""),"r",""),"s",""),"t",""),"u",""),"v",""),"w",""),"x",""),"y",""),"z",""),"-",""),"_",""),"/",""),".",""),"#",""),"\\",""),":","")," ",""),"(",""),")","")</f>
        <v/>
      </c>
      <c r="BX52" s="61" t="str">
        <f aca="false">SUBSTITUTE(SUBSTITUTE(SUBSTITUTE(SUBSTITUTE(SUBSTITUTE(SUBSTITUTE(SUBSTITUTE(SUBSTITUTE(SUBSTITUTE(SUBSTITUTE(SUBSTITUTE(BM52,"0",""),"-",""),"_",""),"/",""),".",""),"#",""),"\\",""),":","")," ",""),"(",""),")","")</f>
        <v/>
      </c>
      <c r="BY52" s="62" t="n">
        <f aca="false">Q52-T12EarlyH/24</f>
        <v>46303.5763888889</v>
      </c>
      <c r="BZ52" s="61" t="n">
        <f aca="false">IFERROR(IF(IF(TRIM(S52)="Link / file path",AND(LEN(TRIM(Z52))&gt;=5,SUMPRODUCT(--ISNUMBER(SEARCH({"http","www.","\\",":\",".pdf",".jpg",".jpeg",".png",".heic",".xls",".doc",".msg",".eml",".ppt",".txt",".zip"},Z52)))&gt;0),AND(ISERROR(FIND(" ",TRIM(Z52))),NOT(OR(SUMPRODUCT(--ISNUMBER(FIND({",",";","&amp;","+"},Z52)))&gt;0,SUMPRODUCT(--ISNUMBER(SEARCH({"0/aa","0\\aa"},BN52)))&gt;0)),NOT(SUMPRODUCT(--ISNUMBER(SEARCH({"http","www.","\\",":\",".pdf",".jpg",".jpeg",".png",".heic",".xls",".doc",".msg",".eml",".ppt",".txt",".zip"},Z52)))&gt;0),NOT(LOWER(TRIM(Z52))=LOWER(Flights!$F$6)),ISNA(MATCH(BU52,{"mh","rev","revision","ver","version","v","r","a","b","seat","tray","row","gate","bay","stand","page","pg","item","line","no","cart","galley","flight","flt","table","box","bag","oven","etd","eta","std","sta","atd","ata","qty","pax","x","time","tel","ph","mob","day","wk","week","utc","gmt","myt","lt"},0)),NOT(OR(ISNUMBER(MATCH(LEFT(BN52,255),{"0000a","000a","00a","0000aa","000aa","00aa","0aa","0000aaa","000aaa","00a00","0a00","0000-0000","00:00","a00","a0","00.00.0000","00/00/0000","00-00-0000","0000-00-00","0000/00/00","0000.00.00","00.00.00","00/00/00","00-00-00","0.00.0000","0/00/0000","0-00-0000"},0)),ISNUMBER(MATCH(LEFT(BT52,255),{"0000a","000a","00a","0000aa","000aa","00aa","0aa","0000aaa","000aaa","00a00","0a00","0000-0000","00:00","a00","a0","00.00.0000","00/00/0000","00-00-0000","0000-00-00","0000/00/00","0000.00.00","00.00.00","00/00/00","00-00-00","0.00.0000","0/00/0000","0-00-0000"},0)))),NOT(OR(AND(BW52&lt;&gt;"",SUBSTITUTE(BW52,"0","")=""),AND(LEN(BW52)&gt;=4,BW52=REPT(LEFT(BW52),LEN(BW52))),ISNUMBER(MATCH(BW52,{"123","1234","12345","123456","1234567","12345678","0123","01234","012345","98765","987654","54321"},0)),ISNUMBER(MATCH(BX52,{"x","xx","xxx","xxxx","xxxxx","abc","abcd","nil","na","nan","test","tbc","tba","tbd","dummy","sample","example","eg","zz","zzz","none","null","xyz","qwe","asd","id","ref"},0)),AND(LEN(BW52)=8,BX52="",OR(LEFT(BW52,3)="202",ISNUMBER(MATCH(RIGHT(BW52,4),{"2025","2026","2027"},0)))))),OR(AND((LEN(BT52)-LEN(SUBSTITUTE(BT52,"a","")))&gt;=1,(LEN(BN52)-LEN(SUBSTITUTE(BN52,"0","")))&gt;=2,SUMPRODUCT(--ISNUMBER(SEARCH({"a0","a-0","a_0","a/0","a.0","a#0","0a","0-a","0_a","0/a"},BN52)))&gt;0),AND((LEN(BN52)-LEN(SUBSTITUTE(BN52,"a","")))=0,(LEN(BN52)-LEN(SUBSTITUTE(BN52,"0","")))&gt;=5)))),1,0),0)</f>
        <v>0</v>
      </c>
      <c r="CA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revision",""),"version",""),"jan",""),"feb",""),"mar",""),"apr",""),"may",""),"jun",""),"jul",""),"aug",""),"sep",""),"oct",""),"nov",""),"dec",""),"utc",""),"gmt",""),"myt",""),"bst",""),"rev",""),"ver",""),"b","a"),"c","a"),"d","a"),"e","a"),"f","a"),"g","a"),"h","a"),"i","a"),"j","a"),"k","a"),"l","a"),"m","a"),"n","a"),"o","a"),"p","a"),"q","a"),"r","a"),"s","a"),"t","a"),"u","a"),"v","a"),"w","a"),"x","a"),"y","a"),"z","a")</f>
        <v/>
      </c>
      <c r="CB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amp;""),"a",""),"b",""),"c",""),"d",""),"e",""),"f",""),"g",""),"h",""),"i",""),"j",""),"k",""),"l",""),"m",""),"n",""),"o",""),"p",""),"q",""),"r",""),"s",""),"t",""),"u",""),"v",""),"w",""),"x",""),"y",""),"z",""),"-",""),"_",""),"/",""),".",""),"#",""),"\\",""),":","")," ",""),"(",""),")","")</f>
        <v/>
      </c>
      <c r="CC52" s="0" t="str">
        <f aca="false">" "&amp;TRIM(SUBSTITUTE(SUBSTITUTE(SUBSTITUTE(SUBSTITUTE(SUBSTITUTE(SUBSTITUTE(SUBSTITUTE(SUBSTITUTE(SUBSTITUTE(SUBSTITUTE(SUBSTITUTE(SUBSTITUTE(SUBSTITUTE(SUBSTITUTE(SUBSTITUTE(SUBSTITUTE(SUBSTITUTE(SUBSTITUTE(SUBSTITUTE(SUBSTITUTE(SUBSTITUTE(SUBSTITUTE(SUBSTITUTE(SUBSTITUTE(LOWER(T52&amp;""),CHAR(10)," "),CHAR(13)," "),CHAR(9)," "),CHAR(160)," "),"."," "),","," "),"-"," "),"/"," "),"("," "),")"," "),":"," "),";"," "),"_"," "),"–"," "),"?"," "),"!"," "),"*"," "),"["," "),"]"," "),"'"," "),"#"," "),"+"," "),"&amp;"," "),"\"," "))&amp;" "</f>
        <v>  </v>
      </c>
      <c r="CD52" s="0" t="str">
        <f aca="false">" "&amp;TRIM(SUBSTITUTE(SUBSTITUTE(SUBSTITUTE(SUBSTITUTE(SUBSTITUTE(SUBSTITUTE(SUBSTITUTE(SUBSTITUTE(SUBSTITUTE(SUBSTITUTE(SUBSTITUTE(SUBSTITUTE(SUBSTITUTE(SUBSTITUTE(SUBSTITUTE(SUBSTITUTE(SUBSTITUTE(SUBSTITUTE(SUBSTITUTE(SUBSTITUTE(SUBSTITUTE(SUBSTITUTE(SUBSTITUTE(SUBSTITUTE(LOWER(AE52&amp;""),CHAR(10)," "),CHAR(13)," "),CHAR(9)," "),CHAR(160)," "),"."," "),","," "),"-"," "),"/"," "),"("," "),")"," "),":"," "),";"," "),"_"," "),"–"," "),"?"," "),"!"," "),"*"," "),"["," "),"]"," "),"'"," "),"#"," "),"+"," "),"&amp;"," "),"\"," "))&amp;" "</f>
        <v>  </v>
      </c>
      <c r="CE52" s="68" t="n">
        <f aca="false">IFERROR(IF(AND(LEN(AU52)&gt;0,LEN(AU52)=LEN(AX52),OR(TRIM(MID(SUBSTITUTE(TRIM(CC52)," ",REPT(" ",60)),1,60))="",ISNUMBER(SEARCH(" "&amp;TRIM(MID(SUBSTITUTE(TRIM(CC52)," ",REPT(" ",60)),1,60))&amp;" ",CD52))),OR(TRIM(MID(SUBSTITUTE(TRIM(CC52)," ",REPT(" ",60)),61,60))="",ISNUMBER(SEARCH(" "&amp;TRIM(MID(SUBSTITUTE(TRIM(CC52)," ",REPT(" ",60)),61,60))&amp;" ",CD52))),OR(TRIM(MID(SUBSTITUTE(TRIM(CC52)," ",REPT(" ",60)),121,60))="",ISNUMBER(SEARCH(" "&amp;TRIM(MID(SUBSTITUTE(TRIM(CC52)," ",REPT(" ",60)),121,60))&amp;" ",CD52)))),1,0),0)</f>
        <v>0</v>
      </c>
      <c r="CG52" s="68" t="n">
        <f aca="false">IFERROR(LEN(SUBSTITUTE(BF52," ",""))-SUMPRODUCT((LEN(BF52)-LEN(SUBSTITUTE(BF52," "&amp;L_NAFiller&amp;" "," ")))/(LEN(L_NAFiller)+1)*LEN(L_NAFiller)),0)</f>
        <v>0</v>
      </c>
    </row>
    <row r="53" customFormat="false" ht="54" hidden="false" customHeight="true" outlineLevel="0" collapsed="false">
      <c r="A53" s="57" t="s">
        <v>517</v>
      </c>
      <c r="B53" s="57" t="s">
        <v>198</v>
      </c>
      <c r="C53" s="57" t="str">
        <f aca="false">Flights!$F$6</f>
        <v>MH0727</v>
      </c>
      <c r="D53" s="58" t="n">
        <f aca="false">Flights!$D$6</f>
        <v>46304</v>
      </c>
      <c r="E53" s="57" t="str">
        <f aca="false">Flights!$G$6&amp;"-"&amp;Flights!$H$6</f>
        <v>KUL-CGK</v>
      </c>
      <c r="F53" s="57" t="str">
        <f aca="false">Flights!$K$6</f>
        <v>BC</v>
      </c>
      <c r="G53" s="57" t="s">
        <v>420</v>
      </c>
      <c r="H53" s="57" t="s">
        <v>378</v>
      </c>
      <c r="I53" s="57" t="s">
        <v>499</v>
      </c>
      <c r="J53" s="57" t="s">
        <v>518</v>
      </c>
      <c r="K53" s="67" t="s">
        <v>519</v>
      </c>
      <c r="L53" s="67" t="s">
        <v>520</v>
      </c>
      <c r="M53" s="67" t="s">
        <v>451</v>
      </c>
      <c r="N53" s="67" t="s">
        <v>383</v>
      </c>
      <c r="O53" s="67" t="s">
        <v>521</v>
      </c>
      <c r="P53" s="57" t="s">
        <v>187</v>
      </c>
      <c r="Q53" s="59" t="n">
        <f aca="false">ROUND((Flights!$AE$6)*1440,0)/1440</f>
        <v>46304.0763888889</v>
      </c>
      <c r="R53" s="59" t="n">
        <f aca="false">Q53+(IF(AND(INDEX(TZ_DSTS,MATCH(P53,TZ_STN,0))&lt;&gt;"",Q53&gt;=INDEX(TZ_DSTS,MATCH(P53,TZ_STN,0)),Q53&lt;INDEX(TZ_DSTE,MATCH(P53,TZ_STN,0))),INDEX(TZ_DST,MATCH(P53,TZ_STN,0)),INDEX(TZ_STD,MATCH(P53,TZ_STN,0))))/24</f>
        <v>46304.4097222222</v>
      </c>
      <c r="S53" s="60"/>
      <c r="T53" s="60"/>
      <c r="U53" s="60"/>
      <c r="V53" s="60"/>
      <c r="W53" s="61"/>
      <c r="X53" s="60"/>
      <c r="Y53" s="60"/>
      <c r="Z53" s="60"/>
      <c r="AA53" s="60"/>
      <c r="AB53" s="60"/>
      <c r="AC53" s="60"/>
      <c r="AD53" s="66"/>
      <c r="AE53" s="60"/>
      <c r="AF53" s="61" t="str">
        <f aca="false">IF(AND(ISNUMBER(X53),ISNUMBER(Y53)),Y53-X53,"")</f>
        <v/>
      </c>
      <c r="AG53" s="62" t="str">
        <f aca="false">IF(ISNUMBER(AD53),AD53-(IF(AND(INDEX(TZ_DSTS,MATCH(P53,TZ_STN,0))&lt;&gt;"",(AD53-INDEX(TZ_STD,MATCH(P53,TZ_STN,0))/24)&gt;=INDEX(TZ_DSTS,MATCH(P53,TZ_STN,0)),(AD53-INDEX(TZ_STD,MATCH(P53,TZ_STN,0))/24)&lt;INDEX(TZ_DSTE,MATCH(P53,TZ_STN,0))),INDEX(TZ_DST,MATCH(P53,TZ_STN,0)),INDEX(TZ_STD,MATCH(P53,TZ_STN,0))))/24,"")</f>
        <v/>
      </c>
      <c r="AH53" s="65" t="str">
        <f aca="false">IFERROR(IF(N53="N/A – rule",IF(OR(TRIM(U53)="",TRIM(U53)="N/A",TRIM(U53)="Not started"),"N/A – RULE","INVALID – this check does not apply to this aircraft: clear the status (or correct the fleet on Flights)"),IF(TRIM(U53)="N/A",IF(AT53=0,"INVALID – N/A not permitted for this check",IF(AND(TRIM(AB53)&lt;&gt;"",TRIM(AB53)&lt;&gt;"Closed"),"INVALID – corrective action still open",IF(AND(NOT(OR(LEN(AZ53)&lt;15,ISNUMBER(MATCH(AZ53,L_Placeholder,0)))),BK53=0,CG53&gt;=8,NOT(OR(LEN(AU53)&lt;2,ISNUMBER(MATCH(AU53,L_Placeholder,0)))),BR53&gt;=3,NOT(OR(LEN(AX53)&lt;2,ISNUMBER(MATCH(AX53,L_Placeholder,0)))),BS53&gt;=3,TRIM(AE53)&lt;&gt;TRIM(T53),AX53&lt;&gt;AU53,CE53=0),"N/A – JUSTIFIED","INVALID – N/A needs a real, settled reason (not 'not applicable' / 'as above' / TBC), a named PIC and a different named verifier"))),IF(OR(TRIM(U53)="Pass",TRIM(U53)="Pass after CA"),IF(NOT(ISNUMBER(AD53)),"INVALID – completion time missing",IF(OR(OR(LEN(AU53)&lt;2,ISNUMBER(MATCH(AU53,L_Placeholder,0))),BR53&lt;3),"INVALID – PIC missing or not a named person (a role such as QA / CSM is not a name)",IF(OR(LEN(AV53)&lt;2,ISNUMBER(MATCH(AV53,L_Placeholder,0))),"INVALID – result / assessment missing",IF(OR(OR(LEN(AW53)&lt;3,ISNUMBER(MATCH(AW53,L_Placeholder,0))),SUMPRODUCT(--ISNUMBER(SEARCH(" "&amp;L_EvidencePhrase&amp;" ",BD53)))&gt;0,BI53=1),"INVALID – evidence missing, placeholder or not yet on file",IF(ISNA(MATCH(TRIM(S53),L_EvidenceType,0)),"INVALID – choose the evidence type from the list (column S)",IF(BL53=0,"INVALID – evidence ID must be the record's own ID only (e.g. SF-2210, IMG_2231, 1045521); a link / file name needs type 'Link / file path'",IF(OR(OR(LEN(AX53)&lt;2,ISNUMBER(MATCH(AX53,L_Placeholder,0))),BS53&lt;3),"INVALID – verifier missing or not a named person (a role such as QA / CSM is not a name)",IF(OR(AX53=AU53,CE53=1,AND(LEN(AU53)&gt;=4,ISNUMBER(SEARCH(AU53,AX53))),AND(LEN(AX53)&gt;=4,ISNUMBER(SEARCH(AX53,AU53)))),"INVALID – verifier must be a different, named person (not the PIC or a role)",IF(BH53=1,"INVALID – result not yet available (awaiting / TBC)",IF(BG53=1,"INVALID – result describes a problem: record Fail, then Pass after CA (or reword if it is not a problem)",IF(BV53=1,"INVALID – wording says not on board: an on-board confirmation needs the item loaded",IF(AND(AQ53=1,OR(OR(LEN(AY53)&lt;3,ISNUMBER(MATCH(AY53,L_Placeholder,0))),BJ53=1,BQ53=0)),"INVALID – batch ID missing, placeholder or not an ID (e.g. PASB-261008-BC-017)",IF(AND(AR53=1,OR(NOT(ISNUMBER(X53)),NOT(ISNUMBER(Y53)))),"INVALID – expected/actual qty missing",IF(AND(AR53=1,OR(X53&lt;=0,Y53&lt;0)),"INVALID – expected qty must be above 0 and actual not negative",IF(BB53&lt;&gt;"",BB53,IF(AND(AS53=1,Documents!$J$6&lt;&gt;"ON FILE"),"INVALID – GLD not on file (Documents sheet)",IF(AND(AS53=2,Documents!$O$6&lt;&gt;"ON FILE"),"INVALID – menu checklist not on file (Documents sheet)",IF(AND(AS53=3,NOT(ISNUMBER(Flights!$AX$6))),"INVALID – enter carrying flight KUL departure (Flights AX)",IF(AND(AS53=3,OR(Flights!$AZ$6&gt;Flights!$AA$6,Flights!$AX$6&lt;Flights!$AA$6-3)),"INVALID – carrying flight (Flights AX) cannot arrive before this leg's STD, or is over 3 days early",IF(AG53&gt;AsOfUTC,"INVALID – completion time is in the future",IF(AND(ISNUMBER(BY53),AG53&lt;BY53),IF(H53="Physical uplift","INVALID – before uplift window (cannot confirm loading)","INVALID – before valid window"),IF(AG53&gt;Flights!$AA$6,"INVALID – completed after departure (cannot establish readiness)",IF(AND(H53="Preparation",AG53&gt;=IF(ISNUMBER(Flights!$BA$6),MIN(Flights!$BA$6,Flights!$AA$6),Flights!$AA$6)),"INVALID – completed after loading / departure (cannot establish readiness)",IF(AND(H53="Physical uplift",AG53&gt;Q53),"INVALID – recorded after the loading flight departed",IF(AG53&gt;Q53,"COMPLETE – LATE","COMPLETE"))))))))))))))))))))))))),IF(TRIM(U53)="Fail","FAIL – DISCREPANCY",IF(AND(TRIM(U53)&lt;&gt;"",TRIM(U53)&lt;&gt;"Not started",TRIM(U53)&lt;&gt;"In progress"),"INVALID – unrecognised status (use the list)",IF(AsOfUTC&gt;Q53,"OVERDUE",IF(N53="Clarification required","OPEN – CLARIFICATION","OPEN"))))))),"INVALID – error value in an input cell")</f>
        <v>OPEN</v>
      </c>
      <c r="AI53" s="61" t="n">
        <f aca="false">IF(OR(AH53="N/A – RULE",AH53="N/A – JUSTIFIED"),0,1)</f>
        <v>1</v>
      </c>
      <c r="AJ53" s="61" t="n">
        <f aca="false">IF(LEFT(AH53,8)="COMPLETE",1,0)</f>
        <v>0</v>
      </c>
      <c r="AK53" s="61" t="n">
        <f aca="false">IF(AND(AI53=1,AJ53=0,AsOfUTC&gt;Q53),1,0)</f>
        <v>0</v>
      </c>
      <c r="AL53" s="61" t="n">
        <f aca="false">IFERROR(IF(AND(AI53=1,OR(TRIM(U53)="Fail",AND(TRIM(AB53)&lt;&gt;"",TRIM(AB53)&lt;&gt;"Closed"),AND(ISNUMBER(AF53),AF53&lt;&gt;0,TRIM(U53)&lt;&gt;"Pass after CA"))),1,0),1)</f>
        <v>0</v>
      </c>
      <c r="AM53" s="61" t="n">
        <f aca="false">IF(LEFT(AH53,7)="INVALID",1,0)</f>
        <v>0</v>
      </c>
      <c r="AN53" s="61" t="n">
        <f aca="false">IF(AND(N53="Clarification required",AI53=1,AJ53=0),1,0)</f>
        <v>0</v>
      </c>
      <c r="AO53" s="61" t="str">
        <f aca="false">IF(AK53=1,SUM(AK$5:AK53),"")</f>
        <v/>
      </c>
      <c r="AP53" s="61" t="str">
        <f aca="false">IF(AL53=1,SUM(AL$5:AL53),"")</f>
        <v/>
      </c>
      <c r="AQ53" s="61" t="n">
        <v>0</v>
      </c>
      <c r="AR53" s="61" t="n">
        <v>0</v>
      </c>
      <c r="AS53" s="61" t="n">
        <v>0</v>
      </c>
      <c r="AT53" s="61" t="n">
        <v>0</v>
      </c>
      <c r="AU53" s="61" t="str">
        <f aca="false">SUBSTITUTE(SUBSTITUTE(SUBSTITUTE(SUBSTITUTE(SUBSTITUTE(SUBSTITUTE(SUBSTITUTE(SUBSTITUTE(SUBSTITUTE(SUBSTITUTE(SUBSTITUTE(SUBSTITUTE(SUBSTITUTE(SUBSTITUTE(SUBSTITUTE(SUBSTITUTE(LOWER(T53&amp;""),CHAR(10),""),CHAR(13),""),CHAR(9),""),CHAR(160),"")," ",""),".",""),"-",""),"/",""),"?",""),"_",""),",",""),"[",""),"]",""),"(",""),")",""),"*","")</f>
        <v/>
      </c>
      <c r="AV53" s="61" t="str">
        <f aca="false">SUBSTITUTE(SUBSTITUTE(SUBSTITUTE(SUBSTITUTE(SUBSTITUTE(SUBSTITUTE(SUBSTITUTE(SUBSTITUTE(SUBSTITUTE(SUBSTITUTE(SUBSTITUTE(SUBSTITUTE(SUBSTITUTE(SUBSTITUTE(SUBSTITUTE(SUBSTITUTE(LOWER(V53&amp;""),CHAR(10),""),CHAR(13),""),CHAR(9),""),CHAR(160),"")," ",""),".",""),"-",""),"/",""),"?",""),"_",""),",",""),"[",""),"]",""),"(",""),")",""),"*","")</f>
        <v/>
      </c>
      <c r="AW53" s="61" t="str">
        <f aca="false">SUBSTITUTE(SUBSTITUTE(SUBSTITUTE(SUBSTITUTE(SUBSTITUTE(SUBSTITUTE(SUBSTITUTE(SUBSTITUTE(SUBSTITUTE(SUBSTITUTE(SUBSTITUTE(SUBSTITUTE(SUBSTITUTE(SUBSTITUTE(SUBSTITUTE(SUBSTITUTE(LOWER(Z53&amp;""),CHAR(10),""),CHAR(13),""),CHAR(9),""),CHAR(160),"")," ",""),".",""),"-",""),"/",""),"?",""),"_",""),",",""),"[",""),"]",""),"(",""),")",""),"*","")</f>
        <v/>
      </c>
      <c r="AX53" s="61" t="str">
        <f aca="false">SUBSTITUTE(SUBSTITUTE(SUBSTITUTE(SUBSTITUTE(SUBSTITUTE(SUBSTITUTE(SUBSTITUTE(SUBSTITUTE(SUBSTITUTE(SUBSTITUTE(SUBSTITUTE(SUBSTITUTE(SUBSTITUTE(SUBSTITUTE(SUBSTITUTE(SUBSTITUTE(LOWER(AE53&amp;""),CHAR(10),""),CHAR(13),""),CHAR(9),""),CHAR(160),"")," ",""),".",""),"-",""),"/",""),"?",""),"_",""),",",""),"[",""),"]",""),"(",""),")",""),"*","")</f>
        <v/>
      </c>
      <c r="AY53" s="61" t="str">
        <f aca="false">SUBSTITUTE(SUBSTITUTE(SUBSTITUTE(SUBSTITUTE(SUBSTITUTE(SUBSTITUTE(SUBSTITUTE(SUBSTITUTE(SUBSTITUTE(SUBSTITUTE(SUBSTITUTE(SUBSTITUTE(SUBSTITUTE(SUBSTITUTE(SUBSTITUTE(SUBSTITUTE(LOWER(W53&amp;""),CHAR(10),""),CHAR(13),""),CHAR(9),""),CHAR(160),"")," ",""),".",""),"-",""),"/",""),"?",""),"_",""),",",""),"[",""),"]",""),"(",""),")",""),"*","")</f>
        <v/>
      </c>
      <c r="AZ53" s="61" t="str">
        <f aca="false">SUBSTITUTE(SUBSTITUTE(SUBSTITUTE(SUBSTITUTE(SUBSTITUTE(SUBSTITUTE(SUBSTITUTE(SUBSTITUTE(SUBSTITUTE(SUBSTITUTE(SUBSTITUTE(SUBSTITUTE(SUBSTITUTE(SUBSTITUTE(SUBSTITUTE(SUBSTITUTE(LOWER(AC53&amp;""),CHAR(10),""),CHAR(13),""),CHAR(9),""),CHAR(160),"")," ",""),".",""),"-",""),"/",""),"?",""),"_",""),",",""),"[",""),"]",""),"(",""),")",""),"*","")</f>
        <v/>
      </c>
      <c r="BA53" s="61" t="str">
        <f aca="false">SUBSTITUTE(SUBSTITUTE(SUBSTITUTE(SUBSTITUTE(SUBSTITUTE(SUBSTITUTE(SUBSTITUTE(SUBSTITUTE(SUBSTITUTE(SUBSTITUTE(SUBSTITUTE(SUBSTITUTE(SUBSTITUTE(SUBSTITUTE(SUBSTITUTE(SUBSTITUTE(LOWER(AA53&amp;""),CHAR(10),""),CHAR(13),""),CHAR(9),""),CHAR(160),"")," ",""),".",""),"-",""),"/",""),"?",""),"_",""),",",""),"[",""),"]",""),"(",""),")",""),"*","")</f>
        <v/>
      </c>
      <c r="BB53" s="61" t="str">
        <f aca="false">IF(AND(TRIM(U53)="Pass",ISNUMBER(AF53)),IF(AF53&lt;&gt;0,"INVALID – qty variance: use Fail or Pass after CA",""),"")&amp;IF(AND(TRIM(U53)="Pass after CA",ISNUMBER(AF53)),IF(AF53&lt;&gt;0,"INVALID – after the corrective action the actual qty must equal expected (update Actual)",""),"")&amp;IF(AND(TRIM(U53)="Pass",TRIM(AB53)&lt;&gt;"",TRIM(AB53)&lt;&gt;"Closed"),"INVALID – corrective action not closed: use Fail, then Pass after CA","")&amp;IF(AND(LEN(BA53)&gt;=2,ISNA(MATCH(LEFT(BA53,255),L_Placeholder,0)),TRIM(AB53)=""),"INVALID – CA status missing for the recorded corrective action","")&amp;IF(AND(TRIM(U53)="Pass after CA",OR(OR(LEN(BA53)&lt;5,ISNUMBER(MATCH(BA53,L_Placeholder,0))),TRIM(AB53)&lt;&gt;"Closed")),"INVALID – corrective action not recorded/closed","")</f>
        <v/>
      </c>
      <c r="BC53" s="61" t="str">
        <f aca="false">" "&amp;TRIM(SUBSTITUTE(SUBSTITUTE(SUBSTITUTE(SUBSTITUTE(SUBSTITUTE(SUBSTITUTE(SUBSTITUTE(SUBSTITUTE(SUBSTITUTE(SUBSTITUTE(SUBSTITUTE(SUBSTITUTE(SUBSTITUTE(SUBSTITUTE(SUBSTITUTE(SUBSTITUTE(SUBSTITUTE(SUBSTITUTE(SUBSTITUTE(SUBSTITUTE(SUBSTITUTE(SUBSTITUTE(SUBSTITUTE(SUBSTITUTE(LOWER(V53&amp;""),CHAR(10)," "),CHAR(13)," "),CHAR(9)," "),CHAR(160)," "),"."," "),","," "),"-"," "),"/"," "),"("," "),")"," "),":"," "),";"," "),"_"," "),"–"," "),"?"," "),"!"," "),"*"," "),"["," "),"]"," "),"'"," "),"#"," "),"+"," "),"&amp;"," "),"\"," "))&amp;" "</f>
        <v>  </v>
      </c>
      <c r="BD53" s="61" t="str">
        <f aca="false">" "&amp;TRIM(SUBSTITUTE(SUBSTITUTE(SUBSTITUTE(SUBSTITUTE(SUBSTITUTE(SUBSTITUTE(SUBSTITUTE(SUBSTITUTE(SUBSTITUTE(SUBSTITUTE(SUBSTITUTE(SUBSTITUTE(SUBSTITUTE(SUBSTITUTE(SUBSTITUTE(SUBSTITUTE(SUBSTITUTE(SUBSTITUTE(SUBSTITUTE(SUBSTITUTE(SUBSTITUTE(SUBSTITUTE(SUBSTITUTE(SUBSTITUTE(LOWER(Z53&amp;""),CHAR(10)," "),CHAR(13)," "),CHAR(9)," "),CHAR(160)," "),"."," "),","," "),"-"," "),"/"," "),"("," "),")"," "),":"," "),";"," "),"_"," "),"–"," "),"?"," "),"!"," "),"*"," "),"["," "),"]"," "),"'"," "),"#"," "),"+"," "),"&amp;"," "),"\"," "))&amp;" "</f>
        <v>  </v>
      </c>
      <c r="BE53" s="61" t="str">
        <f aca="false">" "&amp;TRIM(SUBSTITUTE(SUBSTITUTE(SUBSTITUTE(SUBSTITUTE(SUBSTITUTE(SUBSTITUTE(SUBSTITUTE(SUBSTITUTE(SUBSTITUTE(SUBSTITUTE(SUBSTITUTE(SUBSTITUTE(SUBSTITUTE(SUBSTITUTE(SUBSTITUTE(SUBSTITUTE(SUBSTITUTE(SUBSTITUTE(SUBSTITUTE(SUBSTITUTE(SUBSTITUTE(SUBSTITUTE(SUBSTITUTE(SUBSTITUTE(LOWER(W53&amp;""),CHAR(10)," "),CHAR(13)," "),CHAR(9)," "),CHAR(160)," "),"."," "),","," "),"-"," "),"/"," "),"("," "),")"," "),":"," "),";"," "),"_"," "),"–"," "),"?"," "),"!"," "),"*"," "),"["," "),"]"," "),"'"," "),"#"," "),"+"," "),"&amp;"," "),"\"," "))&amp;" "</f>
        <v>  </v>
      </c>
      <c r="BF53" s="61" t="str">
        <f aca="false">" "&amp;TRIM(SUBSTITUTE(SUBSTITUTE(SUBSTITUTE(SUBSTITUTE(SUBSTITUTE(SUBSTITUTE(SUBSTITUTE(SUBSTITUTE(SUBSTITUTE(SUBSTITUTE(SUBSTITUTE(SUBSTITUTE(SUBSTITUTE(SUBSTITUTE(SUBSTITUTE(SUBSTITUTE(SUBSTITUTE(SUBSTITUTE(SUBSTITUTE(SUBSTITUTE(SUBSTITUTE(SUBSTITUTE(SUBSTITUTE(SUBSTITUTE(LOWER(AC53&amp;""),CHAR(10)," "),CHAR(13)," "),CHAR(9)," "),CHAR(160)," "),"."," "),","," "),"-"," "),"/"," "),"("," "),")"," "),":"," "),";"," "),"_"," "),"–"," "),"?"," "),"!"," "),"*"," "),"["," "),"]"," "),"'"," "),"#"," "),"+"," "),"&amp;"," "),"\"," "))&amp;" "</f>
        <v>  </v>
      </c>
      <c r="BG53" s="61" t="n">
        <f aca="false">IFERROR(IF(AND(TRIM(U53)="Pass",SUMPRODUCT((LEN(BC53)-LEN(SUBSTITUTE(BC53," "&amp;L_ResultBad&amp;" "," ")))/(LEN(L_ResultBad)+1))&gt;SUMPRODUCT((LEN(BC53)-LEN(SUBSTITUTE(BC53," "&amp;L_NegPhrase&amp;" "," ")))/(LEN(L_NegPhrase)+1))),1,0),0)</f>
        <v>0</v>
      </c>
      <c r="BH53" s="61" t="n">
        <f aca="false">IFERROR(IF(SUMPRODUCT((LEN(BC53)-LEN(SUBSTITUTE(BC53," "&amp;L_Pending&amp;" "," ")))/(LEN(L_Pending)+1))&gt;SUMPRODUCT((LEN(BC53)-LEN(SUBSTITUTE(BC53," "&amp;L_PendNeg&amp;" "," ")))/(LEN(L_PendNeg)+1))+SUMPRODUCT((LEN(BC53)-LEN(SUBSTITUTE(BC53," "&amp;L_PendPrep&amp;" "," ")))/(LEN(L_PendPrep)+1)),1,0),1)</f>
        <v>0</v>
      </c>
      <c r="BI53" s="61" t="n">
        <f aca="false">IFERROR(IF(SUMPRODUCT((LEN(BD53)-LEN(SUBSTITUTE(BD53," "&amp;L_PendStrict&amp;" "," ")))/(LEN(L_PendStrict)+1))&gt;SUMPRODUCT((LEN(BD53)-LEN(SUBSTITUTE(BD53," "&amp;L_PendNeg&amp;" "," ")))/(LEN(L_PendNeg)+1)),1,0),1)</f>
        <v>0</v>
      </c>
      <c r="BJ53" s="61" t="n">
        <f aca="false">IFERROR(IF(SUMPRODUCT((LEN(BE53)-LEN(SUBSTITUTE(BE53," "&amp;L_Pending&amp;" "," ")))/(LEN(L_Pending)+1))&gt;SUMPRODUCT((LEN(BE53)-LEN(SUBSTITUTE(BE53," "&amp;L_PendNeg&amp;" "," ")))/(LEN(L_PendNeg)+1))+SUMPRODUCT((LEN(BE53)-LEN(SUBSTITUTE(BE53," "&amp;L_PendPrep&amp;" "," ")))/(LEN(L_PendPrep)+1)),1,0),1)</f>
        <v>0</v>
      </c>
      <c r="BK53" s="61" t="n">
        <f aca="false">IFERROR(IF(SUMPRODUCT((LEN(BF53)-LEN(SUBSTITUTE(BF53," "&amp;L_PendStrict&amp;" "," ")))/(LEN(L_PendStrict)+1))&gt;SUMPRODUCT((LEN(BF53)-LEN(SUBSTITUTE(BF53," "&amp;L_PendNeg&amp;" "," ")))/(LEN(L_PendNeg)+1)),1,0),1)</f>
        <v>0</v>
      </c>
      <c r="BL53" s="61" t="n">
        <f aca="false">IF(ISNA(MATCH(TRIM(S53),L_EvidenceType,0)),0,BZ53)</f>
        <v>0</v>
      </c>
      <c r="BM53" s="61" t="str">
        <f aca="false">SUBSTITUTE(SUBSTITUTE(SUBSTITUTE(SUBSTITUTE(SUBSTITUTE(SUBSTITUTE(SUBSTITUTE(SUBSTITUTE(SUBSTITUTE(LOWER(Z53&amp;""),"1","0"),"2","0"),"3","0"),"4","0"),"5","0"),"6","0"),"7","0"),"8","0"),"9","0")</f>
        <v/>
      </c>
      <c r="BN53" s="61" t="str">
        <f aca="false">SUBSTITUTE(SUBSTITUTE(SUBSTITUTE(SUBSTITUTE(SUBSTITUTE(SUBSTITUTE(SUBSTITUTE(SUBSTITUTE(SUBSTITUTE(SUBSTITUTE(SUBSTITUTE(SUBSTITUTE(SUBSTITUTE(SUBSTITUTE(SUBSTITUTE(SUBSTITUTE(SUBSTITUTE(SUBSTITUTE(SUBSTITUTE(SUBSTITUTE(SUBSTITUTE(SUBSTITUTE(SUBSTITUTE(SUBSTITUTE(SUBSTITUTE(BM53,"b","a"),"c","a"),"d","a"),"e","a"),"f","a"),"g","a"),"h","a"),"i","a"),"j","a"),"k","a"),"l","a"),"m","a"),"n","a"),"o","a"),"p","a"),"q","a"),"r","a"),"s","a"),"t","a"),"u","a"),"v","a"),"w","a"),"x","a"),"y","a"),"z","a")</f>
        <v/>
      </c>
      <c r="BO53" s="61" t="str">
        <f aca="false">SUBSTITUTE(SUBSTITUTE(SUBSTITUTE(SUBSTITUTE(SUBSTITUTE(SUBSTITUTE(SUBSTITUTE(SUBSTITUTE(SUBSTITUTE(LOWER(W53&amp;""),"1","0"),"2","0"),"3","0"),"4","0"),"5","0"),"6","0"),"7","0"),"8","0"),"9","0")</f>
        <v/>
      </c>
      <c r="BP53" s="61" t="str">
        <f aca="false">SUBSTITUTE(SUBSTITUTE(SUBSTITUTE(SUBSTITUTE(SUBSTITUTE(SUBSTITUTE(SUBSTITUTE(SUBSTITUTE(SUBSTITUTE(SUBSTITUTE(SUBSTITUTE(SUBSTITUTE(SUBSTITUTE(SUBSTITUTE(SUBSTITUTE(SUBSTITUTE(SUBSTITUTE(SUBSTITUTE(SUBSTITUTE(SUBSTITUTE(SUBSTITUTE(SUBSTITUTE(SUBSTITUTE(SUBSTITUTE(SUBSTITUTE(BO53,"b","a"),"c","a"),"d","a"),"e","a"),"f","a"),"g","a"),"h","a"),"i","a"),"j","a"),"k","a"),"l","a"),"m","a"),"n","a"),"o","a"),"p","a"),"q","a"),"r","a"),"s","a"),"t","a"),"u","a"),"v","a"),"w","a"),"x","a"),"y","a"),"z","a")</f>
        <v/>
      </c>
      <c r="BQ53" s="61" t="n">
        <f aca="false">IFERROR(IF(AND(ISERROR(SEARCH(" mh"," "&amp;LOWER(W53))),ISNA(MATCH(LEFT(TRIM(BP53),255),{"0000a","000a","00a","0000aa","000aa","00aa","0aa","0000aaa","000aaa","00a00","0a00","0000-0000","00:00","a00","a0","00.00.0000","00/00/0000","00-00-0000","0000-00-00","0000/00/00","0000.00.00","00.00.00","00/00/00","00-00-00","0.00.0000","0/00/0000","0-00-0000"},0)),ISNA(MATCH(LEFT(TRIM(CA53),255),{"0000a","000a","00a","0000aa","000aa","00aa","0aa","0000aaa","000aaa","00a00","0a00","0000-0000","00:00","a00","a0","00.00.0000","00/00/0000","00-00-0000","0000-00-00","0000/00/00","0000.00.00","00.00.00","00/00/00","00-00-00","0.00.0000","0/00/0000","0-00-0000"},0)),LEN(CB53)&gt;=3,NOT(OR(SUBSTITUTE(CB53,"0","")="",AND(LEN(CB53)&gt;=4,CB53=REPT(LEFT(CB53),LEN(CB53))),ISNUMBER(MATCH(CB53,{"123","1234","12345","123456","1234567","12345678","0123","01234","012345","98765","987654","54321"},0)),AND(LEN(CB53)=8,LEFT(CB53,3)="202"))),OR(AND((LEN(CA53)-LEN(SUBSTITUTE(CA53,"a","")))&gt;=1,SUMPRODUCT(--ISNUMBER(SEARCH({"a0","a-0","a_0","a/0","a.0","a#0","0a","0-a","0_a","0/a"},BP53)))&gt;0),ISNUMBER(SEARCH("000000",BP53)))),1,0),0)</f>
        <v>0</v>
      </c>
      <c r="BR53" s="61" t="n">
        <f aca="false">IFERROR(LEN(SUBSTITUTE(CC53," ",""))-SUMPRODUCT((LEN(CC53)-LEN(SUBSTITUTE(CC53," "&amp;L_Role&amp;" "," ")))/(LEN(L_Role)+1)*LEN(L_Role)),0)</f>
        <v>0</v>
      </c>
      <c r="BS53" s="61" t="n">
        <f aca="false">IFERROR(LEN(SUBSTITUTE(CD53," ",""))-SUMPRODUCT((LEN(CD53)-LEN(SUBSTITUTE(CD53," "&amp;L_Role&amp;" "," ")))/(LEN(L_Role)+1)*LEN(L_Role)),0)</f>
        <v>0</v>
      </c>
      <c r="BT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revision",""),"version",""),"jan",""),"feb",""),"mar",""),"apr",""),"may",""),"jun",""),"jul",""),"aug",""),"sep",""),"oct",""),"nov",""),"dec",""),"utc",""),"gmt",""),"myt",""),"bst",""),"rev",""),"ver",""),"b","a"),"c","a"),"d","a"),"e","a"),"f","a"),"g","a"),"h","a"),"i","a"),"j","a"),"k","a"),"l","a"),"m","a"),"n","a"),"o","a"),"p","a"),"q","a"),"r","a"),"s","a"),"t","a"),"u","a"),"v","a"),"w","a"),"x","a"),"y","a"),"z","a")</f>
        <v/>
      </c>
      <c r="BU53" s="61" t="str">
        <f aca="false">SUBSTITUTE(SUBSTITUTE(SUBSTITUTE(SUBSTITUTE(SUBSTITUTE(SUBSTITUTE(SUBSTITUTE(SUBSTITUTE(SUBSTITUTE(SUBSTITUTE(LEFT(BM53,FIND("0",BM53&amp;"0")-1),"-",""),"_",""),"/",""),".",""),"#",""),"\\",""),":","")," ",""),"(",""),")","")</f>
        <v/>
      </c>
      <c r="BV53" s="61" t="n">
        <f aca="false">0</f>
        <v>0</v>
      </c>
      <c r="BW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amp;""),"a",""),"b",""),"c",""),"d",""),"e",""),"f",""),"g",""),"h",""),"i",""),"j",""),"k",""),"l",""),"m",""),"n",""),"o",""),"p",""),"q",""),"r",""),"s",""),"t",""),"u",""),"v",""),"w",""),"x",""),"y",""),"z",""),"-",""),"_",""),"/",""),".",""),"#",""),"\\",""),":","")," ",""),"(",""),")","")</f>
        <v/>
      </c>
      <c r="BX53" s="61" t="str">
        <f aca="false">SUBSTITUTE(SUBSTITUTE(SUBSTITUTE(SUBSTITUTE(SUBSTITUTE(SUBSTITUTE(SUBSTITUTE(SUBSTITUTE(SUBSTITUTE(SUBSTITUTE(SUBSTITUTE(BM53,"0",""),"-",""),"_",""),"/",""),".",""),"#",""),"\\",""),":","")," ",""),"(",""),")","")</f>
        <v/>
      </c>
      <c r="BY53" s="62" t="n">
        <f aca="false">Q53-T12EarlyH/24</f>
        <v>46303.5763888889</v>
      </c>
      <c r="BZ53" s="61" t="n">
        <f aca="false">IFERROR(IF(IF(TRIM(S53)="Link / file path",AND(LEN(TRIM(Z53))&gt;=5,SUMPRODUCT(--ISNUMBER(SEARCH({"http","www.","\\",":\",".pdf",".jpg",".jpeg",".png",".heic",".xls",".doc",".msg",".eml",".ppt",".txt",".zip"},Z53)))&gt;0),AND(ISERROR(FIND(" ",TRIM(Z53))),NOT(OR(SUMPRODUCT(--ISNUMBER(FIND({",",";","&amp;","+"},Z53)))&gt;0,SUMPRODUCT(--ISNUMBER(SEARCH({"0/aa","0\\aa"},BN53)))&gt;0)),NOT(SUMPRODUCT(--ISNUMBER(SEARCH({"http","www.","\\",":\",".pdf",".jpg",".jpeg",".png",".heic",".xls",".doc",".msg",".eml",".ppt",".txt",".zip"},Z53)))&gt;0),NOT(LOWER(TRIM(Z53))=LOWER(Flights!$F$6)),ISNA(MATCH(BU53,{"mh","rev","revision","ver","version","v","r","a","b","seat","tray","row","gate","bay","stand","page","pg","item","line","no","cart","galley","flight","flt","table","box","bag","oven","etd","eta","std","sta","atd","ata","qty","pax","x","time","tel","ph","mob","day","wk","week","utc","gmt","myt","lt"},0)),NOT(OR(ISNUMBER(MATCH(LEFT(BN53,255),{"0000a","000a","00a","0000aa","000aa","00aa","0aa","0000aaa","000aaa","00a00","0a00","0000-0000","00:00","a00","a0","00.00.0000","00/00/0000","00-00-0000","0000-00-00","0000/00/00","0000.00.00","00.00.00","00/00/00","00-00-00","0.00.0000","0/00/0000","0-00-0000"},0)),ISNUMBER(MATCH(LEFT(BT53,255),{"0000a","000a","00a","0000aa","000aa","00aa","0aa","0000aaa","000aaa","00a00","0a00","0000-0000","00:00","a00","a0","00.00.0000","00/00/0000","00-00-0000","0000-00-00","0000/00/00","0000.00.00","00.00.00","00/00/00","00-00-00","0.00.0000","0/00/0000","0-00-0000"},0)))),NOT(OR(AND(BW53&lt;&gt;"",SUBSTITUTE(BW53,"0","")=""),AND(LEN(BW53)&gt;=4,BW53=REPT(LEFT(BW53),LEN(BW53))),ISNUMBER(MATCH(BW53,{"123","1234","12345","123456","1234567","12345678","0123","01234","012345","98765","987654","54321"},0)),ISNUMBER(MATCH(BX53,{"x","xx","xxx","xxxx","xxxxx","abc","abcd","nil","na","nan","test","tbc","tba","tbd","dummy","sample","example","eg","zz","zzz","none","null","xyz","qwe","asd","id","ref"},0)),AND(LEN(BW53)=8,BX53="",OR(LEFT(BW53,3)="202",ISNUMBER(MATCH(RIGHT(BW53,4),{"2025","2026","2027"},0)))))),OR(AND((LEN(BT53)-LEN(SUBSTITUTE(BT53,"a","")))&gt;=1,(LEN(BN53)-LEN(SUBSTITUTE(BN53,"0","")))&gt;=2,SUMPRODUCT(--ISNUMBER(SEARCH({"a0","a-0","a_0","a/0","a.0","a#0","0a","0-a","0_a","0/a"},BN53)))&gt;0),AND((LEN(BN53)-LEN(SUBSTITUTE(BN53,"a","")))=0,(LEN(BN53)-LEN(SUBSTITUTE(BN53,"0","")))&gt;=5)))),1,0),0)</f>
        <v>0</v>
      </c>
      <c r="CA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revision",""),"version",""),"jan",""),"feb",""),"mar",""),"apr",""),"may",""),"jun",""),"jul",""),"aug",""),"sep",""),"oct",""),"nov",""),"dec",""),"utc",""),"gmt",""),"myt",""),"bst",""),"rev",""),"ver",""),"b","a"),"c","a"),"d","a"),"e","a"),"f","a"),"g","a"),"h","a"),"i","a"),"j","a"),"k","a"),"l","a"),"m","a"),"n","a"),"o","a"),"p","a"),"q","a"),"r","a"),"s","a"),"t","a"),"u","a"),"v","a"),"w","a"),"x","a"),"y","a"),"z","a")</f>
        <v/>
      </c>
      <c r="CB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amp;""),"a",""),"b",""),"c",""),"d",""),"e",""),"f",""),"g",""),"h",""),"i",""),"j",""),"k",""),"l",""),"m",""),"n",""),"o",""),"p",""),"q",""),"r",""),"s",""),"t",""),"u",""),"v",""),"w",""),"x",""),"y",""),"z",""),"-",""),"_",""),"/",""),".",""),"#",""),"\\",""),":","")," ",""),"(",""),")","")</f>
        <v/>
      </c>
      <c r="CC53" s="0" t="str">
        <f aca="false">" "&amp;TRIM(SUBSTITUTE(SUBSTITUTE(SUBSTITUTE(SUBSTITUTE(SUBSTITUTE(SUBSTITUTE(SUBSTITUTE(SUBSTITUTE(SUBSTITUTE(SUBSTITUTE(SUBSTITUTE(SUBSTITUTE(SUBSTITUTE(SUBSTITUTE(SUBSTITUTE(SUBSTITUTE(SUBSTITUTE(SUBSTITUTE(SUBSTITUTE(SUBSTITUTE(SUBSTITUTE(SUBSTITUTE(SUBSTITUTE(SUBSTITUTE(LOWER(T53&amp;""),CHAR(10)," "),CHAR(13)," "),CHAR(9)," "),CHAR(160)," "),"."," "),","," "),"-"," "),"/"," "),"("," "),")"," "),":"," "),";"," "),"_"," "),"–"," "),"?"," "),"!"," "),"*"," "),"["," "),"]"," "),"'"," "),"#"," "),"+"," "),"&amp;"," "),"\"," "))&amp;" "</f>
        <v>  </v>
      </c>
      <c r="CD53" s="0" t="str">
        <f aca="false">" "&amp;TRIM(SUBSTITUTE(SUBSTITUTE(SUBSTITUTE(SUBSTITUTE(SUBSTITUTE(SUBSTITUTE(SUBSTITUTE(SUBSTITUTE(SUBSTITUTE(SUBSTITUTE(SUBSTITUTE(SUBSTITUTE(SUBSTITUTE(SUBSTITUTE(SUBSTITUTE(SUBSTITUTE(SUBSTITUTE(SUBSTITUTE(SUBSTITUTE(SUBSTITUTE(SUBSTITUTE(SUBSTITUTE(SUBSTITUTE(SUBSTITUTE(LOWER(AE53&amp;""),CHAR(10)," "),CHAR(13)," "),CHAR(9)," "),CHAR(160)," "),"."," "),","," "),"-"," "),"/"," "),"("," "),")"," "),":"," "),";"," "),"_"," "),"–"," "),"?"," "),"!"," "),"*"," "),"["," "),"]"," "),"'"," "),"#"," "),"+"," "),"&amp;"," "),"\"," "))&amp;" "</f>
        <v>  </v>
      </c>
      <c r="CE53" s="68" t="n">
        <f aca="false">IFERROR(IF(AND(LEN(AU53)&gt;0,LEN(AU53)=LEN(AX53),OR(TRIM(MID(SUBSTITUTE(TRIM(CC53)," ",REPT(" ",60)),1,60))="",ISNUMBER(SEARCH(" "&amp;TRIM(MID(SUBSTITUTE(TRIM(CC53)," ",REPT(" ",60)),1,60))&amp;" ",CD53))),OR(TRIM(MID(SUBSTITUTE(TRIM(CC53)," ",REPT(" ",60)),61,60))="",ISNUMBER(SEARCH(" "&amp;TRIM(MID(SUBSTITUTE(TRIM(CC53)," ",REPT(" ",60)),61,60))&amp;" ",CD53))),OR(TRIM(MID(SUBSTITUTE(TRIM(CC53)," ",REPT(" ",60)),121,60))="",ISNUMBER(SEARCH(" "&amp;TRIM(MID(SUBSTITUTE(TRIM(CC53)," ",REPT(" ",60)),121,60))&amp;" ",CD53)))),1,0),0)</f>
        <v>0</v>
      </c>
      <c r="CG53" s="68" t="n">
        <f aca="false">IFERROR(LEN(SUBSTITUTE(BF53," ",""))-SUMPRODUCT((LEN(BF53)-LEN(SUBSTITUTE(BF53," "&amp;L_NAFiller&amp;" "," ")))/(LEN(L_NAFiller)+1)*LEN(L_NAFiller)),0)</f>
        <v>0</v>
      </c>
    </row>
    <row r="54" customFormat="false" ht="41.25" hidden="false" customHeight="true" outlineLevel="0" collapsed="false">
      <c r="A54" s="57" t="s">
        <v>522</v>
      </c>
      <c r="B54" s="57" t="s">
        <v>198</v>
      </c>
      <c r="C54" s="57" t="str">
        <f aca="false">Flights!$F$6</f>
        <v>MH0727</v>
      </c>
      <c r="D54" s="58" t="n">
        <f aca="false">Flights!$D$6</f>
        <v>46304</v>
      </c>
      <c r="E54" s="57" t="str">
        <f aca="false">Flights!$G$6&amp;"-"&amp;Flights!$H$6</f>
        <v>KUL-CGK</v>
      </c>
      <c r="F54" s="57" t="str">
        <f aca="false">Flights!$K$6</f>
        <v>BC</v>
      </c>
      <c r="G54" s="57" t="s">
        <v>420</v>
      </c>
      <c r="H54" s="57" t="s">
        <v>378</v>
      </c>
      <c r="I54" s="57" t="s">
        <v>499</v>
      </c>
      <c r="J54" s="57" t="s">
        <v>523</v>
      </c>
      <c r="K54" s="67" t="s">
        <v>501</v>
      </c>
      <c r="L54" s="67" t="s">
        <v>524</v>
      </c>
      <c r="M54" s="67" t="s">
        <v>451</v>
      </c>
      <c r="N54" s="67" t="s">
        <v>383</v>
      </c>
      <c r="O54" s="67" t="s">
        <v>503</v>
      </c>
      <c r="P54" s="57" t="s">
        <v>187</v>
      </c>
      <c r="Q54" s="59" t="n">
        <f aca="false">ROUND((Flights!$AE$6)*1440,0)/1440</f>
        <v>46304.0763888889</v>
      </c>
      <c r="R54" s="59" t="n">
        <f aca="false">Q54+(IF(AND(INDEX(TZ_DSTS,MATCH(P54,TZ_STN,0))&lt;&gt;"",Q54&gt;=INDEX(TZ_DSTS,MATCH(P54,TZ_STN,0)),Q54&lt;INDEX(TZ_DSTE,MATCH(P54,TZ_STN,0))),INDEX(TZ_DST,MATCH(P54,TZ_STN,0)),INDEX(TZ_STD,MATCH(P54,TZ_STN,0))))/24</f>
        <v>46304.4097222222</v>
      </c>
      <c r="S54" s="60"/>
      <c r="T54" s="60"/>
      <c r="U54" s="60"/>
      <c r="V54" s="60"/>
      <c r="W54" s="61"/>
      <c r="X54" s="60"/>
      <c r="Y54" s="60"/>
      <c r="Z54" s="60"/>
      <c r="AA54" s="60"/>
      <c r="AB54" s="60"/>
      <c r="AC54" s="60"/>
      <c r="AD54" s="66"/>
      <c r="AE54" s="60"/>
      <c r="AF54" s="61" t="str">
        <f aca="false">IF(AND(ISNUMBER(X54),ISNUMBER(Y54)),Y54-X54,"")</f>
        <v/>
      </c>
      <c r="AG54" s="62" t="str">
        <f aca="false">IF(ISNUMBER(AD54),AD54-(IF(AND(INDEX(TZ_DSTS,MATCH(P54,TZ_STN,0))&lt;&gt;"",(AD54-INDEX(TZ_STD,MATCH(P54,TZ_STN,0))/24)&gt;=INDEX(TZ_DSTS,MATCH(P54,TZ_STN,0)),(AD54-INDEX(TZ_STD,MATCH(P54,TZ_STN,0))/24)&lt;INDEX(TZ_DSTE,MATCH(P54,TZ_STN,0))),INDEX(TZ_DST,MATCH(P54,TZ_STN,0)),INDEX(TZ_STD,MATCH(P54,TZ_STN,0))))/24,"")</f>
        <v/>
      </c>
      <c r="AH54" s="65" t="str">
        <f aca="false">IFERROR(IF(N54="N/A – rule",IF(OR(TRIM(U54)="",TRIM(U54)="N/A",TRIM(U54)="Not started"),"N/A – RULE","INVALID – this check does not apply to this aircraft: clear the status (or correct the fleet on Flights)"),IF(TRIM(U54)="N/A",IF(AT54=0,"INVALID – N/A not permitted for this check",IF(AND(TRIM(AB54)&lt;&gt;"",TRIM(AB54)&lt;&gt;"Closed"),"INVALID – corrective action still open",IF(AND(NOT(OR(LEN(AZ54)&lt;15,ISNUMBER(MATCH(AZ54,L_Placeholder,0)))),BK54=0,CG54&gt;=8,NOT(OR(LEN(AU54)&lt;2,ISNUMBER(MATCH(AU54,L_Placeholder,0)))),BR54&gt;=3,NOT(OR(LEN(AX54)&lt;2,ISNUMBER(MATCH(AX54,L_Placeholder,0)))),BS54&gt;=3,TRIM(AE54)&lt;&gt;TRIM(T54),AX54&lt;&gt;AU54,CE54=0),"N/A – JUSTIFIED","INVALID – N/A needs a real, settled reason (not 'not applicable' / 'as above' / TBC), a named PIC and a different named verifier"))),IF(OR(TRIM(U54)="Pass",TRIM(U54)="Pass after CA"),IF(NOT(ISNUMBER(AD54)),"INVALID – completion time missing",IF(OR(OR(LEN(AU54)&lt;2,ISNUMBER(MATCH(AU54,L_Placeholder,0))),BR54&lt;3),"INVALID – PIC missing or not a named person (a role such as QA / CSM is not a name)",IF(OR(LEN(AV54)&lt;2,ISNUMBER(MATCH(AV54,L_Placeholder,0))),"INVALID – result / assessment missing",IF(OR(OR(LEN(AW54)&lt;3,ISNUMBER(MATCH(AW54,L_Placeholder,0))),SUMPRODUCT(--ISNUMBER(SEARCH(" "&amp;L_EvidencePhrase&amp;" ",BD54)))&gt;0,BI54=1),"INVALID – evidence missing, placeholder or not yet on file",IF(ISNA(MATCH(TRIM(S54),L_EvidenceType,0)),"INVALID – choose the evidence type from the list (column S)",IF(BL54=0,"INVALID – evidence ID must be the record's own ID only (e.g. SF-2210, IMG_2231, 1045521); a link / file name needs type 'Link / file path'",IF(OR(OR(LEN(AX54)&lt;2,ISNUMBER(MATCH(AX54,L_Placeholder,0))),BS54&lt;3),"INVALID – verifier missing or not a named person (a role such as QA / CSM is not a name)",IF(OR(AX54=AU54,CE54=1,AND(LEN(AU54)&gt;=4,ISNUMBER(SEARCH(AU54,AX54))),AND(LEN(AX54)&gt;=4,ISNUMBER(SEARCH(AX54,AU54)))),"INVALID – verifier must be a different, named person (not the PIC or a role)",IF(BH54=1,"INVALID – result not yet available (awaiting / TBC)",IF(BG54=1,"INVALID – result describes a problem: record Fail, then Pass after CA (or reword if it is not a problem)",IF(BV54=1,"INVALID – wording says not on board: an on-board confirmation needs the item loaded",IF(AND(AQ54=1,OR(OR(LEN(AY54)&lt;3,ISNUMBER(MATCH(AY54,L_Placeholder,0))),BJ54=1,BQ54=0)),"INVALID – batch ID missing, placeholder or not an ID (e.g. PASB-261008-BC-017)",IF(AND(AR54=1,OR(NOT(ISNUMBER(X54)),NOT(ISNUMBER(Y54)))),"INVALID – expected/actual qty missing",IF(AND(AR54=1,OR(X54&lt;=0,Y54&lt;0)),"INVALID – expected qty must be above 0 and actual not negative",IF(BB54&lt;&gt;"",BB54,IF(AND(AS54=1,Documents!$J$6&lt;&gt;"ON FILE"),"INVALID – GLD not on file (Documents sheet)",IF(AND(AS54=2,Documents!$O$6&lt;&gt;"ON FILE"),"INVALID – menu checklist not on file (Documents sheet)",IF(AND(AS54=3,NOT(ISNUMBER(Flights!$AX$6))),"INVALID – enter carrying flight KUL departure (Flights AX)",IF(AND(AS54=3,OR(Flights!$AZ$6&gt;Flights!$AA$6,Flights!$AX$6&lt;Flights!$AA$6-3)),"INVALID – carrying flight (Flights AX) cannot arrive before this leg's STD, or is over 3 days early",IF(AG54&gt;AsOfUTC,"INVALID – completion time is in the future",IF(AND(ISNUMBER(BY54),AG54&lt;BY54),IF(H54="Physical uplift","INVALID – before uplift window (cannot confirm loading)","INVALID – before valid window"),IF(AG54&gt;Flights!$AA$6,"INVALID – completed after departure (cannot establish readiness)",IF(AND(H54="Preparation",AG54&gt;=IF(ISNUMBER(Flights!$BA$6),MIN(Flights!$BA$6,Flights!$AA$6),Flights!$AA$6)),"INVALID – completed after loading / departure (cannot establish readiness)",IF(AND(H54="Physical uplift",AG54&gt;Q54),"INVALID – recorded after the loading flight departed",IF(AG54&gt;Q54,"COMPLETE – LATE","COMPLETE"))))))))))))))))))))))))),IF(TRIM(U54)="Fail","FAIL – DISCREPANCY",IF(AND(TRIM(U54)&lt;&gt;"",TRIM(U54)&lt;&gt;"Not started",TRIM(U54)&lt;&gt;"In progress"),"INVALID – unrecognised status (use the list)",IF(AsOfUTC&gt;Q54,"OVERDUE",IF(N54="Clarification required","OPEN – CLARIFICATION","OPEN"))))))),"INVALID – error value in an input cell")</f>
        <v>OPEN</v>
      </c>
      <c r="AI54" s="61" t="n">
        <f aca="false">IF(OR(AH54="N/A – RULE",AH54="N/A – JUSTIFIED"),0,1)</f>
        <v>1</v>
      </c>
      <c r="AJ54" s="61" t="n">
        <f aca="false">IF(LEFT(AH54,8)="COMPLETE",1,0)</f>
        <v>0</v>
      </c>
      <c r="AK54" s="61" t="n">
        <f aca="false">IF(AND(AI54=1,AJ54=0,AsOfUTC&gt;Q54),1,0)</f>
        <v>0</v>
      </c>
      <c r="AL54" s="61" t="n">
        <f aca="false">IFERROR(IF(AND(AI54=1,OR(TRIM(U54)="Fail",AND(TRIM(AB54)&lt;&gt;"",TRIM(AB54)&lt;&gt;"Closed"),AND(ISNUMBER(AF54),AF54&lt;&gt;0,TRIM(U54)&lt;&gt;"Pass after CA"))),1,0),1)</f>
        <v>0</v>
      </c>
      <c r="AM54" s="61" t="n">
        <f aca="false">IF(LEFT(AH54,7)="INVALID",1,0)</f>
        <v>0</v>
      </c>
      <c r="AN54" s="61" t="n">
        <f aca="false">IF(AND(N54="Clarification required",AI54=1,AJ54=0),1,0)</f>
        <v>0</v>
      </c>
      <c r="AO54" s="61" t="str">
        <f aca="false">IF(AK54=1,SUM(AK$5:AK54),"")</f>
        <v/>
      </c>
      <c r="AP54" s="61" t="str">
        <f aca="false">IF(AL54=1,SUM(AL$5:AL54),"")</f>
        <v/>
      </c>
      <c r="AQ54" s="61" t="n">
        <v>0</v>
      </c>
      <c r="AR54" s="61" t="n">
        <v>0</v>
      </c>
      <c r="AS54" s="61" t="n">
        <v>0</v>
      </c>
      <c r="AT54" s="61" t="n">
        <v>0</v>
      </c>
      <c r="AU54" s="61" t="str">
        <f aca="false">SUBSTITUTE(SUBSTITUTE(SUBSTITUTE(SUBSTITUTE(SUBSTITUTE(SUBSTITUTE(SUBSTITUTE(SUBSTITUTE(SUBSTITUTE(SUBSTITUTE(SUBSTITUTE(SUBSTITUTE(SUBSTITUTE(SUBSTITUTE(SUBSTITUTE(SUBSTITUTE(LOWER(T54&amp;""),CHAR(10),""),CHAR(13),""),CHAR(9),""),CHAR(160),"")," ",""),".",""),"-",""),"/",""),"?",""),"_",""),",",""),"[",""),"]",""),"(",""),")",""),"*","")</f>
        <v/>
      </c>
      <c r="AV54" s="61" t="str">
        <f aca="false">SUBSTITUTE(SUBSTITUTE(SUBSTITUTE(SUBSTITUTE(SUBSTITUTE(SUBSTITUTE(SUBSTITUTE(SUBSTITUTE(SUBSTITUTE(SUBSTITUTE(SUBSTITUTE(SUBSTITUTE(SUBSTITUTE(SUBSTITUTE(SUBSTITUTE(SUBSTITUTE(LOWER(V54&amp;""),CHAR(10),""),CHAR(13),""),CHAR(9),""),CHAR(160),"")," ",""),".",""),"-",""),"/",""),"?",""),"_",""),",",""),"[",""),"]",""),"(",""),")",""),"*","")</f>
        <v/>
      </c>
      <c r="AW54" s="61" t="str">
        <f aca="false">SUBSTITUTE(SUBSTITUTE(SUBSTITUTE(SUBSTITUTE(SUBSTITUTE(SUBSTITUTE(SUBSTITUTE(SUBSTITUTE(SUBSTITUTE(SUBSTITUTE(SUBSTITUTE(SUBSTITUTE(SUBSTITUTE(SUBSTITUTE(SUBSTITUTE(SUBSTITUTE(LOWER(Z54&amp;""),CHAR(10),""),CHAR(13),""),CHAR(9),""),CHAR(160),"")," ",""),".",""),"-",""),"/",""),"?",""),"_",""),",",""),"[",""),"]",""),"(",""),")",""),"*","")</f>
        <v/>
      </c>
      <c r="AX54" s="61" t="str">
        <f aca="false">SUBSTITUTE(SUBSTITUTE(SUBSTITUTE(SUBSTITUTE(SUBSTITUTE(SUBSTITUTE(SUBSTITUTE(SUBSTITUTE(SUBSTITUTE(SUBSTITUTE(SUBSTITUTE(SUBSTITUTE(SUBSTITUTE(SUBSTITUTE(SUBSTITUTE(SUBSTITUTE(LOWER(AE54&amp;""),CHAR(10),""),CHAR(13),""),CHAR(9),""),CHAR(160),"")," ",""),".",""),"-",""),"/",""),"?",""),"_",""),",",""),"[",""),"]",""),"(",""),")",""),"*","")</f>
        <v/>
      </c>
      <c r="AY54" s="61" t="str">
        <f aca="false">SUBSTITUTE(SUBSTITUTE(SUBSTITUTE(SUBSTITUTE(SUBSTITUTE(SUBSTITUTE(SUBSTITUTE(SUBSTITUTE(SUBSTITUTE(SUBSTITUTE(SUBSTITUTE(SUBSTITUTE(SUBSTITUTE(SUBSTITUTE(SUBSTITUTE(SUBSTITUTE(LOWER(W54&amp;""),CHAR(10),""),CHAR(13),""),CHAR(9),""),CHAR(160),"")," ",""),".",""),"-",""),"/",""),"?",""),"_",""),",",""),"[",""),"]",""),"(",""),")",""),"*","")</f>
        <v/>
      </c>
      <c r="AZ54" s="61" t="str">
        <f aca="false">SUBSTITUTE(SUBSTITUTE(SUBSTITUTE(SUBSTITUTE(SUBSTITUTE(SUBSTITUTE(SUBSTITUTE(SUBSTITUTE(SUBSTITUTE(SUBSTITUTE(SUBSTITUTE(SUBSTITUTE(SUBSTITUTE(SUBSTITUTE(SUBSTITUTE(SUBSTITUTE(LOWER(AC54&amp;""),CHAR(10),""),CHAR(13),""),CHAR(9),""),CHAR(160),"")," ",""),".",""),"-",""),"/",""),"?",""),"_",""),",",""),"[",""),"]",""),"(",""),")",""),"*","")</f>
        <v/>
      </c>
      <c r="BA54" s="61" t="str">
        <f aca="false">SUBSTITUTE(SUBSTITUTE(SUBSTITUTE(SUBSTITUTE(SUBSTITUTE(SUBSTITUTE(SUBSTITUTE(SUBSTITUTE(SUBSTITUTE(SUBSTITUTE(SUBSTITUTE(SUBSTITUTE(SUBSTITUTE(SUBSTITUTE(SUBSTITUTE(SUBSTITUTE(LOWER(AA54&amp;""),CHAR(10),""),CHAR(13),""),CHAR(9),""),CHAR(160),"")," ",""),".",""),"-",""),"/",""),"?",""),"_",""),",",""),"[",""),"]",""),"(",""),")",""),"*","")</f>
        <v/>
      </c>
      <c r="BB54" s="61" t="str">
        <f aca="false">IF(AND(TRIM(U54)="Pass",ISNUMBER(AF54)),IF(AF54&lt;&gt;0,"INVALID – qty variance: use Fail or Pass after CA",""),"")&amp;IF(AND(TRIM(U54)="Pass after CA",ISNUMBER(AF54)),IF(AF54&lt;&gt;0,"INVALID – after the corrective action the actual qty must equal expected (update Actual)",""),"")&amp;IF(AND(TRIM(U54)="Pass",TRIM(AB54)&lt;&gt;"",TRIM(AB54)&lt;&gt;"Closed"),"INVALID – corrective action not closed: use Fail, then Pass after CA","")&amp;IF(AND(LEN(BA54)&gt;=2,ISNA(MATCH(LEFT(BA54,255),L_Placeholder,0)),TRIM(AB54)=""),"INVALID – CA status missing for the recorded corrective action","")&amp;IF(AND(TRIM(U54)="Pass after CA",OR(OR(LEN(BA54)&lt;5,ISNUMBER(MATCH(BA54,L_Placeholder,0))),TRIM(AB54)&lt;&gt;"Closed")),"INVALID – corrective action not recorded/closed","")</f>
        <v/>
      </c>
      <c r="BC54" s="61" t="str">
        <f aca="false">" "&amp;TRIM(SUBSTITUTE(SUBSTITUTE(SUBSTITUTE(SUBSTITUTE(SUBSTITUTE(SUBSTITUTE(SUBSTITUTE(SUBSTITUTE(SUBSTITUTE(SUBSTITUTE(SUBSTITUTE(SUBSTITUTE(SUBSTITUTE(SUBSTITUTE(SUBSTITUTE(SUBSTITUTE(SUBSTITUTE(SUBSTITUTE(SUBSTITUTE(SUBSTITUTE(SUBSTITUTE(SUBSTITUTE(SUBSTITUTE(SUBSTITUTE(LOWER(V54&amp;""),CHAR(10)," "),CHAR(13)," "),CHAR(9)," "),CHAR(160)," "),"."," "),","," "),"-"," "),"/"," "),"("," "),")"," "),":"," "),";"," "),"_"," "),"–"," "),"?"," "),"!"," "),"*"," "),"["," "),"]"," "),"'"," "),"#"," "),"+"," "),"&amp;"," "),"\"," "))&amp;" "</f>
        <v>  </v>
      </c>
      <c r="BD54" s="61" t="str">
        <f aca="false">" "&amp;TRIM(SUBSTITUTE(SUBSTITUTE(SUBSTITUTE(SUBSTITUTE(SUBSTITUTE(SUBSTITUTE(SUBSTITUTE(SUBSTITUTE(SUBSTITUTE(SUBSTITUTE(SUBSTITUTE(SUBSTITUTE(SUBSTITUTE(SUBSTITUTE(SUBSTITUTE(SUBSTITUTE(SUBSTITUTE(SUBSTITUTE(SUBSTITUTE(SUBSTITUTE(SUBSTITUTE(SUBSTITUTE(SUBSTITUTE(SUBSTITUTE(LOWER(Z54&amp;""),CHAR(10)," "),CHAR(13)," "),CHAR(9)," "),CHAR(160)," "),"."," "),","," "),"-"," "),"/"," "),"("," "),")"," "),":"," "),";"," "),"_"," "),"–"," "),"?"," "),"!"," "),"*"," "),"["," "),"]"," "),"'"," "),"#"," "),"+"," "),"&amp;"," "),"\"," "))&amp;" "</f>
        <v>  </v>
      </c>
      <c r="BE54" s="61" t="str">
        <f aca="false">" "&amp;TRIM(SUBSTITUTE(SUBSTITUTE(SUBSTITUTE(SUBSTITUTE(SUBSTITUTE(SUBSTITUTE(SUBSTITUTE(SUBSTITUTE(SUBSTITUTE(SUBSTITUTE(SUBSTITUTE(SUBSTITUTE(SUBSTITUTE(SUBSTITUTE(SUBSTITUTE(SUBSTITUTE(SUBSTITUTE(SUBSTITUTE(SUBSTITUTE(SUBSTITUTE(SUBSTITUTE(SUBSTITUTE(SUBSTITUTE(SUBSTITUTE(LOWER(W54&amp;""),CHAR(10)," "),CHAR(13)," "),CHAR(9)," "),CHAR(160)," "),"."," "),","," "),"-"," "),"/"," "),"("," "),")"," "),":"," "),";"," "),"_"," "),"–"," "),"?"," "),"!"," "),"*"," "),"["," "),"]"," "),"'"," "),"#"," "),"+"," "),"&amp;"," "),"\"," "))&amp;" "</f>
        <v>  </v>
      </c>
      <c r="BF54" s="61" t="str">
        <f aca="false">" "&amp;TRIM(SUBSTITUTE(SUBSTITUTE(SUBSTITUTE(SUBSTITUTE(SUBSTITUTE(SUBSTITUTE(SUBSTITUTE(SUBSTITUTE(SUBSTITUTE(SUBSTITUTE(SUBSTITUTE(SUBSTITUTE(SUBSTITUTE(SUBSTITUTE(SUBSTITUTE(SUBSTITUTE(SUBSTITUTE(SUBSTITUTE(SUBSTITUTE(SUBSTITUTE(SUBSTITUTE(SUBSTITUTE(SUBSTITUTE(SUBSTITUTE(LOWER(AC54&amp;""),CHAR(10)," "),CHAR(13)," "),CHAR(9)," "),CHAR(160)," "),"."," "),","," "),"-"," "),"/"," "),"("," "),")"," "),":"," "),";"," "),"_"," "),"–"," "),"?"," "),"!"," "),"*"," "),"["," "),"]"," "),"'"," "),"#"," "),"+"," "),"&amp;"," "),"\"," "))&amp;" "</f>
        <v>  </v>
      </c>
      <c r="BG54" s="61" t="n">
        <f aca="false">IFERROR(IF(AND(TRIM(U54)="Pass",SUMPRODUCT((LEN(BC54)-LEN(SUBSTITUTE(BC54," "&amp;L_ResultBad&amp;" "," ")))/(LEN(L_ResultBad)+1))&gt;SUMPRODUCT((LEN(BC54)-LEN(SUBSTITUTE(BC54," "&amp;L_NegPhrase&amp;" "," ")))/(LEN(L_NegPhrase)+1))),1,0),0)</f>
        <v>0</v>
      </c>
      <c r="BH54" s="61" t="n">
        <f aca="false">IFERROR(IF(SUMPRODUCT((LEN(BC54)-LEN(SUBSTITUTE(BC54," "&amp;L_Pending&amp;" "," ")))/(LEN(L_Pending)+1))&gt;SUMPRODUCT((LEN(BC54)-LEN(SUBSTITUTE(BC54," "&amp;L_PendNeg&amp;" "," ")))/(LEN(L_PendNeg)+1))+SUMPRODUCT((LEN(BC54)-LEN(SUBSTITUTE(BC54," "&amp;L_PendPrep&amp;" "," ")))/(LEN(L_PendPrep)+1)),1,0),1)</f>
        <v>0</v>
      </c>
      <c r="BI54" s="61" t="n">
        <f aca="false">IFERROR(IF(SUMPRODUCT((LEN(BD54)-LEN(SUBSTITUTE(BD54," "&amp;L_PendStrict&amp;" "," ")))/(LEN(L_PendStrict)+1))&gt;SUMPRODUCT((LEN(BD54)-LEN(SUBSTITUTE(BD54," "&amp;L_PendNeg&amp;" "," ")))/(LEN(L_PendNeg)+1)),1,0),1)</f>
        <v>0</v>
      </c>
      <c r="BJ54" s="61" t="n">
        <f aca="false">IFERROR(IF(SUMPRODUCT((LEN(BE54)-LEN(SUBSTITUTE(BE54," "&amp;L_Pending&amp;" "," ")))/(LEN(L_Pending)+1))&gt;SUMPRODUCT((LEN(BE54)-LEN(SUBSTITUTE(BE54," "&amp;L_PendNeg&amp;" "," ")))/(LEN(L_PendNeg)+1))+SUMPRODUCT((LEN(BE54)-LEN(SUBSTITUTE(BE54," "&amp;L_PendPrep&amp;" "," ")))/(LEN(L_PendPrep)+1)),1,0),1)</f>
        <v>0</v>
      </c>
      <c r="BK54" s="61" t="n">
        <f aca="false">IFERROR(IF(SUMPRODUCT((LEN(BF54)-LEN(SUBSTITUTE(BF54," "&amp;L_PendStrict&amp;" "," ")))/(LEN(L_PendStrict)+1))&gt;SUMPRODUCT((LEN(BF54)-LEN(SUBSTITUTE(BF54," "&amp;L_PendNeg&amp;" "," ")))/(LEN(L_PendNeg)+1)),1,0),1)</f>
        <v>0</v>
      </c>
      <c r="BL54" s="61" t="n">
        <f aca="false">IF(ISNA(MATCH(TRIM(S54),L_EvidenceType,0)),0,BZ54)</f>
        <v>0</v>
      </c>
      <c r="BM54" s="61" t="str">
        <f aca="false">SUBSTITUTE(SUBSTITUTE(SUBSTITUTE(SUBSTITUTE(SUBSTITUTE(SUBSTITUTE(SUBSTITUTE(SUBSTITUTE(SUBSTITUTE(LOWER(Z54&amp;""),"1","0"),"2","0"),"3","0"),"4","0"),"5","0"),"6","0"),"7","0"),"8","0"),"9","0")</f>
        <v/>
      </c>
      <c r="BN54" s="61" t="str">
        <f aca="false">SUBSTITUTE(SUBSTITUTE(SUBSTITUTE(SUBSTITUTE(SUBSTITUTE(SUBSTITUTE(SUBSTITUTE(SUBSTITUTE(SUBSTITUTE(SUBSTITUTE(SUBSTITUTE(SUBSTITUTE(SUBSTITUTE(SUBSTITUTE(SUBSTITUTE(SUBSTITUTE(SUBSTITUTE(SUBSTITUTE(SUBSTITUTE(SUBSTITUTE(SUBSTITUTE(SUBSTITUTE(SUBSTITUTE(SUBSTITUTE(SUBSTITUTE(BM54,"b","a"),"c","a"),"d","a"),"e","a"),"f","a"),"g","a"),"h","a"),"i","a"),"j","a"),"k","a"),"l","a"),"m","a"),"n","a"),"o","a"),"p","a"),"q","a"),"r","a"),"s","a"),"t","a"),"u","a"),"v","a"),"w","a"),"x","a"),"y","a"),"z","a")</f>
        <v/>
      </c>
      <c r="BO54" s="61" t="str">
        <f aca="false">SUBSTITUTE(SUBSTITUTE(SUBSTITUTE(SUBSTITUTE(SUBSTITUTE(SUBSTITUTE(SUBSTITUTE(SUBSTITUTE(SUBSTITUTE(LOWER(W54&amp;""),"1","0"),"2","0"),"3","0"),"4","0"),"5","0"),"6","0"),"7","0"),"8","0"),"9","0")</f>
        <v/>
      </c>
      <c r="BP54" s="61" t="str">
        <f aca="false">SUBSTITUTE(SUBSTITUTE(SUBSTITUTE(SUBSTITUTE(SUBSTITUTE(SUBSTITUTE(SUBSTITUTE(SUBSTITUTE(SUBSTITUTE(SUBSTITUTE(SUBSTITUTE(SUBSTITUTE(SUBSTITUTE(SUBSTITUTE(SUBSTITUTE(SUBSTITUTE(SUBSTITUTE(SUBSTITUTE(SUBSTITUTE(SUBSTITUTE(SUBSTITUTE(SUBSTITUTE(SUBSTITUTE(SUBSTITUTE(SUBSTITUTE(BO54,"b","a"),"c","a"),"d","a"),"e","a"),"f","a"),"g","a"),"h","a"),"i","a"),"j","a"),"k","a"),"l","a"),"m","a"),"n","a"),"o","a"),"p","a"),"q","a"),"r","a"),"s","a"),"t","a"),"u","a"),"v","a"),"w","a"),"x","a"),"y","a"),"z","a")</f>
        <v/>
      </c>
      <c r="BQ54" s="61" t="n">
        <f aca="false">IFERROR(IF(AND(ISERROR(SEARCH(" mh"," "&amp;LOWER(W54))),ISNA(MATCH(LEFT(TRIM(BP54),255),{"0000a","000a","00a","0000aa","000aa","00aa","0aa","0000aaa","000aaa","00a00","0a00","0000-0000","00:00","a00","a0","00.00.0000","00/00/0000","00-00-0000","0000-00-00","0000/00/00","0000.00.00","00.00.00","00/00/00","00-00-00","0.00.0000","0/00/0000","0-00-0000"},0)),ISNA(MATCH(LEFT(TRIM(CA54),255),{"0000a","000a","00a","0000aa","000aa","00aa","0aa","0000aaa","000aaa","00a00","0a00","0000-0000","00:00","a00","a0","00.00.0000","00/00/0000","00-00-0000","0000-00-00","0000/00/00","0000.00.00","00.00.00","00/00/00","00-00-00","0.00.0000","0/00/0000","0-00-0000"},0)),LEN(CB54)&gt;=3,NOT(OR(SUBSTITUTE(CB54,"0","")="",AND(LEN(CB54)&gt;=4,CB54=REPT(LEFT(CB54),LEN(CB54))),ISNUMBER(MATCH(CB54,{"123","1234","12345","123456","1234567","12345678","0123","01234","012345","98765","987654","54321"},0)),AND(LEN(CB54)=8,LEFT(CB54,3)="202"))),OR(AND((LEN(CA54)-LEN(SUBSTITUTE(CA54,"a","")))&gt;=1,SUMPRODUCT(--ISNUMBER(SEARCH({"a0","a-0","a_0","a/0","a.0","a#0","0a","0-a","0_a","0/a"},BP54)))&gt;0),ISNUMBER(SEARCH("000000",BP54)))),1,0),0)</f>
        <v>0</v>
      </c>
      <c r="BR54" s="61" t="n">
        <f aca="false">IFERROR(LEN(SUBSTITUTE(CC54," ",""))-SUMPRODUCT((LEN(CC54)-LEN(SUBSTITUTE(CC54," "&amp;L_Role&amp;" "," ")))/(LEN(L_Role)+1)*LEN(L_Role)),0)</f>
        <v>0</v>
      </c>
      <c r="BS54" s="61" t="n">
        <f aca="false">IFERROR(LEN(SUBSTITUTE(CD54," ",""))-SUMPRODUCT((LEN(CD54)-LEN(SUBSTITUTE(CD54," "&amp;L_Role&amp;" "," ")))/(LEN(L_Role)+1)*LEN(L_Role)),0)</f>
        <v>0</v>
      </c>
      <c r="BT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revision",""),"version",""),"jan",""),"feb",""),"mar",""),"apr",""),"may",""),"jun",""),"jul",""),"aug",""),"sep",""),"oct",""),"nov",""),"dec",""),"utc",""),"gmt",""),"myt",""),"bst",""),"rev",""),"ver",""),"b","a"),"c","a"),"d","a"),"e","a"),"f","a"),"g","a"),"h","a"),"i","a"),"j","a"),"k","a"),"l","a"),"m","a"),"n","a"),"o","a"),"p","a"),"q","a"),"r","a"),"s","a"),"t","a"),"u","a"),"v","a"),"w","a"),"x","a"),"y","a"),"z","a")</f>
        <v/>
      </c>
      <c r="BU54" s="61" t="str">
        <f aca="false">SUBSTITUTE(SUBSTITUTE(SUBSTITUTE(SUBSTITUTE(SUBSTITUTE(SUBSTITUTE(SUBSTITUTE(SUBSTITUTE(SUBSTITUTE(SUBSTITUTE(LEFT(BM54,FIND("0",BM54&amp;"0")-1),"-",""),"_",""),"/",""),".",""),"#",""),"\\",""),":","")," ",""),"(",""),")","")</f>
        <v/>
      </c>
      <c r="BV54" s="61" t="n">
        <f aca="false">0</f>
        <v>0</v>
      </c>
      <c r="BW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amp;""),"a",""),"b",""),"c",""),"d",""),"e",""),"f",""),"g",""),"h",""),"i",""),"j",""),"k",""),"l",""),"m",""),"n",""),"o",""),"p",""),"q",""),"r",""),"s",""),"t",""),"u",""),"v",""),"w",""),"x",""),"y",""),"z",""),"-",""),"_",""),"/",""),".",""),"#",""),"\\",""),":","")," ",""),"(",""),")","")</f>
        <v/>
      </c>
      <c r="BX54" s="61" t="str">
        <f aca="false">SUBSTITUTE(SUBSTITUTE(SUBSTITUTE(SUBSTITUTE(SUBSTITUTE(SUBSTITUTE(SUBSTITUTE(SUBSTITUTE(SUBSTITUTE(SUBSTITUTE(SUBSTITUTE(BM54,"0",""),"-",""),"_",""),"/",""),".",""),"#",""),"\\",""),":","")," ",""),"(",""),")","")</f>
        <v/>
      </c>
      <c r="BY54" s="62" t="n">
        <f aca="false">Q54-T12EarlyH/24</f>
        <v>46303.5763888889</v>
      </c>
      <c r="BZ54" s="61" t="n">
        <f aca="false">IFERROR(IF(IF(TRIM(S54)="Link / file path",AND(LEN(TRIM(Z54))&gt;=5,SUMPRODUCT(--ISNUMBER(SEARCH({"http","www.","\\",":\",".pdf",".jpg",".jpeg",".png",".heic",".xls",".doc",".msg",".eml",".ppt",".txt",".zip"},Z54)))&gt;0),AND(ISERROR(FIND(" ",TRIM(Z54))),NOT(OR(SUMPRODUCT(--ISNUMBER(FIND({",",";","&amp;","+"},Z54)))&gt;0,SUMPRODUCT(--ISNUMBER(SEARCH({"0/aa","0\\aa"},BN54)))&gt;0)),NOT(SUMPRODUCT(--ISNUMBER(SEARCH({"http","www.","\\",":\",".pdf",".jpg",".jpeg",".png",".heic",".xls",".doc",".msg",".eml",".ppt",".txt",".zip"},Z54)))&gt;0),NOT(LOWER(TRIM(Z54))=LOWER(Flights!$F$6)),ISNA(MATCH(BU54,{"mh","rev","revision","ver","version","v","r","a","b","seat","tray","row","gate","bay","stand","page","pg","item","line","no","cart","galley","flight","flt","table","box","bag","oven","etd","eta","std","sta","atd","ata","qty","pax","x","time","tel","ph","mob","day","wk","week","utc","gmt","myt","lt"},0)),NOT(OR(ISNUMBER(MATCH(LEFT(BN54,255),{"0000a","000a","00a","0000aa","000aa","00aa","0aa","0000aaa","000aaa","00a00","0a00","0000-0000","00:00","a00","a0","00.00.0000","00/00/0000","00-00-0000","0000-00-00","0000/00/00","0000.00.00","00.00.00","00/00/00","00-00-00","0.00.0000","0/00/0000","0-00-0000"},0)),ISNUMBER(MATCH(LEFT(BT54,255),{"0000a","000a","00a","0000aa","000aa","00aa","0aa","0000aaa","000aaa","00a00","0a00","0000-0000","00:00","a00","a0","00.00.0000","00/00/0000","00-00-0000","0000-00-00","0000/00/00","0000.00.00","00.00.00","00/00/00","00-00-00","0.00.0000","0/00/0000","0-00-0000"},0)))),NOT(OR(AND(BW54&lt;&gt;"",SUBSTITUTE(BW54,"0","")=""),AND(LEN(BW54)&gt;=4,BW54=REPT(LEFT(BW54),LEN(BW54))),ISNUMBER(MATCH(BW54,{"123","1234","12345","123456","1234567","12345678","0123","01234","012345","98765","987654","54321"},0)),ISNUMBER(MATCH(BX54,{"x","xx","xxx","xxxx","xxxxx","abc","abcd","nil","na","nan","test","tbc","tba","tbd","dummy","sample","example","eg","zz","zzz","none","null","xyz","qwe","asd","id","ref"},0)),AND(LEN(BW54)=8,BX54="",OR(LEFT(BW54,3)="202",ISNUMBER(MATCH(RIGHT(BW54,4),{"2025","2026","2027"},0)))))),OR(AND((LEN(BT54)-LEN(SUBSTITUTE(BT54,"a","")))&gt;=1,(LEN(BN54)-LEN(SUBSTITUTE(BN54,"0","")))&gt;=2,SUMPRODUCT(--ISNUMBER(SEARCH({"a0","a-0","a_0","a/0","a.0","a#0","0a","0-a","0_a","0/a"},BN54)))&gt;0),AND((LEN(BN54)-LEN(SUBSTITUTE(BN54,"a","")))=0,(LEN(BN54)-LEN(SUBSTITUTE(BN54,"0","")))&gt;=5)))),1,0),0)</f>
        <v>0</v>
      </c>
      <c r="CA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revision",""),"version",""),"jan",""),"feb",""),"mar",""),"apr",""),"may",""),"jun",""),"jul",""),"aug",""),"sep",""),"oct",""),"nov",""),"dec",""),"utc",""),"gmt",""),"myt",""),"bst",""),"rev",""),"ver",""),"b","a"),"c","a"),"d","a"),"e","a"),"f","a"),"g","a"),"h","a"),"i","a"),"j","a"),"k","a"),"l","a"),"m","a"),"n","a"),"o","a"),"p","a"),"q","a"),"r","a"),"s","a"),"t","a"),"u","a"),"v","a"),"w","a"),"x","a"),"y","a"),"z","a")</f>
        <v/>
      </c>
      <c r="CB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amp;""),"a",""),"b",""),"c",""),"d",""),"e",""),"f",""),"g",""),"h",""),"i",""),"j",""),"k",""),"l",""),"m",""),"n",""),"o",""),"p",""),"q",""),"r",""),"s",""),"t",""),"u",""),"v",""),"w",""),"x",""),"y",""),"z",""),"-",""),"_",""),"/",""),".",""),"#",""),"\\",""),":","")," ",""),"(",""),")","")</f>
        <v/>
      </c>
      <c r="CC54" s="0" t="str">
        <f aca="false">" "&amp;TRIM(SUBSTITUTE(SUBSTITUTE(SUBSTITUTE(SUBSTITUTE(SUBSTITUTE(SUBSTITUTE(SUBSTITUTE(SUBSTITUTE(SUBSTITUTE(SUBSTITUTE(SUBSTITUTE(SUBSTITUTE(SUBSTITUTE(SUBSTITUTE(SUBSTITUTE(SUBSTITUTE(SUBSTITUTE(SUBSTITUTE(SUBSTITUTE(SUBSTITUTE(SUBSTITUTE(SUBSTITUTE(SUBSTITUTE(SUBSTITUTE(LOWER(T54&amp;""),CHAR(10)," "),CHAR(13)," "),CHAR(9)," "),CHAR(160)," "),"."," "),","," "),"-"," "),"/"," "),"("," "),")"," "),":"," "),";"," "),"_"," "),"–"," "),"?"," "),"!"," "),"*"," "),"["," "),"]"," "),"'"," "),"#"," "),"+"," "),"&amp;"," "),"\"," "))&amp;" "</f>
        <v>  </v>
      </c>
      <c r="CD54" s="0" t="str">
        <f aca="false">" "&amp;TRIM(SUBSTITUTE(SUBSTITUTE(SUBSTITUTE(SUBSTITUTE(SUBSTITUTE(SUBSTITUTE(SUBSTITUTE(SUBSTITUTE(SUBSTITUTE(SUBSTITUTE(SUBSTITUTE(SUBSTITUTE(SUBSTITUTE(SUBSTITUTE(SUBSTITUTE(SUBSTITUTE(SUBSTITUTE(SUBSTITUTE(SUBSTITUTE(SUBSTITUTE(SUBSTITUTE(SUBSTITUTE(SUBSTITUTE(SUBSTITUTE(LOWER(AE54&amp;""),CHAR(10)," "),CHAR(13)," "),CHAR(9)," "),CHAR(160)," "),"."," "),","," "),"-"," "),"/"," "),"("," "),")"," "),":"," "),";"," "),"_"," "),"–"," "),"?"," "),"!"," "),"*"," "),"["," "),"]"," "),"'"," "),"#"," "),"+"," "),"&amp;"," "),"\"," "))&amp;" "</f>
        <v>  </v>
      </c>
      <c r="CE54" s="68" t="n">
        <f aca="false">IFERROR(IF(AND(LEN(AU54)&gt;0,LEN(AU54)=LEN(AX54),OR(TRIM(MID(SUBSTITUTE(TRIM(CC54)," ",REPT(" ",60)),1,60))="",ISNUMBER(SEARCH(" "&amp;TRIM(MID(SUBSTITUTE(TRIM(CC54)," ",REPT(" ",60)),1,60))&amp;" ",CD54))),OR(TRIM(MID(SUBSTITUTE(TRIM(CC54)," ",REPT(" ",60)),61,60))="",ISNUMBER(SEARCH(" "&amp;TRIM(MID(SUBSTITUTE(TRIM(CC54)," ",REPT(" ",60)),61,60))&amp;" ",CD54))),OR(TRIM(MID(SUBSTITUTE(TRIM(CC54)," ",REPT(" ",60)),121,60))="",ISNUMBER(SEARCH(" "&amp;TRIM(MID(SUBSTITUTE(TRIM(CC54)," ",REPT(" ",60)),121,60))&amp;" ",CD54)))),1,0),0)</f>
        <v>0</v>
      </c>
      <c r="CG54" s="68" t="n">
        <f aca="false">IFERROR(LEN(SUBSTITUTE(BF54," ",""))-SUMPRODUCT((LEN(BF54)-LEN(SUBSTITUTE(BF54," "&amp;L_NAFiller&amp;" "," ")))/(LEN(L_NAFiller)+1)*LEN(L_NAFiller)),0)</f>
        <v>0</v>
      </c>
    </row>
    <row r="55" customFormat="false" ht="41.25" hidden="false" customHeight="true" outlineLevel="0" collapsed="false">
      <c r="A55" s="57" t="s">
        <v>525</v>
      </c>
      <c r="B55" s="57" t="s">
        <v>198</v>
      </c>
      <c r="C55" s="57" t="str">
        <f aca="false">Flights!$F$6</f>
        <v>MH0727</v>
      </c>
      <c r="D55" s="58" t="n">
        <f aca="false">Flights!$D$6</f>
        <v>46304</v>
      </c>
      <c r="E55" s="57" t="str">
        <f aca="false">Flights!$G$6&amp;"-"&amp;Flights!$H$6</f>
        <v>KUL-CGK</v>
      </c>
      <c r="F55" s="57" t="str">
        <f aca="false">Flights!$K$6</f>
        <v>BC</v>
      </c>
      <c r="G55" s="57" t="s">
        <v>420</v>
      </c>
      <c r="H55" s="57" t="s">
        <v>378</v>
      </c>
      <c r="I55" s="57" t="s">
        <v>447</v>
      </c>
      <c r="J55" s="57" t="s">
        <v>526</v>
      </c>
      <c r="K55" s="67" t="s">
        <v>449</v>
      </c>
      <c r="L55" s="67" t="s">
        <v>527</v>
      </c>
      <c r="M55" s="67" t="s">
        <v>451</v>
      </c>
      <c r="N55" s="67" t="s">
        <v>383</v>
      </c>
      <c r="O55" s="67" t="s">
        <v>503</v>
      </c>
      <c r="P55" s="57" t="s">
        <v>187</v>
      </c>
      <c r="Q55" s="59" t="n">
        <f aca="false">ROUND((Flights!$AE$6)*1440,0)/1440</f>
        <v>46304.0763888889</v>
      </c>
      <c r="R55" s="59" t="n">
        <f aca="false">Q55+(IF(AND(INDEX(TZ_DSTS,MATCH(P55,TZ_STN,0))&lt;&gt;"",Q55&gt;=INDEX(TZ_DSTS,MATCH(P55,TZ_STN,0)),Q55&lt;INDEX(TZ_DSTE,MATCH(P55,TZ_STN,0))),INDEX(TZ_DST,MATCH(P55,TZ_STN,0)),INDEX(TZ_STD,MATCH(P55,TZ_STN,0))))/24</f>
        <v>46304.4097222222</v>
      </c>
      <c r="S55" s="60"/>
      <c r="T55" s="60"/>
      <c r="U55" s="60"/>
      <c r="V55" s="60"/>
      <c r="W55" s="61"/>
      <c r="X55" s="60"/>
      <c r="Y55" s="60"/>
      <c r="Z55" s="60"/>
      <c r="AA55" s="60"/>
      <c r="AB55" s="60"/>
      <c r="AC55" s="60"/>
      <c r="AD55" s="66"/>
      <c r="AE55" s="60"/>
      <c r="AF55" s="61" t="str">
        <f aca="false">IF(AND(ISNUMBER(X55),ISNUMBER(Y55)),Y55-X55,"")</f>
        <v/>
      </c>
      <c r="AG55" s="62" t="str">
        <f aca="false">IF(ISNUMBER(AD55),AD55-(IF(AND(INDEX(TZ_DSTS,MATCH(P55,TZ_STN,0))&lt;&gt;"",(AD55-INDEX(TZ_STD,MATCH(P55,TZ_STN,0))/24)&gt;=INDEX(TZ_DSTS,MATCH(P55,TZ_STN,0)),(AD55-INDEX(TZ_STD,MATCH(P55,TZ_STN,0))/24)&lt;INDEX(TZ_DSTE,MATCH(P55,TZ_STN,0))),INDEX(TZ_DST,MATCH(P55,TZ_STN,0)),INDEX(TZ_STD,MATCH(P55,TZ_STN,0))))/24,"")</f>
        <v/>
      </c>
      <c r="AH55" s="65" t="str">
        <f aca="false">IFERROR(IF(N55="N/A – rule",IF(OR(TRIM(U55)="",TRIM(U55)="N/A",TRIM(U55)="Not started"),"N/A – RULE","INVALID – this check does not apply to this aircraft: clear the status (or correct the fleet on Flights)"),IF(TRIM(U55)="N/A",IF(AT55=0,"INVALID – N/A not permitted for this check",IF(AND(TRIM(AB55)&lt;&gt;"",TRIM(AB55)&lt;&gt;"Closed"),"INVALID – corrective action still open",IF(AND(NOT(OR(LEN(AZ55)&lt;15,ISNUMBER(MATCH(AZ55,L_Placeholder,0)))),BK55=0,CG55&gt;=8,NOT(OR(LEN(AU55)&lt;2,ISNUMBER(MATCH(AU55,L_Placeholder,0)))),BR55&gt;=3,NOT(OR(LEN(AX55)&lt;2,ISNUMBER(MATCH(AX55,L_Placeholder,0)))),BS55&gt;=3,TRIM(AE55)&lt;&gt;TRIM(T55),AX55&lt;&gt;AU55,CE55=0),"N/A – JUSTIFIED","INVALID – N/A needs a real, settled reason (not 'not applicable' / 'as above' / TBC), a named PIC and a different named verifier"))),IF(OR(TRIM(U55)="Pass",TRIM(U55)="Pass after CA"),IF(NOT(ISNUMBER(AD55)),"INVALID – completion time missing",IF(OR(OR(LEN(AU55)&lt;2,ISNUMBER(MATCH(AU55,L_Placeholder,0))),BR55&lt;3),"INVALID – PIC missing or not a named person (a role such as QA / CSM is not a name)",IF(OR(LEN(AV55)&lt;2,ISNUMBER(MATCH(AV55,L_Placeholder,0))),"INVALID – result / assessment missing",IF(OR(OR(LEN(AW55)&lt;3,ISNUMBER(MATCH(AW55,L_Placeholder,0))),SUMPRODUCT(--ISNUMBER(SEARCH(" "&amp;L_EvidencePhrase&amp;" ",BD55)))&gt;0,BI55=1),"INVALID – evidence missing, placeholder or not yet on file",IF(ISNA(MATCH(TRIM(S55),L_EvidenceType,0)),"INVALID – choose the evidence type from the list (column S)",IF(BL55=0,"INVALID – evidence ID must be the record's own ID only (e.g. SF-2210, IMG_2231, 1045521); a link / file name needs type 'Link / file path'",IF(OR(OR(LEN(AX55)&lt;2,ISNUMBER(MATCH(AX55,L_Placeholder,0))),BS55&lt;3),"INVALID – verifier missing or not a named person (a role such as QA / CSM is not a name)",IF(OR(AX55=AU55,CE55=1,AND(LEN(AU55)&gt;=4,ISNUMBER(SEARCH(AU55,AX55))),AND(LEN(AX55)&gt;=4,ISNUMBER(SEARCH(AX55,AU55)))),"INVALID – verifier must be a different, named person (not the PIC or a role)",IF(BH55=1,"INVALID – result not yet available (awaiting / TBC)",IF(BG55=1,"INVALID – result describes a problem: record Fail, then Pass after CA (or reword if it is not a problem)",IF(BV55=1,"INVALID – wording says not on board: an on-board confirmation needs the item loaded",IF(AND(AQ55=1,OR(OR(LEN(AY55)&lt;3,ISNUMBER(MATCH(AY55,L_Placeholder,0))),BJ55=1,BQ55=0)),"INVALID – batch ID missing, placeholder or not an ID (e.g. PASB-261008-BC-017)",IF(AND(AR55=1,OR(NOT(ISNUMBER(X55)),NOT(ISNUMBER(Y55)))),"INVALID – expected/actual qty missing",IF(AND(AR55=1,OR(X55&lt;=0,Y55&lt;0)),"INVALID – expected qty must be above 0 and actual not negative",IF(BB55&lt;&gt;"",BB55,IF(AND(AS55=1,Documents!$J$6&lt;&gt;"ON FILE"),"INVALID – GLD not on file (Documents sheet)",IF(AND(AS55=2,Documents!$O$6&lt;&gt;"ON FILE"),"INVALID – menu checklist not on file (Documents sheet)",IF(AND(AS55=3,NOT(ISNUMBER(Flights!$AX$6))),"INVALID – enter carrying flight KUL departure (Flights AX)",IF(AND(AS55=3,OR(Flights!$AZ$6&gt;Flights!$AA$6,Flights!$AX$6&lt;Flights!$AA$6-3)),"INVALID – carrying flight (Flights AX) cannot arrive before this leg's STD, or is over 3 days early",IF(AG55&gt;AsOfUTC,"INVALID – completion time is in the future",IF(AND(ISNUMBER(BY55),AG55&lt;BY55),IF(H55="Physical uplift","INVALID – before uplift window (cannot confirm loading)","INVALID – before valid window"),IF(AG55&gt;Flights!$AA$6,"INVALID – completed after departure (cannot establish readiness)",IF(AND(H55="Preparation",AG55&gt;=IF(ISNUMBER(Flights!$BA$6),MIN(Flights!$BA$6,Flights!$AA$6),Flights!$AA$6)),"INVALID – completed after loading / departure (cannot establish readiness)",IF(AND(H55="Physical uplift",AG55&gt;Q55),"INVALID – recorded after the loading flight departed",IF(AG55&gt;Q55,"COMPLETE – LATE","COMPLETE"))))))))))))))))))))))))),IF(TRIM(U55)="Fail","FAIL – DISCREPANCY",IF(AND(TRIM(U55)&lt;&gt;"",TRIM(U55)&lt;&gt;"Not started",TRIM(U55)&lt;&gt;"In progress"),"INVALID – unrecognised status (use the list)",IF(AsOfUTC&gt;Q55,"OVERDUE",IF(N55="Clarification required","OPEN – CLARIFICATION","OPEN"))))))),"INVALID – error value in an input cell")</f>
        <v>OPEN</v>
      </c>
      <c r="AI55" s="61" t="n">
        <f aca="false">IF(OR(AH55="N/A – RULE",AH55="N/A – JUSTIFIED"),0,1)</f>
        <v>1</v>
      </c>
      <c r="AJ55" s="61" t="n">
        <f aca="false">IF(LEFT(AH55,8)="COMPLETE",1,0)</f>
        <v>0</v>
      </c>
      <c r="AK55" s="61" t="n">
        <f aca="false">IF(AND(AI55=1,AJ55=0,AsOfUTC&gt;Q55),1,0)</f>
        <v>0</v>
      </c>
      <c r="AL55" s="61" t="n">
        <f aca="false">IFERROR(IF(AND(AI55=1,OR(TRIM(U55)="Fail",AND(TRIM(AB55)&lt;&gt;"",TRIM(AB55)&lt;&gt;"Closed"),AND(ISNUMBER(AF55),AF55&lt;&gt;0,TRIM(U55)&lt;&gt;"Pass after CA"))),1,0),1)</f>
        <v>0</v>
      </c>
      <c r="AM55" s="61" t="n">
        <f aca="false">IF(LEFT(AH55,7)="INVALID",1,0)</f>
        <v>0</v>
      </c>
      <c r="AN55" s="61" t="n">
        <f aca="false">IF(AND(N55="Clarification required",AI55=1,AJ55=0),1,0)</f>
        <v>0</v>
      </c>
      <c r="AO55" s="61" t="str">
        <f aca="false">IF(AK55=1,SUM(AK$5:AK55),"")</f>
        <v/>
      </c>
      <c r="AP55" s="61" t="str">
        <f aca="false">IF(AL55=1,SUM(AL$5:AL55),"")</f>
        <v/>
      </c>
      <c r="AQ55" s="61" t="n">
        <v>0</v>
      </c>
      <c r="AR55" s="61" t="n">
        <v>0</v>
      </c>
      <c r="AS55" s="61" t="n">
        <v>0</v>
      </c>
      <c r="AT55" s="61" t="n">
        <v>0</v>
      </c>
      <c r="AU55" s="61" t="str">
        <f aca="false">SUBSTITUTE(SUBSTITUTE(SUBSTITUTE(SUBSTITUTE(SUBSTITUTE(SUBSTITUTE(SUBSTITUTE(SUBSTITUTE(SUBSTITUTE(SUBSTITUTE(SUBSTITUTE(SUBSTITUTE(SUBSTITUTE(SUBSTITUTE(SUBSTITUTE(SUBSTITUTE(LOWER(T55&amp;""),CHAR(10),""),CHAR(13),""),CHAR(9),""),CHAR(160),"")," ",""),".",""),"-",""),"/",""),"?",""),"_",""),",",""),"[",""),"]",""),"(",""),")",""),"*","")</f>
        <v/>
      </c>
      <c r="AV55" s="61" t="str">
        <f aca="false">SUBSTITUTE(SUBSTITUTE(SUBSTITUTE(SUBSTITUTE(SUBSTITUTE(SUBSTITUTE(SUBSTITUTE(SUBSTITUTE(SUBSTITUTE(SUBSTITUTE(SUBSTITUTE(SUBSTITUTE(SUBSTITUTE(SUBSTITUTE(SUBSTITUTE(SUBSTITUTE(LOWER(V55&amp;""),CHAR(10),""),CHAR(13),""),CHAR(9),""),CHAR(160),"")," ",""),".",""),"-",""),"/",""),"?",""),"_",""),",",""),"[",""),"]",""),"(",""),")",""),"*","")</f>
        <v/>
      </c>
      <c r="AW55" s="61" t="str">
        <f aca="false">SUBSTITUTE(SUBSTITUTE(SUBSTITUTE(SUBSTITUTE(SUBSTITUTE(SUBSTITUTE(SUBSTITUTE(SUBSTITUTE(SUBSTITUTE(SUBSTITUTE(SUBSTITUTE(SUBSTITUTE(SUBSTITUTE(SUBSTITUTE(SUBSTITUTE(SUBSTITUTE(LOWER(Z55&amp;""),CHAR(10),""),CHAR(13),""),CHAR(9),""),CHAR(160),"")," ",""),".",""),"-",""),"/",""),"?",""),"_",""),",",""),"[",""),"]",""),"(",""),")",""),"*","")</f>
        <v/>
      </c>
      <c r="AX55" s="61" t="str">
        <f aca="false">SUBSTITUTE(SUBSTITUTE(SUBSTITUTE(SUBSTITUTE(SUBSTITUTE(SUBSTITUTE(SUBSTITUTE(SUBSTITUTE(SUBSTITUTE(SUBSTITUTE(SUBSTITUTE(SUBSTITUTE(SUBSTITUTE(SUBSTITUTE(SUBSTITUTE(SUBSTITUTE(LOWER(AE55&amp;""),CHAR(10),""),CHAR(13),""),CHAR(9),""),CHAR(160),"")," ",""),".",""),"-",""),"/",""),"?",""),"_",""),",",""),"[",""),"]",""),"(",""),")",""),"*","")</f>
        <v/>
      </c>
      <c r="AY55" s="61" t="str">
        <f aca="false">SUBSTITUTE(SUBSTITUTE(SUBSTITUTE(SUBSTITUTE(SUBSTITUTE(SUBSTITUTE(SUBSTITUTE(SUBSTITUTE(SUBSTITUTE(SUBSTITUTE(SUBSTITUTE(SUBSTITUTE(SUBSTITUTE(SUBSTITUTE(SUBSTITUTE(SUBSTITUTE(LOWER(W55&amp;""),CHAR(10),""),CHAR(13),""),CHAR(9),""),CHAR(160),"")," ",""),".",""),"-",""),"/",""),"?",""),"_",""),",",""),"[",""),"]",""),"(",""),")",""),"*","")</f>
        <v/>
      </c>
      <c r="AZ55" s="61" t="str">
        <f aca="false">SUBSTITUTE(SUBSTITUTE(SUBSTITUTE(SUBSTITUTE(SUBSTITUTE(SUBSTITUTE(SUBSTITUTE(SUBSTITUTE(SUBSTITUTE(SUBSTITUTE(SUBSTITUTE(SUBSTITUTE(SUBSTITUTE(SUBSTITUTE(SUBSTITUTE(SUBSTITUTE(LOWER(AC55&amp;""),CHAR(10),""),CHAR(13),""),CHAR(9),""),CHAR(160),"")," ",""),".",""),"-",""),"/",""),"?",""),"_",""),",",""),"[",""),"]",""),"(",""),")",""),"*","")</f>
        <v/>
      </c>
      <c r="BA55" s="61" t="str">
        <f aca="false">SUBSTITUTE(SUBSTITUTE(SUBSTITUTE(SUBSTITUTE(SUBSTITUTE(SUBSTITUTE(SUBSTITUTE(SUBSTITUTE(SUBSTITUTE(SUBSTITUTE(SUBSTITUTE(SUBSTITUTE(SUBSTITUTE(SUBSTITUTE(SUBSTITUTE(SUBSTITUTE(LOWER(AA55&amp;""),CHAR(10),""),CHAR(13),""),CHAR(9),""),CHAR(160),"")," ",""),".",""),"-",""),"/",""),"?",""),"_",""),",",""),"[",""),"]",""),"(",""),")",""),"*","")</f>
        <v/>
      </c>
      <c r="BB55" s="61" t="str">
        <f aca="false">IF(AND(TRIM(U55)="Pass",ISNUMBER(AF55)),IF(AF55&lt;&gt;0,"INVALID – qty variance: use Fail or Pass after CA",""),"")&amp;IF(AND(TRIM(U55)="Pass after CA",ISNUMBER(AF55)),IF(AF55&lt;&gt;0,"INVALID – after the corrective action the actual qty must equal expected (update Actual)",""),"")&amp;IF(AND(TRIM(U55)="Pass",TRIM(AB55)&lt;&gt;"",TRIM(AB55)&lt;&gt;"Closed"),"INVALID – corrective action not closed: use Fail, then Pass after CA","")&amp;IF(AND(LEN(BA55)&gt;=2,ISNA(MATCH(LEFT(BA55,255),L_Placeholder,0)),TRIM(AB55)=""),"INVALID – CA status missing for the recorded corrective action","")&amp;IF(AND(TRIM(U55)="Pass after CA",OR(OR(LEN(BA55)&lt;5,ISNUMBER(MATCH(BA55,L_Placeholder,0))),TRIM(AB55)&lt;&gt;"Closed")),"INVALID – corrective action not recorded/closed","")</f>
        <v/>
      </c>
      <c r="BC55" s="61" t="str">
        <f aca="false">" "&amp;TRIM(SUBSTITUTE(SUBSTITUTE(SUBSTITUTE(SUBSTITUTE(SUBSTITUTE(SUBSTITUTE(SUBSTITUTE(SUBSTITUTE(SUBSTITUTE(SUBSTITUTE(SUBSTITUTE(SUBSTITUTE(SUBSTITUTE(SUBSTITUTE(SUBSTITUTE(SUBSTITUTE(SUBSTITUTE(SUBSTITUTE(SUBSTITUTE(SUBSTITUTE(SUBSTITUTE(SUBSTITUTE(SUBSTITUTE(SUBSTITUTE(LOWER(V55&amp;""),CHAR(10)," "),CHAR(13)," "),CHAR(9)," "),CHAR(160)," "),"."," "),","," "),"-"," "),"/"," "),"("," "),")"," "),":"," "),";"," "),"_"," "),"–"," "),"?"," "),"!"," "),"*"," "),"["," "),"]"," "),"'"," "),"#"," "),"+"," "),"&amp;"," "),"\"," "))&amp;" "</f>
        <v>  </v>
      </c>
      <c r="BD55" s="61" t="str">
        <f aca="false">" "&amp;TRIM(SUBSTITUTE(SUBSTITUTE(SUBSTITUTE(SUBSTITUTE(SUBSTITUTE(SUBSTITUTE(SUBSTITUTE(SUBSTITUTE(SUBSTITUTE(SUBSTITUTE(SUBSTITUTE(SUBSTITUTE(SUBSTITUTE(SUBSTITUTE(SUBSTITUTE(SUBSTITUTE(SUBSTITUTE(SUBSTITUTE(SUBSTITUTE(SUBSTITUTE(SUBSTITUTE(SUBSTITUTE(SUBSTITUTE(SUBSTITUTE(LOWER(Z55&amp;""),CHAR(10)," "),CHAR(13)," "),CHAR(9)," "),CHAR(160)," "),"."," "),","," "),"-"," "),"/"," "),"("," "),")"," "),":"," "),";"," "),"_"," "),"–"," "),"?"," "),"!"," "),"*"," "),"["," "),"]"," "),"'"," "),"#"," "),"+"," "),"&amp;"," "),"\"," "))&amp;" "</f>
        <v>  </v>
      </c>
      <c r="BE55" s="61" t="str">
        <f aca="false">" "&amp;TRIM(SUBSTITUTE(SUBSTITUTE(SUBSTITUTE(SUBSTITUTE(SUBSTITUTE(SUBSTITUTE(SUBSTITUTE(SUBSTITUTE(SUBSTITUTE(SUBSTITUTE(SUBSTITUTE(SUBSTITUTE(SUBSTITUTE(SUBSTITUTE(SUBSTITUTE(SUBSTITUTE(SUBSTITUTE(SUBSTITUTE(SUBSTITUTE(SUBSTITUTE(SUBSTITUTE(SUBSTITUTE(SUBSTITUTE(SUBSTITUTE(LOWER(W55&amp;""),CHAR(10)," "),CHAR(13)," "),CHAR(9)," "),CHAR(160)," "),"."," "),","," "),"-"," "),"/"," "),"("," "),")"," "),":"," "),";"," "),"_"," "),"–"," "),"?"," "),"!"," "),"*"," "),"["," "),"]"," "),"'"," "),"#"," "),"+"," "),"&amp;"," "),"\"," "))&amp;" "</f>
        <v>  </v>
      </c>
      <c r="BF55" s="61" t="str">
        <f aca="false">" "&amp;TRIM(SUBSTITUTE(SUBSTITUTE(SUBSTITUTE(SUBSTITUTE(SUBSTITUTE(SUBSTITUTE(SUBSTITUTE(SUBSTITUTE(SUBSTITUTE(SUBSTITUTE(SUBSTITUTE(SUBSTITUTE(SUBSTITUTE(SUBSTITUTE(SUBSTITUTE(SUBSTITUTE(SUBSTITUTE(SUBSTITUTE(SUBSTITUTE(SUBSTITUTE(SUBSTITUTE(SUBSTITUTE(SUBSTITUTE(SUBSTITUTE(LOWER(AC55&amp;""),CHAR(10)," "),CHAR(13)," "),CHAR(9)," "),CHAR(160)," "),"."," "),","," "),"-"," "),"/"," "),"("," "),")"," "),":"," "),";"," "),"_"," "),"–"," "),"?"," "),"!"," "),"*"," "),"["," "),"]"," "),"'"," "),"#"," "),"+"," "),"&amp;"," "),"\"," "))&amp;" "</f>
        <v>  </v>
      </c>
      <c r="BG55" s="61" t="n">
        <f aca="false">IFERROR(IF(AND(TRIM(U55)="Pass",SUMPRODUCT((LEN(BC55)-LEN(SUBSTITUTE(BC55," "&amp;L_ResultBad&amp;" "," ")))/(LEN(L_ResultBad)+1))&gt;SUMPRODUCT((LEN(BC55)-LEN(SUBSTITUTE(BC55," "&amp;L_NegPhrase&amp;" "," ")))/(LEN(L_NegPhrase)+1))),1,0),0)</f>
        <v>0</v>
      </c>
      <c r="BH55" s="61" t="n">
        <f aca="false">IFERROR(IF(SUMPRODUCT((LEN(BC55)-LEN(SUBSTITUTE(BC55," "&amp;L_Pending&amp;" "," ")))/(LEN(L_Pending)+1))&gt;SUMPRODUCT((LEN(BC55)-LEN(SUBSTITUTE(BC55," "&amp;L_PendNeg&amp;" "," ")))/(LEN(L_PendNeg)+1))+SUMPRODUCT((LEN(BC55)-LEN(SUBSTITUTE(BC55," "&amp;L_PendPrep&amp;" "," ")))/(LEN(L_PendPrep)+1)),1,0),1)</f>
        <v>0</v>
      </c>
      <c r="BI55" s="61" t="n">
        <f aca="false">IFERROR(IF(SUMPRODUCT((LEN(BD55)-LEN(SUBSTITUTE(BD55," "&amp;L_PendStrict&amp;" "," ")))/(LEN(L_PendStrict)+1))&gt;SUMPRODUCT((LEN(BD55)-LEN(SUBSTITUTE(BD55," "&amp;L_PendNeg&amp;" "," ")))/(LEN(L_PendNeg)+1)),1,0),1)</f>
        <v>0</v>
      </c>
      <c r="BJ55" s="61" t="n">
        <f aca="false">IFERROR(IF(SUMPRODUCT((LEN(BE55)-LEN(SUBSTITUTE(BE55," "&amp;L_Pending&amp;" "," ")))/(LEN(L_Pending)+1))&gt;SUMPRODUCT((LEN(BE55)-LEN(SUBSTITUTE(BE55," "&amp;L_PendNeg&amp;" "," ")))/(LEN(L_PendNeg)+1))+SUMPRODUCT((LEN(BE55)-LEN(SUBSTITUTE(BE55," "&amp;L_PendPrep&amp;" "," ")))/(LEN(L_PendPrep)+1)),1,0),1)</f>
        <v>0</v>
      </c>
      <c r="BK55" s="61" t="n">
        <f aca="false">IFERROR(IF(SUMPRODUCT((LEN(BF55)-LEN(SUBSTITUTE(BF55," "&amp;L_PendStrict&amp;" "," ")))/(LEN(L_PendStrict)+1))&gt;SUMPRODUCT((LEN(BF55)-LEN(SUBSTITUTE(BF55," "&amp;L_PendNeg&amp;" "," ")))/(LEN(L_PendNeg)+1)),1,0),1)</f>
        <v>0</v>
      </c>
      <c r="BL55" s="61" t="n">
        <f aca="false">IF(ISNA(MATCH(TRIM(S55),L_EvidenceType,0)),0,BZ55)</f>
        <v>0</v>
      </c>
      <c r="BM55" s="61" t="str">
        <f aca="false">SUBSTITUTE(SUBSTITUTE(SUBSTITUTE(SUBSTITUTE(SUBSTITUTE(SUBSTITUTE(SUBSTITUTE(SUBSTITUTE(SUBSTITUTE(LOWER(Z55&amp;""),"1","0"),"2","0"),"3","0"),"4","0"),"5","0"),"6","0"),"7","0"),"8","0"),"9","0")</f>
        <v/>
      </c>
      <c r="BN55" s="61" t="str">
        <f aca="false">SUBSTITUTE(SUBSTITUTE(SUBSTITUTE(SUBSTITUTE(SUBSTITUTE(SUBSTITUTE(SUBSTITUTE(SUBSTITUTE(SUBSTITUTE(SUBSTITUTE(SUBSTITUTE(SUBSTITUTE(SUBSTITUTE(SUBSTITUTE(SUBSTITUTE(SUBSTITUTE(SUBSTITUTE(SUBSTITUTE(SUBSTITUTE(SUBSTITUTE(SUBSTITUTE(SUBSTITUTE(SUBSTITUTE(SUBSTITUTE(SUBSTITUTE(BM55,"b","a"),"c","a"),"d","a"),"e","a"),"f","a"),"g","a"),"h","a"),"i","a"),"j","a"),"k","a"),"l","a"),"m","a"),"n","a"),"o","a"),"p","a"),"q","a"),"r","a"),"s","a"),"t","a"),"u","a"),"v","a"),"w","a"),"x","a"),"y","a"),"z","a")</f>
        <v/>
      </c>
      <c r="BO55" s="61" t="str">
        <f aca="false">SUBSTITUTE(SUBSTITUTE(SUBSTITUTE(SUBSTITUTE(SUBSTITUTE(SUBSTITUTE(SUBSTITUTE(SUBSTITUTE(SUBSTITUTE(LOWER(W55&amp;""),"1","0"),"2","0"),"3","0"),"4","0"),"5","0"),"6","0"),"7","0"),"8","0"),"9","0")</f>
        <v/>
      </c>
      <c r="BP55" s="61" t="str">
        <f aca="false">SUBSTITUTE(SUBSTITUTE(SUBSTITUTE(SUBSTITUTE(SUBSTITUTE(SUBSTITUTE(SUBSTITUTE(SUBSTITUTE(SUBSTITUTE(SUBSTITUTE(SUBSTITUTE(SUBSTITUTE(SUBSTITUTE(SUBSTITUTE(SUBSTITUTE(SUBSTITUTE(SUBSTITUTE(SUBSTITUTE(SUBSTITUTE(SUBSTITUTE(SUBSTITUTE(SUBSTITUTE(SUBSTITUTE(SUBSTITUTE(SUBSTITUTE(BO55,"b","a"),"c","a"),"d","a"),"e","a"),"f","a"),"g","a"),"h","a"),"i","a"),"j","a"),"k","a"),"l","a"),"m","a"),"n","a"),"o","a"),"p","a"),"q","a"),"r","a"),"s","a"),"t","a"),"u","a"),"v","a"),"w","a"),"x","a"),"y","a"),"z","a")</f>
        <v/>
      </c>
      <c r="BQ55" s="61" t="n">
        <f aca="false">IFERROR(IF(AND(ISERROR(SEARCH(" mh"," "&amp;LOWER(W55))),ISNA(MATCH(LEFT(TRIM(BP55),255),{"0000a","000a","00a","0000aa","000aa","00aa","0aa","0000aaa","000aaa","00a00","0a00","0000-0000","00:00","a00","a0","00.00.0000","00/00/0000","00-00-0000","0000-00-00","0000/00/00","0000.00.00","00.00.00","00/00/00","00-00-00","0.00.0000","0/00/0000","0-00-0000"},0)),ISNA(MATCH(LEFT(TRIM(CA55),255),{"0000a","000a","00a","0000aa","000aa","00aa","0aa","0000aaa","000aaa","00a00","0a00","0000-0000","00:00","a00","a0","00.00.0000","00/00/0000","00-00-0000","0000-00-00","0000/00/00","0000.00.00","00.00.00","00/00/00","00-00-00","0.00.0000","0/00/0000","0-00-0000"},0)),LEN(CB55)&gt;=3,NOT(OR(SUBSTITUTE(CB55,"0","")="",AND(LEN(CB55)&gt;=4,CB55=REPT(LEFT(CB55),LEN(CB55))),ISNUMBER(MATCH(CB55,{"123","1234","12345","123456","1234567","12345678","0123","01234","012345","98765","987654","54321"},0)),AND(LEN(CB55)=8,LEFT(CB55,3)="202"))),OR(AND((LEN(CA55)-LEN(SUBSTITUTE(CA55,"a","")))&gt;=1,SUMPRODUCT(--ISNUMBER(SEARCH({"a0","a-0","a_0","a/0","a.0","a#0","0a","0-a","0_a","0/a"},BP55)))&gt;0),ISNUMBER(SEARCH("000000",BP55)))),1,0),0)</f>
        <v>0</v>
      </c>
      <c r="BR55" s="61" t="n">
        <f aca="false">IFERROR(LEN(SUBSTITUTE(CC55," ",""))-SUMPRODUCT((LEN(CC55)-LEN(SUBSTITUTE(CC55," "&amp;L_Role&amp;" "," ")))/(LEN(L_Role)+1)*LEN(L_Role)),0)</f>
        <v>0</v>
      </c>
      <c r="BS55" s="61" t="n">
        <f aca="false">IFERROR(LEN(SUBSTITUTE(CD55," ",""))-SUMPRODUCT((LEN(CD55)-LEN(SUBSTITUTE(CD55," "&amp;L_Role&amp;" "," ")))/(LEN(L_Role)+1)*LEN(L_Role)),0)</f>
        <v>0</v>
      </c>
      <c r="BT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revision",""),"version",""),"jan",""),"feb",""),"mar",""),"apr",""),"may",""),"jun",""),"jul",""),"aug",""),"sep",""),"oct",""),"nov",""),"dec",""),"utc",""),"gmt",""),"myt",""),"bst",""),"rev",""),"ver",""),"b","a"),"c","a"),"d","a"),"e","a"),"f","a"),"g","a"),"h","a"),"i","a"),"j","a"),"k","a"),"l","a"),"m","a"),"n","a"),"o","a"),"p","a"),"q","a"),"r","a"),"s","a"),"t","a"),"u","a"),"v","a"),"w","a"),"x","a"),"y","a"),"z","a")</f>
        <v/>
      </c>
      <c r="BU55" s="61" t="str">
        <f aca="false">SUBSTITUTE(SUBSTITUTE(SUBSTITUTE(SUBSTITUTE(SUBSTITUTE(SUBSTITUTE(SUBSTITUTE(SUBSTITUTE(SUBSTITUTE(SUBSTITUTE(LEFT(BM55,FIND("0",BM55&amp;"0")-1),"-",""),"_",""),"/",""),".",""),"#",""),"\\",""),":","")," ",""),"(",""),")","")</f>
        <v/>
      </c>
      <c r="BV55" s="61" t="n">
        <f aca="false">0</f>
        <v>0</v>
      </c>
      <c r="BW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amp;""),"a",""),"b",""),"c",""),"d",""),"e",""),"f",""),"g",""),"h",""),"i",""),"j",""),"k",""),"l",""),"m",""),"n",""),"o",""),"p",""),"q",""),"r",""),"s",""),"t",""),"u",""),"v",""),"w",""),"x",""),"y",""),"z",""),"-",""),"_",""),"/",""),".",""),"#",""),"\\",""),":","")," ",""),"(",""),")","")</f>
        <v/>
      </c>
      <c r="BX55" s="61" t="str">
        <f aca="false">SUBSTITUTE(SUBSTITUTE(SUBSTITUTE(SUBSTITUTE(SUBSTITUTE(SUBSTITUTE(SUBSTITUTE(SUBSTITUTE(SUBSTITUTE(SUBSTITUTE(SUBSTITUTE(BM55,"0",""),"-",""),"_",""),"/",""),".",""),"#",""),"\\",""),":","")," ",""),"(",""),")","")</f>
        <v/>
      </c>
      <c r="BY55" s="62" t="n">
        <f aca="false">Q55-T12EarlyH/24</f>
        <v>46303.5763888889</v>
      </c>
      <c r="BZ55" s="61" t="n">
        <f aca="false">IFERROR(IF(IF(TRIM(S55)="Link / file path",AND(LEN(TRIM(Z55))&gt;=5,SUMPRODUCT(--ISNUMBER(SEARCH({"http","www.","\\",":\",".pdf",".jpg",".jpeg",".png",".heic",".xls",".doc",".msg",".eml",".ppt",".txt",".zip"},Z55)))&gt;0),AND(ISERROR(FIND(" ",TRIM(Z55))),NOT(OR(SUMPRODUCT(--ISNUMBER(FIND({",",";","&amp;","+"},Z55)))&gt;0,SUMPRODUCT(--ISNUMBER(SEARCH({"0/aa","0\\aa"},BN55)))&gt;0)),NOT(SUMPRODUCT(--ISNUMBER(SEARCH({"http","www.","\\",":\",".pdf",".jpg",".jpeg",".png",".heic",".xls",".doc",".msg",".eml",".ppt",".txt",".zip"},Z55)))&gt;0),NOT(LOWER(TRIM(Z55))=LOWER(Flights!$F$6)),ISNA(MATCH(BU55,{"mh","rev","revision","ver","version","v","r","a","b","seat","tray","row","gate","bay","stand","page","pg","item","line","no","cart","galley","flight","flt","table","box","bag","oven","etd","eta","std","sta","atd","ata","qty","pax","x","time","tel","ph","mob","day","wk","week","utc","gmt","myt","lt"},0)),NOT(OR(ISNUMBER(MATCH(LEFT(BN55,255),{"0000a","000a","00a","0000aa","000aa","00aa","0aa","0000aaa","000aaa","00a00","0a00","0000-0000","00:00","a00","a0","00.00.0000","00/00/0000","00-00-0000","0000-00-00","0000/00/00","0000.00.00","00.00.00","00/00/00","00-00-00","0.00.0000","0/00/0000","0-00-0000"},0)),ISNUMBER(MATCH(LEFT(BT55,255),{"0000a","000a","00a","0000aa","000aa","00aa","0aa","0000aaa","000aaa","00a00","0a00","0000-0000","00:00","a00","a0","00.00.0000","00/00/0000","00-00-0000","0000-00-00","0000/00/00","0000.00.00","00.00.00","00/00/00","00-00-00","0.00.0000","0/00/0000","0-00-0000"},0)))),NOT(OR(AND(BW55&lt;&gt;"",SUBSTITUTE(BW55,"0","")=""),AND(LEN(BW55)&gt;=4,BW55=REPT(LEFT(BW55),LEN(BW55))),ISNUMBER(MATCH(BW55,{"123","1234","12345","123456","1234567","12345678","0123","01234","012345","98765","987654","54321"},0)),ISNUMBER(MATCH(BX55,{"x","xx","xxx","xxxx","xxxxx","abc","abcd","nil","na","nan","test","tbc","tba","tbd","dummy","sample","example","eg","zz","zzz","none","null","xyz","qwe","asd","id","ref"},0)),AND(LEN(BW55)=8,BX55="",OR(LEFT(BW55,3)="202",ISNUMBER(MATCH(RIGHT(BW55,4),{"2025","2026","2027"},0)))))),OR(AND((LEN(BT55)-LEN(SUBSTITUTE(BT55,"a","")))&gt;=1,(LEN(BN55)-LEN(SUBSTITUTE(BN55,"0","")))&gt;=2,SUMPRODUCT(--ISNUMBER(SEARCH({"a0","a-0","a_0","a/0","a.0","a#0","0a","0-a","0_a","0/a"},BN55)))&gt;0),AND((LEN(BN55)-LEN(SUBSTITUTE(BN55,"a","")))=0,(LEN(BN55)-LEN(SUBSTITUTE(BN55,"0","")))&gt;=5)))),1,0),0)</f>
        <v>0</v>
      </c>
      <c r="CA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revision",""),"version",""),"jan",""),"feb",""),"mar",""),"apr",""),"may",""),"jun",""),"jul",""),"aug",""),"sep",""),"oct",""),"nov",""),"dec",""),"utc",""),"gmt",""),"myt",""),"bst",""),"rev",""),"ver",""),"b","a"),"c","a"),"d","a"),"e","a"),"f","a"),"g","a"),"h","a"),"i","a"),"j","a"),"k","a"),"l","a"),"m","a"),"n","a"),"o","a"),"p","a"),"q","a"),"r","a"),"s","a"),"t","a"),"u","a"),"v","a"),"w","a"),"x","a"),"y","a"),"z","a")</f>
        <v/>
      </c>
      <c r="CB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amp;""),"a",""),"b",""),"c",""),"d",""),"e",""),"f",""),"g",""),"h",""),"i",""),"j",""),"k",""),"l",""),"m",""),"n",""),"o",""),"p",""),"q",""),"r",""),"s",""),"t",""),"u",""),"v",""),"w",""),"x",""),"y",""),"z",""),"-",""),"_",""),"/",""),".",""),"#",""),"\\",""),":","")," ",""),"(",""),")","")</f>
        <v/>
      </c>
      <c r="CC55" s="0" t="str">
        <f aca="false">" "&amp;TRIM(SUBSTITUTE(SUBSTITUTE(SUBSTITUTE(SUBSTITUTE(SUBSTITUTE(SUBSTITUTE(SUBSTITUTE(SUBSTITUTE(SUBSTITUTE(SUBSTITUTE(SUBSTITUTE(SUBSTITUTE(SUBSTITUTE(SUBSTITUTE(SUBSTITUTE(SUBSTITUTE(SUBSTITUTE(SUBSTITUTE(SUBSTITUTE(SUBSTITUTE(SUBSTITUTE(SUBSTITUTE(SUBSTITUTE(SUBSTITUTE(LOWER(T55&amp;""),CHAR(10)," "),CHAR(13)," "),CHAR(9)," "),CHAR(160)," "),"."," "),","," "),"-"," "),"/"," "),"("," "),")"," "),":"," "),";"," "),"_"," "),"–"," "),"?"," "),"!"," "),"*"," "),"["," "),"]"," "),"'"," "),"#"," "),"+"," "),"&amp;"," "),"\"," "))&amp;" "</f>
        <v>  </v>
      </c>
      <c r="CD55" s="0" t="str">
        <f aca="false">" "&amp;TRIM(SUBSTITUTE(SUBSTITUTE(SUBSTITUTE(SUBSTITUTE(SUBSTITUTE(SUBSTITUTE(SUBSTITUTE(SUBSTITUTE(SUBSTITUTE(SUBSTITUTE(SUBSTITUTE(SUBSTITUTE(SUBSTITUTE(SUBSTITUTE(SUBSTITUTE(SUBSTITUTE(SUBSTITUTE(SUBSTITUTE(SUBSTITUTE(SUBSTITUTE(SUBSTITUTE(SUBSTITUTE(SUBSTITUTE(SUBSTITUTE(LOWER(AE55&amp;""),CHAR(10)," "),CHAR(13)," "),CHAR(9)," "),CHAR(160)," "),"."," "),","," "),"-"," "),"/"," "),"("," "),")"," "),":"," "),";"," "),"_"," "),"–"," "),"?"," "),"!"," "),"*"," "),"["," "),"]"," "),"'"," "),"#"," "),"+"," "),"&amp;"," "),"\"," "))&amp;" "</f>
        <v>  </v>
      </c>
      <c r="CE55" s="68" t="n">
        <f aca="false">IFERROR(IF(AND(LEN(AU55)&gt;0,LEN(AU55)=LEN(AX55),OR(TRIM(MID(SUBSTITUTE(TRIM(CC55)," ",REPT(" ",60)),1,60))="",ISNUMBER(SEARCH(" "&amp;TRIM(MID(SUBSTITUTE(TRIM(CC55)," ",REPT(" ",60)),1,60))&amp;" ",CD55))),OR(TRIM(MID(SUBSTITUTE(TRIM(CC55)," ",REPT(" ",60)),61,60))="",ISNUMBER(SEARCH(" "&amp;TRIM(MID(SUBSTITUTE(TRIM(CC55)," ",REPT(" ",60)),61,60))&amp;" ",CD55))),OR(TRIM(MID(SUBSTITUTE(TRIM(CC55)," ",REPT(" ",60)),121,60))="",ISNUMBER(SEARCH(" "&amp;TRIM(MID(SUBSTITUTE(TRIM(CC55)," ",REPT(" ",60)),121,60))&amp;" ",CD55)))),1,0),0)</f>
        <v>0</v>
      </c>
      <c r="CG55" s="68" t="n">
        <f aca="false">IFERROR(LEN(SUBSTITUTE(BF55," ",""))-SUMPRODUCT((LEN(BF55)-LEN(SUBSTITUTE(BF55," "&amp;L_NAFiller&amp;" "," ")))/(LEN(L_NAFiller)+1)*LEN(L_NAFiller)),0)</f>
        <v>0</v>
      </c>
    </row>
    <row r="56" customFormat="false" ht="41.25" hidden="false" customHeight="true" outlineLevel="0" collapsed="false">
      <c r="A56" s="57" t="s">
        <v>528</v>
      </c>
      <c r="B56" s="57" t="s">
        <v>198</v>
      </c>
      <c r="C56" s="57" t="str">
        <f aca="false">Flights!$F$6</f>
        <v>MH0727</v>
      </c>
      <c r="D56" s="58" t="n">
        <f aca="false">Flights!$D$6</f>
        <v>46304</v>
      </c>
      <c r="E56" s="57" t="str">
        <f aca="false">Flights!$G$6&amp;"-"&amp;Flights!$H$6</f>
        <v>KUL-CGK</v>
      </c>
      <c r="F56" s="57" t="str">
        <f aca="false">Flights!$K$6</f>
        <v>BC</v>
      </c>
      <c r="G56" s="57" t="s">
        <v>420</v>
      </c>
      <c r="H56" s="57" t="s">
        <v>378</v>
      </c>
      <c r="I56" s="57" t="s">
        <v>447</v>
      </c>
      <c r="J56" s="57" t="s">
        <v>529</v>
      </c>
      <c r="K56" s="67" t="s">
        <v>449</v>
      </c>
      <c r="L56" s="67" t="s">
        <v>530</v>
      </c>
      <c r="M56" s="67" t="s">
        <v>451</v>
      </c>
      <c r="N56" s="67" t="s">
        <v>383</v>
      </c>
      <c r="O56" s="67" t="s">
        <v>503</v>
      </c>
      <c r="P56" s="57" t="s">
        <v>187</v>
      </c>
      <c r="Q56" s="59" t="n">
        <f aca="false">ROUND((Flights!$AE$6)*1440,0)/1440</f>
        <v>46304.0763888889</v>
      </c>
      <c r="R56" s="59" t="n">
        <f aca="false">Q56+(IF(AND(INDEX(TZ_DSTS,MATCH(P56,TZ_STN,0))&lt;&gt;"",Q56&gt;=INDEX(TZ_DSTS,MATCH(P56,TZ_STN,0)),Q56&lt;INDEX(TZ_DSTE,MATCH(P56,TZ_STN,0))),INDEX(TZ_DST,MATCH(P56,TZ_STN,0)),INDEX(TZ_STD,MATCH(P56,TZ_STN,0))))/24</f>
        <v>46304.4097222222</v>
      </c>
      <c r="S56" s="60"/>
      <c r="T56" s="60"/>
      <c r="U56" s="60"/>
      <c r="V56" s="60"/>
      <c r="W56" s="61"/>
      <c r="X56" s="60"/>
      <c r="Y56" s="60"/>
      <c r="Z56" s="60"/>
      <c r="AA56" s="60"/>
      <c r="AB56" s="60"/>
      <c r="AC56" s="60"/>
      <c r="AD56" s="66"/>
      <c r="AE56" s="60"/>
      <c r="AF56" s="61" t="str">
        <f aca="false">IF(AND(ISNUMBER(X56),ISNUMBER(Y56)),Y56-X56,"")</f>
        <v/>
      </c>
      <c r="AG56" s="62" t="str">
        <f aca="false">IF(ISNUMBER(AD56),AD56-(IF(AND(INDEX(TZ_DSTS,MATCH(P56,TZ_STN,0))&lt;&gt;"",(AD56-INDEX(TZ_STD,MATCH(P56,TZ_STN,0))/24)&gt;=INDEX(TZ_DSTS,MATCH(P56,TZ_STN,0)),(AD56-INDEX(TZ_STD,MATCH(P56,TZ_STN,0))/24)&lt;INDEX(TZ_DSTE,MATCH(P56,TZ_STN,0))),INDEX(TZ_DST,MATCH(P56,TZ_STN,0)),INDEX(TZ_STD,MATCH(P56,TZ_STN,0))))/24,"")</f>
        <v/>
      </c>
      <c r="AH56" s="65" t="str">
        <f aca="false">IFERROR(IF(N56="N/A – rule",IF(OR(TRIM(U56)="",TRIM(U56)="N/A",TRIM(U56)="Not started"),"N/A – RULE","INVALID – this check does not apply to this aircraft: clear the status (or correct the fleet on Flights)"),IF(TRIM(U56)="N/A",IF(AT56=0,"INVALID – N/A not permitted for this check",IF(AND(TRIM(AB56)&lt;&gt;"",TRIM(AB56)&lt;&gt;"Closed"),"INVALID – corrective action still open",IF(AND(NOT(OR(LEN(AZ56)&lt;15,ISNUMBER(MATCH(AZ56,L_Placeholder,0)))),BK56=0,CG56&gt;=8,NOT(OR(LEN(AU56)&lt;2,ISNUMBER(MATCH(AU56,L_Placeholder,0)))),BR56&gt;=3,NOT(OR(LEN(AX56)&lt;2,ISNUMBER(MATCH(AX56,L_Placeholder,0)))),BS56&gt;=3,TRIM(AE56)&lt;&gt;TRIM(T56),AX56&lt;&gt;AU56,CE56=0),"N/A – JUSTIFIED","INVALID – N/A needs a real, settled reason (not 'not applicable' / 'as above' / TBC), a named PIC and a different named verifier"))),IF(OR(TRIM(U56)="Pass",TRIM(U56)="Pass after CA"),IF(NOT(ISNUMBER(AD56)),"INVALID – completion time missing",IF(OR(OR(LEN(AU56)&lt;2,ISNUMBER(MATCH(AU56,L_Placeholder,0))),BR56&lt;3),"INVALID – PIC missing or not a named person (a role such as QA / CSM is not a name)",IF(OR(LEN(AV56)&lt;2,ISNUMBER(MATCH(AV56,L_Placeholder,0))),"INVALID – result / assessment missing",IF(OR(OR(LEN(AW56)&lt;3,ISNUMBER(MATCH(AW56,L_Placeholder,0))),SUMPRODUCT(--ISNUMBER(SEARCH(" "&amp;L_EvidencePhrase&amp;" ",BD56)))&gt;0,BI56=1),"INVALID – evidence missing, placeholder or not yet on file",IF(ISNA(MATCH(TRIM(S56),L_EvidenceType,0)),"INVALID – choose the evidence type from the list (column S)",IF(BL56=0,"INVALID – evidence ID must be the record's own ID only (e.g. SF-2210, IMG_2231, 1045521); a link / file name needs type 'Link / file path'",IF(OR(OR(LEN(AX56)&lt;2,ISNUMBER(MATCH(AX56,L_Placeholder,0))),BS56&lt;3),"INVALID – verifier missing or not a named person (a role such as QA / CSM is not a name)",IF(OR(AX56=AU56,CE56=1,AND(LEN(AU56)&gt;=4,ISNUMBER(SEARCH(AU56,AX56))),AND(LEN(AX56)&gt;=4,ISNUMBER(SEARCH(AX56,AU56)))),"INVALID – verifier must be a different, named person (not the PIC or a role)",IF(BH56=1,"INVALID – result not yet available (awaiting / TBC)",IF(BG56=1,"INVALID – result describes a problem: record Fail, then Pass after CA (or reword if it is not a problem)",IF(BV56=1,"INVALID – wording says not on board: an on-board confirmation needs the item loaded",IF(AND(AQ56=1,OR(OR(LEN(AY56)&lt;3,ISNUMBER(MATCH(AY56,L_Placeholder,0))),BJ56=1,BQ56=0)),"INVALID – batch ID missing, placeholder or not an ID (e.g. PASB-261008-BC-017)",IF(AND(AR56=1,OR(NOT(ISNUMBER(X56)),NOT(ISNUMBER(Y56)))),"INVALID – expected/actual qty missing",IF(AND(AR56=1,OR(X56&lt;=0,Y56&lt;0)),"INVALID – expected qty must be above 0 and actual not negative",IF(BB56&lt;&gt;"",BB56,IF(AND(AS56=1,Documents!$J$6&lt;&gt;"ON FILE"),"INVALID – GLD not on file (Documents sheet)",IF(AND(AS56=2,Documents!$O$6&lt;&gt;"ON FILE"),"INVALID – menu checklist not on file (Documents sheet)",IF(AND(AS56=3,NOT(ISNUMBER(Flights!$AX$6))),"INVALID – enter carrying flight KUL departure (Flights AX)",IF(AND(AS56=3,OR(Flights!$AZ$6&gt;Flights!$AA$6,Flights!$AX$6&lt;Flights!$AA$6-3)),"INVALID – carrying flight (Flights AX) cannot arrive before this leg's STD, or is over 3 days early",IF(AG56&gt;AsOfUTC,"INVALID – completion time is in the future",IF(AND(ISNUMBER(BY56),AG56&lt;BY56),IF(H56="Physical uplift","INVALID – before uplift window (cannot confirm loading)","INVALID – before valid window"),IF(AG56&gt;Flights!$AA$6,"INVALID – completed after departure (cannot establish readiness)",IF(AND(H56="Preparation",AG56&gt;=IF(ISNUMBER(Flights!$BA$6),MIN(Flights!$BA$6,Flights!$AA$6),Flights!$AA$6)),"INVALID – completed after loading / departure (cannot establish readiness)",IF(AND(H56="Physical uplift",AG56&gt;Q56),"INVALID – recorded after the loading flight departed",IF(AG56&gt;Q56,"COMPLETE – LATE","COMPLETE"))))))))))))))))))))))))),IF(TRIM(U56)="Fail","FAIL – DISCREPANCY",IF(AND(TRIM(U56)&lt;&gt;"",TRIM(U56)&lt;&gt;"Not started",TRIM(U56)&lt;&gt;"In progress"),"INVALID – unrecognised status (use the list)",IF(AsOfUTC&gt;Q56,"OVERDUE",IF(N56="Clarification required","OPEN – CLARIFICATION","OPEN"))))))),"INVALID – error value in an input cell")</f>
        <v>OPEN</v>
      </c>
      <c r="AI56" s="61" t="n">
        <f aca="false">IF(OR(AH56="N/A – RULE",AH56="N/A – JUSTIFIED"),0,1)</f>
        <v>1</v>
      </c>
      <c r="AJ56" s="61" t="n">
        <f aca="false">IF(LEFT(AH56,8)="COMPLETE",1,0)</f>
        <v>0</v>
      </c>
      <c r="AK56" s="61" t="n">
        <f aca="false">IF(AND(AI56=1,AJ56=0,AsOfUTC&gt;Q56),1,0)</f>
        <v>0</v>
      </c>
      <c r="AL56" s="61" t="n">
        <f aca="false">IFERROR(IF(AND(AI56=1,OR(TRIM(U56)="Fail",AND(TRIM(AB56)&lt;&gt;"",TRIM(AB56)&lt;&gt;"Closed"),AND(ISNUMBER(AF56),AF56&lt;&gt;0,TRIM(U56)&lt;&gt;"Pass after CA"))),1,0),1)</f>
        <v>0</v>
      </c>
      <c r="AM56" s="61" t="n">
        <f aca="false">IF(LEFT(AH56,7)="INVALID",1,0)</f>
        <v>0</v>
      </c>
      <c r="AN56" s="61" t="n">
        <f aca="false">IF(AND(N56="Clarification required",AI56=1,AJ56=0),1,0)</f>
        <v>0</v>
      </c>
      <c r="AO56" s="61" t="str">
        <f aca="false">IF(AK56=1,SUM(AK$5:AK56),"")</f>
        <v/>
      </c>
      <c r="AP56" s="61" t="str">
        <f aca="false">IF(AL56=1,SUM(AL$5:AL56),"")</f>
        <v/>
      </c>
      <c r="AQ56" s="61" t="n">
        <v>0</v>
      </c>
      <c r="AR56" s="61" t="n">
        <v>0</v>
      </c>
      <c r="AS56" s="61" t="n">
        <v>0</v>
      </c>
      <c r="AT56" s="61" t="n">
        <v>0</v>
      </c>
      <c r="AU56" s="61" t="str">
        <f aca="false">SUBSTITUTE(SUBSTITUTE(SUBSTITUTE(SUBSTITUTE(SUBSTITUTE(SUBSTITUTE(SUBSTITUTE(SUBSTITUTE(SUBSTITUTE(SUBSTITUTE(SUBSTITUTE(SUBSTITUTE(SUBSTITUTE(SUBSTITUTE(SUBSTITUTE(SUBSTITUTE(LOWER(T56&amp;""),CHAR(10),""),CHAR(13),""),CHAR(9),""),CHAR(160),"")," ",""),".",""),"-",""),"/",""),"?",""),"_",""),",",""),"[",""),"]",""),"(",""),")",""),"*","")</f>
        <v/>
      </c>
      <c r="AV56" s="61" t="str">
        <f aca="false">SUBSTITUTE(SUBSTITUTE(SUBSTITUTE(SUBSTITUTE(SUBSTITUTE(SUBSTITUTE(SUBSTITUTE(SUBSTITUTE(SUBSTITUTE(SUBSTITUTE(SUBSTITUTE(SUBSTITUTE(SUBSTITUTE(SUBSTITUTE(SUBSTITUTE(SUBSTITUTE(LOWER(V56&amp;""),CHAR(10),""),CHAR(13),""),CHAR(9),""),CHAR(160),"")," ",""),".",""),"-",""),"/",""),"?",""),"_",""),",",""),"[",""),"]",""),"(",""),")",""),"*","")</f>
        <v/>
      </c>
      <c r="AW56" s="61" t="str">
        <f aca="false">SUBSTITUTE(SUBSTITUTE(SUBSTITUTE(SUBSTITUTE(SUBSTITUTE(SUBSTITUTE(SUBSTITUTE(SUBSTITUTE(SUBSTITUTE(SUBSTITUTE(SUBSTITUTE(SUBSTITUTE(SUBSTITUTE(SUBSTITUTE(SUBSTITUTE(SUBSTITUTE(LOWER(Z56&amp;""),CHAR(10),""),CHAR(13),""),CHAR(9),""),CHAR(160),"")," ",""),".",""),"-",""),"/",""),"?",""),"_",""),",",""),"[",""),"]",""),"(",""),")",""),"*","")</f>
        <v/>
      </c>
      <c r="AX56" s="61" t="str">
        <f aca="false">SUBSTITUTE(SUBSTITUTE(SUBSTITUTE(SUBSTITUTE(SUBSTITUTE(SUBSTITUTE(SUBSTITUTE(SUBSTITUTE(SUBSTITUTE(SUBSTITUTE(SUBSTITUTE(SUBSTITUTE(SUBSTITUTE(SUBSTITUTE(SUBSTITUTE(SUBSTITUTE(LOWER(AE56&amp;""),CHAR(10),""),CHAR(13),""),CHAR(9),""),CHAR(160),"")," ",""),".",""),"-",""),"/",""),"?",""),"_",""),",",""),"[",""),"]",""),"(",""),")",""),"*","")</f>
        <v/>
      </c>
      <c r="AY56" s="61" t="str">
        <f aca="false">SUBSTITUTE(SUBSTITUTE(SUBSTITUTE(SUBSTITUTE(SUBSTITUTE(SUBSTITUTE(SUBSTITUTE(SUBSTITUTE(SUBSTITUTE(SUBSTITUTE(SUBSTITUTE(SUBSTITUTE(SUBSTITUTE(SUBSTITUTE(SUBSTITUTE(SUBSTITUTE(LOWER(W56&amp;""),CHAR(10),""),CHAR(13),""),CHAR(9),""),CHAR(160),"")," ",""),".",""),"-",""),"/",""),"?",""),"_",""),",",""),"[",""),"]",""),"(",""),")",""),"*","")</f>
        <v/>
      </c>
      <c r="AZ56" s="61" t="str">
        <f aca="false">SUBSTITUTE(SUBSTITUTE(SUBSTITUTE(SUBSTITUTE(SUBSTITUTE(SUBSTITUTE(SUBSTITUTE(SUBSTITUTE(SUBSTITUTE(SUBSTITUTE(SUBSTITUTE(SUBSTITUTE(SUBSTITUTE(SUBSTITUTE(SUBSTITUTE(SUBSTITUTE(LOWER(AC56&amp;""),CHAR(10),""),CHAR(13),""),CHAR(9),""),CHAR(160),"")," ",""),".",""),"-",""),"/",""),"?",""),"_",""),",",""),"[",""),"]",""),"(",""),")",""),"*","")</f>
        <v/>
      </c>
      <c r="BA56" s="61" t="str">
        <f aca="false">SUBSTITUTE(SUBSTITUTE(SUBSTITUTE(SUBSTITUTE(SUBSTITUTE(SUBSTITUTE(SUBSTITUTE(SUBSTITUTE(SUBSTITUTE(SUBSTITUTE(SUBSTITUTE(SUBSTITUTE(SUBSTITUTE(SUBSTITUTE(SUBSTITUTE(SUBSTITUTE(LOWER(AA56&amp;""),CHAR(10),""),CHAR(13),""),CHAR(9),""),CHAR(160),"")," ",""),".",""),"-",""),"/",""),"?",""),"_",""),",",""),"[",""),"]",""),"(",""),")",""),"*","")</f>
        <v/>
      </c>
      <c r="BB56" s="61" t="str">
        <f aca="false">IF(AND(TRIM(U56)="Pass",ISNUMBER(AF56)),IF(AF56&lt;&gt;0,"INVALID – qty variance: use Fail or Pass after CA",""),"")&amp;IF(AND(TRIM(U56)="Pass after CA",ISNUMBER(AF56)),IF(AF56&lt;&gt;0,"INVALID – after the corrective action the actual qty must equal expected (update Actual)",""),"")&amp;IF(AND(TRIM(U56)="Pass",TRIM(AB56)&lt;&gt;"",TRIM(AB56)&lt;&gt;"Closed"),"INVALID – corrective action not closed: use Fail, then Pass after CA","")&amp;IF(AND(LEN(BA56)&gt;=2,ISNA(MATCH(LEFT(BA56,255),L_Placeholder,0)),TRIM(AB56)=""),"INVALID – CA status missing for the recorded corrective action","")&amp;IF(AND(TRIM(U56)="Pass after CA",OR(OR(LEN(BA56)&lt;5,ISNUMBER(MATCH(BA56,L_Placeholder,0))),TRIM(AB56)&lt;&gt;"Closed")),"INVALID – corrective action not recorded/closed","")</f>
        <v/>
      </c>
      <c r="BC56" s="61" t="str">
        <f aca="false">" "&amp;TRIM(SUBSTITUTE(SUBSTITUTE(SUBSTITUTE(SUBSTITUTE(SUBSTITUTE(SUBSTITUTE(SUBSTITUTE(SUBSTITUTE(SUBSTITUTE(SUBSTITUTE(SUBSTITUTE(SUBSTITUTE(SUBSTITUTE(SUBSTITUTE(SUBSTITUTE(SUBSTITUTE(SUBSTITUTE(SUBSTITUTE(SUBSTITUTE(SUBSTITUTE(SUBSTITUTE(SUBSTITUTE(SUBSTITUTE(SUBSTITUTE(LOWER(V56&amp;""),CHAR(10)," "),CHAR(13)," "),CHAR(9)," "),CHAR(160)," "),"."," "),","," "),"-"," "),"/"," "),"("," "),")"," "),":"," "),";"," "),"_"," "),"–"," "),"?"," "),"!"," "),"*"," "),"["," "),"]"," "),"'"," "),"#"," "),"+"," "),"&amp;"," "),"\"," "))&amp;" "</f>
        <v>  </v>
      </c>
      <c r="BD56" s="61" t="str">
        <f aca="false">" "&amp;TRIM(SUBSTITUTE(SUBSTITUTE(SUBSTITUTE(SUBSTITUTE(SUBSTITUTE(SUBSTITUTE(SUBSTITUTE(SUBSTITUTE(SUBSTITUTE(SUBSTITUTE(SUBSTITUTE(SUBSTITUTE(SUBSTITUTE(SUBSTITUTE(SUBSTITUTE(SUBSTITUTE(SUBSTITUTE(SUBSTITUTE(SUBSTITUTE(SUBSTITUTE(SUBSTITUTE(SUBSTITUTE(SUBSTITUTE(SUBSTITUTE(LOWER(Z56&amp;""),CHAR(10)," "),CHAR(13)," "),CHAR(9)," "),CHAR(160)," "),"."," "),","," "),"-"," "),"/"," "),"("," "),")"," "),":"," "),";"," "),"_"," "),"–"," "),"?"," "),"!"," "),"*"," "),"["," "),"]"," "),"'"," "),"#"," "),"+"," "),"&amp;"," "),"\"," "))&amp;" "</f>
        <v>  </v>
      </c>
      <c r="BE56" s="61" t="str">
        <f aca="false">" "&amp;TRIM(SUBSTITUTE(SUBSTITUTE(SUBSTITUTE(SUBSTITUTE(SUBSTITUTE(SUBSTITUTE(SUBSTITUTE(SUBSTITUTE(SUBSTITUTE(SUBSTITUTE(SUBSTITUTE(SUBSTITUTE(SUBSTITUTE(SUBSTITUTE(SUBSTITUTE(SUBSTITUTE(SUBSTITUTE(SUBSTITUTE(SUBSTITUTE(SUBSTITUTE(SUBSTITUTE(SUBSTITUTE(SUBSTITUTE(SUBSTITUTE(LOWER(W56&amp;""),CHAR(10)," "),CHAR(13)," "),CHAR(9)," "),CHAR(160)," "),"."," "),","," "),"-"," "),"/"," "),"("," "),")"," "),":"," "),";"," "),"_"," "),"–"," "),"?"," "),"!"," "),"*"," "),"["," "),"]"," "),"'"," "),"#"," "),"+"," "),"&amp;"," "),"\"," "))&amp;" "</f>
        <v>  </v>
      </c>
      <c r="BF56" s="61" t="str">
        <f aca="false">" "&amp;TRIM(SUBSTITUTE(SUBSTITUTE(SUBSTITUTE(SUBSTITUTE(SUBSTITUTE(SUBSTITUTE(SUBSTITUTE(SUBSTITUTE(SUBSTITUTE(SUBSTITUTE(SUBSTITUTE(SUBSTITUTE(SUBSTITUTE(SUBSTITUTE(SUBSTITUTE(SUBSTITUTE(SUBSTITUTE(SUBSTITUTE(SUBSTITUTE(SUBSTITUTE(SUBSTITUTE(SUBSTITUTE(SUBSTITUTE(SUBSTITUTE(LOWER(AC56&amp;""),CHAR(10)," "),CHAR(13)," "),CHAR(9)," "),CHAR(160)," "),"."," "),","," "),"-"," "),"/"," "),"("," "),")"," "),":"," "),";"," "),"_"," "),"–"," "),"?"," "),"!"," "),"*"," "),"["," "),"]"," "),"'"," "),"#"," "),"+"," "),"&amp;"," "),"\"," "))&amp;" "</f>
        <v>  </v>
      </c>
      <c r="BG56" s="61" t="n">
        <f aca="false">IFERROR(IF(AND(TRIM(U56)="Pass",SUMPRODUCT((LEN(BC56)-LEN(SUBSTITUTE(BC56," "&amp;L_ResultBad&amp;" "," ")))/(LEN(L_ResultBad)+1))&gt;SUMPRODUCT((LEN(BC56)-LEN(SUBSTITUTE(BC56," "&amp;L_NegPhrase&amp;" "," ")))/(LEN(L_NegPhrase)+1))),1,0),0)</f>
        <v>0</v>
      </c>
      <c r="BH56" s="61" t="n">
        <f aca="false">IFERROR(IF(SUMPRODUCT((LEN(BC56)-LEN(SUBSTITUTE(BC56," "&amp;L_Pending&amp;" "," ")))/(LEN(L_Pending)+1))&gt;SUMPRODUCT((LEN(BC56)-LEN(SUBSTITUTE(BC56," "&amp;L_PendNeg&amp;" "," ")))/(LEN(L_PendNeg)+1))+SUMPRODUCT((LEN(BC56)-LEN(SUBSTITUTE(BC56," "&amp;L_PendPrep&amp;" "," ")))/(LEN(L_PendPrep)+1)),1,0),1)</f>
        <v>0</v>
      </c>
      <c r="BI56" s="61" t="n">
        <f aca="false">IFERROR(IF(SUMPRODUCT((LEN(BD56)-LEN(SUBSTITUTE(BD56," "&amp;L_PendStrict&amp;" "," ")))/(LEN(L_PendStrict)+1))&gt;SUMPRODUCT((LEN(BD56)-LEN(SUBSTITUTE(BD56," "&amp;L_PendNeg&amp;" "," ")))/(LEN(L_PendNeg)+1)),1,0),1)</f>
        <v>0</v>
      </c>
      <c r="BJ56" s="61" t="n">
        <f aca="false">IFERROR(IF(SUMPRODUCT((LEN(BE56)-LEN(SUBSTITUTE(BE56," "&amp;L_Pending&amp;" "," ")))/(LEN(L_Pending)+1))&gt;SUMPRODUCT((LEN(BE56)-LEN(SUBSTITUTE(BE56," "&amp;L_PendNeg&amp;" "," ")))/(LEN(L_PendNeg)+1))+SUMPRODUCT((LEN(BE56)-LEN(SUBSTITUTE(BE56," "&amp;L_PendPrep&amp;" "," ")))/(LEN(L_PendPrep)+1)),1,0),1)</f>
        <v>0</v>
      </c>
      <c r="BK56" s="61" t="n">
        <f aca="false">IFERROR(IF(SUMPRODUCT((LEN(BF56)-LEN(SUBSTITUTE(BF56," "&amp;L_PendStrict&amp;" "," ")))/(LEN(L_PendStrict)+1))&gt;SUMPRODUCT((LEN(BF56)-LEN(SUBSTITUTE(BF56," "&amp;L_PendNeg&amp;" "," ")))/(LEN(L_PendNeg)+1)),1,0),1)</f>
        <v>0</v>
      </c>
      <c r="BL56" s="61" t="n">
        <f aca="false">IF(ISNA(MATCH(TRIM(S56),L_EvidenceType,0)),0,BZ56)</f>
        <v>0</v>
      </c>
      <c r="BM56" s="61" t="str">
        <f aca="false">SUBSTITUTE(SUBSTITUTE(SUBSTITUTE(SUBSTITUTE(SUBSTITUTE(SUBSTITUTE(SUBSTITUTE(SUBSTITUTE(SUBSTITUTE(LOWER(Z56&amp;""),"1","0"),"2","0"),"3","0"),"4","0"),"5","0"),"6","0"),"7","0"),"8","0"),"9","0")</f>
        <v/>
      </c>
      <c r="BN56" s="61" t="str">
        <f aca="false">SUBSTITUTE(SUBSTITUTE(SUBSTITUTE(SUBSTITUTE(SUBSTITUTE(SUBSTITUTE(SUBSTITUTE(SUBSTITUTE(SUBSTITUTE(SUBSTITUTE(SUBSTITUTE(SUBSTITUTE(SUBSTITUTE(SUBSTITUTE(SUBSTITUTE(SUBSTITUTE(SUBSTITUTE(SUBSTITUTE(SUBSTITUTE(SUBSTITUTE(SUBSTITUTE(SUBSTITUTE(SUBSTITUTE(SUBSTITUTE(SUBSTITUTE(BM56,"b","a"),"c","a"),"d","a"),"e","a"),"f","a"),"g","a"),"h","a"),"i","a"),"j","a"),"k","a"),"l","a"),"m","a"),"n","a"),"o","a"),"p","a"),"q","a"),"r","a"),"s","a"),"t","a"),"u","a"),"v","a"),"w","a"),"x","a"),"y","a"),"z","a")</f>
        <v/>
      </c>
      <c r="BO56" s="61" t="str">
        <f aca="false">SUBSTITUTE(SUBSTITUTE(SUBSTITUTE(SUBSTITUTE(SUBSTITUTE(SUBSTITUTE(SUBSTITUTE(SUBSTITUTE(SUBSTITUTE(LOWER(W56&amp;""),"1","0"),"2","0"),"3","0"),"4","0"),"5","0"),"6","0"),"7","0"),"8","0"),"9","0")</f>
        <v/>
      </c>
      <c r="BP56" s="61" t="str">
        <f aca="false">SUBSTITUTE(SUBSTITUTE(SUBSTITUTE(SUBSTITUTE(SUBSTITUTE(SUBSTITUTE(SUBSTITUTE(SUBSTITUTE(SUBSTITUTE(SUBSTITUTE(SUBSTITUTE(SUBSTITUTE(SUBSTITUTE(SUBSTITUTE(SUBSTITUTE(SUBSTITUTE(SUBSTITUTE(SUBSTITUTE(SUBSTITUTE(SUBSTITUTE(SUBSTITUTE(SUBSTITUTE(SUBSTITUTE(SUBSTITUTE(SUBSTITUTE(BO56,"b","a"),"c","a"),"d","a"),"e","a"),"f","a"),"g","a"),"h","a"),"i","a"),"j","a"),"k","a"),"l","a"),"m","a"),"n","a"),"o","a"),"p","a"),"q","a"),"r","a"),"s","a"),"t","a"),"u","a"),"v","a"),"w","a"),"x","a"),"y","a"),"z","a")</f>
        <v/>
      </c>
      <c r="BQ56" s="61" t="n">
        <f aca="false">IFERROR(IF(AND(ISERROR(SEARCH(" mh"," "&amp;LOWER(W56))),ISNA(MATCH(LEFT(TRIM(BP56),255),{"0000a","000a","00a","0000aa","000aa","00aa","0aa","0000aaa","000aaa","00a00","0a00","0000-0000","00:00","a00","a0","00.00.0000","00/00/0000","00-00-0000","0000-00-00","0000/00/00","0000.00.00","00.00.00","00/00/00","00-00-00","0.00.0000","0/00/0000","0-00-0000"},0)),ISNA(MATCH(LEFT(TRIM(CA56),255),{"0000a","000a","00a","0000aa","000aa","00aa","0aa","0000aaa","000aaa","00a00","0a00","0000-0000","00:00","a00","a0","00.00.0000","00/00/0000","00-00-0000","0000-00-00","0000/00/00","0000.00.00","00.00.00","00/00/00","00-00-00","0.00.0000","0/00/0000","0-00-0000"},0)),LEN(CB56)&gt;=3,NOT(OR(SUBSTITUTE(CB56,"0","")="",AND(LEN(CB56)&gt;=4,CB56=REPT(LEFT(CB56),LEN(CB56))),ISNUMBER(MATCH(CB56,{"123","1234","12345","123456","1234567","12345678","0123","01234","012345","98765","987654","54321"},0)),AND(LEN(CB56)=8,LEFT(CB56,3)="202"))),OR(AND((LEN(CA56)-LEN(SUBSTITUTE(CA56,"a","")))&gt;=1,SUMPRODUCT(--ISNUMBER(SEARCH({"a0","a-0","a_0","a/0","a.0","a#0","0a","0-a","0_a","0/a"},BP56)))&gt;0),ISNUMBER(SEARCH("000000",BP56)))),1,0),0)</f>
        <v>0</v>
      </c>
      <c r="BR56" s="61" t="n">
        <f aca="false">IFERROR(LEN(SUBSTITUTE(CC56," ",""))-SUMPRODUCT((LEN(CC56)-LEN(SUBSTITUTE(CC56," "&amp;L_Role&amp;" "," ")))/(LEN(L_Role)+1)*LEN(L_Role)),0)</f>
        <v>0</v>
      </c>
      <c r="BS56" s="61" t="n">
        <f aca="false">IFERROR(LEN(SUBSTITUTE(CD56," ",""))-SUMPRODUCT((LEN(CD56)-LEN(SUBSTITUTE(CD56," "&amp;L_Role&amp;" "," ")))/(LEN(L_Role)+1)*LEN(L_Role)),0)</f>
        <v>0</v>
      </c>
      <c r="BT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revision",""),"version",""),"jan",""),"feb",""),"mar",""),"apr",""),"may",""),"jun",""),"jul",""),"aug",""),"sep",""),"oct",""),"nov",""),"dec",""),"utc",""),"gmt",""),"myt",""),"bst",""),"rev",""),"ver",""),"b","a"),"c","a"),"d","a"),"e","a"),"f","a"),"g","a"),"h","a"),"i","a"),"j","a"),"k","a"),"l","a"),"m","a"),"n","a"),"o","a"),"p","a"),"q","a"),"r","a"),"s","a"),"t","a"),"u","a"),"v","a"),"w","a"),"x","a"),"y","a"),"z","a")</f>
        <v/>
      </c>
      <c r="BU56" s="61" t="str">
        <f aca="false">SUBSTITUTE(SUBSTITUTE(SUBSTITUTE(SUBSTITUTE(SUBSTITUTE(SUBSTITUTE(SUBSTITUTE(SUBSTITUTE(SUBSTITUTE(SUBSTITUTE(LEFT(BM56,FIND("0",BM56&amp;"0")-1),"-",""),"_",""),"/",""),".",""),"#",""),"\\",""),":","")," ",""),"(",""),")","")</f>
        <v/>
      </c>
      <c r="BV56" s="61" t="n">
        <f aca="false">0</f>
        <v>0</v>
      </c>
      <c r="BW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amp;""),"a",""),"b",""),"c",""),"d",""),"e",""),"f",""),"g",""),"h",""),"i",""),"j",""),"k",""),"l",""),"m",""),"n",""),"o",""),"p",""),"q",""),"r",""),"s",""),"t",""),"u",""),"v",""),"w",""),"x",""),"y",""),"z",""),"-",""),"_",""),"/",""),".",""),"#",""),"\\",""),":","")," ",""),"(",""),")","")</f>
        <v/>
      </c>
      <c r="BX56" s="61" t="str">
        <f aca="false">SUBSTITUTE(SUBSTITUTE(SUBSTITUTE(SUBSTITUTE(SUBSTITUTE(SUBSTITUTE(SUBSTITUTE(SUBSTITUTE(SUBSTITUTE(SUBSTITUTE(SUBSTITUTE(BM56,"0",""),"-",""),"_",""),"/",""),".",""),"#",""),"\\",""),":","")," ",""),"(",""),")","")</f>
        <v/>
      </c>
      <c r="BY56" s="62" t="n">
        <f aca="false">Q56-T12EarlyH/24</f>
        <v>46303.5763888889</v>
      </c>
      <c r="BZ56" s="61" t="n">
        <f aca="false">IFERROR(IF(IF(TRIM(S56)="Link / file path",AND(LEN(TRIM(Z56))&gt;=5,SUMPRODUCT(--ISNUMBER(SEARCH({"http","www.","\\",":\",".pdf",".jpg",".jpeg",".png",".heic",".xls",".doc",".msg",".eml",".ppt",".txt",".zip"},Z56)))&gt;0),AND(ISERROR(FIND(" ",TRIM(Z56))),NOT(OR(SUMPRODUCT(--ISNUMBER(FIND({",",";","&amp;","+"},Z56)))&gt;0,SUMPRODUCT(--ISNUMBER(SEARCH({"0/aa","0\\aa"},BN56)))&gt;0)),NOT(SUMPRODUCT(--ISNUMBER(SEARCH({"http","www.","\\",":\",".pdf",".jpg",".jpeg",".png",".heic",".xls",".doc",".msg",".eml",".ppt",".txt",".zip"},Z56)))&gt;0),NOT(LOWER(TRIM(Z56))=LOWER(Flights!$F$6)),ISNA(MATCH(BU56,{"mh","rev","revision","ver","version","v","r","a","b","seat","tray","row","gate","bay","stand","page","pg","item","line","no","cart","galley","flight","flt","table","box","bag","oven","etd","eta","std","sta","atd","ata","qty","pax","x","time","tel","ph","mob","day","wk","week","utc","gmt","myt","lt"},0)),NOT(OR(ISNUMBER(MATCH(LEFT(BN56,255),{"0000a","000a","00a","0000aa","000aa","00aa","0aa","0000aaa","000aaa","00a00","0a00","0000-0000","00:00","a00","a0","00.00.0000","00/00/0000","00-00-0000","0000-00-00","0000/00/00","0000.00.00","00.00.00","00/00/00","00-00-00","0.00.0000","0/00/0000","0-00-0000"},0)),ISNUMBER(MATCH(LEFT(BT56,255),{"0000a","000a","00a","0000aa","000aa","00aa","0aa","0000aaa","000aaa","00a00","0a00","0000-0000","00:00","a00","a0","00.00.0000","00/00/0000","00-00-0000","0000-00-00","0000/00/00","0000.00.00","00.00.00","00/00/00","00-00-00","0.00.0000","0/00/0000","0-00-0000"},0)))),NOT(OR(AND(BW56&lt;&gt;"",SUBSTITUTE(BW56,"0","")=""),AND(LEN(BW56)&gt;=4,BW56=REPT(LEFT(BW56),LEN(BW56))),ISNUMBER(MATCH(BW56,{"123","1234","12345","123456","1234567","12345678","0123","01234","012345","98765","987654","54321"},0)),ISNUMBER(MATCH(BX56,{"x","xx","xxx","xxxx","xxxxx","abc","abcd","nil","na","nan","test","tbc","tba","tbd","dummy","sample","example","eg","zz","zzz","none","null","xyz","qwe","asd","id","ref"},0)),AND(LEN(BW56)=8,BX56="",OR(LEFT(BW56,3)="202",ISNUMBER(MATCH(RIGHT(BW56,4),{"2025","2026","2027"},0)))))),OR(AND((LEN(BT56)-LEN(SUBSTITUTE(BT56,"a","")))&gt;=1,(LEN(BN56)-LEN(SUBSTITUTE(BN56,"0","")))&gt;=2,SUMPRODUCT(--ISNUMBER(SEARCH({"a0","a-0","a_0","a/0","a.0","a#0","0a","0-a","0_a","0/a"},BN56)))&gt;0),AND((LEN(BN56)-LEN(SUBSTITUTE(BN56,"a","")))=0,(LEN(BN56)-LEN(SUBSTITUTE(BN56,"0","")))&gt;=5)))),1,0),0)</f>
        <v>0</v>
      </c>
      <c r="CA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revision",""),"version",""),"jan",""),"feb",""),"mar",""),"apr",""),"may",""),"jun",""),"jul",""),"aug",""),"sep",""),"oct",""),"nov",""),"dec",""),"utc",""),"gmt",""),"myt",""),"bst",""),"rev",""),"ver",""),"b","a"),"c","a"),"d","a"),"e","a"),"f","a"),"g","a"),"h","a"),"i","a"),"j","a"),"k","a"),"l","a"),"m","a"),"n","a"),"o","a"),"p","a"),"q","a"),"r","a"),"s","a"),"t","a"),"u","a"),"v","a"),"w","a"),"x","a"),"y","a"),"z","a")</f>
        <v/>
      </c>
      <c r="CB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amp;""),"a",""),"b",""),"c",""),"d",""),"e",""),"f",""),"g",""),"h",""),"i",""),"j",""),"k",""),"l",""),"m",""),"n",""),"o",""),"p",""),"q",""),"r",""),"s",""),"t",""),"u",""),"v",""),"w",""),"x",""),"y",""),"z",""),"-",""),"_",""),"/",""),".",""),"#",""),"\\",""),":","")," ",""),"(",""),")","")</f>
        <v/>
      </c>
      <c r="CC56" s="0" t="str">
        <f aca="false">" "&amp;TRIM(SUBSTITUTE(SUBSTITUTE(SUBSTITUTE(SUBSTITUTE(SUBSTITUTE(SUBSTITUTE(SUBSTITUTE(SUBSTITUTE(SUBSTITUTE(SUBSTITUTE(SUBSTITUTE(SUBSTITUTE(SUBSTITUTE(SUBSTITUTE(SUBSTITUTE(SUBSTITUTE(SUBSTITUTE(SUBSTITUTE(SUBSTITUTE(SUBSTITUTE(SUBSTITUTE(SUBSTITUTE(SUBSTITUTE(SUBSTITUTE(LOWER(T56&amp;""),CHAR(10)," "),CHAR(13)," "),CHAR(9)," "),CHAR(160)," "),"."," "),","," "),"-"," "),"/"," "),"("," "),")"," "),":"," "),";"," "),"_"," "),"–"," "),"?"," "),"!"," "),"*"," "),"["," "),"]"," "),"'"," "),"#"," "),"+"," "),"&amp;"," "),"\"," "))&amp;" "</f>
        <v>  </v>
      </c>
      <c r="CD56" s="0" t="str">
        <f aca="false">" "&amp;TRIM(SUBSTITUTE(SUBSTITUTE(SUBSTITUTE(SUBSTITUTE(SUBSTITUTE(SUBSTITUTE(SUBSTITUTE(SUBSTITUTE(SUBSTITUTE(SUBSTITUTE(SUBSTITUTE(SUBSTITUTE(SUBSTITUTE(SUBSTITUTE(SUBSTITUTE(SUBSTITUTE(SUBSTITUTE(SUBSTITUTE(SUBSTITUTE(SUBSTITUTE(SUBSTITUTE(SUBSTITUTE(SUBSTITUTE(SUBSTITUTE(LOWER(AE56&amp;""),CHAR(10)," "),CHAR(13)," "),CHAR(9)," "),CHAR(160)," "),"."," "),","," "),"-"," "),"/"," "),"("," "),")"," "),":"," "),";"," "),"_"," "),"–"," "),"?"," "),"!"," "),"*"," "),"["," "),"]"," "),"'"," "),"#"," "),"+"," "),"&amp;"," "),"\"," "))&amp;" "</f>
        <v>  </v>
      </c>
      <c r="CE56" s="68" t="n">
        <f aca="false">IFERROR(IF(AND(LEN(AU56)&gt;0,LEN(AU56)=LEN(AX56),OR(TRIM(MID(SUBSTITUTE(TRIM(CC56)," ",REPT(" ",60)),1,60))="",ISNUMBER(SEARCH(" "&amp;TRIM(MID(SUBSTITUTE(TRIM(CC56)," ",REPT(" ",60)),1,60))&amp;" ",CD56))),OR(TRIM(MID(SUBSTITUTE(TRIM(CC56)," ",REPT(" ",60)),61,60))="",ISNUMBER(SEARCH(" "&amp;TRIM(MID(SUBSTITUTE(TRIM(CC56)," ",REPT(" ",60)),61,60))&amp;" ",CD56))),OR(TRIM(MID(SUBSTITUTE(TRIM(CC56)," ",REPT(" ",60)),121,60))="",ISNUMBER(SEARCH(" "&amp;TRIM(MID(SUBSTITUTE(TRIM(CC56)," ",REPT(" ",60)),121,60))&amp;" ",CD56)))),1,0),0)</f>
        <v>0</v>
      </c>
      <c r="CG56" s="68" t="n">
        <f aca="false">IFERROR(LEN(SUBSTITUTE(BF56," ",""))-SUMPRODUCT((LEN(BF56)-LEN(SUBSTITUTE(BF56," "&amp;L_NAFiller&amp;" "," ")))/(LEN(L_NAFiller)+1)*LEN(L_NAFiller)),0)</f>
        <v>0</v>
      </c>
    </row>
    <row r="57" customFormat="false" ht="39.75" hidden="false" customHeight="true" outlineLevel="0" collapsed="false">
      <c r="A57" s="57" t="s">
        <v>531</v>
      </c>
      <c r="B57" s="57" t="s">
        <v>198</v>
      </c>
      <c r="C57" s="57" t="str">
        <f aca="false">Flights!$F$6</f>
        <v>MH0727</v>
      </c>
      <c r="D57" s="58" t="n">
        <f aca="false">Flights!$D$6</f>
        <v>46304</v>
      </c>
      <c r="E57" s="57" t="str">
        <f aca="false">Flights!$G$6&amp;"-"&amp;Flights!$H$6</f>
        <v>KUL-CGK</v>
      </c>
      <c r="F57" s="57" t="str">
        <f aca="false">Flights!$K$6</f>
        <v>BC</v>
      </c>
      <c r="G57" s="57" t="s">
        <v>459</v>
      </c>
      <c r="H57" s="57" t="s">
        <v>460</v>
      </c>
      <c r="I57" s="57" t="s">
        <v>379</v>
      </c>
      <c r="J57" s="57" t="s">
        <v>461</v>
      </c>
      <c r="K57" s="67" t="s">
        <v>426</v>
      </c>
      <c r="L57" s="67" t="s">
        <v>462</v>
      </c>
      <c r="M57" s="67"/>
      <c r="N57" s="67" t="s">
        <v>383</v>
      </c>
      <c r="O57" s="67" t="s">
        <v>463</v>
      </c>
      <c r="P57" s="57" t="s">
        <v>187</v>
      </c>
      <c r="Q57" s="59" t="n">
        <f aca="false">ROUND((Flights!$AF$6)*1440,0)/1440</f>
        <v>46304.5763888889</v>
      </c>
      <c r="R57" s="59" t="n">
        <f aca="false">Q57+(IF(AND(INDEX(TZ_DSTS,MATCH(P57,TZ_STN,0))&lt;&gt;"",Q57&gt;=INDEX(TZ_DSTS,MATCH(P57,TZ_STN,0)),Q57&lt;INDEX(TZ_DSTE,MATCH(P57,TZ_STN,0))),INDEX(TZ_DST,MATCH(P57,TZ_STN,0)),INDEX(TZ_STD,MATCH(P57,TZ_STN,0))))/24</f>
        <v>46304.9097222222</v>
      </c>
      <c r="S57" s="60"/>
      <c r="T57" s="60"/>
      <c r="U57" s="60"/>
      <c r="V57" s="60"/>
      <c r="W57" s="61"/>
      <c r="X57" s="60"/>
      <c r="Y57" s="60"/>
      <c r="Z57" s="60"/>
      <c r="AA57" s="60"/>
      <c r="AB57" s="60"/>
      <c r="AC57" s="60"/>
      <c r="AD57" s="66"/>
      <c r="AE57" s="60"/>
      <c r="AF57" s="61" t="str">
        <f aca="false">IF(AND(ISNUMBER(X57),ISNUMBER(Y57)),Y57-X57,"")</f>
        <v/>
      </c>
      <c r="AG57" s="62" t="str">
        <f aca="false">IF(ISNUMBER(AD57),AD57-(IF(AND(INDEX(TZ_DSTS,MATCH(P57,TZ_STN,0))&lt;&gt;"",(AD57-INDEX(TZ_STD,MATCH(P57,TZ_STN,0))/24)&gt;=INDEX(TZ_DSTS,MATCH(P57,TZ_STN,0)),(AD57-INDEX(TZ_STD,MATCH(P57,TZ_STN,0))/24)&lt;INDEX(TZ_DSTE,MATCH(P57,TZ_STN,0))),INDEX(TZ_DST,MATCH(P57,TZ_STN,0)),INDEX(TZ_STD,MATCH(P57,TZ_STN,0))))/24,"")</f>
        <v/>
      </c>
      <c r="AH57" s="65" t="str">
        <f aca="false">IFERROR(IF(N57="N/A – rule",IF(OR(TRIM(U57)="",TRIM(U57)="N/A",TRIM(U57)="Not started"),"N/A – RULE","INVALID – this check does not apply to this aircraft: clear the status (or correct the fleet on Flights)"),IF(TRIM(U57)="N/A",IF(AT57=0,"INVALID – N/A not permitted for this check",IF(AND(TRIM(AB57)&lt;&gt;"",TRIM(AB57)&lt;&gt;"Closed"),"INVALID – corrective action still open",IF(AND(NOT(OR(LEN(AZ57)&lt;15,ISNUMBER(MATCH(AZ57,L_Placeholder,0)))),BK57=0,CG57&gt;=8,NOT(OR(LEN(AU57)&lt;2,ISNUMBER(MATCH(AU57,L_Placeholder,0)))),BR57&gt;=3,NOT(OR(LEN(AX57)&lt;2,ISNUMBER(MATCH(AX57,L_Placeholder,0)))),BS57&gt;=3,TRIM(AE57)&lt;&gt;TRIM(T57),AX57&lt;&gt;AU57,CE57=0),"N/A – JUSTIFIED","INVALID – N/A needs a real, settled reason (not 'not applicable' / 'as above' / TBC), a named PIC and a different named verifier"))),IF(OR(TRIM(U57)="Pass",TRIM(U57)="Pass after CA"),IF(NOT(ISNUMBER(AD57)),"INVALID – completion time missing",IF(OR(OR(LEN(AU57)&lt;2,ISNUMBER(MATCH(AU57,L_Placeholder,0))),BR57&lt;3),"INVALID – PIC missing or not a named person (a role such as QA / CSM is not a name)",IF(OR(LEN(AV57)&lt;2,ISNUMBER(MATCH(AV57,L_Placeholder,0))),"INVALID – result / assessment missing",IF(OR(OR(LEN(AW57)&lt;3,ISNUMBER(MATCH(AW57,L_Placeholder,0))),SUMPRODUCT(--ISNUMBER(SEARCH(" "&amp;L_EvidencePhrase&amp;" ",BD57)))&gt;0,BI57=1),"INVALID – evidence missing, placeholder or not yet on file",IF(ISNA(MATCH(TRIM(S57),L_EvidenceType,0)),"INVALID – choose the evidence type from the list (column S)",IF(BL57=0,"INVALID – evidence ID must be the record's own ID only (e.g. SF-2210, IMG_2231, 1045521); a link / file name needs type 'Link / file path'",IF(OR(OR(LEN(AX57)&lt;2,ISNUMBER(MATCH(AX57,L_Placeholder,0))),BS57&lt;3),"INVALID – verifier missing or not a named person (a role such as QA / CSM is not a name)",IF(OR(AX57=AU57,CE57=1,AND(LEN(AU57)&gt;=4,ISNUMBER(SEARCH(AU57,AX57))),AND(LEN(AX57)&gt;=4,ISNUMBER(SEARCH(AX57,AU57)))),"INVALID – verifier must be a different, named person (not the PIC or a role)",IF(BH57=1,"INVALID – result not yet available (awaiting / TBC)",IF(BG57=1,"INVALID – result describes a problem: record Fail, then Pass after CA (or reword if it is not a problem)",IF(BV57=1,"INVALID – wording says not on board: an on-board confirmation needs the item loaded",IF(AND(AQ57=1,OR(OR(LEN(AY57)&lt;3,ISNUMBER(MATCH(AY57,L_Placeholder,0))),BJ57=1,BQ57=0)),"INVALID – batch ID missing, placeholder or not an ID (e.g. PASB-261008-BC-017)",IF(AND(AR57=1,OR(NOT(ISNUMBER(X57)),NOT(ISNUMBER(Y57)))),"INVALID – expected/actual qty missing",IF(AND(AR57=1,OR(X57&lt;=0,Y57&lt;0)),"INVALID – expected qty must be above 0 and actual not negative",IF(AH41="N/A – JUSTIFIED","INVALID – preparation row F02-T12-02 is N/A",IF(AND(AR57=1,ISNUMBER(X41),X57&lt;&gt;X41,TRIM(U57)&lt;&gt;"Pass after CA"),"INVALID – expected qty differs from preparation check F02-T12-02: record the load change as a corrective action (Pass after CA)",IF(BB57&lt;&gt;"",BB57,IF(AND(AS57=1,Documents!$J$6&lt;&gt;"ON FILE"),"INVALID – GLD not on file (Documents sheet)",IF(AND(AS57=2,Documents!$O$6&lt;&gt;"ON FILE"),"INVALID – menu checklist not on file (Documents sheet)",IF(AND(AS57=3,NOT(ISNUMBER(Flights!$AX$6))),"INVALID – enter carrying flight KUL departure (Flights AX)",IF(AND(AS57=3,OR(Flights!$AZ$6&gt;Flights!$AA$6,Flights!$AX$6&lt;Flights!$AA$6-3)),"INVALID – carrying flight (Flights AX) cannot arrive before this leg's STD, or is over 3 days early",IF(AG57&gt;AsOfUTC,"INVALID – completion time is in the future",IF(AND(ISNUMBER(BY57),AG57&lt;BY57),IF(H57="Physical uplift","INVALID – before uplift window (cannot confirm loading)","INVALID – before valid window"),IF(AG57&gt;Flights!$AA$6,"INVALID – completed after departure (cannot establish readiness)",IF(AND(H57="Preparation",AG57&gt;=IF(ISNUMBER(Flights!$BA$6),MIN(Flights!$BA$6,Flights!$AA$6),Flights!$AA$6)),"INVALID – completed after loading / departure (cannot establish readiness)",IF(AND(H57="Physical uplift",AG57&gt;Q57),"INVALID – recorded after the loading flight departed",IF(AG57&gt;Q57,"COMPLETE – LATE","COMPLETE"))))))))))))))))))))))))))),IF(TRIM(U57)="Fail","FAIL – DISCREPANCY",IF(AND(TRIM(U57)&lt;&gt;"",TRIM(U57)&lt;&gt;"Not started",TRIM(U57)&lt;&gt;"In progress"),"INVALID – unrecognised status (use the list)",IF(AsOfUTC&gt;Q57,"OVERDUE",IF(N57="Clarification required","OPEN – CLARIFICATION","OPEN"))))))),"INVALID – error value in an input cell")</f>
        <v>OPEN</v>
      </c>
      <c r="AI57" s="61" t="n">
        <f aca="false">IF(OR(AH57="N/A – RULE",AH57="N/A – JUSTIFIED"),0,1)</f>
        <v>1</v>
      </c>
      <c r="AJ57" s="61" t="n">
        <f aca="false">IF(LEFT(AH57,8)="COMPLETE",1,0)</f>
        <v>0</v>
      </c>
      <c r="AK57" s="61" t="n">
        <f aca="false">IF(AND(AI57=1,AJ57=0,AsOfUTC&gt;Q57),1,0)</f>
        <v>0</v>
      </c>
      <c r="AL57" s="61" t="n">
        <f aca="false">IFERROR(IF(AND(AI57=1,OR(TRIM(U57)="Fail",AND(TRIM(AB57)&lt;&gt;"",TRIM(AB57)&lt;&gt;"Closed"),AND(ISNUMBER(AF57),AF57&lt;&gt;0,TRIM(U57)&lt;&gt;"Pass after CA"))),1,0),1)</f>
        <v>0</v>
      </c>
      <c r="AM57" s="61" t="n">
        <f aca="false">IF(LEFT(AH57,7)="INVALID",1,0)</f>
        <v>0</v>
      </c>
      <c r="AN57" s="61" t="n">
        <f aca="false">IF(AND(N57="Clarification required",AI57=1,AJ57=0),1,0)</f>
        <v>0</v>
      </c>
      <c r="AO57" s="61" t="str">
        <f aca="false">IF(AK57=1,SUM(AK$5:AK57),"")</f>
        <v/>
      </c>
      <c r="AP57" s="61" t="str">
        <f aca="false">IF(AL57=1,SUM(AL$5:AL57),"")</f>
        <v/>
      </c>
      <c r="AQ57" s="61" t="n">
        <v>0</v>
      </c>
      <c r="AR57" s="61" t="n">
        <v>1</v>
      </c>
      <c r="AS57" s="61" t="n">
        <v>0</v>
      </c>
      <c r="AT57" s="61" t="n">
        <v>0</v>
      </c>
      <c r="AU57" s="61" t="str">
        <f aca="false">SUBSTITUTE(SUBSTITUTE(SUBSTITUTE(SUBSTITUTE(SUBSTITUTE(SUBSTITUTE(SUBSTITUTE(SUBSTITUTE(SUBSTITUTE(SUBSTITUTE(SUBSTITUTE(SUBSTITUTE(SUBSTITUTE(SUBSTITUTE(SUBSTITUTE(SUBSTITUTE(LOWER(T57&amp;""),CHAR(10),""),CHAR(13),""),CHAR(9),""),CHAR(160),"")," ",""),".",""),"-",""),"/",""),"?",""),"_",""),",",""),"[",""),"]",""),"(",""),")",""),"*","")</f>
        <v/>
      </c>
      <c r="AV57" s="61" t="str">
        <f aca="false">SUBSTITUTE(SUBSTITUTE(SUBSTITUTE(SUBSTITUTE(SUBSTITUTE(SUBSTITUTE(SUBSTITUTE(SUBSTITUTE(SUBSTITUTE(SUBSTITUTE(SUBSTITUTE(SUBSTITUTE(SUBSTITUTE(SUBSTITUTE(SUBSTITUTE(SUBSTITUTE(LOWER(V57&amp;""),CHAR(10),""),CHAR(13),""),CHAR(9),""),CHAR(160),"")," ",""),".",""),"-",""),"/",""),"?",""),"_",""),",",""),"[",""),"]",""),"(",""),")",""),"*","")</f>
        <v/>
      </c>
      <c r="AW57" s="61" t="str">
        <f aca="false">SUBSTITUTE(SUBSTITUTE(SUBSTITUTE(SUBSTITUTE(SUBSTITUTE(SUBSTITUTE(SUBSTITUTE(SUBSTITUTE(SUBSTITUTE(SUBSTITUTE(SUBSTITUTE(SUBSTITUTE(SUBSTITUTE(SUBSTITUTE(SUBSTITUTE(SUBSTITUTE(LOWER(Z57&amp;""),CHAR(10),""),CHAR(13),""),CHAR(9),""),CHAR(160),"")," ",""),".",""),"-",""),"/",""),"?",""),"_",""),",",""),"[",""),"]",""),"(",""),")",""),"*","")</f>
        <v/>
      </c>
      <c r="AX57" s="61" t="str">
        <f aca="false">SUBSTITUTE(SUBSTITUTE(SUBSTITUTE(SUBSTITUTE(SUBSTITUTE(SUBSTITUTE(SUBSTITUTE(SUBSTITUTE(SUBSTITUTE(SUBSTITUTE(SUBSTITUTE(SUBSTITUTE(SUBSTITUTE(SUBSTITUTE(SUBSTITUTE(SUBSTITUTE(LOWER(AE57&amp;""),CHAR(10),""),CHAR(13),""),CHAR(9),""),CHAR(160),"")," ",""),".",""),"-",""),"/",""),"?",""),"_",""),",",""),"[",""),"]",""),"(",""),")",""),"*","")</f>
        <v/>
      </c>
      <c r="AY57" s="61" t="str">
        <f aca="false">SUBSTITUTE(SUBSTITUTE(SUBSTITUTE(SUBSTITUTE(SUBSTITUTE(SUBSTITUTE(SUBSTITUTE(SUBSTITUTE(SUBSTITUTE(SUBSTITUTE(SUBSTITUTE(SUBSTITUTE(SUBSTITUTE(SUBSTITUTE(SUBSTITUTE(SUBSTITUTE(LOWER(W57&amp;""),CHAR(10),""),CHAR(13),""),CHAR(9),""),CHAR(160),"")," ",""),".",""),"-",""),"/",""),"?",""),"_",""),",",""),"[",""),"]",""),"(",""),")",""),"*","")</f>
        <v/>
      </c>
      <c r="AZ57" s="61" t="str">
        <f aca="false">SUBSTITUTE(SUBSTITUTE(SUBSTITUTE(SUBSTITUTE(SUBSTITUTE(SUBSTITUTE(SUBSTITUTE(SUBSTITUTE(SUBSTITUTE(SUBSTITUTE(SUBSTITUTE(SUBSTITUTE(SUBSTITUTE(SUBSTITUTE(SUBSTITUTE(SUBSTITUTE(LOWER(AC57&amp;""),CHAR(10),""),CHAR(13),""),CHAR(9),""),CHAR(160),"")," ",""),".",""),"-",""),"/",""),"?",""),"_",""),",",""),"[",""),"]",""),"(",""),")",""),"*","")</f>
        <v/>
      </c>
      <c r="BA57" s="61" t="str">
        <f aca="false">SUBSTITUTE(SUBSTITUTE(SUBSTITUTE(SUBSTITUTE(SUBSTITUTE(SUBSTITUTE(SUBSTITUTE(SUBSTITUTE(SUBSTITUTE(SUBSTITUTE(SUBSTITUTE(SUBSTITUTE(SUBSTITUTE(SUBSTITUTE(SUBSTITUTE(SUBSTITUTE(LOWER(AA57&amp;""),CHAR(10),""),CHAR(13),""),CHAR(9),""),CHAR(160),"")," ",""),".",""),"-",""),"/",""),"?",""),"_",""),",",""),"[",""),"]",""),"(",""),")",""),"*","")</f>
        <v/>
      </c>
      <c r="BB57" s="61" t="str">
        <f aca="false">IF(AND(TRIM(U57)="Pass",ISNUMBER(AF57)),IF(AF57&lt;&gt;0,"INVALID – qty variance: use Fail or Pass after CA",""),"")&amp;IF(AND(TRIM(U57)="Pass after CA",ISNUMBER(AF57)),IF(AF57&lt;&gt;0,"INVALID – after the corrective action the actual qty must equal expected (update Actual)",""),"")&amp;IF(AND(TRIM(U57)="Pass",TRIM(AB57)&lt;&gt;"",TRIM(AB57)&lt;&gt;"Closed"),"INVALID – corrective action not closed: use Fail, then Pass after CA","")&amp;IF(AND(LEN(BA57)&gt;=2,ISNA(MATCH(LEFT(BA57,255),L_Placeholder,0)),TRIM(AB57)=""),"INVALID – CA status missing for the recorded corrective action","")&amp;IF(AND(TRIM(U57)="Pass after CA",OR(OR(LEN(BA57)&lt;5,ISNUMBER(MATCH(BA57,L_Placeholder,0))),TRIM(AB57)&lt;&gt;"Closed")),"INVALID – corrective action not recorded/closed","")</f>
        <v/>
      </c>
      <c r="BC57" s="61" t="str">
        <f aca="false">" "&amp;TRIM(SUBSTITUTE(SUBSTITUTE(SUBSTITUTE(SUBSTITUTE(SUBSTITUTE(SUBSTITUTE(SUBSTITUTE(SUBSTITUTE(SUBSTITUTE(SUBSTITUTE(SUBSTITUTE(SUBSTITUTE(SUBSTITUTE(SUBSTITUTE(SUBSTITUTE(SUBSTITUTE(SUBSTITUTE(SUBSTITUTE(SUBSTITUTE(SUBSTITUTE(SUBSTITUTE(SUBSTITUTE(SUBSTITUTE(SUBSTITUTE(LOWER(V57&amp;""),CHAR(10)," "),CHAR(13)," "),CHAR(9)," "),CHAR(160)," "),"."," "),","," "),"-"," "),"/"," "),"("," "),")"," "),":"," "),";"," "),"_"," "),"–"," "),"?"," "),"!"," "),"*"," "),"["," "),"]"," "),"'"," "),"#"," "),"+"," "),"&amp;"," "),"\"," "))&amp;" "</f>
        <v>  </v>
      </c>
      <c r="BD57" s="61" t="str">
        <f aca="false">" "&amp;TRIM(SUBSTITUTE(SUBSTITUTE(SUBSTITUTE(SUBSTITUTE(SUBSTITUTE(SUBSTITUTE(SUBSTITUTE(SUBSTITUTE(SUBSTITUTE(SUBSTITUTE(SUBSTITUTE(SUBSTITUTE(SUBSTITUTE(SUBSTITUTE(SUBSTITUTE(SUBSTITUTE(SUBSTITUTE(SUBSTITUTE(SUBSTITUTE(SUBSTITUTE(SUBSTITUTE(SUBSTITUTE(SUBSTITUTE(SUBSTITUTE(LOWER(Z57&amp;""),CHAR(10)," "),CHAR(13)," "),CHAR(9)," "),CHAR(160)," "),"."," "),","," "),"-"," "),"/"," "),"("," "),")"," "),":"," "),";"," "),"_"," "),"–"," "),"?"," "),"!"," "),"*"," "),"["," "),"]"," "),"'"," "),"#"," "),"+"," "),"&amp;"," "),"\"," "))&amp;" "</f>
        <v>  </v>
      </c>
      <c r="BE57" s="61" t="str">
        <f aca="false">" "&amp;TRIM(SUBSTITUTE(SUBSTITUTE(SUBSTITUTE(SUBSTITUTE(SUBSTITUTE(SUBSTITUTE(SUBSTITUTE(SUBSTITUTE(SUBSTITUTE(SUBSTITUTE(SUBSTITUTE(SUBSTITUTE(SUBSTITUTE(SUBSTITUTE(SUBSTITUTE(SUBSTITUTE(SUBSTITUTE(SUBSTITUTE(SUBSTITUTE(SUBSTITUTE(SUBSTITUTE(SUBSTITUTE(SUBSTITUTE(SUBSTITUTE(LOWER(W57&amp;""),CHAR(10)," "),CHAR(13)," "),CHAR(9)," "),CHAR(160)," "),"."," "),","," "),"-"," "),"/"," "),"("," "),")"," "),":"," "),";"," "),"_"," "),"–"," "),"?"," "),"!"," "),"*"," "),"["," "),"]"," "),"'"," "),"#"," "),"+"," "),"&amp;"," "),"\"," "))&amp;" "</f>
        <v>  </v>
      </c>
      <c r="BF57" s="61" t="str">
        <f aca="false">" "&amp;TRIM(SUBSTITUTE(SUBSTITUTE(SUBSTITUTE(SUBSTITUTE(SUBSTITUTE(SUBSTITUTE(SUBSTITUTE(SUBSTITUTE(SUBSTITUTE(SUBSTITUTE(SUBSTITUTE(SUBSTITUTE(SUBSTITUTE(SUBSTITUTE(SUBSTITUTE(SUBSTITUTE(SUBSTITUTE(SUBSTITUTE(SUBSTITUTE(SUBSTITUTE(SUBSTITUTE(SUBSTITUTE(SUBSTITUTE(SUBSTITUTE(LOWER(AC57&amp;""),CHAR(10)," "),CHAR(13)," "),CHAR(9)," "),CHAR(160)," "),"."," "),","," "),"-"," "),"/"," "),"("," "),")"," "),":"," "),";"," "),"_"," "),"–"," "),"?"," "),"!"," "),"*"," "),"["," "),"]"," "),"'"," "),"#"," "),"+"," "),"&amp;"," "),"\"," "))&amp;" "</f>
        <v>  </v>
      </c>
      <c r="BG57" s="61" t="n">
        <f aca="false">IFERROR(IF(AND(TRIM(U57)="Pass",SUMPRODUCT((LEN(BC57)-LEN(SUBSTITUTE(BC57," "&amp;L_ResultBad&amp;" "," ")))/(LEN(L_ResultBad)+1))&gt;SUMPRODUCT((LEN(BC57)-LEN(SUBSTITUTE(BC57," "&amp;L_NegPhrase&amp;" "," ")))/(LEN(L_NegPhrase)+1))),1,0),0)</f>
        <v>0</v>
      </c>
      <c r="BH57" s="61" t="n">
        <f aca="false">IFERROR(IF(SUMPRODUCT((LEN(BC57)-LEN(SUBSTITUTE(BC57," "&amp;L_Pending&amp;" "," ")))/(LEN(L_Pending)+1))&gt;SUMPRODUCT((LEN(BC57)-LEN(SUBSTITUTE(BC57," "&amp;L_PendNeg&amp;" "," ")))/(LEN(L_PendNeg)+1)),1,0),1)</f>
        <v>0</v>
      </c>
      <c r="BI57" s="61" t="n">
        <f aca="false">IFERROR(IF(SUMPRODUCT((LEN(BD57)-LEN(SUBSTITUTE(BD57," "&amp;L_PendStrict&amp;" "," ")))/(LEN(L_PendStrict)+1))&gt;SUMPRODUCT((LEN(BD57)-LEN(SUBSTITUTE(BD57," "&amp;L_PendNeg&amp;" "," ")))/(LEN(L_PendNeg)+1)),1,0),1)</f>
        <v>0</v>
      </c>
      <c r="BJ57" s="61" t="n">
        <f aca="false">IFERROR(IF(SUMPRODUCT((LEN(BE57)-LEN(SUBSTITUTE(BE57," "&amp;L_Pending&amp;" "," ")))/(LEN(L_Pending)+1))&gt;SUMPRODUCT((LEN(BE57)-LEN(SUBSTITUTE(BE57," "&amp;L_PendNeg&amp;" "," ")))/(LEN(L_PendNeg)+1)),1,0),1)</f>
        <v>0</v>
      </c>
      <c r="BK57" s="61" t="n">
        <f aca="false">IFERROR(IF(SUMPRODUCT((LEN(BF57)-LEN(SUBSTITUTE(BF57," "&amp;L_PendStrict&amp;" "," ")))/(LEN(L_PendStrict)+1))&gt;SUMPRODUCT((LEN(BF57)-LEN(SUBSTITUTE(BF57," "&amp;L_PendNeg&amp;" "," ")))/(LEN(L_PendNeg)+1)),1,0),1)</f>
        <v>0</v>
      </c>
      <c r="BL57" s="61" t="n">
        <f aca="false">IF(ISNA(MATCH(TRIM(S57),L_EvidenceType,0)),0,BZ57)</f>
        <v>0</v>
      </c>
      <c r="BM57" s="61" t="str">
        <f aca="false">SUBSTITUTE(SUBSTITUTE(SUBSTITUTE(SUBSTITUTE(SUBSTITUTE(SUBSTITUTE(SUBSTITUTE(SUBSTITUTE(SUBSTITUTE(LOWER(Z57&amp;""),"1","0"),"2","0"),"3","0"),"4","0"),"5","0"),"6","0"),"7","0"),"8","0"),"9","0")</f>
        <v/>
      </c>
      <c r="BN57" s="61" t="str">
        <f aca="false">SUBSTITUTE(SUBSTITUTE(SUBSTITUTE(SUBSTITUTE(SUBSTITUTE(SUBSTITUTE(SUBSTITUTE(SUBSTITUTE(SUBSTITUTE(SUBSTITUTE(SUBSTITUTE(SUBSTITUTE(SUBSTITUTE(SUBSTITUTE(SUBSTITUTE(SUBSTITUTE(SUBSTITUTE(SUBSTITUTE(SUBSTITUTE(SUBSTITUTE(SUBSTITUTE(SUBSTITUTE(SUBSTITUTE(SUBSTITUTE(SUBSTITUTE(BM57,"b","a"),"c","a"),"d","a"),"e","a"),"f","a"),"g","a"),"h","a"),"i","a"),"j","a"),"k","a"),"l","a"),"m","a"),"n","a"),"o","a"),"p","a"),"q","a"),"r","a"),"s","a"),"t","a"),"u","a"),"v","a"),"w","a"),"x","a"),"y","a"),"z","a")</f>
        <v/>
      </c>
      <c r="BO57" s="61" t="str">
        <f aca="false">SUBSTITUTE(SUBSTITUTE(SUBSTITUTE(SUBSTITUTE(SUBSTITUTE(SUBSTITUTE(SUBSTITUTE(SUBSTITUTE(SUBSTITUTE(LOWER(W57&amp;""),"1","0"),"2","0"),"3","0"),"4","0"),"5","0"),"6","0"),"7","0"),"8","0"),"9","0")</f>
        <v/>
      </c>
      <c r="BP57" s="61" t="str">
        <f aca="false">SUBSTITUTE(SUBSTITUTE(SUBSTITUTE(SUBSTITUTE(SUBSTITUTE(SUBSTITUTE(SUBSTITUTE(SUBSTITUTE(SUBSTITUTE(SUBSTITUTE(SUBSTITUTE(SUBSTITUTE(SUBSTITUTE(SUBSTITUTE(SUBSTITUTE(SUBSTITUTE(SUBSTITUTE(SUBSTITUTE(SUBSTITUTE(SUBSTITUTE(SUBSTITUTE(SUBSTITUTE(SUBSTITUTE(SUBSTITUTE(SUBSTITUTE(BO57,"b","a"),"c","a"),"d","a"),"e","a"),"f","a"),"g","a"),"h","a"),"i","a"),"j","a"),"k","a"),"l","a"),"m","a"),"n","a"),"o","a"),"p","a"),"q","a"),"r","a"),"s","a"),"t","a"),"u","a"),"v","a"),"w","a"),"x","a"),"y","a"),"z","a")</f>
        <v/>
      </c>
      <c r="BQ57" s="61" t="n">
        <f aca="false">IFERROR(IF(AND(ISERROR(SEARCH(" mh"," "&amp;LOWER(W57))),ISNA(MATCH(LEFT(TRIM(BP57),255),{"0000a","000a","00a","0000aa","000aa","00aa","0aa","0000aaa","000aaa","00a00","0a00","0000-0000","00:00","a00","a0","00.00.0000","00/00/0000","00-00-0000","0000-00-00","0000/00/00","0000.00.00","00.00.00","00/00/00","00-00-00","0.00.0000","0/00/0000","0-00-0000"},0)),ISNA(MATCH(LEFT(TRIM(CA57),255),{"0000a","000a","00a","0000aa","000aa","00aa","0aa","0000aaa","000aaa","00a00","0a00","0000-0000","00:00","a00","a0","00.00.0000","00/00/0000","00-00-0000","0000-00-00","0000/00/00","0000.00.00","00.00.00","00/00/00","00-00-00","0.00.0000","0/00/0000","0-00-0000"},0)),LEN(CB57)&gt;=3,NOT(OR(SUBSTITUTE(CB57,"0","")="",AND(LEN(CB57)&gt;=4,CB57=REPT(LEFT(CB57),LEN(CB57))),ISNUMBER(MATCH(CB57,{"123","1234","12345","123456","1234567","12345678","0123","01234","012345","98765","987654","54321"},0)),AND(LEN(CB57)=8,LEFT(CB57,3)="202"))),OR(AND((LEN(CA57)-LEN(SUBSTITUTE(CA57,"a","")))&gt;=1,SUMPRODUCT(--ISNUMBER(SEARCH({"a0","a-0","a_0","a/0","a.0","a#0","0a","0-a","0_a","0/a"},BP57)))&gt;0),ISNUMBER(SEARCH("000000",BP57)))),1,0),0)</f>
        <v>0</v>
      </c>
      <c r="BR57" s="61" t="n">
        <f aca="false">IFERROR(LEN(SUBSTITUTE(CC57," ",""))-SUMPRODUCT((LEN(CC57)-LEN(SUBSTITUTE(CC57," "&amp;L_Role&amp;" "," ")))/(LEN(L_Role)+1)*LEN(L_Role)),0)</f>
        <v>0</v>
      </c>
      <c r="BS57" s="61" t="n">
        <f aca="false">IFERROR(LEN(SUBSTITUTE(CD57," ",""))-SUMPRODUCT((LEN(CD57)-LEN(SUBSTITUTE(CD57," "&amp;L_Role&amp;" "," ")))/(LEN(L_Role)+1)*LEN(L_Role)),0)</f>
        <v>0</v>
      </c>
      <c r="BT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revision",""),"version",""),"jan",""),"feb",""),"mar",""),"apr",""),"may",""),"jun",""),"jul",""),"aug",""),"sep",""),"oct",""),"nov",""),"dec",""),"utc",""),"gmt",""),"myt",""),"bst",""),"rev",""),"ver",""),"b","a"),"c","a"),"d","a"),"e","a"),"f","a"),"g","a"),"h","a"),"i","a"),"j","a"),"k","a"),"l","a"),"m","a"),"n","a"),"o","a"),"p","a"),"q","a"),"r","a"),"s","a"),"t","a"),"u","a"),"v","a"),"w","a"),"x","a"),"y","a"),"z","a")</f>
        <v/>
      </c>
      <c r="BU57" s="61" t="str">
        <f aca="false">SUBSTITUTE(SUBSTITUTE(SUBSTITUTE(SUBSTITUTE(SUBSTITUTE(SUBSTITUTE(SUBSTITUTE(SUBSTITUTE(SUBSTITUTE(SUBSTITUTE(LEFT(BM57,FIND("0",BM57&amp;"0")-1),"-",""),"_",""),"/",""),".",""),"#",""),"\\",""),":","")," ",""),"(",""),")","")</f>
        <v/>
      </c>
      <c r="BV57" s="61" t="n">
        <f aca="false">IFERROR(IF(OR(SUMPRODUCT((LEN(BC57)-LEN(SUBSTITUTE(BC57," "&amp;L_NotLoaded&amp;" "," ")))/(LEN(L_NotLoaded)+1))&gt;SUMPRODUCT((LEN(BC57)-LEN(SUBSTITUTE(BC57," "&amp;L_NotLoadedNeg&amp;" "," ")))/(LEN(L_NotLoadedNeg)+1)),SUMPRODUCT((LEN(BD57)-LEN(SUBSTITUTE(BD57," "&amp;L_NotLoaded&amp;" "," ")))/(LEN(L_NotLoaded)+1))&gt;SUMPRODUCT((LEN(BD57)-LEN(SUBSTITUTE(BD57," "&amp;L_NotLoadedNeg&amp;" "," ")))/(LEN(L_NotLoadedNeg)+1))),1,0),0)</f>
        <v>0</v>
      </c>
      <c r="BW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amp;""),"a",""),"b",""),"c",""),"d",""),"e",""),"f",""),"g",""),"h",""),"i",""),"j",""),"k",""),"l",""),"m",""),"n",""),"o",""),"p",""),"q",""),"r",""),"s",""),"t",""),"u",""),"v",""),"w",""),"x",""),"y",""),"z",""),"-",""),"_",""),"/",""),".",""),"#",""),"\\",""),":","")," ",""),"(",""),")","")</f>
        <v/>
      </c>
      <c r="BX57" s="61" t="str">
        <f aca="false">SUBSTITUTE(SUBSTITUTE(SUBSTITUTE(SUBSTITUTE(SUBSTITUTE(SUBSTITUTE(SUBSTITUTE(SUBSTITUTE(SUBSTITUTE(SUBSTITUTE(SUBSTITUTE(BM57,"0",""),"-",""),"_",""),"/",""),".",""),"#",""),"\\",""),":","")," ",""),"(",""),")","")</f>
        <v/>
      </c>
      <c r="BY57" s="62" t="n">
        <f aca="false">IF(ISNUMBER(Flights!$AZ$6),MAX(Q57-UpliftWindowH/24,Flights!$AZ$6),Q57-UpliftWindowH/24)</f>
        <v>46304.3263888889</v>
      </c>
      <c r="BZ57" s="61" t="n">
        <f aca="false">IFERROR(IF(IF(TRIM(S57)="Link / file path",AND(LEN(TRIM(Z57))&gt;=5,SUMPRODUCT(--ISNUMBER(SEARCH({"http","www.","\\",":\",".pdf",".jpg",".jpeg",".png",".heic",".xls",".doc",".msg",".eml",".ppt",".txt",".zip"},Z57)))&gt;0),AND(ISERROR(FIND(" ",TRIM(Z57))),NOT(OR(SUMPRODUCT(--ISNUMBER(FIND({",",";","&amp;","+"},Z57)))&gt;0,SUMPRODUCT(--ISNUMBER(SEARCH({"0/aa","0\\aa"},BN57)))&gt;0)),NOT(SUMPRODUCT(--ISNUMBER(SEARCH({"http","www.","\\",":\",".pdf",".jpg",".jpeg",".png",".heic",".xls",".doc",".msg",".eml",".ppt",".txt",".zip"},Z57)))&gt;0),NOT(LOWER(TRIM(Z57))=LOWER(Flights!$F$6)),ISNA(MATCH(BU57,{"mh","rev","revision","ver","version","v","r","a","b","seat","tray","row","gate","bay","stand","page","pg","item","line","no","cart","galley","flight","flt","table","box","bag","oven","etd","eta","std","sta","atd","ata","qty","pax","x","time","tel","ph","mob","day","wk","week","utc","gmt","myt","lt"},0)),NOT(OR(ISNUMBER(MATCH(LEFT(BN57,255),{"0000a","000a","00a","0000aa","000aa","00aa","0aa","0000aaa","000aaa","00a00","0a00","0000-0000","00:00","a00","a0","00.00.0000","00/00/0000","00-00-0000","0000-00-00","0000/00/00","0000.00.00","00.00.00","00/00/00","00-00-00","0.00.0000","0/00/0000","0-00-0000"},0)),ISNUMBER(MATCH(LEFT(BT57,255),{"0000a","000a","00a","0000aa","000aa","00aa","0aa","0000aaa","000aaa","00a00","0a00","0000-0000","00:00","a00","a0","00.00.0000","00/00/0000","00-00-0000","0000-00-00","0000/00/00","0000.00.00","00.00.00","00/00/00","00-00-00","0.00.0000","0/00/0000","0-00-0000"},0)))),NOT(OR(AND(BW57&lt;&gt;"",SUBSTITUTE(BW57,"0","")=""),AND(LEN(BW57)&gt;=4,BW57=REPT(LEFT(BW57),LEN(BW57))),ISNUMBER(MATCH(BW57,{"123","1234","12345","123456","1234567","12345678","0123","01234","012345","98765","987654","54321"},0)),ISNUMBER(MATCH(BX57,{"x","xx","xxx","xxxx","xxxxx","abc","abcd","nil","na","nan","test","tbc","tba","tbd","dummy","sample","example","eg","zz","zzz","none","null","xyz","qwe","asd","id","ref"},0)),AND(LEN(BW57)=8,BX57="",OR(LEFT(BW57,3)="202",ISNUMBER(MATCH(RIGHT(BW57,4),{"2025","2026","2027"},0)))))),OR(AND((LEN(BT57)-LEN(SUBSTITUTE(BT57,"a","")))&gt;=1,(LEN(BN57)-LEN(SUBSTITUTE(BN57,"0","")))&gt;=2,SUMPRODUCT(--ISNUMBER(SEARCH({"a0","a-0","a_0","a/0","a.0","a#0","0a","0-a","0_a","0/a"},BN57)))&gt;0),AND((LEN(BN57)-LEN(SUBSTITUTE(BN57,"a","")))=0,(LEN(BN57)-LEN(SUBSTITUTE(BN57,"0","")))&gt;=5)))),1,0),0)</f>
        <v>0</v>
      </c>
      <c r="CA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revision",""),"version",""),"jan",""),"feb",""),"mar",""),"apr",""),"may",""),"jun",""),"jul",""),"aug",""),"sep",""),"oct",""),"nov",""),"dec",""),"utc",""),"gmt",""),"myt",""),"bst",""),"rev",""),"ver",""),"b","a"),"c","a"),"d","a"),"e","a"),"f","a"),"g","a"),"h","a"),"i","a"),"j","a"),"k","a"),"l","a"),"m","a"),"n","a"),"o","a"),"p","a"),"q","a"),"r","a"),"s","a"),"t","a"),"u","a"),"v","a"),"w","a"),"x","a"),"y","a"),"z","a")</f>
        <v/>
      </c>
      <c r="CB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amp;""),"a",""),"b",""),"c",""),"d",""),"e",""),"f",""),"g",""),"h",""),"i",""),"j",""),"k",""),"l",""),"m",""),"n",""),"o",""),"p",""),"q",""),"r",""),"s",""),"t",""),"u",""),"v",""),"w",""),"x",""),"y",""),"z",""),"-",""),"_",""),"/",""),".",""),"#",""),"\\",""),":","")," ",""),"(",""),")","")</f>
        <v/>
      </c>
      <c r="CC57" s="0" t="str">
        <f aca="false">" "&amp;TRIM(SUBSTITUTE(SUBSTITUTE(SUBSTITUTE(SUBSTITUTE(SUBSTITUTE(SUBSTITUTE(SUBSTITUTE(SUBSTITUTE(SUBSTITUTE(SUBSTITUTE(SUBSTITUTE(SUBSTITUTE(SUBSTITUTE(SUBSTITUTE(SUBSTITUTE(SUBSTITUTE(SUBSTITUTE(SUBSTITUTE(SUBSTITUTE(SUBSTITUTE(SUBSTITUTE(SUBSTITUTE(SUBSTITUTE(SUBSTITUTE(LOWER(T57&amp;""),CHAR(10)," "),CHAR(13)," "),CHAR(9)," "),CHAR(160)," "),"."," "),","," "),"-"," "),"/"," "),"("," "),")"," "),":"," "),";"," "),"_"," "),"–"," "),"?"," "),"!"," "),"*"," "),"["," "),"]"," "),"'"," "),"#"," "),"+"," "),"&amp;"," "),"\"," "))&amp;" "</f>
        <v>  </v>
      </c>
      <c r="CD57" s="0" t="str">
        <f aca="false">" "&amp;TRIM(SUBSTITUTE(SUBSTITUTE(SUBSTITUTE(SUBSTITUTE(SUBSTITUTE(SUBSTITUTE(SUBSTITUTE(SUBSTITUTE(SUBSTITUTE(SUBSTITUTE(SUBSTITUTE(SUBSTITUTE(SUBSTITUTE(SUBSTITUTE(SUBSTITUTE(SUBSTITUTE(SUBSTITUTE(SUBSTITUTE(SUBSTITUTE(SUBSTITUTE(SUBSTITUTE(SUBSTITUTE(SUBSTITUTE(SUBSTITUTE(LOWER(AE57&amp;""),CHAR(10)," "),CHAR(13)," "),CHAR(9)," "),CHAR(160)," "),"."," "),","," "),"-"," "),"/"," "),"("," "),")"," "),":"," "),";"," "),"_"," "),"–"," "),"?"," "),"!"," "),"*"," "),"["," "),"]"," "),"'"," "),"#"," "),"+"," "),"&amp;"," "),"\"," "))&amp;" "</f>
        <v>  </v>
      </c>
      <c r="CE57" s="68" t="n">
        <f aca="false">IFERROR(IF(AND(LEN(AU57)&gt;0,LEN(AU57)=LEN(AX57),OR(TRIM(MID(SUBSTITUTE(TRIM(CC57)," ",REPT(" ",60)),1,60))="",ISNUMBER(SEARCH(" "&amp;TRIM(MID(SUBSTITUTE(TRIM(CC57)," ",REPT(" ",60)),1,60))&amp;" ",CD57))),OR(TRIM(MID(SUBSTITUTE(TRIM(CC57)," ",REPT(" ",60)),61,60))="",ISNUMBER(SEARCH(" "&amp;TRIM(MID(SUBSTITUTE(TRIM(CC57)," ",REPT(" ",60)),61,60))&amp;" ",CD57))),OR(TRIM(MID(SUBSTITUTE(TRIM(CC57)," ",REPT(" ",60)),121,60))="",ISNUMBER(SEARCH(" "&amp;TRIM(MID(SUBSTITUTE(TRIM(CC57)," ",REPT(" ",60)),121,60))&amp;" ",CD57)))),1,0),0)</f>
        <v>0</v>
      </c>
      <c r="CG57" s="68" t="n">
        <f aca="false">IFERROR(LEN(SUBSTITUTE(BF57," ",""))-SUMPRODUCT((LEN(BF57)-LEN(SUBSTITUTE(BF57," "&amp;L_NAFiller&amp;" "," ")))/(LEN(L_NAFiller)+1)*LEN(L_NAFiller)),0)</f>
        <v>0</v>
      </c>
    </row>
    <row r="58" customFormat="false" ht="39.75" hidden="false" customHeight="true" outlineLevel="0" collapsed="false">
      <c r="A58" s="57" t="s">
        <v>532</v>
      </c>
      <c r="B58" s="57" t="s">
        <v>198</v>
      </c>
      <c r="C58" s="57" t="str">
        <f aca="false">Flights!$F$6</f>
        <v>MH0727</v>
      </c>
      <c r="D58" s="58" t="n">
        <f aca="false">Flights!$D$6</f>
        <v>46304</v>
      </c>
      <c r="E58" s="57" t="str">
        <f aca="false">Flights!$G$6&amp;"-"&amp;Flights!$H$6</f>
        <v>KUL-CGK</v>
      </c>
      <c r="F58" s="57" t="str">
        <f aca="false">Flights!$K$6</f>
        <v>BC</v>
      </c>
      <c r="G58" s="57" t="s">
        <v>459</v>
      </c>
      <c r="H58" s="57" t="s">
        <v>460</v>
      </c>
      <c r="I58" s="57" t="s">
        <v>428</v>
      </c>
      <c r="J58" s="57" t="s">
        <v>465</v>
      </c>
      <c r="K58" s="67" t="s">
        <v>426</v>
      </c>
      <c r="L58" s="67" t="s">
        <v>462</v>
      </c>
      <c r="M58" s="67"/>
      <c r="N58" s="67" t="s">
        <v>383</v>
      </c>
      <c r="O58" s="67" t="s">
        <v>463</v>
      </c>
      <c r="P58" s="57" t="s">
        <v>187</v>
      </c>
      <c r="Q58" s="59" t="n">
        <f aca="false">ROUND((Flights!$AF$6)*1440,0)/1440</f>
        <v>46304.5763888889</v>
      </c>
      <c r="R58" s="59" t="n">
        <f aca="false">Q58+(IF(AND(INDEX(TZ_DSTS,MATCH(P58,TZ_STN,0))&lt;&gt;"",Q58&gt;=INDEX(TZ_DSTS,MATCH(P58,TZ_STN,0)),Q58&lt;INDEX(TZ_DSTE,MATCH(P58,TZ_STN,0))),INDEX(TZ_DST,MATCH(P58,TZ_STN,0)),INDEX(TZ_STD,MATCH(P58,TZ_STN,0))))/24</f>
        <v>46304.9097222222</v>
      </c>
      <c r="S58" s="60"/>
      <c r="T58" s="60"/>
      <c r="U58" s="60"/>
      <c r="V58" s="60"/>
      <c r="W58" s="61"/>
      <c r="X58" s="60"/>
      <c r="Y58" s="60"/>
      <c r="Z58" s="60"/>
      <c r="AA58" s="60"/>
      <c r="AB58" s="60"/>
      <c r="AC58" s="60"/>
      <c r="AD58" s="66"/>
      <c r="AE58" s="60"/>
      <c r="AF58" s="61" t="str">
        <f aca="false">IF(AND(ISNUMBER(X58),ISNUMBER(Y58)),Y58-X58,"")</f>
        <v/>
      </c>
      <c r="AG58" s="62" t="str">
        <f aca="false">IF(ISNUMBER(AD58),AD58-(IF(AND(INDEX(TZ_DSTS,MATCH(P58,TZ_STN,0))&lt;&gt;"",(AD58-INDEX(TZ_STD,MATCH(P58,TZ_STN,0))/24)&gt;=INDEX(TZ_DSTS,MATCH(P58,TZ_STN,0)),(AD58-INDEX(TZ_STD,MATCH(P58,TZ_STN,0))/24)&lt;INDEX(TZ_DSTE,MATCH(P58,TZ_STN,0))),INDEX(TZ_DST,MATCH(P58,TZ_STN,0)),INDEX(TZ_STD,MATCH(P58,TZ_STN,0))))/24,"")</f>
        <v/>
      </c>
      <c r="AH58" s="65" t="str">
        <f aca="false">IFERROR(IF(N58="N/A – rule",IF(OR(TRIM(U58)="",TRIM(U58)="N/A",TRIM(U58)="Not started"),"N/A – RULE","INVALID – this check does not apply to this aircraft: clear the status (or correct the fleet on Flights)"),IF(TRIM(U58)="N/A",IF(AT58=0,"INVALID – N/A not permitted for this check",IF(AND(TRIM(AB58)&lt;&gt;"",TRIM(AB58)&lt;&gt;"Closed"),"INVALID – corrective action still open",IF(AND(NOT(OR(LEN(AZ58)&lt;15,ISNUMBER(MATCH(AZ58,L_Placeholder,0)))),BK58=0,CG58&gt;=8,NOT(OR(LEN(AU58)&lt;2,ISNUMBER(MATCH(AU58,L_Placeholder,0)))),BR58&gt;=3,NOT(OR(LEN(AX58)&lt;2,ISNUMBER(MATCH(AX58,L_Placeholder,0)))),BS58&gt;=3,TRIM(AE58)&lt;&gt;TRIM(T58),AX58&lt;&gt;AU58,CE58=0),"N/A – JUSTIFIED","INVALID – N/A needs a real, settled reason (not 'not applicable' / 'as above' / TBC), a named PIC and a different named verifier"))),IF(OR(TRIM(U58)="Pass",TRIM(U58)="Pass after CA"),IF(NOT(ISNUMBER(AD58)),"INVALID – completion time missing",IF(OR(OR(LEN(AU58)&lt;2,ISNUMBER(MATCH(AU58,L_Placeholder,0))),BR58&lt;3),"INVALID – PIC missing or not a named person (a role such as QA / CSM is not a name)",IF(OR(LEN(AV58)&lt;2,ISNUMBER(MATCH(AV58,L_Placeholder,0))),"INVALID – result / assessment missing",IF(OR(OR(LEN(AW58)&lt;3,ISNUMBER(MATCH(AW58,L_Placeholder,0))),SUMPRODUCT(--ISNUMBER(SEARCH(" "&amp;L_EvidencePhrase&amp;" ",BD58)))&gt;0,BI58=1),"INVALID – evidence missing, placeholder or not yet on file",IF(ISNA(MATCH(TRIM(S58),L_EvidenceType,0)),"INVALID – choose the evidence type from the list (column S)",IF(BL58=0,"INVALID – evidence ID must be the record's own ID only (e.g. SF-2210, IMG_2231, 1045521); a link / file name needs type 'Link / file path'",IF(OR(OR(LEN(AX58)&lt;2,ISNUMBER(MATCH(AX58,L_Placeholder,0))),BS58&lt;3),"INVALID – verifier missing or not a named person (a role such as QA / CSM is not a name)",IF(OR(AX58=AU58,CE58=1,AND(LEN(AU58)&gt;=4,ISNUMBER(SEARCH(AU58,AX58))),AND(LEN(AX58)&gt;=4,ISNUMBER(SEARCH(AX58,AU58)))),"INVALID – verifier must be a different, named person (not the PIC or a role)",IF(BH58=1,"INVALID – result not yet available (awaiting / TBC)",IF(BG58=1,"INVALID – result describes a problem: record Fail, then Pass after CA (or reword if it is not a problem)",IF(BV58=1,"INVALID – wording says not on board: an on-board confirmation needs the item loaded",IF(AND(AQ58=1,OR(OR(LEN(AY58)&lt;3,ISNUMBER(MATCH(AY58,L_Placeholder,0))),BJ58=1,BQ58=0)),"INVALID – batch ID missing, placeholder or not an ID (e.g. PASB-261008-BC-017)",IF(AND(AR58=1,OR(NOT(ISNUMBER(X58)),NOT(ISNUMBER(Y58)))),"INVALID – expected/actual qty missing",IF(AND(AR58=1,OR(X58&lt;=0,Y58&lt;0)),"INVALID – expected qty must be above 0 and actual not negative",IF(AH45="N/A – JUSTIFIED","INVALID – preparation row F02-T12-06 is N/A",IF(AND(AR58=1,ISNUMBER(X45),X58&lt;&gt;X45,TRIM(U58)&lt;&gt;"Pass after CA"),"INVALID – expected qty differs from preparation check F02-T12-06: record the load change as a corrective action (Pass after CA)",IF(BB58&lt;&gt;"",BB58,IF(AND(AS58=1,Documents!$J$6&lt;&gt;"ON FILE"),"INVALID – GLD not on file (Documents sheet)",IF(AND(AS58=2,Documents!$O$6&lt;&gt;"ON FILE"),"INVALID – menu checklist not on file (Documents sheet)",IF(AND(AS58=3,NOT(ISNUMBER(Flights!$AX$6))),"INVALID – enter carrying flight KUL departure (Flights AX)",IF(AND(AS58=3,OR(Flights!$AZ$6&gt;Flights!$AA$6,Flights!$AX$6&lt;Flights!$AA$6-3)),"INVALID – carrying flight (Flights AX) cannot arrive before this leg's STD, or is over 3 days early",IF(AG58&gt;AsOfUTC,"INVALID – completion time is in the future",IF(AND(ISNUMBER(BY58),AG58&lt;BY58),IF(H58="Physical uplift","INVALID – before uplift window (cannot confirm loading)","INVALID – before valid window"),IF(AG58&gt;Flights!$AA$6,"INVALID – completed after departure (cannot establish readiness)",IF(AND(H58="Preparation",AG58&gt;=IF(ISNUMBER(Flights!$BA$6),MIN(Flights!$BA$6,Flights!$AA$6),Flights!$AA$6)),"INVALID – completed after loading / departure (cannot establish readiness)",IF(AND(H58="Physical uplift",AG58&gt;Q58),"INVALID – recorded after the loading flight departed",IF(AG58&gt;Q58,"COMPLETE – LATE","COMPLETE"))))))))))))))))))))))))))),IF(TRIM(U58)="Fail","FAIL – DISCREPANCY",IF(AND(TRIM(U58)&lt;&gt;"",TRIM(U58)&lt;&gt;"Not started",TRIM(U58)&lt;&gt;"In progress"),"INVALID – unrecognised status (use the list)",IF(AsOfUTC&gt;Q58,"OVERDUE",IF(N58="Clarification required","OPEN – CLARIFICATION","OPEN"))))))),"INVALID – error value in an input cell")</f>
        <v>OPEN</v>
      </c>
      <c r="AI58" s="61" t="n">
        <f aca="false">IF(OR(AH58="N/A – RULE",AH58="N/A – JUSTIFIED"),0,1)</f>
        <v>1</v>
      </c>
      <c r="AJ58" s="61" t="n">
        <f aca="false">IF(LEFT(AH58,8)="COMPLETE",1,0)</f>
        <v>0</v>
      </c>
      <c r="AK58" s="61" t="n">
        <f aca="false">IF(AND(AI58=1,AJ58=0,AsOfUTC&gt;Q58),1,0)</f>
        <v>0</v>
      </c>
      <c r="AL58" s="61" t="n">
        <f aca="false">IFERROR(IF(AND(AI58=1,OR(TRIM(U58)="Fail",AND(TRIM(AB58)&lt;&gt;"",TRIM(AB58)&lt;&gt;"Closed"),AND(ISNUMBER(AF58),AF58&lt;&gt;0,TRIM(U58)&lt;&gt;"Pass after CA"))),1,0),1)</f>
        <v>0</v>
      </c>
      <c r="AM58" s="61" t="n">
        <f aca="false">IF(LEFT(AH58,7)="INVALID",1,0)</f>
        <v>0</v>
      </c>
      <c r="AN58" s="61" t="n">
        <f aca="false">IF(AND(N58="Clarification required",AI58=1,AJ58=0),1,0)</f>
        <v>0</v>
      </c>
      <c r="AO58" s="61" t="str">
        <f aca="false">IF(AK58=1,SUM(AK$5:AK58),"")</f>
        <v/>
      </c>
      <c r="AP58" s="61" t="str">
        <f aca="false">IF(AL58=1,SUM(AL$5:AL58),"")</f>
        <v/>
      </c>
      <c r="AQ58" s="61" t="n">
        <v>0</v>
      </c>
      <c r="AR58" s="61" t="n">
        <v>1</v>
      </c>
      <c r="AS58" s="61" t="n">
        <v>0</v>
      </c>
      <c r="AT58" s="61" t="n">
        <v>0</v>
      </c>
      <c r="AU58" s="61" t="str">
        <f aca="false">SUBSTITUTE(SUBSTITUTE(SUBSTITUTE(SUBSTITUTE(SUBSTITUTE(SUBSTITUTE(SUBSTITUTE(SUBSTITUTE(SUBSTITUTE(SUBSTITUTE(SUBSTITUTE(SUBSTITUTE(SUBSTITUTE(SUBSTITUTE(SUBSTITUTE(SUBSTITUTE(LOWER(T58&amp;""),CHAR(10),""),CHAR(13),""),CHAR(9),""),CHAR(160),"")," ",""),".",""),"-",""),"/",""),"?",""),"_",""),",",""),"[",""),"]",""),"(",""),")",""),"*","")</f>
        <v/>
      </c>
      <c r="AV58" s="61" t="str">
        <f aca="false">SUBSTITUTE(SUBSTITUTE(SUBSTITUTE(SUBSTITUTE(SUBSTITUTE(SUBSTITUTE(SUBSTITUTE(SUBSTITUTE(SUBSTITUTE(SUBSTITUTE(SUBSTITUTE(SUBSTITUTE(SUBSTITUTE(SUBSTITUTE(SUBSTITUTE(SUBSTITUTE(LOWER(V58&amp;""),CHAR(10),""),CHAR(13),""),CHAR(9),""),CHAR(160),"")," ",""),".",""),"-",""),"/",""),"?",""),"_",""),",",""),"[",""),"]",""),"(",""),")",""),"*","")</f>
        <v/>
      </c>
      <c r="AW58" s="61" t="str">
        <f aca="false">SUBSTITUTE(SUBSTITUTE(SUBSTITUTE(SUBSTITUTE(SUBSTITUTE(SUBSTITUTE(SUBSTITUTE(SUBSTITUTE(SUBSTITUTE(SUBSTITUTE(SUBSTITUTE(SUBSTITUTE(SUBSTITUTE(SUBSTITUTE(SUBSTITUTE(SUBSTITUTE(LOWER(Z58&amp;""),CHAR(10),""),CHAR(13),""),CHAR(9),""),CHAR(160),"")," ",""),".",""),"-",""),"/",""),"?",""),"_",""),",",""),"[",""),"]",""),"(",""),")",""),"*","")</f>
        <v/>
      </c>
      <c r="AX58" s="61" t="str">
        <f aca="false">SUBSTITUTE(SUBSTITUTE(SUBSTITUTE(SUBSTITUTE(SUBSTITUTE(SUBSTITUTE(SUBSTITUTE(SUBSTITUTE(SUBSTITUTE(SUBSTITUTE(SUBSTITUTE(SUBSTITUTE(SUBSTITUTE(SUBSTITUTE(SUBSTITUTE(SUBSTITUTE(LOWER(AE58&amp;""),CHAR(10),""),CHAR(13),""),CHAR(9),""),CHAR(160),"")," ",""),".",""),"-",""),"/",""),"?",""),"_",""),",",""),"[",""),"]",""),"(",""),")",""),"*","")</f>
        <v/>
      </c>
      <c r="AY58" s="61" t="str">
        <f aca="false">SUBSTITUTE(SUBSTITUTE(SUBSTITUTE(SUBSTITUTE(SUBSTITUTE(SUBSTITUTE(SUBSTITUTE(SUBSTITUTE(SUBSTITUTE(SUBSTITUTE(SUBSTITUTE(SUBSTITUTE(SUBSTITUTE(SUBSTITUTE(SUBSTITUTE(SUBSTITUTE(LOWER(W58&amp;""),CHAR(10),""),CHAR(13),""),CHAR(9),""),CHAR(160),"")," ",""),".",""),"-",""),"/",""),"?",""),"_",""),",",""),"[",""),"]",""),"(",""),")",""),"*","")</f>
        <v/>
      </c>
      <c r="AZ58" s="61" t="str">
        <f aca="false">SUBSTITUTE(SUBSTITUTE(SUBSTITUTE(SUBSTITUTE(SUBSTITUTE(SUBSTITUTE(SUBSTITUTE(SUBSTITUTE(SUBSTITUTE(SUBSTITUTE(SUBSTITUTE(SUBSTITUTE(SUBSTITUTE(SUBSTITUTE(SUBSTITUTE(SUBSTITUTE(LOWER(AC58&amp;""),CHAR(10),""),CHAR(13),""),CHAR(9),""),CHAR(160),"")," ",""),".",""),"-",""),"/",""),"?",""),"_",""),",",""),"[",""),"]",""),"(",""),")",""),"*","")</f>
        <v/>
      </c>
      <c r="BA58" s="61" t="str">
        <f aca="false">SUBSTITUTE(SUBSTITUTE(SUBSTITUTE(SUBSTITUTE(SUBSTITUTE(SUBSTITUTE(SUBSTITUTE(SUBSTITUTE(SUBSTITUTE(SUBSTITUTE(SUBSTITUTE(SUBSTITUTE(SUBSTITUTE(SUBSTITUTE(SUBSTITUTE(SUBSTITUTE(LOWER(AA58&amp;""),CHAR(10),""),CHAR(13),""),CHAR(9),""),CHAR(160),"")," ",""),".",""),"-",""),"/",""),"?",""),"_",""),",",""),"[",""),"]",""),"(",""),")",""),"*","")</f>
        <v/>
      </c>
      <c r="BB58" s="61" t="str">
        <f aca="false">IF(AND(TRIM(U58)="Pass",ISNUMBER(AF58)),IF(AF58&lt;&gt;0,"INVALID – qty variance: use Fail or Pass after CA",""),"")&amp;IF(AND(TRIM(U58)="Pass after CA",ISNUMBER(AF58)),IF(AF58&lt;&gt;0,"INVALID – after the corrective action the actual qty must equal expected (update Actual)",""),"")&amp;IF(AND(TRIM(U58)="Pass",TRIM(AB58)&lt;&gt;"",TRIM(AB58)&lt;&gt;"Closed"),"INVALID – corrective action not closed: use Fail, then Pass after CA","")&amp;IF(AND(LEN(BA58)&gt;=2,ISNA(MATCH(LEFT(BA58,255),L_Placeholder,0)),TRIM(AB58)=""),"INVALID – CA status missing for the recorded corrective action","")&amp;IF(AND(TRIM(U58)="Pass after CA",OR(OR(LEN(BA58)&lt;5,ISNUMBER(MATCH(BA58,L_Placeholder,0))),TRIM(AB58)&lt;&gt;"Closed")),"INVALID – corrective action not recorded/closed","")</f>
        <v/>
      </c>
      <c r="BC58" s="61" t="str">
        <f aca="false">" "&amp;TRIM(SUBSTITUTE(SUBSTITUTE(SUBSTITUTE(SUBSTITUTE(SUBSTITUTE(SUBSTITUTE(SUBSTITUTE(SUBSTITUTE(SUBSTITUTE(SUBSTITUTE(SUBSTITUTE(SUBSTITUTE(SUBSTITUTE(SUBSTITUTE(SUBSTITUTE(SUBSTITUTE(SUBSTITUTE(SUBSTITUTE(SUBSTITUTE(SUBSTITUTE(SUBSTITUTE(SUBSTITUTE(SUBSTITUTE(SUBSTITUTE(LOWER(V58&amp;""),CHAR(10)," "),CHAR(13)," "),CHAR(9)," "),CHAR(160)," "),"."," "),","," "),"-"," "),"/"," "),"("," "),")"," "),":"," "),";"," "),"_"," "),"–"," "),"?"," "),"!"," "),"*"," "),"["," "),"]"," "),"'"," "),"#"," "),"+"," "),"&amp;"," "),"\"," "))&amp;" "</f>
        <v>  </v>
      </c>
      <c r="BD58" s="61" t="str">
        <f aca="false">" "&amp;TRIM(SUBSTITUTE(SUBSTITUTE(SUBSTITUTE(SUBSTITUTE(SUBSTITUTE(SUBSTITUTE(SUBSTITUTE(SUBSTITUTE(SUBSTITUTE(SUBSTITUTE(SUBSTITUTE(SUBSTITUTE(SUBSTITUTE(SUBSTITUTE(SUBSTITUTE(SUBSTITUTE(SUBSTITUTE(SUBSTITUTE(SUBSTITUTE(SUBSTITUTE(SUBSTITUTE(SUBSTITUTE(SUBSTITUTE(SUBSTITUTE(LOWER(Z58&amp;""),CHAR(10)," "),CHAR(13)," "),CHAR(9)," "),CHAR(160)," "),"."," "),","," "),"-"," "),"/"," "),"("," "),")"," "),":"," "),";"," "),"_"," "),"–"," "),"?"," "),"!"," "),"*"," "),"["," "),"]"," "),"'"," "),"#"," "),"+"," "),"&amp;"," "),"\"," "))&amp;" "</f>
        <v>  </v>
      </c>
      <c r="BE58" s="61" t="str">
        <f aca="false">" "&amp;TRIM(SUBSTITUTE(SUBSTITUTE(SUBSTITUTE(SUBSTITUTE(SUBSTITUTE(SUBSTITUTE(SUBSTITUTE(SUBSTITUTE(SUBSTITUTE(SUBSTITUTE(SUBSTITUTE(SUBSTITUTE(SUBSTITUTE(SUBSTITUTE(SUBSTITUTE(SUBSTITUTE(SUBSTITUTE(SUBSTITUTE(SUBSTITUTE(SUBSTITUTE(SUBSTITUTE(SUBSTITUTE(SUBSTITUTE(SUBSTITUTE(LOWER(W58&amp;""),CHAR(10)," "),CHAR(13)," "),CHAR(9)," "),CHAR(160)," "),"."," "),","," "),"-"," "),"/"," "),"("," "),")"," "),":"," "),";"," "),"_"," "),"–"," "),"?"," "),"!"," "),"*"," "),"["," "),"]"," "),"'"," "),"#"," "),"+"," "),"&amp;"," "),"\"," "))&amp;" "</f>
        <v>  </v>
      </c>
      <c r="BF58" s="61" t="str">
        <f aca="false">" "&amp;TRIM(SUBSTITUTE(SUBSTITUTE(SUBSTITUTE(SUBSTITUTE(SUBSTITUTE(SUBSTITUTE(SUBSTITUTE(SUBSTITUTE(SUBSTITUTE(SUBSTITUTE(SUBSTITUTE(SUBSTITUTE(SUBSTITUTE(SUBSTITUTE(SUBSTITUTE(SUBSTITUTE(SUBSTITUTE(SUBSTITUTE(SUBSTITUTE(SUBSTITUTE(SUBSTITUTE(SUBSTITUTE(SUBSTITUTE(SUBSTITUTE(LOWER(AC58&amp;""),CHAR(10)," "),CHAR(13)," "),CHAR(9)," "),CHAR(160)," "),"."," "),","," "),"-"," "),"/"," "),"("," "),")"," "),":"," "),";"," "),"_"," "),"–"," "),"?"," "),"!"," "),"*"," "),"["," "),"]"," "),"'"," "),"#"," "),"+"," "),"&amp;"," "),"\"," "))&amp;" "</f>
        <v>  </v>
      </c>
      <c r="BG58" s="61" t="n">
        <f aca="false">IFERROR(IF(AND(TRIM(U58)="Pass",SUMPRODUCT((LEN(BC58)-LEN(SUBSTITUTE(BC58," "&amp;L_ResultBad&amp;" "," ")))/(LEN(L_ResultBad)+1))&gt;SUMPRODUCT((LEN(BC58)-LEN(SUBSTITUTE(BC58," "&amp;L_NegPhrase&amp;" "," ")))/(LEN(L_NegPhrase)+1))),1,0),0)</f>
        <v>0</v>
      </c>
      <c r="BH58" s="61" t="n">
        <f aca="false">IFERROR(IF(SUMPRODUCT((LEN(BC58)-LEN(SUBSTITUTE(BC58," "&amp;L_Pending&amp;" "," ")))/(LEN(L_Pending)+1))&gt;SUMPRODUCT((LEN(BC58)-LEN(SUBSTITUTE(BC58," "&amp;L_PendNeg&amp;" "," ")))/(LEN(L_PendNeg)+1)),1,0),1)</f>
        <v>0</v>
      </c>
      <c r="BI58" s="61" t="n">
        <f aca="false">IFERROR(IF(SUMPRODUCT((LEN(BD58)-LEN(SUBSTITUTE(BD58," "&amp;L_PendStrict&amp;" "," ")))/(LEN(L_PendStrict)+1))&gt;SUMPRODUCT((LEN(BD58)-LEN(SUBSTITUTE(BD58," "&amp;L_PendNeg&amp;" "," ")))/(LEN(L_PendNeg)+1)),1,0),1)</f>
        <v>0</v>
      </c>
      <c r="BJ58" s="61" t="n">
        <f aca="false">IFERROR(IF(SUMPRODUCT((LEN(BE58)-LEN(SUBSTITUTE(BE58," "&amp;L_Pending&amp;" "," ")))/(LEN(L_Pending)+1))&gt;SUMPRODUCT((LEN(BE58)-LEN(SUBSTITUTE(BE58," "&amp;L_PendNeg&amp;" "," ")))/(LEN(L_PendNeg)+1)),1,0),1)</f>
        <v>0</v>
      </c>
      <c r="BK58" s="61" t="n">
        <f aca="false">IFERROR(IF(SUMPRODUCT((LEN(BF58)-LEN(SUBSTITUTE(BF58," "&amp;L_PendStrict&amp;" "," ")))/(LEN(L_PendStrict)+1))&gt;SUMPRODUCT((LEN(BF58)-LEN(SUBSTITUTE(BF58," "&amp;L_PendNeg&amp;" "," ")))/(LEN(L_PendNeg)+1)),1,0),1)</f>
        <v>0</v>
      </c>
      <c r="BL58" s="61" t="n">
        <f aca="false">IF(ISNA(MATCH(TRIM(S58),L_EvidenceType,0)),0,BZ58)</f>
        <v>0</v>
      </c>
      <c r="BM58" s="61" t="str">
        <f aca="false">SUBSTITUTE(SUBSTITUTE(SUBSTITUTE(SUBSTITUTE(SUBSTITUTE(SUBSTITUTE(SUBSTITUTE(SUBSTITUTE(SUBSTITUTE(LOWER(Z58&amp;""),"1","0"),"2","0"),"3","0"),"4","0"),"5","0"),"6","0"),"7","0"),"8","0"),"9","0")</f>
        <v/>
      </c>
      <c r="BN58" s="61" t="str">
        <f aca="false">SUBSTITUTE(SUBSTITUTE(SUBSTITUTE(SUBSTITUTE(SUBSTITUTE(SUBSTITUTE(SUBSTITUTE(SUBSTITUTE(SUBSTITUTE(SUBSTITUTE(SUBSTITUTE(SUBSTITUTE(SUBSTITUTE(SUBSTITUTE(SUBSTITUTE(SUBSTITUTE(SUBSTITUTE(SUBSTITUTE(SUBSTITUTE(SUBSTITUTE(SUBSTITUTE(SUBSTITUTE(SUBSTITUTE(SUBSTITUTE(SUBSTITUTE(BM58,"b","a"),"c","a"),"d","a"),"e","a"),"f","a"),"g","a"),"h","a"),"i","a"),"j","a"),"k","a"),"l","a"),"m","a"),"n","a"),"o","a"),"p","a"),"q","a"),"r","a"),"s","a"),"t","a"),"u","a"),"v","a"),"w","a"),"x","a"),"y","a"),"z","a")</f>
        <v/>
      </c>
      <c r="BO58" s="61" t="str">
        <f aca="false">SUBSTITUTE(SUBSTITUTE(SUBSTITUTE(SUBSTITUTE(SUBSTITUTE(SUBSTITUTE(SUBSTITUTE(SUBSTITUTE(SUBSTITUTE(LOWER(W58&amp;""),"1","0"),"2","0"),"3","0"),"4","0"),"5","0"),"6","0"),"7","0"),"8","0"),"9","0")</f>
        <v/>
      </c>
      <c r="BP58" s="61" t="str">
        <f aca="false">SUBSTITUTE(SUBSTITUTE(SUBSTITUTE(SUBSTITUTE(SUBSTITUTE(SUBSTITUTE(SUBSTITUTE(SUBSTITUTE(SUBSTITUTE(SUBSTITUTE(SUBSTITUTE(SUBSTITUTE(SUBSTITUTE(SUBSTITUTE(SUBSTITUTE(SUBSTITUTE(SUBSTITUTE(SUBSTITUTE(SUBSTITUTE(SUBSTITUTE(SUBSTITUTE(SUBSTITUTE(SUBSTITUTE(SUBSTITUTE(SUBSTITUTE(BO58,"b","a"),"c","a"),"d","a"),"e","a"),"f","a"),"g","a"),"h","a"),"i","a"),"j","a"),"k","a"),"l","a"),"m","a"),"n","a"),"o","a"),"p","a"),"q","a"),"r","a"),"s","a"),"t","a"),"u","a"),"v","a"),"w","a"),"x","a"),"y","a"),"z","a")</f>
        <v/>
      </c>
      <c r="BQ58" s="61" t="n">
        <f aca="false">IFERROR(IF(AND(ISERROR(SEARCH(" mh"," "&amp;LOWER(W58))),ISNA(MATCH(LEFT(TRIM(BP58),255),{"0000a","000a","00a","0000aa","000aa","00aa","0aa","0000aaa","000aaa","00a00","0a00","0000-0000","00:00","a00","a0","00.00.0000","00/00/0000","00-00-0000","0000-00-00","0000/00/00","0000.00.00","00.00.00","00/00/00","00-00-00","0.00.0000","0/00/0000","0-00-0000"},0)),ISNA(MATCH(LEFT(TRIM(CA58),255),{"0000a","000a","00a","0000aa","000aa","00aa","0aa","0000aaa","000aaa","00a00","0a00","0000-0000","00:00","a00","a0","00.00.0000","00/00/0000","00-00-0000","0000-00-00","0000/00/00","0000.00.00","00.00.00","00/00/00","00-00-00","0.00.0000","0/00/0000","0-00-0000"},0)),LEN(CB58)&gt;=3,NOT(OR(SUBSTITUTE(CB58,"0","")="",AND(LEN(CB58)&gt;=4,CB58=REPT(LEFT(CB58),LEN(CB58))),ISNUMBER(MATCH(CB58,{"123","1234","12345","123456","1234567","12345678","0123","01234","012345","98765","987654","54321"},0)),AND(LEN(CB58)=8,LEFT(CB58,3)="202"))),OR(AND((LEN(CA58)-LEN(SUBSTITUTE(CA58,"a","")))&gt;=1,SUMPRODUCT(--ISNUMBER(SEARCH({"a0","a-0","a_0","a/0","a.0","a#0","0a","0-a","0_a","0/a"},BP58)))&gt;0),ISNUMBER(SEARCH("000000",BP58)))),1,0),0)</f>
        <v>0</v>
      </c>
      <c r="BR58" s="61" t="n">
        <f aca="false">IFERROR(LEN(SUBSTITUTE(CC58," ",""))-SUMPRODUCT((LEN(CC58)-LEN(SUBSTITUTE(CC58," "&amp;L_Role&amp;" "," ")))/(LEN(L_Role)+1)*LEN(L_Role)),0)</f>
        <v>0</v>
      </c>
      <c r="BS58" s="61" t="n">
        <f aca="false">IFERROR(LEN(SUBSTITUTE(CD58," ",""))-SUMPRODUCT((LEN(CD58)-LEN(SUBSTITUTE(CD58," "&amp;L_Role&amp;" "," ")))/(LEN(L_Role)+1)*LEN(L_Role)),0)</f>
        <v>0</v>
      </c>
      <c r="BT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revision",""),"version",""),"jan",""),"feb",""),"mar",""),"apr",""),"may",""),"jun",""),"jul",""),"aug",""),"sep",""),"oct",""),"nov",""),"dec",""),"utc",""),"gmt",""),"myt",""),"bst",""),"rev",""),"ver",""),"b","a"),"c","a"),"d","a"),"e","a"),"f","a"),"g","a"),"h","a"),"i","a"),"j","a"),"k","a"),"l","a"),"m","a"),"n","a"),"o","a"),"p","a"),"q","a"),"r","a"),"s","a"),"t","a"),"u","a"),"v","a"),"w","a"),"x","a"),"y","a"),"z","a")</f>
        <v/>
      </c>
      <c r="BU58" s="61" t="str">
        <f aca="false">SUBSTITUTE(SUBSTITUTE(SUBSTITUTE(SUBSTITUTE(SUBSTITUTE(SUBSTITUTE(SUBSTITUTE(SUBSTITUTE(SUBSTITUTE(SUBSTITUTE(LEFT(BM58,FIND("0",BM58&amp;"0")-1),"-",""),"_",""),"/",""),".",""),"#",""),"\\",""),":","")," ",""),"(",""),")","")</f>
        <v/>
      </c>
      <c r="BV58" s="61" t="n">
        <f aca="false">IFERROR(IF(OR(SUMPRODUCT((LEN(BC58)-LEN(SUBSTITUTE(BC58," "&amp;L_NotLoaded&amp;" "," ")))/(LEN(L_NotLoaded)+1))&gt;SUMPRODUCT((LEN(BC58)-LEN(SUBSTITUTE(BC58," "&amp;L_NotLoadedNeg&amp;" "," ")))/(LEN(L_NotLoadedNeg)+1)),SUMPRODUCT((LEN(BD58)-LEN(SUBSTITUTE(BD58," "&amp;L_NotLoaded&amp;" "," ")))/(LEN(L_NotLoaded)+1))&gt;SUMPRODUCT((LEN(BD58)-LEN(SUBSTITUTE(BD58," "&amp;L_NotLoadedNeg&amp;" "," ")))/(LEN(L_NotLoadedNeg)+1))),1,0),0)</f>
        <v>0</v>
      </c>
      <c r="BW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amp;""),"a",""),"b",""),"c",""),"d",""),"e",""),"f",""),"g",""),"h",""),"i",""),"j",""),"k",""),"l",""),"m",""),"n",""),"o",""),"p",""),"q",""),"r",""),"s",""),"t",""),"u",""),"v",""),"w",""),"x",""),"y",""),"z",""),"-",""),"_",""),"/",""),".",""),"#",""),"\\",""),":","")," ",""),"(",""),")","")</f>
        <v/>
      </c>
      <c r="BX58" s="61" t="str">
        <f aca="false">SUBSTITUTE(SUBSTITUTE(SUBSTITUTE(SUBSTITUTE(SUBSTITUTE(SUBSTITUTE(SUBSTITUTE(SUBSTITUTE(SUBSTITUTE(SUBSTITUTE(SUBSTITUTE(BM58,"0",""),"-",""),"_",""),"/",""),".",""),"#",""),"\\",""),":","")," ",""),"(",""),")","")</f>
        <v/>
      </c>
      <c r="BY58" s="62" t="n">
        <f aca="false">IF(ISNUMBER(Flights!$AZ$6),MAX(Q58-UpliftWindowH/24,Flights!$AZ$6),Q58-UpliftWindowH/24)</f>
        <v>46304.3263888889</v>
      </c>
      <c r="BZ58" s="61" t="n">
        <f aca="false">IFERROR(IF(IF(TRIM(S58)="Link / file path",AND(LEN(TRIM(Z58))&gt;=5,SUMPRODUCT(--ISNUMBER(SEARCH({"http","www.","\\",":\",".pdf",".jpg",".jpeg",".png",".heic",".xls",".doc",".msg",".eml",".ppt",".txt",".zip"},Z58)))&gt;0),AND(ISERROR(FIND(" ",TRIM(Z58))),NOT(OR(SUMPRODUCT(--ISNUMBER(FIND({",",";","&amp;","+"},Z58)))&gt;0,SUMPRODUCT(--ISNUMBER(SEARCH({"0/aa","0\\aa"},BN58)))&gt;0)),NOT(SUMPRODUCT(--ISNUMBER(SEARCH({"http","www.","\\",":\",".pdf",".jpg",".jpeg",".png",".heic",".xls",".doc",".msg",".eml",".ppt",".txt",".zip"},Z58)))&gt;0),NOT(LOWER(TRIM(Z58))=LOWER(Flights!$F$6)),ISNA(MATCH(BU58,{"mh","rev","revision","ver","version","v","r","a","b","seat","tray","row","gate","bay","stand","page","pg","item","line","no","cart","galley","flight","flt","table","box","bag","oven","etd","eta","std","sta","atd","ata","qty","pax","x","time","tel","ph","mob","day","wk","week","utc","gmt","myt","lt"},0)),NOT(OR(ISNUMBER(MATCH(LEFT(BN58,255),{"0000a","000a","00a","0000aa","000aa","00aa","0aa","0000aaa","000aaa","00a00","0a00","0000-0000","00:00","a00","a0","00.00.0000","00/00/0000","00-00-0000","0000-00-00","0000/00/00","0000.00.00","00.00.00","00/00/00","00-00-00","0.00.0000","0/00/0000","0-00-0000"},0)),ISNUMBER(MATCH(LEFT(BT58,255),{"0000a","000a","00a","0000aa","000aa","00aa","0aa","0000aaa","000aaa","00a00","0a00","0000-0000","00:00","a00","a0","00.00.0000","00/00/0000","00-00-0000","0000-00-00","0000/00/00","0000.00.00","00.00.00","00/00/00","00-00-00","0.00.0000","0/00/0000","0-00-0000"},0)))),NOT(OR(AND(BW58&lt;&gt;"",SUBSTITUTE(BW58,"0","")=""),AND(LEN(BW58)&gt;=4,BW58=REPT(LEFT(BW58),LEN(BW58))),ISNUMBER(MATCH(BW58,{"123","1234","12345","123456","1234567","12345678","0123","01234","012345","98765","987654","54321"},0)),ISNUMBER(MATCH(BX58,{"x","xx","xxx","xxxx","xxxxx","abc","abcd","nil","na","nan","test","tbc","tba","tbd","dummy","sample","example","eg","zz","zzz","none","null","xyz","qwe","asd","id","ref"},0)),AND(LEN(BW58)=8,BX58="",OR(LEFT(BW58,3)="202",ISNUMBER(MATCH(RIGHT(BW58,4),{"2025","2026","2027"},0)))))),OR(AND((LEN(BT58)-LEN(SUBSTITUTE(BT58,"a","")))&gt;=1,(LEN(BN58)-LEN(SUBSTITUTE(BN58,"0","")))&gt;=2,SUMPRODUCT(--ISNUMBER(SEARCH({"a0","a-0","a_0","a/0","a.0","a#0","0a","0-a","0_a","0/a"},BN58)))&gt;0),AND((LEN(BN58)-LEN(SUBSTITUTE(BN58,"a","")))=0,(LEN(BN58)-LEN(SUBSTITUTE(BN58,"0","")))&gt;=5)))),1,0),0)</f>
        <v>0</v>
      </c>
      <c r="CA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revision",""),"version",""),"jan",""),"feb",""),"mar",""),"apr",""),"may",""),"jun",""),"jul",""),"aug",""),"sep",""),"oct",""),"nov",""),"dec",""),"utc",""),"gmt",""),"myt",""),"bst",""),"rev",""),"ver",""),"b","a"),"c","a"),"d","a"),"e","a"),"f","a"),"g","a"),"h","a"),"i","a"),"j","a"),"k","a"),"l","a"),"m","a"),"n","a"),"o","a"),"p","a"),"q","a"),"r","a"),"s","a"),"t","a"),"u","a"),"v","a"),"w","a"),"x","a"),"y","a"),"z","a")</f>
        <v/>
      </c>
      <c r="CB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amp;""),"a",""),"b",""),"c",""),"d",""),"e",""),"f",""),"g",""),"h",""),"i",""),"j",""),"k",""),"l",""),"m",""),"n",""),"o",""),"p",""),"q",""),"r",""),"s",""),"t",""),"u",""),"v",""),"w",""),"x",""),"y",""),"z",""),"-",""),"_",""),"/",""),".",""),"#",""),"\\",""),":","")," ",""),"(",""),")","")</f>
        <v/>
      </c>
      <c r="CC58" s="0" t="str">
        <f aca="false">" "&amp;TRIM(SUBSTITUTE(SUBSTITUTE(SUBSTITUTE(SUBSTITUTE(SUBSTITUTE(SUBSTITUTE(SUBSTITUTE(SUBSTITUTE(SUBSTITUTE(SUBSTITUTE(SUBSTITUTE(SUBSTITUTE(SUBSTITUTE(SUBSTITUTE(SUBSTITUTE(SUBSTITUTE(SUBSTITUTE(SUBSTITUTE(SUBSTITUTE(SUBSTITUTE(SUBSTITUTE(SUBSTITUTE(SUBSTITUTE(SUBSTITUTE(LOWER(T58&amp;""),CHAR(10)," "),CHAR(13)," "),CHAR(9)," "),CHAR(160)," "),"."," "),","," "),"-"," "),"/"," "),"("," "),")"," "),":"," "),";"," "),"_"," "),"–"," "),"?"," "),"!"," "),"*"," "),"["," "),"]"," "),"'"," "),"#"," "),"+"," "),"&amp;"," "),"\"," "))&amp;" "</f>
        <v>  </v>
      </c>
      <c r="CD58" s="0" t="str">
        <f aca="false">" "&amp;TRIM(SUBSTITUTE(SUBSTITUTE(SUBSTITUTE(SUBSTITUTE(SUBSTITUTE(SUBSTITUTE(SUBSTITUTE(SUBSTITUTE(SUBSTITUTE(SUBSTITUTE(SUBSTITUTE(SUBSTITUTE(SUBSTITUTE(SUBSTITUTE(SUBSTITUTE(SUBSTITUTE(SUBSTITUTE(SUBSTITUTE(SUBSTITUTE(SUBSTITUTE(SUBSTITUTE(SUBSTITUTE(SUBSTITUTE(SUBSTITUTE(LOWER(AE58&amp;""),CHAR(10)," "),CHAR(13)," "),CHAR(9)," "),CHAR(160)," "),"."," "),","," "),"-"," "),"/"," "),"("," "),")"," "),":"," "),";"," "),"_"," "),"–"," "),"?"," "),"!"," "),"*"," "),"["," "),"]"," "),"'"," "),"#"," "),"+"," "),"&amp;"," "),"\"," "))&amp;" "</f>
        <v>  </v>
      </c>
      <c r="CE58" s="68" t="n">
        <f aca="false">IFERROR(IF(AND(LEN(AU58)&gt;0,LEN(AU58)=LEN(AX58),OR(TRIM(MID(SUBSTITUTE(TRIM(CC58)," ",REPT(" ",60)),1,60))="",ISNUMBER(SEARCH(" "&amp;TRIM(MID(SUBSTITUTE(TRIM(CC58)," ",REPT(" ",60)),1,60))&amp;" ",CD58))),OR(TRIM(MID(SUBSTITUTE(TRIM(CC58)," ",REPT(" ",60)),61,60))="",ISNUMBER(SEARCH(" "&amp;TRIM(MID(SUBSTITUTE(TRIM(CC58)," ",REPT(" ",60)),61,60))&amp;" ",CD58))),OR(TRIM(MID(SUBSTITUTE(TRIM(CC58)," ",REPT(" ",60)),121,60))="",ISNUMBER(SEARCH(" "&amp;TRIM(MID(SUBSTITUTE(TRIM(CC58)," ",REPT(" ",60)),121,60))&amp;" ",CD58)))),1,0),0)</f>
        <v>0</v>
      </c>
      <c r="CG58" s="68" t="n">
        <f aca="false">IFERROR(LEN(SUBSTITUTE(BF58," ",""))-SUMPRODUCT((LEN(BF58)-LEN(SUBSTITUTE(BF58," "&amp;L_NAFiller&amp;" "," ")))/(LEN(L_NAFiller)+1)*LEN(L_NAFiller)),0)</f>
        <v>0</v>
      </c>
    </row>
    <row r="59" customFormat="false" ht="41.25" hidden="false" customHeight="true" outlineLevel="0" collapsed="false">
      <c r="A59" s="57" t="s">
        <v>533</v>
      </c>
      <c r="B59" s="57" t="s">
        <v>198</v>
      </c>
      <c r="C59" s="57" t="str">
        <f aca="false">Flights!$F$6</f>
        <v>MH0727</v>
      </c>
      <c r="D59" s="58" t="n">
        <f aca="false">Flights!$D$6</f>
        <v>46304</v>
      </c>
      <c r="E59" s="57" t="str">
        <f aca="false">Flights!$G$6&amp;"-"&amp;Flights!$H$6</f>
        <v>KUL-CGK</v>
      </c>
      <c r="F59" s="57" t="str">
        <f aca="false">Flights!$K$6</f>
        <v>BC</v>
      </c>
      <c r="G59" s="57" t="s">
        <v>459</v>
      </c>
      <c r="H59" s="57" t="s">
        <v>460</v>
      </c>
      <c r="I59" s="57" t="s">
        <v>440</v>
      </c>
      <c r="J59" s="57" t="s">
        <v>534</v>
      </c>
      <c r="K59" s="67" t="s">
        <v>495</v>
      </c>
      <c r="L59" s="67" t="s">
        <v>496</v>
      </c>
      <c r="M59" s="67" t="s">
        <v>451</v>
      </c>
      <c r="N59" s="67" t="s">
        <v>383</v>
      </c>
      <c r="O59" s="67" t="s">
        <v>535</v>
      </c>
      <c r="P59" s="57" t="s">
        <v>187</v>
      </c>
      <c r="Q59" s="59" t="n">
        <f aca="false">ROUND((Flights!$AF$6)*1440,0)/1440</f>
        <v>46304.5763888889</v>
      </c>
      <c r="R59" s="59" t="n">
        <f aca="false">Q59+(IF(AND(INDEX(TZ_DSTS,MATCH(P59,TZ_STN,0))&lt;&gt;"",Q59&gt;=INDEX(TZ_DSTS,MATCH(P59,TZ_STN,0)),Q59&lt;INDEX(TZ_DSTE,MATCH(P59,TZ_STN,0))),INDEX(TZ_DST,MATCH(P59,TZ_STN,0)),INDEX(TZ_STD,MATCH(P59,TZ_STN,0))))/24</f>
        <v>46304.9097222222</v>
      </c>
      <c r="S59" s="60"/>
      <c r="T59" s="60"/>
      <c r="U59" s="60"/>
      <c r="V59" s="60"/>
      <c r="W59" s="61"/>
      <c r="X59" s="60"/>
      <c r="Y59" s="60"/>
      <c r="Z59" s="60"/>
      <c r="AA59" s="60"/>
      <c r="AB59" s="60"/>
      <c r="AC59" s="60"/>
      <c r="AD59" s="66"/>
      <c r="AE59" s="60"/>
      <c r="AF59" s="61" t="str">
        <f aca="false">IF(AND(ISNUMBER(X59),ISNUMBER(Y59)),Y59-X59,"")</f>
        <v/>
      </c>
      <c r="AG59" s="62" t="str">
        <f aca="false">IF(ISNUMBER(AD59),AD59-(IF(AND(INDEX(TZ_DSTS,MATCH(P59,TZ_STN,0))&lt;&gt;"",(AD59-INDEX(TZ_STD,MATCH(P59,TZ_STN,0))/24)&gt;=INDEX(TZ_DSTS,MATCH(P59,TZ_STN,0)),(AD59-INDEX(TZ_STD,MATCH(P59,TZ_STN,0))/24)&lt;INDEX(TZ_DSTE,MATCH(P59,TZ_STN,0))),INDEX(TZ_DST,MATCH(P59,TZ_STN,0)),INDEX(TZ_STD,MATCH(P59,TZ_STN,0))))/24,"")</f>
        <v/>
      </c>
      <c r="AH59" s="65" t="str">
        <f aca="false">IFERROR(IF(N59="N/A – rule",IF(OR(TRIM(U59)="",TRIM(U59)="N/A",TRIM(U59)="Not started"),"N/A – RULE","INVALID – this check does not apply to this aircraft: clear the status (or correct the fleet on Flights)"),IF(TRIM(U59)="N/A",IF(AT59=0,"INVALID – N/A not permitted for this check",IF(AND(TRIM(AB59)&lt;&gt;"",TRIM(AB59)&lt;&gt;"Closed"),"INVALID – corrective action still open",IF(AND(NOT(OR(LEN(AZ59)&lt;15,ISNUMBER(MATCH(AZ59,L_Placeholder,0)))),BK59=0,CG59&gt;=8,NOT(OR(LEN(AU59)&lt;2,ISNUMBER(MATCH(AU59,L_Placeholder,0)))),BR59&gt;=3,NOT(OR(LEN(AX59)&lt;2,ISNUMBER(MATCH(AX59,L_Placeholder,0)))),BS59&gt;=3,TRIM(AE59)&lt;&gt;TRIM(T59),AX59&lt;&gt;AU59,CE59=0),"N/A – JUSTIFIED","INVALID – N/A needs a real, settled reason (not 'not applicable' / 'as above' / TBC), a named PIC and a different named verifier"))),IF(OR(TRIM(U59)="Pass",TRIM(U59)="Pass after CA"),IF(NOT(ISNUMBER(AD59)),"INVALID – completion time missing",IF(OR(OR(LEN(AU59)&lt;2,ISNUMBER(MATCH(AU59,L_Placeholder,0))),BR59&lt;3),"INVALID – PIC missing or not a named person (a role such as QA / CSM is not a name)",IF(OR(LEN(AV59)&lt;2,ISNUMBER(MATCH(AV59,L_Placeholder,0))),"INVALID – result / assessment missing",IF(OR(OR(LEN(AW59)&lt;3,ISNUMBER(MATCH(AW59,L_Placeholder,0))),SUMPRODUCT(--ISNUMBER(SEARCH(" "&amp;L_EvidencePhrase&amp;" ",BD59)))&gt;0,BI59=1),"INVALID – evidence missing, placeholder or not yet on file",IF(ISNA(MATCH(TRIM(S59),L_EvidenceType,0)),"INVALID – choose the evidence type from the list (column S)",IF(BL59=0,"INVALID – evidence ID must be the record's own ID only (e.g. SF-2210, IMG_2231, 1045521); a link / file name needs type 'Link / file path'",IF(OR(OR(LEN(AX59)&lt;2,ISNUMBER(MATCH(AX59,L_Placeholder,0))),BS59&lt;3),"INVALID – verifier missing or not a named person (a role such as QA / CSM is not a name)",IF(OR(AX59=AU59,CE59=1,AND(LEN(AU59)&gt;=4,ISNUMBER(SEARCH(AU59,AX59))),AND(LEN(AX59)&gt;=4,ISNUMBER(SEARCH(AX59,AU59)))),"INVALID – verifier must be a different, named person (not the PIC or a role)",IF(BH59=1,"INVALID – result not yet available (awaiting / TBC)",IF(BG59=1,"INVALID – result describes a problem: record Fail, then Pass after CA (or reword if it is not a problem)",IF(BV59=1,"INVALID – wording says not on board: an on-board confirmation needs the item loaded",IF(AND(AQ59=1,OR(OR(LEN(AY59)&lt;3,ISNUMBER(MATCH(AY59,L_Placeholder,0))),BJ59=1,BQ59=0)),"INVALID – batch ID missing, placeholder or not an ID (e.g. PASB-261008-BC-017)",IF(AND(AR59=1,OR(NOT(ISNUMBER(X59)),NOT(ISNUMBER(Y59)))),"INVALID – expected/actual qty missing",IF(AND(AR59=1,OR(X59&lt;=0,Y59&lt;0)),"INVALID – expected qty must be above 0 and actual not negative",IF(AH47="N/A – JUSTIFIED","INVALID – preparation row F02-T12-08 is N/A",IF(AND(AR59=1,ISNUMBER(X47),X59&lt;&gt;X47,TRIM(U59)&lt;&gt;"Pass after CA"),"INVALID – expected qty differs from preparation check F02-T12-08: record the load change as a corrective action (Pass after CA)",IF(BB59&lt;&gt;"",BB59,IF(AND(AS59=1,Documents!$J$6&lt;&gt;"ON FILE"),"INVALID – GLD not on file (Documents sheet)",IF(AND(AS59=2,Documents!$O$6&lt;&gt;"ON FILE"),"INVALID – menu checklist not on file (Documents sheet)",IF(AND(AS59=3,NOT(ISNUMBER(Flights!$AX$6))),"INVALID – enter carrying flight KUL departure (Flights AX)",IF(AND(AS59=3,OR(Flights!$AZ$6&gt;Flights!$AA$6,Flights!$AX$6&lt;Flights!$AA$6-3)),"INVALID – carrying flight (Flights AX) cannot arrive before this leg's STD, or is over 3 days early",IF(AG59&gt;AsOfUTC,"INVALID – completion time is in the future",IF(AND(ISNUMBER(BY59),AG59&lt;BY59),IF(H59="Physical uplift","INVALID – before uplift window (cannot confirm loading)","INVALID – before valid window"),IF(AG59&gt;Flights!$AA$6,"INVALID – completed after departure (cannot establish readiness)",IF(AND(H59="Preparation",AG59&gt;=IF(ISNUMBER(Flights!$BA$6),MIN(Flights!$BA$6,Flights!$AA$6),Flights!$AA$6)),"INVALID – completed after loading / departure (cannot establish readiness)",IF(AND(H59="Physical uplift",AG59&gt;Q59),"INVALID – recorded after the loading flight departed",IF(AG59&gt;Q59,"COMPLETE – LATE","COMPLETE"))))))))))))))))))))))))))),IF(TRIM(U59)="Fail","FAIL – DISCREPANCY",IF(AND(TRIM(U59)&lt;&gt;"",TRIM(U59)&lt;&gt;"Not started",TRIM(U59)&lt;&gt;"In progress"),"INVALID – unrecognised status (use the list)",IF(AsOfUTC&gt;Q59,"OVERDUE",IF(N59="Clarification required","OPEN – CLARIFICATION","OPEN"))))))),"INVALID – error value in an input cell")</f>
        <v>OPEN</v>
      </c>
      <c r="AI59" s="61" t="n">
        <f aca="false">IF(OR(AH59="N/A – RULE",AH59="N/A – JUSTIFIED"),0,1)</f>
        <v>1</v>
      </c>
      <c r="AJ59" s="61" t="n">
        <f aca="false">IF(LEFT(AH59,8)="COMPLETE",1,0)</f>
        <v>0</v>
      </c>
      <c r="AK59" s="61" t="n">
        <f aca="false">IF(AND(AI59=1,AJ59=0,AsOfUTC&gt;Q59),1,0)</f>
        <v>0</v>
      </c>
      <c r="AL59" s="61" t="n">
        <f aca="false">IFERROR(IF(AND(AI59=1,OR(TRIM(U59)="Fail",AND(TRIM(AB59)&lt;&gt;"",TRIM(AB59)&lt;&gt;"Closed"),AND(ISNUMBER(AF59),AF59&lt;&gt;0,TRIM(U59)&lt;&gt;"Pass after CA"))),1,0),1)</f>
        <v>0</v>
      </c>
      <c r="AM59" s="61" t="n">
        <f aca="false">IF(LEFT(AH59,7)="INVALID",1,0)</f>
        <v>0</v>
      </c>
      <c r="AN59" s="61" t="n">
        <f aca="false">IF(AND(N59="Clarification required",AI59=1,AJ59=0),1,0)</f>
        <v>0</v>
      </c>
      <c r="AO59" s="61" t="str">
        <f aca="false">IF(AK59=1,SUM(AK$5:AK59),"")</f>
        <v/>
      </c>
      <c r="AP59" s="61" t="str">
        <f aca="false">IF(AL59=1,SUM(AL$5:AL59),"")</f>
        <v/>
      </c>
      <c r="AQ59" s="61" t="n">
        <v>0</v>
      </c>
      <c r="AR59" s="61" t="n">
        <v>0</v>
      </c>
      <c r="AS59" s="61" t="n">
        <v>0</v>
      </c>
      <c r="AT59" s="61" t="n">
        <v>0</v>
      </c>
      <c r="AU59" s="61" t="str">
        <f aca="false">SUBSTITUTE(SUBSTITUTE(SUBSTITUTE(SUBSTITUTE(SUBSTITUTE(SUBSTITUTE(SUBSTITUTE(SUBSTITUTE(SUBSTITUTE(SUBSTITUTE(SUBSTITUTE(SUBSTITUTE(SUBSTITUTE(SUBSTITUTE(SUBSTITUTE(SUBSTITUTE(LOWER(T59&amp;""),CHAR(10),""),CHAR(13),""),CHAR(9),""),CHAR(160),"")," ",""),".",""),"-",""),"/",""),"?",""),"_",""),",",""),"[",""),"]",""),"(",""),")",""),"*","")</f>
        <v/>
      </c>
      <c r="AV59" s="61" t="str">
        <f aca="false">SUBSTITUTE(SUBSTITUTE(SUBSTITUTE(SUBSTITUTE(SUBSTITUTE(SUBSTITUTE(SUBSTITUTE(SUBSTITUTE(SUBSTITUTE(SUBSTITUTE(SUBSTITUTE(SUBSTITUTE(SUBSTITUTE(SUBSTITUTE(SUBSTITUTE(SUBSTITUTE(LOWER(V59&amp;""),CHAR(10),""),CHAR(13),""),CHAR(9),""),CHAR(160),"")," ",""),".",""),"-",""),"/",""),"?",""),"_",""),",",""),"[",""),"]",""),"(",""),")",""),"*","")</f>
        <v/>
      </c>
      <c r="AW59" s="61" t="str">
        <f aca="false">SUBSTITUTE(SUBSTITUTE(SUBSTITUTE(SUBSTITUTE(SUBSTITUTE(SUBSTITUTE(SUBSTITUTE(SUBSTITUTE(SUBSTITUTE(SUBSTITUTE(SUBSTITUTE(SUBSTITUTE(SUBSTITUTE(SUBSTITUTE(SUBSTITUTE(SUBSTITUTE(LOWER(Z59&amp;""),CHAR(10),""),CHAR(13),""),CHAR(9),""),CHAR(160),"")," ",""),".",""),"-",""),"/",""),"?",""),"_",""),",",""),"[",""),"]",""),"(",""),")",""),"*","")</f>
        <v/>
      </c>
      <c r="AX59" s="61" t="str">
        <f aca="false">SUBSTITUTE(SUBSTITUTE(SUBSTITUTE(SUBSTITUTE(SUBSTITUTE(SUBSTITUTE(SUBSTITUTE(SUBSTITUTE(SUBSTITUTE(SUBSTITUTE(SUBSTITUTE(SUBSTITUTE(SUBSTITUTE(SUBSTITUTE(SUBSTITUTE(SUBSTITUTE(LOWER(AE59&amp;""),CHAR(10),""),CHAR(13),""),CHAR(9),""),CHAR(160),"")," ",""),".",""),"-",""),"/",""),"?",""),"_",""),",",""),"[",""),"]",""),"(",""),")",""),"*","")</f>
        <v/>
      </c>
      <c r="AY59" s="61" t="str">
        <f aca="false">SUBSTITUTE(SUBSTITUTE(SUBSTITUTE(SUBSTITUTE(SUBSTITUTE(SUBSTITUTE(SUBSTITUTE(SUBSTITUTE(SUBSTITUTE(SUBSTITUTE(SUBSTITUTE(SUBSTITUTE(SUBSTITUTE(SUBSTITUTE(SUBSTITUTE(SUBSTITUTE(LOWER(W59&amp;""),CHAR(10),""),CHAR(13),""),CHAR(9),""),CHAR(160),"")," ",""),".",""),"-",""),"/",""),"?",""),"_",""),",",""),"[",""),"]",""),"(",""),")",""),"*","")</f>
        <v/>
      </c>
      <c r="AZ59" s="61" t="str">
        <f aca="false">SUBSTITUTE(SUBSTITUTE(SUBSTITUTE(SUBSTITUTE(SUBSTITUTE(SUBSTITUTE(SUBSTITUTE(SUBSTITUTE(SUBSTITUTE(SUBSTITUTE(SUBSTITUTE(SUBSTITUTE(SUBSTITUTE(SUBSTITUTE(SUBSTITUTE(SUBSTITUTE(LOWER(AC59&amp;""),CHAR(10),""),CHAR(13),""),CHAR(9),""),CHAR(160),"")," ",""),".",""),"-",""),"/",""),"?",""),"_",""),",",""),"[",""),"]",""),"(",""),")",""),"*","")</f>
        <v/>
      </c>
      <c r="BA59" s="61" t="str">
        <f aca="false">SUBSTITUTE(SUBSTITUTE(SUBSTITUTE(SUBSTITUTE(SUBSTITUTE(SUBSTITUTE(SUBSTITUTE(SUBSTITUTE(SUBSTITUTE(SUBSTITUTE(SUBSTITUTE(SUBSTITUTE(SUBSTITUTE(SUBSTITUTE(SUBSTITUTE(SUBSTITUTE(LOWER(AA59&amp;""),CHAR(10),""),CHAR(13),""),CHAR(9),""),CHAR(160),"")," ",""),".",""),"-",""),"/",""),"?",""),"_",""),",",""),"[",""),"]",""),"(",""),")",""),"*","")</f>
        <v/>
      </c>
      <c r="BB59" s="61" t="str">
        <f aca="false">IF(AND(TRIM(U59)="Pass",ISNUMBER(AF59)),IF(AF59&lt;&gt;0,"INVALID – qty variance: use Fail or Pass after CA",""),"")&amp;IF(AND(TRIM(U59)="Pass after CA",ISNUMBER(AF59)),IF(AF59&lt;&gt;0,"INVALID – after the corrective action the actual qty must equal expected (update Actual)",""),"")&amp;IF(AND(TRIM(U59)="Pass",TRIM(AB59)&lt;&gt;"",TRIM(AB59)&lt;&gt;"Closed"),"INVALID – corrective action not closed: use Fail, then Pass after CA","")&amp;IF(AND(LEN(BA59)&gt;=2,ISNA(MATCH(LEFT(BA59,255),L_Placeholder,0)),TRIM(AB59)=""),"INVALID – CA status missing for the recorded corrective action","")&amp;IF(AND(TRIM(U59)="Pass after CA",OR(OR(LEN(BA59)&lt;5,ISNUMBER(MATCH(BA59,L_Placeholder,0))),TRIM(AB59)&lt;&gt;"Closed")),"INVALID – corrective action not recorded/closed","")</f>
        <v/>
      </c>
      <c r="BC59" s="61" t="str">
        <f aca="false">" "&amp;TRIM(SUBSTITUTE(SUBSTITUTE(SUBSTITUTE(SUBSTITUTE(SUBSTITUTE(SUBSTITUTE(SUBSTITUTE(SUBSTITUTE(SUBSTITUTE(SUBSTITUTE(SUBSTITUTE(SUBSTITUTE(SUBSTITUTE(SUBSTITUTE(SUBSTITUTE(SUBSTITUTE(SUBSTITUTE(SUBSTITUTE(SUBSTITUTE(SUBSTITUTE(SUBSTITUTE(SUBSTITUTE(SUBSTITUTE(SUBSTITUTE(LOWER(V59&amp;""),CHAR(10)," "),CHAR(13)," "),CHAR(9)," "),CHAR(160)," "),"."," "),","," "),"-"," "),"/"," "),"("," "),")"," "),":"," "),";"," "),"_"," "),"–"," "),"?"," "),"!"," "),"*"," "),"["," "),"]"," "),"'"," "),"#"," "),"+"," "),"&amp;"," "),"\"," "))&amp;" "</f>
        <v>  </v>
      </c>
      <c r="BD59" s="61" t="str">
        <f aca="false">" "&amp;TRIM(SUBSTITUTE(SUBSTITUTE(SUBSTITUTE(SUBSTITUTE(SUBSTITUTE(SUBSTITUTE(SUBSTITUTE(SUBSTITUTE(SUBSTITUTE(SUBSTITUTE(SUBSTITUTE(SUBSTITUTE(SUBSTITUTE(SUBSTITUTE(SUBSTITUTE(SUBSTITUTE(SUBSTITUTE(SUBSTITUTE(SUBSTITUTE(SUBSTITUTE(SUBSTITUTE(SUBSTITUTE(SUBSTITUTE(SUBSTITUTE(LOWER(Z59&amp;""),CHAR(10)," "),CHAR(13)," "),CHAR(9)," "),CHAR(160)," "),"."," "),","," "),"-"," "),"/"," "),"("," "),")"," "),":"," "),";"," "),"_"," "),"–"," "),"?"," "),"!"," "),"*"," "),"["," "),"]"," "),"'"," "),"#"," "),"+"," "),"&amp;"," "),"\"," "))&amp;" "</f>
        <v>  </v>
      </c>
      <c r="BE59" s="61" t="str">
        <f aca="false">" "&amp;TRIM(SUBSTITUTE(SUBSTITUTE(SUBSTITUTE(SUBSTITUTE(SUBSTITUTE(SUBSTITUTE(SUBSTITUTE(SUBSTITUTE(SUBSTITUTE(SUBSTITUTE(SUBSTITUTE(SUBSTITUTE(SUBSTITUTE(SUBSTITUTE(SUBSTITUTE(SUBSTITUTE(SUBSTITUTE(SUBSTITUTE(SUBSTITUTE(SUBSTITUTE(SUBSTITUTE(SUBSTITUTE(SUBSTITUTE(SUBSTITUTE(LOWER(W59&amp;""),CHAR(10)," "),CHAR(13)," "),CHAR(9)," "),CHAR(160)," "),"."," "),","," "),"-"," "),"/"," "),"("," "),")"," "),":"," "),";"," "),"_"," "),"–"," "),"?"," "),"!"," "),"*"," "),"["," "),"]"," "),"'"," "),"#"," "),"+"," "),"&amp;"," "),"\"," "))&amp;" "</f>
        <v>  </v>
      </c>
      <c r="BF59" s="61" t="str">
        <f aca="false">" "&amp;TRIM(SUBSTITUTE(SUBSTITUTE(SUBSTITUTE(SUBSTITUTE(SUBSTITUTE(SUBSTITUTE(SUBSTITUTE(SUBSTITUTE(SUBSTITUTE(SUBSTITUTE(SUBSTITUTE(SUBSTITUTE(SUBSTITUTE(SUBSTITUTE(SUBSTITUTE(SUBSTITUTE(SUBSTITUTE(SUBSTITUTE(SUBSTITUTE(SUBSTITUTE(SUBSTITUTE(SUBSTITUTE(SUBSTITUTE(SUBSTITUTE(LOWER(AC59&amp;""),CHAR(10)," "),CHAR(13)," "),CHAR(9)," "),CHAR(160)," "),"."," "),","," "),"-"," "),"/"," "),"("," "),")"," "),":"," "),";"," "),"_"," "),"–"," "),"?"," "),"!"," "),"*"," "),"["," "),"]"," "),"'"," "),"#"," "),"+"," "),"&amp;"," "),"\"," "))&amp;" "</f>
        <v>  </v>
      </c>
      <c r="BG59" s="61" t="n">
        <f aca="false">IFERROR(IF(AND(TRIM(U59)="Pass",SUMPRODUCT((LEN(BC59)-LEN(SUBSTITUTE(BC59," "&amp;L_ResultBad&amp;" "," ")))/(LEN(L_ResultBad)+1))&gt;SUMPRODUCT((LEN(BC59)-LEN(SUBSTITUTE(BC59," "&amp;L_NegPhrase&amp;" "," ")))/(LEN(L_NegPhrase)+1))),1,0),0)</f>
        <v>0</v>
      </c>
      <c r="BH59" s="61" t="n">
        <f aca="false">IFERROR(IF(SUMPRODUCT((LEN(BC59)-LEN(SUBSTITUTE(BC59," "&amp;L_Pending&amp;" "," ")))/(LEN(L_Pending)+1))&gt;SUMPRODUCT((LEN(BC59)-LEN(SUBSTITUTE(BC59," "&amp;L_PendNeg&amp;" "," ")))/(LEN(L_PendNeg)+1)),1,0),1)</f>
        <v>0</v>
      </c>
      <c r="BI59" s="61" t="n">
        <f aca="false">IFERROR(IF(SUMPRODUCT((LEN(BD59)-LEN(SUBSTITUTE(BD59," "&amp;L_PendStrict&amp;" "," ")))/(LEN(L_PendStrict)+1))&gt;SUMPRODUCT((LEN(BD59)-LEN(SUBSTITUTE(BD59," "&amp;L_PendNeg&amp;" "," ")))/(LEN(L_PendNeg)+1)),1,0),1)</f>
        <v>0</v>
      </c>
      <c r="BJ59" s="61" t="n">
        <f aca="false">IFERROR(IF(SUMPRODUCT((LEN(BE59)-LEN(SUBSTITUTE(BE59," "&amp;L_Pending&amp;" "," ")))/(LEN(L_Pending)+1))&gt;SUMPRODUCT((LEN(BE59)-LEN(SUBSTITUTE(BE59," "&amp;L_PendNeg&amp;" "," ")))/(LEN(L_PendNeg)+1)),1,0),1)</f>
        <v>0</v>
      </c>
      <c r="BK59" s="61" t="n">
        <f aca="false">IFERROR(IF(SUMPRODUCT((LEN(BF59)-LEN(SUBSTITUTE(BF59," "&amp;L_PendStrict&amp;" "," ")))/(LEN(L_PendStrict)+1))&gt;SUMPRODUCT((LEN(BF59)-LEN(SUBSTITUTE(BF59," "&amp;L_PendNeg&amp;" "," ")))/(LEN(L_PendNeg)+1)),1,0),1)</f>
        <v>0</v>
      </c>
      <c r="BL59" s="61" t="n">
        <f aca="false">IF(ISNA(MATCH(TRIM(S59),L_EvidenceType,0)),0,BZ59)</f>
        <v>0</v>
      </c>
      <c r="BM59" s="61" t="str">
        <f aca="false">SUBSTITUTE(SUBSTITUTE(SUBSTITUTE(SUBSTITUTE(SUBSTITUTE(SUBSTITUTE(SUBSTITUTE(SUBSTITUTE(SUBSTITUTE(LOWER(Z59&amp;""),"1","0"),"2","0"),"3","0"),"4","0"),"5","0"),"6","0"),"7","0"),"8","0"),"9","0")</f>
        <v/>
      </c>
      <c r="BN59" s="61" t="str">
        <f aca="false">SUBSTITUTE(SUBSTITUTE(SUBSTITUTE(SUBSTITUTE(SUBSTITUTE(SUBSTITUTE(SUBSTITUTE(SUBSTITUTE(SUBSTITUTE(SUBSTITUTE(SUBSTITUTE(SUBSTITUTE(SUBSTITUTE(SUBSTITUTE(SUBSTITUTE(SUBSTITUTE(SUBSTITUTE(SUBSTITUTE(SUBSTITUTE(SUBSTITUTE(SUBSTITUTE(SUBSTITUTE(SUBSTITUTE(SUBSTITUTE(SUBSTITUTE(BM59,"b","a"),"c","a"),"d","a"),"e","a"),"f","a"),"g","a"),"h","a"),"i","a"),"j","a"),"k","a"),"l","a"),"m","a"),"n","a"),"o","a"),"p","a"),"q","a"),"r","a"),"s","a"),"t","a"),"u","a"),"v","a"),"w","a"),"x","a"),"y","a"),"z","a")</f>
        <v/>
      </c>
      <c r="BO59" s="61" t="str">
        <f aca="false">SUBSTITUTE(SUBSTITUTE(SUBSTITUTE(SUBSTITUTE(SUBSTITUTE(SUBSTITUTE(SUBSTITUTE(SUBSTITUTE(SUBSTITUTE(LOWER(W59&amp;""),"1","0"),"2","0"),"3","0"),"4","0"),"5","0"),"6","0"),"7","0"),"8","0"),"9","0")</f>
        <v/>
      </c>
      <c r="BP59" s="61" t="str">
        <f aca="false">SUBSTITUTE(SUBSTITUTE(SUBSTITUTE(SUBSTITUTE(SUBSTITUTE(SUBSTITUTE(SUBSTITUTE(SUBSTITUTE(SUBSTITUTE(SUBSTITUTE(SUBSTITUTE(SUBSTITUTE(SUBSTITUTE(SUBSTITUTE(SUBSTITUTE(SUBSTITUTE(SUBSTITUTE(SUBSTITUTE(SUBSTITUTE(SUBSTITUTE(SUBSTITUTE(SUBSTITUTE(SUBSTITUTE(SUBSTITUTE(SUBSTITUTE(BO59,"b","a"),"c","a"),"d","a"),"e","a"),"f","a"),"g","a"),"h","a"),"i","a"),"j","a"),"k","a"),"l","a"),"m","a"),"n","a"),"o","a"),"p","a"),"q","a"),"r","a"),"s","a"),"t","a"),"u","a"),"v","a"),"w","a"),"x","a"),"y","a"),"z","a")</f>
        <v/>
      </c>
      <c r="BQ59" s="61" t="n">
        <f aca="false">IFERROR(IF(AND(ISERROR(SEARCH(" mh"," "&amp;LOWER(W59))),ISNA(MATCH(LEFT(TRIM(BP59),255),{"0000a","000a","00a","0000aa","000aa","00aa","0aa","0000aaa","000aaa","00a00","0a00","0000-0000","00:00","a00","a0","00.00.0000","00/00/0000","00-00-0000","0000-00-00","0000/00/00","0000.00.00","00.00.00","00/00/00","00-00-00","0.00.0000","0/00/0000","0-00-0000"},0)),ISNA(MATCH(LEFT(TRIM(CA59),255),{"0000a","000a","00a","0000aa","000aa","00aa","0aa","0000aaa","000aaa","00a00","0a00","0000-0000","00:00","a00","a0","00.00.0000","00/00/0000","00-00-0000","0000-00-00","0000/00/00","0000.00.00","00.00.00","00/00/00","00-00-00","0.00.0000","0/00/0000","0-00-0000"},0)),LEN(CB59)&gt;=3,NOT(OR(SUBSTITUTE(CB59,"0","")="",AND(LEN(CB59)&gt;=4,CB59=REPT(LEFT(CB59),LEN(CB59))),ISNUMBER(MATCH(CB59,{"123","1234","12345","123456","1234567","12345678","0123","01234","012345","98765","987654","54321"},0)),AND(LEN(CB59)=8,LEFT(CB59,3)="202"))),OR(AND((LEN(CA59)-LEN(SUBSTITUTE(CA59,"a","")))&gt;=1,SUMPRODUCT(--ISNUMBER(SEARCH({"a0","a-0","a_0","a/0","a.0","a#0","0a","0-a","0_a","0/a"},BP59)))&gt;0),ISNUMBER(SEARCH("000000",BP59)))),1,0),0)</f>
        <v>0</v>
      </c>
      <c r="BR59" s="61" t="n">
        <f aca="false">IFERROR(LEN(SUBSTITUTE(CC59," ",""))-SUMPRODUCT((LEN(CC59)-LEN(SUBSTITUTE(CC59," "&amp;L_Role&amp;" "," ")))/(LEN(L_Role)+1)*LEN(L_Role)),0)</f>
        <v>0</v>
      </c>
      <c r="BS59" s="61" t="n">
        <f aca="false">IFERROR(LEN(SUBSTITUTE(CD59," ",""))-SUMPRODUCT((LEN(CD59)-LEN(SUBSTITUTE(CD59," "&amp;L_Role&amp;" "," ")))/(LEN(L_Role)+1)*LEN(L_Role)),0)</f>
        <v>0</v>
      </c>
      <c r="BT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revision",""),"version",""),"jan",""),"feb",""),"mar",""),"apr",""),"may",""),"jun",""),"jul",""),"aug",""),"sep",""),"oct",""),"nov",""),"dec",""),"utc",""),"gmt",""),"myt",""),"bst",""),"rev",""),"ver",""),"b","a"),"c","a"),"d","a"),"e","a"),"f","a"),"g","a"),"h","a"),"i","a"),"j","a"),"k","a"),"l","a"),"m","a"),"n","a"),"o","a"),"p","a"),"q","a"),"r","a"),"s","a"),"t","a"),"u","a"),"v","a"),"w","a"),"x","a"),"y","a"),"z","a")</f>
        <v/>
      </c>
      <c r="BU59" s="61" t="str">
        <f aca="false">SUBSTITUTE(SUBSTITUTE(SUBSTITUTE(SUBSTITUTE(SUBSTITUTE(SUBSTITUTE(SUBSTITUTE(SUBSTITUTE(SUBSTITUTE(SUBSTITUTE(LEFT(BM59,FIND("0",BM59&amp;"0")-1),"-",""),"_",""),"/",""),".",""),"#",""),"\\",""),":","")," ",""),"(",""),")","")</f>
        <v/>
      </c>
      <c r="BV59" s="61" t="n">
        <f aca="false">IFERROR(IF(OR(SUMPRODUCT((LEN(BC59)-LEN(SUBSTITUTE(BC59," "&amp;L_NotLoaded&amp;" "," ")))/(LEN(L_NotLoaded)+1))&gt;SUMPRODUCT((LEN(BC59)-LEN(SUBSTITUTE(BC59," "&amp;L_NotLoadedNeg&amp;" "," ")))/(LEN(L_NotLoadedNeg)+1)),SUMPRODUCT((LEN(BD59)-LEN(SUBSTITUTE(BD59," "&amp;L_NotLoaded&amp;" "," ")))/(LEN(L_NotLoaded)+1))&gt;SUMPRODUCT((LEN(BD59)-LEN(SUBSTITUTE(BD59," "&amp;L_NotLoadedNeg&amp;" "," ")))/(LEN(L_NotLoadedNeg)+1))),1,0),0)</f>
        <v>0</v>
      </c>
      <c r="BW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amp;""),"a",""),"b",""),"c",""),"d",""),"e",""),"f",""),"g",""),"h",""),"i",""),"j",""),"k",""),"l",""),"m",""),"n",""),"o",""),"p",""),"q",""),"r",""),"s",""),"t",""),"u",""),"v",""),"w",""),"x",""),"y",""),"z",""),"-",""),"_",""),"/",""),".",""),"#",""),"\\",""),":","")," ",""),"(",""),")","")</f>
        <v/>
      </c>
      <c r="BX59" s="61" t="str">
        <f aca="false">SUBSTITUTE(SUBSTITUTE(SUBSTITUTE(SUBSTITUTE(SUBSTITUTE(SUBSTITUTE(SUBSTITUTE(SUBSTITUTE(SUBSTITUTE(SUBSTITUTE(SUBSTITUTE(BM59,"0",""),"-",""),"_",""),"/",""),".",""),"#",""),"\\",""),":","")," ",""),"(",""),")","")</f>
        <v/>
      </c>
      <c r="BY59" s="62" t="n">
        <f aca="false">IF(ISNUMBER(Flights!$AZ$6),MAX(Q59-UpliftWindowH/24,Flights!$AZ$6),Q59-UpliftWindowH/24)</f>
        <v>46304.3263888889</v>
      </c>
      <c r="BZ59" s="61" t="n">
        <f aca="false">IFERROR(IF(IF(TRIM(S59)="Link / file path",AND(LEN(TRIM(Z59))&gt;=5,SUMPRODUCT(--ISNUMBER(SEARCH({"http","www.","\\",":\",".pdf",".jpg",".jpeg",".png",".heic",".xls",".doc",".msg",".eml",".ppt",".txt",".zip"},Z59)))&gt;0),AND(ISERROR(FIND(" ",TRIM(Z59))),NOT(OR(SUMPRODUCT(--ISNUMBER(FIND({",",";","&amp;","+"},Z59)))&gt;0,SUMPRODUCT(--ISNUMBER(SEARCH({"0/aa","0\\aa"},BN59)))&gt;0)),NOT(SUMPRODUCT(--ISNUMBER(SEARCH({"http","www.","\\",":\",".pdf",".jpg",".jpeg",".png",".heic",".xls",".doc",".msg",".eml",".ppt",".txt",".zip"},Z59)))&gt;0),NOT(LOWER(TRIM(Z59))=LOWER(Flights!$F$6)),ISNA(MATCH(BU59,{"mh","rev","revision","ver","version","v","r","a","b","seat","tray","row","gate","bay","stand","page","pg","item","line","no","cart","galley","flight","flt","table","box","bag","oven","etd","eta","std","sta","atd","ata","qty","pax","x","time","tel","ph","mob","day","wk","week","utc","gmt","myt","lt"},0)),NOT(OR(ISNUMBER(MATCH(LEFT(BN59,255),{"0000a","000a","00a","0000aa","000aa","00aa","0aa","0000aaa","000aaa","00a00","0a00","0000-0000","00:00","a00","a0","00.00.0000","00/00/0000","00-00-0000","0000-00-00","0000/00/00","0000.00.00","00.00.00","00/00/00","00-00-00","0.00.0000","0/00/0000","0-00-0000"},0)),ISNUMBER(MATCH(LEFT(BT59,255),{"0000a","000a","00a","0000aa","000aa","00aa","0aa","0000aaa","000aaa","00a00","0a00","0000-0000","00:00","a00","a0","00.00.0000","00/00/0000","00-00-0000","0000-00-00","0000/00/00","0000.00.00","00.00.00","00/00/00","00-00-00","0.00.0000","0/00/0000","0-00-0000"},0)))),NOT(OR(AND(BW59&lt;&gt;"",SUBSTITUTE(BW59,"0","")=""),AND(LEN(BW59)&gt;=4,BW59=REPT(LEFT(BW59),LEN(BW59))),ISNUMBER(MATCH(BW59,{"123","1234","12345","123456","1234567","12345678","0123","01234","012345","98765","987654","54321"},0)),ISNUMBER(MATCH(BX59,{"x","xx","xxx","xxxx","xxxxx","abc","abcd","nil","na","nan","test","tbc","tba","tbd","dummy","sample","example","eg","zz","zzz","none","null","xyz","qwe","asd","id","ref"},0)),AND(LEN(BW59)=8,BX59="",OR(LEFT(BW59,3)="202",ISNUMBER(MATCH(RIGHT(BW59,4),{"2025","2026","2027"},0)))))),OR(AND((LEN(BT59)-LEN(SUBSTITUTE(BT59,"a","")))&gt;=1,(LEN(BN59)-LEN(SUBSTITUTE(BN59,"0","")))&gt;=2,SUMPRODUCT(--ISNUMBER(SEARCH({"a0","a-0","a_0","a/0","a.0","a#0","0a","0-a","0_a","0/a"},BN59)))&gt;0),AND((LEN(BN59)-LEN(SUBSTITUTE(BN59,"a","")))=0,(LEN(BN59)-LEN(SUBSTITUTE(BN59,"0","")))&gt;=5)))),1,0),0)</f>
        <v>0</v>
      </c>
      <c r="CA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revision",""),"version",""),"jan",""),"feb",""),"mar",""),"apr",""),"may",""),"jun",""),"jul",""),"aug",""),"sep",""),"oct",""),"nov",""),"dec",""),"utc",""),"gmt",""),"myt",""),"bst",""),"rev",""),"ver",""),"b","a"),"c","a"),"d","a"),"e","a"),"f","a"),"g","a"),"h","a"),"i","a"),"j","a"),"k","a"),"l","a"),"m","a"),"n","a"),"o","a"),"p","a"),"q","a"),"r","a"),"s","a"),"t","a"),"u","a"),"v","a"),"w","a"),"x","a"),"y","a"),"z","a")</f>
        <v/>
      </c>
      <c r="CB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amp;""),"a",""),"b",""),"c",""),"d",""),"e",""),"f",""),"g",""),"h",""),"i",""),"j",""),"k",""),"l",""),"m",""),"n",""),"o",""),"p",""),"q",""),"r",""),"s",""),"t",""),"u",""),"v",""),"w",""),"x",""),"y",""),"z",""),"-",""),"_",""),"/",""),".",""),"#",""),"\\",""),":","")," ",""),"(",""),")","")</f>
        <v/>
      </c>
      <c r="CC59" s="0" t="str">
        <f aca="false">" "&amp;TRIM(SUBSTITUTE(SUBSTITUTE(SUBSTITUTE(SUBSTITUTE(SUBSTITUTE(SUBSTITUTE(SUBSTITUTE(SUBSTITUTE(SUBSTITUTE(SUBSTITUTE(SUBSTITUTE(SUBSTITUTE(SUBSTITUTE(SUBSTITUTE(SUBSTITUTE(SUBSTITUTE(SUBSTITUTE(SUBSTITUTE(SUBSTITUTE(SUBSTITUTE(SUBSTITUTE(SUBSTITUTE(SUBSTITUTE(SUBSTITUTE(LOWER(T59&amp;""),CHAR(10)," "),CHAR(13)," "),CHAR(9)," "),CHAR(160)," "),"."," "),","," "),"-"," "),"/"," "),"("," "),")"," "),":"," "),";"," "),"_"," "),"–"," "),"?"," "),"!"," "),"*"," "),"["," "),"]"," "),"'"," "),"#"," "),"+"," "),"&amp;"," "),"\"," "))&amp;" "</f>
        <v>  </v>
      </c>
      <c r="CD59" s="0" t="str">
        <f aca="false">" "&amp;TRIM(SUBSTITUTE(SUBSTITUTE(SUBSTITUTE(SUBSTITUTE(SUBSTITUTE(SUBSTITUTE(SUBSTITUTE(SUBSTITUTE(SUBSTITUTE(SUBSTITUTE(SUBSTITUTE(SUBSTITUTE(SUBSTITUTE(SUBSTITUTE(SUBSTITUTE(SUBSTITUTE(SUBSTITUTE(SUBSTITUTE(SUBSTITUTE(SUBSTITUTE(SUBSTITUTE(SUBSTITUTE(SUBSTITUTE(SUBSTITUTE(LOWER(AE59&amp;""),CHAR(10)," "),CHAR(13)," "),CHAR(9)," "),CHAR(160)," "),"."," "),","," "),"-"," "),"/"," "),"("," "),")"," "),":"," "),";"," "),"_"," "),"–"," "),"?"," "),"!"," "),"*"," "),"["," "),"]"," "),"'"," "),"#"," "),"+"," "),"&amp;"," "),"\"," "))&amp;" "</f>
        <v>  </v>
      </c>
      <c r="CE59" s="68" t="n">
        <f aca="false">IFERROR(IF(AND(LEN(AU59)&gt;0,LEN(AU59)=LEN(AX59),OR(TRIM(MID(SUBSTITUTE(TRIM(CC59)," ",REPT(" ",60)),1,60))="",ISNUMBER(SEARCH(" "&amp;TRIM(MID(SUBSTITUTE(TRIM(CC59)," ",REPT(" ",60)),1,60))&amp;" ",CD59))),OR(TRIM(MID(SUBSTITUTE(TRIM(CC59)," ",REPT(" ",60)),61,60))="",ISNUMBER(SEARCH(" "&amp;TRIM(MID(SUBSTITUTE(TRIM(CC59)," ",REPT(" ",60)),61,60))&amp;" ",CD59))),OR(TRIM(MID(SUBSTITUTE(TRIM(CC59)," ",REPT(" ",60)),121,60))="",ISNUMBER(SEARCH(" "&amp;TRIM(MID(SUBSTITUTE(TRIM(CC59)," ",REPT(" ",60)),121,60))&amp;" ",CD59)))),1,0),0)</f>
        <v>0</v>
      </c>
      <c r="CG59" s="68" t="n">
        <f aca="false">IFERROR(LEN(SUBSTITUTE(BF59," ",""))-SUMPRODUCT((LEN(BF59)-LEN(SUBSTITUTE(BF59," "&amp;L_NAFiller&amp;" "," ")))/(LEN(L_NAFiller)+1)*LEN(L_NAFiller)),0)</f>
        <v>0</v>
      </c>
    </row>
    <row r="60" customFormat="false" ht="39.75" hidden="false" customHeight="true" outlineLevel="0" collapsed="false">
      <c r="A60" s="57" t="s">
        <v>536</v>
      </c>
      <c r="B60" s="57" t="s">
        <v>198</v>
      </c>
      <c r="C60" s="57" t="str">
        <f aca="false">Flights!$F$6</f>
        <v>MH0727</v>
      </c>
      <c r="D60" s="58" t="n">
        <f aca="false">Flights!$D$6</f>
        <v>46304</v>
      </c>
      <c r="E60" s="57" t="str">
        <f aca="false">Flights!$G$6&amp;"-"&amp;Flights!$H$6</f>
        <v>KUL-CGK</v>
      </c>
      <c r="F60" s="57" t="str">
        <f aca="false">Flights!$K$6</f>
        <v>BC</v>
      </c>
      <c r="G60" s="57" t="s">
        <v>459</v>
      </c>
      <c r="H60" s="57" t="s">
        <v>460</v>
      </c>
      <c r="I60" s="57" t="s">
        <v>499</v>
      </c>
      <c r="J60" s="57" t="s">
        <v>537</v>
      </c>
      <c r="K60" s="67" t="s">
        <v>501</v>
      </c>
      <c r="L60" s="67" t="s">
        <v>502</v>
      </c>
      <c r="M60" s="67" t="s">
        <v>451</v>
      </c>
      <c r="N60" s="67" t="s">
        <v>383</v>
      </c>
      <c r="O60" s="67"/>
      <c r="P60" s="57" t="s">
        <v>187</v>
      </c>
      <c r="Q60" s="59" t="n">
        <f aca="false">ROUND((Flights!$AF$6)*1440,0)/1440</f>
        <v>46304.5763888889</v>
      </c>
      <c r="R60" s="59" t="n">
        <f aca="false">Q60+(IF(AND(INDEX(TZ_DSTS,MATCH(P60,TZ_STN,0))&lt;&gt;"",Q60&gt;=INDEX(TZ_DSTS,MATCH(P60,TZ_STN,0)),Q60&lt;INDEX(TZ_DSTE,MATCH(P60,TZ_STN,0))),INDEX(TZ_DST,MATCH(P60,TZ_STN,0)),INDEX(TZ_STD,MATCH(P60,TZ_STN,0))))/24</f>
        <v>46304.9097222222</v>
      </c>
      <c r="S60" s="60"/>
      <c r="T60" s="60"/>
      <c r="U60" s="60"/>
      <c r="V60" s="60"/>
      <c r="W60" s="61"/>
      <c r="X60" s="60"/>
      <c r="Y60" s="60"/>
      <c r="Z60" s="60"/>
      <c r="AA60" s="60"/>
      <c r="AB60" s="60"/>
      <c r="AC60" s="60"/>
      <c r="AD60" s="66"/>
      <c r="AE60" s="60"/>
      <c r="AF60" s="61" t="str">
        <f aca="false">IF(AND(ISNUMBER(X60),ISNUMBER(Y60)),Y60-X60,"")</f>
        <v/>
      </c>
      <c r="AG60" s="62" t="str">
        <f aca="false">IF(ISNUMBER(AD60),AD60-(IF(AND(INDEX(TZ_DSTS,MATCH(P60,TZ_STN,0))&lt;&gt;"",(AD60-INDEX(TZ_STD,MATCH(P60,TZ_STN,0))/24)&gt;=INDEX(TZ_DSTS,MATCH(P60,TZ_STN,0)),(AD60-INDEX(TZ_STD,MATCH(P60,TZ_STN,0))/24)&lt;INDEX(TZ_DSTE,MATCH(P60,TZ_STN,0))),INDEX(TZ_DST,MATCH(P60,TZ_STN,0)),INDEX(TZ_STD,MATCH(P60,TZ_STN,0))))/24,"")</f>
        <v/>
      </c>
      <c r="AH60" s="65" t="str">
        <f aca="false">IFERROR(IF(N60="N/A – rule",IF(OR(TRIM(U60)="",TRIM(U60)="N/A",TRIM(U60)="Not started"),"N/A – RULE","INVALID – this check does not apply to this aircraft: clear the status (or correct the fleet on Flights)"),IF(TRIM(U60)="N/A",IF(AT60=0,"INVALID – N/A not permitted for this check",IF(AND(TRIM(AB60)&lt;&gt;"",TRIM(AB60)&lt;&gt;"Closed"),"INVALID – corrective action still open",IF(AND(NOT(OR(LEN(AZ60)&lt;15,ISNUMBER(MATCH(AZ60,L_Placeholder,0)))),BK60=0,CG60&gt;=8,NOT(OR(LEN(AU60)&lt;2,ISNUMBER(MATCH(AU60,L_Placeholder,0)))),BR60&gt;=3,NOT(OR(LEN(AX60)&lt;2,ISNUMBER(MATCH(AX60,L_Placeholder,0)))),BS60&gt;=3,TRIM(AE60)&lt;&gt;TRIM(T60),AX60&lt;&gt;AU60,CE60=0),"N/A – JUSTIFIED","INVALID – N/A needs a real, settled reason (not 'not applicable' / 'as above' / TBC), a named PIC and a different named verifier"))),IF(OR(TRIM(U60)="Pass",TRIM(U60)="Pass after CA"),IF(NOT(ISNUMBER(AD60)),"INVALID – completion time missing",IF(OR(OR(LEN(AU60)&lt;2,ISNUMBER(MATCH(AU60,L_Placeholder,0))),BR60&lt;3),"INVALID – PIC missing or not a named person (a role such as QA / CSM is not a name)",IF(OR(LEN(AV60)&lt;2,ISNUMBER(MATCH(AV60,L_Placeholder,0))),"INVALID – result / assessment missing",IF(OR(OR(LEN(AW60)&lt;3,ISNUMBER(MATCH(AW60,L_Placeholder,0))),SUMPRODUCT(--ISNUMBER(SEARCH(" "&amp;L_EvidencePhrase&amp;" ",BD60)))&gt;0,BI60=1),"INVALID – evidence missing, placeholder or not yet on file",IF(ISNA(MATCH(TRIM(S60),L_EvidenceType,0)),"INVALID – choose the evidence type from the list (column S)",IF(BL60=0,"INVALID – evidence ID must be the record's own ID only (e.g. SF-2210, IMG_2231, 1045521); a link / file name needs type 'Link / file path'",IF(OR(OR(LEN(AX60)&lt;2,ISNUMBER(MATCH(AX60,L_Placeholder,0))),BS60&lt;3),"INVALID – verifier missing or not a named person (a role such as QA / CSM is not a name)",IF(OR(AX60=AU60,CE60=1,AND(LEN(AU60)&gt;=4,ISNUMBER(SEARCH(AU60,AX60))),AND(LEN(AX60)&gt;=4,ISNUMBER(SEARCH(AX60,AU60)))),"INVALID – verifier must be a different, named person (not the PIC or a role)",IF(BH60=1,"INVALID – result not yet available (awaiting / TBC)",IF(BG60=1,"INVALID – result describes a problem: record Fail, then Pass after CA (or reword if it is not a problem)",IF(BV60=1,"INVALID – wording says not on board: an on-board confirmation needs the item loaded",IF(AND(AQ60=1,OR(OR(LEN(AY60)&lt;3,ISNUMBER(MATCH(AY60,L_Placeholder,0))),BJ60=1,BQ60=0)),"INVALID – batch ID missing, placeholder or not an ID (e.g. PASB-261008-BC-017)",IF(AND(AR60=1,OR(NOT(ISNUMBER(X60)),NOT(ISNUMBER(Y60)))),"INVALID – expected/actual qty missing",IF(AND(AR60=1,OR(X60&lt;=0,Y60&lt;0)),"INVALID – expected qty must be above 0 and actual not negative",IF(AH48="N/A – JUSTIFIED","INVALID – preparation row F02-T12-09 is N/A",IF(AND(AR60=1,ISNUMBER(X48),X60&lt;&gt;X48,TRIM(U60)&lt;&gt;"Pass after CA"),"INVALID – expected qty differs from preparation check F02-T12-09: record the load change as a corrective action (Pass after CA)",IF(BB60&lt;&gt;"",BB60,IF(AND(AS60=1,Documents!$J$6&lt;&gt;"ON FILE"),"INVALID – GLD not on file (Documents sheet)",IF(AND(AS60=2,Documents!$O$6&lt;&gt;"ON FILE"),"INVALID – menu checklist not on file (Documents sheet)",IF(AND(AS60=3,NOT(ISNUMBER(Flights!$AX$6))),"INVALID – enter carrying flight KUL departure (Flights AX)",IF(AND(AS60=3,OR(Flights!$AZ$6&gt;Flights!$AA$6,Flights!$AX$6&lt;Flights!$AA$6-3)),"INVALID – carrying flight (Flights AX) cannot arrive before this leg's STD, or is over 3 days early",IF(AG60&gt;AsOfUTC,"INVALID – completion time is in the future",IF(AND(ISNUMBER(BY60),AG60&lt;BY60),IF(H60="Physical uplift","INVALID – before uplift window (cannot confirm loading)","INVALID – before valid window"),IF(AG60&gt;Flights!$AA$6,"INVALID – completed after departure (cannot establish readiness)",IF(AND(H60="Preparation",AG60&gt;=IF(ISNUMBER(Flights!$BA$6),MIN(Flights!$BA$6,Flights!$AA$6),Flights!$AA$6)),"INVALID – completed after loading / departure (cannot establish readiness)",IF(AND(H60="Physical uplift",AG60&gt;Q60),"INVALID – recorded after the loading flight departed",IF(AG60&gt;Q60,"COMPLETE – LATE","COMPLETE"))))))))))))))))))))))))))),IF(TRIM(U60)="Fail","FAIL – DISCREPANCY",IF(AND(TRIM(U60)&lt;&gt;"",TRIM(U60)&lt;&gt;"Not started",TRIM(U60)&lt;&gt;"In progress"),"INVALID – unrecognised status (use the list)",IF(AsOfUTC&gt;Q60,"OVERDUE",IF(N60="Clarification required","OPEN – CLARIFICATION","OPEN"))))))),"INVALID – error value in an input cell")</f>
        <v>OPEN</v>
      </c>
      <c r="AI60" s="61" t="n">
        <f aca="false">IF(OR(AH60="N/A – RULE",AH60="N/A – JUSTIFIED"),0,1)</f>
        <v>1</v>
      </c>
      <c r="AJ60" s="61" t="n">
        <f aca="false">IF(LEFT(AH60,8)="COMPLETE",1,0)</f>
        <v>0</v>
      </c>
      <c r="AK60" s="61" t="n">
        <f aca="false">IF(AND(AI60=1,AJ60=0,AsOfUTC&gt;Q60),1,0)</f>
        <v>0</v>
      </c>
      <c r="AL60" s="61" t="n">
        <f aca="false">IFERROR(IF(AND(AI60=1,OR(TRIM(U60)="Fail",AND(TRIM(AB60)&lt;&gt;"",TRIM(AB60)&lt;&gt;"Closed"),AND(ISNUMBER(AF60),AF60&lt;&gt;0,TRIM(U60)&lt;&gt;"Pass after CA"))),1,0),1)</f>
        <v>0</v>
      </c>
      <c r="AM60" s="61" t="n">
        <f aca="false">IF(LEFT(AH60,7)="INVALID",1,0)</f>
        <v>0</v>
      </c>
      <c r="AN60" s="61" t="n">
        <f aca="false">IF(AND(N60="Clarification required",AI60=1,AJ60=0),1,0)</f>
        <v>0</v>
      </c>
      <c r="AO60" s="61" t="str">
        <f aca="false">IF(AK60=1,SUM(AK$5:AK60),"")</f>
        <v/>
      </c>
      <c r="AP60" s="61" t="str">
        <f aca="false">IF(AL60=1,SUM(AL$5:AL60),"")</f>
        <v/>
      </c>
      <c r="AQ60" s="61" t="n">
        <v>0</v>
      </c>
      <c r="AR60" s="61" t="n">
        <v>0</v>
      </c>
      <c r="AS60" s="61" t="n">
        <v>0</v>
      </c>
      <c r="AT60" s="61" t="n">
        <v>0</v>
      </c>
      <c r="AU60" s="61" t="str">
        <f aca="false">SUBSTITUTE(SUBSTITUTE(SUBSTITUTE(SUBSTITUTE(SUBSTITUTE(SUBSTITUTE(SUBSTITUTE(SUBSTITUTE(SUBSTITUTE(SUBSTITUTE(SUBSTITUTE(SUBSTITUTE(SUBSTITUTE(SUBSTITUTE(SUBSTITUTE(SUBSTITUTE(LOWER(T60&amp;""),CHAR(10),""),CHAR(13),""),CHAR(9),""),CHAR(160),"")," ",""),".",""),"-",""),"/",""),"?",""),"_",""),",",""),"[",""),"]",""),"(",""),")",""),"*","")</f>
        <v/>
      </c>
      <c r="AV60" s="61" t="str">
        <f aca="false">SUBSTITUTE(SUBSTITUTE(SUBSTITUTE(SUBSTITUTE(SUBSTITUTE(SUBSTITUTE(SUBSTITUTE(SUBSTITUTE(SUBSTITUTE(SUBSTITUTE(SUBSTITUTE(SUBSTITUTE(SUBSTITUTE(SUBSTITUTE(SUBSTITUTE(SUBSTITUTE(LOWER(V60&amp;""),CHAR(10),""),CHAR(13),""),CHAR(9),""),CHAR(160),"")," ",""),".",""),"-",""),"/",""),"?",""),"_",""),",",""),"[",""),"]",""),"(",""),")",""),"*","")</f>
        <v/>
      </c>
      <c r="AW60" s="61" t="str">
        <f aca="false">SUBSTITUTE(SUBSTITUTE(SUBSTITUTE(SUBSTITUTE(SUBSTITUTE(SUBSTITUTE(SUBSTITUTE(SUBSTITUTE(SUBSTITUTE(SUBSTITUTE(SUBSTITUTE(SUBSTITUTE(SUBSTITUTE(SUBSTITUTE(SUBSTITUTE(SUBSTITUTE(LOWER(Z60&amp;""),CHAR(10),""),CHAR(13),""),CHAR(9),""),CHAR(160),"")," ",""),".",""),"-",""),"/",""),"?",""),"_",""),",",""),"[",""),"]",""),"(",""),")",""),"*","")</f>
        <v/>
      </c>
      <c r="AX60" s="61" t="str">
        <f aca="false">SUBSTITUTE(SUBSTITUTE(SUBSTITUTE(SUBSTITUTE(SUBSTITUTE(SUBSTITUTE(SUBSTITUTE(SUBSTITUTE(SUBSTITUTE(SUBSTITUTE(SUBSTITUTE(SUBSTITUTE(SUBSTITUTE(SUBSTITUTE(SUBSTITUTE(SUBSTITUTE(LOWER(AE60&amp;""),CHAR(10),""),CHAR(13),""),CHAR(9),""),CHAR(160),"")," ",""),".",""),"-",""),"/",""),"?",""),"_",""),",",""),"[",""),"]",""),"(",""),")",""),"*","")</f>
        <v/>
      </c>
      <c r="AY60" s="61" t="str">
        <f aca="false">SUBSTITUTE(SUBSTITUTE(SUBSTITUTE(SUBSTITUTE(SUBSTITUTE(SUBSTITUTE(SUBSTITUTE(SUBSTITUTE(SUBSTITUTE(SUBSTITUTE(SUBSTITUTE(SUBSTITUTE(SUBSTITUTE(SUBSTITUTE(SUBSTITUTE(SUBSTITUTE(LOWER(W60&amp;""),CHAR(10),""),CHAR(13),""),CHAR(9),""),CHAR(160),"")," ",""),".",""),"-",""),"/",""),"?",""),"_",""),",",""),"[",""),"]",""),"(",""),")",""),"*","")</f>
        <v/>
      </c>
      <c r="AZ60" s="61" t="str">
        <f aca="false">SUBSTITUTE(SUBSTITUTE(SUBSTITUTE(SUBSTITUTE(SUBSTITUTE(SUBSTITUTE(SUBSTITUTE(SUBSTITUTE(SUBSTITUTE(SUBSTITUTE(SUBSTITUTE(SUBSTITUTE(SUBSTITUTE(SUBSTITUTE(SUBSTITUTE(SUBSTITUTE(LOWER(AC60&amp;""),CHAR(10),""),CHAR(13),""),CHAR(9),""),CHAR(160),"")," ",""),".",""),"-",""),"/",""),"?",""),"_",""),",",""),"[",""),"]",""),"(",""),")",""),"*","")</f>
        <v/>
      </c>
      <c r="BA60" s="61" t="str">
        <f aca="false">SUBSTITUTE(SUBSTITUTE(SUBSTITUTE(SUBSTITUTE(SUBSTITUTE(SUBSTITUTE(SUBSTITUTE(SUBSTITUTE(SUBSTITUTE(SUBSTITUTE(SUBSTITUTE(SUBSTITUTE(SUBSTITUTE(SUBSTITUTE(SUBSTITUTE(SUBSTITUTE(LOWER(AA60&amp;""),CHAR(10),""),CHAR(13),""),CHAR(9),""),CHAR(160),"")," ",""),".",""),"-",""),"/",""),"?",""),"_",""),",",""),"[",""),"]",""),"(",""),")",""),"*","")</f>
        <v/>
      </c>
      <c r="BB60" s="61" t="str">
        <f aca="false">IF(AND(TRIM(U60)="Pass",ISNUMBER(AF60)),IF(AF60&lt;&gt;0,"INVALID – qty variance: use Fail or Pass after CA",""),"")&amp;IF(AND(TRIM(U60)="Pass after CA",ISNUMBER(AF60)),IF(AF60&lt;&gt;0,"INVALID – after the corrective action the actual qty must equal expected (update Actual)",""),"")&amp;IF(AND(TRIM(U60)="Pass",TRIM(AB60)&lt;&gt;"",TRIM(AB60)&lt;&gt;"Closed"),"INVALID – corrective action not closed: use Fail, then Pass after CA","")&amp;IF(AND(LEN(BA60)&gt;=2,ISNA(MATCH(LEFT(BA60,255),L_Placeholder,0)),TRIM(AB60)=""),"INVALID – CA status missing for the recorded corrective action","")&amp;IF(AND(TRIM(U60)="Pass after CA",OR(OR(LEN(BA60)&lt;5,ISNUMBER(MATCH(BA60,L_Placeholder,0))),TRIM(AB60)&lt;&gt;"Closed")),"INVALID – corrective action not recorded/closed","")</f>
        <v/>
      </c>
      <c r="BC60" s="61" t="str">
        <f aca="false">" "&amp;TRIM(SUBSTITUTE(SUBSTITUTE(SUBSTITUTE(SUBSTITUTE(SUBSTITUTE(SUBSTITUTE(SUBSTITUTE(SUBSTITUTE(SUBSTITUTE(SUBSTITUTE(SUBSTITUTE(SUBSTITUTE(SUBSTITUTE(SUBSTITUTE(SUBSTITUTE(SUBSTITUTE(SUBSTITUTE(SUBSTITUTE(SUBSTITUTE(SUBSTITUTE(SUBSTITUTE(SUBSTITUTE(SUBSTITUTE(SUBSTITUTE(LOWER(V60&amp;""),CHAR(10)," "),CHAR(13)," "),CHAR(9)," "),CHAR(160)," "),"."," "),","," "),"-"," "),"/"," "),"("," "),")"," "),":"," "),";"," "),"_"," "),"–"," "),"?"," "),"!"," "),"*"," "),"["," "),"]"," "),"'"," "),"#"," "),"+"," "),"&amp;"," "),"\"," "))&amp;" "</f>
        <v>  </v>
      </c>
      <c r="BD60" s="61" t="str">
        <f aca="false">" "&amp;TRIM(SUBSTITUTE(SUBSTITUTE(SUBSTITUTE(SUBSTITUTE(SUBSTITUTE(SUBSTITUTE(SUBSTITUTE(SUBSTITUTE(SUBSTITUTE(SUBSTITUTE(SUBSTITUTE(SUBSTITUTE(SUBSTITUTE(SUBSTITUTE(SUBSTITUTE(SUBSTITUTE(SUBSTITUTE(SUBSTITUTE(SUBSTITUTE(SUBSTITUTE(SUBSTITUTE(SUBSTITUTE(SUBSTITUTE(SUBSTITUTE(LOWER(Z60&amp;""),CHAR(10)," "),CHAR(13)," "),CHAR(9)," "),CHAR(160)," "),"."," "),","," "),"-"," "),"/"," "),"("," "),")"," "),":"," "),";"," "),"_"," "),"–"," "),"?"," "),"!"," "),"*"," "),"["," "),"]"," "),"'"," "),"#"," "),"+"," "),"&amp;"," "),"\"," "))&amp;" "</f>
        <v>  </v>
      </c>
      <c r="BE60" s="61" t="str">
        <f aca="false">" "&amp;TRIM(SUBSTITUTE(SUBSTITUTE(SUBSTITUTE(SUBSTITUTE(SUBSTITUTE(SUBSTITUTE(SUBSTITUTE(SUBSTITUTE(SUBSTITUTE(SUBSTITUTE(SUBSTITUTE(SUBSTITUTE(SUBSTITUTE(SUBSTITUTE(SUBSTITUTE(SUBSTITUTE(SUBSTITUTE(SUBSTITUTE(SUBSTITUTE(SUBSTITUTE(SUBSTITUTE(SUBSTITUTE(SUBSTITUTE(SUBSTITUTE(LOWER(W60&amp;""),CHAR(10)," "),CHAR(13)," "),CHAR(9)," "),CHAR(160)," "),"."," "),","," "),"-"," "),"/"," "),"("," "),")"," "),":"," "),";"," "),"_"," "),"–"," "),"?"," "),"!"," "),"*"," "),"["," "),"]"," "),"'"," "),"#"," "),"+"," "),"&amp;"," "),"\"," "))&amp;" "</f>
        <v>  </v>
      </c>
      <c r="BF60" s="61" t="str">
        <f aca="false">" "&amp;TRIM(SUBSTITUTE(SUBSTITUTE(SUBSTITUTE(SUBSTITUTE(SUBSTITUTE(SUBSTITUTE(SUBSTITUTE(SUBSTITUTE(SUBSTITUTE(SUBSTITUTE(SUBSTITUTE(SUBSTITUTE(SUBSTITUTE(SUBSTITUTE(SUBSTITUTE(SUBSTITUTE(SUBSTITUTE(SUBSTITUTE(SUBSTITUTE(SUBSTITUTE(SUBSTITUTE(SUBSTITUTE(SUBSTITUTE(SUBSTITUTE(LOWER(AC60&amp;""),CHAR(10)," "),CHAR(13)," "),CHAR(9)," "),CHAR(160)," "),"."," "),","," "),"-"," "),"/"," "),"("," "),")"," "),":"," "),";"," "),"_"," "),"–"," "),"?"," "),"!"," "),"*"," "),"["," "),"]"," "),"'"," "),"#"," "),"+"," "),"&amp;"," "),"\"," "))&amp;" "</f>
        <v>  </v>
      </c>
      <c r="BG60" s="61" t="n">
        <f aca="false">IFERROR(IF(AND(TRIM(U60)="Pass",SUMPRODUCT((LEN(BC60)-LEN(SUBSTITUTE(BC60," "&amp;L_ResultBad&amp;" "," ")))/(LEN(L_ResultBad)+1))&gt;SUMPRODUCT((LEN(BC60)-LEN(SUBSTITUTE(BC60," "&amp;L_NegPhrase&amp;" "," ")))/(LEN(L_NegPhrase)+1))),1,0),0)</f>
        <v>0</v>
      </c>
      <c r="BH60" s="61" t="n">
        <f aca="false">IFERROR(IF(SUMPRODUCT((LEN(BC60)-LEN(SUBSTITUTE(BC60," "&amp;L_Pending&amp;" "," ")))/(LEN(L_Pending)+1))&gt;SUMPRODUCT((LEN(BC60)-LEN(SUBSTITUTE(BC60," "&amp;L_PendNeg&amp;" "," ")))/(LEN(L_PendNeg)+1)),1,0),1)</f>
        <v>0</v>
      </c>
      <c r="BI60" s="61" t="n">
        <f aca="false">IFERROR(IF(SUMPRODUCT((LEN(BD60)-LEN(SUBSTITUTE(BD60," "&amp;L_PendStrict&amp;" "," ")))/(LEN(L_PendStrict)+1))&gt;SUMPRODUCT((LEN(BD60)-LEN(SUBSTITUTE(BD60," "&amp;L_PendNeg&amp;" "," ")))/(LEN(L_PendNeg)+1)),1,0),1)</f>
        <v>0</v>
      </c>
      <c r="BJ60" s="61" t="n">
        <f aca="false">IFERROR(IF(SUMPRODUCT((LEN(BE60)-LEN(SUBSTITUTE(BE60," "&amp;L_Pending&amp;" "," ")))/(LEN(L_Pending)+1))&gt;SUMPRODUCT((LEN(BE60)-LEN(SUBSTITUTE(BE60," "&amp;L_PendNeg&amp;" "," ")))/(LEN(L_PendNeg)+1)),1,0),1)</f>
        <v>0</v>
      </c>
      <c r="BK60" s="61" t="n">
        <f aca="false">IFERROR(IF(SUMPRODUCT((LEN(BF60)-LEN(SUBSTITUTE(BF60," "&amp;L_PendStrict&amp;" "," ")))/(LEN(L_PendStrict)+1))&gt;SUMPRODUCT((LEN(BF60)-LEN(SUBSTITUTE(BF60," "&amp;L_PendNeg&amp;" "," ")))/(LEN(L_PendNeg)+1)),1,0),1)</f>
        <v>0</v>
      </c>
      <c r="BL60" s="61" t="n">
        <f aca="false">IF(ISNA(MATCH(TRIM(S60),L_EvidenceType,0)),0,BZ60)</f>
        <v>0</v>
      </c>
      <c r="BM60" s="61" t="str">
        <f aca="false">SUBSTITUTE(SUBSTITUTE(SUBSTITUTE(SUBSTITUTE(SUBSTITUTE(SUBSTITUTE(SUBSTITUTE(SUBSTITUTE(SUBSTITUTE(LOWER(Z60&amp;""),"1","0"),"2","0"),"3","0"),"4","0"),"5","0"),"6","0"),"7","0"),"8","0"),"9","0")</f>
        <v/>
      </c>
      <c r="BN60" s="61" t="str">
        <f aca="false">SUBSTITUTE(SUBSTITUTE(SUBSTITUTE(SUBSTITUTE(SUBSTITUTE(SUBSTITUTE(SUBSTITUTE(SUBSTITUTE(SUBSTITUTE(SUBSTITUTE(SUBSTITUTE(SUBSTITUTE(SUBSTITUTE(SUBSTITUTE(SUBSTITUTE(SUBSTITUTE(SUBSTITUTE(SUBSTITUTE(SUBSTITUTE(SUBSTITUTE(SUBSTITUTE(SUBSTITUTE(SUBSTITUTE(SUBSTITUTE(SUBSTITUTE(BM60,"b","a"),"c","a"),"d","a"),"e","a"),"f","a"),"g","a"),"h","a"),"i","a"),"j","a"),"k","a"),"l","a"),"m","a"),"n","a"),"o","a"),"p","a"),"q","a"),"r","a"),"s","a"),"t","a"),"u","a"),"v","a"),"w","a"),"x","a"),"y","a"),"z","a")</f>
        <v/>
      </c>
      <c r="BO60" s="61" t="str">
        <f aca="false">SUBSTITUTE(SUBSTITUTE(SUBSTITUTE(SUBSTITUTE(SUBSTITUTE(SUBSTITUTE(SUBSTITUTE(SUBSTITUTE(SUBSTITUTE(LOWER(W60&amp;""),"1","0"),"2","0"),"3","0"),"4","0"),"5","0"),"6","0"),"7","0"),"8","0"),"9","0")</f>
        <v/>
      </c>
      <c r="BP60" s="61" t="str">
        <f aca="false">SUBSTITUTE(SUBSTITUTE(SUBSTITUTE(SUBSTITUTE(SUBSTITUTE(SUBSTITUTE(SUBSTITUTE(SUBSTITUTE(SUBSTITUTE(SUBSTITUTE(SUBSTITUTE(SUBSTITUTE(SUBSTITUTE(SUBSTITUTE(SUBSTITUTE(SUBSTITUTE(SUBSTITUTE(SUBSTITUTE(SUBSTITUTE(SUBSTITUTE(SUBSTITUTE(SUBSTITUTE(SUBSTITUTE(SUBSTITUTE(SUBSTITUTE(BO60,"b","a"),"c","a"),"d","a"),"e","a"),"f","a"),"g","a"),"h","a"),"i","a"),"j","a"),"k","a"),"l","a"),"m","a"),"n","a"),"o","a"),"p","a"),"q","a"),"r","a"),"s","a"),"t","a"),"u","a"),"v","a"),"w","a"),"x","a"),"y","a"),"z","a")</f>
        <v/>
      </c>
      <c r="BQ60" s="61" t="n">
        <f aca="false">IFERROR(IF(AND(ISERROR(SEARCH(" mh"," "&amp;LOWER(W60))),ISNA(MATCH(LEFT(TRIM(BP60),255),{"0000a","000a","00a","0000aa","000aa","00aa","0aa","0000aaa","000aaa","00a00","0a00","0000-0000","00:00","a00","a0","00.00.0000","00/00/0000","00-00-0000","0000-00-00","0000/00/00","0000.00.00","00.00.00","00/00/00","00-00-00","0.00.0000","0/00/0000","0-00-0000"},0)),ISNA(MATCH(LEFT(TRIM(CA60),255),{"0000a","000a","00a","0000aa","000aa","00aa","0aa","0000aaa","000aaa","00a00","0a00","0000-0000","00:00","a00","a0","00.00.0000","00/00/0000","00-00-0000","0000-00-00","0000/00/00","0000.00.00","00.00.00","00/00/00","00-00-00","0.00.0000","0/00/0000","0-00-0000"},0)),LEN(CB60)&gt;=3,NOT(OR(SUBSTITUTE(CB60,"0","")="",AND(LEN(CB60)&gt;=4,CB60=REPT(LEFT(CB60),LEN(CB60))),ISNUMBER(MATCH(CB60,{"123","1234","12345","123456","1234567","12345678","0123","01234","012345","98765","987654","54321"},0)),AND(LEN(CB60)=8,LEFT(CB60,3)="202"))),OR(AND((LEN(CA60)-LEN(SUBSTITUTE(CA60,"a","")))&gt;=1,SUMPRODUCT(--ISNUMBER(SEARCH({"a0","a-0","a_0","a/0","a.0","a#0","0a","0-a","0_a","0/a"},BP60)))&gt;0),ISNUMBER(SEARCH("000000",BP60)))),1,0),0)</f>
        <v>0</v>
      </c>
      <c r="BR60" s="61" t="n">
        <f aca="false">IFERROR(LEN(SUBSTITUTE(CC60," ",""))-SUMPRODUCT((LEN(CC60)-LEN(SUBSTITUTE(CC60," "&amp;L_Role&amp;" "," ")))/(LEN(L_Role)+1)*LEN(L_Role)),0)</f>
        <v>0</v>
      </c>
      <c r="BS60" s="61" t="n">
        <f aca="false">IFERROR(LEN(SUBSTITUTE(CD60," ",""))-SUMPRODUCT((LEN(CD60)-LEN(SUBSTITUTE(CD60," "&amp;L_Role&amp;" "," ")))/(LEN(L_Role)+1)*LEN(L_Role)),0)</f>
        <v>0</v>
      </c>
      <c r="BT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revision",""),"version",""),"jan",""),"feb",""),"mar",""),"apr",""),"may",""),"jun",""),"jul",""),"aug",""),"sep",""),"oct",""),"nov",""),"dec",""),"utc",""),"gmt",""),"myt",""),"bst",""),"rev",""),"ver",""),"b","a"),"c","a"),"d","a"),"e","a"),"f","a"),"g","a"),"h","a"),"i","a"),"j","a"),"k","a"),"l","a"),"m","a"),"n","a"),"o","a"),"p","a"),"q","a"),"r","a"),"s","a"),"t","a"),"u","a"),"v","a"),"w","a"),"x","a"),"y","a"),"z","a")</f>
        <v/>
      </c>
      <c r="BU60" s="61" t="str">
        <f aca="false">SUBSTITUTE(SUBSTITUTE(SUBSTITUTE(SUBSTITUTE(SUBSTITUTE(SUBSTITUTE(SUBSTITUTE(SUBSTITUTE(SUBSTITUTE(SUBSTITUTE(LEFT(BM60,FIND("0",BM60&amp;"0")-1),"-",""),"_",""),"/",""),".",""),"#",""),"\\",""),":","")," ",""),"(",""),")","")</f>
        <v/>
      </c>
      <c r="BV60" s="61" t="n">
        <f aca="false">IFERROR(IF(OR(SUMPRODUCT((LEN(BC60)-LEN(SUBSTITUTE(BC60," "&amp;L_NotLoaded&amp;" "," ")))/(LEN(L_NotLoaded)+1))&gt;SUMPRODUCT((LEN(BC60)-LEN(SUBSTITUTE(BC60," "&amp;L_NotLoadedNeg&amp;" "," ")))/(LEN(L_NotLoadedNeg)+1)),SUMPRODUCT((LEN(BD60)-LEN(SUBSTITUTE(BD60," "&amp;L_NotLoaded&amp;" "," ")))/(LEN(L_NotLoaded)+1))&gt;SUMPRODUCT((LEN(BD60)-LEN(SUBSTITUTE(BD60," "&amp;L_NotLoadedNeg&amp;" "," ")))/(LEN(L_NotLoadedNeg)+1))),1,0),0)</f>
        <v>0</v>
      </c>
      <c r="BW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amp;""),"a",""),"b",""),"c",""),"d",""),"e",""),"f",""),"g",""),"h",""),"i",""),"j",""),"k",""),"l",""),"m",""),"n",""),"o",""),"p",""),"q",""),"r",""),"s",""),"t",""),"u",""),"v",""),"w",""),"x",""),"y",""),"z",""),"-",""),"_",""),"/",""),".",""),"#",""),"\\",""),":","")," ",""),"(",""),")","")</f>
        <v/>
      </c>
      <c r="BX60" s="61" t="str">
        <f aca="false">SUBSTITUTE(SUBSTITUTE(SUBSTITUTE(SUBSTITUTE(SUBSTITUTE(SUBSTITUTE(SUBSTITUTE(SUBSTITUTE(SUBSTITUTE(SUBSTITUTE(SUBSTITUTE(BM60,"0",""),"-",""),"_",""),"/",""),".",""),"#",""),"\\",""),":","")," ",""),"(",""),")","")</f>
        <v/>
      </c>
      <c r="BY60" s="62" t="n">
        <f aca="false">IF(ISNUMBER(Flights!$AZ$6),MAX(Q60-UpliftWindowH/24,Flights!$AZ$6),Q60-UpliftWindowH/24)</f>
        <v>46304.3263888889</v>
      </c>
      <c r="BZ60" s="61" t="n">
        <f aca="false">IFERROR(IF(IF(TRIM(S60)="Link / file path",AND(LEN(TRIM(Z60))&gt;=5,SUMPRODUCT(--ISNUMBER(SEARCH({"http","www.","\\",":\",".pdf",".jpg",".jpeg",".png",".heic",".xls",".doc",".msg",".eml",".ppt",".txt",".zip"},Z60)))&gt;0),AND(ISERROR(FIND(" ",TRIM(Z60))),NOT(OR(SUMPRODUCT(--ISNUMBER(FIND({",",";","&amp;","+"},Z60)))&gt;0,SUMPRODUCT(--ISNUMBER(SEARCH({"0/aa","0\\aa"},BN60)))&gt;0)),NOT(SUMPRODUCT(--ISNUMBER(SEARCH({"http","www.","\\",":\",".pdf",".jpg",".jpeg",".png",".heic",".xls",".doc",".msg",".eml",".ppt",".txt",".zip"},Z60)))&gt;0),NOT(LOWER(TRIM(Z60))=LOWER(Flights!$F$6)),ISNA(MATCH(BU60,{"mh","rev","revision","ver","version","v","r","a","b","seat","tray","row","gate","bay","stand","page","pg","item","line","no","cart","galley","flight","flt","table","box","bag","oven","etd","eta","std","sta","atd","ata","qty","pax","x","time","tel","ph","mob","day","wk","week","utc","gmt","myt","lt"},0)),NOT(OR(ISNUMBER(MATCH(LEFT(BN60,255),{"0000a","000a","00a","0000aa","000aa","00aa","0aa","0000aaa","000aaa","00a00","0a00","0000-0000","00:00","a00","a0","00.00.0000","00/00/0000","00-00-0000","0000-00-00","0000/00/00","0000.00.00","00.00.00","00/00/00","00-00-00","0.00.0000","0/00/0000","0-00-0000"},0)),ISNUMBER(MATCH(LEFT(BT60,255),{"0000a","000a","00a","0000aa","000aa","00aa","0aa","0000aaa","000aaa","00a00","0a00","0000-0000","00:00","a00","a0","00.00.0000","00/00/0000","00-00-0000","0000-00-00","0000/00/00","0000.00.00","00.00.00","00/00/00","00-00-00","0.00.0000","0/00/0000","0-00-0000"},0)))),NOT(OR(AND(BW60&lt;&gt;"",SUBSTITUTE(BW60,"0","")=""),AND(LEN(BW60)&gt;=4,BW60=REPT(LEFT(BW60),LEN(BW60))),ISNUMBER(MATCH(BW60,{"123","1234","12345","123456","1234567","12345678","0123","01234","012345","98765","987654","54321"},0)),ISNUMBER(MATCH(BX60,{"x","xx","xxx","xxxx","xxxxx","abc","abcd","nil","na","nan","test","tbc","tba","tbd","dummy","sample","example","eg","zz","zzz","none","null","xyz","qwe","asd","id","ref"},0)),AND(LEN(BW60)=8,BX60="",OR(LEFT(BW60,3)="202",ISNUMBER(MATCH(RIGHT(BW60,4),{"2025","2026","2027"},0)))))),OR(AND((LEN(BT60)-LEN(SUBSTITUTE(BT60,"a","")))&gt;=1,(LEN(BN60)-LEN(SUBSTITUTE(BN60,"0","")))&gt;=2,SUMPRODUCT(--ISNUMBER(SEARCH({"a0","a-0","a_0","a/0","a.0","a#0","0a","0-a","0_a","0/a"},BN60)))&gt;0),AND((LEN(BN60)-LEN(SUBSTITUTE(BN60,"a","")))=0,(LEN(BN60)-LEN(SUBSTITUTE(BN60,"0","")))&gt;=5)))),1,0),0)</f>
        <v>0</v>
      </c>
      <c r="CA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revision",""),"version",""),"jan",""),"feb",""),"mar",""),"apr",""),"may",""),"jun",""),"jul",""),"aug",""),"sep",""),"oct",""),"nov",""),"dec",""),"utc",""),"gmt",""),"myt",""),"bst",""),"rev",""),"ver",""),"b","a"),"c","a"),"d","a"),"e","a"),"f","a"),"g","a"),"h","a"),"i","a"),"j","a"),"k","a"),"l","a"),"m","a"),"n","a"),"o","a"),"p","a"),"q","a"),"r","a"),"s","a"),"t","a"),"u","a"),"v","a"),"w","a"),"x","a"),"y","a"),"z","a")</f>
        <v/>
      </c>
      <c r="CB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amp;""),"a",""),"b",""),"c",""),"d",""),"e",""),"f",""),"g",""),"h",""),"i",""),"j",""),"k",""),"l",""),"m",""),"n",""),"o",""),"p",""),"q",""),"r",""),"s",""),"t",""),"u",""),"v",""),"w",""),"x",""),"y",""),"z",""),"-",""),"_",""),"/",""),".",""),"#",""),"\\",""),":","")," ",""),"(",""),")","")</f>
        <v/>
      </c>
      <c r="CC60" s="0" t="str">
        <f aca="false">" "&amp;TRIM(SUBSTITUTE(SUBSTITUTE(SUBSTITUTE(SUBSTITUTE(SUBSTITUTE(SUBSTITUTE(SUBSTITUTE(SUBSTITUTE(SUBSTITUTE(SUBSTITUTE(SUBSTITUTE(SUBSTITUTE(SUBSTITUTE(SUBSTITUTE(SUBSTITUTE(SUBSTITUTE(SUBSTITUTE(SUBSTITUTE(SUBSTITUTE(SUBSTITUTE(SUBSTITUTE(SUBSTITUTE(SUBSTITUTE(SUBSTITUTE(LOWER(T60&amp;""),CHAR(10)," "),CHAR(13)," "),CHAR(9)," "),CHAR(160)," "),"."," "),","," "),"-"," "),"/"," "),"("," "),")"," "),":"," "),";"," "),"_"," "),"–"," "),"?"," "),"!"," "),"*"," "),"["," "),"]"," "),"'"," "),"#"," "),"+"," "),"&amp;"," "),"\"," "))&amp;" "</f>
        <v>  </v>
      </c>
      <c r="CD60" s="0" t="str">
        <f aca="false">" "&amp;TRIM(SUBSTITUTE(SUBSTITUTE(SUBSTITUTE(SUBSTITUTE(SUBSTITUTE(SUBSTITUTE(SUBSTITUTE(SUBSTITUTE(SUBSTITUTE(SUBSTITUTE(SUBSTITUTE(SUBSTITUTE(SUBSTITUTE(SUBSTITUTE(SUBSTITUTE(SUBSTITUTE(SUBSTITUTE(SUBSTITUTE(SUBSTITUTE(SUBSTITUTE(SUBSTITUTE(SUBSTITUTE(SUBSTITUTE(SUBSTITUTE(LOWER(AE60&amp;""),CHAR(10)," "),CHAR(13)," "),CHAR(9)," "),CHAR(160)," "),"."," "),","," "),"-"," "),"/"," "),"("," "),")"," "),":"," "),";"," "),"_"," "),"–"," "),"?"," "),"!"," "),"*"," "),"["," "),"]"," "),"'"," "),"#"," "),"+"," "),"&amp;"," "),"\"," "))&amp;" "</f>
        <v>  </v>
      </c>
      <c r="CE60" s="68" t="n">
        <f aca="false">IFERROR(IF(AND(LEN(AU60)&gt;0,LEN(AU60)=LEN(AX60),OR(TRIM(MID(SUBSTITUTE(TRIM(CC60)," ",REPT(" ",60)),1,60))="",ISNUMBER(SEARCH(" "&amp;TRIM(MID(SUBSTITUTE(TRIM(CC60)," ",REPT(" ",60)),1,60))&amp;" ",CD60))),OR(TRIM(MID(SUBSTITUTE(TRIM(CC60)," ",REPT(" ",60)),61,60))="",ISNUMBER(SEARCH(" "&amp;TRIM(MID(SUBSTITUTE(TRIM(CC60)," ",REPT(" ",60)),61,60))&amp;" ",CD60))),OR(TRIM(MID(SUBSTITUTE(TRIM(CC60)," ",REPT(" ",60)),121,60))="",ISNUMBER(SEARCH(" "&amp;TRIM(MID(SUBSTITUTE(TRIM(CC60)," ",REPT(" ",60)),121,60))&amp;" ",CD60)))),1,0),0)</f>
        <v>0</v>
      </c>
      <c r="CG60" s="68" t="n">
        <f aca="false">IFERROR(LEN(SUBSTITUTE(BF60," ",""))-SUMPRODUCT((LEN(BF60)-LEN(SUBSTITUTE(BF60," "&amp;L_NAFiller&amp;" "," ")))/(LEN(L_NAFiller)+1)*LEN(L_NAFiller)),0)</f>
        <v>0</v>
      </c>
    </row>
    <row r="61" customFormat="false" ht="39.75" hidden="false" customHeight="true" outlineLevel="0" collapsed="false">
      <c r="A61" s="57" t="s">
        <v>538</v>
      </c>
      <c r="B61" s="57" t="s">
        <v>198</v>
      </c>
      <c r="C61" s="57" t="str">
        <f aca="false">Flights!$F$6</f>
        <v>MH0727</v>
      </c>
      <c r="D61" s="58" t="n">
        <f aca="false">Flights!$D$6</f>
        <v>46304</v>
      </c>
      <c r="E61" s="57" t="str">
        <f aca="false">Flights!$G$6&amp;"-"&amp;Flights!$H$6</f>
        <v>KUL-CGK</v>
      </c>
      <c r="F61" s="57" t="str">
        <f aca="false">Flights!$K$6</f>
        <v>BC</v>
      </c>
      <c r="G61" s="57" t="s">
        <v>459</v>
      </c>
      <c r="H61" s="57" t="s">
        <v>460</v>
      </c>
      <c r="I61" s="57" t="s">
        <v>499</v>
      </c>
      <c r="J61" s="57" t="s">
        <v>539</v>
      </c>
      <c r="K61" s="67" t="s">
        <v>501</v>
      </c>
      <c r="L61" s="67" t="s">
        <v>506</v>
      </c>
      <c r="M61" s="67" t="s">
        <v>451</v>
      </c>
      <c r="N61" s="67" t="s">
        <v>383</v>
      </c>
      <c r="O61" s="67"/>
      <c r="P61" s="57" t="s">
        <v>187</v>
      </c>
      <c r="Q61" s="59" t="n">
        <f aca="false">ROUND((Flights!$AF$6)*1440,0)/1440</f>
        <v>46304.5763888889</v>
      </c>
      <c r="R61" s="59" t="n">
        <f aca="false">Q61+(IF(AND(INDEX(TZ_DSTS,MATCH(P61,TZ_STN,0))&lt;&gt;"",Q61&gt;=INDEX(TZ_DSTS,MATCH(P61,TZ_STN,0)),Q61&lt;INDEX(TZ_DSTE,MATCH(P61,TZ_STN,0))),INDEX(TZ_DST,MATCH(P61,TZ_STN,0)),INDEX(TZ_STD,MATCH(P61,TZ_STN,0))))/24</f>
        <v>46304.9097222222</v>
      </c>
      <c r="S61" s="60"/>
      <c r="T61" s="60"/>
      <c r="U61" s="60"/>
      <c r="V61" s="60"/>
      <c r="W61" s="61"/>
      <c r="X61" s="60"/>
      <c r="Y61" s="60"/>
      <c r="Z61" s="60"/>
      <c r="AA61" s="60"/>
      <c r="AB61" s="60"/>
      <c r="AC61" s="60"/>
      <c r="AD61" s="66"/>
      <c r="AE61" s="60"/>
      <c r="AF61" s="61" t="str">
        <f aca="false">IF(AND(ISNUMBER(X61),ISNUMBER(Y61)),Y61-X61,"")</f>
        <v/>
      </c>
      <c r="AG61" s="62" t="str">
        <f aca="false">IF(ISNUMBER(AD61),AD61-(IF(AND(INDEX(TZ_DSTS,MATCH(P61,TZ_STN,0))&lt;&gt;"",(AD61-INDEX(TZ_STD,MATCH(P61,TZ_STN,0))/24)&gt;=INDEX(TZ_DSTS,MATCH(P61,TZ_STN,0)),(AD61-INDEX(TZ_STD,MATCH(P61,TZ_STN,0))/24)&lt;INDEX(TZ_DSTE,MATCH(P61,TZ_STN,0))),INDEX(TZ_DST,MATCH(P61,TZ_STN,0)),INDEX(TZ_STD,MATCH(P61,TZ_STN,0))))/24,"")</f>
        <v/>
      </c>
      <c r="AH61" s="65" t="str">
        <f aca="false">IFERROR(IF(N61="N/A – rule",IF(OR(TRIM(U61)="",TRIM(U61)="N/A",TRIM(U61)="Not started"),"N/A – RULE","INVALID – this check does not apply to this aircraft: clear the status (or correct the fleet on Flights)"),IF(TRIM(U61)="N/A",IF(AT61=0,"INVALID – N/A not permitted for this check",IF(AND(TRIM(AB61)&lt;&gt;"",TRIM(AB61)&lt;&gt;"Closed"),"INVALID – corrective action still open",IF(AND(NOT(OR(LEN(AZ61)&lt;15,ISNUMBER(MATCH(AZ61,L_Placeholder,0)))),BK61=0,CG61&gt;=8,NOT(OR(LEN(AU61)&lt;2,ISNUMBER(MATCH(AU61,L_Placeholder,0)))),BR61&gt;=3,NOT(OR(LEN(AX61)&lt;2,ISNUMBER(MATCH(AX61,L_Placeholder,0)))),BS61&gt;=3,TRIM(AE61)&lt;&gt;TRIM(T61),AX61&lt;&gt;AU61,CE61=0),"N/A – JUSTIFIED","INVALID – N/A needs a real, settled reason (not 'not applicable' / 'as above' / TBC), a named PIC and a different named verifier"))),IF(OR(TRIM(U61)="Pass",TRIM(U61)="Pass after CA"),IF(NOT(ISNUMBER(AD61)),"INVALID – completion time missing",IF(OR(OR(LEN(AU61)&lt;2,ISNUMBER(MATCH(AU61,L_Placeholder,0))),BR61&lt;3),"INVALID – PIC missing or not a named person (a role such as QA / CSM is not a name)",IF(OR(LEN(AV61)&lt;2,ISNUMBER(MATCH(AV61,L_Placeholder,0))),"INVALID – result / assessment missing",IF(OR(OR(LEN(AW61)&lt;3,ISNUMBER(MATCH(AW61,L_Placeholder,0))),SUMPRODUCT(--ISNUMBER(SEARCH(" "&amp;L_EvidencePhrase&amp;" ",BD61)))&gt;0,BI61=1),"INVALID – evidence missing, placeholder or not yet on file",IF(ISNA(MATCH(TRIM(S61),L_EvidenceType,0)),"INVALID – choose the evidence type from the list (column S)",IF(BL61=0,"INVALID – evidence ID must be the record's own ID only (e.g. SF-2210, IMG_2231, 1045521); a link / file name needs type 'Link / file path'",IF(OR(OR(LEN(AX61)&lt;2,ISNUMBER(MATCH(AX61,L_Placeholder,0))),BS61&lt;3),"INVALID – verifier missing or not a named person (a role such as QA / CSM is not a name)",IF(OR(AX61=AU61,CE61=1,AND(LEN(AU61)&gt;=4,ISNUMBER(SEARCH(AU61,AX61))),AND(LEN(AX61)&gt;=4,ISNUMBER(SEARCH(AX61,AU61)))),"INVALID – verifier must be a different, named person (not the PIC or a role)",IF(BH61=1,"INVALID – result not yet available (awaiting / TBC)",IF(BG61=1,"INVALID – result describes a problem: record Fail, then Pass after CA (or reword if it is not a problem)",IF(BV61=1,"INVALID – wording says not on board: an on-board confirmation needs the item loaded",IF(AND(AQ61=1,OR(OR(LEN(AY61)&lt;3,ISNUMBER(MATCH(AY61,L_Placeholder,0))),BJ61=1,BQ61=0)),"INVALID – batch ID missing, placeholder or not an ID (e.g. PASB-261008-BC-017)",IF(AND(AR61=1,OR(NOT(ISNUMBER(X61)),NOT(ISNUMBER(Y61)))),"INVALID – expected/actual qty missing",IF(AND(AR61=1,OR(X61&lt;=0,Y61&lt;0)),"INVALID – expected qty must be above 0 and actual not negative",IF(AH49="N/A – JUSTIFIED","INVALID – preparation row F02-T12-10 is N/A",IF(AND(AR61=1,ISNUMBER(X49),X61&lt;&gt;X49,TRIM(U61)&lt;&gt;"Pass after CA"),"INVALID – expected qty differs from preparation check F02-T12-10: record the load change as a corrective action (Pass after CA)",IF(BB61&lt;&gt;"",BB61,IF(AND(AS61=1,Documents!$J$6&lt;&gt;"ON FILE"),"INVALID – GLD not on file (Documents sheet)",IF(AND(AS61=2,Documents!$O$6&lt;&gt;"ON FILE"),"INVALID – menu checklist not on file (Documents sheet)",IF(AND(AS61=3,NOT(ISNUMBER(Flights!$AX$6))),"INVALID – enter carrying flight KUL departure (Flights AX)",IF(AND(AS61=3,OR(Flights!$AZ$6&gt;Flights!$AA$6,Flights!$AX$6&lt;Flights!$AA$6-3)),"INVALID – carrying flight (Flights AX) cannot arrive before this leg's STD, or is over 3 days early",IF(AG61&gt;AsOfUTC,"INVALID – completion time is in the future",IF(AND(ISNUMBER(BY61),AG61&lt;BY61),IF(H61="Physical uplift","INVALID – before uplift window (cannot confirm loading)","INVALID – before valid window"),IF(AG61&gt;Flights!$AA$6,"INVALID – completed after departure (cannot establish readiness)",IF(AND(H61="Preparation",AG61&gt;=IF(ISNUMBER(Flights!$BA$6),MIN(Flights!$BA$6,Flights!$AA$6),Flights!$AA$6)),"INVALID – completed after loading / departure (cannot establish readiness)",IF(AND(H61="Physical uplift",AG61&gt;Q61),"INVALID – recorded after the loading flight departed",IF(AG61&gt;Q61,"COMPLETE – LATE","COMPLETE"))))))))))))))))))))))))))),IF(TRIM(U61)="Fail","FAIL – DISCREPANCY",IF(AND(TRIM(U61)&lt;&gt;"",TRIM(U61)&lt;&gt;"Not started",TRIM(U61)&lt;&gt;"In progress"),"INVALID – unrecognised status (use the list)",IF(AsOfUTC&gt;Q61,"OVERDUE",IF(N61="Clarification required","OPEN – CLARIFICATION","OPEN"))))))),"INVALID – error value in an input cell")</f>
        <v>OPEN</v>
      </c>
      <c r="AI61" s="61" t="n">
        <f aca="false">IF(OR(AH61="N/A – RULE",AH61="N/A – JUSTIFIED"),0,1)</f>
        <v>1</v>
      </c>
      <c r="AJ61" s="61" t="n">
        <f aca="false">IF(LEFT(AH61,8)="COMPLETE",1,0)</f>
        <v>0</v>
      </c>
      <c r="AK61" s="61" t="n">
        <f aca="false">IF(AND(AI61=1,AJ61=0,AsOfUTC&gt;Q61),1,0)</f>
        <v>0</v>
      </c>
      <c r="AL61" s="61" t="n">
        <f aca="false">IFERROR(IF(AND(AI61=1,OR(TRIM(U61)="Fail",AND(TRIM(AB61)&lt;&gt;"",TRIM(AB61)&lt;&gt;"Closed"),AND(ISNUMBER(AF61),AF61&lt;&gt;0,TRIM(U61)&lt;&gt;"Pass after CA"))),1,0),1)</f>
        <v>0</v>
      </c>
      <c r="AM61" s="61" t="n">
        <f aca="false">IF(LEFT(AH61,7)="INVALID",1,0)</f>
        <v>0</v>
      </c>
      <c r="AN61" s="61" t="n">
        <f aca="false">IF(AND(N61="Clarification required",AI61=1,AJ61=0),1,0)</f>
        <v>0</v>
      </c>
      <c r="AO61" s="61" t="str">
        <f aca="false">IF(AK61=1,SUM(AK$5:AK61),"")</f>
        <v/>
      </c>
      <c r="AP61" s="61" t="str">
        <f aca="false">IF(AL61=1,SUM(AL$5:AL61),"")</f>
        <v/>
      </c>
      <c r="AQ61" s="61" t="n">
        <v>0</v>
      </c>
      <c r="AR61" s="61" t="n">
        <v>0</v>
      </c>
      <c r="AS61" s="61" t="n">
        <v>0</v>
      </c>
      <c r="AT61" s="61" t="n">
        <v>0</v>
      </c>
      <c r="AU61" s="61" t="str">
        <f aca="false">SUBSTITUTE(SUBSTITUTE(SUBSTITUTE(SUBSTITUTE(SUBSTITUTE(SUBSTITUTE(SUBSTITUTE(SUBSTITUTE(SUBSTITUTE(SUBSTITUTE(SUBSTITUTE(SUBSTITUTE(SUBSTITUTE(SUBSTITUTE(SUBSTITUTE(SUBSTITUTE(LOWER(T61&amp;""),CHAR(10),""),CHAR(13),""),CHAR(9),""),CHAR(160),"")," ",""),".",""),"-",""),"/",""),"?",""),"_",""),",",""),"[",""),"]",""),"(",""),")",""),"*","")</f>
        <v/>
      </c>
      <c r="AV61" s="61" t="str">
        <f aca="false">SUBSTITUTE(SUBSTITUTE(SUBSTITUTE(SUBSTITUTE(SUBSTITUTE(SUBSTITUTE(SUBSTITUTE(SUBSTITUTE(SUBSTITUTE(SUBSTITUTE(SUBSTITUTE(SUBSTITUTE(SUBSTITUTE(SUBSTITUTE(SUBSTITUTE(SUBSTITUTE(LOWER(V61&amp;""),CHAR(10),""),CHAR(13),""),CHAR(9),""),CHAR(160),"")," ",""),".",""),"-",""),"/",""),"?",""),"_",""),",",""),"[",""),"]",""),"(",""),")",""),"*","")</f>
        <v/>
      </c>
      <c r="AW61" s="61" t="str">
        <f aca="false">SUBSTITUTE(SUBSTITUTE(SUBSTITUTE(SUBSTITUTE(SUBSTITUTE(SUBSTITUTE(SUBSTITUTE(SUBSTITUTE(SUBSTITUTE(SUBSTITUTE(SUBSTITUTE(SUBSTITUTE(SUBSTITUTE(SUBSTITUTE(SUBSTITUTE(SUBSTITUTE(LOWER(Z61&amp;""),CHAR(10),""),CHAR(13),""),CHAR(9),""),CHAR(160),"")," ",""),".",""),"-",""),"/",""),"?",""),"_",""),",",""),"[",""),"]",""),"(",""),")",""),"*","")</f>
        <v/>
      </c>
      <c r="AX61" s="61" t="str">
        <f aca="false">SUBSTITUTE(SUBSTITUTE(SUBSTITUTE(SUBSTITUTE(SUBSTITUTE(SUBSTITUTE(SUBSTITUTE(SUBSTITUTE(SUBSTITUTE(SUBSTITUTE(SUBSTITUTE(SUBSTITUTE(SUBSTITUTE(SUBSTITUTE(SUBSTITUTE(SUBSTITUTE(LOWER(AE61&amp;""),CHAR(10),""),CHAR(13),""),CHAR(9),""),CHAR(160),"")," ",""),".",""),"-",""),"/",""),"?",""),"_",""),",",""),"[",""),"]",""),"(",""),")",""),"*","")</f>
        <v/>
      </c>
      <c r="AY61" s="61" t="str">
        <f aca="false">SUBSTITUTE(SUBSTITUTE(SUBSTITUTE(SUBSTITUTE(SUBSTITUTE(SUBSTITUTE(SUBSTITUTE(SUBSTITUTE(SUBSTITUTE(SUBSTITUTE(SUBSTITUTE(SUBSTITUTE(SUBSTITUTE(SUBSTITUTE(SUBSTITUTE(SUBSTITUTE(LOWER(W61&amp;""),CHAR(10),""),CHAR(13),""),CHAR(9),""),CHAR(160),"")," ",""),".",""),"-",""),"/",""),"?",""),"_",""),",",""),"[",""),"]",""),"(",""),")",""),"*","")</f>
        <v/>
      </c>
      <c r="AZ61" s="61" t="str">
        <f aca="false">SUBSTITUTE(SUBSTITUTE(SUBSTITUTE(SUBSTITUTE(SUBSTITUTE(SUBSTITUTE(SUBSTITUTE(SUBSTITUTE(SUBSTITUTE(SUBSTITUTE(SUBSTITUTE(SUBSTITUTE(SUBSTITUTE(SUBSTITUTE(SUBSTITUTE(SUBSTITUTE(LOWER(AC61&amp;""),CHAR(10),""),CHAR(13),""),CHAR(9),""),CHAR(160),"")," ",""),".",""),"-",""),"/",""),"?",""),"_",""),",",""),"[",""),"]",""),"(",""),")",""),"*","")</f>
        <v/>
      </c>
      <c r="BA61" s="61" t="str">
        <f aca="false">SUBSTITUTE(SUBSTITUTE(SUBSTITUTE(SUBSTITUTE(SUBSTITUTE(SUBSTITUTE(SUBSTITUTE(SUBSTITUTE(SUBSTITUTE(SUBSTITUTE(SUBSTITUTE(SUBSTITUTE(SUBSTITUTE(SUBSTITUTE(SUBSTITUTE(SUBSTITUTE(LOWER(AA61&amp;""),CHAR(10),""),CHAR(13),""),CHAR(9),""),CHAR(160),"")," ",""),".",""),"-",""),"/",""),"?",""),"_",""),",",""),"[",""),"]",""),"(",""),")",""),"*","")</f>
        <v/>
      </c>
      <c r="BB61" s="61" t="str">
        <f aca="false">IF(AND(TRIM(U61)="Pass",ISNUMBER(AF61)),IF(AF61&lt;&gt;0,"INVALID – qty variance: use Fail or Pass after CA",""),"")&amp;IF(AND(TRIM(U61)="Pass after CA",ISNUMBER(AF61)),IF(AF61&lt;&gt;0,"INVALID – after the corrective action the actual qty must equal expected (update Actual)",""),"")&amp;IF(AND(TRIM(U61)="Pass",TRIM(AB61)&lt;&gt;"",TRIM(AB61)&lt;&gt;"Closed"),"INVALID – corrective action not closed: use Fail, then Pass after CA","")&amp;IF(AND(LEN(BA61)&gt;=2,ISNA(MATCH(LEFT(BA61,255),L_Placeholder,0)),TRIM(AB61)=""),"INVALID – CA status missing for the recorded corrective action","")&amp;IF(AND(TRIM(U61)="Pass after CA",OR(OR(LEN(BA61)&lt;5,ISNUMBER(MATCH(BA61,L_Placeholder,0))),TRIM(AB61)&lt;&gt;"Closed")),"INVALID – corrective action not recorded/closed","")</f>
        <v/>
      </c>
      <c r="BC61" s="61" t="str">
        <f aca="false">" "&amp;TRIM(SUBSTITUTE(SUBSTITUTE(SUBSTITUTE(SUBSTITUTE(SUBSTITUTE(SUBSTITUTE(SUBSTITUTE(SUBSTITUTE(SUBSTITUTE(SUBSTITUTE(SUBSTITUTE(SUBSTITUTE(SUBSTITUTE(SUBSTITUTE(SUBSTITUTE(SUBSTITUTE(SUBSTITUTE(SUBSTITUTE(SUBSTITUTE(SUBSTITUTE(SUBSTITUTE(SUBSTITUTE(SUBSTITUTE(SUBSTITUTE(LOWER(V61&amp;""),CHAR(10)," "),CHAR(13)," "),CHAR(9)," "),CHAR(160)," "),"."," "),","," "),"-"," "),"/"," "),"("," "),")"," "),":"," "),";"," "),"_"," "),"–"," "),"?"," "),"!"," "),"*"," "),"["," "),"]"," "),"'"," "),"#"," "),"+"," "),"&amp;"," "),"\"," "))&amp;" "</f>
        <v>  </v>
      </c>
      <c r="BD61" s="61" t="str">
        <f aca="false">" "&amp;TRIM(SUBSTITUTE(SUBSTITUTE(SUBSTITUTE(SUBSTITUTE(SUBSTITUTE(SUBSTITUTE(SUBSTITUTE(SUBSTITUTE(SUBSTITUTE(SUBSTITUTE(SUBSTITUTE(SUBSTITUTE(SUBSTITUTE(SUBSTITUTE(SUBSTITUTE(SUBSTITUTE(SUBSTITUTE(SUBSTITUTE(SUBSTITUTE(SUBSTITUTE(SUBSTITUTE(SUBSTITUTE(SUBSTITUTE(SUBSTITUTE(LOWER(Z61&amp;""),CHAR(10)," "),CHAR(13)," "),CHAR(9)," "),CHAR(160)," "),"."," "),","," "),"-"," "),"/"," "),"("," "),")"," "),":"," "),";"," "),"_"," "),"–"," "),"?"," "),"!"," "),"*"," "),"["," "),"]"," "),"'"," "),"#"," "),"+"," "),"&amp;"," "),"\"," "))&amp;" "</f>
        <v>  </v>
      </c>
      <c r="BE61" s="61" t="str">
        <f aca="false">" "&amp;TRIM(SUBSTITUTE(SUBSTITUTE(SUBSTITUTE(SUBSTITUTE(SUBSTITUTE(SUBSTITUTE(SUBSTITUTE(SUBSTITUTE(SUBSTITUTE(SUBSTITUTE(SUBSTITUTE(SUBSTITUTE(SUBSTITUTE(SUBSTITUTE(SUBSTITUTE(SUBSTITUTE(SUBSTITUTE(SUBSTITUTE(SUBSTITUTE(SUBSTITUTE(SUBSTITUTE(SUBSTITUTE(SUBSTITUTE(SUBSTITUTE(LOWER(W61&amp;""),CHAR(10)," "),CHAR(13)," "),CHAR(9)," "),CHAR(160)," "),"."," "),","," "),"-"," "),"/"," "),"("," "),")"," "),":"," "),";"," "),"_"," "),"–"," "),"?"," "),"!"," "),"*"," "),"["," "),"]"," "),"'"," "),"#"," "),"+"," "),"&amp;"," "),"\"," "))&amp;" "</f>
        <v>  </v>
      </c>
      <c r="BF61" s="61" t="str">
        <f aca="false">" "&amp;TRIM(SUBSTITUTE(SUBSTITUTE(SUBSTITUTE(SUBSTITUTE(SUBSTITUTE(SUBSTITUTE(SUBSTITUTE(SUBSTITUTE(SUBSTITUTE(SUBSTITUTE(SUBSTITUTE(SUBSTITUTE(SUBSTITUTE(SUBSTITUTE(SUBSTITUTE(SUBSTITUTE(SUBSTITUTE(SUBSTITUTE(SUBSTITUTE(SUBSTITUTE(SUBSTITUTE(SUBSTITUTE(SUBSTITUTE(SUBSTITUTE(LOWER(AC61&amp;""),CHAR(10)," "),CHAR(13)," "),CHAR(9)," "),CHAR(160)," "),"."," "),","," "),"-"," "),"/"," "),"("," "),")"," "),":"," "),";"," "),"_"," "),"–"," "),"?"," "),"!"," "),"*"," "),"["," "),"]"," "),"'"," "),"#"," "),"+"," "),"&amp;"," "),"\"," "))&amp;" "</f>
        <v>  </v>
      </c>
      <c r="BG61" s="61" t="n">
        <f aca="false">IFERROR(IF(AND(TRIM(U61)="Pass",SUMPRODUCT((LEN(BC61)-LEN(SUBSTITUTE(BC61," "&amp;L_ResultBad&amp;" "," ")))/(LEN(L_ResultBad)+1))&gt;SUMPRODUCT((LEN(BC61)-LEN(SUBSTITUTE(BC61," "&amp;L_NegPhrase&amp;" "," ")))/(LEN(L_NegPhrase)+1))),1,0),0)</f>
        <v>0</v>
      </c>
      <c r="BH61" s="61" t="n">
        <f aca="false">IFERROR(IF(SUMPRODUCT((LEN(BC61)-LEN(SUBSTITUTE(BC61," "&amp;L_Pending&amp;" "," ")))/(LEN(L_Pending)+1))&gt;SUMPRODUCT((LEN(BC61)-LEN(SUBSTITUTE(BC61," "&amp;L_PendNeg&amp;" "," ")))/(LEN(L_PendNeg)+1)),1,0),1)</f>
        <v>0</v>
      </c>
      <c r="BI61" s="61" t="n">
        <f aca="false">IFERROR(IF(SUMPRODUCT((LEN(BD61)-LEN(SUBSTITUTE(BD61," "&amp;L_PendStrict&amp;" "," ")))/(LEN(L_PendStrict)+1))&gt;SUMPRODUCT((LEN(BD61)-LEN(SUBSTITUTE(BD61," "&amp;L_PendNeg&amp;" "," ")))/(LEN(L_PendNeg)+1)),1,0),1)</f>
        <v>0</v>
      </c>
      <c r="BJ61" s="61" t="n">
        <f aca="false">IFERROR(IF(SUMPRODUCT((LEN(BE61)-LEN(SUBSTITUTE(BE61," "&amp;L_Pending&amp;" "," ")))/(LEN(L_Pending)+1))&gt;SUMPRODUCT((LEN(BE61)-LEN(SUBSTITUTE(BE61," "&amp;L_PendNeg&amp;" "," ")))/(LEN(L_PendNeg)+1)),1,0),1)</f>
        <v>0</v>
      </c>
      <c r="BK61" s="61" t="n">
        <f aca="false">IFERROR(IF(SUMPRODUCT((LEN(BF61)-LEN(SUBSTITUTE(BF61," "&amp;L_PendStrict&amp;" "," ")))/(LEN(L_PendStrict)+1))&gt;SUMPRODUCT((LEN(BF61)-LEN(SUBSTITUTE(BF61," "&amp;L_PendNeg&amp;" "," ")))/(LEN(L_PendNeg)+1)),1,0),1)</f>
        <v>0</v>
      </c>
      <c r="BL61" s="61" t="n">
        <f aca="false">IF(ISNA(MATCH(TRIM(S61),L_EvidenceType,0)),0,BZ61)</f>
        <v>0</v>
      </c>
      <c r="BM61" s="61" t="str">
        <f aca="false">SUBSTITUTE(SUBSTITUTE(SUBSTITUTE(SUBSTITUTE(SUBSTITUTE(SUBSTITUTE(SUBSTITUTE(SUBSTITUTE(SUBSTITUTE(LOWER(Z61&amp;""),"1","0"),"2","0"),"3","0"),"4","0"),"5","0"),"6","0"),"7","0"),"8","0"),"9","0")</f>
        <v/>
      </c>
      <c r="BN61" s="61" t="str">
        <f aca="false">SUBSTITUTE(SUBSTITUTE(SUBSTITUTE(SUBSTITUTE(SUBSTITUTE(SUBSTITUTE(SUBSTITUTE(SUBSTITUTE(SUBSTITUTE(SUBSTITUTE(SUBSTITUTE(SUBSTITUTE(SUBSTITUTE(SUBSTITUTE(SUBSTITUTE(SUBSTITUTE(SUBSTITUTE(SUBSTITUTE(SUBSTITUTE(SUBSTITUTE(SUBSTITUTE(SUBSTITUTE(SUBSTITUTE(SUBSTITUTE(SUBSTITUTE(BM61,"b","a"),"c","a"),"d","a"),"e","a"),"f","a"),"g","a"),"h","a"),"i","a"),"j","a"),"k","a"),"l","a"),"m","a"),"n","a"),"o","a"),"p","a"),"q","a"),"r","a"),"s","a"),"t","a"),"u","a"),"v","a"),"w","a"),"x","a"),"y","a"),"z","a")</f>
        <v/>
      </c>
      <c r="BO61" s="61" t="str">
        <f aca="false">SUBSTITUTE(SUBSTITUTE(SUBSTITUTE(SUBSTITUTE(SUBSTITUTE(SUBSTITUTE(SUBSTITUTE(SUBSTITUTE(SUBSTITUTE(LOWER(W61&amp;""),"1","0"),"2","0"),"3","0"),"4","0"),"5","0"),"6","0"),"7","0"),"8","0"),"9","0")</f>
        <v/>
      </c>
      <c r="BP61" s="61" t="str">
        <f aca="false">SUBSTITUTE(SUBSTITUTE(SUBSTITUTE(SUBSTITUTE(SUBSTITUTE(SUBSTITUTE(SUBSTITUTE(SUBSTITUTE(SUBSTITUTE(SUBSTITUTE(SUBSTITUTE(SUBSTITUTE(SUBSTITUTE(SUBSTITUTE(SUBSTITUTE(SUBSTITUTE(SUBSTITUTE(SUBSTITUTE(SUBSTITUTE(SUBSTITUTE(SUBSTITUTE(SUBSTITUTE(SUBSTITUTE(SUBSTITUTE(SUBSTITUTE(BO61,"b","a"),"c","a"),"d","a"),"e","a"),"f","a"),"g","a"),"h","a"),"i","a"),"j","a"),"k","a"),"l","a"),"m","a"),"n","a"),"o","a"),"p","a"),"q","a"),"r","a"),"s","a"),"t","a"),"u","a"),"v","a"),"w","a"),"x","a"),"y","a"),"z","a")</f>
        <v/>
      </c>
      <c r="BQ61" s="61" t="n">
        <f aca="false">IFERROR(IF(AND(ISERROR(SEARCH(" mh"," "&amp;LOWER(W61))),ISNA(MATCH(LEFT(TRIM(BP61),255),{"0000a","000a","00a","0000aa","000aa","00aa","0aa","0000aaa","000aaa","00a00","0a00","0000-0000","00:00","a00","a0","00.00.0000","00/00/0000","00-00-0000","0000-00-00","0000/00/00","0000.00.00","00.00.00","00/00/00","00-00-00","0.00.0000","0/00/0000","0-00-0000"},0)),ISNA(MATCH(LEFT(TRIM(CA61),255),{"0000a","000a","00a","0000aa","000aa","00aa","0aa","0000aaa","000aaa","00a00","0a00","0000-0000","00:00","a00","a0","00.00.0000","00/00/0000","00-00-0000","0000-00-00","0000/00/00","0000.00.00","00.00.00","00/00/00","00-00-00","0.00.0000","0/00/0000","0-00-0000"},0)),LEN(CB61)&gt;=3,NOT(OR(SUBSTITUTE(CB61,"0","")="",AND(LEN(CB61)&gt;=4,CB61=REPT(LEFT(CB61),LEN(CB61))),ISNUMBER(MATCH(CB61,{"123","1234","12345","123456","1234567","12345678","0123","01234","012345","98765","987654","54321"},0)),AND(LEN(CB61)=8,LEFT(CB61,3)="202"))),OR(AND((LEN(CA61)-LEN(SUBSTITUTE(CA61,"a","")))&gt;=1,SUMPRODUCT(--ISNUMBER(SEARCH({"a0","a-0","a_0","a/0","a.0","a#0","0a","0-a","0_a","0/a"},BP61)))&gt;0),ISNUMBER(SEARCH("000000",BP61)))),1,0),0)</f>
        <v>0</v>
      </c>
      <c r="BR61" s="61" t="n">
        <f aca="false">IFERROR(LEN(SUBSTITUTE(CC61," ",""))-SUMPRODUCT((LEN(CC61)-LEN(SUBSTITUTE(CC61," "&amp;L_Role&amp;" "," ")))/(LEN(L_Role)+1)*LEN(L_Role)),0)</f>
        <v>0</v>
      </c>
      <c r="BS61" s="61" t="n">
        <f aca="false">IFERROR(LEN(SUBSTITUTE(CD61," ",""))-SUMPRODUCT((LEN(CD61)-LEN(SUBSTITUTE(CD61," "&amp;L_Role&amp;" "," ")))/(LEN(L_Role)+1)*LEN(L_Role)),0)</f>
        <v>0</v>
      </c>
      <c r="BT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revision",""),"version",""),"jan",""),"feb",""),"mar",""),"apr",""),"may",""),"jun",""),"jul",""),"aug",""),"sep",""),"oct",""),"nov",""),"dec",""),"utc",""),"gmt",""),"myt",""),"bst",""),"rev",""),"ver",""),"b","a"),"c","a"),"d","a"),"e","a"),"f","a"),"g","a"),"h","a"),"i","a"),"j","a"),"k","a"),"l","a"),"m","a"),"n","a"),"o","a"),"p","a"),"q","a"),"r","a"),"s","a"),"t","a"),"u","a"),"v","a"),"w","a"),"x","a"),"y","a"),"z","a")</f>
        <v/>
      </c>
      <c r="BU61" s="61" t="str">
        <f aca="false">SUBSTITUTE(SUBSTITUTE(SUBSTITUTE(SUBSTITUTE(SUBSTITUTE(SUBSTITUTE(SUBSTITUTE(SUBSTITUTE(SUBSTITUTE(SUBSTITUTE(LEFT(BM61,FIND("0",BM61&amp;"0")-1),"-",""),"_",""),"/",""),".",""),"#",""),"\\",""),":","")," ",""),"(",""),")","")</f>
        <v/>
      </c>
      <c r="BV61" s="61" t="n">
        <f aca="false">IFERROR(IF(OR(SUMPRODUCT((LEN(BC61)-LEN(SUBSTITUTE(BC61," "&amp;L_NotLoaded&amp;" "," ")))/(LEN(L_NotLoaded)+1))&gt;SUMPRODUCT((LEN(BC61)-LEN(SUBSTITUTE(BC61," "&amp;L_NotLoadedNeg&amp;" "," ")))/(LEN(L_NotLoadedNeg)+1)),SUMPRODUCT((LEN(BD61)-LEN(SUBSTITUTE(BD61," "&amp;L_NotLoaded&amp;" "," ")))/(LEN(L_NotLoaded)+1))&gt;SUMPRODUCT((LEN(BD61)-LEN(SUBSTITUTE(BD61," "&amp;L_NotLoadedNeg&amp;" "," ")))/(LEN(L_NotLoadedNeg)+1))),1,0),0)</f>
        <v>0</v>
      </c>
      <c r="BW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amp;""),"a",""),"b",""),"c",""),"d",""),"e",""),"f",""),"g",""),"h",""),"i",""),"j",""),"k",""),"l",""),"m",""),"n",""),"o",""),"p",""),"q",""),"r",""),"s",""),"t",""),"u",""),"v",""),"w",""),"x",""),"y",""),"z",""),"-",""),"_",""),"/",""),".",""),"#",""),"\\",""),":","")," ",""),"(",""),")","")</f>
        <v/>
      </c>
      <c r="BX61" s="61" t="str">
        <f aca="false">SUBSTITUTE(SUBSTITUTE(SUBSTITUTE(SUBSTITUTE(SUBSTITUTE(SUBSTITUTE(SUBSTITUTE(SUBSTITUTE(SUBSTITUTE(SUBSTITUTE(SUBSTITUTE(BM61,"0",""),"-",""),"_",""),"/",""),".",""),"#",""),"\\",""),":","")," ",""),"(",""),")","")</f>
        <v/>
      </c>
      <c r="BY61" s="62" t="n">
        <f aca="false">IF(ISNUMBER(Flights!$AZ$6),MAX(Q61-UpliftWindowH/24,Flights!$AZ$6),Q61-UpliftWindowH/24)</f>
        <v>46304.3263888889</v>
      </c>
      <c r="BZ61" s="61" t="n">
        <f aca="false">IFERROR(IF(IF(TRIM(S61)="Link / file path",AND(LEN(TRIM(Z61))&gt;=5,SUMPRODUCT(--ISNUMBER(SEARCH({"http","www.","\\",":\",".pdf",".jpg",".jpeg",".png",".heic",".xls",".doc",".msg",".eml",".ppt",".txt",".zip"},Z61)))&gt;0),AND(ISERROR(FIND(" ",TRIM(Z61))),NOT(OR(SUMPRODUCT(--ISNUMBER(FIND({",",";","&amp;","+"},Z61)))&gt;0,SUMPRODUCT(--ISNUMBER(SEARCH({"0/aa","0\\aa"},BN61)))&gt;0)),NOT(SUMPRODUCT(--ISNUMBER(SEARCH({"http","www.","\\",":\",".pdf",".jpg",".jpeg",".png",".heic",".xls",".doc",".msg",".eml",".ppt",".txt",".zip"},Z61)))&gt;0),NOT(LOWER(TRIM(Z61))=LOWER(Flights!$F$6)),ISNA(MATCH(BU61,{"mh","rev","revision","ver","version","v","r","a","b","seat","tray","row","gate","bay","stand","page","pg","item","line","no","cart","galley","flight","flt","table","box","bag","oven","etd","eta","std","sta","atd","ata","qty","pax","x","time","tel","ph","mob","day","wk","week","utc","gmt","myt","lt"},0)),NOT(OR(ISNUMBER(MATCH(LEFT(BN61,255),{"0000a","000a","00a","0000aa","000aa","00aa","0aa","0000aaa","000aaa","00a00","0a00","0000-0000","00:00","a00","a0","00.00.0000","00/00/0000","00-00-0000","0000-00-00","0000/00/00","0000.00.00","00.00.00","00/00/00","00-00-00","0.00.0000","0/00/0000","0-00-0000"},0)),ISNUMBER(MATCH(LEFT(BT61,255),{"0000a","000a","00a","0000aa","000aa","00aa","0aa","0000aaa","000aaa","00a00","0a00","0000-0000","00:00","a00","a0","00.00.0000","00/00/0000","00-00-0000","0000-00-00","0000/00/00","0000.00.00","00.00.00","00/00/00","00-00-00","0.00.0000","0/00/0000","0-00-0000"},0)))),NOT(OR(AND(BW61&lt;&gt;"",SUBSTITUTE(BW61,"0","")=""),AND(LEN(BW61)&gt;=4,BW61=REPT(LEFT(BW61),LEN(BW61))),ISNUMBER(MATCH(BW61,{"123","1234","12345","123456","1234567","12345678","0123","01234","012345","98765","987654","54321"},0)),ISNUMBER(MATCH(BX61,{"x","xx","xxx","xxxx","xxxxx","abc","abcd","nil","na","nan","test","tbc","tba","tbd","dummy","sample","example","eg","zz","zzz","none","null","xyz","qwe","asd","id","ref"},0)),AND(LEN(BW61)=8,BX61="",OR(LEFT(BW61,3)="202",ISNUMBER(MATCH(RIGHT(BW61,4),{"2025","2026","2027"},0)))))),OR(AND((LEN(BT61)-LEN(SUBSTITUTE(BT61,"a","")))&gt;=1,(LEN(BN61)-LEN(SUBSTITUTE(BN61,"0","")))&gt;=2,SUMPRODUCT(--ISNUMBER(SEARCH({"a0","a-0","a_0","a/0","a.0","a#0","0a","0-a","0_a","0/a"},BN61)))&gt;0),AND((LEN(BN61)-LEN(SUBSTITUTE(BN61,"a","")))=0,(LEN(BN61)-LEN(SUBSTITUTE(BN61,"0","")))&gt;=5)))),1,0),0)</f>
        <v>0</v>
      </c>
      <c r="CA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revision",""),"version",""),"jan",""),"feb",""),"mar",""),"apr",""),"may",""),"jun",""),"jul",""),"aug",""),"sep",""),"oct",""),"nov",""),"dec",""),"utc",""),"gmt",""),"myt",""),"bst",""),"rev",""),"ver",""),"b","a"),"c","a"),"d","a"),"e","a"),"f","a"),"g","a"),"h","a"),"i","a"),"j","a"),"k","a"),"l","a"),"m","a"),"n","a"),"o","a"),"p","a"),"q","a"),"r","a"),"s","a"),"t","a"),"u","a"),"v","a"),"w","a"),"x","a"),"y","a"),"z","a")</f>
        <v/>
      </c>
      <c r="CB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amp;""),"a",""),"b",""),"c",""),"d",""),"e",""),"f",""),"g",""),"h",""),"i",""),"j",""),"k",""),"l",""),"m",""),"n",""),"o",""),"p",""),"q",""),"r",""),"s",""),"t",""),"u",""),"v",""),"w",""),"x",""),"y",""),"z",""),"-",""),"_",""),"/",""),".",""),"#",""),"\\",""),":","")," ",""),"(",""),")","")</f>
        <v/>
      </c>
      <c r="CC61" s="0" t="str">
        <f aca="false">" "&amp;TRIM(SUBSTITUTE(SUBSTITUTE(SUBSTITUTE(SUBSTITUTE(SUBSTITUTE(SUBSTITUTE(SUBSTITUTE(SUBSTITUTE(SUBSTITUTE(SUBSTITUTE(SUBSTITUTE(SUBSTITUTE(SUBSTITUTE(SUBSTITUTE(SUBSTITUTE(SUBSTITUTE(SUBSTITUTE(SUBSTITUTE(SUBSTITUTE(SUBSTITUTE(SUBSTITUTE(SUBSTITUTE(SUBSTITUTE(SUBSTITUTE(LOWER(T61&amp;""),CHAR(10)," "),CHAR(13)," "),CHAR(9)," "),CHAR(160)," "),"."," "),","," "),"-"," "),"/"," "),"("," "),")"," "),":"," "),";"," "),"_"," "),"–"," "),"?"," "),"!"," "),"*"," "),"["," "),"]"," "),"'"," "),"#"," "),"+"," "),"&amp;"," "),"\"," "))&amp;" "</f>
        <v>  </v>
      </c>
      <c r="CD61" s="0" t="str">
        <f aca="false">" "&amp;TRIM(SUBSTITUTE(SUBSTITUTE(SUBSTITUTE(SUBSTITUTE(SUBSTITUTE(SUBSTITUTE(SUBSTITUTE(SUBSTITUTE(SUBSTITUTE(SUBSTITUTE(SUBSTITUTE(SUBSTITUTE(SUBSTITUTE(SUBSTITUTE(SUBSTITUTE(SUBSTITUTE(SUBSTITUTE(SUBSTITUTE(SUBSTITUTE(SUBSTITUTE(SUBSTITUTE(SUBSTITUTE(SUBSTITUTE(SUBSTITUTE(LOWER(AE61&amp;""),CHAR(10)," "),CHAR(13)," "),CHAR(9)," "),CHAR(160)," "),"."," "),","," "),"-"," "),"/"," "),"("," "),")"," "),":"," "),";"," "),"_"," "),"–"," "),"?"," "),"!"," "),"*"," "),"["," "),"]"," "),"'"," "),"#"," "),"+"," "),"&amp;"," "),"\"," "))&amp;" "</f>
        <v>  </v>
      </c>
      <c r="CE61" s="68" t="n">
        <f aca="false">IFERROR(IF(AND(LEN(AU61)&gt;0,LEN(AU61)=LEN(AX61),OR(TRIM(MID(SUBSTITUTE(TRIM(CC61)," ",REPT(" ",60)),1,60))="",ISNUMBER(SEARCH(" "&amp;TRIM(MID(SUBSTITUTE(TRIM(CC61)," ",REPT(" ",60)),1,60))&amp;" ",CD61))),OR(TRIM(MID(SUBSTITUTE(TRIM(CC61)," ",REPT(" ",60)),61,60))="",ISNUMBER(SEARCH(" "&amp;TRIM(MID(SUBSTITUTE(TRIM(CC61)," ",REPT(" ",60)),61,60))&amp;" ",CD61))),OR(TRIM(MID(SUBSTITUTE(TRIM(CC61)," ",REPT(" ",60)),121,60))="",ISNUMBER(SEARCH(" "&amp;TRIM(MID(SUBSTITUTE(TRIM(CC61)," ",REPT(" ",60)),121,60))&amp;" ",CD61)))),1,0),0)</f>
        <v>0</v>
      </c>
      <c r="CG61" s="68" t="n">
        <f aca="false">IFERROR(LEN(SUBSTITUTE(BF61," ",""))-SUMPRODUCT((LEN(BF61)-LEN(SUBSTITUTE(BF61," "&amp;L_NAFiller&amp;" "," ")))/(LEN(L_NAFiller)+1)*LEN(L_NAFiller)),0)</f>
        <v>0</v>
      </c>
    </row>
    <row r="62" customFormat="false" ht="39.75" hidden="false" customHeight="true" outlineLevel="0" collapsed="false">
      <c r="A62" s="57" t="s">
        <v>540</v>
      </c>
      <c r="B62" s="57" t="s">
        <v>198</v>
      </c>
      <c r="C62" s="57" t="str">
        <f aca="false">Flights!$F$6</f>
        <v>MH0727</v>
      </c>
      <c r="D62" s="58" t="n">
        <f aca="false">Flights!$D$6</f>
        <v>46304</v>
      </c>
      <c r="E62" s="57" t="str">
        <f aca="false">Flights!$G$6&amp;"-"&amp;Flights!$H$6</f>
        <v>KUL-CGK</v>
      </c>
      <c r="F62" s="57" t="str">
        <f aca="false">Flights!$K$6</f>
        <v>BC</v>
      </c>
      <c r="G62" s="57" t="s">
        <v>459</v>
      </c>
      <c r="H62" s="57" t="s">
        <v>460</v>
      </c>
      <c r="I62" s="57" t="s">
        <v>499</v>
      </c>
      <c r="J62" s="57" t="s">
        <v>541</v>
      </c>
      <c r="K62" s="67" t="s">
        <v>501</v>
      </c>
      <c r="L62" s="67" t="s">
        <v>509</v>
      </c>
      <c r="M62" s="67" t="s">
        <v>451</v>
      </c>
      <c r="N62" s="67" t="s">
        <v>383</v>
      </c>
      <c r="O62" s="67"/>
      <c r="P62" s="57" t="s">
        <v>187</v>
      </c>
      <c r="Q62" s="59" t="n">
        <f aca="false">ROUND((Flights!$AF$6)*1440,0)/1440</f>
        <v>46304.5763888889</v>
      </c>
      <c r="R62" s="59" t="n">
        <f aca="false">Q62+(IF(AND(INDEX(TZ_DSTS,MATCH(P62,TZ_STN,0))&lt;&gt;"",Q62&gt;=INDEX(TZ_DSTS,MATCH(P62,TZ_STN,0)),Q62&lt;INDEX(TZ_DSTE,MATCH(P62,TZ_STN,0))),INDEX(TZ_DST,MATCH(P62,TZ_STN,0)),INDEX(TZ_STD,MATCH(P62,TZ_STN,0))))/24</f>
        <v>46304.9097222222</v>
      </c>
      <c r="S62" s="60"/>
      <c r="T62" s="60"/>
      <c r="U62" s="60"/>
      <c r="V62" s="60"/>
      <c r="W62" s="61"/>
      <c r="X62" s="60"/>
      <c r="Y62" s="60"/>
      <c r="Z62" s="60"/>
      <c r="AA62" s="60"/>
      <c r="AB62" s="60"/>
      <c r="AC62" s="60"/>
      <c r="AD62" s="66"/>
      <c r="AE62" s="60"/>
      <c r="AF62" s="61" t="str">
        <f aca="false">IF(AND(ISNUMBER(X62),ISNUMBER(Y62)),Y62-X62,"")</f>
        <v/>
      </c>
      <c r="AG62" s="62" t="str">
        <f aca="false">IF(ISNUMBER(AD62),AD62-(IF(AND(INDEX(TZ_DSTS,MATCH(P62,TZ_STN,0))&lt;&gt;"",(AD62-INDEX(TZ_STD,MATCH(P62,TZ_STN,0))/24)&gt;=INDEX(TZ_DSTS,MATCH(P62,TZ_STN,0)),(AD62-INDEX(TZ_STD,MATCH(P62,TZ_STN,0))/24)&lt;INDEX(TZ_DSTE,MATCH(P62,TZ_STN,0))),INDEX(TZ_DST,MATCH(P62,TZ_STN,0)),INDEX(TZ_STD,MATCH(P62,TZ_STN,0))))/24,"")</f>
        <v/>
      </c>
      <c r="AH62" s="65" t="str">
        <f aca="false">IFERROR(IF(N62="N/A – rule",IF(OR(TRIM(U62)="",TRIM(U62)="N/A",TRIM(U62)="Not started"),"N/A – RULE","INVALID – this check does not apply to this aircraft: clear the status (or correct the fleet on Flights)"),IF(TRIM(U62)="N/A",IF(AT62=0,"INVALID – N/A not permitted for this check",IF(AND(TRIM(AB62)&lt;&gt;"",TRIM(AB62)&lt;&gt;"Closed"),"INVALID – corrective action still open",IF(AND(NOT(OR(LEN(AZ62)&lt;15,ISNUMBER(MATCH(AZ62,L_Placeholder,0)))),BK62=0,CG62&gt;=8,NOT(OR(LEN(AU62)&lt;2,ISNUMBER(MATCH(AU62,L_Placeholder,0)))),BR62&gt;=3,NOT(OR(LEN(AX62)&lt;2,ISNUMBER(MATCH(AX62,L_Placeholder,0)))),BS62&gt;=3,TRIM(AE62)&lt;&gt;TRIM(T62),AX62&lt;&gt;AU62,CE62=0),"N/A – JUSTIFIED","INVALID – N/A needs a real, settled reason (not 'not applicable' / 'as above' / TBC), a named PIC and a different named verifier"))),IF(OR(TRIM(U62)="Pass",TRIM(U62)="Pass after CA"),IF(NOT(ISNUMBER(AD62)),"INVALID – completion time missing",IF(OR(OR(LEN(AU62)&lt;2,ISNUMBER(MATCH(AU62,L_Placeholder,0))),BR62&lt;3),"INVALID – PIC missing or not a named person (a role such as QA / CSM is not a name)",IF(OR(LEN(AV62)&lt;2,ISNUMBER(MATCH(AV62,L_Placeholder,0))),"INVALID – result / assessment missing",IF(OR(OR(LEN(AW62)&lt;3,ISNUMBER(MATCH(AW62,L_Placeholder,0))),SUMPRODUCT(--ISNUMBER(SEARCH(" "&amp;L_EvidencePhrase&amp;" ",BD62)))&gt;0,BI62=1),"INVALID – evidence missing, placeholder or not yet on file",IF(ISNA(MATCH(TRIM(S62),L_EvidenceType,0)),"INVALID – choose the evidence type from the list (column S)",IF(BL62=0,"INVALID – evidence ID must be the record's own ID only (e.g. SF-2210, IMG_2231, 1045521); a link / file name needs type 'Link / file path'",IF(OR(OR(LEN(AX62)&lt;2,ISNUMBER(MATCH(AX62,L_Placeholder,0))),BS62&lt;3),"INVALID – verifier missing or not a named person (a role such as QA / CSM is not a name)",IF(OR(AX62=AU62,CE62=1,AND(LEN(AU62)&gt;=4,ISNUMBER(SEARCH(AU62,AX62))),AND(LEN(AX62)&gt;=4,ISNUMBER(SEARCH(AX62,AU62)))),"INVALID – verifier must be a different, named person (not the PIC or a role)",IF(BH62=1,"INVALID – result not yet available (awaiting / TBC)",IF(BG62=1,"INVALID – result describes a problem: record Fail, then Pass after CA (or reword if it is not a problem)",IF(BV62=1,"INVALID – wording says not on board: an on-board confirmation needs the item loaded",IF(AND(AQ62=1,OR(OR(LEN(AY62)&lt;3,ISNUMBER(MATCH(AY62,L_Placeholder,0))),BJ62=1,BQ62=0)),"INVALID – batch ID missing, placeholder or not an ID (e.g. PASB-261008-BC-017)",IF(AND(AR62=1,OR(NOT(ISNUMBER(X62)),NOT(ISNUMBER(Y62)))),"INVALID – expected/actual qty missing",IF(AND(AR62=1,OR(X62&lt;=0,Y62&lt;0)),"INVALID – expected qty must be above 0 and actual not negative",IF(AH50="N/A – JUSTIFIED","INVALID – preparation row F02-T12-11 is N/A",IF(AND(AR62=1,ISNUMBER(X50),X62&lt;&gt;X50,TRIM(U62)&lt;&gt;"Pass after CA"),"INVALID – expected qty differs from preparation check F02-T12-11: record the load change as a corrective action (Pass after CA)",IF(BB62&lt;&gt;"",BB62,IF(AND(AS62=1,Documents!$J$6&lt;&gt;"ON FILE"),"INVALID – GLD not on file (Documents sheet)",IF(AND(AS62=2,Documents!$O$6&lt;&gt;"ON FILE"),"INVALID – menu checklist not on file (Documents sheet)",IF(AND(AS62=3,NOT(ISNUMBER(Flights!$AX$6))),"INVALID – enter carrying flight KUL departure (Flights AX)",IF(AND(AS62=3,OR(Flights!$AZ$6&gt;Flights!$AA$6,Flights!$AX$6&lt;Flights!$AA$6-3)),"INVALID – carrying flight (Flights AX) cannot arrive before this leg's STD, or is over 3 days early",IF(AG62&gt;AsOfUTC,"INVALID – completion time is in the future",IF(AND(ISNUMBER(BY62),AG62&lt;BY62),IF(H62="Physical uplift","INVALID – before uplift window (cannot confirm loading)","INVALID – before valid window"),IF(AG62&gt;Flights!$AA$6,"INVALID – completed after departure (cannot establish readiness)",IF(AND(H62="Preparation",AG62&gt;=IF(ISNUMBER(Flights!$BA$6),MIN(Flights!$BA$6,Flights!$AA$6),Flights!$AA$6)),"INVALID – completed after loading / departure (cannot establish readiness)",IF(AND(H62="Physical uplift",AG62&gt;Q62),"INVALID – recorded after the loading flight departed",IF(AG62&gt;Q62,"COMPLETE – LATE","COMPLETE"))))))))))))))))))))))))))),IF(TRIM(U62)="Fail","FAIL – DISCREPANCY",IF(AND(TRIM(U62)&lt;&gt;"",TRIM(U62)&lt;&gt;"Not started",TRIM(U62)&lt;&gt;"In progress"),"INVALID – unrecognised status (use the list)",IF(AsOfUTC&gt;Q62,"OVERDUE",IF(N62="Clarification required","OPEN – CLARIFICATION","OPEN"))))))),"INVALID – error value in an input cell")</f>
        <v>OPEN</v>
      </c>
      <c r="AI62" s="61" t="n">
        <f aca="false">IF(OR(AH62="N/A – RULE",AH62="N/A – JUSTIFIED"),0,1)</f>
        <v>1</v>
      </c>
      <c r="AJ62" s="61" t="n">
        <f aca="false">IF(LEFT(AH62,8)="COMPLETE",1,0)</f>
        <v>0</v>
      </c>
      <c r="AK62" s="61" t="n">
        <f aca="false">IF(AND(AI62=1,AJ62=0,AsOfUTC&gt;Q62),1,0)</f>
        <v>0</v>
      </c>
      <c r="AL62" s="61" t="n">
        <f aca="false">IFERROR(IF(AND(AI62=1,OR(TRIM(U62)="Fail",AND(TRIM(AB62)&lt;&gt;"",TRIM(AB62)&lt;&gt;"Closed"),AND(ISNUMBER(AF62),AF62&lt;&gt;0,TRIM(U62)&lt;&gt;"Pass after CA"))),1,0),1)</f>
        <v>0</v>
      </c>
      <c r="AM62" s="61" t="n">
        <f aca="false">IF(LEFT(AH62,7)="INVALID",1,0)</f>
        <v>0</v>
      </c>
      <c r="AN62" s="61" t="n">
        <f aca="false">IF(AND(N62="Clarification required",AI62=1,AJ62=0),1,0)</f>
        <v>0</v>
      </c>
      <c r="AO62" s="61" t="str">
        <f aca="false">IF(AK62=1,SUM(AK$5:AK62),"")</f>
        <v/>
      </c>
      <c r="AP62" s="61" t="str">
        <f aca="false">IF(AL62=1,SUM(AL$5:AL62),"")</f>
        <v/>
      </c>
      <c r="AQ62" s="61" t="n">
        <v>0</v>
      </c>
      <c r="AR62" s="61" t="n">
        <v>0</v>
      </c>
      <c r="AS62" s="61" t="n">
        <v>0</v>
      </c>
      <c r="AT62" s="61" t="n">
        <v>0</v>
      </c>
      <c r="AU62" s="61" t="str">
        <f aca="false">SUBSTITUTE(SUBSTITUTE(SUBSTITUTE(SUBSTITUTE(SUBSTITUTE(SUBSTITUTE(SUBSTITUTE(SUBSTITUTE(SUBSTITUTE(SUBSTITUTE(SUBSTITUTE(SUBSTITUTE(SUBSTITUTE(SUBSTITUTE(SUBSTITUTE(SUBSTITUTE(LOWER(T62&amp;""),CHAR(10),""),CHAR(13),""),CHAR(9),""),CHAR(160),"")," ",""),".",""),"-",""),"/",""),"?",""),"_",""),",",""),"[",""),"]",""),"(",""),")",""),"*","")</f>
        <v/>
      </c>
      <c r="AV62" s="61" t="str">
        <f aca="false">SUBSTITUTE(SUBSTITUTE(SUBSTITUTE(SUBSTITUTE(SUBSTITUTE(SUBSTITUTE(SUBSTITUTE(SUBSTITUTE(SUBSTITUTE(SUBSTITUTE(SUBSTITUTE(SUBSTITUTE(SUBSTITUTE(SUBSTITUTE(SUBSTITUTE(SUBSTITUTE(LOWER(V62&amp;""),CHAR(10),""),CHAR(13),""),CHAR(9),""),CHAR(160),"")," ",""),".",""),"-",""),"/",""),"?",""),"_",""),",",""),"[",""),"]",""),"(",""),")",""),"*","")</f>
        <v/>
      </c>
      <c r="AW62" s="61" t="str">
        <f aca="false">SUBSTITUTE(SUBSTITUTE(SUBSTITUTE(SUBSTITUTE(SUBSTITUTE(SUBSTITUTE(SUBSTITUTE(SUBSTITUTE(SUBSTITUTE(SUBSTITUTE(SUBSTITUTE(SUBSTITUTE(SUBSTITUTE(SUBSTITUTE(SUBSTITUTE(SUBSTITUTE(LOWER(Z62&amp;""),CHAR(10),""),CHAR(13),""),CHAR(9),""),CHAR(160),"")," ",""),".",""),"-",""),"/",""),"?",""),"_",""),",",""),"[",""),"]",""),"(",""),")",""),"*","")</f>
        <v/>
      </c>
      <c r="AX62" s="61" t="str">
        <f aca="false">SUBSTITUTE(SUBSTITUTE(SUBSTITUTE(SUBSTITUTE(SUBSTITUTE(SUBSTITUTE(SUBSTITUTE(SUBSTITUTE(SUBSTITUTE(SUBSTITUTE(SUBSTITUTE(SUBSTITUTE(SUBSTITUTE(SUBSTITUTE(SUBSTITUTE(SUBSTITUTE(LOWER(AE62&amp;""),CHAR(10),""),CHAR(13),""),CHAR(9),""),CHAR(160),"")," ",""),".",""),"-",""),"/",""),"?",""),"_",""),",",""),"[",""),"]",""),"(",""),")",""),"*","")</f>
        <v/>
      </c>
      <c r="AY62" s="61" t="str">
        <f aca="false">SUBSTITUTE(SUBSTITUTE(SUBSTITUTE(SUBSTITUTE(SUBSTITUTE(SUBSTITUTE(SUBSTITUTE(SUBSTITUTE(SUBSTITUTE(SUBSTITUTE(SUBSTITUTE(SUBSTITUTE(SUBSTITUTE(SUBSTITUTE(SUBSTITUTE(SUBSTITUTE(LOWER(W62&amp;""),CHAR(10),""),CHAR(13),""),CHAR(9),""),CHAR(160),"")," ",""),".",""),"-",""),"/",""),"?",""),"_",""),",",""),"[",""),"]",""),"(",""),")",""),"*","")</f>
        <v/>
      </c>
      <c r="AZ62" s="61" t="str">
        <f aca="false">SUBSTITUTE(SUBSTITUTE(SUBSTITUTE(SUBSTITUTE(SUBSTITUTE(SUBSTITUTE(SUBSTITUTE(SUBSTITUTE(SUBSTITUTE(SUBSTITUTE(SUBSTITUTE(SUBSTITUTE(SUBSTITUTE(SUBSTITUTE(SUBSTITUTE(SUBSTITUTE(LOWER(AC62&amp;""),CHAR(10),""),CHAR(13),""),CHAR(9),""),CHAR(160),"")," ",""),".",""),"-",""),"/",""),"?",""),"_",""),",",""),"[",""),"]",""),"(",""),")",""),"*","")</f>
        <v/>
      </c>
      <c r="BA62" s="61" t="str">
        <f aca="false">SUBSTITUTE(SUBSTITUTE(SUBSTITUTE(SUBSTITUTE(SUBSTITUTE(SUBSTITUTE(SUBSTITUTE(SUBSTITUTE(SUBSTITUTE(SUBSTITUTE(SUBSTITUTE(SUBSTITUTE(SUBSTITUTE(SUBSTITUTE(SUBSTITUTE(SUBSTITUTE(LOWER(AA62&amp;""),CHAR(10),""),CHAR(13),""),CHAR(9),""),CHAR(160),"")," ",""),".",""),"-",""),"/",""),"?",""),"_",""),",",""),"[",""),"]",""),"(",""),")",""),"*","")</f>
        <v/>
      </c>
      <c r="BB62" s="61" t="str">
        <f aca="false">IF(AND(TRIM(U62)="Pass",ISNUMBER(AF62)),IF(AF62&lt;&gt;0,"INVALID – qty variance: use Fail or Pass after CA",""),"")&amp;IF(AND(TRIM(U62)="Pass after CA",ISNUMBER(AF62)),IF(AF62&lt;&gt;0,"INVALID – after the corrective action the actual qty must equal expected (update Actual)",""),"")&amp;IF(AND(TRIM(U62)="Pass",TRIM(AB62)&lt;&gt;"",TRIM(AB62)&lt;&gt;"Closed"),"INVALID – corrective action not closed: use Fail, then Pass after CA","")&amp;IF(AND(LEN(BA62)&gt;=2,ISNA(MATCH(LEFT(BA62,255),L_Placeholder,0)),TRIM(AB62)=""),"INVALID – CA status missing for the recorded corrective action","")&amp;IF(AND(TRIM(U62)="Pass after CA",OR(OR(LEN(BA62)&lt;5,ISNUMBER(MATCH(BA62,L_Placeholder,0))),TRIM(AB62)&lt;&gt;"Closed")),"INVALID – corrective action not recorded/closed","")</f>
        <v/>
      </c>
      <c r="BC62" s="61" t="str">
        <f aca="false">" "&amp;TRIM(SUBSTITUTE(SUBSTITUTE(SUBSTITUTE(SUBSTITUTE(SUBSTITUTE(SUBSTITUTE(SUBSTITUTE(SUBSTITUTE(SUBSTITUTE(SUBSTITUTE(SUBSTITUTE(SUBSTITUTE(SUBSTITUTE(SUBSTITUTE(SUBSTITUTE(SUBSTITUTE(SUBSTITUTE(SUBSTITUTE(SUBSTITUTE(SUBSTITUTE(SUBSTITUTE(SUBSTITUTE(SUBSTITUTE(SUBSTITUTE(LOWER(V62&amp;""),CHAR(10)," "),CHAR(13)," "),CHAR(9)," "),CHAR(160)," "),"."," "),","," "),"-"," "),"/"," "),"("," "),")"," "),":"," "),";"," "),"_"," "),"–"," "),"?"," "),"!"," "),"*"," "),"["," "),"]"," "),"'"," "),"#"," "),"+"," "),"&amp;"," "),"\"," "))&amp;" "</f>
        <v>  </v>
      </c>
      <c r="BD62" s="61" t="str">
        <f aca="false">" "&amp;TRIM(SUBSTITUTE(SUBSTITUTE(SUBSTITUTE(SUBSTITUTE(SUBSTITUTE(SUBSTITUTE(SUBSTITUTE(SUBSTITUTE(SUBSTITUTE(SUBSTITUTE(SUBSTITUTE(SUBSTITUTE(SUBSTITUTE(SUBSTITUTE(SUBSTITUTE(SUBSTITUTE(SUBSTITUTE(SUBSTITUTE(SUBSTITUTE(SUBSTITUTE(SUBSTITUTE(SUBSTITUTE(SUBSTITUTE(SUBSTITUTE(LOWER(Z62&amp;""),CHAR(10)," "),CHAR(13)," "),CHAR(9)," "),CHAR(160)," "),"."," "),","," "),"-"," "),"/"," "),"("," "),")"," "),":"," "),";"," "),"_"," "),"–"," "),"?"," "),"!"," "),"*"," "),"["," "),"]"," "),"'"," "),"#"," "),"+"," "),"&amp;"," "),"\"," "))&amp;" "</f>
        <v>  </v>
      </c>
      <c r="BE62" s="61" t="str">
        <f aca="false">" "&amp;TRIM(SUBSTITUTE(SUBSTITUTE(SUBSTITUTE(SUBSTITUTE(SUBSTITUTE(SUBSTITUTE(SUBSTITUTE(SUBSTITUTE(SUBSTITUTE(SUBSTITUTE(SUBSTITUTE(SUBSTITUTE(SUBSTITUTE(SUBSTITUTE(SUBSTITUTE(SUBSTITUTE(SUBSTITUTE(SUBSTITUTE(SUBSTITUTE(SUBSTITUTE(SUBSTITUTE(SUBSTITUTE(SUBSTITUTE(SUBSTITUTE(LOWER(W62&amp;""),CHAR(10)," "),CHAR(13)," "),CHAR(9)," "),CHAR(160)," "),"."," "),","," "),"-"," "),"/"," "),"("," "),")"," "),":"," "),";"," "),"_"," "),"–"," "),"?"," "),"!"," "),"*"," "),"["," "),"]"," "),"'"," "),"#"," "),"+"," "),"&amp;"," "),"\"," "))&amp;" "</f>
        <v>  </v>
      </c>
      <c r="BF62" s="61" t="str">
        <f aca="false">" "&amp;TRIM(SUBSTITUTE(SUBSTITUTE(SUBSTITUTE(SUBSTITUTE(SUBSTITUTE(SUBSTITUTE(SUBSTITUTE(SUBSTITUTE(SUBSTITUTE(SUBSTITUTE(SUBSTITUTE(SUBSTITUTE(SUBSTITUTE(SUBSTITUTE(SUBSTITUTE(SUBSTITUTE(SUBSTITUTE(SUBSTITUTE(SUBSTITUTE(SUBSTITUTE(SUBSTITUTE(SUBSTITUTE(SUBSTITUTE(SUBSTITUTE(LOWER(AC62&amp;""),CHAR(10)," "),CHAR(13)," "),CHAR(9)," "),CHAR(160)," "),"."," "),","," "),"-"," "),"/"," "),"("," "),")"," "),":"," "),";"," "),"_"," "),"–"," "),"?"," "),"!"," "),"*"," "),"["," "),"]"," "),"'"," "),"#"," "),"+"," "),"&amp;"," "),"\"," "))&amp;" "</f>
        <v>  </v>
      </c>
      <c r="BG62" s="61" t="n">
        <f aca="false">IFERROR(IF(AND(TRIM(U62)="Pass",SUMPRODUCT((LEN(BC62)-LEN(SUBSTITUTE(BC62," "&amp;L_ResultBad&amp;" "," ")))/(LEN(L_ResultBad)+1))&gt;SUMPRODUCT((LEN(BC62)-LEN(SUBSTITUTE(BC62," "&amp;L_NegPhrase&amp;" "," ")))/(LEN(L_NegPhrase)+1))),1,0),0)</f>
        <v>0</v>
      </c>
      <c r="BH62" s="61" t="n">
        <f aca="false">IFERROR(IF(SUMPRODUCT((LEN(BC62)-LEN(SUBSTITUTE(BC62," "&amp;L_Pending&amp;" "," ")))/(LEN(L_Pending)+1))&gt;SUMPRODUCT((LEN(BC62)-LEN(SUBSTITUTE(BC62," "&amp;L_PendNeg&amp;" "," ")))/(LEN(L_PendNeg)+1)),1,0),1)</f>
        <v>0</v>
      </c>
      <c r="BI62" s="61" t="n">
        <f aca="false">IFERROR(IF(SUMPRODUCT((LEN(BD62)-LEN(SUBSTITUTE(BD62," "&amp;L_PendStrict&amp;" "," ")))/(LEN(L_PendStrict)+1))&gt;SUMPRODUCT((LEN(BD62)-LEN(SUBSTITUTE(BD62," "&amp;L_PendNeg&amp;" "," ")))/(LEN(L_PendNeg)+1)),1,0),1)</f>
        <v>0</v>
      </c>
      <c r="BJ62" s="61" t="n">
        <f aca="false">IFERROR(IF(SUMPRODUCT((LEN(BE62)-LEN(SUBSTITUTE(BE62," "&amp;L_Pending&amp;" "," ")))/(LEN(L_Pending)+1))&gt;SUMPRODUCT((LEN(BE62)-LEN(SUBSTITUTE(BE62," "&amp;L_PendNeg&amp;" "," ")))/(LEN(L_PendNeg)+1)),1,0),1)</f>
        <v>0</v>
      </c>
      <c r="BK62" s="61" t="n">
        <f aca="false">IFERROR(IF(SUMPRODUCT((LEN(BF62)-LEN(SUBSTITUTE(BF62," "&amp;L_PendStrict&amp;" "," ")))/(LEN(L_PendStrict)+1))&gt;SUMPRODUCT((LEN(BF62)-LEN(SUBSTITUTE(BF62," "&amp;L_PendNeg&amp;" "," ")))/(LEN(L_PendNeg)+1)),1,0),1)</f>
        <v>0</v>
      </c>
      <c r="BL62" s="61" t="n">
        <f aca="false">IF(ISNA(MATCH(TRIM(S62),L_EvidenceType,0)),0,BZ62)</f>
        <v>0</v>
      </c>
      <c r="BM62" s="61" t="str">
        <f aca="false">SUBSTITUTE(SUBSTITUTE(SUBSTITUTE(SUBSTITUTE(SUBSTITUTE(SUBSTITUTE(SUBSTITUTE(SUBSTITUTE(SUBSTITUTE(LOWER(Z62&amp;""),"1","0"),"2","0"),"3","0"),"4","0"),"5","0"),"6","0"),"7","0"),"8","0"),"9","0")</f>
        <v/>
      </c>
      <c r="BN62" s="61" t="str">
        <f aca="false">SUBSTITUTE(SUBSTITUTE(SUBSTITUTE(SUBSTITUTE(SUBSTITUTE(SUBSTITUTE(SUBSTITUTE(SUBSTITUTE(SUBSTITUTE(SUBSTITUTE(SUBSTITUTE(SUBSTITUTE(SUBSTITUTE(SUBSTITUTE(SUBSTITUTE(SUBSTITUTE(SUBSTITUTE(SUBSTITUTE(SUBSTITUTE(SUBSTITUTE(SUBSTITUTE(SUBSTITUTE(SUBSTITUTE(SUBSTITUTE(SUBSTITUTE(BM62,"b","a"),"c","a"),"d","a"),"e","a"),"f","a"),"g","a"),"h","a"),"i","a"),"j","a"),"k","a"),"l","a"),"m","a"),"n","a"),"o","a"),"p","a"),"q","a"),"r","a"),"s","a"),"t","a"),"u","a"),"v","a"),"w","a"),"x","a"),"y","a"),"z","a")</f>
        <v/>
      </c>
      <c r="BO62" s="61" t="str">
        <f aca="false">SUBSTITUTE(SUBSTITUTE(SUBSTITUTE(SUBSTITUTE(SUBSTITUTE(SUBSTITUTE(SUBSTITUTE(SUBSTITUTE(SUBSTITUTE(LOWER(W62&amp;""),"1","0"),"2","0"),"3","0"),"4","0"),"5","0"),"6","0"),"7","0"),"8","0"),"9","0")</f>
        <v/>
      </c>
      <c r="BP62" s="61" t="str">
        <f aca="false">SUBSTITUTE(SUBSTITUTE(SUBSTITUTE(SUBSTITUTE(SUBSTITUTE(SUBSTITUTE(SUBSTITUTE(SUBSTITUTE(SUBSTITUTE(SUBSTITUTE(SUBSTITUTE(SUBSTITUTE(SUBSTITUTE(SUBSTITUTE(SUBSTITUTE(SUBSTITUTE(SUBSTITUTE(SUBSTITUTE(SUBSTITUTE(SUBSTITUTE(SUBSTITUTE(SUBSTITUTE(SUBSTITUTE(SUBSTITUTE(SUBSTITUTE(BO62,"b","a"),"c","a"),"d","a"),"e","a"),"f","a"),"g","a"),"h","a"),"i","a"),"j","a"),"k","a"),"l","a"),"m","a"),"n","a"),"o","a"),"p","a"),"q","a"),"r","a"),"s","a"),"t","a"),"u","a"),"v","a"),"w","a"),"x","a"),"y","a"),"z","a")</f>
        <v/>
      </c>
      <c r="BQ62" s="61" t="n">
        <f aca="false">IFERROR(IF(AND(ISERROR(SEARCH(" mh"," "&amp;LOWER(W62))),ISNA(MATCH(LEFT(TRIM(BP62),255),{"0000a","000a","00a","0000aa","000aa","00aa","0aa","0000aaa","000aaa","00a00","0a00","0000-0000","00:00","a00","a0","00.00.0000","00/00/0000","00-00-0000","0000-00-00","0000/00/00","0000.00.00","00.00.00","00/00/00","00-00-00","0.00.0000","0/00/0000","0-00-0000"},0)),ISNA(MATCH(LEFT(TRIM(CA62),255),{"0000a","000a","00a","0000aa","000aa","00aa","0aa","0000aaa","000aaa","00a00","0a00","0000-0000","00:00","a00","a0","00.00.0000","00/00/0000","00-00-0000","0000-00-00","0000/00/00","0000.00.00","00.00.00","00/00/00","00-00-00","0.00.0000","0/00/0000","0-00-0000"},0)),LEN(CB62)&gt;=3,NOT(OR(SUBSTITUTE(CB62,"0","")="",AND(LEN(CB62)&gt;=4,CB62=REPT(LEFT(CB62),LEN(CB62))),ISNUMBER(MATCH(CB62,{"123","1234","12345","123456","1234567","12345678","0123","01234","012345","98765","987654","54321"},0)),AND(LEN(CB62)=8,LEFT(CB62,3)="202"))),OR(AND((LEN(CA62)-LEN(SUBSTITUTE(CA62,"a","")))&gt;=1,SUMPRODUCT(--ISNUMBER(SEARCH({"a0","a-0","a_0","a/0","a.0","a#0","0a","0-a","0_a","0/a"},BP62)))&gt;0),ISNUMBER(SEARCH("000000",BP62)))),1,0),0)</f>
        <v>0</v>
      </c>
      <c r="BR62" s="61" t="n">
        <f aca="false">IFERROR(LEN(SUBSTITUTE(CC62," ",""))-SUMPRODUCT((LEN(CC62)-LEN(SUBSTITUTE(CC62," "&amp;L_Role&amp;" "," ")))/(LEN(L_Role)+1)*LEN(L_Role)),0)</f>
        <v>0</v>
      </c>
      <c r="BS62" s="61" t="n">
        <f aca="false">IFERROR(LEN(SUBSTITUTE(CD62," ",""))-SUMPRODUCT((LEN(CD62)-LEN(SUBSTITUTE(CD62," "&amp;L_Role&amp;" "," ")))/(LEN(L_Role)+1)*LEN(L_Role)),0)</f>
        <v>0</v>
      </c>
      <c r="BT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revision",""),"version",""),"jan",""),"feb",""),"mar",""),"apr",""),"may",""),"jun",""),"jul",""),"aug",""),"sep",""),"oct",""),"nov",""),"dec",""),"utc",""),"gmt",""),"myt",""),"bst",""),"rev",""),"ver",""),"b","a"),"c","a"),"d","a"),"e","a"),"f","a"),"g","a"),"h","a"),"i","a"),"j","a"),"k","a"),"l","a"),"m","a"),"n","a"),"o","a"),"p","a"),"q","a"),"r","a"),"s","a"),"t","a"),"u","a"),"v","a"),"w","a"),"x","a"),"y","a"),"z","a")</f>
        <v/>
      </c>
      <c r="BU62" s="61" t="str">
        <f aca="false">SUBSTITUTE(SUBSTITUTE(SUBSTITUTE(SUBSTITUTE(SUBSTITUTE(SUBSTITUTE(SUBSTITUTE(SUBSTITUTE(SUBSTITUTE(SUBSTITUTE(LEFT(BM62,FIND("0",BM62&amp;"0")-1),"-",""),"_",""),"/",""),".",""),"#",""),"\\",""),":","")," ",""),"(",""),")","")</f>
        <v/>
      </c>
      <c r="BV62" s="61" t="n">
        <f aca="false">IFERROR(IF(OR(SUMPRODUCT((LEN(BC62)-LEN(SUBSTITUTE(BC62," "&amp;L_NotLoaded&amp;" "," ")))/(LEN(L_NotLoaded)+1))&gt;SUMPRODUCT((LEN(BC62)-LEN(SUBSTITUTE(BC62," "&amp;L_NotLoadedNeg&amp;" "," ")))/(LEN(L_NotLoadedNeg)+1)),SUMPRODUCT((LEN(BD62)-LEN(SUBSTITUTE(BD62," "&amp;L_NotLoaded&amp;" "," ")))/(LEN(L_NotLoaded)+1))&gt;SUMPRODUCT((LEN(BD62)-LEN(SUBSTITUTE(BD62," "&amp;L_NotLoadedNeg&amp;" "," ")))/(LEN(L_NotLoadedNeg)+1))),1,0),0)</f>
        <v>0</v>
      </c>
      <c r="BW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amp;""),"a",""),"b",""),"c",""),"d",""),"e",""),"f",""),"g",""),"h",""),"i",""),"j",""),"k",""),"l",""),"m",""),"n",""),"o",""),"p",""),"q",""),"r",""),"s",""),"t",""),"u",""),"v",""),"w",""),"x",""),"y",""),"z",""),"-",""),"_",""),"/",""),".",""),"#",""),"\\",""),":","")," ",""),"(",""),")","")</f>
        <v/>
      </c>
      <c r="BX62" s="61" t="str">
        <f aca="false">SUBSTITUTE(SUBSTITUTE(SUBSTITUTE(SUBSTITUTE(SUBSTITUTE(SUBSTITUTE(SUBSTITUTE(SUBSTITUTE(SUBSTITUTE(SUBSTITUTE(SUBSTITUTE(BM62,"0",""),"-",""),"_",""),"/",""),".",""),"#",""),"\\",""),":","")," ",""),"(",""),")","")</f>
        <v/>
      </c>
      <c r="BY62" s="62" t="n">
        <f aca="false">IF(ISNUMBER(Flights!$AZ$6),MAX(Q62-UpliftWindowH/24,Flights!$AZ$6),Q62-UpliftWindowH/24)</f>
        <v>46304.3263888889</v>
      </c>
      <c r="BZ62" s="61" t="n">
        <f aca="false">IFERROR(IF(IF(TRIM(S62)="Link / file path",AND(LEN(TRIM(Z62))&gt;=5,SUMPRODUCT(--ISNUMBER(SEARCH({"http","www.","\\",":\",".pdf",".jpg",".jpeg",".png",".heic",".xls",".doc",".msg",".eml",".ppt",".txt",".zip"},Z62)))&gt;0),AND(ISERROR(FIND(" ",TRIM(Z62))),NOT(OR(SUMPRODUCT(--ISNUMBER(FIND({",",";","&amp;","+"},Z62)))&gt;0,SUMPRODUCT(--ISNUMBER(SEARCH({"0/aa","0\\aa"},BN62)))&gt;0)),NOT(SUMPRODUCT(--ISNUMBER(SEARCH({"http","www.","\\",":\",".pdf",".jpg",".jpeg",".png",".heic",".xls",".doc",".msg",".eml",".ppt",".txt",".zip"},Z62)))&gt;0),NOT(LOWER(TRIM(Z62))=LOWER(Flights!$F$6)),ISNA(MATCH(BU62,{"mh","rev","revision","ver","version","v","r","a","b","seat","tray","row","gate","bay","stand","page","pg","item","line","no","cart","galley","flight","flt","table","box","bag","oven","etd","eta","std","sta","atd","ata","qty","pax","x","time","tel","ph","mob","day","wk","week","utc","gmt","myt","lt"},0)),NOT(OR(ISNUMBER(MATCH(LEFT(BN62,255),{"0000a","000a","00a","0000aa","000aa","00aa","0aa","0000aaa","000aaa","00a00","0a00","0000-0000","00:00","a00","a0","00.00.0000","00/00/0000","00-00-0000","0000-00-00","0000/00/00","0000.00.00","00.00.00","00/00/00","00-00-00","0.00.0000","0/00/0000","0-00-0000"},0)),ISNUMBER(MATCH(LEFT(BT62,255),{"0000a","000a","00a","0000aa","000aa","00aa","0aa","0000aaa","000aaa","00a00","0a00","0000-0000","00:00","a00","a0","00.00.0000","00/00/0000","00-00-0000","0000-00-00","0000/00/00","0000.00.00","00.00.00","00/00/00","00-00-00","0.00.0000","0/00/0000","0-00-0000"},0)))),NOT(OR(AND(BW62&lt;&gt;"",SUBSTITUTE(BW62,"0","")=""),AND(LEN(BW62)&gt;=4,BW62=REPT(LEFT(BW62),LEN(BW62))),ISNUMBER(MATCH(BW62,{"123","1234","12345","123456","1234567","12345678","0123","01234","012345","98765","987654","54321"},0)),ISNUMBER(MATCH(BX62,{"x","xx","xxx","xxxx","xxxxx","abc","abcd","nil","na","nan","test","tbc","tba","tbd","dummy","sample","example","eg","zz","zzz","none","null","xyz","qwe","asd","id","ref"},0)),AND(LEN(BW62)=8,BX62="",OR(LEFT(BW62,3)="202",ISNUMBER(MATCH(RIGHT(BW62,4),{"2025","2026","2027"},0)))))),OR(AND((LEN(BT62)-LEN(SUBSTITUTE(BT62,"a","")))&gt;=1,(LEN(BN62)-LEN(SUBSTITUTE(BN62,"0","")))&gt;=2,SUMPRODUCT(--ISNUMBER(SEARCH({"a0","a-0","a_0","a/0","a.0","a#0","0a","0-a","0_a","0/a"},BN62)))&gt;0),AND((LEN(BN62)-LEN(SUBSTITUTE(BN62,"a","")))=0,(LEN(BN62)-LEN(SUBSTITUTE(BN62,"0","")))&gt;=5)))),1,0),0)</f>
        <v>0</v>
      </c>
      <c r="CA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revision",""),"version",""),"jan",""),"feb",""),"mar",""),"apr",""),"may",""),"jun",""),"jul",""),"aug",""),"sep",""),"oct",""),"nov",""),"dec",""),"utc",""),"gmt",""),"myt",""),"bst",""),"rev",""),"ver",""),"b","a"),"c","a"),"d","a"),"e","a"),"f","a"),"g","a"),"h","a"),"i","a"),"j","a"),"k","a"),"l","a"),"m","a"),"n","a"),"o","a"),"p","a"),"q","a"),"r","a"),"s","a"),"t","a"),"u","a"),"v","a"),"w","a"),"x","a"),"y","a"),"z","a")</f>
        <v/>
      </c>
      <c r="CB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amp;""),"a",""),"b",""),"c",""),"d",""),"e",""),"f",""),"g",""),"h",""),"i",""),"j",""),"k",""),"l",""),"m",""),"n",""),"o",""),"p",""),"q",""),"r",""),"s",""),"t",""),"u",""),"v",""),"w",""),"x",""),"y",""),"z",""),"-",""),"_",""),"/",""),".",""),"#",""),"\\",""),":","")," ",""),"(",""),")","")</f>
        <v/>
      </c>
      <c r="CC62" s="0" t="str">
        <f aca="false">" "&amp;TRIM(SUBSTITUTE(SUBSTITUTE(SUBSTITUTE(SUBSTITUTE(SUBSTITUTE(SUBSTITUTE(SUBSTITUTE(SUBSTITUTE(SUBSTITUTE(SUBSTITUTE(SUBSTITUTE(SUBSTITUTE(SUBSTITUTE(SUBSTITUTE(SUBSTITUTE(SUBSTITUTE(SUBSTITUTE(SUBSTITUTE(SUBSTITUTE(SUBSTITUTE(SUBSTITUTE(SUBSTITUTE(SUBSTITUTE(SUBSTITUTE(LOWER(T62&amp;""),CHAR(10)," "),CHAR(13)," "),CHAR(9)," "),CHAR(160)," "),"."," "),","," "),"-"," "),"/"," "),"("," "),")"," "),":"," "),";"," "),"_"," "),"–"," "),"?"," "),"!"," "),"*"," "),"["," "),"]"," "),"'"," "),"#"," "),"+"," "),"&amp;"," "),"\"," "))&amp;" "</f>
        <v>  </v>
      </c>
      <c r="CD62" s="0" t="str">
        <f aca="false">" "&amp;TRIM(SUBSTITUTE(SUBSTITUTE(SUBSTITUTE(SUBSTITUTE(SUBSTITUTE(SUBSTITUTE(SUBSTITUTE(SUBSTITUTE(SUBSTITUTE(SUBSTITUTE(SUBSTITUTE(SUBSTITUTE(SUBSTITUTE(SUBSTITUTE(SUBSTITUTE(SUBSTITUTE(SUBSTITUTE(SUBSTITUTE(SUBSTITUTE(SUBSTITUTE(SUBSTITUTE(SUBSTITUTE(SUBSTITUTE(SUBSTITUTE(LOWER(AE62&amp;""),CHAR(10)," "),CHAR(13)," "),CHAR(9)," "),CHAR(160)," "),"."," "),","," "),"-"," "),"/"," "),"("," "),")"," "),":"," "),";"," "),"_"," "),"–"," "),"?"," "),"!"," "),"*"," "),"["," "),"]"," "),"'"," "),"#"," "),"+"," "),"&amp;"," "),"\"," "))&amp;" "</f>
        <v>  </v>
      </c>
      <c r="CE62" s="68" t="n">
        <f aca="false">IFERROR(IF(AND(LEN(AU62)&gt;0,LEN(AU62)=LEN(AX62),OR(TRIM(MID(SUBSTITUTE(TRIM(CC62)," ",REPT(" ",60)),1,60))="",ISNUMBER(SEARCH(" "&amp;TRIM(MID(SUBSTITUTE(TRIM(CC62)," ",REPT(" ",60)),1,60))&amp;" ",CD62))),OR(TRIM(MID(SUBSTITUTE(TRIM(CC62)," ",REPT(" ",60)),61,60))="",ISNUMBER(SEARCH(" "&amp;TRIM(MID(SUBSTITUTE(TRIM(CC62)," ",REPT(" ",60)),61,60))&amp;" ",CD62))),OR(TRIM(MID(SUBSTITUTE(TRIM(CC62)," ",REPT(" ",60)),121,60))="",ISNUMBER(SEARCH(" "&amp;TRIM(MID(SUBSTITUTE(TRIM(CC62)," ",REPT(" ",60)),121,60))&amp;" ",CD62)))),1,0),0)</f>
        <v>0</v>
      </c>
      <c r="CG62" s="68" t="n">
        <f aca="false">IFERROR(LEN(SUBSTITUTE(BF62," ",""))-SUMPRODUCT((LEN(BF62)-LEN(SUBSTITUTE(BF62," "&amp;L_NAFiller&amp;" "," ")))/(LEN(L_NAFiller)+1)*LEN(L_NAFiller)),0)</f>
        <v>0</v>
      </c>
    </row>
    <row r="63" customFormat="false" ht="78.75" hidden="false" customHeight="true" outlineLevel="0" collapsed="false">
      <c r="A63" s="57" t="s">
        <v>542</v>
      </c>
      <c r="B63" s="57" t="s">
        <v>198</v>
      </c>
      <c r="C63" s="57" t="str">
        <f aca="false">Flights!$F$6</f>
        <v>MH0727</v>
      </c>
      <c r="D63" s="58" t="n">
        <f aca="false">Flights!$D$6</f>
        <v>46304</v>
      </c>
      <c r="E63" s="57" t="str">
        <f aca="false">Flights!$G$6&amp;"-"&amp;Flights!$H$6</f>
        <v>KUL-CGK</v>
      </c>
      <c r="F63" s="57" t="str">
        <f aca="false">Flights!$K$6</f>
        <v>BC</v>
      </c>
      <c r="G63" s="57" t="s">
        <v>459</v>
      </c>
      <c r="H63" s="57" t="s">
        <v>460</v>
      </c>
      <c r="I63" s="57" t="s">
        <v>499</v>
      </c>
      <c r="J63" s="57" t="s">
        <v>543</v>
      </c>
      <c r="K63" s="67" t="s">
        <v>501</v>
      </c>
      <c r="L63" s="67" t="s">
        <v>512</v>
      </c>
      <c r="M63" s="67" t="s">
        <v>451</v>
      </c>
      <c r="N63" s="67" t="s">
        <v>444</v>
      </c>
      <c r="O63" s="67" t="s">
        <v>544</v>
      </c>
      <c r="P63" s="57" t="s">
        <v>187</v>
      </c>
      <c r="Q63" s="59" t="n">
        <f aca="false">ROUND((Flights!$AF$6)*1440,0)/1440</f>
        <v>46304.5763888889</v>
      </c>
      <c r="R63" s="59" t="n">
        <f aca="false">Q63+(IF(AND(INDEX(TZ_DSTS,MATCH(P63,TZ_STN,0))&lt;&gt;"",Q63&gt;=INDEX(TZ_DSTS,MATCH(P63,TZ_STN,0)),Q63&lt;INDEX(TZ_DSTE,MATCH(P63,TZ_STN,0))),INDEX(TZ_DST,MATCH(P63,TZ_STN,0)),INDEX(TZ_STD,MATCH(P63,TZ_STN,0))))/24</f>
        <v>46304.9097222222</v>
      </c>
      <c r="S63" s="60"/>
      <c r="T63" s="60"/>
      <c r="U63" s="60"/>
      <c r="V63" s="60"/>
      <c r="W63" s="61"/>
      <c r="X63" s="60"/>
      <c r="Y63" s="60"/>
      <c r="Z63" s="60"/>
      <c r="AA63" s="60"/>
      <c r="AB63" s="60"/>
      <c r="AC63" s="60"/>
      <c r="AD63" s="66"/>
      <c r="AE63" s="60"/>
      <c r="AF63" s="61" t="str">
        <f aca="false">IF(AND(ISNUMBER(X63),ISNUMBER(Y63)),Y63-X63,"")</f>
        <v/>
      </c>
      <c r="AG63" s="62" t="str">
        <f aca="false">IF(ISNUMBER(AD63),AD63-(IF(AND(INDEX(TZ_DSTS,MATCH(P63,TZ_STN,0))&lt;&gt;"",(AD63-INDEX(TZ_STD,MATCH(P63,TZ_STN,0))/24)&gt;=INDEX(TZ_DSTS,MATCH(P63,TZ_STN,0)),(AD63-INDEX(TZ_STD,MATCH(P63,TZ_STN,0))/24)&lt;INDEX(TZ_DSTE,MATCH(P63,TZ_STN,0))),INDEX(TZ_DST,MATCH(P63,TZ_STN,0)),INDEX(TZ_STD,MATCH(P63,TZ_STN,0))))/24,"")</f>
        <v/>
      </c>
      <c r="AH63" s="65" t="str">
        <f aca="false">IFERROR(IF(N63="N/A – rule",IF(OR(TRIM(U63)="",TRIM(U63)="N/A",TRIM(U63)="Not started"),"N/A – RULE","INVALID – this check does not apply to this aircraft: clear the status (or correct the fleet on Flights)"),IF(TRIM(U63)="N/A",IF(AT63=0,"INVALID – N/A not permitted for this check",IF(AND(TRIM(AB63)&lt;&gt;"",TRIM(AB63)&lt;&gt;"Closed"),"INVALID – corrective action still open",IF(AND(NOT(OR(LEN(AZ63)&lt;15,ISNUMBER(MATCH(AZ63,L_Placeholder,0)))),BK63=0,CG63&gt;=8,NOT(OR(LEN(AU63)&lt;2,ISNUMBER(MATCH(AU63,L_Placeholder,0)))),BR63&gt;=3,NOT(OR(LEN(AX63)&lt;2,ISNUMBER(MATCH(AX63,L_Placeholder,0)))),BS63&gt;=3,TRIM(AE63)&lt;&gt;TRIM(T63),AX63&lt;&gt;AU63,CE63=0),"N/A – JUSTIFIED","INVALID – N/A needs a real, settled reason (not 'not applicable' / 'as above' / TBC), a named PIC and a different named verifier"))),IF(OR(TRIM(U63)="Pass",TRIM(U63)="Pass after CA"),IF(NOT(ISNUMBER(AD63)),"INVALID – completion time missing",IF(OR(OR(LEN(AU63)&lt;2,ISNUMBER(MATCH(AU63,L_Placeholder,0))),BR63&lt;3),"INVALID – PIC missing or not a named person (a role such as QA / CSM is not a name)",IF(OR(LEN(AV63)&lt;2,ISNUMBER(MATCH(AV63,L_Placeholder,0))),"INVALID – result / assessment missing",IF(OR(OR(LEN(AW63)&lt;3,ISNUMBER(MATCH(AW63,L_Placeholder,0))),SUMPRODUCT(--ISNUMBER(SEARCH(" "&amp;L_EvidencePhrase&amp;" ",BD63)))&gt;0,BI63=1),"INVALID – evidence missing, placeholder or not yet on file",IF(ISNA(MATCH(TRIM(S63),L_EvidenceType,0)),"INVALID – choose the evidence type from the list (column S)",IF(BL63=0,"INVALID – evidence ID must be the record's own ID only (e.g. SF-2210, IMG_2231, 1045521); a link / file name needs type 'Link / file path'",IF(OR(OR(LEN(AX63)&lt;2,ISNUMBER(MATCH(AX63,L_Placeholder,0))),BS63&lt;3),"INVALID – verifier missing or not a named person (a role such as QA / CSM is not a name)",IF(OR(AX63=AU63,CE63=1,AND(LEN(AU63)&gt;=4,ISNUMBER(SEARCH(AU63,AX63))),AND(LEN(AX63)&gt;=4,ISNUMBER(SEARCH(AX63,AU63)))),"INVALID – verifier must be a different, named person (not the PIC or a role)",IF(BH63=1,"INVALID – result not yet available (awaiting / TBC)",IF(BG63=1,"INVALID – result describes a problem: record Fail, then Pass after CA (or reword if it is not a problem)",IF(BV63=1,"INVALID – wording says not on board: an on-board confirmation needs the item loaded",IF(AND(AQ63=1,OR(OR(LEN(AY63)&lt;3,ISNUMBER(MATCH(AY63,L_Placeholder,0))),BJ63=1,BQ63=0)),"INVALID – batch ID missing, placeholder or not an ID (e.g. PASB-261008-BC-017)",IF(AND(AR63=1,OR(NOT(ISNUMBER(X63)),NOT(ISNUMBER(Y63)))),"INVALID – expected/actual qty missing",IF(AND(AR63=1,OR(X63&lt;=0,Y63&lt;0)),"INVALID – expected qty must be above 0 and actual not negative",IF(AH51="N/A – JUSTIFIED","INVALID – preparation row F02-T12-12 is N/A",IF(AND(AR63=1,ISNUMBER(X51),X63&lt;&gt;X51,TRIM(U63)&lt;&gt;"Pass after CA"),"INVALID – expected qty differs from preparation check F02-T12-12: record the load change as a corrective action (Pass after CA)",IF(BB63&lt;&gt;"",BB63,IF(AND(AS63=1,Documents!$J$6&lt;&gt;"ON FILE"),"INVALID – GLD not on file (Documents sheet)",IF(AND(AS63=2,Documents!$O$6&lt;&gt;"ON FILE"),"INVALID – menu checklist not on file (Documents sheet)",IF(AND(AS63=3,NOT(ISNUMBER(Flights!$AX$6))),"INVALID – enter carrying flight KUL departure (Flights AX)",IF(AND(AS63=3,OR(Flights!$AZ$6&gt;Flights!$AA$6,Flights!$AX$6&lt;Flights!$AA$6-3)),"INVALID – carrying flight (Flights AX) cannot arrive before this leg's STD, or is over 3 days early",IF(AG63&gt;AsOfUTC,"INVALID – completion time is in the future",IF(AND(ISNUMBER(BY63),AG63&lt;BY63),IF(H63="Physical uplift","INVALID – before uplift window (cannot confirm loading)","INVALID – before valid window"),IF(AG63&gt;Flights!$AA$6,"INVALID – completed after departure (cannot establish readiness)",IF(AND(H63="Preparation",AG63&gt;=IF(ISNUMBER(Flights!$BA$6),MIN(Flights!$BA$6,Flights!$AA$6),Flights!$AA$6)),"INVALID – completed after loading / departure (cannot establish readiness)",IF(AND(H63="Physical uplift",AG63&gt;Q63),"INVALID – recorded after the loading flight departed",IF(AG63&gt;Q63,"COMPLETE – LATE","COMPLETE"))))))))))))))))))))))))))),IF(TRIM(U63)="Fail","FAIL – DISCREPANCY",IF(AND(TRIM(U63)&lt;&gt;"",TRIM(U63)&lt;&gt;"Not started",TRIM(U63)&lt;&gt;"In progress"),"INVALID – unrecognised status (use the list)",IF(AsOfUTC&gt;Q63,"OVERDUE",IF(N63="Clarification required","OPEN – CLARIFICATION","OPEN"))))))),"INVALID – error value in an input cell")</f>
        <v>OPEN – CLARIFICATION</v>
      </c>
      <c r="AI63" s="61" t="n">
        <f aca="false">IF(OR(AH63="N/A – RULE",AH63="N/A – JUSTIFIED"),0,1)</f>
        <v>1</v>
      </c>
      <c r="AJ63" s="61" t="n">
        <f aca="false">IF(LEFT(AH63,8)="COMPLETE",1,0)</f>
        <v>0</v>
      </c>
      <c r="AK63" s="61" t="n">
        <f aca="false">IF(AND(AI63=1,AJ63=0,AsOfUTC&gt;Q63),1,0)</f>
        <v>0</v>
      </c>
      <c r="AL63" s="61" t="n">
        <f aca="false">IFERROR(IF(AND(AI63=1,OR(TRIM(U63)="Fail",AND(TRIM(AB63)&lt;&gt;"",TRIM(AB63)&lt;&gt;"Closed"),AND(ISNUMBER(AF63),AF63&lt;&gt;0,TRIM(U63)&lt;&gt;"Pass after CA"))),1,0),1)</f>
        <v>0</v>
      </c>
      <c r="AM63" s="61" t="n">
        <f aca="false">IF(LEFT(AH63,7)="INVALID",1,0)</f>
        <v>0</v>
      </c>
      <c r="AN63" s="61" t="n">
        <f aca="false">IF(AND(N63="Clarification required",AI63=1,AJ63=0),1,0)</f>
        <v>1</v>
      </c>
      <c r="AO63" s="61" t="str">
        <f aca="false">IF(AK63=1,SUM(AK$5:AK63),"")</f>
        <v/>
      </c>
      <c r="AP63" s="61" t="str">
        <f aca="false">IF(AL63=1,SUM(AL$5:AL63),"")</f>
        <v/>
      </c>
      <c r="AQ63" s="61" t="n">
        <v>0</v>
      </c>
      <c r="AR63" s="61" t="n">
        <v>0</v>
      </c>
      <c r="AS63" s="61" t="n">
        <v>0</v>
      </c>
      <c r="AT63" s="61" t="n">
        <v>1</v>
      </c>
      <c r="AU63" s="61" t="str">
        <f aca="false">SUBSTITUTE(SUBSTITUTE(SUBSTITUTE(SUBSTITUTE(SUBSTITUTE(SUBSTITUTE(SUBSTITUTE(SUBSTITUTE(SUBSTITUTE(SUBSTITUTE(SUBSTITUTE(SUBSTITUTE(SUBSTITUTE(SUBSTITUTE(SUBSTITUTE(SUBSTITUTE(LOWER(T63&amp;""),CHAR(10),""),CHAR(13),""),CHAR(9),""),CHAR(160),"")," ",""),".",""),"-",""),"/",""),"?",""),"_",""),",",""),"[",""),"]",""),"(",""),")",""),"*","")</f>
        <v/>
      </c>
      <c r="AV63" s="61" t="str">
        <f aca="false">SUBSTITUTE(SUBSTITUTE(SUBSTITUTE(SUBSTITUTE(SUBSTITUTE(SUBSTITUTE(SUBSTITUTE(SUBSTITUTE(SUBSTITUTE(SUBSTITUTE(SUBSTITUTE(SUBSTITUTE(SUBSTITUTE(SUBSTITUTE(SUBSTITUTE(SUBSTITUTE(LOWER(V63&amp;""),CHAR(10),""),CHAR(13),""),CHAR(9),""),CHAR(160),"")," ",""),".",""),"-",""),"/",""),"?",""),"_",""),",",""),"[",""),"]",""),"(",""),")",""),"*","")</f>
        <v/>
      </c>
      <c r="AW63" s="61" t="str">
        <f aca="false">SUBSTITUTE(SUBSTITUTE(SUBSTITUTE(SUBSTITUTE(SUBSTITUTE(SUBSTITUTE(SUBSTITUTE(SUBSTITUTE(SUBSTITUTE(SUBSTITUTE(SUBSTITUTE(SUBSTITUTE(SUBSTITUTE(SUBSTITUTE(SUBSTITUTE(SUBSTITUTE(LOWER(Z63&amp;""),CHAR(10),""),CHAR(13),""),CHAR(9),""),CHAR(160),"")," ",""),".",""),"-",""),"/",""),"?",""),"_",""),",",""),"[",""),"]",""),"(",""),")",""),"*","")</f>
        <v/>
      </c>
      <c r="AX63" s="61" t="str">
        <f aca="false">SUBSTITUTE(SUBSTITUTE(SUBSTITUTE(SUBSTITUTE(SUBSTITUTE(SUBSTITUTE(SUBSTITUTE(SUBSTITUTE(SUBSTITUTE(SUBSTITUTE(SUBSTITUTE(SUBSTITUTE(SUBSTITUTE(SUBSTITUTE(SUBSTITUTE(SUBSTITUTE(LOWER(AE63&amp;""),CHAR(10),""),CHAR(13),""),CHAR(9),""),CHAR(160),"")," ",""),".",""),"-",""),"/",""),"?",""),"_",""),",",""),"[",""),"]",""),"(",""),")",""),"*","")</f>
        <v/>
      </c>
      <c r="AY63" s="61" t="str">
        <f aca="false">SUBSTITUTE(SUBSTITUTE(SUBSTITUTE(SUBSTITUTE(SUBSTITUTE(SUBSTITUTE(SUBSTITUTE(SUBSTITUTE(SUBSTITUTE(SUBSTITUTE(SUBSTITUTE(SUBSTITUTE(SUBSTITUTE(SUBSTITUTE(SUBSTITUTE(SUBSTITUTE(LOWER(W63&amp;""),CHAR(10),""),CHAR(13),""),CHAR(9),""),CHAR(160),"")," ",""),".",""),"-",""),"/",""),"?",""),"_",""),",",""),"[",""),"]",""),"(",""),")",""),"*","")</f>
        <v/>
      </c>
      <c r="AZ63" s="61" t="str">
        <f aca="false">SUBSTITUTE(SUBSTITUTE(SUBSTITUTE(SUBSTITUTE(SUBSTITUTE(SUBSTITUTE(SUBSTITUTE(SUBSTITUTE(SUBSTITUTE(SUBSTITUTE(SUBSTITUTE(SUBSTITUTE(SUBSTITUTE(SUBSTITUTE(SUBSTITUTE(SUBSTITUTE(LOWER(AC63&amp;""),CHAR(10),""),CHAR(13),""),CHAR(9),""),CHAR(160),"")," ",""),".",""),"-",""),"/",""),"?",""),"_",""),",",""),"[",""),"]",""),"(",""),")",""),"*","")</f>
        <v/>
      </c>
      <c r="BA63" s="61" t="str">
        <f aca="false">SUBSTITUTE(SUBSTITUTE(SUBSTITUTE(SUBSTITUTE(SUBSTITUTE(SUBSTITUTE(SUBSTITUTE(SUBSTITUTE(SUBSTITUTE(SUBSTITUTE(SUBSTITUTE(SUBSTITUTE(SUBSTITUTE(SUBSTITUTE(SUBSTITUTE(SUBSTITUTE(LOWER(AA63&amp;""),CHAR(10),""),CHAR(13),""),CHAR(9),""),CHAR(160),"")," ",""),".",""),"-",""),"/",""),"?",""),"_",""),",",""),"[",""),"]",""),"(",""),")",""),"*","")</f>
        <v/>
      </c>
      <c r="BB63" s="61" t="str">
        <f aca="false">IF(AND(TRIM(U63)="Pass",ISNUMBER(AF63)),IF(AF63&lt;&gt;0,"INVALID – qty variance: use Fail or Pass after CA",""),"")&amp;IF(AND(TRIM(U63)="Pass after CA",ISNUMBER(AF63)),IF(AF63&lt;&gt;0,"INVALID – after the corrective action the actual qty must equal expected (update Actual)",""),"")&amp;IF(AND(TRIM(U63)="Pass",TRIM(AB63)&lt;&gt;"",TRIM(AB63)&lt;&gt;"Closed"),"INVALID – corrective action not closed: use Fail, then Pass after CA","")&amp;IF(AND(LEN(BA63)&gt;=2,ISNA(MATCH(LEFT(BA63,255),L_Placeholder,0)),TRIM(AB63)=""),"INVALID – CA status missing for the recorded corrective action","")&amp;IF(AND(TRIM(U63)="Pass after CA",OR(OR(LEN(BA63)&lt;5,ISNUMBER(MATCH(BA63,L_Placeholder,0))),TRIM(AB63)&lt;&gt;"Closed")),"INVALID – corrective action not recorded/closed","")</f>
        <v/>
      </c>
      <c r="BC63" s="61" t="str">
        <f aca="false">" "&amp;TRIM(SUBSTITUTE(SUBSTITUTE(SUBSTITUTE(SUBSTITUTE(SUBSTITUTE(SUBSTITUTE(SUBSTITUTE(SUBSTITUTE(SUBSTITUTE(SUBSTITUTE(SUBSTITUTE(SUBSTITUTE(SUBSTITUTE(SUBSTITUTE(SUBSTITUTE(SUBSTITUTE(SUBSTITUTE(SUBSTITUTE(SUBSTITUTE(SUBSTITUTE(SUBSTITUTE(SUBSTITUTE(SUBSTITUTE(SUBSTITUTE(LOWER(V63&amp;""),CHAR(10)," "),CHAR(13)," "),CHAR(9)," "),CHAR(160)," "),"."," "),","," "),"-"," "),"/"," "),"("," "),")"," "),":"," "),";"," "),"_"," "),"–"," "),"?"," "),"!"," "),"*"," "),"["," "),"]"," "),"'"," "),"#"," "),"+"," "),"&amp;"," "),"\"," "))&amp;" "</f>
        <v>  </v>
      </c>
      <c r="BD63" s="61" t="str">
        <f aca="false">" "&amp;TRIM(SUBSTITUTE(SUBSTITUTE(SUBSTITUTE(SUBSTITUTE(SUBSTITUTE(SUBSTITUTE(SUBSTITUTE(SUBSTITUTE(SUBSTITUTE(SUBSTITUTE(SUBSTITUTE(SUBSTITUTE(SUBSTITUTE(SUBSTITUTE(SUBSTITUTE(SUBSTITUTE(SUBSTITUTE(SUBSTITUTE(SUBSTITUTE(SUBSTITUTE(SUBSTITUTE(SUBSTITUTE(SUBSTITUTE(SUBSTITUTE(LOWER(Z63&amp;""),CHAR(10)," "),CHAR(13)," "),CHAR(9)," "),CHAR(160)," "),"."," "),","," "),"-"," "),"/"," "),"("," "),")"," "),":"," "),";"," "),"_"," "),"–"," "),"?"," "),"!"," "),"*"," "),"["," "),"]"," "),"'"," "),"#"," "),"+"," "),"&amp;"," "),"\"," "))&amp;" "</f>
        <v>  </v>
      </c>
      <c r="BE63" s="61" t="str">
        <f aca="false">" "&amp;TRIM(SUBSTITUTE(SUBSTITUTE(SUBSTITUTE(SUBSTITUTE(SUBSTITUTE(SUBSTITUTE(SUBSTITUTE(SUBSTITUTE(SUBSTITUTE(SUBSTITUTE(SUBSTITUTE(SUBSTITUTE(SUBSTITUTE(SUBSTITUTE(SUBSTITUTE(SUBSTITUTE(SUBSTITUTE(SUBSTITUTE(SUBSTITUTE(SUBSTITUTE(SUBSTITUTE(SUBSTITUTE(SUBSTITUTE(SUBSTITUTE(LOWER(W63&amp;""),CHAR(10)," "),CHAR(13)," "),CHAR(9)," "),CHAR(160)," "),"."," "),","," "),"-"," "),"/"," "),"("," "),")"," "),":"," "),";"," "),"_"," "),"–"," "),"?"," "),"!"," "),"*"," "),"["," "),"]"," "),"'"," "),"#"," "),"+"," "),"&amp;"," "),"\"," "))&amp;" "</f>
        <v>  </v>
      </c>
      <c r="BF63" s="61" t="str">
        <f aca="false">" "&amp;TRIM(SUBSTITUTE(SUBSTITUTE(SUBSTITUTE(SUBSTITUTE(SUBSTITUTE(SUBSTITUTE(SUBSTITUTE(SUBSTITUTE(SUBSTITUTE(SUBSTITUTE(SUBSTITUTE(SUBSTITUTE(SUBSTITUTE(SUBSTITUTE(SUBSTITUTE(SUBSTITUTE(SUBSTITUTE(SUBSTITUTE(SUBSTITUTE(SUBSTITUTE(SUBSTITUTE(SUBSTITUTE(SUBSTITUTE(SUBSTITUTE(LOWER(AC63&amp;""),CHAR(10)," "),CHAR(13)," "),CHAR(9)," "),CHAR(160)," "),"."," "),","," "),"-"," "),"/"," "),"("," "),")"," "),":"," "),";"," "),"_"," "),"–"," "),"?"," "),"!"," "),"*"," "),"["," "),"]"," "),"'"," "),"#"," "),"+"," "),"&amp;"," "),"\"," "))&amp;" "</f>
        <v>  </v>
      </c>
      <c r="BG63" s="61" t="n">
        <f aca="false">IFERROR(IF(AND(TRIM(U63)="Pass",SUMPRODUCT((LEN(BC63)-LEN(SUBSTITUTE(BC63," "&amp;L_ResultBad&amp;" "," ")))/(LEN(L_ResultBad)+1))&gt;SUMPRODUCT((LEN(BC63)-LEN(SUBSTITUTE(BC63," "&amp;L_NegPhrase&amp;" "," ")))/(LEN(L_NegPhrase)+1))),1,0),0)</f>
        <v>0</v>
      </c>
      <c r="BH63" s="61" t="n">
        <f aca="false">IFERROR(IF(SUMPRODUCT((LEN(BC63)-LEN(SUBSTITUTE(BC63," "&amp;L_Pending&amp;" "," ")))/(LEN(L_Pending)+1))&gt;SUMPRODUCT((LEN(BC63)-LEN(SUBSTITUTE(BC63," "&amp;L_PendNeg&amp;" "," ")))/(LEN(L_PendNeg)+1)),1,0),1)</f>
        <v>0</v>
      </c>
      <c r="BI63" s="61" t="n">
        <f aca="false">IFERROR(IF(SUMPRODUCT((LEN(BD63)-LEN(SUBSTITUTE(BD63," "&amp;L_PendStrict&amp;" "," ")))/(LEN(L_PendStrict)+1))&gt;SUMPRODUCT((LEN(BD63)-LEN(SUBSTITUTE(BD63," "&amp;L_PendNeg&amp;" "," ")))/(LEN(L_PendNeg)+1)),1,0),1)</f>
        <v>0</v>
      </c>
      <c r="BJ63" s="61" t="n">
        <f aca="false">IFERROR(IF(SUMPRODUCT((LEN(BE63)-LEN(SUBSTITUTE(BE63," "&amp;L_Pending&amp;" "," ")))/(LEN(L_Pending)+1))&gt;SUMPRODUCT((LEN(BE63)-LEN(SUBSTITUTE(BE63," "&amp;L_PendNeg&amp;" "," ")))/(LEN(L_PendNeg)+1)),1,0),1)</f>
        <v>0</v>
      </c>
      <c r="BK63" s="61" t="n">
        <f aca="false">IFERROR(IF(SUMPRODUCT((LEN(BF63)-LEN(SUBSTITUTE(BF63," "&amp;L_PendStrict&amp;" "," ")))/(LEN(L_PendStrict)+1))&gt;SUMPRODUCT((LEN(BF63)-LEN(SUBSTITUTE(BF63," "&amp;L_PendNeg&amp;" "," ")))/(LEN(L_PendNeg)+1)),1,0),1)</f>
        <v>0</v>
      </c>
      <c r="BL63" s="61" t="n">
        <f aca="false">IF(ISNA(MATCH(TRIM(S63),L_EvidenceType,0)),0,BZ63)</f>
        <v>0</v>
      </c>
      <c r="BM63" s="61" t="str">
        <f aca="false">SUBSTITUTE(SUBSTITUTE(SUBSTITUTE(SUBSTITUTE(SUBSTITUTE(SUBSTITUTE(SUBSTITUTE(SUBSTITUTE(SUBSTITUTE(LOWER(Z63&amp;""),"1","0"),"2","0"),"3","0"),"4","0"),"5","0"),"6","0"),"7","0"),"8","0"),"9","0")</f>
        <v/>
      </c>
      <c r="BN63" s="61" t="str">
        <f aca="false">SUBSTITUTE(SUBSTITUTE(SUBSTITUTE(SUBSTITUTE(SUBSTITUTE(SUBSTITUTE(SUBSTITUTE(SUBSTITUTE(SUBSTITUTE(SUBSTITUTE(SUBSTITUTE(SUBSTITUTE(SUBSTITUTE(SUBSTITUTE(SUBSTITUTE(SUBSTITUTE(SUBSTITUTE(SUBSTITUTE(SUBSTITUTE(SUBSTITUTE(SUBSTITUTE(SUBSTITUTE(SUBSTITUTE(SUBSTITUTE(SUBSTITUTE(BM63,"b","a"),"c","a"),"d","a"),"e","a"),"f","a"),"g","a"),"h","a"),"i","a"),"j","a"),"k","a"),"l","a"),"m","a"),"n","a"),"o","a"),"p","a"),"q","a"),"r","a"),"s","a"),"t","a"),"u","a"),"v","a"),"w","a"),"x","a"),"y","a"),"z","a")</f>
        <v/>
      </c>
      <c r="BO63" s="61" t="str">
        <f aca="false">SUBSTITUTE(SUBSTITUTE(SUBSTITUTE(SUBSTITUTE(SUBSTITUTE(SUBSTITUTE(SUBSTITUTE(SUBSTITUTE(SUBSTITUTE(LOWER(W63&amp;""),"1","0"),"2","0"),"3","0"),"4","0"),"5","0"),"6","0"),"7","0"),"8","0"),"9","0")</f>
        <v/>
      </c>
      <c r="BP63" s="61" t="str">
        <f aca="false">SUBSTITUTE(SUBSTITUTE(SUBSTITUTE(SUBSTITUTE(SUBSTITUTE(SUBSTITUTE(SUBSTITUTE(SUBSTITUTE(SUBSTITUTE(SUBSTITUTE(SUBSTITUTE(SUBSTITUTE(SUBSTITUTE(SUBSTITUTE(SUBSTITUTE(SUBSTITUTE(SUBSTITUTE(SUBSTITUTE(SUBSTITUTE(SUBSTITUTE(SUBSTITUTE(SUBSTITUTE(SUBSTITUTE(SUBSTITUTE(SUBSTITUTE(BO63,"b","a"),"c","a"),"d","a"),"e","a"),"f","a"),"g","a"),"h","a"),"i","a"),"j","a"),"k","a"),"l","a"),"m","a"),"n","a"),"o","a"),"p","a"),"q","a"),"r","a"),"s","a"),"t","a"),"u","a"),"v","a"),"w","a"),"x","a"),"y","a"),"z","a")</f>
        <v/>
      </c>
      <c r="BQ63" s="61" t="n">
        <f aca="false">IFERROR(IF(AND(ISERROR(SEARCH(" mh"," "&amp;LOWER(W63))),ISNA(MATCH(LEFT(TRIM(BP63),255),{"0000a","000a","00a","0000aa","000aa","00aa","0aa","0000aaa","000aaa","00a00","0a00","0000-0000","00:00","a00","a0","00.00.0000","00/00/0000","00-00-0000","0000-00-00","0000/00/00","0000.00.00","00.00.00","00/00/00","00-00-00","0.00.0000","0/00/0000","0-00-0000"},0)),ISNA(MATCH(LEFT(TRIM(CA63),255),{"0000a","000a","00a","0000aa","000aa","00aa","0aa","0000aaa","000aaa","00a00","0a00","0000-0000","00:00","a00","a0","00.00.0000","00/00/0000","00-00-0000","0000-00-00","0000/00/00","0000.00.00","00.00.00","00/00/00","00-00-00","0.00.0000","0/00/0000","0-00-0000"},0)),LEN(CB63)&gt;=3,NOT(OR(SUBSTITUTE(CB63,"0","")="",AND(LEN(CB63)&gt;=4,CB63=REPT(LEFT(CB63),LEN(CB63))),ISNUMBER(MATCH(CB63,{"123","1234","12345","123456","1234567","12345678","0123","01234","012345","98765","987654","54321"},0)),AND(LEN(CB63)=8,LEFT(CB63,3)="202"))),OR(AND((LEN(CA63)-LEN(SUBSTITUTE(CA63,"a","")))&gt;=1,SUMPRODUCT(--ISNUMBER(SEARCH({"a0","a-0","a_0","a/0","a.0","a#0","0a","0-a","0_a","0/a"},BP63)))&gt;0),ISNUMBER(SEARCH("000000",BP63)))),1,0),0)</f>
        <v>0</v>
      </c>
      <c r="BR63" s="61" t="n">
        <f aca="false">IFERROR(LEN(SUBSTITUTE(CC63," ",""))-SUMPRODUCT((LEN(CC63)-LEN(SUBSTITUTE(CC63," "&amp;L_Role&amp;" "," ")))/(LEN(L_Role)+1)*LEN(L_Role)),0)</f>
        <v>0</v>
      </c>
      <c r="BS63" s="61" t="n">
        <f aca="false">IFERROR(LEN(SUBSTITUTE(CD63," ",""))-SUMPRODUCT((LEN(CD63)-LEN(SUBSTITUTE(CD63," "&amp;L_Role&amp;" "," ")))/(LEN(L_Role)+1)*LEN(L_Role)),0)</f>
        <v>0</v>
      </c>
      <c r="BT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revision",""),"version",""),"jan",""),"feb",""),"mar",""),"apr",""),"may",""),"jun",""),"jul",""),"aug",""),"sep",""),"oct",""),"nov",""),"dec",""),"utc",""),"gmt",""),"myt",""),"bst",""),"rev",""),"ver",""),"b","a"),"c","a"),"d","a"),"e","a"),"f","a"),"g","a"),"h","a"),"i","a"),"j","a"),"k","a"),"l","a"),"m","a"),"n","a"),"o","a"),"p","a"),"q","a"),"r","a"),"s","a"),"t","a"),"u","a"),"v","a"),"w","a"),"x","a"),"y","a"),"z","a")</f>
        <v/>
      </c>
      <c r="BU63" s="61" t="str">
        <f aca="false">SUBSTITUTE(SUBSTITUTE(SUBSTITUTE(SUBSTITUTE(SUBSTITUTE(SUBSTITUTE(SUBSTITUTE(SUBSTITUTE(SUBSTITUTE(SUBSTITUTE(LEFT(BM63,FIND("0",BM63&amp;"0")-1),"-",""),"_",""),"/",""),".",""),"#",""),"\\",""),":","")," ",""),"(",""),")","")</f>
        <v/>
      </c>
      <c r="BV63" s="61" t="n">
        <f aca="false">IFERROR(IF(OR(SUMPRODUCT((LEN(BC63)-LEN(SUBSTITUTE(BC63," "&amp;L_NotLoaded&amp;" "," ")))/(LEN(L_NotLoaded)+1))&gt;SUMPRODUCT((LEN(BC63)-LEN(SUBSTITUTE(BC63," "&amp;L_NotLoadedNeg&amp;" "," ")))/(LEN(L_NotLoadedNeg)+1)),SUMPRODUCT((LEN(BD63)-LEN(SUBSTITUTE(BD63," "&amp;L_NotLoaded&amp;" "," ")))/(LEN(L_NotLoaded)+1))&gt;SUMPRODUCT((LEN(BD63)-LEN(SUBSTITUTE(BD63," "&amp;L_NotLoadedNeg&amp;" "," ")))/(LEN(L_NotLoadedNeg)+1))),1,0),0)</f>
        <v>0</v>
      </c>
      <c r="BW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amp;""),"a",""),"b",""),"c",""),"d",""),"e",""),"f",""),"g",""),"h",""),"i",""),"j",""),"k",""),"l",""),"m",""),"n",""),"o",""),"p",""),"q",""),"r",""),"s",""),"t",""),"u",""),"v",""),"w",""),"x",""),"y",""),"z",""),"-",""),"_",""),"/",""),".",""),"#",""),"\\",""),":","")," ",""),"(",""),")","")</f>
        <v/>
      </c>
      <c r="BX63" s="61" t="str">
        <f aca="false">SUBSTITUTE(SUBSTITUTE(SUBSTITUTE(SUBSTITUTE(SUBSTITUTE(SUBSTITUTE(SUBSTITUTE(SUBSTITUTE(SUBSTITUTE(SUBSTITUTE(SUBSTITUTE(BM63,"0",""),"-",""),"_",""),"/",""),".",""),"#",""),"\\",""),":","")," ",""),"(",""),")","")</f>
        <v/>
      </c>
      <c r="BY63" s="62" t="n">
        <f aca="false">IF(ISNUMBER(Flights!$AZ$6),MAX(Q63-UpliftWindowH/24,Flights!$AZ$6),Q63-UpliftWindowH/24)</f>
        <v>46304.3263888889</v>
      </c>
      <c r="BZ63" s="61" t="n">
        <f aca="false">IFERROR(IF(IF(TRIM(S63)="Link / file path",AND(LEN(TRIM(Z63))&gt;=5,SUMPRODUCT(--ISNUMBER(SEARCH({"http","www.","\\",":\",".pdf",".jpg",".jpeg",".png",".heic",".xls",".doc",".msg",".eml",".ppt",".txt",".zip"},Z63)))&gt;0),AND(ISERROR(FIND(" ",TRIM(Z63))),NOT(OR(SUMPRODUCT(--ISNUMBER(FIND({",",";","&amp;","+"},Z63)))&gt;0,SUMPRODUCT(--ISNUMBER(SEARCH({"0/aa","0\\aa"},BN63)))&gt;0)),NOT(SUMPRODUCT(--ISNUMBER(SEARCH({"http","www.","\\",":\",".pdf",".jpg",".jpeg",".png",".heic",".xls",".doc",".msg",".eml",".ppt",".txt",".zip"},Z63)))&gt;0),NOT(LOWER(TRIM(Z63))=LOWER(Flights!$F$6)),ISNA(MATCH(BU63,{"mh","rev","revision","ver","version","v","r","a","b","seat","tray","row","gate","bay","stand","page","pg","item","line","no","cart","galley","flight","flt","table","box","bag","oven","etd","eta","std","sta","atd","ata","qty","pax","x","time","tel","ph","mob","day","wk","week","utc","gmt","myt","lt"},0)),NOT(OR(ISNUMBER(MATCH(LEFT(BN63,255),{"0000a","000a","00a","0000aa","000aa","00aa","0aa","0000aaa","000aaa","00a00","0a00","0000-0000","00:00","a00","a0","00.00.0000","00/00/0000","00-00-0000","0000-00-00","0000/00/00","0000.00.00","00.00.00","00/00/00","00-00-00","0.00.0000","0/00/0000","0-00-0000"},0)),ISNUMBER(MATCH(LEFT(BT63,255),{"0000a","000a","00a","0000aa","000aa","00aa","0aa","0000aaa","000aaa","00a00","0a00","0000-0000","00:00","a00","a0","00.00.0000","00/00/0000","00-00-0000","0000-00-00","0000/00/00","0000.00.00","00.00.00","00/00/00","00-00-00","0.00.0000","0/00/0000","0-00-0000"},0)))),NOT(OR(AND(BW63&lt;&gt;"",SUBSTITUTE(BW63,"0","")=""),AND(LEN(BW63)&gt;=4,BW63=REPT(LEFT(BW63),LEN(BW63))),ISNUMBER(MATCH(BW63,{"123","1234","12345","123456","1234567","12345678","0123","01234","012345","98765","987654","54321"},0)),ISNUMBER(MATCH(BX63,{"x","xx","xxx","xxxx","xxxxx","abc","abcd","nil","na","nan","test","tbc","tba","tbd","dummy","sample","example","eg","zz","zzz","none","null","xyz","qwe","asd","id","ref"},0)),AND(LEN(BW63)=8,BX63="",OR(LEFT(BW63,3)="202",ISNUMBER(MATCH(RIGHT(BW63,4),{"2025","2026","2027"},0)))))),OR(AND((LEN(BT63)-LEN(SUBSTITUTE(BT63,"a","")))&gt;=1,(LEN(BN63)-LEN(SUBSTITUTE(BN63,"0","")))&gt;=2,SUMPRODUCT(--ISNUMBER(SEARCH({"a0","a-0","a_0","a/0","a.0","a#0","0a","0-a","0_a","0/a"},BN63)))&gt;0),AND((LEN(BN63)-LEN(SUBSTITUTE(BN63,"a","")))=0,(LEN(BN63)-LEN(SUBSTITUTE(BN63,"0","")))&gt;=5)))),1,0),0)</f>
        <v>0</v>
      </c>
      <c r="CA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revision",""),"version",""),"jan",""),"feb",""),"mar",""),"apr",""),"may",""),"jun",""),"jul",""),"aug",""),"sep",""),"oct",""),"nov",""),"dec",""),"utc",""),"gmt",""),"myt",""),"bst",""),"rev",""),"ver",""),"b","a"),"c","a"),"d","a"),"e","a"),"f","a"),"g","a"),"h","a"),"i","a"),"j","a"),"k","a"),"l","a"),"m","a"),"n","a"),"o","a"),"p","a"),"q","a"),"r","a"),"s","a"),"t","a"),"u","a"),"v","a"),"w","a"),"x","a"),"y","a"),"z","a")</f>
        <v/>
      </c>
      <c r="CB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amp;""),"a",""),"b",""),"c",""),"d",""),"e",""),"f",""),"g",""),"h",""),"i",""),"j",""),"k",""),"l",""),"m",""),"n",""),"o",""),"p",""),"q",""),"r",""),"s",""),"t",""),"u",""),"v",""),"w",""),"x",""),"y",""),"z",""),"-",""),"_",""),"/",""),".",""),"#",""),"\\",""),":","")," ",""),"(",""),")","")</f>
        <v/>
      </c>
      <c r="CC63" s="0" t="str">
        <f aca="false">" "&amp;TRIM(SUBSTITUTE(SUBSTITUTE(SUBSTITUTE(SUBSTITUTE(SUBSTITUTE(SUBSTITUTE(SUBSTITUTE(SUBSTITUTE(SUBSTITUTE(SUBSTITUTE(SUBSTITUTE(SUBSTITUTE(SUBSTITUTE(SUBSTITUTE(SUBSTITUTE(SUBSTITUTE(SUBSTITUTE(SUBSTITUTE(SUBSTITUTE(SUBSTITUTE(SUBSTITUTE(SUBSTITUTE(SUBSTITUTE(SUBSTITUTE(LOWER(T63&amp;""),CHAR(10)," "),CHAR(13)," "),CHAR(9)," "),CHAR(160)," "),"."," "),","," "),"-"," "),"/"," "),"("," "),")"," "),":"," "),";"," "),"_"," "),"–"," "),"?"," "),"!"," "),"*"," "),"["," "),"]"," "),"'"," "),"#"," "),"+"," "),"&amp;"," "),"\"," "))&amp;" "</f>
        <v>  </v>
      </c>
      <c r="CD63" s="0" t="str">
        <f aca="false">" "&amp;TRIM(SUBSTITUTE(SUBSTITUTE(SUBSTITUTE(SUBSTITUTE(SUBSTITUTE(SUBSTITUTE(SUBSTITUTE(SUBSTITUTE(SUBSTITUTE(SUBSTITUTE(SUBSTITUTE(SUBSTITUTE(SUBSTITUTE(SUBSTITUTE(SUBSTITUTE(SUBSTITUTE(SUBSTITUTE(SUBSTITUTE(SUBSTITUTE(SUBSTITUTE(SUBSTITUTE(SUBSTITUTE(SUBSTITUTE(SUBSTITUTE(LOWER(AE63&amp;""),CHAR(10)," "),CHAR(13)," "),CHAR(9)," "),CHAR(160)," "),"."," "),","," "),"-"," "),"/"," "),"("," "),")"," "),":"," "),";"," "),"_"," "),"–"," "),"?"," "),"!"," "),"*"," "),"["," "),"]"," "),"'"," "),"#"," "),"+"," "),"&amp;"," "),"\"," "))&amp;" "</f>
        <v>  </v>
      </c>
      <c r="CE63" s="68" t="n">
        <f aca="false">IFERROR(IF(AND(LEN(AU63)&gt;0,LEN(AU63)=LEN(AX63),OR(TRIM(MID(SUBSTITUTE(TRIM(CC63)," ",REPT(" ",60)),1,60))="",ISNUMBER(SEARCH(" "&amp;TRIM(MID(SUBSTITUTE(TRIM(CC63)," ",REPT(" ",60)),1,60))&amp;" ",CD63))),OR(TRIM(MID(SUBSTITUTE(TRIM(CC63)," ",REPT(" ",60)),61,60))="",ISNUMBER(SEARCH(" "&amp;TRIM(MID(SUBSTITUTE(TRIM(CC63)," ",REPT(" ",60)),61,60))&amp;" ",CD63))),OR(TRIM(MID(SUBSTITUTE(TRIM(CC63)," ",REPT(" ",60)),121,60))="",ISNUMBER(SEARCH(" "&amp;TRIM(MID(SUBSTITUTE(TRIM(CC63)," ",REPT(" ",60)),121,60))&amp;" ",CD63)))),1,0),0)</f>
        <v>0</v>
      </c>
      <c r="CG63" s="68" t="n">
        <f aca="false">IFERROR(LEN(SUBSTITUTE(BF63," ",""))-SUMPRODUCT((LEN(BF63)-LEN(SUBSTITUTE(BF63," "&amp;L_NAFiller&amp;" "," ")))/(LEN(L_NAFiller)+1)*LEN(L_NAFiller)),0)</f>
        <v>0</v>
      </c>
    </row>
    <row r="64" customFormat="false" ht="78.75" hidden="false" customHeight="true" outlineLevel="0" collapsed="false">
      <c r="A64" s="57" t="s">
        <v>545</v>
      </c>
      <c r="B64" s="57" t="s">
        <v>198</v>
      </c>
      <c r="C64" s="57" t="str">
        <f aca="false">Flights!$F$6</f>
        <v>MH0727</v>
      </c>
      <c r="D64" s="58" t="n">
        <f aca="false">Flights!$D$6</f>
        <v>46304</v>
      </c>
      <c r="E64" s="57" t="str">
        <f aca="false">Flights!$G$6&amp;"-"&amp;Flights!$H$6</f>
        <v>KUL-CGK</v>
      </c>
      <c r="F64" s="57" t="str">
        <f aca="false">Flights!$K$6</f>
        <v>BC</v>
      </c>
      <c r="G64" s="57" t="s">
        <v>459</v>
      </c>
      <c r="H64" s="57" t="s">
        <v>460</v>
      </c>
      <c r="I64" s="57" t="s">
        <v>499</v>
      </c>
      <c r="J64" s="57" t="s">
        <v>546</v>
      </c>
      <c r="K64" s="67" t="s">
        <v>501</v>
      </c>
      <c r="L64" s="67" t="s">
        <v>516</v>
      </c>
      <c r="M64" s="67" t="s">
        <v>451</v>
      </c>
      <c r="N64" s="67" t="s">
        <v>444</v>
      </c>
      <c r="O64" s="67" t="s">
        <v>544</v>
      </c>
      <c r="P64" s="57" t="s">
        <v>187</v>
      </c>
      <c r="Q64" s="59" t="n">
        <f aca="false">ROUND((Flights!$AF$6)*1440,0)/1440</f>
        <v>46304.5763888889</v>
      </c>
      <c r="R64" s="59" t="n">
        <f aca="false">Q64+(IF(AND(INDEX(TZ_DSTS,MATCH(P64,TZ_STN,0))&lt;&gt;"",Q64&gt;=INDEX(TZ_DSTS,MATCH(P64,TZ_STN,0)),Q64&lt;INDEX(TZ_DSTE,MATCH(P64,TZ_STN,0))),INDEX(TZ_DST,MATCH(P64,TZ_STN,0)),INDEX(TZ_STD,MATCH(P64,TZ_STN,0))))/24</f>
        <v>46304.9097222222</v>
      </c>
      <c r="S64" s="60"/>
      <c r="T64" s="60"/>
      <c r="U64" s="60"/>
      <c r="V64" s="60"/>
      <c r="W64" s="61"/>
      <c r="X64" s="60"/>
      <c r="Y64" s="60"/>
      <c r="Z64" s="60"/>
      <c r="AA64" s="60"/>
      <c r="AB64" s="60"/>
      <c r="AC64" s="60"/>
      <c r="AD64" s="66"/>
      <c r="AE64" s="60"/>
      <c r="AF64" s="61" t="str">
        <f aca="false">IF(AND(ISNUMBER(X64),ISNUMBER(Y64)),Y64-X64,"")</f>
        <v/>
      </c>
      <c r="AG64" s="62" t="str">
        <f aca="false">IF(ISNUMBER(AD64),AD64-(IF(AND(INDEX(TZ_DSTS,MATCH(P64,TZ_STN,0))&lt;&gt;"",(AD64-INDEX(TZ_STD,MATCH(P64,TZ_STN,0))/24)&gt;=INDEX(TZ_DSTS,MATCH(P64,TZ_STN,0)),(AD64-INDEX(TZ_STD,MATCH(P64,TZ_STN,0))/24)&lt;INDEX(TZ_DSTE,MATCH(P64,TZ_STN,0))),INDEX(TZ_DST,MATCH(P64,TZ_STN,0)),INDEX(TZ_STD,MATCH(P64,TZ_STN,0))))/24,"")</f>
        <v/>
      </c>
      <c r="AH64" s="65" t="str">
        <f aca="false">IFERROR(IF(N64="N/A – rule",IF(OR(TRIM(U64)="",TRIM(U64)="N/A",TRIM(U64)="Not started"),"N/A – RULE","INVALID – this check does not apply to this aircraft: clear the status (or correct the fleet on Flights)"),IF(TRIM(U64)="N/A",IF(AT64=0,"INVALID – N/A not permitted for this check",IF(AND(TRIM(AB64)&lt;&gt;"",TRIM(AB64)&lt;&gt;"Closed"),"INVALID – corrective action still open",IF(AND(NOT(OR(LEN(AZ64)&lt;15,ISNUMBER(MATCH(AZ64,L_Placeholder,0)))),BK64=0,CG64&gt;=8,NOT(OR(LEN(AU64)&lt;2,ISNUMBER(MATCH(AU64,L_Placeholder,0)))),BR64&gt;=3,NOT(OR(LEN(AX64)&lt;2,ISNUMBER(MATCH(AX64,L_Placeholder,0)))),BS64&gt;=3,TRIM(AE64)&lt;&gt;TRIM(T64),AX64&lt;&gt;AU64,CE64=0),"N/A – JUSTIFIED","INVALID – N/A needs a real, settled reason (not 'not applicable' / 'as above' / TBC), a named PIC and a different named verifier"))),IF(OR(TRIM(U64)="Pass",TRIM(U64)="Pass after CA"),IF(NOT(ISNUMBER(AD64)),"INVALID – completion time missing",IF(OR(OR(LEN(AU64)&lt;2,ISNUMBER(MATCH(AU64,L_Placeholder,0))),BR64&lt;3),"INVALID – PIC missing or not a named person (a role such as QA / CSM is not a name)",IF(OR(LEN(AV64)&lt;2,ISNUMBER(MATCH(AV64,L_Placeholder,0))),"INVALID – result / assessment missing",IF(OR(OR(LEN(AW64)&lt;3,ISNUMBER(MATCH(AW64,L_Placeholder,0))),SUMPRODUCT(--ISNUMBER(SEARCH(" "&amp;L_EvidencePhrase&amp;" ",BD64)))&gt;0,BI64=1),"INVALID – evidence missing, placeholder or not yet on file",IF(ISNA(MATCH(TRIM(S64),L_EvidenceType,0)),"INVALID – choose the evidence type from the list (column S)",IF(BL64=0,"INVALID – evidence ID must be the record's own ID only (e.g. SF-2210, IMG_2231, 1045521); a link / file name needs type 'Link / file path'",IF(OR(OR(LEN(AX64)&lt;2,ISNUMBER(MATCH(AX64,L_Placeholder,0))),BS64&lt;3),"INVALID – verifier missing or not a named person (a role such as QA / CSM is not a name)",IF(OR(AX64=AU64,CE64=1,AND(LEN(AU64)&gt;=4,ISNUMBER(SEARCH(AU64,AX64))),AND(LEN(AX64)&gt;=4,ISNUMBER(SEARCH(AX64,AU64)))),"INVALID – verifier must be a different, named person (not the PIC or a role)",IF(BH64=1,"INVALID – result not yet available (awaiting / TBC)",IF(BG64=1,"INVALID – result describes a problem: record Fail, then Pass after CA (or reword if it is not a problem)",IF(BV64=1,"INVALID – wording says not on board: an on-board confirmation needs the item loaded",IF(AND(AQ64=1,OR(OR(LEN(AY64)&lt;3,ISNUMBER(MATCH(AY64,L_Placeholder,0))),BJ64=1,BQ64=0)),"INVALID – batch ID missing, placeholder or not an ID (e.g. PASB-261008-BC-017)",IF(AND(AR64=1,OR(NOT(ISNUMBER(X64)),NOT(ISNUMBER(Y64)))),"INVALID – expected/actual qty missing",IF(AND(AR64=1,OR(X64&lt;=0,Y64&lt;0)),"INVALID – expected qty must be above 0 and actual not negative",IF(AH52="N/A – JUSTIFIED","INVALID – preparation row F02-T12-13 is N/A",IF(AND(AR64=1,ISNUMBER(X52),X64&lt;&gt;X52,TRIM(U64)&lt;&gt;"Pass after CA"),"INVALID – expected qty differs from preparation check F02-T12-13: record the load change as a corrective action (Pass after CA)",IF(BB64&lt;&gt;"",BB64,IF(AND(AS64=1,Documents!$J$6&lt;&gt;"ON FILE"),"INVALID – GLD not on file (Documents sheet)",IF(AND(AS64=2,Documents!$O$6&lt;&gt;"ON FILE"),"INVALID – menu checklist not on file (Documents sheet)",IF(AND(AS64=3,NOT(ISNUMBER(Flights!$AX$6))),"INVALID – enter carrying flight KUL departure (Flights AX)",IF(AND(AS64=3,OR(Flights!$AZ$6&gt;Flights!$AA$6,Flights!$AX$6&lt;Flights!$AA$6-3)),"INVALID – carrying flight (Flights AX) cannot arrive before this leg's STD, or is over 3 days early",IF(AG64&gt;AsOfUTC,"INVALID – completion time is in the future",IF(AND(ISNUMBER(BY64),AG64&lt;BY64),IF(H64="Physical uplift","INVALID – before uplift window (cannot confirm loading)","INVALID – before valid window"),IF(AG64&gt;Flights!$AA$6,"INVALID – completed after departure (cannot establish readiness)",IF(AND(H64="Preparation",AG64&gt;=IF(ISNUMBER(Flights!$BA$6),MIN(Flights!$BA$6,Flights!$AA$6),Flights!$AA$6)),"INVALID – completed after loading / departure (cannot establish readiness)",IF(AND(H64="Physical uplift",AG64&gt;Q64),"INVALID – recorded after the loading flight departed",IF(AG64&gt;Q64,"COMPLETE – LATE","COMPLETE"))))))))))))))))))))))))))),IF(TRIM(U64)="Fail","FAIL – DISCREPANCY",IF(AND(TRIM(U64)&lt;&gt;"",TRIM(U64)&lt;&gt;"Not started",TRIM(U64)&lt;&gt;"In progress"),"INVALID – unrecognised status (use the list)",IF(AsOfUTC&gt;Q64,"OVERDUE",IF(N64="Clarification required","OPEN – CLARIFICATION","OPEN"))))))),"INVALID – error value in an input cell")</f>
        <v>OPEN – CLARIFICATION</v>
      </c>
      <c r="AI64" s="61" t="n">
        <f aca="false">IF(OR(AH64="N/A – RULE",AH64="N/A – JUSTIFIED"),0,1)</f>
        <v>1</v>
      </c>
      <c r="AJ64" s="61" t="n">
        <f aca="false">IF(LEFT(AH64,8)="COMPLETE",1,0)</f>
        <v>0</v>
      </c>
      <c r="AK64" s="61" t="n">
        <f aca="false">IF(AND(AI64=1,AJ64=0,AsOfUTC&gt;Q64),1,0)</f>
        <v>0</v>
      </c>
      <c r="AL64" s="61" t="n">
        <f aca="false">IFERROR(IF(AND(AI64=1,OR(TRIM(U64)="Fail",AND(TRIM(AB64)&lt;&gt;"",TRIM(AB64)&lt;&gt;"Closed"),AND(ISNUMBER(AF64),AF64&lt;&gt;0,TRIM(U64)&lt;&gt;"Pass after CA"))),1,0),1)</f>
        <v>0</v>
      </c>
      <c r="AM64" s="61" t="n">
        <f aca="false">IF(LEFT(AH64,7)="INVALID",1,0)</f>
        <v>0</v>
      </c>
      <c r="AN64" s="61" t="n">
        <f aca="false">IF(AND(N64="Clarification required",AI64=1,AJ64=0),1,0)</f>
        <v>1</v>
      </c>
      <c r="AO64" s="61" t="str">
        <f aca="false">IF(AK64=1,SUM(AK$5:AK64),"")</f>
        <v/>
      </c>
      <c r="AP64" s="61" t="str">
        <f aca="false">IF(AL64=1,SUM(AL$5:AL64),"")</f>
        <v/>
      </c>
      <c r="AQ64" s="61" t="n">
        <v>0</v>
      </c>
      <c r="AR64" s="61" t="n">
        <v>0</v>
      </c>
      <c r="AS64" s="61" t="n">
        <v>0</v>
      </c>
      <c r="AT64" s="61" t="n">
        <v>1</v>
      </c>
      <c r="AU64" s="61" t="str">
        <f aca="false">SUBSTITUTE(SUBSTITUTE(SUBSTITUTE(SUBSTITUTE(SUBSTITUTE(SUBSTITUTE(SUBSTITUTE(SUBSTITUTE(SUBSTITUTE(SUBSTITUTE(SUBSTITUTE(SUBSTITUTE(SUBSTITUTE(SUBSTITUTE(SUBSTITUTE(SUBSTITUTE(LOWER(T64&amp;""),CHAR(10),""),CHAR(13),""),CHAR(9),""),CHAR(160),"")," ",""),".",""),"-",""),"/",""),"?",""),"_",""),",",""),"[",""),"]",""),"(",""),")",""),"*","")</f>
        <v/>
      </c>
      <c r="AV64" s="61" t="str">
        <f aca="false">SUBSTITUTE(SUBSTITUTE(SUBSTITUTE(SUBSTITUTE(SUBSTITUTE(SUBSTITUTE(SUBSTITUTE(SUBSTITUTE(SUBSTITUTE(SUBSTITUTE(SUBSTITUTE(SUBSTITUTE(SUBSTITUTE(SUBSTITUTE(SUBSTITUTE(SUBSTITUTE(LOWER(V64&amp;""),CHAR(10),""),CHAR(13),""),CHAR(9),""),CHAR(160),"")," ",""),".",""),"-",""),"/",""),"?",""),"_",""),",",""),"[",""),"]",""),"(",""),")",""),"*","")</f>
        <v/>
      </c>
      <c r="AW64" s="61" t="str">
        <f aca="false">SUBSTITUTE(SUBSTITUTE(SUBSTITUTE(SUBSTITUTE(SUBSTITUTE(SUBSTITUTE(SUBSTITUTE(SUBSTITUTE(SUBSTITUTE(SUBSTITUTE(SUBSTITUTE(SUBSTITUTE(SUBSTITUTE(SUBSTITUTE(SUBSTITUTE(SUBSTITUTE(LOWER(Z64&amp;""),CHAR(10),""),CHAR(13),""),CHAR(9),""),CHAR(160),"")," ",""),".",""),"-",""),"/",""),"?",""),"_",""),",",""),"[",""),"]",""),"(",""),")",""),"*","")</f>
        <v/>
      </c>
      <c r="AX64" s="61" t="str">
        <f aca="false">SUBSTITUTE(SUBSTITUTE(SUBSTITUTE(SUBSTITUTE(SUBSTITUTE(SUBSTITUTE(SUBSTITUTE(SUBSTITUTE(SUBSTITUTE(SUBSTITUTE(SUBSTITUTE(SUBSTITUTE(SUBSTITUTE(SUBSTITUTE(SUBSTITUTE(SUBSTITUTE(LOWER(AE64&amp;""),CHAR(10),""),CHAR(13),""),CHAR(9),""),CHAR(160),"")," ",""),".",""),"-",""),"/",""),"?",""),"_",""),",",""),"[",""),"]",""),"(",""),")",""),"*","")</f>
        <v/>
      </c>
      <c r="AY64" s="61" t="str">
        <f aca="false">SUBSTITUTE(SUBSTITUTE(SUBSTITUTE(SUBSTITUTE(SUBSTITUTE(SUBSTITUTE(SUBSTITUTE(SUBSTITUTE(SUBSTITUTE(SUBSTITUTE(SUBSTITUTE(SUBSTITUTE(SUBSTITUTE(SUBSTITUTE(SUBSTITUTE(SUBSTITUTE(LOWER(W64&amp;""),CHAR(10),""),CHAR(13),""),CHAR(9),""),CHAR(160),"")," ",""),".",""),"-",""),"/",""),"?",""),"_",""),",",""),"[",""),"]",""),"(",""),")",""),"*","")</f>
        <v/>
      </c>
      <c r="AZ64" s="61" t="str">
        <f aca="false">SUBSTITUTE(SUBSTITUTE(SUBSTITUTE(SUBSTITUTE(SUBSTITUTE(SUBSTITUTE(SUBSTITUTE(SUBSTITUTE(SUBSTITUTE(SUBSTITUTE(SUBSTITUTE(SUBSTITUTE(SUBSTITUTE(SUBSTITUTE(SUBSTITUTE(SUBSTITUTE(LOWER(AC64&amp;""),CHAR(10),""),CHAR(13),""),CHAR(9),""),CHAR(160),"")," ",""),".",""),"-",""),"/",""),"?",""),"_",""),",",""),"[",""),"]",""),"(",""),")",""),"*","")</f>
        <v/>
      </c>
      <c r="BA64" s="61" t="str">
        <f aca="false">SUBSTITUTE(SUBSTITUTE(SUBSTITUTE(SUBSTITUTE(SUBSTITUTE(SUBSTITUTE(SUBSTITUTE(SUBSTITUTE(SUBSTITUTE(SUBSTITUTE(SUBSTITUTE(SUBSTITUTE(SUBSTITUTE(SUBSTITUTE(SUBSTITUTE(SUBSTITUTE(LOWER(AA64&amp;""),CHAR(10),""),CHAR(13),""),CHAR(9),""),CHAR(160),"")," ",""),".",""),"-",""),"/",""),"?",""),"_",""),",",""),"[",""),"]",""),"(",""),")",""),"*","")</f>
        <v/>
      </c>
      <c r="BB64" s="61" t="str">
        <f aca="false">IF(AND(TRIM(U64)="Pass",ISNUMBER(AF64)),IF(AF64&lt;&gt;0,"INVALID – qty variance: use Fail or Pass after CA",""),"")&amp;IF(AND(TRIM(U64)="Pass after CA",ISNUMBER(AF64)),IF(AF64&lt;&gt;0,"INVALID – after the corrective action the actual qty must equal expected (update Actual)",""),"")&amp;IF(AND(TRIM(U64)="Pass",TRIM(AB64)&lt;&gt;"",TRIM(AB64)&lt;&gt;"Closed"),"INVALID – corrective action not closed: use Fail, then Pass after CA","")&amp;IF(AND(LEN(BA64)&gt;=2,ISNA(MATCH(LEFT(BA64,255),L_Placeholder,0)),TRIM(AB64)=""),"INVALID – CA status missing for the recorded corrective action","")&amp;IF(AND(TRIM(U64)="Pass after CA",OR(OR(LEN(BA64)&lt;5,ISNUMBER(MATCH(BA64,L_Placeholder,0))),TRIM(AB64)&lt;&gt;"Closed")),"INVALID – corrective action not recorded/closed","")</f>
        <v/>
      </c>
      <c r="BC64" s="61" t="str">
        <f aca="false">" "&amp;TRIM(SUBSTITUTE(SUBSTITUTE(SUBSTITUTE(SUBSTITUTE(SUBSTITUTE(SUBSTITUTE(SUBSTITUTE(SUBSTITUTE(SUBSTITUTE(SUBSTITUTE(SUBSTITUTE(SUBSTITUTE(SUBSTITUTE(SUBSTITUTE(SUBSTITUTE(SUBSTITUTE(SUBSTITUTE(SUBSTITUTE(SUBSTITUTE(SUBSTITUTE(SUBSTITUTE(SUBSTITUTE(SUBSTITUTE(SUBSTITUTE(LOWER(V64&amp;""),CHAR(10)," "),CHAR(13)," "),CHAR(9)," "),CHAR(160)," "),"."," "),","," "),"-"," "),"/"," "),"("," "),")"," "),":"," "),";"," "),"_"," "),"–"," "),"?"," "),"!"," "),"*"," "),"["," "),"]"," "),"'"," "),"#"," "),"+"," "),"&amp;"," "),"\"," "))&amp;" "</f>
        <v>  </v>
      </c>
      <c r="BD64" s="61" t="str">
        <f aca="false">" "&amp;TRIM(SUBSTITUTE(SUBSTITUTE(SUBSTITUTE(SUBSTITUTE(SUBSTITUTE(SUBSTITUTE(SUBSTITUTE(SUBSTITUTE(SUBSTITUTE(SUBSTITUTE(SUBSTITUTE(SUBSTITUTE(SUBSTITUTE(SUBSTITUTE(SUBSTITUTE(SUBSTITUTE(SUBSTITUTE(SUBSTITUTE(SUBSTITUTE(SUBSTITUTE(SUBSTITUTE(SUBSTITUTE(SUBSTITUTE(SUBSTITUTE(LOWER(Z64&amp;""),CHAR(10)," "),CHAR(13)," "),CHAR(9)," "),CHAR(160)," "),"."," "),","," "),"-"," "),"/"," "),"("," "),")"," "),":"," "),";"," "),"_"," "),"–"," "),"?"," "),"!"," "),"*"," "),"["," "),"]"," "),"'"," "),"#"," "),"+"," "),"&amp;"," "),"\"," "))&amp;" "</f>
        <v>  </v>
      </c>
      <c r="BE64" s="61" t="str">
        <f aca="false">" "&amp;TRIM(SUBSTITUTE(SUBSTITUTE(SUBSTITUTE(SUBSTITUTE(SUBSTITUTE(SUBSTITUTE(SUBSTITUTE(SUBSTITUTE(SUBSTITUTE(SUBSTITUTE(SUBSTITUTE(SUBSTITUTE(SUBSTITUTE(SUBSTITUTE(SUBSTITUTE(SUBSTITUTE(SUBSTITUTE(SUBSTITUTE(SUBSTITUTE(SUBSTITUTE(SUBSTITUTE(SUBSTITUTE(SUBSTITUTE(SUBSTITUTE(LOWER(W64&amp;""),CHAR(10)," "),CHAR(13)," "),CHAR(9)," "),CHAR(160)," "),"."," "),","," "),"-"," "),"/"," "),"("," "),")"," "),":"," "),";"," "),"_"," "),"–"," "),"?"," "),"!"," "),"*"," "),"["," "),"]"," "),"'"," "),"#"," "),"+"," "),"&amp;"," "),"\"," "))&amp;" "</f>
        <v>  </v>
      </c>
      <c r="BF64" s="61" t="str">
        <f aca="false">" "&amp;TRIM(SUBSTITUTE(SUBSTITUTE(SUBSTITUTE(SUBSTITUTE(SUBSTITUTE(SUBSTITUTE(SUBSTITUTE(SUBSTITUTE(SUBSTITUTE(SUBSTITUTE(SUBSTITUTE(SUBSTITUTE(SUBSTITUTE(SUBSTITUTE(SUBSTITUTE(SUBSTITUTE(SUBSTITUTE(SUBSTITUTE(SUBSTITUTE(SUBSTITUTE(SUBSTITUTE(SUBSTITUTE(SUBSTITUTE(SUBSTITUTE(LOWER(AC64&amp;""),CHAR(10)," "),CHAR(13)," "),CHAR(9)," "),CHAR(160)," "),"."," "),","," "),"-"," "),"/"," "),"("," "),")"," "),":"," "),";"," "),"_"," "),"–"," "),"?"," "),"!"," "),"*"," "),"["," "),"]"," "),"'"," "),"#"," "),"+"," "),"&amp;"," "),"\"," "))&amp;" "</f>
        <v>  </v>
      </c>
      <c r="BG64" s="61" t="n">
        <f aca="false">IFERROR(IF(AND(TRIM(U64)="Pass",SUMPRODUCT((LEN(BC64)-LEN(SUBSTITUTE(BC64," "&amp;L_ResultBad&amp;" "," ")))/(LEN(L_ResultBad)+1))&gt;SUMPRODUCT((LEN(BC64)-LEN(SUBSTITUTE(BC64," "&amp;L_NegPhrase&amp;" "," ")))/(LEN(L_NegPhrase)+1))),1,0),0)</f>
        <v>0</v>
      </c>
      <c r="BH64" s="61" t="n">
        <f aca="false">IFERROR(IF(SUMPRODUCT((LEN(BC64)-LEN(SUBSTITUTE(BC64," "&amp;L_Pending&amp;" "," ")))/(LEN(L_Pending)+1))&gt;SUMPRODUCT((LEN(BC64)-LEN(SUBSTITUTE(BC64," "&amp;L_PendNeg&amp;" "," ")))/(LEN(L_PendNeg)+1)),1,0),1)</f>
        <v>0</v>
      </c>
      <c r="BI64" s="61" t="n">
        <f aca="false">IFERROR(IF(SUMPRODUCT((LEN(BD64)-LEN(SUBSTITUTE(BD64," "&amp;L_PendStrict&amp;" "," ")))/(LEN(L_PendStrict)+1))&gt;SUMPRODUCT((LEN(BD64)-LEN(SUBSTITUTE(BD64," "&amp;L_PendNeg&amp;" "," ")))/(LEN(L_PendNeg)+1)),1,0),1)</f>
        <v>0</v>
      </c>
      <c r="BJ64" s="61" t="n">
        <f aca="false">IFERROR(IF(SUMPRODUCT((LEN(BE64)-LEN(SUBSTITUTE(BE64," "&amp;L_Pending&amp;" "," ")))/(LEN(L_Pending)+1))&gt;SUMPRODUCT((LEN(BE64)-LEN(SUBSTITUTE(BE64," "&amp;L_PendNeg&amp;" "," ")))/(LEN(L_PendNeg)+1)),1,0),1)</f>
        <v>0</v>
      </c>
      <c r="BK64" s="61" t="n">
        <f aca="false">IFERROR(IF(SUMPRODUCT((LEN(BF64)-LEN(SUBSTITUTE(BF64," "&amp;L_PendStrict&amp;" "," ")))/(LEN(L_PendStrict)+1))&gt;SUMPRODUCT((LEN(BF64)-LEN(SUBSTITUTE(BF64," "&amp;L_PendNeg&amp;" "," ")))/(LEN(L_PendNeg)+1)),1,0),1)</f>
        <v>0</v>
      </c>
      <c r="BL64" s="61" t="n">
        <f aca="false">IF(ISNA(MATCH(TRIM(S64),L_EvidenceType,0)),0,BZ64)</f>
        <v>0</v>
      </c>
      <c r="BM64" s="61" t="str">
        <f aca="false">SUBSTITUTE(SUBSTITUTE(SUBSTITUTE(SUBSTITUTE(SUBSTITUTE(SUBSTITUTE(SUBSTITUTE(SUBSTITUTE(SUBSTITUTE(LOWER(Z64&amp;""),"1","0"),"2","0"),"3","0"),"4","0"),"5","0"),"6","0"),"7","0"),"8","0"),"9","0")</f>
        <v/>
      </c>
      <c r="BN64" s="61" t="str">
        <f aca="false">SUBSTITUTE(SUBSTITUTE(SUBSTITUTE(SUBSTITUTE(SUBSTITUTE(SUBSTITUTE(SUBSTITUTE(SUBSTITUTE(SUBSTITUTE(SUBSTITUTE(SUBSTITUTE(SUBSTITUTE(SUBSTITUTE(SUBSTITUTE(SUBSTITUTE(SUBSTITUTE(SUBSTITUTE(SUBSTITUTE(SUBSTITUTE(SUBSTITUTE(SUBSTITUTE(SUBSTITUTE(SUBSTITUTE(SUBSTITUTE(SUBSTITUTE(BM64,"b","a"),"c","a"),"d","a"),"e","a"),"f","a"),"g","a"),"h","a"),"i","a"),"j","a"),"k","a"),"l","a"),"m","a"),"n","a"),"o","a"),"p","a"),"q","a"),"r","a"),"s","a"),"t","a"),"u","a"),"v","a"),"w","a"),"x","a"),"y","a"),"z","a")</f>
        <v/>
      </c>
      <c r="BO64" s="61" t="str">
        <f aca="false">SUBSTITUTE(SUBSTITUTE(SUBSTITUTE(SUBSTITUTE(SUBSTITUTE(SUBSTITUTE(SUBSTITUTE(SUBSTITUTE(SUBSTITUTE(LOWER(W64&amp;""),"1","0"),"2","0"),"3","0"),"4","0"),"5","0"),"6","0"),"7","0"),"8","0"),"9","0")</f>
        <v/>
      </c>
      <c r="BP64" s="61" t="str">
        <f aca="false">SUBSTITUTE(SUBSTITUTE(SUBSTITUTE(SUBSTITUTE(SUBSTITUTE(SUBSTITUTE(SUBSTITUTE(SUBSTITUTE(SUBSTITUTE(SUBSTITUTE(SUBSTITUTE(SUBSTITUTE(SUBSTITUTE(SUBSTITUTE(SUBSTITUTE(SUBSTITUTE(SUBSTITUTE(SUBSTITUTE(SUBSTITUTE(SUBSTITUTE(SUBSTITUTE(SUBSTITUTE(SUBSTITUTE(SUBSTITUTE(SUBSTITUTE(BO64,"b","a"),"c","a"),"d","a"),"e","a"),"f","a"),"g","a"),"h","a"),"i","a"),"j","a"),"k","a"),"l","a"),"m","a"),"n","a"),"o","a"),"p","a"),"q","a"),"r","a"),"s","a"),"t","a"),"u","a"),"v","a"),"w","a"),"x","a"),"y","a"),"z","a")</f>
        <v/>
      </c>
      <c r="BQ64" s="61" t="n">
        <f aca="false">IFERROR(IF(AND(ISERROR(SEARCH(" mh"," "&amp;LOWER(W64))),ISNA(MATCH(LEFT(TRIM(BP64),255),{"0000a","000a","00a","0000aa","000aa","00aa","0aa","0000aaa","000aaa","00a00","0a00","0000-0000","00:00","a00","a0","00.00.0000","00/00/0000","00-00-0000","0000-00-00","0000/00/00","0000.00.00","00.00.00","00/00/00","00-00-00","0.00.0000","0/00/0000","0-00-0000"},0)),ISNA(MATCH(LEFT(TRIM(CA64),255),{"0000a","000a","00a","0000aa","000aa","00aa","0aa","0000aaa","000aaa","00a00","0a00","0000-0000","00:00","a00","a0","00.00.0000","00/00/0000","00-00-0000","0000-00-00","0000/00/00","0000.00.00","00.00.00","00/00/00","00-00-00","0.00.0000","0/00/0000","0-00-0000"},0)),LEN(CB64)&gt;=3,NOT(OR(SUBSTITUTE(CB64,"0","")="",AND(LEN(CB64)&gt;=4,CB64=REPT(LEFT(CB64),LEN(CB64))),ISNUMBER(MATCH(CB64,{"123","1234","12345","123456","1234567","12345678","0123","01234","012345","98765","987654","54321"},0)),AND(LEN(CB64)=8,LEFT(CB64,3)="202"))),OR(AND((LEN(CA64)-LEN(SUBSTITUTE(CA64,"a","")))&gt;=1,SUMPRODUCT(--ISNUMBER(SEARCH({"a0","a-0","a_0","a/0","a.0","a#0","0a","0-a","0_a","0/a"},BP64)))&gt;0),ISNUMBER(SEARCH("000000",BP64)))),1,0),0)</f>
        <v>0</v>
      </c>
      <c r="BR64" s="61" t="n">
        <f aca="false">IFERROR(LEN(SUBSTITUTE(CC64," ",""))-SUMPRODUCT((LEN(CC64)-LEN(SUBSTITUTE(CC64," "&amp;L_Role&amp;" "," ")))/(LEN(L_Role)+1)*LEN(L_Role)),0)</f>
        <v>0</v>
      </c>
      <c r="BS64" s="61" t="n">
        <f aca="false">IFERROR(LEN(SUBSTITUTE(CD64," ",""))-SUMPRODUCT((LEN(CD64)-LEN(SUBSTITUTE(CD64," "&amp;L_Role&amp;" "," ")))/(LEN(L_Role)+1)*LEN(L_Role)),0)</f>
        <v>0</v>
      </c>
      <c r="BT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revision",""),"version",""),"jan",""),"feb",""),"mar",""),"apr",""),"may",""),"jun",""),"jul",""),"aug",""),"sep",""),"oct",""),"nov",""),"dec",""),"utc",""),"gmt",""),"myt",""),"bst",""),"rev",""),"ver",""),"b","a"),"c","a"),"d","a"),"e","a"),"f","a"),"g","a"),"h","a"),"i","a"),"j","a"),"k","a"),"l","a"),"m","a"),"n","a"),"o","a"),"p","a"),"q","a"),"r","a"),"s","a"),"t","a"),"u","a"),"v","a"),"w","a"),"x","a"),"y","a"),"z","a")</f>
        <v/>
      </c>
      <c r="BU64" s="61" t="str">
        <f aca="false">SUBSTITUTE(SUBSTITUTE(SUBSTITUTE(SUBSTITUTE(SUBSTITUTE(SUBSTITUTE(SUBSTITUTE(SUBSTITUTE(SUBSTITUTE(SUBSTITUTE(LEFT(BM64,FIND("0",BM64&amp;"0")-1),"-",""),"_",""),"/",""),".",""),"#",""),"\\",""),":","")," ",""),"(",""),")","")</f>
        <v/>
      </c>
      <c r="BV64" s="61" t="n">
        <f aca="false">IFERROR(IF(OR(SUMPRODUCT((LEN(BC64)-LEN(SUBSTITUTE(BC64," "&amp;L_NotLoaded&amp;" "," ")))/(LEN(L_NotLoaded)+1))&gt;SUMPRODUCT((LEN(BC64)-LEN(SUBSTITUTE(BC64," "&amp;L_NotLoadedNeg&amp;" "," ")))/(LEN(L_NotLoadedNeg)+1)),SUMPRODUCT((LEN(BD64)-LEN(SUBSTITUTE(BD64," "&amp;L_NotLoaded&amp;" "," ")))/(LEN(L_NotLoaded)+1))&gt;SUMPRODUCT((LEN(BD64)-LEN(SUBSTITUTE(BD64," "&amp;L_NotLoadedNeg&amp;" "," ")))/(LEN(L_NotLoadedNeg)+1))),1,0),0)</f>
        <v>0</v>
      </c>
      <c r="BW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amp;""),"a",""),"b",""),"c",""),"d",""),"e",""),"f",""),"g",""),"h",""),"i",""),"j",""),"k",""),"l",""),"m",""),"n",""),"o",""),"p",""),"q",""),"r",""),"s",""),"t",""),"u",""),"v",""),"w",""),"x",""),"y",""),"z",""),"-",""),"_",""),"/",""),".",""),"#",""),"\\",""),":","")," ",""),"(",""),")","")</f>
        <v/>
      </c>
      <c r="BX64" s="61" t="str">
        <f aca="false">SUBSTITUTE(SUBSTITUTE(SUBSTITUTE(SUBSTITUTE(SUBSTITUTE(SUBSTITUTE(SUBSTITUTE(SUBSTITUTE(SUBSTITUTE(SUBSTITUTE(SUBSTITUTE(BM64,"0",""),"-",""),"_",""),"/",""),".",""),"#",""),"\\",""),":","")," ",""),"(",""),")","")</f>
        <v/>
      </c>
      <c r="BY64" s="62" t="n">
        <f aca="false">IF(ISNUMBER(Flights!$AZ$6),MAX(Q64-UpliftWindowH/24,Flights!$AZ$6),Q64-UpliftWindowH/24)</f>
        <v>46304.3263888889</v>
      </c>
      <c r="BZ64" s="61" t="n">
        <f aca="false">IFERROR(IF(IF(TRIM(S64)="Link / file path",AND(LEN(TRIM(Z64))&gt;=5,SUMPRODUCT(--ISNUMBER(SEARCH({"http","www.","\\",":\",".pdf",".jpg",".jpeg",".png",".heic",".xls",".doc",".msg",".eml",".ppt",".txt",".zip"},Z64)))&gt;0),AND(ISERROR(FIND(" ",TRIM(Z64))),NOT(OR(SUMPRODUCT(--ISNUMBER(FIND({",",";","&amp;","+"},Z64)))&gt;0,SUMPRODUCT(--ISNUMBER(SEARCH({"0/aa","0\\aa"},BN64)))&gt;0)),NOT(SUMPRODUCT(--ISNUMBER(SEARCH({"http","www.","\\",":\",".pdf",".jpg",".jpeg",".png",".heic",".xls",".doc",".msg",".eml",".ppt",".txt",".zip"},Z64)))&gt;0),NOT(LOWER(TRIM(Z64))=LOWER(Flights!$F$6)),ISNA(MATCH(BU64,{"mh","rev","revision","ver","version","v","r","a","b","seat","tray","row","gate","bay","stand","page","pg","item","line","no","cart","galley","flight","flt","table","box","bag","oven","etd","eta","std","sta","atd","ata","qty","pax","x","time","tel","ph","mob","day","wk","week","utc","gmt","myt","lt"},0)),NOT(OR(ISNUMBER(MATCH(LEFT(BN64,255),{"0000a","000a","00a","0000aa","000aa","00aa","0aa","0000aaa","000aaa","00a00","0a00","0000-0000","00:00","a00","a0","00.00.0000","00/00/0000","00-00-0000","0000-00-00","0000/00/00","0000.00.00","00.00.00","00/00/00","00-00-00","0.00.0000","0/00/0000","0-00-0000"},0)),ISNUMBER(MATCH(LEFT(BT64,255),{"0000a","000a","00a","0000aa","000aa","00aa","0aa","0000aaa","000aaa","00a00","0a00","0000-0000","00:00","a00","a0","00.00.0000","00/00/0000","00-00-0000","0000-00-00","0000/00/00","0000.00.00","00.00.00","00/00/00","00-00-00","0.00.0000","0/00/0000","0-00-0000"},0)))),NOT(OR(AND(BW64&lt;&gt;"",SUBSTITUTE(BW64,"0","")=""),AND(LEN(BW64)&gt;=4,BW64=REPT(LEFT(BW64),LEN(BW64))),ISNUMBER(MATCH(BW64,{"123","1234","12345","123456","1234567","12345678","0123","01234","012345","98765","987654","54321"},0)),ISNUMBER(MATCH(BX64,{"x","xx","xxx","xxxx","xxxxx","abc","abcd","nil","na","nan","test","tbc","tba","tbd","dummy","sample","example","eg","zz","zzz","none","null","xyz","qwe","asd","id","ref"},0)),AND(LEN(BW64)=8,BX64="",OR(LEFT(BW64,3)="202",ISNUMBER(MATCH(RIGHT(BW64,4),{"2025","2026","2027"},0)))))),OR(AND((LEN(BT64)-LEN(SUBSTITUTE(BT64,"a","")))&gt;=1,(LEN(BN64)-LEN(SUBSTITUTE(BN64,"0","")))&gt;=2,SUMPRODUCT(--ISNUMBER(SEARCH({"a0","a-0","a_0","a/0","a.0","a#0","0a","0-a","0_a","0/a"},BN64)))&gt;0),AND((LEN(BN64)-LEN(SUBSTITUTE(BN64,"a","")))=0,(LEN(BN64)-LEN(SUBSTITUTE(BN64,"0","")))&gt;=5)))),1,0),0)</f>
        <v>0</v>
      </c>
      <c r="CA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revision",""),"version",""),"jan",""),"feb",""),"mar",""),"apr",""),"may",""),"jun",""),"jul",""),"aug",""),"sep",""),"oct",""),"nov",""),"dec",""),"utc",""),"gmt",""),"myt",""),"bst",""),"rev",""),"ver",""),"b","a"),"c","a"),"d","a"),"e","a"),"f","a"),"g","a"),"h","a"),"i","a"),"j","a"),"k","a"),"l","a"),"m","a"),"n","a"),"o","a"),"p","a"),"q","a"),"r","a"),"s","a"),"t","a"),"u","a"),"v","a"),"w","a"),"x","a"),"y","a"),"z","a")</f>
        <v/>
      </c>
      <c r="CB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amp;""),"a",""),"b",""),"c",""),"d",""),"e",""),"f",""),"g",""),"h",""),"i",""),"j",""),"k",""),"l",""),"m",""),"n",""),"o",""),"p",""),"q",""),"r",""),"s",""),"t",""),"u",""),"v",""),"w",""),"x",""),"y",""),"z",""),"-",""),"_",""),"/",""),".",""),"#",""),"\\",""),":","")," ",""),"(",""),")","")</f>
        <v/>
      </c>
      <c r="CC64" s="0" t="str">
        <f aca="false">" "&amp;TRIM(SUBSTITUTE(SUBSTITUTE(SUBSTITUTE(SUBSTITUTE(SUBSTITUTE(SUBSTITUTE(SUBSTITUTE(SUBSTITUTE(SUBSTITUTE(SUBSTITUTE(SUBSTITUTE(SUBSTITUTE(SUBSTITUTE(SUBSTITUTE(SUBSTITUTE(SUBSTITUTE(SUBSTITUTE(SUBSTITUTE(SUBSTITUTE(SUBSTITUTE(SUBSTITUTE(SUBSTITUTE(SUBSTITUTE(SUBSTITUTE(LOWER(T64&amp;""),CHAR(10)," "),CHAR(13)," "),CHAR(9)," "),CHAR(160)," "),"."," "),","," "),"-"," "),"/"," "),"("," "),")"," "),":"," "),";"," "),"_"," "),"–"," "),"?"," "),"!"," "),"*"," "),"["," "),"]"," "),"'"," "),"#"," "),"+"," "),"&amp;"," "),"\"," "))&amp;" "</f>
        <v>  </v>
      </c>
      <c r="CD64" s="0" t="str">
        <f aca="false">" "&amp;TRIM(SUBSTITUTE(SUBSTITUTE(SUBSTITUTE(SUBSTITUTE(SUBSTITUTE(SUBSTITUTE(SUBSTITUTE(SUBSTITUTE(SUBSTITUTE(SUBSTITUTE(SUBSTITUTE(SUBSTITUTE(SUBSTITUTE(SUBSTITUTE(SUBSTITUTE(SUBSTITUTE(SUBSTITUTE(SUBSTITUTE(SUBSTITUTE(SUBSTITUTE(SUBSTITUTE(SUBSTITUTE(SUBSTITUTE(SUBSTITUTE(LOWER(AE64&amp;""),CHAR(10)," "),CHAR(13)," "),CHAR(9)," "),CHAR(160)," "),"."," "),","," "),"-"," "),"/"," "),"("," "),")"," "),":"," "),";"," "),"_"," "),"–"," "),"?"," "),"!"," "),"*"," "),"["," "),"]"," "),"'"," "),"#"," "),"+"," "),"&amp;"," "),"\"," "))&amp;" "</f>
        <v>  </v>
      </c>
      <c r="CE64" s="68" t="n">
        <f aca="false">IFERROR(IF(AND(LEN(AU64)&gt;0,LEN(AU64)=LEN(AX64),OR(TRIM(MID(SUBSTITUTE(TRIM(CC64)," ",REPT(" ",60)),1,60))="",ISNUMBER(SEARCH(" "&amp;TRIM(MID(SUBSTITUTE(TRIM(CC64)," ",REPT(" ",60)),1,60))&amp;" ",CD64))),OR(TRIM(MID(SUBSTITUTE(TRIM(CC64)," ",REPT(" ",60)),61,60))="",ISNUMBER(SEARCH(" "&amp;TRIM(MID(SUBSTITUTE(TRIM(CC64)," ",REPT(" ",60)),61,60))&amp;" ",CD64))),OR(TRIM(MID(SUBSTITUTE(TRIM(CC64)," ",REPT(" ",60)),121,60))="",ISNUMBER(SEARCH(" "&amp;TRIM(MID(SUBSTITUTE(TRIM(CC64)," ",REPT(" ",60)),121,60))&amp;" ",CD64)))),1,0),0)</f>
        <v>0</v>
      </c>
      <c r="CG64" s="68" t="n">
        <f aca="false">IFERROR(LEN(SUBSTITUTE(BF64," ",""))-SUMPRODUCT((LEN(BF64)-LEN(SUBSTITUTE(BF64," "&amp;L_NAFiller&amp;" "," ")))/(LEN(L_NAFiller)+1)*LEN(L_NAFiller)),0)</f>
        <v>0</v>
      </c>
    </row>
    <row r="65" customFormat="false" ht="39.75" hidden="false" customHeight="true" outlineLevel="0" collapsed="false">
      <c r="A65" s="57" t="s">
        <v>547</v>
      </c>
      <c r="B65" s="57" t="s">
        <v>198</v>
      </c>
      <c r="C65" s="57" t="str">
        <f aca="false">Flights!$F$6</f>
        <v>MH0727</v>
      </c>
      <c r="D65" s="58" t="n">
        <f aca="false">Flights!$D$6</f>
        <v>46304</v>
      </c>
      <c r="E65" s="57" t="str">
        <f aca="false">Flights!$G$6&amp;"-"&amp;Flights!$H$6</f>
        <v>KUL-CGK</v>
      </c>
      <c r="F65" s="57" t="str">
        <f aca="false">Flights!$K$6</f>
        <v>BC</v>
      </c>
      <c r="G65" s="57" t="s">
        <v>459</v>
      </c>
      <c r="H65" s="57" t="s">
        <v>460</v>
      </c>
      <c r="I65" s="57" t="s">
        <v>499</v>
      </c>
      <c r="J65" s="57" t="s">
        <v>548</v>
      </c>
      <c r="K65" s="67" t="s">
        <v>519</v>
      </c>
      <c r="L65" s="67" t="s">
        <v>520</v>
      </c>
      <c r="M65" s="67" t="s">
        <v>451</v>
      </c>
      <c r="N65" s="67" t="s">
        <v>383</v>
      </c>
      <c r="O65" s="67" t="s">
        <v>549</v>
      </c>
      <c r="P65" s="57" t="s">
        <v>187</v>
      </c>
      <c r="Q65" s="59" t="n">
        <f aca="false">ROUND((Flights!$AF$6)*1440,0)/1440</f>
        <v>46304.5763888889</v>
      </c>
      <c r="R65" s="59" t="n">
        <f aca="false">Q65+(IF(AND(INDEX(TZ_DSTS,MATCH(P65,TZ_STN,0))&lt;&gt;"",Q65&gt;=INDEX(TZ_DSTS,MATCH(P65,TZ_STN,0)),Q65&lt;INDEX(TZ_DSTE,MATCH(P65,TZ_STN,0))),INDEX(TZ_DST,MATCH(P65,TZ_STN,0)),INDEX(TZ_STD,MATCH(P65,TZ_STN,0))))/24</f>
        <v>46304.9097222222</v>
      </c>
      <c r="S65" s="60"/>
      <c r="T65" s="60"/>
      <c r="U65" s="60"/>
      <c r="V65" s="60"/>
      <c r="W65" s="61"/>
      <c r="X65" s="60"/>
      <c r="Y65" s="60"/>
      <c r="Z65" s="60"/>
      <c r="AA65" s="60"/>
      <c r="AB65" s="60"/>
      <c r="AC65" s="60"/>
      <c r="AD65" s="66"/>
      <c r="AE65" s="60"/>
      <c r="AF65" s="61" t="str">
        <f aca="false">IF(AND(ISNUMBER(X65),ISNUMBER(Y65)),Y65-X65,"")</f>
        <v/>
      </c>
      <c r="AG65" s="62" t="str">
        <f aca="false">IF(ISNUMBER(AD65),AD65-(IF(AND(INDEX(TZ_DSTS,MATCH(P65,TZ_STN,0))&lt;&gt;"",(AD65-INDEX(TZ_STD,MATCH(P65,TZ_STN,0))/24)&gt;=INDEX(TZ_DSTS,MATCH(P65,TZ_STN,0)),(AD65-INDEX(TZ_STD,MATCH(P65,TZ_STN,0))/24)&lt;INDEX(TZ_DSTE,MATCH(P65,TZ_STN,0))),INDEX(TZ_DST,MATCH(P65,TZ_STN,0)),INDEX(TZ_STD,MATCH(P65,TZ_STN,0))))/24,"")</f>
        <v/>
      </c>
      <c r="AH65" s="65" t="str">
        <f aca="false">IFERROR(IF(N65="N/A – rule",IF(OR(TRIM(U65)="",TRIM(U65)="N/A",TRIM(U65)="Not started"),"N/A – RULE","INVALID – this check does not apply to this aircraft: clear the status (or correct the fleet on Flights)"),IF(TRIM(U65)="N/A",IF(AT65=0,"INVALID – N/A not permitted for this check",IF(AND(TRIM(AB65)&lt;&gt;"",TRIM(AB65)&lt;&gt;"Closed"),"INVALID – corrective action still open",IF(AND(NOT(OR(LEN(AZ65)&lt;15,ISNUMBER(MATCH(AZ65,L_Placeholder,0)))),BK65=0,CG65&gt;=8,NOT(OR(LEN(AU65)&lt;2,ISNUMBER(MATCH(AU65,L_Placeholder,0)))),BR65&gt;=3,NOT(OR(LEN(AX65)&lt;2,ISNUMBER(MATCH(AX65,L_Placeholder,0)))),BS65&gt;=3,TRIM(AE65)&lt;&gt;TRIM(T65),AX65&lt;&gt;AU65,CE65=0),"N/A – JUSTIFIED","INVALID – N/A needs a real, settled reason (not 'not applicable' / 'as above' / TBC), a named PIC and a different named verifier"))),IF(OR(TRIM(U65)="Pass",TRIM(U65)="Pass after CA"),IF(NOT(ISNUMBER(AD65)),"INVALID – completion time missing",IF(OR(OR(LEN(AU65)&lt;2,ISNUMBER(MATCH(AU65,L_Placeholder,0))),BR65&lt;3),"INVALID – PIC missing or not a named person (a role such as QA / CSM is not a name)",IF(OR(LEN(AV65)&lt;2,ISNUMBER(MATCH(AV65,L_Placeholder,0))),"INVALID – result / assessment missing",IF(OR(OR(LEN(AW65)&lt;3,ISNUMBER(MATCH(AW65,L_Placeholder,0))),SUMPRODUCT(--ISNUMBER(SEARCH(" "&amp;L_EvidencePhrase&amp;" ",BD65)))&gt;0,BI65=1),"INVALID – evidence missing, placeholder or not yet on file",IF(ISNA(MATCH(TRIM(S65),L_EvidenceType,0)),"INVALID – choose the evidence type from the list (column S)",IF(BL65=0,"INVALID – evidence ID must be the record's own ID only (e.g. SF-2210, IMG_2231, 1045521); a link / file name needs type 'Link / file path'",IF(OR(OR(LEN(AX65)&lt;2,ISNUMBER(MATCH(AX65,L_Placeholder,0))),BS65&lt;3),"INVALID – verifier missing or not a named person (a role such as QA / CSM is not a name)",IF(OR(AX65=AU65,CE65=1,AND(LEN(AU65)&gt;=4,ISNUMBER(SEARCH(AU65,AX65))),AND(LEN(AX65)&gt;=4,ISNUMBER(SEARCH(AX65,AU65)))),"INVALID – verifier must be a different, named person (not the PIC or a role)",IF(BH65=1,"INVALID – result not yet available (awaiting / TBC)",IF(BG65=1,"INVALID – result describes a problem: record Fail, then Pass after CA (or reword if it is not a problem)",IF(BV65=1,"INVALID – wording says not on board: an on-board confirmation needs the item loaded",IF(AND(AQ65=1,OR(OR(LEN(AY65)&lt;3,ISNUMBER(MATCH(AY65,L_Placeholder,0))),BJ65=1,BQ65=0)),"INVALID – batch ID missing, placeholder or not an ID (e.g. PASB-261008-BC-017)",IF(AND(AR65=1,OR(NOT(ISNUMBER(X65)),NOT(ISNUMBER(Y65)))),"INVALID – expected/actual qty missing",IF(AND(AR65=1,OR(X65&lt;=0,Y65&lt;0)),"INVALID – expected qty must be above 0 and actual not negative",IF(AH53="N/A – JUSTIFIED","INVALID – preparation row F02-T12-14 is N/A",IF(AND(AR65=1,ISNUMBER(X53),X65&lt;&gt;X53,TRIM(U65)&lt;&gt;"Pass after CA"),"INVALID – expected qty differs from preparation check F02-T12-14: record the load change as a corrective action (Pass after CA)",IF(BB65&lt;&gt;"",BB65,IF(AND(AS65=1,Documents!$J$6&lt;&gt;"ON FILE"),"INVALID – GLD not on file (Documents sheet)",IF(AND(AS65=2,Documents!$O$6&lt;&gt;"ON FILE"),"INVALID – menu checklist not on file (Documents sheet)",IF(AND(AS65=3,NOT(ISNUMBER(Flights!$AX$6))),"INVALID – enter carrying flight KUL departure (Flights AX)",IF(AND(AS65=3,OR(Flights!$AZ$6&gt;Flights!$AA$6,Flights!$AX$6&lt;Flights!$AA$6-3)),"INVALID – carrying flight (Flights AX) cannot arrive before this leg's STD, or is over 3 days early",IF(AG65&gt;AsOfUTC,"INVALID – completion time is in the future",IF(AND(ISNUMBER(BY65),AG65&lt;BY65),IF(H65="Physical uplift","INVALID – before uplift window (cannot confirm loading)","INVALID – before valid window"),IF(AG65&gt;Flights!$AA$6,"INVALID – completed after departure (cannot establish readiness)",IF(AND(H65="Preparation",AG65&gt;=IF(ISNUMBER(Flights!$BA$6),MIN(Flights!$BA$6,Flights!$AA$6),Flights!$AA$6)),"INVALID – completed after loading / departure (cannot establish readiness)",IF(AND(H65="Physical uplift",AG65&gt;Q65),"INVALID – recorded after the loading flight departed",IF(AG65&gt;Q65,"COMPLETE – LATE","COMPLETE"))))))))))))))))))))))))))),IF(TRIM(U65)="Fail","FAIL – DISCREPANCY",IF(AND(TRIM(U65)&lt;&gt;"",TRIM(U65)&lt;&gt;"Not started",TRIM(U65)&lt;&gt;"In progress"),"INVALID – unrecognised status (use the list)",IF(AsOfUTC&gt;Q65,"OVERDUE",IF(N65="Clarification required","OPEN – CLARIFICATION","OPEN"))))))),"INVALID – error value in an input cell")</f>
        <v>OPEN</v>
      </c>
      <c r="AI65" s="61" t="n">
        <f aca="false">IF(OR(AH65="N/A – RULE",AH65="N/A – JUSTIFIED"),0,1)</f>
        <v>1</v>
      </c>
      <c r="AJ65" s="61" t="n">
        <f aca="false">IF(LEFT(AH65,8)="COMPLETE",1,0)</f>
        <v>0</v>
      </c>
      <c r="AK65" s="61" t="n">
        <f aca="false">IF(AND(AI65=1,AJ65=0,AsOfUTC&gt;Q65),1,0)</f>
        <v>0</v>
      </c>
      <c r="AL65" s="61" t="n">
        <f aca="false">IFERROR(IF(AND(AI65=1,OR(TRIM(U65)="Fail",AND(TRIM(AB65)&lt;&gt;"",TRIM(AB65)&lt;&gt;"Closed"),AND(ISNUMBER(AF65),AF65&lt;&gt;0,TRIM(U65)&lt;&gt;"Pass after CA"))),1,0),1)</f>
        <v>0</v>
      </c>
      <c r="AM65" s="61" t="n">
        <f aca="false">IF(LEFT(AH65,7)="INVALID",1,0)</f>
        <v>0</v>
      </c>
      <c r="AN65" s="61" t="n">
        <f aca="false">IF(AND(N65="Clarification required",AI65=1,AJ65=0),1,0)</f>
        <v>0</v>
      </c>
      <c r="AO65" s="61" t="str">
        <f aca="false">IF(AK65=1,SUM(AK$5:AK65),"")</f>
        <v/>
      </c>
      <c r="AP65" s="61" t="str">
        <f aca="false">IF(AL65=1,SUM(AL$5:AL65),"")</f>
        <v/>
      </c>
      <c r="AQ65" s="61" t="n">
        <v>0</v>
      </c>
      <c r="AR65" s="61" t="n">
        <v>0</v>
      </c>
      <c r="AS65" s="61" t="n">
        <v>0</v>
      </c>
      <c r="AT65" s="61" t="n">
        <v>0</v>
      </c>
      <c r="AU65" s="61" t="str">
        <f aca="false">SUBSTITUTE(SUBSTITUTE(SUBSTITUTE(SUBSTITUTE(SUBSTITUTE(SUBSTITUTE(SUBSTITUTE(SUBSTITUTE(SUBSTITUTE(SUBSTITUTE(SUBSTITUTE(SUBSTITUTE(SUBSTITUTE(SUBSTITUTE(SUBSTITUTE(SUBSTITUTE(LOWER(T65&amp;""),CHAR(10),""),CHAR(13),""),CHAR(9),""),CHAR(160),"")," ",""),".",""),"-",""),"/",""),"?",""),"_",""),",",""),"[",""),"]",""),"(",""),")",""),"*","")</f>
        <v/>
      </c>
      <c r="AV65" s="61" t="str">
        <f aca="false">SUBSTITUTE(SUBSTITUTE(SUBSTITUTE(SUBSTITUTE(SUBSTITUTE(SUBSTITUTE(SUBSTITUTE(SUBSTITUTE(SUBSTITUTE(SUBSTITUTE(SUBSTITUTE(SUBSTITUTE(SUBSTITUTE(SUBSTITUTE(SUBSTITUTE(SUBSTITUTE(LOWER(V65&amp;""),CHAR(10),""),CHAR(13),""),CHAR(9),""),CHAR(160),"")," ",""),".",""),"-",""),"/",""),"?",""),"_",""),",",""),"[",""),"]",""),"(",""),")",""),"*","")</f>
        <v/>
      </c>
      <c r="AW65" s="61" t="str">
        <f aca="false">SUBSTITUTE(SUBSTITUTE(SUBSTITUTE(SUBSTITUTE(SUBSTITUTE(SUBSTITUTE(SUBSTITUTE(SUBSTITUTE(SUBSTITUTE(SUBSTITUTE(SUBSTITUTE(SUBSTITUTE(SUBSTITUTE(SUBSTITUTE(SUBSTITUTE(SUBSTITUTE(LOWER(Z65&amp;""),CHAR(10),""),CHAR(13),""),CHAR(9),""),CHAR(160),"")," ",""),".",""),"-",""),"/",""),"?",""),"_",""),",",""),"[",""),"]",""),"(",""),")",""),"*","")</f>
        <v/>
      </c>
      <c r="AX65" s="61" t="str">
        <f aca="false">SUBSTITUTE(SUBSTITUTE(SUBSTITUTE(SUBSTITUTE(SUBSTITUTE(SUBSTITUTE(SUBSTITUTE(SUBSTITUTE(SUBSTITUTE(SUBSTITUTE(SUBSTITUTE(SUBSTITUTE(SUBSTITUTE(SUBSTITUTE(SUBSTITUTE(SUBSTITUTE(LOWER(AE65&amp;""),CHAR(10),""),CHAR(13),""),CHAR(9),""),CHAR(160),"")," ",""),".",""),"-",""),"/",""),"?",""),"_",""),",",""),"[",""),"]",""),"(",""),")",""),"*","")</f>
        <v/>
      </c>
      <c r="AY65" s="61" t="str">
        <f aca="false">SUBSTITUTE(SUBSTITUTE(SUBSTITUTE(SUBSTITUTE(SUBSTITUTE(SUBSTITUTE(SUBSTITUTE(SUBSTITUTE(SUBSTITUTE(SUBSTITUTE(SUBSTITUTE(SUBSTITUTE(SUBSTITUTE(SUBSTITUTE(SUBSTITUTE(SUBSTITUTE(LOWER(W65&amp;""),CHAR(10),""),CHAR(13),""),CHAR(9),""),CHAR(160),"")," ",""),".",""),"-",""),"/",""),"?",""),"_",""),",",""),"[",""),"]",""),"(",""),")",""),"*","")</f>
        <v/>
      </c>
      <c r="AZ65" s="61" t="str">
        <f aca="false">SUBSTITUTE(SUBSTITUTE(SUBSTITUTE(SUBSTITUTE(SUBSTITUTE(SUBSTITUTE(SUBSTITUTE(SUBSTITUTE(SUBSTITUTE(SUBSTITUTE(SUBSTITUTE(SUBSTITUTE(SUBSTITUTE(SUBSTITUTE(SUBSTITUTE(SUBSTITUTE(LOWER(AC65&amp;""),CHAR(10),""),CHAR(13),""),CHAR(9),""),CHAR(160),"")," ",""),".",""),"-",""),"/",""),"?",""),"_",""),",",""),"[",""),"]",""),"(",""),")",""),"*","")</f>
        <v/>
      </c>
      <c r="BA65" s="61" t="str">
        <f aca="false">SUBSTITUTE(SUBSTITUTE(SUBSTITUTE(SUBSTITUTE(SUBSTITUTE(SUBSTITUTE(SUBSTITUTE(SUBSTITUTE(SUBSTITUTE(SUBSTITUTE(SUBSTITUTE(SUBSTITUTE(SUBSTITUTE(SUBSTITUTE(SUBSTITUTE(SUBSTITUTE(LOWER(AA65&amp;""),CHAR(10),""),CHAR(13),""),CHAR(9),""),CHAR(160),"")," ",""),".",""),"-",""),"/",""),"?",""),"_",""),",",""),"[",""),"]",""),"(",""),")",""),"*","")</f>
        <v/>
      </c>
      <c r="BB65" s="61" t="str">
        <f aca="false">IF(AND(TRIM(U65)="Pass",ISNUMBER(AF65)),IF(AF65&lt;&gt;0,"INVALID – qty variance: use Fail or Pass after CA",""),"")&amp;IF(AND(TRIM(U65)="Pass after CA",ISNUMBER(AF65)),IF(AF65&lt;&gt;0,"INVALID – after the corrective action the actual qty must equal expected (update Actual)",""),"")&amp;IF(AND(TRIM(U65)="Pass",TRIM(AB65)&lt;&gt;"",TRIM(AB65)&lt;&gt;"Closed"),"INVALID – corrective action not closed: use Fail, then Pass after CA","")&amp;IF(AND(LEN(BA65)&gt;=2,ISNA(MATCH(LEFT(BA65,255),L_Placeholder,0)),TRIM(AB65)=""),"INVALID – CA status missing for the recorded corrective action","")&amp;IF(AND(TRIM(U65)="Pass after CA",OR(OR(LEN(BA65)&lt;5,ISNUMBER(MATCH(BA65,L_Placeholder,0))),TRIM(AB65)&lt;&gt;"Closed")),"INVALID – corrective action not recorded/closed","")</f>
        <v/>
      </c>
      <c r="BC65" s="61" t="str">
        <f aca="false">" "&amp;TRIM(SUBSTITUTE(SUBSTITUTE(SUBSTITUTE(SUBSTITUTE(SUBSTITUTE(SUBSTITUTE(SUBSTITUTE(SUBSTITUTE(SUBSTITUTE(SUBSTITUTE(SUBSTITUTE(SUBSTITUTE(SUBSTITUTE(SUBSTITUTE(SUBSTITUTE(SUBSTITUTE(SUBSTITUTE(SUBSTITUTE(SUBSTITUTE(SUBSTITUTE(SUBSTITUTE(SUBSTITUTE(SUBSTITUTE(SUBSTITUTE(LOWER(V65&amp;""),CHAR(10)," "),CHAR(13)," "),CHAR(9)," "),CHAR(160)," "),"."," "),","," "),"-"," "),"/"," "),"("," "),")"," "),":"," "),";"," "),"_"," "),"–"," "),"?"," "),"!"," "),"*"," "),"["," "),"]"," "),"'"," "),"#"," "),"+"," "),"&amp;"," "),"\"," "))&amp;" "</f>
        <v>  </v>
      </c>
      <c r="BD65" s="61" t="str">
        <f aca="false">" "&amp;TRIM(SUBSTITUTE(SUBSTITUTE(SUBSTITUTE(SUBSTITUTE(SUBSTITUTE(SUBSTITUTE(SUBSTITUTE(SUBSTITUTE(SUBSTITUTE(SUBSTITUTE(SUBSTITUTE(SUBSTITUTE(SUBSTITUTE(SUBSTITUTE(SUBSTITUTE(SUBSTITUTE(SUBSTITUTE(SUBSTITUTE(SUBSTITUTE(SUBSTITUTE(SUBSTITUTE(SUBSTITUTE(SUBSTITUTE(SUBSTITUTE(LOWER(Z65&amp;""),CHAR(10)," "),CHAR(13)," "),CHAR(9)," "),CHAR(160)," "),"."," "),","," "),"-"," "),"/"," "),"("," "),")"," "),":"," "),";"," "),"_"," "),"–"," "),"?"," "),"!"," "),"*"," "),"["," "),"]"," "),"'"," "),"#"," "),"+"," "),"&amp;"," "),"\"," "))&amp;" "</f>
        <v>  </v>
      </c>
      <c r="BE65" s="61" t="str">
        <f aca="false">" "&amp;TRIM(SUBSTITUTE(SUBSTITUTE(SUBSTITUTE(SUBSTITUTE(SUBSTITUTE(SUBSTITUTE(SUBSTITUTE(SUBSTITUTE(SUBSTITUTE(SUBSTITUTE(SUBSTITUTE(SUBSTITUTE(SUBSTITUTE(SUBSTITUTE(SUBSTITUTE(SUBSTITUTE(SUBSTITUTE(SUBSTITUTE(SUBSTITUTE(SUBSTITUTE(SUBSTITUTE(SUBSTITUTE(SUBSTITUTE(SUBSTITUTE(LOWER(W65&amp;""),CHAR(10)," "),CHAR(13)," "),CHAR(9)," "),CHAR(160)," "),"."," "),","," "),"-"," "),"/"," "),"("," "),")"," "),":"," "),";"," "),"_"," "),"–"," "),"?"," "),"!"," "),"*"," "),"["," "),"]"," "),"'"," "),"#"," "),"+"," "),"&amp;"," "),"\"," "))&amp;" "</f>
        <v>  </v>
      </c>
      <c r="BF65" s="61" t="str">
        <f aca="false">" "&amp;TRIM(SUBSTITUTE(SUBSTITUTE(SUBSTITUTE(SUBSTITUTE(SUBSTITUTE(SUBSTITUTE(SUBSTITUTE(SUBSTITUTE(SUBSTITUTE(SUBSTITUTE(SUBSTITUTE(SUBSTITUTE(SUBSTITUTE(SUBSTITUTE(SUBSTITUTE(SUBSTITUTE(SUBSTITUTE(SUBSTITUTE(SUBSTITUTE(SUBSTITUTE(SUBSTITUTE(SUBSTITUTE(SUBSTITUTE(SUBSTITUTE(LOWER(AC65&amp;""),CHAR(10)," "),CHAR(13)," "),CHAR(9)," "),CHAR(160)," "),"."," "),","," "),"-"," "),"/"," "),"("," "),")"," "),":"," "),";"," "),"_"," "),"–"," "),"?"," "),"!"," "),"*"," "),"["," "),"]"," "),"'"," "),"#"," "),"+"," "),"&amp;"," "),"\"," "))&amp;" "</f>
        <v>  </v>
      </c>
      <c r="BG65" s="61" t="n">
        <f aca="false">IFERROR(IF(AND(TRIM(U65)="Pass",SUMPRODUCT((LEN(BC65)-LEN(SUBSTITUTE(BC65," "&amp;L_ResultBad&amp;" "," ")))/(LEN(L_ResultBad)+1))&gt;SUMPRODUCT((LEN(BC65)-LEN(SUBSTITUTE(BC65," "&amp;L_NegPhrase&amp;" "," ")))/(LEN(L_NegPhrase)+1))),1,0),0)</f>
        <v>0</v>
      </c>
      <c r="BH65" s="61" t="n">
        <f aca="false">IFERROR(IF(SUMPRODUCT((LEN(BC65)-LEN(SUBSTITUTE(BC65," "&amp;L_Pending&amp;" "," ")))/(LEN(L_Pending)+1))&gt;SUMPRODUCT((LEN(BC65)-LEN(SUBSTITUTE(BC65," "&amp;L_PendNeg&amp;" "," ")))/(LEN(L_PendNeg)+1)),1,0),1)</f>
        <v>0</v>
      </c>
      <c r="BI65" s="61" t="n">
        <f aca="false">IFERROR(IF(SUMPRODUCT((LEN(BD65)-LEN(SUBSTITUTE(BD65," "&amp;L_PendStrict&amp;" "," ")))/(LEN(L_PendStrict)+1))&gt;SUMPRODUCT((LEN(BD65)-LEN(SUBSTITUTE(BD65," "&amp;L_PendNeg&amp;" "," ")))/(LEN(L_PendNeg)+1)),1,0),1)</f>
        <v>0</v>
      </c>
      <c r="BJ65" s="61" t="n">
        <f aca="false">IFERROR(IF(SUMPRODUCT((LEN(BE65)-LEN(SUBSTITUTE(BE65," "&amp;L_Pending&amp;" "," ")))/(LEN(L_Pending)+1))&gt;SUMPRODUCT((LEN(BE65)-LEN(SUBSTITUTE(BE65," "&amp;L_PendNeg&amp;" "," ")))/(LEN(L_PendNeg)+1)),1,0),1)</f>
        <v>0</v>
      </c>
      <c r="BK65" s="61" t="n">
        <f aca="false">IFERROR(IF(SUMPRODUCT((LEN(BF65)-LEN(SUBSTITUTE(BF65," "&amp;L_PendStrict&amp;" "," ")))/(LEN(L_PendStrict)+1))&gt;SUMPRODUCT((LEN(BF65)-LEN(SUBSTITUTE(BF65," "&amp;L_PendNeg&amp;" "," ")))/(LEN(L_PendNeg)+1)),1,0),1)</f>
        <v>0</v>
      </c>
      <c r="BL65" s="61" t="n">
        <f aca="false">IF(ISNA(MATCH(TRIM(S65),L_EvidenceType,0)),0,BZ65)</f>
        <v>0</v>
      </c>
      <c r="BM65" s="61" t="str">
        <f aca="false">SUBSTITUTE(SUBSTITUTE(SUBSTITUTE(SUBSTITUTE(SUBSTITUTE(SUBSTITUTE(SUBSTITUTE(SUBSTITUTE(SUBSTITUTE(LOWER(Z65&amp;""),"1","0"),"2","0"),"3","0"),"4","0"),"5","0"),"6","0"),"7","0"),"8","0"),"9","0")</f>
        <v/>
      </c>
      <c r="BN65" s="61" t="str">
        <f aca="false">SUBSTITUTE(SUBSTITUTE(SUBSTITUTE(SUBSTITUTE(SUBSTITUTE(SUBSTITUTE(SUBSTITUTE(SUBSTITUTE(SUBSTITUTE(SUBSTITUTE(SUBSTITUTE(SUBSTITUTE(SUBSTITUTE(SUBSTITUTE(SUBSTITUTE(SUBSTITUTE(SUBSTITUTE(SUBSTITUTE(SUBSTITUTE(SUBSTITUTE(SUBSTITUTE(SUBSTITUTE(SUBSTITUTE(SUBSTITUTE(SUBSTITUTE(BM65,"b","a"),"c","a"),"d","a"),"e","a"),"f","a"),"g","a"),"h","a"),"i","a"),"j","a"),"k","a"),"l","a"),"m","a"),"n","a"),"o","a"),"p","a"),"q","a"),"r","a"),"s","a"),"t","a"),"u","a"),"v","a"),"w","a"),"x","a"),"y","a"),"z","a")</f>
        <v/>
      </c>
      <c r="BO65" s="61" t="str">
        <f aca="false">SUBSTITUTE(SUBSTITUTE(SUBSTITUTE(SUBSTITUTE(SUBSTITUTE(SUBSTITUTE(SUBSTITUTE(SUBSTITUTE(SUBSTITUTE(LOWER(W65&amp;""),"1","0"),"2","0"),"3","0"),"4","0"),"5","0"),"6","0"),"7","0"),"8","0"),"9","0")</f>
        <v/>
      </c>
      <c r="BP65" s="61" t="str">
        <f aca="false">SUBSTITUTE(SUBSTITUTE(SUBSTITUTE(SUBSTITUTE(SUBSTITUTE(SUBSTITUTE(SUBSTITUTE(SUBSTITUTE(SUBSTITUTE(SUBSTITUTE(SUBSTITUTE(SUBSTITUTE(SUBSTITUTE(SUBSTITUTE(SUBSTITUTE(SUBSTITUTE(SUBSTITUTE(SUBSTITUTE(SUBSTITUTE(SUBSTITUTE(SUBSTITUTE(SUBSTITUTE(SUBSTITUTE(SUBSTITUTE(SUBSTITUTE(BO65,"b","a"),"c","a"),"d","a"),"e","a"),"f","a"),"g","a"),"h","a"),"i","a"),"j","a"),"k","a"),"l","a"),"m","a"),"n","a"),"o","a"),"p","a"),"q","a"),"r","a"),"s","a"),"t","a"),"u","a"),"v","a"),"w","a"),"x","a"),"y","a"),"z","a")</f>
        <v/>
      </c>
      <c r="BQ65" s="61" t="n">
        <f aca="false">IFERROR(IF(AND(ISERROR(SEARCH(" mh"," "&amp;LOWER(W65))),ISNA(MATCH(LEFT(TRIM(BP65),255),{"0000a","000a","00a","0000aa","000aa","00aa","0aa","0000aaa","000aaa","00a00","0a00","0000-0000","00:00","a00","a0","00.00.0000","00/00/0000","00-00-0000","0000-00-00","0000/00/00","0000.00.00","00.00.00","00/00/00","00-00-00","0.00.0000","0/00/0000","0-00-0000"},0)),ISNA(MATCH(LEFT(TRIM(CA65),255),{"0000a","000a","00a","0000aa","000aa","00aa","0aa","0000aaa","000aaa","00a00","0a00","0000-0000","00:00","a00","a0","00.00.0000","00/00/0000","00-00-0000","0000-00-00","0000/00/00","0000.00.00","00.00.00","00/00/00","00-00-00","0.00.0000","0/00/0000","0-00-0000"},0)),LEN(CB65)&gt;=3,NOT(OR(SUBSTITUTE(CB65,"0","")="",AND(LEN(CB65)&gt;=4,CB65=REPT(LEFT(CB65),LEN(CB65))),ISNUMBER(MATCH(CB65,{"123","1234","12345","123456","1234567","12345678","0123","01234","012345","98765","987654","54321"},0)),AND(LEN(CB65)=8,LEFT(CB65,3)="202"))),OR(AND((LEN(CA65)-LEN(SUBSTITUTE(CA65,"a","")))&gt;=1,SUMPRODUCT(--ISNUMBER(SEARCH({"a0","a-0","a_0","a/0","a.0","a#0","0a","0-a","0_a","0/a"},BP65)))&gt;0),ISNUMBER(SEARCH("000000",BP65)))),1,0),0)</f>
        <v>0</v>
      </c>
      <c r="BR65" s="61" t="n">
        <f aca="false">IFERROR(LEN(SUBSTITUTE(CC65," ",""))-SUMPRODUCT((LEN(CC65)-LEN(SUBSTITUTE(CC65," "&amp;L_Role&amp;" "," ")))/(LEN(L_Role)+1)*LEN(L_Role)),0)</f>
        <v>0</v>
      </c>
      <c r="BS65" s="61" t="n">
        <f aca="false">IFERROR(LEN(SUBSTITUTE(CD65," ",""))-SUMPRODUCT((LEN(CD65)-LEN(SUBSTITUTE(CD65," "&amp;L_Role&amp;" "," ")))/(LEN(L_Role)+1)*LEN(L_Role)),0)</f>
        <v>0</v>
      </c>
      <c r="BT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revision",""),"version",""),"jan",""),"feb",""),"mar",""),"apr",""),"may",""),"jun",""),"jul",""),"aug",""),"sep",""),"oct",""),"nov",""),"dec",""),"utc",""),"gmt",""),"myt",""),"bst",""),"rev",""),"ver",""),"b","a"),"c","a"),"d","a"),"e","a"),"f","a"),"g","a"),"h","a"),"i","a"),"j","a"),"k","a"),"l","a"),"m","a"),"n","a"),"o","a"),"p","a"),"q","a"),"r","a"),"s","a"),"t","a"),"u","a"),"v","a"),"w","a"),"x","a"),"y","a"),"z","a")</f>
        <v/>
      </c>
      <c r="BU65" s="61" t="str">
        <f aca="false">SUBSTITUTE(SUBSTITUTE(SUBSTITUTE(SUBSTITUTE(SUBSTITUTE(SUBSTITUTE(SUBSTITUTE(SUBSTITUTE(SUBSTITUTE(SUBSTITUTE(LEFT(BM65,FIND("0",BM65&amp;"0")-1),"-",""),"_",""),"/",""),".",""),"#",""),"\\",""),":","")," ",""),"(",""),")","")</f>
        <v/>
      </c>
      <c r="BV65" s="61" t="n">
        <f aca="false">IFERROR(IF(OR(SUMPRODUCT((LEN(BC65)-LEN(SUBSTITUTE(BC65," "&amp;L_NotLoaded&amp;" "," ")))/(LEN(L_NotLoaded)+1))&gt;SUMPRODUCT((LEN(BC65)-LEN(SUBSTITUTE(BC65," "&amp;L_NotLoadedNeg&amp;" "," ")))/(LEN(L_NotLoadedNeg)+1)),SUMPRODUCT((LEN(BD65)-LEN(SUBSTITUTE(BD65," "&amp;L_NotLoaded&amp;" "," ")))/(LEN(L_NotLoaded)+1))&gt;SUMPRODUCT((LEN(BD65)-LEN(SUBSTITUTE(BD65," "&amp;L_NotLoadedNeg&amp;" "," ")))/(LEN(L_NotLoadedNeg)+1))),1,0),0)</f>
        <v>0</v>
      </c>
      <c r="BW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amp;""),"a",""),"b",""),"c",""),"d",""),"e",""),"f",""),"g",""),"h",""),"i",""),"j",""),"k",""),"l",""),"m",""),"n",""),"o",""),"p",""),"q",""),"r",""),"s",""),"t",""),"u",""),"v",""),"w",""),"x",""),"y",""),"z",""),"-",""),"_",""),"/",""),".",""),"#",""),"\\",""),":","")," ",""),"(",""),")","")</f>
        <v/>
      </c>
      <c r="BX65" s="61" t="str">
        <f aca="false">SUBSTITUTE(SUBSTITUTE(SUBSTITUTE(SUBSTITUTE(SUBSTITUTE(SUBSTITUTE(SUBSTITUTE(SUBSTITUTE(SUBSTITUTE(SUBSTITUTE(SUBSTITUTE(BM65,"0",""),"-",""),"_",""),"/",""),".",""),"#",""),"\\",""),":","")," ",""),"(",""),")","")</f>
        <v/>
      </c>
      <c r="BY65" s="62" t="n">
        <f aca="false">IF(ISNUMBER(Flights!$AZ$6),MAX(Q65-UpliftWindowH/24,Flights!$AZ$6),Q65-UpliftWindowH/24)</f>
        <v>46304.3263888889</v>
      </c>
      <c r="BZ65" s="61" t="n">
        <f aca="false">IFERROR(IF(IF(TRIM(S65)="Link / file path",AND(LEN(TRIM(Z65))&gt;=5,SUMPRODUCT(--ISNUMBER(SEARCH({"http","www.","\\",":\",".pdf",".jpg",".jpeg",".png",".heic",".xls",".doc",".msg",".eml",".ppt",".txt",".zip"},Z65)))&gt;0),AND(ISERROR(FIND(" ",TRIM(Z65))),NOT(OR(SUMPRODUCT(--ISNUMBER(FIND({",",";","&amp;","+"},Z65)))&gt;0,SUMPRODUCT(--ISNUMBER(SEARCH({"0/aa","0\\aa"},BN65)))&gt;0)),NOT(SUMPRODUCT(--ISNUMBER(SEARCH({"http","www.","\\",":\",".pdf",".jpg",".jpeg",".png",".heic",".xls",".doc",".msg",".eml",".ppt",".txt",".zip"},Z65)))&gt;0),NOT(LOWER(TRIM(Z65))=LOWER(Flights!$F$6)),ISNA(MATCH(BU65,{"mh","rev","revision","ver","version","v","r","a","b","seat","tray","row","gate","bay","stand","page","pg","item","line","no","cart","galley","flight","flt","table","box","bag","oven","etd","eta","std","sta","atd","ata","qty","pax","x","time","tel","ph","mob","day","wk","week","utc","gmt","myt","lt"},0)),NOT(OR(ISNUMBER(MATCH(LEFT(BN65,255),{"0000a","000a","00a","0000aa","000aa","00aa","0aa","0000aaa","000aaa","00a00","0a00","0000-0000","00:00","a00","a0","00.00.0000","00/00/0000","00-00-0000","0000-00-00","0000/00/00","0000.00.00","00.00.00","00/00/00","00-00-00","0.00.0000","0/00/0000","0-00-0000"},0)),ISNUMBER(MATCH(LEFT(BT65,255),{"0000a","000a","00a","0000aa","000aa","00aa","0aa","0000aaa","000aaa","00a00","0a00","0000-0000","00:00","a00","a0","00.00.0000","00/00/0000","00-00-0000","0000-00-00","0000/00/00","0000.00.00","00.00.00","00/00/00","00-00-00","0.00.0000","0/00/0000","0-00-0000"},0)))),NOT(OR(AND(BW65&lt;&gt;"",SUBSTITUTE(BW65,"0","")=""),AND(LEN(BW65)&gt;=4,BW65=REPT(LEFT(BW65),LEN(BW65))),ISNUMBER(MATCH(BW65,{"123","1234","12345","123456","1234567","12345678","0123","01234","012345","98765","987654","54321"},0)),ISNUMBER(MATCH(BX65,{"x","xx","xxx","xxxx","xxxxx","abc","abcd","nil","na","nan","test","tbc","tba","tbd","dummy","sample","example","eg","zz","zzz","none","null","xyz","qwe","asd","id","ref"},0)),AND(LEN(BW65)=8,BX65="",OR(LEFT(BW65,3)="202",ISNUMBER(MATCH(RIGHT(BW65,4),{"2025","2026","2027"},0)))))),OR(AND((LEN(BT65)-LEN(SUBSTITUTE(BT65,"a","")))&gt;=1,(LEN(BN65)-LEN(SUBSTITUTE(BN65,"0","")))&gt;=2,SUMPRODUCT(--ISNUMBER(SEARCH({"a0","a-0","a_0","a/0","a.0","a#0","0a","0-a","0_a","0/a"},BN65)))&gt;0),AND((LEN(BN65)-LEN(SUBSTITUTE(BN65,"a","")))=0,(LEN(BN65)-LEN(SUBSTITUTE(BN65,"0","")))&gt;=5)))),1,0),0)</f>
        <v>0</v>
      </c>
      <c r="CA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revision",""),"version",""),"jan",""),"feb",""),"mar",""),"apr",""),"may",""),"jun",""),"jul",""),"aug",""),"sep",""),"oct",""),"nov",""),"dec",""),"utc",""),"gmt",""),"myt",""),"bst",""),"rev",""),"ver",""),"b","a"),"c","a"),"d","a"),"e","a"),"f","a"),"g","a"),"h","a"),"i","a"),"j","a"),"k","a"),"l","a"),"m","a"),"n","a"),"o","a"),"p","a"),"q","a"),"r","a"),"s","a"),"t","a"),"u","a"),"v","a"),"w","a"),"x","a"),"y","a"),"z","a")</f>
        <v/>
      </c>
      <c r="CB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amp;""),"a",""),"b",""),"c",""),"d",""),"e",""),"f",""),"g",""),"h",""),"i",""),"j",""),"k",""),"l",""),"m",""),"n",""),"o",""),"p",""),"q",""),"r",""),"s",""),"t",""),"u",""),"v",""),"w",""),"x",""),"y",""),"z",""),"-",""),"_",""),"/",""),".",""),"#",""),"\\",""),":","")," ",""),"(",""),")","")</f>
        <v/>
      </c>
      <c r="CC65" s="0" t="str">
        <f aca="false">" "&amp;TRIM(SUBSTITUTE(SUBSTITUTE(SUBSTITUTE(SUBSTITUTE(SUBSTITUTE(SUBSTITUTE(SUBSTITUTE(SUBSTITUTE(SUBSTITUTE(SUBSTITUTE(SUBSTITUTE(SUBSTITUTE(SUBSTITUTE(SUBSTITUTE(SUBSTITUTE(SUBSTITUTE(SUBSTITUTE(SUBSTITUTE(SUBSTITUTE(SUBSTITUTE(SUBSTITUTE(SUBSTITUTE(SUBSTITUTE(SUBSTITUTE(LOWER(T65&amp;""),CHAR(10)," "),CHAR(13)," "),CHAR(9)," "),CHAR(160)," "),"."," "),","," "),"-"," "),"/"," "),"("," "),")"," "),":"," "),";"," "),"_"," "),"–"," "),"?"," "),"!"," "),"*"," "),"["," "),"]"," "),"'"," "),"#"," "),"+"," "),"&amp;"," "),"\"," "))&amp;" "</f>
        <v>  </v>
      </c>
      <c r="CD65" s="0" t="str">
        <f aca="false">" "&amp;TRIM(SUBSTITUTE(SUBSTITUTE(SUBSTITUTE(SUBSTITUTE(SUBSTITUTE(SUBSTITUTE(SUBSTITUTE(SUBSTITUTE(SUBSTITUTE(SUBSTITUTE(SUBSTITUTE(SUBSTITUTE(SUBSTITUTE(SUBSTITUTE(SUBSTITUTE(SUBSTITUTE(SUBSTITUTE(SUBSTITUTE(SUBSTITUTE(SUBSTITUTE(SUBSTITUTE(SUBSTITUTE(SUBSTITUTE(SUBSTITUTE(LOWER(AE65&amp;""),CHAR(10)," "),CHAR(13)," "),CHAR(9)," "),CHAR(160)," "),"."," "),","," "),"-"," "),"/"," "),"("," "),")"," "),":"," "),";"," "),"_"," "),"–"," "),"?"," "),"!"," "),"*"," "),"["," "),"]"," "),"'"," "),"#"," "),"+"," "),"&amp;"," "),"\"," "))&amp;" "</f>
        <v>  </v>
      </c>
      <c r="CE65" s="68" t="n">
        <f aca="false">IFERROR(IF(AND(LEN(AU65)&gt;0,LEN(AU65)=LEN(AX65),OR(TRIM(MID(SUBSTITUTE(TRIM(CC65)," ",REPT(" ",60)),1,60))="",ISNUMBER(SEARCH(" "&amp;TRIM(MID(SUBSTITUTE(TRIM(CC65)," ",REPT(" ",60)),1,60))&amp;" ",CD65))),OR(TRIM(MID(SUBSTITUTE(TRIM(CC65)," ",REPT(" ",60)),61,60))="",ISNUMBER(SEARCH(" "&amp;TRIM(MID(SUBSTITUTE(TRIM(CC65)," ",REPT(" ",60)),61,60))&amp;" ",CD65))),OR(TRIM(MID(SUBSTITUTE(TRIM(CC65)," ",REPT(" ",60)),121,60))="",ISNUMBER(SEARCH(" "&amp;TRIM(MID(SUBSTITUTE(TRIM(CC65)," ",REPT(" ",60)),121,60))&amp;" ",CD65)))),1,0),0)</f>
        <v>0</v>
      </c>
      <c r="CG65" s="68" t="n">
        <f aca="false">IFERROR(LEN(SUBSTITUTE(BF65," ",""))-SUMPRODUCT((LEN(BF65)-LEN(SUBSTITUTE(BF65," "&amp;L_NAFiller&amp;" "," ")))/(LEN(L_NAFiller)+1)*LEN(L_NAFiller)),0)</f>
        <v>0</v>
      </c>
    </row>
    <row r="66" customFormat="false" ht="39.75" hidden="false" customHeight="true" outlineLevel="0" collapsed="false">
      <c r="A66" s="57" t="s">
        <v>550</v>
      </c>
      <c r="B66" s="57" t="s">
        <v>198</v>
      </c>
      <c r="C66" s="57" t="str">
        <f aca="false">Flights!$F$6</f>
        <v>MH0727</v>
      </c>
      <c r="D66" s="58" t="n">
        <f aca="false">Flights!$D$6</f>
        <v>46304</v>
      </c>
      <c r="E66" s="57" t="str">
        <f aca="false">Flights!$G$6&amp;"-"&amp;Flights!$H$6</f>
        <v>KUL-CGK</v>
      </c>
      <c r="F66" s="57" t="str">
        <f aca="false">Flights!$K$6</f>
        <v>BC</v>
      </c>
      <c r="G66" s="57" t="s">
        <v>459</v>
      </c>
      <c r="H66" s="57" t="s">
        <v>460</v>
      </c>
      <c r="I66" s="57" t="s">
        <v>499</v>
      </c>
      <c r="J66" s="57" t="s">
        <v>551</v>
      </c>
      <c r="K66" s="67" t="s">
        <v>501</v>
      </c>
      <c r="L66" s="67" t="s">
        <v>524</v>
      </c>
      <c r="M66" s="67" t="s">
        <v>451</v>
      </c>
      <c r="N66" s="67" t="s">
        <v>383</v>
      </c>
      <c r="O66" s="67"/>
      <c r="P66" s="57" t="s">
        <v>187</v>
      </c>
      <c r="Q66" s="59" t="n">
        <f aca="false">ROUND((Flights!$AF$6)*1440,0)/1440</f>
        <v>46304.5763888889</v>
      </c>
      <c r="R66" s="59" t="n">
        <f aca="false">Q66+(IF(AND(INDEX(TZ_DSTS,MATCH(P66,TZ_STN,0))&lt;&gt;"",Q66&gt;=INDEX(TZ_DSTS,MATCH(P66,TZ_STN,0)),Q66&lt;INDEX(TZ_DSTE,MATCH(P66,TZ_STN,0))),INDEX(TZ_DST,MATCH(P66,TZ_STN,0)),INDEX(TZ_STD,MATCH(P66,TZ_STN,0))))/24</f>
        <v>46304.9097222222</v>
      </c>
      <c r="S66" s="60"/>
      <c r="T66" s="60"/>
      <c r="U66" s="60"/>
      <c r="V66" s="60"/>
      <c r="W66" s="61"/>
      <c r="X66" s="60"/>
      <c r="Y66" s="60"/>
      <c r="Z66" s="60"/>
      <c r="AA66" s="60"/>
      <c r="AB66" s="60"/>
      <c r="AC66" s="60"/>
      <c r="AD66" s="66"/>
      <c r="AE66" s="60"/>
      <c r="AF66" s="61" t="str">
        <f aca="false">IF(AND(ISNUMBER(X66),ISNUMBER(Y66)),Y66-X66,"")</f>
        <v/>
      </c>
      <c r="AG66" s="62" t="str">
        <f aca="false">IF(ISNUMBER(AD66),AD66-(IF(AND(INDEX(TZ_DSTS,MATCH(P66,TZ_STN,0))&lt;&gt;"",(AD66-INDEX(TZ_STD,MATCH(P66,TZ_STN,0))/24)&gt;=INDEX(TZ_DSTS,MATCH(P66,TZ_STN,0)),(AD66-INDEX(TZ_STD,MATCH(P66,TZ_STN,0))/24)&lt;INDEX(TZ_DSTE,MATCH(P66,TZ_STN,0))),INDEX(TZ_DST,MATCH(P66,TZ_STN,0)),INDEX(TZ_STD,MATCH(P66,TZ_STN,0))))/24,"")</f>
        <v/>
      </c>
      <c r="AH66" s="65" t="str">
        <f aca="false">IFERROR(IF(N66="N/A – rule",IF(OR(TRIM(U66)="",TRIM(U66)="N/A",TRIM(U66)="Not started"),"N/A – RULE","INVALID – this check does not apply to this aircraft: clear the status (or correct the fleet on Flights)"),IF(TRIM(U66)="N/A",IF(AT66=0,"INVALID – N/A not permitted for this check",IF(AND(TRIM(AB66)&lt;&gt;"",TRIM(AB66)&lt;&gt;"Closed"),"INVALID – corrective action still open",IF(AND(NOT(OR(LEN(AZ66)&lt;15,ISNUMBER(MATCH(AZ66,L_Placeholder,0)))),BK66=0,CG66&gt;=8,NOT(OR(LEN(AU66)&lt;2,ISNUMBER(MATCH(AU66,L_Placeholder,0)))),BR66&gt;=3,NOT(OR(LEN(AX66)&lt;2,ISNUMBER(MATCH(AX66,L_Placeholder,0)))),BS66&gt;=3,TRIM(AE66)&lt;&gt;TRIM(T66),AX66&lt;&gt;AU66,CE66=0),"N/A – JUSTIFIED","INVALID – N/A needs a real, settled reason (not 'not applicable' / 'as above' / TBC), a named PIC and a different named verifier"))),IF(OR(TRIM(U66)="Pass",TRIM(U66)="Pass after CA"),IF(NOT(ISNUMBER(AD66)),"INVALID – completion time missing",IF(OR(OR(LEN(AU66)&lt;2,ISNUMBER(MATCH(AU66,L_Placeholder,0))),BR66&lt;3),"INVALID – PIC missing or not a named person (a role such as QA / CSM is not a name)",IF(OR(LEN(AV66)&lt;2,ISNUMBER(MATCH(AV66,L_Placeholder,0))),"INVALID – result / assessment missing",IF(OR(OR(LEN(AW66)&lt;3,ISNUMBER(MATCH(AW66,L_Placeholder,0))),SUMPRODUCT(--ISNUMBER(SEARCH(" "&amp;L_EvidencePhrase&amp;" ",BD66)))&gt;0,BI66=1),"INVALID – evidence missing, placeholder or not yet on file",IF(ISNA(MATCH(TRIM(S66),L_EvidenceType,0)),"INVALID – choose the evidence type from the list (column S)",IF(BL66=0,"INVALID – evidence ID must be the record's own ID only (e.g. SF-2210, IMG_2231, 1045521); a link / file name needs type 'Link / file path'",IF(OR(OR(LEN(AX66)&lt;2,ISNUMBER(MATCH(AX66,L_Placeholder,0))),BS66&lt;3),"INVALID – verifier missing or not a named person (a role such as QA / CSM is not a name)",IF(OR(AX66=AU66,CE66=1,AND(LEN(AU66)&gt;=4,ISNUMBER(SEARCH(AU66,AX66))),AND(LEN(AX66)&gt;=4,ISNUMBER(SEARCH(AX66,AU66)))),"INVALID – verifier must be a different, named person (not the PIC or a role)",IF(BH66=1,"INVALID – result not yet available (awaiting / TBC)",IF(BG66=1,"INVALID – result describes a problem: record Fail, then Pass after CA (or reword if it is not a problem)",IF(BV66=1,"INVALID – wording says not on board: an on-board confirmation needs the item loaded",IF(AND(AQ66=1,OR(OR(LEN(AY66)&lt;3,ISNUMBER(MATCH(AY66,L_Placeholder,0))),BJ66=1,BQ66=0)),"INVALID – batch ID missing, placeholder or not an ID (e.g. PASB-261008-BC-017)",IF(AND(AR66=1,OR(NOT(ISNUMBER(X66)),NOT(ISNUMBER(Y66)))),"INVALID – expected/actual qty missing",IF(AND(AR66=1,OR(X66&lt;=0,Y66&lt;0)),"INVALID – expected qty must be above 0 and actual not negative",IF(AH54="N/A – JUSTIFIED","INVALID – preparation row F02-T12-15 is N/A",IF(AND(AR66=1,ISNUMBER(X54),X66&lt;&gt;X54,TRIM(U66)&lt;&gt;"Pass after CA"),"INVALID – expected qty differs from preparation check F02-T12-15: record the load change as a corrective action (Pass after CA)",IF(BB66&lt;&gt;"",BB66,IF(AND(AS66=1,Documents!$J$6&lt;&gt;"ON FILE"),"INVALID – GLD not on file (Documents sheet)",IF(AND(AS66=2,Documents!$O$6&lt;&gt;"ON FILE"),"INVALID – menu checklist not on file (Documents sheet)",IF(AND(AS66=3,NOT(ISNUMBER(Flights!$AX$6))),"INVALID – enter carrying flight KUL departure (Flights AX)",IF(AND(AS66=3,OR(Flights!$AZ$6&gt;Flights!$AA$6,Flights!$AX$6&lt;Flights!$AA$6-3)),"INVALID – carrying flight (Flights AX) cannot arrive before this leg's STD, or is over 3 days early",IF(AG66&gt;AsOfUTC,"INVALID – completion time is in the future",IF(AND(ISNUMBER(BY66),AG66&lt;BY66),IF(H66="Physical uplift","INVALID – before uplift window (cannot confirm loading)","INVALID – before valid window"),IF(AG66&gt;Flights!$AA$6,"INVALID – completed after departure (cannot establish readiness)",IF(AND(H66="Preparation",AG66&gt;=IF(ISNUMBER(Flights!$BA$6),MIN(Flights!$BA$6,Flights!$AA$6),Flights!$AA$6)),"INVALID – completed after loading / departure (cannot establish readiness)",IF(AND(H66="Physical uplift",AG66&gt;Q66),"INVALID – recorded after the loading flight departed",IF(AG66&gt;Q66,"COMPLETE – LATE","COMPLETE"))))))))))))))))))))))))))),IF(TRIM(U66)="Fail","FAIL – DISCREPANCY",IF(AND(TRIM(U66)&lt;&gt;"",TRIM(U66)&lt;&gt;"Not started",TRIM(U66)&lt;&gt;"In progress"),"INVALID – unrecognised status (use the list)",IF(AsOfUTC&gt;Q66,"OVERDUE",IF(N66="Clarification required","OPEN – CLARIFICATION","OPEN"))))))),"INVALID – error value in an input cell")</f>
        <v>OPEN</v>
      </c>
      <c r="AI66" s="61" t="n">
        <f aca="false">IF(OR(AH66="N/A – RULE",AH66="N/A – JUSTIFIED"),0,1)</f>
        <v>1</v>
      </c>
      <c r="AJ66" s="61" t="n">
        <f aca="false">IF(LEFT(AH66,8)="COMPLETE",1,0)</f>
        <v>0</v>
      </c>
      <c r="AK66" s="61" t="n">
        <f aca="false">IF(AND(AI66=1,AJ66=0,AsOfUTC&gt;Q66),1,0)</f>
        <v>0</v>
      </c>
      <c r="AL66" s="61" t="n">
        <f aca="false">IFERROR(IF(AND(AI66=1,OR(TRIM(U66)="Fail",AND(TRIM(AB66)&lt;&gt;"",TRIM(AB66)&lt;&gt;"Closed"),AND(ISNUMBER(AF66),AF66&lt;&gt;0,TRIM(U66)&lt;&gt;"Pass after CA"))),1,0),1)</f>
        <v>0</v>
      </c>
      <c r="AM66" s="61" t="n">
        <f aca="false">IF(LEFT(AH66,7)="INVALID",1,0)</f>
        <v>0</v>
      </c>
      <c r="AN66" s="61" t="n">
        <f aca="false">IF(AND(N66="Clarification required",AI66=1,AJ66=0),1,0)</f>
        <v>0</v>
      </c>
      <c r="AO66" s="61" t="str">
        <f aca="false">IF(AK66=1,SUM(AK$5:AK66),"")</f>
        <v/>
      </c>
      <c r="AP66" s="61" t="str">
        <f aca="false">IF(AL66=1,SUM(AL$5:AL66),"")</f>
        <v/>
      </c>
      <c r="AQ66" s="61" t="n">
        <v>0</v>
      </c>
      <c r="AR66" s="61" t="n">
        <v>0</v>
      </c>
      <c r="AS66" s="61" t="n">
        <v>0</v>
      </c>
      <c r="AT66" s="61" t="n">
        <v>0</v>
      </c>
      <c r="AU66" s="61" t="str">
        <f aca="false">SUBSTITUTE(SUBSTITUTE(SUBSTITUTE(SUBSTITUTE(SUBSTITUTE(SUBSTITUTE(SUBSTITUTE(SUBSTITUTE(SUBSTITUTE(SUBSTITUTE(SUBSTITUTE(SUBSTITUTE(SUBSTITUTE(SUBSTITUTE(SUBSTITUTE(SUBSTITUTE(LOWER(T66&amp;""),CHAR(10),""),CHAR(13),""),CHAR(9),""),CHAR(160),"")," ",""),".",""),"-",""),"/",""),"?",""),"_",""),",",""),"[",""),"]",""),"(",""),")",""),"*","")</f>
        <v/>
      </c>
      <c r="AV66" s="61" t="str">
        <f aca="false">SUBSTITUTE(SUBSTITUTE(SUBSTITUTE(SUBSTITUTE(SUBSTITUTE(SUBSTITUTE(SUBSTITUTE(SUBSTITUTE(SUBSTITUTE(SUBSTITUTE(SUBSTITUTE(SUBSTITUTE(SUBSTITUTE(SUBSTITUTE(SUBSTITUTE(SUBSTITUTE(LOWER(V66&amp;""),CHAR(10),""),CHAR(13),""),CHAR(9),""),CHAR(160),"")," ",""),".",""),"-",""),"/",""),"?",""),"_",""),",",""),"[",""),"]",""),"(",""),")",""),"*","")</f>
        <v/>
      </c>
      <c r="AW66" s="61" t="str">
        <f aca="false">SUBSTITUTE(SUBSTITUTE(SUBSTITUTE(SUBSTITUTE(SUBSTITUTE(SUBSTITUTE(SUBSTITUTE(SUBSTITUTE(SUBSTITUTE(SUBSTITUTE(SUBSTITUTE(SUBSTITUTE(SUBSTITUTE(SUBSTITUTE(SUBSTITUTE(SUBSTITUTE(LOWER(Z66&amp;""),CHAR(10),""),CHAR(13),""),CHAR(9),""),CHAR(160),"")," ",""),".",""),"-",""),"/",""),"?",""),"_",""),",",""),"[",""),"]",""),"(",""),")",""),"*","")</f>
        <v/>
      </c>
      <c r="AX66" s="61" t="str">
        <f aca="false">SUBSTITUTE(SUBSTITUTE(SUBSTITUTE(SUBSTITUTE(SUBSTITUTE(SUBSTITUTE(SUBSTITUTE(SUBSTITUTE(SUBSTITUTE(SUBSTITUTE(SUBSTITUTE(SUBSTITUTE(SUBSTITUTE(SUBSTITUTE(SUBSTITUTE(SUBSTITUTE(LOWER(AE66&amp;""),CHAR(10),""),CHAR(13),""),CHAR(9),""),CHAR(160),"")," ",""),".",""),"-",""),"/",""),"?",""),"_",""),",",""),"[",""),"]",""),"(",""),")",""),"*","")</f>
        <v/>
      </c>
      <c r="AY66" s="61" t="str">
        <f aca="false">SUBSTITUTE(SUBSTITUTE(SUBSTITUTE(SUBSTITUTE(SUBSTITUTE(SUBSTITUTE(SUBSTITUTE(SUBSTITUTE(SUBSTITUTE(SUBSTITUTE(SUBSTITUTE(SUBSTITUTE(SUBSTITUTE(SUBSTITUTE(SUBSTITUTE(SUBSTITUTE(LOWER(W66&amp;""),CHAR(10),""),CHAR(13),""),CHAR(9),""),CHAR(160),"")," ",""),".",""),"-",""),"/",""),"?",""),"_",""),",",""),"[",""),"]",""),"(",""),")",""),"*","")</f>
        <v/>
      </c>
      <c r="AZ66" s="61" t="str">
        <f aca="false">SUBSTITUTE(SUBSTITUTE(SUBSTITUTE(SUBSTITUTE(SUBSTITUTE(SUBSTITUTE(SUBSTITUTE(SUBSTITUTE(SUBSTITUTE(SUBSTITUTE(SUBSTITUTE(SUBSTITUTE(SUBSTITUTE(SUBSTITUTE(SUBSTITUTE(SUBSTITUTE(LOWER(AC66&amp;""),CHAR(10),""),CHAR(13),""),CHAR(9),""),CHAR(160),"")," ",""),".",""),"-",""),"/",""),"?",""),"_",""),",",""),"[",""),"]",""),"(",""),")",""),"*","")</f>
        <v/>
      </c>
      <c r="BA66" s="61" t="str">
        <f aca="false">SUBSTITUTE(SUBSTITUTE(SUBSTITUTE(SUBSTITUTE(SUBSTITUTE(SUBSTITUTE(SUBSTITUTE(SUBSTITUTE(SUBSTITUTE(SUBSTITUTE(SUBSTITUTE(SUBSTITUTE(SUBSTITUTE(SUBSTITUTE(SUBSTITUTE(SUBSTITUTE(LOWER(AA66&amp;""),CHAR(10),""),CHAR(13),""),CHAR(9),""),CHAR(160),"")," ",""),".",""),"-",""),"/",""),"?",""),"_",""),",",""),"[",""),"]",""),"(",""),")",""),"*","")</f>
        <v/>
      </c>
      <c r="BB66" s="61" t="str">
        <f aca="false">IF(AND(TRIM(U66)="Pass",ISNUMBER(AF66)),IF(AF66&lt;&gt;0,"INVALID – qty variance: use Fail or Pass after CA",""),"")&amp;IF(AND(TRIM(U66)="Pass after CA",ISNUMBER(AF66)),IF(AF66&lt;&gt;0,"INVALID – after the corrective action the actual qty must equal expected (update Actual)",""),"")&amp;IF(AND(TRIM(U66)="Pass",TRIM(AB66)&lt;&gt;"",TRIM(AB66)&lt;&gt;"Closed"),"INVALID – corrective action not closed: use Fail, then Pass after CA","")&amp;IF(AND(LEN(BA66)&gt;=2,ISNA(MATCH(LEFT(BA66,255),L_Placeholder,0)),TRIM(AB66)=""),"INVALID – CA status missing for the recorded corrective action","")&amp;IF(AND(TRIM(U66)="Pass after CA",OR(OR(LEN(BA66)&lt;5,ISNUMBER(MATCH(BA66,L_Placeholder,0))),TRIM(AB66)&lt;&gt;"Closed")),"INVALID – corrective action not recorded/closed","")</f>
        <v/>
      </c>
      <c r="BC66" s="61" t="str">
        <f aca="false">" "&amp;TRIM(SUBSTITUTE(SUBSTITUTE(SUBSTITUTE(SUBSTITUTE(SUBSTITUTE(SUBSTITUTE(SUBSTITUTE(SUBSTITUTE(SUBSTITUTE(SUBSTITUTE(SUBSTITUTE(SUBSTITUTE(SUBSTITUTE(SUBSTITUTE(SUBSTITUTE(SUBSTITUTE(SUBSTITUTE(SUBSTITUTE(SUBSTITUTE(SUBSTITUTE(SUBSTITUTE(SUBSTITUTE(SUBSTITUTE(SUBSTITUTE(LOWER(V66&amp;""),CHAR(10)," "),CHAR(13)," "),CHAR(9)," "),CHAR(160)," "),"."," "),","," "),"-"," "),"/"," "),"("," "),")"," "),":"," "),";"," "),"_"," "),"–"," "),"?"," "),"!"," "),"*"," "),"["," "),"]"," "),"'"," "),"#"," "),"+"," "),"&amp;"," "),"\"," "))&amp;" "</f>
        <v>  </v>
      </c>
      <c r="BD66" s="61" t="str">
        <f aca="false">" "&amp;TRIM(SUBSTITUTE(SUBSTITUTE(SUBSTITUTE(SUBSTITUTE(SUBSTITUTE(SUBSTITUTE(SUBSTITUTE(SUBSTITUTE(SUBSTITUTE(SUBSTITUTE(SUBSTITUTE(SUBSTITUTE(SUBSTITUTE(SUBSTITUTE(SUBSTITUTE(SUBSTITUTE(SUBSTITUTE(SUBSTITUTE(SUBSTITUTE(SUBSTITUTE(SUBSTITUTE(SUBSTITUTE(SUBSTITUTE(SUBSTITUTE(LOWER(Z66&amp;""),CHAR(10)," "),CHAR(13)," "),CHAR(9)," "),CHAR(160)," "),"."," "),","," "),"-"," "),"/"," "),"("," "),")"," "),":"," "),";"," "),"_"," "),"–"," "),"?"," "),"!"," "),"*"," "),"["," "),"]"," "),"'"," "),"#"," "),"+"," "),"&amp;"," "),"\"," "))&amp;" "</f>
        <v>  </v>
      </c>
      <c r="BE66" s="61" t="str">
        <f aca="false">" "&amp;TRIM(SUBSTITUTE(SUBSTITUTE(SUBSTITUTE(SUBSTITUTE(SUBSTITUTE(SUBSTITUTE(SUBSTITUTE(SUBSTITUTE(SUBSTITUTE(SUBSTITUTE(SUBSTITUTE(SUBSTITUTE(SUBSTITUTE(SUBSTITUTE(SUBSTITUTE(SUBSTITUTE(SUBSTITUTE(SUBSTITUTE(SUBSTITUTE(SUBSTITUTE(SUBSTITUTE(SUBSTITUTE(SUBSTITUTE(SUBSTITUTE(LOWER(W66&amp;""),CHAR(10)," "),CHAR(13)," "),CHAR(9)," "),CHAR(160)," "),"."," "),","," "),"-"," "),"/"," "),"("," "),")"," "),":"," "),";"," "),"_"," "),"–"," "),"?"," "),"!"," "),"*"," "),"["," "),"]"," "),"'"," "),"#"," "),"+"," "),"&amp;"," "),"\"," "))&amp;" "</f>
        <v>  </v>
      </c>
      <c r="BF66" s="61" t="str">
        <f aca="false">" "&amp;TRIM(SUBSTITUTE(SUBSTITUTE(SUBSTITUTE(SUBSTITUTE(SUBSTITUTE(SUBSTITUTE(SUBSTITUTE(SUBSTITUTE(SUBSTITUTE(SUBSTITUTE(SUBSTITUTE(SUBSTITUTE(SUBSTITUTE(SUBSTITUTE(SUBSTITUTE(SUBSTITUTE(SUBSTITUTE(SUBSTITUTE(SUBSTITUTE(SUBSTITUTE(SUBSTITUTE(SUBSTITUTE(SUBSTITUTE(SUBSTITUTE(LOWER(AC66&amp;""),CHAR(10)," "),CHAR(13)," "),CHAR(9)," "),CHAR(160)," "),"."," "),","," "),"-"," "),"/"," "),"("," "),")"," "),":"," "),";"," "),"_"," "),"–"," "),"?"," "),"!"," "),"*"," "),"["," "),"]"," "),"'"," "),"#"," "),"+"," "),"&amp;"," "),"\"," "))&amp;" "</f>
        <v>  </v>
      </c>
      <c r="BG66" s="61" t="n">
        <f aca="false">IFERROR(IF(AND(TRIM(U66)="Pass",SUMPRODUCT((LEN(BC66)-LEN(SUBSTITUTE(BC66," "&amp;L_ResultBad&amp;" "," ")))/(LEN(L_ResultBad)+1))&gt;SUMPRODUCT((LEN(BC66)-LEN(SUBSTITUTE(BC66," "&amp;L_NegPhrase&amp;" "," ")))/(LEN(L_NegPhrase)+1))),1,0),0)</f>
        <v>0</v>
      </c>
      <c r="BH66" s="61" t="n">
        <f aca="false">IFERROR(IF(SUMPRODUCT((LEN(BC66)-LEN(SUBSTITUTE(BC66," "&amp;L_Pending&amp;" "," ")))/(LEN(L_Pending)+1))&gt;SUMPRODUCT((LEN(BC66)-LEN(SUBSTITUTE(BC66," "&amp;L_PendNeg&amp;" "," ")))/(LEN(L_PendNeg)+1)),1,0),1)</f>
        <v>0</v>
      </c>
      <c r="BI66" s="61" t="n">
        <f aca="false">IFERROR(IF(SUMPRODUCT((LEN(BD66)-LEN(SUBSTITUTE(BD66," "&amp;L_PendStrict&amp;" "," ")))/(LEN(L_PendStrict)+1))&gt;SUMPRODUCT((LEN(BD66)-LEN(SUBSTITUTE(BD66," "&amp;L_PendNeg&amp;" "," ")))/(LEN(L_PendNeg)+1)),1,0),1)</f>
        <v>0</v>
      </c>
      <c r="BJ66" s="61" t="n">
        <f aca="false">IFERROR(IF(SUMPRODUCT((LEN(BE66)-LEN(SUBSTITUTE(BE66," "&amp;L_Pending&amp;" "," ")))/(LEN(L_Pending)+1))&gt;SUMPRODUCT((LEN(BE66)-LEN(SUBSTITUTE(BE66," "&amp;L_PendNeg&amp;" "," ")))/(LEN(L_PendNeg)+1)),1,0),1)</f>
        <v>0</v>
      </c>
      <c r="BK66" s="61" t="n">
        <f aca="false">IFERROR(IF(SUMPRODUCT((LEN(BF66)-LEN(SUBSTITUTE(BF66," "&amp;L_PendStrict&amp;" "," ")))/(LEN(L_PendStrict)+1))&gt;SUMPRODUCT((LEN(BF66)-LEN(SUBSTITUTE(BF66," "&amp;L_PendNeg&amp;" "," ")))/(LEN(L_PendNeg)+1)),1,0),1)</f>
        <v>0</v>
      </c>
      <c r="BL66" s="61" t="n">
        <f aca="false">IF(ISNA(MATCH(TRIM(S66),L_EvidenceType,0)),0,BZ66)</f>
        <v>0</v>
      </c>
      <c r="BM66" s="61" t="str">
        <f aca="false">SUBSTITUTE(SUBSTITUTE(SUBSTITUTE(SUBSTITUTE(SUBSTITUTE(SUBSTITUTE(SUBSTITUTE(SUBSTITUTE(SUBSTITUTE(LOWER(Z66&amp;""),"1","0"),"2","0"),"3","0"),"4","0"),"5","0"),"6","0"),"7","0"),"8","0"),"9","0")</f>
        <v/>
      </c>
      <c r="BN66" s="61" t="str">
        <f aca="false">SUBSTITUTE(SUBSTITUTE(SUBSTITUTE(SUBSTITUTE(SUBSTITUTE(SUBSTITUTE(SUBSTITUTE(SUBSTITUTE(SUBSTITUTE(SUBSTITUTE(SUBSTITUTE(SUBSTITUTE(SUBSTITUTE(SUBSTITUTE(SUBSTITUTE(SUBSTITUTE(SUBSTITUTE(SUBSTITUTE(SUBSTITUTE(SUBSTITUTE(SUBSTITUTE(SUBSTITUTE(SUBSTITUTE(SUBSTITUTE(SUBSTITUTE(BM66,"b","a"),"c","a"),"d","a"),"e","a"),"f","a"),"g","a"),"h","a"),"i","a"),"j","a"),"k","a"),"l","a"),"m","a"),"n","a"),"o","a"),"p","a"),"q","a"),"r","a"),"s","a"),"t","a"),"u","a"),"v","a"),"w","a"),"x","a"),"y","a"),"z","a")</f>
        <v/>
      </c>
      <c r="BO66" s="61" t="str">
        <f aca="false">SUBSTITUTE(SUBSTITUTE(SUBSTITUTE(SUBSTITUTE(SUBSTITUTE(SUBSTITUTE(SUBSTITUTE(SUBSTITUTE(SUBSTITUTE(LOWER(W66&amp;""),"1","0"),"2","0"),"3","0"),"4","0"),"5","0"),"6","0"),"7","0"),"8","0"),"9","0")</f>
        <v/>
      </c>
      <c r="BP66" s="61" t="str">
        <f aca="false">SUBSTITUTE(SUBSTITUTE(SUBSTITUTE(SUBSTITUTE(SUBSTITUTE(SUBSTITUTE(SUBSTITUTE(SUBSTITUTE(SUBSTITUTE(SUBSTITUTE(SUBSTITUTE(SUBSTITUTE(SUBSTITUTE(SUBSTITUTE(SUBSTITUTE(SUBSTITUTE(SUBSTITUTE(SUBSTITUTE(SUBSTITUTE(SUBSTITUTE(SUBSTITUTE(SUBSTITUTE(SUBSTITUTE(SUBSTITUTE(SUBSTITUTE(BO66,"b","a"),"c","a"),"d","a"),"e","a"),"f","a"),"g","a"),"h","a"),"i","a"),"j","a"),"k","a"),"l","a"),"m","a"),"n","a"),"o","a"),"p","a"),"q","a"),"r","a"),"s","a"),"t","a"),"u","a"),"v","a"),"w","a"),"x","a"),"y","a"),"z","a")</f>
        <v/>
      </c>
      <c r="BQ66" s="61" t="n">
        <f aca="false">IFERROR(IF(AND(ISERROR(SEARCH(" mh"," "&amp;LOWER(W66))),ISNA(MATCH(LEFT(TRIM(BP66),255),{"0000a","000a","00a","0000aa","000aa","00aa","0aa","0000aaa","000aaa","00a00","0a00","0000-0000","00:00","a00","a0","00.00.0000","00/00/0000","00-00-0000","0000-00-00","0000/00/00","0000.00.00","00.00.00","00/00/00","00-00-00","0.00.0000","0/00/0000","0-00-0000"},0)),ISNA(MATCH(LEFT(TRIM(CA66),255),{"0000a","000a","00a","0000aa","000aa","00aa","0aa","0000aaa","000aaa","00a00","0a00","0000-0000","00:00","a00","a0","00.00.0000","00/00/0000","00-00-0000","0000-00-00","0000/00/00","0000.00.00","00.00.00","00/00/00","00-00-00","0.00.0000","0/00/0000","0-00-0000"},0)),LEN(CB66)&gt;=3,NOT(OR(SUBSTITUTE(CB66,"0","")="",AND(LEN(CB66)&gt;=4,CB66=REPT(LEFT(CB66),LEN(CB66))),ISNUMBER(MATCH(CB66,{"123","1234","12345","123456","1234567","12345678","0123","01234","012345","98765","987654","54321"},0)),AND(LEN(CB66)=8,LEFT(CB66,3)="202"))),OR(AND((LEN(CA66)-LEN(SUBSTITUTE(CA66,"a","")))&gt;=1,SUMPRODUCT(--ISNUMBER(SEARCH({"a0","a-0","a_0","a/0","a.0","a#0","0a","0-a","0_a","0/a"},BP66)))&gt;0),ISNUMBER(SEARCH("000000",BP66)))),1,0),0)</f>
        <v>0</v>
      </c>
      <c r="BR66" s="61" t="n">
        <f aca="false">IFERROR(LEN(SUBSTITUTE(CC66," ",""))-SUMPRODUCT((LEN(CC66)-LEN(SUBSTITUTE(CC66," "&amp;L_Role&amp;" "," ")))/(LEN(L_Role)+1)*LEN(L_Role)),0)</f>
        <v>0</v>
      </c>
      <c r="BS66" s="61" t="n">
        <f aca="false">IFERROR(LEN(SUBSTITUTE(CD66," ",""))-SUMPRODUCT((LEN(CD66)-LEN(SUBSTITUTE(CD66," "&amp;L_Role&amp;" "," ")))/(LEN(L_Role)+1)*LEN(L_Role)),0)</f>
        <v>0</v>
      </c>
      <c r="BT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revision",""),"version",""),"jan",""),"feb",""),"mar",""),"apr",""),"may",""),"jun",""),"jul",""),"aug",""),"sep",""),"oct",""),"nov",""),"dec",""),"utc",""),"gmt",""),"myt",""),"bst",""),"rev",""),"ver",""),"b","a"),"c","a"),"d","a"),"e","a"),"f","a"),"g","a"),"h","a"),"i","a"),"j","a"),"k","a"),"l","a"),"m","a"),"n","a"),"o","a"),"p","a"),"q","a"),"r","a"),"s","a"),"t","a"),"u","a"),"v","a"),"w","a"),"x","a"),"y","a"),"z","a")</f>
        <v/>
      </c>
      <c r="BU66" s="61" t="str">
        <f aca="false">SUBSTITUTE(SUBSTITUTE(SUBSTITUTE(SUBSTITUTE(SUBSTITUTE(SUBSTITUTE(SUBSTITUTE(SUBSTITUTE(SUBSTITUTE(SUBSTITUTE(LEFT(BM66,FIND("0",BM66&amp;"0")-1),"-",""),"_",""),"/",""),".",""),"#",""),"\\",""),":","")," ",""),"(",""),")","")</f>
        <v/>
      </c>
      <c r="BV66" s="61" t="n">
        <f aca="false">IFERROR(IF(OR(SUMPRODUCT((LEN(BC66)-LEN(SUBSTITUTE(BC66," "&amp;L_NotLoaded&amp;" "," ")))/(LEN(L_NotLoaded)+1))&gt;SUMPRODUCT((LEN(BC66)-LEN(SUBSTITUTE(BC66," "&amp;L_NotLoadedNeg&amp;" "," ")))/(LEN(L_NotLoadedNeg)+1)),SUMPRODUCT((LEN(BD66)-LEN(SUBSTITUTE(BD66," "&amp;L_NotLoaded&amp;" "," ")))/(LEN(L_NotLoaded)+1))&gt;SUMPRODUCT((LEN(BD66)-LEN(SUBSTITUTE(BD66," "&amp;L_NotLoadedNeg&amp;" "," ")))/(LEN(L_NotLoadedNeg)+1))),1,0),0)</f>
        <v>0</v>
      </c>
      <c r="BW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amp;""),"a",""),"b",""),"c",""),"d",""),"e",""),"f",""),"g",""),"h",""),"i",""),"j",""),"k",""),"l",""),"m",""),"n",""),"o",""),"p",""),"q",""),"r",""),"s",""),"t",""),"u",""),"v",""),"w",""),"x",""),"y",""),"z",""),"-",""),"_",""),"/",""),".",""),"#",""),"\\",""),":","")," ",""),"(",""),")","")</f>
        <v/>
      </c>
      <c r="BX66" s="61" t="str">
        <f aca="false">SUBSTITUTE(SUBSTITUTE(SUBSTITUTE(SUBSTITUTE(SUBSTITUTE(SUBSTITUTE(SUBSTITUTE(SUBSTITUTE(SUBSTITUTE(SUBSTITUTE(SUBSTITUTE(BM66,"0",""),"-",""),"_",""),"/",""),".",""),"#",""),"\\",""),":","")," ",""),"(",""),")","")</f>
        <v/>
      </c>
      <c r="BY66" s="62" t="n">
        <f aca="false">IF(ISNUMBER(Flights!$AZ$6),MAX(Q66-UpliftWindowH/24,Flights!$AZ$6),Q66-UpliftWindowH/24)</f>
        <v>46304.3263888889</v>
      </c>
      <c r="BZ66" s="61" t="n">
        <f aca="false">IFERROR(IF(IF(TRIM(S66)="Link / file path",AND(LEN(TRIM(Z66))&gt;=5,SUMPRODUCT(--ISNUMBER(SEARCH({"http","www.","\\",":\",".pdf",".jpg",".jpeg",".png",".heic",".xls",".doc",".msg",".eml",".ppt",".txt",".zip"},Z66)))&gt;0),AND(ISERROR(FIND(" ",TRIM(Z66))),NOT(OR(SUMPRODUCT(--ISNUMBER(FIND({",",";","&amp;","+"},Z66)))&gt;0,SUMPRODUCT(--ISNUMBER(SEARCH({"0/aa","0\\aa"},BN66)))&gt;0)),NOT(SUMPRODUCT(--ISNUMBER(SEARCH({"http","www.","\\",":\",".pdf",".jpg",".jpeg",".png",".heic",".xls",".doc",".msg",".eml",".ppt",".txt",".zip"},Z66)))&gt;0),NOT(LOWER(TRIM(Z66))=LOWER(Flights!$F$6)),ISNA(MATCH(BU66,{"mh","rev","revision","ver","version","v","r","a","b","seat","tray","row","gate","bay","stand","page","pg","item","line","no","cart","galley","flight","flt","table","box","bag","oven","etd","eta","std","sta","atd","ata","qty","pax","x","time","tel","ph","mob","day","wk","week","utc","gmt","myt","lt"},0)),NOT(OR(ISNUMBER(MATCH(LEFT(BN66,255),{"0000a","000a","00a","0000aa","000aa","00aa","0aa","0000aaa","000aaa","00a00","0a00","0000-0000","00:00","a00","a0","00.00.0000","00/00/0000","00-00-0000","0000-00-00","0000/00/00","0000.00.00","00.00.00","00/00/00","00-00-00","0.00.0000","0/00/0000","0-00-0000"},0)),ISNUMBER(MATCH(LEFT(BT66,255),{"0000a","000a","00a","0000aa","000aa","00aa","0aa","0000aaa","000aaa","00a00","0a00","0000-0000","00:00","a00","a0","00.00.0000","00/00/0000","00-00-0000","0000-00-00","0000/00/00","0000.00.00","00.00.00","00/00/00","00-00-00","0.00.0000","0/00/0000","0-00-0000"},0)))),NOT(OR(AND(BW66&lt;&gt;"",SUBSTITUTE(BW66,"0","")=""),AND(LEN(BW66)&gt;=4,BW66=REPT(LEFT(BW66),LEN(BW66))),ISNUMBER(MATCH(BW66,{"123","1234","12345","123456","1234567","12345678","0123","01234","012345","98765","987654","54321"},0)),ISNUMBER(MATCH(BX66,{"x","xx","xxx","xxxx","xxxxx","abc","abcd","nil","na","nan","test","tbc","tba","tbd","dummy","sample","example","eg","zz","zzz","none","null","xyz","qwe","asd","id","ref"},0)),AND(LEN(BW66)=8,BX66="",OR(LEFT(BW66,3)="202",ISNUMBER(MATCH(RIGHT(BW66,4),{"2025","2026","2027"},0)))))),OR(AND((LEN(BT66)-LEN(SUBSTITUTE(BT66,"a","")))&gt;=1,(LEN(BN66)-LEN(SUBSTITUTE(BN66,"0","")))&gt;=2,SUMPRODUCT(--ISNUMBER(SEARCH({"a0","a-0","a_0","a/0","a.0","a#0","0a","0-a","0_a","0/a"},BN66)))&gt;0),AND((LEN(BN66)-LEN(SUBSTITUTE(BN66,"a","")))=0,(LEN(BN66)-LEN(SUBSTITUTE(BN66,"0","")))&gt;=5)))),1,0),0)</f>
        <v>0</v>
      </c>
      <c r="CA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revision",""),"version",""),"jan",""),"feb",""),"mar",""),"apr",""),"may",""),"jun",""),"jul",""),"aug",""),"sep",""),"oct",""),"nov",""),"dec",""),"utc",""),"gmt",""),"myt",""),"bst",""),"rev",""),"ver",""),"b","a"),"c","a"),"d","a"),"e","a"),"f","a"),"g","a"),"h","a"),"i","a"),"j","a"),"k","a"),"l","a"),"m","a"),"n","a"),"o","a"),"p","a"),"q","a"),"r","a"),"s","a"),"t","a"),"u","a"),"v","a"),"w","a"),"x","a"),"y","a"),"z","a")</f>
        <v/>
      </c>
      <c r="CB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amp;""),"a",""),"b",""),"c",""),"d",""),"e",""),"f",""),"g",""),"h",""),"i",""),"j",""),"k",""),"l",""),"m",""),"n",""),"o",""),"p",""),"q",""),"r",""),"s",""),"t",""),"u",""),"v",""),"w",""),"x",""),"y",""),"z",""),"-",""),"_",""),"/",""),".",""),"#",""),"\\",""),":","")," ",""),"(",""),")","")</f>
        <v/>
      </c>
      <c r="CC66" s="0" t="str">
        <f aca="false">" "&amp;TRIM(SUBSTITUTE(SUBSTITUTE(SUBSTITUTE(SUBSTITUTE(SUBSTITUTE(SUBSTITUTE(SUBSTITUTE(SUBSTITUTE(SUBSTITUTE(SUBSTITUTE(SUBSTITUTE(SUBSTITUTE(SUBSTITUTE(SUBSTITUTE(SUBSTITUTE(SUBSTITUTE(SUBSTITUTE(SUBSTITUTE(SUBSTITUTE(SUBSTITUTE(SUBSTITUTE(SUBSTITUTE(SUBSTITUTE(SUBSTITUTE(LOWER(T66&amp;""),CHAR(10)," "),CHAR(13)," "),CHAR(9)," "),CHAR(160)," "),"."," "),","," "),"-"," "),"/"," "),"("," "),")"," "),":"," "),";"," "),"_"," "),"–"," "),"?"," "),"!"," "),"*"," "),"["," "),"]"," "),"'"," "),"#"," "),"+"," "),"&amp;"," "),"\"," "))&amp;" "</f>
        <v>  </v>
      </c>
      <c r="CD66" s="0" t="str">
        <f aca="false">" "&amp;TRIM(SUBSTITUTE(SUBSTITUTE(SUBSTITUTE(SUBSTITUTE(SUBSTITUTE(SUBSTITUTE(SUBSTITUTE(SUBSTITUTE(SUBSTITUTE(SUBSTITUTE(SUBSTITUTE(SUBSTITUTE(SUBSTITUTE(SUBSTITUTE(SUBSTITUTE(SUBSTITUTE(SUBSTITUTE(SUBSTITUTE(SUBSTITUTE(SUBSTITUTE(SUBSTITUTE(SUBSTITUTE(SUBSTITUTE(SUBSTITUTE(LOWER(AE66&amp;""),CHAR(10)," "),CHAR(13)," "),CHAR(9)," "),CHAR(160)," "),"."," "),","," "),"-"," "),"/"," "),"("," "),")"," "),":"," "),";"," "),"_"," "),"–"," "),"?"," "),"!"," "),"*"," "),"["," "),"]"," "),"'"," "),"#"," "),"+"," "),"&amp;"," "),"\"," "))&amp;" "</f>
        <v>  </v>
      </c>
      <c r="CE66" s="68" t="n">
        <f aca="false">IFERROR(IF(AND(LEN(AU66)&gt;0,LEN(AU66)=LEN(AX66),OR(TRIM(MID(SUBSTITUTE(TRIM(CC66)," ",REPT(" ",60)),1,60))="",ISNUMBER(SEARCH(" "&amp;TRIM(MID(SUBSTITUTE(TRIM(CC66)," ",REPT(" ",60)),1,60))&amp;" ",CD66))),OR(TRIM(MID(SUBSTITUTE(TRIM(CC66)," ",REPT(" ",60)),61,60))="",ISNUMBER(SEARCH(" "&amp;TRIM(MID(SUBSTITUTE(TRIM(CC66)," ",REPT(" ",60)),61,60))&amp;" ",CD66))),OR(TRIM(MID(SUBSTITUTE(TRIM(CC66)," ",REPT(" ",60)),121,60))="",ISNUMBER(SEARCH(" "&amp;TRIM(MID(SUBSTITUTE(TRIM(CC66)," ",REPT(" ",60)),121,60))&amp;" ",CD66)))),1,0),0)</f>
        <v>0</v>
      </c>
      <c r="CG66" s="68" t="n">
        <f aca="false">IFERROR(LEN(SUBSTITUTE(BF66," ",""))-SUMPRODUCT((LEN(BF66)-LEN(SUBSTITUTE(BF66," "&amp;L_NAFiller&amp;" "," ")))/(LEN(L_NAFiller)+1)*LEN(L_NAFiller)),0)</f>
        <v>0</v>
      </c>
    </row>
    <row r="67" customFormat="false" ht="39.75" hidden="false" customHeight="true" outlineLevel="0" collapsed="false">
      <c r="A67" s="57" t="s">
        <v>552</v>
      </c>
      <c r="B67" s="57" t="s">
        <v>198</v>
      </c>
      <c r="C67" s="57" t="str">
        <f aca="false">Flights!$F$6</f>
        <v>MH0727</v>
      </c>
      <c r="D67" s="58" t="n">
        <f aca="false">Flights!$D$6</f>
        <v>46304</v>
      </c>
      <c r="E67" s="57" t="str">
        <f aca="false">Flights!$G$6&amp;"-"&amp;Flights!$H$6</f>
        <v>KUL-CGK</v>
      </c>
      <c r="F67" s="57" t="str">
        <f aca="false">Flights!$K$6</f>
        <v>BC</v>
      </c>
      <c r="G67" s="57" t="s">
        <v>459</v>
      </c>
      <c r="H67" s="57" t="s">
        <v>460</v>
      </c>
      <c r="I67" s="57" t="s">
        <v>447</v>
      </c>
      <c r="J67" s="57" t="s">
        <v>553</v>
      </c>
      <c r="K67" s="67" t="s">
        <v>449</v>
      </c>
      <c r="L67" s="67" t="s">
        <v>527</v>
      </c>
      <c r="M67" s="67" t="s">
        <v>451</v>
      </c>
      <c r="N67" s="67" t="s">
        <v>383</v>
      </c>
      <c r="O67" s="67"/>
      <c r="P67" s="57" t="s">
        <v>187</v>
      </c>
      <c r="Q67" s="59" t="n">
        <f aca="false">ROUND((Flights!$AF$6)*1440,0)/1440</f>
        <v>46304.5763888889</v>
      </c>
      <c r="R67" s="59" t="n">
        <f aca="false">Q67+(IF(AND(INDEX(TZ_DSTS,MATCH(P67,TZ_STN,0))&lt;&gt;"",Q67&gt;=INDEX(TZ_DSTS,MATCH(P67,TZ_STN,0)),Q67&lt;INDEX(TZ_DSTE,MATCH(P67,TZ_STN,0))),INDEX(TZ_DST,MATCH(P67,TZ_STN,0)),INDEX(TZ_STD,MATCH(P67,TZ_STN,0))))/24</f>
        <v>46304.9097222222</v>
      </c>
      <c r="S67" s="60"/>
      <c r="T67" s="60"/>
      <c r="U67" s="60"/>
      <c r="V67" s="60"/>
      <c r="W67" s="61"/>
      <c r="X67" s="60"/>
      <c r="Y67" s="60"/>
      <c r="Z67" s="60"/>
      <c r="AA67" s="60"/>
      <c r="AB67" s="60"/>
      <c r="AC67" s="60"/>
      <c r="AD67" s="66"/>
      <c r="AE67" s="60"/>
      <c r="AF67" s="61" t="str">
        <f aca="false">IF(AND(ISNUMBER(X67),ISNUMBER(Y67)),Y67-X67,"")</f>
        <v/>
      </c>
      <c r="AG67" s="62" t="str">
        <f aca="false">IF(ISNUMBER(AD67),AD67-(IF(AND(INDEX(TZ_DSTS,MATCH(P67,TZ_STN,0))&lt;&gt;"",(AD67-INDEX(TZ_STD,MATCH(P67,TZ_STN,0))/24)&gt;=INDEX(TZ_DSTS,MATCH(P67,TZ_STN,0)),(AD67-INDEX(TZ_STD,MATCH(P67,TZ_STN,0))/24)&lt;INDEX(TZ_DSTE,MATCH(P67,TZ_STN,0))),INDEX(TZ_DST,MATCH(P67,TZ_STN,0)),INDEX(TZ_STD,MATCH(P67,TZ_STN,0))))/24,"")</f>
        <v/>
      </c>
      <c r="AH67" s="65" t="str">
        <f aca="false">IFERROR(IF(N67="N/A – rule",IF(OR(TRIM(U67)="",TRIM(U67)="N/A",TRIM(U67)="Not started"),"N/A – RULE","INVALID – this check does not apply to this aircraft: clear the status (or correct the fleet on Flights)"),IF(TRIM(U67)="N/A",IF(AT67=0,"INVALID – N/A not permitted for this check",IF(AND(TRIM(AB67)&lt;&gt;"",TRIM(AB67)&lt;&gt;"Closed"),"INVALID – corrective action still open",IF(AND(NOT(OR(LEN(AZ67)&lt;15,ISNUMBER(MATCH(AZ67,L_Placeholder,0)))),BK67=0,CG67&gt;=8,NOT(OR(LEN(AU67)&lt;2,ISNUMBER(MATCH(AU67,L_Placeholder,0)))),BR67&gt;=3,NOT(OR(LEN(AX67)&lt;2,ISNUMBER(MATCH(AX67,L_Placeholder,0)))),BS67&gt;=3,TRIM(AE67)&lt;&gt;TRIM(T67),AX67&lt;&gt;AU67,CE67=0),"N/A – JUSTIFIED","INVALID – N/A needs a real, settled reason (not 'not applicable' / 'as above' / TBC), a named PIC and a different named verifier"))),IF(OR(TRIM(U67)="Pass",TRIM(U67)="Pass after CA"),IF(NOT(ISNUMBER(AD67)),"INVALID – completion time missing",IF(OR(OR(LEN(AU67)&lt;2,ISNUMBER(MATCH(AU67,L_Placeholder,0))),BR67&lt;3),"INVALID – PIC missing or not a named person (a role such as QA / CSM is not a name)",IF(OR(LEN(AV67)&lt;2,ISNUMBER(MATCH(AV67,L_Placeholder,0))),"INVALID – result / assessment missing",IF(OR(OR(LEN(AW67)&lt;3,ISNUMBER(MATCH(AW67,L_Placeholder,0))),SUMPRODUCT(--ISNUMBER(SEARCH(" "&amp;L_EvidencePhrase&amp;" ",BD67)))&gt;0,BI67=1),"INVALID – evidence missing, placeholder or not yet on file",IF(ISNA(MATCH(TRIM(S67),L_EvidenceType,0)),"INVALID – choose the evidence type from the list (column S)",IF(BL67=0,"INVALID – evidence ID must be the record's own ID only (e.g. SF-2210, IMG_2231, 1045521); a link / file name needs type 'Link / file path'",IF(OR(OR(LEN(AX67)&lt;2,ISNUMBER(MATCH(AX67,L_Placeholder,0))),BS67&lt;3),"INVALID – verifier missing or not a named person (a role such as QA / CSM is not a name)",IF(OR(AX67=AU67,CE67=1,AND(LEN(AU67)&gt;=4,ISNUMBER(SEARCH(AU67,AX67))),AND(LEN(AX67)&gt;=4,ISNUMBER(SEARCH(AX67,AU67)))),"INVALID – verifier must be a different, named person (not the PIC or a role)",IF(BH67=1,"INVALID – result not yet available (awaiting / TBC)",IF(BG67=1,"INVALID – result describes a problem: record Fail, then Pass after CA (or reword if it is not a problem)",IF(BV67=1,"INVALID – wording says not on board: an on-board confirmation needs the item loaded",IF(AND(AQ67=1,OR(OR(LEN(AY67)&lt;3,ISNUMBER(MATCH(AY67,L_Placeholder,0))),BJ67=1,BQ67=0)),"INVALID – batch ID missing, placeholder or not an ID (e.g. PASB-261008-BC-017)",IF(AND(AR67=1,OR(NOT(ISNUMBER(X67)),NOT(ISNUMBER(Y67)))),"INVALID – expected/actual qty missing",IF(AND(AR67=1,OR(X67&lt;=0,Y67&lt;0)),"INVALID – expected qty must be above 0 and actual not negative",IF(AH55="N/A – JUSTIFIED","INVALID – preparation row F02-T12-16 is N/A",IF(AND(AR67=1,ISNUMBER(X55),X67&lt;&gt;X55,TRIM(U67)&lt;&gt;"Pass after CA"),"INVALID – expected qty differs from preparation check F02-T12-16: record the load change as a corrective action (Pass after CA)",IF(BB67&lt;&gt;"",BB67,IF(AND(AS67=1,Documents!$J$6&lt;&gt;"ON FILE"),"INVALID – GLD not on file (Documents sheet)",IF(AND(AS67=2,Documents!$O$6&lt;&gt;"ON FILE"),"INVALID – menu checklist not on file (Documents sheet)",IF(AND(AS67=3,NOT(ISNUMBER(Flights!$AX$6))),"INVALID – enter carrying flight KUL departure (Flights AX)",IF(AND(AS67=3,OR(Flights!$AZ$6&gt;Flights!$AA$6,Flights!$AX$6&lt;Flights!$AA$6-3)),"INVALID – carrying flight (Flights AX) cannot arrive before this leg's STD, or is over 3 days early",IF(AG67&gt;AsOfUTC,"INVALID – completion time is in the future",IF(AND(ISNUMBER(BY67),AG67&lt;BY67),IF(H67="Physical uplift","INVALID – before uplift window (cannot confirm loading)","INVALID – before valid window"),IF(AG67&gt;Flights!$AA$6,"INVALID – completed after departure (cannot establish readiness)",IF(AND(H67="Preparation",AG67&gt;=IF(ISNUMBER(Flights!$BA$6),MIN(Flights!$BA$6,Flights!$AA$6),Flights!$AA$6)),"INVALID – completed after loading / departure (cannot establish readiness)",IF(AND(H67="Physical uplift",AG67&gt;Q67),"INVALID – recorded after the loading flight departed",IF(AG67&gt;Q67,"COMPLETE – LATE","COMPLETE"))))))))))))))))))))))))))),IF(TRIM(U67)="Fail","FAIL – DISCREPANCY",IF(AND(TRIM(U67)&lt;&gt;"",TRIM(U67)&lt;&gt;"Not started",TRIM(U67)&lt;&gt;"In progress"),"INVALID – unrecognised status (use the list)",IF(AsOfUTC&gt;Q67,"OVERDUE",IF(N67="Clarification required","OPEN – CLARIFICATION","OPEN"))))))),"INVALID – error value in an input cell")</f>
        <v>OPEN</v>
      </c>
      <c r="AI67" s="61" t="n">
        <f aca="false">IF(OR(AH67="N/A – RULE",AH67="N/A – JUSTIFIED"),0,1)</f>
        <v>1</v>
      </c>
      <c r="AJ67" s="61" t="n">
        <f aca="false">IF(LEFT(AH67,8)="COMPLETE",1,0)</f>
        <v>0</v>
      </c>
      <c r="AK67" s="61" t="n">
        <f aca="false">IF(AND(AI67=1,AJ67=0,AsOfUTC&gt;Q67),1,0)</f>
        <v>0</v>
      </c>
      <c r="AL67" s="61" t="n">
        <f aca="false">IFERROR(IF(AND(AI67=1,OR(TRIM(U67)="Fail",AND(TRIM(AB67)&lt;&gt;"",TRIM(AB67)&lt;&gt;"Closed"),AND(ISNUMBER(AF67),AF67&lt;&gt;0,TRIM(U67)&lt;&gt;"Pass after CA"))),1,0),1)</f>
        <v>0</v>
      </c>
      <c r="AM67" s="61" t="n">
        <f aca="false">IF(LEFT(AH67,7)="INVALID",1,0)</f>
        <v>0</v>
      </c>
      <c r="AN67" s="61" t="n">
        <f aca="false">IF(AND(N67="Clarification required",AI67=1,AJ67=0),1,0)</f>
        <v>0</v>
      </c>
      <c r="AO67" s="61" t="str">
        <f aca="false">IF(AK67=1,SUM(AK$5:AK67),"")</f>
        <v/>
      </c>
      <c r="AP67" s="61" t="str">
        <f aca="false">IF(AL67=1,SUM(AL$5:AL67),"")</f>
        <v/>
      </c>
      <c r="AQ67" s="61" t="n">
        <v>0</v>
      </c>
      <c r="AR67" s="61" t="n">
        <v>0</v>
      </c>
      <c r="AS67" s="61" t="n">
        <v>0</v>
      </c>
      <c r="AT67" s="61" t="n">
        <v>0</v>
      </c>
      <c r="AU67" s="61" t="str">
        <f aca="false">SUBSTITUTE(SUBSTITUTE(SUBSTITUTE(SUBSTITUTE(SUBSTITUTE(SUBSTITUTE(SUBSTITUTE(SUBSTITUTE(SUBSTITUTE(SUBSTITUTE(SUBSTITUTE(SUBSTITUTE(SUBSTITUTE(SUBSTITUTE(SUBSTITUTE(SUBSTITUTE(LOWER(T67&amp;""),CHAR(10),""),CHAR(13),""),CHAR(9),""),CHAR(160),"")," ",""),".",""),"-",""),"/",""),"?",""),"_",""),",",""),"[",""),"]",""),"(",""),")",""),"*","")</f>
        <v/>
      </c>
      <c r="AV67" s="61" t="str">
        <f aca="false">SUBSTITUTE(SUBSTITUTE(SUBSTITUTE(SUBSTITUTE(SUBSTITUTE(SUBSTITUTE(SUBSTITUTE(SUBSTITUTE(SUBSTITUTE(SUBSTITUTE(SUBSTITUTE(SUBSTITUTE(SUBSTITUTE(SUBSTITUTE(SUBSTITUTE(SUBSTITUTE(LOWER(V67&amp;""),CHAR(10),""),CHAR(13),""),CHAR(9),""),CHAR(160),"")," ",""),".",""),"-",""),"/",""),"?",""),"_",""),",",""),"[",""),"]",""),"(",""),")",""),"*","")</f>
        <v/>
      </c>
      <c r="AW67" s="61" t="str">
        <f aca="false">SUBSTITUTE(SUBSTITUTE(SUBSTITUTE(SUBSTITUTE(SUBSTITUTE(SUBSTITUTE(SUBSTITUTE(SUBSTITUTE(SUBSTITUTE(SUBSTITUTE(SUBSTITUTE(SUBSTITUTE(SUBSTITUTE(SUBSTITUTE(SUBSTITUTE(SUBSTITUTE(LOWER(Z67&amp;""),CHAR(10),""),CHAR(13),""),CHAR(9),""),CHAR(160),"")," ",""),".",""),"-",""),"/",""),"?",""),"_",""),",",""),"[",""),"]",""),"(",""),")",""),"*","")</f>
        <v/>
      </c>
      <c r="AX67" s="61" t="str">
        <f aca="false">SUBSTITUTE(SUBSTITUTE(SUBSTITUTE(SUBSTITUTE(SUBSTITUTE(SUBSTITUTE(SUBSTITUTE(SUBSTITUTE(SUBSTITUTE(SUBSTITUTE(SUBSTITUTE(SUBSTITUTE(SUBSTITUTE(SUBSTITUTE(SUBSTITUTE(SUBSTITUTE(LOWER(AE67&amp;""),CHAR(10),""),CHAR(13),""),CHAR(9),""),CHAR(160),"")," ",""),".",""),"-",""),"/",""),"?",""),"_",""),",",""),"[",""),"]",""),"(",""),")",""),"*","")</f>
        <v/>
      </c>
      <c r="AY67" s="61" t="str">
        <f aca="false">SUBSTITUTE(SUBSTITUTE(SUBSTITUTE(SUBSTITUTE(SUBSTITUTE(SUBSTITUTE(SUBSTITUTE(SUBSTITUTE(SUBSTITUTE(SUBSTITUTE(SUBSTITUTE(SUBSTITUTE(SUBSTITUTE(SUBSTITUTE(SUBSTITUTE(SUBSTITUTE(LOWER(W67&amp;""),CHAR(10),""),CHAR(13),""),CHAR(9),""),CHAR(160),"")," ",""),".",""),"-",""),"/",""),"?",""),"_",""),",",""),"[",""),"]",""),"(",""),")",""),"*","")</f>
        <v/>
      </c>
      <c r="AZ67" s="61" t="str">
        <f aca="false">SUBSTITUTE(SUBSTITUTE(SUBSTITUTE(SUBSTITUTE(SUBSTITUTE(SUBSTITUTE(SUBSTITUTE(SUBSTITUTE(SUBSTITUTE(SUBSTITUTE(SUBSTITUTE(SUBSTITUTE(SUBSTITUTE(SUBSTITUTE(SUBSTITUTE(SUBSTITUTE(LOWER(AC67&amp;""),CHAR(10),""),CHAR(13),""),CHAR(9),""),CHAR(160),"")," ",""),".",""),"-",""),"/",""),"?",""),"_",""),",",""),"[",""),"]",""),"(",""),")",""),"*","")</f>
        <v/>
      </c>
      <c r="BA67" s="61" t="str">
        <f aca="false">SUBSTITUTE(SUBSTITUTE(SUBSTITUTE(SUBSTITUTE(SUBSTITUTE(SUBSTITUTE(SUBSTITUTE(SUBSTITUTE(SUBSTITUTE(SUBSTITUTE(SUBSTITUTE(SUBSTITUTE(SUBSTITUTE(SUBSTITUTE(SUBSTITUTE(SUBSTITUTE(LOWER(AA67&amp;""),CHAR(10),""),CHAR(13),""),CHAR(9),""),CHAR(160),"")," ",""),".",""),"-",""),"/",""),"?",""),"_",""),",",""),"[",""),"]",""),"(",""),")",""),"*","")</f>
        <v/>
      </c>
      <c r="BB67" s="61" t="str">
        <f aca="false">IF(AND(TRIM(U67)="Pass",ISNUMBER(AF67)),IF(AF67&lt;&gt;0,"INVALID – qty variance: use Fail or Pass after CA",""),"")&amp;IF(AND(TRIM(U67)="Pass after CA",ISNUMBER(AF67)),IF(AF67&lt;&gt;0,"INVALID – after the corrective action the actual qty must equal expected (update Actual)",""),"")&amp;IF(AND(TRIM(U67)="Pass",TRIM(AB67)&lt;&gt;"",TRIM(AB67)&lt;&gt;"Closed"),"INVALID – corrective action not closed: use Fail, then Pass after CA","")&amp;IF(AND(LEN(BA67)&gt;=2,ISNA(MATCH(LEFT(BA67,255),L_Placeholder,0)),TRIM(AB67)=""),"INVALID – CA status missing for the recorded corrective action","")&amp;IF(AND(TRIM(U67)="Pass after CA",OR(OR(LEN(BA67)&lt;5,ISNUMBER(MATCH(BA67,L_Placeholder,0))),TRIM(AB67)&lt;&gt;"Closed")),"INVALID – corrective action not recorded/closed","")</f>
        <v/>
      </c>
      <c r="BC67" s="61" t="str">
        <f aca="false">" "&amp;TRIM(SUBSTITUTE(SUBSTITUTE(SUBSTITUTE(SUBSTITUTE(SUBSTITUTE(SUBSTITUTE(SUBSTITUTE(SUBSTITUTE(SUBSTITUTE(SUBSTITUTE(SUBSTITUTE(SUBSTITUTE(SUBSTITUTE(SUBSTITUTE(SUBSTITUTE(SUBSTITUTE(SUBSTITUTE(SUBSTITUTE(SUBSTITUTE(SUBSTITUTE(SUBSTITUTE(SUBSTITUTE(SUBSTITUTE(SUBSTITUTE(LOWER(V67&amp;""),CHAR(10)," "),CHAR(13)," "),CHAR(9)," "),CHAR(160)," "),"."," "),","," "),"-"," "),"/"," "),"("," "),")"," "),":"," "),";"," "),"_"," "),"–"," "),"?"," "),"!"," "),"*"," "),"["," "),"]"," "),"'"," "),"#"," "),"+"," "),"&amp;"," "),"\"," "))&amp;" "</f>
        <v>  </v>
      </c>
      <c r="BD67" s="61" t="str">
        <f aca="false">" "&amp;TRIM(SUBSTITUTE(SUBSTITUTE(SUBSTITUTE(SUBSTITUTE(SUBSTITUTE(SUBSTITUTE(SUBSTITUTE(SUBSTITUTE(SUBSTITUTE(SUBSTITUTE(SUBSTITUTE(SUBSTITUTE(SUBSTITUTE(SUBSTITUTE(SUBSTITUTE(SUBSTITUTE(SUBSTITUTE(SUBSTITUTE(SUBSTITUTE(SUBSTITUTE(SUBSTITUTE(SUBSTITUTE(SUBSTITUTE(SUBSTITUTE(LOWER(Z67&amp;""),CHAR(10)," "),CHAR(13)," "),CHAR(9)," "),CHAR(160)," "),"."," "),","," "),"-"," "),"/"," "),"("," "),")"," "),":"," "),";"," "),"_"," "),"–"," "),"?"," "),"!"," "),"*"," "),"["," "),"]"," "),"'"," "),"#"," "),"+"," "),"&amp;"," "),"\"," "))&amp;" "</f>
        <v>  </v>
      </c>
      <c r="BE67" s="61" t="str">
        <f aca="false">" "&amp;TRIM(SUBSTITUTE(SUBSTITUTE(SUBSTITUTE(SUBSTITUTE(SUBSTITUTE(SUBSTITUTE(SUBSTITUTE(SUBSTITUTE(SUBSTITUTE(SUBSTITUTE(SUBSTITUTE(SUBSTITUTE(SUBSTITUTE(SUBSTITUTE(SUBSTITUTE(SUBSTITUTE(SUBSTITUTE(SUBSTITUTE(SUBSTITUTE(SUBSTITUTE(SUBSTITUTE(SUBSTITUTE(SUBSTITUTE(SUBSTITUTE(LOWER(W67&amp;""),CHAR(10)," "),CHAR(13)," "),CHAR(9)," "),CHAR(160)," "),"."," "),","," "),"-"," "),"/"," "),"("," "),")"," "),":"," "),";"," "),"_"," "),"–"," "),"?"," "),"!"," "),"*"," "),"["," "),"]"," "),"'"," "),"#"," "),"+"," "),"&amp;"," "),"\"," "))&amp;" "</f>
        <v>  </v>
      </c>
      <c r="BF67" s="61" t="str">
        <f aca="false">" "&amp;TRIM(SUBSTITUTE(SUBSTITUTE(SUBSTITUTE(SUBSTITUTE(SUBSTITUTE(SUBSTITUTE(SUBSTITUTE(SUBSTITUTE(SUBSTITUTE(SUBSTITUTE(SUBSTITUTE(SUBSTITUTE(SUBSTITUTE(SUBSTITUTE(SUBSTITUTE(SUBSTITUTE(SUBSTITUTE(SUBSTITUTE(SUBSTITUTE(SUBSTITUTE(SUBSTITUTE(SUBSTITUTE(SUBSTITUTE(SUBSTITUTE(LOWER(AC67&amp;""),CHAR(10)," "),CHAR(13)," "),CHAR(9)," "),CHAR(160)," "),"."," "),","," "),"-"," "),"/"," "),"("," "),")"," "),":"," "),";"," "),"_"," "),"–"," "),"?"," "),"!"," "),"*"," "),"["," "),"]"," "),"'"," "),"#"," "),"+"," "),"&amp;"," "),"\"," "))&amp;" "</f>
        <v>  </v>
      </c>
      <c r="BG67" s="61" t="n">
        <f aca="false">IFERROR(IF(AND(TRIM(U67)="Pass",SUMPRODUCT((LEN(BC67)-LEN(SUBSTITUTE(BC67," "&amp;L_ResultBad&amp;" "," ")))/(LEN(L_ResultBad)+1))&gt;SUMPRODUCT((LEN(BC67)-LEN(SUBSTITUTE(BC67," "&amp;L_NegPhrase&amp;" "," ")))/(LEN(L_NegPhrase)+1))),1,0),0)</f>
        <v>0</v>
      </c>
      <c r="BH67" s="61" t="n">
        <f aca="false">IFERROR(IF(SUMPRODUCT((LEN(BC67)-LEN(SUBSTITUTE(BC67," "&amp;L_Pending&amp;" "," ")))/(LEN(L_Pending)+1))&gt;SUMPRODUCT((LEN(BC67)-LEN(SUBSTITUTE(BC67," "&amp;L_PendNeg&amp;" "," ")))/(LEN(L_PendNeg)+1)),1,0),1)</f>
        <v>0</v>
      </c>
      <c r="BI67" s="61" t="n">
        <f aca="false">IFERROR(IF(SUMPRODUCT((LEN(BD67)-LEN(SUBSTITUTE(BD67," "&amp;L_PendStrict&amp;" "," ")))/(LEN(L_PendStrict)+1))&gt;SUMPRODUCT((LEN(BD67)-LEN(SUBSTITUTE(BD67," "&amp;L_PendNeg&amp;" "," ")))/(LEN(L_PendNeg)+1)),1,0),1)</f>
        <v>0</v>
      </c>
      <c r="BJ67" s="61" t="n">
        <f aca="false">IFERROR(IF(SUMPRODUCT((LEN(BE67)-LEN(SUBSTITUTE(BE67," "&amp;L_Pending&amp;" "," ")))/(LEN(L_Pending)+1))&gt;SUMPRODUCT((LEN(BE67)-LEN(SUBSTITUTE(BE67," "&amp;L_PendNeg&amp;" "," ")))/(LEN(L_PendNeg)+1)),1,0),1)</f>
        <v>0</v>
      </c>
      <c r="BK67" s="61" t="n">
        <f aca="false">IFERROR(IF(SUMPRODUCT((LEN(BF67)-LEN(SUBSTITUTE(BF67," "&amp;L_PendStrict&amp;" "," ")))/(LEN(L_PendStrict)+1))&gt;SUMPRODUCT((LEN(BF67)-LEN(SUBSTITUTE(BF67," "&amp;L_PendNeg&amp;" "," ")))/(LEN(L_PendNeg)+1)),1,0),1)</f>
        <v>0</v>
      </c>
      <c r="BL67" s="61" t="n">
        <f aca="false">IF(ISNA(MATCH(TRIM(S67),L_EvidenceType,0)),0,BZ67)</f>
        <v>0</v>
      </c>
      <c r="BM67" s="61" t="str">
        <f aca="false">SUBSTITUTE(SUBSTITUTE(SUBSTITUTE(SUBSTITUTE(SUBSTITUTE(SUBSTITUTE(SUBSTITUTE(SUBSTITUTE(SUBSTITUTE(LOWER(Z67&amp;""),"1","0"),"2","0"),"3","0"),"4","0"),"5","0"),"6","0"),"7","0"),"8","0"),"9","0")</f>
        <v/>
      </c>
      <c r="BN67" s="61" t="str">
        <f aca="false">SUBSTITUTE(SUBSTITUTE(SUBSTITUTE(SUBSTITUTE(SUBSTITUTE(SUBSTITUTE(SUBSTITUTE(SUBSTITUTE(SUBSTITUTE(SUBSTITUTE(SUBSTITUTE(SUBSTITUTE(SUBSTITUTE(SUBSTITUTE(SUBSTITUTE(SUBSTITUTE(SUBSTITUTE(SUBSTITUTE(SUBSTITUTE(SUBSTITUTE(SUBSTITUTE(SUBSTITUTE(SUBSTITUTE(SUBSTITUTE(SUBSTITUTE(BM67,"b","a"),"c","a"),"d","a"),"e","a"),"f","a"),"g","a"),"h","a"),"i","a"),"j","a"),"k","a"),"l","a"),"m","a"),"n","a"),"o","a"),"p","a"),"q","a"),"r","a"),"s","a"),"t","a"),"u","a"),"v","a"),"w","a"),"x","a"),"y","a"),"z","a")</f>
        <v/>
      </c>
      <c r="BO67" s="61" t="str">
        <f aca="false">SUBSTITUTE(SUBSTITUTE(SUBSTITUTE(SUBSTITUTE(SUBSTITUTE(SUBSTITUTE(SUBSTITUTE(SUBSTITUTE(SUBSTITUTE(LOWER(W67&amp;""),"1","0"),"2","0"),"3","0"),"4","0"),"5","0"),"6","0"),"7","0"),"8","0"),"9","0")</f>
        <v/>
      </c>
      <c r="BP67" s="61" t="str">
        <f aca="false">SUBSTITUTE(SUBSTITUTE(SUBSTITUTE(SUBSTITUTE(SUBSTITUTE(SUBSTITUTE(SUBSTITUTE(SUBSTITUTE(SUBSTITUTE(SUBSTITUTE(SUBSTITUTE(SUBSTITUTE(SUBSTITUTE(SUBSTITUTE(SUBSTITUTE(SUBSTITUTE(SUBSTITUTE(SUBSTITUTE(SUBSTITUTE(SUBSTITUTE(SUBSTITUTE(SUBSTITUTE(SUBSTITUTE(SUBSTITUTE(SUBSTITUTE(BO67,"b","a"),"c","a"),"d","a"),"e","a"),"f","a"),"g","a"),"h","a"),"i","a"),"j","a"),"k","a"),"l","a"),"m","a"),"n","a"),"o","a"),"p","a"),"q","a"),"r","a"),"s","a"),"t","a"),"u","a"),"v","a"),"w","a"),"x","a"),"y","a"),"z","a")</f>
        <v/>
      </c>
      <c r="BQ67" s="61" t="n">
        <f aca="false">IFERROR(IF(AND(ISERROR(SEARCH(" mh"," "&amp;LOWER(W67))),ISNA(MATCH(LEFT(TRIM(BP67),255),{"0000a","000a","00a","0000aa","000aa","00aa","0aa","0000aaa","000aaa","00a00","0a00","0000-0000","00:00","a00","a0","00.00.0000","00/00/0000","00-00-0000","0000-00-00","0000/00/00","0000.00.00","00.00.00","00/00/00","00-00-00","0.00.0000","0/00/0000","0-00-0000"},0)),ISNA(MATCH(LEFT(TRIM(CA67),255),{"0000a","000a","00a","0000aa","000aa","00aa","0aa","0000aaa","000aaa","00a00","0a00","0000-0000","00:00","a00","a0","00.00.0000","00/00/0000","00-00-0000","0000-00-00","0000/00/00","0000.00.00","00.00.00","00/00/00","00-00-00","0.00.0000","0/00/0000","0-00-0000"},0)),LEN(CB67)&gt;=3,NOT(OR(SUBSTITUTE(CB67,"0","")="",AND(LEN(CB67)&gt;=4,CB67=REPT(LEFT(CB67),LEN(CB67))),ISNUMBER(MATCH(CB67,{"123","1234","12345","123456","1234567","12345678","0123","01234","012345","98765","987654","54321"},0)),AND(LEN(CB67)=8,LEFT(CB67,3)="202"))),OR(AND((LEN(CA67)-LEN(SUBSTITUTE(CA67,"a","")))&gt;=1,SUMPRODUCT(--ISNUMBER(SEARCH({"a0","a-0","a_0","a/0","a.0","a#0","0a","0-a","0_a","0/a"},BP67)))&gt;0),ISNUMBER(SEARCH("000000",BP67)))),1,0),0)</f>
        <v>0</v>
      </c>
      <c r="BR67" s="61" t="n">
        <f aca="false">IFERROR(LEN(SUBSTITUTE(CC67," ",""))-SUMPRODUCT((LEN(CC67)-LEN(SUBSTITUTE(CC67," "&amp;L_Role&amp;" "," ")))/(LEN(L_Role)+1)*LEN(L_Role)),0)</f>
        <v>0</v>
      </c>
      <c r="BS67" s="61" t="n">
        <f aca="false">IFERROR(LEN(SUBSTITUTE(CD67," ",""))-SUMPRODUCT((LEN(CD67)-LEN(SUBSTITUTE(CD67," "&amp;L_Role&amp;" "," ")))/(LEN(L_Role)+1)*LEN(L_Role)),0)</f>
        <v>0</v>
      </c>
      <c r="BT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revision",""),"version",""),"jan",""),"feb",""),"mar",""),"apr",""),"may",""),"jun",""),"jul",""),"aug",""),"sep",""),"oct",""),"nov",""),"dec",""),"utc",""),"gmt",""),"myt",""),"bst",""),"rev",""),"ver",""),"b","a"),"c","a"),"d","a"),"e","a"),"f","a"),"g","a"),"h","a"),"i","a"),"j","a"),"k","a"),"l","a"),"m","a"),"n","a"),"o","a"),"p","a"),"q","a"),"r","a"),"s","a"),"t","a"),"u","a"),"v","a"),"w","a"),"x","a"),"y","a"),"z","a")</f>
        <v/>
      </c>
      <c r="BU67" s="61" t="str">
        <f aca="false">SUBSTITUTE(SUBSTITUTE(SUBSTITUTE(SUBSTITUTE(SUBSTITUTE(SUBSTITUTE(SUBSTITUTE(SUBSTITUTE(SUBSTITUTE(SUBSTITUTE(LEFT(BM67,FIND("0",BM67&amp;"0")-1),"-",""),"_",""),"/",""),".",""),"#",""),"\\",""),":","")," ",""),"(",""),")","")</f>
        <v/>
      </c>
      <c r="BV67" s="61" t="n">
        <f aca="false">IFERROR(IF(OR(SUMPRODUCT((LEN(BC67)-LEN(SUBSTITUTE(BC67," "&amp;L_NotLoaded&amp;" "," ")))/(LEN(L_NotLoaded)+1))&gt;SUMPRODUCT((LEN(BC67)-LEN(SUBSTITUTE(BC67," "&amp;L_NotLoadedNeg&amp;" "," ")))/(LEN(L_NotLoadedNeg)+1)),SUMPRODUCT((LEN(BD67)-LEN(SUBSTITUTE(BD67," "&amp;L_NotLoaded&amp;" "," ")))/(LEN(L_NotLoaded)+1))&gt;SUMPRODUCT((LEN(BD67)-LEN(SUBSTITUTE(BD67," "&amp;L_NotLoadedNeg&amp;" "," ")))/(LEN(L_NotLoadedNeg)+1))),1,0),0)</f>
        <v>0</v>
      </c>
      <c r="BW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amp;""),"a",""),"b",""),"c",""),"d",""),"e",""),"f",""),"g",""),"h",""),"i",""),"j",""),"k",""),"l",""),"m",""),"n",""),"o",""),"p",""),"q",""),"r",""),"s",""),"t",""),"u",""),"v",""),"w",""),"x",""),"y",""),"z",""),"-",""),"_",""),"/",""),".",""),"#",""),"\\",""),":","")," ",""),"(",""),")","")</f>
        <v/>
      </c>
      <c r="BX67" s="61" t="str">
        <f aca="false">SUBSTITUTE(SUBSTITUTE(SUBSTITUTE(SUBSTITUTE(SUBSTITUTE(SUBSTITUTE(SUBSTITUTE(SUBSTITUTE(SUBSTITUTE(SUBSTITUTE(SUBSTITUTE(BM67,"0",""),"-",""),"_",""),"/",""),".",""),"#",""),"\\",""),":","")," ",""),"(",""),")","")</f>
        <v/>
      </c>
      <c r="BY67" s="62" t="n">
        <f aca="false">IF(ISNUMBER(Flights!$AZ$6),MAX(Q67-UpliftWindowH/24,Flights!$AZ$6),Q67-UpliftWindowH/24)</f>
        <v>46304.3263888889</v>
      </c>
      <c r="BZ67" s="61" t="n">
        <f aca="false">IFERROR(IF(IF(TRIM(S67)="Link / file path",AND(LEN(TRIM(Z67))&gt;=5,SUMPRODUCT(--ISNUMBER(SEARCH({"http","www.","\\",":\",".pdf",".jpg",".jpeg",".png",".heic",".xls",".doc",".msg",".eml",".ppt",".txt",".zip"},Z67)))&gt;0),AND(ISERROR(FIND(" ",TRIM(Z67))),NOT(OR(SUMPRODUCT(--ISNUMBER(FIND({",",";","&amp;","+"},Z67)))&gt;0,SUMPRODUCT(--ISNUMBER(SEARCH({"0/aa","0\\aa"},BN67)))&gt;0)),NOT(SUMPRODUCT(--ISNUMBER(SEARCH({"http","www.","\\",":\",".pdf",".jpg",".jpeg",".png",".heic",".xls",".doc",".msg",".eml",".ppt",".txt",".zip"},Z67)))&gt;0),NOT(LOWER(TRIM(Z67))=LOWER(Flights!$F$6)),ISNA(MATCH(BU67,{"mh","rev","revision","ver","version","v","r","a","b","seat","tray","row","gate","bay","stand","page","pg","item","line","no","cart","galley","flight","flt","table","box","bag","oven","etd","eta","std","sta","atd","ata","qty","pax","x","time","tel","ph","mob","day","wk","week","utc","gmt","myt","lt"},0)),NOT(OR(ISNUMBER(MATCH(LEFT(BN67,255),{"0000a","000a","00a","0000aa","000aa","00aa","0aa","0000aaa","000aaa","00a00","0a00","0000-0000","00:00","a00","a0","00.00.0000","00/00/0000","00-00-0000","0000-00-00","0000/00/00","0000.00.00","00.00.00","00/00/00","00-00-00","0.00.0000","0/00/0000","0-00-0000"},0)),ISNUMBER(MATCH(LEFT(BT67,255),{"0000a","000a","00a","0000aa","000aa","00aa","0aa","0000aaa","000aaa","00a00","0a00","0000-0000","00:00","a00","a0","00.00.0000","00/00/0000","00-00-0000","0000-00-00","0000/00/00","0000.00.00","00.00.00","00/00/00","00-00-00","0.00.0000","0/00/0000","0-00-0000"},0)))),NOT(OR(AND(BW67&lt;&gt;"",SUBSTITUTE(BW67,"0","")=""),AND(LEN(BW67)&gt;=4,BW67=REPT(LEFT(BW67),LEN(BW67))),ISNUMBER(MATCH(BW67,{"123","1234","12345","123456","1234567","12345678","0123","01234","012345","98765","987654","54321"},0)),ISNUMBER(MATCH(BX67,{"x","xx","xxx","xxxx","xxxxx","abc","abcd","nil","na","nan","test","tbc","tba","tbd","dummy","sample","example","eg","zz","zzz","none","null","xyz","qwe","asd","id","ref"},0)),AND(LEN(BW67)=8,BX67="",OR(LEFT(BW67,3)="202",ISNUMBER(MATCH(RIGHT(BW67,4),{"2025","2026","2027"},0)))))),OR(AND((LEN(BT67)-LEN(SUBSTITUTE(BT67,"a","")))&gt;=1,(LEN(BN67)-LEN(SUBSTITUTE(BN67,"0","")))&gt;=2,SUMPRODUCT(--ISNUMBER(SEARCH({"a0","a-0","a_0","a/0","a.0","a#0","0a","0-a","0_a","0/a"},BN67)))&gt;0),AND((LEN(BN67)-LEN(SUBSTITUTE(BN67,"a","")))=0,(LEN(BN67)-LEN(SUBSTITUTE(BN67,"0","")))&gt;=5)))),1,0),0)</f>
        <v>0</v>
      </c>
      <c r="CA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revision",""),"version",""),"jan",""),"feb",""),"mar",""),"apr",""),"may",""),"jun",""),"jul",""),"aug",""),"sep",""),"oct",""),"nov",""),"dec",""),"utc",""),"gmt",""),"myt",""),"bst",""),"rev",""),"ver",""),"b","a"),"c","a"),"d","a"),"e","a"),"f","a"),"g","a"),"h","a"),"i","a"),"j","a"),"k","a"),"l","a"),"m","a"),"n","a"),"o","a"),"p","a"),"q","a"),"r","a"),"s","a"),"t","a"),"u","a"),"v","a"),"w","a"),"x","a"),"y","a"),"z","a")</f>
        <v/>
      </c>
      <c r="CB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amp;""),"a",""),"b",""),"c",""),"d",""),"e",""),"f",""),"g",""),"h",""),"i",""),"j",""),"k",""),"l",""),"m",""),"n",""),"o",""),"p",""),"q",""),"r",""),"s",""),"t",""),"u",""),"v",""),"w",""),"x",""),"y",""),"z",""),"-",""),"_",""),"/",""),".",""),"#",""),"\\",""),":","")," ",""),"(",""),")","")</f>
        <v/>
      </c>
      <c r="CC67" s="0" t="str">
        <f aca="false">" "&amp;TRIM(SUBSTITUTE(SUBSTITUTE(SUBSTITUTE(SUBSTITUTE(SUBSTITUTE(SUBSTITUTE(SUBSTITUTE(SUBSTITUTE(SUBSTITUTE(SUBSTITUTE(SUBSTITUTE(SUBSTITUTE(SUBSTITUTE(SUBSTITUTE(SUBSTITUTE(SUBSTITUTE(SUBSTITUTE(SUBSTITUTE(SUBSTITUTE(SUBSTITUTE(SUBSTITUTE(SUBSTITUTE(SUBSTITUTE(SUBSTITUTE(LOWER(T67&amp;""),CHAR(10)," "),CHAR(13)," "),CHAR(9)," "),CHAR(160)," "),"."," "),","," "),"-"," "),"/"," "),"("," "),")"," "),":"," "),";"," "),"_"," "),"–"," "),"?"," "),"!"," "),"*"," "),"["," "),"]"," "),"'"," "),"#"," "),"+"," "),"&amp;"," "),"\"," "))&amp;" "</f>
        <v>  </v>
      </c>
      <c r="CD67" s="0" t="str">
        <f aca="false">" "&amp;TRIM(SUBSTITUTE(SUBSTITUTE(SUBSTITUTE(SUBSTITUTE(SUBSTITUTE(SUBSTITUTE(SUBSTITUTE(SUBSTITUTE(SUBSTITUTE(SUBSTITUTE(SUBSTITUTE(SUBSTITUTE(SUBSTITUTE(SUBSTITUTE(SUBSTITUTE(SUBSTITUTE(SUBSTITUTE(SUBSTITUTE(SUBSTITUTE(SUBSTITUTE(SUBSTITUTE(SUBSTITUTE(SUBSTITUTE(SUBSTITUTE(LOWER(AE67&amp;""),CHAR(10)," "),CHAR(13)," "),CHAR(9)," "),CHAR(160)," "),"."," "),","," "),"-"," "),"/"," "),"("," "),")"," "),":"," "),";"," "),"_"," "),"–"," "),"?"," "),"!"," "),"*"," "),"["," "),"]"," "),"'"," "),"#"," "),"+"," "),"&amp;"," "),"\"," "))&amp;" "</f>
        <v>  </v>
      </c>
      <c r="CE67" s="68" t="n">
        <f aca="false">IFERROR(IF(AND(LEN(AU67)&gt;0,LEN(AU67)=LEN(AX67),OR(TRIM(MID(SUBSTITUTE(TRIM(CC67)," ",REPT(" ",60)),1,60))="",ISNUMBER(SEARCH(" "&amp;TRIM(MID(SUBSTITUTE(TRIM(CC67)," ",REPT(" ",60)),1,60))&amp;" ",CD67))),OR(TRIM(MID(SUBSTITUTE(TRIM(CC67)," ",REPT(" ",60)),61,60))="",ISNUMBER(SEARCH(" "&amp;TRIM(MID(SUBSTITUTE(TRIM(CC67)," ",REPT(" ",60)),61,60))&amp;" ",CD67))),OR(TRIM(MID(SUBSTITUTE(TRIM(CC67)," ",REPT(" ",60)),121,60))="",ISNUMBER(SEARCH(" "&amp;TRIM(MID(SUBSTITUTE(TRIM(CC67)," ",REPT(" ",60)),121,60))&amp;" ",CD67)))),1,0),0)</f>
        <v>0</v>
      </c>
      <c r="CG67" s="68" t="n">
        <f aca="false">IFERROR(LEN(SUBSTITUTE(BF67," ",""))-SUMPRODUCT((LEN(BF67)-LEN(SUBSTITUTE(BF67," "&amp;L_NAFiller&amp;" "," ")))/(LEN(L_NAFiller)+1)*LEN(L_NAFiller)),0)</f>
        <v>0</v>
      </c>
    </row>
    <row r="68" customFormat="false" ht="39.75" hidden="false" customHeight="true" outlineLevel="0" collapsed="false">
      <c r="A68" s="57" t="s">
        <v>554</v>
      </c>
      <c r="B68" s="57" t="s">
        <v>198</v>
      </c>
      <c r="C68" s="57" t="str">
        <f aca="false">Flights!$F$6</f>
        <v>MH0727</v>
      </c>
      <c r="D68" s="58" t="n">
        <f aca="false">Flights!$D$6</f>
        <v>46304</v>
      </c>
      <c r="E68" s="57" t="str">
        <f aca="false">Flights!$G$6&amp;"-"&amp;Flights!$H$6</f>
        <v>KUL-CGK</v>
      </c>
      <c r="F68" s="57" t="str">
        <f aca="false">Flights!$K$6</f>
        <v>BC</v>
      </c>
      <c r="G68" s="57" t="s">
        <v>459</v>
      </c>
      <c r="H68" s="57" t="s">
        <v>460</v>
      </c>
      <c r="I68" s="57" t="s">
        <v>447</v>
      </c>
      <c r="J68" s="57" t="s">
        <v>555</v>
      </c>
      <c r="K68" s="67" t="s">
        <v>449</v>
      </c>
      <c r="L68" s="67" t="s">
        <v>530</v>
      </c>
      <c r="M68" s="67" t="s">
        <v>451</v>
      </c>
      <c r="N68" s="67" t="s">
        <v>383</v>
      </c>
      <c r="O68" s="67"/>
      <c r="P68" s="57" t="s">
        <v>187</v>
      </c>
      <c r="Q68" s="59" t="n">
        <f aca="false">ROUND((Flights!$AF$6)*1440,0)/1440</f>
        <v>46304.5763888889</v>
      </c>
      <c r="R68" s="59" t="n">
        <f aca="false">Q68+(IF(AND(INDEX(TZ_DSTS,MATCH(P68,TZ_STN,0))&lt;&gt;"",Q68&gt;=INDEX(TZ_DSTS,MATCH(P68,TZ_STN,0)),Q68&lt;INDEX(TZ_DSTE,MATCH(P68,TZ_STN,0))),INDEX(TZ_DST,MATCH(P68,TZ_STN,0)),INDEX(TZ_STD,MATCH(P68,TZ_STN,0))))/24</f>
        <v>46304.9097222222</v>
      </c>
      <c r="S68" s="60"/>
      <c r="T68" s="60"/>
      <c r="U68" s="60"/>
      <c r="V68" s="60"/>
      <c r="W68" s="61"/>
      <c r="X68" s="60"/>
      <c r="Y68" s="60"/>
      <c r="Z68" s="60"/>
      <c r="AA68" s="60"/>
      <c r="AB68" s="60"/>
      <c r="AC68" s="60"/>
      <c r="AD68" s="66"/>
      <c r="AE68" s="60"/>
      <c r="AF68" s="61" t="str">
        <f aca="false">IF(AND(ISNUMBER(X68),ISNUMBER(Y68)),Y68-X68,"")</f>
        <v/>
      </c>
      <c r="AG68" s="62" t="str">
        <f aca="false">IF(ISNUMBER(AD68),AD68-(IF(AND(INDEX(TZ_DSTS,MATCH(P68,TZ_STN,0))&lt;&gt;"",(AD68-INDEX(TZ_STD,MATCH(P68,TZ_STN,0))/24)&gt;=INDEX(TZ_DSTS,MATCH(P68,TZ_STN,0)),(AD68-INDEX(TZ_STD,MATCH(P68,TZ_STN,0))/24)&lt;INDEX(TZ_DSTE,MATCH(P68,TZ_STN,0))),INDEX(TZ_DST,MATCH(P68,TZ_STN,0)),INDEX(TZ_STD,MATCH(P68,TZ_STN,0))))/24,"")</f>
        <v/>
      </c>
      <c r="AH68" s="65" t="str">
        <f aca="false">IFERROR(IF(N68="N/A – rule",IF(OR(TRIM(U68)="",TRIM(U68)="N/A",TRIM(U68)="Not started"),"N/A – RULE","INVALID – this check does not apply to this aircraft: clear the status (or correct the fleet on Flights)"),IF(TRIM(U68)="N/A",IF(AT68=0,"INVALID – N/A not permitted for this check",IF(AND(TRIM(AB68)&lt;&gt;"",TRIM(AB68)&lt;&gt;"Closed"),"INVALID – corrective action still open",IF(AND(NOT(OR(LEN(AZ68)&lt;15,ISNUMBER(MATCH(AZ68,L_Placeholder,0)))),BK68=0,CG68&gt;=8,NOT(OR(LEN(AU68)&lt;2,ISNUMBER(MATCH(AU68,L_Placeholder,0)))),BR68&gt;=3,NOT(OR(LEN(AX68)&lt;2,ISNUMBER(MATCH(AX68,L_Placeholder,0)))),BS68&gt;=3,TRIM(AE68)&lt;&gt;TRIM(T68),AX68&lt;&gt;AU68,CE68=0),"N/A – JUSTIFIED","INVALID – N/A needs a real, settled reason (not 'not applicable' / 'as above' / TBC), a named PIC and a different named verifier"))),IF(OR(TRIM(U68)="Pass",TRIM(U68)="Pass after CA"),IF(NOT(ISNUMBER(AD68)),"INVALID – completion time missing",IF(OR(OR(LEN(AU68)&lt;2,ISNUMBER(MATCH(AU68,L_Placeholder,0))),BR68&lt;3),"INVALID – PIC missing or not a named person (a role such as QA / CSM is not a name)",IF(OR(LEN(AV68)&lt;2,ISNUMBER(MATCH(AV68,L_Placeholder,0))),"INVALID – result / assessment missing",IF(OR(OR(LEN(AW68)&lt;3,ISNUMBER(MATCH(AW68,L_Placeholder,0))),SUMPRODUCT(--ISNUMBER(SEARCH(" "&amp;L_EvidencePhrase&amp;" ",BD68)))&gt;0,BI68=1),"INVALID – evidence missing, placeholder or not yet on file",IF(ISNA(MATCH(TRIM(S68),L_EvidenceType,0)),"INVALID – choose the evidence type from the list (column S)",IF(BL68=0,"INVALID – evidence ID must be the record's own ID only (e.g. SF-2210, IMG_2231, 1045521); a link / file name needs type 'Link / file path'",IF(OR(OR(LEN(AX68)&lt;2,ISNUMBER(MATCH(AX68,L_Placeholder,0))),BS68&lt;3),"INVALID – verifier missing or not a named person (a role such as QA / CSM is not a name)",IF(OR(AX68=AU68,CE68=1,AND(LEN(AU68)&gt;=4,ISNUMBER(SEARCH(AU68,AX68))),AND(LEN(AX68)&gt;=4,ISNUMBER(SEARCH(AX68,AU68)))),"INVALID – verifier must be a different, named person (not the PIC or a role)",IF(BH68=1,"INVALID – result not yet available (awaiting / TBC)",IF(BG68=1,"INVALID – result describes a problem: record Fail, then Pass after CA (or reword if it is not a problem)",IF(BV68=1,"INVALID – wording says not on board: an on-board confirmation needs the item loaded",IF(AND(AQ68=1,OR(OR(LEN(AY68)&lt;3,ISNUMBER(MATCH(AY68,L_Placeholder,0))),BJ68=1,BQ68=0)),"INVALID – batch ID missing, placeholder or not an ID (e.g. PASB-261008-BC-017)",IF(AND(AR68=1,OR(NOT(ISNUMBER(X68)),NOT(ISNUMBER(Y68)))),"INVALID – expected/actual qty missing",IF(AND(AR68=1,OR(X68&lt;=0,Y68&lt;0)),"INVALID – expected qty must be above 0 and actual not negative",IF(AH56="N/A – JUSTIFIED","INVALID – preparation row F02-T12-17 is N/A",IF(AND(AR68=1,ISNUMBER(X56),X68&lt;&gt;X56,TRIM(U68)&lt;&gt;"Pass after CA"),"INVALID – expected qty differs from preparation check F02-T12-17: record the load change as a corrective action (Pass after CA)",IF(BB68&lt;&gt;"",BB68,IF(AND(AS68=1,Documents!$J$6&lt;&gt;"ON FILE"),"INVALID – GLD not on file (Documents sheet)",IF(AND(AS68=2,Documents!$O$6&lt;&gt;"ON FILE"),"INVALID – menu checklist not on file (Documents sheet)",IF(AND(AS68=3,NOT(ISNUMBER(Flights!$AX$6))),"INVALID – enter carrying flight KUL departure (Flights AX)",IF(AND(AS68=3,OR(Flights!$AZ$6&gt;Flights!$AA$6,Flights!$AX$6&lt;Flights!$AA$6-3)),"INVALID – carrying flight (Flights AX) cannot arrive before this leg's STD, or is over 3 days early",IF(AG68&gt;AsOfUTC,"INVALID – completion time is in the future",IF(AND(ISNUMBER(BY68),AG68&lt;BY68),IF(H68="Physical uplift","INVALID – before uplift window (cannot confirm loading)","INVALID – before valid window"),IF(AG68&gt;Flights!$AA$6,"INVALID – completed after departure (cannot establish readiness)",IF(AND(H68="Preparation",AG68&gt;=IF(ISNUMBER(Flights!$BA$6),MIN(Flights!$BA$6,Flights!$AA$6),Flights!$AA$6)),"INVALID – completed after loading / departure (cannot establish readiness)",IF(AND(H68="Physical uplift",AG68&gt;Q68),"INVALID – recorded after the loading flight departed",IF(AG68&gt;Q68,"COMPLETE – LATE","COMPLETE"))))))))))))))))))))))))))),IF(TRIM(U68)="Fail","FAIL – DISCREPANCY",IF(AND(TRIM(U68)&lt;&gt;"",TRIM(U68)&lt;&gt;"Not started",TRIM(U68)&lt;&gt;"In progress"),"INVALID – unrecognised status (use the list)",IF(AsOfUTC&gt;Q68,"OVERDUE",IF(N68="Clarification required","OPEN – CLARIFICATION","OPEN"))))))),"INVALID – error value in an input cell")</f>
        <v>OPEN</v>
      </c>
      <c r="AI68" s="61" t="n">
        <f aca="false">IF(OR(AH68="N/A – RULE",AH68="N/A – JUSTIFIED"),0,1)</f>
        <v>1</v>
      </c>
      <c r="AJ68" s="61" t="n">
        <f aca="false">IF(LEFT(AH68,8)="COMPLETE",1,0)</f>
        <v>0</v>
      </c>
      <c r="AK68" s="61" t="n">
        <f aca="false">IF(AND(AI68=1,AJ68=0,AsOfUTC&gt;Q68),1,0)</f>
        <v>0</v>
      </c>
      <c r="AL68" s="61" t="n">
        <f aca="false">IFERROR(IF(AND(AI68=1,OR(TRIM(U68)="Fail",AND(TRIM(AB68)&lt;&gt;"",TRIM(AB68)&lt;&gt;"Closed"),AND(ISNUMBER(AF68),AF68&lt;&gt;0,TRIM(U68)&lt;&gt;"Pass after CA"))),1,0),1)</f>
        <v>0</v>
      </c>
      <c r="AM68" s="61" t="n">
        <f aca="false">IF(LEFT(AH68,7)="INVALID",1,0)</f>
        <v>0</v>
      </c>
      <c r="AN68" s="61" t="n">
        <f aca="false">IF(AND(N68="Clarification required",AI68=1,AJ68=0),1,0)</f>
        <v>0</v>
      </c>
      <c r="AO68" s="61" t="str">
        <f aca="false">IF(AK68=1,SUM(AK$5:AK68),"")</f>
        <v/>
      </c>
      <c r="AP68" s="61" t="str">
        <f aca="false">IF(AL68=1,SUM(AL$5:AL68),"")</f>
        <v/>
      </c>
      <c r="AQ68" s="61" t="n">
        <v>0</v>
      </c>
      <c r="AR68" s="61" t="n">
        <v>0</v>
      </c>
      <c r="AS68" s="61" t="n">
        <v>0</v>
      </c>
      <c r="AT68" s="61" t="n">
        <v>0</v>
      </c>
      <c r="AU68" s="61" t="str">
        <f aca="false">SUBSTITUTE(SUBSTITUTE(SUBSTITUTE(SUBSTITUTE(SUBSTITUTE(SUBSTITUTE(SUBSTITUTE(SUBSTITUTE(SUBSTITUTE(SUBSTITUTE(SUBSTITUTE(SUBSTITUTE(SUBSTITUTE(SUBSTITUTE(SUBSTITUTE(SUBSTITUTE(LOWER(T68&amp;""),CHAR(10),""),CHAR(13),""),CHAR(9),""),CHAR(160),"")," ",""),".",""),"-",""),"/",""),"?",""),"_",""),",",""),"[",""),"]",""),"(",""),")",""),"*","")</f>
        <v/>
      </c>
      <c r="AV68" s="61" t="str">
        <f aca="false">SUBSTITUTE(SUBSTITUTE(SUBSTITUTE(SUBSTITUTE(SUBSTITUTE(SUBSTITUTE(SUBSTITUTE(SUBSTITUTE(SUBSTITUTE(SUBSTITUTE(SUBSTITUTE(SUBSTITUTE(SUBSTITUTE(SUBSTITUTE(SUBSTITUTE(SUBSTITUTE(LOWER(V68&amp;""),CHAR(10),""),CHAR(13),""),CHAR(9),""),CHAR(160),"")," ",""),".",""),"-",""),"/",""),"?",""),"_",""),",",""),"[",""),"]",""),"(",""),")",""),"*","")</f>
        <v/>
      </c>
      <c r="AW68" s="61" t="str">
        <f aca="false">SUBSTITUTE(SUBSTITUTE(SUBSTITUTE(SUBSTITUTE(SUBSTITUTE(SUBSTITUTE(SUBSTITUTE(SUBSTITUTE(SUBSTITUTE(SUBSTITUTE(SUBSTITUTE(SUBSTITUTE(SUBSTITUTE(SUBSTITUTE(SUBSTITUTE(SUBSTITUTE(LOWER(Z68&amp;""),CHAR(10),""),CHAR(13),""),CHAR(9),""),CHAR(160),"")," ",""),".",""),"-",""),"/",""),"?",""),"_",""),",",""),"[",""),"]",""),"(",""),")",""),"*","")</f>
        <v/>
      </c>
      <c r="AX68" s="61" t="str">
        <f aca="false">SUBSTITUTE(SUBSTITUTE(SUBSTITUTE(SUBSTITUTE(SUBSTITUTE(SUBSTITUTE(SUBSTITUTE(SUBSTITUTE(SUBSTITUTE(SUBSTITUTE(SUBSTITUTE(SUBSTITUTE(SUBSTITUTE(SUBSTITUTE(SUBSTITUTE(SUBSTITUTE(LOWER(AE68&amp;""),CHAR(10),""),CHAR(13),""),CHAR(9),""),CHAR(160),"")," ",""),".",""),"-",""),"/",""),"?",""),"_",""),",",""),"[",""),"]",""),"(",""),")",""),"*","")</f>
        <v/>
      </c>
      <c r="AY68" s="61" t="str">
        <f aca="false">SUBSTITUTE(SUBSTITUTE(SUBSTITUTE(SUBSTITUTE(SUBSTITUTE(SUBSTITUTE(SUBSTITUTE(SUBSTITUTE(SUBSTITUTE(SUBSTITUTE(SUBSTITUTE(SUBSTITUTE(SUBSTITUTE(SUBSTITUTE(SUBSTITUTE(SUBSTITUTE(LOWER(W68&amp;""),CHAR(10),""),CHAR(13),""),CHAR(9),""),CHAR(160),"")," ",""),".",""),"-",""),"/",""),"?",""),"_",""),",",""),"[",""),"]",""),"(",""),")",""),"*","")</f>
        <v/>
      </c>
      <c r="AZ68" s="61" t="str">
        <f aca="false">SUBSTITUTE(SUBSTITUTE(SUBSTITUTE(SUBSTITUTE(SUBSTITUTE(SUBSTITUTE(SUBSTITUTE(SUBSTITUTE(SUBSTITUTE(SUBSTITUTE(SUBSTITUTE(SUBSTITUTE(SUBSTITUTE(SUBSTITUTE(SUBSTITUTE(SUBSTITUTE(LOWER(AC68&amp;""),CHAR(10),""),CHAR(13),""),CHAR(9),""),CHAR(160),"")," ",""),".",""),"-",""),"/",""),"?",""),"_",""),",",""),"[",""),"]",""),"(",""),")",""),"*","")</f>
        <v/>
      </c>
      <c r="BA68" s="61" t="str">
        <f aca="false">SUBSTITUTE(SUBSTITUTE(SUBSTITUTE(SUBSTITUTE(SUBSTITUTE(SUBSTITUTE(SUBSTITUTE(SUBSTITUTE(SUBSTITUTE(SUBSTITUTE(SUBSTITUTE(SUBSTITUTE(SUBSTITUTE(SUBSTITUTE(SUBSTITUTE(SUBSTITUTE(LOWER(AA68&amp;""),CHAR(10),""),CHAR(13),""),CHAR(9),""),CHAR(160),"")," ",""),".",""),"-",""),"/",""),"?",""),"_",""),",",""),"[",""),"]",""),"(",""),")",""),"*","")</f>
        <v/>
      </c>
      <c r="BB68" s="61" t="str">
        <f aca="false">IF(AND(TRIM(U68)="Pass",ISNUMBER(AF68)),IF(AF68&lt;&gt;0,"INVALID – qty variance: use Fail or Pass after CA",""),"")&amp;IF(AND(TRIM(U68)="Pass after CA",ISNUMBER(AF68)),IF(AF68&lt;&gt;0,"INVALID – after the corrective action the actual qty must equal expected (update Actual)",""),"")&amp;IF(AND(TRIM(U68)="Pass",TRIM(AB68)&lt;&gt;"",TRIM(AB68)&lt;&gt;"Closed"),"INVALID – corrective action not closed: use Fail, then Pass after CA","")&amp;IF(AND(LEN(BA68)&gt;=2,ISNA(MATCH(LEFT(BA68,255),L_Placeholder,0)),TRIM(AB68)=""),"INVALID – CA status missing for the recorded corrective action","")&amp;IF(AND(TRIM(U68)="Pass after CA",OR(OR(LEN(BA68)&lt;5,ISNUMBER(MATCH(BA68,L_Placeholder,0))),TRIM(AB68)&lt;&gt;"Closed")),"INVALID – corrective action not recorded/closed","")</f>
        <v/>
      </c>
      <c r="BC68" s="61" t="str">
        <f aca="false">" "&amp;TRIM(SUBSTITUTE(SUBSTITUTE(SUBSTITUTE(SUBSTITUTE(SUBSTITUTE(SUBSTITUTE(SUBSTITUTE(SUBSTITUTE(SUBSTITUTE(SUBSTITUTE(SUBSTITUTE(SUBSTITUTE(SUBSTITUTE(SUBSTITUTE(SUBSTITUTE(SUBSTITUTE(SUBSTITUTE(SUBSTITUTE(SUBSTITUTE(SUBSTITUTE(SUBSTITUTE(SUBSTITUTE(SUBSTITUTE(SUBSTITUTE(LOWER(V68&amp;""),CHAR(10)," "),CHAR(13)," "),CHAR(9)," "),CHAR(160)," "),"."," "),","," "),"-"," "),"/"," "),"("," "),")"," "),":"," "),";"," "),"_"," "),"–"," "),"?"," "),"!"," "),"*"," "),"["," "),"]"," "),"'"," "),"#"," "),"+"," "),"&amp;"," "),"\"," "))&amp;" "</f>
        <v>  </v>
      </c>
      <c r="BD68" s="61" t="str">
        <f aca="false">" "&amp;TRIM(SUBSTITUTE(SUBSTITUTE(SUBSTITUTE(SUBSTITUTE(SUBSTITUTE(SUBSTITUTE(SUBSTITUTE(SUBSTITUTE(SUBSTITUTE(SUBSTITUTE(SUBSTITUTE(SUBSTITUTE(SUBSTITUTE(SUBSTITUTE(SUBSTITUTE(SUBSTITUTE(SUBSTITUTE(SUBSTITUTE(SUBSTITUTE(SUBSTITUTE(SUBSTITUTE(SUBSTITUTE(SUBSTITUTE(SUBSTITUTE(LOWER(Z68&amp;""),CHAR(10)," "),CHAR(13)," "),CHAR(9)," "),CHAR(160)," "),"."," "),","," "),"-"," "),"/"," "),"("," "),")"," "),":"," "),";"," "),"_"," "),"–"," "),"?"," "),"!"," "),"*"," "),"["," "),"]"," "),"'"," "),"#"," "),"+"," "),"&amp;"," "),"\"," "))&amp;" "</f>
        <v>  </v>
      </c>
      <c r="BE68" s="61" t="str">
        <f aca="false">" "&amp;TRIM(SUBSTITUTE(SUBSTITUTE(SUBSTITUTE(SUBSTITUTE(SUBSTITUTE(SUBSTITUTE(SUBSTITUTE(SUBSTITUTE(SUBSTITUTE(SUBSTITUTE(SUBSTITUTE(SUBSTITUTE(SUBSTITUTE(SUBSTITUTE(SUBSTITUTE(SUBSTITUTE(SUBSTITUTE(SUBSTITUTE(SUBSTITUTE(SUBSTITUTE(SUBSTITUTE(SUBSTITUTE(SUBSTITUTE(SUBSTITUTE(LOWER(W68&amp;""),CHAR(10)," "),CHAR(13)," "),CHAR(9)," "),CHAR(160)," "),"."," "),","," "),"-"," "),"/"," "),"("," "),")"," "),":"," "),";"," "),"_"," "),"–"," "),"?"," "),"!"," "),"*"," "),"["," "),"]"," "),"'"," "),"#"," "),"+"," "),"&amp;"," "),"\"," "))&amp;" "</f>
        <v>  </v>
      </c>
      <c r="BF68" s="61" t="str">
        <f aca="false">" "&amp;TRIM(SUBSTITUTE(SUBSTITUTE(SUBSTITUTE(SUBSTITUTE(SUBSTITUTE(SUBSTITUTE(SUBSTITUTE(SUBSTITUTE(SUBSTITUTE(SUBSTITUTE(SUBSTITUTE(SUBSTITUTE(SUBSTITUTE(SUBSTITUTE(SUBSTITUTE(SUBSTITUTE(SUBSTITUTE(SUBSTITUTE(SUBSTITUTE(SUBSTITUTE(SUBSTITUTE(SUBSTITUTE(SUBSTITUTE(SUBSTITUTE(LOWER(AC68&amp;""),CHAR(10)," "),CHAR(13)," "),CHAR(9)," "),CHAR(160)," "),"."," "),","," "),"-"," "),"/"," "),"("," "),")"," "),":"," "),";"," "),"_"," "),"–"," "),"?"," "),"!"," "),"*"," "),"["," "),"]"," "),"'"," "),"#"," "),"+"," "),"&amp;"," "),"\"," "))&amp;" "</f>
        <v>  </v>
      </c>
      <c r="BG68" s="61" t="n">
        <f aca="false">IFERROR(IF(AND(TRIM(U68)="Pass",SUMPRODUCT((LEN(BC68)-LEN(SUBSTITUTE(BC68," "&amp;L_ResultBad&amp;" "," ")))/(LEN(L_ResultBad)+1))&gt;SUMPRODUCT((LEN(BC68)-LEN(SUBSTITUTE(BC68," "&amp;L_NegPhrase&amp;" "," ")))/(LEN(L_NegPhrase)+1))),1,0),0)</f>
        <v>0</v>
      </c>
      <c r="BH68" s="61" t="n">
        <f aca="false">IFERROR(IF(SUMPRODUCT((LEN(BC68)-LEN(SUBSTITUTE(BC68," "&amp;L_Pending&amp;" "," ")))/(LEN(L_Pending)+1))&gt;SUMPRODUCT((LEN(BC68)-LEN(SUBSTITUTE(BC68," "&amp;L_PendNeg&amp;" "," ")))/(LEN(L_PendNeg)+1)),1,0),1)</f>
        <v>0</v>
      </c>
      <c r="BI68" s="61" t="n">
        <f aca="false">IFERROR(IF(SUMPRODUCT((LEN(BD68)-LEN(SUBSTITUTE(BD68," "&amp;L_PendStrict&amp;" "," ")))/(LEN(L_PendStrict)+1))&gt;SUMPRODUCT((LEN(BD68)-LEN(SUBSTITUTE(BD68," "&amp;L_PendNeg&amp;" "," ")))/(LEN(L_PendNeg)+1)),1,0),1)</f>
        <v>0</v>
      </c>
      <c r="BJ68" s="61" t="n">
        <f aca="false">IFERROR(IF(SUMPRODUCT((LEN(BE68)-LEN(SUBSTITUTE(BE68," "&amp;L_Pending&amp;" "," ")))/(LEN(L_Pending)+1))&gt;SUMPRODUCT((LEN(BE68)-LEN(SUBSTITUTE(BE68," "&amp;L_PendNeg&amp;" "," ")))/(LEN(L_PendNeg)+1)),1,0),1)</f>
        <v>0</v>
      </c>
      <c r="BK68" s="61" t="n">
        <f aca="false">IFERROR(IF(SUMPRODUCT((LEN(BF68)-LEN(SUBSTITUTE(BF68," "&amp;L_PendStrict&amp;" "," ")))/(LEN(L_PendStrict)+1))&gt;SUMPRODUCT((LEN(BF68)-LEN(SUBSTITUTE(BF68," "&amp;L_PendNeg&amp;" "," ")))/(LEN(L_PendNeg)+1)),1,0),1)</f>
        <v>0</v>
      </c>
      <c r="BL68" s="61" t="n">
        <f aca="false">IF(ISNA(MATCH(TRIM(S68),L_EvidenceType,0)),0,BZ68)</f>
        <v>0</v>
      </c>
      <c r="BM68" s="61" t="str">
        <f aca="false">SUBSTITUTE(SUBSTITUTE(SUBSTITUTE(SUBSTITUTE(SUBSTITUTE(SUBSTITUTE(SUBSTITUTE(SUBSTITUTE(SUBSTITUTE(LOWER(Z68&amp;""),"1","0"),"2","0"),"3","0"),"4","0"),"5","0"),"6","0"),"7","0"),"8","0"),"9","0")</f>
        <v/>
      </c>
      <c r="BN68" s="61" t="str">
        <f aca="false">SUBSTITUTE(SUBSTITUTE(SUBSTITUTE(SUBSTITUTE(SUBSTITUTE(SUBSTITUTE(SUBSTITUTE(SUBSTITUTE(SUBSTITUTE(SUBSTITUTE(SUBSTITUTE(SUBSTITUTE(SUBSTITUTE(SUBSTITUTE(SUBSTITUTE(SUBSTITUTE(SUBSTITUTE(SUBSTITUTE(SUBSTITUTE(SUBSTITUTE(SUBSTITUTE(SUBSTITUTE(SUBSTITUTE(SUBSTITUTE(SUBSTITUTE(BM68,"b","a"),"c","a"),"d","a"),"e","a"),"f","a"),"g","a"),"h","a"),"i","a"),"j","a"),"k","a"),"l","a"),"m","a"),"n","a"),"o","a"),"p","a"),"q","a"),"r","a"),"s","a"),"t","a"),"u","a"),"v","a"),"w","a"),"x","a"),"y","a"),"z","a")</f>
        <v/>
      </c>
      <c r="BO68" s="61" t="str">
        <f aca="false">SUBSTITUTE(SUBSTITUTE(SUBSTITUTE(SUBSTITUTE(SUBSTITUTE(SUBSTITUTE(SUBSTITUTE(SUBSTITUTE(SUBSTITUTE(LOWER(W68&amp;""),"1","0"),"2","0"),"3","0"),"4","0"),"5","0"),"6","0"),"7","0"),"8","0"),"9","0")</f>
        <v/>
      </c>
      <c r="BP68" s="61" t="str">
        <f aca="false">SUBSTITUTE(SUBSTITUTE(SUBSTITUTE(SUBSTITUTE(SUBSTITUTE(SUBSTITUTE(SUBSTITUTE(SUBSTITUTE(SUBSTITUTE(SUBSTITUTE(SUBSTITUTE(SUBSTITUTE(SUBSTITUTE(SUBSTITUTE(SUBSTITUTE(SUBSTITUTE(SUBSTITUTE(SUBSTITUTE(SUBSTITUTE(SUBSTITUTE(SUBSTITUTE(SUBSTITUTE(SUBSTITUTE(SUBSTITUTE(SUBSTITUTE(BO68,"b","a"),"c","a"),"d","a"),"e","a"),"f","a"),"g","a"),"h","a"),"i","a"),"j","a"),"k","a"),"l","a"),"m","a"),"n","a"),"o","a"),"p","a"),"q","a"),"r","a"),"s","a"),"t","a"),"u","a"),"v","a"),"w","a"),"x","a"),"y","a"),"z","a")</f>
        <v/>
      </c>
      <c r="BQ68" s="61" t="n">
        <f aca="false">IFERROR(IF(AND(ISERROR(SEARCH(" mh"," "&amp;LOWER(W68))),ISNA(MATCH(LEFT(TRIM(BP68),255),{"0000a","000a","00a","0000aa","000aa","00aa","0aa","0000aaa","000aaa","00a00","0a00","0000-0000","00:00","a00","a0","00.00.0000","00/00/0000","00-00-0000","0000-00-00","0000/00/00","0000.00.00","00.00.00","00/00/00","00-00-00","0.00.0000","0/00/0000","0-00-0000"},0)),ISNA(MATCH(LEFT(TRIM(CA68),255),{"0000a","000a","00a","0000aa","000aa","00aa","0aa","0000aaa","000aaa","00a00","0a00","0000-0000","00:00","a00","a0","00.00.0000","00/00/0000","00-00-0000","0000-00-00","0000/00/00","0000.00.00","00.00.00","00/00/00","00-00-00","0.00.0000","0/00/0000","0-00-0000"},0)),LEN(CB68)&gt;=3,NOT(OR(SUBSTITUTE(CB68,"0","")="",AND(LEN(CB68)&gt;=4,CB68=REPT(LEFT(CB68),LEN(CB68))),ISNUMBER(MATCH(CB68,{"123","1234","12345","123456","1234567","12345678","0123","01234","012345","98765","987654","54321"},0)),AND(LEN(CB68)=8,LEFT(CB68,3)="202"))),OR(AND((LEN(CA68)-LEN(SUBSTITUTE(CA68,"a","")))&gt;=1,SUMPRODUCT(--ISNUMBER(SEARCH({"a0","a-0","a_0","a/0","a.0","a#0","0a","0-a","0_a","0/a"},BP68)))&gt;0),ISNUMBER(SEARCH("000000",BP68)))),1,0),0)</f>
        <v>0</v>
      </c>
      <c r="BR68" s="61" t="n">
        <f aca="false">IFERROR(LEN(SUBSTITUTE(CC68," ",""))-SUMPRODUCT((LEN(CC68)-LEN(SUBSTITUTE(CC68," "&amp;L_Role&amp;" "," ")))/(LEN(L_Role)+1)*LEN(L_Role)),0)</f>
        <v>0</v>
      </c>
      <c r="BS68" s="61" t="n">
        <f aca="false">IFERROR(LEN(SUBSTITUTE(CD68," ",""))-SUMPRODUCT((LEN(CD68)-LEN(SUBSTITUTE(CD68," "&amp;L_Role&amp;" "," ")))/(LEN(L_Role)+1)*LEN(L_Role)),0)</f>
        <v>0</v>
      </c>
      <c r="BT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revision",""),"version",""),"jan",""),"feb",""),"mar",""),"apr",""),"may",""),"jun",""),"jul",""),"aug",""),"sep",""),"oct",""),"nov",""),"dec",""),"utc",""),"gmt",""),"myt",""),"bst",""),"rev",""),"ver",""),"b","a"),"c","a"),"d","a"),"e","a"),"f","a"),"g","a"),"h","a"),"i","a"),"j","a"),"k","a"),"l","a"),"m","a"),"n","a"),"o","a"),"p","a"),"q","a"),"r","a"),"s","a"),"t","a"),"u","a"),"v","a"),"w","a"),"x","a"),"y","a"),"z","a")</f>
        <v/>
      </c>
      <c r="BU68" s="61" t="str">
        <f aca="false">SUBSTITUTE(SUBSTITUTE(SUBSTITUTE(SUBSTITUTE(SUBSTITUTE(SUBSTITUTE(SUBSTITUTE(SUBSTITUTE(SUBSTITUTE(SUBSTITUTE(LEFT(BM68,FIND("0",BM68&amp;"0")-1),"-",""),"_",""),"/",""),".",""),"#",""),"\\",""),":","")," ",""),"(",""),")","")</f>
        <v/>
      </c>
      <c r="BV68" s="61" t="n">
        <f aca="false">IFERROR(IF(OR(SUMPRODUCT((LEN(BC68)-LEN(SUBSTITUTE(BC68," "&amp;L_NotLoaded&amp;" "," ")))/(LEN(L_NotLoaded)+1))&gt;SUMPRODUCT((LEN(BC68)-LEN(SUBSTITUTE(BC68," "&amp;L_NotLoadedNeg&amp;" "," ")))/(LEN(L_NotLoadedNeg)+1)),SUMPRODUCT((LEN(BD68)-LEN(SUBSTITUTE(BD68," "&amp;L_NotLoaded&amp;" "," ")))/(LEN(L_NotLoaded)+1))&gt;SUMPRODUCT((LEN(BD68)-LEN(SUBSTITUTE(BD68," "&amp;L_NotLoadedNeg&amp;" "," ")))/(LEN(L_NotLoadedNeg)+1))),1,0),0)</f>
        <v>0</v>
      </c>
      <c r="BW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amp;""),"a",""),"b",""),"c",""),"d",""),"e",""),"f",""),"g",""),"h",""),"i",""),"j",""),"k",""),"l",""),"m",""),"n",""),"o",""),"p",""),"q",""),"r",""),"s",""),"t",""),"u",""),"v",""),"w",""),"x",""),"y",""),"z",""),"-",""),"_",""),"/",""),".",""),"#",""),"\\",""),":","")," ",""),"(",""),")","")</f>
        <v/>
      </c>
      <c r="BX68" s="61" t="str">
        <f aca="false">SUBSTITUTE(SUBSTITUTE(SUBSTITUTE(SUBSTITUTE(SUBSTITUTE(SUBSTITUTE(SUBSTITUTE(SUBSTITUTE(SUBSTITUTE(SUBSTITUTE(SUBSTITUTE(BM68,"0",""),"-",""),"_",""),"/",""),".",""),"#",""),"\\",""),":","")," ",""),"(",""),")","")</f>
        <v/>
      </c>
      <c r="BY68" s="62" t="n">
        <f aca="false">IF(ISNUMBER(Flights!$AZ$6),MAX(Q68-UpliftWindowH/24,Flights!$AZ$6),Q68-UpliftWindowH/24)</f>
        <v>46304.3263888889</v>
      </c>
      <c r="BZ68" s="61" t="n">
        <f aca="false">IFERROR(IF(IF(TRIM(S68)="Link / file path",AND(LEN(TRIM(Z68))&gt;=5,SUMPRODUCT(--ISNUMBER(SEARCH({"http","www.","\\",":\",".pdf",".jpg",".jpeg",".png",".heic",".xls",".doc",".msg",".eml",".ppt",".txt",".zip"},Z68)))&gt;0),AND(ISERROR(FIND(" ",TRIM(Z68))),NOT(OR(SUMPRODUCT(--ISNUMBER(FIND({",",";","&amp;","+"},Z68)))&gt;0,SUMPRODUCT(--ISNUMBER(SEARCH({"0/aa","0\\aa"},BN68)))&gt;0)),NOT(SUMPRODUCT(--ISNUMBER(SEARCH({"http","www.","\\",":\",".pdf",".jpg",".jpeg",".png",".heic",".xls",".doc",".msg",".eml",".ppt",".txt",".zip"},Z68)))&gt;0),NOT(LOWER(TRIM(Z68))=LOWER(Flights!$F$6)),ISNA(MATCH(BU68,{"mh","rev","revision","ver","version","v","r","a","b","seat","tray","row","gate","bay","stand","page","pg","item","line","no","cart","galley","flight","flt","table","box","bag","oven","etd","eta","std","sta","atd","ata","qty","pax","x","time","tel","ph","mob","day","wk","week","utc","gmt","myt","lt"},0)),NOT(OR(ISNUMBER(MATCH(LEFT(BN68,255),{"0000a","000a","00a","0000aa","000aa","00aa","0aa","0000aaa","000aaa","00a00","0a00","0000-0000","00:00","a00","a0","00.00.0000","00/00/0000","00-00-0000","0000-00-00","0000/00/00","0000.00.00","00.00.00","00/00/00","00-00-00","0.00.0000","0/00/0000","0-00-0000"},0)),ISNUMBER(MATCH(LEFT(BT68,255),{"0000a","000a","00a","0000aa","000aa","00aa","0aa","0000aaa","000aaa","00a00","0a00","0000-0000","00:00","a00","a0","00.00.0000","00/00/0000","00-00-0000","0000-00-00","0000/00/00","0000.00.00","00.00.00","00/00/00","00-00-00","0.00.0000","0/00/0000","0-00-0000"},0)))),NOT(OR(AND(BW68&lt;&gt;"",SUBSTITUTE(BW68,"0","")=""),AND(LEN(BW68)&gt;=4,BW68=REPT(LEFT(BW68),LEN(BW68))),ISNUMBER(MATCH(BW68,{"123","1234","12345","123456","1234567","12345678","0123","01234","012345","98765","987654","54321"},0)),ISNUMBER(MATCH(BX68,{"x","xx","xxx","xxxx","xxxxx","abc","abcd","nil","na","nan","test","tbc","tba","tbd","dummy","sample","example","eg","zz","zzz","none","null","xyz","qwe","asd","id","ref"},0)),AND(LEN(BW68)=8,BX68="",OR(LEFT(BW68,3)="202",ISNUMBER(MATCH(RIGHT(BW68,4),{"2025","2026","2027"},0)))))),OR(AND((LEN(BT68)-LEN(SUBSTITUTE(BT68,"a","")))&gt;=1,(LEN(BN68)-LEN(SUBSTITUTE(BN68,"0","")))&gt;=2,SUMPRODUCT(--ISNUMBER(SEARCH({"a0","a-0","a_0","a/0","a.0","a#0","0a","0-a","0_a","0/a"},BN68)))&gt;0),AND((LEN(BN68)-LEN(SUBSTITUTE(BN68,"a","")))=0,(LEN(BN68)-LEN(SUBSTITUTE(BN68,"0","")))&gt;=5)))),1,0),0)</f>
        <v>0</v>
      </c>
      <c r="CA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revision",""),"version",""),"jan",""),"feb",""),"mar",""),"apr",""),"may",""),"jun",""),"jul",""),"aug",""),"sep",""),"oct",""),"nov",""),"dec",""),"utc",""),"gmt",""),"myt",""),"bst",""),"rev",""),"ver",""),"b","a"),"c","a"),"d","a"),"e","a"),"f","a"),"g","a"),"h","a"),"i","a"),"j","a"),"k","a"),"l","a"),"m","a"),"n","a"),"o","a"),"p","a"),"q","a"),"r","a"),"s","a"),"t","a"),"u","a"),"v","a"),"w","a"),"x","a"),"y","a"),"z","a")</f>
        <v/>
      </c>
      <c r="CB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amp;""),"a",""),"b",""),"c",""),"d",""),"e",""),"f",""),"g",""),"h",""),"i",""),"j",""),"k",""),"l",""),"m",""),"n",""),"o",""),"p",""),"q",""),"r",""),"s",""),"t",""),"u",""),"v",""),"w",""),"x",""),"y",""),"z",""),"-",""),"_",""),"/",""),".",""),"#",""),"\\",""),":","")," ",""),"(",""),")","")</f>
        <v/>
      </c>
      <c r="CC68" s="0" t="str">
        <f aca="false">" "&amp;TRIM(SUBSTITUTE(SUBSTITUTE(SUBSTITUTE(SUBSTITUTE(SUBSTITUTE(SUBSTITUTE(SUBSTITUTE(SUBSTITUTE(SUBSTITUTE(SUBSTITUTE(SUBSTITUTE(SUBSTITUTE(SUBSTITUTE(SUBSTITUTE(SUBSTITUTE(SUBSTITUTE(SUBSTITUTE(SUBSTITUTE(SUBSTITUTE(SUBSTITUTE(SUBSTITUTE(SUBSTITUTE(SUBSTITUTE(SUBSTITUTE(LOWER(T68&amp;""),CHAR(10)," "),CHAR(13)," "),CHAR(9)," "),CHAR(160)," "),"."," "),","," "),"-"," "),"/"," "),"("," "),")"," "),":"," "),";"," "),"_"," "),"–"," "),"?"," "),"!"," "),"*"," "),"["," "),"]"," "),"'"," "),"#"," "),"+"," "),"&amp;"," "),"\"," "))&amp;" "</f>
        <v>  </v>
      </c>
      <c r="CD68" s="0" t="str">
        <f aca="false">" "&amp;TRIM(SUBSTITUTE(SUBSTITUTE(SUBSTITUTE(SUBSTITUTE(SUBSTITUTE(SUBSTITUTE(SUBSTITUTE(SUBSTITUTE(SUBSTITUTE(SUBSTITUTE(SUBSTITUTE(SUBSTITUTE(SUBSTITUTE(SUBSTITUTE(SUBSTITUTE(SUBSTITUTE(SUBSTITUTE(SUBSTITUTE(SUBSTITUTE(SUBSTITUTE(SUBSTITUTE(SUBSTITUTE(SUBSTITUTE(SUBSTITUTE(LOWER(AE68&amp;""),CHAR(10)," "),CHAR(13)," "),CHAR(9)," "),CHAR(160)," "),"."," "),","," "),"-"," "),"/"," "),"("," "),")"," "),":"," "),";"," "),"_"," "),"–"," "),"?"," "),"!"," "),"*"," "),"["," "),"]"," "),"'"," "),"#"," "),"+"," "),"&amp;"," "),"\"," "))&amp;" "</f>
        <v>  </v>
      </c>
      <c r="CE68" s="68" t="n">
        <f aca="false">IFERROR(IF(AND(LEN(AU68)&gt;0,LEN(AU68)=LEN(AX68),OR(TRIM(MID(SUBSTITUTE(TRIM(CC68)," ",REPT(" ",60)),1,60))="",ISNUMBER(SEARCH(" "&amp;TRIM(MID(SUBSTITUTE(TRIM(CC68)," ",REPT(" ",60)),1,60))&amp;" ",CD68))),OR(TRIM(MID(SUBSTITUTE(TRIM(CC68)," ",REPT(" ",60)),61,60))="",ISNUMBER(SEARCH(" "&amp;TRIM(MID(SUBSTITUTE(TRIM(CC68)," ",REPT(" ",60)),61,60))&amp;" ",CD68))),OR(TRIM(MID(SUBSTITUTE(TRIM(CC68)," ",REPT(" ",60)),121,60))="",ISNUMBER(SEARCH(" "&amp;TRIM(MID(SUBSTITUTE(TRIM(CC68)," ",REPT(" ",60)),121,60))&amp;" ",CD68)))),1,0),0)</f>
        <v>0</v>
      </c>
      <c r="CG68" s="68" t="n">
        <f aca="false">IFERROR(LEN(SUBSTITUTE(BF68," ",""))-SUMPRODUCT((LEN(BF68)-LEN(SUBSTITUTE(BF68," "&amp;L_NAFiller&amp;" "," ")))/(LEN(L_NAFiller)+1)*LEN(L_NAFiller)),0)</f>
        <v>0</v>
      </c>
    </row>
    <row r="69" customFormat="false" ht="39.75" hidden="false" customHeight="true" outlineLevel="0" collapsed="false">
      <c r="A69" s="57" t="s">
        <v>556</v>
      </c>
      <c r="B69" s="57" t="s">
        <v>212</v>
      </c>
      <c r="C69" s="57" t="str">
        <f aca="false">Flights!$F$7</f>
        <v>MH0720</v>
      </c>
      <c r="D69" s="58" t="n">
        <f aca="false">Flights!$D$7</f>
        <v>46305</v>
      </c>
      <c r="E69" s="57" t="str">
        <f aca="false">Flights!$G$7&amp;"-"&amp;Flights!$H$7</f>
        <v>CGK-KUL</v>
      </c>
      <c r="F69" s="57" t="str">
        <f aca="false">Flights!$K$7</f>
        <v>EY</v>
      </c>
      <c r="G69" s="57" t="s">
        <v>81</v>
      </c>
      <c r="H69" s="57" t="s">
        <v>378</v>
      </c>
      <c r="I69" s="57" t="s">
        <v>379</v>
      </c>
      <c r="J69" s="57" t="s">
        <v>380</v>
      </c>
      <c r="K69" s="67" t="s">
        <v>381</v>
      </c>
      <c r="L69" s="67" t="s">
        <v>382</v>
      </c>
      <c r="M69" s="67"/>
      <c r="N69" s="67" t="s">
        <v>383</v>
      </c>
      <c r="O69" s="67"/>
      <c r="P69" s="57" t="s">
        <v>201</v>
      </c>
      <c r="Q69" s="59" t="n">
        <f aca="false">ROUND((Flights!$AC$7)*1440,0)/1440</f>
        <v>46298.3784722222</v>
      </c>
      <c r="R69" s="59" t="n">
        <f aca="false">Q69+(IF(AND(INDEX(TZ_DSTS,MATCH(P69,TZ_STN,0))&lt;&gt;"",Q69&gt;=INDEX(TZ_DSTS,MATCH(P69,TZ_STN,0)),Q69&lt;INDEX(TZ_DSTE,MATCH(P69,TZ_STN,0))),INDEX(TZ_DST,MATCH(P69,TZ_STN,0)),INDEX(TZ_STD,MATCH(P69,TZ_STN,0))))/24</f>
        <v>46298.6701388889</v>
      </c>
      <c r="S69" s="60"/>
      <c r="T69" s="60"/>
      <c r="U69" s="60"/>
      <c r="V69" s="60"/>
      <c r="W69" s="61"/>
      <c r="X69" s="60"/>
      <c r="Y69" s="60"/>
      <c r="Z69" s="60"/>
      <c r="AA69" s="60"/>
      <c r="AB69" s="60"/>
      <c r="AC69" s="60"/>
      <c r="AD69" s="66"/>
      <c r="AE69" s="60"/>
      <c r="AF69" s="61" t="str">
        <f aca="false">IF(AND(ISNUMBER(X69),ISNUMBER(Y69)),Y69-X69,"")</f>
        <v/>
      </c>
      <c r="AG69" s="62" t="str">
        <f aca="false">IF(ISNUMBER(AD69),AD69-(IF(AND(INDEX(TZ_DSTS,MATCH(P69,TZ_STN,0))&lt;&gt;"",(AD69-INDEX(TZ_STD,MATCH(P69,TZ_STN,0))/24)&gt;=INDEX(TZ_DSTS,MATCH(P69,TZ_STN,0)),(AD69-INDEX(TZ_STD,MATCH(P69,TZ_STN,0))/24)&lt;INDEX(TZ_DSTE,MATCH(P69,TZ_STN,0))),INDEX(TZ_DST,MATCH(P69,TZ_STN,0)),INDEX(TZ_STD,MATCH(P69,TZ_STN,0))))/24,"")</f>
        <v/>
      </c>
      <c r="AH69" s="65" t="str">
        <f aca="false">IFERROR(IF(N69="N/A – rule",IF(OR(TRIM(U69)="",TRIM(U69)="N/A",TRIM(U69)="Not started"),"N/A – RULE","INVALID – this check does not apply to this aircraft: clear the status (or correct the fleet on Flights)"),IF(TRIM(U69)="N/A",IF(AT69=0,"INVALID – N/A not permitted for this check",IF(AND(TRIM(AB69)&lt;&gt;"",TRIM(AB69)&lt;&gt;"Closed"),"INVALID – corrective action still open",IF(AND(NOT(OR(LEN(AZ69)&lt;15,ISNUMBER(MATCH(AZ69,L_Placeholder,0)))),BK69=0,CG69&gt;=8,NOT(OR(LEN(AU69)&lt;2,ISNUMBER(MATCH(AU69,L_Placeholder,0)))),BR69&gt;=3,NOT(OR(LEN(AX69)&lt;2,ISNUMBER(MATCH(AX69,L_Placeholder,0)))),BS69&gt;=3,TRIM(AE69)&lt;&gt;TRIM(T69),AX69&lt;&gt;AU69,CE69=0),"N/A – JUSTIFIED","INVALID – N/A needs a real, settled reason (not 'not applicable' / 'as above' / TBC), a named PIC and a different named verifier"))),IF(OR(TRIM(U69)="Pass",TRIM(U69)="Pass after CA"),IF(NOT(ISNUMBER(AD69)),"INVALID – completion time missing",IF(OR(OR(LEN(AU69)&lt;2,ISNUMBER(MATCH(AU69,L_Placeholder,0))),BR69&lt;3),"INVALID – PIC missing or not a named person (a role such as QA / CSM is not a name)",IF(OR(LEN(AV69)&lt;2,ISNUMBER(MATCH(AV69,L_Placeholder,0))),"INVALID – result / assessment missing",IF(OR(OR(LEN(AW69)&lt;3,ISNUMBER(MATCH(AW69,L_Placeholder,0))),SUMPRODUCT(--ISNUMBER(SEARCH(" "&amp;L_EvidencePhrase&amp;" ",BD69)))&gt;0,BI69=1),"INVALID – evidence missing, placeholder or not yet on file",IF(ISNA(MATCH(TRIM(S69),L_EvidenceType,0)),"INVALID – choose the evidence type from the list (column S)",IF(BL69=0,"INVALID – evidence ID must be the record's own ID only (e.g. SF-2210, IMG_2231, 1045521); a link / file name needs type 'Link / file path'",IF(OR(OR(LEN(AX69)&lt;2,ISNUMBER(MATCH(AX69,L_Placeholder,0))),BS69&lt;3),"INVALID – verifier missing or not a named person (a role such as QA / CSM is not a name)",IF(OR(AX69=AU69,CE69=1,AND(LEN(AU69)&gt;=4,ISNUMBER(SEARCH(AU69,AX69))),AND(LEN(AX69)&gt;=4,ISNUMBER(SEARCH(AX69,AU69)))),"INVALID – verifier must be a different, named person (not the PIC or a role)",IF(BH69=1,"INVALID – result not yet available (awaiting / TBC)",IF(BG69=1,"INVALID – result describes a problem: record Fail, then Pass after CA (or reword if it is not a problem)",IF(BV69=1,"INVALID – wording says not on board: an on-board confirmation needs the item loaded",IF(AND(AQ69=1,OR(OR(LEN(AY69)&lt;3,ISNUMBER(MATCH(AY69,L_Placeholder,0))),BJ69=1,BQ69=0)),"INVALID – batch ID missing, placeholder or not an ID (e.g. PASB-261008-BC-017)",IF(AND(AR69=1,OR(NOT(ISNUMBER(X69)),NOT(ISNUMBER(Y69)))),"INVALID – expected/actual qty missing",IF(AND(AR69=1,OR(X69&lt;=0,Y69&lt;0)),"INVALID – expected qty must be above 0 and actual not negative",IF(BB69&lt;&gt;"",BB69,IF(AND(AS69=1,Documents!$J$7&lt;&gt;"ON FILE"),"INVALID – GLD not on file (Documents sheet)",IF(AND(AS69=2,Documents!$O$7&lt;&gt;"ON FILE"),"INVALID – menu checklist not on file (Documents sheet)",IF(AND(AS69=3,NOT(ISNUMBER(Flights!$AX$7))),"INVALID – enter carrying flight KUL departure (Flights AX)",IF(AND(AS69=3,OR(Flights!$AZ$7&gt;Flights!$AA$7,Flights!$AX$7&lt;Flights!$AA$7-3)),"INVALID – carrying flight (Flights AX) cannot arrive before this leg's STD, or is over 3 days early",IF(AG69&gt;AsOfUTC,"INVALID – completion time is in the future",IF(AND(ISNUMBER(BY69),AG69&lt;BY69),IF(H69="Physical uplift","INVALID – before uplift window (cannot confirm loading)","INVALID – before valid window"),IF(AG69&gt;Flights!$AA$7,"INVALID – completed after departure (cannot establish readiness)",IF(AND(H69="Preparation",AG69&gt;=IF(ISNUMBER(Flights!$BA$7),MIN(Flights!$BA$7,Flights!$AA$7),Flights!$AA$7)),"INVALID – completed after loading / departure (cannot establish readiness)",IF(AND(H69="Physical uplift",AG69&gt;Q69),"INVALID – recorded after the loading flight departed",IF(AG69&gt;Q69,"COMPLETE – LATE","COMPLETE"))))))))))))))))))))))))),IF(TRIM(U69)="Fail","FAIL – DISCREPANCY",IF(AND(TRIM(U69)&lt;&gt;"",TRIM(U69)&lt;&gt;"Not started",TRIM(U69)&lt;&gt;"In progress"),"INVALID – unrecognised status (use the list)",IF(AsOfUTC&gt;Q69,"OVERDUE",IF(N69="Clarification required","OPEN – CLARIFICATION","OPEN"))))))),"INVALID – error value in an input cell")</f>
        <v>OPEN</v>
      </c>
      <c r="AI69" s="61" t="n">
        <f aca="false">IF(OR(AH69="N/A – RULE",AH69="N/A – JUSTIFIED"),0,1)</f>
        <v>1</v>
      </c>
      <c r="AJ69" s="61" t="n">
        <f aca="false">IF(LEFT(AH69,8)="COMPLETE",1,0)</f>
        <v>0</v>
      </c>
      <c r="AK69" s="61" t="n">
        <f aca="false">IF(AND(AI69=1,AJ69=0,AsOfUTC&gt;Q69),1,0)</f>
        <v>0</v>
      </c>
      <c r="AL69" s="61" t="n">
        <f aca="false">IFERROR(IF(AND(AI69=1,OR(TRIM(U69)="Fail",AND(TRIM(AB69)&lt;&gt;"",TRIM(AB69)&lt;&gt;"Closed"),AND(ISNUMBER(AF69),AF69&lt;&gt;0,TRIM(U69)&lt;&gt;"Pass after CA"))),1,0),1)</f>
        <v>0</v>
      </c>
      <c r="AM69" s="61" t="n">
        <f aca="false">IF(LEFT(AH69,7)="INVALID",1,0)</f>
        <v>0</v>
      </c>
      <c r="AN69" s="61" t="n">
        <f aca="false">IF(AND(N69="Clarification required",AI69=1,AJ69=0),1,0)</f>
        <v>0</v>
      </c>
      <c r="AO69" s="61" t="str">
        <f aca="false">IF(AK69=1,SUM(AK$5:AK69),"")</f>
        <v/>
      </c>
      <c r="AP69" s="61" t="str">
        <f aca="false">IF(AL69=1,SUM(AL$5:AL69),"")</f>
        <v/>
      </c>
      <c r="AQ69" s="61" t="n">
        <v>0</v>
      </c>
      <c r="AR69" s="61" t="n">
        <v>0</v>
      </c>
      <c r="AS69" s="61" t="n">
        <v>0</v>
      </c>
      <c r="AT69" s="61" t="n">
        <v>0</v>
      </c>
      <c r="AU69" s="61" t="str">
        <f aca="false">SUBSTITUTE(SUBSTITUTE(SUBSTITUTE(SUBSTITUTE(SUBSTITUTE(SUBSTITUTE(SUBSTITUTE(SUBSTITUTE(SUBSTITUTE(SUBSTITUTE(SUBSTITUTE(SUBSTITUTE(SUBSTITUTE(SUBSTITUTE(SUBSTITUTE(SUBSTITUTE(LOWER(T69&amp;""),CHAR(10),""),CHAR(13),""),CHAR(9),""),CHAR(160),"")," ",""),".",""),"-",""),"/",""),"?",""),"_",""),",",""),"[",""),"]",""),"(",""),")",""),"*","")</f>
        <v/>
      </c>
      <c r="AV69" s="61" t="str">
        <f aca="false">SUBSTITUTE(SUBSTITUTE(SUBSTITUTE(SUBSTITUTE(SUBSTITUTE(SUBSTITUTE(SUBSTITUTE(SUBSTITUTE(SUBSTITUTE(SUBSTITUTE(SUBSTITUTE(SUBSTITUTE(SUBSTITUTE(SUBSTITUTE(SUBSTITUTE(SUBSTITUTE(LOWER(V69&amp;""),CHAR(10),""),CHAR(13),""),CHAR(9),""),CHAR(160),"")," ",""),".",""),"-",""),"/",""),"?",""),"_",""),",",""),"[",""),"]",""),"(",""),")",""),"*","")</f>
        <v/>
      </c>
      <c r="AW69" s="61" t="str">
        <f aca="false">SUBSTITUTE(SUBSTITUTE(SUBSTITUTE(SUBSTITUTE(SUBSTITUTE(SUBSTITUTE(SUBSTITUTE(SUBSTITUTE(SUBSTITUTE(SUBSTITUTE(SUBSTITUTE(SUBSTITUTE(SUBSTITUTE(SUBSTITUTE(SUBSTITUTE(SUBSTITUTE(LOWER(Z69&amp;""),CHAR(10),""),CHAR(13),""),CHAR(9),""),CHAR(160),"")," ",""),".",""),"-",""),"/",""),"?",""),"_",""),",",""),"[",""),"]",""),"(",""),")",""),"*","")</f>
        <v/>
      </c>
      <c r="AX69" s="61" t="str">
        <f aca="false">SUBSTITUTE(SUBSTITUTE(SUBSTITUTE(SUBSTITUTE(SUBSTITUTE(SUBSTITUTE(SUBSTITUTE(SUBSTITUTE(SUBSTITUTE(SUBSTITUTE(SUBSTITUTE(SUBSTITUTE(SUBSTITUTE(SUBSTITUTE(SUBSTITUTE(SUBSTITUTE(LOWER(AE69&amp;""),CHAR(10),""),CHAR(13),""),CHAR(9),""),CHAR(160),"")," ",""),".",""),"-",""),"/",""),"?",""),"_",""),",",""),"[",""),"]",""),"(",""),")",""),"*","")</f>
        <v/>
      </c>
      <c r="AY69" s="61" t="str">
        <f aca="false">SUBSTITUTE(SUBSTITUTE(SUBSTITUTE(SUBSTITUTE(SUBSTITUTE(SUBSTITUTE(SUBSTITUTE(SUBSTITUTE(SUBSTITUTE(SUBSTITUTE(SUBSTITUTE(SUBSTITUTE(SUBSTITUTE(SUBSTITUTE(SUBSTITUTE(SUBSTITUTE(LOWER(W69&amp;""),CHAR(10),""),CHAR(13),""),CHAR(9),""),CHAR(160),"")," ",""),".",""),"-",""),"/",""),"?",""),"_",""),",",""),"[",""),"]",""),"(",""),")",""),"*","")</f>
        <v/>
      </c>
      <c r="AZ69" s="61" t="str">
        <f aca="false">SUBSTITUTE(SUBSTITUTE(SUBSTITUTE(SUBSTITUTE(SUBSTITUTE(SUBSTITUTE(SUBSTITUTE(SUBSTITUTE(SUBSTITUTE(SUBSTITUTE(SUBSTITUTE(SUBSTITUTE(SUBSTITUTE(SUBSTITUTE(SUBSTITUTE(SUBSTITUTE(LOWER(AC69&amp;""),CHAR(10),""),CHAR(13),""),CHAR(9),""),CHAR(160),"")," ",""),".",""),"-",""),"/",""),"?",""),"_",""),",",""),"[",""),"]",""),"(",""),")",""),"*","")</f>
        <v/>
      </c>
      <c r="BA69" s="61" t="str">
        <f aca="false">SUBSTITUTE(SUBSTITUTE(SUBSTITUTE(SUBSTITUTE(SUBSTITUTE(SUBSTITUTE(SUBSTITUTE(SUBSTITUTE(SUBSTITUTE(SUBSTITUTE(SUBSTITUTE(SUBSTITUTE(SUBSTITUTE(SUBSTITUTE(SUBSTITUTE(SUBSTITUTE(LOWER(AA69&amp;""),CHAR(10),""),CHAR(13),""),CHAR(9),""),CHAR(160),"")," ",""),".",""),"-",""),"/",""),"?",""),"_",""),",",""),"[",""),"]",""),"(",""),")",""),"*","")</f>
        <v/>
      </c>
      <c r="BB69" s="61" t="str">
        <f aca="false">IF(AND(TRIM(U69)="Pass",ISNUMBER(AF69)),IF(AF69&lt;&gt;0,"INVALID – qty variance: use Fail or Pass after CA",""),"")&amp;IF(AND(TRIM(U69)="Pass after CA",ISNUMBER(AF69)),IF(AF69&lt;&gt;0,"INVALID – after the corrective action the actual qty must equal expected (update Actual)",""),"")&amp;IF(AND(TRIM(U69)="Pass",TRIM(AB69)&lt;&gt;"",TRIM(AB69)&lt;&gt;"Closed"),"INVALID – corrective action not closed: use Fail, then Pass after CA","")&amp;IF(AND(LEN(BA69)&gt;=2,ISNA(MATCH(LEFT(BA69,255),L_Placeholder,0)),TRIM(AB69)=""),"INVALID – CA status missing for the recorded corrective action","")&amp;IF(AND(TRIM(U69)="Pass after CA",OR(OR(LEN(BA69)&lt;5,ISNUMBER(MATCH(BA69,L_Placeholder,0))),TRIM(AB69)&lt;&gt;"Closed")),"INVALID – corrective action not recorded/closed","")</f>
        <v/>
      </c>
      <c r="BC69" s="61" t="str">
        <f aca="false">" "&amp;TRIM(SUBSTITUTE(SUBSTITUTE(SUBSTITUTE(SUBSTITUTE(SUBSTITUTE(SUBSTITUTE(SUBSTITUTE(SUBSTITUTE(SUBSTITUTE(SUBSTITUTE(SUBSTITUTE(SUBSTITUTE(SUBSTITUTE(SUBSTITUTE(SUBSTITUTE(SUBSTITUTE(SUBSTITUTE(SUBSTITUTE(SUBSTITUTE(SUBSTITUTE(SUBSTITUTE(SUBSTITUTE(SUBSTITUTE(SUBSTITUTE(LOWER(V69&amp;""),CHAR(10)," "),CHAR(13)," "),CHAR(9)," "),CHAR(160)," "),"."," "),","," "),"-"," "),"/"," "),"("," "),")"," "),":"," "),";"," "),"_"," "),"–"," "),"?"," "),"!"," "),"*"," "),"["," "),"]"," "),"'"," "),"#"," "),"+"," "),"&amp;"," "),"\"," "))&amp;" "</f>
        <v>  </v>
      </c>
      <c r="BD69" s="61" t="str">
        <f aca="false">" "&amp;TRIM(SUBSTITUTE(SUBSTITUTE(SUBSTITUTE(SUBSTITUTE(SUBSTITUTE(SUBSTITUTE(SUBSTITUTE(SUBSTITUTE(SUBSTITUTE(SUBSTITUTE(SUBSTITUTE(SUBSTITUTE(SUBSTITUTE(SUBSTITUTE(SUBSTITUTE(SUBSTITUTE(SUBSTITUTE(SUBSTITUTE(SUBSTITUTE(SUBSTITUTE(SUBSTITUTE(SUBSTITUTE(SUBSTITUTE(SUBSTITUTE(LOWER(Z69&amp;""),CHAR(10)," "),CHAR(13)," "),CHAR(9)," "),CHAR(160)," "),"."," "),","," "),"-"," "),"/"," "),"("," "),")"," "),":"," "),";"," "),"_"," "),"–"," "),"?"," "),"!"," "),"*"," "),"["," "),"]"," "),"'"," "),"#"," "),"+"," "),"&amp;"," "),"\"," "))&amp;" "</f>
        <v>  </v>
      </c>
      <c r="BE69" s="61" t="str">
        <f aca="false">" "&amp;TRIM(SUBSTITUTE(SUBSTITUTE(SUBSTITUTE(SUBSTITUTE(SUBSTITUTE(SUBSTITUTE(SUBSTITUTE(SUBSTITUTE(SUBSTITUTE(SUBSTITUTE(SUBSTITUTE(SUBSTITUTE(SUBSTITUTE(SUBSTITUTE(SUBSTITUTE(SUBSTITUTE(SUBSTITUTE(SUBSTITUTE(SUBSTITUTE(SUBSTITUTE(SUBSTITUTE(SUBSTITUTE(SUBSTITUTE(SUBSTITUTE(LOWER(W69&amp;""),CHAR(10)," "),CHAR(13)," "),CHAR(9)," "),CHAR(160)," "),"."," "),","," "),"-"," "),"/"," "),"("," "),")"," "),":"," "),";"," "),"_"," "),"–"," "),"?"," "),"!"," "),"*"," "),"["," "),"]"," "),"'"," "),"#"," "),"+"," "),"&amp;"," "),"\"," "))&amp;" "</f>
        <v>  </v>
      </c>
      <c r="BF69" s="61" t="str">
        <f aca="false">" "&amp;TRIM(SUBSTITUTE(SUBSTITUTE(SUBSTITUTE(SUBSTITUTE(SUBSTITUTE(SUBSTITUTE(SUBSTITUTE(SUBSTITUTE(SUBSTITUTE(SUBSTITUTE(SUBSTITUTE(SUBSTITUTE(SUBSTITUTE(SUBSTITUTE(SUBSTITUTE(SUBSTITUTE(SUBSTITUTE(SUBSTITUTE(SUBSTITUTE(SUBSTITUTE(SUBSTITUTE(SUBSTITUTE(SUBSTITUTE(SUBSTITUTE(LOWER(AC69&amp;""),CHAR(10)," "),CHAR(13)," "),CHAR(9)," "),CHAR(160)," "),"."," "),","," "),"-"," "),"/"," "),"("," "),")"," "),":"," "),";"," "),"_"," "),"–"," "),"?"," "),"!"," "),"*"," "),"["," "),"]"," "),"'"," "),"#"," "),"+"," "),"&amp;"," "),"\"," "))&amp;" "</f>
        <v>  </v>
      </c>
      <c r="BG69" s="61" t="n">
        <f aca="false">IFERROR(IF(AND(TRIM(U69)="Pass",SUMPRODUCT((LEN(BC69)-LEN(SUBSTITUTE(BC69," "&amp;L_ResultBad&amp;" "," ")))/(LEN(L_ResultBad)+1))&gt;SUMPRODUCT((LEN(BC69)-LEN(SUBSTITUTE(BC69," "&amp;L_NegPhrase&amp;" "," ")))/(LEN(L_NegPhrase)+1))),1,0),0)</f>
        <v>0</v>
      </c>
      <c r="BH69" s="61" t="n">
        <f aca="false">IFERROR(IF(SUMPRODUCT((LEN(BC69)-LEN(SUBSTITUTE(BC69," "&amp;L_Pending&amp;" "," ")))/(LEN(L_Pending)+1))&gt;SUMPRODUCT((LEN(BC69)-LEN(SUBSTITUTE(BC69," "&amp;L_PendNeg&amp;" "," ")))/(LEN(L_PendNeg)+1))+SUMPRODUCT((LEN(BC69)-LEN(SUBSTITUTE(BC69," "&amp;L_PendPrep&amp;" "," ")))/(LEN(L_PendPrep)+1)),1,0),1)</f>
        <v>0</v>
      </c>
      <c r="BI69" s="61" t="n">
        <f aca="false">IFERROR(IF(SUMPRODUCT((LEN(BD69)-LEN(SUBSTITUTE(BD69," "&amp;L_PendStrict&amp;" "," ")))/(LEN(L_PendStrict)+1))&gt;SUMPRODUCT((LEN(BD69)-LEN(SUBSTITUTE(BD69," "&amp;L_PendNeg&amp;" "," ")))/(LEN(L_PendNeg)+1)),1,0),1)</f>
        <v>0</v>
      </c>
      <c r="BJ69" s="61" t="n">
        <f aca="false">IFERROR(IF(SUMPRODUCT((LEN(BE69)-LEN(SUBSTITUTE(BE69," "&amp;L_Pending&amp;" "," ")))/(LEN(L_Pending)+1))&gt;SUMPRODUCT((LEN(BE69)-LEN(SUBSTITUTE(BE69," "&amp;L_PendNeg&amp;" "," ")))/(LEN(L_PendNeg)+1))+SUMPRODUCT((LEN(BE69)-LEN(SUBSTITUTE(BE69," "&amp;L_PendPrep&amp;" "," ")))/(LEN(L_PendPrep)+1)),1,0),1)</f>
        <v>0</v>
      </c>
      <c r="BK69" s="61" t="n">
        <f aca="false">IFERROR(IF(SUMPRODUCT((LEN(BF69)-LEN(SUBSTITUTE(BF69," "&amp;L_PendStrict&amp;" "," ")))/(LEN(L_PendStrict)+1))&gt;SUMPRODUCT((LEN(BF69)-LEN(SUBSTITUTE(BF69," "&amp;L_PendNeg&amp;" "," ")))/(LEN(L_PendNeg)+1)),1,0),1)</f>
        <v>0</v>
      </c>
      <c r="BL69" s="61" t="n">
        <f aca="false">IF(ISNA(MATCH(TRIM(S69),L_EvidenceType,0)),0,BZ69)</f>
        <v>0</v>
      </c>
      <c r="BM69" s="61" t="str">
        <f aca="false">SUBSTITUTE(SUBSTITUTE(SUBSTITUTE(SUBSTITUTE(SUBSTITUTE(SUBSTITUTE(SUBSTITUTE(SUBSTITUTE(SUBSTITUTE(LOWER(Z69&amp;""),"1","0"),"2","0"),"3","0"),"4","0"),"5","0"),"6","0"),"7","0"),"8","0"),"9","0")</f>
        <v/>
      </c>
      <c r="BN69" s="61" t="str">
        <f aca="false">SUBSTITUTE(SUBSTITUTE(SUBSTITUTE(SUBSTITUTE(SUBSTITUTE(SUBSTITUTE(SUBSTITUTE(SUBSTITUTE(SUBSTITUTE(SUBSTITUTE(SUBSTITUTE(SUBSTITUTE(SUBSTITUTE(SUBSTITUTE(SUBSTITUTE(SUBSTITUTE(SUBSTITUTE(SUBSTITUTE(SUBSTITUTE(SUBSTITUTE(SUBSTITUTE(SUBSTITUTE(SUBSTITUTE(SUBSTITUTE(SUBSTITUTE(BM69,"b","a"),"c","a"),"d","a"),"e","a"),"f","a"),"g","a"),"h","a"),"i","a"),"j","a"),"k","a"),"l","a"),"m","a"),"n","a"),"o","a"),"p","a"),"q","a"),"r","a"),"s","a"),"t","a"),"u","a"),"v","a"),"w","a"),"x","a"),"y","a"),"z","a")</f>
        <v/>
      </c>
      <c r="BO69" s="61" t="str">
        <f aca="false">SUBSTITUTE(SUBSTITUTE(SUBSTITUTE(SUBSTITUTE(SUBSTITUTE(SUBSTITUTE(SUBSTITUTE(SUBSTITUTE(SUBSTITUTE(LOWER(W69&amp;""),"1","0"),"2","0"),"3","0"),"4","0"),"5","0"),"6","0"),"7","0"),"8","0"),"9","0")</f>
        <v/>
      </c>
      <c r="BP69" s="61" t="str">
        <f aca="false">SUBSTITUTE(SUBSTITUTE(SUBSTITUTE(SUBSTITUTE(SUBSTITUTE(SUBSTITUTE(SUBSTITUTE(SUBSTITUTE(SUBSTITUTE(SUBSTITUTE(SUBSTITUTE(SUBSTITUTE(SUBSTITUTE(SUBSTITUTE(SUBSTITUTE(SUBSTITUTE(SUBSTITUTE(SUBSTITUTE(SUBSTITUTE(SUBSTITUTE(SUBSTITUTE(SUBSTITUTE(SUBSTITUTE(SUBSTITUTE(SUBSTITUTE(BO69,"b","a"),"c","a"),"d","a"),"e","a"),"f","a"),"g","a"),"h","a"),"i","a"),"j","a"),"k","a"),"l","a"),"m","a"),"n","a"),"o","a"),"p","a"),"q","a"),"r","a"),"s","a"),"t","a"),"u","a"),"v","a"),"w","a"),"x","a"),"y","a"),"z","a")</f>
        <v/>
      </c>
      <c r="BQ69" s="61" t="n">
        <f aca="false">IFERROR(IF(AND(ISERROR(SEARCH(" mh"," "&amp;LOWER(W69))),ISNA(MATCH(LEFT(TRIM(BP69),255),{"0000a","000a","00a","0000aa","000aa","00aa","0aa","0000aaa","000aaa","00a00","0a00","0000-0000","00:00","a00","a0","00.00.0000","00/00/0000","00-00-0000","0000-00-00","0000/00/00","0000.00.00","00.00.00","00/00/00","00-00-00","0.00.0000","0/00/0000","0-00-0000"},0)),ISNA(MATCH(LEFT(TRIM(CA69),255),{"0000a","000a","00a","0000aa","000aa","00aa","0aa","0000aaa","000aaa","00a00","0a00","0000-0000","00:00","a00","a0","00.00.0000","00/00/0000","00-00-0000","0000-00-00","0000/00/00","0000.00.00","00.00.00","00/00/00","00-00-00","0.00.0000","0/00/0000","0-00-0000"},0)),LEN(CB69)&gt;=3,NOT(OR(SUBSTITUTE(CB69,"0","")="",AND(LEN(CB69)&gt;=4,CB69=REPT(LEFT(CB69),LEN(CB69))),ISNUMBER(MATCH(CB69,{"123","1234","12345","123456","1234567","12345678","0123","01234","012345","98765","987654","54321"},0)),AND(LEN(CB69)=8,LEFT(CB69,3)="202"))),OR(AND((LEN(CA69)-LEN(SUBSTITUTE(CA69,"a","")))&gt;=1,SUMPRODUCT(--ISNUMBER(SEARCH({"a0","a-0","a_0","a/0","a.0","a#0","0a","0-a","0_a","0/a"},BP69)))&gt;0),ISNUMBER(SEARCH("000000",BP69)))),1,0),0)</f>
        <v>0</v>
      </c>
      <c r="BR69" s="61" t="n">
        <f aca="false">IFERROR(LEN(SUBSTITUTE(CC69," ",""))-SUMPRODUCT((LEN(CC69)-LEN(SUBSTITUTE(CC69," "&amp;L_Role&amp;" "," ")))/(LEN(L_Role)+1)*LEN(L_Role)),0)</f>
        <v>0</v>
      </c>
      <c r="BS69" s="61" t="n">
        <f aca="false">IFERROR(LEN(SUBSTITUTE(CD69," ",""))-SUMPRODUCT((LEN(CD69)-LEN(SUBSTITUTE(CD69," "&amp;L_Role&amp;" "," ")))/(LEN(L_Role)+1)*LEN(L_Role)),0)</f>
        <v>0</v>
      </c>
      <c r="BT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revision",""),"version",""),"jan",""),"feb",""),"mar",""),"apr",""),"may",""),"jun",""),"jul",""),"aug",""),"sep",""),"oct",""),"nov",""),"dec",""),"utc",""),"gmt",""),"myt",""),"bst",""),"rev",""),"ver",""),"b","a"),"c","a"),"d","a"),"e","a"),"f","a"),"g","a"),"h","a"),"i","a"),"j","a"),"k","a"),"l","a"),"m","a"),"n","a"),"o","a"),"p","a"),"q","a"),"r","a"),"s","a"),"t","a"),"u","a"),"v","a"),"w","a"),"x","a"),"y","a"),"z","a")</f>
        <v/>
      </c>
      <c r="BU69" s="61" t="str">
        <f aca="false">SUBSTITUTE(SUBSTITUTE(SUBSTITUTE(SUBSTITUTE(SUBSTITUTE(SUBSTITUTE(SUBSTITUTE(SUBSTITUTE(SUBSTITUTE(SUBSTITUTE(LEFT(BM69,FIND("0",BM69&amp;"0")-1),"-",""),"_",""),"/",""),".",""),"#",""),"\\",""),":","")," ",""),"(",""),")","")</f>
        <v/>
      </c>
      <c r="BV69" s="61" t="n">
        <f aca="false">0</f>
        <v>0</v>
      </c>
      <c r="BW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amp;""),"a",""),"b",""),"c",""),"d",""),"e",""),"f",""),"g",""),"h",""),"i",""),"j",""),"k",""),"l",""),"m",""),"n",""),"o",""),"p",""),"q",""),"r",""),"s",""),"t",""),"u",""),"v",""),"w",""),"x",""),"y",""),"z",""),"-",""),"_",""),"/",""),".",""),"#",""),"\\",""),":","")," ",""),"(",""),")","")</f>
        <v/>
      </c>
      <c r="BX69" s="61" t="str">
        <f aca="false">SUBSTITUTE(SUBSTITUTE(SUBSTITUTE(SUBSTITUTE(SUBSTITUTE(SUBSTITUTE(SUBSTITUTE(SUBSTITUTE(SUBSTITUTE(SUBSTITUTE(SUBSTITUTE(BM69,"0",""),"-",""),"_",""),"/",""),".",""),"#",""),"\\",""),":","")," ",""),"(",""),")","")</f>
        <v/>
      </c>
      <c r="BY69" s="62" t="n">
        <f aca="false">Q69-T7EarlyD*24/24</f>
        <v>46284.3784722222</v>
      </c>
      <c r="BZ69" s="61" t="n">
        <f aca="false">IFERROR(IF(IF(TRIM(S69)="Link / file path",AND(LEN(TRIM(Z69))&gt;=5,SUMPRODUCT(--ISNUMBER(SEARCH({"http","www.","\\",":\",".pdf",".jpg",".jpeg",".png",".heic",".xls",".doc",".msg",".eml",".ppt",".txt",".zip"},Z69)))&gt;0),AND(ISERROR(FIND(" ",TRIM(Z69))),NOT(OR(SUMPRODUCT(--ISNUMBER(FIND({",",";","&amp;","+"},Z69)))&gt;0,SUMPRODUCT(--ISNUMBER(SEARCH({"0/aa","0\\aa"},BN69)))&gt;0)),NOT(SUMPRODUCT(--ISNUMBER(SEARCH({"http","www.","\\",":\",".pdf",".jpg",".jpeg",".png",".heic",".xls",".doc",".msg",".eml",".ppt",".txt",".zip"},Z69)))&gt;0),NOT(LOWER(TRIM(Z69))=LOWER(Flights!$F$7)),ISNA(MATCH(BU69,{"mh","rev","revision","ver","version","v","r","a","b","seat","tray","row","gate","bay","stand","page","pg","item","line","no","cart","galley","flight","flt","table","box","bag","oven","etd","eta","std","sta","atd","ata","qty","pax","x","time","tel","ph","mob","day","wk","week","utc","gmt","myt","lt"},0)),NOT(OR(ISNUMBER(MATCH(LEFT(BN69,255),{"0000a","000a","00a","0000aa","000aa","00aa","0aa","0000aaa","000aaa","00a00","0a00","0000-0000","00:00","a00","a0","00.00.0000","00/00/0000","00-00-0000","0000-00-00","0000/00/00","0000.00.00","00.00.00","00/00/00","00-00-00","0.00.0000","0/00/0000","0-00-0000"},0)),ISNUMBER(MATCH(LEFT(BT69,255),{"0000a","000a","00a","0000aa","000aa","00aa","0aa","0000aaa","000aaa","00a00","0a00","0000-0000","00:00","a00","a0","00.00.0000","00/00/0000","00-00-0000","0000-00-00","0000/00/00","0000.00.00","00.00.00","00/00/00","00-00-00","0.00.0000","0/00/0000","0-00-0000"},0)))),NOT(OR(AND(BW69&lt;&gt;"",SUBSTITUTE(BW69,"0","")=""),AND(LEN(BW69)&gt;=4,BW69=REPT(LEFT(BW69),LEN(BW69))),ISNUMBER(MATCH(BW69,{"123","1234","12345","123456","1234567","12345678","0123","01234","012345","98765","987654","54321"},0)),ISNUMBER(MATCH(BX69,{"x","xx","xxx","xxxx","xxxxx","abc","abcd","nil","na","nan","test","tbc","tba","tbd","dummy","sample","example","eg","zz","zzz","none","null","xyz","qwe","asd","id","ref"},0)),AND(LEN(BW69)=8,BX69="",OR(LEFT(BW69,3)="202",ISNUMBER(MATCH(RIGHT(BW69,4),{"2025","2026","2027"},0)))))),OR(AND((LEN(BT69)-LEN(SUBSTITUTE(BT69,"a","")))&gt;=1,(LEN(BN69)-LEN(SUBSTITUTE(BN69,"0","")))&gt;=2,SUMPRODUCT(--ISNUMBER(SEARCH({"a0","a-0","a_0","a/0","a.0","a#0","0a","0-a","0_a","0/a"},BN69)))&gt;0),AND((LEN(BN69)-LEN(SUBSTITUTE(BN69,"a","")))=0,(LEN(BN69)-LEN(SUBSTITUTE(BN69,"0","")))&gt;=5)))),1,0),0)</f>
        <v>0</v>
      </c>
      <c r="CA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revision",""),"version",""),"jan",""),"feb",""),"mar",""),"apr",""),"may",""),"jun",""),"jul",""),"aug",""),"sep",""),"oct",""),"nov",""),"dec",""),"utc",""),"gmt",""),"myt",""),"bst",""),"rev",""),"ver",""),"b","a"),"c","a"),"d","a"),"e","a"),"f","a"),"g","a"),"h","a"),"i","a"),"j","a"),"k","a"),"l","a"),"m","a"),"n","a"),"o","a"),"p","a"),"q","a"),"r","a"),"s","a"),"t","a"),"u","a"),"v","a"),"w","a"),"x","a"),"y","a"),"z","a")</f>
        <v/>
      </c>
      <c r="CB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amp;""),"a",""),"b",""),"c",""),"d",""),"e",""),"f",""),"g",""),"h",""),"i",""),"j",""),"k",""),"l",""),"m",""),"n",""),"o",""),"p",""),"q",""),"r",""),"s",""),"t",""),"u",""),"v",""),"w",""),"x",""),"y",""),"z",""),"-",""),"_",""),"/",""),".",""),"#",""),"\\",""),":","")," ",""),"(",""),")","")</f>
        <v/>
      </c>
      <c r="CC69" s="0" t="str">
        <f aca="false">" "&amp;TRIM(SUBSTITUTE(SUBSTITUTE(SUBSTITUTE(SUBSTITUTE(SUBSTITUTE(SUBSTITUTE(SUBSTITUTE(SUBSTITUTE(SUBSTITUTE(SUBSTITUTE(SUBSTITUTE(SUBSTITUTE(SUBSTITUTE(SUBSTITUTE(SUBSTITUTE(SUBSTITUTE(SUBSTITUTE(SUBSTITUTE(SUBSTITUTE(SUBSTITUTE(SUBSTITUTE(SUBSTITUTE(SUBSTITUTE(SUBSTITUTE(LOWER(T69&amp;""),CHAR(10)," "),CHAR(13)," "),CHAR(9)," "),CHAR(160)," "),"."," "),","," "),"-"," "),"/"," "),"("," "),")"," "),":"," "),";"," "),"_"," "),"–"," "),"?"," "),"!"," "),"*"," "),"["," "),"]"," "),"'"," "),"#"," "),"+"," "),"&amp;"," "),"\"," "))&amp;" "</f>
        <v>  </v>
      </c>
      <c r="CD69" s="0" t="str">
        <f aca="false">" "&amp;TRIM(SUBSTITUTE(SUBSTITUTE(SUBSTITUTE(SUBSTITUTE(SUBSTITUTE(SUBSTITUTE(SUBSTITUTE(SUBSTITUTE(SUBSTITUTE(SUBSTITUTE(SUBSTITUTE(SUBSTITUTE(SUBSTITUTE(SUBSTITUTE(SUBSTITUTE(SUBSTITUTE(SUBSTITUTE(SUBSTITUTE(SUBSTITUTE(SUBSTITUTE(SUBSTITUTE(SUBSTITUTE(SUBSTITUTE(SUBSTITUTE(LOWER(AE69&amp;""),CHAR(10)," "),CHAR(13)," "),CHAR(9)," "),CHAR(160)," "),"."," "),","," "),"-"," "),"/"," "),"("," "),")"," "),":"," "),";"," "),"_"," "),"–"," "),"?"," "),"!"," "),"*"," "),"["," "),"]"," "),"'"," "),"#"," "),"+"," "),"&amp;"," "),"\"," "))&amp;" "</f>
        <v>  </v>
      </c>
      <c r="CE69" s="68" t="n">
        <f aca="false">IFERROR(IF(AND(LEN(AU69)&gt;0,LEN(AU69)=LEN(AX69),OR(TRIM(MID(SUBSTITUTE(TRIM(CC69)," ",REPT(" ",60)),1,60))="",ISNUMBER(SEARCH(" "&amp;TRIM(MID(SUBSTITUTE(TRIM(CC69)," ",REPT(" ",60)),1,60))&amp;" ",CD69))),OR(TRIM(MID(SUBSTITUTE(TRIM(CC69)," ",REPT(" ",60)),61,60))="",ISNUMBER(SEARCH(" "&amp;TRIM(MID(SUBSTITUTE(TRIM(CC69)," ",REPT(" ",60)),61,60))&amp;" ",CD69))),OR(TRIM(MID(SUBSTITUTE(TRIM(CC69)," ",REPT(" ",60)),121,60))="",ISNUMBER(SEARCH(" "&amp;TRIM(MID(SUBSTITUTE(TRIM(CC69)," ",REPT(" ",60)),121,60))&amp;" ",CD69)))),1,0),0)</f>
        <v>0</v>
      </c>
      <c r="CG69" s="68" t="n">
        <f aca="false">IFERROR(LEN(SUBSTITUTE(BF69," ",""))-SUMPRODUCT((LEN(BF69)-LEN(SUBSTITUTE(BF69," "&amp;L_NAFiller&amp;" "," ")))/(LEN(L_NAFiller)+1)*LEN(L_NAFiller)),0)</f>
        <v>0</v>
      </c>
    </row>
    <row r="70" customFormat="false" ht="39.75" hidden="false" customHeight="true" outlineLevel="0" collapsed="false">
      <c r="A70" s="57" t="s">
        <v>557</v>
      </c>
      <c r="B70" s="57" t="s">
        <v>212</v>
      </c>
      <c r="C70" s="57" t="str">
        <f aca="false">Flights!$F$7</f>
        <v>MH0720</v>
      </c>
      <c r="D70" s="58" t="n">
        <f aca="false">Flights!$D$7</f>
        <v>46305</v>
      </c>
      <c r="E70" s="57" t="str">
        <f aca="false">Flights!$G$7&amp;"-"&amp;Flights!$H$7</f>
        <v>CGK-KUL</v>
      </c>
      <c r="F70" s="57" t="str">
        <f aca="false">Flights!$K$7</f>
        <v>EY</v>
      </c>
      <c r="G70" s="57" t="s">
        <v>81</v>
      </c>
      <c r="H70" s="57" t="s">
        <v>378</v>
      </c>
      <c r="I70" s="57" t="s">
        <v>385</v>
      </c>
      <c r="J70" s="57" t="s">
        <v>386</v>
      </c>
      <c r="K70" s="67" t="s">
        <v>387</v>
      </c>
      <c r="L70" s="67" t="s">
        <v>382</v>
      </c>
      <c r="M70" s="67"/>
      <c r="N70" s="67" t="s">
        <v>383</v>
      </c>
      <c r="O70" s="67"/>
      <c r="P70" s="57" t="s">
        <v>201</v>
      </c>
      <c r="Q70" s="59" t="n">
        <f aca="false">ROUND((Flights!$AC$7)*1440,0)/1440</f>
        <v>46298.3784722222</v>
      </c>
      <c r="R70" s="59" t="n">
        <f aca="false">Q70+(IF(AND(INDEX(TZ_DSTS,MATCH(P70,TZ_STN,0))&lt;&gt;"",Q70&gt;=INDEX(TZ_DSTS,MATCH(P70,TZ_STN,0)),Q70&lt;INDEX(TZ_DSTE,MATCH(P70,TZ_STN,0))),INDEX(TZ_DST,MATCH(P70,TZ_STN,0)),INDEX(TZ_STD,MATCH(P70,TZ_STN,0))))/24</f>
        <v>46298.6701388889</v>
      </c>
      <c r="S70" s="60"/>
      <c r="T70" s="60"/>
      <c r="U70" s="60"/>
      <c r="V70" s="60"/>
      <c r="W70" s="61"/>
      <c r="X70" s="60"/>
      <c r="Y70" s="60"/>
      <c r="Z70" s="60"/>
      <c r="AA70" s="60"/>
      <c r="AB70" s="60"/>
      <c r="AC70" s="60"/>
      <c r="AD70" s="66"/>
      <c r="AE70" s="60"/>
      <c r="AF70" s="61" t="str">
        <f aca="false">IF(AND(ISNUMBER(X70),ISNUMBER(Y70)),Y70-X70,"")</f>
        <v/>
      </c>
      <c r="AG70" s="62" t="str">
        <f aca="false">IF(ISNUMBER(AD70),AD70-(IF(AND(INDEX(TZ_DSTS,MATCH(P70,TZ_STN,0))&lt;&gt;"",(AD70-INDEX(TZ_STD,MATCH(P70,TZ_STN,0))/24)&gt;=INDEX(TZ_DSTS,MATCH(P70,TZ_STN,0)),(AD70-INDEX(TZ_STD,MATCH(P70,TZ_STN,0))/24)&lt;INDEX(TZ_DSTE,MATCH(P70,TZ_STN,0))),INDEX(TZ_DST,MATCH(P70,TZ_STN,0)),INDEX(TZ_STD,MATCH(P70,TZ_STN,0))))/24,"")</f>
        <v/>
      </c>
      <c r="AH70" s="65" t="str">
        <f aca="false">IFERROR(IF(N70="N/A – rule",IF(OR(TRIM(U70)="",TRIM(U70)="N/A",TRIM(U70)="Not started"),"N/A – RULE","INVALID – this check does not apply to this aircraft: clear the status (or correct the fleet on Flights)"),IF(TRIM(U70)="N/A",IF(AT70=0,"INVALID – N/A not permitted for this check",IF(AND(TRIM(AB70)&lt;&gt;"",TRIM(AB70)&lt;&gt;"Closed"),"INVALID – corrective action still open",IF(AND(NOT(OR(LEN(AZ70)&lt;15,ISNUMBER(MATCH(AZ70,L_Placeholder,0)))),BK70=0,CG70&gt;=8,NOT(OR(LEN(AU70)&lt;2,ISNUMBER(MATCH(AU70,L_Placeholder,0)))),BR70&gt;=3,NOT(OR(LEN(AX70)&lt;2,ISNUMBER(MATCH(AX70,L_Placeholder,0)))),BS70&gt;=3,TRIM(AE70)&lt;&gt;TRIM(T70),AX70&lt;&gt;AU70,CE70=0),"N/A – JUSTIFIED","INVALID – N/A needs a real, settled reason (not 'not applicable' / 'as above' / TBC), a named PIC and a different named verifier"))),IF(OR(TRIM(U70)="Pass",TRIM(U70)="Pass after CA"),IF(NOT(ISNUMBER(AD70)),"INVALID – completion time missing",IF(OR(OR(LEN(AU70)&lt;2,ISNUMBER(MATCH(AU70,L_Placeholder,0))),BR70&lt;3),"INVALID – PIC missing or not a named person (a role such as QA / CSM is not a name)",IF(OR(LEN(AV70)&lt;2,ISNUMBER(MATCH(AV70,L_Placeholder,0))),"INVALID – result / assessment missing",IF(OR(OR(LEN(AW70)&lt;3,ISNUMBER(MATCH(AW70,L_Placeholder,0))),SUMPRODUCT(--ISNUMBER(SEARCH(" "&amp;L_EvidencePhrase&amp;" ",BD70)))&gt;0,BI70=1),"INVALID – evidence missing, placeholder or not yet on file",IF(ISNA(MATCH(TRIM(S70),L_EvidenceType,0)),"INVALID – choose the evidence type from the list (column S)",IF(BL70=0,"INVALID – evidence ID must be the record's own ID only (e.g. SF-2210, IMG_2231, 1045521); a link / file name needs type 'Link / file path'",IF(OR(OR(LEN(AX70)&lt;2,ISNUMBER(MATCH(AX70,L_Placeholder,0))),BS70&lt;3),"INVALID – verifier missing or not a named person (a role such as QA / CSM is not a name)",IF(OR(AX70=AU70,CE70=1,AND(LEN(AU70)&gt;=4,ISNUMBER(SEARCH(AU70,AX70))),AND(LEN(AX70)&gt;=4,ISNUMBER(SEARCH(AX70,AU70)))),"INVALID – verifier must be a different, named person (not the PIC or a role)",IF(BH70=1,"INVALID – result not yet available (awaiting / TBC)",IF(BG70=1,"INVALID – result describes a problem: record Fail, then Pass after CA (or reword if it is not a problem)",IF(BV70=1,"INVALID – wording says not on board: an on-board confirmation needs the item loaded",IF(AND(AQ70=1,OR(OR(LEN(AY70)&lt;3,ISNUMBER(MATCH(AY70,L_Placeholder,0))),BJ70=1,BQ70=0)),"INVALID – batch ID missing, placeholder or not an ID (e.g. PASB-261008-BC-017)",IF(AND(AR70=1,OR(NOT(ISNUMBER(X70)),NOT(ISNUMBER(Y70)))),"INVALID – expected/actual qty missing",IF(AND(AR70=1,OR(X70&lt;=0,Y70&lt;0)),"INVALID – expected qty must be above 0 and actual not negative",IF(BB70&lt;&gt;"",BB70,IF(AND(AS70=1,Documents!$J$7&lt;&gt;"ON FILE"),"INVALID – GLD not on file (Documents sheet)",IF(AND(AS70=2,Documents!$O$7&lt;&gt;"ON FILE"),"INVALID – menu checklist not on file (Documents sheet)",IF(AND(AS70=3,NOT(ISNUMBER(Flights!$AX$7))),"INVALID – enter carrying flight KUL departure (Flights AX)",IF(AND(AS70=3,OR(Flights!$AZ$7&gt;Flights!$AA$7,Flights!$AX$7&lt;Flights!$AA$7-3)),"INVALID – carrying flight (Flights AX) cannot arrive before this leg's STD, or is over 3 days early",IF(AG70&gt;AsOfUTC,"INVALID – completion time is in the future",IF(AND(ISNUMBER(BY70),AG70&lt;BY70),IF(H70="Physical uplift","INVALID – before uplift window (cannot confirm loading)","INVALID – before valid window"),IF(AG70&gt;Flights!$AA$7,"INVALID – completed after departure (cannot establish readiness)",IF(AND(H70="Preparation",AG70&gt;=IF(ISNUMBER(Flights!$BA$7),MIN(Flights!$BA$7,Flights!$AA$7),Flights!$AA$7)),"INVALID – completed after loading / departure (cannot establish readiness)",IF(AND(H70="Physical uplift",AG70&gt;Q70),"INVALID – recorded after the loading flight departed",IF(AG70&gt;Q70,"COMPLETE – LATE","COMPLETE"))))))))))))))))))))))))),IF(TRIM(U70)="Fail","FAIL – DISCREPANCY",IF(AND(TRIM(U70)&lt;&gt;"",TRIM(U70)&lt;&gt;"Not started",TRIM(U70)&lt;&gt;"In progress"),"INVALID – unrecognised status (use the list)",IF(AsOfUTC&gt;Q70,"OVERDUE",IF(N70="Clarification required","OPEN – CLARIFICATION","OPEN"))))))),"INVALID – error value in an input cell")</f>
        <v>OPEN</v>
      </c>
      <c r="AI70" s="61" t="n">
        <f aca="false">IF(OR(AH70="N/A – RULE",AH70="N/A – JUSTIFIED"),0,1)</f>
        <v>1</v>
      </c>
      <c r="AJ70" s="61" t="n">
        <f aca="false">IF(LEFT(AH70,8)="COMPLETE",1,0)</f>
        <v>0</v>
      </c>
      <c r="AK70" s="61" t="n">
        <f aca="false">IF(AND(AI70=1,AJ70=0,AsOfUTC&gt;Q70),1,0)</f>
        <v>0</v>
      </c>
      <c r="AL70" s="61" t="n">
        <f aca="false">IFERROR(IF(AND(AI70=1,OR(TRIM(U70)="Fail",AND(TRIM(AB70)&lt;&gt;"",TRIM(AB70)&lt;&gt;"Closed"),AND(ISNUMBER(AF70),AF70&lt;&gt;0,TRIM(U70)&lt;&gt;"Pass after CA"))),1,0),1)</f>
        <v>0</v>
      </c>
      <c r="AM70" s="61" t="n">
        <f aca="false">IF(LEFT(AH70,7)="INVALID",1,0)</f>
        <v>0</v>
      </c>
      <c r="AN70" s="61" t="n">
        <f aca="false">IF(AND(N70="Clarification required",AI70=1,AJ70=0),1,0)</f>
        <v>0</v>
      </c>
      <c r="AO70" s="61" t="str">
        <f aca="false">IF(AK70=1,SUM(AK$5:AK70),"")</f>
        <v/>
      </c>
      <c r="AP70" s="61" t="str">
        <f aca="false">IF(AL70=1,SUM(AL$5:AL70),"")</f>
        <v/>
      </c>
      <c r="AQ70" s="61" t="n">
        <v>0</v>
      </c>
      <c r="AR70" s="61" t="n">
        <v>0</v>
      </c>
      <c r="AS70" s="61" t="n">
        <v>0</v>
      </c>
      <c r="AT70" s="61" t="n">
        <v>0</v>
      </c>
      <c r="AU70" s="61" t="str">
        <f aca="false">SUBSTITUTE(SUBSTITUTE(SUBSTITUTE(SUBSTITUTE(SUBSTITUTE(SUBSTITUTE(SUBSTITUTE(SUBSTITUTE(SUBSTITUTE(SUBSTITUTE(SUBSTITUTE(SUBSTITUTE(SUBSTITUTE(SUBSTITUTE(SUBSTITUTE(SUBSTITUTE(LOWER(T70&amp;""),CHAR(10),""),CHAR(13),""),CHAR(9),""),CHAR(160),"")," ",""),".",""),"-",""),"/",""),"?",""),"_",""),",",""),"[",""),"]",""),"(",""),")",""),"*","")</f>
        <v/>
      </c>
      <c r="AV70" s="61" t="str">
        <f aca="false">SUBSTITUTE(SUBSTITUTE(SUBSTITUTE(SUBSTITUTE(SUBSTITUTE(SUBSTITUTE(SUBSTITUTE(SUBSTITUTE(SUBSTITUTE(SUBSTITUTE(SUBSTITUTE(SUBSTITUTE(SUBSTITUTE(SUBSTITUTE(SUBSTITUTE(SUBSTITUTE(LOWER(V70&amp;""),CHAR(10),""),CHAR(13),""),CHAR(9),""),CHAR(160),"")," ",""),".",""),"-",""),"/",""),"?",""),"_",""),",",""),"[",""),"]",""),"(",""),")",""),"*","")</f>
        <v/>
      </c>
      <c r="AW70" s="61" t="str">
        <f aca="false">SUBSTITUTE(SUBSTITUTE(SUBSTITUTE(SUBSTITUTE(SUBSTITUTE(SUBSTITUTE(SUBSTITUTE(SUBSTITUTE(SUBSTITUTE(SUBSTITUTE(SUBSTITUTE(SUBSTITUTE(SUBSTITUTE(SUBSTITUTE(SUBSTITUTE(SUBSTITUTE(LOWER(Z70&amp;""),CHAR(10),""),CHAR(13),""),CHAR(9),""),CHAR(160),"")," ",""),".",""),"-",""),"/",""),"?",""),"_",""),",",""),"[",""),"]",""),"(",""),")",""),"*","")</f>
        <v/>
      </c>
      <c r="AX70" s="61" t="str">
        <f aca="false">SUBSTITUTE(SUBSTITUTE(SUBSTITUTE(SUBSTITUTE(SUBSTITUTE(SUBSTITUTE(SUBSTITUTE(SUBSTITUTE(SUBSTITUTE(SUBSTITUTE(SUBSTITUTE(SUBSTITUTE(SUBSTITUTE(SUBSTITUTE(SUBSTITUTE(SUBSTITUTE(LOWER(AE70&amp;""),CHAR(10),""),CHAR(13),""),CHAR(9),""),CHAR(160),"")," ",""),".",""),"-",""),"/",""),"?",""),"_",""),",",""),"[",""),"]",""),"(",""),")",""),"*","")</f>
        <v/>
      </c>
      <c r="AY70" s="61" t="str">
        <f aca="false">SUBSTITUTE(SUBSTITUTE(SUBSTITUTE(SUBSTITUTE(SUBSTITUTE(SUBSTITUTE(SUBSTITUTE(SUBSTITUTE(SUBSTITUTE(SUBSTITUTE(SUBSTITUTE(SUBSTITUTE(SUBSTITUTE(SUBSTITUTE(SUBSTITUTE(SUBSTITUTE(LOWER(W70&amp;""),CHAR(10),""),CHAR(13),""),CHAR(9),""),CHAR(160),"")," ",""),".",""),"-",""),"/",""),"?",""),"_",""),",",""),"[",""),"]",""),"(",""),")",""),"*","")</f>
        <v/>
      </c>
      <c r="AZ70" s="61" t="str">
        <f aca="false">SUBSTITUTE(SUBSTITUTE(SUBSTITUTE(SUBSTITUTE(SUBSTITUTE(SUBSTITUTE(SUBSTITUTE(SUBSTITUTE(SUBSTITUTE(SUBSTITUTE(SUBSTITUTE(SUBSTITUTE(SUBSTITUTE(SUBSTITUTE(SUBSTITUTE(SUBSTITUTE(LOWER(AC70&amp;""),CHAR(10),""),CHAR(13),""),CHAR(9),""),CHAR(160),"")," ",""),".",""),"-",""),"/",""),"?",""),"_",""),",",""),"[",""),"]",""),"(",""),")",""),"*","")</f>
        <v/>
      </c>
      <c r="BA70" s="61" t="str">
        <f aca="false">SUBSTITUTE(SUBSTITUTE(SUBSTITUTE(SUBSTITUTE(SUBSTITUTE(SUBSTITUTE(SUBSTITUTE(SUBSTITUTE(SUBSTITUTE(SUBSTITUTE(SUBSTITUTE(SUBSTITUTE(SUBSTITUTE(SUBSTITUTE(SUBSTITUTE(SUBSTITUTE(LOWER(AA70&amp;""),CHAR(10),""),CHAR(13),""),CHAR(9),""),CHAR(160),"")," ",""),".",""),"-",""),"/",""),"?",""),"_",""),",",""),"[",""),"]",""),"(",""),")",""),"*","")</f>
        <v/>
      </c>
      <c r="BB70" s="61" t="str">
        <f aca="false">IF(AND(TRIM(U70)="Pass",ISNUMBER(AF70)),IF(AF70&lt;&gt;0,"INVALID – qty variance: use Fail or Pass after CA",""),"")&amp;IF(AND(TRIM(U70)="Pass after CA",ISNUMBER(AF70)),IF(AF70&lt;&gt;0,"INVALID – after the corrective action the actual qty must equal expected (update Actual)",""),"")&amp;IF(AND(TRIM(U70)="Pass",TRIM(AB70)&lt;&gt;"",TRIM(AB70)&lt;&gt;"Closed"),"INVALID – corrective action not closed: use Fail, then Pass after CA","")&amp;IF(AND(LEN(BA70)&gt;=2,ISNA(MATCH(LEFT(BA70,255),L_Placeholder,0)),TRIM(AB70)=""),"INVALID – CA status missing for the recorded corrective action","")&amp;IF(AND(TRIM(U70)="Pass after CA",OR(OR(LEN(BA70)&lt;5,ISNUMBER(MATCH(BA70,L_Placeholder,0))),TRIM(AB70)&lt;&gt;"Closed")),"INVALID – corrective action not recorded/closed","")</f>
        <v/>
      </c>
      <c r="BC70" s="61" t="str">
        <f aca="false">" "&amp;TRIM(SUBSTITUTE(SUBSTITUTE(SUBSTITUTE(SUBSTITUTE(SUBSTITUTE(SUBSTITUTE(SUBSTITUTE(SUBSTITUTE(SUBSTITUTE(SUBSTITUTE(SUBSTITUTE(SUBSTITUTE(SUBSTITUTE(SUBSTITUTE(SUBSTITUTE(SUBSTITUTE(SUBSTITUTE(SUBSTITUTE(SUBSTITUTE(SUBSTITUTE(SUBSTITUTE(SUBSTITUTE(SUBSTITUTE(SUBSTITUTE(LOWER(V70&amp;""),CHAR(10)," "),CHAR(13)," "),CHAR(9)," "),CHAR(160)," "),"."," "),","," "),"-"," "),"/"," "),"("," "),")"," "),":"," "),";"," "),"_"," "),"–"," "),"?"," "),"!"," "),"*"," "),"["," "),"]"," "),"'"," "),"#"," "),"+"," "),"&amp;"," "),"\"," "))&amp;" "</f>
        <v>  </v>
      </c>
      <c r="BD70" s="61" t="str">
        <f aca="false">" "&amp;TRIM(SUBSTITUTE(SUBSTITUTE(SUBSTITUTE(SUBSTITUTE(SUBSTITUTE(SUBSTITUTE(SUBSTITUTE(SUBSTITUTE(SUBSTITUTE(SUBSTITUTE(SUBSTITUTE(SUBSTITUTE(SUBSTITUTE(SUBSTITUTE(SUBSTITUTE(SUBSTITUTE(SUBSTITUTE(SUBSTITUTE(SUBSTITUTE(SUBSTITUTE(SUBSTITUTE(SUBSTITUTE(SUBSTITUTE(SUBSTITUTE(LOWER(Z70&amp;""),CHAR(10)," "),CHAR(13)," "),CHAR(9)," "),CHAR(160)," "),"."," "),","," "),"-"," "),"/"," "),"("," "),")"," "),":"," "),";"," "),"_"," "),"–"," "),"?"," "),"!"," "),"*"," "),"["," "),"]"," "),"'"," "),"#"," "),"+"," "),"&amp;"," "),"\"," "))&amp;" "</f>
        <v>  </v>
      </c>
      <c r="BE70" s="61" t="str">
        <f aca="false">" "&amp;TRIM(SUBSTITUTE(SUBSTITUTE(SUBSTITUTE(SUBSTITUTE(SUBSTITUTE(SUBSTITUTE(SUBSTITUTE(SUBSTITUTE(SUBSTITUTE(SUBSTITUTE(SUBSTITUTE(SUBSTITUTE(SUBSTITUTE(SUBSTITUTE(SUBSTITUTE(SUBSTITUTE(SUBSTITUTE(SUBSTITUTE(SUBSTITUTE(SUBSTITUTE(SUBSTITUTE(SUBSTITUTE(SUBSTITUTE(SUBSTITUTE(LOWER(W70&amp;""),CHAR(10)," "),CHAR(13)," "),CHAR(9)," "),CHAR(160)," "),"."," "),","," "),"-"," "),"/"," "),"("," "),")"," "),":"," "),";"," "),"_"," "),"–"," "),"?"," "),"!"," "),"*"," "),"["," "),"]"," "),"'"," "),"#"," "),"+"," "),"&amp;"," "),"\"," "))&amp;" "</f>
        <v>  </v>
      </c>
      <c r="BF70" s="61" t="str">
        <f aca="false">" "&amp;TRIM(SUBSTITUTE(SUBSTITUTE(SUBSTITUTE(SUBSTITUTE(SUBSTITUTE(SUBSTITUTE(SUBSTITUTE(SUBSTITUTE(SUBSTITUTE(SUBSTITUTE(SUBSTITUTE(SUBSTITUTE(SUBSTITUTE(SUBSTITUTE(SUBSTITUTE(SUBSTITUTE(SUBSTITUTE(SUBSTITUTE(SUBSTITUTE(SUBSTITUTE(SUBSTITUTE(SUBSTITUTE(SUBSTITUTE(SUBSTITUTE(LOWER(AC70&amp;""),CHAR(10)," "),CHAR(13)," "),CHAR(9)," "),CHAR(160)," "),"."," "),","," "),"-"," "),"/"," "),"("," "),")"," "),":"," "),";"," "),"_"," "),"–"," "),"?"," "),"!"," "),"*"," "),"["," "),"]"," "),"'"," "),"#"," "),"+"," "),"&amp;"," "),"\"," "))&amp;" "</f>
        <v>  </v>
      </c>
      <c r="BG70" s="61" t="n">
        <f aca="false">IFERROR(IF(AND(TRIM(U70)="Pass",SUMPRODUCT((LEN(BC70)-LEN(SUBSTITUTE(BC70," "&amp;L_ResultBad&amp;" "," ")))/(LEN(L_ResultBad)+1))&gt;SUMPRODUCT((LEN(BC70)-LEN(SUBSTITUTE(BC70," "&amp;L_NegPhrase&amp;" "," ")))/(LEN(L_NegPhrase)+1))),1,0),0)</f>
        <v>0</v>
      </c>
      <c r="BH70" s="61" t="n">
        <f aca="false">IFERROR(IF(SUMPRODUCT((LEN(BC70)-LEN(SUBSTITUTE(BC70," "&amp;L_Pending&amp;" "," ")))/(LEN(L_Pending)+1))&gt;SUMPRODUCT((LEN(BC70)-LEN(SUBSTITUTE(BC70," "&amp;L_PendNeg&amp;" "," ")))/(LEN(L_PendNeg)+1))+SUMPRODUCT((LEN(BC70)-LEN(SUBSTITUTE(BC70," "&amp;L_PendPrep&amp;" "," ")))/(LEN(L_PendPrep)+1)),1,0),1)</f>
        <v>0</v>
      </c>
      <c r="BI70" s="61" t="n">
        <f aca="false">IFERROR(IF(SUMPRODUCT((LEN(BD70)-LEN(SUBSTITUTE(BD70," "&amp;L_PendStrict&amp;" "," ")))/(LEN(L_PendStrict)+1))&gt;SUMPRODUCT((LEN(BD70)-LEN(SUBSTITUTE(BD70," "&amp;L_PendNeg&amp;" "," ")))/(LEN(L_PendNeg)+1)),1,0),1)</f>
        <v>0</v>
      </c>
      <c r="BJ70" s="61" t="n">
        <f aca="false">IFERROR(IF(SUMPRODUCT((LEN(BE70)-LEN(SUBSTITUTE(BE70," "&amp;L_Pending&amp;" "," ")))/(LEN(L_Pending)+1))&gt;SUMPRODUCT((LEN(BE70)-LEN(SUBSTITUTE(BE70," "&amp;L_PendNeg&amp;" "," ")))/(LEN(L_PendNeg)+1))+SUMPRODUCT((LEN(BE70)-LEN(SUBSTITUTE(BE70," "&amp;L_PendPrep&amp;" "," ")))/(LEN(L_PendPrep)+1)),1,0),1)</f>
        <v>0</v>
      </c>
      <c r="BK70" s="61" t="n">
        <f aca="false">IFERROR(IF(SUMPRODUCT((LEN(BF70)-LEN(SUBSTITUTE(BF70," "&amp;L_PendStrict&amp;" "," ")))/(LEN(L_PendStrict)+1))&gt;SUMPRODUCT((LEN(BF70)-LEN(SUBSTITUTE(BF70," "&amp;L_PendNeg&amp;" "," ")))/(LEN(L_PendNeg)+1)),1,0),1)</f>
        <v>0</v>
      </c>
      <c r="BL70" s="61" t="n">
        <f aca="false">IF(ISNA(MATCH(TRIM(S70),L_EvidenceType,0)),0,BZ70)</f>
        <v>0</v>
      </c>
      <c r="BM70" s="61" t="str">
        <f aca="false">SUBSTITUTE(SUBSTITUTE(SUBSTITUTE(SUBSTITUTE(SUBSTITUTE(SUBSTITUTE(SUBSTITUTE(SUBSTITUTE(SUBSTITUTE(LOWER(Z70&amp;""),"1","0"),"2","0"),"3","0"),"4","0"),"5","0"),"6","0"),"7","0"),"8","0"),"9","0")</f>
        <v/>
      </c>
      <c r="BN70" s="61" t="str">
        <f aca="false">SUBSTITUTE(SUBSTITUTE(SUBSTITUTE(SUBSTITUTE(SUBSTITUTE(SUBSTITUTE(SUBSTITUTE(SUBSTITUTE(SUBSTITUTE(SUBSTITUTE(SUBSTITUTE(SUBSTITUTE(SUBSTITUTE(SUBSTITUTE(SUBSTITUTE(SUBSTITUTE(SUBSTITUTE(SUBSTITUTE(SUBSTITUTE(SUBSTITUTE(SUBSTITUTE(SUBSTITUTE(SUBSTITUTE(SUBSTITUTE(SUBSTITUTE(BM70,"b","a"),"c","a"),"d","a"),"e","a"),"f","a"),"g","a"),"h","a"),"i","a"),"j","a"),"k","a"),"l","a"),"m","a"),"n","a"),"o","a"),"p","a"),"q","a"),"r","a"),"s","a"),"t","a"),"u","a"),"v","a"),"w","a"),"x","a"),"y","a"),"z","a")</f>
        <v/>
      </c>
      <c r="BO70" s="61" t="str">
        <f aca="false">SUBSTITUTE(SUBSTITUTE(SUBSTITUTE(SUBSTITUTE(SUBSTITUTE(SUBSTITUTE(SUBSTITUTE(SUBSTITUTE(SUBSTITUTE(LOWER(W70&amp;""),"1","0"),"2","0"),"3","0"),"4","0"),"5","0"),"6","0"),"7","0"),"8","0"),"9","0")</f>
        <v/>
      </c>
      <c r="BP70" s="61" t="str">
        <f aca="false">SUBSTITUTE(SUBSTITUTE(SUBSTITUTE(SUBSTITUTE(SUBSTITUTE(SUBSTITUTE(SUBSTITUTE(SUBSTITUTE(SUBSTITUTE(SUBSTITUTE(SUBSTITUTE(SUBSTITUTE(SUBSTITUTE(SUBSTITUTE(SUBSTITUTE(SUBSTITUTE(SUBSTITUTE(SUBSTITUTE(SUBSTITUTE(SUBSTITUTE(SUBSTITUTE(SUBSTITUTE(SUBSTITUTE(SUBSTITUTE(SUBSTITUTE(BO70,"b","a"),"c","a"),"d","a"),"e","a"),"f","a"),"g","a"),"h","a"),"i","a"),"j","a"),"k","a"),"l","a"),"m","a"),"n","a"),"o","a"),"p","a"),"q","a"),"r","a"),"s","a"),"t","a"),"u","a"),"v","a"),"w","a"),"x","a"),"y","a"),"z","a")</f>
        <v/>
      </c>
      <c r="BQ70" s="61" t="n">
        <f aca="false">IFERROR(IF(AND(ISERROR(SEARCH(" mh"," "&amp;LOWER(W70))),ISNA(MATCH(LEFT(TRIM(BP70),255),{"0000a","000a","00a","0000aa","000aa","00aa","0aa","0000aaa","000aaa","00a00","0a00","0000-0000","00:00","a00","a0","00.00.0000","00/00/0000","00-00-0000","0000-00-00","0000/00/00","0000.00.00","00.00.00","00/00/00","00-00-00","0.00.0000","0/00/0000","0-00-0000"},0)),ISNA(MATCH(LEFT(TRIM(CA70),255),{"0000a","000a","00a","0000aa","000aa","00aa","0aa","0000aaa","000aaa","00a00","0a00","0000-0000","00:00","a00","a0","00.00.0000","00/00/0000","00-00-0000","0000-00-00","0000/00/00","0000.00.00","00.00.00","00/00/00","00-00-00","0.00.0000","0/00/0000","0-00-0000"},0)),LEN(CB70)&gt;=3,NOT(OR(SUBSTITUTE(CB70,"0","")="",AND(LEN(CB70)&gt;=4,CB70=REPT(LEFT(CB70),LEN(CB70))),ISNUMBER(MATCH(CB70,{"123","1234","12345","123456","1234567","12345678","0123","01234","012345","98765","987654","54321"},0)),AND(LEN(CB70)=8,LEFT(CB70,3)="202"))),OR(AND((LEN(CA70)-LEN(SUBSTITUTE(CA70,"a","")))&gt;=1,SUMPRODUCT(--ISNUMBER(SEARCH({"a0","a-0","a_0","a/0","a.0","a#0","0a","0-a","0_a","0/a"},BP70)))&gt;0),ISNUMBER(SEARCH("000000",BP70)))),1,0),0)</f>
        <v>0</v>
      </c>
      <c r="BR70" s="61" t="n">
        <f aca="false">IFERROR(LEN(SUBSTITUTE(CC70," ",""))-SUMPRODUCT((LEN(CC70)-LEN(SUBSTITUTE(CC70," "&amp;L_Role&amp;" "," ")))/(LEN(L_Role)+1)*LEN(L_Role)),0)</f>
        <v>0</v>
      </c>
      <c r="BS70" s="61" t="n">
        <f aca="false">IFERROR(LEN(SUBSTITUTE(CD70," ",""))-SUMPRODUCT((LEN(CD70)-LEN(SUBSTITUTE(CD70," "&amp;L_Role&amp;" "," ")))/(LEN(L_Role)+1)*LEN(L_Role)),0)</f>
        <v>0</v>
      </c>
      <c r="BT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revision",""),"version",""),"jan",""),"feb",""),"mar",""),"apr",""),"may",""),"jun",""),"jul",""),"aug",""),"sep",""),"oct",""),"nov",""),"dec",""),"utc",""),"gmt",""),"myt",""),"bst",""),"rev",""),"ver",""),"b","a"),"c","a"),"d","a"),"e","a"),"f","a"),"g","a"),"h","a"),"i","a"),"j","a"),"k","a"),"l","a"),"m","a"),"n","a"),"o","a"),"p","a"),"q","a"),"r","a"),"s","a"),"t","a"),"u","a"),"v","a"),"w","a"),"x","a"),"y","a"),"z","a")</f>
        <v/>
      </c>
      <c r="BU70" s="61" t="str">
        <f aca="false">SUBSTITUTE(SUBSTITUTE(SUBSTITUTE(SUBSTITUTE(SUBSTITUTE(SUBSTITUTE(SUBSTITUTE(SUBSTITUTE(SUBSTITUTE(SUBSTITUTE(LEFT(BM70,FIND("0",BM70&amp;"0")-1),"-",""),"_",""),"/",""),".",""),"#",""),"\\",""),":","")," ",""),"(",""),")","")</f>
        <v/>
      </c>
      <c r="BV70" s="61" t="n">
        <f aca="false">0</f>
        <v>0</v>
      </c>
      <c r="BW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amp;""),"a",""),"b",""),"c",""),"d",""),"e",""),"f",""),"g",""),"h",""),"i",""),"j",""),"k",""),"l",""),"m",""),"n",""),"o",""),"p",""),"q",""),"r",""),"s",""),"t",""),"u",""),"v",""),"w",""),"x",""),"y",""),"z",""),"-",""),"_",""),"/",""),".",""),"#",""),"\\",""),":","")," ",""),"(",""),")","")</f>
        <v/>
      </c>
      <c r="BX70" s="61" t="str">
        <f aca="false">SUBSTITUTE(SUBSTITUTE(SUBSTITUTE(SUBSTITUTE(SUBSTITUTE(SUBSTITUTE(SUBSTITUTE(SUBSTITUTE(SUBSTITUTE(SUBSTITUTE(SUBSTITUTE(BM70,"0",""),"-",""),"_",""),"/",""),".",""),"#",""),"\\",""),":","")," ",""),"(",""),")","")</f>
        <v/>
      </c>
      <c r="BY70" s="62" t="n">
        <f aca="false">Q70-T7EarlyD*24/24</f>
        <v>46284.3784722222</v>
      </c>
      <c r="BZ70" s="61" t="n">
        <f aca="false">IFERROR(IF(IF(TRIM(S70)="Link / file path",AND(LEN(TRIM(Z70))&gt;=5,SUMPRODUCT(--ISNUMBER(SEARCH({"http","www.","\\",":\",".pdf",".jpg",".jpeg",".png",".heic",".xls",".doc",".msg",".eml",".ppt",".txt",".zip"},Z70)))&gt;0),AND(ISERROR(FIND(" ",TRIM(Z70))),NOT(OR(SUMPRODUCT(--ISNUMBER(FIND({",",";","&amp;","+"},Z70)))&gt;0,SUMPRODUCT(--ISNUMBER(SEARCH({"0/aa","0\\aa"},BN70)))&gt;0)),NOT(SUMPRODUCT(--ISNUMBER(SEARCH({"http","www.","\\",":\",".pdf",".jpg",".jpeg",".png",".heic",".xls",".doc",".msg",".eml",".ppt",".txt",".zip"},Z70)))&gt;0),NOT(LOWER(TRIM(Z70))=LOWER(Flights!$F$7)),ISNA(MATCH(BU70,{"mh","rev","revision","ver","version","v","r","a","b","seat","tray","row","gate","bay","stand","page","pg","item","line","no","cart","galley","flight","flt","table","box","bag","oven","etd","eta","std","sta","atd","ata","qty","pax","x","time","tel","ph","mob","day","wk","week","utc","gmt","myt","lt"},0)),NOT(OR(ISNUMBER(MATCH(LEFT(BN70,255),{"0000a","000a","00a","0000aa","000aa","00aa","0aa","0000aaa","000aaa","00a00","0a00","0000-0000","00:00","a00","a0","00.00.0000","00/00/0000","00-00-0000","0000-00-00","0000/00/00","0000.00.00","00.00.00","00/00/00","00-00-00","0.00.0000","0/00/0000","0-00-0000"},0)),ISNUMBER(MATCH(LEFT(BT70,255),{"0000a","000a","00a","0000aa","000aa","00aa","0aa","0000aaa","000aaa","00a00","0a00","0000-0000","00:00","a00","a0","00.00.0000","00/00/0000","00-00-0000","0000-00-00","0000/00/00","0000.00.00","00.00.00","00/00/00","00-00-00","0.00.0000","0/00/0000","0-00-0000"},0)))),NOT(OR(AND(BW70&lt;&gt;"",SUBSTITUTE(BW70,"0","")=""),AND(LEN(BW70)&gt;=4,BW70=REPT(LEFT(BW70),LEN(BW70))),ISNUMBER(MATCH(BW70,{"123","1234","12345","123456","1234567","12345678","0123","01234","012345","98765","987654","54321"},0)),ISNUMBER(MATCH(BX70,{"x","xx","xxx","xxxx","xxxxx","abc","abcd","nil","na","nan","test","tbc","tba","tbd","dummy","sample","example","eg","zz","zzz","none","null","xyz","qwe","asd","id","ref"},0)),AND(LEN(BW70)=8,BX70="",OR(LEFT(BW70,3)="202",ISNUMBER(MATCH(RIGHT(BW70,4),{"2025","2026","2027"},0)))))),OR(AND((LEN(BT70)-LEN(SUBSTITUTE(BT70,"a","")))&gt;=1,(LEN(BN70)-LEN(SUBSTITUTE(BN70,"0","")))&gt;=2,SUMPRODUCT(--ISNUMBER(SEARCH({"a0","a-0","a_0","a/0","a.0","a#0","0a","0-a","0_a","0/a"},BN70)))&gt;0),AND((LEN(BN70)-LEN(SUBSTITUTE(BN70,"a","")))=0,(LEN(BN70)-LEN(SUBSTITUTE(BN70,"0","")))&gt;=5)))),1,0),0)</f>
        <v>0</v>
      </c>
      <c r="CA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revision",""),"version",""),"jan",""),"feb",""),"mar",""),"apr",""),"may",""),"jun",""),"jul",""),"aug",""),"sep",""),"oct",""),"nov",""),"dec",""),"utc",""),"gmt",""),"myt",""),"bst",""),"rev",""),"ver",""),"b","a"),"c","a"),"d","a"),"e","a"),"f","a"),"g","a"),"h","a"),"i","a"),"j","a"),"k","a"),"l","a"),"m","a"),"n","a"),"o","a"),"p","a"),"q","a"),"r","a"),"s","a"),"t","a"),"u","a"),"v","a"),"w","a"),"x","a"),"y","a"),"z","a")</f>
        <v/>
      </c>
      <c r="CB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amp;""),"a",""),"b",""),"c",""),"d",""),"e",""),"f",""),"g",""),"h",""),"i",""),"j",""),"k",""),"l",""),"m",""),"n",""),"o",""),"p",""),"q",""),"r",""),"s",""),"t",""),"u",""),"v",""),"w",""),"x",""),"y",""),"z",""),"-",""),"_",""),"/",""),".",""),"#",""),"\\",""),":","")," ",""),"(",""),")","")</f>
        <v/>
      </c>
      <c r="CC70" s="0" t="str">
        <f aca="false">" "&amp;TRIM(SUBSTITUTE(SUBSTITUTE(SUBSTITUTE(SUBSTITUTE(SUBSTITUTE(SUBSTITUTE(SUBSTITUTE(SUBSTITUTE(SUBSTITUTE(SUBSTITUTE(SUBSTITUTE(SUBSTITUTE(SUBSTITUTE(SUBSTITUTE(SUBSTITUTE(SUBSTITUTE(SUBSTITUTE(SUBSTITUTE(SUBSTITUTE(SUBSTITUTE(SUBSTITUTE(SUBSTITUTE(SUBSTITUTE(SUBSTITUTE(LOWER(T70&amp;""),CHAR(10)," "),CHAR(13)," "),CHAR(9)," "),CHAR(160)," "),"."," "),","," "),"-"," "),"/"," "),"("," "),")"," "),":"," "),";"," "),"_"," "),"–"," "),"?"," "),"!"," "),"*"," "),"["," "),"]"," "),"'"," "),"#"," "),"+"," "),"&amp;"," "),"\"," "))&amp;" "</f>
        <v>  </v>
      </c>
      <c r="CD70" s="0" t="str">
        <f aca="false">" "&amp;TRIM(SUBSTITUTE(SUBSTITUTE(SUBSTITUTE(SUBSTITUTE(SUBSTITUTE(SUBSTITUTE(SUBSTITUTE(SUBSTITUTE(SUBSTITUTE(SUBSTITUTE(SUBSTITUTE(SUBSTITUTE(SUBSTITUTE(SUBSTITUTE(SUBSTITUTE(SUBSTITUTE(SUBSTITUTE(SUBSTITUTE(SUBSTITUTE(SUBSTITUTE(SUBSTITUTE(SUBSTITUTE(SUBSTITUTE(SUBSTITUTE(LOWER(AE70&amp;""),CHAR(10)," "),CHAR(13)," "),CHAR(9)," "),CHAR(160)," "),"."," "),","," "),"-"," "),"/"," "),"("," "),")"," "),":"," "),";"," "),"_"," "),"–"," "),"?"," "),"!"," "),"*"," "),"["," "),"]"," "),"'"," "),"#"," "),"+"," "),"&amp;"," "),"\"," "))&amp;" "</f>
        <v>  </v>
      </c>
      <c r="CE70" s="68" t="n">
        <f aca="false">IFERROR(IF(AND(LEN(AU70)&gt;0,LEN(AU70)=LEN(AX70),OR(TRIM(MID(SUBSTITUTE(TRIM(CC70)," ",REPT(" ",60)),1,60))="",ISNUMBER(SEARCH(" "&amp;TRIM(MID(SUBSTITUTE(TRIM(CC70)," ",REPT(" ",60)),1,60))&amp;" ",CD70))),OR(TRIM(MID(SUBSTITUTE(TRIM(CC70)," ",REPT(" ",60)),61,60))="",ISNUMBER(SEARCH(" "&amp;TRIM(MID(SUBSTITUTE(TRIM(CC70)," ",REPT(" ",60)),61,60))&amp;" ",CD70))),OR(TRIM(MID(SUBSTITUTE(TRIM(CC70)," ",REPT(" ",60)),121,60))="",ISNUMBER(SEARCH(" "&amp;TRIM(MID(SUBSTITUTE(TRIM(CC70)," ",REPT(" ",60)),121,60))&amp;" ",CD70)))),1,0),0)</f>
        <v>0</v>
      </c>
      <c r="CG70" s="68" t="n">
        <f aca="false">IFERROR(LEN(SUBSTITUTE(BF70," ",""))-SUMPRODUCT((LEN(BF70)-LEN(SUBSTITUTE(BF70," "&amp;L_NAFiller&amp;" "," ")))/(LEN(L_NAFiller)+1)*LEN(L_NAFiller)),0)</f>
        <v>0</v>
      </c>
    </row>
    <row r="71" customFormat="false" ht="41.25" hidden="false" customHeight="true" outlineLevel="0" collapsed="false">
      <c r="A71" s="57" t="s">
        <v>558</v>
      </c>
      <c r="B71" s="57" t="s">
        <v>212</v>
      </c>
      <c r="C71" s="57" t="str">
        <f aca="false">Flights!$F$7</f>
        <v>MH0720</v>
      </c>
      <c r="D71" s="58" t="n">
        <f aca="false">Flights!$D$7</f>
        <v>46305</v>
      </c>
      <c r="E71" s="57" t="str">
        <f aca="false">Flights!$G$7&amp;"-"&amp;Flights!$H$7</f>
        <v>CGK-KUL</v>
      </c>
      <c r="F71" s="57" t="str">
        <f aca="false">Flights!$K$7</f>
        <v>EY</v>
      </c>
      <c r="G71" s="57" t="s">
        <v>81</v>
      </c>
      <c r="H71" s="57" t="s">
        <v>378</v>
      </c>
      <c r="I71" s="57" t="s">
        <v>389</v>
      </c>
      <c r="J71" s="57" t="s">
        <v>390</v>
      </c>
      <c r="K71" s="67" t="s">
        <v>391</v>
      </c>
      <c r="L71" s="67" t="s">
        <v>382</v>
      </c>
      <c r="M71" s="67"/>
      <c r="N71" s="67" t="str">
        <f aca="false">IF(TRIM(Flights!$L$7)="A339","Required","N/A – rule")</f>
        <v>N/A – rule</v>
      </c>
      <c r="O71" s="67" t="s">
        <v>392</v>
      </c>
      <c r="P71" s="57" t="s">
        <v>201</v>
      </c>
      <c r="Q71" s="59" t="n">
        <f aca="false">ROUND((Flights!$AC$7)*1440,0)/1440</f>
        <v>46298.3784722222</v>
      </c>
      <c r="R71" s="59" t="n">
        <f aca="false">Q71+(IF(AND(INDEX(TZ_DSTS,MATCH(P71,TZ_STN,0))&lt;&gt;"",Q71&gt;=INDEX(TZ_DSTS,MATCH(P71,TZ_STN,0)),Q71&lt;INDEX(TZ_DSTE,MATCH(P71,TZ_STN,0))),INDEX(TZ_DST,MATCH(P71,TZ_STN,0)),INDEX(TZ_STD,MATCH(P71,TZ_STN,0))))/24</f>
        <v>46298.6701388889</v>
      </c>
      <c r="S71" s="60"/>
      <c r="T71" s="60"/>
      <c r="U71" s="60"/>
      <c r="V71" s="60"/>
      <c r="W71" s="61"/>
      <c r="X71" s="60"/>
      <c r="Y71" s="60"/>
      <c r="Z71" s="60"/>
      <c r="AA71" s="60"/>
      <c r="AB71" s="60"/>
      <c r="AC71" s="60"/>
      <c r="AD71" s="66"/>
      <c r="AE71" s="60"/>
      <c r="AF71" s="61" t="str">
        <f aca="false">IF(AND(ISNUMBER(X71),ISNUMBER(Y71)),Y71-X71,"")</f>
        <v/>
      </c>
      <c r="AG71" s="62" t="str">
        <f aca="false">IF(ISNUMBER(AD71),AD71-(IF(AND(INDEX(TZ_DSTS,MATCH(P71,TZ_STN,0))&lt;&gt;"",(AD71-INDEX(TZ_STD,MATCH(P71,TZ_STN,0))/24)&gt;=INDEX(TZ_DSTS,MATCH(P71,TZ_STN,0)),(AD71-INDEX(TZ_STD,MATCH(P71,TZ_STN,0))/24)&lt;INDEX(TZ_DSTE,MATCH(P71,TZ_STN,0))),INDEX(TZ_DST,MATCH(P71,TZ_STN,0)),INDEX(TZ_STD,MATCH(P71,TZ_STN,0))))/24,"")</f>
        <v/>
      </c>
      <c r="AH71" s="65" t="str">
        <f aca="false">IFERROR(IF(N71="N/A – rule",IF(OR(TRIM(U71)="",TRIM(U71)="N/A",TRIM(U71)="Not started"),"N/A – RULE","INVALID – this check does not apply to this aircraft: clear the status (or correct the fleet on Flights)"),IF(TRIM(U71)="N/A",IF(AT71=0,"INVALID – N/A not permitted for this check",IF(AND(TRIM(AB71)&lt;&gt;"",TRIM(AB71)&lt;&gt;"Closed"),"INVALID – corrective action still open",IF(AND(NOT(OR(LEN(AZ71)&lt;15,ISNUMBER(MATCH(AZ71,L_Placeholder,0)))),BK71=0,CG71&gt;=8,NOT(OR(LEN(AU71)&lt;2,ISNUMBER(MATCH(AU71,L_Placeholder,0)))),BR71&gt;=3,NOT(OR(LEN(AX71)&lt;2,ISNUMBER(MATCH(AX71,L_Placeholder,0)))),BS71&gt;=3,TRIM(AE71)&lt;&gt;TRIM(T71),AX71&lt;&gt;AU71,CE71=0),"N/A – JUSTIFIED","INVALID – N/A needs a real, settled reason (not 'not applicable' / 'as above' / TBC), a named PIC and a different named verifier"))),IF(OR(TRIM(U71)="Pass",TRIM(U71)="Pass after CA"),IF(NOT(ISNUMBER(AD71)),"INVALID – completion time missing",IF(OR(OR(LEN(AU71)&lt;2,ISNUMBER(MATCH(AU71,L_Placeholder,0))),BR71&lt;3),"INVALID – PIC missing or not a named person (a role such as QA / CSM is not a name)",IF(OR(LEN(AV71)&lt;2,ISNUMBER(MATCH(AV71,L_Placeholder,0))),"INVALID – result / assessment missing",IF(OR(OR(LEN(AW71)&lt;3,ISNUMBER(MATCH(AW71,L_Placeholder,0))),SUMPRODUCT(--ISNUMBER(SEARCH(" "&amp;L_EvidencePhrase&amp;" ",BD71)))&gt;0,BI71=1),"INVALID – evidence missing, placeholder or not yet on file",IF(ISNA(MATCH(TRIM(S71),L_EvidenceType,0)),"INVALID – choose the evidence type from the list (column S)",IF(BL71=0,"INVALID – evidence ID must be the record's own ID only (e.g. SF-2210, IMG_2231, 1045521); a link / file name needs type 'Link / file path'",IF(OR(OR(LEN(AX71)&lt;2,ISNUMBER(MATCH(AX71,L_Placeholder,0))),BS71&lt;3),"INVALID – verifier missing or not a named person (a role such as QA / CSM is not a name)",IF(OR(AX71=AU71,CE71=1,AND(LEN(AU71)&gt;=4,ISNUMBER(SEARCH(AU71,AX71))),AND(LEN(AX71)&gt;=4,ISNUMBER(SEARCH(AX71,AU71)))),"INVALID – verifier must be a different, named person (not the PIC or a role)",IF(BH71=1,"INVALID – result not yet available (awaiting / TBC)",IF(BG71=1,"INVALID – result describes a problem: record Fail, then Pass after CA (or reword if it is not a problem)",IF(BV71=1,"INVALID – wording says not on board: an on-board confirmation needs the item loaded",IF(AND(AQ71=1,OR(OR(LEN(AY71)&lt;3,ISNUMBER(MATCH(AY71,L_Placeholder,0))),BJ71=1,BQ71=0)),"INVALID – batch ID missing, placeholder or not an ID (e.g. PASB-261008-BC-017)",IF(AND(AR71=1,OR(NOT(ISNUMBER(X71)),NOT(ISNUMBER(Y71)))),"INVALID – expected/actual qty missing",IF(AND(AR71=1,OR(X71&lt;=0,Y71&lt;0)),"INVALID – expected qty must be above 0 and actual not negative",IF(BB71&lt;&gt;"",BB71,IF(AND(AS71=1,Documents!$J$7&lt;&gt;"ON FILE"),"INVALID – GLD not on file (Documents sheet)",IF(AND(AS71=2,Documents!$O$7&lt;&gt;"ON FILE"),"INVALID – menu checklist not on file (Documents sheet)",IF(AND(AS71=3,NOT(ISNUMBER(Flights!$AX$7))),"INVALID – enter carrying flight KUL departure (Flights AX)",IF(AND(AS71=3,OR(Flights!$AZ$7&gt;Flights!$AA$7,Flights!$AX$7&lt;Flights!$AA$7-3)),"INVALID – carrying flight (Flights AX) cannot arrive before this leg's STD, or is over 3 days early",IF(AG71&gt;AsOfUTC,"INVALID – completion time is in the future",IF(AND(ISNUMBER(BY71),AG71&lt;BY71),IF(H71="Physical uplift","INVALID – before uplift window (cannot confirm loading)","INVALID – before valid window"),IF(AG71&gt;Flights!$AA$7,"INVALID – completed after departure (cannot establish readiness)",IF(AND(H71="Preparation",AG71&gt;=IF(ISNUMBER(Flights!$BA$7),MIN(Flights!$BA$7,Flights!$AA$7),Flights!$AA$7)),"INVALID – completed after loading / departure (cannot establish readiness)",IF(AND(H71="Physical uplift",AG71&gt;Q71),"INVALID – recorded after the loading flight departed",IF(AG71&gt;Q71,"COMPLETE – LATE","COMPLETE"))))))))))))))))))))))))),IF(TRIM(U71)="Fail","FAIL – DISCREPANCY",IF(AND(TRIM(U71)&lt;&gt;"",TRIM(U71)&lt;&gt;"Not started",TRIM(U71)&lt;&gt;"In progress"),"INVALID – unrecognised status (use the list)",IF(AsOfUTC&gt;Q71,"OVERDUE",IF(N71="Clarification required","OPEN – CLARIFICATION","OPEN"))))))),"INVALID – error value in an input cell")</f>
        <v>N/A – RULE</v>
      </c>
      <c r="AI71" s="61" t="n">
        <f aca="false">IF(OR(AH71="N/A – RULE",AH71="N/A – JUSTIFIED"),0,1)</f>
        <v>0</v>
      </c>
      <c r="AJ71" s="61" t="n">
        <f aca="false">IF(LEFT(AH71,8)="COMPLETE",1,0)</f>
        <v>0</v>
      </c>
      <c r="AK71" s="61" t="n">
        <f aca="false">IF(AND(AI71=1,AJ71=0,AsOfUTC&gt;Q71),1,0)</f>
        <v>0</v>
      </c>
      <c r="AL71" s="61" t="n">
        <f aca="false">IFERROR(IF(AND(AI71=1,OR(TRIM(U71)="Fail",AND(TRIM(AB71)&lt;&gt;"",TRIM(AB71)&lt;&gt;"Closed"),AND(ISNUMBER(AF71),AF71&lt;&gt;0,TRIM(U71)&lt;&gt;"Pass after CA"))),1,0),1)</f>
        <v>0</v>
      </c>
      <c r="AM71" s="61" t="n">
        <f aca="false">IF(LEFT(AH71,7)="INVALID",1,0)</f>
        <v>0</v>
      </c>
      <c r="AN71" s="61" t="n">
        <f aca="false">IF(AND(N71="Clarification required",AI71=1,AJ71=0),1,0)</f>
        <v>0</v>
      </c>
      <c r="AO71" s="61" t="str">
        <f aca="false">IF(AK71=1,SUM(AK$5:AK71),"")</f>
        <v/>
      </c>
      <c r="AP71" s="61" t="str">
        <f aca="false">IF(AL71=1,SUM(AL$5:AL71),"")</f>
        <v/>
      </c>
      <c r="AQ71" s="61" t="n">
        <v>0</v>
      </c>
      <c r="AR71" s="61" t="n">
        <v>0</v>
      </c>
      <c r="AS71" s="61" t="n">
        <v>0</v>
      </c>
      <c r="AT71" s="61" t="n">
        <v>0</v>
      </c>
      <c r="AU71" s="61" t="str">
        <f aca="false">SUBSTITUTE(SUBSTITUTE(SUBSTITUTE(SUBSTITUTE(SUBSTITUTE(SUBSTITUTE(SUBSTITUTE(SUBSTITUTE(SUBSTITUTE(SUBSTITUTE(SUBSTITUTE(SUBSTITUTE(SUBSTITUTE(SUBSTITUTE(SUBSTITUTE(SUBSTITUTE(LOWER(T71&amp;""),CHAR(10),""),CHAR(13),""),CHAR(9),""),CHAR(160),"")," ",""),".",""),"-",""),"/",""),"?",""),"_",""),",",""),"[",""),"]",""),"(",""),")",""),"*","")</f>
        <v/>
      </c>
      <c r="AV71" s="61" t="str">
        <f aca="false">SUBSTITUTE(SUBSTITUTE(SUBSTITUTE(SUBSTITUTE(SUBSTITUTE(SUBSTITUTE(SUBSTITUTE(SUBSTITUTE(SUBSTITUTE(SUBSTITUTE(SUBSTITUTE(SUBSTITUTE(SUBSTITUTE(SUBSTITUTE(SUBSTITUTE(SUBSTITUTE(LOWER(V71&amp;""),CHAR(10),""),CHAR(13),""),CHAR(9),""),CHAR(160),"")," ",""),".",""),"-",""),"/",""),"?",""),"_",""),",",""),"[",""),"]",""),"(",""),")",""),"*","")</f>
        <v/>
      </c>
      <c r="AW71" s="61" t="str">
        <f aca="false">SUBSTITUTE(SUBSTITUTE(SUBSTITUTE(SUBSTITUTE(SUBSTITUTE(SUBSTITUTE(SUBSTITUTE(SUBSTITUTE(SUBSTITUTE(SUBSTITUTE(SUBSTITUTE(SUBSTITUTE(SUBSTITUTE(SUBSTITUTE(SUBSTITUTE(SUBSTITUTE(LOWER(Z71&amp;""),CHAR(10),""),CHAR(13),""),CHAR(9),""),CHAR(160),"")," ",""),".",""),"-",""),"/",""),"?",""),"_",""),",",""),"[",""),"]",""),"(",""),")",""),"*","")</f>
        <v/>
      </c>
      <c r="AX71" s="61" t="str">
        <f aca="false">SUBSTITUTE(SUBSTITUTE(SUBSTITUTE(SUBSTITUTE(SUBSTITUTE(SUBSTITUTE(SUBSTITUTE(SUBSTITUTE(SUBSTITUTE(SUBSTITUTE(SUBSTITUTE(SUBSTITUTE(SUBSTITUTE(SUBSTITUTE(SUBSTITUTE(SUBSTITUTE(LOWER(AE71&amp;""),CHAR(10),""),CHAR(13),""),CHAR(9),""),CHAR(160),"")," ",""),".",""),"-",""),"/",""),"?",""),"_",""),",",""),"[",""),"]",""),"(",""),")",""),"*","")</f>
        <v/>
      </c>
      <c r="AY71" s="61" t="str">
        <f aca="false">SUBSTITUTE(SUBSTITUTE(SUBSTITUTE(SUBSTITUTE(SUBSTITUTE(SUBSTITUTE(SUBSTITUTE(SUBSTITUTE(SUBSTITUTE(SUBSTITUTE(SUBSTITUTE(SUBSTITUTE(SUBSTITUTE(SUBSTITUTE(SUBSTITUTE(SUBSTITUTE(LOWER(W71&amp;""),CHAR(10),""),CHAR(13),""),CHAR(9),""),CHAR(160),"")," ",""),".",""),"-",""),"/",""),"?",""),"_",""),",",""),"[",""),"]",""),"(",""),")",""),"*","")</f>
        <v/>
      </c>
      <c r="AZ71" s="61" t="str">
        <f aca="false">SUBSTITUTE(SUBSTITUTE(SUBSTITUTE(SUBSTITUTE(SUBSTITUTE(SUBSTITUTE(SUBSTITUTE(SUBSTITUTE(SUBSTITUTE(SUBSTITUTE(SUBSTITUTE(SUBSTITUTE(SUBSTITUTE(SUBSTITUTE(SUBSTITUTE(SUBSTITUTE(LOWER(AC71&amp;""),CHAR(10),""),CHAR(13),""),CHAR(9),""),CHAR(160),"")," ",""),".",""),"-",""),"/",""),"?",""),"_",""),",",""),"[",""),"]",""),"(",""),")",""),"*","")</f>
        <v/>
      </c>
      <c r="BA71" s="61" t="str">
        <f aca="false">SUBSTITUTE(SUBSTITUTE(SUBSTITUTE(SUBSTITUTE(SUBSTITUTE(SUBSTITUTE(SUBSTITUTE(SUBSTITUTE(SUBSTITUTE(SUBSTITUTE(SUBSTITUTE(SUBSTITUTE(SUBSTITUTE(SUBSTITUTE(SUBSTITUTE(SUBSTITUTE(LOWER(AA71&amp;""),CHAR(10),""),CHAR(13),""),CHAR(9),""),CHAR(160),"")," ",""),".",""),"-",""),"/",""),"?",""),"_",""),",",""),"[",""),"]",""),"(",""),")",""),"*","")</f>
        <v/>
      </c>
      <c r="BB71" s="61" t="str">
        <f aca="false">IF(AND(TRIM(U71)="Pass",ISNUMBER(AF71)),IF(AF71&lt;&gt;0,"INVALID – qty variance: use Fail or Pass after CA",""),"")&amp;IF(AND(TRIM(U71)="Pass after CA",ISNUMBER(AF71)),IF(AF71&lt;&gt;0,"INVALID – after the corrective action the actual qty must equal expected (update Actual)",""),"")&amp;IF(AND(TRIM(U71)="Pass",TRIM(AB71)&lt;&gt;"",TRIM(AB71)&lt;&gt;"Closed"),"INVALID – corrective action not closed: use Fail, then Pass after CA","")&amp;IF(AND(LEN(BA71)&gt;=2,ISNA(MATCH(LEFT(BA71,255),L_Placeholder,0)),TRIM(AB71)=""),"INVALID – CA status missing for the recorded corrective action","")&amp;IF(AND(TRIM(U71)="Pass after CA",OR(OR(LEN(BA71)&lt;5,ISNUMBER(MATCH(BA71,L_Placeholder,0))),TRIM(AB71)&lt;&gt;"Closed")),"INVALID – corrective action not recorded/closed","")</f>
        <v/>
      </c>
      <c r="BC71" s="61" t="str">
        <f aca="false">" "&amp;TRIM(SUBSTITUTE(SUBSTITUTE(SUBSTITUTE(SUBSTITUTE(SUBSTITUTE(SUBSTITUTE(SUBSTITUTE(SUBSTITUTE(SUBSTITUTE(SUBSTITUTE(SUBSTITUTE(SUBSTITUTE(SUBSTITUTE(SUBSTITUTE(SUBSTITUTE(SUBSTITUTE(SUBSTITUTE(SUBSTITUTE(SUBSTITUTE(SUBSTITUTE(SUBSTITUTE(SUBSTITUTE(SUBSTITUTE(SUBSTITUTE(LOWER(V71&amp;""),CHAR(10)," "),CHAR(13)," "),CHAR(9)," "),CHAR(160)," "),"."," "),","," "),"-"," "),"/"," "),"("," "),")"," "),":"," "),";"," "),"_"," "),"–"," "),"?"," "),"!"," "),"*"," "),"["," "),"]"," "),"'"," "),"#"," "),"+"," "),"&amp;"," "),"\"," "))&amp;" "</f>
        <v>  </v>
      </c>
      <c r="BD71" s="61" t="str">
        <f aca="false">" "&amp;TRIM(SUBSTITUTE(SUBSTITUTE(SUBSTITUTE(SUBSTITUTE(SUBSTITUTE(SUBSTITUTE(SUBSTITUTE(SUBSTITUTE(SUBSTITUTE(SUBSTITUTE(SUBSTITUTE(SUBSTITUTE(SUBSTITUTE(SUBSTITUTE(SUBSTITUTE(SUBSTITUTE(SUBSTITUTE(SUBSTITUTE(SUBSTITUTE(SUBSTITUTE(SUBSTITUTE(SUBSTITUTE(SUBSTITUTE(SUBSTITUTE(LOWER(Z71&amp;""),CHAR(10)," "),CHAR(13)," "),CHAR(9)," "),CHAR(160)," "),"."," "),","," "),"-"," "),"/"," "),"("," "),")"," "),":"," "),";"," "),"_"," "),"–"," "),"?"," "),"!"," "),"*"," "),"["," "),"]"," "),"'"," "),"#"," "),"+"," "),"&amp;"," "),"\"," "))&amp;" "</f>
        <v>  </v>
      </c>
      <c r="BE71" s="61" t="str">
        <f aca="false">" "&amp;TRIM(SUBSTITUTE(SUBSTITUTE(SUBSTITUTE(SUBSTITUTE(SUBSTITUTE(SUBSTITUTE(SUBSTITUTE(SUBSTITUTE(SUBSTITUTE(SUBSTITUTE(SUBSTITUTE(SUBSTITUTE(SUBSTITUTE(SUBSTITUTE(SUBSTITUTE(SUBSTITUTE(SUBSTITUTE(SUBSTITUTE(SUBSTITUTE(SUBSTITUTE(SUBSTITUTE(SUBSTITUTE(SUBSTITUTE(SUBSTITUTE(LOWER(W71&amp;""),CHAR(10)," "),CHAR(13)," "),CHAR(9)," "),CHAR(160)," "),"."," "),","," "),"-"," "),"/"," "),"("," "),")"," "),":"," "),";"," "),"_"," "),"–"," "),"?"," "),"!"," "),"*"," "),"["," "),"]"," "),"'"," "),"#"," "),"+"," "),"&amp;"," "),"\"," "))&amp;" "</f>
        <v>  </v>
      </c>
      <c r="BF71" s="61" t="str">
        <f aca="false">" "&amp;TRIM(SUBSTITUTE(SUBSTITUTE(SUBSTITUTE(SUBSTITUTE(SUBSTITUTE(SUBSTITUTE(SUBSTITUTE(SUBSTITUTE(SUBSTITUTE(SUBSTITUTE(SUBSTITUTE(SUBSTITUTE(SUBSTITUTE(SUBSTITUTE(SUBSTITUTE(SUBSTITUTE(SUBSTITUTE(SUBSTITUTE(SUBSTITUTE(SUBSTITUTE(SUBSTITUTE(SUBSTITUTE(SUBSTITUTE(SUBSTITUTE(LOWER(AC71&amp;""),CHAR(10)," "),CHAR(13)," "),CHAR(9)," "),CHAR(160)," "),"."," "),","," "),"-"," "),"/"," "),"("," "),")"," "),":"," "),";"," "),"_"," "),"–"," "),"?"," "),"!"," "),"*"," "),"["," "),"]"," "),"'"," "),"#"," "),"+"," "),"&amp;"," "),"\"," "))&amp;" "</f>
        <v>  </v>
      </c>
      <c r="BG71" s="61" t="n">
        <f aca="false">IFERROR(IF(AND(TRIM(U71)="Pass",SUMPRODUCT((LEN(BC71)-LEN(SUBSTITUTE(BC71," "&amp;L_ResultBad&amp;" "," ")))/(LEN(L_ResultBad)+1))&gt;SUMPRODUCT((LEN(BC71)-LEN(SUBSTITUTE(BC71," "&amp;L_NegPhrase&amp;" "," ")))/(LEN(L_NegPhrase)+1))),1,0),0)</f>
        <v>0</v>
      </c>
      <c r="BH71" s="61" t="n">
        <f aca="false">IFERROR(IF(SUMPRODUCT((LEN(BC71)-LEN(SUBSTITUTE(BC71," "&amp;L_Pending&amp;" "," ")))/(LEN(L_Pending)+1))&gt;SUMPRODUCT((LEN(BC71)-LEN(SUBSTITUTE(BC71," "&amp;L_PendNeg&amp;" "," ")))/(LEN(L_PendNeg)+1))+SUMPRODUCT((LEN(BC71)-LEN(SUBSTITUTE(BC71," "&amp;L_PendPrep&amp;" "," ")))/(LEN(L_PendPrep)+1)),1,0),1)</f>
        <v>0</v>
      </c>
      <c r="BI71" s="61" t="n">
        <f aca="false">IFERROR(IF(SUMPRODUCT((LEN(BD71)-LEN(SUBSTITUTE(BD71," "&amp;L_PendStrict&amp;" "," ")))/(LEN(L_PendStrict)+1))&gt;SUMPRODUCT((LEN(BD71)-LEN(SUBSTITUTE(BD71," "&amp;L_PendNeg&amp;" "," ")))/(LEN(L_PendNeg)+1)),1,0),1)</f>
        <v>0</v>
      </c>
      <c r="BJ71" s="61" t="n">
        <f aca="false">IFERROR(IF(SUMPRODUCT((LEN(BE71)-LEN(SUBSTITUTE(BE71," "&amp;L_Pending&amp;" "," ")))/(LEN(L_Pending)+1))&gt;SUMPRODUCT((LEN(BE71)-LEN(SUBSTITUTE(BE71," "&amp;L_PendNeg&amp;" "," ")))/(LEN(L_PendNeg)+1))+SUMPRODUCT((LEN(BE71)-LEN(SUBSTITUTE(BE71," "&amp;L_PendPrep&amp;" "," ")))/(LEN(L_PendPrep)+1)),1,0),1)</f>
        <v>0</v>
      </c>
      <c r="BK71" s="61" t="n">
        <f aca="false">IFERROR(IF(SUMPRODUCT((LEN(BF71)-LEN(SUBSTITUTE(BF71," "&amp;L_PendStrict&amp;" "," ")))/(LEN(L_PendStrict)+1))&gt;SUMPRODUCT((LEN(BF71)-LEN(SUBSTITUTE(BF71," "&amp;L_PendNeg&amp;" "," ")))/(LEN(L_PendNeg)+1)),1,0),1)</f>
        <v>0</v>
      </c>
      <c r="BL71" s="61" t="n">
        <f aca="false">IF(ISNA(MATCH(TRIM(S71),L_EvidenceType,0)),0,BZ71)</f>
        <v>0</v>
      </c>
      <c r="BM71" s="61" t="str">
        <f aca="false">SUBSTITUTE(SUBSTITUTE(SUBSTITUTE(SUBSTITUTE(SUBSTITUTE(SUBSTITUTE(SUBSTITUTE(SUBSTITUTE(SUBSTITUTE(LOWER(Z71&amp;""),"1","0"),"2","0"),"3","0"),"4","0"),"5","0"),"6","0"),"7","0"),"8","0"),"9","0")</f>
        <v/>
      </c>
      <c r="BN71" s="61" t="str">
        <f aca="false">SUBSTITUTE(SUBSTITUTE(SUBSTITUTE(SUBSTITUTE(SUBSTITUTE(SUBSTITUTE(SUBSTITUTE(SUBSTITUTE(SUBSTITUTE(SUBSTITUTE(SUBSTITUTE(SUBSTITUTE(SUBSTITUTE(SUBSTITUTE(SUBSTITUTE(SUBSTITUTE(SUBSTITUTE(SUBSTITUTE(SUBSTITUTE(SUBSTITUTE(SUBSTITUTE(SUBSTITUTE(SUBSTITUTE(SUBSTITUTE(SUBSTITUTE(BM71,"b","a"),"c","a"),"d","a"),"e","a"),"f","a"),"g","a"),"h","a"),"i","a"),"j","a"),"k","a"),"l","a"),"m","a"),"n","a"),"o","a"),"p","a"),"q","a"),"r","a"),"s","a"),"t","a"),"u","a"),"v","a"),"w","a"),"x","a"),"y","a"),"z","a")</f>
        <v/>
      </c>
      <c r="BO71" s="61" t="str">
        <f aca="false">SUBSTITUTE(SUBSTITUTE(SUBSTITUTE(SUBSTITUTE(SUBSTITUTE(SUBSTITUTE(SUBSTITUTE(SUBSTITUTE(SUBSTITUTE(LOWER(W71&amp;""),"1","0"),"2","0"),"3","0"),"4","0"),"5","0"),"6","0"),"7","0"),"8","0"),"9","0")</f>
        <v/>
      </c>
      <c r="BP71" s="61" t="str">
        <f aca="false">SUBSTITUTE(SUBSTITUTE(SUBSTITUTE(SUBSTITUTE(SUBSTITUTE(SUBSTITUTE(SUBSTITUTE(SUBSTITUTE(SUBSTITUTE(SUBSTITUTE(SUBSTITUTE(SUBSTITUTE(SUBSTITUTE(SUBSTITUTE(SUBSTITUTE(SUBSTITUTE(SUBSTITUTE(SUBSTITUTE(SUBSTITUTE(SUBSTITUTE(SUBSTITUTE(SUBSTITUTE(SUBSTITUTE(SUBSTITUTE(SUBSTITUTE(BO71,"b","a"),"c","a"),"d","a"),"e","a"),"f","a"),"g","a"),"h","a"),"i","a"),"j","a"),"k","a"),"l","a"),"m","a"),"n","a"),"o","a"),"p","a"),"q","a"),"r","a"),"s","a"),"t","a"),"u","a"),"v","a"),"w","a"),"x","a"),"y","a"),"z","a")</f>
        <v/>
      </c>
      <c r="BQ71" s="61" t="n">
        <f aca="false">IFERROR(IF(AND(ISERROR(SEARCH(" mh"," "&amp;LOWER(W71))),ISNA(MATCH(LEFT(TRIM(BP71),255),{"0000a","000a","00a","0000aa","000aa","00aa","0aa","0000aaa","000aaa","00a00","0a00","0000-0000","00:00","a00","a0","00.00.0000","00/00/0000","00-00-0000","0000-00-00","0000/00/00","0000.00.00","00.00.00","00/00/00","00-00-00","0.00.0000","0/00/0000","0-00-0000"},0)),ISNA(MATCH(LEFT(TRIM(CA71),255),{"0000a","000a","00a","0000aa","000aa","00aa","0aa","0000aaa","000aaa","00a00","0a00","0000-0000","00:00","a00","a0","00.00.0000","00/00/0000","00-00-0000","0000-00-00","0000/00/00","0000.00.00","00.00.00","00/00/00","00-00-00","0.00.0000","0/00/0000","0-00-0000"},0)),LEN(CB71)&gt;=3,NOT(OR(SUBSTITUTE(CB71,"0","")="",AND(LEN(CB71)&gt;=4,CB71=REPT(LEFT(CB71),LEN(CB71))),ISNUMBER(MATCH(CB71,{"123","1234","12345","123456","1234567","12345678","0123","01234","012345","98765","987654","54321"},0)),AND(LEN(CB71)=8,LEFT(CB71,3)="202"))),OR(AND((LEN(CA71)-LEN(SUBSTITUTE(CA71,"a","")))&gt;=1,SUMPRODUCT(--ISNUMBER(SEARCH({"a0","a-0","a_0","a/0","a.0","a#0","0a","0-a","0_a","0/a"},BP71)))&gt;0),ISNUMBER(SEARCH("000000",BP71)))),1,0),0)</f>
        <v>0</v>
      </c>
      <c r="BR71" s="61" t="n">
        <f aca="false">IFERROR(LEN(SUBSTITUTE(CC71," ",""))-SUMPRODUCT((LEN(CC71)-LEN(SUBSTITUTE(CC71," "&amp;L_Role&amp;" "," ")))/(LEN(L_Role)+1)*LEN(L_Role)),0)</f>
        <v>0</v>
      </c>
      <c r="BS71" s="61" t="n">
        <f aca="false">IFERROR(LEN(SUBSTITUTE(CD71," ",""))-SUMPRODUCT((LEN(CD71)-LEN(SUBSTITUTE(CD71," "&amp;L_Role&amp;" "," ")))/(LEN(L_Role)+1)*LEN(L_Role)),0)</f>
        <v>0</v>
      </c>
      <c r="BT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revision",""),"version",""),"jan",""),"feb",""),"mar",""),"apr",""),"may",""),"jun",""),"jul",""),"aug",""),"sep",""),"oct",""),"nov",""),"dec",""),"utc",""),"gmt",""),"myt",""),"bst",""),"rev",""),"ver",""),"b","a"),"c","a"),"d","a"),"e","a"),"f","a"),"g","a"),"h","a"),"i","a"),"j","a"),"k","a"),"l","a"),"m","a"),"n","a"),"o","a"),"p","a"),"q","a"),"r","a"),"s","a"),"t","a"),"u","a"),"v","a"),"w","a"),"x","a"),"y","a"),"z","a")</f>
        <v/>
      </c>
      <c r="BU71" s="61" t="str">
        <f aca="false">SUBSTITUTE(SUBSTITUTE(SUBSTITUTE(SUBSTITUTE(SUBSTITUTE(SUBSTITUTE(SUBSTITUTE(SUBSTITUTE(SUBSTITUTE(SUBSTITUTE(LEFT(BM71,FIND("0",BM71&amp;"0")-1),"-",""),"_",""),"/",""),".",""),"#",""),"\\",""),":","")," ",""),"(",""),")","")</f>
        <v/>
      </c>
      <c r="BV71" s="61" t="n">
        <f aca="false">0</f>
        <v>0</v>
      </c>
      <c r="BW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amp;""),"a",""),"b",""),"c",""),"d",""),"e",""),"f",""),"g",""),"h",""),"i",""),"j",""),"k",""),"l",""),"m",""),"n",""),"o",""),"p",""),"q",""),"r",""),"s",""),"t",""),"u",""),"v",""),"w",""),"x",""),"y",""),"z",""),"-",""),"_",""),"/",""),".",""),"#",""),"\\",""),":","")," ",""),"(",""),")","")</f>
        <v/>
      </c>
      <c r="BX71" s="61" t="str">
        <f aca="false">SUBSTITUTE(SUBSTITUTE(SUBSTITUTE(SUBSTITUTE(SUBSTITUTE(SUBSTITUTE(SUBSTITUTE(SUBSTITUTE(SUBSTITUTE(SUBSTITUTE(SUBSTITUTE(BM71,"0",""),"-",""),"_",""),"/",""),".",""),"#",""),"\\",""),":","")," ",""),"(",""),")","")</f>
        <v/>
      </c>
      <c r="BY71" s="62" t="n">
        <f aca="false">Q71-T7EarlyD*24/24</f>
        <v>46284.3784722222</v>
      </c>
      <c r="BZ71" s="61" t="n">
        <f aca="false">IFERROR(IF(IF(TRIM(S71)="Link / file path",AND(LEN(TRIM(Z71))&gt;=5,SUMPRODUCT(--ISNUMBER(SEARCH({"http","www.","\\",":\",".pdf",".jpg",".jpeg",".png",".heic",".xls",".doc",".msg",".eml",".ppt",".txt",".zip"},Z71)))&gt;0),AND(ISERROR(FIND(" ",TRIM(Z71))),NOT(OR(SUMPRODUCT(--ISNUMBER(FIND({",",";","&amp;","+"},Z71)))&gt;0,SUMPRODUCT(--ISNUMBER(SEARCH({"0/aa","0\\aa"},BN71)))&gt;0)),NOT(SUMPRODUCT(--ISNUMBER(SEARCH({"http","www.","\\",":\",".pdf",".jpg",".jpeg",".png",".heic",".xls",".doc",".msg",".eml",".ppt",".txt",".zip"},Z71)))&gt;0),NOT(LOWER(TRIM(Z71))=LOWER(Flights!$F$7)),ISNA(MATCH(BU71,{"mh","rev","revision","ver","version","v","r","a","b","seat","tray","row","gate","bay","stand","page","pg","item","line","no","cart","galley","flight","flt","table","box","bag","oven","etd","eta","std","sta","atd","ata","qty","pax","x","time","tel","ph","mob","day","wk","week","utc","gmt","myt","lt"},0)),NOT(OR(ISNUMBER(MATCH(LEFT(BN71,255),{"0000a","000a","00a","0000aa","000aa","00aa","0aa","0000aaa","000aaa","00a00","0a00","0000-0000","00:00","a00","a0","00.00.0000","00/00/0000","00-00-0000","0000-00-00","0000/00/00","0000.00.00","00.00.00","00/00/00","00-00-00","0.00.0000","0/00/0000","0-00-0000"},0)),ISNUMBER(MATCH(LEFT(BT71,255),{"0000a","000a","00a","0000aa","000aa","00aa","0aa","0000aaa","000aaa","00a00","0a00","0000-0000","00:00","a00","a0","00.00.0000","00/00/0000","00-00-0000","0000-00-00","0000/00/00","0000.00.00","00.00.00","00/00/00","00-00-00","0.00.0000","0/00/0000","0-00-0000"},0)))),NOT(OR(AND(BW71&lt;&gt;"",SUBSTITUTE(BW71,"0","")=""),AND(LEN(BW71)&gt;=4,BW71=REPT(LEFT(BW71),LEN(BW71))),ISNUMBER(MATCH(BW71,{"123","1234","12345","123456","1234567","12345678","0123","01234","012345","98765","987654","54321"},0)),ISNUMBER(MATCH(BX71,{"x","xx","xxx","xxxx","xxxxx","abc","abcd","nil","na","nan","test","tbc","tba","tbd","dummy","sample","example","eg","zz","zzz","none","null","xyz","qwe","asd","id","ref"},0)),AND(LEN(BW71)=8,BX71="",OR(LEFT(BW71,3)="202",ISNUMBER(MATCH(RIGHT(BW71,4),{"2025","2026","2027"},0)))))),OR(AND((LEN(BT71)-LEN(SUBSTITUTE(BT71,"a","")))&gt;=1,(LEN(BN71)-LEN(SUBSTITUTE(BN71,"0","")))&gt;=2,SUMPRODUCT(--ISNUMBER(SEARCH({"a0","a-0","a_0","a/0","a.0","a#0","0a","0-a","0_a","0/a"},BN71)))&gt;0),AND((LEN(BN71)-LEN(SUBSTITUTE(BN71,"a","")))=0,(LEN(BN71)-LEN(SUBSTITUTE(BN71,"0","")))&gt;=5)))),1,0),0)</f>
        <v>0</v>
      </c>
      <c r="CA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revision",""),"version",""),"jan",""),"feb",""),"mar",""),"apr",""),"may",""),"jun",""),"jul",""),"aug",""),"sep",""),"oct",""),"nov",""),"dec",""),"utc",""),"gmt",""),"myt",""),"bst",""),"rev",""),"ver",""),"b","a"),"c","a"),"d","a"),"e","a"),"f","a"),"g","a"),"h","a"),"i","a"),"j","a"),"k","a"),"l","a"),"m","a"),"n","a"),"o","a"),"p","a"),"q","a"),"r","a"),"s","a"),"t","a"),"u","a"),"v","a"),"w","a"),"x","a"),"y","a"),"z","a")</f>
        <v/>
      </c>
      <c r="CB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amp;""),"a",""),"b",""),"c",""),"d",""),"e",""),"f",""),"g",""),"h",""),"i",""),"j",""),"k",""),"l",""),"m",""),"n",""),"o",""),"p",""),"q",""),"r",""),"s",""),"t",""),"u",""),"v",""),"w",""),"x",""),"y",""),"z",""),"-",""),"_",""),"/",""),".",""),"#",""),"\\",""),":","")," ",""),"(",""),")","")</f>
        <v/>
      </c>
      <c r="CC71" s="0" t="str">
        <f aca="false">" "&amp;TRIM(SUBSTITUTE(SUBSTITUTE(SUBSTITUTE(SUBSTITUTE(SUBSTITUTE(SUBSTITUTE(SUBSTITUTE(SUBSTITUTE(SUBSTITUTE(SUBSTITUTE(SUBSTITUTE(SUBSTITUTE(SUBSTITUTE(SUBSTITUTE(SUBSTITUTE(SUBSTITUTE(SUBSTITUTE(SUBSTITUTE(SUBSTITUTE(SUBSTITUTE(SUBSTITUTE(SUBSTITUTE(SUBSTITUTE(SUBSTITUTE(LOWER(T71&amp;""),CHAR(10)," "),CHAR(13)," "),CHAR(9)," "),CHAR(160)," "),"."," "),","," "),"-"," "),"/"," "),"("," "),")"," "),":"," "),";"," "),"_"," "),"–"," "),"?"," "),"!"," "),"*"," "),"["," "),"]"," "),"'"," "),"#"," "),"+"," "),"&amp;"," "),"\"," "))&amp;" "</f>
        <v>  </v>
      </c>
      <c r="CD71" s="0" t="str">
        <f aca="false">" "&amp;TRIM(SUBSTITUTE(SUBSTITUTE(SUBSTITUTE(SUBSTITUTE(SUBSTITUTE(SUBSTITUTE(SUBSTITUTE(SUBSTITUTE(SUBSTITUTE(SUBSTITUTE(SUBSTITUTE(SUBSTITUTE(SUBSTITUTE(SUBSTITUTE(SUBSTITUTE(SUBSTITUTE(SUBSTITUTE(SUBSTITUTE(SUBSTITUTE(SUBSTITUTE(SUBSTITUTE(SUBSTITUTE(SUBSTITUTE(SUBSTITUTE(LOWER(AE71&amp;""),CHAR(10)," "),CHAR(13)," "),CHAR(9)," "),CHAR(160)," "),"."," "),","," "),"-"," "),"/"," "),"("," "),")"," "),":"," "),";"," "),"_"," "),"–"," "),"?"," "),"!"," "),"*"," "),"["," "),"]"," "),"'"," "),"#"," "),"+"," "),"&amp;"," "),"\"," "))&amp;" "</f>
        <v>  </v>
      </c>
      <c r="CE71" s="68" t="n">
        <f aca="false">IFERROR(IF(AND(LEN(AU71)&gt;0,LEN(AU71)=LEN(AX71),OR(TRIM(MID(SUBSTITUTE(TRIM(CC71)," ",REPT(" ",60)),1,60))="",ISNUMBER(SEARCH(" "&amp;TRIM(MID(SUBSTITUTE(TRIM(CC71)," ",REPT(" ",60)),1,60))&amp;" ",CD71))),OR(TRIM(MID(SUBSTITUTE(TRIM(CC71)," ",REPT(" ",60)),61,60))="",ISNUMBER(SEARCH(" "&amp;TRIM(MID(SUBSTITUTE(TRIM(CC71)," ",REPT(" ",60)),61,60))&amp;" ",CD71))),OR(TRIM(MID(SUBSTITUTE(TRIM(CC71)," ",REPT(" ",60)),121,60))="",ISNUMBER(SEARCH(" "&amp;TRIM(MID(SUBSTITUTE(TRIM(CC71)," ",REPT(" ",60)),121,60))&amp;" ",CD71)))),1,0),0)</f>
        <v>0</v>
      </c>
      <c r="CG71" s="68" t="n">
        <f aca="false">IFERROR(LEN(SUBSTITUTE(BF71," ",""))-SUMPRODUCT((LEN(BF71)-LEN(SUBSTITUTE(BF71," "&amp;L_NAFiller&amp;" "," ")))/(LEN(L_NAFiller)+1)*LEN(L_NAFiller)),0)</f>
        <v>0</v>
      </c>
    </row>
    <row r="72" customFormat="false" ht="39.75" hidden="false" customHeight="true" outlineLevel="0" collapsed="false">
      <c r="A72" s="57" t="s">
        <v>559</v>
      </c>
      <c r="B72" s="57" t="s">
        <v>212</v>
      </c>
      <c r="C72" s="57" t="str">
        <f aca="false">Flights!$F$7</f>
        <v>MH0720</v>
      </c>
      <c r="D72" s="58" t="n">
        <f aca="false">Flights!$D$7</f>
        <v>46305</v>
      </c>
      <c r="E72" s="57" t="str">
        <f aca="false">Flights!$G$7&amp;"-"&amp;Flights!$H$7</f>
        <v>CGK-KUL</v>
      </c>
      <c r="F72" s="57" t="str">
        <f aca="false">Flights!$K$7</f>
        <v>EY</v>
      </c>
      <c r="G72" s="57" t="s">
        <v>81</v>
      </c>
      <c r="H72" s="57" t="s">
        <v>378</v>
      </c>
      <c r="I72" s="57" t="s">
        <v>394</v>
      </c>
      <c r="J72" s="57" t="s">
        <v>395</v>
      </c>
      <c r="K72" s="67" t="s">
        <v>396</v>
      </c>
      <c r="L72" s="67" t="s">
        <v>382</v>
      </c>
      <c r="M72" s="67"/>
      <c r="N72" s="67" t="s">
        <v>383</v>
      </c>
      <c r="O72" s="67"/>
      <c r="P72" s="57" t="s">
        <v>201</v>
      </c>
      <c r="Q72" s="59" t="n">
        <f aca="false">ROUND((Flights!$AC$7)*1440,0)/1440</f>
        <v>46298.3784722222</v>
      </c>
      <c r="R72" s="59" t="n">
        <f aca="false">Q72+(IF(AND(INDEX(TZ_DSTS,MATCH(P72,TZ_STN,0))&lt;&gt;"",Q72&gt;=INDEX(TZ_DSTS,MATCH(P72,TZ_STN,0)),Q72&lt;INDEX(TZ_DSTE,MATCH(P72,TZ_STN,0))),INDEX(TZ_DST,MATCH(P72,TZ_STN,0)),INDEX(TZ_STD,MATCH(P72,TZ_STN,0))))/24</f>
        <v>46298.6701388889</v>
      </c>
      <c r="S72" s="60"/>
      <c r="T72" s="60"/>
      <c r="U72" s="60"/>
      <c r="V72" s="60"/>
      <c r="W72" s="61"/>
      <c r="X72" s="60"/>
      <c r="Y72" s="60"/>
      <c r="Z72" s="60"/>
      <c r="AA72" s="60"/>
      <c r="AB72" s="60"/>
      <c r="AC72" s="60"/>
      <c r="AD72" s="66"/>
      <c r="AE72" s="60"/>
      <c r="AF72" s="61" t="str">
        <f aca="false">IF(AND(ISNUMBER(X72),ISNUMBER(Y72)),Y72-X72,"")</f>
        <v/>
      </c>
      <c r="AG72" s="62" t="str">
        <f aca="false">IF(ISNUMBER(AD72),AD72-(IF(AND(INDEX(TZ_DSTS,MATCH(P72,TZ_STN,0))&lt;&gt;"",(AD72-INDEX(TZ_STD,MATCH(P72,TZ_STN,0))/24)&gt;=INDEX(TZ_DSTS,MATCH(P72,TZ_STN,0)),(AD72-INDEX(TZ_STD,MATCH(P72,TZ_STN,0))/24)&lt;INDEX(TZ_DSTE,MATCH(P72,TZ_STN,0))),INDEX(TZ_DST,MATCH(P72,TZ_STN,0)),INDEX(TZ_STD,MATCH(P72,TZ_STN,0))))/24,"")</f>
        <v/>
      </c>
      <c r="AH72" s="65" t="str">
        <f aca="false">IFERROR(IF(N72="N/A – rule",IF(OR(TRIM(U72)="",TRIM(U72)="N/A",TRIM(U72)="Not started"),"N/A – RULE","INVALID – this check does not apply to this aircraft: clear the status (or correct the fleet on Flights)"),IF(TRIM(U72)="N/A",IF(AT72=0,"INVALID – N/A not permitted for this check",IF(AND(TRIM(AB72)&lt;&gt;"",TRIM(AB72)&lt;&gt;"Closed"),"INVALID – corrective action still open",IF(AND(NOT(OR(LEN(AZ72)&lt;15,ISNUMBER(MATCH(AZ72,L_Placeholder,0)))),BK72=0,CG72&gt;=8,NOT(OR(LEN(AU72)&lt;2,ISNUMBER(MATCH(AU72,L_Placeholder,0)))),BR72&gt;=3,NOT(OR(LEN(AX72)&lt;2,ISNUMBER(MATCH(AX72,L_Placeholder,0)))),BS72&gt;=3,TRIM(AE72)&lt;&gt;TRIM(T72),AX72&lt;&gt;AU72,CE72=0),"N/A – JUSTIFIED","INVALID – N/A needs a real, settled reason (not 'not applicable' / 'as above' / TBC), a named PIC and a different named verifier"))),IF(OR(TRIM(U72)="Pass",TRIM(U72)="Pass after CA"),IF(NOT(ISNUMBER(AD72)),"INVALID – completion time missing",IF(OR(OR(LEN(AU72)&lt;2,ISNUMBER(MATCH(AU72,L_Placeholder,0))),BR72&lt;3),"INVALID – PIC missing or not a named person (a role such as QA / CSM is not a name)",IF(OR(LEN(AV72)&lt;2,ISNUMBER(MATCH(AV72,L_Placeholder,0))),"INVALID – result / assessment missing",IF(OR(OR(LEN(AW72)&lt;3,ISNUMBER(MATCH(AW72,L_Placeholder,0))),SUMPRODUCT(--ISNUMBER(SEARCH(" "&amp;L_EvidencePhrase&amp;" ",BD72)))&gt;0,BI72=1),"INVALID – evidence missing, placeholder or not yet on file",IF(ISNA(MATCH(TRIM(S72),L_EvidenceType,0)),"INVALID – choose the evidence type from the list (column S)",IF(BL72=0,"INVALID – evidence ID must be the record's own ID only (e.g. SF-2210, IMG_2231, 1045521); a link / file name needs type 'Link / file path'",IF(OR(OR(LEN(AX72)&lt;2,ISNUMBER(MATCH(AX72,L_Placeholder,0))),BS72&lt;3),"INVALID – verifier missing or not a named person (a role such as QA / CSM is not a name)",IF(OR(AX72=AU72,CE72=1,AND(LEN(AU72)&gt;=4,ISNUMBER(SEARCH(AU72,AX72))),AND(LEN(AX72)&gt;=4,ISNUMBER(SEARCH(AX72,AU72)))),"INVALID – verifier must be a different, named person (not the PIC or a role)",IF(BH72=1,"INVALID – result not yet available (awaiting / TBC)",IF(BG72=1,"INVALID – result describes a problem: record Fail, then Pass after CA (or reword if it is not a problem)",IF(BV72=1,"INVALID – wording says not on board: an on-board confirmation needs the item loaded",IF(AND(AQ72=1,OR(OR(LEN(AY72)&lt;3,ISNUMBER(MATCH(AY72,L_Placeholder,0))),BJ72=1,BQ72=0)),"INVALID – batch ID missing, placeholder or not an ID (e.g. PASB-261008-BC-017)",IF(AND(AR72=1,OR(NOT(ISNUMBER(X72)),NOT(ISNUMBER(Y72)))),"INVALID – expected/actual qty missing",IF(AND(AR72=1,OR(X72&lt;=0,Y72&lt;0)),"INVALID – expected qty must be above 0 and actual not negative",IF(BB72&lt;&gt;"",BB72,IF(AND(AS72=1,Documents!$J$7&lt;&gt;"ON FILE"),"INVALID – GLD not on file (Documents sheet)",IF(AND(AS72=2,Documents!$O$7&lt;&gt;"ON FILE"),"INVALID – menu checklist not on file (Documents sheet)",IF(AND(AS72=3,NOT(ISNUMBER(Flights!$AX$7))),"INVALID – enter carrying flight KUL departure (Flights AX)",IF(AND(AS72=3,OR(Flights!$AZ$7&gt;Flights!$AA$7,Flights!$AX$7&lt;Flights!$AA$7-3)),"INVALID – carrying flight (Flights AX) cannot arrive before this leg's STD, or is over 3 days early",IF(AG72&gt;AsOfUTC,"INVALID – completion time is in the future",IF(AND(ISNUMBER(BY72),AG72&lt;BY72),IF(H72="Physical uplift","INVALID – before uplift window (cannot confirm loading)","INVALID – before valid window"),IF(AG72&gt;Flights!$AA$7,"INVALID – completed after departure (cannot establish readiness)",IF(AND(H72="Preparation",AG72&gt;=IF(ISNUMBER(Flights!$BA$7),MIN(Flights!$BA$7,Flights!$AA$7),Flights!$AA$7)),"INVALID – completed after loading / departure (cannot establish readiness)",IF(AND(H72="Physical uplift",AG72&gt;Q72),"INVALID – recorded after the loading flight departed",IF(AG72&gt;Q72,"COMPLETE – LATE","COMPLETE"))))))))))))))))))))))))),IF(TRIM(U72)="Fail","FAIL – DISCREPANCY",IF(AND(TRIM(U72)&lt;&gt;"",TRIM(U72)&lt;&gt;"Not started",TRIM(U72)&lt;&gt;"In progress"),"INVALID – unrecognised status (use the list)",IF(AsOfUTC&gt;Q72,"OVERDUE",IF(N72="Clarification required","OPEN – CLARIFICATION","OPEN"))))))),"INVALID – error value in an input cell")</f>
        <v>OPEN</v>
      </c>
      <c r="AI72" s="61" t="n">
        <f aca="false">IF(OR(AH72="N/A – RULE",AH72="N/A – JUSTIFIED"),0,1)</f>
        <v>1</v>
      </c>
      <c r="AJ72" s="61" t="n">
        <f aca="false">IF(LEFT(AH72,8)="COMPLETE",1,0)</f>
        <v>0</v>
      </c>
      <c r="AK72" s="61" t="n">
        <f aca="false">IF(AND(AI72=1,AJ72=0,AsOfUTC&gt;Q72),1,0)</f>
        <v>0</v>
      </c>
      <c r="AL72" s="61" t="n">
        <f aca="false">IFERROR(IF(AND(AI72=1,OR(TRIM(U72)="Fail",AND(TRIM(AB72)&lt;&gt;"",TRIM(AB72)&lt;&gt;"Closed"),AND(ISNUMBER(AF72),AF72&lt;&gt;0,TRIM(U72)&lt;&gt;"Pass after CA"))),1,0),1)</f>
        <v>0</v>
      </c>
      <c r="AM72" s="61" t="n">
        <f aca="false">IF(LEFT(AH72,7)="INVALID",1,0)</f>
        <v>0</v>
      </c>
      <c r="AN72" s="61" t="n">
        <f aca="false">IF(AND(N72="Clarification required",AI72=1,AJ72=0),1,0)</f>
        <v>0</v>
      </c>
      <c r="AO72" s="61" t="str">
        <f aca="false">IF(AK72=1,SUM(AK$5:AK72),"")</f>
        <v/>
      </c>
      <c r="AP72" s="61" t="str">
        <f aca="false">IF(AL72=1,SUM(AL$5:AL72),"")</f>
        <v/>
      </c>
      <c r="AQ72" s="61" t="n">
        <v>0</v>
      </c>
      <c r="AR72" s="61" t="n">
        <v>0</v>
      </c>
      <c r="AS72" s="61" t="n">
        <v>0</v>
      </c>
      <c r="AT72" s="61" t="n">
        <v>0</v>
      </c>
      <c r="AU72" s="61" t="str">
        <f aca="false">SUBSTITUTE(SUBSTITUTE(SUBSTITUTE(SUBSTITUTE(SUBSTITUTE(SUBSTITUTE(SUBSTITUTE(SUBSTITUTE(SUBSTITUTE(SUBSTITUTE(SUBSTITUTE(SUBSTITUTE(SUBSTITUTE(SUBSTITUTE(SUBSTITUTE(SUBSTITUTE(LOWER(T72&amp;""),CHAR(10),""),CHAR(13),""),CHAR(9),""),CHAR(160),"")," ",""),".",""),"-",""),"/",""),"?",""),"_",""),",",""),"[",""),"]",""),"(",""),")",""),"*","")</f>
        <v/>
      </c>
      <c r="AV72" s="61" t="str">
        <f aca="false">SUBSTITUTE(SUBSTITUTE(SUBSTITUTE(SUBSTITUTE(SUBSTITUTE(SUBSTITUTE(SUBSTITUTE(SUBSTITUTE(SUBSTITUTE(SUBSTITUTE(SUBSTITUTE(SUBSTITUTE(SUBSTITUTE(SUBSTITUTE(SUBSTITUTE(SUBSTITUTE(LOWER(V72&amp;""),CHAR(10),""),CHAR(13),""),CHAR(9),""),CHAR(160),"")," ",""),".",""),"-",""),"/",""),"?",""),"_",""),",",""),"[",""),"]",""),"(",""),")",""),"*","")</f>
        <v/>
      </c>
      <c r="AW72" s="61" t="str">
        <f aca="false">SUBSTITUTE(SUBSTITUTE(SUBSTITUTE(SUBSTITUTE(SUBSTITUTE(SUBSTITUTE(SUBSTITUTE(SUBSTITUTE(SUBSTITUTE(SUBSTITUTE(SUBSTITUTE(SUBSTITUTE(SUBSTITUTE(SUBSTITUTE(SUBSTITUTE(SUBSTITUTE(LOWER(Z72&amp;""),CHAR(10),""),CHAR(13),""),CHAR(9),""),CHAR(160),"")," ",""),".",""),"-",""),"/",""),"?",""),"_",""),",",""),"[",""),"]",""),"(",""),")",""),"*","")</f>
        <v/>
      </c>
      <c r="AX72" s="61" t="str">
        <f aca="false">SUBSTITUTE(SUBSTITUTE(SUBSTITUTE(SUBSTITUTE(SUBSTITUTE(SUBSTITUTE(SUBSTITUTE(SUBSTITUTE(SUBSTITUTE(SUBSTITUTE(SUBSTITUTE(SUBSTITUTE(SUBSTITUTE(SUBSTITUTE(SUBSTITUTE(SUBSTITUTE(LOWER(AE72&amp;""),CHAR(10),""),CHAR(13),""),CHAR(9),""),CHAR(160),"")," ",""),".",""),"-",""),"/",""),"?",""),"_",""),",",""),"[",""),"]",""),"(",""),")",""),"*","")</f>
        <v/>
      </c>
      <c r="AY72" s="61" t="str">
        <f aca="false">SUBSTITUTE(SUBSTITUTE(SUBSTITUTE(SUBSTITUTE(SUBSTITUTE(SUBSTITUTE(SUBSTITUTE(SUBSTITUTE(SUBSTITUTE(SUBSTITUTE(SUBSTITUTE(SUBSTITUTE(SUBSTITUTE(SUBSTITUTE(SUBSTITUTE(SUBSTITUTE(LOWER(W72&amp;""),CHAR(10),""),CHAR(13),""),CHAR(9),""),CHAR(160),"")," ",""),".",""),"-",""),"/",""),"?",""),"_",""),",",""),"[",""),"]",""),"(",""),")",""),"*","")</f>
        <v/>
      </c>
      <c r="AZ72" s="61" t="str">
        <f aca="false">SUBSTITUTE(SUBSTITUTE(SUBSTITUTE(SUBSTITUTE(SUBSTITUTE(SUBSTITUTE(SUBSTITUTE(SUBSTITUTE(SUBSTITUTE(SUBSTITUTE(SUBSTITUTE(SUBSTITUTE(SUBSTITUTE(SUBSTITUTE(SUBSTITUTE(SUBSTITUTE(LOWER(AC72&amp;""),CHAR(10),""),CHAR(13),""),CHAR(9),""),CHAR(160),"")," ",""),".",""),"-",""),"/",""),"?",""),"_",""),",",""),"[",""),"]",""),"(",""),")",""),"*","")</f>
        <v/>
      </c>
      <c r="BA72" s="61" t="str">
        <f aca="false">SUBSTITUTE(SUBSTITUTE(SUBSTITUTE(SUBSTITUTE(SUBSTITUTE(SUBSTITUTE(SUBSTITUTE(SUBSTITUTE(SUBSTITUTE(SUBSTITUTE(SUBSTITUTE(SUBSTITUTE(SUBSTITUTE(SUBSTITUTE(SUBSTITUTE(SUBSTITUTE(LOWER(AA72&amp;""),CHAR(10),""),CHAR(13),""),CHAR(9),""),CHAR(160),"")," ",""),".",""),"-",""),"/",""),"?",""),"_",""),",",""),"[",""),"]",""),"(",""),")",""),"*","")</f>
        <v/>
      </c>
      <c r="BB72" s="61" t="str">
        <f aca="false">IF(AND(TRIM(U72)="Pass",ISNUMBER(AF72)),IF(AF72&lt;&gt;0,"INVALID – qty variance: use Fail or Pass after CA",""),"")&amp;IF(AND(TRIM(U72)="Pass after CA",ISNUMBER(AF72)),IF(AF72&lt;&gt;0,"INVALID – after the corrective action the actual qty must equal expected (update Actual)",""),"")&amp;IF(AND(TRIM(U72)="Pass",TRIM(AB72)&lt;&gt;"",TRIM(AB72)&lt;&gt;"Closed"),"INVALID – corrective action not closed: use Fail, then Pass after CA","")&amp;IF(AND(LEN(BA72)&gt;=2,ISNA(MATCH(LEFT(BA72,255),L_Placeholder,0)),TRIM(AB72)=""),"INVALID – CA status missing for the recorded corrective action","")&amp;IF(AND(TRIM(U72)="Pass after CA",OR(OR(LEN(BA72)&lt;5,ISNUMBER(MATCH(BA72,L_Placeholder,0))),TRIM(AB72)&lt;&gt;"Closed")),"INVALID – corrective action not recorded/closed","")</f>
        <v/>
      </c>
      <c r="BC72" s="61" t="str">
        <f aca="false">" "&amp;TRIM(SUBSTITUTE(SUBSTITUTE(SUBSTITUTE(SUBSTITUTE(SUBSTITUTE(SUBSTITUTE(SUBSTITUTE(SUBSTITUTE(SUBSTITUTE(SUBSTITUTE(SUBSTITUTE(SUBSTITUTE(SUBSTITUTE(SUBSTITUTE(SUBSTITUTE(SUBSTITUTE(SUBSTITUTE(SUBSTITUTE(SUBSTITUTE(SUBSTITUTE(SUBSTITUTE(SUBSTITUTE(SUBSTITUTE(SUBSTITUTE(LOWER(V72&amp;""),CHAR(10)," "),CHAR(13)," "),CHAR(9)," "),CHAR(160)," "),"."," "),","," "),"-"," "),"/"," "),"("," "),")"," "),":"," "),";"," "),"_"," "),"–"," "),"?"," "),"!"," "),"*"," "),"["," "),"]"," "),"'"," "),"#"," "),"+"," "),"&amp;"," "),"\"," "))&amp;" "</f>
        <v>  </v>
      </c>
      <c r="BD72" s="61" t="str">
        <f aca="false">" "&amp;TRIM(SUBSTITUTE(SUBSTITUTE(SUBSTITUTE(SUBSTITUTE(SUBSTITUTE(SUBSTITUTE(SUBSTITUTE(SUBSTITUTE(SUBSTITUTE(SUBSTITUTE(SUBSTITUTE(SUBSTITUTE(SUBSTITUTE(SUBSTITUTE(SUBSTITUTE(SUBSTITUTE(SUBSTITUTE(SUBSTITUTE(SUBSTITUTE(SUBSTITUTE(SUBSTITUTE(SUBSTITUTE(SUBSTITUTE(SUBSTITUTE(LOWER(Z72&amp;""),CHAR(10)," "),CHAR(13)," "),CHAR(9)," "),CHAR(160)," "),"."," "),","," "),"-"," "),"/"," "),"("," "),")"," "),":"," "),";"," "),"_"," "),"–"," "),"?"," "),"!"," "),"*"," "),"["," "),"]"," "),"'"," "),"#"," "),"+"," "),"&amp;"," "),"\"," "))&amp;" "</f>
        <v>  </v>
      </c>
      <c r="BE72" s="61" t="str">
        <f aca="false">" "&amp;TRIM(SUBSTITUTE(SUBSTITUTE(SUBSTITUTE(SUBSTITUTE(SUBSTITUTE(SUBSTITUTE(SUBSTITUTE(SUBSTITUTE(SUBSTITUTE(SUBSTITUTE(SUBSTITUTE(SUBSTITUTE(SUBSTITUTE(SUBSTITUTE(SUBSTITUTE(SUBSTITUTE(SUBSTITUTE(SUBSTITUTE(SUBSTITUTE(SUBSTITUTE(SUBSTITUTE(SUBSTITUTE(SUBSTITUTE(SUBSTITUTE(LOWER(W72&amp;""),CHAR(10)," "),CHAR(13)," "),CHAR(9)," "),CHAR(160)," "),"."," "),","," "),"-"," "),"/"," "),"("," "),")"," "),":"," "),";"," "),"_"," "),"–"," "),"?"," "),"!"," "),"*"," "),"["," "),"]"," "),"'"," "),"#"," "),"+"," "),"&amp;"," "),"\"," "))&amp;" "</f>
        <v>  </v>
      </c>
      <c r="BF72" s="61" t="str">
        <f aca="false">" "&amp;TRIM(SUBSTITUTE(SUBSTITUTE(SUBSTITUTE(SUBSTITUTE(SUBSTITUTE(SUBSTITUTE(SUBSTITUTE(SUBSTITUTE(SUBSTITUTE(SUBSTITUTE(SUBSTITUTE(SUBSTITUTE(SUBSTITUTE(SUBSTITUTE(SUBSTITUTE(SUBSTITUTE(SUBSTITUTE(SUBSTITUTE(SUBSTITUTE(SUBSTITUTE(SUBSTITUTE(SUBSTITUTE(SUBSTITUTE(SUBSTITUTE(LOWER(AC72&amp;""),CHAR(10)," "),CHAR(13)," "),CHAR(9)," "),CHAR(160)," "),"."," "),","," "),"-"," "),"/"," "),"("," "),")"," "),":"," "),";"," "),"_"," "),"–"," "),"?"," "),"!"," "),"*"," "),"["," "),"]"," "),"'"," "),"#"," "),"+"," "),"&amp;"," "),"\"," "))&amp;" "</f>
        <v>  </v>
      </c>
      <c r="BG72" s="61" t="n">
        <f aca="false">IFERROR(IF(AND(TRIM(U72)="Pass",SUMPRODUCT((LEN(BC72)-LEN(SUBSTITUTE(BC72," "&amp;L_ResultBad&amp;" "," ")))/(LEN(L_ResultBad)+1))&gt;SUMPRODUCT((LEN(BC72)-LEN(SUBSTITUTE(BC72," "&amp;L_NegPhrase&amp;" "," ")))/(LEN(L_NegPhrase)+1))),1,0),0)</f>
        <v>0</v>
      </c>
      <c r="BH72" s="61" t="n">
        <f aca="false">IFERROR(IF(SUMPRODUCT((LEN(BC72)-LEN(SUBSTITUTE(BC72," "&amp;L_Pending&amp;" "," ")))/(LEN(L_Pending)+1))&gt;SUMPRODUCT((LEN(BC72)-LEN(SUBSTITUTE(BC72," "&amp;L_PendNeg&amp;" "," ")))/(LEN(L_PendNeg)+1))+SUMPRODUCT((LEN(BC72)-LEN(SUBSTITUTE(BC72," "&amp;L_PendPrep&amp;" "," ")))/(LEN(L_PendPrep)+1)),1,0),1)</f>
        <v>0</v>
      </c>
      <c r="BI72" s="61" t="n">
        <f aca="false">IFERROR(IF(SUMPRODUCT((LEN(BD72)-LEN(SUBSTITUTE(BD72," "&amp;L_PendStrict&amp;" "," ")))/(LEN(L_PendStrict)+1))&gt;SUMPRODUCT((LEN(BD72)-LEN(SUBSTITUTE(BD72," "&amp;L_PendNeg&amp;" "," ")))/(LEN(L_PendNeg)+1)),1,0),1)</f>
        <v>0</v>
      </c>
      <c r="BJ72" s="61" t="n">
        <f aca="false">IFERROR(IF(SUMPRODUCT((LEN(BE72)-LEN(SUBSTITUTE(BE72," "&amp;L_Pending&amp;" "," ")))/(LEN(L_Pending)+1))&gt;SUMPRODUCT((LEN(BE72)-LEN(SUBSTITUTE(BE72," "&amp;L_PendNeg&amp;" "," ")))/(LEN(L_PendNeg)+1))+SUMPRODUCT((LEN(BE72)-LEN(SUBSTITUTE(BE72," "&amp;L_PendPrep&amp;" "," ")))/(LEN(L_PendPrep)+1)),1,0),1)</f>
        <v>0</v>
      </c>
      <c r="BK72" s="61" t="n">
        <f aca="false">IFERROR(IF(SUMPRODUCT((LEN(BF72)-LEN(SUBSTITUTE(BF72," "&amp;L_PendStrict&amp;" "," ")))/(LEN(L_PendStrict)+1))&gt;SUMPRODUCT((LEN(BF72)-LEN(SUBSTITUTE(BF72," "&amp;L_PendNeg&amp;" "," ")))/(LEN(L_PendNeg)+1)),1,0),1)</f>
        <v>0</v>
      </c>
      <c r="BL72" s="61" t="n">
        <f aca="false">IF(ISNA(MATCH(TRIM(S72),L_EvidenceType,0)),0,BZ72)</f>
        <v>0</v>
      </c>
      <c r="BM72" s="61" t="str">
        <f aca="false">SUBSTITUTE(SUBSTITUTE(SUBSTITUTE(SUBSTITUTE(SUBSTITUTE(SUBSTITUTE(SUBSTITUTE(SUBSTITUTE(SUBSTITUTE(LOWER(Z72&amp;""),"1","0"),"2","0"),"3","0"),"4","0"),"5","0"),"6","0"),"7","0"),"8","0"),"9","0")</f>
        <v/>
      </c>
      <c r="BN72" s="61" t="str">
        <f aca="false">SUBSTITUTE(SUBSTITUTE(SUBSTITUTE(SUBSTITUTE(SUBSTITUTE(SUBSTITUTE(SUBSTITUTE(SUBSTITUTE(SUBSTITUTE(SUBSTITUTE(SUBSTITUTE(SUBSTITUTE(SUBSTITUTE(SUBSTITUTE(SUBSTITUTE(SUBSTITUTE(SUBSTITUTE(SUBSTITUTE(SUBSTITUTE(SUBSTITUTE(SUBSTITUTE(SUBSTITUTE(SUBSTITUTE(SUBSTITUTE(SUBSTITUTE(BM72,"b","a"),"c","a"),"d","a"),"e","a"),"f","a"),"g","a"),"h","a"),"i","a"),"j","a"),"k","a"),"l","a"),"m","a"),"n","a"),"o","a"),"p","a"),"q","a"),"r","a"),"s","a"),"t","a"),"u","a"),"v","a"),"w","a"),"x","a"),"y","a"),"z","a")</f>
        <v/>
      </c>
      <c r="BO72" s="61" t="str">
        <f aca="false">SUBSTITUTE(SUBSTITUTE(SUBSTITUTE(SUBSTITUTE(SUBSTITUTE(SUBSTITUTE(SUBSTITUTE(SUBSTITUTE(SUBSTITUTE(LOWER(W72&amp;""),"1","0"),"2","0"),"3","0"),"4","0"),"5","0"),"6","0"),"7","0"),"8","0"),"9","0")</f>
        <v/>
      </c>
      <c r="BP72" s="61" t="str">
        <f aca="false">SUBSTITUTE(SUBSTITUTE(SUBSTITUTE(SUBSTITUTE(SUBSTITUTE(SUBSTITUTE(SUBSTITUTE(SUBSTITUTE(SUBSTITUTE(SUBSTITUTE(SUBSTITUTE(SUBSTITUTE(SUBSTITUTE(SUBSTITUTE(SUBSTITUTE(SUBSTITUTE(SUBSTITUTE(SUBSTITUTE(SUBSTITUTE(SUBSTITUTE(SUBSTITUTE(SUBSTITUTE(SUBSTITUTE(SUBSTITUTE(SUBSTITUTE(BO72,"b","a"),"c","a"),"d","a"),"e","a"),"f","a"),"g","a"),"h","a"),"i","a"),"j","a"),"k","a"),"l","a"),"m","a"),"n","a"),"o","a"),"p","a"),"q","a"),"r","a"),"s","a"),"t","a"),"u","a"),"v","a"),"w","a"),"x","a"),"y","a"),"z","a")</f>
        <v/>
      </c>
      <c r="BQ72" s="61" t="n">
        <f aca="false">IFERROR(IF(AND(ISERROR(SEARCH(" mh"," "&amp;LOWER(W72))),ISNA(MATCH(LEFT(TRIM(BP72),255),{"0000a","000a","00a","0000aa","000aa","00aa","0aa","0000aaa","000aaa","00a00","0a00","0000-0000","00:00","a00","a0","00.00.0000","00/00/0000","00-00-0000","0000-00-00","0000/00/00","0000.00.00","00.00.00","00/00/00","00-00-00","0.00.0000","0/00/0000","0-00-0000"},0)),ISNA(MATCH(LEFT(TRIM(CA72),255),{"0000a","000a","00a","0000aa","000aa","00aa","0aa","0000aaa","000aaa","00a00","0a00","0000-0000","00:00","a00","a0","00.00.0000","00/00/0000","00-00-0000","0000-00-00","0000/00/00","0000.00.00","00.00.00","00/00/00","00-00-00","0.00.0000","0/00/0000","0-00-0000"},0)),LEN(CB72)&gt;=3,NOT(OR(SUBSTITUTE(CB72,"0","")="",AND(LEN(CB72)&gt;=4,CB72=REPT(LEFT(CB72),LEN(CB72))),ISNUMBER(MATCH(CB72,{"123","1234","12345","123456","1234567","12345678","0123","01234","012345","98765","987654","54321"},0)),AND(LEN(CB72)=8,LEFT(CB72,3)="202"))),OR(AND((LEN(CA72)-LEN(SUBSTITUTE(CA72,"a","")))&gt;=1,SUMPRODUCT(--ISNUMBER(SEARCH({"a0","a-0","a_0","a/0","a.0","a#0","0a","0-a","0_a","0/a"},BP72)))&gt;0),ISNUMBER(SEARCH("000000",BP72)))),1,0),0)</f>
        <v>0</v>
      </c>
      <c r="BR72" s="61" t="n">
        <f aca="false">IFERROR(LEN(SUBSTITUTE(CC72," ",""))-SUMPRODUCT((LEN(CC72)-LEN(SUBSTITUTE(CC72," "&amp;L_Role&amp;" "," ")))/(LEN(L_Role)+1)*LEN(L_Role)),0)</f>
        <v>0</v>
      </c>
      <c r="BS72" s="61" t="n">
        <f aca="false">IFERROR(LEN(SUBSTITUTE(CD72," ",""))-SUMPRODUCT((LEN(CD72)-LEN(SUBSTITUTE(CD72," "&amp;L_Role&amp;" "," ")))/(LEN(L_Role)+1)*LEN(L_Role)),0)</f>
        <v>0</v>
      </c>
      <c r="BT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revision",""),"version",""),"jan",""),"feb",""),"mar",""),"apr",""),"may",""),"jun",""),"jul",""),"aug",""),"sep",""),"oct",""),"nov",""),"dec",""),"utc",""),"gmt",""),"myt",""),"bst",""),"rev",""),"ver",""),"b","a"),"c","a"),"d","a"),"e","a"),"f","a"),"g","a"),"h","a"),"i","a"),"j","a"),"k","a"),"l","a"),"m","a"),"n","a"),"o","a"),"p","a"),"q","a"),"r","a"),"s","a"),"t","a"),"u","a"),"v","a"),"w","a"),"x","a"),"y","a"),"z","a")</f>
        <v/>
      </c>
      <c r="BU72" s="61" t="str">
        <f aca="false">SUBSTITUTE(SUBSTITUTE(SUBSTITUTE(SUBSTITUTE(SUBSTITUTE(SUBSTITUTE(SUBSTITUTE(SUBSTITUTE(SUBSTITUTE(SUBSTITUTE(LEFT(BM72,FIND("0",BM72&amp;"0")-1),"-",""),"_",""),"/",""),".",""),"#",""),"\\",""),":","")," ",""),"(",""),")","")</f>
        <v/>
      </c>
      <c r="BV72" s="61" t="n">
        <f aca="false">0</f>
        <v>0</v>
      </c>
      <c r="BW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amp;""),"a",""),"b",""),"c",""),"d",""),"e",""),"f",""),"g",""),"h",""),"i",""),"j",""),"k",""),"l",""),"m",""),"n",""),"o",""),"p",""),"q",""),"r",""),"s",""),"t",""),"u",""),"v",""),"w",""),"x",""),"y",""),"z",""),"-",""),"_",""),"/",""),".",""),"#",""),"\\",""),":","")," ",""),"(",""),")","")</f>
        <v/>
      </c>
      <c r="BX72" s="61" t="str">
        <f aca="false">SUBSTITUTE(SUBSTITUTE(SUBSTITUTE(SUBSTITUTE(SUBSTITUTE(SUBSTITUTE(SUBSTITUTE(SUBSTITUTE(SUBSTITUTE(SUBSTITUTE(SUBSTITUTE(BM72,"0",""),"-",""),"_",""),"/",""),".",""),"#",""),"\\",""),":","")," ",""),"(",""),")","")</f>
        <v/>
      </c>
      <c r="BY72" s="62" t="n">
        <f aca="false">Q72-T7EarlyD*24/24</f>
        <v>46284.3784722222</v>
      </c>
      <c r="BZ72" s="61" t="n">
        <f aca="false">IFERROR(IF(IF(TRIM(S72)="Link / file path",AND(LEN(TRIM(Z72))&gt;=5,SUMPRODUCT(--ISNUMBER(SEARCH({"http","www.","\\",":\",".pdf",".jpg",".jpeg",".png",".heic",".xls",".doc",".msg",".eml",".ppt",".txt",".zip"},Z72)))&gt;0),AND(ISERROR(FIND(" ",TRIM(Z72))),NOT(OR(SUMPRODUCT(--ISNUMBER(FIND({",",";","&amp;","+"},Z72)))&gt;0,SUMPRODUCT(--ISNUMBER(SEARCH({"0/aa","0\\aa"},BN72)))&gt;0)),NOT(SUMPRODUCT(--ISNUMBER(SEARCH({"http","www.","\\",":\",".pdf",".jpg",".jpeg",".png",".heic",".xls",".doc",".msg",".eml",".ppt",".txt",".zip"},Z72)))&gt;0),NOT(LOWER(TRIM(Z72))=LOWER(Flights!$F$7)),ISNA(MATCH(BU72,{"mh","rev","revision","ver","version","v","r","a","b","seat","tray","row","gate","bay","stand","page","pg","item","line","no","cart","galley","flight","flt","table","box","bag","oven","etd","eta","std","sta","atd","ata","qty","pax","x","time","tel","ph","mob","day","wk","week","utc","gmt","myt","lt"},0)),NOT(OR(ISNUMBER(MATCH(LEFT(BN72,255),{"0000a","000a","00a","0000aa","000aa","00aa","0aa","0000aaa","000aaa","00a00","0a00","0000-0000","00:00","a00","a0","00.00.0000","00/00/0000","00-00-0000","0000-00-00","0000/00/00","0000.00.00","00.00.00","00/00/00","00-00-00","0.00.0000","0/00/0000","0-00-0000"},0)),ISNUMBER(MATCH(LEFT(BT72,255),{"0000a","000a","00a","0000aa","000aa","00aa","0aa","0000aaa","000aaa","00a00","0a00","0000-0000","00:00","a00","a0","00.00.0000","00/00/0000","00-00-0000","0000-00-00","0000/00/00","0000.00.00","00.00.00","00/00/00","00-00-00","0.00.0000","0/00/0000","0-00-0000"},0)))),NOT(OR(AND(BW72&lt;&gt;"",SUBSTITUTE(BW72,"0","")=""),AND(LEN(BW72)&gt;=4,BW72=REPT(LEFT(BW72),LEN(BW72))),ISNUMBER(MATCH(BW72,{"123","1234","12345","123456","1234567","12345678","0123","01234","012345","98765","987654","54321"},0)),ISNUMBER(MATCH(BX72,{"x","xx","xxx","xxxx","xxxxx","abc","abcd","nil","na","nan","test","tbc","tba","tbd","dummy","sample","example","eg","zz","zzz","none","null","xyz","qwe","asd","id","ref"},0)),AND(LEN(BW72)=8,BX72="",OR(LEFT(BW72,3)="202",ISNUMBER(MATCH(RIGHT(BW72,4),{"2025","2026","2027"},0)))))),OR(AND((LEN(BT72)-LEN(SUBSTITUTE(BT72,"a","")))&gt;=1,(LEN(BN72)-LEN(SUBSTITUTE(BN72,"0","")))&gt;=2,SUMPRODUCT(--ISNUMBER(SEARCH({"a0","a-0","a_0","a/0","a.0","a#0","0a","0-a","0_a","0/a"},BN72)))&gt;0),AND((LEN(BN72)-LEN(SUBSTITUTE(BN72,"a","")))=0,(LEN(BN72)-LEN(SUBSTITUTE(BN72,"0","")))&gt;=5)))),1,0),0)</f>
        <v>0</v>
      </c>
      <c r="CA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revision",""),"version",""),"jan",""),"feb",""),"mar",""),"apr",""),"may",""),"jun",""),"jul",""),"aug",""),"sep",""),"oct",""),"nov",""),"dec",""),"utc",""),"gmt",""),"myt",""),"bst",""),"rev",""),"ver",""),"b","a"),"c","a"),"d","a"),"e","a"),"f","a"),"g","a"),"h","a"),"i","a"),"j","a"),"k","a"),"l","a"),"m","a"),"n","a"),"o","a"),"p","a"),"q","a"),"r","a"),"s","a"),"t","a"),"u","a"),"v","a"),"w","a"),"x","a"),"y","a"),"z","a")</f>
        <v/>
      </c>
      <c r="CB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amp;""),"a",""),"b",""),"c",""),"d",""),"e",""),"f",""),"g",""),"h",""),"i",""),"j",""),"k",""),"l",""),"m",""),"n",""),"o",""),"p",""),"q",""),"r",""),"s",""),"t",""),"u",""),"v",""),"w",""),"x",""),"y",""),"z",""),"-",""),"_",""),"/",""),".",""),"#",""),"\\",""),":","")," ",""),"(",""),")","")</f>
        <v/>
      </c>
      <c r="CC72" s="0" t="str">
        <f aca="false">" "&amp;TRIM(SUBSTITUTE(SUBSTITUTE(SUBSTITUTE(SUBSTITUTE(SUBSTITUTE(SUBSTITUTE(SUBSTITUTE(SUBSTITUTE(SUBSTITUTE(SUBSTITUTE(SUBSTITUTE(SUBSTITUTE(SUBSTITUTE(SUBSTITUTE(SUBSTITUTE(SUBSTITUTE(SUBSTITUTE(SUBSTITUTE(SUBSTITUTE(SUBSTITUTE(SUBSTITUTE(SUBSTITUTE(SUBSTITUTE(SUBSTITUTE(LOWER(T72&amp;""),CHAR(10)," "),CHAR(13)," "),CHAR(9)," "),CHAR(160)," "),"."," "),","," "),"-"," "),"/"," "),"("," "),")"," "),":"," "),";"," "),"_"," "),"–"," "),"?"," "),"!"," "),"*"," "),"["," "),"]"," "),"'"," "),"#"," "),"+"," "),"&amp;"," "),"\"," "))&amp;" "</f>
        <v>  </v>
      </c>
      <c r="CD72" s="0" t="str">
        <f aca="false">" "&amp;TRIM(SUBSTITUTE(SUBSTITUTE(SUBSTITUTE(SUBSTITUTE(SUBSTITUTE(SUBSTITUTE(SUBSTITUTE(SUBSTITUTE(SUBSTITUTE(SUBSTITUTE(SUBSTITUTE(SUBSTITUTE(SUBSTITUTE(SUBSTITUTE(SUBSTITUTE(SUBSTITUTE(SUBSTITUTE(SUBSTITUTE(SUBSTITUTE(SUBSTITUTE(SUBSTITUTE(SUBSTITUTE(SUBSTITUTE(SUBSTITUTE(LOWER(AE72&amp;""),CHAR(10)," "),CHAR(13)," "),CHAR(9)," "),CHAR(160)," "),"."," "),","," "),"-"," "),"/"," "),"("," "),")"," "),":"," "),";"," "),"_"," "),"–"," "),"?"," "),"!"," "),"*"," "),"["," "),"]"," "),"'"," "),"#"," "),"+"," "),"&amp;"," "),"\"," "))&amp;" "</f>
        <v>  </v>
      </c>
      <c r="CE72" s="68" t="n">
        <f aca="false">IFERROR(IF(AND(LEN(AU72)&gt;0,LEN(AU72)=LEN(AX72),OR(TRIM(MID(SUBSTITUTE(TRIM(CC72)," ",REPT(" ",60)),1,60))="",ISNUMBER(SEARCH(" "&amp;TRIM(MID(SUBSTITUTE(TRIM(CC72)," ",REPT(" ",60)),1,60))&amp;" ",CD72))),OR(TRIM(MID(SUBSTITUTE(TRIM(CC72)," ",REPT(" ",60)),61,60))="",ISNUMBER(SEARCH(" "&amp;TRIM(MID(SUBSTITUTE(TRIM(CC72)," ",REPT(" ",60)),61,60))&amp;" ",CD72))),OR(TRIM(MID(SUBSTITUTE(TRIM(CC72)," ",REPT(" ",60)),121,60))="",ISNUMBER(SEARCH(" "&amp;TRIM(MID(SUBSTITUTE(TRIM(CC72)," ",REPT(" ",60)),121,60))&amp;" ",CD72)))),1,0),0)</f>
        <v>0</v>
      </c>
      <c r="CG72" s="68" t="n">
        <f aca="false">IFERROR(LEN(SUBSTITUTE(BF72," ",""))-SUMPRODUCT((LEN(BF72)-LEN(SUBSTITUTE(BF72," "&amp;L_NAFiller&amp;" "," ")))/(LEN(L_NAFiller)+1)*LEN(L_NAFiller)),0)</f>
        <v>0</v>
      </c>
    </row>
    <row r="73" customFormat="false" ht="39.75" hidden="false" customHeight="true" outlineLevel="0" collapsed="false">
      <c r="A73" s="57" t="s">
        <v>560</v>
      </c>
      <c r="B73" s="57" t="s">
        <v>212</v>
      </c>
      <c r="C73" s="57" t="str">
        <f aca="false">Flights!$F$7</f>
        <v>MH0720</v>
      </c>
      <c r="D73" s="58" t="n">
        <f aca="false">Flights!$D$7</f>
        <v>46305</v>
      </c>
      <c r="E73" s="57" t="str">
        <f aca="false">Flights!$G$7&amp;"-"&amp;Flights!$H$7</f>
        <v>CGK-KUL</v>
      </c>
      <c r="F73" s="57" t="str">
        <f aca="false">Flights!$K$7</f>
        <v>EY</v>
      </c>
      <c r="G73" s="57" t="s">
        <v>81</v>
      </c>
      <c r="H73" s="57" t="s">
        <v>378</v>
      </c>
      <c r="I73" s="57" t="s">
        <v>398</v>
      </c>
      <c r="J73" s="57" t="s">
        <v>399</v>
      </c>
      <c r="K73" s="67" t="s">
        <v>400</v>
      </c>
      <c r="L73" s="67" t="s">
        <v>382</v>
      </c>
      <c r="M73" s="67"/>
      <c r="N73" s="67" t="s">
        <v>383</v>
      </c>
      <c r="O73" s="67"/>
      <c r="P73" s="57" t="s">
        <v>201</v>
      </c>
      <c r="Q73" s="59" t="n">
        <f aca="false">ROUND((Flights!$AC$7)*1440,0)/1440</f>
        <v>46298.3784722222</v>
      </c>
      <c r="R73" s="59" t="n">
        <f aca="false">Q73+(IF(AND(INDEX(TZ_DSTS,MATCH(P73,TZ_STN,0))&lt;&gt;"",Q73&gt;=INDEX(TZ_DSTS,MATCH(P73,TZ_STN,0)),Q73&lt;INDEX(TZ_DSTE,MATCH(P73,TZ_STN,0))),INDEX(TZ_DST,MATCH(P73,TZ_STN,0)),INDEX(TZ_STD,MATCH(P73,TZ_STN,0))))/24</f>
        <v>46298.6701388889</v>
      </c>
      <c r="S73" s="60"/>
      <c r="T73" s="60"/>
      <c r="U73" s="60"/>
      <c r="V73" s="60"/>
      <c r="W73" s="61"/>
      <c r="X73" s="60"/>
      <c r="Y73" s="60"/>
      <c r="Z73" s="60"/>
      <c r="AA73" s="60"/>
      <c r="AB73" s="60"/>
      <c r="AC73" s="60"/>
      <c r="AD73" s="66"/>
      <c r="AE73" s="60"/>
      <c r="AF73" s="61" t="str">
        <f aca="false">IF(AND(ISNUMBER(X73),ISNUMBER(Y73)),Y73-X73,"")</f>
        <v/>
      </c>
      <c r="AG73" s="62" t="str">
        <f aca="false">IF(ISNUMBER(AD73),AD73-(IF(AND(INDEX(TZ_DSTS,MATCH(P73,TZ_STN,0))&lt;&gt;"",(AD73-INDEX(TZ_STD,MATCH(P73,TZ_STN,0))/24)&gt;=INDEX(TZ_DSTS,MATCH(P73,TZ_STN,0)),(AD73-INDEX(TZ_STD,MATCH(P73,TZ_STN,0))/24)&lt;INDEX(TZ_DSTE,MATCH(P73,TZ_STN,0))),INDEX(TZ_DST,MATCH(P73,TZ_STN,0)),INDEX(TZ_STD,MATCH(P73,TZ_STN,0))))/24,"")</f>
        <v/>
      </c>
      <c r="AH73" s="65" t="str">
        <f aca="false">IFERROR(IF(N73="N/A – rule",IF(OR(TRIM(U73)="",TRIM(U73)="N/A",TRIM(U73)="Not started"),"N/A – RULE","INVALID – this check does not apply to this aircraft: clear the status (or correct the fleet on Flights)"),IF(TRIM(U73)="N/A",IF(AT73=0,"INVALID – N/A not permitted for this check",IF(AND(TRIM(AB73)&lt;&gt;"",TRIM(AB73)&lt;&gt;"Closed"),"INVALID – corrective action still open",IF(AND(NOT(OR(LEN(AZ73)&lt;15,ISNUMBER(MATCH(AZ73,L_Placeholder,0)))),BK73=0,CG73&gt;=8,NOT(OR(LEN(AU73)&lt;2,ISNUMBER(MATCH(AU73,L_Placeholder,0)))),BR73&gt;=3,NOT(OR(LEN(AX73)&lt;2,ISNUMBER(MATCH(AX73,L_Placeholder,0)))),BS73&gt;=3,TRIM(AE73)&lt;&gt;TRIM(T73),AX73&lt;&gt;AU73,CE73=0),"N/A – JUSTIFIED","INVALID – N/A needs a real, settled reason (not 'not applicable' / 'as above' / TBC), a named PIC and a different named verifier"))),IF(OR(TRIM(U73)="Pass",TRIM(U73)="Pass after CA"),IF(NOT(ISNUMBER(AD73)),"INVALID – completion time missing",IF(OR(OR(LEN(AU73)&lt;2,ISNUMBER(MATCH(AU73,L_Placeholder,0))),BR73&lt;3),"INVALID – PIC missing or not a named person (a role such as QA / CSM is not a name)",IF(OR(LEN(AV73)&lt;2,ISNUMBER(MATCH(AV73,L_Placeholder,0))),"INVALID – result / assessment missing",IF(OR(OR(LEN(AW73)&lt;3,ISNUMBER(MATCH(AW73,L_Placeholder,0))),SUMPRODUCT(--ISNUMBER(SEARCH(" "&amp;L_EvidencePhrase&amp;" ",BD73)))&gt;0,BI73=1),"INVALID – evidence missing, placeholder or not yet on file",IF(ISNA(MATCH(TRIM(S73),L_EvidenceType,0)),"INVALID – choose the evidence type from the list (column S)",IF(BL73=0,"INVALID – evidence ID must be the record's own ID only (e.g. SF-2210, IMG_2231, 1045521); a link / file name needs type 'Link / file path'",IF(OR(OR(LEN(AX73)&lt;2,ISNUMBER(MATCH(AX73,L_Placeholder,0))),BS73&lt;3),"INVALID – verifier missing or not a named person (a role such as QA / CSM is not a name)",IF(OR(AX73=AU73,CE73=1,AND(LEN(AU73)&gt;=4,ISNUMBER(SEARCH(AU73,AX73))),AND(LEN(AX73)&gt;=4,ISNUMBER(SEARCH(AX73,AU73)))),"INVALID – verifier must be a different, named person (not the PIC or a role)",IF(BH73=1,"INVALID – result not yet available (awaiting / TBC)",IF(BG73=1,"INVALID – result describes a problem: record Fail, then Pass after CA (or reword if it is not a problem)",IF(BV73=1,"INVALID – wording says not on board: an on-board confirmation needs the item loaded",IF(AND(AQ73=1,OR(OR(LEN(AY73)&lt;3,ISNUMBER(MATCH(AY73,L_Placeholder,0))),BJ73=1,BQ73=0)),"INVALID – batch ID missing, placeholder or not an ID (e.g. PASB-261008-BC-017)",IF(AND(AR73=1,OR(NOT(ISNUMBER(X73)),NOT(ISNUMBER(Y73)))),"INVALID – expected/actual qty missing",IF(AND(AR73=1,OR(X73&lt;=0,Y73&lt;0)),"INVALID – expected qty must be above 0 and actual not negative",IF(BB73&lt;&gt;"",BB73,IF(AND(AS73=1,Documents!$J$7&lt;&gt;"ON FILE"),"INVALID – GLD not on file (Documents sheet)",IF(AND(AS73=2,Documents!$O$7&lt;&gt;"ON FILE"),"INVALID – menu checklist not on file (Documents sheet)",IF(AND(AS73=3,NOT(ISNUMBER(Flights!$AX$7))),"INVALID – enter carrying flight KUL departure (Flights AX)",IF(AND(AS73=3,OR(Flights!$AZ$7&gt;Flights!$AA$7,Flights!$AX$7&lt;Flights!$AA$7-3)),"INVALID – carrying flight (Flights AX) cannot arrive before this leg's STD, or is over 3 days early",IF(AG73&gt;AsOfUTC,"INVALID – completion time is in the future",IF(AND(ISNUMBER(BY73),AG73&lt;BY73),IF(H73="Physical uplift","INVALID – before uplift window (cannot confirm loading)","INVALID – before valid window"),IF(AG73&gt;Flights!$AA$7,"INVALID – completed after departure (cannot establish readiness)",IF(AND(H73="Preparation",AG73&gt;=IF(ISNUMBER(Flights!$BA$7),MIN(Flights!$BA$7,Flights!$AA$7),Flights!$AA$7)),"INVALID – completed after loading / departure (cannot establish readiness)",IF(AND(H73="Physical uplift",AG73&gt;Q73),"INVALID – recorded after the loading flight departed",IF(AG73&gt;Q73,"COMPLETE – LATE","COMPLETE"))))))))))))))))))))))))),IF(TRIM(U73)="Fail","FAIL – DISCREPANCY",IF(AND(TRIM(U73)&lt;&gt;"",TRIM(U73)&lt;&gt;"Not started",TRIM(U73)&lt;&gt;"In progress"),"INVALID – unrecognised status (use the list)",IF(AsOfUTC&gt;Q73,"OVERDUE",IF(N73="Clarification required","OPEN – CLARIFICATION","OPEN"))))))),"INVALID – error value in an input cell")</f>
        <v>OPEN</v>
      </c>
      <c r="AI73" s="61" t="n">
        <f aca="false">IF(OR(AH73="N/A – RULE",AH73="N/A – JUSTIFIED"),0,1)</f>
        <v>1</v>
      </c>
      <c r="AJ73" s="61" t="n">
        <f aca="false">IF(LEFT(AH73,8)="COMPLETE",1,0)</f>
        <v>0</v>
      </c>
      <c r="AK73" s="61" t="n">
        <f aca="false">IF(AND(AI73=1,AJ73=0,AsOfUTC&gt;Q73),1,0)</f>
        <v>0</v>
      </c>
      <c r="AL73" s="61" t="n">
        <f aca="false">IFERROR(IF(AND(AI73=1,OR(TRIM(U73)="Fail",AND(TRIM(AB73)&lt;&gt;"",TRIM(AB73)&lt;&gt;"Closed"),AND(ISNUMBER(AF73),AF73&lt;&gt;0,TRIM(U73)&lt;&gt;"Pass after CA"))),1,0),1)</f>
        <v>0</v>
      </c>
      <c r="AM73" s="61" t="n">
        <f aca="false">IF(LEFT(AH73,7)="INVALID",1,0)</f>
        <v>0</v>
      </c>
      <c r="AN73" s="61" t="n">
        <f aca="false">IF(AND(N73="Clarification required",AI73=1,AJ73=0),1,0)</f>
        <v>0</v>
      </c>
      <c r="AO73" s="61" t="str">
        <f aca="false">IF(AK73=1,SUM(AK$5:AK73),"")</f>
        <v/>
      </c>
      <c r="AP73" s="61" t="str">
        <f aca="false">IF(AL73=1,SUM(AL$5:AL73),"")</f>
        <v/>
      </c>
      <c r="AQ73" s="61" t="n">
        <v>0</v>
      </c>
      <c r="AR73" s="61" t="n">
        <v>0</v>
      </c>
      <c r="AS73" s="61" t="n">
        <v>0</v>
      </c>
      <c r="AT73" s="61" t="n">
        <v>0</v>
      </c>
      <c r="AU73" s="61" t="str">
        <f aca="false">SUBSTITUTE(SUBSTITUTE(SUBSTITUTE(SUBSTITUTE(SUBSTITUTE(SUBSTITUTE(SUBSTITUTE(SUBSTITUTE(SUBSTITUTE(SUBSTITUTE(SUBSTITUTE(SUBSTITUTE(SUBSTITUTE(SUBSTITUTE(SUBSTITUTE(SUBSTITUTE(LOWER(T73&amp;""),CHAR(10),""),CHAR(13),""),CHAR(9),""),CHAR(160),"")," ",""),".",""),"-",""),"/",""),"?",""),"_",""),",",""),"[",""),"]",""),"(",""),")",""),"*","")</f>
        <v/>
      </c>
      <c r="AV73" s="61" t="str">
        <f aca="false">SUBSTITUTE(SUBSTITUTE(SUBSTITUTE(SUBSTITUTE(SUBSTITUTE(SUBSTITUTE(SUBSTITUTE(SUBSTITUTE(SUBSTITUTE(SUBSTITUTE(SUBSTITUTE(SUBSTITUTE(SUBSTITUTE(SUBSTITUTE(SUBSTITUTE(SUBSTITUTE(LOWER(V73&amp;""),CHAR(10),""),CHAR(13),""),CHAR(9),""),CHAR(160),"")," ",""),".",""),"-",""),"/",""),"?",""),"_",""),",",""),"[",""),"]",""),"(",""),")",""),"*","")</f>
        <v/>
      </c>
      <c r="AW73" s="61" t="str">
        <f aca="false">SUBSTITUTE(SUBSTITUTE(SUBSTITUTE(SUBSTITUTE(SUBSTITUTE(SUBSTITUTE(SUBSTITUTE(SUBSTITUTE(SUBSTITUTE(SUBSTITUTE(SUBSTITUTE(SUBSTITUTE(SUBSTITUTE(SUBSTITUTE(SUBSTITUTE(SUBSTITUTE(LOWER(Z73&amp;""),CHAR(10),""),CHAR(13),""),CHAR(9),""),CHAR(160),"")," ",""),".",""),"-",""),"/",""),"?",""),"_",""),",",""),"[",""),"]",""),"(",""),")",""),"*","")</f>
        <v/>
      </c>
      <c r="AX73" s="61" t="str">
        <f aca="false">SUBSTITUTE(SUBSTITUTE(SUBSTITUTE(SUBSTITUTE(SUBSTITUTE(SUBSTITUTE(SUBSTITUTE(SUBSTITUTE(SUBSTITUTE(SUBSTITUTE(SUBSTITUTE(SUBSTITUTE(SUBSTITUTE(SUBSTITUTE(SUBSTITUTE(SUBSTITUTE(LOWER(AE73&amp;""),CHAR(10),""),CHAR(13),""),CHAR(9),""),CHAR(160),"")," ",""),".",""),"-",""),"/",""),"?",""),"_",""),",",""),"[",""),"]",""),"(",""),")",""),"*","")</f>
        <v/>
      </c>
      <c r="AY73" s="61" t="str">
        <f aca="false">SUBSTITUTE(SUBSTITUTE(SUBSTITUTE(SUBSTITUTE(SUBSTITUTE(SUBSTITUTE(SUBSTITUTE(SUBSTITUTE(SUBSTITUTE(SUBSTITUTE(SUBSTITUTE(SUBSTITUTE(SUBSTITUTE(SUBSTITUTE(SUBSTITUTE(SUBSTITUTE(LOWER(W73&amp;""),CHAR(10),""),CHAR(13),""),CHAR(9),""),CHAR(160),"")," ",""),".",""),"-",""),"/",""),"?",""),"_",""),",",""),"[",""),"]",""),"(",""),")",""),"*","")</f>
        <v/>
      </c>
      <c r="AZ73" s="61" t="str">
        <f aca="false">SUBSTITUTE(SUBSTITUTE(SUBSTITUTE(SUBSTITUTE(SUBSTITUTE(SUBSTITUTE(SUBSTITUTE(SUBSTITUTE(SUBSTITUTE(SUBSTITUTE(SUBSTITUTE(SUBSTITUTE(SUBSTITUTE(SUBSTITUTE(SUBSTITUTE(SUBSTITUTE(LOWER(AC73&amp;""),CHAR(10),""),CHAR(13),""),CHAR(9),""),CHAR(160),"")," ",""),".",""),"-",""),"/",""),"?",""),"_",""),",",""),"[",""),"]",""),"(",""),")",""),"*","")</f>
        <v/>
      </c>
      <c r="BA73" s="61" t="str">
        <f aca="false">SUBSTITUTE(SUBSTITUTE(SUBSTITUTE(SUBSTITUTE(SUBSTITUTE(SUBSTITUTE(SUBSTITUTE(SUBSTITUTE(SUBSTITUTE(SUBSTITUTE(SUBSTITUTE(SUBSTITUTE(SUBSTITUTE(SUBSTITUTE(SUBSTITUTE(SUBSTITUTE(LOWER(AA73&amp;""),CHAR(10),""),CHAR(13),""),CHAR(9),""),CHAR(160),"")," ",""),".",""),"-",""),"/",""),"?",""),"_",""),",",""),"[",""),"]",""),"(",""),")",""),"*","")</f>
        <v/>
      </c>
      <c r="BB73" s="61" t="str">
        <f aca="false">IF(AND(TRIM(U73)="Pass",ISNUMBER(AF73)),IF(AF73&lt;&gt;0,"INVALID – qty variance: use Fail or Pass after CA",""),"")&amp;IF(AND(TRIM(U73)="Pass after CA",ISNUMBER(AF73)),IF(AF73&lt;&gt;0,"INVALID – after the corrective action the actual qty must equal expected (update Actual)",""),"")&amp;IF(AND(TRIM(U73)="Pass",TRIM(AB73)&lt;&gt;"",TRIM(AB73)&lt;&gt;"Closed"),"INVALID – corrective action not closed: use Fail, then Pass after CA","")&amp;IF(AND(LEN(BA73)&gt;=2,ISNA(MATCH(LEFT(BA73,255),L_Placeholder,0)),TRIM(AB73)=""),"INVALID – CA status missing for the recorded corrective action","")&amp;IF(AND(TRIM(U73)="Pass after CA",OR(OR(LEN(BA73)&lt;5,ISNUMBER(MATCH(BA73,L_Placeholder,0))),TRIM(AB73)&lt;&gt;"Closed")),"INVALID – corrective action not recorded/closed","")</f>
        <v/>
      </c>
      <c r="BC73" s="61" t="str">
        <f aca="false">" "&amp;TRIM(SUBSTITUTE(SUBSTITUTE(SUBSTITUTE(SUBSTITUTE(SUBSTITUTE(SUBSTITUTE(SUBSTITUTE(SUBSTITUTE(SUBSTITUTE(SUBSTITUTE(SUBSTITUTE(SUBSTITUTE(SUBSTITUTE(SUBSTITUTE(SUBSTITUTE(SUBSTITUTE(SUBSTITUTE(SUBSTITUTE(SUBSTITUTE(SUBSTITUTE(SUBSTITUTE(SUBSTITUTE(SUBSTITUTE(SUBSTITUTE(LOWER(V73&amp;""),CHAR(10)," "),CHAR(13)," "),CHAR(9)," "),CHAR(160)," "),"."," "),","," "),"-"," "),"/"," "),"("," "),")"," "),":"," "),";"," "),"_"," "),"–"," "),"?"," "),"!"," "),"*"," "),"["," "),"]"," "),"'"," "),"#"," "),"+"," "),"&amp;"," "),"\"," "))&amp;" "</f>
        <v>  </v>
      </c>
      <c r="BD73" s="61" t="str">
        <f aca="false">" "&amp;TRIM(SUBSTITUTE(SUBSTITUTE(SUBSTITUTE(SUBSTITUTE(SUBSTITUTE(SUBSTITUTE(SUBSTITUTE(SUBSTITUTE(SUBSTITUTE(SUBSTITUTE(SUBSTITUTE(SUBSTITUTE(SUBSTITUTE(SUBSTITUTE(SUBSTITUTE(SUBSTITUTE(SUBSTITUTE(SUBSTITUTE(SUBSTITUTE(SUBSTITUTE(SUBSTITUTE(SUBSTITUTE(SUBSTITUTE(SUBSTITUTE(LOWER(Z73&amp;""),CHAR(10)," "),CHAR(13)," "),CHAR(9)," "),CHAR(160)," "),"."," "),","," "),"-"," "),"/"," "),"("," "),")"," "),":"," "),";"," "),"_"," "),"–"," "),"?"," "),"!"," "),"*"," "),"["," "),"]"," "),"'"," "),"#"," "),"+"," "),"&amp;"," "),"\"," "))&amp;" "</f>
        <v>  </v>
      </c>
      <c r="BE73" s="61" t="str">
        <f aca="false">" "&amp;TRIM(SUBSTITUTE(SUBSTITUTE(SUBSTITUTE(SUBSTITUTE(SUBSTITUTE(SUBSTITUTE(SUBSTITUTE(SUBSTITUTE(SUBSTITUTE(SUBSTITUTE(SUBSTITUTE(SUBSTITUTE(SUBSTITUTE(SUBSTITUTE(SUBSTITUTE(SUBSTITUTE(SUBSTITUTE(SUBSTITUTE(SUBSTITUTE(SUBSTITUTE(SUBSTITUTE(SUBSTITUTE(SUBSTITUTE(SUBSTITUTE(LOWER(W73&amp;""),CHAR(10)," "),CHAR(13)," "),CHAR(9)," "),CHAR(160)," "),"."," "),","," "),"-"," "),"/"," "),"("," "),")"," "),":"," "),";"," "),"_"," "),"–"," "),"?"," "),"!"," "),"*"," "),"["," "),"]"," "),"'"," "),"#"," "),"+"," "),"&amp;"," "),"\"," "))&amp;" "</f>
        <v>  </v>
      </c>
      <c r="BF73" s="61" t="str">
        <f aca="false">" "&amp;TRIM(SUBSTITUTE(SUBSTITUTE(SUBSTITUTE(SUBSTITUTE(SUBSTITUTE(SUBSTITUTE(SUBSTITUTE(SUBSTITUTE(SUBSTITUTE(SUBSTITUTE(SUBSTITUTE(SUBSTITUTE(SUBSTITUTE(SUBSTITUTE(SUBSTITUTE(SUBSTITUTE(SUBSTITUTE(SUBSTITUTE(SUBSTITUTE(SUBSTITUTE(SUBSTITUTE(SUBSTITUTE(SUBSTITUTE(SUBSTITUTE(LOWER(AC73&amp;""),CHAR(10)," "),CHAR(13)," "),CHAR(9)," "),CHAR(160)," "),"."," "),","," "),"-"," "),"/"," "),"("," "),")"," "),":"," "),";"," "),"_"," "),"–"," "),"?"," "),"!"," "),"*"," "),"["," "),"]"," "),"'"," "),"#"," "),"+"," "),"&amp;"," "),"\"," "))&amp;" "</f>
        <v>  </v>
      </c>
      <c r="BG73" s="61" t="n">
        <f aca="false">IFERROR(IF(AND(TRIM(U73)="Pass",SUMPRODUCT((LEN(BC73)-LEN(SUBSTITUTE(BC73," "&amp;L_ResultBad&amp;" "," ")))/(LEN(L_ResultBad)+1))&gt;SUMPRODUCT((LEN(BC73)-LEN(SUBSTITUTE(BC73," "&amp;L_NegPhrase&amp;" "," ")))/(LEN(L_NegPhrase)+1))),1,0),0)</f>
        <v>0</v>
      </c>
      <c r="BH73" s="61" t="n">
        <f aca="false">IFERROR(IF(SUMPRODUCT((LEN(BC73)-LEN(SUBSTITUTE(BC73," "&amp;L_Pending&amp;" "," ")))/(LEN(L_Pending)+1))&gt;SUMPRODUCT((LEN(BC73)-LEN(SUBSTITUTE(BC73," "&amp;L_PendNeg&amp;" "," ")))/(LEN(L_PendNeg)+1))+SUMPRODUCT((LEN(BC73)-LEN(SUBSTITUTE(BC73," "&amp;L_PendPrep&amp;" "," ")))/(LEN(L_PendPrep)+1)),1,0),1)</f>
        <v>0</v>
      </c>
      <c r="BI73" s="61" t="n">
        <f aca="false">IFERROR(IF(SUMPRODUCT((LEN(BD73)-LEN(SUBSTITUTE(BD73," "&amp;L_PendStrict&amp;" "," ")))/(LEN(L_PendStrict)+1))&gt;SUMPRODUCT((LEN(BD73)-LEN(SUBSTITUTE(BD73," "&amp;L_PendNeg&amp;" "," ")))/(LEN(L_PendNeg)+1)),1,0),1)</f>
        <v>0</v>
      </c>
      <c r="BJ73" s="61" t="n">
        <f aca="false">IFERROR(IF(SUMPRODUCT((LEN(BE73)-LEN(SUBSTITUTE(BE73," "&amp;L_Pending&amp;" "," ")))/(LEN(L_Pending)+1))&gt;SUMPRODUCT((LEN(BE73)-LEN(SUBSTITUTE(BE73," "&amp;L_PendNeg&amp;" "," ")))/(LEN(L_PendNeg)+1))+SUMPRODUCT((LEN(BE73)-LEN(SUBSTITUTE(BE73," "&amp;L_PendPrep&amp;" "," ")))/(LEN(L_PendPrep)+1)),1,0),1)</f>
        <v>0</v>
      </c>
      <c r="BK73" s="61" t="n">
        <f aca="false">IFERROR(IF(SUMPRODUCT((LEN(BF73)-LEN(SUBSTITUTE(BF73," "&amp;L_PendStrict&amp;" "," ")))/(LEN(L_PendStrict)+1))&gt;SUMPRODUCT((LEN(BF73)-LEN(SUBSTITUTE(BF73," "&amp;L_PendNeg&amp;" "," ")))/(LEN(L_PendNeg)+1)),1,0),1)</f>
        <v>0</v>
      </c>
      <c r="BL73" s="61" t="n">
        <f aca="false">IF(ISNA(MATCH(TRIM(S73),L_EvidenceType,0)),0,BZ73)</f>
        <v>0</v>
      </c>
      <c r="BM73" s="61" t="str">
        <f aca="false">SUBSTITUTE(SUBSTITUTE(SUBSTITUTE(SUBSTITUTE(SUBSTITUTE(SUBSTITUTE(SUBSTITUTE(SUBSTITUTE(SUBSTITUTE(LOWER(Z73&amp;""),"1","0"),"2","0"),"3","0"),"4","0"),"5","0"),"6","0"),"7","0"),"8","0"),"9","0")</f>
        <v/>
      </c>
      <c r="BN73" s="61" t="str">
        <f aca="false">SUBSTITUTE(SUBSTITUTE(SUBSTITUTE(SUBSTITUTE(SUBSTITUTE(SUBSTITUTE(SUBSTITUTE(SUBSTITUTE(SUBSTITUTE(SUBSTITUTE(SUBSTITUTE(SUBSTITUTE(SUBSTITUTE(SUBSTITUTE(SUBSTITUTE(SUBSTITUTE(SUBSTITUTE(SUBSTITUTE(SUBSTITUTE(SUBSTITUTE(SUBSTITUTE(SUBSTITUTE(SUBSTITUTE(SUBSTITUTE(SUBSTITUTE(BM73,"b","a"),"c","a"),"d","a"),"e","a"),"f","a"),"g","a"),"h","a"),"i","a"),"j","a"),"k","a"),"l","a"),"m","a"),"n","a"),"o","a"),"p","a"),"q","a"),"r","a"),"s","a"),"t","a"),"u","a"),"v","a"),"w","a"),"x","a"),"y","a"),"z","a")</f>
        <v/>
      </c>
      <c r="BO73" s="61" t="str">
        <f aca="false">SUBSTITUTE(SUBSTITUTE(SUBSTITUTE(SUBSTITUTE(SUBSTITUTE(SUBSTITUTE(SUBSTITUTE(SUBSTITUTE(SUBSTITUTE(LOWER(W73&amp;""),"1","0"),"2","0"),"3","0"),"4","0"),"5","0"),"6","0"),"7","0"),"8","0"),"9","0")</f>
        <v/>
      </c>
      <c r="BP73" s="61" t="str">
        <f aca="false">SUBSTITUTE(SUBSTITUTE(SUBSTITUTE(SUBSTITUTE(SUBSTITUTE(SUBSTITUTE(SUBSTITUTE(SUBSTITUTE(SUBSTITUTE(SUBSTITUTE(SUBSTITUTE(SUBSTITUTE(SUBSTITUTE(SUBSTITUTE(SUBSTITUTE(SUBSTITUTE(SUBSTITUTE(SUBSTITUTE(SUBSTITUTE(SUBSTITUTE(SUBSTITUTE(SUBSTITUTE(SUBSTITUTE(SUBSTITUTE(SUBSTITUTE(BO73,"b","a"),"c","a"),"d","a"),"e","a"),"f","a"),"g","a"),"h","a"),"i","a"),"j","a"),"k","a"),"l","a"),"m","a"),"n","a"),"o","a"),"p","a"),"q","a"),"r","a"),"s","a"),"t","a"),"u","a"),"v","a"),"w","a"),"x","a"),"y","a"),"z","a")</f>
        <v/>
      </c>
      <c r="BQ73" s="61" t="n">
        <f aca="false">IFERROR(IF(AND(ISERROR(SEARCH(" mh"," "&amp;LOWER(W73))),ISNA(MATCH(LEFT(TRIM(BP73),255),{"0000a","000a","00a","0000aa","000aa","00aa","0aa","0000aaa","000aaa","00a00","0a00","0000-0000","00:00","a00","a0","00.00.0000","00/00/0000","00-00-0000","0000-00-00","0000/00/00","0000.00.00","00.00.00","00/00/00","00-00-00","0.00.0000","0/00/0000","0-00-0000"},0)),ISNA(MATCH(LEFT(TRIM(CA73),255),{"0000a","000a","00a","0000aa","000aa","00aa","0aa","0000aaa","000aaa","00a00","0a00","0000-0000","00:00","a00","a0","00.00.0000","00/00/0000","00-00-0000","0000-00-00","0000/00/00","0000.00.00","00.00.00","00/00/00","00-00-00","0.00.0000","0/00/0000","0-00-0000"},0)),LEN(CB73)&gt;=3,NOT(OR(SUBSTITUTE(CB73,"0","")="",AND(LEN(CB73)&gt;=4,CB73=REPT(LEFT(CB73),LEN(CB73))),ISNUMBER(MATCH(CB73,{"123","1234","12345","123456","1234567","12345678","0123","01234","012345","98765","987654","54321"},0)),AND(LEN(CB73)=8,LEFT(CB73,3)="202"))),OR(AND((LEN(CA73)-LEN(SUBSTITUTE(CA73,"a","")))&gt;=1,SUMPRODUCT(--ISNUMBER(SEARCH({"a0","a-0","a_0","a/0","a.0","a#0","0a","0-a","0_a","0/a"},BP73)))&gt;0),ISNUMBER(SEARCH("000000",BP73)))),1,0),0)</f>
        <v>0</v>
      </c>
      <c r="BR73" s="61" t="n">
        <f aca="false">IFERROR(LEN(SUBSTITUTE(CC73," ",""))-SUMPRODUCT((LEN(CC73)-LEN(SUBSTITUTE(CC73," "&amp;L_Role&amp;" "," ")))/(LEN(L_Role)+1)*LEN(L_Role)),0)</f>
        <v>0</v>
      </c>
      <c r="BS73" s="61" t="n">
        <f aca="false">IFERROR(LEN(SUBSTITUTE(CD73," ",""))-SUMPRODUCT((LEN(CD73)-LEN(SUBSTITUTE(CD73," "&amp;L_Role&amp;" "," ")))/(LEN(L_Role)+1)*LEN(L_Role)),0)</f>
        <v>0</v>
      </c>
      <c r="BT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revision",""),"version",""),"jan",""),"feb",""),"mar",""),"apr",""),"may",""),"jun",""),"jul",""),"aug",""),"sep",""),"oct",""),"nov",""),"dec",""),"utc",""),"gmt",""),"myt",""),"bst",""),"rev",""),"ver",""),"b","a"),"c","a"),"d","a"),"e","a"),"f","a"),"g","a"),"h","a"),"i","a"),"j","a"),"k","a"),"l","a"),"m","a"),"n","a"),"o","a"),"p","a"),"q","a"),"r","a"),"s","a"),"t","a"),"u","a"),"v","a"),"w","a"),"x","a"),"y","a"),"z","a")</f>
        <v/>
      </c>
      <c r="BU73" s="61" t="str">
        <f aca="false">SUBSTITUTE(SUBSTITUTE(SUBSTITUTE(SUBSTITUTE(SUBSTITUTE(SUBSTITUTE(SUBSTITUTE(SUBSTITUTE(SUBSTITUTE(SUBSTITUTE(LEFT(BM73,FIND("0",BM73&amp;"0")-1),"-",""),"_",""),"/",""),".",""),"#",""),"\\",""),":","")," ",""),"(",""),")","")</f>
        <v/>
      </c>
      <c r="BV73" s="61" t="n">
        <f aca="false">0</f>
        <v>0</v>
      </c>
      <c r="BW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amp;""),"a",""),"b",""),"c",""),"d",""),"e",""),"f",""),"g",""),"h",""),"i",""),"j",""),"k",""),"l",""),"m",""),"n",""),"o",""),"p",""),"q",""),"r",""),"s",""),"t",""),"u",""),"v",""),"w",""),"x",""),"y",""),"z",""),"-",""),"_",""),"/",""),".",""),"#",""),"\\",""),":","")," ",""),"(",""),")","")</f>
        <v/>
      </c>
      <c r="BX73" s="61" t="str">
        <f aca="false">SUBSTITUTE(SUBSTITUTE(SUBSTITUTE(SUBSTITUTE(SUBSTITUTE(SUBSTITUTE(SUBSTITUTE(SUBSTITUTE(SUBSTITUTE(SUBSTITUTE(SUBSTITUTE(BM73,"0",""),"-",""),"_",""),"/",""),".",""),"#",""),"\\",""),":","")," ",""),"(",""),")","")</f>
        <v/>
      </c>
      <c r="BY73" s="62" t="n">
        <f aca="false">Q73-T7EarlyD*24/24</f>
        <v>46284.3784722222</v>
      </c>
      <c r="BZ73" s="61" t="n">
        <f aca="false">IFERROR(IF(IF(TRIM(S73)="Link / file path",AND(LEN(TRIM(Z73))&gt;=5,SUMPRODUCT(--ISNUMBER(SEARCH({"http","www.","\\",":\",".pdf",".jpg",".jpeg",".png",".heic",".xls",".doc",".msg",".eml",".ppt",".txt",".zip"},Z73)))&gt;0),AND(ISERROR(FIND(" ",TRIM(Z73))),NOT(OR(SUMPRODUCT(--ISNUMBER(FIND({",",";","&amp;","+"},Z73)))&gt;0,SUMPRODUCT(--ISNUMBER(SEARCH({"0/aa","0\\aa"},BN73)))&gt;0)),NOT(SUMPRODUCT(--ISNUMBER(SEARCH({"http","www.","\\",":\",".pdf",".jpg",".jpeg",".png",".heic",".xls",".doc",".msg",".eml",".ppt",".txt",".zip"},Z73)))&gt;0),NOT(LOWER(TRIM(Z73))=LOWER(Flights!$F$7)),ISNA(MATCH(BU73,{"mh","rev","revision","ver","version","v","r","a","b","seat","tray","row","gate","bay","stand","page","pg","item","line","no","cart","galley","flight","flt","table","box","bag","oven","etd","eta","std","sta","atd","ata","qty","pax","x","time","tel","ph","mob","day","wk","week","utc","gmt","myt","lt"},0)),NOT(OR(ISNUMBER(MATCH(LEFT(BN73,255),{"0000a","000a","00a","0000aa","000aa","00aa","0aa","0000aaa","000aaa","00a00","0a00","0000-0000","00:00","a00","a0","00.00.0000","00/00/0000","00-00-0000","0000-00-00","0000/00/00","0000.00.00","00.00.00","00/00/00","00-00-00","0.00.0000","0/00/0000","0-00-0000"},0)),ISNUMBER(MATCH(LEFT(BT73,255),{"0000a","000a","00a","0000aa","000aa","00aa","0aa","0000aaa","000aaa","00a00","0a00","0000-0000","00:00","a00","a0","00.00.0000","00/00/0000","00-00-0000","0000-00-00","0000/00/00","0000.00.00","00.00.00","00/00/00","00-00-00","0.00.0000","0/00/0000","0-00-0000"},0)))),NOT(OR(AND(BW73&lt;&gt;"",SUBSTITUTE(BW73,"0","")=""),AND(LEN(BW73)&gt;=4,BW73=REPT(LEFT(BW73),LEN(BW73))),ISNUMBER(MATCH(BW73,{"123","1234","12345","123456","1234567","12345678","0123","01234","012345","98765","987654","54321"},0)),ISNUMBER(MATCH(BX73,{"x","xx","xxx","xxxx","xxxxx","abc","abcd","nil","na","nan","test","tbc","tba","tbd","dummy","sample","example","eg","zz","zzz","none","null","xyz","qwe","asd","id","ref"},0)),AND(LEN(BW73)=8,BX73="",OR(LEFT(BW73,3)="202",ISNUMBER(MATCH(RIGHT(BW73,4),{"2025","2026","2027"},0)))))),OR(AND((LEN(BT73)-LEN(SUBSTITUTE(BT73,"a","")))&gt;=1,(LEN(BN73)-LEN(SUBSTITUTE(BN73,"0","")))&gt;=2,SUMPRODUCT(--ISNUMBER(SEARCH({"a0","a-0","a_0","a/0","a.0","a#0","0a","0-a","0_a","0/a"},BN73)))&gt;0),AND((LEN(BN73)-LEN(SUBSTITUTE(BN73,"a","")))=0,(LEN(BN73)-LEN(SUBSTITUTE(BN73,"0","")))&gt;=5)))),1,0),0)</f>
        <v>0</v>
      </c>
      <c r="CA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revision",""),"version",""),"jan",""),"feb",""),"mar",""),"apr",""),"may",""),"jun",""),"jul",""),"aug",""),"sep",""),"oct",""),"nov",""),"dec",""),"utc",""),"gmt",""),"myt",""),"bst",""),"rev",""),"ver",""),"b","a"),"c","a"),"d","a"),"e","a"),"f","a"),"g","a"),"h","a"),"i","a"),"j","a"),"k","a"),"l","a"),"m","a"),"n","a"),"o","a"),"p","a"),"q","a"),"r","a"),"s","a"),"t","a"),"u","a"),"v","a"),"w","a"),"x","a"),"y","a"),"z","a")</f>
        <v/>
      </c>
      <c r="CB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amp;""),"a",""),"b",""),"c",""),"d",""),"e",""),"f",""),"g",""),"h",""),"i",""),"j",""),"k",""),"l",""),"m",""),"n",""),"o",""),"p",""),"q",""),"r",""),"s",""),"t",""),"u",""),"v",""),"w",""),"x",""),"y",""),"z",""),"-",""),"_",""),"/",""),".",""),"#",""),"\\",""),":","")," ",""),"(",""),")","")</f>
        <v/>
      </c>
      <c r="CC73" s="0" t="str">
        <f aca="false">" "&amp;TRIM(SUBSTITUTE(SUBSTITUTE(SUBSTITUTE(SUBSTITUTE(SUBSTITUTE(SUBSTITUTE(SUBSTITUTE(SUBSTITUTE(SUBSTITUTE(SUBSTITUTE(SUBSTITUTE(SUBSTITUTE(SUBSTITUTE(SUBSTITUTE(SUBSTITUTE(SUBSTITUTE(SUBSTITUTE(SUBSTITUTE(SUBSTITUTE(SUBSTITUTE(SUBSTITUTE(SUBSTITUTE(SUBSTITUTE(SUBSTITUTE(LOWER(T73&amp;""),CHAR(10)," "),CHAR(13)," "),CHAR(9)," "),CHAR(160)," "),"."," "),","," "),"-"," "),"/"," "),"("," "),")"," "),":"," "),";"," "),"_"," "),"–"," "),"?"," "),"!"," "),"*"," "),"["," "),"]"," "),"'"," "),"#"," "),"+"," "),"&amp;"," "),"\"," "))&amp;" "</f>
        <v>  </v>
      </c>
      <c r="CD73" s="0" t="str">
        <f aca="false">" "&amp;TRIM(SUBSTITUTE(SUBSTITUTE(SUBSTITUTE(SUBSTITUTE(SUBSTITUTE(SUBSTITUTE(SUBSTITUTE(SUBSTITUTE(SUBSTITUTE(SUBSTITUTE(SUBSTITUTE(SUBSTITUTE(SUBSTITUTE(SUBSTITUTE(SUBSTITUTE(SUBSTITUTE(SUBSTITUTE(SUBSTITUTE(SUBSTITUTE(SUBSTITUTE(SUBSTITUTE(SUBSTITUTE(SUBSTITUTE(SUBSTITUTE(LOWER(AE73&amp;""),CHAR(10)," "),CHAR(13)," "),CHAR(9)," "),CHAR(160)," "),"."," "),","," "),"-"," "),"/"," "),"("," "),")"," "),":"," "),";"," "),"_"," "),"–"," "),"?"," "),"!"," "),"*"," "),"["," "),"]"," "),"'"," "),"#"," "),"+"," "),"&amp;"," "),"\"," "))&amp;" "</f>
        <v>  </v>
      </c>
      <c r="CE73" s="68" t="n">
        <f aca="false">IFERROR(IF(AND(LEN(AU73)&gt;0,LEN(AU73)=LEN(AX73),OR(TRIM(MID(SUBSTITUTE(TRIM(CC73)," ",REPT(" ",60)),1,60))="",ISNUMBER(SEARCH(" "&amp;TRIM(MID(SUBSTITUTE(TRIM(CC73)," ",REPT(" ",60)),1,60))&amp;" ",CD73))),OR(TRIM(MID(SUBSTITUTE(TRIM(CC73)," ",REPT(" ",60)),61,60))="",ISNUMBER(SEARCH(" "&amp;TRIM(MID(SUBSTITUTE(TRIM(CC73)," ",REPT(" ",60)),61,60))&amp;" ",CD73))),OR(TRIM(MID(SUBSTITUTE(TRIM(CC73)," ",REPT(" ",60)),121,60))="",ISNUMBER(SEARCH(" "&amp;TRIM(MID(SUBSTITUTE(TRIM(CC73)," ",REPT(" ",60)),121,60))&amp;" ",CD73)))),1,0),0)</f>
        <v>0</v>
      </c>
      <c r="CG73" s="68" t="n">
        <f aca="false">IFERROR(LEN(SUBSTITUTE(BF73," ",""))-SUMPRODUCT((LEN(BF73)-LEN(SUBSTITUTE(BF73," "&amp;L_NAFiller&amp;" "," ")))/(LEN(L_NAFiller)+1)*LEN(L_NAFiller)),0)</f>
        <v>0</v>
      </c>
    </row>
    <row r="74" customFormat="false" ht="39.75" hidden="false" customHeight="true" outlineLevel="0" collapsed="false">
      <c r="A74" s="57" t="s">
        <v>561</v>
      </c>
      <c r="B74" s="57" t="s">
        <v>212</v>
      </c>
      <c r="C74" s="57" t="str">
        <f aca="false">Flights!$F$7</f>
        <v>MH0720</v>
      </c>
      <c r="D74" s="58" t="n">
        <f aca="false">Flights!$D$7</f>
        <v>46305</v>
      </c>
      <c r="E74" s="57" t="str">
        <f aca="false">Flights!$G$7&amp;"-"&amp;Flights!$H$7</f>
        <v>CGK-KUL</v>
      </c>
      <c r="F74" s="57" t="str">
        <f aca="false">Flights!$K$7</f>
        <v>EY</v>
      </c>
      <c r="G74" s="57" t="s">
        <v>81</v>
      </c>
      <c r="H74" s="57" t="s">
        <v>378</v>
      </c>
      <c r="I74" s="57" t="s">
        <v>398</v>
      </c>
      <c r="J74" s="57" t="s">
        <v>402</v>
      </c>
      <c r="K74" s="67" t="s">
        <v>403</v>
      </c>
      <c r="L74" s="67" t="s">
        <v>382</v>
      </c>
      <c r="M74" s="67"/>
      <c r="N74" s="67" t="s">
        <v>383</v>
      </c>
      <c r="O74" s="67"/>
      <c r="P74" s="57" t="s">
        <v>201</v>
      </c>
      <c r="Q74" s="59" t="n">
        <f aca="false">ROUND((Flights!$AC$7)*1440,0)/1440</f>
        <v>46298.3784722222</v>
      </c>
      <c r="R74" s="59" t="n">
        <f aca="false">Q74+(IF(AND(INDEX(TZ_DSTS,MATCH(P74,TZ_STN,0))&lt;&gt;"",Q74&gt;=INDEX(TZ_DSTS,MATCH(P74,TZ_STN,0)),Q74&lt;INDEX(TZ_DSTE,MATCH(P74,TZ_STN,0))),INDEX(TZ_DST,MATCH(P74,TZ_STN,0)),INDEX(TZ_STD,MATCH(P74,TZ_STN,0))))/24</f>
        <v>46298.6701388889</v>
      </c>
      <c r="S74" s="60"/>
      <c r="T74" s="60"/>
      <c r="U74" s="60"/>
      <c r="V74" s="60"/>
      <c r="W74" s="61"/>
      <c r="X74" s="60"/>
      <c r="Y74" s="60"/>
      <c r="Z74" s="60"/>
      <c r="AA74" s="60"/>
      <c r="AB74" s="60"/>
      <c r="AC74" s="60"/>
      <c r="AD74" s="66"/>
      <c r="AE74" s="60"/>
      <c r="AF74" s="61" t="str">
        <f aca="false">IF(AND(ISNUMBER(X74),ISNUMBER(Y74)),Y74-X74,"")</f>
        <v/>
      </c>
      <c r="AG74" s="62" t="str">
        <f aca="false">IF(ISNUMBER(AD74),AD74-(IF(AND(INDEX(TZ_DSTS,MATCH(P74,TZ_STN,0))&lt;&gt;"",(AD74-INDEX(TZ_STD,MATCH(P74,TZ_STN,0))/24)&gt;=INDEX(TZ_DSTS,MATCH(P74,TZ_STN,0)),(AD74-INDEX(TZ_STD,MATCH(P74,TZ_STN,0))/24)&lt;INDEX(TZ_DSTE,MATCH(P74,TZ_STN,0))),INDEX(TZ_DST,MATCH(P74,TZ_STN,0)),INDEX(TZ_STD,MATCH(P74,TZ_STN,0))))/24,"")</f>
        <v/>
      </c>
      <c r="AH74" s="65" t="str">
        <f aca="false">IFERROR(IF(N74="N/A – rule",IF(OR(TRIM(U74)="",TRIM(U74)="N/A",TRIM(U74)="Not started"),"N/A – RULE","INVALID – this check does not apply to this aircraft: clear the status (or correct the fleet on Flights)"),IF(TRIM(U74)="N/A",IF(AT74=0,"INVALID – N/A not permitted for this check",IF(AND(TRIM(AB74)&lt;&gt;"",TRIM(AB74)&lt;&gt;"Closed"),"INVALID – corrective action still open",IF(AND(NOT(OR(LEN(AZ74)&lt;15,ISNUMBER(MATCH(AZ74,L_Placeholder,0)))),BK74=0,CG74&gt;=8,NOT(OR(LEN(AU74)&lt;2,ISNUMBER(MATCH(AU74,L_Placeholder,0)))),BR74&gt;=3,NOT(OR(LEN(AX74)&lt;2,ISNUMBER(MATCH(AX74,L_Placeholder,0)))),BS74&gt;=3,TRIM(AE74)&lt;&gt;TRIM(T74),AX74&lt;&gt;AU74,CE74=0),"N/A – JUSTIFIED","INVALID – N/A needs a real, settled reason (not 'not applicable' / 'as above' / TBC), a named PIC and a different named verifier"))),IF(OR(TRIM(U74)="Pass",TRIM(U74)="Pass after CA"),IF(NOT(ISNUMBER(AD74)),"INVALID – completion time missing",IF(OR(OR(LEN(AU74)&lt;2,ISNUMBER(MATCH(AU74,L_Placeholder,0))),BR74&lt;3),"INVALID – PIC missing or not a named person (a role such as QA / CSM is not a name)",IF(OR(LEN(AV74)&lt;2,ISNUMBER(MATCH(AV74,L_Placeholder,0))),"INVALID – result / assessment missing",IF(OR(OR(LEN(AW74)&lt;3,ISNUMBER(MATCH(AW74,L_Placeholder,0))),SUMPRODUCT(--ISNUMBER(SEARCH(" "&amp;L_EvidencePhrase&amp;" ",BD74)))&gt;0,BI74=1),"INVALID – evidence missing, placeholder or not yet on file",IF(ISNA(MATCH(TRIM(S74),L_EvidenceType,0)),"INVALID – choose the evidence type from the list (column S)",IF(BL74=0,"INVALID – evidence ID must be the record's own ID only (e.g. SF-2210, IMG_2231, 1045521); a link / file name needs type 'Link / file path'",IF(OR(OR(LEN(AX74)&lt;2,ISNUMBER(MATCH(AX74,L_Placeholder,0))),BS74&lt;3),"INVALID – verifier missing or not a named person (a role such as QA / CSM is not a name)",IF(OR(AX74=AU74,CE74=1,AND(LEN(AU74)&gt;=4,ISNUMBER(SEARCH(AU74,AX74))),AND(LEN(AX74)&gt;=4,ISNUMBER(SEARCH(AX74,AU74)))),"INVALID – verifier must be a different, named person (not the PIC or a role)",IF(BH74=1,"INVALID – result not yet available (awaiting / TBC)",IF(BG74=1,"INVALID – result describes a problem: record Fail, then Pass after CA (or reword if it is not a problem)",IF(BV74=1,"INVALID – wording says not on board: an on-board confirmation needs the item loaded",IF(AND(AQ74=1,OR(OR(LEN(AY74)&lt;3,ISNUMBER(MATCH(AY74,L_Placeholder,0))),BJ74=1,BQ74=0)),"INVALID – batch ID missing, placeholder or not an ID (e.g. PASB-261008-BC-017)",IF(AND(AR74=1,OR(NOT(ISNUMBER(X74)),NOT(ISNUMBER(Y74)))),"INVALID – expected/actual qty missing",IF(AND(AR74=1,OR(X74&lt;=0,Y74&lt;0)),"INVALID – expected qty must be above 0 and actual not negative",IF(BB74&lt;&gt;"",BB74,IF(AND(AS74=1,Documents!$J$7&lt;&gt;"ON FILE"),"INVALID – GLD not on file (Documents sheet)",IF(AND(AS74=2,Documents!$O$7&lt;&gt;"ON FILE"),"INVALID – menu checklist not on file (Documents sheet)",IF(AND(AS74=3,NOT(ISNUMBER(Flights!$AX$7))),"INVALID – enter carrying flight KUL departure (Flights AX)",IF(AND(AS74=3,OR(Flights!$AZ$7&gt;Flights!$AA$7,Flights!$AX$7&lt;Flights!$AA$7-3)),"INVALID – carrying flight (Flights AX) cannot arrive before this leg's STD, or is over 3 days early",IF(AG74&gt;AsOfUTC,"INVALID – completion time is in the future",IF(AND(ISNUMBER(BY74),AG74&lt;BY74),IF(H74="Physical uplift","INVALID – before uplift window (cannot confirm loading)","INVALID – before valid window"),IF(AG74&gt;Flights!$AA$7,"INVALID – completed after departure (cannot establish readiness)",IF(AND(H74="Preparation",AG74&gt;=IF(ISNUMBER(Flights!$BA$7),MIN(Flights!$BA$7,Flights!$AA$7),Flights!$AA$7)),"INVALID – completed after loading / departure (cannot establish readiness)",IF(AND(H74="Physical uplift",AG74&gt;Q74),"INVALID – recorded after the loading flight departed",IF(AG74&gt;Q74,"COMPLETE – LATE","COMPLETE"))))))))))))))))))))))))),IF(TRIM(U74)="Fail","FAIL – DISCREPANCY",IF(AND(TRIM(U74)&lt;&gt;"",TRIM(U74)&lt;&gt;"Not started",TRIM(U74)&lt;&gt;"In progress"),"INVALID – unrecognised status (use the list)",IF(AsOfUTC&gt;Q74,"OVERDUE",IF(N74="Clarification required","OPEN – CLARIFICATION","OPEN"))))))),"INVALID – error value in an input cell")</f>
        <v>OPEN</v>
      </c>
      <c r="AI74" s="61" t="n">
        <f aca="false">IF(OR(AH74="N/A – RULE",AH74="N/A – JUSTIFIED"),0,1)</f>
        <v>1</v>
      </c>
      <c r="AJ74" s="61" t="n">
        <f aca="false">IF(LEFT(AH74,8)="COMPLETE",1,0)</f>
        <v>0</v>
      </c>
      <c r="AK74" s="61" t="n">
        <f aca="false">IF(AND(AI74=1,AJ74=0,AsOfUTC&gt;Q74),1,0)</f>
        <v>0</v>
      </c>
      <c r="AL74" s="61" t="n">
        <f aca="false">IFERROR(IF(AND(AI74=1,OR(TRIM(U74)="Fail",AND(TRIM(AB74)&lt;&gt;"",TRIM(AB74)&lt;&gt;"Closed"),AND(ISNUMBER(AF74),AF74&lt;&gt;0,TRIM(U74)&lt;&gt;"Pass after CA"))),1,0),1)</f>
        <v>0</v>
      </c>
      <c r="AM74" s="61" t="n">
        <f aca="false">IF(LEFT(AH74,7)="INVALID",1,0)</f>
        <v>0</v>
      </c>
      <c r="AN74" s="61" t="n">
        <f aca="false">IF(AND(N74="Clarification required",AI74=1,AJ74=0),1,0)</f>
        <v>0</v>
      </c>
      <c r="AO74" s="61" t="str">
        <f aca="false">IF(AK74=1,SUM(AK$5:AK74),"")</f>
        <v/>
      </c>
      <c r="AP74" s="61" t="str">
        <f aca="false">IF(AL74=1,SUM(AL$5:AL74),"")</f>
        <v/>
      </c>
      <c r="AQ74" s="61" t="n">
        <v>0</v>
      </c>
      <c r="AR74" s="61" t="n">
        <v>0</v>
      </c>
      <c r="AS74" s="61" t="n">
        <v>0</v>
      </c>
      <c r="AT74" s="61" t="n">
        <v>0</v>
      </c>
      <c r="AU74" s="61" t="str">
        <f aca="false">SUBSTITUTE(SUBSTITUTE(SUBSTITUTE(SUBSTITUTE(SUBSTITUTE(SUBSTITUTE(SUBSTITUTE(SUBSTITUTE(SUBSTITUTE(SUBSTITUTE(SUBSTITUTE(SUBSTITUTE(SUBSTITUTE(SUBSTITUTE(SUBSTITUTE(SUBSTITUTE(LOWER(T74&amp;""),CHAR(10),""),CHAR(13),""),CHAR(9),""),CHAR(160),"")," ",""),".",""),"-",""),"/",""),"?",""),"_",""),",",""),"[",""),"]",""),"(",""),")",""),"*","")</f>
        <v/>
      </c>
      <c r="AV74" s="61" t="str">
        <f aca="false">SUBSTITUTE(SUBSTITUTE(SUBSTITUTE(SUBSTITUTE(SUBSTITUTE(SUBSTITUTE(SUBSTITUTE(SUBSTITUTE(SUBSTITUTE(SUBSTITUTE(SUBSTITUTE(SUBSTITUTE(SUBSTITUTE(SUBSTITUTE(SUBSTITUTE(SUBSTITUTE(LOWER(V74&amp;""),CHAR(10),""),CHAR(13),""),CHAR(9),""),CHAR(160),"")," ",""),".",""),"-",""),"/",""),"?",""),"_",""),",",""),"[",""),"]",""),"(",""),")",""),"*","")</f>
        <v/>
      </c>
      <c r="AW74" s="61" t="str">
        <f aca="false">SUBSTITUTE(SUBSTITUTE(SUBSTITUTE(SUBSTITUTE(SUBSTITUTE(SUBSTITUTE(SUBSTITUTE(SUBSTITUTE(SUBSTITUTE(SUBSTITUTE(SUBSTITUTE(SUBSTITUTE(SUBSTITUTE(SUBSTITUTE(SUBSTITUTE(SUBSTITUTE(LOWER(Z74&amp;""),CHAR(10),""),CHAR(13),""),CHAR(9),""),CHAR(160),"")," ",""),".",""),"-",""),"/",""),"?",""),"_",""),",",""),"[",""),"]",""),"(",""),")",""),"*","")</f>
        <v/>
      </c>
      <c r="AX74" s="61" t="str">
        <f aca="false">SUBSTITUTE(SUBSTITUTE(SUBSTITUTE(SUBSTITUTE(SUBSTITUTE(SUBSTITUTE(SUBSTITUTE(SUBSTITUTE(SUBSTITUTE(SUBSTITUTE(SUBSTITUTE(SUBSTITUTE(SUBSTITUTE(SUBSTITUTE(SUBSTITUTE(SUBSTITUTE(LOWER(AE74&amp;""),CHAR(10),""),CHAR(13),""),CHAR(9),""),CHAR(160),"")," ",""),".",""),"-",""),"/",""),"?",""),"_",""),",",""),"[",""),"]",""),"(",""),")",""),"*","")</f>
        <v/>
      </c>
      <c r="AY74" s="61" t="str">
        <f aca="false">SUBSTITUTE(SUBSTITUTE(SUBSTITUTE(SUBSTITUTE(SUBSTITUTE(SUBSTITUTE(SUBSTITUTE(SUBSTITUTE(SUBSTITUTE(SUBSTITUTE(SUBSTITUTE(SUBSTITUTE(SUBSTITUTE(SUBSTITUTE(SUBSTITUTE(SUBSTITUTE(LOWER(W74&amp;""),CHAR(10),""),CHAR(13),""),CHAR(9),""),CHAR(160),"")," ",""),".",""),"-",""),"/",""),"?",""),"_",""),",",""),"[",""),"]",""),"(",""),")",""),"*","")</f>
        <v/>
      </c>
      <c r="AZ74" s="61" t="str">
        <f aca="false">SUBSTITUTE(SUBSTITUTE(SUBSTITUTE(SUBSTITUTE(SUBSTITUTE(SUBSTITUTE(SUBSTITUTE(SUBSTITUTE(SUBSTITUTE(SUBSTITUTE(SUBSTITUTE(SUBSTITUTE(SUBSTITUTE(SUBSTITUTE(SUBSTITUTE(SUBSTITUTE(LOWER(AC74&amp;""),CHAR(10),""),CHAR(13),""),CHAR(9),""),CHAR(160),"")," ",""),".",""),"-",""),"/",""),"?",""),"_",""),",",""),"[",""),"]",""),"(",""),")",""),"*","")</f>
        <v/>
      </c>
      <c r="BA74" s="61" t="str">
        <f aca="false">SUBSTITUTE(SUBSTITUTE(SUBSTITUTE(SUBSTITUTE(SUBSTITUTE(SUBSTITUTE(SUBSTITUTE(SUBSTITUTE(SUBSTITUTE(SUBSTITUTE(SUBSTITUTE(SUBSTITUTE(SUBSTITUTE(SUBSTITUTE(SUBSTITUTE(SUBSTITUTE(LOWER(AA74&amp;""),CHAR(10),""),CHAR(13),""),CHAR(9),""),CHAR(160),"")," ",""),".",""),"-",""),"/",""),"?",""),"_",""),",",""),"[",""),"]",""),"(",""),")",""),"*","")</f>
        <v/>
      </c>
      <c r="BB74" s="61" t="str">
        <f aca="false">IF(AND(TRIM(U74)="Pass",ISNUMBER(AF74)),IF(AF74&lt;&gt;0,"INVALID – qty variance: use Fail or Pass after CA",""),"")&amp;IF(AND(TRIM(U74)="Pass after CA",ISNUMBER(AF74)),IF(AF74&lt;&gt;0,"INVALID – after the corrective action the actual qty must equal expected (update Actual)",""),"")&amp;IF(AND(TRIM(U74)="Pass",TRIM(AB74)&lt;&gt;"",TRIM(AB74)&lt;&gt;"Closed"),"INVALID – corrective action not closed: use Fail, then Pass after CA","")&amp;IF(AND(LEN(BA74)&gt;=2,ISNA(MATCH(LEFT(BA74,255),L_Placeholder,0)),TRIM(AB74)=""),"INVALID – CA status missing for the recorded corrective action","")&amp;IF(AND(TRIM(U74)="Pass after CA",OR(OR(LEN(BA74)&lt;5,ISNUMBER(MATCH(BA74,L_Placeholder,0))),TRIM(AB74)&lt;&gt;"Closed")),"INVALID – corrective action not recorded/closed","")</f>
        <v/>
      </c>
      <c r="BC74" s="61" t="str">
        <f aca="false">" "&amp;TRIM(SUBSTITUTE(SUBSTITUTE(SUBSTITUTE(SUBSTITUTE(SUBSTITUTE(SUBSTITUTE(SUBSTITUTE(SUBSTITUTE(SUBSTITUTE(SUBSTITUTE(SUBSTITUTE(SUBSTITUTE(SUBSTITUTE(SUBSTITUTE(SUBSTITUTE(SUBSTITUTE(SUBSTITUTE(SUBSTITUTE(SUBSTITUTE(SUBSTITUTE(SUBSTITUTE(SUBSTITUTE(SUBSTITUTE(SUBSTITUTE(LOWER(V74&amp;""),CHAR(10)," "),CHAR(13)," "),CHAR(9)," "),CHAR(160)," "),"."," "),","," "),"-"," "),"/"," "),"("," "),")"," "),":"," "),";"," "),"_"," "),"–"," "),"?"," "),"!"," "),"*"," "),"["," "),"]"," "),"'"," "),"#"," "),"+"," "),"&amp;"," "),"\"," "))&amp;" "</f>
        <v>  </v>
      </c>
      <c r="BD74" s="61" t="str">
        <f aca="false">" "&amp;TRIM(SUBSTITUTE(SUBSTITUTE(SUBSTITUTE(SUBSTITUTE(SUBSTITUTE(SUBSTITUTE(SUBSTITUTE(SUBSTITUTE(SUBSTITUTE(SUBSTITUTE(SUBSTITUTE(SUBSTITUTE(SUBSTITUTE(SUBSTITUTE(SUBSTITUTE(SUBSTITUTE(SUBSTITUTE(SUBSTITUTE(SUBSTITUTE(SUBSTITUTE(SUBSTITUTE(SUBSTITUTE(SUBSTITUTE(SUBSTITUTE(LOWER(Z74&amp;""),CHAR(10)," "),CHAR(13)," "),CHAR(9)," "),CHAR(160)," "),"."," "),","," "),"-"," "),"/"," "),"("," "),")"," "),":"," "),";"," "),"_"," "),"–"," "),"?"," "),"!"," "),"*"," "),"["," "),"]"," "),"'"," "),"#"," "),"+"," "),"&amp;"," "),"\"," "))&amp;" "</f>
        <v>  </v>
      </c>
      <c r="BE74" s="61" t="str">
        <f aca="false">" "&amp;TRIM(SUBSTITUTE(SUBSTITUTE(SUBSTITUTE(SUBSTITUTE(SUBSTITUTE(SUBSTITUTE(SUBSTITUTE(SUBSTITUTE(SUBSTITUTE(SUBSTITUTE(SUBSTITUTE(SUBSTITUTE(SUBSTITUTE(SUBSTITUTE(SUBSTITUTE(SUBSTITUTE(SUBSTITUTE(SUBSTITUTE(SUBSTITUTE(SUBSTITUTE(SUBSTITUTE(SUBSTITUTE(SUBSTITUTE(SUBSTITUTE(LOWER(W74&amp;""),CHAR(10)," "),CHAR(13)," "),CHAR(9)," "),CHAR(160)," "),"."," "),","," "),"-"," "),"/"," "),"("," "),")"," "),":"," "),";"," "),"_"," "),"–"," "),"?"," "),"!"," "),"*"," "),"["," "),"]"," "),"'"," "),"#"," "),"+"," "),"&amp;"," "),"\"," "))&amp;" "</f>
        <v>  </v>
      </c>
      <c r="BF74" s="61" t="str">
        <f aca="false">" "&amp;TRIM(SUBSTITUTE(SUBSTITUTE(SUBSTITUTE(SUBSTITUTE(SUBSTITUTE(SUBSTITUTE(SUBSTITUTE(SUBSTITUTE(SUBSTITUTE(SUBSTITUTE(SUBSTITUTE(SUBSTITUTE(SUBSTITUTE(SUBSTITUTE(SUBSTITUTE(SUBSTITUTE(SUBSTITUTE(SUBSTITUTE(SUBSTITUTE(SUBSTITUTE(SUBSTITUTE(SUBSTITUTE(SUBSTITUTE(SUBSTITUTE(LOWER(AC74&amp;""),CHAR(10)," "),CHAR(13)," "),CHAR(9)," "),CHAR(160)," "),"."," "),","," "),"-"," "),"/"," "),"("," "),")"," "),":"," "),";"," "),"_"," "),"–"," "),"?"," "),"!"," "),"*"," "),"["," "),"]"," "),"'"," "),"#"," "),"+"," "),"&amp;"," "),"\"," "))&amp;" "</f>
        <v>  </v>
      </c>
      <c r="BG74" s="61" t="n">
        <f aca="false">IFERROR(IF(AND(TRIM(U74)="Pass",SUMPRODUCT((LEN(BC74)-LEN(SUBSTITUTE(BC74," "&amp;L_ResultBad&amp;" "," ")))/(LEN(L_ResultBad)+1))&gt;SUMPRODUCT((LEN(BC74)-LEN(SUBSTITUTE(BC74," "&amp;L_NegPhrase&amp;" "," ")))/(LEN(L_NegPhrase)+1))),1,0),0)</f>
        <v>0</v>
      </c>
      <c r="BH74" s="61" t="n">
        <f aca="false">IFERROR(IF(SUMPRODUCT((LEN(BC74)-LEN(SUBSTITUTE(BC74," "&amp;L_Pending&amp;" "," ")))/(LEN(L_Pending)+1))&gt;SUMPRODUCT((LEN(BC74)-LEN(SUBSTITUTE(BC74," "&amp;L_PendNeg&amp;" "," ")))/(LEN(L_PendNeg)+1))+SUMPRODUCT((LEN(BC74)-LEN(SUBSTITUTE(BC74," "&amp;L_PendPrep&amp;" "," ")))/(LEN(L_PendPrep)+1)),1,0),1)</f>
        <v>0</v>
      </c>
      <c r="BI74" s="61" t="n">
        <f aca="false">IFERROR(IF(SUMPRODUCT((LEN(BD74)-LEN(SUBSTITUTE(BD74," "&amp;L_PendStrict&amp;" "," ")))/(LEN(L_PendStrict)+1))&gt;SUMPRODUCT((LEN(BD74)-LEN(SUBSTITUTE(BD74," "&amp;L_PendNeg&amp;" "," ")))/(LEN(L_PendNeg)+1)),1,0),1)</f>
        <v>0</v>
      </c>
      <c r="BJ74" s="61" t="n">
        <f aca="false">IFERROR(IF(SUMPRODUCT((LEN(BE74)-LEN(SUBSTITUTE(BE74," "&amp;L_Pending&amp;" "," ")))/(LEN(L_Pending)+1))&gt;SUMPRODUCT((LEN(BE74)-LEN(SUBSTITUTE(BE74," "&amp;L_PendNeg&amp;" "," ")))/(LEN(L_PendNeg)+1))+SUMPRODUCT((LEN(BE74)-LEN(SUBSTITUTE(BE74," "&amp;L_PendPrep&amp;" "," ")))/(LEN(L_PendPrep)+1)),1,0),1)</f>
        <v>0</v>
      </c>
      <c r="BK74" s="61" t="n">
        <f aca="false">IFERROR(IF(SUMPRODUCT((LEN(BF74)-LEN(SUBSTITUTE(BF74," "&amp;L_PendStrict&amp;" "," ")))/(LEN(L_PendStrict)+1))&gt;SUMPRODUCT((LEN(BF74)-LEN(SUBSTITUTE(BF74," "&amp;L_PendNeg&amp;" "," ")))/(LEN(L_PendNeg)+1)),1,0),1)</f>
        <v>0</v>
      </c>
      <c r="BL74" s="61" t="n">
        <f aca="false">IF(ISNA(MATCH(TRIM(S74),L_EvidenceType,0)),0,BZ74)</f>
        <v>0</v>
      </c>
      <c r="BM74" s="61" t="str">
        <f aca="false">SUBSTITUTE(SUBSTITUTE(SUBSTITUTE(SUBSTITUTE(SUBSTITUTE(SUBSTITUTE(SUBSTITUTE(SUBSTITUTE(SUBSTITUTE(LOWER(Z74&amp;""),"1","0"),"2","0"),"3","0"),"4","0"),"5","0"),"6","0"),"7","0"),"8","0"),"9","0")</f>
        <v/>
      </c>
      <c r="BN74" s="61" t="str">
        <f aca="false">SUBSTITUTE(SUBSTITUTE(SUBSTITUTE(SUBSTITUTE(SUBSTITUTE(SUBSTITUTE(SUBSTITUTE(SUBSTITUTE(SUBSTITUTE(SUBSTITUTE(SUBSTITUTE(SUBSTITUTE(SUBSTITUTE(SUBSTITUTE(SUBSTITUTE(SUBSTITUTE(SUBSTITUTE(SUBSTITUTE(SUBSTITUTE(SUBSTITUTE(SUBSTITUTE(SUBSTITUTE(SUBSTITUTE(SUBSTITUTE(SUBSTITUTE(BM74,"b","a"),"c","a"),"d","a"),"e","a"),"f","a"),"g","a"),"h","a"),"i","a"),"j","a"),"k","a"),"l","a"),"m","a"),"n","a"),"o","a"),"p","a"),"q","a"),"r","a"),"s","a"),"t","a"),"u","a"),"v","a"),"w","a"),"x","a"),"y","a"),"z","a")</f>
        <v/>
      </c>
      <c r="BO74" s="61" t="str">
        <f aca="false">SUBSTITUTE(SUBSTITUTE(SUBSTITUTE(SUBSTITUTE(SUBSTITUTE(SUBSTITUTE(SUBSTITUTE(SUBSTITUTE(SUBSTITUTE(LOWER(W74&amp;""),"1","0"),"2","0"),"3","0"),"4","0"),"5","0"),"6","0"),"7","0"),"8","0"),"9","0")</f>
        <v/>
      </c>
      <c r="BP74" s="61" t="str">
        <f aca="false">SUBSTITUTE(SUBSTITUTE(SUBSTITUTE(SUBSTITUTE(SUBSTITUTE(SUBSTITUTE(SUBSTITUTE(SUBSTITUTE(SUBSTITUTE(SUBSTITUTE(SUBSTITUTE(SUBSTITUTE(SUBSTITUTE(SUBSTITUTE(SUBSTITUTE(SUBSTITUTE(SUBSTITUTE(SUBSTITUTE(SUBSTITUTE(SUBSTITUTE(SUBSTITUTE(SUBSTITUTE(SUBSTITUTE(SUBSTITUTE(SUBSTITUTE(BO74,"b","a"),"c","a"),"d","a"),"e","a"),"f","a"),"g","a"),"h","a"),"i","a"),"j","a"),"k","a"),"l","a"),"m","a"),"n","a"),"o","a"),"p","a"),"q","a"),"r","a"),"s","a"),"t","a"),"u","a"),"v","a"),"w","a"),"x","a"),"y","a"),"z","a")</f>
        <v/>
      </c>
      <c r="BQ74" s="61" t="n">
        <f aca="false">IFERROR(IF(AND(ISERROR(SEARCH(" mh"," "&amp;LOWER(W74))),ISNA(MATCH(LEFT(TRIM(BP74),255),{"0000a","000a","00a","0000aa","000aa","00aa","0aa","0000aaa","000aaa","00a00","0a00","0000-0000","00:00","a00","a0","00.00.0000","00/00/0000","00-00-0000","0000-00-00","0000/00/00","0000.00.00","00.00.00","00/00/00","00-00-00","0.00.0000","0/00/0000","0-00-0000"},0)),ISNA(MATCH(LEFT(TRIM(CA74),255),{"0000a","000a","00a","0000aa","000aa","00aa","0aa","0000aaa","000aaa","00a00","0a00","0000-0000","00:00","a00","a0","00.00.0000","00/00/0000","00-00-0000","0000-00-00","0000/00/00","0000.00.00","00.00.00","00/00/00","00-00-00","0.00.0000","0/00/0000","0-00-0000"},0)),LEN(CB74)&gt;=3,NOT(OR(SUBSTITUTE(CB74,"0","")="",AND(LEN(CB74)&gt;=4,CB74=REPT(LEFT(CB74),LEN(CB74))),ISNUMBER(MATCH(CB74,{"123","1234","12345","123456","1234567","12345678","0123","01234","012345","98765","987654","54321"},0)),AND(LEN(CB74)=8,LEFT(CB74,3)="202"))),OR(AND((LEN(CA74)-LEN(SUBSTITUTE(CA74,"a","")))&gt;=1,SUMPRODUCT(--ISNUMBER(SEARCH({"a0","a-0","a_0","a/0","a.0","a#0","0a","0-a","0_a","0/a"},BP74)))&gt;0),ISNUMBER(SEARCH("000000",BP74)))),1,0),0)</f>
        <v>0</v>
      </c>
      <c r="BR74" s="61" t="n">
        <f aca="false">IFERROR(LEN(SUBSTITUTE(CC74," ",""))-SUMPRODUCT((LEN(CC74)-LEN(SUBSTITUTE(CC74," "&amp;L_Role&amp;" "," ")))/(LEN(L_Role)+1)*LEN(L_Role)),0)</f>
        <v>0</v>
      </c>
      <c r="BS74" s="61" t="n">
        <f aca="false">IFERROR(LEN(SUBSTITUTE(CD74," ",""))-SUMPRODUCT((LEN(CD74)-LEN(SUBSTITUTE(CD74," "&amp;L_Role&amp;" "," ")))/(LEN(L_Role)+1)*LEN(L_Role)),0)</f>
        <v>0</v>
      </c>
      <c r="BT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revision",""),"version",""),"jan",""),"feb",""),"mar",""),"apr",""),"may",""),"jun",""),"jul",""),"aug",""),"sep",""),"oct",""),"nov",""),"dec",""),"utc",""),"gmt",""),"myt",""),"bst",""),"rev",""),"ver",""),"b","a"),"c","a"),"d","a"),"e","a"),"f","a"),"g","a"),"h","a"),"i","a"),"j","a"),"k","a"),"l","a"),"m","a"),"n","a"),"o","a"),"p","a"),"q","a"),"r","a"),"s","a"),"t","a"),"u","a"),"v","a"),"w","a"),"x","a"),"y","a"),"z","a")</f>
        <v/>
      </c>
      <c r="BU74" s="61" t="str">
        <f aca="false">SUBSTITUTE(SUBSTITUTE(SUBSTITUTE(SUBSTITUTE(SUBSTITUTE(SUBSTITUTE(SUBSTITUTE(SUBSTITUTE(SUBSTITUTE(SUBSTITUTE(LEFT(BM74,FIND("0",BM74&amp;"0")-1),"-",""),"_",""),"/",""),".",""),"#",""),"\\",""),":","")," ",""),"(",""),")","")</f>
        <v/>
      </c>
      <c r="BV74" s="61" t="n">
        <f aca="false">0</f>
        <v>0</v>
      </c>
      <c r="BW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amp;""),"a",""),"b",""),"c",""),"d",""),"e",""),"f",""),"g",""),"h",""),"i",""),"j",""),"k",""),"l",""),"m",""),"n",""),"o",""),"p",""),"q",""),"r",""),"s",""),"t",""),"u",""),"v",""),"w",""),"x",""),"y",""),"z",""),"-",""),"_",""),"/",""),".",""),"#",""),"\\",""),":","")," ",""),"(",""),")","")</f>
        <v/>
      </c>
      <c r="BX74" s="61" t="str">
        <f aca="false">SUBSTITUTE(SUBSTITUTE(SUBSTITUTE(SUBSTITUTE(SUBSTITUTE(SUBSTITUTE(SUBSTITUTE(SUBSTITUTE(SUBSTITUTE(SUBSTITUTE(SUBSTITUTE(BM74,"0",""),"-",""),"_",""),"/",""),".",""),"#",""),"\\",""),":","")," ",""),"(",""),")","")</f>
        <v/>
      </c>
      <c r="BY74" s="62" t="n">
        <f aca="false">Q74-T7EarlyD*24/24</f>
        <v>46284.3784722222</v>
      </c>
      <c r="BZ74" s="61" t="n">
        <f aca="false">IFERROR(IF(IF(TRIM(S74)="Link / file path",AND(LEN(TRIM(Z74))&gt;=5,SUMPRODUCT(--ISNUMBER(SEARCH({"http","www.","\\",":\",".pdf",".jpg",".jpeg",".png",".heic",".xls",".doc",".msg",".eml",".ppt",".txt",".zip"},Z74)))&gt;0),AND(ISERROR(FIND(" ",TRIM(Z74))),NOT(OR(SUMPRODUCT(--ISNUMBER(FIND({",",";","&amp;","+"},Z74)))&gt;0,SUMPRODUCT(--ISNUMBER(SEARCH({"0/aa","0\\aa"},BN74)))&gt;0)),NOT(SUMPRODUCT(--ISNUMBER(SEARCH({"http","www.","\\",":\",".pdf",".jpg",".jpeg",".png",".heic",".xls",".doc",".msg",".eml",".ppt",".txt",".zip"},Z74)))&gt;0),NOT(LOWER(TRIM(Z74))=LOWER(Flights!$F$7)),ISNA(MATCH(BU74,{"mh","rev","revision","ver","version","v","r","a","b","seat","tray","row","gate","bay","stand","page","pg","item","line","no","cart","galley","flight","flt","table","box","bag","oven","etd","eta","std","sta","atd","ata","qty","pax","x","time","tel","ph","mob","day","wk","week","utc","gmt","myt","lt"},0)),NOT(OR(ISNUMBER(MATCH(LEFT(BN74,255),{"0000a","000a","00a","0000aa","000aa","00aa","0aa","0000aaa","000aaa","00a00","0a00","0000-0000","00:00","a00","a0","00.00.0000","00/00/0000","00-00-0000","0000-00-00","0000/00/00","0000.00.00","00.00.00","00/00/00","00-00-00","0.00.0000","0/00/0000","0-00-0000"},0)),ISNUMBER(MATCH(LEFT(BT74,255),{"0000a","000a","00a","0000aa","000aa","00aa","0aa","0000aaa","000aaa","00a00","0a00","0000-0000","00:00","a00","a0","00.00.0000","00/00/0000","00-00-0000","0000-00-00","0000/00/00","0000.00.00","00.00.00","00/00/00","00-00-00","0.00.0000","0/00/0000","0-00-0000"},0)))),NOT(OR(AND(BW74&lt;&gt;"",SUBSTITUTE(BW74,"0","")=""),AND(LEN(BW74)&gt;=4,BW74=REPT(LEFT(BW74),LEN(BW74))),ISNUMBER(MATCH(BW74,{"123","1234","12345","123456","1234567","12345678","0123","01234","012345","98765","987654","54321"},0)),ISNUMBER(MATCH(BX74,{"x","xx","xxx","xxxx","xxxxx","abc","abcd","nil","na","nan","test","tbc","tba","tbd","dummy","sample","example","eg","zz","zzz","none","null","xyz","qwe","asd","id","ref"},0)),AND(LEN(BW74)=8,BX74="",OR(LEFT(BW74,3)="202",ISNUMBER(MATCH(RIGHT(BW74,4),{"2025","2026","2027"},0)))))),OR(AND((LEN(BT74)-LEN(SUBSTITUTE(BT74,"a","")))&gt;=1,(LEN(BN74)-LEN(SUBSTITUTE(BN74,"0","")))&gt;=2,SUMPRODUCT(--ISNUMBER(SEARCH({"a0","a-0","a_0","a/0","a.0","a#0","0a","0-a","0_a","0/a"},BN74)))&gt;0),AND((LEN(BN74)-LEN(SUBSTITUTE(BN74,"a","")))=0,(LEN(BN74)-LEN(SUBSTITUTE(BN74,"0","")))&gt;=5)))),1,0),0)</f>
        <v>0</v>
      </c>
      <c r="CA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revision",""),"version",""),"jan",""),"feb",""),"mar",""),"apr",""),"may",""),"jun",""),"jul",""),"aug",""),"sep",""),"oct",""),"nov",""),"dec",""),"utc",""),"gmt",""),"myt",""),"bst",""),"rev",""),"ver",""),"b","a"),"c","a"),"d","a"),"e","a"),"f","a"),"g","a"),"h","a"),"i","a"),"j","a"),"k","a"),"l","a"),"m","a"),"n","a"),"o","a"),"p","a"),"q","a"),"r","a"),"s","a"),"t","a"),"u","a"),"v","a"),"w","a"),"x","a"),"y","a"),"z","a")</f>
        <v/>
      </c>
      <c r="CB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amp;""),"a",""),"b",""),"c",""),"d",""),"e",""),"f",""),"g",""),"h",""),"i",""),"j",""),"k",""),"l",""),"m",""),"n",""),"o",""),"p",""),"q",""),"r",""),"s",""),"t",""),"u",""),"v",""),"w",""),"x",""),"y",""),"z",""),"-",""),"_",""),"/",""),".",""),"#",""),"\\",""),":","")," ",""),"(",""),")","")</f>
        <v/>
      </c>
      <c r="CC74" s="0" t="str">
        <f aca="false">" "&amp;TRIM(SUBSTITUTE(SUBSTITUTE(SUBSTITUTE(SUBSTITUTE(SUBSTITUTE(SUBSTITUTE(SUBSTITUTE(SUBSTITUTE(SUBSTITUTE(SUBSTITUTE(SUBSTITUTE(SUBSTITUTE(SUBSTITUTE(SUBSTITUTE(SUBSTITUTE(SUBSTITUTE(SUBSTITUTE(SUBSTITUTE(SUBSTITUTE(SUBSTITUTE(SUBSTITUTE(SUBSTITUTE(SUBSTITUTE(SUBSTITUTE(LOWER(T74&amp;""),CHAR(10)," "),CHAR(13)," "),CHAR(9)," "),CHAR(160)," "),"."," "),","," "),"-"," "),"/"," "),"("," "),")"," "),":"," "),";"," "),"_"," "),"–"," "),"?"," "),"!"," "),"*"," "),"["," "),"]"," "),"'"," "),"#"," "),"+"," "),"&amp;"," "),"\"," "))&amp;" "</f>
        <v>  </v>
      </c>
      <c r="CD74" s="0" t="str">
        <f aca="false">" "&amp;TRIM(SUBSTITUTE(SUBSTITUTE(SUBSTITUTE(SUBSTITUTE(SUBSTITUTE(SUBSTITUTE(SUBSTITUTE(SUBSTITUTE(SUBSTITUTE(SUBSTITUTE(SUBSTITUTE(SUBSTITUTE(SUBSTITUTE(SUBSTITUTE(SUBSTITUTE(SUBSTITUTE(SUBSTITUTE(SUBSTITUTE(SUBSTITUTE(SUBSTITUTE(SUBSTITUTE(SUBSTITUTE(SUBSTITUTE(SUBSTITUTE(LOWER(AE74&amp;""),CHAR(10)," "),CHAR(13)," "),CHAR(9)," "),CHAR(160)," "),"."," "),","," "),"-"," "),"/"," "),"("," "),")"," "),":"," "),";"," "),"_"," "),"–"," "),"?"," "),"!"," "),"*"," "),"["," "),"]"," "),"'"," "),"#"," "),"+"," "),"&amp;"," "),"\"," "))&amp;" "</f>
        <v>  </v>
      </c>
      <c r="CE74" s="68" t="n">
        <f aca="false">IFERROR(IF(AND(LEN(AU74)&gt;0,LEN(AU74)=LEN(AX74),OR(TRIM(MID(SUBSTITUTE(TRIM(CC74)," ",REPT(" ",60)),1,60))="",ISNUMBER(SEARCH(" "&amp;TRIM(MID(SUBSTITUTE(TRIM(CC74)," ",REPT(" ",60)),1,60))&amp;" ",CD74))),OR(TRIM(MID(SUBSTITUTE(TRIM(CC74)," ",REPT(" ",60)),61,60))="",ISNUMBER(SEARCH(" "&amp;TRIM(MID(SUBSTITUTE(TRIM(CC74)," ",REPT(" ",60)),61,60))&amp;" ",CD74))),OR(TRIM(MID(SUBSTITUTE(TRIM(CC74)," ",REPT(" ",60)),121,60))="",ISNUMBER(SEARCH(" "&amp;TRIM(MID(SUBSTITUTE(TRIM(CC74)," ",REPT(" ",60)),121,60))&amp;" ",CD74)))),1,0),0)</f>
        <v>0</v>
      </c>
      <c r="CG74" s="68" t="n">
        <f aca="false">IFERROR(LEN(SUBSTITUTE(BF74," ",""))-SUMPRODUCT((LEN(BF74)-LEN(SUBSTITUTE(BF74," "&amp;L_NAFiller&amp;" "," ")))/(LEN(L_NAFiller)+1)*LEN(L_NAFiller)),0)</f>
        <v>0</v>
      </c>
    </row>
    <row r="75" customFormat="false" ht="39.75" hidden="false" customHeight="true" outlineLevel="0" collapsed="false">
      <c r="A75" s="57" t="s">
        <v>562</v>
      </c>
      <c r="B75" s="57" t="s">
        <v>212</v>
      </c>
      <c r="C75" s="57" t="str">
        <f aca="false">Flights!$F$7</f>
        <v>MH0720</v>
      </c>
      <c r="D75" s="58" t="n">
        <f aca="false">Flights!$D$7</f>
        <v>46305</v>
      </c>
      <c r="E75" s="57" t="str">
        <f aca="false">Flights!$G$7&amp;"-"&amp;Flights!$H$7</f>
        <v>CGK-KUL</v>
      </c>
      <c r="F75" s="57" t="str">
        <f aca="false">Flights!$K$7</f>
        <v>EY</v>
      </c>
      <c r="G75" s="57" t="s">
        <v>81</v>
      </c>
      <c r="H75" s="57" t="s">
        <v>378</v>
      </c>
      <c r="I75" s="57" t="s">
        <v>405</v>
      </c>
      <c r="J75" s="57" t="s">
        <v>406</v>
      </c>
      <c r="K75" s="67" t="s">
        <v>407</v>
      </c>
      <c r="L75" s="67" t="s">
        <v>382</v>
      </c>
      <c r="M75" s="67"/>
      <c r="N75" s="67" t="s">
        <v>383</v>
      </c>
      <c r="O75" s="67"/>
      <c r="P75" s="57" t="s">
        <v>201</v>
      </c>
      <c r="Q75" s="59" t="n">
        <f aca="false">ROUND((Flights!$AC$7)*1440,0)/1440</f>
        <v>46298.3784722222</v>
      </c>
      <c r="R75" s="59" t="n">
        <f aca="false">Q75+(IF(AND(INDEX(TZ_DSTS,MATCH(P75,TZ_STN,0))&lt;&gt;"",Q75&gt;=INDEX(TZ_DSTS,MATCH(P75,TZ_STN,0)),Q75&lt;INDEX(TZ_DSTE,MATCH(P75,TZ_STN,0))),INDEX(TZ_DST,MATCH(P75,TZ_STN,0)),INDEX(TZ_STD,MATCH(P75,TZ_STN,0))))/24</f>
        <v>46298.6701388889</v>
      </c>
      <c r="S75" s="60"/>
      <c r="T75" s="60"/>
      <c r="U75" s="60"/>
      <c r="V75" s="60"/>
      <c r="W75" s="61"/>
      <c r="X75" s="60"/>
      <c r="Y75" s="60"/>
      <c r="Z75" s="60"/>
      <c r="AA75" s="60"/>
      <c r="AB75" s="60"/>
      <c r="AC75" s="60"/>
      <c r="AD75" s="66"/>
      <c r="AE75" s="60"/>
      <c r="AF75" s="61" t="str">
        <f aca="false">IF(AND(ISNUMBER(X75),ISNUMBER(Y75)),Y75-X75,"")</f>
        <v/>
      </c>
      <c r="AG75" s="62" t="str">
        <f aca="false">IF(ISNUMBER(AD75),AD75-(IF(AND(INDEX(TZ_DSTS,MATCH(P75,TZ_STN,0))&lt;&gt;"",(AD75-INDEX(TZ_STD,MATCH(P75,TZ_STN,0))/24)&gt;=INDEX(TZ_DSTS,MATCH(P75,TZ_STN,0)),(AD75-INDEX(TZ_STD,MATCH(P75,TZ_STN,0))/24)&lt;INDEX(TZ_DSTE,MATCH(P75,TZ_STN,0))),INDEX(TZ_DST,MATCH(P75,TZ_STN,0)),INDEX(TZ_STD,MATCH(P75,TZ_STN,0))))/24,"")</f>
        <v/>
      </c>
      <c r="AH75" s="65" t="str">
        <f aca="false">IFERROR(IF(N75="N/A – rule",IF(OR(TRIM(U75)="",TRIM(U75)="N/A",TRIM(U75)="Not started"),"N/A – RULE","INVALID – this check does not apply to this aircraft: clear the status (or correct the fleet on Flights)"),IF(TRIM(U75)="N/A",IF(AT75=0,"INVALID – N/A not permitted for this check",IF(AND(TRIM(AB75)&lt;&gt;"",TRIM(AB75)&lt;&gt;"Closed"),"INVALID – corrective action still open",IF(AND(NOT(OR(LEN(AZ75)&lt;15,ISNUMBER(MATCH(AZ75,L_Placeholder,0)))),BK75=0,CG75&gt;=8,NOT(OR(LEN(AU75)&lt;2,ISNUMBER(MATCH(AU75,L_Placeholder,0)))),BR75&gt;=3,NOT(OR(LEN(AX75)&lt;2,ISNUMBER(MATCH(AX75,L_Placeholder,0)))),BS75&gt;=3,TRIM(AE75)&lt;&gt;TRIM(T75),AX75&lt;&gt;AU75,CE75=0),"N/A – JUSTIFIED","INVALID – N/A needs a real, settled reason (not 'not applicable' / 'as above' / TBC), a named PIC and a different named verifier"))),IF(OR(TRIM(U75)="Pass",TRIM(U75)="Pass after CA"),IF(NOT(ISNUMBER(AD75)),"INVALID – completion time missing",IF(OR(OR(LEN(AU75)&lt;2,ISNUMBER(MATCH(AU75,L_Placeholder,0))),BR75&lt;3),"INVALID – PIC missing or not a named person (a role such as QA / CSM is not a name)",IF(OR(LEN(AV75)&lt;2,ISNUMBER(MATCH(AV75,L_Placeholder,0))),"INVALID – result / assessment missing",IF(OR(OR(LEN(AW75)&lt;3,ISNUMBER(MATCH(AW75,L_Placeholder,0))),SUMPRODUCT(--ISNUMBER(SEARCH(" "&amp;L_EvidencePhrase&amp;" ",BD75)))&gt;0,BI75=1),"INVALID – evidence missing, placeholder or not yet on file",IF(ISNA(MATCH(TRIM(S75),L_EvidenceType,0)),"INVALID – choose the evidence type from the list (column S)",IF(BL75=0,"INVALID – evidence ID must be the record's own ID only (e.g. SF-2210, IMG_2231, 1045521); a link / file name needs type 'Link / file path'",IF(OR(OR(LEN(AX75)&lt;2,ISNUMBER(MATCH(AX75,L_Placeholder,0))),BS75&lt;3),"INVALID – verifier missing or not a named person (a role such as QA / CSM is not a name)",IF(OR(AX75=AU75,CE75=1,AND(LEN(AU75)&gt;=4,ISNUMBER(SEARCH(AU75,AX75))),AND(LEN(AX75)&gt;=4,ISNUMBER(SEARCH(AX75,AU75)))),"INVALID – verifier must be a different, named person (not the PIC or a role)",IF(BH75=1,"INVALID – result not yet available (awaiting / TBC)",IF(BG75=1,"INVALID – result describes a problem: record Fail, then Pass after CA (or reword if it is not a problem)",IF(BV75=1,"INVALID – wording says not on board: an on-board confirmation needs the item loaded",IF(AND(AQ75=1,OR(OR(LEN(AY75)&lt;3,ISNUMBER(MATCH(AY75,L_Placeholder,0))),BJ75=1,BQ75=0)),"INVALID – batch ID missing, placeholder or not an ID (e.g. PASB-261008-BC-017)",IF(AND(AR75=1,OR(NOT(ISNUMBER(X75)),NOT(ISNUMBER(Y75)))),"INVALID – expected/actual qty missing",IF(AND(AR75=1,OR(X75&lt;=0,Y75&lt;0)),"INVALID – expected qty must be above 0 and actual not negative",IF(BB75&lt;&gt;"",BB75,IF(AND(AS75=1,Documents!$J$7&lt;&gt;"ON FILE"),"INVALID – GLD not on file (Documents sheet)",IF(AND(AS75=2,Documents!$O$7&lt;&gt;"ON FILE"),"INVALID – menu checklist not on file (Documents sheet)",IF(AND(AS75=3,NOT(ISNUMBER(Flights!$AX$7))),"INVALID – enter carrying flight KUL departure (Flights AX)",IF(AND(AS75=3,OR(Flights!$AZ$7&gt;Flights!$AA$7,Flights!$AX$7&lt;Flights!$AA$7-3)),"INVALID – carrying flight (Flights AX) cannot arrive before this leg's STD, or is over 3 days early",IF(AG75&gt;AsOfUTC,"INVALID – completion time is in the future",IF(AND(ISNUMBER(BY75),AG75&lt;BY75),IF(H75="Physical uplift","INVALID – before uplift window (cannot confirm loading)","INVALID – before valid window"),IF(AG75&gt;Flights!$AA$7,"INVALID – completed after departure (cannot establish readiness)",IF(AND(H75="Preparation",AG75&gt;=IF(ISNUMBER(Flights!$BA$7),MIN(Flights!$BA$7,Flights!$AA$7),Flights!$AA$7)),"INVALID – completed after loading / departure (cannot establish readiness)",IF(AND(H75="Physical uplift",AG75&gt;Q75),"INVALID – recorded after the loading flight departed",IF(AG75&gt;Q75,"COMPLETE – LATE","COMPLETE"))))))))))))))))))))))))),IF(TRIM(U75)="Fail","FAIL – DISCREPANCY",IF(AND(TRIM(U75)&lt;&gt;"",TRIM(U75)&lt;&gt;"Not started",TRIM(U75)&lt;&gt;"In progress"),"INVALID – unrecognised status (use the list)",IF(AsOfUTC&gt;Q75,"OVERDUE",IF(N75="Clarification required","OPEN – CLARIFICATION","OPEN"))))))),"INVALID – error value in an input cell")</f>
        <v>OPEN</v>
      </c>
      <c r="AI75" s="61" t="n">
        <f aca="false">IF(OR(AH75="N/A – RULE",AH75="N/A – JUSTIFIED"),0,1)</f>
        <v>1</v>
      </c>
      <c r="AJ75" s="61" t="n">
        <f aca="false">IF(LEFT(AH75,8)="COMPLETE",1,0)</f>
        <v>0</v>
      </c>
      <c r="AK75" s="61" t="n">
        <f aca="false">IF(AND(AI75=1,AJ75=0,AsOfUTC&gt;Q75),1,0)</f>
        <v>0</v>
      </c>
      <c r="AL75" s="61" t="n">
        <f aca="false">IFERROR(IF(AND(AI75=1,OR(TRIM(U75)="Fail",AND(TRIM(AB75)&lt;&gt;"",TRIM(AB75)&lt;&gt;"Closed"),AND(ISNUMBER(AF75),AF75&lt;&gt;0,TRIM(U75)&lt;&gt;"Pass after CA"))),1,0),1)</f>
        <v>0</v>
      </c>
      <c r="AM75" s="61" t="n">
        <f aca="false">IF(LEFT(AH75,7)="INVALID",1,0)</f>
        <v>0</v>
      </c>
      <c r="AN75" s="61" t="n">
        <f aca="false">IF(AND(N75="Clarification required",AI75=1,AJ75=0),1,0)</f>
        <v>0</v>
      </c>
      <c r="AO75" s="61" t="str">
        <f aca="false">IF(AK75=1,SUM(AK$5:AK75),"")</f>
        <v/>
      </c>
      <c r="AP75" s="61" t="str">
        <f aca="false">IF(AL75=1,SUM(AL$5:AL75),"")</f>
        <v/>
      </c>
      <c r="AQ75" s="61" t="n">
        <v>0</v>
      </c>
      <c r="AR75" s="61" t="n">
        <v>0</v>
      </c>
      <c r="AS75" s="61" t="n">
        <v>1</v>
      </c>
      <c r="AT75" s="61" t="n">
        <v>0</v>
      </c>
      <c r="AU75" s="61" t="str">
        <f aca="false">SUBSTITUTE(SUBSTITUTE(SUBSTITUTE(SUBSTITUTE(SUBSTITUTE(SUBSTITUTE(SUBSTITUTE(SUBSTITUTE(SUBSTITUTE(SUBSTITUTE(SUBSTITUTE(SUBSTITUTE(SUBSTITUTE(SUBSTITUTE(SUBSTITUTE(SUBSTITUTE(LOWER(T75&amp;""),CHAR(10),""),CHAR(13),""),CHAR(9),""),CHAR(160),"")," ",""),".",""),"-",""),"/",""),"?",""),"_",""),",",""),"[",""),"]",""),"(",""),")",""),"*","")</f>
        <v/>
      </c>
      <c r="AV75" s="61" t="str">
        <f aca="false">SUBSTITUTE(SUBSTITUTE(SUBSTITUTE(SUBSTITUTE(SUBSTITUTE(SUBSTITUTE(SUBSTITUTE(SUBSTITUTE(SUBSTITUTE(SUBSTITUTE(SUBSTITUTE(SUBSTITUTE(SUBSTITUTE(SUBSTITUTE(SUBSTITUTE(SUBSTITUTE(LOWER(V75&amp;""),CHAR(10),""),CHAR(13),""),CHAR(9),""),CHAR(160),"")," ",""),".",""),"-",""),"/",""),"?",""),"_",""),",",""),"[",""),"]",""),"(",""),")",""),"*","")</f>
        <v/>
      </c>
      <c r="AW75" s="61" t="str">
        <f aca="false">SUBSTITUTE(SUBSTITUTE(SUBSTITUTE(SUBSTITUTE(SUBSTITUTE(SUBSTITUTE(SUBSTITUTE(SUBSTITUTE(SUBSTITUTE(SUBSTITUTE(SUBSTITUTE(SUBSTITUTE(SUBSTITUTE(SUBSTITUTE(SUBSTITUTE(SUBSTITUTE(LOWER(Z75&amp;""),CHAR(10),""),CHAR(13),""),CHAR(9),""),CHAR(160),"")," ",""),".",""),"-",""),"/",""),"?",""),"_",""),",",""),"[",""),"]",""),"(",""),")",""),"*","")</f>
        <v/>
      </c>
      <c r="AX75" s="61" t="str">
        <f aca="false">SUBSTITUTE(SUBSTITUTE(SUBSTITUTE(SUBSTITUTE(SUBSTITUTE(SUBSTITUTE(SUBSTITUTE(SUBSTITUTE(SUBSTITUTE(SUBSTITUTE(SUBSTITUTE(SUBSTITUTE(SUBSTITUTE(SUBSTITUTE(SUBSTITUTE(SUBSTITUTE(LOWER(AE75&amp;""),CHAR(10),""),CHAR(13),""),CHAR(9),""),CHAR(160),"")," ",""),".",""),"-",""),"/",""),"?",""),"_",""),",",""),"[",""),"]",""),"(",""),")",""),"*","")</f>
        <v/>
      </c>
      <c r="AY75" s="61" t="str">
        <f aca="false">SUBSTITUTE(SUBSTITUTE(SUBSTITUTE(SUBSTITUTE(SUBSTITUTE(SUBSTITUTE(SUBSTITUTE(SUBSTITUTE(SUBSTITUTE(SUBSTITUTE(SUBSTITUTE(SUBSTITUTE(SUBSTITUTE(SUBSTITUTE(SUBSTITUTE(SUBSTITUTE(LOWER(W75&amp;""),CHAR(10),""),CHAR(13),""),CHAR(9),""),CHAR(160),"")," ",""),".",""),"-",""),"/",""),"?",""),"_",""),",",""),"[",""),"]",""),"(",""),")",""),"*","")</f>
        <v/>
      </c>
      <c r="AZ75" s="61" t="str">
        <f aca="false">SUBSTITUTE(SUBSTITUTE(SUBSTITUTE(SUBSTITUTE(SUBSTITUTE(SUBSTITUTE(SUBSTITUTE(SUBSTITUTE(SUBSTITUTE(SUBSTITUTE(SUBSTITUTE(SUBSTITUTE(SUBSTITUTE(SUBSTITUTE(SUBSTITUTE(SUBSTITUTE(LOWER(AC75&amp;""),CHAR(10),""),CHAR(13),""),CHAR(9),""),CHAR(160),"")," ",""),".",""),"-",""),"/",""),"?",""),"_",""),",",""),"[",""),"]",""),"(",""),")",""),"*","")</f>
        <v/>
      </c>
      <c r="BA75" s="61" t="str">
        <f aca="false">SUBSTITUTE(SUBSTITUTE(SUBSTITUTE(SUBSTITUTE(SUBSTITUTE(SUBSTITUTE(SUBSTITUTE(SUBSTITUTE(SUBSTITUTE(SUBSTITUTE(SUBSTITUTE(SUBSTITUTE(SUBSTITUTE(SUBSTITUTE(SUBSTITUTE(SUBSTITUTE(LOWER(AA75&amp;""),CHAR(10),""),CHAR(13),""),CHAR(9),""),CHAR(160),"")," ",""),".",""),"-",""),"/",""),"?",""),"_",""),",",""),"[",""),"]",""),"(",""),")",""),"*","")</f>
        <v/>
      </c>
      <c r="BB75" s="61" t="str">
        <f aca="false">IF(AND(TRIM(U75)="Pass",ISNUMBER(AF75)),IF(AF75&lt;&gt;0,"INVALID – qty variance: use Fail or Pass after CA",""),"")&amp;IF(AND(TRIM(U75)="Pass after CA",ISNUMBER(AF75)),IF(AF75&lt;&gt;0,"INVALID – after the corrective action the actual qty must equal expected (update Actual)",""),"")&amp;IF(AND(TRIM(U75)="Pass",TRIM(AB75)&lt;&gt;"",TRIM(AB75)&lt;&gt;"Closed"),"INVALID – corrective action not closed: use Fail, then Pass after CA","")&amp;IF(AND(LEN(BA75)&gt;=2,ISNA(MATCH(LEFT(BA75,255),L_Placeholder,0)),TRIM(AB75)=""),"INVALID – CA status missing for the recorded corrective action","")&amp;IF(AND(TRIM(U75)="Pass after CA",OR(OR(LEN(BA75)&lt;5,ISNUMBER(MATCH(BA75,L_Placeholder,0))),TRIM(AB75)&lt;&gt;"Closed")),"INVALID – corrective action not recorded/closed","")</f>
        <v/>
      </c>
      <c r="BC75" s="61" t="str">
        <f aca="false">" "&amp;TRIM(SUBSTITUTE(SUBSTITUTE(SUBSTITUTE(SUBSTITUTE(SUBSTITUTE(SUBSTITUTE(SUBSTITUTE(SUBSTITUTE(SUBSTITUTE(SUBSTITUTE(SUBSTITUTE(SUBSTITUTE(SUBSTITUTE(SUBSTITUTE(SUBSTITUTE(SUBSTITUTE(SUBSTITUTE(SUBSTITUTE(SUBSTITUTE(SUBSTITUTE(SUBSTITUTE(SUBSTITUTE(SUBSTITUTE(SUBSTITUTE(LOWER(V75&amp;""),CHAR(10)," "),CHAR(13)," "),CHAR(9)," "),CHAR(160)," "),"."," "),","," "),"-"," "),"/"," "),"("," "),")"," "),":"," "),";"," "),"_"," "),"–"," "),"?"," "),"!"," "),"*"," "),"["," "),"]"," "),"'"," "),"#"," "),"+"," "),"&amp;"," "),"\"," "))&amp;" "</f>
        <v>  </v>
      </c>
      <c r="BD75" s="61" t="str">
        <f aca="false">" "&amp;TRIM(SUBSTITUTE(SUBSTITUTE(SUBSTITUTE(SUBSTITUTE(SUBSTITUTE(SUBSTITUTE(SUBSTITUTE(SUBSTITUTE(SUBSTITUTE(SUBSTITUTE(SUBSTITUTE(SUBSTITUTE(SUBSTITUTE(SUBSTITUTE(SUBSTITUTE(SUBSTITUTE(SUBSTITUTE(SUBSTITUTE(SUBSTITUTE(SUBSTITUTE(SUBSTITUTE(SUBSTITUTE(SUBSTITUTE(SUBSTITUTE(LOWER(Z75&amp;""),CHAR(10)," "),CHAR(13)," "),CHAR(9)," "),CHAR(160)," "),"."," "),","," "),"-"," "),"/"," "),"("," "),")"," "),":"," "),";"," "),"_"," "),"–"," "),"?"," "),"!"," "),"*"," "),"["," "),"]"," "),"'"," "),"#"," "),"+"," "),"&amp;"," "),"\"," "))&amp;" "</f>
        <v>  </v>
      </c>
      <c r="BE75" s="61" t="str">
        <f aca="false">" "&amp;TRIM(SUBSTITUTE(SUBSTITUTE(SUBSTITUTE(SUBSTITUTE(SUBSTITUTE(SUBSTITUTE(SUBSTITUTE(SUBSTITUTE(SUBSTITUTE(SUBSTITUTE(SUBSTITUTE(SUBSTITUTE(SUBSTITUTE(SUBSTITUTE(SUBSTITUTE(SUBSTITUTE(SUBSTITUTE(SUBSTITUTE(SUBSTITUTE(SUBSTITUTE(SUBSTITUTE(SUBSTITUTE(SUBSTITUTE(SUBSTITUTE(LOWER(W75&amp;""),CHAR(10)," "),CHAR(13)," "),CHAR(9)," "),CHAR(160)," "),"."," "),","," "),"-"," "),"/"," "),"("," "),")"," "),":"," "),";"," "),"_"," "),"–"," "),"?"," "),"!"," "),"*"," "),"["," "),"]"," "),"'"," "),"#"," "),"+"," "),"&amp;"," "),"\"," "))&amp;" "</f>
        <v>  </v>
      </c>
      <c r="BF75" s="61" t="str">
        <f aca="false">" "&amp;TRIM(SUBSTITUTE(SUBSTITUTE(SUBSTITUTE(SUBSTITUTE(SUBSTITUTE(SUBSTITUTE(SUBSTITUTE(SUBSTITUTE(SUBSTITUTE(SUBSTITUTE(SUBSTITUTE(SUBSTITUTE(SUBSTITUTE(SUBSTITUTE(SUBSTITUTE(SUBSTITUTE(SUBSTITUTE(SUBSTITUTE(SUBSTITUTE(SUBSTITUTE(SUBSTITUTE(SUBSTITUTE(SUBSTITUTE(SUBSTITUTE(LOWER(AC75&amp;""),CHAR(10)," "),CHAR(13)," "),CHAR(9)," "),CHAR(160)," "),"."," "),","," "),"-"," "),"/"," "),"("," "),")"," "),":"," "),";"," "),"_"," "),"–"," "),"?"," "),"!"," "),"*"," "),"["," "),"]"," "),"'"," "),"#"," "),"+"," "),"&amp;"," "),"\"," "))&amp;" "</f>
        <v>  </v>
      </c>
      <c r="BG75" s="61" t="n">
        <f aca="false">IFERROR(IF(AND(TRIM(U75)="Pass",SUMPRODUCT((LEN(BC75)-LEN(SUBSTITUTE(BC75," "&amp;L_ResultBad&amp;" "," ")))/(LEN(L_ResultBad)+1))&gt;SUMPRODUCT((LEN(BC75)-LEN(SUBSTITUTE(BC75," "&amp;L_NegPhrase&amp;" "," ")))/(LEN(L_NegPhrase)+1))),1,0),0)</f>
        <v>0</v>
      </c>
      <c r="BH75" s="61" t="n">
        <f aca="false">IFERROR(IF(SUMPRODUCT((LEN(BC75)-LEN(SUBSTITUTE(BC75," "&amp;L_Pending&amp;" "," ")))/(LEN(L_Pending)+1))&gt;SUMPRODUCT((LEN(BC75)-LEN(SUBSTITUTE(BC75," "&amp;L_PendNeg&amp;" "," ")))/(LEN(L_PendNeg)+1))+SUMPRODUCT((LEN(BC75)-LEN(SUBSTITUTE(BC75," "&amp;L_PendPrep&amp;" "," ")))/(LEN(L_PendPrep)+1)),1,0),1)</f>
        <v>0</v>
      </c>
      <c r="BI75" s="61" t="n">
        <f aca="false">IFERROR(IF(SUMPRODUCT((LEN(BD75)-LEN(SUBSTITUTE(BD75," "&amp;L_PendStrict&amp;" "," ")))/(LEN(L_PendStrict)+1))&gt;SUMPRODUCT((LEN(BD75)-LEN(SUBSTITUTE(BD75," "&amp;L_PendNeg&amp;" "," ")))/(LEN(L_PendNeg)+1)),1,0),1)</f>
        <v>0</v>
      </c>
      <c r="BJ75" s="61" t="n">
        <f aca="false">IFERROR(IF(SUMPRODUCT((LEN(BE75)-LEN(SUBSTITUTE(BE75," "&amp;L_Pending&amp;" "," ")))/(LEN(L_Pending)+1))&gt;SUMPRODUCT((LEN(BE75)-LEN(SUBSTITUTE(BE75," "&amp;L_PendNeg&amp;" "," ")))/(LEN(L_PendNeg)+1))+SUMPRODUCT((LEN(BE75)-LEN(SUBSTITUTE(BE75," "&amp;L_PendPrep&amp;" "," ")))/(LEN(L_PendPrep)+1)),1,0),1)</f>
        <v>0</v>
      </c>
      <c r="BK75" s="61" t="n">
        <f aca="false">IFERROR(IF(SUMPRODUCT((LEN(BF75)-LEN(SUBSTITUTE(BF75," "&amp;L_PendStrict&amp;" "," ")))/(LEN(L_PendStrict)+1))&gt;SUMPRODUCT((LEN(BF75)-LEN(SUBSTITUTE(BF75," "&amp;L_PendNeg&amp;" "," ")))/(LEN(L_PendNeg)+1)),1,0),1)</f>
        <v>0</v>
      </c>
      <c r="BL75" s="61" t="n">
        <f aca="false">IF(ISNA(MATCH(TRIM(S75),L_EvidenceType,0)),0,BZ75)</f>
        <v>0</v>
      </c>
      <c r="BM75" s="61" t="str">
        <f aca="false">SUBSTITUTE(SUBSTITUTE(SUBSTITUTE(SUBSTITUTE(SUBSTITUTE(SUBSTITUTE(SUBSTITUTE(SUBSTITUTE(SUBSTITUTE(LOWER(Z75&amp;""),"1","0"),"2","0"),"3","0"),"4","0"),"5","0"),"6","0"),"7","0"),"8","0"),"9","0")</f>
        <v/>
      </c>
      <c r="BN75" s="61" t="str">
        <f aca="false">SUBSTITUTE(SUBSTITUTE(SUBSTITUTE(SUBSTITUTE(SUBSTITUTE(SUBSTITUTE(SUBSTITUTE(SUBSTITUTE(SUBSTITUTE(SUBSTITUTE(SUBSTITUTE(SUBSTITUTE(SUBSTITUTE(SUBSTITUTE(SUBSTITUTE(SUBSTITUTE(SUBSTITUTE(SUBSTITUTE(SUBSTITUTE(SUBSTITUTE(SUBSTITUTE(SUBSTITUTE(SUBSTITUTE(SUBSTITUTE(SUBSTITUTE(BM75,"b","a"),"c","a"),"d","a"),"e","a"),"f","a"),"g","a"),"h","a"),"i","a"),"j","a"),"k","a"),"l","a"),"m","a"),"n","a"),"o","a"),"p","a"),"q","a"),"r","a"),"s","a"),"t","a"),"u","a"),"v","a"),"w","a"),"x","a"),"y","a"),"z","a")</f>
        <v/>
      </c>
      <c r="BO75" s="61" t="str">
        <f aca="false">SUBSTITUTE(SUBSTITUTE(SUBSTITUTE(SUBSTITUTE(SUBSTITUTE(SUBSTITUTE(SUBSTITUTE(SUBSTITUTE(SUBSTITUTE(LOWER(W75&amp;""),"1","0"),"2","0"),"3","0"),"4","0"),"5","0"),"6","0"),"7","0"),"8","0"),"9","0")</f>
        <v/>
      </c>
      <c r="BP75" s="61" t="str">
        <f aca="false">SUBSTITUTE(SUBSTITUTE(SUBSTITUTE(SUBSTITUTE(SUBSTITUTE(SUBSTITUTE(SUBSTITUTE(SUBSTITUTE(SUBSTITUTE(SUBSTITUTE(SUBSTITUTE(SUBSTITUTE(SUBSTITUTE(SUBSTITUTE(SUBSTITUTE(SUBSTITUTE(SUBSTITUTE(SUBSTITUTE(SUBSTITUTE(SUBSTITUTE(SUBSTITUTE(SUBSTITUTE(SUBSTITUTE(SUBSTITUTE(SUBSTITUTE(BO75,"b","a"),"c","a"),"d","a"),"e","a"),"f","a"),"g","a"),"h","a"),"i","a"),"j","a"),"k","a"),"l","a"),"m","a"),"n","a"),"o","a"),"p","a"),"q","a"),"r","a"),"s","a"),"t","a"),"u","a"),"v","a"),"w","a"),"x","a"),"y","a"),"z","a")</f>
        <v/>
      </c>
      <c r="BQ75" s="61" t="n">
        <f aca="false">IFERROR(IF(AND(ISERROR(SEARCH(" mh"," "&amp;LOWER(W75))),ISNA(MATCH(LEFT(TRIM(BP75),255),{"0000a","000a","00a","0000aa","000aa","00aa","0aa","0000aaa","000aaa","00a00","0a00","0000-0000","00:00","a00","a0","00.00.0000","00/00/0000","00-00-0000","0000-00-00","0000/00/00","0000.00.00","00.00.00","00/00/00","00-00-00","0.00.0000","0/00/0000","0-00-0000"},0)),ISNA(MATCH(LEFT(TRIM(CA75),255),{"0000a","000a","00a","0000aa","000aa","00aa","0aa","0000aaa","000aaa","00a00","0a00","0000-0000","00:00","a00","a0","00.00.0000","00/00/0000","00-00-0000","0000-00-00","0000/00/00","0000.00.00","00.00.00","00/00/00","00-00-00","0.00.0000","0/00/0000","0-00-0000"},0)),LEN(CB75)&gt;=3,NOT(OR(SUBSTITUTE(CB75,"0","")="",AND(LEN(CB75)&gt;=4,CB75=REPT(LEFT(CB75),LEN(CB75))),ISNUMBER(MATCH(CB75,{"123","1234","12345","123456","1234567","12345678","0123","01234","012345","98765","987654","54321"},0)),AND(LEN(CB75)=8,LEFT(CB75,3)="202"))),OR(AND((LEN(CA75)-LEN(SUBSTITUTE(CA75,"a","")))&gt;=1,SUMPRODUCT(--ISNUMBER(SEARCH({"a0","a-0","a_0","a/0","a.0","a#0","0a","0-a","0_a","0/a"},BP75)))&gt;0),ISNUMBER(SEARCH("000000",BP75)))),1,0),0)</f>
        <v>0</v>
      </c>
      <c r="BR75" s="61" t="n">
        <f aca="false">IFERROR(LEN(SUBSTITUTE(CC75," ",""))-SUMPRODUCT((LEN(CC75)-LEN(SUBSTITUTE(CC75," "&amp;L_Role&amp;" "," ")))/(LEN(L_Role)+1)*LEN(L_Role)),0)</f>
        <v>0</v>
      </c>
      <c r="BS75" s="61" t="n">
        <f aca="false">IFERROR(LEN(SUBSTITUTE(CD75," ",""))-SUMPRODUCT((LEN(CD75)-LEN(SUBSTITUTE(CD75," "&amp;L_Role&amp;" "," ")))/(LEN(L_Role)+1)*LEN(L_Role)),0)</f>
        <v>0</v>
      </c>
      <c r="BT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75,"revision",""),"version",""),"jan",""),"feb",""),"mar",""),"apr",""),"may",""),"jun",""),"jul",""),"aug",""),"sep",""),"oct",""),"nov",""),"dec",""),"utc",""),"gmt",""),"myt",""),"bst",""),"rev",""),"ver",""),"b","a"),"c","a"),"d","a"),"e","a"),"f","a"),"g","a"),"h","a"),"i","a"),"j","a"),"k","a"),"l","a"),"m","a"),"n","a"),"o","a"),"p","a"),"q","a"),"r","a"),"s","a"),"t","a"),"u","a"),"v","a"),"w","a"),"x","a"),"y","a"),"z","a")</f>
        <v/>
      </c>
      <c r="BU75" s="61" t="str">
        <f aca="false">SUBSTITUTE(SUBSTITUTE(SUBSTITUTE(SUBSTITUTE(SUBSTITUTE(SUBSTITUTE(SUBSTITUTE(SUBSTITUTE(SUBSTITUTE(SUBSTITUTE(LEFT(BM75,FIND("0",BM75&amp;"0")-1),"-",""),"_",""),"/",""),".",""),"#",""),"\\",""),":","")," ",""),"(",""),")","")</f>
        <v/>
      </c>
      <c r="BV75" s="61" t="n">
        <f aca="false">0</f>
        <v>0</v>
      </c>
      <c r="BW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75&amp;""),"a",""),"b",""),"c",""),"d",""),"e",""),"f",""),"g",""),"h",""),"i",""),"j",""),"k",""),"l",""),"m",""),"n",""),"o",""),"p",""),"q",""),"r",""),"s",""),"t",""),"u",""),"v",""),"w",""),"x",""),"y",""),"z",""),"-",""),"_",""),"/",""),".",""),"#",""),"\\",""),":","")," ",""),"(",""),")","")</f>
        <v/>
      </c>
      <c r="BX75" s="61" t="str">
        <f aca="false">SUBSTITUTE(SUBSTITUTE(SUBSTITUTE(SUBSTITUTE(SUBSTITUTE(SUBSTITUTE(SUBSTITUTE(SUBSTITUTE(SUBSTITUTE(SUBSTITUTE(SUBSTITUTE(BM75,"0",""),"-",""),"_",""),"/",""),".",""),"#",""),"\\",""),":","")," ",""),"(",""),")","")</f>
        <v/>
      </c>
      <c r="BY75" s="62" t="n">
        <f aca="false">Q75-T7EarlyD*24/24</f>
        <v>46284.3784722222</v>
      </c>
      <c r="BZ75" s="61" t="n">
        <f aca="false">IFERROR(IF(IF(TRIM(S75)="Link / file path",AND(LEN(TRIM(Z75))&gt;=5,SUMPRODUCT(--ISNUMBER(SEARCH({"http","www.","\\",":\",".pdf",".jpg",".jpeg",".png",".heic",".xls",".doc",".msg",".eml",".ppt",".txt",".zip"},Z75)))&gt;0),AND(ISERROR(FIND(" ",TRIM(Z75))),NOT(OR(SUMPRODUCT(--ISNUMBER(FIND({",",";","&amp;","+"},Z75)))&gt;0,SUMPRODUCT(--ISNUMBER(SEARCH({"0/aa","0\\aa"},BN75)))&gt;0)),NOT(SUMPRODUCT(--ISNUMBER(SEARCH({"http","www.","\\",":\",".pdf",".jpg",".jpeg",".png",".heic",".xls",".doc",".msg",".eml",".ppt",".txt",".zip"},Z75)))&gt;0),NOT(LOWER(TRIM(Z75))=LOWER(Flights!$F$7)),ISNA(MATCH(BU75,{"mh","rev","revision","ver","version","v","r","a","b","seat","tray","row","gate","bay","stand","page","pg","item","line","no","cart","galley","flight","flt","table","box","bag","oven","etd","eta","std","sta","atd","ata","qty","pax","x","time","tel","ph","mob","day","wk","week","utc","gmt","myt","lt"},0)),NOT(OR(ISNUMBER(MATCH(LEFT(BN75,255),{"0000a","000a","00a","0000aa","000aa","00aa","0aa","0000aaa","000aaa","00a00","0a00","0000-0000","00:00","a00","a0","00.00.0000","00/00/0000","00-00-0000","0000-00-00","0000/00/00","0000.00.00","00.00.00","00/00/00","00-00-00","0.00.0000","0/00/0000","0-00-0000"},0)),ISNUMBER(MATCH(LEFT(BT75,255),{"0000a","000a","00a","0000aa","000aa","00aa","0aa","0000aaa","000aaa","00a00","0a00","0000-0000","00:00","a00","a0","00.00.0000","00/00/0000","00-00-0000","0000-00-00","0000/00/00","0000.00.00","00.00.00","00/00/00","00-00-00","0.00.0000","0/00/0000","0-00-0000"},0)))),NOT(OR(AND(BW75&lt;&gt;"",SUBSTITUTE(BW75,"0","")=""),AND(LEN(BW75)&gt;=4,BW75=REPT(LEFT(BW75),LEN(BW75))),ISNUMBER(MATCH(BW75,{"123","1234","12345","123456","1234567","12345678","0123","01234","012345","98765","987654","54321"},0)),ISNUMBER(MATCH(BX75,{"x","xx","xxx","xxxx","xxxxx","abc","abcd","nil","na","nan","test","tbc","tba","tbd","dummy","sample","example","eg","zz","zzz","none","null","xyz","qwe","asd","id","ref"},0)),AND(LEN(BW75)=8,BX75="",OR(LEFT(BW75,3)="202",ISNUMBER(MATCH(RIGHT(BW75,4),{"2025","2026","2027"},0)))))),OR(AND((LEN(BT75)-LEN(SUBSTITUTE(BT75,"a","")))&gt;=1,(LEN(BN75)-LEN(SUBSTITUTE(BN75,"0","")))&gt;=2,SUMPRODUCT(--ISNUMBER(SEARCH({"a0","a-0","a_0","a/0","a.0","a#0","0a","0-a","0_a","0/a"},BN75)))&gt;0),AND((LEN(BN75)-LEN(SUBSTITUTE(BN75,"a","")))=0,(LEN(BN75)-LEN(SUBSTITUTE(BN75,"0","")))&gt;=5)))),1,0),0)</f>
        <v>0</v>
      </c>
      <c r="CA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75,"revision",""),"version",""),"jan",""),"feb",""),"mar",""),"apr",""),"may",""),"jun",""),"jul",""),"aug",""),"sep",""),"oct",""),"nov",""),"dec",""),"utc",""),"gmt",""),"myt",""),"bst",""),"rev",""),"ver",""),"b","a"),"c","a"),"d","a"),"e","a"),"f","a"),"g","a"),"h","a"),"i","a"),"j","a"),"k","a"),"l","a"),"m","a"),"n","a"),"o","a"),"p","a"),"q","a"),"r","a"),"s","a"),"t","a"),"u","a"),"v","a"),"w","a"),"x","a"),"y","a"),"z","a")</f>
        <v/>
      </c>
      <c r="CB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75&amp;""),"a",""),"b",""),"c",""),"d",""),"e",""),"f",""),"g",""),"h",""),"i",""),"j",""),"k",""),"l",""),"m",""),"n",""),"o",""),"p",""),"q",""),"r",""),"s",""),"t",""),"u",""),"v",""),"w",""),"x",""),"y",""),"z",""),"-",""),"_",""),"/",""),".",""),"#",""),"\\",""),":","")," ",""),"(",""),")","")</f>
        <v/>
      </c>
      <c r="CC75" s="0" t="str">
        <f aca="false">" "&amp;TRIM(SUBSTITUTE(SUBSTITUTE(SUBSTITUTE(SUBSTITUTE(SUBSTITUTE(SUBSTITUTE(SUBSTITUTE(SUBSTITUTE(SUBSTITUTE(SUBSTITUTE(SUBSTITUTE(SUBSTITUTE(SUBSTITUTE(SUBSTITUTE(SUBSTITUTE(SUBSTITUTE(SUBSTITUTE(SUBSTITUTE(SUBSTITUTE(SUBSTITUTE(SUBSTITUTE(SUBSTITUTE(SUBSTITUTE(SUBSTITUTE(LOWER(T75&amp;""),CHAR(10)," "),CHAR(13)," "),CHAR(9)," "),CHAR(160)," "),"."," "),","," "),"-"," "),"/"," "),"("," "),")"," "),":"," "),";"," "),"_"," "),"–"," "),"?"," "),"!"," "),"*"," "),"["," "),"]"," "),"'"," "),"#"," "),"+"," "),"&amp;"," "),"\"," "))&amp;" "</f>
        <v>  </v>
      </c>
      <c r="CD75" s="0" t="str">
        <f aca="false">" "&amp;TRIM(SUBSTITUTE(SUBSTITUTE(SUBSTITUTE(SUBSTITUTE(SUBSTITUTE(SUBSTITUTE(SUBSTITUTE(SUBSTITUTE(SUBSTITUTE(SUBSTITUTE(SUBSTITUTE(SUBSTITUTE(SUBSTITUTE(SUBSTITUTE(SUBSTITUTE(SUBSTITUTE(SUBSTITUTE(SUBSTITUTE(SUBSTITUTE(SUBSTITUTE(SUBSTITUTE(SUBSTITUTE(SUBSTITUTE(SUBSTITUTE(LOWER(AE75&amp;""),CHAR(10)," "),CHAR(13)," "),CHAR(9)," "),CHAR(160)," "),"."," "),","," "),"-"," "),"/"," "),"("," "),")"," "),":"," "),";"," "),"_"," "),"–"," "),"?"," "),"!"," "),"*"," "),"["," "),"]"," "),"'"," "),"#"," "),"+"," "),"&amp;"," "),"\"," "))&amp;" "</f>
        <v>  </v>
      </c>
      <c r="CE75" s="68" t="n">
        <f aca="false">IFERROR(IF(AND(LEN(AU75)&gt;0,LEN(AU75)=LEN(AX75),OR(TRIM(MID(SUBSTITUTE(TRIM(CC75)," ",REPT(" ",60)),1,60))="",ISNUMBER(SEARCH(" "&amp;TRIM(MID(SUBSTITUTE(TRIM(CC75)," ",REPT(" ",60)),1,60))&amp;" ",CD75))),OR(TRIM(MID(SUBSTITUTE(TRIM(CC75)," ",REPT(" ",60)),61,60))="",ISNUMBER(SEARCH(" "&amp;TRIM(MID(SUBSTITUTE(TRIM(CC75)," ",REPT(" ",60)),61,60))&amp;" ",CD75))),OR(TRIM(MID(SUBSTITUTE(TRIM(CC75)," ",REPT(" ",60)),121,60))="",ISNUMBER(SEARCH(" "&amp;TRIM(MID(SUBSTITUTE(TRIM(CC75)," ",REPT(" ",60)),121,60))&amp;" ",CD75)))),1,0),0)</f>
        <v>0</v>
      </c>
      <c r="CG75" s="68" t="n">
        <f aca="false">IFERROR(LEN(SUBSTITUTE(BF75," ",""))-SUMPRODUCT((LEN(BF75)-LEN(SUBSTITUTE(BF75," "&amp;L_NAFiller&amp;" "," ")))/(LEN(L_NAFiller)+1)*LEN(L_NAFiller)),0)</f>
        <v>0</v>
      </c>
    </row>
    <row r="76" customFormat="false" ht="39.75" hidden="false" customHeight="true" outlineLevel="0" collapsed="false">
      <c r="A76" s="57" t="s">
        <v>563</v>
      </c>
      <c r="B76" s="57" t="s">
        <v>212</v>
      </c>
      <c r="C76" s="57" t="str">
        <f aca="false">Flights!$F$7</f>
        <v>MH0720</v>
      </c>
      <c r="D76" s="58" t="n">
        <f aca="false">Flights!$D$7</f>
        <v>46305</v>
      </c>
      <c r="E76" s="57" t="str">
        <f aca="false">Flights!$G$7&amp;"-"&amp;Flights!$H$7</f>
        <v>CGK-KUL</v>
      </c>
      <c r="F76" s="57" t="str">
        <f aca="false">Flights!$K$7</f>
        <v>EY</v>
      </c>
      <c r="G76" s="57" t="s">
        <v>81</v>
      </c>
      <c r="H76" s="57" t="s">
        <v>378</v>
      </c>
      <c r="I76" s="57" t="s">
        <v>405</v>
      </c>
      <c r="J76" s="57" t="s">
        <v>409</v>
      </c>
      <c r="K76" s="67" t="s">
        <v>407</v>
      </c>
      <c r="L76" s="67" t="s">
        <v>382</v>
      </c>
      <c r="M76" s="67"/>
      <c r="N76" s="67" t="s">
        <v>383</v>
      </c>
      <c r="O76" s="67"/>
      <c r="P76" s="57" t="s">
        <v>201</v>
      </c>
      <c r="Q76" s="59" t="n">
        <f aca="false">ROUND((Flights!$AC$7)*1440,0)/1440</f>
        <v>46298.3784722222</v>
      </c>
      <c r="R76" s="59" t="n">
        <f aca="false">Q76+(IF(AND(INDEX(TZ_DSTS,MATCH(P76,TZ_STN,0))&lt;&gt;"",Q76&gt;=INDEX(TZ_DSTS,MATCH(P76,TZ_STN,0)),Q76&lt;INDEX(TZ_DSTE,MATCH(P76,TZ_STN,0))),INDEX(TZ_DST,MATCH(P76,TZ_STN,0)),INDEX(TZ_STD,MATCH(P76,TZ_STN,0))))/24</f>
        <v>46298.6701388889</v>
      </c>
      <c r="S76" s="60"/>
      <c r="T76" s="60"/>
      <c r="U76" s="60"/>
      <c r="V76" s="60"/>
      <c r="W76" s="61"/>
      <c r="X76" s="60"/>
      <c r="Y76" s="60"/>
      <c r="Z76" s="60"/>
      <c r="AA76" s="60"/>
      <c r="AB76" s="60"/>
      <c r="AC76" s="60"/>
      <c r="AD76" s="66"/>
      <c r="AE76" s="60"/>
      <c r="AF76" s="61" t="str">
        <f aca="false">IF(AND(ISNUMBER(X76),ISNUMBER(Y76)),Y76-X76,"")</f>
        <v/>
      </c>
      <c r="AG76" s="62" t="str">
        <f aca="false">IF(ISNUMBER(AD76),AD76-(IF(AND(INDEX(TZ_DSTS,MATCH(P76,TZ_STN,0))&lt;&gt;"",(AD76-INDEX(TZ_STD,MATCH(P76,TZ_STN,0))/24)&gt;=INDEX(TZ_DSTS,MATCH(P76,TZ_STN,0)),(AD76-INDEX(TZ_STD,MATCH(P76,TZ_STN,0))/24)&lt;INDEX(TZ_DSTE,MATCH(P76,TZ_STN,0))),INDEX(TZ_DST,MATCH(P76,TZ_STN,0)),INDEX(TZ_STD,MATCH(P76,TZ_STN,0))))/24,"")</f>
        <v/>
      </c>
      <c r="AH76" s="65" t="str">
        <f aca="false">IFERROR(IF(N76="N/A – rule",IF(OR(TRIM(U76)="",TRIM(U76)="N/A",TRIM(U76)="Not started"),"N/A – RULE","INVALID – this check does not apply to this aircraft: clear the status (or correct the fleet on Flights)"),IF(TRIM(U76)="N/A",IF(AT76=0,"INVALID – N/A not permitted for this check",IF(AND(TRIM(AB76)&lt;&gt;"",TRIM(AB76)&lt;&gt;"Closed"),"INVALID – corrective action still open",IF(AND(NOT(OR(LEN(AZ76)&lt;15,ISNUMBER(MATCH(AZ76,L_Placeholder,0)))),BK76=0,CG76&gt;=8,NOT(OR(LEN(AU76)&lt;2,ISNUMBER(MATCH(AU76,L_Placeholder,0)))),BR76&gt;=3,NOT(OR(LEN(AX76)&lt;2,ISNUMBER(MATCH(AX76,L_Placeholder,0)))),BS76&gt;=3,TRIM(AE76)&lt;&gt;TRIM(T76),AX76&lt;&gt;AU76,CE76=0),"N/A – JUSTIFIED","INVALID – N/A needs a real, settled reason (not 'not applicable' / 'as above' / TBC), a named PIC and a different named verifier"))),IF(OR(TRIM(U76)="Pass",TRIM(U76)="Pass after CA"),IF(NOT(ISNUMBER(AD76)),"INVALID – completion time missing",IF(OR(OR(LEN(AU76)&lt;2,ISNUMBER(MATCH(AU76,L_Placeholder,0))),BR76&lt;3),"INVALID – PIC missing or not a named person (a role such as QA / CSM is not a name)",IF(OR(LEN(AV76)&lt;2,ISNUMBER(MATCH(AV76,L_Placeholder,0))),"INVALID – result / assessment missing",IF(OR(OR(LEN(AW76)&lt;3,ISNUMBER(MATCH(AW76,L_Placeholder,0))),SUMPRODUCT(--ISNUMBER(SEARCH(" "&amp;L_EvidencePhrase&amp;" ",BD76)))&gt;0,BI76=1),"INVALID – evidence missing, placeholder or not yet on file",IF(ISNA(MATCH(TRIM(S76),L_EvidenceType,0)),"INVALID – choose the evidence type from the list (column S)",IF(BL76=0,"INVALID – evidence ID must be the record's own ID only (e.g. SF-2210, IMG_2231, 1045521); a link / file name needs type 'Link / file path'",IF(OR(OR(LEN(AX76)&lt;2,ISNUMBER(MATCH(AX76,L_Placeholder,0))),BS76&lt;3),"INVALID – verifier missing or not a named person (a role such as QA / CSM is not a name)",IF(OR(AX76=AU76,CE76=1,AND(LEN(AU76)&gt;=4,ISNUMBER(SEARCH(AU76,AX76))),AND(LEN(AX76)&gt;=4,ISNUMBER(SEARCH(AX76,AU76)))),"INVALID – verifier must be a different, named person (not the PIC or a role)",IF(BH76=1,"INVALID – result not yet available (awaiting / TBC)",IF(BG76=1,"INVALID – result describes a problem: record Fail, then Pass after CA (or reword if it is not a problem)",IF(BV76=1,"INVALID – wording says not on board: an on-board confirmation needs the item loaded",IF(AND(AQ76=1,OR(OR(LEN(AY76)&lt;3,ISNUMBER(MATCH(AY76,L_Placeholder,0))),BJ76=1,BQ76=0)),"INVALID – batch ID missing, placeholder or not an ID (e.g. PASB-261008-BC-017)",IF(AND(AR76=1,OR(NOT(ISNUMBER(X76)),NOT(ISNUMBER(Y76)))),"INVALID – expected/actual qty missing",IF(AND(AR76=1,OR(X76&lt;=0,Y76&lt;0)),"INVALID – expected qty must be above 0 and actual not negative",IF(BB76&lt;&gt;"",BB76,IF(AND(AS76=1,Documents!$J$7&lt;&gt;"ON FILE"),"INVALID – GLD not on file (Documents sheet)",IF(AND(AS76=2,Documents!$O$7&lt;&gt;"ON FILE"),"INVALID – menu checklist not on file (Documents sheet)",IF(AND(AS76=3,NOT(ISNUMBER(Flights!$AX$7))),"INVALID – enter carrying flight KUL departure (Flights AX)",IF(AND(AS76=3,OR(Flights!$AZ$7&gt;Flights!$AA$7,Flights!$AX$7&lt;Flights!$AA$7-3)),"INVALID – carrying flight (Flights AX) cannot arrive before this leg's STD, or is over 3 days early",IF(AG76&gt;AsOfUTC,"INVALID – completion time is in the future",IF(AND(ISNUMBER(BY76),AG76&lt;BY76),IF(H76="Physical uplift","INVALID – before uplift window (cannot confirm loading)","INVALID – before valid window"),IF(AG76&gt;Flights!$AA$7,"INVALID – completed after departure (cannot establish readiness)",IF(AND(H76="Preparation",AG76&gt;=IF(ISNUMBER(Flights!$BA$7),MIN(Flights!$BA$7,Flights!$AA$7),Flights!$AA$7)),"INVALID – completed after loading / departure (cannot establish readiness)",IF(AND(H76="Physical uplift",AG76&gt;Q76),"INVALID – recorded after the loading flight departed",IF(AG76&gt;Q76,"COMPLETE – LATE","COMPLETE"))))))))))))))))))))))))),IF(TRIM(U76)="Fail","FAIL – DISCREPANCY",IF(AND(TRIM(U76)&lt;&gt;"",TRIM(U76)&lt;&gt;"Not started",TRIM(U76)&lt;&gt;"In progress"),"INVALID – unrecognised status (use the list)",IF(AsOfUTC&gt;Q76,"OVERDUE",IF(N76="Clarification required","OPEN – CLARIFICATION","OPEN"))))))),"INVALID – error value in an input cell")</f>
        <v>OPEN</v>
      </c>
      <c r="AI76" s="61" t="n">
        <f aca="false">IF(OR(AH76="N/A – RULE",AH76="N/A – JUSTIFIED"),0,1)</f>
        <v>1</v>
      </c>
      <c r="AJ76" s="61" t="n">
        <f aca="false">IF(LEFT(AH76,8)="COMPLETE",1,0)</f>
        <v>0</v>
      </c>
      <c r="AK76" s="61" t="n">
        <f aca="false">IF(AND(AI76=1,AJ76=0,AsOfUTC&gt;Q76),1,0)</f>
        <v>0</v>
      </c>
      <c r="AL76" s="61" t="n">
        <f aca="false">IFERROR(IF(AND(AI76=1,OR(TRIM(U76)="Fail",AND(TRIM(AB76)&lt;&gt;"",TRIM(AB76)&lt;&gt;"Closed"),AND(ISNUMBER(AF76),AF76&lt;&gt;0,TRIM(U76)&lt;&gt;"Pass after CA"))),1,0),1)</f>
        <v>0</v>
      </c>
      <c r="AM76" s="61" t="n">
        <f aca="false">IF(LEFT(AH76,7)="INVALID",1,0)</f>
        <v>0</v>
      </c>
      <c r="AN76" s="61" t="n">
        <f aca="false">IF(AND(N76="Clarification required",AI76=1,AJ76=0),1,0)</f>
        <v>0</v>
      </c>
      <c r="AO76" s="61" t="str">
        <f aca="false">IF(AK76=1,SUM(AK$5:AK76),"")</f>
        <v/>
      </c>
      <c r="AP76" s="61" t="str">
        <f aca="false">IF(AL76=1,SUM(AL$5:AL76),"")</f>
        <v/>
      </c>
      <c r="AQ76" s="61" t="n">
        <v>0</v>
      </c>
      <c r="AR76" s="61" t="n">
        <v>0</v>
      </c>
      <c r="AS76" s="61" t="n">
        <v>2</v>
      </c>
      <c r="AT76" s="61" t="n">
        <v>0</v>
      </c>
      <c r="AU76" s="61" t="str">
        <f aca="false">SUBSTITUTE(SUBSTITUTE(SUBSTITUTE(SUBSTITUTE(SUBSTITUTE(SUBSTITUTE(SUBSTITUTE(SUBSTITUTE(SUBSTITUTE(SUBSTITUTE(SUBSTITUTE(SUBSTITUTE(SUBSTITUTE(SUBSTITUTE(SUBSTITUTE(SUBSTITUTE(LOWER(T76&amp;""),CHAR(10),""),CHAR(13),""),CHAR(9),""),CHAR(160),"")," ",""),".",""),"-",""),"/",""),"?",""),"_",""),",",""),"[",""),"]",""),"(",""),")",""),"*","")</f>
        <v/>
      </c>
      <c r="AV76" s="61" t="str">
        <f aca="false">SUBSTITUTE(SUBSTITUTE(SUBSTITUTE(SUBSTITUTE(SUBSTITUTE(SUBSTITUTE(SUBSTITUTE(SUBSTITUTE(SUBSTITUTE(SUBSTITUTE(SUBSTITUTE(SUBSTITUTE(SUBSTITUTE(SUBSTITUTE(SUBSTITUTE(SUBSTITUTE(LOWER(V76&amp;""),CHAR(10),""),CHAR(13),""),CHAR(9),""),CHAR(160),"")," ",""),".",""),"-",""),"/",""),"?",""),"_",""),",",""),"[",""),"]",""),"(",""),")",""),"*","")</f>
        <v/>
      </c>
      <c r="AW76" s="61" t="str">
        <f aca="false">SUBSTITUTE(SUBSTITUTE(SUBSTITUTE(SUBSTITUTE(SUBSTITUTE(SUBSTITUTE(SUBSTITUTE(SUBSTITUTE(SUBSTITUTE(SUBSTITUTE(SUBSTITUTE(SUBSTITUTE(SUBSTITUTE(SUBSTITUTE(SUBSTITUTE(SUBSTITUTE(LOWER(Z76&amp;""),CHAR(10),""),CHAR(13),""),CHAR(9),""),CHAR(160),"")," ",""),".",""),"-",""),"/",""),"?",""),"_",""),",",""),"[",""),"]",""),"(",""),")",""),"*","")</f>
        <v/>
      </c>
      <c r="AX76" s="61" t="str">
        <f aca="false">SUBSTITUTE(SUBSTITUTE(SUBSTITUTE(SUBSTITUTE(SUBSTITUTE(SUBSTITUTE(SUBSTITUTE(SUBSTITUTE(SUBSTITUTE(SUBSTITUTE(SUBSTITUTE(SUBSTITUTE(SUBSTITUTE(SUBSTITUTE(SUBSTITUTE(SUBSTITUTE(LOWER(AE76&amp;""),CHAR(10),""),CHAR(13),""),CHAR(9),""),CHAR(160),"")," ",""),".",""),"-",""),"/",""),"?",""),"_",""),",",""),"[",""),"]",""),"(",""),")",""),"*","")</f>
        <v/>
      </c>
      <c r="AY76" s="61" t="str">
        <f aca="false">SUBSTITUTE(SUBSTITUTE(SUBSTITUTE(SUBSTITUTE(SUBSTITUTE(SUBSTITUTE(SUBSTITUTE(SUBSTITUTE(SUBSTITUTE(SUBSTITUTE(SUBSTITUTE(SUBSTITUTE(SUBSTITUTE(SUBSTITUTE(SUBSTITUTE(SUBSTITUTE(LOWER(W76&amp;""),CHAR(10),""),CHAR(13),""),CHAR(9),""),CHAR(160),"")," ",""),".",""),"-",""),"/",""),"?",""),"_",""),",",""),"[",""),"]",""),"(",""),")",""),"*","")</f>
        <v/>
      </c>
      <c r="AZ76" s="61" t="str">
        <f aca="false">SUBSTITUTE(SUBSTITUTE(SUBSTITUTE(SUBSTITUTE(SUBSTITUTE(SUBSTITUTE(SUBSTITUTE(SUBSTITUTE(SUBSTITUTE(SUBSTITUTE(SUBSTITUTE(SUBSTITUTE(SUBSTITUTE(SUBSTITUTE(SUBSTITUTE(SUBSTITUTE(LOWER(AC76&amp;""),CHAR(10),""),CHAR(13),""),CHAR(9),""),CHAR(160),"")," ",""),".",""),"-",""),"/",""),"?",""),"_",""),",",""),"[",""),"]",""),"(",""),")",""),"*","")</f>
        <v/>
      </c>
      <c r="BA76" s="61" t="str">
        <f aca="false">SUBSTITUTE(SUBSTITUTE(SUBSTITUTE(SUBSTITUTE(SUBSTITUTE(SUBSTITUTE(SUBSTITUTE(SUBSTITUTE(SUBSTITUTE(SUBSTITUTE(SUBSTITUTE(SUBSTITUTE(SUBSTITUTE(SUBSTITUTE(SUBSTITUTE(SUBSTITUTE(LOWER(AA76&amp;""),CHAR(10),""),CHAR(13),""),CHAR(9),""),CHAR(160),"")," ",""),".",""),"-",""),"/",""),"?",""),"_",""),",",""),"[",""),"]",""),"(",""),")",""),"*","")</f>
        <v/>
      </c>
      <c r="BB76" s="61" t="str">
        <f aca="false">IF(AND(TRIM(U76)="Pass",ISNUMBER(AF76)),IF(AF76&lt;&gt;0,"INVALID – qty variance: use Fail or Pass after CA",""),"")&amp;IF(AND(TRIM(U76)="Pass after CA",ISNUMBER(AF76)),IF(AF76&lt;&gt;0,"INVALID – after the corrective action the actual qty must equal expected (update Actual)",""),"")&amp;IF(AND(TRIM(U76)="Pass",TRIM(AB76)&lt;&gt;"",TRIM(AB76)&lt;&gt;"Closed"),"INVALID – corrective action not closed: use Fail, then Pass after CA","")&amp;IF(AND(LEN(BA76)&gt;=2,ISNA(MATCH(LEFT(BA76,255),L_Placeholder,0)),TRIM(AB76)=""),"INVALID – CA status missing for the recorded corrective action","")&amp;IF(AND(TRIM(U76)="Pass after CA",OR(OR(LEN(BA76)&lt;5,ISNUMBER(MATCH(BA76,L_Placeholder,0))),TRIM(AB76)&lt;&gt;"Closed")),"INVALID – corrective action not recorded/closed","")</f>
        <v/>
      </c>
      <c r="BC76" s="61" t="str">
        <f aca="false">" "&amp;TRIM(SUBSTITUTE(SUBSTITUTE(SUBSTITUTE(SUBSTITUTE(SUBSTITUTE(SUBSTITUTE(SUBSTITUTE(SUBSTITUTE(SUBSTITUTE(SUBSTITUTE(SUBSTITUTE(SUBSTITUTE(SUBSTITUTE(SUBSTITUTE(SUBSTITUTE(SUBSTITUTE(SUBSTITUTE(SUBSTITUTE(SUBSTITUTE(SUBSTITUTE(SUBSTITUTE(SUBSTITUTE(SUBSTITUTE(SUBSTITUTE(LOWER(V76&amp;""),CHAR(10)," "),CHAR(13)," "),CHAR(9)," "),CHAR(160)," "),"."," "),","," "),"-"," "),"/"," "),"("," "),")"," "),":"," "),";"," "),"_"," "),"–"," "),"?"," "),"!"," "),"*"," "),"["," "),"]"," "),"'"," "),"#"," "),"+"," "),"&amp;"," "),"\"," "))&amp;" "</f>
        <v>  </v>
      </c>
      <c r="BD76" s="61" t="str">
        <f aca="false">" "&amp;TRIM(SUBSTITUTE(SUBSTITUTE(SUBSTITUTE(SUBSTITUTE(SUBSTITUTE(SUBSTITUTE(SUBSTITUTE(SUBSTITUTE(SUBSTITUTE(SUBSTITUTE(SUBSTITUTE(SUBSTITUTE(SUBSTITUTE(SUBSTITUTE(SUBSTITUTE(SUBSTITUTE(SUBSTITUTE(SUBSTITUTE(SUBSTITUTE(SUBSTITUTE(SUBSTITUTE(SUBSTITUTE(SUBSTITUTE(SUBSTITUTE(LOWER(Z76&amp;""),CHAR(10)," "),CHAR(13)," "),CHAR(9)," "),CHAR(160)," "),"."," "),","," "),"-"," "),"/"," "),"("," "),")"," "),":"," "),";"," "),"_"," "),"–"," "),"?"," "),"!"," "),"*"," "),"["," "),"]"," "),"'"," "),"#"," "),"+"," "),"&amp;"," "),"\"," "))&amp;" "</f>
        <v>  </v>
      </c>
      <c r="BE76" s="61" t="str">
        <f aca="false">" "&amp;TRIM(SUBSTITUTE(SUBSTITUTE(SUBSTITUTE(SUBSTITUTE(SUBSTITUTE(SUBSTITUTE(SUBSTITUTE(SUBSTITUTE(SUBSTITUTE(SUBSTITUTE(SUBSTITUTE(SUBSTITUTE(SUBSTITUTE(SUBSTITUTE(SUBSTITUTE(SUBSTITUTE(SUBSTITUTE(SUBSTITUTE(SUBSTITUTE(SUBSTITUTE(SUBSTITUTE(SUBSTITUTE(SUBSTITUTE(SUBSTITUTE(LOWER(W76&amp;""),CHAR(10)," "),CHAR(13)," "),CHAR(9)," "),CHAR(160)," "),"."," "),","," "),"-"," "),"/"," "),"("," "),")"," "),":"," "),";"," "),"_"," "),"–"," "),"?"," "),"!"," "),"*"," "),"["," "),"]"," "),"'"," "),"#"," "),"+"," "),"&amp;"," "),"\"," "))&amp;" "</f>
        <v>  </v>
      </c>
      <c r="BF76" s="61" t="str">
        <f aca="false">" "&amp;TRIM(SUBSTITUTE(SUBSTITUTE(SUBSTITUTE(SUBSTITUTE(SUBSTITUTE(SUBSTITUTE(SUBSTITUTE(SUBSTITUTE(SUBSTITUTE(SUBSTITUTE(SUBSTITUTE(SUBSTITUTE(SUBSTITUTE(SUBSTITUTE(SUBSTITUTE(SUBSTITUTE(SUBSTITUTE(SUBSTITUTE(SUBSTITUTE(SUBSTITUTE(SUBSTITUTE(SUBSTITUTE(SUBSTITUTE(SUBSTITUTE(LOWER(AC76&amp;""),CHAR(10)," "),CHAR(13)," "),CHAR(9)," "),CHAR(160)," "),"."," "),","," "),"-"," "),"/"," "),"("," "),")"," "),":"," "),";"," "),"_"," "),"–"," "),"?"," "),"!"," "),"*"," "),"["," "),"]"," "),"'"," "),"#"," "),"+"," "),"&amp;"," "),"\"," "))&amp;" "</f>
        <v>  </v>
      </c>
      <c r="BG76" s="61" t="n">
        <f aca="false">IFERROR(IF(AND(TRIM(U76)="Pass",SUMPRODUCT((LEN(BC76)-LEN(SUBSTITUTE(BC76," "&amp;L_ResultBad&amp;" "," ")))/(LEN(L_ResultBad)+1))&gt;SUMPRODUCT((LEN(BC76)-LEN(SUBSTITUTE(BC76," "&amp;L_NegPhrase&amp;" "," ")))/(LEN(L_NegPhrase)+1))),1,0),0)</f>
        <v>0</v>
      </c>
      <c r="BH76" s="61" t="n">
        <f aca="false">IFERROR(IF(SUMPRODUCT((LEN(BC76)-LEN(SUBSTITUTE(BC76," "&amp;L_Pending&amp;" "," ")))/(LEN(L_Pending)+1))&gt;SUMPRODUCT((LEN(BC76)-LEN(SUBSTITUTE(BC76," "&amp;L_PendNeg&amp;" "," ")))/(LEN(L_PendNeg)+1))+SUMPRODUCT((LEN(BC76)-LEN(SUBSTITUTE(BC76," "&amp;L_PendPrep&amp;" "," ")))/(LEN(L_PendPrep)+1)),1,0),1)</f>
        <v>0</v>
      </c>
      <c r="BI76" s="61" t="n">
        <f aca="false">IFERROR(IF(SUMPRODUCT((LEN(BD76)-LEN(SUBSTITUTE(BD76," "&amp;L_PendStrict&amp;" "," ")))/(LEN(L_PendStrict)+1))&gt;SUMPRODUCT((LEN(BD76)-LEN(SUBSTITUTE(BD76," "&amp;L_PendNeg&amp;" "," ")))/(LEN(L_PendNeg)+1)),1,0),1)</f>
        <v>0</v>
      </c>
      <c r="BJ76" s="61" t="n">
        <f aca="false">IFERROR(IF(SUMPRODUCT((LEN(BE76)-LEN(SUBSTITUTE(BE76," "&amp;L_Pending&amp;" "," ")))/(LEN(L_Pending)+1))&gt;SUMPRODUCT((LEN(BE76)-LEN(SUBSTITUTE(BE76," "&amp;L_PendNeg&amp;" "," ")))/(LEN(L_PendNeg)+1))+SUMPRODUCT((LEN(BE76)-LEN(SUBSTITUTE(BE76," "&amp;L_PendPrep&amp;" "," ")))/(LEN(L_PendPrep)+1)),1,0),1)</f>
        <v>0</v>
      </c>
      <c r="BK76" s="61" t="n">
        <f aca="false">IFERROR(IF(SUMPRODUCT((LEN(BF76)-LEN(SUBSTITUTE(BF76," "&amp;L_PendStrict&amp;" "," ")))/(LEN(L_PendStrict)+1))&gt;SUMPRODUCT((LEN(BF76)-LEN(SUBSTITUTE(BF76," "&amp;L_PendNeg&amp;" "," ")))/(LEN(L_PendNeg)+1)),1,0),1)</f>
        <v>0</v>
      </c>
      <c r="BL76" s="61" t="n">
        <f aca="false">IF(ISNA(MATCH(TRIM(S76),L_EvidenceType,0)),0,BZ76)</f>
        <v>0</v>
      </c>
      <c r="BM76" s="61" t="str">
        <f aca="false">SUBSTITUTE(SUBSTITUTE(SUBSTITUTE(SUBSTITUTE(SUBSTITUTE(SUBSTITUTE(SUBSTITUTE(SUBSTITUTE(SUBSTITUTE(LOWER(Z76&amp;""),"1","0"),"2","0"),"3","0"),"4","0"),"5","0"),"6","0"),"7","0"),"8","0"),"9","0")</f>
        <v/>
      </c>
      <c r="BN76" s="61" t="str">
        <f aca="false">SUBSTITUTE(SUBSTITUTE(SUBSTITUTE(SUBSTITUTE(SUBSTITUTE(SUBSTITUTE(SUBSTITUTE(SUBSTITUTE(SUBSTITUTE(SUBSTITUTE(SUBSTITUTE(SUBSTITUTE(SUBSTITUTE(SUBSTITUTE(SUBSTITUTE(SUBSTITUTE(SUBSTITUTE(SUBSTITUTE(SUBSTITUTE(SUBSTITUTE(SUBSTITUTE(SUBSTITUTE(SUBSTITUTE(SUBSTITUTE(SUBSTITUTE(BM76,"b","a"),"c","a"),"d","a"),"e","a"),"f","a"),"g","a"),"h","a"),"i","a"),"j","a"),"k","a"),"l","a"),"m","a"),"n","a"),"o","a"),"p","a"),"q","a"),"r","a"),"s","a"),"t","a"),"u","a"),"v","a"),"w","a"),"x","a"),"y","a"),"z","a")</f>
        <v/>
      </c>
      <c r="BO76" s="61" t="str">
        <f aca="false">SUBSTITUTE(SUBSTITUTE(SUBSTITUTE(SUBSTITUTE(SUBSTITUTE(SUBSTITUTE(SUBSTITUTE(SUBSTITUTE(SUBSTITUTE(LOWER(W76&amp;""),"1","0"),"2","0"),"3","0"),"4","0"),"5","0"),"6","0"),"7","0"),"8","0"),"9","0")</f>
        <v/>
      </c>
      <c r="BP76" s="61" t="str">
        <f aca="false">SUBSTITUTE(SUBSTITUTE(SUBSTITUTE(SUBSTITUTE(SUBSTITUTE(SUBSTITUTE(SUBSTITUTE(SUBSTITUTE(SUBSTITUTE(SUBSTITUTE(SUBSTITUTE(SUBSTITUTE(SUBSTITUTE(SUBSTITUTE(SUBSTITUTE(SUBSTITUTE(SUBSTITUTE(SUBSTITUTE(SUBSTITUTE(SUBSTITUTE(SUBSTITUTE(SUBSTITUTE(SUBSTITUTE(SUBSTITUTE(SUBSTITUTE(BO76,"b","a"),"c","a"),"d","a"),"e","a"),"f","a"),"g","a"),"h","a"),"i","a"),"j","a"),"k","a"),"l","a"),"m","a"),"n","a"),"o","a"),"p","a"),"q","a"),"r","a"),"s","a"),"t","a"),"u","a"),"v","a"),"w","a"),"x","a"),"y","a"),"z","a")</f>
        <v/>
      </c>
      <c r="BQ76" s="61" t="n">
        <f aca="false">IFERROR(IF(AND(ISERROR(SEARCH(" mh"," "&amp;LOWER(W76))),ISNA(MATCH(LEFT(TRIM(BP76),255),{"0000a","000a","00a","0000aa","000aa","00aa","0aa","0000aaa","000aaa","00a00","0a00","0000-0000","00:00","a00","a0","00.00.0000","00/00/0000","00-00-0000","0000-00-00","0000/00/00","0000.00.00","00.00.00","00/00/00","00-00-00","0.00.0000","0/00/0000","0-00-0000"},0)),ISNA(MATCH(LEFT(TRIM(CA76),255),{"0000a","000a","00a","0000aa","000aa","00aa","0aa","0000aaa","000aaa","00a00","0a00","0000-0000","00:00","a00","a0","00.00.0000","00/00/0000","00-00-0000","0000-00-00","0000/00/00","0000.00.00","00.00.00","00/00/00","00-00-00","0.00.0000","0/00/0000","0-00-0000"},0)),LEN(CB76)&gt;=3,NOT(OR(SUBSTITUTE(CB76,"0","")="",AND(LEN(CB76)&gt;=4,CB76=REPT(LEFT(CB76),LEN(CB76))),ISNUMBER(MATCH(CB76,{"123","1234","12345","123456","1234567","12345678","0123","01234","012345","98765","987654","54321"},0)),AND(LEN(CB76)=8,LEFT(CB76,3)="202"))),OR(AND((LEN(CA76)-LEN(SUBSTITUTE(CA76,"a","")))&gt;=1,SUMPRODUCT(--ISNUMBER(SEARCH({"a0","a-0","a_0","a/0","a.0","a#0","0a","0-a","0_a","0/a"},BP76)))&gt;0),ISNUMBER(SEARCH("000000",BP76)))),1,0),0)</f>
        <v>0</v>
      </c>
      <c r="BR76" s="61" t="n">
        <f aca="false">IFERROR(LEN(SUBSTITUTE(CC76," ",""))-SUMPRODUCT((LEN(CC76)-LEN(SUBSTITUTE(CC76," "&amp;L_Role&amp;" "," ")))/(LEN(L_Role)+1)*LEN(L_Role)),0)</f>
        <v>0</v>
      </c>
      <c r="BS76" s="61" t="n">
        <f aca="false">IFERROR(LEN(SUBSTITUTE(CD76," ",""))-SUMPRODUCT((LEN(CD76)-LEN(SUBSTITUTE(CD76," "&amp;L_Role&amp;" "," ")))/(LEN(L_Role)+1)*LEN(L_Role)),0)</f>
        <v>0</v>
      </c>
      <c r="BT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76,"revision",""),"version",""),"jan",""),"feb",""),"mar",""),"apr",""),"may",""),"jun",""),"jul",""),"aug",""),"sep",""),"oct",""),"nov",""),"dec",""),"utc",""),"gmt",""),"myt",""),"bst",""),"rev",""),"ver",""),"b","a"),"c","a"),"d","a"),"e","a"),"f","a"),"g","a"),"h","a"),"i","a"),"j","a"),"k","a"),"l","a"),"m","a"),"n","a"),"o","a"),"p","a"),"q","a"),"r","a"),"s","a"),"t","a"),"u","a"),"v","a"),"w","a"),"x","a"),"y","a"),"z","a")</f>
        <v/>
      </c>
      <c r="BU76" s="61" t="str">
        <f aca="false">SUBSTITUTE(SUBSTITUTE(SUBSTITUTE(SUBSTITUTE(SUBSTITUTE(SUBSTITUTE(SUBSTITUTE(SUBSTITUTE(SUBSTITUTE(SUBSTITUTE(LEFT(BM76,FIND("0",BM76&amp;"0")-1),"-",""),"_",""),"/",""),".",""),"#",""),"\\",""),":","")," ",""),"(",""),")","")</f>
        <v/>
      </c>
      <c r="BV76" s="61" t="n">
        <f aca="false">0</f>
        <v>0</v>
      </c>
      <c r="BW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76&amp;""),"a",""),"b",""),"c",""),"d",""),"e",""),"f",""),"g",""),"h",""),"i",""),"j",""),"k",""),"l",""),"m",""),"n",""),"o",""),"p",""),"q",""),"r",""),"s",""),"t",""),"u",""),"v",""),"w",""),"x",""),"y",""),"z",""),"-",""),"_",""),"/",""),".",""),"#",""),"\\",""),":","")," ",""),"(",""),")","")</f>
        <v/>
      </c>
      <c r="BX76" s="61" t="str">
        <f aca="false">SUBSTITUTE(SUBSTITUTE(SUBSTITUTE(SUBSTITUTE(SUBSTITUTE(SUBSTITUTE(SUBSTITUTE(SUBSTITUTE(SUBSTITUTE(SUBSTITUTE(SUBSTITUTE(BM76,"0",""),"-",""),"_",""),"/",""),".",""),"#",""),"\\",""),":","")," ",""),"(",""),")","")</f>
        <v/>
      </c>
      <c r="BY76" s="62" t="n">
        <f aca="false">Q76-T7EarlyD*24/24</f>
        <v>46284.3784722222</v>
      </c>
      <c r="BZ76" s="61" t="n">
        <f aca="false">IFERROR(IF(IF(TRIM(S76)="Link / file path",AND(LEN(TRIM(Z76))&gt;=5,SUMPRODUCT(--ISNUMBER(SEARCH({"http","www.","\\",":\",".pdf",".jpg",".jpeg",".png",".heic",".xls",".doc",".msg",".eml",".ppt",".txt",".zip"},Z76)))&gt;0),AND(ISERROR(FIND(" ",TRIM(Z76))),NOT(OR(SUMPRODUCT(--ISNUMBER(FIND({",",";","&amp;","+"},Z76)))&gt;0,SUMPRODUCT(--ISNUMBER(SEARCH({"0/aa","0\\aa"},BN76)))&gt;0)),NOT(SUMPRODUCT(--ISNUMBER(SEARCH({"http","www.","\\",":\",".pdf",".jpg",".jpeg",".png",".heic",".xls",".doc",".msg",".eml",".ppt",".txt",".zip"},Z76)))&gt;0),NOT(LOWER(TRIM(Z76))=LOWER(Flights!$F$7)),ISNA(MATCH(BU76,{"mh","rev","revision","ver","version","v","r","a","b","seat","tray","row","gate","bay","stand","page","pg","item","line","no","cart","galley","flight","flt","table","box","bag","oven","etd","eta","std","sta","atd","ata","qty","pax","x","time","tel","ph","mob","day","wk","week","utc","gmt","myt","lt"},0)),NOT(OR(ISNUMBER(MATCH(LEFT(BN76,255),{"0000a","000a","00a","0000aa","000aa","00aa","0aa","0000aaa","000aaa","00a00","0a00","0000-0000","00:00","a00","a0","00.00.0000","00/00/0000","00-00-0000","0000-00-00","0000/00/00","0000.00.00","00.00.00","00/00/00","00-00-00","0.00.0000","0/00/0000","0-00-0000"},0)),ISNUMBER(MATCH(LEFT(BT76,255),{"0000a","000a","00a","0000aa","000aa","00aa","0aa","0000aaa","000aaa","00a00","0a00","0000-0000","00:00","a00","a0","00.00.0000","00/00/0000","00-00-0000","0000-00-00","0000/00/00","0000.00.00","00.00.00","00/00/00","00-00-00","0.00.0000","0/00/0000","0-00-0000"},0)))),NOT(OR(AND(BW76&lt;&gt;"",SUBSTITUTE(BW76,"0","")=""),AND(LEN(BW76)&gt;=4,BW76=REPT(LEFT(BW76),LEN(BW76))),ISNUMBER(MATCH(BW76,{"123","1234","12345","123456","1234567","12345678","0123","01234","012345","98765","987654","54321"},0)),ISNUMBER(MATCH(BX76,{"x","xx","xxx","xxxx","xxxxx","abc","abcd","nil","na","nan","test","tbc","tba","tbd","dummy","sample","example","eg","zz","zzz","none","null","xyz","qwe","asd","id","ref"},0)),AND(LEN(BW76)=8,BX76="",OR(LEFT(BW76,3)="202",ISNUMBER(MATCH(RIGHT(BW76,4),{"2025","2026","2027"},0)))))),OR(AND((LEN(BT76)-LEN(SUBSTITUTE(BT76,"a","")))&gt;=1,(LEN(BN76)-LEN(SUBSTITUTE(BN76,"0","")))&gt;=2,SUMPRODUCT(--ISNUMBER(SEARCH({"a0","a-0","a_0","a/0","a.0","a#0","0a","0-a","0_a","0/a"},BN76)))&gt;0),AND((LEN(BN76)-LEN(SUBSTITUTE(BN76,"a","")))=0,(LEN(BN76)-LEN(SUBSTITUTE(BN76,"0","")))&gt;=5)))),1,0),0)</f>
        <v>0</v>
      </c>
      <c r="CA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76,"revision",""),"version",""),"jan",""),"feb",""),"mar",""),"apr",""),"may",""),"jun",""),"jul",""),"aug",""),"sep",""),"oct",""),"nov",""),"dec",""),"utc",""),"gmt",""),"myt",""),"bst",""),"rev",""),"ver",""),"b","a"),"c","a"),"d","a"),"e","a"),"f","a"),"g","a"),"h","a"),"i","a"),"j","a"),"k","a"),"l","a"),"m","a"),"n","a"),"o","a"),"p","a"),"q","a"),"r","a"),"s","a"),"t","a"),"u","a"),"v","a"),"w","a"),"x","a"),"y","a"),"z","a")</f>
        <v/>
      </c>
      <c r="CB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76&amp;""),"a",""),"b",""),"c",""),"d",""),"e",""),"f",""),"g",""),"h",""),"i",""),"j",""),"k",""),"l",""),"m",""),"n",""),"o",""),"p",""),"q",""),"r",""),"s",""),"t",""),"u",""),"v",""),"w",""),"x",""),"y",""),"z",""),"-",""),"_",""),"/",""),".",""),"#",""),"\\",""),":","")," ",""),"(",""),")","")</f>
        <v/>
      </c>
      <c r="CC76" s="0" t="str">
        <f aca="false">" "&amp;TRIM(SUBSTITUTE(SUBSTITUTE(SUBSTITUTE(SUBSTITUTE(SUBSTITUTE(SUBSTITUTE(SUBSTITUTE(SUBSTITUTE(SUBSTITUTE(SUBSTITUTE(SUBSTITUTE(SUBSTITUTE(SUBSTITUTE(SUBSTITUTE(SUBSTITUTE(SUBSTITUTE(SUBSTITUTE(SUBSTITUTE(SUBSTITUTE(SUBSTITUTE(SUBSTITUTE(SUBSTITUTE(SUBSTITUTE(SUBSTITUTE(LOWER(T76&amp;""),CHAR(10)," "),CHAR(13)," "),CHAR(9)," "),CHAR(160)," "),"."," "),","," "),"-"," "),"/"," "),"("," "),")"," "),":"," "),";"," "),"_"," "),"–"," "),"?"," "),"!"," "),"*"," "),"["," "),"]"," "),"'"," "),"#"," "),"+"," "),"&amp;"," "),"\"," "))&amp;" "</f>
        <v>  </v>
      </c>
      <c r="CD76" s="0" t="str">
        <f aca="false">" "&amp;TRIM(SUBSTITUTE(SUBSTITUTE(SUBSTITUTE(SUBSTITUTE(SUBSTITUTE(SUBSTITUTE(SUBSTITUTE(SUBSTITUTE(SUBSTITUTE(SUBSTITUTE(SUBSTITUTE(SUBSTITUTE(SUBSTITUTE(SUBSTITUTE(SUBSTITUTE(SUBSTITUTE(SUBSTITUTE(SUBSTITUTE(SUBSTITUTE(SUBSTITUTE(SUBSTITUTE(SUBSTITUTE(SUBSTITUTE(SUBSTITUTE(LOWER(AE76&amp;""),CHAR(10)," "),CHAR(13)," "),CHAR(9)," "),CHAR(160)," "),"."," "),","," "),"-"," "),"/"," "),"("," "),")"," "),":"," "),";"," "),"_"," "),"–"," "),"?"," "),"!"," "),"*"," "),"["," "),"]"," "),"'"," "),"#"," "),"+"," "),"&amp;"," "),"\"," "))&amp;" "</f>
        <v>  </v>
      </c>
      <c r="CE76" s="68" t="n">
        <f aca="false">IFERROR(IF(AND(LEN(AU76)&gt;0,LEN(AU76)=LEN(AX76),OR(TRIM(MID(SUBSTITUTE(TRIM(CC76)," ",REPT(" ",60)),1,60))="",ISNUMBER(SEARCH(" "&amp;TRIM(MID(SUBSTITUTE(TRIM(CC76)," ",REPT(" ",60)),1,60))&amp;" ",CD76))),OR(TRIM(MID(SUBSTITUTE(TRIM(CC76)," ",REPT(" ",60)),61,60))="",ISNUMBER(SEARCH(" "&amp;TRIM(MID(SUBSTITUTE(TRIM(CC76)," ",REPT(" ",60)),61,60))&amp;" ",CD76))),OR(TRIM(MID(SUBSTITUTE(TRIM(CC76)," ",REPT(" ",60)),121,60))="",ISNUMBER(SEARCH(" "&amp;TRIM(MID(SUBSTITUTE(TRIM(CC76)," ",REPT(" ",60)),121,60))&amp;" ",CD76)))),1,0),0)</f>
        <v>0</v>
      </c>
      <c r="CG76" s="68" t="n">
        <f aca="false">IFERROR(LEN(SUBSTITUTE(BF76," ",""))-SUMPRODUCT((LEN(BF76)-LEN(SUBSTITUTE(BF76," "&amp;L_NAFiller&amp;" "," ")))/(LEN(L_NAFiller)+1)*LEN(L_NAFiller)),0)</f>
        <v>0</v>
      </c>
    </row>
    <row r="77" customFormat="false" ht="39.75" hidden="false" customHeight="true" outlineLevel="0" collapsed="false">
      <c r="A77" s="57" t="s">
        <v>564</v>
      </c>
      <c r="B77" s="57" t="s">
        <v>212</v>
      </c>
      <c r="C77" s="57" t="str">
        <f aca="false">Flights!$F$7</f>
        <v>MH0720</v>
      </c>
      <c r="D77" s="58" t="n">
        <f aca="false">Flights!$D$7</f>
        <v>46305</v>
      </c>
      <c r="E77" s="57" t="str">
        <f aca="false">Flights!$G$7&amp;"-"&amp;Flights!$H$7</f>
        <v>CGK-KUL</v>
      </c>
      <c r="F77" s="57" t="str">
        <f aca="false">Flights!$K$7</f>
        <v>EY</v>
      </c>
      <c r="G77" s="57" t="s">
        <v>81</v>
      </c>
      <c r="H77" s="57" t="s">
        <v>378</v>
      </c>
      <c r="I77" s="57" t="s">
        <v>411</v>
      </c>
      <c r="J77" s="57" t="s">
        <v>412</v>
      </c>
      <c r="K77" s="67" t="s">
        <v>565</v>
      </c>
      <c r="L77" s="67" t="s">
        <v>483</v>
      </c>
      <c r="M77" s="67"/>
      <c r="N77" s="67" t="s">
        <v>383</v>
      </c>
      <c r="O77" s="67"/>
      <c r="P77" s="57" t="s">
        <v>201</v>
      </c>
      <c r="Q77" s="59" t="n">
        <f aca="false">ROUND((Flights!$AC$7)*1440,0)/1440</f>
        <v>46298.3784722222</v>
      </c>
      <c r="R77" s="59" t="n">
        <f aca="false">Q77+(IF(AND(INDEX(TZ_DSTS,MATCH(P77,TZ_STN,0))&lt;&gt;"",Q77&gt;=INDEX(TZ_DSTS,MATCH(P77,TZ_STN,0)),Q77&lt;INDEX(TZ_DSTE,MATCH(P77,TZ_STN,0))),INDEX(TZ_DST,MATCH(P77,TZ_STN,0)),INDEX(TZ_STD,MATCH(P77,TZ_STN,0))))/24</f>
        <v>46298.6701388889</v>
      </c>
      <c r="S77" s="60"/>
      <c r="T77" s="60"/>
      <c r="U77" s="60"/>
      <c r="V77" s="60"/>
      <c r="W77" s="61"/>
      <c r="X77" s="60"/>
      <c r="Y77" s="60"/>
      <c r="Z77" s="60"/>
      <c r="AA77" s="60"/>
      <c r="AB77" s="60"/>
      <c r="AC77" s="60"/>
      <c r="AD77" s="66"/>
      <c r="AE77" s="60"/>
      <c r="AF77" s="61" t="str">
        <f aca="false">IF(AND(ISNUMBER(X77),ISNUMBER(Y77)),Y77-X77,"")</f>
        <v/>
      </c>
      <c r="AG77" s="62" t="str">
        <f aca="false">IF(ISNUMBER(AD77),AD77-(IF(AND(INDEX(TZ_DSTS,MATCH(P77,TZ_STN,0))&lt;&gt;"",(AD77-INDEX(TZ_STD,MATCH(P77,TZ_STN,0))/24)&gt;=INDEX(TZ_DSTS,MATCH(P77,TZ_STN,0)),(AD77-INDEX(TZ_STD,MATCH(P77,TZ_STN,0))/24)&lt;INDEX(TZ_DSTE,MATCH(P77,TZ_STN,0))),INDEX(TZ_DST,MATCH(P77,TZ_STN,0)),INDEX(TZ_STD,MATCH(P77,TZ_STN,0))))/24,"")</f>
        <v/>
      </c>
      <c r="AH77" s="65" t="str">
        <f aca="false">IFERROR(IF(N77="N/A – rule",IF(OR(TRIM(U77)="",TRIM(U77)="N/A",TRIM(U77)="Not started"),"N/A – RULE","INVALID – this check does not apply to this aircraft: clear the status (or correct the fleet on Flights)"),IF(TRIM(U77)="N/A",IF(AT77=0,"INVALID – N/A not permitted for this check",IF(AND(TRIM(AB77)&lt;&gt;"",TRIM(AB77)&lt;&gt;"Closed"),"INVALID – corrective action still open",IF(AND(NOT(OR(LEN(AZ77)&lt;15,ISNUMBER(MATCH(AZ77,L_Placeholder,0)))),BK77=0,CG77&gt;=8,NOT(OR(LEN(AU77)&lt;2,ISNUMBER(MATCH(AU77,L_Placeholder,0)))),BR77&gt;=3,NOT(OR(LEN(AX77)&lt;2,ISNUMBER(MATCH(AX77,L_Placeholder,0)))),BS77&gt;=3,TRIM(AE77)&lt;&gt;TRIM(T77),AX77&lt;&gt;AU77,CE77=0),"N/A – JUSTIFIED","INVALID – N/A needs a real, settled reason (not 'not applicable' / 'as above' / TBC), a named PIC and a different named verifier"))),IF(OR(TRIM(U77)="Pass",TRIM(U77)="Pass after CA"),IF(NOT(ISNUMBER(AD77)),"INVALID – completion time missing",IF(OR(OR(LEN(AU77)&lt;2,ISNUMBER(MATCH(AU77,L_Placeholder,0))),BR77&lt;3),"INVALID – PIC missing or not a named person (a role such as QA / CSM is not a name)",IF(OR(LEN(AV77)&lt;2,ISNUMBER(MATCH(AV77,L_Placeholder,0))),"INVALID – result / assessment missing",IF(OR(OR(LEN(AW77)&lt;3,ISNUMBER(MATCH(AW77,L_Placeholder,0))),SUMPRODUCT(--ISNUMBER(SEARCH(" "&amp;L_EvidencePhrase&amp;" ",BD77)))&gt;0,BI77=1),"INVALID – evidence missing, placeholder or not yet on file",IF(ISNA(MATCH(TRIM(S77),L_EvidenceType,0)),"INVALID – choose the evidence type from the list (column S)",IF(BL77=0,"INVALID – evidence ID must be the record's own ID only (e.g. SF-2210, IMG_2231, 1045521); a link / file name needs type 'Link / file path'",IF(OR(OR(LEN(AX77)&lt;2,ISNUMBER(MATCH(AX77,L_Placeholder,0))),BS77&lt;3),"INVALID – verifier missing or not a named person (a role such as QA / CSM is not a name)",IF(OR(AX77=AU77,CE77=1,AND(LEN(AU77)&gt;=4,ISNUMBER(SEARCH(AU77,AX77))),AND(LEN(AX77)&gt;=4,ISNUMBER(SEARCH(AX77,AU77)))),"INVALID – verifier must be a different, named person (not the PIC or a role)",IF(BH77=1,"INVALID – result not yet available (awaiting / TBC)",IF(BG77=1,"INVALID – result describes a problem: record Fail, then Pass after CA (or reword if it is not a problem)",IF(BV77=1,"INVALID – wording says not on board: an on-board confirmation needs the item loaded",IF(AND(AQ77=1,OR(OR(LEN(AY77)&lt;3,ISNUMBER(MATCH(AY77,L_Placeholder,0))),BJ77=1,BQ77=0)),"INVALID – batch ID missing, placeholder or not an ID (e.g. PASB-261008-BC-017)",IF(AND(AR77=1,OR(NOT(ISNUMBER(X77)),NOT(ISNUMBER(Y77)))),"INVALID – expected/actual qty missing",IF(AND(AR77=1,OR(X77&lt;=0,Y77&lt;0)),"INVALID – expected qty must be above 0 and actual not negative",IF(BB77&lt;&gt;"",BB77,IF(AND(AS77=1,Documents!$J$7&lt;&gt;"ON FILE"),"INVALID – GLD not on file (Documents sheet)",IF(AND(AS77=2,Documents!$O$7&lt;&gt;"ON FILE"),"INVALID – menu checklist not on file (Documents sheet)",IF(AND(AS77=3,NOT(ISNUMBER(Flights!$AX$7))),"INVALID – enter carrying flight KUL departure (Flights AX)",IF(AND(AS77=3,OR(Flights!$AZ$7&gt;Flights!$AA$7,Flights!$AX$7&lt;Flights!$AA$7-3)),"INVALID – carrying flight (Flights AX) cannot arrive before this leg's STD, or is over 3 days early",IF(AG77&gt;AsOfUTC,"INVALID – completion time is in the future",IF(AND(ISNUMBER(BY77),AG77&lt;BY77),IF(H77="Physical uplift","INVALID – before uplift window (cannot confirm loading)","INVALID – before valid window"),IF(AG77&gt;Flights!$AA$7,"INVALID – completed after departure (cannot establish readiness)",IF(AND(H77="Preparation",AG77&gt;=IF(ISNUMBER(Flights!$BA$7),MIN(Flights!$BA$7,Flights!$AA$7),Flights!$AA$7)),"INVALID – completed after loading / departure (cannot establish readiness)",IF(AND(H77="Physical uplift",AG77&gt;Q77),"INVALID – recorded after the loading flight departed",IF(AG77&gt;Q77,"COMPLETE – LATE","COMPLETE"))))))))))))))))))))))))),IF(TRIM(U77)="Fail","FAIL – DISCREPANCY",IF(AND(TRIM(U77)&lt;&gt;"",TRIM(U77)&lt;&gt;"Not started",TRIM(U77)&lt;&gt;"In progress"),"INVALID – unrecognised status (use the list)",IF(AsOfUTC&gt;Q77,"OVERDUE",IF(N77="Clarification required","OPEN – CLARIFICATION","OPEN"))))))),"INVALID – error value in an input cell")</f>
        <v>OPEN</v>
      </c>
      <c r="AI77" s="61" t="n">
        <f aca="false">IF(OR(AH77="N/A – RULE",AH77="N/A – JUSTIFIED"),0,1)</f>
        <v>1</v>
      </c>
      <c r="AJ77" s="61" t="n">
        <f aca="false">IF(LEFT(AH77,8)="COMPLETE",1,0)</f>
        <v>0</v>
      </c>
      <c r="AK77" s="61" t="n">
        <f aca="false">IF(AND(AI77=1,AJ77=0,AsOfUTC&gt;Q77),1,0)</f>
        <v>0</v>
      </c>
      <c r="AL77" s="61" t="n">
        <f aca="false">IFERROR(IF(AND(AI77=1,OR(TRIM(U77)="Fail",AND(TRIM(AB77)&lt;&gt;"",TRIM(AB77)&lt;&gt;"Closed"),AND(ISNUMBER(AF77),AF77&lt;&gt;0,TRIM(U77)&lt;&gt;"Pass after CA"))),1,0),1)</f>
        <v>0</v>
      </c>
      <c r="AM77" s="61" t="n">
        <f aca="false">IF(LEFT(AH77,7)="INVALID",1,0)</f>
        <v>0</v>
      </c>
      <c r="AN77" s="61" t="n">
        <f aca="false">IF(AND(N77="Clarification required",AI77=1,AJ77=0),1,0)</f>
        <v>0</v>
      </c>
      <c r="AO77" s="61" t="str">
        <f aca="false">IF(AK77=1,SUM(AK$5:AK77),"")</f>
        <v/>
      </c>
      <c r="AP77" s="61" t="str">
        <f aca="false">IF(AL77=1,SUM(AL$5:AL77),"")</f>
        <v/>
      </c>
      <c r="AQ77" s="61" t="n">
        <v>0</v>
      </c>
      <c r="AR77" s="61" t="n">
        <v>0</v>
      </c>
      <c r="AS77" s="61" t="n">
        <v>0</v>
      </c>
      <c r="AT77" s="61" t="n">
        <v>0</v>
      </c>
      <c r="AU77" s="61" t="str">
        <f aca="false">SUBSTITUTE(SUBSTITUTE(SUBSTITUTE(SUBSTITUTE(SUBSTITUTE(SUBSTITUTE(SUBSTITUTE(SUBSTITUTE(SUBSTITUTE(SUBSTITUTE(SUBSTITUTE(SUBSTITUTE(SUBSTITUTE(SUBSTITUTE(SUBSTITUTE(SUBSTITUTE(LOWER(T77&amp;""),CHAR(10),""),CHAR(13),""),CHAR(9),""),CHAR(160),"")," ",""),".",""),"-",""),"/",""),"?",""),"_",""),",",""),"[",""),"]",""),"(",""),")",""),"*","")</f>
        <v/>
      </c>
      <c r="AV77" s="61" t="str">
        <f aca="false">SUBSTITUTE(SUBSTITUTE(SUBSTITUTE(SUBSTITUTE(SUBSTITUTE(SUBSTITUTE(SUBSTITUTE(SUBSTITUTE(SUBSTITUTE(SUBSTITUTE(SUBSTITUTE(SUBSTITUTE(SUBSTITUTE(SUBSTITUTE(SUBSTITUTE(SUBSTITUTE(LOWER(V77&amp;""),CHAR(10),""),CHAR(13),""),CHAR(9),""),CHAR(160),"")," ",""),".",""),"-",""),"/",""),"?",""),"_",""),",",""),"[",""),"]",""),"(",""),")",""),"*","")</f>
        <v/>
      </c>
      <c r="AW77" s="61" t="str">
        <f aca="false">SUBSTITUTE(SUBSTITUTE(SUBSTITUTE(SUBSTITUTE(SUBSTITUTE(SUBSTITUTE(SUBSTITUTE(SUBSTITUTE(SUBSTITUTE(SUBSTITUTE(SUBSTITUTE(SUBSTITUTE(SUBSTITUTE(SUBSTITUTE(SUBSTITUTE(SUBSTITUTE(LOWER(Z77&amp;""),CHAR(10),""),CHAR(13),""),CHAR(9),""),CHAR(160),"")," ",""),".",""),"-",""),"/",""),"?",""),"_",""),",",""),"[",""),"]",""),"(",""),")",""),"*","")</f>
        <v/>
      </c>
      <c r="AX77" s="61" t="str">
        <f aca="false">SUBSTITUTE(SUBSTITUTE(SUBSTITUTE(SUBSTITUTE(SUBSTITUTE(SUBSTITUTE(SUBSTITUTE(SUBSTITUTE(SUBSTITUTE(SUBSTITUTE(SUBSTITUTE(SUBSTITUTE(SUBSTITUTE(SUBSTITUTE(SUBSTITUTE(SUBSTITUTE(LOWER(AE77&amp;""),CHAR(10),""),CHAR(13),""),CHAR(9),""),CHAR(160),"")," ",""),".",""),"-",""),"/",""),"?",""),"_",""),",",""),"[",""),"]",""),"(",""),")",""),"*","")</f>
        <v/>
      </c>
      <c r="AY77" s="61" t="str">
        <f aca="false">SUBSTITUTE(SUBSTITUTE(SUBSTITUTE(SUBSTITUTE(SUBSTITUTE(SUBSTITUTE(SUBSTITUTE(SUBSTITUTE(SUBSTITUTE(SUBSTITUTE(SUBSTITUTE(SUBSTITUTE(SUBSTITUTE(SUBSTITUTE(SUBSTITUTE(SUBSTITUTE(LOWER(W77&amp;""),CHAR(10),""),CHAR(13),""),CHAR(9),""),CHAR(160),"")," ",""),".",""),"-",""),"/",""),"?",""),"_",""),",",""),"[",""),"]",""),"(",""),")",""),"*","")</f>
        <v/>
      </c>
      <c r="AZ77" s="61" t="str">
        <f aca="false">SUBSTITUTE(SUBSTITUTE(SUBSTITUTE(SUBSTITUTE(SUBSTITUTE(SUBSTITUTE(SUBSTITUTE(SUBSTITUTE(SUBSTITUTE(SUBSTITUTE(SUBSTITUTE(SUBSTITUTE(SUBSTITUTE(SUBSTITUTE(SUBSTITUTE(SUBSTITUTE(LOWER(AC77&amp;""),CHAR(10),""),CHAR(13),""),CHAR(9),""),CHAR(160),"")," ",""),".",""),"-",""),"/",""),"?",""),"_",""),",",""),"[",""),"]",""),"(",""),")",""),"*","")</f>
        <v/>
      </c>
      <c r="BA77" s="61" t="str">
        <f aca="false">SUBSTITUTE(SUBSTITUTE(SUBSTITUTE(SUBSTITUTE(SUBSTITUTE(SUBSTITUTE(SUBSTITUTE(SUBSTITUTE(SUBSTITUTE(SUBSTITUTE(SUBSTITUTE(SUBSTITUTE(SUBSTITUTE(SUBSTITUTE(SUBSTITUTE(SUBSTITUTE(LOWER(AA77&amp;""),CHAR(10),""),CHAR(13),""),CHAR(9),""),CHAR(160),"")," ",""),".",""),"-",""),"/",""),"?",""),"_",""),",",""),"[",""),"]",""),"(",""),")",""),"*","")</f>
        <v/>
      </c>
      <c r="BB77" s="61" t="str">
        <f aca="false">IF(AND(TRIM(U77)="Pass",ISNUMBER(AF77)),IF(AF77&lt;&gt;0,"INVALID – qty variance: use Fail or Pass after CA",""),"")&amp;IF(AND(TRIM(U77)="Pass after CA",ISNUMBER(AF77)),IF(AF77&lt;&gt;0,"INVALID – after the corrective action the actual qty must equal expected (update Actual)",""),"")&amp;IF(AND(TRIM(U77)="Pass",TRIM(AB77)&lt;&gt;"",TRIM(AB77)&lt;&gt;"Closed"),"INVALID – corrective action not closed: use Fail, then Pass after CA","")&amp;IF(AND(LEN(BA77)&gt;=2,ISNA(MATCH(LEFT(BA77,255),L_Placeholder,0)),TRIM(AB77)=""),"INVALID – CA status missing for the recorded corrective action","")&amp;IF(AND(TRIM(U77)="Pass after CA",OR(OR(LEN(BA77)&lt;5,ISNUMBER(MATCH(BA77,L_Placeholder,0))),TRIM(AB77)&lt;&gt;"Closed")),"INVALID – corrective action not recorded/closed","")</f>
        <v/>
      </c>
      <c r="BC77" s="61" t="str">
        <f aca="false">" "&amp;TRIM(SUBSTITUTE(SUBSTITUTE(SUBSTITUTE(SUBSTITUTE(SUBSTITUTE(SUBSTITUTE(SUBSTITUTE(SUBSTITUTE(SUBSTITUTE(SUBSTITUTE(SUBSTITUTE(SUBSTITUTE(SUBSTITUTE(SUBSTITUTE(SUBSTITUTE(SUBSTITUTE(SUBSTITUTE(SUBSTITUTE(SUBSTITUTE(SUBSTITUTE(SUBSTITUTE(SUBSTITUTE(SUBSTITUTE(SUBSTITUTE(LOWER(V77&amp;""),CHAR(10)," "),CHAR(13)," "),CHAR(9)," "),CHAR(160)," "),"."," "),","," "),"-"," "),"/"," "),"("," "),")"," "),":"," "),";"," "),"_"," "),"–"," "),"?"," "),"!"," "),"*"," "),"["," "),"]"," "),"'"," "),"#"," "),"+"," "),"&amp;"," "),"\"," "))&amp;" "</f>
        <v>  </v>
      </c>
      <c r="BD77" s="61" t="str">
        <f aca="false">" "&amp;TRIM(SUBSTITUTE(SUBSTITUTE(SUBSTITUTE(SUBSTITUTE(SUBSTITUTE(SUBSTITUTE(SUBSTITUTE(SUBSTITUTE(SUBSTITUTE(SUBSTITUTE(SUBSTITUTE(SUBSTITUTE(SUBSTITUTE(SUBSTITUTE(SUBSTITUTE(SUBSTITUTE(SUBSTITUTE(SUBSTITUTE(SUBSTITUTE(SUBSTITUTE(SUBSTITUTE(SUBSTITUTE(SUBSTITUTE(SUBSTITUTE(LOWER(Z77&amp;""),CHAR(10)," "),CHAR(13)," "),CHAR(9)," "),CHAR(160)," "),"."," "),","," "),"-"," "),"/"," "),"("," "),")"," "),":"," "),";"," "),"_"," "),"–"," "),"?"," "),"!"," "),"*"," "),"["," "),"]"," "),"'"," "),"#"," "),"+"," "),"&amp;"," "),"\"," "))&amp;" "</f>
        <v>  </v>
      </c>
      <c r="BE77" s="61" t="str">
        <f aca="false">" "&amp;TRIM(SUBSTITUTE(SUBSTITUTE(SUBSTITUTE(SUBSTITUTE(SUBSTITUTE(SUBSTITUTE(SUBSTITUTE(SUBSTITUTE(SUBSTITUTE(SUBSTITUTE(SUBSTITUTE(SUBSTITUTE(SUBSTITUTE(SUBSTITUTE(SUBSTITUTE(SUBSTITUTE(SUBSTITUTE(SUBSTITUTE(SUBSTITUTE(SUBSTITUTE(SUBSTITUTE(SUBSTITUTE(SUBSTITUTE(SUBSTITUTE(LOWER(W77&amp;""),CHAR(10)," "),CHAR(13)," "),CHAR(9)," "),CHAR(160)," "),"."," "),","," "),"-"," "),"/"," "),"("," "),")"," "),":"," "),";"," "),"_"," "),"–"," "),"?"," "),"!"," "),"*"," "),"["," "),"]"," "),"'"," "),"#"," "),"+"," "),"&amp;"," "),"\"," "))&amp;" "</f>
        <v>  </v>
      </c>
      <c r="BF77" s="61" t="str">
        <f aca="false">" "&amp;TRIM(SUBSTITUTE(SUBSTITUTE(SUBSTITUTE(SUBSTITUTE(SUBSTITUTE(SUBSTITUTE(SUBSTITUTE(SUBSTITUTE(SUBSTITUTE(SUBSTITUTE(SUBSTITUTE(SUBSTITUTE(SUBSTITUTE(SUBSTITUTE(SUBSTITUTE(SUBSTITUTE(SUBSTITUTE(SUBSTITUTE(SUBSTITUTE(SUBSTITUTE(SUBSTITUTE(SUBSTITUTE(SUBSTITUTE(SUBSTITUTE(LOWER(AC77&amp;""),CHAR(10)," "),CHAR(13)," "),CHAR(9)," "),CHAR(160)," "),"."," "),","," "),"-"," "),"/"," "),"("," "),")"," "),":"," "),";"," "),"_"," "),"–"," "),"?"," "),"!"," "),"*"," "),"["," "),"]"," "),"'"," "),"#"," "),"+"," "),"&amp;"," "),"\"," "))&amp;" "</f>
        <v>  </v>
      </c>
      <c r="BG77" s="61" t="n">
        <f aca="false">IFERROR(IF(AND(TRIM(U77)="Pass",SUMPRODUCT((LEN(BC77)-LEN(SUBSTITUTE(BC77," "&amp;L_ResultBad&amp;" "," ")))/(LEN(L_ResultBad)+1))&gt;SUMPRODUCT((LEN(BC77)-LEN(SUBSTITUTE(BC77," "&amp;L_NegPhrase&amp;" "," ")))/(LEN(L_NegPhrase)+1))),1,0),0)</f>
        <v>0</v>
      </c>
      <c r="BH77" s="61" t="n">
        <f aca="false">IFERROR(IF(SUMPRODUCT((LEN(BC77)-LEN(SUBSTITUTE(BC77," "&amp;L_Pending&amp;" "," ")))/(LEN(L_Pending)+1))&gt;SUMPRODUCT((LEN(BC77)-LEN(SUBSTITUTE(BC77," "&amp;L_PendNeg&amp;" "," ")))/(LEN(L_PendNeg)+1))+SUMPRODUCT((LEN(BC77)-LEN(SUBSTITUTE(BC77," "&amp;L_PendPrep&amp;" "," ")))/(LEN(L_PendPrep)+1)),1,0),1)</f>
        <v>0</v>
      </c>
      <c r="BI77" s="61" t="n">
        <f aca="false">IFERROR(IF(SUMPRODUCT((LEN(BD77)-LEN(SUBSTITUTE(BD77," "&amp;L_PendStrict&amp;" "," ")))/(LEN(L_PendStrict)+1))&gt;SUMPRODUCT((LEN(BD77)-LEN(SUBSTITUTE(BD77," "&amp;L_PendNeg&amp;" "," ")))/(LEN(L_PendNeg)+1)),1,0),1)</f>
        <v>0</v>
      </c>
      <c r="BJ77" s="61" t="n">
        <f aca="false">IFERROR(IF(SUMPRODUCT((LEN(BE77)-LEN(SUBSTITUTE(BE77," "&amp;L_Pending&amp;" "," ")))/(LEN(L_Pending)+1))&gt;SUMPRODUCT((LEN(BE77)-LEN(SUBSTITUTE(BE77," "&amp;L_PendNeg&amp;" "," ")))/(LEN(L_PendNeg)+1))+SUMPRODUCT((LEN(BE77)-LEN(SUBSTITUTE(BE77," "&amp;L_PendPrep&amp;" "," ")))/(LEN(L_PendPrep)+1)),1,0),1)</f>
        <v>0</v>
      </c>
      <c r="BK77" s="61" t="n">
        <f aca="false">IFERROR(IF(SUMPRODUCT((LEN(BF77)-LEN(SUBSTITUTE(BF77," "&amp;L_PendStrict&amp;" "," ")))/(LEN(L_PendStrict)+1))&gt;SUMPRODUCT((LEN(BF77)-LEN(SUBSTITUTE(BF77," "&amp;L_PendNeg&amp;" "," ")))/(LEN(L_PendNeg)+1)),1,0),1)</f>
        <v>0</v>
      </c>
      <c r="BL77" s="61" t="n">
        <f aca="false">IF(ISNA(MATCH(TRIM(S77),L_EvidenceType,0)),0,BZ77)</f>
        <v>0</v>
      </c>
      <c r="BM77" s="61" t="str">
        <f aca="false">SUBSTITUTE(SUBSTITUTE(SUBSTITUTE(SUBSTITUTE(SUBSTITUTE(SUBSTITUTE(SUBSTITUTE(SUBSTITUTE(SUBSTITUTE(LOWER(Z77&amp;""),"1","0"),"2","0"),"3","0"),"4","0"),"5","0"),"6","0"),"7","0"),"8","0"),"9","0")</f>
        <v/>
      </c>
      <c r="BN77" s="61" t="str">
        <f aca="false">SUBSTITUTE(SUBSTITUTE(SUBSTITUTE(SUBSTITUTE(SUBSTITUTE(SUBSTITUTE(SUBSTITUTE(SUBSTITUTE(SUBSTITUTE(SUBSTITUTE(SUBSTITUTE(SUBSTITUTE(SUBSTITUTE(SUBSTITUTE(SUBSTITUTE(SUBSTITUTE(SUBSTITUTE(SUBSTITUTE(SUBSTITUTE(SUBSTITUTE(SUBSTITUTE(SUBSTITUTE(SUBSTITUTE(SUBSTITUTE(SUBSTITUTE(BM77,"b","a"),"c","a"),"d","a"),"e","a"),"f","a"),"g","a"),"h","a"),"i","a"),"j","a"),"k","a"),"l","a"),"m","a"),"n","a"),"o","a"),"p","a"),"q","a"),"r","a"),"s","a"),"t","a"),"u","a"),"v","a"),"w","a"),"x","a"),"y","a"),"z","a")</f>
        <v/>
      </c>
      <c r="BO77" s="61" t="str">
        <f aca="false">SUBSTITUTE(SUBSTITUTE(SUBSTITUTE(SUBSTITUTE(SUBSTITUTE(SUBSTITUTE(SUBSTITUTE(SUBSTITUTE(SUBSTITUTE(LOWER(W77&amp;""),"1","0"),"2","0"),"3","0"),"4","0"),"5","0"),"6","0"),"7","0"),"8","0"),"9","0")</f>
        <v/>
      </c>
      <c r="BP77" s="61" t="str">
        <f aca="false">SUBSTITUTE(SUBSTITUTE(SUBSTITUTE(SUBSTITUTE(SUBSTITUTE(SUBSTITUTE(SUBSTITUTE(SUBSTITUTE(SUBSTITUTE(SUBSTITUTE(SUBSTITUTE(SUBSTITUTE(SUBSTITUTE(SUBSTITUTE(SUBSTITUTE(SUBSTITUTE(SUBSTITUTE(SUBSTITUTE(SUBSTITUTE(SUBSTITUTE(SUBSTITUTE(SUBSTITUTE(SUBSTITUTE(SUBSTITUTE(SUBSTITUTE(BO77,"b","a"),"c","a"),"d","a"),"e","a"),"f","a"),"g","a"),"h","a"),"i","a"),"j","a"),"k","a"),"l","a"),"m","a"),"n","a"),"o","a"),"p","a"),"q","a"),"r","a"),"s","a"),"t","a"),"u","a"),"v","a"),"w","a"),"x","a"),"y","a"),"z","a")</f>
        <v/>
      </c>
      <c r="BQ77" s="61" t="n">
        <f aca="false">IFERROR(IF(AND(ISERROR(SEARCH(" mh"," "&amp;LOWER(W77))),ISNA(MATCH(LEFT(TRIM(BP77),255),{"0000a","000a","00a","0000aa","000aa","00aa","0aa","0000aaa","000aaa","00a00","0a00","0000-0000","00:00","a00","a0","00.00.0000","00/00/0000","00-00-0000","0000-00-00","0000/00/00","0000.00.00","00.00.00","00/00/00","00-00-00","0.00.0000","0/00/0000","0-00-0000"},0)),ISNA(MATCH(LEFT(TRIM(CA77),255),{"0000a","000a","00a","0000aa","000aa","00aa","0aa","0000aaa","000aaa","00a00","0a00","0000-0000","00:00","a00","a0","00.00.0000","00/00/0000","00-00-0000","0000-00-00","0000/00/00","0000.00.00","00.00.00","00/00/00","00-00-00","0.00.0000","0/00/0000","0-00-0000"},0)),LEN(CB77)&gt;=3,NOT(OR(SUBSTITUTE(CB77,"0","")="",AND(LEN(CB77)&gt;=4,CB77=REPT(LEFT(CB77),LEN(CB77))),ISNUMBER(MATCH(CB77,{"123","1234","12345","123456","1234567","12345678","0123","01234","012345","98765","987654","54321"},0)),AND(LEN(CB77)=8,LEFT(CB77,3)="202"))),OR(AND((LEN(CA77)-LEN(SUBSTITUTE(CA77,"a","")))&gt;=1,SUMPRODUCT(--ISNUMBER(SEARCH({"a0","a-0","a_0","a/0","a.0","a#0","0a","0-a","0_a","0/a"},BP77)))&gt;0),ISNUMBER(SEARCH("000000",BP77)))),1,0),0)</f>
        <v>0</v>
      </c>
      <c r="BR77" s="61" t="n">
        <f aca="false">IFERROR(LEN(SUBSTITUTE(CC77," ",""))-SUMPRODUCT((LEN(CC77)-LEN(SUBSTITUTE(CC77," "&amp;L_Role&amp;" "," ")))/(LEN(L_Role)+1)*LEN(L_Role)),0)</f>
        <v>0</v>
      </c>
      <c r="BS77" s="61" t="n">
        <f aca="false">IFERROR(LEN(SUBSTITUTE(CD77," ",""))-SUMPRODUCT((LEN(CD77)-LEN(SUBSTITUTE(CD77," "&amp;L_Role&amp;" "," ")))/(LEN(L_Role)+1)*LEN(L_Role)),0)</f>
        <v>0</v>
      </c>
      <c r="BT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77,"revision",""),"version",""),"jan",""),"feb",""),"mar",""),"apr",""),"may",""),"jun",""),"jul",""),"aug",""),"sep",""),"oct",""),"nov",""),"dec",""),"utc",""),"gmt",""),"myt",""),"bst",""),"rev",""),"ver",""),"b","a"),"c","a"),"d","a"),"e","a"),"f","a"),"g","a"),"h","a"),"i","a"),"j","a"),"k","a"),"l","a"),"m","a"),"n","a"),"o","a"),"p","a"),"q","a"),"r","a"),"s","a"),"t","a"),"u","a"),"v","a"),"w","a"),"x","a"),"y","a"),"z","a")</f>
        <v/>
      </c>
      <c r="BU77" s="61" t="str">
        <f aca="false">SUBSTITUTE(SUBSTITUTE(SUBSTITUTE(SUBSTITUTE(SUBSTITUTE(SUBSTITUTE(SUBSTITUTE(SUBSTITUTE(SUBSTITUTE(SUBSTITUTE(LEFT(BM77,FIND("0",BM77&amp;"0")-1),"-",""),"_",""),"/",""),".",""),"#",""),"\\",""),":","")," ",""),"(",""),")","")</f>
        <v/>
      </c>
      <c r="BV77" s="61" t="n">
        <f aca="false">0</f>
        <v>0</v>
      </c>
      <c r="BW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77&amp;""),"a",""),"b",""),"c",""),"d",""),"e",""),"f",""),"g",""),"h",""),"i",""),"j",""),"k",""),"l",""),"m",""),"n",""),"o",""),"p",""),"q",""),"r",""),"s",""),"t",""),"u",""),"v",""),"w",""),"x",""),"y",""),"z",""),"-",""),"_",""),"/",""),".",""),"#",""),"\\",""),":","")," ",""),"(",""),")","")</f>
        <v/>
      </c>
      <c r="BX77" s="61" t="str">
        <f aca="false">SUBSTITUTE(SUBSTITUTE(SUBSTITUTE(SUBSTITUTE(SUBSTITUTE(SUBSTITUTE(SUBSTITUTE(SUBSTITUTE(SUBSTITUTE(SUBSTITUTE(SUBSTITUTE(BM77,"0",""),"-",""),"_",""),"/",""),".",""),"#",""),"\\",""),":","")," ",""),"(",""),")","")</f>
        <v/>
      </c>
      <c r="BY77" s="62" t="n">
        <f aca="false">Q77-T7EarlyD*24/24</f>
        <v>46284.3784722222</v>
      </c>
      <c r="BZ77" s="61" t="n">
        <f aca="false">IFERROR(IF(IF(TRIM(S77)="Link / file path",AND(LEN(TRIM(Z77))&gt;=5,SUMPRODUCT(--ISNUMBER(SEARCH({"http","www.","\\",":\",".pdf",".jpg",".jpeg",".png",".heic",".xls",".doc",".msg",".eml",".ppt",".txt",".zip"},Z77)))&gt;0),AND(ISERROR(FIND(" ",TRIM(Z77))),NOT(OR(SUMPRODUCT(--ISNUMBER(FIND({",",";","&amp;","+"},Z77)))&gt;0,SUMPRODUCT(--ISNUMBER(SEARCH({"0/aa","0\\aa"},BN77)))&gt;0)),NOT(SUMPRODUCT(--ISNUMBER(SEARCH({"http","www.","\\",":\",".pdf",".jpg",".jpeg",".png",".heic",".xls",".doc",".msg",".eml",".ppt",".txt",".zip"},Z77)))&gt;0),NOT(LOWER(TRIM(Z77))=LOWER(Flights!$F$7)),ISNA(MATCH(BU77,{"mh","rev","revision","ver","version","v","r","a","b","seat","tray","row","gate","bay","stand","page","pg","item","line","no","cart","galley","flight","flt","table","box","bag","oven","etd","eta","std","sta","atd","ata","qty","pax","x","time","tel","ph","mob","day","wk","week","utc","gmt","myt","lt"},0)),NOT(OR(ISNUMBER(MATCH(LEFT(BN77,255),{"0000a","000a","00a","0000aa","000aa","00aa","0aa","0000aaa","000aaa","00a00","0a00","0000-0000","00:00","a00","a0","00.00.0000","00/00/0000","00-00-0000","0000-00-00","0000/00/00","0000.00.00","00.00.00","00/00/00","00-00-00","0.00.0000","0/00/0000","0-00-0000"},0)),ISNUMBER(MATCH(LEFT(BT77,255),{"0000a","000a","00a","0000aa","000aa","00aa","0aa","0000aaa","000aaa","00a00","0a00","0000-0000","00:00","a00","a0","00.00.0000","00/00/0000","00-00-0000","0000-00-00","0000/00/00","0000.00.00","00.00.00","00/00/00","00-00-00","0.00.0000","0/00/0000","0-00-0000"},0)))),NOT(OR(AND(BW77&lt;&gt;"",SUBSTITUTE(BW77,"0","")=""),AND(LEN(BW77)&gt;=4,BW77=REPT(LEFT(BW77),LEN(BW77))),ISNUMBER(MATCH(BW77,{"123","1234","12345","123456","1234567","12345678","0123","01234","012345","98765","987654","54321"},0)),ISNUMBER(MATCH(BX77,{"x","xx","xxx","xxxx","xxxxx","abc","abcd","nil","na","nan","test","tbc","tba","tbd","dummy","sample","example","eg","zz","zzz","none","null","xyz","qwe","asd","id","ref"},0)),AND(LEN(BW77)=8,BX77="",OR(LEFT(BW77,3)="202",ISNUMBER(MATCH(RIGHT(BW77,4),{"2025","2026","2027"},0)))))),OR(AND((LEN(BT77)-LEN(SUBSTITUTE(BT77,"a","")))&gt;=1,(LEN(BN77)-LEN(SUBSTITUTE(BN77,"0","")))&gt;=2,SUMPRODUCT(--ISNUMBER(SEARCH({"a0","a-0","a_0","a/0","a.0","a#0","0a","0-a","0_a","0/a"},BN77)))&gt;0),AND((LEN(BN77)-LEN(SUBSTITUTE(BN77,"a","")))=0,(LEN(BN77)-LEN(SUBSTITUTE(BN77,"0","")))&gt;=5)))),1,0),0)</f>
        <v>0</v>
      </c>
      <c r="CA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77,"revision",""),"version",""),"jan",""),"feb",""),"mar",""),"apr",""),"may",""),"jun",""),"jul",""),"aug",""),"sep",""),"oct",""),"nov",""),"dec",""),"utc",""),"gmt",""),"myt",""),"bst",""),"rev",""),"ver",""),"b","a"),"c","a"),"d","a"),"e","a"),"f","a"),"g","a"),"h","a"),"i","a"),"j","a"),"k","a"),"l","a"),"m","a"),"n","a"),"o","a"),"p","a"),"q","a"),"r","a"),"s","a"),"t","a"),"u","a"),"v","a"),"w","a"),"x","a"),"y","a"),"z","a")</f>
        <v/>
      </c>
      <c r="CB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77&amp;""),"a",""),"b",""),"c",""),"d",""),"e",""),"f",""),"g",""),"h",""),"i",""),"j",""),"k",""),"l",""),"m",""),"n",""),"o",""),"p",""),"q",""),"r",""),"s",""),"t",""),"u",""),"v",""),"w",""),"x",""),"y",""),"z",""),"-",""),"_",""),"/",""),".",""),"#",""),"\\",""),":","")," ",""),"(",""),")","")</f>
        <v/>
      </c>
      <c r="CC77" s="0" t="str">
        <f aca="false">" "&amp;TRIM(SUBSTITUTE(SUBSTITUTE(SUBSTITUTE(SUBSTITUTE(SUBSTITUTE(SUBSTITUTE(SUBSTITUTE(SUBSTITUTE(SUBSTITUTE(SUBSTITUTE(SUBSTITUTE(SUBSTITUTE(SUBSTITUTE(SUBSTITUTE(SUBSTITUTE(SUBSTITUTE(SUBSTITUTE(SUBSTITUTE(SUBSTITUTE(SUBSTITUTE(SUBSTITUTE(SUBSTITUTE(SUBSTITUTE(SUBSTITUTE(LOWER(T77&amp;""),CHAR(10)," "),CHAR(13)," "),CHAR(9)," "),CHAR(160)," "),"."," "),","," "),"-"," "),"/"," "),"("," "),")"," "),":"," "),";"," "),"_"," "),"–"," "),"?"," "),"!"," "),"*"," "),"["," "),"]"," "),"'"," "),"#"," "),"+"," "),"&amp;"," "),"\"," "))&amp;" "</f>
        <v>  </v>
      </c>
      <c r="CD77" s="0" t="str">
        <f aca="false">" "&amp;TRIM(SUBSTITUTE(SUBSTITUTE(SUBSTITUTE(SUBSTITUTE(SUBSTITUTE(SUBSTITUTE(SUBSTITUTE(SUBSTITUTE(SUBSTITUTE(SUBSTITUTE(SUBSTITUTE(SUBSTITUTE(SUBSTITUTE(SUBSTITUTE(SUBSTITUTE(SUBSTITUTE(SUBSTITUTE(SUBSTITUTE(SUBSTITUTE(SUBSTITUTE(SUBSTITUTE(SUBSTITUTE(SUBSTITUTE(SUBSTITUTE(LOWER(AE77&amp;""),CHAR(10)," "),CHAR(13)," "),CHAR(9)," "),CHAR(160)," "),"."," "),","," "),"-"," "),"/"," "),"("," "),")"," "),":"," "),";"," "),"_"," "),"–"," "),"?"," "),"!"," "),"*"," "),"["," "),"]"," "),"'"," "),"#"," "),"+"," "),"&amp;"," "),"\"," "))&amp;" "</f>
        <v>  </v>
      </c>
      <c r="CE77" s="68" t="n">
        <f aca="false">IFERROR(IF(AND(LEN(AU77)&gt;0,LEN(AU77)=LEN(AX77),OR(TRIM(MID(SUBSTITUTE(TRIM(CC77)," ",REPT(" ",60)),1,60))="",ISNUMBER(SEARCH(" "&amp;TRIM(MID(SUBSTITUTE(TRIM(CC77)," ",REPT(" ",60)),1,60))&amp;" ",CD77))),OR(TRIM(MID(SUBSTITUTE(TRIM(CC77)," ",REPT(" ",60)),61,60))="",ISNUMBER(SEARCH(" "&amp;TRIM(MID(SUBSTITUTE(TRIM(CC77)," ",REPT(" ",60)),61,60))&amp;" ",CD77))),OR(TRIM(MID(SUBSTITUTE(TRIM(CC77)," ",REPT(" ",60)),121,60))="",ISNUMBER(SEARCH(" "&amp;TRIM(MID(SUBSTITUTE(TRIM(CC77)," ",REPT(" ",60)),121,60))&amp;" ",CD77)))),1,0),0)</f>
        <v>0</v>
      </c>
      <c r="CG77" s="68" t="n">
        <f aca="false">IFERROR(LEN(SUBSTITUTE(BF77," ",""))-SUMPRODUCT((LEN(BF77)-LEN(SUBSTITUTE(BF77," "&amp;L_NAFiller&amp;" "," ")))/(LEN(L_NAFiller)+1)*LEN(L_NAFiller)),0)</f>
        <v>0</v>
      </c>
    </row>
    <row r="78" customFormat="false" ht="39.75" hidden="false" customHeight="true" outlineLevel="0" collapsed="false">
      <c r="A78" s="57" t="s">
        <v>566</v>
      </c>
      <c r="B78" s="57" t="s">
        <v>212</v>
      </c>
      <c r="C78" s="57" t="str">
        <f aca="false">Flights!$F$7</f>
        <v>MH0720</v>
      </c>
      <c r="D78" s="58" t="n">
        <f aca="false">Flights!$D$7</f>
        <v>46305</v>
      </c>
      <c r="E78" s="57" t="str">
        <f aca="false">Flights!$G$7&amp;"-"&amp;Flights!$H$7</f>
        <v>CGK-KUL</v>
      </c>
      <c r="F78" s="57" t="str">
        <f aca="false">Flights!$K$7</f>
        <v>EY</v>
      </c>
      <c r="G78" s="57" t="s">
        <v>83</v>
      </c>
      <c r="H78" s="57" t="s">
        <v>378</v>
      </c>
      <c r="I78" s="57" t="s">
        <v>379</v>
      </c>
      <c r="J78" s="57" t="s">
        <v>416</v>
      </c>
      <c r="K78" s="67" t="s">
        <v>417</v>
      </c>
      <c r="L78" s="67" t="s">
        <v>418</v>
      </c>
      <c r="M78" s="67"/>
      <c r="N78" s="67" t="s">
        <v>383</v>
      </c>
      <c r="O78" s="67"/>
      <c r="P78" s="57" t="s">
        <v>201</v>
      </c>
      <c r="Q78" s="59" t="n">
        <f aca="false">ROUND((Flights!$AD$7)*1440,0)/1440</f>
        <v>46304.3784722222</v>
      </c>
      <c r="R78" s="59" t="n">
        <f aca="false">Q78+(IF(AND(INDEX(TZ_DSTS,MATCH(P78,TZ_STN,0))&lt;&gt;"",Q78&gt;=INDEX(TZ_DSTS,MATCH(P78,TZ_STN,0)),Q78&lt;INDEX(TZ_DSTE,MATCH(P78,TZ_STN,0))),INDEX(TZ_DST,MATCH(P78,TZ_STN,0)),INDEX(TZ_STD,MATCH(P78,TZ_STN,0))))/24</f>
        <v>46304.6701388889</v>
      </c>
      <c r="S78" s="60"/>
      <c r="T78" s="60"/>
      <c r="U78" s="60"/>
      <c r="V78" s="60"/>
      <c r="W78" s="60"/>
      <c r="X78" s="60"/>
      <c r="Y78" s="60"/>
      <c r="Z78" s="60"/>
      <c r="AA78" s="60"/>
      <c r="AB78" s="60"/>
      <c r="AC78" s="60"/>
      <c r="AD78" s="66"/>
      <c r="AE78" s="60"/>
      <c r="AF78" s="61" t="str">
        <f aca="false">IF(AND(ISNUMBER(X78),ISNUMBER(Y78)),Y78-X78,"")</f>
        <v/>
      </c>
      <c r="AG78" s="62" t="str">
        <f aca="false">IF(ISNUMBER(AD78),AD78-(IF(AND(INDEX(TZ_DSTS,MATCH(P78,TZ_STN,0))&lt;&gt;"",(AD78-INDEX(TZ_STD,MATCH(P78,TZ_STN,0))/24)&gt;=INDEX(TZ_DSTS,MATCH(P78,TZ_STN,0)),(AD78-INDEX(TZ_STD,MATCH(P78,TZ_STN,0))/24)&lt;INDEX(TZ_DSTE,MATCH(P78,TZ_STN,0))),INDEX(TZ_DST,MATCH(P78,TZ_STN,0)),INDEX(TZ_STD,MATCH(P78,TZ_STN,0))))/24,"")</f>
        <v/>
      </c>
      <c r="AH78" s="65" t="str">
        <f aca="false">IFERROR(IF(N78="N/A – rule",IF(OR(TRIM(U78)="",TRIM(U78)="N/A",TRIM(U78)="Not started"),"N/A – RULE","INVALID – this check does not apply to this aircraft: clear the status (or correct the fleet on Flights)"),IF(TRIM(U78)="N/A",IF(AT78=0,"INVALID – N/A not permitted for this check",IF(AND(TRIM(AB78)&lt;&gt;"",TRIM(AB78)&lt;&gt;"Closed"),"INVALID – corrective action still open",IF(AND(NOT(OR(LEN(AZ78)&lt;15,ISNUMBER(MATCH(AZ78,L_Placeholder,0)))),BK78=0,CG78&gt;=8,NOT(OR(LEN(AU78)&lt;2,ISNUMBER(MATCH(AU78,L_Placeholder,0)))),BR78&gt;=3,NOT(OR(LEN(AX78)&lt;2,ISNUMBER(MATCH(AX78,L_Placeholder,0)))),BS78&gt;=3,TRIM(AE78)&lt;&gt;TRIM(T78),AX78&lt;&gt;AU78,CE78=0),"N/A – JUSTIFIED","INVALID – N/A needs a real, settled reason (not 'not applicable' / 'as above' / TBC), a named PIC and a different named verifier"))),IF(OR(TRIM(U78)="Pass",TRIM(U78)="Pass after CA"),IF(NOT(ISNUMBER(AD78)),"INVALID – completion time missing",IF(OR(OR(LEN(AU78)&lt;2,ISNUMBER(MATCH(AU78,L_Placeholder,0))),BR78&lt;3),"INVALID – PIC missing or not a named person (a role such as QA / CSM is not a name)",IF(OR(LEN(AV78)&lt;2,ISNUMBER(MATCH(AV78,L_Placeholder,0))),"INVALID – result / assessment missing",IF(OR(OR(LEN(AW78)&lt;3,ISNUMBER(MATCH(AW78,L_Placeholder,0))),SUMPRODUCT(--ISNUMBER(SEARCH(" "&amp;L_EvidencePhrase&amp;" ",BD78)))&gt;0,BI78=1),"INVALID – evidence missing, placeholder or not yet on file",IF(ISNA(MATCH(TRIM(S78),L_EvidenceType,0)),"INVALID – choose the evidence type from the list (column S)",IF(BL78=0,"INVALID – evidence ID must be the record's own ID only (e.g. SF-2210, IMG_2231, 1045521); a link / file name needs type 'Link / file path'",IF(OR(OR(LEN(AX78)&lt;2,ISNUMBER(MATCH(AX78,L_Placeholder,0))),BS78&lt;3),"INVALID – verifier missing or not a named person (a role such as QA / CSM is not a name)",IF(OR(AX78=AU78,CE78=1,AND(LEN(AU78)&gt;=4,ISNUMBER(SEARCH(AU78,AX78))),AND(LEN(AX78)&gt;=4,ISNUMBER(SEARCH(AX78,AU78)))),"INVALID – verifier must be a different, named person (not the PIC or a role)",IF(BH78=1,"INVALID – result not yet available (awaiting / TBC)",IF(BG78=1,"INVALID – result describes a problem: record Fail, then Pass after CA (or reword if it is not a problem)",IF(BV78=1,"INVALID – wording says not on board: an on-board confirmation needs the item loaded",IF(AND(AQ78=1,OR(OR(LEN(AY78)&lt;3,ISNUMBER(MATCH(AY78,L_Placeholder,0))),BJ78=1,BQ78=0)),"INVALID – batch ID missing, placeholder or not an ID (e.g. PASB-261008-BC-017)",IF(AND(AR78=1,OR(NOT(ISNUMBER(X78)),NOT(ISNUMBER(Y78)))),"INVALID – expected/actual qty missing",IF(AND(AR78=1,OR(X78&lt;=0,Y78&lt;0)),"INVALID – expected qty must be above 0 and actual not negative",IF(BB78&lt;&gt;"",BB78,IF(AND(AS78=1,Documents!$J$7&lt;&gt;"ON FILE"),"INVALID – GLD not on file (Documents sheet)",IF(AND(AS78=2,Documents!$O$7&lt;&gt;"ON FILE"),"INVALID – menu checklist not on file (Documents sheet)",IF(AND(AS78=3,NOT(ISNUMBER(Flights!$AX$7))),"INVALID – enter carrying flight KUL departure (Flights AX)",IF(AND(AS78=3,OR(Flights!$AZ$7&gt;Flights!$AA$7,Flights!$AX$7&lt;Flights!$AA$7-3)),"INVALID – carrying flight (Flights AX) cannot arrive before this leg's STD, or is over 3 days early",IF(AG78&gt;AsOfUTC,"INVALID – completion time is in the future",IF(AND(ISNUMBER(BY78),AG78&lt;BY78),IF(H78="Physical uplift","INVALID – before uplift window (cannot confirm loading)","INVALID – before valid window"),IF(AG78&gt;Flights!$AA$7,"INVALID – completed after departure (cannot establish readiness)",IF(AND(H78="Preparation",AG78&gt;=IF(ISNUMBER(Flights!$BA$7),MIN(Flights!$BA$7,Flights!$AA$7),Flights!$AA$7)),"INVALID – completed after loading / departure (cannot establish readiness)",IF(AND(H78="Physical uplift",AG78&gt;Q78),"INVALID – recorded after the loading flight departed",IF(AG78&gt;Q78,"COMPLETE – LATE","COMPLETE"))))))))))))))))))))))))),IF(TRIM(U78)="Fail","FAIL – DISCREPANCY",IF(AND(TRIM(U78)&lt;&gt;"",TRIM(U78)&lt;&gt;"Not started",TRIM(U78)&lt;&gt;"In progress"),"INVALID – unrecognised status (use the list)",IF(AsOfUTC&gt;Q78,"OVERDUE",IF(N78="Clarification required","OPEN – CLARIFICATION","OPEN"))))))),"INVALID – error value in an input cell")</f>
        <v>OPEN</v>
      </c>
      <c r="AI78" s="61" t="n">
        <f aca="false">IF(OR(AH78="N/A – RULE",AH78="N/A – JUSTIFIED"),0,1)</f>
        <v>1</v>
      </c>
      <c r="AJ78" s="61" t="n">
        <f aca="false">IF(LEFT(AH78,8)="COMPLETE",1,0)</f>
        <v>0</v>
      </c>
      <c r="AK78" s="61" t="n">
        <f aca="false">IF(AND(AI78=1,AJ78=0,AsOfUTC&gt;Q78),1,0)</f>
        <v>0</v>
      </c>
      <c r="AL78" s="61" t="n">
        <f aca="false">IFERROR(IF(AND(AI78=1,OR(TRIM(U78)="Fail",AND(TRIM(AB78)&lt;&gt;"",TRIM(AB78)&lt;&gt;"Closed"),AND(ISNUMBER(AF78),AF78&lt;&gt;0,TRIM(U78)&lt;&gt;"Pass after CA"))),1,0),1)</f>
        <v>0</v>
      </c>
      <c r="AM78" s="61" t="n">
        <f aca="false">IF(LEFT(AH78,7)="INVALID",1,0)</f>
        <v>0</v>
      </c>
      <c r="AN78" s="61" t="n">
        <f aca="false">IF(AND(N78="Clarification required",AI78=1,AJ78=0),1,0)</f>
        <v>0</v>
      </c>
      <c r="AO78" s="61" t="str">
        <f aca="false">IF(AK78=1,SUM(AK$5:AK78),"")</f>
        <v/>
      </c>
      <c r="AP78" s="61" t="str">
        <f aca="false">IF(AL78=1,SUM(AL$5:AL78),"")</f>
        <v/>
      </c>
      <c r="AQ78" s="61" t="n">
        <v>1</v>
      </c>
      <c r="AR78" s="61" t="n">
        <v>0</v>
      </c>
      <c r="AS78" s="61" t="n">
        <v>0</v>
      </c>
      <c r="AT78" s="61" t="n">
        <v>0</v>
      </c>
      <c r="AU78" s="61" t="str">
        <f aca="false">SUBSTITUTE(SUBSTITUTE(SUBSTITUTE(SUBSTITUTE(SUBSTITUTE(SUBSTITUTE(SUBSTITUTE(SUBSTITUTE(SUBSTITUTE(SUBSTITUTE(SUBSTITUTE(SUBSTITUTE(SUBSTITUTE(SUBSTITUTE(SUBSTITUTE(SUBSTITUTE(LOWER(T78&amp;""),CHAR(10),""),CHAR(13),""),CHAR(9),""),CHAR(160),"")," ",""),".",""),"-",""),"/",""),"?",""),"_",""),",",""),"[",""),"]",""),"(",""),")",""),"*","")</f>
        <v/>
      </c>
      <c r="AV78" s="61" t="str">
        <f aca="false">SUBSTITUTE(SUBSTITUTE(SUBSTITUTE(SUBSTITUTE(SUBSTITUTE(SUBSTITUTE(SUBSTITUTE(SUBSTITUTE(SUBSTITUTE(SUBSTITUTE(SUBSTITUTE(SUBSTITUTE(SUBSTITUTE(SUBSTITUTE(SUBSTITUTE(SUBSTITUTE(LOWER(V78&amp;""),CHAR(10),""),CHAR(13),""),CHAR(9),""),CHAR(160),"")," ",""),".",""),"-",""),"/",""),"?",""),"_",""),",",""),"[",""),"]",""),"(",""),")",""),"*","")</f>
        <v/>
      </c>
      <c r="AW78" s="61" t="str">
        <f aca="false">SUBSTITUTE(SUBSTITUTE(SUBSTITUTE(SUBSTITUTE(SUBSTITUTE(SUBSTITUTE(SUBSTITUTE(SUBSTITUTE(SUBSTITUTE(SUBSTITUTE(SUBSTITUTE(SUBSTITUTE(SUBSTITUTE(SUBSTITUTE(SUBSTITUTE(SUBSTITUTE(LOWER(Z78&amp;""),CHAR(10),""),CHAR(13),""),CHAR(9),""),CHAR(160),"")," ",""),".",""),"-",""),"/",""),"?",""),"_",""),",",""),"[",""),"]",""),"(",""),")",""),"*","")</f>
        <v/>
      </c>
      <c r="AX78" s="61" t="str">
        <f aca="false">SUBSTITUTE(SUBSTITUTE(SUBSTITUTE(SUBSTITUTE(SUBSTITUTE(SUBSTITUTE(SUBSTITUTE(SUBSTITUTE(SUBSTITUTE(SUBSTITUTE(SUBSTITUTE(SUBSTITUTE(SUBSTITUTE(SUBSTITUTE(SUBSTITUTE(SUBSTITUTE(LOWER(AE78&amp;""),CHAR(10),""),CHAR(13),""),CHAR(9),""),CHAR(160),"")," ",""),".",""),"-",""),"/",""),"?",""),"_",""),",",""),"[",""),"]",""),"(",""),")",""),"*","")</f>
        <v/>
      </c>
      <c r="AY78" s="61" t="str">
        <f aca="false">SUBSTITUTE(SUBSTITUTE(SUBSTITUTE(SUBSTITUTE(SUBSTITUTE(SUBSTITUTE(SUBSTITUTE(SUBSTITUTE(SUBSTITUTE(SUBSTITUTE(SUBSTITUTE(SUBSTITUTE(SUBSTITUTE(SUBSTITUTE(SUBSTITUTE(SUBSTITUTE(LOWER(W78&amp;""),CHAR(10),""),CHAR(13),""),CHAR(9),""),CHAR(160),"")," ",""),".",""),"-",""),"/",""),"?",""),"_",""),",",""),"[",""),"]",""),"(",""),")",""),"*","")</f>
        <v/>
      </c>
      <c r="AZ78" s="61" t="str">
        <f aca="false">SUBSTITUTE(SUBSTITUTE(SUBSTITUTE(SUBSTITUTE(SUBSTITUTE(SUBSTITUTE(SUBSTITUTE(SUBSTITUTE(SUBSTITUTE(SUBSTITUTE(SUBSTITUTE(SUBSTITUTE(SUBSTITUTE(SUBSTITUTE(SUBSTITUTE(SUBSTITUTE(LOWER(AC78&amp;""),CHAR(10),""),CHAR(13),""),CHAR(9),""),CHAR(160),"")," ",""),".",""),"-",""),"/",""),"?",""),"_",""),",",""),"[",""),"]",""),"(",""),")",""),"*","")</f>
        <v/>
      </c>
      <c r="BA78" s="61" t="str">
        <f aca="false">SUBSTITUTE(SUBSTITUTE(SUBSTITUTE(SUBSTITUTE(SUBSTITUTE(SUBSTITUTE(SUBSTITUTE(SUBSTITUTE(SUBSTITUTE(SUBSTITUTE(SUBSTITUTE(SUBSTITUTE(SUBSTITUTE(SUBSTITUTE(SUBSTITUTE(SUBSTITUTE(LOWER(AA78&amp;""),CHAR(10),""),CHAR(13),""),CHAR(9),""),CHAR(160),"")," ",""),".",""),"-",""),"/",""),"?",""),"_",""),",",""),"[",""),"]",""),"(",""),")",""),"*","")</f>
        <v/>
      </c>
      <c r="BB78" s="61" t="str">
        <f aca="false">IF(AND(TRIM(U78)="Pass",ISNUMBER(AF78)),IF(AF78&lt;&gt;0,"INVALID – qty variance: use Fail or Pass after CA",""),"")&amp;IF(AND(TRIM(U78)="Pass after CA",ISNUMBER(AF78)),IF(AF78&lt;&gt;0,"INVALID – after the corrective action the actual qty must equal expected (update Actual)",""),"")&amp;IF(AND(TRIM(U78)="Pass",TRIM(AB78)&lt;&gt;"",TRIM(AB78)&lt;&gt;"Closed"),"INVALID – corrective action not closed: use Fail, then Pass after CA","")&amp;IF(AND(LEN(BA78)&gt;=2,ISNA(MATCH(LEFT(BA78,255),L_Placeholder,0)),TRIM(AB78)=""),"INVALID – CA status missing for the recorded corrective action","")&amp;IF(AND(TRIM(U78)="Pass after CA",OR(OR(LEN(BA78)&lt;5,ISNUMBER(MATCH(BA78,L_Placeholder,0))),TRIM(AB78)&lt;&gt;"Closed")),"INVALID – corrective action not recorded/closed","")</f>
        <v/>
      </c>
      <c r="BC78" s="61" t="str">
        <f aca="false">" "&amp;TRIM(SUBSTITUTE(SUBSTITUTE(SUBSTITUTE(SUBSTITUTE(SUBSTITUTE(SUBSTITUTE(SUBSTITUTE(SUBSTITUTE(SUBSTITUTE(SUBSTITUTE(SUBSTITUTE(SUBSTITUTE(SUBSTITUTE(SUBSTITUTE(SUBSTITUTE(SUBSTITUTE(SUBSTITUTE(SUBSTITUTE(SUBSTITUTE(SUBSTITUTE(SUBSTITUTE(SUBSTITUTE(SUBSTITUTE(SUBSTITUTE(LOWER(V78&amp;""),CHAR(10)," "),CHAR(13)," "),CHAR(9)," "),CHAR(160)," "),"."," "),","," "),"-"," "),"/"," "),"("," "),")"," "),":"," "),";"," "),"_"," "),"–"," "),"?"," "),"!"," "),"*"," "),"["," "),"]"," "),"'"," "),"#"," "),"+"," "),"&amp;"," "),"\"," "))&amp;" "</f>
        <v>  </v>
      </c>
      <c r="BD78" s="61" t="str">
        <f aca="false">" "&amp;TRIM(SUBSTITUTE(SUBSTITUTE(SUBSTITUTE(SUBSTITUTE(SUBSTITUTE(SUBSTITUTE(SUBSTITUTE(SUBSTITUTE(SUBSTITUTE(SUBSTITUTE(SUBSTITUTE(SUBSTITUTE(SUBSTITUTE(SUBSTITUTE(SUBSTITUTE(SUBSTITUTE(SUBSTITUTE(SUBSTITUTE(SUBSTITUTE(SUBSTITUTE(SUBSTITUTE(SUBSTITUTE(SUBSTITUTE(SUBSTITUTE(LOWER(Z78&amp;""),CHAR(10)," "),CHAR(13)," "),CHAR(9)," "),CHAR(160)," "),"."," "),","," "),"-"," "),"/"," "),"("," "),")"," "),":"," "),";"," "),"_"," "),"–"," "),"?"," "),"!"," "),"*"," "),"["," "),"]"," "),"'"," "),"#"," "),"+"," "),"&amp;"," "),"\"," "))&amp;" "</f>
        <v>  </v>
      </c>
      <c r="BE78" s="61" t="str">
        <f aca="false">" "&amp;TRIM(SUBSTITUTE(SUBSTITUTE(SUBSTITUTE(SUBSTITUTE(SUBSTITUTE(SUBSTITUTE(SUBSTITUTE(SUBSTITUTE(SUBSTITUTE(SUBSTITUTE(SUBSTITUTE(SUBSTITUTE(SUBSTITUTE(SUBSTITUTE(SUBSTITUTE(SUBSTITUTE(SUBSTITUTE(SUBSTITUTE(SUBSTITUTE(SUBSTITUTE(SUBSTITUTE(SUBSTITUTE(SUBSTITUTE(SUBSTITUTE(LOWER(W78&amp;""),CHAR(10)," "),CHAR(13)," "),CHAR(9)," "),CHAR(160)," "),"."," "),","," "),"-"," "),"/"," "),"("," "),")"," "),":"," "),";"," "),"_"," "),"–"," "),"?"," "),"!"," "),"*"," "),"["," "),"]"," "),"'"," "),"#"," "),"+"," "),"&amp;"," "),"\"," "))&amp;" "</f>
        <v>  </v>
      </c>
      <c r="BF78" s="61" t="str">
        <f aca="false">" "&amp;TRIM(SUBSTITUTE(SUBSTITUTE(SUBSTITUTE(SUBSTITUTE(SUBSTITUTE(SUBSTITUTE(SUBSTITUTE(SUBSTITUTE(SUBSTITUTE(SUBSTITUTE(SUBSTITUTE(SUBSTITUTE(SUBSTITUTE(SUBSTITUTE(SUBSTITUTE(SUBSTITUTE(SUBSTITUTE(SUBSTITUTE(SUBSTITUTE(SUBSTITUTE(SUBSTITUTE(SUBSTITUTE(SUBSTITUTE(SUBSTITUTE(LOWER(AC78&amp;""),CHAR(10)," "),CHAR(13)," "),CHAR(9)," "),CHAR(160)," "),"."," "),","," "),"-"," "),"/"," "),"("," "),")"," "),":"," "),";"," "),"_"," "),"–"," "),"?"," "),"!"," "),"*"," "),"["," "),"]"," "),"'"," "),"#"," "),"+"," "),"&amp;"," "),"\"," "))&amp;" "</f>
        <v>  </v>
      </c>
      <c r="BG78" s="61" t="n">
        <f aca="false">IFERROR(IF(AND(TRIM(U78)="Pass",SUMPRODUCT((LEN(BC78)-LEN(SUBSTITUTE(BC78," "&amp;L_ResultBad&amp;" "," ")))/(LEN(L_ResultBad)+1))&gt;SUMPRODUCT((LEN(BC78)-LEN(SUBSTITUTE(BC78," "&amp;L_NegPhrase&amp;" "," ")))/(LEN(L_NegPhrase)+1))),1,0),0)</f>
        <v>0</v>
      </c>
      <c r="BH78" s="61" t="n">
        <f aca="false">IFERROR(IF(SUMPRODUCT((LEN(BC78)-LEN(SUBSTITUTE(BC78," "&amp;L_Pending&amp;" "," ")))/(LEN(L_Pending)+1))&gt;SUMPRODUCT((LEN(BC78)-LEN(SUBSTITUTE(BC78," "&amp;L_PendNeg&amp;" "," ")))/(LEN(L_PendNeg)+1))+SUMPRODUCT((LEN(BC78)-LEN(SUBSTITUTE(BC78," "&amp;L_PendPrep&amp;" "," ")))/(LEN(L_PendPrep)+1)),1,0),1)</f>
        <v>0</v>
      </c>
      <c r="BI78" s="61" t="n">
        <f aca="false">IFERROR(IF(SUMPRODUCT((LEN(BD78)-LEN(SUBSTITUTE(BD78," "&amp;L_PendStrict&amp;" "," ")))/(LEN(L_PendStrict)+1))&gt;SUMPRODUCT((LEN(BD78)-LEN(SUBSTITUTE(BD78," "&amp;L_PendNeg&amp;" "," ")))/(LEN(L_PendNeg)+1)),1,0),1)</f>
        <v>0</v>
      </c>
      <c r="BJ78" s="61" t="n">
        <f aca="false">IFERROR(IF(SUMPRODUCT((LEN(BE78)-LEN(SUBSTITUTE(BE78," "&amp;L_Pending&amp;" "," ")))/(LEN(L_Pending)+1))&gt;SUMPRODUCT((LEN(BE78)-LEN(SUBSTITUTE(BE78," "&amp;L_PendNeg&amp;" "," ")))/(LEN(L_PendNeg)+1))+SUMPRODUCT((LEN(BE78)-LEN(SUBSTITUTE(BE78," "&amp;L_PendPrep&amp;" "," ")))/(LEN(L_PendPrep)+1)),1,0),1)</f>
        <v>0</v>
      </c>
      <c r="BK78" s="61" t="n">
        <f aca="false">IFERROR(IF(SUMPRODUCT((LEN(BF78)-LEN(SUBSTITUTE(BF78," "&amp;L_PendStrict&amp;" "," ")))/(LEN(L_PendStrict)+1))&gt;SUMPRODUCT((LEN(BF78)-LEN(SUBSTITUTE(BF78," "&amp;L_PendNeg&amp;" "," ")))/(LEN(L_PendNeg)+1)),1,0),1)</f>
        <v>0</v>
      </c>
      <c r="BL78" s="61" t="n">
        <f aca="false">IF(ISNA(MATCH(TRIM(S78),L_EvidenceType,0)),0,BZ78)</f>
        <v>0</v>
      </c>
      <c r="BM78" s="61" t="str">
        <f aca="false">SUBSTITUTE(SUBSTITUTE(SUBSTITUTE(SUBSTITUTE(SUBSTITUTE(SUBSTITUTE(SUBSTITUTE(SUBSTITUTE(SUBSTITUTE(LOWER(Z78&amp;""),"1","0"),"2","0"),"3","0"),"4","0"),"5","0"),"6","0"),"7","0"),"8","0"),"9","0")</f>
        <v/>
      </c>
      <c r="BN78" s="61" t="str">
        <f aca="false">SUBSTITUTE(SUBSTITUTE(SUBSTITUTE(SUBSTITUTE(SUBSTITUTE(SUBSTITUTE(SUBSTITUTE(SUBSTITUTE(SUBSTITUTE(SUBSTITUTE(SUBSTITUTE(SUBSTITUTE(SUBSTITUTE(SUBSTITUTE(SUBSTITUTE(SUBSTITUTE(SUBSTITUTE(SUBSTITUTE(SUBSTITUTE(SUBSTITUTE(SUBSTITUTE(SUBSTITUTE(SUBSTITUTE(SUBSTITUTE(SUBSTITUTE(BM78,"b","a"),"c","a"),"d","a"),"e","a"),"f","a"),"g","a"),"h","a"),"i","a"),"j","a"),"k","a"),"l","a"),"m","a"),"n","a"),"o","a"),"p","a"),"q","a"),"r","a"),"s","a"),"t","a"),"u","a"),"v","a"),"w","a"),"x","a"),"y","a"),"z","a")</f>
        <v/>
      </c>
      <c r="BO78" s="61" t="str">
        <f aca="false">SUBSTITUTE(SUBSTITUTE(SUBSTITUTE(SUBSTITUTE(SUBSTITUTE(SUBSTITUTE(SUBSTITUTE(SUBSTITUTE(SUBSTITUTE(LOWER(W78&amp;""),"1","0"),"2","0"),"3","0"),"4","0"),"5","0"),"6","0"),"7","0"),"8","0"),"9","0")</f>
        <v/>
      </c>
      <c r="BP78" s="61" t="str">
        <f aca="false">SUBSTITUTE(SUBSTITUTE(SUBSTITUTE(SUBSTITUTE(SUBSTITUTE(SUBSTITUTE(SUBSTITUTE(SUBSTITUTE(SUBSTITUTE(SUBSTITUTE(SUBSTITUTE(SUBSTITUTE(SUBSTITUTE(SUBSTITUTE(SUBSTITUTE(SUBSTITUTE(SUBSTITUTE(SUBSTITUTE(SUBSTITUTE(SUBSTITUTE(SUBSTITUTE(SUBSTITUTE(SUBSTITUTE(SUBSTITUTE(SUBSTITUTE(BO78,"b","a"),"c","a"),"d","a"),"e","a"),"f","a"),"g","a"),"h","a"),"i","a"),"j","a"),"k","a"),"l","a"),"m","a"),"n","a"),"o","a"),"p","a"),"q","a"),"r","a"),"s","a"),"t","a"),"u","a"),"v","a"),"w","a"),"x","a"),"y","a"),"z","a")</f>
        <v/>
      </c>
      <c r="BQ78" s="61" t="n">
        <f aca="false">IFERROR(IF(AND(ISERROR(SEARCH(" mh"," "&amp;LOWER(W78))),ISNA(MATCH(LEFT(TRIM(BP78),255),{"0000a","000a","00a","0000aa","000aa","00aa","0aa","0000aaa","000aaa","00a00","0a00","0000-0000","00:00","a00","a0","00.00.0000","00/00/0000","00-00-0000","0000-00-00","0000/00/00","0000.00.00","00.00.00","00/00/00","00-00-00","0.00.0000","0/00/0000","0-00-0000"},0)),ISNA(MATCH(LEFT(TRIM(CA78),255),{"0000a","000a","00a","0000aa","000aa","00aa","0aa","0000aaa","000aaa","00a00","0a00","0000-0000","00:00","a00","a0","00.00.0000","00/00/0000","00-00-0000","0000-00-00","0000/00/00","0000.00.00","00.00.00","00/00/00","00-00-00","0.00.0000","0/00/0000","0-00-0000"},0)),LEN(CB78)&gt;=3,NOT(OR(SUBSTITUTE(CB78,"0","")="",AND(LEN(CB78)&gt;=4,CB78=REPT(LEFT(CB78),LEN(CB78))),ISNUMBER(MATCH(CB78,{"123","1234","12345","123456","1234567","12345678","0123","01234","012345","98765","987654","54321"},0)),AND(LEN(CB78)=8,LEFT(CB78,3)="202"))),OR(AND((LEN(CA78)-LEN(SUBSTITUTE(CA78,"a","")))&gt;=1,SUMPRODUCT(--ISNUMBER(SEARCH({"a0","a-0","a_0","a/0","a.0","a#0","0a","0-a","0_a","0/a"},BP78)))&gt;0),ISNUMBER(SEARCH("000000",BP78)))),1,0),0)</f>
        <v>0</v>
      </c>
      <c r="BR78" s="61" t="n">
        <f aca="false">IFERROR(LEN(SUBSTITUTE(CC78," ",""))-SUMPRODUCT((LEN(CC78)-LEN(SUBSTITUTE(CC78," "&amp;L_Role&amp;" "," ")))/(LEN(L_Role)+1)*LEN(L_Role)),0)</f>
        <v>0</v>
      </c>
      <c r="BS78" s="61" t="n">
        <f aca="false">IFERROR(LEN(SUBSTITUTE(CD78," ",""))-SUMPRODUCT((LEN(CD78)-LEN(SUBSTITUTE(CD78," "&amp;L_Role&amp;" "," ")))/(LEN(L_Role)+1)*LEN(L_Role)),0)</f>
        <v>0</v>
      </c>
      <c r="BT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78,"revision",""),"version",""),"jan",""),"feb",""),"mar",""),"apr",""),"may",""),"jun",""),"jul",""),"aug",""),"sep",""),"oct",""),"nov",""),"dec",""),"utc",""),"gmt",""),"myt",""),"bst",""),"rev",""),"ver",""),"b","a"),"c","a"),"d","a"),"e","a"),"f","a"),"g","a"),"h","a"),"i","a"),"j","a"),"k","a"),"l","a"),"m","a"),"n","a"),"o","a"),"p","a"),"q","a"),"r","a"),"s","a"),"t","a"),"u","a"),"v","a"),"w","a"),"x","a"),"y","a"),"z","a")</f>
        <v/>
      </c>
      <c r="BU78" s="61" t="str">
        <f aca="false">SUBSTITUTE(SUBSTITUTE(SUBSTITUTE(SUBSTITUTE(SUBSTITUTE(SUBSTITUTE(SUBSTITUTE(SUBSTITUTE(SUBSTITUTE(SUBSTITUTE(LEFT(BM78,FIND("0",BM78&amp;"0")-1),"-",""),"_",""),"/",""),".",""),"#",""),"\\",""),":","")," ",""),"(",""),")","")</f>
        <v/>
      </c>
      <c r="BV78" s="61" t="n">
        <f aca="false">0</f>
        <v>0</v>
      </c>
      <c r="BW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78&amp;""),"a",""),"b",""),"c",""),"d",""),"e",""),"f",""),"g",""),"h",""),"i",""),"j",""),"k",""),"l",""),"m",""),"n",""),"o",""),"p",""),"q",""),"r",""),"s",""),"t",""),"u",""),"v",""),"w",""),"x",""),"y",""),"z",""),"-",""),"_",""),"/",""),".",""),"#",""),"\\",""),":","")," ",""),"(",""),")","")</f>
        <v/>
      </c>
      <c r="BX78" s="61" t="str">
        <f aca="false">SUBSTITUTE(SUBSTITUTE(SUBSTITUTE(SUBSTITUTE(SUBSTITUTE(SUBSTITUTE(SUBSTITUTE(SUBSTITUTE(SUBSTITUTE(SUBSTITUTE(SUBSTITUTE(BM78,"0",""),"-",""),"_",""),"/",""),".",""),"#",""),"\\",""),":","")," ",""),"(",""),")","")</f>
        <v/>
      </c>
      <c r="BY78" s="62" t="n">
        <f aca="false">Q78-T24EarlyH/24</f>
        <v>46303.3784722222</v>
      </c>
      <c r="BZ78" s="61" t="n">
        <f aca="false">IFERROR(IF(IF(TRIM(S78)="Link / file path",AND(LEN(TRIM(Z78))&gt;=5,SUMPRODUCT(--ISNUMBER(SEARCH({"http","www.","\\",":\",".pdf",".jpg",".jpeg",".png",".heic",".xls",".doc",".msg",".eml",".ppt",".txt",".zip"},Z78)))&gt;0),AND(ISERROR(FIND(" ",TRIM(Z78))),NOT(OR(SUMPRODUCT(--ISNUMBER(FIND({",",";","&amp;","+"},Z78)))&gt;0,SUMPRODUCT(--ISNUMBER(SEARCH({"0/aa","0\\aa"},BN78)))&gt;0)),NOT(SUMPRODUCT(--ISNUMBER(SEARCH({"http","www.","\\",":\",".pdf",".jpg",".jpeg",".png",".heic",".xls",".doc",".msg",".eml",".ppt",".txt",".zip"},Z78)))&gt;0),NOT(LOWER(TRIM(Z78))=LOWER(Flights!$F$7)),ISNA(MATCH(BU78,{"mh","rev","revision","ver","version","v","r","a","b","seat","tray","row","gate","bay","stand","page","pg","item","line","no","cart","galley","flight","flt","table","box","bag","oven","etd","eta","std","sta","atd","ata","qty","pax","x","time","tel","ph","mob","day","wk","week","utc","gmt","myt","lt"},0)),NOT(OR(ISNUMBER(MATCH(LEFT(BN78,255),{"0000a","000a","00a","0000aa","000aa","00aa","0aa","0000aaa","000aaa","00a00","0a00","0000-0000","00:00","a00","a0","00.00.0000","00/00/0000","00-00-0000","0000-00-00","0000/00/00","0000.00.00","00.00.00","00/00/00","00-00-00","0.00.0000","0/00/0000","0-00-0000"},0)),ISNUMBER(MATCH(LEFT(BT78,255),{"0000a","000a","00a","0000aa","000aa","00aa","0aa","0000aaa","000aaa","00a00","0a00","0000-0000","00:00","a00","a0","00.00.0000","00/00/0000","00-00-0000","0000-00-00","0000/00/00","0000.00.00","00.00.00","00/00/00","00-00-00","0.00.0000","0/00/0000","0-00-0000"},0)))),NOT(OR(AND(BW78&lt;&gt;"",SUBSTITUTE(BW78,"0","")=""),AND(LEN(BW78)&gt;=4,BW78=REPT(LEFT(BW78),LEN(BW78))),ISNUMBER(MATCH(BW78,{"123","1234","12345","123456","1234567","12345678","0123","01234","012345","98765","987654","54321"},0)),ISNUMBER(MATCH(BX78,{"x","xx","xxx","xxxx","xxxxx","abc","abcd","nil","na","nan","test","tbc","tba","tbd","dummy","sample","example","eg","zz","zzz","none","null","xyz","qwe","asd","id","ref"},0)),AND(LEN(BW78)=8,BX78="",OR(LEFT(BW78,3)="202",ISNUMBER(MATCH(RIGHT(BW78,4),{"2025","2026","2027"},0)))))),OR(AND((LEN(BT78)-LEN(SUBSTITUTE(BT78,"a","")))&gt;=1,(LEN(BN78)-LEN(SUBSTITUTE(BN78,"0","")))&gt;=2,SUMPRODUCT(--ISNUMBER(SEARCH({"a0","a-0","a_0","a/0","a.0","a#0","0a","0-a","0_a","0/a"},BN78)))&gt;0),AND((LEN(BN78)-LEN(SUBSTITUTE(BN78,"a","")))=0,(LEN(BN78)-LEN(SUBSTITUTE(BN78,"0","")))&gt;=5)))),1,0),0)</f>
        <v>0</v>
      </c>
      <c r="CA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78,"revision",""),"version",""),"jan",""),"feb",""),"mar",""),"apr",""),"may",""),"jun",""),"jul",""),"aug",""),"sep",""),"oct",""),"nov",""),"dec",""),"utc",""),"gmt",""),"myt",""),"bst",""),"rev",""),"ver",""),"b","a"),"c","a"),"d","a"),"e","a"),"f","a"),"g","a"),"h","a"),"i","a"),"j","a"),"k","a"),"l","a"),"m","a"),"n","a"),"o","a"),"p","a"),"q","a"),"r","a"),"s","a"),"t","a"),"u","a"),"v","a"),"w","a"),"x","a"),"y","a"),"z","a")</f>
        <v/>
      </c>
      <c r="CB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78&amp;""),"a",""),"b",""),"c",""),"d",""),"e",""),"f",""),"g",""),"h",""),"i",""),"j",""),"k",""),"l",""),"m",""),"n",""),"o",""),"p",""),"q",""),"r",""),"s",""),"t",""),"u",""),"v",""),"w",""),"x",""),"y",""),"z",""),"-",""),"_",""),"/",""),".",""),"#",""),"\\",""),":","")," ",""),"(",""),")","")</f>
        <v/>
      </c>
      <c r="CC78" s="0" t="str">
        <f aca="false">" "&amp;TRIM(SUBSTITUTE(SUBSTITUTE(SUBSTITUTE(SUBSTITUTE(SUBSTITUTE(SUBSTITUTE(SUBSTITUTE(SUBSTITUTE(SUBSTITUTE(SUBSTITUTE(SUBSTITUTE(SUBSTITUTE(SUBSTITUTE(SUBSTITUTE(SUBSTITUTE(SUBSTITUTE(SUBSTITUTE(SUBSTITUTE(SUBSTITUTE(SUBSTITUTE(SUBSTITUTE(SUBSTITUTE(SUBSTITUTE(SUBSTITUTE(LOWER(T78&amp;""),CHAR(10)," "),CHAR(13)," "),CHAR(9)," "),CHAR(160)," "),"."," "),","," "),"-"," "),"/"," "),"("," "),")"," "),":"," "),";"," "),"_"," "),"–"," "),"?"," "),"!"," "),"*"," "),"["," "),"]"," "),"'"," "),"#"," "),"+"," "),"&amp;"," "),"\"," "))&amp;" "</f>
        <v>  </v>
      </c>
      <c r="CD78" s="0" t="str">
        <f aca="false">" "&amp;TRIM(SUBSTITUTE(SUBSTITUTE(SUBSTITUTE(SUBSTITUTE(SUBSTITUTE(SUBSTITUTE(SUBSTITUTE(SUBSTITUTE(SUBSTITUTE(SUBSTITUTE(SUBSTITUTE(SUBSTITUTE(SUBSTITUTE(SUBSTITUTE(SUBSTITUTE(SUBSTITUTE(SUBSTITUTE(SUBSTITUTE(SUBSTITUTE(SUBSTITUTE(SUBSTITUTE(SUBSTITUTE(SUBSTITUTE(SUBSTITUTE(LOWER(AE78&amp;""),CHAR(10)," "),CHAR(13)," "),CHAR(9)," "),CHAR(160)," "),"."," "),","," "),"-"," "),"/"," "),"("," "),")"," "),":"," "),";"," "),"_"," "),"–"," "),"?"," "),"!"," "),"*"," "),"["," "),"]"," "),"'"," "),"#"," "),"+"," "),"&amp;"," "),"\"," "))&amp;" "</f>
        <v>  </v>
      </c>
      <c r="CE78" s="68" t="n">
        <f aca="false">IFERROR(IF(AND(LEN(AU78)&gt;0,LEN(AU78)=LEN(AX78),OR(TRIM(MID(SUBSTITUTE(TRIM(CC78)," ",REPT(" ",60)),1,60))="",ISNUMBER(SEARCH(" "&amp;TRIM(MID(SUBSTITUTE(TRIM(CC78)," ",REPT(" ",60)),1,60))&amp;" ",CD78))),OR(TRIM(MID(SUBSTITUTE(TRIM(CC78)," ",REPT(" ",60)),61,60))="",ISNUMBER(SEARCH(" "&amp;TRIM(MID(SUBSTITUTE(TRIM(CC78)," ",REPT(" ",60)),61,60))&amp;" ",CD78))),OR(TRIM(MID(SUBSTITUTE(TRIM(CC78)," ",REPT(" ",60)),121,60))="",ISNUMBER(SEARCH(" "&amp;TRIM(MID(SUBSTITUTE(TRIM(CC78)," ",REPT(" ",60)),121,60))&amp;" ",CD78)))),1,0),0)</f>
        <v>0</v>
      </c>
      <c r="CG78" s="68" t="n">
        <f aca="false">IFERROR(LEN(SUBSTITUTE(BF78," ",""))-SUMPRODUCT((LEN(BF78)-LEN(SUBSTITUTE(BF78," "&amp;L_NAFiller&amp;" "," ")))/(LEN(L_NAFiller)+1)*LEN(L_NAFiller)),0)</f>
        <v>0</v>
      </c>
    </row>
    <row r="79" customFormat="false" ht="39.75" hidden="false" customHeight="true" outlineLevel="0" collapsed="false">
      <c r="A79" s="57" t="s">
        <v>567</v>
      </c>
      <c r="B79" s="57" t="s">
        <v>212</v>
      </c>
      <c r="C79" s="57" t="str">
        <f aca="false">Flights!$F$7</f>
        <v>MH0720</v>
      </c>
      <c r="D79" s="58" t="n">
        <f aca="false">Flights!$D$7</f>
        <v>46305</v>
      </c>
      <c r="E79" s="57" t="str">
        <f aca="false">Flights!$G$7&amp;"-"&amp;Flights!$H$7</f>
        <v>CGK-KUL</v>
      </c>
      <c r="F79" s="57" t="str">
        <f aca="false">Flights!$K$7</f>
        <v>EY</v>
      </c>
      <c r="G79" s="57" t="s">
        <v>420</v>
      </c>
      <c r="H79" s="57" t="s">
        <v>378</v>
      </c>
      <c r="I79" s="57" t="s">
        <v>379</v>
      </c>
      <c r="J79" s="57" t="s">
        <v>421</v>
      </c>
      <c r="K79" s="67"/>
      <c r="L79" s="67" t="s">
        <v>422</v>
      </c>
      <c r="M79" s="67"/>
      <c r="N79" s="67" t="s">
        <v>383</v>
      </c>
      <c r="O79" s="67" t="s">
        <v>423</v>
      </c>
      <c r="P79" s="57" t="s">
        <v>201</v>
      </c>
      <c r="Q79" s="59" t="n">
        <f aca="false">ROUND((Flights!$AE$7)*1440,0)/1440</f>
        <v>46304.8784722222</v>
      </c>
      <c r="R79" s="59" t="n">
        <f aca="false">Q79+(IF(AND(INDEX(TZ_DSTS,MATCH(P79,TZ_STN,0))&lt;&gt;"",Q79&gt;=INDEX(TZ_DSTS,MATCH(P79,TZ_STN,0)),Q79&lt;INDEX(TZ_DSTE,MATCH(P79,TZ_STN,0))),INDEX(TZ_DST,MATCH(P79,TZ_STN,0)),INDEX(TZ_STD,MATCH(P79,TZ_STN,0))))/24</f>
        <v>46305.1701388889</v>
      </c>
      <c r="S79" s="60"/>
      <c r="T79" s="60"/>
      <c r="U79" s="60"/>
      <c r="V79" s="60"/>
      <c r="W79" s="61"/>
      <c r="X79" s="60"/>
      <c r="Y79" s="60"/>
      <c r="Z79" s="60"/>
      <c r="AA79" s="60"/>
      <c r="AB79" s="60"/>
      <c r="AC79" s="60"/>
      <c r="AD79" s="66"/>
      <c r="AE79" s="60"/>
      <c r="AF79" s="61" t="str">
        <f aca="false">IF(AND(ISNUMBER(X79),ISNUMBER(Y79)),Y79-X79,"")</f>
        <v/>
      </c>
      <c r="AG79" s="62" t="str">
        <f aca="false">IF(ISNUMBER(AD79),AD79-(IF(AND(INDEX(TZ_DSTS,MATCH(P79,TZ_STN,0))&lt;&gt;"",(AD79-INDEX(TZ_STD,MATCH(P79,TZ_STN,0))/24)&gt;=INDEX(TZ_DSTS,MATCH(P79,TZ_STN,0)),(AD79-INDEX(TZ_STD,MATCH(P79,TZ_STN,0))/24)&lt;INDEX(TZ_DSTE,MATCH(P79,TZ_STN,0))),INDEX(TZ_DST,MATCH(P79,TZ_STN,0)),INDEX(TZ_STD,MATCH(P79,TZ_STN,0))))/24,"")</f>
        <v/>
      </c>
      <c r="AH79" s="65" t="str">
        <f aca="false">IFERROR(IF(N79="N/A – rule",IF(OR(TRIM(U79)="",TRIM(U79)="N/A",TRIM(U79)="Not started"),"N/A – RULE","INVALID – this check does not apply to this aircraft: clear the status (or correct the fleet on Flights)"),IF(TRIM(U79)="N/A",IF(AT79=0,"INVALID – N/A not permitted for this check",IF(AND(TRIM(AB79)&lt;&gt;"",TRIM(AB79)&lt;&gt;"Closed"),"INVALID – corrective action still open",IF(AND(NOT(OR(LEN(AZ79)&lt;15,ISNUMBER(MATCH(AZ79,L_Placeholder,0)))),BK79=0,CG79&gt;=8,NOT(OR(LEN(AU79)&lt;2,ISNUMBER(MATCH(AU79,L_Placeholder,0)))),BR79&gt;=3,NOT(OR(LEN(AX79)&lt;2,ISNUMBER(MATCH(AX79,L_Placeholder,0)))),BS79&gt;=3,TRIM(AE79)&lt;&gt;TRIM(T79),AX79&lt;&gt;AU79,CE79=0),"N/A – JUSTIFIED","INVALID – N/A needs a real, settled reason (not 'not applicable' / 'as above' / TBC), a named PIC and a different named verifier"))),IF(OR(TRIM(U79)="Pass",TRIM(U79)="Pass after CA"),IF(NOT(ISNUMBER(AD79)),"INVALID – completion time missing",IF(OR(OR(LEN(AU79)&lt;2,ISNUMBER(MATCH(AU79,L_Placeholder,0))),BR79&lt;3),"INVALID – PIC missing or not a named person (a role such as QA / CSM is not a name)",IF(OR(LEN(AV79)&lt;2,ISNUMBER(MATCH(AV79,L_Placeholder,0))),"INVALID – result / assessment missing",IF(OR(OR(LEN(AW79)&lt;3,ISNUMBER(MATCH(AW79,L_Placeholder,0))),SUMPRODUCT(--ISNUMBER(SEARCH(" "&amp;L_EvidencePhrase&amp;" ",BD79)))&gt;0,BI79=1),"INVALID – evidence missing, placeholder or not yet on file",IF(ISNA(MATCH(TRIM(S79),L_EvidenceType,0)),"INVALID – choose the evidence type from the list (column S)",IF(BL79=0,"INVALID – evidence ID must be the record's own ID only (e.g. SF-2210, IMG_2231, 1045521); a link / file name needs type 'Link / file path'",IF(OR(OR(LEN(AX79)&lt;2,ISNUMBER(MATCH(AX79,L_Placeholder,0))),BS79&lt;3),"INVALID – verifier missing or not a named person (a role such as QA / CSM is not a name)",IF(OR(AX79=AU79,CE79=1,AND(LEN(AU79)&gt;=4,ISNUMBER(SEARCH(AU79,AX79))),AND(LEN(AX79)&gt;=4,ISNUMBER(SEARCH(AX79,AU79)))),"INVALID – verifier must be a different, named person (not the PIC or a role)",IF(BH79=1,"INVALID – result not yet available (awaiting / TBC)",IF(BG79=1,"INVALID – result describes a problem: record Fail, then Pass after CA (or reword if it is not a problem)",IF(BV79=1,"INVALID – wording says not on board: an on-board confirmation needs the item loaded",IF(AND(AQ79=1,OR(OR(LEN(AY79)&lt;3,ISNUMBER(MATCH(AY79,L_Placeholder,0))),BJ79=1,BQ79=0)),"INVALID – batch ID missing, placeholder or not an ID (e.g. PASB-261008-BC-017)",IF(AND(AR79=1,OR(NOT(ISNUMBER(X79)),NOT(ISNUMBER(Y79)))),"INVALID – expected/actual qty missing",IF(AND(AR79=1,OR(X79&lt;=0,Y79&lt;0)),"INVALID – expected qty must be above 0 and actual not negative",IF(BB79&lt;&gt;"",BB79,IF(AND(AS79=1,Documents!$J$7&lt;&gt;"ON FILE"),"INVALID – GLD not on file (Documents sheet)",IF(AND(AS79=2,Documents!$O$7&lt;&gt;"ON FILE"),"INVALID – menu checklist not on file (Documents sheet)",IF(AND(AS79=3,NOT(ISNUMBER(Flights!$AX$7))),"INVALID – enter carrying flight KUL departure (Flights AX)",IF(AND(AS79=3,OR(Flights!$AZ$7&gt;Flights!$AA$7,Flights!$AX$7&lt;Flights!$AA$7-3)),"INVALID – carrying flight (Flights AX) cannot arrive before this leg's STD, or is over 3 days early",IF(AG79&gt;AsOfUTC,"INVALID – completion time is in the future",IF(AND(ISNUMBER(BY79),AG79&lt;BY79),IF(H79="Physical uplift","INVALID – before uplift window (cannot confirm loading)","INVALID – before valid window"),IF(AG79&gt;Flights!$AA$7,"INVALID – completed after departure (cannot establish readiness)",IF(AND(H79="Preparation",AG79&gt;=IF(ISNUMBER(Flights!$BA$7),MIN(Flights!$BA$7,Flights!$AA$7),Flights!$AA$7)),"INVALID – completed after loading / departure (cannot establish readiness)",IF(AND(H79="Physical uplift",AG79&gt;Q79),"INVALID – recorded after the loading flight departed",IF(AG79&gt;Q79,"COMPLETE – LATE","COMPLETE"))))))))))))))))))))))))),IF(TRIM(U79)="Fail","FAIL – DISCREPANCY",IF(AND(TRIM(U79)&lt;&gt;"",TRIM(U79)&lt;&gt;"Not started",TRIM(U79)&lt;&gt;"In progress"),"INVALID – unrecognised status (use the list)",IF(AsOfUTC&gt;Q79,"OVERDUE",IF(N79="Clarification required","OPEN – CLARIFICATION","OPEN"))))))),"INVALID – error value in an input cell")</f>
        <v>OPEN</v>
      </c>
      <c r="AI79" s="61" t="n">
        <f aca="false">IF(OR(AH79="N/A – RULE",AH79="N/A – JUSTIFIED"),0,1)</f>
        <v>1</v>
      </c>
      <c r="AJ79" s="61" t="n">
        <f aca="false">IF(LEFT(AH79,8)="COMPLETE",1,0)</f>
        <v>0</v>
      </c>
      <c r="AK79" s="61" t="n">
        <f aca="false">IF(AND(AI79=1,AJ79=0,AsOfUTC&gt;Q79),1,0)</f>
        <v>0</v>
      </c>
      <c r="AL79" s="61" t="n">
        <f aca="false">IFERROR(IF(AND(AI79=1,OR(TRIM(U79)="Fail",AND(TRIM(AB79)&lt;&gt;"",TRIM(AB79)&lt;&gt;"Closed"),AND(ISNUMBER(AF79),AF79&lt;&gt;0,TRIM(U79)&lt;&gt;"Pass after CA"))),1,0),1)</f>
        <v>0</v>
      </c>
      <c r="AM79" s="61" t="n">
        <f aca="false">IF(LEFT(AH79,7)="INVALID",1,0)</f>
        <v>0</v>
      </c>
      <c r="AN79" s="61" t="n">
        <f aca="false">IF(AND(N79="Clarification required",AI79=1,AJ79=0),1,0)</f>
        <v>0</v>
      </c>
      <c r="AO79" s="61" t="str">
        <f aca="false">IF(AK79=1,SUM(AK$5:AK79),"")</f>
        <v/>
      </c>
      <c r="AP79" s="61" t="str">
        <f aca="false">IF(AL79=1,SUM(AL$5:AL79),"")</f>
        <v/>
      </c>
      <c r="AQ79" s="61" t="n">
        <v>0</v>
      </c>
      <c r="AR79" s="61" t="n">
        <v>0</v>
      </c>
      <c r="AS79" s="61" t="n">
        <v>0</v>
      </c>
      <c r="AT79" s="61" t="n">
        <v>0</v>
      </c>
      <c r="AU79" s="61" t="str">
        <f aca="false">SUBSTITUTE(SUBSTITUTE(SUBSTITUTE(SUBSTITUTE(SUBSTITUTE(SUBSTITUTE(SUBSTITUTE(SUBSTITUTE(SUBSTITUTE(SUBSTITUTE(SUBSTITUTE(SUBSTITUTE(SUBSTITUTE(SUBSTITUTE(SUBSTITUTE(SUBSTITUTE(LOWER(T79&amp;""),CHAR(10),""),CHAR(13),""),CHAR(9),""),CHAR(160),"")," ",""),".",""),"-",""),"/",""),"?",""),"_",""),",",""),"[",""),"]",""),"(",""),")",""),"*","")</f>
        <v/>
      </c>
      <c r="AV79" s="61" t="str">
        <f aca="false">SUBSTITUTE(SUBSTITUTE(SUBSTITUTE(SUBSTITUTE(SUBSTITUTE(SUBSTITUTE(SUBSTITUTE(SUBSTITUTE(SUBSTITUTE(SUBSTITUTE(SUBSTITUTE(SUBSTITUTE(SUBSTITUTE(SUBSTITUTE(SUBSTITUTE(SUBSTITUTE(LOWER(V79&amp;""),CHAR(10),""),CHAR(13),""),CHAR(9),""),CHAR(160),"")," ",""),".",""),"-",""),"/",""),"?",""),"_",""),",",""),"[",""),"]",""),"(",""),")",""),"*","")</f>
        <v/>
      </c>
      <c r="AW79" s="61" t="str">
        <f aca="false">SUBSTITUTE(SUBSTITUTE(SUBSTITUTE(SUBSTITUTE(SUBSTITUTE(SUBSTITUTE(SUBSTITUTE(SUBSTITUTE(SUBSTITUTE(SUBSTITUTE(SUBSTITUTE(SUBSTITUTE(SUBSTITUTE(SUBSTITUTE(SUBSTITUTE(SUBSTITUTE(LOWER(Z79&amp;""),CHAR(10),""),CHAR(13),""),CHAR(9),""),CHAR(160),"")," ",""),".",""),"-",""),"/",""),"?",""),"_",""),",",""),"[",""),"]",""),"(",""),")",""),"*","")</f>
        <v/>
      </c>
      <c r="AX79" s="61" t="str">
        <f aca="false">SUBSTITUTE(SUBSTITUTE(SUBSTITUTE(SUBSTITUTE(SUBSTITUTE(SUBSTITUTE(SUBSTITUTE(SUBSTITUTE(SUBSTITUTE(SUBSTITUTE(SUBSTITUTE(SUBSTITUTE(SUBSTITUTE(SUBSTITUTE(SUBSTITUTE(SUBSTITUTE(LOWER(AE79&amp;""),CHAR(10),""),CHAR(13),""),CHAR(9),""),CHAR(160),"")," ",""),".",""),"-",""),"/",""),"?",""),"_",""),",",""),"[",""),"]",""),"(",""),")",""),"*","")</f>
        <v/>
      </c>
      <c r="AY79" s="61" t="str">
        <f aca="false">SUBSTITUTE(SUBSTITUTE(SUBSTITUTE(SUBSTITUTE(SUBSTITUTE(SUBSTITUTE(SUBSTITUTE(SUBSTITUTE(SUBSTITUTE(SUBSTITUTE(SUBSTITUTE(SUBSTITUTE(SUBSTITUTE(SUBSTITUTE(SUBSTITUTE(SUBSTITUTE(LOWER(W79&amp;""),CHAR(10),""),CHAR(13),""),CHAR(9),""),CHAR(160),"")," ",""),".",""),"-",""),"/",""),"?",""),"_",""),",",""),"[",""),"]",""),"(",""),")",""),"*","")</f>
        <v/>
      </c>
      <c r="AZ79" s="61" t="str">
        <f aca="false">SUBSTITUTE(SUBSTITUTE(SUBSTITUTE(SUBSTITUTE(SUBSTITUTE(SUBSTITUTE(SUBSTITUTE(SUBSTITUTE(SUBSTITUTE(SUBSTITUTE(SUBSTITUTE(SUBSTITUTE(SUBSTITUTE(SUBSTITUTE(SUBSTITUTE(SUBSTITUTE(LOWER(AC79&amp;""),CHAR(10),""),CHAR(13),""),CHAR(9),""),CHAR(160),"")," ",""),".",""),"-",""),"/",""),"?",""),"_",""),",",""),"[",""),"]",""),"(",""),")",""),"*","")</f>
        <v/>
      </c>
      <c r="BA79" s="61" t="str">
        <f aca="false">SUBSTITUTE(SUBSTITUTE(SUBSTITUTE(SUBSTITUTE(SUBSTITUTE(SUBSTITUTE(SUBSTITUTE(SUBSTITUTE(SUBSTITUTE(SUBSTITUTE(SUBSTITUTE(SUBSTITUTE(SUBSTITUTE(SUBSTITUTE(SUBSTITUTE(SUBSTITUTE(LOWER(AA79&amp;""),CHAR(10),""),CHAR(13),""),CHAR(9),""),CHAR(160),"")," ",""),".",""),"-",""),"/",""),"?",""),"_",""),",",""),"[",""),"]",""),"(",""),")",""),"*","")</f>
        <v/>
      </c>
      <c r="BB79" s="61" t="str">
        <f aca="false">IF(AND(TRIM(U79)="Pass",ISNUMBER(AF79)),IF(AF79&lt;&gt;0,"INVALID – qty variance: use Fail or Pass after CA",""),"")&amp;IF(AND(TRIM(U79)="Pass after CA",ISNUMBER(AF79)),IF(AF79&lt;&gt;0,"INVALID – after the corrective action the actual qty must equal expected (update Actual)",""),"")&amp;IF(AND(TRIM(U79)="Pass",TRIM(AB79)&lt;&gt;"",TRIM(AB79)&lt;&gt;"Closed"),"INVALID – corrective action not closed: use Fail, then Pass after CA","")&amp;IF(AND(LEN(BA79)&gt;=2,ISNA(MATCH(LEFT(BA79,255),L_Placeholder,0)),TRIM(AB79)=""),"INVALID – CA status missing for the recorded corrective action","")&amp;IF(AND(TRIM(U79)="Pass after CA",OR(OR(LEN(BA79)&lt;5,ISNUMBER(MATCH(BA79,L_Placeholder,0))),TRIM(AB79)&lt;&gt;"Closed")),"INVALID – corrective action not recorded/closed","")</f>
        <v/>
      </c>
      <c r="BC79" s="61" t="str">
        <f aca="false">" "&amp;TRIM(SUBSTITUTE(SUBSTITUTE(SUBSTITUTE(SUBSTITUTE(SUBSTITUTE(SUBSTITUTE(SUBSTITUTE(SUBSTITUTE(SUBSTITUTE(SUBSTITUTE(SUBSTITUTE(SUBSTITUTE(SUBSTITUTE(SUBSTITUTE(SUBSTITUTE(SUBSTITUTE(SUBSTITUTE(SUBSTITUTE(SUBSTITUTE(SUBSTITUTE(SUBSTITUTE(SUBSTITUTE(SUBSTITUTE(SUBSTITUTE(LOWER(V79&amp;""),CHAR(10)," "),CHAR(13)," "),CHAR(9)," "),CHAR(160)," "),"."," "),","," "),"-"," "),"/"," "),"("," "),")"," "),":"," "),";"," "),"_"," "),"–"," "),"?"," "),"!"," "),"*"," "),"["," "),"]"," "),"'"," "),"#"," "),"+"," "),"&amp;"," "),"\"," "))&amp;" "</f>
        <v>  </v>
      </c>
      <c r="BD79" s="61" t="str">
        <f aca="false">" "&amp;TRIM(SUBSTITUTE(SUBSTITUTE(SUBSTITUTE(SUBSTITUTE(SUBSTITUTE(SUBSTITUTE(SUBSTITUTE(SUBSTITUTE(SUBSTITUTE(SUBSTITUTE(SUBSTITUTE(SUBSTITUTE(SUBSTITUTE(SUBSTITUTE(SUBSTITUTE(SUBSTITUTE(SUBSTITUTE(SUBSTITUTE(SUBSTITUTE(SUBSTITUTE(SUBSTITUTE(SUBSTITUTE(SUBSTITUTE(SUBSTITUTE(LOWER(Z79&amp;""),CHAR(10)," "),CHAR(13)," "),CHAR(9)," "),CHAR(160)," "),"."," "),","," "),"-"," "),"/"," "),"("," "),")"," "),":"," "),";"," "),"_"," "),"–"," "),"?"," "),"!"," "),"*"," "),"["," "),"]"," "),"'"," "),"#"," "),"+"," "),"&amp;"," "),"\"," "))&amp;" "</f>
        <v>  </v>
      </c>
      <c r="BE79" s="61" t="str">
        <f aca="false">" "&amp;TRIM(SUBSTITUTE(SUBSTITUTE(SUBSTITUTE(SUBSTITUTE(SUBSTITUTE(SUBSTITUTE(SUBSTITUTE(SUBSTITUTE(SUBSTITUTE(SUBSTITUTE(SUBSTITUTE(SUBSTITUTE(SUBSTITUTE(SUBSTITUTE(SUBSTITUTE(SUBSTITUTE(SUBSTITUTE(SUBSTITUTE(SUBSTITUTE(SUBSTITUTE(SUBSTITUTE(SUBSTITUTE(SUBSTITUTE(SUBSTITUTE(LOWER(W79&amp;""),CHAR(10)," "),CHAR(13)," "),CHAR(9)," "),CHAR(160)," "),"."," "),","," "),"-"," "),"/"," "),"("," "),")"," "),":"," "),";"," "),"_"," "),"–"," "),"?"," "),"!"," "),"*"," "),"["," "),"]"," "),"'"," "),"#"," "),"+"," "),"&amp;"," "),"\"," "))&amp;" "</f>
        <v>  </v>
      </c>
      <c r="BF79" s="61" t="str">
        <f aca="false">" "&amp;TRIM(SUBSTITUTE(SUBSTITUTE(SUBSTITUTE(SUBSTITUTE(SUBSTITUTE(SUBSTITUTE(SUBSTITUTE(SUBSTITUTE(SUBSTITUTE(SUBSTITUTE(SUBSTITUTE(SUBSTITUTE(SUBSTITUTE(SUBSTITUTE(SUBSTITUTE(SUBSTITUTE(SUBSTITUTE(SUBSTITUTE(SUBSTITUTE(SUBSTITUTE(SUBSTITUTE(SUBSTITUTE(SUBSTITUTE(SUBSTITUTE(LOWER(AC79&amp;""),CHAR(10)," "),CHAR(13)," "),CHAR(9)," "),CHAR(160)," "),"."," "),","," "),"-"," "),"/"," "),"("," "),")"," "),":"," "),";"," "),"_"," "),"–"," "),"?"," "),"!"," "),"*"," "),"["," "),"]"," "),"'"," "),"#"," "),"+"," "),"&amp;"," "),"\"," "))&amp;" "</f>
        <v>  </v>
      </c>
      <c r="BG79" s="61" t="n">
        <f aca="false">IFERROR(IF(AND(TRIM(U79)="Pass",SUMPRODUCT((LEN(BC79)-LEN(SUBSTITUTE(BC79," "&amp;L_ResultBad&amp;" "," ")))/(LEN(L_ResultBad)+1))&gt;SUMPRODUCT((LEN(BC79)-LEN(SUBSTITUTE(BC79," "&amp;L_NegPhrase&amp;" "," ")))/(LEN(L_NegPhrase)+1))),1,0),0)</f>
        <v>0</v>
      </c>
      <c r="BH79" s="61" t="n">
        <f aca="false">IFERROR(IF(SUMPRODUCT((LEN(BC79)-LEN(SUBSTITUTE(BC79," "&amp;L_Pending&amp;" "," ")))/(LEN(L_Pending)+1))&gt;SUMPRODUCT((LEN(BC79)-LEN(SUBSTITUTE(BC79," "&amp;L_PendNeg&amp;" "," ")))/(LEN(L_PendNeg)+1))+SUMPRODUCT((LEN(BC79)-LEN(SUBSTITUTE(BC79," "&amp;L_PendPrep&amp;" "," ")))/(LEN(L_PendPrep)+1)),1,0),1)</f>
        <v>0</v>
      </c>
      <c r="BI79" s="61" t="n">
        <f aca="false">IFERROR(IF(SUMPRODUCT((LEN(BD79)-LEN(SUBSTITUTE(BD79," "&amp;L_PendStrict&amp;" "," ")))/(LEN(L_PendStrict)+1))&gt;SUMPRODUCT((LEN(BD79)-LEN(SUBSTITUTE(BD79," "&amp;L_PendNeg&amp;" "," ")))/(LEN(L_PendNeg)+1)),1,0),1)</f>
        <v>0</v>
      </c>
      <c r="BJ79" s="61" t="n">
        <f aca="false">IFERROR(IF(SUMPRODUCT((LEN(BE79)-LEN(SUBSTITUTE(BE79," "&amp;L_Pending&amp;" "," ")))/(LEN(L_Pending)+1))&gt;SUMPRODUCT((LEN(BE79)-LEN(SUBSTITUTE(BE79," "&amp;L_PendNeg&amp;" "," ")))/(LEN(L_PendNeg)+1))+SUMPRODUCT((LEN(BE79)-LEN(SUBSTITUTE(BE79," "&amp;L_PendPrep&amp;" "," ")))/(LEN(L_PendPrep)+1)),1,0),1)</f>
        <v>0</v>
      </c>
      <c r="BK79" s="61" t="n">
        <f aca="false">IFERROR(IF(SUMPRODUCT((LEN(BF79)-LEN(SUBSTITUTE(BF79," "&amp;L_PendStrict&amp;" "," ")))/(LEN(L_PendStrict)+1))&gt;SUMPRODUCT((LEN(BF79)-LEN(SUBSTITUTE(BF79," "&amp;L_PendNeg&amp;" "," ")))/(LEN(L_PendNeg)+1)),1,0),1)</f>
        <v>0</v>
      </c>
      <c r="BL79" s="61" t="n">
        <f aca="false">IF(ISNA(MATCH(TRIM(S79),L_EvidenceType,0)),0,BZ79)</f>
        <v>0</v>
      </c>
      <c r="BM79" s="61" t="str">
        <f aca="false">SUBSTITUTE(SUBSTITUTE(SUBSTITUTE(SUBSTITUTE(SUBSTITUTE(SUBSTITUTE(SUBSTITUTE(SUBSTITUTE(SUBSTITUTE(LOWER(Z79&amp;""),"1","0"),"2","0"),"3","0"),"4","0"),"5","0"),"6","0"),"7","0"),"8","0"),"9","0")</f>
        <v/>
      </c>
      <c r="BN79" s="61" t="str">
        <f aca="false">SUBSTITUTE(SUBSTITUTE(SUBSTITUTE(SUBSTITUTE(SUBSTITUTE(SUBSTITUTE(SUBSTITUTE(SUBSTITUTE(SUBSTITUTE(SUBSTITUTE(SUBSTITUTE(SUBSTITUTE(SUBSTITUTE(SUBSTITUTE(SUBSTITUTE(SUBSTITUTE(SUBSTITUTE(SUBSTITUTE(SUBSTITUTE(SUBSTITUTE(SUBSTITUTE(SUBSTITUTE(SUBSTITUTE(SUBSTITUTE(SUBSTITUTE(BM79,"b","a"),"c","a"),"d","a"),"e","a"),"f","a"),"g","a"),"h","a"),"i","a"),"j","a"),"k","a"),"l","a"),"m","a"),"n","a"),"o","a"),"p","a"),"q","a"),"r","a"),"s","a"),"t","a"),"u","a"),"v","a"),"w","a"),"x","a"),"y","a"),"z","a")</f>
        <v/>
      </c>
      <c r="BO79" s="61" t="str">
        <f aca="false">SUBSTITUTE(SUBSTITUTE(SUBSTITUTE(SUBSTITUTE(SUBSTITUTE(SUBSTITUTE(SUBSTITUTE(SUBSTITUTE(SUBSTITUTE(LOWER(W79&amp;""),"1","0"),"2","0"),"3","0"),"4","0"),"5","0"),"6","0"),"7","0"),"8","0"),"9","0")</f>
        <v/>
      </c>
      <c r="BP79" s="61" t="str">
        <f aca="false">SUBSTITUTE(SUBSTITUTE(SUBSTITUTE(SUBSTITUTE(SUBSTITUTE(SUBSTITUTE(SUBSTITUTE(SUBSTITUTE(SUBSTITUTE(SUBSTITUTE(SUBSTITUTE(SUBSTITUTE(SUBSTITUTE(SUBSTITUTE(SUBSTITUTE(SUBSTITUTE(SUBSTITUTE(SUBSTITUTE(SUBSTITUTE(SUBSTITUTE(SUBSTITUTE(SUBSTITUTE(SUBSTITUTE(SUBSTITUTE(SUBSTITUTE(BO79,"b","a"),"c","a"),"d","a"),"e","a"),"f","a"),"g","a"),"h","a"),"i","a"),"j","a"),"k","a"),"l","a"),"m","a"),"n","a"),"o","a"),"p","a"),"q","a"),"r","a"),"s","a"),"t","a"),"u","a"),"v","a"),"w","a"),"x","a"),"y","a"),"z","a")</f>
        <v/>
      </c>
      <c r="BQ79" s="61" t="n">
        <f aca="false">IFERROR(IF(AND(ISERROR(SEARCH(" mh"," "&amp;LOWER(W79))),ISNA(MATCH(LEFT(TRIM(BP79),255),{"0000a","000a","00a","0000aa","000aa","00aa","0aa","0000aaa","000aaa","00a00","0a00","0000-0000","00:00","a00","a0","00.00.0000","00/00/0000","00-00-0000","0000-00-00","0000/00/00","0000.00.00","00.00.00","00/00/00","00-00-00","0.00.0000","0/00/0000","0-00-0000"},0)),ISNA(MATCH(LEFT(TRIM(CA79),255),{"0000a","000a","00a","0000aa","000aa","00aa","0aa","0000aaa","000aaa","00a00","0a00","0000-0000","00:00","a00","a0","00.00.0000","00/00/0000","00-00-0000","0000-00-00","0000/00/00","0000.00.00","00.00.00","00/00/00","00-00-00","0.00.0000","0/00/0000","0-00-0000"},0)),LEN(CB79)&gt;=3,NOT(OR(SUBSTITUTE(CB79,"0","")="",AND(LEN(CB79)&gt;=4,CB79=REPT(LEFT(CB79),LEN(CB79))),ISNUMBER(MATCH(CB79,{"123","1234","12345","123456","1234567","12345678","0123","01234","012345","98765","987654","54321"},0)),AND(LEN(CB79)=8,LEFT(CB79,3)="202"))),OR(AND((LEN(CA79)-LEN(SUBSTITUTE(CA79,"a","")))&gt;=1,SUMPRODUCT(--ISNUMBER(SEARCH({"a0","a-0","a_0","a/0","a.0","a#0","0a","0-a","0_a","0/a"},BP79)))&gt;0),ISNUMBER(SEARCH("000000",BP79)))),1,0),0)</f>
        <v>0</v>
      </c>
      <c r="BR79" s="61" t="n">
        <f aca="false">IFERROR(LEN(SUBSTITUTE(CC79," ",""))-SUMPRODUCT((LEN(CC79)-LEN(SUBSTITUTE(CC79," "&amp;L_Role&amp;" "," ")))/(LEN(L_Role)+1)*LEN(L_Role)),0)</f>
        <v>0</v>
      </c>
      <c r="BS79" s="61" t="n">
        <f aca="false">IFERROR(LEN(SUBSTITUTE(CD79," ",""))-SUMPRODUCT((LEN(CD79)-LEN(SUBSTITUTE(CD79," "&amp;L_Role&amp;" "," ")))/(LEN(L_Role)+1)*LEN(L_Role)),0)</f>
        <v>0</v>
      </c>
      <c r="BT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79,"revision",""),"version",""),"jan",""),"feb",""),"mar",""),"apr",""),"may",""),"jun",""),"jul",""),"aug",""),"sep",""),"oct",""),"nov",""),"dec",""),"utc",""),"gmt",""),"myt",""),"bst",""),"rev",""),"ver",""),"b","a"),"c","a"),"d","a"),"e","a"),"f","a"),"g","a"),"h","a"),"i","a"),"j","a"),"k","a"),"l","a"),"m","a"),"n","a"),"o","a"),"p","a"),"q","a"),"r","a"),"s","a"),"t","a"),"u","a"),"v","a"),"w","a"),"x","a"),"y","a"),"z","a")</f>
        <v/>
      </c>
      <c r="BU79" s="61" t="str">
        <f aca="false">SUBSTITUTE(SUBSTITUTE(SUBSTITUTE(SUBSTITUTE(SUBSTITUTE(SUBSTITUTE(SUBSTITUTE(SUBSTITUTE(SUBSTITUTE(SUBSTITUTE(LEFT(BM79,FIND("0",BM79&amp;"0")-1),"-",""),"_",""),"/",""),".",""),"#",""),"\\",""),":","")," ",""),"(",""),")","")</f>
        <v/>
      </c>
      <c r="BV79" s="61" t="n">
        <f aca="false">0</f>
        <v>0</v>
      </c>
      <c r="BW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79&amp;""),"a",""),"b",""),"c",""),"d",""),"e",""),"f",""),"g",""),"h",""),"i",""),"j",""),"k",""),"l",""),"m",""),"n",""),"o",""),"p",""),"q",""),"r",""),"s",""),"t",""),"u",""),"v",""),"w",""),"x",""),"y",""),"z",""),"-",""),"_",""),"/",""),".",""),"#",""),"\\",""),":","")," ",""),"(",""),")","")</f>
        <v/>
      </c>
      <c r="BX79" s="61" t="str">
        <f aca="false">SUBSTITUTE(SUBSTITUTE(SUBSTITUTE(SUBSTITUTE(SUBSTITUTE(SUBSTITUTE(SUBSTITUTE(SUBSTITUTE(SUBSTITUTE(SUBSTITUTE(SUBSTITUTE(BM79,"0",""),"-",""),"_",""),"/",""),".",""),"#",""),"\\",""),":","")," ",""),"(",""),")","")</f>
        <v/>
      </c>
      <c r="BY79" s="62" t="n">
        <f aca="false">Q79-T12EarlyH/24</f>
        <v>46304.3784722222</v>
      </c>
      <c r="BZ79" s="61" t="n">
        <f aca="false">IFERROR(IF(IF(TRIM(S79)="Link / file path",AND(LEN(TRIM(Z79))&gt;=5,SUMPRODUCT(--ISNUMBER(SEARCH({"http","www.","\\",":\",".pdf",".jpg",".jpeg",".png",".heic",".xls",".doc",".msg",".eml",".ppt",".txt",".zip"},Z79)))&gt;0),AND(ISERROR(FIND(" ",TRIM(Z79))),NOT(OR(SUMPRODUCT(--ISNUMBER(FIND({",",";","&amp;","+"},Z79)))&gt;0,SUMPRODUCT(--ISNUMBER(SEARCH({"0/aa","0\\aa"},BN79)))&gt;0)),NOT(SUMPRODUCT(--ISNUMBER(SEARCH({"http","www.","\\",":\",".pdf",".jpg",".jpeg",".png",".heic",".xls",".doc",".msg",".eml",".ppt",".txt",".zip"},Z79)))&gt;0),NOT(LOWER(TRIM(Z79))=LOWER(Flights!$F$7)),ISNA(MATCH(BU79,{"mh","rev","revision","ver","version","v","r","a","b","seat","tray","row","gate","bay","stand","page","pg","item","line","no","cart","galley","flight","flt","table","box","bag","oven","etd","eta","std","sta","atd","ata","qty","pax","x","time","tel","ph","mob","day","wk","week","utc","gmt","myt","lt"},0)),NOT(OR(ISNUMBER(MATCH(LEFT(BN79,255),{"0000a","000a","00a","0000aa","000aa","00aa","0aa","0000aaa","000aaa","00a00","0a00","0000-0000","00:00","a00","a0","00.00.0000","00/00/0000","00-00-0000","0000-00-00","0000/00/00","0000.00.00","00.00.00","00/00/00","00-00-00","0.00.0000","0/00/0000","0-00-0000"},0)),ISNUMBER(MATCH(LEFT(BT79,255),{"0000a","000a","00a","0000aa","000aa","00aa","0aa","0000aaa","000aaa","00a00","0a00","0000-0000","00:00","a00","a0","00.00.0000","00/00/0000","00-00-0000","0000-00-00","0000/00/00","0000.00.00","00.00.00","00/00/00","00-00-00","0.00.0000","0/00/0000","0-00-0000"},0)))),NOT(OR(AND(BW79&lt;&gt;"",SUBSTITUTE(BW79,"0","")=""),AND(LEN(BW79)&gt;=4,BW79=REPT(LEFT(BW79),LEN(BW79))),ISNUMBER(MATCH(BW79,{"123","1234","12345","123456","1234567","12345678","0123","01234","012345","98765","987654","54321"},0)),ISNUMBER(MATCH(BX79,{"x","xx","xxx","xxxx","xxxxx","abc","abcd","nil","na","nan","test","tbc","tba","tbd","dummy","sample","example","eg","zz","zzz","none","null","xyz","qwe","asd","id","ref"},0)),AND(LEN(BW79)=8,BX79="",OR(LEFT(BW79,3)="202",ISNUMBER(MATCH(RIGHT(BW79,4),{"2025","2026","2027"},0)))))),OR(AND((LEN(BT79)-LEN(SUBSTITUTE(BT79,"a","")))&gt;=1,(LEN(BN79)-LEN(SUBSTITUTE(BN79,"0","")))&gt;=2,SUMPRODUCT(--ISNUMBER(SEARCH({"a0","a-0","a_0","a/0","a.0","a#0","0a","0-a","0_a","0/a"},BN79)))&gt;0),AND((LEN(BN79)-LEN(SUBSTITUTE(BN79,"a","")))=0,(LEN(BN79)-LEN(SUBSTITUTE(BN79,"0","")))&gt;=5)))),1,0),0)</f>
        <v>0</v>
      </c>
      <c r="CA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79,"revision",""),"version",""),"jan",""),"feb",""),"mar",""),"apr",""),"may",""),"jun",""),"jul",""),"aug",""),"sep",""),"oct",""),"nov",""),"dec",""),"utc",""),"gmt",""),"myt",""),"bst",""),"rev",""),"ver",""),"b","a"),"c","a"),"d","a"),"e","a"),"f","a"),"g","a"),"h","a"),"i","a"),"j","a"),"k","a"),"l","a"),"m","a"),"n","a"),"o","a"),"p","a"),"q","a"),"r","a"),"s","a"),"t","a"),"u","a"),"v","a"),"w","a"),"x","a"),"y","a"),"z","a")</f>
        <v/>
      </c>
      <c r="CB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79&amp;""),"a",""),"b",""),"c",""),"d",""),"e",""),"f",""),"g",""),"h",""),"i",""),"j",""),"k",""),"l",""),"m",""),"n",""),"o",""),"p",""),"q",""),"r",""),"s",""),"t",""),"u",""),"v",""),"w",""),"x",""),"y",""),"z",""),"-",""),"_",""),"/",""),".",""),"#",""),"\\",""),":","")," ",""),"(",""),")","")</f>
        <v/>
      </c>
      <c r="CC79" s="0" t="str">
        <f aca="false">" "&amp;TRIM(SUBSTITUTE(SUBSTITUTE(SUBSTITUTE(SUBSTITUTE(SUBSTITUTE(SUBSTITUTE(SUBSTITUTE(SUBSTITUTE(SUBSTITUTE(SUBSTITUTE(SUBSTITUTE(SUBSTITUTE(SUBSTITUTE(SUBSTITUTE(SUBSTITUTE(SUBSTITUTE(SUBSTITUTE(SUBSTITUTE(SUBSTITUTE(SUBSTITUTE(SUBSTITUTE(SUBSTITUTE(SUBSTITUTE(SUBSTITUTE(LOWER(T79&amp;""),CHAR(10)," "),CHAR(13)," "),CHAR(9)," "),CHAR(160)," "),"."," "),","," "),"-"," "),"/"," "),"("," "),")"," "),":"," "),";"," "),"_"," "),"–"," "),"?"," "),"!"," "),"*"," "),"["," "),"]"," "),"'"," "),"#"," "),"+"," "),"&amp;"," "),"\"," "))&amp;" "</f>
        <v>  </v>
      </c>
      <c r="CD79" s="0" t="str">
        <f aca="false">" "&amp;TRIM(SUBSTITUTE(SUBSTITUTE(SUBSTITUTE(SUBSTITUTE(SUBSTITUTE(SUBSTITUTE(SUBSTITUTE(SUBSTITUTE(SUBSTITUTE(SUBSTITUTE(SUBSTITUTE(SUBSTITUTE(SUBSTITUTE(SUBSTITUTE(SUBSTITUTE(SUBSTITUTE(SUBSTITUTE(SUBSTITUTE(SUBSTITUTE(SUBSTITUTE(SUBSTITUTE(SUBSTITUTE(SUBSTITUTE(SUBSTITUTE(LOWER(AE79&amp;""),CHAR(10)," "),CHAR(13)," "),CHAR(9)," "),CHAR(160)," "),"."," "),","," "),"-"," "),"/"," "),"("," "),")"," "),":"," "),";"," "),"_"," "),"–"," "),"?"," "),"!"," "),"*"," "),"["," "),"]"," "),"'"," "),"#"," "),"+"," "),"&amp;"," "),"\"," "))&amp;" "</f>
        <v>  </v>
      </c>
      <c r="CE79" s="68" t="n">
        <f aca="false">IFERROR(IF(AND(LEN(AU79)&gt;0,LEN(AU79)=LEN(AX79),OR(TRIM(MID(SUBSTITUTE(TRIM(CC79)," ",REPT(" ",60)),1,60))="",ISNUMBER(SEARCH(" "&amp;TRIM(MID(SUBSTITUTE(TRIM(CC79)," ",REPT(" ",60)),1,60))&amp;" ",CD79))),OR(TRIM(MID(SUBSTITUTE(TRIM(CC79)," ",REPT(" ",60)),61,60))="",ISNUMBER(SEARCH(" "&amp;TRIM(MID(SUBSTITUTE(TRIM(CC79)," ",REPT(" ",60)),61,60))&amp;" ",CD79))),OR(TRIM(MID(SUBSTITUTE(TRIM(CC79)," ",REPT(" ",60)),121,60))="",ISNUMBER(SEARCH(" "&amp;TRIM(MID(SUBSTITUTE(TRIM(CC79)," ",REPT(" ",60)),121,60))&amp;" ",CD79)))),1,0),0)</f>
        <v>0</v>
      </c>
      <c r="CG79" s="68" t="n">
        <f aca="false">IFERROR(LEN(SUBSTITUTE(BF79," ",""))-SUMPRODUCT((LEN(BF79)-LEN(SUBSTITUTE(BF79," "&amp;L_NAFiller&amp;" "," ")))/(LEN(L_NAFiller)+1)*LEN(L_NAFiller)),0)</f>
        <v>0</v>
      </c>
    </row>
    <row r="80" customFormat="false" ht="39.75" hidden="false" customHeight="true" outlineLevel="0" collapsed="false">
      <c r="A80" s="57" t="s">
        <v>568</v>
      </c>
      <c r="B80" s="57" t="s">
        <v>212</v>
      </c>
      <c r="C80" s="57" t="str">
        <f aca="false">Flights!$F$7</f>
        <v>MH0720</v>
      </c>
      <c r="D80" s="58" t="n">
        <f aca="false">Flights!$D$7</f>
        <v>46305</v>
      </c>
      <c r="E80" s="57" t="str">
        <f aca="false">Flights!$G$7&amp;"-"&amp;Flights!$H$7</f>
        <v>CGK-KUL</v>
      </c>
      <c r="F80" s="57" t="str">
        <f aca="false">Flights!$K$7</f>
        <v>EY</v>
      </c>
      <c r="G80" s="57" t="s">
        <v>420</v>
      </c>
      <c r="H80" s="57" t="s">
        <v>378</v>
      </c>
      <c r="I80" s="57" t="s">
        <v>379</v>
      </c>
      <c r="J80" s="57" t="s">
        <v>425</v>
      </c>
      <c r="K80" s="67" t="s">
        <v>426</v>
      </c>
      <c r="L80" s="67" t="s">
        <v>422</v>
      </c>
      <c r="M80" s="67"/>
      <c r="N80" s="67" t="s">
        <v>383</v>
      </c>
      <c r="O80" s="67" t="s">
        <v>423</v>
      </c>
      <c r="P80" s="57" t="s">
        <v>201</v>
      </c>
      <c r="Q80" s="59" t="n">
        <f aca="false">ROUND((Flights!$AE$7)*1440,0)/1440</f>
        <v>46304.8784722222</v>
      </c>
      <c r="R80" s="59" t="n">
        <f aca="false">Q80+(IF(AND(INDEX(TZ_DSTS,MATCH(P80,TZ_STN,0))&lt;&gt;"",Q80&gt;=INDEX(TZ_DSTS,MATCH(P80,TZ_STN,0)),Q80&lt;INDEX(TZ_DSTE,MATCH(P80,TZ_STN,0))),INDEX(TZ_DST,MATCH(P80,TZ_STN,0)),INDEX(TZ_STD,MATCH(P80,TZ_STN,0))))/24</f>
        <v>46305.1701388889</v>
      </c>
      <c r="S80" s="60"/>
      <c r="T80" s="60"/>
      <c r="U80" s="60"/>
      <c r="V80" s="60"/>
      <c r="W80" s="61"/>
      <c r="X80" s="60"/>
      <c r="Y80" s="60"/>
      <c r="Z80" s="60"/>
      <c r="AA80" s="60"/>
      <c r="AB80" s="60"/>
      <c r="AC80" s="60"/>
      <c r="AD80" s="66"/>
      <c r="AE80" s="60"/>
      <c r="AF80" s="61" t="str">
        <f aca="false">IF(AND(ISNUMBER(X80),ISNUMBER(Y80)),Y80-X80,"")</f>
        <v/>
      </c>
      <c r="AG80" s="62" t="str">
        <f aca="false">IF(ISNUMBER(AD80),AD80-(IF(AND(INDEX(TZ_DSTS,MATCH(P80,TZ_STN,0))&lt;&gt;"",(AD80-INDEX(TZ_STD,MATCH(P80,TZ_STN,0))/24)&gt;=INDEX(TZ_DSTS,MATCH(P80,TZ_STN,0)),(AD80-INDEX(TZ_STD,MATCH(P80,TZ_STN,0))/24)&lt;INDEX(TZ_DSTE,MATCH(P80,TZ_STN,0))),INDEX(TZ_DST,MATCH(P80,TZ_STN,0)),INDEX(TZ_STD,MATCH(P80,TZ_STN,0))))/24,"")</f>
        <v/>
      </c>
      <c r="AH80" s="65" t="str">
        <f aca="false">IFERROR(IF(N80="N/A – rule",IF(OR(TRIM(U80)="",TRIM(U80)="N/A",TRIM(U80)="Not started"),"N/A – RULE","INVALID – this check does not apply to this aircraft: clear the status (or correct the fleet on Flights)"),IF(TRIM(U80)="N/A",IF(AT80=0,"INVALID – N/A not permitted for this check",IF(AND(TRIM(AB80)&lt;&gt;"",TRIM(AB80)&lt;&gt;"Closed"),"INVALID – corrective action still open",IF(AND(NOT(OR(LEN(AZ80)&lt;15,ISNUMBER(MATCH(AZ80,L_Placeholder,0)))),BK80=0,CG80&gt;=8,NOT(OR(LEN(AU80)&lt;2,ISNUMBER(MATCH(AU80,L_Placeholder,0)))),BR80&gt;=3,NOT(OR(LEN(AX80)&lt;2,ISNUMBER(MATCH(AX80,L_Placeholder,0)))),BS80&gt;=3,TRIM(AE80)&lt;&gt;TRIM(T80),AX80&lt;&gt;AU80,CE80=0),"N/A – JUSTIFIED","INVALID – N/A needs a real, settled reason (not 'not applicable' / 'as above' / TBC), a named PIC and a different named verifier"))),IF(OR(TRIM(U80)="Pass",TRIM(U80)="Pass after CA"),IF(NOT(ISNUMBER(AD80)),"INVALID – completion time missing",IF(OR(OR(LEN(AU80)&lt;2,ISNUMBER(MATCH(AU80,L_Placeholder,0))),BR80&lt;3),"INVALID – PIC missing or not a named person (a role such as QA / CSM is not a name)",IF(OR(LEN(AV80)&lt;2,ISNUMBER(MATCH(AV80,L_Placeholder,0))),"INVALID – result / assessment missing",IF(OR(OR(LEN(AW80)&lt;3,ISNUMBER(MATCH(AW80,L_Placeholder,0))),SUMPRODUCT(--ISNUMBER(SEARCH(" "&amp;L_EvidencePhrase&amp;" ",BD80)))&gt;0,BI80=1),"INVALID – evidence missing, placeholder or not yet on file",IF(ISNA(MATCH(TRIM(S80),L_EvidenceType,0)),"INVALID – choose the evidence type from the list (column S)",IF(BL80=0,"INVALID – evidence ID must be the record's own ID only (e.g. SF-2210, IMG_2231, 1045521); a link / file name needs type 'Link / file path'",IF(OR(OR(LEN(AX80)&lt;2,ISNUMBER(MATCH(AX80,L_Placeholder,0))),BS80&lt;3),"INVALID – verifier missing or not a named person (a role such as QA / CSM is not a name)",IF(OR(AX80=AU80,CE80=1,AND(LEN(AU80)&gt;=4,ISNUMBER(SEARCH(AU80,AX80))),AND(LEN(AX80)&gt;=4,ISNUMBER(SEARCH(AX80,AU80)))),"INVALID – verifier must be a different, named person (not the PIC or a role)",IF(BH80=1,"INVALID – result not yet available (awaiting / TBC)",IF(BG80=1,"INVALID – result describes a problem: record Fail, then Pass after CA (or reword if it is not a problem)",IF(BV80=1,"INVALID – wording says not on board: an on-board confirmation needs the item loaded",IF(AND(AQ80=1,OR(OR(LEN(AY80)&lt;3,ISNUMBER(MATCH(AY80,L_Placeholder,0))),BJ80=1,BQ80=0)),"INVALID – batch ID missing, placeholder or not an ID (e.g. PASB-261008-BC-017)",IF(AND(AR80=1,OR(NOT(ISNUMBER(X80)),NOT(ISNUMBER(Y80)))),"INVALID – expected/actual qty missing",IF(AND(AR80=1,OR(X80&lt;=0,Y80&lt;0)),"INVALID – expected qty must be above 0 and actual not negative",IF(BB80&lt;&gt;"",BB80,IF(AND(AS80=1,Documents!$J$7&lt;&gt;"ON FILE"),"INVALID – GLD not on file (Documents sheet)",IF(AND(AS80=2,Documents!$O$7&lt;&gt;"ON FILE"),"INVALID – menu checklist not on file (Documents sheet)",IF(AND(AS80=3,NOT(ISNUMBER(Flights!$AX$7))),"INVALID – enter carrying flight KUL departure (Flights AX)",IF(AND(AS80=3,OR(Flights!$AZ$7&gt;Flights!$AA$7,Flights!$AX$7&lt;Flights!$AA$7-3)),"INVALID – carrying flight (Flights AX) cannot arrive before this leg's STD, or is over 3 days early",IF(AG80&gt;AsOfUTC,"INVALID – completion time is in the future",IF(AND(ISNUMBER(BY80),AG80&lt;BY80),IF(H80="Physical uplift","INVALID – before uplift window (cannot confirm loading)","INVALID – before valid window"),IF(AG80&gt;Flights!$AA$7,"INVALID – completed after departure (cannot establish readiness)",IF(AND(H80="Preparation",AG80&gt;=IF(ISNUMBER(Flights!$BA$7),MIN(Flights!$BA$7,Flights!$AA$7),Flights!$AA$7)),"INVALID – completed after loading / departure (cannot establish readiness)",IF(AND(H80="Physical uplift",AG80&gt;Q80),"INVALID – recorded after the loading flight departed",IF(AG80&gt;Q80,"COMPLETE – LATE","COMPLETE"))))))))))))))))))))))))),IF(TRIM(U80)="Fail","FAIL – DISCREPANCY",IF(AND(TRIM(U80)&lt;&gt;"",TRIM(U80)&lt;&gt;"Not started",TRIM(U80)&lt;&gt;"In progress"),"INVALID – unrecognised status (use the list)",IF(AsOfUTC&gt;Q80,"OVERDUE",IF(N80="Clarification required","OPEN – CLARIFICATION","OPEN"))))))),"INVALID – error value in an input cell")</f>
        <v>OPEN</v>
      </c>
      <c r="AI80" s="61" t="n">
        <f aca="false">IF(OR(AH80="N/A – RULE",AH80="N/A – JUSTIFIED"),0,1)</f>
        <v>1</v>
      </c>
      <c r="AJ80" s="61" t="n">
        <f aca="false">IF(LEFT(AH80,8)="COMPLETE",1,0)</f>
        <v>0</v>
      </c>
      <c r="AK80" s="61" t="n">
        <f aca="false">IF(AND(AI80=1,AJ80=0,AsOfUTC&gt;Q80),1,0)</f>
        <v>0</v>
      </c>
      <c r="AL80" s="61" t="n">
        <f aca="false">IFERROR(IF(AND(AI80=1,OR(TRIM(U80)="Fail",AND(TRIM(AB80)&lt;&gt;"",TRIM(AB80)&lt;&gt;"Closed"),AND(ISNUMBER(AF80),AF80&lt;&gt;0,TRIM(U80)&lt;&gt;"Pass after CA"))),1,0),1)</f>
        <v>0</v>
      </c>
      <c r="AM80" s="61" t="n">
        <f aca="false">IF(LEFT(AH80,7)="INVALID",1,0)</f>
        <v>0</v>
      </c>
      <c r="AN80" s="61" t="n">
        <f aca="false">IF(AND(N80="Clarification required",AI80=1,AJ80=0),1,0)</f>
        <v>0</v>
      </c>
      <c r="AO80" s="61" t="str">
        <f aca="false">IF(AK80=1,SUM(AK$5:AK80),"")</f>
        <v/>
      </c>
      <c r="AP80" s="61" t="str">
        <f aca="false">IF(AL80=1,SUM(AL$5:AL80),"")</f>
        <v/>
      </c>
      <c r="AQ80" s="61" t="n">
        <v>0</v>
      </c>
      <c r="AR80" s="61" t="n">
        <v>1</v>
      </c>
      <c r="AS80" s="61" t="n">
        <v>0</v>
      </c>
      <c r="AT80" s="61" t="n">
        <v>0</v>
      </c>
      <c r="AU80" s="61" t="str">
        <f aca="false">SUBSTITUTE(SUBSTITUTE(SUBSTITUTE(SUBSTITUTE(SUBSTITUTE(SUBSTITUTE(SUBSTITUTE(SUBSTITUTE(SUBSTITUTE(SUBSTITUTE(SUBSTITUTE(SUBSTITUTE(SUBSTITUTE(SUBSTITUTE(SUBSTITUTE(SUBSTITUTE(LOWER(T80&amp;""),CHAR(10),""),CHAR(13),""),CHAR(9),""),CHAR(160),"")," ",""),".",""),"-",""),"/",""),"?",""),"_",""),",",""),"[",""),"]",""),"(",""),")",""),"*","")</f>
        <v/>
      </c>
      <c r="AV80" s="61" t="str">
        <f aca="false">SUBSTITUTE(SUBSTITUTE(SUBSTITUTE(SUBSTITUTE(SUBSTITUTE(SUBSTITUTE(SUBSTITUTE(SUBSTITUTE(SUBSTITUTE(SUBSTITUTE(SUBSTITUTE(SUBSTITUTE(SUBSTITUTE(SUBSTITUTE(SUBSTITUTE(SUBSTITUTE(LOWER(V80&amp;""),CHAR(10),""),CHAR(13),""),CHAR(9),""),CHAR(160),"")," ",""),".",""),"-",""),"/",""),"?",""),"_",""),",",""),"[",""),"]",""),"(",""),")",""),"*","")</f>
        <v/>
      </c>
      <c r="AW80" s="61" t="str">
        <f aca="false">SUBSTITUTE(SUBSTITUTE(SUBSTITUTE(SUBSTITUTE(SUBSTITUTE(SUBSTITUTE(SUBSTITUTE(SUBSTITUTE(SUBSTITUTE(SUBSTITUTE(SUBSTITUTE(SUBSTITUTE(SUBSTITUTE(SUBSTITUTE(SUBSTITUTE(SUBSTITUTE(LOWER(Z80&amp;""),CHAR(10),""),CHAR(13),""),CHAR(9),""),CHAR(160),"")," ",""),".",""),"-",""),"/",""),"?",""),"_",""),",",""),"[",""),"]",""),"(",""),")",""),"*","")</f>
        <v/>
      </c>
      <c r="AX80" s="61" t="str">
        <f aca="false">SUBSTITUTE(SUBSTITUTE(SUBSTITUTE(SUBSTITUTE(SUBSTITUTE(SUBSTITUTE(SUBSTITUTE(SUBSTITUTE(SUBSTITUTE(SUBSTITUTE(SUBSTITUTE(SUBSTITUTE(SUBSTITUTE(SUBSTITUTE(SUBSTITUTE(SUBSTITUTE(LOWER(AE80&amp;""),CHAR(10),""),CHAR(13),""),CHAR(9),""),CHAR(160),"")," ",""),".",""),"-",""),"/",""),"?",""),"_",""),",",""),"[",""),"]",""),"(",""),")",""),"*","")</f>
        <v/>
      </c>
      <c r="AY80" s="61" t="str">
        <f aca="false">SUBSTITUTE(SUBSTITUTE(SUBSTITUTE(SUBSTITUTE(SUBSTITUTE(SUBSTITUTE(SUBSTITUTE(SUBSTITUTE(SUBSTITUTE(SUBSTITUTE(SUBSTITUTE(SUBSTITUTE(SUBSTITUTE(SUBSTITUTE(SUBSTITUTE(SUBSTITUTE(LOWER(W80&amp;""),CHAR(10),""),CHAR(13),""),CHAR(9),""),CHAR(160),"")," ",""),".",""),"-",""),"/",""),"?",""),"_",""),",",""),"[",""),"]",""),"(",""),")",""),"*","")</f>
        <v/>
      </c>
      <c r="AZ80" s="61" t="str">
        <f aca="false">SUBSTITUTE(SUBSTITUTE(SUBSTITUTE(SUBSTITUTE(SUBSTITUTE(SUBSTITUTE(SUBSTITUTE(SUBSTITUTE(SUBSTITUTE(SUBSTITUTE(SUBSTITUTE(SUBSTITUTE(SUBSTITUTE(SUBSTITUTE(SUBSTITUTE(SUBSTITUTE(LOWER(AC80&amp;""),CHAR(10),""),CHAR(13),""),CHAR(9),""),CHAR(160),"")," ",""),".",""),"-",""),"/",""),"?",""),"_",""),",",""),"[",""),"]",""),"(",""),")",""),"*","")</f>
        <v/>
      </c>
      <c r="BA80" s="61" t="str">
        <f aca="false">SUBSTITUTE(SUBSTITUTE(SUBSTITUTE(SUBSTITUTE(SUBSTITUTE(SUBSTITUTE(SUBSTITUTE(SUBSTITUTE(SUBSTITUTE(SUBSTITUTE(SUBSTITUTE(SUBSTITUTE(SUBSTITUTE(SUBSTITUTE(SUBSTITUTE(SUBSTITUTE(LOWER(AA80&amp;""),CHAR(10),""),CHAR(13),""),CHAR(9),""),CHAR(160),"")," ",""),".",""),"-",""),"/",""),"?",""),"_",""),",",""),"[",""),"]",""),"(",""),")",""),"*","")</f>
        <v/>
      </c>
      <c r="BB80" s="61" t="str">
        <f aca="false">IF(AND(TRIM(U80)="Pass",ISNUMBER(AF80)),IF(AF80&lt;&gt;0,"INVALID – qty variance: use Fail or Pass after CA",""),"")&amp;IF(AND(TRIM(U80)="Pass after CA",ISNUMBER(AF80)),IF(AF80&lt;&gt;0,"INVALID – after the corrective action the actual qty must equal expected (update Actual)",""),"")&amp;IF(AND(TRIM(U80)="Pass",TRIM(AB80)&lt;&gt;"",TRIM(AB80)&lt;&gt;"Closed"),"INVALID – corrective action not closed: use Fail, then Pass after CA","")&amp;IF(AND(LEN(BA80)&gt;=2,ISNA(MATCH(LEFT(BA80,255),L_Placeholder,0)),TRIM(AB80)=""),"INVALID – CA status missing for the recorded corrective action","")&amp;IF(AND(TRIM(U80)="Pass after CA",OR(OR(LEN(BA80)&lt;5,ISNUMBER(MATCH(BA80,L_Placeholder,0))),TRIM(AB80)&lt;&gt;"Closed")),"INVALID – corrective action not recorded/closed","")</f>
        <v/>
      </c>
      <c r="BC80" s="61" t="str">
        <f aca="false">" "&amp;TRIM(SUBSTITUTE(SUBSTITUTE(SUBSTITUTE(SUBSTITUTE(SUBSTITUTE(SUBSTITUTE(SUBSTITUTE(SUBSTITUTE(SUBSTITUTE(SUBSTITUTE(SUBSTITUTE(SUBSTITUTE(SUBSTITUTE(SUBSTITUTE(SUBSTITUTE(SUBSTITUTE(SUBSTITUTE(SUBSTITUTE(SUBSTITUTE(SUBSTITUTE(SUBSTITUTE(SUBSTITUTE(SUBSTITUTE(SUBSTITUTE(LOWER(V80&amp;""),CHAR(10)," "),CHAR(13)," "),CHAR(9)," "),CHAR(160)," "),"."," "),","," "),"-"," "),"/"," "),"("," "),")"," "),":"," "),";"," "),"_"," "),"–"," "),"?"," "),"!"," "),"*"," "),"["," "),"]"," "),"'"," "),"#"," "),"+"," "),"&amp;"," "),"\"," "))&amp;" "</f>
        <v>  </v>
      </c>
      <c r="BD80" s="61" t="str">
        <f aca="false">" "&amp;TRIM(SUBSTITUTE(SUBSTITUTE(SUBSTITUTE(SUBSTITUTE(SUBSTITUTE(SUBSTITUTE(SUBSTITUTE(SUBSTITUTE(SUBSTITUTE(SUBSTITUTE(SUBSTITUTE(SUBSTITUTE(SUBSTITUTE(SUBSTITUTE(SUBSTITUTE(SUBSTITUTE(SUBSTITUTE(SUBSTITUTE(SUBSTITUTE(SUBSTITUTE(SUBSTITUTE(SUBSTITUTE(SUBSTITUTE(SUBSTITUTE(LOWER(Z80&amp;""),CHAR(10)," "),CHAR(13)," "),CHAR(9)," "),CHAR(160)," "),"."," "),","," "),"-"," "),"/"," "),"("," "),")"," "),":"," "),";"," "),"_"," "),"–"," "),"?"," "),"!"," "),"*"," "),"["," "),"]"," "),"'"," "),"#"," "),"+"," "),"&amp;"," "),"\"," "))&amp;" "</f>
        <v>  </v>
      </c>
      <c r="BE80" s="61" t="str">
        <f aca="false">" "&amp;TRIM(SUBSTITUTE(SUBSTITUTE(SUBSTITUTE(SUBSTITUTE(SUBSTITUTE(SUBSTITUTE(SUBSTITUTE(SUBSTITUTE(SUBSTITUTE(SUBSTITUTE(SUBSTITUTE(SUBSTITUTE(SUBSTITUTE(SUBSTITUTE(SUBSTITUTE(SUBSTITUTE(SUBSTITUTE(SUBSTITUTE(SUBSTITUTE(SUBSTITUTE(SUBSTITUTE(SUBSTITUTE(SUBSTITUTE(SUBSTITUTE(LOWER(W80&amp;""),CHAR(10)," "),CHAR(13)," "),CHAR(9)," "),CHAR(160)," "),"."," "),","," "),"-"," "),"/"," "),"("," "),")"," "),":"," "),";"," "),"_"," "),"–"," "),"?"," "),"!"," "),"*"," "),"["," "),"]"," "),"'"," "),"#"," "),"+"," "),"&amp;"," "),"\"," "))&amp;" "</f>
        <v>  </v>
      </c>
      <c r="BF80" s="61" t="str">
        <f aca="false">" "&amp;TRIM(SUBSTITUTE(SUBSTITUTE(SUBSTITUTE(SUBSTITUTE(SUBSTITUTE(SUBSTITUTE(SUBSTITUTE(SUBSTITUTE(SUBSTITUTE(SUBSTITUTE(SUBSTITUTE(SUBSTITUTE(SUBSTITUTE(SUBSTITUTE(SUBSTITUTE(SUBSTITUTE(SUBSTITUTE(SUBSTITUTE(SUBSTITUTE(SUBSTITUTE(SUBSTITUTE(SUBSTITUTE(SUBSTITUTE(SUBSTITUTE(LOWER(AC80&amp;""),CHAR(10)," "),CHAR(13)," "),CHAR(9)," "),CHAR(160)," "),"."," "),","," "),"-"," "),"/"," "),"("," "),")"," "),":"," "),";"," "),"_"," "),"–"," "),"?"," "),"!"," "),"*"," "),"["," "),"]"," "),"'"," "),"#"," "),"+"," "),"&amp;"," "),"\"," "))&amp;" "</f>
        <v>  </v>
      </c>
      <c r="BG80" s="61" t="n">
        <f aca="false">IFERROR(IF(AND(TRIM(U80)="Pass",SUMPRODUCT((LEN(BC80)-LEN(SUBSTITUTE(BC80," "&amp;L_ResultBad&amp;" "," ")))/(LEN(L_ResultBad)+1))&gt;SUMPRODUCT((LEN(BC80)-LEN(SUBSTITUTE(BC80," "&amp;L_NegPhrase&amp;" "," ")))/(LEN(L_NegPhrase)+1))),1,0),0)</f>
        <v>0</v>
      </c>
      <c r="BH80" s="61" t="n">
        <f aca="false">IFERROR(IF(SUMPRODUCT((LEN(BC80)-LEN(SUBSTITUTE(BC80," "&amp;L_Pending&amp;" "," ")))/(LEN(L_Pending)+1))&gt;SUMPRODUCT((LEN(BC80)-LEN(SUBSTITUTE(BC80," "&amp;L_PendNeg&amp;" "," ")))/(LEN(L_PendNeg)+1))+SUMPRODUCT((LEN(BC80)-LEN(SUBSTITUTE(BC80," "&amp;L_PendPrep&amp;" "," ")))/(LEN(L_PendPrep)+1)),1,0),1)</f>
        <v>0</v>
      </c>
      <c r="BI80" s="61" t="n">
        <f aca="false">IFERROR(IF(SUMPRODUCT((LEN(BD80)-LEN(SUBSTITUTE(BD80," "&amp;L_PendStrict&amp;" "," ")))/(LEN(L_PendStrict)+1))&gt;SUMPRODUCT((LEN(BD80)-LEN(SUBSTITUTE(BD80," "&amp;L_PendNeg&amp;" "," ")))/(LEN(L_PendNeg)+1)),1,0),1)</f>
        <v>0</v>
      </c>
      <c r="BJ80" s="61" t="n">
        <f aca="false">IFERROR(IF(SUMPRODUCT((LEN(BE80)-LEN(SUBSTITUTE(BE80," "&amp;L_Pending&amp;" "," ")))/(LEN(L_Pending)+1))&gt;SUMPRODUCT((LEN(BE80)-LEN(SUBSTITUTE(BE80," "&amp;L_PendNeg&amp;" "," ")))/(LEN(L_PendNeg)+1))+SUMPRODUCT((LEN(BE80)-LEN(SUBSTITUTE(BE80," "&amp;L_PendPrep&amp;" "," ")))/(LEN(L_PendPrep)+1)),1,0),1)</f>
        <v>0</v>
      </c>
      <c r="BK80" s="61" t="n">
        <f aca="false">IFERROR(IF(SUMPRODUCT((LEN(BF80)-LEN(SUBSTITUTE(BF80," "&amp;L_PendStrict&amp;" "," ")))/(LEN(L_PendStrict)+1))&gt;SUMPRODUCT((LEN(BF80)-LEN(SUBSTITUTE(BF80," "&amp;L_PendNeg&amp;" "," ")))/(LEN(L_PendNeg)+1)),1,0),1)</f>
        <v>0</v>
      </c>
      <c r="BL80" s="61" t="n">
        <f aca="false">IF(ISNA(MATCH(TRIM(S80),L_EvidenceType,0)),0,BZ80)</f>
        <v>0</v>
      </c>
      <c r="BM80" s="61" t="str">
        <f aca="false">SUBSTITUTE(SUBSTITUTE(SUBSTITUTE(SUBSTITUTE(SUBSTITUTE(SUBSTITUTE(SUBSTITUTE(SUBSTITUTE(SUBSTITUTE(LOWER(Z80&amp;""),"1","0"),"2","0"),"3","0"),"4","0"),"5","0"),"6","0"),"7","0"),"8","0"),"9","0")</f>
        <v/>
      </c>
      <c r="BN80" s="61" t="str">
        <f aca="false">SUBSTITUTE(SUBSTITUTE(SUBSTITUTE(SUBSTITUTE(SUBSTITUTE(SUBSTITUTE(SUBSTITUTE(SUBSTITUTE(SUBSTITUTE(SUBSTITUTE(SUBSTITUTE(SUBSTITUTE(SUBSTITUTE(SUBSTITUTE(SUBSTITUTE(SUBSTITUTE(SUBSTITUTE(SUBSTITUTE(SUBSTITUTE(SUBSTITUTE(SUBSTITUTE(SUBSTITUTE(SUBSTITUTE(SUBSTITUTE(SUBSTITUTE(BM80,"b","a"),"c","a"),"d","a"),"e","a"),"f","a"),"g","a"),"h","a"),"i","a"),"j","a"),"k","a"),"l","a"),"m","a"),"n","a"),"o","a"),"p","a"),"q","a"),"r","a"),"s","a"),"t","a"),"u","a"),"v","a"),"w","a"),"x","a"),"y","a"),"z","a")</f>
        <v/>
      </c>
      <c r="BO80" s="61" t="str">
        <f aca="false">SUBSTITUTE(SUBSTITUTE(SUBSTITUTE(SUBSTITUTE(SUBSTITUTE(SUBSTITUTE(SUBSTITUTE(SUBSTITUTE(SUBSTITUTE(LOWER(W80&amp;""),"1","0"),"2","0"),"3","0"),"4","0"),"5","0"),"6","0"),"7","0"),"8","0"),"9","0")</f>
        <v/>
      </c>
      <c r="BP80" s="61" t="str">
        <f aca="false">SUBSTITUTE(SUBSTITUTE(SUBSTITUTE(SUBSTITUTE(SUBSTITUTE(SUBSTITUTE(SUBSTITUTE(SUBSTITUTE(SUBSTITUTE(SUBSTITUTE(SUBSTITUTE(SUBSTITUTE(SUBSTITUTE(SUBSTITUTE(SUBSTITUTE(SUBSTITUTE(SUBSTITUTE(SUBSTITUTE(SUBSTITUTE(SUBSTITUTE(SUBSTITUTE(SUBSTITUTE(SUBSTITUTE(SUBSTITUTE(SUBSTITUTE(BO80,"b","a"),"c","a"),"d","a"),"e","a"),"f","a"),"g","a"),"h","a"),"i","a"),"j","a"),"k","a"),"l","a"),"m","a"),"n","a"),"o","a"),"p","a"),"q","a"),"r","a"),"s","a"),"t","a"),"u","a"),"v","a"),"w","a"),"x","a"),"y","a"),"z","a")</f>
        <v/>
      </c>
      <c r="BQ80" s="61" t="n">
        <f aca="false">IFERROR(IF(AND(ISERROR(SEARCH(" mh"," "&amp;LOWER(W80))),ISNA(MATCH(LEFT(TRIM(BP80),255),{"0000a","000a","00a","0000aa","000aa","00aa","0aa","0000aaa","000aaa","00a00","0a00","0000-0000","00:00","a00","a0","00.00.0000","00/00/0000","00-00-0000","0000-00-00","0000/00/00","0000.00.00","00.00.00","00/00/00","00-00-00","0.00.0000","0/00/0000","0-00-0000"},0)),ISNA(MATCH(LEFT(TRIM(CA80),255),{"0000a","000a","00a","0000aa","000aa","00aa","0aa","0000aaa","000aaa","00a00","0a00","0000-0000","00:00","a00","a0","00.00.0000","00/00/0000","00-00-0000","0000-00-00","0000/00/00","0000.00.00","00.00.00","00/00/00","00-00-00","0.00.0000","0/00/0000","0-00-0000"},0)),LEN(CB80)&gt;=3,NOT(OR(SUBSTITUTE(CB80,"0","")="",AND(LEN(CB80)&gt;=4,CB80=REPT(LEFT(CB80),LEN(CB80))),ISNUMBER(MATCH(CB80,{"123","1234","12345","123456","1234567","12345678","0123","01234","012345","98765","987654","54321"},0)),AND(LEN(CB80)=8,LEFT(CB80,3)="202"))),OR(AND((LEN(CA80)-LEN(SUBSTITUTE(CA80,"a","")))&gt;=1,SUMPRODUCT(--ISNUMBER(SEARCH({"a0","a-0","a_0","a/0","a.0","a#0","0a","0-a","0_a","0/a"},BP80)))&gt;0),ISNUMBER(SEARCH("000000",BP80)))),1,0),0)</f>
        <v>0</v>
      </c>
      <c r="BR80" s="61" t="n">
        <f aca="false">IFERROR(LEN(SUBSTITUTE(CC80," ",""))-SUMPRODUCT((LEN(CC80)-LEN(SUBSTITUTE(CC80," "&amp;L_Role&amp;" "," ")))/(LEN(L_Role)+1)*LEN(L_Role)),0)</f>
        <v>0</v>
      </c>
      <c r="BS80" s="61" t="n">
        <f aca="false">IFERROR(LEN(SUBSTITUTE(CD80," ",""))-SUMPRODUCT((LEN(CD80)-LEN(SUBSTITUTE(CD80," "&amp;L_Role&amp;" "," ")))/(LEN(L_Role)+1)*LEN(L_Role)),0)</f>
        <v>0</v>
      </c>
      <c r="BT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80,"revision",""),"version",""),"jan",""),"feb",""),"mar",""),"apr",""),"may",""),"jun",""),"jul",""),"aug",""),"sep",""),"oct",""),"nov",""),"dec",""),"utc",""),"gmt",""),"myt",""),"bst",""),"rev",""),"ver",""),"b","a"),"c","a"),"d","a"),"e","a"),"f","a"),"g","a"),"h","a"),"i","a"),"j","a"),"k","a"),"l","a"),"m","a"),"n","a"),"o","a"),"p","a"),"q","a"),"r","a"),"s","a"),"t","a"),"u","a"),"v","a"),"w","a"),"x","a"),"y","a"),"z","a")</f>
        <v/>
      </c>
      <c r="BU80" s="61" t="str">
        <f aca="false">SUBSTITUTE(SUBSTITUTE(SUBSTITUTE(SUBSTITUTE(SUBSTITUTE(SUBSTITUTE(SUBSTITUTE(SUBSTITUTE(SUBSTITUTE(SUBSTITUTE(LEFT(BM80,FIND("0",BM80&amp;"0")-1),"-",""),"_",""),"/",""),".",""),"#",""),"\\",""),":","")," ",""),"(",""),")","")</f>
        <v/>
      </c>
      <c r="BV80" s="61" t="n">
        <f aca="false">0</f>
        <v>0</v>
      </c>
      <c r="BW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80&amp;""),"a",""),"b",""),"c",""),"d",""),"e",""),"f",""),"g",""),"h",""),"i",""),"j",""),"k",""),"l",""),"m",""),"n",""),"o",""),"p",""),"q",""),"r",""),"s",""),"t",""),"u",""),"v",""),"w",""),"x",""),"y",""),"z",""),"-",""),"_",""),"/",""),".",""),"#",""),"\\",""),":","")," ",""),"(",""),")","")</f>
        <v/>
      </c>
      <c r="BX80" s="61" t="str">
        <f aca="false">SUBSTITUTE(SUBSTITUTE(SUBSTITUTE(SUBSTITUTE(SUBSTITUTE(SUBSTITUTE(SUBSTITUTE(SUBSTITUTE(SUBSTITUTE(SUBSTITUTE(SUBSTITUTE(BM80,"0",""),"-",""),"_",""),"/",""),".",""),"#",""),"\\",""),":","")," ",""),"(",""),")","")</f>
        <v/>
      </c>
      <c r="BY80" s="62" t="n">
        <f aca="false">Q80-T12EarlyH/24</f>
        <v>46304.3784722222</v>
      </c>
      <c r="BZ80" s="61" t="n">
        <f aca="false">IFERROR(IF(IF(TRIM(S80)="Link / file path",AND(LEN(TRIM(Z80))&gt;=5,SUMPRODUCT(--ISNUMBER(SEARCH({"http","www.","\\",":\",".pdf",".jpg",".jpeg",".png",".heic",".xls",".doc",".msg",".eml",".ppt",".txt",".zip"},Z80)))&gt;0),AND(ISERROR(FIND(" ",TRIM(Z80))),NOT(OR(SUMPRODUCT(--ISNUMBER(FIND({",",";","&amp;","+"},Z80)))&gt;0,SUMPRODUCT(--ISNUMBER(SEARCH({"0/aa","0\\aa"},BN80)))&gt;0)),NOT(SUMPRODUCT(--ISNUMBER(SEARCH({"http","www.","\\",":\",".pdf",".jpg",".jpeg",".png",".heic",".xls",".doc",".msg",".eml",".ppt",".txt",".zip"},Z80)))&gt;0),NOT(LOWER(TRIM(Z80))=LOWER(Flights!$F$7)),ISNA(MATCH(BU80,{"mh","rev","revision","ver","version","v","r","a","b","seat","tray","row","gate","bay","stand","page","pg","item","line","no","cart","galley","flight","flt","table","box","bag","oven","etd","eta","std","sta","atd","ata","qty","pax","x","time","tel","ph","mob","day","wk","week","utc","gmt","myt","lt"},0)),NOT(OR(ISNUMBER(MATCH(LEFT(BN80,255),{"0000a","000a","00a","0000aa","000aa","00aa","0aa","0000aaa","000aaa","00a00","0a00","0000-0000","00:00","a00","a0","00.00.0000","00/00/0000","00-00-0000","0000-00-00","0000/00/00","0000.00.00","00.00.00","00/00/00","00-00-00","0.00.0000","0/00/0000","0-00-0000"},0)),ISNUMBER(MATCH(LEFT(BT80,255),{"0000a","000a","00a","0000aa","000aa","00aa","0aa","0000aaa","000aaa","00a00","0a00","0000-0000","00:00","a00","a0","00.00.0000","00/00/0000","00-00-0000","0000-00-00","0000/00/00","0000.00.00","00.00.00","00/00/00","00-00-00","0.00.0000","0/00/0000","0-00-0000"},0)))),NOT(OR(AND(BW80&lt;&gt;"",SUBSTITUTE(BW80,"0","")=""),AND(LEN(BW80)&gt;=4,BW80=REPT(LEFT(BW80),LEN(BW80))),ISNUMBER(MATCH(BW80,{"123","1234","12345","123456","1234567","12345678","0123","01234","012345","98765","987654","54321"},0)),ISNUMBER(MATCH(BX80,{"x","xx","xxx","xxxx","xxxxx","abc","abcd","nil","na","nan","test","tbc","tba","tbd","dummy","sample","example","eg","zz","zzz","none","null","xyz","qwe","asd","id","ref"},0)),AND(LEN(BW80)=8,BX80="",OR(LEFT(BW80,3)="202",ISNUMBER(MATCH(RIGHT(BW80,4),{"2025","2026","2027"},0)))))),OR(AND((LEN(BT80)-LEN(SUBSTITUTE(BT80,"a","")))&gt;=1,(LEN(BN80)-LEN(SUBSTITUTE(BN80,"0","")))&gt;=2,SUMPRODUCT(--ISNUMBER(SEARCH({"a0","a-0","a_0","a/0","a.0","a#0","0a","0-a","0_a","0/a"},BN80)))&gt;0),AND((LEN(BN80)-LEN(SUBSTITUTE(BN80,"a","")))=0,(LEN(BN80)-LEN(SUBSTITUTE(BN80,"0","")))&gt;=5)))),1,0),0)</f>
        <v>0</v>
      </c>
      <c r="CA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80,"revision",""),"version",""),"jan",""),"feb",""),"mar",""),"apr",""),"may",""),"jun",""),"jul",""),"aug",""),"sep",""),"oct",""),"nov",""),"dec",""),"utc",""),"gmt",""),"myt",""),"bst",""),"rev",""),"ver",""),"b","a"),"c","a"),"d","a"),"e","a"),"f","a"),"g","a"),"h","a"),"i","a"),"j","a"),"k","a"),"l","a"),"m","a"),"n","a"),"o","a"),"p","a"),"q","a"),"r","a"),"s","a"),"t","a"),"u","a"),"v","a"),"w","a"),"x","a"),"y","a"),"z","a")</f>
        <v/>
      </c>
      <c r="CB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80&amp;""),"a",""),"b",""),"c",""),"d",""),"e",""),"f",""),"g",""),"h",""),"i",""),"j",""),"k",""),"l",""),"m",""),"n",""),"o",""),"p",""),"q",""),"r",""),"s",""),"t",""),"u",""),"v",""),"w",""),"x",""),"y",""),"z",""),"-",""),"_",""),"/",""),".",""),"#",""),"\\",""),":","")," ",""),"(",""),")","")</f>
        <v/>
      </c>
      <c r="CC80" s="0" t="str">
        <f aca="false">" "&amp;TRIM(SUBSTITUTE(SUBSTITUTE(SUBSTITUTE(SUBSTITUTE(SUBSTITUTE(SUBSTITUTE(SUBSTITUTE(SUBSTITUTE(SUBSTITUTE(SUBSTITUTE(SUBSTITUTE(SUBSTITUTE(SUBSTITUTE(SUBSTITUTE(SUBSTITUTE(SUBSTITUTE(SUBSTITUTE(SUBSTITUTE(SUBSTITUTE(SUBSTITUTE(SUBSTITUTE(SUBSTITUTE(SUBSTITUTE(SUBSTITUTE(LOWER(T80&amp;""),CHAR(10)," "),CHAR(13)," "),CHAR(9)," "),CHAR(160)," "),"."," "),","," "),"-"," "),"/"," "),"("," "),")"," "),":"," "),";"," "),"_"," "),"–"," "),"?"," "),"!"," "),"*"," "),"["," "),"]"," "),"'"," "),"#"," "),"+"," "),"&amp;"," "),"\"," "))&amp;" "</f>
        <v>  </v>
      </c>
      <c r="CD80" s="0" t="str">
        <f aca="false">" "&amp;TRIM(SUBSTITUTE(SUBSTITUTE(SUBSTITUTE(SUBSTITUTE(SUBSTITUTE(SUBSTITUTE(SUBSTITUTE(SUBSTITUTE(SUBSTITUTE(SUBSTITUTE(SUBSTITUTE(SUBSTITUTE(SUBSTITUTE(SUBSTITUTE(SUBSTITUTE(SUBSTITUTE(SUBSTITUTE(SUBSTITUTE(SUBSTITUTE(SUBSTITUTE(SUBSTITUTE(SUBSTITUTE(SUBSTITUTE(SUBSTITUTE(LOWER(AE80&amp;""),CHAR(10)," "),CHAR(13)," "),CHAR(9)," "),CHAR(160)," "),"."," "),","," "),"-"," "),"/"," "),"("," "),")"," "),":"," "),";"," "),"_"," "),"–"," "),"?"," "),"!"," "),"*"," "),"["," "),"]"," "),"'"," "),"#"," "),"+"," "),"&amp;"," "),"\"," "))&amp;" "</f>
        <v>  </v>
      </c>
      <c r="CE80" s="68" t="n">
        <f aca="false">IFERROR(IF(AND(LEN(AU80)&gt;0,LEN(AU80)=LEN(AX80),OR(TRIM(MID(SUBSTITUTE(TRIM(CC80)," ",REPT(" ",60)),1,60))="",ISNUMBER(SEARCH(" "&amp;TRIM(MID(SUBSTITUTE(TRIM(CC80)," ",REPT(" ",60)),1,60))&amp;" ",CD80))),OR(TRIM(MID(SUBSTITUTE(TRIM(CC80)," ",REPT(" ",60)),61,60))="",ISNUMBER(SEARCH(" "&amp;TRIM(MID(SUBSTITUTE(TRIM(CC80)," ",REPT(" ",60)),61,60))&amp;" ",CD80))),OR(TRIM(MID(SUBSTITUTE(TRIM(CC80)," ",REPT(" ",60)),121,60))="",ISNUMBER(SEARCH(" "&amp;TRIM(MID(SUBSTITUTE(TRIM(CC80)," ",REPT(" ",60)),121,60))&amp;" ",CD80)))),1,0),0)</f>
        <v>0</v>
      </c>
      <c r="CG80" s="68" t="n">
        <f aca="false">IFERROR(LEN(SUBSTITUTE(BF80," ",""))-SUMPRODUCT((LEN(BF80)-LEN(SUBSTITUTE(BF80," "&amp;L_NAFiller&amp;" "," ")))/(LEN(L_NAFiller)+1)*LEN(L_NAFiller)),0)</f>
        <v>0</v>
      </c>
    </row>
    <row r="81" customFormat="false" ht="39.75" hidden="false" customHeight="true" outlineLevel="0" collapsed="false">
      <c r="A81" s="57" t="s">
        <v>569</v>
      </c>
      <c r="B81" s="57" t="s">
        <v>212</v>
      </c>
      <c r="C81" s="57" t="str">
        <f aca="false">Flights!$F$7</f>
        <v>MH0720</v>
      </c>
      <c r="D81" s="58" t="n">
        <f aca="false">Flights!$D$7</f>
        <v>46305</v>
      </c>
      <c r="E81" s="57" t="str">
        <f aca="false">Flights!$G$7&amp;"-"&amp;Flights!$H$7</f>
        <v>CGK-KUL</v>
      </c>
      <c r="F81" s="57" t="str">
        <f aca="false">Flights!$K$7</f>
        <v>EY</v>
      </c>
      <c r="G81" s="57" t="s">
        <v>420</v>
      </c>
      <c r="H81" s="57" t="s">
        <v>378</v>
      </c>
      <c r="I81" s="57" t="s">
        <v>428</v>
      </c>
      <c r="J81" s="57" t="s">
        <v>429</v>
      </c>
      <c r="K81" s="67"/>
      <c r="L81" s="67" t="s">
        <v>422</v>
      </c>
      <c r="M81" s="67"/>
      <c r="N81" s="67" t="s">
        <v>383</v>
      </c>
      <c r="O81" s="67" t="s">
        <v>423</v>
      </c>
      <c r="P81" s="57" t="s">
        <v>201</v>
      </c>
      <c r="Q81" s="59" t="n">
        <f aca="false">ROUND((Flights!$AE$7)*1440,0)/1440</f>
        <v>46304.8784722222</v>
      </c>
      <c r="R81" s="59" t="n">
        <f aca="false">Q81+(IF(AND(INDEX(TZ_DSTS,MATCH(P81,TZ_STN,0))&lt;&gt;"",Q81&gt;=INDEX(TZ_DSTS,MATCH(P81,TZ_STN,0)),Q81&lt;INDEX(TZ_DSTE,MATCH(P81,TZ_STN,0))),INDEX(TZ_DST,MATCH(P81,TZ_STN,0)),INDEX(TZ_STD,MATCH(P81,TZ_STN,0))))/24</f>
        <v>46305.1701388889</v>
      </c>
      <c r="S81" s="60"/>
      <c r="T81" s="60"/>
      <c r="U81" s="60"/>
      <c r="V81" s="60"/>
      <c r="W81" s="61"/>
      <c r="X81" s="60"/>
      <c r="Y81" s="60"/>
      <c r="Z81" s="60"/>
      <c r="AA81" s="60"/>
      <c r="AB81" s="60"/>
      <c r="AC81" s="60"/>
      <c r="AD81" s="66"/>
      <c r="AE81" s="60"/>
      <c r="AF81" s="61" t="str">
        <f aca="false">IF(AND(ISNUMBER(X81),ISNUMBER(Y81)),Y81-X81,"")</f>
        <v/>
      </c>
      <c r="AG81" s="62" t="str">
        <f aca="false">IF(ISNUMBER(AD81),AD81-(IF(AND(INDEX(TZ_DSTS,MATCH(P81,TZ_STN,0))&lt;&gt;"",(AD81-INDEX(TZ_STD,MATCH(P81,TZ_STN,0))/24)&gt;=INDEX(TZ_DSTS,MATCH(P81,TZ_STN,0)),(AD81-INDEX(TZ_STD,MATCH(P81,TZ_STN,0))/24)&lt;INDEX(TZ_DSTE,MATCH(P81,TZ_STN,0))),INDEX(TZ_DST,MATCH(P81,TZ_STN,0)),INDEX(TZ_STD,MATCH(P81,TZ_STN,0))))/24,"")</f>
        <v/>
      </c>
      <c r="AH81" s="65" t="str">
        <f aca="false">IFERROR(IF(N81="N/A – rule",IF(OR(TRIM(U81)="",TRIM(U81)="N/A",TRIM(U81)="Not started"),"N/A – RULE","INVALID – this check does not apply to this aircraft: clear the status (or correct the fleet on Flights)"),IF(TRIM(U81)="N/A",IF(AT81=0,"INVALID – N/A not permitted for this check",IF(AND(TRIM(AB81)&lt;&gt;"",TRIM(AB81)&lt;&gt;"Closed"),"INVALID – corrective action still open",IF(AND(NOT(OR(LEN(AZ81)&lt;15,ISNUMBER(MATCH(AZ81,L_Placeholder,0)))),BK81=0,CG81&gt;=8,NOT(OR(LEN(AU81)&lt;2,ISNUMBER(MATCH(AU81,L_Placeholder,0)))),BR81&gt;=3,NOT(OR(LEN(AX81)&lt;2,ISNUMBER(MATCH(AX81,L_Placeholder,0)))),BS81&gt;=3,TRIM(AE81)&lt;&gt;TRIM(T81),AX81&lt;&gt;AU81,CE81=0),"N/A – JUSTIFIED","INVALID – N/A needs a real, settled reason (not 'not applicable' / 'as above' / TBC), a named PIC and a different named verifier"))),IF(OR(TRIM(U81)="Pass",TRIM(U81)="Pass after CA"),IF(NOT(ISNUMBER(AD81)),"INVALID – completion time missing",IF(OR(OR(LEN(AU81)&lt;2,ISNUMBER(MATCH(AU81,L_Placeholder,0))),BR81&lt;3),"INVALID – PIC missing or not a named person (a role such as QA / CSM is not a name)",IF(OR(LEN(AV81)&lt;2,ISNUMBER(MATCH(AV81,L_Placeholder,0))),"INVALID – result / assessment missing",IF(OR(OR(LEN(AW81)&lt;3,ISNUMBER(MATCH(AW81,L_Placeholder,0))),SUMPRODUCT(--ISNUMBER(SEARCH(" "&amp;L_EvidencePhrase&amp;" ",BD81)))&gt;0,BI81=1),"INVALID – evidence missing, placeholder or not yet on file",IF(ISNA(MATCH(TRIM(S81),L_EvidenceType,0)),"INVALID – choose the evidence type from the list (column S)",IF(BL81=0,"INVALID – evidence ID must be the record's own ID only (e.g. SF-2210, IMG_2231, 1045521); a link / file name needs type 'Link / file path'",IF(OR(OR(LEN(AX81)&lt;2,ISNUMBER(MATCH(AX81,L_Placeholder,0))),BS81&lt;3),"INVALID – verifier missing or not a named person (a role such as QA / CSM is not a name)",IF(OR(AX81=AU81,CE81=1,AND(LEN(AU81)&gt;=4,ISNUMBER(SEARCH(AU81,AX81))),AND(LEN(AX81)&gt;=4,ISNUMBER(SEARCH(AX81,AU81)))),"INVALID – verifier must be a different, named person (not the PIC or a role)",IF(BH81=1,"INVALID – result not yet available (awaiting / TBC)",IF(BG81=1,"INVALID – result describes a problem: record Fail, then Pass after CA (or reword if it is not a problem)",IF(BV81=1,"INVALID – wording says not on board: an on-board confirmation needs the item loaded",IF(AND(AQ81=1,OR(OR(LEN(AY81)&lt;3,ISNUMBER(MATCH(AY81,L_Placeholder,0))),BJ81=1,BQ81=0)),"INVALID – batch ID missing, placeholder or not an ID (e.g. PASB-261008-BC-017)",IF(AND(AR81=1,OR(NOT(ISNUMBER(X81)),NOT(ISNUMBER(Y81)))),"INVALID – expected/actual qty missing",IF(AND(AR81=1,OR(X81&lt;=0,Y81&lt;0)),"INVALID – expected qty must be above 0 and actual not negative",IF(BB81&lt;&gt;"",BB81,IF(AND(AS81=1,Documents!$J$7&lt;&gt;"ON FILE"),"INVALID – GLD not on file (Documents sheet)",IF(AND(AS81=2,Documents!$O$7&lt;&gt;"ON FILE"),"INVALID – menu checklist not on file (Documents sheet)",IF(AND(AS81=3,NOT(ISNUMBER(Flights!$AX$7))),"INVALID – enter carrying flight KUL departure (Flights AX)",IF(AND(AS81=3,OR(Flights!$AZ$7&gt;Flights!$AA$7,Flights!$AX$7&lt;Flights!$AA$7-3)),"INVALID – carrying flight (Flights AX) cannot arrive before this leg's STD, or is over 3 days early",IF(AG81&gt;AsOfUTC,"INVALID – completion time is in the future",IF(AND(ISNUMBER(BY81),AG81&lt;BY81),IF(H81="Physical uplift","INVALID – before uplift window (cannot confirm loading)","INVALID – before valid window"),IF(AG81&gt;Flights!$AA$7,"INVALID – completed after departure (cannot establish readiness)",IF(AND(H81="Preparation",AG81&gt;=IF(ISNUMBER(Flights!$BA$7),MIN(Flights!$BA$7,Flights!$AA$7),Flights!$AA$7)),"INVALID – completed after loading / departure (cannot establish readiness)",IF(AND(H81="Physical uplift",AG81&gt;Q81),"INVALID – recorded after the loading flight departed",IF(AG81&gt;Q81,"COMPLETE – LATE","COMPLETE"))))))))))))))))))))))))),IF(TRIM(U81)="Fail","FAIL – DISCREPANCY",IF(AND(TRIM(U81)&lt;&gt;"",TRIM(U81)&lt;&gt;"Not started",TRIM(U81)&lt;&gt;"In progress"),"INVALID – unrecognised status (use the list)",IF(AsOfUTC&gt;Q81,"OVERDUE",IF(N81="Clarification required","OPEN – CLARIFICATION","OPEN"))))))),"INVALID – error value in an input cell")</f>
        <v>OPEN</v>
      </c>
      <c r="AI81" s="61" t="n">
        <f aca="false">IF(OR(AH81="N/A – RULE",AH81="N/A – JUSTIFIED"),0,1)</f>
        <v>1</v>
      </c>
      <c r="AJ81" s="61" t="n">
        <f aca="false">IF(LEFT(AH81,8)="COMPLETE",1,0)</f>
        <v>0</v>
      </c>
      <c r="AK81" s="61" t="n">
        <f aca="false">IF(AND(AI81=1,AJ81=0,AsOfUTC&gt;Q81),1,0)</f>
        <v>0</v>
      </c>
      <c r="AL81" s="61" t="n">
        <f aca="false">IFERROR(IF(AND(AI81=1,OR(TRIM(U81)="Fail",AND(TRIM(AB81)&lt;&gt;"",TRIM(AB81)&lt;&gt;"Closed"),AND(ISNUMBER(AF81),AF81&lt;&gt;0,TRIM(U81)&lt;&gt;"Pass after CA"))),1,0),1)</f>
        <v>0</v>
      </c>
      <c r="AM81" s="61" t="n">
        <f aca="false">IF(LEFT(AH81,7)="INVALID",1,0)</f>
        <v>0</v>
      </c>
      <c r="AN81" s="61" t="n">
        <f aca="false">IF(AND(N81="Clarification required",AI81=1,AJ81=0),1,0)</f>
        <v>0</v>
      </c>
      <c r="AO81" s="61" t="str">
        <f aca="false">IF(AK81=1,SUM(AK$5:AK81),"")</f>
        <v/>
      </c>
      <c r="AP81" s="61" t="str">
        <f aca="false">IF(AL81=1,SUM(AL$5:AL81),"")</f>
        <v/>
      </c>
      <c r="AQ81" s="61" t="n">
        <v>0</v>
      </c>
      <c r="AR81" s="61" t="n">
        <v>0</v>
      </c>
      <c r="AS81" s="61" t="n">
        <v>0</v>
      </c>
      <c r="AT81" s="61" t="n">
        <v>0</v>
      </c>
      <c r="AU81" s="61" t="str">
        <f aca="false">SUBSTITUTE(SUBSTITUTE(SUBSTITUTE(SUBSTITUTE(SUBSTITUTE(SUBSTITUTE(SUBSTITUTE(SUBSTITUTE(SUBSTITUTE(SUBSTITUTE(SUBSTITUTE(SUBSTITUTE(SUBSTITUTE(SUBSTITUTE(SUBSTITUTE(SUBSTITUTE(LOWER(T81&amp;""),CHAR(10),""),CHAR(13),""),CHAR(9),""),CHAR(160),"")," ",""),".",""),"-",""),"/",""),"?",""),"_",""),",",""),"[",""),"]",""),"(",""),")",""),"*","")</f>
        <v/>
      </c>
      <c r="AV81" s="61" t="str">
        <f aca="false">SUBSTITUTE(SUBSTITUTE(SUBSTITUTE(SUBSTITUTE(SUBSTITUTE(SUBSTITUTE(SUBSTITUTE(SUBSTITUTE(SUBSTITUTE(SUBSTITUTE(SUBSTITUTE(SUBSTITUTE(SUBSTITUTE(SUBSTITUTE(SUBSTITUTE(SUBSTITUTE(LOWER(V81&amp;""),CHAR(10),""),CHAR(13),""),CHAR(9),""),CHAR(160),"")," ",""),".",""),"-",""),"/",""),"?",""),"_",""),",",""),"[",""),"]",""),"(",""),")",""),"*","")</f>
        <v/>
      </c>
      <c r="AW81" s="61" t="str">
        <f aca="false">SUBSTITUTE(SUBSTITUTE(SUBSTITUTE(SUBSTITUTE(SUBSTITUTE(SUBSTITUTE(SUBSTITUTE(SUBSTITUTE(SUBSTITUTE(SUBSTITUTE(SUBSTITUTE(SUBSTITUTE(SUBSTITUTE(SUBSTITUTE(SUBSTITUTE(SUBSTITUTE(LOWER(Z81&amp;""),CHAR(10),""),CHAR(13),""),CHAR(9),""),CHAR(160),"")," ",""),".",""),"-",""),"/",""),"?",""),"_",""),",",""),"[",""),"]",""),"(",""),")",""),"*","")</f>
        <v/>
      </c>
      <c r="AX81" s="61" t="str">
        <f aca="false">SUBSTITUTE(SUBSTITUTE(SUBSTITUTE(SUBSTITUTE(SUBSTITUTE(SUBSTITUTE(SUBSTITUTE(SUBSTITUTE(SUBSTITUTE(SUBSTITUTE(SUBSTITUTE(SUBSTITUTE(SUBSTITUTE(SUBSTITUTE(SUBSTITUTE(SUBSTITUTE(LOWER(AE81&amp;""),CHAR(10),""),CHAR(13),""),CHAR(9),""),CHAR(160),"")," ",""),".",""),"-",""),"/",""),"?",""),"_",""),",",""),"[",""),"]",""),"(",""),")",""),"*","")</f>
        <v/>
      </c>
      <c r="AY81" s="61" t="str">
        <f aca="false">SUBSTITUTE(SUBSTITUTE(SUBSTITUTE(SUBSTITUTE(SUBSTITUTE(SUBSTITUTE(SUBSTITUTE(SUBSTITUTE(SUBSTITUTE(SUBSTITUTE(SUBSTITUTE(SUBSTITUTE(SUBSTITUTE(SUBSTITUTE(SUBSTITUTE(SUBSTITUTE(LOWER(W81&amp;""),CHAR(10),""),CHAR(13),""),CHAR(9),""),CHAR(160),"")," ",""),".",""),"-",""),"/",""),"?",""),"_",""),",",""),"[",""),"]",""),"(",""),")",""),"*","")</f>
        <v/>
      </c>
      <c r="AZ81" s="61" t="str">
        <f aca="false">SUBSTITUTE(SUBSTITUTE(SUBSTITUTE(SUBSTITUTE(SUBSTITUTE(SUBSTITUTE(SUBSTITUTE(SUBSTITUTE(SUBSTITUTE(SUBSTITUTE(SUBSTITUTE(SUBSTITUTE(SUBSTITUTE(SUBSTITUTE(SUBSTITUTE(SUBSTITUTE(LOWER(AC81&amp;""),CHAR(10),""),CHAR(13),""),CHAR(9),""),CHAR(160),"")," ",""),".",""),"-",""),"/",""),"?",""),"_",""),",",""),"[",""),"]",""),"(",""),")",""),"*","")</f>
        <v/>
      </c>
      <c r="BA81" s="61" t="str">
        <f aca="false">SUBSTITUTE(SUBSTITUTE(SUBSTITUTE(SUBSTITUTE(SUBSTITUTE(SUBSTITUTE(SUBSTITUTE(SUBSTITUTE(SUBSTITUTE(SUBSTITUTE(SUBSTITUTE(SUBSTITUTE(SUBSTITUTE(SUBSTITUTE(SUBSTITUTE(SUBSTITUTE(LOWER(AA81&amp;""),CHAR(10),""),CHAR(13),""),CHAR(9),""),CHAR(160),"")," ",""),".",""),"-",""),"/",""),"?",""),"_",""),",",""),"[",""),"]",""),"(",""),")",""),"*","")</f>
        <v/>
      </c>
      <c r="BB81" s="61" t="str">
        <f aca="false">IF(AND(TRIM(U81)="Pass",ISNUMBER(AF81)),IF(AF81&lt;&gt;0,"INVALID – qty variance: use Fail or Pass after CA",""),"")&amp;IF(AND(TRIM(U81)="Pass after CA",ISNUMBER(AF81)),IF(AF81&lt;&gt;0,"INVALID – after the corrective action the actual qty must equal expected (update Actual)",""),"")&amp;IF(AND(TRIM(U81)="Pass",TRIM(AB81)&lt;&gt;"",TRIM(AB81)&lt;&gt;"Closed"),"INVALID – corrective action not closed: use Fail, then Pass after CA","")&amp;IF(AND(LEN(BA81)&gt;=2,ISNA(MATCH(LEFT(BA81,255),L_Placeholder,0)),TRIM(AB81)=""),"INVALID – CA status missing for the recorded corrective action","")&amp;IF(AND(TRIM(U81)="Pass after CA",OR(OR(LEN(BA81)&lt;5,ISNUMBER(MATCH(BA81,L_Placeholder,0))),TRIM(AB81)&lt;&gt;"Closed")),"INVALID – corrective action not recorded/closed","")</f>
        <v/>
      </c>
      <c r="BC81" s="61" t="str">
        <f aca="false">" "&amp;TRIM(SUBSTITUTE(SUBSTITUTE(SUBSTITUTE(SUBSTITUTE(SUBSTITUTE(SUBSTITUTE(SUBSTITUTE(SUBSTITUTE(SUBSTITUTE(SUBSTITUTE(SUBSTITUTE(SUBSTITUTE(SUBSTITUTE(SUBSTITUTE(SUBSTITUTE(SUBSTITUTE(SUBSTITUTE(SUBSTITUTE(SUBSTITUTE(SUBSTITUTE(SUBSTITUTE(SUBSTITUTE(SUBSTITUTE(SUBSTITUTE(LOWER(V81&amp;""),CHAR(10)," "),CHAR(13)," "),CHAR(9)," "),CHAR(160)," "),"."," "),","," "),"-"," "),"/"," "),"("," "),")"," "),":"," "),";"," "),"_"," "),"–"," "),"?"," "),"!"," "),"*"," "),"["," "),"]"," "),"'"," "),"#"," "),"+"," "),"&amp;"," "),"\"," "))&amp;" "</f>
        <v>  </v>
      </c>
      <c r="BD81" s="61" t="str">
        <f aca="false">" "&amp;TRIM(SUBSTITUTE(SUBSTITUTE(SUBSTITUTE(SUBSTITUTE(SUBSTITUTE(SUBSTITUTE(SUBSTITUTE(SUBSTITUTE(SUBSTITUTE(SUBSTITUTE(SUBSTITUTE(SUBSTITUTE(SUBSTITUTE(SUBSTITUTE(SUBSTITUTE(SUBSTITUTE(SUBSTITUTE(SUBSTITUTE(SUBSTITUTE(SUBSTITUTE(SUBSTITUTE(SUBSTITUTE(SUBSTITUTE(SUBSTITUTE(LOWER(Z81&amp;""),CHAR(10)," "),CHAR(13)," "),CHAR(9)," "),CHAR(160)," "),"."," "),","," "),"-"," "),"/"," "),"("," "),")"," "),":"," "),";"," "),"_"," "),"–"," "),"?"," "),"!"," "),"*"," "),"["," "),"]"," "),"'"," "),"#"," "),"+"," "),"&amp;"," "),"\"," "))&amp;" "</f>
        <v>  </v>
      </c>
      <c r="BE81" s="61" t="str">
        <f aca="false">" "&amp;TRIM(SUBSTITUTE(SUBSTITUTE(SUBSTITUTE(SUBSTITUTE(SUBSTITUTE(SUBSTITUTE(SUBSTITUTE(SUBSTITUTE(SUBSTITUTE(SUBSTITUTE(SUBSTITUTE(SUBSTITUTE(SUBSTITUTE(SUBSTITUTE(SUBSTITUTE(SUBSTITUTE(SUBSTITUTE(SUBSTITUTE(SUBSTITUTE(SUBSTITUTE(SUBSTITUTE(SUBSTITUTE(SUBSTITUTE(SUBSTITUTE(LOWER(W81&amp;""),CHAR(10)," "),CHAR(13)," "),CHAR(9)," "),CHAR(160)," "),"."," "),","," "),"-"," "),"/"," "),"("," "),")"," "),":"," "),";"," "),"_"," "),"–"," "),"?"," "),"!"," "),"*"," "),"["," "),"]"," "),"'"," "),"#"," "),"+"," "),"&amp;"," "),"\"," "))&amp;" "</f>
        <v>  </v>
      </c>
      <c r="BF81" s="61" t="str">
        <f aca="false">" "&amp;TRIM(SUBSTITUTE(SUBSTITUTE(SUBSTITUTE(SUBSTITUTE(SUBSTITUTE(SUBSTITUTE(SUBSTITUTE(SUBSTITUTE(SUBSTITUTE(SUBSTITUTE(SUBSTITUTE(SUBSTITUTE(SUBSTITUTE(SUBSTITUTE(SUBSTITUTE(SUBSTITUTE(SUBSTITUTE(SUBSTITUTE(SUBSTITUTE(SUBSTITUTE(SUBSTITUTE(SUBSTITUTE(SUBSTITUTE(SUBSTITUTE(LOWER(AC81&amp;""),CHAR(10)," "),CHAR(13)," "),CHAR(9)," "),CHAR(160)," "),"."," "),","," "),"-"," "),"/"," "),"("," "),")"," "),":"," "),";"," "),"_"," "),"–"," "),"?"," "),"!"," "),"*"," "),"["," "),"]"," "),"'"," "),"#"," "),"+"," "),"&amp;"," "),"\"," "))&amp;" "</f>
        <v>  </v>
      </c>
      <c r="BG81" s="61" t="n">
        <f aca="false">IFERROR(IF(AND(TRIM(U81)="Pass",SUMPRODUCT((LEN(BC81)-LEN(SUBSTITUTE(BC81," "&amp;L_ResultBad&amp;" "," ")))/(LEN(L_ResultBad)+1))&gt;SUMPRODUCT((LEN(BC81)-LEN(SUBSTITUTE(BC81," "&amp;L_NegPhrase&amp;" "," ")))/(LEN(L_NegPhrase)+1))),1,0),0)</f>
        <v>0</v>
      </c>
      <c r="BH81" s="61" t="n">
        <f aca="false">IFERROR(IF(SUMPRODUCT((LEN(BC81)-LEN(SUBSTITUTE(BC81," "&amp;L_Pending&amp;" "," ")))/(LEN(L_Pending)+1))&gt;SUMPRODUCT((LEN(BC81)-LEN(SUBSTITUTE(BC81," "&amp;L_PendNeg&amp;" "," ")))/(LEN(L_PendNeg)+1))+SUMPRODUCT((LEN(BC81)-LEN(SUBSTITUTE(BC81," "&amp;L_PendPrep&amp;" "," ")))/(LEN(L_PendPrep)+1)),1,0),1)</f>
        <v>0</v>
      </c>
      <c r="BI81" s="61" t="n">
        <f aca="false">IFERROR(IF(SUMPRODUCT((LEN(BD81)-LEN(SUBSTITUTE(BD81," "&amp;L_PendStrict&amp;" "," ")))/(LEN(L_PendStrict)+1))&gt;SUMPRODUCT((LEN(BD81)-LEN(SUBSTITUTE(BD81," "&amp;L_PendNeg&amp;" "," ")))/(LEN(L_PendNeg)+1)),1,0),1)</f>
        <v>0</v>
      </c>
      <c r="BJ81" s="61" t="n">
        <f aca="false">IFERROR(IF(SUMPRODUCT((LEN(BE81)-LEN(SUBSTITUTE(BE81," "&amp;L_Pending&amp;" "," ")))/(LEN(L_Pending)+1))&gt;SUMPRODUCT((LEN(BE81)-LEN(SUBSTITUTE(BE81," "&amp;L_PendNeg&amp;" "," ")))/(LEN(L_PendNeg)+1))+SUMPRODUCT((LEN(BE81)-LEN(SUBSTITUTE(BE81," "&amp;L_PendPrep&amp;" "," ")))/(LEN(L_PendPrep)+1)),1,0),1)</f>
        <v>0</v>
      </c>
      <c r="BK81" s="61" t="n">
        <f aca="false">IFERROR(IF(SUMPRODUCT((LEN(BF81)-LEN(SUBSTITUTE(BF81," "&amp;L_PendStrict&amp;" "," ")))/(LEN(L_PendStrict)+1))&gt;SUMPRODUCT((LEN(BF81)-LEN(SUBSTITUTE(BF81," "&amp;L_PendNeg&amp;" "," ")))/(LEN(L_PendNeg)+1)),1,0),1)</f>
        <v>0</v>
      </c>
      <c r="BL81" s="61" t="n">
        <f aca="false">IF(ISNA(MATCH(TRIM(S81),L_EvidenceType,0)),0,BZ81)</f>
        <v>0</v>
      </c>
      <c r="BM81" s="61" t="str">
        <f aca="false">SUBSTITUTE(SUBSTITUTE(SUBSTITUTE(SUBSTITUTE(SUBSTITUTE(SUBSTITUTE(SUBSTITUTE(SUBSTITUTE(SUBSTITUTE(LOWER(Z81&amp;""),"1","0"),"2","0"),"3","0"),"4","0"),"5","0"),"6","0"),"7","0"),"8","0"),"9","0")</f>
        <v/>
      </c>
      <c r="BN81" s="61" t="str">
        <f aca="false">SUBSTITUTE(SUBSTITUTE(SUBSTITUTE(SUBSTITUTE(SUBSTITUTE(SUBSTITUTE(SUBSTITUTE(SUBSTITUTE(SUBSTITUTE(SUBSTITUTE(SUBSTITUTE(SUBSTITUTE(SUBSTITUTE(SUBSTITUTE(SUBSTITUTE(SUBSTITUTE(SUBSTITUTE(SUBSTITUTE(SUBSTITUTE(SUBSTITUTE(SUBSTITUTE(SUBSTITUTE(SUBSTITUTE(SUBSTITUTE(SUBSTITUTE(BM81,"b","a"),"c","a"),"d","a"),"e","a"),"f","a"),"g","a"),"h","a"),"i","a"),"j","a"),"k","a"),"l","a"),"m","a"),"n","a"),"o","a"),"p","a"),"q","a"),"r","a"),"s","a"),"t","a"),"u","a"),"v","a"),"w","a"),"x","a"),"y","a"),"z","a")</f>
        <v/>
      </c>
      <c r="BO81" s="61" t="str">
        <f aca="false">SUBSTITUTE(SUBSTITUTE(SUBSTITUTE(SUBSTITUTE(SUBSTITUTE(SUBSTITUTE(SUBSTITUTE(SUBSTITUTE(SUBSTITUTE(LOWER(W81&amp;""),"1","0"),"2","0"),"3","0"),"4","0"),"5","0"),"6","0"),"7","0"),"8","0"),"9","0")</f>
        <v/>
      </c>
      <c r="BP81" s="61" t="str">
        <f aca="false">SUBSTITUTE(SUBSTITUTE(SUBSTITUTE(SUBSTITUTE(SUBSTITUTE(SUBSTITUTE(SUBSTITUTE(SUBSTITUTE(SUBSTITUTE(SUBSTITUTE(SUBSTITUTE(SUBSTITUTE(SUBSTITUTE(SUBSTITUTE(SUBSTITUTE(SUBSTITUTE(SUBSTITUTE(SUBSTITUTE(SUBSTITUTE(SUBSTITUTE(SUBSTITUTE(SUBSTITUTE(SUBSTITUTE(SUBSTITUTE(SUBSTITUTE(BO81,"b","a"),"c","a"),"d","a"),"e","a"),"f","a"),"g","a"),"h","a"),"i","a"),"j","a"),"k","a"),"l","a"),"m","a"),"n","a"),"o","a"),"p","a"),"q","a"),"r","a"),"s","a"),"t","a"),"u","a"),"v","a"),"w","a"),"x","a"),"y","a"),"z","a")</f>
        <v/>
      </c>
      <c r="BQ81" s="61" t="n">
        <f aca="false">IFERROR(IF(AND(ISERROR(SEARCH(" mh"," "&amp;LOWER(W81))),ISNA(MATCH(LEFT(TRIM(BP81),255),{"0000a","000a","00a","0000aa","000aa","00aa","0aa","0000aaa","000aaa","00a00","0a00","0000-0000","00:00","a00","a0","00.00.0000","00/00/0000","00-00-0000","0000-00-00","0000/00/00","0000.00.00","00.00.00","00/00/00","00-00-00","0.00.0000","0/00/0000","0-00-0000"},0)),ISNA(MATCH(LEFT(TRIM(CA81),255),{"0000a","000a","00a","0000aa","000aa","00aa","0aa","0000aaa","000aaa","00a00","0a00","0000-0000","00:00","a00","a0","00.00.0000","00/00/0000","00-00-0000","0000-00-00","0000/00/00","0000.00.00","00.00.00","00/00/00","00-00-00","0.00.0000","0/00/0000","0-00-0000"},0)),LEN(CB81)&gt;=3,NOT(OR(SUBSTITUTE(CB81,"0","")="",AND(LEN(CB81)&gt;=4,CB81=REPT(LEFT(CB81),LEN(CB81))),ISNUMBER(MATCH(CB81,{"123","1234","12345","123456","1234567","12345678","0123","01234","012345","98765","987654","54321"},0)),AND(LEN(CB81)=8,LEFT(CB81,3)="202"))),OR(AND((LEN(CA81)-LEN(SUBSTITUTE(CA81,"a","")))&gt;=1,SUMPRODUCT(--ISNUMBER(SEARCH({"a0","a-0","a_0","a/0","a.0","a#0","0a","0-a","0_a","0/a"},BP81)))&gt;0),ISNUMBER(SEARCH("000000",BP81)))),1,0),0)</f>
        <v>0</v>
      </c>
      <c r="BR81" s="61" t="n">
        <f aca="false">IFERROR(LEN(SUBSTITUTE(CC81," ",""))-SUMPRODUCT((LEN(CC81)-LEN(SUBSTITUTE(CC81," "&amp;L_Role&amp;" "," ")))/(LEN(L_Role)+1)*LEN(L_Role)),0)</f>
        <v>0</v>
      </c>
      <c r="BS81" s="61" t="n">
        <f aca="false">IFERROR(LEN(SUBSTITUTE(CD81," ",""))-SUMPRODUCT((LEN(CD81)-LEN(SUBSTITUTE(CD81," "&amp;L_Role&amp;" "," ")))/(LEN(L_Role)+1)*LEN(L_Role)),0)</f>
        <v>0</v>
      </c>
      <c r="BT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81,"revision",""),"version",""),"jan",""),"feb",""),"mar",""),"apr",""),"may",""),"jun",""),"jul",""),"aug",""),"sep",""),"oct",""),"nov",""),"dec",""),"utc",""),"gmt",""),"myt",""),"bst",""),"rev",""),"ver",""),"b","a"),"c","a"),"d","a"),"e","a"),"f","a"),"g","a"),"h","a"),"i","a"),"j","a"),"k","a"),"l","a"),"m","a"),"n","a"),"o","a"),"p","a"),"q","a"),"r","a"),"s","a"),"t","a"),"u","a"),"v","a"),"w","a"),"x","a"),"y","a"),"z","a")</f>
        <v/>
      </c>
      <c r="BU81" s="61" t="str">
        <f aca="false">SUBSTITUTE(SUBSTITUTE(SUBSTITUTE(SUBSTITUTE(SUBSTITUTE(SUBSTITUTE(SUBSTITUTE(SUBSTITUTE(SUBSTITUTE(SUBSTITUTE(LEFT(BM81,FIND("0",BM81&amp;"0")-1),"-",""),"_",""),"/",""),".",""),"#",""),"\\",""),":","")," ",""),"(",""),")","")</f>
        <v/>
      </c>
      <c r="BV81" s="61" t="n">
        <f aca="false">0</f>
        <v>0</v>
      </c>
      <c r="BW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81&amp;""),"a",""),"b",""),"c",""),"d",""),"e",""),"f",""),"g",""),"h",""),"i",""),"j",""),"k",""),"l",""),"m",""),"n",""),"o",""),"p",""),"q",""),"r",""),"s",""),"t",""),"u",""),"v",""),"w",""),"x",""),"y",""),"z",""),"-",""),"_",""),"/",""),".",""),"#",""),"\\",""),":","")," ",""),"(",""),")","")</f>
        <v/>
      </c>
      <c r="BX81" s="61" t="str">
        <f aca="false">SUBSTITUTE(SUBSTITUTE(SUBSTITUTE(SUBSTITUTE(SUBSTITUTE(SUBSTITUTE(SUBSTITUTE(SUBSTITUTE(SUBSTITUTE(SUBSTITUTE(SUBSTITUTE(BM81,"0",""),"-",""),"_",""),"/",""),".",""),"#",""),"\\",""),":","")," ",""),"(",""),")","")</f>
        <v/>
      </c>
      <c r="BY81" s="62" t="n">
        <f aca="false">Q81-T12EarlyH/24</f>
        <v>46304.3784722222</v>
      </c>
      <c r="BZ81" s="61" t="n">
        <f aca="false">IFERROR(IF(IF(TRIM(S81)="Link / file path",AND(LEN(TRIM(Z81))&gt;=5,SUMPRODUCT(--ISNUMBER(SEARCH({"http","www.","\\",":\",".pdf",".jpg",".jpeg",".png",".heic",".xls",".doc",".msg",".eml",".ppt",".txt",".zip"},Z81)))&gt;0),AND(ISERROR(FIND(" ",TRIM(Z81))),NOT(OR(SUMPRODUCT(--ISNUMBER(FIND({",",";","&amp;","+"},Z81)))&gt;0,SUMPRODUCT(--ISNUMBER(SEARCH({"0/aa","0\\aa"},BN81)))&gt;0)),NOT(SUMPRODUCT(--ISNUMBER(SEARCH({"http","www.","\\",":\",".pdf",".jpg",".jpeg",".png",".heic",".xls",".doc",".msg",".eml",".ppt",".txt",".zip"},Z81)))&gt;0),NOT(LOWER(TRIM(Z81))=LOWER(Flights!$F$7)),ISNA(MATCH(BU81,{"mh","rev","revision","ver","version","v","r","a","b","seat","tray","row","gate","bay","stand","page","pg","item","line","no","cart","galley","flight","flt","table","box","bag","oven","etd","eta","std","sta","atd","ata","qty","pax","x","time","tel","ph","mob","day","wk","week","utc","gmt","myt","lt"},0)),NOT(OR(ISNUMBER(MATCH(LEFT(BN81,255),{"0000a","000a","00a","0000aa","000aa","00aa","0aa","0000aaa","000aaa","00a00","0a00","0000-0000","00:00","a00","a0","00.00.0000","00/00/0000","00-00-0000","0000-00-00","0000/00/00","0000.00.00","00.00.00","00/00/00","00-00-00","0.00.0000","0/00/0000","0-00-0000"},0)),ISNUMBER(MATCH(LEFT(BT81,255),{"0000a","000a","00a","0000aa","000aa","00aa","0aa","0000aaa","000aaa","00a00","0a00","0000-0000","00:00","a00","a0","00.00.0000","00/00/0000","00-00-0000","0000-00-00","0000/00/00","0000.00.00","00.00.00","00/00/00","00-00-00","0.00.0000","0/00/0000","0-00-0000"},0)))),NOT(OR(AND(BW81&lt;&gt;"",SUBSTITUTE(BW81,"0","")=""),AND(LEN(BW81)&gt;=4,BW81=REPT(LEFT(BW81),LEN(BW81))),ISNUMBER(MATCH(BW81,{"123","1234","12345","123456","1234567","12345678","0123","01234","012345","98765","987654","54321"},0)),ISNUMBER(MATCH(BX81,{"x","xx","xxx","xxxx","xxxxx","abc","abcd","nil","na","nan","test","tbc","tba","tbd","dummy","sample","example","eg","zz","zzz","none","null","xyz","qwe","asd","id","ref"},0)),AND(LEN(BW81)=8,BX81="",OR(LEFT(BW81,3)="202",ISNUMBER(MATCH(RIGHT(BW81,4),{"2025","2026","2027"},0)))))),OR(AND((LEN(BT81)-LEN(SUBSTITUTE(BT81,"a","")))&gt;=1,(LEN(BN81)-LEN(SUBSTITUTE(BN81,"0","")))&gt;=2,SUMPRODUCT(--ISNUMBER(SEARCH({"a0","a-0","a_0","a/0","a.0","a#0","0a","0-a","0_a","0/a"},BN81)))&gt;0),AND((LEN(BN81)-LEN(SUBSTITUTE(BN81,"a","")))=0,(LEN(BN81)-LEN(SUBSTITUTE(BN81,"0","")))&gt;=5)))),1,0),0)</f>
        <v>0</v>
      </c>
      <c r="CA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81,"revision",""),"version",""),"jan",""),"feb",""),"mar",""),"apr",""),"may",""),"jun",""),"jul",""),"aug",""),"sep",""),"oct",""),"nov",""),"dec",""),"utc",""),"gmt",""),"myt",""),"bst",""),"rev",""),"ver",""),"b","a"),"c","a"),"d","a"),"e","a"),"f","a"),"g","a"),"h","a"),"i","a"),"j","a"),"k","a"),"l","a"),"m","a"),"n","a"),"o","a"),"p","a"),"q","a"),"r","a"),"s","a"),"t","a"),"u","a"),"v","a"),"w","a"),"x","a"),"y","a"),"z","a")</f>
        <v/>
      </c>
      <c r="CB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81&amp;""),"a",""),"b",""),"c",""),"d",""),"e",""),"f",""),"g",""),"h",""),"i",""),"j",""),"k",""),"l",""),"m",""),"n",""),"o",""),"p",""),"q",""),"r",""),"s",""),"t",""),"u",""),"v",""),"w",""),"x",""),"y",""),"z",""),"-",""),"_",""),"/",""),".",""),"#",""),"\\",""),":","")," ",""),"(",""),")","")</f>
        <v/>
      </c>
      <c r="CC81" s="0" t="str">
        <f aca="false">" "&amp;TRIM(SUBSTITUTE(SUBSTITUTE(SUBSTITUTE(SUBSTITUTE(SUBSTITUTE(SUBSTITUTE(SUBSTITUTE(SUBSTITUTE(SUBSTITUTE(SUBSTITUTE(SUBSTITUTE(SUBSTITUTE(SUBSTITUTE(SUBSTITUTE(SUBSTITUTE(SUBSTITUTE(SUBSTITUTE(SUBSTITUTE(SUBSTITUTE(SUBSTITUTE(SUBSTITUTE(SUBSTITUTE(SUBSTITUTE(SUBSTITUTE(LOWER(T81&amp;""),CHAR(10)," "),CHAR(13)," "),CHAR(9)," "),CHAR(160)," "),"."," "),","," "),"-"," "),"/"," "),"("," "),")"," "),":"," "),";"," "),"_"," "),"–"," "),"?"," "),"!"," "),"*"," "),"["," "),"]"," "),"'"," "),"#"," "),"+"," "),"&amp;"," "),"\"," "))&amp;" "</f>
        <v>  </v>
      </c>
      <c r="CD81" s="0" t="str">
        <f aca="false">" "&amp;TRIM(SUBSTITUTE(SUBSTITUTE(SUBSTITUTE(SUBSTITUTE(SUBSTITUTE(SUBSTITUTE(SUBSTITUTE(SUBSTITUTE(SUBSTITUTE(SUBSTITUTE(SUBSTITUTE(SUBSTITUTE(SUBSTITUTE(SUBSTITUTE(SUBSTITUTE(SUBSTITUTE(SUBSTITUTE(SUBSTITUTE(SUBSTITUTE(SUBSTITUTE(SUBSTITUTE(SUBSTITUTE(SUBSTITUTE(SUBSTITUTE(LOWER(AE81&amp;""),CHAR(10)," "),CHAR(13)," "),CHAR(9)," "),CHAR(160)," "),"."," "),","," "),"-"," "),"/"," "),"("," "),")"," "),":"," "),";"," "),"_"," "),"–"," "),"?"," "),"!"," "),"*"," "),"["," "),"]"," "),"'"," "),"#"," "),"+"," "),"&amp;"," "),"\"," "))&amp;" "</f>
        <v>  </v>
      </c>
      <c r="CE81" s="68" t="n">
        <f aca="false">IFERROR(IF(AND(LEN(AU81)&gt;0,LEN(AU81)=LEN(AX81),OR(TRIM(MID(SUBSTITUTE(TRIM(CC81)," ",REPT(" ",60)),1,60))="",ISNUMBER(SEARCH(" "&amp;TRIM(MID(SUBSTITUTE(TRIM(CC81)," ",REPT(" ",60)),1,60))&amp;" ",CD81))),OR(TRIM(MID(SUBSTITUTE(TRIM(CC81)," ",REPT(" ",60)),61,60))="",ISNUMBER(SEARCH(" "&amp;TRIM(MID(SUBSTITUTE(TRIM(CC81)," ",REPT(" ",60)),61,60))&amp;" ",CD81))),OR(TRIM(MID(SUBSTITUTE(TRIM(CC81)," ",REPT(" ",60)),121,60))="",ISNUMBER(SEARCH(" "&amp;TRIM(MID(SUBSTITUTE(TRIM(CC81)," ",REPT(" ",60)),121,60))&amp;" ",CD81)))),1,0),0)</f>
        <v>0</v>
      </c>
      <c r="CG81" s="68" t="n">
        <f aca="false">IFERROR(LEN(SUBSTITUTE(BF81," ",""))-SUMPRODUCT((LEN(BF81)-LEN(SUBSTITUTE(BF81," "&amp;L_NAFiller&amp;" "," ")))/(LEN(L_NAFiller)+1)*LEN(L_NAFiller)),0)</f>
        <v>0</v>
      </c>
    </row>
    <row r="82" customFormat="false" ht="39.75" hidden="false" customHeight="true" outlineLevel="0" collapsed="false">
      <c r="A82" s="57" t="s">
        <v>570</v>
      </c>
      <c r="B82" s="57" t="s">
        <v>212</v>
      </c>
      <c r="C82" s="57" t="str">
        <f aca="false">Flights!$F$7</f>
        <v>MH0720</v>
      </c>
      <c r="D82" s="58" t="n">
        <f aca="false">Flights!$D$7</f>
        <v>46305</v>
      </c>
      <c r="E82" s="57" t="str">
        <f aca="false">Flights!$G$7&amp;"-"&amp;Flights!$H$7</f>
        <v>CGK-KUL</v>
      </c>
      <c r="F82" s="57" t="str">
        <f aca="false">Flights!$K$7</f>
        <v>EY</v>
      </c>
      <c r="G82" s="57" t="s">
        <v>420</v>
      </c>
      <c r="H82" s="57" t="s">
        <v>378</v>
      </c>
      <c r="I82" s="57" t="s">
        <v>428</v>
      </c>
      <c r="J82" s="57" t="s">
        <v>431</v>
      </c>
      <c r="K82" s="67"/>
      <c r="L82" s="67" t="s">
        <v>422</v>
      </c>
      <c r="M82" s="67"/>
      <c r="N82" s="67" t="s">
        <v>383</v>
      </c>
      <c r="O82" s="67" t="s">
        <v>423</v>
      </c>
      <c r="P82" s="57" t="s">
        <v>201</v>
      </c>
      <c r="Q82" s="59" t="n">
        <f aca="false">ROUND((Flights!$AE$7)*1440,0)/1440</f>
        <v>46304.8784722222</v>
      </c>
      <c r="R82" s="59" t="n">
        <f aca="false">Q82+(IF(AND(INDEX(TZ_DSTS,MATCH(P82,TZ_STN,0))&lt;&gt;"",Q82&gt;=INDEX(TZ_DSTS,MATCH(P82,TZ_STN,0)),Q82&lt;INDEX(TZ_DSTE,MATCH(P82,TZ_STN,0))),INDEX(TZ_DST,MATCH(P82,TZ_STN,0)),INDEX(TZ_STD,MATCH(P82,TZ_STN,0))))/24</f>
        <v>46305.1701388889</v>
      </c>
      <c r="S82" s="60"/>
      <c r="T82" s="60"/>
      <c r="U82" s="60"/>
      <c r="V82" s="60"/>
      <c r="W82" s="61"/>
      <c r="X82" s="60"/>
      <c r="Y82" s="60"/>
      <c r="Z82" s="60"/>
      <c r="AA82" s="60"/>
      <c r="AB82" s="60"/>
      <c r="AC82" s="60"/>
      <c r="AD82" s="66"/>
      <c r="AE82" s="60"/>
      <c r="AF82" s="61" t="str">
        <f aca="false">IF(AND(ISNUMBER(X82),ISNUMBER(Y82)),Y82-X82,"")</f>
        <v/>
      </c>
      <c r="AG82" s="62" t="str">
        <f aca="false">IF(ISNUMBER(AD82),AD82-(IF(AND(INDEX(TZ_DSTS,MATCH(P82,TZ_STN,0))&lt;&gt;"",(AD82-INDEX(TZ_STD,MATCH(P82,TZ_STN,0))/24)&gt;=INDEX(TZ_DSTS,MATCH(P82,TZ_STN,0)),(AD82-INDEX(TZ_STD,MATCH(P82,TZ_STN,0))/24)&lt;INDEX(TZ_DSTE,MATCH(P82,TZ_STN,0))),INDEX(TZ_DST,MATCH(P82,TZ_STN,0)),INDEX(TZ_STD,MATCH(P82,TZ_STN,0))))/24,"")</f>
        <v/>
      </c>
      <c r="AH82" s="65" t="str">
        <f aca="false">IFERROR(IF(N82="N/A – rule",IF(OR(TRIM(U82)="",TRIM(U82)="N/A",TRIM(U82)="Not started"),"N/A – RULE","INVALID – this check does not apply to this aircraft: clear the status (or correct the fleet on Flights)"),IF(TRIM(U82)="N/A",IF(AT82=0,"INVALID – N/A not permitted for this check",IF(AND(TRIM(AB82)&lt;&gt;"",TRIM(AB82)&lt;&gt;"Closed"),"INVALID – corrective action still open",IF(AND(NOT(OR(LEN(AZ82)&lt;15,ISNUMBER(MATCH(AZ82,L_Placeholder,0)))),BK82=0,CG82&gt;=8,NOT(OR(LEN(AU82)&lt;2,ISNUMBER(MATCH(AU82,L_Placeholder,0)))),BR82&gt;=3,NOT(OR(LEN(AX82)&lt;2,ISNUMBER(MATCH(AX82,L_Placeholder,0)))),BS82&gt;=3,TRIM(AE82)&lt;&gt;TRIM(T82),AX82&lt;&gt;AU82,CE82=0),"N/A – JUSTIFIED","INVALID – N/A needs a real, settled reason (not 'not applicable' / 'as above' / TBC), a named PIC and a different named verifier"))),IF(OR(TRIM(U82)="Pass",TRIM(U82)="Pass after CA"),IF(NOT(ISNUMBER(AD82)),"INVALID – completion time missing",IF(OR(OR(LEN(AU82)&lt;2,ISNUMBER(MATCH(AU82,L_Placeholder,0))),BR82&lt;3),"INVALID – PIC missing or not a named person (a role such as QA / CSM is not a name)",IF(OR(LEN(AV82)&lt;2,ISNUMBER(MATCH(AV82,L_Placeholder,0))),"INVALID – result / assessment missing",IF(OR(OR(LEN(AW82)&lt;3,ISNUMBER(MATCH(AW82,L_Placeholder,0))),SUMPRODUCT(--ISNUMBER(SEARCH(" "&amp;L_EvidencePhrase&amp;" ",BD82)))&gt;0,BI82=1),"INVALID – evidence missing, placeholder or not yet on file",IF(ISNA(MATCH(TRIM(S82),L_EvidenceType,0)),"INVALID – choose the evidence type from the list (column S)",IF(BL82=0,"INVALID – evidence ID must be the record's own ID only (e.g. SF-2210, IMG_2231, 1045521); a link / file name needs type 'Link / file path'",IF(OR(OR(LEN(AX82)&lt;2,ISNUMBER(MATCH(AX82,L_Placeholder,0))),BS82&lt;3),"INVALID – verifier missing or not a named person (a role such as QA / CSM is not a name)",IF(OR(AX82=AU82,CE82=1,AND(LEN(AU82)&gt;=4,ISNUMBER(SEARCH(AU82,AX82))),AND(LEN(AX82)&gt;=4,ISNUMBER(SEARCH(AX82,AU82)))),"INVALID – verifier must be a different, named person (not the PIC or a role)",IF(BH82=1,"INVALID – result not yet available (awaiting / TBC)",IF(BG82=1,"INVALID – result describes a problem: record Fail, then Pass after CA (or reword if it is not a problem)",IF(BV82=1,"INVALID – wording says not on board: an on-board confirmation needs the item loaded",IF(AND(AQ82=1,OR(OR(LEN(AY82)&lt;3,ISNUMBER(MATCH(AY82,L_Placeholder,0))),BJ82=1,BQ82=0)),"INVALID – batch ID missing, placeholder or not an ID (e.g. PASB-261008-BC-017)",IF(AND(AR82=1,OR(NOT(ISNUMBER(X82)),NOT(ISNUMBER(Y82)))),"INVALID – expected/actual qty missing",IF(AND(AR82=1,OR(X82&lt;=0,Y82&lt;0)),"INVALID – expected qty must be above 0 and actual not negative",IF(BB82&lt;&gt;"",BB82,IF(AND(AS82=1,Documents!$J$7&lt;&gt;"ON FILE"),"INVALID – GLD not on file (Documents sheet)",IF(AND(AS82=2,Documents!$O$7&lt;&gt;"ON FILE"),"INVALID – menu checklist not on file (Documents sheet)",IF(AND(AS82=3,NOT(ISNUMBER(Flights!$AX$7))),"INVALID – enter carrying flight KUL departure (Flights AX)",IF(AND(AS82=3,OR(Flights!$AZ$7&gt;Flights!$AA$7,Flights!$AX$7&lt;Flights!$AA$7-3)),"INVALID – carrying flight (Flights AX) cannot arrive before this leg's STD, or is over 3 days early",IF(AG82&gt;AsOfUTC,"INVALID – completion time is in the future",IF(AND(ISNUMBER(BY82),AG82&lt;BY82),IF(H82="Physical uplift","INVALID – before uplift window (cannot confirm loading)","INVALID – before valid window"),IF(AG82&gt;Flights!$AA$7,"INVALID – completed after departure (cannot establish readiness)",IF(AND(H82="Preparation",AG82&gt;=IF(ISNUMBER(Flights!$BA$7),MIN(Flights!$BA$7,Flights!$AA$7),Flights!$AA$7)),"INVALID – completed after loading / departure (cannot establish readiness)",IF(AND(H82="Physical uplift",AG82&gt;Q82),"INVALID – recorded after the loading flight departed",IF(AG82&gt;Q82,"COMPLETE – LATE","COMPLETE"))))))))))))))))))))))))),IF(TRIM(U82)="Fail","FAIL – DISCREPANCY",IF(AND(TRIM(U82)&lt;&gt;"",TRIM(U82)&lt;&gt;"Not started",TRIM(U82)&lt;&gt;"In progress"),"INVALID – unrecognised status (use the list)",IF(AsOfUTC&gt;Q82,"OVERDUE",IF(N82="Clarification required","OPEN – CLARIFICATION","OPEN"))))))),"INVALID – error value in an input cell")</f>
        <v>OPEN</v>
      </c>
      <c r="AI82" s="61" t="n">
        <f aca="false">IF(OR(AH82="N/A – RULE",AH82="N/A – JUSTIFIED"),0,1)</f>
        <v>1</v>
      </c>
      <c r="AJ82" s="61" t="n">
        <f aca="false">IF(LEFT(AH82,8)="COMPLETE",1,0)</f>
        <v>0</v>
      </c>
      <c r="AK82" s="61" t="n">
        <f aca="false">IF(AND(AI82=1,AJ82=0,AsOfUTC&gt;Q82),1,0)</f>
        <v>0</v>
      </c>
      <c r="AL82" s="61" t="n">
        <f aca="false">IFERROR(IF(AND(AI82=1,OR(TRIM(U82)="Fail",AND(TRIM(AB82)&lt;&gt;"",TRIM(AB82)&lt;&gt;"Closed"),AND(ISNUMBER(AF82),AF82&lt;&gt;0,TRIM(U82)&lt;&gt;"Pass after CA"))),1,0),1)</f>
        <v>0</v>
      </c>
      <c r="AM82" s="61" t="n">
        <f aca="false">IF(LEFT(AH82,7)="INVALID",1,0)</f>
        <v>0</v>
      </c>
      <c r="AN82" s="61" t="n">
        <f aca="false">IF(AND(N82="Clarification required",AI82=1,AJ82=0),1,0)</f>
        <v>0</v>
      </c>
      <c r="AO82" s="61" t="str">
        <f aca="false">IF(AK82=1,SUM(AK$5:AK82),"")</f>
        <v/>
      </c>
      <c r="AP82" s="61" t="str">
        <f aca="false">IF(AL82=1,SUM(AL$5:AL82),"")</f>
        <v/>
      </c>
      <c r="AQ82" s="61" t="n">
        <v>0</v>
      </c>
      <c r="AR82" s="61" t="n">
        <v>0</v>
      </c>
      <c r="AS82" s="61" t="n">
        <v>0</v>
      </c>
      <c r="AT82" s="61" t="n">
        <v>0</v>
      </c>
      <c r="AU82" s="61" t="str">
        <f aca="false">SUBSTITUTE(SUBSTITUTE(SUBSTITUTE(SUBSTITUTE(SUBSTITUTE(SUBSTITUTE(SUBSTITUTE(SUBSTITUTE(SUBSTITUTE(SUBSTITUTE(SUBSTITUTE(SUBSTITUTE(SUBSTITUTE(SUBSTITUTE(SUBSTITUTE(SUBSTITUTE(LOWER(T82&amp;""),CHAR(10),""),CHAR(13),""),CHAR(9),""),CHAR(160),"")," ",""),".",""),"-",""),"/",""),"?",""),"_",""),",",""),"[",""),"]",""),"(",""),")",""),"*","")</f>
        <v/>
      </c>
      <c r="AV82" s="61" t="str">
        <f aca="false">SUBSTITUTE(SUBSTITUTE(SUBSTITUTE(SUBSTITUTE(SUBSTITUTE(SUBSTITUTE(SUBSTITUTE(SUBSTITUTE(SUBSTITUTE(SUBSTITUTE(SUBSTITUTE(SUBSTITUTE(SUBSTITUTE(SUBSTITUTE(SUBSTITUTE(SUBSTITUTE(LOWER(V82&amp;""),CHAR(10),""),CHAR(13),""),CHAR(9),""),CHAR(160),"")," ",""),".",""),"-",""),"/",""),"?",""),"_",""),",",""),"[",""),"]",""),"(",""),")",""),"*","")</f>
        <v/>
      </c>
      <c r="AW82" s="61" t="str">
        <f aca="false">SUBSTITUTE(SUBSTITUTE(SUBSTITUTE(SUBSTITUTE(SUBSTITUTE(SUBSTITUTE(SUBSTITUTE(SUBSTITUTE(SUBSTITUTE(SUBSTITUTE(SUBSTITUTE(SUBSTITUTE(SUBSTITUTE(SUBSTITUTE(SUBSTITUTE(SUBSTITUTE(LOWER(Z82&amp;""),CHAR(10),""),CHAR(13),""),CHAR(9),""),CHAR(160),"")," ",""),".",""),"-",""),"/",""),"?",""),"_",""),",",""),"[",""),"]",""),"(",""),")",""),"*","")</f>
        <v/>
      </c>
      <c r="AX82" s="61" t="str">
        <f aca="false">SUBSTITUTE(SUBSTITUTE(SUBSTITUTE(SUBSTITUTE(SUBSTITUTE(SUBSTITUTE(SUBSTITUTE(SUBSTITUTE(SUBSTITUTE(SUBSTITUTE(SUBSTITUTE(SUBSTITUTE(SUBSTITUTE(SUBSTITUTE(SUBSTITUTE(SUBSTITUTE(LOWER(AE82&amp;""),CHAR(10),""),CHAR(13),""),CHAR(9),""),CHAR(160),"")," ",""),".",""),"-",""),"/",""),"?",""),"_",""),",",""),"[",""),"]",""),"(",""),")",""),"*","")</f>
        <v/>
      </c>
      <c r="AY82" s="61" t="str">
        <f aca="false">SUBSTITUTE(SUBSTITUTE(SUBSTITUTE(SUBSTITUTE(SUBSTITUTE(SUBSTITUTE(SUBSTITUTE(SUBSTITUTE(SUBSTITUTE(SUBSTITUTE(SUBSTITUTE(SUBSTITUTE(SUBSTITUTE(SUBSTITUTE(SUBSTITUTE(SUBSTITUTE(LOWER(W82&amp;""),CHAR(10),""),CHAR(13),""),CHAR(9),""),CHAR(160),"")," ",""),".",""),"-",""),"/",""),"?",""),"_",""),",",""),"[",""),"]",""),"(",""),")",""),"*","")</f>
        <v/>
      </c>
      <c r="AZ82" s="61" t="str">
        <f aca="false">SUBSTITUTE(SUBSTITUTE(SUBSTITUTE(SUBSTITUTE(SUBSTITUTE(SUBSTITUTE(SUBSTITUTE(SUBSTITUTE(SUBSTITUTE(SUBSTITUTE(SUBSTITUTE(SUBSTITUTE(SUBSTITUTE(SUBSTITUTE(SUBSTITUTE(SUBSTITUTE(LOWER(AC82&amp;""),CHAR(10),""),CHAR(13),""),CHAR(9),""),CHAR(160),"")," ",""),".",""),"-",""),"/",""),"?",""),"_",""),",",""),"[",""),"]",""),"(",""),")",""),"*","")</f>
        <v/>
      </c>
      <c r="BA82" s="61" t="str">
        <f aca="false">SUBSTITUTE(SUBSTITUTE(SUBSTITUTE(SUBSTITUTE(SUBSTITUTE(SUBSTITUTE(SUBSTITUTE(SUBSTITUTE(SUBSTITUTE(SUBSTITUTE(SUBSTITUTE(SUBSTITUTE(SUBSTITUTE(SUBSTITUTE(SUBSTITUTE(SUBSTITUTE(LOWER(AA82&amp;""),CHAR(10),""),CHAR(13),""),CHAR(9),""),CHAR(160),"")," ",""),".",""),"-",""),"/",""),"?",""),"_",""),",",""),"[",""),"]",""),"(",""),")",""),"*","")</f>
        <v/>
      </c>
      <c r="BB82" s="61" t="str">
        <f aca="false">IF(AND(TRIM(U82)="Pass",ISNUMBER(AF82)),IF(AF82&lt;&gt;0,"INVALID – qty variance: use Fail or Pass after CA",""),"")&amp;IF(AND(TRIM(U82)="Pass after CA",ISNUMBER(AF82)),IF(AF82&lt;&gt;0,"INVALID – after the corrective action the actual qty must equal expected (update Actual)",""),"")&amp;IF(AND(TRIM(U82)="Pass",TRIM(AB82)&lt;&gt;"",TRIM(AB82)&lt;&gt;"Closed"),"INVALID – corrective action not closed: use Fail, then Pass after CA","")&amp;IF(AND(LEN(BA82)&gt;=2,ISNA(MATCH(LEFT(BA82,255),L_Placeholder,0)),TRIM(AB82)=""),"INVALID – CA status missing for the recorded corrective action","")&amp;IF(AND(TRIM(U82)="Pass after CA",OR(OR(LEN(BA82)&lt;5,ISNUMBER(MATCH(BA82,L_Placeholder,0))),TRIM(AB82)&lt;&gt;"Closed")),"INVALID – corrective action not recorded/closed","")</f>
        <v/>
      </c>
      <c r="BC82" s="61" t="str">
        <f aca="false">" "&amp;TRIM(SUBSTITUTE(SUBSTITUTE(SUBSTITUTE(SUBSTITUTE(SUBSTITUTE(SUBSTITUTE(SUBSTITUTE(SUBSTITUTE(SUBSTITUTE(SUBSTITUTE(SUBSTITUTE(SUBSTITUTE(SUBSTITUTE(SUBSTITUTE(SUBSTITUTE(SUBSTITUTE(SUBSTITUTE(SUBSTITUTE(SUBSTITUTE(SUBSTITUTE(SUBSTITUTE(SUBSTITUTE(SUBSTITUTE(SUBSTITUTE(LOWER(V82&amp;""),CHAR(10)," "),CHAR(13)," "),CHAR(9)," "),CHAR(160)," "),"."," "),","," "),"-"," "),"/"," "),"("," "),")"," "),":"," "),";"," "),"_"," "),"–"," "),"?"," "),"!"," "),"*"," "),"["," "),"]"," "),"'"," "),"#"," "),"+"," "),"&amp;"," "),"\"," "))&amp;" "</f>
        <v>  </v>
      </c>
      <c r="BD82" s="61" t="str">
        <f aca="false">" "&amp;TRIM(SUBSTITUTE(SUBSTITUTE(SUBSTITUTE(SUBSTITUTE(SUBSTITUTE(SUBSTITUTE(SUBSTITUTE(SUBSTITUTE(SUBSTITUTE(SUBSTITUTE(SUBSTITUTE(SUBSTITUTE(SUBSTITUTE(SUBSTITUTE(SUBSTITUTE(SUBSTITUTE(SUBSTITUTE(SUBSTITUTE(SUBSTITUTE(SUBSTITUTE(SUBSTITUTE(SUBSTITUTE(SUBSTITUTE(SUBSTITUTE(LOWER(Z82&amp;""),CHAR(10)," "),CHAR(13)," "),CHAR(9)," "),CHAR(160)," "),"."," "),","," "),"-"," "),"/"," "),"("," "),")"," "),":"," "),";"," "),"_"," "),"–"," "),"?"," "),"!"," "),"*"," "),"["," "),"]"," "),"'"," "),"#"," "),"+"," "),"&amp;"," "),"\"," "))&amp;" "</f>
        <v>  </v>
      </c>
      <c r="BE82" s="61" t="str">
        <f aca="false">" "&amp;TRIM(SUBSTITUTE(SUBSTITUTE(SUBSTITUTE(SUBSTITUTE(SUBSTITUTE(SUBSTITUTE(SUBSTITUTE(SUBSTITUTE(SUBSTITUTE(SUBSTITUTE(SUBSTITUTE(SUBSTITUTE(SUBSTITUTE(SUBSTITUTE(SUBSTITUTE(SUBSTITUTE(SUBSTITUTE(SUBSTITUTE(SUBSTITUTE(SUBSTITUTE(SUBSTITUTE(SUBSTITUTE(SUBSTITUTE(SUBSTITUTE(LOWER(W82&amp;""),CHAR(10)," "),CHAR(13)," "),CHAR(9)," "),CHAR(160)," "),"."," "),","," "),"-"," "),"/"," "),"("," "),")"," "),":"," "),";"," "),"_"," "),"–"," "),"?"," "),"!"," "),"*"," "),"["," "),"]"," "),"'"," "),"#"," "),"+"," "),"&amp;"," "),"\"," "))&amp;" "</f>
        <v>  </v>
      </c>
      <c r="BF82" s="61" t="str">
        <f aca="false">" "&amp;TRIM(SUBSTITUTE(SUBSTITUTE(SUBSTITUTE(SUBSTITUTE(SUBSTITUTE(SUBSTITUTE(SUBSTITUTE(SUBSTITUTE(SUBSTITUTE(SUBSTITUTE(SUBSTITUTE(SUBSTITUTE(SUBSTITUTE(SUBSTITUTE(SUBSTITUTE(SUBSTITUTE(SUBSTITUTE(SUBSTITUTE(SUBSTITUTE(SUBSTITUTE(SUBSTITUTE(SUBSTITUTE(SUBSTITUTE(SUBSTITUTE(LOWER(AC82&amp;""),CHAR(10)," "),CHAR(13)," "),CHAR(9)," "),CHAR(160)," "),"."," "),","," "),"-"," "),"/"," "),"("," "),")"," "),":"," "),";"," "),"_"," "),"–"," "),"?"," "),"!"," "),"*"," "),"["," "),"]"," "),"'"," "),"#"," "),"+"," "),"&amp;"," "),"\"," "))&amp;" "</f>
        <v>  </v>
      </c>
      <c r="BG82" s="61" t="n">
        <f aca="false">IFERROR(IF(AND(TRIM(U82)="Pass",SUMPRODUCT((LEN(BC82)-LEN(SUBSTITUTE(BC82," "&amp;L_ResultBad&amp;" "," ")))/(LEN(L_ResultBad)+1))&gt;SUMPRODUCT((LEN(BC82)-LEN(SUBSTITUTE(BC82," "&amp;L_NegPhrase&amp;" "," ")))/(LEN(L_NegPhrase)+1))),1,0),0)</f>
        <v>0</v>
      </c>
      <c r="BH82" s="61" t="n">
        <f aca="false">IFERROR(IF(SUMPRODUCT((LEN(BC82)-LEN(SUBSTITUTE(BC82," "&amp;L_Pending&amp;" "," ")))/(LEN(L_Pending)+1))&gt;SUMPRODUCT((LEN(BC82)-LEN(SUBSTITUTE(BC82," "&amp;L_PendNeg&amp;" "," ")))/(LEN(L_PendNeg)+1))+SUMPRODUCT((LEN(BC82)-LEN(SUBSTITUTE(BC82," "&amp;L_PendPrep&amp;" "," ")))/(LEN(L_PendPrep)+1)),1,0),1)</f>
        <v>0</v>
      </c>
      <c r="BI82" s="61" t="n">
        <f aca="false">IFERROR(IF(SUMPRODUCT((LEN(BD82)-LEN(SUBSTITUTE(BD82," "&amp;L_PendStrict&amp;" "," ")))/(LEN(L_PendStrict)+1))&gt;SUMPRODUCT((LEN(BD82)-LEN(SUBSTITUTE(BD82," "&amp;L_PendNeg&amp;" "," ")))/(LEN(L_PendNeg)+1)),1,0),1)</f>
        <v>0</v>
      </c>
      <c r="BJ82" s="61" t="n">
        <f aca="false">IFERROR(IF(SUMPRODUCT((LEN(BE82)-LEN(SUBSTITUTE(BE82," "&amp;L_Pending&amp;" "," ")))/(LEN(L_Pending)+1))&gt;SUMPRODUCT((LEN(BE82)-LEN(SUBSTITUTE(BE82," "&amp;L_PendNeg&amp;" "," ")))/(LEN(L_PendNeg)+1))+SUMPRODUCT((LEN(BE82)-LEN(SUBSTITUTE(BE82," "&amp;L_PendPrep&amp;" "," ")))/(LEN(L_PendPrep)+1)),1,0),1)</f>
        <v>0</v>
      </c>
      <c r="BK82" s="61" t="n">
        <f aca="false">IFERROR(IF(SUMPRODUCT((LEN(BF82)-LEN(SUBSTITUTE(BF82," "&amp;L_PendStrict&amp;" "," ")))/(LEN(L_PendStrict)+1))&gt;SUMPRODUCT((LEN(BF82)-LEN(SUBSTITUTE(BF82," "&amp;L_PendNeg&amp;" "," ")))/(LEN(L_PendNeg)+1)),1,0),1)</f>
        <v>0</v>
      </c>
      <c r="BL82" s="61" t="n">
        <f aca="false">IF(ISNA(MATCH(TRIM(S82),L_EvidenceType,0)),0,BZ82)</f>
        <v>0</v>
      </c>
      <c r="BM82" s="61" t="str">
        <f aca="false">SUBSTITUTE(SUBSTITUTE(SUBSTITUTE(SUBSTITUTE(SUBSTITUTE(SUBSTITUTE(SUBSTITUTE(SUBSTITUTE(SUBSTITUTE(LOWER(Z82&amp;""),"1","0"),"2","0"),"3","0"),"4","0"),"5","0"),"6","0"),"7","0"),"8","0"),"9","0")</f>
        <v/>
      </c>
      <c r="BN82" s="61" t="str">
        <f aca="false">SUBSTITUTE(SUBSTITUTE(SUBSTITUTE(SUBSTITUTE(SUBSTITUTE(SUBSTITUTE(SUBSTITUTE(SUBSTITUTE(SUBSTITUTE(SUBSTITUTE(SUBSTITUTE(SUBSTITUTE(SUBSTITUTE(SUBSTITUTE(SUBSTITUTE(SUBSTITUTE(SUBSTITUTE(SUBSTITUTE(SUBSTITUTE(SUBSTITUTE(SUBSTITUTE(SUBSTITUTE(SUBSTITUTE(SUBSTITUTE(SUBSTITUTE(BM82,"b","a"),"c","a"),"d","a"),"e","a"),"f","a"),"g","a"),"h","a"),"i","a"),"j","a"),"k","a"),"l","a"),"m","a"),"n","a"),"o","a"),"p","a"),"q","a"),"r","a"),"s","a"),"t","a"),"u","a"),"v","a"),"w","a"),"x","a"),"y","a"),"z","a")</f>
        <v/>
      </c>
      <c r="BO82" s="61" t="str">
        <f aca="false">SUBSTITUTE(SUBSTITUTE(SUBSTITUTE(SUBSTITUTE(SUBSTITUTE(SUBSTITUTE(SUBSTITUTE(SUBSTITUTE(SUBSTITUTE(LOWER(W82&amp;""),"1","0"),"2","0"),"3","0"),"4","0"),"5","0"),"6","0"),"7","0"),"8","0"),"9","0")</f>
        <v/>
      </c>
      <c r="BP82" s="61" t="str">
        <f aca="false">SUBSTITUTE(SUBSTITUTE(SUBSTITUTE(SUBSTITUTE(SUBSTITUTE(SUBSTITUTE(SUBSTITUTE(SUBSTITUTE(SUBSTITUTE(SUBSTITUTE(SUBSTITUTE(SUBSTITUTE(SUBSTITUTE(SUBSTITUTE(SUBSTITUTE(SUBSTITUTE(SUBSTITUTE(SUBSTITUTE(SUBSTITUTE(SUBSTITUTE(SUBSTITUTE(SUBSTITUTE(SUBSTITUTE(SUBSTITUTE(SUBSTITUTE(BO82,"b","a"),"c","a"),"d","a"),"e","a"),"f","a"),"g","a"),"h","a"),"i","a"),"j","a"),"k","a"),"l","a"),"m","a"),"n","a"),"o","a"),"p","a"),"q","a"),"r","a"),"s","a"),"t","a"),"u","a"),"v","a"),"w","a"),"x","a"),"y","a"),"z","a")</f>
        <v/>
      </c>
      <c r="BQ82" s="61" t="n">
        <f aca="false">IFERROR(IF(AND(ISERROR(SEARCH(" mh"," "&amp;LOWER(W82))),ISNA(MATCH(LEFT(TRIM(BP82),255),{"0000a","000a","00a","0000aa","000aa","00aa","0aa","0000aaa","000aaa","00a00","0a00","0000-0000","00:00","a00","a0","00.00.0000","00/00/0000","00-00-0000","0000-00-00","0000/00/00","0000.00.00","00.00.00","00/00/00","00-00-00","0.00.0000","0/00/0000","0-00-0000"},0)),ISNA(MATCH(LEFT(TRIM(CA82),255),{"0000a","000a","00a","0000aa","000aa","00aa","0aa","0000aaa","000aaa","00a00","0a00","0000-0000","00:00","a00","a0","00.00.0000","00/00/0000","00-00-0000","0000-00-00","0000/00/00","0000.00.00","00.00.00","00/00/00","00-00-00","0.00.0000","0/00/0000","0-00-0000"},0)),LEN(CB82)&gt;=3,NOT(OR(SUBSTITUTE(CB82,"0","")="",AND(LEN(CB82)&gt;=4,CB82=REPT(LEFT(CB82),LEN(CB82))),ISNUMBER(MATCH(CB82,{"123","1234","12345","123456","1234567","12345678","0123","01234","012345","98765","987654","54321"},0)),AND(LEN(CB82)=8,LEFT(CB82,3)="202"))),OR(AND((LEN(CA82)-LEN(SUBSTITUTE(CA82,"a","")))&gt;=1,SUMPRODUCT(--ISNUMBER(SEARCH({"a0","a-0","a_0","a/0","a.0","a#0","0a","0-a","0_a","0/a"},BP82)))&gt;0),ISNUMBER(SEARCH("000000",BP82)))),1,0),0)</f>
        <v>0</v>
      </c>
      <c r="BR82" s="61" t="n">
        <f aca="false">IFERROR(LEN(SUBSTITUTE(CC82," ",""))-SUMPRODUCT((LEN(CC82)-LEN(SUBSTITUTE(CC82," "&amp;L_Role&amp;" "," ")))/(LEN(L_Role)+1)*LEN(L_Role)),0)</f>
        <v>0</v>
      </c>
      <c r="BS82" s="61" t="n">
        <f aca="false">IFERROR(LEN(SUBSTITUTE(CD82," ",""))-SUMPRODUCT((LEN(CD82)-LEN(SUBSTITUTE(CD82," "&amp;L_Role&amp;" "," ")))/(LEN(L_Role)+1)*LEN(L_Role)),0)</f>
        <v>0</v>
      </c>
      <c r="BT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82,"revision",""),"version",""),"jan",""),"feb",""),"mar",""),"apr",""),"may",""),"jun",""),"jul",""),"aug",""),"sep",""),"oct",""),"nov",""),"dec",""),"utc",""),"gmt",""),"myt",""),"bst",""),"rev",""),"ver",""),"b","a"),"c","a"),"d","a"),"e","a"),"f","a"),"g","a"),"h","a"),"i","a"),"j","a"),"k","a"),"l","a"),"m","a"),"n","a"),"o","a"),"p","a"),"q","a"),"r","a"),"s","a"),"t","a"),"u","a"),"v","a"),"w","a"),"x","a"),"y","a"),"z","a")</f>
        <v/>
      </c>
      <c r="BU82" s="61" t="str">
        <f aca="false">SUBSTITUTE(SUBSTITUTE(SUBSTITUTE(SUBSTITUTE(SUBSTITUTE(SUBSTITUTE(SUBSTITUTE(SUBSTITUTE(SUBSTITUTE(SUBSTITUTE(LEFT(BM82,FIND("0",BM82&amp;"0")-1),"-",""),"_",""),"/",""),".",""),"#",""),"\\",""),":","")," ",""),"(",""),")","")</f>
        <v/>
      </c>
      <c r="BV82" s="61" t="n">
        <f aca="false">0</f>
        <v>0</v>
      </c>
      <c r="BW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82&amp;""),"a",""),"b",""),"c",""),"d",""),"e",""),"f",""),"g",""),"h",""),"i",""),"j",""),"k",""),"l",""),"m",""),"n",""),"o",""),"p",""),"q",""),"r",""),"s",""),"t",""),"u",""),"v",""),"w",""),"x",""),"y",""),"z",""),"-",""),"_",""),"/",""),".",""),"#",""),"\\",""),":","")," ",""),"(",""),")","")</f>
        <v/>
      </c>
      <c r="BX82" s="61" t="str">
        <f aca="false">SUBSTITUTE(SUBSTITUTE(SUBSTITUTE(SUBSTITUTE(SUBSTITUTE(SUBSTITUTE(SUBSTITUTE(SUBSTITUTE(SUBSTITUTE(SUBSTITUTE(SUBSTITUTE(BM82,"0",""),"-",""),"_",""),"/",""),".",""),"#",""),"\\",""),":","")," ",""),"(",""),")","")</f>
        <v/>
      </c>
      <c r="BY82" s="62" t="n">
        <f aca="false">Q82-T12EarlyH/24</f>
        <v>46304.3784722222</v>
      </c>
      <c r="BZ82" s="61" t="n">
        <f aca="false">IFERROR(IF(IF(TRIM(S82)="Link / file path",AND(LEN(TRIM(Z82))&gt;=5,SUMPRODUCT(--ISNUMBER(SEARCH({"http","www.","\\",":\",".pdf",".jpg",".jpeg",".png",".heic",".xls",".doc",".msg",".eml",".ppt",".txt",".zip"},Z82)))&gt;0),AND(ISERROR(FIND(" ",TRIM(Z82))),NOT(OR(SUMPRODUCT(--ISNUMBER(FIND({",",";","&amp;","+"},Z82)))&gt;0,SUMPRODUCT(--ISNUMBER(SEARCH({"0/aa","0\\aa"},BN82)))&gt;0)),NOT(SUMPRODUCT(--ISNUMBER(SEARCH({"http","www.","\\",":\",".pdf",".jpg",".jpeg",".png",".heic",".xls",".doc",".msg",".eml",".ppt",".txt",".zip"},Z82)))&gt;0),NOT(LOWER(TRIM(Z82))=LOWER(Flights!$F$7)),ISNA(MATCH(BU82,{"mh","rev","revision","ver","version","v","r","a","b","seat","tray","row","gate","bay","stand","page","pg","item","line","no","cart","galley","flight","flt","table","box","bag","oven","etd","eta","std","sta","atd","ata","qty","pax","x","time","tel","ph","mob","day","wk","week","utc","gmt","myt","lt"},0)),NOT(OR(ISNUMBER(MATCH(LEFT(BN82,255),{"0000a","000a","00a","0000aa","000aa","00aa","0aa","0000aaa","000aaa","00a00","0a00","0000-0000","00:00","a00","a0","00.00.0000","00/00/0000","00-00-0000","0000-00-00","0000/00/00","0000.00.00","00.00.00","00/00/00","00-00-00","0.00.0000","0/00/0000","0-00-0000"},0)),ISNUMBER(MATCH(LEFT(BT82,255),{"0000a","000a","00a","0000aa","000aa","00aa","0aa","0000aaa","000aaa","00a00","0a00","0000-0000","00:00","a00","a0","00.00.0000","00/00/0000","00-00-0000","0000-00-00","0000/00/00","0000.00.00","00.00.00","00/00/00","00-00-00","0.00.0000","0/00/0000","0-00-0000"},0)))),NOT(OR(AND(BW82&lt;&gt;"",SUBSTITUTE(BW82,"0","")=""),AND(LEN(BW82)&gt;=4,BW82=REPT(LEFT(BW82),LEN(BW82))),ISNUMBER(MATCH(BW82,{"123","1234","12345","123456","1234567","12345678","0123","01234","012345","98765","987654","54321"},0)),ISNUMBER(MATCH(BX82,{"x","xx","xxx","xxxx","xxxxx","abc","abcd","nil","na","nan","test","tbc","tba","tbd","dummy","sample","example","eg","zz","zzz","none","null","xyz","qwe","asd","id","ref"},0)),AND(LEN(BW82)=8,BX82="",OR(LEFT(BW82,3)="202",ISNUMBER(MATCH(RIGHT(BW82,4),{"2025","2026","2027"},0)))))),OR(AND((LEN(BT82)-LEN(SUBSTITUTE(BT82,"a","")))&gt;=1,(LEN(BN82)-LEN(SUBSTITUTE(BN82,"0","")))&gt;=2,SUMPRODUCT(--ISNUMBER(SEARCH({"a0","a-0","a_0","a/0","a.0","a#0","0a","0-a","0_a","0/a"},BN82)))&gt;0),AND((LEN(BN82)-LEN(SUBSTITUTE(BN82,"a","")))=0,(LEN(BN82)-LEN(SUBSTITUTE(BN82,"0","")))&gt;=5)))),1,0),0)</f>
        <v>0</v>
      </c>
      <c r="CA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82,"revision",""),"version",""),"jan",""),"feb",""),"mar",""),"apr",""),"may",""),"jun",""),"jul",""),"aug",""),"sep",""),"oct",""),"nov",""),"dec",""),"utc",""),"gmt",""),"myt",""),"bst",""),"rev",""),"ver",""),"b","a"),"c","a"),"d","a"),"e","a"),"f","a"),"g","a"),"h","a"),"i","a"),"j","a"),"k","a"),"l","a"),"m","a"),"n","a"),"o","a"),"p","a"),"q","a"),"r","a"),"s","a"),"t","a"),"u","a"),"v","a"),"w","a"),"x","a"),"y","a"),"z","a")</f>
        <v/>
      </c>
      <c r="CB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82&amp;""),"a",""),"b",""),"c",""),"d",""),"e",""),"f",""),"g",""),"h",""),"i",""),"j",""),"k",""),"l",""),"m",""),"n",""),"o",""),"p",""),"q",""),"r",""),"s",""),"t",""),"u",""),"v",""),"w",""),"x",""),"y",""),"z",""),"-",""),"_",""),"/",""),".",""),"#",""),"\\",""),":","")," ",""),"(",""),")","")</f>
        <v/>
      </c>
      <c r="CC82" s="0" t="str">
        <f aca="false">" "&amp;TRIM(SUBSTITUTE(SUBSTITUTE(SUBSTITUTE(SUBSTITUTE(SUBSTITUTE(SUBSTITUTE(SUBSTITUTE(SUBSTITUTE(SUBSTITUTE(SUBSTITUTE(SUBSTITUTE(SUBSTITUTE(SUBSTITUTE(SUBSTITUTE(SUBSTITUTE(SUBSTITUTE(SUBSTITUTE(SUBSTITUTE(SUBSTITUTE(SUBSTITUTE(SUBSTITUTE(SUBSTITUTE(SUBSTITUTE(SUBSTITUTE(LOWER(T82&amp;""),CHAR(10)," "),CHAR(13)," "),CHAR(9)," "),CHAR(160)," "),"."," "),","," "),"-"," "),"/"," "),"("," "),")"," "),":"," "),";"," "),"_"," "),"–"," "),"?"," "),"!"," "),"*"," "),"["," "),"]"," "),"'"," "),"#"," "),"+"," "),"&amp;"," "),"\"," "))&amp;" "</f>
        <v>  </v>
      </c>
      <c r="CD82" s="0" t="str">
        <f aca="false">" "&amp;TRIM(SUBSTITUTE(SUBSTITUTE(SUBSTITUTE(SUBSTITUTE(SUBSTITUTE(SUBSTITUTE(SUBSTITUTE(SUBSTITUTE(SUBSTITUTE(SUBSTITUTE(SUBSTITUTE(SUBSTITUTE(SUBSTITUTE(SUBSTITUTE(SUBSTITUTE(SUBSTITUTE(SUBSTITUTE(SUBSTITUTE(SUBSTITUTE(SUBSTITUTE(SUBSTITUTE(SUBSTITUTE(SUBSTITUTE(SUBSTITUTE(LOWER(AE82&amp;""),CHAR(10)," "),CHAR(13)," "),CHAR(9)," "),CHAR(160)," "),"."," "),","," "),"-"," "),"/"," "),"("," "),")"," "),":"," "),";"," "),"_"," "),"–"," "),"?"," "),"!"," "),"*"," "),"["," "),"]"," "),"'"," "),"#"," "),"+"," "),"&amp;"," "),"\"," "))&amp;" "</f>
        <v>  </v>
      </c>
      <c r="CE82" s="68" t="n">
        <f aca="false">IFERROR(IF(AND(LEN(AU82)&gt;0,LEN(AU82)=LEN(AX82),OR(TRIM(MID(SUBSTITUTE(TRIM(CC82)," ",REPT(" ",60)),1,60))="",ISNUMBER(SEARCH(" "&amp;TRIM(MID(SUBSTITUTE(TRIM(CC82)," ",REPT(" ",60)),1,60))&amp;" ",CD82))),OR(TRIM(MID(SUBSTITUTE(TRIM(CC82)," ",REPT(" ",60)),61,60))="",ISNUMBER(SEARCH(" "&amp;TRIM(MID(SUBSTITUTE(TRIM(CC82)," ",REPT(" ",60)),61,60))&amp;" ",CD82))),OR(TRIM(MID(SUBSTITUTE(TRIM(CC82)," ",REPT(" ",60)),121,60))="",ISNUMBER(SEARCH(" "&amp;TRIM(MID(SUBSTITUTE(TRIM(CC82)," ",REPT(" ",60)),121,60))&amp;" ",CD82)))),1,0),0)</f>
        <v>0</v>
      </c>
      <c r="CG82" s="68" t="n">
        <f aca="false">IFERROR(LEN(SUBSTITUTE(BF82," ",""))-SUMPRODUCT((LEN(BF82)-LEN(SUBSTITUTE(BF82," "&amp;L_NAFiller&amp;" "," ")))/(LEN(L_NAFiller)+1)*LEN(L_NAFiller)),0)</f>
        <v>0</v>
      </c>
    </row>
    <row r="83" customFormat="false" ht="39.75" hidden="false" customHeight="true" outlineLevel="0" collapsed="false">
      <c r="A83" s="57" t="s">
        <v>571</v>
      </c>
      <c r="B83" s="57" t="s">
        <v>212</v>
      </c>
      <c r="C83" s="57" t="str">
        <f aca="false">Flights!$F$7</f>
        <v>MH0720</v>
      </c>
      <c r="D83" s="58" t="n">
        <f aca="false">Flights!$D$7</f>
        <v>46305</v>
      </c>
      <c r="E83" s="57" t="str">
        <f aca="false">Flights!$G$7&amp;"-"&amp;Flights!$H$7</f>
        <v>CGK-KUL</v>
      </c>
      <c r="F83" s="57" t="str">
        <f aca="false">Flights!$K$7</f>
        <v>EY</v>
      </c>
      <c r="G83" s="57" t="s">
        <v>420</v>
      </c>
      <c r="H83" s="57" t="s">
        <v>378</v>
      </c>
      <c r="I83" s="57" t="s">
        <v>428</v>
      </c>
      <c r="J83" s="57" t="s">
        <v>433</v>
      </c>
      <c r="K83" s="67"/>
      <c r="L83" s="67" t="s">
        <v>422</v>
      </c>
      <c r="M83" s="67"/>
      <c r="N83" s="67" t="s">
        <v>383</v>
      </c>
      <c r="O83" s="67" t="s">
        <v>423</v>
      </c>
      <c r="P83" s="57" t="s">
        <v>201</v>
      </c>
      <c r="Q83" s="59" t="n">
        <f aca="false">ROUND((Flights!$AE$7)*1440,0)/1440</f>
        <v>46304.8784722222</v>
      </c>
      <c r="R83" s="59" t="n">
        <f aca="false">Q83+(IF(AND(INDEX(TZ_DSTS,MATCH(P83,TZ_STN,0))&lt;&gt;"",Q83&gt;=INDEX(TZ_DSTS,MATCH(P83,TZ_STN,0)),Q83&lt;INDEX(TZ_DSTE,MATCH(P83,TZ_STN,0))),INDEX(TZ_DST,MATCH(P83,TZ_STN,0)),INDEX(TZ_STD,MATCH(P83,TZ_STN,0))))/24</f>
        <v>46305.1701388889</v>
      </c>
      <c r="S83" s="60"/>
      <c r="T83" s="60"/>
      <c r="U83" s="60"/>
      <c r="V83" s="60"/>
      <c r="W83" s="61"/>
      <c r="X83" s="60"/>
      <c r="Y83" s="60"/>
      <c r="Z83" s="60"/>
      <c r="AA83" s="60"/>
      <c r="AB83" s="60"/>
      <c r="AC83" s="60"/>
      <c r="AD83" s="66"/>
      <c r="AE83" s="60"/>
      <c r="AF83" s="61" t="str">
        <f aca="false">IF(AND(ISNUMBER(X83),ISNUMBER(Y83)),Y83-X83,"")</f>
        <v/>
      </c>
      <c r="AG83" s="62" t="str">
        <f aca="false">IF(ISNUMBER(AD83),AD83-(IF(AND(INDEX(TZ_DSTS,MATCH(P83,TZ_STN,0))&lt;&gt;"",(AD83-INDEX(TZ_STD,MATCH(P83,TZ_STN,0))/24)&gt;=INDEX(TZ_DSTS,MATCH(P83,TZ_STN,0)),(AD83-INDEX(TZ_STD,MATCH(P83,TZ_STN,0))/24)&lt;INDEX(TZ_DSTE,MATCH(P83,TZ_STN,0))),INDEX(TZ_DST,MATCH(P83,TZ_STN,0)),INDEX(TZ_STD,MATCH(P83,TZ_STN,0))))/24,"")</f>
        <v/>
      </c>
      <c r="AH83" s="65" t="str">
        <f aca="false">IFERROR(IF(N83="N/A – rule",IF(OR(TRIM(U83)="",TRIM(U83)="N/A",TRIM(U83)="Not started"),"N/A – RULE","INVALID – this check does not apply to this aircraft: clear the status (or correct the fleet on Flights)"),IF(TRIM(U83)="N/A",IF(AT83=0,"INVALID – N/A not permitted for this check",IF(AND(TRIM(AB83)&lt;&gt;"",TRIM(AB83)&lt;&gt;"Closed"),"INVALID – corrective action still open",IF(AND(NOT(OR(LEN(AZ83)&lt;15,ISNUMBER(MATCH(AZ83,L_Placeholder,0)))),BK83=0,CG83&gt;=8,NOT(OR(LEN(AU83)&lt;2,ISNUMBER(MATCH(AU83,L_Placeholder,0)))),BR83&gt;=3,NOT(OR(LEN(AX83)&lt;2,ISNUMBER(MATCH(AX83,L_Placeholder,0)))),BS83&gt;=3,TRIM(AE83)&lt;&gt;TRIM(T83),AX83&lt;&gt;AU83,CE83=0),"N/A – JUSTIFIED","INVALID – N/A needs a real, settled reason (not 'not applicable' / 'as above' / TBC), a named PIC and a different named verifier"))),IF(OR(TRIM(U83)="Pass",TRIM(U83)="Pass after CA"),IF(NOT(ISNUMBER(AD83)),"INVALID – completion time missing",IF(OR(OR(LEN(AU83)&lt;2,ISNUMBER(MATCH(AU83,L_Placeholder,0))),BR83&lt;3),"INVALID – PIC missing or not a named person (a role such as QA / CSM is not a name)",IF(OR(LEN(AV83)&lt;2,ISNUMBER(MATCH(AV83,L_Placeholder,0))),"INVALID – result / assessment missing",IF(OR(OR(LEN(AW83)&lt;3,ISNUMBER(MATCH(AW83,L_Placeholder,0))),SUMPRODUCT(--ISNUMBER(SEARCH(" "&amp;L_EvidencePhrase&amp;" ",BD83)))&gt;0,BI83=1),"INVALID – evidence missing, placeholder or not yet on file",IF(ISNA(MATCH(TRIM(S83),L_EvidenceType,0)),"INVALID – choose the evidence type from the list (column S)",IF(BL83=0,"INVALID – evidence ID must be the record's own ID only (e.g. SF-2210, IMG_2231, 1045521); a link / file name needs type 'Link / file path'",IF(OR(OR(LEN(AX83)&lt;2,ISNUMBER(MATCH(AX83,L_Placeholder,0))),BS83&lt;3),"INVALID – verifier missing or not a named person (a role such as QA / CSM is not a name)",IF(OR(AX83=AU83,CE83=1,AND(LEN(AU83)&gt;=4,ISNUMBER(SEARCH(AU83,AX83))),AND(LEN(AX83)&gt;=4,ISNUMBER(SEARCH(AX83,AU83)))),"INVALID – verifier must be a different, named person (not the PIC or a role)",IF(BH83=1,"INVALID – result not yet available (awaiting / TBC)",IF(BG83=1,"INVALID – result describes a problem: record Fail, then Pass after CA (or reword if it is not a problem)",IF(BV83=1,"INVALID – wording says not on board: an on-board confirmation needs the item loaded",IF(AND(AQ83=1,OR(OR(LEN(AY83)&lt;3,ISNUMBER(MATCH(AY83,L_Placeholder,0))),BJ83=1,BQ83=0)),"INVALID – batch ID missing, placeholder or not an ID (e.g. PASB-261008-BC-017)",IF(AND(AR83=1,OR(NOT(ISNUMBER(X83)),NOT(ISNUMBER(Y83)))),"INVALID – expected/actual qty missing",IF(AND(AR83=1,OR(X83&lt;=0,Y83&lt;0)),"INVALID – expected qty must be above 0 and actual not negative",IF(BB83&lt;&gt;"",BB83,IF(AND(AS83=1,Documents!$J$7&lt;&gt;"ON FILE"),"INVALID – GLD not on file (Documents sheet)",IF(AND(AS83=2,Documents!$O$7&lt;&gt;"ON FILE"),"INVALID – menu checklist not on file (Documents sheet)",IF(AND(AS83=3,NOT(ISNUMBER(Flights!$AX$7))),"INVALID – enter carrying flight KUL departure (Flights AX)",IF(AND(AS83=3,OR(Flights!$AZ$7&gt;Flights!$AA$7,Flights!$AX$7&lt;Flights!$AA$7-3)),"INVALID – carrying flight (Flights AX) cannot arrive before this leg's STD, or is over 3 days early",IF(AG83&gt;AsOfUTC,"INVALID – completion time is in the future",IF(AND(ISNUMBER(BY83),AG83&lt;BY83),IF(H83="Physical uplift","INVALID – before uplift window (cannot confirm loading)","INVALID – before valid window"),IF(AG83&gt;Flights!$AA$7,"INVALID – completed after departure (cannot establish readiness)",IF(AND(H83="Preparation",AG83&gt;=IF(ISNUMBER(Flights!$BA$7),MIN(Flights!$BA$7,Flights!$AA$7),Flights!$AA$7)),"INVALID – completed after loading / departure (cannot establish readiness)",IF(AND(H83="Physical uplift",AG83&gt;Q83),"INVALID – recorded after the loading flight departed",IF(AG83&gt;Q83,"COMPLETE – LATE","COMPLETE"))))))))))))))))))))))))),IF(TRIM(U83)="Fail","FAIL – DISCREPANCY",IF(AND(TRIM(U83)&lt;&gt;"",TRIM(U83)&lt;&gt;"Not started",TRIM(U83)&lt;&gt;"In progress"),"INVALID – unrecognised status (use the list)",IF(AsOfUTC&gt;Q83,"OVERDUE",IF(N83="Clarification required","OPEN – CLARIFICATION","OPEN"))))))),"INVALID – error value in an input cell")</f>
        <v>OPEN</v>
      </c>
      <c r="AI83" s="61" t="n">
        <f aca="false">IF(OR(AH83="N/A – RULE",AH83="N/A – JUSTIFIED"),0,1)</f>
        <v>1</v>
      </c>
      <c r="AJ83" s="61" t="n">
        <f aca="false">IF(LEFT(AH83,8)="COMPLETE",1,0)</f>
        <v>0</v>
      </c>
      <c r="AK83" s="61" t="n">
        <f aca="false">IF(AND(AI83=1,AJ83=0,AsOfUTC&gt;Q83),1,0)</f>
        <v>0</v>
      </c>
      <c r="AL83" s="61" t="n">
        <f aca="false">IFERROR(IF(AND(AI83=1,OR(TRIM(U83)="Fail",AND(TRIM(AB83)&lt;&gt;"",TRIM(AB83)&lt;&gt;"Closed"),AND(ISNUMBER(AF83),AF83&lt;&gt;0,TRIM(U83)&lt;&gt;"Pass after CA"))),1,0),1)</f>
        <v>0</v>
      </c>
      <c r="AM83" s="61" t="n">
        <f aca="false">IF(LEFT(AH83,7)="INVALID",1,0)</f>
        <v>0</v>
      </c>
      <c r="AN83" s="61" t="n">
        <f aca="false">IF(AND(N83="Clarification required",AI83=1,AJ83=0),1,0)</f>
        <v>0</v>
      </c>
      <c r="AO83" s="61" t="str">
        <f aca="false">IF(AK83=1,SUM(AK$5:AK83),"")</f>
        <v/>
      </c>
      <c r="AP83" s="61" t="str">
        <f aca="false">IF(AL83=1,SUM(AL$5:AL83),"")</f>
        <v/>
      </c>
      <c r="AQ83" s="61" t="n">
        <v>0</v>
      </c>
      <c r="AR83" s="61" t="n">
        <v>0</v>
      </c>
      <c r="AS83" s="61" t="n">
        <v>0</v>
      </c>
      <c r="AT83" s="61" t="n">
        <v>0</v>
      </c>
      <c r="AU83" s="61" t="str">
        <f aca="false">SUBSTITUTE(SUBSTITUTE(SUBSTITUTE(SUBSTITUTE(SUBSTITUTE(SUBSTITUTE(SUBSTITUTE(SUBSTITUTE(SUBSTITUTE(SUBSTITUTE(SUBSTITUTE(SUBSTITUTE(SUBSTITUTE(SUBSTITUTE(SUBSTITUTE(SUBSTITUTE(LOWER(T83&amp;""),CHAR(10),""),CHAR(13),""),CHAR(9),""),CHAR(160),"")," ",""),".",""),"-",""),"/",""),"?",""),"_",""),",",""),"[",""),"]",""),"(",""),")",""),"*","")</f>
        <v/>
      </c>
      <c r="AV83" s="61" t="str">
        <f aca="false">SUBSTITUTE(SUBSTITUTE(SUBSTITUTE(SUBSTITUTE(SUBSTITUTE(SUBSTITUTE(SUBSTITUTE(SUBSTITUTE(SUBSTITUTE(SUBSTITUTE(SUBSTITUTE(SUBSTITUTE(SUBSTITUTE(SUBSTITUTE(SUBSTITUTE(SUBSTITUTE(LOWER(V83&amp;""),CHAR(10),""),CHAR(13),""),CHAR(9),""),CHAR(160),"")," ",""),".",""),"-",""),"/",""),"?",""),"_",""),",",""),"[",""),"]",""),"(",""),")",""),"*","")</f>
        <v/>
      </c>
      <c r="AW83" s="61" t="str">
        <f aca="false">SUBSTITUTE(SUBSTITUTE(SUBSTITUTE(SUBSTITUTE(SUBSTITUTE(SUBSTITUTE(SUBSTITUTE(SUBSTITUTE(SUBSTITUTE(SUBSTITUTE(SUBSTITUTE(SUBSTITUTE(SUBSTITUTE(SUBSTITUTE(SUBSTITUTE(SUBSTITUTE(LOWER(Z83&amp;""),CHAR(10),""),CHAR(13),""),CHAR(9),""),CHAR(160),"")," ",""),".",""),"-",""),"/",""),"?",""),"_",""),",",""),"[",""),"]",""),"(",""),")",""),"*","")</f>
        <v/>
      </c>
      <c r="AX83" s="61" t="str">
        <f aca="false">SUBSTITUTE(SUBSTITUTE(SUBSTITUTE(SUBSTITUTE(SUBSTITUTE(SUBSTITUTE(SUBSTITUTE(SUBSTITUTE(SUBSTITUTE(SUBSTITUTE(SUBSTITUTE(SUBSTITUTE(SUBSTITUTE(SUBSTITUTE(SUBSTITUTE(SUBSTITUTE(LOWER(AE83&amp;""),CHAR(10),""),CHAR(13),""),CHAR(9),""),CHAR(160),"")," ",""),".",""),"-",""),"/",""),"?",""),"_",""),",",""),"[",""),"]",""),"(",""),")",""),"*","")</f>
        <v/>
      </c>
      <c r="AY83" s="61" t="str">
        <f aca="false">SUBSTITUTE(SUBSTITUTE(SUBSTITUTE(SUBSTITUTE(SUBSTITUTE(SUBSTITUTE(SUBSTITUTE(SUBSTITUTE(SUBSTITUTE(SUBSTITUTE(SUBSTITUTE(SUBSTITUTE(SUBSTITUTE(SUBSTITUTE(SUBSTITUTE(SUBSTITUTE(LOWER(W83&amp;""),CHAR(10),""),CHAR(13),""),CHAR(9),""),CHAR(160),"")," ",""),".",""),"-",""),"/",""),"?",""),"_",""),",",""),"[",""),"]",""),"(",""),")",""),"*","")</f>
        <v/>
      </c>
      <c r="AZ83" s="61" t="str">
        <f aca="false">SUBSTITUTE(SUBSTITUTE(SUBSTITUTE(SUBSTITUTE(SUBSTITUTE(SUBSTITUTE(SUBSTITUTE(SUBSTITUTE(SUBSTITUTE(SUBSTITUTE(SUBSTITUTE(SUBSTITUTE(SUBSTITUTE(SUBSTITUTE(SUBSTITUTE(SUBSTITUTE(LOWER(AC83&amp;""),CHAR(10),""),CHAR(13),""),CHAR(9),""),CHAR(160),"")," ",""),".",""),"-",""),"/",""),"?",""),"_",""),",",""),"[",""),"]",""),"(",""),")",""),"*","")</f>
        <v/>
      </c>
      <c r="BA83" s="61" t="str">
        <f aca="false">SUBSTITUTE(SUBSTITUTE(SUBSTITUTE(SUBSTITUTE(SUBSTITUTE(SUBSTITUTE(SUBSTITUTE(SUBSTITUTE(SUBSTITUTE(SUBSTITUTE(SUBSTITUTE(SUBSTITUTE(SUBSTITUTE(SUBSTITUTE(SUBSTITUTE(SUBSTITUTE(LOWER(AA83&amp;""),CHAR(10),""),CHAR(13),""),CHAR(9),""),CHAR(160),"")," ",""),".",""),"-",""),"/",""),"?",""),"_",""),",",""),"[",""),"]",""),"(",""),")",""),"*","")</f>
        <v/>
      </c>
      <c r="BB83" s="61" t="str">
        <f aca="false">IF(AND(TRIM(U83)="Pass",ISNUMBER(AF83)),IF(AF83&lt;&gt;0,"INVALID – qty variance: use Fail or Pass after CA",""),"")&amp;IF(AND(TRIM(U83)="Pass after CA",ISNUMBER(AF83)),IF(AF83&lt;&gt;0,"INVALID – after the corrective action the actual qty must equal expected (update Actual)",""),"")&amp;IF(AND(TRIM(U83)="Pass",TRIM(AB83)&lt;&gt;"",TRIM(AB83)&lt;&gt;"Closed"),"INVALID – corrective action not closed: use Fail, then Pass after CA","")&amp;IF(AND(LEN(BA83)&gt;=2,ISNA(MATCH(LEFT(BA83,255),L_Placeholder,0)),TRIM(AB83)=""),"INVALID – CA status missing for the recorded corrective action","")&amp;IF(AND(TRIM(U83)="Pass after CA",OR(OR(LEN(BA83)&lt;5,ISNUMBER(MATCH(BA83,L_Placeholder,0))),TRIM(AB83)&lt;&gt;"Closed")),"INVALID – corrective action not recorded/closed","")</f>
        <v/>
      </c>
      <c r="BC83" s="61" t="str">
        <f aca="false">" "&amp;TRIM(SUBSTITUTE(SUBSTITUTE(SUBSTITUTE(SUBSTITUTE(SUBSTITUTE(SUBSTITUTE(SUBSTITUTE(SUBSTITUTE(SUBSTITUTE(SUBSTITUTE(SUBSTITUTE(SUBSTITUTE(SUBSTITUTE(SUBSTITUTE(SUBSTITUTE(SUBSTITUTE(SUBSTITUTE(SUBSTITUTE(SUBSTITUTE(SUBSTITUTE(SUBSTITUTE(SUBSTITUTE(SUBSTITUTE(SUBSTITUTE(LOWER(V83&amp;""),CHAR(10)," "),CHAR(13)," "),CHAR(9)," "),CHAR(160)," "),"."," "),","," "),"-"," "),"/"," "),"("," "),")"," "),":"," "),";"," "),"_"," "),"–"," "),"?"," "),"!"," "),"*"," "),"["," "),"]"," "),"'"," "),"#"," "),"+"," "),"&amp;"," "),"\"," "))&amp;" "</f>
        <v>  </v>
      </c>
      <c r="BD83" s="61" t="str">
        <f aca="false">" "&amp;TRIM(SUBSTITUTE(SUBSTITUTE(SUBSTITUTE(SUBSTITUTE(SUBSTITUTE(SUBSTITUTE(SUBSTITUTE(SUBSTITUTE(SUBSTITUTE(SUBSTITUTE(SUBSTITUTE(SUBSTITUTE(SUBSTITUTE(SUBSTITUTE(SUBSTITUTE(SUBSTITUTE(SUBSTITUTE(SUBSTITUTE(SUBSTITUTE(SUBSTITUTE(SUBSTITUTE(SUBSTITUTE(SUBSTITUTE(SUBSTITUTE(LOWER(Z83&amp;""),CHAR(10)," "),CHAR(13)," "),CHAR(9)," "),CHAR(160)," "),"."," "),","," "),"-"," "),"/"," "),"("," "),")"," "),":"," "),";"," "),"_"," "),"–"," "),"?"," "),"!"," "),"*"," "),"["," "),"]"," "),"'"," "),"#"," "),"+"," "),"&amp;"," "),"\"," "))&amp;" "</f>
        <v>  </v>
      </c>
      <c r="BE83" s="61" t="str">
        <f aca="false">" "&amp;TRIM(SUBSTITUTE(SUBSTITUTE(SUBSTITUTE(SUBSTITUTE(SUBSTITUTE(SUBSTITUTE(SUBSTITUTE(SUBSTITUTE(SUBSTITUTE(SUBSTITUTE(SUBSTITUTE(SUBSTITUTE(SUBSTITUTE(SUBSTITUTE(SUBSTITUTE(SUBSTITUTE(SUBSTITUTE(SUBSTITUTE(SUBSTITUTE(SUBSTITUTE(SUBSTITUTE(SUBSTITUTE(SUBSTITUTE(SUBSTITUTE(LOWER(W83&amp;""),CHAR(10)," "),CHAR(13)," "),CHAR(9)," "),CHAR(160)," "),"."," "),","," "),"-"," "),"/"," "),"("," "),")"," "),":"," "),";"," "),"_"," "),"–"," "),"?"," "),"!"," "),"*"," "),"["," "),"]"," "),"'"," "),"#"," "),"+"," "),"&amp;"," "),"\"," "))&amp;" "</f>
        <v>  </v>
      </c>
      <c r="BF83" s="61" t="str">
        <f aca="false">" "&amp;TRIM(SUBSTITUTE(SUBSTITUTE(SUBSTITUTE(SUBSTITUTE(SUBSTITUTE(SUBSTITUTE(SUBSTITUTE(SUBSTITUTE(SUBSTITUTE(SUBSTITUTE(SUBSTITUTE(SUBSTITUTE(SUBSTITUTE(SUBSTITUTE(SUBSTITUTE(SUBSTITUTE(SUBSTITUTE(SUBSTITUTE(SUBSTITUTE(SUBSTITUTE(SUBSTITUTE(SUBSTITUTE(SUBSTITUTE(SUBSTITUTE(LOWER(AC83&amp;""),CHAR(10)," "),CHAR(13)," "),CHAR(9)," "),CHAR(160)," "),"."," "),","," "),"-"," "),"/"," "),"("," "),")"," "),":"," "),";"," "),"_"," "),"–"," "),"?"," "),"!"," "),"*"," "),"["," "),"]"," "),"'"," "),"#"," "),"+"," "),"&amp;"," "),"\"," "))&amp;" "</f>
        <v>  </v>
      </c>
      <c r="BG83" s="61" t="n">
        <f aca="false">IFERROR(IF(AND(TRIM(U83)="Pass",SUMPRODUCT((LEN(BC83)-LEN(SUBSTITUTE(BC83," "&amp;L_ResultBad&amp;" "," ")))/(LEN(L_ResultBad)+1))&gt;SUMPRODUCT((LEN(BC83)-LEN(SUBSTITUTE(BC83," "&amp;L_NegPhrase&amp;" "," ")))/(LEN(L_NegPhrase)+1))),1,0),0)</f>
        <v>0</v>
      </c>
      <c r="BH83" s="61" t="n">
        <f aca="false">IFERROR(IF(SUMPRODUCT((LEN(BC83)-LEN(SUBSTITUTE(BC83," "&amp;L_Pending&amp;" "," ")))/(LEN(L_Pending)+1))&gt;SUMPRODUCT((LEN(BC83)-LEN(SUBSTITUTE(BC83," "&amp;L_PendNeg&amp;" "," ")))/(LEN(L_PendNeg)+1))+SUMPRODUCT((LEN(BC83)-LEN(SUBSTITUTE(BC83," "&amp;L_PendPrep&amp;" "," ")))/(LEN(L_PendPrep)+1)),1,0),1)</f>
        <v>0</v>
      </c>
      <c r="BI83" s="61" t="n">
        <f aca="false">IFERROR(IF(SUMPRODUCT((LEN(BD83)-LEN(SUBSTITUTE(BD83," "&amp;L_PendStrict&amp;" "," ")))/(LEN(L_PendStrict)+1))&gt;SUMPRODUCT((LEN(BD83)-LEN(SUBSTITUTE(BD83," "&amp;L_PendNeg&amp;" "," ")))/(LEN(L_PendNeg)+1)),1,0),1)</f>
        <v>0</v>
      </c>
      <c r="BJ83" s="61" t="n">
        <f aca="false">IFERROR(IF(SUMPRODUCT((LEN(BE83)-LEN(SUBSTITUTE(BE83," "&amp;L_Pending&amp;" "," ")))/(LEN(L_Pending)+1))&gt;SUMPRODUCT((LEN(BE83)-LEN(SUBSTITUTE(BE83," "&amp;L_PendNeg&amp;" "," ")))/(LEN(L_PendNeg)+1))+SUMPRODUCT((LEN(BE83)-LEN(SUBSTITUTE(BE83," "&amp;L_PendPrep&amp;" "," ")))/(LEN(L_PendPrep)+1)),1,0),1)</f>
        <v>0</v>
      </c>
      <c r="BK83" s="61" t="n">
        <f aca="false">IFERROR(IF(SUMPRODUCT((LEN(BF83)-LEN(SUBSTITUTE(BF83," "&amp;L_PendStrict&amp;" "," ")))/(LEN(L_PendStrict)+1))&gt;SUMPRODUCT((LEN(BF83)-LEN(SUBSTITUTE(BF83," "&amp;L_PendNeg&amp;" "," ")))/(LEN(L_PendNeg)+1)),1,0),1)</f>
        <v>0</v>
      </c>
      <c r="BL83" s="61" t="n">
        <f aca="false">IF(ISNA(MATCH(TRIM(S83),L_EvidenceType,0)),0,BZ83)</f>
        <v>0</v>
      </c>
      <c r="BM83" s="61" t="str">
        <f aca="false">SUBSTITUTE(SUBSTITUTE(SUBSTITUTE(SUBSTITUTE(SUBSTITUTE(SUBSTITUTE(SUBSTITUTE(SUBSTITUTE(SUBSTITUTE(LOWER(Z83&amp;""),"1","0"),"2","0"),"3","0"),"4","0"),"5","0"),"6","0"),"7","0"),"8","0"),"9","0")</f>
        <v/>
      </c>
      <c r="BN83" s="61" t="str">
        <f aca="false">SUBSTITUTE(SUBSTITUTE(SUBSTITUTE(SUBSTITUTE(SUBSTITUTE(SUBSTITUTE(SUBSTITUTE(SUBSTITUTE(SUBSTITUTE(SUBSTITUTE(SUBSTITUTE(SUBSTITUTE(SUBSTITUTE(SUBSTITUTE(SUBSTITUTE(SUBSTITUTE(SUBSTITUTE(SUBSTITUTE(SUBSTITUTE(SUBSTITUTE(SUBSTITUTE(SUBSTITUTE(SUBSTITUTE(SUBSTITUTE(SUBSTITUTE(BM83,"b","a"),"c","a"),"d","a"),"e","a"),"f","a"),"g","a"),"h","a"),"i","a"),"j","a"),"k","a"),"l","a"),"m","a"),"n","a"),"o","a"),"p","a"),"q","a"),"r","a"),"s","a"),"t","a"),"u","a"),"v","a"),"w","a"),"x","a"),"y","a"),"z","a")</f>
        <v/>
      </c>
      <c r="BO83" s="61" t="str">
        <f aca="false">SUBSTITUTE(SUBSTITUTE(SUBSTITUTE(SUBSTITUTE(SUBSTITUTE(SUBSTITUTE(SUBSTITUTE(SUBSTITUTE(SUBSTITUTE(LOWER(W83&amp;""),"1","0"),"2","0"),"3","0"),"4","0"),"5","0"),"6","0"),"7","0"),"8","0"),"9","0")</f>
        <v/>
      </c>
      <c r="BP83" s="61" t="str">
        <f aca="false">SUBSTITUTE(SUBSTITUTE(SUBSTITUTE(SUBSTITUTE(SUBSTITUTE(SUBSTITUTE(SUBSTITUTE(SUBSTITUTE(SUBSTITUTE(SUBSTITUTE(SUBSTITUTE(SUBSTITUTE(SUBSTITUTE(SUBSTITUTE(SUBSTITUTE(SUBSTITUTE(SUBSTITUTE(SUBSTITUTE(SUBSTITUTE(SUBSTITUTE(SUBSTITUTE(SUBSTITUTE(SUBSTITUTE(SUBSTITUTE(SUBSTITUTE(BO83,"b","a"),"c","a"),"d","a"),"e","a"),"f","a"),"g","a"),"h","a"),"i","a"),"j","a"),"k","a"),"l","a"),"m","a"),"n","a"),"o","a"),"p","a"),"q","a"),"r","a"),"s","a"),"t","a"),"u","a"),"v","a"),"w","a"),"x","a"),"y","a"),"z","a")</f>
        <v/>
      </c>
      <c r="BQ83" s="61" t="n">
        <f aca="false">IFERROR(IF(AND(ISERROR(SEARCH(" mh"," "&amp;LOWER(W83))),ISNA(MATCH(LEFT(TRIM(BP83),255),{"0000a","000a","00a","0000aa","000aa","00aa","0aa","0000aaa","000aaa","00a00","0a00","0000-0000","00:00","a00","a0","00.00.0000","00/00/0000","00-00-0000","0000-00-00","0000/00/00","0000.00.00","00.00.00","00/00/00","00-00-00","0.00.0000","0/00/0000","0-00-0000"},0)),ISNA(MATCH(LEFT(TRIM(CA83),255),{"0000a","000a","00a","0000aa","000aa","00aa","0aa","0000aaa","000aaa","00a00","0a00","0000-0000","00:00","a00","a0","00.00.0000","00/00/0000","00-00-0000","0000-00-00","0000/00/00","0000.00.00","00.00.00","00/00/00","00-00-00","0.00.0000","0/00/0000","0-00-0000"},0)),LEN(CB83)&gt;=3,NOT(OR(SUBSTITUTE(CB83,"0","")="",AND(LEN(CB83)&gt;=4,CB83=REPT(LEFT(CB83),LEN(CB83))),ISNUMBER(MATCH(CB83,{"123","1234","12345","123456","1234567","12345678","0123","01234","012345","98765","987654","54321"},0)),AND(LEN(CB83)=8,LEFT(CB83,3)="202"))),OR(AND((LEN(CA83)-LEN(SUBSTITUTE(CA83,"a","")))&gt;=1,SUMPRODUCT(--ISNUMBER(SEARCH({"a0","a-0","a_0","a/0","a.0","a#0","0a","0-a","0_a","0/a"},BP83)))&gt;0),ISNUMBER(SEARCH("000000",BP83)))),1,0),0)</f>
        <v>0</v>
      </c>
      <c r="BR83" s="61" t="n">
        <f aca="false">IFERROR(LEN(SUBSTITUTE(CC83," ",""))-SUMPRODUCT((LEN(CC83)-LEN(SUBSTITUTE(CC83," "&amp;L_Role&amp;" "," ")))/(LEN(L_Role)+1)*LEN(L_Role)),0)</f>
        <v>0</v>
      </c>
      <c r="BS83" s="61" t="n">
        <f aca="false">IFERROR(LEN(SUBSTITUTE(CD83," ",""))-SUMPRODUCT((LEN(CD83)-LEN(SUBSTITUTE(CD83," "&amp;L_Role&amp;" "," ")))/(LEN(L_Role)+1)*LEN(L_Role)),0)</f>
        <v>0</v>
      </c>
      <c r="BT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83,"revision",""),"version",""),"jan",""),"feb",""),"mar",""),"apr",""),"may",""),"jun",""),"jul",""),"aug",""),"sep",""),"oct",""),"nov",""),"dec",""),"utc",""),"gmt",""),"myt",""),"bst",""),"rev",""),"ver",""),"b","a"),"c","a"),"d","a"),"e","a"),"f","a"),"g","a"),"h","a"),"i","a"),"j","a"),"k","a"),"l","a"),"m","a"),"n","a"),"o","a"),"p","a"),"q","a"),"r","a"),"s","a"),"t","a"),"u","a"),"v","a"),"w","a"),"x","a"),"y","a"),"z","a")</f>
        <v/>
      </c>
      <c r="BU83" s="61" t="str">
        <f aca="false">SUBSTITUTE(SUBSTITUTE(SUBSTITUTE(SUBSTITUTE(SUBSTITUTE(SUBSTITUTE(SUBSTITUTE(SUBSTITUTE(SUBSTITUTE(SUBSTITUTE(LEFT(BM83,FIND("0",BM83&amp;"0")-1),"-",""),"_",""),"/",""),".",""),"#",""),"\\",""),":","")," ",""),"(",""),")","")</f>
        <v/>
      </c>
      <c r="BV83" s="61" t="n">
        <f aca="false">0</f>
        <v>0</v>
      </c>
      <c r="BW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83&amp;""),"a",""),"b",""),"c",""),"d",""),"e",""),"f",""),"g",""),"h",""),"i",""),"j",""),"k",""),"l",""),"m",""),"n",""),"o",""),"p",""),"q",""),"r",""),"s",""),"t",""),"u",""),"v",""),"w",""),"x",""),"y",""),"z",""),"-",""),"_",""),"/",""),".",""),"#",""),"\\",""),":","")," ",""),"(",""),")","")</f>
        <v/>
      </c>
      <c r="BX83" s="61" t="str">
        <f aca="false">SUBSTITUTE(SUBSTITUTE(SUBSTITUTE(SUBSTITUTE(SUBSTITUTE(SUBSTITUTE(SUBSTITUTE(SUBSTITUTE(SUBSTITUTE(SUBSTITUTE(SUBSTITUTE(BM83,"0",""),"-",""),"_",""),"/",""),".",""),"#",""),"\\",""),":","")," ",""),"(",""),")","")</f>
        <v/>
      </c>
      <c r="BY83" s="62" t="n">
        <f aca="false">Q83-T12EarlyH/24</f>
        <v>46304.3784722222</v>
      </c>
      <c r="BZ83" s="61" t="n">
        <f aca="false">IFERROR(IF(IF(TRIM(S83)="Link / file path",AND(LEN(TRIM(Z83))&gt;=5,SUMPRODUCT(--ISNUMBER(SEARCH({"http","www.","\\",":\",".pdf",".jpg",".jpeg",".png",".heic",".xls",".doc",".msg",".eml",".ppt",".txt",".zip"},Z83)))&gt;0),AND(ISERROR(FIND(" ",TRIM(Z83))),NOT(OR(SUMPRODUCT(--ISNUMBER(FIND({",",";","&amp;","+"},Z83)))&gt;0,SUMPRODUCT(--ISNUMBER(SEARCH({"0/aa","0\\aa"},BN83)))&gt;0)),NOT(SUMPRODUCT(--ISNUMBER(SEARCH({"http","www.","\\",":\",".pdf",".jpg",".jpeg",".png",".heic",".xls",".doc",".msg",".eml",".ppt",".txt",".zip"},Z83)))&gt;0),NOT(LOWER(TRIM(Z83))=LOWER(Flights!$F$7)),ISNA(MATCH(BU83,{"mh","rev","revision","ver","version","v","r","a","b","seat","tray","row","gate","bay","stand","page","pg","item","line","no","cart","galley","flight","flt","table","box","bag","oven","etd","eta","std","sta","atd","ata","qty","pax","x","time","tel","ph","mob","day","wk","week","utc","gmt","myt","lt"},0)),NOT(OR(ISNUMBER(MATCH(LEFT(BN83,255),{"0000a","000a","00a","0000aa","000aa","00aa","0aa","0000aaa","000aaa","00a00","0a00","0000-0000","00:00","a00","a0","00.00.0000","00/00/0000","00-00-0000","0000-00-00","0000/00/00","0000.00.00","00.00.00","00/00/00","00-00-00","0.00.0000","0/00/0000","0-00-0000"},0)),ISNUMBER(MATCH(LEFT(BT83,255),{"0000a","000a","00a","0000aa","000aa","00aa","0aa","0000aaa","000aaa","00a00","0a00","0000-0000","00:00","a00","a0","00.00.0000","00/00/0000","00-00-0000","0000-00-00","0000/00/00","0000.00.00","00.00.00","00/00/00","00-00-00","0.00.0000","0/00/0000","0-00-0000"},0)))),NOT(OR(AND(BW83&lt;&gt;"",SUBSTITUTE(BW83,"0","")=""),AND(LEN(BW83)&gt;=4,BW83=REPT(LEFT(BW83),LEN(BW83))),ISNUMBER(MATCH(BW83,{"123","1234","12345","123456","1234567","12345678","0123","01234","012345","98765","987654","54321"},0)),ISNUMBER(MATCH(BX83,{"x","xx","xxx","xxxx","xxxxx","abc","abcd","nil","na","nan","test","tbc","tba","tbd","dummy","sample","example","eg","zz","zzz","none","null","xyz","qwe","asd","id","ref"},0)),AND(LEN(BW83)=8,BX83="",OR(LEFT(BW83,3)="202",ISNUMBER(MATCH(RIGHT(BW83,4),{"2025","2026","2027"},0)))))),OR(AND((LEN(BT83)-LEN(SUBSTITUTE(BT83,"a","")))&gt;=1,(LEN(BN83)-LEN(SUBSTITUTE(BN83,"0","")))&gt;=2,SUMPRODUCT(--ISNUMBER(SEARCH({"a0","a-0","a_0","a/0","a.0","a#0","0a","0-a","0_a","0/a"},BN83)))&gt;0),AND((LEN(BN83)-LEN(SUBSTITUTE(BN83,"a","")))=0,(LEN(BN83)-LEN(SUBSTITUTE(BN83,"0","")))&gt;=5)))),1,0),0)</f>
        <v>0</v>
      </c>
      <c r="CA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83,"revision",""),"version",""),"jan",""),"feb",""),"mar",""),"apr",""),"may",""),"jun",""),"jul",""),"aug",""),"sep",""),"oct",""),"nov",""),"dec",""),"utc",""),"gmt",""),"myt",""),"bst",""),"rev",""),"ver",""),"b","a"),"c","a"),"d","a"),"e","a"),"f","a"),"g","a"),"h","a"),"i","a"),"j","a"),"k","a"),"l","a"),"m","a"),"n","a"),"o","a"),"p","a"),"q","a"),"r","a"),"s","a"),"t","a"),"u","a"),"v","a"),"w","a"),"x","a"),"y","a"),"z","a")</f>
        <v/>
      </c>
      <c r="CB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83&amp;""),"a",""),"b",""),"c",""),"d",""),"e",""),"f",""),"g",""),"h",""),"i",""),"j",""),"k",""),"l",""),"m",""),"n",""),"o",""),"p",""),"q",""),"r",""),"s",""),"t",""),"u",""),"v",""),"w",""),"x",""),"y",""),"z",""),"-",""),"_",""),"/",""),".",""),"#",""),"\\",""),":","")," ",""),"(",""),")","")</f>
        <v/>
      </c>
      <c r="CC83" s="0" t="str">
        <f aca="false">" "&amp;TRIM(SUBSTITUTE(SUBSTITUTE(SUBSTITUTE(SUBSTITUTE(SUBSTITUTE(SUBSTITUTE(SUBSTITUTE(SUBSTITUTE(SUBSTITUTE(SUBSTITUTE(SUBSTITUTE(SUBSTITUTE(SUBSTITUTE(SUBSTITUTE(SUBSTITUTE(SUBSTITUTE(SUBSTITUTE(SUBSTITUTE(SUBSTITUTE(SUBSTITUTE(SUBSTITUTE(SUBSTITUTE(SUBSTITUTE(SUBSTITUTE(LOWER(T83&amp;""),CHAR(10)," "),CHAR(13)," "),CHAR(9)," "),CHAR(160)," "),"."," "),","," "),"-"," "),"/"," "),"("," "),")"," "),":"," "),";"," "),"_"," "),"–"," "),"?"," "),"!"," "),"*"," "),"["," "),"]"," "),"'"," "),"#"," "),"+"," "),"&amp;"," "),"\"," "))&amp;" "</f>
        <v>  </v>
      </c>
      <c r="CD83" s="0" t="str">
        <f aca="false">" "&amp;TRIM(SUBSTITUTE(SUBSTITUTE(SUBSTITUTE(SUBSTITUTE(SUBSTITUTE(SUBSTITUTE(SUBSTITUTE(SUBSTITUTE(SUBSTITUTE(SUBSTITUTE(SUBSTITUTE(SUBSTITUTE(SUBSTITUTE(SUBSTITUTE(SUBSTITUTE(SUBSTITUTE(SUBSTITUTE(SUBSTITUTE(SUBSTITUTE(SUBSTITUTE(SUBSTITUTE(SUBSTITUTE(SUBSTITUTE(SUBSTITUTE(LOWER(AE83&amp;""),CHAR(10)," "),CHAR(13)," "),CHAR(9)," "),CHAR(160)," "),"."," "),","," "),"-"," "),"/"," "),"("," "),")"," "),":"," "),";"," "),"_"," "),"–"," "),"?"," "),"!"," "),"*"," "),"["," "),"]"," "),"'"," "),"#"," "),"+"," "),"&amp;"," "),"\"," "))&amp;" "</f>
        <v>  </v>
      </c>
      <c r="CE83" s="68" t="n">
        <f aca="false">IFERROR(IF(AND(LEN(AU83)&gt;0,LEN(AU83)=LEN(AX83),OR(TRIM(MID(SUBSTITUTE(TRIM(CC83)," ",REPT(" ",60)),1,60))="",ISNUMBER(SEARCH(" "&amp;TRIM(MID(SUBSTITUTE(TRIM(CC83)," ",REPT(" ",60)),1,60))&amp;" ",CD83))),OR(TRIM(MID(SUBSTITUTE(TRIM(CC83)," ",REPT(" ",60)),61,60))="",ISNUMBER(SEARCH(" "&amp;TRIM(MID(SUBSTITUTE(TRIM(CC83)," ",REPT(" ",60)),61,60))&amp;" ",CD83))),OR(TRIM(MID(SUBSTITUTE(TRIM(CC83)," ",REPT(" ",60)),121,60))="",ISNUMBER(SEARCH(" "&amp;TRIM(MID(SUBSTITUTE(TRIM(CC83)," ",REPT(" ",60)),121,60))&amp;" ",CD83)))),1,0),0)</f>
        <v>0</v>
      </c>
      <c r="CG83" s="68" t="n">
        <f aca="false">IFERROR(LEN(SUBSTITUTE(BF83," ",""))-SUMPRODUCT((LEN(BF83)-LEN(SUBSTITUTE(BF83," "&amp;L_NAFiller&amp;" "," ")))/(LEN(L_NAFiller)+1)*LEN(L_NAFiller)),0)</f>
        <v>0</v>
      </c>
    </row>
    <row r="84" customFormat="false" ht="78.75" hidden="false" customHeight="true" outlineLevel="0" collapsed="false">
      <c r="A84" s="57" t="s">
        <v>572</v>
      </c>
      <c r="B84" s="57" t="s">
        <v>212</v>
      </c>
      <c r="C84" s="57" t="str">
        <f aca="false">Flights!$F$7</f>
        <v>MH0720</v>
      </c>
      <c r="D84" s="58" t="n">
        <f aca="false">Flights!$D$7</f>
        <v>46305</v>
      </c>
      <c r="E84" s="57" t="str">
        <f aca="false">Flights!$G$7&amp;"-"&amp;Flights!$H$7</f>
        <v>CGK-KUL</v>
      </c>
      <c r="F84" s="57" t="str">
        <f aca="false">Flights!$K$7</f>
        <v>EY</v>
      </c>
      <c r="G84" s="57" t="s">
        <v>420</v>
      </c>
      <c r="H84" s="57" t="s">
        <v>378</v>
      </c>
      <c r="I84" s="57" t="s">
        <v>428</v>
      </c>
      <c r="J84" s="57" t="s">
        <v>435</v>
      </c>
      <c r="K84" s="67" t="s">
        <v>573</v>
      </c>
      <c r="L84" s="67" t="s">
        <v>422</v>
      </c>
      <c r="M84" s="67"/>
      <c r="N84" s="67" t="s">
        <v>383</v>
      </c>
      <c r="O84" s="67" t="s">
        <v>423</v>
      </c>
      <c r="P84" s="57" t="s">
        <v>201</v>
      </c>
      <c r="Q84" s="59" t="n">
        <f aca="false">ROUND((Flights!$AE$7)*1440,0)/1440</f>
        <v>46304.8784722222</v>
      </c>
      <c r="R84" s="59" t="n">
        <f aca="false">Q84+(IF(AND(INDEX(TZ_DSTS,MATCH(P84,TZ_STN,0))&lt;&gt;"",Q84&gt;=INDEX(TZ_DSTS,MATCH(P84,TZ_STN,0)),Q84&lt;INDEX(TZ_DSTE,MATCH(P84,TZ_STN,0))),INDEX(TZ_DST,MATCH(P84,TZ_STN,0)),INDEX(TZ_STD,MATCH(P84,TZ_STN,0))))/24</f>
        <v>46305.1701388889</v>
      </c>
      <c r="S84" s="60"/>
      <c r="T84" s="60"/>
      <c r="U84" s="60"/>
      <c r="V84" s="60"/>
      <c r="W84" s="61"/>
      <c r="X84" s="60"/>
      <c r="Y84" s="60"/>
      <c r="Z84" s="60"/>
      <c r="AA84" s="60"/>
      <c r="AB84" s="60"/>
      <c r="AC84" s="60"/>
      <c r="AD84" s="66"/>
      <c r="AE84" s="60"/>
      <c r="AF84" s="61" t="str">
        <f aca="false">IF(AND(ISNUMBER(X84),ISNUMBER(Y84)),Y84-X84,"")</f>
        <v/>
      </c>
      <c r="AG84" s="62" t="str">
        <f aca="false">IF(ISNUMBER(AD84),AD84-(IF(AND(INDEX(TZ_DSTS,MATCH(P84,TZ_STN,0))&lt;&gt;"",(AD84-INDEX(TZ_STD,MATCH(P84,TZ_STN,0))/24)&gt;=INDEX(TZ_DSTS,MATCH(P84,TZ_STN,0)),(AD84-INDEX(TZ_STD,MATCH(P84,TZ_STN,0))/24)&lt;INDEX(TZ_DSTE,MATCH(P84,TZ_STN,0))),INDEX(TZ_DST,MATCH(P84,TZ_STN,0)),INDEX(TZ_STD,MATCH(P84,TZ_STN,0))))/24,"")</f>
        <v/>
      </c>
      <c r="AH84" s="65" t="str">
        <f aca="false">IFERROR(IF(N84="N/A – rule",IF(OR(TRIM(U84)="",TRIM(U84)="N/A",TRIM(U84)="Not started"),"N/A – RULE","INVALID – this check does not apply to this aircraft: clear the status (or correct the fleet on Flights)"),IF(TRIM(U84)="N/A",IF(AT84=0,"INVALID – N/A not permitted for this check",IF(AND(TRIM(AB84)&lt;&gt;"",TRIM(AB84)&lt;&gt;"Closed"),"INVALID – corrective action still open",IF(AND(NOT(OR(LEN(AZ84)&lt;15,ISNUMBER(MATCH(AZ84,L_Placeholder,0)))),BK84=0,CG84&gt;=8,NOT(OR(LEN(AU84)&lt;2,ISNUMBER(MATCH(AU84,L_Placeholder,0)))),BR84&gt;=3,NOT(OR(LEN(AX84)&lt;2,ISNUMBER(MATCH(AX84,L_Placeholder,0)))),BS84&gt;=3,TRIM(AE84)&lt;&gt;TRIM(T84),AX84&lt;&gt;AU84,CE84=0),"N/A – JUSTIFIED","INVALID – N/A needs a real, settled reason (not 'not applicable' / 'as above' / TBC), a named PIC and a different named verifier"))),IF(OR(TRIM(U84)="Pass",TRIM(U84)="Pass after CA"),IF(NOT(ISNUMBER(AD84)),"INVALID – completion time missing",IF(OR(OR(LEN(AU84)&lt;2,ISNUMBER(MATCH(AU84,L_Placeholder,0))),BR84&lt;3),"INVALID – PIC missing or not a named person (a role such as QA / CSM is not a name)",IF(OR(LEN(AV84)&lt;2,ISNUMBER(MATCH(AV84,L_Placeholder,0))),"INVALID – result / assessment missing",IF(OR(OR(LEN(AW84)&lt;3,ISNUMBER(MATCH(AW84,L_Placeholder,0))),SUMPRODUCT(--ISNUMBER(SEARCH(" "&amp;L_EvidencePhrase&amp;" ",BD84)))&gt;0,BI84=1),"INVALID – evidence missing, placeholder or not yet on file",IF(ISNA(MATCH(TRIM(S84),L_EvidenceType,0)),"INVALID – choose the evidence type from the list (column S)",IF(BL84=0,"INVALID – evidence ID must be the record's own ID only (e.g. SF-2210, IMG_2231, 1045521); a link / file name needs type 'Link / file path'",IF(OR(OR(LEN(AX84)&lt;2,ISNUMBER(MATCH(AX84,L_Placeholder,0))),BS84&lt;3),"INVALID – verifier missing or not a named person (a role such as QA / CSM is not a name)",IF(OR(AX84=AU84,CE84=1,AND(LEN(AU84)&gt;=4,ISNUMBER(SEARCH(AU84,AX84))),AND(LEN(AX84)&gt;=4,ISNUMBER(SEARCH(AX84,AU84)))),"INVALID – verifier must be a different, named person (not the PIC or a role)",IF(BH84=1,"INVALID – result not yet available (awaiting / TBC)",IF(BG84=1,"INVALID – result describes a problem: record Fail, then Pass after CA (or reword if it is not a problem)",IF(BV84=1,"INVALID – wording says not on board: an on-board confirmation needs the item loaded",IF(AND(AQ84=1,OR(OR(LEN(AY84)&lt;3,ISNUMBER(MATCH(AY84,L_Placeholder,0))),BJ84=1,BQ84=0)),"INVALID – batch ID missing, placeholder or not an ID (e.g. PASB-261008-BC-017)",IF(AND(AR84=1,OR(NOT(ISNUMBER(X84)),NOT(ISNUMBER(Y84)))),"INVALID – expected/actual qty missing",IF(AND(AR84=1,OR(X84&lt;=0,Y84&lt;0)),"INVALID – expected qty must be above 0 and actual not negative",IF(BB84&lt;&gt;"",BB84,IF(AND(AS84=1,Documents!$J$7&lt;&gt;"ON FILE"),"INVALID – GLD not on file (Documents sheet)",IF(AND(AS84=2,Documents!$O$7&lt;&gt;"ON FILE"),"INVALID – menu checklist not on file (Documents sheet)",IF(AND(AS84=3,NOT(ISNUMBER(Flights!$AX$7))),"INVALID – enter carrying flight KUL departure (Flights AX)",IF(AND(AS84=3,OR(Flights!$AZ$7&gt;Flights!$AA$7,Flights!$AX$7&lt;Flights!$AA$7-3)),"INVALID – carrying flight (Flights AX) cannot arrive before this leg's STD, or is over 3 days early",IF(AG84&gt;AsOfUTC,"INVALID – completion time is in the future",IF(AND(ISNUMBER(BY84),AG84&lt;BY84),IF(H84="Physical uplift","INVALID – before uplift window (cannot confirm loading)","INVALID – before valid window"),IF(AG84&gt;Flights!$AA$7,"INVALID – completed after departure (cannot establish readiness)",IF(AND(H84="Preparation",AG84&gt;=IF(ISNUMBER(Flights!$BA$7),MIN(Flights!$BA$7,Flights!$AA$7),Flights!$AA$7)),"INVALID – completed after loading / departure (cannot establish readiness)",IF(AND(H84="Physical uplift",AG84&gt;Q84),"INVALID – recorded after the loading flight departed",IF(AG84&gt;Q84,"COMPLETE – LATE","COMPLETE"))))))))))))))))))))))))),IF(TRIM(U84)="Fail","FAIL – DISCREPANCY",IF(AND(TRIM(U84)&lt;&gt;"",TRIM(U84)&lt;&gt;"Not started",TRIM(U84)&lt;&gt;"In progress"),"INVALID – unrecognised status (use the list)",IF(AsOfUTC&gt;Q84,"OVERDUE",IF(N84="Clarification required","OPEN – CLARIFICATION","OPEN"))))))),"INVALID – error value in an input cell")</f>
        <v>OPEN</v>
      </c>
      <c r="AI84" s="61" t="n">
        <f aca="false">IF(OR(AH84="N/A – RULE",AH84="N/A – JUSTIFIED"),0,1)</f>
        <v>1</v>
      </c>
      <c r="AJ84" s="61" t="n">
        <f aca="false">IF(LEFT(AH84,8)="COMPLETE",1,0)</f>
        <v>0</v>
      </c>
      <c r="AK84" s="61" t="n">
        <f aca="false">IF(AND(AI84=1,AJ84=0,AsOfUTC&gt;Q84),1,0)</f>
        <v>0</v>
      </c>
      <c r="AL84" s="61" t="n">
        <f aca="false">IFERROR(IF(AND(AI84=1,OR(TRIM(U84)="Fail",AND(TRIM(AB84)&lt;&gt;"",TRIM(AB84)&lt;&gt;"Closed"),AND(ISNUMBER(AF84),AF84&lt;&gt;0,TRIM(U84)&lt;&gt;"Pass after CA"))),1,0),1)</f>
        <v>0</v>
      </c>
      <c r="AM84" s="61" t="n">
        <f aca="false">IF(LEFT(AH84,7)="INVALID",1,0)</f>
        <v>0</v>
      </c>
      <c r="AN84" s="61" t="n">
        <f aca="false">IF(AND(N84="Clarification required",AI84=1,AJ84=0),1,0)</f>
        <v>0</v>
      </c>
      <c r="AO84" s="61" t="str">
        <f aca="false">IF(AK84=1,SUM(AK$5:AK84),"")</f>
        <v/>
      </c>
      <c r="AP84" s="61" t="str">
        <f aca="false">IF(AL84=1,SUM(AL$5:AL84),"")</f>
        <v/>
      </c>
      <c r="AQ84" s="61" t="n">
        <v>0</v>
      </c>
      <c r="AR84" s="61" t="n">
        <v>1</v>
      </c>
      <c r="AS84" s="61" t="n">
        <v>0</v>
      </c>
      <c r="AT84" s="61" t="n">
        <v>0</v>
      </c>
      <c r="AU84" s="61" t="str">
        <f aca="false">SUBSTITUTE(SUBSTITUTE(SUBSTITUTE(SUBSTITUTE(SUBSTITUTE(SUBSTITUTE(SUBSTITUTE(SUBSTITUTE(SUBSTITUTE(SUBSTITUTE(SUBSTITUTE(SUBSTITUTE(SUBSTITUTE(SUBSTITUTE(SUBSTITUTE(SUBSTITUTE(LOWER(T84&amp;""),CHAR(10),""),CHAR(13),""),CHAR(9),""),CHAR(160),"")," ",""),".",""),"-",""),"/",""),"?",""),"_",""),",",""),"[",""),"]",""),"(",""),")",""),"*","")</f>
        <v/>
      </c>
      <c r="AV84" s="61" t="str">
        <f aca="false">SUBSTITUTE(SUBSTITUTE(SUBSTITUTE(SUBSTITUTE(SUBSTITUTE(SUBSTITUTE(SUBSTITUTE(SUBSTITUTE(SUBSTITUTE(SUBSTITUTE(SUBSTITUTE(SUBSTITUTE(SUBSTITUTE(SUBSTITUTE(SUBSTITUTE(SUBSTITUTE(LOWER(V84&amp;""),CHAR(10),""),CHAR(13),""),CHAR(9),""),CHAR(160),"")," ",""),".",""),"-",""),"/",""),"?",""),"_",""),",",""),"[",""),"]",""),"(",""),")",""),"*","")</f>
        <v/>
      </c>
      <c r="AW84" s="61" t="str">
        <f aca="false">SUBSTITUTE(SUBSTITUTE(SUBSTITUTE(SUBSTITUTE(SUBSTITUTE(SUBSTITUTE(SUBSTITUTE(SUBSTITUTE(SUBSTITUTE(SUBSTITUTE(SUBSTITUTE(SUBSTITUTE(SUBSTITUTE(SUBSTITUTE(SUBSTITUTE(SUBSTITUTE(LOWER(Z84&amp;""),CHAR(10),""),CHAR(13),""),CHAR(9),""),CHAR(160),"")," ",""),".",""),"-",""),"/",""),"?",""),"_",""),",",""),"[",""),"]",""),"(",""),")",""),"*","")</f>
        <v/>
      </c>
      <c r="AX84" s="61" t="str">
        <f aca="false">SUBSTITUTE(SUBSTITUTE(SUBSTITUTE(SUBSTITUTE(SUBSTITUTE(SUBSTITUTE(SUBSTITUTE(SUBSTITUTE(SUBSTITUTE(SUBSTITUTE(SUBSTITUTE(SUBSTITUTE(SUBSTITUTE(SUBSTITUTE(SUBSTITUTE(SUBSTITUTE(LOWER(AE84&amp;""),CHAR(10),""),CHAR(13),""),CHAR(9),""),CHAR(160),"")," ",""),".",""),"-",""),"/",""),"?",""),"_",""),",",""),"[",""),"]",""),"(",""),")",""),"*","")</f>
        <v/>
      </c>
      <c r="AY84" s="61" t="str">
        <f aca="false">SUBSTITUTE(SUBSTITUTE(SUBSTITUTE(SUBSTITUTE(SUBSTITUTE(SUBSTITUTE(SUBSTITUTE(SUBSTITUTE(SUBSTITUTE(SUBSTITUTE(SUBSTITUTE(SUBSTITUTE(SUBSTITUTE(SUBSTITUTE(SUBSTITUTE(SUBSTITUTE(LOWER(W84&amp;""),CHAR(10),""),CHAR(13),""),CHAR(9),""),CHAR(160),"")," ",""),".",""),"-",""),"/",""),"?",""),"_",""),",",""),"[",""),"]",""),"(",""),")",""),"*","")</f>
        <v/>
      </c>
      <c r="AZ84" s="61" t="str">
        <f aca="false">SUBSTITUTE(SUBSTITUTE(SUBSTITUTE(SUBSTITUTE(SUBSTITUTE(SUBSTITUTE(SUBSTITUTE(SUBSTITUTE(SUBSTITUTE(SUBSTITUTE(SUBSTITUTE(SUBSTITUTE(SUBSTITUTE(SUBSTITUTE(SUBSTITUTE(SUBSTITUTE(LOWER(AC84&amp;""),CHAR(10),""),CHAR(13),""),CHAR(9),""),CHAR(160),"")," ",""),".",""),"-",""),"/",""),"?",""),"_",""),",",""),"[",""),"]",""),"(",""),")",""),"*","")</f>
        <v/>
      </c>
      <c r="BA84" s="61" t="str">
        <f aca="false">SUBSTITUTE(SUBSTITUTE(SUBSTITUTE(SUBSTITUTE(SUBSTITUTE(SUBSTITUTE(SUBSTITUTE(SUBSTITUTE(SUBSTITUTE(SUBSTITUTE(SUBSTITUTE(SUBSTITUTE(SUBSTITUTE(SUBSTITUTE(SUBSTITUTE(SUBSTITUTE(LOWER(AA84&amp;""),CHAR(10),""),CHAR(13),""),CHAR(9),""),CHAR(160),"")," ",""),".",""),"-",""),"/",""),"?",""),"_",""),",",""),"[",""),"]",""),"(",""),")",""),"*","")</f>
        <v/>
      </c>
      <c r="BB84" s="61" t="str">
        <f aca="false">IF(AND(TRIM(U84)="Pass",ISNUMBER(AF84)),IF(AF84&lt;&gt;0,"INVALID – qty variance: use Fail or Pass after CA",""),"")&amp;IF(AND(TRIM(U84)="Pass after CA",ISNUMBER(AF84)),IF(AF84&lt;&gt;0,"INVALID – after the corrective action the actual qty must equal expected (update Actual)",""),"")&amp;IF(AND(TRIM(U84)="Pass",TRIM(AB84)&lt;&gt;"",TRIM(AB84)&lt;&gt;"Closed"),"INVALID – corrective action not closed: use Fail, then Pass after CA","")&amp;IF(AND(LEN(BA84)&gt;=2,ISNA(MATCH(LEFT(BA84,255),L_Placeholder,0)),TRIM(AB84)=""),"INVALID – CA status missing for the recorded corrective action","")&amp;IF(AND(TRIM(U84)="Pass after CA",OR(OR(LEN(BA84)&lt;5,ISNUMBER(MATCH(BA84,L_Placeholder,0))),TRIM(AB84)&lt;&gt;"Closed")),"INVALID – corrective action not recorded/closed","")</f>
        <v/>
      </c>
      <c r="BC84" s="61" t="str">
        <f aca="false">" "&amp;TRIM(SUBSTITUTE(SUBSTITUTE(SUBSTITUTE(SUBSTITUTE(SUBSTITUTE(SUBSTITUTE(SUBSTITUTE(SUBSTITUTE(SUBSTITUTE(SUBSTITUTE(SUBSTITUTE(SUBSTITUTE(SUBSTITUTE(SUBSTITUTE(SUBSTITUTE(SUBSTITUTE(SUBSTITUTE(SUBSTITUTE(SUBSTITUTE(SUBSTITUTE(SUBSTITUTE(SUBSTITUTE(SUBSTITUTE(SUBSTITUTE(LOWER(V84&amp;""),CHAR(10)," "),CHAR(13)," "),CHAR(9)," "),CHAR(160)," "),"."," "),","," "),"-"," "),"/"," "),"("," "),")"," "),":"," "),";"," "),"_"," "),"–"," "),"?"," "),"!"," "),"*"," "),"["," "),"]"," "),"'"," "),"#"," "),"+"," "),"&amp;"," "),"\"," "))&amp;" "</f>
        <v>  </v>
      </c>
      <c r="BD84" s="61" t="str">
        <f aca="false">" "&amp;TRIM(SUBSTITUTE(SUBSTITUTE(SUBSTITUTE(SUBSTITUTE(SUBSTITUTE(SUBSTITUTE(SUBSTITUTE(SUBSTITUTE(SUBSTITUTE(SUBSTITUTE(SUBSTITUTE(SUBSTITUTE(SUBSTITUTE(SUBSTITUTE(SUBSTITUTE(SUBSTITUTE(SUBSTITUTE(SUBSTITUTE(SUBSTITUTE(SUBSTITUTE(SUBSTITUTE(SUBSTITUTE(SUBSTITUTE(SUBSTITUTE(LOWER(Z84&amp;""),CHAR(10)," "),CHAR(13)," "),CHAR(9)," "),CHAR(160)," "),"."," "),","," "),"-"," "),"/"," "),"("," "),")"," "),":"," "),";"," "),"_"," "),"–"," "),"?"," "),"!"," "),"*"," "),"["," "),"]"," "),"'"," "),"#"," "),"+"," "),"&amp;"," "),"\"," "))&amp;" "</f>
        <v>  </v>
      </c>
      <c r="BE84" s="61" t="str">
        <f aca="false">" "&amp;TRIM(SUBSTITUTE(SUBSTITUTE(SUBSTITUTE(SUBSTITUTE(SUBSTITUTE(SUBSTITUTE(SUBSTITUTE(SUBSTITUTE(SUBSTITUTE(SUBSTITUTE(SUBSTITUTE(SUBSTITUTE(SUBSTITUTE(SUBSTITUTE(SUBSTITUTE(SUBSTITUTE(SUBSTITUTE(SUBSTITUTE(SUBSTITUTE(SUBSTITUTE(SUBSTITUTE(SUBSTITUTE(SUBSTITUTE(SUBSTITUTE(LOWER(W84&amp;""),CHAR(10)," "),CHAR(13)," "),CHAR(9)," "),CHAR(160)," "),"."," "),","," "),"-"," "),"/"," "),"("," "),")"," "),":"," "),";"," "),"_"," "),"–"," "),"?"," "),"!"," "),"*"," "),"["," "),"]"," "),"'"," "),"#"," "),"+"," "),"&amp;"," "),"\"," "))&amp;" "</f>
        <v>  </v>
      </c>
      <c r="BF84" s="61" t="str">
        <f aca="false">" "&amp;TRIM(SUBSTITUTE(SUBSTITUTE(SUBSTITUTE(SUBSTITUTE(SUBSTITUTE(SUBSTITUTE(SUBSTITUTE(SUBSTITUTE(SUBSTITUTE(SUBSTITUTE(SUBSTITUTE(SUBSTITUTE(SUBSTITUTE(SUBSTITUTE(SUBSTITUTE(SUBSTITUTE(SUBSTITUTE(SUBSTITUTE(SUBSTITUTE(SUBSTITUTE(SUBSTITUTE(SUBSTITUTE(SUBSTITUTE(SUBSTITUTE(LOWER(AC84&amp;""),CHAR(10)," "),CHAR(13)," "),CHAR(9)," "),CHAR(160)," "),"."," "),","," "),"-"," "),"/"," "),"("," "),")"," "),":"," "),";"," "),"_"," "),"–"," "),"?"," "),"!"," "),"*"," "),"["," "),"]"," "),"'"," "),"#"," "),"+"," "),"&amp;"," "),"\"," "))&amp;" "</f>
        <v>  </v>
      </c>
      <c r="BG84" s="61" t="n">
        <f aca="false">IFERROR(IF(AND(TRIM(U84)="Pass",SUMPRODUCT((LEN(BC84)-LEN(SUBSTITUTE(BC84," "&amp;L_ResultBad&amp;" "," ")))/(LEN(L_ResultBad)+1))&gt;SUMPRODUCT((LEN(BC84)-LEN(SUBSTITUTE(BC84," "&amp;L_NegPhrase&amp;" "," ")))/(LEN(L_NegPhrase)+1))),1,0),0)</f>
        <v>0</v>
      </c>
      <c r="BH84" s="61" t="n">
        <f aca="false">IFERROR(IF(SUMPRODUCT((LEN(BC84)-LEN(SUBSTITUTE(BC84," "&amp;L_Pending&amp;" "," ")))/(LEN(L_Pending)+1))&gt;SUMPRODUCT((LEN(BC84)-LEN(SUBSTITUTE(BC84," "&amp;L_PendNeg&amp;" "," ")))/(LEN(L_PendNeg)+1))+SUMPRODUCT((LEN(BC84)-LEN(SUBSTITUTE(BC84," "&amp;L_PendPrep&amp;" "," ")))/(LEN(L_PendPrep)+1)),1,0),1)</f>
        <v>0</v>
      </c>
      <c r="BI84" s="61" t="n">
        <f aca="false">IFERROR(IF(SUMPRODUCT((LEN(BD84)-LEN(SUBSTITUTE(BD84," "&amp;L_PendStrict&amp;" "," ")))/(LEN(L_PendStrict)+1))&gt;SUMPRODUCT((LEN(BD84)-LEN(SUBSTITUTE(BD84," "&amp;L_PendNeg&amp;" "," ")))/(LEN(L_PendNeg)+1)),1,0),1)</f>
        <v>0</v>
      </c>
      <c r="BJ84" s="61" t="n">
        <f aca="false">IFERROR(IF(SUMPRODUCT((LEN(BE84)-LEN(SUBSTITUTE(BE84," "&amp;L_Pending&amp;" "," ")))/(LEN(L_Pending)+1))&gt;SUMPRODUCT((LEN(BE84)-LEN(SUBSTITUTE(BE84," "&amp;L_PendNeg&amp;" "," ")))/(LEN(L_PendNeg)+1))+SUMPRODUCT((LEN(BE84)-LEN(SUBSTITUTE(BE84," "&amp;L_PendPrep&amp;" "," ")))/(LEN(L_PendPrep)+1)),1,0),1)</f>
        <v>0</v>
      </c>
      <c r="BK84" s="61" t="n">
        <f aca="false">IFERROR(IF(SUMPRODUCT((LEN(BF84)-LEN(SUBSTITUTE(BF84," "&amp;L_PendStrict&amp;" "," ")))/(LEN(L_PendStrict)+1))&gt;SUMPRODUCT((LEN(BF84)-LEN(SUBSTITUTE(BF84," "&amp;L_PendNeg&amp;" "," ")))/(LEN(L_PendNeg)+1)),1,0),1)</f>
        <v>0</v>
      </c>
      <c r="BL84" s="61" t="n">
        <f aca="false">IF(ISNA(MATCH(TRIM(S84),L_EvidenceType,0)),0,BZ84)</f>
        <v>0</v>
      </c>
      <c r="BM84" s="61" t="str">
        <f aca="false">SUBSTITUTE(SUBSTITUTE(SUBSTITUTE(SUBSTITUTE(SUBSTITUTE(SUBSTITUTE(SUBSTITUTE(SUBSTITUTE(SUBSTITUTE(LOWER(Z84&amp;""),"1","0"),"2","0"),"3","0"),"4","0"),"5","0"),"6","0"),"7","0"),"8","0"),"9","0")</f>
        <v/>
      </c>
      <c r="BN84" s="61" t="str">
        <f aca="false">SUBSTITUTE(SUBSTITUTE(SUBSTITUTE(SUBSTITUTE(SUBSTITUTE(SUBSTITUTE(SUBSTITUTE(SUBSTITUTE(SUBSTITUTE(SUBSTITUTE(SUBSTITUTE(SUBSTITUTE(SUBSTITUTE(SUBSTITUTE(SUBSTITUTE(SUBSTITUTE(SUBSTITUTE(SUBSTITUTE(SUBSTITUTE(SUBSTITUTE(SUBSTITUTE(SUBSTITUTE(SUBSTITUTE(SUBSTITUTE(SUBSTITUTE(BM84,"b","a"),"c","a"),"d","a"),"e","a"),"f","a"),"g","a"),"h","a"),"i","a"),"j","a"),"k","a"),"l","a"),"m","a"),"n","a"),"o","a"),"p","a"),"q","a"),"r","a"),"s","a"),"t","a"),"u","a"),"v","a"),"w","a"),"x","a"),"y","a"),"z","a")</f>
        <v/>
      </c>
      <c r="BO84" s="61" t="str">
        <f aca="false">SUBSTITUTE(SUBSTITUTE(SUBSTITUTE(SUBSTITUTE(SUBSTITUTE(SUBSTITUTE(SUBSTITUTE(SUBSTITUTE(SUBSTITUTE(LOWER(W84&amp;""),"1","0"),"2","0"),"3","0"),"4","0"),"5","0"),"6","0"),"7","0"),"8","0"),"9","0")</f>
        <v/>
      </c>
      <c r="BP84" s="61" t="str">
        <f aca="false">SUBSTITUTE(SUBSTITUTE(SUBSTITUTE(SUBSTITUTE(SUBSTITUTE(SUBSTITUTE(SUBSTITUTE(SUBSTITUTE(SUBSTITUTE(SUBSTITUTE(SUBSTITUTE(SUBSTITUTE(SUBSTITUTE(SUBSTITUTE(SUBSTITUTE(SUBSTITUTE(SUBSTITUTE(SUBSTITUTE(SUBSTITUTE(SUBSTITUTE(SUBSTITUTE(SUBSTITUTE(SUBSTITUTE(SUBSTITUTE(SUBSTITUTE(BO84,"b","a"),"c","a"),"d","a"),"e","a"),"f","a"),"g","a"),"h","a"),"i","a"),"j","a"),"k","a"),"l","a"),"m","a"),"n","a"),"o","a"),"p","a"),"q","a"),"r","a"),"s","a"),"t","a"),"u","a"),"v","a"),"w","a"),"x","a"),"y","a"),"z","a")</f>
        <v/>
      </c>
      <c r="BQ84" s="61" t="n">
        <f aca="false">IFERROR(IF(AND(ISERROR(SEARCH(" mh"," "&amp;LOWER(W84))),ISNA(MATCH(LEFT(TRIM(BP84),255),{"0000a","000a","00a","0000aa","000aa","00aa","0aa","0000aaa","000aaa","00a00","0a00","0000-0000","00:00","a00","a0","00.00.0000","00/00/0000","00-00-0000","0000-00-00","0000/00/00","0000.00.00","00.00.00","00/00/00","00-00-00","0.00.0000","0/00/0000","0-00-0000"},0)),ISNA(MATCH(LEFT(TRIM(CA84),255),{"0000a","000a","00a","0000aa","000aa","00aa","0aa","0000aaa","000aaa","00a00","0a00","0000-0000","00:00","a00","a0","00.00.0000","00/00/0000","00-00-0000","0000-00-00","0000/00/00","0000.00.00","00.00.00","00/00/00","00-00-00","0.00.0000","0/00/0000","0-00-0000"},0)),LEN(CB84)&gt;=3,NOT(OR(SUBSTITUTE(CB84,"0","")="",AND(LEN(CB84)&gt;=4,CB84=REPT(LEFT(CB84),LEN(CB84))),ISNUMBER(MATCH(CB84,{"123","1234","12345","123456","1234567","12345678","0123","01234","012345","98765","987654","54321"},0)),AND(LEN(CB84)=8,LEFT(CB84,3)="202"))),OR(AND((LEN(CA84)-LEN(SUBSTITUTE(CA84,"a","")))&gt;=1,SUMPRODUCT(--ISNUMBER(SEARCH({"a0","a-0","a_0","a/0","a.0","a#0","0a","0-a","0_a","0/a"},BP84)))&gt;0),ISNUMBER(SEARCH("000000",BP84)))),1,0),0)</f>
        <v>0</v>
      </c>
      <c r="BR84" s="61" t="n">
        <f aca="false">IFERROR(LEN(SUBSTITUTE(CC84," ",""))-SUMPRODUCT((LEN(CC84)-LEN(SUBSTITUTE(CC84," "&amp;L_Role&amp;" "," ")))/(LEN(L_Role)+1)*LEN(L_Role)),0)</f>
        <v>0</v>
      </c>
      <c r="BS84" s="61" t="n">
        <f aca="false">IFERROR(LEN(SUBSTITUTE(CD84," ",""))-SUMPRODUCT((LEN(CD84)-LEN(SUBSTITUTE(CD84," "&amp;L_Role&amp;" "," ")))/(LEN(L_Role)+1)*LEN(L_Role)),0)</f>
        <v>0</v>
      </c>
      <c r="BT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84,"revision",""),"version",""),"jan",""),"feb",""),"mar",""),"apr",""),"may",""),"jun",""),"jul",""),"aug",""),"sep",""),"oct",""),"nov",""),"dec",""),"utc",""),"gmt",""),"myt",""),"bst",""),"rev",""),"ver",""),"b","a"),"c","a"),"d","a"),"e","a"),"f","a"),"g","a"),"h","a"),"i","a"),"j","a"),"k","a"),"l","a"),"m","a"),"n","a"),"o","a"),"p","a"),"q","a"),"r","a"),"s","a"),"t","a"),"u","a"),"v","a"),"w","a"),"x","a"),"y","a"),"z","a")</f>
        <v/>
      </c>
      <c r="BU84" s="61" t="str">
        <f aca="false">SUBSTITUTE(SUBSTITUTE(SUBSTITUTE(SUBSTITUTE(SUBSTITUTE(SUBSTITUTE(SUBSTITUTE(SUBSTITUTE(SUBSTITUTE(SUBSTITUTE(LEFT(BM84,FIND("0",BM84&amp;"0")-1),"-",""),"_",""),"/",""),".",""),"#",""),"\\",""),":","")," ",""),"(",""),")","")</f>
        <v/>
      </c>
      <c r="BV84" s="61" t="n">
        <f aca="false">0</f>
        <v>0</v>
      </c>
      <c r="BW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84&amp;""),"a",""),"b",""),"c",""),"d",""),"e",""),"f",""),"g",""),"h",""),"i",""),"j",""),"k",""),"l",""),"m",""),"n",""),"o",""),"p",""),"q",""),"r",""),"s",""),"t",""),"u",""),"v",""),"w",""),"x",""),"y",""),"z",""),"-",""),"_",""),"/",""),".",""),"#",""),"\\",""),":","")," ",""),"(",""),")","")</f>
        <v/>
      </c>
      <c r="BX84" s="61" t="str">
        <f aca="false">SUBSTITUTE(SUBSTITUTE(SUBSTITUTE(SUBSTITUTE(SUBSTITUTE(SUBSTITUTE(SUBSTITUTE(SUBSTITUTE(SUBSTITUTE(SUBSTITUTE(SUBSTITUTE(BM84,"0",""),"-",""),"_",""),"/",""),".",""),"#",""),"\\",""),":","")," ",""),"(",""),")","")</f>
        <v/>
      </c>
      <c r="BY84" s="62" t="n">
        <f aca="false">Q84-T12EarlyH/24</f>
        <v>46304.3784722222</v>
      </c>
      <c r="BZ84" s="61" t="n">
        <f aca="false">IFERROR(IF(IF(TRIM(S84)="Link / file path",AND(LEN(TRIM(Z84))&gt;=5,SUMPRODUCT(--ISNUMBER(SEARCH({"http","www.","\\",":\",".pdf",".jpg",".jpeg",".png",".heic",".xls",".doc",".msg",".eml",".ppt",".txt",".zip"},Z84)))&gt;0),AND(ISERROR(FIND(" ",TRIM(Z84))),NOT(OR(SUMPRODUCT(--ISNUMBER(FIND({",",";","&amp;","+"},Z84)))&gt;0,SUMPRODUCT(--ISNUMBER(SEARCH({"0/aa","0\\aa"},BN84)))&gt;0)),NOT(SUMPRODUCT(--ISNUMBER(SEARCH({"http","www.","\\",":\",".pdf",".jpg",".jpeg",".png",".heic",".xls",".doc",".msg",".eml",".ppt",".txt",".zip"},Z84)))&gt;0),NOT(LOWER(TRIM(Z84))=LOWER(Flights!$F$7)),ISNA(MATCH(BU84,{"mh","rev","revision","ver","version","v","r","a","b","seat","tray","row","gate","bay","stand","page","pg","item","line","no","cart","galley","flight","flt","table","box","bag","oven","etd","eta","std","sta","atd","ata","qty","pax","x","time","tel","ph","mob","day","wk","week","utc","gmt","myt","lt"},0)),NOT(OR(ISNUMBER(MATCH(LEFT(BN84,255),{"0000a","000a","00a","0000aa","000aa","00aa","0aa","0000aaa","000aaa","00a00","0a00","0000-0000","00:00","a00","a0","00.00.0000","00/00/0000","00-00-0000","0000-00-00","0000/00/00","0000.00.00","00.00.00","00/00/00","00-00-00","0.00.0000","0/00/0000","0-00-0000"},0)),ISNUMBER(MATCH(LEFT(BT84,255),{"0000a","000a","00a","0000aa","000aa","00aa","0aa","0000aaa","000aaa","00a00","0a00","0000-0000","00:00","a00","a0","00.00.0000","00/00/0000","00-00-0000","0000-00-00","0000/00/00","0000.00.00","00.00.00","00/00/00","00-00-00","0.00.0000","0/00/0000","0-00-0000"},0)))),NOT(OR(AND(BW84&lt;&gt;"",SUBSTITUTE(BW84,"0","")=""),AND(LEN(BW84)&gt;=4,BW84=REPT(LEFT(BW84),LEN(BW84))),ISNUMBER(MATCH(BW84,{"123","1234","12345","123456","1234567","12345678","0123","01234","012345","98765","987654","54321"},0)),ISNUMBER(MATCH(BX84,{"x","xx","xxx","xxxx","xxxxx","abc","abcd","nil","na","nan","test","tbc","tba","tbd","dummy","sample","example","eg","zz","zzz","none","null","xyz","qwe","asd","id","ref"},0)),AND(LEN(BW84)=8,BX84="",OR(LEFT(BW84,3)="202",ISNUMBER(MATCH(RIGHT(BW84,4),{"2025","2026","2027"},0)))))),OR(AND((LEN(BT84)-LEN(SUBSTITUTE(BT84,"a","")))&gt;=1,(LEN(BN84)-LEN(SUBSTITUTE(BN84,"0","")))&gt;=2,SUMPRODUCT(--ISNUMBER(SEARCH({"a0","a-0","a_0","a/0","a.0","a#0","0a","0-a","0_a","0/a"},BN84)))&gt;0),AND((LEN(BN84)-LEN(SUBSTITUTE(BN84,"a","")))=0,(LEN(BN84)-LEN(SUBSTITUTE(BN84,"0","")))&gt;=5)))),1,0),0)</f>
        <v>0</v>
      </c>
      <c r="CA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84,"revision",""),"version",""),"jan",""),"feb",""),"mar",""),"apr",""),"may",""),"jun",""),"jul",""),"aug",""),"sep",""),"oct",""),"nov",""),"dec",""),"utc",""),"gmt",""),"myt",""),"bst",""),"rev",""),"ver",""),"b","a"),"c","a"),"d","a"),"e","a"),"f","a"),"g","a"),"h","a"),"i","a"),"j","a"),"k","a"),"l","a"),"m","a"),"n","a"),"o","a"),"p","a"),"q","a"),"r","a"),"s","a"),"t","a"),"u","a"),"v","a"),"w","a"),"x","a"),"y","a"),"z","a")</f>
        <v/>
      </c>
      <c r="CB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84&amp;""),"a",""),"b",""),"c",""),"d",""),"e",""),"f",""),"g",""),"h",""),"i",""),"j",""),"k",""),"l",""),"m",""),"n",""),"o",""),"p",""),"q",""),"r",""),"s",""),"t",""),"u",""),"v",""),"w",""),"x",""),"y",""),"z",""),"-",""),"_",""),"/",""),".",""),"#",""),"\\",""),":","")," ",""),"(",""),")","")</f>
        <v/>
      </c>
      <c r="CC84" s="0" t="str">
        <f aca="false">" "&amp;TRIM(SUBSTITUTE(SUBSTITUTE(SUBSTITUTE(SUBSTITUTE(SUBSTITUTE(SUBSTITUTE(SUBSTITUTE(SUBSTITUTE(SUBSTITUTE(SUBSTITUTE(SUBSTITUTE(SUBSTITUTE(SUBSTITUTE(SUBSTITUTE(SUBSTITUTE(SUBSTITUTE(SUBSTITUTE(SUBSTITUTE(SUBSTITUTE(SUBSTITUTE(SUBSTITUTE(SUBSTITUTE(SUBSTITUTE(SUBSTITUTE(LOWER(T84&amp;""),CHAR(10)," "),CHAR(13)," "),CHAR(9)," "),CHAR(160)," "),"."," "),","," "),"-"," "),"/"," "),"("," "),")"," "),":"," "),";"," "),"_"," "),"–"," "),"?"," "),"!"," "),"*"," "),"["," "),"]"," "),"'"," "),"#"," "),"+"," "),"&amp;"," "),"\"," "))&amp;" "</f>
        <v>  </v>
      </c>
      <c r="CD84" s="0" t="str">
        <f aca="false">" "&amp;TRIM(SUBSTITUTE(SUBSTITUTE(SUBSTITUTE(SUBSTITUTE(SUBSTITUTE(SUBSTITUTE(SUBSTITUTE(SUBSTITUTE(SUBSTITUTE(SUBSTITUTE(SUBSTITUTE(SUBSTITUTE(SUBSTITUTE(SUBSTITUTE(SUBSTITUTE(SUBSTITUTE(SUBSTITUTE(SUBSTITUTE(SUBSTITUTE(SUBSTITUTE(SUBSTITUTE(SUBSTITUTE(SUBSTITUTE(SUBSTITUTE(LOWER(AE84&amp;""),CHAR(10)," "),CHAR(13)," "),CHAR(9)," "),CHAR(160)," "),"."," "),","," "),"-"," "),"/"," "),"("," "),")"," "),":"," "),";"," "),"_"," "),"–"," "),"?"," "),"!"," "),"*"," "),"["," "),"]"," "),"'"," "),"#"," "),"+"," "),"&amp;"," "),"\"," "))&amp;" "</f>
        <v>  </v>
      </c>
      <c r="CE84" s="68" t="n">
        <f aca="false">IFERROR(IF(AND(LEN(AU84)&gt;0,LEN(AU84)=LEN(AX84),OR(TRIM(MID(SUBSTITUTE(TRIM(CC84)," ",REPT(" ",60)),1,60))="",ISNUMBER(SEARCH(" "&amp;TRIM(MID(SUBSTITUTE(TRIM(CC84)," ",REPT(" ",60)),1,60))&amp;" ",CD84))),OR(TRIM(MID(SUBSTITUTE(TRIM(CC84)," ",REPT(" ",60)),61,60))="",ISNUMBER(SEARCH(" "&amp;TRIM(MID(SUBSTITUTE(TRIM(CC84)," ",REPT(" ",60)),61,60))&amp;" ",CD84))),OR(TRIM(MID(SUBSTITUTE(TRIM(CC84)," ",REPT(" ",60)),121,60))="",ISNUMBER(SEARCH(" "&amp;TRIM(MID(SUBSTITUTE(TRIM(CC84)," ",REPT(" ",60)),121,60))&amp;" ",CD84)))),1,0),0)</f>
        <v>0</v>
      </c>
      <c r="CG84" s="68" t="n">
        <f aca="false">IFERROR(LEN(SUBSTITUTE(BF84," ",""))-SUMPRODUCT((LEN(BF84)-LEN(SUBSTITUTE(BF84," "&amp;L_NAFiller&amp;" "," ")))/(LEN(L_NAFiller)+1)*LEN(L_NAFiller)),0)</f>
        <v>0</v>
      </c>
    </row>
    <row r="85" customFormat="false" ht="39.75" hidden="false" customHeight="true" outlineLevel="0" collapsed="false">
      <c r="A85" s="57" t="s">
        <v>574</v>
      </c>
      <c r="B85" s="57" t="s">
        <v>212</v>
      </c>
      <c r="C85" s="57" t="str">
        <f aca="false">Flights!$F$7</f>
        <v>MH0720</v>
      </c>
      <c r="D85" s="58" t="n">
        <f aca="false">Flights!$D$7</f>
        <v>46305</v>
      </c>
      <c r="E85" s="57" t="str">
        <f aca="false">Flights!$G$7&amp;"-"&amp;Flights!$H$7</f>
        <v>CGK-KUL</v>
      </c>
      <c r="F85" s="57" t="str">
        <f aca="false">Flights!$K$7</f>
        <v>EY</v>
      </c>
      <c r="G85" s="57" t="s">
        <v>420</v>
      </c>
      <c r="H85" s="57" t="s">
        <v>378</v>
      </c>
      <c r="I85" s="57" t="s">
        <v>428</v>
      </c>
      <c r="J85" s="57" t="s">
        <v>438</v>
      </c>
      <c r="K85" s="67"/>
      <c r="L85" s="67" t="s">
        <v>422</v>
      </c>
      <c r="M85" s="67"/>
      <c r="N85" s="67" t="s">
        <v>383</v>
      </c>
      <c r="O85" s="67" t="s">
        <v>423</v>
      </c>
      <c r="P85" s="57" t="s">
        <v>201</v>
      </c>
      <c r="Q85" s="59" t="n">
        <f aca="false">ROUND((Flights!$AE$7)*1440,0)/1440</f>
        <v>46304.8784722222</v>
      </c>
      <c r="R85" s="59" t="n">
        <f aca="false">Q85+(IF(AND(INDEX(TZ_DSTS,MATCH(P85,TZ_STN,0))&lt;&gt;"",Q85&gt;=INDEX(TZ_DSTS,MATCH(P85,TZ_STN,0)),Q85&lt;INDEX(TZ_DSTE,MATCH(P85,TZ_STN,0))),INDEX(TZ_DST,MATCH(P85,TZ_STN,0)),INDEX(TZ_STD,MATCH(P85,TZ_STN,0))))/24</f>
        <v>46305.1701388889</v>
      </c>
      <c r="S85" s="60"/>
      <c r="T85" s="60"/>
      <c r="U85" s="60"/>
      <c r="V85" s="60"/>
      <c r="W85" s="61"/>
      <c r="X85" s="60"/>
      <c r="Y85" s="60"/>
      <c r="Z85" s="60"/>
      <c r="AA85" s="60"/>
      <c r="AB85" s="60"/>
      <c r="AC85" s="60"/>
      <c r="AD85" s="66"/>
      <c r="AE85" s="60"/>
      <c r="AF85" s="61" t="str">
        <f aca="false">IF(AND(ISNUMBER(X85),ISNUMBER(Y85)),Y85-X85,"")</f>
        <v/>
      </c>
      <c r="AG85" s="62" t="str">
        <f aca="false">IF(ISNUMBER(AD85),AD85-(IF(AND(INDEX(TZ_DSTS,MATCH(P85,TZ_STN,0))&lt;&gt;"",(AD85-INDEX(TZ_STD,MATCH(P85,TZ_STN,0))/24)&gt;=INDEX(TZ_DSTS,MATCH(P85,TZ_STN,0)),(AD85-INDEX(TZ_STD,MATCH(P85,TZ_STN,0))/24)&lt;INDEX(TZ_DSTE,MATCH(P85,TZ_STN,0))),INDEX(TZ_DST,MATCH(P85,TZ_STN,0)),INDEX(TZ_STD,MATCH(P85,TZ_STN,0))))/24,"")</f>
        <v/>
      </c>
      <c r="AH85" s="65" t="str">
        <f aca="false">IFERROR(IF(N85="N/A – rule",IF(OR(TRIM(U85)="",TRIM(U85)="N/A",TRIM(U85)="Not started"),"N/A – RULE","INVALID – this check does not apply to this aircraft: clear the status (or correct the fleet on Flights)"),IF(TRIM(U85)="N/A",IF(AT85=0,"INVALID – N/A not permitted for this check",IF(AND(TRIM(AB85)&lt;&gt;"",TRIM(AB85)&lt;&gt;"Closed"),"INVALID – corrective action still open",IF(AND(NOT(OR(LEN(AZ85)&lt;15,ISNUMBER(MATCH(AZ85,L_Placeholder,0)))),BK85=0,CG85&gt;=8,NOT(OR(LEN(AU85)&lt;2,ISNUMBER(MATCH(AU85,L_Placeholder,0)))),BR85&gt;=3,NOT(OR(LEN(AX85)&lt;2,ISNUMBER(MATCH(AX85,L_Placeholder,0)))),BS85&gt;=3,TRIM(AE85)&lt;&gt;TRIM(T85),AX85&lt;&gt;AU85,CE85=0),"N/A – JUSTIFIED","INVALID – N/A needs a real, settled reason (not 'not applicable' / 'as above' / TBC), a named PIC and a different named verifier"))),IF(OR(TRIM(U85)="Pass",TRIM(U85)="Pass after CA"),IF(NOT(ISNUMBER(AD85)),"INVALID – completion time missing",IF(OR(OR(LEN(AU85)&lt;2,ISNUMBER(MATCH(AU85,L_Placeholder,0))),BR85&lt;3),"INVALID – PIC missing or not a named person (a role such as QA / CSM is not a name)",IF(OR(LEN(AV85)&lt;2,ISNUMBER(MATCH(AV85,L_Placeholder,0))),"INVALID – result / assessment missing",IF(OR(OR(LEN(AW85)&lt;3,ISNUMBER(MATCH(AW85,L_Placeholder,0))),SUMPRODUCT(--ISNUMBER(SEARCH(" "&amp;L_EvidencePhrase&amp;" ",BD85)))&gt;0,BI85=1),"INVALID – evidence missing, placeholder or not yet on file",IF(ISNA(MATCH(TRIM(S85),L_EvidenceType,0)),"INVALID – choose the evidence type from the list (column S)",IF(BL85=0,"INVALID – evidence ID must be the record's own ID only (e.g. SF-2210, IMG_2231, 1045521); a link / file name needs type 'Link / file path'",IF(OR(OR(LEN(AX85)&lt;2,ISNUMBER(MATCH(AX85,L_Placeholder,0))),BS85&lt;3),"INVALID – verifier missing or not a named person (a role such as QA / CSM is not a name)",IF(OR(AX85=AU85,CE85=1,AND(LEN(AU85)&gt;=4,ISNUMBER(SEARCH(AU85,AX85))),AND(LEN(AX85)&gt;=4,ISNUMBER(SEARCH(AX85,AU85)))),"INVALID – verifier must be a different, named person (not the PIC or a role)",IF(BH85=1,"INVALID – result not yet available (awaiting / TBC)",IF(BG85=1,"INVALID – result describes a problem: record Fail, then Pass after CA (or reword if it is not a problem)",IF(BV85=1,"INVALID – wording says not on board: an on-board confirmation needs the item loaded",IF(AND(AQ85=1,OR(OR(LEN(AY85)&lt;3,ISNUMBER(MATCH(AY85,L_Placeholder,0))),BJ85=1,BQ85=0)),"INVALID – batch ID missing, placeholder or not an ID (e.g. PASB-261008-BC-017)",IF(AND(AR85=1,OR(NOT(ISNUMBER(X85)),NOT(ISNUMBER(Y85)))),"INVALID – expected/actual qty missing",IF(AND(AR85=1,OR(X85&lt;=0,Y85&lt;0)),"INVALID – expected qty must be above 0 and actual not negative",IF(BB85&lt;&gt;"",BB85,IF(AND(AS85=1,Documents!$J$7&lt;&gt;"ON FILE"),"INVALID – GLD not on file (Documents sheet)",IF(AND(AS85=2,Documents!$O$7&lt;&gt;"ON FILE"),"INVALID – menu checklist not on file (Documents sheet)",IF(AND(AS85=3,NOT(ISNUMBER(Flights!$AX$7))),"INVALID – enter carrying flight KUL departure (Flights AX)",IF(AND(AS85=3,OR(Flights!$AZ$7&gt;Flights!$AA$7,Flights!$AX$7&lt;Flights!$AA$7-3)),"INVALID – carrying flight (Flights AX) cannot arrive before this leg's STD, or is over 3 days early",IF(AG85&gt;AsOfUTC,"INVALID – completion time is in the future",IF(AND(ISNUMBER(BY85),AG85&lt;BY85),IF(H85="Physical uplift","INVALID – before uplift window (cannot confirm loading)","INVALID – before valid window"),IF(AG85&gt;Flights!$AA$7,"INVALID – completed after departure (cannot establish readiness)",IF(AND(H85="Preparation",AG85&gt;=IF(ISNUMBER(Flights!$BA$7),MIN(Flights!$BA$7,Flights!$AA$7),Flights!$AA$7)),"INVALID – completed after loading / departure (cannot establish readiness)",IF(AND(H85="Physical uplift",AG85&gt;Q85),"INVALID – recorded after the loading flight departed",IF(AG85&gt;Q85,"COMPLETE – LATE","COMPLETE"))))))))))))))))))))))))),IF(TRIM(U85)="Fail","FAIL – DISCREPANCY",IF(AND(TRIM(U85)&lt;&gt;"",TRIM(U85)&lt;&gt;"Not started",TRIM(U85)&lt;&gt;"In progress"),"INVALID – unrecognised status (use the list)",IF(AsOfUTC&gt;Q85,"OVERDUE",IF(N85="Clarification required","OPEN – CLARIFICATION","OPEN"))))))),"INVALID – error value in an input cell")</f>
        <v>OPEN</v>
      </c>
      <c r="AI85" s="61" t="n">
        <f aca="false">IF(OR(AH85="N/A – RULE",AH85="N/A – JUSTIFIED"),0,1)</f>
        <v>1</v>
      </c>
      <c r="AJ85" s="61" t="n">
        <f aca="false">IF(LEFT(AH85,8)="COMPLETE",1,0)</f>
        <v>0</v>
      </c>
      <c r="AK85" s="61" t="n">
        <f aca="false">IF(AND(AI85=1,AJ85=0,AsOfUTC&gt;Q85),1,0)</f>
        <v>0</v>
      </c>
      <c r="AL85" s="61" t="n">
        <f aca="false">IFERROR(IF(AND(AI85=1,OR(TRIM(U85)="Fail",AND(TRIM(AB85)&lt;&gt;"",TRIM(AB85)&lt;&gt;"Closed"),AND(ISNUMBER(AF85),AF85&lt;&gt;0,TRIM(U85)&lt;&gt;"Pass after CA"))),1,0),1)</f>
        <v>0</v>
      </c>
      <c r="AM85" s="61" t="n">
        <f aca="false">IF(LEFT(AH85,7)="INVALID",1,0)</f>
        <v>0</v>
      </c>
      <c r="AN85" s="61" t="n">
        <f aca="false">IF(AND(N85="Clarification required",AI85=1,AJ85=0),1,0)</f>
        <v>0</v>
      </c>
      <c r="AO85" s="61" t="str">
        <f aca="false">IF(AK85=1,SUM(AK$5:AK85),"")</f>
        <v/>
      </c>
      <c r="AP85" s="61" t="str">
        <f aca="false">IF(AL85=1,SUM(AL$5:AL85),"")</f>
        <v/>
      </c>
      <c r="AQ85" s="61" t="n">
        <v>0</v>
      </c>
      <c r="AR85" s="61" t="n">
        <v>0</v>
      </c>
      <c r="AS85" s="61" t="n">
        <v>0</v>
      </c>
      <c r="AT85" s="61" t="n">
        <v>0</v>
      </c>
      <c r="AU85" s="61" t="str">
        <f aca="false">SUBSTITUTE(SUBSTITUTE(SUBSTITUTE(SUBSTITUTE(SUBSTITUTE(SUBSTITUTE(SUBSTITUTE(SUBSTITUTE(SUBSTITUTE(SUBSTITUTE(SUBSTITUTE(SUBSTITUTE(SUBSTITUTE(SUBSTITUTE(SUBSTITUTE(SUBSTITUTE(LOWER(T85&amp;""),CHAR(10),""),CHAR(13),""),CHAR(9),""),CHAR(160),"")," ",""),".",""),"-",""),"/",""),"?",""),"_",""),",",""),"[",""),"]",""),"(",""),")",""),"*","")</f>
        <v/>
      </c>
      <c r="AV85" s="61" t="str">
        <f aca="false">SUBSTITUTE(SUBSTITUTE(SUBSTITUTE(SUBSTITUTE(SUBSTITUTE(SUBSTITUTE(SUBSTITUTE(SUBSTITUTE(SUBSTITUTE(SUBSTITUTE(SUBSTITUTE(SUBSTITUTE(SUBSTITUTE(SUBSTITUTE(SUBSTITUTE(SUBSTITUTE(LOWER(V85&amp;""),CHAR(10),""),CHAR(13),""),CHAR(9),""),CHAR(160),"")," ",""),".",""),"-",""),"/",""),"?",""),"_",""),",",""),"[",""),"]",""),"(",""),")",""),"*","")</f>
        <v/>
      </c>
      <c r="AW85" s="61" t="str">
        <f aca="false">SUBSTITUTE(SUBSTITUTE(SUBSTITUTE(SUBSTITUTE(SUBSTITUTE(SUBSTITUTE(SUBSTITUTE(SUBSTITUTE(SUBSTITUTE(SUBSTITUTE(SUBSTITUTE(SUBSTITUTE(SUBSTITUTE(SUBSTITUTE(SUBSTITUTE(SUBSTITUTE(LOWER(Z85&amp;""),CHAR(10),""),CHAR(13),""),CHAR(9),""),CHAR(160),"")," ",""),".",""),"-",""),"/",""),"?",""),"_",""),",",""),"[",""),"]",""),"(",""),")",""),"*","")</f>
        <v/>
      </c>
      <c r="AX85" s="61" t="str">
        <f aca="false">SUBSTITUTE(SUBSTITUTE(SUBSTITUTE(SUBSTITUTE(SUBSTITUTE(SUBSTITUTE(SUBSTITUTE(SUBSTITUTE(SUBSTITUTE(SUBSTITUTE(SUBSTITUTE(SUBSTITUTE(SUBSTITUTE(SUBSTITUTE(SUBSTITUTE(SUBSTITUTE(LOWER(AE85&amp;""),CHAR(10),""),CHAR(13),""),CHAR(9),""),CHAR(160),"")," ",""),".",""),"-",""),"/",""),"?",""),"_",""),",",""),"[",""),"]",""),"(",""),")",""),"*","")</f>
        <v/>
      </c>
      <c r="AY85" s="61" t="str">
        <f aca="false">SUBSTITUTE(SUBSTITUTE(SUBSTITUTE(SUBSTITUTE(SUBSTITUTE(SUBSTITUTE(SUBSTITUTE(SUBSTITUTE(SUBSTITUTE(SUBSTITUTE(SUBSTITUTE(SUBSTITUTE(SUBSTITUTE(SUBSTITUTE(SUBSTITUTE(SUBSTITUTE(LOWER(W85&amp;""),CHAR(10),""),CHAR(13),""),CHAR(9),""),CHAR(160),"")," ",""),".",""),"-",""),"/",""),"?",""),"_",""),",",""),"[",""),"]",""),"(",""),")",""),"*","")</f>
        <v/>
      </c>
      <c r="AZ85" s="61" t="str">
        <f aca="false">SUBSTITUTE(SUBSTITUTE(SUBSTITUTE(SUBSTITUTE(SUBSTITUTE(SUBSTITUTE(SUBSTITUTE(SUBSTITUTE(SUBSTITUTE(SUBSTITUTE(SUBSTITUTE(SUBSTITUTE(SUBSTITUTE(SUBSTITUTE(SUBSTITUTE(SUBSTITUTE(LOWER(AC85&amp;""),CHAR(10),""),CHAR(13),""),CHAR(9),""),CHAR(160),"")," ",""),".",""),"-",""),"/",""),"?",""),"_",""),",",""),"[",""),"]",""),"(",""),")",""),"*","")</f>
        <v/>
      </c>
      <c r="BA85" s="61" t="str">
        <f aca="false">SUBSTITUTE(SUBSTITUTE(SUBSTITUTE(SUBSTITUTE(SUBSTITUTE(SUBSTITUTE(SUBSTITUTE(SUBSTITUTE(SUBSTITUTE(SUBSTITUTE(SUBSTITUTE(SUBSTITUTE(SUBSTITUTE(SUBSTITUTE(SUBSTITUTE(SUBSTITUTE(LOWER(AA85&amp;""),CHAR(10),""),CHAR(13),""),CHAR(9),""),CHAR(160),"")," ",""),".",""),"-",""),"/",""),"?",""),"_",""),",",""),"[",""),"]",""),"(",""),")",""),"*","")</f>
        <v/>
      </c>
      <c r="BB85" s="61" t="str">
        <f aca="false">IF(AND(TRIM(U85)="Pass",ISNUMBER(AF85)),IF(AF85&lt;&gt;0,"INVALID – qty variance: use Fail or Pass after CA",""),"")&amp;IF(AND(TRIM(U85)="Pass after CA",ISNUMBER(AF85)),IF(AF85&lt;&gt;0,"INVALID – after the corrective action the actual qty must equal expected (update Actual)",""),"")&amp;IF(AND(TRIM(U85)="Pass",TRIM(AB85)&lt;&gt;"",TRIM(AB85)&lt;&gt;"Closed"),"INVALID – corrective action not closed: use Fail, then Pass after CA","")&amp;IF(AND(LEN(BA85)&gt;=2,ISNA(MATCH(LEFT(BA85,255),L_Placeholder,0)),TRIM(AB85)=""),"INVALID – CA status missing for the recorded corrective action","")&amp;IF(AND(TRIM(U85)="Pass after CA",OR(OR(LEN(BA85)&lt;5,ISNUMBER(MATCH(BA85,L_Placeholder,0))),TRIM(AB85)&lt;&gt;"Closed")),"INVALID – corrective action not recorded/closed","")</f>
        <v/>
      </c>
      <c r="BC85" s="61" t="str">
        <f aca="false">" "&amp;TRIM(SUBSTITUTE(SUBSTITUTE(SUBSTITUTE(SUBSTITUTE(SUBSTITUTE(SUBSTITUTE(SUBSTITUTE(SUBSTITUTE(SUBSTITUTE(SUBSTITUTE(SUBSTITUTE(SUBSTITUTE(SUBSTITUTE(SUBSTITUTE(SUBSTITUTE(SUBSTITUTE(SUBSTITUTE(SUBSTITUTE(SUBSTITUTE(SUBSTITUTE(SUBSTITUTE(SUBSTITUTE(SUBSTITUTE(SUBSTITUTE(LOWER(V85&amp;""),CHAR(10)," "),CHAR(13)," "),CHAR(9)," "),CHAR(160)," "),"."," "),","," "),"-"," "),"/"," "),"("," "),")"," "),":"," "),";"," "),"_"," "),"–"," "),"?"," "),"!"," "),"*"," "),"["," "),"]"," "),"'"," "),"#"," "),"+"," "),"&amp;"," "),"\"," "))&amp;" "</f>
        <v>  </v>
      </c>
      <c r="BD85" s="61" t="str">
        <f aca="false">" "&amp;TRIM(SUBSTITUTE(SUBSTITUTE(SUBSTITUTE(SUBSTITUTE(SUBSTITUTE(SUBSTITUTE(SUBSTITUTE(SUBSTITUTE(SUBSTITUTE(SUBSTITUTE(SUBSTITUTE(SUBSTITUTE(SUBSTITUTE(SUBSTITUTE(SUBSTITUTE(SUBSTITUTE(SUBSTITUTE(SUBSTITUTE(SUBSTITUTE(SUBSTITUTE(SUBSTITUTE(SUBSTITUTE(SUBSTITUTE(SUBSTITUTE(LOWER(Z85&amp;""),CHAR(10)," "),CHAR(13)," "),CHAR(9)," "),CHAR(160)," "),"."," "),","," "),"-"," "),"/"," "),"("," "),")"," "),":"," "),";"," "),"_"," "),"–"," "),"?"," "),"!"," "),"*"," "),"["," "),"]"," "),"'"," "),"#"," "),"+"," "),"&amp;"," "),"\"," "))&amp;" "</f>
        <v>  </v>
      </c>
      <c r="BE85" s="61" t="str">
        <f aca="false">" "&amp;TRIM(SUBSTITUTE(SUBSTITUTE(SUBSTITUTE(SUBSTITUTE(SUBSTITUTE(SUBSTITUTE(SUBSTITUTE(SUBSTITUTE(SUBSTITUTE(SUBSTITUTE(SUBSTITUTE(SUBSTITUTE(SUBSTITUTE(SUBSTITUTE(SUBSTITUTE(SUBSTITUTE(SUBSTITUTE(SUBSTITUTE(SUBSTITUTE(SUBSTITUTE(SUBSTITUTE(SUBSTITUTE(SUBSTITUTE(SUBSTITUTE(LOWER(W85&amp;""),CHAR(10)," "),CHAR(13)," "),CHAR(9)," "),CHAR(160)," "),"."," "),","," "),"-"," "),"/"," "),"("," "),")"," "),":"," "),";"," "),"_"," "),"–"," "),"?"," "),"!"," "),"*"," "),"["," "),"]"," "),"'"," "),"#"," "),"+"," "),"&amp;"," "),"\"," "))&amp;" "</f>
        <v>  </v>
      </c>
      <c r="BF85" s="61" t="str">
        <f aca="false">" "&amp;TRIM(SUBSTITUTE(SUBSTITUTE(SUBSTITUTE(SUBSTITUTE(SUBSTITUTE(SUBSTITUTE(SUBSTITUTE(SUBSTITUTE(SUBSTITUTE(SUBSTITUTE(SUBSTITUTE(SUBSTITUTE(SUBSTITUTE(SUBSTITUTE(SUBSTITUTE(SUBSTITUTE(SUBSTITUTE(SUBSTITUTE(SUBSTITUTE(SUBSTITUTE(SUBSTITUTE(SUBSTITUTE(SUBSTITUTE(SUBSTITUTE(LOWER(AC85&amp;""),CHAR(10)," "),CHAR(13)," "),CHAR(9)," "),CHAR(160)," "),"."," "),","," "),"-"," "),"/"," "),"("," "),")"," "),":"," "),";"," "),"_"," "),"–"," "),"?"," "),"!"," "),"*"," "),"["," "),"]"," "),"'"," "),"#"," "),"+"," "),"&amp;"," "),"\"," "))&amp;" "</f>
        <v>  </v>
      </c>
      <c r="BG85" s="61" t="n">
        <f aca="false">IFERROR(IF(AND(TRIM(U85)="Pass",SUMPRODUCT((LEN(BC85)-LEN(SUBSTITUTE(BC85," "&amp;L_ResultBad&amp;" "," ")))/(LEN(L_ResultBad)+1))&gt;SUMPRODUCT((LEN(BC85)-LEN(SUBSTITUTE(BC85," "&amp;L_NegPhrase&amp;" "," ")))/(LEN(L_NegPhrase)+1))),1,0),0)</f>
        <v>0</v>
      </c>
      <c r="BH85" s="61" t="n">
        <f aca="false">IFERROR(IF(SUMPRODUCT((LEN(BC85)-LEN(SUBSTITUTE(BC85," "&amp;L_Pending&amp;" "," ")))/(LEN(L_Pending)+1))&gt;SUMPRODUCT((LEN(BC85)-LEN(SUBSTITUTE(BC85," "&amp;L_PendNeg&amp;" "," ")))/(LEN(L_PendNeg)+1))+SUMPRODUCT((LEN(BC85)-LEN(SUBSTITUTE(BC85," "&amp;L_PendPrep&amp;" "," ")))/(LEN(L_PendPrep)+1)),1,0),1)</f>
        <v>0</v>
      </c>
      <c r="BI85" s="61" t="n">
        <f aca="false">IFERROR(IF(SUMPRODUCT((LEN(BD85)-LEN(SUBSTITUTE(BD85," "&amp;L_PendStrict&amp;" "," ")))/(LEN(L_PendStrict)+1))&gt;SUMPRODUCT((LEN(BD85)-LEN(SUBSTITUTE(BD85," "&amp;L_PendNeg&amp;" "," ")))/(LEN(L_PendNeg)+1)),1,0),1)</f>
        <v>0</v>
      </c>
      <c r="BJ85" s="61" t="n">
        <f aca="false">IFERROR(IF(SUMPRODUCT((LEN(BE85)-LEN(SUBSTITUTE(BE85," "&amp;L_Pending&amp;" "," ")))/(LEN(L_Pending)+1))&gt;SUMPRODUCT((LEN(BE85)-LEN(SUBSTITUTE(BE85," "&amp;L_PendNeg&amp;" "," ")))/(LEN(L_PendNeg)+1))+SUMPRODUCT((LEN(BE85)-LEN(SUBSTITUTE(BE85," "&amp;L_PendPrep&amp;" "," ")))/(LEN(L_PendPrep)+1)),1,0),1)</f>
        <v>0</v>
      </c>
      <c r="BK85" s="61" t="n">
        <f aca="false">IFERROR(IF(SUMPRODUCT((LEN(BF85)-LEN(SUBSTITUTE(BF85," "&amp;L_PendStrict&amp;" "," ")))/(LEN(L_PendStrict)+1))&gt;SUMPRODUCT((LEN(BF85)-LEN(SUBSTITUTE(BF85," "&amp;L_PendNeg&amp;" "," ")))/(LEN(L_PendNeg)+1)),1,0),1)</f>
        <v>0</v>
      </c>
      <c r="BL85" s="61" t="n">
        <f aca="false">IF(ISNA(MATCH(TRIM(S85),L_EvidenceType,0)),0,BZ85)</f>
        <v>0</v>
      </c>
      <c r="BM85" s="61" t="str">
        <f aca="false">SUBSTITUTE(SUBSTITUTE(SUBSTITUTE(SUBSTITUTE(SUBSTITUTE(SUBSTITUTE(SUBSTITUTE(SUBSTITUTE(SUBSTITUTE(LOWER(Z85&amp;""),"1","0"),"2","0"),"3","0"),"4","0"),"5","0"),"6","0"),"7","0"),"8","0"),"9","0")</f>
        <v/>
      </c>
      <c r="BN85" s="61" t="str">
        <f aca="false">SUBSTITUTE(SUBSTITUTE(SUBSTITUTE(SUBSTITUTE(SUBSTITUTE(SUBSTITUTE(SUBSTITUTE(SUBSTITUTE(SUBSTITUTE(SUBSTITUTE(SUBSTITUTE(SUBSTITUTE(SUBSTITUTE(SUBSTITUTE(SUBSTITUTE(SUBSTITUTE(SUBSTITUTE(SUBSTITUTE(SUBSTITUTE(SUBSTITUTE(SUBSTITUTE(SUBSTITUTE(SUBSTITUTE(SUBSTITUTE(SUBSTITUTE(BM85,"b","a"),"c","a"),"d","a"),"e","a"),"f","a"),"g","a"),"h","a"),"i","a"),"j","a"),"k","a"),"l","a"),"m","a"),"n","a"),"o","a"),"p","a"),"q","a"),"r","a"),"s","a"),"t","a"),"u","a"),"v","a"),"w","a"),"x","a"),"y","a"),"z","a")</f>
        <v/>
      </c>
      <c r="BO85" s="61" t="str">
        <f aca="false">SUBSTITUTE(SUBSTITUTE(SUBSTITUTE(SUBSTITUTE(SUBSTITUTE(SUBSTITUTE(SUBSTITUTE(SUBSTITUTE(SUBSTITUTE(LOWER(W85&amp;""),"1","0"),"2","0"),"3","0"),"4","0"),"5","0"),"6","0"),"7","0"),"8","0"),"9","0")</f>
        <v/>
      </c>
      <c r="BP85" s="61" t="str">
        <f aca="false">SUBSTITUTE(SUBSTITUTE(SUBSTITUTE(SUBSTITUTE(SUBSTITUTE(SUBSTITUTE(SUBSTITUTE(SUBSTITUTE(SUBSTITUTE(SUBSTITUTE(SUBSTITUTE(SUBSTITUTE(SUBSTITUTE(SUBSTITUTE(SUBSTITUTE(SUBSTITUTE(SUBSTITUTE(SUBSTITUTE(SUBSTITUTE(SUBSTITUTE(SUBSTITUTE(SUBSTITUTE(SUBSTITUTE(SUBSTITUTE(SUBSTITUTE(BO85,"b","a"),"c","a"),"d","a"),"e","a"),"f","a"),"g","a"),"h","a"),"i","a"),"j","a"),"k","a"),"l","a"),"m","a"),"n","a"),"o","a"),"p","a"),"q","a"),"r","a"),"s","a"),"t","a"),"u","a"),"v","a"),"w","a"),"x","a"),"y","a"),"z","a")</f>
        <v/>
      </c>
      <c r="BQ85" s="61" t="n">
        <f aca="false">IFERROR(IF(AND(ISERROR(SEARCH(" mh"," "&amp;LOWER(W85))),ISNA(MATCH(LEFT(TRIM(BP85),255),{"0000a","000a","00a","0000aa","000aa","00aa","0aa","0000aaa","000aaa","00a00","0a00","0000-0000","00:00","a00","a0","00.00.0000","00/00/0000","00-00-0000","0000-00-00","0000/00/00","0000.00.00","00.00.00","00/00/00","00-00-00","0.00.0000","0/00/0000","0-00-0000"},0)),ISNA(MATCH(LEFT(TRIM(CA85),255),{"0000a","000a","00a","0000aa","000aa","00aa","0aa","0000aaa","000aaa","00a00","0a00","0000-0000","00:00","a00","a0","00.00.0000","00/00/0000","00-00-0000","0000-00-00","0000/00/00","0000.00.00","00.00.00","00/00/00","00-00-00","0.00.0000","0/00/0000","0-00-0000"},0)),LEN(CB85)&gt;=3,NOT(OR(SUBSTITUTE(CB85,"0","")="",AND(LEN(CB85)&gt;=4,CB85=REPT(LEFT(CB85),LEN(CB85))),ISNUMBER(MATCH(CB85,{"123","1234","12345","123456","1234567","12345678","0123","01234","012345","98765","987654","54321"},0)),AND(LEN(CB85)=8,LEFT(CB85,3)="202"))),OR(AND((LEN(CA85)-LEN(SUBSTITUTE(CA85,"a","")))&gt;=1,SUMPRODUCT(--ISNUMBER(SEARCH({"a0","a-0","a_0","a/0","a.0","a#0","0a","0-a","0_a","0/a"},BP85)))&gt;0),ISNUMBER(SEARCH("000000",BP85)))),1,0),0)</f>
        <v>0</v>
      </c>
      <c r="BR85" s="61" t="n">
        <f aca="false">IFERROR(LEN(SUBSTITUTE(CC85," ",""))-SUMPRODUCT((LEN(CC85)-LEN(SUBSTITUTE(CC85," "&amp;L_Role&amp;" "," ")))/(LEN(L_Role)+1)*LEN(L_Role)),0)</f>
        <v>0</v>
      </c>
      <c r="BS85" s="61" t="n">
        <f aca="false">IFERROR(LEN(SUBSTITUTE(CD85," ",""))-SUMPRODUCT((LEN(CD85)-LEN(SUBSTITUTE(CD85," "&amp;L_Role&amp;" "," ")))/(LEN(L_Role)+1)*LEN(L_Role)),0)</f>
        <v>0</v>
      </c>
      <c r="BT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85,"revision",""),"version",""),"jan",""),"feb",""),"mar",""),"apr",""),"may",""),"jun",""),"jul",""),"aug",""),"sep",""),"oct",""),"nov",""),"dec",""),"utc",""),"gmt",""),"myt",""),"bst",""),"rev",""),"ver",""),"b","a"),"c","a"),"d","a"),"e","a"),"f","a"),"g","a"),"h","a"),"i","a"),"j","a"),"k","a"),"l","a"),"m","a"),"n","a"),"o","a"),"p","a"),"q","a"),"r","a"),"s","a"),"t","a"),"u","a"),"v","a"),"w","a"),"x","a"),"y","a"),"z","a")</f>
        <v/>
      </c>
      <c r="BU85" s="61" t="str">
        <f aca="false">SUBSTITUTE(SUBSTITUTE(SUBSTITUTE(SUBSTITUTE(SUBSTITUTE(SUBSTITUTE(SUBSTITUTE(SUBSTITUTE(SUBSTITUTE(SUBSTITUTE(LEFT(BM85,FIND("0",BM85&amp;"0")-1),"-",""),"_",""),"/",""),".",""),"#",""),"\\",""),":","")," ",""),"(",""),")","")</f>
        <v/>
      </c>
      <c r="BV85" s="61" t="n">
        <f aca="false">0</f>
        <v>0</v>
      </c>
      <c r="BW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85&amp;""),"a",""),"b",""),"c",""),"d",""),"e",""),"f",""),"g",""),"h",""),"i",""),"j",""),"k",""),"l",""),"m",""),"n",""),"o",""),"p",""),"q",""),"r",""),"s",""),"t",""),"u",""),"v",""),"w",""),"x",""),"y",""),"z",""),"-",""),"_",""),"/",""),".",""),"#",""),"\\",""),":","")," ",""),"(",""),")","")</f>
        <v/>
      </c>
      <c r="BX85" s="61" t="str">
        <f aca="false">SUBSTITUTE(SUBSTITUTE(SUBSTITUTE(SUBSTITUTE(SUBSTITUTE(SUBSTITUTE(SUBSTITUTE(SUBSTITUTE(SUBSTITUTE(SUBSTITUTE(SUBSTITUTE(BM85,"0",""),"-",""),"_",""),"/",""),".",""),"#",""),"\\",""),":","")," ",""),"(",""),")","")</f>
        <v/>
      </c>
      <c r="BY85" s="62" t="n">
        <f aca="false">Q85-T12EarlyH/24</f>
        <v>46304.3784722222</v>
      </c>
      <c r="BZ85" s="61" t="n">
        <f aca="false">IFERROR(IF(IF(TRIM(S85)="Link / file path",AND(LEN(TRIM(Z85))&gt;=5,SUMPRODUCT(--ISNUMBER(SEARCH({"http","www.","\\",":\",".pdf",".jpg",".jpeg",".png",".heic",".xls",".doc",".msg",".eml",".ppt",".txt",".zip"},Z85)))&gt;0),AND(ISERROR(FIND(" ",TRIM(Z85))),NOT(OR(SUMPRODUCT(--ISNUMBER(FIND({",",";","&amp;","+"},Z85)))&gt;0,SUMPRODUCT(--ISNUMBER(SEARCH({"0/aa","0\\aa"},BN85)))&gt;0)),NOT(SUMPRODUCT(--ISNUMBER(SEARCH({"http","www.","\\",":\",".pdf",".jpg",".jpeg",".png",".heic",".xls",".doc",".msg",".eml",".ppt",".txt",".zip"},Z85)))&gt;0),NOT(LOWER(TRIM(Z85))=LOWER(Flights!$F$7)),ISNA(MATCH(BU85,{"mh","rev","revision","ver","version","v","r","a","b","seat","tray","row","gate","bay","stand","page","pg","item","line","no","cart","galley","flight","flt","table","box","bag","oven","etd","eta","std","sta","atd","ata","qty","pax","x","time","tel","ph","mob","day","wk","week","utc","gmt","myt","lt"},0)),NOT(OR(ISNUMBER(MATCH(LEFT(BN85,255),{"0000a","000a","00a","0000aa","000aa","00aa","0aa","0000aaa","000aaa","00a00","0a00","0000-0000","00:00","a00","a0","00.00.0000","00/00/0000","00-00-0000","0000-00-00","0000/00/00","0000.00.00","00.00.00","00/00/00","00-00-00","0.00.0000","0/00/0000","0-00-0000"},0)),ISNUMBER(MATCH(LEFT(BT85,255),{"0000a","000a","00a","0000aa","000aa","00aa","0aa","0000aaa","000aaa","00a00","0a00","0000-0000","00:00","a00","a0","00.00.0000","00/00/0000","00-00-0000","0000-00-00","0000/00/00","0000.00.00","00.00.00","00/00/00","00-00-00","0.00.0000","0/00/0000","0-00-0000"},0)))),NOT(OR(AND(BW85&lt;&gt;"",SUBSTITUTE(BW85,"0","")=""),AND(LEN(BW85)&gt;=4,BW85=REPT(LEFT(BW85),LEN(BW85))),ISNUMBER(MATCH(BW85,{"123","1234","12345","123456","1234567","12345678","0123","01234","012345","98765","987654","54321"},0)),ISNUMBER(MATCH(BX85,{"x","xx","xxx","xxxx","xxxxx","abc","abcd","nil","na","nan","test","tbc","tba","tbd","dummy","sample","example","eg","zz","zzz","none","null","xyz","qwe","asd","id","ref"},0)),AND(LEN(BW85)=8,BX85="",OR(LEFT(BW85,3)="202",ISNUMBER(MATCH(RIGHT(BW85,4),{"2025","2026","2027"},0)))))),OR(AND((LEN(BT85)-LEN(SUBSTITUTE(BT85,"a","")))&gt;=1,(LEN(BN85)-LEN(SUBSTITUTE(BN85,"0","")))&gt;=2,SUMPRODUCT(--ISNUMBER(SEARCH({"a0","a-0","a_0","a/0","a.0","a#0","0a","0-a","0_a","0/a"},BN85)))&gt;0),AND((LEN(BN85)-LEN(SUBSTITUTE(BN85,"a","")))=0,(LEN(BN85)-LEN(SUBSTITUTE(BN85,"0","")))&gt;=5)))),1,0),0)</f>
        <v>0</v>
      </c>
      <c r="CA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85,"revision",""),"version",""),"jan",""),"feb",""),"mar",""),"apr",""),"may",""),"jun",""),"jul",""),"aug",""),"sep",""),"oct",""),"nov",""),"dec",""),"utc",""),"gmt",""),"myt",""),"bst",""),"rev",""),"ver",""),"b","a"),"c","a"),"d","a"),"e","a"),"f","a"),"g","a"),"h","a"),"i","a"),"j","a"),"k","a"),"l","a"),"m","a"),"n","a"),"o","a"),"p","a"),"q","a"),"r","a"),"s","a"),"t","a"),"u","a"),"v","a"),"w","a"),"x","a"),"y","a"),"z","a")</f>
        <v/>
      </c>
      <c r="CB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85&amp;""),"a",""),"b",""),"c",""),"d",""),"e",""),"f",""),"g",""),"h",""),"i",""),"j",""),"k",""),"l",""),"m",""),"n",""),"o",""),"p",""),"q",""),"r",""),"s",""),"t",""),"u",""),"v",""),"w",""),"x",""),"y",""),"z",""),"-",""),"_",""),"/",""),".",""),"#",""),"\\",""),":","")," ",""),"(",""),")","")</f>
        <v/>
      </c>
      <c r="CC85" s="0" t="str">
        <f aca="false">" "&amp;TRIM(SUBSTITUTE(SUBSTITUTE(SUBSTITUTE(SUBSTITUTE(SUBSTITUTE(SUBSTITUTE(SUBSTITUTE(SUBSTITUTE(SUBSTITUTE(SUBSTITUTE(SUBSTITUTE(SUBSTITUTE(SUBSTITUTE(SUBSTITUTE(SUBSTITUTE(SUBSTITUTE(SUBSTITUTE(SUBSTITUTE(SUBSTITUTE(SUBSTITUTE(SUBSTITUTE(SUBSTITUTE(SUBSTITUTE(SUBSTITUTE(LOWER(T85&amp;""),CHAR(10)," "),CHAR(13)," "),CHAR(9)," "),CHAR(160)," "),"."," "),","," "),"-"," "),"/"," "),"("," "),")"," "),":"," "),";"," "),"_"," "),"–"," "),"?"," "),"!"," "),"*"," "),"["," "),"]"," "),"'"," "),"#"," "),"+"," "),"&amp;"," "),"\"," "))&amp;" "</f>
        <v>  </v>
      </c>
      <c r="CD85" s="0" t="str">
        <f aca="false">" "&amp;TRIM(SUBSTITUTE(SUBSTITUTE(SUBSTITUTE(SUBSTITUTE(SUBSTITUTE(SUBSTITUTE(SUBSTITUTE(SUBSTITUTE(SUBSTITUTE(SUBSTITUTE(SUBSTITUTE(SUBSTITUTE(SUBSTITUTE(SUBSTITUTE(SUBSTITUTE(SUBSTITUTE(SUBSTITUTE(SUBSTITUTE(SUBSTITUTE(SUBSTITUTE(SUBSTITUTE(SUBSTITUTE(SUBSTITUTE(SUBSTITUTE(LOWER(AE85&amp;""),CHAR(10)," "),CHAR(13)," "),CHAR(9)," "),CHAR(160)," "),"."," "),","," "),"-"," "),"/"," "),"("," "),")"," "),":"," "),";"," "),"_"," "),"–"," "),"?"," "),"!"," "),"*"," "),"["," "),"]"," "),"'"," "),"#"," "),"+"," "),"&amp;"," "),"\"," "))&amp;" "</f>
        <v>  </v>
      </c>
      <c r="CE85" s="68" t="n">
        <f aca="false">IFERROR(IF(AND(LEN(AU85)&gt;0,LEN(AU85)=LEN(AX85),OR(TRIM(MID(SUBSTITUTE(TRIM(CC85)," ",REPT(" ",60)),1,60))="",ISNUMBER(SEARCH(" "&amp;TRIM(MID(SUBSTITUTE(TRIM(CC85)," ",REPT(" ",60)),1,60))&amp;" ",CD85))),OR(TRIM(MID(SUBSTITUTE(TRIM(CC85)," ",REPT(" ",60)),61,60))="",ISNUMBER(SEARCH(" "&amp;TRIM(MID(SUBSTITUTE(TRIM(CC85)," ",REPT(" ",60)),61,60))&amp;" ",CD85))),OR(TRIM(MID(SUBSTITUTE(TRIM(CC85)," ",REPT(" ",60)),121,60))="",ISNUMBER(SEARCH(" "&amp;TRIM(MID(SUBSTITUTE(TRIM(CC85)," ",REPT(" ",60)),121,60))&amp;" ",CD85)))),1,0),0)</f>
        <v>0</v>
      </c>
      <c r="CG85" s="68" t="n">
        <f aca="false">IFERROR(LEN(SUBSTITUTE(BF85," ",""))-SUMPRODUCT((LEN(BF85)-LEN(SUBSTITUTE(BF85," "&amp;L_NAFiller&amp;" "," ")))/(LEN(L_NAFiller)+1)*LEN(L_NAFiller)),0)</f>
        <v>0</v>
      </c>
    </row>
    <row r="86" customFormat="false" ht="41.25" hidden="false" customHeight="true" outlineLevel="0" collapsed="false">
      <c r="A86" s="57" t="s">
        <v>575</v>
      </c>
      <c r="B86" s="57" t="s">
        <v>212</v>
      </c>
      <c r="C86" s="57" t="str">
        <f aca="false">Flights!$F$7</f>
        <v>MH0720</v>
      </c>
      <c r="D86" s="58" t="n">
        <f aca="false">Flights!$D$7</f>
        <v>46305</v>
      </c>
      <c r="E86" s="57" t="str">
        <f aca="false">Flights!$G$7&amp;"-"&amp;Flights!$H$7</f>
        <v>CGK-KUL</v>
      </c>
      <c r="F86" s="57" t="str">
        <f aca="false">Flights!$K$7</f>
        <v>EY</v>
      </c>
      <c r="G86" s="57" t="s">
        <v>420</v>
      </c>
      <c r="H86" s="57" t="s">
        <v>378</v>
      </c>
      <c r="I86" s="57" t="s">
        <v>447</v>
      </c>
      <c r="J86" s="57" t="s">
        <v>448</v>
      </c>
      <c r="K86" s="67" t="s">
        <v>449</v>
      </c>
      <c r="L86" s="67" t="s">
        <v>576</v>
      </c>
      <c r="M86" s="67" t="s">
        <v>451</v>
      </c>
      <c r="N86" s="67" t="s">
        <v>383</v>
      </c>
      <c r="O86" s="67" t="s">
        <v>577</v>
      </c>
      <c r="P86" s="57" t="s">
        <v>201</v>
      </c>
      <c r="Q86" s="59" t="n">
        <f aca="false">ROUND((Flights!$AE$7)*1440,0)/1440</f>
        <v>46304.8784722222</v>
      </c>
      <c r="R86" s="59" t="n">
        <f aca="false">Q86+(IF(AND(INDEX(TZ_DSTS,MATCH(P86,TZ_STN,0))&lt;&gt;"",Q86&gt;=INDEX(TZ_DSTS,MATCH(P86,TZ_STN,0)),Q86&lt;INDEX(TZ_DSTE,MATCH(P86,TZ_STN,0))),INDEX(TZ_DST,MATCH(P86,TZ_STN,0)),INDEX(TZ_STD,MATCH(P86,TZ_STN,0))))/24</f>
        <v>46305.1701388889</v>
      </c>
      <c r="S86" s="60"/>
      <c r="T86" s="60"/>
      <c r="U86" s="60"/>
      <c r="V86" s="60"/>
      <c r="W86" s="61"/>
      <c r="X86" s="60"/>
      <c r="Y86" s="60"/>
      <c r="Z86" s="60"/>
      <c r="AA86" s="60"/>
      <c r="AB86" s="60"/>
      <c r="AC86" s="60"/>
      <c r="AD86" s="66"/>
      <c r="AE86" s="60"/>
      <c r="AF86" s="61" t="str">
        <f aca="false">IF(AND(ISNUMBER(X86),ISNUMBER(Y86)),Y86-X86,"")</f>
        <v/>
      </c>
      <c r="AG86" s="62" t="str">
        <f aca="false">IF(ISNUMBER(AD86),AD86-(IF(AND(INDEX(TZ_DSTS,MATCH(P86,TZ_STN,0))&lt;&gt;"",(AD86-INDEX(TZ_STD,MATCH(P86,TZ_STN,0))/24)&gt;=INDEX(TZ_DSTS,MATCH(P86,TZ_STN,0)),(AD86-INDEX(TZ_STD,MATCH(P86,TZ_STN,0))/24)&lt;INDEX(TZ_DSTE,MATCH(P86,TZ_STN,0))),INDEX(TZ_DST,MATCH(P86,TZ_STN,0)),INDEX(TZ_STD,MATCH(P86,TZ_STN,0))))/24,"")</f>
        <v/>
      </c>
      <c r="AH86" s="65" t="str">
        <f aca="false">IFERROR(IF(N86="N/A – rule",IF(OR(TRIM(U86)="",TRIM(U86)="N/A",TRIM(U86)="Not started"),"N/A – RULE","INVALID – this check does not apply to this aircraft: clear the status (or correct the fleet on Flights)"),IF(TRIM(U86)="N/A",IF(AT86=0,"INVALID – N/A not permitted for this check",IF(AND(TRIM(AB86)&lt;&gt;"",TRIM(AB86)&lt;&gt;"Closed"),"INVALID – corrective action still open",IF(AND(NOT(OR(LEN(AZ86)&lt;15,ISNUMBER(MATCH(AZ86,L_Placeholder,0)))),BK86=0,CG86&gt;=8,NOT(OR(LEN(AU86)&lt;2,ISNUMBER(MATCH(AU86,L_Placeholder,0)))),BR86&gt;=3,NOT(OR(LEN(AX86)&lt;2,ISNUMBER(MATCH(AX86,L_Placeholder,0)))),BS86&gt;=3,TRIM(AE86)&lt;&gt;TRIM(T86),AX86&lt;&gt;AU86,CE86=0),"N/A – JUSTIFIED","INVALID – N/A needs a real, settled reason (not 'not applicable' / 'as above' / TBC), a named PIC and a different named verifier"))),IF(OR(TRIM(U86)="Pass",TRIM(U86)="Pass after CA"),IF(NOT(ISNUMBER(AD86)),"INVALID – completion time missing",IF(OR(OR(LEN(AU86)&lt;2,ISNUMBER(MATCH(AU86,L_Placeholder,0))),BR86&lt;3),"INVALID – PIC missing or not a named person (a role such as QA / CSM is not a name)",IF(OR(LEN(AV86)&lt;2,ISNUMBER(MATCH(AV86,L_Placeholder,0))),"INVALID – result / assessment missing",IF(OR(OR(LEN(AW86)&lt;3,ISNUMBER(MATCH(AW86,L_Placeholder,0))),SUMPRODUCT(--ISNUMBER(SEARCH(" "&amp;L_EvidencePhrase&amp;" ",BD86)))&gt;0,BI86=1),"INVALID – evidence missing, placeholder or not yet on file",IF(ISNA(MATCH(TRIM(S86),L_EvidenceType,0)),"INVALID – choose the evidence type from the list (column S)",IF(BL86=0,"INVALID – evidence ID must be the record's own ID only (e.g. SF-2210, IMG_2231, 1045521); a link / file name needs type 'Link / file path'",IF(OR(OR(LEN(AX86)&lt;2,ISNUMBER(MATCH(AX86,L_Placeholder,0))),BS86&lt;3),"INVALID – verifier missing or not a named person (a role such as QA / CSM is not a name)",IF(OR(AX86=AU86,CE86=1,AND(LEN(AU86)&gt;=4,ISNUMBER(SEARCH(AU86,AX86))),AND(LEN(AX86)&gt;=4,ISNUMBER(SEARCH(AX86,AU86)))),"INVALID – verifier must be a different, named person (not the PIC or a role)",IF(BH86=1,"INVALID – result not yet available (awaiting / TBC)",IF(BG86=1,"INVALID – result describes a problem: record Fail, then Pass after CA (or reword if it is not a problem)",IF(BV86=1,"INVALID – wording says not on board: an on-board confirmation needs the item loaded",IF(AND(AQ86=1,OR(OR(LEN(AY86)&lt;3,ISNUMBER(MATCH(AY86,L_Placeholder,0))),BJ86=1,BQ86=0)),"INVALID – batch ID missing, placeholder or not an ID (e.g. PASB-261008-BC-017)",IF(AND(AR86=1,OR(NOT(ISNUMBER(X86)),NOT(ISNUMBER(Y86)))),"INVALID – expected/actual qty missing",IF(AND(AR86=1,OR(X86&lt;=0,Y86&lt;0)),"INVALID – expected qty must be above 0 and actual not negative",IF(BB86&lt;&gt;"",BB86,IF(AND(AS86=1,Documents!$J$7&lt;&gt;"ON FILE"),"INVALID – GLD not on file (Documents sheet)",IF(AND(AS86=2,Documents!$O$7&lt;&gt;"ON FILE"),"INVALID – menu checklist not on file (Documents sheet)",IF(AND(AS86=3,NOT(ISNUMBER(Flights!$AX$7))),"INVALID – enter carrying flight KUL departure (Flights AX)",IF(AND(AS86=3,OR(Flights!$AZ$7&gt;Flights!$AA$7,Flights!$AX$7&lt;Flights!$AA$7-3)),"INVALID – carrying flight (Flights AX) cannot arrive before this leg's STD, or is over 3 days early",IF(AG86&gt;AsOfUTC,"INVALID – completion time is in the future",IF(AND(ISNUMBER(BY86),AG86&lt;BY86),IF(H86="Physical uplift","INVALID – before uplift window (cannot confirm loading)","INVALID – before valid window"),IF(AG86&gt;Flights!$AA$7,"INVALID – completed after departure (cannot establish readiness)",IF(AND(H86="Preparation",AG86&gt;=IF(ISNUMBER(Flights!$BA$7),MIN(Flights!$BA$7,Flights!$AA$7),Flights!$AA$7)),"INVALID – completed after loading / departure (cannot establish readiness)",IF(AND(H86="Physical uplift",AG86&gt;Q86),"INVALID – recorded after the loading flight departed",IF(AG86&gt;Q86,"COMPLETE – LATE","COMPLETE"))))))))))))))))))))))))),IF(TRIM(U86)="Fail","FAIL – DISCREPANCY",IF(AND(TRIM(U86)&lt;&gt;"",TRIM(U86)&lt;&gt;"Not started",TRIM(U86)&lt;&gt;"In progress"),"INVALID – unrecognised status (use the list)",IF(AsOfUTC&gt;Q86,"OVERDUE",IF(N86="Clarification required","OPEN – CLARIFICATION","OPEN"))))))),"INVALID – error value in an input cell")</f>
        <v>OPEN</v>
      </c>
      <c r="AI86" s="61" t="n">
        <f aca="false">IF(OR(AH86="N/A – RULE",AH86="N/A – JUSTIFIED"),0,1)</f>
        <v>1</v>
      </c>
      <c r="AJ86" s="61" t="n">
        <f aca="false">IF(LEFT(AH86,8)="COMPLETE",1,0)</f>
        <v>0</v>
      </c>
      <c r="AK86" s="61" t="n">
        <f aca="false">IF(AND(AI86=1,AJ86=0,AsOfUTC&gt;Q86),1,0)</f>
        <v>0</v>
      </c>
      <c r="AL86" s="61" t="n">
        <f aca="false">IFERROR(IF(AND(AI86=1,OR(TRIM(U86)="Fail",AND(TRIM(AB86)&lt;&gt;"",TRIM(AB86)&lt;&gt;"Closed"),AND(ISNUMBER(AF86),AF86&lt;&gt;0,TRIM(U86)&lt;&gt;"Pass after CA"))),1,0),1)</f>
        <v>0</v>
      </c>
      <c r="AM86" s="61" t="n">
        <f aca="false">IF(LEFT(AH86,7)="INVALID",1,0)</f>
        <v>0</v>
      </c>
      <c r="AN86" s="61" t="n">
        <f aca="false">IF(AND(N86="Clarification required",AI86=1,AJ86=0),1,0)</f>
        <v>0</v>
      </c>
      <c r="AO86" s="61" t="str">
        <f aca="false">IF(AK86=1,SUM(AK$5:AK86),"")</f>
        <v/>
      </c>
      <c r="AP86" s="61" t="str">
        <f aca="false">IF(AL86=1,SUM(AL$5:AL86),"")</f>
        <v/>
      </c>
      <c r="AQ86" s="61" t="n">
        <v>0</v>
      </c>
      <c r="AR86" s="61" t="n">
        <v>0</v>
      </c>
      <c r="AS86" s="61" t="n">
        <v>0</v>
      </c>
      <c r="AT86" s="61" t="n">
        <v>0</v>
      </c>
      <c r="AU86" s="61" t="str">
        <f aca="false">SUBSTITUTE(SUBSTITUTE(SUBSTITUTE(SUBSTITUTE(SUBSTITUTE(SUBSTITUTE(SUBSTITUTE(SUBSTITUTE(SUBSTITUTE(SUBSTITUTE(SUBSTITUTE(SUBSTITUTE(SUBSTITUTE(SUBSTITUTE(SUBSTITUTE(SUBSTITUTE(LOWER(T86&amp;""),CHAR(10),""),CHAR(13),""),CHAR(9),""),CHAR(160),"")," ",""),".",""),"-",""),"/",""),"?",""),"_",""),",",""),"[",""),"]",""),"(",""),")",""),"*","")</f>
        <v/>
      </c>
      <c r="AV86" s="61" t="str">
        <f aca="false">SUBSTITUTE(SUBSTITUTE(SUBSTITUTE(SUBSTITUTE(SUBSTITUTE(SUBSTITUTE(SUBSTITUTE(SUBSTITUTE(SUBSTITUTE(SUBSTITUTE(SUBSTITUTE(SUBSTITUTE(SUBSTITUTE(SUBSTITUTE(SUBSTITUTE(SUBSTITUTE(LOWER(V86&amp;""),CHAR(10),""),CHAR(13),""),CHAR(9),""),CHAR(160),"")," ",""),".",""),"-",""),"/",""),"?",""),"_",""),",",""),"[",""),"]",""),"(",""),")",""),"*","")</f>
        <v/>
      </c>
      <c r="AW86" s="61" t="str">
        <f aca="false">SUBSTITUTE(SUBSTITUTE(SUBSTITUTE(SUBSTITUTE(SUBSTITUTE(SUBSTITUTE(SUBSTITUTE(SUBSTITUTE(SUBSTITUTE(SUBSTITUTE(SUBSTITUTE(SUBSTITUTE(SUBSTITUTE(SUBSTITUTE(SUBSTITUTE(SUBSTITUTE(LOWER(Z86&amp;""),CHAR(10),""),CHAR(13),""),CHAR(9),""),CHAR(160),"")," ",""),".",""),"-",""),"/",""),"?",""),"_",""),",",""),"[",""),"]",""),"(",""),")",""),"*","")</f>
        <v/>
      </c>
      <c r="AX86" s="61" t="str">
        <f aca="false">SUBSTITUTE(SUBSTITUTE(SUBSTITUTE(SUBSTITUTE(SUBSTITUTE(SUBSTITUTE(SUBSTITUTE(SUBSTITUTE(SUBSTITUTE(SUBSTITUTE(SUBSTITUTE(SUBSTITUTE(SUBSTITUTE(SUBSTITUTE(SUBSTITUTE(SUBSTITUTE(LOWER(AE86&amp;""),CHAR(10),""),CHAR(13),""),CHAR(9),""),CHAR(160),"")," ",""),".",""),"-",""),"/",""),"?",""),"_",""),",",""),"[",""),"]",""),"(",""),")",""),"*","")</f>
        <v/>
      </c>
      <c r="AY86" s="61" t="str">
        <f aca="false">SUBSTITUTE(SUBSTITUTE(SUBSTITUTE(SUBSTITUTE(SUBSTITUTE(SUBSTITUTE(SUBSTITUTE(SUBSTITUTE(SUBSTITUTE(SUBSTITUTE(SUBSTITUTE(SUBSTITUTE(SUBSTITUTE(SUBSTITUTE(SUBSTITUTE(SUBSTITUTE(LOWER(W86&amp;""),CHAR(10),""),CHAR(13),""),CHAR(9),""),CHAR(160),"")," ",""),".",""),"-",""),"/",""),"?",""),"_",""),",",""),"[",""),"]",""),"(",""),")",""),"*","")</f>
        <v/>
      </c>
      <c r="AZ86" s="61" t="str">
        <f aca="false">SUBSTITUTE(SUBSTITUTE(SUBSTITUTE(SUBSTITUTE(SUBSTITUTE(SUBSTITUTE(SUBSTITUTE(SUBSTITUTE(SUBSTITUTE(SUBSTITUTE(SUBSTITUTE(SUBSTITUTE(SUBSTITUTE(SUBSTITUTE(SUBSTITUTE(SUBSTITUTE(LOWER(AC86&amp;""),CHAR(10),""),CHAR(13),""),CHAR(9),""),CHAR(160),"")," ",""),".",""),"-",""),"/",""),"?",""),"_",""),",",""),"[",""),"]",""),"(",""),")",""),"*","")</f>
        <v/>
      </c>
      <c r="BA86" s="61" t="str">
        <f aca="false">SUBSTITUTE(SUBSTITUTE(SUBSTITUTE(SUBSTITUTE(SUBSTITUTE(SUBSTITUTE(SUBSTITUTE(SUBSTITUTE(SUBSTITUTE(SUBSTITUTE(SUBSTITUTE(SUBSTITUTE(SUBSTITUTE(SUBSTITUTE(SUBSTITUTE(SUBSTITUTE(LOWER(AA86&amp;""),CHAR(10),""),CHAR(13),""),CHAR(9),""),CHAR(160),"")," ",""),".",""),"-",""),"/",""),"?",""),"_",""),",",""),"[",""),"]",""),"(",""),")",""),"*","")</f>
        <v/>
      </c>
      <c r="BB86" s="61" t="str">
        <f aca="false">IF(AND(TRIM(U86)="Pass",ISNUMBER(AF86)),IF(AF86&lt;&gt;0,"INVALID – qty variance: use Fail or Pass after CA",""),"")&amp;IF(AND(TRIM(U86)="Pass after CA",ISNUMBER(AF86)),IF(AF86&lt;&gt;0,"INVALID – after the corrective action the actual qty must equal expected (update Actual)",""),"")&amp;IF(AND(TRIM(U86)="Pass",TRIM(AB86)&lt;&gt;"",TRIM(AB86)&lt;&gt;"Closed"),"INVALID – corrective action not closed: use Fail, then Pass after CA","")&amp;IF(AND(LEN(BA86)&gt;=2,ISNA(MATCH(LEFT(BA86,255),L_Placeholder,0)),TRIM(AB86)=""),"INVALID – CA status missing for the recorded corrective action","")&amp;IF(AND(TRIM(U86)="Pass after CA",OR(OR(LEN(BA86)&lt;5,ISNUMBER(MATCH(BA86,L_Placeholder,0))),TRIM(AB86)&lt;&gt;"Closed")),"INVALID – corrective action not recorded/closed","")</f>
        <v/>
      </c>
      <c r="BC86" s="61" t="str">
        <f aca="false">" "&amp;TRIM(SUBSTITUTE(SUBSTITUTE(SUBSTITUTE(SUBSTITUTE(SUBSTITUTE(SUBSTITUTE(SUBSTITUTE(SUBSTITUTE(SUBSTITUTE(SUBSTITUTE(SUBSTITUTE(SUBSTITUTE(SUBSTITUTE(SUBSTITUTE(SUBSTITUTE(SUBSTITUTE(SUBSTITUTE(SUBSTITUTE(SUBSTITUTE(SUBSTITUTE(SUBSTITUTE(SUBSTITUTE(SUBSTITUTE(SUBSTITUTE(LOWER(V86&amp;""),CHAR(10)," "),CHAR(13)," "),CHAR(9)," "),CHAR(160)," "),"."," "),","," "),"-"," "),"/"," "),"("," "),")"," "),":"," "),";"," "),"_"," "),"–"," "),"?"," "),"!"," "),"*"," "),"["," "),"]"," "),"'"," "),"#"," "),"+"," "),"&amp;"," "),"\"," "))&amp;" "</f>
        <v>  </v>
      </c>
      <c r="BD86" s="61" t="str">
        <f aca="false">" "&amp;TRIM(SUBSTITUTE(SUBSTITUTE(SUBSTITUTE(SUBSTITUTE(SUBSTITUTE(SUBSTITUTE(SUBSTITUTE(SUBSTITUTE(SUBSTITUTE(SUBSTITUTE(SUBSTITUTE(SUBSTITUTE(SUBSTITUTE(SUBSTITUTE(SUBSTITUTE(SUBSTITUTE(SUBSTITUTE(SUBSTITUTE(SUBSTITUTE(SUBSTITUTE(SUBSTITUTE(SUBSTITUTE(SUBSTITUTE(SUBSTITUTE(LOWER(Z86&amp;""),CHAR(10)," "),CHAR(13)," "),CHAR(9)," "),CHAR(160)," "),"."," "),","," "),"-"," "),"/"," "),"("," "),")"," "),":"," "),";"," "),"_"," "),"–"," "),"?"," "),"!"," "),"*"," "),"["," "),"]"," "),"'"," "),"#"," "),"+"," "),"&amp;"," "),"\"," "))&amp;" "</f>
        <v>  </v>
      </c>
      <c r="BE86" s="61" t="str">
        <f aca="false">" "&amp;TRIM(SUBSTITUTE(SUBSTITUTE(SUBSTITUTE(SUBSTITUTE(SUBSTITUTE(SUBSTITUTE(SUBSTITUTE(SUBSTITUTE(SUBSTITUTE(SUBSTITUTE(SUBSTITUTE(SUBSTITUTE(SUBSTITUTE(SUBSTITUTE(SUBSTITUTE(SUBSTITUTE(SUBSTITUTE(SUBSTITUTE(SUBSTITUTE(SUBSTITUTE(SUBSTITUTE(SUBSTITUTE(SUBSTITUTE(SUBSTITUTE(LOWER(W86&amp;""),CHAR(10)," "),CHAR(13)," "),CHAR(9)," "),CHAR(160)," "),"."," "),","," "),"-"," "),"/"," "),"("," "),")"," "),":"," "),";"," "),"_"," "),"–"," "),"?"," "),"!"," "),"*"," "),"["," "),"]"," "),"'"," "),"#"," "),"+"," "),"&amp;"," "),"\"," "))&amp;" "</f>
        <v>  </v>
      </c>
      <c r="BF86" s="61" t="str">
        <f aca="false">" "&amp;TRIM(SUBSTITUTE(SUBSTITUTE(SUBSTITUTE(SUBSTITUTE(SUBSTITUTE(SUBSTITUTE(SUBSTITUTE(SUBSTITUTE(SUBSTITUTE(SUBSTITUTE(SUBSTITUTE(SUBSTITUTE(SUBSTITUTE(SUBSTITUTE(SUBSTITUTE(SUBSTITUTE(SUBSTITUTE(SUBSTITUTE(SUBSTITUTE(SUBSTITUTE(SUBSTITUTE(SUBSTITUTE(SUBSTITUTE(SUBSTITUTE(LOWER(AC86&amp;""),CHAR(10)," "),CHAR(13)," "),CHAR(9)," "),CHAR(160)," "),"."," "),","," "),"-"," "),"/"," "),"("," "),")"," "),":"," "),";"," "),"_"," "),"–"," "),"?"," "),"!"," "),"*"," "),"["," "),"]"," "),"'"," "),"#"," "),"+"," "),"&amp;"," "),"\"," "))&amp;" "</f>
        <v>  </v>
      </c>
      <c r="BG86" s="61" t="n">
        <f aca="false">IFERROR(IF(AND(TRIM(U86)="Pass",SUMPRODUCT((LEN(BC86)-LEN(SUBSTITUTE(BC86," "&amp;L_ResultBad&amp;" "," ")))/(LEN(L_ResultBad)+1))&gt;SUMPRODUCT((LEN(BC86)-LEN(SUBSTITUTE(BC86," "&amp;L_NegPhrase&amp;" "," ")))/(LEN(L_NegPhrase)+1))),1,0),0)</f>
        <v>0</v>
      </c>
      <c r="BH86" s="61" t="n">
        <f aca="false">IFERROR(IF(SUMPRODUCT((LEN(BC86)-LEN(SUBSTITUTE(BC86," "&amp;L_Pending&amp;" "," ")))/(LEN(L_Pending)+1))&gt;SUMPRODUCT((LEN(BC86)-LEN(SUBSTITUTE(BC86," "&amp;L_PendNeg&amp;" "," ")))/(LEN(L_PendNeg)+1))+SUMPRODUCT((LEN(BC86)-LEN(SUBSTITUTE(BC86," "&amp;L_PendPrep&amp;" "," ")))/(LEN(L_PendPrep)+1)),1,0),1)</f>
        <v>0</v>
      </c>
      <c r="BI86" s="61" t="n">
        <f aca="false">IFERROR(IF(SUMPRODUCT((LEN(BD86)-LEN(SUBSTITUTE(BD86," "&amp;L_PendStrict&amp;" "," ")))/(LEN(L_PendStrict)+1))&gt;SUMPRODUCT((LEN(BD86)-LEN(SUBSTITUTE(BD86," "&amp;L_PendNeg&amp;" "," ")))/(LEN(L_PendNeg)+1)),1,0),1)</f>
        <v>0</v>
      </c>
      <c r="BJ86" s="61" t="n">
        <f aca="false">IFERROR(IF(SUMPRODUCT((LEN(BE86)-LEN(SUBSTITUTE(BE86," "&amp;L_Pending&amp;" "," ")))/(LEN(L_Pending)+1))&gt;SUMPRODUCT((LEN(BE86)-LEN(SUBSTITUTE(BE86," "&amp;L_PendNeg&amp;" "," ")))/(LEN(L_PendNeg)+1))+SUMPRODUCT((LEN(BE86)-LEN(SUBSTITUTE(BE86," "&amp;L_PendPrep&amp;" "," ")))/(LEN(L_PendPrep)+1)),1,0),1)</f>
        <v>0</v>
      </c>
      <c r="BK86" s="61" t="n">
        <f aca="false">IFERROR(IF(SUMPRODUCT((LEN(BF86)-LEN(SUBSTITUTE(BF86," "&amp;L_PendStrict&amp;" "," ")))/(LEN(L_PendStrict)+1))&gt;SUMPRODUCT((LEN(BF86)-LEN(SUBSTITUTE(BF86," "&amp;L_PendNeg&amp;" "," ")))/(LEN(L_PendNeg)+1)),1,0),1)</f>
        <v>0</v>
      </c>
      <c r="BL86" s="61" t="n">
        <f aca="false">IF(ISNA(MATCH(TRIM(S86),L_EvidenceType,0)),0,BZ86)</f>
        <v>0</v>
      </c>
      <c r="BM86" s="61" t="str">
        <f aca="false">SUBSTITUTE(SUBSTITUTE(SUBSTITUTE(SUBSTITUTE(SUBSTITUTE(SUBSTITUTE(SUBSTITUTE(SUBSTITUTE(SUBSTITUTE(LOWER(Z86&amp;""),"1","0"),"2","0"),"3","0"),"4","0"),"5","0"),"6","0"),"7","0"),"8","0"),"9","0")</f>
        <v/>
      </c>
      <c r="BN86" s="61" t="str">
        <f aca="false">SUBSTITUTE(SUBSTITUTE(SUBSTITUTE(SUBSTITUTE(SUBSTITUTE(SUBSTITUTE(SUBSTITUTE(SUBSTITUTE(SUBSTITUTE(SUBSTITUTE(SUBSTITUTE(SUBSTITUTE(SUBSTITUTE(SUBSTITUTE(SUBSTITUTE(SUBSTITUTE(SUBSTITUTE(SUBSTITUTE(SUBSTITUTE(SUBSTITUTE(SUBSTITUTE(SUBSTITUTE(SUBSTITUTE(SUBSTITUTE(SUBSTITUTE(BM86,"b","a"),"c","a"),"d","a"),"e","a"),"f","a"),"g","a"),"h","a"),"i","a"),"j","a"),"k","a"),"l","a"),"m","a"),"n","a"),"o","a"),"p","a"),"q","a"),"r","a"),"s","a"),"t","a"),"u","a"),"v","a"),"w","a"),"x","a"),"y","a"),"z","a")</f>
        <v/>
      </c>
      <c r="BO86" s="61" t="str">
        <f aca="false">SUBSTITUTE(SUBSTITUTE(SUBSTITUTE(SUBSTITUTE(SUBSTITUTE(SUBSTITUTE(SUBSTITUTE(SUBSTITUTE(SUBSTITUTE(LOWER(W86&amp;""),"1","0"),"2","0"),"3","0"),"4","0"),"5","0"),"6","0"),"7","0"),"8","0"),"9","0")</f>
        <v/>
      </c>
      <c r="BP86" s="61" t="str">
        <f aca="false">SUBSTITUTE(SUBSTITUTE(SUBSTITUTE(SUBSTITUTE(SUBSTITUTE(SUBSTITUTE(SUBSTITUTE(SUBSTITUTE(SUBSTITUTE(SUBSTITUTE(SUBSTITUTE(SUBSTITUTE(SUBSTITUTE(SUBSTITUTE(SUBSTITUTE(SUBSTITUTE(SUBSTITUTE(SUBSTITUTE(SUBSTITUTE(SUBSTITUTE(SUBSTITUTE(SUBSTITUTE(SUBSTITUTE(SUBSTITUTE(SUBSTITUTE(BO86,"b","a"),"c","a"),"d","a"),"e","a"),"f","a"),"g","a"),"h","a"),"i","a"),"j","a"),"k","a"),"l","a"),"m","a"),"n","a"),"o","a"),"p","a"),"q","a"),"r","a"),"s","a"),"t","a"),"u","a"),"v","a"),"w","a"),"x","a"),"y","a"),"z","a")</f>
        <v/>
      </c>
      <c r="BQ86" s="61" t="n">
        <f aca="false">IFERROR(IF(AND(ISERROR(SEARCH(" mh"," "&amp;LOWER(W86))),ISNA(MATCH(LEFT(TRIM(BP86),255),{"0000a","000a","00a","0000aa","000aa","00aa","0aa","0000aaa","000aaa","00a00","0a00","0000-0000","00:00","a00","a0","00.00.0000","00/00/0000","00-00-0000","0000-00-00","0000/00/00","0000.00.00","00.00.00","00/00/00","00-00-00","0.00.0000","0/00/0000","0-00-0000"},0)),ISNA(MATCH(LEFT(TRIM(CA86),255),{"0000a","000a","00a","0000aa","000aa","00aa","0aa","0000aaa","000aaa","00a00","0a00","0000-0000","00:00","a00","a0","00.00.0000","00/00/0000","00-00-0000","0000-00-00","0000/00/00","0000.00.00","00.00.00","00/00/00","00-00-00","0.00.0000","0/00/0000","0-00-0000"},0)),LEN(CB86)&gt;=3,NOT(OR(SUBSTITUTE(CB86,"0","")="",AND(LEN(CB86)&gt;=4,CB86=REPT(LEFT(CB86),LEN(CB86))),ISNUMBER(MATCH(CB86,{"123","1234","12345","123456","1234567","12345678","0123","01234","012345","98765","987654","54321"},0)),AND(LEN(CB86)=8,LEFT(CB86,3)="202"))),OR(AND((LEN(CA86)-LEN(SUBSTITUTE(CA86,"a","")))&gt;=1,SUMPRODUCT(--ISNUMBER(SEARCH({"a0","a-0","a_0","a/0","a.0","a#0","0a","0-a","0_a","0/a"},BP86)))&gt;0),ISNUMBER(SEARCH("000000",BP86)))),1,0),0)</f>
        <v>0</v>
      </c>
      <c r="BR86" s="61" t="n">
        <f aca="false">IFERROR(LEN(SUBSTITUTE(CC86," ",""))-SUMPRODUCT((LEN(CC86)-LEN(SUBSTITUTE(CC86," "&amp;L_Role&amp;" "," ")))/(LEN(L_Role)+1)*LEN(L_Role)),0)</f>
        <v>0</v>
      </c>
      <c r="BS86" s="61" t="n">
        <f aca="false">IFERROR(LEN(SUBSTITUTE(CD86," ",""))-SUMPRODUCT((LEN(CD86)-LEN(SUBSTITUTE(CD86," "&amp;L_Role&amp;" "," ")))/(LEN(L_Role)+1)*LEN(L_Role)),0)</f>
        <v>0</v>
      </c>
      <c r="BT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86,"revision",""),"version",""),"jan",""),"feb",""),"mar",""),"apr",""),"may",""),"jun",""),"jul",""),"aug",""),"sep",""),"oct",""),"nov",""),"dec",""),"utc",""),"gmt",""),"myt",""),"bst",""),"rev",""),"ver",""),"b","a"),"c","a"),"d","a"),"e","a"),"f","a"),"g","a"),"h","a"),"i","a"),"j","a"),"k","a"),"l","a"),"m","a"),"n","a"),"o","a"),"p","a"),"q","a"),"r","a"),"s","a"),"t","a"),"u","a"),"v","a"),"w","a"),"x","a"),"y","a"),"z","a")</f>
        <v/>
      </c>
      <c r="BU86" s="61" t="str">
        <f aca="false">SUBSTITUTE(SUBSTITUTE(SUBSTITUTE(SUBSTITUTE(SUBSTITUTE(SUBSTITUTE(SUBSTITUTE(SUBSTITUTE(SUBSTITUTE(SUBSTITUTE(LEFT(BM86,FIND("0",BM86&amp;"0")-1),"-",""),"_",""),"/",""),".",""),"#",""),"\\",""),":","")," ",""),"(",""),")","")</f>
        <v/>
      </c>
      <c r="BV86" s="61" t="n">
        <f aca="false">0</f>
        <v>0</v>
      </c>
      <c r="BW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86&amp;""),"a",""),"b",""),"c",""),"d",""),"e",""),"f",""),"g",""),"h",""),"i",""),"j",""),"k",""),"l",""),"m",""),"n",""),"o",""),"p",""),"q",""),"r",""),"s",""),"t",""),"u",""),"v",""),"w",""),"x",""),"y",""),"z",""),"-",""),"_",""),"/",""),".",""),"#",""),"\\",""),":","")," ",""),"(",""),")","")</f>
        <v/>
      </c>
      <c r="BX86" s="61" t="str">
        <f aca="false">SUBSTITUTE(SUBSTITUTE(SUBSTITUTE(SUBSTITUTE(SUBSTITUTE(SUBSTITUTE(SUBSTITUTE(SUBSTITUTE(SUBSTITUTE(SUBSTITUTE(SUBSTITUTE(BM86,"0",""),"-",""),"_",""),"/",""),".",""),"#",""),"\\",""),":","")," ",""),"(",""),")","")</f>
        <v/>
      </c>
      <c r="BY86" s="62" t="n">
        <f aca="false">Q86-T12EarlyH/24</f>
        <v>46304.3784722222</v>
      </c>
      <c r="BZ86" s="61" t="n">
        <f aca="false">IFERROR(IF(IF(TRIM(S86)="Link / file path",AND(LEN(TRIM(Z86))&gt;=5,SUMPRODUCT(--ISNUMBER(SEARCH({"http","www.","\\",":\",".pdf",".jpg",".jpeg",".png",".heic",".xls",".doc",".msg",".eml",".ppt",".txt",".zip"},Z86)))&gt;0),AND(ISERROR(FIND(" ",TRIM(Z86))),NOT(OR(SUMPRODUCT(--ISNUMBER(FIND({",",";","&amp;","+"},Z86)))&gt;0,SUMPRODUCT(--ISNUMBER(SEARCH({"0/aa","0\\aa"},BN86)))&gt;0)),NOT(SUMPRODUCT(--ISNUMBER(SEARCH({"http","www.","\\",":\",".pdf",".jpg",".jpeg",".png",".heic",".xls",".doc",".msg",".eml",".ppt",".txt",".zip"},Z86)))&gt;0),NOT(LOWER(TRIM(Z86))=LOWER(Flights!$F$7)),ISNA(MATCH(BU86,{"mh","rev","revision","ver","version","v","r","a","b","seat","tray","row","gate","bay","stand","page","pg","item","line","no","cart","galley","flight","flt","table","box","bag","oven","etd","eta","std","sta","atd","ata","qty","pax","x","time","tel","ph","mob","day","wk","week","utc","gmt","myt","lt"},0)),NOT(OR(ISNUMBER(MATCH(LEFT(BN86,255),{"0000a","000a","00a","0000aa","000aa","00aa","0aa","0000aaa","000aaa","00a00","0a00","0000-0000","00:00","a00","a0","00.00.0000","00/00/0000","00-00-0000","0000-00-00","0000/00/00","0000.00.00","00.00.00","00/00/00","00-00-00","0.00.0000","0/00/0000","0-00-0000"},0)),ISNUMBER(MATCH(LEFT(BT86,255),{"0000a","000a","00a","0000aa","000aa","00aa","0aa","0000aaa","000aaa","00a00","0a00","0000-0000","00:00","a00","a0","00.00.0000","00/00/0000","00-00-0000","0000-00-00","0000/00/00","0000.00.00","00.00.00","00/00/00","00-00-00","0.00.0000","0/00/0000","0-00-0000"},0)))),NOT(OR(AND(BW86&lt;&gt;"",SUBSTITUTE(BW86,"0","")=""),AND(LEN(BW86)&gt;=4,BW86=REPT(LEFT(BW86),LEN(BW86))),ISNUMBER(MATCH(BW86,{"123","1234","12345","123456","1234567","12345678","0123","01234","012345","98765","987654","54321"},0)),ISNUMBER(MATCH(BX86,{"x","xx","xxx","xxxx","xxxxx","abc","abcd","nil","na","nan","test","tbc","tba","tbd","dummy","sample","example","eg","zz","zzz","none","null","xyz","qwe","asd","id","ref"},0)),AND(LEN(BW86)=8,BX86="",OR(LEFT(BW86,3)="202",ISNUMBER(MATCH(RIGHT(BW86,4),{"2025","2026","2027"},0)))))),OR(AND((LEN(BT86)-LEN(SUBSTITUTE(BT86,"a","")))&gt;=1,(LEN(BN86)-LEN(SUBSTITUTE(BN86,"0","")))&gt;=2,SUMPRODUCT(--ISNUMBER(SEARCH({"a0","a-0","a_0","a/0","a.0","a#0","0a","0-a","0_a","0/a"},BN86)))&gt;0),AND((LEN(BN86)-LEN(SUBSTITUTE(BN86,"a","")))=0,(LEN(BN86)-LEN(SUBSTITUTE(BN86,"0","")))&gt;=5)))),1,0),0)</f>
        <v>0</v>
      </c>
      <c r="CA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86,"revision",""),"version",""),"jan",""),"feb",""),"mar",""),"apr",""),"may",""),"jun",""),"jul",""),"aug",""),"sep",""),"oct",""),"nov",""),"dec",""),"utc",""),"gmt",""),"myt",""),"bst",""),"rev",""),"ver",""),"b","a"),"c","a"),"d","a"),"e","a"),"f","a"),"g","a"),"h","a"),"i","a"),"j","a"),"k","a"),"l","a"),"m","a"),"n","a"),"o","a"),"p","a"),"q","a"),"r","a"),"s","a"),"t","a"),"u","a"),"v","a"),"w","a"),"x","a"),"y","a"),"z","a")</f>
        <v/>
      </c>
      <c r="CB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86&amp;""),"a",""),"b",""),"c",""),"d",""),"e",""),"f",""),"g",""),"h",""),"i",""),"j",""),"k",""),"l",""),"m",""),"n",""),"o",""),"p",""),"q",""),"r",""),"s",""),"t",""),"u",""),"v",""),"w",""),"x",""),"y",""),"z",""),"-",""),"_",""),"/",""),".",""),"#",""),"\\",""),":","")," ",""),"(",""),")","")</f>
        <v/>
      </c>
      <c r="CC86" s="0" t="str">
        <f aca="false">" "&amp;TRIM(SUBSTITUTE(SUBSTITUTE(SUBSTITUTE(SUBSTITUTE(SUBSTITUTE(SUBSTITUTE(SUBSTITUTE(SUBSTITUTE(SUBSTITUTE(SUBSTITUTE(SUBSTITUTE(SUBSTITUTE(SUBSTITUTE(SUBSTITUTE(SUBSTITUTE(SUBSTITUTE(SUBSTITUTE(SUBSTITUTE(SUBSTITUTE(SUBSTITUTE(SUBSTITUTE(SUBSTITUTE(SUBSTITUTE(SUBSTITUTE(LOWER(T86&amp;""),CHAR(10)," "),CHAR(13)," "),CHAR(9)," "),CHAR(160)," "),"."," "),","," "),"-"," "),"/"," "),"("," "),")"," "),":"," "),";"," "),"_"," "),"–"," "),"?"," "),"!"," "),"*"," "),"["," "),"]"," "),"'"," "),"#"," "),"+"," "),"&amp;"," "),"\"," "))&amp;" "</f>
        <v>  </v>
      </c>
      <c r="CD86" s="0" t="str">
        <f aca="false">" "&amp;TRIM(SUBSTITUTE(SUBSTITUTE(SUBSTITUTE(SUBSTITUTE(SUBSTITUTE(SUBSTITUTE(SUBSTITUTE(SUBSTITUTE(SUBSTITUTE(SUBSTITUTE(SUBSTITUTE(SUBSTITUTE(SUBSTITUTE(SUBSTITUTE(SUBSTITUTE(SUBSTITUTE(SUBSTITUTE(SUBSTITUTE(SUBSTITUTE(SUBSTITUTE(SUBSTITUTE(SUBSTITUTE(SUBSTITUTE(SUBSTITUTE(LOWER(AE86&amp;""),CHAR(10)," "),CHAR(13)," "),CHAR(9)," "),CHAR(160)," "),"."," "),","," "),"-"," "),"/"," "),"("," "),")"," "),":"," "),";"," "),"_"," "),"–"," "),"?"," "),"!"," "),"*"," "),"["," "),"]"," "),"'"," "),"#"," "),"+"," "),"&amp;"," "),"\"," "))&amp;" "</f>
        <v>  </v>
      </c>
      <c r="CE86" s="68" t="n">
        <f aca="false">IFERROR(IF(AND(LEN(AU86)&gt;0,LEN(AU86)=LEN(AX86),OR(TRIM(MID(SUBSTITUTE(TRIM(CC86)," ",REPT(" ",60)),1,60))="",ISNUMBER(SEARCH(" "&amp;TRIM(MID(SUBSTITUTE(TRIM(CC86)," ",REPT(" ",60)),1,60))&amp;" ",CD86))),OR(TRIM(MID(SUBSTITUTE(TRIM(CC86)," ",REPT(" ",60)),61,60))="",ISNUMBER(SEARCH(" "&amp;TRIM(MID(SUBSTITUTE(TRIM(CC86)," ",REPT(" ",60)),61,60))&amp;" ",CD86))),OR(TRIM(MID(SUBSTITUTE(TRIM(CC86)," ",REPT(" ",60)),121,60))="",ISNUMBER(SEARCH(" "&amp;TRIM(MID(SUBSTITUTE(TRIM(CC86)," ",REPT(" ",60)),121,60))&amp;" ",CD86)))),1,0),0)</f>
        <v>0</v>
      </c>
      <c r="CG86" s="68" t="n">
        <f aca="false">IFERROR(LEN(SUBSTITUTE(BF86," ",""))-SUMPRODUCT((LEN(BF86)-LEN(SUBSTITUTE(BF86," "&amp;L_NAFiller&amp;" "," ")))/(LEN(L_NAFiller)+1)*LEN(L_NAFiller)),0)</f>
        <v>0</v>
      </c>
    </row>
    <row r="87" customFormat="false" ht="39.75" hidden="false" customHeight="true" outlineLevel="0" collapsed="false">
      <c r="A87" s="57" t="s">
        <v>578</v>
      </c>
      <c r="B87" s="57" t="s">
        <v>212</v>
      </c>
      <c r="C87" s="57" t="str">
        <f aca="false">Flights!$F$7</f>
        <v>MH0720</v>
      </c>
      <c r="D87" s="58" t="n">
        <f aca="false">Flights!$D$7</f>
        <v>46305</v>
      </c>
      <c r="E87" s="57" t="str">
        <f aca="false">Flights!$G$7&amp;"-"&amp;Flights!$H$7</f>
        <v>CGK-KUL</v>
      </c>
      <c r="F87" s="57" t="str">
        <f aca="false">Flights!$K$7</f>
        <v>EY</v>
      </c>
      <c r="G87" s="57" t="s">
        <v>459</v>
      </c>
      <c r="H87" s="57" t="s">
        <v>460</v>
      </c>
      <c r="I87" s="57" t="s">
        <v>379</v>
      </c>
      <c r="J87" s="57" t="s">
        <v>461</v>
      </c>
      <c r="K87" s="67" t="s">
        <v>426</v>
      </c>
      <c r="L87" s="67" t="s">
        <v>462</v>
      </c>
      <c r="M87" s="67"/>
      <c r="N87" s="67" t="s">
        <v>383</v>
      </c>
      <c r="O87" s="67" t="s">
        <v>463</v>
      </c>
      <c r="P87" s="57" t="s">
        <v>201</v>
      </c>
      <c r="Q87" s="59" t="n">
        <f aca="false">ROUND((Flights!$AF$7)*1440,0)/1440</f>
        <v>46305.3784722222</v>
      </c>
      <c r="R87" s="59" t="n">
        <f aca="false">Q87+(IF(AND(INDEX(TZ_DSTS,MATCH(P87,TZ_STN,0))&lt;&gt;"",Q87&gt;=INDEX(TZ_DSTS,MATCH(P87,TZ_STN,0)),Q87&lt;INDEX(TZ_DSTE,MATCH(P87,TZ_STN,0))),INDEX(TZ_DST,MATCH(P87,TZ_STN,0)),INDEX(TZ_STD,MATCH(P87,TZ_STN,0))))/24</f>
        <v>46305.6701388889</v>
      </c>
      <c r="S87" s="60"/>
      <c r="T87" s="60"/>
      <c r="U87" s="60"/>
      <c r="V87" s="60"/>
      <c r="W87" s="61"/>
      <c r="X87" s="60"/>
      <c r="Y87" s="60"/>
      <c r="Z87" s="60"/>
      <c r="AA87" s="60"/>
      <c r="AB87" s="60"/>
      <c r="AC87" s="60"/>
      <c r="AD87" s="66"/>
      <c r="AE87" s="60"/>
      <c r="AF87" s="61" t="str">
        <f aca="false">IF(AND(ISNUMBER(X87),ISNUMBER(Y87)),Y87-X87,"")</f>
        <v/>
      </c>
      <c r="AG87" s="62" t="str">
        <f aca="false">IF(ISNUMBER(AD87),AD87-(IF(AND(INDEX(TZ_DSTS,MATCH(P87,TZ_STN,0))&lt;&gt;"",(AD87-INDEX(TZ_STD,MATCH(P87,TZ_STN,0))/24)&gt;=INDEX(TZ_DSTS,MATCH(P87,TZ_STN,0)),(AD87-INDEX(TZ_STD,MATCH(P87,TZ_STN,0))/24)&lt;INDEX(TZ_DSTE,MATCH(P87,TZ_STN,0))),INDEX(TZ_DST,MATCH(P87,TZ_STN,0)),INDEX(TZ_STD,MATCH(P87,TZ_STN,0))))/24,"")</f>
        <v/>
      </c>
      <c r="AH87" s="65" t="str">
        <f aca="false">IFERROR(IF(N87="N/A – rule",IF(OR(TRIM(U87)="",TRIM(U87)="N/A",TRIM(U87)="Not started"),"N/A – RULE","INVALID – this check does not apply to this aircraft: clear the status (or correct the fleet on Flights)"),IF(TRIM(U87)="N/A",IF(AT87=0,"INVALID – N/A not permitted for this check",IF(AND(TRIM(AB87)&lt;&gt;"",TRIM(AB87)&lt;&gt;"Closed"),"INVALID – corrective action still open",IF(AND(NOT(OR(LEN(AZ87)&lt;15,ISNUMBER(MATCH(AZ87,L_Placeholder,0)))),BK87=0,CG87&gt;=8,NOT(OR(LEN(AU87)&lt;2,ISNUMBER(MATCH(AU87,L_Placeholder,0)))),BR87&gt;=3,NOT(OR(LEN(AX87)&lt;2,ISNUMBER(MATCH(AX87,L_Placeholder,0)))),BS87&gt;=3,TRIM(AE87)&lt;&gt;TRIM(T87),AX87&lt;&gt;AU87,CE87=0),"N/A – JUSTIFIED","INVALID – N/A needs a real, settled reason (not 'not applicable' / 'as above' / TBC), a named PIC and a different named verifier"))),IF(OR(TRIM(U87)="Pass",TRIM(U87)="Pass after CA"),IF(NOT(ISNUMBER(AD87)),"INVALID – completion time missing",IF(OR(OR(LEN(AU87)&lt;2,ISNUMBER(MATCH(AU87,L_Placeholder,0))),BR87&lt;3),"INVALID – PIC missing or not a named person (a role such as QA / CSM is not a name)",IF(OR(LEN(AV87)&lt;2,ISNUMBER(MATCH(AV87,L_Placeholder,0))),"INVALID – result / assessment missing",IF(OR(OR(LEN(AW87)&lt;3,ISNUMBER(MATCH(AW87,L_Placeholder,0))),SUMPRODUCT(--ISNUMBER(SEARCH(" "&amp;L_EvidencePhrase&amp;" ",BD87)))&gt;0,BI87=1),"INVALID – evidence missing, placeholder or not yet on file",IF(ISNA(MATCH(TRIM(S87),L_EvidenceType,0)),"INVALID – choose the evidence type from the list (column S)",IF(BL87=0,"INVALID – evidence ID must be the record's own ID only (e.g. SF-2210, IMG_2231, 1045521); a link / file name needs type 'Link / file path'",IF(OR(OR(LEN(AX87)&lt;2,ISNUMBER(MATCH(AX87,L_Placeholder,0))),BS87&lt;3),"INVALID – verifier missing or not a named person (a role such as QA / CSM is not a name)",IF(OR(AX87=AU87,CE87=1,AND(LEN(AU87)&gt;=4,ISNUMBER(SEARCH(AU87,AX87))),AND(LEN(AX87)&gt;=4,ISNUMBER(SEARCH(AX87,AU87)))),"INVALID – verifier must be a different, named person (not the PIC or a role)",IF(BH87=1,"INVALID – result not yet available (awaiting / TBC)",IF(BG87=1,"INVALID – result describes a problem: record Fail, then Pass after CA (or reword if it is not a problem)",IF(BV87=1,"INVALID – wording says not on board: an on-board confirmation needs the item loaded",IF(AND(AQ87=1,OR(OR(LEN(AY87)&lt;3,ISNUMBER(MATCH(AY87,L_Placeholder,0))),BJ87=1,BQ87=0)),"INVALID – batch ID missing, placeholder or not an ID (e.g. PASB-261008-BC-017)",IF(AND(AR87=1,OR(NOT(ISNUMBER(X87)),NOT(ISNUMBER(Y87)))),"INVALID – expected/actual qty missing",IF(AND(AR87=1,OR(X87&lt;=0,Y87&lt;0)),"INVALID – expected qty must be above 0 and actual not negative",IF(AH80="N/A – JUSTIFIED","INVALID – preparation row F03-T12-02 is N/A",IF(AND(AR87=1,ISNUMBER(X80),X87&lt;&gt;X80,TRIM(U87)&lt;&gt;"Pass after CA"),"INVALID – expected qty differs from preparation check F03-T12-02: record the load change as a corrective action (Pass after CA)",IF(BB87&lt;&gt;"",BB87,IF(AND(AS87=1,Documents!$J$7&lt;&gt;"ON FILE"),"INVALID – GLD not on file (Documents sheet)",IF(AND(AS87=2,Documents!$O$7&lt;&gt;"ON FILE"),"INVALID – menu checklist not on file (Documents sheet)",IF(AND(AS87=3,NOT(ISNUMBER(Flights!$AX$7))),"INVALID – enter carrying flight KUL departure (Flights AX)",IF(AND(AS87=3,OR(Flights!$AZ$7&gt;Flights!$AA$7,Flights!$AX$7&lt;Flights!$AA$7-3)),"INVALID – carrying flight (Flights AX) cannot arrive before this leg's STD, or is over 3 days early",IF(AG87&gt;AsOfUTC,"INVALID – completion time is in the future",IF(AND(ISNUMBER(BY87),AG87&lt;BY87),IF(H87="Physical uplift","INVALID – before uplift window (cannot confirm loading)","INVALID – before valid window"),IF(AG87&gt;Flights!$AA$7,"INVALID – completed after departure (cannot establish readiness)",IF(AND(H87="Preparation",AG87&gt;=IF(ISNUMBER(Flights!$BA$7),MIN(Flights!$BA$7,Flights!$AA$7),Flights!$AA$7)),"INVALID – completed after loading / departure (cannot establish readiness)",IF(AND(H87="Physical uplift",AG87&gt;Q87),"INVALID – recorded after the loading flight departed",IF(AG87&gt;Q87,"COMPLETE – LATE","COMPLETE"))))))))))))))))))))))))))),IF(TRIM(U87)="Fail","FAIL – DISCREPANCY",IF(AND(TRIM(U87)&lt;&gt;"",TRIM(U87)&lt;&gt;"Not started",TRIM(U87)&lt;&gt;"In progress"),"INVALID – unrecognised status (use the list)",IF(AsOfUTC&gt;Q87,"OVERDUE",IF(N87="Clarification required","OPEN – CLARIFICATION","OPEN"))))))),"INVALID – error value in an input cell")</f>
        <v>OPEN</v>
      </c>
      <c r="AI87" s="61" t="n">
        <f aca="false">IF(OR(AH87="N/A – RULE",AH87="N/A – JUSTIFIED"),0,1)</f>
        <v>1</v>
      </c>
      <c r="AJ87" s="61" t="n">
        <f aca="false">IF(LEFT(AH87,8)="COMPLETE",1,0)</f>
        <v>0</v>
      </c>
      <c r="AK87" s="61" t="n">
        <f aca="false">IF(AND(AI87=1,AJ87=0,AsOfUTC&gt;Q87),1,0)</f>
        <v>0</v>
      </c>
      <c r="AL87" s="61" t="n">
        <f aca="false">IFERROR(IF(AND(AI87=1,OR(TRIM(U87)="Fail",AND(TRIM(AB87)&lt;&gt;"",TRIM(AB87)&lt;&gt;"Closed"),AND(ISNUMBER(AF87),AF87&lt;&gt;0,TRIM(U87)&lt;&gt;"Pass after CA"))),1,0),1)</f>
        <v>0</v>
      </c>
      <c r="AM87" s="61" t="n">
        <f aca="false">IF(LEFT(AH87,7)="INVALID",1,0)</f>
        <v>0</v>
      </c>
      <c r="AN87" s="61" t="n">
        <f aca="false">IF(AND(N87="Clarification required",AI87=1,AJ87=0),1,0)</f>
        <v>0</v>
      </c>
      <c r="AO87" s="61" t="str">
        <f aca="false">IF(AK87=1,SUM(AK$5:AK87),"")</f>
        <v/>
      </c>
      <c r="AP87" s="61" t="str">
        <f aca="false">IF(AL87=1,SUM(AL$5:AL87),"")</f>
        <v/>
      </c>
      <c r="AQ87" s="61" t="n">
        <v>0</v>
      </c>
      <c r="AR87" s="61" t="n">
        <v>1</v>
      </c>
      <c r="AS87" s="61" t="n">
        <v>0</v>
      </c>
      <c r="AT87" s="61" t="n">
        <v>0</v>
      </c>
      <c r="AU87" s="61" t="str">
        <f aca="false">SUBSTITUTE(SUBSTITUTE(SUBSTITUTE(SUBSTITUTE(SUBSTITUTE(SUBSTITUTE(SUBSTITUTE(SUBSTITUTE(SUBSTITUTE(SUBSTITUTE(SUBSTITUTE(SUBSTITUTE(SUBSTITUTE(SUBSTITUTE(SUBSTITUTE(SUBSTITUTE(LOWER(T87&amp;""),CHAR(10),""),CHAR(13),""),CHAR(9),""),CHAR(160),"")," ",""),".",""),"-",""),"/",""),"?",""),"_",""),",",""),"[",""),"]",""),"(",""),")",""),"*","")</f>
        <v/>
      </c>
      <c r="AV87" s="61" t="str">
        <f aca="false">SUBSTITUTE(SUBSTITUTE(SUBSTITUTE(SUBSTITUTE(SUBSTITUTE(SUBSTITUTE(SUBSTITUTE(SUBSTITUTE(SUBSTITUTE(SUBSTITUTE(SUBSTITUTE(SUBSTITUTE(SUBSTITUTE(SUBSTITUTE(SUBSTITUTE(SUBSTITUTE(LOWER(V87&amp;""),CHAR(10),""),CHAR(13),""),CHAR(9),""),CHAR(160),"")," ",""),".",""),"-",""),"/",""),"?",""),"_",""),",",""),"[",""),"]",""),"(",""),")",""),"*","")</f>
        <v/>
      </c>
      <c r="AW87" s="61" t="str">
        <f aca="false">SUBSTITUTE(SUBSTITUTE(SUBSTITUTE(SUBSTITUTE(SUBSTITUTE(SUBSTITUTE(SUBSTITUTE(SUBSTITUTE(SUBSTITUTE(SUBSTITUTE(SUBSTITUTE(SUBSTITUTE(SUBSTITUTE(SUBSTITUTE(SUBSTITUTE(SUBSTITUTE(LOWER(Z87&amp;""),CHAR(10),""),CHAR(13),""),CHAR(9),""),CHAR(160),"")," ",""),".",""),"-",""),"/",""),"?",""),"_",""),",",""),"[",""),"]",""),"(",""),")",""),"*","")</f>
        <v/>
      </c>
      <c r="AX87" s="61" t="str">
        <f aca="false">SUBSTITUTE(SUBSTITUTE(SUBSTITUTE(SUBSTITUTE(SUBSTITUTE(SUBSTITUTE(SUBSTITUTE(SUBSTITUTE(SUBSTITUTE(SUBSTITUTE(SUBSTITUTE(SUBSTITUTE(SUBSTITUTE(SUBSTITUTE(SUBSTITUTE(SUBSTITUTE(LOWER(AE87&amp;""),CHAR(10),""),CHAR(13),""),CHAR(9),""),CHAR(160),"")," ",""),".",""),"-",""),"/",""),"?",""),"_",""),",",""),"[",""),"]",""),"(",""),")",""),"*","")</f>
        <v/>
      </c>
      <c r="AY87" s="61" t="str">
        <f aca="false">SUBSTITUTE(SUBSTITUTE(SUBSTITUTE(SUBSTITUTE(SUBSTITUTE(SUBSTITUTE(SUBSTITUTE(SUBSTITUTE(SUBSTITUTE(SUBSTITUTE(SUBSTITUTE(SUBSTITUTE(SUBSTITUTE(SUBSTITUTE(SUBSTITUTE(SUBSTITUTE(LOWER(W87&amp;""),CHAR(10),""),CHAR(13),""),CHAR(9),""),CHAR(160),"")," ",""),".",""),"-",""),"/",""),"?",""),"_",""),",",""),"[",""),"]",""),"(",""),")",""),"*","")</f>
        <v/>
      </c>
      <c r="AZ87" s="61" t="str">
        <f aca="false">SUBSTITUTE(SUBSTITUTE(SUBSTITUTE(SUBSTITUTE(SUBSTITUTE(SUBSTITUTE(SUBSTITUTE(SUBSTITUTE(SUBSTITUTE(SUBSTITUTE(SUBSTITUTE(SUBSTITUTE(SUBSTITUTE(SUBSTITUTE(SUBSTITUTE(SUBSTITUTE(LOWER(AC87&amp;""),CHAR(10),""),CHAR(13),""),CHAR(9),""),CHAR(160),"")," ",""),".",""),"-",""),"/",""),"?",""),"_",""),",",""),"[",""),"]",""),"(",""),")",""),"*","")</f>
        <v/>
      </c>
      <c r="BA87" s="61" t="str">
        <f aca="false">SUBSTITUTE(SUBSTITUTE(SUBSTITUTE(SUBSTITUTE(SUBSTITUTE(SUBSTITUTE(SUBSTITUTE(SUBSTITUTE(SUBSTITUTE(SUBSTITUTE(SUBSTITUTE(SUBSTITUTE(SUBSTITUTE(SUBSTITUTE(SUBSTITUTE(SUBSTITUTE(LOWER(AA87&amp;""),CHAR(10),""),CHAR(13),""),CHAR(9),""),CHAR(160),"")," ",""),".",""),"-",""),"/",""),"?",""),"_",""),",",""),"[",""),"]",""),"(",""),")",""),"*","")</f>
        <v/>
      </c>
      <c r="BB87" s="61" t="str">
        <f aca="false">IF(AND(TRIM(U87)="Pass",ISNUMBER(AF87)),IF(AF87&lt;&gt;0,"INVALID – qty variance: use Fail or Pass after CA",""),"")&amp;IF(AND(TRIM(U87)="Pass after CA",ISNUMBER(AF87)),IF(AF87&lt;&gt;0,"INVALID – after the corrective action the actual qty must equal expected (update Actual)",""),"")&amp;IF(AND(TRIM(U87)="Pass",TRIM(AB87)&lt;&gt;"",TRIM(AB87)&lt;&gt;"Closed"),"INVALID – corrective action not closed: use Fail, then Pass after CA","")&amp;IF(AND(LEN(BA87)&gt;=2,ISNA(MATCH(LEFT(BA87,255),L_Placeholder,0)),TRIM(AB87)=""),"INVALID – CA status missing for the recorded corrective action","")&amp;IF(AND(TRIM(U87)="Pass after CA",OR(OR(LEN(BA87)&lt;5,ISNUMBER(MATCH(BA87,L_Placeholder,0))),TRIM(AB87)&lt;&gt;"Closed")),"INVALID – corrective action not recorded/closed","")</f>
        <v/>
      </c>
      <c r="BC87" s="61" t="str">
        <f aca="false">" "&amp;TRIM(SUBSTITUTE(SUBSTITUTE(SUBSTITUTE(SUBSTITUTE(SUBSTITUTE(SUBSTITUTE(SUBSTITUTE(SUBSTITUTE(SUBSTITUTE(SUBSTITUTE(SUBSTITUTE(SUBSTITUTE(SUBSTITUTE(SUBSTITUTE(SUBSTITUTE(SUBSTITUTE(SUBSTITUTE(SUBSTITUTE(SUBSTITUTE(SUBSTITUTE(SUBSTITUTE(SUBSTITUTE(SUBSTITUTE(SUBSTITUTE(LOWER(V87&amp;""),CHAR(10)," "),CHAR(13)," "),CHAR(9)," "),CHAR(160)," "),"."," "),","," "),"-"," "),"/"," "),"("," "),")"," "),":"," "),";"," "),"_"," "),"–"," "),"?"," "),"!"," "),"*"," "),"["," "),"]"," "),"'"," "),"#"," "),"+"," "),"&amp;"," "),"\"," "))&amp;" "</f>
        <v>  </v>
      </c>
      <c r="BD87" s="61" t="str">
        <f aca="false">" "&amp;TRIM(SUBSTITUTE(SUBSTITUTE(SUBSTITUTE(SUBSTITUTE(SUBSTITUTE(SUBSTITUTE(SUBSTITUTE(SUBSTITUTE(SUBSTITUTE(SUBSTITUTE(SUBSTITUTE(SUBSTITUTE(SUBSTITUTE(SUBSTITUTE(SUBSTITUTE(SUBSTITUTE(SUBSTITUTE(SUBSTITUTE(SUBSTITUTE(SUBSTITUTE(SUBSTITUTE(SUBSTITUTE(SUBSTITUTE(SUBSTITUTE(LOWER(Z87&amp;""),CHAR(10)," "),CHAR(13)," "),CHAR(9)," "),CHAR(160)," "),"."," "),","," "),"-"," "),"/"," "),"("," "),")"," "),":"," "),";"," "),"_"," "),"–"," "),"?"," "),"!"," "),"*"," "),"["," "),"]"," "),"'"," "),"#"," "),"+"," "),"&amp;"," "),"\"," "))&amp;" "</f>
        <v>  </v>
      </c>
      <c r="BE87" s="61" t="str">
        <f aca="false">" "&amp;TRIM(SUBSTITUTE(SUBSTITUTE(SUBSTITUTE(SUBSTITUTE(SUBSTITUTE(SUBSTITUTE(SUBSTITUTE(SUBSTITUTE(SUBSTITUTE(SUBSTITUTE(SUBSTITUTE(SUBSTITUTE(SUBSTITUTE(SUBSTITUTE(SUBSTITUTE(SUBSTITUTE(SUBSTITUTE(SUBSTITUTE(SUBSTITUTE(SUBSTITUTE(SUBSTITUTE(SUBSTITUTE(SUBSTITUTE(SUBSTITUTE(LOWER(W87&amp;""),CHAR(10)," "),CHAR(13)," "),CHAR(9)," "),CHAR(160)," "),"."," "),","," "),"-"," "),"/"," "),"("," "),")"," "),":"," "),";"," "),"_"," "),"–"," "),"?"," "),"!"," "),"*"," "),"["," "),"]"," "),"'"," "),"#"," "),"+"," "),"&amp;"," "),"\"," "))&amp;" "</f>
        <v>  </v>
      </c>
      <c r="BF87" s="61" t="str">
        <f aca="false">" "&amp;TRIM(SUBSTITUTE(SUBSTITUTE(SUBSTITUTE(SUBSTITUTE(SUBSTITUTE(SUBSTITUTE(SUBSTITUTE(SUBSTITUTE(SUBSTITUTE(SUBSTITUTE(SUBSTITUTE(SUBSTITUTE(SUBSTITUTE(SUBSTITUTE(SUBSTITUTE(SUBSTITUTE(SUBSTITUTE(SUBSTITUTE(SUBSTITUTE(SUBSTITUTE(SUBSTITUTE(SUBSTITUTE(SUBSTITUTE(SUBSTITUTE(LOWER(AC87&amp;""),CHAR(10)," "),CHAR(13)," "),CHAR(9)," "),CHAR(160)," "),"."," "),","," "),"-"," "),"/"," "),"("," "),")"," "),":"," "),";"," "),"_"," "),"–"," "),"?"," "),"!"," "),"*"," "),"["," "),"]"," "),"'"," "),"#"," "),"+"," "),"&amp;"," "),"\"," "))&amp;" "</f>
        <v>  </v>
      </c>
      <c r="BG87" s="61" t="n">
        <f aca="false">IFERROR(IF(AND(TRIM(U87)="Pass",SUMPRODUCT((LEN(BC87)-LEN(SUBSTITUTE(BC87," "&amp;L_ResultBad&amp;" "," ")))/(LEN(L_ResultBad)+1))&gt;SUMPRODUCT((LEN(BC87)-LEN(SUBSTITUTE(BC87," "&amp;L_NegPhrase&amp;" "," ")))/(LEN(L_NegPhrase)+1))),1,0),0)</f>
        <v>0</v>
      </c>
      <c r="BH87" s="61" t="n">
        <f aca="false">IFERROR(IF(SUMPRODUCT((LEN(BC87)-LEN(SUBSTITUTE(BC87," "&amp;L_Pending&amp;" "," ")))/(LEN(L_Pending)+1))&gt;SUMPRODUCT((LEN(BC87)-LEN(SUBSTITUTE(BC87," "&amp;L_PendNeg&amp;" "," ")))/(LEN(L_PendNeg)+1)),1,0),1)</f>
        <v>0</v>
      </c>
      <c r="BI87" s="61" t="n">
        <f aca="false">IFERROR(IF(SUMPRODUCT((LEN(BD87)-LEN(SUBSTITUTE(BD87," "&amp;L_PendStrict&amp;" "," ")))/(LEN(L_PendStrict)+1))&gt;SUMPRODUCT((LEN(BD87)-LEN(SUBSTITUTE(BD87," "&amp;L_PendNeg&amp;" "," ")))/(LEN(L_PendNeg)+1)),1,0),1)</f>
        <v>0</v>
      </c>
      <c r="BJ87" s="61" t="n">
        <f aca="false">IFERROR(IF(SUMPRODUCT((LEN(BE87)-LEN(SUBSTITUTE(BE87," "&amp;L_Pending&amp;" "," ")))/(LEN(L_Pending)+1))&gt;SUMPRODUCT((LEN(BE87)-LEN(SUBSTITUTE(BE87," "&amp;L_PendNeg&amp;" "," ")))/(LEN(L_PendNeg)+1)),1,0),1)</f>
        <v>0</v>
      </c>
      <c r="BK87" s="61" t="n">
        <f aca="false">IFERROR(IF(SUMPRODUCT((LEN(BF87)-LEN(SUBSTITUTE(BF87," "&amp;L_PendStrict&amp;" "," ")))/(LEN(L_PendStrict)+1))&gt;SUMPRODUCT((LEN(BF87)-LEN(SUBSTITUTE(BF87," "&amp;L_PendNeg&amp;" "," ")))/(LEN(L_PendNeg)+1)),1,0),1)</f>
        <v>0</v>
      </c>
      <c r="BL87" s="61" t="n">
        <f aca="false">IF(ISNA(MATCH(TRIM(S87),L_EvidenceType,0)),0,BZ87)</f>
        <v>0</v>
      </c>
      <c r="BM87" s="61" t="str">
        <f aca="false">SUBSTITUTE(SUBSTITUTE(SUBSTITUTE(SUBSTITUTE(SUBSTITUTE(SUBSTITUTE(SUBSTITUTE(SUBSTITUTE(SUBSTITUTE(LOWER(Z87&amp;""),"1","0"),"2","0"),"3","0"),"4","0"),"5","0"),"6","0"),"7","0"),"8","0"),"9","0")</f>
        <v/>
      </c>
      <c r="BN87" s="61" t="str">
        <f aca="false">SUBSTITUTE(SUBSTITUTE(SUBSTITUTE(SUBSTITUTE(SUBSTITUTE(SUBSTITUTE(SUBSTITUTE(SUBSTITUTE(SUBSTITUTE(SUBSTITUTE(SUBSTITUTE(SUBSTITUTE(SUBSTITUTE(SUBSTITUTE(SUBSTITUTE(SUBSTITUTE(SUBSTITUTE(SUBSTITUTE(SUBSTITUTE(SUBSTITUTE(SUBSTITUTE(SUBSTITUTE(SUBSTITUTE(SUBSTITUTE(SUBSTITUTE(BM87,"b","a"),"c","a"),"d","a"),"e","a"),"f","a"),"g","a"),"h","a"),"i","a"),"j","a"),"k","a"),"l","a"),"m","a"),"n","a"),"o","a"),"p","a"),"q","a"),"r","a"),"s","a"),"t","a"),"u","a"),"v","a"),"w","a"),"x","a"),"y","a"),"z","a")</f>
        <v/>
      </c>
      <c r="BO87" s="61" t="str">
        <f aca="false">SUBSTITUTE(SUBSTITUTE(SUBSTITUTE(SUBSTITUTE(SUBSTITUTE(SUBSTITUTE(SUBSTITUTE(SUBSTITUTE(SUBSTITUTE(LOWER(W87&amp;""),"1","0"),"2","0"),"3","0"),"4","0"),"5","0"),"6","0"),"7","0"),"8","0"),"9","0")</f>
        <v/>
      </c>
      <c r="BP87" s="61" t="str">
        <f aca="false">SUBSTITUTE(SUBSTITUTE(SUBSTITUTE(SUBSTITUTE(SUBSTITUTE(SUBSTITUTE(SUBSTITUTE(SUBSTITUTE(SUBSTITUTE(SUBSTITUTE(SUBSTITUTE(SUBSTITUTE(SUBSTITUTE(SUBSTITUTE(SUBSTITUTE(SUBSTITUTE(SUBSTITUTE(SUBSTITUTE(SUBSTITUTE(SUBSTITUTE(SUBSTITUTE(SUBSTITUTE(SUBSTITUTE(SUBSTITUTE(SUBSTITUTE(BO87,"b","a"),"c","a"),"d","a"),"e","a"),"f","a"),"g","a"),"h","a"),"i","a"),"j","a"),"k","a"),"l","a"),"m","a"),"n","a"),"o","a"),"p","a"),"q","a"),"r","a"),"s","a"),"t","a"),"u","a"),"v","a"),"w","a"),"x","a"),"y","a"),"z","a")</f>
        <v/>
      </c>
      <c r="BQ87" s="61" t="n">
        <f aca="false">IFERROR(IF(AND(ISERROR(SEARCH(" mh"," "&amp;LOWER(W87))),ISNA(MATCH(LEFT(TRIM(BP87),255),{"0000a","000a","00a","0000aa","000aa","00aa","0aa","0000aaa","000aaa","00a00","0a00","0000-0000","00:00","a00","a0","00.00.0000","00/00/0000","00-00-0000","0000-00-00","0000/00/00","0000.00.00","00.00.00","00/00/00","00-00-00","0.00.0000","0/00/0000","0-00-0000"},0)),ISNA(MATCH(LEFT(TRIM(CA87),255),{"0000a","000a","00a","0000aa","000aa","00aa","0aa","0000aaa","000aaa","00a00","0a00","0000-0000","00:00","a00","a0","00.00.0000","00/00/0000","00-00-0000","0000-00-00","0000/00/00","0000.00.00","00.00.00","00/00/00","00-00-00","0.00.0000","0/00/0000","0-00-0000"},0)),LEN(CB87)&gt;=3,NOT(OR(SUBSTITUTE(CB87,"0","")="",AND(LEN(CB87)&gt;=4,CB87=REPT(LEFT(CB87),LEN(CB87))),ISNUMBER(MATCH(CB87,{"123","1234","12345","123456","1234567","12345678","0123","01234","012345","98765","987654","54321"},0)),AND(LEN(CB87)=8,LEFT(CB87,3)="202"))),OR(AND((LEN(CA87)-LEN(SUBSTITUTE(CA87,"a","")))&gt;=1,SUMPRODUCT(--ISNUMBER(SEARCH({"a0","a-0","a_0","a/0","a.0","a#0","0a","0-a","0_a","0/a"},BP87)))&gt;0),ISNUMBER(SEARCH("000000",BP87)))),1,0),0)</f>
        <v>0</v>
      </c>
      <c r="BR87" s="61" t="n">
        <f aca="false">IFERROR(LEN(SUBSTITUTE(CC87," ",""))-SUMPRODUCT((LEN(CC87)-LEN(SUBSTITUTE(CC87," "&amp;L_Role&amp;" "," ")))/(LEN(L_Role)+1)*LEN(L_Role)),0)</f>
        <v>0</v>
      </c>
      <c r="BS87" s="61" t="n">
        <f aca="false">IFERROR(LEN(SUBSTITUTE(CD87," ",""))-SUMPRODUCT((LEN(CD87)-LEN(SUBSTITUTE(CD87," "&amp;L_Role&amp;" "," ")))/(LEN(L_Role)+1)*LEN(L_Role)),0)</f>
        <v>0</v>
      </c>
      <c r="BT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87,"revision",""),"version",""),"jan",""),"feb",""),"mar",""),"apr",""),"may",""),"jun",""),"jul",""),"aug",""),"sep",""),"oct",""),"nov",""),"dec",""),"utc",""),"gmt",""),"myt",""),"bst",""),"rev",""),"ver",""),"b","a"),"c","a"),"d","a"),"e","a"),"f","a"),"g","a"),"h","a"),"i","a"),"j","a"),"k","a"),"l","a"),"m","a"),"n","a"),"o","a"),"p","a"),"q","a"),"r","a"),"s","a"),"t","a"),"u","a"),"v","a"),"w","a"),"x","a"),"y","a"),"z","a")</f>
        <v/>
      </c>
      <c r="BU87" s="61" t="str">
        <f aca="false">SUBSTITUTE(SUBSTITUTE(SUBSTITUTE(SUBSTITUTE(SUBSTITUTE(SUBSTITUTE(SUBSTITUTE(SUBSTITUTE(SUBSTITUTE(SUBSTITUTE(LEFT(BM87,FIND("0",BM87&amp;"0")-1),"-",""),"_",""),"/",""),".",""),"#",""),"\\",""),":","")," ",""),"(",""),")","")</f>
        <v/>
      </c>
      <c r="BV87" s="61" t="n">
        <f aca="false">IFERROR(IF(OR(SUMPRODUCT((LEN(BC87)-LEN(SUBSTITUTE(BC87," "&amp;L_NotLoaded&amp;" "," ")))/(LEN(L_NotLoaded)+1))&gt;SUMPRODUCT((LEN(BC87)-LEN(SUBSTITUTE(BC87," "&amp;L_NotLoadedNeg&amp;" "," ")))/(LEN(L_NotLoadedNeg)+1)),SUMPRODUCT((LEN(BD87)-LEN(SUBSTITUTE(BD87," "&amp;L_NotLoaded&amp;" "," ")))/(LEN(L_NotLoaded)+1))&gt;SUMPRODUCT((LEN(BD87)-LEN(SUBSTITUTE(BD87," "&amp;L_NotLoadedNeg&amp;" "," ")))/(LEN(L_NotLoadedNeg)+1))),1,0),0)</f>
        <v>0</v>
      </c>
      <c r="BW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87&amp;""),"a",""),"b",""),"c",""),"d",""),"e",""),"f",""),"g",""),"h",""),"i",""),"j",""),"k",""),"l",""),"m",""),"n",""),"o",""),"p",""),"q",""),"r",""),"s",""),"t",""),"u",""),"v",""),"w",""),"x",""),"y",""),"z",""),"-",""),"_",""),"/",""),".",""),"#",""),"\\",""),":","")," ",""),"(",""),")","")</f>
        <v/>
      </c>
      <c r="BX87" s="61" t="str">
        <f aca="false">SUBSTITUTE(SUBSTITUTE(SUBSTITUTE(SUBSTITUTE(SUBSTITUTE(SUBSTITUTE(SUBSTITUTE(SUBSTITUTE(SUBSTITUTE(SUBSTITUTE(SUBSTITUTE(BM87,"0",""),"-",""),"_",""),"/",""),".",""),"#",""),"\\",""),":","")," ",""),"(",""),")","")</f>
        <v/>
      </c>
      <c r="BY87" s="62" t="n">
        <f aca="false">IF(ISNUMBER(Flights!$AZ$7),MAX(Q87-UpliftWindowH/24,Flights!$AZ$7),Q87-UpliftWindowH/24)</f>
        <v>46305.1284722222</v>
      </c>
      <c r="BZ87" s="61" t="n">
        <f aca="false">IFERROR(IF(IF(TRIM(S87)="Link / file path",AND(LEN(TRIM(Z87))&gt;=5,SUMPRODUCT(--ISNUMBER(SEARCH({"http","www.","\\",":\",".pdf",".jpg",".jpeg",".png",".heic",".xls",".doc",".msg",".eml",".ppt",".txt",".zip"},Z87)))&gt;0),AND(ISERROR(FIND(" ",TRIM(Z87))),NOT(OR(SUMPRODUCT(--ISNUMBER(FIND({",",";","&amp;","+"},Z87)))&gt;0,SUMPRODUCT(--ISNUMBER(SEARCH({"0/aa","0\\aa"},BN87)))&gt;0)),NOT(SUMPRODUCT(--ISNUMBER(SEARCH({"http","www.","\\",":\",".pdf",".jpg",".jpeg",".png",".heic",".xls",".doc",".msg",".eml",".ppt",".txt",".zip"},Z87)))&gt;0),NOT(LOWER(TRIM(Z87))=LOWER(Flights!$F$7)),ISNA(MATCH(BU87,{"mh","rev","revision","ver","version","v","r","a","b","seat","tray","row","gate","bay","stand","page","pg","item","line","no","cart","galley","flight","flt","table","box","bag","oven","etd","eta","std","sta","atd","ata","qty","pax","x","time","tel","ph","mob","day","wk","week","utc","gmt","myt","lt"},0)),NOT(OR(ISNUMBER(MATCH(LEFT(BN87,255),{"0000a","000a","00a","0000aa","000aa","00aa","0aa","0000aaa","000aaa","00a00","0a00","0000-0000","00:00","a00","a0","00.00.0000","00/00/0000","00-00-0000","0000-00-00","0000/00/00","0000.00.00","00.00.00","00/00/00","00-00-00","0.00.0000","0/00/0000","0-00-0000"},0)),ISNUMBER(MATCH(LEFT(BT87,255),{"0000a","000a","00a","0000aa","000aa","00aa","0aa","0000aaa","000aaa","00a00","0a00","0000-0000","00:00","a00","a0","00.00.0000","00/00/0000","00-00-0000","0000-00-00","0000/00/00","0000.00.00","00.00.00","00/00/00","00-00-00","0.00.0000","0/00/0000","0-00-0000"},0)))),NOT(OR(AND(BW87&lt;&gt;"",SUBSTITUTE(BW87,"0","")=""),AND(LEN(BW87)&gt;=4,BW87=REPT(LEFT(BW87),LEN(BW87))),ISNUMBER(MATCH(BW87,{"123","1234","12345","123456","1234567","12345678","0123","01234","012345","98765","987654","54321"},0)),ISNUMBER(MATCH(BX87,{"x","xx","xxx","xxxx","xxxxx","abc","abcd","nil","na","nan","test","tbc","tba","tbd","dummy","sample","example","eg","zz","zzz","none","null","xyz","qwe","asd","id","ref"},0)),AND(LEN(BW87)=8,BX87="",OR(LEFT(BW87,3)="202",ISNUMBER(MATCH(RIGHT(BW87,4),{"2025","2026","2027"},0)))))),OR(AND((LEN(BT87)-LEN(SUBSTITUTE(BT87,"a","")))&gt;=1,(LEN(BN87)-LEN(SUBSTITUTE(BN87,"0","")))&gt;=2,SUMPRODUCT(--ISNUMBER(SEARCH({"a0","a-0","a_0","a/0","a.0","a#0","0a","0-a","0_a","0/a"},BN87)))&gt;0),AND((LEN(BN87)-LEN(SUBSTITUTE(BN87,"a","")))=0,(LEN(BN87)-LEN(SUBSTITUTE(BN87,"0","")))&gt;=5)))),1,0),0)</f>
        <v>0</v>
      </c>
      <c r="CA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87,"revision",""),"version",""),"jan",""),"feb",""),"mar",""),"apr",""),"may",""),"jun",""),"jul",""),"aug",""),"sep",""),"oct",""),"nov",""),"dec",""),"utc",""),"gmt",""),"myt",""),"bst",""),"rev",""),"ver",""),"b","a"),"c","a"),"d","a"),"e","a"),"f","a"),"g","a"),"h","a"),"i","a"),"j","a"),"k","a"),"l","a"),"m","a"),"n","a"),"o","a"),"p","a"),"q","a"),"r","a"),"s","a"),"t","a"),"u","a"),"v","a"),"w","a"),"x","a"),"y","a"),"z","a")</f>
        <v/>
      </c>
      <c r="CB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87&amp;""),"a",""),"b",""),"c",""),"d",""),"e",""),"f",""),"g",""),"h",""),"i",""),"j",""),"k",""),"l",""),"m",""),"n",""),"o",""),"p",""),"q",""),"r",""),"s",""),"t",""),"u",""),"v",""),"w",""),"x",""),"y",""),"z",""),"-",""),"_",""),"/",""),".",""),"#",""),"\\",""),":","")," ",""),"(",""),")","")</f>
        <v/>
      </c>
      <c r="CC87" s="0" t="str">
        <f aca="false">" "&amp;TRIM(SUBSTITUTE(SUBSTITUTE(SUBSTITUTE(SUBSTITUTE(SUBSTITUTE(SUBSTITUTE(SUBSTITUTE(SUBSTITUTE(SUBSTITUTE(SUBSTITUTE(SUBSTITUTE(SUBSTITUTE(SUBSTITUTE(SUBSTITUTE(SUBSTITUTE(SUBSTITUTE(SUBSTITUTE(SUBSTITUTE(SUBSTITUTE(SUBSTITUTE(SUBSTITUTE(SUBSTITUTE(SUBSTITUTE(SUBSTITUTE(LOWER(T87&amp;""),CHAR(10)," "),CHAR(13)," "),CHAR(9)," "),CHAR(160)," "),"."," "),","," "),"-"," "),"/"," "),"("," "),")"," "),":"," "),";"," "),"_"," "),"–"," "),"?"," "),"!"," "),"*"," "),"["," "),"]"," "),"'"," "),"#"," "),"+"," "),"&amp;"," "),"\"," "))&amp;" "</f>
        <v>  </v>
      </c>
      <c r="CD87" s="0" t="str">
        <f aca="false">" "&amp;TRIM(SUBSTITUTE(SUBSTITUTE(SUBSTITUTE(SUBSTITUTE(SUBSTITUTE(SUBSTITUTE(SUBSTITUTE(SUBSTITUTE(SUBSTITUTE(SUBSTITUTE(SUBSTITUTE(SUBSTITUTE(SUBSTITUTE(SUBSTITUTE(SUBSTITUTE(SUBSTITUTE(SUBSTITUTE(SUBSTITUTE(SUBSTITUTE(SUBSTITUTE(SUBSTITUTE(SUBSTITUTE(SUBSTITUTE(SUBSTITUTE(LOWER(AE87&amp;""),CHAR(10)," "),CHAR(13)," "),CHAR(9)," "),CHAR(160)," "),"."," "),","," "),"-"," "),"/"," "),"("," "),")"," "),":"," "),";"," "),"_"," "),"–"," "),"?"," "),"!"," "),"*"," "),"["," "),"]"," "),"'"," "),"#"," "),"+"," "),"&amp;"," "),"\"," "))&amp;" "</f>
        <v>  </v>
      </c>
      <c r="CE87" s="68" t="n">
        <f aca="false">IFERROR(IF(AND(LEN(AU87)&gt;0,LEN(AU87)=LEN(AX87),OR(TRIM(MID(SUBSTITUTE(TRIM(CC87)," ",REPT(" ",60)),1,60))="",ISNUMBER(SEARCH(" "&amp;TRIM(MID(SUBSTITUTE(TRIM(CC87)," ",REPT(" ",60)),1,60))&amp;" ",CD87))),OR(TRIM(MID(SUBSTITUTE(TRIM(CC87)," ",REPT(" ",60)),61,60))="",ISNUMBER(SEARCH(" "&amp;TRIM(MID(SUBSTITUTE(TRIM(CC87)," ",REPT(" ",60)),61,60))&amp;" ",CD87))),OR(TRIM(MID(SUBSTITUTE(TRIM(CC87)," ",REPT(" ",60)),121,60))="",ISNUMBER(SEARCH(" "&amp;TRIM(MID(SUBSTITUTE(TRIM(CC87)," ",REPT(" ",60)),121,60))&amp;" ",CD87)))),1,0),0)</f>
        <v>0</v>
      </c>
      <c r="CG87" s="68" t="n">
        <f aca="false">IFERROR(LEN(SUBSTITUTE(BF87," ",""))-SUMPRODUCT((LEN(BF87)-LEN(SUBSTITUTE(BF87," "&amp;L_NAFiller&amp;" "," ")))/(LEN(L_NAFiller)+1)*LEN(L_NAFiller)),0)</f>
        <v>0</v>
      </c>
    </row>
    <row r="88" customFormat="false" ht="39.75" hidden="false" customHeight="true" outlineLevel="0" collapsed="false">
      <c r="A88" s="57" t="s">
        <v>579</v>
      </c>
      <c r="B88" s="57" t="s">
        <v>212</v>
      </c>
      <c r="C88" s="57" t="str">
        <f aca="false">Flights!$F$7</f>
        <v>MH0720</v>
      </c>
      <c r="D88" s="58" t="n">
        <f aca="false">Flights!$D$7</f>
        <v>46305</v>
      </c>
      <c r="E88" s="57" t="str">
        <f aca="false">Flights!$G$7&amp;"-"&amp;Flights!$H$7</f>
        <v>CGK-KUL</v>
      </c>
      <c r="F88" s="57" t="str">
        <f aca="false">Flights!$K$7</f>
        <v>EY</v>
      </c>
      <c r="G88" s="57" t="s">
        <v>459</v>
      </c>
      <c r="H88" s="57" t="s">
        <v>460</v>
      </c>
      <c r="I88" s="57" t="s">
        <v>428</v>
      </c>
      <c r="J88" s="57" t="s">
        <v>465</v>
      </c>
      <c r="K88" s="67" t="s">
        <v>426</v>
      </c>
      <c r="L88" s="67" t="s">
        <v>462</v>
      </c>
      <c r="M88" s="67"/>
      <c r="N88" s="67" t="s">
        <v>383</v>
      </c>
      <c r="O88" s="67" t="s">
        <v>463</v>
      </c>
      <c r="P88" s="57" t="s">
        <v>201</v>
      </c>
      <c r="Q88" s="59" t="n">
        <f aca="false">ROUND((Flights!$AF$7)*1440,0)/1440</f>
        <v>46305.3784722222</v>
      </c>
      <c r="R88" s="59" t="n">
        <f aca="false">Q88+(IF(AND(INDEX(TZ_DSTS,MATCH(P88,TZ_STN,0))&lt;&gt;"",Q88&gt;=INDEX(TZ_DSTS,MATCH(P88,TZ_STN,0)),Q88&lt;INDEX(TZ_DSTE,MATCH(P88,TZ_STN,0))),INDEX(TZ_DST,MATCH(P88,TZ_STN,0)),INDEX(TZ_STD,MATCH(P88,TZ_STN,0))))/24</f>
        <v>46305.6701388889</v>
      </c>
      <c r="S88" s="60"/>
      <c r="T88" s="60"/>
      <c r="U88" s="60"/>
      <c r="V88" s="60"/>
      <c r="W88" s="61"/>
      <c r="X88" s="60"/>
      <c r="Y88" s="60"/>
      <c r="Z88" s="60"/>
      <c r="AA88" s="60"/>
      <c r="AB88" s="60"/>
      <c r="AC88" s="60"/>
      <c r="AD88" s="66"/>
      <c r="AE88" s="60"/>
      <c r="AF88" s="61" t="str">
        <f aca="false">IF(AND(ISNUMBER(X88),ISNUMBER(Y88)),Y88-X88,"")</f>
        <v/>
      </c>
      <c r="AG88" s="62" t="str">
        <f aca="false">IF(ISNUMBER(AD88),AD88-(IF(AND(INDEX(TZ_DSTS,MATCH(P88,TZ_STN,0))&lt;&gt;"",(AD88-INDEX(TZ_STD,MATCH(P88,TZ_STN,0))/24)&gt;=INDEX(TZ_DSTS,MATCH(P88,TZ_STN,0)),(AD88-INDEX(TZ_STD,MATCH(P88,TZ_STN,0))/24)&lt;INDEX(TZ_DSTE,MATCH(P88,TZ_STN,0))),INDEX(TZ_DST,MATCH(P88,TZ_STN,0)),INDEX(TZ_STD,MATCH(P88,TZ_STN,0))))/24,"")</f>
        <v/>
      </c>
      <c r="AH88" s="65" t="str">
        <f aca="false">IFERROR(IF(N88="N/A – rule",IF(OR(TRIM(U88)="",TRIM(U88)="N/A",TRIM(U88)="Not started"),"N/A – RULE","INVALID – this check does not apply to this aircraft: clear the status (or correct the fleet on Flights)"),IF(TRIM(U88)="N/A",IF(AT88=0,"INVALID – N/A not permitted for this check",IF(AND(TRIM(AB88)&lt;&gt;"",TRIM(AB88)&lt;&gt;"Closed"),"INVALID – corrective action still open",IF(AND(NOT(OR(LEN(AZ88)&lt;15,ISNUMBER(MATCH(AZ88,L_Placeholder,0)))),BK88=0,CG88&gt;=8,NOT(OR(LEN(AU88)&lt;2,ISNUMBER(MATCH(AU88,L_Placeholder,0)))),BR88&gt;=3,NOT(OR(LEN(AX88)&lt;2,ISNUMBER(MATCH(AX88,L_Placeholder,0)))),BS88&gt;=3,TRIM(AE88)&lt;&gt;TRIM(T88),AX88&lt;&gt;AU88,CE88=0),"N/A – JUSTIFIED","INVALID – N/A needs a real, settled reason (not 'not applicable' / 'as above' / TBC), a named PIC and a different named verifier"))),IF(OR(TRIM(U88)="Pass",TRIM(U88)="Pass after CA"),IF(NOT(ISNUMBER(AD88)),"INVALID – completion time missing",IF(OR(OR(LEN(AU88)&lt;2,ISNUMBER(MATCH(AU88,L_Placeholder,0))),BR88&lt;3),"INVALID – PIC missing or not a named person (a role such as QA / CSM is not a name)",IF(OR(LEN(AV88)&lt;2,ISNUMBER(MATCH(AV88,L_Placeholder,0))),"INVALID – result / assessment missing",IF(OR(OR(LEN(AW88)&lt;3,ISNUMBER(MATCH(AW88,L_Placeholder,0))),SUMPRODUCT(--ISNUMBER(SEARCH(" "&amp;L_EvidencePhrase&amp;" ",BD88)))&gt;0,BI88=1),"INVALID – evidence missing, placeholder or not yet on file",IF(ISNA(MATCH(TRIM(S88),L_EvidenceType,0)),"INVALID – choose the evidence type from the list (column S)",IF(BL88=0,"INVALID – evidence ID must be the record's own ID only (e.g. SF-2210, IMG_2231, 1045521); a link / file name needs type 'Link / file path'",IF(OR(OR(LEN(AX88)&lt;2,ISNUMBER(MATCH(AX88,L_Placeholder,0))),BS88&lt;3),"INVALID – verifier missing or not a named person (a role such as QA / CSM is not a name)",IF(OR(AX88=AU88,CE88=1,AND(LEN(AU88)&gt;=4,ISNUMBER(SEARCH(AU88,AX88))),AND(LEN(AX88)&gt;=4,ISNUMBER(SEARCH(AX88,AU88)))),"INVALID – verifier must be a different, named person (not the PIC or a role)",IF(BH88=1,"INVALID – result not yet available (awaiting / TBC)",IF(BG88=1,"INVALID – result describes a problem: record Fail, then Pass after CA (or reword if it is not a problem)",IF(BV88=1,"INVALID – wording says not on board: an on-board confirmation needs the item loaded",IF(AND(AQ88=1,OR(OR(LEN(AY88)&lt;3,ISNUMBER(MATCH(AY88,L_Placeholder,0))),BJ88=1,BQ88=0)),"INVALID – batch ID missing, placeholder or not an ID (e.g. PASB-261008-BC-017)",IF(AND(AR88=1,OR(NOT(ISNUMBER(X88)),NOT(ISNUMBER(Y88)))),"INVALID – expected/actual qty missing",IF(AND(AR88=1,OR(X88&lt;=0,Y88&lt;0)),"INVALID – expected qty must be above 0 and actual not negative",IF(AH84="N/A – JUSTIFIED","INVALID – preparation row F03-T12-06 is N/A",IF(AND(AR88=1,ISNUMBER(X84),X88&lt;&gt;X84,TRIM(U88)&lt;&gt;"Pass after CA"),"INVALID – expected qty differs from preparation check F03-T12-06: record the load change as a corrective action (Pass after CA)",IF(BB88&lt;&gt;"",BB88,IF(AND(AS88=1,Documents!$J$7&lt;&gt;"ON FILE"),"INVALID – GLD not on file (Documents sheet)",IF(AND(AS88=2,Documents!$O$7&lt;&gt;"ON FILE"),"INVALID – menu checklist not on file (Documents sheet)",IF(AND(AS88=3,NOT(ISNUMBER(Flights!$AX$7))),"INVALID – enter carrying flight KUL departure (Flights AX)",IF(AND(AS88=3,OR(Flights!$AZ$7&gt;Flights!$AA$7,Flights!$AX$7&lt;Flights!$AA$7-3)),"INVALID – carrying flight (Flights AX) cannot arrive before this leg's STD, or is over 3 days early",IF(AG88&gt;AsOfUTC,"INVALID – completion time is in the future",IF(AND(ISNUMBER(BY88),AG88&lt;BY88),IF(H88="Physical uplift","INVALID – before uplift window (cannot confirm loading)","INVALID – before valid window"),IF(AG88&gt;Flights!$AA$7,"INVALID – completed after departure (cannot establish readiness)",IF(AND(H88="Preparation",AG88&gt;=IF(ISNUMBER(Flights!$BA$7),MIN(Flights!$BA$7,Flights!$AA$7),Flights!$AA$7)),"INVALID – completed after loading / departure (cannot establish readiness)",IF(AND(H88="Physical uplift",AG88&gt;Q88),"INVALID – recorded after the loading flight departed",IF(AG88&gt;Q88,"COMPLETE – LATE","COMPLETE"))))))))))))))))))))))))))),IF(TRIM(U88)="Fail","FAIL – DISCREPANCY",IF(AND(TRIM(U88)&lt;&gt;"",TRIM(U88)&lt;&gt;"Not started",TRIM(U88)&lt;&gt;"In progress"),"INVALID – unrecognised status (use the list)",IF(AsOfUTC&gt;Q88,"OVERDUE",IF(N88="Clarification required","OPEN – CLARIFICATION","OPEN"))))))),"INVALID – error value in an input cell")</f>
        <v>OPEN</v>
      </c>
      <c r="AI88" s="61" t="n">
        <f aca="false">IF(OR(AH88="N/A – RULE",AH88="N/A – JUSTIFIED"),0,1)</f>
        <v>1</v>
      </c>
      <c r="AJ88" s="61" t="n">
        <f aca="false">IF(LEFT(AH88,8)="COMPLETE",1,0)</f>
        <v>0</v>
      </c>
      <c r="AK88" s="61" t="n">
        <f aca="false">IF(AND(AI88=1,AJ88=0,AsOfUTC&gt;Q88),1,0)</f>
        <v>0</v>
      </c>
      <c r="AL88" s="61" t="n">
        <f aca="false">IFERROR(IF(AND(AI88=1,OR(TRIM(U88)="Fail",AND(TRIM(AB88)&lt;&gt;"",TRIM(AB88)&lt;&gt;"Closed"),AND(ISNUMBER(AF88),AF88&lt;&gt;0,TRIM(U88)&lt;&gt;"Pass after CA"))),1,0),1)</f>
        <v>0</v>
      </c>
      <c r="AM88" s="61" t="n">
        <f aca="false">IF(LEFT(AH88,7)="INVALID",1,0)</f>
        <v>0</v>
      </c>
      <c r="AN88" s="61" t="n">
        <f aca="false">IF(AND(N88="Clarification required",AI88=1,AJ88=0),1,0)</f>
        <v>0</v>
      </c>
      <c r="AO88" s="61" t="str">
        <f aca="false">IF(AK88=1,SUM(AK$5:AK88),"")</f>
        <v/>
      </c>
      <c r="AP88" s="61" t="str">
        <f aca="false">IF(AL88=1,SUM(AL$5:AL88),"")</f>
        <v/>
      </c>
      <c r="AQ88" s="61" t="n">
        <v>0</v>
      </c>
      <c r="AR88" s="61" t="n">
        <v>1</v>
      </c>
      <c r="AS88" s="61" t="n">
        <v>0</v>
      </c>
      <c r="AT88" s="61" t="n">
        <v>0</v>
      </c>
      <c r="AU88" s="61" t="str">
        <f aca="false">SUBSTITUTE(SUBSTITUTE(SUBSTITUTE(SUBSTITUTE(SUBSTITUTE(SUBSTITUTE(SUBSTITUTE(SUBSTITUTE(SUBSTITUTE(SUBSTITUTE(SUBSTITUTE(SUBSTITUTE(SUBSTITUTE(SUBSTITUTE(SUBSTITUTE(SUBSTITUTE(LOWER(T88&amp;""),CHAR(10),""),CHAR(13),""),CHAR(9),""),CHAR(160),"")," ",""),".",""),"-",""),"/",""),"?",""),"_",""),",",""),"[",""),"]",""),"(",""),")",""),"*","")</f>
        <v/>
      </c>
      <c r="AV88" s="61" t="str">
        <f aca="false">SUBSTITUTE(SUBSTITUTE(SUBSTITUTE(SUBSTITUTE(SUBSTITUTE(SUBSTITUTE(SUBSTITUTE(SUBSTITUTE(SUBSTITUTE(SUBSTITUTE(SUBSTITUTE(SUBSTITUTE(SUBSTITUTE(SUBSTITUTE(SUBSTITUTE(SUBSTITUTE(LOWER(V88&amp;""),CHAR(10),""),CHAR(13),""),CHAR(9),""),CHAR(160),"")," ",""),".",""),"-",""),"/",""),"?",""),"_",""),",",""),"[",""),"]",""),"(",""),")",""),"*","")</f>
        <v/>
      </c>
      <c r="AW88" s="61" t="str">
        <f aca="false">SUBSTITUTE(SUBSTITUTE(SUBSTITUTE(SUBSTITUTE(SUBSTITUTE(SUBSTITUTE(SUBSTITUTE(SUBSTITUTE(SUBSTITUTE(SUBSTITUTE(SUBSTITUTE(SUBSTITUTE(SUBSTITUTE(SUBSTITUTE(SUBSTITUTE(SUBSTITUTE(LOWER(Z88&amp;""),CHAR(10),""),CHAR(13),""),CHAR(9),""),CHAR(160),"")," ",""),".",""),"-",""),"/",""),"?",""),"_",""),",",""),"[",""),"]",""),"(",""),")",""),"*","")</f>
        <v/>
      </c>
      <c r="AX88" s="61" t="str">
        <f aca="false">SUBSTITUTE(SUBSTITUTE(SUBSTITUTE(SUBSTITUTE(SUBSTITUTE(SUBSTITUTE(SUBSTITUTE(SUBSTITUTE(SUBSTITUTE(SUBSTITUTE(SUBSTITUTE(SUBSTITUTE(SUBSTITUTE(SUBSTITUTE(SUBSTITUTE(SUBSTITUTE(LOWER(AE88&amp;""),CHAR(10),""),CHAR(13),""),CHAR(9),""),CHAR(160),"")," ",""),".",""),"-",""),"/",""),"?",""),"_",""),",",""),"[",""),"]",""),"(",""),")",""),"*","")</f>
        <v/>
      </c>
      <c r="AY88" s="61" t="str">
        <f aca="false">SUBSTITUTE(SUBSTITUTE(SUBSTITUTE(SUBSTITUTE(SUBSTITUTE(SUBSTITUTE(SUBSTITUTE(SUBSTITUTE(SUBSTITUTE(SUBSTITUTE(SUBSTITUTE(SUBSTITUTE(SUBSTITUTE(SUBSTITUTE(SUBSTITUTE(SUBSTITUTE(LOWER(W88&amp;""),CHAR(10),""),CHAR(13),""),CHAR(9),""),CHAR(160),"")," ",""),".",""),"-",""),"/",""),"?",""),"_",""),",",""),"[",""),"]",""),"(",""),")",""),"*","")</f>
        <v/>
      </c>
      <c r="AZ88" s="61" t="str">
        <f aca="false">SUBSTITUTE(SUBSTITUTE(SUBSTITUTE(SUBSTITUTE(SUBSTITUTE(SUBSTITUTE(SUBSTITUTE(SUBSTITUTE(SUBSTITUTE(SUBSTITUTE(SUBSTITUTE(SUBSTITUTE(SUBSTITUTE(SUBSTITUTE(SUBSTITUTE(SUBSTITUTE(LOWER(AC88&amp;""),CHAR(10),""),CHAR(13),""),CHAR(9),""),CHAR(160),"")," ",""),".",""),"-",""),"/",""),"?",""),"_",""),",",""),"[",""),"]",""),"(",""),")",""),"*","")</f>
        <v/>
      </c>
      <c r="BA88" s="61" t="str">
        <f aca="false">SUBSTITUTE(SUBSTITUTE(SUBSTITUTE(SUBSTITUTE(SUBSTITUTE(SUBSTITUTE(SUBSTITUTE(SUBSTITUTE(SUBSTITUTE(SUBSTITUTE(SUBSTITUTE(SUBSTITUTE(SUBSTITUTE(SUBSTITUTE(SUBSTITUTE(SUBSTITUTE(LOWER(AA88&amp;""),CHAR(10),""),CHAR(13),""),CHAR(9),""),CHAR(160),"")," ",""),".",""),"-",""),"/",""),"?",""),"_",""),",",""),"[",""),"]",""),"(",""),")",""),"*","")</f>
        <v/>
      </c>
      <c r="BB88" s="61" t="str">
        <f aca="false">IF(AND(TRIM(U88)="Pass",ISNUMBER(AF88)),IF(AF88&lt;&gt;0,"INVALID – qty variance: use Fail or Pass after CA",""),"")&amp;IF(AND(TRIM(U88)="Pass after CA",ISNUMBER(AF88)),IF(AF88&lt;&gt;0,"INVALID – after the corrective action the actual qty must equal expected (update Actual)",""),"")&amp;IF(AND(TRIM(U88)="Pass",TRIM(AB88)&lt;&gt;"",TRIM(AB88)&lt;&gt;"Closed"),"INVALID – corrective action not closed: use Fail, then Pass after CA","")&amp;IF(AND(LEN(BA88)&gt;=2,ISNA(MATCH(LEFT(BA88,255),L_Placeholder,0)),TRIM(AB88)=""),"INVALID – CA status missing for the recorded corrective action","")&amp;IF(AND(TRIM(U88)="Pass after CA",OR(OR(LEN(BA88)&lt;5,ISNUMBER(MATCH(BA88,L_Placeholder,0))),TRIM(AB88)&lt;&gt;"Closed")),"INVALID – corrective action not recorded/closed","")</f>
        <v/>
      </c>
      <c r="BC88" s="61" t="str">
        <f aca="false">" "&amp;TRIM(SUBSTITUTE(SUBSTITUTE(SUBSTITUTE(SUBSTITUTE(SUBSTITUTE(SUBSTITUTE(SUBSTITUTE(SUBSTITUTE(SUBSTITUTE(SUBSTITUTE(SUBSTITUTE(SUBSTITUTE(SUBSTITUTE(SUBSTITUTE(SUBSTITUTE(SUBSTITUTE(SUBSTITUTE(SUBSTITUTE(SUBSTITUTE(SUBSTITUTE(SUBSTITUTE(SUBSTITUTE(SUBSTITUTE(SUBSTITUTE(LOWER(V88&amp;""),CHAR(10)," "),CHAR(13)," "),CHAR(9)," "),CHAR(160)," "),"."," "),","," "),"-"," "),"/"," "),"("," "),")"," "),":"," "),";"," "),"_"," "),"–"," "),"?"," "),"!"," "),"*"," "),"["," "),"]"," "),"'"," "),"#"," "),"+"," "),"&amp;"," "),"\"," "))&amp;" "</f>
        <v>  </v>
      </c>
      <c r="BD88" s="61" t="str">
        <f aca="false">" "&amp;TRIM(SUBSTITUTE(SUBSTITUTE(SUBSTITUTE(SUBSTITUTE(SUBSTITUTE(SUBSTITUTE(SUBSTITUTE(SUBSTITUTE(SUBSTITUTE(SUBSTITUTE(SUBSTITUTE(SUBSTITUTE(SUBSTITUTE(SUBSTITUTE(SUBSTITUTE(SUBSTITUTE(SUBSTITUTE(SUBSTITUTE(SUBSTITUTE(SUBSTITUTE(SUBSTITUTE(SUBSTITUTE(SUBSTITUTE(SUBSTITUTE(LOWER(Z88&amp;""),CHAR(10)," "),CHAR(13)," "),CHAR(9)," "),CHAR(160)," "),"."," "),","," "),"-"," "),"/"," "),"("," "),")"," "),":"," "),";"," "),"_"," "),"–"," "),"?"," "),"!"," "),"*"," "),"["," "),"]"," "),"'"," "),"#"," "),"+"," "),"&amp;"," "),"\"," "))&amp;" "</f>
        <v>  </v>
      </c>
      <c r="BE88" s="61" t="str">
        <f aca="false">" "&amp;TRIM(SUBSTITUTE(SUBSTITUTE(SUBSTITUTE(SUBSTITUTE(SUBSTITUTE(SUBSTITUTE(SUBSTITUTE(SUBSTITUTE(SUBSTITUTE(SUBSTITUTE(SUBSTITUTE(SUBSTITUTE(SUBSTITUTE(SUBSTITUTE(SUBSTITUTE(SUBSTITUTE(SUBSTITUTE(SUBSTITUTE(SUBSTITUTE(SUBSTITUTE(SUBSTITUTE(SUBSTITUTE(SUBSTITUTE(SUBSTITUTE(LOWER(W88&amp;""),CHAR(10)," "),CHAR(13)," "),CHAR(9)," "),CHAR(160)," "),"."," "),","," "),"-"," "),"/"," "),"("," "),")"," "),":"," "),";"," "),"_"," "),"–"," "),"?"," "),"!"," "),"*"," "),"["," "),"]"," "),"'"," "),"#"," "),"+"," "),"&amp;"," "),"\"," "))&amp;" "</f>
        <v>  </v>
      </c>
      <c r="BF88" s="61" t="str">
        <f aca="false">" "&amp;TRIM(SUBSTITUTE(SUBSTITUTE(SUBSTITUTE(SUBSTITUTE(SUBSTITUTE(SUBSTITUTE(SUBSTITUTE(SUBSTITUTE(SUBSTITUTE(SUBSTITUTE(SUBSTITUTE(SUBSTITUTE(SUBSTITUTE(SUBSTITUTE(SUBSTITUTE(SUBSTITUTE(SUBSTITUTE(SUBSTITUTE(SUBSTITUTE(SUBSTITUTE(SUBSTITUTE(SUBSTITUTE(SUBSTITUTE(SUBSTITUTE(LOWER(AC88&amp;""),CHAR(10)," "),CHAR(13)," "),CHAR(9)," "),CHAR(160)," "),"."," "),","," "),"-"," "),"/"," "),"("," "),")"," "),":"," "),";"," "),"_"," "),"–"," "),"?"," "),"!"," "),"*"," "),"["," "),"]"," "),"'"," "),"#"," "),"+"," "),"&amp;"," "),"\"," "))&amp;" "</f>
        <v>  </v>
      </c>
      <c r="BG88" s="61" t="n">
        <f aca="false">IFERROR(IF(AND(TRIM(U88)="Pass",SUMPRODUCT((LEN(BC88)-LEN(SUBSTITUTE(BC88," "&amp;L_ResultBad&amp;" "," ")))/(LEN(L_ResultBad)+1))&gt;SUMPRODUCT((LEN(BC88)-LEN(SUBSTITUTE(BC88," "&amp;L_NegPhrase&amp;" "," ")))/(LEN(L_NegPhrase)+1))),1,0),0)</f>
        <v>0</v>
      </c>
      <c r="BH88" s="61" t="n">
        <f aca="false">IFERROR(IF(SUMPRODUCT((LEN(BC88)-LEN(SUBSTITUTE(BC88," "&amp;L_Pending&amp;" "," ")))/(LEN(L_Pending)+1))&gt;SUMPRODUCT((LEN(BC88)-LEN(SUBSTITUTE(BC88," "&amp;L_PendNeg&amp;" "," ")))/(LEN(L_PendNeg)+1)),1,0),1)</f>
        <v>0</v>
      </c>
      <c r="BI88" s="61" t="n">
        <f aca="false">IFERROR(IF(SUMPRODUCT((LEN(BD88)-LEN(SUBSTITUTE(BD88," "&amp;L_PendStrict&amp;" "," ")))/(LEN(L_PendStrict)+1))&gt;SUMPRODUCT((LEN(BD88)-LEN(SUBSTITUTE(BD88," "&amp;L_PendNeg&amp;" "," ")))/(LEN(L_PendNeg)+1)),1,0),1)</f>
        <v>0</v>
      </c>
      <c r="BJ88" s="61" t="n">
        <f aca="false">IFERROR(IF(SUMPRODUCT((LEN(BE88)-LEN(SUBSTITUTE(BE88," "&amp;L_Pending&amp;" "," ")))/(LEN(L_Pending)+1))&gt;SUMPRODUCT((LEN(BE88)-LEN(SUBSTITUTE(BE88," "&amp;L_PendNeg&amp;" "," ")))/(LEN(L_PendNeg)+1)),1,0),1)</f>
        <v>0</v>
      </c>
      <c r="BK88" s="61" t="n">
        <f aca="false">IFERROR(IF(SUMPRODUCT((LEN(BF88)-LEN(SUBSTITUTE(BF88," "&amp;L_PendStrict&amp;" "," ")))/(LEN(L_PendStrict)+1))&gt;SUMPRODUCT((LEN(BF88)-LEN(SUBSTITUTE(BF88," "&amp;L_PendNeg&amp;" "," ")))/(LEN(L_PendNeg)+1)),1,0),1)</f>
        <v>0</v>
      </c>
      <c r="BL88" s="61" t="n">
        <f aca="false">IF(ISNA(MATCH(TRIM(S88),L_EvidenceType,0)),0,BZ88)</f>
        <v>0</v>
      </c>
      <c r="BM88" s="61" t="str">
        <f aca="false">SUBSTITUTE(SUBSTITUTE(SUBSTITUTE(SUBSTITUTE(SUBSTITUTE(SUBSTITUTE(SUBSTITUTE(SUBSTITUTE(SUBSTITUTE(LOWER(Z88&amp;""),"1","0"),"2","0"),"3","0"),"4","0"),"5","0"),"6","0"),"7","0"),"8","0"),"9","0")</f>
        <v/>
      </c>
      <c r="BN88" s="61" t="str">
        <f aca="false">SUBSTITUTE(SUBSTITUTE(SUBSTITUTE(SUBSTITUTE(SUBSTITUTE(SUBSTITUTE(SUBSTITUTE(SUBSTITUTE(SUBSTITUTE(SUBSTITUTE(SUBSTITUTE(SUBSTITUTE(SUBSTITUTE(SUBSTITUTE(SUBSTITUTE(SUBSTITUTE(SUBSTITUTE(SUBSTITUTE(SUBSTITUTE(SUBSTITUTE(SUBSTITUTE(SUBSTITUTE(SUBSTITUTE(SUBSTITUTE(SUBSTITUTE(BM88,"b","a"),"c","a"),"d","a"),"e","a"),"f","a"),"g","a"),"h","a"),"i","a"),"j","a"),"k","a"),"l","a"),"m","a"),"n","a"),"o","a"),"p","a"),"q","a"),"r","a"),"s","a"),"t","a"),"u","a"),"v","a"),"w","a"),"x","a"),"y","a"),"z","a")</f>
        <v/>
      </c>
      <c r="BO88" s="61" t="str">
        <f aca="false">SUBSTITUTE(SUBSTITUTE(SUBSTITUTE(SUBSTITUTE(SUBSTITUTE(SUBSTITUTE(SUBSTITUTE(SUBSTITUTE(SUBSTITUTE(LOWER(W88&amp;""),"1","0"),"2","0"),"3","0"),"4","0"),"5","0"),"6","0"),"7","0"),"8","0"),"9","0")</f>
        <v/>
      </c>
      <c r="BP88" s="61" t="str">
        <f aca="false">SUBSTITUTE(SUBSTITUTE(SUBSTITUTE(SUBSTITUTE(SUBSTITUTE(SUBSTITUTE(SUBSTITUTE(SUBSTITUTE(SUBSTITUTE(SUBSTITUTE(SUBSTITUTE(SUBSTITUTE(SUBSTITUTE(SUBSTITUTE(SUBSTITUTE(SUBSTITUTE(SUBSTITUTE(SUBSTITUTE(SUBSTITUTE(SUBSTITUTE(SUBSTITUTE(SUBSTITUTE(SUBSTITUTE(SUBSTITUTE(SUBSTITUTE(BO88,"b","a"),"c","a"),"d","a"),"e","a"),"f","a"),"g","a"),"h","a"),"i","a"),"j","a"),"k","a"),"l","a"),"m","a"),"n","a"),"o","a"),"p","a"),"q","a"),"r","a"),"s","a"),"t","a"),"u","a"),"v","a"),"w","a"),"x","a"),"y","a"),"z","a")</f>
        <v/>
      </c>
      <c r="BQ88" s="61" t="n">
        <f aca="false">IFERROR(IF(AND(ISERROR(SEARCH(" mh"," "&amp;LOWER(W88))),ISNA(MATCH(LEFT(TRIM(BP88),255),{"0000a","000a","00a","0000aa","000aa","00aa","0aa","0000aaa","000aaa","00a00","0a00","0000-0000","00:00","a00","a0","00.00.0000","00/00/0000","00-00-0000","0000-00-00","0000/00/00","0000.00.00","00.00.00","00/00/00","00-00-00","0.00.0000","0/00/0000","0-00-0000"},0)),ISNA(MATCH(LEFT(TRIM(CA88),255),{"0000a","000a","00a","0000aa","000aa","00aa","0aa","0000aaa","000aaa","00a00","0a00","0000-0000","00:00","a00","a0","00.00.0000","00/00/0000","00-00-0000","0000-00-00","0000/00/00","0000.00.00","00.00.00","00/00/00","00-00-00","0.00.0000","0/00/0000","0-00-0000"},0)),LEN(CB88)&gt;=3,NOT(OR(SUBSTITUTE(CB88,"0","")="",AND(LEN(CB88)&gt;=4,CB88=REPT(LEFT(CB88),LEN(CB88))),ISNUMBER(MATCH(CB88,{"123","1234","12345","123456","1234567","12345678","0123","01234","012345","98765","987654","54321"},0)),AND(LEN(CB88)=8,LEFT(CB88,3)="202"))),OR(AND((LEN(CA88)-LEN(SUBSTITUTE(CA88,"a","")))&gt;=1,SUMPRODUCT(--ISNUMBER(SEARCH({"a0","a-0","a_0","a/0","a.0","a#0","0a","0-a","0_a","0/a"},BP88)))&gt;0),ISNUMBER(SEARCH("000000",BP88)))),1,0),0)</f>
        <v>0</v>
      </c>
      <c r="BR88" s="61" t="n">
        <f aca="false">IFERROR(LEN(SUBSTITUTE(CC88," ",""))-SUMPRODUCT((LEN(CC88)-LEN(SUBSTITUTE(CC88," "&amp;L_Role&amp;" "," ")))/(LEN(L_Role)+1)*LEN(L_Role)),0)</f>
        <v>0</v>
      </c>
      <c r="BS88" s="61" t="n">
        <f aca="false">IFERROR(LEN(SUBSTITUTE(CD88," ",""))-SUMPRODUCT((LEN(CD88)-LEN(SUBSTITUTE(CD88," "&amp;L_Role&amp;" "," ")))/(LEN(L_Role)+1)*LEN(L_Role)),0)</f>
        <v>0</v>
      </c>
      <c r="BT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88,"revision",""),"version",""),"jan",""),"feb",""),"mar",""),"apr",""),"may",""),"jun",""),"jul",""),"aug",""),"sep",""),"oct",""),"nov",""),"dec",""),"utc",""),"gmt",""),"myt",""),"bst",""),"rev",""),"ver",""),"b","a"),"c","a"),"d","a"),"e","a"),"f","a"),"g","a"),"h","a"),"i","a"),"j","a"),"k","a"),"l","a"),"m","a"),"n","a"),"o","a"),"p","a"),"q","a"),"r","a"),"s","a"),"t","a"),"u","a"),"v","a"),"w","a"),"x","a"),"y","a"),"z","a")</f>
        <v/>
      </c>
      <c r="BU88" s="61" t="str">
        <f aca="false">SUBSTITUTE(SUBSTITUTE(SUBSTITUTE(SUBSTITUTE(SUBSTITUTE(SUBSTITUTE(SUBSTITUTE(SUBSTITUTE(SUBSTITUTE(SUBSTITUTE(LEFT(BM88,FIND("0",BM88&amp;"0")-1),"-",""),"_",""),"/",""),".",""),"#",""),"\\",""),":","")," ",""),"(",""),")","")</f>
        <v/>
      </c>
      <c r="BV88" s="61" t="n">
        <f aca="false">IFERROR(IF(OR(SUMPRODUCT((LEN(BC88)-LEN(SUBSTITUTE(BC88," "&amp;L_NotLoaded&amp;" "," ")))/(LEN(L_NotLoaded)+1))&gt;SUMPRODUCT((LEN(BC88)-LEN(SUBSTITUTE(BC88," "&amp;L_NotLoadedNeg&amp;" "," ")))/(LEN(L_NotLoadedNeg)+1)),SUMPRODUCT((LEN(BD88)-LEN(SUBSTITUTE(BD88," "&amp;L_NotLoaded&amp;" "," ")))/(LEN(L_NotLoaded)+1))&gt;SUMPRODUCT((LEN(BD88)-LEN(SUBSTITUTE(BD88," "&amp;L_NotLoadedNeg&amp;" "," ")))/(LEN(L_NotLoadedNeg)+1))),1,0),0)</f>
        <v>0</v>
      </c>
      <c r="BW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88&amp;""),"a",""),"b",""),"c",""),"d",""),"e",""),"f",""),"g",""),"h",""),"i",""),"j",""),"k",""),"l",""),"m",""),"n",""),"o",""),"p",""),"q",""),"r",""),"s",""),"t",""),"u",""),"v",""),"w",""),"x",""),"y",""),"z",""),"-",""),"_",""),"/",""),".",""),"#",""),"\\",""),":","")," ",""),"(",""),")","")</f>
        <v/>
      </c>
      <c r="BX88" s="61" t="str">
        <f aca="false">SUBSTITUTE(SUBSTITUTE(SUBSTITUTE(SUBSTITUTE(SUBSTITUTE(SUBSTITUTE(SUBSTITUTE(SUBSTITUTE(SUBSTITUTE(SUBSTITUTE(SUBSTITUTE(BM88,"0",""),"-",""),"_",""),"/",""),".",""),"#",""),"\\",""),":","")," ",""),"(",""),")","")</f>
        <v/>
      </c>
      <c r="BY88" s="62" t="n">
        <f aca="false">IF(ISNUMBER(Flights!$AZ$7),MAX(Q88-UpliftWindowH/24,Flights!$AZ$7),Q88-UpliftWindowH/24)</f>
        <v>46305.1284722222</v>
      </c>
      <c r="BZ88" s="61" t="n">
        <f aca="false">IFERROR(IF(IF(TRIM(S88)="Link / file path",AND(LEN(TRIM(Z88))&gt;=5,SUMPRODUCT(--ISNUMBER(SEARCH({"http","www.","\\",":\",".pdf",".jpg",".jpeg",".png",".heic",".xls",".doc",".msg",".eml",".ppt",".txt",".zip"},Z88)))&gt;0),AND(ISERROR(FIND(" ",TRIM(Z88))),NOT(OR(SUMPRODUCT(--ISNUMBER(FIND({",",";","&amp;","+"},Z88)))&gt;0,SUMPRODUCT(--ISNUMBER(SEARCH({"0/aa","0\\aa"},BN88)))&gt;0)),NOT(SUMPRODUCT(--ISNUMBER(SEARCH({"http","www.","\\",":\",".pdf",".jpg",".jpeg",".png",".heic",".xls",".doc",".msg",".eml",".ppt",".txt",".zip"},Z88)))&gt;0),NOT(LOWER(TRIM(Z88))=LOWER(Flights!$F$7)),ISNA(MATCH(BU88,{"mh","rev","revision","ver","version","v","r","a","b","seat","tray","row","gate","bay","stand","page","pg","item","line","no","cart","galley","flight","flt","table","box","bag","oven","etd","eta","std","sta","atd","ata","qty","pax","x","time","tel","ph","mob","day","wk","week","utc","gmt","myt","lt"},0)),NOT(OR(ISNUMBER(MATCH(LEFT(BN88,255),{"0000a","000a","00a","0000aa","000aa","00aa","0aa","0000aaa","000aaa","00a00","0a00","0000-0000","00:00","a00","a0","00.00.0000","00/00/0000","00-00-0000","0000-00-00","0000/00/00","0000.00.00","00.00.00","00/00/00","00-00-00","0.00.0000","0/00/0000","0-00-0000"},0)),ISNUMBER(MATCH(LEFT(BT88,255),{"0000a","000a","00a","0000aa","000aa","00aa","0aa","0000aaa","000aaa","00a00","0a00","0000-0000","00:00","a00","a0","00.00.0000","00/00/0000","00-00-0000","0000-00-00","0000/00/00","0000.00.00","00.00.00","00/00/00","00-00-00","0.00.0000","0/00/0000","0-00-0000"},0)))),NOT(OR(AND(BW88&lt;&gt;"",SUBSTITUTE(BW88,"0","")=""),AND(LEN(BW88)&gt;=4,BW88=REPT(LEFT(BW88),LEN(BW88))),ISNUMBER(MATCH(BW88,{"123","1234","12345","123456","1234567","12345678","0123","01234","012345","98765","987654","54321"},0)),ISNUMBER(MATCH(BX88,{"x","xx","xxx","xxxx","xxxxx","abc","abcd","nil","na","nan","test","tbc","tba","tbd","dummy","sample","example","eg","zz","zzz","none","null","xyz","qwe","asd","id","ref"},0)),AND(LEN(BW88)=8,BX88="",OR(LEFT(BW88,3)="202",ISNUMBER(MATCH(RIGHT(BW88,4),{"2025","2026","2027"},0)))))),OR(AND((LEN(BT88)-LEN(SUBSTITUTE(BT88,"a","")))&gt;=1,(LEN(BN88)-LEN(SUBSTITUTE(BN88,"0","")))&gt;=2,SUMPRODUCT(--ISNUMBER(SEARCH({"a0","a-0","a_0","a/0","a.0","a#0","0a","0-a","0_a","0/a"},BN88)))&gt;0),AND((LEN(BN88)-LEN(SUBSTITUTE(BN88,"a","")))=0,(LEN(BN88)-LEN(SUBSTITUTE(BN88,"0","")))&gt;=5)))),1,0),0)</f>
        <v>0</v>
      </c>
      <c r="CA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88,"revision",""),"version",""),"jan",""),"feb",""),"mar",""),"apr",""),"may",""),"jun",""),"jul",""),"aug",""),"sep",""),"oct",""),"nov",""),"dec",""),"utc",""),"gmt",""),"myt",""),"bst",""),"rev",""),"ver",""),"b","a"),"c","a"),"d","a"),"e","a"),"f","a"),"g","a"),"h","a"),"i","a"),"j","a"),"k","a"),"l","a"),"m","a"),"n","a"),"o","a"),"p","a"),"q","a"),"r","a"),"s","a"),"t","a"),"u","a"),"v","a"),"w","a"),"x","a"),"y","a"),"z","a")</f>
        <v/>
      </c>
      <c r="CB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88&amp;""),"a",""),"b",""),"c",""),"d",""),"e",""),"f",""),"g",""),"h",""),"i",""),"j",""),"k",""),"l",""),"m",""),"n",""),"o",""),"p",""),"q",""),"r",""),"s",""),"t",""),"u",""),"v",""),"w",""),"x",""),"y",""),"z",""),"-",""),"_",""),"/",""),".",""),"#",""),"\\",""),":","")," ",""),"(",""),")","")</f>
        <v/>
      </c>
      <c r="CC88" s="0" t="str">
        <f aca="false">" "&amp;TRIM(SUBSTITUTE(SUBSTITUTE(SUBSTITUTE(SUBSTITUTE(SUBSTITUTE(SUBSTITUTE(SUBSTITUTE(SUBSTITUTE(SUBSTITUTE(SUBSTITUTE(SUBSTITUTE(SUBSTITUTE(SUBSTITUTE(SUBSTITUTE(SUBSTITUTE(SUBSTITUTE(SUBSTITUTE(SUBSTITUTE(SUBSTITUTE(SUBSTITUTE(SUBSTITUTE(SUBSTITUTE(SUBSTITUTE(SUBSTITUTE(LOWER(T88&amp;""),CHAR(10)," "),CHAR(13)," "),CHAR(9)," "),CHAR(160)," "),"."," "),","," "),"-"," "),"/"," "),"("," "),")"," "),":"," "),";"," "),"_"," "),"–"," "),"?"," "),"!"," "),"*"," "),"["," "),"]"," "),"'"," "),"#"," "),"+"," "),"&amp;"," "),"\"," "))&amp;" "</f>
        <v>  </v>
      </c>
      <c r="CD88" s="0" t="str">
        <f aca="false">" "&amp;TRIM(SUBSTITUTE(SUBSTITUTE(SUBSTITUTE(SUBSTITUTE(SUBSTITUTE(SUBSTITUTE(SUBSTITUTE(SUBSTITUTE(SUBSTITUTE(SUBSTITUTE(SUBSTITUTE(SUBSTITUTE(SUBSTITUTE(SUBSTITUTE(SUBSTITUTE(SUBSTITUTE(SUBSTITUTE(SUBSTITUTE(SUBSTITUTE(SUBSTITUTE(SUBSTITUTE(SUBSTITUTE(SUBSTITUTE(SUBSTITUTE(LOWER(AE88&amp;""),CHAR(10)," "),CHAR(13)," "),CHAR(9)," "),CHAR(160)," "),"."," "),","," "),"-"," "),"/"," "),"("," "),")"," "),":"," "),";"," "),"_"," "),"–"," "),"?"," "),"!"," "),"*"," "),"["," "),"]"," "),"'"," "),"#"," "),"+"," "),"&amp;"," "),"\"," "))&amp;" "</f>
        <v>  </v>
      </c>
      <c r="CE88" s="68" t="n">
        <f aca="false">IFERROR(IF(AND(LEN(AU88)&gt;0,LEN(AU88)=LEN(AX88),OR(TRIM(MID(SUBSTITUTE(TRIM(CC88)," ",REPT(" ",60)),1,60))="",ISNUMBER(SEARCH(" "&amp;TRIM(MID(SUBSTITUTE(TRIM(CC88)," ",REPT(" ",60)),1,60))&amp;" ",CD88))),OR(TRIM(MID(SUBSTITUTE(TRIM(CC88)," ",REPT(" ",60)),61,60))="",ISNUMBER(SEARCH(" "&amp;TRIM(MID(SUBSTITUTE(TRIM(CC88)," ",REPT(" ",60)),61,60))&amp;" ",CD88))),OR(TRIM(MID(SUBSTITUTE(TRIM(CC88)," ",REPT(" ",60)),121,60))="",ISNUMBER(SEARCH(" "&amp;TRIM(MID(SUBSTITUTE(TRIM(CC88)," ",REPT(" ",60)),121,60))&amp;" ",CD88)))),1,0),0)</f>
        <v>0</v>
      </c>
      <c r="CG88" s="68" t="n">
        <f aca="false">IFERROR(LEN(SUBSTITUTE(BF88," ",""))-SUMPRODUCT((LEN(BF88)-LEN(SUBSTITUTE(BF88," "&amp;L_NAFiller&amp;" "," ")))/(LEN(L_NAFiller)+1)*LEN(L_NAFiller)),0)</f>
        <v>0</v>
      </c>
    </row>
    <row r="89" customFormat="false" ht="39.75" hidden="false" customHeight="true" outlineLevel="0" collapsed="false">
      <c r="A89" s="57" t="s">
        <v>580</v>
      </c>
      <c r="B89" s="57" t="s">
        <v>212</v>
      </c>
      <c r="C89" s="57" t="str">
        <f aca="false">Flights!$F$7</f>
        <v>MH0720</v>
      </c>
      <c r="D89" s="58" t="n">
        <f aca="false">Flights!$D$7</f>
        <v>46305</v>
      </c>
      <c r="E89" s="57" t="str">
        <f aca="false">Flights!$G$7&amp;"-"&amp;Flights!$H$7</f>
        <v>CGK-KUL</v>
      </c>
      <c r="F89" s="57" t="str">
        <f aca="false">Flights!$K$7</f>
        <v>EY</v>
      </c>
      <c r="G89" s="57" t="s">
        <v>459</v>
      </c>
      <c r="H89" s="57" t="s">
        <v>460</v>
      </c>
      <c r="I89" s="57" t="s">
        <v>447</v>
      </c>
      <c r="J89" s="57" t="s">
        <v>469</v>
      </c>
      <c r="K89" s="67" t="s">
        <v>449</v>
      </c>
      <c r="L89" s="67" t="s">
        <v>576</v>
      </c>
      <c r="M89" s="67" t="s">
        <v>451</v>
      </c>
      <c r="N89" s="67" t="s">
        <v>383</v>
      </c>
      <c r="O89" s="67"/>
      <c r="P89" s="57" t="s">
        <v>201</v>
      </c>
      <c r="Q89" s="59" t="n">
        <f aca="false">ROUND((Flights!$AF$7)*1440,0)/1440</f>
        <v>46305.3784722222</v>
      </c>
      <c r="R89" s="59" t="n">
        <f aca="false">Q89+(IF(AND(INDEX(TZ_DSTS,MATCH(P89,TZ_STN,0))&lt;&gt;"",Q89&gt;=INDEX(TZ_DSTS,MATCH(P89,TZ_STN,0)),Q89&lt;INDEX(TZ_DSTE,MATCH(P89,TZ_STN,0))),INDEX(TZ_DST,MATCH(P89,TZ_STN,0)),INDEX(TZ_STD,MATCH(P89,TZ_STN,0))))/24</f>
        <v>46305.6701388889</v>
      </c>
      <c r="S89" s="60"/>
      <c r="T89" s="60"/>
      <c r="U89" s="60"/>
      <c r="V89" s="60"/>
      <c r="W89" s="61"/>
      <c r="X89" s="60"/>
      <c r="Y89" s="60"/>
      <c r="Z89" s="60"/>
      <c r="AA89" s="60"/>
      <c r="AB89" s="60"/>
      <c r="AC89" s="60"/>
      <c r="AD89" s="66"/>
      <c r="AE89" s="60"/>
      <c r="AF89" s="61" t="str">
        <f aca="false">IF(AND(ISNUMBER(X89),ISNUMBER(Y89)),Y89-X89,"")</f>
        <v/>
      </c>
      <c r="AG89" s="62" t="str">
        <f aca="false">IF(ISNUMBER(AD89),AD89-(IF(AND(INDEX(TZ_DSTS,MATCH(P89,TZ_STN,0))&lt;&gt;"",(AD89-INDEX(TZ_STD,MATCH(P89,TZ_STN,0))/24)&gt;=INDEX(TZ_DSTS,MATCH(P89,TZ_STN,0)),(AD89-INDEX(TZ_STD,MATCH(P89,TZ_STN,0))/24)&lt;INDEX(TZ_DSTE,MATCH(P89,TZ_STN,0))),INDEX(TZ_DST,MATCH(P89,TZ_STN,0)),INDEX(TZ_STD,MATCH(P89,TZ_STN,0))))/24,"")</f>
        <v/>
      </c>
      <c r="AH89" s="65" t="str">
        <f aca="false">IFERROR(IF(N89="N/A – rule",IF(OR(TRIM(U89)="",TRIM(U89)="N/A",TRIM(U89)="Not started"),"N/A – RULE","INVALID – this check does not apply to this aircraft: clear the status (or correct the fleet on Flights)"),IF(TRIM(U89)="N/A",IF(AT89=0,"INVALID – N/A not permitted for this check",IF(AND(TRIM(AB89)&lt;&gt;"",TRIM(AB89)&lt;&gt;"Closed"),"INVALID – corrective action still open",IF(AND(NOT(OR(LEN(AZ89)&lt;15,ISNUMBER(MATCH(AZ89,L_Placeholder,0)))),BK89=0,CG89&gt;=8,NOT(OR(LEN(AU89)&lt;2,ISNUMBER(MATCH(AU89,L_Placeholder,0)))),BR89&gt;=3,NOT(OR(LEN(AX89)&lt;2,ISNUMBER(MATCH(AX89,L_Placeholder,0)))),BS89&gt;=3,TRIM(AE89)&lt;&gt;TRIM(T89),AX89&lt;&gt;AU89,CE89=0),"N/A – JUSTIFIED","INVALID – N/A needs a real, settled reason (not 'not applicable' / 'as above' / TBC), a named PIC and a different named verifier"))),IF(OR(TRIM(U89)="Pass",TRIM(U89)="Pass after CA"),IF(NOT(ISNUMBER(AD89)),"INVALID – completion time missing",IF(OR(OR(LEN(AU89)&lt;2,ISNUMBER(MATCH(AU89,L_Placeholder,0))),BR89&lt;3),"INVALID – PIC missing or not a named person (a role such as QA / CSM is not a name)",IF(OR(LEN(AV89)&lt;2,ISNUMBER(MATCH(AV89,L_Placeholder,0))),"INVALID – result / assessment missing",IF(OR(OR(LEN(AW89)&lt;3,ISNUMBER(MATCH(AW89,L_Placeholder,0))),SUMPRODUCT(--ISNUMBER(SEARCH(" "&amp;L_EvidencePhrase&amp;" ",BD89)))&gt;0,BI89=1),"INVALID – evidence missing, placeholder or not yet on file",IF(ISNA(MATCH(TRIM(S89),L_EvidenceType,0)),"INVALID – choose the evidence type from the list (column S)",IF(BL89=0,"INVALID – evidence ID must be the record's own ID only (e.g. SF-2210, IMG_2231, 1045521); a link / file name needs type 'Link / file path'",IF(OR(OR(LEN(AX89)&lt;2,ISNUMBER(MATCH(AX89,L_Placeholder,0))),BS89&lt;3),"INVALID – verifier missing or not a named person (a role such as QA / CSM is not a name)",IF(OR(AX89=AU89,CE89=1,AND(LEN(AU89)&gt;=4,ISNUMBER(SEARCH(AU89,AX89))),AND(LEN(AX89)&gt;=4,ISNUMBER(SEARCH(AX89,AU89)))),"INVALID – verifier must be a different, named person (not the PIC or a role)",IF(BH89=1,"INVALID – result not yet available (awaiting / TBC)",IF(BG89=1,"INVALID – result describes a problem: record Fail, then Pass after CA (or reword if it is not a problem)",IF(BV89=1,"INVALID – wording says not on board: an on-board confirmation needs the item loaded",IF(AND(AQ89=1,OR(OR(LEN(AY89)&lt;3,ISNUMBER(MATCH(AY89,L_Placeholder,0))),BJ89=1,BQ89=0)),"INVALID – batch ID missing, placeholder or not an ID (e.g. PASB-261008-BC-017)",IF(AND(AR89=1,OR(NOT(ISNUMBER(X89)),NOT(ISNUMBER(Y89)))),"INVALID – expected/actual qty missing",IF(AND(AR89=1,OR(X89&lt;=0,Y89&lt;0)),"INVALID – expected qty must be above 0 and actual not negative",IF(AH86="N/A – JUSTIFIED","INVALID – preparation row F03-T12-08 is N/A",IF(AND(AR89=1,ISNUMBER(X86),X89&lt;&gt;X86,TRIM(U89)&lt;&gt;"Pass after CA"),"INVALID – expected qty differs from preparation check F03-T12-08: record the load change as a corrective action (Pass after CA)",IF(BB89&lt;&gt;"",BB89,IF(AND(AS89=1,Documents!$J$7&lt;&gt;"ON FILE"),"INVALID – GLD not on file (Documents sheet)",IF(AND(AS89=2,Documents!$O$7&lt;&gt;"ON FILE"),"INVALID – menu checklist not on file (Documents sheet)",IF(AND(AS89=3,NOT(ISNUMBER(Flights!$AX$7))),"INVALID – enter carrying flight KUL departure (Flights AX)",IF(AND(AS89=3,OR(Flights!$AZ$7&gt;Flights!$AA$7,Flights!$AX$7&lt;Flights!$AA$7-3)),"INVALID – carrying flight (Flights AX) cannot arrive before this leg's STD, or is over 3 days early",IF(AG89&gt;AsOfUTC,"INVALID – completion time is in the future",IF(AND(ISNUMBER(BY89),AG89&lt;BY89),IF(H89="Physical uplift","INVALID – before uplift window (cannot confirm loading)","INVALID – before valid window"),IF(AG89&gt;Flights!$AA$7,"INVALID – completed after departure (cannot establish readiness)",IF(AND(H89="Preparation",AG89&gt;=IF(ISNUMBER(Flights!$BA$7),MIN(Flights!$BA$7,Flights!$AA$7),Flights!$AA$7)),"INVALID – completed after loading / departure (cannot establish readiness)",IF(AND(H89="Physical uplift",AG89&gt;Q89),"INVALID – recorded after the loading flight departed",IF(AG89&gt;Q89,"COMPLETE – LATE","COMPLETE"))))))))))))))))))))))))))),IF(TRIM(U89)="Fail","FAIL – DISCREPANCY",IF(AND(TRIM(U89)&lt;&gt;"",TRIM(U89)&lt;&gt;"Not started",TRIM(U89)&lt;&gt;"In progress"),"INVALID – unrecognised status (use the list)",IF(AsOfUTC&gt;Q89,"OVERDUE",IF(N89="Clarification required","OPEN – CLARIFICATION","OPEN"))))))),"INVALID – error value in an input cell")</f>
        <v>OPEN</v>
      </c>
      <c r="AI89" s="61" t="n">
        <f aca="false">IF(OR(AH89="N/A – RULE",AH89="N/A – JUSTIFIED"),0,1)</f>
        <v>1</v>
      </c>
      <c r="AJ89" s="61" t="n">
        <f aca="false">IF(LEFT(AH89,8)="COMPLETE",1,0)</f>
        <v>0</v>
      </c>
      <c r="AK89" s="61" t="n">
        <f aca="false">IF(AND(AI89=1,AJ89=0,AsOfUTC&gt;Q89),1,0)</f>
        <v>0</v>
      </c>
      <c r="AL89" s="61" t="n">
        <f aca="false">IFERROR(IF(AND(AI89=1,OR(TRIM(U89)="Fail",AND(TRIM(AB89)&lt;&gt;"",TRIM(AB89)&lt;&gt;"Closed"),AND(ISNUMBER(AF89),AF89&lt;&gt;0,TRIM(U89)&lt;&gt;"Pass after CA"))),1,0),1)</f>
        <v>0</v>
      </c>
      <c r="AM89" s="61" t="n">
        <f aca="false">IF(LEFT(AH89,7)="INVALID",1,0)</f>
        <v>0</v>
      </c>
      <c r="AN89" s="61" t="n">
        <f aca="false">IF(AND(N89="Clarification required",AI89=1,AJ89=0),1,0)</f>
        <v>0</v>
      </c>
      <c r="AO89" s="61" t="str">
        <f aca="false">IF(AK89=1,SUM(AK$5:AK89),"")</f>
        <v/>
      </c>
      <c r="AP89" s="61" t="str">
        <f aca="false">IF(AL89=1,SUM(AL$5:AL89),"")</f>
        <v/>
      </c>
      <c r="AQ89" s="61" t="n">
        <v>0</v>
      </c>
      <c r="AR89" s="61" t="n">
        <v>0</v>
      </c>
      <c r="AS89" s="61" t="n">
        <v>0</v>
      </c>
      <c r="AT89" s="61" t="n">
        <v>0</v>
      </c>
      <c r="AU89" s="61" t="str">
        <f aca="false">SUBSTITUTE(SUBSTITUTE(SUBSTITUTE(SUBSTITUTE(SUBSTITUTE(SUBSTITUTE(SUBSTITUTE(SUBSTITUTE(SUBSTITUTE(SUBSTITUTE(SUBSTITUTE(SUBSTITUTE(SUBSTITUTE(SUBSTITUTE(SUBSTITUTE(SUBSTITUTE(LOWER(T89&amp;""),CHAR(10),""),CHAR(13),""),CHAR(9),""),CHAR(160),"")," ",""),".",""),"-",""),"/",""),"?",""),"_",""),",",""),"[",""),"]",""),"(",""),")",""),"*","")</f>
        <v/>
      </c>
      <c r="AV89" s="61" t="str">
        <f aca="false">SUBSTITUTE(SUBSTITUTE(SUBSTITUTE(SUBSTITUTE(SUBSTITUTE(SUBSTITUTE(SUBSTITUTE(SUBSTITUTE(SUBSTITUTE(SUBSTITUTE(SUBSTITUTE(SUBSTITUTE(SUBSTITUTE(SUBSTITUTE(SUBSTITUTE(SUBSTITUTE(LOWER(V89&amp;""),CHAR(10),""),CHAR(13),""),CHAR(9),""),CHAR(160),"")," ",""),".",""),"-",""),"/",""),"?",""),"_",""),",",""),"[",""),"]",""),"(",""),")",""),"*","")</f>
        <v/>
      </c>
      <c r="AW89" s="61" t="str">
        <f aca="false">SUBSTITUTE(SUBSTITUTE(SUBSTITUTE(SUBSTITUTE(SUBSTITUTE(SUBSTITUTE(SUBSTITUTE(SUBSTITUTE(SUBSTITUTE(SUBSTITUTE(SUBSTITUTE(SUBSTITUTE(SUBSTITUTE(SUBSTITUTE(SUBSTITUTE(SUBSTITUTE(LOWER(Z89&amp;""),CHAR(10),""),CHAR(13),""),CHAR(9),""),CHAR(160),"")," ",""),".",""),"-",""),"/",""),"?",""),"_",""),",",""),"[",""),"]",""),"(",""),")",""),"*","")</f>
        <v/>
      </c>
      <c r="AX89" s="61" t="str">
        <f aca="false">SUBSTITUTE(SUBSTITUTE(SUBSTITUTE(SUBSTITUTE(SUBSTITUTE(SUBSTITUTE(SUBSTITUTE(SUBSTITUTE(SUBSTITUTE(SUBSTITUTE(SUBSTITUTE(SUBSTITUTE(SUBSTITUTE(SUBSTITUTE(SUBSTITUTE(SUBSTITUTE(LOWER(AE89&amp;""),CHAR(10),""),CHAR(13),""),CHAR(9),""),CHAR(160),"")," ",""),".",""),"-",""),"/",""),"?",""),"_",""),",",""),"[",""),"]",""),"(",""),")",""),"*","")</f>
        <v/>
      </c>
      <c r="AY89" s="61" t="str">
        <f aca="false">SUBSTITUTE(SUBSTITUTE(SUBSTITUTE(SUBSTITUTE(SUBSTITUTE(SUBSTITUTE(SUBSTITUTE(SUBSTITUTE(SUBSTITUTE(SUBSTITUTE(SUBSTITUTE(SUBSTITUTE(SUBSTITUTE(SUBSTITUTE(SUBSTITUTE(SUBSTITUTE(LOWER(W89&amp;""),CHAR(10),""),CHAR(13),""),CHAR(9),""),CHAR(160),"")," ",""),".",""),"-",""),"/",""),"?",""),"_",""),",",""),"[",""),"]",""),"(",""),")",""),"*","")</f>
        <v/>
      </c>
      <c r="AZ89" s="61" t="str">
        <f aca="false">SUBSTITUTE(SUBSTITUTE(SUBSTITUTE(SUBSTITUTE(SUBSTITUTE(SUBSTITUTE(SUBSTITUTE(SUBSTITUTE(SUBSTITUTE(SUBSTITUTE(SUBSTITUTE(SUBSTITUTE(SUBSTITUTE(SUBSTITUTE(SUBSTITUTE(SUBSTITUTE(LOWER(AC89&amp;""),CHAR(10),""),CHAR(13),""),CHAR(9),""),CHAR(160),"")," ",""),".",""),"-",""),"/",""),"?",""),"_",""),",",""),"[",""),"]",""),"(",""),")",""),"*","")</f>
        <v/>
      </c>
      <c r="BA89" s="61" t="str">
        <f aca="false">SUBSTITUTE(SUBSTITUTE(SUBSTITUTE(SUBSTITUTE(SUBSTITUTE(SUBSTITUTE(SUBSTITUTE(SUBSTITUTE(SUBSTITUTE(SUBSTITUTE(SUBSTITUTE(SUBSTITUTE(SUBSTITUTE(SUBSTITUTE(SUBSTITUTE(SUBSTITUTE(LOWER(AA89&amp;""),CHAR(10),""),CHAR(13),""),CHAR(9),""),CHAR(160),"")," ",""),".",""),"-",""),"/",""),"?",""),"_",""),",",""),"[",""),"]",""),"(",""),")",""),"*","")</f>
        <v/>
      </c>
      <c r="BB89" s="61" t="str">
        <f aca="false">IF(AND(TRIM(U89)="Pass",ISNUMBER(AF89)),IF(AF89&lt;&gt;0,"INVALID – qty variance: use Fail or Pass after CA",""),"")&amp;IF(AND(TRIM(U89)="Pass after CA",ISNUMBER(AF89)),IF(AF89&lt;&gt;0,"INVALID – after the corrective action the actual qty must equal expected (update Actual)",""),"")&amp;IF(AND(TRIM(U89)="Pass",TRIM(AB89)&lt;&gt;"",TRIM(AB89)&lt;&gt;"Closed"),"INVALID – corrective action not closed: use Fail, then Pass after CA","")&amp;IF(AND(LEN(BA89)&gt;=2,ISNA(MATCH(LEFT(BA89,255),L_Placeholder,0)),TRIM(AB89)=""),"INVALID – CA status missing for the recorded corrective action","")&amp;IF(AND(TRIM(U89)="Pass after CA",OR(OR(LEN(BA89)&lt;5,ISNUMBER(MATCH(BA89,L_Placeholder,0))),TRIM(AB89)&lt;&gt;"Closed")),"INVALID – corrective action not recorded/closed","")</f>
        <v/>
      </c>
      <c r="BC89" s="61" t="str">
        <f aca="false">" "&amp;TRIM(SUBSTITUTE(SUBSTITUTE(SUBSTITUTE(SUBSTITUTE(SUBSTITUTE(SUBSTITUTE(SUBSTITUTE(SUBSTITUTE(SUBSTITUTE(SUBSTITUTE(SUBSTITUTE(SUBSTITUTE(SUBSTITUTE(SUBSTITUTE(SUBSTITUTE(SUBSTITUTE(SUBSTITUTE(SUBSTITUTE(SUBSTITUTE(SUBSTITUTE(SUBSTITUTE(SUBSTITUTE(SUBSTITUTE(SUBSTITUTE(LOWER(V89&amp;""),CHAR(10)," "),CHAR(13)," "),CHAR(9)," "),CHAR(160)," "),"."," "),","," "),"-"," "),"/"," "),"("," "),")"," "),":"," "),";"," "),"_"," "),"–"," "),"?"," "),"!"," "),"*"," "),"["," "),"]"," "),"'"," "),"#"," "),"+"," "),"&amp;"," "),"\"," "))&amp;" "</f>
        <v>  </v>
      </c>
      <c r="BD89" s="61" t="str">
        <f aca="false">" "&amp;TRIM(SUBSTITUTE(SUBSTITUTE(SUBSTITUTE(SUBSTITUTE(SUBSTITUTE(SUBSTITUTE(SUBSTITUTE(SUBSTITUTE(SUBSTITUTE(SUBSTITUTE(SUBSTITUTE(SUBSTITUTE(SUBSTITUTE(SUBSTITUTE(SUBSTITUTE(SUBSTITUTE(SUBSTITUTE(SUBSTITUTE(SUBSTITUTE(SUBSTITUTE(SUBSTITUTE(SUBSTITUTE(SUBSTITUTE(SUBSTITUTE(LOWER(Z89&amp;""),CHAR(10)," "),CHAR(13)," "),CHAR(9)," "),CHAR(160)," "),"."," "),","," "),"-"," "),"/"," "),"("," "),")"," "),":"," "),";"," "),"_"," "),"–"," "),"?"," "),"!"," "),"*"," "),"["," "),"]"," "),"'"," "),"#"," "),"+"," "),"&amp;"," "),"\"," "))&amp;" "</f>
        <v>  </v>
      </c>
      <c r="BE89" s="61" t="str">
        <f aca="false">" "&amp;TRIM(SUBSTITUTE(SUBSTITUTE(SUBSTITUTE(SUBSTITUTE(SUBSTITUTE(SUBSTITUTE(SUBSTITUTE(SUBSTITUTE(SUBSTITUTE(SUBSTITUTE(SUBSTITUTE(SUBSTITUTE(SUBSTITUTE(SUBSTITUTE(SUBSTITUTE(SUBSTITUTE(SUBSTITUTE(SUBSTITUTE(SUBSTITUTE(SUBSTITUTE(SUBSTITUTE(SUBSTITUTE(SUBSTITUTE(SUBSTITUTE(LOWER(W89&amp;""),CHAR(10)," "),CHAR(13)," "),CHAR(9)," "),CHAR(160)," "),"."," "),","," "),"-"," "),"/"," "),"("," "),")"," "),":"," "),";"," "),"_"," "),"–"," "),"?"," "),"!"," "),"*"," "),"["," "),"]"," "),"'"," "),"#"," "),"+"," "),"&amp;"," "),"\"," "))&amp;" "</f>
        <v>  </v>
      </c>
      <c r="BF89" s="61" t="str">
        <f aca="false">" "&amp;TRIM(SUBSTITUTE(SUBSTITUTE(SUBSTITUTE(SUBSTITUTE(SUBSTITUTE(SUBSTITUTE(SUBSTITUTE(SUBSTITUTE(SUBSTITUTE(SUBSTITUTE(SUBSTITUTE(SUBSTITUTE(SUBSTITUTE(SUBSTITUTE(SUBSTITUTE(SUBSTITUTE(SUBSTITUTE(SUBSTITUTE(SUBSTITUTE(SUBSTITUTE(SUBSTITUTE(SUBSTITUTE(SUBSTITUTE(SUBSTITUTE(LOWER(AC89&amp;""),CHAR(10)," "),CHAR(13)," "),CHAR(9)," "),CHAR(160)," "),"."," "),","," "),"-"," "),"/"," "),"("," "),")"," "),":"," "),";"," "),"_"," "),"–"," "),"?"," "),"!"," "),"*"," "),"["," "),"]"," "),"'"," "),"#"," "),"+"," "),"&amp;"," "),"\"," "))&amp;" "</f>
        <v>  </v>
      </c>
      <c r="BG89" s="61" t="n">
        <f aca="false">IFERROR(IF(AND(TRIM(U89)="Pass",SUMPRODUCT((LEN(BC89)-LEN(SUBSTITUTE(BC89," "&amp;L_ResultBad&amp;" "," ")))/(LEN(L_ResultBad)+1))&gt;SUMPRODUCT((LEN(BC89)-LEN(SUBSTITUTE(BC89," "&amp;L_NegPhrase&amp;" "," ")))/(LEN(L_NegPhrase)+1))),1,0),0)</f>
        <v>0</v>
      </c>
      <c r="BH89" s="61" t="n">
        <f aca="false">IFERROR(IF(SUMPRODUCT((LEN(BC89)-LEN(SUBSTITUTE(BC89," "&amp;L_Pending&amp;" "," ")))/(LEN(L_Pending)+1))&gt;SUMPRODUCT((LEN(BC89)-LEN(SUBSTITUTE(BC89," "&amp;L_PendNeg&amp;" "," ")))/(LEN(L_PendNeg)+1)),1,0),1)</f>
        <v>0</v>
      </c>
      <c r="BI89" s="61" t="n">
        <f aca="false">IFERROR(IF(SUMPRODUCT((LEN(BD89)-LEN(SUBSTITUTE(BD89," "&amp;L_PendStrict&amp;" "," ")))/(LEN(L_PendStrict)+1))&gt;SUMPRODUCT((LEN(BD89)-LEN(SUBSTITUTE(BD89," "&amp;L_PendNeg&amp;" "," ")))/(LEN(L_PendNeg)+1)),1,0),1)</f>
        <v>0</v>
      </c>
      <c r="BJ89" s="61" t="n">
        <f aca="false">IFERROR(IF(SUMPRODUCT((LEN(BE89)-LEN(SUBSTITUTE(BE89," "&amp;L_Pending&amp;" "," ")))/(LEN(L_Pending)+1))&gt;SUMPRODUCT((LEN(BE89)-LEN(SUBSTITUTE(BE89," "&amp;L_PendNeg&amp;" "," ")))/(LEN(L_PendNeg)+1)),1,0),1)</f>
        <v>0</v>
      </c>
      <c r="BK89" s="61" t="n">
        <f aca="false">IFERROR(IF(SUMPRODUCT((LEN(BF89)-LEN(SUBSTITUTE(BF89," "&amp;L_PendStrict&amp;" "," ")))/(LEN(L_PendStrict)+1))&gt;SUMPRODUCT((LEN(BF89)-LEN(SUBSTITUTE(BF89," "&amp;L_PendNeg&amp;" "," ")))/(LEN(L_PendNeg)+1)),1,0),1)</f>
        <v>0</v>
      </c>
      <c r="BL89" s="61" t="n">
        <f aca="false">IF(ISNA(MATCH(TRIM(S89),L_EvidenceType,0)),0,BZ89)</f>
        <v>0</v>
      </c>
      <c r="BM89" s="61" t="str">
        <f aca="false">SUBSTITUTE(SUBSTITUTE(SUBSTITUTE(SUBSTITUTE(SUBSTITUTE(SUBSTITUTE(SUBSTITUTE(SUBSTITUTE(SUBSTITUTE(LOWER(Z89&amp;""),"1","0"),"2","0"),"3","0"),"4","0"),"5","0"),"6","0"),"7","0"),"8","0"),"9","0")</f>
        <v/>
      </c>
      <c r="BN89" s="61" t="str">
        <f aca="false">SUBSTITUTE(SUBSTITUTE(SUBSTITUTE(SUBSTITUTE(SUBSTITUTE(SUBSTITUTE(SUBSTITUTE(SUBSTITUTE(SUBSTITUTE(SUBSTITUTE(SUBSTITUTE(SUBSTITUTE(SUBSTITUTE(SUBSTITUTE(SUBSTITUTE(SUBSTITUTE(SUBSTITUTE(SUBSTITUTE(SUBSTITUTE(SUBSTITUTE(SUBSTITUTE(SUBSTITUTE(SUBSTITUTE(SUBSTITUTE(SUBSTITUTE(BM89,"b","a"),"c","a"),"d","a"),"e","a"),"f","a"),"g","a"),"h","a"),"i","a"),"j","a"),"k","a"),"l","a"),"m","a"),"n","a"),"o","a"),"p","a"),"q","a"),"r","a"),"s","a"),"t","a"),"u","a"),"v","a"),"w","a"),"x","a"),"y","a"),"z","a")</f>
        <v/>
      </c>
      <c r="BO89" s="61" t="str">
        <f aca="false">SUBSTITUTE(SUBSTITUTE(SUBSTITUTE(SUBSTITUTE(SUBSTITUTE(SUBSTITUTE(SUBSTITUTE(SUBSTITUTE(SUBSTITUTE(LOWER(W89&amp;""),"1","0"),"2","0"),"3","0"),"4","0"),"5","0"),"6","0"),"7","0"),"8","0"),"9","0")</f>
        <v/>
      </c>
      <c r="BP89" s="61" t="str">
        <f aca="false">SUBSTITUTE(SUBSTITUTE(SUBSTITUTE(SUBSTITUTE(SUBSTITUTE(SUBSTITUTE(SUBSTITUTE(SUBSTITUTE(SUBSTITUTE(SUBSTITUTE(SUBSTITUTE(SUBSTITUTE(SUBSTITUTE(SUBSTITUTE(SUBSTITUTE(SUBSTITUTE(SUBSTITUTE(SUBSTITUTE(SUBSTITUTE(SUBSTITUTE(SUBSTITUTE(SUBSTITUTE(SUBSTITUTE(SUBSTITUTE(SUBSTITUTE(BO89,"b","a"),"c","a"),"d","a"),"e","a"),"f","a"),"g","a"),"h","a"),"i","a"),"j","a"),"k","a"),"l","a"),"m","a"),"n","a"),"o","a"),"p","a"),"q","a"),"r","a"),"s","a"),"t","a"),"u","a"),"v","a"),"w","a"),"x","a"),"y","a"),"z","a")</f>
        <v/>
      </c>
      <c r="BQ89" s="61" t="n">
        <f aca="false">IFERROR(IF(AND(ISERROR(SEARCH(" mh"," "&amp;LOWER(W89))),ISNA(MATCH(LEFT(TRIM(BP89),255),{"0000a","000a","00a","0000aa","000aa","00aa","0aa","0000aaa","000aaa","00a00","0a00","0000-0000","00:00","a00","a0","00.00.0000","00/00/0000","00-00-0000","0000-00-00","0000/00/00","0000.00.00","00.00.00","00/00/00","00-00-00","0.00.0000","0/00/0000","0-00-0000"},0)),ISNA(MATCH(LEFT(TRIM(CA89),255),{"0000a","000a","00a","0000aa","000aa","00aa","0aa","0000aaa","000aaa","00a00","0a00","0000-0000","00:00","a00","a0","00.00.0000","00/00/0000","00-00-0000","0000-00-00","0000/00/00","0000.00.00","00.00.00","00/00/00","00-00-00","0.00.0000","0/00/0000","0-00-0000"},0)),LEN(CB89)&gt;=3,NOT(OR(SUBSTITUTE(CB89,"0","")="",AND(LEN(CB89)&gt;=4,CB89=REPT(LEFT(CB89),LEN(CB89))),ISNUMBER(MATCH(CB89,{"123","1234","12345","123456","1234567","12345678","0123","01234","012345","98765","987654","54321"},0)),AND(LEN(CB89)=8,LEFT(CB89,3)="202"))),OR(AND((LEN(CA89)-LEN(SUBSTITUTE(CA89,"a","")))&gt;=1,SUMPRODUCT(--ISNUMBER(SEARCH({"a0","a-0","a_0","a/0","a.0","a#0","0a","0-a","0_a","0/a"},BP89)))&gt;0),ISNUMBER(SEARCH("000000",BP89)))),1,0),0)</f>
        <v>0</v>
      </c>
      <c r="BR89" s="61" t="n">
        <f aca="false">IFERROR(LEN(SUBSTITUTE(CC89," ",""))-SUMPRODUCT((LEN(CC89)-LEN(SUBSTITUTE(CC89," "&amp;L_Role&amp;" "," ")))/(LEN(L_Role)+1)*LEN(L_Role)),0)</f>
        <v>0</v>
      </c>
      <c r="BS89" s="61" t="n">
        <f aca="false">IFERROR(LEN(SUBSTITUTE(CD89," ",""))-SUMPRODUCT((LEN(CD89)-LEN(SUBSTITUTE(CD89," "&amp;L_Role&amp;" "," ")))/(LEN(L_Role)+1)*LEN(L_Role)),0)</f>
        <v>0</v>
      </c>
      <c r="BT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89,"revision",""),"version",""),"jan",""),"feb",""),"mar",""),"apr",""),"may",""),"jun",""),"jul",""),"aug",""),"sep",""),"oct",""),"nov",""),"dec",""),"utc",""),"gmt",""),"myt",""),"bst",""),"rev",""),"ver",""),"b","a"),"c","a"),"d","a"),"e","a"),"f","a"),"g","a"),"h","a"),"i","a"),"j","a"),"k","a"),"l","a"),"m","a"),"n","a"),"o","a"),"p","a"),"q","a"),"r","a"),"s","a"),"t","a"),"u","a"),"v","a"),"w","a"),"x","a"),"y","a"),"z","a")</f>
        <v/>
      </c>
      <c r="BU89" s="61" t="str">
        <f aca="false">SUBSTITUTE(SUBSTITUTE(SUBSTITUTE(SUBSTITUTE(SUBSTITUTE(SUBSTITUTE(SUBSTITUTE(SUBSTITUTE(SUBSTITUTE(SUBSTITUTE(LEFT(BM89,FIND("0",BM89&amp;"0")-1),"-",""),"_",""),"/",""),".",""),"#",""),"\\",""),":","")," ",""),"(",""),")","")</f>
        <v/>
      </c>
      <c r="BV89" s="61" t="n">
        <f aca="false">IFERROR(IF(OR(SUMPRODUCT((LEN(BC89)-LEN(SUBSTITUTE(BC89," "&amp;L_NotLoaded&amp;" "," ")))/(LEN(L_NotLoaded)+1))&gt;SUMPRODUCT((LEN(BC89)-LEN(SUBSTITUTE(BC89," "&amp;L_NotLoadedNeg&amp;" "," ")))/(LEN(L_NotLoadedNeg)+1)),SUMPRODUCT((LEN(BD89)-LEN(SUBSTITUTE(BD89," "&amp;L_NotLoaded&amp;" "," ")))/(LEN(L_NotLoaded)+1))&gt;SUMPRODUCT((LEN(BD89)-LEN(SUBSTITUTE(BD89," "&amp;L_NotLoadedNeg&amp;" "," ")))/(LEN(L_NotLoadedNeg)+1))),1,0),0)</f>
        <v>0</v>
      </c>
      <c r="BW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89&amp;""),"a",""),"b",""),"c",""),"d",""),"e",""),"f",""),"g",""),"h",""),"i",""),"j",""),"k",""),"l",""),"m",""),"n",""),"o",""),"p",""),"q",""),"r",""),"s",""),"t",""),"u",""),"v",""),"w",""),"x",""),"y",""),"z",""),"-",""),"_",""),"/",""),".",""),"#",""),"\\",""),":","")," ",""),"(",""),")","")</f>
        <v/>
      </c>
      <c r="BX89" s="61" t="str">
        <f aca="false">SUBSTITUTE(SUBSTITUTE(SUBSTITUTE(SUBSTITUTE(SUBSTITUTE(SUBSTITUTE(SUBSTITUTE(SUBSTITUTE(SUBSTITUTE(SUBSTITUTE(SUBSTITUTE(BM89,"0",""),"-",""),"_",""),"/",""),".",""),"#",""),"\\",""),":","")," ",""),"(",""),")","")</f>
        <v/>
      </c>
      <c r="BY89" s="62" t="n">
        <f aca="false">IF(ISNUMBER(Flights!$AZ$7),MAX(Q89-UpliftWindowH/24,Flights!$AZ$7),Q89-UpliftWindowH/24)</f>
        <v>46305.1284722222</v>
      </c>
      <c r="BZ89" s="61" t="n">
        <f aca="false">IFERROR(IF(IF(TRIM(S89)="Link / file path",AND(LEN(TRIM(Z89))&gt;=5,SUMPRODUCT(--ISNUMBER(SEARCH({"http","www.","\\",":\",".pdf",".jpg",".jpeg",".png",".heic",".xls",".doc",".msg",".eml",".ppt",".txt",".zip"},Z89)))&gt;0),AND(ISERROR(FIND(" ",TRIM(Z89))),NOT(OR(SUMPRODUCT(--ISNUMBER(FIND({",",";","&amp;","+"},Z89)))&gt;0,SUMPRODUCT(--ISNUMBER(SEARCH({"0/aa","0\\aa"},BN89)))&gt;0)),NOT(SUMPRODUCT(--ISNUMBER(SEARCH({"http","www.","\\",":\",".pdf",".jpg",".jpeg",".png",".heic",".xls",".doc",".msg",".eml",".ppt",".txt",".zip"},Z89)))&gt;0),NOT(LOWER(TRIM(Z89))=LOWER(Flights!$F$7)),ISNA(MATCH(BU89,{"mh","rev","revision","ver","version","v","r","a","b","seat","tray","row","gate","bay","stand","page","pg","item","line","no","cart","galley","flight","flt","table","box","bag","oven","etd","eta","std","sta","atd","ata","qty","pax","x","time","tel","ph","mob","day","wk","week","utc","gmt","myt","lt"},0)),NOT(OR(ISNUMBER(MATCH(LEFT(BN89,255),{"0000a","000a","00a","0000aa","000aa","00aa","0aa","0000aaa","000aaa","00a00","0a00","0000-0000","00:00","a00","a0","00.00.0000","00/00/0000","00-00-0000","0000-00-00","0000/00/00","0000.00.00","00.00.00","00/00/00","00-00-00","0.00.0000","0/00/0000","0-00-0000"},0)),ISNUMBER(MATCH(LEFT(BT89,255),{"0000a","000a","00a","0000aa","000aa","00aa","0aa","0000aaa","000aaa","00a00","0a00","0000-0000","00:00","a00","a0","00.00.0000","00/00/0000","00-00-0000","0000-00-00","0000/00/00","0000.00.00","00.00.00","00/00/00","00-00-00","0.00.0000","0/00/0000","0-00-0000"},0)))),NOT(OR(AND(BW89&lt;&gt;"",SUBSTITUTE(BW89,"0","")=""),AND(LEN(BW89)&gt;=4,BW89=REPT(LEFT(BW89),LEN(BW89))),ISNUMBER(MATCH(BW89,{"123","1234","12345","123456","1234567","12345678","0123","01234","012345","98765","987654","54321"},0)),ISNUMBER(MATCH(BX89,{"x","xx","xxx","xxxx","xxxxx","abc","abcd","nil","na","nan","test","tbc","tba","tbd","dummy","sample","example","eg","zz","zzz","none","null","xyz","qwe","asd","id","ref"},0)),AND(LEN(BW89)=8,BX89="",OR(LEFT(BW89,3)="202",ISNUMBER(MATCH(RIGHT(BW89,4),{"2025","2026","2027"},0)))))),OR(AND((LEN(BT89)-LEN(SUBSTITUTE(BT89,"a","")))&gt;=1,(LEN(BN89)-LEN(SUBSTITUTE(BN89,"0","")))&gt;=2,SUMPRODUCT(--ISNUMBER(SEARCH({"a0","a-0","a_0","a/0","a.0","a#0","0a","0-a","0_a","0/a"},BN89)))&gt;0),AND((LEN(BN89)-LEN(SUBSTITUTE(BN89,"a","")))=0,(LEN(BN89)-LEN(SUBSTITUTE(BN89,"0","")))&gt;=5)))),1,0),0)</f>
        <v>0</v>
      </c>
      <c r="CA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89,"revision",""),"version",""),"jan",""),"feb",""),"mar",""),"apr",""),"may",""),"jun",""),"jul",""),"aug",""),"sep",""),"oct",""),"nov",""),"dec",""),"utc",""),"gmt",""),"myt",""),"bst",""),"rev",""),"ver",""),"b","a"),"c","a"),"d","a"),"e","a"),"f","a"),"g","a"),"h","a"),"i","a"),"j","a"),"k","a"),"l","a"),"m","a"),"n","a"),"o","a"),"p","a"),"q","a"),"r","a"),"s","a"),"t","a"),"u","a"),"v","a"),"w","a"),"x","a"),"y","a"),"z","a")</f>
        <v/>
      </c>
      <c r="CB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89&amp;""),"a",""),"b",""),"c",""),"d",""),"e",""),"f",""),"g",""),"h",""),"i",""),"j",""),"k",""),"l",""),"m",""),"n",""),"o",""),"p",""),"q",""),"r",""),"s",""),"t",""),"u",""),"v",""),"w",""),"x",""),"y",""),"z",""),"-",""),"_",""),"/",""),".",""),"#",""),"\\",""),":","")," ",""),"(",""),")","")</f>
        <v/>
      </c>
      <c r="CC89" s="0" t="str">
        <f aca="false">" "&amp;TRIM(SUBSTITUTE(SUBSTITUTE(SUBSTITUTE(SUBSTITUTE(SUBSTITUTE(SUBSTITUTE(SUBSTITUTE(SUBSTITUTE(SUBSTITUTE(SUBSTITUTE(SUBSTITUTE(SUBSTITUTE(SUBSTITUTE(SUBSTITUTE(SUBSTITUTE(SUBSTITUTE(SUBSTITUTE(SUBSTITUTE(SUBSTITUTE(SUBSTITUTE(SUBSTITUTE(SUBSTITUTE(SUBSTITUTE(SUBSTITUTE(LOWER(T89&amp;""),CHAR(10)," "),CHAR(13)," "),CHAR(9)," "),CHAR(160)," "),"."," "),","," "),"-"," "),"/"," "),"("," "),")"," "),":"," "),";"," "),"_"," "),"–"," "),"?"," "),"!"," "),"*"," "),"["," "),"]"," "),"'"," "),"#"," "),"+"," "),"&amp;"," "),"\"," "))&amp;" "</f>
        <v>  </v>
      </c>
      <c r="CD89" s="0" t="str">
        <f aca="false">" "&amp;TRIM(SUBSTITUTE(SUBSTITUTE(SUBSTITUTE(SUBSTITUTE(SUBSTITUTE(SUBSTITUTE(SUBSTITUTE(SUBSTITUTE(SUBSTITUTE(SUBSTITUTE(SUBSTITUTE(SUBSTITUTE(SUBSTITUTE(SUBSTITUTE(SUBSTITUTE(SUBSTITUTE(SUBSTITUTE(SUBSTITUTE(SUBSTITUTE(SUBSTITUTE(SUBSTITUTE(SUBSTITUTE(SUBSTITUTE(SUBSTITUTE(LOWER(AE89&amp;""),CHAR(10)," "),CHAR(13)," "),CHAR(9)," "),CHAR(160)," "),"."," "),","," "),"-"," "),"/"," "),"("," "),")"," "),":"," "),";"," "),"_"," "),"–"," "),"?"," "),"!"," "),"*"," "),"["," "),"]"," "),"'"," "),"#"," "),"+"," "),"&amp;"," "),"\"," "))&amp;" "</f>
        <v>  </v>
      </c>
      <c r="CE89" s="68" t="n">
        <f aca="false">IFERROR(IF(AND(LEN(AU89)&gt;0,LEN(AU89)=LEN(AX89),OR(TRIM(MID(SUBSTITUTE(TRIM(CC89)," ",REPT(" ",60)),1,60))="",ISNUMBER(SEARCH(" "&amp;TRIM(MID(SUBSTITUTE(TRIM(CC89)," ",REPT(" ",60)),1,60))&amp;" ",CD89))),OR(TRIM(MID(SUBSTITUTE(TRIM(CC89)," ",REPT(" ",60)),61,60))="",ISNUMBER(SEARCH(" "&amp;TRIM(MID(SUBSTITUTE(TRIM(CC89)," ",REPT(" ",60)),61,60))&amp;" ",CD89))),OR(TRIM(MID(SUBSTITUTE(TRIM(CC89)," ",REPT(" ",60)),121,60))="",ISNUMBER(SEARCH(" "&amp;TRIM(MID(SUBSTITUTE(TRIM(CC89)," ",REPT(" ",60)),121,60))&amp;" ",CD89)))),1,0),0)</f>
        <v>0</v>
      </c>
      <c r="CG89" s="68" t="n">
        <f aca="false">IFERROR(LEN(SUBSTITUTE(BF89," ",""))-SUMPRODUCT((LEN(BF89)-LEN(SUBSTITUTE(BF89," "&amp;L_NAFiller&amp;" "," ")))/(LEN(L_NAFiller)+1)*LEN(L_NAFiller)),0)</f>
        <v>0</v>
      </c>
    </row>
    <row r="90" customFormat="false" ht="39.75" hidden="false" customHeight="true" outlineLevel="0" collapsed="false">
      <c r="A90" s="57" t="s">
        <v>581</v>
      </c>
      <c r="B90" s="57" t="s">
        <v>218</v>
      </c>
      <c r="C90" s="57" t="str">
        <f aca="false">Flights!$F$8</f>
        <v>MH0088</v>
      </c>
      <c r="D90" s="58" t="n">
        <f aca="false">Flights!$D$8</f>
        <v>46305</v>
      </c>
      <c r="E90" s="57" t="str">
        <f aca="false">Flights!$G$8&amp;"-"&amp;Flights!$H$8</f>
        <v>KUL-NRT</v>
      </c>
      <c r="F90" s="57" t="str">
        <f aca="false">Flights!$K$8</f>
        <v>BC</v>
      </c>
      <c r="G90" s="57" t="s">
        <v>81</v>
      </c>
      <c r="H90" s="57" t="s">
        <v>378</v>
      </c>
      <c r="I90" s="57" t="s">
        <v>379</v>
      </c>
      <c r="J90" s="57" t="s">
        <v>380</v>
      </c>
      <c r="K90" s="67" t="s">
        <v>381</v>
      </c>
      <c r="L90" s="67" t="s">
        <v>382</v>
      </c>
      <c r="M90" s="67"/>
      <c r="N90" s="67" t="s">
        <v>383</v>
      </c>
      <c r="O90" s="67"/>
      <c r="P90" s="57" t="s">
        <v>187</v>
      </c>
      <c r="Q90" s="59" t="n">
        <f aca="false">ROUND((Flights!$AC$8)*1440,0)/1440</f>
        <v>46298.6458333333</v>
      </c>
      <c r="R90" s="59" t="n">
        <f aca="false">Q90+(IF(AND(INDEX(TZ_DSTS,MATCH(P90,TZ_STN,0))&lt;&gt;"",Q90&gt;=INDEX(TZ_DSTS,MATCH(P90,TZ_STN,0)),Q90&lt;INDEX(TZ_DSTE,MATCH(P90,TZ_STN,0))),INDEX(TZ_DST,MATCH(P90,TZ_STN,0)),INDEX(TZ_STD,MATCH(P90,TZ_STN,0))))/24</f>
        <v>46298.9791666667</v>
      </c>
      <c r="S90" s="60"/>
      <c r="T90" s="60"/>
      <c r="U90" s="60"/>
      <c r="V90" s="60"/>
      <c r="W90" s="61"/>
      <c r="X90" s="60"/>
      <c r="Y90" s="60"/>
      <c r="Z90" s="60"/>
      <c r="AA90" s="60"/>
      <c r="AB90" s="60"/>
      <c r="AC90" s="60"/>
      <c r="AD90" s="66"/>
      <c r="AE90" s="60"/>
      <c r="AF90" s="61" t="str">
        <f aca="false">IF(AND(ISNUMBER(X90),ISNUMBER(Y90)),Y90-X90,"")</f>
        <v/>
      </c>
      <c r="AG90" s="62" t="str">
        <f aca="false">IF(ISNUMBER(AD90),AD90-(IF(AND(INDEX(TZ_DSTS,MATCH(P90,TZ_STN,0))&lt;&gt;"",(AD90-INDEX(TZ_STD,MATCH(P90,TZ_STN,0))/24)&gt;=INDEX(TZ_DSTS,MATCH(P90,TZ_STN,0)),(AD90-INDEX(TZ_STD,MATCH(P90,TZ_STN,0))/24)&lt;INDEX(TZ_DSTE,MATCH(P90,TZ_STN,0))),INDEX(TZ_DST,MATCH(P90,TZ_STN,0)),INDEX(TZ_STD,MATCH(P90,TZ_STN,0))))/24,"")</f>
        <v/>
      </c>
      <c r="AH90" s="65" t="str">
        <f aca="false">IFERROR(IF(N90="N/A – rule",IF(OR(TRIM(U90)="",TRIM(U90)="N/A",TRIM(U90)="Not started"),"N/A – RULE","INVALID – this check does not apply to this aircraft: clear the status (or correct the fleet on Flights)"),IF(TRIM(U90)="N/A",IF(AT90=0,"INVALID – N/A not permitted for this check",IF(AND(TRIM(AB90)&lt;&gt;"",TRIM(AB90)&lt;&gt;"Closed"),"INVALID – corrective action still open",IF(AND(NOT(OR(LEN(AZ90)&lt;15,ISNUMBER(MATCH(AZ90,L_Placeholder,0)))),BK90=0,CG90&gt;=8,NOT(OR(LEN(AU90)&lt;2,ISNUMBER(MATCH(AU90,L_Placeholder,0)))),BR90&gt;=3,NOT(OR(LEN(AX90)&lt;2,ISNUMBER(MATCH(AX90,L_Placeholder,0)))),BS90&gt;=3,TRIM(AE90)&lt;&gt;TRIM(T90),AX90&lt;&gt;AU90,CE90=0),"N/A – JUSTIFIED","INVALID – N/A needs a real, settled reason (not 'not applicable' / 'as above' / TBC), a named PIC and a different named verifier"))),IF(OR(TRIM(U90)="Pass",TRIM(U90)="Pass after CA"),IF(NOT(ISNUMBER(AD90)),"INVALID – completion time missing",IF(OR(OR(LEN(AU90)&lt;2,ISNUMBER(MATCH(AU90,L_Placeholder,0))),BR90&lt;3),"INVALID – PIC missing or not a named person (a role such as QA / CSM is not a name)",IF(OR(LEN(AV90)&lt;2,ISNUMBER(MATCH(AV90,L_Placeholder,0))),"INVALID – result / assessment missing",IF(OR(OR(LEN(AW90)&lt;3,ISNUMBER(MATCH(AW90,L_Placeholder,0))),SUMPRODUCT(--ISNUMBER(SEARCH(" "&amp;L_EvidencePhrase&amp;" ",BD90)))&gt;0,BI90=1),"INVALID – evidence missing, placeholder or not yet on file",IF(ISNA(MATCH(TRIM(S90),L_EvidenceType,0)),"INVALID – choose the evidence type from the list (column S)",IF(BL90=0,"INVALID – evidence ID must be the record's own ID only (e.g. SF-2210, IMG_2231, 1045521); a link / file name needs type 'Link / file path'",IF(OR(OR(LEN(AX90)&lt;2,ISNUMBER(MATCH(AX90,L_Placeholder,0))),BS90&lt;3),"INVALID – verifier missing or not a named person (a role such as QA / CSM is not a name)",IF(OR(AX90=AU90,CE90=1,AND(LEN(AU90)&gt;=4,ISNUMBER(SEARCH(AU90,AX90))),AND(LEN(AX90)&gt;=4,ISNUMBER(SEARCH(AX90,AU90)))),"INVALID – verifier must be a different, named person (not the PIC or a role)",IF(BH90=1,"INVALID – result not yet available (awaiting / TBC)",IF(BG90=1,"INVALID – result describes a problem: record Fail, then Pass after CA (or reword if it is not a problem)",IF(BV90=1,"INVALID – wording says not on board: an on-board confirmation needs the item loaded",IF(AND(AQ90=1,OR(OR(LEN(AY90)&lt;3,ISNUMBER(MATCH(AY90,L_Placeholder,0))),BJ90=1,BQ90=0)),"INVALID – batch ID missing, placeholder or not an ID (e.g. PASB-261008-BC-017)",IF(AND(AR90=1,OR(NOT(ISNUMBER(X90)),NOT(ISNUMBER(Y90)))),"INVALID – expected/actual qty missing",IF(AND(AR90=1,OR(X90&lt;=0,Y90&lt;0)),"INVALID – expected qty must be above 0 and actual not negative",IF(BB90&lt;&gt;"",BB90,IF(AND(AS90=1,Documents!$J$8&lt;&gt;"ON FILE"),"INVALID – GLD not on file (Documents sheet)",IF(AND(AS90=2,Documents!$O$8&lt;&gt;"ON FILE"),"INVALID – menu checklist not on file (Documents sheet)",IF(AND(AS90=3,NOT(ISNUMBER(Flights!$AX$8))),"INVALID – enter carrying flight KUL departure (Flights AX)",IF(AND(AS90=3,OR(Flights!$AZ$8&gt;Flights!$AA$8,Flights!$AX$8&lt;Flights!$AA$8-3)),"INVALID – carrying flight (Flights AX) cannot arrive before this leg's STD, or is over 3 days early",IF(AG90&gt;AsOfUTC,"INVALID – completion time is in the future",IF(AND(ISNUMBER(BY90),AG90&lt;BY90),IF(H90="Physical uplift","INVALID – before uplift window (cannot confirm loading)","INVALID – before valid window"),IF(AG90&gt;Flights!$AA$8,"INVALID – completed after departure (cannot establish readiness)",IF(AND(H90="Preparation",AG90&gt;=IF(ISNUMBER(Flights!$BA$8),MIN(Flights!$BA$8,Flights!$AA$8),Flights!$AA$8)),"INVALID – completed after loading / departure (cannot establish readiness)",IF(AND(H90="Physical uplift",AG90&gt;Q90),"INVALID – recorded after the loading flight departed",IF(AG90&gt;Q90,"COMPLETE – LATE","COMPLETE"))))))))))))))))))))))))),IF(TRIM(U90)="Fail","FAIL – DISCREPANCY",IF(AND(TRIM(U90)&lt;&gt;"",TRIM(U90)&lt;&gt;"Not started",TRIM(U90)&lt;&gt;"In progress"),"INVALID – unrecognised status (use the list)",IF(AsOfUTC&gt;Q90,"OVERDUE",IF(N90="Clarification required","OPEN – CLARIFICATION","OPEN"))))))),"INVALID – error value in an input cell")</f>
        <v>OPEN</v>
      </c>
      <c r="AI90" s="61" t="n">
        <f aca="false">IF(OR(AH90="N/A – RULE",AH90="N/A – JUSTIFIED"),0,1)</f>
        <v>1</v>
      </c>
      <c r="AJ90" s="61" t="n">
        <f aca="false">IF(LEFT(AH90,8)="COMPLETE",1,0)</f>
        <v>0</v>
      </c>
      <c r="AK90" s="61" t="n">
        <f aca="false">IF(AND(AI90=1,AJ90=0,AsOfUTC&gt;Q90),1,0)</f>
        <v>0</v>
      </c>
      <c r="AL90" s="61" t="n">
        <f aca="false">IFERROR(IF(AND(AI90=1,OR(TRIM(U90)="Fail",AND(TRIM(AB90)&lt;&gt;"",TRIM(AB90)&lt;&gt;"Closed"),AND(ISNUMBER(AF90),AF90&lt;&gt;0,TRIM(U90)&lt;&gt;"Pass after CA"))),1,0),1)</f>
        <v>0</v>
      </c>
      <c r="AM90" s="61" t="n">
        <f aca="false">IF(LEFT(AH90,7)="INVALID",1,0)</f>
        <v>0</v>
      </c>
      <c r="AN90" s="61" t="n">
        <f aca="false">IF(AND(N90="Clarification required",AI90=1,AJ90=0),1,0)</f>
        <v>0</v>
      </c>
      <c r="AO90" s="61" t="str">
        <f aca="false">IF(AK90=1,SUM(AK$5:AK90),"")</f>
        <v/>
      </c>
      <c r="AP90" s="61" t="str">
        <f aca="false">IF(AL90=1,SUM(AL$5:AL90),"")</f>
        <v/>
      </c>
      <c r="AQ90" s="61" t="n">
        <v>0</v>
      </c>
      <c r="AR90" s="61" t="n">
        <v>0</v>
      </c>
      <c r="AS90" s="61" t="n">
        <v>0</v>
      </c>
      <c r="AT90" s="61" t="n">
        <v>0</v>
      </c>
      <c r="AU90" s="61" t="str">
        <f aca="false">SUBSTITUTE(SUBSTITUTE(SUBSTITUTE(SUBSTITUTE(SUBSTITUTE(SUBSTITUTE(SUBSTITUTE(SUBSTITUTE(SUBSTITUTE(SUBSTITUTE(SUBSTITUTE(SUBSTITUTE(SUBSTITUTE(SUBSTITUTE(SUBSTITUTE(SUBSTITUTE(LOWER(T90&amp;""),CHAR(10),""),CHAR(13),""),CHAR(9),""),CHAR(160),"")," ",""),".",""),"-",""),"/",""),"?",""),"_",""),",",""),"[",""),"]",""),"(",""),")",""),"*","")</f>
        <v/>
      </c>
      <c r="AV90" s="61" t="str">
        <f aca="false">SUBSTITUTE(SUBSTITUTE(SUBSTITUTE(SUBSTITUTE(SUBSTITUTE(SUBSTITUTE(SUBSTITUTE(SUBSTITUTE(SUBSTITUTE(SUBSTITUTE(SUBSTITUTE(SUBSTITUTE(SUBSTITUTE(SUBSTITUTE(SUBSTITUTE(SUBSTITUTE(LOWER(V90&amp;""),CHAR(10),""),CHAR(13),""),CHAR(9),""),CHAR(160),"")," ",""),".",""),"-",""),"/",""),"?",""),"_",""),",",""),"[",""),"]",""),"(",""),")",""),"*","")</f>
        <v/>
      </c>
      <c r="AW90" s="61" t="str">
        <f aca="false">SUBSTITUTE(SUBSTITUTE(SUBSTITUTE(SUBSTITUTE(SUBSTITUTE(SUBSTITUTE(SUBSTITUTE(SUBSTITUTE(SUBSTITUTE(SUBSTITUTE(SUBSTITUTE(SUBSTITUTE(SUBSTITUTE(SUBSTITUTE(SUBSTITUTE(SUBSTITUTE(LOWER(Z90&amp;""),CHAR(10),""),CHAR(13),""),CHAR(9),""),CHAR(160),"")," ",""),".",""),"-",""),"/",""),"?",""),"_",""),",",""),"[",""),"]",""),"(",""),")",""),"*","")</f>
        <v/>
      </c>
      <c r="AX90" s="61" t="str">
        <f aca="false">SUBSTITUTE(SUBSTITUTE(SUBSTITUTE(SUBSTITUTE(SUBSTITUTE(SUBSTITUTE(SUBSTITUTE(SUBSTITUTE(SUBSTITUTE(SUBSTITUTE(SUBSTITUTE(SUBSTITUTE(SUBSTITUTE(SUBSTITUTE(SUBSTITUTE(SUBSTITUTE(LOWER(AE90&amp;""),CHAR(10),""),CHAR(13),""),CHAR(9),""),CHAR(160),"")," ",""),".",""),"-",""),"/",""),"?",""),"_",""),",",""),"[",""),"]",""),"(",""),")",""),"*","")</f>
        <v/>
      </c>
      <c r="AY90" s="61" t="str">
        <f aca="false">SUBSTITUTE(SUBSTITUTE(SUBSTITUTE(SUBSTITUTE(SUBSTITUTE(SUBSTITUTE(SUBSTITUTE(SUBSTITUTE(SUBSTITUTE(SUBSTITUTE(SUBSTITUTE(SUBSTITUTE(SUBSTITUTE(SUBSTITUTE(SUBSTITUTE(SUBSTITUTE(LOWER(W90&amp;""),CHAR(10),""),CHAR(13),""),CHAR(9),""),CHAR(160),"")," ",""),".",""),"-",""),"/",""),"?",""),"_",""),",",""),"[",""),"]",""),"(",""),")",""),"*","")</f>
        <v/>
      </c>
      <c r="AZ90" s="61" t="str">
        <f aca="false">SUBSTITUTE(SUBSTITUTE(SUBSTITUTE(SUBSTITUTE(SUBSTITUTE(SUBSTITUTE(SUBSTITUTE(SUBSTITUTE(SUBSTITUTE(SUBSTITUTE(SUBSTITUTE(SUBSTITUTE(SUBSTITUTE(SUBSTITUTE(SUBSTITUTE(SUBSTITUTE(LOWER(AC90&amp;""),CHAR(10),""),CHAR(13),""),CHAR(9),""),CHAR(160),"")," ",""),".",""),"-",""),"/",""),"?",""),"_",""),",",""),"[",""),"]",""),"(",""),")",""),"*","")</f>
        <v/>
      </c>
      <c r="BA90" s="61" t="str">
        <f aca="false">SUBSTITUTE(SUBSTITUTE(SUBSTITUTE(SUBSTITUTE(SUBSTITUTE(SUBSTITUTE(SUBSTITUTE(SUBSTITUTE(SUBSTITUTE(SUBSTITUTE(SUBSTITUTE(SUBSTITUTE(SUBSTITUTE(SUBSTITUTE(SUBSTITUTE(SUBSTITUTE(LOWER(AA90&amp;""),CHAR(10),""),CHAR(13),""),CHAR(9),""),CHAR(160),"")," ",""),".",""),"-",""),"/",""),"?",""),"_",""),",",""),"[",""),"]",""),"(",""),")",""),"*","")</f>
        <v/>
      </c>
      <c r="BB90" s="61" t="str">
        <f aca="false">IF(AND(TRIM(U90)="Pass",ISNUMBER(AF90)),IF(AF90&lt;&gt;0,"INVALID – qty variance: use Fail or Pass after CA",""),"")&amp;IF(AND(TRIM(U90)="Pass after CA",ISNUMBER(AF90)),IF(AF90&lt;&gt;0,"INVALID – after the corrective action the actual qty must equal expected (update Actual)",""),"")&amp;IF(AND(TRIM(U90)="Pass",TRIM(AB90)&lt;&gt;"",TRIM(AB90)&lt;&gt;"Closed"),"INVALID – corrective action not closed: use Fail, then Pass after CA","")&amp;IF(AND(LEN(BA90)&gt;=2,ISNA(MATCH(LEFT(BA90,255),L_Placeholder,0)),TRIM(AB90)=""),"INVALID – CA status missing for the recorded corrective action","")&amp;IF(AND(TRIM(U90)="Pass after CA",OR(OR(LEN(BA90)&lt;5,ISNUMBER(MATCH(BA90,L_Placeholder,0))),TRIM(AB90)&lt;&gt;"Closed")),"INVALID – corrective action not recorded/closed","")</f>
        <v/>
      </c>
      <c r="BC90" s="61" t="str">
        <f aca="false">" "&amp;TRIM(SUBSTITUTE(SUBSTITUTE(SUBSTITUTE(SUBSTITUTE(SUBSTITUTE(SUBSTITUTE(SUBSTITUTE(SUBSTITUTE(SUBSTITUTE(SUBSTITUTE(SUBSTITUTE(SUBSTITUTE(SUBSTITUTE(SUBSTITUTE(SUBSTITUTE(SUBSTITUTE(SUBSTITUTE(SUBSTITUTE(SUBSTITUTE(SUBSTITUTE(SUBSTITUTE(SUBSTITUTE(SUBSTITUTE(SUBSTITUTE(LOWER(V90&amp;""),CHAR(10)," "),CHAR(13)," "),CHAR(9)," "),CHAR(160)," "),"."," "),","," "),"-"," "),"/"," "),"("," "),")"," "),":"," "),";"," "),"_"," "),"–"," "),"?"," "),"!"," "),"*"," "),"["," "),"]"," "),"'"," "),"#"," "),"+"," "),"&amp;"," "),"\"," "))&amp;" "</f>
        <v>  </v>
      </c>
      <c r="BD90" s="61" t="str">
        <f aca="false">" "&amp;TRIM(SUBSTITUTE(SUBSTITUTE(SUBSTITUTE(SUBSTITUTE(SUBSTITUTE(SUBSTITUTE(SUBSTITUTE(SUBSTITUTE(SUBSTITUTE(SUBSTITUTE(SUBSTITUTE(SUBSTITUTE(SUBSTITUTE(SUBSTITUTE(SUBSTITUTE(SUBSTITUTE(SUBSTITUTE(SUBSTITUTE(SUBSTITUTE(SUBSTITUTE(SUBSTITUTE(SUBSTITUTE(SUBSTITUTE(SUBSTITUTE(LOWER(Z90&amp;""),CHAR(10)," "),CHAR(13)," "),CHAR(9)," "),CHAR(160)," "),"."," "),","," "),"-"," "),"/"," "),"("," "),")"," "),":"," "),";"," "),"_"," "),"–"," "),"?"," "),"!"," "),"*"," "),"["," "),"]"," "),"'"," "),"#"," "),"+"," "),"&amp;"," "),"\"," "))&amp;" "</f>
        <v>  </v>
      </c>
      <c r="BE90" s="61" t="str">
        <f aca="false">" "&amp;TRIM(SUBSTITUTE(SUBSTITUTE(SUBSTITUTE(SUBSTITUTE(SUBSTITUTE(SUBSTITUTE(SUBSTITUTE(SUBSTITUTE(SUBSTITUTE(SUBSTITUTE(SUBSTITUTE(SUBSTITUTE(SUBSTITUTE(SUBSTITUTE(SUBSTITUTE(SUBSTITUTE(SUBSTITUTE(SUBSTITUTE(SUBSTITUTE(SUBSTITUTE(SUBSTITUTE(SUBSTITUTE(SUBSTITUTE(SUBSTITUTE(LOWER(W90&amp;""),CHAR(10)," "),CHAR(13)," "),CHAR(9)," "),CHAR(160)," "),"."," "),","," "),"-"," "),"/"," "),"("," "),")"," "),":"," "),";"," "),"_"," "),"–"," "),"?"," "),"!"," "),"*"," "),"["," "),"]"," "),"'"," "),"#"," "),"+"," "),"&amp;"," "),"\"," "))&amp;" "</f>
        <v>  </v>
      </c>
      <c r="BF90" s="61" t="str">
        <f aca="false">" "&amp;TRIM(SUBSTITUTE(SUBSTITUTE(SUBSTITUTE(SUBSTITUTE(SUBSTITUTE(SUBSTITUTE(SUBSTITUTE(SUBSTITUTE(SUBSTITUTE(SUBSTITUTE(SUBSTITUTE(SUBSTITUTE(SUBSTITUTE(SUBSTITUTE(SUBSTITUTE(SUBSTITUTE(SUBSTITUTE(SUBSTITUTE(SUBSTITUTE(SUBSTITUTE(SUBSTITUTE(SUBSTITUTE(SUBSTITUTE(SUBSTITUTE(LOWER(AC90&amp;""),CHAR(10)," "),CHAR(13)," "),CHAR(9)," "),CHAR(160)," "),"."," "),","," "),"-"," "),"/"," "),"("," "),")"," "),":"," "),";"," "),"_"," "),"–"," "),"?"," "),"!"," "),"*"," "),"["," "),"]"," "),"'"," "),"#"," "),"+"," "),"&amp;"," "),"\"," "))&amp;" "</f>
        <v>  </v>
      </c>
      <c r="BG90" s="61" t="n">
        <f aca="false">IFERROR(IF(AND(TRIM(U90)="Pass",SUMPRODUCT((LEN(BC90)-LEN(SUBSTITUTE(BC90," "&amp;L_ResultBad&amp;" "," ")))/(LEN(L_ResultBad)+1))&gt;SUMPRODUCT((LEN(BC90)-LEN(SUBSTITUTE(BC90," "&amp;L_NegPhrase&amp;" "," ")))/(LEN(L_NegPhrase)+1))),1,0),0)</f>
        <v>0</v>
      </c>
      <c r="BH90" s="61" t="n">
        <f aca="false">IFERROR(IF(SUMPRODUCT((LEN(BC90)-LEN(SUBSTITUTE(BC90," "&amp;L_Pending&amp;" "," ")))/(LEN(L_Pending)+1))&gt;SUMPRODUCT((LEN(BC90)-LEN(SUBSTITUTE(BC90," "&amp;L_PendNeg&amp;" "," ")))/(LEN(L_PendNeg)+1))+SUMPRODUCT((LEN(BC90)-LEN(SUBSTITUTE(BC90," "&amp;L_PendPrep&amp;" "," ")))/(LEN(L_PendPrep)+1)),1,0),1)</f>
        <v>0</v>
      </c>
      <c r="BI90" s="61" t="n">
        <f aca="false">IFERROR(IF(SUMPRODUCT((LEN(BD90)-LEN(SUBSTITUTE(BD90," "&amp;L_PendStrict&amp;" "," ")))/(LEN(L_PendStrict)+1))&gt;SUMPRODUCT((LEN(BD90)-LEN(SUBSTITUTE(BD90," "&amp;L_PendNeg&amp;" "," ")))/(LEN(L_PendNeg)+1)),1,0),1)</f>
        <v>0</v>
      </c>
      <c r="BJ90" s="61" t="n">
        <f aca="false">IFERROR(IF(SUMPRODUCT((LEN(BE90)-LEN(SUBSTITUTE(BE90," "&amp;L_Pending&amp;" "," ")))/(LEN(L_Pending)+1))&gt;SUMPRODUCT((LEN(BE90)-LEN(SUBSTITUTE(BE90," "&amp;L_PendNeg&amp;" "," ")))/(LEN(L_PendNeg)+1))+SUMPRODUCT((LEN(BE90)-LEN(SUBSTITUTE(BE90," "&amp;L_PendPrep&amp;" "," ")))/(LEN(L_PendPrep)+1)),1,0),1)</f>
        <v>0</v>
      </c>
      <c r="BK90" s="61" t="n">
        <f aca="false">IFERROR(IF(SUMPRODUCT((LEN(BF90)-LEN(SUBSTITUTE(BF90," "&amp;L_PendStrict&amp;" "," ")))/(LEN(L_PendStrict)+1))&gt;SUMPRODUCT((LEN(BF90)-LEN(SUBSTITUTE(BF90," "&amp;L_PendNeg&amp;" "," ")))/(LEN(L_PendNeg)+1)),1,0),1)</f>
        <v>0</v>
      </c>
      <c r="BL90" s="61" t="n">
        <f aca="false">IF(ISNA(MATCH(TRIM(S90),L_EvidenceType,0)),0,BZ90)</f>
        <v>0</v>
      </c>
      <c r="BM90" s="61" t="str">
        <f aca="false">SUBSTITUTE(SUBSTITUTE(SUBSTITUTE(SUBSTITUTE(SUBSTITUTE(SUBSTITUTE(SUBSTITUTE(SUBSTITUTE(SUBSTITUTE(LOWER(Z90&amp;""),"1","0"),"2","0"),"3","0"),"4","0"),"5","0"),"6","0"),"7","0"),"8","0"),"9","0")</f>
        <v/>
      </c>
      <c r="BN90" s="61" t="str">
        <f aca="false">SUBSTITUTE(SUBSTITUTE(SUBSTITUTE(SUBSTITUTE(SUBSTITUTE(SUBSTITUTE(SUBSTITUTE(SUBSTITUTE(SUBSTITUTE(SUBSTITUTE(SUBSTITUTE(SUBSTITUTE(SUBSTITUTE(SUBSTITUTE(SUBSTITUTE(SUBSTITUTE(SUBSTITUTE(SUBSTITUTE(SUBSTITUTE(SUBSTITUTE(SUBSTITUTE(SUBSTITUTE(SUBSTITUTE(SUBSTITUTE(SUBSTITUTE(BM90,"b","a"),"c","a"),"d","a"),"e","a"),"f","a"),"g","a"),"h","a"),"i","a"),"j","a"),"k","a"),"l","a"),"m","a"),"n","a"),"o","a"),"p","a"),"q","a"),"r","a"),"s","a"),"t","a"),"u","a"),"v","a"),"w","a"),"x","a"),"y","a"),"z","a")</f>
        <v/>
      </c>
      <c r="BO90" s="61" t="str">
        <f aca="false">SUBSTITUTE(SUBSTITUTE(SUBSTITUTE(SUBSTITUTE(SUBSTITUTE(SUBSTITUTE(SUBSTITUTE(SUBSTITUTE(SUBSTITUTE(LOWER(W90&amp;""),"1","0"),"2","0"),"3","0"),"4","0"),"5","0"),"6","0"),"7","0"),"8","0"),"9","0")</f>
        <v/>
      </c>
      <c r="BP90" s="61" t="str">
        <f aca="false">SUBSTITUTE(SUBSTITUTE(SUBSTITUTE(SUBSTITUTE(SUBSTITUTE(SUBSTITUTE(SUBSTITUTE(SUBSTITUTE(SUBSTITUTE(SUBSTITUTE(SUBSTITUTE(SUBSTITUTE(SUBSTITUTE(SUBSTITUTE(SUBSTITUTE(SUBSTITUTE(SUBSTITUTE(SUBSTITUTE(SUBSTITUTE(SUBSTITUTE(SUBSTITUTE(SUBSTITUTE(SUBSTITUTE(SUBSTITUTE(SUBSTITUTE(BO90,"b","a"),"c","a"),"d","a"),"e","a"),"f","a"),"g","a"),"h","a"),"i","a"),"j","a"),"k","a"),"l","a"),"m","a"),"n","a"),"o","a"),"p","a"),"q","a"),"r","a"),"s","a"),"t","a"),"u","a"),"v","a"),"w","a"),"x","a"),"y","a"),"z","a")</f>
        <v/>
      </c>
      <c r="BQ90" s="61" t="n">
        <f aca="false">IFERROR(IF(AND(ISERROR(SEARCH(" mh"," "&amp;LOWER(W90))),ISNA(MATCH(LEFT(TRIM(BP90),255),{"0000a","000a","00a","0000aa","000aa","00aa","0aa","0000aaa","000aaa","00a00","0a00","0000-0000","00:00","a00","a0","00.00.0000","00/00/0000","00-00-0000","0000-00-00","0000/00/00","0000.00.00","00.00.00","00/00/00","00-00-00","0.00.0000","0/00/0000","0-00-0000"},0)),ISNA(MATCH(LEFT(TRIM(CA90),255),{"0000a","000a","00a","0000aa","000aa","00aa","0aa","0000aaa","000aaa","00a00","0a00","0000-0000","00:00","a00","a0","00.00.0000","00/00/0000","00-00-0000","0000-00-00","0000/00/00","0000.00.00","00.00.00","00/00/00","00-00-00","0.00.0000","0/00/0000","0-00-0000"},0)),LEN(CB90)&gt;=3,NOT(OR(SUBSTITUTE(CB90,"0","")="",AND(LEN(CB90)&gt;=4,CB90=REPT(LEFT(CB90),LEN(CB90))),ISNUMBER(MATCH(CB90,{"123","1234","12345","123456","1234567","12345678","0123","01234","012345","98765","987654","54321"},0)),AND(LEN(CB90)=8,LEFT(CB90,3)="202"))),OR(AND((LEN(CA90)-LEN(SUBSTITUTE(CA90,"a","")))&gt;=1,SUMPRODUCT(--ISNUMBER(SEARCH({"a0","a-0","a_0","a/0","a.0","a#0","0a","0-a","0_a","0/a"},BP90)))&gt;0),ISNUMBER(SEARCH("000000",BP90)))),1,0),0)</f>
        <v>0</v>
      </c>
      <c r="BR90" s="61" t="n">
        <f aca="false">IFERROR(LEN(SUBSTITUTE(CC90," ",""))-SUMPRODUCT((LEN(CC90)-LEN(SUBSTITUTE(CC90," "&amp;L_Role&amp;" "," ")))/(LEN(L_Role)+1)*LEN(L_Role)),0)</f>
        <v>0</v>
      </c>
      <c r="BS90" s="61" t="n">
        <f aca="false">IFERROR(LEN(SUBSTITUTE(CD90," ",""))-SUMPRODUCT((LEN(CD90)-LEN(SUBSTITUTE(CD90," "&amp;L_Role&amp;" "," ")))/(LEN(L_Role)+1)*LEN(L_Role)),0)</f>
        <v>0</v>
      </c>
      <c r="BT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90,"revision",""),"version",""),"jan",""),"feb",""),"mar",""),"apr",""),"may",""),"jun",""),"jul",""),"aug",""),"sep",""),"oct",""),"nov",""),"dec",""),"utc",""),"gmt",""),"myt",""),"bst",""),"rev",""),"ver",""),"b","a"),"c","a"),"d","a"),"e","a"),"f","a"),"g","a"),"h","a"),"i","a"),"j","a"),"k","a"),"l","a"),"m","a"),"n","a"),"o","a"),"p","a"),"q","a"),"r","a"),"s","a"),"t","a"),"u","a"),"v","a"),"w","a"),"x","a"),"y","a"),"z","a")</f>
        <v/>
      </c>
      <c r="BU90" s="61" t="str">
        <f aca="false">SUBSTITUTE(SUBSTITUTE(SUBSTITUTE(SUBSTITUTE(SUBSTITUTE(SUBSTITUTE(SUBSTITUTE(SUBSTITUTE(SUBSTITUTE(SUBSTITUTE(LEFT(BM90,FIND("0",BM90&amp;"0")-1),"-",""),"_",""),"/",""),".",""),"#",""),"\\",""),":","")," ",""),"(",""),")","")</f>
        <v/>
      </c>
      <c r="BV90" s="61" t="n">
        <f aca="false">0</f>
        <v>0</v>
      </c>
      <c r="BW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90&amp;""),"a",""),"b",""),"c",""),"d",""),"e",""),"f",""),"g",""),"h",""),"i",""),"j",""),"k",""),"l",""),"m",""),"n",""),"o",""),"p",""),"q",""),"r",""),"s",""),"t",""),"u",""),"v",""),"w",""),"x",""),"y",""),"z",""),"-",""),"_",""),"/",""),".",""),"#",""),"\\",""),":","")," ",""),"(",""),")","")</f>
        <v/>
      </c>
      <c r="BX90" s="61" t="str">
        <f aca="false">SUBSTITUTE(SUBSTITUTE(SUBSTITUTE(SUBSTITUTE(SUBSTITUTE(SUBSTITUTE(SUBSTITUTE(SUBSTITUTE(SUBSTITUTE(SUBSTITUTE(SUBSTITUTE(BM90,"0",""),"-",""),"_",""),"/",""),".",""),"#",""),"\\",""),":","")," ",""),"(",""),")","")</f>
        <v/>
      </c>
      <c r="BY90" s="62" t="n">
        <f aca="false">Q90-T7EarlyD*24/24</f>
        <v>46284.6458333333</v>
      </c>
      <c r="BZ90" s="61" t="n">
        <f aca="false">IFERROR(IF(IF(TRIM(S90)="Link / file path",AND(LEN(TRIM(Z90))&gt;=5,SUMPRODUCT(--ISNUMBER(SEARCH({"http","www.","\\",":\",".pdf",".jpg",".jpeg",".png",".heic",".xls",".doc",".msg",".eml",".ppt",".txt",".zip"},Z90)))&gt;0),AND(ISERROR(FIND(" ",TRIM(Z90))),NOT(OR(SUMPRODUCT(--ISNUMBER(FIND({",",";","&amp;","+"},Z90)))&gt;0,SUMPRODUCT(--ISNUMBER(SEARCH({"0/aa","0\\aa"},BN90)))&gt;0)),NOT(SUMPRODUCT(--ISNUMBER(SEARCH({"http","www.","\\",":\",".pdf",".jpg",".jpeg",".png",".heic",".xls",".doc",".msg",".eml",".ppt",".txt",".zip"},Z90)))&gt;0),NOT(LOWER(TRIM(Z90))=LOWER(Flights!$F$8)),ISNA(MATCH(BU90,{"mh","rev","revision","ver","version","v","r","a","b","seat","tray","row","gate","bay","stand","page","pg","item","line","no","cart","galley","flight","flt","table","box","bag","oven","etd","eta","std","sta","atd","ata","qty","pax","x","time","tel","ph","mob","day","wk","week","utc","gmt","myt","lt"},0)),NOT(OR(ISNUMBER(MATCH(LEFT(BN90,255),{"0000a","000a","00a","0000aa","000aa","00aa","0aa","0000aaa","000aaa","00a00","0a00","0000-0000","00:00","a00","a0","00.00.0000","00/00/0000","00-00-0000","0000-00-00","0000/00/00","0000.00.00","00.00.00","00/00/00","00-00-00","0.00.0000","0/00/0000","0-00-0000"},0)),ISNUMBER(MATCH(LEFT(BT90,255),{"0000a","000a","00a","0000aa","000aa","00aa","0aa","0000aaa","000aaa","00a00","0a00","0000-0000","00:00","a00","a0","00.00.0000","00/00/0000","00-00-0000","0000-00-00","0000/00/00","0000.00.00","00.00.00","00/00/00","00-00-00","0.00.0000","0/00/0000","0-00-0000"},0)))),NOT(OR(AND(BW90&lt;&gt;"",SUBSTITUTE(BW90,"0","")=""),AND(LEN(BW90)&gt;=4,BW90=REPT(LEFT(BW90),LEN(BW90))),ISNUMBER(MATCH(BW90,{"123","1234","12345","123456","1234567","12345678","0123","01234","012345","98765","987654","54321"},0)),ISNUMBER(MATCH(BX90,{"x","xx","xxx","xxxx","xxxxx","abc","abcd","nil","na","nan","test","tbc","tba","tbd","dummy","sample","example","eg","zz","zzz","none","null","xyz","qwe","asd","id","ref"},0)),AND(LEN(BW90)=8,BX90="",OR(LEFT(BW90,3)="202",ISNUMBER(MATCH(RIGHT(BW90,4),{"2025","2026","2027"},0)))))),OR(AND((LEN(BT90)-LEN(SUBSTITUTE(BT90,"a","")))&gt;=1,(LEN(BN90)-LEN(SUBSTITUTE(BN90,"0","")))&gt;=2,SUMPRODUCT(--ISNUMBER(SEARCH({"a0","a-0","a_0","a/0","a.0","a#0","0a","0-a","0_a","0/a"},BN90)))&gt;0),AND((LEN(BN90)-LEN(SUBSTITUTE(BN90,"a","")))=0,(LEN(BN90)-LEN(SUBSTITUTE(BN90,"0","")))&gt;=5)))),1,0),0)</f>
        <v>0</v>
      </c>
      <c r="CA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90,"revision",""),"version",""),"jan",""),"feb",""),"mar",""),"apr",""),"may",""),"jun",""),"jul",""),"aug",""),"sep",""),"oct",""),"nov",""),"dec",""),"utc",""),"gmt",""),"myt",""),"bst",""),"rev",""),"ver",""),"b","a"),"c","a"),"d","a"),"e","a"),"f","a"),"g","a"),"h","a"),"i","a"),"j","a"),"k","a"),"l","a"),"m","a"),"n","a"),"o","a"),"p","a"),"q","a"),"r","a"),"s","a"),"t","a"),"u","a"),"v","a"),"w","a"),"x","a"),"y","a"),"z","a")</f>
        <v/>
      </c>
      <c r="CB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90&amp;""),"a",""),"b",""),"c",""),"d",""),"e",""),"f",""),"g",""),"h",""),"i",""),"j",""),"k",""),"l",""),"m",""),"n",""),"o",""),"p",""),"q",""),"r",""),"s",""),"t",""),"u",""),"v",""),"w",""),"x",""),"y",""),"z",""),"-",""),"_",""),"/",""),".",""),"#",""),"\\",""),":","")," ",""),"(",""),")","")</f>
        <v/>
      </c>
      <c r="CC90" s="0" t="str">
        <f aca="false">" "&amp;TRIM(SUBSTITUTE(SUBSTITUTE(SUBSTITUTE(SUBSTITUTE(SUBSTITUTE(SUBSTITUTE(SUBSTITUTE(SUBSTITUTE(SUBSTITUTE(SUBSTITUTE(SUBSTITUTE(SUBSTITUTE(SUBSTITUTE(SUBSTITUTE(SUBSTITUTE(SUBSTITUTE(SUBSTITUTE(SUBSTITUTE(SUBSTITUTE(SUBSTITUTE(SUBSTITUTE(SUBSTITUTE(SUBSTITUTE(SUBSTITUTE(LOWER(T90&amp;""),CHAR(10)," "),CHAR(13)," "),CHAR(9)," "),CHAR(160)," "),"."," "),","," "),"-"," "),"/"," "),"("," "),")"," "),":"," "),";"," "),"_"," "),"–"," "),"?"," "),"!"," "),"*"," "),"["," "),"]"," "),"'"," "),"#"," "),"+"," "),"&amp;"," "),"\"," "))&amp;" "</f>
        <v>  </v>
      </c>
      <c r="CD90" s="0" t="str">
        <f aca="false">" "&amp;TRIM(SUBSTITUTE(SUBSTITUTE(SUBSTITUTE(SUBSTITUTE(SUBSTITUTE(SUBSTITUTE(SUBSTITUTE(SUBSTITUTE(SUBSTITUTE(SUBSTITUTE(SUBSTITUTE(SUBSTITUTE(SUBSTITUTE(SUBSTITUTE(SUBSTITUTE(SUBSTITUTE(SUBSTITUTE(SUBSTITUTE(SUBSTITUTE(SUBSTITUTE(SUBSTITUTE(SUBSTITUTE(SUBSTITUTE(SUBSTITUTE(LOWER(AE90&amp;""),CHAR(10)," "),CHAR(13)," "),CHAR(9)," "),CHAR(160)," "),"."," "),","," "),"-"," "),"/"," "),"("," "),")"," "),":"," "),";"," "),"_"," "),"–"," "),"?"," "),"!"," "),"*"," "),"["," "),"]"," "),"'"," "),"#"," "),"+"," "),"&amp;"," "),"\"," "))&amp;" "</f>
        <v>  </v>
      </c>
      <c r="CE90" s="68" t="n">
        <f aca="false">IFERROR(IF(AND(LEN(AU90)&gt;0,LEN(AU90)=LEN(AX90),OR(TRIM(MID(SUBSTITUTE(TRIM(CC90)," ",REPT(" ",60)),1,60))="",ISNUMBER(SEARCH(" "&amp;TRIM(MID(SUBSTITUTE(TRIM(CC90)," ",REPT(" ",60)),1,60))&amp;" ",CD90))),OR(TRIM(MID(SUBSTITUTE(TRIM(CC90)," ",REPT(" ",60)),61,60))="",ISNUMBER(SEARCH(" "&amp;TRIM(MID(SUBSTITUTE(TRIM(CC90)," ",REPT(" ",60)),61,60))&amp;" ",CD90))),OR(TRIM(MID(SUBSTITUTE(TRIM(CC90)," ",REPT(" ",60)),121,60))="",ISNUMBER(SEARCH(" "&amp;TRIM(MID(SUBSTITUTE(TRIM(CC90)," ",REPT(" ",60)),121,60))&amp;" ",CD90)))),1,0),0)</f>
        <v>0</v>
      </c>
      <c r="CG90" s="68" t="n">
        <f aca="false">IFERROR(LEN(SUBSTITUTE(BF90," ",""))-SUMPRODUCT((LEN(BF90)-LEN(SUBSTITUTE(BF90," "&amp;L_NAFiller&amp;" "," ")))/(LEN(L_NAFiller)+1)*LEN(L_NAFiller)),0)</f>
        <v>0</v>
      </c>
    </row>
    <row r="91" customFormat="false" ht="39.75" hidden="false" customHeight="true" outlineLevel="0" collapsed="false">
      <c r="A91" s="57" t="s">
        <v>582</v>
      </c>
      <c r="B91" s="57" t="s">
        <v>218</v>
      </c>
      <c r="C91" s="57" t="str">
        <f aca="false">Flights!$F$8</f>
        <v>MH0088</v>
      </c>
      <c r="D91" s="58" t="n">
        <f aca="false">Flights!$D$8</f>
        <v>46305</v>
      </c>
      <c r="E91" s="57" t="str">
        <f aca="false">Flights!$G$8&amp;"-"&amp;Flights!$H$8</f>
        <v>KUL-NRT</v>
      </c>
      <c r="F91" s="57" t="str">
        <f aca="false">Flights!$K$8</f>
        <v>BC</v>
      </c>
      <c r="G91" s="57" t="s">
        <v>81</v>
      </c>
      <c r="H91" s="57" t="s">
        <v>378</v>
      </c>
      <c r="I91" s="57" t="s">
        <v>385</v>
      </c>
      <c r="J91" s="57" t="s">
        <v>386</v>
      </c>
      <c r="K91" s="67" t="s">
        <v>387</v>
      </c>
      <c r="L91" s="67" t="s">
        <v>382</v>
      </c>
      <c r="M91" s="67"/>
      <c r="N91" s="67" t="s">
        <v>383</v>
      </c>
      <c r="O91" s="67"/>
      <c r="P91" s="57" t="s">
        <v>187</v>
      </c>
      <c r="Q91" s="59" t="n">
        <f aca="false">ROUND((Flights!$AC$8)*1440,0)/1440</f>
        <v>46298.6458333333</v>
      </c>
      <c r="R91" s="59" t="n">
        <f aca="false">Q91+(IF(AND(INDEX(TZ_DSTS,MATCH(P91,TZ_STN,0))&lt;&gt;"",Q91&gt;=INDEX(TZ_DSTS,MATCH(P91,TZ_STN,0)),Q91&lt;INDEX(TZ_DSTE,MATCH(P91,TZ_STN,0))),INDEX(TZ_DST,MATCH(P91,TZ_STN,0)),INDEX(TZ_STD,MATCH(P91,TZ_STN,0))))/24</f>
        <v>46298.9791666667</v>
      </c>
      <c r="S91" s="60"/>
      <c r="T91" s="60"/>
      <c r="U91" s="60"/>
      <c r="V91" s="60"/>
      <c r="W91" s="61"/>
      <c r="X91" s="60"/>
      <c r="Y91" s="60"/>
      <c r="Z91" s="60"/>
      <c r="AA91" s="60"/>
      <c r="AB91" s="60"/>
      <c r="AC91" s="60"/>
      <c r="AD91" s="66"/>
      <c r="AE91" s="60"/>
      <c r="AF91" s="61" t="str">
        <f aca="false">IF(AND(ISNUMBER(X91),ISNUMBER(Y91)),Y91-X91,"")</f>
        <v/>
      </c>
      <c r="AG91" s="62" t="str">
        <f aca="false">IF(ISNUMBER(AD91),AD91-(IF(AND(INDEX(TZ_DSTS,MATCH(P91,TZ_STN,0))&lt;&gt;"",(AD91-INDEX(TZ_STD,MATCH(P91,TZ_STN,0))/24)&gt;=INDEX(TZ_DSTS,MATCH(P91,TZ_STN,0)),(AD91-INDEX(TZ_STD,MATCH(P91,TZ_STN,0))/24)&lt;INDEX(TZ_DSTE,MATCH(P91,TZ_STN,0))),INDEX(TZ_DST,MATCH(P91,TZ_STN,0)),INDEX(TZ_STD,MATCH(P91,TZ_STN,0))))/24,"")</f>
        <v/>
      </c>
      <c r="AH91" s="65" t="str">
        <f aca="false">IFERROR(IF(N91="N/A – rule",IF(OR(TRIM(U91)="",TRIM(U91)="N/A",TRIM(U91)="Not started"),"N/A – RULE","INVALID – this check does not apply to this aircraft: clear the status (or correct the fleet on Flights)"),IF(TRIM(U91)="N/A",IF(AT91=0,"INVALID – N/A not permitted for this check",IF(AND(TRIM(AB91)&lt;&gt;"",TRIM(AB91)&lt;&gt;"Closed"),"INVALID – corrective action still open",IF(AND(NOT(OR(LEN(AZ91)&lt;15,ISNUMBER(MATCH(AZ91,L_Placeholder,0)))),BK91=0,CG91&gt;=8,NOT(OR(LEN(AU91)&lt;2,ISNUMBER(MATCH(AU91,L_Placeholder,0)))),BR91&gt;=3,NOT(OR(LEN(AX91)&lt;2,ISNUMBER(MATCH(AX91,L_Placeholder,0)))),BS91&gt;=3,TRIM(AE91)&lt;&gt;TRIM(T91),AX91&lt;&gt;AU91,CE91=0),"N/A – JUSTIFIED","INVALID – N/A needs a real, settled reason (not 'not applicable' / 'as above' / TBC), a named PIC and a different named verifier"))),IF(OR(TRIM(U91)="Pass",TRIM(U91)="Pass after CA"),IF(NOT(ISNUMBER(AD91)),"INVALID – completion time missing",IF(OR(OR(LEN(AU91)&lt;2,ISNUMBER(MATCH(AU91,L_Placeholder,0))),BR91&lt;3),"INVALID – PIC missing or not a named person (a role such as QA / CSM is not a name)",IF(OR(LEN(AV91)&lt;2,ISNUMBER(MATCH(AV91,L_Placeholder,0))),"INVALID – result / assessment missing",IF(OR(OR(LEN(AW91)&lt;3,ISNUMBER(MATCH(AW91,L_Placeholder,0))),SUMPRODUCT(--ISNUMBER(SEARCH(" "&amp;L_EvidencePhrase&amp;" ",BD91)))&gt;0,BI91=1),"INVALID – evidence missing, placeholder or not yet on file",IF(ISNA(MATCH(TRIM(S91),L_EvidenceType,0)),"INVALID – choose the evidence type from the list (column S)",IF(BL91=0,"INVALID – evidence ID must be the record's own ID only (e.g. SF-2210, IMG_2231, 1045521); a link / file name needs type 'Link / file path'",IF(OR(OR(LEN(AX91)&lt;2,ISNUMBER(MATCH(AX91,L_Placeholder,0))),BS91&lt;3),"INVALID – verifier missing or not a named person (a role such as QA / CSM is not a name)",IF(OR(AX91=AU91,CE91=1,AND(LEN(AU91)&gt;=4,ISNUMBER(SEARCH(AU91,AX91))),AND(LEN(AX91)&gt;=4,ISNUMBER(SEARCH(AX91,AU91)))),"INVALID – verifier must be a different, named person (not the PIC or a role)",IF(BH91=1,"INVALID – result not yet available (awaiting / TBC)",IF(BG91=1,"INVALID – result describes a problem: record Fail, then Pass after CA (or reword if it is not a problem)",IF(BV91=1,"INVALID – wording says not on board: an on-board confirmation needs the item loaded",IF(AND(AQ91=1,OR(OR(LEN(AY91)&lt;3,ISNUMBER(MATCH(AY91,L_Placeholder,0))),BJ91=1,BQ91=0)),"INVALID – batch ID missing, placeholder or not an ID (e.g. PASB-261008-BC-017)",IF(AND(AR91=1,OR(NOT(ISNUMBER(X91)),NOT(ISNUMBER(Y91)))),"INVALID – expected/actual qty missing",IF(AND(AR91=1,OR(X91&lt;=0,Y91&lt;0)),"INVALID – expected qty must be above 0 and actual not negative",IF(BB91&lt;&gt;"",BB91,IF(AND(AS91=1,Documents!$J$8&lt;&gt;"ON FILE"),"INVALID – GLD not on file (Documents sheet)",IF(AND(AS91=2,Documents!$O$8&lt;&gt;"ON FILE"),"INVALID – menu checklist not on file (Documents sheet)",IF(AND(AS91=3,NOT(ISNUMBER(Flights!$AX$8))),"INVALID – enter carrying flight KUL departure (Flights AX)",IF(AND(AS91=3,OR(Flights!$AZ$8&gt;Flights!$AA$8,Flights!$AX$8&lt;Flights!$AA$8-3)),"INVALID – carrying flight (Flights AX) cannot arrive before this leg's STD, or is over 3 days early",IF(AG91&gt;AsOfUTC,"INVALID – completion time is in the future",IF(AND(ISNUMBER(BY91),AG91&lt;BY91),IF(H91="Physical uplift","INVALID – before uplift window (cannot confirm loading)","INVALID – before valid window"),IF(AG91&gt;Flights!$AA$8,"INVALID – completed after departure (cannot establish readiness)",IF(AND(H91="Preparation",AG91&gt;=IF(ISNUMBER(Flights!$BA$8),MIN(Flights!$BA$8,Flights!$AA$8),Flights!$AA$8)),"INVALID – completed after loading / departure (cannot establish readiness)",IF(AND(H91="Physical uplift",AG91&gt;Q91),"INVALID – recorded after the loading flight departed",IF(AG91&gt;Q91,"COMPLETE – LATE","COMPLETE"))))))))))))))))))))))))),IF(TRIM(U91)="Fail","FAIL – DISCREPANCY",IF(AND(TRIM(U91)&lt;&gt;"",TRIM(U91)&lt;&gt;"Not started",TRIM(U91)&lt;&gt;"In progress"),"INVALID – unrecognised status (use the list)",IF(AsOfUTC&gt;Q91,"OVERDUE",IF(N91="Clarification required","OPEN – CLARIFICATION","OPEN"))))))),"INVALID – error value in an input cell")</f>
        <v>OPEN</v>
      </c>
      <c r="AI91" s="61" t="n">
        <f aca="false">IF(OR(AH91="N/A – RULE",AH91="N/A – JUSTIFIED"),0,1)</f>
        <v>1</v>
      </c>
      <c r="AJ91" s="61" t="n">
        <f aca="false">IF(LEFT(AH91,8)="COMPLETE",1,0)</f>
        <v>0</v>
      </c>
      <c r="AK91" s="61" t="n">
        <f aca="false">IF(AND(AI91=1,AJ91=0,AsOfUTC&gt;Q91),1,0)</f>
        <v>0</v>
      </c>
      <c r="AL91" s="61" t="n">
        <f aca="false">IFERROR(IF(AND(AI91=1,OR(TRIM(U91)="Fail",AND(TRIM(AB91)&lt;&gt;"",TRIM(AB91)&lt;&gt;"Closed"),AND(ISNUMBER(AF91),AF91&lt;&gt;0,TRIM(U91)&lt;&gt;"Pass after CA"))),1,0),1)</f>
        <v>0</v>
      </c>
      <c r="AM91" s="61" t="n">
        <f aca="false">IF(LEFT(AH91,7)="INVALID",1,0)</f>
        <v>0</v>
      </c>
      <c r="AN91" s="61" t="n">
        <f aca="false">IF(AND(N91="Clarification required",AI91=1,AJ91=0),1,0)</f>
        <v>0</v>
      </c>
      <c r="AO91" s="61" t="str">
        <f aca="false">IF(AK91=1,SUM(AK$5:AK91),"")</f>
        <v/>
      </c>
      <c r="AP91" s="61" t="str">
        <f aca="false">IF(AL91=1,SUM(AL$5:AL91),"")</f>
        <v/>
      </c>
      <c r="AQ91" s="61" t="n">
        <v>0</v>
      </c>
      <c r="AR91" s="61" t="n">
        <v>0</v>
      </c>
      <c r="AS91" s="61" t="n">
        <v>0</v>
      </c>
      <c r="AT91" s="61" t="n">
        <v>0</v>
      </c>
      <c r="AU91" s="61" t="str">
        <f aca="false">SUBSTITUTE(SUBSTITUTE(SUBSTITUTE(SUBSTITUTE(SUBSTITUTE(SUBSTITUTE(SUBSTITUTE(SUBSTITUTE(SUBSTITUTE(SUBSTITUTE(SUBSTITUTE(SUBSTITUTE(SUBSTITUTE(SUBSTITUTE(SUBSTITUTE(SUBSTITUTE(LOWER(T91&amp;""),CHAR(10),""),CHAR(13),""),CHAR(9),""),CHAR(160),"")," ",""),".",""),"-",""),"/",""),"?",""),"_",""),",",""),"[",""),"]",""),"(",""),")",""),"*","")</f>
        <v/>
      </c>
      <c r="AV91" s="61" t="str">
        <f aca="false">SUBSTITUTE(SUBSTITUTE(SUBSTITUTE(SUBSTITUTE(SUBSTITUTE(SUBSTITUTE(SUBSTITUTE(SUBSTITUTE(SUBSTITUTE(SUBSTITUTE(SUBSTITUTE(SUBSTITUTE(SUBSTITUTE(SUBSTITUTE(SUBSTITUTE(SUBSTITUTE(LOWER(V91&amp;""),CHAR(10),""),CHAR(13),""),CHAR(9),""),CHAR(160),"")," ",""),".",""),"-",""),"/",""),"?",""),"_",""),",",""),"[",""),"]",""),"(",""),")",""),"*","")</f>
        <v/>
      </c>
      <c r="AW91" s="61" t="str">
        <f aca="false">SUBSTITUTE(SUBSTITUTE(SUBSTITUTE(SUBSTITUTE(SUBSTITUTE(SUBSTITUTE(SUBSTITUTE(SUBSTITUTE(SUBSTITUTE(SUBSTITUTE(SUBSTITUTE(SUBSTITUTE(SUBSTITUTE(SUBSTITUTE(SUBSTITUTE(SUBSTITUTE(LOWER(Z91&amp;""),CHAR(10),""),CHAR(13),""),CHAR(9),""),CHAR(160),"")," ",""),".",""),"-",""),"/",""),"?",""),"_",""),",",""),"[",""),"]",""),"(",""),")",""),"*","")</f>
        <v/>
      </c>
      <c r="AX91" s="61" t="str">
        <f aca="false">SUBSTITUTE(SUBSTITUTE(SUBSTITUTE(SUBSTITUTE(SUBSTITUTE(SUBSTITUTE(SUBSTITUTE(SUBSTITUTE(SUBSTITUTE(SUBSTITUTE(SUBSTITUTE(SUBSTITUTE(SUBSTITUTE(SUBSTITUTE(SUBSTITUTE(SUBSTITUTE(LOWER(AE91&amp;""),CHAR(10),""),CHAR(13),""),CHAR(9),""),CHAR(160),"")," ",""),".",""),"-",""),"/",""),"?",""),"_",""),",",""),"[",""),"]",""),"(",""),")",""),"*","")</f>
        <v/>
      </c>
      <c r="AY91" s="61" t="str">
        <f aca="false">SUBSTITUTE(SUBSTITUTE(SUBSTITUTE(SUBSTITUTE(SUBSTITUTE(SUBSTITUTE(SUBSTITUTE(SUBSTITUTE(SUBSTITUTE(SUBSTITUTE(SUBSTITUTE(SUBSTITUTE(SUBSTITUTE(SUBSTITUTE(SUBSTITUTE(SUBSTITUTE(LOWER(W91&amp;""),CHAR(10),""),CHAR(13),""),CHAR(9),""),CHAR(160),"")," ",""),".",""),"-",""),"/",""),"?",""),"_",""),",",""),"[",""),"]",""),"(",""),")",""),"*","")</f>
        <v/>
      </c>
      <c r="AZ91" s="61" t="str">
        <f aca="false">SUBSTITUTE(SUBSTITUTE(SUBSTITUTE(SUBSTITUTE(SUBSTITUTE(SUBSTITUTE(SUBSTITUTE(SUBSTITUTE(SUBSTITUTE(SUBSTITUTE(SUBSTITUTE(SUBSTITUTE(SUBSTITUTE(SUBSTITUTE(SUBSTITUTE(SUBSTITUTE(LOWER(AC91&amp;""),CHAR(10),""),CHAR(13),""),CHAR(9),""),CHAR(160),"")," ",""),".",""),"-",""),"/",""),"?",""),"_",""),",",""),"[",""),"]",""),"(",""),")",""),"*","")</f>
        <v/>
      </c>
      <c r="BA91" s="61" t="str">
        <f aca="false">SUBSTITUTE(SUBSTITUTE(SUBSTITUTE(SUBSTITUTE(SUBSTITUTE(SUBSTITUTE(SUBSTITUTE(SUBSTITUTE(SUBSTITUTE(SUBSTITUTE(SUBSTITUTE(SUBSTITUTE(SUBSTITUTE(SUBSTITUTE(SUBSTITUTE(SUBSTITUTE(LOWER(AA91&amp;""),CHAR(10),""),CHAR(13),""),CHAR(9),""),CHAR(160),"")," ",""),".",""),"-",""),"/",""),"?",""),"_",""),",",""),"[",""),"]",""),"(",""),")",""),"*","")</f>
        <v/>
      </c>
      <c r="BB91" s="61" t="str">
        <f aca="false">IF(AND(TRIM(U91)="Pass",ISNUMBER(AF91)),IF(AF91&lt;&gt;0,"INVALID – qty variance: use Fail or Pass after CA",""),"")&amp;IF(AND(TRIM(U91)="Pass after CA",ISNUMBER(AF91)),IF(AF91&lt;&gt;0,"INVALID – after the corrective action the actual qty must equal expected (update Actual)",""),"")&amp;IF(AND(TRIM(U91)="Pass",TRIM(AB91)&lt;&gt;"",TRIM(AB91)&lt;&gt;"Closed"),"INVALID – corrective action not closed: use Fail, then Pass after CA","")&amp;IF(AND(LEN(BA91)&gt;=2,ISNA(MATCH(LEFT(BA91,255),L_Placeholder,0)),TRIM(AB91)=""),"INVALID – CA status missing for the recorded corrective action","")&amp;IF(AND(TRIM(U91)="Pass after CA",OR(OR(LEN(BA91)&lt;5,ISNUMBER(MATCH(BA91,L_Placeholder,0))),TRIM(AB91)&lt;&gt;"Closed")),"INVALID – corrective action not recorded/closed","")</f>
        <v/>
      </c>
      <c r="BC91" s="61" t="str">
        <f aca="false">" "&amp;TRIM(SUBSTITUTE(SUBSTITUTE(SUBSTITUTE(SUBSTITUTE(SUBSTITUTE(SUBSTITUTE(SUBSTITUTE(SUBSTITUTE(SUBSTITUTE(SUBSTITUTE(SUBSTITUTE(SUBSTITUTE(SUBSTITUTE(SUBSTITUTE(SUBSTITUTE(SUBSTITUTE(SUBSTITUTE(SUBSTITUTE(SUBSTITUTE(SUBSTITUTE(SUBSTITUTE(SUBSTITUTE(SUBSTITUTE(SUBSTITUTE(LOWER(V91&amp;""),CHAR(10)," "),CHAR(13)," "),CHAR(9)," "),CHAR(160)," "),"."," "),","," "),"-"," "),"/"," "),"("," "),")"," "),":"," "),";"," "),"_"," "),"–"," "),"?"," "),"!"," "),"*"," "),"["," "),"]"," "),"'"," "),"#"," "),"+"," "),"&amp;"," "),"\"," "))&amp;" "</f>
        <v>  </v>
      </c>
      <c r="BD91" s="61" t="str">
        <f aca="false">" "&amp;TRIM(SUBSTITUTE(SUBSTITUTE(SUBSTITUTE(SUBSTITUTE(SUBSTITUTE(SUBSTITUTE(SUBSTITUTE(SUBSTITUTE(SUBSTITUTE(SUBSTITUTE(SUBSTITUTE(SUBSTITUTE(SUBSTITUTE(SUBSTITUTE(SUBSTITUTE(SUBSTITUTE(SUBSTITUTE(SUBSTITUTE(SUBSTITUTE(SUBSTITUTE(SUBSTITUTE(SUBSTITUTE(SUBSTITUTE(SUBSTITUTE(LOWER(Z91&amp;""),CHAR(10)," "),CHAR(13)," "),CHAR(9)," "),CHAR(160)," "),"."," "),","," "),"-"," "),"/"," "),"("," "),")"," "),":"," "),";"," "),"_"," "),"–"," "),"?"," "),"!"," "),"*"," "),"["," "),"]"," "),"'"," "),"#"," "),"+"," "),"&amp;"," "),"\"," "))&amp;" "</f>
        <v>  </v>
      </c>
      <c r="BE91" s="61" t="str">
        <f aca="false">" "&amp;TRIM(SUBSTITUTE(SUBSTITUTE(SUBSTITUTE(SUBSTITUTE(SUBSTITUTE(SUBSTITUTE(SUBSTITUTE(SUBSTITUTE(SUBSTITUTE(SUBSTITUTE(SUBSTITUTE(SUBSTITUTE(SUBSTITUTE(SUBSTITUTE(SUBSTITUTE(SUBSTITUTE(SUBSTITUTE(SUBSTITUTE(SUBSTITUTE(SUBSTITUTE(SUBSTITUTE(SUBSTITUTE(SUBSTITUTE(SUBSTITUTE(LOWER(W91&amp;""),CHAR(10)," "),CHAR(13)," "),CHAR(9)," "),CHAR(160)," "),"."," "),","," "),"-"," "),"/"," "),"("," "),")"," "),":"," "),";"," "),"_"," "),"–"," "),"?"," "),"!"," "),"*"," "),"["," "),"]"," "),"'"," "),"#"," "),"+"," "),"&amp;"," "),"\"," "))&amp;" "</f>
        <v>  </v>
      </c>
      <c r="BF91" s="61" t="str">
        <f aca="false">" "&amp;TRIM(SUBSTITUTE(SUBSTITUTE(SUBSTITUTE(SUBSTITUTE(SUBSTITUTE(SUBSTITUTE(SUBSTITUTE(SUBSTITUTE(SUBSTITUTE(SUBSTITUTE(SUBSTITUTE(SUBSTITUTE(SUBSTITUTE(SUBSTITUTE(SUBSTITUTE(SUBSTITUTE(SUBSTITUTE(SUBSTITUTE(SUBSTITUTE(SUBSTITUTE(SUBSTITUTE(SUBSTITUTE(SUBSTITUTE(SUBSTITUTE(LOWER(AC91&amp;""),CHAR(10)," "),CHAR(13)," "),CHAR(9)," "),CHAR(160)," "),"."," "),","," "),"-"," "),"/"," "),"("," "),")"," "),":"," "),";"," "),"_"," "),"–"," "),"?"," "),"!"," "),"*"," "),"["," "),"]"," "),"'"," "),"#"," "),"+"," "),"&amp;"," "),"\"," "))&amp;" "</f>
        <v>  </v>
      </c>
      <c r="BG91" s="61" t="n">
        <f aca="false">IFERROR(IF(AND(TRIM(U91)="Pass",SUMPRODUCT((LEN(BC91)-LEN(SUBSTITUTE(BC91," "&amp;L_ResultBad&amp;" "," ")))/(LEN(L_ResultBad)+1))&gt;SUMPRODUCT((LEN(BC91)-LEN(SUBSTITUTE(BC91," "&amp;L_NegPhrase&amp;" "," ")))/(LEN(L_NegPhrase)+1))),1,0),0)</f>
        <v>0</v>
      </c>
      <c r="BH91" s="61" t="n">
        <f aca="false">IFERROR(IF(SUMPRODUCT((LEN(BC91)-LEN(SUBSTITUTE(BC91," "&amp;L_Pending&amp;" "," ")))/(LEN(L_Pending)+1))&gt;SUMPRODUCT((LEN(BC91)-LEN(SUBSTITUTE(BC91," "&amp;L_PendNeg&amp;" "," ")))/(LEN(L_PendNeg)+1))+SUMPRODUCT((LEN(BC91)-LEN(SUBSTITUTE(BC91," "&amp;L_PendPrep&amp;" "," ")))/(LEN(L_PendPrep)+1)),1,0),1)</f>
        <v>0</v>
      </c>
      <c r="BI91" s="61" t="n">
        <f aca="false">IFERROR(IF(SUMPRODUCT((LEN(BD91)-LEN(SUBSTITUTE(BD91," "&amp;L_PendStrict&amp;" "," ")))/(LEN(L_PendStrict)+1))&gt;SUMPRODUCT((LEN(BD91)-LEN(SUBSTITUTE(BD91," "&amp;L_PendNeg&amp;" "," ")))/(LEN(L_PendNeg)+1)),1,0),1)</f>
        <v>0</v>
      </c>
      <c r="BJ91" s="61" t="n">
        <f aca="false">IFERROR(IF(SUMPRODUCT((LEN(BE91)-LEN(SUBSTITUTE(BE91," "&amp;L_Pending&amp;" "," ")))/(LEN(L_Pending)+1))&gt;SUMPRODUCT((LEN(BE91)-LEN(SUBSTITUTE(BE91," "&amp;L_PendNeg&amp;" "," ")))/(LEN(L_PendNeg)+1))+SUMPRODUCT((LEN(BE91)-LEN(SUBSTITUTE(BE91," "&amp;L_PendPrep&amp;" "," ")))/(LEN(L_PendPrep)+1)),1,0),1)</f>
        <v>0</v>
      </c>
      <c r="BK91" s="61" t="n">
        <f aca="false">IFERROR(IF(SUMPRODUCT((LEN(BF91)-LEN(SUBSTITUTE(BF91," "&amp;L_PendStrict&amp;" "," ")))/(LEN(L_PendStrict)+1))&gt;SUMPRODUCT((LEN(BF91)-LEN(SUBSTITUTE(BF91," "&amp;L_PendNeg&amp;" "," ")))/(LEN(L_PendNeg)+1)),1,0),1)</f>
        <v>0</v>
      </c>
      <c r="BL91" s="61" t="n">
        <f aca="false">IF(ISNA(MATCH(TRIM(S91),L_EvidenceType,0)),0,BZ91)</f>
        <v>0</v>
      </c>
      <c r="BM91" s="61" t="str">
        <f aca="false">SUBSTITUTE(SUBSTITUTE(SUBSTITUTE(SUBSTITUTE(SUBSTITUTE(SUBSTITUTE(SUBSTITUTE(SUBSTITUTE(SUBSTITUTE(LOWER(Z91&amp;""),"1","0"),"2","0"),"3","0"),"4","0"),"5","0"),"6","0"),"7","0"),"8","0"),"9","0")</f>
        <v/>
      </c>
      <c r="BN91" s="61" t="str">
        <f aca="false">SUBSTITUTE(SUBSTITUTE(SUBSTITUTE(SUBSTITUTE(SUBSTITUTE(SUBSTITUTE(SUBSTITUTE(SUBSTITUTE(SUBSTITUTE(SUBSTITUTE(SUBSTITUTE(SUBSTITUTE(SUBSTITUTE(SUBSTITUTE(SUBSTITUTE(SUBSTITUTE(SUBSTITUTE(SUBSTITUTE(SUBSTITUTE(SUBSTITUTE(SUBSTITUTE(SUBSTITUTE(SUBSTITUTE(SUBSTITUTE(SUBSTITUTE(BM91,"b","a"),"c","a"),"d","a"),"e","a"),"f","a"),"g","a"),"h","a"),"i","a"),"j","a"),"k","a"),"l","a"),"m","a"),"n","a"),"o","a"),"p","a"),"q","a"),"r","a"),"s","a"),"t","a"),"u","a"),"v","a"),"w","a"),"x","a"),"y","a"),"z","a")</f>
        <v/>
      </c>
      <c r="BO91" s="61" t="str">
        <f aca="false">SUBSTITUTE(SUBSTITUTE(SUBSTITUTE(SUBSTITUTE(SUBSTITUTE(SUBSTITUTE(SUBSTITUTE(SUBSTITUTE(SUBSTITUTE(LOWER(W91&amp;""),"1","0"),"2","0"),"3","0"),"4","0"),"5","0"),"6","0"),"7","0"),"8","0"),"9","0")</f>
        <v/>
      </c>
      <c r="BP91" s="61" t="str">
        <f aca="false">SUBSTITUTE(SUBSTITUTE(SUBSTITUTE(SUBSTITUTE(SUBSTITUTE(SUBSTITUTE(SUBSTITUTE(SUBSTITUTE(SUBSTITUTE(SUBSTITUTE(SUBSTITUTE(SUBSTITUTE(SUBSTITUTE(SUBSTITUTE(SUBSTITUTE(SUBSTITUTE(SUBSTITUTE(SUBSTITUTE(SUBSTITUTE(SUBSTITUTE(SUBSTITUTE(SUBSTITUTE(SUBSTITUTE(SUBSTITUTE(SUBSTITUTE(BO91,"b","a"),"c","a"),"d","a"),"e","a"),"f","a"),"g","a"),"h","a"),"i","a"),"j","a"),"k","a"),"l","a"),"m","a"),"n","a"),"o","a"),"p","a"),"q","a"),"r","a"),"s","a"),"t","a"),"u","a"),"v","a"),"w","a"),"x","a"),"y","a"),"z","a")</f>
        <v/>
      </c>
      <c r="BQ91" s="61" t="n">
        <f aca="false">IFERROR(IF(AND(ISERROR(SEARCH(" mh"," "&amp;LOWER(W91))),ISNA(MATCH(LEFT(TRIM(BP91),255),{"0000a","000a","00a","0000aa","000aa","00aa","0aa","0000aaa","000aaa","00a00","0a00","0000-0000","00:00","a00","a0","00.00.0000","00/00/0000","00-00-0000","0000-00-00","0000/00/00","0000.00.00","00.00.00","00/00/00","00-00-00","0.00.0000","0/00/0000","0-00-0000"},0)),ISNA(MATCH(LEFT(TRIM(CA91),255),{"0000a","000a","00a","0000aa","000aa","00aa","0aa","0000aaa","000aaa","00a00","0a00","0000-0000","00:00","a00","a0","00.00.0000","00/00/0000","00-00-0000","0000-00-00","0000/00/00","0000.00.00","00.00.00","00/00/00","00-00-00","0.00.0000","0/00/0000","0-00-0000"},0)),LEN(CB91)&gt;=3,NOT(OR(SUBSTITUTE(CB91,"0","")="",AND(LEN(CB91)&gt;=4,CB91=REPT(LEFT(CB91),LEN(CB91))),ISNUMBER(MATCH(CB91,{"123","1234","12345","123456","1234567","12345678","0123","01234","012345","98765","987654","54321"},0)),AND(LEN(CB91)=8,LEFT(CB91,3)="202"))),OR(AND((LEN(CA91)-LEN(SUBSTITUTE(CA91,"a","")))&gt;=1,SUMPRODUCT(--ISNUMBER(SEARCH({"a0","a-0","a_0","a/0","a.0","a#0","0a","0-a","0_a","0/a"},BP91)))&gt;0),ISNUMBER(SEARCH("000000",BP91)))),1,0),0)</f>
        <v>0</v>
      </c>
      <c r="BR91" s="61" t="n">
        <f aca="false">IFERROR(LEN(SUBSTITUTE(CC91," ",""))-SUMPRODUCT((LEN(CC91)-LEN(SUBSTITUTE(CC91," "&amp;L_Role&amp;" "," ")))/(LEN(L_Role)+1)*LEN(L_Role)),0)</f>
        <v>0</v>
      </c>
      <c r="BS91" s="61" t="n">
        <f aca="false">IFERROR(LEN(SUBSTITUTE(CD91," ",""))-SUMPRODUCT((LEN(CD91)-LEN(SUBSTITUTE(CD91," "&amp;L_Role&amp;" "," ")))/(LEN(L_Role)+1)*LEN(L_Role)),0)</f>
        <v>0</v>
      </c>
      <c r="BT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91,"revision",""),"version",""),"jan",""),"feb",""),"mar",""),"apr",""),"may",""),"jun",""),"jul",""),"aug",""),"sep",""),"oct",""),"nov",""),"dec",""),"utc",""),"gmt",""),"myt",""),"bst",""),"rev",""),"ver",""),"b","a"),"c","a"),"d","a"),"e","a"),"f","a"),"g","a"),"h","a"),"i","a"),"j","a"),"k","a"),"l","a"),"m","a"),"n","a"),"o","a"),"p","a"),"q","a"),"r","a"),"s","a"),"t","a"),"u","a"),"v","a"),"w","a"),"x","a"),"y","a"),"z","a")</f>
        <v/>
      </c>
      <c r="BU91" s="61" t="str">
        <f aca="false">SUBSTITUTE(SUBSTITUTE(SUBSTITUTE(SUBSTITUTE(SUBSTITUTE(SUBSTITUTE(SUBSTITUTE(SUBSTITUTE(SUBSTITUTE(SUBSTITUTE(LEFT(BM91,FIND("0",BM91&amp;"0")-1),"-",""),"_",""),"/",""),".",""),"#",""),"\\",""),":","")," ",""),"(",""),")","")</f>
        <v/>
      </c>
      <c r="BV91" s="61" t="n">
        <f aca="false">0</f>
        <v>0</v>
      </c>
      <c r="BW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91&amp;""),"a",""),"b",""),"c",""),"d",""),"e",""),"f",""),"g",""),"h",""),"i",""),"j",""),"k",""),"l",""),"m",""),"n",""),"o",""),"p",""),"q",""),"r",""),"s",""),"t",""),"u",""),"v",""),"w",""),"x",""),"y",""),"z",""),"-",""),"_",""),"/",""),".",""),"#",""),"\\",""),":","")," ",""),"(",""),")","")</f>
        <v/>
      </c>
      <c r="BX91" s="61" t="str">
        <f aca="false">SUBSTITUTE(SUBSTITUTE(SUBSTITUTE(SUBSTITUTE(SUBSTITUTE(SUBSTITUTE(SUBSTITUTE(SUBSTITUTE(SUBSTITUTE(SUBSTITUTE(SUBSTITUTE(BM91,"0",""),"-",""),"_",""),"/",""),".",""),"#",""),"\\",""),":","")," ",""),"(",""),")","")</f>
        <v/>
      </c>
      <c r="BY91" s="62" t="n">
        <f aca="false">Q91-T7EarlyD*24/24</f>
        <v>46284.6458333333</v>
      </c>
      <c r="BZ91" s="61" t="n">
        <f aca="false">IFERROR(IF(IF(TRIM(S91)="Link / file path",AND(LEN(TRIM(Z91))&gt;=5,SUMPRODUCT(--ISNUMBER(SEARCH({"http","www.","\\",":\",".pdf",".jpg",".jpeg",".png",".heic",".xls",".doc",".msg",".eml",".ppt",".txt",".zip"},Z91)))&gt;0),AND(ISERROR(FIND(" ",TRIM(Z91))),NOT(OR(SUMPRODUCT(--ISNUMBER(FIND({",",";","&amp;","+"},Z91)))&gt;0,SUMPRODUCT(--ISNUMBER(SEARCH({"0/aa","0\\aa"},BN91)))&gt;0)),NOT(SUMPRODUCT(--ISNUMBER(SEARCH({"http","www.","\\",":\",".pdf",".jpg",".jpeg",".png",".heic",".xls",".doc",".msg",".eml",".ppt",".txt",".zip"},Z91)))&gt;0),NOT(LOWER(TRIM(Z91))=LOWER(Flights!$F$8)),ISNA(MATCH(BU91,{"mh","rev","revision","ver","version","v","r","a","b","seat","tray","row","gate","bay","stand","page","pg","item","line","no","cart","galley","flight","flt","table","box","bag","oven","etd","eta","std","sta","atd","ata","qty","pax","x","time","tel","ph","mob","day","wk","week","utc","gmt","myt","lt"},0)),NOT(OR(ISNUMBER(MATCH(LEFT(BN91,255),{"0000a","000a","00a","0000aa","000aa","00aa","0aa","0000aaa","000aaa","00a00","0a00","0000-0000","00:00","a00","a0","00.00.0000","00/00/0000","00-00-0000","0000-00-00","0000/00/00","0000.00.00","00.00.00","00/00/00","00-00-00","0.00.0000","0/00/0000","0-00-0000"},0)),ISNUMBER(MATCH(LEFT(BT91,255),{"0000a","000a","00a","0000aa","000aa","00aa","0aa","0000aaa","000aaa","00a00","0a00","0000-0000","00:00","a00","a0","00.00.0000","00/00/0000","00-00-0000","0000-00-00","0000/00/00","0000.00.00","00.00.00","00/00/00","00-00-00","0.00.0000","0/00/0000","0-00-0000"},0)))),NOT(OR(AND(BW91&lt;&gt;"",SUBSTITUTE(BW91,"0","")=""),AND(LEN(BW91)&gt;=4,BW91=REPT(LEFT(BW91),LEN(BW91))),ISNUMBER(MATCH(BW91,{"123","1234","12345","123456","1234567","12345678","0123","01234","012345","98765","987654","54321"},0)),ISNUMBER(MATCH(BX91,{"x","xx","xxx","xxxx","xxxxx","abc","abcd","nil","na","nan","test","tbc","tba","tbd","dummy","sample","example","eg","zz","zzz","none","null","xyz","qwe","asd","id","ref"},0)),AND(LEN(BW91)=8,BX91="",OR(LEFT(BW91,3)="202",ISNUMBER(MATCH(RIGHT(BW91,4),{"2025","2026","2027"},0)))))),OR(AND((LEN(BT91)-LEN(SUBSTITUTE(BT91,"a","")))&gt;=1,(LEN(BN91)-LEN(SUBSTITUTE(BN91,"0","")))&gt;=2,SUMPRODUCT(--ISNUMBER(SEARCH({"a0","a-0","a_0","a/0","a.0","a#0","0a","0-a","0_a","0/a"},BN91)))&gt;0),AND((LEN(BN91)-LEN(SUBSTITUTE(BN91,"a","")))=0,(LEN(BN91)-LEN(SUBSTITUTE(BN91,"0","")))&gt;=5)))),1,0),0)</f>
        <v>0</v>
      </c>
      <c r="CA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91,"revision",""),"version",""),"jan",""),"feb",""),"mar",""),"apr",""),"may",""),"jun",""),"jul",""),"aug",""),"sep",""),"oct",""),"nov",""),"dec",""),"utc",""),"gmt",""),"myt",""),"bst",""),"rev",""),"ver",""),"b","a"),"c","a"),"d","a"),"e","a"),"f","a"),"g","a"),"h","a"),"i","a"),"j","a"),"k","a"),"l","a"),"m","a"),"n","a"),"o","a"),"p","a"),"q","a"),"r","a"),"s","a"),"t","a"),"u","a"),"v","a"),"w","a"),"x","a"),"y","a"),"z","a")</f>
        <v/>
      </c>
      <c r="CB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91&amp;""),"a",""),"b",""),"c",""),"d",""),"e",""),"f",""),"g",""),"h",""),"i",""),"j",""),"k",""),"l",""),"m",""),"n",""),"o",""),"p",""),"q",""),"r",""),"s",""),"t",""),"u",""),"v",""),"w",""),"x",""),"y",""),"z",""),"-",""),"_",""),"/",""),".",""),"#",""),"\\",""),":","")," ",""),"(",""),")","")</f>
        <v/>
      </c>
      <c r="CC91" s="0" t="str">
        <f aca="false">" "&amp;TRIM(SUBSTITUTE(SUBSTITUTE(SUBSTITUTE(SUBSTITUTE(SUBSTITUTE(SUBSTITUTE(SUBSTITUTE(SUBSTITUTE(SUBSTITUTE(SUBSTITUTE(SUBSTITUTE(SUBSTITUTE(SUBSTITUTE(SUBSTITUTE(SUBSTITUTE(SUBSTITUTE(SUBSTITUTE(SUBSTITUTE(SUBSTITUTE(SUBSTITUTE(SUBSTITUTE(SUBSTITUTE(SUBSTITUTE(SUBSTITUTE(LOWER(T91&amp;""),CHAR(10)," "),CHAR(13)," "),CHAR(9)," "),CHAR(160)," "),"."," "),","," "),"-"," "),"/"," "),"("," "),")"," "),":"," "),";"," "),"_"," "),"–"," "),"?"," "),"!"," "),"*"," "),"["," "),"]"," "),"'"," "),"#"," "),"+"," "),"&amp;"," "),"\"," "))&amp;" "</f>
        <v>  </v>
      </c>
      <c r="CD91" s="0" t="str">
        <f aca="false">" "&amp;TRIM(SUBSTITUTE(SUBSTITUTE(SUBSTITUTE(SUBSTITUTE(SUBSTITUTE(SUBSTITUTE(SUBSTITUTE(SUBSTITUTE(SUBSTITUTE(SUBSTITUTE(SUBSTITUTE(SUBSTITUTE(SUBSTITUTE(SUBSTITUTE(SUBSTITUTE(SUBSTITUTE(SUBSTITUTE(SUBSTITUTE(SUBSTITUTE(SUBSTITUTE(SUBSTITUTE(SUBSTITUTE(SUBSTITUTE(SUBSTITUTE(LOWER(AE91&amp;""),CHAR(10)," "),CHAR(13)," "),CHAR(9)," "),CHAR(160)," "),"."," "),","," "),"-"," "),"/"," "),"("," "),")"," "),":"," "),";"," "),"_"," "),"–"," "),"?"," "),"!"," "),"*"," "),"["," "),"]"," "),"'"," "),"#"," "),"+"," "),"&amp;"," "),"\"," "))&amp;" "</f>
        <v>  </v>
      </c>
      <c r="CE91" s="68" t="n">
        <f aca="false">IFERROR(IF(AND(LEN(AU91)&gt;0,LEN(AU91)=LEN(AX91),OR(TRIM(MID(SUBSTITUTE(TRIM(CC91)," ",REPT(" ",60)),1,60))="",ISNUMBER(SEARCH(" "&amp;TRIM(MID(SUBSTITUTE(TRIM(CC91)," ",REPT(" ",60)),1,60))&amp;" ",CD91))),OR(TRIM(MID(SUBSTITUTE(TRIM(CC91)," ",REPT(" ",60)),61,60))="",ISNUMBER(SEARCH(" "&amp;TRIM(MID(SUBSTITUTE(TRIM(CC91)," ",REPT(" ",60)),61,60))&amp;" ",CD91))),OR(TRIM(MID(SUBSTITUTE(TRIM(CC91)," ",REPT(" ",60)),121,60))="",ISNUMBER(SEARCH(" "&amp;TRIM(MID(SUBSTITUTE(TRIM(CC91)," ",REPT(" ",60)),121,60))&amp;" ",CD91)))),1,0),0)</f>
        <v>0</v>
      </c>
      <c r="CG91" s="68" t="n">
        <f aca="false">IFERROR(LEN(SUBSTITUTE(BF91," ",""))-SUMPRODUCT((LEN(BF91)-LEN(SUBSTITUTE(BF91," "&amp;L_NAFiller&amp;" "," ")))/(LEN(L_NAFiller)+1)*LEN(L_NAFiller)),0)</f>
        <v>0</v>
      </c>
    </row>
    <row r="92" customFormat="false" ht="41.25" hidden="false" customHeight="true" outlineLevel="0" collapsed="false">
      <c r="A92" s="57" t="s">
        <v>583</v>
      </c>
      <c r="B92" s="57" t="s">
        <v>218</v>
      </c>
      <c r="C92" s="57" t="str">
        <f aca="false">Flights!$F$8</f>
        <v>MH0088</v>
      </c>
      <c r="D92" s="58" t="n">
        <f aca="false">Flights!$D$8</f>
        <v>46305</v>
      </c>
      <c r="E92" s="57" t="str">
        <f aca="false">Flights!$G$8&amp;"-"&amp;Flights!$H$8</f>
        <v>KUL-NRT</v>
      </c>
      <c r="F92" s="57" t="str">
        <f aca="false">Flights!$K$8</f>
        <v>BC</v>
      </c>
      <c r="G92" s="57" t="s">
        <v>81</v>
      </c>
      <c r="H92" s="57" t="s">
        <v>378</v>
      </c>
      <c r="I92" s="57" t="s">
        <v>389</v>
      </c>
      <c r="J92" s="57" t="s">
        <v>390</v>
      </c>
      <c r="K92" s="67" t="s">
        <v>391</v>
      </c>
      <c r="L92" s="67" t="s">
        <v>382</v>
      </c>
      <c r="M92" s="67"/>
      <c r="N92" s="67" t="str">
        <f aca="false">IF(TRIM(Flights!$L$8)="A339","Required","N/A – rule")</f>
        <v>N/A – rule</v>
      </c>
      <c r="O92" s="67" t="s">
        <v>392</v>
      </c>
      <c r="P92" s="57" t="s">
        <v>187</v>
      </c>
      <c r="Q92" s="59" t="n">
        <f aca="false">ROUND((Flights!$AC$8)*1440,0)/1440</f>
        <v>46298.6458333333</v>
      </c>
      <c r="R92" s="59" t="n">
        <f aca="false">Q92+(IF(AND(INDEX(TZ_DSTS,MATCH(P92,TZ_STN,0))&lt;&gt;"",Q92&gt;=INDEX(TZ_DSTS,MATCH(P92,TZ_STN,0)),Q92&lt;INDEX(TZ_DSTE,MATCH(P92,TZ_STN,0))),INDEX(TZ_DST,MATCH(P92,TZ_STN,0)),INDEX(TZ_STD,MATCH(P92,TZ_STN,0))))/24</f>
        <v>46298.9791666667</v>
      </c>
      <c r="S92" s="60"/>
      <c r="T92" s="60"/>
      <c r="U92" s="60"/>
      <c r="V92" s="60"/>
      <c r="W92" s="61"/>
      <c r="X92" s="60"/>
      <c r="Y92" s="60"/>
      <c r="Z92" s="60"/>
      <c r="AA92" s="60"/>
      <c r="AB92" s="60"/>
      <c r="AC92" s="60"/>
      <c r="AD92" s="66"/>
      <c r="AE92" s="60"/>
      <c r="AF92" s="61" t="str">
        <f aca="false">IF(AND(ISNUMBER(X92),ISNUMBER(Y92)),Y92-X92,"")</f>
        <v/>
      </c>
      <c r="AG92" s="62" t="str">
        <f aca="false">IF(ISNUMBER(AD92),AD92-(IF(AND(INDEX(TZ_DSTS,MATCH(P92,TZ_STN,0))&lt;&gt;"",(AD92-INDEX(TZ_STD,MATCH(P92,TZ_STN,0))/24)&gt;=INDEX(TZ_DSTS,MATCH(P92,TZ_STN,0)),(AD92-INDEX(TZ_STD,MATCH(P92,TZ_STN,0))/24)&lt;INDEX(TZ_DSTE,MATCH(P92,TZ_STN,0))),INDEX(TZ_DST,MATCH(P92,TZ_STN,0)),INDEX(TZ_STD,MATCH(P92,TZ_STN,0))))/24,"")</f>
        <v/>
      </c>
      <c r="AH92" s="65" t="str">
        <f aca="false">IFERROR(IF(N92="N/A – rule",IF(OR(TRIM(U92)="",TRIM(U92)="N/A",TRIM(U92)="Not started"),"N/A – RULE","INVALID – this check does not apply to this aircraft: clear the status (or correct the fleet on Flights)"),IF(TRIM(U92)="N/A",IF(AT92=0,"INVALID – N/A not permitted for this check",IF(AND(TRIM(AB92)&lt;&gt;"",TRIM(AB92)&lt;&gt;"Closed"),"INVALID – corrective action still open",IF(AND(NOT(OR(LEN(AZ92)&lt;15,ISNUMBER(MATCH(AZ92,L_Placeholder,0)))),BK92=0,CG92&gt;=8,NOT(OR(LEN(AU92)&lt;2,ISNUMBER(MATCH(AU92,L_Placeholder,0)))),BR92&gt;=3,NOT(OR(LEN(AX92)&lt;2,ISNUMBER(MATCH(AX92,L_Placeholder,0)))),BS92&gt;=3,TRIM(AE92)&lt;&gt;TRIM(T92),AX92&lt;&gt;AU92,CE92=0),"N/A – JUSTIFIED","INVALID – N/A needs a real, settled reason (not 'not applicable' / 'as above' / TBC), a named PIC and a different named verifier"))),IF(OR(TRIM(U92)="Pass",TRIM(U92)="Pass after CA"),IF(NOT(ISNUMBER(AD92)),"INVALID – completion time missing",IF(OR(OR(LEN(AU92)&lt;2,ISNUMBER(MATCH(AU92,L_Placeholder,0))),BR92&lt;3),"INVALID – PIC missing or not a named person (a role such as QA / CSM is not a name)",IF(OR(LEN(AV92)&lt;2,ISNUMBER(MATCH(AV92,L_Placeholder,0))),"INVALID – result / assessment missing",IF(OR(OR(LEN(AW92)&lt;3,ISNUMBER(MATCH(AW92,L_Placeholder,0))),SUMPRODUCT(--ISNUMBER(SEARCH(" "&amp;L_EvidencePhrase&amp;" ",BD92)))&gt;0,BI92=1),"INVALID – evidence missing, placeholder or not yet on file",IF(ISNA(MATCH(TRIM(S92),L_EvidenceType,0)),"INVALID – choose the evidence type from the list (column S)",IF(BL92=0,"INVALID – evidence ID must be the record's own ID only (e.g. SF-2210, IMG_2231, 1045521); a link / file name needs type 'Link / file path'",IF(OR(OR(LEN(AX92)&lt;2,ISNUMBER(MATCH(AX92,L_Placeholder,0))),BS92&lt;3),"INVALID – verifier missing or not a named person (a role such as QA / CSM is not a name)",IF(OR(AX92=AU92,CE92=1,AND(LEN(AU92)&gt;=4,ISNUMBER(SEARCH(AU92,AX92))),AND(LEN(AX92)&gt;=4,ISNUMBER(SEARCH(AX92,AU92)))),"INVALID – verifier must be a different, named person (not the PIC or a role)",IF(BH92=1,"INVALID – result not yet available (awaiting / TBC)",IF(BG92=1,"INVALID – result describes a problem: record Fail, then Pass after CA (or reword if it is not a problem)",IF(BV92=1,"INVALID – wording says not on board: an on-board confirmation needs the item loaded",IF(AND(AQ92=1,OR(OR(LEN(AY92)&lt;3,ISNUMBER(MATCH(AY92,L_Placeholder,0))),BJ92=1,BQ92=0)),"INVALID – batch ID missing, placeholder or not an ID (e.g. PASB-261008-BC-017)",IF(AND(AR92=1,OR(NOT(ISNUMBER(X92)),NOT(ISNUMBER(Y92)))),"INVALID – expected/actual qty missing",IF(AND(AR92=1,OR(X92&lt;=0,Y92&lt;0)),"INVALID – expected qty must be above 0 and actual not negative",IF(BB92&lt;&gt;"",BB92,IF(AND(AS92=1,Documents!$J$8&lt;&gt;"ON FILE"),"INVALID – GLD not on file (Documents sheet)",IF(AND(AS92=2,Documents!$O$8&lt;&gt;"ON FILE"),"INVALID – menu checklist not on file (Documents sheet)",IF(AND(AS92=3,NOT(ISNUMBER(Flights!$AX$8))),"INVALID – enter carrying flight KUL departure (Flights AX)",IF(AND(AS92=3,OR(Flights!$AZ$8&gt;Flights!$AA$8,Flights!$AX$8&lt;Flights!$AA$8-3)),"INVALID – carrying flight (Flights AX) cannot arrive before this leg's STD, or is over 3 days early",IF(AG92&gt;AsOfUTC,"INVALID – completion time is in the future",IF(AND(ISNUMBER(BY92),AG92&lt;BY92),IF(H92="Physical uplift","INVALID – before uplift window (cannot confirm loading)","INVALID – before valid window"),IF(AG92&gt;Flights!$AA$8,"INVALID – completed after departure (cannot establish readiness)",IF(AND(H92="Preparation",AG92&gt;=IF(ISNUMBER(Flights!$BA$8),MIN(Flights!$BA$8,Flights!$AA$8),Flights!$AA$8)),"INVALID – completed after loading / departure (cannot establish readiness)",IF(AND(H92="Physical uplift",AG92&gt;Q92),"INVALID – recorded after the loading flight departed",IF(AG92&gt;Q92,"COMPLETE – LATE","COMPLETE"))))))))))))))))))))))))),IF(TRIM(U92)="Fail","FAIL – DISCREPANCY",IF(AND(TRIM(U92)&lt;&gt;"",TRIM(U92)&lt;&gt;"Not started",TRIM(U92)&lt;&gt;"In progress"),"INVALID – unrecognised status (use the list)",IF(AsOfUTC&gt;Q92,"OVERDUE",IF(N92="Clarification required","OPEN – CLARIFICATION","OPEN"))))))),"INVALID – error value in an input cell")</f>
        <v>N/A – RULE</v>
      </c>
      <c r="AI92" s="61" t="n">
        <f aca="false">IF(OR(AH92="N/A – RULE",AH92="N/A – JUSTIFIED"),0,1)</f>
        <v>0</v>
      </c>
      <c r="AJ92" s="61" t="n">
        <f aca="false">IF(LEFT(AH92,8)="COMPLETE",1,0)</f>
        <v>0</v>
      </c>
      <c r="AK92" s="61" t="n">
        <f aca="false">IF(AND(AI92=1,AJ92=0,AsOfUTC&gt;Q92),1,0)</f>
        <v>0</v>
      </c>
      <c r="AL92" s="61" t="n">
        <f aca="false">IFERROR(IF(AND(AI92=1,OR(TRIM(U92)="Fail",AND(TRIM(AB92)&lt;&gt;"",TRIM(AB92)&lt;&gt;"Closed"),AND(ISNUMBER(AF92),AF92&lt;&gt;0,TRIM(U92)&lt;&gt;"Pass after CA"))),1,0),1)</f>
        <v>0</v>
      </c>
      <c r="AM92" s="61" t="n">
        <f aca="false">IF(LEFT(AH92,7)="INVALID",1,0)</f>
        <v>0</v>
      </c>
      <c r="AN92" s="61" t="n">
        <f aca="false">IF(AND(N92="Clarification required",AI92=1,AJ92=0),1,0)</f>
        <v>0</v>
      </c>
      <c r="AO92" s="61" t="str">
        <f aca="false">IF(AK92=1,SUM(AK$5:AK92),"")</f>
        <v/>
      </c>
      <c r="AP92" s="61" t="str">
        <f aca="false">IF(AL92=1,SUM(AL$5:AL92),"")</f>
        <v/>
      </c>
      <c r="AQ92" s="61" t="n">
        <v>0</v>
      </c>
      <c r="AR92" s="61" t="n">
        <v>0</v>
      </c>
      <c r="AS92" s="61" t="n">
        <v>0</v>
      </c>
      <c r="AT92" s="61" t="n">
        <v>0</v>
      </c>
      <c r="AU92" s="61" t="str">
        <f aca="false">SUBSTITUTE(SUBSTITUTE(SUBSTITUTE(SUBSTITUTE(SUBSTITUTE(SUBSTITUTE(SUBSTITUTE(SUBSTITUTE(SUBSTITUTE(SUBSTITUTE(SUBSTITUTE(SUBSTITUTE(SUBSTITUTE(SUBSTITUTE(SUBSTITUTE(SUBSTITUTE(LOWER(T92&amp;""),CHAR(10),""),CHAR(13),""),CHAR(9),""),CHAR(160),"")," ",""),".",""),"-",""),"/",""),"?",""),"_",""),",",""),"[",""),"]",""),"(",""),")",""),"*","")</f>
        <v/>
      </c>
      <c r="AV92" s="61" t="str">
        <f aca="false">SUBSTITUTE(SUBSTITUTE(SUBSTITUTE(SUBSTITUTE(SUBSTITUTE(SUBSTITUTE(SUBSTITUTE(SUBSTITUTE(SUBSTITUTE(SUBSTITUTE(SUBSTITUTE(SUBSTITUTE(SUBSTITUTE(SUBSTITUTE(SUBSTITUTE(SUBSTITUTE(LOWER(V92&amp;""),CHAR(10),""),CHAR(13),""),CHAR(9),""),CHAR(160),"")," ",""),".",""),"-",""),"/",""),"?",""),"_",""),",",""),"[",""),"]",""),"(",""),")",""),"*","")</f>
        <v/>
      </c>
      <c r="AW92" s="61" t="str">
        <f aca="false">SUBSTITUTE(SUBSTITUTE(SUBSTITUTE(SUBSTITUTE(SUBSTITUTE(SUBSTITUTE(SUBSTITUTE(SUBSTITUTE(SUBSTITUTE(SUBSTITUTE(SUBSTITUTE(SUBSTITUTE(SUBSTITUTE(SUBSTITUTE(SUBSTITUTE(SUBSTITUTE(LOWER(Z92&amp;""),CHAR(10),""),CHAR(13),""),CHAR(9),""),CHAR(160),"")," ",""),".",""),"-",""),"/",""),"?",""),"_",""),",",""),"[",""),"]",""),"(",""),")",""),"*","")</f>
        <v/>
      </c>
      <c r="AX92" s="61" t="str">
        <f aca="false">SUBSTITUTE(SUBSTITUTE(SUBSTITUTE(SUBSTITUTE(SUBSTITUTE(SUBSTITUTE(SUBSTITUTE(SUBSTITUTE(SUBSTITUTE(SUBSTITUTE(SUBSTITUTE(SUBSTITUTE(SUBSTITUTE(SUBSTITUTE(SUBSTITUTE(SUBSTITUTE(LOWER(AE92&amp;""),CHAR(10),""),CHAR(13),""),CHAR(9),""),CHAR(160),"")," ",""),".",""),"-",""),"/",""),"?",""),"_",""),",",""),"[",""),"]",""),"(",""),")",""),"*","")</f>
        <v/>
      </c>
      <c r="AY92" s="61" t="str">
        <f aca="false">SUBSTITUTE(SUBSTITUTE(SUBSTITUTE(SUBSTITUTE(SUBSTITUTE(SUBSTITUTE(SUBSTITUTE(SUBSTITUTE(SUBSTITUTE(SUBSTITUTE(SUBSTITUTE(SUBSTITUTE(SUBSTITUTE(SUBSTITUTE(SUBSTITUTE(SUBSTITUTE(LOWER(W92&amp;""),CHAR(10),""),CHAR(13),""),CHAR(9),""),CHAR(160),"")," ",""),".",""),"-",""),"/",""),"?",""),"_",""),",",""),"[",""),"]",""),"(",""),")",""),"*","")</f>
        <v/>
      </c>
      <c r="AZ92" s="61" t="str">
        <f aca="false">SUBSTITUTE(SUBSTITUTE(SUBSTITUTE(SUBSTITUTE(SUBSTITUTE(SUBSTITUTE(SUBSTITUTE(SUBSTITUTE(SUBSTITUTE(SUBSTITUTE(SUBSTITUTE(SUBSTITUTE(SUBSTITUTE(SUBSTITUTE(SUBSTITUTE(SUBSTITUTE(LOWER(AC92&amp;""),CHAR(10),""),CHAR(13),""),CHAR(9),""),CHAR(160),"")," ",""),".",""),"-",""),"/",""),"?",""),"_",""),",",""),"[",""),"]",""),"(",""),")",""),"*","")</f>
        <v/>
      </c>
      <c r="BA92" s="61" t="str">
        <f aca="false">SUBSTITUTE(SUBSTITUTE(SUBSTITUTE(SUBSTITUTE(SUBSTITUTE(SUBSTITUTE(SUBSTITUTE(SUBSTITUTE(SUBSTITUTE(SUBSTITUTE(SUBSTITUTE(SUBSTITUTE(SUBSTITUTE(SUBSTITUTE(SUBSTITUTE(SUBSTITUTE(LOWER(AA92&amp;""),CHAR(10),""),CHAR(13),""),CHAR(9),""),CHAR(160),"")," ",""),".",""),"-",""),"/",""),"?",""),"_",""),",",""),"[",""),"]",""),"(",""),")",""),"*","")</f>
        <v/>
      </c>
      <c r="BB92" s="61" t="str">
        <f aca="false">IF(AND(TRIM(U92)="Pass",ISNUMBER(AF92)),IF(AF92&lt;&gt;0,"INVALID – qty variance: use Fail or Pass after CA",""),"")&amp;IF(AND(TRIM(U92)="Pass after CA",ISNUMBER(AF92)),IF(AF92&lt;&gt;0,"INVALID – after the corrective action the actual qty must equal expected (update Actual)",""),"")&amp;IF(AND(TRIM(U92)="Pass",TRIM(AB92)&lt;&gt;"",TRIM(AB92)&lt;&gt;"Closed"),"INVALID – corrective action not closed: use Fail, then Pass after CA","")&amp;IF(AND(LEN(BA92)&gt;=2,ISNA(MATCH(LEFT(BA92,255),L_Placeholder,0)),TRIM(AB92)=""),"INVALID – CA status missing for the recorded corrective action","")&amp;IF(AND(TRIM(U92)="Pass after CA",OR(OR(LEN(BA92)&lt;5,ISNUMBER(MATCH(BA92,L_Placeholder,0))),TRIM(AB92)&lt;&gt;"Closed")),"INVALID – corrective action not recorded/closed","")</f>
        <v/>
      </c>
      <c r="BC92" s="61" t="str">
        <f aca="false">" "&amp;TRIM(SUBSTITUTE(SUBSTITUTE(SUBSTITUTE(SUBSTITUTE(SUBSTITUTE(SUBSTITUTE(SUBSTITUTE(SUBSTITUTE(SUBSTITUTE(SUBSTITUTE(SUBSTITUTE(SUBSTITUTE(SUBSTITUTE(SUBSTITUTE(SUBSTITUTE(SUBSTITUTE(SUBSTITUTE(SUBSTITUTE(SUBSTITUTE(SUBSTITUTE(SUBSTITUTE(SUBSTITUTE(SUBSTITUTE(SUBSTITUTE(LOWER(V92&amp;""),CHAR(10)," "),CHAR(13)," "),CHAR(9)," "),CHAR(160)," "),"."," "),","," "),"-"," "),"/"," "),"("," "),")"," "),":"," "),";"," "),"_"," "),"–"," "),"?"," "),"!"," "),"*"," "),"["," "),"]"," "),"'"," "),"#"," "),"+"," "),"&amp;"," "),"\"," "))&amp;" "</f>
        <v>  </v>
      </c>
      <c r="BD92" s="61" t="str">
        <f aca="false">" "&amp;TRIM(SUBSTITUTE(SUBSTITUTE(SUBSTITUTE(SUBSTITUTE(SUBSTITUTE(SUBSTITUTE(SUBSTITUTE(SUBSTITUTE(SUBSTITUTE(SUBSTITUTE(SUBSTITUTE(SUBSTITUTE(SUBSTITUTE(SUBSTITUTE(SUBSTITUTE(SUBSTITUTE(SUBSTITUTE(SUBSTITUTE(SUBSTITUTE(SUBSTITUTE(SUBSTITUTE(SUBSTITUTE(SUBSTITUTE(SUBSTITUTE(LOWER(Z92&amp;""),CHAR(10)," "),CHAR(13)," "),CHAR(9)," "),CHAR(160)," "),"."," "),","," "),"-"," "),"/"," "),"("," "),")"," "),":"," "),";"," "),"_"," "),"–"," "),"?"," "),"!"," "),"*"," "),"["," "),"]"," "),"'"," "),"#"," "),"+"," "),"&amp;"," "),"\"," "))&amp;" "</f>
        <v>  </v>
      </c>
      <c r="BE92" s="61" t="str">
        <f aca="false">" "&amp;TRIM(SUBSTITUTE(SUBSTITUTE(SUBSTITUTE(SUBSTITUTE(SUBSTITUTE(SUBSTITUTE(SUBSTITUTE(SUBSTITUTE(SUBSTITUTE(SUBSTITUTE(SUBSTITUTE(SUBSTITUTE(SUBSTITUTE(SUBSTITUTE(SUBSTITUTE(SUBSTITUTE(SUBSTITUTE(SUBSTITUTE(SUBSTITUTE(SUBSTITUTE(SUBSTITUTE(SUBSTITUTE(SUBSTITUTE(SUBSTITUTE(LOWER(W92&amp;""),CHAR(10)," "),CHAR(13)," "),CHAR(9)," "),CHAR(160)," "),"."," "),","," "),"-"," "),"/"," "),"("," "),")"," "),":"," "),";"," "),"_"," "),"–"," "),"?"," "),"!"," "),"*"," "),"["," "),"]"," "),"'"," "),"#"," "),"+"," "),"&amp;"," "),"\"," "))&amp;" "</f>
        <v>  </v>
      </c>
      <c r="BF92" s="61" t="str">
        <f aca="false">" "&amp;TRIM(SUBSTITUTE(SUBSTITUTE(SUBSTITUTE(SUBSTITUTE(SUBSTITUTE(SUBSTITUTE(SUBSTITUTE(SUBSTITUTE(SUBSTITUTE(SUBSTITUTE(SUBSTITUTE(SUBSTITUTE(SUBSTITUTE(SUBSTITUTE(SUBSTITUTE(SUBSTITUTE(SUBSTITUTE(SUBSTITUTE(SUBSTITUTE(SUBSTITUTE(SUBSTITUTE(SUBSTITUTE(SUBSTITUTE(SUBSTITUTE(LOWER(AC92&amp;""),CHAR(10)," "),CHAR(13)," "),CHAR(9)," "),CHAR(160)," "),"."," "),","," "),"-"," "),"/"," "),"("," "),")"," "),":"," "),";"," "),"_"," "),"–"," "),"?"," "),"!"," "),"*"," "),"["," "),"]"," "),"'"," "),"#"," "),"+"," "),"&amp;"," "),"\"," "))&amp;" "</f>
        <v>  </v>
      </c>
      <c r="BG92" s="61" t="n">
        <f aca="false">IFERROR(IF(AND(TRIM(U92)="Pass",SUMPRODUCT((LEN(BC92)-LEN(SUBSTITUTE(BC92," "&amp;L_ResultBad&amp;" "," ")))/(LEN(L_ResultBad)+1))&gt;SUMPRODUCT((LEN(BC92)-LEN(SUBSTITUTE(BC92," "&amp;L_NegPhrase&amp;" "," ")))/(LEN(L_NegPhrase)+1))),1,0),0)</f>
        <v>0</v>
      </c>
      <c r="BH92" s="61" t="n">
        <f aca="false">IFERROR(IF(SUMPRODUCT((LEN(BC92)-LEN(SUBSTITUTE(BC92," "&amp;L_Pending&amp;" "," ")))/(LEN(L_Pending)+1))&gt;SUMPRODUCT((LEN(BC92)-LEN(SUBSTITUTE(BC92," "&amp;L_PendNeg&amp;" "," ")))/(LEN(L_PendNeg)+1))+SUMPRODUCT((LEN(BC92)-LEN(SUBSTITUTE(BC92," "&amp;L_PendPrep&amp;" "," ")))/(LEN(L_PendPrep)+1)),1,0),1)</f>
        <v>0</v>
      </c>
      <c r="BI92" s="61" t="n">
        <f aca="false">IFERROR(IF(SUMPRODUCT((LEN(BD92)-LEN(SUBSTITUTE(BD92," "&amp;L_PendStrict&amp;" "," ")))/(LEN(L_PendStrict)+1))&gt;SUMPRODUCT((LEN(BD92)-LEN(SUBSTITUTE(BD92," "&amp;L_PendNeg&amp;" "," ")))/(LEN(L_PendNeg)+1)),1,0),1)</f>
        <v>0</v>
      </c>
      <c r="BJ92" s="61" t="n">
        <f aca="false">IFERROR(IF(SUMPRODUCT((LEN(BE92)-LEN(SUBSTITUTE(BE92," "&amp;L_Pending&amp;" "," ")))/(LEN(L_Pending)+1))&gt;SUMPRODUCT((LEN(BE92)-LEN(SUBSTITUTE(BE92," "&amp;L_PendNeg&amp;" "," ")))/(LEN(L_PendNeg)+1))+SUMPRODUCT((LEN(BE92)-LEN(SUBSTITUTE(BE92," "&amp;L_PendPrep&amp;" "," ")))/(LEN(L_PendPrep)+1)),1,0),1)</f>
        <v>0</v>
      </c>
      <c r="BK92" s="61" t="n">
        <f aca="false">IFERROR(IF(SUMPRODUCT((LEN(BF92)-LEN(SUBSTITUTE(BF92," "&amp;L_PendStrict&amp;" "," ")))/(LEN(L_PendStrict)+1))&gt;SUMPRODUCT((LEN(BF92)-LEN(SUBSTITUTE(BF92," "&amp;L_PendNeg&amp;" "," ")))/(LEN(L_PendNeg)+1)),1,0),1)</f>
        <v>0</v>
      </c>
      <c r="BL92" s="61" t="n">
        <f aca="false">IF(ISNA(MATCH(TRIM(S92),L_EvidenceType,0)),0,BZ92)</f>
        <v>0</v>
      </c>
      <c r="BM92" s="61" t="str">
        <f aca="false">SUBSTITUTE(SUBSTITUTE(SUBSTITUTE(SUBSTITUTE(SUBSTITUTE(SUBSTITUTE(SUBSTITUTE(SUBSTITUTE(SUBSTITUTE(LOWER(Z92&amp;""),"1","0"),"2","0"),"3","0"),"4","0"),"5","0"),"6","0"),"7","0"),"8","0"),"9","0")</f>
        <v/>
      </c>
      <c r="BN92" s="61" t="str">
        <f aca="false">SUBSTITUTE(SUBSTITUTE(SUBSTITUTE(SUBSTITUTE(SUBSTITUTE(SUBSTITUTE(SUBSTITUTE(SUBSTITUTE(SUBSTITUTE(SUBSTITUTE(SUBSTITUTE(SUBSTITUTE(SUBSTITUTE(SUBSTITUTE(SUBSTITUTE(SUBSTITUTE(SUBSTITUTE(SUBSTITUTE(SUBSTITUTE(SUBSTITUTE(SUBSTITUTE(SUBSTITUTE(SUBSTITUTE(SUBSTITUTE(SUBSTITUTE(BM92,"b","a"),"c","a"),"d","a"),"e","a"),"f","a"),"g","a"),"h","a"),"i","a"),"j","a"),"k","a"),"l","a"),"m","a"),"n","a"),"o","a"),"p","a"),"q","a"),"r","a"),"s","a"),"t","a"),"u","a"),"v","a"),"w","a"),"x","a"),"y","a"),"z","a")</f>
        <v/>
      </c>
      <c r="BO92" s="61" t="str">
        <f aca="false">SUBSTITUTE(SUBSTITUTE(SUBSTITUTE(SUBSTITUTE(SUBSTITUTE(SUBSTITUTE(SUBSTITUTE(SUBSTITUTE(SUBSTITUTE(LOWER(W92&amp;""),"1","0"),"2","0"),"3","0"),"4","0"),"5","0"),"6","0"),"7","0"),"8","0"),"9","0")</f>
        <v/>
      </c>
      <c r="BP92" s="61" t="str">
        <f aca="false">SUBSTITUTE(SUBSTITUTE(SUBSTITUTE(SUBSTITUTE(SUBSTITUTE(SUBSTITUTE(SUBSTITUTE(SUBSTITUTE(SUBSTITUTE(SUBSTITUTE(SUBSTITUTE(SUBSTITUTE(SUBSTITUTE(SUBSTITUTE(SUBSTITUTE(SUBSTITUTE(SUBSTITUTE(SUBSTITUTE(SUBSTITUTE(SUBSTITUTE(SUBSTITUTE(SUBSTITUTE(SUBSTITUTE(SUBSTITUTE(SUBSTITUTE(BO92,"b","a"),"c","a"),"d","a"),"e","a"),"f","a"),"g","a"),"h","a"),"i","a"),"j","a"),"k","a"),"l","a"),"m","a"),"n","a"),"o","a"),"p","a"),"q","a"),"r","a"),"s","a"),"t","a"),"u","a"),"v","a"),"w","a"),"x","a"),"y","a"),"z","a")</f>
        <v/>
      </c>
      <c r="BQ92" s="61" t="n">
        <f aca="false">IFERROR(IF(AND(ISERROR(SEARCH(" mh"," "&amp;LOWER(W92))),ISNA(MATCH(LEFT(TRIM(BP92),255),{"0000a","000a","00a","0000aa","000aa","00aa","0aa","0000aaa","000aaa","00a00","0a00","0000-0000","00:00","a00","a0","00.00.0000","00/00/0000","00-00-0000","0000-00-00","0000/00/00","0000.00.00","00.00.00","00/00/00","00-00-00","0.00.0000","0/00/0000","0-00-0000"},0)),ISNA(MATCH(LEFT(TRIM(CA92),255),{"0000a","000a","00a","0000aa","000aa","00aa","0aa","0000aaa","000aaa","00a00","0a00","0000-0000","00:00","a00","a0","00.00.0000","00/00/0000","00-00-0000","0000-00-00","0000/00/00","0000.00.00","00.00.00","00/00/00","00-00-00","0.00.0000","0/00/0000","0-00-0000"},0)),LEN(CB92)&gt;=3,NOT(OR(SUBSTITUTE(CB92,"0","")="",AND(LEN(CB92)&gt;=4,CB92=REPT(LEFT(CB92),LEN(CB92))),ISNUMBER(MATCH(CB92,{"123","1234","12345","123456","1234567","12345678","0123","01234","012345","98765","987654","54321"},0)),AND(LEN(CB92)=8,LEFT(CB92,3)="202"))),OR(AND((LEN(CA92)-LEN(SUBSTITUTE(CA92,"a","")))&gt;=1,SUMPRODUCT(--ISNUMBER(SEARCH({"a0","a-0","a_0","a/0","a.0","a#0","0a","0-a","0_a","0/a"},BP92)))&gt;0),ISNUMBER(SEARCH("000000",BP92)))),1,0),0)</f>
        <v>0</v>
      </c>
      <c r="BR92" s="61" t="n">
        <f aca="false">IFERROR(LEN(SUBSTITUTE(CC92," ",""))-SUMPRODUCT((LEN(CC92)-LEN(SUBSTITUTE(CC92," "&amp;L_Role&amp;" "," ")))/(LEN(L_Role)+1)*LEN(L_Role)),0)</f>
        <v>0</v>
      </c>
      <c r="BS92" s="61" t="n">
        <f aca="false">IFERROR(LEN(SUBSTITUTE(CD92," ",""))-SUMPRODUCT((LEN(CD92)-LEN(SUBSTITUTE(CD92," "&amp;L_Role&amp;" "," ")))/(LEN(L_Role)+1)*LEN(L_Role)),0)</f>
        <v>0</v>
      </c>
      <c r="BT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92,"revision",""),"version",""),"jan",""),"feb",""),"mar",""),"apr",""),"may",""),"jun",""),"jul",""),"aug",""),"sep",""),"oct",""),"nov",""),"dec",""),"utc",""),"gmt",""),"myt",""),"bst",""),"rev",""),"ver",""),"b","a"),"c","a"),"d","a"),"e","a"),"f","a"),"g","a"),"h","a"),"i","a"),"j","a"),"k","a"),"l","a"),"m","a"),"n","a"),"o","a"),"p","a"),"q","a"),"r","a"),"s","a"),"t","a"),"u","a"),"v","a"),"w","a"),"x","a"),"y","a"),"z","a")</f>
        <v/>
      </c>
      <c r="BU92" s="61" t="str">
        <f aca="false">SUBSTITUTE(SUBSTITUTE(SUBSTITUTE(SUBSTITUTE(SUBSTITUTE(SUBSTITUTE(SUBSTITUTE(SUBSTITUTE(SUBSTITUTE(SUBSTITUTE(LEFT(BM92,FIND("0",BM92&amp;"0")-1),"-",""),"_",""),"/",""),".",""),"#",""),"\\",""),":","")," ",""),"(",""),")","")</f>
        <v/>
      </c>
      <c r="BV92" s="61" t="n">
        <f aca="false">0</f>
        <v>0</v>
      </c>
      <c r="BW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92&amp;""),"a",""),"b",""),"c",""),"d",""),"e",""),"f",""),"g",""),"h",""),"i",""),"j",""),"k",""),"l",""),"m",""),"n",""),"o",""),"p",""),"q",""),"r",""),"s",""),"t",""),"u",""),"v",""),"w",""),"x",""),"y",""),"z",""),"-",""),"_",""),"/",""),".",""),"#",""),"\\",""),":","")," ",""),"(",""),")","")</f>
        <v/>
      </c>
      <c r="BX92" s="61" t="str">
        <f aca="false">SUBSTITUTE(SUBSTITUTE(SUBSTITUTE(SUBSTITUTE(SUBSTITUTE(SUBSTITUTE(SUBSTITUTE(SUBSTITUTE(SUBSTITUTE(SUBSTITUTE(SUBSTITUTE(BM92,"0",""),"-",""),"_",""),"/",""),".",""),"#",""),"\\",""),":","")," ",""),"(",""),")","")</f>
        <v/>
      </c>
      <c r="BY92" s="62" t="n">
        <f aca="false">Q92-T7EarlyD*24/24</f>
        <v>46284.6458333333</v>
      </c>
      <c r="BZ92" s="61" t="n">
        <f aca="false">IFERROR(IF(IF(TRIM(S92)="Link / file path",AND(LEN(TRIM(Z92))&gt;=5,SUMPRODUCT(--ISNUMBER(SEARCH({"http","www.","\\",":\",".pdf",".jpg",".jpeg",".png",".heic",".xls",".doc",".msg",".eml",".ppt",".txt",".zip"},Z92)))&gt;0),AND(ISERROR(FIND(" ",TRIM(Z92))),NOT(OR(SUMPRODUCT(--ISNUMBER(FIND({",",";","&amp;","+"},Z92)))&gt;0,SUMPRODUCT(--ISNUMBER(SEARCH({"0/aa","0\\aa"},BN92)))&gt;0)),NOT(SUMPRODUCT(--ISNUMBER(SEARCH({"http","www.","\\",":\",".pdf",".jpg",".jpeg",".png",".heic",".xls",".doc",".msg",".eml",".ppt",".txt",".zip"},Z92)))&gt;0),NOT(LOWER(TRIM(Z92))=LOWER(Flights!$F$8)),ISNA(MATCH(BU92,{"mh","rev","revision","ver","version","v","r","a","b","seat","tray","row","gate","bay","stand","page","pg","item","line","no","cart","galley","flight","flt","table","box","bag","oven","etd","eta","std","sta","atd","ata","qty","pax","x","time","tel","ph","mob","day","wk","week","utc","gmt","myt","lt"},0)),NOT(OR(ISNUMBER(MATCH(LEFT(BN92,255),{"0000a","000a","00a","0000aa","000aa","00aa","0aa","0000aaa","000aaa","00a00","0a00","0000-0000","00:00","a00","a0","00.00.0000","00/00/0000","00-00-0000","0000-00-00","0000/00/00","0000.00.00","00.00.00","00/00/00","00-00-00","0.00.0000","0/00/0000","0-00-0000"},0)),ISNUMBER(MATCH(LEFT(BT92,255),{"0000a","000a","00a","0000aa","000aa","00aa","0aa","0000aaa","000aaa","00a00","0a00","0000-0000","00:00","a00","a0","00.00.0000","00/00/0000","00-00-0000","0000-00-00","0000/00/00","0000.00.00","00.00.00","00/00/00","00-00-00","0.00.0000","0/00/0000","0-00-0000"},0)))),NOT(OR(AND(BW92&lt;&gt;"",SUBSTITUTE(BW92,"0","")=""),AND(LEN(BW92)&gt;=4,BW92=REPT(LEFT(BW92),LEN(BW92))),ISNUMBER(MATCH(BW92,{"123","1234","12345","123456","1234567","12345678","0123","01234","012345","98765","987654","54321"},0)),ISNUMBER(MATCH(BX92,{"x","xx","xxx","xxxx","xxxxx","abc","abcd","nil","na","nan","test","tbc","tba","tbd","dummy","sample","example","eg","zz","zzz","none","null","xyz","qwe","asd","id","ref"},0)),AND(LEN(BW92)=8,BX92="",OR(LEFT(BW92,3)="202",ISNUMBER(MATCH(RIGHT(BW92,4),{"2025","2026","2027"},0)))))),OR(AND((LEN(BT92)-LEN(SUBSTITUTE(BT92,"a","")))&gt;=1,(LEN(BN92)-LEN(SUBSTITUTE(BN92,"0","")))&gt;=2,SUMPRODUCT(--ISNUMBER(SEARCH({"a0","a-0","a_0","a/0","a.0","a#0","0a","0-a","0_a","0/a"},BN92)))&gt;0),AND((LEN(BN92)-LEN(SUBSTITUTE(BN92,"a","")))=0,(LEN(BN92)-LEN(SUBSTITUTE(BN92,"0","")))&gt;=5)))),1,0),0)</f>
        <v>0</v>
      </c>
      <c r="CA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92,"revision",""),"version",""),"jan",""),"feb",""),"mar",""),"apr",""),"may",""),"jun",""),"jul",""),"aug",""),"sep",""),"oct",""),"nov",""),"dec",""),"utc",""),"gmt",""),"myt",""),"bst",""),"rev",""),"ver",""),"b","a"),"c","a"),"d","a"),"e","a"),"f","a"),"g","a"),"h","a"),"i","a"),"j","a"),"k","a"),"l","a"),"m","a"),"n","a"),"o","a"),"p","a"),"q","a"),"r","a"),"s","a"),"t","a"),"u","a"),"v","a"),"w","a"),"x","a"),"y","a"),"z","a")</f>
        <v/>
      </c>
      <c r="CB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92&amp;""),"a",""),"b",""),"c",""),"d",""),"e",""),"f",""),"g",""),"h",""),"i",""),"j",""),"k",""),"l",""),"m",""),"n",""),"o",""),"p",""),"q",""),"r",""),"s",""),"t",""),"u",""),"v",""),"w",""),"x",""),"y",""),"z",""),"-",""),"_",""),"/",""),".",""),"#",""),"\\",""),":","")," ",""),"(",""),")","")</f>
        <v/>
      </c>
      <c r="CC92" s="0" t="str">
        <f aca="false">" "&amp;TRIM(SUBSTITUTE(SUBSTITUTE(SUBSTITUTE(SUBSTITUTE(SUBSTITUTE(SUBSTITUTE(SUBSTITUTE(SUBSTITUTE(SUBSTITUTE(SUBSTITUTE(SUBSTITUTE(SUBSTITUTE(SUBSTITUTE(SUBSTITUTE(SUBSTITUTE(SUBSTITUTE(SUBSTITUTE(SUBSTITUTE(SUBSTITUTE(SUBSTITUTE(SUBSTITUTE(SUBSTITUTE(SUBSTITUTE(SUBSTITUTE(LOWER(T92&amp;""),CHAR(10)," "),CHAR(13)," "),CHAR(9)," "),CHAR(160)," "),"."," "),","," "),"-"," "),"/"," "),"("," "),")"," "),":"," "),";"," "),"_"," "),"–"," "),"?"," "),"!"," "),"*"," "),"["," "),"]"," "),"'"," "),"#"," "),"+"," "),"&amp;"," "),"\"," "))&amp;" "</f>
        <v>  </v>
      </c>
      <c r="CD92" s="0" t="str">
        <f aca="false">" "&amp;TRIM(SUBSTITUTE(SUBSTITUTE(SUBSTITUTE(SUBSTITUTE(SUBSTITUTE(SUBSTITUTE(SUBSTITUTE(SUBSTITUTE(SUBSTITUTE(SUBSTITUTE(SUBSTITUTE(SUBSTITUTE(SUBSTITUTE(SUBSTITUTE(SUBSTITUTE(SUBSTITUTE(SUBSTITUTE(SUBSTITUTE(SUBSTITUTE(SUBSTITUTE(SUBSTITUTE(SUBSTITUTE(SUBSTITUTE(SUBSTITUTE(LOWER(AE92&amp;""),CHAR(10)," "),CHAR(13)," "),CHAR(9)," "),CHAR(160)," "),"."," "),","," "),"-"," "),"/"," "),"("," "),")"," "),":"," "),";"," "),"_"," "),"–"," "),"?"," "),"!"," "),"*"," "),"["," "),"]"," "),"'"," "),"#"," "),"+"," "),"&amp;"," "),"\"," "))&amp;" "</f>
        <v>  </v>
      </c>
      <c r="CE92" s="68" t="n">
        <f aca="false">IFERROR(IF(AND(LEN(AU92)&gt;0,LEN(AU92)=LEN(AX92),OR(TRIM(MID(SUBSTITUTE(TRIM(CC92)," ",REPT(" ",60)),1,60))="",ISNUMBER(SEARCH(" "&amp;TRIM(MID(SUBSTITUTE(TRIM(CC92)," ",REPT(" ",60)),1,60))&amp;" ",CD92))),OR(TRIM(MID(SUBSTITUTE(TRIM(CC92)," ",REPT(" ",60)),61,60))="",ISNUMBER(SEARCH(" "&amp;TRIM(MID(SUBSTITUTE(TRIM(CC92)," ",REPT(" ",60)),61,60))&amp;" ",CD92))),OR(TRIM(MID(SUBSTITUTE(TRIM(CC92)," ",REPT(" ",60)),121,60))="",ISNUMBER(SEARCH(" "&amp;TRIM(MID(SUBSTITUTE(TRIM(CC92)," ",REPT(" ",60)),121,60))&amp;" ",CD92)))),1,0),0)</f>
        <v>0</v>
      </c>
      <c r="CG92" s="68" t="n">
        <f aca="false">IFERROR(LEN(SUBSTITUTE(BF92," ",""))-SUMPRODUCT((LEN(BF92)-LEN(SUBSTITUTE(BF92," "&amp;L_NAFiller&amp;" "," ")))/(LEN(L_NAFiller)+1)*LEN(L_NAFiller)),0)</f>
        <v>0</v>
      </c>
    </row>
    <row r="93" customFormat="false" ht="39.75" hidden="false" customHeight="true" outlineLevel="0" collapsed="false">
      <c r="A93" s="57" t="s">
        <v>584</v>
      </c>
      <c r="B93" s="57" t="s">
        <v>218</v>
      </c>
      <c r="C93" s="57" t="str">
        <f aca="false">Flights!$F$8</f>
        <v>MH0088</v>
      </c>
      <c r="D93" s="58" t="n">
        <f aca="false">Flights!$D$8</f>
        <v>46305</v>
      </c>
      <c r="E93" s="57" t="str">
        <f aca="false">Flights!$G$8&amp;"-"&amp;Flights!$H$8</f>
        <v>KUL-NRT</v>
      </c>
      <c r="F93" s="57" t="str">
        <f aca="false">Flights!$K$8</f>
        <v>BC</v>
      </c>
      <c r="G93" s="57" t="s">
        <v>81</v>
      </c>
      <c r="H93" s="57" t="s">
        <v>378</v>
      </c>
      <c r="I93" s="57" t="s">
        <v>394</v>
      </c>
      <c r="J93" s="57" t="s">
        <v>395</v>
      </c>
      <c r="K93" s="67" t="s">
        <v>396</v>
      </c>
      <c r="L93" s="67" t="s">
        <v>382</v>
      </c>
      <c r="M93" s="67"/>
      <c r="N93" s="67" t="s">
        <v>383</v>
      </c>
      <c r="O93" s="67"/>
      <c r="P93" s="57" t="s">
        <v>187</v>
      </c>
      <c r="Q93" s="59" t="n">
        <f aca="false">ROUND((Flights!$AC$8)*1440,0)/1440</f>
        <v>46298.6458333333</v>
      </c>
      <c r="R93" s="59" t="n">
        <f aca="false">Q93+(IF(AND(INDEX(TZ_DSTS,MATCH(P93,TZ_STN,0))&lt;&gt;"",Q93&gt;=INDEX(TZ_DSTS,MATCH(P93,TZ_STN,0)),Q93&lt;INDEX(TZ_DSTE,MATCH(P93,TZ_STN,0))),INDEX(TZ_DST,MATCH(P93,TZ_STN,0)),INDEX(TZ_STD,MATCH(P93,TZ_STN,0))))/24</f>
        <v>46298.9791666667</v>
      </c>
      <c r="S93" s="60"/>
      <c r="T93" s="60"/>
      <c r="U93" s="60"/>
      <c r="V93" s="60"/>
      <c r="W93" s="61"/>
      <c r="X93" s="60"/>
      <c r="Y93" s="60"/>
      <c r="Z93" s="60"/>
      <c r="AA93" s="60"/>
      <c r="AB93" s="60"/>
      <c r="AC93" s="60"/>
      <c r="AD93" s="66"/>
      <c r="AE93" s="60"/>
      <c r="AF93" s="61" t="str">
        <f aca="false">IF(AND(ISNUMBER(X93),ISNUMBER(Y93)),Y93-X93,"")</f>
        <v/>
      </c>
      <c r="AG93" s="62" t="str">
        <f aca="false">IF(ISNUMBER(AD93),AD93-(IF(AND(INDEX(TZ_DSTS,MATCH(P93,TZ_STN,0))&lt;&gt;"",(AD93-INDEX(TZ_STD,MATCH(P93,TZ_STN,0))/24)&gt;=INDEX(TZ_DSTS,MATCH(P93,TZ_STN,0)),(AD93-INDEX(TZ_STD,MATCH(P93,TZ_STN,0))/24)&lt;INDEX(TZ_DSTE,MATCH(P93,TZ_STN,0))),INDEX(TZ_DST,MATCH(P93,TZ_STN,0)),INDEX(TZ_STD,MATCH(P93,TZ_STN,0))))/24,"")</f>
        <v/>
      </c>
      <c r="AH93" s="65" t="str">
        <f aca="false">IFERROR(IF(N93="N/A – rule",IF(OR(TRIM(U93)="",TRIM(U93)="N/A",TRIM(U93)="Not started"),"N/A – RULE","INVALID – this check does not apply to this aircraft: clear the status (or correct the fleet on Flights)"),IF(TRIM(U93)="N/A",IF(AT93=0,"INVALID – N/A not permitted for this check",IF(AND(TRIM(AB93)&lt;&gt;"",TRIM(AB93)&lt;&gt;"Closed"),"INVALID – corrective action still open",IF(AND(NOT(OR(LEN(AZ93)&lt;15,ISNUMBER(MATCH(AZ93,L_Placeholder,0)))),BK93=0,CG93&gt;=8,NOT(OR(LEN(AU93)&lt;2,ISNUMBER(MATCH(AU93,L_Placeholder,0)))),BR93&gt;=3,NOT(OR(LEN(AX93)&lt;2,ISNUMBER(MATCH(AX93,L_Placeholder,0)))),BS93&gt;=3,TRIM(AE93)&lt;&gt;TRIM(T93),AX93&lt;&gt;AU93,CE93=0),"N/A – JUSTIFIED","INVALID – N/A needs a real, settled reason (not 'not applicable' / 'as above' / TBC), a named PIC and a different named verifier"))),IF(OR(TRIM(U93)="Pass",TRIM(U93)="Pass after CA"),IF(NOT(ISNUMBER(AD93)),"INVALID – completion time missing",IF(OR(OR(LEN(AU93)&lt;2,ISNUMBER(MATCH(AU93,L_Placeholder,0))),BR93&lt;3),"INVALID – PIC missing or not a named person (a role such as QA / CSM is not a name)",IF(OR(LEN(AV93)&lt;2,ISNUMBER(MATCH(AV93,L_Placeholder,0))),"INVALID – result / assessment missing",IF(OR(OR(LEN(AW93)&lt;3,ISNUMBER(MATCH(AW93,L_Placeholder,0))),SUMPRODUCT(--ISNUMBER(SEARCH(" "&amp;L_EvidencePhrase&amp;" ",BD93)))&gt;0,BI93=1),"INVALID – evidence missing, placeholder or not yet on file",IF(ISNA(MATCH(TRIM(S93),L_EvidenceType,0)),"INVALID – choose the evidence type from the list (column S)",IF(BL93=0,"INVALID – evidence ID must be the record's own ID only (e.g. SF-2210, IMG_2231, 1045521); a link / file name needs type 'Link / file path'",IF(OR(OR(LEN(AX93)&lt;2,ISNUMBER(MATCH(AX93,L_Placeholder,0))),BS93&lt;3),"INVALID – verifier missing or not a named person (a role such as QA / CSM is not a name)",IF(OR(AX93=AU93,CE93=1,AND(LEN(AU93)&gt;=4,ISNUMBER(SEARCH(AU93,AX93))),AND(LEN(AX93)&gt;=4,ISNUMBER(SEARCH(AX93,AU93)))),"INVALID – verifier must be a different, named person (not the PIC or a role)",IF(BH93=1,"INVALID – result not yet available (awaiting / TBC)",IF(BG93=1,"INVALID – result describes a problem: record Fail, then Pass after CA (or reword if it is not a problem)",IF(BV93=1,"INVALID – wording says not on board: an on-board confirmation needs the item loaded",IF(AND(AQ93=1,OR(OR(LEN(AY93)&lt;3,ISNUMBER(MATCH(AY93,L_Placeholder,0))),BJ93=1,BQ93=0)),"INVALID – batch ID missing, placeholder or not an ID (e.g. PASB-261008-BC-017)",IF(AND(AR93=1,OR(NOT(ISNUMBER(X93)),NOT(ISNUMBER(Y93)))),"INVALID – expected/actual qty missing",IF(AND(AR93=1,OR(X93&lt;=0,Y93&lt;0)),"INVALID – expected qty must be above 0 and actual not negative",IF(BB93&lt;&gt;"",BB93,IF(AND(AS93=1,Documents!$J$8&lt;&gt;"ON FILE"),"INVALID – GLD not on file (Documents sheet)",IF(AND(AS93=2,Documents!$O$8&lt;&gt;"ON FILE"),"INVALID – menu checklist not on file (Documents sheet)",IF(AND(AS93=3,NOT(ISNUMBER(Flights!$AX$8))),"INVALID – enter carrying flight KUL departure (Flights AX)",IF(AND(AS93=3,OR(Flights!$AZ$8&gt;Flights!$AA$8,Flights!$AX$8&lt;Flights!$AA$8-3)),"INVALID – carrying flight (Flights AX) cannot arrive before this leg's STD, or is over 3 days early",IF(AG93&gt;AsOfUTC,"INVALID – completion time is in the future",IF(AND(ISNUMBER(BY93),AG93&lt;BY93),IF(H93="Physical uplift","INVALID – before uplift window (cannot confirm loading)","INVALID – before valid window"),IF(AG93&gt;Flights!$AA$8,"INVALID – completed after departure (cannot establish readiness)",IF(AND(H93="Preparation",AG93&gt;=IF(ISNUMBER(Flights!$BA$8),MIN(Flights!$BA$8,Flights!$AA$8),Flights!$AA$8)),"INVALID – completed after loading / departure (cannot establish readiness)",IF(AND(H93="Physical uplift",AG93&gt;Q93),"INVALID – recorded after the loading flight departed",IF(AG93&gt;Q93,"COMPLETE – LATE","COMPLETE"))))))))))))))))))))))))),IF(TRIM(U93)="Fail","FAIL – DISCREPANCY",IF(AND(TRIM(U93)&lt;&gt;"",TRIM(U93)&lt;&gt;"Not started",TRIM(U93)&lt;&gt;"In progress"),"INVALID – unrecognised status (use the list)",IF(AsOfUTC&gt;Q93,"OVERDUE",IF(N93="Clarification required","OPEN – CLARIFICATION","OPEN"))))))),"INVALID – error value in an input cell")</f>
        <v>OPEN</v>
      </c>
      <c r="AI93" s="61" t="n">
        <f aca="false">IF(OR(AH93="N/A – RULE",AH93="N/A – JUSTIFIED"),0,1)</f>
        <v>1</v>
      </c>
      <c r="AJ93" s="61" t="n">
        <f aca="false">IF(LEFT(AH93,8)="COMPLETE",1,0)</f>
        <v>0</v>
      </c>
      <c r="AK93" s="61" t="n">
        <f aca="false">IF(AND(AI93=1,AJ93=0,AsOfUTC&gt;Q93),1,0)</f>
        <v>0</v>
      </c>
      <c r="AL93" s="61" t="n">
        <f aca="false">IFERROR(IF(AND(AI93=1,OR(TRIM(U93)="Fail",AND(TRIM(AB93)&lt;&gt;"",TRIM(AB93)&lt;&gt;"Closed"),AND(ISNUMBER(AF93),AF93&lt;&gt;0,TRIM(U93)&lt;&gt;"Pass after CA"))),1,0),1)</f>
        <v>0</v>
      </c>
      <c r="AM93" s="61" t="n">
        <f aca="false">IF(LEFT(AH93,7)="INVALID",1,0)</f>
        <v>0</v>
      </c>
      <c r="AN93" s="61" t="n">
        <f aca="false">IF(AND(N93="Clarification required",AI93=1,AJ93=0),1,0)</f>
        <v>0</v>
      </c>
      <c r="AO93" s="61" t="str">
        <f aca="false">IF(AK93=1,SUM(AK$5:AK93),"")</f>
        <v/>
      </c>
      <c r="AP93" s="61" t="str">
        <f aca="false">IF(AL93=1,SUM(AL$5:AL93),"")</f>
        <v/>
      </c>
      <c r="AQ93" s="61" t="n">
        <v>0</v>
      </c>
      <c r="AR93" s="61" t="n">
        <v>0</v>
      </c>
      <c r="AS93" s="61" t="n">
        <v>0</v>
      </c>
      <c r="AT93" s="61" t="n">
        <v>0</v>
      </c>
      <c r="AU93" s="61" t="str">
        <f aca="false">SUBSTITUTE(SUBSTITUTE(SUBSTITUTE(SUBSTITUTE(SUBSTITUTE(SUBSTITUTE(SUBSTITUTE(SUBSTITUTE(SUBSTITUTE(SUBSTITUTE(SUBSTITUTE(SUBSTITUTE(SUBSTITUTE(SUBSTITUTE(SUBSTITUTE(SUBSTITUTE(LOWER(T93&amp;""),CHAR(10),""),CHAR(13),""),CHAR(9),""),CHAR(160),"")," ",""),".",""),"-",""),"/",""),"?",""),"_",""),",",""),"[",""),"]",""),"(",""),")",""),"*","")</f>
        <v/>
      </c>
      <c r="AV93" s="61" t="str">
        <f aca="false">SUBSTITUTE(SUBSTITUTE(SUBSTITUTE(SUBSTITUTE(SUBSTITUTE(SUBSTITUTE(SUBSTITUTE(SUBSTITUTE(SUBSTITUTE(SUBSTITUTE(SUBSTITUTE(SUBSTITUTE(SUBSTITUTE(SUBSTITUTE(SUBSTITUTE(SUBSTITUTE(LOWER(V93&amp;""),CHAR(10),""),CHAR(13),""),CHAR(9),""),CHAR(160),"")," ",""),".",""),"-",""),"/",""),"?",""),"_",""),",",""),"[",""),"]",""),"(",""),")",""),"*","")</f>
        <v/>
      </c>
      <c r="AW93" s="61" t="str">
        <f aca="false">SUBSTITUTE(SUBSTITUTE(SUBSTITUTE(SUBSTITUTE(SUBSTITUTE(SUBSTITUTE(SUBSTITUTE(SUBSTITUTE(SUBSTITUTE(SUBSTITUTE(SUBSTITUTE(SUBSTITUTE(SUBSTITUTE(SUBSTITUTE(SUBSTITUTE(SUBSTITUTE(LOWER(Z93&amp;""),CHAR(10),""),CHAR(13),""),CHAR(9),""),CHAR(160),"")," ",""),".",""),"-",""),"/",""),"?",""),"_",""),",",""),"[",""),"]",""),"(",""),")",""),"*","")</f>
        <v/>
      </c>
      <c r="AX93" s="61" t="str">
        <f aca="false">SUBSTITUTE(SUBSTITUTE(SUBSTITUTE(SUBSTITUTE(SUBSTITUTE(SUBSTITUTE(SUBSTITUTE(SUBSTITUTE(SUBSTITUTE(SUBSTITUTE(SUBSTITUTE(SUBSTITUTE(SUBSTITUTE(SUBSTITUTE(SUBSTITUTE(SUBSTITUTE(LOWER(AE93&amp;""),CHAR(10),""),CHAR(13),""),CHAR(9),""),CHAR(160),"")," ",""),".",""),"-",""),"/",""),"?",""),"_",""),",",""),"[",""),"]",""),"(",""),")",""),"*","")</f>
        <v/>
      </c>
      <c r="AY93" s="61" t="str">
        <f aca="false">SUBSTITUTE(SUBSTITUTE(SUBSTITUTE(SUBSTITUTE(SUBSTITUTE(SUBSTITUTE(SUBSTITUTE(SUBSTITUTE(SUBSTITUTE(SUBSTITUTE(SUBSTITUTE(SUBSTITUTE(SUBSTITUTE(SUBSTITUTE(SUBSTITUTE(SUBSTITUTE(LOWER(W93&amp;""),CHAR(10),""),CHAR(13),""),CHAR(9),""),CHAR(160),"")," ",""),".",""),"-",""),"/",""),"?",""),"_",""),",",""),"[",""),"]",""),"(",""),")",""),"*","")</f>
        <v/>
      </c>
      <c r="AZ93" s="61" t="str">
        <f aca="false">SUBSTITUTE(SUBSTITUTE(SUBSTITUTE(SUBSTITUTE(SUBSTITUTE(SUBSTITUTE(SUBSTITUTE(SUBSTITUTE(SUBSTITUTE(SUBSTITUTE(SUBSTITUTE(SUBSTITUTE(SUBSTITUTE(SUBSTITUTE(SUBSTITUTE(SUBSTITUTE(LOWER(AC93&amp;""),CHAR(10),""),CHAR(13),""),CHAR(9),""),CHAR(160),"")," ",""),".",""),"-",""),"/",""),"?",""),"_",""),",",""),"[",""),"]",""),"(",""),")",""),"*","")</f>
        <v/>
      </c>
      <c r="BA93" s="61" t="str">
        <f aca="false">SUBSTITUTE(SUBSTITUTE(SUBSTITUTE(SUBSTITUTE(SUBSTITUTE(SUBSTITUTE(SUBSTITUTE(SUBSTITUTE(SUBSTITUTE(SUBSTITUTE(SUBSTITUTE(SUBSTITUTE(SUBSTITUTE(SUBSTITUTE(SUBSTITUTE(SUBSTITUTE(LOWER(AA93&amp;""),CHAR(10),""),CHAR(13),""),CHAR(9),""),CHAR(160),"")," ",""),".",""),"-",""),"/",""),"?",""),"_",""),",",""),"[",""),"]",""),"(",""),")",""),"*","")</f>
        <v/>
      </c>
      <c r="BB93" s="61" t="str">
        <f aca="false">IF(AND(TRIM(U93)="Pass",ISNUMBER(AF93)),IF(AF93&lt;&gt;0,"INVALID – qty variance: use Fail or Pass after CA",""),"")&amp;IF(AND(TRIM(U93)="Pass after CA",ISNUMBER(AF93)),IF(AF93&lt;&gt;0,"INVALID – after the corrective action the actual qty must equal expected (update Actual)",""),"")&amp;IF(AND(TRIM(U93)="Pass",TRIM(AB93)&lt;&gt;"",TRIM(AB93)&lt;&gt;"Closed"),"INVALID – corrective action not closed: use Fail, then Pass after CA","")&amp;IF(AND(LEN(BA93)&gt;=2,ISNA(MATCH(LEFT(BA93,255),L_Placeholder,0)),TRIM(AB93)=""),"INVALID – CA status missing for the recorded corrective action","")&amp;IF(AND(TRIM(U93)="Pass after CA",OR(OR(LEN(BA93)&lt;5,ISNUMBER(MATCH(BA93,L_Placeholder,0))),TRIM(AB93)&lt;&gt;"Closed")),"INVALID – corrective action not recorded/closed","")</f>
        <v/>
      </c>
      <c r="BC93" s="61" t="str">
        <f aca="false">" "&amp;TRIM(SUBSTITUTE(SUBSTITUTE(SUBSTITUTE(SUBSTITUTE(SUBSTITUTE(SUBSTITUTE(SUBSTITUTE(SUBSTITUTE(SUBSTITUTE(SUBSTITUTE(SUBSTITUTE(SUBSTITUTE(SUBSTITUTE(SUBSTITUTE(SUBSTITUTE(SUBSTITUTE(SUBSTITUTE(SUBSTITUTE(SUBSTITUTE(SUBSTITUTE(SUBSTITUTE(SUBSTITUTE(SUBSTITUTE(SUBSTITUTE(LOWER(V93&amp;""),CHAR(10)," "),CHAR(13)," "),CHAR(9)," "),CHAR(160)," "),"."," "),","," "),"-"," "),"/"," "),"("," "),")"," "),":"," "),";"," "),"_"," "),"–"," "),"?"," "),"!"," "),"*"," "),"["," "),"]"," "),"'"," "),"#"," "),"+"," "),"&amp;"," "),"\"," "))&amp;" "</f>
        <v>  </v>
      </c>
      <c r="BD93" s="61" t="str">
        <f aca="false">" "&amp;TRIM(SUBSTITUTE(SUBSTITUTE(SUBSTITUTE(SUBSTITUTE(SUBSTITUTE(SUBSTITUTE(SUBSTITUTE(SUBSTITUTE(SUBSTITUTE(SUBSTITUTE(SUBSTITUTE(SUBSTITUTE(SUBSTITUTE(SUBSTITUTE(SUBSTITUTE(SUBSTITUTE(SUBSTITUTE(SUBSTITUTE(SUBSTITUTE(SUBSTITUTE(SUBSTITUTE(SUBSTITUTE(SUBSTITUTE(SUBSTITUTE(LOWER(Z93&amp;""),CHAR(10)," "),CHAR(13)," "),CHAR(9)," "),CHAR(160)," "),"."," "),","," "),"-"," "),"/"," "),"("," "),")"," "),":"," "),";"," "),"_"," "),"–"," "),"?"," "),"!"," "),"*"," "),"["," "),"]"," "),"'"," "),"#"," "),"+"," "),"&amp;"," "),"\"," "))&amp;" "</f>
        <v>  </v>
      </c>
      <c r="BE93" s="61" t="str">
        <f aca="false">" "&amp;TRIM(SUBSTITUTE(SUBSTITUTE(SUBSTITUTE(SUBSTITUTE(SUBSTITUTE(SUBSTITUTE(SUBSTITUTE(SUBSTITUTE(SUBSTITUTE(SUBSTITUTE(SUBSTITUTE(SUBSTITUTE(SUBSTITUTE(SUBSTITUTE(SUBSTITUTE(SUBSTITUTE(SUBSTITUTE(SUBSTITUTE(SUBSTITUTE(SUBSTITUTE(SUBSTITUTE(SUBSTITUTE(SUBSTITUTE(SUBSTITUTE(LOWER(W93&amp;""),CHAR(10)," "),CHAR(13)," "),CHAR(9)," "),CHAR(160)," "),"."," "),","," "),"-"," "),"/"," "),"("," "),")"," "),":"," "),";"," "),"_"," "),"–"," "),"?"," "),"!"," "),"*"," "),"["," "),"]"," "),"'"," "),"#"," "),"+"," "),"&amp;"," "),"\"," "))&amp;" "</f>
        <v>  </v>
      </c>
      <c r="BF93" s="61" t="str">
        <f aca="false">" "&amp;TRIM(SUBSTITUTE(SUBSTITUTE(SUBSTITUTE(SUBSTITUTE(SUBSTITUTE(SUBSTITUTE(SUBSTITUTE(SUBSTITUTE(SUBSTITUTE(SUBSTITUTE(SUBSTITUTE(SUBSTITUTE(SUBSTITUTE(SUBSTITUTE(SUBSTITUTE(SUBSTITUTE(SUBSTITUTE(SUBSTITUTE(SUBSTITUTE(SUBSTITUTE(SUBSTITUTE(SUBSTITUTE(SUBSTITUTE(SUBSTITUTE(LOWER(AC93&amp;""),CHAR(10)," "),CHAR(13)," "),CHAR(9)," "),CHAR(160)," "),"."," "),","," "),"-"," "),"/"," "),"("," "),")"," "),":"," "),";"," "),"_"," "),"–"," "),"?"," "),"!"," "),"*"," "),"["," "),"]"," "),"'"," "),"#"," "),"+"," "),"&amp;"," "),"\"," "))&amp;" "</f>
        <v>  </v>
      </c>
      <c r="BG93" s="61" t="n">
        <f aca="false">IFERROR(IF(AND(TRIM(U93)="Pass",SUMPRODUCT((LEN(BC93)-LEN(SUBSTITUTE(BC93," "&amp;L_ResultBad&amp;" "," ")))/(LEN(L_ResultBad)+1))&gt;SUMPRODUCT((LEN(BC93)-LEN(SUBSTITUTE(BC93," "&amp;L_NegPhrase&amp;" "," ")))/(LEN(L_NegPhrase)+1))),1,0),0)</f>
        <v>0</v>
      </c>
      <c r="BH93" s="61" t="n">
        <f aca="false">IFERROR(IF(SUMPRODUCT((LEN(BC93)-LEN(SUBSTITUTE(BC93," "&amp;L_Pending&amp;" "," ")))/(LEN(L_Pending)+1))&gt;SUMPRODUCT((LEN(BC93)-LEN(SUBSTITUTE(BC93," "&amp;L_PendNeg&amp;" "," ")))/(LEN(L_PendNeg)+1))+SUMPRODUCT((LEN(BC93)-LEN(SUBSTITUTE(BC93," "&amp;L_PendPrep&amp;" "," ")))/(LEN(L_PendPrep)+1)),1,0),1)</f>
        <v>0</v>
      </c>
      <c r="BI93" s="61" t="n">
        <f aca="false">IFERROR(IF(SUMPRODUCT((LEN(BD93)-LEN(SUBSTITUTE(BD93," "&amp;L_PendStrict&amp;" "," ")))/(LEN(L_PendStrict)+1))&gt;SUMPRODUCT((LEN(BD93)-LEN(SUBSTITUTE(BD93," "&amp;L_PendNeg&amp;" "," ")))/(LEN(L_PendNeg)+1)),1,0),1)</f>
        <v>0</v>
      </c>
      <c r="BJ93" s="61" t="n">
        <f aca="false">IFERROR(IF(SUMPRODUCT((LEN(BE93)-LEN(SUBSTITUTE(BE93," "&amp;L_Pending&amp;" "," ")))/(LEN(L_Pending)+1))&gt;SUMPRODUCT((LEN(BE93)-LEN(SUBSTITUTE(BE93," "&amp;L_PendNeg&amp;" "," ")))/(LEN(L_PendNeg)+1))+SUMPRODUCT((LEN(BE93)-LEN(SUBSTITUTE(BE93," "&amp;L_PendPrep&amp;" "," ")))/(LEN(L_PendPrep)+1)),1,0),1)</f>
        <v>0</v>
      </c>
      <c r="BK93" s="61" t="n">
        <f aca="false">IFERROR(IF(SUMPRODUCT((LEN(BF93)-LEN(SUBSTITUTE(BF93," "&amp;L_PendStrict&amp;" "," ")))/(LEN(L_PendStrict)+1))&gt;SUMPRODUCT((LEN(BF93)-LEN(SUBSTITUTE(BF93," "&amp;L_PendNeg&amp;" "," ")))/(LEN(L_PendNeg)+1)),1,0),1)</f>
        <v>0</v>
      </c>
      <c r="BL93" s="61" t="n">
        <f aca="false">IF(ISNA(MATCH(TRIM(S93),L_EvidenceType,0)),0,BZ93)</f>
        <v>0</v>
      </c>
      <c r="BM93" s="61" t="str">
        <f aca="false">SUBSTITUTE(SUBSTITUTE(SUBSTITUTE(SUBSTITUTE(SUBSTITUTE(SUBSTITUTE(SUBSTITUTE(SUBSTITUTE(SUBSTITUTE(LOWER(Z93&amp;""),"1","0"),"2","0"),"3","0"),"4","0"),"5","0"),"6","0"),"7","0"),"8","0"),"9","0")</f>
        <v/>
      </c>
      <c r="BN93" s="61" t="str">
        <f aca="false">SUBSTITUTE(SUBSTITUTE(SUBSTITUTE(SUBSTITUTE(SUBSTITUTE(SUBSTITUTE(SUBSTITUTE(SUBSTITUTE(SUBSTITUTE(SUBSTITUTE(SUBSTITUTE(SUBSTITUTE(SUBSTITUTE(SUBSTITUTE(SUBSTITUTE(SUBSTITUTE(SUBSTITUTE(SUBSTITUTE(SUBSTITUTE(SUBSTITUTE(SUBSTITUTE(SUBSTITUTE(SUBSTITUTE(SUBSTITUTE(SUBSTITUTE(BM93,"b","a"),"c","a"),"d","a"),"e","a"),"f","a"),"g","a"),"h","a"),"i","a"),"j","a"),"k","a"),"l","a"),"m","a"),"n","a"),"o","a"),"p","a"),"q","a"),"r","a"),"s","a"),"t","a"),"u","a"),"v","a"),"w","a"),"x","a"),"y","a"),"z","a")</f>
        <v/>
      </c>
      <c r="BO93" s="61" t="str">
        <f aca="false">SUBSTITUTE(SUBSTITUTE(SUBSTITUTE(SUBSTITUTE(SUBSTITUTE(SUBSTITUTE(SUBSTITUTE(SUBSTITUTE(SUBSTITUTE(LOWER(W93&amp;""),"1","0"),"2","0"),"3","0"),"4","0"),"5","0"),"6","0"),"7","0"),"8","0"),"9","0")</f>
        <v/>
      </c>
      <c r="BP93" s="61" t="str">
        <f aca="false">SUBSTITUTE(SUBSTITUTE(SUBSTITUTE(SUBSTITUTE(SUBSTITUTE(SUBSTITUTE(SUBSTITUTE(SUBSTITUTE(SUBSTITUTE(SUBSTITUTE(SUBSTITUTE(SUBSTITUTE(SUBSTITUTE(SUBSTITUTE(SUBSTITUTE(SUBSTITUTE(SUBSTITUTE(SUBSTITUTE(SUBSTITUTE(SUBSTITUTE(SUBSTITUTE(SUBSTITUTE(SUBSTITUTE(SUBSTITUTE(SUBSTITUTE(BO93,"b","a"),"c","a"),"d","a"),"e","a"),"f","a"),"g","a"),"h","a"),"i","a"),"j","a"),"k","a"),"l","a"),"m","a"),"n","a"),"o","a"),"p","a"),"q","a"),"r","a"),"s","a"),"t","a"),"u","a"),"v","a"),"w","a"),"x","a"),"y","a"),"z","a")</f>
        <v/>
      </c>
      <c r="BQ93" s="61" t="n">
        <f aca="false">IFERROR(IF(AND(ISERROR(SEARCH(" mh"," "&amp;LOWER(W93))),ISNA(MATCH(LEFT(TRIM(BP93),255),{"0000a","000a","00a","0000aa","000aa","00aa","0aa","0000aaa","000aaa","00a00","0a00","0000-0000","00:00","a00","a0","00.00.0000","00/00/0000","00-00-0000","0000-00-00","0000/00/00","0000.00.00","00.00.00","00/00/00","00-00-00","0.00.0000","0/00/0000","0-00-0000"},0)),ISNA(MATCH(LEFT(TRIM(CA93),255),{"0000a","000a","00a","0000aa","000aa","00aa","0aa","0000aaa","000aaa","00a00","0a00","0000-0000","00:00","a00","a0","00.00.0000","00/00/0000","00-00-0000","0000-00-00","0000/00/00","0000.00.00","00.00.00","00/00/00","00-00-00","0.00.0000","0/00/0000","0-00-0000"},0)),LEN(CB93)&gt;=3,NOT(OR(SUBSTITUTE(CB93,"0","")="",AND(LEN(CB93)&gt;=4,CB93=REPT(LEFT(CB93),LEN(CB93))),ISNUMBER(MATCH(CB93,{"123","1234","12345","123456","1234567","12345678","0123","01234","012345","98765","987654","54321"},0)),AND(LEN(CB93)=8,LEFT(CB93,3)="202"))),OR(AND((LEN(CA93)-LEN(SUBSTITUTE(CA93,"a","")))&gt;=1,SUMPRODUCT(--ISNUMBER(SEARCH({"a0","a-0","a_0","a/0","a.0","a#0","0a","0-a","0_a","0/a"},BP93)))&gt;0),ISNUMBER(SEARCH("000000",BP93)))),1,0),0)</f>
        <v>0</v>
      </c>
      <c r="BR93" s="61" t="n">
        <f aca="false">IFERROR(LEN(SUBSTITUTE(CC93," ",""))-SUMPRODUCT((LEN(CC93)-LEN(SUBSTITUTE(CC93," "&amp;L_Role&amp;" "," ")))/(LEN(L_Role)+1)*LEN(L_Role)),0)</f>
        <v>0</v>
      </c>
      <c r="BS93" s="61" t="n">
        <f aca="false">IFERROR(LEN(SUBSTITUTE(CD93," ",""))-SUMPRODUCT((LEN(CD93)-LEN(SUBSTITUTE(CD93," "&amp;L_Role&amp;" "," ")))/(LEN(L_Role)+1)*LEN(L_Role)),0)</f>
        <v>0</v>
      </c>
      <c r="BT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93,"revision",""),"version",""),"jan",""),"feb",""),"mar",""),"apr",""),"may",""),"jun",""),"jul",""),"aug",""),"sep",""),"oct",""),"nov",""),"dec",""),"utc",""),"gmt",""),"myt",""),"bst",""),"rev",""),"ver",""),"b","a"),"c","a"),"d","a"),"e","a"),"f","a"),"g","a"),"h","a"),"i","a"),"j","a"),"k","a"),"l","a"),"m","a"),"n","a"),"o","a"),"p","a"),"q","a"),"r","a"),"s","a"),"t","a"),"u","a"),"v","a"),"w","a"),"x","a"),"y","a"),"z","a")</f>
        <v/>
      </c>
      <c r="BU93" s="61" t="str">
        <f aca="false">SUBSTITUTE(SUBSTITUTE(SUBSTITUTE(SUBSTITUTE(SUBSTITUTE(SUBSTITUTE(SUBSTITUTE(SUBSTITUTE(SUBSTITUTE(SUBSTITUTE(LEFT(BM93,FIND("0",BM93&amp;"0")-1),"-",""),"_",""),"/",""),".",""),"#",""),"\\",""),":","")," ",""),"(",""),")","")</f>
        <v/>
      </c>
      <c r="BV93" s="61" t="n">
        <f aca="false">0</f>
        <v>0</v>
      </c>
      <c r="BW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93&amp;""),"a",""),"b",""),"c",""),"d",""),"e",""),"f",""),"g",""),"h",""),"i",""),"j",""),"k",""),"l",""),"m",""),"n",""),"o",""),"p",""),"q",""),"r",""),"s",""),"t",""),"u",""),"v",""),"w",""),"x",""),"y",""),"z",""),"-",""),"_",""),"/",""),".",""),"#",""),"\\",""),":","")," ",""),"(",""),")","")</f>
        <v/>
      </c>
      <c r="BX93" s="61" t="str">
        <f aca="false">SUBSTITUTE(SUBSTITUTE(SUBSTITUTE(SUBSTITUTE(SUBSTITUTE(SUBSTITUTE(SUBSTITUTE(SUBSTITUTE(SUBSTITUTE(SUBSTITUTE(SUBSTITUTE(BM93,"0",""),"-",""),"_",""),"/",""),".",""),"#",""),"\\",""),":","")," ",""),"(",""),")","")</f>
        <v/>
      </c>
      <c r="BY93" s="62" t="n">
        <f aca="false">Q93-T7EarlyD*24/24</f>
        <v>46284.6458333333</v>
      </c>
      <c r="BZ93" s="61" t="n">
        <f aca="false">IFERROR(IF(IF(TRIM(S93)="Link / file path",AND(LEN(TRIM(Z93))&gt;=5,SUMPRODUCT(--ISNUMBER(SEARCH({"http","www.","\\",":\",".pdf",".jpg",".jpeg",".png",".heic",".xls",".doc",".msg",".eml",".ppt",".txt",".zip"},Z93)))&gt;0),AND(ISERROR(FIND(" ",TRIM(Z93))),NOT(OR(SUMPRODUCT(--ISNUMBER(FIND({",",";","&amp;","+"},Z93)))&gt;0,SUMPRODUCT(--ISNUMBER(SEARCH({"0/aa","0\\aa"},BN93)))&gt;0)),NOT(SUMPRODUCT(--ISNUMBER(SEARCH({"http","www.","\\",":\",".pdf",".jpg",".jpeg",".png",".heic",".xls",".doc",".msg",".eml",".ppt",".txt",".zip"},Z93)))&gt;0),NOT(LOWER(TRIM(Z93))=LOWER(Flights!$F$8)),ISNA(MATCH(BU93,{"mh","rev","revision","ver","version","v","r","a","b","seat","tray","row","gate","bay","stand","page","pg","item","line","no","cart","galley","flight","flt","table","box","bag","oven","etd","eta","std","sta","atd","ata","qty","pax","x","time","tel","ph","mob","day","wk","week","utc","gmt","myt","lt"},0)),NOT(OR(ISNUMBER(MATCH(LEFT(BN93,255),{"0000a","000a","00a","0000aa","000aa","00aa","0aa","0000aaa","000aaa","00a00","0a00","0000-0000","00:00","a00","a0","00.00.0000","00/00/0000","00-00-0000","0000-00-00","0000/00/00","0000.00.00","00.00.00","00/00/00","00-00-00","0.00.0000","0/00/0000","0-00-0000"},0)),ISNUMBER(MATCH(LEFT(BT93,255),{"0000a","000a","00a","0000aa","000aa","00aa","0aa","0000aaa","000aaa","00a00","0a00","0000-0000","00:00","a00","a0","00.00.0000","00/00/0000","00-00-0000","0000-00-00","0000/00/00","0000.00.00","00.00.00","00/00/00","00-00-00","0.00.0000","0/00/0000","0-00-0000"},0)))),NOT(OR(AND(BW93&lt;&gt;"",SUBSTITUTE(BW93,"0","")=""),AND(LEN(BW93)&gt;=4,BW93=REPT(LEFT(BW93),LEN(BW93))),ISNUMBER(MATCH(BW93,{"123","1234","12345","123456","1234567","12345678","0123","01234","012345","98765","987654","54321"},0)),ISNUMBER(MATCH(BX93,{"x","xx","xxx","xxxx","xxxxx","abc","abcd","nil","na","nan","test","tbc","tba","tbd","dummy","sample","example","eg","zz","zzz","none","null","xyz","qwe","asd","id","ref"},0)),AND(LEN(BW93)=8,BX93="",OR(LEFT(BW93,3)="202",ISNUMBER(MATCH(RIGHT(BW93,4),{"2025","2026","2027"},0)))))),OR(AND((LEN(BT93)-LEN(SUBSTITUTE(BT93,"a","")))&gt;=1,(LEN(BN93)-LEN(SUBSTITUTE(BN93,"0","")))&gt;=2,SUMPRODUCT(--ISNUMBER(SEARCH({"a0","a-0","a_0","a/0","a.0","a#0","0a","0-a","0_a","0/a"},BN93)))&gt;0),AND((LEN(BN93)-LEN(SUBSTITUTE(BN93,"a","")))=0,(LEN(BN93)-LEN(SUBSTITUTE(BN93,"0","")))&gt;=5)))),1,0),0)</f>
        <v>0</v>
      </c>
      <c r="CA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93,"revision",""),"version",""),"jan",""),"feb",""),"mar",""),"apr",""),"may",""),"jun",""),"jul",""),"aug",""),"sep",""),"oct",""),"nov",""),"dec",""),"utc",""),"gmt",""),"myt",""),"bst",""),"rev",""),"ver",""),"b","a"),"c","a"),"d","a"),"e","a"),"f","a"),"g","a"),"h","a"),"i","a"),"j","a"),"k","a"),"l","a"),"m","a"),"n","a"),"o","a"),"p","a"),"q","a"),"r","a"),"s","a"),"t","a"),"u","a"),"v","a"),"w","a"),"x","a"),"y","a"),"z","a")</f>
        <v/>
      </c>
      <c r="CB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93&amp;""),"a",""),"b",""),"c",""),"d",""),"e",""),"f",""),"g",""),"h",""),"i",""),"j",""),"k",""),"l",""),"m",""),"n",""),"o",""),"p",""),"q",""),"r",""),"s",""),"t",""),"u",""),"v",""),"w",""),"x",""),"y",""),"z",""),"-",""),"_",""),"/",""),".",""),"#",""),"\\",""),":","")," ",""),"(",""),")","")</f>
        <v/>
      </c>
      <c r="CC93" s="0" t="str">
        <f aca="false">" "&amp;TRIM(SUBSTITUTE(SUBSTITUTE(SUBSTITUTE(SUBSTITUTE(SUBSTITUTE(SUBSTITUTE(SUBSTITUTE(SUBSTITUTE(SUBSTITUTE(SUBSTITUTE(SUBSTITUTE(SUBSTITUTE(SUBSTITUTE(SUBSTITUTE(SUBSTITUTE(SUBSTITUTE(SUBSTITUTE(SUBSTITUTE(SUBSTITUTE(SUBSTITUTE(SUBSTITUTE(SUBSTITUTE(SUBSTITUTE(SUBSTITUTE(LOWER(T93&amp;""),CHAR(10)," "),CHAR(13)," "),CHAR(9)," "),CHAR(160)," "),"."," "),","," "),"-"," "),"/"," "),"("," "),")"," "),":"," "),";"," "),"_"," "),"–"," "),"?"," "),"!"," "),"*"," "),"["," "),"]"," "),"'"," "),"#"," "),"+"," "),"&amp;"," "),"\"," "))&amp;" "</f>
        <v>  </v>
      </c>
      <c r="CD93" s="0" t="str">
        <f aca="false">" "&amp;TRIM(SUBSTITUTE(SUBSTITUTE(SUBSTITUTE(SUBSTITUTE(SUBSTITUTE(SUBSTITUTE(SUBSTITUTE(SUBSTITUTE(SUBSTITUTE(SUBSTITUTE(SUBSTITUTE(SUBSTITUTE(SUBSTITUTE(SUBSTITUTE(SUBSTITUTE(SUBSTITUTE(SUBSTITUTE(SUBSTITUTE(SUBSTITUTE(SUBSTITUTE(SUBSTITUTE(SUBSTITUTE(SUBSTITUTE(SUBSTITUTE(LOWER(AE93&amp;""),CHAR(10)," "),CHAR(13)," "),CHAR(9)," "),CHAR(160)," "),"."," "),","," "),"-"," "),"/"," "),"("," "),")"," "),":"," "),";"," "),"_"," "),"–"," "),"?"," "),"!"," "),"*"," "),"["," "),"]"," "),"'"," "),"#"," "),"+"," "),"&amp;"," "),"\"," "))&amp;" "</f>
        <v>  </v>
      </c>
      <c r="CE93" s="68" t="n">
        <f aca="false">IFERROR(IF(AND(LEN(AU93)&gt;0,LEN(AU93)=LEN(AX93),OR(TRIM(MID(SUBSTITUTE(TRIM(CC93)," ",REPT(" ",60)),1,60))="",ISNUMBER(SEARCH(" "&amp;TRIM(MID(SUBSTITUTE(TRIM(CC93)," ",REPT(" ",60)),1,60))&amp;" ",CD93))),OR(TRIM(MID(SUBSTITUTE(TRIM(CC93)," ",REPT(" ",60)),61,60))="",ISNUMBER(SEARCH(" "&amp;TRIM(MID(SUBSTITUTE(TRIM(CC93)," ",REPT(" ",60)),61,60))&amp;" ",CD93))),OR(TRIM(MID(SUBSTITUTE(TRIM(CC93)," ",REPT(" ",60)),121,60))="",ISNUMBER(SEARCH(" "&amp;TRIM(MID(SUBSTITUTE(TRIM(CC93)," ",REPT(" ",60)),121,60))&amp;" ",CD93)))),1,0),0)</f>
        <v>0</v>
      </c>
      <c r="CG93" s="68" t="n">
        <f aca="false">IFERROR(LEN(SUBSTITUTE(BF93," ",""))-SUMPRODUCT((LEN(BF93)-LEN(SUBSTITUTE(BF93," "&amp;L_NAFiller&amp;" "," ")))/(LEN(L_NAFiller)+1)*LEN(L_NAFiller)),0)</f>
        <v>0</v>
      </c>
    </row>
    <row r="94" customFormat="false" ht="39.75" hidden="false" customHeight="true" outlineLevel="0" collapsed="false">
      <c r="A94" s="57" t="s">
        <v>585</v>
      </c>
      <c r="B94" s="57" t="s">
        <v>218</v>
      </c>
      <c r="C94" s="57" t="str">
        <f aca="false">Flights!$F$8</f>
        <v>MH0088</v>
      </c>
      <c r="D94" s="58" t="n">
        <f aca="false">Flights!$D$8</f>
        <v>46305</v>
      </c>
      <c r="E94" s="57" t="str">
        <f aca="false">Flights!$G$8&amp;"-"&amp;Flights!$H$8</f>
        <v>KUL-NRT</v>
      </c>
      <c r="F94" s="57" t="str">
        <f aca="false">Flights!$K$8</f>
        <v>BC</v>
      </c>
      <c r="G94" s="57" t="s">
        <v>81</v>
      </c>
      <c r="H94" s="57" t="s">
        <v>378</v>
      </c>
      <c r="I94" s="57" t="s">
        <v>398</v>
      </c>
      <c r="J94" s="57" t="s">
        <v>399</v>
      </c>
      <c r="K94" s="67" t="s">
        <v>400</v>
      </c>
      <c r="L94" s="67" t="s">
        <v>382</v>
      </c>
      <c r="M94" s="67"/>
      <c r="N94" s="67" t="s">
        <v>383</v>
      </c>
      <c r="O94" s="67"/>
      <c r="P94" s="57" t="s">
        <v>187</v>
      </c>
      <c r="Q94" s="59" t="n">
        <f aca="false">ROUND((Flights!$AC$8)*1440,0)/1440</f>
        <v>46298.6458333333</v>
      </c>
      <c r="R94" s="59" t="n">
        <f aca="false">Q94+(IF(AND(INDEX(TZ_DSTS,MATCH(P94,TZ_STN,0))&lt;&gt;"",Q94&gt;=INDEX(TZ_DSTS,MATCH(P94,TZ_STN,0)),Q94&lt;INDEX(TZ_DSTE,MATCH(P94,TZ_STN,0))),INDEX(TZ_DST,MATCH(P94,TZ_STN,0)),INDEX(TZ_STD,MATCH(P94,TZ_STN,0))))/24</f>
        <v>46298.9791666667</v>
      </c>
      <c r="S94" s="60"/>
      <c r="T94" s="60"/>
      <c r="U94" s="60"/>
      <c r="V94" s="60"/>
      <c r="W94" s="61"/>
      <c r="X94" s="60"/>
      <c r="Y94" s="60"/>
      <c r="Z94" s="60"/>
      <c r="AA94" s="60"/>
      <c r="AB94" s="60"/>
      <c r="AC94" s="60"/>
      <c r="AD94" s="66"/>
      <c r="AE94" s="60"/>
      <c r="AF94" s="61" t="str">
        <f aca="false">IF(AND(ISNUMBER(X94),ISNUMBER(Y94)),Y94-X94,"")</f>
        <v/>
      </c>
      <c r="AG94" s="62" t="str">
        <f aca="false">IF(ISNUMBER(AD94),AD94-(IF(AND(INDEX(TZ_DSTS,MATCH(P94,TZ_STN,0))&lt;&gt;"",(AD94-INDEX(TZ_STD,MATCH(P94,TZ_STN,0))/24)&gt;=INDEX(TZ_DSTS,MATCH(P94,TZ_STN,0)),(AD94-INDEX(TZ_STD,MATCH(P94,TZ_STN,0))/24)&lt;INDEX(TZ_DSTE,MATCH(P94,TZ_STN,0))),INDEX(TZ_DST,MATCH(P94,TZ_STN,0)),INDEX(TZ_STD,MATCH(P94,TZ_STN,0))))/24,"")</f>
        <v/>
      </c>
      <c r="AH94" s="65" t="str">
        <f aca="false">IFERROR(IF(N94="N/A – rule",IF(OR(TRIM(U94)="",TRIM(U94)="N/A",TRIM(U94)="Not started"),"N/A – RULE","INVALID – this check does not apply to this aircraft: clear the status (or correct the fleet on Flights)"),IF(TRIM(U94)="N/A",IF(AT94=0,"INVALID – N/A not permitted for this check",IF(AND(TRIM(AB94)&lt;&gt;"",TRIM(AB94)&lt;&gt;"Closed"),"INVALID – corrective action still open",IF(AND(NOT(OR(LEN(AZ94)&lt;15,ISNUMBER(MATCH(AZ94,L_Placeholder,0)))),BK94=0,CG94&gt;=8,NOT(OR(LEN(AU94)&lt;2,ISNUMBER(MATCH(AU94,L_Placeholder,0)))),BR94&gt;=3,NOT(OR(LEN(AX94)&lt;2,ISNUMBER(MATCH(AX94,L_Placeholder,0)))),BS94&gt;=3,TRIM(AE94)&lt;&gt;TRIM(T94),AX94&lt;&gt;AU94,CE94=0),"N/A – JUSTIFIED","INVALID – N/A needs a real, settled reason (not 'not applicable' / 'as above' / TBC), a named PIC and a different named verifier"))),IF(OR(TRIM(U94)="Pass",TRIM(U94)="Pass after CA"),IF(NOT(ISNUMBER(AD94)),"INVALID – completion time missing",IF(OR(OR(LEN(AU94)&lt;2,ISNUMBER(MATCH(AU94,L_Placeholder,0))),BR94&lt;3),"INVALID – PIC missing or not a named person (a role such as QA / CSM is not a name)",IF(OR(LEN(AV94)&lt;2,ISNUMBER(MATCH(AV94,L_Placeholder,0))),"INVALID – result / assessment missing",IF(OR(OR(LEN(AW94)&lt;3,ISNUMBER(MATCH(AW94,L_Placeholder,0))),SUMPRODUCT(--ISNUMBER(SEARCH(" "&amp;L_EvidencePhrase&amp;" ",BD94)))&gt;0,BI94=1),"INVALID – evidence missing, placeholder or not yet on file",IF(ISNA(MATCH(TRIM(S94),L_EvidenceType,0)),"INVALID – choose the evidence type from the list (column S)",IF(BL94=0,"INVALID – evidence ID must be the record's own ID only (e.g. SF-2210, IMG_2231, 1045521); a link / file name needs type 'Link / file path'",IF(OR(OR(LEN(AX94)&lt;2,ISNUMBER(MATCH(AX94,L_Placeholder,0))),BS94&lt;3),"INVALID – verifier missing or not a named person (a role such as QA / CSM is not a name)",IF(OR(AX94=AU94,CE94=1,AND(LEN(AU94)&gt;=4,ISNUMBER(SEARCH(AU94,AX94))),AND(LEN(AX94)&gt;=4,ISNUMBER(SEARCH(AX94,AU94)))),"INVALID – verifier must be a different, named person (not the PIC or a role)",IF(BH94=1,"INVALID – result not yet available (awaiting / TBC)",IF(BG94=1,"INVALID – result describes a problem: record Fail, then Pass after CA (or reword if it is not a problem)",IF(BV94=1,"INVALID – wording says not on board: an on-board confirmation needs the item loaded",IF(AND(AQ94=1,OR(OR(LEN(AY94)&lt;3,ISNUMBER(MATCH(AY94,L_Placeholder,0))),BJ94=1,BQ94=0)),"INVALID – batch ID missing, placeholder or not an ID (e.g. PASB-261008-BC-017)",IF(AND(AR94=1,OR(NOT(ISNUMBER(X94)),NOT(ISNUMBER(Y94)))),"INVALID – expected/actual qty missing",IF(AND(AR94=1,OR(X94&lt;=0,Y94&lt;0)),"INVALID – expected qty must be above 0 and actual not negative",IF(BB94&lt;&gt;"",BB94,IF(AND(AS94=1,Documents!$J$8&lt;&gt;"ON FILE"),"INVALID – GLD not on file (Documents sheet)",IF(AND(AS94=2,Documents!$O$8&lt;&gt;"ON FILE"),"INVALID – menu checklist not on file (Documents sheet)",IF(AND(AS94=3,NOT(ISNUMBER(Flights!$AX$8))),"INVALID – enter carrying flight KUL departure (Flights AX)",IF(AND(AS94=3,OR(Flights!$AZ$8&gt;Flights!$AA$8,Flights!$AX$8&lt;Flights!$AA$8-3)),"INVALID – carrying flight (Flights AX) cannot arrive before this leg's STD, or is over 3 days early",IF(AG94&gt;AsOfUTC,"INVALID – completion time is in the future",IF(AND(ISNUMBER(BY94),AG94&lt;BY94),IF(H94="Physical uplift","INVALID – before uplift window (cannot confirm loading)","INVALID – before valid window"),IF(AG94&gt;Flights!$AA$8,"INVALID – completed after departure (cannot establish readiness)",IF(AND(H94="Preparation",AG94&gt;=IF(ISNUMBER(Flights!$BA$8),MIN(Flights!$BA$8,Flights!$AA$8),Flights!$AA$8)),"INVALID – completed after loading / departure (cannot establish readiness)",IF(AND(H94="Physical uplift",AG94&gt;Q94),"INVALID – recorded after the loading flight departed",IF(AG94&gt;Q94,"COMPLETE – LATE","COMPLETE"))))))))))))))))))))))))),IF(TRIM(U94)="Fail","FAIL – DISCREPANCY",IF(AND(TRIM(U94)&lt;&gt;"",TRIM(U94)&lt;&gt;"Not started",TRIM(U94)&lt;&gt;"In progress"),"INVALID – unrecognised status (use the list)",IF(AsOfUTC&gt;Q94,"OVERDUE",IF(N94="Clarification required","OPEN – CLARIFICATION","OPEN"))))))),"INVALID – error value in an input cell")</f>
        <v>OPEN</v>
      </c>
      <c r="AI94" s="61" t="n">
        <f aca="false">IF(OR(AH94="N/A – RULE",AH94="N/A – JUSTIFIED"),0,1)</f>
        <v>1</v>
      </c>
      <c r="AJ94" s="61" t="n">
        <f aca="false">IF(LEFT(AH94,8)="COMPLETE",1,0)</f>
        <v>0</v>
      </c>
      <c r="AK94" s="61" t="n">
        <f aca="false">IF(AND(AI94=1,AJ94=0,AsOfUTC&gt;Q94),1,0)</f>
        <v>0</v>
      </c>
      <c r="AL94" s="61" t="n">
        <f aca="false">IFERROR(IF(AND(AI94=1,OR(TRIM(U94)="Fail",AND(TRIM(AB94)&lt;&gt;"",TRIM(AB94)&lt;&gt;"Closed"),AND(ISNUMBER(AF94),AF94&lt;&gt;0,TRIM(U94)&lt;&gt;"Pass after CA"))),1,0),1)</f>
        <v>0</v>
      </c>
      <c r="AM94" s="61" t="n">
        <f aca="false">IF(LEFT(AH94,7)="INVALID",1,0)</f>
        <v>0</v>
      </c>
      <c r="AN94" s="61" t="n">
        <f aca="false">IF(AND(N94="Clarification required",AI94=1,AJ94=0),1,0)</f>
        <v>0</v>
      </c>
      <c r="AO94" s="61" t="str">
        <f aca="false">IF(AK94=1,SUM(AK$5:AK94),"")</f>
        <v/>
      </c>
      <c r="AP94" s="61" t="str">
        <f aca="false">IF(AL94=1,SUM(AL$5:AL94),"")</f>
        <v/>
      </c>
      <c r="AQ94" s="61" t="n">
        <v>0</v>
      </c>
      <c r="AR94" s="61" t="n">
        <v>0</v>
      </c>
      <c r="AS94" s="61" t="n">
        <v>0</v>
      </c>
      <c r="AT94" s="61" t="n">
        <v>0</v>
      </c>
      <c r="AU94" s="61" t="str">
        <f aca="false">SUBSTITUTE(SUBSTITUTE(SUBSTITUTE(SUBSTITUTE(SUBSTITUTE(SUBSTITUTE(SUBSTITUTE(SUBSTITUTE(SUBSTITUTE(SUBSTITUTE(SUBSTITUTE(SUBSTITUTE(SUBSTITUTE(SUBSTITUTE(SUBSTITUTE(SUBSTITUTE(LOWER(T94&amp;""),CHAR(10),""),CHAR(13),""),CHAR(9),""),CHAR(160),"")," ",""),".",""),"-",""),"/",""),"?",""),"_",""),",",""),"[",""),"]",""),"(",""),")",""),"*","")</f>
        <v/>
      </c>
      <c r="AV94" s="61" t="str">
        <f aca="false">SUBSTITUTE(SUBSTITUTE(SUBSTITUTE(SUBSTITUTE(SUBSTITUTE(SUBSTITUTE(SUBSTITUTE(SUBSTITUTE(SUBSTITUTE(SUBSTITUTE(SUBSTITUTE(SUBSTITUTE(SUBSTITUTE(SUBSTITUTE(SUBSTITUTE(SUBSTITUTE(LOWER(V94&amp;""),CHAR(10),""),CHAR(13),""),CHAR(9),""),CHAR(160),"")," ",""),".",""),"-",""),"/",""),"?",""),"_",""),",",""),"[",""),"]",""),"(",""),")",""),"*","")</f>
        <v/>
      </c>
      <c r="AW94" s="61" t="str">
        <f aca="false">SUBSTITUTE(SUBSTITUTE(SUBSTITUTE(SUBSTITUTE(SUBSTITUTE(SUBSTITUTE(SUBSTITUTE(SUBSTITUTE(SUBSTITUTE(SUBSTITUTE(SUBSTITUTE(SUBSTITUTE(SUBSTITUTE(SUBSTITUTE(SUBSTITUTE(SUBSTITUTE(LOWER(Z94&amp;""),CHAR(10),""),CHAR(13),""),CHAR(9),""),CHAR(160),"")," ",""),".",""),"-",""),"/",""),"?",""),"_",""),",",""),"[",""),"]",""),"(",""),")",""),"*","")</f>
        <v/>
      </c>
      <c r="AX94" s="61" t="str">
        <f aca="false">SUBSTITUTE(SUBSTITUTE(SUBSTITUTE(SUBSTITUTE(SUBSTITUTE(SUBSTITUTE(SUBSTITUTE(SUBSTITUTE(SUBSTITUTE(SUBSTITUTE(SUBSTITUTE(SUBSTITUTE(SUBSTITUTE(SUBSTITUTE(SUBSTITUTE(SUBSTITUTE(LOWER(AE94&amp;""),CHAR(10),""),CHAR(13),""),CHAR(9),""),CHAR(160),"")," ",""),".",""),"-",""),"/",""),"?",""),"_",""),",",""),"[",""),"]",""),"(",""),")",""),"*","")</f>
        <v/>
      </c>
      <c r="AY94" s="61" t="str">
        <f aca="false">SUBSTITUTE(SUBSTITUTE(SUBSTITUTE(SUBSTITUTE(SUBSTITUTE(SUBSTITUTE(SUBSTITUTE(SUBSTITUTE(SUBSTITUTE(SUBSTITUTE(SUBSTITUTE(SUBSTITUTE(SUBSTITUTE(SUBSTITUTE(SUBSTITUTE(SUBSTITUTE(LOWER(W94&amp;""),CHAR(10),""),CHAR(13),""),CHAR(9),""),CHAR(160),"")," ",""),".",""),"-",""),"/",""),"?",""),"_",""),",",""),"[",""),"]",""),"(",""),")",""),"*","")</f>
        <v/>
      </c>
      <c r="AZ94" s="61" t="str">
        <f aca="false">SUBSTITUTE(SUBSTITUTE(SUBSTITUTE(SUBSTITUTE(SUBSTITUTE(SUBSTITUTE(SUBSTITUTE(SUBSTITUTE(SUBSTITUTE(SUBSTITUTE(SUBSTITUTE(SUBSTITUTE(SUBSTITUTE(SUBSTITUTE(SUBSTITUTE(SUBSTITUTE(LOWER(AC94&amp;""),CHAR(10),""),CHAR(13),""),CHAR(9),""),CHAR(160),"")," ",""),".",""),"-",""),"/",""),"?",""),"_",""),",",""),"[",""),"]",""),"(",""),")",""),"*","")</f>
        <v/>
      </c>
      <c r="BA94" s="61" t="str">
        <f aca="false">SUBSTITUTE(SUBSTITUTE(SUBSTITUTE(SUBSTITUTE(SUBSTITUTE(SUBSTITUTE(SUBSTITUTE(SUBSTITUTE(SUBSTITUTE(SUBSTITUTE(SUBSTITUTE(SUBSTITUTE(SUBSTITUTE(SUBSTITUTE(SUBSTITUTE(SUBSTITUTE(LOWER(AA94&amp;""),CHAR(10),""),CHAR(13),""),CHAR(9),""),CHAR(160),"")," ",""),".",""),"-",""),"/",""),"?",""),"_",""),",",""),"[",""),"]",""),"(",""),")",""),"*","")</f>
        <v/>
      </c>
      <c r="BB94" s="61" t="str">
        <f aca="false">IF(AND(TRIM(U94)="Pass",ISNUMBER(AF94)),IF(AF94&lt;&gt;0,"INVALID – qty variance: use Fail or Pass after CA",""),"")&amp;IF(AND(TRIM(U94)="Pass after CA",ISNUMBER(AF94)),IF(AF94&lt;&gt;0,"INVALID – after the corrective action the actual qty must equal expected (update Actual)",""),"")&amp;IF(AND(TRIM(U94)="Pass",TRIM(AB94)&lt;&gt;"",TRIM(AB94)&lt;&gt;"Closed"),"INVALID – corrective action not closed: use Fail, then Pass after CA","")&amp;IF(AND(LEN(BA94)&gt;=2,ISNA(MATCH(LEFT(BA94,255),L_Placeholder,0)),TRIM(AB94)=""),"INVALID – CA status missing for the recorded corrective action","")&amp;IF(AND(TRIM(U94)="Pass after CA",OR(OR(LEN(BA94)&lt;5,ISNUMBER(MATCH(BA94,L_Placeholder,0))),TRIM(AB94)&lt;&gt;"Closed")),"INVALID – corrective action not recorded/closed","")</f>
        <v/>
      </c>
      <c r="BC94" s="61" t="str">
        <f aca="false">" "&amp;TRIM(SUBSTITUTE(SUBSTITUTE(SUBSTITUTE(SUBSTITUTE(SUBSTITUTE(SUBSTITUTE(SUBSTITUTE(SUBSTITUTE(SUBSTITUTE(SUBSTITUTE(SUBSTITUTE(SUBSTITUTE(SUBSTITUTE(SUBSTITUTE(SUBSTITUTE(SUBSTITUTE(SUBSTITUTE(SUBSTITUTE(SUBSTITUTE(SUBSTITUTE(SUBSTITUTE(SUBSTITUTE(SUBSTITUTE(SUBSTITUTE(LOWER(V94&amp;""),CHAR(10)," "),CHAR(13)," "),CHAR(9)," "),CHAR(160)," "),"."," "),","," "),"-"," "),"/"," "),"("," "),")"," "),":"," "),";"," "),"_"," "),"–"," "),"?"," "),"!"," "),"*"," "),"["," "),"]"," "),"'"," "),"#"," "),"+"," "),"&amp;"," "),"\"," "))&amp;" "</f>
        <v>  </v>
      </c>
      <c r="BD94" s="61" t="str">
        <f aca="false">" "&amp;TRIM(SUBSTITUTE(SUBSTITUTE(SUBSTITUTE(SUBSTITUTE(SUBSTITUTE(SUBSTITUTE(SUBSTITUTE(SUBSTITUTE(SUBSTITUTE(SUBSTITUTE(SUBSTITUTE(SUBSTITUTE(SUBSTITUTE(SUBSTITUTE(SUBSTITUTE(SUBSTITUTE(SUBSTITUTE(SUBSTITUTE(SUBSTITUTE(SUBSTITUTE(SUBSTITUTE(SUBSTITUTE(SUBSTITUTE(SUBSTITUTE(LOWER(Z94&amp;""),CHAR(10)," "),CHAR(13)," "),CHAR(9)," "),CHAR(160)," "),"."," "),","," "),"-"," "),"/"," "),"("," "),")"," "),":"," "),";"," "),"_"," "),"–"," "),"?"," "),"!"," "),"*"," "),"["," "),"]"," "),"'"," "),"#"," "),"+"," "),"&amp;"," "),"\"," "))&amp;" "</f>
        <v>  </v>
      </c>
      <c r="BE94" s="61" t="str">
        <f aca="false">" "&amp;TRIM(SUBSTITUTE(SUBSTITUTE(SUBSTITUTE(SUBSTITUTE(SUBSTITUTE(SUBSTITUTE(SUBSTITUTE(SUBSTITUTE(SUBSTITUTE(SUBSTITUTE(SUBSTITUTE(SUBSTITUTE(SUBSTITUTE(SUBSTITUTE(SUBSTITUTE(SUBSTITUTE(SUBSTITUTE(SUBSTITUTE(SUBSTITUTE(SUBSTITUTE(SUBSTITUTE(SUBSTITUTE(SUBSTITUTE(SUBSTITUTE(LOWER(W94&amp;""),CHAR(10)," "),CHAR(13)," "),CHAR(9)," "),CHAR(160)," "),"."," "),","," "),"-"," "),"/"," "),"("," "),")"," "),":"," "),";"," "),"_"," "),"–"," "),"?"," "),"!"," "),"*"," "),"["," "),"]"," "),"'"," "),"#"," "),"+"," "),"&amp;"," "),"\"," "))&amp;" "</f>
        <v>  </v>
      </c>
      <c r="BF94" s="61" t="str">
        <f aca="false">" "&amp;TRIM(SUBSTITUTE(SUBSTITUTE(SUBSTITUTE(SUBSTITUTE(SUBSTITUTE(SUBSTITUTE(SUBSTITUTE(SUBSTITUTE(SUBSTITUTE(SUBSTITUTE(SUBSTITUTE(SUBSTITUTE(SUBSTITUTE(SUBSTITUTE(SUBSTITUTE(SUBSTITUTE(SUBSTITUTE(SUBSTITUTE(SUBSTITUTE(SUBSTITUTE(SUBSTITUTE(SUBSTITUTE(SUBSTITUTE(SUBSTITUTE(LOWER(AC94&amp;""),CHAR(10)," "),CHAR(13)," "),CHAR(9)," "),CHAR(160)," "),"."," "),","," "),"-"," "),"/"," "),"("," "),")"," "),":"," "),";"," "),"_"," "),"–"," "),"?"," "),"!"," "),"*"," "),"["," "),"]"," "),"'"," "),"#"," "),"+"," "),"&amp;"," "),"\"," "))&amp;" "</f>
        <v>  </v>
      </c>
      <c r="BG94" s="61" t="n">
        <f aca="false">IFERROR(IF(AND(TRIM(U94)="Pass",SUMPRODUCT((LEN(BC94)-LEN(SUBSTITUTE(BC94," "&amp;L_ResultBad&amp;" "," ")))/(LEN(L_ResultBad)+1))&gt;SUMPRODUCT((LEN(BC94)-LEN(SUBSTITUTE(BC94," "&amp;L_NegPhrase&amp;" "," ")))/(LEN(L_NegPhrase)+1))),1,0),0)</f>
        <v>0</v>
      </c>
      <c r="BH94" s="61" t="n">
        <f aca="false">IFERROR(IF(SUMPRODUCT((LEN(BC94)-LEN(SUBSTITUTE(BC94," "&amp;L_Pending&amp;" "," ")))/(LEN(L_Pending)+1))&gt;SUMPRODUCT((LEN(BC94)-LEN(SUBSTITUTE(BC94," "&amp;L_PendNeg&amp;" "," ")))/(LEN(L_PendNeg)+1))+SUMPRODUCT((LEN(BC94)-LEN(SUBSTITUTE(BC94," "&amp;L_PendPrep&amp;" "," ")))/(LEN(L_PendPrep)+1)),1,0),1)</f>
        <v>0</v>
      </c>
      <c r="BI94" s="61" t="n">
        <f aca="false">IFERROR(IF(SUMPRODUCT((LEN(BD94)-LEN(SUBSTITUTE(BD94," "&amp;L_PendStrict&amp;" "," ")))/(LEN(L_PendStrict)+1))&gt;SUMPRODUCT((LEN(BD94)-LEN(SUBSTITUTE(BD94," "&amp;L_PendNeg&amp;" "," ")))/(LEN(L_PendNeg)+1)),1,0),1)</f>
        <v>0</v>
      </c>
      <c r="BJ94" s="61" t="n">
        <f aca="false">IFERROR(IF(SUMPRODUCT((LEN(BE94)-LEN(SUBSTITUTE(BE94," "&amp;L_Pending&amp;" "," ")))/(LEN(L_Pending)+1))&gt;SUMPRODUCT((LEN(BE94)-LEN(SUBSTITUTE(BE94," "&amp;L_PendNeg&amp;" "," ")))/(LEN(L_PendNeg)+1))+SUMPRODUCT((LEN(BE94)-LEN(SUBSTITUTE(BE94," "&amp;L_PendPrep&amp;" "," ")))/(LEN(L_PendPrep)+1)),1,0),1)</f>
        <v>0</v>
      </c>
      <c r="BK94" s="61" t="n">
        <f aca="false">IFERROR(IF(SUMPRODUCT((LEN(BF94)-LEN(SUBSTITUTE(BF94," "&amp;L_PendStrict&amp;" "," ")))/(LEN(L_PendStrict)+1))&gt;SUMPRODUCT((LEN(BF94)-LEN(SUBSTITUTE(BF94," "&amp;L_PendNeg&amp;" "," ")))/(LEN(L_PendNeg)+1)),1,0),1)</f>
        <v>0</v>
      </c>
      <c r="BL94" s="61" t="n">
        <f aca="false">IF(ISNA(MATCH(TRIM(S94),L_EvidenceType,0)),0,BZ94)</f>
        <v>0</v>
      </c>
      <c r="BM94" s="61" t="str">
        <f aca="false">SUBSTITUTE(SUBSTITUTE(SUBSTITUTE(SUBSTITUTE(SUBSTITUTE(SUBSTITUTE(SUBSTITUTE(SUBSTITUTE(SUBSTITUTE(LOWER(Z94&amp;""),"1","0"),"2","0"),"3","0"),"4","0"),"5","0"),"6","0"),"7","0"),"8","0"),"9","0")</f>
        <v/>
      </c>
      <c r="BN94" s="61" t="str">
        <f aca="false">SUBSTITUTE(SUBSTITUTE(SUBSTITUTE(SUBSTITUTE(SUBSTITUTE(SUBSTITUTE(SUBSTITUTE(SUBSTITUTE(SUBSTITUTE(SUBSTITUTE(SUBSTITUTE(SUBSTITUTE(SUBSTITUTE(SUBSTITUTE(SUBSTITUTE(SUBSTITUTE(SUBSTITUTE(SUBSTITUTE(SUBSTITUTE(SUBSTITUTE(SUBSTITUTE(SUBSTITUTE(SUBSTITUTE(SUBSTITUTE(SUBSTITUTE(BM94,"b","a"),"c","a"),"d","a"),"e","a"),"f","a"),"g","a"),"h","a"),"i","a"),"j","a"),"k","a"),"l","a"),"m","a"),"n","a"),"o","a"),"p","a"),"q","a"),"r","a"),"s","a"),"t","a"),"u","a"),"v","a"),"w","a"),"x","a"),"y","a"),"z","a")</f>
        <v/>
      </c>
      <c r="BO94" s="61" t="str">
        <f aca="false">SUBSTITUTE(SUBSTITUTE(SUBSTITUTE(SUBSTITUTE(SUBSTITUTE(SUBSTITUTE(SUBSTITUTE(SUBSTITUTE(SUBSTITUTE(LOWER(W94&amp;""),"1","0"),"2","0"),"3","0"),"4","0"),"5","0"),"6","0"),"7","0"),"8","0"),"9","0")</f>
        <v/>
      </c>
      <c r="BP94" s="61" t="str">
        <f aca="false">SUBSTITUTE(SUBSTITUTE(SUBSTITUTE(SUBSTITUTE(SUBSTITUTE(SUBSTITUTE(SUBSTITUTE(SUBSTITUTE(SUBSTITUTE(SUBSTITUTE(SUBSTITUTE(SUBSTITUTE(SUBSTITUTE(SUBSTITUTE(SUBSTITUTE(SUBSTITUTE(SUBSTITUTE(SUBSTITUTE(SUBSTITUTE(SUBSTITUTE(SUBSTITUTE(SUBSTITUTE(SUBSTITUTE(SUBSTITUTE(SUBSTITUTE(BO94,"b","a"),"c","a"),"d","a"),"e","a"),"f","a"),"g","a"),"h","a"),"i","a"),"j","a"),"k","a"),"l","a"),"m","a"),"n","a"),"o","a"),"p","a"),"q","a"),"r","a"),"s","a"),"t","a"),"u","a"),"v","a"),"w","a"),"x","a"),"y","a"),"z","a")</f>
        <v/>
      </c>
      <c r="BQ94" s="61" t="n">
        <f aca="false">IFERROR(IF(AND(ISERROR(SEARCH(" mh"," "&amp;LOWER(W94))),ISNA(MATCH(LEFT(TRIM(BP94),255),{"0000a","000a","00a","0000aa","000aa","00aa","0aa","0000aaa","000aaa","00a00","0a00","0000-0000","00:00","a00","a0","00.00.0000","00/00/0000","00-00-0000","0000-00-00","0000/00/00","0000.00.00","00.00.00","00/00/00","00-00-00","0.00.0000","0/00/0000","0-00-0000"},0)),ISNA(MATCH(LEFT(TRIM(CA94),255),{"0000a","000a","00a","0000aa","000aa","00aa","0aa","0000aaa","000aaa","00a00","0a00","0000-0000","00:00","a00","a0","00.00.0000","00/00/0000","00-00-0000","0000-00-00","0000/00/00","0000.00.00","00.00.00","00/00/00","00-00-00","0.00.0000","0/00/0000","0-00-0000"},0)),LEN(CB94)&gt;=3,NOT(OR(SUBSTITUTE(CB94,"0","")="",AND(LEN(CB94)&gt;=4,CB94=REPT(LEFT(CB94),LEN(CB94))),ISNUMBER(MATCH(CB94,{"123","1234","12345","123456","1234567","12345678","0123","01234","012345","98765","987654","54321"},0)),AND(LEN(CB94)=8,LEFT(CB94,3)="202"))),OR(AND((LEN(CA94)-LEN(SUBSTITUTE(CA94,"a","")))&gt;=1,SUMPRODUCT(--ISNUMBER(SEARCH({"a0","a-0","a_0","a/0","a.0","a#0","0a","0-a","0_a","0/a"},BP94)))&gt;0),ISNUMBER(SEARCH("000000",BP94)))),1,0),0)</f>
        <v>0</v>
      </c>
      <c r="BR94" s="61" t="n">
        <f aca="false">IFERROR(LEN(SUBSTITUTE(CC94," ",""))-SUMPRODUCT((LEN(CC94)-LEN(SUBSTITUTE(CC94," "&amp;L_Role&amp;" "," ")))/(LEN(L_Role)+1)*LEN(L_Role)),0)</f>
        <v>0</v>
      </c>
      <c r="BS94" s="61" t="n">
        <f aca="false">IFERROR(LEN(SUBSTITUTE(CD94," ",""))-SUMPRODUCT((LEN(CD94)-LEN(SUBSTITUTE(CD94," "&amp;L_Role&amp;" "," ")))/(LEN(L_Role)+1)*LEN(L_Role)),0)</f>
        <v>0</v>
      </c>
      <c r="BT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94,"revision",""),"version",""),"jan",""),"feb",""),"mar",""),"apr",""),"may",""),"jun",""),"jul",""),"aug",""),"sep",""),"oct",""),"nov",""),"dec",""),"utc",""),"gmt",""),"myt",""),"bst",""),"rev",""),"ver",""),"b","a"),"c","a"),"d","a"),"e","a"),"f","a"),"g","a"),"h","a"),"i","a"),"j","a"),"k","a"),"l","a"),"m","a"),"n","a"),"o","a"),"p","a"),"q","a"),"r","a"),"s","a"),"t","a"),"u","a"),"v","a"),"w","a"),"x","a"),"y","a"),"z","a")</f>
        <v/>
      </c>
      <c r="BU94" s="61" t="str">
        <f aca="false">SUBSTITUTE(SUBSTITUTE(SUBSTITUTE(SUBSTITUTE(SUBSTITUTE(SUBSTITUTE(SUBSTITUTE(SUBSTITUTE(SUBSTITUTE(SUBSTITUTE(LEFT(BM94,FIND("0",BM94&amp;"0")-1),"-",""),"_",""),"/",""),".",""),"#",""),"\\",""),":","")," ",""),"(",""),")","")</f>
        <v/>
      </c>
      <c r="BV94" s="61" t="n">
        <f aca="false">0</f>
        <v>0</v>
      </c>
      <c r="BW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94&amp;""),"a",""),"b",""),"c",""),"d",""),"e",""),"f",""),"g",""),"h",""),"i",""),"j",""),"k",""),"l",""),"m",""),"n",""),"o",""),"p",""),"q",""),"r",""),"s",""),"t",""),"u",""),"v",""),"w",""),"x",""),"y",""),"z",""),"-",""),"_",""),"/",""),".",""),"#",""),"\\",""),":","")," ",""),"(",""),")","")</f>
        <v/>
      </c>
      <c r="BX94" s="61" t="str">
        <f aca="false">SUBSTITUTE(SUBSTITUTE(SUBSTITUTE(SUBSTITUTE(SUBSTITUTE(SUBSTITUTE(SUBSTITUTE(SUBSTITUTE(SUBSTITUTE(SUBSTITUTE(SUBSTITUTE(BM94,"0",""),"-",""),"_",""),"/",""),".",""),"#",""),"\\",""),":","")," ",""),"(",""),")","")</f>
        <v/>
      </c>
      <c r="BY94" s="62" t="n">
        <f aca="false">Q94-T7EarlyD*24/24</f>
        <v>46284.6458333333</v>
      </c>
      <c r="BZ94" s="61" t="n">
        <f aca="false">IFERROR(IF(IF(TRIM(S94)="Link / file path",AND(LEN(TRIM(Z94))&gt;=5,SUMPRODUCT(--ISNUMBER(SEARCH({"http","www.","\\",":\",".pdf",".jpg",".jpeg",".png",".heic",".xls",".doc",".msg",".eml",".ppt",".txt",".zip"},Z94)))&gt;0),AND(ISERROR(FIND(" ",TRIM(Z94))),NOT(OR(SUMPRODUCT(--ISNUMBER(FIND({",",";","&amp;","+"},Z94)))&gt;0,SUMPRODUCT(--ISNUMBER(SEARCH({"0/aa","0\\aa"},BN94)))&gt;0)),NOT(SUMPRODUCT(--ISNUMBER(SEARCH({"http","www.","\\",":\",".pdf",".jpg",".jpeg",".png",".heic",".xls",".doc",".msg",".eml",".ppt",".txt",".zip"},Z94)))&gt;0),NOT(LOWER(TRIM(Z94))=LOWER(Flights!$F$8)),ISNA(MATCH(BU94,{"mh","rev","revision","ver","version","v","r","a","b","seat","tray","row","gate","bay","stand","page","pg","item","line","no","cart","galley","flight","flt","table","box","bag","oven","etd","eta","std","sta","atd","ata","qty","pax","x","time","tel","ph","mob","day","wk","week","utc","gmt","myt","lt"},0)),NOT(OR(ISNUMBER(MATCH(LEFT(BN94,255),{"0000a","000a","00a","0000aa","000aa","00aa","0aa","0000aaa","000aaa","00a00","0a00","0000-0000","00:00","a00","a0","00.00.0000","00/00/0000","00-00-0000","0000-00-00","0000/00/00","0000.00.00","00.00.00","00/00/00","00-00-00","0.00.0000","0/00/0000","0-00-0000"},0)),ISNUMBER(MATCH(LEFT(BT94,255),{"0000a","000a","00a","0000aa","000aa","00aa","0aa","0000aaa","000aaa","00a00","0a00","0000-0000","00:00","a00","a0","00.00.0000","00/00/0000","00-00-0000","0000-00-00","0000/00/00","0000.00.00","00.00.00","00/00/00","00-00-00","0.00.0000","0/00/0000","0-00-0000"},0)))),NOT(OR(AND(BW94&lt;&gt;"",SUBSTITUTE(BW94,"0","")=""),AND(LEN(BW94)&gt;=4,BW94=REPT(LEFT(BW94),LEN(BW94))),ISNUMBER(MATCH(BW94,{"123","1234","12345","123456","1234567","12345678","0123","01234","012345","98765","987654","54321"},0)),ISNUMBER(MATCH(BX94,{"x","xx","xxx","xxxx","xxxxx","abc","abcd","nil","na","nan","test","tbc","tba","tbd","dummy","sample","example","eg","zz","zzz","none","null","xyz","qwe","asd","id","ref"},0)),AND(LEN(BW94)=8,BX94="",OR(LEFT(BW94,3)="202",ISNUMBER(MATCH(RIGHT(BW94,4),{"2025","2026","2027"},0)))))),OR(AND((LEN(BT94)-LEN(SUBSTITUTE(BT94,"a","")))&gt;=1,(LEN(BN94)-LEN(SUBSTITUTE(BN94,"0","")))&gt;=2,SUMPRODUCT(--ISNUMBER(SEARCH({"a0","a-0","a_0","a/0","a.0","a#0","0a","0-a","0_a","0/a"},BN94)))&gt;0),AND((LEN(BN94)-LEN(SUBSTITUTE(BN94,"a","")))=0,(LEN(BN94)-LEN(SUBSTITUTE(BN94,"0","")))&gt;=5)))),1,0),0)</f>
        <v>0</v>
      </c>
      <c r="CA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94,"revision",""),"version",""),"jan",""),"feb",""),"mar",""),"apr",""),"may",""),"jun",""),"jul",""),"aug",""),"sep",""),"oct",""),"nov",""),"dec",""),"utc",""),"gmt",""),"myt",""),"bst",""),"rev",""),"ver",""),"b","a"),"c","a"),"d","a"),"e","a"),"f","a"),"g","a"),"h","a"),"i","a"),"j","a"),"k","a"),"l","a"),"m","a"),"n","a"),"o","a"),"p","a"),"q","a"),"r","a"),"s","a"),"t","a"),"u","a"),"v","a"),"w","a"),"x","a"),"y","a"),"z","a")</f>
        <v/>
      </c>
      <c r="CB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94&amp;""),"a",""),"b",""),"c",""),"d",""),"e",""),"f",""),"g",""),"h",""),"i",""),"j",""),"k",""),"l",""),"m",""),"n",""),"o",""),"p",""),"q",""),"r",""),"s",""),"t",""),"u",""),"v",""),"w",""),"x",""),"y",""),"z",""),"-",""),"_",""),"/",""),".",""),"#",""),"\\",""),":","")," ",""),"(",""),")","")</f>
        <v/>
      </c>
      <c r="CC94" s="0" t="str">
        <f aca="false">" "&amp;TRIM(SUBSTITUTE(SUBSTITUTE(SUBSTITUTE(SUBSTITUTE(SUBSTITUTE(SUBSTITUTE(SUBSTITUTE(SUBSTITUTE(SUBSTITUTE(SUBSTITUTE(SUBSTITUTE(SUBSTITUTE(SUBSTITUTE(SUBSTITUTE(SUBSTITUTE(SUBSTITUTE(SUBSTITUTE(SUBSTITUTE(SUBSTITUTE(SUBSTITUTE(SUBSTITUTE(SUBSTITUTE(SUBSTITUTE(SUBSTITUTE(LOWER(T94&amp;""),CHAR(10)," "),CHAR(13)," "),CHAR(9)," "),CHAR(160)," "),"."," "),","," "),"-"," "),"/"," "),"("," "),")"," "),":"," "),";"," "),"_"," "),"–"," "),"?"," "),"!"," "),"*"," "),"["," "),"]"," "),"'"," "),"#"," "),"+"," "),"&amp;"," "),"\"," "))&amp;" "</f>
        <v>  </v>
      </c>
      <c r="CD94" s="0" t="str">
        <f aca="false">" "&amp;TRIM(SUBSTITUTE(SUBSTITUTE(SUBSTITUTE(SUBSTITUTE(SUBSTITUTE(SUBSTITUTE(SUBSTITUTE(SUBSTITUTE(SUBSTITUTE(SUBSTITUTE(SUBSTITUTE(SUBSTITUTE(SUBSTITUTE(SUBSTITUTE(SUBSTITUTE(SUBSTITUTE(SUBSTITUTE(SUBSTITUTE(SUBSTITUTE(SUBSTITUTE(SUBSTITUTE(SUBSTITUTE(SUBSTITUTE(SUBSTITUTE(LOWER(AE94&amp;""),CHAR(10)," "),CHAR(13)," "),CHAR(9)," "),CHAR(160)," "),"."," "),","," "),"-"," "),"/"," "),"("," "),")"," "),":"," "),";"," "),"_"," "),"–"," "),"?"," "),"!"," "),"*"," "),"["," "),"]"," "),"'"," "),"#"," "),"+"," "),"&amp;"," "),"\"," "))&amp;" "</f>
        <v>  </v>
      </c>
      <c r="CE94" s="68" t="n">
        <f aca="false">IFERROR(IF(AND(LEN(AU94)&gt;0,LEN(AU94)=LEN(AX94),OR(TRIM(MID(SUBSTITUTE(TRIM(CC94)," ",REPT(" ",60)),1,60))="",ISNUMBER(SEARCH(" "&amp;TRIM(MID(SUBSTITUTE(TRIM(CC94)," ",REPT(" ",60)),1,60))&amp;" ",CD94))),OR(TRIM(MID(SUBSTITUTE(TRIM(CC94)," ",REPT(" ",60)),61,60))="",ISNUMBER(SEARCH(" "&amp;TRIM(MID(SUBSTITUTE(TRIM(CC94)," ",REPT(" ",60)),61,60))&amp;" ",CD94))),OR(TRIM(MID(SUBSTITUTE(TRIM(CC94)," ",REPT(" ",60)),121,60))="",ISNUMBER(SEARCH(" "&amp;TRIM(MID(SUBSTITUTE(TRIM(CC94)," ",REPT(" ",60)),121,60))&amp;" ",CD94)))),1,0),0)</f>
        <v>0</v>
      </c>
      <c r="CG94" s="68" t="n">
        <f aca="false">IFERROR(LEN(SUBSTITUTE(BF94," ",""))-SUMPRODUCT((LEN(BF94)-LEN(SUBSTITUTE(BF94," "&amp;L_NAFiller&amp;" "," ")))/(LEN(L_NAFiller)+1)*LEN(L_NAFiller)),0)</f>
        <v>0</v>
      </c>
    </row>
    <row r="95" customFormat="false" ht="39.75" hidden="false" customHeight="true" outlineLevel="0" collapsed="false">
      <c r="A95" s="57" t="s">
        <v>586</v>
      </c>
      <c r="B95" s="57" t="s">
        <v>218</v>
      </c>
      <c r="C95" s="57" t="str">
        <f aca="false">Flights!$F$8</f>
        <v>MH0088</v>
      </c>
      <c r="D95" s="58" t="n">
        <f aca="false">Flights!$D$8</f>
        <v>46305</v>
      </c>
      <c r="E95" s="57" t="str">
        <f aca="false">Flights!$G$8&amp;"-"&amp;Flights!$H$8</f>
        <v>KUL-NRT</v>
      </c>
      <c r="F95" s="57" t="str">
        <f aca="false">Flights!$K$8</f>
        <v>BC</v>
      </c>
      <c r="G95" s="57" t="s">
        <v>81</v>
      </c>
      <c r="H95" s="57" t="s">
        <v>378</v>
      </c>
      <c r="I95" s="57" t="s">
        <v>398</v>
      </c>
      <c r="J95" s="57" t="s">
        <v>402</v>
      </c>
      <c r="K95" s="67" t="s">
        <v>403</v>
      </c>
      <c r="L95" s="67" t="s">
        <v>382</v>
      </c>
      <c r="M95" s="67"/>
      <c r="N95" s="67" t="s">
        <v>383</v>
      </c>
      <c r="O95" s="67"/>
      <c r="P95" s="57" t="s">
        <v>187</v>
      </c>
      <c r="Q95" s="59" t="n">
        <f aca="false">ROUND((Flights!$AC$8)*1440,0)/1440</f>
        <v>46298.6458333333</v>
      </c>
      <c r="R95" s="59" t="n">
        <f aca="false">Q95+(IF(AND(INDEX(TZ_DSTS,MATCH(P95,TZ_STN,0))&lt;&gt;"",Q95&gt;=INDEX(TZ_DSTS,MATCH(P95,TZ_STN,0)),Q95&lt;INDEX(TZ_DSTE,MATCH(P95,TZ_STN,0))),INDEX(TZ_DST,MATCH(P95,TZ_STN,0)),INDEX(TZ_STD,MATCH(P95,TZ_STN,0))))/24</f>
        <v>46298.9791666667</v>
      </c>
      <c r="S95" s="60"/>
      <c r="T95" s="60"/>
      <c r="U95" s="60"/>
      <c r="V95" s="60"/>
      <c r="W95" s="61"/>
      <c r="X95" s="60"/>
      <c r="Y95" s="60"/>
      <c r="Z95" s="60"/>
      <c r="AA95" s="60"/>
      <c r="AB95" s="60"/>
      <c r="AC95" s="60"/>
      <c r="AD95" s="66"/>
      <c r="AE95" s="60"/>
      <c r="AF95" s="61" t="str">
        <f aca="false">IF(AND(ISNUMBER(X95),ISNUMBER(Y95)),Y95-X95,"")</f>
        <v/>
      </c>
      <c r="AG95" s="62" t="str">
        <f aca="false">IF(ISNUMBER(AD95),AD95-(IF(AND(INDEX(TZ_DSTS,MATCH(P95,TZ_STN,0))&lt;&gt;"",(AD95-INDEX(TZ_STD,MATCH(P95,TZ_STN,0))/24)&gt;=INDEX(TZ_DSTS,MATCH(P95,TZ_STN,0)),(AD95-INDEX(TZ_STD,MATCH(P95,TZ_STN,0))/24)&lt;INDEX(TZ_DSTE,MATCH(P95,TZ_STN,0))),INDEX(TZ_DST,MATCH(P95,TZ_STN,0)),INDEX(TZ_STD,MATCH(P95,TZ_STN,0))))/24,"")</f>
        <v/>
      </c>
      <c r="AH95" s="65" t="str">
        <f aca="false">IFERROR(IF(N95="N/A – rule",IF(OR(TRIM(U95)="",TRIM(U95)="N/A",TRIM(U95)="Not started"),"N/A – RULE","INVALID – this check does not apply to this aircraft: clear the status (or correct the fleet on Flights)"),IF(TRIM(U95)="N/A",IF(AT95=0,"INVALID – N/A not permitted for this check",IF(AND(TRIM(AB95)&lt;&gt;"",TRIM(AB95)&lt;&gt;"Closed"),"INVALID – corrective action still open",IF(AND(NOT(OR(LEN(AZ95)&lt;15,ISNUMBER(MATCH(AZ95,L_Placeholder,0)))),BK95=0,CG95&gt;=8,NOT(OR(LEN(AU95)&lt;2,ISNUMBER(MATCH(AU95,L_Placeholder,0)))),BR95&gt;=3,NOT(OR(LEN(AX95)&lt;2,ISNUMBER(MATCH(AX95,L_Placeholder,0)))),BS95&gt;=3,TRIM(AE95)&lt;&gt;TRIM(T95),AX95&lt;&gt;AU95,CE95=0),"N/A – JUSTIFIED","INVALID – N/A needs a real, settled reason (not 'not applicable' / 'as above' / TBC), a named PIC and a different named verifier"))),IF(OR(TRIM(U95)="Pass",TRIM(U95)="Pass after CA"),IF(NOT(ISNUMBER(AD95)),"INVALID – completion time missing",IF(OR(OR(LEN(AU95)&lt;2,ISNUMBER(MATCH(AU95,L_Placeholder,0))),BR95&lt;3),"INVALID – PIC missing or not a named person (a role such as QA / CSM is not a name)",IF(OR(LEN(AV95)&lt;2,ISNUMBER(MATCH(AV95,L_Placeholder,0))),"INVALID – result / assessment missing",IF(OR(OR(LEN(AW95)&lt;3,ISNUMBER(MATCH(AW95,L_Placeholder,0))),SUMPRODUCT(--ISNUMBER(SEARCH(" "&amp;L_EvidencePhrase&amp;" ",BD95)))&gt;0,BI95=1),"INVALID – evidence missing, placeholder or not yet on file",IF(ISNA(MATCH(TRIM(S95),L_EvidenceType,0)),"INVALID – choose the evidence type from the list (column S)",IF(BL95=0,"INVALID – evidence ID must be the record's own ID only (e.g. SF-2210, IMG_2231, 1045521); a link / file name needs type 'Link / file path'",IF(OR(OR(LEN(AX95)&lt;2,ISNUMBER(MATCH(AX95,L_Placeholder,0))),BS95&lt;3),"INVALID – verifier missing or not a named person (a role such as QA / CSM is not a name)",IF(OR(AX95=AU95,CE95=1,AND(LEN(AU95)&gt;=4,ISNUMBER(SEARCH(AU95,AX95))),AND(LEN(AX95)&gt;=4,ISNUMBER(SEARCH(AX95,AU95)))),"INVALID – verifier must be a different, named person (not the PIC or a role)",IF(BH95=1,"INVALID – result not yet available (awaiting / TBC)",IF(BG95=1,"INVALID – result describes a problem: record Fail, then Pass after CA (or reword if it is not a problem)",IF(BV95=1,"INVALID – wording says not on board: an on-board confirmation needs the item loaded",IF(AND(AQ95=1,OR(OR(LEN(AY95)&lt;3,ISNUMBER(MATCH(AY95,L_Placeholder,0))),BJ95=1,BQ95=0)),"INVALID – batch ID missing, placeholder or not an ID (e.g. PASB-261008-BC-017)",IF(AND(AR95=1,OR(NOT(ISNUMBER(X95)),NOT(ISNUMBER(Y95)))),"INVALID – expected/actual qty missing",IF(AND(AR95=1,OR(X95&lt;=0,Y95&lt;0)),"INVALID – expected qty must be above 0 and actual not negative",IF(BB95&lt;&gt;"",BB95,IF(AND(AS95=1,Documents!$J$8&lt;&gt;"ON FILE"),"INVALID – GLD not on file (Documents sheet)",IF(AND(AS95=2,Documents!$O$8&lt;&gt;"ON FILE"),"INVALID – menu checklist not on file (Documents sheet)",IF(AND(AS95=3,NOT(ISNUMBER(Flights!$AX$8))),"INVALID – enter carrying flight KUL departure (Flights AX)",IF(AND(AS95=3,OR(Flights!$AZ$8&gt;Flights!$AA$8,Flights!$AX$8&lt;Flights!$AA$8-3)),"INVALID – carrying flight (Flights AX) cannot arrive before this leg's STD, or is over 3 days early",IF(AG95&gt;AsOfUTC,"INVALID – completion time is in the future",IF(AND(ISNUMBER(BY95),AG95&lt;BY95),IF(H95="Physical uplift","INVALID – before uplift window (cannot confirm loading)","INVALID – before valid window"),IF(AG95&gt;Flights!$AA$8,"INVALID – completed after departure (cannot establish readiness)",IF(AND(H95="Preparation",AG95&gt;=IF(ISNUMBER(Flights!$BA$8),MIN(Flights!$BA$8,Flights!$AA$8),Flights!$AA$8)),"INVALID – completed after loading / departure (cannot establish readiness)",IF(AND(H95="Physical uplift",AG95&gt;Q95),"INVALID – recorded after the loading flight departed",IF(AG95&gt;Q95,"COMPLETE – LATE","COMPLETE"))))))))))))))))))))))))),IF(TRIM(U95)="Fail","FAIL – DISCREPANCY",IF(AND(TRIM(U95)&lt;&gt;"",TRIM(U95)&lt;&gt;"Not started",TRIM(U95)&lt;&gt;"In progress"),"INVALID – unrecognised status (use the list)",IF(AsOfUTC&gt;Q95,"OVERDUE",IF(N95="Clarification required","OPEN – CLARIFICATION","OPEN"))))))),"INVALID – error value in an input cell")</f>
        <v>OPEN</v>
      </c>
      <c r="AI95" s="61" t="n">
        <f aca="false">IF(OR(AH95="N/A – RULE",AH95="N/A – JUSTIFIED"),0,1)</f>
        <v>1</v>
      </c>
      <c r="AJ95" s="61" t="n">
        <f aca="false">IF(LEFT(AH95,8)="COMPLETE",1,0)</f>
        <v>0</v>
      </c>
      <c r="AK95" s="61" t="n">
        <f aca="false">IF(AND(AI95=1,AJ95=0,AsOfUTC&gt;Q95),1,0)</f>
        <v>0</v>
      </c>
      <c r="AL95" s="61" t="n">
        <f aca="false">IFERROR(IF(AND(AI95=1,OR(TRIM(U95)="Fail",AND(TRIM(AB95)&lt;&gt;"",TRIM(AB95)&lt;&gt;"Closed"),AND(ISNUMBER(AF95),AF95&lt;&gt;0,TRIM(U95)&lt;&gt;"Pass after CA"))),1,0),1)</f>
        <v>0</v>
      </c>
      <c r="AM95" s="61" t="n">
        <f aca="false">IF(LEFT(AH95,7)="INVALID",1,0)</f>
        <v>0</v>
      </c>
      <c r="AN95" s="61" t="n">
        <f aca="false">IF(AND(N95="Clarification required",AI95=1,AJ95=0),1,0)</f>
        <v>0</v>
      </c>
      <c r="AO95" s="61" t="str">
        <f aca="false">IF(AK95=1,SUM(AK$5:AK95),"")</f>
        <v/>
      </c>
      <c r="AP95" s="61" t="str">
        <f aca="false">IF(AL95=1,SUM(AL$5:AL95),"")</f>
        <v/>
      </c>
      <c r="AQ95" s="61" t="n">
        <v>0</v>
      </c>
      <c r="AR95" s="61" t="n">
        <v>0</v>
      </c>
      <c r="AS95" s="61" t="n">
        <v>0</v>
      </c>
      <c r="AT95" s="61" t="n">
        <v>0</v>
      </c>
      <c r="AU95" s="61" t="str">
        <f aca="false">SUBSTITUTE(SUBSTITUTE(SUBSTITUTE(SUBSTITUTE(SUBSTITUTE(SUBSTITUTE(SUBSTITUTE(SUBSTITUTE(SUBSTITUTE(SUBSTITUTE(SUBSTITUTE(SUBSTITUTE(SUBSTITUTE(SUBSTITUTE(SUBSTITUTE(SUBSTITUTE(LOWER(T95&amp;""),CHAR(10),""),CHAR(13),""),CHAR(9),""),CHAR(160),"")," ",""),".",""),"-",""),"/",""),"?",""),"_",""),",",""),"[",""),"]",""),"(",""),")",""),"*","")</f>
        <v/>
      </c>
      <c r="AV95" s="61" t="str">
        <f aca="false">SUBSTITUTE(SUBSTITUTE(SUBSTITUTE(SUBSTITUTE(SUBSTITUTE(SUBSTITUTE(SUBSTITUTE(SUBSTITUTE(SUBSTITUTE(SUBSTITUTE(SUBSTITUTE(SUBSTITUTE(SUBSTITUTE(SUBSTITUTE(SUBSTITUTE(SUBSTITUTE(LOWER(V95&amp;""),CHAR(10),""),CHAR(13),""),CHAR(9),""),CHAR(160),"")," ",""),".",""),"-",""),"/",""),"?",""),"_",""),",",""),"[",""),"]",""),"(",""),")",""),"*","")</f>
        <v/>
      </c>
      <c r="AW95" s="61" t="str">
        <f aca="false">SUBSTITUTE(SUBSTITUTE(SUBSTITUTE(SUBSTITUTE(SUBSTITUTE(SUBSTITUTE(SUBSTITUTE(SUBSTITUTE(SUBSTITUTE(SUBSTITUTE(SUBSTITUTE(SUBSTITUTE(SUBSTITUTE(SUBSTITUTE(SUBSTITUTE(SUBSTITUTE(LOWER(Z95&amp;""),CHAR(10),""),CHAR(13),""),CHAR(9),""),CHAR(160),"")," ",""),".",""),"-",""),"/",""),"?",""),"_",""),",",""),"[",""),"]",""),"(",""),")",""),"*","")</f>
        <v/>
      </c>
      <c r="AX95" s="61" t="str">
        <f aca="false">SUBSTITUTE(SUBSTITUTE(SUBSTITUTE(SUBSTITUTE(SUBSTITUTE(SUBSTITUTE(SUBSTITUTE(SUBSTITUTE(SUBSTITUTE(SUBSTITUTE(SUBSTITUTE(SUBSTITUTE(SUBSTITUTE(SUBSTITUTE(SUBSTITUTE(SUBSTITUTE(LOWER(AE95&amp;""),CHAR(10),""),CHAR(13),""),CHAR(9),""),CHAR(160),"")," ",""),".",""),"-",""),"/",""),"?",""),"_",""),",",""),"[",""),"]",""),"(",""),")",""),"*","")</f>
        <v/>
      </c>
      <c r="AY95" s="61" t="str">
        <f aca="false">SUBSTITUTE(SUBSTITUTE(SUBSTITUTE(SUBSTITUTE(SUBSTITUTE(SUBSTITUTE(SUBSTITUTE(SUBSTITUTE(SUBSTITUTE(SUBSTITUTE(SUBSTITUTE(SUBSTITUTE(SUBSTITUTE(SUBSTITUTE(SUBSTITUTE(SUBSTITUTE(LOWER(W95&amp;""),CHAR(10),""),CHAR(13),""),CHAR(9),""),CHAR(160),"")," ",""),".",""),"-",""),"/",""),"?",""),"_",""),",",""),"[",""),"]",""),"(",""),")",""),"*","")</f>
        <v/>
      </c>
      <c r="AZ95" s="61" t="str">
        <f aca="false">SUBSTITUTE(SUBSTITUTE(SUBSTITUTE(SUBSTITUTE(SUBSTITUTE(SUBSTITUTE(SUBSTITUTE(SUBSTITUTE(SUBSTITUTE(SUBSTITUTE(SUBSTITUTE(SUBSTITUTE(SUBSTITUTE(SUBSTITUTE(SUBSTITUTE(SUBSTITUTE(LOWER(AC95&amp;""),CHAR(10),""),CHAR(13),""),CHAR(9),""),CHAR(160),"")," ",""),".",""),"-",""),"/",""),"?",""),"_",""),",",""),"[",""),"]",""),"(",""),")",""),"*","")</f>
        <v/>
      </c>
      <c r="BA95" s="61" t="str">
        <f aca="false">SUBSTITUTE(SUBSTITUTE(SUBSTITUTE(SUBSTITUTE(SUBSTITUTE(SUBSTITUTE(SUBSTITUTE(SUBSTITUTE(SUBSTITUTE(SUBSTITUTE(SUBSTITUTE(SUBSTITUTE(SUBSTITUTE(SUBSTITUTE(SUBSTITUTE(SUBSTITUTE(LOWER(AA95&amp;""),CHAR(10),""),CHAR(13),""),CHAR(9),""),CHAR(160),"")," ",""),".",""),"-",""),"/",""),"?",""),"_",""),",",""),"[",""),"]",""),"(",""),")",""),"*","")</f>
        <v/>
      </c>
      <c r="BB95" s="61" t="str">
        <f aca="false">IF(AND(TRIM(U95)="Pass",ISNUMBER(AF95)),IF(AF95&lt;&gt;0,"INVALID – qty variance: use Fail or Pass after CA",""),"")&amp;IF(AND(TRIM(U95)="Pass after CA",ISNUMBER(AF95)),IF(AF95&lt;&gt;0,"INVALID – after the corrective action the actual qty must equal expected (update Actual)",""),"")&amp;IF(AND(TRIM(U95)="Pass",TRIM(AB95)&lt;&gt;"",TRIM(AB95)&lt;&gt;"Closed"),"INVALID – corrective action not closed: use Fail, then Pass after CA","")&amp;IF(AND(LEN(BA95)&gt;=2,ISNA(MATCH(LEFT(BA95,255),L_Placeholder,0)),TRIM(AB95)=""),"INVALID – CA status missing for the recorded corrective action","")&amp;IF(AND(TRIM(U95)="Pass after CA",OR(OR(LEN(BA95)&lt;5,ISNUMBER(MATCH(BA95,L_Placeholder,0))),TRIM(AB95)&lt;&gt;"Closed")),"INVALID – corrective action not recorded/closed","")</f>
        <v/>
      </c>
      <c r="BC95" s="61" t="str">
        <f aca="false">" "&amp;TRIM(SUBSTITUTE(SUBSTITUTE(SUBSTITUTE(SUBSTITUTE(SUBSTITUTE(SUBSTITUTE(SUBSTITUTE(SUBSTITUTE(SUBSTITUTE(SUBSTITUTE(SUBSTITUTE(SUBSTITUTE(SUBSTITUTE(SUBSTITUTE(SUBSTITUTE(SUBSTITUTE(SUBSTITUTE(SUBSTITUTE(SUBSTITUTE(SUBSTITUTE(SUBSTITUTE(SUBSTITUTE(SUBSTITUTE(SUBSTITUTE(LOWER(V95&amp;""),CHAR(10)," "),CHAR(13)," "),CHAR(9)," "),CHAR(160)," "),"."," "),","," "),"-"," "),"/"," "),"("," "),")"," "),":"," "),";"," "),"_"," "),"–"," "),"?"," "),"!"," "),"*"," "),"["," "),"]"," "),"'"," "),"#"," "),"+"," "),"&amp;"," "),"\"," "))&amp;" "</f>
        <v>  </v>
      </c>
      <c r="BD95" s="61" t="str">
        <f aca="false">" "&amp;TRIM(SUBSTITUTE(SUBSTITUTE(SUBSTITUTE(SUBSTITUTE(SUBSTITUTE(SUBSTITUTE(SUBSTITUTE(SUBSTITUTE(SUBSTITUTE(SUBSTITUTE(SUBSTITUTE(SUBSTITUTE(SUBSTITUTE(SUBSTITUTE(SUBSTITUTE(SUBSTITUTE(SUBSTITUTE(SUBSTITUTE(SUBSTITUTE(SUBSTITUTE(SUBSTITUTE(SUBSTITUTE(SUBSTITUTE(SUBSTITUTE(LOWER(Z95&amp;""),CHAR(10)," "),CHAR(13)," "),CHAR(9)," "),CHAR(160)," "),"."," "),","," "),"-"," "),"/"," "),"("," "),")"," "),":"," "),";"," "),"_"," "),"–"," "),"?"," "),"!"," "),"*"," "),"["," "),"]"," "),"'"," "),"#"," "),"+"," "),"&amp;"," "),"\"," "))&amp;" "</f>
        <v>  </v>
      </c>
      <c r="BE95" s="61" t="str">
        <f aca="false">" "&amp;TRIM(SUBSTITUTE(SUBSTITUTE(SUBSTITUTE(SUBSTITUTE(SUBSTITUTE(SUBSTITUTE(SUBSTITUTE(SUBSTITUTE(SUBSTITUTE(SUBSTITUTE(SUBSTITUTE(SUBSTITUTE(SUBSTITUTE(SUBSTITUTE(SUBSTITUTE(SUBSTITUTE(SUBSTITUTE(SUBSTITUTE(SUBSTITUTE(SUBSTITUTE(SUBSTITUTE(SUBSTITUTE(SUBSTITUTE(SUBSTITUTE(LOWER(W95&amp;""),CHAR(10)," "),CHAR(13)," "),CHAR(9)," "),CHAR(160)," "),"."," "),","," "),"-"," "),"/"," "),"("," "),")"," "),":"," "),";"," "),"_"," "),"–"," "),"?"," "),"!"," "),"*"," "),"["," "),"]"," "),"'"," "),"#"," "),"+"," "),"&amp;"," "),"\"," "))&amp;" "</f>
        <v>  </v>
      </c>
      <c r="BF95" s="61" t="str">
        <f aca="false">" "&amp;TRIM(SUBSTITUTE(SUBSTITUTE(SUBSTITUTE(SUBSTITUTE(SUBSTITUTE(SUBSTITUTE(SUBSTITUTE(SUBSTITUTE(SUBSTITUTE(SUBSTITUTE(SUBSTITUTE(SUBSTITUTE(SUBSTITUTE(SUBSTITUTE(SUBSTITUTE(SUBSTITUTE(SUBSTITUTE(SUBSTITUTE(SUBSTITUTE(SUBSTITUTE(SUBSTITUTE(SUBSTITUTE(SUBSTITUTE(SUBSTITUTE(LOWER(AC95&amp;""),CHAR(10)," "),CHAR(13)," "),CHAR(9)," "),CHAR(160)," "),"."," "),","," "),"-"," "),"/"," "),"("," "),")"," "),":"," "),";"," "),"_"," "),"–"," "),"?"," "),"!"," "),"*"," "),"["," "),"]"," "),"'"," "),"#"," "),"+"," "),"&amp;"," "),"\"," "))&amp;" "</f>
        <v>  </v>
      </c>
      <c r="BG95" s="61" t="n">
        <f aca="false">IFERROR(IF(AND(TRIM(U95)="Pass",SUMPRODUCT((LEN(BC95)-LEN(SUBSTITUTE(BC95," "&amp;L_ResultBad&amp;" "," ")))/(LEN(L_ResultBad)+1))&gt;SUMPRODUCT((LEN(BC95)-LEN(SUBSTITUTE(BC95," "&amp;L_NegPhrase&amp;" "," ")))/(LEN(L_NegPhrase)+1))),1,0),0)</f>
        <v>0</v>
      </c>
      <c r="BH95" s="61" t="n">
        <f aca="false">IFERROR(IF(SUMPRODUCT((LEN(BC95)-LEN(SUBSTITUTE(BC95," "&amp;L_Pending&amp;" "," ")))/(LEN(L_Pending)+1))&gt;SUMPRODUCT((LEN(BC95)-LEN(SUBSTITUTE(BC95," "&amp;L_PendNeg&amp;" "," ")))/(LEN(L_PendNeg)+1))+SUMPRODUCT((LEN(BC95)-LEN(SUBSTITUTE(BC95," "&amp;L_PendPrep&amp;" "," ")))/(LEN(L_PendPrep)+1)),1,0),1)</f>
        <v>0</v>
      </c>
      <c r="BI95" s="61" t="n">
        <f aca="false">IFERROR(IF(SUMPRODUCT((LEN(BD95)-LEN(SUBSTITUTE(BD95," "&amp;L_PendStrict&amp;" "," ")))/(LEN(L_PendStrict)+1))&gt;SUMPRODUCT((LEN(BD95)-LEN(SUBSTITUTE(BD95," "&amp;L_PendNeg&amp;" "," ")))/(LEN(L_PendNeg)+1)),1,0),1)</f>
        <v>0</v>
      </c>
      <c r="BJ95" s="61" t="n">
        <f aca="false">IFERROR(IF(SUMPRODUCT((LEN(BE95)-LEN(SUBSTITUTE(BE95," "&amp;L_Pending&amp;" "," ")))/(LEN(L_Pending)+1))&gt;SUMPRODUCT((LEN(BE95)-LEN(SUBSTITUTE(BE95," "&amp;L_PendNeg&amp;" "," ")))/(LEN(L_PendNeg)+1))+SUMPRODUCT((LEN(BE95)-LEN(SUBSTITUTE(BE95," "&amp;L_PendPrep&amp;" "," ")))/(LEN(L_PendPrep)+1)),1,0),1)</f>
        <v>0</v>
      </c>
      <c r="BK95" s="61" t="n">
        <f aca="false">IFERROR(IF(SUMPRODUCT((LEN(BF95)-LEN(SUBSTITUTE(BF95," "&amp;L_PendStrict&amp;" "," ")))/(LEN(L_PendStrict)+1))&gt;SUMPRODUCT((LEN(BF95)-LEN(SUBSTITUTE(BF95," "&amp;L_PendNeg&amp;" "," ")))/(LEN(L_PendNeg)+1)),1,0),1)</f>
        <v>0</v>
      </c>
      <c r="BL95" s="61" t="n">
        <f aca="false">IF(ISNA(MATCH(TRIM(S95),L_EvidenceType,0)),0,BZ95)</f>
        <v>0</v>
      </c>
      <c r="BM95" s="61" t="str">
        <f aca="false">SUBSTITUTE(SUBSTITUTE(SUBSTITUTE(SUBSTITUTE(SUBSTITUTE(SUBSTITUTE(SUBSTITUTE(SUBSTITUTE(SUBSTITUTE(LOWER(Z95&amp;""),"1","0"),"2","0"),"3","0"),"4","0"),"5","0"),"6","0"),"7","0"),"8","0"),"9","0")</f>
        <v/>
      </c>
      <c r="BN95" s="61" t="str">
        <f aca="false">SUBSTITUTE(SUBSTITUTE(SUBSTITUTE(SUBSTITUTE(SUBSTITUTE(SUBSTITUTE(SUBSTITUTE(SUBSTITUTE(SUBSTITUTE(SUBSTITUTE(SUBSTITUTE(SUBSTITUTE(SUBSTITUTE(SUBSTITUTE(SUBSTITUTE(SUBSTITUTE(SUBSTITUTE(SUBSTITUTE(SUBSTITUTE(SUBSTITUTE(SUBSTITUTE(SUBSTITUTE(SUBSTITUTE(SUBSTITUTE(SUBSTITUTE(BM95,"b","a"),"c","a"),"d","a"),"e","a"),"f","a"),"g","a"),"h","a"),"i","a"),"j","a"),"k","a"),"l","a"),"m","a"),"n","a"),"o","a"),"p","a"),"q","a"),"r","a"),"s","a"),"t","a"),"u","a"),"v","a"),"w","a"),"x","a"),"y","a"),"z","a")</f>
        <v/>
      </c>
      <c r="BO95" s="61" t="str">
        <f aca="false">SUBSTITUTE(SUBSTITUTE(SUBSTITUTE(SUBSTITUTE(SUBSTITUTE(SUBSTITUTE(SUBSTITUTE(SUBSTITUTE(SUBSTITUTE(LOWER(W95&amp;""),"1","0"),"2","0"),"3","0"),"4","0"),"5","0"),"6","0"),"7","0"),"8","0"),"9","0")</f>
        <v/>
      </c>
      <c r="BP95" s="61" t="str">
        <f aca="false">SUBSTITUTE(SUBSTITUTE(SUBSTITUTE(SUBSTITUTE(SUBSTITUTE(SUBSTITUTE(SUBSTITUTE(SUBSTITUTE(SUBSTITUTE(SUBSTITUTE(SUBSTITUTE(SUBSTITUTE(SUBSTITUTE(SUBSTITUTE(SUBSTITUTE(SUBSTITUTE(SUBSTITUTE(SUBSTITUTE(SUBSTITUTE(SUBSTITUTE(SUBSTITUTE(SUBSTITUTE(SUBSTITUTE(SUBSTITUTE(SUBSTITUTE(BO95,"b","a"),"c","a"),"d","a"),"e","a"),"f","a"),"g","a"),"h","a"),"i","a"),"j","a"),"k","a"),"l","a"),"m","a"),"n","a"),"o","a"),"p","a"),"q","a"),"r","a"),"s","a"),"t","a"),"u","a"),"v","a"),"w","a"),"x","a"),"y","a"),"z","a")</f>
        <v/>
      </c>
      <c r="BQ95" s="61" t="n">
        <f aca="false">IFERROR(IF(AND(ISERROR(SEARCH(" mh"," "&amp;LOWER(W95))),ISNA(MATCH(LEFT(TRIM(BP95),255),{"0000a","000a","00a","0000aa","000aa","00aa","0aa","0000aaa","000aaa","00a00","0a00","0000-0000","00:00","a00","a0","00.00.0000","00/00/0000","00-00-0000","0000-00-00","0000/00/00","0000.00.00","00.00.00","00/00/00","00-00-00","0.00.0000","0/00/0000","0-00-0000"},0)),ISNA(MATCH(LEFT(TRIM(CA95),255),{"0000a","000a","00a","0000aa","000aa","00aa","0aa","0000aaa","000aaa","00a00","0a00","0000-0000","00:00","a00","a0","00.00.0000","00/00/0000","00-00-0000","0000-00-00","0000/00/00","0000.00.00","00.00.00","00/00/00","00-00-00","0.00.0000","0/00/0000","0-00-0000"},0)),LEN(CB95)&gt;=3,NOT(OR(SUBSTITUTE(CB95,"0","")="",AND(LEN(CB95)&gt;=4,CB95=REPT(LEFT(CB95),LEN(CB95))),ISNUMBER(MATCH(CB95,{"123","1234","12345","123456","1234567","12345678","0123","01234","012345","98765","987654","54321"},0)),AND(LEN(CB95)=8,LEFT(CB95,3)="202"))),OR(AND((LEN(CA95)-LEN(SUBSTITUTE(CA95,"a","")))&gt;=1,SUMPRODUCT(--ISNUMBER(SEARCH({"a0","a-0","a_0","a/0","a.0","a#0","0a","0-a","0_a","0/a"},BP95)))&gt;0),ISNUMBER(SEARCH("000000",BP95)))),1,0),0)</f>
        <v>0</v>
      </c>
      <c r="BR95" s="61" t="n">
        <f aca="false">IFERROR(LEN(SUBSTITUTE(CC95," ",""))-SUMPRODUCT((LEN(CC95)-LEN(SUBSTITUTE(CC95," "&amp;L_Role&amp;" "," ")))/(LEN(L_Role)+1)*LEN(L_Role)),0)</f>
        <v>0</v>
      </c>
      <c r="BS95" s="61" t="n">
        <f aca="false">IFERROR(LEN(SUBSTITUTE(CD95," ",""))-SUMPRODUCT((LEN(CD95)-LEN(SUBSTITUTE(CD95," "&amp;L_Role&amp;" "," ")))/(LEN(L_Role)+1)*LEN(L_Role)),0)</f>
        <v>0</v>
      </c>
      <c r="BT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95,"revision",""),"version",""),"jan",""),"feb",""),"mar",""),"apr",""),"may",""),"jun",""),"jul",""),"aug",""),"sep",""),"oct",""),"nov",""),"dec",""),"utc",""),"gmt",""),"myt",""),"bst",""),"rev",""),"ver",""),"b","a"),"c","a"),"d","a"),"e","a"),"f","a"),"g","a"),"h","a"),"i","a"),"j","a"),"k","a"),"l","a"),"m","a"),"n","a"),"o","a"),"p","a"),"q","a"),"r","a"),"s","a"),"t","a"),"u","a"),"v","a"),"w","a"),"x","a"),"y","a"),"z","a")</f>
        <v/>
      </c>
      <c r="BU95" s="61" t="str">
        <f aca="false">SUBSTITUTE(SUBSTITUTE(SUBSTITUTE(SUBSTITUTE(SUBSTITUTE(SUBSTITUTE(SUBSTITUTE(SUBSTITUTE(SUBSTITUTE(SUBSTITUTE(LEFT(BM95,FIND("0",BM95&amp;"0")-1),"-",""),"_",""),"/",""),".",""),"#",""),"\\",""),":","")," ",""),"(",""),")","")</f>
        <v/>
      </c>
      <c r="BV95" s="61" t="n">
        <f aca="false">0</f>
        <v>0</v>
      </c>
      <c r="BW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95&amp;""),"a",""),"b",""),"c",""),"d",""),"e",""),"f",""),"g",""),"h",""),"i",""),"j",""),"k",""),"l",""),"m",""),"n",""),"o",""),"p",""),"q",""),"r",""),"s",""),"t",""),"u",""),"v",""),"w",""),"x",""),"y",""),"z",""),"-",""),"_",""),"/",""),".",""),"#",""),"\\",""),":","")," ",""),"(",""),")","")</f>
        <v/>
      </c>
      <c r="BX95" s="61" t="str">
        <f aca="false">SUBSTITUTE(SUBSTITUTE(SUBSTITUTE(SUBSTITUTE(SUBSTITUTE(SUBSTITUTE(SUBSTITUTE(SUBSTITUTE(SUBSTITUTE(SUBSTITUTE(SUBSTITUTE(BM95,"0",""),"-",""),"_",""),"/",""),".",""),"#",""),"\\",""),":","")," ",""),"(",""),")","")</f>
        <v/>
      </c>
      <c r="BY95" s="62" t="n">
        <f aca="false">Q95-T7EarlyD*24/24</f>
        <v>46284.6458333333</v>
      </c>
      <c r="BZ95" s="61" t="n">
        <f aca="false">IFERROR(IF(IF(TRIM(S95)="Link / file path",AND(LEN(TRIM(Z95))&gt;=5,SUMPRODUCT(--ISNUMBER(SEARCH({"http","www.","\\",":\",".pdf",".jpg",".jpeg",".png",".heic",".xls",".doc",".msg",".eml",".ppt",".txt",".zip"},Z95)))&gt;0),AND(ISERROR(FIND(" ",TRIM(Z95))),NOT(OR(SUMPRODUCT(--ISNUMBER(FIND({",",";","&amp;","+"},Z95)))&gt;0,SUMPRODUCT(--ISNUMBER(SEARCH({"0/aa","0\\aa"},BN95)))&gt;0)),NOT(SUMPRODUCT(--ISNUMBER(SEARCH({"http","www.","\\",":\",".pdf",".jpg",".jpeg",".png",".heic",".xls",".doc",".msg",".eml",".ppt",".txt",".zip"},Z95)))&gt;0),NOT(LOWER(TRIM(Z95))=LOWER(Flights!$F$8)),ISNA(MATCH(BU95,{"mh","rev","revision","ver","version","v","r","a","b","seat","tray","row","gate","bay","stand","page","pg","item","line","no","cart","galley","flight","flt","table","box","bag","oven","etd","eta","std","sta","atd","ata","qty","pax","x","time","tel","ph","mob","day","wk","week","utc","gmt","myt","lt"},0)),NOT(OR(ISNUMBER(MATCH(LEFT(BN95,255),{"0000a","000a","00a","0000aa","000aa","00aa","0aa","0000aaa","000aaa","00a00","0a00","0000-0000","00:00","a00","a0","00.00.0000","00/00/0000","00-00-0000","0000-00-00","0000/00/00","0000.00.00","00.00.00","00/00/00","00-00-00","0.00.0000","0/00/0000","0-00-0000"},0)),ISNUMBER(MATCH(LEFT(BT95,255),{"0000a","000a","00a","0000aa","000aa","00aa","0aa","0000aaa","000aaa","00a00","0a00","0000-0000","00:00","a00","a0","00.00.0000","00/00/0000","00-00-0000","0000-00-00","0000/00/00","0000.00.00","00.00.00","00/00/00","00-00-00","0.00.0000","0/00/0000","0-00-0000"},0)))),NOT(OR(AND(BW95&lt;&gt;"",SUBSTITUTE(BW95,"0","")=""),AND(LEN(BW95)&gt;=4,BW95=REPT(LEFT(BW95),LEN(BW95))),ISNUMBER(MATCH(BW95,{"123","1234","12345","123456","1234567","12345678","0123","01234","012345","98765","987654","54321"},0)),ISNUMBER(MATCH(BX95,{"x","xx","xxx","xxxx","xxxxx","abc","abcd","nil","na","nan","test","tbc","tba","tbd","dummy","sample","example","eg","zz","zzz","none","null","xyz","qwe","asd","id","ref"},0)),AND(LEN(BW95)=8,BX95="",OR(LEFT(BW95,3)="202",ISNUMBER(MATCH(RIGHT(BW95,4),{"2025","2026","2027"},0)))))),OR(AND((LEN(BT95)-LEN(SUBSTITUTE(BT95,"a","")))&gt;=1,(LEN(BN95)-LEN(SUBSTITUTE(BN95,"0","")))&gt;=2,SUMPRODUCT(--ISNUMBER(SEARCH({"a0","a-0","a_0","a/0","a.0","a#0","0a","0-a","0_a","0/a"},BN95)))&gt;0),AND((LEN(BN95)-LEN(SUBSTITUTE(BN95,"a","")))=0,(LEN(BN95)-LEN(SUBSTITUTE(BN95,"0","")))&gt;=5)))),1,0),0)</f>
        <v>0</v>
      </c>
      <c r="CA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95,"revision",""),"version",""),"jan",""),"feb",""),"mar",""),"apr",""),"may",""),"jun",""),"jul",""),"aug",""),"sep",""),"oct",""),"nov",""),"dec",""),"utc",""),"gmt",""),"myt",""),"bst",""),"rev",""),"ver",""),"b","a"),"c","a"),"d","a"),"e","a"),"f","a"),"g","a"),"h","a"),"i","a"),"j","a"),"k","a"),"l","a"),"m","a"),"n","a"),"o","a"),"p","a"),"q","a"),"r","a"),"s","a"),"t","a"),"u","a"),"v","a"),"w","a"),"x","a"),"y","a"),"z","a")</f>
        <v/>
      </c>
      <c r="CB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95&amp;""),"a",""),"b",""),"c",""),"d",""),"e",""),"f",""),"g",""),"h",""),"i",""),"j",""),"k",""),"l",""),"m",""),"n",""),"o",""),"p",""),"q",""),"r",""),"s",""),"t",""),"u",""),"v",""),"w",""),"x",""),"y",""),"z",""),"-",""),"_",""),"/",""),".",""),"#",""),"\\",""),":","")," ",""),"(",""),")","")</f>
        <v/>
      </c>
      <c r="CC95" s="0" t="str">
        <f aca="false">" "&amp;TRIM(SUBSTITUTE(SUBSTITUTE(SUBSTITUTE(SUBSTITUTE(SUBSTITUTE(SUBSTITUTE(SUBSTITUTE(SUBSTITUTE(SUBSTITUTE(SUBSTITUTE(SUBSTITUTE(SUBSTITUTE(SUBSTITUTE(SUBSTITUTE(SUBSTITUTE(SUBSTITUTE(SUBSTITUTE(SUBSTITUTE(SUBSTITUTE(SUBSTITUTE(SUBSTITUTE(SUBSTITUTE(SUBSTITUTE(SUBSTITUTE(LOWER(T95&amp;""),CHAR(10)," "),CHAR(13)," "),CHAR(9)," "),CHAR(160)," "),"."," "),","," "),"-"," "),"/"," "),"("," "),")"," "),":"," "),";"," "),"_"," "),"–"," "),"?"," "),"!"," "),"*"," "),"["," "),"]"," "),"'"," "),"#"," "),"+"," "),"&amp;"," "),"\"," "))&amp;" "</f>
        <v>  </v>
      </c>
      <c r="CD95" s="0" t="str">
        <f aca="false">" "&amp;TRIM(SUBSTITUTE(SUBSTITUTE(SUBSTITUTE(SUBSTITUTE(SUBSTITUTE(SUBSTITUTE(SUBSTITUTE(SUBSTITUTE(SUBSTITUTE(SUBSTITUTE(SUBSTITUTE(SUBSTITUTE(SUBSTITUTE(SUBSTITUTE(SUBSTITUTE(SUBSTITUTE(SUBSTITUTE(SUBSTITUTE(SUBSTITUTE(SUBSTITUTE(SUBSTITUTE(SUBSTITUTE(SUBSTITUTE(SUBSTITUTE(LOWER(AE95&amp;""),CHAR(10)," "),CHAR(13)," "),CHAR(9)," "),CHAR(160)," "),"."," "),","," "),"-"," "),"/"," "),"("," "),")"," "),":"," "),";"," "),"_"," "),"–"," "),"?"," "),"!"," "),"*"," "),"["," "),"]"," "),"'"," "),"#"," "),"+"," "),"&amp;"," "),"\"," "))&amp;" "</f>
        <v>  </v>
      </c>
      <c r="CE95" s="68" t="n">
        <f aca="false">IFERROR(IF(AND(LEN(AU95)&gt;0,LEN(AU95)=LEN(AX95),OR(TRIM(MID(SUBSTITUTE(TRIM(CC95)," ",REPT(" ",60)),1,60))="",ISNUMBER(SEARCH(" "&amp;TRIM(MID(SUBSTITUTE(TRIM(CC95)," ",REPT(" ",60)),1,60))&amp;" ",CD95))),OR(TRIM(MID(SUBSTITUTE(TRIM(CC95)," ",REPT(" ",60)),61,60))="",ISNUMBER(SEARCH(" "&amp;TRIM(MID(SUBSTITUTE(TRIM(CC95)," ",REPT(" ",60)),61,60))&amp;" ",CD95))),OR(TRIM(MID(SUBSTITUTE(TRIM(CC95)," ",REPT(" ",60)),121,60))="",ISNUMBER(SEARCH(" "&amp;TRIM(MID(SUBSTITUTE(TRIM(CC95)," ",REPT(" ",60)),121,60))&amp;" ",CD95)))),1,0),0)</f>
        <v>0</v>
      </c>
      <c r="CG95" s="68" t="n">
        <f aca="false">IFERROR(LEN(SUBSTITUTE(BF95," ",""))-SUMPRODUCT((LEN(BF95)-LEN(SUBSTITUTE(BF95," "&amp;L_NAFiller&amp;" "," ")))/(LEN(L_NAFiller)+1)*LEN(L_NAFiller)),0)</f>
        <v>0</v>
      </c>
    </row>
    <row r="96" customFormat="false" ht="39.75" hidden="false" customHeight="true" outlineLevel="0" collapsed="false">
      <c r="A96" s="57" t="s">
        <v>587</v>
      </c>
      <c r="B96" s="57" t="s">
        <v>218</v>
      </c>
      <c r="C96" s="57" t="str">
        <f aca="false">Flights!$F$8</f>
        <v>MH0088</v>
      </c>
      <c r="D96" s="58" t="n">
        <f aca="false">Flights!$D$8</f>
        <v>46305</v>
      </c>
      <c r="E96" s="57" t="str">
        <f aca="false">Flights!$G$8&amp;"-"&amp;Flights!$H$8</f>
        <v>KUL-NRT</v>
      </c>
      <c r="F96" s="57" t="str">
        <f aca="false">Flights!$K$8</f>
        <v>BC</v>
      </c>
      <c r="G96" s="57" t="s">
        <v>81</v>
      </c>
      <c r="H96" s="57" t="s">
        <v>378</v>
      </c>
      <c r="I96" s="57" t="s">
        <v>405</v>
      </c>
      <c r="J96" s="57" t="s">
        <v>406</v>
      </c>
      <c r="K96" s="67" t="s">
        <v>407</v>
      </c>
      <c r="L96" s="67" t="s">
        <v>382</v>
      </c>
      <c r="M96" s="67"/>
      <c r="N96" s="67" t="s">
        <v>383</v>
      </c>
      <c r="O96" s="67"/>
      <c r="P96" s="57" t="s">
        <v>187</v>
      </c>
      <c r="Q96" s="59" t="n">
        <f aca="false">ROUND((Flights!$AC$8)*1440,0)/1440</f>
        <v>46298.6458333333</v>
      </c>
      <c r="R96" s="59" t="n">
        <f aca="false">Q96+(IF(AND(INDEX(TZ_DSTS,MATCH(P96,TZ_STN,0))&lt;&gt;"",Q96&gt;=INDEX(TZ_DSTS,MATCH(P96,TZ_STN,0)),Q96&lt;INDEX(TZ_DSTE,MATCH(P96,TZ_STN,0))),INDEX(TZ_DST,MATCH(P96,TZ_STN,0)),INDEX(TZ_STD,MATCH(P96,TZ_STN,0))))/24</f>
        <v>46298.9791666667</v>
      </c>
      <c r="S96" s="60"/>
      <c r="T96" s="60"/>
      <c r="U96" s="60"/>
      <c r="V96" s="60"/>
      <c r="W96" s="61"/>
      <c r="X96" s="60"/>
      <c r="Y96" s="60"/>
      <c r="Z96" s="60"/>
      <c r="AA96" s="60"/>
      <c r="AB96" s="60"/>
      <c r="AC96" s="60"/>
      <c r="AD96" s="66"/>
      <c r="AE96" s="60"/>
      <c r="AF96" s="61" t="str">
        <f aca="false">IF(AND(ISNUMBER(X96),ISNUMBER(Y96)),Y96-X96,"")</f>
        <v/>
      </c>
      <c r="AG96" s="62" t="str">
        <f aca="false">IF(ISNUMBER(AD96),AD96-(IF(AND(INDEX(TZ_DSTS,MATCH(P96,TZ_STN,0))&lt;&gt;"",(AD96-INDEX(TZ_STD,MATCH(P96,TZ_STN,0))/24)&gt;=INDEX(TZ_DSTS,MATCH(P96,TZ_STN,0)),(AD96-INDEX(TZ_STD,MATCH(P96,TZ_STN,0))/24)&lt;INDEX(TZ_DSTE,MATCH(P96,TZ_STN,0))),INDEX(TZ_DST,MATCH(P96,TZ_STN,0)),INDEX(TZ_STD,MATCH(P96,TZ_STN,0))))/24,"")</f>
        <v/>
      </c>
      <c r="AH96" s="65" t="str">
        <f aca="false">IFERROR(IF(N96="N/A – rule",IF(OR(TRIM(U96)="",TRIM(U96)="N/A",TRIM(U96)="Not started"),"N/A – RULE","INVALID – this check does not apply to this aircraft: clear the status (or correct the fleet on Flights)"),IF(TRIM(U96)="N/A",IF(AT96=0,"INVALID – N/A not permitted for this check",IF(AND(TRIM(AB96)&lt;&gt;"",TRIM(AB96)&lt;&gt;"Closed"),"INVALID – corrective action still open",IF(AND(NOT(OR(LEN(AZ96)&lt;15,ISNUMBER(MATCH(AZ96,L_Placeholder,0)))),BK96=0,CG96&gt;=8,NOT(OR(LEN(AU96)&lt;2,ISNUMBER(MATCH(AU96,L_Placeholder,0)))),BR96&gt;=3,NOT(OR(LEN(AX96)&lt;2,ISNUMBER(MATCH(AX96,L_Placeholder,0)))),BS96&gt;=3,TRIM(AE96)&lt;&gt;TRIM(T96),AX96&lt;&gt;AU96,CE96=0),"N/A – JUSTIFIED","INVALID – N/A needs a real, settled reason (not 'not applicable' / 'as above' / TBC), a named PIC and a different named verifier"))),IF(OR(TRIM(U96)="Pass",TRIM(U96)="Pass after CA"),IF(NOT(ISNUMBER(AD96)),"INVALID – completion time missing",IF(OR(OR(LEN(AU96)&lt;2,ISNUMBER(MATCH(AU96,L_Placeholder,0))),BR96&lt;3),"INVALID – PIC missing or not a named person (a role such as QA / CSM is not a name)",IF(OR(LEN(AV96)&lt;2,ISNUMBER(MATCH(AV96,L_Placeholder,0))),"INVALID – result / assessment missing",IF(OR(OR(LEN(AW96)&lt;3,ISNUMBER(MATCH(AW96,L_Placeholder,0))),SUMPRODUCT(--ISNUMBER(SEARCH(" "&amp;L_EvidencePhrase&amp;" ",BD96)))&gt;0,BI96=1),"INVALID – evidence missing, placeholder or not yet on file",IF(ISNA(MATCH(TRIM(S96),L_EvidenceType,0)),"INVALID – choose the evidence type from the list (column S)",IF(BL96=0,"INVALID – evidence ID must be the record's own ID only (e.g. SF-2210, IMG_2231, 1045521); a link / file name needs type 'Link / file path'",IF(OR(OR(LEN(AX96)&lt;2,ISNUMBER(MATCH(AX96,L_Placeholder,0))),BS96&lt;3),"INVALID – verifier missing or not a named person (a role such as QA / CSM is not a name)",IF(OR(AX96=AU96,CE96=1,AND(LEN(AU96)&gt;=4,ISNUMBER(SEARCH(AU96,AX96))),AND(LEN(AX96)&gt;=4,ISNUMBER(SEARCH(AX96,AU96)))),"INVALID – verifier must be a different, named person (not the PIC or a role)",IF(BH96=1,"INVALID – result not yet available (awaiting / TBC)",IF(BG96=1,"INVALID – result describes a problem: record Fail, then Pass after CA (or reword if it is not a problem)",IF(BV96=1,"INVALID – wording says not on board: an on-board confirmation needs the item loaded",IF(AND(AQ96=1,OR(OR(LEN(AY96)&lt;3,ISNUMBER(MATCH(AY96,L_Placeholder,0))),BJ96=1,BQ96=0)),"INVALID – batch ID missing, placeholder or not an ID (e.g. PASB-261008-BC-017)",IF(AND(AR96=1,OR(NOT(ISNUMBER(X96)),NOT(ISNUMBER(Y96)))),"INVALID – expected/actual qty missing",IF(AND(AR96=1,OR(X96&lt;=0,Y96&lt;0)),"INVALID – expected qty must be above 0 and actual not negative",IF(BB96&lt;&gt;"",BB96,IF(AND(AS96=1,Documents!$J$8&lt;&gt;"ON FILE"),"INVALID – GLD not on file (Documents sheet)",IF(AND(AS96=2,Documents!$O$8&lt;&gt;"ON FILE"),"INVALID – menu checklist not on file (Documents sheet)",IF(AND(AS96=3,NOT(ISNUMBER(Flights!$AX$8))),"INVALID – enter carrying flight KUL departure (Flights AX)",IF(AND(AS96=3,OR(Flights!$AZ$8&gt;Flights!$AA$8,Flights!$AX$8&lt;Flights!$AA$8-3)),"INVALID – carrying flight (Flights AX) cannot arrive before this leg's STD, or is over 3 days early",IF(AG96&gt;AsOfUTC,"INVALID – completion time is in the future",IF(AND(ISNUMBER(BY96),AG96&lt;BY96),IF(H96="Physical uplift","INVALID – before uplift window (cannot confirm loading)","INVALID – before valid window"),IF(AG96&gt;Flights!$AA$8,"INVALID – completed after departure (cannot establish readiness)",IF(AND(H96="Preparation",AG96&gt;=IF(ISNUMBER(Flights!$BA$8),MIN(Flights!$BA$8,Flights!$AA$8),Flights!$AA$8)),"INVALID – completed after loading / departure (cannot establish readiness)",IF(AND(H96="Physical uplift",AG96&gt;Q96),"INVALID – recorded after the loading flight departed",IF(AG96&gt;Q96,"COMPLETE – LATE","COMPLETE"))))))))))))))))))))))))),IF(TRIM(U96)="Fail","FAIL – DISCREPANCY",IF(AND(TRIM(U96)&lt;&gt;"",TRIM(U96)&lt;&gt;"Not started",TRIM(U96)&lt;&gt;"In progress"),"INVALID – unrecognised status (use the list)",IF(AsOfUTC&gt;Q96,"OVERDUE",IF(N96="Clarification required","OPEN – CLARIFICATION","OPEN"))))))),"INVALID – error value in an input cell")</f>
        <v>OPEN</v>
      </c>
      <c r="AI96" s="61" t="n">
        <f aca="false">IF(OR(AH96="N/A – RULE",AH96="N/A – JUSTIFIED"),0,1)</f>
        <v>1</v>
      </c>
      <c r="AJ96" s="61" t="n">
        <f aca="false">IF(LEFT(AH96,8)="COMPLETE",1,0)</f>
        <v>0</v>
      </c>
      <c r="AK96" s="61" t="n">
        <f aca="false">IF(AND(AI96=1,AJ96=0,AsOfUTC&gt;Q96),1,0)</f>
        <v>0</v>
      </c>
      <c r="AL96" s="61" t="n">
        <f aca="false">IFERROR(IF(AND(AI96=1,OR(TRIM(U96)="Fail",AND(TRIM(AB96)&lt;&gt;"",TRIM(AB96)&lt;&gt;"Closed"),AND(ISNUMBER(AF96),AF96&lt;&gt;0,TRIM(U96)&lt;&gt;"Pass after CA"))),1,0),1)</f>
        <v>0</v>
      </c>
      <c r="AM96" s="61" t="n">
        <f aca="false">IF(LEFT(AH96,7)="INVALID",1,0)</f>
        <v>0</v>
      </c>
      <c r="AN96" s="61" t="n">
        <f aca="false">IF(AND(N96="Clarification required",AI96=1,AJ96=0),1,0)</f>
        <v>0</v>
      </c>
      <c r="AO96" s="61" t="str">
        <f aca="false">IF(AK96=1,SUM(AK$5:AK96),"")</f>
        <v/>
      </c>
      <c r="AP96" s="61" t="str">
        <f aca="false">IF(AL96=1,SUM(AL$5:AL96),"")</f>
        <v/>
      </c>
      <c r="AQ96" s="61" t="n">
        <v>0</v>
      </c>
      <c r="AR96" s="61" t="n">
        <v>0</v>
      </c>
      <c r="AS96" s="61" t="n">
        <v>1</v>
      </c>
      <c r="AT96" s="61" t="n">
        <v>0</v>
      </c>
      <c r="AU96" s="61" t="str">
        <f aca="false">SUBSTITUTE(SUBSTITUTE(SUBSTITUTE(SUBSTITUTE(SUBSTITUTE(SUBSTITUTE(SUBSTITUTE(SUBSTITUTE(SUBSTITUTE(SUBSTITUTE(SUBSTITUTE(SUBSTITUTE(SUBSTITUTE(SUBSTITUTE(SUBSTITUTE(SUBSTITUTE(LOWER(T96&amp;""),CHAR(10),""),CHAR(13),""),CHAR(9),""),CHAR(160),"")," ",""),".",""),"-",""),"/",""),"?",""),"_",""),",",""),"[",""),"]",""),"(",""),")",""),"*","")</f>
        <v/>
      </c>
      <c r="AV96" s="61" t="str">
        <f aca="false">SUBSTITUTE(SUBSTITUTE(SUBSTITUTE(SUBSTITUTE(SUBSTITUTE(SUBSTITUTE(SUBSTITUTE(SUBSTITUTE(SUBSTITUTE(SUBSTITUTE(SUBSTITUTE(SUBSTITUTE(SUBSTITUTE(SUBSTITUTE(SUBSTITUTE(SUBSTITUTE(LOWER(V96&amp;""),CHAR(10),""),CHAR(13),""),CHAR(9),""),CHAR(160),"")," ",""),".",""),"-",""),"/",""),"?",""),"_",""),",",""),"[",""),"]",""),"(",""),")",""),"*","")</f>
        <v/>
      </c>
      <c r="AW96" s="61" t="str">
        <f aca="false">SUBSTITUTE(SUBSTITUTE(SUBSTITUTE(SUBSTITUTE(SUBSTITUTE(SUBSTITUTE(SUBSTITUTE(SUBSTITUTE(SUBSTITUTE(SUBSTITUTE(SUBSTITUTE(SUBSTITUTE(SUBSTITUTE(SUBSTITUTE(SUBSTITUTE(SUBSTITUTE(LOWER(Z96&amp;""),CHAR(10),""),CHAR(13),""),CHAR(9),""),CHAR(160),"")," ",""),".",""),"-",""),"/",""),"?",""),"_",""),",",""),"[",""),"]",""),"(",""),")",""),"*","")</f>
        <v/>
      </c>
      <c r="AX96" s="61" t="str">
        <f aca="false">SUBSTITUTE(SUBSTITUTE(SUBSTITUTE(SUBSTITUTE(SUBSTITUTE(SUBSTITUTE(SUBSTITUTE(SUBSTITUTE(SUBSTITUTE(SUBSTITUTE(SUBSTITUTE(SUBSTITUTE(SUBSTITUTE(SUBSTITUTE(SUBSTITUTE(SUBSTITUTE(LOWER(AE96&amp;""),CHAR(10),""),CHAR(13),""),CHAR(9),""),CHAR(160),"")," ",""),".",""),"-",""),"/",""),"?",""),"_",""),",",""),"[",""),"]",""),"(",""),")",""),"*","")</f>
        <v/>
      </c>
      <c r="AY96" s="61" t="str">
        <f aca="false">SUBSTITUTE(SUBSTITUTE(SUBSTITUTE(SUBSTITUTE(SUBSTITUTE(SUBSTITUTE(SUBSTITUTE(SUBSTITUTE(SUBSTITUTE(SUBSTITUTE(SUBSTITUTE(SUBSTITUTE(SUBSTITUTE(SUBSTITUTE(SUBSTITUTE(SUBSTITUTE(LOWER(W96&amp;""),CHAR(10),""),CHAR(13),""),CHAR(9),""),CHAR(160),"")," ",""),".",""),"-",""),"/",""),"?",""),"_",""),",",""),"[",""),"]",""),"(",""),")",""),"*","")</f>
        <v/>
      </c>
      <c r="AZ96" s="61" t="str">
        <f aca="false">SUBSTITUTE(SUBSTITUTE(SUBSTITUTE(SUBSTITUTE(SUBSTITUTE(SUBSTITUTE(SUBSTITUTE(SUBSTITUTE(SUBSTITUTE(SUBSTITUTE(SUBSTITUTE(SUBSTITUTE(SUBSTITUTE(SUBSTITUTE(SUBSTITUTE(SUBSTITUTE(LOWER(AC96&amp;""),CHAR(10),""),CHAR(13),""),CHAR(9),""),CHAR(160),"")," ",""),".",""),"-",""),"/",""),"?",""),"_",""),",",""),"[",""),"]",""),"(",""),")",""),"*","")</f>
        <v/>
      </c>
      <c r="BA96" s="61" t="str">
        <f aca="false">SUBSTITUTE(SUBSTITUTE(SUBSTITUTE(SUBSTITUTE(SUBSTITUTE(SUBSTITUTE(SUBSTITUTE(SUBSTITUTE(SUBSTITUTE(SUBSTITUTE(SUBSTITUTE(SUBSTITUTE(SUBSTITUTE(SUBSTITUTE(SUBSTITUTE(SUBSTITUTE(LOWER(AA96&amp;""),CHAR(10),""),CHAR(13),""),CHAR(9),""),CHAR(160),"")," ",""),".",""),"-",""),"/",""),"?",""),"_",""),",",""),"[",""),"]",""),"(",""),")",""),"*","")</f>
        <v/>
      </c>
      <c r="BB96" s="61" t="str">
        <f aca="false">IF(AND(TRIM(U96)="Pass",ISNUMBER(AF96)),IF(AF96&lt;&gt;0,"INVALID – qty variance: use Fail or Pass after CA",""),"")&amp;IF(AND(TRIM(U96)="Pass after CA",ISNUMBER(AF96)),IF(AF96&lt;&gt;0,"INVALID – after the corrective action the actual qty must equal expected (update Actual)",""),"")&amp;IF(AND(TRIM(U96)="Pass",TRIM(AB96)&lt;&gt;"",TRIM(AB96)&lt;&gt;"Closed"),"INVALID – corrective action not closed: use Fail, then Pass after CA","")&amp;IF(AND(LEN(BA96)&gt;=2,ISNA(MATCH(LEFT(BA96,255),L_Placeholder,0)),TRIM(AB96)=""),"INVALID – CA status missing for the recorded corrective action","")&amp;IF(AND(TRIM(U96)="Pass after CA",OR(OR(LEN(BA96)&lt;5,ISNUMBER(MATCH(BA96,L_Placeholder,0))),TRIM(AB96)&lt;&gt;"Closed")),"INVALID – corrective action not recorded/closed","")</f>
        <v/>
      </c>
      <c r="BC96" s="61" t="str">
        <f aca="false">" "&amp;TRIM(SUBSTITUTE(SUBSTITUTE(SUBSTITUTE(SUBSTITUTE(SUBSTITUTE(SUBSTITUTE(SUBSTITUTE(SUBSTITUTE(SUBSTITUTE(SUBSTITUTE(SUBSTITUTE(SUBSTITUTE(SUBSTITUTE(SUBSTITUTE(SUBSTITUTE(SUBSTITUTE(SUBSTITUTE(SUBSTITUTE(SUBSTITUTE(SUBSTITUTE(SUBSTITUTE(SUBSTITUTE(SUBSTITUTE(SUBSTITUTE(LOWER(V96&amp;""),CHAR(10)," "),CHAR(13)," "),CHAR(9)," "),CHAR(160)," "),"."," "),","," "),"-"," "),"/"," "),"("," "),")"," "),":"," "),";"," "),"_"," "),"–"," "),"?"," "),"!"," "),"*"," "),"["," "),"]"," "),"'"," "),"#"," "),"+"," "),"&amp;"," "),"\"," "))&amp;" "</f>
        <v>  </v>
      </c>
      <c r="BD96" s="61" t="str">
        <f aca="false">" "&amp;TRIM(SUBSTITUTE(SUBSTITUTE(SUBSTITUTE(SUBSTITUTE(SUBSTITUTE(SUBSTITUTE(SUBSTITUTE(SUBSTITUTE(SUBSTITUTE(SUBSTITUTE(SUBSTITUTE(SUBSTITUTE(SUBSTITUTE(SUBSTITUTE(SUBSTITUTE(SUBSTITUTE(SUBSTITUTE(SUBSTITUTE(SUBSTITUTE(SUBSTITUTE(SUBSTITUTE(SUBSTITUTE(SUBSTITUTE(SUBSTITUTE(LOWER(Z96&amp;""),CHAR(10)," "),CHAR(13)," "),CHAR(9)," "),CHAR(160)," "),"."," "),","," "),"-"," "),"/"," "),"("," "),")"," "),":"," "),";"," "),"_"," "),"–"," "),"?"," "),"!"," "),"*"," "),"["," "),"]"," "),"'"," "),"#"," "),"+"," "),"&amp;"," "),"\"," "))&amp;" "</f>
        <v>  </v>
      </c>
      <c r="BE96" s="61" t="str">
        <f aca="false">" "&amp;TRIM(SUBSTITUTE(SUBSTITUTE(SUBSTITUTE(SUBSTITUTE(SUBSTITUTE(SUBSTITUTE(SUBSTITUTE(SUBSTITUTE(SUBSTITUTE(SUBSTITUTE(SUBSTITUTE(SUBSTITUTE(SUBSTITUTE(SUBSTITUTE(SUBSTITUTE(SUBSTITUTE(SUBSTITUTE(SUBSTITUTE(SUBSTITUTE(SUBSTITUTE(SUBSTITUTE(SUBSTITUTE(SUBSTITUTE(SUBSTITUTE(LOWER(W96&amp;""),CHAR(10)," "),CHAR(13)," "),CHAR(9)," "),CHAR(160)," "),"."," "),","," "),"-"," "),"/"," "),"("," "),")"," "),":"," "),";"," "),"_"," "),"–"," "),"?"," "),"!"," "),"*"," "),"["," "),"]"," "),"'"," "),"#"," "),"+"," "),"&amp;"," "),"\"," "))&amp;" "</f>
        <v>  </v>
      </c>
      <c r="BF96" s="61" t="str">
        <f aca="false">" "&amp;TRIM(SUBSTITUTE(SUBSTITUTE(SUBSTITUTE(SUBSTITUTE(SUBSTITUTE(SUBSTITUTE(SUBSTITUTE(SUBSTITUTE(SUBSTITUTE(SUBSTITUTE(SUBSTITUTE(SUBSTITUTE(SUBSTITUTE(SUBSTITUTE(SUBSTITUTE(SUBSTITUTE(SUBSTITUTE(SUBSTITUTE(SUBSTITUTE(SUBSTITUTE(SUBSTITUTE(SUBSTITUTE(SUBSTITUTE(SUBSTITUTE(LOWER(AC96&amp;""),CHAR(10)," "),CHAR(13)," "),CHAR(9)," "),CHAR(160)," "),"."," "),","," "),"-"," "),"/"," "),"("," "),")"," "),":"," "),";"," "),"_"," "),"–"," "),"?"," "),"!"," "),"*"," "),"["," "),"]"," "),"'"," "),"#"," "),"+"," "),"&amp;"," "),"\"," "))&amp;" "</f>
        <v>  </v>
      </c>
      <c r="BG96" s="61" t="n">
        <f aca="false">IFERROR(IF(AND(TRIM(U96)="Pass",SUMPRODUCT((LEN(BC96)-LEN(SUBSTITUTE(BC96," "&amp;L_ResultBad&amp;" "," ")))/(LEN(L_ResultBad)+1))&gt;SUMPRODUCT((LEN(BC96)-LEN(SUBSTITUTE(BC96," "&amp;L_NegPhrase&amp;" "," ")))/(LEN(L_NegPhrase)+1))),1,0),0)</f>
        <v>0</v>
      </c>
      <c r="BH96" s="61" t="n">
        <f aca="false">IFERROR(IF(SUMPRODUCT((LEN(BC96)-LEN(SUBSTITUTE(BC96," "&amp;L_Pending&amp;" "," ")))/(LEN(L_Pending)+1))&gt;SUMPRODUCT((LEN(BC96)-LEN(SUBSTITUTE(BC96," "&amp;L_PendNeg&amp;" "," ")))/(LEN(L_PendNeg)+1))+SUMPRODUCT((LEN(BC96)-LEN(SUBSTITUTE(BC96," "&amp;L_PendPrep&amp;" "," ")))/(LEN(L_PendPrep)+1)),1,0),1)</f>
        <v>0</v>
      </c>
      <c r="BI96" s="61" t="n">
        <f aca="false">IFERROR(IF(SUMPRODUCT((LEN(BD96)-LEN(SUBSTITUTE(BD96," "&amp;L_PendStrict&amp;" "," ")))/(LEN(L_PendStrict)+1))&gt;SUMPRODUCT((LEN(BD96)-LEN(SUBSTITUTE(BD96," "&amp;L_PendNeg&amp;" "," ")))/(LEN(L_PendNeg)+1)),1,0),1)</f>
        <v>0</v>
      </c>
      <c r="BJ96" s="61" t="n">
        <f aca="false">IFERROR(IF(SUMPRODUCT((LEN(BE96)-LEN(SUBSTITUTE(BE96," "&amp;L_Pending&amp;" "," ")))/(LEN(L_Pending)+1))&gt;SUMPRODUCT((LEN(BE96)-LEN(SUBSTITUTE(BE96," "&amp;L_PendNeg&amp;" "," ")))/(LEN(L_PendNeg)+1))+SUMPRODUCT((LEN(BE96)-LEN(SUBSTITUTE(BE96," "&amp;L_PendPrep&amp;" "," ")))/(LEN(L_PendPrep)+1)),1,0),1)</f>
        <v>0</v>
      </c>
      <c r="BK96" s="61" t="n">
        <f aca="false">IFERROR(IF(SUMPRODUCT((LEN(BF96)-LEN(SUBSTITUTE(BF96," "&amp;L_PendStrict&amp;" "," ")))/(LEN(L_PendStrict)+1))&gt;SUMPRODUCT((LEN(BF96)-LEN(SUBSTITUTE(BF96," "&amp;L_PendNeg&amp;" "," ")))/(LEN(L_PendNeg)+1)),1,0),1)</f>
        <v>0</v>
      </c>
      <c r="BL96" s="61" t="n">
        <f aca="false">IF(ISNA(MATCH(TRIM(S96),L_EvidenceType,0)),0,BZ96)</f>
        <v>0</v>
      </c>
      <c r="BM96" s="61" t="str">
        <f aca="false">SUBSTITUTE(SUBSTITUTE(SUBSTITUTE(SUBSTITUTE(SUBSTITUTE(SUBSTITUTE(SUBSTITUTE(SUBSTITUTE(SUBSTITUTE(LOWER(Z96&amp;""),"1","0"),"2","0"),"3","0"),"4","0"),"5","0"),"6","0"),"7","0"),"8","0"),"9","0")</f>
        <v/>
      </c>
      <c r="BN96" s="61" t="str">
        <f aca="false">SUBSTITUTE(SUBSTITUTE(SUBSTITUTE(SUBSTITUTE(SUBSTITUTE(SUBSTITUTE(SUBSTITUTE(SUBSTITUTE(SUBSTITUTE(SUBSTITUTE(SUBSTITUTE(SUBSTITUTE(SUBSTITUTE(SUBSTITUTE(SUBSTITUTE(SUBSTITUTE(SUBSTITUTE(SUBSTITUTE(SUBSTITUTE(SUBSTITUTE(SUBSTITUTE(SUBSTITUTE(SUBSTITUTE(SUBSTITUTE(SUBSTITUTE(BM96,"b","a"),"c","a"),"d","a"),"e","a"),"f","a"),"g","a"),"h","a"),"i","a"),"j","a"),"k","a"),"l","a"),"m","a"),"n","a"),"o","a"),"p","a"),"q","a"),"r","a"),"s","a"),"t","a"),"u","a"),"v","a"),"w","a"),"x","a"),"y","a"),"z","a")</f>
        <v/>
      </c>
      <c r="BO96" s="61" t="str">
        <f aca="false">SUBSTITUTE(SUBSTITUTE(SUBSTITUTE(SUBSTITUTE(SUBSTITUTE(SUBSTITUTE(SUBSTITUTE(SUBSTITUTE(SUBSTITUTE(LOWER(W96&amp;""),"1","0"),"2","0"),"3","0"),"4","0"),"5","0"),"6","0"),"7","0"),"8","0"),"9","0")</f>
        <v/>
      </c>
      <c r="BP96" s="61" t="str">
        <f aca="false">SUBSTITUTE(SUBSTITUTE(SUBSTITUTE(SUBSTITUTE(SUBSTITUTE(SUBSTITUTE(SUBSTITUTE(SUBSTITUTE(SUBSTITUTE(SUBSTITUTE(SUBSTITUTE(SUBSTITUTE(SUBSTITUTE(SUBSTITUTE(SUBSTITUTE(SUBSTITUTE(SUBSTITUTE(SUBSTITUTE(SUBSTITUTE(SUBSTITUTE(SUBSTITUTE(SUBSTITUTE(SUBSTITUTE(SUBSTITUTE(SUBSTITUTE(BO96,"b","a"),"c","a"),"d","a"),"e","a"),"f","a"),"g","a"),"h","a"),"i","a"),"j","a"),"k","a"),"l","a"),"m","a"),"n","a"),"o","a"),"p","a"),"q","a"),"r","a"),"s","a"),"t","a"),"u","a"),"v","a"),"w","a"),"x","a"),"y","a"),"z","a")</f>
        <v/>
      </c>
      <c r="BQ96" s="61" t="n">
        <f aca="false">IFERROR(IF(AND(ISERROR(SEARCH(" mh"," "&amp;LOWER(W96))),ISNA(MATCH(LEFT(TRIM(BP96),255),{"0000a","000a","00a","0000aa","000aa","00aa","0aa","0000aaa","000aaa","00a00","0a00","0000-0000","00:00","a00","a0","00.00.0000","00/00/0000","00-00-0000","0000-00-00","0000/00/00","0000.00.00","00.00.00","00/00/00","00-00-00","0.00.0000","0/00/0000","0-00-0000"},0)),ISNA(MATCH(LEFT(TRIM(CA96),255),{"0000a","000a","00a","0000aa","000aa","00aa","0aa","0000aaa","000aaa","00a00","0a00","0000-0000","00:00","a00","a0","00.00.0000","00/00/0000","00-00-0000","0000-00-00","0000/00/00","0000.00.00","00.00.00","00/00/00","00-00-00","0.00.0000","0/00/0000","0-00-0000"},0)),LEN(CB96)&gt;=3,NOT(OR(SUBSTITUTE(CB96,"0","")="",AND(LEN(CB96)&gt;=4,CB96=REPT(LEFT(CB96),LEN(CB96))),ISNUMBER(MATCH(CB96,{"123","1234","12345","123456","1234567","12345678","0123","01234","012345","98765","987654","54321"},0)),AND(LEN(CB96)=8,LEFT(CB96,3)="202"))),OR(AND((LEN(CA96)-LEN(SUBSTITUTE(CA96,"a","")))&gt;=1,SUMPRODUCT(--ISNUMBER(SEARCH({"a0","a-0","a_0","a/0","a.0","a#0","0a","0-a","0_a","0/a"},BP96)))&gt;0),ISNUMBER(SEARCH("000000",BP96)))),1,0),0)</f>
        <v>0</v>
      </c>
      <c r="BR96" s="61" t="n">
        <f aca="false">IFERROR(LEN(SUBSTITUTE(CC96," ",""))-SUMPRODUCT((LEN(CC96)-LEN(SUBSTITUTE(CC96," "&amp;L_Role&amp;" "," ")))/(LEN(L_Role)+1)*LEN(L_Role)),0)</f>
        <v>0</v>
      </c>
      <c r="BS96" s="61" t="n">
        <f aca="false">IFERROR(LEN(SUBSTITUTE(CD96," ",""))-SUMPRODUCT((LEN(CD96)-LEN(SUBSTITUTE(CD96," "&amp;L_Role&amp;" "," ")))/(LEN(L_Role)+1)*LEN(L_Role)),0)</f>
        <v>0</v>
      </c>
      <c r="BT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96,"revision",""),"version",""),"jan",""),"feb",""),"mar",""),"apr",""),"may",""),"jun",""),"jul",""),"aug",""),"sep",""),"oct",""),"nov",""),"dec",""),"utc",""),"gmt",""),"myt",""),"bst",""),"rev",""),"ver",""),"b","a"),"c","a"),"d","a"),"e","a"),"f","a"),"g","a"),"h","a"),"i","a"),"j","a"),"k","a"),"l","a"),"m","a"),"n","a"),"o","a"),"p","a"),"q","a"),"r","a"),"s","a"),"t","a"),"u","a"),"v","a"),"w","a"),"x","a"),"y","a"),"z","a")</f>
        <v/>
      </c>
      <c r="BU96" s="61" t="str">
        <f aca="false">SUBSTITUTE(SUBSTITUTE(SUBSTITUTE(SUBSTITUTE(SUBSTITUTE(SUBSTITUTE(SUBSTITUTE(SUBSTITUTE(SUBSTITUTE(SUBSTITUTE(LEFT(BM96,FIND("0",BM96&amp;"0")-1),"-",""),"_",""),"/",""),".",""),"#",""),"\\",""),":","")," ",""),"(",""),")","")</f>
        <v/>
      </c>
      <c r="BV96" s="61" t="n">
        <f aca="false">0</f>
        <v>0</v>
      </c>
      <c r="BW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96&amp;""),"a",""),"b",""),"c",""),"d",""),"e",""),"f",""),"g",""),"h",""),"i",""),"j",""),"k",""),"l",""),"m",""),"n",""),"o",""),"p",""),"q",""),"r",""),"s",""),"t",""),"u",""),"v",""),"w",""),"x",""),"y",""),"z",""),"-",""),"_",""),"/",""),".",""),"#",""),"\\",""),":","")," ",""),"(",""),")","")</f>
        <v/>
      </c>
      <c r="BX96" s="61" t="str">
        <f aca="false">SUBSTITUTE(SUBSTITUTE(SUBSTITUTE(SUBSTITUTE(SUBSTITUTE(SUBSTITUTE(SUBSTITUTE(SUBSTITUTE(SUBSTITUTE(SUBSTITUTE(SUBSTITUTE(BM96,"0",""),"-",""),"_",""),"/",""),".",""),"#",""),"\\",""),":","")," ",""),"(",""),")","")</f>
        <v/>
      </c>
      <c r="BY96" s="62" t="n">
        <f aca="false">Q96-T7EarlyD*24/24</f>
        <v>46284.6458333333</v>
      </c>
      <c r="BZ96" s="61" t="n">
        <f aca="false">IFERROR(IF(IF(TRIM(S96)="Link / file path",AND(LEN(TRIM(Z96))&gt;=5,SUMPRODUCT(--ISNUMBER(SEARCH({"http","www.","\\",":\",".pdf",".jpg",".jpeg",".png",".heic",".xls",".doc",".msg",".eml",".ppt",".txt",".zip"},Z96)))&gt;0),AND(ISERROR(FIND(" ",TRIM(Z96))),NOT(OR(SUMPRODUCT(--ISNUMBER(FIND({",",";","&amp;","+"},Z96)))&gt;0,SUMPRODUCT(--ISNUMBER(SEARCH({"0/aa","0\\aa"},BN96)))&gt;0)),NOT(SUMPRODUCT(--ISNUMBER(SEARCH({"http","www.","\\",":\",".pdf",".jpg",".jpeg",".png",".heic",".xls",".doc",".msg",".eml",".ppt",".txt",".zip"},Z96)))&gt;0),NOT(LOWER(TRIM(Z96))=LOWER(Flights!$F$8)),ISNA(MATCH(BU96,{"mh","rev","revision","ver","version","v","r","a","b","seat","tray","row","gate","bay","stand","page","pg","item","line","no","cart","galley","flight","flt","table","box","bag","oven","etd","eta","std","sta","atd","ata","qty","pax","x","time","tel","ph","mob","day","wk","week","utc","gmt","myt","lt"},0)),NOT(OR(ISNUMBER(MATCH(LEFT(BN96,255),{"0000a","000a","00a","0000aa","000aa","00aa","0aa","0000aaa","000aaa","00a00","0a00","0000-0000","00:00","a00","a0","00.00.0000","00/00/0000","00-00-0000","0000-00-00","0000/00/00","0000.00.00","00.00.00","00/00/00","00-00-00","0.00.0000","0/00/0000","0-00-0000"},0)),ISNUMBER(MATCH(LEFT(BT96,255),{"0000a","000a","00a","0000aa","000aa","00aa","0aa","0000aaa","000aaa","00a00","0a00","0000-0000","00:00","a00","a0","00.00.0000","00/00/0000","00-00-0000","0000-00-00","0000/00/00","0000.00.00","00.00.00","00/00/00","00-00-00","0.00.0000","0/00/0000","0-00-0000"},0)))),NOT(OR(AND(BW96&lt;&gt;"",SUBSTITUTE(BW96,"0","")=""),AND(LEN(BW96)&gt;=4,BW96=REPT(LEFT(BW96),LEN(BW96))),ISNUMBER(MATCH(BW96,{"123","1234","12345","123456","1234567","12345678","0123","01234","012345","98765","987654","54321"},0)),ISNUMBER(MATCH(BX96,{"x","xx","xxx","xxxx","xxxxx","abc","abcd","nil","na","nan","test","tbc","tba","tbd","dummy","sample","example","eg","zz","zzz","none","null","xyz","qwe","asd","id","ref"},0)),AND(LEN(BW96)=8,BX96="",OR(LEFT(BW96,3)="202",ISNUMBER(MATCH(RIGHT(BW96,4),{"2025","2026","2027"},0)))))),OR(AND((LEN(BT96)-LEN(SUBSTITUTE(BT96,"a","")))&gt;=1,(LEN(BN96)-LEN(SUBSTITUTE(BN96,"0","")))&gt;=2,SUMPRODUCT(--ISNUMBER(SEARCH({"a0","a-0","a_0","a/0","a.0","a#0","0a","0-a","0_a","0/a"},BN96)))&gt;0),AND((LEN(BN96)-LEN(SUBSTITUTE(BN96,"a","")))=0,(LEN(BN96)-LEN(SUBSTITUTE(BN96,"0","")))&gt;=5)))),1,0),0)</f>
        <v>0</v>
      </c>
      <c r="CA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96,"revision",""),"version",""),"jan",""),"feb",""),"mar",""),"apr",""),"may",""),"jun",""),"jul",""),"aug",""),"sep",""),"oct",""),"nov",""),"dec",""),"utc",""),"gmt",""),"myt",""),"bst",""),"rev",""),"ver",""),"b","a"),"c","a"),"d","a"),"e","a"),"f","a"),"g","a"),"h","a"),"i","a"),"j","a"),"k","a"),"l","a"),"m","a"),"n","a"),"o","a"),"p","a"),"q","a"),"r","a"),"s","a"),"t","a"),"u","a"),"v","a"),"w","a"),"x","a"),"y","a"),"z","a")</f>
        <v/>
      </c>
      <c r="CB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96&amp;""),"a",""),"b",""),"c",""),"d",""),"e",""),"f",""),"g",""),"h",""),"i",""),"j",""),"k",""),"l",""),"m",""),"n",""),"o",""),"p",""),"q",""),"r",""),"s",""),"t",""),"u",""),"v",""),"w",""),"x",""),"y",""),"z",""),"-",""),"_",""),"/",""),".",""),"#",""),"\\",""),":","")," ",""),"(",""),")","")</f>
        <v/>
      </c>
      <c r="CC96" s="0" t="str">
        <f aca="false">" "&amp;TRIM(SUBSTITUTE(SUBSTITUTE(SUBSTITUTE(SUBSTITUTE(SUBSTITUTE(SUBSTITUTE(SUBSTITUTE(SUBSTITUTE(SUBSTITUTE(SUBSTITUTE(SUBSTITUTE(SUBSTITUTE(SUBSTITUTE(SUBSTITUTE(SUBSTITUTE(SUBSTITUTE(SUBSTITUTE(SUBSTITUTE(SUBSTITUTE(SUBSTITUTE(SUBSTITUTE(SUBSTITUTE(SUBSTITUTE(SUBSTITUTE(LOWER(T96&amp;""),CHAR(10)," "),CHAR(13)," "),CHAR(9)," "),CHAR(160)," "),"."," "),","," "),"-"," "),"/"," "),"("," "),")"," "),":"," "),";"," "),"_"," "),"–"," "),"?"," "),"!"," "),"*"," "),"["," "),"]"," "),"'"," "),"#"," "),"+"," "),"&amp;"," "),"\"," "))&amp;" "</f>
        <v>  </v>
      </c>
      <c r="CD96" s="0" t="str">
        <f aca="false">" "&amp;TRIM(SUBSTITUTE(SUBSTITUTE(SUBSTITUTE(SUBSTITUTE(SUBSTITUTE(SUBSTITUTE(SUBSTITUTE(SUBSTITUTE(SUBSTITUTE(SUBSTITUTE(SUBSTITUTE(SUBSTITUTE(SUBSTITUTE(SUBSTITUTE(SUBSTITUTE(SUBSTITUTE(SUBSTITUTE(SUBSTITUTE(SUBSTITUTE(SUBSTITUTE(SUBSTITUTE(SUBSTITUTE(SUBSTITUTE(SUBSTITUTE(LOWER(AE96&amp;""),CHAR(10)," "),CHAR(13)," "),CHAR(9)," "),CHAR(160)," "),"."," "),","," "),"-"," "),"/"," "),"("," "),")"," "),":"," "),";"," "),"_"," "),"–"," "),"?"," "),"!"," "),"*"," "),"["," "),"]"," "),"'"," "),"#"," "),"+"," "),"&amp;"," "),"\"," "))&amp;" "</f>
        <v>  </v>
      </c>
      <c r="CE96" s="68" t="n">
        <f aca="false">IFERROR(IF(AND(LEN(AU96)&gt;0,LEN(AU96)=LEN(AX96),OR(TRIM(MID(SUBSTITUTE(TRIM(CC96)," ",REPT(" ",60)),1,60))="",ISNUMBER(SEARCH(" "&amp;TRIM(MID(SUBSTITUTE(TRIM(CC96)," ",REPT(" ",60)),1,60))&amp;" ",CD96))),OR(TRIM(MID(SUBSTITUTE(TRIM(CC96)," ",REPT(" ",60)),61,60))="",ISNUMBER(SEARCH(" "&amp;TRIM(MID(SUBSTITUTE(TRIM(CC96)," ",REPT(" ",60)),61,60))&amp;" ",CD96))),OR(TRIM(MID(SUBSTITUTE(TRIM(CC96)," ",REPT(" ",60)),121,60))="",ISNUMBER(SEARCH(" "&amp;TRIM(MID(SUBSTITUTE(TRIM(CC96)," ",REPT(" ",60)),121,60))&amp;" ",CD96)))),1,0),0)</f>
        <v>0</v>
      </c>
      <c r="CG96" s="68" t="n">
        <f aca="false">IFERROR(LEN(SUBSTITUTE(BF96," ",""))-SUMPRODUCT((LEN(BF96)-LEN(SUBSTITUTE(BF96," "&amp;L_NAFiller&amp;" "," ")))/(LEN(L_NAFiller)+1)*LEN(L_NAFiller)),0)</f>
        <v>0</v>
      </c>
    </row>
    <row r="97" customFormat="false" ht="39.75" hidden="false" customHeight="true" outlineLevel="0" collapsed="false">
      <c r="A97" s="57" t="s">
        <v>588</v>
      </c>
      <c r="B97" s="57" t="s">
        <v>218</v>
      </c>
      <c r="C97" s="57" t="str">
        <f aca="false">Flights!$F$8</f>
        <v>MH0088</v>
      </c>
      <c r="D97" s="58" t="n">
        <f aca="false">Flights!$D$8</f>
        <v>46305</v>
      </c>
      <c r="E97" s="57" t="str">
        <f aca="false">Flights!$G$8&amp;"-"&amp;Flights!$H$8</f>
        <v>KUL-NRT</v>
      </c>
      <c r="F97" s="57" t="str">
        <f aca="false">Flights!$K$8</f>
        <v>BC</v>
      </c>
      <c r="G97" s="57" t="s">
        <v>81</v>
      </c>
      <c r="H97" s="57" t="s">
        <v>378</v>
      </c>
      <c r="I97" s="57" t="s">
        <v>405</v>
      </c>
      <c r="J97" s="57" t="s">
        <v>409</v>
      </c>
      <c r="K97" s="67" t="s">
        <v>407</v>
      </c>
      <c r="L97" s="67" t="s">
        <v>382</v>
      </c>
      <c r="M97" s="67"/>
      <c r="N97" s="67" t="s">
        <v>383</v>
      </c>
      <c r="O97" s="67"/>
      <c r="P97" s="57" t="s">
        <v>187</v>
      </c>
      <c r="Q97" s="59" t="n">
        <f aca="false">ROUND((Flights!$AC$8)*1440,0)/1440</f>
        <v>46298.6458333333</v>
      </c>
      <c r="R97" s="59" t="n">
        <f aca="false">Q97+(IF(AND(INDEX(TZ_DSTS,MATCH(P97,TZ_STN,0))&lt;&gt;"",Q97&gt;=INDEX(TZ_DSTS,MATCH(P97,TZ_STN,0)),Q97&lt;INDEX(TZ_DSTE,MATCH(P97,TZ_STN,0))),INDEX(TZ_DST,MATCH(P97,TZ_STN,0)),INDEX(TZ_STD,MATCH(P97,TZ_STN,0))))/24</f>
        <v>46298.9791666667</v>
      </c>
      <c r="S97" s="60"/>
      <c r="T97" s="60"/>
      <c r="U97" s="60"/>
      <c r="V97" s="60"/>
      <c r="W97" s="61"/>
      <c r="X97" s="60"/>
      <c r="Y97" s="60"/>
      <c r="Z97" s="60"/>
      <c r="AA97" s="60"/>
      <c r="AB97" s="60"/>
      <c r="AC97" s="60"/>
      <c r="AD97" s="66"/>
      <c r="AE97" s="60"/>
      <c r="AF97" s="61" t="str">
        <f aca="false">IF(AND(ISNUMBER(X97),ISNUMBER(Y97)),Y97-X97,"")</f>
        <v/>
      </c>
      <c r="AG97" s="62" t="str">
        <f aca="false">IF(ISNUMBER(AD97),AD97-(IF(AND(INDEX(TZ_DSTS,MATCH(P97,TZ_STN,0))&lt;&gt;"",(AD97-INDEX(TZ_STD,MATCH(P97,TZ_STN,0))/24)&gt;=INDEX(TZ_DSTS,MATCH(P97,TZ_STN,0)),(AD97-INDEX(TZ_STD,MATCH(P97,TZ_STN,0))/24)&lt;INDEX(TZ_DSTE,MATCH(P97,TZ_STN,0))),INDEX(TZ_DST,MATCH(P97,TZ_STN,0)),INDEX(TZ_STD,MATCH(P97,TZ_STN,0))))/24,"")</f>
        <v/>
      </c>
      <c r="AH97" s="65" t="str">
        <f aca="false">IFERROR(IF(N97="N/A – rule",IF(OR(TRIM(U97)="",TRIM(U97)="N/A",TRIM(U97)="Not started"),"N/A – RULE","INVALID – this check does not apply to this aircraft: clear the status (or correct the fleet on Flights)"),IF(TRIM(U97)="N/A",IF(AT97=0,"INVALID – N/A not permitted for this check",IF(AND(TRIM(AB97)&lt;&gt;"",TRIM(AB97)&lt;&gt;"Closed"),"INVALID – corrective action still open",IF(AND(NOT(OR(LEN(AZ97)&lt;15,ISNUMBER(MATCH(AZ97,L_Placeholder,0)))),BK97=0,CG97&gt;=8,NOT(OR(LEN(AU97)&lt;2,ISNUMBER(MATCH(AU97,L_Placeholder,0)))),BR97&gt;=3,NOT(OR(LEN(AX97)&lt;2,ISNUMBER(MATCH(AX97,L_Placeholder,0)))),BS97&gt;=3,TRIM(AE97)&lt;&gt;TRIM(T97),AX97&lt;&gt;AU97,CE97=0),"N/A – JUSTIFIED","INVALID – N/A needs a real, settled reason (not 'not applicable' / 'as above' / TBC), a named PIC and a different named verifier"))),IF(OR(TRIM(U97)="Pass",TRIM(U97)="Pass after CA"),IF(NOT(ISNUMBER(AD97)),"INVALID – completion time missing",IF(OR(OR(LEN(AU97)&lt;2,ISNUMBER(MATCH(AU97,L_Placeholder,0))),BR97&lt;3),"INVALID – PIC missing or not a named person (a role such as QA / CSM is not a name)",IF(OR(LEN(AV97)&lt;2,ISNUMBER(MATCH(AV97,L_Placeholder,0))),"INVALID – result / assessment missing",IF(OR(OR(LEN(AW97)&lt;3,ISNUMBER(MATCH(AW97,L_Placeholder,0))),SUMPRODUCT(--ISNUMBER(SEARCH(" "&amp;L_EvidencePhrase&amp;" ",BD97)))&gt;0,BI97=1),"INVALID – evidence missing, placeholder or not yet on file",IF(ISNA(MATCH(TRIM(S97),L_EvidenceType,0)),"INVALID – choose the evidence type from the list (column S)",IF(BL97=0,"INVALID – evidence ID must be the record's own ID only (e.g. SF-2210, IMG_2231, 1045521); a link / file name needs type 'Link / file path'",IF(OR(OR(LEN(AX97)&lt;2,ISNUMBER(MATCH(AX97,L_Placeholder,0))),BS97&lt;3),"INVALID – verifier missing or not a named person (a role such as QA / CSM is not a name)",IF(OR(AX97=AU97,CE97=1,AND(LEN(AU97)&gt;=4,ISNUMBER(SEARCH(AU97,AX97))),AND(LEN(AX97)&gt;=4,ISNUMBER(SEARCH(AX97,AU97)))),"INVALID – verifier must be a different, named person (not the PIC or a role)",IF(BH97=1,"INVALID – result not yet available (awaiting / TBC)",IF(BG97=1,"INVALID – result describes a problem: record Fail, then Pass after CA (or reword if it is not a problem)",IF(BV97=1,"INVALID – wording says not on board: an on-board confirmation needs the item loaded",IF(AND(AQ97=1,OR(OR(LEN(AY97)&lt;3,ISNUMBER(MATCH(AY97,L_Placeholder,0))),BJ97=1,BQ97=0)),"INVALID – batch ID missing, placeholder or not an ID (e.g. PASB-261008-BC-017)",IF(AND(AR97=1,OR(NOT(ISNUMBER(X97)),NOT(ISNUMBER(Y97)))),"INVALID – expected/actual qty missing",IF(AND(AR97=1,OR(X97&lt;=0,Y97&lt;0)),"INVALID – expected qty must be above 0 and actual not negative",IF(BB97&lt;&gt;"",BB97,IF(AND(AS97=1,Documents!$J$8&lt;&gt;"ON FILE"),"INVALID – GLD not on file (Documents sheet)",IF(AND(AS97=2,Documents!$O$8&lt;&gt;"ON FILE"),"INVALID – menu checklist not on file (Documents sheet)",IF(AND(AS97=3,NOT(ISNUMBER(Flights!$AX$8))),"INVALID – enter carrying flight KUL departure (Flights AX)",IF(AND(AS97=3,OR(Flights!$AZ$8&gt;Flights!$AA$8,Flights!$AX$8&lt;Flights!$AA$8-3)),"INVALID – carrying flight (Flights AX) cannot arrive before this leg's STD, or is over 3 days early",IF(AG97&gt;AsOfUTC,"INVALID – completion time is in the future",IF(AND(ISNUMBER(BY97),AG97&lt;BY97),IF(H97="Physical uplift","INVALID – before uplift window (cannot confirm loading)","INVALID – before valid window"),IF(AG97&gt;Flights!$AA$8,"INVALID – completed after departure (cannot establish readiness)",IF(AND(H97="Preparation",AG97&gt;=IF(ISNUMBER(Flights!$BA$8),MIN(Flights!$BA$8,Flights!$AA$8),Flights!$AA$8)),"INVALID – completed after loading / departure (cannot establish readiness)",IF(AND(H97="Physical uplift",AG97&gt;Q97),"INVALID – recorded after the loading flight departed",IF(AG97&gt;Q97,"COMPLETE – LATE","COMPLETE"))))))))))))))))))))))))),IF(TRIM(U97)="Fail","FAIL – DISCREPANCY",IF(AND(TRIM(U97)&lt;&gt;"",TRIM(U97)&lt;&gt;"Not started",TRIM(U97)&lt;&gt;"In progress"),"INVALID – unrecognised status (use the list)",IF(AsOfUTC&gt;Q97,"OVERDUE",IF(N97="Clarification required","OPEN – CLARIFICATION","OPEN"))))))),"INVALID – error value in an input cell")</f>
        <v>OPEN</v>
      </c>
      <c r="AI97" s="61" t="n">
        <f aca="false">IF(OR(AH97="N/A – RULE",AH97="N/A – JUSTIFIED"),0,1)</f>
        <v>1</v>
      </c>
      <c r="AJ97" s="61" t="n">
        <f aca="false">IF(LEFT(AH97,8)="COMPLETE",1,0)</f>
        <v>0</v>
      </c>
      <c r="AK97" s="61" t="n">
        <f aca="false">IF(AND(AI97=1,AJ97=0,AsOfUTC&gt;Q97),1,0)</f>
        <v>0</v>
      </c>
      <c r="AL97" s="61" t="n">
        <f aca="false">IFERROR(IF(AND(AI97=1,OR(TRIM(U97)="Fail",AND(TRIM(AB97)&lt;&gt;"",TRIM(AB97)&lt;&gt;"Closed"),AND(ISNUMBER(AF97),AF97&lt;&gt;0,TRIM(U97)&lt;&gt;"Pass after CA"))),1,0),1)</f>
        <v>0</v>
      </c>
      <c r="AM97" s="61" t="n">
        <f aca="false">IF(LEFT(AH97,7)="INVALID",1,0)</f>
        <v>0</v>
      </c>
      <c r="AN97" s="61" t="n">
        <f aca="false">IF(AND(N97="Clarification required",AI97=1,AJ97=0),1,0)</f>
        <v>0</v>
      </c>
      <c r="AO97" s="61" t="str">
        <f aca="false">IF(AK97=1,SUM(AK$5:AK97),"")</f>
        <v/>
      </c>
      <c r="AP97" s="61" t="str">
        <f aca="false">IF(AL97=1,SUM(AL$5:AL97),"")</f>
        <v/>
      </c>
      <c r="AQ97" s="61" t="n">
        <v>0</v>
      </c>
      <c r="AR97" s="61" t="n">
        <v>0</v>
      </c>
      <c r="AS97" s="61" t="n">
        <v>2</v>
      </c>
      <c r="AT97" s="61" t="n">
        <v>0</v>
      </c>
      <c r="AU97" s="61" t="str">
        <f aca="false">SUBSTITUTE(SUBSTITUTE(SUBSTITUTE(SUBSTITUTE(SUBSTITUTE(SUBSTITUTE(SUBSTITUTE(SUBSTITUTE(SUBSTITUTE(SUBSTITUTE(SUBSTITUTE(SUBSTITUTE(SUBSTITUTE(SUBSTITUTE(SUBSTITUTE(SUBSTITUTE(LOWER(T97&amp;""),CHAR(10),""),CHAR(13),""),CHAR(9),""),CHAR(160),"")," ",""),".",""),"-",""),"/",""),"?",""),"_",""),",",""),"[",""),"]",""),"(",""),")",""),"*","")</f>
        <v/>
      </c>
      <c r="AV97" s="61" t="str">
        <f aca="false">SUBSTITUTE(SUBSTITUTE(SUBSTITUTE(SUBSTITUTE(SUBSTITUTE(SUBSTITUTE(SUBSTITUTE(SUBSTITUTE(SUBSTITUTE(SUBSTITUTE(SUBSTITUTE(SUBSTITUTE(SUBSTITUTE(SUBSTITUTE(SUBSTITUTE(SUBSTITUTE(LOWER(V97&amp;""),CHAR(10),""),CHAR(13),""),CHAR(9),""),CHAR(160),"")," ",""),".",""),"-",""),"/",""),"?",""),"_",""),",",""),"[",""),"]",""),"(",""),")",""),"*","")</f>
        <v/>
      </c>
      <c r="AW97" s="61" t="str">
        <f aca="false">SUBSTITUTE(SUBSTITUTE(SUBSTITUTE(SUBSTITUTE(SUBSTITUTE(SUBSTITUTE(SUBSTITUTE(SUBSTITUTE(SUBSTITUTE(SUBSTITUTE(SUBSTITUTE(SUBSTITUTE(SUBSTITUTE(SUBSTITUTE(SUBSTITUTE(SUBSTITUTE(LOWER(Z97&amp;""),CHAR(10),""),CHAR(13),""),CHAR(9),""),CHAR(160),"")," ",""),".",""),"-",""),"/",""),"?",""),"_",""),",",""),"[",""),"]",""),"(",""),")",""),"*","")</f>
        <v/>
      </c>
      <c r="AX97" s="61" t="str">
        <f aca="false">SUBSTITUTE(SUBSTITUTE(SUBSTITUTE(SUBSTITUTE(SUBSTITUTE(SUBSTITUTE(SUBSTITUTE(SUBSTITUTE(SUBSTITUTE(SUBSTITUTE(SUBSTITUTE(SUBSTITUTE(SUBSTITUTE(SUBSTITUTE(SUBSTITUTE(SUBSTITUTE(LOWER(AE97&amp;""),CHAR(10),""),CHAR(13),""),CHAR(9),""),CHAR(160),"")," ",""),".",""),"-",""),"/",""),"?",""),"_",""),",",""),"[",""),"]",""),"(",""),")",""),"*","")</f>
        <v/>
      </c>
      <c r="AY97" s="61" t="str">
        <f aca="false">SUBSTITUTE(SUBSTITUTE(SUBSTITUTE(SUBSTITUTE(SUBSTITUTE(SUBSTITUTE(SUBSTITUTE(SUBSTITUTE(SUBSTITUTE(SUBSTITUTE(SUBSTITUTE(SUBSTITUTE(SUBSTITUTE(SUBSTITUTE(SUBSTITUTE(SUBSTITUTE(LOWER(W97&amp;""),CHAR(10),""),CHAR(13),""),CHAR(9),""),CHAR(160),"")," ",""),".",""),"-",""),"/",""),"?",""),"_",""),",",""),"[",""),"]",""),"(",""),")",""),"*","")</f>
        <v/>
      </c>
      <c r="AZ97" s="61" t="str">
        <f aca="false">SUBSTITUTE(SUBSTITUTE(SUBSTITUTE(SUBSTITUTE(SUBSTITUTE(SUBSTITUTE(SUBSTITUTE(SUBSTITUTE(SUBSTITUTE(SUBSTITUTE(SUBSTITUTE(SUBSTITUTE(SUBSTITUTE(SUBSTITUTE(SUBSTITUTE(SUBSTITUTE(LOWER(AC97&amp;""),CHAR(10),""),CHAR(13),""),CHAR(9),""),CHAR(160),"")," ",""),".",""),"-",""),"/",""),"?",""),"_",""),",",""),"[",""),"]",""),"(",""),")",""),"*","")</f>
        <v/>
      </c>
      <c r="BA97" s="61" t="str">
        <f aca="false">SUBSTITUTE(SUBSTITUTE(SUBSTITUTE(SUBSTITUTE(SUBSTITUTE(SUBSTITUTE(SUBSTITUTE(SUBSTITUTE(SUBSTITUTE(SUBSTITUTE(SUBSTITUTE(SUBSTITUTE(SUBSTITUTE(SUBSTITUTE(SUBSTITUTE(SUBSTITUTE(LOWER(AA97&amp;""),CHAR(10),""),CHAR(13),""),CHAR(9),""),CHAR(160),"")," ",""),".",""),"-",""),"/",""),"?",""),"_",""),",",""),"[",""),"]",""),"(",""),")",""),"*","")</f>
        <v/>
      </c>
      <c r="BB97" s="61" t="str">
        <f aca="false">IF(AND(TRIM(U97)="Pass",ISNUMBER(AF97)),IF(AF97&lt;&gt;0,"INVALID – qty variance: use Fail or Pass after CA",""),"")&amp;IF(AND(TRIM(U97)="Pass after CA",ISNUMBER(AF97)),IF(AF97&lt;&gt;0,"INVALID – after the corrective action the actual qty must equal expected (update Actual)",""),"")&amp;IF(AND(TRIM(U97)="Pass",TRIM(AB97)&lt;&gt;"",TRIM(AB97)&lt;&gt;"Closed"),"INVALID – corrective action not closed: use Fail, then Pass after CA","")&amp;IF(AND(LEN(BA97)&gt;=2,ISNA(MATCH(LEFT(BA97,255),L_Placeholder,0)),TRIM(AB97)=""),"INVALID – CA status missing for the recorded corrective action","")&amp;IF(AND(TRIM(U97)="Pass after CA",OR(OR(LEN(BA97)&lt;5,ISNUMBER(MATCH(BA97,L_Placeholder,0))),TRIM(AB97)&lt;&gt;"Closed")),"INVALID – corrective action not recorded/closed","")</f>
        <v/>
      </c>
      <c r="BC97" s="61" t="str">
        <f aca="false">" "&amp;TRIM(SUBSTITUTE(SUBSTITUTE(SUBSTITUTE(SUBSTITUTE(SUBSTITUTE(SUBSTITUTE(SUBSTITUTE(SUBSTITUTE(SUBSTITUTE(SUBSTITUTE(SUBSTITUTE(SUBSTITUTE(SUBSTITUTE(SUBSTITUTE(SUBSTITUTE(SUBSTITUTE(SUBSTITUTE(SUBSTITUTE(SUBSTITUTE(SUBSTITUTE(SUBSTITUTE(SUBSTITUTE(SUBSTITUTE(SUBSTITUTE(LOWER(V97&amp;""),CHAR(10)," "),CHAR(13)," "),CHAR(9)," "),CHAR(160)," "),"."," "),","," "),"-"," "),"/"," "),"("," "),")"," "),":"," "),";"," "),"_"," "),"–"," "),"?"," "),"!"," "),"*"," "),"["," "),"]"," "),"'"," "),"#"," "),"+"," "),"&amp;"," "),"\"," "))&amp;" "</f>
        <v>  </v>
      </c>
      <c r="BD97" s="61" t="str">
        <f aca="false">" "&amp;TRIM(SUBSTITUTE(SUBSTITUTE(SUBSTITUTE(SUBSTITUTE(SUBSTITUTE(SUBSTITUTE(SUBSTITUTE(SUBSTITUTE(SUBSTITUTE(SUBSTITUTE(SUBSTITUTE(SUBSTITUTE(SUBSTITUTE(SUBSTITUTE(SUBSTITUTE(SUBSTITUTE(SUBSTITUTE(SUBSTITUTE(SUBSTITUTE(SUBSTITUTE(SUBSTITUTE(SUBSTITUTE(SUBSTITUTE(SUBSTITUTE(LOWER(Z97&amp;""),CHAR(10)," "),CHAR(13)," "),CHAR(9)," "),CHAR(160)," "),"."," "),","," "),"-"," "),"/"," "),"("," "),")"," "),":"," "),";"," "),"_"," "),"–"," "),"?"," "),"!"," "),"*"," "),"["," "),"]"," "),"'"," "),"#"," "),"+"," "),"&amp;"," "),"\"," "))&amp;" "</f>
        <v>  </v>
      </c>
      <c r="BE97" s="61" t="str">
        <f aca="false">" "&amp;TRIM(SUBSTITUTE(SUBSTITUTE(SUBSTITUTE(SUBSTITUTE(SUBSTITUTE(SUBSTITUTE(SUBSTITUTE(SUBSTITUTE(SUBSTITUTE(SUBSTITUTE(SUBSTITUTE(SUBSTITUTE(SUBSTITUTE(SUBSTITUTE(SUBSTITUTE(SUBSTITUTE(SUBSTITUTE(SUBSTITUTE(SUBSTITUTE(SUBSTITUTE(SUBSTITUTE(SUBSTITUTE(SUBSTITUTE(SUBSTITUTE(LOWER(W97&amp;""),CHAR(10)," "),CHAR(13)," "),CHAR(9)," "),CHAR(160)," "),"."," "),","," "),"-"," "),"/"," "),"("," "),")"," "),":"," "),";"," "),"_"," "),"–"," "),"?"," "),"!"," "),"*"," "),"["," "),"]"," "),"'"," "),"#"," "),"+"," "),"&amp;"," "),"\"," "))&amp;" "</f>
        <v>  </v>
      </c>
      <c r="BF97" s="61" t="str">
        <f aca="false">" "&amp;TRIM(SUBSTITUTE(SUBSTITUTE(SUBSTITUTE(SUBSTITUTE(SUBSTITUTE(SUBSTITUTE(SUBSTITUTE(SUBSTITUTE(SUBSTITUTE(SUBSTITUTE(SUBSTITUTE(SUBSTITUTE(SUBSTITUTE(SUBSTITUTE(SUBSTITUTE(SUBSTITUTE(SUBSTITUTE(SUBSTITUTE(SUBSTITUTE(SUBSTITUTE(SUBSTITUTE(SUBSTITUTE(SUBSTITUTE(SUBSTITUTE(LOWER(AC97&amp;""),CHAR(10)," "),CHAR(13)," "),CHAR(9)," "),CHAR(160)," "),"."," "),","," "),"-"," "),"/"," "),"("," "),")"," "),":"," "),";"," "),"_"," "),"–"," "),"?"," "),"!"," "),"*"," "),"["," "),"]"," "),"'"," "),"#"," "),"+"," "),"&amp;"," "),"\"," "))&amp;" "</f>
        <v>  </v>
      </c>
      <c r="BG97" s="61" t="n">
        <f aca="false">IFERROR(IF(AND(TRIM(U97)="Pass",SUMPRODUCT((LEN(BC97)-LEN(SUBSTITUTE(BC97," "&amp;L_ResultBad&amp;" "," ")))/(LEN(L_ResultBad)+1))&gt;SUMPRODUCT((LEN(BC97)-LEN(SUBSTITUTE(BC97," "&amp;L_NegPhrase&amp;" "," ")))/(LEN(L_NegPhrase)+1))),1,0),0)</f>
        <v>0</v>
      </c>
      <c r="BH97" s="61" t="n">
        <f aca="false">IFERROR(IF(SUMPRODUCT((LEN(BC97)-LEN(SUBSTITUTE(BC97," "&amp;L_Pending&amp;" "," ")))/(LEN(L_Pending)+1))&gt;SUMPRODUCT((LEN(BC97)-LEN(SUBSTITUTE(BC97," "&amp;L_PendNeg&amp;" "," ")))/(LEN(L_PendNeg)+1))+SUMPRODUCT((LEN(BC97)-LEN(SUBSTITUTE(BC97," "&amp;L_PendPrep&amp;" "," ")))/(LEN(L_PendPrep)+1)),1,0),1)</f>
        <v>0</v>
      </c>
      <c r="BI97" s="61" t="n">
        <f aca="false">IFERROR(IF(SUMPRODUCT((LEN(BD97)-LEN(SUBSTITUTE(BD97," "&amp;L_PendStrict&amp;" "," ")))/(LEN(L_PendStrict)+1))&gt;SUMPRODUCT((LEN(BD97)-LEN(SUBSTITUTE(BD97," "&amp;L_PendNeg&amp;" "," ")))/(LEN(L_PendNeg)+1)),1,0),1)</f>
        <v>0</v>
      </c>
      <c r="BJ97" s="61" t="n">
        <f aca="false">IFERROR(IF(SUMPRODUCT((LEN(BE97)-LEN(SUBSTITUTE(BE97," "&amp;L_Pending&amp;" "," ")))/(LEN(L_Pending)+1))&gt;SUMPRODUCT((LEN(BE97)-LEN(SUBSTITUTE(BE97," "&amp;L_PendNeg&amp;" "," ")))/(LEN(L_PendNeg)+1))+SUMPRODUCT((LEN(BE97)-LEN(SUBSTITUTE(BE97," "&amp;L_PendPrep&amp;" "," ")))/(LEN(L_PendPrep)+1)),1,0),1)</f>
        <v>0</v>
      </c>
      <c r="BK97" s="61" t="n">
        <f aca="false">IFERROR(IF(SUMPRODUCT((LEN(BF97)-LEN(SUBSTITUTE(BF97," "&amp;L_PendStrict&amp;" "," ")))/(LEN(L_PendStrict)+1))&gt;SUMPRODUCT((LEN(BF97)-LEN(SUBSTITUTE(BF97," "&amp;L_PendNeg&amp;" "," ")))/(LEN(L_PendNeg)+1)),1,0),1)</f>
        <v>0</v>
      </c>
      <c r="BL97" s="61" t="n">
        <f aca="false">IF(ISNA(MATCH(TRIM(S97),L_EvidenceType,0)),0,BZ97)</f>
        <v>0</v>
      </c>
      <c r="BM97" s="61" t="str">
        <f aca="false">SUBSTITUTE(SUBSTITUTE(SUBSTITUTE(SUBSTITUTE(SUBSTITUTE(SUBSTITUTE(SUBSTITUTE(SUBSTITUTE(SUBSTITUTE(LOWER(Z97&amp;""),"1","0"),"2","0"),"3","0"),"4","0"),"5","0"),"6","0"),"7","0"),"8","0"),"9","0")</f>
        <v/>
      </c>
      <c r="BN97" s="61" t="str">
        <f aca="false">SUBSTITUTE(SUBSTITUTE(SUBSTITUTE(SUBSTITUTE(SUBSTITUTE(SUBSTITUTE(SUBSTITUTE(SUBSTITUTE(SUBSTITUTE(SUBSTITUTE(SUBSTITUTE(SUBSTITUTE(SUBSTITUTE(SUBSTITUTE(SUBSTITUTE(SUBSTITUTE(SUBSTITUTE(SUBSTITUTE(SUBSTITUTE(SUBSTITUTE(SUBSTITUTE(SUBSTITUTE(SUBSTITUTE(SUBSTITUTE(SUBSTITUTE(BM97,"b","a"),"c","a"),"d","a"),"e","a"),"f","a"),"g","a"),"h","a"),"i","a"),"j","a"),"k","a"),"l","a"),"m","a"),"n","a"),"o","a"),"p","a"),"q","a"),"r","a"),"s","a"),"t","a"),"u","a"),"v","a"),"w","a"),"x","a"),"y","a"),"z","a")</f>
        <v/>
      </c>
      <c r="BO97" s="61" t="str">
        <f aca="false">SUBSTITUTE(SUBSTITUTE(SUBSTITUTE(SUBSTITUTE(SUBSTITUTE(SUBSTITUTE(SUBSTITUTE(SUBSTITUTE(SUBSTITUTE(LOWER(W97&amp;""),"1","0"),"2","0"),"3","0"),"4","0"),"5","0"),"6","0"),"7","0"),"8","0"),"9","0")</f>
        <v/>
      </c>
      <c r="BP97" s="61" t="str">
        <f aca="false">SUBSTITUTE(SUBSTITUTE(SUBSTITUTE(SUBSTITUTE(SUBSTITUTE(SUBSTITUTE(SUBSTITUTE(SUBSTITUTE(SUBSTITUTE(SUBSTITUTE(SUBSTITUTE(SUBSTITUTE(SUBSTITUTE(SUBSTITUTE(SUBSTITUTE(SUBSTITUTE(SUBSTITUTE(SUBSTITUTE(SUBSTITUTE(SUBSTITUTE(SUBSTITUTE(SUBSTITUTE(SUBSTITUTE(SUBSTITUTE(SUBSTITUTE(BO97,"b","a"),"c","a"),"d","a"),"e","a"),"f","a"),"g","a"),"h","a"),"i","a"),"j","a"),"k","a"),"l","a"),"m","a"),"n","a"),"o","a"),"p","a"),"q","a"),"r","a"),"s","a"),"t","a"),"u","a"),"v","a"),"w","a"),"x","a"),"y","a"),"z","a")</f>
        <v/>
      </c>
      <c r="BQ97" s="61" t="n">
        <f aca="false">IFERROR(IF(AND(ISERROR(SEARCH(" mh"," "&amp;LOWER(W97))),ISNA(MATCH(LEFT(TRIM(BP97),255),{"0000a","000a","00a","0000aa","000aa","00aa","0aa","0000aaa","000aaa","00a00","0a00","0000-0000","00:00","a00","a0","00.00.0000","00/00/0000","00-00-0000","0000-00-00","0000/00/00","0000.00.00","00.00.00","00/00/00","00-00-00","0.00.0000","0/00/0000","0-00-0000"},0)),ISNA(MATCH(LEFT(TRIM(CA97),255),{"0000a","000a","00a","0000aa","000aa","00aa","0aa","0000aaa","000aaa","00a00","0a00","0000-0000","00:00","a00","a0","00.00.0000","00/00/0000","00-00-0000","0000-00-00","0000/00/00","0000.00.00","00.00.00","00/00/00","00-00-00","0.00.0000","0/00/0000","0-00-0000"},0)),LEN(CB97)&gt;=3,NOT(OR(SUBSTITUTE(CB97,"0","")="",AND(LEN(CB97)&gt;=4,CB97=REPT(LEFT(CB97),LEN(CB97))),ISNUMBER(MATCH(CB97,{"123","1234","12345","123456","1234567","12345678","0123","01234","012345","98765","987654","54321"},0)),AND(LEN(CB97)=8,LEFT(CB97,3)="202"))),OR(AND((LEN(CA97)-LEN(SUBSTITUTE(CA97,"a","")))&gt;=1,SUMPRODUCT(--ISNUMBER(SEARCH({"a0","a-0","a_0","a/0","a.0","a#0","0a","0-a","0_a","0/a"},BP97)))&gt;0),ISNUMBER(SEARCH("000000",BP97)))),1,0),0)</f>
        <v>0</v>
      </c>
      <c r="BR97" s="61" t="n">
        <f aca="false">IFERROR(LEN(SUBSTITUTE(CC97," ",""))-SUMPRODUCT((LEN(CC97)-LEN(SUBSTITUTE(CC97," "&amp;L_Role&amp;" "," ")))/(LEN(L_Role)+1)*LEN(L_Role)),0)</f>
        <v>0</v>
      </c>
      <c r="BS97" s="61" t="n">
        <f aca="false">IFERROR(LEN(SUBSTITUTE(CD97," ",""))-SUMPRODUCT((LEN(CD97)-LEN(SUBSTITUTE(CD97," "&amp;L_Role&amp;" "," ")))/(LEN(L_Role)+1)*LEN(L_Role)),0)</f>
        <v>0</v>
      </c>
      <c r="BT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97,"revision",""),"version",""),"jan",""),"feb",""),"mar",""),"apr",""),"may",""),"jun",""),"jul",""),"aug",""),"sep",""),"oct",""),"nov",""),"dec",""),"utc",""),"gmt",""),"myt",""),"bst",""),"rev",""),"ver",""),"b","a"),"c","a"),"d","a"),"e","a"),"f","a"),"g","a"),"h","a"),"i","a"),"j","a"),"k","a"),"l","a"),"m","a"),"n","a"),"o","a"),"p","a"),"q","a"),"r","a"),"s","a"),"t","a"),"u","a"),"v","a"),"w","a"),"x","a"),"y","a"),"z","a")</f>
        <v/>
      </c>
      <c r="BU97" s="61" t="str">
        <f aca="false">SUBSTITUTE(SUBSTITUTE(SUBSTITUTE(SUBSTITUTE(SUBSTITUTE(SUBSTITUTE(SUBSTITUTE(SUBSTITUTE(SUBSTITUTE(SUBSTITUTE(LEFT(BM97,FIND("0",BM97&amp;"0")-1),"-",""),"_",""),"/",""),".",""),"#",""),"\\",""),":","")," ",""),"(",""),")","")</f>
        <v/>
      </c>
      <c r="BV97" s="61" t="n">
        <f aca="false">0</f>
        <v>0</v>
      </c>
      <c r="BW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97&amp;""),"a",""),"b",""),"c",""),"d",""),"e",""),"f",""),"g",""),"h",""),"i",""),"j",""),"k",""),"l",""),"m",""),"n",""),"o",""),"p",""),"q",""),"r",""),"s",""),"t",""),"u",""),"v",""),"w",""),"x",""),"y",""),"z",""),"-",""),"_",""),"/",""),".",""),"#",""),"\\",""),":","")," ",""),"(",""),")","")</f>
        <v/>
      </c>
      <c r="BX97" s="61" t="str">
        <f aca="false">SUBSTITUTE(SUBSTITUTE(SUBSTITUTE(SUBSTITUTE(SUBSTITUTE(SUBSTITUTE(SUBSTITUTE(SUBSTITUTE(SUBSTITUTE(SUBSTITUTE(SUBSTITUTE(BM97,"0",""),"-",""),"_",""),"/",""),".",""),"#",""),"\\",""),":","")," ",""),"(",""),")","")</f>
        <v/>
      </c>
      <c r="BY97" s="62" t="n">
        <f aca="false">Q97-T7EarlyD*24/24</f>
        <v>46284.6458333333</v>
      </c>
      <c r="BZ97" s="61" t="n">
        <f aca="false">IFERROR(IF(IF(TRIM(S97)="Link / file path",AND(LEN(TRIM(Z97))&gt;=5,SUMPRODUCT(--ISNUMBER(SEARCH({"http","www.","\\",":\",".pdf",".jpg",".jpeg",".png",".heic",".xls",".doc",".msg",".eml",".ppt",".txt",".zip"},Z97)))&gt;0),AND(ISERROR(FIND(" ",TRIM(Z97))),NOT(OR(SUMPRODUCT(--ISNUMBER(FIND({",",";","&amp;","+"},Z97)))&gt;0,SUMPRODUCT(--ISNUMBER(SEARCH({"0/aa","0\\aa"},BN97)))&gt;0)),NOT(SUMPRODUCT(--ISNUMBER(SEARCH({"http","www.","\\",":\",".pdf",".jpg",".jpeg",".png",".heic",".xls",".doc",".msg",".eml",".ppt",".txt",".zip"},Z97)))&gt;0),NOT(LOWER(TRIM(Z97))=LOWER(Flights!$F$8)),ISNA(MATCH(BU97,{"mh","rev","revision","ver","version","v","r","a","b","seat","tray","row","gate","bay","stand","page","pg","item","line","no","cart","galley","flight","flt","table","box","bag","oven","etd","eta","std","sta","atd","ata","qty","pax","x","time","tel","ph","mob","day","wk","week","utc","gmt","myt","lt"},0)),NOT(OR(ISNUMBER(MATCH(LEFT(BN97,255),{"0000a","000a","00a","0000aa","000aa","00aa","0aa","0000aaa","000aaa","00a00","0a00","0000-0000","00:00","a00","a0","00.00.0000","00/00/0000","00-00-0000","0000-00-00","0000/00/00","0000.00.00","00.00.00","00/00/00","00-00-00","0.00.0000","0/00/0000","0-00-0000"},0)),ISNUMBER(MATCH(LEFT(BT97,255),{"0000a","000a","00a","0000aa","000aa","00aa","0aa","0000aaa","000aaa","00a00","0a00","0000-0000","00:00","a00","a0","00.00.0000","00/00/0000","00-00-0000","0000-00-00","0000/00/00","0000.00.00","00.00.00","00/00/00","00-00-00","0.00.0000","0/00/0000","0-00-0000"},0)))),NOT(OR(AND(BW97&lt;&gt;"",SUBSTITUTE(BW97,"0","")=""),AND(LEN(BW97)&gt;=4,BW97=REPT(LEFT(BW97),LEN(BW97))),ISNUMBER(MATCH(BW97,{"123","1234","12345","123456","1234567","12345678","0123","01234","012345","98765","987654","54321"},0)),ISNUMBER(MATCH(BX97,{"x","xx","xxx","xxxx","xxxxx","abc","abcd","nil","na","nan","test","tbc","tba","tbd","dummy","sample","example","eg","zz","zzz","none","null","xyz","qwe","asd","id","ref"},0)),AND(LEN(BW97)=8,BX97="",OR(LEFT(BW97,3)="202",ISNUMBER(MATCH(RIGHT(BW97,4),{"2025","2026","2027"},0)))))),OR(AND((LEN(BT97)-LEN(SUBSTITUTE(BT97,"a","")))&gt;=1,(LEN(BN97)-LEN(SUBSTITUTE(BN97,"0","")))&gt;=2,SUMPRODUCT(--ISNUMBER(SEARCH({"a0","a-0","a_0","a/0","a.0","a#0","0a","0-a","0_a","0/a"},BN97)))&gt;0),AND((LEN(BN97)-LEN(SUBSTITUTE(BN97,"a","")))=0,(LEN(BN97)-LEN(SUBSTITUTE(BN97,"0","")))&gt;=5)))),1,0),0)</f>
        <v>0</v>
      </c>
      <c r="CA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97,"revision",""),"version",""),"jan",""),"feb",""),"mar",""),"apr",""),"may",""),"jun",""),"jul",""),"aug",""),"sep",""),"oct",""),"nov",""),"dec",""),"utc",""),"gmt",""),"myt",""),"bst",""),"rev",""),"ver",""),"b","a"),"c","a"),"d","a"),"e","a"),"f","a"),"g","a"),"h","a"),"i","a"),"j","a"),"k","a"),"l","a"),"m","a"),"n","a"),"o","a"),"p","a"),"q","a"),"r","a"),"s","a"),"t","a"),"u","a"),"v","a"),"w","a"),"x","a"),"y","a"),"z","a")</f>
        <v/>
      </c>
      <c r="CB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97&amp;""),"a",""),"b",""),"c",""),"d",""),"e",""),"f",""),"g",""),"h",""),"i",""),"j",""),"k",""),"l",""),"m",""),"n",""),"o",""),"p",""),"q",""),"r",""),"s",""),"t",""),"u",""),"v",""),"w",""),"x",""),"y",""),"z",""),"-",""),"_",""),"/",""),".",""),"#",""),"\\",""),":","")," ",""),"(",""),")","")</f>
        <v/>
      </c>
      <c r="CC97" s="0" t="str">
        <f aca="false">" "&amp;TRIM(SUBSTITUTE(SUBSTITUTE(SUBSTITUTE(SUBSTITUTE(SUBSTITUTE(SUBSTITUTE(SUBSTITUTE(SUBSTITUTE(SUBSTITUTE(SUBSTITUTE(SUBSTITUTE(SUBSTITUTE(SUBSTITUTE(SUBSTITUTE(SUBSTITUTE(SUBSTITUTE(SUBSTITUTE(SUBSTITUTE(SUBSTITUTE(SUBSTITUTE(SUBSTITUTE(SUBSTITUTE(SUBSTITUTE(SUBSTITUTE(LOWER(T97&amp;""),CHAR(10)," "),CHAR(13)," "),CHAR(9)," "),CHAR(160)," "),"."," "),","," "),"-"," "),"/"," "),"("," "),")"," "),":"," "),";"," "),"_"," "),"–"," "),"?"," "),"!"," "),"*"," "),"["," "),"]"," "),"'"," "),"#"," "),"+"," "),"&amp;"," "),"\"," "))&amp;" "</f>
        <v>  </v>
      </c>
      <c r="CD97" s="0" t="str">
        <f aca="false">" "&amp;TRIM(SUBSTITUTE(SUBSTITUTE(SUBSTITUTE(SUBSTITUTE(SUBSTITUTE(SUBSTITUTE(SUBSTITUTE(SUBSTITUTE(SUBSTITUTE(SUBSTITUTE(SUBSTITUTE(SUBSTITUTE(SUBSTITUTE(SUBSTITUTE(SUBSTITUTE(SUBSTITUTE(SUBSTITUTE(SUBSTITUTE(SUBSTITUTE(SUBSTITUTE(SUBSTITUTE(SUBSTITUTE(SUBSTITUTE(SUBSTITUTE(LOWER(AE97&amp;""),CHAR(10)," "),CHAR(13)," "),CHAR(9)," "),CHAR(160)," "),"."," "),","," "),"-"," "),"/"," "),"("," "),")"," "),":"," "),";"," "),"_"," "),"–"," "),"?"," "),"!"," "),"*"," "),"["," "),"]"," "),"'"," "),"#"," "),"+"," "),"&amp;"," "),"\"," "))&amp;" "</f>
        <v>  </v>
      </c>
      <c r="CE97" s="68" t="n">
        <f aca="false">IFERROR(IF(AND(LEN(AU97)&gt;0,LEN(AU97)=LEN(AX97),OR(TRIM(MID(SUBSTITUTE(TRIM(CC97)," ",REPT(" ",60)),1,60))="",ISNUMBER(SEARCH(" "&amp;TRIM(MID(SUBSTITUTE(TRIM(CC97)," ",REPT(" ",60)),1,60))&amp;" ",CD97))),OR(TRIM(MID(SUBSTITUTE(TRIM(CC97)," ",REPT(" ",60)),61,60))="",ISNUMBER(SEARCH(" "&amp;TRIM(MID(SUBSTITUTE(TRIM(CC97)," ",REPT(" ",60)),61,60))&amp;" ",CD97))),OR(TRIM(MID(SUBSTITUTE(TRIM(CC97)," ",REPT(" ",60)),121,60))="",ISNUMBER(SEARCH(" "&amp;TRIM(MID(SUBSTITUTE(TRIM(CC97)," ",REPT(" ",60)),121,60))&amp;" ",CD97)))),1,0),0)</f>
        <v>0</v>
      </c>
      <c r="CG97" s="68" t="n">
        <f aca="false">IFERROR(LEN(SUBSTITUTE(BF97," ",""))-SUMPRODUCT((LEN(BF97)-LEN(SUBSTITUTE(BF97," "&amp;L_NAFiller&amp;" "," ")))/(LEN(L_NAFiller)+1)*LEN(L_NAFiller)),0)</f>
        <v>0</v>
      </c>
    </row>
    <row r="98" customFormat="false" ht="39.75" hidden="false" customHeight="true" outlineLevel="0" collapsed="false">
      <c r="A98" s="57" t="s">
        <v>589</v>
      </c>
      <c r="B98" s="57" t="s">
        <v>218</v>
      </c>
      <c r="C98" s="57" t="str">
        <f aca="false">Flights!$F$8</f>
        <v>MH0088</v>
      </c>
      <c r="D98" s="58" t="n">
        <f aca="false">Flights!$D$8</f>
        <v>46305</v>
      </c>
      <c r="E98" s="57" t="str">
        <f aca="false">Flights!$G$8&amp;"-"&amp;Flights!$H$8</f>
        <v>KUL-NRT</v>
      </c>
      <c r="F98" s="57" t="str">
        <f aca="false">Flights!$K$8</f>
        <v>BC</v>
      </c>
      <c r="G98" s="57" t="s">
        <v>81</v>
      </c>
      <c r="H98" s="57" t="s">
        <v>378</v>
      </c>
      <c r="I98" s="57" t="s">
        <v>411</v>
      </c>
      <c r="J98" s="57" t="s">
        <v>412</v>
      </c>
      <c r="K98" s="67" t="s">
        <v>590</v>
      </c>
      <c r="L98" s="67" t="s">
        <v>591</v>
      </c>
      <c r="M98" s="67"/>
      <c r="N98" s="67" t="s">
        <v>383</v>
      </c>
      <c r="O98" s="67"/>
      <c r="P98" s="57" t="s">
        <v>187</v>
      </c>
      <c r="Q98" s="59" t="n">
        <f aca="false">ROUND((Flights!$AC$8)*1440,0)/1440</f>
        <v>46298.6458333333</v>
      </c>
      <c r="R98" s="59" t="n">
        <f aca="false">Q98+(IF(AND(INDEX(TZ_DSTS,MATCH(P98,TZ_STN,0))&lt;&gt;"",Q98&gt;=INDEX(TZ_DSTS,MATCH(P98,TZ_STN,0)),Q98&lt;INDEX(TZ_DSTE,MATCH(P98,TZ_STN,0))),INDEX(TZ_DST,MATCH(P98,TZ_STN,0)),INDEX(TZ_STD,MATCH(P98,TZ_STN,0))))/24</f>
        <v>46298.9791666667</v>
      </c>
      <c r="S98" s="60"/>
      <c r="T98" s="60"/>
      <c r="U98" s="60"/>
      <c r="V98" s="60"/>
      <c r="W98" s="61"/>
      <c r="X98" s="60"/>
      <c r="Y98" s="60"/>
      <c r="Z98" s="60"/>
      <c r="AA98" s="60"/>
      <c r="AB98" s="60"/>
      <c r="AC98" s="60"/>
      <c r="AD98" s="66"/>
      <c r="AE98" s="60"/>
      <c r="AF98" s="61" t="str">
        <f aca="false">IF(AND(ISNUMBER(X98),ISNUMBER(Y98)),Y98-X98,"")</f>
        <v/>
      </c>
      <c r="AG98" s="62" t="str">
        <f aca="false">IF(ISNUMBER(AD98),AD98-(IF(AND(INDEX(TZ_DSTS,MATCH(P98,TZ_STN,0))&lt;&gt;"",(AD98-INDEX(TZ_STD,MATCH(P98,TZ_STN,0))/24)&gt;=INDEX(TZ_DSTS,MATCH(P98,TZ_STN,0)),(AD98-INDEX(TZ_STD,MATCH(P98,TZ_STN,0))/24)&lt;INDEX(TZ_DSTE,MATCH(P98,TZ_STN,0))),INDEX(TZ_DST,MATCH(P98,TZ_STN,0)),INDEX(TZ_STD,MATCH(P98,TZ_STN,0))))/24,"")</f>
        <v/>
      </c>
      <c r="AH98" s="65" t="str">
        <f aca="false">IFERROR(IF(N98="N/A – rule",IF(OR(TRIM(U98)="",TRIM(U98)="N/A",TRIM(U98)="Not started"),"N/A – RULE","INVALID – this check does not apply to this aircraft: clear the status (or correct the fleet on Flights)"),IF(TRIM(U98)="N/A",IF(AT98=0,"INVALID – N/A not permitted for this check",IF(AND(TRIM(AB98)&lt;&gt;"",TRIM(AB98)&lt;&gt;"Closed"),"INVALID – corrective action still open",IF(AND(NOT(OR(LEN(AZ98)&lt;15,ISNUMBER(MATCH(AZ98,L_Placeholder,0)))),BK98=0,CG98&gt;=8,NOT(OR(LEN(AU98)&lt;2,ISNUMBER(MATCH(AU98,L_Placeholder,0)))),BR98&gt;=3,NOT(OR(LEN(AX98)&lt;2,ISNUMBER(MATCH(AX98,L_Placeholder,0)))),BS98&gt;=3,TRIM(AE98)&lt;&gt;TRIM(T98),AX98&lt;&gt;AU98,CE98=0),"N/A – JUSTIFIED","INVALID – N/A needs a real, settled reason (not 'not applicable' / 'as above' / TBC), a named PIC and a different named verifier"))),IF(OR(TRIM(U98)="Pass",TRIM(U98)="Pass after CA"),IF(NOT(ISNUMBER(AD98)),"INVALID – completion time missing",IF(OR(OR(LEN(AU98)&lt;2,ISNUMBER(MATCH(AU98,L_Placeholder,0))),BR98&lt;3),"INVALID – PIC missing or not a named person (a role such as QA / CSM is not a name)",IF(OR(LEN(AV98)&lt;2,ISNUMBER(MATCH(AV98,L_Placeholder,0))),"INVALID – result / assessment missing",IF(OR(OR(LEN(AW98)&lt;3,ISNUMBER(MATCH(AW98,L_Placeholder,0))),SUMPRODUCT(--ISNUMBER(SEARCH(" "&amp;L_EvidencePhrase&amp;" ",BD98)))&gt;0,BI98=1),"INVALID – evidence missing, placeholder or not yet on file",IF(ISNA(MATCH(TRIM(S98),L_EvidenceType,0)),"INVALID – choose the evidence type from the list (column S)",IF(BL98=0,"INVALID – evidence ID must be the record's own ID only (e.g. SF-2210, IMG_2231, 1045521); a link / file name needs type 'Link / file path'",IF(OR(OR(LEN(AX98)&lt;2,ISNUMBER(MATCH(AX98,L_Placeholder,0))),BS98&lt;3),"INVALID – verifier missing or not a named person (a role such as QA / CSM is not a name)",IF(OR(AX98=AU98,CE98=1,AND(LEN(AU98)&gt;=4,ISNUMBER(SEARCH(AU98,AX98))),AND(LEN(AX98)&gt;=4,ISNUMBER(SEARCH(AX98,AU98)))),"INVALID – verifier must be a different, named person (not the PIC or a role)",IF(BH98=1,"INVALID – result not yet available (awaiting / TBC)",IF(BG98=1,"INVALID – result describes a problem: record Fail, then Pass after CA (or reword if it is not a problem)",IF(BV98=1,"INVALID – wording says not on board: an on-board confirmation needs the item loaded",IF(AND(AQ98=1,OR(OR(LEN(AY98)&lt;3,ISNUMBER(MATCH(AY98,L_Placeholder,0))),BJ98=1,BQ98=0)),"INVALID – batch ID missing, placeholder or not an ID (e.g. PASB-261008-BC-017)",IF(AND(AR98=1,OR(NOT(ISNUMBER(X98)),NOT(ISNUMBER(Y98)))),"INVALID – expected/actual qty missing",IF(AND(AR98=1,OR(X98&lt;=0,Y98&lt;0)),"INVALID – expected qty must be above 0 and actual not negative",IF(BB98&lt;&gt;"",BB98,IF(AND(AS98=1,Documents!$J$8&lt;&gt;"ON FILE"),"INVALID – GLD not on file (Documents sheet)",IF(AND(AS98=2,Documents!$O$8&lt;&gt;"ON FILE"),"INVALID – menu checklist not on file (Documents sheet)",IF(AND(AS98=3,NOT(ISNUMBER(Flights!$AX$8))),"INVALID – enter carrying flight KUL departure (Flights AX)",IF(AND(AS98=3,OR(Flights!$AZ$8&gt;Flights!$AA$8,Flights!$AX$8&lt;Flights!$AA$8-3)),"INVALID – carrying flight (Flights AX) cannot arrive before this leg's STD, or is over 3 days early",IF(AG98&gt;AsOfUTC,"INVALID – completion time is in the future",IF(AND(ISNUMBER(BY98),AG98&lt;BY98),IF(H98="Physical uplift","INVALID – before uplift window (cannot confirm loading)","INVALID – before valid window"),IF(AG98&gt;Flights!$AA$8,"INVALID – completed after departure (cannot establish readiness)",IF(AND(H98="Preparation",AG98&gt;=IF(ISNUMBER(Flights!$BA$8),MIN(Flights!$BA$8,Flights!$AA$8),Flights!$AA$8)),"INVALID – completed after loading / departure (cannot establish readiness)",IF(AND(H98="Physical uplift",AG98&gt;Q98),"INVALID – recorded after the loading flight departed",IF(AG98&gt;Q98,"COMPLETE – LATE","COMPLETE"))))))))))))))))))))))))),IF(TRIM(U98)="Fail","FAIL – DISCREPANCY",IF(AND(TRIM(U98)&lt;&gt;"",TRIM(U98)&lt;&gt;"Not started",TRIM(U98)&lt;&gt;"In progress"),"INVALID – unrecognised status (use the list)",IF(AsOfUTC&gt;Q98,"OVERDUE",IF(N98="Clarification required","OPEN – CLARIFICATION","OPEN"))))))),"INVALID – error value in an input cell")</f>
        <v>OPEN</v>
      </c>
      <c r="AI98" s="61" t="n">
        <f aca="false">IF(OR(AH98="N/A – RULE",AH98="N/A – JUSTIFIED"),0,1)</f>
        <v>1</v>
      </c>
      <c r="AJ98" s="61" t="n">
        <f aca="false">IF(LEFT(AH98,8)="COMPLETE",1,0)</f>
        <v>0</v>
      </c>
      <c r="AK98" s="61" t="n">
        <f aca="false">IF(AND(AI98=1,AJ98=0,AsOfUTC&gt;Q98),1,0)</f>
        <v>0</v>
      </c>
      <c r="AL98" s="61" t="n">
        <f aca="false">IFERROR(IF(AND(AI98=1,OR(TRIM(U98)="Fail",AND(TRIM(AB98)&lt;&gt;"",TRIM(AB98)&lt;&gt;"Closed"),AND(ISNUMBER(AF98),AF98&lt;&gt;0,TRIM(U98)&lt;&gt;"Pass after CA"))),1,0),1)</f>
        <v>0</v>
      </c>
      <c r="AM98" s="61" t="n">
        <f aca="false">IF(LEFT(AH98,7)="INVALID",1,0)</f>
        <v>0</v>
      </c>
      <c r="AN98" s="61" t="n">
        <f aca="false">IF(AND(N98="Clarification required",AI98=1,AJ98=0),1,0)</f>
        <v>0</v>
      </c>
      <c r="AO98" s="61" t="str">
        <f aca="false">IF(AK98=1,SUM(AK$5:AK98),"")</f>
        <v/>
      </c>
      <c r="AP98" s="61" t="str">
        <f aca="false">IF(AL98=1,SUM(AL$5:AL98),"")</f>
        <v/>
      </c>
      <c r="AQ98" s="61" t="n">
        <v>0</v>
      </c>
      <c r="AR98" s="61" t="n">
        <v>0</v>
      </c>
      <c r="AS98" s="61" t="n">
        <v>0</v>
      </c>
      <c r="AT98" s="61" t="n">
        <v>0</v>
      </c>
      <c r="AU98" s="61" t="str">
        <f aca="false">SUBSTITUTE(SUBSTITUTE(SUBSTITUTE(SUBSTITUTE(SUBSTITUTE(SUBSTITUTE(SUBSTITUTE(SUBSTITUTE(SUBSTITUTE(SUBSTITUTE(SUBSTITUTE(SUBSTITUTE(SUBSTITUTE(SUBSTITUTE(SUBSTITUTE(SUBSTITUTE(LOWER(T98&amp;""),CHAR(10),""),CHAR(13),""),CHAR(9),""),CHAR(160),"")," ",""),".",""),"-",""),"/",""),"?",""),"_",""),",",""),"[",""),"]",""),"(",""),")",""),"*","")</f>
        <v/>
      </c>
      <c r="AV98" s="61" t="str">
        <f aca="false">SUBSTITUTE(SUBSTITUTE(SUBSTITUTE(SUBSTITUTE(SUBSTITUTE(SUBSTITUTE(SUBSTITUTE(SUBSTITUTE(SUBSTITUTE(SUBSTITUTE(SUBSTITUTE(SUBSTITUTE(SUBSTITUTE(SUBSTITUTE(SUBSTITUTE(SUBSTITUTE(LOWER(V98&amp;""),CHAR(10),""),CHAR(13),""),CHAR(9),""),CHAR(160),"")," ",""),".",""),"-",""),"/",""),"?",""),"_",""),",",""),"[",""),"]",""),"(",""),")",""),"*","")</f>
        <v/>
      </c>
      <c r="AW98" s="61" t="str">
        <f aca="false">SUBSTITUTE(SUBSTITUTE(SUBSTITUTE(SUBSTITUTE(SUBSTITUTE(SUBSTITUTE(SUBSTITUTE(SUBSTITUTE(SUBSTITUTE(SUBSTITUTE(SUBSTITUTE(SUBSTITUTE(SUBSTITUTE(SUBSTITUTE(SUBSTITUTE(SUBSTITUTE(LOWER(Z98&amp;""),CHAR(10),""),CHAR(13),""),CHAR(9),""),CHAR(160),"")," ",""),".",""),"-",""),"/",""),"?",""),"_",""),",",""),"[",""),"]",""),"(",""),")",""),"*","")</f>
        <v/>
      </c>
      <c r="AX98" s="61" t="str">
        <f aca="false">SUBSTITUTE(SUBSTITUTE(SUBSTITUTE(SUBSTITUTE(SUBSTITUTE(SUBSTITUTE(SUBSTITUTE(SUBSTITUTE(SUBSTITUTE(SUBSTITUTE(SUBSTITUTE(SUBSTITUTE(SUBSTITUTE(SUBSTITUTE(SUBSTITUTE(SUBSTITUTE(LOWER(AE98&amp;""),CHAR(10),""),CHAR(13),""),CHAR(9),""),CHAR(160),"")," ",""),".",""),"-",""),"/",""),"?",""),"_",""),",",""),"[",""),"]",""),"(",""),")",""),"*","")</f>
        <v/>
      </c>
      <c r="AY98" s="61" t="str">
        <f aca="false">SUBSTITUTE(SUBSTITUTE(SUBSTITUTE(SUBSTITUTE(SUBSTITUTE(SUBSTITUTE(SUBSTITUTE(SUBSTITUTE(SUBSTITUTE(SUBSTITUTE(SUBSTITUTE(SUBSTITUTE(SUBSTITUTE(SUBSTITUTE(SUBSTITUTE(SUBSTITUTE(LOWER(W98&amp;""),CHAR(10),""),CHAR(13),""),CHAR(9),""),CHAR(160),"")," ",""),".",""),"-",""),"/",""),"?",""),"_",""),",",""),"[",""),"]",""),"(",""),")",""),"*","")</f>
        <v/>
      </c>
      <c r="AZ98" s="61" t="str">
        <f aca="false">SUBSTITUTE(SUBSTITUTE(SUBSTITUTE(SUBSTITUTE(SUBSTITUTE(SUBSTITUTE(SUBSTITUTE(SUBSTITUTE(SUBSTITUTE(SUBSTITUTE(SUBSTITUTE(SUBSTITUTE(SUBSTITUTE(SUBSTITUTE(SUBSTITUTE(SUBSTITUTE(LOWER(AC98&amp;""),CHAR(10),""),CHAR(13),""),CHAR(9),""),CHAR(160),"")," ",""),".",""),"-",""),"/",""),"?",""),"_",""),",",""),"[",""),"]",""),"(",""),")",""),"*","")</f>
        <v/>
      </c>
      <c r="BA98" s="61" t="str">
        <f aca="false">SUBSTITUTE(SUBSTITUTE(SUBSTITUTE(SUBSTITUTE(SUBSTITUTE(SUBSTITUTE(SUBSTITUTE(SUBSTITUTE(SUBSTITUTE(SUBSTITUTE(SUBSTITUTE(SUBSTITUTE(SUBSTITUTE(SUBSTITUTE(SUBSTITUTE(SUBSTITUTE(LOWER(AA98&amp;""),CHAR(10),""),CHAR(13),""),CHAR(9),""),CHAR(160),"")," ",""),".",""),"-",""),"/",""),"?",""),"_",""),",",""),"[",""),"]",""),"(",""),")",""),"*","")</f>
        <v/>
      </c>
      <c r="BB98" s="61" t="str">
        <f aca="false">IF(AND(TRIM(U98)="Pass",ISNUMBER(AF98)),IF(AF98&lt;&gt;0,"INVALID – qty variance: use Fail or Pass after CA",""),"")&amp;IF(AND(TRIM(U98)="Pass after CA",ISNUMBER(AF98)),IF(AF98&lt;&gt;0,"INVALID – after the corrective action the actual qty must equal expected (update Actual)",""),"")&amp;IF(AND(TRIM(U98)="Pass",TRIM(AB98)&lt;&gt;"",TRIM(AB98)&lt;&gt;"Closed"),"INVALID – corrective action not closed: use Fail, then Pass after CA","")&amp;IF(AND(LEN(BA98)&gt;=2,ISNA(MATCH(LEFT(BA98,255),L_Placeholder,0)),TRIM(AB98)=""),"INVALID – CA status missing for the recorded corrective action","")&amp;IF(AND(TRIM(U98)="Pass after CA",OR(OR(LEN(BA98)&lt;5,ISNUMBER(MATCH(BA98,L_Placeholder,0))),TRIM(AB98)&lt;&gt;"Closed")),"INVALID – corrective action not recorded/closed","")</f>
        <v/>
      </c>
      <c r="BC98" s="61" t="str">
        <f aca="false">" "&amp;TRIM(SUBSTITUTE(SUBSTITUTE(SUBSTITUTE(SUBSTITUTE(SUBSTITUTE(SUBSTITUTE(SUBSTITUTE(SUBSTITUTE(SUBSTITUTE(SUBSTITUTE(SUBSTITUTE(SUBSTITUTE(SUBSTITUTE(SUBSTITUTE(SUBSTITUTE(SUBSTITUTE(SUBSTITUTE(SUBSTITUTE(SUBSTITUTE(SUBSTITUTE(SUBSTITUTE(SUBSTITUTE(SUBSTITUTE(SUBSTITUTE(LOWER(V98&amp;""),CHAR(10)," "),CHAR(13)," "),CHAR(9)," "),CHAR(160)," "),"."," "),","," "),"-"," "),"/"," "),"("," "),")"," "),":"," "),";"," "),"_"," "),"–"," "),"?"," "),"!"," "),"*"," "),"["," "),"]"," "),"'"," "),"#"," "),"+"," "),"&amp;"," "),"\"," "))&amp;" "</f>
        <v>  </v>
      </c>
      <c r="BD98" s="61" t="str">
        <f aca="false">" "&amp;TRIM(SUBSTITUTE(SUBSTITUTE(SUBSTITUTE(SUBSTITUTE(SUBSTITUTE(SUBSTITUTE(SUBSTITUTE(SUBSTITUTE(SUBSTITUTE(SUBSTITUTE(SUBSTITUTE(SUBSTITUTE(SUBSTITUTE(SUBSTITUTE(SUBSTITUTE(SUBSTITUTE(SUBSTITUTE(SUBSTITUTE(SUBSTITUTE(SUBSTITUTE(SUBSTITUTE(SUBSTITUTE(SUBSTITUTE(SUBSTITUTE(LOWER(Z98&amp;""),CHAR(10)," "),CHAR(13)," "),CHAR(9)," "),CHAR(160)," "),"."," "),","," "),"-"," "),"/"," "),"("," "),")"," "),":"," "),";"," "),"_"," "),"–"," "),"?"," "),"!"," "),"*"," "),"["," "),"]"," "),"'"," "),"#"," "),"+"," "),"&amp;"," "),"\"," "))&amp;" "</f>
        <v>  </v>
      </c>
      <c r="BE98" s="61" t="str">
        <f aca="false">" "&amp;TRIM(SUBSTITUTE(SUBSTITUTE(SUBSTITUTE(SUBSTITUTE(SUBSTITUTE(SUBSTITUTE(SUBSTITUTE(SUBSTITUTE(SUBSTITUTE(SUBSTITUTE(SUBSTITUTE(SUBSTITUTE(SUBSTITUTE(SUBSTITUTE(SUBSTITUTE(SUBSTITUTE(SUBSTITUTE(SUBSTITUTE(SUBSTITUTE(SUBSTITUTE(SUBSTITUTE(SUBSTITUTE(SUBSTITUTE(SUBSTITUTE(LOWER(W98&amp;""),CHAR(10)," "),CHAR(13)," "),CHAR(9)," "),CHAR(160)," "),"."," "),","," "),"-"," "),"/"," "),"("," "),")"," "),":"," "),";"," "),"_"," "),"–"," "),"?"," "),"!"," "),"*"," "),"["," "),"]"," "),"'"," "),"#"," "),"+"," "),"&amp;"," "),"\"," "))&amp;" "</f>
        <v>  </v>
      </c>
      <c r="BF98" s="61" t="str">
        <f aca="false">" "&amp;TRIM(SUBSTITUTE(SUBSTITUTE(SUBSTITUTE(SUBSTITUTE(SUBSTITUTE(SUBSTITUTE(SUBSTITUTE(SUBSTITUTE(SUBSTITUTE(SUBSTITUTE(SUBSTITUTE(SUBSTITUTE(SUBSTITUTE(SUBSTITUTE(SUBSTITUTE(SUBSTITUTE(SUBSTITUTE(SUBSTITUTE(SUBSTITUTE(SUBSTITUTE(SUBSTITUTE(SUBSTITUTE(SUBSTITUTE(SUBSTITUTE(LOWER(AC98&amp;""),CHAR(10)," "),CHAR(13)," "),CHAR(9)," "),CHAR(160)," "),"."," "),","," "),"-"," "),"/"," "),"("," "),")"," "),":"," "),";"," "),"_"," "),"–"," "),"?"," "),"!"," "),"*"," "),"["," "),"]"," "),"'"," "),"#"," "),"+"," "),"&amp;"," "),"\"," "))&amp;" "</f>
        <v>  </v>
      </c>
      <c r="BG98" s="61" t="n">
        <f aca="false">IFERROR(IF(AND(TRIM(U98)="Pass",SUMPRODUCT((LEN(BC98)-LEN(SUBSTITUTE(BC98," "&amp;L_ResultBad&amp;" "," ")))/(LEN(L_ResultBad)+1))&gt;SUMPRODUCT((LEN(BC98)-LEN(SUBSTITUTE(BC98," "&amp;L_NegPhrase&amp;" "," ")))/(LEN(L_NegPhrase)+1))),1,0),0)</f>
        <v>0</v>
      </c>
      <c r="BH98" s="61" t="n">
        <f aca="false">IFERROR(IF(SUMPRODUCT((LEN(BC98)-LEN(SUBSTITUTE(BC98," "&amp;L_Pending&amp;" "," ")))/(LEN(L_Pending)+1))&gt;SUMPRODUCT((LEN(BC98)-LEN(SUBSTITUTE(BC98," "&amp;L_PendNeg&amp;" "," ")))/(LEN(L_PendNeg)+1))+SUMPRODUCT((LEN(BC98)-LEN(SUBSTITUTE(BC98," "&amp;L_PendPrep&amp;" "," ")))/(LEN(L_PendPrep)+1)),1,0),1)</f>
        <v>0</v>
      </c>
      <c r="BI98" s="61" t="n">
        <f aca="false">IFERROR(IF(SUMPRODUCT((LEN(BD98)-LEN(SUBSTITUTE(BD98," "&amp;L_PendStrict&amp;" "," ")))/(LEN(L_PendStrict)+1))&gt;SUMPRODUCT((LEN(BD98)-LEN(SUBSTITUTE(BD98," "&amp;L_PendNeg&amp;" "," ")))/(LEN(L_PendNeg)+1)),1,0),1)</f>
        <v>0</v>
      </c>
      <c r="BJ98" s="61" t="n">
        <f aca="false">IFERROR(IF(SUMPRODUCT((LEN(BE98)-LEN(SUBSTITUTE(BE98," "&amp;L_Pending&amp;" "," ")))/(LEN(L_Pending)+1))&gt;SUMPRODUCT((LEN(BE98)-LEN(SUBSTITUTE(BE98," "&amp;L_PendNeg&amp;" "," ")))/(LEN(L_PendNeg)+1))+SUMPRODUCT((LEN(BE98)-LEN(SUBSTITUTE(BE98," "&amp;L_PendPrep&amp;" "," ")))/(LEN(L_PendPrep)+1)),1,0),1)</f>
        <v>0</v>
      </c>
      <c r="BK98" s="61" t="n">
        <f aca="false">IFERROR(IF(SUMPRODUCT((LEN(BF98)-LEN(SUBSTITUTE(BF98," "&amp;L_PendStrict&amp;" "," ")))/(LEN(L_PendStrict)+1))&gt;SUMPRODUCT((LEN(BF98)-LEN(SUBSTITUTE(BF98," "&amp;L_PendNeg&amp;" "," ")))/(LEN(L_PendNeg)+1)),1,0),1)</f>
        <v>0</v>
      </c>
      <c r="BL98" s="61" t="n">
        <f aca="false">IF(ISNA(MATCH(TRIM(S98),L_EvidenceType,0)),0,BZ98)</f>
        <v>0</v>
      </c>
      <c r="BM98" s="61" t="str">
        <f aca="false">SUBSTITUTE(SUBSTITUTE(SUBSTITUTE(SUBSTITUTE(SUBSTITUTE(SUBSTITUTE(SUBSTITUTE(SUBSTITUTE(SUBSTITUTE(LOWER(Z98&amp;""),"1","0"),"2","0"),"3","0"),"4","0"),"5","0"),"6","0"),"7","0"),"8","0"),"9","0")</f>
        <v/>
      </c>
      <c r="BN98" s="61" t="str">
        <f aca="false">SUBSTITUTE(SUBSTITUTE(SUBSTITUTE(SUBSTITUTE(SUBSTITUTE(SUBSTITUTE(SUBSTITUTE(SUBSTITUTE(SUBSTITUTE(SUBSTITUTE(SUBSTITUTE(SUBSTITUTE(SUBSTITUTE(SUBSTITUTE(SUBSTITUTE(SUBSTITUTE(SUBSTITUTE(SUBSTITUTE(SUBSTITUTE(SUBSTITUTE(SUBSTITUTE(SUBSTITUTE(SUBSTITUTE(SUBSTITUTE(SUBSTITUTE(BM98,"b","a"),"c","a"),"d","a"),"e","a"),"f","a"),"g","a"),"h","a"),"i","a"),"j","a"),"k","a"),"l","a"),"m","a"),"n","a"),"o","a"),"p","a"),"q","a"),"r","a"),"s","a"),"t","a"),"u","a"),"v","a"),"w","a"),"x","a"),"y","a"),"z","a")</f>
        <v/>
      </c>
      <c r="BO98" s="61" t="str">
        <f aca="false">SUBSTITUTE(SUBSTITUTE(SUBSTITUTE(SUBSTITUTE(SUBSTITUTE(SUBSTITUTE(SUBSTITUTE(SUBSTITUTE(SUBSTITUTE(LOWER(W98&amp;""),"1","0"),"2","0"),"3","0"),"4","0"),"5","0"),"6","0"),"7","0"),"8","0"),"9","0")</f>
        <v/>
      </c>
      <c r="BP98" s="61" t="str">
        <f aca="false">SUBSTITUTE(SUBSTITUTE(SUBSTITUTE(SUBSTITUTE(SUBSTITUTE(SUBSTITUTE(SUBSTITUTE(SUBSTITUTE(SUBSTITUTE(SUBSTITUTE(SUBSTITUTE(SUBSTITUTE(SUBSTITUTE(SUBSTITUTE(SUBSTITUTE(SUBSTITUTE(SUBSTITUTE(SUBSTITUTE(SUBSTITUTE(SUBSTITUTE(SUBSTITUTE(SUBSTITUTE(SUBSTITUTE(SUBSTITUTE(SUBSTITUTE(BO98,"b","a"),"c","a"),"d","a"),"e","a"),"f","a"),"g","a"),"h","a"),"i","a"),"j","a"),"k","a"),"l","a"),"m","a"),"n","a"),"o","a"),"p","a"),"q","a"),"r","a"),"s","a"),"t","a"),"u","a"),"v","a"),"w","a"),"x","a"),"y","a"),"z","a")</f>
        <v/>
      </c>
      <c r="BQ98" s="61" t="n">
        <f aca="false">IFERROR(IF(AND(ISERROR(SEARCH(" mh"," "&amp;LOWER(W98))),ISNA(MATCH(LEFT(TRIM(BP98),255),{"0000a","000a","00a","0000aa","000aa","00aa","0aa","0000aaa","000aaa","00a00","0a00","0000-0000","00:00","a00","a0","00.00.0000","00/00/0000","00-00-0000","0000-00-00","0000/00/00","0000.00.00","00.00.00","00/00/00","00-00-00","0.00.0000","0/00/0000","0-00-0000"},0)),ISNA(MATCH(LEFT(TRIM(CA98),255),{"0000a","000a","00a","0000aa","000aa","00aa","0aa","0000aaa","000aaa","00a00","0a00","0000-0000","00:00","a00","a0","00.00.0000","00/00/0000","00-00-0000","0000-00-00","0000/00/00","0000.00.00","00.00.00","00/00/00","00-00-00","0.00.0000","0/00/0000","0-00-0000"},0)),LEN(CB98)&gt;=3,NOT(OR(SUBSTITUTE(CB98,"0","")="",AND(LEN(CB98)&gt;=4,CB98=REPT(LEFT(CB98),LEN(CB98))),ISNUMBER(MATCH(CB98,{"123","1234","12345","123456","1234567","12345678","0123","01234","012345","98765","987654","54321"},0)),AND(LEN(CB98)=8,LEFT(CB98,3)="202"))),OR(AND((LEN(CA98)-LEN(SUBSTITUTE(CA98,"a","")))&gt;=1,SUMPRODUCT(--ISNUMBER(SEARCH({"a0","a-0","a_0","a/0","a.0","a#0","0a","0-a","0_a","0/a"},BP98)))&gt;0),ISNUMBER(SEARCH("000000",BP98)))),1,0),0)</f>
        <v>0</v>
      </c>
      <c r="BR98" s="61" t="n">
        <f aca="false">IFERROR(LEN(SUBSTITUTE(CC98," ",""))-SUMPRODUCT((LEN(CC98)-LEN(SUBSTITUTE(CC98," "&amp;L_Role&amp;" "," ")))/(LEN(L_Role)+1)*LEN(L_Role)),0)</f>
        <v>0</v>
      </c>
      <c r="BS98" s="61" t="n">
        <f aca="false">IFERROR(LEN(SUBSTITUTE(CD98," ",""))-SUMPRODUCT((LEN(CD98)-LEN(SUBSTITUTE(CD98," "&amp;L_Role&amp;" "," ")))/(LEN(L_Role)+1)*LEN(L_Role)),0)</f>
        <v>0</v>
      </c>
      <c r="BT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98,"revision",""),"version",""),"jan",""),"feb",""),"mar",""),"apr",""),"may",""),"jun",""),"jul",""),"aug",""),"sep",""),"oct",""),"nov",""),"dec",""),"utc",""),"gmt",""),"myt",""),"bst",""),"rev",""),"ver",""),"b","a"),"c","a"),"d","a"),"e","a"),"f","a"),"g","a"),"h","a"),"i","a"),"j","a"),"k","a"),"l","a"),"m","a"),"n","a"),"o","a"),"p","a"),"q","a"),"r","a"),"s","a"),"t","a"),"u","a"),"v","a"),"w","a"),"x","a"),"y","a"),"z","a")</f>
        <v/>
      </c>
      <c r="BU98" s="61" t="str">
        <f aca="false">SUBSTITUTE(SUBSTITUTE(SUBSTITUTE(SUBSTITUTE(SUBSTITUTE(SUBSTITUTE(SUBSTITUTE(SUBSTITUTE(SUBSTITUTE(SUBSTITUTE(LEFT(BM98,FIND("0",BM98&amp;"0")-1),"-",""),"_",""),"/",""),".",""),"#",""),"\\",""),":","")," ",""),"(",""),")","")</f>
        <v/>
      </c>
      <c r="BV98" s="61" t="n">
        <f aca="false">0</f>
        <v>0</v>
      </c>
      <c r="BW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98&amp;""),"a",""),"b",""),"c",""),"d",""),"e",""),"f",""),"g",""),"h",""),"i",""),"j",""),"k",""),"l",""),"m",""),"n",""),"o",""),"p",""),"q",""),"r",""),"s",""),"t",""),"u",""),"v",""),"w",""),"x",""),"y",""),"z",""),"-",""),"_",""),"/",""),".",""),"#",""),"\\",""),":","")," ",""),"(",""),")","")</f>
        <v/>
      </c>
      <c r="BX98" s="61" t="str">
        <f aca="false">SUBSTITUTE(SUBSTITUTE(SUBSTITUTE(SUBSTITUTE(SUBSTITUTE(SUBSTITUTE(SUBSTITUTE(SUBSTITUTE(SUBSTITUTE(SUBSTITUTE(SUBSTITUTE(BM98,"0",""),"-",""),"_",""),"/",""),".",""),"#",""),"\\",""),":","")," ",""),"(",""),")","")</f>
        <v/>
      </c>
      <c r="BY98" s="62" t="n">
        <f aca="false">Q98-T7EarlyD*24/24</f>
        <v>46284.6458333333</v>
      </c>
      <c r="BZ98" s="61" t="n">
        <f aca="false">IFERROR(IF(IF(TRIM(S98)="Link / file path",AND(LEN(TRIM(Z98))&gt;=5,SUMPRODUCT(--ISNUMBER(SEARCH({"http","www.","\\",":\",".pdf",".jpg",".jpeg",".png",".heic",".xls",".doc",".msg",".eml",".ppt",".txt",".zip"},Z98)))&gt;0),AND(ISERROR(FIND(" ",TRIM(Z98))),NOT(OR(SUMPRODUCT(--ISNUMBER(FIND({",",";","&amp;","+"},Z98)))&gt;0,SUMPRODUCT(--ISNUMBER(SEARCH({"0/aa","0\\aa"},BN98)))&gt;0)),NOT(SUMPRODUCT(--ISNUMBER(SEARCH({"http","www.","\\",":\",".pdf",".jpg",".jpeg",".png",".heic",".xls",".doc",".msg",".eml",".ppt",".txt",".zip"},Z98)))&gt;0),NOT(LOWER(TRIM(Z98))=LOWER(Flights!$F$8)),ISNA(MATCH(BU98,{"mh","rev","revision","ver","version","v","r","a","b","seat","tray","row","gate","bay","stand","page","pg","item","line","no","cart","galley","flight","flt","table","box","bag","oven","etd","eta","std","sta","atd","ata","qty","pax","x","time","tel","ph","mob","day","wk","week","utc","gmt","myt","lt"},0)),NOT(OR(ISNUMBER(MATCH(LEFT(BN98,255),{"0000a","000a","00a","0000aa","000aa","00aa","0aa","0000aaa","000aaa","00a00","0a00","0000-0000","00:00","a00","a0","00.00.0000","00/00/0000","00-00-0000","0000-00-00","0000/00/00","0000.00.00","00.00.00","00/00/00","00-00-00","0.00.0000","0/00/0000","0-00-0000"},0)),ISNUMBER(MATCH(LEFT(BT98,255),{"0000a","000a","00a","0000aa","000aa","00aa","0aa","0000aaa","000aaa","00a00","0a00","0000-0000","00:00","a00","a0","00.00.0000","00/00/0000","00-00-0000","0000-00-00","0000/00/00","0000.00.00","00.00.00","00/00/00","00-00-00","0.00.0000","0/00/0000","0-00-0000"},0)))),NOT(OR(AND(BW98&lt;&gt;"",SUBSTITUTE(BW98,"0","")=""),AND(LEN(BW98)&gt;=4,BW98=REPT(LEFT(BW98),LEN(BW98))),ISNUMBER(MATCH(BW98,{"123","1234","12345","123456","1234567","12345678","0123","01234","012345","98765","987654","54321"},0)),ISNUMBER(MATCH(BX98,{"x","xx","xxx","xxxx","xxxxx","abc","abcd","nil","na","nan","test","tbc","tba","tbd","dummy","sample","example","eg","zz","zzz","none","null","xyz","qwe","asd","id","ref"},0)),AND(LEN(BW98)=8,BX98="",OR(LEFT(BW98,3)="202",ISNUMBER(MATCH(RIGHT(BW98,4),{"2025","2026","2027"},0)))))),OR(AND((LEN(BT98)-LEN(SUBSTITUTE(BT98,"a","")))&gt;=1,(LEN(BN98)-LEN(SUBSTITUTE(BN98,"0","")))&gt;=2,SUMPRODUCT(--ISNUMBER(SEARCH({"a0","a-0","a_0","a/0","a.0","a#0","0a","0-a","0_a","0/a"},BN98)))&gt;0),AND((LEN(BN98)-LEN(SUBSTITUTE(BN98,"a","")))=0,(LEN(BN98)-LEN(SUBSTITUTE(BN98,"0","")))&gt;=5)))),1,0),0)</f>
        <v>0</v>
      </c>
      <c r="CA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98,"revision",""),"version",""),"jan",""),"feb",""),"mar",""),"apr",""),"may",""),"jun",""),"jul",""),"aug",""),"sep",""),"oct",""),"nov",""),"dec",""),"utc",""),"gmt",""),"myt",""),"bst",""),"rev",""),"ver",""),"b","a"),"c","a"),"d","a"),"e","a"),"f","a"),"g","a"),"h","a"),"i","a"),"j","a"),"k","a"),"l","a"),"m","a"),"n","a"),"o","a"),"p","a"),"q","a"),"r","a"),"s","a"),"t","a"),"u","a"),"v","a"),"w","a"),"x","a"),"y","a"),"z","a")</f>
        <v/>
      </c>
      <c r="CB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98&amp;""),"a",""),"b",""),"c",""),"d",""),"e",""),"f",""),"g",""),"h",""),"i",""),"j",""),"k",""),"l",""),"m",""),"n",""),"o",""),"p",""),"q",""),"r",""),"s",""),"t",""),"u",""),"v",""),"w",""),"x",""),"y",""),"z",""),"-",""),"_",""),"/",""),".",""),"#",""),"\\",""),":","")," ",""),"(",""),")","")</f>
        <v/>
      </c>
      <c r="CC98" s="0" t="str">
        <f aca="false">" "&amp;TRIM(SUBSTITUTE(SUBSTITUTE(SUBSTITUTE(SUBSTITUTE(SUBSTITUTE(SUBSTITUTE(SUBSTITUTE(SUBSTITUTE(SUBSTITUTE(SUBSTITUTE(SUBSTITUTE(SUBSTITUTE(SUBSTITUTE(SUBSTITUTE(SUBSTITUTE(SUBSTITUTE(SUBSTITUTE(SUBSTITUTE(SUBSTITUTE(SUBSTITUTE(SUBSTITUTE(SUBSTITUTE(SUBSTITUTE(SUBSTITUTE(LOWER(T98&amp;""),CHAR(10)," "),CHAR(13)," "),CHAR(9)," "),CHAR(160)," "),"."," "),","," "),"-"," "),"/"," "),"("," "),")"," "),":"," "),";"," "),"_"," "),"–"," "),"?"," "),"!"," "),"*"," "),"["," "),"]"," "),"'"," "),"#"," "),"+"," "),"&amp;"," "),"\"," "))&amp;" "</f>
        <v>  </v>
      </c>
      <c r="CD98" s="0" t="str">
        <f aca="false">" "&amp;TRIM(SUBSTITUTE(SUBSTITUTE(SUBSTITUTE(SUBSTITUTE(SUBSTITUTE(SUBSTITUTE(SUBSTITUTE(SUBSTITUTE(SUBSTITUTE(SUBSTITUTE(SUBSTITUTE(SUBSTITUTE(SUBSTITUTE(SUBSTITUTE(SUBSTITUTE(SUBSTITUTE(SUBSTITUTE(SUBSTITUTE(SUBSTITUTE(SUBSTITUTE(SUBSTITUTE(SUBSTITUTE(SUBSTITUTE(SUBSTITUTE(LOWER(AE98&amp;""),CHAR(10)," "),CHAR(13)," "),CHAR(9)," "),CHAR(160)," "),"."," "),","," "),"-"," "),"/"," "),"("," "),")"," "),":"," "),";"," "),"_"," "),"–"," "),"?"," "),"!"," "),"*"," "),"["," "),"]"," "),"'"," "),"#"," "),"+"," "),"&amp;"," "),"\"," "))&amp;" "</f>
        <v>  </v>
      </c>
      <c r="CE98" s="68" t="n">
        <f aca="false">IFERROR(IF(AND(LEN(AU98)&gt;0,LEN(AU98)=LEN(AX98),OR(TRIM(MID(SUBSTITUTE(TRIM(CC98)," ",REPT(" ",60)),1,60))="",ISNUMBER(SEARCH(" "&amp;TRIM(MID(SUBSTITUTE(TRIM(CC98)," ",REPT(" ",60)),1,60))&amp;" ",CD98))),OR(TRIM(MID(SUBSTITUTE(TRIM(CC98)," ",REPT(" ",60)),61,60))="",ISNUMBER(SEARCH(" "&amp;TRIM(MID(SUBSTITUTE(TRIM(CC98)," ",REPT(" ",60)),61,60))&amp;" ",CD98))),OR(TRIM(MID(SUBSTITUTE(TRIM(CC98)," ",REPT(" ",60)),121,60))="",ISNUMBER(SEARCH(" "&amp;TRIM(MID(SUBSTITUTE(TRIM(CC98)," ",REPT(" ",60)),121,60))&amp;" ",CD98)))),1,0),0)</f>
        <v>0</v>
      </c>
      <c r="CG98" s="68" t="n">
        <f aca="false">IFERROR(LEN(SUBSTITUTE(BF98," ",""))-SUMPRODUCT((LEN(BF98)-LEN(SUBSTITUTE(BF98," "&amp;L_NAFiller&amp;" "," ")))/(LEN(L_NAFiller)+1)*LEN(L_NAFiller)),0)</f>
        <v>0</v>
      </c>
    </row>
    <row r="99" customFormat="false" ht="39.75" hidden="false" customHeight="true" outlineLevel="0" collapsed="false">
      <c r="A99" s="57" t="s">
        <v>592</v>
      </c>
      <c r="B99" s="57" t="s">
        <v>218</v>
      </c>
      <c r="C99" s="57" t="str">
        <f aca="false">Flights!$F$8</f>
        <v>MH0088</v>
      </c>
      <c r="D99" s="58" t="n">
        <f aca="false">Flights!$D$8</f>
        <v>46305</v>
      </c>
      <c r="E99" s="57" t="str">
        <f aca="false">Flights!$G$8&amp;"-"&amp;Flights!$H$8</f>
        <v>KUL-NRT</v>
      </c>
      <c r="F99" s="57" t="str">
        <f aca="false">Flights!$K$8</f>
        <v>BC</v>
      </c>
      <c r="G99" s="57" t="s">
        <v>83</v>
      </c>
      <c r="H99" s="57" t="s">
        <v>378</v>
      </c>
      <c r="I99" s="57" t="s">
        <v>379</v>
      </c>
      <c r="J99" s="57" t="s">
        <v>416</v>
      </c>
      <c r="K99" s="67" t="s">
        <v>417</v>
      </c>
      <c r="L99" s="67" t="s">
        <v>418</v>
      </c>
      <c r="M99" s="67"/>
      <c r="N99" s="67" t="s">
        <v>383</v>
      </c>
      <c r="O99" s="67"/>
      <c r="P99" s="57" t="s">
        <v>187</v>
      </c>
      <c r="Q99" s="59" t="n">
        <f aca="false">ROUND((Flights!$AD$8)*1440,0)/1440</f>
        <v>46304.6458333333</v>
      </c>
      <c r="R99" s="59" t="n">
        <f aca="false">Q99+(IF(AND(INDEX(TZ_DSTS,MATCH(P99,TZ_STN,0))&lt;&gt;"",Q99&gt;=INDEX(TZ_DSTS,MATCH(P99,TZ_STN,0)),Q99&lt;INDEX(TZ_DSTE,MATCH(P99,TZ_STN,0))),INDEX(TZ_DST,MATCH(P99,TZ_STN,0)),INDEX(TZ_STD,MATCH(P99,TZ_STN,0))))/24</f>
        <v>46304.9791666667</v>
      </c>
      <c r="S99" s="60"/>
      <c r="T99" s="60"/>
      <c r="U99" s="60"/>
      <c r="V99" s="60"/>
      <c r="W99" s="60"/>
      <c r="X99" s="60"/>
      <c r="Y99" s="60"/>
      <c r="Z99" s="60"/>
      <c r="AA99" s="60"/>
      <c r="AB99" s="60"/>
      <c r="AC99" s="60"/>
      <c r="AD99" s="66"/>
      <c r="AE99" s="60"/>
      <c r="AF99" s="61" t="str">
        <f aca="false">IF(AND(ISNUMBER(X99),ISNUMBER(Y99)),Y99-X99,"")</f>
        <v/>
      </c>
      <c r="AG99" s="62" t="str">
        <f aca="false">IF(ISNUMBER(AD99),AD99-(IF(AND(INDEX(TZ_DSTS,MATCH(P99,TZ_STN,0))&lt;&gt;"",(AD99-INDEX(TZ_STD,MATCH(P99,TZ_STN,0))/24)&gt;=INDEX(TZ_DSTS,MATCH(P99,TZ_STN,0)),(AD99-INDEX(TZ_STD,MATCH(P99,TZ_STN,0))/24)&lt;INDEX(TZ_DSTE,MATCH(P99,TZ_STN,0))),INDEX(TZ_DST,MATCH(P99,TZ_STN,0)),INDEX(TZ_STD,MATCH(P99,TZ_STN,0))))/24,"")</f>
        <v/>
      </c>
      <c r="AH99" s="65" t="str">
        <f aca="false">IFERROR(IF(N99="N/A – rule",IF(OR(TRIM(U99)="",TRIM(U99)="N/A",TRIM(U99)="Not started"),"N/A – RULE","INVALID – this check does not apply to this aircraft: clear the status (or correct the fleet on Flights)"),IF(TRIM(U99)="N/A",IF(AT99=0,"INVALID – N/A not permitted for this check",IF(AND(TRIM(AB99)&lt;&gt;"",TRIM(AB99)&lt;&gt;"Closed"),"INVALID – corrective action still open",IF(AND(NOT(OR(LEN(AZ99)&lt;15,ISNUMBER(MATCH(AZ99,L_Placeholder,0)))),BK99=0,CG99&gt;=8,NOT(OR(LEN(AU99)&lt;2,ISNUMBER(MATCH(AU99,L_Placeholder,0)))),BR99&gt;=3,NOT(OR(LEN(AX99)&lt;2,ISNUMBER(MATCH(AX99,L_Placeholder,0)))),BS99&gt;=3,TRIM(AE99)&lt;&gt;TRIM(T99),AX99&lt;&gt;AU99,CE99=0),"N/A – JUSTIFIED","INVALID – N/A needs a real, settled reason (not 'not applicable' / 'as above' / TBC), a named PIC and a different named verifier"))),IF(OR(TRIM(U99)="Pass",TRIM(U99)="Pass after CA"),IF(NOT(ISNUMBER(AD99)),"INVALID – completion time missing",IF(OR(OR(LEN(AU99)&lt;2,ISNUMBER(MATCH(AU99,L_Placeholder,0))),BR99&lt;3),"INVALID – PIC missing or not a named person (a role such as QA / CSM is not a name)",IF(OR(LEN(AV99)&lt;2,ISNUMBER(MATCH(AV99,L_Placeholder,0))),"INVALID – result / assessment missing",IF(OR(OR(LEN(AW99)&lt;3,ISNUMBER(MATCH(AW99,L_Placeholder,0))),SUMPRODUCT(--ISNUMBER(SEARCH(" "&amp;L_EvidencePhrase&amp;" ",BD99)))&gt;0,BI99=1),"INVALID – evidence missing, placeholder or not yet on file",IF(ISNA(MATCH(TRIM(S99),L_EvidenceType,0)),"INVALID – choose the evidence type from the list (column S)",IF(BL99=0,"INVALID – evidence ID must be the record's own ID only (e.g. SF-2210, IMG_2231, 1045521); a link / file name needs type 'Link / file path'",IF(OR(OR(LEN(AX99)&lt;2,ISNUMBER(MATCH(AX99,L_Placeholder,0))),BS99&lt;3),"INVALID – verifier missing or not a named person (a role such as QA / CSM is not a name)",IF(OR(AX99=AU99,CE99=1,AND(LEN(AU99)&gt;=4,ISNUMBER(SEARCH(AU99,AX99))),AND(LEN(AX99)&gt;=4,ISNUMBER(SEARCH(AX99,AU99)))),"INVALID – verifier must be a different, named person (not the PIC or a role)",IF(BH99=1,"INVALID – result not yet available (awaiting / TBC)",IF(BG99=1,"INVALID – result describes a problem: record Fail, then Pass after CA (or reword if it is not a problem)",IF(BV99=1,"INVALID – wording says not on board: an on-board confirmation needs the item loaded",IF(AND(AQ99=1,OR(OR(LEN(AY99)&lt;3,ISNUMBER(MATCH(AY99,L_Placeholder,0))),BJ99=1,BQ99=0)),"INVALID – batch ID missing, placeholder or not an ID (e.g. PASB-261008-BC-017)",IF(AND(AR99=1,OR(NOT(ISNUMBER(X99)),NOT(ISNUMBER(Y99)))),"INVALID – expected/actual qty missing",IF(AND(AR99=1,OR(X99&lt;=0,Y99&lt;0)),"INVALID – expected qty must be above 0 and actual not negative",IF(BB99&lt;&gt;"",BB99,IF(AND(AS99=1,Documents!$J$8&lt;&gt;"ON FILE"),"INVALID – GLD not on file (Documents sheet)",IF(AND(AS99=2,Documents!$O$8&lt;&gt;"ON FILE"),"INVALID – menu checklist not on file (Documents sheet)",IF(AND(AS99=3,NOT(ISNUMBER(Flights!$AX$8))),"INVALID – enter carrying flight KUL departure (Flights AX)",IF(AND(AS99=3,OR(Flights!$AZ$8&gt;Flights!$AA$8,Flights!$AX$8&lt;Flights!$AA$8-3)),"INVALID – carrying flight (Flights AX) cannot arrive before this leg's STD, or is over 3 days early",IF(AG99&gt;AsOfUTC,"INVALID – completion time is in the future",IF(AND(ISNUMBER(BY99),AG99&lt;BY99),IF(H99="Physical uplift","INVALID – before uplift window (cannot confirm loading)","INVALID – before valid window"),IF(AG99&gt;Flights!$AA$8,"INVALID – completed after departure (cannot establish readiness)",IF(AND(H99="Preparation",AG99&gt;=IF(ISNUMBER(Flights!$BA$8),MIN(Flights!$BA$8,Flights!$AA$8),Flights!$AA$8)),"INVALID – completed after loading / departure (cannot establish readiness)",IF(AND(H99="Physical uplift",AG99&gt;Q99),"INVALID – recorded after the loading flight departed",IF(AG99&gt;Q99,"COMPLETE – LATE","COMPLETE"))))))))))))))))))))))))),IF(TRIM(U99)="Fail","FAIL – DISCREPANCY",IF(AND(TRIM(U99)&lt;&gt;"",TRIM(U99)&lt;&gt;"Not started",TRIM(U99)&lt;&gt;"In progress"),"INVALID – unrecognised status (use the list)",IF(AsOfUTC&gt;Q99,"OVERDUE",IF(N99="Clarification required","OPEN – CLARIFICATION","OPEN"))))))),"INVALID – error value in an input cell")</f>
        <v>OPEN</v>
      </c>
      <c r="AI99" s="61" t="n">
        <f aca="false">IF(OR(AH99="N/A – RULE",AH99="N/A – JUSTIFIED"),0,1)</f>
        <v>1</v>
      </c>
      <c r="AJ99" s="61" t="n">
        <f aca="false">IF(LEFT(AH99,8)="COMPLETE",1,0)</f>
        <v>0</v>
      </c>
      <c r="AK99" s="61" t="n">
        <f aca="false">IF(AND(AI99=1,AJ99=0,AsOfUTC&gt;Q99),1,0)</f>
        <v>0</v>
      </c>
      <c r="AL99" s="61" t="n">
        <f aca="false">IFERROR(IF(AND(AI99=1,OR(TRIM(U99)="Fail",AND(TRIM(AB99)&lt;&gt;"",TRIM(AB99)&lt;&gt;"Closed"),AND(ISNUMBER(AF99),AF99&lt;&gt;0,TRIM(U99)&lt;&gt;"Pass after CA"))),1,0),1)</f>
        <v>0</v>
      </c>
      <c r="AM99" s="61" t="n">
        <f aca="false">IF(LEFT(AH99,7)="INVALID",1,0)</f>
        <v>0</v>
      </c>
      <c r="AN99" s="61" t="n">
        <f aca="false">IF(AND(N99="Clarification required",AI99=1,AJ99=0),1,0)</f>
        <v>0</v>
      </c>
      <c r="AO99" s="61" t="str">
        <f aca="false">IF(AK99=1,SUM(AK$5:AK99),"")</f>
        <v/>
      </c>
      <c r="AP99" s="61" t="str">
        <f aca="false">IF(AL99=1,SUM(AL$5:AL99),"")</f>
        <v/>
      </c>
      <c r="AQ99" s="61" t="n">
        <v>1</v>
      </c>
      <c r="AR99" s="61" t="n">
        <v>0</v>
      </c>
      <c r="AS99" s="61" t="n">
        <v>0</v>
      </c>
      <c r="AT99" s="61" t="n">
        <v>0</v>
      </c>
      <c r="AU99" s="61" t="str">
        <f aca="false">SUBSTITUTE(SUBSTITUTE(SUBSTITUTE(SUBSTITUTE(SUBSTITUTE(SUBSTITUTE(SUBSTITUTE(SUBSTITUTE(SUBSTITUTE(SUBSTITUTE(SUBSTITUTE(SUBSTITUTE(SUBSTITUTE(SUBSTITUTE(SUBSTITUTE(SUBSTITUTE(LOWER(T99&amp;""),CHAR(10),""),CHAR(13),""),CHAR(9),""),CHAR(160),"")," ",""),".",""),"-",""),"/",""),"?",""),"_",""),",",""),"[",""),"]",""),"(",""),")",""),"*","")</f>
        <v/>
      </c>
      <c r="AV99" s="61" t="str">
        <f aca="false">SUBSTITUTE(SUBSTITUTE(SUBSTITUTE(SUBSTITUTE(SUBSTITUTE(SUBSTITUTE(SUBSTITUTE(SUBSTITUTE(SUBSTITUTE(SUBSTITUTE(SUBSTITUTE(SUBSTITUTE(SUBSTITUTE(SUBSTITUTE(SUBSTITUTE(SUBSTITUTE(LOWER(V99&amp;""),CHAR(10),""),CHAR(13),""),CHAR(9),""),CHAR(160),"")," ",""),".",""),"-",""),"/",""),"?",""),"_",""),",",""),"[",""),"]",""),"(",""),")",""),"*","")</f>
        <v/>
      </c>
      <c r="AW99" s="61" t="str">
        <f aca="false">SUBSTITUTE(SUBSTITUTE(SUBSTITUTE(SUBSTITUTE(SUBSTITUTE(SUBSTITUTE(SUBSTITUTE(SUBSTITUTE(SUBSTITUTE(SUBSTITUTE(SUBSTITUTE(SUBSTITUTE(SUBSTITUTE(SUBSTITUTE(SUBSTITUTE(SUBSTITUTE(LOWER(Z99&amp;""),CHAR(10),""),CHAR(13),""),CHAR(9),""),CHAR(160),"")," ",""),".",""),"-",""),"/",""),"?",""),"_",""),",",""),"[",""),"]",""),"(",""),")",""),"*","")</f>
        <v/>
      </c>
      <c r="AX99" s="61" t="str">
        <f aca="false">SUBSTITUTE(SUBSTITUTE(SUBSTITUTE(SUBSTITUTE(SUBSTITUTE(SUBSTITUTE(SUBSTITUTE(SUBSTITUTE(SUBSTITUTE(SUBSTITUTE(SUBSTITUTE(SUBSTITUTE(SUBSTITUTE(SUBSTITUTE(SUBSTITUTE(SUBSTITUTE(LOWER(AE99&amp;""),CHAR(10),""),CHAR(13),""),CHAR(9),""),CHAR(160),"")," ",""),".",""),"-",""),"/",""),"?",""),"_",""),",",""),"[",""),"]",""),"(",""),")",""),"*","")</f>
        <v/>
      </c>
      <c r="AY99" s="61" t="str">
        <f aca="false">SUBSTITUTE(SUBSTITUTE(SUBSTITUTE(SUBSTITUTE(SUBSTITUTE(SUBSTITUTE(SUBSTITUTE(SUBSTITUTE(SUBSTITUTE(SUBSTITUTE(SUBSTITUTE(SUBSTITUTE(SUBSTITUTE(SUBSTITUTE(SUBSTITUTE(SUBSTITUTE(LOWER(W99&amp;""),CHAR(10),""),CHAR(13),""),CHAR(9),""),CHAR(160),"")," ",""),".",""),"-",""),"/",""),"?",""),"_",""),",",""),"[",""),"]",""),"(",""),")",""),"*","")</f>
        <v/>
      </c>
      <c r="AZ99" s="61" t="str">
        <f aca="false">SUBSTITUTE(SUBSTITUTE(SUBSTITUTE(SUBSTITUTE(SUBSTITUTE(SUBSTITUTE(SUBSTITUTE(SUBSTITUTE(SUBSTITUTE(SUBSTITUTE(SUBSTITUTE(SUBSTITUTE(SUBSTITUTE(SUBSTITUTE(SUBSTITUTE(SUBSTITUTE(LOWER(AC99&amp;""),CHAR(10),""),CHAR(13),""),CHAR(9),""),CHAR(160),"")," ",""),".",""),"-",""),"/",""),"?",""),"_",""),",",""),"[",""),"]",""),"(",""),")",""),"*","")</f>
        <v/>
      </c>
      <c r="BA99" s="61" t="str">
        <f aca="false">SUBSTITUTE(SUBSTITUTE(SUBSTITUTE(SUBSTITUTE(SUBSTITUTE(SUBSTITUTE(SUBSTITUTE(SUBSTITUTE(SUBSTITUTE(SUBSTITUTE(SUBSTITUTE(SUBSTITUTE(SUBSTITUTE(SUBSTITUTE(SUBSTITUTE(SUBSTITUTE(LOWER(AA99&amp;""),CHAR(10),""),CHAR(13),""),CHAR(9),""),CHAR(160),"")," ",""),".",""),"-",""),"/",""),"?",""),"_",""),",",""),"[",""),"]",""),"(",""),")",""),"*","")</f>
        <v/>
      </c>
      <c r="BB99" s="61" t="str">
        <f aca="false">IF(AND(TRIM(U99)="Pass",ISNUMBER(AF99)),IF(AF99&lt;&gt;0,"INVALID – qty variance: use Fail or Pass after CA",""),"")&amp;IF(AND(TRIM(U99)="Pass after CA",ISNUMBER(AF99)),IF(AF99&lt;&gt;0,"INVALID – after the corrective action the actual qty must equal expected (update Actual)",""),"")&amp;IF(AND(TRIM(U99)="Pass",TRIM(AB99)&lt;&gt;"",TRIM(AB99)&lt;&gt;"Closed"),"INVALID – corrective action not closed: use Fail, then Pass after CA","")&amp;IF(AND(LEN(BA99)&gt;=2,ISNA(MATCH(LEFT(BA99,255),L_Placeholder,0)),TRIM(AB99)=""),"INVALID – CA status missing for the recorded corrective action","")&amp;IF(AND(TRIM(U99)="Pass after CA",OR(OR(LEN(BA99)&lt;5,ISNUMBER(MATCH(BA99,L_Placeholder,0))),TRIM(AB99)&lt;&gt;"Closed")),"INVALID – corrective action not recorded/closed","")</f>
        <v/>
      </c>
      <c r="BC99" s="61" t="str">
        <f aca="false">" "&amp;TRIM(SUBSTITUTE(SUBSTITUTE(SUBSTITUTE(SUBSTITUTE(SUBSTITUTE(SUBSTITUTE(SUBSTITUTE(SUBSTITUTE(SUBSTITUTE(SUBSTITUTE(SUBSTITUTE(SUBSTITUTE(SUBSTITUTE(SUBSTITUTE(SUBSTITUTE(SUBSTITUTE(SUBSTITUTE(SUBSTITUTE(SUBSTITUTE(SUBSTITUTE(SUBSTITUTE(SUBSTITUTE(SUBSTITUTE(SUBSTITUTE(LOWER(V99&amp;""),CHAR(10)," "),CHAR(13)," "),CHAR(9)," "),CHAR(160)," "),"."," "),","," "),"-"," "),"/"," "),"("," "),")"," "),":"," "),";"," "),"_"," "),"–"," "),"?"," "),"!"," "),"*"," "),"["," "),"]"," "),"'"," "),"#"," "),"+"," "),"&amp;"," "),"\"," "))&amp;" "</f>
        <v>  </v>
      </c>
      <c r="BD99" s="61" t="str">
        <f aca="false">" "&amp;TRIM(SUBSTITUTE(SUBSTITUTE(SUBSTITUTE(SUBSTITUTE(SUBSTITUTE(SUBSTITUTE(SUBSTITUTE(SUBSTITUTE(SUBSTITUTE(SUBSTITUTE(SUBSTITUTE(SUBSTITUTE(SUBSTITUTE(SUBSTITUTE(SUBSTITUTE(SUBSTITUTE(SUBSTITUTE(SUBSTITUTE(SUBSTITUTE(SUBSTITUTE(SUBSTITUTE(SUBSTITUTE(SUBSTITUTE(SUBSTITUTE(LOWER(Z99&amp;""),CHAR(10)," "),CHAR(13)," "),CHAR(9)," "),CHAR(160)," "),"."," "),","," "),"-"," "),"/"," "),"("," "),")"," "),":"," "),";"," "),"_"," "),"–"," "),"?"," "),"!"," "),"*"," "),"["," "),"]"," "),"'"," "),"#"," "),"+"," "),"&amp;"," "),"\"," "))&amp;" "</f>
        <v>  </v>
      </c>
      <c r="BE99" s="61" t="str">
        <f aca="false">" "&amp;TRIM(SUBSTITUTE(SUBSTITUTE(SUBSTITUTE(SUBSTITUTE(SUBSTITUTE(SUBSTITUTE(SUBSTITUTE(SUBSTITUTE(SUBSTITUTE(SUBSTITUTE(SUBSTITUTE(SUBSTITUTE(SUBSTITUTE(SUBSTITUTE(SUBSTITUTE(SUBSTITUTE(SUBSTITUTE(SUBSTITUTE(SUBSTITUTE(SUBSTITUTE(SUBSTITUTE(SUBSTITUTE(SUBSTITUTE(SUBSTITUTE(LOWER(W99&amp;""),CHAR(10)," "),CHAR(13)," "),CHAR(9)," "),CHAR(160)," "),"."," "),","," "),"-"," "),"/"," "),"("," "),")"," "),":"," "),";"," "),"_"," "),"–"," "),"?"," "),"!"," "),"*"," "),"["," "),"]"," "),"'"," "),"#"," "),"+"," "),"&amp;"," "),"\"," "))&amp;" "</f>
        <v>  </v>
      </c>
      <c r="BF99" s="61" t="str">
        <f aca="false">" "&amp;TRIM(SUBSTITUTE(SUBSTITUTE(SUBSTITUTE(SUBSTITUTE(SUBSTITUTE(SUBSTITUTE(SUBSTITUTE(SUBSTITUTE(SUBSTITUTE(SUBSTITUTE(SUBSTITUTE(SUBSTITUTE(SUBSTITUTE(SUBSTITUTE(SUBSTITUTE(SUBSTITUTE(SUBSTITUTE(SUBSTITUTE(SUBSTITUTE(SUBSTITUTE(SUBSTITUTE(SUBSTITUTE(SUBSTITUTE(SUBSTITUTE(LOWER(AC99&amp;""),CHAR(10)," "),CHAR(13)," "),CHAR(9)," "),CHAR(160)," "),"."," "),","," "),"-"," "),"/"," "),"("," "),")"," "),":"," "),";"," "),"_"," "),"–"," "),"?"," "),"!"," "),"*"," "),"["," "),"]"," "),"'"," "),"#"," "),"+"," "),"&amp;"," "),"\"," "))&amp;" "</f>
        <v>  </v>
      </c>
      <c r="BG99" s="61" t="n">
        <f aca="false">IFERROR(IF(AND(TRIM(U99)="Pass",SUMPRODUCT((LEN(BC99)-LEN(SUBSTITUTE(BC99," "&amp;L_ResultBad&amp;" "," ")))/(LEN(L_ResultBad)+1))&gt;SUMPRODUCT((LEN(BC99)-LEN(SUBSTITUTE(BC99," "&amp;L_NegPhrase&amp;" "," ")))/(LEN(L_NegPhrase)+1))),1,0),0)</f>
        <v>0</v>
      </c>
      <c r="BH99" s="61" t="n">
        <f aca="false">IFERROR(IF(SUMPRODUCT((LEN(BC99)-LEN(SUBSTITUTE(BC99," "&amp;L_Pending&amp;" "," ")))/(LEN(L_Pending)+1))&gt;SUMPRODUCT((LEN(BC99)-LEN(SUBSTITUTE(BC99," "&amp;L_PendNeg&amp;" "," ")))/(LEN(L_PendNeg)+1))+SUMPRODUCT((LEN(BC99)-LEN(SUBSTITUTE(BC99," "&amp;L_PendPrep&amp;" "," ")))/(LEN(L_PendPrep)+1)),1,0),1)</f>
        <v>0</v>
      </c>
      <c r="BI99" s="61" t="n">
        <f aca="false">IFERROR(IF(SUMPRODUCT((LEN(BD99)-LEN(SUBSTITUTE(BD99," "&amp;L_PendStrict&amp;" "," ")))/(LEN(L_PendStrict)+1))&gt;SUMPRODUCT((LEN(BD99)-LEN(SUBSTITUTE(BD99," "&amp;L_PendNeg&amp;" "," ")))/(LEN(L_PendNeg)+1)),1,0),1)</f>
        <v>0</v>
      </c>
      <c r="BJ99" s="61" t="n">
        <f aca="false">IFERROR(IF(SUMPRODUCT((LEN(BE99)-LEN(SUBSTITUTE(BE99," "&amp;L_Pending&amp;" "," ")))/(LEN(L_Pending)+1))&gt;SUMPRODUCT((LEN(BE99)-LEN(SUBSTITUTE(BE99," "&amp;L_PendNeg&amp;" "," ")))/(LEN(L_PendNeg)+1))+SUMPRODUCT((LEN(BE99)-LEN(SUBSTITUTE(BE99," "&amp;L_PendPrep&amp;" "," ")))/(LEN(L_PendPrep)+1)),1,0),1)</f>
        <v>0</v>
      </c>
      <c r="BK99" s="61" t="n">
        <f aca="false">IFERROR(IF(SUMPRODUCT((LEN(BF99)-LEN(SUBSTITUTE(BF99," "&amp;L_PendStrict&amp;" "," ")))/(LEN(L_PendStrict)+1))&gt;SUMPRODUCT((LEN(BF99)-LEN(SUBSTITUTE(BF99," "&amp;L_PendNeg&amp;" "," ")))/(LEN(L_PendNeg)+1)),1,0),1)</f>
        <v>0</v>
      </c>
      <c r="BL99" s="61" t="n">
        <f aca="false">IF(ISNA(MATCH(TRIM(S99),L_EvidenceType,0)),0,BZ99)</f>
        <v>0</v>
      </c>
      <c r="BM99" s="61" t="str">
        <f aca="false">SUBSTITUTE(SUBSTITUTE(SUBSTITUTE(SUBSTITUTE(SUBSTITUTE(SUBSTITUTE(SUBSTITUTE(SUBSTITUTE(SUBSTITUTE(LOWER(Z99&amp;""),"1","0"),"2","0"),"3","0"),"4","0"),"5","0"),"6","0"),"7","0"),"8","0"),"9","0")</f>
        <v/>
      </c>
      <c r="BN99" s="61" t="str">
        <f aca="false">SUBSTITUTE(SUBSTITUTE(SUBSTITUTE(SUBSTITUTE(SUBSTITUTE(SUBSTITUTE(SUBSTITUTE(SUBSTITUTE(SUBSTITUTE(SUBSTITUTE(SUBSTITUTE(SUBSTITUTE(SUBSTITUTE(SUBSTITUTE(SUBSTITUTE(SUBSTITUTE(SUBSTITUTE(SUBSTITUTE(SUBSTITUTE(SUBSTITUTE(SUBSTITUTE(SUBSTITUTE(SUBSTITUTE(SUBSTITUTE(SUBSTITUTE(BM99,"b","a"),"c","a"),"d","a"),"e","a"),"f","a"),"g","a"),"h","a"),"i","a"),"j","a"),"k","a"),"l","a"),"m","a"),"n","a"),"o","a"),"p","a"),"q","a"),"r","a"),"s","a"),"t","a"),"u","a"),"v","a"),"w","a"),"x","a"),"y","a"),"z","a")</f>
        <v/>
      </c>
      <c r="BO99" s="61" t="str">
        <f aca="false">SUBSTITUTE(SUBSTITUTE(SUBSTITUTE(SUBSTITUTE(SUBSTITUTE(SUBSTITUTE(SUBSTITUTE(SUBSTITUTE(SUBSTITUTE(LOWER(W99&amp;""),"1","0"),"2","0"),"3","0"),"4","0"),"5","0"),"6","0"),"7","0"),"8","0"),"9","0")</f>
        <v/>
      </c>
      <c r="BP99" s="61" t="str">
        <f aca="false">SUBSTITUTE(SUBSTITUTE(SUBSTITUTE(SUBSTITUTE(SUBSTITUTE(SUBSTITUTE(SUBSTITUTE(SUBSTITUTE(SUBSTITUTE(SUBSTITUTE(SUBSTITUTE(SUBSTITUTE(SUBSTITUTE(SUBSTITUTE(SUBSTITUTE(SUBSTITUTE(SUBSTITUTE(SUBSTITUTE(SUBSTITUTE(SUBSTITUTE(SUBSTITUTE(SUBSTITUTE(SUBSTITUTE(SUBSTITUTE(SUBSTITUTE(BO99,"b","a"),"c","a"),"d","a"),"e","a"),"f","a"),"g","a"),"h","a"),"i","a"),"j","a"),"k","a"),"l","a"),"m","a"),"n","a"),"o","a"),"p","a"),"q","a"),"r","a"),"s","a"),"t","a"),"u","a"),"v","a"),"w","a"),"x","a"),"y","a"),"z","a")</f>
        <v/>
      </c>
      <c r="BQ99" s="61" t="n">
        <f aca="false">IFERROR(IF(AND(ISERROR(SEARCH(" mh"," "&amp;LOWER(W99))),ISNA(MATCH(LEFT(TRIM(BP99),255),{"0000a","000a","00a","0000aa","000aa","00aa","0aa","0000aaa","000aaa","00a00","0a00","0000-0000","00:00","a00","a0","00.00.0000","00/00/0000","00-00-0000","0000-00-00","0000/00/00","0000.00.00","00.00.00","00/00/00","00-00-00","0.00.0000","0/00/0000","0-00-0000"},0)),ISNA(MATCH(LEFT(TRIM(CA99),255),{"0000a","000a","00a","0000aa","000aa","00aa","0aa","0000aaa","000aaa","00a00","0a00","0000-0000","00:00","a00","a0","00.00.0000","00/00/0000","00-00-0000","0000-00-00","0000/00/00","0000.00.00","00.00.00","00/00/00","00-00-00","0.00.0000","0/00/0000","0-00-0000"},0)),LEN(CB99)&gt;=3,NOT(OR(SUBSTITUTE(CB99,"0","")="",AND(LEN(CB99)&gt;=4,CB99=REPT(LEFT(CB99),LEN(CB99))),ISNUMBER(MATCH(CB99,{"123","1234","12345","123456","1234567","12345678","0123","01234","012345","98765","987654","54321"},0)),AND(LEN(CB99)=8,LEFT(CB99,3)="202"))),OR(AND((LEN(CA99)-LEN(SUBSTITUTE(CA99,"a","")))&gt;=1,SUMPRODUCT(--ISNUMBER(SEARCH({"a0","a-0","a_0","a/0","a.0","a#0","0a","0-a","0_a","0/a"},BP99)))&gt;0),ISNUMBER(SEARCH("000000",BP99)))),1,0),0)</f>
        <v>0</v>
      </c>
      <c r="BR99" s="61" t="n">
        <f aca="false">IFERROR(LEN(SUBSTITUTE(CC99," ",""))-SUMPRODUCT((LEN(CC99)-LEN(SUBSTITUTE(CC99," "&amp;L_Role&amp;" "," ")))/(LEN(L_Role)+1)*LEN(L_Role)),0)</f>
        <v>0</v>
      </c>
      <c r="BS99" s="61" t="n">
        <f aca="false">IFERROR(LEN(SUBSTITUTE(CD99," ",""))-SUMPRODUCT((LEN(CD99)-LEN(SUBSTITUTE(CD99," "&amp;L_Role&amp;" "," ")))/(LEN(L_Role)+1)*LEN(L_Role)),0)</f>
        <v>0</v>
      </c>
      <c r="BT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99,"revision",""),"version",""),"jan",""),"feb",""),"mar",""),"apr",""),"may",""),"jun",""),"jul",""),"aug",""),"sep",""),"oct",""),"nov",""),"dec",""),"utc",""),"gmt",""),"myt",""),"bst",""),"rev",""),"ver",""),"b","a"),"c","a"),"d","a"),"e","a"),"f","a"),"g","a"),"h","a"),"i","a"),"j","a"),"k","a"),"l","a"),"m","a"),"n","a"),"o","a"),"p","a"),"q","a"),"r","a"),"s","a"),"t","a"),"u","a"),"v","a"),"w","a"),"x","a"),"y","a"),"z","a")</f>
        <v/>
      </c>
      <c r="BU99" s="61" t="str">
        <f aca="false">SUBSTITUTE(SUBSTITUTE(SUBSTITUTE(SUBSTITUTE(SUBSTITUTE(SUBSTITUTE(SUBSTITUTE(SUBSTITUTE(SUBSTITUTE(SUBSTITUTE(LEFT(BM99,FIND("0",BM99&amp;"0")-1),"-",""),"_",""),"/",""),".",""),"#",""),"\\",""),":","")," ",""),"(",""),")","")</f>
        <v/>
      </c>
      <c r="BV99" s="61" t="n">
        <f aca="false">0</f>
        <v>0</v>
      </c>
      <c r="BW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99&amp;""),"a",""),"b",""),"c",""),"d",""),"e",""),"f",""),"g",""),"h",""),"i",""),"j",""),"k",""),"l",""),"m",""),"n",""),"o",""),"p",""),"q",""),"r",""),"s",""),"t",""),"u",""),"v",""),"w",""),"x",""),"y",""),"z",""),"-",""),"_",""),"/",""),".",""),"#",""),"\\",""),":","")," ",""),"(",""),")","")</f>
        <v/>
      </c>
      <c r="BX99" s="61" t="str">
        <f aca="false">SUBSTITUTE(SUBSTITUTE(SUBSTITUTE(SUBSTITUTE(SUBSTITUTE(SUBSTITUTE(SUBSTITUTE(SUBSTITUTE(SUBSTITUTE(SUBSTITUTE(SUBSTITUTE(BM99,"0",""),"-",""),"_",""),"/",""),".",""),"#",""),"\\",""),":","")," ",""),"(",""),")","")</f>
        <v/>
      </c>
      <c r="BY99" s="62" t="n">
        <f aca="false">Q99-T24EarlyH/24</f>
        <v>46303.6458333333</v>
      </c>
      <c r="BZ99" s="61" t="n">
        <f aca="false">IFERROR(IF(IF(TRIM(S99)="Link / file path",AND(LEN(TRIM(Z99))&gt;=5,SUMPRODUCT(--ISNUMBER(SEARCH({"http","www.","\\",":\",".pdf",".jpg",".jpeg",".png",".heic",".xls",".doc",".msg",".eml",".ppt",".txt",".zip"},Z99)))&gt;0),AND(ISERROR(FIND(" ",TRIM(Z99))),NOT(OR(SUMPRODUCT(--ISNUMBER(FIND({",",";","&amp;","+"},Z99)))&gt;0,SUMPRODUCT(--ISNUMBER(SEARCH({"0/aa","0\\aa"},BN99)))&gt;0)),NOT(SUMPRODUCT(--ISNUMBER(SEARCH({"http","www.","\\",":\",".pdf",".jpg",".jpeg",".png",".heic",".xls",".doc",".msg",".eml",".ppt",".txt",".zip"},Z99)))&gt;0),NOT(LOWER(TRIM(Z99))=LOWER(Flights!$F$8)),ISNA(MATCH(BU99,{"mh","rev","revision","ver","version","v","r","a","b","seat","tray","row","gate","bay","stand","page","pg","item","line","no","cart","galley","flight","flt","table","box","bag","oven","etd","eta","std","sta","atd","ata","qty","pax","x","time","tel","ph","mob","day","wk","week","utc","gmt","myt","lt"},0)),NOT(OR(ISNUMBER(MATCH(LEFT(BN99,255),{"0000a","000a","00a","0000aa","000aa","00aa","0aa","0000aaa","000aaa","00a00","0a00","0000-0000","00:00","a00","a0","00.00.0000","00/00/0000","00-00-0000","0000-00-00","0000/00/00","0000.00.00","00.00.00","00/00/00","00-00-00","0.00.0000","0/00/0000","0-00-0000"},0)),ISNUMBER(MATCH(LEFT(BT99,255),{"0000a","000a","00a","0000aa","000aa","00aa","0aa","0000aaa","000aaa","00a00","0a00","0000-0000","00:00","a00","a0","00.00.0000","00/00/0000","00-00-0000","0000-00-00","0000/00/00","0000.00.00","00.00.00","00/00/00","00-00-00","0.00.0000","0/00/0000","0-00-0000"},0)))),NOT(OR(AND(BW99&lt;&gt;"",SUBSTITUTE(BW99,"0","")=""),AND(LEN(BW99)&gt;=4,BW99=REPT(LEFT(BW99),LEN(BW99))),ISNUMBER(MATCH(BW99,{"123","1234","12345","123456","1234567","12345678","0123","01234","012345","98765","987654","54321"},0)),ISNUMBER(MATCH(BX99,{"x","xx","xxx","xxxx","xxxxx","abc","abcd","nil","na","nan","test","tbc","tba","tbd","dummy","sample","example","eg","zz","zzz","none","null","xyz","qwe","asd","id","ref"},0)),AND(LEN(BW99)=8,BX99="",OR(LEFT(BW99,3)="202",ISNUMBER(MATCH(RIGHT(BW99,4),{"2025","2026","2027"},0)))))),OR(AND((LEN(BT99)-LEN(SUBSTITUTE(BT99,"a","")))&gt;=1,(LEN(BN99)-LEN(SUBSTITUTE(BN99,"0","")))&gt;=2,SUMPRODUCT(--ISNUMBER(SEARCH({"a0","a-0","a_0","a/0","a.0","a#0","0a","0-a","0_a","0/a"},BN99)))&gt;0),AND((LEN(BN99)-LEN(SUBSTITUTE(BN99,"a","")))=0,(LEN(BN99)-LEN(SUBSTITUTE(BN99,"0","")))&gt;=5)))),1,0),0)</f>
        <v>0</v>
      </c>
      <c r="CA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99,"revision",""),"version",""),"jan",""),"feb",""),"mar",""),"apr",""),"may",""),"jun",""),"jul",""),"aug",""),"sep",""),"oct",""),"nov",""),"dec",""),"utc",""),"gmt",""),"myt",""),"bst",""),"rev",""),"ver",""),"b","a"),"c","a"),"d","a"),"e","a"),"f","a"),"g","a"),"h","a"),"i","a"),"j","a"),"k","a"),"l","a"),"m","a"),"n","a"),"o","a"),"p","a"),"q","a"),"r","a"),"s","a"),"t","a"),"u","a"),"v","a"),"w","a"),"x","a"),"y","a"),"z","a")</f>
        <v/>
      </c>
      <c r="CB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99&amp;""),"a",""),"b",""),"c",""),"d",""),"e",""),"f",""),"g",""),"h",""),"i",""),"j",""),"k",""),"l",""),"m",""),"n",""),"o",""),"p",""),"q",""),"r",""),"s",""),"t",""),"u",""),"v",""),"w",""),"x",""),"y",""),"z",""),"-",""),"_",""),"/",""),".",""),"#",""),"\\",""),":","")," ",""),"(",""),")","")</f>
        <v/>
      </c>
      <c r="CC99" s="0" t="str">
        <f aca="false">" "&amp;TRIM(SUBSTITUTE(SUBSTITUTE(SUBSTITUTE(SUBSTITUTE(SUBSTITUTE(SUBSTITUTE(SUBSTITUTE(SUBSTITUTE(SUBSTITUTE(SUBSTITUTE(SUBSTITUTE(SUBSTITUTE(SUBSTITUTE(SUBSTITUTE(SUBSTITUTE(SUBSTITUTE(SUBSTITUTE(SUBSTITUTE(SUBSTITUTE(SUBSTITUTE(SUBSTITUTE(SUBSTITUTE(SUBSTITUTE(SUBSTITUTE(LOWER(T99&amp;""),CHAR(10)," "),CHAR(13)," "),CHAR(9)," "),CHAR(160)," "),"."," "),","," "),"-"," "),"/"," "),"("," "),")"," "),":"," "),";"," "),"_"," "),"–"," "),"?"," "),"!"," "),"*"," "),"["," "),"]"," "),"'"," "),"#"," "),"+"," "),"&amp;"," "),"\"," "))&amp;" "</f>
        <v>  </v>
      </c>
      <c r="CD99" s="0" t="str">
        <f aca="false">" "&amp;TRIM(SUBSTITUTE(SUBSTITUTE(SUBSTITUTE(SUBSTITUTE(SUBSTITUTE(SUBSTITUTE(SUBSTITUTE(SUBSTITUTE(SUBSTITUTE(SUBSTITUTE(SUBSTITUTE(SUBSTITUTE(SUBSTITUTE(SUBSTITUTE(SUBSTITUTE(SUBSTITUTE(SUBSTITUTE(SUBSTITUTE(SUBSTITUTE(SUBSTITUTE(SUBSTITUTE(SUBSTITUTE(SUBSTITUTE(SUBSTITUTE(LOWER(AE99&amp;""),CHAR(10)," "),CHAR(13)," "),CHAR(9)," "),CHAR(160)," "),"."," "),","," "),"-"," "),"/"," "),"("," "),")"," "),":"," "),";"," "),"_"," "),"–"," "),"?"," "),"!"," "),"*"," "),"["," "),"]"," "),"'"," "),"#"," "),"+"," "),"&amp;"," "),"\"," "))&amp;" "</f>
        <v>  </v>
      </c>
      <c r="CE99" s="68" t="n">
        <f aca="false">IFERROR(IF(AND(LEN(AU99)&gt;0,LEN(AU99)=LEN(AX99),OR(TRIM(MID(SUBSTITUTE(TRIM(CC99)," ",REPT(" ",60)),1,60))="",ISNUMBER(SEARCH(" "&amp;TRIM(MID(SUBSTITUTE(TRIM(CC99)," ",REPT(" ",60)),1,60))&amp;" ",CD99))),OR(TRIM(MID(SUBSTITUTE(TRIM(CC99)," ",REPT(" ",60)),61,60))="",ISNUMBER(SEARCH(" "&amp;TRIM(MID(SUBSTITUTE(TRIM(CC99)," ",REPT(" ",60)),61,60))&amp;" ",CD99))),OR(TRIM(MID(SUBSTITUTE(TRIM(CC99)," ",REPT(" ",60)),121,60))="",ISNUMBER(SEARCH(" "&amp;TRIM(MID(SUBSTITUTE(TRIM(CC99)," ",REPT(" ",60)),121,60))&amp;" ",CD99)))),1,0),0)</f>
        <v>0</v>
      </c>
      <c r="CG99" s="68" t="n">
        <f aca="false">IFERROR(LEN(SUBSTITUTE(BF99," ",""))-SUMPRODUCT((LEN(BF99)-LEN(SUBSTITUTE(BF99," "&amp;L_NAFiller&amp;" "," ")))/(LEN(L_NAFiller)+1)*LEN(L_NAFiller)),0)</f>
        <v>0</v>
      </c>
    </row>
    <row r="100" customFormat="false" ht="39.75" hidden="false" customHeight="true" outlineLevel="0" collapsed="false">
      <c r="A100" s="57" t="s">
        <v>593</v>
      </c>
      <c r="B100" s="57" t="s">
        <v>218</v>
      </c>
      <c r="C100" s="57" t="str">
        <f aca="false">Flights!$F$8</f>
        <v>MH0088</v>
      </c>
      <c r="D100" s="58" t="n">
        <f aca="false">Flights!$D$8</f>
        <v>46305</v>
      </c>
      <c r="E100" s="57" t="str">
        <f aca="false">Flights!$G$8&amp;"-"&amp;Flights!$H$8</f>
        <v>KUL-NRT</v>
      </c>
      <c r="F100" s="57" t="str">
        <f aca="false">Flights!$K$8</f>
        <v>BC</v>
      </c>
      <c r="G100" s="57" t="s">
        <v>420</v>
      </c>
      <c r="H100" s="57" t="s">
        <v>378</v>
      </c>
      <c r="I100" s="57" t="s">
        <v>379</v>
      </c>
      <c r="J100" s="57" t="s">
        <v>421</v>
      </c>
      <c r="K100" s="67"/>
      <c r="L100" s="67" t="s">
        <v>422</v>
      </c>
      <c r="M100" s="67"/>
      <c r="N100" s="67" t="s">
        <v>383</v>
      </c>
      <c r="O100" s="67" t="s">
        <v>423</v>
      </c>
      <c r="P100" s="57" t="s">
        <v>187</v>
      </c>
      <c r="Q100" s="59" t="n">
        <f aca="false">ROUND((Flights!$AE$8)*1440,0)/1440</f>
        <v>46305.1458333333</v>
      </c>
      <c r="R100" s="59" t="n">
        <f aca="false">Q100+(IF(AND(INDEX(TZ_DSTS,MATCH(P100,TZ_STN,0))&lt;&gt;"",Q100&gt;=INDEX(TZ_DSTS,MATCH(P100,TZ_STN,0)),Q100&lt;INDEX(TZ_DSTE,MATCH(P100,TZ_STN,0))),INDEX(TZ_DST,MATCH(P100,TZ_STN,0)),INDEX(TZ_STD,MATCH(P100,TZ_STN,0))))/24</f>
        <v>46305.4791666667</v>
      </c>
      <c r="S100" s="60"/>
      <c r="T100" s="60"/>
      <c r="U100" s="60"/>
      <c r="V100" s="60"/>
      <c r="W100" s="61"/>
      <c r="X100" s="60"/>
      <c r="Y100" s="60"/>
      <c r="Z100" s="60"/>
      <c r="AA100" s="60"/>
      <c r="AB100" s="60"/>
      <c r="AC100" s="60"/>
      <c r="AD100" s="66"/>
      <c r="AE100" s="60"/>
      <c r="AF100" s="61" t="str">
        <f aca="false">IF(AND(ISNUMBER(X100),ISNUMBER(Y100)),Y100-X100,"")</f>
        <v/>
      </c>
      <c r="AG100" s="62" t="str">
        <f aca="false">IF(ISNUMBER(AD100),AD100-(IF(AND(INDEX(TZ_DSTS,MATCH(P100,TZ_STN,0))&lt;&gt;"",(AD100-INDEX(TZ_STD,MATCH(P100,TZ_STN,0))/24)&gt;=INDEX(TZ_DSTS,MATCH(P100,TZ_STN,0)),(AD100-INDEX(TZ_STD,MATCH(P100,TZ_STN,0))/24)&lt;INDEX(TZ_DSTE,MATCH(P100,TZ_STN,0))),INDEX(TZ_DST,MATCH(P100,TZ_STN,0)),INDEX(TZ_STD,MATCH(P100,TZ_STN,0))))/24,"")</f>
        <v/>
      </c>
      <c r="AH100" s="65" t="str">
        <f aca="false">IFERROR(IF(N100="N/A – rule",IF(OR(TRIM(U100)="",TRIM(U100)="N/A",TRIM(U100)="Not started"),"N/A – RULE","INVALID – this check does not apply to this aircraft: clear the status (or correct the fleet on Flights)"),IF(TRIM(U100)="N/A",IF(AT100=0,"INVALID – N/A not permitted for this check",IF(AND(TRIM(AB100)&lt;&gt;"",TRIM(AB100)&lt;&gt;"Closed"),"INVALID – corrective action still open",IF(AND(NOT(OR(LEN(AZ100)&lt;15,ISNUMBER(MATCH(AZ100,L_Placeholder,0)))),BK100=0,CG100&gt;=8,NOT(OR(LEN(AU100)&lt;2,ISNUMBER(MATCH(AU100,L_Placeholder,0)))),BR100&gt;=3,NOT(OR(LEN(AX100)&lt;2,ISNUMBER(MATCH(AX100,L_Placeholder,0)))),BS100&gt;=3,TRIM(AE100)&lt;&gt;TRIM(T100),AX100&lt;&gt;AU100,CE100=0),"N/A – JUSTIFIED","INVALID – N/A needs a real, settled reason (not 'not applicable' / 'as above' / TBC), a named PIC and a different named verifier"))),IF(OR(TRIM(U100)="Pass",TRIM(U100)="Pass after CA"),IF(NOT(ISNUMBER(AD100)),"INVALID – completion time missing",IF(OR(OR(LEN(AU100)&lt;2,ISNUMBER(MATCH(AU100,L_Placeholder,0))),BR100&lt;3),"INVALID – PIC missing or not a named person (a role such as QA / CSM is not a name)",IF(OR(LEN(AV100)&lt;2,ISNUMBER(MATCH(AV100,L_Placeholder,0))),"INVALID – result / assessment missing",IF(OR(OR(LEN(AW100)&lt;3,ISNUMBER(MATCH(AW100,L_Placeholder,0))),SUMPRODUCT(--ISNUMBER(SEARCH(" "&amp;L_EvidencePhrase&amp;" ",BD100)))&gt;0,BI100=1),"INVALID – evidence missing, placeholder or not yet on file",IF(ISNA(MATCH(TRIM(S100),L_EvidenceType,0)),"INVALID – choose the evidence type from the list (column S)",IF(BL100=0,"INVALID – evidence ID must be the record's own ID only (e.g. SF-2210, IMG_2231, 1045521); a link / file name needs type 'Link / file path'",IF(OR(OR(LEN(AX100)&lt;2,ISNUMBER(MATCH(AX100,L_Placeholder,0))),BS100&lt;3),"INVALID – verifier missing or not a named person (a role such as QA / CSM is not a name)",IF(OR(AX100=AU100,CE100=1,AND(LEN(AU100)&gt;=4,ISNUMBER(SEARCH(AU100,AX100))),AND(LEN(AX100)&gt;=4,ISNUMBER(SEARCH(AX100,AU100)))),"INVALID – verifier must be a different, named person (not the PIC or a role)",IF(BH100=1,"INVALID – result not yet available (awaiting / TBC)",IF(BG100=1,"INVALID – result describes a problem: record Fail, then Pass after CA (or reword if it is not a problem)",IF(BV100=1,"INVALID – wording says not on board: an on-board confirmation needs the item loaded",IF(AND(AQ100=1,OR(OR(LEN(AY100)&lt;3,ISNUMBER(MATCH(AY100,L_Placeholder,0))),BJ100=1,BQ100=0)),"INVALID – batch ID missing, placeholder or not an ID (e.g. PASB-261008-BC-017)",IF(AND(AR100=1,OR(NOT(ISNUMBER(X100)),NOT(ISNUMBER(Y100)))),"INVALID – expected/actual qty missing",IF(AND(AR100=1,OR(X100&lt;=0,Y100&lt;0)),"INVALID – expected qty must be above 0 and actual not negative",IF(BB100&lt;&gt;"",BB100,IF(AND(AS100=1,Documents!$J$8&lt;&gt;"ON FILE"),"INVALID – GLD not on file (Documents sheet)",IF(AND(AS100=2,Documents!$O$8&lt;&gt;"ON FILE"),"INVALID – menu checklist not on file (Documents sheet)",IF(AND(AS100=3,NOT(ISNUMBER(Flights!$AX$8))),"INVALID – enter carrying flight KUL departure (Flights AX)",IF(AND(AS100=3,OR(Flights!$AZ$8&gt;Flights!$AA$8,Flights!$AX$8&lt;Flights!$AA$8-3)),"INVALID – carrying flight (Flights AX) cannot arrive before this leg's STD, or is over 3 days early",IF(AG100&gt;AsOfUTC,"INVALID – completion time is in the future",IF(AND(ISNUMBER(BY100),AG100&lt;BY100),IF(H100="Physical uplift","INVALID – before uplift window (cannot confirm loading)","INVALID – before valid window"),IF(AG100&gt;Flights!$AA$8,"INVALID – completed after departure (cannot establish readiness)",IF(AND(H100="Preparation",AG100&gt;=IF(ISNUMBER(Flights!$BA$8),MIN(Flights!$BA$8,Flights!$AA$8),Flights!$AA$8)),"INVALID – completed after loading / departure (cannot establish readiness)",IF(AND(H100="Physical uplift",AG100&gt;Q100),"INVALID – recorded after the loading flight departed",IF(AG100&gt;Q100,"COMPLETE – LATE","COMPLETE"))))))))))))))))))))))))),IF(TRIM(U100)="Fail","FAIL – DISCREPANCY",IF(AND(TRIM(U100)&lt;&gt;"",TRIM(U100)&lt;&gt;"Not started",TRIM(U100)&lt;&gt;"In progress"),"INVALID – unrecognised status (use the list)",IF(AsOfUTC&gt;Q100,"OVERDUE",IF(N100="Clarification required","OPEN – CLARIFICATION","OPEN"))))))),"INVALID – error value in an input cell")</f>
        <v>OPEN</v>
      </c>
      <c r="AI100" s="61" t="n">
        <f aca="false">IF(OR(AH100="N/A – RULE",AH100="N/A – JUSTIFIED"),0,1)</f>
        <v>1</v>
      </c>
      <c r="AJ100" s="61" t="n">
        <f aca="false">IF(LEFT(AH100,8)="COMPLETE",1,0)</f>
        <v>0</v>
      </c>
      <c r="AK100" s="61" t="n">
        <f aca="false">IF(AND(AI100=1,AJ100=0,AsOfUTC&gt;Q100),1,0)</f>
        <v>0</v>
      </c>
      <c r="AL100" s="61" t="n">
        <f aca="false">IFERROR(IF(AND(AI100=1,OR(TRIM(U100)="Fail",AND(TRIM(AB100)&lt;&gt;"",TRIM(AB100)&lt;&gt;"Closed"),AND(ISNUMBER(AF100),AF100&lt;&gt;0,TRIM(U100)&lt;&gt;"Pass after CA"))),1,0),1)</f>
        <v>0</v>
      </c>
      <c r="AM100" s="61" t="n">
        <f aca="false">IF(LEFT(AH100,7)="INVALID",1,0)</f>
        <v>0</v>
      </c>
      <c r="AN100" s="61" t="n">
        <f aca="false">IF(AND(N100="Clarification required",AI100=1,AJ100=0),1,0)</f>
        <v>0</v>
      </c>
      <c r="AO100" s="61" t="str">
        <f aca="false">IF(AK100=1,SUM(AK$5:AK100),"")</f>
        <v/>
      </c>
      <c r="AP100" s="61" t="str">
        <f aca="false">IF(AL100=1,SUM(AL$5:AL100),"")</f>
        <v/>
      </c>
      <c r="AQ100" s="61" t="n">
        <v>0</v>
      </c>
      <c r="AR100" s="61" t="n">
        <v>0</v>
      </c>
      <c r="AS100" s="61" t="n">
        <v>0</v>
      </c>
      <c r="AT100" s="61" t="n">
        <v>0</v>
      </c>
      <c r="AU100" s="61" t="str">
        <f aca="false">SUBSTITUTE(SUBSTITUTE(SUBSTITUTE(SUBSTITUTE(SUBSTITUTE(SUBSTITUTE(SUBSTITUTE(SUBSTITUTE(SUBSTITUTE(SUBSTITUTE(SUBSTITUTE(SUBSTITUTE(SUBSTITUTE(SUBSTITUTE(SUBSTITUTE(SUBSTITUTE(LOWER(T100&amp;""),CHAR(10),""),CHAR(13),""),CHAR(9),""),CHAR(160),"")," ",""),".",""),"-",""),"/",""),"?",""),"_",""),",",""),"[",""),"]",""),"(",""),")",""),"*","")</f>
        <v/>
      </c>
      <c r="AV100" s="61" t="str">
        <f aca="false">SUBSTITUTE(SUBSTITUTE(SUBSTITUTE(SUBSTITUTE(SUBSTITUTE(SUBSTITUTE(SUBSTITUTE(SUBSTITUTE(SUBSTITUTE(SUBSTITUTE(SUBSTITUTE(SUBSTITUTE(SUBSTITUTE(SUBSTITUTE(SUBSTITUTE(SUBSTITUTE(LOWER(V100&amp;""),CHAR(10),""),CHAR(13),""),CHAR(9),""),CHAR(160),"")," ",""),".",""),"-",""),"/",""),"?",""),"_",""),",",""),"[",""),"]",""),"(",""),")",""),"*","")</f>
        <v/>
      </c>
      <c r="AW100" s="61" t="str">
        <f aca="false">SUBSTITUTE(SUBSTITUTE(SUBSTITUTE(SUBSTITUTE(SUBSTITUTE(SUBSTITUTE(SUBSTITUTE(SUBSTITUTE(SUBSTITUTE(SUBSTITUTE(SUBSTITUTE(SUBSTITUTE(SUBSTITUTE(SUBSTITUTE(SUBSTITUTE(SUBSTITUTE(LOWER(Z100&amp;""),CHAR(10),""),CHAR(13),""),CHAR(9),""),CHAR(160),"")," ",""),".",""),"-",""),"/",""),"?",""),"_",""),",",""),"[",""),"]",""),"(",""),")",""),"*","")</f>
        <v/>
      </c>
      <c r="AX100" s="61" t="str">
        <f aca="false">SUBSTITUTE(SUBSTITUTE(SUBSTITUTE(SUBSTITUTE(SUBSTITUTE(SUBSTITUTE(SUBSTITUTE(SUBSTITUTE(SUBSTITUTE(SUBSTITUTE(SUBSTITUTE(SUBSTITUTE(SUBSTITUTE(SUBSTITUTE(SUBSTITUTE(SUBSTITUTE(LOWER(AE100&amp;""),CHAR(10),""),CHAR(13),""),CHAR(9),""),CHAR(160),"")," ",""),".",""),"-",""),"/",""),"?",""),"_",""),",",""),"[",""),"]",""),"(",""),")",""),"*","")</f>
        <v/>
      </c>
      <c r="AY100" s="61" t="str">
        <f aca="false">SUBSTITUTE(SUBSTITUTE(SUBSTITUTE(SUBSTITUTE(SUBSTITUTE(SUBSTITUTE(SUBSTITUTE(SUBSTITUTE(SUBSTITUTE(SUBSTITUTE(SUBSTITUTE(SUBSTITUTE(SUBSTITUTE(SUBSTITUTE(SUBSTITUTE(SUBSTITUTE(LOWER(W100&amp;""),CHAR(10),""),CHAR(13),""),CHAR(9),""),CHAR(160),"")," ",""),".",""),"-",""),"/",""),"?",""),"_",""),",",""),"[",""),"]",""),"(",""),")",""),"*","")</f>
        <v/>
      </c>
      <c r="AZ100" s="61" t="str">
        <f aca="false">SUBSTITUTE(SUBSTITUTE(SUBSTITUTE(SUBSTITUTE(SUBSTITUTE(SUBSTITUTE(SUBSTITUTE(SUBSTITUTE(SUBSTITUTE(SUBSTITUTE(SUBSTITUTE(SUBSTITUTE(SUBSTITUTE(SUBSTITUTE(SUBSTITUTE(SUBSTITUTE(LOWER(AC100&amp;""),CHAR(10),""),CHAR(13),""),CHAR(9),""),CHAR(160),"")," ",""),".",""),"-",""),"/",""),"?",""),"_",""),",",""),"[",""),"]",""),"(",""),")",""),"*","")</f>
        <v/>
      </c>
      <c r="BA100" s="61" t="str">
        <f aca="false">SUBSTITUTE(SUBSTITUTE(SUBSTITUTE(SUBSTITUTE(SUBSTITUTE(SUBSTITUTE(SUBSTITUTE(SUBSTITUTE(SUBSTITUTE(SUBSTITUTE(SUBSTITUTE(SUBSTITUTE(SUBSTITUTE(SUBSTITUTE(SUBSTITUTE(SUBSTITUTE(LOWER(AA100&amp;""),CHAR(10),""),CHAR(13),""),CHAR(9),""),CHAR(160),"")," ",""),".",""),"-",""),"/",""),"?",""),"_",""),",",""),"[",""),"]",""),"(",""),")",""),"*","")</f>
        <v/>
      </c>
      <c r="BB100" s="61" t="str">
        <f aca="false">IF(AND(TRIM(U100)="Pass",ISNUMBER(AF100)),IF(AF100&lt;&gt;0,"INVALID – qty variance: use Fail or Pass after CA",""),"")&amp;IF(AND(TRIM(U100)="Pass after CA",ISNUMBER(AF100)),IF(AF100&lt;&gt;0,"INVALID – after the corrective action the actual qty must equal expected (update Actual)",""),"")&amp;IF(AND(TRIM(U100)="Pass",TRIM(AB100)&lt;&gt;"",TRIM(AB100)&lt;&gt;"Closed"),"INVALID – corrective action not closed: use Fail, then Pass after CA","")&amp;IF(AND(LEN(BA100)&gt;=2,ISNA(MATCH(LEFT(BA100,255),L_Placeholder,0)),TRIM(AB100)=""),"INVALID – CA status missing for the recorded corrective action","")&amp;IF(AND(TRIM(U100)="Pass after CA",OR(OR(LEN(BA100)&lt;5,ISNUMBER(MATCH(BA100,L_Placeholder,0))),TRIM(AB100)&lt;&gt;"Closed")),"INVALID – corrective action not recorded/closed","")</f>
        <v/>
      </c>
      <c r="BC100" s="61" t="str">
        <f aca="false">" "&amp;TRIM(SUBSTITUTE(SUBSTITUTE(SUBSTITUTE(SUBSTITUTE(SUBSTITUTE(SUBSTITUTE(SUBSTITUTE(SUBSTITUTE(SUBSTITUTE(SUBSTITUTE(SUBSTITUTE(SUBSTITUTE(SUBSTITUTE(SUBSTITUTE(SUBSTITUTE(SUBSTITUTE(SUBSTITUTE(SUBSTITUTE(SUBSTITUTE(SUBSTITUTE(SUBSTITUTE(SUBSTITUTE(SUBSTITUTE(SUBSTITUTE(LOWER(V100&amp;""),CHAR(10)," "),CHAR(13)," "),CHAR(9)," "),CHAR(160)," "),"."," "),","," "),"-"," "),"/"," "),"("," "),")"," "),":"," "),";"," "),"_"," "),"–"," "),"?"," "),"!"," "),"*"," "),"["," "),"]"," "),"'"," "),"#"," "),"+"," "),"&amp;"," "),"\"," "))&amp;" "</f>
        <v>  </v>
      </c>
      <c r="BD100" s="61" t="str">
        <f aca="false">" "&amp;TRIM(SUBSTITUTE(SUBSTITUTE(SUBSTITUTE(SUBSTITUTE(SUBSTITUTE(SUBSTITUTE(SUBSTITUTE(SUBSTITUTE(SUBSTITUTE(SUBSTITUTE(SUBSTITUTE(SUBSTITUTE(SUBSTITUTE(SUBSTITUTE(SUBSTITUTE(SUBSTITUTE(SUBSTITUTE(SUBSTITUTE(SUBSTITUTE(SUBSTITUTE(SUBSTITUTE(SUBSTITUTE(SUBSTITUTE(SUBSTITUTE(LOWER(Z100&amp;""),CHAR(10)," "),CHAR(13)," "),CHAR(9)," "),CHAR(160)," "),"."," "),","," "),"-"," "),"/"," "),"("," "),")"," "),":"," "),";"," "),"_"," "),"–"," "),"?"," "),"!"," "),"*"," "),"["," "),"]"," "),"'"," "),"#"," "),"+"," "),"&amp;"," "),"\"," "))&amp;" "</f>
        <v>  </v>
      </c>
      <c r="BE100" s="61" t="str">
        <f aca="false">" "&amp;TRIM(SUBSTITUTE(SUBSTITUTE(SUBSTITUTE(SUBSTITUTE(SUBSTITUTE(SUBSTITUTE(SUBSTITUTE(SUBSTITUTE(SUBSTITUTE(SUBSTITUTE(SUBSTITUTE(SUBSTITUTE(SUBSTITUTE(SUBSTITUTE(SUBSTITUTE(SUBSTITUTE(SUBSTITUTE(SUBSTITUTE(SUBSTITUTE(SUBSTITUTE(SUBSTITUTE(SUBSTITUTE(SUBSTITUTE(SUBSTITUTE(LOWER(W100&amp;""),CHAR(10)," "),CHAR(13)," "),CHAR(9)," "),CHAR(160)," "),"."," "),","," "),"-"," "),"/"," "),"("," "),")"," "),":"," "),";"," "),"_"," "),"–"," "),"?"," "),"!"," "),"*"," "),"["," "),"]"," "),"'"," "),"#"," "),"+"," "),"&amp;"," "),"\"," "))&amp;" "</f>
        <v>  </v>
      </c>
      <c r="BF100" s="61" t="str">
        <f aca="false">" "&amp;TRIM(SUBSTITUTE(SUBSTITUTE(SUBSTITUTE(SUBSTITUTE(SUBSTITUTE(SUBSTITUTE(SUBSTITUTE(SUBSTITUTE(SUBSTITUTE(SUBSTITUTE(SUBSTITUTE(SUBSTITUTE(SUBSTITUTE(SUBSTITUTE(SUBSTITUTE(SUBSTITUTE(SUBSTITUTE(SUBSTITUTE(SUBSTITUTE(SUBSTITUTE(SUBSTITUTE(SUBSTITUTE(SUBSTITUTE(SUBSTITUTE(LOWER(AC100&amp;""),CHAR(10)," "),CHAR(13)," "),CHAR(9)," "),CHAR(160)," "),"."," "),","," "),"-"," "),"/"," "),"("," "),")"," "),":"," "),";"," "),"_"," "),"–"," "),"?"," "),"!"," "),"*"," "),"["," "),"]"," "),"'"," "),"#"," "),"+"," "),"&amp;"," "),"\"," "))&amp;" "</f>
        <v>  </v>
      </c>
      <c r="BG100" s="61" t="n">
        <f aca="false">IFERROR(IF(AND(TRIM(U100)="Pass",SUMPRODUCT((LEN(BC100)-LEN(SUBSTITUTE(BC100," "&amp;L_ResultBad&amp;" "," ")))/(LEN(L_ResultBad)+1))&gt;SUMPRODUCT((LEN(BC100)-LEN(SUBSTITUTE(BC100," "&amp;L_NegPhrase&amp;" "," ")))/(LEN(L_NegPhrase)+1))),1,0),0)</f>
        <v>0</v>
      </c>
      <c r="BH100" s="61" t="n">
        <f aca="false">IFERROR(IF(SUMPRODUCT((LEN(BC100)-LEN(SUBSTITUTE(BC100," "&amp;L_Pending&amp;" "," ")))/(LEN(L_Pending)+1))&gt;SUMPRODUCT((LEN(BC100)-LEN(SUBSTITUTE(BC100," "&amp;L_PendNeg&amp;" "," ")))/(LEN(L_PendNeg)+1))+SUMPRODUCT((LEN(BC100)-LEN(SUBSTITUTE(BC100," "&amp;L_PendPrep&amp;" "," ")))/(LEN(L_PendPrep)+1)),1,0),1)</f>
        <v>0</v>
      </c>
      <c r="BI100" s="61" t="n">
        <f aca="false">IFERROR(IF(SUMPRODUCT((LEN(BD100)-LEN(SUBSTITUTE(BD100," "&amp;L_PendStrict&amp;" "," ")))/(LEN(L_PendStrict)+1))&gt;SUMPRODUCT((LEN(BD100)-LEN(SUBSTITUTE(BD100," "&amp;L_PendNeg&amp;" "," ")))/(LEN(L_PendNeg)+1)),1,0),1)</f>
        <v>0</v>
      </c>
      <c r="BJ100" s="61" t="n">
        <f aca="false">IFERROR(IF(SUMPRODUCT((LEN(BE100)-LEN(SUBSTITUTE(BE100," "&amp;L_Pending&amp;" "," ")))/(LEN(L_Pending)+1))&gt;SUMPRODUCT((LEN(BE100)-LEN(SUBSTITUTE(BE100," "&amp;L_PendNeg&amp;" "," ")))/(LEN(L_PendNeg)+1))+SUMPRODUCT((LEN(BE100)-LEN(SUBSTITUTE(BE100," "&amp;L_PendPrep&amp;" "," ")))/(LEN(L_PendPrep)+1)),1,0),1)</f>
        <v>0</v>
      </c>
      <c r="BK100" s="61" t="n">
        <f aca="false">IFERROR(IF(SUMPRODUCT((LEN(BF100)-LEN(SUBSTITUTE(BF100," "&amp;L_PendStrict&amp;" "," ")))/(LEN(L_PendStrict)+1))&gt;SUMPRODUCT((LEN(BF100)-LEN(SUBSTITUTE(BF100," "&amp;L_PendNeg&amp;" "," ")))/(LEN(L_PendNeg)+1)),1,0),1)</f>
        <v>0</v>
      </c>
      <c r="BL100" s="61" t="n">
        <f aca="false">IF(ISNA(MATCH(TRIM(S100),L_EvidenceType,0)),0,BZ100)</f>
        <v>0</v>
      </c>
      <c r="BM100" s="61" t="str">
        <f aca="false">SUBSTITUTE(SUBSTITUTE(SUBSTITUTE(SUBSTITUTE(SUBSTITUTE(SUBSTITUTE(SUBSTITUTE(SUBSTITUTE(SUBSTITUTE(LOWER(Z100&amp;""),"1","0"),"2","0"),"3","0"),"4","0"),"5","0"),"6","0"),"7","0"),"8","0"),"9","0")</f>
        <v/>
      </c>
      <c r="BN100" s="61" t="str">
        <f aca="false">SUBSTITUTE(SUBSTITUTE(SUBSTITUTE(SUBSTITUTE(SUBSTITUTE(SUBSTITUTE(SUBSTITUTE(SUBSTITUTE(SUBSTITUTE(SUBSTITUTE(SUBSTITUTE(SUBSTITUTE(SUBSTITUTE(SUBSTITUTE(SUBSTITUTE(SUBSTITUTE(SUBSTITUTE(SUBSTITUTE(SUBSTITUTE(SUBSTITUTE(SUBSTITUTE(SUBSTITUTE(SUBSTITUTE(SUBSTITUTE(SUBSTITUTE(BM100,"b","a"),"c","a"),"d","a"),"e","a"),"f","a"),"g","a"),"h","a"),"i","a"),"j","a"),"k","a"),"l","a"),"m","a"),"n","a"),"o","a"),"p","a"),"q","a"),"r","a"),"s","a"),"t","a"),"u","a"),"v","a"),"w","a"),"x","a"),"y","a"),"z","a")</f>
        <v/>
      </c>
      <c r="BO100" s="61" t="str">
        <f aca="false">SUBSTITUTE(SUBSTITUTE(SUBSTITUTE(SUBSTITUTE(SUBSTITUTE(SUBSTITUTE(SUBSTITUTE(SUBSTITUTE(SUBSTITUTE(LOWER(W100&amp;""),"1","0"),"2","0"),"3","0"),"4","0"),"5","0"),"6","0"),"7","0"),"8","0"),"9","0")</f>
        <v/>
      </c>
      <c r="BP100" s="61" t="str">
        <f aca="false">SUBSTITUTE(SUBSTITUTE(SUBSTITUTE(SUBSTITUTE(SUBSTITUTE(SUBSTITUTE(SUBSTITUTE(SUBSTITUTE(SUBSTITUTE(SUBSTITUTE(SUBSTITUTE(SUBSTITUTE(SUBSTITUTE(SUBSTITUTE(SUBSTITUTE(SUBSTITUTE(SUBSTITUTE(SUBSTITUTE(SUBSTITUTE(SUBSTITUTE(SUBSTITUTE(SUBSTITUTE(SUBSTITUTE(SUBSTITUTE(SUBSTITUTE(BO100,"b","a"),"c","a"),"d","a"),"e","a"),"f","a"),"g","a"),"h","a"),"i","a"),"j","a"),"k","a"),"l","a"),"m","a"),"n","a"),"o","a"),"p","a"),"q","a"),"r","a"),"s","a"),"t","a"),"u","a"),"v","a"),"w","a"),"x","a"),"y","a"),"z","a")</f>
        <v/>
      </c>
      <c r="BQ100" s="61" t="n">
        <f aca="false">IFERROR(IF(AND(ISERROR(SEARCH(" mh"," "&amp;LOWER(W100))),ISNA(MATCH(LEFT(TRIM(BP100),255),{"0000a","000a","00a","0000aa","000aa","00aa","0aa","0000aaa","000aaa","00a00","0a00","0000-0000","00:00","a00","a0","00.00.0000","00/00/0000","00-00-0000","0000-00-00","0000/00/00","0000.00.00","00.00.00","00/00/00","00-00-00","0.00.0000","0/00/0000","0-00-0000"},0)),ISNA(MATCH(LEFT(TRIM(CA100),255),{"0000a","000a","00a","0000aa","000aa","00aa","0aa","0000aaa","000aaa","00a00","0a00","0000-0000","00:00","a00","a0","00.00.0000","00/00/0000","00-00-0000","0000-00-00","0000/00/00","0000.00.00","00.00.00","00/00/00","00-00-00","0.00.0000","0/00/0000","0-00-0000"},0)),LEN(CB100)&gt;=3,NOT(OR(SUBSTITUTE(CB100,"0","")="",AND(LEN(CB100)&gt;=4,CB100=REPT(LEFT(CB100),LEN(CB100))),ISNUMBER(MATCH(CB100,{"123","1234","12345","123456","1234567","12345678","0123","01234","012345","98765","987654","54321"},0)),AND(LEN(CB100)=8,LEFT(CB100,3)="202"))),OR(AND((LEN(CA100)-LEN(SUBSTITUTE(CA100,"a","")))&gt;=1,SUMPRODUCT(--ISNUMBER(SEARCH({"a0","a-0","a_0","a/0","a.0","a#0","0a","0-a","0_a","0/a"},BP100)))&gt;0),ISNUMBER(SEARCH("000000",BP100)))),1,0),0)</f>
        <v>0</v>
      </c>
      <c r="BR100" s="61" t="n">
        <f aca="false">IFERROR(LEN(SUBSTITUTE(CC100," ",""))-SUMPRODUCT((LEN(CC100)-LEN(SUBSTITUTE(CC100," "&amp;L_Role&amp;" "," ")))/(LEN(L_Role)+1)*LEN(L_Role)),0)</f>
        <v>0</v>
      </c>
      <c r="BS100" s="61" t="n">
        <f aca="false">IFERROR(LEN(SUBSTITUTE(CD100," ",""))-SUMPRODUCT((LEN(CD100)-LEN(SUBSTITUTE(CD100," "&amp;L_Role&amp;" "," ")))/(LEN(L_Role)+1)*LEN(L_Role)),0)</f>
        <v>0</v>
      </c>
      <c r="BT1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100,"revision",""),"version",""),"jan",""),"feb",""),"mar",""),"apr",""),"may",""),"jun",""),"jul",""),"aug",""),"sep",""),"oct",""),"nov",""),"dec",""),"utc",""),"gmt",""),"myt",""),"bst",""),"rev",""),"ver",""),"b","a"),"c","a"),"d","a"),"e","a"),"f","a"),"g","a"),"h","a"),"i","a"),"j","a"),"k","a"),"l","a"),"m","a"),"n","a"),"o","a"),"p","a"),"q","a"),"r","a"),"s","a"),"t","a"),"u","a"),"v","a"),"w","a"),"x","a"),"y","a"),"z","a")</f>
        <v/>
      </c>
      <c r="BU100" s="61" t="str">
        <f aca="false">SUBSTITUTE(SUBSTITUTE(SUBSTITUTE(SUBSTITUTE(SUBSTITUTE(SUBSTITUTE(SUBSTITUTE(SUBSTITUTE(SUBSTITUTE(SUBSTITUTE(LEFT(BM100,FIND("0",BM100&amp;"0")-1),"-",""),"_",""),"/",""),".",""),"#",""),"\\",""),":","")," ",""),"(",""),")","")</f>
        <v/>
      </c>
      <c r="BV100" s="61" t="n">
        <f aca="false">0</f>
        <v>0</v>
      </c>
      <c r="BW1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100&amp;""),"a",""),"b",""),"c",""),"d",""),"e",""),"f",""),"g",""),"h",""),"i",""),"j",""),"k",""),"l",""),"m",""),"n",""),"o",""),"p",""),"q",""),"r",""),"s",""),"t",""),"u",""),"v",""),"w",""),"x",""),"y",""),"z",""),"-",""),"_",""),"/",""),".",""),"#",""),"\\",""),":","")," ",""),"(",""),")","")</f>
        <v/>
      </c>
      <c r="BX100" s="61" t="str">
        <f aca="false">SUBSTITUTE(SUBSTITUTE(SUBSTITUTE(SUBSTITUTE(SUBSTITUTE(SUBSTITUTE(SUBSTITUTE(SUBSTITUTE(SUBSTITUTE(SUBSTITUTE(SUBSTITUTE(BM100,"0",""),"-",""),"_",""),"/",""),".",""),"#",""),"\\",""),":","")," ",""),"(",""),")","")</f>
        <v/>
      </c>
      <c r="BY100" s="62" t="n">
        <f aca="false">Q100-T12EarlyH/24</f>
        <v>46304.6458333333</v>
      </c>
      <c r="BZ100" s="61" t="n">
        <f aca="false">IFERROR(IF(IF(TRIM(S100)="Link / file path",AND(LEN(TRIM(Z100))&gt;=5,SUMPRODUCT(--ISNUMBER(SEARCH({"http","www.","\\",":\",".pdf",".jpg",".jpeg",".png",".heic",".xls",".doc",".msg",".eml",".ppt",".txt",".zip"},Z100)))&gt;0),AND(ISERROR(FIND(" ",TRIM(Z100))),NOT(OR(SUMPRODUCT(--ISNUMBER(FIND({",",";","&amp;","+"},Z100)))&gt;0,SUMPRODUCT(--ISNUMBER(SEARCH({"0/aa","0\\aa"},BN100)))&gt;0)),NOT(SUMPRODUCT(--ISNUMBER(SEARCH({"http","www.","\\",":\",".pdf",".jpg",".jpeg",".png",".heic",".xls",".doc",".msg",".eml",".ppt",".txt",".zip"},Z100)))&gt;0),NOT(LOWER(TRIM(Z100))=LOWER(Flights!$F$8)),ISNA(MATCH(BU100,{"mh","rev","revision","ver","version","v","r","a","b","seat","tray","row","gate","bay","stand","page","pg","item","line","no","cart","galley","flight","flt","table","box","bag","oven","etd","eta","std","sta","atd","ata","qty","pax","x","time","tel","ph","mob","day","wk","week","utc","gmt","myt","lt"},0)),NOT(OR(ISNUMBER(MATCH(LEFT(BN100,255),{"0000a","000a","00a","0000aa","000aa","00aa","0aa","0000aaa","000aaa","00a00","0a00","0000-0000","00:00","a00","a0","00.00.0000","00/00/0000","00-00-0000","0000-00-00","0000/00/00","0000.00.00","00.00.00","00/00/00","00-00-00","0.00.0000","0/00/0000","0-00-0000"},0)),ISNUMBER(MATCH(LEFT(BT100,255),{"0000a","000a","00a","0000aa","000aa","00aa","0aa","0000aaa","000aaa","00a00","0a00","0000-0000","00:00","a00","a0","00.00.0000","00/00/0000","00-00-0000","0000-00-00","0000/00/00","0000.00.00","00.00.00","00/00/00","00-00-00","0.00.0000","0/00/0000","0-00-0000"},0)))),NOT(OR(AND(BW100&lt;&gt;"",SUBSTITUTE(BW100,"0","")=""),AND(LEN(BW100)&gt;=4,BW100=REPT(LEFT(BW100),LEN(BW100))),ISNUMBER(MATCH(BW100,{"123","1234","12345","123456","1234567","12345678","0123","01234","012345","98765","987654","54321"},0)),ISNUMBER(MATCH(BX100,{"x","xx","xxx","xxxx","xxxxx","abc","abcd","nil","na","nan","test","tbc","tba","tbd","dummy","sample","example","eg","zz","zzz","none","null","xyz","qwe","asd","id","ref"},0)),AND(LEN(BW100)=8,BX100="",OR(LEFT(BW100,3)="202",ISNUMBER(MATCH(RIGHT(BW100,4),{"2025","2026","2027"},0)))))),OR(AND((LEN(BT100)-LEN(SUBSTITUTE(BT100,"a","")))&gt;=1,(LEN(BN100)-LEN(SUBSTITUTE(BN100,"0","")))&gt;=2,SUMPRODUCT(--ISNUMBER(SEARCH({"a0","a-0","a_0","a/0","a.0","a#0","0a","0-a","0_a","0/a"},BN100)))&gt;0),AND((LEN(BN100)-LEN(SUBSTITUTE(BN100,"a","")))=0,(LEN(BN100)-LEN(SUBSTITUTE(BN100,"0","")))&gt;=5)))),1,0),0)</f>
        <v>0</v>
      </c>
      <c r="CA1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100,"revision",""),"version",""),"jan",""),"feb",""),"mar",""),"apr",""),"may",""),"jun",""),"jul",""),"aug",""),"sep",""),"oct",""),"nov",""),"dec",""),"utc",""),"gmt",""),"myt",""),"bst",""),"rev",""),"ver",""),"b","a"),"c","a"),"d","a"),"e","a"),"f","a"),"g","a"),"h","a"),"i","a"),"j","a"),"k","a"),"l","a"),"m","a"),"n","a"),"o","a"),"p","a"),"q","a"),"r","a"),"s","a"),"t","a"),"u","a"),"v","a"),"w","a"),"x","a"),"y","a"),"z","a")</f>
        <v/>
      </c>
      <c r="CB1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100&amp;""),"a",""),"b",""),"c",""),"d",""),"e",""),"f",""),"g",""),"h",""),"i",""),"j",""),"k",""),"l",""),"m",""),"n",""),"o",""),"p",""),"q",""),"r",""),"s",""),"t",""),"u",""),"v",""),"w",""),"x",""),"y",""),"z",""),"-",""),"_",""),"/",""),".",""),"#",""),"\\",""),":","")," ",""),"(",""),")","")</f>
        <v/>
      </c>
      <c r="CC100" s="0" t="str">
        <f aca="false">" "&amp;TRIM(SUBSTITUTE(SUBSTITUTE(SUBSTITUTE(SUBSTITUTE(SUBSTITUTE(SUBSTITUTE(SUBSTITUTE(SUBSTITUTE(SUBSTITUTE(SUBSTITUTE(SUBSTITUTE(SUBSTITUTE(SUBSTITUTE(SUBSTITUTE(SUBSTITUTE(SUBSTITUTE(SUBSTITUTE(SUBSTITUTE(SUBSTITUTE(SUBSTITUTE(SUBSTITUTE(SUBSTITUTE(SUBSTITUTE(SUBSTITUTE(LOWER(T100&amp;""),CHAR(10)," "),CHAR(13)," "),CHAR(9)," "),CHAR(160)," "),"."," "),","," "),"-"," "),"/"," "),"("," "),")"," "),":"," "),";"," "),"_"," "),"–"," "),"?"," "),"!"," "),"*"," "),"["," "),"]"," "),"'"," "),"#"," "),"+"," "),"&amp;"," "),"\"," "))&amp;" "</f>
        <v>  </v>
      </c>
      <c r="CD100" s="0" t="str">
        <f aca="false">" "&amp;TRIM(SUBSTITUTE(SUBSTITUTE(SUBSTITUTE(SUBSTITUTE(SUBSTITUTE(SUBSTITUTE(SUBSTITUTE(SUBSTITUTE(SUBSTITUTE(SUBSTITUTE(SUBSTITUTE(SUBSTITUTE(SUBSTITUTE(SUBSTITUTE(SUBSTITUTE(SUBSTITUTE(SUBSTITUTE(SUBSTITUTE(SUBSTITUTE(SUBSTITUTE(SUBSTITUTE(SUBSTITUTE(SUBSTITUTE(SUBSTITUTE(LOWER(AE100&amp;""),CHAR(10)," "),CHAR(13)," "),CHAR(9)," "),CHAR(160)," "),"."," "),","," "),"-"," "),"/"," "),"("," "),")"," "),":"," "),";"," "),"_"," "),"–"," "),"?"," "),"!"," "),"*"," "),"["," "),"]"," "),"'"," "),"#"," "),"+"," "),"&amp;"," "),"\"," "))&amp;" "</f>
        <v>  </v>
      </c>
      <c r="CE100" s="68" t="n">
        <f aca="false">IFERROR(IF(AND(LEN(AU100)&gt;0,LEN(AU100)=LEN(AX100),OR(TRIM(MID(SUBSTITUTE(TRIM(CC100)," ",REPT(" ",60)),1,60))="",ISNUMBER(SEARCH(" "&amp;TRIM(MID(SUBSTITUTE(TRIM(CC100)," ",REPT(" ",60)),1,60))&amp;" ",CD100))),OR(TRIM(MID(SUBSTITUTE(TRIM(CC100)," ",REPT(" ",60)),61,60))="",ISNUMBER(SEARCH(" "&amp;TRIM(MID(SUBSTITUTE(TRIM(CC100)," ",REPT(" ",60)),61,60))&amp;" ",CD100))),OR(TRIM(MID(SUBSTITUTE(TRIM(CC100)," ",REPT(" ",60)),121,60))="",ISNUMBER(SEARCH(" "&amp;TRIM(MID(SUBSTITUTE(TRIM(CC100)," ",REPT(" ",60)),121,60))&amp;" ",CD100)))),1,0),0)</f>
        <v>0</v>
      </c>
      <c r="CG100" s="68" t="n">
        <f aca="false">IFERROR(LEN(SUBSTITUTE(BF100," ",""))-SUMPRODUCT((LEN(BF100)-LEN(SUBSTITUTE(BF100," "&amp;L_NAFiller&amp;" "," ")))/(LEN(L_NAFiller)+1)*LEN(L_NAFiller)),0)</f>
        <v>0</v>
      </c>
    </row>
    <row r="101" customFormat="false" ht="39.75" hidden="false" customHeight="true" outlineLevel="0" collapsed="false">
      <c r="A101" s="57" t="s">
        <v>594</v>
      </c>
      <c r="B101" s="57" t="s">
        <v>218</v>
      </c>
      <c r="C101" s="57" t="str">
        <f aca="false">Flights!$F$8</f>
        <v>MH0088</v>
      </c>
      <c r="D101" s="58" t="n">
        <f aca="false">Flights!$D$8</f>
        <v>46305</v>
      </c>
      <c r="E101" s="57" t="str">
        <f aca="false">Flights!$G$8&amp;"-"&amp;Flights!$H$8</f>
        <v>KUL-NRT</v>
      </c>
      <c r="F101" s="57" t="str">
        <f aca="false">Flights!$K$8</f>
        <v>BC</v>
      </c>
      <c r="G101" s="57" t="s">
        <v>420</v>
      </c>
      <c r="H101" s="57" t="s">
        <v>378</v>
      </c>
      <c r="I101" s="57" t="s">
        <v>379</v>
      </c>
      <c r="J101" s="57" t="s">
        <v>425</v>
      </c>
      <c r="K101" s="67" t="s">
        <v>426</v>
      </c>
      <c r="L101" s="67" t="s">
        <v>422</v>
      </c>
      <c r="M101" s="67"/>
      <c r="N101" s="67" t="s">
        <v>383</v>
      </c>
      <c r="O101" s="67" t="s">
        <v>423</v>
      </c>
      <c r="P101" s="57" t="s">
        <v>187</v>
      </c>
      <c r="Q101" s="59" t="n">
        <f aca="false">ROUND((Flights!$AE$8)*1440,0)/1440</f>
        <v>46305.1458333333</v>
      </c>
      <c r="R101" s="59" t="n">
        <f aca="false">Q101+(IF(AND(INDEX(TZ_DSTS,MATCH(P101,TZ_STN,0))&lt;&gt;"",Q101&gt;=INDEX(TZ_DSTS,MATCH(P101,TZ_STN,0)),Q101&lt;INDEX(TZ_DSTE,MATCH(P101,TZ_STN,0))),INDEX(TZ_DST,MATCH(P101,TZ_STN,0)),INDEX(TZ_STD,MATCH(P101,TZ_STN,0))))/24</f>
        <v>46305.4791666667</v>
      </c>
      <c r="S101" s="60"/>
      <c r="T101" s="60"/>
      <c r="U101" s="60"/>
      <c r="V101" s="60"/>
      <c r="W101" s="61"/>
      <c r="X101" s="60"/>
      <c r="Y101" s="60"/>
      <c r="Z101" s="60"/>
      <c r="AA101" s="60"/>
      <c r="AB101" s="60"/>
      <c r="AC101" s="60"/>
      <c r="AD101" s="66"/>
      <c r="AE101" s="60"/>
      <c r="AF101" s="61" t="str">
        <f aca="false">IF(AND(ISNUMBER(X101),ISNUMBER(Y101)),Y101-X101,"")</f>
        <v/>
      </c>
      <c r="AG101" s="62" t="str">
        <f aca="false">IF(ISNUMBER(AD101),AD101-(IF(AND(INDEX(TZ_DSTS,MATCH(P101,TZ_STN,0))&lt;&gt;"",(AD101-INDEX(TZ_STD,MATCH(P101,TZ_STN,0))/24)&gt;=INDEX(TZ_DSTS,MATCH(P101,TZ_STN,0)),(AD101-INDEX(TZ_STD,MATCH(P101,TZ_STN,0))/24)&lt;INDEX(TZ_DSTE,MATCH(P101,TZ_STN,0))),INDEX(TZ_DST,MATCH(P101,TZ_STN,0)),INDEX(TZ_STD,MATCH(P101,TZ_STN,0))))/24,"")</f>
        <v/>
      </c>
      <c r="AH101" s="65" t="str">
        <f aca="false">IFERROR(IF(N101="N/A – rule",IF(OR(TRIM(U101)="",TRIM(U101)="N/A",TRIM(U101)="Not started"),"N/A – RULE","INVALID – this check does not apply to this aircraft: clear the status (or correct the fleet on Flights)"),IF(TRIM(U101)="N/A",IF(AT101=0,"INVALID – N/A not permitted for this check",IF(AND(TRIM(AB101)&lt;&gt;"",TRIM(AB101)&lt;&gt;"Closed"),"INVALID – corrective action still open",IF(AND(NOT(OR(LEN(AZ101)&lt;15,ISNUMBER(MATCH(AZ101,L_Placeholder,0)))),BK101=0,CG101&gt;=8,NOT(OR(LEN(AU101)&lt;2,ISNUMBER(MATCH(AU101,L_Placeholder,0)))),BR101&gt;=3,NOT(OR(LEN(AX101)&lt;2,ISNUMBER(MATCH(AX101,L_Placeholder,0)))),BS101&gt;=3,TRIM(AE101)&lt;&gt;TRIM(T101),AX101&lt;&gt;AU101,CE101=0),"N/A – JUSTIFIED","INVALID – N/A needs a real, settled reason (not 'not applicable' / 'as above' / TBC), a named PIC and a different named verifier"))),IF(OR(TRIM(U101)="Pass",TRIM(U101)="Pass after CA"),IF(NOT(ISNUMBER(AD101)),"INVALID – completion time missing",IF(OR(OR(LEN(AU101)&lt;2,ISNUMBER(MATCH(AU101,L_Placeholder,0))),BR101&lt;3),"INVALID – PIC missing or not a named person (a role such as QA / CSM is not a name)",IF(OR(LEN(AV101)&lt;2,ISNUMBER(MATCH(AV101,L_Placeholder,0))),"INVALID – result / assessment missing",IF(OR(OR(LEN(AW101)&lt;3,ISNUMBER(MATCH(AW101,L_Placeholder,0))),SUMPRODUCT(--ISNUMBER(SEARCH(" "&amp;L_EvidencePhrase&amp;" ",BD101)))&gt;0,BI101=1),"INVALID – evidence missing, placeholder or not yet on file",IF(ISNA(MATCH(TRIM(S101),L_EvidenceType,0)),"INVALID – choose the evidence type from the list (column S)",IF(BL101=0,"INVALID – evidence ID must be the record's own ID only (e.g. SF-2210, IMG_2231, 1045521); a link / file name needs type 'Link / file path'",IF(OR(OR(LEN(AX101)&lt;2,ISNUMBER(MATCH(AX101,L_Placeholder,0))),BS101&lt;3),"INVALID – verifier missing or not a named person (a role such as QA / CSM is not a name)",IF(OR(AX101=AU101,CE101=1,AND(LEN(AU101)&gt;=4,ISNUMBER(SEARCH(AU101,AX101))),AND(LEN(AX101)&gt;=4,ISNUMBER(SEARCH(AX101,AU101)))),"INVALID – verifier must be a different, named person (not the PIC or a role)",IF(BH101=1,"INVALID – result not yet available (awaiting / TBC)",IF(BG101=1,"INVALID – result describes a problem: record Fail, then Pass after CA (or reword if it is not a problem)",IF(BV101=1,"INVALID – wording says not on board: an on-board confirmation needs the item loaded",IF(AND(AQ101=1,OR(OR(LEN(AY101)&lt;3,ISNUMBER(MATCH(AY101,L_Placeholder,0))),BJ101=1,BQ101=0)),"INVALID – batch ID missing, placeholder or not an ID (e.g. PASB-261008-BC-017)",IF(AND(AR101=1,OR(NOT(ISNUMBER(X101)),NOT(ISNUMBER(Y101)))),"INVALID – expected/actual qty missing",IF(AND(AR101=1,OR(X101&lt;=0,Y101&lt;0)),"INVALID – expected qty must be above 0 and actual not negative",IF(BB101&lt;&gt;"",BB101,IF(AND(AS101=1,Documents!$J$8&lt;&gt;"ON FILE"),"INVALID – GLD not on file (Documents sheet)",IF(AND(AS101=2,Documents!$O$8&lt;&gt;"ON FILE"),"INVALID – menu checklist not on file (Documents sheet)",IF(AND(AS101=3,NOT(ISNUMBER(Flights!$AX$8))),"INVALID – enter carrying flight KUL departure (Flights AX)",IF(AND(AS101=3,OR(Flights!$AZ$8&gt;Flights!$AA$8,Flights!$AX$8&lt;Flights!$AA$8-3)),"INVALID – carrying flight (Flights AX) cannot arrive before this leg's STD, or is over 3 days early",IF(AG101&gt;AsOfUTC,"INVALID – completion time is in the future",IF(AND(ISNUMBER(BY101),AG101&lt;BY101),IF(H101="Physical uplift","INVALID – before uplift window (cannot confirm loading)","INVALID – before valid window"),IF(AG101&gt;Flights!$AA$8,"INVALID – completed after departure (cannot establish readiness)",IF(AND(H101="Preparation",AG101&gt;=IF(ISNUMBER(Flights!$BA$8),MIN(Flights!$BA$8,Flights!$AA$8),Flights!$AA$8)),"INVALID – completed after loading / departure (cannot establish readiness)",IF(AND(H101="Physical uplift",AG101&gt;Q101),"INVALID – recorded after the loading flight departed",IF(AG101&gt;Q101,"COMPLETE – LATE","COMPLETE"))))))))))))))))))))))))),IF(TRIM(U101)="Fail","FAIL – DISCREPANCY",IF(AND(TRIM(U101)&lt;&gt;"",TRIM(U101)&lt;&gt;"Not started",TRIM(U101)&lt;&gt;"In progress"),"INVALID – unrecognised status (use the list)",IF(AsOfUTC&gt;Q101,"OVERDUE",IF(N101="Clarification required","OPEN – CLARIFICATION","OPEN"))))))),"INVALID – error value in an input cell")</f>
        <v>OPEN</v>
      </c>
      <c r="AI101" s="61" t="n">
        <f aca="false">IF(OR(AH101="N/A – RULE",AH101="N/A – JUSTIFIED"),0,1)</f>
        <v>1</v>
      </c>
      <c r="AJ101" s="61" t="n">
        <f aca="false">IF(LEFT(AH101,8)="COMPLETE",1,0)</f>
        <v>0</v>
      </c>
      <c r="AK101" s="61" t="n">
        <f aca="false">IF(AND(AI101=1,AJ101=0,AsOfUTC&gt;Q101),1,0)</f>
        <v>0</v>
      </c>
      <c r="AL101" s="61" t="n">
        <f aca="false">IFERROR(IF(AND(AI101=1,OR(TRIM(U101)="Fail",AND(TRIM(AB101)&lt;&gt;"",TRIM(AB101)&lt;&gt;"Closed"),AND(ISNUMBER(AF101),AF101&lt;&gt;0,TRIM(U101)&lt;&gt;"Pass after CA"))),1,0),1)</f>
        <v>0</v>
      </c>
      <c r="AM101" s="61" t="n">
        <f aca="false">IF(LEFT(AH101,7)="INVALID",1,0)</f>
        <v>0</v>
      </c>
      <c r="AN101" s="61" t="n">
        <f aca="false">IF(AND(N101="Clarification required",AI101=1,AJ101=0),1,0)</f>
        <v>0</v>
      </c>
      <c r="AO101" s="61" t="str">
        <f aca="false">IF(AK101=1,SUM(AK$5:AK101),"")</f>
        <v/>
      </c>
      <c r="AP101" s="61" t="str">
        <f aca="false">IF(AL101=1,SUM(AL$5:AL101),"")</f>
        <v/>
      </c>
      <c r="AQ101" s="61" t="n">
        <v>0</v>
      </c>
      <c r="AR101" s="61" t="n">
        <v>1</v>
      </c>
      <c r="AS101" s="61" t="n">
        <v>0</v>
      </c>
      <c r="AT101" s="61" t="n">
        <v>0</v>
      </c>
      <c r="AU101" s="61" t="str">
        <f aca="false">SUBSTITUTE(SUBSTITUTE(SUBSTITUTE(SUBSTITUTE(SUBSTITUTE(SUBSTITUTE(SUBSTITUTE(SUBSTITUTE(SUBSTITUTE(SUBSTITUTE(SUBSTITUTE(SUBSTITUTE(SUBSTITUTE(SUBSTITUTE(SUBSTITUTE(SUBSTITUTE(LOWER(T101&amp;""),CHAR(10),""),CHAR(13),""),CHAR(9),""),CHAR(160),"")," ",""),".",""),"-",""),"/",""),"?",""),"_",""),",",""),"[",""),"]",""),"(",""),")",""),"*","")</f>
        <v/>
      </c>
      <c r="AV101" s="61" t="str">
        <f aca="false">SUBSTITUTE(SUBSTITUTE(SUBSTITUTE(SUBSTITUTE(SUBSTITUTE(SUBSTITUTE(SUBSTITUTE(SUBSTITUTE(SUBSTITUTE(SUBSTITUTE(SUBSTITUTE(SUBSTITUTE(SUBSTITUTE(SUBSTITUTE(SUBSTITUTE(SUBSTITUTE(LOWER(V101&amp;""),CHAR(10),""),CHAR(13),""),CHAR(9),""),CHAR(160),"")," ",""),".",""),"-",""),"/",""),"?",""),"_",""),",",""),"[",""),"]",""),"(",""),")",""),"*","")</f>
        <v/>
      </c>
      <c r="AW101" s="61" t="str">
        <f aca="false">SUBSTITUTE(SUBSTITUTE(SUBSTITUTE(SUBSTITUTE(SUBSTITUTE(SUBSTITUTE(SUBSTITUTE(SUBSTITUTE(SUBSTITUTE(SUBSTITUTE(SUBSTITUTE(SUBSTITUTE(SUBSTITUTE(SUBSTITUTE(SUBSTITUTE(SUBSTITUTE(LOWER(Z101&amp;""),CHAR(10),""),CHAR(13),""),CHAR(9),""),CHAR(160),"")," ",""),".",""),"-",""),"/",""),"?",""),"_",""),",",""),"[",""),"]",""),"(",""),")",""),"*","")</f>
        <v/>
      </c>
      <c r="AX101" s="61" t="str">
        <f aca="false">SUBSTITUTE(SUBSTITUTE(SUBSTITUTE(SUBSTITUTE(SUBSTITUTE(SUBSTITUTE(SUBSTITUTE(SUBSTITUTE(SUBSTITUTE(SUBSTITUTE(SUBSTITUTE(SUBSTITUTE(SUBSTITUTE(SUBSTITUTE(SUBSTITUTE(SUBSTITUTE(LOWER(AE101&amp;""),CHAR(10),""),CHAR(13),""),CHAR(9),""),CHAR(160),"")," ",""),".",""),"-",""),"/",""),"?",""),"_",""),",",""),"[",""),"]",""),"(",""),")",""),"*","")</f>
        <v/>
      </c>
      <c r="AY101" s="61" t="str">
        <f aca="false">SUBSTITUTE(SUBSTITUTE(SUBSTITUTE(SUBSTITUTE(SUBSTITUTE(SUBSTITUTE(SUBSTITUTE(SUBSTITUTE(SUBSTITUTE(SUBSTITUTE(SUBSTITUTE(SUBSTITUTE(SUBSTITUTE(SUBSTITUTE(SUBSTITUTE(SUBSTITUTE(LOWER(W101&amp;""),CHAR(10),""),CHAR(13),""),CHAR(9),""),CHAR(160),"")," ",""),".",""),"-",""),"/",""),"?",""),"_",""),",",""),"[",""),"]",""),"(",""),")",""),"*","")</f>
        <v/>
      </c>
      <c r="AZ101" s="61" t="str">
        <f aca="false">SUBSTITUTE(SUBSTITUTE(SUBSTITUTE(SUBSTITUTE(SUBSTITUTE(SUBSTITUTE(SUBSTITUTE(SUBSTITUTE(SUBSTITUTE(SUBSTITUTE(SUBSTITUTE(SUBSTITUTE(SUBSTITUTE(SUBSTITUTE(SUBSTITUTE(SUBSTITUTE(LOWER(AC101&amp;""),CHAR(10),""),CHAR(13),""),CHAR(9),""),CHAR(160),"")," ",""),".",""),"-",""),"/",""),"?",""),"_",""),",",""),"[",""),"]",""),"(",""),")",""),"*","")</f>
        <v/>
      </c>
      <c r="BA101" s="61" t="str">
        <f aca="false">SUBSTITUTE(SUBSTITUTE(SUBSTITUTE(SUBSTITUTE(SUBSTITUTE(SUBSTITUTE(SUBSTITUTE(SUBSTITUTE(SUBSTITUTE(SUBSTITUTE(SUBSTITUTE(SUBSTITUTE(SUBSTITUTE(SUBSTITUTE(SUBSTITUTE(SUBSTITUTE(LOWER(AA101&amp;""),CHAR(10),""),CHAR(13),""),CHAR(9),""),CHAR(160),"")," ",""),".",""),"-",""),"/",""),"?",""),"_",""),",",""),"[",""),"]",""),"(",""),")",""),"*","")</f>
        <v/>
      </c>
      <c r="BB101" s="61" t="str">
        <f aca="false">IF(AND(TRIM(U101)="Pass",ISNUMBER(AF101)),IF(AF101&lt;&gt;0,"INVALID – qty variance: use Fail or Pass after CA",""),"")&amp;IF(AND(TRIM(U101)="Pass after CA",ISNUMBER(AF101)),IF(AF101&lt;&gt;0,"INVALID – after the corrective action the actual qty must equal expected (update Actual)",""),"")&amp;IF(AND(TRIM(U101)="Pass",TRIM(AB101)&lt;&gt;"",TRIM(AB101)&lt;&gt;"Closed"),"INVALID – corrective action not closed: use Fail, then Pass after CA","")&amp;IF(AND(LEN(BA101)&gt;=2,ISNA(MATCH(LEFT(BA101,255),L_Placeholder,0)),TRIM(AB101)=""),"INVALID – CA status missing for the recorded corrective action","")&amp;IF(AND(TRIM(U101)="Pass after CA",OR(OR(LEN(BA101)&lt;5,ISNUMBER(MATCH(BA101,L_Placeholder,0))),TRIM(AB101)&lt;&gt;"Closed")),"INVALID – corrective action not recorded/closed","")</f>
        <v/>
      </c>
      <c r="BC101" s="61" t="str">
        <f aca="false">" "&amp;TRIM(SUBSTITUTE(SUBSTITUTE(SUBSTITUTE(SUBSTITUTE(SUBSTITUTE(SUBSTITUTE(SUBSTITUTE(SUBSTITUTE(SUBSTITUTE(SUBSTITUTE(SUBSTITUTE(SUBSTITUTE(SUBSTITUTE(SUBSTITUTE(SUBSTITUTE(SUBSTITUTE(SUBSTITUTE(SUBSTITUTE(SUBSTITUTE(SUBSTITUTE(SUBSTITUTE(SUBSTITUTE(SUBSTITUTE(SUBSTITUTE(LOWER(V101&amp;""),CHAR(10)," "),CHAR(13)," "),CHAR(9)," "),CHAR(160)," "),"."," "),","," "),"-"," "),"/"," "),"("," "),")"," "),":"," "),";"," "),"_"," "),"–"," "),"?"," "),"!"," "),"*"," "),"["," "),"]"," "),"'"," "),"#"," "),"+"," "),"&amp;"," "),"\"," "))&amp;" "</f>
        <v>  </v>
      </c>
      <c r="BD101" s="61" t="str">
        <f aca="false">" "&amp;TRIM(SUBSTITUTE(SUBSTITUTE(SUBSTITUTE(SUBSTITUTE(SUBSTITUTE(SUBSTITUTE(SUBSTITUTE(SUBSTITUTE(SUBSTITUTE(SUBSTITUTE(SUBSTITUTE(SUBSTITUTE(SUBSTITUTE(SUBSTITUTE(SUBSTITUTE(SUBSTITUTE(SUBSTITUTE(SUBSTITUTE(SUBSTITUTE(SUBSTITUTE(SUBSTITUTE(SUBSTITUTE(SUBSTITUTE(SUBSTITUTE(LOWER(Z101&amp;""),CHAR(10)," "),CHAR(13)," "),CHAR(9)," "),CHAR(160)," "),"."," "),","," "),"-"," "),"/"," "),"("," "),")"," "),":"," "),";"," "),"_"," "),"–"," "),"?"," "),"!"," "),"*"," "),"["," "),"]"," "),"'"," "),"#"," "),"+"," "),"&amp;"," "),"\"," "))&amp;" "</f>
        <v>  </v>
      </c>
      <c r="BE101" s="61" t="str">
        <f aca="false">" "&amp;TRIM(SUBSTITUTE(SUBSTITUTE(SUBSTITUTE(SUBSTITUTE(SUBSTITUTE(SUBSTITUTE(SUBSTITUTE(SUBSTITUTE(SUBSTITUTE(SUBSTITUTE(SUBSTITUTE(SUBSTITUTE(SUBSTITUTE(SUBSTITUTE(SUBSTITUTE(SUBSTITUTE(SUBSTITUTE(SUBSTITUTE(SUBSTITUTE(SUBSTITUTE(SUBSTITUTE(SUBSTITUTE(SUBSTITUTE(SUBSTITUTE(LOWER(W101&amp;""),CHAR(10)," "),CHAR(13)," "),CHAR(9)," "),CHAR(160)," "),"."," "),","," "),"-"," "),"/"," "),"("," "),")"," "),":"," "),";"," "),"_"," "),"–"," "),"?"," "),"!"," "),"*"," "),"["," "),"]"," "),"'"," "),"#"," "),"+"," "),"&amp;"," "),"\"," "))&amp;" "</f>
        <v>  </v>
      </c>
      <c r="BF101" s="61" t="str">
        <f aca="false">" "&amp;TRIM(SUBSTITUTE(SUBSTITUTE(SUBSTITUTE(SUBSTITUTE(SUBSTITUTE(SUBSTITUTE(SUBSTITUTE(SUBSTITUTE(SUBSTITUTE(SUBSTITUTE(SUBSTITUTE(SUBSTITUTE(SUBSTITUTE(SUBSTITUTE(SUBSTITUTE(SUBSTITUTE(SUBSTITUTE(SUBSTITUTE(SUBSTITUTE(SUBSTITUTE(SUBSTITUTE(SUBSTITUTE(SUBSTITUTE(SUBSTITUTE(LOWER(AC101&amp;""),CHAR(10)," "),CHAR(13)," "),CHAR(9)," "),CHAR(160)," "),"."," "),","," "),"-"," "),"/"," "),"("," "),")"," "),":"," "),";"," "),"_"," "),"–"," "),"?"," "),"!"," "),"*"," "),"["," "),"]"," "),"'"," "),"#"," "),"+"," "),"&amp;"," "),"\"," "))&amp;" "</f>
        <v>  </v>
      </c>
      <c r="BG101" s="61" t="n">
        <f aca="false">IFERROR(IF(AND(TRIM(U101)="Pass",SUMPRODUCT((LEN(BC101)-LEN(SUBSTITUTE(BC101," "&amp;L_ResultBad&amp;" "," ")))/(LEN(L_ResultBad)+1))&gt;SUMPRODUCT((LEN(BC101)-LEN(SUBSTITUTE(BC101," "&amp;L_NegPhrase&amp;" "," ")))/(LEN(L_NegPhrase)+1))),1,0),0)</f>
        <v>0</v>
      </c>
      <c r="BH101" s="61" t="n">
        <f aca="false">IFERROR(IF(SUMPRODUCT((LEN(BC101)-LEN(SUBSTITUTE(BC101," "&amp;L_Pending&amp;" "," ")))/(LEN(L_Pending)+1))&gt;SUMPRODUCT((LEN(BC101)-LEN(SUBSTITUTE(BC101," "&amp;L_PendNeg&amp;" "," ")))/(LEN(L_PendNeg)+1))+SUMPRODUCT((LEN(BC101)-LEN(SUBSTITUTE(BC101," "&amp;L_PendPrep&amp;" "," ")))/(LEN(L_PendPrep)+1)),1,0),1)</f>
        <v>0</v>
      </c>
      <c r="BI101" s="61" t="n">
        <f aca="false">IFERROR(IF(SUMPRODUCT((LEN(BD101)-LEN(SUBSTITUTE(BD101," "&amp;L_PendStrict&amp;" "," ")))/(LEN(L_PendStrict)+1))&gt;SUMPRODUCT((LEN(BD101)-LEN(SUBSTITUTE(BD101," "&amp;L_PendNeg&amp;" "," ")))/(LEN(L_PendNeg)+1)),1,0),1)</f>
        <v>0</v>
      </c>
      <c r="BJ101" s="61" t="n">
        <f aca="false">IFERROR(IF(SUMPRODUCT((LEN(BE101)-LEN(SUBSTITUTE(BE101," "&amp;L_Pending&amp;" "," ")))/(LEN(L_Pending)+1))&gt;SUMPRODUCT((LEN(BE101)-LEN(SUBSTITUTE(BE101," "&amp;L_PendNeg&amp;" "," ")))/(LEN(L_PendNeg)+1))+SUMPRODUCT((LEN(BE101)-LEN(SUBSTITUTE(BE101," "&amp;L_PendPrep&amp;" "," ")))/(LEN(L_PendPrep)+1)),1,0),1)</f>
        <v>0</v>
      </c>
      <c r="BK101" s="61" t="n">
        <f aca="false">IFERROR(IF(SUMPRODUCT((LEN(BF101)-LEN(SUBSTITUTE(BF101," "&amp;L_PendStrict&amp;" "," ")))/(LEN(L_PendStrict)+1))&gt;SUMPRODUCT((LEN(BF101)-LEN(SUBSTITUTE(BF101," "&amp;L_PendNeg&amp;" "," ")))/(LEN(L_PendNeg)+1)),1,0),1)</f>
        <v>0</v>
      </c>
      <c r="BL101" s="61" t="n">
        <f aca="false">IF(ISNA(MATCH(TRIM(S101),L_EvidenceType,0)),0,BZ101)</f>
        <v>0</v>
      </c>
      <c r="BM101" s="61" t="str">
        <f aca="false">SUBSTITUTE(SUBSTITUTE(SUBSTITUTE(SUBSTITUTE(SUBSTITUTE(SUBSTITUTE(SUBSTITUTE(SUBSTITUTE(SUBSTITUTE(LOWER(Z101&amp;""),"1","0"),"2","0"),"3","0"),"4","0"),"5","0"),"6","0"),"7","0"),"8","0"),"9","0")</f>
        <v/>
      </c>
      <c r="BN101" s="61" t="str">
        <f aca="false">SUBSTITUTE(SUBSTITUTE(SUBSTITUTE(SUBSTITUTE(SUBSTITUTE(SUBSTITUTE(SUBSTITUTE(SUBSTITUTE(SUBSTITUTE(SUBSTITUTE(SUBSTITUTE(SUBSTITUTE(SUBSTITUTE(SUBSTITUTE(SUBSTITUTE(SUBSTITUTE(SUBSTITUTE(SUBSTITUTE(SUBSTITUTE(SUBSTITUTE(SUBSTITUTE(SUBSTITUTE(SUBSTITUTE(SUBSTITUTE(SUBSTITUTE(BM101,"b","a"),"c","a"),"d","a"),"e","a"),"f","a"),"g","a"),"h","a"),"i","a"),"j","a"),"k","a"),"l","a"),"m","a"),"n","a"),"o","a"),"p","a"),"q","a"),"r","a"),"s","a"),"t","a"),"u","a"),"v","a"),"w","a"),"x","a"),"y","a"),"z","a")</f>
        <v/>
      </c>
      <c r="BO101" s="61" t="str">
        <f aca="false">SUBSTITUTE(SUBSTITUTE(SUBSTITUTE(SUBSTITUTE(SUBSTITUTE(SUBSTITUTE(SUBSTITUTE(SUBSTITUTE(SUBSTITUTE(LOWER(W101&amp;""),"1","0"),"2","0"),"3","0"),"4","0"),"5","0"),"6","0"),"7","0"),"8","0"),"9","0")</f>
        <v/>
      </c>
      <c r="BP101" s="61" t="str">
        <f aca="false">SUBSTITUTE(SUBSTITUTE(SUBSTITUTE(SUBSTITUTE(SUBSTITUTE(SUBSTITUTE(SUBSTITUTE(SUBSTITUTE(SUBSTITUTE(SUBSTITUTE(SUBSTITUTE(SUBSTITUTE(SUBSTITUTE(SUBSTITUTE(SUBSTITUTE(SUBSTITUTE(SUBSTITUTE(SUBSTITUTE(SUBSTITUTE(SUBSTITUTE(SUBSTITUTE(SUBSTITUTE(SUBSTITUTE(SUBSTITUTE(SUBSTITUTE(BO101,"b","a"),"c","a"),"d","a"),"e","a"),"f","a"),"g","a"),"h","a"),"i","a"),"j","a"),"k","a"),"l","a"),"m","a"),"n","a"),"o","a"),"p","a"),"q","a"),"r","a"),"s","a"),"t","a"),"u","a"),"v","a"),"w","a"),"x","a"),"y","a"),"z","a")</f>
        <v/>
      </c>
      <c r="BQ101" s="61" t="n">
        <f aca="false">IFERROR(IF(AND(ISERROR(SEARCH(" mh"," "&amp;LOWER(W101))),ISNA(MATCH(LEFT(TRIM(BP101),255),{"0000a","000a","00a","0000aa","000aa","00aa","0aa","0000aaa","000aaa","00a00","0a00","0000-0000","00:00","a00","a0","00.00.0000","00/00/0000","00-00-0000","0000-00-00","0000/00/00","0000.00.00","00.00.00","00/00/00","00-00-00","0.00.0000","0/00/0000","0-00-0000"},0)),ISNA(MATCH(LEFT(TRIM(CA101),255),{"0000a","000a","00a","0000aa","000aa","00aa","0aa","0000aaa","000aaa","00a00","0a00","0000-0000","00:00","a00","a0","00.00.0000","00/00/0000","00-00-0000","0000-00-00","0000/00/00","0000.00.00","00.00.00","00/00/00","00-00-00","0.00.0000","0/00/0000","0-00-0000"},0)),LEN(CB101)&gt;=3,NOT(OR(SUBSTITUTE(CB101,"0","")="",AND(LEN(CB101)&gt;=4,CB101=REPT(LEFT(CB101),LEN(CB101))),ISNUMBER(MATCH(CB101,{"123","1234","12345","123456","1234567","12345678","0123","01234","012345","98765","987654","54321"},0)),AND(LEN(CB101)=8,LEFT(CB101,3)="202"))),OR(AND((LEN(CA101)-LEN(SUBSTITUTE(CA101,"a","")))&gt;=1,SUMPRODUCT(--ISNUMBER(SEARCH({"a0","a-0","a_0","a/0","a.0","a#0","0a","0-a","0_a","0/a"},BP101)))&gt;0),ISNUMBER(SEARCH("000000",BP101)))),1,0),0)</f>
        <v>0</v>
      </c>
      <c r="BR101" s="61" t="n">
        <f aca="false">IFERROR(LEN(SUBSTITUTE(CC101," ",""))-SUMPRODUCT((LEN(CC101)-LEN(SUBSTITUTE(CC101," "&amp;L_Role&amp;" "," ")))/(LEN(L_Role)+1)*LEN(L_Role)),0)</f>
        <v>0</v>
      </c>
      <c r="BS101" s="61" t="n">
        <f aca="false">IFERROR(LEN(SUBSTITUTE(CD101," ",""))-SUMPRODUCT((LEN(CD101)-LEN(SUBSTITUTE(CD101," "&amp;L_Role&amp;" "," ")))/(LEN(L_Role)+1)*LEN(L_Role)),0)</f>
        <v>0</v>
      </c>
      <c r="BT1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101,"revision",""),"version",""),"jan",""),"feb",""),"mar",""),"apr",""),"may",""),"jun",""),"jul",""),"aug",""),"sep",""),"oct",""),"nov",""),"dec",""),"utc",""),"gmt",""),"myt",""),"bst",""),"rev",""),"ver",""),"b","a"),"c","a"),"d","a"),"e","a"),"f","a"),"g","a"),"h","a"),"i","a"),"j","a"),"k","a"),"l","a"),"m","a"),"n","a"),"o","a"),"p","a"),"q","a"),"r","a"),"s","a"),"t","a"),"u","a"),"v","a"),"w","a"),"x","a"),"y","a"),"z","a")</f>
        <v/>
      </c>
      <c r="BU101" s="61" t="str">
        <f aca="false">SUBSTITUTE(SUBSTITUTE(SUBSTITUTE(SUBSTITUTE(SUBSTITUTE(SUBSTITUTE(SUBSTITUTE(SUBSTITUTE(SUBSTITUTE(SUBSTITUTE(LEFT(BM101,FIND("0",BM101&amp;"0")-1),"-",""),"_",""),"/",""),".",""),"#",""),"\\",""),":","")," ",""),"(",""),")","")</f>
        <v/>
      </c>
      <c r="BV101" s="61" t="n">
        <f aca="false">0</f>
        <v>0</v>
      </c>
      <c r="BW1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101&amp;""),"a",""),"b",""),"c",""),"d",""),"e",""),"f",""),"g",""),"h",""),"i",""),"j",""),"k",""),"l",""),"m",""),"n",""),"o",""),"p",""),"q",""),"r",""),"s",""),"t",""),"u",""),"v",""),"w",""),"x",""),"y",""),"z",""),"-",""),"_",""),"/",""),".",""),"#",""),"\\",""),":","")," ",""),"(",""),")","")</f>
        <v/>
      </c>
      <c r="BX101" s="61" t="str">
        <f aca="false">SUBSTITUTE(SUBSTITUTE(SUBSTITUTE(SUBSTITUTE(SUBSTITUTE(SUBSTITUTE(SUBSTITUTE(SUBSTITUTE(SUBSTITUTE(SUBSTITUTE(SUBSTITUTE(BM101,"0",""),"-",""),"_",""),"/",""),".",""),"#",""),"\\",""),":","")," ",""),"(",""),")","")</f>
        <v/>
      </c>
      <c r="BY101" s="62" t="n">
        <f aca="false">Q101-T12EarlyH/24</f>
        <v>46304.6458333333</v>
      </c>
      <c r="BZ101" s="61" t="n">
        <f aca="false">IFERROR(IF(IF(TRIM(S101)="Link / file path",AND(LEN(TRIM(Z101))&gt;=5,SUMPRODUCT(--ISNUMBER(SEARCH({"http","www.","\\",":\",".pdf",".jpg",".jpeg",".png",".heic",".xls",".doc",".msg",".eml",".ppt",".txt",".zip"},Z101)))&gt;0),AND(ISERROR(FIND(" ",TRIM(Z101))),NOT(OR(SUMPRODUCT(--ISNUMBER(FIND({",",";","&amp;","+"},Z101)))&gt;0,SUMPRODUCT(--ISNUMBER(SEARCH({"0/aa","0\\aa"},BN101)))&gt;0)),NOT(SUMPRODUCT(--ISNUMBER(SEARCH({"http","www.","\\",":\",".pdf",".jpg",".jpeg",".png",".heic",".xls",".doc",".msg",".eml",".ppt",".txt",".zip"},Z101)))&gt;0),NOT(LOWER(TRIM(Z101))=LOWER(Flights!$F$8)),ISNA(MATCH(BU101,{"mh","rev","revision","ver","version","v","r","a","b","seat","tray","row","gate","bay","stand","page","pg","item","line","no","cart","galley","flight","flt","table","box","bag","oven","etd","eta","std","sta","atd","ata","qty","pax","x","time","tel","ph","mob","day","wk","week","utc","gmt","myt","lt"},0)),NOT(OR(ISNUMBER(MATCH(LEFT(BN101,255),{"0000a","000a","00a","0000aa","000aa","00aa","0aa","0000aaa","000aaa","00a00","0a00","0000-0000","00:00","a00","a0","00.00.0000","00/00/0000","00-00-0000","0000-00-00","0000/00/00","0000.00.00","00.00.00","00/00/00","00-00-00","0.00.0000","0/00/0000","0-00-0000"},0)),ISNUMBER(MATCH(LEFT(BT101,255),{"0000a","000a","00a","0000aa","000aa","00aa","0aa","0000aaa","000aaa","00a00","0a00","0000-0000","00:00","a00","a0","00.00.0000","00/00/0000","00-00-0000","0000-00-00","0000/00/00","0000.00.00","00.00.00","00/00/00","00-00-00","0.00.0000","0/00/0000","0-00-0000"},0)))),NOT(OR(AND(BW101&lt;&gt;"",SUBSTITUTE(BW101,"0","")=""),AND(LEN(BW101)&gt;=4,BW101=REPT(LEFT(BW101),LEN(BW101))),ISNUMBER(MATCH(BW101,{"123","1234","12345","123456","1234567","12345678","0123","01234","012345","98765","987654","54321"},0)),ISNUMBER(MATCH(BX101,{"x","xx","xxx","xxxx","xxxxx","abc","abcd","nil","na","nan","test","tbc","tba","tbd","dummy","sample","example","eg","zz","zzz","none","null","xyz","qwe","asd","id","ref"},0)),AND(LEN(BW101)=8,BX101="",OR(LEFT(BW101,3)="202",ISNUMBER(MATCH(RIGHT(BW101,4),{"2025","2026","2027"},0)))))),OR(AND((LEN(BT101)-LEN(SUBSTITUTE(BT101,"a","")))&gt;=1,(LEN(BN101)-LEN(SUBSTITUTE(BN101,"0","")))&gt;=2,SUMPRODUCT(--ISNUMBER(SEARCH({"a0","a-0","a_0","a/0","a.0","a#0","0a","0-a","0_a","0/a"},BN101)))&gt;0),AND((LEN(BN101)-LEN(SUBSTITUTE(BN101,"a","")))=0,(LEN(BN101)-LEN(SUBSTITUTE(BN101,"0","")))&gt;=5)))),1,0),0)</f>
        <v>0</v>
      </c>
      <c r="CA1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101,"revision",""),"version",""),"jan",""),"feb",""),"mar",""),"apr",""),"may",""),"jun",""),"jul",""),"aug",""),"sep",""),"oct",""),"nov",""),"dec",""),"utc",""),"gmt",""),"myt",""),"bst",""),"rev",""),"ver",""),"b","a"),"c","a"),"d","a"),"e","a"),"f","a"),"g","a"),"h","a"),"i","a"),"j","a"),"k","a"),"l","a"),"m","a"),"n","a"),"o","a"),"p","a"),"q","a"),"r","a"),"s","a"),"t","a"),"u","a"),"v","a"),"w","a"),"x","a"),"y","a"),"z","a")</f>
        <v/>
      </c>
      <c r="CB1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101&amp;""),"a",""),"b",""),"c",""),"d",""),"e",""),"f",""),"g",""),"h",""),"i",""),"j",""),"k",""),"l",""),"m",""),"n",""),"o",""),"p",""),"q",""),"r",""),"s",""),"t",""),"u",""),"v",""),"w",""),"x",""),"y",""),"z",""),"-",""),"_",""),"/",""),".",""),"#",""),"\\",""),":","")," ",""),"(",""),")","")</f>
        <v/>
      </c>
      <c r="CC101" s="0" t="str">
        <f aca="false">" "&amp;TRIM(SUBSTITUTE(SUBSTITUTE(SUBSTITUTE(SUBSTITUTE(SUBSTITUTE(SUBSTITUTE(SUBSTITUTE(SUBSTITUTE(SUBSTITUTE(SUBSTITUTE(SUBSTITUTE(SUBSTITUTE(SUBSTITUTE(SUBSTITUTE(SUBSTITUTE(SUBSTITUTE(SUBSTITUTE(SUBSTITUTE(SUBSTITUTE(SUBSTITUTE(SUBSTITUTE(SUBSTITUTE(SUBSTITUTE(SUBSTITUTE(LOWER(T101&amp;""),CHAR(10)," "),CHAR(13)," "),CHAR(9)," "),CHAR(160)," "),"."," "),","," "),"-"," "),"/"," "),"("," "),")"," "),":"," "),";"," "),"_"," "),"–"," "),"?"," "),"!"," "),"*"," "),"["," "),"]"," "),"'"," "),"#"," "),"+"," "),"&amp;"," "),"\"," "))&amp;" "</f>
        <v>  </v>
      </c>
      <c r="CD101" s="0" t="str">
        <f aca="false">" "&amp;TRIM(SUBSTITUTE(SUBSTITUTE(SUBSTITUTE(SUBSTITUTE(SUBSTITUTE(SUBSTITUTE(SUBSTITUTE(SUBSTITUTE(SUBSTITUTE(SUBSTITUTE(SUBSTITUTE(SUBSTITUTE(SUBSTITUTE(SUBSTITUTE(SUBSTITUTE(SUBSTITUTE(SUBSTITUTE(SUBSTITUTE(SUBSTITUTE(SUBSTITUTE(SUBSTITUTE(SUBSTITUTE(SUBSTITUTE(SUBSTITUTE(LOWER(AE101&amp;""),CHAR(10)," "),CHAR(13)," "),CHAR(9)," "),CHAR(160)," "),"."," "),","," "),"-"," "),"/"," "),"("," "),")"," "),":"," "),";"," "),"_"," "),"–"," "),"?"," "),"!"," "),"*"," "),"["," "),"]"," "),"'"," "),"#"," "),"+"," "),"&amp;"," "),"\"," "))&amp;" "</f>
        <v>  </v>
      </c>
      <c r="CE101" s="68" t="n">
        <f aca="false">IFERROR(IF(AND(LEN(AU101)&gt;0,LEN(AU101)=LEN(AX101),OR(TRIM(MID(SUBSTITUTE(TRIM(CC101)," ",REPT(" ",60)),1,60))="",ISNUMBER(SEARCH(" "&amp;TRIM(MID(SUBSTITUTE(TRIM(CC101)," ",REPT(" ",60)),1,60))&amp;" ",CD101))),OR(TRIM(MID(SUBSTITUTE(TRIM(CC101)," ",REPT(" ",60)),61,60))="",ISNUMBER(SEARCH(" "&amp;TRIM(MID(SUBSTITUTE(TRIM(CC101)," ",REPT(" ",60)),61,60))&amp;" ",CD101))),OR(TRIM(MID(SUBSTITUTE(TRIM(CC101)," ",REPT(" ",60)),121,60))="",ISNUMBER(SEARCH(" "&amp;TRIM(MID(SUBSTITUTE(TRIM(CC101)," ",REPT(" ",60)),121,60))&amp;" ",CD101)))),1,0),0)</f>
        <v>0</v>
      </c>
      <c r="CG101" s="68" t="n">
        <f aca="false">IFERROR(LEN(SUBSTITUTE(BF101," ",""))-SUMPRODUCT((LEN(BF101)-LEN(SUBSTITUTE(BF101," "&amp;L_NAFiller&amp;" "," ")))/(LEN(L_NAFiller)+1)*LEN(L_NAFiller)),0)</f>
        <v>0</v>
      </c>
    </row>
    <row r="102" customFormat="false" ht="39.75" hidden="false" customHeight="true" outlineLevel="0" collapsed="false">
      <c r="A102" s="57" t="s">
        <v>595</v>
      </c>
      <c r="B102" s="57" t="s">
        <v>218</v>
      </c>
      <c r="C102" s="57" t="str">
        <f aca="false">Flights!$F$8</f>
        <v>MH0088</v>
      </c>
      <c r="D102" s="58" t="n">
        <f aca="false">Flights!$D$8</f>
        <v>46305</v>
      </c>
      <c r="E102" s="57" t="str">
        <f aca="false">Flights!$G$8&amp;"-"&amp;Flights!$H$8</f>
        <v>KUL-NRT</v>
      </c>
      <c r="F102" s="57" t="str">
        <f aca="false">Flights!$K$8</f>
        <v>BC</v>
      </c>
      <c r="G102" s="57" t="s">
        <v>420</v>
      </c>
      <c r="H102" s="57" t="s">
        <v>378</v>
      </c>
      <c r="I102" s="57" t="s">
        <v>428</v>
      </c>
      <c r="J102" s="57" t="s">
        <v>429</v>
      </c>
      <c r="K102" s="67"/>
      <c r="L102" s="67" t="s">
        <v>422</v>
      </c>
      <c r="M102" s="67"/>
      <c r="N102" s="67" t="s">
        <v>383</v>
      </c>
      <c r="O102" s="67" t="s">
        <v>423</v>
      </c>
      <c r="P102" s="57" t="s">
        <v>187</v>
      </c>
      <c r="Q102" s="59" t="n">
        <f aca="false">ROUND((Flights!$AE$8)*1440,0)/1440</f>
        <v>46305.1458333333</v>
      </c>
      <c r="R102" s="59" t="n">
        <f aca="false">Q102+(IF(AND(INDEX(TZ_DSTS,MATCH(P102,TZ_STN,0))&lt;&gt;"",Q102&gt;=INDEX(TZ_DSTS,MATCH(P102,TZ_STN,0)),Q102&lt;INDEX(TZ_DSTE,MATCH(P102,TZ_STN,0))),INDEX(TZ_DST,MATCH(P102,TZ_STN,0)),INDEX(TZ_STD,MATCH(P102,TZ_STN,0))))/24</f>
        <v>46305.4791666667</v>
      </c>
      <c r="S102" s="60"/>
      <c r="T102" s="60"/>
      <c r="U102" s="60"/>
      <c r="V102" s="60"/>
      <c r="W102" s="61"/>
      <c r="X102" s="60"/>
      <c r="Y102" s="60"/>
      <c r="Z102" s="60"/>
      <c r="AA102" s="60"/>
      <c r="AB102" s="60"/>
      <c r="AC102" s="60"/>
      <c r="AD102" s="66"/>
      <c r="AE102" s="60"/>
      <c r="AF102" s="61" t="str">
        <f aca="false">IF(AND(ISNUMBER(X102),ISNUMBER(Y102)),Y102-X102,"")</f>
        <v/>
      </c>
      <c r="AG102" s="62" t="str">
        <f aca="false">IF(ISNUMBER(AD102),AD102-(IF(AND(INDEX(TZ_DSTS,MATCH(P102,TZ_STN,0))&lt;&gt;"",(AD102-INDEX(TZ_STD,MATCH(P102,TZ_STN,0))/24)&gt;=INDEX(TZ_DSTS,MATCH(P102,TZ_STN,0)),(AD102-INDEX(TZ_STD,MATCH(P102,TZ_STN,0))/24)&lt;INDEX(TZ_DSTE,MATCH(P102,TZ_STN,0))),INDEX(TZ_DST,MATCH(P102,TZ_STN,0)),INDEX(TZ_STD,MATCH(P102,TZ_STN,0))))/24,"")</f>
        <v/>
      </c>
      <c r="AH102" s="65" t="str">
        <f aca="false">IFERROR(IF(N102="N/A – rule",IF(OR(TRIM(U102)="",TRIM(U102)="N/A",TRIM(U102)="Not started"),"N/A – RULE","INVALID – this check does not apply to this aircraft: clear the status (or correct the fleet on Flights)"),IF(TRIM(U102)="N/A",IF(AT102=0,"INVALID – N/A not permitted for this check",IF(AND(TRIM(AB102)&lt;&gt;"",TRIM(AB102)&lt;&gt;"Closed"),"INVALID – corrective action still open",IF(AND(NOT(OR(LEN(AZ102)&lt;15,ISNUMBER(MATCH(AZ102,L_Placeholder,0)))),BK102=0,CG102&gt;=8,NOT(OR(LEN(AU102)&lt;2,ISNUMBER(MATCH(AU102,L_Placeholder,0)))),BR102&gt;=3,NOT(OR(LEN(AX102)&lt;2,ISNUMBER(MATCH(AX102,L_Placeholder,0)))),BS102&gt;=3,TRIM(AE102)&lt;&gt;TRIM(T102),AX102&lt;&gt;AU102,CE102=0),"N/A – JUSTIFIED","INVALID – N/A needs a real, settled reason (not 'not applicable' / 'as above' / TBC), a named PIC and a different named verifier"))),IF(OR(TRIM(U102)="Pass",TRIM(U102)="Pass after CA"),IF(NOT(ISNUMBER(AD102)),"INVALID – completion time missing",IF(OR(OR(LEN(AU102)&lt;2,ISNUMBER(MATCH(AU102,L_Placeholder,0))),BR102&lt;3),"INVALID – PIC missing or not a named person (a role such as QA / CSM is not a name)",IF(OR(LEN(AV102)&lt;2,ISNUMBER(MATCH(AV102,L_Placeholder,0))),"INVALID – result / assessment missing",IF(OR(OR(LEN(AW102)&lt;3,ISNUMBER(MATCH(AW102,L_Placeholder,0))),SUMPRODUCT(--ISNUMBER(SEARCH(" "&amp;L_EvidencePhrase&amp;" ",BD102)))&gt;0,BI102=1),"INVALID – evidence missing, placeholder or not yet on file",IF(ISNA(MATCH(TRIM(S102),L_EvidenceType,0)),"INVALID – choose the evidence type from the list (column S)",IF(BL102=0,"INVALID – evidence ID must be the record's own ID only (e.g. SF-2210, IMG_2231, 1045521); a link / file name needs type 'Link / file path'",IF(OR(OR(LEN(AX102)&lt;2,ISNUMBER(MATCH(AX102,L_Placeholder,0))),BS102&lt;3),"INVALID – verifier missing or not a named person (a role such as QA / CSM is not a name)",IF(OR(AX102=AU102,CE102=1,AND(LEN(AU102)&gt;=4,ISNUMBER(SEARCH(AU102,AX102))),AND(LEN(AX102)&gt;=4,ISNUMBER(SEARCH(AX102,AU102)))),"INVALID – verifier must be a different, named person (not the PIC or a role)",IF(BH102=1,"INVALID – result not yet available (awaiting / TBC)",IF(BG102=1,"INVALID – result describes a problem: record Fail, then Pass after CA (or reword if it is not a problem)",IF(BV102=1,"INVALID – wording says not on board: an on-board confirmation needs the item loaded",IF(AND(AQ102=1,OR(OR(LEN(AY102)&lt;3,ISNUMBER(MATCH(AY102,L_Placeholder,0))),BJ102=1,BQ102=0)),"INVALID – batch ID missing, placeholder or not an ID (e.g. PASB-261008-BC-017)",IF(AND(AR102=1,OR(NOT(ISNUMBER(X102)),NOT(ISNUMBER(Y102)))),"INVALID – expected/actual qty missing",IF(AND(AR102=1,OR(X102&lt;=0,Y102&lt;0)),"INVALID – expected qty must be above 0 and actual not negative",IF(BB102&lt;&gt;"",BB102,IF(AND(AS102=1,Documents!$J$8&lt;&gt;"ON FILE"),"INVALID – GLD not on file (Documents sheet)",IF(AND(AS102=2,Documents!$O$8&lt;&gt;"ON FILE"),"INVALID – menu checklist not on file (Documents sheet)",IF(AND(AS102=3,NOT(ISNUMBER(Flights!$AX$8))),"INVALID – enter carrying flight KUL departure (Flights AX)",IF(AND(AS102=3,OR(Flights!$AZ$8&gt;Flights!$AA$8,Flights!$AX$8&lt;Flights!$AA$8-3)),"INVALID – carrying flight (Flights AX) cannot arrive before this leg's STD, or is over 3 days early",IF(AG102&gt;AsOfUTC,"INVALID – completion time is in the future",IF(AND(ISNUMBER(BY102),AG102&lt;BY102),IF(H102="Physical uplift","INVALID – before uplift window (cannot confirm loading)","INVALID – before valid window"),IF(AG102&gt;Flights!$AA$8,"INVALID – completed after departure (cannot establish readiness)",IF(AND(H102="Preparation",AG102&gt;=IF(ISNUMBER(Flights!$BA$8),MIN(Flights!$BA$8,Flights!$AA$8),Flights!$AA$8)),"INVALID – completed after loading / departure (cannot establish readiness)",IF(AND(H102="Physical uplift",AG102&gt;Q102),"INVALID – recorded after the loading flight departed",IF(AG102&gt;Q102,"COMPLETE – LATE","COMPLETE"))))))))))))))))))))))))),IF(TRIM(U102)="Fail","FAIL – DISCREPANCY",IF(AND(TRIM(U102)&lt;&gt;"",TRIM(U102)&lt;&gt;"Not started",TRIM(U102)&lt;&gt;"In progress"),"INVALID – unrecognised status (use the list)",IF(AsOfUTC&gt;Q102,"OVERDUE",IF(N102="Clarification required","OPEN – CLARIFICATION","OPEN"))))))),"INVALID – error value in an input cell")</f>
        <v>OPEN</v>
      </c>
      <c r="AI102" s="61" t="n">
        <f aca="false">IF(OR(AH102="N/A – RULE",AH102="N/A – JUSTIFIED"),0,1)</f>
        <v>1</v>
      </c>
      <c r="AJ102" s="61" t="n">
        <f aca="false">IF(LEFT(AH102,8)="COMPLETE",1,0)</f>
        <v>0</v>
      </c>
      <c r="AK102" s="61" t="n">
        <f aca="false">IF(AND(AI102=1,AJ102=0,AsOfUTC&gt;Q102),1,0)</f>
        <v>0</v>
      </c>
      <c r="AL102" s="61" t="n">
        <f aca="false">IFERROR(IF(AND(AI102=1,OR(TRIM(U102)="Fail",AND(TRIM(AB102)&lt;&gt;"",TRIM(AB102)&lt;&gt;"Closed"),AND(ISNUMBER(AF102),AF102&lt;&gt;0,TRIM(U102)&lt;&gt;"Pass after CA"))),1,0),1)</f>
        <v>0</v>
      </c>
      <c r="AM102" s="61" t="n">
        <f aca="false">IF(LEFT(AH102,7)="INVALID",1,0)</f>
        <v>0</v>
      </c>
      <c r="AN102" s="61" t="n">
        <f aca="false">IF(AND(N102="Clarification required",AI102=1,AJ102=0),1,0)</f>
        <v>0</v>
      </c>
      <c r="AO102" s="61" t="str">
        <f aca="false">IF(AK102=1,SUM(AK$5:AK102),"")</f>
        <v/>
      </c>
      <c r="AP102" s="61" t="str">
        <f aca="false">IF(AL102=1,SUM(AL$5:AL102),"")</f>
        <v/>
      </c>
      <c r="AQ102" s="61" t="n">
        <v>0</v>
      </c>
      <c r="AR102" s="61" t="n">
        <v>0</v>
      </c>
      <c r="AS102" s="61" t="n">
        <v>0</v>
      </c>
      <c r="AT102" s="61" t="n">
        <v>0</v>
      </c>
      <c r="AU102" s="61" t="str">
        <f aca="false">SUBSTITUTE(SUBSTITUTE(SUBSTITUTE(SUBSTITUTE(SUBSTITUTE(SUBSTITUTE(SUBSTITUTE(SUBSTITUTE(SUBSTITUTE(SUBSTITUTE(SUBSTITUTE(SUBSTITUTE(SUBSTITUTE(SUBSTITUTE(SUBSTITUTE(SUBSTITUTE(LOWER(T102&amp;""),CHAR(10),""),CHAR(13),""),CHAR(9),""),CHAR(160),"")," ",""),".",""),"-",""),"/",""),"?",""),"_",""),",",""),"[",""),"]",""),"(",""),")",""),"*","")</f>
        <v/>
      </c>
      <c r="AV102" s="61" t="str">
        <f aca="false">SUBSTITUTE(SUBSTITUTE(SUBSTITUTE(SUBSTITUTE(SUBSTITUTE(SUBSTITUTE(SUBSTITUTE(SUBSTITUTE(SUBSTITUTE(SUBSTITUTE(SUBSTITUTE(SUBSTITUTE(SUBSTITUTE(SUBSTITUTE(SUBSTITUTE(SUBSTITUTE(LOWER(V102&amp;""),CHAR(10),""),CHAR(13),""),CHAR(9),""),CHAR(160),"")," ",""),".",""),"-",""),"/",""),"?",""),"_",""),",",""),"[",""),"]",""),"(",""),")",""),"*","")</f>
        <v/>
      </c>
      <c r="AW102" s="61" t="str">
        <f aca="false">SUBSTITUTE(SUBSTITUTE(SUBSTITUTE(SUBSTITUTE(SUBSTITUTE(SUBSTITUTE(SUBSTITUTE(SUBSTITUTE(SUBSTITUTE(SUBSTITUTE(SUBSTITUTE(SUBSTITUTE(SUBSTITUTE(SUBSTITUTE(SUBSTITUTE(SUBSTITUTE(LOWER(Z102&amp;""),CHAR(10),""),CHAR(13),""),CHAR(9),""),CHAR(160),"")," ",""),".",""),"-",""),"/",""),"?",""),"_",""),",",""),"[",""),"]",""),"(",""),")",""),"*","")</f>
        <v/>
      </c>
      <c r="AX102" s="61" t="str">
        <f aca="false">SUBSTITUTE(SUBSTITUTE(SUBSTITUTE(SUBSTITUTE(SUBSTITUTE(SUBSTITUTE(SUBSTITUTE(SUBSTITUTE(SUBSTITUTE(SUBSTITUTE(SUBSTITUTE(SUBSTITUTE(SUBSTITUTE(SUBSTITUTE(SUBSTITUTE(SUBSTITUTE(LOWER(AE102&amp;""),CHAR(10),""),CHAR(13),""),CHAR(9),""),CHAR(160),"")," ",""),".",""),"-",""),"/",""),"?",""),"_",""),",",""),"[",""),"]",""),"(",""),")",""),"*","")</f>
        <v/>
      </c>
      <c r="AY102" s="61" t="str">
        <f aca="false">SUBSTITUTE(SUBSTITUTE(SUBSTITUTE(SUBSTITUTE(SUBSTITUTE(SUBSTITUTE(SUBSTITUTE(SUBSTITUTE(SUBSTITUTE(SUBSTITUTE(SUBSTITUTE(SUBSTITUTE(SUBSTITUTE(SUBSTITUTE(SUBSTITUTE(SUBSTITUTE(LOWER(W102&amp;""),CHAR(10),""),CHAR(13),""),CHAR(9),""),CHAR(160),"")," ",""),".",""),"-",""),"/",""),"?",""),"_",""),",",""),"[",""),"]",""),"(",""),")",""),"*","")</f>
        <v/>
      </c>
      <c r="AZ102" s="61" t="str">
        <f aca="false">SUBSTITUTE(SUBSTITUTE(SUBSTITUTE(SUBSTITUTE(SUBSTITUTE(SUBSTITUTE(SUBSTITUTE(SUBSTITUTE(SUBSTITUTE(SUBSTITUTE(SUBSTITUTE(SUBSTITUTE(SUBSTITUTE(SUBSTITUTE(SUBSTITUTE(SUBSTITUTE(LOWER(AC102&amp;""),CHAR(10),""),CHAR(13),""),CHAR(9),""),CHAR(160),"")," ",""),".",""),"-",""),"/",""),"?",""),"_",""),",",""),"[",""),"]",""),"(",""),")",""),"*","")</f>
        <v/>
      </c>
      <c r="BA102" s="61" t="str">
        <f aca="false">SUBSTITUTE(SUBSTITUTE(SUBSTITUTE(SUBSTITUTE(SUBSTITUTE(SUBSTITUTE(SUBSTITUTE(SUBSTITUTE(SUBSTITUTE(SUBSTITUTE(SUBSTITUTE(SUBSTITUTE(SUBSTITUTE(SUBSTITUTE(SUBSTITUTE(SUBSTITUTE(LOWER(AA102&amp;""),CHAR(10),""),CHAR(13),""),CHAR(9),""),CHAR(160),"")," ",""),".",""),"-",""),"/",""),"?",""),"_",""),",",""),"[",""),"]",""),"(",""),")",""),"*","")</f>
        <v/>
      </c>
      <c r="BB102" s="61" t="str">
        <f aca="false">IF(AND(TRIM(U102)="Pass",ISNUMBER(AF102)),IF(AF102&lt;&gt;0,"INVALID – qty variance: use Fail or Pass after CA",""),"")&amp;IF(AND(TRIM(U102)="Pass after CA",ISNUMBER(AF102)),IF(AF102&lt;&gt;0,"INVALID – after the corrective action the actual qty must equal expected (update Actual)",""),"")&amp;IF(AND(TRIM(U102)="Pass",TRIM(AB102)&lt;&gt;"",TRIM(AB102)&lt;&gt;"Closed"),"INVALID – corrective action not closed: use Fail, then Pass after CA","")&amp;IF(AND(LEN(BA102)&gt;=2,ISNA(MATCH(LEFT(BA102,255),L_Placeholder,0)),TRIM(AB102)=""),"INVALID – CA status missing for the recorded corrective action","")&amp;IF(AND(TRIM(U102)="Pass after CA",OR(OR(LEN(BA102)&lt;5,ISNUMBER(MATCH(BA102,L_Placeholder,0))),TRIM(AB102)&lt;&gt;"Closed")),"INVALID – corrective action not recorded/closed","")</f>
        <v/>
      </c>
      <c r="BC102" s="61" t="str">
        <f aca="false">" "&amp;TRIM(SUBSTITUTE(SUBSTITUTE(SUBSTITUTE(SUBSTITUTE(SUBSTITUTE(SUBSTITUTE(SUBSTITUTE(SUBSTITUTE(SUBSTITUTE(SUBSTITUTE(SUBSTITUTE(SUBSTITUTE(SUBSTITUTE(SUBSTITUTE(SUBSTITUTE(SUBSTITUTE(SUBSTITUTE(SUBSTITUTE(SUBSTITUTE(SUBSTITUTE(SUBSTITUTE(SUBSTITUTE(SUBSTITUTE(SUBSTITUTE(LOWER(V102&amp;""),CHAR(10)," "),CHAR(13)," "),CHAR(9)," "),CHAR(160)," "),"."," "),","," "),"-"," "),"/"," "),"("," "),")"," "),":"," "),";"," "),"_"," "),"–"," "),"?"," "),"!"," "),"*"," "),"["," "),"]"," "),"'"," "),"#"," "),"+"," "),"&amp;"," "),"\"," "))&amp;" "</f>
        <v>  </v>
      </c>
      <c r="BD102" s="61" t="str">
        <f aca="false">" "&amp;TRIM(SUBSTITUTE(SUBSTITUTE(SUBSTITUTE(SUBSTITUTE(SUBSTITUTE(SUBSTITUTE(SUBSTITUTE(SUBSTITUTE(SUBSTITUTE(SUBSTITUTE(SUBSTITUTE(SUBSTITUTE(SUBSTITUTE(SUBSTITUTE(SUBSTITUTE(SUBSTITUTE(SUBSTITUTE(SUBSTITUTE(SUBSTITUTE(SUBSTITUTE(SUBSTITUTE(SUBSTITUTE(SUBSTITUTE(SUBSTITUTE(LOWER(Z102&amp;""),CHAR(10)," "),CHAR(13)," "),CHAR(9)," "),CHAR(160)," "),"."," "),","," "),"-"," "),"/"," "),"("," "),")"," "),":"," "),";"," "),"_"," "),"–"," "),"?"," "),"!"," "),"*"," "),"["," "),"]"," "),"'"," "),"#"," "),"+"," "),"&amp;"," "),"\"," "))&amp;" "</f>
        <v>  </v>
      </c>
      <c r="BE102" s="61" t="str">
        <f aca="false">" "&amp;TRIM(SUBSTITUTE(SUBSTITUTE(SUBSTITUTE(SUBSTITUTE(SUBSTITUTE(SUBSTITUTE(SUBSTITUTE(SUBSTITUTE(SUBSTITUTE(SUBSTITUTE(SUBSTITUTE(SUBSTITUTE(SUBSTITUTE(SUBSTITUTE(SUBSTITUTE(SUBSTITUTE(SUBSTITUTE(SUBSTITUTE(SUBSTITUTE(SUBSTITUTE(SUBSTITUTE(SUBSTITUTE(SUBSTITUTE(SUBSTITUTE(LOWER(W102&amp;""),CHAR(10)," "),CHAR(13)," "),CHAR(9)," "),CHAR(160)," "),"."," "),","," "),"-"," "),"/"," "),"("," "),")"," "),":"," "),";"," "),"_"," "),"–"," "),"?"," "),"!"," "),"*"," "),"["," "),"]"," "),"'"," "),"#"," "),"+"," "),"&amp;"," "),"\"," "))&amp;" "</f>
        <v>  </v>
      </c>
      <c r="BF102" s="61" t="str">
        <f aca="false">" "&amp;TRIM(SUBSTITUTE(SUBSTITUTE(SUBSTITUTE(SUBSTITUTE(SUBSTITUTE(SUBSTITUTE(SUBSTITUTE(SUBSTITUTE(SUBSTITUTE(SUBSTITUTE(SUBSTITUTE(SUBSTITUTE(SUBSTITUTE(SUBSTITUTE(SUBSTITUTE(SUBSTITUTE(SUBSTITUTE(SUBSTITUTE(SUBSTITUTE(SUBSTITUTE(SUBSTITUTE(SUBSTITUTE(SUBSTITUTE(SUBSTITUTE(LOWER(AC102&amp;""),CHAR(10)," "),CHAR(13)," "),CHAR(9)," "),CHAR(160)," "),"."," "),","," "),"-"," "),"/"," "),"("," "),")"," "),":"," "),";"," "),"_"," "),"–"," "),"?"," "),"!"," "),"*"," "),"["," "),"]"," "),"'"," "),"#"," "),"+"," "),"&amp;"," "),"\"," "))&amp;" "</f>
        <v>  </v>
      </c>
      <c r="BG102" s="61" t="n">
        <f aca="false">IFERROR(IF(AND(TRIM(U102)="Pass",SUMPRODUCT((LEN(BC102)-LEN(SUBSTITUTE(BC102," "&amp;L_ResultBad&amp;" "," ")))/(LEN(L_ResultBad)+1))&gt;SUMPRODUCT((LEN(BC102)-LEN(SUBSTITUTE(BC102," "&amp;L_NegPhrase&amp;" "," ")))/(LEN(L_NegPhrase)+1))),1,0),0)</f>
        <v>0</v>
      </c>
      <c r="BH102" s="61" t="n">
        <f aca="false">IFERROR(IF(SUMPRODUCT((LEN(BC102)-LEN(SUBSTITUTE(BC102," "&amp;L_Pending&amp;" "," ")))/(LEN(L_Pending)+1))&gt;SUMPRODUCT((LEN(BC102)-LEN(SUBSTITUTE(BC102," "&amp;L_PendNeg&amp;" "," ")))/(LEN(L_PendNeg)+1))+SUMPRODUCT((LEN(BC102)-LEN(SUBSTITUTE(BC102," "&amp;L_PendPrep&amp;" "," ")))/(LEN(L_PendPrep)+1)),1,0),1)</f>
        <v>0</v>
      </c>
      <c r="BI102" s="61" t="n">
        <f aca="false">IFERROR(IF(SUMPRODUCT((LEN(BD102)-LEN(SUBSTITUTE(BD102," "&amp;L_PendStrict&amp;" "," ")))/(LEN(L_PendStrict)+1))&gt;SUMPRODUCT((LEN(BD102)-LEN(SUBSTITUTE(BD102," "&amp;L_PendNeg&amp;" "," ")))/(LEN(L_PendNeg)+1)),1,0),1)</f>
        <v>0</v>
      </c>
      <c r="BJ102" s="61" t="n">
        <f aca="false">IFERROR(IF(SUMPRODUCT((LEN(BE102)-LEN(SUBSTITUTE(BE102," "&amp;L_Pending&amp;" "," ")))/(LEN(L_Pending)+1))&gt;SUMPRODUCT((LEN(BE102)-LEN(SUBSTITUTE(BE102," "&amp;L_PendNeg&amp;" "," ")))/(LEN(L_PendNeg)+1))+SUMPRODUCT((LEN(BE102)-LEN(SUBSTITUTE(BE102," "&amp;L_PendPrep&amp;" "," ")))/(LEN(L_PendPrep)+1)),1,0),1)</f>
        <v>0</v>
      </c>
      <c r="BK102" s="61" t="n">
        <f aca="false">IFERROR(IF(SUMPRODUCT((LEN(BF102)-LEN(SUBSTITUTE(BF102," "&amp;L_PendStrict&amp;" "," ")))/(LEN(L_PendStrict)+1))&gt;SUMPRODUCT((LEN(BF102)-LEN(SUBSTITUTE(BF102," "&amp;L_PendNeg&amp;" "," ")))/(LEN(L_PendNeg)+1)),1,0),1)</f>
        <v>0</v>
      </c>
      <c r="BL102" s="61" t="n">
        <f aca="false">IF(ISNA(MATCH(TRIM(S102),L_EvidenceType,0)),0,BZ102)</f>
        <v>0</v>
      </c>
      <c r="BM102" s="61" t="str">
        <f aca="false">SUBSTITUTE(SUBSTITUTE(SUBSTITUTE(SUBSTITUTE(SUBSTITUTE(SUBSTITUTE(SUBSTITUTE(SUBSTITUTE(SUBSTITUTE(LOWER(Z102&amp;""),"1","0"),"2","0"),"3","0"),"4","0"),"5","0"),"6","0"),"7","0"),"8","0"),"9","0")</f>
        <v/>
      </c>
      <c r="BN102" s="61" t="str">
        <f aca="false">SUBSTITUTE(SUBSTITUTE(SUBSTITUTE(SUBSTITUTE(SUBSTITUTE(SUBSTITUTE(SUBSTITUTE(SUBSTITUTE(SUBSTITUTE(SUBSTITUTE(SUBSTITUTE(SUBSTITUTE(SUBSTITUTE(SUBSTITUTE(SUBSTITUTE(SUBSTITUTE(SUBSTITUTE(SUBSTITUTE(SUBSTITUTE(SUBSTITUTE(SUBSTITUTE(SUBSTITUTE(SUBSTITUTE(SUBSTITUTE(SUBSTITUTE(BM102,"b","a"),"c","a"),"d","a"),"e","a"),"f","a"),"g","a"),"h","a"),"i","a"),"j","a"),"k","a"),"l","a"),"m","a"),"n","a"),"o","a"),"p","a"),"q","a"),"r","a"),"s","a"),"t","a"),"u","a"),"v","a"),"w","a"),"x","a"),"y","a"),"z","a")</f>
        <v/>
      </c>
      <c r="BO102" s="61" t="str">
        <f aca="false">SUBSTITUTE(SUBSTITUTE(SUBSTITUTE(SUBSTITUTE(SUBSTITUTE(SUBSTITUTE(SUBSTITUTE(SUBSTITUTE(SUBSTITUTE(LOWER(W102&amp;""),"1","0"),"2","0"),"3","0"),"4","0"),"5","0"),"6","0"),"7","0"),"8","0"),"9","0")</f>
        <v/>
      </c>
      <c r="BP102" s="61" t="str">
        <f aca="false">SUBSTITUTE(SUBSTITUTE(SUBSTITUTE(SUBSTITUTE(SUBSTITUTE(SUBSTITUTE(SUBSTITUTE(SUBSTITUTE(SUBSTITUTE(SUBSTITUTE(SUBSTITUTE(SUBSTITUTE(SUBSTITUTE(SUBSTITUTE(SUBSTITUTE(SUBSTITUTE(SUBSTITUTE(SUBSTITUTE(SUBSTITUTE(SUBSTITUTE(SUBSTITUTE(SUBSTITUTE(SUBSTITUTE(SUBSTITUTE(SUBSTITUTE(BO102,"b","a"),"c","a"),"d","a"),"e","a"),"f","a"),"g","a"),"h","a"),"i","a"),"j","a"),"k","a"),"l","a"),"m","a"),"n","a"),"o","a"),"p","a"),"q","a"),"r","a"),"s","a"),"t","a"),"u","a"),"v","a"),"w","a"),"x","a"),"y","a"),"z","a")</f>
        <v/>
      </c>
      <c r="BQ102" s="61" t="n">
        <f aca="false">IFERROR(IF(AND(ISERROR(SEARCH(" mh"," "&amp;LOWER(W102))),ISNA(MATCH(LEFT(TRIM(BP102),255),{"0000a","000a","00a","0000aa","000aa","00aa","0aa","0000aaa","000aaa","00a00","0a00","0000-0000","00:00","a00","a0","00.00.0000","00/00/0000","00-00-0000","0000-00-00","0000/00/00","0000.00.00","00.00.00","00/00/00","00-00-00","0.00.0000","0/00/0000","0-00-0000"},0)),ISNA(MATCH(LEFT(TRIM(CA102),255),{"0000a","000a","00a","0000aa","000aa","00aa","0aa","0000aaa","000aaa","00a00","0a00","0000-0000","00:00","a00","a0","00.00.0000","00/00/0000","00-00-0000","0000-00-00","0000/00/00","0000.00.00","00.00.00","00/00/00","00-00-00","0.00.0000","0/00/0000","0-00-0000"},0)),LEN(CB102)&gt;=3,NOT(OR(SUBSTITUTE(CB102,"0","")="",AND(LEN(CB102)&gt;=4,CB102=REPT(LEFT(CB102),LEN(CB102))),ISNUMBER(MATCH(CB102,{"123","1234","12345","123456","1234567","12345678","0123","01234","012345","98765","987654","54321"},0)),AND(LEN(CB102)=8,LEFT(CB102,3)="202"))),OR(AND((LEN(CA102)-LEN(SUBSTITUTE(CA102,"a","")))&gt;=1,SUMPRODUCT(--ISNUMBER(SEARCH({"a0","a-0","a_0","a/0","a.0","a#0","0a","0-a","0_a","0/a"},BP102)))&gt;0),ISNUMBER(SEARCH("000000",BP102)))),1,0),0)</f>
        <v>0</v>
      </c>
      <c r="BR102" s="61" t="n">
        <f aca="false">IFERROR(LEN(SUBSTITUTE(CC102," ",""))-SUMPRODUCT((LEN(CC102)-LEN(SUBSTITUTE(CC102," "&amp;L_Role&amp;" "," ")))/(LEN(L_Role)+1)*LEN(L_Role)),0)</f>
        <v>0</v>
      </c>
      <c r="BS102" s="61" t="n">
        <f aca="false">IFERROR(LEN(SUBSTITUTE(CD102," ",""))-SUMPRODUCT((LEN(CD102)-LEN(SUBSTITUTE(CD102," "&amp;L_Role&amp;" "," ")))/(LEN(L_Role)+1)*LEN(L_Role)),0)</f>
        <v>0</v>
      </c>
      <c r="BT1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102,"revision",""),"version",""),"jan",""),"feb",""),"mar",""),"apr",""),"may",""),"jun",""),"jul",""),"aug",""),"sep",""),"oct",""),"nov",""),"dec",""),"utc",""),"gmt",""),"myt",""),"bst",""),"rev",""),"ver",""),"b","a"),"c","a"),"d","a"),"e","a"),"f","a"),"g","a"),"h","a"),"i","a"),"j","a"),"k","a"),"l","a"),"m","a"),"n","a"),"o","a"),"p","a"),"q","a"),"r","a"),"s","a"),"t","a"),"u","a"),"v","a"),"w","a"),"x","a"),"y","a"),"z","a")</f>
        <v/>
      </c>
      <c r="BU102" s="61" t="str">
        <f aca="false">SUBSTITUTE(SUBSTITUTE(SUBSTITUTE(SUBSTITUTE(SUBSTITUTE(SUBSTITUTE(SUBSTITUTE(SUBSTITUTE(SUBSTITUTE(SUBSTITUTE(LEFT(BM102,FIND("0",BM102&amp;"0")-1),"-",""),"_",""),"/",""),".",""),"#",""),"\\",""),":","")," ",""),"(",""),")","")</f>
        <v/>
      </c>
      <c r="BV102" s="61" t="n">
        <f aca="false">0</f>
        <v>0</v>
      </c>
      <c r="BW1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102&amp;""),"a",""),"b",""),"c",""),"d",""),"e",""),"f",""),"g",""),"h",""),"i",""),"j",""),"k",""),"l",""),"m",""),"n",""),"o",""),"p",""),"q",""),"r",""),"s",""),"t",""),"u",""),"v",""),"w",""),"x",""),"y",""),"z",""),"-",""),"_",""),"/",""),".",""),"#",""),"\\",""),":","")," ",""),"(",""),")","")</f>
        <v/>
      </c>
      <c r="BX102" s="61" t="str">
        <f aca="false">SUBSTITUTE(SUBSTITUTE(SUBSTITUTE(SUBSTITUTE(SUBSTITUTE(SUBSTITUTE(SUBSTITUTE(SUBSTITUTE(SUBSTITUTE(SUBSTITUTE(SUBSTITUTE(BM102,"0",""),"-",""),"_",""),"/",""),".",""),"#",""),"\\",""),":","")," ",""),"(",""),")","")</f>
        <v/>
      </c>
      <c r="BY102" s="62" t="n">
        <f aca="false">Q102-T12EarlyH/24</f>
        <v>46304.6458333333</v>
      </c>
      <c r="BZ102" s="61" t="n">
        <f aca="false">IFERROR(IF(IF(TRIM(S102)="Link / file path",AND(LEN(TRIM(Z102))&gt;=5,SUMPRODUCT(--ISNUMBER(SEARCH({"http","www.","\\",":\",".pdf",".jpg",".jpeg",".png",".heic",".xls",".doc",".msg",".eml",".ppt",".txt",".zip"},Z102)))&gt;0),AND(ISERROR(FIND(" ",TRIM(Z102))),NOT(OR(SUMPRODUCT(--ISNUMBER(FIND({",",";","&amp;","+"},Z102)))&gt;0,SUMPRODUCT(--ISNUMBER(SEARCH({"0/aa","0\\aa"},BN102)))&gt;0)),NOT(SUMPRODUCT(--ISNUMBER(SEARCH({"http","www.","\\",":\",".pdf",".jpg",".jpeg",".png",".heic",".xls",".doc",".msg",".eml",".ppt",".txt",".zip"},Z102)))&gt;0),NOT(LOWER(TRIM(Z102))=LOWER(Flights!$F$8)),ISNA(MATCH(BU102,{"mh","rev","revision","ver","version","v","r","a","b","seat","tray","row","gate","bay","stand","page","pg","item","line","no","cart","galley","flight","flt","table","box","bag","oven","etd","eta","std","sta","atd","ata","qty","pax","x","time","tel","ph","mob","day","wk","week","utc","gmt","myt","lt"},0)),NOT(OR(ISNUMBER(MATCH(LEFT(BN102,255),{"0000a","000a","00a","0000aa","000aa","00aa","0aa","0000aaa","000aaa","00a00","0a00","0000-0000","00:00","a00","a0","00.00.0000","00/00/0000","00-00-0000","0000-00-00","0000/00/00","0000.00.00","00.00.00","00/00/00","00-00-00","0.00.0000","0/00/0000","0-00-0000"},0)),ISNUMBER(MATCH(LEFT(BT102,255),{"0000a","000a","00a","0000aa","000aa","00aa","0aa","0000aaa","000aaa","00a00","0a00","0000-0000","00:00","a00","a0","00.00.0000","00/00/0000","00-00-0000","0000-00-00","0000/00/00","0000.00.00","00.00.00","00/00/00","00-00-00","0.00.0000","0/00/0000","0-00-0000"},0)))),NOT(OR(AND(BW102&lt;&gt;"",SUBSTITUTE(BW102,"0","")=""),AND(LEN(BW102)&gt;=4,BW102=REPT(LEFT(BW102),LEN(BW102))),ISNUMBER(MATCH(BW102,{"123","1234","12345","123456","1234567","12345678","0123","01234","012345","98765","987654","54321"},0)),ISNUMBER(MATCH(BX102,{"x","xx","xxx","xxxx","xxxxx","abc","abcd","nil","na","nan","test","tbc","tba","tbd","dummy","sample","example","eg","zz","zzz","none","null","xyz","qwe","asd","id","ref"},0)),AND(LEN(BW102)=8,BX102="",OR(LEFT(BW102,3)="202",ISNUMBER(MATCH(RIGHT(BW102,4),{"2025","2026","2027"},0)))))),OR(AND((LEN(BT102)-LEN(SUBSTITUTE(BT102,"a","")))&gt;=1,(LEN(BN102)-LEN(SUBSTITUTE(BN102,"0","")))&gt;=2,SUMPRODUCT(--ISNUMBER(SEARCH({"a0","a-0","a_0","a/0","a.0","a#0","0a","0-a","0_a","0/a"},BN102)))&gt;0),AND((LEN(BN102)-LEN(SUBSTITUTE(BN102,"a","")))=0,(LEN(BN102)-LEN(SUBSTITUTE(BN102,"0","")))&gt;=5)))),1,0),0)</f>
        <v>0</v>
      </c>
      <c r="CA1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102,"revision",""),"version",""),"jan",""),"feb",""),"mar",""),"apr",""),"may",""),"jun",""),"jul",""),"aug",""),"sep",""),"oct",""),"nov",""),"dec",""),"utc",""),"gmt",""),"myt",""),"bst",""),"rev",""),"ver",""),"b","a"),"c","a"),"d","a"),"e","a"),"f","a"),"g","a"),"h","a"),"i","a"),"j","a"),"k","a"),"l","a"),"m","a"),"n","a"),"o","a"),"p","a"),"q","a"),"r","a"),"s","a"),"t","a"),"u","a"),"v","a"),"w","a"),"x","a"),"y","a"),"z","a")</f>
        <v/>
      </c>
      <c r="CB1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102&amp;""),"a",""),"b",""),"c",""),"d",""),"e",""),"f",""),"g",""),"h",""),"i",""),"j",""),"k",""),"l",""),"m",""),"n",""),"o",""),"p",""),"q",""),"r",""),"s",""),"t",""),"u",""),"v",""),"w",""),"x",""),"y",""),"z",""),"-",""),"_",""),"/",""),".",""),"#",""),"\\",""),":","")," ",""),"(",""),")","")</f>
        <v/>
      </c>
      <c r="CC102" s="0" t="str">
        <f aca="false">" "&amp;TRIM(SUBSTITUTE(SUBSTITUTE(SUBSTITUTE(SUBSTITUTE(SUBSTITUTE(SUBSTITUTE(SUBSTITUTE(SUBSTITUTE(SUBSTITUTE(SUBSTITUTE(SUBSTITUTE(SUBSTITUTE(SUBSTITUTE(SUBSTITUTE(SUBSTITUTE(SUBSTITUTE(SUBSTITUTE(SUBSTITUTE(SUBSTITUTE(SUBSTITUTE(SUBSTITUTE(SUBSTITUTE(SUBSTITUTE(SUBSTITUTE(LOWER(T102&amp;""),CHAR(10)," "),CHAR(13)," "),CHAR(9)," "),CHAR(160)," "),"."," "),","," "),"-"," "),"/"," "),"("," "),")"," "),":"," "),";"," "),"_"," "),"–"," "),"?"," "),"!"," "),"*"," "),"["," "),"]"," "),"'"," "),"#"," "),"+"," "),"&amp;"," "),"\"," "))&amp;" "</f>
        <v>  </v>
      </c>
      <c r="CD102" s="0" t="str">
        <f aca="false">" "&amp;TRIM(SUBSTITUTE(SUBSTITUTE(SUBSTITUTE(SUBSTITUTE(SUBSTITUTE(SUBSTITUTE(SUBSTITUTE(SUBSTITUTE(SUBSTITUTE(SUBSTITUTE(SUBSTITUTE(SUBSTITUTE(SUBSTITUTE(SUBSTITUTE(SUBSTITUTE(SUBSTITUTE(SUBSTITUTE(SUBSTITUTE(SUBSTITUTE(SUBSTITUTE(SUBSTITUTE(SUBSTITUTE(SUBSTITUTE(SUBSTITUTE(LOWER(AE102&amp;""),CHAR(10)," "),CHAR(13)," "),CHAR(9)," "),CHAR(160)," "),"."," "),","," "),"-"," "),"/"," "),"("," "),")"," "),":"," "),";"," "),"_"," "),"–"," "),"?"," "),"!"," "),"*"," "),"["," "),"]"," "),"'"," "),"#"," "),"+"," "),"&amp;"," "),"\"," "))&amp;" "</f>
        <v>  </v>
      </c>
      <c r="CE102" s="68" t="n">
        <f aca="false">IFERROR(IF(AND(LEN(AU102)&gt;0,LEN(AU102)=LEN(AX102),OR(TRIM(MID(SUBSTITUTE(TRIM(CC102)," ",REPT(" ",60)),1,60))="",ISNUMBER(SEARCH(" "&amp;TRIM(MID(SUBSTITUTE(TRIM(CC102)," ",REPT(" ",60)),1,60))&amp;" ",CD102))),OR(TRIM(MID(SUBSTITUTE(TRIM(CC102)," ",REPT(" ",60)),61,60))="",ISNUMBER(SEARCH(" "&amp;TRIM(MID(SUBSTITUTE(TRIM(CC102)," ",REPT(" ",60)),61,60))&amp;" ",CD102))),OR(TRIM(MID(SUBSTITUTE(TRIM(CC102)," ",REPT(" ",60)),121,60))="",ISNUMBER(SEARCH(" "&amp;TRIM(MID(SUBSTITUTE(TRIM(CC102)," ",REPT(" ",60)),121,60))&amp;" ",CD102)))),1,0),0)</f>
        <v>0</v>
      </c>
      <c r="CG102" s="68" t="n">
        <f aca="false">IFERROR(LEN(SUBSTITUTE(BF102," ",""))-SUMPRODUCT((LEN(BF102)-LEN(SUBSTITUTE(BF102," "&amp;L_NAFiller&amp;" "," ")))/(LEN(L_NAFiller)+1)*LEN(L_NAFiller)),0)</f>
        <v>0</v>
      </c>
    </row>
    <row r="103" customFormat="false" ht="39.75" hidden="false" customHeight="true" outlineLevel="0" collapsed="false">
      <c r="A103" s="57" t="s">
        <v>596</v>
      </c>
      <c r="B103" s="57" t="s">
        <v>218</v>
      </c>
      <c r="C103" s="57" t="str">
        <f aca="false">Flights!$F$8</f>
        <v>MH0088</v>
      </c>
      <c r="D103" s="58" t="n">
        <f aca="false">Flights!$D$8</f>
        <v>46305</v>
      </c>
      <c r="E103" s="57" t="str">
        <f aca="false">Flights!$G$8&amp;"-"&amp;Flights!$H$8</f>
        <v>KUL-NRT</v>
      </c>
      <c r="F103" s="57" t="str">
        <f aca="false">Flights!$K$8</f>
        <v>BC</v>
      </c>
      <c r="G103" s="57" t="s">
        <v>420</v>
      </c>
      <c r="H103" s="57" t="s">
        <v>378</v>
      </c>
      <c r="I103" s="57" t="s">
        <v>428</v>
      </c>
      <c r="J103" s="57" t="s">
        <v>431</v>
      </c>
      <c r="K103" s="67"/>
      <c r="L103" s="67" t="s">
        <v>422</v>
      </c>
      <c r="M103" s="67"/>
      <c r="N103" s="67" t="s">
        <v>383</v>
      </c>
      <c r="O103" s="67" t="s">
        <v>423</v>
      </c>
      <c r="P103" s="57" t="s">
        <v>187</v>
      </c>
      <c r="Q103" s="59" t="n">
        <f aca="false">ROUND((Flights!$AE$8)*1440,0)/1440</f>
        <v>46305.1458333333</v>
      </c>
      <c r="R103" s="59" t="n">
        <f aca="false">Q103+(IF(AND(INDEX(TZ_DSTS,MATCH(P103,TZ_STN,0))&lt;&gt;"",Q103&gt;=INDEX(TZ_DSTS,MATCH(P103,TZ_STN,0)),Q103&lt;INDEX(TZ_DSTE,MATCH(P103,TZ_STN,0))),INDEX(TZ_DST,MATCH(P103,TZ_STN,0)),INDEX(TZ_STD,MATCH(P103,TZ_STN,0))))/24</f>
        <v>46305.4791666667</v>
      </c>
      <c r="S103" s="60"/>
      <c r="T103" s="60"/>
      <c r="U103" s="60"/>
      <c r="V103" s="60"/>
      <c r="W103" s="61"/>
      <c r="X103" s="60"/>
      <c r="Y103" s="60"/>
      <c r="Z103" s="60"/>
      <c r="AA103" s="60"/>
      <c r="AB103" s="60"/>
      <c r="AC103" s="60"/>
      <c r="AD103" s="66"/>
      <c r="AE103" s="60"/>
      <c r="AF103" s="61" t="str">
        <f aca="false">IF(AND(ISNUMBER(X103),ISNUMBER(Y103)),Y103-X103,"")</f>
        <v/>
      </c>
      <c r="AG103" s="62" t="str">
        <f aca="false">IF(ISNUMBER(AD103),AD103-(IF(AND(INDEX(TZ_DSTS,MATCH(P103,TZ_STN,0))&lt;&gt;"",(AD103-INDEX(TZ_STD,MATCH(P103,TZ_STN,0))/24)&gt;=INDEX(TZ_DSTS,MATCH(P103,TZ_STN,0)),(AD103-INDEX(TZ_STD,MATCH(P103,TZ_STN,0))/24)&lt;INDEX(TZ_DSTE,MATCH(P103,TZ_STN,0))),INDEX(TZ_DST,MATCH(P103,TZ_STN,0)),INDEX(TZ_STD,MATCH(P103,TZ_STN,0))))/24,"")</f>
        <v/>
      </c>
      <c r="AH103" s="65" t="str">
        <f aca="false">IFERROR(IF(N103="N/A – rule",IF(OR(TRIM(U103)="",TRIM(U103)="N/A",TRIM(U103)="Not started"),"N/A – RULE","INVALID – this check does not apply to this aircraft: clear the status (or correct the fleet on Flights)"),IF(TRIM(U103)="N/A",IF(AT103=0,"INVALID – N/A not permitted for this check",IF(AND(TRIM(AB103)&lt;&gt;"",TRIM(AB103)&lt;&gt;"Closed"),"INVALID – corrective action still open",IF(AND(NOT(OR(LEN(AZ103)&lt;15,ISNUMBER(MATCH(AZ103,L_Placeholder,0)))),BK103=0,CG103&gt;=8,NOT(OR(LEN(AU103)&lt;2,ISNUMBER(MATCH(AU103,L_Placeholder,0)))),BR103&gt;=3,NOT(OR(LEN(AX103)&lt;2,ISNUMBER(MATCH(AX103,L_Placeholder,0)))),BS103&gt;=3,TRIM(AE103)&lt;&gt;TRIM(T103),AX103&lt;&gt;AU103,CE103=0),"N/A – JUSTIFIED","INVALID – N/A needs a real, settled reason (not 'not applicable' / 'as above' / TBC), a named PIC and a different named verifier"))),IF(OR(TRIM(U103)="Pass",TRIM(U103)="Pass after CA"),IF(NOT(ISNUMBER(AD103)),"INVALID – completion time missing",IF(OR(OR(LEN(AU103)&lt;2,ISNUMBER(MATCH(AU103,L_Placeholder,0))),BR103&lt;3),"INVALID – PIC missing or not a named person (a role such as QA / CSM is not a name)",IF(OR(LEN(AV103)&lt;2,ISNUMBER(MATCH(AV103,L_Placeholder,0))),"INVALID – result / assessment missing",IF(OR(OR(LEN(AW103)&lt;3,ISNUMBER(MATCH(AW103,L_Placeholder,0))),SUMPRODUCT(--ISNUMBER(SEARCH(" "&amp;L_EvidencePhrase&amp;" ",BD103)))&gt;0,BI103=1),"INVALID – evidence missing, placeholder or not yet on file",IF(ISNA(MATCH(TRIM(S103),L_EvidenceType,0)),"INVALID – choose the evidence type from the list (column S)",IF(BL103=0,"INVALID – evidence ID must be the record's own ID only (e.g. SF-2210, IMG_2231, 1045521); a link / file name needs type 'Link / file path'",IF(OR(OR(LEN(AX103)&lt;2,ISNUMBER(MATCH(AX103,L_Placeholder,0))),BS103&lt;3),"INVALID – verifier missing or not a named person (a role such as QA / CSM is not a name)",IF(OR(AX103=AU103,CE103=1,AND(LEN(AU103)&gt;=4,ISNUMBER(SEARCH(AU103,AX103))),AND(LEN(AX103)&gt;=4,ISNUMBER(SEARCH(AX103,AU103)))),"INVALID – verifier must be a different, named person (not the PIC or a role)",IF(BH103=1,"INVALID – result not yet available (awaiting / TBC)",IF(BG103=1,"INVALID – result describes a problem: record Fail, then Pass after CA (or reword if it is not a problem)",IF(BV103=1,"INVALID – wording says not on board: an on-board confirmation needs the item loaded",IF(AND(AQ103=1,OR(OR(LEN(AY103)&lt;3,ISNUMBER(MATCH(AY103,L_Placeholder,0))),BJ103=1,BQ103=0)),"INVALID – batch ID missing, placeholder or not an ID (e.g. PASB-261008-BC-017)",IF(AND(AR103=1,OR(NOT(ISNUMBER(X103)),NOT(ISNUMBER(Y103)))),"INVALID – expected/actual qty missing",IF(AND(AR103=1,OR(X103&lt;=0,Y103&lt;0)),"INVALID – expected qty must be above 0 and actual not negative",IF(BB103&lt;&gt;"",BB103,IF(AND(AS103=1,Documents!$J$8&lt;&gt;"ON FILE"),"INVALID – GLD not on file (Documents sheet)",IF(AND(AS103=2,Documents!$O$8&lt;&gt;"ON FILE"),"INVALID – menu checklist not on file (Documents sheet)",IF(AND(AS103=3,NOT(ISNUMBER(Flights!$AX$8))),"INVALID – enter carrying flight KUL departure (Flights AX)",IF(AND(AS103=3,OR(Flights!$AZ$8&gt;Flights!$AA$8,Flights!$AX$8&lt;Flights!$AA$8-3)),"INVALID – carrying flight (Flights AX) cannot arrive before this leg's STD, or is over 3 days early",IF(AG103&gt;AsOfUTC,"INVALID – completion time is in the future",IF(AND(ISNUMBER(BY103),AG103&lt;BY103),IF(H103="Physical uplift","INVALID – before uplift window (cannot confirm loading)","INVALID – before valid window"),IF(AG103&gt;Flights!$AA$8,"INVALID – completed after departure (cannot establish readiness)",IF(AND(H103="Preparation",AG103&gt;=IF(ISNUMBER(Flights!$BA$8),MIN(Flights!$BA$8,Flights!$AA$8),Flights!$AA$8)),"INVALID – completed after loading / departure (cannot establish readiness)",IF(AND(H103="Physical uplift",AG103&gt;Q103),"INVALID – recorded after the loading flight departed",IF(AG103&gt;Q103,"COMPLETE – LATE","COMPLETE"))))))))))))))))))))))))),IF(TRIM(U103)="Fail","FAIL – DISCREPANCY",IF(AND(TRIM(U103)&lt;&gt;"",TRIM(U103)&lt;&gt;"Not started",TRIM(U103)&lt;&gt;"In progress"),"INVALID – unrecognised status (use the list)",IF(AsOfUTC&gt;Q103,"OVERDUE",IF(N103="Clarification required","OPEN – CLARIFICATION","OPEN"))))))),"INVALID – error value in an input cell")</f>
        <v>OPEN</v>
      </c>
      <c r="AI103" s="61" t="n">
        <f aca="false">IF(OR(AH103="N/A – RULE",AH103="N/A – JUSTIFIED"),0,1)</f>
        <v>1</v>
      </c>
      <c r="AJ103" s="61" t="n">
        <f aca="false">IF(LEFT(AH103,8)="COMPLETE",1,0)</f>
        <v>0</v>
      </c>
      <c r="AK103" s="61" t="n">
        <f aca="false">IF(AND(AI103=1,AJ103=0,AsOfUTC&gt;Q103),1,0)</f>
        <v>0</v>
      </c>
      <c r="AL103" s="61" t="n">
        <f aca="false">IFERROR(IF(AND(AI103=1,OR(TRIM(U103)="Fail",AND(TRIM(AB103)&lt;&gt;"",TRIM(AB103)&lt;&gt;"Closed"),AND(ISNUMBER(AF103),AF103&lt;&gt;0,TRIM(U103)&lt;&gt;"Pass after CA"))),1,0),1)</f>
        <v>0</v>
      </c>
      <c r="AM103" s="61" t="n">
        <f aca="false">IF(LEFT(AH103,7)="INVALID",1,0)</f>
        <v>0</v>
      </c>
      <c r="AN103" s="61" t="n">
        <f aca="false">IF(AND(N103="Clarification required",AI103=1,AJ103=0),1,0)</f>
        <v>0</v>
      </c>
      <c r="AO103" s="61" t="str">
        <f aca="false">IF(AK103=1,SUM(AK$5:AK103),"")</f>
        <v/>
      </c>
      <c r="AP103" s="61" t="str">
        <f aca="false">IF(AL103=1,SUM(AL$5:AL103),"")</f>
        <v/>
      </c>
      <c r="AQ103" s="61" t="n">
        <v>0</v>
      </c>
      <c r="AR103" s="61" t="n">
        <v>0</v>
      </c>
      <c r="AS103" s="61" t="n">
        <v>0</v>
      </c>
      <c r="AT103" s="61" t="n">
        <v>0</v>
      </c>
      <c r="AU103" s="61" t="str">
        <f aca="false">SUBSTITUTE(SUBSTITUTE(SUBSTITUTE(SUBSTITUTE(SUBSTITUTE(SUBSTITUTE(SUBSTITUTE(SUBSTITUTE(SUBSTITUTE(SUBSTITUTE(SUBSTITUTE(SUBSTITUTE(SUBSTITUTE(SUBSTITUTE(SUBSTITUTE(SUBSTITUTE(LOWER(T103&amp;""),CHAR(10),""),CHAR(13),""),CHAR(9),""),CHAR(160),"")," ",""),".",""),"-",""),"/",""),"?",""),"_",""),",",""),"[",""),"]",""),"(",""),")",""),"*","")</f>
        <v/>
      </c>
      <c r="AV103" s="61" t="str">
        <f aca="false">SUBSTITUTE(SUBSTITUTE(SUBSTITUTE(SUBSTITUTE(SUBSTITUTE(SUBSTITUTE(SUBSTITUTE(SUBSTITUTE(SUBSTITUTE(SUBSTITUTE(SUBSTITUTE(SUBSTITUTE(SUBSTITUTE(SUBSTITUTE(SUBSTITUTE(SUBSTITUTE(LOWER(V103&amp;""),CHAR(10),""),CHAR(13),""),CHAR(9),""),CHAR(160),"")," ",""),".",""),"-",""),"/",""),"?",""),"_",""),",",""),"[",""),"]",""),"(",""),")",""),"*","")</f>
        <v/>
      </c>
      <c r="AW103" s="61" t="str">
        <f aca="false">SUBSTITUTE(SUBSTITUTE(SUBSTITUTE(SUBSTITUTE(SUBSTITUTE(SUBSTITUTE(SUBSTITUTE(SUBSTITUTE(SUBSTITUTE(SUBSTITUTE(SUBSTITUTE(SUBSTITUTE(SUBSTITUTE(SUBSTITUTE(SUBSTITUTE(SUBSTITUTE(LOWER(Z103&amp;""),CHAR(10),""),CHAR(13),""),CHAR(9),""),CHAR(160),"")," ",""),".",""),"-",""),"/",""),"?",""),"_",""),",",""),"[",""),"]",""),"(",""),")",""),"*","")</f>
        <v/>
      </c>
      <c r="AX103" s="61" t="str">
        <f aca="false">SUBSTITUTE(SUBSTITUTE(SUBSTITUTE(SUBSTITUTE(SUBSTITUTE(SUBSTITUTE(SUBSTITUTE(SUBSTITUTE(SUBSTITUTE(SUBSTITUTE(SUBSTITUTE(SUBSTITUTE(SUBSTITUTE(SUBSTITUTE(SUBSTITUTE(SUBSTITUTE(LOWER(AE103&amp;""),CHAR(10),""),CHAR(13),""),CHAR(9),""),CHAR(160),"")," ",""),".",""),"-",""),"/",""),"?",""),"_",""),",",""),"[",""),"]",""),"(",""),")",""),"*","")</f>
        <v/>
      </c>
      <c r="AY103" s="61" t="str">
        <f aca="false">SUBSTITUTE(SUBSTITUTE(SUBSTITUTE(SUBSTITUTE(SUBSTITUTE(SUBSTITUTE(SUBSTITUTE(SUBSTITUTE(SUBSTITUTE(SUBSTITUTE(SUBSTITUTE(SUBSTITUTE(SUBSTITUTE(SUBSTITUTE(SUBSTITUTE(SUBSTITUTE(LOWER(W103&amp;""),CHAR(10),""),CHAR(13),""),CHAR(9),""),CHAR(160),"")," ",""),".",""),"-",""),"/",""),"?",""),"_",""),",",""),"[",""),"]",""),"(",""),")",""),"*","")</f>
        <v/>
      </c>
      <c r="AZ103" s="61" t="str">
        <f aca="false">SUBSTITUTE(SUBSTITUTE(SUBSTITUTE(SUBSTITUTE(SUBSTITUTE(SUBSTITUTE(SUBSTITUTE(SUBSTITUTE(SUBSTITUTE(SUBSTITUTE(SUBSTITUTE(SUBSTITUTE(SUBSTITUTE(SUBSTITUTE(SUBSTITUTE(SUBSTITUTE(LOWER(AC103&amp;""),CHAR(10),""),CHAR(13),""),CHAR(9),""),CHAR(160),"")," ",""),".",""),"-",""),"/",""),"?",""),"_",""),",",""),"[",""),"]",""),"(",""),")",""),"*","")</f>
        <v/>
      </c>
      <c r="BA103" s="61" t="str">
        <f aca="false">SUBSTITUTE(SUBSTITUTE(SUBSTITUTE(SUBSTITUTE(SUBSTITUTE(SUBSTITUTE(SUBSTITUTE(SUBSTITUTE(SUBSTITUTE(SUBSTITUTE(SUBSTITUTE(SUBSTITUTE(SUBSTITUTE(SUBSTITUTE(SUBSTITUTE(SUBSTITUTE(LOWER(AA103&amp;""),CHAR(10),""),CHAR(13),""),CHAR(9),""),CHAR(160),"")," ",""),".",""),"-",""),"/",""),"?",""),"_",""),",",""),"[",""),"]",""),"(",""),")",""),"*","")</f>
        <v/>
      </c>
      <c r="BB103" s="61" t="str">
        <f aca="false">IF(AND(TRIM(U103)="Pass",ISNUMBER(AF103)),IF(AF103&lt;&gt;0,"INVALID – qty variance: use Fail or Pass after CA",""),"")&amp;IF(AND(TRIM(U103)="Pass after CA",ISNUMBER(AF103)),IF(AF103&lt;&gt;0,"INVALID – after the corrective action the actual qty must equal expected (update Actual)",""),"")&amp;IF(AND(TRIM(U103)="Pass",TRIM(AB103)&lt;&gt;"",TRIM(AB103)&lt;&gt;"Closed"),"INVALID – corrective action not closed: use Fail, then Pass after CA","")&amp;IF(AND(LEN(BA103)&gt;=2,ISNA(MATCH(LEFT(BA103,255),L_Placeholder,0)),TRIM(AB103)=""),"INVALID – CA status missing for the recorded corrective action","")&amp;IF(AND(TRIM(U103)="Pass after CA",OR(OR(LEN(BA103)&lt;5,ISNUMBER(MATCH(BA103,L_Placeholder,0))),TRIM(AB103)&lt;&gt;"Closed")),"INVALID – corrective action not recorded/closed","")</f>
        <v/>
      </c>
      <c r="BC103" s="61" t="str">
        <f aca="false">" "&amp;TRIM(SUBSTITUTE(SUBSTITUTE(SUBSTITUTE(SUBSTITUTE(SUBSTITUTE(SUBSTITUTE(SUBSTITUTE(SUBSTITUTE(SUBSTITUTE(SUBSTITUTE(SUBSTITUTE(SUBSTITUTE(SUBSTITUTE(SUBSTITUTE(SUBSTITUTE(SUBSTITUTE(SUBSTITUTE(SUBSTITUTE(SUBSTITUTE(SUBSTITUTE(SUBSTITUTE(SUBSTITUTE(SUBSTITUTE(SUBSTITUTE(LOWER(V103&amp;""),CHAR(10)," "),CHAR(13)," "),CHAR(9)," "),CHAR(160)," "),"."," "),","," "),"-"," "),"/"," "),"("," "),")"," "),":"," "),";"," "),"_"," "),"–"," "),"?"," "),"!"," "),"*"," "),"["," "),"]"," "),"'"," "),"#"," "),"+"," "),"&amp;"," "),"\"," "))&amp;" "</f>
        <v>  </v>
      </c>
      <c r="BD103" s="61" t="str">
        <f aca="false">" "&amp;TRIM(SUBSTITUTE(SUBSTITUTE(SUBSTITUTE(SUBSTITUTE(SUBSTITUTE(SUBSTITUTE(SUBSTITUTE(SUBSTITUTE(SUBSTITUTE(SUBSTITUTE(SUBSTITUTE(SUBSTITUTE(SUBSTITUTE(SUBSTITUTE(SUBSTITUTE(SUBSTITUTE(SUBSTITUTE(SUBSTITUTE(SUBSTITUTE(SUBSTITUTE(SUBSTITUTE(SUBSTITUTE(SUBSTITUTE(SUBSTITUTE(LOWER(Z103&amp;""),CHAR(10)," "),CHAR(13)," "),CHAR(9)," "),CHAR(160)," "),"."," "),","," "),"-"," "),"/"," "),"("," "),")"," "),":"," "),";"," "),"_"," "),"–"," "),"?"," "),"!"," "),"*"," "),"["," "),"]"," "),"'"," "),"#"," "),"+"," "),"&amp;"," "),"\"," "))&amp;" "</f>
        <v>  </v>
      </c>
      <c r="BE103" s="61" t="str">
        <f aca="false">" "&amp;TRIM(SUBSTITUTE(SUBSTITUTE(SUBSTITUTE(SUBSTITUTE(SUBSTITUTE(SUBSTITUTE(SUBSTITUTE(SUBSTITUTE(SUBSTITUTE(SUBSTITUTE(SUBSTITUTE(SUBSTITUTE(SUBSTITUTE(SUBSTITUTE(SUBSTITUTE(SUBSTITUTE(SUBSTITUTE(SUBSTITUTE(SUBSTITUTE(SUBSTITUTE(SUBSTITUTE(SUBSTITUTE(SUBSTITUTE(SUBSTITUTE(LOWER(W103&amp;""),CHAR(10)," "),CHAR(13)," "),CHAR(9)," "),CHAR(160)," "),"."," "),","," "),"-"," "),"/"," "),"("," "),")"," "),":"," "),";"," "),"_"," "),"–"," "),"?"," "),"!"," "),"*"," "),"["," "),"]"," "),"'"," "),"#"," "),"+"," "),"&amp;"," "),"\"," "))&amp;" "</f>
        <v>  </v>
      </c>
      <c r="BF103" s="61" t="str">
        <f aca="false">" "&amp;TRIM(SUBSTITUTE(SUBSTITUTE(SUBSTITUTE(SUBSTITUTE(SUBSTITUTE(SUBSTITUTE(SUBSTITUTE(SUBSTITUTE(SUBSTITUTE(SUBSTITUTE(SUBSTITUTE(SUBSTITUTE(SUBSTITUTE(SUBSTITUTE(SUBSTITUTE(SUBSTITUTE(SUBSTITUTE(SUBSTITUTE(SUBSTITUTE(SUBSTITUTE(SUBSTITUTE(SUBSTITUTE(SUBSTITUTE(SUBSTITUTE(LOWER(AC103&amp;""),CHAR(10)," "),CHAR(13)," "),CHAR(9)," "),CHAR(160)," "),"."," "),","," "),"-"," "),"/"," "),"("," "),")"," "),":"," "),";"," "),"_"," "),"–"," "),"?"," "),"!"," "),"*"," "),"["," "),"]"," "),"'"," "),"#"," "),"+"," "),"&amp;"," "),"\"," "))&amp;" "</f>
        <v>  </v>
      </c>
      <c r="BG103" s="61" t="n">
        <f aca="false">IFERROR(IF(AND(TRIM(U103)="Pass",SUMPRODUCT((LEN(BC103)-LEN(SUBSTITUTE(BC103," "&amp;L_ResultBad&amp;" "," ")))/(LEN(L_ResultBad)+1))&gt;SUMPRODUCT((LEN(BC103)-LEN(SUBSTITUTE(BC103," "&amp;L_NegPhrase&amp;" "," ")))/(LEN(L_NegPhrase)+1))),1,0),0)</f>
        <v>0</v>
      </c>
      <c r="BH103" s="61" t="n">
        <f aca="false">IFERROR(IF(SUMPRODUCT((LEN(BC103)-LEN(SUBSTITUTE(BC103," "&amp;L_Pending&amp;" "," ")))/(LEN(L_Pending)+1))&gt;SUMPRODUCT((LEN(BC103)-LEN(SUBSTITUTE(BC103," "&amp;L_PendNeg&amp;" "," ")))/(LEN(L_PendNeg)+1))+SUMPRODUCT((LEN(BC103)-LEN(SUBSTITUTE(BC103," "&amp;L_PendPrep&amp;" "," ")))/(LEN(L_PendPrep)+1)),1,0),1)</f>
        <v>0</v>
      </c>
      <c r="BI103" s="61" t="n">
        <f aca="false">IFERROR(IF(SUMPRODUCT((LEN(BD103)-LEN(SUBSTITUTE(BD103," "&amp;L_PendStrict&amp;" "," ")))/(LEN(L_PendStrict)+1))&gt;SUMPRODUCT((LEN(BD103)-LEN(SUBSTITUTE(BD103," "&amp;L_PendNeg&amp;" "," ")))/(LEN(L_PendNeg)+1)),1,0),1)</f>
        <v>0</v>
      </c>
      <c r="BJ103" s="61" t="n">
        <f aca="false">IFERROR(IF(SUMPRODUCT((LEN(BE103)-LEN(SUBSTITUTE(BE103," "&amp;L_Pending&amp;" "," ")))/(LEN(L_Pending)+1))&gt;SUMPRODUCT((LEN(BE103)-LEN(SUBSTITUTE(BE103," "&amp;L_PendNeg&amp;" "," ")))/(LEN(L_PendNeg)+1))+SUMPRODUCT((LEN(BE103)-LEN(SUBSTITUTE(BE103," "&amp;L_PendPrep&amp;" "," ")))/(LEN(L_PendPrep)+1)),1,0),1)</f>
        <v>0</v>
      </c>
      <c r="BK103" s="61" t="n">
        <f aca="false">IFERROR(IF(SUMPRODUCT((LEN(BF103)-LEN(SUBSTITUTE(BF103," "&amp;L_PendStrict&amp;" "," ")))/(LEN(L_PendStrict)+1))&gt;SUMPRODUCT((LEN(BF103)-LEN(SUBSTITUTE(BF103," "&amp;L_PendNeg&amp;" "," ")))/(LEN(L_PendNeg)+1)),1,0),1)</f>
        <v>0</v>
      </c>
      <c r="BL103" s="61" t="n">
        <f aca="false">IF(ISNA(MATCH(TRIM(S103),L_EvidenceType,0)),0,BZ103)</f>
        <v>0</v>
      </c>
      <c r="BM103" s="61" t="str">
        <f aca="false">SUBSTITUTE(SUBSTITUTE(SUBSTITUTE(SUBSTITUTE(SUBSTITUTE(SUBSTITUTE(SUBSTITUTE(SUBSTITUTE(SUBSTITUTE(LOWER(Z103&amp;""),"1","0"),"2","0"),"3","0"),"4","0"),"5","0"),"6","0"),"7","0"),"8","0"),"9","0")</f>
        <v/>
      </c>
      <c r="BN103" s="61" t="str">
        <f aca="false">SUBSTITUTE(SUBSTITUTE(SUBSTITUTE(SUBSTITUTE(SUBSTITUTE(SUBSTITUTE(SUBSTITUTE(SUBSTITUTE(SUBSTITUTE(SUBSTITUTE(SUBSTITUTE(SUBSTITUTE(SUBSTITUTE(SUBSTITUTE(SUBSTITUTE(SUBSTITUTE(SUBSTITUTE(SUBSTITUTE(SUBSTITUTE(SUBSTITUTE(SUBSTITUTE(SUBSTITUTE(SUBSTITUTE(SUBSTITUTE(SUBSTITUTE(BM103,"b","a"),"c","a"),"d","a"),"e","a"),"f","a"),"g","a"),"h","a"),"i","a"),"j","a"),"k","a"),"l","a"),"m","a"),"n","a"),"o","a"),"p","a"),"q","a"),"r","a"),"s","a"),"t","a"),"u","a"),"v","a"),"w","a"),"x","a"),"y","a"),"z","a")</f>
        <v/>
      </c>
      <c r="BO103" s="61" t="str">
        <f aca="false">SUBSTITUTE(SUBSTITUTE(SUBSTITUTE(SUBSTITUTE(SUBSTITUTE(SUBSTITUTE(SUBSTITUTE(SUBSTITUTE(SUBSTITUTE(LOWER(W103&amp;""),"1","0"),"2","0"),"3","0"),"4","0"),"5","0"),"6","0"),"7","0"),"8","0"),"9","0")</f>
        <v/>
      </c>
      <c r="BP103" s="61" t="str">
        <f aca="false">SUBSTITUTE(SUBSTITUTE(SUBSTITUTE(SUBSTITUTE(SUBSTITUTE(SUBSTITUTE(SUBSTITUTE(SUBSTITUTE(SUBSTITUTE(SUBSTITUTE(SUBSTITUTE(SUBSTITUTE(SUBSTITUTE(SUBSTITUTE(SUBSTITUTE(SUBSTITUTE(SUBSTITUTE(SUBSTITUTE(SUBSTITUTE(SUBSTITUTE(SUBSTITUTE(SUBSTITUTE(SUBSTITUTE(SUBSTITUTE(SUBSTITUTE(BO103,"b","a"),"c","a"),"d","a"),"e","a"),"f","a"),"g","a"),"h","a"),"i","a"),"j","a"),"k","a"),"l","a"),"m","a"),"n","a"),"o","a"),"p","a"),"q","a"),"r","a"),"s","a"),"t","a"),"u","a"),"v","a"),"w","a"),"x","a"),"y","a"),"z","a")</f>
        <v/>
      </c>
      <c r="BQ103" s="61" t="n">
        <f aca="false">IFERROR(IF(AND(ISERROR(SEARCH(" mh"," "&amp;LOWER(W103))),ISNA(MATCH(LEFT(TRIM(BP103),255),{"0000a","000a","00a","0000aa","000aa","00aa","0aa","0000aaa","000aaa","00a00","0a00","0000-0000","00:00","a00","a0","00.00.0000","00/00/0000","00-00-0000","0000-00-00","0000/00/00","0000.00.00","00.00.00","00/00/00","00-00-00","0.00.0000","0/00/0000","0-00-0000"},0)),ISNA(MATCH(LEFT(TRIM(CA103),255),{"0000a","000a","00a","0000aa","000aa","00aa","0aa","0000aaa","000aaa","00a00","0a00","0000-0000","00:00","a00","a0","00.00.0000","00/00/0000","00-00-0000","0000-00-00","0000/00/00","0000.00.00","00.00.00","00/00/00","00-00-00","0.00.0000","0/00/0000","0-00-0000"},0)),LEN(CB103)&gt;=3,NOT(OR(SUBSTITUTE(CB103,"0","")="",AND(LEN(CB103)&gt;=4,CB103=REPT(LEFT(CB103),LEN(CB103))),ISNUMBER(MATCH(CB103,{"123","1234","12345","123456","1234567","12345678","0123","01234","012345","98765","987654","54321"},0)),AND(LEN(CB103)=8,LEFT(CB103,3)="202"))),OR(AND((LEN(CA103)-LEN(SUBSTITUTE(CA103,"a","")))&gt;=1,SUMPRODUCT(--ISNUMBER(SEARCH({"a0","a-0","a_0","a/0","a.0","a#0","0a","0-a","0_a","0/a"},BP103)))&gt;0),ISNUMBER(SEARCH("000000",BP103)))),1,0),0)</f>
        <v>0</v>
      </c>
      <c r="BR103" s="61" t="n">
        <f aca="false">IFERROR(LEN(SUBSTITUTE(CC103," ",""))-SUMPRODUCT((LEN(CC103)-LEN(SUBSTITUTE(CC103," "&amp;L_Role&amp;" "," ")))/(LEN(L_Role)+1)*LEN(L_Role)),0)</f>
        <v>0</v>
      </c>
      <c r="BS103" s="61" t="n">
        <f aca="false">IFERROR(LEN(SUBSTITUTE(CD103," ",""))-SUMPRODUCT((LEN(CD103)-LEN(SUBSTITUTE(CD103," "&amp;L_Role&amp;" "," ")))/(LEN(L_Role)+1)*LEN(L_Role)),0)</f>
        <v>0</v>
      </c>
      <c r="BT1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103,"revision",""),"version",""),"jan",""),"feb",""),"mar",""),"apr",""),"may",""),"jun",""),"jul",""),"aug",""),"sep",""),"oct",""),"nov",""),"dec",""),"utc",""),"gmt",""),"myt",""),"bst",""),"rev",""),"ver",""),"b","a"),"c","a"),"d","a"),"e","a"),"f","a"),"g","a"),"h","a"),"i","a"),"j","a"),"k","a"),"l","a"),"m","a"),"n","a"),"o","a"),"p","a"),"q","a"),"r","a"),"s","a"),"t","a"),"u","a"),"v","a"),"w","a"),"x","a"),"y","a"),"z","a")</f>
        <v/>
      </c>
      <c r="BU103" s="61" t="str">
        <f aca="false">SUBSTITUTE(SUBSTITUTE(SUBSTITUTE(SUBSTITUTE(SUBSTITUTE(SUBSTITUTE(SUBSTITUTE(SUBSTITUTE(SUBSTITUTE(SUBSTITUTE(LEFT(BM103,FIND("0",BM103&amp;"0")-1),"-",""),"_",""),"/",""),".",""),"#",""),"\\",""),":","")," ",""),"(",""),")","")</f>
        <v/>
      </c>
      <c r="BV103" s="61" t="n">
        <f aca="false">0</f>
        <v>0</v>
      </c>
      <c r="BW1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103&amp;""),"a",""),"b",""),"c",""),"d",""),"e",""),"f",""),"g",""),"h",""),"i",""),"j",""),"k",""),"l",""),"m",""),"n",""),"o",""),"p",""),"q",""),"r",""),"s",""),"t",""),"u",""),"v",""),"w",""),"x",""),"y",""),"z",""),"-",""),"_",""),"/",""),".",""),"#",""),"\\",""),":","")," ",""),"(",""),")","")</f>
        <v/>
      </c>
      <c r="BX103" s="61" t="str">
        <f aca="false">SUBSTITUTE(SUBSTITUTE(SUBSTITUTE(SUBSTITUTE(SUBSTITUTE(SUBSTITUTE(SUBSTITUTE(SUBSTITUTE(SUBSTITUTE(SUBSTITUTE(SUBSTITUTE(BM103,"0",""),"-",""),"_",""),"/",""),".",""),"#",""),"\\",""),":","")," ",""),"(",""),")","")</f>
        <v/>
      </c>
      <c r="BY103" s="62" t="n">
        <f aca="false">Q103-T12EarlyH/24</f>
        <v>46304.6458333333</v>
      </c>
      <c r="BZ103" s="61" t="n">
        <f aca="false">IFERROR(IF(IF(TRIM(S103)="Link / file path",AND(LEN(TRIM(Z103))&gt;=5,SUMPRODUCT(--ISNUMBER(SEARCH({"http","www.","\\",":\",".pdf",".jpg",".jpeg",".png",".heic",".xls",".doc",".msg",".eml",".ppt",".txt",".zip"},Z103)))&gt;0),AND(ISERROR(FIND(" ",TRIM(Z103))),NOT(OR(SUMPRODUCT(--ISNUMBER(FIND({",",";","&amp;","+"},Z103)))&gt;0,SUMPRODUCT(--ISNUMBER(SEARCH({"0/aa","0\\aa"},BN103)))&gt;0)),NOT(SUMPRODUCT(--ISNUMBER(SEARCH({"http","www.","\\",":\",".pdf",".jpg",".jpeg",".png",".heic",".xls",".doc",".msg",".eml",".ppt",".txt",".zip"},Z103)))&gt;0),NOT(LOWER(TRIM(Z103))=LOWER(Flights!$F$8)),ISNA(MATCH(BU103,{"mh","rev","revision","ver","version","v","r","a","b","seat","tray","row","gate","bay","stand","page","pg","item","line","no","cart","galley","flight","flt","table","box","bag","oven","etd","eta","std","sta","atd","ata","qty","pax","x","time","tel","ph","mob","day","wk","week","utc","gmt","myt","lt"},0)),NOT(OR(ISNUMBER(MATCH(LEFT(BN103,255),{"0000a","000a","00a","0000aa","000aa","00aa","0aa","0000aaa","000aaa","00a00","0a00","0000-0000","00:00","a00","a0","00.00.0000","00/00/0000","00-00-0000","0000-00-00","0000/00/00","0000.00.00","00.00.00","00/00/00","00-00-00","0.00.0000","0/00/0000","0-00-0000"},0)),ISNUMBER(MATCH(LEFT(BT103,255),{"0000a","000a","00a","0000aa","000aa","00aa","0aa","0000aaa","000aaa","00a00","0a00","0000-0000","00:00","a00","a0","00.00.0000","00/00/0000","00-00-0000","0000-00-00","0000/00/00","0000.00.00","00.00.00","00/00/00","00-00-00","0.00.0000","0/00/0000","0-00-0000"},0)))),NOT(OR(AND(BW103&lt;&gt;"",SUBSTITUTE(BW103,"0","")=""),AND(LEN(BW103)&gt;=4,BW103=REPT(LEFT(BW103),LEN(BW103))),ISNUMBER(MATCH(BW103,{"123","1234","12345","123456","1234567","12345678","0123","01234","012345","98765","987654","54321"},0)),ISNUMBER(MATCH(BX103,{"x","xx","xxx","xxxx","xxxxx","abc","abcd","nil","na","nan","test","tbc","tba","tbd","dummy","sample","example","eg","zz","zzz","none","null","xyz","qwe","asd","id","ref"},0)),AND(LEN(BW103)=8,BX103="",OR(LEFT(BW103,3)="202",ISNUMBER(MATCH(RIGHT(BW103,4),{"2025","2026","2027"},0)))))),OR(AND((LEN(BT103)-LEN(SUBSTITUTE(BT103,"a","")))&gt;=1,(LEN(BN103)-LEN(SUBSTITUTE(BN103,"0","")))&gt;=2,SUMPRODUCT(--ISNUMBER(SEARCH({"a0","a-0","a_0","a/0","a.0","a#0","0a","0-a","0_a","0/a"},BN103)))&gt;0),AND((LEN(BN103)-LEN(SUBSTITUTE(BN103,"a","")))=0,(LEN(BN103)-LEN(SUBSTITUTE(BN103,"0","")))&gt;=5)))),1,0),0)</f>
        <v>0</v>
      </c>
      <c r="CA1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103,"revision",""),"version",""),"jan",""),"feb",""),"mar",""),"apr",""),"may",""),"jun",""),"jul",""),"aug",""),"sep",""),"oct",""),"nov",""),"dec",""),"utc",""),"gmt",""),"myt",""),"bst",""),"rev",""),"ver",""),"b","a"),"c","a"),"d","a"),"e","a"),"f","a"),"g","a"),"h","a"),"i","a"),"j","a"),"k","a"),"l","a"),"m","a"),"n","a"),"o","a"),"p","a"),"q","a"),"r","a"),"s","a"),"t","a"),"u","a"),"v","a"),"w","a"),"x","a"),"y","a"),"z","a")</f>
        <v/>
      </c>
      <c r="CB1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103&amp;""),"a",""),"b",""),"c",""),"d",""),"e",""),"f",""),"g",""),"h",""),"i",""),"j",""),"k",""),"l",""),"m",""),"n",""),"o",""),"p",""),"q",""),"r",""),"s",""),"t",""),"u",""),"v",""),"w",""),"x",""),"y",""),"z",""),"-",""),"_",""),"/",""),".",""),"#",""),"\\",""),":","")," ",""),"(",""),")","")</f>
        <v/>
      </c>
      <c r="CC103" s="0" t="str">
        <f aca="false">" "&amp;TRIM(SUBSTITUTE(SUBSTITUTE(SUBSTITUTE(SUBSTITUTE(SUBSTITUTE(SUBSTITUTE(SUBSTITUTE(SUBSTITUTE(SUBSTITUTE(SUBSTITUTE(SUBSTITUTE(SUBSTITUTE(SUBSTITUTE(SUBSTITUTE(SUBSTITUTE(SUBSTITUTE(SUBSTITUTE(SUBSTITUTE(SUBSTITUTE(SUBSTITUTE(SUBSTITUTE(SUBSTITUTE(SUBSTITUTE(SUBSTITUTE(LOWER(T103&amp;""),CHAR(10)," "),CHAR(13)," "),CHAR(9)," "),CHAR(160)," "),"."," "),","," "),"-"," "),"/"," "),"("," "),")"," "),":"," "),";"," "),"_"," "),"–"," "),"?"," "),"!"," "),"*"," "),"["," "),"]"," "),"'"," "),"#"," "),"+"," "),"&amp;"," "),"\"," "))&amp;" "</f>
        <v>  </v>
      </c>
      <c r="CD103" s="0" t="str">
        <f aca="false">" "&amp;TRIM(SUBSTITUTE(SUBSTITUTE(SUBSTITUTE(SUBSTITUTE(SUBSTITUTE(SUBSTITUTE(SUBSTITUTE(SUBSTITUTE(SUBSTITUTE(SUBSTITUTE(SUBSTITUTE(SUBSTITUTE(SUBSTITUTE(SUBSTITUTE(SUBSTITUTE(SUBSTITUTE(SUBSTITUTE(SUBSTITUTE(SUBSTITUTE(SUBSTITUTE(SUBSTITUTE(SUBSTITUTE(SUBSTITUTE(SUBSTITUTE(LOWER(AE103&amp;""),CHAR(10)," "),CHAR(13)," "),CHAR(9)," "),CHAR(160)," "),"."," "),","," "),"-"," "),"/"," "),"("," "),")"," "),":"," "),";"," "),"_"," "),"–"," "),"?"," "),"!"," "),"*"," "),"["," "),"]"," "),"'"," "),"#"," "),"+"," "),"&amp;"," "),"\"," "))&amp;" "</f>
        <v>  </v>
      </c>
      <c r="CE103" s="68" t="n">
        <f aca="false">IFERROR(IF(AND(LEN(AU103)&gt;0,LEN(AU103)=LEN(AX103),OR(TRIM(MID(SUBSTITUTE(TRIM(CC103)," ",REPT(" ",60)),1,60))="",ISNUMBER(SEARCH(" "&amp;TRIM(MID(SUBSTITUTE(TRIM(CC103)," ",REPT(" ",60)),1,60))&amp;" ",CD103))),OR(TRIM(MID(SUBSTITUTE(TRIM(CC103)," ",REPT(" ",60)),61,60))="",ISNUMBER(SEARCH(" "&amp;TRIM(MID(SUBSTITUTE(TRIM(CC103)," ",REPT(" ",60)),61,60))&amp;" ",CD103))),OR(TRIM(MID(SUBSTITUTE(TRIM(CC103)," ",REPT(" ",60)),121,60))="",ISNUMBER(SEARCH(" "&amp;TRIM(MID(SUBSTITUTE(TRIM(CC103)," ",REPT(" ",60)),121,60))&amp;" ",CD103)))),1,0),0)</f>
        <v>0</v>
      </c>
      <c r="CG103" s="68" t="n">
        <f aca="false">IFERROR(LEN(SUBSTITUTE(BF103," ",""))-SUMPRODUCT((LEN(BF103)-LEN(SUBSTITUTE(BF103," "&amp;L_NAFiller&amp;" "," ")))/(LEN(L_NAFiller)+1)*LEN(L_NAFiller)),0)</f>
        <v>0</v>
      </c>
    </row>
    <row r="104" customFormat="false" ht="39.75" hidden="false" customHeight="true" outlineLevel="0" collapsed="false">
      <c r="A104" s="57" t="s">
        <v>597</v>
      </c>
      <c r="B104" s="57" t="s">
        <v>218</v>
      </c>
      <c r="C104" s="57" t="str">
        <f aca="false">Flights!$F$8</f>
        <v>MH0088</v>
      </c>
      <c r="D104" s="58" t="n">
        <f aca="false">Flights!$D$8</f>
        <v>46305</v>
      </c>
      <c r="E104" s="57" t="str">
        <f aca="false">Flights!$G$8&amp;"-"&amp;Flights!$H$8</f>
        <v>KUL-NRT</v>
      </c>
      <c r="F104" s="57" t="str">
        <f aca="false">Flights!$K$8</f>
        <v>BC</v>
      </c>
      <c r="G104" s="57" t="s">
        <v>420</v>
      </c>
      <c r="H104" s="57" t="s">
        <v>378</v>
      </c>
      <c r="I104" s="57" t="s">
        <v>428</v>
      </c>
      <c r="J104" s="57" t="s">
        <v>433</v>
      </c>
      <c r="K104" s="67"/>
      <c r="L104" s="67" t="s">
        <v>422</v>
      </c>
      <c r="M104" s="67"/>
      <c r="N104" s="67" t="s">
        <v>383</v>
      </c>
      <c r="O104" s="67" t="s">
        <v>423</v>
      </c>
      <c r="P104" s="57" t="s">
        <v>187</v>
      </c>
      <c r="Q104" s="59" t="n">
        <f aca="false">ROUND((Flights!$AE$8)*1440,0)/1440</f>
        <v>46305.1458333333</v>
      </c>
      <c r="R104" s="59" t="n">
        <f aca="false">Q104+(IF(AND(INDEX(TZ_DSTS,MATCH(P104,TZ_STN,0))&lt;&gt;"",Q104&gt;=INDEX(TZ_DSTS,MATCH(P104,TZ_STN,0)),Q104&lt;INDEX(TZ_DSTE,MATCH(P104,TZ_STN,0))),INDEX(TZ_DST,MATCH(P104,TZ_STN,0)),INDEX(TZ_STD,MATCH(P104,TZ_STN,0))))/24</f>
        <v>46305.4791666667</v>
      </c>
      <c r="S104" s="60"/>
      <c r="T104" s="60"/>
      <c r="U104" s="60"/>
      <c r="V104" s="60"/>
      <c r="W104" s="61"/>
      <c r="X104" s="60"/>
      <c r="Y104" s="60"/>
      <c r="Z104" s="60"/>
      <c r="AA104" s="60"/>
      <c r="AB104" s="60"/>
      <c r="AC104" s="60"/>
      <c r="AD104" s="66"/>
      <c r="AE104" s="60"/>
      <c r="AF104" s="61" t="str">
        <f aca="false">IF(AND(ISNUMBER(X104),ISNUMBER(Y104)),Y104-X104,"")</f>
        <v/>
      </c>
      <c r="AG104" s="62" t="str">
        <f aca="false">IF(ISNUMBER(AD104),AD104-(IF(AND(INDEX(TZ_DSTS,MATCH(P104,TZ_STN,0))&lt;&gt;"",(AD104-INDEX(TZ_STD,MATCH(P104,TZ_STN,0))/24)&gt;=INDEX(TZ_DSTS,MATCH(P104,TZ_STN,0)),(AD104-INDEX(TZ_STD,MATCH(P104,TZ_STN,0))/24)&lt;INDEX(TZ_DSTE,MATCH(P104,TZ_STN,0))),INDEX(TZ_DST,MATCH(P104,TZ_STN,0)),INDEX(TZ_STD,MATCH(P104,TZ_STN,0))))/24,"")</f>
        <v/>
      </c>
      <c r="AH104" s="65" t="str">
        <f aca="false">IFERROR(IF(N104="N/A – rule",IF(OR(TRIM(U104)="",TRIM(U104)="N/A",TRIM(U104)="Not started"),"N/A – RULE","INVALID – this check does not apply to this aircraft: clear the status (or correct the fleet on Flights)"),IF(TRIM(U104)="N/A",IF(AT104=0,"INVALID – N/A not permitted for this check",IF(AND(TRIM(AB104)&lt;&gt;"",TRIM(AB104)&lt;&gt;"Closed"),"INVALID – corrective action still open",IF(AND(NOT(OR(LEN(AZ104)&lt;15,ISNUMBER(MATCH(AZ104,L_Placeholder,0)))),BK104=0,CG104&gt;=8,NOT(OR(LEN(AU104)&lt;2,ISNUMBER(MATCH(AU104,L_Placeholder,0)))),BR104&gt;=3,NOT(OR(LEN(AX104)&lt;2,ISNUMBER(MATCH(AX104,L_Placeholder,0)))),BS104&gt;=3,TRIM(AE104)&lt;&gt;TRIM(T104),AX104&lt;&gt;AU104,CE104=0),"N/A – JUSTIFIED","INVALID – N/A needs a real, settled reason (not 'not applicable' / 'as above' / TBC), a named PIC and a different named verifier"))),IF(OR(TRIM(U104)="Pass",TRIM(U104)="Pass after CA"),IF(NOT(ISNUMBER(AD104)),"INVALID – completion time missing",IF(OR(OR(LEN(AU104)&lt;2,ISNUMBER(MATCH(AU104,L_Placeholder,0))),BR104&lt;3),"INVALID – PIC missing or not a named person (a role such as QA / CSM is not a name)",IF(OR(LEN(AV104)&lt;2,ISNUMBER(MATCH(AV104,L_Placeholder,0))),"INVALID – result / assessment missing",IF(OR(OR(LEN(AW104)&lt;3,ISNUMBER(MATCH(AW104,L_Placeholder,0))),SUMPRODUCT(--ISNUMBER(SEARCH(" "&amp;L_EvidencePhrase&amp;" ",BD104)))&gt;0,BI104=1),"INVALID – evidence missing, placeholder or not yet on file",IF(ISNA(MATCH(TRIM(S104),L_EvidenceType,0)),"INVALID – choose the evidence type from the list (column S)",IF(BL104=0,"INVALID – evidence ID must be the record's own ID only (e.g. SF-2210, IMG_2231, 1045521); a link / file name needs type 'Link / file path'",IF(OR(OR(LEN(AX104)&lt;2,ISNUMBER(MATCH(AX104,L_Placeholder,0))),BS104&lt;3),"INVALID – verifier missing or not a named person (a role such as QA / CSM is not a name)",IF(OR(AX104=AU104,CE104=1,AND(LEN(AU104)&gt;=4,ISNUMBER(SEARCH(AU104,AX104))),AND(LEN(AX104)&gt;=4,ISNUMBER(SEARCH(AX104,AU104)))),"INVALID – verifier must be a different, named person (not the PIC or a role)",IF(BH104=1,"INVALID – result not yet available (awaiting / TBC)",IF(BG104=1,"INVALID – result describes a problem: record Fail, then Pass after CA (or reword if it is not a problem)",IF(BV104=1,"INVALID – wording says not on board: an on-board confirmation needs the item loaded",IF(AND(AQ104=1,OR(OR(LEN(AY104)&lt;3,ISNUMBER(MATCH(AY104,L_Placeholder,0))),BJ104=1,BQ104=0)),"INVALID – batch ID missing, placeholder or not an ID (e.g. PASB-261008-BC-017)",IF(AND(AR104=1,OR(NOT(ISNUMBER(X104)),NOT(ISNUMBER(Y104)))),"INVALID – expected/actual qty missing",IF(AND(AR104=1,OR(X104&lt;=0,Y104&lt;0)),"INVALID – expected qty must be above 0 and actual not negative",IF(BB104&lt;&gt;"",BB104,IF(AND(AS104=1,Documents!$J$8&lt;&gt;"ON FILE"),"INVALID – GLD not on file (Documents sheet)",IF(AND(AS104=2,Documents!$O$8&lt;&gt;"ON FILE"),"INVALID – menu checklist not on file (Documents sheet)",IF(AND(AS104=3,NOT(ISNUMBER(Flights!$AX$8))),"INVALID – enter carrying flight KUL departure (Flights AX)",IF(AND(AS104=3,OR(Flights!$AZ$8&gt;Flights!$AA$8,Flights!$AX$8&lt;Flights!$AA$8-3)),"INVALID – carrying flight (Flights AX) cannot arrive before this leg's STD, or is over 3 days early",IF(AG104&gt;AsOfUTC,"INVALID – completion time is in the future",IF(AND(ISNUMBER(BY104),AG104&lt;BY104),IF(H104="Physical uplift","INVALID – before uplift window (cannot confirm loading)","INVALID – before valid window"),IF(AG104&gt;Flights!$AA$8,"INVALID – completed after departure (cannot establish readiness)",IF(AND(H104="Preparation",AG104&gt;=IF(ISNUMBER(Flights!$BA$8),MIN(Flights!$BA$8,Flights!$AA$8),Flights!$AA$8)),"INVALID – completed after loading / departure (cannot establish readiness)",IF(AND(H104="Physical uplift",AG104&gt;Q104),"INVALID – recorded after the loading flight departed",IF(AG104&gt;Q104,"COMPLETE – LATE","COMPLETE"))))))))))))))))))))))))),IF(TRIM(U104)="Fail","FAIL – DISCREPANCY",IF(AND(TRIM(U104)&lt;&gt;"",TRIM(U104)&lt;&gt;"Not started",TRIM(U104)&lt;&gt;"In progress"),"INVALID – unrecognised status (use the list)",IF(AsOfUTC&gt;Q104,"OVERDUE",IF(N104="Clarification required","OPEN – CLARIFICATION","OPEN"))))))),"INVALID – error value in an input cell")</f>
        <v>OPEN</v>
      </c>
      <c r="AI104" s="61" t="n">
        <f aca="false">IF(OR(AH104="N/A – RULE",AH104="N/A – JUSTIFIED"),0,1)</f>
        <v>1</v>
      </c>
      <c r="AJ104" s="61" t="n">
        <f aca="false">IF(LEFT(AH104,8)="COMPLETE",1,0)</f>
        <v>0</v>
      </c>
      <c r="AK104" s="61" t="n">
        <f aca="false">IF(AND(AI104=1,AJ104=0,AsOfUTC&gt;Q104),1,0)</f>
        <v>0</v>
      </c>
      <c r="AL104" s="61" t="n">
        <f aca="false">IFERROR(IF(AND(AI104=1,OR(TRIM(U104)="Fail",AND(TRIM(AB104)&lt;&gt;"",TRIM(AB104)&lt;&gt;"Closed"),AND(ISNUMBER(AF104),AF104&lt;&gt;0,TRIM(U104)&lt;&gt;"Pass after CA"))),1,0),1)</f>
        <v>0</v>
      </c>
      <c r="AM104" s="61" t="n">
        <f aca="false">IF(LEFT(AH104,7)="INVALID",1,0)</f>
        <v>0</v>
      </c>
      <c r="AN104" s="61" t="n">
        <f aca="false">IF(AND(N104="Clarification required",AI104=1,AJ104=0),1,0)</f>
        <v>0</v>
      </c>
      <c r="AO104" s="61" t="str">
        <f aca="false">IF(AK104=1,SUM(AK$5:AK104),"")</f>
        <v/>
      </c>
      <c r="AP104" s="61" t="str">
        <f aca="false">IF(AL104=1,SUM(AL$5:AL104),"")</f>
        <v/>
      </c>
      <c r="AQ104" s="61" t="n">
        <v>0</v>
      </c>
      <c r="AR104" s="61" t="n">
        <v>0</v>
      </c>
      <c r="AS104" s="61" t="n">
        <v>0</v>
      </c>
      <c r="AT104" s="61" t="n">
        <v>0</v>
      </c>
      <c r="AU104" s="61" t="str">
        <f aca="false">SUBSTITUTE(SUBSTITUTE(SUBSTITUTE(SUBSTITUTE(SUBSTITUTE(SUBSTITUTE(SUBSTITUTE(SUBSTITUTE(SUBSTITUTE(SUBSTITUTE(SUBSTITUTE(SUBSTITUTE(SUBSTITUTE(SUBSTITUTE(SUBSTITUTE(SUBSTITUTE(LOWER(T104&amp;""),CHAR(10),""),CHAR(13),""),CHAR(9),""),CHAR(160),"")," ",""),".",""),"-",""),"/",""),"?",""),"_",""),",",""),"[",""),"]",""),"(",""),")",""),"*","")</f>
        <v/>
      </c>
      <c r="AV104" s="61" t="str">
        <f aca="false">SUBSTITUTE(SUBSTITUTE(SUBSTITUTE(SUBSTITUTE(SUBSTITUTE(SUBSTITUTE(SUBSTITUTE(SUBSTITUTE(SUBSTITUTE(SUBSTITUTE(SUBSTITUTE(SUBSTITUTE(SUBSTITUTE(SUBSTITUTE(SUBSTITUTE(SUBSTITUTE(LOWER(V104&amp;""),CHAR(10),""),CHAR(13),""),CHAR(9),""),CHAR(160),"")," ",""),".",""),"-",""),"/",""),"?",""),"_",""),",",""),"[",""),"]",""),"(",""),")",""),"*","")</f>
        <v/>
      </c>
      <c r="AW104" s="61" t="str">
        <f aca="false">SUBSTITUTE(SUBSTITUTE(SUBSTITUTE(SUBSTITUTE(SUBSTITUTE(SUBSTITUTE(SUBSTITUTE(SUBSTITUTE(SUBSTITUTE(SUBSTITUTE(SUBSTITUTE(SUBSTITUTE(SUBSTITUTE(SUBSTITUTE(SUBSTITUTE(SUBSTITUTE(LOWER(Z104&amp;""),CHAR(10),""),CHAR(13),""),CHAR(9),""),CHAR(160),"")," ",""),".",""),"-",""),"/",""),"?",""),"_",""),",",""),"[",""),"]",""),"(",""),")",""),"*","")</f>
        <v/>
      </c>
      <c r="AX104" s="61" t="str">
        <f aca="false">SUBSTITUTE(SUBSTITUTE(SUBSTITUTE(SUBSTITUTE(SUBSTITUTE(SUBSTITUTE(SUBSTITUTE(SUBSTITUTE(SUBSTITUTE(SUBSTITUTE(SUBSTITUTE(SUBSTITUTE(SUBSTITUTE(SUBSTITUTE(SUBSTITUTE(SUBSTITUTE(LOWER(AE104&amp;""),CHAR(10),""),CHAR(13),""),CHAR(9),""),CHAR(160),"")," ",""),".",""),"-",""),"/",""),"?",""),"_",""),",",""),"[",""),"]",""),"(",""),")",""),"*","")</f>
        <v/>
      </c>
      <c r="AY104" s="61" t="str">
        <f aca="false">SUBSTITUTE(SUBSTITUTE(SUBSTITUTE(SUBSTITUTE(SUBSTITUTE(SUBSTITUTE(SUBSTITUTE(SUBSTITUTE(SUBSTITUTE(SUBSTITUTE(SUBSTITUTE(SUBSTITUTE(SUBSTITUTE(SUBSTITUTE(SUBSTITUTE(SUBSTITUTE(LOWER(W104&amp;""),CHAR(10),""),CHAR(13),""),CHAR(9),""),CHAR(160),"")," ",""),".",""),"-",""),"/",""),"?",""),"_",""),",",""),"[",""),"]",""),"(",""),")",""),"*","")</f>
        <v/>
      </c>
      <c r="AZ104" s="61" t="str">
        <f aca="false">SUBSTITUTE(SUBSTITUTE(SUBSTITUTE(SUBSTITUTE(SUBSTITUTE(SUBSTITUTE(SUBSTITUTE(SUBSTITUTE(SUBSTITUTE(SUBSTITUTE(SUBSTITUTE(SUBSTITUTE(SUBSTITUTE(SUBSTITUTE(SUBSTITUTE(SUBSTITUTE(LOWER(AC104&amp;""),CHAR(10),""),CHAR(13),""),CHAR(9),""),CHAR(160),"")," ",""),".",""),"-",""),"/",""),"?",""),"_",""),",",""),"[",""),"]",""),"(",""),")",""),"*","")</f>
        <v/>
      </c>
      <c r="BA104" s="61" t="str">
        <f aca="false">SUBSTITUTE(SUBSTITUTE(SUBSTITUTE(SUBSTITUTE(SUBSTITUTE(SUBSTITUTE(SUBSTITUTE(SUBSTITUTE(SUBSTITUTE(SUBSTITUTE(SUBSTITUTE(SUBSTITUTE(SUBSTITUTE(SUBSTITUTE(SUBSTITUTE(SUBSTITUTE(LOWER(AA104&amp;""),CHAR(10),""),CHAR(13),""),CHAR(9),""),CHAR(160),"")," ",""),".",""),"-",""),"/",""),"?",""),"_",""),",",""),"[",""),"]",""),"(",""),")",""),"*","")</f>
        <v/>
      </c>
      <c r="BB104" s="61" t="str">
        <f aca="false">IF(AND(TRIM(U104)="Pass",ISNUMBER(AF104)),IF(AF104&lt;&gt;0,"INVALID – qty variance: use Fail or Pass after CA",""),"")&amp;IF(AND(TRIM(U104)="Pass after CA",ISNUMBER(AF104)),IF(AF104&lt;&gt;0,"INVALID – after the corrective action the actual qty must equal expected (update Actual)",""),"")&amp;IF(AND(TRIM(U104)="Pass",TRIM(AB104)&lt;&gt;"",TRIM(AB104)&lt;&gt;"Closed"),"INVALID – corrective action not closed: use Fail, then Pass after CA","")&amp;IF(AND(LEN(BA104)&gt;=2,ISNA(MATCH(LEFT(BA104,255),L_Placeholder,0)),TRIM(AB104)=""),"INVALID – CA status missing for the recorded corrective action","")&amp;IF(AND(TRIM(U104)="Pass after CA",OR(OR(LEN(BA104)&lt;5,ISNUMBER(MATCH(BA104,L_Placeholder,0))),TRIM(AB104)&lt;&gt;"Closed")),"INVALID – corrective action not recorded/closed","")</f>
        <v/>
      </c>
      <c r="BC104" s="61" t="str">
        <f aca="false">" "&amp;TRIM(SUBSTITUTE(SUBSTITUTE(SUBSTITUTE(SUBSTITUTE(SUBSTITUTE(SUBSTITUTE(SUBSTITUTE(SUBSTITUTE(SUBSTITUTE(SUBSTITUTE(SUBSTITUTE(SUBSTITUTE(SUBSTITUTE(SUBSTITUTE(SUBSTITUTE(SUBSTITUTE(SUBSTITUTE(SUBSTITUTE(SUBSTITUTE(SUBSTITUTE(SUBSTITUTE(SUBSTITUTE(SUBSTITUTE(SUBSTITUTE(LOWER(V104&amp;""),CHAR(10)," "),CHAR(13)," "),CHAR(9)," "),CHAR(160)," "),"."," "),","," "),"-"," "),"/"," "),"("," "),")"," "),":"," "),";"," "),"_"," "),"–"," "),"?"," "),"!"," "),"*"," "),"["," "),"]"," "),"'"," "),"#"," "),"+"," "),"&amp;"," "),"\"," "))&amp;" "</f>
        <v>  </v>
      </c>
      <c r="BD104" s="61" t="str">
        <f aca="false">" "&amp;TRIM(SUBSTITUTE(SUBSTITUTE(SUBSTITUTE(SUBSTITUTE(SUBSTITUTE(SUBSTITUTE(SUBSTITUTE(SUBSTITUTE(SUBSTITUTE(SUBSTITUTE(SUBSTITUTE(SUBSTITUTE(SUBSTITUTE(SUBSTITUTE(SUBSTITUTE(SUBSTITUTE(SUBSTITUTE(SUBSTITUTE(SUBSTITUTE(SUBSTITUTE(SUBSTITUTE(SUBSTITUTE(SUBSTITUTE(SUBSTITUTE(LOWER(Z104&amp;""),CHAR(10)," "),CHAR(13)," "),CHAR(9)," "),CHAR(160)," "),"."," "),","," "),"-"," "),"/"," "),"("," "),")"," "),":"," "),";"," "),"_"," "),"–"," "),"?"," "),"!"," "),"*"," "),"["," "),"]"," "),"'"," "),"#"," "),"+"," "),"&amp;"," "),"\"," "))&amp;" "</f>
        <v>  </v>
      </c>
      <c r="BE104" s="61" t="str">
        <f aca="false">" "&amp;TRIM(SUBSTITUTE(SUBSTITUTE(SUBSTITUTE(SUBSTITUTE(SUBSTITUTE(SUBSTITUTE(SUBSTITUTE(SUBSTITUTE(SUBSTITUTE(SUBSTITUTE(SUBSTITUTE(SUBSTITUTE(SUBSTITUTE(SUBSTITUTE(SUBSTITUTE(SUBSTITUTE(SUBSTITUTE(SUBSTITUTE(SUBSTITUTE(SUBSTITUTE(SUBSTITUTE(SUBSTITUTE(SUBSTITUTE(SUBSTITUTE(LOWER(W104&amp;""),CHAR(10)," "),CHAR(13)," "),CHAR(9)," "),CHAR(160)," "),"."," "),","," "),"-"," "),"/"," "),"("," "),")"," "),":"," "),";"," "),"_"," "),"–"," "),"?"," "),"!"," "),"*"," "),"["," "),"]"," "),"'"," "),"#"," "),"+"," "),"&amp;"," "),"\"," "))&amp;" "</f>
        <v>  </v>
      </c>
      <c r="BF104" s="61" t="str">
        <f aca="false">" "&amp;TRIM(SUBSTITUTE(SUBSTITUTE(SUBSTITUTE(SUBSTITUTE(SUBSTITUTE(SUBSTITUTE(SUBSTITUTE(SUBSTITUTE(SUBSTITUTE(SUBSTITUTE(SUBSTITUTE(SUBSTITUTE(SUBSTITUTE(SUBSTITUTE(SUBSTITUTE(SUBSTITUTE(SUBSTITUTE(SUBSTITUTE(SUBSTITUTE(SUBSTITUTE(SUBSTITUTE(SUBSTITUTE(SUBSTITUTE(SUBSTITUTE(LOWER(AC104&amp;""),CHAR(10)," "),CHAR(13)," "),CHAR(9)," "),CHAR(160)," "),"."," "),","," "),"-"," "),"/"," "),"("," "),")"," "),":"," "),";"," "),"_"," "),"–"," "),"?"," "),"!"," "),"*"," "),"["," "),"]"," "),"'"," "),"#"," "),"+"," "),"&amp;"," "),"\"," "))&amp;" "</f>
        <v>  </v>
      </c>
      <c r="BG104" s="61" t="n">
        <f aca="false">IFERROR(IF(AND(TRIM(U104)="Pass",SUMPRODUCT((LEN(BC104)-LEN(SUBSTITUTE(BC104," "&amp;L_ResultBad&amp;" "," ")))/(LEN(L_ResultBad)+1))&gt;SUMPRODUCT((LEN(BC104)-LEN(SUBSTITUTE(BC104," "&amp;L_NegPhrase&amp;" "," ")))/(LEN(L_NegPhrase)+1))),1,0),0)</f>
        <v>0</v>
      </c>
      <c r="BH104" s="61" t="n">
        <f aca="false">IFERROR(IF(SUMPRODUCT((LEN(BC104)-LEN(SUBSTITUTE(BC104," "&amp;L_Pending&amp;" "," ")))/(LEN(L_Pending)+1))&gt;SUMPRODUCT((LEN(BC104)-LEN(SUBSTITUTE(BC104," "&amp;L_PendNeg&amp;" "," ")))/(LEN(L_PendNeg)+1))+SUMPRODUCT((LEN(BC104)-LEN(SUBSTITUTE(BC104," "&amp;L_PendPrep&amp;" "," ")))/(LEN(L_PendPrep)+1)),1,0),1)</f>
        <v>0</v>
      </c>
      <c r="BI104" s="61" t="n">
        <f aca="false">IFERROR(IF(SUMPRODUCT((LEN(BD104)-LEN(SUBSTITUTE(BD104," "&amp;L_PendStrict&amp;" "," ")))/(LEN(L_PendStrict)+1))&gt;SUMPRODUCT((LEN(BD104)-LEN(SUBSTITUTE(BD104," "&amp;L_PendNeg&amp;" "," ")))/(LEN(L_PendNeg)+1)),1,0),1)</f>
        <v>0</v>
      </c>
      <c r="BJ104" s="61" t="n">
        <f aca="false">IFERROR(IF(SUMPRODUCT((LEN(BE104)-LEN(SUBSTITUTE(BE104," "&amp;L_Pending&amp;" "," ")))/(LEN(L_Pending)+1))&gt;SUMPRODUCT((LEN(BE104)-LEN(SUBSTITUTE(BE104," "&amp;L_PendNeg&amp;" "," ")))/(LEN(L_PendNeg)+1))+SUMPRODUCT((LEN(BE104)-LEN(SUBSTITUTE(BE104," "&amp;L_PendPrep&amp;" "," ")))/(LEN(L_PendPrep)+1)),1,0),1)</f>
        <v>0</v>
      </c>
      <c r="BK104" s="61" t="n">
        <f aca="false">IFERROR(IF(SUMPRODUCT((LEN(BF104)-LEN(SUBSTITUTE(BF104," "&amp;L_PendStrict&amp;" "," ")))/(LEN(L_PendStrict)+1))&gt;SUMPRODUCT((LEN(BF104)-LEN(SUBSTITUTE(BF104," "&amp;L_PendNeg&amp;" "," ")))/(LEN(L_PendNeg)+1)),1,0),1)</f>
        <v>0</v>
      </c>
      <c r="BL104" s="61" t="n">
        <f aca="false">IF(ISNA(MATCH(TRIM(S104),L_EvidenceType,0)),0,BZ104)</f>
        <v>0</v>
      </c>
      <c r="BM104" s="61" t="str">
        <f aca="false">SUBSTITUTE(SUBSTITUTE(SUBSTITUTE(SUBSTITUTE(SUBSTITUTE(SUBSTITUTE(SUBSTITUTE(SUBSTITUTE(SUBSTITUTE(LOWER(Z104&amp;""),"1","0"),"2","0"),"3","0"),"4","0"),"5","0"),"6","0"),"7","0"),"8","0"),"9","0")</f>
        <v/>
      </c>
      <c r="BN104" s="61" t="str">
        <f aca="false">SUBSTITUTE(SUBSTITUTE(SUBSTITUTE(SUBSTITUTE(SUBSTITUTE(SUBSTITUTE(SUBSTITUTE(SUBSTITUTE(SUBSTITUTE(SUBSTITUTE(SUBSTITUTE(SUBSTITUTE(SUBSTITUTE(SUBSTITUTE(SUBSTITUTE(SUBSTITUTE(SUBSTITUTE(SUBSTITUTE(SUBSTITUTE(SUBSTITUTE(SUBSTITUTE(SUBSTITUTE(SUBSTITUTE(SUBSTITUTE(SUBSTITUTE(BM104,"b","a"),"c","a"),"d","a"),"e","a"),"f","a"),"g","a"),"h","a"),"i","a"),"j","a"),"k","a"),"l","a"),"m","a"),"n","a"),"o","a"),"p","a"),"q","a"),"r","a"),"s","a"),"t","a"),"u","a"),"v","a"),"w","a"),"x","a"),"y","a"),"z","a")</f>
        <v/>
      </c>
      <c r="BO104" s="61" t="str">
        <f aca="false">SUBSTITUTE(SUBSTITUTE(SUBSTITUTE(SUBSTITUTE(SUBSTITUTE(SUBSTITUTE(SUBSTITUTE(SUBSTITUTE(SUBSTITUTE(LOWER(W104&amp;""),"1","0"),"2","0"),"3","0"),"4","0"),"5","0"),"6","0"),"7","0"),"8","0"),"9","0")</f>
        <v/>
      </c>
      <c r="BP104" s="61" t="str">
        <f aca="false">SUBSTITUTE(SUBSTITUTE(SUBSTITUTE(SUBSTITUTE(SUBSTITUTE(SUBSTITUTE(SUBSTITUTE(SUBSTITUTE(SUBSTITUTE(SUBSTITUTE(SUBSTITUTE(SUBSTITUTE(SUBSTITUTE(SUBSTITUTE(SUBSTITUTE(SUBSTITUTE(SUBSTITUTE(SUBSTITUTE(SUBSTITUTE(SUBSTITUTE(SUBSTITUTE(SUBSTITUTE(SUBSTITUTE(SUBSTITUTE(SUBSTITUTE(BO104,"b","a"),"c","a"),"d","a"),"e","a"),"f","a"),"g","a"),"h","a"),"i","a"),"j","a"),"k","a"),"l","a"),"m","a"),"n","a"),"o","a"),"p","a"),"q","a"),"r","a"),"s","a"),"t","a"),"u","a"),"v","a"),"w","a"),"x","a"),"y","a"),"z","a")</f>
        <v/>
      </c>
      <c r="BQ104" s="61" t="n">
        <f aca="false">IFERROR(IF(AND(ISERROR(SEARCH(" mh"," "&amp;LOWER(W104))),ISNA(MATCH(LEFT(TRIM(BP104),255),{"0000a","000a","00a","0000aa","000aa","00aa","0aa","0000aaa","000aaa","00a00","0a00","0000-0000","00:00","a00","a0","00.00.0000","00/00/0000","00-00-0000","0000-00-00","0000/00/00","0000.00.00","00.00.00","00/00/00","00-00-00","0.00.0000","0/00/0000","0-00-0000"},0)),ISNA(MATCH(LEFT(TRIM(CA104),255),{"0000a","000a","00a","0000aa","000aa","00aa","0aa","0000aaa","000aaa","00a00","0a00","0000-0000","00:00","a00","a0","00.00.0000","00/00/0000","00-00-0000","0000-00-00","0000/00/00","0000.00.00","00.00.00","00/00/00","00-00-00","0.00.0000","0/00/0000","0-00-0000"},0)),LEN(CB104)&gt;=3,NOT(OR(SUBSTITUTE(CB104,"0","")="",AND(LEN(CB104)&gt;=4,CB104=REPT(LEFT(CB104),LEN(CB104))),ISNUMBER(MATCH(CB104,{"123","1234","12345","123456","1234567","12345678","0123","01234","012345","98765","987654","54321"},0)),AND(LEN(CB104)=8,LEFT(CB104,3)="202"))),OR(AND((LEN(CA104)-LEN(SUBSTITUTE(CA104,"a","")))&gt;=1,SUMPRODUCT(--ISNUMBER(SEARCH({"a0","a-0","a_0","a/0","a.0","a#0","0a","0-a","0_a","0/a"},BP104)))&gt;0),ISNUMBER(SEARCH("000000",BP104)))),1,0),0)</f>
        <v>0</v>
      </c>
      <c r="BR104" s="61" t="n">
        <f aca="false">IFERROR(LEN(SUBSTITUTE(CC104," ",""))-SUMPRODUCT((LEN(CC104)-LEN(SUBSTITUTE(CC104," "&amp;L_Role&amp;" "," ")))/(LEN(L_Role)+1)*LEN(L_Role)),0)</f>
        <v>0</v>
      </c>
      <c r="BS104" s="61" t="n">
        <f aca="false">IFERROR(LEN(SUBSTITUTE(CD104," ",""))-SUMPRODUCT((LEN(CD104)-LEN(SUBSTITUTE(CD104," "&amp;L_Role&amp;" "," ")))/(LEN(L_Role)+1)*LEN(L_Role)),0)</f>
        <v>0</v>
      </c>
      <c r="BT1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104,"revision",""),"version",""),"jan",""),"feb",""),"mar",""),"apr",""),"may",""),"jun",""),"jul",""),"aug",""),"sep",""),"oct",""),"nov",""),"dec",""),"utc",""),"gmt",""),"myt",""),"bst",""),"rev",""),"ver",""),"b","a"),"c","a"),"d","a"),"e","a"),"f","a"),"g","a"),"h","a"),"i","a"),"j","a"),"k","a"),"l","a"),"m","a"),"n","a"),"o","a"),"p","a"),"q","a"),"r","a"),"s","a"),"t","a"),"u","a"),"v","a"),"w","a"),"x","a"),"y","a"),"z","a")</f>
        <v/>
      </c>
      <c r="BU104" s="61" t="str">
        <f aca="false">SUBSTITUTE(SUBSTITUTE(SUBSTITUTE(SUBSTITUTE(SUBSTITUTE(SUBSTITUTE(SUBSTITUTE(SUBSTITUTE(SUBSTITUTE(SUBSTITUTE(LEFT(BM104,FIND("0",BM104&amp;"0")-1),"-",""),"_",""),"/",""),".",""),"#",""),"\\",""),":","")," ",""),"(",""),")","")</f>
        <v/>
      </c>
      <c r="BV104" s="61" t="n">
        <f aca="false">0</f>
        <v>0</v>
      </c>
      <c r="BW1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104&amp;""),"a",""),"b",""),"c",""),"d",""),"e",""),"f",""),"g",""),"h",""),"i",""),"j",""),"k",""),"l",""),"m",""),"n",""),"o",""),"p",""),"q",""),"r",""),"s",""),"t",""),"u",""),"v",""),"w",""),"x",""),"y",""),"z",""),"-",""),"_",""),"/",""),".",""),"#",""),"\\",""),":","")," ",""),"(",""),")","")</f>
        <v/>
      </c>
      <c r="BX104" s="61" t="str">
        <f aca="false">SUBSTITUTE(SUBSTITUTE(SUBSTITUTE(SUBSTITUTE(SUBSTITUTE(SUBSTITUTE(SUBSTITUTE(SUBSTITUTE(SUBSTITUTE(SUBSTITUTE(SUBSTITUTE(BM104,"0",""),"-",""),"_",""),"/",""),".",""),"#",""),"\\",""),":","")," ",""),"(",""),")","")</f>
        <v/>
      </c>
      <c r="BY104" s="62" t="n">
        <f aca="false">Q104-T12EarlyH/24</f>
        <v>46304.6458333333</v>
      </c>
      <c r="BZ104" s="61" t="n">
        <f aca="false">IFERROR(IF(IF(TRIM(S104)="Link / file path",AND(LEN(TRIM(Z104))&gt;=5,SUMPRODUCT(--ISNUMBER(SEARCH({"http","www.","\\",":\",".pdf",".jpg",".jpeg",".png",".heic",".xls",".doc",".msg",".eml",".ppt",".txt",".zip"},Z104)))&gt;0),AND(ISERROR(FIND(" ",TRIM(Z104))),NOT(OR(SUMPRODUCT(--ISNUMBER(FIND({",",";","&amp;","+"},Z104)))&gt;0,SUMPRODUCT(--ISNUMBER(SEARCH({"0/aa","0\\aa"},BN104)))&gt;0)),NOT(SUMPRODUCT(--ISNUMBER(SEARCH({"http","www.","\\",":\",".pdf",".jpg",".jpeg",".png",".heic",".xls",".doc",".msg",".eml",".ppt",".txt",".zip"},Z104)))&gt;0),NOT(LOWER(TRIM(Z104))=LOWER(Flights!$F$8)),ISNA(MATCH(BU104,{"mh","rev","revision","ver","version","v","r","a","b","seat","tray","row","gate","bay","stand","page","pg","item","line","no","cart","galley","flight","flt","table","box","bag","oven","etd","eta","std","sta","atd","ata","qty","pax","x","time","tel","ph","mob","day","wk","week","utc","gmt","myt","lt"},0)),NOT(OR(ISNUMBER(MATCH(LEFT(BN104,255),{"0000a","000a","00a","0000aa","000aa","00aa","0aa","0000aaa","000aaa","00a00","0a00","0000-0000","00:00","a00","a0","00.00.0000","00/00/0000","00-00-0000","0000-00-00","0000/00/00","0000.00.00","00.00.00","00/00/00","00-00-00","0.00.0000","0/00/0000","0-00-0000"},0)),ISNUMBER(MATCH(LEFT(BT104,255),{"0000a","000a","00a","0000aa","000aa","00aa","0aa","0000aaa","000aaa","00a00","0a00","0000-0000","00:00","a00","a0","00.00.0000","00/00/0000","00-00-0000","0000-00-00","0000/00/00","0000.00.00","00.00.00","00/00/00","00-00-00","0.00.0000","0/00/0000","0-00-0000"},0)))),NOT(OR(AND(BW104&lt;&gt;"",SUBSTITUTE(BW104,"0","")=""),AND(LEN(BW104)&gt;=4,BW104=REPT(LEFT(BW104),LEN(BW104))),ISNUMBER(MATCH(BW104,{"123","1234","12345","123456","1234567","12345678","0123","01234","012345","98765","987654","54321"},0)),ISNUMBER(MATCH(BX104,{"x","xx","xxx","xxxx","xxxxx","abc","abcd","nil","na","nan","test","tbc","tba","tbd","dummy","sample","example","eg","zz","zzz","none","null","xyz","qwe","asd","id","ref"},0)),AND(LEN(BW104)=8,BX104="",OR(LEFT(BW104,3)="202",ISNUMBER(MATCH(RIGHT(BW104,4),{"2025","2026","2027"},0)))))),OR(AND((LEN(BT104)-LEN(SUBSTITUTE(BT104,"a","")))&gt;=1,(LEN(BN104)-LEN(SUBSTITUTE(BN104,"0","")))&gt;=2,SUMPRODUCT(--ISNUMBER(SEARCH({"a0","a-0","a_0","a/0","a.0","a#0","0a","0-a","0_a","0/a"},BN104)))&gt;0),AND((LEN(BN104)-LEN(SUBSTITUTE(BN104,"a","")))=0,(LEN(BN104)-LEN(SUBSTITUTE(BN104,"0","")))&gt;=5)))),1,0),0)</f>
        <v>0</v>
      </c>
      <c r="CA1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104,"revision",""),"version",""),"jan",""),"feb",""),"mar",""),"apr",""),"may",""),"jun",""),"jul",""),"aug",""),"sep",""),"oct",""),"nov",""),"dec",""),"utc",""),"gmt",""),"myt",""),"bst",""),"rev",""),"ver",""),"b","a"),"c","a"),"d","a"),"e","a"),"f","a"),"g","a"),"h","a"),"i","a"),"j","a"),"k","a"),"l","a"),"m","a"),"n","a"),"o","a"),"p","a"),"q","a"),"r","a"),"s","a"),"t","a"),"u","a"),"v","a"),"w","a"),"x","a"),"y","a"),"z","a")</f>
        <v/>
      </c>
      <c r="CB1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104&amp;""),"a",""),"b",""),"c",""),"d",""),"e",""),"f",""),"g",""),"h",""),"i",""),"j",""),"k",""),"l",""),"m",""),"n",""),"o",""),"p",""),"q",""),"r",""),"s",""),"t",""),"u",""),"v",""),"w",""),"x",""),"y",""),"z",""),"-",""),"_",""),"/",""),".",""),"#",""),"\\",""),":","")," ",""),"(",""),")","")</f>
        <v/>
      </c>
      <c r="CC104" s="0" t="str">
        <f aca="false">" "&amp;TRIM(SUBSTITUTE(SUBSTITUTE(SUBSTITUTE(SUBSTITUTE(SUBSTITUTE(SUBSTITUTE(SUBSTITUTE(SUBSTITUTE(SUBSTITUTE(SUBSTITUTE(SUBSTITUTE(SUBSTITUTE(SUBSTITUTE(SUBSTITUTE(SUBSTITUTE(SUBSTITUTE(SUBSTITUTE(SUBSTITUTE(SUBSTITUTE(SUBSTITUTE(SUBSTITUTE(SUBSTITUTE(SUBSTITUTE(SUBSTITUTE(LOWER(T104&amp;""),CHAR(10)," "),CHAR(13)," "),CHAR(9)," "),CHAR(160)," "),"."," "),","," "),"-"," "),"/"," "),"("," "),")"," "),":"," "),";"," "),"_"," "),"–"," "),"?"," "),"!"," "),"*"," "),"["," "),"]"," "),"'"," "),"#"," "),"+"," "),"&amp;"," "),"\"," "))&amp;" "</f>
        <v>  </v>
      </c>
      <c r="CD104" s="0" t="str">
        <f aca="false">" "&amp;TRIM(SUBSTITUTE(SUBSTITUTE(SUBSTITUTE(SUBSTITUTE(SUBSTITUTE(SUBSTITUTE(SUBSTITUTE(SUBSTITUTE(SUBSTITUTE(SUBSTITUTE(SUBSTITUTE(SUBSTITUTE(SUBSTITUTE(SUBSTITUTE(SUBSTITUTE(SUBSTITUTE(SUBSTITUTE(SUBSTITUTE(SUBSTITUTE(SUBSTITUTE(SUBSTITUTE(SUBSTITUTE(SUBSTITUTE(SUBSTITUTE(LOWER(AE104&amp;""),CHAR(10)," "),CHAR(13)," "),CHAR(9)," "),CHAR(160)," "),"."," "),","," "),"-"," "),"/"," "),"("," "),")"," "),":"," "),";"," "),"_"," "),"–"," "),"?"," "),"!"," "),"*"," "),"["," "),"]"," "),"'"," "),"#"," "),"+"," "),"&amp;"," "),"\"," "))&amp;" "</f>
        <v>  </v>
      </c>
      <c r="CE104" s="68" t="n">
        <f aca="false">IFERROR(IF(AND(LEN(AU104)&gt;0,LEN(AU104)=LEN(AX104),OR(TRIM(MID(SUBSTITUTE(TRIM(CC104)," ",REPT(" ",60)),1,60))="",ISNUMBER(SEARCH(" "&amp;TRIM(MID(SUBSTITUTE(TRIM(CC104)," ",REPT(" ",60)),1,60))&amp;" ",CD104))),OR(TRIM(MID(SUBSTITUTE(TRIM(CC104)," ",REPT(" ",60)),61,60))="",ISNUMBER(SEARCH(" "&amp;TRIM(MID(SUBSTITUTE(TRIM(CC104)," ",REPT(" ",60)),61,60))&amp;" ",CD104))),OR(TRIM(MID(SUBSTITUTE(TRIM(CC104)," ",REPT(" ",60)),121,60))="",ISNUMBER(SEARCH(" "&amp;TRIM(MID(SUBSTITUTE(TRIM(CC104)," ",REPT(" ",60)),121,60))&amp;" ",CD104)))),1,0),0)</f>
        <v>0</v>
      </c>
      <c r="CG104" s="68" t="n">
        <f aca="false">IFERROR(LEN(SUBSTITUTE(BF104," ",""))-SUMPRODUCT((LEN(BF104)-LEN(SUBSTITUTE(BF104," "&amp;L_NAFiller&amp;" "," ")))/(LEN(L_NAFiller)+1)*LEN(L_NAFiller)),0)</f>
        <v>0</v>
      </c>
    </row>
    <row r="105" customFormat="false" ht="141" hidden="false" customHeight="true" outlineLevel="0" collapsed="false">
      <c r="A105" s="57" t="s">
        <v>598</v>
      </c>
      <c r="B105" s="57" t="s">
        <v>218</v>
      </c>
      <c r="C105" s="57" t="str">
        <f aca="false">Flights!$F$8</f>
        <v>MH0088</v>
      </c>
      <c r="D105" s="58" t="n">
        <f aca="false">Flights!$D$8</f>
        <v>46305</v>
      </c>
      <c r="E105" s="57" t="str">
        <f aca="false">Flights!$G$8&amp;"-"&amp;Flights!$H$8</f>
        <v>KUL-NRT</v>
      </c>
      <c r="F105" s="57" t="str">
        <f aca="false">Flights!$K$8</f>
        <v>BC</v>
      </c>
      <c r="G105" s="57" t="s">
        <v>420</v>
      </c>
      <c r="H105" s="57" t="s">
        <v>378</v>
      </c>
      <c r="I105" s="57" t="s">
        <v>428</v>
      </c>
      <c r="J105" s="57" t="s">
        <v>435</v>
      </c>
      <c r="K105" s="67" t="s">
        <v>436</v>
      </c>
      <c r="L105" s="67" t="s">
        <v>422</v>
      </c>
      <c r="M105" s="67"/>
      <c r="N105" s="67" t="s">
        <v>383</v>
      </c>
      <c r="O105" s="67" t="s">
        <v>423</v>
      </c>
      <c r="P105" s="57" t="s">
        <v>187</v>
      </c>
      <c r="Q105" s="59" t="n">
        <f aca="false">ROUND((Flights!$AE$8)*1440,0)/1440</f>
        <v>46305.1458333333</v>
      </c>
      <c r="R105" s="59" t="n">
        <f aca="false">Q105+(IF(AND(INDEX(TZ_DSTS,MATCH(P105,TZ_STN,0))&lt;&gt;"",Q105&gt;=INDEX(TZ_DSTS,MATCH(P105,TZ_STN,0)),Q105&lt;INDEX(TZ_DSTE,MATCH(P105,TZ_STN,0))),INDEX(TZ_DST,MATCH(P105,TZ_STN,0)),INDEX(TZ_STD,MATCH(P105,TZ_STN,0))))/24</f>
        <v>46305.4791666667</v>
      </c>
      <c r="S105" s="60"/>
      <c r="T105" s="60"/>
      <c r="U105" s="60"/>
      <c r="V105" s="60"/>
      <c r="W105" s="61"/>
      <c r="X105" s="60"/>
      <c r="Y105" s="60"/>
      <c r="Z105" s="60"/>
      <c r="AA105" s="60"/>
      <c r="AB105" s="60"/>
      <c r="AC105" s="60"/>
      <c r="AD105" s="66"/>
      <c r="AE105" s="60"/>
      <c r="AF105" s="61" t="str">
        <f aca="false">IF(AND(ISNUMBER(X105),ISNUMBER(Y105)),Y105-X105,"")</f>
        <v/>
      </c>
      <c r="AG105" s="62" t="str">
        <f aca="false">IF(ISNUMBER(AD105),AD105-(IF(AND(INDEX(TZ_DSTS,MATCH(P105,TZ_STN,0))&lt;&gt;"",(AD105-INDEX(TZ_STD,MATCH(P105,TZ_STN,0))/24)&gt;=INDEX(TZ_DSTS,MATCH(P105,TZ_STN,0)),(AD105-INDEX(TZ_STD,MATCH(P105,TZ_STN,0))/24)&lt;INDEX(TZ_DSTE,MATCH(P105,TZ_STN,0))),INDEX(TZ_DST,MATCH(P105,TZ_STN,0)),INDEX(TZ_STD,MATCH(P105,TZ_STN,0))))/24,"")</f>
        <v/>
      </c>
      <c r="AH105" s="65" t="str">
        <f aca="false">IFERROR(IF(N105="N/A – rule",IF(OR(TRIM(U105)="",TRIM(U105)="N/A",TRIM(U105)="Not started"),"N/A – RULE","INVALID – this check does not apply to this aircraft: clear the status (or correct the fleet on Flights)"),IF(TRIM(U105)="N/A",IF(AT105=0,"INVALID – N/A not permitted for this check",IF(AND(TRIM(AB105)&lt;&gt;"",TRIM(AB105)&lt;&gt;"Closed"),"INVALID – corrective action still open",IF(AND(NOT(OR(LEN(AZ105)&lt;15,ISNUMBER(MATCH(AZ105,L_Placeholder,0)))),BK105=0,CG105&gt;=8,NOT(OR(LEN(AU105)&lt;2,ISNUMBER(MATCH(AU105,L_Placeholder,0)))),BR105&gt;=3,NOT(OR(LEN(AX105)&lt;2,ISNUMBER(MATCH(AX105,L_Placeholder,0)))),BS105&gt;=3,TRIM(AE105)&lt;&gt;TRIM(T105),AX105&lt;&gt;AU105,CE105=0),"N/A – JUSTIFIED","INVALID – N/A needs a real, settled reason (not 'not applicable' / 'as above' / TBC), a named PIC and a different named verifier"))),IF(OR(TRIM(U105)="Pass",TRIM(U105)="Pass after CA"),IF(NOT(ISNUMBER(AD105)),"INVALID – completion time missing",IF(OR(OR(LEN(AU105)&lt;2,ISNUMBER(MATCH(AU105,L_Placeholder,0))),BR105&lt;3),"INVALID – PIC missing or not a named person (a role such as QA / CSM is not a name)",IF(OR(LEN(AV105)&lt;2,ISNUMBER(MATCH(AV105,L_Placeholder,0))),"INVALID – result / assessment missing",IF(OR(OR(LEN(AW105)&lt;3,ISNUMBER(MATCH(AW105,L_Placeholder,0))),SUMPRODUCT(--ISNUMBER(SEARCH(" "&amp;L_EvidencePhrase&amp;" ",BD105)))&gt;0,BI105=1),"INVALID – evidence missing, placeholder or not yet on file",IF(ISNA(MATCH(TRIM(S105),L_EvidenceType,0)),"INVALID – choose the evidence type from the list (column S)",IF(BL105=0,"INVALID – evidence ID must be the record's own ID only (e.g. SF-2210, IMG_2231, 1045521); a link / file name needs type 'Link / file path'",IF(OR(OR(LEN(AX105)&lt;2,ISNUMBER(MATCH(AX105,L_Placeholder,0))),BS105&lt;3),"INVALID – verifier missing or not a named person (a role such as QA / CSM is not a name)",IF(OR(AX105=AU105,CE105=1,AND(LEN(AU105)&gt;=4,ISNUMBER(SEARCH(AU105,AX105))),AND(LEN(AX105)&gt;=4,ISNUMBER(SEARCH(AX105,AU105)))),"INVALID – verifier must be a different, named person (not the PIC or a role)",IF(BH105=1,"INVALID – result not yet available (awaiting / TBC)",IF(BG105=1,"INVALID – result describes a problem: record Fail, then Pass after CA (or reword if it is not a problem)",IF(BV105=1,"INVALID – wording says not on board: an on-board confirmation needs the item loaded",IF(AND(AQ105=1,OR(OR(LEN(AY105)&lt;3,ISNUMBER(MATCH(AY105,L_Placeholder,0))),BJ105=1,BQ105=0)),"INVALID – batch ID missing, placeholder or not an ID (e.g. PASB-261008-BC-017)",IF(AND(AR105=1,OR(NOT(ISNUMBER(X105)),NOT(ISNUMBER(Y105)))),"INVALID – expected/actual qty missing",IF(AND(AR105=1,OR(X105&lt;=0,Y105&lt;0)),"INVALID – expected qty must be above 0 and actual not negative",IF(BB105&lt;&gt;"",BB105,IF(AND(AS105=1,Documents!$J$8&lt;&gt;"ON FILE"),"INVALID – GLD not on file (Documents sheet)",IF(AND(AS105=2,Documents!$O$8&lt;&gt;"ON FILE"),"INVALID – menu checklist not on file (Documents sheet)",IF(AND(AS105=3,NOT(ISNUMBER(Flights!$AX$8))),"INVALID – enter carrying flight KUL departure (Flights AX)",IF(AND(AS105=3,OR(Flights!$AZ$8&gt;Flights!$AA$8,Flights!$AX$8&lt;Flights!$AA$8-3)),"INVALID – carrying flight (Flights AX) cannot arrive before this leg's STD, or is over 3 days early",IF(AG105&gt;AsOfUTC,"INVALID – completion time is in the future",IF(AND(ISNUMBER(BY105),AG105&lt;BY105),IF(H105="Physical uplift","INVALID – before uplift window (cannot confirm loading)","INVALID – before valid window"),IF(AG105&gt;Flights!$AA$8,"INVALID – completed after departure (cannot establish readiness)",IF(AND(H105="Preparation",AG105&gt;=IF(ISNUMBER(Flights!$BA$8),MIN(Flights!$BA$8,Flights!$AA$8),Flights!$AA$8)),"INVALID – completed after loading / departure (cannot establish readiness)",IF(AND(H105="Physical uplift",AG105&gt;Q105),"INVALID – recorded after the loading flight departed",IF(AG105&gt;Q105,"COMPLETE – LATE","COMPLETE"))))))))))))))))))))))))),IF(TRIM(U105)="Fail","FAIL – DISCREPANCY",IF(AND(TRIM(U105)&lt;&gt;"",TRIM(U105)&lt;&gt;"Not started",TRIM(U105)&lt;&gt;"In progress"),"INVALID – unrecognised status (use the list)",IF(AsOfUTC&gt;Q105,"OVERDUE",IF(N105="Clarification required","OPEN – CLARIFICATION","OPEN"))))))),"INVALID – error value in an input cell")</f>
        <v>OPEN</v>
      </c>
      <c r="AI105" s="61" t="n">
        <f aca="false">IF(OR(AH105="N/A – RULE",AH105="N/A – JUSTIFIED"),0,1)</f>
        <v>1</v>
      </c>
      <c r="AJ105" s="61" t="n">
        <f aca="false">IF(LEFT(AH105,8)="COMPLETE",1,0)</f>
        <v>0</v>
      </c>
      <c r="AK105" s="61" t="n">
        <f aca="false">IF(AND(AI105=1,AJ105=0,AsOfUTC&gt;Q105),1,0)</f>
        <v>0</v>
      </c>
      <c r="AL105" s="61" t="n">
        <f aca="false">IFERROR(IF(AND(AI105=1,OR(TRIM(U105)="Fail",AND(TRIM(AB105)&lt;&gt;"",TRIM(AB105)&lt;&gt;"Closed"),AND(ISNUMBER(AF105),AF105&lt;&gt;0,TRIM(U105)&lt;&gt;"Pass after CA"))),1,0),1)</f>
        <v>0</v>
      </c>
      <c r="AM105" s="61" t="n">
        <f aca="false">IF(LEFT(AH105,7)="INVALID",1,0)</f>
        <v>0</v>
      </c>
      <c r="AN105" s="61" t="n">
        <f aca="false">IF(AND(N105="Clarification required",AI105=1,AJ105=0),1,0)</f>
        <v>0</v>
      </c>
      <c r="AO105" s="61" t="str">
        <f aca="false">IF(AK105=1,SUM(AK$5:AK105),"")</f>
        <v/>
      </c>
      <c r="AP105" s="61" t="str">
        <f aca="false">IF(AL105=1,SUM(AL$5:AL105),"")</f>
        <v/>
      </c>
      <c r="AQ105" s="61" t="n">
        <v>0</v>
      </c>
      <c r="AR105" s="61" t="n">
        <v>1</v>
      </c>
      <c r="AS105" s="61" t="n">
        <v>0</v>
      </c>
      <c r="AT105" s="61" t="n">
        <v>0</v>
      </c>
      <c r="AU105" s="61" t="str">
        <f aca="false">SUBSTITUTE(SUBSTITUTE(SUBSTITUTE(SUBSTITUTE(SUBSTITUTE(SUBSTITUTE(SUBSTITUTE(SUBSTITUTE(SUBSTITUTE(SUBSTITUTE(SUBSTITUTE(SUBSTITUTE(SUBSTITUTE(SUBSTITUTE(SUBSTITUTE(SUBSTITUTE(LOWER(T105&amp;""),CHAR(10),""),CHAR(13),""),CHAR(9),""),CHAR(160),"")," ",""),".",""),"-",""),"/",""),"?",""),"_",""),",",""),"[",""),"]",""),"(",""),")",""),"*","")</f>
        <v/>
      </c>
      <c r="AV105" s="61" t="str">
        <f aca="false">SUBSTITUTE(SUBSTITUTE(SUBSTITUTE(SUBSTITUTE(SUBSTITUTE(SUBSTITUTE(SUBSTITUTE(SUBSTITUTE(SUBSTITUTE(SUBSTITUTE(SUBSTITUTE(SUBSTITUTE(SUBSTITUTE(SUBSTITUTE(SUBSTITUTE(SUBSTITUTE(LOWER(V105&amp;""),CHAR(10),""),CHAR(13),""),CHAR(9),""),CHAR(160),"")," ",""),".",""),"-",""),"/",""),"?",""),"_",""),",",""),"[",""),"]",""),"(",""),")",""),"*","")</f>
        <v/>
      </c>
      <c r="AW105" s="61" t="str">
        <f aca="false">SUBSTITUTE(SUBSTITUTE(SUBSTITUTE(SUBSTITUTE(SUBSTITUTE(SUBSTITUTE(SUBSTITUTE(SUBSTITUTE(SUBSTITUTE(SUBSTITUTE(SUBSTITUTE(SUBSTITUTE(SUBSTITUTE(SUBSTITUTE(SUBSTITUTE(SUBSTITUTE(LOWER(Z105&amp;""),CHAR(10),""),CHAR(13),""),CHAR(9),""),CHAR(160),"")," ",""),".",""),"-",""),"/",""),"?",""),"_",""),",",""),"[",""),"]",""),"(",""),")",""),"*","")</f>
        <v/>
      </c>
      <c r="AX105" s="61" t="str">
        <f aca="false">SUBSTITUTE(SUBSTITUTE(SUBSTITUTE(SUBSTITUTE(SUBSTITUTE(SUBSTITUTE(SUBSTITUTE(SUBSTITUTE(SUBSTITUTE(SUBSTITUTE(SUBSTITUTE(SUBSTITUTE(SUBSTITUTE(SUBSTITUTE(SUBSTITUTE(SUBSTITUTE(LOWER(AE105&amp;""),CHAR(10),""),CHAR(13),""),CHAR(9),""),CHAR(160),"")," ",""),".",""),"-",""),"/",""),"?",""),"_",""),",",""),"[",""),"]",""),"(",""),")",""),"*","")</f>
        <v/>
      </c>
      <c r="AY105" s="61" t="str">
        <f aca="false">SUBSTITUTE(SUBSTITUTE(SUBSTITUTE(SUBSTITUTE(SUBSTITUTE(SUBSTITUTE(SUBSTITUTE(SUBSTITUTE(SUBSTITUTE(SUBSTITUTE(SUBSTITUTE(SUBSTITUTE(SUBSTITUTE(SUBSTITUTE(SUBSTITUTE(SUBSTITUTE(LOWER(W105&amp;""),CHAR(10),""),CHAR(13),""),CHAR(9),""),CHAR(160),"")," ",""),".",""),"-",""),"/",""),"?",""),"_",""),",",""),"[",""),"]",""),"(",""),")",""),"*","")</f>
        <v/>
      </c>
      <c r="AZ105" s="61" t="str">
        <f aca="false">SUBSTITUTE(SUBSTITUTE(SUBSTITUTE(SUBSTITUTE(SUBSTITUTE(SUBSTITUTE(SUBSTITUTE(SUBSTITUTE(SUBSTITUTE(SUBSTITUTE(SUBSTITUTE(SUBSTITUTE(SUBSTITUTE(SUBSTITUTE(SUBSTITUTE(SUBSTITUTE(LOWER(AC105&amp;""),CHAR(10),""),CHAR(13),""),CHAR(9),""),CHAR(160),"")," ",""),".",""),"-",""),"/",""),"?",""),"_",""),",",""),"[",""),"]",""),"(",""),")",""),"*","")</f>
        <v/>
      </c>
      <c r="BA105" s="61" t="str">
        <f aca="false">SUBSTITUTE(SUBSTITUTE(SUBSTITUTE(SUBSTITUTE(SUBSTITUTE(SUBSTITUTE(SUBSTITUTE(SUBSTITUTE(SUBSTITUTE(SUBSTITUTE(SUBSTITUTE(SUBSTITUTE(SUBSTITUTE(SUBSTITUTE(SUBSTITUTE(SUBSTITUTE(LOWER(AA105&amp;""),CHAR(10),""),CHAR(13),""),CHAR(9),""),CHAR(160),"")," ",""),".",""),"-",""),"/",""),"?",""),"_",""),",",""),"[",""),"]",""),"(",""),")",""),"*","")</f>
        <v/>
      </c>
      <c r="BB105" s="61" t="str">
        <f aca="false">IF(AND(TRIM(U105)="Pass",ISNUMBER(AF105)),IF(AF105&lt;&gt;0,"INVALID – qty variance: use Fail or Pass after CA",""),"")&amp;IF(AND(TRIM(U105)="Pass after CA",ISNUMBER(AF105)),IF(AF105&lt;&gt;0,"INVALID – after the corrective action the actual qty must equal expected (update Actual)",""),"")&amp;IF(AND(TRIM(U105)="Pass",TRIM(AB105)&lt;&gt;"",TRIM(AB105)&lt;&gt;"Closed"),"INVALID – corrective action not closed: use Fail, then Pass after CA","")&amp;IF(AND(LEN(BA105)&gt;=2,ISNA(MATCH(LEFT(BA105,255),L_Placeholder,0)),TRIM(AB105)=""),"INVALID – CA status missing for the recorded corrective action","")&amp;IF(AND(TRIM(U105)="Pass after CA",OR(OR(LEN(BA105)&lt;5,ISNUMBER(MATCH(BA105,L_Placeholder,0))),TRIM(AB105)&lt;&gt;"Closed")),"INVALID – corrective action not recorded/closed","")</f>
        <v/>
      </c>
      <c r="BC105" s="61" t="str">
        <f aca="false">" "&amp;TRIM(SUBSTITUTE(SUBSTITUTE(SUBSTITUTE(SUBSTITUTE(SUBSTITUTE(SUBSTITUTE(SUBSTITUTE(SUBSTITUTE(SUBSTITUTE(SUBSTITUTE(SUBSTITUTE(SUBSTITUTE(SUBSTITUTE(SUBSTITUTE(SUBSTITUTE(SUBSTITUTE(SUBSTITUTE(SUBSTITUTE(SUBSTITUTE(SUBSTITUTE(SUBSTITUTE(SUBSTITUTE(SUBSTITUTE(SUBSTITUTE(LOWER(V105&amp;""),CHAR(10)," "),CHAR(13)," "),CHAR(9)," "),CHAR(160)," "),"."," "),","," "),"-"," "),"/"," "),"("," "),")"," "),":"," "),";"," "),"_"," "),"–"," "),"?"," "),"!"," "),"*"," "),"["," "),"]"," "),"'"," "),"#"," "),"+"," "),"&amp;"," "),"\"," "))&amp;" "</f>
        <v>  </v>
      </c>
      <c r="BD105" s="61" t="str">
        <f aca="false">" "&amp;TRIM(SUBSTITUTE(SUBSTITUTE(SUBSTITUTE(SUBSTITUTE(SUBSTITUTE(SUBSTITUTE(SUBSTITUTE(SUBSTITUTE(SUBSTITUTE(SUBSTITUTE(SUBSTITUTE(SUBSTITUTE(SUBSTITUTE(SUBSTITUTE(SUBSTITUTE(SUBSTITUTE(SUBSTITUTE(SUBSTITUTE(SUBSTITUTE(SUBSTITUTE(SUBSTITUTE(SUBSTITUTE(SUBSTITUTE(SUBSTITUTE(LOWER(Z105&amp;""),CHAR(10)," "),CHAR(13)," "),CHAR(9)," "),CHAR(160)," "),"."," "),","," "),"-"," "),"/"," "),"("," "),")"," "),":"," "),";"," "),"_"," "),"–"," "),"?"," "),"!"," "),"*"," "),"["," "),"]"," "),"'"," "),"#"," "),"+"," "),"&amp;"," "),"\"," "))&amp;" "</f>
        <v>  </v>
      </c>
      <c r="BE105" s="61" t="str">
        <f aca="false">" "&amp;TRIM(SUBSTITUTE(SUBSTITUTE(SUBSTITUTE(SUBSTITUTE(SUBSTITUTE(SUBSTITUTE(SUBSTITUTE(SUBSTITUTE(SUBSTITUTE(SUBSTITUTE(SUBSTITUTE(SUBSTITUTE(SUBSTITUTE(SUBSTITUTE(SUBSTITUTE(SUBSTITUTE(SUBSTITUTE(SUBSTITUTE(SUBSTITUTE(SUBSTITUTE(SUBSTITUTE(SUBSTITUTE(SUBSTITUTE(SUBSTITUTE(LOWER(W105&amp;""),CHAR(10)," "),CHAR(13)," "),CHAR(9)," "),CHAR(160)," "),"."," "),","," "),"-"," "),"/"," "),"("," "),")"," "),":"," "),";"," "),"_"," "),"–"," "),"?"," "),"!"," "),"*"," "),"["," "),"]"," "),"'"," "),"#"," "),"+"," "),"&amp;"," "),"\"," "))&amp;" "</f>
        <v>  </v>
      </c>
      <c r="BF105" s="61" t="str">
        <f aca="false">" "&amp;TRIM(SUBSTITUTE(SUBSTITUTE(SUBSTITUTE(SUBSTITUTE(SUBSTITUTE(SUBSTITUTE(SUBSTITUTE(SUBSTITUTE(SUBSTITUTE(SUBSTITUTE(SUBSTITUTE(SUBSTITUTE(SUBSTITUTE(SUBSTITUTE(SUBSTITUTE(SUBSTITUTE(SUBSTITUTE(SUBSTITUTE(SUBSTITUTE(SUBSTITUTE(SUBSTITUTE(SUBSTITUTE(SUBSTITUTE(SUBSTITUTE(LOWER(AC105&amp;""),CHAR(10)," "),CHAR(13)," "),CHAR(9)," "),CHAR(160)," "),"."," "),","," "),"-"," "),"/"," "),"("," "),")"," "),":"," "),";"," "),"_"," "),"–"," "),"?"," "),"!"," "),"*"," "),"["," "),"]"," "),"'"," "),"#"," "),"+"," "),"&amp;"," "),"\"," "))&amp;" "</f>
        <v>  </v>
      </c>
      <c r="BG105" s="61" t="n">
        <f aca="false">IFERROR(IF(AND(TRIM(U105)="Pass",SUMPRODUCT((LEN(BC105)-LEN(SUBSTITUTE(BC105," "&amp;L_ResultBad&amp;" "," ")))/(LEN(L_ResultBad)+1))&gt;SUMPRODUCT((LEN(BC105)-LEN(SUBSTITUTE(BC105," "&amp;L_NegPhrase&amp;" "," ")))/(LEN(L_NegPhrase)+1))),1,0),0)</f>
        <v>0</v>
      </c>
      <c r="BH105" s="61" t="n">
        <f aca="false">IFERROR(IF(SUMPRODUCT((LEN(BC105)-LEN(SUBSTITUTE(BC105," "&amp;L_Pending&amp;" "," ")))/(LEN(L_Pending)+1))&gt;SUMPRODUCT((LEN(BC105)-LEN(SUBSTITUTE(BC105," "&amp;L_PendNeg&amp;" "," ")))/(LEN(L_PendNeg)+1))+SUMPRODUCT((LEN(BC105)-LEN(SUBSTITUTE(BC105," "&amp;L_PendPrep&amp;" "," ")))/(LEN(L_PendPrep)+1)),1,0),1)</f>
        <v>0</v>
      </c>
      <c r="BI105" s="61" t="n">
        <f aca="false">IFERROR(IF(SUMPRODUCT((LEN(BD105)-LEN(SUBSTITUTE(BD105," "&amp;L_PendStrict&amp;" "," ")))/(LEN(L_PendStrict)+1))&gt;SUMPRODUCT((LEN(BD105)-LEN(SUBSTITUTE(BD105," "&amp;L_PendNeg&amp;" "," ")))/(LEN(L_PendNeg)+1)),1,0),1)</f>
        <v>0</v>
      </c>
      <c r="BJ105" s="61" t="n">
        <f aca="false">IFERROR(IF(SUMPRODUCT((LEN(BE105)-LEN(SUBSTITUTE(BE105," "&amp;L_Pending&amp;" "," ")))/(LEN(L_Pending)+1))&gt;SUMPRODUCT((LEN(BE105)-LEN(SUBSTITUTE(BE105," "&amp;L_PendNeg&amp;" "," ")))/(LEN(L_PendNeg)+1))+SUMPRODUCT((LEN(BE105)-LEN(SUBSTITUTE(BE105," "&amp;L_PendPrep&amp;" "," ")))/(LEN(L_PendPrep)+1)),1,0),1)</f>
        <v>0</v>
      </c>
      <c r="BK105" s="61" t="n">
        <f aca="false">IFERROR(IF(SUMPRODUCT((LEN(BF105)-LEN(SUBSTITUTE(BF105," "&amp;L_PendStrict&amp;" "," ")))/(LEN(L_PendStrict)+1))&gt;SUMPRODUCT((LEN(BF105)-LEN(SUBSTITUTE(BF105," "&amp;L_PendNeg&amp;" "," ")))/(LEN(L_PendNeg)+1)),1,0),1)</f>
        <v>0</v>
      </c>
      <c r="BL105" s="61" t="n">
        <f aca="false">IF(ISNA(MATCH(TRIM(S105),L_EvidenceType,0)),0,BZ105)</f>
        <v>0</v>
      </c>
      <c r="BM105" s="61" t="str">
        <f aca="false">SUBSTITUTE(SUBSTITUTE(SUBSTITUTE(SUBSTITUTE(SUBSTITUTE(SUBSTITUTE(SUBSTITUTE(SUBSTITUTE(SUBSTITUTE(LOWER(Z105&amp;""),"1","0"),"2","0"),"3","0"),"4","0"),"5","0"),"6","0"),"7","0"),"8","0"),"9","0")</f>
        <v/>
      </c>
      <c r="BN105" s="61" t="str">
        <f aca="false">SUBSTITUTE(SUBSTITUTE(SUBSTITUTE(SUBSTITUTE(SUBSTITUTE(SUBSTITUTE(SUBSTITUTE(SUBSTITUTE(SUBSTITUTE(SUBSTITUTE(SUBSTITUTE(SUBSTITUTE(SUBSTITUTE(SUBSTITUTE(SUBSTITUTE(SUBSTITUTE(SUBSTITUTE(SUBSTITUTE(SUBSTITUTE(SUBSTITUTE(SUBSTITUTE(SUBSTITUTE(SUBSTITUTE(SUBSTITUTE(SUBSTITUTE(BM105,"b","a"),"c","a"),"d","a"),"e","a"),"f","a"),"g","a"),"h","a"),"i","a"),"j","a"),"k","a"),"l","a"),"m","a"),"n","a"),"o","a"),"p","a"),"q","a"),"r","a"),"s","a"),"t","a"),"u","a"),"v","a"),"w","a"),"x","a"),"y","a"),"z","a")</f>
        <v/>
      </c>
      <c r="BO105" s="61" t="str">
        <f aca="false">SUBSTITUTE(SUBSTITUTE(SUBSTITUTE(SUBSTITUTE(SUBSTITUTE(SUBSTITUTE(SUBSTITUTE(SUBSTITUTE(SUBSTITUTE(LOWER(W105&amp;""),"1","0"),"2","0"),"3","0"),"4","0"),"5","0"),"6","0"),"7","0"),"8","0"),"9","0")</f>
        <v/>
      </c>
      <c r="BP105" s="61" t="str">
        <f aca="false">SUBSTITUTE(SUBSTITUTE(SUBSTITUTE(SUBSTITUTE(SUBSTITUTE(SUBSTITUTE(SUBSTITUTE(SUBSTITUTE(SUBSTITUTE(SUBSTITUTE(SUBSTITUTE(SUBSTITUTE(SUBSTITUTE(SUBSTITUTE(SUBSTITUTE(SUBSTITUTE(SUBSTITUTE(SUBSTITUTE(SUBSTITUTE(SUBSTITUTE(SUBSTITUTE(SUBSTITUTE(SUBSTITUTE(SUBSTITUTE(SUBSTITUTE(BO105,"b","a"),"c","a"),"d","a"),"e","a"),"f","a"),"g","a"),"h","a"),"i","a"),"j","a"),"k","a"),"l","a"),"m","a"),"n","a"),"o","a"),"p","a"),"q","a"),"r","a"),"s","a"),"t","a"),"u","a"),"v","a"),"w","a"),"x","a"),"y","a"),"z","a")</f>
        <v/>
      </c>
      <c r="BQ105" s="61" t="n">
        <f aca="false">IFERROR(IF(AND(ISERROR(SEARCH(" mh"," "&amp;LOWER(W105))),ISNA(MATCH(LEFT(TRIM(BP105),255),{"0000a","000a","00a","0000aa","000aa","00aa","0aa","0000aaa","000aaa","00a00","0a00","0000-0000","00:00","a00","a0","00.00.0000","00/00/0000","00-00-0000","0000-00-00","0000/00/00","0000.00.00","00.00.00","00/00/00","00-00-00","0.00.0000","0/00/0000","0-00-0000"},0)),ISNA(MATCH(LEFT(TRIM(CA105),255),{"0000a","000a","00a","0000aa","000aa","00aa","0aa","0000aaa","000aaa","00a00","0a00","0000-0000","00:00","a00","a0","00.00.0000","00/00/0000","00-00-0000","0000-00-00","0000/00/00","0000.00.00","00.00.00","00/00/00","00-00-00","0.00.0000","0/00/0000","0-00-0000"},0)),LEN(CB105)&gt;=3,NOT(OR(SUBSTITUTE(CB105,"0","")="",AND(LEN(CB105)&gt;=4,CB105=REPT(LEFT(CB105),LEN(CB105))),ISNUMBER(MATCH(CB105,{"123","1234","12345","123456","1234567","12345678","0123","01234","012345","98765","987654","54321"},0)),AND(LEN(CB105)=8,LEFT(CB105,3)="202"))),OR(AND((LEN(CA105)-LEN(SUBSTITUTE(CA105,"a","")))&gt;=1,SUMPRODUCT(--ISNUMBER(SEARCH({"a0","a-0","a_0","a/0","a.0","a#0","0a","0-a","0_a","0/a"},BP105)))&gt;0),ISNUMBER(SEARCH("000000",BP105)))),1,0),0)</f>
        <v>0</v>
      </c>
      <c r="BR105" s="61" t="n">
        <f aca="false">IFERROR(LEN(SUBSTITUTE(CC105," ",""))-SUMPRODUCT((LEN(CC105)-LEN(SUBSTITUTE(CC105," "&amp;L_Role&amp;" "," ")))/(LEN(L_Role)+1)*LEN(L_Role)),0)</f>
        <v>0</v>
      </c>
      <c r="BS105" s="61" t="n">
        <f aca="false">IFERROR(LEN(SUBSTITUTE(CD105," ",""))-SUMPRODUCT((LEN(CD105)-LEN(SUBSTITUTE(CD105," "&amp;L_Role&amp;" "," ")))/(LEN(L_Role)+1)*LEN(L_Role)),0)</f>
        <v>0</v>
      </c>
      <c r="BT1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105,"revision",""),"version",""),"jan",""),"feb",""),"mar",""),"apr",""),"may",""),"jun",""),"jul",""),"aug",""),"sep",""),"oct",""),"nov",""),"dec",""),"utc",""),"gmt",""),"myt",""),"bst",""),"rev",""),"ver",""),"b","a"),"c","a"),"d","a"),"e","a"),"f","a"),"g","a"),"h","a"),"i","a"),"j","a"),"k","a"),"l","a"),"m","a"),"n","a"),"o","a"),"p","a"),"q","a"),"r","a"),"s","a"),"t","a"),"u","a"),"v","a"),"w","a"),"x","a"),"y","a"),"z","a")</f>
        <v/>
      </c>
      <c r="BU105" s="61" t="str">
        <f aca="false">SUBSTITUTE(SUBSTITUTE(SUBSTITUTE(SUBSTITUTE(SUBSTITUTE(SUBSTITUTE(SUBSTITUTE(SUBSTITUTE(SUBSTITUTE(SUBSTITUTE(LEFT(BM105,FIND("0",BM105&amp;"0")-1),"-",""),"_",""),"/",""),".",""),"#",""),"\\",""),":","")," ",""),"(",""),")","")</f>
        <v/>
      </c>
      <c r="BV105" s="61" t="n">
        <f aca="false">0</f>
        <v>0</v>
      </c>
      <c r="BW1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105&amp;""),"a",""),"b",""),"c",""),"d",""),"e",""),"f",""),"g",""),"h",""),"i",""),"j",""),"k",""),"l",""),"m",""),"n",""),"o",""),"p",""),"q",""),"r",""),"s",""),"t",""),"u",""),"v",""),"w",""),"x",""),"y",""),"z",""),"-",""),"_",""),"/",""),".",""),"#",""),"\\",""),":","")," ",""),"(",""),")","")</f>
        <v/>
      </c>
      <c r="BX105" s="61" t="str">
        <f aca="false">SUBSTITUTE(SUBSTITUTE(SUBSTITUTE(SUBSTITUTE(SUBSTITUTE(SUBSTITUTE(SUBSTITUTE(SUBSTITUTE(SUBSTITUTE(SUBSTITUTE(SUBSTITUTE(BM105,"0",""),"-",""),"_",""),"/",""),".",""),"#",""),"\\",""),":","")," ",""),"(",""),")","")</f>
        <v/>
      </c>
      <c r="BY105" s="62" t="n">
        <f aca="false">Q105-T12EarlyH/24</f>
        <v>46304.6458333333</v>
      </c>
      <c r="BZ105" s="61" t="n">
        <f aca="false">IFERROR(IF(IF(TRIM(S105)="Link / file path",AND(LEN(TRIM(Z105))&gt;=5,SUMPRODUCT(--ISNUMBER(SEARCH({"http","www.","\\",":\",".pdf",".jpg",".jpeg",".png",".heic",".xls",".doc",".msg",".eml",".ppt",".txt",".zip"},Z105)))&gt;0),AND(ISERROR(FIND(" ",TRIM(Z105))),NOT(OR(SUMPRODUCT(--ISNUMBER(FIND({",",";","&amp;","+"},Z105)))&gt;0,SUMPRODUCT(--ISNUMBER(SEARCH({"0/aa","0\\aa"},BN105)))&gt;0)),NOT(SUMPRODUCT(--ISNUMBER(SEARCH({"http","www.","\\",":\",".pdf",".jpg",".jpeg",".png",".heic",".xls",".doc",".msg",".eml",".ppt",".txt",".zip"},Z105)))&gt;0),NOT(LOWER(TRIM(Z105))=LOWER(Flights!$F$8)),ISNA(MATCH(BU105,{"mh","rev","revision","ver","version","v","r","a","b","seat","tray","row","gate","bay","stand","page","pg","item","line","no","cart","galley","flight","flt","table","box","bag","oven","etd","eta","std","sta","atd","ata","qty","pax","x","time","tel","ph","mob","day","wk","week","utc","gmt","myt","lt"},0)),NOT(OR(ISNUMBER(MATCH(LEFT(BN105,255),{"0000a","000a","00a","0000aa","000aa","00aa","0aa","0000aaa","000aaa","00a00","0a00","0000-0000","00:00","a00","a0","00.00.0000","00/00/0000","00-00-0000","0000-00-00","0000/00/00","0000.00.00","00.00.00","00/00/00","00-00-00","0.00.0000","0/00/0000","0-00-0000"},0)),ISNUMBER(MATCH(LEFT(BT105,255),{"0000a","000a","00a","0000aa","000aa","00aa","0aa","0000aaa","000aaa","00a00","0a00","0000-0000","00:00","a00","a0","00.00.0000","00/00/0000","00-00-0000","0000-00-00","0000/00/00","0000.00.00","00.00.00","00/00/00","00-00-00","0.00.0000","0/00/0000","0-00-0000"},0)))),NOT(OR(AND(BW105&lt;&gt;"",SUBSTITUTE(BW105,"0","")=""),AND(LEN(BW105)&gt;=4,BW105=REPT(LEFT(BW105),LEN(BW105))),ISNUMBER(MATCH(BW105,{"123","1234","12345","123456","1234567","12345678","0123","01234","012345","98765","987654","54321"},0)),ISNUMBER(MATCH(BX105,{"x","xx","xxx","xxxx","xxxxx","abc","abcd","nil","na","nan","test","tbc","tba","tbd","dummy","sample","example","eg","zz","zzz","none","null","xyz","qwe","asd","id","ref"},0)),AND(LEN(BW105)=8,BX105="",OR(LEFT(BW105,3)="202",ISNUMBER(MATCH(RIGHT(BW105,4),{"2025","2026","2027"},0)))))),OR(AND((LEN(BT105)-LEN(SUBSTITUTE(BT105,"a","")))&gt;=1,(LEN(BN105)-LEN(SUBSTITUTE(BN105,"0","")))&gt;=2,SUMPRODUCT(--ISNUMBER(SEARCH({"a0","a-0","a_0","a/0","a.0","a#0","0a","0-a","0_a","0/a"},BN105)))&gt;0),AND((LEN(BN105)-LEN(SUBSTITUTE(BN105,"a","")))=0,(LEN(BN105)-LEN(SUBSTITUTE(BN105,"0","")))&gt;=5)))),1,0),0)</f>
        <v>0</v>
      </c>
      <c r="CA1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105,"revision",""),"version",""),"jan",""),"feb",""),"mar",""),"apr",""),"may",""),"jun",""),"jul",""),"aug",""),"sep",""),"oct",""),"nov",""),"dec",""),"utc",""),"gmt",""),"myt",""),"bst",""),"rev",""),"ver",""),"b","a"),"c","a"),"d","a"),"e","a"),"f","a"),"g","a"),"h","a"),"i","a"),"j","a"),"k","a"),"l","a"),"m","a"),"n","a"),"o","a"),"p","a"),"q","a"),"r","a"),"s","a"),"t","a"),"u","a"),"v","a"),"w","a"),"x","a"),"y","a"),"z","a")</f>
        <v/>
      </c>
      <c r="CB1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105&amp;""),"a",""),"b",""),"c",""),"d",""),"e",""),"f",""),"g",""),"h",""),"i",""),"j",""),"k",""),"l",""),"m",""),"n",""),"o",""),"p",""),"q",""),"r",""),"s",""),"t",""),"u",""),"v",""),"w",""),"x",""),"y",""),"z",""),"-",""),"_",""),"/",""),".",""),"#",""),"\\",""),":","")," ",""),"(",""),")","")</f>
        <v/>
      </c>
      <c r="CC105" s="0" t="str">
        <f aca="false">" "&amp;TRIM(SUBSTITUTE(SUBSTITUTE(SUBSTITUTE(SUBSTITUTE(SUBSTITUTE(SUBSTITUTE(SUBSTITUTE(SUBSTITUTE(SUBSTITUTE(SUBSTITUTE(SUBSTITUTE(SUBSTITUTE(SUBSTITUTE(SUBSTITUTE(SUBSTITUTE(SUBSTITUTE(SUBSTITUTE(SUBSTITUTE(SUBSTITUTE(SUBSTITUTE(SUBSTITUTE(SUBSTITUTE(SUBSTITUTE(SUBSTITUTE(LOWER(T105&amp;""),CHAR(10)," "),CHAR(13)," "),CHAR(9)," "),CHAR(160)," "),"."," "),","," "),"-"," "),"/"," "),"("," "),")"," "),":"," "),";"," "),"_"," "),"–"," "),"?"," "),"!"," "),"*"," "),"["," "),"]"," "),"'"," "),"#"," "),"+"," "),"&amp;"," "),"\"," "))&amp;" "</f>
        <v>  </v>
      </c>
      <c r="CD105" s="0" t="str">
        <f aca="false">" "&amp;TRIM(SUBSTITUTE(SUBSTITUTE(SUBSTITUTE(SUBSTITUTE(SUBSTITUTE(SUBSTITUTE(SUBSTITUTE(SUBSTITUTE(SUBSTITUTE(SUBSTITUTE(SUBSTITUTE(SUBSTITUTE(SUBSTITUTE(SUBSTITUTE(SUBSTITUTE(SUBSTITUTE(SUBSTITUTE(SUBSTITUTE(SUBSTITUTE(SUBSTITUTE(SUBSTITUTE(SUBSTITUTE(SUBSTITUTE(SUBSTITUTE(LOWER(AE105&amp;""),CHAR(10)," "),CHAR(13)," "),CHAR(9)," "),CHAR(160)," "),"."," "),","," "),"-"," "),"/"," "),"("," "),")"," "),":"," "),";"," "),"_"," "),"–"," "),"?"," "),"!"," "),"*"," "),"["," "),"]"," "),"'"," "),"#"," "),"+"," "),"&amp;"," "),"\"," "))&amp;" "</f>
        <v>  </v>
      </c>
      <c r="CE105" s="68" t="n">
        <f aca="false">IFERROR(IF(AND(LEN(AU105)&gt;0,LEN(AU105)=LEN(AX105),OR(TRIM(MID(SUBSTITUTE(TRIM(CC105)," ",REPT(" ",60)),1,60))="",ISNUMBER(SEARCH(" "&amp;TRIM(MID(SUBSTITUTE(TRIM(CC105)," ",REPT(" ",60)),1,60))&amp;" ",CD105))),OR(TRIM(MID(SUBSTITUTE(TRIM(CC105)," ",REPT(" ",60)),61,60))="",ISNUMBER(SEARCH(" "&amp;TRIM(MID(SUBSTITUTE(TRIM(CC105)," ",REPT(" ",60)),61,60))&amp;" ",CD105))),OR(TRIM(MID(SUBSTITUTE(TRIM(CC105)," ",REPT(" ",60)),121,60))="",ISNUMBER(SEARCH(" "&amp;TRIM(MID(SUBSTITUTE(TRIM(CC105)," ",REPT(" ",60)),121,60))&amp;" ",CD105)))),1,0),0)</f>
        <v>0</v>
      </c>
      <c r="CG105" s="68" t="n">
        <f aca="false">IFERROR(LEN(SUBSTITUTE(BF105," ",""))-SUMPRODUCT((LEN(BF105)-LEN(SUBSTITUTE(BF105," "&amp;L_NAFiller&amp;" "," ")))/(LEN(L_NAFiller)+1)*LEN(L_NAFiller)),0)</f>
        <v>0</v>
      </c>
    </row>
    <row r="106" customFormat="false" ht="39.75" hidden="false" customHeight="true" outlineLevel="0" collapsed="false">
      <c r="A106" s="57" t="s">
        <v>599</v>
      </c>
      <c r="B106" s="57" t="s">
        <v>218</v>
      </c>
      <c r="C106" s="57" t="str">
        <f aca="false">Flights!$F$8</f>
        <v>MH0088</v>
      </c>
      <c r="D106" s="58" t="n">
        <f aca="false">Flights!$D$8</f>
        <v>46305</v>
      </c>
      <c r="E106" s="57" t="str">
        <f aca="false">Flights!$G$8&amp;"-"&amp;Flights!$H$8</f>
        <v>KUL-NRT</v>
      </c>
      <c r="F106" s="57" t="str">
        <f aca="false">Flights!$K$8</f>
        <v>BC</v>
      </c>
      <c r="G106" s="57" t="s">
        <v>420</v>
      </c>
      <c r="H106" s="57" t="s">
        <v>378</v>
      </c>
      <c r="I106" s="57" t="s">
        <v>428</v>
      </c>
      <c r="J106" s="57" t="s">
        <v>438</v>
      </c>
      <c r="K106" s="67"/>
      <c r="L106" s="67" t="s">
        <v>422</v>
      </c>
      <c r="M106" s="67"/>
      <c r="N106" s="67" t="s">
        <v>383</v>
      </c>
      <c r="O106" s="67" t="s">
        <v>423</v>
      </c>
      <c r="P106" s="57" t="s">
        <v>187</v>
      </c>
      <c r="Q106" s="59" t="n">
        <f aca="false">ROUND((Flights!$AE$8)*1440,0)/1440</f>
        <v>46305.1458333333</v>
      </c>
      <c r="R106" s="59" t="n">
        <f aca="false">Q106+(IF(AND(INDEX(TZ_DSTS,MATCH(P106,TZ_STN,0))&lt;&gt;"",Q106&gt;=INDEX(TZ_DSTS,MATCH(P106,TZ_STN,0)),Q106&lt;INDEX(TZ_DSTE,MATCH(P106,TZ_STN,0))),INDEX(TZ_DST,MATCH(P106,TZ_STN,0)),INDEX(TZ_STD,MATCH(P106,TZ_STN,0))))/24</f>
        <v>46305.4791666667</v>
      </c>
      <c r="S106" s="60"/>
      <c r="T106" s="60"/>
      <c r="U106" s="60"/>
      <c r="V106" s="60"/>
      <c r="W106" s="61"/>
      <c r="X106" s="60"/>
      <c r="Y106" s="60"/>
      <c r="Z106" s="60"/>
      <c r="AA106" s="60"/>
      <c r="AB106" s="60"/>
      <c r="AC106" s="60"/>
      <c r="AD106" s="66"/>
      <c r="AE106" s="60"/>
      <c r="AF106" s="61" t="str">
        <f aca="false">IF(AND(ISNUMBER(X106),ISNUMBER(Y106)),Y106-X106,"")</f>
        <v/>
      </c>
      <c r="AG106" s="62" t="str">
        <f aca="false">IF(ISNUMBER(AD106),AD106-(IF(AND(INDEX(TZ_DSTS,MATCH(P106,TZ_STN,0))&lt;&gt;"",(AD106-INDEX(TZ_STD,MATCH(P106,TZ_STN,0))/24)&gt;=INDEX(TZ_DSTS,MATCH(P106,TZ_STN,0)),(AD106-INDEX(TZ_STD,MATCH(P106,TZ_STN,0))/24)&lt;INDEX(TZ_DSTE,MATCH(P106,TZ_STN,0))),INDEX(TZ_DST,MATCH(P106,TZ_STN,0)),INDEX(TZ_STD,MATCH(P106,TZ_STN,0))))/24,"")</f>
        <v/>
      </c>
      <c r="AH106" s="65" t="str">
        <f aca="false">IFERROR(IF(N106="N/A – rule",IF(OR(TRIM(U106)="",TRIM(U106)="N/A",TRIM(U106)="Not started"),"N/A – RULE","INVALID – this check does not apply to this aircraft: clear the status (or correct the fleet on Flights)"),IF(TRIM(U106)="N/A",IF(AT106=0,"INVALID – N/A not permitted for this check",IF(AND(TRIM(AB106)&lt;&gt;"",TRIM(AB106)&lt;&gt;"Closed"),"INVALID – corrective action still open",IF(AND(NOT(OR(LEN(AZ106)&lt;15,ISNUMBER(MATCH(AZ106,L_Placeholder,0)))),BK106=0,CG106&gt;=8,NOT(OR(LEN(AU106)&lt;2,ISNUMBER(MATCH(AU106,L_Placeholder,0)))),BR106&gt;=3,NOT(OR(LEN(AX106)&lt;2,ISNUMBER(MATCH(AX106,L_Placeholder,0)))),BS106&gt;=3,TRIM(AE106)&lt;&gt;TRIM(T106),AX106&lt;&gt;AU106,CE106=0),"N/A – JUSTIFIED","INVALID – N/A needs a real, settled reason (not 'not applicable' / 'as above' / TBC), a named PIC and a different named verifier"))),IF(OR(TRIM(U106)="Pass",TRIM(U106)="Pass after CA"),IF(NOT(ISNUMBER(AD106)),"INVALID – completion time missing",IF(OR(OR(LEN(AU106)&lt;2,ISNUMBER(MATCH(AU106,L_Placeholder,0))),BR106&lt;3),"INVALID – PIC missing or not a named person (a role such as QA / CSM is not a name)",IF(OR(LEN(AV106)&lt;2,ISNUMBER(MATCH(AV106,L_Placeholder,0))),"INVALID – result / assessment missing",IF(OR(OR(LEN(AW106)&lt;3,ISNUMBER(MATCH(AW106,L_Placeholder,0))),SUMPRODUCT(--ISNUMBER(SEARCH(" "&amp;L_EvidencePhrase&amp;" ",BD106)))&gt;0,BI106=1),"INVALID – evidence missing, placeholder or not yet on file",IF(ISNA(MATCH(TRIM(S106),L_EvidenceType,0)),"INVALID – choose the evidence type from the list (column S)",IF(BL106=0,"INVALID – evidence ID must be the record's own ID only (e.g. SF-2210, IMG_2231, 1045521); a link / file name needs type 'Link / file path'",IF(OR(OR(LEN(AX106)&lt;2,ISNUMBER(MATCH(AX106,L_Placeholder,0))),BS106&lt;3),"INVALID – verifier missing or not a named person (a role such as QA / CSM is not a name)",IF(OR(AX106=AU106,CE106=1,AND(LEN(AU106)&gt;=4,ISNUMBER(SEARCH(AU106,AX106))),AND(LEN(AX106)&gt;=4,ISNUMBER(SEARCH(AX106,AU106)))),"INVALID – verifier must be a different, named person (not the PIC or a role)",IF(BH106=1,"INVALID – result not yet available (awaiting / TBC)",IF(BG106=1,"INVALID – result describes a problem: record Fail, then Pass after CA (or reword if it is not a problem)",IF(BV106=1,"INVALID – wording says not on board: an on-board confirmation needs the item loaded",IF(AND(AQ106=1,OR(OR(LEN(AY106)&lt;3,ISNUMBER(MATCH(AY106,L_Placeholder,0))),BJ106=1,BQ106=0)),"INVALID – batch ID missing, placeholder or not an ID (e.g. PASB-261008-BC-017)",IF(AND(AR106=1,OR(NOT(ISNUMBER(X106)),NOT(ISNUMBER(Y106)))),"INVALID – expected/actual qty missing",IF(AND(AR106=1,OR(X106&lt;=0,Y106&lt;0)),"INVALID – expected qty must be above 0 and actual not negative",IF(BB106&lt;&gt;"",BB106,IF(AND(AS106=1,Documents!$J$8&lt;&gt;"ON FILE"),"INVALID – GLD not on file (Documents sheet)",IF(AND(AS106=2,Documents!$O$8&lt;&gt;"ON FILE"),"INVALID – menu checklist not on file (Documents sheet)",IF(AND(AS106=3,NOT(ISNUMBER(Flights!$AX$8))),"INVALID – enter carrying flight KUL departure (Flights AX)",IF(AND(AS106=3,OR(Flights!$AZ$8&gt;Flights!$AA$8,Flights!$AX$8&lt;Flights!$AA$8-3)),"INVALID – carrying flight (Flights AX) cannot arrive before this leg's STD, or is over 3 days early",IF(AG106&gt;AsOfUTC,"INVALID – completion time is in the future",IF(AND(ISNUMBER(BY106),AG106&lt;BY106),IF(H106="Physical uplift","INVALID – before uplift window (cannot confirm loading)","INVALID – before valid window"),IF(AG106&gt;Flights!$AA$8,"INVALID – completed after departure (cannot establish readiness)",IF(AND(H106="Preparation",AG106&gt;=IF(ISNUMBER(Flights!$BA$8),MIN(Flights!$BA$8,Flights!$AA$8),Flights!$AA$8)),"INVALID – completed after loading / departure (cannot establish readiness)",IF(AND(H106="Physical uplift",AG106&gt;Q106),"INVALID – recorded after the loading flight departed",IF(AG106&gt;Q106,"COMPLETE – LATE","COMPLETE"))))))))))))))))))))))))),IF(TRIM(U106)="Fail","FAIL – DISCREPANCY",IF(AND(TRIM(U106)&lt;&gt;"",TRIM(U106)&lt;&gt;"Not started",TRIM(U106)&lt;&gt;"In progress"),"INVALID – unrecognised status (use the list)",IF(AsOfUTC&gt;Q106,"OVERDUE",IF(N106="Clarification required","OPEN – CLARIFICATION","OPEN"))))))),"INVALID – error value in an input cell")</f>
        <v>OPEN</v>
      </c>
      <c r="AI106" s="61" t="n">
        <f aca="false">IF(OR(AH106="N/A – RULE",AH106="N/A – JUSTIFIED"),0,1)</f>
        <v>1</v>
      </c>
      <c r="AJ106" s="61" t="n">
        <f aca="false">IF(LEFT(AH106,8)="COMPLETE",1,0)</f>
        <v>0</v>
      </c>
      <c r="AK106" s="61" t="n">
        <f aca="false">IF(AND(AI106=1,AJ106=0,AsOfUTC&gt;Q106),1,0)</f>
        <v>0</v>
      </c>
      <c r="AL106" s="61" t="n">
        <f aca="false">IFERROR(IF(AND(AI106=1,OR(TRIM(U106)="Fail",AND(TRIM(AB106)&lt;&gt;"",TRIM(AB106)&lt;&gt;"Closed"),AND(ISNUMBER(AF106),AF106&lt;&gt;0,TRIM(U106)&lt;&gt;"Pass after CA"))),1,0),1)</f>
        <v>0</v>
      </c>
      <c r="AM106" s="61" t="n">
        <f aca="false">IF(LEFT(AH106,7)="INVALID",1,0)</f>
        <v>0</v>
      </c>
      <c r="AN106" s="61" t="n">
        <f aca="false">IF(AND(N106="Clarification required",AI106=1,AJ106=0),1,0)</f>
        <v>0</v>
      </c>
      <c r="AO106" s="61" t="str">
        <f aca="false">IF(AK106=1,SUM(AK$5:AK106),"")</f>
        <v/>
      </c>
      <c r="AP106" s="61" t="str">
        <f aca="false">IF(AL106=1,SUM(AL$5:AL106),"")</f>
        <v/>
      </c>
      <c r="AQ106" s="61" t="n">
        <v>0</v>
      </c>
      <c r="AR106" s="61" t="n">
        <v>0</v>
      </c>
      <c r="AS106" s="61" t="n">
        <v>0</v>
      </c>
      <c r="AT106" s="61" t="n">
        <v>0</v>
      </c>
      <c r="AU106" s="61" t="str">
        <f aca="false">SUBSTITUTE(SUBSTITUTE(SUBSTITUTE(SUBSTITUTE(SUBSTITUTE(SUBSTITUTE(SUBSTITUTE(SUBSTITUTE(SUBSTITUTE(SUBSTITUTE(SUBSTITUTE(SUBSTITUTE(SUBSTITUTE(SUBSTITUTE(SUBSTITUTE(SUBSTITUTE(LOWER(T106&amp;""),CHAR(10),""),CHAR(13),""),CHAR(9),""),CHAR(160),"")," ",""),".",""),"-",""),"/",""),"?",""),"_",""),",",""),"[",""),"]",""),"(",""),")",""),"*","")</f>
        <v/>
      </c>
      <c r="AV106" s="61" t="str">
        <f aca="false">SUBSTITUTE(SUBSTITUTE(SUBSTITUTE(SUBSTITUTE(SUBSTITUTE(SUBSTITUTE(SUBSTITUTE(SUBSTITUTE(SUBSTITUTE(SUBSTITUTE(SUBSTITUTE(SUBSTITUTE(SUBSTITUTE(SUBSTITUTE(SUBSTITUTE(SUBSTITUTE(LOWER(V106&amp;""),CHAR(10),""),CHAR(13),""),CHAR(9),""),CHAR(160),"")," ",""),".",""),"-",""),"/",""),"?",""),"_",""),",",""),"[",""),"]",""),"(",""),")",""),"*","")</f>
        <v/>
      </c>
      <c r="AW106" s="61" t="str">
        <f aca="false">SUBSTITUTE(SUBSTITUTE(SUBSTITUTE(SUBSTITUTE(SUBSTITUTE(SUBSTITUTE(SUBSTITUTE(SUBSTITUTE(SUBSTITUTE(SUBSTITUTE(SUBSTITUTE(SUBSTITUTE(SUBSTITUTE(SUBSTITUTE(SUBSTITUTE(SUBSTITUTE(LOWER(Z106&amp;""),CHAR(10),""),CHAR(13),""),CHAR(9),""),CHAR(160),"")," ",""),".",""),"-",""),"/",""),"?",""),"_",""),",",""),"[",""),"]",""),"(",""),")",""),"*","")</f>
        <v/>
      </c>
      <c r="AX106" s="61" t="str">
        <f aca="false">SUBSTITUTE(SUBSTITUTE(SUBSTITUTE(SUBSTITUTE(SUBSTITUTE(SUBSTITUTE(SUBSTITUTE(SUBSTITUTE(SUBSTITUTE(SUBSTITUTE(SUBSTITUTE(SUBSTITUTE(SUBSTITUTE(SUBSTITUTE(SUBSTITUTE(SUBSTITUTE(LOWER(AE106&amp;""),CHAR(10),""),CHAR(13),""),CHAR(9),""),CHAR(160),"")," ",""),".",""),"-",""),"/",""),"?",""),"_",""),",",""),"[",""),"]",""),"(",""),")",""),"*","")</f>
        <v/>
      </c>
      <c r="AY106" s="61" t="str">
        <f aca="false">SUBSTITUTE(SUBSTITUTE(SUBSTITUTE(SUBSTITUTE(SUBSTITUTE(SUBSTITUTE(SUBSTITUTE(SUBSTITUTE(SUBSTITUTE(SUBSTITUTE(SUBSTITUTE(SUBSTITUTE(SUBSTITUTE(SUBSTITUTE(SUBSTITUTE(SUBSTITUTE(LOWER(W106&amp;""),CHAR(10),""),CHAR(13),""),CHAR(9),""),CHAR(160),"")," ",""),".",""),"-",""),"/",""),"?",""),"_",""),",",""),"[",""),"]",""),"(",""),")",""),"*","")</f>
        <v/>
      </c>
      <c r="AZ106" s="61" t="str">
        <f aca="false">SUBSTITUTE(SUBSTITUTE(SUBSTITUTE(SUBSTITUTE(SUBSTITUTE(SUBSTITUTE(SUBSTITUTE(SUBSTITUTE(SUBSTITUTE(SUBSTITUTE(SUBSTITUTE(SUBSTITUTE(SUBSTITUTE(SUBSTITUTE(SUBSTITUTE(SUBSTITUTE(LOWER(AC106&amp;""),CHAR(10),""),CHAR(13),""),CHAR(9),""),CHAR(160),"")," ",""),".",""),"-",""),"/",""),"?",""),"_",""),",",""),"[",""),"]",""),"(",""),")",""),"*","")</f>
        <v/>
      </c>
      <c r="BA106" s="61" t="str">
        <f aca="false">SUBSTITUTE(SUBSTITUTE(SUBSTITUTE(SUBSTITUTE(SUBSTITUTE(SUBSTITUTE(SUBSTITUTE(SUBSTITUTE(SUBSTITUTE(SUBSTITUTE(SUBSTITUTE(SUBSTITUTE(SUBSTITUTE(SUBSTITUTE(SUBSTITUTE(SUBSTITUTE(LOWER(AA106&amp;""),CHAR(10),""),CHAR(13),""),CHAR(9),""),CHAR(160),"")," ",""),".",""),"-",""),"/",""),"?",""),"_",""),",",""),"[",""),"]",""),"(",""),")",""),"*","")</f>
        <v/>
      </c>
      <c r="BB106" s="61" t="str">
        <f aca="false">IF(AND(TRIM(U106)="Pass",ISNUMBER(AF106)),IF(AF106&lt;&gt;0,"INVALID – qty variance: use Fail or Pass after CA",""),"")&amp;IF(AND(TRIM(U106)="Pass after CA",ISNUMBER(AF106)),IF(AF106&lt;&gt;0,"INVALID – after the corrective action the actual qty must equal expected (update Actual)",""),"")&amp;IF(AND(TRIM(U106)="Pass",TRIM(AB106)&lt;&gt;"",TRIM(AB106)&lt;&gt;"Closed"),"INVALID – corrective action not closed: use Fail, then Pass after CA","")&amp;IF(AND(LEN(BA106)&gt;=2,ISNA(MATCH(LEFT(BA106,255),L_Placeholder,0)),TRIM(AB106)=""),"INVALID – CA status missing for the recorded corrective action","")&amp;IF(AND(TRIM(U106)="Pass after CA",OR(OR(LEN(BA106)&lt;5,ISNUMBER(MATCH(BA106,L_Placeholder,0))),TRIM(AB106)&lt;&gt;"Closed")),"INVALID – corrective action not recorded/closed","")</f>
        <v/>
      </c>
      <c r="BC106" s="61" t="str">
        <f aca="false">" "&amp;TRIM(SUBSTITUTE(SUBSTITUTE(SUBSTITUTE(SUBSTITUTE(SUBSTITUTE(SUBSTITUTE(SUBSTITUTE(SUBSTITUTE(SUBSTITUTE(SUBSTITUTE(SUBSTITUTE(SUBSTITUTE(SUBSTITUTE(SUBSTITUTE(SUBSTITUTE(SUBSTITUTE(SUBSTITUTE(SUBSTITUTE(SUBSTITUTE(SUBSTITUTE(SUBSTITUTE(SUBSTITUTE(SUBSTITUTE(SUBSTITUTE(LOWER(V106&amp;""),CHAR(10)," "),CHAR(13)," "),CHAR(9)," "),CHAR(160)," "),"."," "),","," "),"-"," "),"/"," "),"("," "),")"," "),":"," "),";"," "),"_"," "),"–"," "),"?"," "),"!"," "),"*"," "),"["," "),"]"," "),"'"," "),"#"," "),"+"," "),"&amp;"," "),"\"," "))&amp;" "</f>
        <v>  </v>
      </c>
      <c r="BD106" s="61" t="str">
        <f aca="false">" "&amp;TRIM(SUBSTITUTE(SUBSTITUTE(SUBSTITUTE(SUBSTITUTE(SUBSTITUTE(SUBSTITUTE(SUBSTITUTE(SUBSTITUTE(SUBSTITUTE(SUBSTITUTE(SUBSTITUTE(SUBSTITUTE(SUBSTITUTE(SUBSTITUTE(SUBSTITUTE(SUBSTITUTE(SUBSTITUTE(SUBSTITUTE(SUBSTITUTE(SUBSTITUTE(SUBSTITUTE(SUBSTITUTE(SUBSTITUTE(SUBSTITUTE(LOWER(Z106&amp;""),CHAR(10)," "),CHAR(13)," "),CHAR(9)," "),CHAR(160)," "),"."," "),","," "),"-"," "),"/"," "),"("," "),")"," "),":"," "),";"," "),"_"," "),"–"," "),"?"," "),"!"," "),"*"," "),"["," "),"]"," "),"'"," "),"#"," "),"+"," "),"&amp;"," "),"\"," "))&amp;" "</f>
        <v>  </v>
      </c>
      <c r="BE106" s="61" t="str">
        <f aca="false">" "&amp;TRIM(SUBSTITUTE(SUBSTITUTE(SUBSTITUTE(SUBSTITUTE(SUBSTITUTE(SUBSTITUTE(SUBSTITUTE(SUBSTITUTE(SUBSTITUTE(SUBSTITUTE(SUBSTITUTE(SUBSTITUTE(SUBSTITUTE(SUBSTITUTE(SUBSTITUTE(SUBSTITUTE(SUBSTITUTE(SUBSTITUTE(SUBSTITUTE(SUBSTITUTE(SUBSTITUTE(SUBSTITUTE(SUBSTITUTE(SUBSTITUTE(LOWER(W106&amp;""),CHAR(10)," "),CHAR(13)," "),CHAR(9)," "),CHAR(160)," "),"."," "),","," "),"-"," "),"/"," "),"("," "),")"," "),":"," "),";"," "),"_"," "),"–"," "),"?"," "),"!"," "),"*"," "),"["," "),"]"," "),"'"," "),"#"," "),"+"," "),"&amp;"," "),"\"," "))&amp;" "</f>
        <v>  </v>
      </c>
      <c r="BF106" s="61" t="str">
        <f aca="false">" "&amp;TRIM(SUBSTITUTE(SUBSTITUTE(SUBSTITUTE(SUBSTITUTE(SUBSTITUTE(SUBSTITUTE(SUBSTITUTE(SUBSTITUTE(SUBSTITUTE(SUBSTITUTE(SUBSTITUTE(SUBSTITUTE(SUBSTITUTE(SUBSTITUTE(SUBSTITUTE(SUBSTITUTE(SUBSTITUTE(SUBSTITUTE(SUBSTITUTE(SUBSTITUTE(SUBSTITUTE(SUBSTITUTE(SUBSTITUTE(SUBSTITUTE(LOWER(AC106&amp;""),CHAR(10)," "),CHAR(13)," "),CHAR(9)," "),CHAR(160)," "),"."," "),","," "),"-"," "),"/"," "),"("," "),")"," "),":"," "),";"," "),"_"," "),"–"," "),"?"," "),"!"," "),"*"," "),"["," "),"]"," "),"'"," "),"#"," "),"+"," "),"&amp;"," "),"\"," "))&amp;" "</f>
        <v>  </v>
      </c>
      <c r="BG106" s="61" t="n">
        <f aca="false">IFERROR(IF(AND(TRIM(U106)="Pass",SUMPRODUCT((LEN(BC106)-LEN(SUBSTITUTE(BC106," "&amp;L_ResultBad&amp;" "," ")))/(LEN(L_ResultBad)+1))&gt;SUMPRODUCT((LEN(BC106)-LEN(SUBSTITUTE(BC106," "&amp;L_NegPhrase&amp;" "," ")))/(LEN(L_NegPhrase)+1))),1,0),0)</f>
        <v>0</v>
      </c>
      <c r="BH106" s="61" t="n">
        <f aca="false">IFERROR(IF(SUMPRODUCT((LEN(BC106)-LEN(SUBSTITUTE(BC106," "&amp;L_Pending&amp;" "," ")))/(LEN(L_Pending)+1))&gt;SUMPRODUCT((LEN(BC106)-LEN(SUBSTITUTE(BC106," "&amp;L_PendNeg&amp;" "," ")))/(LEN(L_PendNeg)+1))+SUMPRODUCT((LEN(BC106)-LEN(SUBSTITUTE(BC106," "&amp;L_PendPrep&amp;" "," ")))/(LEN(L_PendPrep)+1)),1,0),1)</f>
        <v>0</v>
      </c>
      <c r="BI106" s="61" t="n">
        <f aca="false">IFERROR(IF(SUMPRODUCT((LEN(BD106)-LEN(SUBSTITUTE(BD106," "&amp;L_PendStrict&amp;" "," ")))/(LEN(L_PendStrict)+1))&gt;SUMPRODUCT((LEN(BD106)-LEN(SUBSTITUTE(BD106," "&amp;L_PendNeg&amp;" "," ")))/(LEN(L_PendNeg)+1)),1,0),1)</f>
        <v>0</v>
      </c>
      <c r="BJ106" s="61" t="n">
        <f aca="false">IFERROR(IF(SUMPRODUCT((LEN(BE106)-LEN(SUBSTITUTE(BE106," "&amp;L_Pending&amp;" "," ")))/(LEN(L_Pending)+1))&gt;SUMPRODUCT((LEN(BE106)-LEN(SUBSTITUTE(BE106," "&amp;L_PendNeg&amp;" "," ")))/(LEN(L_PendNeg)+1))+SUMPRODUCT((LEN(BE106)-LEN(SUBSTITUTE(BE106," "&amp;L_PendPrep&amp;" "," ")))/(LEN(L_PendPrep)+1)),1,0),1)</f>
        <v>0</v>
      </c>
      <c r="BK106" s="61" t="n">
        <f aca="false">IFERROR(IF(SUMPRODUCT((LEN(BF106)-LEN(SUBSTITUTE(BF106," "&amp;L_PendStrict&amp;" "," ")))/(LEN(L_PendStrict)+1))&gt;SUMPRODUCT((LEN(BF106)-LEN(SUBSTITUTE(BF106," "&amp;L_PendNeg&amp;" "," ")))/(LEN(L_PendNeg)+1)),1,0),1)</f>
        <v>0</v>
      </c>
      <c r="BL106" s="61" t="n">
        <f aca="false">IF(ISNA(MATCH(TRIM(S106),L_EvidenceType,0)),0,BZ106)</f>
        <v>0</v>
      </c>
      <c r="BM106" s="61" t="str">
        <f aca="false">SUBSTITUTE(SUBSTITUTE(SUBSTITUTE(SUBSTITUTE(SUBSTITUTE(SUBSTITUTE(SUBSTITUTE(SUBSTITUTE(SUBSTITUTE(LOWER(Z106&amp;""),"1","0"),"2","0"),"3","0"),"4","0"),"5","0"),"6","0"),"7","0"),"8","0"),"9","0")</f>
        <v/>
      </c>
      <c r="BN106" s="61" t="str">
        <f aca="false">SUBSTITUTE(SUBSTITUTE(SUBSTITUTE(SUBSTITUTE(SUBSTITUTE(SUBSTITUTE(SUBSTITUTE(SUBSTITUTE(SUBSTITUTE(SUBSTITUTE(SUBSTITUTE(SUBSTITUTE(SUBSTITUTE(SUBSTITUTE(SUBSTITUTE(SUBSTITUTE(SUBSTITUTE(SUBSTITUTE(SUBSTITUTE(SUBSTITUTE(SUBSTITUTE(SUBSTITUTE(SUBSTITUTE(SUBSTITUTE(SUBSTITUTE(BM106,"b","a"),"c","a"),"d","a"),"e","a"),"f","a"),"g","a"),"h","a"),"i","a"),"j","a"),"k","a"),"l","a"),"m","a"),"n","a"),"o","a"),"p","a"),"q","a"),"r","a"),"s","a"),"t","a"),"u","a"),"v","a"),"w","a"),"x","a"),"y","a"),"z","a")</f>
        <v/>
      </c>
      <c r="BO106" s="61" t="str">
        <f aca="false">SUBSTITUTE(SUBSTITUTE(SUBSTITUTE(SUBSTITUTE(SUBSTITUTE(SUBSTITUTE(SUBSTITUTE(SUBSTITUTE(SUBSTITUTE(LOWER(W106&amp;""),"1","0"),"2","0"),"3","0"),"4","0"),"5","0"),"6","0"),"7","0"),"8","0"),"9","0")</f>
        <v/>
      </c>
      <c r="BP106" s="61" t="str">
        <f aca="false">SUBSTITUTE(SUBSTITUTE(SUBSTITUTE(SUBSTITUTE(SUBSTITUTE(SUBSTITUTE(SUBSTITUTE(SUBSTITUTE(SUBSTITUTE(SUBSTITUTE(SUBSTITUTE(SUBSTITUTE(SUBSTITUTE(SUBSTITUTE(SUBSTITUTE(SUBSTITUTE(SUBSTITUTE(SUBSTITUTE(SUBSTITUTE(SUBSTITUTE(SUBSTITUTE(SUBSTITUTE(SUBSTITUTE(SUBSTITUTE(SUBSTITUTE(BO106,"b","a"),"c","a"),"d","a"),"e","a"),"f","a"),"g","a"),"h","a"),"i","a"),"j","a"),"k","a"),"l","a"),"m","a"),"n","a"),"o","a"),"p","a"),"q","a"),"r","a"),"s","a"),"t","a"),"u","a"),"v","a"),"w","a"),"x","a"),"y","a"),"z","a")</f>
        <v/>
      </c>
      <c r="BQ106" s="61" t="n">
        <f aca="false">IFERROR(IF(AND(ISERROR(SEARCH(" mh"," "&amp;LOWER(W106))),ISNA(MATCH(LEFT(TRIM(BP106),255),{"0000a","000a","00a","0000aa","000aa","00aa","0aa","0000aaa","000aaa","00a00","0a00","0000-0000","00:00","a00","a0","00.00.0000","00/00/0000","00-00-0000","0000-00-00","0000/00/00","0000.00.00","00.00.00","00/00/00","00-00-00","0.00.0000","0/00/0000","0-00-0000"},0)),ISNA(MATCH(LEFT(TRIM(CA106),255),{"0000a","000a","00a","0000aa","000aa","00aa","0aa","0000aaa","000aaa","00a00","0a00","0000-0000","00:00","a00","a0","00.00.0000","00/00/0000","00-00-0000","0000-00-00","0000/00/00","0000.00.00","00.00.00","00/00/00","00-00-00","0.00.0000","0/00/0000","0-00-0000"},0)),LEN(CB106)&gt;=3,NOT(OR(SUBSTITUTE(CB106,"0","")="",AND(LEN(CB106)&gt;=4,CB106=REPT(LEFT(CB106),LEN(CB106))),ISNUMBER(MATCH(CB106,{"123","1234","12345","123456","1234567","12345678","0123","01234","012345","98765","987654","54321"},0)),AND(LEN(CB106)=8,LEFT(CB106,3)="202"))),OR(AND((LEN(CA106)-LEN(SUBSTITUTE(CA106,"a","")))&gt;=1,SUMPRODUCT(--ISNUMBER(SEARCH({"a0","a-0","a_0","a/0","a.0","a#0","0a","0-a","0_a","0/a"},BP106)))&gt;0),ISNUMBER(SEARCH("000000",BP106)))),1,0),0)</f>
        <v>0</v>
      </c>
      <c r="BR106" s="61" t="n">
        <f aca="false">IFERROR(LEN(SUBSTITUTE(CC106," ",""))-SUMPRODUCT((LEN(CC106)-LEN(SUBSTITUTE(CC106," "&amp;L_Role&amp;" "," ")))/(LEN(L_Role)+1)*LEN(L_Role)),0)</f>
        <v>0</v>
      </c>
      <c r="BS106" s="61" t="n">
        <f aca="false">IFERROR(LEN(SUBSTITUTE(CD106," ",""))-SUMPRODUCT((LEN(CD106)-LEN(SUBSTITUTE(CD106," "&amp;L_Role&amp;" "," ")))/(LEN(L_Role)+1)*LEN(L_Role)),0)</f>
        <v>0</v>
      </c>
      <c r="BT1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106,"revision",""),"version",""),"jan",""),"feb",""),"mar",""),"apr",""),"may",""),"jun",""),"jul",""),"aug",""),"sep",""),"oct",""),"nov",""),"dec",""),"utc",""),"gmt",""),"myt",""),"bst",""),"rev",""),"ver",""),"b","a"),"c","a"),"d","a"),"e","a"),"f","a"),"g","a"),"h","a"),"i","a"),"j","a"),"k","a"),"l","a"),"m","a"),"n","a"),"o","a"),"p","a"),"q","a"),"r","a"),"s","a"),"t","a"),"u","a"),"v","a"),"w","a"),"x","a"),"y","a"),"z","a")</f>
        <v/>
      </c>
      <c r="BU106" s="61" t="str">
        <f aca="false">SUBSTITUTE(SUBSTITUTE(SUBSTITUTE(SUBSTITUTE(SUBSTITUTE(SUBSTITUTE(SUBSTITUTE(SUBSTITUTE(SUBSTITUTE(SUBSTITUTE(LEFT(BM106,FIND("0",BM106&amp;"0")-1),"-",""),"_",""),"/",""),".",""),"#",""),"\\",""),":","")," ",""),"(",""),")","")</f>
        <v/>
      </c>
      <c r="BV106" s="61" t="n">
        <f aca="false">0</f>
        <v>0</v>
      </c>
      <c r="BW1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106&amp;""),"a",""),"b",""),"c",""),"d",""),"e",""),"f",""),"g",""),"h",""),"i",""),"j",""),"k",""),"l",""),"m",""),"n",""),"o",""),"p",""),"q",""),"r",""),"s",""),"t",""),"u",""),"v",""),"w",""),"x",""),"y",""),"z",""),"-",""),"_",""),"/",""),".",""),"#",""),"\\",""),":","")," ",""),"(",""),")","")</f>
        <v/>
      </c>
      <c r="BX106" s="61" t="str">
        <f aca="false">SUBSTITUTE(SUBSTITUTE(SUBSTITUTE(SUBSTITUTE(SUBSTITUTE(SUBSTITUTE(SUBSTITUTE(SUBSTITUTE(SUBSTITUTE(SUBSTITUTE(SUBSTITUTE(BM106,"0",""),"-",""),"_",""),"/",""),".",""),"#",""),"\\",""),":","")," ",""),"(",""),")","")</f>
        <v/>
      </c>
      <c r="BY106" s="62" t="n">
        <f aca="false">Q106-T12EarlyH/24</f>
        <v>46304.6458333333</v>
      </c>
      <c r="BZ106" s="61" t="n">
        <f aca="false">IFERROR(IF(IF(TRIM(S106)="Link / file path",AND(LEN(TRIM(Z106))&gt;=5,SUMPRODUCT(--ISNUMBER(SEARCH({"http","www.","\\",":\",".pdf",".jpg",".jpeg",".png",".heic",".xls",".doc",".msg",".eml",".ppt",".txt",".zip"},Z106)))&gt;0),AND(ISERROR(FIND(" ",TRIM(Z106))),NOT(OR(SUMPRODUCT(--ISNUMBER(FIND({",",";","&amp;","+"},Z106)))&gt;0,SUMPRODUCT(--ISNUMBER(SEARCH({"0/aa","0\\aa"},BN106)))&gt;0)),NOT(SUMPRODUCT(--ISNUMBER(SEARCH({"http","www.","\\",":\",".pdf",".jpg",".jpeg",".png",".heic",".xls",".doc",".msg",".eml",".ppt",".txt",".zip"},Z106)))&gt;0),NOT(LOWER(TRIM(Z106))=LOWER(Flights!$F$8)),ISNA(MATCH(BU106,{"mh","rev","revision","ver","version","v","r","a","b","seat","tray","row","gate","bay","stand","page","pg","item","line","no","cart","galley","flight","flt","table","box","bag","oven","etd","eta","std","sta","atd","ata","qty","pax","x","time","tel","ph","mob","day","wk","week","utc","gmt","myt","lt"},0)),NOT(OR(ISNUMBER(MATCH(LEFT(BN106,255),{"0000a","000a","00a","0000aa","000aa","00aa","0aa","0000aaa","000aaa","00a00","0a00","0000-0000","00:00","a00","a0","00.00.0000","00/00/0000","00-00-0000","0000-00-00","0000/00/00","0000.00.00","00.00.00","00/00/00","00-00-00","0.00.0000","0/00/0000","0-00-0000"},0)),ISNUMBER(MATCH(LEFT(BT106,255),{"0000a","000a","00a","0000aa","000aa","00aa","0aa","0000aaa","000aaa","00a00","0a00","0000-0000","00:00","a00","a0","00.00.0000","00/00/0000","00-00-0000","0000-00-00","0000/00/00","0000.00.00","00.00.00","00/00/00","00-00-00","0.00.0000","0/00/0000","0-00-0000"},0)))),NOT(OR(AND(BW106&lt;&gt;"",SUBSTITUTE(BW106,"0","")=""),AND(LEN(BW106)&gt;=4,BW106=REPT(LEFT(BW106),LEN(BW106))),ISNUMBER(MATCH(BW106,{"123","1234","12345","123456","1234567","12345678","0123","01234","012345","98765","987654","54321"},0)),ISNUMBER(MATCH(BX106,{"x","xx","xxx","xxxx","xxxxx","abc","abcd","nil","na","nan","test","tbc","tba","tbd","dummy","sample","example","eg","zz","zzz","none","null","xyz","qwe","asd","id","ref"},0)),AND(LEN(BW106)=8,BX106="",OR(LEFT(BW106,3)="202",ISNUMBER(MATCH(RIGHT(BW106,4),{"2025","2026","2027"},0)))))),OR(AND((LEN(BT106)-LEN(SUBSTITUTE(BT106,"a","")))&gt;=1,(LEN(BN106)-LEN(SUBSTITUTE(BN106,"0","")))&gt;=2,SUMPRODUCT(--ISNUMBER(SEARCH({"a0","a-0","a_0","a/0","a.0","a#0","0a","0-a","0_a","0/a"},BN106)))&gt;0),AND((LEN(BN106)-LEN(SUBSTITUTE(BN106,"a","")))=0,(LEN(BN106)-LEN(SUBSTITUTE(BN106,"0","")))&gt;=5)))),1,0),0)</f>
        <v>0</v>
      </c>
      <c r="CA1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106,"revision",""),"version",""),"jan",""),"feb",""),"mar",""),"apr",""),"may",""),"jun",""),"jul",""),"aug",""),"sep",""),"oct",""),"nov",""),"dec",""),"utc",""),"gmt",""),"myt",""),"bst",""),"rev",""),"ver",""),"b","a"),"c","a"),"d","a"),"e","a"),"f","a"),"g","a"),"h","a"),"i","a"),"j","a"),"k","a"),"l","a"),"m","a"),"n","a"),"o","a"),"p","a"),"q","a"),"r","a"),"s","a"),"t","a"),"u","a"),"v","a"),"w","a"),"x","a"),"y","a"),"z","a")</f>
        <v/>
      </c>
      <c r="CB1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106&amp;""),"a",""),"b",""),"c",""),"d",""),"e",""),"f",""),"g",""),"h",""),"i",""),"j",""),"k",""),"l",""),"m",""),"n",""),"o",""),"p",""),"q",""),"r",""),"s",""),"t",""),"u",""),"v",""),"w",""),"x",""),"y",""),"z",""),"-",""),"_",""),"/",""),".",""),"#",""),"\\",""),":","")," ",""),"(",""),")","")</f>
        <v/>
      </c>
      <c r="CC106" s="0" t="str">
        <f aca="false">" "&amp;TRIM(SUBSTITUTE(SUBSTITUTE(SUBSTITUTE(SUBSTITUTE(SUBSTITUTE(SUBSTITUTE(SUBSTITUTE(SUBSTITUTE(SUBSTITUTE(SUBSTITUTE(SUBSTITUTE(SUBSTITUTE(SUBSTITUTE(SUBSTITUTE(SUBSTITUTE(SUBSTITUTE(SUBSTITUTE(SUBSTITUTE(SUBSTITUTE(SUBSTITUTE(SUBSTITUTE(SUBSTITUTE(SUBSTITUTE(SUBSTITUTE(LOWER(T106&amp;""),CHAR(10)," "),CHAR(13)," "),CHAR(9)," "),CHAR(160)," "),"."," "),","," "),"-"," "),"/"," "),"("," "),")"," "),":"," "),";"," "),"_"," "),"–"," "),"?"," "),"!"," "),"*"," "),"["," "),"]"," "),"'"," "),"#"," "),"+"," "),"&amp;"," "),"\"," "))&amp;" "</f>
        <v>  </v>
      </c>
      <c r="CD106" s="0" t="str">
        <f aca="false">" "&amp;TRIM(SUBSTITUTE(SUBSTITUTE(SUBSTITUTE(SUBSTITUTE(SUBSTITUTE(SUBSTITUTE(SUBSTITUTE(SUBSTITUTE(SUBSTITUTE(SUBSTITUTE(SUBSTITUTE(SUBSTITUTE(SUBSTITUTE(SUBSTITUTE(SUBSTITUTE(SUBSTITUTE(SUBSTITUTE(SUBSTITUTE(SUBSTITUTE(SUBSTITUTE(SUBSTITUTE(SUBSTITUTE(SUBSTITUTE(SUBSTITUTE(LOWER(AE106&amp;""),CHAR(10)," "),CHAR(13)," "),CHAR(9)," "),CHAR(160)," "),"."," "),","," "),"-"," "),"/"," "),"("," "),")"," "),":"," "),";"," "),"_"," "),"–"," "),"?"," "),"!"," "),"*"," "),"["," "),"]"," "),"'"," "),"#"," "),"+"," "),"&amp;"," "),"\"," "))&amp;" "</f>
        <v>  </v>
      </c>
      <c r="CE106" s="68" t="n">
        <f aca="false">IFERROR(IF(AND(LEN(AU106)&gt;0,LEN(AU106)=LEN(AX106),OR(TRIM(MID(SUBSTITUTE(TRIM(CC106)," ",REPT(" ",60)),1,60))="",ISNUMBER(SEARCH(" "&amp;TRIM(MID(SUBSTITUTE(TRIM(CC106)," ",REPT(" ",60)),1,60))&amp;" ",CD106))),OR(TRIM(MID(SUBSTITUTE(TRIM(CC106)," ",REPT(" ",60)),61,60))="",ISNUMBER(SEARCH(" "&amp;TRIM(MID(SUBSTITUTE(TRIM(CC106)," ",REPT(" ",60)),61,60))&amp;" ",CD106))),OR(TRIM(MID(SUBSTITUTE(TRIM(CC106)," ",REPT(" ",60)),121,60))="",ISNUMBER(SEARCH(" "&amp;TRIM(MID(SUBSTITUTE(TRIM(CC106)," ",REPT(" ",60)),121,60))&amp;" ",CD106)))),1,0),0)</f>
        <v>0</v>
      </c>
      <c r="CG106" s="68" t="n">
        <f aca="false">IFERROR(LEN(SUBSTITUTE(BF106," ",""))-SUMPRODUCT((LEN(BF106)-LEN(SUBSTITUTE(BF106," "&amp;L_NAFiller&amp;" "," ")))/(LEN(L_NAFiller)+1)*LEN(L_NAFiller)),0)</f>
        <v>0</v>
      </c>
    </row>
    <row r="107" customFormat="false" ht="39.75" hidden="false" customHeight="true" outlineLevel="0" collapsed="false">
      <c r="A107" s="57" t="s">
        <v>600</v>
      </c>
      <c r="B107" s="57" t="s">
        <v>218</v>
      </c>
      <c r="C107" s="57" t="str">
        <f aca="false">Flights!$F$8</f>
        <v>MH0088</v>
      </c>
      <c r="D107" s="58" t="n">
        <f aca="false">Flights!$D$8</f>
        <v>46305</v>
      </c>
      <c r="E107" s="57" t="str">
        <f aca="false">Flights!$G$8&amp;"-"&amp;Flights!$H$8</f>
        <v>KUL-NRT</v>
      </c>
      <c r="F107" s="57" t="str">
        <f aca="false">Flights!$K$8</f>
        <v>BC</v>
      </c>
      <c r="G107" s="57" t="s">
        <v>420</v>
      </c>
      <c r="H107" s="57" t="s">
        <v>378</v>
      </c>
      <c r="I107" s="57" t="s">
        <v>440</v>
      </c>
      <c r="J107" s="57" t="s">
        <v>441</v>
      </c>
      <c r="K107" s="67" t="s">
        <v>501</v>
      </c>
      <c r="L107" s="67" t="s">
        <v>601</v>
      </c>
      <c r="M107" s="67" t="s">
        <v>187</v>
      </c>
      <c r="N107" s="67" t="s">
        <v>383</v>
      </c>
      <c r="O107" s="67"/>
      <c r="P107" s="57" t="s">
        <v>187</v>
      </c>
      <c r="Q107" s="59" t="n">
        <f aca="false">ROUND((Flights!$AE$8)*1440,0)/1440</f>
        <v>46305.1458333333</v>
      </c>
      <c r="R107" s="59" t="n">
        <f aca="false">Q107+(IF(AND(INDEX(TZ_DSTS,MATCH(P107,TZ_STN,0))&lt;&gt;"",Q107&gt;=INDEX(TZ_DSTS,MATCH(P107,TZ_STN,0)),Q107&lt;INDEX(TZ_DSTE,MATCH(P107,TZ_STN,0))),INDEX(TZ_DST,MATCH(P107,TZ_STN,0)),INDEX(TZ_STD,MATCH(P107,TZ_STN,0))))/24</f>
        <v>46305.4791666667</v>
      </c>
      <c r="S107" s="60"/>
      <c r="T107" s="60"/>
      <c r="U107" s="60"/>
      <c r="V107" s="60"/>
      <c r="W107" s="61"/>
      <c r="X107" s="60"/>
      <c r="Y107" s="60"/>
      <c r="Z107" s="60"/>
      <c r="AA107" s="60"/>
      <c r="AB107" s="60"/>
      <c r="AC107" s="60"/>
      <c r="AD107" s="66"/>
      <c r="AE107" s="60"/>
      <c r="AF107" s="61" t="str">
        <f aca="false">IF(AND(ISNUMBER(X107),ISNUMBER(Y107)),Y107-X107,"")</f>
        <v/>
      </c>
      <c r="AG107" s="62" t="str">
        <f aca="false">IF(ISNUMBER(AD107),AD107-(IF(AND(INDEX(TZ_DSTS,MATCH(P107,TZ_STN,0))&lt;&gt;"",(AD107-INDEX(TZ_STD,MATCH(P107,TZ_STN,0))/24)&gt;=INDEX(TZ_DSTS,MATCH(P107,TZ_STN,0)),(AD107-INDEX(TZ_STD,MATCH(P107,TZ_STN,0))/24)&lt;INDEX(TZ_DSTE,MATCH(P107,TZ_STN,0))),INDEX(TZ_DST,MATCH(P107,TZ_STN,0)),INDEX(TZ_STD,MATCH(P107,TZ_STN,0))))/24,"")</f>
        <v/>
      </c>
      <c r="AH107" s="65" t="str">
        <f aca="false">IFERROR(IF(N107="N/A – rule",IF(OR(TRIM(U107)="",TRIM(U107)="N/A",TRIM(U107)="Not started"),"N/A – RULE","INVALID – this check does not apply to this aircraft: clear the status (or correct the fleet on Flights)"),IF(TRIM(U107)="N/A",IF(AT107=0,"INVALID – N/A not permitted for this check",IF(AND(TRIM(AB107)&lt;&gt;"",TRIM(AB107)&lt;&gt;"Closed"),"INVALID – corrective action still open",IF(AND(NOT(OR(LEN(AZ107)&lt;15,ISNUMBER(MATCH(AZ107,L_Placeholder,0)))),BK107=0,CG107&gt;=8,NOT(OR(LEN(AU107)&lt;2,ISNUMBER(MATCH(AU107,L_Placeholder,0)))),BR107&gt;=3,NOT(OR(LEN(AX107)&lt;2,ISNUMBER(MATCH(AX107,L_Placeholder,0)))),BS107&gt;=3,TRIM(AE107)&lt;&gt;TRIM(T107),AX107&lt;&gt;AU107,CE107=0),"N/A – JUSTIFIED","INVALID – N/A needs a real, settled reason (not 'not applicable' / 'as above' / TBC), a named PIC and a different named verifier"))),IF(OR(TRIM(U107)="Pass",TRIM(U107)="Pass after CA"),IF(NOT(ISNUMBER(AD107)),"INVALID – completion time missing",IF(OR(OR(LEN(AU107)&lt;2,ISNUMBER(MATCH(AU107,L_Placeholder,0))),BR107&lt;3),"INVALID – PIC missing or not a named person (a role such as QA / CSM is not a name)",IF(OR(LEN(AV107)&lt;2,ISNUMBER(MATCH(AV107,L_Placeholder,0))),"INVALID – result / assessment missing",IF(OR(OR(LEN(AW107)&lt;3,ISNUMBER(MATCH(AW107,L_Placeholder,0))),SUMPRODUCT(--ISNUMBER(SEARCH(" "&amp;L_EvidencePhrase&amp;" ",BD107)))&gt;0,BI107=1),"INVALID – evidence missing, placeholder or not yet on file",IF(ISNA(MATCH(TRIM(S107),L_EvidenceType,0)),"INVALID – choose the evidence type from the list (column S)",IF(BL107=0,"INVALID – evidence ID must be the record's own ID only (e.g. SF-2210, IMG_2231, 1045521); a link / file name needs type 'Link / file path'",IF(OR(OR(LEN(AX107)&lt;2,ISNUMBER(MATCH(AX107,L_Placeholder,0))),BS107&lt;3),"INVALID – verifier missing or not a named person (a role such as QA / CSM is not a name)",IF(OR(AX107=AU107,CE107=1,AND(LEN(AU107)&gt;=4,ISNUMBER(SEARCH(AU107,AX107))),AND(LEN(AX107)&gt;=4,ISNUMBER(SEARCH(AX107,AU107)))),"INVALID – verifier must be a different, named person (not the PIC or a role)",IF(BH107=1,"INVALID – result not yet available (awaiting / TBC)",IF(BG107=1,"INVALID – result describes a problem: record Fail, then Pass after CA (or reword if it is not a problem)",IF(BV107=1,"INVALID – wording says not on board: an on-board confirmation needs the item loaded",IF(AND(AQ107=1,OR(OR(LEN(AY107)&lt;3,ISNUMBER(MATCH(AY107,L_Placeholder,0))),BJ107=1,BQ107=0)),"INVALID – batch ID missing, placeholder or not an ID (e.g. PASB-261008-BC-017)",IF(AND(AR107=1,OR(NOT(ISNUMBER(X107)),NOT(ISNUMBER(Y107)))),"INVALID – expected/actual qty missing",IF(AND(AR107=1,OR(X107&lt;=0,Y107&lt;0)),"INVALID – expected qty must be above 0 and actual not negative",IF(BB107&lt;&gt;"",BB107,IF(AND(AS107=1,Documents!$J$8&lt;&gt;"ON FILE"),"INVALID – GLD not on file (Documents sheet)",IF(AND(AS107=2,Documents!$O$8&lt;&gt;"ON FILE"),"INVALID – menu checklist not on file (Documents sheet)",IF(AND(AS107=3,NOT(ISNUMBER(Flights!$AX$8))),"INVALID – enter carrying flight KUL departure (Flights AX)",IF(AND(AS107=3,OR(Flights!$AZ$8&gt;Flights!$AA$8,Flights!$AX$8&lt;Flights!$AA$8-3)),"INVALID – carrying flight (Flights AX) cannot arrive before this leg's STD, or is over 3 days early",IF(AG107&gt;AsOfUTC,"INVALID – completion time is in the future",IF(AND(ISNUMBER(BY107),AG107&lt;BY107),IF(H107="Physical uplift","INVALID – before uplift window (cannot confirm loading)","INVALID – before valid window"),IF(AG107&gt;Flights!$AA$8,"INVALID – completed after departure (cannot establish readiness)",IF(AND(H107="Preparation",AG107&gt;=IF(ISNUMBER(Flights!$BA$8),MIN(Flights!$BA$8,Flights!$AA$8),Flights!$AA$8)),"INVALID – completed after loading / departure (cannot establish readiness)",IF(AND(H107="Physical uplift",AG107&gt;Q107),"INVALID – recorded after the loading flight departed",IF(AG107&gt;Q107,"COMPLETE – LATE","COMPLETE"))))))))))))))))))))))))),IF(TRIM(U107)="Fail","FAIL – DISCREPANCY",IF(AND(TRIM(U107)&lt;&gt;"",TRIM(U107)&lt;&gt;"Not started",TRIM(U107)&lt;&gt;"In progress"),"INVALID – unrecognised status (use the list)",IF(AsOfUTC&gt;Q107,"OVERDUE",IF(N107="Clarification required","OPEN – CLARIFICATION","OPEN"))))))),"INVALID – error value in an input cell")</f>
        <v>OPEN</v>
      </c>
      <c r="AI107" s="61" t="n">
        <f aca="false">IF(OR(AH107="N/A – RULE",AH107="N/A – JUSTIFIED"),0,1)</f>
        <v>1</v>
      </c>
      <c r="AJ107" s="61" t="n">
        <f aca="false">IF(LEFT(AH107,8)="COMPLETE",1,0)</f>
        <v>0</v>
      </c>
      <c r="AK107" s="61" t="n">
        <f aca="false">IF(AND(AI107=1,AJ107=0,AsOfUTC&gt;Q107),1,0)</f>
        <v>0</v>
      </c>
      <c r="AL107" s="61" t="n">
        <f aca="false">IFERROR(IF(AND(AI107=1,OR(TRIM(U107)="Fail",AND(TRIM(AB107)&lt;&gt;"",TRIM(AB107)&lt;&gt;"Closed"),AND(ISNUMBER(AF107),AF107&lt;&gt;0,TRIM(U107)&lt;&gt;"Pass after CA"))),1,0),1)</f>
        <v>0</v>
      </c>
      <c r="AM107" s="61" t="n">
        <f aca="false">IF(LEFT(AH107,7)="INVALID",1,0)</f>
        <v>0</v>
      </c>
      <c r="AN107" s="61" t="n">
        <f aca="false">IF(AND(N107="Clarification required",AI107=1,AJ107=0),1,0)</f>
        <v>0</v>
      </c>
      <c r="AO107" s="61" t="str">
        <f aca="false">IF(AK107=1,SUM(AK$5:AK107),"")</f>
        <v/>
      </c>
      <c r="AP107" s="61" t="str">
        <f aca="false">IF(AL107=1,SUM(AL$5:AL107),"")</f>
        <v/>
      </c>
      <c r="AQ107" s="61" t="n">
        <v>0</v>
      </c>
      <c r="AR107" s="61" t="n">
        <v>0</v>
      </c>
      <c r="AS107" s="61" t="n">
        <v>0</v>
      </c>
      <c r="AT107" s="61" t="n">
        <v>0</v>
      </c>
      <c r="AU107" s="61" t="str">
        <f aca="false">SUBSTITUTE(SUBSTITUTE(SUBSTITUTE(SUBSTITUTE(SUBSTITUTE(SUBSTITUTE(SUBSTITUTE(SUBSTITUTE(SUBSTITUTE(SUBSTITUTE(SUBSTITUTE(SUBSTITUTE(SUBSTITUTE(SUBSTITUTE(SUBSTITUTE(SUBSTITUTE(LOWER(T107&amp;""),CHAR(10),""),CHAR(13),""),CHAR(9),""),CHAR(160),"")," ",""),".",""),"-",""),"/",""),"?",""),"_",""),",",""),"[",""),"]",""),"(",""),")",""),"*","")</f>
        <v/>
      </c>
      <c r="AV107" s="61" t="str">
        <f aca="false">SUBSTITUTE(SUBSTITUTE(SUBSTITUTE(SUBSTITUTE(SUBSTITUTE(SUBSTITUTE(SUBSTITUTE(SUBSTITUTE(SUBSTITUTE(SUBSTITUTE(SUBSTITUTE(SUBSTITUTE(SUBSTITUTE(SUBSTITUTE(SUBSTITUTE(SUBSTITUTE(LOWER(V107&amp;""),CHAR(10),""),CHAR(13),""),CHAR(9),""),CHAR(160),"")," ",""),".",""),"-",""),"/",""),"?",""),"_",""),",",""),"[",""),"]",""),"(",""),")",""),"*","")</f>
        <v/>
      </c>
      <c r="AW107" s="61" t="str">
        <f aca="false">SUBSTITUTE(SUBSTITUTE(SUBSTITUTE(SUBSTITUTE(SUBSTITUTE(SUBSTITUTE(SUBSTITUTE(SUBSTITUTE(SUBSTITUTE(SUBSTITUTE(SUBSTITUTE(SUBSTITUTE(SUBSTITUTE(SUBSTITUTE(SUBSTITUTE(SUBSTITUTE(LOWER(Z107&amp;""),CHAR(10),""),CHAR(13),""),CHAR(9),""),CHAR(160),"")," ",""),".",""),"-",""),"/",""),"?",""),"_",""),",",""),"[",""),"]",""),"(",""),")",""),"*","")</f>
        <v/>
      </c>
      <c r="AX107" s="61" t="str">
        <f aca="false">SUBSTITUTE(SUBSTITUTE(SUBSTITUTE(SUBSTITUTE(SUBSTITUTE(SUBSTITUTE(SUBSTITUTE(SUBSTITUTE(SUBSTITUTE(SUBSTITUTE(SUBSTITUTE(SUBSTITUTE(SUBSTITUTE(SUBSTITUTE(SUBSTITUTE(SUBSTITUTE(LOWER(AE107&amp;""),CHAR(10),""),CHAR(13),""),CHAR(9),""),CHAR(160),"")," ",""),".",""),"-",""),"/",""),"?",""),"_",""),",",""),"[",""),"]",""),"(",""),")",""),"*","")</f>
        <v/>
      </c>
      <c r="AY107" s="61" t="str">
        <f aca="false">SUBSTITUTE(SUBSTITUTE(SUBSTITUTE(SUBSTITUTE(SUBSTITUTE(SUBSTITUTE(SUBSTITUTE(SUBSTITUTE(SUBSTITUTE(SUBSTITUTE(SUBSTITUTE(SUBSTITUTE(SUBSTITUTE(SUBSTITUTE(SUBSTITUTE(SUBSTITUTE(LOWER(W107&amp;""),CHAR(10),""),CHAR(13),""),CHAR(9),""),CHAR(160),"")," ",""),".",""),"-",""),"/",""),"?",""),"_",""),",",""),"[",""),"]",""),"(",""),")",""),"*","")</f>
        <v/>
      </c>
      <c r="AZ107" s="61" t="str">
        <f aca="false">SUBSTITUTE(SUBSTITUTE(SUBSTITUTE(SUBSTITUTE(SUBSTITUTE(SUBSTITUTE(SUBSTITUTE(SUBSTITUTE(SUBSTITUTE(SUBSTITUTE(SUBSTITUTE(SUBSTITUTE(SUBSTITUTE(SUBSTITUTE(SUBSTITUTE(SUBSTITUTE(LOWER(AC107&amp;""),CHAR(10),""),CHAR(13),""),CHAR(9),""),CHAR(160),"")," ",""),".",""),"-",""),"/",""),"?",""),"_",""),",",""),"[",""),"]",""),"(",""),")",""),"*","")</f>
        <v/>
      </c>
      <c r="BA107" s="61" t="str">
        <f aca="false">SUBSTITUTE(SUBSTITUTE(SUBSTITUTE(SUBSTITUTE(SUBSTITUTE(SUBSTITUTE(SUBSTITUTE(SUBSTITUTE(SUBSTITUTE(SUBSTITUTE(SUBSTITUTE(SUBSTITUTE(SUBSTITUTE(SUBSTITUTE(SUBSTITUTE(SUBSTITUTE(LOWER(AA107&amp;""),CHAR(10),""),CHAR(13),""),CHAR(9),""),CHAR(160),"")," ",""),".",""),"-",""),"/",""),"?",""),"_",""),",",""),"[",""),"]",""),"(",""),")",""),"*","")</f>
        <v/>
      </c>
      <c r="BB107" s="61" t="str">
        <f aca="false">IF(AND(TRIM(U107)="Pass",ISNUMBER(AF107)),IF(AF107&lt;&gt;0,"INVALID – qty variance: use Fail or Pass after CA",""),"")&amp;IF(AND(TRIM(U107)="Pass after CA",ISNUMBER(AF107)),IF(AF107&lt;&gt;0,"INVALID – after the corrective action the actual qty must equal expected (update Actual)",""),"")&amp;IF(AND(TRIM(U107)="Pass",TRIM(AB107)&lt;&gt;"",TRIM(AB107)&lt;&gt;"Closed"),"INVALID – corrective action not closed: use Fail, then Pass after CA","")&amp;IF(AND(LEN(BA107)&gt;=2,ISNA(MATCH(LEFT(BA107,255),L_Placeholder,0)),TRIM(AB107)=""),"INVALID – CA status missing for the recorded corrective action","")&amp;IF(AND(TRIM(U107)="Pass after CA",OR(OR(LEN(BA107)&lt;5,ISNUMBER(MATCH(BA107,L_Placeholder,0))),TRIM(AB107)&lt;&gt;"Closed")),"INVALID – corrective action not recorded/closed","")</f>
        <v/>
      </c>
      <c r="BC107" s="61" t="str">
        <f aca="false">" "&amp;TRIM(SUBSTITUTE(SUBSTITUTE(SUBSTITUTE(SUBSTITUTE(SUBSTITUTE(SUBSTITUTE(SUBSTITUTE(SUBSTITUTE(SUBSTITUTE(SUBSTITUTE(SUBSTITUTE(SUBSTITUTE(SUBSTITUTE(SUBSTITUTE(SUBSTITUTE(SUBSTITUTE(SUBSTITUTE(SUBSTITUTE(SUBSTITUTE(SUBSTITUTE(SUBSTITUTE(SUBSTITUTE(SUBSTITUTE(SUBSTITUTE(LOWER(V107&amp;""),CHAR(10)," "),CHAR(13)," "),CHAR(9)," "),CHAR(160)," "),"."," "),","," "),"-"," "),"/"," "),"("," "),")"," "),":"," "),";"," "),"_"," "),"–"," "),"?"," "),"!"," "),"*"," "),"["," "),"]"," "),"'"," "),"#"," "),"+"," "),"&amp;"," "),"\"," "))&amp;" "</f>
        <v>  </v>
      </c>
      <c r="BD107" s="61" t="str">
        <f aca="false">" "&amp;TRIM(SUBSTITUTE(SUBSTITUTE(SUBSTITUTE(SUBSTITUTE(SUBSTITUTE(SUBSTITUTE(SUBSTITUTE(SUBSTITUTE(SUBSTITUTE(SUBSTITUTE(SUBSTITUTE(SUBSTITUTE(SUBSTITUTE(SUBSTITUTE(SUBSTITUTE(SUBSTITUTE(SUBSTITUTE(SUBSTITUTE(SUBSTITUTE(SUBSTITUTE(SUBSTITUTE(SUBSTITUTE(SUBSTITUTE(SUBSTITUTE(LOWER(Z107&amp;""),CHAR(10)," "),CHAR(13)," "),CHAR(9)," "),CHAR(160)," "),"."," "),","," "),"-"," "),"/"," "),"("," "),")"," "),":"," "),";"," "),"_"," "),"–"," "),"?"," "),"!"," "),"*"," "),"["," "),"]"," "),"'"," "),"#"," "),"+"," "),"&amp;"," "),"\"," "))&amp;" "</f>
        <v>  </v>
      </c>
      <c r="BE107" s="61" t="str">
        <f aca="false">" "&amp;TRIM(SUBSTITUTE(SUBSTITUTE(SUBSTITUTE(SUBSTITUTE(SUBSTITUTE(SUBSTITUTE(SUBSTITUTE(SUBSTITUTE(SUBSTITUTE(SUBSTITUTE(SUBSTITUTE(SUBSTITUTE(SUBSTITUTE(SUBSTITUTE(SUBSTITUTE(SUBSTITUTE(SUBSTITUTE(SUBSTITUTE(SUBSTITUTE(SUBSTITUTE(SUBSTITUTE(SUBSTITUTE(SUBSTITUTE(SUBSTITUTE(LOWER(W107&amp;""),CHAR(10)," "),CHAR(13)," "),CHAR(9)," "),CHAR(160)," "),"."," "),","," "),"-"," "),"/"," "),"("," "),")"," "),":"," "),";"," "),"_"," "),"–"," "),"?"," "),"!"," "),"*"," "),"["," "),"]"," "),"'"," "),"#"," "),"+"," "),"&amp;"," "),"\"," "))&amp;" "</f>
        <v>  </v>
      </c>
      <c r="BF107" s="61" t="str">
        <f aca="false">" "&amp;TRIM(SUBSTITUTE(SUBSTITUTE(SUBSTITUTE(SUBSTITUTE(SUBSTITUTE(SUBSTITUTE(SUBSTITUTE(SUBSTITUTE(SUBSTITUTE(SUBSTITUTE(SUBSTITUTE(SUBSTITUTE(SUBSTITUTE(SUBSTITUTE(SUBSTITUTE(SUBSTITUTE(SUBSTITUTE(SUBSTITUTE(SUBSTITUTE(SUBSTITUTE(SUBSTITUTE(SUBSTITUTE(SUBSTITUTE(SUBSTITUTE(LOWER(AC107&amp;""),CHAR(10)," "),CHAR(13)," "),CHAR(9)," "),CHAR(160)," "),"."," "),","," "),"-"," "),"/"," "),"("," "),")"," "),":"," "),";"," "),"_"," "),"–"," "),"?"," "),"!"," "),"*"," "),"["," "),"]"," "),"'"," "),"#"," "),"+"," "),"&amp;"," "),"\"," "))&amp;" "</f>
        <v>  </v>
      </c>
      <c r="BG107" s="61" t="n">
        <f aca="false">IFERROR(IF(AND(TRIM(U107)="Pass",SUMPRODUCT((LEN(BC107)-LEN(SUBSTITUTE(BC107," "&amp;L_ResultBad&amp;" "," ")))/(LEN(L_ResultBad)+1))&gt;SUMPRODUCT((LEN(BC107)-LEN(SUBSTITUTE(BC107," "&amp;L_NegPhrase&amp;" "," ")))/(LEN(L_NegPhrase)+1))),1,0),0)</f>
        <v>0</v>
      </c>
      <c r="BH107" s="61" t="n">
        <f aca="false">IFERROR(IF(SUMPRODUCT((LEN(BC107)-LEN(SUBSTITUTE(BC107," "&amp;L_Pending&amp;" "," ")))/(LEN(L_Pending)+1))&gt;SUMPRODUCT((LEN(BC107)-LEN(SUBSTITUTE(BC107," "&amp;L_PendNeg&amp;" "," ")))/(LEN(L_PendNeg)+1))+SUMPRODUCT((LEN(BC107)-LEN(SUBSTITUTE(BC107," "&amp;L_PendPrep&amp;" "," ")))/(LEN(L_PendPrep)+1)),1,0),1)</f>
        <v>0</v>
      </c>
      <c r="BI107" s="61" t="n">
        <f aca="false">IFERROR(IF(SUMPRODUCT((LEN(BD107)-LEN(SUBSTITUTE(BD107," "&amp;L_PendStrict&amp;" "," ")))/(LEN(L_PendStrict)+1))&gt;SUMPRODUCT((LEN(BD107)-LEN(SUBSTITUTE(BD107," "&amp;L_PendNeg&amp;" "," ")))/(LEN(L_PendNeg)+1)),1,0),1)</f>
        <v>0</v>
      </c>
      <c r="BJ107" s="61" t="n">
        <f aca="false">IFERROR(IF(SUMPRODUCT((LEN(BE107)-LEN(SUBSTITUTE(BE107," "&amp;L_Pending&amp;" "," ")))/(LEN(L_Pending)+1))&gt;SUMPRODUCT((LEN(BE107)-LEN(SUBSTITUTE(BE107," "&amp;L_PendNeg&amp;" "," ")))/(LEN(L_PendNeg)+1))+SUMPRODUCT((LEN(BE107)-LEN(SUBSTITUTE(BE107," "&amp;L_PendPrep&amp;" "," ")))/(LEN(L_PendPrep)+1)),1,0),1)</f>
        <v>0</v>
      </c>
      <c r="BK107" s="61" t="n">
        <f aca="false">IFERROR(IF(SUMPRODUCT((LEN(BF107)-LEN(SUBSTITUTE(BF107," "&amp;L_PendStrict&amp;" "," ")))/(LEN(L_PendStrict)+1))&gt;SUMPRODUCT((LEN(BF107)-LEN(SUBSTITUTE(BF107," "&amp;L_PendNeg&amp;" "," ")))/(LEN(L_PendNeg)+1)),1,0),1)</f>
        <v>0</v>
      </c>
      <c r="BL107" s="61" t="n">
        <f aca="false">IF(ISNA(MATCH(TRIM(S107),L_EvidenceType,0)),0,BZ107)</f>
        <v>0</v>
      </c>
      <c r="BM107" s="61" t="str">
        <f aca="false">SUBSTITUTE(SUBSTITUTE(SUBSTITUTE(SUBSTITUTE(SUBSTITUTE(SUBSTITUTE(SUBSTITUTE(SUBSTITUTE(SUBSTITUTE(LOWER(Z107&amp;""),"1","0"),"2","0"),"3","0"),"4","0"),"5","0"),"6","0"),"7","0"),"8","0"),"9","0")</f>
        <v/>
      </c>
      <c r="BN107" s="61" t="str">
        <f aca="false">SUBSTITUTE(SUBSTITUTE(SUBSTITUTE(SUBSTITUTE(SUBSTITUTE(SUBSTITUTE(SUBSTITUTE(SUBSTITUTE(SUBSTITUTE(SUBSTITUTE(SUBSTITUTE(SUBSTITUTE(SUBSTITUTE(SUBSTITUTE(SUBSTITUTE(SUBSTITUTE(SUBSTITUTE(SUBSTITUTE(SUBSTITUTE(SUBSTITUTE(SUBSTITUTE(SUBSTITUTE(SUBSTITUTE(SUBSTITUTE(SUBSTITUTE(BM107,"b","a"),"c","a"),"d","a"),"e","a"),"f","a"),"g","a"),"h","a"),"i","a"),"j","a"),"k","a"),"l","a"),"m","a"),"n","a"),"o","a"),"p","a"),"q","a"),"r","a"),"s","a"),"t","a"),"u","a"),"v","a"),"w","a"),"x","a"),"y","a"),"z","a")</f>
        <v/>
      </c>
      <c r="BO107" s="61" t="str">
        <f aca="false">SUBSTITUTE(SUBSTITUTE(SUBSTITUTE(SUBSTITUTE(SUBSTITUTE(SUBSTITUTE(SUBSTITUTE(SUBSTITUTE(SUBSTITUTE(LOWER(W107&amp;""),"1","0"),"2","0"),"3","0"),"4","0"),"5","0"),"6","0"),"7","0"),"8","0"),"9","0")</f>
        <v/>
      </c>
      <c r="BP107" s="61" t="str">
        <f aca="false">SUBSTITUTE(SUBSTITUTE(SUBSTITUTE(SUBSTITUTE(SUBSTITUTE(SUBSTITUTE(SUBSTITUTE(SUBSTITUTE(SUBSTITUTE(SUBSTITUTE(SUBSTITUTE(SUBSTITUTE(SUBSTITUTE(SUBSTITUTE(SUBSTITUTE(SUBSTITUTE(SUBSTITUTE(SUBSTITUTE(SUBSTITUTE(SUBSTITUTE(SUBSTITUTE(SUBSTITUTE(SUBSTITUTE(SUBSTITUTE(SUBSTITUTE(BO107,"b","a"),"c","a"),"d","a"),"e","a"),"f","a"),"g","a"),"h","a"),"i","a"),"j","a"),"k","a"),"l","a"),"m","a"),"n","a"),"o","a"),"p","a"),"q","a"),"r","a"),"s","a"),"t","a"),"u","a"),"v","a"),"w","a"),"x","a"),"y","a"),"z","a")</f>
        <v/>
      </c>
      <c r="BQ107" s="61" t="n">
        <f aca="false">IFERROR(IF(AND(ISERROR(SEARCH(" mh"," "&amp;LOWER(W107))),ISNA(MATCH(LEFT(TRIM(BP107),255),{"0000a","000a","00a","0000aa","000aa","00aa","0aa","0000aaa","000aaa","00a00","0a00","0000-0000","00:00","a00","a0","00.00.0000","00/00/0000","00-00-0000","0000-00-00","0000/00/00","0000.00.00","00.00.00","00/00/00","00-00-00","0.00.0000","0/00/0000","0-00-0000"},0)),ISNA(MATCH(LEFT(TRIM(CA107),255),{"0000a","000a","00a","0000aa","000aa","00aa","0aa","0000aaa","000aaa","00a00","0a00","0000-0000","00:00","a00","a0","00.00.0000","00/00/0000","00-00-0000","0000-00-00","0000/00/00","0000.00.00","00.00.00","00/00/00","00-00-00","0.00.0000","0/00/0000","0-00-0000"},0)),LEN(CB107)&gt;=3,NOT(OR(SUBSTITUTE(CB107,"0","")="",AND(LEN(CB107)&gt;=4,CB107=REPT(LEFT(CB107),LEN(CB107))),ISNUMBER(MATCH(CB107,{"123","1234","12345","123456","1234567","12345678","0123","01234","012345","98765","987654","54321"},0)),AND(LEN(CB107)=8,LEFT(CB107,3)="202"))),OR(AND((LEN(CA107)-LEN(SUBSTITUTE(CA107,"a","")))&gt;=1,SUMPRODUCT(--ISNUMBER(SEARCH({"a0","a-0","a_0","a/0","a.0","a#0","0a","0-a","0_a","0/a"},BP107)))&gt;0),ISNUMBER(SEARCH("000000",BP107)))),1,0),0)</f>
        <v>0</v>
      </c>
      <c r="BR107" s="61" t="n">
        <f aca="false">IFERROR(LEN(SUBSTITUTE(CC107," ",""))-SUMPRODUCT((LEN(CC107)-LEN(SUBSTITUTE(CC107," "&amp;L_Role&amp;" "," ")))/(LEN(L_Role)+1)*LEN(L_Role)),0)</f>
        <v>0</v>
      </c>
      <c r="BS107" s="61" t="n">
        <f aca="false">IFERROR(LEN(SUBSTITUTE(CD107," ",""))-SUMPRODUCT((LEN(CD107)-LEN(SUBSTITUTE(CD107," "&amp;L_Role&amp;" "," ")))/(LEN(L_Role)+1)*LEN(L_Role)),0)</f>
        <v>0</v>
      </c>
      <c r="BT1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107,"revision",""),"version",""),"jan",""),"feb",""),"mar",""),"apr",""),"may",""),"jun",""),"jul",""),"aug",""),"sep",""),"oct",""),"nov",""),"dec",""),"utc",""),"gmt",""),"myt",""),"bst",""),"rev",""),"ver",""),"b","a"),"c","a"),"d","a"),"e","a"),"f","a"),"g","a"),"h","a"),"i","a"),"j","a"),"k","a"),"l","a"),"m","a"),"n","a"),"o","a"),"p","a"),"q","a"),"r","a"),"s","a"),"t","a"),"u","a"),"v","a"),"w","a"),"x","a"),"y","a"),"z","a")</f>
        <v/>
      </c>
      <c r="BU107" s="61" t="str">
        <f aca="false">SUBSTITUTE(SUBSTITUTE(SUBSTITUTE(SUBSTITUTE(SUBSTITUTE(SUBSTITUTE(SUBSTITUTE(SUBSTITUTE(SUBSTITUTE(SUBSTITUTE(LEFT(BM107,FIND("0",BM107&amp;"0")-1),"-",""),"_",""),"/",""),".",""),"#",""),"\\",""),":","")," ",""),"(",""),")","")</f>
        <v/>
      </c>
      <c r="BV107" s="61" t="n">
        <f aca="false">0</f>
        <v>0</v>
      </c>
      <c r="BW1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107&amp;""),"a",""),"b",""),"c",""),"d",""),"e",""),"f",""),"g",""),"h",""),"i",""),"j",""),"k",""),"l",""),"m",""),"n",""),"o",""),"p",""),"q",""),"r",""),"s",""),"t",""),"u",""),"v",""),"w",""),"x",""),"y",""),"z",""),"-",""),"_",""),"/",""),".",""),"#",""),"\\",""),":","")," ",""),"(",""),")","")</f>
        <v/>
      </c>
      <c r="BX107" s="61" t="str">
        <f aca="false">SUBSTITUTE(SUBSTITUTE(SUBSTITUTE(SUBSTITUTE(SUBSTITUTE(SUBSTITUTE(SUBSTITUTE(SUBSTITUTE(SUBSTITUTE(SUBSTITUTE(SUBSTITUTE(BM107,"0",""),"-",""),"_",""),"/",""),".",""),"#",""),"\\",""),":","")," ",""),"(",""),")","")</f>
        <v/>
      </c>
      <c r="BY107" s="62" t="n">
        <f aca="false">Q107-T12EarlyH/24</f>
        <v>46304.6458333333</v>
      </c>
      <c r="BZ107" s="61" t="n">
        <f aca="false">IFERROR(IF(IF(TRIM(S107)="Link / file path",AND(LEN(TRIM(Z107))&gt;=5,SUMPRODUCT(--ISNUMBER(SEARCH({"http","www.","\\",":\",".pdf",".jpg",".jpeg",".png",".heic",".xls",".doc",".msg",".eml",".ppt",".txt",".zip"},Z107)))&gt;0),AND(ISERROR(FIND(" ",TRIM(Z107))),NOT(OR(SUMPRODUCT(--ISNUMBER(FIND({",",";","&amp;","+"},Z107)))&gt;0,SUMPRODUCT(--ISNUMBER(SEARCH({"0/aa","0\\aa"},BN107)))&gt;0)),NOT(SUMPRODUCT(--ISNUMBER(SEARCH({"http","www.","\\",":\",".pdf",".jpg",".jpeg",".png",".heic",".xls",".doc",".msg",".eml",".ppt",".txt",".zip"},Z107)))&gt;0),NOT(LOWER(TRIM(Z107))=LOWER(Flights!$F$8)),ISNA(MATCH(BU107,{"mh","rev","revision","ver","version","v","r","a","b","seat","tray","row","gate","bay","stand","page","pg","item","line","no","cart","galley","flight","flt","table","box","bag","oven","etd","eta","std","sta","atd","ata","qty","pax","x","time","tel","ph","mob","day","wk","week","utc","gmt","myt","lt"},0)),NOT(OR(ISNUMBER(MATCH(LEFT(BN107,255),{"0000a","000a","00a","0000aa","000aa","00aa","0aa","0000aaa","000aaa","00a00","0a00","0000-0000","00:00","a00","a0","00.00.0000","00/00/0000","00-00-0000","0000-00-00","0000/00/00","0000.00.00","00.00.00","00/00/00","00-00-00","0.00.0000","0/00/0000","0-00-0000"},0)),ISNUMBER(MATCH(LEFT(BT107,255),{"0000a","000a","00a","0000aa","000aa","00aa","0aa","0000aaa","000aaa","00a00","0a00","0000-0000","00:00","a00","a0","00.00.0000","00/00/0000","00-00-0000","0000-00-00","0000/00/00","0000.00.00","00.00.00","00/00/00","00-00-00","0.00.0000","0/00/0000","0-00-0000"},0)))),NOT(OR(AND(BW107&lt;&gt;"",SUBSTITUTE(BW107,"0","")=""),AND(LEN(BW107)&gt;=4,BW107=REPT(LEFT(BW107),LEN(BW107))),ISNUMBER(MATCH(BW107,{"123","1234","12345","123456","1234567","12345678","0123","01234","012345","98765","987654","54321"},0)),ISNUMBER(MATCH(BX107,{"x","xx","xxx","xxxx","xxxxx","abc","abcd","nil","na","nan","test","tbc","tba","tbd","dummy","sample","example","eg","zz","zzz","none","null","xyz","qwe","asd","id","ref"},0)),AND(LEN(BW107)=8,BX107="",OR(LEFT(BW107,3)="202",ISNUMBER(MATCH(RIGHT(BW107,4),{"2025","2026","2027"},0)))))),OR(AND((LEN(BT107)-LEN(SUBSTITUTE(BT107,"a","")))&gt;=1,(LEN(BN107)-LEN(SUBSTITUTE(BN107,"0","")))&gt;=2,SUMPRODUCT(--ISNUMBER(SEARCH({"a0","a-0","a_0","a/0","a.0","a#0","0a","0-a","0_a","0/a"},BN107)))&gt;0),AND((LEN(BN107)-LEN(SUBSTITUTE(BN107,"a","")))=0,(LEN(BN107)-LEN(SUBSTITUTE(BN107,"0","")))&gt;=5)))),1,0),0)</f>
        <v>0</v>
      </c>
      <c r="CA1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107,"revision",""),"version",""),"jan",""),"feb",""),"mar",""),"apr",""),"may",""),"jun",""),"jul",""),"aug",""),"sep",""),"oct",""),"nov",""),"dec",""),"utc",""),"gmt",""),"myt",""),"bst",""),"rev",""),"ver",""),"b","a"),"c","a"),"d","a"),"e","a"),"f","a"),"g","a"),"h","a"),"i","a"),"j","a"),"k","a"),"l","a"),"m","a"),"n","a"),"o","a"),"p","a"),"q","a"),"r","a"),"s","a"),"t","a"),"u","a"),"v","a"),"w","a"),"x","a"),"y","a"),"z","a")</f>
        <v/>
      </c>
      <c r="CB1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107&amp;""),"a",""),"b",""),"c",""),"d",""),"e",""),"f",""),"g",""),"h",""),"i",""),"j",""),"k",""),"l",""),"m",""),"n",""),"o",""),"p",""),"q",""),"r",""),"s",""),"t",""),"u",""),"v",""),"w",""),"x",""),"y",""),"z",""),"-",""),"_",""),"/",""),".",""),"#",""),"\\",""),":","")," ",""),"(",""),")","")</f>
        <v/>
      </c>
      <c r="CC107" s="0" t="str">
        <f aca="false">" "&amp;TRIM(SUBSTITUTE(SUBSTITUTE(SUBSTITUTE(SUBSTITUTE(SUBSTITUTE(SUBSTITUTE(SUBSTITUTE(SUBSTITUTE(SUBSTITUTE(SUBSTITUTE(SUBSTITUTE(SUBSTITUTE(SUBSTITUTE(SUBSTITUTE(SUBSTITUTE(SUBSTITUTE(SUBSTITUTE(SUBSTITUTE(SUBSTITUTE(SUBSTITUTE(SUBSTITUTE(SUBSTITUTE(SUBSTITUTE(SUBSTITUTE(LOWER(T107&amp;""),CHAR(10)," "),CHAR(13)," "),CHAR(9)," "),CHAR(160)," "),"."," "),","," "),"-"," "),"/"," "),"("," "),")"," "),":"," "),";"," "),"_"," "),"–"," "),"?"," "),"!"," "),"*"," "),"["," "),"]"," "),"'"," "),"#"," "),"+"," "),"&amp;"," "),"\"," "))&amp;" "</f>
        <v>  </v>
      </c>
      <c r="CD107" s="0" t="str">
        <f aca="false">" "&amp;TRIM(SUBSTITUTE(SUBSTITUTE(SUBSTITUTE(SUBSTITUTE(SUBSTITUTE(SUBSTITUTE(SUBSTITUTE(SUBSTITUTE(SUBSTITUTE(SUBSTITUTE(SUBSTITUTE(SUBSTITUTE(SUBSTITUTE(SUBSTITUTE(SUBSTITUTE(SUBSTITUTE(SUBSTITUTE(SUBSTITUTE(SUBSTITUTE(SUBSTITUTE(SUBSTITUTE(SUBSTITUTE(SUBSTITUTE(SUBSTITUTE(LOWER(AE107&amp;""),CHAR(10)," "),CHAR(13)," "),CHAR(9)," "),CHAR(160)," "),"."," "),","," "),"-"," "),"/"," "),"("," "),")"," "),":"," "),";"," "),"_"," "),"–"," "),"?"," "),"!"," "),"*"," "),"["," "),"]"," "),"'"," "),"#"," "),"+"," "),"&amp;"," "),"\"," "))&amp;" "</f>
        <v>  </v>
      </c>
      <c r="CE107" s="68" t="n">
        <f aca="false">IFERROR(IF(AND(LEN(AU107)&gt;0,LEN(AU107)=LEN(AX107),OR(TRIM(MID(SUBSTITUTE(TRIM(CC107)," ",REPT(" ",60)),1,60))="",ISNUMBER(SEARCH(" "&amp;TRIM(MID(SUBSTITUTE(TRIM(CC107)," ",REPT(" ",60)),1,60))&amp;" ",CD107))),OR(TRIM(MID(SUBSTITUTE(TRIM(CC107)," ",REPT(" ",60)),61,60))="",ISNUMBER(SEARCH(" "&amp;TRIM(MID(SUBSTITUTE(TRIM(CC107)," ",REPT(" ",60)),61,60))&amp;" ",CD107))),OR(TRIM(MID(SUBSTITUTE(TRIM(CC107)," ",REPT(" ",60)),121,60))="",ISNUMBER(SEARCH(" "&amp;TRIM(MID(SUBSTITUTE(TRIM(CC107)," ",REPT(" ",60)),121,60))&amp;" ",CD107)))),1,0),0)</f>
        <v>0</v>
      </c>
      <c r="CG107" s="68" t="n">
        <f aca="false">IFERROR(LEN(SUBSTITUTE(BF107," ",""))-SUMPRODUCT((LEN(BF107)-LEN(SUBSTITUTE(BF107," "&amp;L_NAFiller&amp;" "," ")))/(LEN(L_NAFiller)+1)*LEN(L_NAFiller)),0)</f>
        <v>0</v>
      </c>
    </row>
    <row r="108" customFormat="false" ht="39.75" hidden="false" customHeight="true" outlineLevel="0" collapsed="false">
      <c r="A108" s="57" t="s">
        <v>602</v>
      </c>
      <c r="B108" s="57" t="s">
        <v>218</v>
      </c>
      <c r="C108" s="57" t="str">
        <f aca="false">Flights!$F$8</f>
        <v>MH0088</v>
      </c>
      <c r="D108" s="58" t="n">
        <f aca="false">Flights!$D$8</f>
        <v>46305</v>
      </c>
      <c r="E108" s="57" t="str">
        <f aca="false">Flights!$G$8&amp;"-"&amp;Flights!$H$8</f>
        <v>KUL-NRT</v>
      </c>
      <c r="F108" s="57" t="str">
        <f aca="false">Flights!$K$8</f>
        <v>BC</v>
      </c>
      <c r="G108" s="57" t="s">
        <v>420</v>
      </c>
      <c r="H108" s="57" t="s">
        <v>378</v>
      </c>
      <c r="I108" s="57" t="s">
        <v>440</v>
      </c>
      <c r="J108" s="57" t="s">
        <v>603</v>
      </c>
      <c r="K108" s="67" t="s">
        <v>501</v>
      </c>
      <c r="L108" s="67" t="s">
        <v>604</v>
      </c>
      <c r="M108" s="67" t="s">
        <v>187</v>
      </c>
      <c r="N108" s="67" t="s">
        <v>383</v>
      </c>
      <c r="O108" s="67"/>
      <c r="P108" s="57" t="s">
        <v>187</v>
      </c>
      <c r="Q108" s="59" t="n">
        <f aca="false">ROUND((Flights!$AE$8)*1440,0)/1440</f>
        <v>46305.1458333333</v>
      </c>
      <c r="R108" s="59" t="n">
        <f aca="false">Q108+(IF(AND(INDEX(TZ_DSTS,MATCH(P108,TZ_STN,0))&lt;&gt;"",Q108&gt;=INDEX(TZ_DSTS,MATCH(P108,TZ_STN,0)),Q108&lt;INDEX(TZ_DSTE,MATCH(P108,TZ_STN,0))),INDEX(TZ_DST,MATCH(P108,TZ_STN,0)),INDEX(TZ_STD,MATCH(P108,TZ_STN,0))))/24</f>
        <v>46305.4791666667</v>
      </c>
      <c r="S108" s="60"/>
      <c r="T108" s="60"/>
      <c r="U108" s="60"/>
      <c r="V108" s="60"/>
      <c r="W108" s="61"/>
      <c r="X108" s="60"/>
      <c r="Y108" s="60"/>
      <c r="Z108" s="60"/>
      <c r="AA108" s="60"/>
      <c r="AB108" s="60"/>
      <c r="AC108" s="60"/>
      <c r="AD108" s="66"/>
      <c r="AE108" s="60"/>
      <c r="AF108" s="61" t="str">
        <f aca="false">IF(AND(ISNUMBER(X108),ISNUMBER(Y108)),Y108-X108,"")</f>
        <v/>
      </c>
      <c r="AG108" s="62" t="str">
        <f aca="false">IF(ISNUMBER(AD108),AD108-(IF(AND(INDEX(TZ_DSTS,MATCH(P108,TZ_STN,0))&lt;&gt;"",(AD108-INDEX(TZ_STD,MATCH(P108,TZ_STN,0))/24)&gt;=INDEX(TZ_DSTS,MATCH(P108,TZ_STN,0)),(AD108-INDEX(TZ_STD,MATCH(P108,TZ_STN,0))/24)&lt;INDEX(TZ_DSTE,MATCH(P108,TZ_STN,0))),INDEX(TZ_DST,MATCH(P108,TZ_STN,0)),INDEX(TZ_STD,MATCH(P108,TZ_STN,0))))/24,"")</f>
        <v/>
      </c>
      <c r="AH108" s="65" t="str">
        <f aca="false">IFERROR(IF(N108="N/A – rule",IF(OR(TRIM(U108)="",TRIM(U108)="N/A",TRIM(U108)="Not started"),"N/A – RULE","INVALID – this check does not apply to this aircraft: clear the status (or correct the fleet on Flights)"),IF(TRIM(U108)="N/A",IF(AT108=0,"INVALID – N/A not permitted for this check",IF(AND(TRIM(AB108)&lt;&gt;"",TRIM(AB108)&lt;&gt;"Closed"),"INVALID – corrective action still open",IF(AND(NOT(OR(LEN(AZ108)&lt;15,ISNUMBER(MATCH(AZ108,L_Placeholder,0)))),BK108=0,CG108&gt;=8,NOT(OR(LEN(AU108)&lt;2,ISNUMBER(MATCH(AU108,L_Placeholder,0)))),BR108&gt;=3,NOT(OR(LEN(AX108)&lt;2,ISNUMBER(MATCH(AX108,L_Placeholder,0)))),BS108&gt;=3,TRIM(AE108)&lt;&gt;TRIM(T108),AX108&lt;&gt;AU108,CE108=0),"N/A – JUSTIFIED","INVALID – N/A needs a real, settled reason (not 'not applicable' / 'as above' / TBC), a named PIC and a different named verifier"))),IF(OR(TRIM(U108)="Pass",TRIM(U108)="Pass after CA"),IF(NOT(ISNUMBER(AD108)),"INVALID – completion time missing",IF(OR(OR(LEN(AU108)&lt;2,ISNUMBER(MATCH(AU108,L_Placeholder,0))),BR108&lt;3),"INVALID – PIC missing or not a named person (a role such as QA / CSM is not a name)",IF(OR(LEN(AV108)&lt;2,ISNUMBER(MATCH(AV108,L_Placeholder,0))),"INVALID – result / assessment missing",IF(OR(OR(LEN(AW108)&lt;3,ISNUMBER(MATCH(AW108,L_Placeholder,0))),SUMPRODUCT(--ISNUMBER(SEARCH(" "&amp;L_EvidencePhrase&amp;" ",BD108)))&gt;0,BI108=1),"INVALID – evidence missing, placeholder or not yet on file",IF(ISNA(MATCH(TRIM(S108),L_EvidenceType,0)),"INVALID – choose the evidence type from the list (column S)",IF(BL108=0,"INVALID – evidence ID must be the record's own ID only (e.g. SF-2210, IMG_2231, 1045521); a link / file name needs type 'Link / file path'",IF(OR(OR(LEN(AX108)&lt;2,ISNUMBER(MATCH(AX108,L_Placeholder,0))),BS108&lt;3),"INVALID – verifier missing or not a named person (a role such as QA / CSM is not a name)",IF(OR(AX108=AU108,CE108=1,AND(LEN(AU108)&gt;=4,ISNUMBER(SEARCH(AU108,AX108))),AND(LEN(AX108)&gt;=4,ISNUMBER(SEARCH(AX108,AU108)))),"INVALID – verifier must be a different, named person (not the PIC or a role)",IF(BH108=1,"INVALID – result not yet available (awaiting / TBC)",IF(BG108=1,"INVALID – result describes a problem: record Fail, then Pass after CA (or reword if it is not a problem)",IF(BV108=1,"INVALID – wording says not on board: an on-board confirmation needs the item loaded",IF(AND(AQ108=1,OR(OR(LEN(AY108)&lt;3,ISNUMBER(MATCH(AY108,L_Placeholder,0))),BJ108=1,BQ108=0)),"INVALID – batch ID missing, placeholder or not an ID (e.g. PASB-261008-BC-017)",IF(AND(AR108=1,OR(NOT(ISNUMBER(X108)),NOT(ISNUMBER(Y108)))),"INVALID – expected/actual qty missing",IF(AND(AR108=1,OR(X108&lt;=0,Y108&lt;0)),"INVALID – expected qty must be above 0 and actual not negative",IF(BB108&lt;&gt;"",BB108,IF(AND(AS108=1,Documents!$J$8&lt;&gt;"ON FILE"),"INVALID – GLD not on file (Documents sheet)",IF(AND(AS108=2,Documents!$O$8&lt;&gt;"ON FILE"),"INVALID – menu checklist not on file (Documents sheet)",IF(AND(AS108=3,NOT(ISNUMBER(Flights!$AX$8))),"INVALID – enter carrying flight KUL departure (Flights AX)",IF(AND(AS108=3,OR(Flights!$AZ$8&gt;Flights!$AA$8,Flights!$AX$8&lt;Flights!$AA$8-3)),"INVALID – carrying flight (Flights AX) cannot arrive before this leg's STD, or is over 3 days early",IF(AG108&gt;AsOfUTC,"INVALID – completion time is in the future",IF(AND(ISNUMBER(BY108),AG108&lt;BY108),IF(H108="Physical uplift","INVALID – before uplift window (cannot confirm loading)","INVALID – before valid window"),IF(AG108&gt;Flights!$AA$8,"INVALID – completed after departure (cannot establish readiness)",IF(AND(H108="Preparation",AG108&gt;=IF(ISNUMBER(Flights!$BA$8),MIN(Flights!$BA$8,Flights!$AA$8),Flights!$AA$8)),"INVALID – completed after loading / departure (cannot establish readiness)",IF(AND(H108="Physical uplift",AG108&gt;Q108),"INVALID – recorded after the loading flight departed",IF(AG108&gt;Q108,"COMPLETE – LATE","COMPLETE"))))))))))))))))))))))))),IF(TRIM(U108)="Fail","FAIL – DISCREPANCY",IF(AND(TRIM(U108)&lt;&gt;"",TRIM(U108)&lt;&gt;"Not started",TRIM(U108)&lt;&gt;"In progress"),"INVALID – unrecognised status (use the list)",IF(AsOfUTC&gt;Q108,"OVERDUE",IF(N108="Clarification required","OPEN – CLARIFICATION","OPEN"))))))),"INVALID – error value in an input cell")</f>
        <v>OPEN</v>
      </c>
      <c r="AI108" s="61" t="n">
        <f aca="false">IF(OR(AH108="N/A – RULE",AH108="N/A – JUSTIFIED"),0,1)</f>
        <v>1</v>
      </c>
      <c r="AJ108" s="61" t="n">
        <f aca="false">IF(LEFT(AH108,8)="COMPLETE",1,0)</f>
        <v>0</v>
      </c>
      <c r="AK108" s="61" t="n">
        <f aca="false">IF(AND(AI108=1,AJ108=0,AsOfUTC&gt;Q108),1,0)</f>
        <v>0</v>
      </c>
      <c r="AL108" s="61" t="n">
        <f aca="false">IFERROR(IF(AND(AI108=1,OR(TRIM(U108)="Fail",AND(TRIM(AB108)&lt;&gt;"",TRIM(AB108)&lt;&gt;"Closed"),AND(ISNUMBER(AF108),AF108&lt;&gt;0,TRIM(U108)&lt;&gt;"Pass after CA"))),1,0),1)</f>
        <v>0</v>
      </c>
      <c r="AM108" s="61" t="n">
        <f aca="false">IF(LEFT(AH108,7)="INVALID",1,0)</f>
        <v>0</v>
      </c>
      <c r="AN108" s="61" t="n">
        <f aca="false">IF(AND(N108="Clarification required",AI108=1,AJ108=0),1,0)</f>
        <v>0</v>
      </c>
      <c r="AO108" s="61" t="str">
        <f aca="false">IF(AK108=1,SUM(AK$5:AK108),"")</f>
        <v/>
      </c>
      <c r="AP108" s="61" t="str">
        <f aca="false">IF(AL108=1,SUM(AL$5:AL108),"")</f>
        <v/>
      </c>
      <c r="AQ108" s="61" t="n">
        <v>0</v>
      </c>
      <c r="AR108" s="61" t="n">
        <v>0</v>
      </c>
      <c r="AS108" s="61" t="n">
        <v>0</v>
      </c>
      <c r="AT108" s="61" t="n">
        <v>0</v>
      </c>
      <c r="AU108" s="61" t="str">
        <f aca="false">SUBSTITUTE(SUBSTITUTE(SUBSTITUTE(SUBSTITUTE(SUBSTITUTE(SUBSTITUTE(SUBSTITUTE(SUBSTITUTE(SUBSTITUTE(SUBSTITUTE(SUBSTITUTE(SUBSTITUTE(SUBSTITUTE(SUBSTITUTE(SUBSTITUTE(SUBSTITUTE(LOWER(T108&amp;""),CHAR(10),""),CHAR(13),""),CHAR(9),""),CHAR(160),"")," ",""),".",""),"-",""),"/",""),"?",""),"_",""),",",""),"[",""),"]",""),"(",""),")",""),"*","")</f>
        <v/>
      </c>
      <c r="AV108" s="61" t="str">
        <f aca="false">SUBSTITUTE(SUBSTITUTE(SUBSTITUTE(SUBSTITUTE(SUBSTITUTE(SUBSTITUTE(SUBSTITUTE(SUBSTITUTE(SUBSTITUTE(SUBSTITUTE(SUBSTITUTE(SUBSTITUTE(SUBSTITUTE(SUBSTITUTE(SUBSTITUTE(SUBSTITUTE(LOWER(V108&amp;""),CHAR(10),""),CHAR(13),""),CHAR(9),""),CHAR(160),"")," ",""),".",""),"-",""),"/",""),"?",""),"_",""),",",""),"[",""),"]",""),"(",""),")",""),"*","")</f>
        <v/>
      </c>
      <c r="AW108" s="61" t="str">
        <f aca="false">SUBSTITUTE(SUBSTITUTE(SUBSTITUTE(SUBSTITUTE(SUBSTITUTE(SUBSTITUTE(SUBSTITUTE(SUBSTITUTE(SUBSTITUTE(SUBSTITUTE(SUBSTITUTE(SUBSTITUTE(SUBSTITUTE(SUBSTITUTE(SUBSTITUTE(SUBSTITUTE(LOWER(Z108&amp;""),CHAR(10),""),CHAR(13),""),CHAR(9),""),CHAR(160),"")," ",""),".",""),"-",""),"/",""),"?",""),"_",""),",",""),"[",""),"]",""),"(",""),")",""),"*","")</f>
        <v/>
      </c>
      <c r="AX108" s="61" t="str">
        <f aca="false">SUBSTITUTE(SUBSTITUTE(SUBSTITUTE(SUBSTITUTE(SUBSTITUTE(SUBSTITUTE(SUBSTITUTE(SUBSTITUTE(SUBSTITUTE(SUBSTITUTE(SUBSTITUTE(SUBSTITUTE(SUBSTITUTE(SUBSTITUTE(SUBSTITUTE(SUBSTITUTE(LOWER(AE108&amp;""),CHAR(10),""),CHAR(13),""),CHAR(9),""),CHAR(160),"")," ",""),".",""),"-",""),"/",""),"?",""),"_",""),",",""),"[",""),"]",""),"(",""),")",""),"*","")</f>
        <v/>
      </c>
      <c r="AY108" s="61" t="str">
        <f aca="false">SUBSTITUTE(SUBSTITUTE(SUBSTITUTE(SUBSTITUTE(SUBSTITUTE(SUBSTITUTE(SUBSTITUTE(SUBSTITUTE(SUBSTITUTE(SUBSTITUTE(SUBSTITUTE(SUBSTITUTE(SUBSTITUTE(SUBSTITUTE(SUBSTITUTE(SUBSTITUTE(LOWER(W108&amp;""),CHAR(10),""),CHAR(13),""),CHAR(9),""),CHAR(160),"")," ",""),".",""),"-",""),"/",""),"?",""),"_",""),",",""),"[",""),"]",""),"(",""),")",""),"*","")</f>
        <v/>
      </c>
      <c r="AZ108" s="61" t="str">
        <f aca="false">SUBSTITUTE(SUBSTITUTE(SUBSTITUTE(SUBSTITUTE(SUBSTITUTE(SUBSTITUTE(SUBSTITUTE(SUBSTITUTE(SUBSTITUTE(SUBSTITUTE(SUBSTITUTE(SUBSTITUTE(SUBSTITUTE(SUBSTITUTE(SUBSTITUTE(SUBSTITUTE(LOWER(AC108&amp;""),CHAR(10),""),CHAR(13),""),CHAR(9),""),CHAR(160),"")," ",""),".",""),"-",""),"/",""),"?",""),"_",""),",",""),"[",""),"]",""),"(",""),")",""),"*","")</f>
        <v/>
      </c>
      <c r="BA108" s="61" t="str">
        <f aca="false">SUBSTITUTE(SUBSTITUTE(SUBSTITUTE(SUBSTITUTE(SUBSTITUTE(SUBSTITUTE(SUBSTITUTE(SUBSTITUTE(SUBSTITUTE(SUBSTITUTE(SUBSTITUTE(SUBSTITUTE(SUBSTITUTE(SUBSTITUTE(SUBSTITUTE(SUBSTITUTE(LOWER(AA108&amp;""),CHAR(10),""),CHAR(13),""),CHAR(9),""),CHAR(160),"")," ",""),".",""),"-",""),"/",""),"?",""),"_",""),",",""),"[",""),"]",""),"(",""),")",""),"*","")</f>
        <v/>
      </c>
      <c r="BB108" s="61" t="str">
        <f aca="false">IF(AND(TRIM(U108)="Pass",ISNUMBER(AF108)),IF(AF108&lt;&gt;0,"INVALID – qty variance: use Fail or Pass after CA",""),"")&amp;IF(AND(TRIM(U108)="Pass after CA",ISNUMBER(AF108)),IF(AF108&lt;&gt;0,"INVALID – after the corrective action the actual qty must equal expected (update Actual)",""),"")&amp;IF(AND(TRIM(U108)="Pass",TRIM(AB108)&lt;&gt;"",TRIM(AB108)&lt;&gt;"Closed"),"INVALID – corrective action not closed: use Fail, then Pass after CA","")&amp;IF(AND(LEN(BA108)&gt;=2,ISNA(MATCH(LEFT(BA108,255),L_Placeholder,0)),TRIM(AB108)=""),"INVALID – CA status missing for the recorded corrective action","")&amp;IF(AND(TRIM(U108)="Pass after CA",OR(OR(LEN(BA108)&lt;5,ISNUMBER(MATCH(BA108,L_Placeholder,0))),TRIM(AB108)&lt;&gt;"Closed")),"INVALID – corrective action not recorded/closed","")</f>
        <v/>
      </c>
      <c r="BC108" s="61" t="str">
        <f aca="false">" "&amp;TRIM(SUBSTITUTE(SUBSTITUTE(SUBSTITUTE(SUBSTITUTE(SUBSTITUTE(SUBSTITUTE(SUBSTITUTE(SUBSTITUTE(SUBSTITUTE(SUBSTITUTE(SUBSTITUTE(SUBSTITUTE(SUBSTITUTE(SUBSTITUTE(SUBSTITUTE(SUBSTITUTE(SUBSTITUTE(SUBSTITUTE(SUBSTITUTE(SUBSTITUTE(SUBSTITUTE(SUBSTITUTE(SUBSTITUTE(SUBSTITUTE(LOWER(V108&amp;""),CHAR(10)," "),CHAR(13)," "),CHAR(9)," "),CHAR(160)," "),"."," "),","," "),"-"," "),"/"," "),"("," "),")"," "),":"," "),";"," "),"_"," "),"–"," "),"?"," "),"!"," "),"*"," "),"["," "),"]"," "),"'"," "),"#"," "),"+"," "),"&amp;"," "),"\"," "))&amp;" "</f>
        <v>  </v>
      </c>
      <c r="BD108" s="61" t="str">
        <f aca="false">" "&amp;TRIM(SUBSTITUTE(SUBSTITUTE(SUBSTITUTE(SUBSTITUTE(SUBSTITUTE(SUBSTITUTE(SUBSTITUTE(SUBSTITUTE(SUBSTITUTE(SUBSTITUTE(SUBSTITUTE(SUBSTITUTE(SUBSTITUTE(SUBSTITUTE(SUBSTITUTE(SUBSTITUTE(SUBSTITUTE(SUBSTITUTE(SUBSTITUTE(SUBSTITUTE(SUBSTITUTE(SUBSTITUTE(SUBSTITUTE(SUBSTITUTE(LOWER(Z108&amp;""),CHAR(10)," "),CHAR(13)," "),CHAR(9)," "),CHAR(160)," "),"."," "),","," "),"-"," "),"/"," "),"("," "),")"," "),":"," "),";"," "),"_"," "),"–"," "),"?"," "),"!"," "),"*"," "),"["," "),"]"," "),"'"," "),"#"," "),"+"," "),"&amp;"," "),"\"," "))&amp;" "</f>
        <v>  </v>
      </c>
      <c r="BE108" s="61" t="str">
        <f aca="false">" "&amp;TRIM(SUBSTITUTE(SUBSTITUTE(SUBSTITUTE(SUBSTITUTE(SUBSTITUTE(SUBSTITUTE(SUBSTITUTE(SUBSTITUTE(SUBSTITUTE(SUBSTITUTE(SUBSTITUTE(SUBSTITUTE(SUBSTITUTE(SUBSTITUTE(SUBSTITUTE(SUBSTITUTE(SUBSTITUTE(SUBSTITUTE(SUBSTITUTE(SUBSTITUTE(SUBSTITUTE(SUBSTITUTE(SUBSTITUTE(SUBSTITUTE(LOWER(W108&amp;""),CHAR(10)," "),CHAR(13)," "),CHAR(9)," "),CHAR(160)," "),"."," "),","," "),"-"," "),"/"," "),"("," "),")"," "),":"," "),";"," "),"_"," "),"–"," "),"?"," "),"!"," "),"*"," "),"["," "),"]"," "),"'"," "),"#"," "),"+"," "),"&amp;"," "),"\"," "))&amp;" "</f>
        <v>  </v>
      </c>
      <c r="BF108" s="61" t="str">
        <f aca="false">" "&amp;TRIM(SUBSTITUTE(SUBSTITUTE(SUBSTITUTE(SUBSTITUTE(SUBSTITUTE(SUBSTITUTE(SUBSTITUTE(SUBSTITUTE(SUBSTITUTE(SUBSTITUTE(SUBSTITUTE(SUBSTITUTE(SUBSTITUTE(SUBSTITUTE(SUBSTITUTE(SUBSTITUTE(SUBSTITUTE(SUBSTITUTE(SUBSTITUTE(SUBSTITUTE(SUBSTITUTE(SUBSTITUTE(SUBSTITUTE(SUBSTITUTE(LOWER(AC108&amp;""),CHAR(10)," "),CHAR(13)," "),CHAR(9)," "),CHAR(160)," "),"."," "),","," "),"-"," "),"/"," "),"("," "),")"," "),":"," "),";"," "),"_"," "),"–"," "),"?"," "),"!"," "),"*"," "),"["," "),"]"," "),"'"," "),"#"," "),"+"," "),"&amp;"," "),"\"," "))&amp;" "</f>
        <v>  </v>
      </c>
      <c r="BG108" s="61" t="n">
        <f aca="false">IFERROR(IF(AND(TRIM(U108)="Pass",SUMPRODUCT((LEN(BC108)-LEN(SUBSTITUTE(BC108," "&amp;L_ResultBad&amp;" "," ")))/(LEN(L_ResultBad)+1))&gt;SUMPRODUCT((LEN(BC108)-LEN(SUBSTITUTE(BC108," "&amp;L_NegPhrase&amp;" "," ")))/(LEN(L_NegPhrase)+1))),1,0),0)</f>
        <v>0</v>
      </c>
      <c r="BH108" s="61" t="n">
        <f aca="false">IFERROR(IF(SUMPRODUCT((LEN(BC108)-LEN(SUBSTITUTE(BC108," "&amp;L_Pending&amp;" "," ")))/(LEN(L_Pending)+1))&gt;SUMPRODUCT((LEN(BC108)-LEN(SUBSTITUTE(BC108," "&amp;L_PendNeg&amp;" "," ")))/(LEN(L_PendNeg)+1))+SUMPRODUCT((LEN(BC108)-LEN(SUBSTITUTE(BC108," "&amp;L_PendPrep&amp;" "," ")))/(LEN(L_PendPrep)+1)),1,0),1)</f>
        <v>0</v>
      </c>
      <c r="BI108" s="61" t="n">
        <f aca="false">IFERROR(IF(SUMPRODUCT((LEN(BD108)-LEN(SUBSTITUTE(BD108," "&amp;L_PendStrict&amp;" "," ")))/(LEN(L_PendStrict)+1))&gt;SUMPRODUCT((LEN(BD108)-LEN(SUBSTITUTE(BD108," "&amp;L_PendNeg&amp;" "," ")))/(LEN(L_PendNeg)+1)),1,0),1)</f>
        <v>0</v>
      </c>
      <c r="BJ108" s="61" t="n">
        <f aca="false">IFERROR(IF(SUMPRODUCT((LEN(BE108)-LEN(SUBSTITUTE(BE108," "&amp;L_Pending&amp;" "," ")))/(LEN(L_Pending)+1))&gt;SUMPRODUCT((LEN(BE108)-LEN(SUBSTITUTE(BE108," "&amp;L_PendNeg&amp;" "," ")))/(LEN(L_PendNeg)+1))+SUMPRODUCT((LEN(BE108)-LEN(SUBSTITUTE(BE108," "&amp;L_PendPrep&amp;" "," ")))/(LEN(L_PendPrep)+1)),1,0),1)</f>
        <v>0</v>
      </c>
      <c r="BK108" s="61" t="n">
        <f aca="false">IFERROR(IF(SUMPRODUCT((LEN(BF108)-LEN(SUBSTITUTE(BF108," "&amp;L_PendStrict&amp;" "," ")))/(LEN(L_PendStrict)+1))&gt;SUMPRODUCT((LEN(BF108)-LEN(SUBSTITUTE(BF108," "&amp;L_PendNeg&amp;" "," ")))/(LEN(L_PendNeg)+1)),1,0),1)</f>
        <v>0</v>
      </c>
      <c r="BL108" s="61" t="n">
        <f aca="false">IF(ISNA(MATCH(TRIM(S108),L_EvidenceType,0)),0,BZ108)</f>
        <v>0</v>
      </c>
      <c r="BM108" s="61" t="str">
        <f aca="false">SUBSTITUTE(SUBSTITUTE(SUBSTITUTE(SUBSTITUTE(SUBSTITUTE(SUBSTITUTE(SUBSTITUTE(SUBSTITUTE(SUBSTITUTE(LOWER(Z108&amp;""),"1","0"),"2","0"),"3","0"),"4","0"),"5","0"),"6","0"),"7","0"),"8","0"),"9","0")</f>
        <v/>
      </c>
      <c r="BN108" s="61" t="str">
        <f aca="false">SUBSTITUTE(SUBSTITUTE(SUBSTITUTE(SUBSTITUTE(SUBSTITUTE(SUBSTITUTE(SUBSTITUTE(SUBSTITUTE(SUBSTITUTE(SUBSTITUTE(SUBSTITUTE(SUBSTITUTE(SUBSTITUTE(SUBSTITUTE(SUBSTITUTE(SUBSTITUTE(SUBSTITUTE(SUBSTITUTE(SUBSTITUTE(SUBSTITUTE(SUBSTITUTE(SUBSTITUTE(SUBSTITUTE(SUBSTITUTE(SUBSTITUTE(BM108,"b","a"),"c","a"),"d","a"),"e","a"),"f","a"),"g","a"),"h","a"),"i","a"),"j","a"),"k","a"),"l","a"),"m","a"),"n","a"),"o","a"),"p","a"),"q","a"),"r","a"),"s","a"),"t","a"),"u","a"),"v","a"),"w","a"),"x","a"),"y","a"),"z","a")</f>
        <v/>
      </c>
      <c r="BO108" s="61" t="str">
        <f aca="false">SUBSTITUTE(SUBSTITUTE(SUBSTITUTE(SUBSTITUTE(SUBSTITUTE(SUBSTITUTE(SUBSTITUTE(SUBSTITUTE(SUBSTITUTE(LOWER(W108&amp;""),"1","0"),"2","0"),"3","0"),"4","0"),"5","0"),"6","0"),"7","0"),"8","0"),"9","0")</f>
        <v/>
      </c>
      <c r="BP108" s="61" t="str">
        <f aca="false">SUBSTITUTE(SUBSTITUTE(SUBSTITUTE(SUBSTITUTE(SUBSTITUTE(SUBSTITUTE(SUBSTITUTE(SUBSTITUTE(SUBSTITUTE(SUBSTITUTE(SUBSTITUTE(SUBSTITUTE(SUBSTITUTE(SUBSTITUTE(SUBSTITUTE(SUBSTITUTE(SUBSTITUTE(SUBSTITUTE(SUBSTITUTE(SUBSTITUTE(SUBSTITUTE(SUBSTITUTE(SUBSTITUTE(SUBSTITUTE(SUBSTITUTE(BO108,"b","a"),"c","a"),"d","a"),"e","a"),"f","a"),"g","a"),"h","a"),"i","a"),"j","a"),"k","a"),"l","a"),"m","a"),"n","a"),"o","a"),"p","a"),"q","a"),"r","a"),"s","a"),"t","a"),"u","a"),"v","a"),"w","a"),"x","a"),"y","a"),"z","a")</f>
        <v/>
      </c>
      <c r="BQ108" s="61" t="n">
        <f aca="false">IFERROR(IF(AND(ISERROR(SEARCH(" mh"," "&amp;LOWER(W108))),ISNA(MATCH(LEFT(TRIM(BP108),255),{"0000a","000a","00a","0000aa","000aa","00aa","0aa","0000aaa","000aaa","00a00","0a00","0000-0000","00:00","a00","a0","00.00.0000","00/00/0000","00-00-0000","0000-00-00","0000/00/00","0000.00.00","00.00.00","00/00/00","00-00-00","0.00.0000","0/00/0000","0-00-0000"},0)),ISNA(MATCH(LEFT(TRIM(CA108),255),{"0000a","000a","00a","0000aa","000aa","00aa","0aa","0000aaa","000aaa","00a00","0a00","0000-0000","00:00","a00","a0","00.00.0000","00/00/0000","00-00-0000","0000-00-00","0000/00/00","0000.00.00","00.00.00","00/00/00","00-00-00","0.00.0000","0/00/0000","0-00-0000"},0)),LEN(CB108)&gt;=3,NOT(OR(SUBSTITUTE(CB108,"0","")="",AND(LEN(CB108)&gt;=4,CB108=REPT(LEFT(CB108),LEN(CB108))),ISNUMBER(MATCH(CB108,{"123","1234","12345","123456","1234567","12345678","0123","01234","012345","98765","987654","54321"},0)),AND(LEN(CB108)=8,LEFT(CB108,3)="202"))),OR(AND((LEN(CA108)-LEN(SUBSTITUTE(CA108,"a","")))&gt;=1,SUMPRODUCT(--ISNUMBER(SEARCH({"a0","a-0","a_0","a/0","a.0","a#0","0a","0-a","0_a","0/a"},BP108)))&gt;0),ISNUMBER(SEARCH("000000",BP108)))),1,0),0)</f>
        <v>0</v>
      </c>
      <c r="BR108" s="61" t="n">
        <f aca="false">IFERROR(LEN(SUBSTITUTE(CC108," ",""))-SUMPRODUCT((LEN(CC108)-LEN(SUBSTITUTE(CC108," "&amp;L_Role&amp;" "," ")))/(LEN(L_Role)+1)*LEN(L_Role)),0)</f>
        <v>0</v>
      </c>
      <c r="BS108" s="61" t="n">
        <f aca="false">IFERROR(LEN(SUBSTITUTE(CD108," ",""))-SUMPRODUCT((LEN(CD108)-LEN(SUBSTITUTE(CD108," "&amp;L_Role&amp;" "," ")))/(LEN(L_Role)+1)*LEN(L_Role)),0)</f>
        <v>0</v>
      </c>
      <c r="BT1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108,"revision",""),"version",""),"jan",""),"feb",""),"mar",""),"apr",""),"may",""),"jun",""),"jul",""),"aug",""),"sep",""),"oct",""),"nov",""),"dec",""),"utc",""),"gmt",""),"myt",""),"bst",""),"rev",""),"ver",""),"b","a"),"c","a"),"d","a"),"e","a"),"f","a"),"g","a"),"h","a"),"i","a"),"j","a"),"k","a"),"l","a"),"m","a"),"n","a"),"o","a"),"p","a"),"q","a"),"r","a"),"s","a"),"t","a"),"u","a"),"v","a"),"w","a"),"x","a"),"y","a"),"z","a")</f>
        <v/>
      </c>
      <c r="BU108" s="61" t="str">
        <f aca="false">SUBSTITUTE(SUBSTITUTE(SUBSTITUTE(SUBSTITUTE(SUBSTITUTE(SUBSTITUTE(SUBSTITUTE(SUBSTITUTE(SUBSTITUTE(SUBSTITUTE(LEFT(BM108,FIND("0",BM108&amp;"0")-1),"-",""),"_",""),"/",""),".",""),"#",""),"\\",""),":","")," ",""),"(",""),")","")</f>
        <v/>
      </c>
      <c r="BV108" s="61" t="n">
        <f aca="false">0</f>
        <v>0</v>
      </c>
      <c r="BW1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108&amp;""),"a",""),"b",""),"c",""),"d",""),"e",""),"f",""),"g",""),"h",""),"i",""),"j",""),"k",""),"l",""),"m",""),"n",""),"o",""),"p",""),"q",""),"r",""),"s",""),"t",""),"u",""),"v",""),"w",""),"x",""),"y",""),"z",""),"-",""),"_",""),"/",""),".",""),"#",""),"\\",""),":","")," ",""),"(",""),")","")</f>
        <v/>
      </c>
      <c r="BX108" s="61" t="str">
        <f aca="false">SUBSTITUTE(SUBSTITUTE(SUBSTITUTE(SUBSTITUTE(SUBSTITUTE(SUBSTITUTE(SUBSTITUTE(SUBSTITUTE(SUBSTITUTE(SUBSTITUTE(SUBSTITUTE(BM108,"0",""),"-",""),"_",""),"/",""),".",""),"#",""),"\\",""),":","")," ",""),"(",""),")","")</f>
        <v/>
      </c>
      <c r="BY108" s="62" t="n">
        <f aca="false">Q108-T12EarlyH/24</f>
        <v>46304.6458333333</v>
      </c>
      <c r="BZ108" s="61" t="n">
        <f aca="false">IFERROR(IF(IF(TRIM(S108)="Link / file path",AND(LEN(TRIM(Z108))&gt;=5,SUMPRODUCT(--ISNUMBER(SEARCH({"http","www.","\\",":\",".pdf",".jpg",".jpeg",".png",".heic",".xls",".doc",".msg",".eml",".ppt",".txt",".zip"},Z108)))&gt;0),AND(ISERROR(FIND(" ",TRIM(Z108))),NOT(OR(SUMPRODUCT(--ISNUMBER(FIND({",",";","&amp;","+"},Z108)))&gt;0,SUMPRODUCT(--ISNUMBER(SEARCH({"0/aa","0\\aa"},BN108)))&gt;0)),NOT(SUMPRODUCT(--ISNUMBER(SEARCH({"http","www.","\\",":\",".pdf",".jpg",".jpeg",".png",".heic",".xls",".doc",".msg",".eml",".ppt",".txt",".zip"},Z108)))&gt;0),NOT(LOWER(TRIM(Z108))=LOWER(Flights!$F$8)),ISNA(MATCH(BU108,{"mh","rev","revision","ver","version","v","r","a","b","seat","tray","row","gate","bay","stand","page","pg","item","line","no","cart","galley","flight","flt","table","box","bag","oven","etd","eta","std","sta","atd","ata","qty","pax","x","time","tel","ph","mob","day","wk","week","utc","gmt","myt","lt"},0)),NOT(OR(ISNUMBER(MATCH(LEFT(BN108,255),{"0000a","000a","00a","0000aa","000aa","00aa","0aa","0000aaa","000aaa","00a00","0a00","0000-0000","00:00","a00","a0","00.00.0000","00/00/0000","00-00-0000","0000-00-00","0000/00/00","0000.00.00","00.00.00","00/00/00","00-00-00","0.00.0000","0/00/0000","0-00-0000"},0)),ISNUMBER(MATCH(LEFT(BT108,255),{"0000a","000a","00a","0000aa","000aa","00aa","0aa","0000aaa","000aaa","00a00","0a00","0000-0000","00:00","a00","a0","00.00.0000","00/00/0000","00-00-0000","0000-00-00","0000/00/00","0000.00.00","00.00.00","00/00/00","00-00-00","0.00.0000","0/00/0000","0-00-0000"},0)))),NOT(OR(AND(BW108&lt;&gt;"",SUBSTITUTE(BW108,"0","")=""),AND(LEN(BW108)&gt;=4,BW108=REPT(LEFT(BW108),LEN(BW108))),ISNUMBER(MATCH(BW108,{"123","1234","12345","123456","1234567","12345678","0123","01234","012345","98765","987654","54321"},0)),ISNUMBER(MATCH(BX108,{"x","xx","xxx","xxxx","xxxxx","abc","abcd","nil","na","nan","test","tbc","tba","tbd","dummy","sample","example","eg","zz","zzz","none","null","xyz","qwe","asd","id","ref"},0)),AND(LEN(BW108)=8,BX108="",OR(LEFT(BW108,3)="202",ISNUMBER(MATCH(RIGHT(BW108,4),{"2025","2026","2027"},0)))))),OR(AND((LEN(BT108)-LEN(SUBSTITUTE(BT108,"a","")))&gt;=1,(LEN(BN108)-LEN(SUBSTITUTE(BN108,"0","")))&gt;=2,SUMPRODUCT(--ISNUMBER(SEARCH({"a0","a-0","a_0","a/0","a.0","a#0","0a","0-a","0_a","0/a"},BN108)))&gt;0),AND((LEN(BN108)-LEN(SUBSTITUTE(BN108,"a","")))=0,(LEN(BN108)-LEN(SUBSTITUTE(BN108,"0","")))&gt;=5)))),1,0),0)</f>
        <v>0</v>
      </c>
      <c r="CA1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108,"revision",""),"version",""),"jan",""),"feb",""),"mar",""),"apr",""),"may",""),"jun",""),"jul",""),"aug",""),"sep",""),"oct",""),"nov",""),"dec",""),"utc",""),"gmt",""),"myt",""),"bst",""),"rev",""),"ver",""),"b","a"),"c","a"),"d","a"),"e","a"),"f","a"),"g","a"),"h","a"),"i","a"),"j","a"),"k","a"),"l","a"),"m","a"),"n","a"),"o","a"),"p","a"),"q","a"),"r","a"),"s","a"),"t","a"),"u","a"),"v","a"),"w","a"),"x","a"),"y","a"),"z","a")</f>
        <v/>
      </c>
      <c r="CB1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108&amp;""),"a",""),"b",""),"c",""),"d",""),"e",""),"f",""),"g",""),"h",""),"i",""),"j",""),"k",""),"l",""),"m",""),"n",""),"o",""),"p",""),"q",""),"r",""),"s",""),"t",""),"u",""),"v",""),"w",""),"x",""),"y",""),"z",""),"-",""),"_",""),"/",""),".",""),"#",""),"\\",""),":","")," ",""),"(",""),")","")</f>
        <v/>
      </c>
      <c r="CC108" s="0" t="str">
        <f aca="false">" "&amp;TRIM(SUBSTITUTE(SUBSTITUTE(SUBSTITUTE(SUBSTITUTE(SUBSTITUTE(SUBSTITUTE(SUBSTITUTE(SUBSTITUTE(SUBSTITUTE(SUBSTITUTE(SUBSTITUTE(SUBSTITUTE(SUBSTITUTE(SUBSTITUTE(SUBSTITUTE(SUBSTITUTE(SUBSTITUTE(SUBSTITUTE(SUBSTITUTE(SUBSTITUTE(SUBSTITUTE(SUBSTITUTE(SUBSTITUTE(SUBSTITUTE(LOWER(T108&amp;""),CHAR(10)," "),CHAR(13)," "),CHAR(9)," "),CHAR(160)," "),"."," "),","," "),"-"," "),"/"," "),"("," "),")"," "),":"," "),";"," "),"_"," "),"–"," "),"?"," "),"!"," "),"*"," "),"["," "),"]"," "),"'"," "),"#"," "),"+"," "),"&amp;"," "),"\"," "))&amp;" "</f>
        <v>  </v>
      </c>
      <c r="CD108" s="0" t="str">
        <f aca="false">" "&amp;TRIM(SUBSTITUTE(SUBSTITUTE(SUBSTITUTE(SUBSTITUTE(SUBSTITUTE(SUBSTITUTE(SUBSTITUTE(SUBSTITUTE(SUBSTITUTE(SUBSTITUTE(SUBSTITUTE(SUBSTITUTE(SUBSTITUTE(SUBSTITUTE(SUBSTITUTE(SUBSTITUTE(SUBSTITUTE(SUBSTITUTE(SUBSTITUTE(SUBSTITUTE(SUBSTITUTE(SUBSTITUTE(SUBSTITUTE(SUBSTITUTE(LOWER(AE108&amp;""),CHAR(10)," "),CHAR(13)," "),CHAR(9)," "),CHAR(160)," "),"."," "),","," "),"-"," "),"/"," "),"("," "),")"," "),":"," "),";"," "),"_"," "),"–"," "),"?"," "),"!"," "),"*"," "),"["," "),"]"," "),"'"," "),"#"," "),"+"," "),"&amp;"," "),"\"," "))&amp;" "</f>
        <v>  </v>
      </c>
      <c r="CE108" s="68" t="n">
        <f aca="false">IFERROR(IF(AND(LEN(AU108)&gt;0,LEN(AU108)=LEN(AX108),OR(TRIM(MID(SUBSTITUTE(TRIM(CC108)," ",REPT(" ",60)),1,60))="",ISNUMBER(SEARCH(" "&amp;TRIM(MID(SUBSTITUTE(TRIM(CC108)," ",REPT(" ",60)),1,60))&amp;" ",CD108))),OR(TRIM(MID(SUBSTITUTE(TRIM(CC108)," ",REPT(" ",60)),61,60))="",ISNUMBER(SEARCH(" "&amp;TRIM(MID(SUBSTITUTE(TRIM(CC108)," ",REPT(" ",60)),61,60))&amp;" ",CD108))),OR(TRIM(MID(SUBSTITUTE(TRIM(CC108)," ",REPT(" ",60)),121,60))="",ISNUMBER(SEARCH(" "&amp;TRIM(MID(SUBSTITUTE(TRIM(CC108)," ",REPT(" ",60)),121,60))&amp;" ",CD108)))),1,0),0)</f>
        <v>0</v>
      </c>
      <c r="CG108" s="68" t="n">
        <f aca="false">IFERROR(LEN(SUBSTITUTE(BF108," ",""))-SUMPRODUCT((LEN(BF108)-LEN(SUBSTITUTE(BF108," "&amp;L_NAFiller&amp;" "," ")))/(LEN(L_NAFiller)+1)*LEN(L_NAFiller)),0)</f>
        <v>0</v>
      </c>
    </row>
    <row r="109" customFormat="false" ht="41.25" hidden="false" customHeight="true" outlineLevel="0" collapsed="false">
      <c r="A109" s="57" t="s">
        <v>605</v>
      </c>
      <c r="B109" s="57" t="s">
        <v>218</v>
      </c>
      <c r="C109" s="57" t="str">
        <f aca="false">Flights!$F$8</f>
        <v>MH0088</v>
      </c>
      <c r="D109" s="58" t="n">
        <f aca="false">Flights!$D$8</f>
        <v>46305</v>
      </c>
      <c r="E109" s="57" t="str">
        <f aca="false">Flights!$G$8&amp;"-"&amp;Flights!$H$8</f>
        <v>KUL-NRT</v>
      </c>
      <c r="F109" s="57" t="str">
        <f aca="false">Flights!$K$8</f>
        <v>BC</v>
      </c>
      <c r="G109" s="57" t="s">
        <v>420</v>
      </c>
      <c r="H109" s="57" t="s">
        <v>378</v>
      </c>
      <c r="I109" s="57" t="s">
        <v>499</v>
      </c>
      <c r="J109" s="57" t="s">
        <v>500</v>
      </c>
      <c r="K109" s="67" t="s">
        <v>501</v>
      </c>
      <c r="L109" s="67" t="s">
        <v>606</v>
      </c>
      <c r="M109" s="67" t="s">
        <v>451</v>
      </c>
      <c r="N109" s="67" t="s">
        <v>383</v>
      </c>
      <c r="O109" s="67" t="s">
        <v>503</v>
      </c>
      <c r="P109" s="57" t="s">
        <v>187</v>
      </c>
      <c r="Q109" s="59" t="n">
        <f aca="false">ROUND((Flights!$AE$8)*1440,0)/1440</f>
        <v>46305.1458333333</v>
      </c>
      <c r="R109" s="59" t="n">
        <f aca="false">Q109+(IF(AND(INDEX(TZ_DSTS,MATCH(P109,TZ_STN,0))&lt;&gt;"",Q109&gt;=INDEX(TZ_DSTS,MATCH(P109,TZ_STN,0)),Q109&lt;INDEX(TZ_DSTE,MATCH(P109,TZ_STN,0))),INDEX(TZ_DST,MATCH(P109,TZ_STN,0)),INDEX(TZ_STD,MATCH(P109,TZ_STN,0))))/24</f>
        <v>46305.4791666667</v>
      </c>
      <c r="S109" s="60"/>
      <c r="T109" s="60"/>
      <c r="U109" s="60"/>
      <c r="V109" s="60"/>
      <c r="W109" s="61"/>
      <c r="X109" s="60"/>
      <c r="Y109" s="60"/>
      <c r="Z109" s="60"/>
      <c r="AA109" s="60"/>
      <c r="AB109" s="60"/>
      <c r="AC109" s="60"/>
      <c r="AD109" s="66"/>
      <c r="AE109" s="60"/>
      <c r="AF109" s="61" t="str">
        <f aca="false">IF(AND(ISNUMBER(X109),ISNUMBER(Y109)),Y109-X109,"")</f>
        <v/>
      </c>
      <c r="AG109" s="62" t="str">
        <f aca="false">IF(ISNUMBER(AD109),AD109-(IF(AND(INDEX(TZ_DSTS,MATCH(P109,TZ_STN,0))&lt;&gt;"",(AD109-INDEX(TZ_STD,MATCH(P109,TZ_STN,0))/24)&gt;=INDEX(TZ_DSTS,MATCH(P109,TZ_STN,0)),(AD109-INDEX(TZ_STD,MATCH(P109,TZ_STN,0))/24)&lt;INDEX(TZ_DSTE,MATCH(P109,TZ_STN,0))),INDEX(TZ_DST,MATCH(P109,TZ_STN,0)),INDEX(TZ_STD,MATCH(P109,TZ_STN,0))))/24,"")</f>
        <v/>
      </c>
      <c r="AH109" s="65" t="str">
        <f aca="false">IFERROR(IF(N109="N/A – rule",IF(OR(TRIM(U109)="",TRIM(U109)="N/A",TRIM(U109)="Not started"),"N/A – RULE","INVALID – this check does not apply to this aircraft: clear the status (or correct the fleet on Flights)"),IF(TRIM(U109)="N/A",IF(AT109=0,"INVALID – N/A not permitted for this check",IF(AND(TRIM(AB109)&lt;&gt;"",TRIM(AB109)&lt;&gt;"Closed"),"INVALID – corrective action still open",IF(AND(NOT(OR(LEN(AZ109)&lt;15,ISNUMBER(MATCH(AZ109,L_Placeholder,0)))),BK109=0,CG109&gt;=8,NOT(OR(LEN(AU109)&lt;2,ISNUMBER(MATCH(AU109,L_Placeholder,0)))),BR109&gt;=3,NOT(OR(LEN(AX109)&lt;2,ISNUMBER(MATCH(AX109,L_Placeholder,0)))),BS109&gt;=3,TRIM(AE109)&lt;&gt;TRIM(T109),AX109&lt;&gt;AU109,CE109=0),"N/A – JUSTIFIED","INVALID – N/A needs a real, settled reason (not 'not applicable' / 'as above' / TBC), a named PIC and a different named verifier"))),IF(OR(TRIM(U109)="Pass",TRIM(U109)="Pass after CA"),IF(NOT(ISNUMBER(AD109)),"INVALID – completion time missing",IF(OR(OR(LEN(AU109)&lt;2,ISNUMBER(MATCH(AU109,L_Placeholder,0))),BR109&lt;3),"INVALID – PIC missing or not a named person (a role such as QA / CSM is not a name)",IF(OR(LEN(AV109)&lt;2,ISNUMBER(MATCH(AV109,L_Placeholder,0))),"INVALID – result / assessment missing",IF(OR(OR(LEN(AW109)&lt;3,ISNUMBER(MATCH(AW109,L_Placeholder,0))),SUMPRODUCT(--ISNUMBER(SEARCH(" "&amp;L_EvidencePhrase&amp;" ",BD109)))&gt;0,BI109=1),"INVALID – evidence missing, placeholder or not yet on file",IF(ISNA(MATCH(TRIM(S109),L_EvidenceType,0)),"INVALID – choose the evidence type from the list (column S)",IF(BL109=0,"INVALID – evidence ID must be the record's own ID only (e.g. SF-2210, IMG_2231, 1045521); a link / file name needs type 'Link / file path'",IF(OR(OR(LEN(AX109)&lt;2,ISNUMBER(MATCH(AX109,L_Placeholder,0))),BS109&lt;3),"INVALID – verifier missing or not a named person (a role such as QA / CSM is not a name)",IF(OR(AX109=AU109,CE109=1,AND(LEN(AU109)&gt;=4,ISNUMBER(SEARCH(AU109,AX109))),AND(LEN(AX109)&gt;=4,ISNUMBER(SEARCH(AX109,AU109)))),"INVALID – verifier must be a different, named person (not the PIC or a role)",IF(BH109=1,"INVALID – result not yet available (awaiting / TBC)",IF(BG109=1,"INVALID – result describes a problem: record Fail, then Pass after CA (or reword if it is not a problem)",IF(BV109=1,"INVALID – wording says not on board: an on-board confirmation needs the item loaded",IF(AND(AQ109=1,OR(OR(LEN(AY109)&lt;3,ISNUMBER(MATCH(AY109,L_Placeholder,0))),BJ109=1,BQ109=0)),"INVALID – batch ID missing, placeholder or not an ID (e.g. PASB-261008-BC-017)",IF(AND(AR109=1,OR(NOT(ISNUMBER(X109)),NOT(ISNUMBER(Y109)))),"INVALID – expected/actual qty missing",IF(AND(AR109=1,OR(X109&lt;=0,Y109&lt;0)),"INVALID – expected qty must be above 0 and actual not negative",IF(BB109&lt;&gt;"",BB109,IF(AND(AS109=1,Documents!$J$8&lt;&gt;"ON FILE"),"INVALID – GLD not on file (Documents sheet)",IF(AND(AS109=2,Documents!$O$8&lt;&gt;"ON FILE"),"INVALID – menu checklist not on file (Documents sheet)",IF(AND(AS109=3,NOT(ISNUMBER(Flights!$AX$8))),"INVALID – enter carrying flight KUL departure (Flights AX)",IF(AND(AS109=3,OR(Flights!$AZ$8&gt;Flights!$AA$8,Flights!$AX$8&lt;Flights!$AA$8-3)),"INVALID – carrying flight (Flights AX) cannot arrive before this leg's STD, or is over 3 days early",IF(AG109&gt;AsOfUTC,"INVALID – completion time is in the future",IF(AND(ISNUMBER(BY109),AG109&lt;BY109),IF(H109="Physical uplift","INVALID – before uplift window (cannot confirm loading)","INVALID – before valid window"),IF(AG109&gt;Flights!$AA$8,"INVALID – completed after departure (cannot establish readiness)",IF(AND(H109="Preparation",AG109&gt;=IF(ISNUMBER(Flights!$BA$8),MIN(Flights!$BA$8,Flights!$AA$8),Flights!$AA$8)),"INVALID – completed after loading / departure (cannot establish readiness)",IF(AND(H109="Physical uplift",AG109&gt;Q109),"INVALID – recorded after the loading flight departed",IF(AG109&gt;Q109,"COMPLETE – LATE","COMPLETE"))))))))))))))))))))))))),IF(TRIM(U109)="Fail","FAIL – DISCREPANCY",IF(AND(TRIM(U109)&lt;&gt;"",TRIM(U109)&lt;&gt;"Not started",TRIM(U109)&lt;&gt;"In progress"),"INVALID – unrecognised status (use the list)",IF(AsOfUTC&gt;Q109,"OVERDUE",IF(N109="Clarification required","OPEN – CLARIFICATION","OPEN"))))))),"INVALID – error value in an input cell")</f>
        <v>OPEN</v>
      </c>
      <c r="AI109" s="61" t="n">
        <f aca="false">IF(OR(AH109="N/A – RULE",AH109="N/A – JUSTIFIED"),0,1)</f>
        <v>1</v>
      </c>
      <c r="AJ109" s="61" t="n">
        <f aca="false">IF(LEFT(AH109,8)="COMPLETE",1,0)</f>
        <v>0</v>
      </c>
      <c r="AK109" s="61" t="n">
        <f aca="false">IF(AND(AI109=1,AJ109=0,AsOfUTC&gt;Q109),1,0)</f>
        <v>0</v>
      </c>
      <c r="AL109" s="61" t="n">
        <f aca="false">IFERROR(IF(AND(AI109=1,OR(TRIM(U109)="Fail",AND(TRIM(AB109)&lt;&gt;"",TRIM(AB109)&lt;&gt;"Closed"),AND(ISNUMBER(AF109),AF109&lt;&gt;0,TRIM(U109)&lt;&gt;"Pass after CA"))),1,0),1)</f>
        <v>0</v>
      </c>
      <c r="AM109" s="61" t="n">
        <f aca="false">IF(LEFT(AH109,7)="INVALID",1,0)</f>
        <v>0</v>
      </c>
      <c r="AN109" s="61" t="n">
        <f aca="false">IF(AND(N109="Clarification required",AI109=1,AJ109=0),1,0)</f>
        <v>0</v>
      </c>
      <c r="AO109" s="61" t="str">
        <f aca="false">IF(AK109=1,SUM(AK$5:AK109),"")</f>
        <v/>
      </c>
      <c r="AP109" s="61" t="str">
        <f aca="false">IF(AL109=1,SUM(AL$5:AL109),"")</f>
        <v/>
      </c>
      <c r="AQ109" s="61" t="n">
        <v>0</v>
      </c>
      <c r="AR109" s="61" t="n">
        <v>0</v>
      </c>
      <c r="AS109" s="61" t="n">
        <v>0</v>
      </c>
      <c r="AT109" s="61" t="n">
        <v>0</v>
      </c>
      <c r="AU109" s="61" t="str">
        <f aca="false">SUBSTITUTE(SUBSTITUTE(SUBSTITUTE(SUBSTITUTE(SUBSTITUTE(SUBSTITUTE(SUBSTITUTE(SUBSTITUTE(SUBSTITUTE(SUBSTITUTE(SUBSTITUTE(SUBSTITUTE(SUBSTITUTE(SUBSTITUTE(SUBSTITUTE(SUBSTITUTE(LOWER(T109&amp;""),CHAR(10),""),CHAR(13),""),CHAR(9),""),CHAR(160),"")," ",""),".",""),"-",""),"/",""),"?",""),"_",""),",",""),"[",""),"]",""),"(",""),")",""),"*","")</f>
        <v/>
      </c>
      <c r="AV109" s="61" t="str">
        <f aca="false">SUBSTITUTE(SUBSTITUTE(SUBSTITUTE(SUBSTITUTE(SUBSTITUTE(SUBSTITUTE(SUBSTITUTE(SUBSTITUTE(SUBSTITUTE(SUBSTITUTE(SUBSTITUTE(SUBSTITUTE(SUBSTITUTE(SUBSTITUTE(SUBSTITUTE(SUBSTITUTE(LOWER(V109&amp;""),CHAR(10),""),CHAR(13),""),CHAR(9),""),CHAR(160),"")," ",""),".",""),"-",""),"/",""),"?",""),"_",""),",",""),"[",""),"]",""),"(",""),")",""),"*","")</f>
        <v/>
      </c>
      <c r="AW109" s="61" t="str">
        <f aca="false">SUBSTITUTE(SUBSTITUTE(SUBSTITUTE(SUBSTITUTE(SUBSTITUTE(SUBSTITUTE(SUBSTITUTE(SUBSTITUTE(SUBSTITUTE(SUBSTITUTE(SUBSTITUTE(SUBSTITUTE(SUBSTITUTE(SUBSTITUTE(SUBSTITUTE(SUBSTITUTE(LOWER(Z109&amp;""),CHAR(10),""),CHAR(13),""),CHAR(9),""),CHAR(160),"")," ",""),".",""),"-",""),"/",""),"?",""),"_",""),",",""),"[",""),"]",""),"(",""),")",""),"*","")</f>
        <v/>
      </c>
      <c r="AX109" s="61" t="str">
        <f aca="false">SUBSTITUTE(SUBSTITUTE(SUBSTITUTE(SUBSTITUTE(SUBSTITUTE(SUBSTITUTE(SUBSTITUTE(SUBSTITUTE(SUBSTITUTE(SUBSTITUTE(SUBSTITUTE(SUBSTITUTE(SUBSTITUTE(SUBSTITUTE(SUBSTITUTE(SUBSTITUTE(LOWER(AE109&amp;""),CHAR(10),""),CHAR(13),""),CHAR(9),""),CHAR(160),"")," ",""),".",""),"-",""),"/",""),"?",""),"_",""),",",""),"[",""),"]",""),"(",""),")",""),"*","")</f>
        <v/>
      </c>
      <c r="AY109" s="61" t="str">
        <f aca="false">SUBSTITUTE(SUBSTITUTE(SUBSTITUTE(SUBSTITUTE(SUBSTITUTE(SUBSTITUTE(SUBSTITUTE(SUBSTITUTE(SUBSTITUTE(SUBSTITUTE(SUBSTITUTE(SUBSTITUTE(SUBSTITUTE(SUBSTITUTE(SUBSTITUTE(SUBSTITUTE(LOWER(W109&amp;""),CHAR(10),""),CHAR(13),""),CHAR(9),""),CHAR(160),"")," ",""),".",""),"-",""),"/",""),"?",""),"_",""),",",""),"[",""),"]",""),"(",""),")",""),"*","")</f>
        <v/>
      </c>
      <c r="AZ109" s="61" t="str">
        <f aca="false">SUBSTITUTE(SUBSTITUTE(SUBSTITUTE(SUBSTITUTE(SUBSTITUTE(SUBSTITUTE(SUBSTITUTE(SUBSTITUTE(SUBSTITUTE(SUBSTITUTE(SUBSTITUTE(SUBSTITUTE(SUBSTITUTE(SUBSTITUTE(SUBSTITUTE(SUBSTITUTE(LOWER(AC109&amp;""),CHAR(10),""),CHAR(13),""),CHAR(9),""),CHAR(160),"")," ",""),".",""),"-",""),"/",""),"?",""),"_",""),",",""),"[",""),"]",""),"(",""),")",""),"*","")</f>
        <v/>
      </c>
      <c r="BA109" s="61" t="str">
        <f aca="false">SUBSTITUTE(SUBSTITUTE(SUBSTITUTE(SUBSTITUTE(SUBSTITUTE(SUBSTITUTE(SUBSTITUTE(SUBSTITUTE(SUBSTITUTE(SUBSTITUTE(SUBSTITUTE(SUBSTITUTE(SUBSTITUTE(SUBSTITUTE(SUBSTITUTE(SUBSTITUTE(LOWER(AA109&amp;""),CHAR(10),""),CHAR(13),""),CHAR(9),""),CHAR(160),"")," ",""),".",""),"-",""),"/",""),"?",""),"_",""),",",""),"[",""),"]",""),"(",""),")",""),"*","")</f>
        <v/>
      </c>
      <c r="BB109" s="61" t="str">
        <f aca="false">IF(AND(TRIM(U109)="Pass",ISNUMBER(AF109)),IF(AF109&lt;&gt;0,"INVALID – qty variance: use Fail or Pass after CA",""),"")&amp;IF(AND(TRIM(U109)="Pass after CA",ISNUMBER(AF109)),IF(AF109&lt;&gt;0,"INVALID – after the corrective action the actual qty must equal expected (update Actual)",""),"")&amp;IF(AND(TRIM(U109)="Pass",TRIM(AB109)&lt;&gt;"",TRIM(AB109)&lt;&gt;"Closed"),"INVALID – corrective action not closed: use Fail, then Pass after CA","")&amp;IF(AND(LEN(BA109)&gt;=2,ISNA(MATCH(LEFT(BA109,255),L_Placeholder,0)),TRIM(AB109)=""),"INVALID – CA status missing for the recorded corrective action","")&amp;IF(AND(TRIM(U109)="Pass after CA",OR(OR(LEN(BA109)&lt;5,ISNUMBER(MATCH(BA109,L_Placeholder,0))),TRIM(AB109)&lt;&gt;"Closed")),"INVALID – corrective action not recorded/closed","")</f>
        <v/>
      </c>
      <c r="BC109" s="61" t="str">
        <f aca="false">" "&amp;TRIM(SUBSTITUTE(SUBSTITUTE(SUBSTITUTE(SUBSTITUTE(SUBSTITUTE(SUBSTITUTE(SUBSTITUTE(SUBSTITUTE(SUBSTITUTE(SUBSTITUTE(SUBSTITUTE(SUBSTITUTE(SUBSTITUTE(SUBSTITUTE(SUBSTITUTE(SUBSTITUTE(SUBSTITUTE(SUBSTITUTE(SUBSTITUTE(SUBSTITUTE(SUBSTITUTE(SUBSTITUTE(SUBSTITUTE(SUBSTITUTE(LOWER(V109&amp;""),CHAR(10)," "),CHAR(13)," "),CHAR(9)," "),CHAR(160)," "),"."," "),","," "),"-"," "),"/"," "),"("," "),")"," "),":"," "),";"," "),"_"," "),"–"," "),"?"," "),"!"," "),"*"," "),"["," "),"]"," "),"'"," "),"#"," "),"+"," "),"&amp;"," "),"\"," "))&amp;" "</f>
        <v>  </v>
      </c>
      <c r="BD109" s="61" t="str">
        <f aca="false">" "&amp;TRIM(SUBSTITUTE(SUBSTITUTE(SUBSTITUTE(SUBSTITUTE(SUBSTITUTE(SUBSTITUTE(SUBSTITUTE(SUBSTITUTE(SUBSTITUTE(SUBSTITUTE(SUBSTITUTE(SUBSTITUTE(SUBSTITUTE(SUBSTITUTE(SUBSTITUTE(SUBSTITUTE(SUBSTITUTE(SUBSTITUTE(SUBSTITUTE(SUBSTITUTE(SUBSTITUTE(SUBSTITUTE(SUBSTITUTE(SUBSTITUTE(LOWER(Z109&amp;""),CHAR(10)," "),CHAR(13)," "),CHAR(9)," "),CHAR(160)," "),"."," "),","," "),"-"," "),"/"," "),"("," "),")"," "),":"," "),";"," "),"_"," "),"–"," "),"?"," "),"!"," "),"*"," "),"["," "),"]"," "),"'"," "),"#"," "),"+"," "),"&amp;"," "),"\"," "))&amp;" "</f>
        <v>  </v>
      </c>
      <c r="BE109" s="61" t="str">
        <f aca="false">" "&amp;TRIM(SUBSTITUTE(SUBSTITUTE(SUBSTITUTE(SUBSTITUTE(SUBSTITUTE(SUBSTITUTE(SUBSTITUTE(SUBSTITUTE(SUBSTITUTE(SUBSTITUTE(SUBSTITUTE(SUBSTITUTE(SUBSTITUTE(SUBSTITUTE(SUBSTITUTE(SUBSTITUTE(SUBSTITUTE(SUBSTITUTE(SUBSTITUTE(SUBSTITUTE(SUBSTITUTE(SUBSTITUTE(SUBSTITUTE(SUBSTITUTE(LOWER(W109&amp;""),CHAR(10)," "),CHAR(13)," "),CHAR(9)," "),CHAR(160)," "),"."," "),","," "),"-"," "),"/"," "),"("," "),")"," "),":"," "),";"," "),"_"," "),"–"," "),"?"," "),"!"," "),"*"," "),"["," "),"]"," "),"'"," "),"#"," "),"+"," "),"&amp;"," "),"\"," "))&amp;" "</f>
        <v>  </v>
      </c>
      <c r="BF109" s="61" t="str">
        <f aca="false">" "&amp;TRIM(SUBSTITUTE(SUBSTITUTE(SUBSTITUTE(SUBSTITUTE(SUBSTITUTE(SUBSTITUTE(SUBSTITUTE(SUBSTITUTE(SUBSTITUTE(SUBSTITUTE(SUBSTITUTE(SUBSTITUTE(SUBSTITUTE(SUBSTITUTE(SUBSTITUTE(SUBSTITUTE(SUBSTITUTE(SUBSTITUTE(SUBSTITUTE(SUBSTITUTE(SUBSTITUTE(SUBSTITUTE(SUBSTITUTE(SUBSTITUTE(LOWER(AC109&amp;""),CHAR(10)," "),CHAR(13)," "),CHAR(9)," "),CHAR(160)," "),"."," "),","," "),"-"," "),"/"," "),"("," "),")"," "),":"," "),";"," "),"_"," "),"–"," "),"?"," "),"!"," "),"*"," "),"["," "),"]"," "),"'"," "),"#"," "),"+"," "),"&amp;"," "),"\"," "))&amp;" "</f>
        <v>  </v>
      </c>
      <c r="BG109" s="61" t="n">
        <f aca="false">IFERROR(IF(AND(TRIM(U109)="Pass",SUMPRODUCT((LEN(BC109)-LEN(SUBSTITUTE(BC109," "&amp;L_ResultBad&amp;" "," ")))/(LEN(L_ResultBad)+1))&gt;SUMPRODUCT((LEN(BC109)-LEN(SUBSTITUTE(BC109," "&amp;L_NegPhrase&amp;" "," ")))/(LEN(L_NegPhrase)+1))),1,0),0)</f>
        <v>0</v>
      </c>
      <c r="BH109" s="61" t="n">
        <f aca="false">IFERROR(IF(SUMPRODUCT((LEN(BC109)-LEN(SUBSTITUTE(BC109," "&amp;L_Pending&amp;" "," ")))/(LEN(L_Pending)+1))&gt;SUMPRODUCT((LEN(BC109)-LEN(SUBSTITUTE(BC109," "&amp;L_PendNeg&amp;" "," ")))/(LEN(L_PendNeg)+1))+SUMPRODUCT((LEN(BC109)-LEN(SUBSTITUTE(BC109," "&amp;L_PendPrep&amp;" "," ")))/(LEN(L_PendPrep)+1)),1,0),1)</f>
        <v>0</v>
      </c>
      <c r="BI109" s="61" t="n">
        <f aca="false">IFERROR(IF(SUMPRODUCT((LEN(BD109)-LEN(SUBSTITUTE(BD109," "&amp;L_PendStrict&amp;" "," ")))/(LEN(L_PendStrict)+1))&gt;SUMPRODUCT((LEN(BD109)-LEN(SUBSTITUTE(BD109," "&amp;L_PendNeg&amp;" "," ")))/(LEN(L_PendNeg)+1)),1,0),1)</f>
        <v>0</v>
      </c>
      <c r="BJ109" s="61" t="n">
        <f aca="false">IFERROR(IF(SUMPRODUCT((LEN(BE109)-LEN(SUBSTITUTE(BE109," "&amp;L_Pending&amp;" "," ")))/(LEN(L_Pending)+1))&gt;SUMPRODUCT((LEN(BE109)-LEN(SUBSTITUTE(BE109," "&amp;L_PendNeg&amp;" "," ")))/(LEN(L_PendNeg)+1))+SUMPRODUCT((LEN(BE109)-LEN(SUBSTITUTE(BE109," "&amp;L_PendPrep&amp;" "," ")))/(LEN(L_PendPrep)+1)),1,0),1)</f>
        <v>0</v>
      </c>
      <c r="BK109" s="61" t="n">
        <f aca="false">IFERROR(IF(SUMPRODUCT((LEN(BF109)-LEN(SUBSTITUTE(BF109," "&amp;L_PendStrict&amp;" "," ")))/(LEN(L_PendStrict)+1))&gt;SUMPRODUCT((LEN(BF109)-LEN(SUBSTITUTE(BF109," "&amp;L_PendNeg&amp;" "," ")))/(LEN(L_PendNeg)+1)),1,0),1)</f>
        <v>0</v>
      </c>
      <c r="BL109" s="61" t="n">
        <f aca="false">IF(ISNA(MATCH(TRIM(S109),L_EvidenceType,0)),0,BZ109)</f>
        <v>0</v>
      </c>
      <c r="BM109" s="61" t="str">
        <f aca="false">SUBSTITUTE(SUBSTITUTE(SUBSTITUTE(SUBSTITUTE(SUBSTITUTE(SUBSTITUTE(SUBSTITUTE(SUBSTITUTE(SUBSTITUTE(LOWER(Z109&amp;""),"1","0"),"2","0"),"3","0"),"4","0"),"5","0"),"6","0"),"7","0"),"8","0"),"9","0")</f>
        <v/>
      </c>
      <c r="BN109" s="61" t="str">
        <f aca="false">SUBSTITUTE(SUBSTITUTE(SUBSTITUTE(SUBSTITUTE(SUBSTITUTE(SUBSTITUTE(SUBSTITUTE(SUBSTITUTE(SUBSTITUTE(SUBSTITUTE(SUBSTITUTE(SUBSTITUTE(SUBSTITUTE(SUBSTITUTE(SUBSTITUTE(SUBSTITUTE(SUBSTITUTE(SUBSTITUTE(SUBSTITUTE(SUBSTITUTE(SUBSTITUTE(SUBSTITUTE(SUBSTITUTE(SUBSTITUTE(SUBSTITUTE(BM109,"b","a"),"c","a"),"d","a"),"e","a"),"f","a"),"g","a"),"h","a"),"i","a"),"j","a"),"k","a"),"l","a"),"m","a"),"n","a"),"o","a"),"p","a"),"q","a"),"r","a"),"s","a"),"t","a"),"u","a"),"v","a"),"w","a"),"x","a"),"y","a"),"z","a")</f>
        <v/>
      </c>
      <c r="BO109" s="61" t="str">
        <f aca="false">SUBSTITUTE(SUBSTITUTE(SUBSTITUTE(SUBSTITUTE(SUBSTITUTE(SUBSTITUTE(SUBSTITUTE(SUBSTITUTE(SUBSTITUTE(LOWER(W109&amp;""),"1","0"),"2","0"),"3","0"),"4","0"),"5","0"),"6","0"),"7","0"),"8","0"),"9","0")</f>
        <v/>
      </c>
      <c r="BP109" s="61" t="str">
        <f aca="false">SUBSTITUTE(SUBSTITUTE(SUBSTITUTE(SUBSTITUTE(SUBSTITUTE(SUBSTITUTE(SUBSTITUTE(SUBSTITUTE(SUBSTITUTE(SUBSTITUTE(SUBSTITUTE(SUBSTITUTE(SUBSTITUTE(SUBSTITUTE(SUBSTITUTE(SUBSTITUTE(SUBSTITUTE(SUBSTITUTE(SUBSTITUTE(SUBSTITUTE(SUBSTITUTE(SUBSTITUTE(SUBSTITUTE(SUBSTITUTE(SUBSTITUTE(BO109,"b","a"),"c","a"),"d","a"),"e","a"),"f","a"),"g","a"),"h","a"),"i","a"),"j","a"),"k","a"),"l","a"),"m","a"),"n","a"),"o","a"),"p","a"),"q","a"),"r","a"),"s","a"),"t","a"),"u","a"),"v","a"),"w","a"),"x","a"),"y","a"),"z","a")</f>
        <v/>
      </c>
      <c r="BQ109" s="61" t="n">
        <f aca="false">IFERROR(IF(AND(ISERROR(SEARCH(" mh"," "&amp;LOWER(W109))),ISNA(MATCH(LEFT(TRIM(BP109),255),{"0000a","000a","00a","0000aa","000aa","00aa","0aa","0000aaa","000aaa","00a00","0a00","0000-0000","00:00","a00","a0","00.00.0000","00/00/0000","00-00-0000","0000-00-00","0000/00/00","0000.00.00","00.00.00","00/00/00","00-00-00","0.00.0000","0/00/0000","0-00-0000"},0)),ISNA(MATCH(LEFT(TRIM(CA109),255),{"0000a","000a","00a","0000aa","000aa","00aa","0aa","0000aaa","000aaa","00a00","0a00","0000-0000","00:00","a00","a0","00.00.0000","00/00/0000","00-00-0000","0000-00-00","0000/00/00","0000.00.00","00.00.00","00/00/00","00-00-00","0.00.0000","0/00/0000","0-00-0000"},0)),LEN(CB109)&gt;=3,NOT(OR(SUBSTITUTE(CB109,"0","")="",AND(LEN(CB109)&gt;=4,CB109=REPT(LEFT(CB109),LEN(CB109))),ISNUMBER(MATCH(CB109,{"123","1234","12345","123456","1234567","12345678","0123","01234","012345","98765","987654","54321"},0)),AND(LEN(CB109)=8,LEFT(CB109,3)="202"))),OR(AND((LEN(CA109)-LEN(SUBSTITUTE(CA109,"a","")))&gt;=1,SUMPRODUCT(--ISNUMBER(SEARCH({"a0","a-0","a_0","a/0","a.0","a#0","0a","0-a","0_a","0/a"},BP109)))&gt;0),ISNUMBER(SEARCH("000000",BP109)))),1,0),0)</f>
        <v>0</v>
      </c>
      <c r="BR109" s="61" t="n">
        <f aca="false">IFERROR(LEN(SUBSTITUTE(CC109," ",""))-SUMPRODUCT((LEN(CC109)-LEN(SUBSTITUTE(CC109," "&amp;L_Role&amp;" "," ")))/(LEN(L_Role)+1)*LEN(L_Role)),0)</f>
        <v>0</v>
      </c>
      <c r="BS109" s="61" t="n">
        <f aca="false">IFERROR(LEN(SUBSTITUTE(CD109," ",""))-SUMPRODUCT((LEN(CD109)-LEN(SUBSTITUTE(CD109," "&amp;L_Role&amp;" "," ")))/(LEN(L_Role)+1)*LEN(L_Role)),0)</f>
        <v>0</v>
      </c>
      <c r="BT1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109,"revision",""),"version",""),"jan",""),"feb",""),"mar",""),"apr",""),"may",""),"jun",""),"jul",""),"aug",""),"sep",""),"oct",""),"nov",""),"dec",""),"utc",""),"gmt",""),"myt",""),"bst",""),"rev",""),"ver",""),"b","a"),"c","a"),"d","a"),"e","a"),"f","a"),"g","a"),"h","a"),"i","a"),"j","a"),"k","a"),"l","a"),"m","a"),"n","a"),"o","a"),"p","a"),"q","a"),"r","a"),"s","a"),"t","a"),"u","a"),"v","a"),"w","a"),"x","a"),"y","a"),"z","a")</f>
        <v/>
      </c>
      <c r="BU109" s="61" t="str">
        <f aca="false">SUBSTITUTE(SUBSTITUTE(SUBSTITUTE(SUBSTITUTE(SUBSTITUTE(SUBSTITUTE(SUBSTITUTE(SUBSTITUTE(SUBSTITUTE(SUBSTITUTE(LEFT(BM109,FIND("0",BM109&amp;"0")-1),"-",""),"_",""),"/",""),".",""),"#",""),"\\",""),":","")," ",""),"(",""),")","")</f>
        <v/>
      </c>
      <c r="BV109" s="61" t="n">
        <f aca="false">0</f>
        <v>0</v>
      </c>
      <c r="BW1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109&amp;""),"a",""),"b",""),"c",""),"d",""),"e",""),"f",""),"g",""),"h",""),"i",""),"j",""),"k",""),"l",""),"m",""),"n",""),"o",""),"p",""),"q",""),"r",""),"s",""),"t",""),"u",""),"v",""),"w",""),"x",""),"y",""),"z",""),"-",""),"_",""),"/",""),".",""),"#",""),"\\",""),":","")," ",""),"(",""),")","")</f>
        <v/>
      </c>
      <c r="BX109" s="61" t="str">
        <f aca="false">SUBSTITUTE(SUBSTITUTE(SUBSTITUTE(SUBSTITUTE(SUBSTITUTE(SUBSTITUTE(SUBSTITUTE(SUBSTITUTE(SUBSTITUTE(SUBSTITUTE(SUBSTITUTE(BM109,"0",""),"-",""),"_",""),"/",""),".",""),"#",""),"\\",""),":","")," ",""),"(",""),")","")</f>
        <v/>
      </c>
      <c r="BY109" s="62" t="n">
        <f aca="false">Q109-T12EarlyH/24</f>
        <v>46304.6458333333</v>
      </c>
      <c r="BZ109" s="61" t="n">
        <f aca="false">IFERROR(IF(IF(TRIM(S109)="Link / file path",AND(LEN(TRIM(Z109))&gt;=5,SUMPRODUCT(--ISNUMBER(SEARCH({"http","www.","\\",":\",".pdf",".jpg",".jpeg",".png",".heic",".xls",".doc",".msg",".eml",".ppt",".txt",".zip"},Z109)))&gt;0),AND(ISERROR(FIND(" ",TRIM(Z109))),NOT(OR(SUMPRODUCT(--ISNUMBER(FIND({",",";","&amp;","+"},Z109)))&gt;0,SUMPRODUCT(--ISNUMBER(SEARCH({"0/aa","0\\aa"},BN109)))&gt;0)),NOT(SUMPRODUCT(--ISNUMBER(SEARCH({"http","www.","\\",":\",".pdf",".jpg",".jpeg",".png",".heic",".xls",".doc",".msg",".eml",".ppt",".txt",".zip"},Z109)))&gt;0),NOT(LOWER(TRIM(Z109))=LOWER(Flights!$F$8)),ISNA(MATCH(BU109,{"mh","rev","revision","ver","version","v","r","a","b","seat","tray","row","gate","bay","stand","page","pg","item","line","no","cart","galley","flight","flt","table","box","bag","oven","etd","eta","std","sta","atd","ata","qty","pax","x","time","tel","ph","mob","day","wk","week","utc","gmt","myt","lt"},0)),NOT(OR(ISNUMBER(MATCH(LEFT(BN109,255),{"0000a","000a","00a","0000aa","000aa","00aa","0aa","0000aaa","000aaa","00a00","0a00","0000-0000","00:00","a00","a0","00.00.0000","00/00/0000","00-00-0000","0000-00-00","0000/00/00","0000.00.00","00.00.00","00/00/00","00-00-00","0.00.0000","0/00/0000","0-00-0000"},0)),ISNUMBER(MATCH(LEFT(BT109,255),{"0000a","000a","00a","0000aa","000aa","00aa","0aa","0000aaa","000aaa","00a00","0a00","0000-0000","00:00","a00","a0","00.00.0000","00/00/0000","00-00-0000","0000-00-00","0000/00/00","0000.00.00","00.00.00","00/00/00","00-00-00","0.00.0000","0/00/0000","0-00-0000"},0)))),NOT(OR(AND(BW109&lt;&gt;"",SUBSTITUTE(BW109,"0","")=""),AND(LEN(BW109)&gt;=4,BW109=REPT(LEFT(BW109),LEN(BW109))),ISNUMBER(MATCH(BW109,{"123","1234","12345","123456","1234567","12345678","0123","01234","012345","98765","987654","54321"},0)),ISNUMBER(MATCH(BX109,{"x","xx","xxx","xxxx","xxxxx","abc","abcd","nil","na","nan","test","tbc","tba","tbd","dummy","sample","example","eg","zz","zzz","none","null","xyz","qwe","asd","id","ref"},0)),AND(LEN(BW109)=8,BX109="",OR(LEFT(BW109,3)="202",ISNUMBER(MATCH(RIGHT(BW109,4),{"2025","2026","2027"},0)))))),OR(AND((LEN(BT109)-LEN(SUBSTITUTE(BT109,"a","")))&gt;=1,(LEN(BN109)-LEN(SUBSTITUTE(BN109,"0","")))&gt;=2,SUMPRODUCT(--ISNUMBER(SEARCH({"a0","a-0","a_0","a/0","a.0","a#0","0a","0-a","0_a","0/a"},BN109)))&gt;0),AND((LEN(BN109)-LEN(SUBSTITUTE(BN109,"a","")))=0,(LEN(BN109)-LEN(SUBSTITUTE(BN109,"0","")))&gt;=5)))),1,0),0)</f>
        <v>0</v>
      </c>
      <c r="CA1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109,"revision",""),"version",""),"jan",""),"feb",""),"mar",""),"apr",""),"may",""),"jun",""),"jul",""),"aug",""),"sep",""),"oct",""),"nov",""),"dec",""),"utc",""),"gmt",""),"myt",""),"bst",""),"rev",""),"ver",""),"b","a"),"c","a"),"d","a"),"e","a"),"f","a"),"g","a"),"h","a"),"i","a"),"j","a"),"k","a"),"l","a"),"m","a"),"n","a"),"o","a"),"p","a"),"q","a"),"r","a"),"s","a"),"t","a"),"u","a"),"v","a"),"w","a"),"x","a"),"y","a"),"z","a")</f>
        <v/>
      </c>
      <c r="CB1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109&amp;""),"a",""),"b",""),"c",""),"d",""),"e",""),"f",""),"g",""),"h",""),"i",""),"j",""),"k",""),"l",""),"m",""),"n",""),"o",""),"p",""),"q",""),"r",""),"s",""),"t",""),"u",""),"v",""),"w",""),"x",""),"y",""),"z",""),"-",""),"_",""),"/",""),".",""),"#",""),"\\",""),":","")," ",""),"(",""),")","")</f>
        <v/>
      </c>
      <c r="CC109" s="0" t="str">
        <f aca="false">" "&amp;TRIM(SUBSTITUTE(SUBSTITUTE(SUBSTITUTE(SUBSTITUTE(SUBSTITUTE(SUBSTITUTE(SUBSTITUTE(SUBSTITUTE(SUBSTITUTE(SUBSTITUTE(SUBSTITUTE(SUBSTITUTE(SUBSTITUTE(SUBSTITUTE(SUBSTITUTE(SUBSTITUTE(SUBSTITUTE(SUBSTITUTE(SUBSTITUTE(SUBSTITUTE(SUBSTITUTE(SUBSTITUTE(SUBSTITUTE(SUBSTITUTE(LOWER(T109&amp;""),CHAR(10)," "),CHAR(13)," "),CHAR(9)," "),CHAR(160)," "),"."," "),","," "),"-"," "),"/"," "),"("," "),")"," "),":"," "),";"," "),"_"," "),"–"," "),"?"," "),"!"," "),"*"," "),"["," "),"]"," "),"'"," "),"#"," "),"+"," "),"&amp;"," "),"\"," "))&amp;" "</f>
        <v>  </v>
      </c>
      <c r="CD109" s="0" t="str">
        <f aca="false">" "&amp;TRIM(SUBSTITUTE(SUBSTITUTE(SUBSTITUTE(SUBSTITUTE(SUBSTITUTE(SUBSTITUTE(SUBSTITUTE(SUBSTITUTE(SUBSTITUTE(SUBSTITUTE(SUBSTITUTE(SUBSTITUTE(SUBSTITUTE(SUBSTITUTE(SUBSTITUTE(SUBSTITUTE(SUBSTITUTE(SUBSTITUTE(SUBSTITUTE(SUBSTITUTE(SUBSTITUTE(SUBSTITUTE(SUBSTITUTE(SUBSTITUTE(LOWER(AE109&amp;""),CHAR(10)," "),CHAR(13)," "),CHAR(9)," "),CHAR(160)," "),"."," "),","," "),"-"," "),"/"," "),"("," "),")"," "),":"," "),";"," "),"_"," "),"–"," "),"?"," "),"!"," "),"*"," "),"["," "),"]"," "),"'"," "),"#"," "),"+"," "),"&amp;"," "),"\"," "))&amp;" "</f>
        <v>  </v>
      </c>
      <c r="CE109" s="68" t="n">
        <f aca="false">IFERROR(IF(AND(LEN(AU109)&gt;0,LEN(AU109)=LEN(AX109),OR(TRIM(MID(SUBSTITUTE(TRIM(CC109)," ",REPT(" ",60)),1,60))="",ISNUMBER(SEARCH(" "&amp;TRIM(MID(SUBSTITUTE(TRIM(CC109)," ",REPT(" ",60)),1,60))&amp;" ",CD109))),OR(TRIM(MID(SUBSTITUTE(TRIM(CC109)," ",REPT(" ",60)),61,60))="",ISNUMBER(SEARCH(" "&amp;TRIM(MID(SUBSTITUTE(TRIM(CC109)," ",REPT(" ",60)),61,60))&amp;" ",CD109))),OR(TRIM(MID(SUBSTITUTE(TRIM(CC109)," ",REPT(" ",60)),121,60))="",ISNUMBER(SEARCH(" "&amp;TRIM(MID(SUBSTITUTE(TRIM(CC109)," ",REPT(" ",60)),121,60))&amp;" ",CD109)))),1,0),0)</f>
        <v>0</v>
      </c>
      <c r="CG109" s="68" t="n">
        <f aca="false">IFERROR(LEN(SUBSTITUTE(BF109," ",""))-SUMPRODUCT((LEN(BF109)-LEN(SUBSTITUTE(BF109," "&amp;L_NAFiller&amp;" "," ")))/(LEN(L_NAFiller)+1)*LEN(L_NAFiller)),0)</f>
        <v>0</v>
      </c>
    </row>
    <row r="110" customFormat="false" ht="41.25" hidden="false" customHeight="true" outlineLevel="0" collapsed="false">
      <c r="A110" s="57" t="s">
        <v>607</v>
      </c>
      <c r="B110" s="57" t="s">
        <v>218</v>
      </c>
      <c r="C110" s="57" t="str">
        <f aca="false">Flights!$F$8</f>
        <v>MH0088</v>
      </c>
      <c r="D110" s="58" t="n">
        <f aca="false">Flights!$D$8</f>
        <v>46305</v>
      </c>
      <c r="E110" s="57" t="str">
        <f aca="false">Flights!$G$8&amp;"-"&amp;Flights!$H$8</f>
        <v>KUL-NRT</v>
      </c>
      <c r="F110" s="57" t="str">
        <f aca="false">Flights!$K$8</f>
        <v>BC</v>
      </c>
      <c r="G110" s="57" t="s">
        <v>420</v>
      </c>
      <c r="H110" s="57" t="s">
        <v>378</v>
      </c>
      <c r="I110" s="57" t="s">
        <v>499</v>
      </c>
      <c r="J110" s="57" t="s">
        <v>505</v>
      </c>
      <c r="K110" s="67" t="s">
        <v>501</v>
      </c>
      <c r="L110" s="67" t="s">
        <v>608</v>
      </c>
      <c r="M110" s="67" t="s">
        <v>451</v>
      </c>
      <c r="N110" s="67" t="s">
        <v>383</v>
      </c>
      <c r="O110" s="67" t="s">
        <v>503</v>
      </c>
      <c r="P110" s="57" t="s">
        <v>187</v>
      </c>
      <c r="Q110" s="59" t="n">
        <f aca="false">ROUND((Flights!$AE$8)*1440,0)/1440</f>
        <v>46305.1458333333</v>
      </c>
      <c r="R110" s="59" t="n">
        <f aca="false">Q110+(IF(AND(INDEX(TZ_DSTS,MATCH(P110,TZ_STN,0))&lt;&gt;"",Q110&gt;=INDEX(TZ_DSTS,MATCH(P110,TZ_STN,0)),Q110&lt;INDEX(TZ_DSTE,MATCH(P110,TZ_STN,0))),INDEX(TZ_DST,MATCH(P110,TZ_STN,0)),INDEX(TZ_STD,MATCH(P110,TZ_STN,0))))/24</f>
        <v>46305.4791666667</v>
      </c>
      <c r="S110" s="60"/>
      <c r="T110" s="60"/>
      <c r="U110" s="60"/>
      <c r="V110" s="60"/>
      <c r="W110" s="61"/>
      <c r="X110" s="60"/>
      <c r="Y110" s="60"/>
      <c r="Z110" s="60"/>
      <c r="AA110" s="60"/>
      <c r="AB110" s="60"/>
      <c r="AC110" s="60"/>
      <c r="AD110" s="66"/>
      <c r="AE110" s="60"/>
      <c r="AF110" s="61" t="str">
        <f aca="false">IF(AND(ISNUMBER(X110),ISNUMBER(Y110)),Y110-X110,"")</f>
        <v/>
      </c>
      <c r="AG110" s="62" t="str">
        <f aca="false">IF(ISNUMBER(AD110),AD110-(IF(AND(INDEX(TZ_DSTS,MATCH(P110,TZ_STN,0))&lt;&gt;"",(AD110-INDEX(TZ_STD,MATCH(P110,TZ_STN,0))/24)&gt;=INDEX(TZ_DSTS,MATCH(P110,TZ_STN,0)),(AD110-INDEX(TZ_STD,MATCH(P110,TZ_STN,0))/24)&lt;INDEX(TZ_DSTE,MATCH(P110,TZ_STN,0))),INDEX(TZ_DST,MATCH(P110,TZ_STN,0)),INDEX(TZ_STD,MATCH(P110,TZ_STN,0))))/24,"")</f>
        <v/>
      </c>
      <c r="AH110" s="65" t="str">
        <f aca="false">IFERROR(IF(N110="N/A – rule",IF(OR(TRIM(U110)="",TRIM(U110)="N/A",TRIM(U110)="Not started"),"N/A – RULE","INVALID – this check does not apply to this aircraft: clear the status (or correct the fleet on Flights)"),IF(TRIM(U110)="N/A",IF(AT110=0,"INVALID – N/A not permitted for this check",IF(AND(TRIM(AB110)&lt;&gt;"",TRIM(AB110)&lt;&gt;"Closed"),"INVALID – corrective action still open",IF(AND(NOT(OR(LEN(AZ110)&lt;15,ISNUMBER(MATCH(AZ110,L_Placeholder,0)))),BK110=0,CG110&gt;=8,NOT(OR(LEN(AU110)&lt;2,ISNUMBER(MATCH(AU110,L_Placeholder,0)))),BR110&gt;=3,NOT(OR(LEN(AX110)&lt;2,ISNUMBER(MATCH(AX110,L_Placeholder,0)))),BS110&gt;=3,TRIM(AE110)&lt;&gt;TRIM(T110),AX110&lt;&gt;AU110,CE110=0),"N/A – JUSTIFIED","INVALID – N/A needs a real, settled reason (not 'not applicable' / 'as above' / TBC), a named PIC and a different named verifier"))),IF(OR(TRIM(U110)="Pass",TRIM(U110)="Pass after CA"),IF(NOT(ISNUMBER(AD110)),"INVALID – completion time missing",IF(OR(OR(LEN(AU110)&lt;2,ISNUMBER(MATCH(AU110,L_Placeholder,0))),BR110&lt;3),"INVALID – PIC missing or not a named person (a role such as QA / CSM is not a name)",IF(OR(LEN(AV110)&lt;2,ISNUMBER(MATCH(AV110,L_Placeholder,0))),"INVALID – result / assessment missing",IF(OR(OR(LEN(AW110)&lt;3,ISNUMBER(MATCH(AW110,L_Placeholder,0))),SUMPRODUCT(--ISNUMBER(SEARCH(" "&amp;L_EvidencePhrase&amp;" ",BD110)))&gt;0,BI110=1),"INVALID – evidence missing, placeholder or not yet on file",IF(ISNA(MATCH(TRIM(S110),L_EvidenceType,0)),"INVALID – choose the evidence type from the list (column S)",IF(BL110=0,"INVALID – evidence ID must be the record's own ID only (e.g. SF-2210, IMG_2231, 1045521); a link / file name needs type 'Link / file path'",IF(OR(OR(LEN(AX110)&lt;2,ISNUMBER(MATCH(AX110,L_Placeholder,0))),BS110&lt;3),"INVALID – verifier missing or not a named person (a role such as QA / CSM is not a name)",IF(OR(AX110=AU110,CE110=1,AND(LEN(AU110)&gt;=4,ISNUMBER(SEARCH(AU110,AX110))),AND(LEN(AX110)&gt;=4,ISNUMBER(SEARCH(AX110,AU110)))),"INVALID – verifier must be a different, named person (not the PIC or a role)",IF(BH110=1,"INVALID – result not yet available (awaiting / TBC)",IF(BG110=1,"INVALID – result describes a problem: record Fail, then Pass after CA (or reword if it is not a problem)",IF(BV110=1,"INVALID – wording says not on board: an on-board confirmation needs the item loaded",IF(AND(AQ110=1,OR(OR(LEN(AY110)&lt;3,ISNUMBER(MATCH(AY110,L_Placeholder,0))),BJ110=1,BQ110=0)),"INVALID – batch ID missing, placeholder or not an ID (e.g. PASB-261008-BC-017)",IF(AND(AR110=1,OR(NOT(ISNUMBER(X110)),NOT(ISNUMBER(Y110)))),"INVALID – expected/actual qty missing",IF(AND(AR110=1,OR(X110&lt;=0,Y110&lt;0)),"INVALID – expected qty must be above 0 and actual not negative",IF(BB110&lt;&gt;"",BB110,IF(AND(AS110=1,Documents!$J$8&lt;&gt;"ON FILE"),"INVALID – GLD not on file (Documents sheet)",IF(AND(AS110=2,Documents!$O$8&lt;&gt;"ON FILE"),"INVALID – menu checklist not on file (Documents sheet)",IF(AND(AS110=3,NOT(ISNUMBER(Flights!$AX$8))),"INVALID – enter carrying flight KUL departure (Flights AX)",IF(AND(AS110=3,OR(Flights!$AZ$8&gt;Flights!$AA$8,Flights!$AX$8&lt;Flights!$AA$8-3)),"INVALID – carrying flight (Flights AX) cannot arrive before this leg's STD, or is over 3 days early",IF(AG110&gt;AsOfUTC,"INVALID – completion time is in the future",IF(AND(ISNUMBER(BY110),AG110&lt;BY110),IF(H110="Physical uplift","INVALID – before uplift window (cannot confirm loading)","INVALID – before valid window"),IF(AG110&gt;Flights!$AA$8,"INVALID – completed after departure (cannot establish readiness)",IF(AND(H110="Preparation",AG110&gt;=IF(ISNUMBER(Flights!$BA$8),MIN(Flights!$BA$8,Flights!$AA$8),Flights!$AA$8)),"INVALID – completed after loading / departure (cannot establish readiness)",IF(AND(H110="Physical uplift",AG110&gt;Q110),"INVALID – recorded after the loading flight departed",IF(AG110&gt;Q110,"COMPLETE – LATE","COMPLETE"))))))))))))))))))))))))),IF(TRIM(U110)="Fail","FAIL – DISCREPANCY",IF(AND(TRIM(U110)&lt;&gt;"",TRIM(U110)&lt;&gt;"Not started",TRIM(U110)&lt;&gt;"In progress"),"INVALID – unrecognised status (use the list)",IF(AsOfUTC&gt;Q110,"OVERDUE",IF(N110="Clarification required","OPEN – CLARIFICATION","OPEN"))))))),"INVALID – error value in an input cell")</f>
        <v>OPEN</v>
      </c>
      <c r="AI110" s="61" t="n">
        <f aca="false">IF(OR(AH110="N/A – RULE",AH110="N/A – JUSTIFIED"),0,1)</f>
        <v>1</v>
      </c>
      <c r="AJ110" s="61" t="n">
        <f aca="false">IF(LEFT(AH110,8)="COMPLETE",1,0)</f>
        <v>0</v>
      </c>
      <c r="AK110" s="61" t="n">
        <f aca="false">IF(AND(AI110=1,AJ110=0,AsOfUTC&gt;Q110),1,0)</f>
        <v>0</v>
      </c>
      <c r="AL110" s="61" t="n">
        <f aca="false">IFERROR(IF(AND(AI110=1,OR(TRIM(U110)="Fail",AND(TRIM(AB110)&lt;&gt;"",TRIM(AB110)&lt;&gt;"Closed"),AND(ISNUMBER(AF110),AF110&lt;&gt;0,TRIM(U110)&lt;&gt;"Pass after CA"))),1,0),1)</f>
        <v>0</v>
      </c>
      <c r="AM110" s="61" t="n">
        <f aca="false">IF(LEFT(AH110,7)="INVALID",1,0)</f>
        <v>0</v>
      </c>
      <c r="AN110" s="61" t="n">
        <f aca="false">IF(AND(N110="Clarification required",AI110=1,AJ110=0),1,0)</f>
        <v>0</v>
      </c>
      <c r="AO110" s="61" t="str">
        <f aca="false">IF(AK110=1,SUM(AK$5:AK110),"")</f>
        <v/>
      </c>
      <c r="AP110" s="61" t="str">
        <f aca="false">IF(AL110=1,SUM(AL$5:AL110),"")</f>
        <v/>
      </c>
      <c r="AQ110" s="61" t="n">
        <v>0</v>
      </c>
      <c r="AR110" s="61" t="n">
        <v>0</v>
      </c>
      <c r="AS110" s="61" t="n">
        <v>0</v>
      </c>
      <c r="AT110" s="61" t="n">
        <v>0</v>
      </c>
      <c r="AU110" s="61" t="str">
        <f aca="false">SUBSTITUTE(SUBSTITUTE(SUBSTITUTE(SUBSTITUTE(SUBSTITUTE(SUBSTITUTE(SUBSTITUTE(SUBSTITUTE(SUBSTITUTE(SUBSTITUTE(SUBSTITUTE(SUBSTITUTE(SUBSTITUTE(SUBSTITUTE(SUBSTITUTE(SUBSTITUTE(LOWER(T110&amp;""),CHAR(10),""),CHAR(13),""),CHAR(9),""),CHAR(160),"")," ",""),".",""),"-",""),"/",""),"?",""),"_",""),",",""),"[",""),"]",""),"(",""),")",""),"*","")</f>
        <v/>
      </c>
      <c r="AV110" s="61" t="str">
        <f aca="false">SUBSTITUTE(SUBSTITUTE(SUBSTITUTE(SUBSTITUTE(SUBSTITUTE(SUBSTITUTE(SUBSTITUTE(SUBSTITUTE(SUBSTITUTE(SUBSTITUTE(SUBSTITUTE(SUBSTITUTE(SUBSTITUTE(SUBSTITUTE(SUBSTITUTE(SUBSTITUTE(LOWER(V110&amp;""),CHAR(10),""),CHAR(13),""),CHAR(9),""),CHAR(160),"")," ",""),".",""),"-",""),"/",""),"?",""),"_",""),",",""),"[",""),"]",""),"(",""),")",""),"*","")</f>
        <v/>
      </c>
      <c r="AW110" s="61" t="str">
        <f aca="false">SUBSTITUTE(SUBSTITUTE(SUBSTITUTE(SUBSTITUTE(SUBSTITUTE(SUBSTITUTE(SUBSTITUTE(SUBSTITUTE(SUBSTITUTE(SUBSTITUTE(SUBSTITUTE(SUBSTITUTE(SUBSTITUTE(SUBSTITUTE(SUBSTITUTE(SUBSTITUTE(LOWER(Z110&amp;""),CHAR(10),""),CHAR(13),""),CHAR(9),""),CHAR(160),"")," ",""),".",""),"-",""),"/",""),"?",""),"_",""),",",""),"[",""),"]",""),"(",""),")",""),"*","")</f>
        <v/>
      </c>
      <c r="AX110" s="61" t="str">
        <f aca="false">SUBSTITUTE(SUBSTITUTE(SUBSTITUTE(SUBSTITUTE(SUBSTITUTE(SUBSTITUTE(SUBSTITUTE(SUBSTITUTE(SUBSTITUTE(SUBSTITUTE(SUBSTITUTE(SUBSTITUTE(SUBSTITUTE(SUBSTITUTE(SUBSTITUTE(SUBSTITUTE(LOWER(AE110&amp;""),CHAR(10),""),CHAR(13),""),CHAR(9),""),CHAR(160),"")," ",""),".",""),"-",""),"/",""),"?",""),"_",""),",",""),"[",""),"]",""),"(",""),")",""),"*","")</f>
        <v/>
      </c>
      <c r="AY110" s="61" t="str">
        <f aca="false">SUBSTITUTE(SUBSTITUTE(SUBSTITUTE(SUBSTITUTE(SUBSTITUTE(SUBSTITUTE(SUBSTITUTE(SUBSTITUTE(SUBSTITUTE(SUBSTITUTE(SUBSTITUTE(SUBSTITUTE(SUBSTITUTE(SUBSTITUTE(SUBSTITUTE(SUBSTITUTE(LOWER(W110&amp;""),CHAR(10),""),CHAR(13),""),CHAR(9),""),CHAR(160),"")," ",""),".",""),"-",""),"/",""),"?",""),"_",""),",",""),"[",""),"]",""),"(",""),")",""),"*","")</f>
        <v/>
      </c>
      <c r="AZ110" s="61" t="str">
        <f aca="false">SUBSTITUTE(SUBSTITUTE(SUBSTITUTE(SUBSTITUTE(SUBSTITUTE(SUBSTITUTE(SUBSTITUTE(SUBSTITUTE(SUBSTITUTE(SUBSTITUTE(SUBSTITUTE(SUBSTITUTE(SUBSTITUTE(SUBSTITUTE(SUBSTITUTE(SUBSTITUTE(LOWER(AC110&amp;""),CHAR(10),""),CHAR(13),""),CHAR(9),""),CHAR(160),"")," ",""),".",""),"-",""),"/",""),"?",""),"_",""),",",""),"[",""),"]",""),"(",""),")",""),"*","")</f>
        <v/>
      </c>
      <c r="BA110" s="61" t="str">
        <f aca="false">SUBSTITUTE(SUBSTITUTE(SUBSTITUTE(SUBSTITUTE(SUBSTITUTE(SUBSTITUTE(SUBSTITUTE(SUBSTITUTE(SUBSTITUTE(SUBSTITUTE(SUBSTITUTE(SUBSTITUTE(SUBSTITUTE(SUBSTITUTE(SUBSTITUTE(SUBSTITUTE(LOWER(AA110&amp;""),CHAR(10),""),CHAR(13),""),CHAR(9),""),CHAR(160),"")," ",""),".",""),"-",""),"/",""),"?",""),"_",""),",",""),"[",""),"]",""),"(",""),")",""),"*","")</f>
        <v/>
      </c>
      <c r="BB110" s="61" t="str">
        <f aca="false">IF(AND(TRIM(U110)="Pass",ISNUMBER(AF110)),IF(AF110&lt;&gt;0,"INVALID – qty variance: use Fail or Pass after CA",""),"")&amp;IF(AND(TRIM(U110)="Pass after CA",ISNUMBER(AF110)),IF(AF110&lt;&gt;0,"INVALID – after the corrective action the actual qty must equal expected (update Actual)",""),"")&amp;IF(AND(TRIM(U110)="Pass",TRIM(AB110)&lt;&gt;"",TRIM(AB110)&lt;&gt;"Closed"),"INVALID – corrective action not closed: use Fail, then Pass after CA","")&amp;IF(AND(LEN(BA110)&gt;=2,ISNA(MATCH(LEFT(BA110,255),L_Placeholder,0)),TRIM(AB110)=""),"INVALID – CA status missing for the recorded corrective action","")&amp;IF(AND(TRIM(U110)="Pass after CA",OR(OR(LEN(BA110)&lt;5,ISNUMBER(MATCH(BA110,L_Placeholder,0))),TRIM(AB110)&lt;&gt;"Closed")),"INVALID – corrective action not recorded/closed","")</f>
        <v/>
      </c>
      <c r="BC110" s="61" t="str">
        <f aca="false">" "&amp;TRIM(SUBSTITUTE(SUBSTITUTE(SUBSTITUTE(SUBSTITUTE(SUBSTITUTE(SUBSTITUTE(SUBSTITUTE(SUBSTITUTE(SUBSTITUTE(SUBSTITUTE(SUBSTITUTE(SUBSTITUTE(SUBSTITUTE(SUBSTITUTE(SUBSTITUTE(SUBSTITUTE(SUBSTITUTE(SUBSTITUTE(SUBSTITUTE(SUBSTITUTE(SUBSTITUTE(SUBSTITUTE(SUBSTITUTE(SUBSTITUTE(LOWER(V110&amp;""),CHAR(10)," "),CHAR(13)," "),CHAR(9)," "),CHAR(160)," "),"."," "),","," "),"-"," "),"/"," "),"("," "),")"," "),":"," "),";"," "),"_"," "),"–"," "),"?"," "),"!"," "),"*"," "),"["," "),"]"," "),"'"," "),"#"," "),"+"," "),"&amp;"," "),"\"," "))&amp;" "</f>
        <v>  </v>
      </c>
      <c r="BD110" s="61" t="str">
        <f aca="false">" "&amp;TRIM(SUBSTITUTE(SUBSTITUTE(SUBSTITUTE(SUBSTITUTE(SUBSTITUTE(SUBSTITUTE(SUBSTITUTE(SUBSTITUTE(SUBSTITUTE(SUBSTITUTE(SUBSTITUTE(SUBSTITUTE(SUBSTITUTE(SUBSTITUTE(SUBSTITUTE(SUBSTITUTE(SUBSTITUTE(SUBSTITUTE(SUBSTITUTE(SUBSTITUTE(SUBSTITUTE(SUBSTITUTE(SUBSTITUTE(SUBSTITUTE(LOWER(Z110&amp;""),CHAR(10)," "),CHAR(13)," "),CHAR(9)," "),CHAR(160)," "),"."," "),","," "),"-"," "),"/"," "),"("," "),")"," "),":"," "),";"," "),"_"," "),"–"," "),"?"," "),"!"," "),"*"," "),"["," "),"]"," "),"'"," "),"#"," "),"+"," "),"&amp;"," "),"\"," "))&amp;" "</f>
        <v>  </v>
      </c>
      <c r="BE110" s="61" t="str">
        <f aca="false">" "&amp;TRIM(SUBSTITUTE(SUBSTITUTE(SUBSTITUTE(SUBSTITUTE(SUBSTITUTE(SUBSTITUTE(SUBSTITUTE(SUBSTITUTE(SUBSTITUTE(SUBSTITUTE(SUBSTITUTE(SUBSTITUTE(SUBSTITUTE(SUBSTITUTE(SUBSTITUTE(SUBSTITUTE(SUBSTITUTE(SUBSTITUTE(SUBSTITUTE(SUBSTITUTE(SUBSTITUTE(SUBSTITUTE(SUBSTITUTE(SUBSTITUTE(LOWER(W110&amp;""),CHAR(10)," "),CHAR(13)," "),CHAR(9)," "),CHAR(160)," "),"."," "),","," "),"-"," "),"/"," "),"("," "),")"," "),":"," "),";"," "),"_"," "),"–"," "),"?"," "),"!"," "),"*"," "),"["," "),"]"," "),"'"," "),"#"," "),"+"," "),"&amp;"," "),"\"," "))&amp;" "</f>
        <v>  </v>
      </c>
      <c r="BF110" s="61" t="str">
        <f aca="false">" "&amp;TRIM(SUBSTITUTE(SUBSTITUTE(SUBSTITUTE(SUBSTITUTE(SUBSTITUTE(SUBSTITUTE(SUBSTITUTE(SUBSTITUTE(SUBSTITUTE(SUBSTITUTE(SUBSTITUTE(SUBSTITUTE(SUBSTITUTE(SUBSTITUTE(SUBSTITUTE(SUBSTITUTE(SUBSTITUTE(SUBSTITUTE(SUBSTITUTE(SUBSTITUTE(SUBSTITUTE(SUBSTITUTE(SUBSTITUTE(SUBSTITUTE(LOWER(AC110&amp;""),CHAR(10)," "),CHAR(13)," "),CHAR(9)," "),CHAR(160)," "),"."," "),","," "),"-"," "),"/"," "),"("," "),")"," "),":"," "),";"," "),"_"," "),"–"," "),"?"," "),"!"," "),"*"," "),"["," "),"]"," "),"'"," "),"#"," "),"+"," "),"&amp;"," "),"\"," "))&amp;" "</f>
        <v>  </v>
      </c>
      <c r="BG110" s="61" t="n">
        <f aca="false">IFERROR(IF(AND(TRIM(U110)="Pass",SUMPRODUCT((LEN(BC110)-LEN(SUBSTITUTE(BC110," "&amp;L_ResultBad&amp;" "," ")))/(LEN(L_ResultBad)+1))&gt;SUMPRODUCT((LEN(BC110)-LEN(SUBSTITUTE(BC110," "&amp;L_NegPhrase&amp;" "," ")))/(LEN(L_NegPhrase)+1))),1,0),0)</f>
        <v>0</v>
      </c>
      <c r="BH110" s="61" t="n">
        <f aca="false">IFERROR(IF(SUMPRODUCT((LEN(BC110)-LEN(SUBSTITUTE(BC110," "&amp;L_Pending&amp;" "," ")))/(LEN(L_Pending)+1))&gt;SUMPRODUCT((LEN(BC110)-LEN(SUBSTITUTE(BC110," "&amp;L_PendNeg&amp;" "," ")))/(LEN(L_PendNeg)+1))+SUMPRODUCT((LEN(BC110)-LEN(SUBSTITUTE(BC110," "&amp;L_PendPrep&amp;" "," ")))/(LEN(L_PendPrep)+1)),1,0),1)</f>
        <v>0</v>
      </c>
      <c r="BI110" s="61" t="n">
        <f aca="false">IFERROR(IF(SUMPRODUCT((LEN(BD110)-LEN(SUBSTITUTE(BD110," "&amp;L_PendStrict&amp;" "," ")))/(LEN(L_PendStrict)+1))&gt;SUMPRODUCT((LEN(BD110)-LEN(SUBSTITUTE(BD110," "&amp;L_PendNeg&amp;" "," ")))/(LEN(L_PendNeg)+1)),1,0),1)</f>
        <v>0</v>
      </c>
      <c r="BJ110" s="61" t="n">
        <f aca="false">IFERROR(IF(SUMPRODUCT((LEN(BE110)-LEN(SUBSTITUTE(BE110," "&amp;L_Pending&amp;" "," ")))/(LEN(L_Pending)+1))&gt;SUMPRODUCT((LEN(BE110)-LEN(SUBSTITUTE(BE110," "&amp;L_PendNeg&amp;" "," ")))/(LEN(L_PendNeg)+1))+SUMPRODUCT((LEN(BE110)-LEN(SUBSTITUTE(BE110," "&amp;L_PendPrep&amp;" "," ")))/(LEN(L_PendPrep)+1)),1,0),1)</f>
        <v>0</v>
      </c>
      <c r="BK110" s="61" t="n">
        <f aca="false">IFERROR(IF(SUMPRODUCT((LEN(BF110)-LEN(SUBSTITUTE(BF110," "&amp;L_PendStrict&amp;" "," ")))/(LEN(L_PendStrict)+1))&gt;SUMPRODUCT((LEN(BF110)-LEN(SUBSTITUTE(BF110," "&amp;L_PendNeg&amp;" "," ")))/(LEN(L_PendNeg)+1)),1,0),1)</f>
        <v>0</v>
      </c>
      <c r="BL110" s="61" t="n">
        <f aca="false">IF(ISNA(MATCH(TRIM(S110),L_EvidenceType,0)),0,BZ110)</f>
        <v>0</v>
      </c>
      <c r="BM110" s="61" t="str">
        <f aca="false">SUBSTITUTE(SUBSTITUTE(SUBSTITUTE(SUBSTITUTE(SUBSTITUTE(SUBSTITUTE(SUBSTITUTE(SUBSTITUTE(SUBSTITUTE(LOWER(Z110&amp;""),"1","0"),"2","0"),"3","0"),"4","0"),"5","0"),"6","0"),"7","0"),"8","0"),"9","0")</f>
        <v/>
      </c>
      <c r="BN110" s="61" t="str">
        <f aca="false">SUBSTITUTE(SUBSTITUTE(SUBSTITUTE(SUBSTITUTE(SUBSTITUTE(SUBSTITUTE(SUBSTITUTE(SUBSTITUTE(SUBSTITUTE(SUBSTITUTE(SUBSTITUTE(SUBSTITUTE(SUBSTITUTE(SUBSTITUTE(SUBSTITUTE(SUBSTITUTE(SUBSTITUTE(SUBSTITUTE(SUBSTITUTE(SUBSTITUTE(SUBSTITUTE(SUBSTITUTE(SUBSTITUTE(SUBSTITUTE(SUBSTITUTE(BM110,"b","a"),"c","a"),"d","a"),"e","a"),"f","a"),"g","a"),"h","a"),"i","a"),"j","a"),"k","a"),"l","a"),"m","a"),"n","a"),"o","a"),"p","a"),"q","a"),"r","a"),"s","a"),"t","a"),"u","a"),"v","a"),"w","a"),"x","a"),"y","a"),"z","a")</f>
        <v/>
      </c>
      <c r="BO110" s="61" t="str">
        <f aca="false">SUBSTITUTE(SUBSTITUTE(SUBSTITUTE(SUBSTITUTE(SUBSTITUTE(SUBSTITUTE(SUBSTITUTE(SUBSTITUTE(SUBSTITUTE(LOWER(W110&amp;""),"1","0"),"2","0"),"3","0"),"4","0"),"5","0"),"6","0"),"7","0"),"8","0"),"9","0")</f>
        <v/>
      </c>
      <c r="BP110" s="61" t="str">
        <f aca="false">SUBSTITUTE(SUBSTITUTE(SUBSTITUTE(SUBSTITUTE(SUBSTITUTE(SUBSTITUTE(SUBSTITUTE(SUBSTITUTE(SUBSTITUTE(SUBSTITUTE(SUBSTITUTE(SUBSTITUTE(SUBSTITUTE(SUBSTITUTE(SUBSTITUTE(SUBSTITUTE(SUBSTITUTE(SUBSTITUTE(SUBSTITUTE(SUBSTITUTE(SUBSTITUTE(SUBSTITUTE(SUBSTITUTE(SUBSTITUTE(SUBSTITUTE(BO110,"b","a"),"c","a"),"d","a"),"e","a"),"f","a"),"g","a"),"h","a"),"i","a"),"j","a"),"k","a"),"l","a"),"m","a"),"n","a"),"o","a"),"p","a"),"q","a"),"r","a"),"s","a"),"t","a"),"u","a"),"v","a"),"w","a"),"x","a"),"y","a"),"z","a")</f>
        <v/>
      </c>
      <c r="BQ110" s="61" t="n">
        <f aca="false">IFERROR(IF(AND(ISERROR(SEARCH(" mh"," "&amp;LOWER(W110))),ISNA(MATCH(LEFT(TRIM(BP110),255),{"0000a","000a","00a","0000aa","000aa","00aa","0aa","0000aaa","000aaa","00a00","0a00","0000-0000","00:00","a00","a0","00.00.0000","00/00/0000","00-00-0000","0000-00-00","0000/00/00","0000.00.00","00.00.00","00/00/00","00-00-00","0.00.0000","0/00/0000","0-00-0000"},0)),ISNA(MATCH(LEFT(TRIM(CA110),255),{"0000a","000a","00a","0000aa","000aa","00aa","0aa","0000aaa","000aaa","00a00","0a00","0000-0000","00:00","a00","a0","00.00.0000","00/00/0000","00-00-0000","0000-00-00","0000/00/00","0000.00.00","00.00.00","00/00/00","00-00-00","0.00.0000","0/00/0000","0-00-0000"},0)),LEN(CB110)&gt;=3,NOT(OR(SUBSTITUTE(CB110,"0","")="",AND(LEN(CB110)&gt;=4,CB110=REPT(LEFT(CB110),LEN(CB110))),ISNUMBER(MATCH(CB110,{"123","1234","12345","123456","1234567","12345678","0123","01234","012345","98765","987654","54321"},0)),AND(LEN(CB110)=8,LEFT(CB110,3)="202"))),OR(AND((LEN(CA110)-LEN(SUBSTITUTE(CA110,"a","")))&gt;=1,SUMPRODUCT(--ISNUMBER(SEARCH({"a0","a-0","a_0","a/0","a.0","a#0","0a","0-a","0_a","0/a"},BP110)))&gt;0),ISNUMBER(SEARCH("000000",BP110)))),1,0),0)</f>
        <v>0</v>
      </c>
      <c r="BR110" s="61" t="n">
        <f aca="false">IFERROR(LEN(SUBSTITUTE(CC110," ",""))-SUMPRODUCT((LEN(CC110)-LEN(SUBSTITUTE(CC110," "&amp;L_Role&amp;" "," ")))/(LEN(L_Role)+1)*LEN(L_Role)),0)</f>
        <v>0</v>
      </c>
      <c r="BS110" s="61" t="n">
        <f aca="false">IFERROR(LEN(SUBSTITUTE(CD110," ",""))-SUMPRODUCT((LEN(CD110)-LEN(SUBSTITUTE(CD110," "&amp;L_Role&amp;" "," ")))/(LEN(L_Role)+1)*LEN(L_Role)),0)</f>
        <v>0</v>
      </c>
      <c r="BT1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110,"revision",""),"version",""),"jan",""),"feb",""),"mar",""),"apr",""),"may",""),"jun",""),"jul",""),"aug",""),"sep",""),"oct",""),"nov",""),"dec",""),"utc",""),"gmt",""),"myt",""),"bst",""),"rev",""),"ver",""),"b","a"),"c","a"),"d","a"),"e","a"),"f","a"),"g","a"),"h","a"),"i","a"),"j","a"),"k","a"),"l","a"),"m","a"),"n","a"),"o","a"),"p","a"),"q","a"),"r","a"),"s","a"),"t","a"),"u","a"),"v","a"),"w","a"),"x","a"),"y","a"),"z","a")</f>
        <v/>
      </c>
      <c r="BU110" s="61" t="str">
        <f aca="false">SUBSTITUTE(SUBSTITUTE(SUBSTITUTE(SUBSTITUTE(SUBSTITUTE(SUBSTITUTE(SUBSTITUTE(SUBSTITUTE(SUBSTITUTE(SUBSTITUTE(LEFT(BM110,FIND("0",BM110&amp;"0")-1),"-",""),"_",""),"/",""),".",""),"#",""),"\\",""),":","")," ",""),"(",""),")","")</f>
        <v/>
      </c>
      <c r="BV110" s="61" t="n">
        <f aca="false">0</f>
        <v>0</v>
      </c>
      <c r="BW1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110&amp;""),"a",""),"b",""),"c",""),"d",""),"e",""),"f",""),"g",""),"h",""),"i",""),"j",""),"k",""),"l",""),"m",""),"n",""),"o",""),"p",""),"q",""),"r",""),"s",""),"t",""),"u",""),"v",""),"w",""),"x",""),"y",""),"z",""),"-",""),"_",""),"/",""),".",""),"#",""),"\\",""),":","")," ",""),"(",""),")","")</f>
        <v/>
      </c>
      <c r="BX110" s="61" t="str">
        <f aca="false">SUBSTITUTE(SUBSTITUTE(SUBSTITUTE(SUBSTITUTE(SUBSTITUTE(SUBSTITUTE(SUBSTITUTE(SUBSTITUTE(SUBSTITUTE(SUBSTITUTE(SUBSTITUTE(BM110,"0",""),"-",""),"_",""),"/",""),".",""),"#",""),"\\",""),":","")," ",""),"(",""),")","")</f>
        <v/>
      </c>
      <c r="BY110" s="62" t="n">
        <f aca="false">Q110-T12EarlyH/24</f>
        <v>46304.6458333333</v>
      </c>
      <c r="BZ110" s="61" t="n">
        <f aca="false">IFERROR(IF(IF(TRIM(S110)="Link / file path",AND(LEN(TRIM(Z110))&gt;=5,SUMPRODUCT(--ISNUMBER(SEARCH({"http","www.","\\",":\",".pdf",".jpg",".jpeg",".png",".heic",".xls",".doc",".msg",".eml",".ppt",".txt",".zip"},Z110)))&gt;0),AND(ISERROR(FIND(" ",TRIM(Z110))),NOT(OR(SUMPRODUCT(--ISNUMBER(FIND({",",";","&amp;","+"},Z110)))&gt;0,SUMPRODUCT(--ISNUMBER(SEARCH({"0/aa","0\\aa"},BN110)))&gt;0)),NOT(SUMPRODUCT(--ISNUMBER(SEARCH({"http","www.","\\",":\",".pdf",".jpg",".jpeg",".png",".heic",".xls",".doc",".msg",".eml",".ppt",".txt",".zip"},Z110)))&gt;0),NOT(LOWER(TRIM(Z110))=LOWER(Flights!$F$8)),ISNA(MATCH(BU110,{"mh","rev","revision","ver","version","v","r","a","b","seat","tray","row","gate","bay","stand","page","pg","item","line","no","cart","galley","flight","flt","table","box","bag","oven","etd","eta","std","sta","atd","ata","qty","pax","x","time","tel","ph","mob","day","wk","week","utc","gmt","myt","lt"},0)),NOT(OR(ISNUMBER(MATCH(LEFT(BN110,255),{"0000a","000a","00a","0000aa","000aa","00aa","0aa","0000aaa","000aaa","00a00","0a00","0000-0000","00:00","a00","a0","00.00.0000","00/00/0000","00-00-0000","0000-00-00","0000/00/00","0000.00.00","00.00.00","00/00/00","00-00-00","0.00.0000","0/00/0000","0-00-0000"},0)),ISNUMBER(MATCH(LEFT(BT110,255),{"0000a","000a","00a","0000aa","000aa","00aa","0aa","0000aaa","000aaa","00a00","0a00","0000-0000","00:00","a00","a0","00.00.0000","00/00/0000","00-00-0000","0000-00-00","0000/00/00","0000.00.00","00.00.00","00/00/00","00-00-00","0.00.0000","0/00/0000","0-00-0000"},0)))),NOT(OR(AND(BW110&lt;&gt;"",SUBSTITUTE(BW110,"0","")=""),AND(LEN(BW110)&gt;=4,BW110=REPT(LEFT(BW110),LEN(BW110))),ISNUMBER(MATCH(BW110,{"123","1234","12345","123456","1234567","12345678","0123","01234","012345","98765","987654","54321"},0)),ISNUMBER(MATCH(BX110,{"x","xx","xxx","xxxx","xxxxx","abc","abcd","nil","na","nan","test","tbc","tba","tbd","dummy","sample","example","eg","zz","zzz","none","null","xyz","qwe","asd","id","ref"},0)),AND(LEN(BW110)=8,BX110="",OR(LEFT(BW110,3)="202",ISNUMBER(MATCH(RIGHT(BW110,4),{"2025","2026","2027"},0)))))),OR(AND((LEN(BT110)-LEN(SUBSTITUTE(BT110,"a","")))&gt;=1,(LEN(BN110)-LEN(SUBSTITUTE(BN110,"0","")))&gt;=2,SUMPRODUCT(--ISNUMBER(SEARCH({"a0","a-0","a_0","a/0","a.0","a#0","0a","0-a","0_a","0/a"},BN110)))&gt;0),AND((LEN(BN110)-LEN(SUBSTITUTE(BN110,"a","")))=0,(LEN(BN110)-LEN(SUBSTITUTE(BN110,"0","")))&gt;=5)))),1,0),0)</f>
        <v>0</v>
      </c>
      <c r="CA1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110,"revision",""),"version",""),"jan",""),"feb",""),"mar",""),"apr",""),"may",""),"jun",""),"jul",""),"aug",""),"sep",""),"oct",""),"nov",""),"dec",""),"utc",""),"gmt",""),"myt",""),"bst",""),"rev",""),"ver",""),"b","a"),"c","a"),"d","a"),"e","a"),"f","a"),"g","a"),"h","a"),"i","a"),"j","a"),"k","a"),"l","a"),"m","a"),"n","a"),"o","a"),"p","a"),"q","a"),"r","a"),"s","a"),"t","a"),"u","a"),"v","a"),"w","a"),"x","a"),"y","a"),"z","a")</f>
        <v/>
      </c>
      <c r="CB1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110&amp;""),"a",""),"b",""),"c",""),"d",""),"e",""),"f",""),"g",""),"h",""),"i",""),"j",""),"k",""),"l",""),"m",""),"n",""),"o",""),"p",""),"q",""),"r",""),"s",""),"t",""),"u",""),"v",""),"w",""),"x",""),"y",""),"z",""),"-",""),"_",""),"/",""),".",""),"#",""),"\\",""),":","")," ",""),"(",""),")","")</f>
        <v/>
      </c>
      <c r="CC110" s="0" t="str">
        <f aca="false">" "&amp;TRIM(SUBSTITUTE(SUBSTITUTE(SUBSTITUTE(SUBSTITUTE(SUBSTITUTE(SUBSTITUTE(SUBSTITUTE(SUBSTITUTE(SUBSTITUTE(SUBSTITUTE(SUBSTITUTE(SUBSTITUTE(SUBSTITUTE(SUBSTITUTE(SUBSTITUTE(SUBSTITUTE(SUBSTITUTE(SUBSTITUTE(SUBSTITUTE(SUBSTITUTE(SUBSTITUTE(SUBSTITUTE(SUBSTITUTE(SUBSTITUTE(LOWER(T110&amp;""),CHAR(10)," "),CHAR(13)," "),CHAR(9)," "),CHAR(160)," "),"."," "),","," "),"-"," "),"/"," "),"("," "),")"," "),":"," "),";"," "),"_"," "),"–"," "),"?"," "),"!"," "),"*"," "),"["," "),"]"," "),"'"," "),"#"," "),"+"," "),"&amp;"," "),"\"," "))&amp;" "</f>
        <v>  </v>
      </c>
      <c r="CD110" s="0" t="str">
        <f aca="false">" "&amp;TRIM(SUBSTITUTE(SUBSTITUTE(SUBSTITUTE(SUBSTITUTE(SUBSTITUTE(SUBSTITUTE(SUBSTITUTE(SUBSTITUTE(SUBSTITUTE(SUBSTITUTE(SUBSTITUTE(SUBSTITUTE(SUBSTITUTE(SUBSTITUTE(SUBSTITUTE(SUBSTITUTE(SUBSTITUTE(SUBSTITUTE(SUBSTITUTE(SUBSTITUTE(SUBSTITUTE(SUBSTITUTE(SUBSTITUTE(SUBSTITUTE(LOWER(AE110&amp;""),CHAR(10)," "),CHAR(13)," "),CHAR(9)," "),CHAR(160)," "),"."," "),","," "),"-"," "),"/"," "),"("," "),")"," "),":"," "),";"," "),"_"," "),"–"," "),"?"," "),"!"," "),"*"," "),"["," "),"]"," "),"'"," "),"#"," "),"+"," "),"&amp;"," "),"\"," "))&amp;" "</f>
        <v>  </v>
      </c>
      <c r="CE110" s="68" t="n">
        <f aca="false">IFERROR(IF(AND(LEN(AU110)&gt;0,LEN(AU110)=LEN(AX110),OR(TRIM(MID(SUBSTITUTE(TRIM(CC110)," ",REPT(" ",60)),1,60))="",ISNUMBER(SEARCH(" "&amp;TRIM(MID(SUBSTITUTE(TRIM(CC110)," ",REPT(" ",60)),1,60))&amp;" ",CD110))),OR(TRIM(MID(SUBSTITUTE(TRIM(CC110)," ",REPT(" ",60)),61,60))="",ISNUMBER(SEARCH(" "&amp;TRIM(MID(SUBSTITUTE(TRIM(CC110)," ",REPT(" ",60)),61,60))&amp;" ",CD110))),OR(TRIM(MID(SUBSTITUTE(TRIM(CC110)," ",REPT(" ",60)),121,60))="",ISNUMBER(SEARCH(" "&amp;TRIM(MID(SUBSTITUTE(TRIM(CC110)," ",REPT(" ",60)),121,60))&amp;" ",CD110)))),1,0),0)</f>
        <v>0</v>
      </c>
      <c r="CG110" s="68" t="n">
        <f aca="false">IFERROR(LEN(SUBSTITUTE(BF110," ",""))-SUMPRODUCT((LEN(BF110)-LEN(SUBSTITUTE(BF110," "&amp;L_NAFiller&amp;" "," ")))/(LEN(L_NAFiller)+1)*LEN(L_NAFiller)),0)</f>
        <v>0</v>
      </c>
    </row>
    <row r="111" customFormat="false" ht="41.25" hidden="false" customHeight="true" outlineLevel="0" collapsed="false">
      <c r="A111" s="57" t="s">
        <v>609</v>
      </c>
      <c r="B111" s="57" t="s">
        <v>218</v>
      </c>
      <c r="C111" s="57" t="str">
        <f aca="false">Flights!$F$8</f>
        <v>MH0088</v>
      </c>
      <c r="D111" s="58" t="n">
        <f aca="false">Flights!$D$8</f>
        <v>46305</v>
      </c>
      <c r="E111" s="57" t="str">
        <f aca="false">Flights!$G$8&amp;"-"&amp;Flights!$H$8</f>
        <v>KUL-NRT</v>
      </c>
      <c r="F111" s="57" t="str">
        <f aca="false">Flights!$K$8</f>
        <v>BC</v>
      </c>
      <c r="G111" s="57" t="s">
        <v>420</v>
      </c>
      <c r="H111" s="57" t="s">
        <v>378</v>
      </c>
      <c r="I111" s="57" t="s">
        <v>499</v>
      </c>
      <c r="J111" s="57" t="s">
        <v>508</v>
      </c>
      <c r="K111" s="67" t="s">
        <v>501</v>
      </c>
      <c r="L111" s="67" t="s">
        <v>610</v>
      </c>
      <c r="M111" s="67" t="s">
        <v>451</v>
      </c>
      <c r="N111" s="67" t="s">
        <v>383</v>
      </c>
      <c r="O111" s="67" t="s">
        <v>503</v>
      </c>
      <c r="P111" s="57" t="s">
        <v>187</v>
      </c>
      <c r="Q111" s="59" t="n">
        <f aca="false">ROUND((Flights!$AE$8)*1440,0)/1440</f>
        <v>46305.1458333333</v>
      </c>
      <c r="R111" s="59" t="n">
        <f aca="false">Q111+(IF(AND(INDEX(TZ_DSTS,MATCH(P111,TZ_STN,0))&lt;&gt;"",Q111&gt;=INDEX(TZ_DSTS,MATCH(P111,TZ_STN,0)),Q111&lt;INDEX(TZ_DSTE,MATCH(P111,TZ_STN,0))),INDEX(TZ_DST,MATCH(P111,TZ_STN,0)),INDEX(TZ_STD,MATCH(P111,TZ_STN,0))))/24</f>
        <v>46305.4791666667</v>
      </c>
      <c r="S111" s="60"/>
      <c r="T111" s="60"/>
      <c r="U111" s="60"/>
      <c r="V111" s="60"/>
      <c r="W111" s="61"/>
      <c r="X111" s="60"/>
      <c r="Y111" s="60"/>
      <c r="Z111" s="60"/>
      <c r="AA111" s="60"/>
      <c r="AB111" s="60"/>
      <c r="AC111" s="60"/>
      <c r="AD111" s="66"/>
      <c r="AE111" s="60"/>
      <c r="AF111" s="61" t="str">
        <f aca="false">IF(AND(ISNUMBER(X111),ISNUMBER(Y111)),Y111-X111,"")</f>
        <v/>
      </c>
      <c r="AG111" s="62" t="str">
        <f aca="false">IF(ISNUMBER(AD111),AD111-(IF(AND(INDEX(TZ_DSTS,MATCH(P111,TZ_STN,0))&lt;&gt;"",(AD111-INDEX(TZ_STD,MATCH(P111,TZ_STN,0))/24)&gt;=INDEX(TZ_DSTS,MATCH(P111,TZ_STN,0)),(AD111-INDEX(TZ_STD,MATCH(P111,TZ_STN,0))/24)&lt;INDEX(TZ_DSTE,MATCH(P111,TZ_STN,0))),INDEX(TZ_DST,MATCH(P111,TZ_STN,0)),INDEX(TZ_STD,MATCH(P111,TZ_STN,0))))/24,"")</f>
        <v/>
      </c>
      <c r="AH111" s="65" t="str">
        <f aca="false">IFERROR(IF(N111="N/A – rule",IF(OR(TRIM(U111)="",TRIM(U111)="N/A",TRIM(U111)="Not started"),"N/A – RULE","INVALID – this check does not apply to this aircraft: clear the status (or correct the fleet on Flights)"),IF(TRIM(U111)="N/A",IF(AT111=0,"INVALID – N/A not permitted for this check",IF(AND(TRIM(AB111)&lt;&gt;"",TRIM(AB111)&lt;&gt;"Closed"),"INVALID – corrective action still open",IF(AND(NOT(OR(LEN(AZ111)&lt;15,ISNUMBER(MATCH(AZ111,L_Placeholder,0)))),BK111=0,CG111&gt;=8,NOT(OR(LEN(AU111)&lt;2,ISNUMBER(MATCH(AU111,L_Placeholder,0)))),BR111&gt;=3,NOT(OR(LEN(AX111)&lt;2,ISNUMBER(MATCH(AX111,L_Placeholder,0)))),BS111&gt;=3,TRIM(AE111)&lt;&gt;TRIM(T111),AX111&lt;&gt;AU111,CE111=0),"N/A – JUSTIFIED","INVALID – N/A needs a real, settled reason (not 'not applicable' / 'as above' / TBC), a named PIC and a different named verifier"))),IF(OR(TRIM(U111)="Pass",TRIM(U111)="Pass after CA"),IF(NOT(ISNUMBER(AD111)),"INVALID – completion time missing",IF(OR(OR(LEN(AU111)&lt;2,ISNUMBER(MATCH(AU111,L_Placeholder,0))),BR111&lt;3),"INVALID – PIC missing or not a named person (a role such as QA / CSM is not a name)",IF(OR(LEN(AV111)&lt;2,ISNUMBER(MATCH(AV111,L_Placeholder,0))),"INVALID – result / assessment missing",IF(OR(OR(LEN(AW111)&lt;3,ISNUMBER(MATCH(AW111,L_Placeholder,0))),SUMPRODUCT(--ISNUMBER(SEARCH(" "&amp;L_EvidencePhrase&amp;" ",BD111)))&gt;0,BI111=1),"INVALID – evidence missing, placeholder or not yet on file",IF(ISNA(MATCH(TRIM(S111),L_EvidenceType,0)),"INVALID – choose the evidence type from the list (column S)",IF(BL111=0,"INVALID – evidence ID must be the record's own ID only (e.g. SF-2210, IMG_2231, 1045521); a link / file name needs type 'Link / file path'",IF(OR(OR(LEN(AX111)&lt;2,ISNUMBER(MATCH(AX111,L_Placeholder,0))),BS111&lt;3),"INVALID – verifier missing or not a named person (a role such as QA / CSM is not a name)",IF(OR(AX111=AU111,CE111=1,AND(LEN(AU111)&gt;=4,ISNUMBER(SEARCH(AU111,AX111))),AND(LEN(AX111)&gt;=4,ISNUMBER(SEARCH(AX111,AU111)))),"INVALID – verifier must be a different, named person (not the PIC or a role)",IF(BH111=1,"INVALID – result not yet available (awaiting / TBC)",IF(BG111=1,"INVALID – result describes a problem: record Fail, then Pass after CA (or reword if it is not a problem)",IF(BV111=1,"INVALID – wording says not on board: an on-board confirmation needs the item loaded",IF(AND(AQ111=1,OR(OR(LEN(AY111)&lt;3,ISNUMBER(MATCH(AY111,L_Placeholder,0))),BJ111=1,BQ111=0)),"INVALID – batch ID missing, placeholder or not an ID (e.g. PASB-261008-BC-017)",IF(AND(AR111=1,OR(NOT(ISNUMBER(X111)),NOT(ISNUMBER(Y111)))),"INVALID – expected/actual qty missing",IF(AND(AR111=1,OR(X111&lt;=0,Y111&lt;0)),"INVALID – expected qty must be above 0 and actual not negative",IF(BB111&lt;&gt;"",BB111,IF(AND(AS111=1,Documents!$J$8&lt;&gt;"ON FILE"),"INVALID – GLD not on file (Documents sheet)",IF(AND(AS111=2,Documents!$O$8&lt;&gt;"ON FILE"),"INVALID – menu checklist not on file (Documents sheet)",IF(AND(AS111=3,NOT(ISNUMBER(Flights!$AX$8))),"INVALID – enter carrying flight KUL departure (Flights AX)",IF(AND(AS111=3,OR(Flights!$AZ$8&gt;Flights!$AA$8,Flights!$AX$8&lt;Flights!$AA$8-3)),"INVALID – carrying flight (Flights AX) cannot arrive before this leg's STD, or is over 3 days early",IF(AG111&gt;AsOfUTC,"INVALID – completion time is in the future",IF(AND(ISNUMBER(BY111),AG111&lt;BY111),IF(H111="Physical uplift","INVALID – before uplift window (cannot confirm loading)","INVALID – before valid window"),IF(AG111&gt;Flights!$AA$8,"INVALID – completed after departure (cannot establish readiness)",IF(AND(H111="Preparation",AG111&gt;=IF(ISNUMBER(Flights!$BA$8),MIN(Flights!$BA$8,Flights!$AA$8),Flights!$AA$8)),"INVALID – completed after loading / departure (cannot establish readiness)",IF(AND(H111="Physical uplift",AG111&gt;Q111),"INVALID – recorded after the loading flight departed",IF(AG111&gt;Q111,"COMPLETE – LATE","COMPLETE"))))))))))))))))))))))))),IF(TRIM(U111)="Fail","FAIL – DISCREPANCY",IF(AND(TRIM(U111)&lt;&gt;"",TRIM(U111)&lt;&gt;"Not started",TRIM(U111)&lt;&gt;"In progress"),"INVALID – unrecognised status (use the list)",IF(AsOfUTC&gt;Q111,"OVERDUE",IF(N111="Clarification required","OPEN – CLARIFICATION","OPEN"))))))),"INVALID – error value in an input cell")</f>
        <v>OPEN</v>
      </c>
      <c r="AI111" s="61" t="n">
        <f aca="false">IF(OR(AH111="N/A – RULE",AH111="N/A – JUSTIFIED"),0,1)</f>
        <v>1</v>
      </c>
      <c r="AJ111" s="61" t="n">
        <f aca="false">IF(LEFT(AH111,8)="COMPLETE",1,0)</f>
        <v>0</v>
      </c>
      <c r="AK111" s="61" t="n">
        <f aca="false">IF(AND(AI111=1,AJ111=0,AsOfUTC&gt;Q111),1,0)</f>
        <v>0</v>
      </c>
      <c r="AL111" s="61" t="n">
        <f aca="false">IFERROR(IF(AND(AI111=1,OR(TRIM(U111)="Fail",AND(TRIM(AB111)&lt;&gt;"",TRIM(AB111)&lt;&gt;"Closed"),AND(ISNUMBER(AF111),AF111&lt;&gt;0,TRIM(U111)&lt;&gt;"Pass after CA"))),1,0),1)</f>
        <v>0</v>
      </c>
      <c r="AM111" s="61" t="n">
        <f aca="false">IF(LEFT(AH111,7)="INVALID",1,0)</f>
        <v>0</v>
      </c>
      <c r="AN111" s="61" t="n">
        <f aca="false">IF(AND(N111="Clarification required",AI111=1,AJ111=0),1,0)</f>
        <v>0</v>
      </c>
      <c r="AO111" s="61" t="str">
        <f aca="false">IF(AK111=1,SUM(AK$5:AK111),"")</f>
        <v/>
      </c>
      <c r="AP111" s="61" t="str">
        <f aca="false">IF(AL111=1,SUM(AL$5:AL111),"")</f>
        <v/>
      </c>
      <c r="AQ111" s="61" t="n">
        <v>0</v>
      </c>
      <c r="AR111" s="61" t="n">
        <v>0</v>
      </c>
      <c r="AS111" s="61" t="n">
        <v>0</v>
      </c>
      <c r="AT111" s="61" t="n">
        <v>0</v>
      </c>
      <c r="AU111" s="61" t="str">
        <f aca="false">SUBSTITUTE(SUBSTITUTE(SUBSTITUTE(SUBSTITUTE(SUBSTITUTE(SUBSTITUTE(SUBSTITUTE(SUBSTITUTE(SUBSTITUTE(SUBSTITUTE(SUBSTITUTE(SUBSTITUTE(SUBSTITUTE(SUBSTITUTE(SUBSTITUTE(SUBSTITUTE(LOWER(T111&amp;""),CHAR(10),""),CHAR(13),""),CHAR(9),""),CHAR(160),"")," ",""),".",""),"-",""),"/",""),"?",""),"_",""),",",""),"[",""),"]",""),"(",""),")",""),"*","")</f>
        <v/>
      </c>
      <c r="AV111" s="61" t="str">
        <f aca="false">SUBSTITUTE(SUBSTITUTE(SUBSTITUTE(SUBSTITUTE(SUBSTITUTE(SUBSTITUTE(SUBSTITUTE(SUBSTITUTE(SUBSTITUTE(SUBSTITUTE(SUBSTITUTE(SUBSTITUTE(SUBSTITUTE(SUBSTITUTE(SUBSTITUTE(SUBSTITUTE(LOWER(V111&amp;""),CHAR(10),""),CHAR(13),""),CHAR(9),""),CHAR(160),"")," ",""),".",""),"-",""),"/",""),"?",""),"_",""),",",""),"[",""),"]",""),"(",""),")",""),"*","")</f>
        <v/>
      </c>
      <c r="AW111" s="61" t="str">
        <f aca="false">SUBSTITUTE(SUBSTITUTE(SUBSTITUTE(SUBSTITUTE(SUBSTITUTE(SUBSTITUTE(SUBSTITUTE(SUBSTITUTE(SUBSTITUTE(SUBSTITUTE(SUBSTITUTE(SUBSTITUTE(SUBSTITUTE(SUBSTITUTE(SUBSTITUTE(SUBSTITUTE(LOWER(Z111&amp;""),CHAR(10),""),CHAR(13),""),CHAR(9),""),CHAR(160),"")," ",""),".",""),"-",""),"/",""),"?",""),"_",""),",",""),"[",""),"]",""),"(",""),")",""),"*","")</f>
        <v/>
      </c>
      <c r="AX111" s="61" t="str">
        <f aca="false">SUBSTITUTE(SUBSTITUTE(SUBSTITUTE(SUBSTITUTE(SUBSTITUTE(SUBSTITUTE(SUBSTITUTE(SUBSTITUTE(SUBSTITUTE(SUBSTITUTE(SUBSTITUTE(SUBSTITUTE(SUBSTITUTE(SUBSTITUTE(SUBSTITUTE(SUBSTITUTE(LOWER(AE111&amp;""),CHAR(10),""),CHAR(13),""),CHAR(9),""),CHAR(160),"")," ",""),".",""),"-",""),"/",""),"?",""),"_",""),",",""),"[",""),"]",""),"(",""),")",""),"*","")</f>
        <v/>
      </c>
      <c r="AY111" s="61" t="str">
        <f aca="false">SUBSTITUTE(SUBSTITUTE(SUBSTITUTE(SUBSTITUTE(SUBSTITUTE(SUBSTITUTE(SUBSTITUTE(SUBSTITUTE(SUBSTITUTE(SUBSTITUTE(SUBSTITUTE(SUBSTITUTE(SUBSTITUTE(SUBSTITUTE(SUBSTITUTE(SUBSTITUTE(LOWER(W111&amp;""),CHAR(10),""),CHAR(13),""),CHAR(9),""),CHAR(160),"")," ",""),".",""),"-",""),"/",""),"?",""),"_",""),",",""),"[",""),"]",""),"(",""),")",""),"*","")</f>
        <v/>
      </c>
      <c r="AZ111" s="61" t="str">
        <f aca="false">SUBSTITUTE(SUBSTITUTE(SUBSTITUTE(SUBSTITUTE(SUBSTITUTE(SUBSTITUTE(SUBSTITUTE(SUBSTITUTE(SUBSTITUTE(SUBSTITUTE(SUBSTITUTE(SUBSTITUTE(SUBSTITUTE(SUBSTITUTE(SUBSTITUTE(SUBSTITUTE(LOWER(AC111&amp;""),CHAR(10),""),CHAR(13),""),CHAR(9),""),CHAR(160),"")," ",""),".",""),"-",""),"/",""),"?",""),"_",""),",",""),"[",""),"]",""),"(",""),")",""),"*","")</f>
        <v/>
      </c>
      <c r="BA111" s="61" t="str">
        <f aca="false">SUBSTITUTE(SUBSTITUTE(SUBSTITUTE(SUBSTITUTE(SUBSTITUTE(SUBSTITUTE(SUBSTITUTE(SUBSTITUTE(SUBSTITUTE(SUBSTITUTE(SUBSTITUTE(SUBSTITUTE(SUBSTITUTE(SUBSTITUTE(SUBSTITUTE(SUBSTITUTE(LOWER(AA111&amp;""),CHAR(10),""),CHAR(13),""),CHAR(9),""),CHAR(160),"")," ",""),".",""),"-",""),"/",""),"?",""),"_",""),",",""),"[",""),"]",""),"(",""),")",""),"*","")</f>
        <v/>
      </c>
      <c r="BB111" s="61" t="str">
        <f aca="false">IF(AND(TRIM(U111)="Pass",ISNUMBER(AF111)),IF(AF111&lt;&gt;0,"INVALID – qty variance: use Fail or Pass after CA",""),"")&amp;IF(AND(TRIM(U111)="Pass after CA",ISNUMBER(AF111)),IF(AF111&lt;&gt;0,"INVALID – after the corrective action the actual qty must equal expected (update Actual)",""),"")&amp;IF(AND(TRIM(U111)="Pass",TRIM(AB111)&lt;&gt;"",TRIM(AB111)&lt;&gt;"Closed"),"INVALID – corrective action not closed: use Fail, then Pass after CA","")&amp;IF(AND(LEN(BA111)&gt;=2,ISNA(MATCH(LEFT(BA111,255),L_Placeholder,0)),TRIM(AB111)=""),"INVALID – CA status missing for the recorded corrective action","")&amp;IF(AND(TRIM(U111)="Pass after CA",OR(OR(LEN(BA111)&lt;5,ISNUMBER(MATCH(BA111,L_Placeholder,0))),TRIM(AB111)&lt;&gt;"Closed")),"INVALID – corrective action not recorded/closed","")</f>
        <v/>
      </c>
      <c r="BC111" s="61" t="str">
        <f aca="false">" "&amp;TRIM(SUBSTITUTE(SUBSTITUTE(SUBSTITUTE(SUBSTITUTE(SUBSTITUTE(SUBSTITUTE(SUBSTITUTE(SUBSTITUTE(SUBSTITUTE(SUBSTITUTE(SUBSTITUTE(SUBSTITUTE(SUBSTITUTE(SUBSTITUTE(SUBSTITUTE(SUBSTITUTE(SUBSTITUTE(SUBSTITUTE(SUBSTITUTE(SUBSTITUTE(SUBSTITUTE(SUBSTITUTE(SUBSTITUTE(SUBSTITUTE(LOWER(V111&amp;""),CHAR(10)," "),CHAR(13)," "),CHAR(9)," "),CHAR(160)," "),"."," "),","," "),"-"," "),"/"," "),"("," "),")"," "),":"," "),";"," "),"_"," "),"–"," "),"?"," "),"!"," "),"*"," "),"["," "),"]"," "),"'"," "),"#"," "),"+"," "),"&amp;"," "),"\"," "))&amp;" "</f>
        <v>  </v>
      </c>
      <c r="BD111" s="61" t="str">
        <f aca="false">" "&amp;TRIM(SUBSTITUTE(SUBSTITUTE(SUBSTITUTE(SUBSTITUTE(SUBSTITUTE(SUBSTITUTE(SUBSTITUTE(SUBSTITUTE(SUBSTITUTE(SUBSTITUTE(SUBSTITUTE(SUBSTITUTE(SUBSTITUTE(SUBSTITUTE(SUBSTITUTE(SUBSTITUTE(SUBSTITUTE(SUBSTITUTE(SUBSTITUTE(SUBSTITUTE(SUBSTITUTE(SUBSTITUTE(SUBSTITUTE(SUBSTITUTE(LOWER(Z111&amp;""),CHAR(10)," "),CHAR(13)," "),CHAR(9)," "),CHAR(160)," "),"."," "),","," "),"-"," "),"/"," "),"("," "),")"," "),":"," "),";"," "),"_"," "),"–"," "),"?"," "),"!"," "),"*"," "),"["," "),"]"," "),"'"," "),"#"," "),"+"," "),"&amp;"," "),"\"," "))&amp;" "</f>
        <v>  </v>
      </c>
      <c r="BE111" s="61" t="str">
        <f aca="false">" "&amp;TRIM(SUBSTITUTE(SUBSTITUTE(SUBSTITUTE(SUBSTITUTE(SUBSTITUTE(SUBSTITUTE(SUBSTITUTE(SUBSTITUTE(SUBSTITUTE(SUBSTITUTE(SUBSTITUTE(SUBSTITUTE(SUBSTITUTE(SUBSTITUTE(SUBSTITUTE(SUBSTITUTE(SUBSTITUTE(SUBSTITUTE(SUBSTITUTE(SUBSTITUTE(SUBSTITUTE(SUBSTITUTE(SUBSTITUTE(SUBSTITUTE(LOWER(W111&amp;""),CHAR(10)," "),CHAR(13)," "),CHAR(9)," "),CHAR(160)," "),"."," "),","," "),"-"," "),"/"," "),"("," "),")"," "),":"," "),";"," "),"_"," "),"–"," "),"?"," "),"!"," "),"*"," "),"["," "),"]"," "),"'"," "),"#"," "),"+"," "),"&amp;"," "),"\"," "))&amp;" "</f>
        <v>  </v>
      </c>
      <c r="BF111" s="61" t="str">
        <f aca="false">" "&amp;TRIM(SUBSTITUTE(SUBSTITUTE(SUBSTITUTE(SUBSTITUTE(SUBSTITUTE(SUBSTITUTE(SUBSTITUTE(SUBSTITUTE(SUBSTITUTE(SUBSTITUTE(SUBSTITUTE(SUBSTITUTE(SUBSTITUTE(SUBSTITUTE(SUBSTITUTE(SUBSTITUTE(SUBSTITUTE(SUBSTITUTE(SUBSTITUTE(SUBSTITUTE(SUBSTITUTE(SUBSTITUTE(SUBSTITUTE(SUBSTITUTE(LOWER(AC111&amp;""),CHAR(10)," "),CHAR(13)," "),CHAR(9)," "),CHAR(160)," "),"."," "),","," "),"-"," "),"/"," "),"("," "),")"," "),":"," "),";"," "),"_"," "),"–"," "),"?"," "),"!"," "),"*"," "),"["," "),"]"," "),"'"," "),"#"," "),"+"," "),"&amp;"," "),"\"," "))&amp;" "</f>
        <v>  </v>
      </c>
      <c r="BG111" s="61" t="n">
        <f aca="false">IFERROR(IF(AND(TRIM(U111)="Pass",SUMPRODUCT((LEN(BC111)-LEN(SUBSTITUTE(BC111," "&amp;L_ResultBad&amp;" "," ")))/(LEN(L_ResultBad)+1))&gt;SUMPRODUCT((LEN(BC111)-LEN(SUBSTITUTE(BC111," "&amp;L_NegPhrase&amp;" "," ")))/(LEN(L_NegPhrase)+1))),1,0),0)</f>
        <v>0</v>
      </c>
      <c r="BH111" s="61" t="n">
        <f aca="false">IFERROR(IF(SUMPRODUCT((LEN(BC111)-LEN(SUBSTITUTE(BC111," "&amp;L_Pending&amp;" "," ")))/(LEN(L_Pending)+1))&gt;SUMPRODUCT((LEN(BC111)-LEN(SUBSTITUTE(BC111," "&amp;L_PendNeg&amp;" "," ")))/(LEN(L_PendNeg)+1))+SUMPRODUCT((LEN(BC111)-LEN(SUBSTITUTE(BC111," "&amp;L_PendPrep&amp;" "," ")))/(LEN(L_PendPrep)+1)),1,0),1)</f>
        <v>0</v>
      </c>
      <c r="BI111" s="61" t="n">
        <f aca="false">IFERROR(IF(SUMPRODUCT((LEN(BD111)-LEN(SUBSTITUTE(BD111," "&amp;L_PendStrict&amp;" "," ")))/(LEN(L_PendStrict)+1))&gt;SUMPRODUCT((LEN(BD111)-LEN(SUBSTITUTE(BD111," "&amp;L_PendNeg&amp;" "," ")))/(LEN(L_PendNeg)+1)),1,0),1)</f>
        <v>0</v>
      </c>
      <c r="BJ111" s="61" t="n">
        <f aca="false">IFERROR(IF(SUMPRODUCT((LEN(BE111)-LEN(SUBSTITUTE(BE111," "&amp;L_Pending&amp;" "," ")))/(LEN(L_Pending)+1))&gt;SUMPRODUCT((LEN(BE111)-LEN(SUBSTITUTE(BE111," "&amp;L_PendNeg&amp;" "," ")))/(LEN(L_PendNeg)+1))+SUMPRODUCT((LEN(BE111)-LEN(SUBSTITUTE(BE111," "&amp;L_PendPrep&amp;" "," ")))/(LEN(L_PendPrep)+1)),1,0),1)</f>
        <v>0</v>
      </c>
      <c r="BK111" s="61" t="n">
        <f aca="false">IFERROR(IF(SUMPRODUCT((LEN(BF111)-LEN(SUBSTITUTE(BF111," "&amp;L_PendStrict&amp;" "," ")))/(LEN(L_PendStrict)+1))&gt;SUMPRODUCT((LEN(BF111)-LEN(SUBSTITUTE(BF111," "&amp;L_PendNeg&amp;" "," ")))/(LEN(L_PendNeg)+1)),1,0),1)</f>
        <v>0</v>
      </c>
      <c r="BL111" s="61" t="n">
        <f aca="false">IF(ISNA(MATCH(TRIM(S111),L_EvidenceType,0)),0,BZ111)</f>
        <v>0</v>
      </c>
      <c r="BM111" s="61" t="str">
        <f aca="false">SUBSTITUTE(SUBSTITUTE(SUBSTITUTE(SUBSTITUTE(SUBSTITUTE(SUBSTITUTE(SUBSTITUTE(SUBSTITUTE(SUBSTITUTE(LOWER(Z111&amp;""),"1","0"),"2","0"),"3","0"),"4","0"),"5","0"),"6","0"),"7","0"),"8","0"),"9","0")</f>
        <v/>
      </c>
      <c r="BN111" s="61" t="str">
        <f aca="false">SUBSTITUTE(SUBSTITUTE(SUBSTITUTE(SUBSTITUTE(SUBSTITUTE(SUBSTITUTE(SUBSTITUTE(SUBSTITUTE(SUBSTITUTE(SUBSTITUTE(SUBSTITUTE(SUBSTITUTE(SUBSTITUTE(SUBSTITUTE(SUBSTITUTE(SUBSTITUTE(SUBSTITUTE(SUBSTITUTE(SUBSTITUTE(SUBSTITUTE(SUBSTITUTE(SUBSTITUTE(SUBSTITUTE(SUBSTITUTE(SUBSTITUTE(BM111,"b","a"),"c","a"),"d","a"),"e","a"),"f","a"),"g","a"),"h","a"),"i","a"),"j","a"),"k","a"),"l","a"),"m","a"),"n","a"),"o","a"),"p","a"),"q","a"),"r","a"),"s","a"),"t","a"),"u","a"),"v","a"),"w","a"),"x","a"),"y","a"),"z","a")</f>
        <v/>
      </c>
      <c r="BO111" s="61" t="str">
        <f aca="false">SUBSTITUTE(SUBSTITUTE(SUBSTITUTE(SUBSTITUTE(SUBSTITUTE(SUBSTITUTE(SUBSTITUTE(SUBSTITUTE(SUBSTITUTE(LOWER(W111&amp;""),"1","0"),"2","0"),"3","0"),"4","0"),"5","0"),"6","0"),"7","0"),"8","0"),"9","0")</f>
        <v/>
      </c>
      <c r="BP111" s="61" t="str">
        <f aca="false">SUBSTITUTE(SUBSTITUTE(SUBSTITUTE(SUBSTITUTE(SUBSTITUTE(SUBSTITUTE(SUBSTITUTE(SUBSTITUTE(SUBSTITUTE(SUBSTITUTE(SUBSTITUTE(SUBSTITUTE(SUBSTITUTE(SUBSTITUTE(SUBSTITUTE(SUBSTITUTE(SUBSTITUTE(SUBSTITUTE(SUBSTITUTE(SUBSTITUTE(SUBSTITUTE(SUBSTITUTE(SUBSTITUTE(SUBSTITUTE(SUBSTITUTE(BO111,"b","a"),"c","a"),"d","a"),"e","a"),"f","a"),"g","a"),"h","a"),"i","a"),"j","a"),"k","a"),"l","a"),"m","a"),"n","a"),"o","a"),"p","a"),"q","a"),"r","a"),"s","a"),"t","a"),"u","a"),"v","a"),"w","a"),"x","a"),"y","a"),"z","a")</f>
        <v/>
      </c>
      <c r="BQ111" s="61" t="n">
        <f aca="false">IFERROR(IF(AND(ISERROR(SEARCH(" mh"," "&amp;LOWER(W111))),ISNA(MATCH(LEFT(TRIM(BP111),255),{"0000a","000a","00a","0000aa","000aa","00aa","0aa","0000aaa","000aaa","00a00","0a00","0000-0000","00:00","a00","a0","00.00.0000","00/00/0000","00-00-0000","0000-00-00","0000/00/00","0000.00.00","00.00.00","00/00/00","00-00-00","0.00.0000","0/00/0000","0-00-0000"},0)),ISNA(MATCH(LEFT(TRIM(CA111),255),{"0000a","000a","00a","0000aa","000aa","00aa","0aa","0000aaa","000aaa","00a00","0a00","0000-0000","00:00","a00","a0","00.00.0000","00/00/0000","00-00-0000","0000-00-00","0000/00/00","0000.00.00","00.00.00","00/00/00","00-00-00","0.00.0000","0/00/0000","0-00-0000"},0)),LEN(CB111)&gt;=3,NOT(OR(SUBSTITUTE(CB111,"0","")="",AND(LEN(CB111)&gt;=4,CB111=REPT(LEFT(CB111),LEN(CB111))),ISNUMBER(MATCH(CB111,{"123","1234","12345","123456","1234567","12345678","0123","01234","012345","98765","987654","54321"},0)),AND(LEN(CB111)=8,LEFT(CB111,3)="202"))),OR(AND((LEN(CA111)-LEN(SUBSTITUTE(CA111,"a","")))&gt;=1,SUMPRODUCT(--ISNUMBER(SEARCH({"a0","a-0","a_0","a/0","a.0","a#0","0a","0-a","0_a","0/a"},BP111)))&gt;0),ISNUMBER(SEARCH("000000",BP111)))),1,0),0)</f>
        <v>0</v>
      </c>
      <c r="BR111" s="61" t="n">
        <f aca="false">IFERROR(LEN(SUBSTITUTE(CC111," ",""))-SUMPRODUCT((LEN(CC111)-LEN(SUBSTITUTE(CC111," "&amp;L_Role&amp;" "," ")))/(LEN(L_Role)+1)*LEN(L_Role)),0)</f>
        <v>0</v>
      </c>
      <c r="BS111" s="61" t="n">
        <f aca="false">IFERROR(LEN(SUBSTITUTE(CD111," ",""))-SUMPRODUCT((LEN(CD111)-LEN(SUBSTITUTE(CD111," "&amp;L_Role&amp;" "," ")))/(LEN(L_Role)+1)*LEN(L_Role)),0)</f>
        <v>0</v>
      </c>
      <c r="BT1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111,"revision",""),"version",""),"jan",""),"feb",""),"mar",""),"apr",""),"may",""),"jun",""),"jul",""),"aug",""),"sep",""),"oct",""),"nov",""),"dec",""),"utc",""),"gmt",""),"myt",""),"bst",""),"rev",""),"ver",""),"b","a"),"c","a"),"d","a"),"e","a"),"f","a"),"g","a"),"h","a"),"i","a"),"j","a"),"k","a"),"l","a"),"m","a"),"n","a"),"o","a"),"p","a"),"q","a"),"r","a"),"s","a"),"t","a"),"u","a"),"v","a"),"w","a"),"x","a"),"y","a"),"z","a")</f>
        <v/>
      </c>
      <c r="BU111" s="61" t="str">
        <f aca="false">SUBSTITUTE(SUBSTITUTE(SUBSTITUTE(SUBSTITUTE(SUBSTITUTE(SUBSTITUTE(SUBSTITUTE(SUBSTITUTE(SUBSTITUTE(SUBSTITUTE(LEFT(BM111,FIND("0",BM111&amp;"0")-1),"-",""),"_",""),"/",""),".",""),"#",""),"\\",""),":","")," ",""),"(",""),")","")</f>
        <v/>
      </c>
      <c r="BV111" s="61" t="n">
        <f aca="false">0</f>
        <v>0</v>
      </c>
      <c r="BW1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111&amp;""),"a",""),"b",""),"c",""),"d",""),"e",""),"f",""),"g",""),"h",""),"i",""),"j",""),"k",""),"l",""),"m",""),"n",""),"o",""),"p",""),"q",""),"r",""),"s",""),"t",""),"u",""),"v",""),"w",""),"x",""),"y",""),"z",""),"-",""),"_",""),"/",""),".",""),"#",""),"\\",""),":","")," ",""),"(",""),")","")</f>
        <v/>
      </c>
      <c r="BX111" s="61" t="str">
        <f aca="false">SUBSTITUTE(SUBSTITUTE(SUBSTITUTE(SUBSTITUTE(SUBSTITUTE(SUBSTITUTE(SUBSTITUTE(SUBSTITUTE(SUBSTITUTE(SUBSTITUTE(SUBSTITUTE(BM111,"0",""),"-",""),"_",""),"/",""),".",""),"#",""),"\\",""),":","")," ",""),"(",""),")","")</f>
        <v/>
      </c>
      <c r="BY111" s="62" t="n">
        <f aca="false">Q111-T12EarlyH/24</f>
        <v>46304.6458333333</v>
      </c>
      <c r="BZ111" s="61" t="n">
        <f aca="false">IFERROR(IF(IF(TRIM(S111)="Link / file path",AND(LEN(TRIM(Z111))&gt;=5,SUMPRODUCT(--ISNUMBER(SEARCH({"http","www.","\\",":\",".pdf",".jpg",".jpeg",".png",".heic",".xls",".doc",".msg",".eml",".ppt",".txt",".zip"},Z111)))&gt;0),AND(ISERROR(FIND(" ",TRIM(Z111))),NOT(OR(SUMPRODUCT(--ISNUMBER(FIND({",",";","&amp;","+"},Z111)))&gt;0,SUMPRODUCT(--ISNUMBER(SEARCH({"0/aa","0\\aa"},BN111)))&gt;0)),NOT(SUMPRODUCT(--ISNUMBER(SEARCH({"http","www.","\\",":\",".pdf",".jpg",".jpeg",".png",".heic",".xls",".doc",".msg",".eml",".ppt",".txt",".zip"},Z111)))&gt;0),NOT(LOWER(TRIM(Z111))=LOWER(Flights!$F$8)),ISNA(MATCH(BU111,{"mh","rev","revision","ver","version","v","r","a","b","seat","tray","row","gate","bay","stand","page","pg","item","line","no","cart","galley","flight","flt","table","box","bag","oven","etd","eta","std","sta","atd","ata","qty","pax","x","time","tel","ph","mob","day","wk","week","utc","gmt","myt","lt"},0)),NOT(OR(ISNUMBER(MATCH(LEFT(BN111,255),{"0000a","000a","00a","0000aa","000aa","00aa","0aa","0000aaa","000aaa","00a00","0a00","0000-0000","00:00","a00","a0","00.00.0000","00/00/0000","00-00-0000","0000-00-00","0000/00/00","0000.00.00","00.00.00","00/00/00","00-00-00","0.00.0000","0/00/0000","0-00-0000"},0)),ISNUMBER(MATCH(LEFT(BT111,255),{"0000a","000a","00a","0000aa","000aa","00aa","0aa","0000aaa","000aaa","00a00","0a00","0000-0000","00:00","a00","a0","00.00.0000","00/00/0000","00-00-0000","0000-00-00","0000/00/00","0000.00.00","00.00.00","00/00/00","00-00-00","0.00.0000","0/00/0000","0-00-0000"},0)))),NOT(OR(AND(BW111&lt;&gt;"",SUBSTITUTE(BW111,"0","")=""),AND(LEN(BW111)&gt;=4,BW111=REPT(LEFT(BW111),LEN(BW111))),ISNUMBER(MATCH(BW111,{"123","1234","12345","123456","1234567","12345678","0123","01234","012345","98765","987654","54321"},0)),ISNUMBER(MATCH(BX111,{"x","xx","xxx","xxxx","xxxxx","abc","abcd","nil","na","nan","test","tbc","tba","tbd","dummy","sample","example","eg","zz","zzz","none","null","xyz","qwe","asd","id","ref"},0)),AND(LEN(BW111)=8,BX111="",OR(LEFT(BW111,3)="202",ISNUMBER(MATCH(RIGHT(BW111,4),{"2025","2026","2027"},0)))))),OR(AND((LEN(BT111)-LEN(SUBSTITUTE(BT111,"a","")))&gt;=1,(LEN(BN111)-LEN(SUBSTITUTE(BN111,"0","")))&gt;=2,SUMPRODUCT(--ISNUMBER(SEARCH({"a0","a-0","a_0","a/0","a.0","a#0","0a","0-a","0_a","0/a"},BN111)))&gt;0),AND((LEN(BN111)-LEN(SUBSTITUTE(BN111,"a","")))=0,(LEN(BN111)-LEN(SUBSTITUTE(BN111,"0","")))&gt;=5)))),1,0),0)</f>
        <v>0</v>
      </c>
      <c r="CA1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111,"revision",""),"version",""),"jan",""),"feb",""),"mar",""),"apr",""),"may",""),"jun",""),"jul",""),"aug",""),"sep",""),"oct",""),"nov",""),"dec",""),"utc",""),"gmt",""),"myt",""),"bst",""),"rev",""),"ver",""),"b","a"),"c","a"),"d","a"),"e","a"),"f","a"),"g","a"),"h","a"),"i","a"),"j","a"),"k","a"),"l","a"),"m","a"),"n","a"),"o","a"),"p","a"),"q","a"),"r","a"),"s","a"),"t","a"),"u","a"),"v","a"),"w","a"),"x","a"),"y","a"),"z","a")</f>
        <v/>
      </c>
      <c r="CB1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111&amp;""),"a",""),"b",""),"c",""),"d",""),"e",""),"f",""),"g",""),"h",""),"i",""),"j",""),"k",""),"l",""),"m",""),"n",""),"o",""),"p",""),"q",""),"r",""),"s",""),"t",""),"u",""),"v",""),"w",""),"x",""),"y",""),"z",""),"-",""),"_",""),"/",""),".",""),"#",""),"\\",""),":","")," ",""),"(",""),")","")</f>
        <v/>
      </c>
      <c r="CC111" s="0" t="str">
        <f aca="false">" "&amp;TRIM(SUBSTITUTE(SUBSTITUTE(SUBSTITUTE(SUBSTITUTE(SUBSTITUTE(SUBSTITUTE(SUBSTITUTE(SUBSTITUTE(SUBSTITUTE(SUBSTITUTE(SUBSTITUTE(SUBSTITUTE(SUBSTITUTE(SUBSTITUTE(SUBSTITUTE(SUBSTITUTE(SUBSTITUTE(SUBSTITUTE(SUBSTITUTE(SUBSTITUTE(SUBSTITUTE(SUBSTITUTE(SUBSTITUTE(SUBSTITUTE(LOWER(T111&amp;""),CHAR(10)," "),CHAR(13)," "),CHAR(9)," "),CHAR(160)," "),"."," "),","," "),"-"," "),"/"," "),"("," "),")"," "),":"," "),";"," "),"_"," "),"–"," "),"?"," "),"!"," "),"*"," "),"["," "),"]"," "),"'"," "),"#"," "),"+"," "),"&amp;"," "),"\"," "))&amp;" "</f>
        <v>  </v>
      </c>
      <c r="CD111" s="0" t="str">
        <f aca="false">" "&amp;TRIM(SUBSTITUTE(SUBSTITUTE(SUBSTITUTE(SUBSTITUTE(SUBSTITUTE(SUBSTITUTE(SUBSTITUTE(SUBSTITUTE(SUBSTITUTE(SUBSTITUTE(SUBSTITUTE(SUBSTITUTE(SUBSTITUTE(SUBSTITUTE(SUBSTITUTE(SUBSTITUTE(SUBSTITUTE(SUBSTITUTE(SUBSTITUTE(SUBSTITUTE(SUBSTITUTE(SUBSTITUTE(SUBSTITUTE(SUBSTITUTE(LOWER(AE111&amp;""),CHAR(10)," "),CHAR(13)," "),CHAR(9)," "),CHAR(160)," "),"."," "),","," "),"-"," "),"/"," "),"("," "),")"," "),":"," "),";"," "),"_"," "),"–"," "),"?"," "),"!"," "),"*"," "),"["," "),"]"," "),"'"," "),"#"," "),"+"," "),"&amp;"," "),"\"," "))&amp;" "</f>
        <v>  </v>
      </c>
      <c r="CE111" s="68" t="n">
        <f aca="false">IFERROR(IF(AND(LEN(AU111)&gt;0,LEN(AU111)=LEN(AX111),OR(TRIM(MID(SUBSTITUTE(TRIM(CC111)," ",REPT(" ",60)),1,60))="",ISNUMBER(SEARCH(" "&amp;TRIM(MID(SUBSTITUTE(TRIM(CC111)," ",REPT(" ",60)),1,60))&amp;" ",CD111))),OR(TRIM(MID(SUBSTITUTE(TRIM(CC111)," ",REPT(" ",60)),61,60))="",ISNUMBER(SEARCH(" "&amp;TRIM(MID(SUBSTITUTE(TRIM(CC111)," ",REPT(" ",60)),61,60))&amp;" ",CD111))),OR(TRIM(MID(SUBSTITUTE(TRIM(CC111)," ",REPT(" ",60)),121,60))="",ISNUMBER(SEARCH(" "&amp;TRIM(MID(SUBSTITUTE(TRIM(CC111)," ",REPT(" ",60)),121,60))&amp;" ",CD111)))),1,0),0)</f>
        <v>0</v>
      </c>
      <c r="CG111" s="68" t="n">
        <f aca="false">IFERROR(LEN(SUBSTITUTE(BF111," ",""))-SUMPRODUCT((LEN(BF111)-LEN(SUBSTITUTE(BF111," "&amp;L_NAFiller&amp;" "," ")))/(LEN(L_NAFiller)+1)*LEN(L_NAFiller)),0)</f>
        <v>0</v>
      </c>
    </row>
    <row r="112" customFormat="false" ht="41.25" hidden="false" customHeight="true" outlineLevel="0" collapsed="false">
      <c r="A112" s="57" t="s">
        <v>611</v>
      </c>
      <c r="B112" s="57" t="s">
        <v>218</v>
      </c>
      <c r="C112" s="57" t="str">
        <f aca="false">Flights!$F$8</f>
        <v>MH0088</v>
      </c>
      <c r="D112" s="58" t="n">
        <f aca="false">Flights!$D$8</f>
        <v>46305</v>
      </c>
      <c r="E112" s="57" t="str">
        <f aca="false">Flights!$G$8&amp;"-"&amp;Flights!$H$8</f>
        <v>KUL-NRT</v>
      </c>
      <c r="F112" s="57" t="str">
        <f aca="false">Flights!$K$8</f>
        <v>BC</v>
      </c>
      <c r="G112" s="57" t="s">
        <v>420</v>
      </c>
      <c r="H112" s="57" t="s">
        <v>378</v>
      </c>
      <c r="I112" s="57" t="s">
        <v>499</v>
      </c>
      <c r="J112" s="57" t="s">
        <v>511</v>
      </c>
      <c r="K112" s="67" t="s">
        <v>501</v>
      </c>
      <c r="L112" s="67" t="s">
        <v>612</v>
      </c>
      <c r="M112" s="67" t="s">
        <v>451</v>
      </c>
      <c r="N112" s="67" t="s">
        <v>383</v>
      </c>
      <c r="O112" s="67" t="s">
        <v>503</v>
      </c>
      <c r="P112" s="57" t="s">
        <v>187</v>
      </c>
      <c r="Q112" s="59" t="n">
        <f aca="false">ROUND((Flights!$AE$8)*1440,0)/1440</f>
        <v>46305.1458333333</v>
      </c>
      <c r="R112" s="59" t="n">
        <f aca="false">Q112+(IF(AND(INDEX(TZ_DSTS,MATCH(P112,TZ_STN,0))&lt;&gt;"",Q112&gt;=INDEX(TZ_DSTS,MATCH(P112,TZ_STN,0)),Q112&lt;INDEX(TZ_DSTE,MATCH(P112,TZ_STN,0))),INDEX(TZ_DST,MATCH(P112,TZ_STN,0)),INDEX(TZ_STD,MATCH(P112,TZ_STN,0))))/24</f>
        <v>46305.4791666667</v>
      </c>
      <c r="S112" s="60"/>
      <c r="T112" s="60"/>
      <c r="U112" s="60"/>
      <c r="V112" s="60"/>
      <c r="W112" s="61"/>
      <c r="X112" s="60"/>
      <c r="Y112" s="60"/>
      <c r="Z112" s="60"/>
      <c r="AA112" s="60"/>
      <c r="AB112" s="60"/>
      <c r="AC112" s="60"/>
      <c r="AD112" s="66"/>
      <c r="AE112" s="60"/>
      <c r="AF112" s="61" t="str">
        <f aca="false">IF(AND(ISNUMBER(X112),ISNUMBER(Y112)),Y112-X112,"")</f>
        <v/>
      </c>
      <c r="AG112" s="62" t="str">
        <f aca="false">IF(ISNUMBER(AD112),AD112-(IF(AND(INDEX(TZ_DSTS,MATCH(P112,TZ_STN,0))&lt;&gt;"",(AD112-INDEX(TZ_STD,MATCH(P112,TZ_STN,0))/24)&gt;=INDEX(TZ_DSTS,MATCH(P112,TZ_STN,0)),(AD112-INDEX(TZ_STD,MATCH(P112,TZ_STN,0))/24)&lt;INDEX(TZ_DSTE,MATCH(P112,TZ_STN,0))),INDEX(TZ_DST,MATCH(P112,TZ_STN,0)),INDEX(TZ_STD,MATCH(P112,TZ_STN,0))))/24,"")</f>
        <v/>
      </c>
      <c r="AH112" s="65" t="str">
        <f aca="false">IFERROR(IF(N112="N/A – rule",IF(OR(TRIM(U112)="",TRIM(U112)="N/A",TRIM(U112)="Not started"),"N/A – RULE","INVALID – this check does not apply to this aircraft: clear the status (or correct the fleet on Flights)"),IF(TRIM(U112)="N/A",IF(AT112=0,"INVALID – N/A not permitted for this check",IF(AND(TRIM(AB112)&lt;&gt;"",TRIM(AB112)&lt;&gt;"Closed"),"INVALID – corrective action still open",IF(AND(NOT(OR(LEN(AZ112)&lt;15,ISNUMBER(MATCH(AZ112,L_Placeholder,0)))),BK112=0,CG112&gt;=8,NOT(OR(LEN(AU112)&lt;2,ISNUMBER(MATCH(AU112,L_Placeholder,0)))),BR112&gt;=3,NOT(OR(LEN(AX112)&lt;2,ISNUMBER(MATCH(AX112,L_Placeholder,0)))),BS112&gt;=3,TRIM(AE112)&lt;&gt;TRIM(T112),AX112&lt;&gt;AU112,CE112=0),"N/A – JUSTIFIED","INVALID – N/A needs a real, settled reason (not 'not applicable' / 'as above' / TBC), a named PIC and a different named verifier"))),IF(OR(TRIM(U112)="Pass",TRIM(U112)="Pass after CA"),IF(NOT(ISNUMBER(AD112)),"INVALID – completion time missing",IF(OR(OR(LEN(AU112)&lt;2,ISNUMBER(MATCH(AU112,L_Placeholder,0))),BR112&lt;3),"INVALID – PIC missing or not a named person (a role such as QA / CSM is not a name)",IF(OR(LEN(AV112)&lt;2,ISNUMBER(MATCH(AV112,L_Placeholder,0))),"INVALID – result / assessment missing",IF(OR(OR(LEN(AW112)&lt;3,ISNUMBER(MATCH(AW112,L_Placeholder,0))),SUMPRODUCT(--ISNUMBER(SEARCH(" "&amp;L_EvidencePhrase&amp;" ",BD112)))&gt;0,BI112=1),"INVALID – evidence missing, placeholder or not yet on file",IF(ISNA(MATCH(TRIM(S112),L_EvidenceType,0)),"INVALID – choose the evidence type from the list (column S)",IF(BL112=0,"INVALID – evidence ID must be the record's own ID only (e.g. SF-2210, IMG_2231, 1045521); a link / file name needs type 'Link / file path'",IF(OR(OR(LEN(AX112)&lt;2,ISNUMBER(MATCH(AX112,L_Placeholder,0))),BS112&lt;3),"INVALID – verifier missing or not a named person (a role such as QA / CSM is not a name)",IF(OR(AX112=AU112,CE112=1,AND(LEN(AU112)&gt;=4,ISNUMBER(SEARCH(AU112,AX112))),AND(LEN(AX112)&gt;=4,ISNUMBER(SEARCH(AX112,AU112)))),"INVALID – verifier must be a different, named person (not the PIC or a role)",IF(BH112=1,"INVALID – result not yet available (awaiting / TBC)",IF(BG112=1,"INVALID – result describes a problem: record Fail, then Pass after CA (or reword if it is not a problem)",IF(BV112=1,"INVALID – wording says not on board: an on-board confirmation needs the item loaded",IF(AND(AQ112=1,OR(OR(LEN(AY112)&lt;3,ISNUMBER(MATCH(AY112,L_Placeholder,0))),BJ112=1,BQ112=0)),"INVALID – batch ID missing, placeholder or not an ID (e.g. PASB-261008-BC-017)",IF(AND(AR112=1,OR(NOT(ISNUMBER(X112)),NOT(ISNUMBER(Y112)))),"INVALID – expected/actual qty missing",IF(AND(AR112=1,OR(X112&lt;=0,Y112&lt;0)),"INVALID – expected qty must be above 0 and actual not negative",IF(BB112&lt;&gt;"",BB112,IF(AND(AS112=1,Documents!$J$8&lt;&gt;"ON FILE"),"INVALID – GLD not on file (Documents sheet)",IF(AND(AS112=2,Documents!$O$8&lt;&gt;"ON FILE"),"INVALID – menu checklist not on file (Documents sheet)",IF(AND(AS112=3,NOT(ISNUMBER(Flights!$AX$8))),"INVALID – enter carrying flight KUL departure (Flights AX)",IF(AND(AS112=3,OR(Flights!$AZ$8&gt;Flights!$AA$8,Flights!$AX$8&lt;Flights!$AA$8-3)),"INVALID – carrying flight (Flights AX) cannot arrive before this leg's STD, or is over 3 days early",IF(AG112&gt;AsOfUTC,"INVALID – completion time is in the future",IF(AND(ISNUMBER(BY112),AG112&lt;BY112),IF(H112="Physical uplift","INVALID – before uplift window (cannot confirm loading)","INVALID – before valid window"),IF(AG112&gt;Flights!$AA$8,"INVALID – completed after departure (cannot establish readiness)",IF(AND(H112="Preparation",AG112&gt;=IF(ISNUMBER(Flights!$BA$8),MIN(Flights!$BA$8,Flights!$AA$8),Flights!$AA$8)),"INVALID – completed after loading / departure (cannot establish readiness)",IF(AND(H112="Physical uplift",AG112&gt;Q112),"INVALID – recorded after the loading flight departed",IF(AG112&gt;Q112,"COMPLETE – LATE","COMPLETE"))))))))))))))))))))))))),IF(TRIM(U112)="Fail","FAIL – DISCREPANCY",IF(AND(TRIM(U112)&lt;&gt;"",TRIM(U112)&lt;&gt;"Not started",TRIM(U112)&lt;&gt;"In progress"),"INVALID – unrecognised status (use the list)",IF(AsOfUTC&gt;Q112,"OVERDUE",IF(N112="Clarification required","OPEN – CLARIFICATION","OPEN"))))))),"INVALID – error value in an input cell")</f>
        <v>OPEN</v>
      </c>
      <c r="AI112" s="61" t="n">
        <f aca="false">IF(OR(AH112="N/A – RULE",AH112="N/A – JUSTIFIED"),0,1)</f>
        <v>1</v>
      </c>
      <c r="AJ112" s="61" t="n">
        <f aca="false">IF(LEFT(AH112,8)="COMPLETE",1,0)</f>
        <v>0</v>
      </c>
      <c r="AK112" s="61" t="n">
        <f aca="false">IF(AND(AI112=1,AJ112=0,AsOfUTC&gt;Q112),1,0)</f>
        <v>0</v>
      </c>
      <c r="AL112" s="61" t="n">
        <f aca="false">IFERROR(IF(AND(AI112=1,OR(TRIM(U112)="Fail",AND(TRIM(AB112)&lt;&gt;"",TRIM(AB112)&lt;&gt;"Closed"),AND(ISNUMBER(AF112),AF112&lt;&gt;0,TRIM(U112)&lt;&gt;"Pass after CA"))),1,0),1)</f>
        <v>0</v>
      </c>
      <c r="AM112" s="61" t="n">
        <f aca="false">IF(LEFT(AH112,7)="INVALID",1,0)</f>
        <v>0</v>
      </c>
      <c r="AN112" s="61" t="n">
        <f aca="false">IF(AND(N112="Clarification required",AI112=1,AJ112=0),1,0)</f>
        <v>0</v>
      </c>
      <c r="AO112" s="61" t="str">
        <f aca="false">IF(AK112=1,SUM(AK$5:AK112),"")</f>
        <v/>
      </c>
      <c r="AP112" s="61" t="str">
        <f aca="false">IF(AL112=1,SUM(AL$5:AL112),"")</f>
        <v/>
      </c>
      <c r="AQ112" s="61" t="n">
        <v>0</v>
      </c>
      <c r="AR112" s="61" t="n">
        <v>0</v>
      </c>
      <c r="AS112" s="61" t="n">
        <v>0</v>
      </c>
      <c r="AT112" s="61" t="n">
        <v>0</v>
      </c>
      <c r="AU112" s="61" t="str">
        <f aca="false">SUBSTITUTE(SUBSTITUTE(SUBSTITUTE(SUBSTITUTE(SUBSTITUTE(SUBSTITUTE(SUBSTITUTE(SUBSTITUTE(SUBSTITUTE(SUBSTITUTE(SUBSTITUTE(SUBSTITUTE(SUBSTITUTE(SUBSTITUTE(SUBSTITUTE(SUBSTITUTE(LOWER(T112&amp;""),CHAR(10),""),CHAR(13),""),CHAR(9),""),CHAR(160),"")," ",""),".",""),"-",""),"/",""),"?",""),"_",""),",",""),"[",""),"]",""),"(",""),")",""),"*","")</f>
        <v/>
      </c>
      <c r="AV112" s="61" t="str">
        <f aca="false">SUBSTITUTE(SUBSTITUTE(SUBSTITUTE(SUBSTITUTE(SUBSTITUTE(SUBSTITUTE(SUBSTITUTE(SUBSTITUTE(SUBSTITUTE(SUBSTITUTE(SUBSTITUTE(SUBSTITUTE(SUBSTITUTE(SUBSTITUTE(SUBSTITUTE(SUBSTITUTE(LOWER(V112&amp;""),CHAR(10),""),CHAR(13),""),CHAR(9),""),CHAR(160),"")," ",""),".",""),"-",""),"/",""),"?",""),"_",""),",",""),"[",""),"]",""),"(",""),")",""),"*","")</f>
        <v/>
      </c>
      <c r="AW112" s="61" t="str">
        <f aca="false">SUBSTITUTE(SUBSTITUTE(SUBSTITUTE(SUBSTITUTE(SUBSTITUTE(SUBSTITUTE(SUBSTITUTE(SUBSTITUTE(SUBSTITUTE(SUBSTITUTE(SUBSTITUTE(SUBSTITUTE(SUBSTITUTE(SUBSTITUTE(SUBSTITUTE(SUBSTITUTE(LOWER(Z112&amp;""),CHAR(10),""),CHAR(13),""),CHAR(9),""),CHAR(160),"")," ",""),".",""),"-",""),"/",""),"?",""),"_",""),",",""),"[",""),"]",""),"(",""),")",""),"*","")</f>
        <v/>
      </c>
      <c r="AX112" s="61" t="str">
        <f aca="false">SUBSTITUTE(SUBSTITUTE(SUBSTITUTE(SUBSTITUTE(SUBSTITUTE(SUBSTITUTE(SUBSTITUTE(SUBSTITUTE(SUBSTITUTE(SUBSTITUTE(SUBSTITUTE(SUBSTITUTE(SUBSTITUTE(SUBSTITUTE(SUBSTITUTE(SUBSTITUTE(LOWER(AE112&amp;""),CHAR(10),""),CHAR(13),""),CHAR(9),""),CHAR(160),"")," ",""),".",""),"-",""),"/",""),"?",""),"_",""),",",""),"[",""),"]",""),"(",""),")",""),"*","")</f>
        <v/>
      </c>
      <c r="AY112" s="61" t="str">
        <f aca="false">SUBSTITUTE(SUBSTITUTE(SUBSTITUTE(SUBSTITUTE(SUBSTITUTE(SUBSTITUTE(SUBSTITUTE(SUBSTITUTE(SUBSTITUTE(SUBSTITUTE(SUBSTITUTE(SUBSTITUTE(SUBSTITUTE(SUBSTITUTE(SUBSTITUTE(SUBSTITUTE(LOWER(W112&amp;""),CHAR(10),""),CHAR(13),""),CHAR(9),""),CHAR(160),"")," ",""),".",""),"-",""),"/",""),"?",""),"_",""),",",""),"[",""),"]",""),"(",""),")",""),"*","")</f>
        <v/>
      </c>
      <c r="AZ112" s="61" t="str">
        <f aca="false">SUBSTITUTE(SUBSTITUTE(SUBSTITUTE(SUBSTITUTE(SUBSTITUTE(SUBSTITUTE(SUBSTITUTE(SUBSTITUTE(SUBSTITUTE(SUBSTITUTE(SUBSTITUTE(SUBSTITUTE(SUBSTITUTE(SUBSTITUTE(SUBSTITUTE(SUBSTITUTE(LOWER(AC112&amp;""),CHAR(10),""),CHAR(13),""),CHAR(9),""),CHAR(160),"")," ",""),".",""),"-",""),"/",""),"?",""),"_",""),",",""),"[",""),"]",""),"(",""),")",""),"*","")</f>
        <v/>
      </c>
      <c r="BA112" s="61" t="str">
        <f aca="false">SUBSTITUTE(SUBSTITUTE(SUBSTITUTE(SUBSTITUTE(SUBSTITUTE(SUBSTITUTE(SUBSTITUTE(SUBSTITUTE(SUBSTITUTE(SUBSTITUTE(SUBSTITUTE(SUBSTITUTE(SUBSTITUTE(SUBSTITUTE(SUBSTITUTE(SUBSTITUTE(LOWER(AA112&amp;""),CHAR(10),""),CHAR(13),""),CHAR(9),""),CHAR(160),"")," ",""),".",""),"-",""),"/",""),"?",""),"_",""),",",""),"[",""),"]",""),"(",""),")",""),"*","")</f>
        <v/>
      </c>
      <c r="BB112" s="61" t="str">
        <f aca="false">IF(AND(TRIM(U112)="Pass",ISNUMBER(AF112)),IF(AF112&lt;&gt;0,"INVALID – qty variance: use Fail or Pass after CA",""),"")&amp;IF(AND(TRIM(U112)="Pass after CA",ISNUMBER(AF112)),IF(AF112&lt;&gt;0,"INVALID – after the corrective action the actual qty must equal expected (update Actual)",""),"")&amp;IF(AND(TRIM(U112)="Pass",TRIM(AB112)&lt;&gt;"",TRIM(AB112)&lt;&gt;"Closed"),"INVALID – corrective action not closed: use Fail, then Pass after CA","")&amp;IF(AND(LEN(BA112)&gt;=2,ISNA(MATCH(LEFT(BA112,255),L_Placeholder,0)),TRIM(AB112)=""),"INVALID – CA status missing for the recorded corrective action","")&amp;IF(AND(TRIM(U112)="Pass after CA",OR(OR(LEN(BA112)&lt;5,ISNUMBER(MATCH(BA112,L_Placeholder,0))),TRIM(AB112)&lt;&gt;"Closed")),"INVALID – corrective action not recorded/closed","")</f>
        <v/>
      </c>
      <c r="BC112" s="61" t="str">
        <f aca="false">" "&amp;TRIM(SUBSTITUTE(SUBSTITUTE(SUBSTITUTE(SUBSTITUTE(SUBSTITUTE(SUBSTITUTE(SUBSTITUTE(SUBSTITUTE(SUBSTITUTE(SUBSTITUTE(SUBSTITUTE(SUBSTITUTE(SUBSTITUTE(SUBSTITUTE(SUBSTITUTE(SUBSTITUTE(SUBSTITUTE(SUBSTITUTE(SUBSTITUTE(SUBSTITUTE(SUBSTITUTE(SUBSTITUTE(SUBSTITUTE(SUBSTITUTE(LOWER(V112&amp;""),CHAR(10)," "),CHAR(13)," "),CHAR(9)," "),CHAR(160)," "),"."," "),","," "),"-"," "),"/"," "),"("," "),")"," "),":"," "),";"," "),"_"," "),"–"," "),"?"," "),"!"," "),"*"," "),"["," "),"]"," "),"'"," "),"#"," "),"+"," "),"&amp;"," "),"\"," "))&amp;" "</f>
        <v>  </v>
      </c>
      <c r="BD112" s="61" t="str">
        <f aca="false">" "&amp;TRIM(SUBSTITUTE(SUBSTITUTE(SUBSTITUTE(SUBSTITUTE(SUBSTITUTE(SUBSTITUTE(SUBSTITUTE(SUBSTITUTE(SUBSTITUTE(SUBSTITUTE(SUBSTITUTE(SUBSTITUTE(SUBSTITUTE(SUBSTITUTE(SUBSTITUTE(SUBSTITUTE(SUBSTITUTE(SUBSTITUTE(SUBSTITUTE(SUBSTITUTE(SUBSTITUTE(SUBSTITUTE(SUBSTITUTE(SUBSTITUTE(LOWER(Z112&amp;""),CHAR(10)," "),CHAR(13)," "),CHAR(9)," "),CHAR(160)," "),"."," "),","," "),"-"," "),"/"," "),"("," "),")"," "),":"," "),";"," "),"_"," "),"–"," "),"?"," "),"!"," "),"*"," "),"["," "),"]"," "),"'"," "),"#"," "),"+"," "),"&amp;"," "),"\"," "))&amp;" "</f>
        <v>  </v>
      </c>
      <c r="BE112" s="61" t="str">
        <f aca="false">" "&amp;TRIM(SUBSTITUTE(SUBSTITUTE(SUBSTITUTE(SUBSTITUTE(SUBSTITUTE(SUBSTITUTE(SUBSTITUTE(SUBSTITUTE(SUBSTITUTE(SUBSTITUTE(SUBSTITUTE(SUBSTITUTE(SUBSTITUTE(SUBSTITUTE(SUBSTITUTE(SUBSTITUTE(SUBSTITUTE(SUBSTITUTE(SUBSTITUTE(SUBSTITUTE(SUBSTITUTE(SUBSTITUTE(SUBSTITUTE(SUBSTITUTE(LOWER(W112&amp;""),CHAR(10)," "),CHAR(13)," "),CHAR(9)," "),CHAR(160)," "),"."," "),","," "),"-"," "),"/"," "),"("," "),")"," "),":"," "),";"," "),"_"," "),"–"," "),"?"," "),"!"," "),"*"," "),"["," "),"]"," "),"'"," "),"#"," "),"+"," "),"&amp;"," "),"\"," "))&amp;" "</f>
        <v>  </v>
      </c>
      <c r="BF112" s="61" t="str">
        <f aca="false">" "&amp;TRIM(SUBSTITUTE(SUBSTITUTE(SUBSTITUTE(SUBSTITUTE(SUBSTITUTE(SUBSTITUTE(SUBSTITUTE(SUBSTITUTE(SUBSTITUTE(SUBSTITUTE(SUBSTITUTE(SUBSTITUTE(SUBSTITUTE(SUBSTITUTE(SUBSTITUTE(SUBSTITUTE(SUBSTITUTE(SUBSTITUTE(SUBSTITUTE(SUBSTITUTE(SUBSTITUTE(SUBSTITUTE(SUBSTITUTE(SUBSTITUTE(LOWER(AC112&amp;""),CHAR(10)," "),CHAR(13)," "),CHAR(9)," "),CHAR(160)," "),"."," "),","," "),"-"," "),"/"," "),"("," "),")"," "),":"," "),";"," "),"_"," "),"–"," "),"?"," "),"!"," "),"*"," "),"["," "),"]"," "),"'"," "),"#"," "),"+"," "),"&amp;"," "),"\"," "))&amp;" "</f>
        <v>  </v>
      </c>
      <c r="BG112" s="61" t="n">
        <f aca="false">IFERROR(IF(AND(TRIM(U112)="Pass",SUMPRODUCT((LEN(BC112)-LEN(SUBSTITUTE(BC112," "&amp;L_ResultBad&amp;" "," ")))/(LEN(L_ResultBad)+1))&gt;SUMPRODUCT((LEN(BC112)-LEN(SUBSTITUTE(BC112," "&amp;L_NegPhrase&amp;" "," ")))/(LEN(L_NegPhrase)+1))),1,0),0)</f>
        <v>0</v>
      </c>
      <c r="BH112" s="61" t="n">
        <f aca="false">IFERROR(IF(SUMPRODUCT((LEN(BC112)-LEN(SUBSTITUTE(BC112," "&amp;L_Pending&amp;" "," ")))/(LEN(L_Pending)+1))&gt;SUMPRODUCT((LEN(BC112)-LEN(SUBSTITUTE(BC112," "&amp;L_PendNeg&amp;" "," ")))/(LEN(L_PendNeg)+1))+SUMPRODUCT((LEN(BC112)-LEN(SUBSTITUTE(BC112," "&amp;L_PendPrep&amp;" "," ")))/(LEN(L_PendPrep)+1)),1,0),1)</f>
        <v>0</v>
      </c>
      <c r="BI112" s="61" t="n">
        <f aca="false">IFERROR(IF(SUMPRODUCT((LEN(BD112)-LEN(SUBSTITUTE(BD112," "&amp;L_PendStrict&amp;" "," ")))/(LEN(L_PendStrict)+1))&gt;SUMPRODUCT((LEN(BD112)-LEN(SUBSTITUTE(BD112," "&amp;L_PendNeg&amp;" "," ")))/(LEN(L_PendNeg)+1)),1,0),1)</f>
        <v>0</v>
      </c>
      <c r="BJ112" s="61" t="n">
        <f aca="false">IFERROR(IF(SUMPRODUCT((LEN(BE112)-LEN(SUBSTITUTE(BE112," "&amp;L_Pending&amp;" "," ")))/(LEN(L_Pending)+1))&gt;SUMPRODUCT((LEN(BE112)-LEN(SUBSTITUTE(BE112," "&amp;L_PendNeg&amp;" "," ")))/(LEN(L_PendNeg)+1))+SUMPRODUCT((LEN(BE112)-LEN(SUBSTITUTE(BE112," "&amp;L_PendPrep&amp;" "," ")))/(LEN(L_PendPrep)+1)),1,0),1)</f>
        <v>0</v>
      </c>
      <c r="BK112" s="61" t="n">
        <f aca="false">IFERROR(IF(SUMPRODUCT((LEN(BF112)-LEN(SUBSTITUTE(BF112," "&amp;L_PendStrict&amp;" "," ")))/(LEN(L_PendStrict)+1))&gt;SUMPRODUCT((LEN(BF112)-LEN(SUBSTITUTE(BF112," "&amp;L_PendNeg&amp;" "," ")))/(LEN(L_PendNeg)+1)),1,0),1)</f>
        <v>0</v>
      </c>
      <c r="BL112" s="61" t="n">
        <f aca="false">IF(ISNA(MATCH(TRIM(S112),L_EvidenceType,0)),0,BZ112)</f>
        <v>0</v>
      </c>
      <c r="BM112" s="61" t="str">
        <f aca="false">SUBSTITUTE(SUBSTITUTE(SUBSTITUTE(SUBSTITUTE(SUBSTITUTE(SUBSTITUTE(SUBSTITUTE(SUBSTITUTE(SUBSTITUTE(LOWER(Z112&amp;""),"1","0"),"2","0"),"3","0"),"4","0"),"5","0"),"6","0"),"7","0"),"8","0"),"9","0")</f>
        <v/>
      </c>
      <c r="BN112" s="61" t="str">
        <f aca="false">SUBSTITUTE(SUBSTITUTE(SUBSTITUTE(SUBSTITUTE(SUBSTITUTE(SUBSTITUTE(SUBSTITUTE(SUBSTITUTE(SUBSTITUTE(SUBSTITUTE(SUBSTITUTE(SUBSTITUTE(SUBSTITUTE(SUBSTITUTE(SUBSTITUTE(SUBSTITUTE(SUBSTITUTE(SUBSTITUTE(SUBSTITUTE(SUBSTITUTE(SUBSTITUTE(SUBSTITUTE(SUBSTITUTE(SUBSTITUTE(SUBSTITUTE(BM112,"b","a"),"c","a"),"d","a"),"e","a"),"f","a"),"g","a"),"h","a"),"i","a"),"j","a"),"k","a"),"l","a"),"m","a"),"n","a"),"o","a"),"p","a"),"q","a"),"r","a"),"s","a"),"t","a"),"u","a"),"v","a"),"w","a"),"x","a"),"y","a"),"z","a")</f>
        <v/>
      </c>
      <c r="BO112" s="61" t="str">
        <f aca="false">SUBSTITUTE(SUBSTITUTE(SUBSTITUTE(SUBSTITUTE(SUBSTITUTE(SUBSTITUTE(SUBSTITUTE(SUBSTITUTE(SUBSTITUTE(LOWER(W112&amp;""),"1","0"),"2","0"),"3","0"),"4","0"),"5","0"),"6","0"),"7","0"),"8","0"),"9","0")</f>
        <v/>
      </c>
      <c r="BP112" s="61" t="str">
        <f aca="false">SUBSTITUTE(SUBSTITUTE(SUBSTITUTE(SUBSTITUTE(SUBSTITUTE(SUBSTITUTE(SUBSTITUTE(SUBSTITUTE(SUBSTITUTE(SUBSTITUTE(SUBSTITUTE(SUBSTITUTE(SUBSTITUTE(SUBSTITUTE(SUBSTITUTE(SUBSTITUTE(SUBSTITUTE(SUBSTITUTE(SUBSTITUTE(SUBSTITUTE(SUBSTITUTE(SUBSTITUTE(SUBSTITUTE(SUBSTITUTE(SUBSTITUTE(BO112,"b","a"),"c","a"),"d","a"),"e","a"),"f","a"),"g","a"),"h","a"),"i","a"),"j","a"),"k","a"),"l","a"),"m","a"),"n","a"),"o","a"),"p","a"),"q","a"),"r","a"),"s","a"),"t","a"),"u","a"),"v","a"),"w","a"),"x","a"),"y","a"),"z","a")</f>
        <v/>
      </c>
      <c r="BQ112" s="61" t="n">
        <f aca="false">IFERROR(IF(AND(ISERROR(SEARCH(" mh"," "&amp;LOWER(W112))),ISNA(MATCH(LEFT(TRIM(BP112),255),{"0000a","000a","00a","0000aa","000aa","00aa","0aa","0000aaa","000aaa","00a00","0a00","0000-0000","00:00","a00","a0","00.00.0000","00/00/0000","00-00-0000","0000-00-00","0000/00/00","0000.00.00","00.00.00","00/00/00","00-00-00","0.00.0000","0/00/0000","0-00-0000"},0)),ISNA(MATCH(LEFT(TRIM(CA112),255),{"0000a","000a","00a","0000aa","000aa","00aa","0aa","0000aaa","000aaa","00a00","0a00","0000-0000","00:00","a00","a0","00.00.0000","00/00/0000","00-00-0000","0000-00-00","0000/00/00","0000.00.00","00.00.00","00/00/00","00-00-00","0.00.0000","0/00/0000","0-00-0000"},0)),LEN(CB112)&gt;=3,NOT(OR(SUBSTITUTE(CB112,"0","")="",AND(LEN(CB112)&gt;=4,CB112=REPT(LEFT(CB112),LEN(CB112))),ISNUMBER(MATCH(CB112,{"123","1234","12345","123456","1234567","12345678","0123","01234","012345","98765","987654","54321"},0)),AND(LEN(CB112)=8,LEFT(CB112,3)="202"))),OR(AND((LEN(CA112)-LEN(SUBSTITUTE(CA112,"a","")))&gt;=1,SUMPRODUCT(--ISNUMBER(SEARCH({"a0","a-0","a_0","a/0","a.0","a#0","0a","0-a","0_a","0/a"},BP112)))&gt;0),ISNUMBER(SEARCH("000000",BP112)))),1,0),0)</f>
        <v>0</v>
      </c>
      <c r="BR112" s="61" t="n">
        <f aca="false">IFERROR(LEN(SUBSTITUTE(CC112," ",""))-SUMPRODUCT((LEN(CC112)-LEN(SUBSTITUTE(CC112," "&amp;L_Role&amp;" "," ")))/(LEN(L_Role)+1)*LEN(L_Role)),0)</f>
        <v>0</v>
      </c>
      <c r="BS112" s="61" t="n">
        <f aca="false">IFERROR(LEN(SUBSTITUTE(CD112," ",""))-SUMPRODUCT((LEN(CD112)-LEN(SUBSTITUTE(CD112," "&amp;L_Role&amp;" "," ")))/(LEN(L_Role)+1)*LEN(L_Role)),0)</f>
        <v>0</v>
      </c>
      <c r="BT1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112,"revision",""),"version",""),"jan",""),"feb",""),"mar",""),"apr",""),"may",""),"jun",""),"jul",""),"aug",""),"sep",""),"oct",""),"nov",""),"dec",""),"utc",""),"gmt",""),"myt",""),"bst",""),"rev",""),"ver",""),"b","a"),"c","a"),"d","a"),"e","a"),"f","a"),"g","a"),"h","a"),"i","a"),"j","a"),"k","a"),"l","a"),"m","a"),"n","a"),"o","a"),"p","a"),"q","a"),"r","a"),"s","a"),"t","a"),"u","a"),"v","a"),"w","a"),"x","a"),"y","a"),"z","a")</f>
        <v/>
      </c>
      <c r="BU112" s="61" t="str">
        <f aca="false">SUBSTITUTE(SUBSTITUTE(SUBSTITUTE(SUBSTITUTE(SUBSTITUTE(SUBSTITUTE(SUBSTITUTE(SUBSTITUTE(SUBSTITUTE(SUBSTITUTE(LEFT(BM112,FIND("0",BM112&amp;"0")-1),"-",""),"_",""),"/",""),".",""),"#",""),"\\",""),":","")," ",""),"(",""),")","")</f>
        <v/>
      </c>
      <c r="BV112" s="61" t="n">
        <f aca="false">0</f>
        <v>0</v>
      </c>
      <c r="BW1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112&amp;""),"a",""),"b",""),"c",""),"d",""),"e",""),"f",""),"g",""),"h",""),"i",""),"j",""),"k",""),"l",""),"m",""),"n",""),"o",""),"p",""),"q",""),"r",""),"s",""),"t",""),"u",""),"v",""),"w",""),"x",""),"y",""),"z",""),"-",""),"_",""),"/",""),".",""),"#",""),"\\",""),":","")," ",""),"(",""),")","")</f>
        <v/>
      </c>
      <c r="BX112" s="61" t="str">
        <f aca="false">SUBSTITUTE(SUBSTITUTE(SUBSTITUTE(SUBSTITUTE(SUBSTITUTE(SUBSTITUTE(SUBSTITUTE(SUBSTITUTE(SUBSTITUTE(SUBSTITUTE(SUBSTITUTE(BM112,"0",""),"-",""),"_",""),"/",""),".",""),"#",""),"\\",""),":","")," ",""),"(",""),")","")</f>
        <v/>
      </c>
      <c r="BY112" s="62" t="n">
        <f aca="false">Q112-T12EarlyH/24</f>
        <v>46304.6458333333</v>
      </c>
      <c r="BZ112" s="61" t="n">
        <f aca="false">IFERROR(IF(IF(TRIM(S112)="Link / file path",AND(LEN(TRIM(Z112))&gt;=5,SUMPRODUCT(--ISNUMBER(SEARCH({"http","www.","\\",":\",".pdf",".jpg",".jpeg",".png",".heic",".xls",".doc",".msg",".eml",".ppt",".txt",".zip"},Z112)))&gt;0),AND(ISERROR(FIND(" ",TRIM(Z112))),NOT(OR(SUMPRODUCT(--ISNUMBER(FIND({",",";","&amp;","+"},Z112)))&gt;0,SUMPRODUCT(--ISNUMBER(SEARCH({"0/aa","0\\aa"},BN112)))&gt;0)),NOT(SUMPRODUCT(--ISNUMBER(SEARCH({"http","www.","\\",":\",".pdf",".jpg",".jpeg",".png",".heic",".xls",".doc",".msg",".eml",".ppt",".txt",".zip"},Z112)))&gt;0),NOT(LOWER(TRIM(Z112))=LOWER(Flights!$F$8)),ISNA(MATCH(BU112,{"mh","rev","revision","ver","version","v","r","a","b","seat","tray","row","gate","bay","stand","page","pg","item","line","no","cart","galley","flight","flt","table","box","bag","oven","etd","eta","std","sta","atd","ata","qty","pax","x","time","tel","ph","mob","day","wk","week","utc","gmt","myt","lt"},0)),NOT(OR(ISNUMBER(MATCH(LEFT(BN112,255),{"0000a","000a","00a","0000aa","000aa","00aa","0aa","0000aaa","000aaa","00a00","0a00","0000-0000","00:00","a00","a0","00.00.0000","00/00/0000","00-00-0000","0000-00-00","0000/00/00","0000.00.00","00.00.00","00/00/00","00-00-00","0.00.0000","0/00/0000","0-00-0000"},0)),ISNUMBER(MATCH(LEFT(BT112,255),{"0000a","000a","00a","0000aa","000aa","00aa","0aa","0000aaa","000aaa","00a00","0a00","0000-0000","00:00","a00","a0","00.00.0000","00/00/0000","00-00-0000","0000-00-00","0000/00/00","0000.00.00","00.00.00","00/00/00","00-00-00","0.00.0000","0/00/0000","0-00-0000"},0)))),NOT(OR(AND(BW112&lt;&gt;"",SUBSTITUTE(BW112,"0","")=""),AND(LEN(BW112)&gt;=4,BW112=REPT(LEFT(BW112),LEN(BW112))),ISNUMBER(MATCH(BW112,{"123","1234","12345","123456","1234567","12345678","0123","01234","012345","98765","987654","54321"},0)),ISNUMBER(MATCH(BX112,{"x","xx","xxx","xxxx","xxxxx","abc","abcd","nil","na","nan","test","tbc","tba","tbd","dummy","sample","example","eg","zz","zzz","none","null","xyz","qwe","asd","id","ref"},0)),AND(LEN(BW112)=8,BX112="",OR(LEFT(BW112,3)="202",ISNUMBER(MATCH(RIGHT(BW112,4),{"2025","2026","2027"},0)))))),OR(AND((LEN(BT112)-LEN(SUBSTITUTE(BT112,"a","")))&gt;=1,(LEN(BN112)-LEN(SUBSTITUTE(BN112,"0","")))&gt;=2,SUMPRODUCT(--ISNUMBER(SEARCH({"a0","a-0","a_0","a/0","a.0","a#0","0a","0-a","0_a","0/a"},BN112)))&gt;0),AND((LEN(BN112)-LEN(SUBSTITUTE(BN112,"a","")))=0,(LEN(BN112)-LEN(SUBSTITUTE(BN112,"0","")))&gt;=5)))),1,0),0)</f>
        <v>0</v>
      </c>
      <c r="CA1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112,"revision",""),"version",""),"jan",""),"feb",""),"mar",""),"apr",""),"may",""),"jun",""),"jul",""),"aug",""),"sep",""),"oct",""),"nov",""),"dec",""),"utc",""),"gmt",""),"myt",""),"bst",""),"rev",""),"ver",""),"b","a"),"c","a"),"d","a"),"e","a"),"f","a"),"g","a"),"h","a"),"i","a"),"j","a"),"k","a"),"l","a"),"m","a"),"n","a"),"o","a"),"p","a"),"q","a"),"r","a"),"s","a"),"t","a"),"u","a"),"v","a"),"w","a"),"x","a"),"y","a"),"z","a")</f>
        <v/>
      </c>
      <c r="CB1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112&amp;""),"a",""),"b",""),"c",""),"d",""),"e",""),"f",""),"g",""),"h",""),"i",""),"j",""),"k",""),"l",""),"m",""),"n",""),"o",""),"p",""),"q",""),"r",""),"s",""),"t",""),"u",""),"v",""),"w",""),"x",""),"y",""),"z",""),"-",""),"_",""),"/",""),".",""),"#",""),"\\",""),":","")," ",""),"(",""),")","")</f>
        <v/>
      </c>
      <c r="CC112" s="0" t="str">
        <f aca="false">" "&amp;TRIM(SUBSTITUTE(SUBSTITUTE(SUBSTITUTE(SUBSTITUTE(SUBSTITUTE(SUBSTITUTE(SUBSTITUTE(SUBSTITUTE(SUBSTITUTE(SUBSTITUTE(SUBSTITUTE(SUBSTITUTE(SUBSTITUTE(SUBSTITUTE(SUBSTITUTE(SUBSTITUTE(SUBSTITUTE(SUBSTITUTE(SUBSTITUTE(SUBSTITUTE(SUBSTITUTE(SUBSTITUTE(SUBSTITUTE(SUBSTITUTE(LOWER(T112&amp;""),CHAR(10)," "),CHAR(13)," "),CHAR(9)," "),CHAR(160)," "),"."," "),","," "),"-"," "),"/"," "),"("," "),")"," "),":"," "),";"," "),"_"," "),"–"," "),"?"," "),"!"," "),"*"," "),"["," "),"]"," "),"'"," "),"#"," "),"+"," "),"&amp;"," "),"\"," "))&amp;" "</f>
        <v>  </v>
      </c>
      <c r="CD112" s="0" t="str">
        <f aca="false">" "&amp;TRIM(SUBSTITUTE(SUBSTITUTE(SUBSTITUTE(SUBSTITUTE(SUBSTITUTE(SUBSTITUTE(SUBSTITUTE(SUBSTITUTE(SUBSTITUTE(SUBSTITUTE(SUBSTITUTE(SUBSTITUTE(SUBSTITUTE(SUBSTITUTE(SUBSTITUTE(SUBSTITUTE(SUBSTITUTE(SUBSTITUTE(SUBSTITUTE(SUBSTITUTE(SUBSTITUTE(SUBSTITUTE(SUBSTITUTE(SUBSTITUTE(LOWER(AE112&amp;""),CHAR(10)," "),CHAR(13)," "),CHAR(9)," "),CHAR(160)," "),"."," "),","," "),"-"," "),"/"," "),"("," "),")"," "),":"," "),";"," "),"_"," "),"–"," "),"?"," "),"!"," "),"*"," "),"["," "),"]"," "),"'"," "),"#"," "),"+"," "),"&amp;"," "),"\"," "))&amp;" "</f>
        <v>  </v>
      </c>
      <c r="CE112" s="68" t="n">
        <f aca="false">IFERROR(IF(AND(LEN(AU112)&gt;0,LEN(AU112)=LEN(AX112),OR(TRIM(MID(SUBSTITUTE(TRIM(CC112)," ",REPT(" ",60)),1,60))="",ISNUMBER(SEARCH(" "&amp;TRIM(MID(SUBSTITUTE(TRIM(CC112)," ",REPT(" ",60)),1,60))&amp;" ",CD112))),OR(TRIM(MID(SUBSTITUTE(TRIM(CC112)," ",REPT(" ",60)),61,60))="",ISNUMBER(SEARCH(" "&amp;TRIM(MID(SUBSTITUTE(TRIM(CC112)," ",REPT(" ",60)),61,60))&amp;" ",CD112))),OR(TRIM(MID(SUBSTITUTE(TRIM(CC112)," ",REPT(" ",60)),121,60))="",ISNUMBER(SEARCH(" "&amp;TRIM(MID(SUBSTITUTE(TRIM(CC112)," ",REPT(" ",60)),121,60))&amp;" ",CD112)))),1,0),0)</f>
        <v>0</v>
      </c>
      <c r="CG112" s="68" t="n">
        <f aca="false">IFERROR(LEN(SUBSTITUTE(BF112," ",""))-SUMPRODUCT((LEN(BF112)-LEN(SUBSTITUTE(BF112," "&amp;L_NAFiller&amp;" "," ")))/(LEN(L_NAFiller)+1)*LEN(L_NAFiller)),0)</f>
        <v>0</v>
      </c>
    </row>
    <row r="113" customFormat="false" ht="41.25" hidden="false" customHeight="true" outlineLevel="0" collapsed="false">
      <c r="A113" s="57" t="s">
        <v>613</v>
      </c>
      <c r="B113" s="57" t="s">
        <v>218</v>
      </c>
      <c r="C113" s="57" t="str">
        <f aca="false">Flights!$F$8</f>
        <v>MH0088</v>
      </c>
      <c r="D113" s="58" t="n">
        <f aca="false">Flights!$D$8</f>
        <v>46305</v>
      </c>
      <c r="E113" s="57" t="str">
        <f aca="false">Flights!$G$8&amp;"-"&amp;Flights!$H$8</f>
        <v>KUL-NRT</v>
      </c>
      <c r="F113" s="57" t="str">
        <f aca="false">Flights!$K$8</f>
        <v>BC</v>
      </c>
      <c r="G113" s="57" t="s">
        <v>420</v>
      </c>
      <c r="H113" s="57" t="s">
        <v>378</v>
      </c>
      <c r="I113" s="57" t="s">
        <v>499</v>
      </c>
      <c r="J113" s="57" t="s">
        <v>515</v>
      </c>
      <c r="K113" s="67" t="s">
        <v>501</v>
      </c>
      <c r="L113" s="67" t="s">
        <v>614</v>
      </c>
      <c r="M113" s="67" t="s">
        <v>451</v>
      </c>
      <c r="N113" s="67" t="s">
        <v>383</v>
      </c>
      <c r="O113" s="67" t="s">
        <v>503</v>
      </c>
      <c r="P113" s="57" t="s">
        <v>187</v>
      </c>
      <c r="Q113" s="59" t="n">
        <f aca="false">ROUND((Flights!$AE$8)*1440,0)/1440</f>
        <v>46305.1458333333</v>
      </c>
      <c r="R113" s="59" t="n">
        <f aca="false">Q113+(IF(AND(INDEX(TZ_DSTS,MATCH(P113,TZ_STN,0))&lt;&gt;"",Q113&gt;=INDEX(TZ_DSTS,MATCH(P113,TZ_STN,0)),Q113&lt;INDEX(TZ_DSTE,MATCH(P113,TZ_STN,0))),INDEX(TZ_DST,MATCH(P113,TZ_STN,0)),INDEX(TZ_STD,MATCH(P113,TZ_STN,0))))/24</f>
        <v>46305.4791666667</v>
      </c>
      <c r="S113" s="60"/>
      <c r="T113" s="60"/>
      <c r="U113" s="60"/>
      <c r="V113" s="60"/>
      <c r="W113" s="61"/>
      <c r="X113" s="60"/>
      <c r="Y113" s="60"/>
      <c r="Z113" s="60"/>
      <c r="AA113" s="60"/>
      <c r="AB113" s="60"/>
      <c r="AC113" s="60"/>
      <c r="AD113" s="66"/>
      <c r="AE113" s="60"/>
      <c r="AF113" s="61" t="str">
        <f aca="false">IF(AND(ISNUMBER(X113),ISNUMBER(Y113)),Y113-X113,"")</f>
        <v/>
      </c>
      <c r="AG113" s="62" t="str">
        <f aca="false">IF(ISNUMBER(AD113),AD113-(IF(AND(INDEX(TZ_DSTS,MATCH(P113,TZ_STN,0))&lt;&gt;"",(AD113-INDEX(TZ_STD,MATCH(P113,TZ_STN,0))/24)&gt;=INDEX(TZ_DSTS,MATCH(P113,TZ_STN,0)),(AD113-INDEX(TZ_STD,MATCH(P113,TZ_STN,0))/24)&lt;INDEX(TZ_DSTE,MATCH(P113,TZ_STN,0))),INDEX(TZ_DST,MATCH(P113,TZ_STN,0)),INDEX(TZ_STD,MATCH(P113,TZ_STN,0))))/24,"")</f>
        <v/>
      </c>
      <c r="AH113" s="65" t="str">
        <f aca="false">IFERROR(IF(N113="N/A – rule",IF(OR(TRIM(U113)="",TRIM(U113)="N/A",TRIM(U113)="Not started"),"N/A – RULE","INVALID – this check does not apply to this aircraft: clear the status (or correct the fleet on Flights)"),IF(TRIM(U113)="N/A",IF(AT113=0,"INVALID – N/A not permitted for this check",IF(AND(TRIM(AB113)&lt;&gt;"",TRIM(AB113)&lt;&gt;"Closed"),"INVALID – corrective action still open",IF(AND(NOT(OR(LEN(AZ113)&lt;15,ISNUMBER(MATCH(AZ113,L_Placeholder,0)))),BK113=0,CG113&gt;=8,NOT(OR(LEN(AU113)&lt;2,ISNUMBER(MATCH(AU113,L_Placeholder,0)))),BR113&gt;=3,NOT(OR(LEN(AX113)&lt;2,ISNUMBER(MATCH(AX113,L_Placeholder,0)))),BS113&gt;=3,TRIM(AE113)&lt;&gt;TRIM(T113),AX113&lt;&gt;AU113,CE113=0),"N/A – JUSTIFIED","INVALID – N/A needs a real, settled reason (not 'not applicable' / 'as above' / TBC), a named PIC and a different named verifier"))),IF(OR(TRIM(U113)="Pass",TRIM(U113)="Pass after CA"),IF(NOT(ISNUMBER(AD113)),"INVALID – completion time missing",IF(OR(OR(LEN(AU113)&lt;2,ISNUMBER(MATCH(AU113,L_Placeholder,0))),BR113&lt;3),"INVALID – PIC missing or not a named person (a role such as QA / CSM is not a name)",IF(OR(LEN(AV113)&lt;2,ISNUMBER(MATCH(AV113,L_Placeholder,0))),"INVALID – result / assessment missing",IF(OR(OR(LEN(AW113)&lt;3,ISNUMBER(MATCH(AW113,L_Placeholder,0))),SUMPRODUCT(--ISNUMBER(SEARCH(" "&amp;L_EvidencePhrase&amp;" ",BD113)))&gt;0,BI113=1),"INVALID – evidence missing, placeholder or not yet on file",IF(ISNA(MATCH(TRIM(S113),L_EvidenceType,0)),"INVALID – choose the evidence type from the list (column S)",IF(BL113=0,"INVALID – evidence ID must be the record's own ID only (e.g. SF-2210, IMG_2231, 1045521); a link / file name needs type 'Link / file path'",IF(OR(OR(LEN(AX113)&lt;2,ISNUMBER(MATCH(AX113,L_Placeholder,0))),BS113&lt;3),"INVALID – verifier missing or not a named person (a role such as QA / CSM is not a name)",IF(OR(AX113=AU113,CE113=1,AND(LEN(AU113)&gt;=4,ISNUMBER(SEARCH(AU113,AX113))),AND(LEN(AX113)&gt;=4,ISNUMBER(SEARCH(AX113,AU113)))),"INVALID – verifier must be a different, named person (not the PIC or a role)",IF(BH113=1,"INVALID – result not yet available (awaiting / TBC)",IF(BG113=1,"INVALID – result describes a problem: record Fail, then Pass after CA (or reword if it is not a problem)",IF(BV113=1,"INVALID – wording says not on board: an on-board confirmation needs the item loaded",IF(AND(AQ113=1,OR(OR(LEN(AY113)&lt;3,ISNUMBER(MATCH(AY113,L_Placeholder,0))),BJ113=1,BQ113=0)),"INVALID – batch ID missing, placeholder or not an ID (e.g. PASB-261008-BC-017)",IF(AND(AR113=1,OR(NOT(ISNUMBER(X113)),NOT(ISNUMBER(Y113)))),"INVALID – expected/actual qty missing",IF(AND(AR113=1,OR(X113&lt;=0,Y113&lt;0)),"INVALID – expected qty must be above 0 and actual not negative",IF(BB113&lt;&gt;"",BB113,IF(AND(AS113=1,Documents!$J$8&lt;&gt;"ON FILE"),"INVALID – GLD not on file (Documents sheet)",IF(AND(AS113=2,Documents!$O$8&lt;&gt;"ON FILE"),"INVALID – menu checklist not on file (Documents sheet)",IF(AND(AS113=3,NOT(ISNUMBER(Flights!$AX$8))),"INVALID – enter carrying flight KUL departure (Flights AX)",IF(AND(AS113=3,OR(Flights!$AZ$8&gt;Flights!$AA$8,Flights!$AX$8&lt;Flights!$AA$8-3)),"INVALID – carrying flight (Flights AX) cannot arrive before this leg's STD, or is over 3 days early",IF(AG113&gt;AsOfUTC,"INVALID – completion time is in the future",IF(AND(ISNUMBER(BY113),AG113&lt;BY113),IF(H113="Physical uplift","INVALID – before uplift window (cannot confirm loading)","INVALID – before valid window"),IF(AG113&gt;Flights!$AA$8,"INVALID – completed after departure (cannot establish readiness)",IF(AND(H113="Preparation",AG113&gt;=IF(ISNUMBER(Flights!$BA$8),MIN(Flights!$BA$8,Flights!$AA$8),Flights!$AA$8)),"INVALID – completed after loading / departure (cannot establish readiness)",IF(AND(H113="Physical uplift",AG113&gt;Q113),"INVALID – recorded after the loading flight departed",IF(AG113&gt;Q113,"COMPLETE – LATE","COMPLETE"))))))))))))))))))))))))),IF(TRIM(U113)="Fail","FAIL – DISCREPANCY",IF(AND(TRIM(U113)&lt;&gt;"",TRIM(U113)&lt;&gt;"Not started",TRIM(U113)&lt;&gt;"In progress"),"INVALID – unrecognised status (use the list)",IF(AsOfUTC&gt;Q113,"OVERDUE",IF(N113="Clarification required","OPEN – CLARIFICATION","OPEN"))))))),"INVALID – error value in an input cell")</f>
        <v>OPEN</v>
      </c>
      <c r="AI113" s="61" t="n">
        <f aca="false">IF(OR(AH113="N/A – RULE",AH113="N/A – JUSTIFIED"),0,1)</f>
        <v>1</v>
      </c>
      <c r="AJ113" s="61" t="n">
        <f aca="false">IF(LEFT(AH113,8)="COMPLETE",1,0)</f>
        <v>0</v>
      </c>
      <c r="AK113" s="61" t="n">
        <f aca="false">IF(AND(AI113=1,AJ113=0,AsOfUTC&gt;Q113),1,0)</f>
        <v>0</v>
      </c>
      <c r="AL113" s="61" t="n">
        <f aca="false">IFERROR(IF(AND(AI113=1,OR(TRIM(U113)="Fail",AND(TRIM(AB113)&lt;&gt;"",TRIM(AB113)&lt;&gt;"Closed"),AND(ISNUMBER(AF113),AF113&lt;&gt;0,TRIM(U113)&lt;&gt;"Pass after CA"))),1,0),1)</f>
        <v>0</v>
      </c>
      <c r="AM113" s="61" t="n">
        <f aca="false">IF(LEFT(AH113,7)="INVALID",1,0)</f>
        <v>0</v>
      </c>
      <c r="AN113" s="61" t="n">
        <f aca="false">IF(AND(N113="Clarification required",AI113=1,AJ113=0),1,0)</f>
        <v>0</v>
      </c>
      <c r="AO113" s="61" t="str">
        <f aca="false">IF(AK113=1,SUM(AK$5:AK113),"")</f>
        <v/>
      </c>
      <c r="AP113" s="61" t="str">
        <f aca="false">IF(AL113=1,SUM(AL$5:AL113),"")</f>
        <v/>
      </c>
      <c r="AQ113" s="61" t="n">
        <v>0</v>
      </c>
      <c r="AR113" s="61" t="n">
        <v>0</v>
      </c>
      <c r="AS113" s="61" t="n">
        <v>0</v>
      </c>
      <c r="AT113" s="61" t="n">
        <v>0</v>
      </c>
      <c r="AU113" s="61" t="str">
        <f aca="false">SUBSTITUTE(SUBSTITUTE(SUBSTITUTE(SUBSTITUTE(SUBSTITUTE(SUBSTITUTE(SUBSTITUTE(SUBSTITUTE(SUBSTITUTE(SUBSTITUTE(SUBSTITUTE(SUBSTITUTE(SUBSTITUTE(SUBSTITUTE(SUBSTITUTE(SUBSTITUTE(LOWER(T113&amp;""),CHAR(10),""),CHAR(13),""),CHAR(9),""),CHAR(160),"")," ",""),".",""),"-",""),"/",""),"?",""),"_",""),",",""),"[",""),"]",""),"(",""),")",""),"*","")</f>
        <v/>
      </c>
      <c r="AV113" s="61" t="str">
        <f aca="false">SUBSTITUTE(SUBSTITUTE(SUBSTITUTE(SUBSTITUTE(SUBSTITUTE(SUBSTITUTE(SUBSTITUTE(SUBSTITUTE(SUBSTITUTE(SUBSTITUTE(SUBSTITUTE(SUBSTITUTE(SUBSTITUTE(SUBSTITUTE(SUBSTITUTE(SUBSTITUTE(LOWER(V113&amp;""),CHAR(10),""),CHAR(13),""),CHAR(9),""),CHAR(160),"")," ",""),".",""),"-",""),"/",""),"?",""),"_",""),",",""),"[",""),"]",""),"(",""),")",""),"*","")</f>
        <v/>
      </c>
      <c r="AW113" s="61" t="str">
        <f aca="false">SUBSTITUTE(SUBSTITUTE(SUBSTITUTE(SUBSTITUTE(SUBSTITUTE(SUBSTITUTE(SUBSTITUTE(SUBSTITUTE(SUBSTITUTE(SUBSTITUTE(SUBSTITUTE(SUBSTITUTE(SUBSTITUTE(SUBSTITUTE(SUBSTITUTE(SUBSTITUTE(LOWER(Z113&amp;""),CHAR(10),""),CHAR(13),""),CHAR(9),""),CHAR(160),"")," ",""),".",""),"-",""),"/",""),"?",""),"_",""),",",""),"[",""),"]",""),"(",""),")",""),"*","")</f>
        <v/>
      </c>
      <c r="AX113" s="61" t="str">
        <f aca="false">SUBSTITUTE(SUBSTITUTE(SUBSTITUTE(SUBSTITUTE(SUBSTITUTE(SUBSTITUTE(SUBSTITUTE(SUBSTITUTE(SUBSTITUTE(SUBSTITUTE(SUBSTITUTE(SUBSTITUTE(SUBSTITUTE(SUBSTITUTE(SUBSTITUTE(SUBSTITUTE(LOWER(AE113&amp;""),CHAR(10),""),CHAR(13),""),CHAR(9),""),CHAR(160),"")," ",""),".",""),"-",""),"/",""),"?",""),"_",""),",",""),"[",""),"]",""),"(",""),")",""),"*","")</f>
        <v/>
      </c>
      <c r="AY113" s="61" t="str">
        <f aca="false">SUBSTITUTE(SUBSTITUTE(SUBSTITUTE(SUBSTITUTE(SUBSTITUTE(SUBSTITUTE(SUBSTITUTE(SUBSTITUTE(SUBSTITUTE(SUBSTITUTE(SUBSTITUTE(SUBSTITUTE(SUBSTITUTE(SUBSTITUTE(SUBSTITUTE(SUBSTITUTE(LOWER(W113&amp;""),CHAR(10),""),CHAR(13),""),CHAR(9),""),CHAR(160),"")," ",""),".",""),"-",""),"/",""),"?",""),"_",""),",",""),"[",""),"]",""),"(",""),")",""),"*","")</f>
        <v/>
      </c>
      <c r="AZ113" s="61" t="str">
        <f aca="false">SUBSTITUTE(SUBSTITUTE(SUBSTITUTE(SUBSTITUTE(SUBSTITUTE(SUBSTITUTE(SUBSTITUTE(SUBSTITUTE(SUBSTITUTE(SUBSTITUTE(SUBSTITUTE(SUBSTITUTE(SUBSTITUTE(SUBSTITUTE(SUBSTITUTE(SUBSTITUTE(LOWER(AC113&amp;""),CHAR(10),""),CHAR(13),""),CHAR(9),""),CHAR(160),"")," ",""),".",""),"-",""),"/",""),"?",""),"_",""),",",""),"[",""),"]",""),"(",""),")",""),"*","")</f>
        <v/>
      </c>
      <c r="BA113" s="61" t="str">
        <f aca="false">SUBSTITUTE(SUBSTITUTE(SUBSTITUTE(SUBSTITUTE(SUBSTITUTE(SUBSTITUTE(SUBSTITUTE(SUBSTITUTE(SUBSTITUTE(SUBSTITUTE(SUBSTITUTE(SUBSTITUTE(SUBSTITUTE(SUBSTITUTE(SUBSTITUTE(SUBSTITUTE(LOWER(AA113&amp;""),CHAR(10),""),CHAR(13),""),CHAR(9),""),CHAR(160),"")," ",""),".",""),"-",""),"/",""),"?",""),"_",""),",",""),"[",""),"]",""),"(",""),")",""),"*","")</f>
        <v/>
      </c>
      <c r="BB113" s="61" t="str">
        <f aca="false">IF(AND(TRIM(U113)="Pass",ISNUMBER(AF113)),IF(AF113&lt;&gt;0,"INVALID – qty variance: use Fail or Pass after CA",""),"")&amp;IF(AND(TRIM(U113)="Pass after CA",ISNUMBER(AF113)),IF(AF113&lt;&gt;0,"INVALID – after the corrective action the actual qty must equal expected (update Actual)",""),"")&amp;IF(AND(TRIM(U113)="Pass",TRIM(AB113)&lt;&gt;"",TRIM(AB113)&lt;&gt;"Closed"),"INVALID – corrective action not closed: use Fail, then Pass after CA","")&amp;IF(AND(LEN(BA113)&gt;=2,ISNA(MATCH(LEFT(BA113,255),L_Placeholder,0)),TRIM(AB113)=""),"INVALID – CA status missing for the recorded corrective action","")&amp;IF(AND(TRIM(U113)="Pass after CA",OR(OR(LEN(BA113)&lt;5,ISNUMBER(MATCH(BA113,L_Placeholder,0))),TRIM(AB113)&lt;&gt;"Closed")),"INVALID – corrective action not recorded/closed","")</f>
        <v/>
      </c>
      <c r="BC113" s="61" t="str">
        <f aca="false">" "&amp;TRIM(SUBSTITUTE(SUBSTITUTE(SUBSTITUTE(SUBSTITUTE(SUBSTITUTE(SUBSTITUTE(SUBSTITUTE(SUBSTITUTE(SUBSTITUTE(SUBSTITUTE(SUBSTITUTE(SUBSTITUTE(SUBSTITUTE(SUBSTITUTE(SUBSTITUTE(SUBSTITUTE(SUBSTITUTE(SUBSTITUTE(SUBSTITUTE(SUBSTITUTE(SUBSTITUTE(SUBSTITUTE(SUBSTITUTE(SUBSTITUTE(LOWER(V113&amp;""),CHAR(10)," "),CHAR(13)," "),CHAR(9)," "),CHAR(160)," "),"."," "),","," "),"-"," "),"/"," "),"("," "),")"," "),":"," "),";"," "),"_"," "),"–"," "),"?"," "),"!"," "),"*"," "),"["," "),"]"," "),"'"," "),"#"," "),"+"," "),"&amp;"," "),"\"," "))&amp;" "</f>
        <v>  </v>
      </c>
      <c r="BD113" s="61" t="str">
        <f aca="false">" "&amp;TRIM(SUBSTITUTE(SUBSTITUTE(SUBSTITUTE(SUBSTITUTE(SUBSTITUTE(SUBSTITUTE(SUBSTITUTE(SUBSTITUTE(SUBSTITUTE(SUBSTITUTE(SUBSTITUTE(SUBSTITUTE(SUBSTITUTE(SUBSTITUTE(SUBSTITUTE(SUBSTITUTE(SUBSTITUTE(SUBSTITUTE(SUBSTITUTE(SUBSTITUTE(SUBSTITUTE(SUBSTITUTE(SUBSTITUTE(SUBSTITUTE(LOWER(Z113&amp;""),CHAR(10)," "),CHAR(13)," "),CHAR(9)," "),CHAR(160)," "),"."," "),","," "),"-"," "),"/"," "),"("," "),")"," "),":"," "),";"," "),"_"," "),"–"," "),"?"," "),"!"," "),"*"," "),"["," "),"]"," "),"'"," "),"#"," "),"+"," "),"&amp;"," "),"\"," "))&amp;" "</f>
        <v>  </v>
      </c>
      <c r="BE113" s="61" t="str">
        <f aca="false">" "&amp;TRIM(SUBSTITUTE(SUBSTITUTE(SUBSTITUTE(SUBSTITUTE(SUBSTITUTE(SUBSTITUTE(SUBSTITUTE(SUBSTITUTE(SUBSTITUTE(SUBSTITUTE(SUBSTITUTE(SUBSTITUTE(SUBSTITUTE(SUBSTITUTE(SUBSTITUTE(SUBSTITUTE(SUBSTITUTE(SUBSTITUTE(SUBSTITUTE(SUBSTITUTE(SUBSTITUTE(SUBSTITUTE(SUBSTITUTE(SUBSTITUTE(LOWER(W113&amp;""),CHAR(10)," "),CHAR(13)," "),CHAR(9)," "),CHAR(160)," "),"."," "),","," "),"-"," "),"/"," "),"("," "),")"," "),":"," "),";"," "),"_"," "),"–"," "),"?"," "),"!"," "),"*"," "),"["," "),"]"," "),"'"," "),"#"," "),"+"," "),"&amp;"," "),"\"," "))&amp;" "</f>
        <v>  </v>
      </c>
      <c r="BF113" s="61" t="str">
        <f aca="false">" "&amp;TRIM(SUBSTITUTE(SUBSTITUTE(SUBSTITUTE(SUBSTITUTE(SUBSTITUTE(SUBSTITUTE(SUBSTITUTE(SUBSTITUTE(SUBSTITUTE(SUBSTITUTE(SUBSTITUTE(SUBSTITUTE(SUBSTITUTE(SUBSTITUTE(SUBSTITUTE(SUBSTITUTE(SUBSTITUTE(SUBSTITUTE(SUBSTITUTE(SUBSTITUTE(SUBSTITUTE(SUBSTITUTE(SUBSTITUTE(SUBSTITUTE(LOWER(AC113&amp;""),CHAR(10)," "),CHAR(13)," "),CHAR(9)," "),CHAR(160)," "),"."," "),","," "),"-"," "),"/"," "),"("," "),")"," "),":"," "),";"," "),"_"," "),"–"," "),"?"," "),"!"," "),"*"," "),"["," "),"]"," "),"'"," "),"#"," "),"+"," "),"&amp;"," "),"\"," "))&amp;" "</f>
        <v>  </v>
      </c>
      <c r="BG113" s="61" t="n">
        <f aca="false">IFERROR(IF(AND(TRIM(U113)="Pass",SUMPRODUCT((LEN(BC113)-LEN(SUBSTITUTE(BC113," "&amp;L_ResultBad&amp;" "," ")))/(LEN(L_ResultBad)+1))&gt;SUMPRODUCT((LEN(BC113)-LEN(SUBSTITUTE(BC113," "&amp;L_NegPhrase&amp;" "," ")))/(LEN(L_NegPhrase)+1))),1,0),0)</f>
        <v>0</v>
      </c>
      <c r="BH113" s="61" t="n">
        <f aca="false">IFERROR(IF(SUMPRODUCT((LEN(BC113)-LEN(SUBSTITUTE(BC113," "&amp;L_Pending&amp;" "," ")))/(LEN(L_Pending)+1))&gt;SUMPRODUCT((LEN(BC113)-LEN(SUBSTITUTE(BC113," "&amp;L_PendNeg&amp;" "," ")))/(LEN(L_PendNeg)+1))+SUMPRODUCT((LEN(BC113)-LEN(SUBSTITUTE(BC113," "&amp;L_PendPrep&amp;" "," ")))/(LEN(L_PendPrep)+1)),1,0),1)</f>
        <v>0</v>
      </c>
      <c r="BI113" s="61" t="n">
        <f aca="false">IFERROR(IF(SUMPRODUCT((LEN(BD113)-LEN(SUBSTITUTE(BD113," "&amp;L_PendStrict&amp;" "," ")))/(LEN(L_PendStrict)+1))&gt;SUMPRODUCT((LEN(BD113)-LEN(SUBSTITUTE(BD113," "&amp;L_PendNeg&amp;" "," ")))/(LEN(L_PendNeg)+1)),1,0),1)</f>
        <v>0</v>
      </c>
      <c r="BJ113" s="61" t="n">
        <f aca="false">IFERROR(IF(SUMPRODUCT((LEN(BE113)-LEN(SUBSTITUTE(BE113," "&amp;L_Pending&amp;" "," ")))/(LEN(L_Pending)+1))&gt;SUMPRODUCT((LEN(BE113)-LEN(SUBSTITUTE(BE113," "&amp;L_PendNeg&amp;" "," ")))/(LEN(L_PendNeg)+1))+SUMPRODUCT((LEN(BE113)-LEN(SUBSTITUTE(BE113," "&amp;L_PendPrep&amp;" "," ")))/(LEN(L_PendPrep)+1)),1,0),1)</f>
        <v>0</v>
      </c>
      <c r="BK113" s="61" t="n">
        <f aca="false">IFERROR(IF(SUMPRODUCT((LEN(BF113)-LEN(SUBSTITUTE(BF113," "&amp;L_PendStrict&amp;" "," ")))/(LEN(L_PendStrict)+1))&gt;SUMPRODUCT((LEN(BF113)-LEN(SUBSTITUTE(BF113," "&amp;L_PendNeg&amp;" "," ")))/(LEN(L_PendNeg)+1)),1,0),1)</f>
        <v>0</v>
      </c>
      <c r="BL113" s="61" t="n">
        <f aca="false">IF(ISNA(MATCH(TRIM(S113),L_EvidenceType,0)),0,BZ113)</f>
        <v>0</v>
      </c>
      <c r="BM113" s="61" t="str">
        <f aca="false">SUBSTITUTE(SUBSTITUTE(SUBSTITUTE(SUBSTITUTE(SUBSTITUTE(SUBSTITUTE(SUBSTITUTE(SUBSTITUTE(SUBSTITUTE(LOWER(Z113&amp;""),"1","0"),"2","0"),"3","0"),"4","0"),"5","0"),"6","0"),"7","0"),"8","0"),"9","0")</f>
        <v/>
      </c>
      <c r="BN113" s="61" t="str">
        <f aca="false">SUBSTITUTE(SUBSTITUTE(SUBSTITUTE(SUBSTITUTE(SUBSTITUTE(SUBSTITUTE(SUBSTITUTE(SUBSTITUTE(SUBSTITUTE(SUBSTITUTE(SUBSTITUTE(SUBSTITUTE(SUBSTITUTE(SUBSTITUTE(SUBSTITUTE(SUBSTITUTE(SUBSTITUTE(SUBSTITUTE(SUBSTITUTE(SUBSTITUTE(SUBSTITUTE(SUBSTITUTE(SUBSTITUTE(SUBSTITUTE(SUBSTITUTE(BM113,"b","a"),"c","a"),"d","a"),"e","a"),"f","a"),"g","a"),"h","a"),"i","a"),"j","a"),"k","a"),"l","a"),"m","a"),"n","a"),"o","a"),"p","a"),"q","a"),"r","a"),"s","a"),"t","a"),"u","a"),"v","a"),"w","a"),"x","a"),"y","a"),"z","a")</f>
        <v/>
      </c>
      <c r="BO113" s="61" t="str">
        <f aca="false">SUBSTITUTE(SUBSTITUTE(SUBSTITUTE(SUBSTITUTE(SUBSTITUTE(SUBSTITUTE(SUBSTITUTE(SUBSTITUTE(SUBSTITUTE(LOWER(W113&amp;""),"1","0"),"2","0"),"3","0"),"4","0"),"5","0"),"6","0"),"7","0"),"8","0"),"9","0")</f>
        <v/>
      </c>
      <c r="BP113" s="61" t="str">
        <f aca="false">SUBSTITUTE(SUBSTITUTE(SUBSTITUTE(SUBSTITUTE(SUBSTITUTE(SUBSTITUTE(SUBSTITUTE(SUBSTITUTE(SUBSTITUTE(SUBSTITUTE(SUBSTITUTE(SUBSTITUTE(SUBSTITUTE(SUBSTITUTE(SUBSTITUTE(SUBSTITUTE(SUBSTITUTE(SUBSTITUTE(SUBSTITUTE(SUBSTITUTE(SUBSTITUTE(SUBSTITUTE(SUBSTITUTE(SUBSTITUTE(SUBSTITUTE(BO113,"b","a"),"c","a"),"d","a"),"e","a"),"f","a"),"g","a"),"h","a"),"i","a"),"j","a"),"k","a"),"l","a"),"m","a"),"n","a"),"o","a"),"p","a"),"q","a"),"r","a"),"s","a"),"t","a"),"u","a"),"v","a"),"w","a"),"x","a"),"y","a"),"z","a")</f>
        <v/>
      </c>
      <c r="BQ113" s="61" t="n">
        <f aca="false">IFERROR(IF(AND(ISERROR(SEARCH(" mh"," "&amp;LOWER(W113))),ISNA(MATCH(LEFT(TRIM(BP113),255),{"0000a","000a","00a","0000aa","000aa","00aa","0aa","0000aaa","000aaa","00a00","0a00","0000-0000","00:00","a00","a0","00.00.0000","00/00/0000","00-00-0000","0000-00-00","0000/00/00","0000.00.00","00.00.00","00/00/00","00-00-00","0.00.0000","0/00/0000","0-00-0000"},0)),ISNA(MATCH(LEFT(TRIM(CA113),255),{"0000a","000a","00a","0000aa","000aa","00aa","0aa","0000aaa","000aaa","00a00","0a00","0000-0000","00:00","a00","a0","00.00.0000","00/00/0000","00-00-0000","0000-00-00","0000/00/00","0000.00.00","00.00.00","00/00/00","00-00-00","0.00.0000","0/00/0000","0-00-0000"},0)),LEN(CB113)&gt;=3,NOT(OR(SUBSTITUTE(CB113,"0","")="",AND(LEN(CB113)&gt;=4,CB113=REPT(LEFT(CB113),LEN(CB113))),ISNUMBER(MATCH(CB113,{"123","1234","12345","123456","1234567","12345678","0123","01234","012345","98765","987654","54321"},0)),AND(LEN(CB113)=8,LEFT(CB113,3)="202"))),OR(AND((LEN(CA113)-LEN(SUBSTITUTE(CA113,"a","")))&gt;=1,SUMPRODUCT(--ISNUMBER(SEARCH({"a0","a-0","a_0","a/0","a.0","a#0","0a","0-a","0_a","0/a"},BP113)))&gt;0),ISNUMBER(SEARCH("000000",BP113)))),1,0),0)</f>
        <v>0</v>
      </c>
      <c r="BR113" s="61" t="n">
        <f aca="false">IFERROR(LEN(SUBSTITUTE(CC113," ",""))-SUMPRODUCT((LEN(CC113)-LEN(SUBSTITUTE(CC113," "&amp;L_Role&amp;" "," ")))/(LEN(L_Role)+1)*LEN(L_Role)),0)</f>
        <v>0</v>
      </c>
      <c r="BS113" s="61" t="n">
        <f aca="false">IFERROR(LEN(SUBSTITUTE(CD113," ",""))-SUMPRODUCT((LEN(CD113)-LEN(SUBSTITUTE(CD113," "&amp;L_Role&amp;" "," ")))/(LEN(L_Role)+1)*LEN(L_Role)),0)</f>
        <v>0</v>
      </c>
      <c r="BT1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113,"revision",""),"version",""),"jan",""),"feb",""),"mar",""),"apr",""),"may",""),"jun",""),"jul",""),"aug",""),"sep",""),"oct",""),"nov",""),"dec",""),"utc",""),"gmt",""),"myt",""),"bst",""),"rev",""),"ver",""),"b","a"),"c","a"),"d","a"),"e","a"),"f","a"),"g","a"),"h","a"),"i","a"),"j","a"),"k","a"),"l","a"),"m","a"),"n","a"),"o","a"),"p","a"),"q","a"),"r","a"),"s","a"),"t","a"),"u","a"),"v","a"),"w","a"),"x","a"),"y","a"),"z","a")</f>
        <v/>
      </c>
      <c r="BU113" s="61" t="str">
        <f aca="false">SUBSTITUTE(SUBSTITUTE(SUBSTITUTE(SUBSTITUTE(SUBSTITUTE(SUBSTITUTE(SUBSTITUTE(SUBSTITUTE(SUBSTITUTE(SUBSTITUTE(LEFT(BM113,FIND("0",BM113&amp;"0")-1),"-",""),"_",""),"/",""),".",""),"#",""),"\\",""),":","")," ",""),"(",""),")","")</f>
        <v/>
      </c>
      <c r="BV113" s="61" t="n">
        <f aca="false">0</f>
        <v>0</v>
      </c>
      <c r="BW1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113&amp;""),"a",""),"b",""),"c",""),"d",""),"e",""),"f",""),"g",""),"h",""),"i",""),"j",""),"k",""),"l",""),"m",""),"n",""),"o",""),"p",""),"q",""),"r",""),"s",""),"t",""),"u",""),"v",""),"w",""),"x",""),"y",""),"z",""),"-",""),"_",""),"/",""),".",""),"#",""),"\\",""),":","")," ",""),"(",""),")","")</f>
        <v/>
      </c>
      <c r="BX113" s="61" t="str">
        <f aca="false">SUBSTITUTE(SUBSTITUTE(SUBSTITUTE(SUBSTITUTE(SUBSTITUTE(SUBSTITUTE(SUBSTITUTE(SUBSTITUTE(SUBSTITUTE(SUBSTITUTE(SUBSTITUTE(BM113,"0",""),"-",""),"_",""),"/",""),".",""),"#",""),"\\",""),":","")," ",""),"(",""),")","")</f>
        <v/>
      </c>
      <c r="BY113" s="62" t="n">
        <f aca="false">Q113-T12EarlyH/24</f>
        <v>46304.6458333333</v>
      </c>
      <c r="BZ113" s="61" t="n">
        <f aca="false">IFERROR(IF(IF(TRIM(S113)="Link / file path",AND(LEN(TRIM(Z113))&gt;=5,SUMPRODUCT(--ISNUMBER(SEARCH({"http","www.","\\",":\",".pdf",".jpg",".jpeg",".png",".heic",".xls",".doc",".msg",".eml",".ppt",".txt",".zip"},Z113)))&gt;0),AND(ISERROR(FIND(" ",TRIM(Z113))),NOT(OR(SUMPRODUCT(--ISNUMBER(FIND({",",";","&amp;","+"},Z113)))&gt;0,SUMPRODUCT(--ISNUMBER(SEARCH({"0/aa","0\\aa"},BN113)))&gt;0)),NOT(SUMPRODUCT(--ISNUMBER(SEARCH({"http","www.","\\",":\",".pdf",".jpg",".jpeg",".png",".heic",".xls",".doc",".msg",".eml",".ppt",".txt",".zip"},Z113)))&gt;0),NOT(LOWER(TRIM(Z113))=LOWER(Flights!$F$8)),ISNA(MATCH(BU113,{"mh","rev","revision","ver","version","v","r","a","b","seat","tray","row","gate","bay","stand","page","pg","item","line","no","cart","galley","flight","flt","table","box","bag","oven","etd","eta","std","sta","atd","ata","qty","pax","x","time","tel","ph","mob","day","wk","week","utc","gmt","myt","lt"},0)),NOT(OR(ISNUMBER(MATCH(LEFT(BN113,255),{"0000a","000a","00a","0000aa","000aa","00aa","0aa","0000aaa","000aaa","00a00","0a00","0000-0000","00:00","a00","a0","00.00.0000","00/00/0000","00-00-0000","0000-00-00","0000/00/00","0000.00.00","00.00.00","00/00/00","00-00-00","0.00.0000","0/00/0000","0-00-0000"},0)),ISNUMBER(MATCH(LEFT(BT113,255),{"0000a","000a","00a","0000aa","000aa","00aa","0aa","0000aaa","000aaa","00a00","0a00","0000-0000","00:00","a00","a0","00.00.0000","00/00/0000","00-00-0000","0000-00-00","0000/00/00","0000.00.00","00.00.00","00/00/00","00-00-00","0.00.0000","0/00/0000","0-00-0000"},0)))),NOT(OR(AND(BW113&lt;&gt;"",SUBSTITUTE(BW113,"0","")=""),AND(LEN(BW113)&gt;=4,BW113=REPT(LEFT(BW113),LEN(BW113))),ISNUMBER(MATCH(BW113,{"123","1234","12345","123456","1234567","12345678","0123","01234","012345","98765","987654","54321"},0)),ISNUMBER(MATCH(BX113,{"x","xx","xxx","xxxx","xxxxx","abc","abcd","nil","na","nan","test","tbc","tba","tbd","dummy","sample","example","eg","zz","zzz","none","null","xyz","qwe","asd","id","ref"},0)),AND(LEN(BW113)=8,BX113="",OR(LEFT(BW113,3)="202",ISNUMBER(MATCH(RIGHT(BW113,4),{"2025","2026","2027"},0)))))),OR(AND((LEN(BT113)-LEN(SUBSTITUTE(BT113,"a","")))&gt;=1,(LEN(BN113)-LEN(SUBSTITUTE(BN113,"0","")))&gt;=2,SUMPRODUCT(--ISNUMBER(SEARCH({"a0","a-0","a_0","a/0","a.0","a#0","0a","0-a","0_a","0/a"},BN113)))&gt;0),AND((LEN(BN113)-LEN(SUBSTITUTE(BN113,"a","")))=0,(LEN(BN113)-LEN(SUBSTITUTE(BN113,"0","")))&gt;=5)))),1,0),0)</f>
        <v>0</v>
      </c>
      <c r="CA1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113,"revision",""),"version",""),"jan",""),"feb",""),"mar",""),"apr",""),"may",""),"jun",""),"jul",""),"aug",""),"sep",""),"oct",""),"nov",""),"dec",""),"utc",""),"gmt",""),"myt",""),"bst",""),"rev",""),"ver",""),"b","a"),"c","a"),"d","a"),"e","a"),"f","a"),"g","a"),"h","a"),"i","a"),"j","a"),"k","a"),"l","a"),"m","a"),"n","a"),"o","a"),"p","a"),"q","a"),"r","a"),"s","a"),"t","a"),"u","a"),"v","a"),"w","a"),"x","a"),"y","a"),"z","a")</f>
        <v/>
      </c>
      <c r="CB1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113&amp;""),"a",""),"b",""),"c",""),"d",""),"e",""),"f",""),"g",""),"h",""),"i",""),"j",""),"k",""),"l",""),"m",""),"n",""),"o",""),"p",""),"q",""),"r",""),"s",""),"t",""),"u",""),"v",""),"w",""),"x",""),"y",""),"z",""),"-",""),"_",""),"/",""),".",""),"#",""),"\\",""),":","")," ",""),"(",""),")","")</f>
        <v/>
      </c>
      <c r="CC113" s="0" t="str">
        <f aca="false">" "&amp;TRIM(SUBSTITUTE(SUBSTITUTE(SUBSTITUTE(SUBSTITUTE(SUBSTITUTE(SUBSTITUTE(SUBSTITUTE(SUBSTITUTE(SUBSTITUTE(SUBSTITUTE(SUBSTITUTE(SUBSTITUTE(SUBSTITUTE(SUBSTITUTE(SUBSTITUTE(SUBSTITUTE(SUBSTITUTE(SUBSTITUTE(SUBSTITUTE(SUBSTITUTE(SUBSTITUTE(SUBSTITUTE(SUBSTITUTE(SUBSTITUTE(LOWER(T113&amp;""),CHAR(10)," "),CHAR(13)," "),CHAR(9)," "),CHAR(160)," "),"."," "),","," "),"-"," "),"/"," "),"("," "),")"," "),":"," "),";"," "),"_"," "),"–"," "),"?"," "),"!"," "),"*"," "),"["," "),"]"," "),"'"," "),"#"," "),"+"," "),"&amp;"," "),"\"," "))&amp;" "</f>
        <v>  </v>
      </c>
      <c r="CD113" s="0" t="str">
        <f aca="false">" "&amp;TRIM(SUBSTITUTE(SUBSTITUTE(SUBSTITUTE(SUBSTITUTE(SUBSTITUTE(SUBSTITUTE(SUBSTITUTE(SUBSTITUTE(SUBSTITUTE(SUBSTITUTE(SUBSTITUTE(SUBSTITUTE(SUBSTITUTE(SUBSTITUTE(SUBSTITUTE(SUBSTITUTE(SUBSTITUTE(SUBSTITUTE(SUBSTITUTE(SUBSTITUTE(SUBSTITUTE(SUBSTITUTE(SUBSTITUTE(SUBSTITUTE(LOWER(AE113&amp;""),CHAR(10)," "),CHAR(13)," "),CHAR(9)," "),CHAR(160)," "),"."," "),","," "),"-"," "),"/"," "),"("," "),")"," "),":"," "),";"," "),"_"," "),"–"," "),"?"," "),"!"," "),"*"," "),"["," "),"]"," "),"'"," "),"#"," "),"+"," "),"&amp;"," "),"\"," "))&amp;" "</f>
        <v>  </v>
      </c>
      <c r="CE113" s="68" t="n">
        <f aca="false">IFERROR(IF(AND(LEN(AU113)&gt;0,LEN(AU113)=LEN(AX113),OR(TRIM(MID(SUBSTITUTE(TRIM(CC113)," ",REPT(" ",60)),1,60))="",ISNUMBER(SEARCH(" "&amp;TRIM(MID(SUBSTITUTE(TRIM(CC113)," ",REPT(" ",60)),1,60))&amp;" ",CD113))),OR(TRIM(MID(SUBSTITUTE(TRIM(CC113)," ",REPT(" ",60)),61,60))="",ISNUMBER(SEARCH(" "&amp;TRIM(MID(SUBSTITUTE(TRIM(CC113)," ",REPT(" ",60)),61,60))&amp;" ",CD113))),OR(TRIM(MID(SUBSTITUTE(TRIM(CC113)," ",REPT(" ",60)),121,60))="",ISNUMBER(SEARCH(" "&amp;TRIM(MID(SUBSTITUTE(TRIM(CC113)," ",REPT(" ",60)),121,60))&amp;" ",CD113)))),1,0),0)</f>
        <v>0</v>
      </c>
      <c r="CG113" s="68" t="n">
        <f aca="false">IFERROR(LEN(SUBSTITUTE(BF113," ",""))-SUMPRODUCT((LEN(BF113)-LEN(SUBSTITUTE(BF113," "&amp;L_NAFiller&amp;" "," ")))/(LEN(L_NAFiller)+1)*LEN(L_NAFiller)),0)</f>
        <v>0</v>
      </c>
    </row>
    <row r="114" customFormat="false" ht="54" hidden="false" customHeight="true" outlineLevel="0" collapsed="false">
      <c r="A114" s="57" t="s">
        <v>615</v>
      </c>
      <c r="B114" s="57" t="s">
        <v>218</v>
      </c>
      <c r="C114" s="57" t="str">
        <f aca="false">Flights!$F$8</f>
        <v>MH0088</v>
      </c>
      <c r="D114" s="58" t="n">
        <f aca="false">Flights!$D$8</f>
        <v>46305</v>
      </c>
      <c r="E114" s="57" t="str">
        <f aca="false">Flights!$G$8&amp;"-"&amp;Flights!$H$8</f>
        <v>KUL-NRT</v>
      </c>
      <c r="F114" s="57" t="str">
        <f aca="false">Flights!$K$8</f>
        <v>BC</v>
      </c>
      <c r="G114" s="57" t="s">
        <v>420</v>
      </c>
      <c r="H114" s="57" t="s">
        <v>378</v>
      </c>
      <c r="I114" s="57" t="s">
        <v>499</v>
      </c>
      <c r="J114" s="57" t="s">
        <v>518</v>
      </c>
      <c r="K114" s="67" t="s">
        <v>616</v>
      </c>
      <c r="L114" s="67" t="s">
        <v>617</v>
      </c>
      <c r="M114" s="67" t="s">
        <v>451</v>
      </c>
      <c r="N114" s="67" t="s">
        <v>383</v>
      </c>
      <c r="O114" s="67" t="s">
        <v>521</v>
      </c>
      <c r="P114" s="57" t="s">
        <v>187</v>
      </c>
      <c r="Q114" s="59" t="n">
        <f aca="false">ROUND((Flights!$AE$8)*1440,0)/1440</f>
        <v>46305.1458333333</v>
      </c>
      <c r="R114" s="59" t="n">
        <f aca="false">Q114+(IF(AND(INDEX(TZ_DSTS,MATCH(P114,TZ_STN,0))&lt;&gt;"",Q114&gt;=INDEX(TZ_DSTS,MATCH(P114,TZ_STN,0)),Q114&lt;INDEX(TZ_DSTE,MATCH(P114,TZ_STN,0))),INDEX(TZ_DST,MATCH(P114,TZ_STN,0)),INDEX(TZ_STD,MATCH(P114,TZ_STN,0))))/24</f>
        <v>46305.4791666667</v>
      </c>
      <c r="S114" s="60"/>
      <c r="T114" s="60"/>
      <c r="U114" s="60"/>
      <c r="V114" s="60"/>
      <c r="W114" s="61"/>
      <c r="X114" s="60"/>
      <c r="Y114" s="60"/>
      <c r="Z114" s="60"/>
      <c r="AA114" s="60"/>
      <c r="AB114" s="60"/>
      <c r="AC114" s="60"/>
      <c r="AD114" s="66"/>
      <c r="AE114" s="60"/>
      <c r="AF114" s="61" t="str">
        <f aca="false">IF(AND(ISNUMBER(X114),ISNUMBER(Y114)),Y114-X114,"")</f>
        <v/>
      </c>
      <c r="AG114" s="62" t="str">
        <f aca="false">IF(ISNUMBER(AD114),AD114-(IF(AND(INDEX(TZ_DSTS,MATCH(P114,TZ_STN,0))&lt;&gt;"",(AD114-INDEX(TZ_STD,MATCH(P114,TZ_STN,0))/24)&gt;=INDEX(TZ_DSTS,MATCH(P114,TZ_STN,0)),(AD114-INDEX(TZ_STD,MATCH(P114,TZ_STN,0))/24)&lt;INDEX(TZ_DSTE,MATCH(P114,TZ_STN,0))),INDEX(TZ_DST,MATCH(P114,TZ_STN,0)),INDEX(TZ_STD,MATCH(P114,TZ_STN,0))))/24,"")</f>
        <v/>
      </c>
      <c r="AH114" s="65" t="str">
        <f aca="false">IFERROR(IF(N114="N/A – rule",IF(OR(TRIM(U114)="",TRIM(U114)="N/A",TRIM(U114)="Not started"),"N/A – RULE","INVALID – this check does not apply to this aircraft: clear the status (or correct the fleet on Flights)"),IF(TRIM(U114)="N/A",IF(AT114=0,"INVALID – N/A not permitted for this check",IF(AND(TRIM(AB114)&lt;&gt;"",TRIM(AB114)&lt;&gt;"Closed"),"INVALID – corrective action still open",IF(AND(NOT(OR(LEN(AZ114)&lt;15,ISNUMBER(MATCH(AZ114,L_Placeholder,0)))),BK114=0,CG114&gt;=8,NOT(OR(LEN(AU114)&lt;2,ISNUMBER(MATCH(AU114,L_Placeholder,0)))),BR114&gt;=3,NOT(OR(LEN(AX114)&lt;2,ISNUMBER(MATCH(AX114,L_Placeholder,0)))),BS114&gt;=3,TRIM(AE114)&lt;&gt;TRIM(T114),AX114&lt;&gt;AU114,CE114=0),"N/A – JUSTIFIED","INVALID – N/A needs a real, settled reason (not 'not applicable' / 'as above' / TBC), a named PIC and a different named verifier"))),IF(OR(TRIM(U114)="Pass",TRIM(U114)="Pass after CA"),IF(NOT(ISNUMBER(AD114)),"INVALID – completion time missing",IF(OR(OR(LEN(AU114)&lt;2,ISNUMBER(MATCH(AU114,L_Placeholder,0))),BR114&lt;3),"INVALID – PIC missing or not a named person (a role such as QA / CSM is not a name)",IF(OR(LEN(AV114)&lt;2,ISNUMBER(MATCH(AV114,L_Placeholder,0))),"INVALID – result / assessment missing",IF(OR(OR(LEN(AW114)&lt;3,ISNUMBER(MATCH(AW114,L_Placeholder,0))),SUMPRODUCT(--ISNUMBER(SEARCH(" "&amp;L_EvidencePhrase&amp;" ",BD114)))&gt;0,BI114=1),"INVALID – evidence missing, placeholder or not yet on file",IF(ISNA(MATCH(TRIM(S114),L_EvidenceType,0)),"INVALID – choose the evidence type from the list (column S)",IF(BL114=0,"INVALID – evidence ID must be the record's own ID only (e.g. SF-2210, IMG_2231, 1045521); a link / file name needs type 'Link / file path'",IF(OR(OR(LEN(AX114)&lt;2,ISNUMBER(MATCH(AX114,L_Placeholder,0))),BS114&lt;3),"INVALID – verifier missing or not a named person (a role such as QA / CSM is not a name)",IF(OR(AX114=AU114,CE114=1,AND(LEN(AU114)&gt;=4,ISNUMBER(SEARCH(AU114,AX114))),AND(LEN(AX114)&gt;=4,ISNUMBER(SEARCH(AX114,AU114)))),"INVALID – verifier must be a different, named person (not the PIC or a role)",IF(BH114=1,"INVALID – result not yet available (awaiting / TBC)",IF(BG114=1,"INVALID – result describes a problem: record Fail, then Pass after CA (or reword if it is not a problem)",IF(BV114=1,"INVALID – wording says not on board: an on-board confirmation needs the item loaded",IF(AND(AQ114=1,OR(OR(LEN(AY114)&lt;3,ISNUMBER(MATCH(AY114,L_Placeholder,0))),BJ114=1,BQ114=0)),"INVALID – batch ID missing, placeholder or not an ID (e.g. PASB-261008-BC-017)",IF(AND(AR114=1,OR(NOT(ISNUMBER(X114)),NOT(ISNUMBER(Y114)))),"INVALID – expected/actual qty missing",IF(AND(AR114=1,OR(X114&lt;=0,Y114&lt;0)),"INVALID – expected qty must be above 0 and actual not negative",IF(BB114&lt;&gt;"",BB114,IF(AND(AS114=1,Documents!$J$8&lt;&gt;"ON FILE"),"INVALID – GLD not on file (Documents sheet)",IF(AND(AS114=2,Documents!$O$8&lt;&gt;"ON FILE"),"INVALID – menu checklist not on file (Documents sheet)",IF(AND(AS114=3,NOT(ISNUMBER(Flights!$AX$8))),"INVALID – enter carrying flight KUL departure (Flights AX)",IF(AND(AS114=3,OR(Flights!$AZ$8&gt;Flights!$AA$8,Flights!$AX$8&lt;Flights!$AA$8-3)),"INVALID – carrying flight (Flights AX) cannot arrive before this leg's STD, or is over 3 days early",IF(AG114&gt;AsOfUTC,"INVALID – completion time is in the future",IF(AND(ISNUMBER(BY114),AG114&lt;BY114),IF(H114="Physical uplift","INVALID – before uplift window (cannot confirm loading)","INVALID – before valid window"),IF(AG114&gt;Flights!$AA$8,"INVALID – completed after departure (cannot establish readiness)",IF(AND(H114="Preparation",AG114&gt;=IF(ISNUMBER(Flights!$BA$8),MIN(Flights!$BA$8,Flights!$AA$8),Flights!$AA$8)),"INVALID – completed after loading / departure (cannot establish readiness)",IF(AND(H114="Physical uplift",AG114&gt;Q114),"INVALID – recorded after the loading flight departed",IF(AG114&gt;Q114,"COMPLETE – LATE","COMPLETE"))))))))))))))))))))))))),IF(TRIM(U114)="Fail","FAIL – DISCREPANCY",IF(AND(TRIM(U114)&lt;&gt;"",TRIM(U114)&lt;&gt;"Not started",TRIM(U114)&lt;&gt;"In progress"),"INVALID – unrecognised status (use the list)",IF(AsOfUTC&gt;Q114,"OVERDUE",IF(N114="Clarification required","OPEN – CLARIFICATION","OPEN"))))))),"INVALID – error value in an input cell")</f>
        <v>OPEN</v>
      </c>
      <c r="AI114" s="61" t="n">
        <f aca="false">IF(OR(AH114="N/A – RULE",AH114="N/A – JUSTIFIED"),0,1)</f>
        <v>1</v>
      </c>
      <c r="AJ114" s="61" t="n">
        <f aca="false">IF(LEFT(AH114,8)="COMPLETE",1,0)</f>
        <v>0</v>
      </c>
      <c r="AK114" s="61" t="n">
        <f aca="false">IF(AND(AI114=1,AJ114=0,AsOfUTC&gt;Q114),1,0)</f>
        <v>0</v>
      </c>
      <c r="AL114" s="61" t="n">
        <f aca="false">IFERROR(IF(AND(AI114=1,OR(TRIM(U114)="Fail",AND(TRIM(AB114)&lt;&gt;"",TRIM(AB114)&lt;&gt;"Closed"),AND(ISNUMBER(AF114),AF114&lt;&gt;0,TRIM(U114)&lt;&gt;"Pass after CA"))),1,0),1)</f>
        <v>0</v>
      </c>
      <c r="AM114" s="61" t="n">
        <f aca="false">IF(LEFT(AH114,7)="INVALID",1,0)</f>
        <v>0</v>
      </c>
      <c r="AN114" s="61" t="n">
        <f aca="false">IF(AND(N114="Clarification required",AI114=1,AJ114=0),1,0)</f>
        <v>0</v>
      </c>
      <c r="AO114" s="61" t="str">
        <f aca="false">IF(AK114=1,SUM(AK$5:AK114),"")</f>
        <v/>
      </c>
      <c r="AP114" s="61" t="str">
        <f aca="false">IF(AL114=1,SUM(AL$5:AL114),"")</f>
        <v/>
      </c>
      <c r="AQ114" s="61" t="n">
        <v>0</v>
      </c>
      <c r="AR114" s="61" t="n">
        <v>0</v>
      </c>
      <c r="AS114" s="61" t="n">
        <v>0</v>
      </c>
      <c r="AT114" s="61" t="n">
        <v>0</v>
      </c>
      <c r="AU114" s="61" t="str">
        <f aca="false">SUBSTITUTE(SUBSTITUTE(SUBSTITUTE(SUBSTITUTE(SUBSTITUTE(SUBSTITUTE(SUBSTITUTE(SUBSTITUTE(SUBSTITUTE(SUBSTITUTE(SUBSTITUTE(SUBSTITUTE(SUBSTITUTE(SUBSTITUTE(SUBSTITUTE(SUBSTITUTE(LOWER(T114&amp;""),CHAR(10),""),CHAR(13),""),CHAR(9),""),CHAR(160),"")," ",""),".",""),"-",""),"/",""),"?",""),"_",""),",",""),"[",""),"]",""),"(",""),")",""),"*","")</f>
        <v/>
      </c>
      <c r="AV114" s="61" t="str">
        <f aca="false">SUBSTITUTE(SUBSTITUTE(SUBSTITUTE(SUBSTITUTE(SUBSTITUTE(SUBSTITUTE(SUBSTITUTE(SUBSTITUTE(SUBSTITUTE(SUBSTITUTE(SUBSTITUTE(SUBSTITUTE(SUBSTITUTE(SUBSTITUTE(SUBSTITUTE(SUBSTITUTE(LOWER(V114&amp;""),CHAR(10),""),CHAR(13),""),CHAR(9),""),CHAR(160),"")," ",""),".",""),"-",""),"/",""),"?",""),"_",""),",",""),"[",""),"]",""),"(",""),")",""),"*","")</f>
        <v/>
      </c>
      <c r="AW114" s="61" t="str">
        <f aca="false">SUBSTITUTE(SUBSTITUTE(SUBSTITUTE(SUBSTITUTE(SUBSTITUTE(SUBSTITUTE(SUBSTITUTE(SUBSTITUTE(SUBSTITUTE(SUBSTITUTE(SUBSTITUTE(SUBSTITUTE(SUBSTITUTE(SUBSTITUTE(SUBSTITUTE(SUBSTITUTE(LOWER(Z114&amp;""),CHAR(10),""),CHAR(13),""),CHAR(9),""),CHAR(160),"")," ",""),".",""),"-",""),"/",""),"?",""),"_",""),",",""),"[",""),"]",""),"(",""),")",""),"*","")</f>
        <v/>
      </c>
      <c r="AX114" s="61" t="str">
        <f aca="false">SUBSTITUTE(SUBSTITUTE(SUBSTITUTE(SUBSTITUTE(SUBSTITUTE(SUBSTITUTE(SUBSTITUTE(SUBSTITUTE(SUBSTITUTE(SUBSTITUTE(SUBSTITUTE(SUBSTITUTE(SUBSTITUTE(SUBSTITUTE(SUBSTITUTE(SUBSTITUTE(LOWER(AE114&amp;""),CHAR(10),""),CHAR(13),""),CHAR(9),""),CHAR(160),"")," ",""),".",""),"-",""),"/",""),"?",""),"_",""),",",""),"[",""),"]",""),"(",""),")",""),"*","")</f>
        <v/>
      </c>
      <c r="AY114" s="61" t="str">
        <f aca="false">SUBSTITUTE(SUBSTITUTE(SUBSTITUTE(SUBSTITUTE(SUBSTITUTE(SUBSTITUTE(SUBSTITUTE(SUBSTITUTE(SUBSTITUTE(SUBSTITUTE(SUBSTITUTE(SUBSTITUTE(SUBSTITUTE(SUBSTITUTE(SUBSTITUTE(SUBSTITUTE(LOWER(W114&amp;""),CHAR(10),""),CHAR(13),""),CHAR(9),""),CHAR(160),"")," ",""),".",""),"-",""),"/",""),"?",""),"_",""),",",""),"[",""),"]",""),"(",""),")",""),"*","")</f>
        <v/>
      </c>
      <c r="AZ114" s="61" t="str">
        <f aca="false">SUBSTITUTE(SUBSTITUTE(SUBSTITUTE(SUBSTITUTE(SUBSTITUTE(SUBSTITUTE(SUBSTITUTE(SUBSTITUTE(SUBSTITUTE(SUBSTITUTE(SUBSTITUTE(SUBSTITUTE(SUBSTITUTE(SUBSTITUTE(SUBSTITUTE(SUBSTITUTE(LOWER(AC114&amp;""),CHAR(10),""),CHAR(13),""),CHAR(9),""),CHAR(160),"")," ",""),".",""),"-",""),"/",""),"?",""),"_",""),",",""),"[",""),"]",""),"(",""),")",""),"*","")</f>
        <v/>
      </c>
      <c r="BA114" s="61" t="str">
        <f aca="false">SUBSTITUTE(SUBSTITUTE(SUBSTITUTE(SUBSTITUTE(SUBSTITUTE(SUBSTITUTE(SUBSTITUTE(SUBSTITUTE(SUBSTITUTE(SUBSTITUTE(SUBSTITUTE(SUBSTITUTE(SUBSTITUTE(SUBSTITUTE(SUBSTITUTE(SUBSTITUTE(LOWER(AA114&amp;""),CHAR(10),""),CHAR(13),""),CHAR(9),""),CHAR(160),"")," ",""),".",""),"-",""),"/",""),"?",""),"_",""),",",""),"[",""),"]",""),"(",""),")",""),"*","")</f>
        <v/>
      </c>
      <c r="BB114" s="61" t="str">
        <f aca="false">IF(AND(TRIM(U114)="Pass",ISNUMBER(AF114)),IF(AF114&lt;&gt;0,"INVALID – qty variance: use Fail or Pass after CA",""),"")&amp;IF(AND(TRIM(U114)="Pass after CA",ISNUMBER(AF114)),IF(AF114&lt;&gt;0,"INVALID – after the corrective action the actual qty must equal expected (update Actual)",""),"")&amp;IF(AND(TRIM(U114)="Pass",TRIM(AB114)&lt;&gt;"",TRIM(AB114)&lt;&gt;"Closed"),"INVALID – corrective action not closed: use Fail, then Pass after CA","")&amp;IF(AND(LEN(BA114)&gt;=2,ISNA(MATCH(LEFT(BA114,255),L_Placeholder,0)),TRIM(AB114)=""),"INVALID – CA status missing for the recorded corrective action","")&amp;IF(AND(TRIM(U114)="Pass after CA",OR(OR(LEN(BA114)&lt;5,ISNUMBER(MATCH(BA114,L_Placeholder,0))),TRIM(AB114)&lt;&gt;"Closed")),"INVALID – corrective action not recorded/closed","")</f>
        <v/>
      </c>
      <c r="BC114" s="61" t="str">
        <f aca="false">" "&amp;TRIM(SUBSTITUTE(SUBSTITUTE(SUBSTITUTE(SUBSTITUTE(SUBSTITUTE(SUBSTITUTE(SUBSTITUTE(SUBSTITUTE(SUBSTITUTE(SUBSTITUTE(SUBSTITUTE(SUBSTITUTE(SUBSTITUTE(SUBSTITUTE(SUBSTITUTE(SUBSTITUTE(SUBSTITUTE(SUBSTITUTE(SUBSTITUTE(SUBSTITUTE(SUBSTITUTE(SUBSTITUTE(SUBSTITUTE(SUBSTITUTE(LOWER(V114&amp;""),CHAR(10)," "),CHAR(13)," "),CHAR(9)," "),CHAR(160)," "),"."," "),","," "),"-"," "),"/"," "),"("," "),")"," "),":"," "),";"," "),"_"," "),"–"," "),"?"," "),"!"," "),"*"," "),"["," "),"]"," "),"'"," "),"#"," "),"+"," "),"&amp;"," "),"\"," "))&amp;" "</f>
        <v>  </v>
      </c>
      <c r="BD114" s="61" t="str">
        <f aca="false">" "&amp;TRIM(SUBSTITUTE(SUBSTITUTE(SUBSTITUTE(SUBSTITUTE(SUBSTITUTE(SUBSTITUTE(SUBSTITUTE(SUBSTITUTE(SUBSTITUTE(SUBSTITUTE(SUBSTITUTE(SUBSTITUTE(SUBSTITUTE(SUBSTITUTE(SUBSTITUTE(SUBSTITUTE(SUBSTITUTE(SUBSTITUTE(SUBSTITUTE(SUBSTITUTE(SUBSTITUTE(SUBSTITUTE(SUBSTITUTE(SUBSTITUTE(LOWER(Z114&amp;""),CHAR(10)," "),CHAR(13)," "),CHAR(9)," "),CHAR(160)," "),"."," "),","," "),"-"," "),"/"," "),"("," "),")"," "),":"," "),";"," "),"_"," "),"–"," "),"?"," "),"!"," "),"*"," "),"["," "),"]"," "),"'"," "),"#"," "),"+"," "),"&amp;"," "),"\"," "))&amp;" "</f>
        <v>  </v>
      </c>
      <c r="BE114" s="61" t="str">
        <f aca="false">" "&amp;TRIM(SUBSTITUTE(SUBSTITUTE(SUBSTITUTE(SUBSTITUTE(SUBSTITUTE(SUBSTITUTE(SUBSTITUTE(SUBSTITUTE(SUBSTITUTE(SUBSTITUTE(SUBSTITUTE(SUBSTITUTE(SUBSTITUTE(SUBSTITUTE(SUBSTITUTE(SUBSTITUTE(SUBSTITUTE(SUBSTITUTE(SUBSTITUTE(SUBSTITUTE(SUBSTITUTE(SUBSTITUTE(SUBSTITUTE(SUBSTITUTE(LOWER(W114&amp;""),CHAR(10)," "),CHAR(13)," "),CHAR(9)," "),CHAR(160)," "),"."," "),","," "),"-"," "),"/"," "),"("," "),")"," "),":"," "),";"," "),"_"," "),"–"," "),"?"," "),"!"," "),"*"," "),"["," "),"]"," "),"'"," "),"#"," "),"+"," "),"&amp;"," "),"\"," "))&amp;" "</f>
        <v>  </v>
      </c>
      <c r="BF114" s="61" t="str">
        <f aca="false">" "&amp;TRIM(SUBSTITUTE(SUBSTITUTE(SUBSTITUTE(SUBSTITUTE(SUBSTITUTE(SUBSTITUTE(SUBSTITUTE(SUBSTITUTE(SUBSTITUTE(SUBSTITUTE(SUBSTITUTE(SUBSTITUTE(SUBSTITUTE(SUBSTITUTE(SUBSTITUTE(SUBSTITUTE(SUBSTITUTE(SUBSTITUTE(SUBSTITUTE(SUBSTITUTE(SUBSTITUTE(SUBSTITUTE(SUBSTITUTE(SUBSTITUTE(LOWER(AC114&amp;""),CHAR(10)," "),CHAR(13)," "),CHAR(9)," "),CHAR(160)," "),"."," "),","," "),"-"," "),"/"," "),"("," "),")"," "),":"," "),";"," "),"_"," "),"–"," "),"?"," "),"!"," "),"*"," "),"["," "),"]"," "),"'"," "),"#"," "),"+"," "),"&amp;"," "),"\"," "))&amp;" "</f>
        <v>  </v>
      </c>
      <c r="BG114" s="61" t="n">
        <f aca="false">IFERROR(IF(AND(TRIM(U114)="Pass",SUMPRODUCT((LEN(BC114)-LEN(SUBSTITUTE(BC114," "&amp;L_ResultBad&amp;" "," ")))/(LEN(L_ResultBad)+1))&gt;SUMPRODUCT((LEN(BC114)-LEN(SUBSTITUTE(BC114," "&amp;L_NegPhrase&amp;" "," ")))/(LEN(L_NegPhrase)+1))),1,0),0)</f>
        <v>0</v>
      </c>
      <c r="BH114" s="61" t="n">
        <f aca="false">IFERROR(IF(SUMPRODUCT((LEN(BC114)-LEN(SUBSTITUTE(BC114," "&amp;L_Pending&amp;" "," ")))/(LEN(L_Pending)+1))&gt;SUMPRODUCT((LEN(BC114)-LEN(SUBSTITUTE(BC114," "&amp;L_PendNeg&amp;" "," ")))/(LEN(L_PendNeg)+1))+SUMPRODUCT((LEN(BC114)-LEN(SUBSTITUTE(BC114," "&amp;L_PendPrep&amp;" "," ")))/(LEN(L_PendPrep)+1)),1,0),1)</f>
        <v>0</v>
      </c>
      <c r="BI114" s="61" t="n">
        <f aca="false">IFERROR(IF(SUMPRODUCT((LEN(BD114)-LEN(SUBSTITUTE(BD114," "&amp;L_PendStrict&amp;" "," ")))/(LEN(L_PendStrict)+1))&gt;SUMPRODUCT((LEN(BD114)-LEN(SUBSTITUTE(BD114," "&amp;L_PendNeg&amp;" "," ")))/(LEN(L_PendNeg)+1)),1,0),1)</f>
        <v>0</v>
      </c>
      <c r="BJ114" s="61" t="n">
        <f aca="false">IFERROR(IF(SUMPRODUCT((LEN(BE114)-LEN(SUBSTITUTE(BE114," "&amp;L_Pending&amp;" "," ")))/(LEN(L_Pending)+1))&gt;SUMPRODUCT((LEN(BE114)-LEN(SUBSTITUTE(BE114," "&amp;L_PendNeg&amp;" "," ")))/(LEN(L_PendNeg)+1))+SUMPRODUCT((LEN(BE114)-LEN(SUBSTITUTE(BE114," "&amp;L_PendPrep&amp;" "," ")))/(LEN(L_PendPrep)+1)),1,0),1)</f>
        <v>0</v>
      </c>
      <c r="BK114" s="61" t="n">
        <f aca="false">IFERROR(IF(SUMPRODUCT((LEN(BF114)-LEN(SUBSTITUTE(BF114," "&amp;L_PendStrict&amp;" "," ")))/(LEN(L_PendStrict)+1))&gt;SUMPRODUCT((LEN(BF114)-LEN(SUBSTITUTE(BF114," "&amp;L_PendNeg&amp;" "," ")))/(LEN(L_PendNeg)+1)),1,0),1)</f>
        <v>0</v>
      </c>
      <c r="BL114" s="61" t="n">
        <f aca="false">IF(ISNA(MATCH(TRIM(S114),L_EvidenceType,0)),0,BZ114)</f>
        <v>0</v>
      </c>
      <c r="BM114" s="61" t="str">
        <f aca="false">SUBSTITUTE(SUBSTITUTE(SUBSTITUTE(SUBSTITUTE(SUBSTITUTE(SUBSTITUTE(SUBSTITUTE(SUBSTITUTE(SUBSTITUTE(LOWER(Z114&amp;""),"1","0"),"2","0"),"3","0"),"4","0"),"5","0"),"6","0"),"7","0"),"8","0"),"9","0")</f>
        <v/>
      </c>
      <c r="BN114" s="61" t="str">
        <f aca="false">SUBSTITUTE(SUBSTITUTE(SUBSTITUTE(SUBSTITUTE(SUBSTITUTE(SUBSTITUTE(SUBSTITUTE(SUBSTITUTE(SUBSTITUTE(SUBSTITUTE(SUBSTITUTE(SUBSTITUTE(SUBSTITUTE(SUBSTITUTE(SUBSTITUTE(SUBSTITUTE(SUBSTITUTE(SUBSTITUTE(SUBSTITUTE(SUBSTITUTE(SUBSTITUTE(SUBSTITUTE(SUBSTITUTE(SUBSTITUTE(SUBSTITUTE(BM114,"b","a"),"c","a"),"d","a"),"e","a"),"f","a"),"g","a"),"h","a"),"i","a"),"j","a"),"k","a"),"l","a"),"m","a"),"n","a"),"o","a"),"p","a"),"q","a"),"r","a"),"s","a"),"t","a"),"u","a"),"v","a"),"w","a"),"x","a"),"y","a"),"z","a")</f>
        <v/>
      </c>
      <c r="BO114" s="61" t="str">
        <f aca="false">SUBSTITUTE(SUBSTITUTE(SUBSTITUTE(SUBSTITUTE(SUBSTITUTE(SUBSTITUTE(SUBSTITUTE(SUBSTITUTE(SUBSTITUTE(LOWER(W114&amp;""),"1","0"),"2","0"),"3","0"),"4","0"),"5","0"),"6","0"),"7","0"),"8","0"),"9","0")</f>
        <v/>
      </c>
      <c r="BP114" s="61" t="str">
        <f aca="false">SUBSTITUTE(SUBSTITUTE(SUBSTITUTE(SUBSTITUTE(SUBSTITUTE(SUBSTITUTE(SUBSTITUTE(SUBSTITUTE(SUBSTITUTE(SUBSTITUTE(SUBSTITUTE(SUBSTITUTE(SUBSTITUTE(SUBSTITUTE(SUBSTITUTE(SUBSTITUTE(SUBSTITUTE(SUBSTITUTE(SUBSTITUTE(SUBSTITUTE(SUBSTITUTE(SUBSTITUTE(SUBSTITUTE(SUBSTITUTE(SUBSTITUTE(BO114,"b","a"),"c","a"),"d","a"),"e","a"),"f","a"),"g","a"),"h","a"),"i","a"),"j","a"),"k","a"),"l","a"),"m","a"),"n","a"),"o","a"),"p","a"),"q","a"),"r","a"),"s","a"),"t","a"),"u","a"),"v","a"),"w","a"),"x","a"),"y","a"),"z","a")</f>
        <v/>
      </c>
      <c r="BQ114" s="61" t="n">
        <f aca="false">IFERROR(IF(AND(ISERROR(SEARCH(" mh"," "&amp;LOWER(W114))),ISNA(MATCH(LEFT(TRIM(BP114),255),{"0000a","000a","00a","0000aa","000aa","00aa","0aa","0000aaa","000aaa","00a00","0a00","0000-0000","00:00","a00","a0","00.00.0000","00/00/0000","00-00-0000","0000-00-00","0000/00/00","0000.00.00","00.00.00","00/00/00","00-00-00","0.00.0000","0/00/0000","0-00-0000"},0)),ISNA(MATCH(LEFT(TRIM(CA114),255),{"0000a","000a","00a","0000aa","000aa","00aa","0aa","0000aaa","000aaa","00a00","0a00","0000-0000","00:00","a00","a0","00.00.0000","00/00/0000","00-00-0000","0000-00-00","0000/00/00","0000.00.00","00.00.00","00/00/00","00-00-00","0.00.0000","0/00/0000","0-00-0000"},0)),LEN(CB114)&gt;=3,NOT(OR(SUBSTITUTE(CB114,"0","")="",AND(LEN(CB114)&gt;=4,CB114=REPT(LEFT(CB114),LEN(CB114))),ISNUMBER(MATCH(CB114,{"123","1234","12345","123456","1234567","12345678","0123","01234","012345","98765","987654","54321"},0)),AND(LEN(CB114)=8,LEFT(CB114,3)="202"))),OR(AND((LEN(CA114)-LEN(SUBSTITUTE(CA114,"a","")))&gt;=1,SUMPRODUCT(--ISNUMBER(SEARCH({"a0","a-0","a_0","a/0","a.0","a#0","0a","0-a","0_a","0/a"},BP114)))&gt;0),ISNUMBER(SEARCH("000000",BP114)))),1,0),0)</f>
        <v>0</v>
      </c>
      <c r="BR114" s="61" t="n">
        <f aca="false">IFERROR(LEN(SUBSTITUTE(CC114," ",""))-SUMPRODUCT((LEN(CC114)-LEN(SUBSTITUTE(CC114," "&amp;L_Role&amp;" "," ")))/(LEN(L_Role)+1)*LEN(L_Role)),0)</f>
        <v>0</v>
      </c>
      <c r="BS114" s="61" t="n">
        <f aca="false">IFERROR(LEN(SUBSTITUTE(CD114," ",""))-SUMPRODUCT((LEN(CD114)-LEN(SUBSTITUTE(CD114," "&amp;L_Role&amp;" "," ")))/(LEN(L_Role)+1)*LEN(L_Role)),0)</f>
        <v>0</v>
      </c>
      <c r="BT1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114,"revision",""),"version",""),"jan",""),"feb",""),"mar",""),"apr",""),"may",""),"jun",""),"jul",""),"aug",""),"sep",""),"oct",""),"nov",""),"dec",""),"utc",""),"gmt",""),"myt",""),"bst",""),"rev",""),"ver",""),"b","a"),"c","a"),"d","a"),"e","a"),"f","a"),"g","a"),"h","a"),"i","a"),"j","a"),"k","a"),"l","a"),"m","a"),"n","a"),"o","a"),"p","a"),"q","a"),"r","a"),"s","a"),"t","a"),"u","a"),"v","a"),"w","a"),"x","a"),"y","a"),"z","a")</f>
        <v/>
      </c>
      <c r="BU114" s="61" t="str">
        <f aca="false">SUBSTITUTE(SUBSTITUTE(SUBSTITUTE(SUBSTITUTE(SUBSTITUTE(SUBSTITUTE(SUBSTITUTE(SUBSTITUTE(SUBSTITUTE(SUBSTITUTE(LEFT(BM114,FIND("0",BM114&amp;"0")-1),"-",""),"_",""),"/",""),".",""),"#",""),"\\",""),":","")," ",""),"(",""),")","")</f>
        <v/>
      </c>
      <c r="BV114" s="61" t="n">
        <f aca="false">0</f>
        <v>0</v>
      </c>
      <c r="BW1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114&amp;""),"a",""),"b",""),"c",""),"d",""),"e",""),"f",""),"g",""),"h",""),"i",""),"j",""),"k",""),"l",""),"m",""),"n",""),"o",""),"p",""),"q",""),"r",""),"s",""),"t",""),"u",""),"v",""),"w",""),"x",""),"y",""),"z",""),"-",""),"_",""),"/",""),".",""),"#",""),"\\",""),":","")," ",""),"(",""),")","")</f>
        <v/>
      </c>
      <c r="BX114" s="61" t="str">
        <f aca="false">SUBSTITUTE(SUBSTITUTE(SUBSTITUTE(SUBSTITUTE(SUBSTITUTE(SUBSTITUTE(SUBSTITUTE(SUBSTITUTE(SUBSTITUTE(SUBSTITUTE(SUBSTITUTE(BM114,"0",""),"-",""),"_",""),"/",""),".",""),"#",""),"\\",""),":","")," ",""),"(",""),")","")</f>
        <v/>
      </c>
      <c r="BY114" s="62" t="n">
        <f aca="false">Q114-T12EarlyH/24</f>
        <v>46304.6458333333</v>
      </c>
      <c r="BZ114" s="61" t="n">
        <f aca="false">IFERROR(IF(IF(TRIM(S114)="Link / file path",AND(LEN(TRIM(Z114))&gt;=5,SUMPRODUCT(--ISNUMBER(SEARCH({"http","www.","\\",":\",".pdf",".jpg",".jpeg",".png",".heic",".xls",".doc",".msg",".eml",".ppt",".txt",".zip"},Z114)))&gt;0),AND(ISERROR(FIND(" ",TRIM(Z114))),NOT(OR(SUMPRODUCT(--ISNUMBER(FIND({",",";","&amp;","+"},Z114)))&gt;0,SUMPRODUCT(--ISNUMBER(SEARCH({"0/aa","0\\aa"},BN114)))&gt;0)),NOT(SUMPRODUCT(--ISNUMBER(SEARCH({"http","www.","\\",":\",".pdf",".jpg",".jpeg",".png",".heic",".xls",".doc",".msg",".eml",".ppt",".txt",".zip"},Z114)))&gt;0),NOT(LOWER(TRIM(Z114))=LOWER(Flights!$F$8)),ISNA(MATCH(BU114,{"mh","rev","revision","ver","version","v","r","a","b","seat","tray","row","gate","bay","stand","page","pg","item","line","no","cart","galley","flight","flt","table","box","bag","oven","etd","eta","std","sta","atd","ata","qty","pax","x","time","tel","ph","mob","day","wk","week","utc","gmt","myt","lt"},0)),NOT(OR(ISNUMBER(MATCH(LEFT(BN114,255),{"0000a","000a","00a","0000aa","000aa","00aa","0aa","0000aaa","000aaa","00a00","0a00","0000-0000","00:00","a00","a0","00.00.0000","00/00/0000","00-00-0000","0000-00-00","0000/00/00","0000.00.00","00.00.00","00/00/00","00-00-00","0.00.0000","0/00/0000","0-00-0000"},0)),ISNUMBER(MATCH(LEFT(BT114,255),{"0000a","000a","00a","0000aa","000aa","00aa","0aa","0000aaa","000aaa","00a00","0a00","0000-0000","00:00","a00","a0","00.00.0000","00/00/0000","00-00-0000","0000-00-00","0000/00/00","0000.00.00","00.00.00","00/00/00","00-00-00","0.00.0000","0/00/0000","0-00-0000"},0)))),NOT(OR(AND(BW114&lt;&gt;"",SUBSTITUTE(BW114,"0","")=""),AND(LEN(BW114)&gt;=4,BW114=REPT(LEFT(BW114),LEN(BW114))),ISNUMBER(MATCH(BW114,{"123","1234","12345","123456","1234567","12345678","0123","01234","012345","98765","987654","54321"},0)),ISNUMBER(MATCH(BX114,{"x","xx","xxx","xxxx","xxxxx","abc","abcd","nil","na","nan","test","tbc","tba","tbd","dummy","sample","example","eg","zz","zzz","none","null","xyz","qwe","asd","id","ref"},0)),AND(LEN(BW114)=8,BX114="",OR(LEFT(BW114,3)="202",ISNUMBER(MATCH(RIGHT(BW114,4),{"2025","2026","2027"},0)))))),OR(AND((LEN(BT114)-LEN(SUBSTITUTE(BT114,"a","")))&gt;=1,(LEN(BN114)-LEN(SUBSTITUTE(BN114,"0","")))&gt;=2,SUMPRODUCT(--ISNUMBER(SEARCH({"a0","a-0","a_0","a/0","a.0","a#0","0a","0-a","0_a","0/a"},BN114)))&gt;0),AND((LEN(BN114)-LEN(SUBSTITUTE(BN114,"a","")))=0,(LEN(BN114)-LEN(SUBSTITUTE(BN114,"0","")))&gt;=5)))),1,0),0)</f>
        <v>0</v>
      </c>
      <c r="CA1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114,"revision",""),"version",""),"jan",""),"feb",""),"mar",""),"apr",""),"may",""),"jun",""),"jul",""),"aug",""),"sep",""),"oct",""),"nov",""),"dec",""),"utc",""),"gmt",""),"myt",""),"bst",""),"rev",""),"ver",""),"b","a"),"c","a"),"d","a"),"e","a"),"f","a"),"g","a"),"h","a"),"i","a"),"j","a"),"k","a"),"l","a"),"m","a"),"n","a"),"o","a"),"p","a"),"q","a"),"r","a"),"s","a"),"t","a"),"u","a"),"v","a"),"w","a"),"x","a"),"y","a"),"z","a")</f>
        <v/>
      </c>
      <c r="CB1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114&amp;""),"a",""),"b",""),"c",""),"d",""),"e",""),"f",""),"g",""),"h",""),"i",""),"j",""),"k",""),"l",""),"m",""),"n",""),"o",""),"p",""),"q",""),"r",""),"s",""),"t",""),"u",""),"v",""),"w",""),"x",""),"y",""),"z",""),"-",""),"_",""),"/",""),".",""),"#",""),"\\",""),":","")," ",""),"(",""),")","")</f>
        <v/>
      </c>
      <c r="CC114" s="0" t="str">
        <f aca="false">" "&amp;TRIM(SUBSTITUTE(SUBSTITUTE(SUBSTITUTE(SUBSTITUTE(SUBSTITUTE(SUBSTITUTE(SUBSTITUTE(SUBSTITUTE(SUBSTITUTE(SUBSTITUTE(SUBSTITUTE(SUBSTITUTE(SUBSTITUTE(SUBSTITUTE(SUBSTITUTE(SUBSTITUTE(SUBSTITUTE(SUBSTITUTE(SUBSTITUTE(SUBSTITUTE(SUBSTITUTE(SUBSTITUTE(SUBSTITUTE(SUBSTITUTE(LOWER(T114&amp;""),CHAR(10)," "),CHAR(13)," "),CHAR(9)," "),CHAR(160)," "),"."," "),","," "),"-"," "),"/"," "),"("," "),")"," "),":"," "),";"," "),"_"," "),"–"," "),"?"," "),"!"," "),"*"," "),"["," "),"]"," "),"'"," "),"#"," "),"+"," "),"&amp;"," "),"\"," "))&amp;" "</f>
        <v>  </v>
      </c>
      <c r="CD114" s="0" t="str">
        <f aca="false">" "&amp;TRIM(SUBSTITUTE(SUBSTITUTE(SUBSTITUTE(SUBSTITUTE(SUBSTITUTE(SUBSTITUTE(SUBSTITUTE(SUBSTITUTE(SUBSTITUTE(SUBSTITUTE(SUBSTITUTE(SUBSTITUTE(SUBSTITUTE(SUBSTITUTE(SUBSTITUTE(SUBSTITUTE(SUBSTITUTE(SUBSTITUTE(SUBSTITUTE(SUBSTITUTE(SUBSTITUTE(SUBSTITUTE(SUBSTITUTE(SUBSTITUTE(LOWER(AE114&amp;""),CHAR(10)," "),CHAR(13)," "),CHAR(9)," "),CHAR(160)," "),"."," "),","," "),"-"," "),"/"," "),"("," "),")"," "),":"," "),";"," "),"_"," "),"–"," "),"?"," "),"!"," "),"*"," "),"["," "),"]"," "),"'"," "),"#"," "),"+"," "),"&amp;"," "),"\"," "))&amp;" "</f>
        <v>  </v>
      </c>
      <c r="CE114" s="68" t="n">
        <f aca="false">IFERROR(IF(AND(LEN(AU114)&gt;0,LEN(AU114)=LEN(AX114),OR(TRIM(MID(SUBSTITUTE(TRIM(CC114)," ",REPT(" ",60)),1,60))="",ISNUMBER(SEARCH(" "&amp;TRIM(MID(SUBSTITUTE(TRIM(CC114)," ",REPT(" ",60)),1,60))&amp;" ",CD114))),OR(TRIM(MID(SUBSTITUTE(TRIM(CC114)," ",REPT(" ",60)),61,60))="",ISNUMBER(SEARCH(" "&amp;TRIM(MID(SUBSTITUTE(TRIM(CC114)," ",REPT(" ",60)),61,60))&amp;" ",CD114))),OR(TRIM(MID(SUBSTITUTE(TRIM(CC114)," ",REPT(" ",60)),121,60))="",ISNUMBER(SEARCH(" "&amp;TRIM(MID(SUBSTITUTE(TRIM(CC114)," ",REPT(" ",60)),121,60))&amp;" ",CD114)))),1,0),0)</f>
        <v>0</v>
      </c>
      <c r="CG114" s="68" t="n">
        <f aca="false">IFERROR(LEN(SUBSTITUTE(BF114," ",""))-SUMPRODUCT((LEN(BF114)-LEN(SUBSTITUTE(BF114," "&amp;L_NAFiller&amp;" "," ")))/(LEN(L_NAFiller)+1)*LEN(L_NAFiller)),0)</f>
        <v>0</v>
      </c>
    </row>
    <row r="115" customFormat="false" ht="41.25" hidden="false" customHeight="true" outlineLevel="0" collapsed="false">
      <c r="A115" s="57" t="s">
        <v>618</v>
      </c>
      <c r="B115" s="57" t="s">
        <v>218</v>
      </c>
      <c r="C115" s="57" t="str">
        <f aca="false">Flights!$F$8</f>
        <v>MH0088</v>
      </c>
      <c r="D115" s="58" t="n">
        <f aca="false">Flights!$D$8</f>
        <v>46305</v>
      </c>
      <c r="E115" s="57" t="str">
        <f aca="false">Flights!$G$8&amp;"-"&amp;Flights!$H$8</f>
        <v>KUL-NRT</v>
      </c>
      <c r="F115" s="57" t="str">
        <f aca="false">Flights!$K$8</f>
        <v>BC</v>
      </c>
      <c r="G115" s="57" t="s">
        <v>420</v>
      </c>
      <c r="H115" s="57" t="s">
        <v>378</v>
      </c>
      <c r="I115" s="57" t="s">
        <v>499</v>
      </c>
      <c r="J115" s="57" t="s">
        <v>523</v>
      </c>
      <c r="K115" s="67" t="s">
        <v>501</v>
      </c>
      <c r="L115" s="67" t="s">
        <v>619</v>
      </c>
      <c r="M115" s="67" t="s">
        <v>451</v>
      </c>
      <c r="N115" s="67" t="s">
        <v>383</v>
      </c>
      <c r="O115" s="67" t="s">
        <v>503</v>
      </c>
      <c r="P115" s="57" t="s">
        <v>187</v>
      </c>
      <c r="Q115" s="59" t="n">
        <f aca="false">ROUND((Flights!$AE$8)*1440,0)/1440</f>
        <v>46305.1458333333</v>
      </c>
      <c r="R115" s="59" t="n">
        <f aca="false">Q115+(IF(AND(INDEX(TZ_DSTS,MATCH(P115,TZ_STN,0))&lt;&gt;"",Q115&gt;=INDEX(TZ_DSTS,MATCH(P115,TZ_STN,0)),Q115&lt;INDEX(TZ_DSTE,MATCH(P115,TZ_STN,0))),INDEX(TZ_DST,MATCH(P115,TZ_STN,0)),INDEX(TZ_STD,MATCH(P115,TZ_STN,0))))/24</f>
        <v>46305.4791666667</v>
      </c>
      <c r="S115" s="60"/>
      <c r="T115" s="60"/>
      <c r="U115" s="60"/>
      <c r="V115" s="60"/>
      <c r="W115" s="61"/>
      <c r="X115" s="60"/>
      <c r="Y115" s="60"/>
      <c r="Z115" s="60"/>
      <c r="AA115" s="60"/>
      <c r="AB115" s="60"/>
      <c r="AC115" s="60"/>
      <c r="AD115" s="66"/>
      <c r="AE115" s="60"/>
      <c r="AF115" s="61" t="str">
        <f aca="false">IF(AND(ISNUMBER(X115),ISNUMBER(Y115)),Y115-X115,"")</f>
        <v/>
      </c>
      <c r="AG115" s="62" t="str">
        <f aca="false">IF(ISNUMBER(AD115),AD115-(IF(AND(INDEX(TZ_DSTS,MATCH(P115,TZ_STN,0))&lt;&gt;"",(AD115-INDEX(TZ_STD,MATCH(P115,TZ_STN,0))/24)&gt;=INDEX(TZ_DSTS,MATCH(P115,TZ_STN,0)),(AD115-INDEX(TZ_STD,MATCH(P115,TZ_STN,0))/24)&lt;INDEX(TZ_DSTE,MATCH(P115,TZ_STN,0))),INDEX(TZ_DST,MATCH(P115,TZ_STN,0)),INDEX(TZ_STD,MATCH(P115,TZ_STN,0))))/24,"")</f>
        <v/>
      </c>
      <c r="AH115" s="65" t="str">
        <f aca="false">IFERROR(IF(N115="N/A – rule",IF(OR(TRIM(U115)="",TRIM(U115)="N/A",TRIM(U115)="Not started"),"N/A – RULE","INVALID – this check does not apply to this aircraft: clear the status (or correct the fleet on Flights)"),IF(TRIM(U115)="N/A",IF(AT115=0,"INVALID – N/A not permitted for this check",IF(AND(TRIM(AB115)&lt;&gt;"",TRIM(AB115)&lt;&gt;"Closed"),"INVALID – corrective action still open",IF(AND(NOT(OR(LEN(AZ115)&lt;15,ISNUMBER(MATCH(AZ115,L_Placeholder,0)))),BK115=0,CG115&gt;=8,NOT(OR(LEN(AU115)&lt;2,ISNUMBER(MATCH(AU115,L_Placeholder,0)))),BR115&gt;=3,NOT(OR(LEN(AX115)&lt;2,ISNUMBER(MATCH(AX115,L_Placeholder,0)))),BS115&gt;=3,TRIM(AE115)&lt;&gt;TRIM(T115),AX115&lt;&gt;AU115,CE115=0),"N/A – JUSTIFIED","INVALID – N/A needs a real, settled reason (not 'not applicable' / 'as above' / TBC), a named PIC and a different named verifier"))),IF(OR(TRIM(U115)="Pass",TRIM(U115)="Pass after CA"),IF(NOT(ISNUMBER(AD115)),"INVALID – completion time missing",IF(OR(OR(LEN(AU115)&lt;2,ISNUMBER(MATCH(AU115,L_Placeholder,0))),BR115&lt;3),"INVALID – PIC missing or not a named person (a role such as QA / CSM is not a name)",IF(OR(LEN(AV115)&lt;2,ISNUMBER(MATCH(AV115,L_Placeholder,0))),"INVALID – result / assessment missing",IF(OR(OR(LEN(AW115)&lt;3,ISNUMBER(MATCH(AW115,L_Placeholder,0))),SUMPRODUCT(--ISNUMBER(SEARCH(" "&amp;L_EvidencePhrase&amp;" ",BD115)))&gt;0,BI115=1),"INVALID – evidence missing, placeholder or not yet on file",IF(ISNA(MATCH(TRIM(S115),L_EvidenceType,0)),"INVALID – choose the evidence type from the list (column S)",IF(BL115=0,"INVALID – evidence ID must be the record's own ID only (e.g. SF-2210, IMG_2231, 1045521); a link / file name needs type 'Link / file path'",IF(OR(OR(LEN(AX115)&lt;2,ISNUMBER(MATCH(AX115,L_Placeholder,0))),BS115&lt;3),"INVALID – verifier missing or not a named person (a role such as QA / CSM is not a name)",IF(OR(AX115=AU115,CE115=1,AND(LEN(AU115)&gt;=4,ISNUMBER(SEARCH(AU115,AX115))),AND(LEN(AX115)&gt;=4,ISNUMBER(SEARCH(AX115,AU115)))),"INVALID – verifier must be a different, named person (not the PIC or a role)",IF(BH115=1,"INVALID – result not yet available (awaiting / TBC)",IF(BG115=1,"INVALID – result describes a problem: record Fail, then Pass after CA (or reword if it is not a problem)",IF(BV115=1,"INVALID – wording says not on board: an on-board confirmation needs the item loaded",IF(AND(AQ115=1,OR(OR(LEN(AY115)&lt;3,ISNUMBER(MATCH(AY115,L_Placeholder,0))),BJ115=1,BQ115=0)),"INVALID – batch ID missing, placeholder or not an ID (e.g. PASB-261008-BC-017)",IF(AND(AR115=1,OR(NOT(ISNUMBER(X115)),NOT(ISNUMBER(Y115)))),"INVALID – expected/actual qty missing",IF(AND(AR115=1,OR(X115&lt;=0,Y115&lt;0)),"INVALID – expected qty must be above 0 and actual not negative",IF(BB115&lt;&gt;"",BB115,IF(AND(AS115=1,Documents!$J$8&lt;&gt;"ON FILE"),"INVALID – GLD not on file (Documents sheet)",IF(AND(AS115=2,Documents!$O$8&lt;&gt;"ON FILE"),"INVALID – menu checklist not on file (Documents sheet)",IF(AND(AS115=3,NOT(ISNUMBER(Flights!$AX$8))),"INVALID – enter carrying flight KUL departure (Flights AX)",IF(AND(AS115=3,OR(Flights!$AZ$8&gt;Flights!$AA$8,Flights!$AX$8&lt;Flights!$AA$8-3)),"INVALID – carrying flight (Flights AX) cannot arrive before this leg's STD, or is over 3 days early",IF(AG115&gt;AsOfUTC,"INVALID – completion time is in the future",IF(AND(ISNUMBER(BY115),AG115&lt;BY115),IF(H115="Physical uplift","INVALID – before uplift window (cannot confirm loading)","INVALID – before valid window"),IF(AG115&gt;Flights!$AA$8,"INVALID – completed after departure (cannot establish readiness)",IF(AND(H115="Preparation",AG115&gt;=IF(ISNUMBER(Flights!$BA$8),MIN(Flights!$BA$8,Flights!$AA$8),Flights!$AA$8)),"INVALID – completed after loading / departure (cannot establish readiness)",IF(AND(H115="Physical uplift",AG115&gt;Q115),"INVALID – recorded after the loading flight departed",IF(AG115&gt;Q115,"COMPLETE – LATE","COMPLETE"))))))))))))))))))))))))),IF(TRIM(U115)="Fail","FAIL – DISCREPANCY",IF(AND(TRIM(U115)&lt;&gt;"",TRIM(U115)&lt;&gt;"Not started",TRIM(U115)&lt;&gt;"In progress"),"INVALID – unrecognised status (use the list)",IF(AsOfUTC&gt;Q115,"OVERDUE",IF(N115="Clarification required","OPEN – CLARIFICATION","OPEN"))))))),"INVALID – error value in an input cell")</f>
        <v>OPEN</v>
      </c>
      <c r="AI115" s="61" t="n">
        <f aca="false">IF(OR(AH115="N/A – RULE",AH115="N/A – JUSTIFIED"),0,1)</f>
        <v>1</v>
      </c>
      <c r="AJ115" s="61" t="n">
        <f aca="false">IF(LEFT(AH115,8)="COMPLETE",1,0)</f>
        <v>0</v>
      </c>
      <c r="AK115" s="61" t="n">
        <f aca="false">IF(AND(AI115=1,AJ115=0,AsOfUTC&gt;Q115),1,0)</f>
        <v>0</v>
      </c>
      <c r="AL115" s="61" t="n">
        <f aca="false">IFERROR(IF(AND(AI115=1,OR(TRIM(U115)="Fail",AND(TRIM(AB115)&lt;&gt;"",TRIM(AB115)&lt;&gt;"Closed"),AND(ISNUMBER(AF115),AF115&lt;&gt;0,TRIM(U115)&lt;&gt;"Pass after CA"))),1,0),1)</f>
        <v>0</v>
      </c>
      <c r="AM115" s="61" t="n">
        <f aca="false">IF(LEFT(AH115,7)="INVALID",1,0)</f>
        <v>0</v>
      </c>
      <c r="AN115" s="61" t="n">
        <f aca="false">IF(AND(N115="Clarification required",AI115=1,AJ115=0),1,0)</f>
        <v>0</v>
      </c>
      <c r="AO115" s="61" t="str">
        <f aca="false">IF(AK115=1,SUM(AK$5:AK115),"")</f>
        <v/>
      </c>
      <c r="AP115" s="61" t="str">
        <f aca="false">IF(AL115=1,SUM(AL$5:AL115),"")</f>
        <v/>
      </c>
      <c r="AQ115" s="61" t="n">
        <v>0</v>
      </c>
      <c r="AR115" s="61" t="n">
        <v>0</v>
      </c>
      <c r="AS115" s="61" t="n">
        <v>0</v>
      </c>
      <c r="AT115" s="61" t="n">
        <v>0</v>
      </c>
      <c r="AU115" s="61" t="str">
        <f aca="false">SUBSTITUTE(SUBSTITUTE(SUBSTITUTE(SUBSTITUTE(SUBSTITUTE(SUBSTITUTE(SUBSTITUTE(SUBSTITUTE(SUBSTITUTE(SUBSTITUTE(SUBSTITUTE(SUBSTITUTE(SUBSTITUTE(SUBSTITUTE(SUBSTITUTE(SUBSTITUTE(LOWER(T115&amp;""),CHAR(10),""),CHAR(13),""),CHAR(9),""),CHAR(160),"")," ",""),".",""),"-",""),"/",""),"?",""),"_",""),",",""),"[",""),"]",""),"(",""),")",""),"*","")</f>
        <v/>
      </c>
      <c r="AV115" s="61" t="str">
        <f aca="false">SUBSTITUTE(SUBSTITUTE(SUBSTITUTE(SUBSTITUTE(SUBSTITUTE(SUBSTITUTE(SUBSTITUTE(SUBSTITUTE(SUBSTITUTE(SUBSTITUTE(SUBSTITUTE(SUBSTITUTE(SUBSTITUTE(SUBSTITUTE(SUBSTITUTE(SUBSTITUTE(LOWER(V115&amp;""),CHAR(10),""),CHAR(13),""),CHAR(9),""),CHAR(160),"")," ",""),".",""),"-",""),"/",""),"?",""),"_",""),",",""),"[",""),"]",""),"(",""),")",""),"*","")</f>
        <v/>
      </c>
      <c r="AW115" s="61" t="str">
        <f aca="false">SUBSTITUTE(SUBSTITUTE(SUBSTITUTE(SUBSTITUTE(SUBSTITUTE(SUBSTITUTE(SUBSTITUTE(SUBSTITUTE(SUBSTITUTE(SUBSTITUTE(SUBSTITUTE(SUBSTITUTE(SUBSTITUTE(SUBSTITUTE(SUBSTITUTE(SUBSTITUTE(LOWER(Z115&amp;""),CHAR(10),""),CHAR(13),""),CHAR(9),""),CHAR(160),"")," ",""),".",""),"-",""),"/",""),"?",""),"_",""),",",""),"[",""),"]",""),"(",""),")",""),"*","")</f>
        <v/>
      </c>
      <c r="AX115" s="61" t="str">
        <f aca="false">SUBSTITUTE(SUBSTITUTE(SUBSTITUTE(SUBSTITUTE(SUBSTITUTE(SUBSTITUTE(SUBSTITUTE(SUBSTITUTE(SUBSTITUTE(SUBSTITUTE(SUBSTITUTE(SUBSTITUTE(SUBSTITUTE(SUBSTITUTE(SUBSTITUTE(SUBSTITUTE(LOWER(AE115&amp;""),CHAR(10),""),CHAR(13),""),CHAR(9),""),CHAR(160),"")," ",""),".",""),"-",""),"/",""),"?",""),"_",""),",",""),"[",""),"]",""),"(",""),")",""),"*","")</f>
        <v/>
      </c>
      <c r="AY115" s="61" t="str">
        <f aca="false">SUBSTITUTE(SUBSTITUTE(SUBSTITUTE(SUBSTITUTE(SUBSTITUTE(SUBSTITUTE(SUBSTITUTE(SUBSTITUTE(SUBSTITUTE(SUBSTITUTE(SUBSTITUTE(SUBSTITUTE(SUBSTITUTE(SUBSTITUTE(SUBSTITUTE(SUBSTITUTE(LOWER(W115&amp;""),CHAR(10),""),CHAR(13),""),CHAR(9),""),CHAR(160),"")," ",""),".",""),"-",""),"/",""),"?",""),"_",""),",",""),"[",""),"]",""),"(",""),")",""),"*","")</f>
        <v/>
      </c>
      <c r="AZ115" s="61" t="str">
        <f aca="false">SUBSTITUTE(SUBSTITUTE(SUBSTITUTE(SUBSTITUTE(SUBSTITUTE(SUBSTITUTE(SUBSTITUTE(SUBSTITUTE(SUBSTITUTE(SUBSTITUTE(SUBSTITUTE(SUBSTITUTE(SUBSTITUTE(SUBSTITUTE(SUBSTITUTE(SUBSTITUTE(LOWER(AC115&amp;""),CHAR(10),""),CHAR(13),""),CHAR(9),""),CHAR(160),"")," ",""),".",""),"-",""),"/",""),"?",""),"_",""),",",""),"[",""),"]",""),"(",""),")",""),"*","")</f>
        <v/>
      </c>
      <c r="BA115" s="61" t="str">
        <f aca="false">SUBSTITUTE(SUBSTITUTE(SUBSTITUTE(SUBSTITUTE(SUBSTITUTE(SUBSTITUTE(SUBSTITUTE(SUBSTITUTE(SUBSTITUTE(SUBSTITUTE(SUBSTITUTE(SUBSTITUTE(SUBSTITUTE(SUBSTITUTE(SUBSTITUTE(SUBSTITUTE(LOWER(AA115&amp;""),CHAR(10),""),CHAR(13),""),CHAR(9),""),CHAR(160),"")," ",""),".",""),"-",""),"/",""),"?",""),"_",""),",",""),"[",""),"]",""),"(",""),")",""),"*","")</f>
        <v/>
      </c>
      <c r="BB115" s="61" t="str">
        <f aca="false">IF(AND(TRIM(U115)="Pass",ISNUMBER(AF115)),IF(AF115&lt;&gt;0,"INVALID – qty variance: use Fail or Pass after CA",""),"")&amp;IF(AND(TRIM(U115)="Pass after CA",ISNUMBER(AF115)),IF(AF115&lt;&gt;0,"INVALID – after the corrective action the actual qty must equal expected (update Actual)",""),"")&amp;IF(AND(TRIM(U115)="Pass",TRIM(AB115)&lt;&gt;"",TRIM(AB115)&lt;&gt;"Closed"),"INVALID – corrective action not closed: use Fail, then Pass after CA","")&amp;IF(AND(LEN(BA115)&gt;=2,ISNA(MATCH(LEFT(BA115,255),L_Placeholder,0)),TRIM(AB115)=""),"INVALID – CA status missing for the recorded corrective action","")&amp;IF(AND(TRIM(U115)="Pass after CA",OR(OR(LEN(BA115)&lt;5,ISNUMBER(MATCH(BA115,L_Placeholder,0))),TRIM(AB115)&lt;&gt;"Closed")),"INVALID – corrective action not recorded/closed","")</f>
        <v/>
      </c>
      <c r="BC115" s="61" t="str">
        <f aca="false">" "&amp;TRIM(SUBSTITUTE(SUBSTITUTE(SUBSTITUTE(SUBSTITUTE(SUBSTITUTE(SUBSTITUTE(SUBSTITUTE(SUBSTITUTE(SUBSTITUTE(SUBSTITUTE(SUBSTITUTE(SUBSTITUTE(SUBSTITUTE(SUBSTITUTE(SUBSTITUTE(SUBSTITUTE(SUBSTITUTE(SUBSTITUTE(SUBSTITUTE(SUBSTITUTE(SUBSTITUTE(SUBSTITUTE(SUBSTITUTE(SUBSTITUTE(LOWER(V115&amp;""),CHAR(10)," "),CHAR(13)," "),CHAR(9)," "),CHAR(160)," "),"."," "),","," "),"-"," "),"/"," "),"("," "),")"," "),":"," "),";"," "),"_"," "),"–"," "),"?"," "),"!"," "),"*"," "),"["," "),"]"," "),"'"," "),"#"," "),"+"," "),"&amp;"," "),"\"," "))&amp;" "</f>
        <v>  </v>
      </c>
      <c r="BD115" s="61" t="str">
        <f aca="false">" "&amp;TRIM(SUBSTITUTE(SUBSTITUTE(SUBSTITUTE(SUBSTITUTE(SUBSTITUTE(SUBSTITUTE(SUBSTITUTE(SUBSTITUTE(SUBSTITUTE(SUBSTITUTE(SUBSTITUTE(SUBSTITUTE(SUBSTITUTE(SUBSTITUTE(SUBSTITUTE(SUBSTITUTE(SUBSTITUTE(SUBSTITUTE(SUBSTITUTE(SUBSTITUTE(SUBSTITUTE(SUBSTITUTE(SUBSTITUTE(SUBSTITUTE(LOWER(Z115&amp;""),CHAR(10)," "),CHAR(13)," "),CHAR(9)," "),CHAR(160)," "),"."," "),","," "),"-"," "),"/"," "),"("," "),")"," "),":"," "),";"," "),"_"," "),"–"," "),"?"," "),"!"," "),"*"," "),"["," "),"]"," "),"'"," "),"#"," "),"+"," "),"&amp;"," "),"\"," "))&amp;" "</f>
        <v>  </v>
      </c>
      <c r="BE115" s="61" t="str">
        <f aca="false">" "&amp;TRIM(SUBSTITUTE(SUBSTITUTE(SUBSTITUTE(SUBSTITUTE(SUBSTITUTE(SUBSTITUTE(SUBSTITUTE(SUBSTITUTE(SUBSTITUTE(SUBSTITUTE(SUBSTITUTE(SUBSTITUTE(SUBSTITUTE(SUBSTITUTE(SUBSTITUTE(SUBSTITUTE(SUBSTITUTE(SUBSTITUTE(SUBSTITUTE(SUBSTITUTE(SUBSTITUTE(SUBSTITUTE(SUBSTITUTE(SUBSTITUTE(LOWER(W115&amp;""),CHAR(10)," "),CHAR(13)," "),CHAR(9)," "),CHAR(160)," "),"."," "),","," "),"-"," "),"/"," "),"("," "),")"," "),":"," "),";"," "),"_"," "),"–"," "),"?"," "),"!"," "),"*"," "),"["," "),"]"," "),"'"," "),"#"," "),"+"," "),"&amp;"," "),"\"," "))&amp;" "</f>
        <v>  </v>
      </c>
      <c r="BF115" s="61" t="str">
        <f aca="false">" "&amp;TRIM(SUBSTITUTE(SUBSTITUTE(SUBSTITUTE(SUBSTITUTE(SUBSTITUTE(SUBSTITUTE(SUBSTITUTE(SUBSTITUTE(SUBSTITUTE(SUBSTITUTE(SUBSTITUTE(SUBSTITUTE(SUBSTITUTE(SUBSTITUTE(SUBSTITUTE(SUBSTITUTE(SUBSTITUTE(SUBSTITUTE(SUBSTITUTE(SUBSTITUTE(SUBSTITUTE(SUBSTITUTE(SUBSTITUTE(SUBSTITUTE(LOWER(AC115&amp;""),CHAR(10)," "),CHAR(13)," "),CHAR(9)," "),CHAR(160)," "),"."," "),","," "),"-"," "),"/"," "),"("," "),")"," "),":"," "),";"," "),"_"," "),"–"," "),"?"," "),"!"," "),"*"," "),"["," "),"]"," "),"'"," "),"#"," "),"+"," "),"&amp;"," "),"\"," "))&amp;" "</f>
        <v>  </v>
      </c>
      <c r="BG115" s="61" t="n">
        <f aca="false">IFERROR(IF(AND(TRIM(U115)="Pass",SUMPRODUCT((LEN(BC115)-LEN(SUBSTITUTE(BC115," "&amp;L_ResultBad&amp;" "," ")))/(LEN(L_ResultBad)+1))&gt;SUMPRODUCT((LEN(BC115)-LEN(SUBSTITUTE(BC115," "&amp;L_NegPhrase&amp;" "," ")))/(LEN(L_NegPhrase)+1))),1,0),0)</f>
        <v>0</v>
      </c>
      <c r="BH115" s="61" t="n">
        <f aca="false">IFERROR(IF(SUMPRODUCT((LEN(BC115)-LEN(SUBSTITUTE(BC115," "&amp;L_Pending&amp;" "," ")))/(LEN(L_Pending)+1))&gt;SUMPRODUCT((LEN(BC115)-LEN(SUBSTITUTE(BC115," "&amp;L_PendNeg&amp;" "," ")))/(LEN(L_PendNeg)+1))+SUMPRODUCT((LEN(BC115)-LEN(SUBSTITUTE(BC115," "&amp;L_PendPrep&amp;" "," ")))/(LEN(L_PendPrep)+1)),1,0),1)</f>
        <v>0</v>
      </c>
      <c r="BI115" s="61" t="n">
        <f aca="false">IFERROR(IF(SUMPRODUCT((LEN(BD115)-LEN(SUBSTITUTE(BD115," "&amp;L_PendStrict&amp;" "," ")))/(LEN(L_PendStrict)+1))&gt;SUMPRODUCT((LEN(BD115)-LEN(SUBSTITUTE(BD115," "&amp;L_PendNeg&amp;" "," ")))/(LEN(L_PendNeg)+1)),1,0),1)</f>
        <v>0</v>
      </c>
      <c r="BJ115" s="61" t="n">
        <f aca="false">IFERROR(IF(SUMPRODUCT((LEN(BE115)-LEN(SUBSTITUTE(BE115," "&amp;L_Pending&amp;" "," ")))/(LEN(L_Pending)+1))&gt;SUMPRODUCT((LEN(BE115)-LEN(SUBSTITUTE(BE115," "&amp;L_PendNeg&amp;" "," ")))/(LEN(L_PendNeg)+1))+SUMPRODUCT((LEN(BE115)-LEN(SUBSTITUTE(BE115," "&amp;L_PendPrep&amp;" "," ")))/(LEN(L_PendPrep)+1)),1,0),1)</f>
        <v>0</v>
      </c>
      <c r="BK115" s="61" t="n">
        <f aca="false">IFERROR(IF(SUMPRODUCT((LEN(BF115)-LEN(SUBSTITUTE(BF115," "&amp;L_PendStrict&amp;" "," ")))/(LEN(L_PendStrict)+1))&gt;SUMPRODUCT((LEN(BF115)-LEN(SUBSTITUTE(BF115," "&amp;L_PendNeg&amp;" "," ")))/(LEN(L_PendNeg)+1)),1,0),1)</f>
        <v>0</v>
      </c>
      <c r="BL115" s="61" t="n">
        <f aca="false">IF(ISNA(MATCH(TRIM(S115),L_EvidenceType,0)),0,BZ115)</f>
        <v>0</v>
      </c>
      <c r="BM115" s="61" t="str">
        <f aca="false">SUBSTITUTE(SUBSTITUTE(SUBSTITUTE(SUBSTITUTE(SUBSTITUTE(SUBSTITUTE(SUBSTITUTE(SUBSTITUTE(SUBSTITUTE(LOWER(Z115&amp;""),"1","0"),"2","0"),"3","0"),"4","0"),"5","0"),"6","0"),"7","0"),"8","0"),"9","0")</f>
        <v/>
      </c>
      <c r="BN115" s="61" t="str">
        <f aca="false">SUBSTITUTE(SUBSTITUTE(SUBSTITUTE(SUBSTITUTE(SUBSTITUTE(SUBSTITUTE(SUBSTITUTE(SUBSTITUTE(SUBSTITUTE(SUBSTITUTE(SUBSTITUTE(SUBSTITUTE(SUBSTITUTE(SUBSTITUTE(SUBSTITUTE(SUBSTITUTE(SUBSTITUTE(SUBSTITUTE(SUBSTITUTE(SUBSTITUTE(SUBSTITUTE(SUBSTITUTE(SUBSTITUTE(SUBSTITUTE(SUBSTITUTE(BM115,"b","a"),"c","a"),"d","a"),"e","a"),"f","a"),"g","a"),"h","a"),"i","a"),"j","a"),"k","a"),"l","a"),"m","a"),"n","a"),"o","a"),"p","a"),"q","a"),"r","a"),"s","a"),"t","a"),"u","a"),"v","a"),"w","a"),"x","a"),"y","a"),"z","a")</f>
        <v/>
      </c>
      <c r="BO115" s="61" t="str">
        <f aca="false">SUBSTITUTE(SUBSTITUTE(SUBSTITUTE(SUBSTITUTE(SUBSTITUTE(SUBSTITUTE(SUBSTITUTE(SUBSTITUTE(SUBSTITUTE(LOWER(W115&amp;""),"1","0"),"2","0"),"3","0"),"4","0"),"5","0"),"6","0"),"7","0"),"8","0"),"9","0")</f>
        <v/>
      </c>
      <c r="BP115" s="61" t="str">
        <f aca="false">SUBSTITUTE(SUBSTITUTE(SUBSTITUTE(SUBSTITUTE(SUBSTITUTE(SUBSTITUTE(SUBSTITUTE(SUBSTITUTE(SUBSTITUTE(SUBSTITUTE(SUBSTITUTE(SUBSTITUTE(SUBSTITUTE(SUBSTITUTE(SUBSTITUTE(SUBSTITUTE(SUBSTITUTE(SUBSTITUTE(SUBSTITUTE(SUBSTITUTE(SUBSTITUTE(SUBSTITUTE(SUBSTITUTE(SUBSTITUTE(SUBSTITUTE(BO115,"b","a"),"c","a"),"d","a"),"e","a"),"f","a"),"g","a"),"h","a"),"i","a"),"j","a"),"k","a"),"l","a"),"m","a"),"n","a"),"o","a"),"p","a"),"q","a"),"r","a"),"s","a"),"t","a"),"u","a"),"v","a"),"w","a"),"x","a"),"y","a"),"z","a")</f>
        <v/>
      </c>
      <c r="BQ115" s="61" t="n">
        <f aca="false">IFERROR(IF(AND(ISERROR(SEARCH(" mh"," "&amp;LOWER(W115))),ISNA(MATCH(LEFT(TRIM(BP115),255),{"0000a","000a","00a","0000aa","000aa","00aa","0aa","0000aaa","000aaa","00a00","0a00","0000-0000","00:00","a00","a0","00.00.0000","00/00/0000","00-00-0000","0000-00-00","0000/00/00","0000.00.00","00.00.00","00/00/00","00-00-00","0.00.0000","0/00/0000","0-00-0000"},0)),ISNA(MATCH(LEFT(TRIM(CA115),255),{"0000a","000a","00a","0000aa","000aa","00aa","0aa","0000aaa","000aaa","00a00","0a00","0000-0000","00:00","a00","a0","00.00.0000","00/00/0000","00-00-0000","0000-00-00","0000/00/00","0000.00.00","00.00.00","00/00/00","00-00-00","0.00.0000","0/00/0000","0-00-0000"},0)),LEN(CB115)&gt;=3,NOT(OR(SUBSTITUTE(CB115,"0","")="",AND(LEN(CB115)&gt;=4,CB115=REPT(LEFT(CB115),LEN(CB115))),ISNUMBER(MATCH(CB115,{"123","1234","12345","123456","1234567","12345678","0123","01234","012345","98765","987654","54321"},0)),AND(LEN(CB115)=8,LEFT(CB115,3)="202"))),OR(AND((LEN(CA115)-LEN(SUBSTITUTE(CA115,"a","")))&gt;=1,SUMPRODUCT(--ISNUMBER(SEARCH({"a0","a-0","a_0","a/0","a.0","a#0","0a","0-a","0_a","0/a"},BP115)))&gt;0),ISNUMBER(SEARCH("000000",BP115)))),1,0),0)</f>
        <v>0</v>
      </c>
      <c r="BR115" s="61" t="n">
        <f aca="false">IFERROR(LEN(SUBSTITUTE(CC115," ",""))-SUMPRODUCT((LEN(CC115)-LEN(SUBSTITUTE(CC115," "&amp;L_Role&amp;" "," ")))/(LEN(L_Role)+1)*LEN(L_Role)),0)</f>
        <v>0</v>
      </c>
      <c r="BS115" s="61" t="n">
        <f aca="false">IFERROR(LEN(SUBSTITUTE(CD115," ",""))-SUMPRODUCT((LEN(CD115)-LEN(SUBSTITUTE(CD115," "&amp;L_Role&amp;" "," ")))/(LEN(L_Role)+1)*LEN(L_Role)),0)</f>
        <v>0</v>
      </c>
      <c r="BT1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115,"revision",""),"version",""),"jan",""),"feb",""),"mar",""),"apr",""),"may",""),"jun",""),"jul",""),"aug",""),"sep",""),"oct",""),"nov",""),"dec",""),"utc",""),"gmt",""),"myt",""),"bst",""),"rev",""),"ver",""),"b","a"),"c","a"),"d","a"),"e","a"),"f","a"),"g","a"),"h","a"),"i","a"),"j","a"),"k","a"),"l","a"),"m","a"),"n","a"),"o","a"),"p","a"),"q","a"),"r","a"),"s","a"),"t","a"),"u","a"),"v","a"),"w","a"),"x","a"),"y","a"),"z","a")</f>
        <v/>
      </c>
      <c r="BU115" s="61" t="str">
        <f aca="false">SUBSTITUTE(SUBSTITUTE(SUBSTITUTE(SUBSTITUTE(SUBSTITUTE(SUBSTITUTE(SUBSTITUTE(SUBSTITUTE(SUBSTITUTE(SUBSTITUTE(LEFT(BM115,FIND("0",BM115&amp;"0")-1),"-",""),"_",""),"/",""),".",""),"#",""),"\\",""),":","")," ",""),"(",""),")","")</f>
        <v/>
      </c>
      <c r="BV115" s="61" t="n">
        <f aca="false">0</f>
        <v>0</v>
      </c>
      <c r="BW1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115&amp;""),"a",""),"b",""),"c",""),"d",""),"e",""),"f",""),"g",""),"h",""),"i",""),"j",""),"k",""),"l",""),"m",""),"n",""),"o",""),"p",""),"q",""),"r",""),"s",""),"t",""),"u",""),"v",""),"w",""),"x",""),"y",""),"z",""),"-",""),"_",""),"/",""),".",""),"#",""),"\\",""),":","")," ",""),"(",""),")","")</f>
        <v/>
      </c>
      <c r="BX115" s="61" t="str">
        <f aca="false">SUBSTITUTE(SUBSTITUTE(SUBSTITUTE(SUBSTITUTE(SUBSTITUTE(SUBSTITUTE(SUBSTITUTE(SUBSTITUTE(SUBSTITUTE(SUBSTITUTE(SUBSTITUTE(BM115,"0",""),"-",""),"_",""),"/",""),".",""),"#",""),"\\",""),":","")," ",""),"(",""),")","")</f>
        <v/>
      </c>
      <c r="BY115" s="62" t="n">
        <f aca="false">Q115-T12EarlyH/24</f>
        <v>46304.6458333333</v>
      </c>
      <c r="BZ115" s="61" t="n">
        <f aca="false">IFERROR(IF(IF(TRIM(S115)="Link / file path",AND(LEN(TRIM(Z115))&gt;=5,SUMPRODUCT(--ISNUMBER(SEARCH({"http","www.","\\",":\",".pdf",".jpg",".jpeg",".png",".heic",".xls",".doc",".msg",".eml",".ppt",".txt",".zip"},Z115)))&gt;0),AND(ISERROR(FIND(" ",TRIM(Z115))),NOT(OR(SUMPRODUCT(--ISNUMBER(FIND({",",";","&amp;","+"},Z115)))&gt;0,SUMPRODUCT(--ISNUMBER(SEARCH({"0/aa","0\\aa"},BN115)))&gt;0)),NOT(SUMPRODUCT(--ISNUMBER(SEARCH({"http","www.","\\",":\",".pdf",".jpg",".jpeg",".png",".heic",".xls",".doc",".msg",".eml",".ppt",".txt",".zip"},Z115)))&gt;0),NOT(LOWER(TRIM(Z115))=LOWER(Flights!$F$8)),ISNA(MATCH(BU115,{"mh","rev","revision","ver","version","v","r","a","b","seat","tray","row","gate","bay","stand","page","pg","item","line","no","cart","galley","flight","flt","table","box","bag","oven","etd","eta","std","sta","atd","ata","qty","pax","x","time","tel","ph","mob","day","wk","week","utc","gmt","myt","lt"},0)),NOT(OR(ISNUMBER(MATCH(LEFT(BN115,255),{"0000a","000a","00a","0000aa","000aa","00aa","0aa","0000aaa","000aaa","00a00","0a00","0000-0000","00:00","a00","a0","00.00.0000","00/00/0000","00-00-0000","0000-00-00","0000/00/00","0000.00.00","00.00.00","00/00/00","00-00-00","0.00.0000","0/00/0000","0-00-0000"},0)),ISNUMBER(MATCH(LEFT(BT115,255),{"0000a","000a","00a","0000aa","000aa","00aa","0aa","0000aaa","000aaa","00a00","0a00","0000-0000","00:00","a00","a0","00.00.0000","00/00/0000","00-00-0000","0000-00-00","0000/00/00","0000.00.00","00.00.00","00/00/00","00-00-00","0.00.0000","0/00/0000","0-00-0000"},0)))),NOT(OR(AND(BW115&lt;&gt;"",SUBSTITUTE(BW115,"0","")=""),AND(LEN(BW115)&gt;=4,BW115=REPT(LEFT(BW115),LEN(BW115))),ISNUMBER(MATCH(BW115,{"123","1234","12345","123456","1234567","12345678","0123","01234","012345","98765","987654","54321"},0)),ISNUMBER(MATCH(BX115,{"x","xx","xxx","xxxx","xxxxx","abc","abcd","nil","na","nan","test","tbc","tba","tbd","dummy","sample","example","eg","zz","zzz","none","null","xyz","qwe","asd","id","ref"},0)),AND(LEN(BW115)=8,BX115="",OR(LEFT(BW115,3)="202",ISNUMBER(MATCH(RIGHT(BW115,4),{"2025","2026","2027"},0)))))),OR(AND((LEN(BT115)-LEN(SUBSTITUTE(BT115,"a","")))&gt;=1,(LEN(BN115)-LEN(SUBSTITUTE(BN115,"0","")))&gt;=2,SUMPRODUCT(--ISNUMBER(SEARCH({"a0","a-0","a_0","a/0","a.0","a#0","0a","0-a","0_a","0/a"},BN115)))&gt;0),AND((LEN(BN115)-LEN(SUBSTITUTE(BN115,"a","")))=0,(LEN(BN115)-LEN(SUBSTITUTE(BN115,"0","")))&gt;=5)))),1,0),0)</f>
        <v>0</v>
      </c>
      <c r="CA1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115,"revision",""),"version",""),"jan",""),"feb",""),"mar",""),"apr",""),"may",""),"jun",""),"jul",""),"aug",""),"sep",""),"oct",""),"nov",""),"dec",""),"utc",""),"gmt",""),"myt",""),"bst",""),"rev",""),"ver",""),"b","a"),"c","a"),"d","a"),"e","a"),"f","a"),"g","a"),"h","a"),"i","a"),"j","a"),"k","a"),"l","a"),"m","a"),"n","a"),"o","a"),"p","a"),"q","a"),"r","a"),"s","a"),"t","a"),"u","a"),"v","a"),"w","a"),"x","a"),"y","a"),"z","a")</f>
        <v/>
      </c>
      <c r="CB1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115&amp;""),"a",""),"b",""),"c",""),"d",""),"e",""),"f",""),"g",""),"h",""),"i",""),"j",""),"k",""),"l",""),"m",""),"n",""),"o",""),"p",""),"q",""),"r",""),"s",""),"t",""),"u",""),"v",""),"w",""),"x",""),"y",""),"z",""),"-",""),"_",""),"/",""),".",""),"#",""),"\\",""),":","")," ",""),"(",""),")","")</f>
        <v/>
      </c>
      <c r="CC115" s="0" t="str">
        <f aca="false">" "&amp;TRIM(SUBSTITUTE(SUBSTITUTE(SUBSTITUTE(SUBSTITUTE(SUBSTITUTE(SUBSTITUTE(SUBSTITUTE(SUBSTITUTE(SUBSTITUTE(SUBSTITUTE(SUBSTITUTE(SUBSTITUTE(SUBSTITUTE(SUBSTITUTE(SUBSTITUTE(SUBSTITUTE(SUBSTITUTE(SUBSTITUTE(SUBSTITUTE(SUBSTITUTE(SUBSTITUTE(SUBSTITUTE(SUBSTITUTE(SUBSTITUTE(LOWER(T115&amp;""),CHAR(10)," "),CHAR(13)," "),CHAR(9)," "),CHAR(160)," "),"."," "),","," "),"-"," "),"/"," "),"("," "),")"," "),":"," "),";"," "),"_"," "),"–"," "),"?"," "),"!"," "),"*"," "),"["," "),"]"," "),"'"," "),"#"," "),"+"," "),"&amp;"," "),"\"," "))&amp;" "</f>
        <v>  </v>
      </c>
      <c r="CD115" s="0" t="str">
        <f aca="false">" "&amp;TRIM(SUBSTITUTE(SUBSTITUTE(SUBSTITUTE(SUBSTITUTE(SUBSTITUTE(SUBSTITUTE(SUBSTITUTE(SUBSTITUTE(SUBSTITUTE(SUBSTITUTE(SUBSTITUTE(SUBSTITUTE(SUBSTITUTE(SUBSTITUTE(SUBSTITUTE(SUBSTITUTE(SUBSTITUTE(SUBSTITUTE(SUBSTITUTE(SUBSTITUTE(SUBSTITUTE(SUBSTITUTE(SUBSTITUTE(SUBSTITUTE(LOWER(AE115&amp;""),CHAR(10)," "),CHAR(13)," "),CHAR(9)," "),CHAR(160)," "),"."," "),","," "),"-"," "),"/"," "),"("," "),")"," "),":"," "),";"," "),"_"," "),"–"," "),"?"," "),"!"," "),"*"," "),"["," "),"]"," "),"'"," "),"#"," "),"+"," "),"&amp;"," "),"\"," "))&amp;" "</f>
        <v>  </v>
      </c>
      <c r="CE115" s="68" t="n">
        <f aca="false">IFERROR(IF(AND(LEN(AU115)&gt;0,LEN(AU115)=LEN(AX115),OR(TRIM(MID(SUBSTITUTE(TRIM(CC115)," ",REPT(" ",60)),1,60))="",ISNUMBER(SEARCH(" "&amp;TRIM(MID(SUBSTITUTE(TRIM(CC115)," ",REPT(" ",60)),1,60))&amp;" ",CD115))),OR(TRIM(MID(SUBSTITUTE(TRIM(CC115)," ",REPT(" ",60)),61,60))="",ISNUMBER(SEARCH(" "&amp;TRIM(MID(SUBSTITUTE(TRIM(CC115)," ",REPT(" ",60)),61,60))&amp;" ",CD115))),OR(TRIM(MID(SUBSTITUTE(TRIM(CC115)," ",REPT(" ",60)),121,60))="",ISNUMBER(SEARCH(" "&amp;TRIM(MID(SUBSTITUTE(TRIM(CC115)," ",REPT(" ",60)),121,60))&amp;" ",CD115)))),1,0),0)</f>
        <v>0</v>
      </c>
      <c r="CG115" s="68" t="n">
        <f aca="false">IFERROR(LEN(SUBSTITUTE(BF115," ",""))-SUMPRODUCT((LEN(BF115)-LEN(SUBSTITUTE(BF115," "&amp;L_NAFiller&amp;" "," ")))/(LEN(L_NAFiller)+1)*LEN(L_NAFiller)),0)</f>
        <v>0</v>
      </c>
    </row>
    <row r="116" customFormat="false" ht="41.25" hidden="false" customHeight="true" outlineLevel="0" collapsed="false">
      <c r="A116" s="57" t="s">
        <v>620</v>
      </c>
      <c r="B116" s="57" t="s">
        <v>218</v>
      </c>
      <c r="C116" s="57" t="str">
        <f aca="false">Flights!$F$8</f>
        <v>MH0088</v>
      </c>
      <c r="D116" s="58" t="n">
        <f aca="false">Flights!$D$8</f>
        <v>46305</v>
      </c>
      <c r="E116" s="57" t="str">
        <f aca="false">Flights!$G$8&amp;"-"&amp;Flights!$H$8</f>
        <v>KUL-NRT</v>
      </c>
      <c r="F116" s="57" t="str">
        <f aca="false">Flights!$K$8</f>
        <v>BC</v>
      </c>
      <c r="G116" s="57" t="s">
        <v>420</v>
      </c>
      <c r="H116" s="57" t="s">
        <v>378</v>
      </c>
      <c r="I116" s="57" t="s">
        <v>447</v>
      </c>
      <c r="J116" s="57" t="s">
        <v>526</v>
      </c>
      <c r="K116" s="67" t="s">
        <v>449</v>
      </c>
      <c r="L116" s="67" t="s">
        <v>621</v>
      </c>
      <c r="M116" s="67" t="s">
        <v>451</v>
      </c>
      <c r="N116" s="67" t="s">
        <v>383</v>
      </c>
      <c r="O116" s="67" t="s">
        <v>503</v>
      </c>
      <c r="P116" s="57" t="s">
        <v>187</v>
      </c>
      <c r="Q116" s="59" t="n">
        <f aca="false">ROUND((Flights!$AE$8)*1440,0)/1440</f>
        <v>46305.1458333333</v>
      </c>
      <c r="R116" s="59" t="n">
        <f aca="false">Q116+(IF(AND(INDEX(TZ_DSTS,MATCH(P116,TZ_STN,0))&lt;&gt;"",Q116&gt;=INDEX(TZ_DSTS,MATCH(P116,TZ_STN,0)),Q116&lt;INDEX(TZ_DSTE,MATCH(P116,TZ_STN,0))),INDEX(TZ_DST,MATCH(P116,TZ_STN,0)),INDEX(TZ_STD,MATCH(P116,TZ_STN,0))))/24</f>
        <v>46305.4791666667</v>
      </c>
      <c r="S116" s="60"/>
      <c r="T116" s="60"/>
      <c r="U116" s="60"/>
      <c r="V116" s="60"/>
      <c r="W116" s="61"/>
      <c r="X116" s="60"/>
      <c r="Y116" s="60"/>
      <c r="Z116" s="60"/>
      <c r="AA116" s="60"/>
      <c r="AB116" s="60"/>
      <c r="AC116" s="60"/>
      <c r="AD116" s="66"/>
      <c r="AE116" s="60"/>
      <c r="AF116" s="61" t="str">
        <f aca="false">IF(AND(ISNUMBER(X116),ISNUMBER(Y116)),Y116-X116,"")</f>
        <v/>
      </c>
      <c r="AG116" s="62" t="str">
        <f aca="false">IF(ISNUMBER(AD116),AD116-(IF(AND(INDEX(TZ_DSTS,MATCH(P116,TZ_STN,0))&lt;&gt;"",(AD116-INDEX(TZ_STD,MATCH(P116,TZ_STN,0))/24)&gt;=INDEX(TZ_DSTS,MATCH(P116,TZ_STN,0)),(AD116-INDEX(TZ_STD,MATCH(P116,TZ_STN,0))/24)&lt;INDEX(TZ_DSTE,MATCH(P116,TZ_STN,0))),INDEX(TZ_DST,MATCH(P116,TZ_STN,0)),INDEX(TZ_STD,MATCH(P116,TZ_STN,0))))/24,"")</f>
        <v/>
      </c>
      <c r="AH116" s="65" t="str">
        <f aca="false">IFERROR(IF(N116="N/A – rule",IF(OR(TRIM(U116)="",TRIM(U116)="N/A",TRIM(U116)="Not started"),"N/A – RULE","INVALID – this check does not apply to this aircraft: clear the status (or correct the fleet on Flights)"),IF(TRIM(U116)="N/A",IF(AT116=0,"INVALID – N/A not permitted for this check",IF(AND(TRIM(AB116)&lt;&gt;"",TRIM(AB116)&lt;&gt;"Closed"),"INVALID – corrective action still open",IF(AND(NOT(OR(LEN(AZ116)&lt;15,ISNUMBER(MATCH(AZ116,L_Placeholder,0)))),BK116=0,CG116&gt;=8,NOT(OR(LEN(AU116)&lt;2,ISNUMBER(MATCH(AU116,L_Placeholder,0)))),BR116&gt;=3,NOT(OR(LEN(AX116)&lt;2,ISNUMBER(MATCH(AX116,L_Placeholder,0)))),BS116&gt;=3,TRIM(AE116)&lt;&gt;TRIM(T116),AX116&lt;&gt;AU116,CE116=0),"N/A – JUSTIFIED","INVALID – N/A needs a real, settled reason (not 'not applicable' / 'as above' / TBC), a named PIC and a different named verifier"))),IF(OR(TRIM(U116)="Pass",TRIM(U116)="Pass after CA"),IF(NOT(ISNUMBER(AD116)),"INVALID – completion time missing",IF(OR(OR(LEN(AU116)&lt;2,ISNUMBER(MATCH(AU116,L_Placeholder,0))),BR116&lt;3),"INVALID – PIC missing or not a named person (a role such as QA / CSM is not a name)",IF(OR(LEN(AV116)&lt;2,ISNUMBER(MATCH(AV116,L_Placeholder,0))),"INVALID – result / assessment missing",IF(OR(OR(LEN(AW116)&lt;3,ISNUMBER(MATCH(AW116,L_Placeholder,0))),SUMPRODUCT(--ISNUMBER(SEARCH(" "&amp;L_EvidencePhrase&amp;" ",BD116)))&gt;0,BI116=1),"INVALID – evidence missing, placeholder or not yet on file",IF(ISNA(MATCH(TRIM(S116),L_EvidenceType,0)),"INVALID – choose the evidence type from the list (column S)",IF(BL116=0,"INVALID – evidence ID must be the record's own ID only (e.g. SF-2210, IMG_2231, 1045521); a link / file name needs type 'Link / file path'",IF(OR(OR(LEN(AX116)&lt;2,ISNUMBER(MATCH(AX116,L_Placeholder,0))),BS116&lt;3),"INVALID – verifier missing or not a named person (a role such as QA / CSM is not a name)",IF(OR(AX116=AU116,CE116=1,AND(LEN(AU116)&gt;=4,ISNUMBER(SEARCH(AU116,AX116))),AND(LEN(AX116)&gt;=4,ISNUMBER(SEARCH(AX116,AU116)))),"INVALID – verifier must be a different, named person (not the PIC or a role)",IF(BH116=1,"INVALID – result not yet available (awaiting / TBC)",IF(BG116=1,"INVALID – result describes a problem: record Fail, then Pass after CA (or reword if it is not a problem)",IF(BV116=1,"INVALID – wording says not on board: an on-board confirmation needs the item loaded",IF(AND(AQ116=1,OR(OR(LEN(AY116)&lt;3,ISNUMBER(MATCH(AY116,L_Placeholder,0))),BJ116=1,BQ116=0)),"INVALID – batch ID missing, placeholder or not an ID (e.g. PASB-261008-BC-017)",IF(AND(AR116=1,OR(NOT(ISNUMBER(X116)),NOT(ISNUMBER(Y116)))),"INVALID – expected/actual qty missing",IF(AND(AR116=1,OR(X116&lt;=0,Y116&lt;0)),"INVALID – expected qty must be above 0 and actual not negative",IF(BB116&lt;&gt;"",BB116,IF(AND(AS116=1,Documents!$J$8&lt;&gt;"ON FILE"),"INVALID – GLD not on file (Documents sheet)",IF(AND(AS116=2,Documents!$O$8&lt;&gt;"ON FILE"),"INVALID – menu checklist not on file (Documents sheet)",IF(AND(AS116=3,NOT(ISNUMBER(Flights!$AX$8))),"INVALID – enter carrying flight KUL departure (Flights AX)",IF(AND(AS116=3,OR(Flights!$AZ$8&gt;Flights!$AA$8,Flights!$AX$8&lt;Flights!$AA$8-3)),"INVALID – carrying flight (Flights AX) cannot arrive before this leg's STD, or is over 3 days early",IF(AG116&gt;AsOfUTC,"INVALID – completion time is in the future",IF(AND(ISNUMBER(BY116),AG116&lt;BY116),IF(H116="Physical uplift","INVALID – before uplift window (cannot confirm loading)","INVALID – before valid window"),IF(AG116&gt;Flights!$AA$8,"INVALID – completed after departure (cannot establish readiness)",IF(AND(H116="Preparation",AG116&gt;=IF(ISNUMBER(Flights!$BA$8),MIN(Flights!$BA$8,Flights!$AA$8),Flights!$AA$8)),"INVALID – completed after loading / departure (cannot establish readiness)",IF(AND(H116="Physical uplift",AG116&gt;Q116),"INVALID – recorded after the loading flight departed",IF(AG116&gt;Q116,"COMPLETE – LATE","COMPLETE"))))))))))))))))))))))))),IF(TRIM(U116)="Fail","FAIL – DISCREPANCY",IF(AND(TRIM(U116)&lt;&gt;"",TRIM(U116)&lt;&gt;"Not started",TRIM(U116)&lt;&gt;"In progress"),"INVALID – unrecognised status (use the list)",IF(AsOfUTC&gt;Q116,"OVERDUE",IF(N116="Clarification required","OPEN – CLARIFICATION","OPEN"))))))),"INVALID – error value in an input cell")</f>
        <v>OPEN</v>
      </c>
      <c r="AI116" s="61" t="n">
        <f aca="false">IF(OR(AH116="N/A – RULE",AH116="N/A – JUSTIFIED"),0,1)</f>
        <v>1</v>
      </c>
      <c r="AJ116" s="61" t="n">
        <f aca="false">IF(LEFT(AH116,8)="COMPLETE",1,0)</f>
        <v>0</v>
      </c>
      <c r="AK116" s="61" t="n">
        <f aca="false">IF(AND(AI116=1,AJ116=0,AsOfUTC&gt;Q116),1,0)</f>
        <v>0</v>
      </c>
      <c r="AL116" s="61" t="n">
        <f aca="false">IFERROR(IF(AND(AI116=1,OR(TRIM(U116)="Fail",AND(TRIM(AB116)&lt;&gt;"",TRIM(AB116)&lt;&gt;"Closed"),AND(ISNUMBER(AF116),AF116&lt;&gt;0,TRIM(U116)&lt;&gt;"Pass after CA"))),1,0),1)</f>
        <v>0</v>
      </c>
      <c r="AM116" s="61" t="n">
        <f aca="false">IF(LEFT(AH116,7)="INVALID",1,0)</f>
        <v>0</v>
      </c>
      <c r="AN116" s="61" t="n">
        <f aca="false">IF(AND(N116="Clarification required",AI116=1,AJ116=0),1,0)</f>
        <v>0</v>
      </c>
      <c r="AO116" s="61" t="str">
        <f aca="false">IF(AK116=1,SUM(AK$5:AK116),"")</f>
        <v/>
      </c>
      <c r="AP116" s="61" t="str">
        <f aca="false">IF(AL116=1,SUM(AL$5:AL116),"")</f>
        <v/>
      </c>
      <c r="AQ116" s="61" t="n">
        <v>0</v>
      </c>
      <c r="AR116" s="61" t="n">
        <v>0</v>
      </c>
      <c r="AS116" s="61" t="n">
        <v>0</v>
      </c>
      <c r="AT116" s="61" t="n">
        <v>0</v>
      </c>
      <c r="AU116" s="61" t="str">
        <f aca="false">SUBSTITUTE(SUBSTITUTE(SUBSTITUTE(SUBSTITUTE(SUBSTITUTE(SUBSTITUTE(SUBSTITUTE(SUBSTITUTE(SUBSTITUTE(SUBSTITUTE(SUBSTITUTE(SUBSTITUTE(SUBSTITUTE(SUBSTITUTE(SUBSTITUTE(SUBSTITUTE(LOWER(T116&amp;""),CHAR(10),""),CHAR(13),""),CHAR(9),""),CHAR(160),"")," ",""),".",""),"-",""),"/",""),"?",""),"_",""),",",""),"[",""),"]",""),"(",""),")",""),"*","")</f>
        <v/>
      </c>
      <c r="AV116" s="61" t="str">
        <f aca="false">SUBSTITUTE(SUBSTITUTE(SUBSTITUTE(SUBSTITUTE(SUBSTITUTE(SUBSTITUTE(SUBSTITUTE(SUBSTITUTE(SUBSTITUTE(SUBSTITUTE(SUBSTITUTE(SUBSTITUTE(SUBSTITUTE(SUBSTITUTE(SUBSTITUTE(SUBSTITUTE(LOWER(V116&amp;""),CHAR(10),""),CHAR(13),""),CHAR(9),""),CHAR(160),"")," ",""),".",""),"-",""),"/",""),"?",""),"_",""),",",""),"[",""),"]",""),"(",""),")",""),"*","")</f>
        <v/>
      </c>
      <c r="AW116" s="61" t="str">
        <f aca="false">SUBSTITUTE(SUBSTITUTE(SUBSTITUTE(SUBSTITUTE(SUBSTITUTE(SUBSTITUTE(SUBSTITUTE(SUBSTITUTE(SUBSTITUTE(SUBSTITUTE(SUBSTITUTE(SUBSTITUTE(SUBSTITUTE(SUBSTITUTE(SUBSTITUTE(SUBSTITUTE(LOWER(Z116&amp;""),CHAR(10),""),CHAR(13),""),CHAR(9),""),CHAR(160),"")," ",""),".",""),"-",""),"/",""),"?",""),"_",""),",",""),"[",""),"]",""),"(",""),")",""),"*","")</f>
        <v/>
      </c>
      <c r="AX116" s="61" t="str">
        <f aca="false">SUBSTITUTE(SUBSTITUTE(SUBSTITUTE(SUBSTITUTE(SUBSTITUTE(SUBSTITUTE(SUBSTITUTE(SUBSTITUTE(SUBSTITUTE(SUBSTITUTE(SUBSTITUTE(SUBSTITUTE(SUBSTITUTE(SUBSTITUTE(SUBSTITUTE(SUBSTITUTE(LOWER(AE116&amp;""),CHAR(10),""),CHAR(13),""),CHAR(9),""),CHAR(160),"")," ",""),".",""),"-",""),"/",""),"?",""),"_",""),",",""),"[",""),"]",""),"(",""),")",""),"*","")</f>
        <v/>
      </c>
      <c r="AY116" s="61" t="str">
        <f aca="false">SUBSTITUTE(SUBSTITUTE(SUBSTITUTE(SUBSTITUTE(SUBSTITUTE(SUBSTITUTE(SUBSTITUTE(SUBSTITUTE(SUBSTITUTE(SUBSTITUTE(SUBSTITUTE(SUBSTITUTE(SUBSTITUTE(SUBSTITUTE(SUBSTITUTE(SUBSTITUTE(LOWER(W116&amp;""),CHAR(10),""),CHAR(13),""),CHAR(9),""),CHAR(160),"")," ",""),".",""),"-",""),"/",""),"?",""),"_",""),",",""),"[",""),"]",""),"(",""),")",""),"*","")</f>
        <v/>
      </c>
      <c r="AZ116" s="61" t="str">
        <f aca="false">SUBSTITUTE(SUBSTITUTE(SUBSTITUTE(SUBSTITUTE(SUBSTITUTE(SUBSTITUTE(SUBSTITUTE(SUBSTITUTE(SUBSTITUTE(SUBSTITUTE(SUBSTITUTE(SUBSTITUTE(SUBSTITUTE(SUBSTITUTE(SUBSTITUTE(SUBSTITUTE(LOWER(AC116&amp;""),CHAR(10),""),CHAR(13),""),CHAR(9),""),CHAR(160),"")," ",""),".",""),"-",""),"/",""),"?",""),"_",""),",",""),"[",""),"]",""),"(",""),")",""),"*","")</f>
        <v/>
      </c>
      <c r="BA116" s="61" t="str">
        <f aca="false">SUBSTITUTE(SUBSTITUTE(SUBSTITUTE(SUBSTITUTE(SUBSTITUTE(SUBSTITUTE(SUBSTITUTE(SUBSTITUTE(SUBSTITUTE(SUBSTITUTE(SUBSTITUTE(SUBSTITUTE(SUBSTITUTE(SUBSTITUTE(SUBSTITUTE(SUBSTITUTE(LOWER(AA116&amp;""),CHAR(10),""),CHAR(13),""),CHAR(9),""),CHAR(160),"")," ",""),".",""),"-",""),"/",""),"?",""),"_",""),",",""),"[",""),"]",""),"(",""),")",""),"*","")</f>
        <v/>
      </c>
      <c r="BB116" s="61" t="str">
        <f aca="false">IF(AND(TRIM(U116)="Pass",ISNUMBER(AF116)),IF(AF116&lt;&gt;0,"INVALID – qty variance: use Fail or Pass after CA",""),"")&amp;IF(AND(TRIM(U116)="Pass after CA",ISNUMBER(AF116)),IF(AF116&lt;&gt;0,"INVALID – after the corrective action the actual qty must equal expected (update Actual)",""),"")&amp;IF(AND(TRIM(U116)="Pass",TRIM(AB116)&lt;&gt;"",TRIM(AB116)&lt;&gt;"Closed"),"INVALID – corrective action not closed: use Fail, then Pass after CA","")&amp;IF(AND(LEN(BA116)&gt;=2,ISNA(MATCH(LEFT(BA116,255),L_Placeholder,0)),TRIM(AB116)=""),"INVALID – CA status missing for the recorded corrective action","")&amp;IF(AND(TRIM(U116)="Pass after CA",OR(OR(LEN(BA116)&lt;5,ISNUMBER(MATCH(BA116,L_Placeholder,0))),TRIM(AB116)&lt;&gt;"Closed")),"INVALID – corrective action not recorded/closed","")</f>
        <v/>
      </c>
      <c r="BC116" s="61" t="str">
        <f aca="false">" "&amp;TRIM(SUBSTITUTE(SUBSTITUTE(SUBSTITUTE(SUBSTITUTE(SUBSTITUTE(SUBSTITUTE(SUBSTITUTE(SUBSTITUTE(SUBSTITUTE(SUBSTITUTE(SUBSTITUTE(SUBSTITUTE(SUBSTITUTE(SUBSTITUTE(SUBSTITUTE(SUBSTITUTE(SUBSTITUTE(SUBSTITUTE(SUBSTITUTE(SUBSTITUTE(SUBSTITUTE(SUBSTITUTE(SUBSTITUTE(SUBSTITUTE(LOWER(V116&amp;""),CHAR(10)," "),CHAR(13)," "),CHAR(9)," "),CHAR(160)," "),"."," "),","," "),"-"," "),"/"," "),"("," "),")"," "),":"," "),";"," "),"_"," "),"–"," "),"?"," "),"!"," "),"*"," "),"["," "),"]"," "),"'"," "),"#"," "),"+"," "),"&amp;"," "),"\"," "))&amp;" "</f>
        <v>  </v>
      </c>
      <c r="BD116" s="61" t="str">
        <f aca="false">" "&amp;TRIM(SUBSTITUTE(SUBSTITUTE(SUBSTITUTE(SUBSTITUTE(SUBSTITUTE(SUBSTITUTE(SUBSTITUTE(SUBSTITUTE(SUBSTITUTE(SUBSTITUTE(SUBSTITUTE(SUBSTITUTE(SUBSTITUTE(SUBSTITUTE(SUBSTITUTE(SUBSTITUTE(SUBSTITUTE(SUBSTITUTE(SUBSTITUTE(SUBSTITUTE(SUBSTITUTE(SUBSTITUTE(SUBSTITUTE(SUBSTITUTE(LOWER(Z116&amp;""),CHAR(10)," "),CHAR(13)," "),CHAR(9)," "),CHAR(160)," "),"."," "),","," "),"-"," "),"/"," "),"("," "),")"," "),":"," "),";"," "),"_"," "),"–"," "),"?"," "),"!"," "),"*"," "),"["," "),"]"," "),"'"," "),"#"," "),"+"," "),"&amp;"," "),"\"," "))&amp;" "</f>
        <v>  </v>
      </c>
      <c r="BE116" s="61" t="str">
        <f aca="false">" "&amp;TRIM(SUBSTITUTE(SUBSTITUTE(SUBSTITUTE(SUBSTITUTE(SUBSTITUTE(SUBSTITUTE(SUBSTITUTE(SUBSTITUTE(SUBSTITUTE(SUBSTITUTE(SUBSTITUTE(SUBSTITUTE(SUBSTITUTE(SUBSTITUTE(SUBSTITUTE(SUBSTITUTE(SUBSTITUTE(SUBSTITUTE(SUBSTITUTE(SUBSTITUTE(SUBSTITUTE(SUBSTITUTE(SUBSTITUTE(SUBSTITUTE(LOWER(W116&amp;""),CHAR(10)," "),CHAR(13)," "),CHAR(9)," "),CHAR(160)," "),"."," "),","," "),"-"," "),"/"," "),"("," "),")"," "),":"," "),";"," "),"_"," "),"–"," "),"?"," "),"!"," "),"*"," "),"["," "),"]"," "),"'"," "),"#"," "),"+"," "),"&amp;"," "),"\"," "))&amp;" "</f>
        <v>  </v>
      </c>
      <c r="BF116" s="61" t="str">
        <f aca="false">" "&amp;TRIM(SUBSTITUTE(SUBSTITUTE(SUBSTITUTE(SUBSTITUTE(SUBSTITUTE(SUBSTITUTE(SUBSTITUTE(SUBSTITUTE(SUBSTITUTE(SUBSTITUTE(SUBSTITUTE(SUBSTITUTE(SUBSTITUTE(SUBSTITUTE(SUBSTITUTE(SUBSTITUTE(SUBSTITUTE(SUBSTITUTE(SUBSTITUTE(SUBSTITUTE(SUBSTITUTE(SUBSTITUTE(SUBSTITUTE(SUBSTITUTE(LOWER(AC116&amp;""),CHAR(10)," "),CHAR(13)," "),CHAR(9)," "),CHAR(160)," "),"."," "),","," "),"-"," "),"/"," "),"("," "),")"," "),":"," "),";"," "),"_"," "),"–"," "),"?"," "),"!"," "),"*"," "),"["," "),"]"," "),"'"," "),"#"," "),"+"," "),"&amp;"," "),"\"," "))&amp;" "</f>
        <v>  </v>
      </c>
      <c r="BG116" s="61" t="n">
        <f aca="false">IFERROR(IF(AND(TRIM(U116)="Pass",SUMPRODUCT((LEN(BC116)-LEN(SUBSTITUTE(BC116," "&amp;L_ResultBad&amp;" "," ")))/(LEN(L_ResultBad)+1))&gt;SUMPRODUCT((LEN(BC116)-LEN(SUBSTITUTE(BC116," "&amp;L_NegPhrase&amp;" "," ")))/(LEN(L_NegPhrase)+1))),1,0),0)</f>
        <v>0</v>
      </c>
      <c r="BH116" s="61" t="n">
        <f aca="false">IFERROR(IF(SUMPRODUCT((LEN(BC116)-LEN(SUBSTITUTE(BC116," "&amp;L_Pending&amp;" "," ")))/(LEN(L_Pending)+1))&gt;SUMPRODUCT((LEN(BC116)-LEN(SUBSTITUTE(BC116," "&amp;L_PendNeg&amp;" "," ")))/(LEN(L_PendNeg)+1))+SUMPRODUCT((LEN(BC116)-LEN(SUBSTITUTE(BC116," "&amp;L_PendPrep&amp;" "," ")))/(LEN(L_PendPrep)+1)),1,0),1)</f>
        <v>0</v>
      </c>
      <c r="BI116" s="61" t="n">
        <f aca="false">IFERROR(IF(SUMPRODUCT((LEN(BD116)-LEN(SUBSTITUTE(BD116," "&amp;L_PendStrict&amp;" "," ")))/(LEN(L_PendStrict)+1))&gt;SUMPRODUCT((LEN(BD116)-LEN(SUBSTITUTE(BD116," "&amp;L_PendNeg&amp;" "," ")))/(LEN(L_PendNeg)+1)),1,0),1)</f>
        <v>0</v>
      </c>
      <c r="BJ116" s="61" t="n">
        <f aca="false">IFERROR(IF(SUMPRODUCT((LEN(BE116)-LEN(SUBSTITUTE(BE116," "&amp;L_Pending&amp;" "," ")))/(LEN(L_Pending)+1))&gt;SUMPRODUCT((LEN(BE116)-LEN(SUBSTITUTE(BE116," "&amp;L_PendNeg&amp;" "," ")))/(LEN(L_PendNeg)+1))+SUMPRODUCT((LEN(BE116)-LEN(SUBSTITUTE(BE116," "&amp;L_PendPrep&amp;" "," ")))/(LEN(L_PendPrep)+1)),1,0),1)</f>
        <v>0</v>
      </c>
      <c r="BK116" s="61" t="n">
        <f aca="false">IFERROR(IF(SUMPRODUCT((LEN(BF116)-LEN(SUBSTITUTE(BF116," "&amp;L_PendStrict&amp;" "," ")))/(LEN(L_PendStrict)+1))&gt;SUMPRODUCT((LEN(BF116)-LEN(SUBSTITUTE(BF116," "&amp;L_PendNeg&amp;" "," ")))/(LEN(L_PendNeg)+1)),1,0),1)</f>
        <v>0</v>
      </c>
      <c r="BL116" s="61" t="n">
        <f aca="false">IF(ISNA(MATCH(TRIM(S116),L_EvidenceType,0)),0,BZ116)</f>
        <v>0</v>
      </c>
      <c r="BM116" s="61" t="str">
        <f aca="false">SUBSTITUTE(SUBSTITUTE(SUBSTITUTE(SUBSTITUTE(SUBSTITUTE(SUBSTITUTE(SUBSTITUTE(SUBSTITUTE(SUBSTITUTE(LOWER(Z116&amp;""),"1","0"),"2","0"),"3","0"),"4","0"),"5","0"),"6","0"),"7","0"),"8","0"),"9","0")</f>
        <v/>
      </c>
      <c r="BN116" s="61" t="str">
        <f aca="false">SUBSTITUTE(SUBSTITUTE(SUBSTITUTE(SUBSTITUTE(SUBSTITUTE(SUBSTITUTE(SUBSTITUTE(SUBSTITUTE(SUBSTITUTE(SUBSTITUTE(SUBSTITUTE(SUBSTITUTE(SUBSTITUTE(SUBSTITUTE(SUBSTITUTE(SUBSTITUTE(SUBSTITUTE(SUBSTITUTE(SUBSTITUTE(SUBSTITUTE(SUBSTITUTE(SUBSTITUTE(SUBSTITUTE(SUBSTITUTE(SUBSTITUTE(BM116,"b","a"),"c","a"),"d","a"),"e","a"),"f","a"),"g","a"),"h","a"),"i","a"),"j","a"),"k","a"),"l","a"),"m","a"),"n","a"),"o","a"),"p","a"),"q","a"),"r","a"),"s","a"),"t","a"),"u","a"),"v","a"),"w","a"),"x","a"),"y","a"),"z","a")</f>
        <v/>
      </c>
      <c r="BO116" s="61" t="str">
        <f aca="false">SUBSTITUTE(SUBSTITUTE(SUBSTITUTE(SUBSTITUTE(SUBSTITUTE(SUBSTITUTE(SUBSTITUTE(SUBSTITUTE(SUBSTITUTE(LOWER(W116&amp;""),"1","0"),"2","0"),"3","0"),"4","0"),"5","0"),"6","0"),"7","0"),"8","0"),"9","0")</f>
        <v/>
      </c>
      <c r="BP116" s="61" t="str">
        <f aca="false">SUBSTITUTE(SUBSTITUTE(SUBSTITUTE(SUBSTITUTE(SUBSTITUTE(SUBSTITUTE(SUBSTITUTE(SUBSTITUTE(SUBSTITUTE(SUBSTITUTE(SUBSTITUTE(SUBSTITUTE(SUBSTITUTE(SUBSTITUTE(SUBSTITUTE(SUBSTITUTE(SUBSTITUTE(SUBSTITUTE(SUBSTITUTE(SUBSTITUTE(SUBSTITUTE(SUBSTITUTE(SUBSTITUTE(SUBSTITUTE(SUBSTITUTE(BO116,"b","a"),"c","a"),"d","a"),"e","a"),"f","a"),"g","a"),"h","a"),"i","a"),"j","a"),"k","a"),"l","a"),"m","a"),"n","a"),"o","a"),"p","a"),"q","a"),"r","a"),"s","a"),"t","a"),"u","a"),"v","a"),"w","a"),"x","a"),"y","a"),"z","a")</f>
        <v/>
      </c>
      <c r="BQ116" s="61" t="n">
        <f aca="false">IFERROR(IF(AND(ISERROR(SEARCH(" mh"," "&amp;LOWER(W116))),ISNA(MATCH(LEFT(TRIM(BP116),255),{"0000a","000a","00a","0000aa","000aa","00aa","0aa","0000aaa","000aaa","00a00","0a00","0000-0000","00:00","a00","a0","00.00.0000","00/00/0000","00-00-0000","0000-00-00","0000/00/00","0000.00.00","00.00.00","00/00/00","00-00-00","0.00.0000","0/00/0000","0-00-0000"},0)),ISNA(MATCH(LEFT(TRIM(CA116),255),{"0000a","000a","00a","0000aa","000aa","00aa","0aa","0000aaa","000aaa","00a00","0a00","0000-0000","00:00","a00","a0","00.00.0000","00/00/0000","00-00-0000","0000-00-00","0000/00/00","0000.00.00","00.00.00","00/00/00","00-00-00","0.00.0000","0/00/0000","0-00-0000"},0)),LEN(CB116)&gt;=3,NOT(OR(SUBSTITUTE(CB116,"0","")="",AND(LEN(CB116)&gt;=4,CB116=REPT(LEFT(CB116),LEN(CB116))),ISNUMBER(MATCH(CB116,{"123","1234","12345","123456","1234567","12345678","0123","01234","012345","98765","987654","54321"},0)),AND(LEN(CB116)=8,LEFT(CB116,3)="202"))),OR(AND((LEN(CA116)-LEN(SUBSTITUTE(CA116,"a","")))&gt;=1,SUMPRODUCT(--ISNUMBER(SEARCH({"a0","a-0","a_0","a/0","a.0","a#0","0a","0-a","0_a","0/a"},BP116)))&gt;0),ISNUMBER(SEARCH("000000",BP116)))),1,0),0)</f>
        <v>0</v>
      </c>
      <c r="BR116" s="61" t="n">
        <f aca="false">IFERROR(LEN(SUBSTITUTE(CC116," ",""))-SUMPRODUCT((LEN(CC116)-LEN(SUBSTITUTE(CC116," "&amp;L_Role&amp;" "," ")))/(LEN(L_Role)+1)*LEN(L_Role)),0)</f>
        <v>0</v>
      </c>
      <c r="BS116" s="61" t="n">
        <f aca="false">IFERROR(LEN(SUBSTITUTE(CD116," ",""))-SUMPRODUCT((LEN(CD116)-LEN(SUBSTITUTE(CD116," "&amp;L_Role&amp;" "," ")))/(LEN(L_Role)+1)*LEN(L_Role)),0)</f>
        <v>0</v>
      </c>
      <c r="BT1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116,"revision",""),"version",""),"jan",""),"feb",""),"mar",""),"apr",""),"may",""),"jun",""),"jul",""),"aug",""),"sep",""),"oct",""),"nov",""),"dec",""),"utc",""),"gmt",""),"myt",""),"bst",""),"rev",""),"ver",""),"b","a"),"c","a"),"d","a"),"e","a"),"f","a"),"g","a"),"h","a"),"i","a"),"j","a"),"k","a"),"l","a"),"m","a"),"n","a"),"o","a"),"p","a"),"q","a"),"r","a"),"s","a"),"t","a"),"u","a"),"v","a"),"w","a"),"x","a"),"y","a"),"z","a")</f>
        <v/>
      </c>
      <c r="BU116" s="61" t="str">
        <f aca="false">SUBSTITUTE(SUBSTITUTE(SUBSTITUTE(SUBSTITUTE(SUBSTITUTE(SUBSTITUTE(SUBSTITUTE(SUBSTITUTE(SUBSTITUTE(SUBSTITUTE(LEFT(BM116,FIND("0",BM116&amp;"0")-1),"-",""),"_",""),"/",""),".",""),"#",""),"\\",""),":","")," ",""),"(",""),")","")</f>
        <v/>
      </c>
      <c r="BV116" s="61" t="n">
        <f aca="false">0</f>
        <v>0</v>
      </c>
      <c r="BW1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116&amp;""),"a",""),"b",""),"c",""),"d",""),"e",""),"f",""),"g",""),"h",""),"i",""),"j",""),"k",""),"l",""),"m",""),"n",""),"o",""),"p",""),"q",""),"r",""),"s",""),"t",""),"u",""),"v",""),"w",""),"x",""),"y",""),"z",""),"-",""),"_",""),"/",""),".",""),"#",""),"\\",""),":","")," ",""),"(",""),")","")</f>
        <v/>
      </c>
      <c r="BX116" s="61" t="str">
        <f aca="false">SUBSTITUTE(SUBSTITUTE(SUBSTITUTE(SUBSTITUTE(SUBSTITUTE(SUBSTITUTE(SUBSTITUTE(SUBSTITUTE(SUBSTITUTE(SUBSTITUTE(SUBSTITUTE(BM116,"0",""),"-",""),"_",""),"/",""),".",""),"#",""),"\\",""),":","")," ",""),"(",""),")","")</f>
        <v/>
      </c>
      <c r="BY116" s="62" t="n">
        <f aca="false">Q116-T12EarlyH/24</f>
        <v>46304.6458333333</v>
      </c>
      <c r="BZ116" s="61" t="n">
        <f aca="false">IFERROR(IF(IF(TRIM(S116)="Link / file path",AND(LEN(TRIM(Z116))&gt;=5,SUMPRODUCT(--ISNUMBER(SEARCH({"http","www.","\\",":\",".pdf",".jpg",".jpeg",".png",".heic",".xls",".doc",".msg",".eml",".ppt",".txt",".zip"},Z116)))&gt;0),AND(ISERROR(FIND(" ",TRIM(Z116))),NOT(OR(SUMPRODUCT(--ISNUMBER(FIND({",",";","&amp;","+"},Z116)))&gt;0,SUMPRODUCT(--ISNUMBER(SEARCH({"0/aa","0\\aa"},BN116)))&gt;0)),NOT(SUMPRODUCT(--ISNUMBER(SEARCH({"http","www.","\\",":\",".pdf",".jpg",".jpeg",".png",".heic",".xls",".doc",".msg",".eml",".ppt",".txt",".zip"},Z116)))&gt;0),NOT(LOWER(TRIM(Z116))=LOWER(Flights!$F$8)),ISNA(MATCH(BU116,{"mh","rev","revision","ver","version","v","r","a","b","seat","tray","row","gate","bay","stand","page","pg","item","line","no","cart","galley","flight","flt","table","box","bag","oven","etd","eta","std","sta","atd","ata","qty","pax","x","time","tel","ph","mob","day","wk","week","utc","gmt","myt","lt"},0)),NOT(OR(ISNUMBER(MATCH(LEFT(BN116,255),{"0000a","000a","00a","0000aa","000aa","00aa","0aa","0000aaa","000aaa","00a00","0a00","0000-0000","00:00","a00","a0","00.00.0000","00/00/0000","00-00-0000","0000-00-00","0000/00/00","0000.00.00","00.00.00","00/00/00","00-00-00","0.00.0000","0/00/0000","0-00-0000"},0)),ISNUMBER(MATCH(LEFT(BT116,255),{"0000a","000a","00a","0000aa","000aa","00aa","0aa","0000aaa","000aaa","00a00","0a00","0000-0000","00:00","a00","a0","00.00.0000","00/00/0000","00-00-0000","0000-00-00","0000/00/00","0000.00.00","00.00.00","00/00/00","00-00-00","0.00.0000","0/00/0000","0-00-0000"},0)))),NOT(OR(AND(BW116&lt;&gt;"",SUBSTITUTE(BW116,"0","")=""),AND(LEN(BW116)&gt;=4,BW116=REPT(LEFT(BW116),LEN(BW116))),ISNUMBER(MATCH(BW116,{"123","1234","12345","123456","1234567","12345678","0123","01234","012345","98765","987654","54321"},0)),ISNUMBER(MATCH(BX116,{"x","xx","xxx","xxxx","xxxxx","abc","abcd","nil","na","nan","test","tbc","tba","tbd","dummy","sample","example","eg","zz","zzz","none","null","xyz","qwe","asd","id","ref"},0)),AND(LEN(BW116)=8,BX116="",OR(LEFT(BW116,3)="202",ISNUMBER(MATCH(RIGHT(BW116,4),{"2025","2026","2027"},0)))))),OR(AND((LEN(BT116)-LEN(SUBSTITUTE(BT116,"a","")))&gt;=1,(LEN(BN116)-LEN(SUBSTITUTE(BN116,"0","")))&gt;=2,SUMPRODUCT(--ISNUMBER(SEARCH({"a0","a-0","a_0","a/0","a.0","a#0","0a","0-a","0_a","0/a"},BN116)))&gt;0),AND((LEN(BN116)-LEN(SUBSTITUTE(BN116,"a","")))=0,(LEN(BN116)-LEN(SUBSTITUTE(BN116,"0","")))&gt;=5)))),1,0),0)</f>
        <v>0</v>
      </c>
      <c r="CA1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116,"revision",""),"version",""),"jan",""),"feb",""),"mar",""),"apr",""),"may",""),"jun",""),"jul",""),"aug",""),"sep",""),"oct",""),"nov",""),"dec",""),"utc",""),"gmt",""),"myt",""),"bst",""),"rev",""),"ver",""),"b","a"),"c","a"),"d","a"),"e","a"),"f","a"),"g","a"),"h","a"),"i","a"),"j","a"),"k","a"),"l","a"),"m","a"),"n","a"),"o","a"),"p","a"),"q","a"),"r","a"),"s","a"),"t","a"),"u","a"),"v","a"),"w","a"),"x","a"),"y","a"),"z","a")</f>
        <v/>
      </c>
      <c r="CB1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116&amp;""),"a",""),"b",""),"c",""),"d",""),"e",""),"f",""),"g",""),"h",""),"i",""),"j",""),"k",""),"l",""),"m",""),"n",""),"o",""),"p",""),"q",""),"r",""),"s",""),"t",""),"u",""),"v",""),"w",""),"x",""),"y",""),"z",""),"-",""),"_",""),"/",""),".",""),"#",""),"\\",""),":","")," ",""),"(",""),")","")</f>
        <v/>
      </c>
      <c r="CC116" s="0" t="str">
        <f aca="false">" "&amp;TRIM(SUBSTITUTE(SUBSTITUTE(SUBSTITUTE(SUBSTITUTE(SUBSTITUTE(SUBSTITUTE(SUBSTITUTE(SUBSTITUTE(SUBSTITUTE(SUBSTITUTE(SUBSTITUTE(SUBSTITUTE(SUBSTITUTE(SUBSTITUTE(SUBSTITUTE(SUBSTITUTE(SUBSTITUTE(SUBSTITUTE(SUBSTITUTE(SUBSTITUTE(SUBSTITUTE(SUBSTITUTE(SUBSTITUTE(SUBSTITUTE(LOWER(T116&amp;""),CHAR(10)," "),CHAR(13)," "),CHAR(9)," "),CHAR(160)," "),"."," "),","," "),"-"," "),"/"," "),"("," "),")"," "),":"," "),";"," "),"_"," "),"–"," "),"?"," "),"!"," "),"*"," "),"["," "),"]"," "),"'"," "),"#"," "),"+"," "),"&amp;"," "),"\"," "))&amp;" "</f>
        <v>  </v>
      </c>
      <c r="CD116" s="0" t="str">
        <f aca="false">" "&amp;TRIM(SUBSTITUTE(SUBSTITUTE(SUBSTITUTE(SUBSTITUTE(SUBSTITUTE(SUBSTITUTE(SUBSTITUTE(SUBSTITUTE(SUBSTITUTE(SUBSTITUTE(SUBSTITUTE(SUBSTITUTE(SUBSTITUTE(SUBSTITUTE(SUBSTITUTE(SUBSTITUTE(SUBSTITUTE(SUBSTITUTE(SUBSTITUTE(SUBSTITUTE(SUBSTITUTE(SUBSTITUTE(SUBSTITUTE(SUBSTITUTE(LOWER(AE116&amp;""),CHAR(10)," "),CHAR(13)," "),CHAR(9)," "),CHAR(160)," "),"."," "),","," "),"-"," "),"/"," "),"("," "),")"," "),":"," "),";"," "),"_"," "),"–"," "),"?"," "),"!"," "),"*"," "),"["," "),"]"," "),"'"," "),"#"," "),"+"," "),"&amp;"," "),"\"," "))&amp;" "</f>
        <v>  </v>
      </c>
      <c r="CE116" s="68" t="n">
        <f aca="false">IFERROR(IF(AND(LEN(AU116)&gt;0,LEN(AU116)=LEN(AX116),OR(TRIM(MID(SUBSTITUTE(TRIM(CC116)," ",REPT(" ",60)),1,60))="",ISNUMBER(SEARCH(" "&amp;TRIM(MID(SUBSTITUTE(TRIM(CC116)," ",REPT(" ",60)),1,60))&amp;" ",CD116))),OR(TRIM(MID(SUBSTITUTE(TRIM(CC116)," ",REPT(" ",60)),61,60))="",ISNUMBER(SEARCH(" "&amp;TRIM(MID(SUBSTITUTE(TRIM(CC116)," ",REPT(" ",60)),61,60))&amp;" ",CD116))),OR(TRIM(MID(SUBSTITUTE(TRIM(CC116)," ",REPT(" ",60)),121,60))="",ISNUMBER(SEARCH(" "&amp;TRIM(MID(SUBSTITUTE(TRIM(CC116)," ",REPT(" ",60)),121,60))&amp;" ",CD116)))),1,0),0)</f>
        <v>0</v>
      </c>
      <c r="CG116" s="68" t="n">
        <f aca="false">IFERROR(LEN(SUBSTITUTE(BF116," ",""))-SUMPRODUCT((LEN(BF116)-LEN(SUBSTITUTE(BF116," "&amp;L_NAFiller&amp;" "," ")))/(LEN(L_NAFiller)+1)*LEN(L_NAFiller)),0)</f>
        <v>0</v>
      </c>
    </row>
    <row r="117" customFormat="false" ht="41.25" hidden="false" customHeight="true" outlineLevel="0" collapsed="false">
      <c r="A117" s="57" t="s">
        <v>622</v>
      </c>
      <c r="B117" s="57" t="s">
        <v>218</v>
      </c>
      <c r="C117" s="57" t="str">
        <f aca="false">Flights!$F$8</f>
        <v>MH0088</v>
      </c>
      <c r="D117" s="58" t="n">
        <f aca="false">Flights!$D$8</f>
        <v>46305</v>
      </c>
      <c r="E117" s="57" t="str">
        <f aca="false">Flights!$G$8&amp;"-"&amp;Flights!$H$8</f>
        <v>KUL-NRT</v>
      </c>
      <c r="F117" s="57" t="str">
        <f aca="false">Flights!$K$8</f>
        <v>BC</v>
      </c>
      <c r="G117" s="57" t="s">
        <v>420</v>
      </c>
      <c r="H117" s="57" t="s">
        <v>378</v>
      </c>
      <c r="I117" s="57" t="s">
        <v>447</v>
      </c>
      <c r="J117" s="57" t="s">
        <v>623</v>
      </c>
      <c r="K117" s="67" t="s">
        <v>449</v>
      </c>
      <c r="L117" s="67" t="s">
        <v>624</v>
      </c>
      <c r="M117" s="67" t="s">
        <v>451</v>
      </c>
      <c r="N117" s="67" t="s">
        <v>383</v>
      </c>
      <c r="O117" s="67" t="s">
        <v>503</v>
      </c>
      <c r="P117" s="57" t="s">
        <v>187</v>
      </c>
      <c r="Q117" s="59" t="n">
        <f aca="false">ROUND((Flights!$AE$8)*1440,0)/1440</f>
        <v>46305.1458333333</v>
      </c>
      <c r="R117" s="59" t="n">
        <f aca="false">Q117+(IF(AND(INDEX(TZ_DSTS,MATCH(P117,TZ_STN,0))&lt;&gt;"",Q117&gt;=INDEX(TZ_DSTS,MATCH(P117,TZ_STN,0)),Q117&lt;INDEX(TZ_DSTE,MATCH(P117,TZ_STN,0))),INDEX(TZ_DST,MATCH(P117,TZ_STN,0)),INDEX(TZ_STD,MATCH(P117,TZ_STN,0))))/24</f>
        <v>46305.4791666667</v>
      </c>
      <c r="S117" s="60"/>
      <c r="T117" s="60"/>
      <c r="U117" s="60"/>
      <c r="V117" s="60"/>
      <c r="W117" s="61"/>
      <c r="X117" s="60"/>
      <c r="Y117" s="60"/>
      <c r="Z117" s="60"/>
      <c r="AA117" s="60"/>
      <c r="AB117" s="60"/>
      <c r="AC117" s="60"/>
      <c r="AD117" s="66"/>
      <c r="AE117" s="60"/>
      <c r="AF117" s="61" t="str">
        <f aca="false">IF(AND(ISNUMBER(X117),ISNUMBER(Y117)),Y117-X117,"")</f>
        <v/>
      </c>
      <c r="AG117" s="62" t="str">
        <f aca="false">IF(ISNUMBER(AD117),AD117-(IF(AND(INDEX(TZ_DSTS,MATCH(P117,TZ_STN,0))&lt;&gt;"",(AD117-INDEX(TZ_STD,MATCH(P117,TZ_STN,0))/24)&gt;=INDEX(TZ_DSTS,MATCH(P117,TZ_STN,0)),(AD117-INDEX(TZ_STD,MATCH(P117,TZ_STN,0))/24)&lt;INDEX(TZ_DSTE,MATCH(P117,TZ_STN,0))),INDEX(TZ_DST,MATCH(P117,TZ_STN,0)),INDEX(TZ_STD,MATCH(P117,TZ_STN,0))))/24,"")</f>
        <v/>
      </c>
      <c r="AH117" s="65" t="str">
        <f aca="false">IFERROR(IF(N117="N/A – rule",IF(OR(TRIM(U117)="",TRIM(U117)="N/A",TRIM(U117)="Not started"),"N/A – RULE","INVALID – this check does not apply to this aircraft: clear the status (or correct the fleet on Flights)"),IF(TRIM(U117)="N/A",IF(AT117=0,"INVALID – N/A not permitted for this check",IF(AND(TRIM(AB117)&lt;&gt;"",TRIM(AB117)&lt;&gt;"Closed"),"INVALID – corrective action still open",IF(AND(NOT(OR(LEN(AZ117)&lt;15,ISNUMBER(MATCH(AZ117,L_Placeholder,0)))),BK117=0,CG117&gt;=8,NOT(OR(LEN(AU117)&lt;2,ISNUMBER(MATCH(AU117,L_Placeholder,0)))),BR117&gt;=3,NOT(OR(LEN(AX117)&lt;2,ISNUMBER(MATCH(AX117,L_Placeholder,0)))),BS117&gt;=3,TRIM(AE117)&lt;&gt;TRIM(T117),AX117&lt;&gt;AU117,CE117=0),"N/A – JUSTIFIED","INVALID – N/A needs a real, settled reason (not 'not applicable' / 'as above' / TBC), a named PIC and a different named verifier"))),IF(OR(TRIM(U117)="Pass",TRIM(U117)="Pass after CA"),IF(NOT(ISNUMBER(AD117)),"INVALID – completion time missing",IF(OR(OR(LEN(AU117)&lt;2,ISNUMBER(MATCH(AU117,L_Placeholder,0))),BR117&lt;3),"INVALID – PIC missing or not a named person (a role such as QA / CSM is not a name)",IF(OR(LEN(AV117)&lt;2,ISNUMBER(MATCH(AV117,L_Placeholder,0))),"INVALID – result / assessment missing",IF(OR(OR(LEN(AW117)&lt;3,ISNUMBER(MATCH(AW117,L_Placeholder,0))),SUMPRODUCT(--ISNUMBER(SEARCH(" "&amp;L_EvidencePhrase&amp;" ",BD117)))&gt;0,BI117=1),"INVALID – evidence missing, placeholder or not yet on file",IF(ISNA(MATCH(TRIM(S117),L_EvidenceType,0)),"INVALID – choose the evidence type from the list (column S)",IF(BL117=0,"INVALID – evidence ID must be the record's own ID only (e.g. SF-2210, IMG_2231, 1045521); a link / file name needs type 'Link / file path'",IF(OR(OR(LEN(AX117)&lt;2,ISNUMBER(MATCH(AX117,L_Placeholder,0))),BS117&lt;3),"INVALID – verifier missing or not a named person (a role such as QA / CSM is not a name)",IF(OR(AX117=AU117,CE117=1,AND(LEN(AU117)&gt;=4,ISNUMBER(SEARCH(AU117,AX117))),AND(LEN(AX117)&gt;=4,ISNUMBER(SEARCH(AX117,AU117)))),"INVALID – verifier must be a different, named person (not the PIC or a role)",IF(BH117=1,"INVALID – result not yet available (awaiting / TBC)",IF(BG117=1,"INVALID – result describes a problem: record Fail, then Pass after CA (or reword if it is not a problem)",IF(BV117=1,"INVALID – wording says not on board: an on-board confirmation needs the item loaded",IF(AND(AQ117=1,OR(OR(LEN(AY117)&lt;3,ISNUMBER(MATCH(AY117,L_Placeholder,0))),BJ117=1,BQ117=0)),"INVALID – batch ID missing, placeholder or not an ID (e.g. PASB-261008-BC-017)",IF(AND(AR117=1,OR(NOT(ISNUMBER(X117)),NOT(ISNUMBER(Y117)))),"INVALID – expected/actual qty missing",IF(AND(AR117=1,OR(X117&lt;=0,Y117&lt;0)),"INVALID – expected qty must be above 0 and actual not negative",IF(BB117&lt;&gt;"",BB117,IF(AND(AS117=1,Documents!$J$8&lt;&gt;"ON FILE"),"INVALID – GLD not on file (Documents sheet)",IF(AND(AS117=2,Documents!$O$8&lt;&gt;"ON FILE"),"INVALID – menu checklist not on file (Documents sheet)",IF(AND(AS117=3,NOT(ISNUMBER(Flights!$AX$8))),"INVALID – enter carrying flight KUL departure (Flights AX)",IF(AND(AS117=3,OR(Flights!$AZ$8&gt;Flights!$AA$8,Flights!$AX$8&lt;Flights!$AA$8-3)),"INVALID – carrying flight (Flights AX) cannot arrive before this leg's STD, or is over 3 days early",IF(AG117&gt;AsOfUTC,"INVALID – completion time is in the future",IF(AND(ISNUMBER(BY117),AG117&lt;BY117),IF(H117="Physical uplift","INVALID – before uplift window (cannot confirm loading)","INVALID – before valid window"),IF(AG117&gt;Flights!$AA$8,"INVALID – completed after departure (cannot establish readiness)",IF(AND(H117="Preparation",AG117&gt;=IF(ISNUMBER(Flights!$BA$8),MIN(Flights!$BA$8,Flights!$AA$8),Flights!$AA$8)),"INVALID – completed after loading / departure (cannot establish readiness)",IF(AND(H117="Physical uplift",AG117&gt;Q117),"INVALID – recorded after the loading flight departed",IF(AG117&gt;Q117,"COMPLETE – LATE","COMPLETE"))))))))))))))))))))))))),IF(TRIM(U117)="Fail","FAIL – DISCREPANCY",IF(AND(TRIM(U117)&lt;&gt;"",TRIM(U117)&lt;&gt;"Not started",TRIM(U117)&lt;&gt;"In progress"),"INVALID – unrecognised status (use the list)",IF(AsOfUTC&gt;Q117,"OVERDUE",IF(N117="Clarification required","OPEN – CLARIFICATION","OPEN"))))))),"INVALID – error value in an input cell")</f>
        <v>OPEN</v>
      </c>
      <c r="AI117" s="61" t="n">
        <f aca="false">IF(OR(AH117="N/A – RULE",AH117="N/A – JUSTIFIED"),0,1)</f>
        <v>1</v>
      </c>
      <c r="AJ117" s="61" t="n">
        <f aca="false">IF(LEFT(AH117,8)="COMPLETE",1,0)</f>
        <v>0</v>
      </c>
      <c r="AK117" s="61" t="n">
        <f aca="false">IF(AND(AI117=1,AJ117=0,AsOfUTC&gt;Q117),1,0)</f>
        <v>0</v>
      </c>
      <c r="AL117" s="61" t="n">
        <f aca="false">IFERROR(IF(AND(AI117=1,OR(TRIM(U117)="Fail",AND(TRIM(AB117)&lt;&gt;"",TRIM(AB117)&lt;&gt;"Closed"),AND(ISNUMBER(AF117),AF117&lt;&gt;0,TRIM(U117)&lt;&gt;"Pass after CA"))),1,0),1)</f>
        <v>0</v>
      </c>
      <c r="AM117" s="61" t="n">
        <f aca="false">IF(LEFT(AH117,7)="INVALID",1,0)</f>
        <v>0</v>
      </c>
      <c r="AN117" s="61" t="n">
        <f aca="false">IF(AND(N117="Clarification required",AI117=1,AJ117=0),1,0)</f>
        <v>0</v>
      </c>
      <c r="AO117" s="61" t="str">
        <f aca="false">IF(AK117=1,SUM(AK$5:AK117),"")</f>
        <v/>
      </c>
      <c r="AP117" s="61" t="str">
        <f aca="false">IF(AL117=1,SUM(AL$5:AL117),"")</f>
        <v/>
      </c>
      <c r="AQ117" s="61" t="n">
        <v>0</v>
      </c>
      <c r="AR117" s="61" t="n">
        <v>0</v>
      </c>
      <c r="AS117" s="61" t="n">
        <v>0</v>
      </c>
      <c r="AT117" s="61" t="n">
        <v>0</v>
      </c>
      <c r="AU117" s="61" t="str">
        <f aca="false">SUBSTITUTE(SUBSTITUTE(SUBSTITUTE(SUBSTITUTE(SUBSTITUTE(SUBSTITUTE(SUBSTITUTE(SUBSTITUTE(SUBSTITUTE(SUBSTITUTE(SUBSTITUTE(SUBSTITUTE(SUBSTITUTE(SUBSTITUTE(SUBSTITUTE(SUBSTITUTE(LOWER(T117&amp;""),CHAR(10),""),CHAR(13),""),CHAR(9),""),CHAR(160),"")," ",""),".",""),"-",""),"/",""),"?",""),"_",""),",",""),"[",""),"]",""),"(",""),")",""),"*","")</f>
        <v/>
      </c>
      <c r="AV117" s="61" t="str">
        <f aca="false">SUBSTITUTE(SUBSTITUTE(SUBSTITUTE(SUBSTITUTE(SUBSTITUTE(SUBSTITUTE(SUBSTITUTE(SUBSTITUTE(SUBSTITUTE(SUBSTITUTE(SUBSTITUTE(SUBSTITUTE(SUBSTITUTE(SUBSTITUTE(SUBSTITUTE(SUBSTITUTE(LOWER(V117&amp;""),CHAR(10),""),CHAR(13),""),CHAR(9),""),CHAR(160),"")," ",""),".",""),"-",""),"/",""),"?",""),"_",""),",",""),"[",""),"]",""),"(",""),")",""),"*","")</f>
        <v/>
      </c>
      <c r="AW117" s="61" t="str">
        <f aca="false">SUBSTITUTE(SUBSTITUTE(SUBSTITUTE(SUBSTITUTE(SUBSTITUTE(SUBSTITUTE(SUBSTITUTE(SUBSTITUTE(SUBSTITUTE(SUBSTITUTE(SUBSTITUTE(SUBSTITUTE(SUBSTITUTE(SUBSTITUTE(SUBSTITUTE(SUBSTITUTE(LOWER(Z117&amp;""),CHAR(10),""),CHAR(13),""),CHAR(9),""),CHAR(160),"")," ",""),".",""),"-",""),"/",""),"?",""),"_",""),",",""),"[",""),"]",""),"(",""),")",""),"*","")</f>
        <v/>
      </c>
      <c r="AX117" s="61" t="str">
        <f aca="false">SUBSTITUTE(SUBSTITUTE(SUBSTITUTE(SUBSTITUTE(SUBSTITUTE(SUBSTITUTE(SUBSTITUTE(SUBSTITUTE(SUBSTITUTE(SUBSTITUTE(SUBSTITUTE(SUBSTITUTE(SUBSTITUTE(SUBSTITUTE(SUBSTITUTE(SUBSTITUTE(LOWER(AE117&amp;""),CHAR(10),""),CHAR(13),""),CHAR(9),""),CHAR(160),"")," ",""),".",""),"-",""),"/",""),"?",""),"_",""),",",""),"[",""),"]",""),"(",""),")",""),"*","")</f>
        <v/>
      </c>
      <c r="AY117" s="61" t="str">
        <f aca="false">SUBSTITUTE(SUBSTITUTE(SUBSTITUTE(SUBSTITUTE(SUBSTITUTE(SUBSTITUTE(SUBSTITUTE(SUBSTITUTE(SUBSTITUTE(SUBSTITUTE(SUBSTITUTE(SUBSTITUTE(SUBSTITUTE(SUBSTITUTE(SUBSTITUTE(SUBSTITUTE(LOWER(W117&amp;""),CHAR(10),""),CHAR(13),""),CHAR(9),""),CHAR(160),"")," ",""),".",""),"-",""),"/",""),"?",""),"_",""),",",""),"[",""),"]",""),"(",""),")",""),"*","")</f>
        <v/>
      </c>
      <c r="AZ117" s="61" t="str">
        <f aca="false">SUBSTITUTE(SUBSTITUTE(SUBSTITUTE(SUBSTITUTE(SUBSTITUTE(SUBSTITUTE(SUBSTITUTE(SUBSTITUTE(SUBSTITUTE(SUBSTITUTE(SUBSTITUTE(SUBSTITUTE(SUBSTITUTE(SUBSTITUTE(SUBSTITUTE(SUBSTITUTE(LOWER(AC117&amp;""),CHAR(10),""),CHAR(13),""),CHAR(9),""),CHAR(160),"")," ",""),".",""),"-",""),"/",""),"?",""),"_",""),",",""),"[",""),"]",""),"(",""),")",""),"*","")</f>
        <v/>
      </c>
      <c r="BA117" s="61" t="str">
        <f aca="false">SUBSTITUTE(SUBSTITUTE(SUBSTITUTE(SUBSTITUTE(SUBSTITUTE(SUBSTITUTE(SUBSTITUTE(SUBSTITUTE(SUBSTITUTE(SUBSTITUTE(SUBSTITUTE(SUBSTITUTE(SUBSTITUTE(SUBSTITUTE(SUBSTITUTE(SUBSTITUTE(LOWER(AA117&amp;""),CHAR(10),""),CHAR(13),""),CHAR(9),""),CHAR(160),"")," ",""),".",""),"-",""),"/",""),"?",""),"_",""),",",""),"[",""),"]",""),"(",""),")",""),"*","")</f>
        <v/>
      </c>
      <c r="BB117" s="61" t="str">
        <f aca="false">IF(AND(TRIM(U117)="Pass",ISNUMBER(AF117)),IF(AF117&lt;&gt;0,"INVALID – qty variance: use Fail or Pass after CA",""),"")&amp;IF(AND(TRIM(U117)="Pass after CA",ISNUMBER(AF117)),IF(AF117&lt;&gt;0,"INVALID – after the corrective action the actual qty must equal expected (update Actual)",""),"")&amp;IF(AND(TRIM(U117)="Pass",TRIM(AB117)&lt;&gt;"",TRIM(AB117)&lt;&gt;"Closed"),"INVALID – corrective action not closed: use Fail, then Pass after CA","")&amp;IF(AND(LEN(BA117)&gt;=2,ISNA(MATCH(LEFT(BA117,255),L_Placeholder,0)),TRIM(AB117)=""),"INVALID – CA status missing for the recorded corrective action","")&amp;IF(AND(TRIM(U117)="Pass after CA",OR(OR(LEN(BA117)&lt;5,ISNUMBER(MATCH(BA117,L_Placeholder,0))),TRIM(AB117)&lt;&gt;"Closed")),"INVALID – corrective action not recorded/closed","")</f>
        <v/>
      </c>
      <c r="BC117" s="61" t="str">
        <f aca="false">" "&amp;TRIM(SUBSTITUTE(SUBSTITUTE(SUBSTITUTE(SUBSTITUTE(SUBSTITUTE(SUBSTITUTE(SUBSTITUTE(SUBSTITUTE(SUBSTITUTE(SUBSTITUTE(SUBSTITUTE(SUBSTITUTE(SUBSTITUTE(SUBSTITUTE(SUBSTITUTE(SUBSTITUTE(SUBSTITUTE(SUBSTITUTE(SUBSTITUTE(SUBSTITUTE(SUBSTITUTE(SUBSTITUTE(SUBSTITUTE(SUBSTITUTE(LOWER(V117&amp;""),CHAR(10)," "),CHAR(13)," "),CHAR(9)," "),CHAR(160)," "),"."," "),","," "),"-"," "),"/"," "),"("," "),")"," "),":"," "),";"," "),"_"," "),"–"," "),"?"," "),"!"," "),"*"," "),"["," "),"]"," "),"'"," "),"#"," "),"+"," "),"&amp;"," "),"\"," "))&amp;" "</f>
        <v>  </v>
      </c>
      <c r="BD117" s="61" t="str">
        <f aca="false">" "&amp;TRIM(SUBSTITUTE(SUBSTITUTE(SUBSTITUTE(SUBSTITUTE(SUBSTITUTE(SUBSTITUTE(SUBSTITUTE(SUBSTITUTE(SUBSTITUTE(SUBSTITUTE(SUBSTITUTE(SUBSTITUTE(SUBSTITUTE(SUBSTITUTE(SUBSTITUTE(SUBSTITUTE(SUBSTITUTE(SUBSTITUTE(SUBSTITUTE(SUBSTITUTE(SUBSTITUTE(SUBSTITUTE(SUBSTITUTE(SUBSTITUTE(LOWER(Z117&amp;""),CHAR(10)," "),CHAR(13)," "),CHAR(9)," "),CHAR(160)," "),"."," "),","," "),"-"," "),"/"," "),"("," "),")"," "),":"," "),";"," "),"_"," "),"–"," "),"?"," "),"!"," "),"*"," "),"["," "),"]"," "),"'"," "),"#"," "),"+"," "),"&amp;"," "),"\"," "))&amp;" "</f>
        <v>  </v>
      </c>
      <c r="BE117" s="61" t="str">
        <f aca="false">" "&amp;TRIM(SUBSTITUTE(SUBSTITUTE(SUBSTITUTE(SUBSTITUTE(SUBSTITUTE(SUBSTITUTE(SUBSTITUTE(SUBSTITUTE(SUBSTITUTE(SUBSTITUTE(SUBSTITUTE(SUBSTITUTE(SUBSTITUTE(SUBSTITUTE(SUBSTITUTE(SUBSTITUTE(SUBSTITUTE(SUBSTITUTE(SUBSTITUTE(SUBSTITUTE(SUBSTITUTE(SUBSTITUTE(SUBSTITUTE(SUBSTITUTE(LOWER(W117&amp;""),CHAR(10)," "),CHAR(13)," "),CHAR(9)," "),CHAR(160)," "),"."," "),","," "),"-"," "),"/"," "),"("," "),")"," "),":"," "),";"," "),"_"," "),"–"," "),"?"," "),"!"," "),"*"," "),"["," "),"]"," "),"'"," "),"#"," "),"+"," "),"&amp;"," "),"\"," "))&amp;" "</f>
        <v>  </v>
      </c>
      <c r="BF117" s="61" t="str">
        <f aca="false">" "&amp;TRIM(SUBSTITUTE(SUBSTITUTE(SUBSTITUTE(SUBSTITUTE(SUBSTITUTE(SUBSTITUTE(SUBSTITUTE(SUBSTITUTE(SUBSTITUTE(SUBSTITUTE(SUBSTITUTE(SUBSTITUTE(SUBSTITUTE(SUBSTITUTE(SUBSTITUTE(SUBSTITUTE(SUBSTITUTE(SUBSTITUTE(SUBSTITUTE(SUBSTITUTE(SUBSTITUTE(SUBSTITUTE(SUBSTITUTE(SUBSTITUTE(LOWER(AC117&amp;""),CHAR(10)," "),CHAR(13)," "),CHAR(9)," "),CHAR(160)," "),"."," "),","," "),"-"," "),"/"," "),"("," "),")"," "),":"," "),";"," "),"_"," "),"–"," "),"?"," "),"!"," "),"*"," "),"["," "),"]"," "),"'"," "),"#"," "),"+"," "),"&amp;"," "),"\"," "))&amp;" "</f>
        <v>  </v>
      </c>
      <c r="BG117" s="61" t="n">
        <f aca="false">IFERROR(IF(AND(TRIM(U117)="Pass",SUMPRODUCT((LEN(BC117)-LEN(SUBSTITUTE(BC117," "&amp;L_ResultBad&amp;" "," ")))/(LEN(L_ResultBad)+1))&gt;SUMPRODUCT((LEN(BC117)-LEN(SUBSTITUTE(BC117," "&amp;L_NegPhrase&amp;" "," ")))/(LEN(L_NegPhrase)+1))),1,0),0)</f>
        <v>0</v>
      </c>
      <c r="BH117" s="61" t="n">
        <f aca="false">IFERROR(IF(SUMPRODUCT((LEN(BC117)-LEN(SUBSTITUTE(BC117," "&amp;L_Pending&amp;" "," ")))/(LEN(L_Pending)+1))&gt;SUMPRODUCT((LEN(BC117)-LEN(SUBSTITUTE(BC117," "&amp;L_PendNeg&amp;" "," ")))/(LEN(L_PendNeg)+1))+SUMPRODUCT((LEN(BC117)-LEN(SUBSTITUTE(BC117," "&amp;L_PendPrep&amp;" "," ")))/(LEN(L_PendPrep)+1)),1,0),1)</f>
        <v>0</v>
      </c>
      <c r="BI117" s="61" t="n">
        <f aca="false">IFERROR(IF(SUMPRODUCT((LEN(BD117)-LEN(SUBSTITUTE(BD117," "&amp;L_PendStrict&amp;" "," ")))/(LEN(L_PendStrict)+1))&gt;SUMPRODUCT((LEN(BD117)-LEN(SUBSTITUTE(BD117," "&amp;L_PendNeg&amp;" "," ")))/(LEN(L_PendNeg)+1)),1,0),1)</f>
        <v>0</v>
      </c>
      <c r="BJ117" s="61" t="n">
        <f aca="false">IFERROR(IF(SUMPRODUCT((LEN(BE117)-LEN(SUBSTITUTE(BE117," "&amp;L_Pending&amp;" "," ")))/(LEN(L_Pending)+1))&gt;SUMPRODUCT((LEN(BE117)-LEN(SUBSTITUTE(BE117," "&amp;L_PendNeg&amp;" "," ")))/(LEN(L_PendNeg)+1))+SUMPRODUCT((LEN(BE117)-LEN(SUBSTITUTE(BE117," "&amp;L_PendPrep&amp;" "," ")))/(LEN(L_PendPrep)+1)),1,0),1)</f>
        <v>0</v>
      </c>
      <c r="BK117" s="61" t="n">
        <f aca="false">IFERROR(IF(SUMPRODUCT((LEN(BF117)-LEN(SUBSTITUTE(BF117," "&amp;L_PendStrict&amp;" "," ")))/(LEN(L_PendStrict)+1))&gt;SUMPRODUCT((LEN(BF117)-LEN(SUBSTITUTE(BF117," "&amp;L_PendNeg&amp;" "," ")))/(LEN(L_PendNeg)+1)),1,0),1)</f>
        <v>0</v>
      </c>
      <c r="BL117" s="61" t="n">
        <f aca="false">IF(ISNA(MATCH(TRIM(S117),L_EvidenceType,0)),0,BZ117)</f>
        <v>0</v>
      </c>
      <c r="BM117" s="61" t="str">
        <f aca="false">SUBSTITUTE(SUBSTITUTE(SUBSTITUTE(SUBSTITUTE(SUBSTITUTE(SUBSTITUTE(SUBSTITUTE(SUBSTITUTE(SUBSTITUTE(LOWER(Z117&amp;""),"1","0"),"2","0"),"3","0"),"4","0"),"5","0"),"6","0"),"7","0"),"8","0"),"9","0")</f>
        <v/>
      </c>
      <c r="BN117" s="61" t="str">
        <f aca="false">SUBSTITUTE(SUBSTITUTE(SUBSTITUTE(SUBSTITUTE(SUBSTITUTE(SUBSTITUTE(SUBSTITUTE(SUBSTITUTE(SUBSTITUTE(SUBSTITUTE(SUBSTITUTE(SUBSTITUTE(SUBSTITUTE(SUBSTITUTE(SUBSTITUTE(SUBSTITUTE(SUBSTITUTE(SUBSTITUTE(SUBSTITUTE(SUBSTITUTE(SUBSTITUTE(SUBSTITUTE(SUBSTITUTE(SUBSTITUTE(SUBSTITUTE(BM117,"b","a"),"c","a"),"d","a"),"e","a"),"f","a"),"g","a"),"h","a"),"i","a"),"j","a"),"k","a"),"l","a"),"m","a"),"n","a"),"o","a"),"p","a"),"q","a"),"r","a"),"s","a"),"t","a"),"u","a"),"v","a"),"w","a"),"x","a"),"y","a"),"z","a")</f>
        <v/>
      </c>
      <c r="BO117" s="61" t="str">
        <f aca="false">SUBSTITUTE(SUBSTITUTE(SUBSTITUTE(SUBSTITUTE(SUBSTITUTE(SUBSTITUTE(SUBSTITUTE(SUBSTITUTE(SUBSTITUTE(LOWER(W117&amp;""),"1","0"),"2","0"),"3","0"),"4","0"),"5","0"),"6","0"),"7","0"),"8","0"),"9","0")</f>
        <v/>
      </c>
      <c r="BP117" s="61" t="str">
        <f aca="false">SUBSTITUTE(SUBSTITUTE(SUBSTITUTE(SUBSTITUTE(SUBSTITUTE(SUBSTITUTE(SUBSTITUTE(SUBSTITUTE(SUBSTITUTE(SUBSTITUTE(SUBSTITUTE(SUBSTITUTE(SUBSTITUTE(SUBSTITUTE(SUBSTITUTE(SUBSTITUTE(SUBSTITUTE(SUBSTITUTE(SUBSTITUTE(SUBSTITUTE(SUBSTITUTE(SUBSTITUTE(SUBSTITUTE(SUBSTITUTE(SUBSTITUTE(BO117,"b","a"),"c","a"),"d","a"),"e","a"),"f","a"),"g","a"),"h","a"),"i","a"),"j","a"),"k","a"),"l","a"),"m","a"),"n","a"),"o","a"),"p","a"),"q","a"),"r","a"),"s","a"),"t","a"),"u","a"),"v","a"),"w","a"),"x","a"),"y","a"),"z","a")</f>
        <v/>
      </c>
      <c r="BQ117" s="61" t="n">
        <f aca="false">IFERROR(IF(AND(ISERROR(SEARCH(" mh"," "&amp;LOWER(W117))),ISNA(MATCH(LEFT(TRIM(BP117),255),{"0000a","000a","00a","0000aa","000aa","00aa","0aa","0000aaa","000aaa","00a00","0a00","0000-0000","00:00","a00","a0","00.00.0000","00/00/0000","00-00-0000","0000-00-00","0000/00/00","0000.00.00","00.00.00","00/00/00","00-00-00","0.00.0000","0/00/0000","0-00-0000"},0)),ISNA(MATCH(LEFT(TRIM(CA117),255),{"0000a","000a","00a","0000aa","000aa","00aa","0aa","0000aaa","000aaa","00a00","0a00","0000-0000","00:00","a00","a0","00.00.0000","00/00/0000","00-00-0000","0000-00-00","0000/00/00","0000.00.00","00.00.00","00/00/00","00-00-00","0.00.0000","0/00/0000","0-00-0000"},0)),LEN(CB117)&gt;=3,NOT(OR(SUBSTITUTE(CB117,"0","")="",AND(LEN(CB117)&gt;=4,CB117=REPT(LEFT(CB117),LEN(CB117))),ISNUMBER(MATCH(CB117,{"123","1234","12345","123456","1234567","12345678","0123","01234","012345","98765","987654","54321"},0)),AND(LEN(CB117)=8,LEFT(CB117,3)="202"))),OR(AND((LEN(CA117)-LEN(SUBSTITUTE(CA117,"a","")))&gt;=1,SUMPRODUCT(--ISNUMBER(SEARCH({"a0","a-0","a_0","a/0","a.0","a#0","0a","0-a","0_a","0/a"},BP117)))&gt;0),ISNUMBER(SEARCH("000000",BP117)))),1,0),0)</f>
        <v>0</v>
      </c>
      <c r="BR117" s="61" t="n">
        <f aca="false">IFERROR(LEN(SUBSTITUTE(CC117," ",""))-SUMPRODUCT((LEN(CC117)-LEN(SUBSTITUTE(CC117," "&amp;L_Role&amp;" "," ")))/(LEN(L_Role)+1)*LEN(L_Role)),0)</f>
        <v>0</v>
      </c>
      <c r="BS117" s="61" t="n">
        <f aca="false">IFERROR(LEN(SUBSTITUTE(CD117," ",""))-SUMPRODUCT((LEN(CD117)-LEN(SUBSTITUTE(CD117," "&amp;L_Role&amp;" "," ")))/(LEN(L_Role)+1)*LEN(L_Role)),0)</f>
        <v>0</v>
      </c>
      <c r="BT1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117,"revision",""),"version",""),"jan",""),"feb",""),"mar",""),"apr",""),"may",""),"jun",""),"jul",""),"aug",""),"sep",""),"oct",""),"nov",""),"dec",""),"utc",""),"gmt",""),"myt",""),"bst",""),"rev",""),"ver",""),"b","a"),"c","a"),"d","a"),"e","a"),"f","a"),"g","a"),"h","a"),"i","a"),"j","a"),"k","a"),"l","a"),"m","a"),"n","a"),"o","a"),"p","a"),"q","a"),"r","a"),"s","a"),"t","a"),"u","a"),"v","a"),"w","a"),"x","a"),"y","a"),"z","a")</f>
        <v/>
      </c>
      <c r="BU117" s="61" t="str">
        <f aca="false">SUBSTITUTE(SUBSTITUTE(SUBSTITUTE(SUBSTITUTE(SUBSTITUTE(SUBSTITUTE(SUBSTITUTE(SUBSTITUTE(SUBSTITUTE(SUBSTITUTE(LEFT(BM117,FIND("0",BM117&amp;"0")-1),"-",""),"_",""),"/",""),".",""),"#",""),"\\",""),":","")," ",""),"(",""),")","")</f>
        <v/>
      </c>
      <c r="BV117" s="61" t="n">
        <f aca="false">0</f>
        <v>0</v>
      </c>
      <c r="BW1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117&amp;""),"a",""),"b",""),"c",""),"d",""),"e",""),"f",""),"g",""),"h",""),"i",""),"j",""),"k",""),"l",""),"m",""),"n",""),"o",""),"p",""),"q",""),"r",""),"s",""),"t",""),"u",""),"v",""),"w",""),"x",""),"y",""),"z",""),"-",""),"_",""),"/",""),".",""),"#",""),"\\",""),":","")," ",""),"(",""),")","")</f>
        <v/>
      </c>
      <c r="BX117" s="61" t="str">
        <f aca="false">SUBSTITUTE(SUBSTITUTE(SUBSTITUTE(SUBSTITUTE(SUBSTITUTE(SUBSTITUTE(SUBSTITUTE(SUBSTITUTE(SUBSTITUTE(SUBSTITUTE(SUBSTITUTE(BM117,"0",""),"-",""),"_",""),"/",""),".",""),"#",""),"\\",""),":","")," ",""),"(",""),")","")</f>
        <v/>
      </c>
      <c r="BY117" s="62" t="n">
        <f aca="false">Q117-T12EarlyH/24</f>
        <v>46304.6458333333</v>
      </c>
      <c r="BZ117" s="61" t="n">
        <f aca="false">IFERROR(IF(IF(TRIM(S117)="Link / file path",AND(LEN(TRIM(Z117))&gt;=5,SUMPRODUCT(--ISNUMBER(SEARCH({"http","www.","\\",":\",".pdf",".jpg",".jpeg",".png",".heic",".xls",".doc",".msg",".eml",".ppt",".txt",".zip"},Z117)))&gt;0),AND(ISERROR(FIND(" ",TRIM(Z117))),NOT(OR(SUMPRODUCT(--ISNUMBER(FIND({",",";","&amp;","+"},Z117)))&gt;0,SUMPRODUCT(--ISNUMBER(SEARCH({"0/aa","0\\aa"},BN117)))&gt;0)),NOT(SUMPRODUCT(--ISNUMBER(SEARCH({"http","www.","\\",":\",".pdf",".jpg",".jpeg",".png",".heic",".xls",".doc",".msg",".eml",".ppt",".txt",".zip"},Z117)))&gt;0),NOT(LOWER(TRIM(Z117))=LOWER(Flights!$F$8)),ISNA(MATCH(BU117,{"mh","rev","revision","ver","version","v","r","a","b","seat","tray","row","gate","bay","stand","page","pg","item","line","no","cart","galley","flight","flt","table","box","bag","oven","etd","eta","std","sta","atd","ata","qty","pax","x","time","tel","ph","mob","day","wk","week","utc","gmt","myt","lt"},0)),NOT(OR(ISNUMBER(MATCH(LEFT(BN117,255),{"0000a","000a","00a","0000aa","000aa","00aa","0aa","0000aaa","000aaa","00a00","0a00","0000-0000","00:00","a00","a0","00.00.0000","00/00/0000","00-00-0000","0000-00-00","0000/00/00","0000.00.00","00.00.00","00/00/00","00-00-00","0.00.0000","0/00/0000","0-00-0000"},0)),ISNUMBER(MATCH(LEFT(BT117,255),{"0000a","000a","00a","0000aa","000aa","00aa","0aa","0000aaa","000aaa","00a00","0a00","0000-0000","00:00","a00","a0","00.00.0000","00/00/0000","00-00-0000","0000-00-00","0000/00/00","0000.00.00","00.00.00","00/00/00","00-00-00","0.00.0000","0/00/0000","0-00-0000"},0)))),NOT(OR(AND(BW117&lt;&gt;"",SUBSTITUTE(BW117,"0","")=""),AND(LEN(BW117)&gt;=4,BW117=REPT(LEFT(BW117),LEN(BW117))),ISNUMBER(MATCH(BW117,{"123","1234","12345","123456","1234567","12345678","0123","01234","012345","98765","987654","54321"},0)),ISNUMBER(MATCH(BX117,{"x","xx","xxx","xxxx","xxxxx","abc","abcd","nil","na","nan","test","tbc","tba","tbd","dummy","sample","example","eg","zz","zzz","none","null","xyz","qwe","asd","id","ref"},0)),AND(LEN(BW117)=8,BX117="",OR(LEFT(BW117,3)="202",ISNUMBER(MATCH(RIGHT(BW117,4),{"2025","2026","2027"},0)))))),OR(AND((LEN(BT117)-LEN(SUBSTITUTE(BT117,"a","")))&gt;=1,(LEN(BN117)-LEN(SUBSTITUTE(BN117,"0","")))&gt;=2,SUMPRODUCT(--ISNUMBER(SEARCH({"a0","a-0","a_0","a/0","a.0","a#0","0a","0-a","0_a","0/a"},BN117)))&gt;0),AND((LEN(BN117)-LEN(SUBSTITUTE(BN117,"a","")))=0,(LEN(BN117)-LEN(SUBSTITUTE(BN117,"0","")))&gt;=5)))),1,0),0)</f>
        <v>0</v>
      </c>
      <c r="CA1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117,"revision",""),"version",""),"jan",""),"feb",""),"mar",""),"apr",""),"may",""),"jun",""),"jul",""),"aug",""),"sep",""),"oct",""),"nov",""),"dec",""),"utc",""),"gmt",""),"myt",""),"bst",""),"rev",""),"ver",""),"b","a"),"c","a"),"d","a"),"e","a"),"f","a"),"g","a"),"h","a"),"i","a"),"j","a"),"k","a"),"l","a"),"m","a"),"n","a"),"o","a"),"p","a"),"q","a"),"r","a"),"s","a"),"t","a"),"u","a"),"v","a"),"w","a"),"x","a"),"y","a"),"z","a")</f>
        <v/>
      </c>
      <c r="CB1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117&amp;""),"a",""),"b",""),"c",""),"d",""),"e",""),"f",""),"g",""),"h",""),"i",""),"j",""),"k",""),"l",""),"m",""),"n",""),"o",""),"p",""),"q",""),"r",""),"s",""),"t",""),"u",""),"v",""),"w",""),"x",""),"y",""),"z",""),"-",""),"_",""),"/",""),".",""),"#",""),"\\",""),":","")," ",""),"(",""),")","")</f>
        <v/>
      </c>
      <c r="CC117" s="0" t="str">
        <f aca="false">" "&amp;TRIM(SUBSTITUTE(SUBSTITUTE(SUBSTITUTE(SUBSTITUTE(SUBSTITUTE(SUBSTITUTE(SUBSTITUTE(SUBSTITUTE(SUBSTITUTE(SUBSTITUTE(SUBSTITUTE(SUBSTITUTE(SUBSTITUTE(SUBSTITUTE(SUBSTITUTE(SUBSTITUTE(SUBSTITUTE(SUBSTITUTE(SUBSTITUTE(SUBSTITUTE(SUBSTITUTE(SUBSTITUTE(SUBSTITUTE(SUBSTITUTE(LOWER(T117&amp;""),CHAR(10)," "),CHAR(13)," "),CHAR(9)," "),CHAR(160)," "),"."," "),","," "),"-"," "),"/"," "),"("," "),")"," "),":"," "),";"," "),"_"," "),"–"," "),"?"," "),"!"," "),"*"," "),"["," "),"]"," "),"'"," "),"#"," "),"+"," "),"&amp;"," "),"\"," "))&amp;" "</f>
        <v>  </v>
      </c>
      <c r="CD117" s="0" t="str">
        <f aca="false">" "&amp;TRIM(SUBSTITUTE(SUBSTITUTE(SUBSTITUTE(SUBSTITUTE(SUBSTITUTE(SUBSTITUTE(SUBSTITUTE(SUBSTITUTE(SUBSTITUTE(SUBSTITUTE(SUBSTITUTE(SUBSTITUTE(SUBSTITUTE(SUBSTITUTE(SUBSTITUTE(SUBSTITUTE(SUBSTITUTE(SUBSTITUTE(SUBSTITUTE(SUBSTITUTE(SUBSTITUTE(SUBSTITUTE(SUBSTITUTE(SUBSTITUTE(LOWER(AE117&amp;""),CHAR(10)," "),CHAR(13)," "),CHAR(9)," "),CHAR(160)," "),"."," "),","," "),"-"," "),"/"," "),"("," "),")"," "),":"," "),";"," "),"_"," "),"–"," "),"?"," "),"!"," "),"*"," "),"["," "),"]"," "),"'"," "),"#"," "),"+"," "),"&amp;"," "),"\"," "))&amp;" "</f>
        <v>  </v>
      </c>
      <c r="CE117" s="68" t="n">
        <f aca="false">IFERROR(IF(AND(LEN(AU117)&gt;0,LEN(AU117)=LEN(AX117),OR(TRIM(MID(SUBSTITUTE(TRIM(CC117)," ",REPT(" ",60)),1,60))="",ISNUMBER(SEARCH(" "&amp;TRIM(MID(SUBSTITUTE(TRIM(CC117)," ",REPT(" ",60)),1,60))&amp;" ",CD117))),OR(TRIM(MID(SUBSTITUTE(TRIM(CC117)," ",REPT(" ",60)),61,60))="",ISNUMBER(SEARCH(" "&amp;TRIM(MID(SUBSTITUTE(TRIM(CC117)," ",REPT(" ",60)),61,60))&amp;" ",CD117))),OR(TRIM(MID(SUBSTITUTE(TRIM(CC117)," ",REPT(" ",60)),121,60))="",ISNUMBER(SEARCH(" "&amp;TRIM(MID(SUBSTITUTE(TRIM(CC117)," ",REPT(" ",60)),121,60))&amp;" ",CD117)))),1,0),0)</f>
        <v>0</v>
      </c>
      <c r="CG117" s="68" t="n">
        <f aca="false">IFERROR(LEN(SUBSTITUTE(BF117," ",""))-SUMPRODUCT((LEN(BF117)-LEN(SUBSTITUTE(BF117," "&amp;L_NAFiller&amp;" "," ")))/(LEN(L_NAFiller)+1)*LEN(L_NAFiller)),0)</f>
        <v>0</v>
      </c>
    </row>
    <row r="118" customFormat="false" ht="41.25" hidden="false" customHeight="true" outlineLevel="0" collapsed="false">
      <c r="A118" s="57" t="s">
        <v>625</v>
      </c>
      <c r="B118" s="57" t="s">
        <v>218</v>
      </c>
      <c r="C118" s="57" t="str">
        <f aca="false">Flights!$F$8</f>
        <v>MH0088</v>
      </c>
      <c r="D118" s="58" t="n">
        <f aca="false">Flights!$D$8</f>
        <v>46305</v>
      </c>
      <c r="E118" s="57" t="str">
        <f aca="false">Flights!$G$8&amp;"-"&amp;Flights!$H$8</f>
        <v>KUL-NRT</v>
      </c>
      <c r="F118" s="57" t="str">
        <f aca="false">Flights!$K$8</f>
        <v>BC</v>
      </c>
      <c r="G118" s="57" t="s">
        <v>420</v>
      </c>
      <c r="H118" s="57" t="s">
        <v>378</v>
      </c>
      <c r="I118" s="57" t="s">
        <v>447</v>
      </c>
      <c r="J118" s="57" t="s">
        <v>626</v>
      </c>
      <c r="K118" s="67" t="s">
        <v>449</v>
      </c>
      <c r="L118" s="67" t="s">
        <v>627</v>
      </c>
      <c r="M118" s="67" t="s">
        <v>451</v>
      </c>
      <c r="N118" s="67" t="s">
        <v>383</v>
      </c>
      <c r="O118" s="67" t="s">
        <v>503</v>
      </c>
      <c r="P118" s="57" t="s">
        <v>187</v>
      </c>
      <c r="Q118" s="59" t="n">
        <f aca="false">ROUND((Flights!$AE$8)*1440,0)/1440</f>
        <v>46305.1458333333</v>
      </c>
      <c r="R118" s="59" t="n">
        <f aca="false">Q118+(IF(AND(INDEX(TZ_DSTS,MATCH(P118,TZ_STN,0))&lt;&gt;"",Q118&gt;=INDEX(TZ_DSTS,MATCH(P118,TZ_STN,0)),Q118&lt;INDEX(TZ_DSTE,MATCH(P118,TZ_STN,0))),INDEX(TZ_DST,MATCH(P118,TZ_STN,0)),INDEX(TZ_STD,MATCH(P118,TZ_STN,0))))/24</f>
        <v>46305.4791666667</v>
      </c>
      <c r="S118" s="60"/>
      <c r="T118" s="60"/>
      <c r="U118" s="60"/>
      <c r="V118" s="60"/>
      <c r="W118" s="61"/>
      <c r="X118" s="60"/>
      <c r="Y118" s="60"/>
      <c r="Z118" s="60"/>
      <c r="AA118" s="60"/>
      <c r="AB118" s="60"/>
      <c r="AC118" s="60"/>
      <c r="AD118" s="66"/>
      <c r="AE118" s="60"/>
      <c r="AF118" s="61" t="str">
        <f aca="false">IF(AND(ISNUMBER(X118),ISNUMBER(Y118)),Y118-X118,"")</f>
        <v/>
      </c>
      <c r="AG118" s="62" t="str">
        <f aca="false">IF(ISNUMBER(AD118),AD118-(IF(AND(INDEX(TZ_DSTS,MATCH(P118,TZ_STN,0))&lt;&gt;"",(AD118-INDEX(TZ_STD,MATCH(P118,TZ_STN,0))/24)&gt;=INDEX(TZ_DSTS,MATCH(P118,TZ_STN,0)),(AD118-INDEX(TZ_STD,MATCH(P118,TZ_STN,0))/24)&lt;INDEX(TZ_DSTE,MATCH(P118,TZ_STN,0))),INDEX(TZ_DST,MATCH(P118,TZ_STN,0)),INDEX(TZ_STD,MATCH(P118,TZ_STN,0))))/24,"")</f>
        <v/>
      </c>
      <c r="AH118" s="65" t="str">
        <f aca="false">IFERROR(IF(N118="N/A – rule",IF(OR(TRIM(U118)="",TRIM(U118)="N/A",TRIM(U118)="Not started"),"N/A – RULE","INVALID – this check does not apply to this aircraft: clear the status (or correct the fleet on Flights)"),IF(TRIM(U118)="N/A",IF(AT118=0,"INVALID – N/A not permitted for this check",IF(AND(TRIM(AB118)&lt;&gt;"",TRIM(AB118)&lt;&gt;"Closed"),"INVALID – corrective action still open",IF(AND(NOT(OR(LEN(AZ118)&lt;15,ISNUMBER(MATCH(AZ118,L_Placeholder,0)))),BK118=0,CG118&gt;=8,NOT(OR(LEN(AU118)&lt;2,ISNUMBER(MATCH(AU118,L_Placeholder,0)))),BR118&gt;=3,NOT(OR(LEN(AX118)&lt;2,ISNUMBER(MATCH(AX118,L_Placeholder,0)))),BS118&gt;=3,TRIM(AE118)&lt;&gt;TRIM(T118),AX118&lt;&gt;AU118,CE118=0),"N/A – JUSTIFIED","INVALID – N/A needs a real, settled reason (not 'not applicable' / 'as above' / TBC), a named PIC and a different named verifier"))),IF(OR(TRIM(U118)="Pass",TRIM(U118)="Pass after CA"),IF(NOT(ISNUMBER(AD118)),"INVALID – completion time missing",IF(OR(OR(LEN(AU118)&lt;2,ISNUMBER(MATCH(AU118,L_Placeholder,0))),BR118&lt;3),"INVALID – PIC missing or not a named person (a role such as QA / CSM is not a name)",IF(OR(LEN(AV118)&lt;2,ISNUMBER(MATCH(AV118,L_Placeholder,0))),"INVALID – result / assessment missing",IF(OR(OR(LEN(AW118)&lt;3,ISNUMBER(MATCH(AW118,L_Placeholder,0))),SUMPRODUCT(--ISNUMBER(SEARCH(" "&amp;L_EvidencePhrase&amp;" ",BD118)))&gt;0,BI118=1),"INVALID – evidence missing, placeholder or not yet on file",IF(ISNA(MATCH(TRIM(S118),L_EvidenceType,0)),"INVALID – choose the evidence type from the list (column S)",IF(BL118=0,"INVALID – evidence ID must be the record's own ID only (e.g. SF-2210, IMG_2231, 1045521); a link / file name needs type 'Link / file path'",IF(OR(OR(LEN(AX118)&lt;2,ISNUMBER(MATCH(AX118,L_Placeholder,0))),BS118&lt;3),"INVALID – verifier missing or not a named person (a role such as QA / CSM is not a name)",IF(OR(AX118=AU118,CE118=1,AND(LEN(AU118)&gt;=4,ISNUMBER(SEARCH(AU118,AX118))),AND(LEN(AX118)&gt;=4,ISNUMBER(SEARCH(AX118,AU118)))),"INVALID – verifier must be a different, named person (not the PIC or a role)",IF(BH118=1,"INVALID – result not yet available (awaiting / TBC)",IF(BG118=1,"INVALID – result describes a problem: record Fail, then Pass after CA (or reword if it is not a problem)",IF(BV118=1,"INVALID – wording says not on board: an on-board confirmation needs the item loaded",IF(AND(AQ118=1,OR(OR(LEN(AY118)&lt;3,ISNUMBER(MATCH(AY118,L_Placeholder,0))),BJ118=1,BQ118=0)),"INVALID – batch ID missing, placeholder or not an ID (e.g. PASB-261008-BC-017)",IF(AND(AR118=1,OR(NOT(ISNUMBER(X118)),NOT(ISNUMBER(Y118)))),"INVALID – expected/actual qty missing",IF(AND(AR118=1,OR(X118&lt;=0,Y118&lt;0)),"INVALID – expected qty must be above 0 and actual not negative",IF(BB118&lt;&gt;"",BB118,IF(AND(AS118=1,Documents!$J$8&lt;&gt;"ON FILE"),"INVALID – GLD not on file (Documents sheet)",IF(AND(AS118=2,Documents!$O$8&lt;&gt;"ON FILE"),"INVALID – menu checklist not on file (Documents sheet)",IF(AND(AS118=3,NOT(ISNUMBER(Flights!$AX$8))),"INVALID – enter carrying flight KUL departure (Flights AX)",IF(AND(AS118=3,OR(Flights!$AZ$8&gt;Flights!$AA$8,Flights!$AX$8&lt;Flights!$AA$8-3)),"INVALID – carrying flight (Flights AX) cannot arrive before this leg's STD, or is over 3 days early",IF(AG118&gt;AsOfUTC,"INVALID – completion time is in the future",IF(AND(ISNUMBER(BY118),AG118&lt;BY118),IF(H118="Physical uplift","INVALID – before uplift window (cannot confirm loading)","INVALID – before valid window"),IF(AG118&gt;Flights!$AA$8,"INVALID – completed after departure (cannot establish readiness)",IF(AND(H118="Preparation",AG118&gt;=IF(ISNUMBER(Flights!$BA$8),MIN(Flights!$BA$8,Flights!$AA$8),Flights!$AA$8)),"INVALID – completed after loading / departure (cannot establish readiness)",IF(AND(H118="Physical uplift",AG118&gt;Q118),"INVALID – recorded after the loading flight departed",IF(AG118&gt;Q118,"COMPLETE – LATE","COMPLETE"))))))))))))))))))))))))),IF(TRIM(U118)="Fail","FAIL – DISCREPANCY",IF(AND(TRIM(U118)&lt;&gt;"",TRIM(U118)&lt;&gt;"Not started",TRIM(U118)&lt;&gt;"In progress"),"INVALID – unrecognised status (use the list)",IF(AsOfUTC&gt;Q118,"OVERDUE",IF(N118="Clarification required","OPEN – CLARIFICATION","OPEN"))))))),"INVALID – error value in an input cell")</f>
        <v>OPEN</v>
      </c>
      <c r="AI118" s="61" t="n">
        <f aca="false">IF(OR(AH118="N/A – RULE",AH118="N/A – JUSTIFIED"),0,1)</f>
        <v>1</v>
      </c>
      <c r="AJ118" s="61" t="n">
        <f aca="false">IF(LEFT(AH118,8)="COMPLETE",1,0)</f>
        <v>0</v>
      </c>
      <c r="AK118" s="61" t="n">
        <f aca="false">IF(AND(AI118=1,AJ118=0,AsOfUTC&gt;Q118),1,0)</f>
        <v>0</v>
      </c>
      <c r="AL118" s="61" t="n">
        <f aca="false">IFERROR(IF(AND(AI118=1,OR(TRIM(U118)="Fail",AND(TRIM(AB118)&lt;&gt;"",TRIM(AB118)&lt;&gt;"Closed"),AND(ISNUMBER(AF118),AF118&lt;&gt;0,TRIM(U118)&lt;&gt;"Pass after CA"))),1,0),1)</f>
        <v>0</v>
      </c>
      <c r="AM118" s="61" t="n">
        <f aca="false">IF(LEFT(AH118,7)="INVALID",1,0)</f>
        <v>0</v>
      </c>
      <c r="AN118" s="61" t="n">
        <f aca="false">IF(AND(N118="Clarification required",AI118=1,AJ118=0),1,0)</f>
        <v>0</v>
      </c>
      <c r="AO118" s="61" t="str">
        <f aca="false">IF(AK118=1,SUM(AK$5:AK118),"")</f>
        <v/>
      </c>
      <c r="AP118" s="61" t="str">
        <f aca="false">IF(AL118=1,SUM(AL$5:AL118),"")</f>
        <v/>
      </c>
      <c r="AQ118" s="61" t="n">
        <v>0</v>
      </c>
      <c r="AR118" s="61" t="n">
        <v>0</v>
      </c>
      <c r="AS118" s="61" t="n">
        <v>0</v>
      </c>
      <c r="AT118" s="61" t="n">
        <v>0</v>
      </c>
      <c r="AU118" s="61" t="str">
        <f aca="false">SUBSTITUTE(SUBSTITUTE(SUBSTITUTE(SUBSTITUTE(SUBSTITUTE(SUBSTITUTE(SUBSTITUTE(SUBSTITUTE(SUBSTITUTE(SUBSTITUTE(SUBSTITUTE(SUBSTITUTE(SUBSTITUTE(SUBSTITUTE(SUBSTITUTE(SUBSTITUTE(LOWER(T118&amp;""),CHAR(10),""),CHAR(13),""),CHAR(9),""),CHAR(160),"")," ",""),".",""),"-",""),"/",""),"?",""),"_",""),",",""),"[",""),"]",""),"(",""),")",""),"*","")</f>
        <v/>
      </c>
      <c r="AV118" s="61" t="str">
        <f aca="false">SUBSTITUTE(SUBSTITUTE(SUBSTITUTE(SUBSTITUTE(SUBSTITUTE(SUBSTITUTE(SUBSTITUTE(SUBSTITUTE(SUBSTITUTE(SUBSTITUTE(SUBSTITUTE(SUBSTITUTE(SUBSTITUTE(SUBSTITUTE(SUBSTITUTE(SUBSTITUTE(LOWER(V118&amp;""),CHAR(10),""),CHAR(13),""),CHAR(9),""),CHAR(160),"")," ",""),".",""),"-",""),"/",""),"?",""),"_",""),",",""),"[",""),"]",""),"(",""),")",""),"*","")</f>
        <v/>
      </c>
      <c r="AW118" s="61" t="str">
        <f aca="false">SUBSTITUTE(SUBSTITUTE(SUBSTITUTE(SUBSTITUTE(SUBSTITUTE(SUBSTITUTE(SUBSTITUTE(SUBSTITUTE(SUBSTITUTE(SUBSTITUTE(SUBSTITUTE(SUBSTITUTE(SUBSTITUTE(SUBSTITUTE(SUBSTITUTE(SUBSTITUTE(LOWER(Z118&amp;""),CHAR(10),""),CHAR(13),""),CHAR(9),""),CHAR(160),"")," ",""),".",""),"-",""),"/",""),"?",""),"_",""),",",""),"[",""),"]",""),"(",""),")",""),"*","")</f>
        <v/>
      </c>
      <c r="AX118" s="61" t="str">
        <f aca="false">SUBSTITUTE(SUBSTITUTE(SUBSTITUTE(SUBSTITUTE(SUBSTITUTE(SUBSTITUTE(SUBSTITUTE(SUBSTITUTE(SUBSTITUTE(SUBSTITUTE(SUBSTITUTE(SUBSTITUTE(SUBSTITUTE(SUBSTITUTE(SUBSTITUTE(SUBSTITUTE(LOWER(AE118&amp;""),CHAR(10),""),CHAR(13),""),CHAR(9),""),CHAR(160),"")," ",""),".",""),"-",""),"/",""),"?",""),"_",""),",",""),"[",""),"]",""),"(",""),")",""),"*","")</f>
        <v/>
      </c>
      <c r="AY118" s="61" t="str">
        <f aca="false">SUBSTITUTE(SUBSTITUTE(SUBSTITUTE(SUBSTITUTE(SUBSTITUTE(SUBSTITUTE(SUBSTITUTE(SUBSTITUTE(SUBSTITUTE(SUBSTITUTE(SUBSTITUTE(SUBSTITUTE(SUBSTITUTE(SUBSTITUTE(SUBSTITUTE(SUBSTITUTE(LOWER(W118&amp;""),CHAR(10),""),CHAR(13),""),CHAR(9),""),CHAR(160),"")," ",""),".",""),"-",""),"/",""),"?",""),"_",""),",",""),"[",""),"]",""),"(",""),")",""),"*","")</f>
        <v/>
      </c>
      <c r="AZ118" s="61" t="str">
        <f aca="false">SUBSTITUTE(SUBSTITUTE(SUBSTITUTE(SUBSTITUTE(SUBSTITUTE(SUBSTITUTE(SUBSTITUTE(SUBSTITUTE(SUBSTITUTE(SUBSTITUTE(SUBSTITUTE(SUBSTITUTE(SUBSTITUTE(SUBSTITUTE(SUBSTITUTE(SUBSTITUTE(LOWER(AC118&amp;""),CHAR(10),""),CHAR(13),""),CHAR(9),""),CHAR(160),"")," ",""),".",""),"-",""),"/",""),"?",""),"_",""),",",""),"[",""),"]",""),"(",""),")",""),"*","")</f>
        <v/>
      </c>
      <c r="BA118" s="61" t="str">
        <f aca="false">SUBSTITUTE(SUBSTITUTE(SUBSTITUTE(SUBSTITUTE(SUBSTITUTE(SUBSTITUTE(SUBSTITUTE(SUBSTITUTE(SUBSTITUTE(SUBSTITUTE(SUBSTITUTE(SUBSTITUTE(SUBSTITUTE(SUBSTITUTE(SUBSTITUTE(SUBSTITUTE(LOWER(AA118&amp;""),CHAR(10),""),CHAR(13),""),CHAR(9),""),CHAR(160),"")," ",""),".",""),"-",""),"/",""),"?",""),"_",""),",",""),"[",""),"]",""),"(",""),")",""),"*","")</f>
        <v/>
      </c>
      <c r="BB118" s="61" t="str">
        <f aca="false">IF(AND(TRIM(U118)="Pass",ISNUMBER(AF118)),IF(AF118&lt;&gt;0,"INVALID – qty variance: use Fail or Pass after CA",""),"")&amp;IF(AND(TRIM(U118)="Pass after CA",ISNUMBER(AF118)),IF(AF118&lt;&gt;0,"INVALID – after the corrective action the actual qty must equal expected (update Actual)",""),"")&amp;IF(AND(TRIM(U118)="Pass",TRIM(AB118)&lt;&gt;"",TRIM(AB118)&lt;&gt;"Closed"),"INVALID – corrective action not closed: use Fail, then Pass after CA","")&amp;IF(AND(LEN(BA118)&gt;=2,ISNA(MATCH(LEFT(BA118,255),L_Placeholder,0)),TRIM(AB118)=""),"INVALID – CA status missing for the recorded corrective action","")&amp;IF(AND(TRIM(U118)="Pass after CA",OR(OR(LEN(BA118)&lt;5,ISNUMBER(MATCH(BA118,L_Placeholder,0))),TRIM(AB118)&lt;&gt;"Closed")),"INVALID – corrective action not recorded/closed","")</f>
        <v/>
      </c>
      <c r="BC118" s="61" t="str">
        <f aca="false">" "&amp;TRIM(SUBSTITUTE(SUBSTITUTE(SUBSTITUTE(SUBSTITUTE(SUBSTITUTE(SUBSTITUTE(SUBSTITUTE(SUBSTITUTE(SUBSTITUTE(SUBSTITUTE(SUBSTITUTE(SUBSTITUTE(SUBSTITUTE(SUBSTITUTE(SUBSTITUTE(SUBSTITUTE(SUBSTITUTE(SUBSTITUTE(SUBSTITUTE(SUBSTITUTE(SUBSTITUTE(SUBSTITUTE(SUBSTITUTE(SUBSTITUTE(LOWER(V118&amp;""),CHAR(10)," "),CHAR(13)," "),CHAR(9)," "),CHAR(160)," "),"."," "),","," "),"-"," "),"/"," "),"("," "),")"," "),":"," "),";"," "),"_"," "),"–"," "),"?"," "),"!"," "),"*"," "),"["," "),"]"," "),"'"," "),"#"," "),"+"," "),"&amp;"," "),"\"," "))&amp;" "</f>
        <v>  </v>
      </c>
      <c r="BD118" s="61" t="str">
        <f aca="false">" "&amp;TRIM(SUBSTITUTE(SUBSTITUTE(SUBSTITUTE(SUBSTITUTE(SUBSTITUTE(SUBSTITUTE(SUBSTITUTE(SUBSTITUTE(SUBSTITUTE(SUBSTITUTE(SUBSTITUTE(SUBSTITUTE(SUBSTITUTE(SUBSTITUTE(SUBSTITUTE(SUBSTITUTE(SUBSTITUTE(SUBSTITUTE(SUBSTITUTE(SUBSTITUTE(SUBSTITUTE(SUBSTITUTE(SUBSTITUTE(SUBSTITUTE(LOWER(Z118&amp;""),CHAR(10)," "),CHAR(13)," "),CHAR(9)," "),CHAR(160)," "),"."," "),","," "),"-"," "),"/"," "),"("," "),")"," "),":"," "),";"," "),"_"," "),"–"," "),"?"," "),"!"," "),"*"," "),"["," "),"]"," "),"'"," "),"#"," "),"+"," "),"&amp;"," "),"\"," "))&amp;" "</f>
        <v>  </v>
      </c>
      <c r="BE118" s="61" t="str">
        <f aca="false">" "&amp;TRIM(SUBSTITUTE(SUBSTITUTE(SUBSTITUTE(SUBSTITUTE(SUBSTITUTE(SUBSTITUTE(SUBSTITUTE(SUBSTITUTE(SUBSTITUTE(SUBSTITUTE(SUBSTITUTE(SUBSTITUTE(SUBSTITUTE(SUBSTITUTE(SUBSTITUTE(SUBSTITUTE(SUBSTITUTE(SUBSTITUTE(SUBSTITUTE(SUBSTITUTE(SUBSTITUTE(SUBSTITUTE(SUBSTITUTE(SUBSTITUTE(LOWER(W118&amp;""),CHAR(10)," "),CHAR(13)," "),CHAR(9)," "),CHAR(160)," "),"."," "),","," "),"-"," "),"/"," "),"("," "),")"," "),":"," "),";"," "),"_"," "),"–"," "),"?"," "),"!"," "),"*"," "),"["," "),"]"," "),"'"," "),"#"," "),"+"," "),"&amp;"," "),"\"," "))&amp;" "</f>
        <v>  </v>
      </c>
      <c r="BF118" s="61" t="str">
        <f aca="false">" "&amp;TRIM(SUBSTITUTE(SUBSTITUTE(SUBSTITUTE(SUBSTITUTE(SUBSTITUTE(SUBSTITUTE(SUBSTITUTE(SUBSTITUTE(SUBSTITUTE(SUBSTITUTE(SUBSTITUTE(SUBSTITUTE(SUBSTITUTE(SUBSTITUTE(SUBSTITUTE(SUBSTITUTE(SUBSTITUTE(SUBSTITUTE(SUBSTITUTE(SUBSTITUTE(SUBSTITUTE(SUBSTITUTE(SUBSTITUTE(SUBSTITUTE(LOWER(AC118&amp;""),CHAR(10)," "),CHAR(13)," "),CHAR(9)," "),CHAR(160)," "),"."," "),","," "),"-"," "),"/"," "),"("," "),")"," "),":"," "),";"," "),"_"," "),"–"," "),"?"," "),"!"," "),"*"," "),"["," "),"]"," "),"'"," "),"#"," "),"+"," "),"&amp;"," "),"\"," "))&amp;" "</f>
        <v>  </v>
      </c>
      <c r="BG118" s="61" t="n">
        <f aca="false">IFERROR(IF(AND(TRIM(U118)="Pass",SUMPRODUCT((LEN(BC118)-LEN(SUBSTITUTE(BC118," "&amp;L_ResultBad&amp;" "," ")))/(LEN(L_ResultBad)+1))&gt;SUMPRODUCT((LEN(BC118)-LEN(SUBSTITUTE(BC118," "&amp;L_NegPhrase&amp;" "," ")))/(LEN(L_NegPhrase)+1))),1,0),0)</f>
        <v>0</v>
      </c>
      <c r="BH118" s="61" t="n">
        <f aca="false">IFERROR(IF(SUMPRODUCT((LEN(BC118)-LEN(SUBSTITUTE(BC118," "&amp;L_Pending&amp;" "," ")))/(LEN(L_Pending)+1))&gt;SUMPRODUCT((LEN(BC118)-LEN(SUBSTITUTE(BC118," "&amp;L_PendNeg&amp;" "," ")))/(LEN(L_PendNeg)+1))+SUMPRODUCT((LEN(BC118)-LEN(SUBSTITUTE(BC118," "&amp;L_PendPrep&amp;" "," ")))/(LEN(L_PendPrep)+1)),1,0),1)</f>
        <v>0</v>
      </c>
      <c r="BI118" s="61" t="n">
        <f aca="false">IFERROR(IF(SUMPRODUCT((LEN(BD118)-LEN(SUBSTITUTE(BD118," "&amp;L_PendStrict&amp;" "," ")))/(LEN(L_PendStrict)+1))&gt;SUMPRODUCT((LEN(BD118)-LEN(SUBSTITUTE(BD118," "&amp;L_PendNeg&amp;" "," ")))/(LEN(L_PendNeg)+1)),1,0),1)</f>
        <v>0</v>
      </c>
      <c r="BJ118" s="61" t="n">
        <f aca="false">IFERROR(IF(SUMPRODUCT((LEN(BE118)-LEN(SUBSTITUTE(BE118," "&amp;L_Pending&amp;" "," ")))/(LEN(L_Pending)+1))&gt;SUMPRODUCT((LEN(BE118)-LEN(SUBSTITUTE(BE118," "&amp;L_PendNeg&amp;" "," ")))/(LEN(L_PendNeg)+1))+SUMPRODUCT((LEN(BE118)-LEN(SUBSTITUTE(BE118," "&amp;L_PendPrep&amp;" "," ")))/(LEN(L_PendPrep)+1)),1,0),1)</f>
        <v>0</v>
      </c>
      <c r="BK118" s="61" t="n">
        <f aca="false">IFERROR(IF(SUMPRODUCT((LEN(BF118)-LEN(SUBSTITUTE(BF118," "&amp;L_PendStrict&amp;" "," ")))/(LEN(L_PendStrict)+1))&gt;SUMPRODUCT((LEN(BF118)-LEN(SUBSTITUTE(BF118," "&amp;L_PendNeg&amp;" "," ")))/(LEN(L_PendNeg)+1)),1,0),1)</f>
        <v>0</v>
      </c>
      <c r="BL118" s="61" t="n">
        <f aca="false">IF(ISNA(MATCH(TRIM(S118),L_EvidenceType,0)),0,BZ118)</f>
        <v>0</v>
      </c>
      <c r="BM118" s="61" t="str">
        <f aca="false">SUBSTITUTE(SUBSTITUTE(SUBSTITUTE(SUBSTITUTE(SUBSTITUTE(SUBSTITUTE(SUBSTITUTE(SUBSTITUTE(SUBSTITUTE(LOWER(Z118&amp;""),"1","0"),"2","0"),"3","0"),"4","0"),"5","0"),"6","0"),"7","0"),"8","0"),"9","0")</f>
        <v/>
      </c>
      <c r="BN118" s="61" t="str">
        <f aca="false">SUBSTITUTE(SUBSTITUTE(SUBSTITUTE(SUBSTITUTE(SUBSTITUTE(SUBSTITUTE(SUBSTITUTE(SUBSTITUTE(SUBSTITUTE(SUBSTITUTE(SUBSTITUTE(SUBSTITUTE(SUBSTITUTE(SUBSTITUTE(SUBSTITUTE(SUBSTITUTE(SUBSTITUTE(SUBSTITUTE(SUBSTITUTE(SUBSTITUTE(SUBSTITUTE(SUBSTITUTE(SUBSTITUTE(SUBSTITUTE(SUBSTITUTE(BM118,"b","a"),"c","a"),"d","a"),"e","a"),"f","a"),"g","a"),"h","a"),"i","a"),"j","a"),"k","a"),"l","a"),"m","a"),"n","a"),"o","a"),"p","a"),"q","a"),"r","a"),"s","a"),"t","a"),"u","a"),"v","a"),"w","a"),"x","a"),"y","a"),"z","a")</f>
        <v/>
      </c>
      <c r="BO118" s="61" t="str">
        <f aca="false">SUBSTITUTE(SUBSTITUTE(SUBSTITUTE(SUBSTITUTE(SUBSTITUTE(SUBSTITUTE(SUBSTITUTE(SUBSTITUTE(SUBSTITUTE(LOWER(W118&amp;""),"1","0"),"2","0"),"3","0"),"4","0"),"5","0"),"6","0"),"7","0"),"8","0"),"9","0")</f>
        <v/>
      </c>
      <c r="BP118" s="61" t="str">
        <f aca="false">SUBSTITUTE(SUBSTITUTE(SUBSTITUTE(SUBSTITUTE(SUBSTITUTE(SUBSTITUTE(SUBSTITUTE(SUBSTITUTE(SUBSTITUTE(SUBSTITUTE(SUBSTITUTE(SUBSTITUTE(SUBSTITUTE(SUBSTITUTE(SUBSTITUTE(SUBSTITUTE(SUBSTITUTE(SUBSTITUTE(SUBSTITUTE(SUBSTITUTE(SUBSTITUTE(SUBSTITUTE(SUBSTITUTE(SUBSTITUTE(SUBSTITUTE(BO118,"b","a"),"c","a"),"d","a"),"e","a"),"f","a"),"g","a"),"h","a"),"i","a"),"j","a"),"k","a"),"l","a"),"m","a"),"n","a"),"o","a"),"p","a"),"q","a"),"r","a"),"s","a"),"t","a"),"u","a"),"v","a"),"w","a"),"x","a"),"y","a"),"z","a")</f>
        <v/>
      </c>
      <c r="BQ118" s="61" t="n">
        <f aca="false">IFERROR(IF(AND(ISERROR(SEARCH(" mh"," "&amp;LOWER(W118))),ISNA(MATCH(LEFT(TRIM(BP118),255),{"0000a","000a","00a","0000aa","000aa","00aa","0aa","0000aaa","000aaa","00a00","0a00","0000-0000","00:00","a00","a0","00.00.0000","00/00/0000","00-00-0000","0000-00-00","0000/00/00","0000.00.00","00.00.00","00/00/00","00-00-00","0.00.0000","0/00/0000","0-00-0000"},0)),ISNA(MATCH(LEFT(TRIM(CA118),255),{"0000a","000a","00a","0000aa","000aa","00aa","0aa","0000aaa","000aaa","00a00","0a00","0000-0000","00:00","a00","a0","00.00.0000","00/00/0000","00-00-0000","0000-00-00","0000/00/00","0000.00.00","00.00.00","00/00/00","00-00-00","0.00.0000","0/00/0000","0-00-0000"},0)),LEN(CB118)&gt;=3,NOT(OR(SUBSTITUTE(CB118,"0","")="",AND(LEN(CB118)&gt;=4,CB118=REPT(LEFT(CB118),LEN(CB118))),ISNUMBER(MATCH(CB118,{"123","1234","12345","123456","1234567","12345678","0123","01234","012345","98765","987654","54321"},0)),AND(LEN(CB118)=8,LEFT(CB118,3)="202"))),OR(AND((LEN(CA118)-LEN(SUBSTITUTE(CA118,"a","")))&gt;=1,SUMPRODUCT(--ISNUMBER(SEARCH({"a0","a-0","a_0","a/0","a.0","a#0","0a","0-a","0_a","0/a"},BP118)))&gt;0),ISNUMBER(SEARCH("000000",BP118)))),1,0),0)</f>
        <v>0</v>
      </c>
      <c r="BR118" s="61" t="n">
        <f aca="false">IFERROR(LEN(SUBSTITUTE(CC118," ",""))-SUMPRODUCT((LEN(CC118)-LEN(SUBSTITUTE(CC118," "&amp;L_Role&amp;" "," ")))/(LEN(L_Role)+1)*LEN(L_Role)),0)</f>
        <v>0</v>
      </c>
      <c r="BS118" s="61" t="n">
        <f aca="false">IFERROR(LEN(SUBSTITUTE(CD118," ",""))-SUMPRODUCT((LEN(CD118)-LEN(SUBSTITUTE(CD118," "&amp;L_Role&amp;" "," ")))/(LEN(L_Role)+1)*LEN(L_Role)),0)</f>
        <v>0</v>
      </c>
      <c r="BT1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118,"revision",""),"version",""),"jan",""),"feb",""),"mar",""),"apr",""),"may",""),"jun",""),"jul",""),"aug",""),"sep",""),"oct",""),"nov",""),"dec",""),"utc",""),"gmt",""),"myt",""),"bst",""),"rev",""),"ver",""),"b","a"),"c","a"),"d","a"),"e","a"),"f","a"),"g","a"),"h","a"),"i","a"),"j","a"),"k","a"),"l","a"),"m","a"),"n","a"),"o","a"),"p","a"),"q","a"),"r","a"),"s","a"),"t","a"),"u","a"),"v","a"),"w","a"),"x","a"),"y","a"),"z","a")</f>
        <v/>
      </c>
      <c r="BU118" s="61" t="str">
        <f aca="false">SUBSTITUTE(SUBSTITUTE(SUBSTITUTE(SUBSTITUTE(SUBSTITUTE(SUBSTITUTE(SUBSTITUTE(SUBSTITUTE(SUBSTITUTE(SUBSTITUTE(LEFT(BM118,FIND("0",BM118&amp;"0")-1),"-",""),"_",""),"/",""),".",""),"#",""),"\\",""),":","")," ",""),"(",""),")","")</f>
        <v/>
      </c>
      <c r="BV118" s="61" t="n">
        <f aca="false">0</f>
        <v>0</v>
      </c>
      <c r="BW1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118&amp;""),"a",""),"b",""),"c",""),"d",""),"e",""),"f",""),"g",""),"h",""),"i",""),"j",""),"k",""),"l",""),"m",""),"n",""),"o",""),"p",""),"q",""),"r",""),"s",""),"t",""),"u",""),"v",""),"w",""),"x",""),"y",""),"z",""),"-",""),"_",""),"/",""),".",""),"#",""),"\\",""),":","")," ",""),"(",""),")","")</f>
        <v/>
      </c>
      <c r="BX118" s="61" t="str">
        <f aca="false">SUBSTITUTE(SUBSTITUTE(SUBSTITUTE(SUBSTITUTE(SUBSTITUTE(SUBSTITUTE(SUBSTITUTE(SUBSTITUTE(SUBSTITUTE(SUBSTITUTE(SUBSTITUTE(BM118,"0",""),"-",""),"_",""),"/",""),".",""),"#",""),"\\",""),":","")," ",""),"(",""),")","")</f>
        <v/>
      </c>
      <c r="BY118" s="62" t="n">
        <f aca="false">Q118-T12EarlyH/24</f>
        <v>46304.6458333333</v>
      </c>
      <c r="BZ118" s="61" t="n">
        <f aca="false">IFERROR(IF(IF(TRIM(S118)="Link / file path",AND(LEN(TRIM(Z118))&gt;=5,SUMPRODUCT(--ISNUMBER(SEARCH({"http","www.","\\",":\",".pdf",".jpg",".jpeg",".png",".heic",".xls",".doc",".msg",".eml",".ppt",".txt",".zip"},Z118)))&gt;0),AND(ISERROR(FIND(" ",TRIM(Z118))),NOT(OR(SUMPRODUCT(--ISNUMBER(FIND({",",";","&amp;","+"},Z118)))&gt;0,SUMPRODUCT(--ISNUMBER(SEARCH({"0/aa","0\\aa"},BN118)))&gt;0)),NOT(SUMPRODUCT(--ISNUMBER(SEARCH({"http","www.","\\",":\",".pdf",".jpg",".jpeg",".png",".heic",".xls",".doc",".msg",".eml",".ppt",".txt",".zip"},Z118)))&gt;0),NOT(LOWER(TRIM(Z118))=LOWER(Flights!$F$8)),ISNA(MATCH(BU118,{"mh","rev","revision","ver","version","v","r","a","b","seat","tray","row","gate","bay","stand","page","pg","item","line","no","cart","galley","flight","flt","table","box","bag","oven","etd","eta","std","sta","atd","ata","qty","pax","x","time","tel","ph","mob","day","wk","week","utc","gmt","myt","lt"},0)),NOT(OR(ISNUMBER(MATCH(LEFT(BN118,255),{"0000a","000a","00a","0000aa","000aa","00aa","0aa","0000aaa","000aaa","00a00","0a00","0000-0000","00:00","a00","a0","00.00.0000","00/00/0000","00-00-0000","0000-00-00","0000/00/00","0000.00.00","00.00.00","00/00/00","00-00-00","0.00.0000","0/00/0000","0-00-0000"},0)),ISNUMBER(MATCH(LEFT(BT118,255),{"0000a","000a","00a","0000aa","000aa","00aa","0aa","0000aaa","000aaa","00a00","0a00","0000-0000","00:00","a00","a0","00.00.0000","00/00/0000","00-00-0000","0000-00-00","0000/00/00","0000.00.00","00.00.00","00/00/00","00-00-00","0.00.0000","0/00/0000","0-00-0000"},0)))),NOT(OR(AND(BW118&lt;&gt;"",SUBSTITUTE(BW118,"0","")=""),AND(LEN(BW118)&gt;=4,BW118=REPT(LEFT(BW118),LEN(BW118))),ISNUMBER(MATCH(BW118,{"123","1234","12345","123456","1234567","12345678","0123","01234","012345","98765","987654","54321"},0)),ISNUMBER(MATCH(BX118,{"x","xx","xxx","xxxx","xxxxx","abc","abcd","nil","na","nan","test","tbc","tba","tbd","dummy","sample","example","eg","zz","zzz","none","null","xyz","qwe","asd","id","ref"},0)),AND(LEN(BW118)=8,BX118="",OR(LEFT(BW118,3)="202",ISNUMBER(MATCH(RIGHT(BW118,4),{"2025","2026","2027"},0)))))),OR(AND((LEN(BT118)-LEN(SUBSTITUTE(BT118,"a","")))&gt;=1,(LEN(BN118)-LEN(SUBSTITUTE(BN118,"0","")))&gt;=2,SUMPRODUCT(--ISNUMBER(SEARCH({"a0","a-0","a_0","a/0","a.0","a#0","0a","0-a","0_a","0/a"},BN118)))&gt;0),AND((LEN(BN118)-LEN(SUBSTITUTE(BN118,"a","")))=0,(LEN(BN118)-LEN(SUBSTITUTE(BN118,"0","")))&gt;=5)))),1,0),0)</f>
        <v>0</v>
      </c>
      <c r="CA1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118,"revision",""),"version",""),"jan",""),"feb",""),"mar",""),"apr",""),"may",""),"jun",""),"jul",""),"aug",""),"sep",""),"oct",""),"nov",""),"dec",""),"utc",""),"gmt",""),"myt",""),"bst",""),"rev",""),"ver",""),"b","a"),"c","a"),"d","a"),"e","a"),"f","a"),"g","a"),"h","a"),"i","a"),"j","a"),"k","a"),"l","a"),"m","a"),"n","a"),"o","a"),"p","a"),"q","a"),"r","a"),"s","a"),"t","a"),"u","a"),"v","a"),"w","a"),"x","a"),"y","a"),"z","a")</f>
        <v/>
      </c>
      <c r="CB1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118&amp;""),"a",""),"b",""),"c",""),"d",""),"e",""),"f",""),"g",""),"h",""),"i",""),"j",""),"k",""),"l",""),"m",""),"n",""),"o",""),"p",""),"q",""),"r",""),"s",""),"t",""),"u",""),"v",""),"w",""),"x",""),"y",""),"z",""),"-",""),"_",""),"/",""),".",""),"#",""),"\\",""),":","")," ",""),"(",""),")","")</f>
        <v/>
      </c>
      <c r="CC118" s="0" t="str">
        <f aca="false">" "&amp;TRIM(SUBSTITUTE(SUBSTITUTE(SUBSTITUTE(SUBSTITUTE(SUBSTITUTE(SUBSTITUTE(SUBSTITUTE(SUBSTITUTE(SUBSTITUTE(SUBSTITUTE(SUBSTITUTE(SUBSTITUTE(SUBSTITUTE(SUBSTITUTE(SUBSTITUTE(SUBSTITUTE(SUBSTITUTE(SUBSTITUTE(SUBSTITUTE(SUBSTITUTE(SUBSTITUTE(SUBSTITUTE(SUBSTITUTE(SUBSTITUTE(LOWER(T118&amp;""),CHAR(10)," "),CHAR(13)," "),CHAR(9)," "),CHAR(160)," "),"."," "),","," "),"-"," "),"/"," "),"("," "),")"," "),":"," "),";"," "),"_"," "),"–"," "),"?"," "),"!"," "),"*"," "),"["," "),"]"," "),"'"," "),"#"," "),"+"," "),"&amp;"," "),"\"," "))&amp;" "</f>
        <v>  </v>
      </c>
      <c r="CD118" s="0" t="str">
        <f aca="false">" "&amp;TRIM(SUBSTITUTE(SUBSTITUTE(SUBSTITUTE(SUBSTITUTE(SUBSTITUTE(SUBSTITUTE(SUBSTITUTE(SUBSTITUTE(SUBSTITUTE(SUBSTITUTE(SUBSTITUTE(SUBSTITUTE(SUBSTITUTE(SUBSTITUTE(SUBSTITUTE(SUBSTITUTE(SUBSTITUTE(SUBSTITUTE(SUBSTITUTE(SUBSTITUTE(SUBSTITUTE(SUBSTITUTE(SUBSTITUTE(SUBSTITUTE(LOWER(AE118&amp;""),CHAR(10)," "),CHAR(13)," "),CHAR(9)," "),CHAR(160)," "),"."," "),","," "),"-"," "),"/"," "),"("," "),")"," "),":"," "),";"," "),"_"," "),"–"," "),"?"," "),"!"," "),"*"," "),"["," "),"]"," "),"'"," "),"#"," "),"+"," "),"&amp;"," "),"\"," "))&amp;" "</f>
        <v>  </v>
      </c>
      <c r="CE118" s="68" t="n">
        <f aca="false">IFERROR(IF(AND(LEN(AU118)&gt;0,LEN(AU118)=LEN(AX118),OR(TRIM(MID(SUBSTITUTE(TRIM(CC118)," ",REPT(" ",60)),1,60))="",ISNUMBER(SEARCH(" "&amp;TRIM(MID(SUBSTITUTE(TRIM(CC118)," ",REPT(" ",60)),1,60))&amp;" ",CD118))),OR(TRIM(MID(SUBSTITUTE(TRIM(CC118)," ",REPT(" ",60)),61,60))="",ISNUMBER(SEARCH(" "&amp;TRIM(MID(SUBSTITUTE(TRIM(CC118)," ",REPT(" ",60)),61,60))&amp;" ",CD118))),OR(TRIM(MID(SUBSTITUTE(TRIM(CC118)," ",REPT(" ",60)),121,60))="",ISNUMBER(SEARCH(" "&amp;TRIM(MID(SUBSTITUTE(TRIM(CC118)," ",REPT(" ",60)),121,60))&amp;" ",CD118)))),1,0),0)</f>
        <v>0</v>
      </c>
      <c r="CG118" s="68" t="n">
        <f aca="false">IFERROR(LEN(SUBSTITUTE(BF118," ",""))-SUMPRODUCT((LEN(BF118)-LEN(SUBSTITUTE(BF118," "&amp;L_NAFiller&amp;" "," ")))/(LEN(L_NAFiller)+1)*LEN(L_NAFiller)),0)</f>
        <v>0</v>
      </c>
    </row>
    <row r="119" customFormat="false" ht="39.75" hidden="false" customHeight="true" outlineLevel="0" collapsed="false">
      <c r="A119" s="57" t="s">
        <v>628</v>
      </c>
      <c r="B119" s="57" t="s">
        <v>218</v>
      </c>
      <c r="C119" s="57" t="str">
        <f aca="false">Flights!$F$8</f>
        <v>MH0088</v>
      </c>
      <c r="D119" s="58" t="n">
        <f aca="false">Flights!$D$8</f>
        <v>46305</v>
      </c>
      <c r="E119" s="57" t="str">
        <f aca="false">Flights!$G$8&amp;"-"&amp;Flights!$H$8</f>
        <v>KUL-NRT</v>
      </c>
      <c r="F119" s="57" t="str">
        <f aca="false">Flights!$K$8</f>
        <v>BC</v>
      </c>
      <c r="G119" s="57" t="s">
        <v>420</v>
      </c>
      <c r="H119" s="57" t="s">
        <v>378</v>
      </c>
      <c r="I119" s="57" t="s">
        <v>629</v>
      </c>
      <c r="J119" s="57" t="s">
        <v>630</v>
      </c>
      <c r="K119" s="67" t="s">
        <v>501</v>
      </c>
      <c r="L119" s="67" t="s">
        <v>631</v>
      </c>
      <c r="M119" s="67" t="s">
        <v>187</v>
      </c>
      <c r="N119" s="67" t="s">
        <v>383</v>
      </c>
      <c r="O119" s="67" t="s">
        <v>632</v>
      </c>
      <c r="P119" s="57" t="s">
        <v>187</v>
      </c>
      <c r="Q119" s="59" t="n">
        <f aca="false">ROUND((Flights!$AE$8)*1440,0)/1440</f>
        <v>46305.1458333333</v>
      </c>
      <c r="R119" s="59" t="n">
        <f aca="false">Q119+(IF(AND(INDEX(TZ_DSTS,MATCH(P119,TZ_STN,0))&lt;&gt;"",Q119&gt;=INDEX(TZ_DSTS,MATCH(P119,TZ_STN,0)),Q119&lt;INDEX(TZ_DSTE,MATCH(P119,TZ_STN,0))),INDEX(TZ_DST,MATCH(P119,TZ_STN,0)),INDEX(TZ_STD,MATCH(P119,TZ_STN,0))))/24</f>
        <v>46305.4791666667</v>
      </c>
      <c r="S119" s="60"/>
      <c r="T119" s="60"/>
      <c r="U119" s="60"/>
      <c r="V119" s="60"/>
      <c r="W119" s="61"/>
      <c r="X119" s="60"/>
      <c r="Y119" s="60"/>
      <c r="Z119" s="60"/>
      <c r="AA119" s="60"/>
      <c r="AB119" s="60"/>
      <c r="AC119" s="60"/>
      <c r="AD119" s="66"/>
      <c r="AE119" s="60"/>
      <c r="AF119" s="61" t="str">
        <f aca="false">IF(AND(ISNUMBER(X119),ISNUMBER(Y119)),Y119-X119,"")</f>
        <v/>
      </c>
      <c r="AG119" s="62" t="str">
        <f aca="false">IF(ISNUMBER(AD119),AD119-(IF(AND(INDEX(TZ_DSTS,MATCH(P119,TZ_STN,0))&lt;&gt;"",(AD119-INDEX(TZ_STD,MATCH(P119,TZ_STN,0))/24)&gt;=INDEX(TZ_DSTS,MATCH(P119,TZ_STN,0)),(AD119-INDEX(TZ_STD,MATCH(P119,TZ_STN,0))/24)&lt;INDEX(TZ_DSTE,MATCH(P119,TZ_STN,0))),INDEX(TZ_DST,MATCH(P119,TZ_STN,0)),INDEX(TZ_STD,MATCH(P119,TZ_STN,0))))/24,"")</f>
        <v/>
      </c>
      <c r="AH119" s="65" t="str">
        <f aca="false">IFERROR(IF(N119="N/A – rule",IF(OR(TRIM(U119)="",TRIM(U119)="N/A",TRIM(U119)="Not started"),"N/A – RULE","INVALID – this check does not apply to this aircraft: clear the status (or correct the fleet on Flights)"),IF(TRIM(U119)="N/A",IF(AT119=0,"INVALID – N/A not permitted for this check",IF(AND(TRIM(AB119)&lt;&gt;"",TRIM(AB119)&lt;&gt;"Closed"),"INVALID – corrective action still open",IF(AND(NOT(OR(LEN(AZ119)&lt;15,ISNUMBER(MATCH(AZ119,L_Placeholder,0)))),BK119=0,CG119&gt;=8,NOT(OR(LEN(AU119)&lt;2,ISNUMBER(MATCH(AU119,L_Placeholder,0)))),BR119&gt;=3,NOT(OR(LEN(AX119)&lt;2,ISNUMBER(MATCH(AX119,L_Placeholder,0)))),BS119&gt;=3,TRIM(AE119)&lt;&gt;TRIM(T119),AX119&lt;&gt;AU119,CE119=0),"N/A – JUSTIFIED","INVALID – N/A needs a real, settled reason (not 'not applicable' / 'as above' / TBC), a named PIC and a different named verifier"))),IF(OR(TRIM(U119)="Pass",TRIM(U119)="Pass after CA"),IF(NOT(ISNUMBER(AD119)),"INVALID – completion time missing",IF(OR(OR(LEN(AU119)&lt;2,ISNUMBER(MATCH(AU119,L_Placeholder,0))),BR119&lt;3),"INVALID – PIC missing or not a named person (a role such as QA / CSM is not a name)",IF(OR(LEN(AV119)&lt;2,ISNUMBER(MATCH(AV119,L_Placeholder,0))),"INVALID – result / assessment missing",IF(OR(OR(LEN(AW119)&lt;3,ISNUMBER(MATCH(AW119,L_Placeholder,0))),SUMPRODUCT(--ISNUMBER(SEARCH(" "&amp;L_EvidencePhrase&amp;" ",BD119)))&gt;0,BI119=1),"INVALID – evidence missing, placeholder or not yet on file",IF(ISNA(MATCH(TRIM(S119),L_EvidenceType,0)),"INVALID – choose the evidence type from the list (column S)",IF(BL119=0,"INVALID – evidence ID must be the record's own ID only (e.g. SF-2210, IMG_2231, 1045521); a link / file name needs type 'Link / file path'",IF(OR(OR(LEN(AX119)&lt;2,ISNUMBER(MATCH(AX119,L_Placeholder,0))),BS119&lt;3),"INVALID – verifier missing or not a named person (a role such as QA / CSM is not a name)",IF(OR(AX119=AU119,CE119=1,AND(LEN(AU119)&gt;=4,ISNUMBER(SEARCH(AU119,AX119))),AND(LEN(AX119)&gt;=4,ISNUMBER(SEARCH(AX119,AU119)))),"INVALID – verifier must be a different, named person (not the PIC or a role)",IF(BH119=1,"INVALID – result not yet available (awaiting / TBC)",IF(BG119=1,"INVALID – result describes a problem: record Fail, then Pass after CA (or reword if it is not a problem)",IF(BV119=1,"INVALID – wording says not on board: an on-board confirmation needs the item loaded",IF(AND(AQ119=1,OR(OR(LEN(AY119)&lt;3,ISNUMBER(MATCH(AY119,L_Placeholder,0))),BJ119=1,BQ119=0)),"INVALID – batch ID missing, placeholder or not an ID (e.g. PASB-261008-BC-017)",IF(AND(AR119=1,OR(NOT(ISNUMBER(X119)),NOT(ISNUMBER(Y119)))),"INVALID – expected/actual qty missing",IF(AND(AR119=1,OR(X119&lt;=0,Y119&lt;0)),"INVALID – expected qty must be above 0 and actual not negative",IF(BB119&lt;&gt;"",BB119,IF(AND(AS119=1,Documents!$J$8&lt;&gt;"ON FILE"),"INVALID – GLD not on file (Documents sheet)",IF(AND(AS119=2,Documents!$O$8&lt;&gt;"ON FILE"),"INVALID – menu checklist not on file (Documents sheet)",IF(AND(AS119=3,NOT(ISNUMBER(Flights!$AX$8))),"INVALID – enter carrying flight KUL departure (Flights AX)",IF(AND(AS119=3,OR(Flights!$AZ$8&gt;Flights!$AA$8,Flights!$AX$8&lt;Flights!$AA$8-3)),"INVALID – carrying flight (Flights AX) cannot arrive before this leg's STD, or is over 3 days early",IF(AG119&gt;AsOfUTC,"INVALID – completion time is in the future",IF(AND(ISNUMBER(BY119),AG119&lt;BY119),IF(H119="Physical uplift","INVALID – before uplift window (cannot confirm loading)","INVALID – before valid window"),IF(AG119&gt;Flights!$AA$8,"INVALID – completed after departure (cannot establish readiness)",IF(AND(H119="Preparation",AG119&gt;=IF(ISNUMBER(Flights!$BA$8),MIN(Flights!$BA$8,Flights!$AA$8),Flights!$AA$8)),"INVALID – completed after loading / departure (cannot establish readiness)",IF(AND(H119="Physical uplift",AG119&gt;Q119),"INVALID – recorded after the loading flight departed",IF(AG119&gt;Q119,"COMPLETE – LATE","COMPLETE"))))))))))))))))))))))))),IF(TRIM(U119)="Fail","FAIL – DISCREPANCY",IF(AND(TRIM(U119)&lt;&gt;"",TRIM(U119)&lt;&gt;"Not started",TRIM(U119)&lt;&gt;"In progress"),"INVALID – unrecognised status (use the list)",IF(AsOfUTC&gt;Q119,"OVERDUE",IF(N119="Clarification required","OPEN – CLARIFICATION","OPEN"))))))),"INVALID – error value in an input cell")</f>
        <v>OPEN</v>
      </c>
      <c r="AI119" s="61" t="n">
        <f aca="false">IF(OR(AH119="N/A – RULE",AH119="N/A – JUSTIFIED"),0,1)</f>
        <v>1</v>
      </c>
      <c r="AJ119" s="61" t="n">
        <f aca="false">IF(LEFT(AH119,8)="COMPLETE",1,0)</f>
        <v>0</v>
      </c>
      <c r="AK119" s="61" t="n">
        <f aca="false">IF(AND(AI119=1,AJ119=0,AsOfUTC&gt;Q119),1,0)</f>
        <v>0</v>
      </c>
      <c r="AL119" s="61" t="n">
        <f aca="false">IFERROR(IF(AND(AI119=1,OR(TRIM(U119)="Fail",AND(TRIM(AB119)&lt;&gt;"",TRIM(AB119)&lt;&gt;"Closed"),AND(ISNUMBER(AF119),AF119&lt;&gt;0,TRIM(U119)&lt;&gt;"Pass after CA"))),1,0),1)</f>
        <v>0</v>
      </c>
      <c r="AM119" s="61" t="n">
        <f aca="false">IF(LEFT(AH119,7)="INVALID",1,0)</f>
        <v>0</v>
      </c>
      <c r="AN119" s="61" t="n">
        <f aca="false">IF(AND(N119="Clarification required",AI119=1,AJ119=0),1,0)</f>
        <v>0</v>
      </c>
      <c r="AO119" s="61" t="str">
        <f aca="false">IF(AK119=1,SUM(AK$5:AK119),"")</f>
        <v/>
      </c>
      <c r="AP119" s="61" t="str">
        <f aca="false">IF(AL119=1,SUM(AL$5:AL119),"")</f>
        <v/>
      </c>
      <c r="AQ119" s="61" t="n">
        <v>0</v>
      </c>
      <c r="AR119" s="61" t="n">
        <v>0</v>
      </c>
      <c r="AS119" s="61" t="n">
        <v>0</v>
      </c>
      <c r="AT119" s="61" t="n">
        <v>0</v>
      </c>
      <c r="AU119" s="61" t="str">
        <f aca="false">SUBSTITUTE(SUBSTITUTE(SUBSTITUTE(SUBSTITUTE(SUBSTITUTE(SUBSTITUTE(SUBSTITUTE(SUBSTITUTE(SUBSTITUTE(SUBSTITUTE(SUBSTITUTE(SUBSTITUTE(SUBSTITUTE(SUBSTITUTE(SUBSTITUTE(SUBSTITUTE(LOWER(T119&amp;""),CHAR(10),""),CHAR(13),""),CHAR(9),""),CHAR(160),"")," ",""),".",""),"-",""),"/",""),"?",""),"_",""),",",""),"[",""),"]",""),"(",""),")",""),"*","")</f>
        <v/>
      </c>
      <c r="AV119" s="61" t="str">
        <f aca="false">SUBSTITUTE(SUBSTITUTE(SUBSTITUTE(SUBSTITUTE(SUBSTITUTE(SUBSTITUTE(SUBSTITUTE(SUBSTITUTE(SUBSTITUTE(SUBSTITUTE(SUBSTITUTE(SUBSTITUTE(SUBSTITUTE(SUBSTITUTE(SUBSTITUTE(SUBSTITUTE(LOWER(V119&amp;""),CHAR(10),""),CHAR(13),""),CHAR(9),""),CHAR(160),"")," ",""),".",""),"-",""),"/",""),"?",""),"_",""),",",""),"[",""),"]",""),"(",""),")",""),"*","")</f>
        <v/>
      </c>
      <c r="AW119" s="61" t="str">
        <f aca="false">SUBSTITUTE(SUBSTITUTE(SUBSTITUTE(SUBSTITUTE(SUBSTITUTE(SUBSTITUTE(SUBSTITUTE(SUBSTITUTE(SUBSTITUTE(SUBSTITUTE(SUBSTITUTE(SUBSTITUTE(SUBSTITUTE(SUBSTITUTE(SUBSTITUTE(SUBSTITUTE(LOWER(Z119&amp;""),CHAR(10),""),CHAR(13),""),CHAR(9),""),CHAR(160),"")," ",""),".",""),"-",""),"/",""),"?",""),"_",""),",",""),"[",""),"]",""),"(",""),")",""),"*","")</f>
        <v/>
      </c>
      <c r="AX119" s="61" t="str">
        <f aca="false">SUBSTITUTE(SUBSTITUTE(SUBSTITUTE(SUBSTITUTE(SUBSTITUTE(SUBSTITUTE(SUBSTITUTE(SUBSTITUTE(SUBSTITUTE(SUBSTITUTE(SUBSTITUTE(SUBSTITUTE(SUBSTITUTE(SUBSTITUTE(SUBSTITUTE(SUBSTITUTE(LOWER(AE119&amp;""),CHAR(10),""),CHAR(13),""),CHAR(9),""),CHAR(160),"")," ",""),".",""),"-",""),"/",""),"?",""),"_",""),",",""),"[",""),"]",""),"(",""),")",""),"*","")</f>
        <v/>
      </c>
      <c r="AY119" s="61" t="str">
        <f aca="false">SUBSTITUTE(SUBSTITUTE(SUBSTITUTE(SUBSTITUTE(SUBSTITUTE(SUBSTITUTE(SUBSTITUTE(SUBSTITUTE(SUBSTITUTE(SUBSTITUTE(SUBSTITUTE(SUBSTITUTE(SUBSTITUTE(SUBSTITUTE(SUBSTITUTE(SUBSTITUTE(LOWER(W119&amp;""),CHAR(10),""),CHAR(13),""),CHAR(9),""),CHAR(160),"")," ",""),".",""),"-",""),"/",""),"?",""),"_",""),",",""),"[",""),"]",""),"(",""),")",""),"*","")</f>
        <v/>
      </c>
      <c r="AZ119" s="61" t="str">
        <f aca="false">SUBSTITUTE(SUBSTITUTE(SUBSTITUTE(SUBSTITUTE(SUBSTITUTE(SUBSTITUTE(SUBSTITUTE(SUBSTITUTE(SUBSTITUTE(SUBSTITUTE(SUBSTITUTE(SUBSTITUTE(SUBSTITUTE(SUBSTITUTE(SUBSTITUTE(SUBSTITUTE(LOWER(AC119&amp;""),CHAR(10),""),CHAR(13),""),CHAR(9),""),CHAR(160),"")," ",""),".",""),"-",""),"/",""),"?",""),"_",""),",",""),"[",""),"]",""),"(",""),")",""),"*","")</f>
        <v/>
      </c>
      <c r="BA119" s="61" t="str">
        <f aca="false">SUBSTITUTE(SUBSTITUTE(SUBSTITUTE(SUBSTITUTE(SUBSTITUTE(SUBSTITUTE(SUBSTITUTE(SUBSTITUTE(SUBSTITUTE(SUBSTITUTE(SUBSTITUTE(SUBSTITUTE(SUBSTITUTE(SUBSTITUTE(SUBSTITUTE(SUBSTITUTE(LOWER(AA119&amp;""),CHAR(10),""),CHAR(13),""),CHAR(9),""),CHAR(160),"")," ",""),".",""),"-",""),"/",""),"?",""),"_",""),",",""),"[",""),"]",""),"(",""),")",""),"*","")</f>
        <v/>
      </c>
      <c r="BB119" s="61" t="str">
        <f aca="false">IF(AND(TRIM(U119)="Pass",ISNUMBER(AF119)),IF(AF119&lt;&gt;0,"INVALID – qty variance: use Fail or Pass after CA",""),"")&amp;IF(AND(TRIM(U119)="Pass after CA",ISNUMBER(AF119)),IF(AF119&lt;&gt;0,"INVALID – after the corrective action the actual qty must equal expected (update Actual)",""),"")&amp;IF(AND(TRIM(U119)="Pass",TRIM(AB119)&lt;&gt;"",TRIM(AB119)&lt;&gt;"Closed"),"INVALID – corrective action not closed: use Fail, then Pass after CA","")&amp;IF(AND(LEN(BA119)&gt;=2,ISNA(MATCH(LEFT(BA119,255),L_Placeholder,0)),TRIM(AB119)=""),"INVALID – CA status missing for the recorded corrective action","")&amp;IF(AND(TRIM(U119)="Pass after CA",OR(OR(LEN(BA119)&lt;5,ISNUMBER(MATCH(BA119,L_Placeholder,0))),TRIM(AB119)&lt;&gt;"Closed")),"INVALID – corrective action not recorded/closed","")</f>
        <v/>
      </c>
      <c r="BC119" s="61" t="str">
        <f aca="false">" "&amp;TRIM(SUBSTITUTE(SUBSTITUTE(SUBSTITUTE(SUBSTITUTE(SUBSTITUTE(SUBSTITUTE(SUBSTITUTE(SUBSTITUTE(SUBSTITUTE(SUBSTITUTE(SUBSTITUTE(SUBSTITUTE(SUBSTITUTE(SUBSTITUTE(SUBSTITUTE(SUBSTITUTE(SUBSTITUTE(SUBSTITUTE(SUBSTITUTE(SUBSTITUTE(SUBSTITUTE(SUBSTITUTE(SUBSTITUTE(SUBSTITUTE(LOWER(V119&amp;""),CHAR(10)," "),CHAR(13)," "),CHAR(9)," "),CHAR(160)," "),"."," "),","," "),"-"," "),"/"," "),"("," "),")"," "),":"," "),";"," "),"_"," "),"–"," "),"?"," "),"!"," "),"*"," "),"["," "),"]"," "),"'"," "),"#"," "),"+"," "),"&amp;"," "),"\"," "))&amp;" "</f>
        <v>  </v>
      </c>
      <c r="BD119" s="61" t="str">
        <f aca="false">" "&amp;TRIM(SUBSTITUTE(SUBSTITUTE(SUBSTITUTE(SUBSTITUTE(SUBSTITUTE(SUBSTITUTE(SUBSTITUTE(SUBSTITUTE(SUBSTITUTE(SUBSTITUTE(SUBSTITUTE(SUBSTITUTE(SUBSTITUTE(SUBSTITUTE(SUBSTITUTE(SUBSTITUTE(SUBSTITUTE(SUBSTITUTE(SUBSTITUTE(SUBSTITUTE(SUBSTITUTE(SUBSTITUTE(SUBSTITUTE(SUBSTITUTE(LOWER(Z119&amp;""),CHAR(10)," "),CHAR(13)," "),CHAR(9)," "),CHAR(160)," "),"."," "),","," "),"-"," "),"/"," "),"("," "),")"," "),":"," "),";"," "),"_"," "),"–"," "),"?"," "),"!"," "),"*"," "),"["," "),"]"," "),"'"," "),"#"," "),"+"," "),"&amp;"," "),"\"," "))&amp;" "</f>
        <v>  </v>
      </c>
      <c r="BE119" s="61" t="str">
        <f aca="false">" "&amp;TRIM(SUBSTITUTE(SUBSTITUTE(SUBSTITUTE(SUBSTITUTE(SUBSTITUTE(SUBSTITUTE(SUBSTITUTE(SUBSTITUTE(SUBSTITUTE(SUBSTITUTE(SUBSTITUTE(SUBSTITUTE(SUBSTITUTE(SUBSTITUTE(SUBSTITUTE(SUBSTITUTE(SUBSTITUTE(SUBSTITUTE(SUBSTITUTE(SUBSTITUTE(SUBSTITUTE(SUBSTITUTE(SUBSTITUTE(SUBSTITUTE(LOWER(W119&amp;""),CHAR(10)," "),CHAR(13)," "),CHAR(9)," "),CHAR(160)," "),"."," "),","," "),"-"," "),"/"," "),"("," "),")"," "),":"," "),";"," "),"_"," "),"–"," "),"?"," "),"!"," "),"*"," "),"["," "),"]"," "),"'"," "),"#"," "),"+"," "),"&amp;"," "),"\"," "))&amp;" "</f>
        <v>  </v>
      </c>
      <c r="BF119" s="61" t="str">
        <f aca="false">" "&amp;TRIM(SUBSTITUTE(SUBSTITUTE(SUBSTITUTE(SUBSTITUTE(SUBSTITUTE(SUBSTITUTE(SUBSTITUTE(SUBSTITUTE(SUBSTITUTE(SUBSTITUTE(SUBSTITUTE(SUBSTITUTE(SUBSTITUTE(SUBSTITUTE(SUBSTITUTE(SUBSTITUTE(SUBSTITUTE(SUBSTITUTE(SUBSTITUTE(SUBSTITUTE(SUBSTITUTE(SUBSTITUTE(SUBSTITUTE(SUBSTITUTE(LOWER(AC119&amp;""),CHAR(10)," "),CHAR(13)," "),CHAR(9)," "),CHAR(160)," "),"."," "),","," "),"-"," "),"/"," "),"("," "),")"," "),":"," "),";"," "),"_"," "),"–"," "),"?"," "),"!"," "),"*"," "),"["," "),"]"," "),"'"," "),"#"," "),"+"," "),"&amp;"," "),"\"," "))&amp;" "</f>
        <v>  </v>
      </c>
      <c r="BG119" s="61" t="n">
        <f aca="false">IFERROR(IF(AND(TRIM(U119)="Pass",SUMPRODUCT((LEN(BC119)-LEN(SUBSTITUTE(BC119," "&amp;L_ResultBad&amp;" "," ")))/(LEN(L_ResultBad)+1))&gt;SUMPRODUCT((LEN(BC119)-LEN(SUBSTITUTE(BC119," "&amp;L_NegPhrase&amp;" "," ")))/(LEN(L_NegPhrase)+1))),1,0),0)</f>
        <v>0</v>
      </c>
      <c r="BH119" s="61" t="n">
        <f aca="false">IFERROR(IF(SUMPRODUCT((LEN(BC119)-LEN(SUBSTITUTE(BC119," "&amp;L_Pending&amp;" "," ")))/(LEN(L_Pending)+1))&gt;SUMPRODUCT((LEN(BC119)-LEN(SUBSTITUTE(BC119," "&amp;L_PendNeg&amp;" "," ")))/(LEN(L_PendNeg)+1))+SUMPRODUCT((LEN(BC119)-LEN(SUBSTITUTE(BC119," "&amp;L_PendPrep&amp;" "," ")))/(LEN(L_PendPrep)+1)),1,0),1)</f>
        <v>0</v>
      </c>
      <c r="BI119" s="61" t="n">
        <f aca="false">IFERROR(IF(SUMPRODUCT((LEN(BD119)-LEN(SUBSTITUTE(BD119," "&amp;L_PendStrict&amp;" "," ")))/(LEN(L_PendStrict)+1))&gt;SUMPRODUCT((LEN(BD119)-LEN(SUBSTITUTE(BD119," "&amp;L_PendNeg&amp;" "," ")))/(LEN(L_PendNeg)+1)),1,0),1)</f>
        <v>0</v>
      </c>
      <c r="BJ119" s="61" t="n">
        <f aca="false">IFERROR(IF(SUMPRODUCT((LEN(BE119)-LEN(SUBSTITUTE(BE119," "&amp;L_Pending&amp;" "," ")))/(LEN(L_Pending)+1))&gt;SUMPRODUCT((LEN(BE119)-LEN(SUBSTITUTE(BE119," "&amp;L_PendNeg&amp;" "," ")))/(LEN(L_PendNeg)+1))+SUMPRODUCT((LEN(BE119)-LEN(SUBSTITUTE(BE119," "&amp;L_PendPrep&amp;" "," ")))/(LEN(L_PendPrep)+1)),1,0),1)</f>
        <v>0</v>
      </c>
      <c r="BK119" s="61" t="n">
        <f aca="false">IFERROR(IF(SUMPRODUCT((LEN(BF119)-LEN(SUBSTITUTE(BF119," "&amp;L_PendStrict&amp;" "," ")))/(LEN(L_PendStrict)+1))&gt;SUMPRODUCT((LEN(BF119)-LEN(SUBSTITUTE(BF119," "&amp;L_PendNeg&amp;" "," ")))/(LEN(L_PendNeg)+1)),1,0),1)</f>
        <v>0</v>
      </c>
      <c r="BL119" s="61" t="n">
        <f aca="false">IF(ISNA(MATCH(TRIM(S119),L_EvidenceType,0)),0,BZ119)</f>
        <v>0</v>
      </c>
      <c r="BM119" s="61" t="str">
        <f aca="false">SUBSTITUTE(SUBSTITUTE(SUBSTITUTE(SUBSTITUTE(SUBSTITUTE(SUBSTITUTE(SUBSTITUTE(SUBSTITUTE(SUBSTITUTE(LOWER(Z119&amp;""),"1","0"),"2","0"),"3","0"),"4","0"),"5","0"),"6","0"),"7","0"),"8","0"),"9","0")</f>
        <v/>
      </c>
      <c r="BN119" s="61" t="str">
        <f aca="false">SUBSTITUTE(SUBSTITUTE(SUBSTITUTE(SUBSTITUTE(SUBSTITUTE(SUBSTITUTE(SUBSTITUTE(SUBSTITUTE(SUBSTITUTE(SUBSTITUTE(SUBSTITUTE(SUBSTITUTE(SUBSTITUTE(SUBSTITUTE(SUBSTITUTE(SUBSTITUTE(SUBSTITUTE(SUBSTITUTE(SUBSTITUTE(SUBSTITUTE(SUBSTITUTE(SUBSTITUTE(SUBSTITUTE(SUBSTITUTE(SUBSTITUTE(BM119,"b","a"),"c","a"),"d","a"),"e","a"),"f","a"),"g","a"),"h","a"),"i","a"),"j","a"),"k","a"),"l","a"),"m","a"),"n","a"),"o","a"),"p","a"),"q","a"),"r","a"),"s","a"),"t","a"),"u","a"),"v","a"),"w","a"),"x","a"),"y","a"),"z","a")</f>
        <v/>
      </c>
      <c r="BO119" s="61" t="str">
        <f aca="false">SUBSTITUTE(SUBSTITUTE(SUBSTITUTE(SUBSTITUTE(SUBSTITUTE(SUBSTITUTE(SUBSTITUTE(SUBSTITUTE(SUBSTITUTE(LOWER(W119&amp;""),"1","0"),"2","0"),"3","0"),"4","0"),"5","0"),"6","0"),"7","0"),"8","0"),"9","0")</f>
        <v/>
      </c>
      <c r="BP119" s="61" t="str">
        <f aca="false">SUBSTITUTE(SUBSTITUTE(SUBSTITUTE(SUBSTITUTE(SUBSTITUTE(SUBSTITUTE(SUBSTITUTE(SUBSTITUTE(SUBSTITUTE(SUBSTITUTE(SUBSTITUTE(SUBSTITUTE(SUBSTITUTE(SUBSTITUTE(SUBSTITUTE(SUBSTITUTE(SUBSTITUTE(SUBSTITUTE(SUBSTITUTE(SUBSTITUTE(SUBSTITUTE(SUBSTITUTE(SUBSTITUTE(SUBSTITUTE(SUBSTITUTE(BO119,"b","a"),"c","a"),"d","a"),"e","a"),"f","a"),"g","a"),"h","a"),"i","a"),"j","a"),"k","a"),"l","a"),"m","a"),"n","a"),"o","a"),"p","a"),"q","a"),"r","a"),"s","a"),"t","a"),"u","a"),"v","a"),"w","a"),"x","a"),"y","a"),"z","a")</f>
        <v/>
      </c>
      <c r="BQ119" s="61" t="n">
        <f aca="false">IFERROR(IF(AND(ISERROR(SEARCH(" mh"," "&amp;LOWER(W119))),ISNA(MATCH(LEFT(TRIM(BP119),255),{"0000a","000a","00a","0000aa","000aa","00aa","0aa","0000aaa","000aaa","00a00","0a00","0000-0000","00:00","a00","a0","00.00.0000","00/00/0000","00-00-0000","0000-00-00","0000/00/00","0000.00.00","00.00.00","00/00/00","00-00-00","0.00.0000","0/00/0000","0-00-0000"},0)),ISNA(MATCH(LEFT(TRIM(CA119),255),{"0000a","000a","00a","0000aa","000aa","00aa","0aa","0000aaa","000aaa","00a00","0a00","0000-0000","00:00","a00","a0","00.00.0000","00/00/0000","00-00-0000","0000-00-00","0000/00/00","0000.00.00","00.00.00","00/00/00","00-00-00","0.00.0000","0/00/0000","0-00-0000"},0)),LEN(CB119)&gt;=3,NOT(OR(SUBSTITUTE(CB119,"0","")="",AND(LEN(CB119)&gt;=4,CB119=REPT(LEFT(CB119),LEN(CB119))),ISNUMBER(MATCH(CB119,{"123","1234","12345","123456","1234567","12345678","0123","01234","012345","98765","987654","54321"},0)),AND(LEN(CB119)=8,LEFT(CB119,3)="202"))),OR(AND((LEN(CA119)-LEN(SUBSTITUTE(CA119,"a","")))&gt;=1,SUMPRODUCT(--ISNUMBER(SEARCH({"a0","a-0","a_0","a/0","a.0","a#0","0a","0-a","0_a","0/a"},BP119)))&gt;0),ISNUMBER(SEARCH("000000",BP119)))),1,0),0)</f>
        <v>0</v>
      </c>
      <c r="BR119" s="61" t="n">
        <f aca="false">IFERROR(LEN(SUBSTITUTE(CC119," ",""))-SUMPRODUCT((LEN(CC119)-LEN(SUBSTITUTE(CC119," "&amp;L_Role&amp;" "," ")))/(LEN(L_Role)+1)*LEN(L_Role)),0)</f>
        <v>0</v>
      </c>
      <c r="BS119" s="61" t="n">
        <f aca="false">IFERROR(LEN(SUBSTITUTE(CD119," ",""))-SUMPRODUCT((LEN(CD119)-LEN(SUBSTITUTE(CD119," "&amp;L_Role&amp;" "," ")))/(LEN(L_Role)+1)*LEN(L_Role)),0)</f>
        <v>0</v>
      </c>
      <c r="BT1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119,"revision",""),"version",""),"jan",""),"feb",""),"mar",""),"apr",""),"may",""),"jun",""),"jul",""),"aug",""),"sep",""),"oct",""),"nov",""),"dec",""),"utc",""),"gmt",""),"myt",""),"bst",""),"rev",""),"ver",""),"b","a"),"c","a"),"d","a"),"e","a"),"f","a"),"g","a"),"h","a"),"i","a"),"j","a"),"k","a"),"l","a"),"m","a"),"n","a"),"o","a"),"p","a"),"q","a"),"r","a"),"s","a"),"t","a"),"u","a"),"v","a"),"w","a"),"x","a"),"y","a"),"z","a")</f>
        <v/>
      </c>
      <c r="BU119" s="61" t="str">
        <f aca="false">SUBSTITUTE(SUBSTITUTE(SUBSTITUTE(SUBSTITUTE(SUBSTITUTE(SUBSTITUTE(SUBSTITUTE(SUBSTITUTE(SUBSTITUTE(SUBSTITUTE(LEFT(BM119,FIND("0",BM119&amp;"0")-1),"-",""),"_",""),"/",""),".",""),"#",""),"\\",""),":","")," ",""),"(",""),")","")</f>
        <v/>
      </c>
      <c r="BV119" s="61" t="n">
        <f aca="false">0</f>
        <v>0</v>
      </c>
      <c r="BW1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119&amp;""),"a",""),"b",""),"c",""),"d",""),"e",""),"f",""),"g",""),"h",""),"i",""),"j",""),"k",""),"l",""),"m",""),"n",""),"o",""),"p",""),"q",""),"r",""),"s",""),"t",""),"u",""),"v",""),"w",""),"x",""),"y",""),"z",""),"-",""),"_",""),"/",""),".",""),"#",""),"\\",""),":","")," ",""),"(",""),")","")</f>
        <v/>
      </c>
      <c r="BX119" s="61" t="str">
        <f aca="false">SUBSTITUTE(SUBSTITUTE(SUBSTITUTE(SUBSTITUTE(SUBSTITUTE(SUBSTITUTE(SUBSTITUTE(SUBSTITUTE(SUBSTITUTE(SUBSTITUTE(SUBSTITUTE(BM119,"0",""),"-",""),"_",""),"/",""),".",""),"#",""),"\\",""),":","")," ",""),"(",""),")","")</f>
        <v/>
      </c>
      <c r="BY119" s="62" t="n">
        <f aca="false">Q119-T12EarlyH/24</f>
        <v>46304.6458333333</v>
      </c>
      <c r="BZ119" s="61" t="n">
        <f aca="false">IFERROR(IF(IF(TRIM(S119)="Link / file path",AND(LEN(TRIM(Z119))&gt;=5,SUMPRODUCT(--ISNUMBER(SEARCH({"http","www.","\\",":\",".pdf",".jpg",".jpeg",".png",".heic",".xls",".doc",".msg",".eml",".ppt",".txt",".zip"},Z119)))&gt;0),AND(ISERROR(FIND(" ",TRIM(Z119))),NOT(OR(SUMPRODUCT(--ISNUMBER(FIND({",",";","&amp;","+"},Z119)))&gt;0,SUMPRODUCT(--ISNUMBER(SEARCH({"0/aa","0\\aa"},BN119)))&gt;0)),NOT(SUMPRODUCT(--ISNUMBER(SEARCH({"http","www.","\\",":\",".pdf",".jpg",".jpeg",".png",".heic",".xls",".doc",".msg",".eml",".ppt",".txt",".zip"},Z119)))&gt;0),NOT(LOWER(TRIM(Z119))=LOWER(Flights!$F$8)),ISNA(MATCH(BU119,{"mh","rev","revision","ver","version","v","r","a","b","seat","tray","row","gate","bay","stand","page","pg","item","line","no","cart","galley","flight","flt","table","box","bag","oven","etd","eta","std","sta","atd","ata","qty","pax","x","time","tel","ph","mob","day","wk","week","utc","gmt","myt","lt"},0)),NOT(OR(ISNUMBER(MATCH(LEFT(BN119,255),{"0000a","000a","00a","0000aa","000aa","00aa","0aa","0000aaa","000aaa","00a00","0a00","0000-0000","00:00","a00","a0","00.00.0000","00/00/0000","00-00-0000","0000-00-00","0000/00/00","0000.00.00","00.00.00","00/00/00","00-00-00","0.00.0000","0/00/0000","0-00-0000"},0)),ISNUMBER(MATCH(LEFT(BT119,255),{"0000a","000a","00a","0000aa","000aa","00aa","0aa","0000aaa","000aaa","00a00","0a00","0000-0000","00:00","a00","a0","00.00.0000","00/00/0000","00-00-0000","0000-00-00","0000/00/00","0000.00.00","00.00.00","00/00/00","00-00-00","0.00.0000","0/00/0000","0-00-0000"},0)))),NOT(OR(AND(BW119&lt;&gt;"",SUBSTITUTE(BW119,"0","")=""),AND(LEN(BW119)&gt;=4,BW119=REPT(LEFT(BW119),LEN(BW119))),ISNUMBER(MATCH(BW119,{"123","1234","12345","123456","1234567","12345678","0123","01234","012345","98765","987654","54321"},0)),ISNUMBER(MATCH(BX119,{"x","xx","xxx","xxxx","xxxxx","abc","abcd","nil","na","nan","test","tbc","tba","tbd","dummy","sample","example","eg","zz","zzz","none","null","xyz","qwe","asd","id","ref"},0)),AND(LEN(BW119)=8,BX119="",OR(LEFT(BW119,3)="202",ISNUMBER(MATCH(RIGHT(BW119,4),{"2025","2026","2027"},0)))))),OR(AND((LEN(BT119)-LEN(SUBSTITUTE(BT119,"a","")))&gt;=1,(LEN(BN119)-LEN(SUBSTITUTE(BN119,"0","")))&gt;=2,SUMPRODUCT(--ISNUMBER(SEARCH({"a0","a-0","a_0","a/0","a.0","a#0","0a","0-a","0_a","0/a"},BN119)))&gt;0),AND((LEN(BN119)-LEN(SUBSTITUTE(BN119,"a","")))=0,(LEN(BN119)-LEN(SUBSTITUTE(BN119,"0","")))&gt;=5)))),1,0),0)</f>
        <v>0</v>
      </c>
      <c r="CA1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119,"revision",""),"version",""),"jan",""),"feb",""),"mar",""),"apr",""),"may",""),"jun",""),"jul",""),"aug",""),"sep",""),"oct",""),"nov",""),"dec",""),"utc",""),"gmt",""),"myt",""),"bst",""),"rev",""),"ver",""),"b","a"),"c","a"),"d","a"),"e","a"),"f","a"),"g","a"),"h","a"),"i","a"),"j","a"),"k","a"),"l","a"),"m","a"),"n","a"),"o","a"),"p","a"),"q","a"),"r","a"),"s","a"),"t","a"),"u","a"),"v","a"),"w","a"),"x","a"),"y","a"),"z","a")</f>
        <v/>
      </c>
      <c r="CB1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119&amp;""),"a",""),"b",""),"c",""),"d",""),"e",""),"f",""),"g",""),"h",""),"i",""),"j",""),"k",""),"l",""),"m",""),"n",""),"o",""),"p",""),"q",""),"r",""),"s",""),"t",""),"u",""),"v",""),"w",""),"x",""),"y",""),"z",""),"-",""),"_",""),"/",""),".",""),"#",""),"\\",""),":","")," ",""),"(",""),")","")</f>
        <v/>
      </c>
      <c r="CC119" s="0" t="str">
        <f aca="false">" "&amp;TRIM(SUBSTITUTE(SUBSTITUTE(SUBSTITUTE(SUBSTITUTE(SUBSTITUTE(SUBSTITUTE(SUBSTITUTE(SUBSTITUTE(SUBSTITUTE(SUBSTITUTE(SUBSTITUTE(SUBSTITUTE(SUBSTITUTE(SUBSTITUTE(SUBSTITUTE(SUBSTITUTE(SUBSTITUTE(SUBSTITUTE(SUBSTITUTE(SUBSTITUTE(SUBSTITUTE(SUBSTITUTE(SUBSTITUTE(SUBSTITUTE(LOWER(T119&amp;""),CHAR(10)," "),CHAR(13)," "),CHAR(9)," "),CHAR(160)," "),"."," "),","," "),"-"," "),"/"," "),"("," "),")"," "),":"," "),";"," "),"_"," "),"–"," "),"?"," "),"!"," "),"*"," "),"["," "),"]"," "),"'"," "),"#"," "),"+"," "),"&amp;"," "),"\"," "))&amp;" "</f>
        <v>  </v>
      </c>
      <c r="CD119" s="0" t="str">
        <f aca="false">" "&amp;TRIM(SUBSTITUTE(SUBSTITUTE(SUBSTITUTE(SUBSTITUTE(SUBSTITUTE(SUBSTITUTE(SUBSTITUTE(SUBSTITUTE(SUBSTITUTE(SUBSTITUTE(SUBSTITUTE(SUBSTITUTE(SUBSTITUTE(SUBSTITUTE(SUBSTITUTE(SUBSTITUTE(SUBSTITUTE(SUBSTITUTE(SUBSTITUTE(SUBSTITUTE(SUBSTITUTE(SUBSTITUTE(SUBSTITUTE(SUBSTITUTE(LOWER(AE119&amp;""),CHAR(10)," "),CHAR(13)," "),CHAR(9)," "),CHAR(160)," "),"."," "),","," "),"-"," "),"/"," "),"("," "),")"," "),":"," "),";"," "),"_"," "),"–"," "),"?"," "),"!"," "),"*"," "),"["," "),"]"," "),"'"," "),"#"," "),"+"," "),"&amp;"," "),"\"," "))&amp;" "</f>
        <v>  </v>
      </c>
      <c r="CE119" s="68" t="n">
        <f aca="false">IFERROR(IF(AND(LEN(AU119)&gt;0,LEN(AU119)=LEN(AX119),OR(TRIM(MID(SUBSTITUTE(TRIM(CC119)," ",REPT(" ",60)),1,60))="",ISNUMBER(SEARCH(" "&amp;TRIM(MID(SUBSTITUTE(TRIM(CC119)," ",REPT(" ",60)),1,60))&amp;" ",CD119))),OR(TRIM(MID(SUBSTITUTE(TRIM(CC119)," ",REPT(" ",60)),61,60))="",ISNUMBER(SEARCH(" "&amp;TRIM(MID(SUBSTITUTE(TRIM(CC119)," ",REPT(" ",60)),61,60))&amp;" ",CD119))),OR(TRIM(MID(SUBSTITUTE(TRIM(CC119)," ",REPT(" ",60)),121,60))="",ISNUMBER(SEARCH(" "&amp;TRIM(MID(SUBSTITUTE(TRIM(CC119)," ",REPT(" ",60)),121,60))&amp;" ",CD119)))),1,0),0)</f>
        <v>0</v>
      </c>
      <c r="CG119" s="68" t="n">
        <f aca="false">IFERROR(LEN(SUBSTITUTE(BF119," ",""))-SUMPRODUCT((LEN(BF119)-LEN(SUBSTITUTE(BF119," "&amp;L_NAFiller&amp;" "," ")))/(LEN(L_NAFiller)+1)*LEN(L_NAFiller)),0)</f>
        <v>0</v>
      </c>
    </row>
    <row r="120" customFormat="false" ht="54" hidden="false" customHeight="true" outlineLevel="0" collapsed="false">
      <c r="A120" s="57" t="s">
        <v>633</v>
      </c>
      <c r="B120" s="57" t="s">
        <v>218</v>
      </c>
      <c r="C120" s="57" t="str">
        <f aca="false">Flights!$F$8</f>
        <v>MH0088</v>
      </c>
      <c r="D120" s="58" t="n">
        <f aca="false">Flights!$D$8</f>
        <v>46305</v>
      </c>
      <c r="E120" s="57" t="str">
        <f aca="false">Flights!$G$8&amp;"-"&amp;Flights!$H$8</f>
        <v>KUL-NRT</v>
      </c>
      <c r="F120" s="57" t="str">
        <f aca="false">Flights!$K$8</f>
        <v>BC</v>
      </c>
      <c r="G120" s="57" t="s">
        <v>420</v>
      </c>
      <c r="H120" s="57" t="s">
        <v>378</v>
      </c>
      <c r="I120" s="57" t="s">
        <v>634</v>
      </c>
      <c r="J120" s="57" t="s">
        <v>635</v>
      </c>
      <c r="K120" s="67" t="s">
        <v>636</v>
      </c>
      <c r="L120" s="67" t="s">
        <v>637</v>
      </c>
      <c r="M120" s="67" t="s">
        <v>451</v>
      </c>
      <c r="N120" s="67" t="s">
        <v>383</v>
      </c>
      <c r="O120" s="67" t="s">
        <v>638</v>
      </c>
      <c r="P120" s="57" t="s">
        <v>187</v>
      </c>
      <c r="Q120" s="59" t="n">
        <f aca="false">ROUND((Flights!$AE$8)*1440,0)/1440</f>
        <v>46305.1458333333</v>
      </c>
      <c r="R120" s="59" t="n">
        <f aca="false">Q120+(IF(AND(INDEX(TZ_DSTS,MATCH(P120,TZ_STN,0))&lt;&gt;"",Q120&gt;=INDEX(TZ_DSTS,MATCH(P120,TZ_STN,0)),Q120&lt;INDEX(TZ_DSTE,MATCH(P120,TZ_STN,0))),INDEX(TZ_DST,MATCH(P120,TZ_STN,0)),INDEX(TZ_STD,MATCH(P120,TZ_STN,0))))/24</f>
        <v>46305.4791666667</v>
      </c>
      <c r="S120" s="60"/>
      <c r="T120" s="60"/>
      <c r="U120" s="60"/>
      <c r="V120" s="60"/>
      <c r="W120" s="61"/>
      <c r="X120" s="60"/>
      <c r="Y120" s="60"/>
      <c r="Z120" s="60"/>
      <c r="AA120" s="60"/>
      <c r="AB120" s="60"/>
      <c r="AC120" s="60"/>
      <c r="AD120" s="66"/>
      <c r="AE120" s="60"/>
      <c r="AF120" s="61" t="str">
        <f aca="false">IF(AND(ISNUMBER(X120),ISNUMBER(Y120)),Y120-X120,"")</f>
        <v/>
      </c>
      <c r="AG120" s="62" t="str">
        <f aca="false">IF(ISNUMBER(AD120),AD120-(IF(AND(INDEX(TZ_DSTS,MATCH(P120,TZ_STN,0))&lt;&gt;"",(AD120-INDEX(TZ_STD,MATCH(P120,TZ_STN,0))/24)&gt;=INDEX(TZ_DSTS,MATCH(P120,TZ_STN,0)),(AD120-INDEX(TZ_STD,MATCH(P120,TZ_STN,0))/24)&lt;INDEX(TZ_DSTE,MATCH(P120,TZ_STN,0))),INDEX(TZ_DST,MATCH(P120,TZ_STN,0)),INDEX(TZ_STD,MATCH(P120,TZ_STN,0))))/24,"")</f>
        <v/>
      </c>
      <c r="AH120" s="65" t="str">
        <f aca="false">IFERROR(IF(N120="N/A – rule",IF(OR(TRIM(U120)="",TRIM(U120)="N/A",TRIM(U120)="Not started"),"N/A – RULE","INVALID – this check does not apply to this aircraft: clear the status (or correct the fleet on Flights)"),IF(TRIM(U120)="N/A",IF(AT120=0,"INVALID – N/A not permitted for this check",IF(AND(TRIM(AB120)&lt;&gt;"",TRIM(AB120)&lt;&gt;"Closed"),"INVALID – corrective action still open",IF(AND(NOT(OR(LEN(AZ120)&lt;15,ISNUMBER(MATCH(AZ120,L_Placeholder,0)))),BK120=0,CG120&gt;=8,NOT(OR(LEN(AU120)&lt;2,ISNUMBER(MATCH(AU120,L_Placeholder,0)))),BR120&gt;=3,NOT(OR(LEN(AX120)&lt;2,ISNUMBER(MATCH(AX120,L_Placeholder,0)))),BS120&gt;=3,TRIM(AE120)&lt;&gt;TRIM(T120),AX120&lt;&gt;AU120,CE120=0),"N/A – JUSTIFIED","INVALID – N/A needs a real, settled reason (not 'not applicable' / 'as above' / TBC), a named PIC and a different named verifier"))),IF(OR(TRIM(U120)="Pass",TRIM(U120)="Pass after CA"),IF(NOT(ISNUMBER(AD120)),"INVALID – completion time missing",IF(OR(OR(LEN(AU120)&lt;2,ISNUMBER(MATCH(AU120,L_Placeholder,0))),BR120&lt;3),"INVALID – PIC missing or not a named person (a role such as QA / CSM is not a name)",IF(OR(LEN(AV120)&lt;2,ISNUMBER(MATCH(AV120,L_Placeholder,0))),"INVALID – result / assessment missing",IF(OR(OR(LEN(AW120)&lt;3,ISNUMBER(MATCH(AW120,L_Placeholder,0))),SUMPRODUCT(--ISNUMBER(SEARCH(" "&amp;L_EvidencePhrase&amp;" ",BD120)))&gt;0,BI120=1),"INVALID – evidence missing, placeholder or not yet on file",IF(ISNA(MATCH(TRIM(S120),L_EvidenceType,0)),"INVALID – choose the evidence type from the list (column S)",IF(BL120=0,"INVALID – evidence ID must be the record's own ID only (e.g. SF-2210, IMG_2231, 1045521); a link / file name needs type 'Link / file path'",IF(OR(OR(LEN(AX120)&lt;2,ISNUMBER(MATCH(AX120,L_Placeholder,0))),BS120&lt;3),"INVALID – verifier missing or not a named person (a role such as QA / CSM is not a name)",IF(OR(AX120=AU120,CE120=1,AND(LEN(AU120)&gt;=4,ISNUMBER(SEARCH(AU120,AX120))),AND(LEN(AX120)&gt;=4,ISNUMBER(SEARCH(AX120,AU120)))),"INVALID – verifier must be a different, named person (not the PIC or a role)",IF(BH120=1,"INVALID – result not yet available (awaiting / TBC)",IF(BG120=1,"INVALID – result describes a problem: record Fail, then Pass after CA (or reword if it is not a problem)",IF(BV120=1,"INVALID – wording says not on board: an on-board confirmation needs the item loaded",IF(AND(AQ120=1,OR(OR(LEN(AY120)&lt;3,ISNUMBER(MATCH(AY120,L_Placeholder,0))),BJ120=1,BQ120=0)),"INVALID – batch ID missing, placeholder or not an ID (e.g. PASB-261008-BC-017)",IF(AND(AR120=1,OR(NOT(ISNUMBER(X120)),NOT(ISNUMBER(Y120)))),"INVALID – expected/actual qty missing",IF(AND(AR120=1,OR(X120&lt;=0,Y120&lt;0)),"INVALID – expected qty must be above 0 and actual not negative",IF(BB120&lt;&gt;"",BB120,IF(AND(AS120=1,Documents!$J$8&lt;&gt;"ON FILE"),"INVALID – GLD not on file (Documents sheet)",IF(AND(AS120=2,Documents!$O$8&lt;&gt;"ON FILE"),"INVALID – menu checklist not on file (Documents sheet)",IF(AND(AS120=3,NOT(ISNUMBER(Flights!$AX$8))),"INVALID – enter carrying flight KUL departure (Flights AX)",IF(AND(AS120=3,OR(Flights!$AZ$8&gt;Flights!$AA$8,Flights!$AX$8&lt;Flights!$AA$8-3)),"INVALID – carrying flight (Flights AX) cannot arrive before this leg's STD, or is over 3 days early",IF(AG120&gt;AsOfUTC,"INVALID – completion time is in the future",IF(AND(ISNUMBER(BY120),AG120&lt;BY120),IF(H120="Physical uplift","INVALID – before uplift window (cannot confirm loading)","INVALID – before valid window"),IF(AG120&gt;Flights!$AA$8,"INVALID – completed after departure (cannot establish readiness)",IF(AND(H120="Preparation",AG120&gt;=IF(ISNUMBER(Flights!$BA$8),MIN(Flights!$BA$8,Flights!$AA$8),Flights!$AA$8)),"INVALID – completed after loading / departure (cannot establish readiness)",IF(AND(H120="Physical uplift",AG120&gt;Q120),"INVALID – recorded after the loading flight departed",IF(AG120&gt;Q120,"COMPLETE – LATE","COMPLETE"))))))))))))))))))))))))),IF(TRIM(U120)="Fail","FAIL – DISCREPANCY",IF(AND(TRIM(U120)&lt;&gt;"",TRIM(U120)&lt;&gt;"Not started",TRIM(U120)&lt;&gt;"In progress"),"INVALID – unrecognised status (use the list)",IF(AsOfUTC&gt;Q120,"OVERDUE",IF(N120="Clarification required","OPEN – CLARIFICATION","OPEN"))))))),"INVALID – error value in an input cell")</f>
        <v>OPEN</v>
      </c>
      <c r="AI120" s="61" t="n">
        <f aca="false">IF(OR(AH120="N/A – RULE",AH120="N/A – JUSTIFIED"),0,1)</f>
        <v>1</v>
      </c>
      <c r="AJ120" s="61" t="n">
        <f aca="false">IF(LEFT(AH120,8)="COMPLETE",1,0)</f>
        <v>0</v>
      </c>
      <c r="AK120" s="61" t="n">
        <f aca="false">IF(AND(AI120=1,AJ120=0,AsOfUTC&gt;Q120),1,0)</f>
        <v>0</v>
      </c>
      <c r="AL120" s="61" t="n">
        <f aca="false">IFERROR(IF(AND(AI120=1,OR(TRIM(U120)="Fail",AND(TRIM(AB120)&lt;&gt;"",TRIM(AB120)&lt;&gt;"Closed"),AND(ISNUMBER(AF120),AF120&lt;&gt;0,TRIM(U120)&lt;&gt;"Pass after CA"))),1,0),1)</f>
        <v>0</v>
      </c>
      <c r="AM120" s="61" t="n">
        <f aca="false">IF(LEFT(AH120,7)="INVALID",1,0)</f>
        <v>0</v>
      </c>
      <c r="AN120" s="61" t="n">
        <f aca="false">IF(AND(N120="Clarification required",AI120=1,AJ120=0),1,0)</f>
        <v>0</v>
      </c>
      <c r="AO120" s="61" t="str">
        <f aca="false">IF(AK120=1,SUM(AK$5:AK120),"")</f>
        <v/>
      </c>
      <c r="AP120" s="61" t="str">
        <f aca="false">IF(AL120=1,SUM(AL$5:AL120),"")</f>
        <v/>
      </c>
      <c r="AQ120" s="61" t="n">
        <v>0</v>
      </c>
      <c r="AR120" s="61" t="n">
        <v>0</v>
      </c>
      <c r="AS120" s="61" t="n">
        <v>0</v>
      </c>
      <c r="AT120" s="61" t="n">
        <v>0</v>
      </c>
      <c r="AU120" s="61" t="str">
        <f aca="false">SUBSTITUTE(SUBSTITUTE(SUBSTITUTE(SUBSTITUTE(SUBSTITUTE(SUBSTITUTE(SUBSTITUTE(SUBSTITUTE(SUBSTITUTE(SUBSTITUTE(SUBSTITUTE(SUBSTITUTE(SUBSTITUTE(SUBSTITUTE(SUBSTITUTE(SUBSTITUTE(LOWER(T120&amp;""),CHAR(10),""),CHAR(13),""),CHAR(9),""),CHAR(160),"")," ",""),".",""),"-",""),"/",""),"?",""),"_",""),",",""),"[",""),"]",""),"(",""),")",""),"*","")</f>
        <v/>
      </c>
      <c r="AV120" s="61" t="str">
        <f aca="false">SUBSTITUTE(SUBSTITUTE(SUBSTITUTE(SUBSTITUTE(SUBSTITUTE(SUBSTITUTE(SUBSTITUTE(SUBSTITUTE(SUBSTITUTE(SUBSTITUTE(SUBSTITUTE(SUBSTITUTE(SUBSTITUTE(SUBSTITUTE(SUBSTITUTE(SUBSTITUTE(LOWER(V120&amp;""),CHAR(10),""),CHAR(13),""),CHAR(9),""),CHAR(160),"")," ",""),".",""),"-",""),"/",""),"?",""),"_",""),",",""),"[",""),"]",""),"(",""),")",""),"*","")</f>
        <v/>
      </c>
      <c r="AW120" s="61" t="str">
        <f aca="false">SUBSTITUTE(SUBSTITUTE(SUBSTITUTE(SUBSTITUTE(SUBSTITUTE(SUBSTITUTE(SUBSTITUTE(SUBSTITUTE(SUBSTITUTE(SUBSTITUTE(SUBSTITUTE(SUBSTITUTE(SUBSTITUTE(SUBSTITUTE(SUBSTITUTE(SUBSTITUTE(LOWER(Z120&amp;""),CHAR(10),""),CHAR(13),""),CHAR(9),""),CHAR(160),"")," ",""),".",""),"-",""),"/",""),"?",""),"_",""),",",""),"[",""),"]",""),"(",""),")",""),"*","")</f>
        <v/>
      </c>
      <c r="AX120" s="61" t="str">
        <f aca="false">SUBSTITUTE(SUBSTITUTE(SUBSTITUTE(SUBSTITUTE(SUBSTITUTE(SUBSTITUTE(SUBSTITUTE(SUBSTITUTE(SUBSTITUTE(SUBSTITUTE(SUBSTITUTE(SUBSTITUTE(SUBSTITUTE(SUBSTITUTE(SUBSTITUTE(SUBSTITUTE(LOWER(AE120&amp;""),CHAR(10),""),CHAR(13),""),CHAR(9),""),CHAR(160),"")," ",""),".",""),"-",""),"/",""),"?",""),"_",""),",",""),"[",""),"]",""),"(",""),")",""),"*","")</f>
        <v/>
      </c>
      <c r="AY120" s="61" t="str">
        <f aca="false">SUBSTITUTE(SUBSTITUTE(SUBSTITUTE(SUBSTITUTE(SUBSTITUTE(SUBSTITUTE(SUBSTITUTE(SUBSTITUTE(SUBSTITUTE(SUBSTITUTE(SUBSTITUTE(SUBSTITUTE(SUBSTITUTE(SUBSTITUTE(SUBSTITUTE(SUBSTITUTE(LOWER(W120&amp;""),CHAR(10),""),CHAR(13),""),CHAR(9),""),CHAR(160),"")," ",""),".",""),"-",""),"/",""),"?",""),"_",""),",",""),"[",""),"]",""),"(",""),")",""),"*","")</f>
        <v/>
      </c>
      <c r="AZ120" s="61" t="str">
        <f aca="false">SUBSTITUTE(SUBSTITUTE(SUBSTITUTE(SUBSTITUTE(SUBSTITUTE(SUBSTITUTE(SUBSTITUTE(SUBSTITUTE(SUBSTITUTE(SUBSTITUTE(SUBSTITUTE(SUBSTITUTE(SUBSTITUTE(SUBSTITUTE(SUBSTITUTE(SUBSTITUTE(LOWER(AC120&amp;""),CHAR(10),""),CHAR(13),""),CHAR(9),""),CHAR(160),"")," ",""),".",""),"-",""),"/",""),"?",""),"_",""),",",""),"[",""),"]",""),"(",""),")",""),"*","")</f>
        <v/>
      </c>
      <c r="BA120" s="61" t="str">
        <f aca="false">SUBSTITUTE(SUBSTITUTE(SUBSTITUTE(SUBSTITUTE(SUBSTITUTE(SUBSTITUTE(SUBSTITUTE(SUBSTITUTE(SUBSTITUTE(SUBSTITUTE(SUBSTITUTE(SUBSTITUTE(SUBSTITUTE(SUBSTITUTE(SUBSTITUTE(SUBSTITUTE(LOWER(AA120&amp;""),CHAR(10),""),CHAR(13),""),CHAR(9),""),CHAR(160),"")," ",""),".",""),"-",""),"/",""),"?",""),"_",""),",",""),"[",""),"]",""),"(",""),")",""),"*","")</f>
        <v/>
      </c>
      <c r="BB120" s="61" t="str">
        <f aca="false">IF(AND(TRIM(U120)="Pass",ISNUMBER(AF120)),IF(AF120&lt;&gt;0,"INVALID – qty variance: use Fail or Pass after CA",""),"")&amp;IF(AND(TRIM(U120)="Pass after CA",ISNUMBER(AF120)),IF(AF120&lt;&gt;0,"INVALID – after the corrective action the actual qty must equal expected (update Actual)",""),"")&amp;IF(AND(TRIM(U120)="Pass",TRIM(AB120)&lt;&gt;"",TRIM(AB120)&lt;&gt;"Closed"),"INVALID – corrective action not closed: use Fail, then Pass after CA","")&amp;IF(AND(LEN(BA120)&gt;=2,ISNA(MATCH(LEFT(BA120,255),L_Placeholder,0)),TRIM(AB120)=""),"INVALID – CA status missing for the recorded corrective action","")&amp;IF(AND(TRIM(U120)="Pass after CA",OR(OR(LEN(BA120)&lt;5,ISNUMBER(MATCH(BA120,L_Placeholder,0))),TRIM(AB120)&lt;&gt;"Closed")),"INVALID – corrective action not recorded/closed","")</f>
        <v/>
      </c>
      <c r="BC120" s="61" t="str">
        <f aca="false">" "&amp;TRIM(SUBSTITUTE(SUBSTITUTE(SUBSTITUTE(SUBSTITUTE(SUBSTITUTE(SUBSTITUTE(SUBSTITUTE(SUBSTITUTE(SUBSTITUTE(SUBSTITUTE(SUBSTITUTE(SUBSTITUTE(SUBSTITUTE(SUBSTITUTE(SUBSTITUTE(SUBSTITUTE(SUBSTITUTE(SUBSTITUTE(SUBSTITUTE(SUBSTITUTE(SUBSTITUTE(SUBSTITUTE(SUBSTITUTE(SUBSTITUTE(LOWER(V120&amp;""),CHAR(10)," "),CHAR(13)," "),CHAR(9)," "),CHAR(160)," "),"."," "),","," "),"-"," "),"/"," "),"("," "),")"," "),":"," "),";"," "),"_"," "),"–"," "),"?"," "),"!"," "),"*"," "),"["," "),"]"," "),"'"," "),"#"," "),"+"," "),"&amp;"," "),"\"," "))&amp;" "</f>
        <v>  </v>
      </c>
      <c r="BD120" s="61" t="str">
        <f aca="false">" "&amp;TRIM(SUBSTITUTE(SUBSTITUTE(SUBSTITUTE(SUBSTITUTE(SUBSTITUTE(SUBSTITUTE(SUBSTITUTE(SUBSTITUTE(SUBSTITUTE(SUBSTITUTE(SUBSTITUTE(SUBSTITUTE(SUBSTITUTE(SUBSTITUTE(SUBSTITUTE(SUBSTITUTE(SUBSTITUTE(SUBSTITUTE(SUBSTITUTE(SUBSTITUTE(SUBSTITUTE(SUBSTITUTE(SUBSTITUTE(SUBSTITUTE(LOWER(Z120&amp;""),CHAR(10)," "),CHAR(13)," "),CHAR(9)," "),CHAR(160)," "),"."," "),","," "),"-"," "),"/"," "),"("," "),")"," "),":"," "),";"," "),"_"," "),"–"," "),"?"," "),"!"," "),"*"," "),"["," "),"]"," "),"'"," "),"#"," "),"+"," "),"&amp;"," "),"\"," "))&amp;" "</f>
        <v>  </v>
      </c>
      <c r="BE120" s="61" t="str">
        <f aca="false">" "&amp;TRIM(SUBSTITUTE(SUBSTITUTE(SUBSTITUTE(SUBSTITUTE(SUBSTITUTE(SUBSTITUTE(SUBSTITUTE(SUBSTITUTE(SUBSTITUTE(SUBSTITUTE(SUBSTITUTE(SUBSTITUTE(SUBSTITUTE(SUBSTITUTE(SUBSTITUTE(SUBSTITUTE(SUBSTITUTE(SUBSTITUTE(SUBSTITUTE(SUBSTITUTE(SUBSTITUTE(SUBSTITUTE(SUBSTITUTE(SUBSTITUTE(LOWER(W120&amp;""),CHAR(10)," "),CHAR(13)," "),CHAR(9)," "),CHAR(160)," "),"."," "),","," "),"-"," "),"/"," "),"("," "),")"," "),":"," "),";"," "),"_"," "),"–"," "),"?"," "),"!"," "),"*"," "),"["," "),"]"," "),"'"," "),"#"," "),"+"," "),"&amp;"," "),"\"," "))&amp;" "</f>
        <v>  </v>
      </c>
      <c r="BF120" s="61" t="str">
        <f aca="false">" "&amp;TRIM(SUBSTITUTE(SUBSTITUTE(SUBSTITUTE(SUBSTITUTE(SUBSTITUTE(SUBSTITUTE(SUBSTITUTE(SUBSTITUTE(SUBSTITUTE(SUBSTITUTE(SUBSTITUTE(SUBSTITUTE(SUBSTITUTE(SUBSTITUTE(SUBSTITUTE(SUBSTITUTE(SUBSTITUTE(SUBSTITUTE(SUBSTITUTE(SUBSTITUTE(SUBSTITUTE(SUBSTITUTE(SUBSTITUTE(SUBSTITUTE(LOWER(AC120&amp;""),CHAR(10)," "),CHAR(13)," "),CHAR(9)," "),CHAR(160)," "),"."," "),","," "),"-"," "),"/"," "),"("," "),")"," "),":"," "),";"," "),"_"," "),"–"," "),"?"," "),"!"," "),"*"," "),"["," "),"]"," "),"'"," "),"#"," "),"+"," "),"&amp;"," "),"\"," "))&amp;" "</f>
        <v>  </v>
      </c>
      <c r="BG120" s="61" t="n">
        <f aca="false">IFERROR(IF(AND(TRIM(U120)="Pass",SUMPRODUCT((LEN(BC120)-LEN(SUBSTITUTE(BC120," "&amp;L_ResultBad&amp;" "," ")))/(LEN(L_ResultBad)+1))&gt;SUMPRODUCT((LEN(BC120)-LEN(SUBSTITUTE(BC120," "&amp;L_NegPhrase&amp;" "," ")))/(LEN(L_NegPhrase)+1))),1,0),0)</f>
        <v>0</v>
      </c>
      <c r="BH120" s="61" t="n">
        <f aca="false">IFERROR(IF(SUMPRODUCT((LEN(BC120)-LEN(SUBSTITUTE(BC120," "&amp;L_Pending&amp;" "," ")))/(LEN(L_Pending)+1))&gt;SUMPRODUCT((LEN(BC120)-LEN(SUBSTITUTE(BC120," "&amp;L_PendNeg&amp;" "," ")))/(LEN(L_PendNeg)+1))+SUMPRODUCT((LEN(BC120)-LEN(SUBSTITUTE(BC120," "&amp;L_PendPrep&amp;" "," ")))/(LEN(L_PendPrep)+1)),1,0),1)</f>
        <v>0</v>
      </c>
      <c r="BI120" s="61" t="n">
        <f aca="false">IFERROR(IF(SUMPRODUCT((LEN(BD120)-LEN(SUBSTITUTE(BD120," "&amp;L_PendStrict&amp;" "," ")))/(LEN(L_PendStrict)+1))&gt;SUMPRODUCT((LEN(BD120)-LEN(SUBSTITUTE(BD120," "&amp;L_PendNeg&amp;" "," ")))/(LEN(L_PendNeg)+1)),1,0),1)</f>
        <v>0</v>
      </c>
      <c r="BJ120" s="61" t="n">
        <f aca="false">IFERROR(IF(SUMPRODUCT((LEN(BE120)-LEN(SUBSTITUTE(BE120," "&amp;L_Pending&amp;" "," ")))/(LEN(L_Pending)+1))&gt;SUMPRODUCT((LEN(BE120)-LEN(SUBSTITUTE(BE120," "&amp;L_PendNeg&amp;" "," ")))/(LEN(L_PendNeg)+1))+SUMPRODUCT((LEN(BE120)-LEN(SUBSTITUTE(BE120," "&amp;L_PendPrep&amp;" "," ")))/(LEN(L_PendPrep)+1)),1,0),1)</f>
        <v>0</v>
      </c>
      <c r="BK120" s="61" t="n">
        <f aca="false">IFERROR(IF(SUMPRODUCT((LEN(BF120)-LEN(SUBSTITUTE(BF120," "&amp;L_PendStrict&amp;" "," ")))/(LEN(L_PendStrict)+1))&gt;SUMPRODUCT((LEN(BF120)-LEN(SUBSTITUTE(BF120," "&amp;L_PendNeg&amp;" "," ")))/(LEN(L_PendNeg)+1)),1,0),1)</f>
        <v>0</v>
      </c>
      <c r="BL120" s="61" t="n">
        <f aca="false">IF(ISNA(MATCH(TRIM(S120),L_EvidenceType,0)),0,BZ120)</f>
        <v>0</v>
      </c>
      <c r="BM120" s="61" t="str">
        <f aca="false">SUBSTITUTE(SUBSTITUTE(SUBSTITUTE(SUBSTITUTE(SUBSTITUTE(SUBSTITUTE(SUBSTITUTE(SUBSTITUTE(SUBSTITUTE(LOWER(Z120&amp;""),"1","0"),"2","0"),"3","0"),"4","0"),"5","0"),"6","0"),"7","0"),"8","0"),"9","0")</f>
        <v/>
      </c>
      <c r="BN120" s="61" t="str">
        <f aca="false">SUBSTITUTE(SUBSTITUTE(SUBSTITUTE(SUBSTITUTE(SUBSTITUTE(SUBSTITUTE(SUBSTITUTE(SUBSTITUTE(SUBSTITUTE(SUBSTITUTE(SUBSTITUTE(SUBSTITUTE(SUBSTITUTE(SUBSTITUTE(SUBSTITUTE(SUBSTITUTE(SUBSTITUTE(SUBSTITUTE(SUBSTITUTE(SUBSTITUTE(SUBSTITUTE(SUBSTITUTE(SUBSTITUTE(SUBSTITUTE(SUBSTITUTE(BM120,"b","a"),"c","a"),"d","a"),"e","a"),"f","a"),"g","a"),"h","a"),"i","a"),"j","a"),"k","a"),"l","a"),"m","a"),"n","a"),"o","a"),"p","a"),"q","a"),"r","a"),"s","a"),"t","a"),"u","a"),"v","a"),"w","a"),"x","a"),"y","a"),"z","a")</f>
        <v/>
      </c>
      <c r="BO120" s="61" t="str">
        <f aca="false">SUBSTITUTE(SUBSTITUTE(SUBSTITUTE(SUBSTITUTE(SUBSTITUTE(SUBSTITUTE(SUBSTITUTE(SUBSTITUTE(SUBSTITUTE(LOWER(W120&amp;""),"1","0"),"2","0"),"3","0"),"4","0"),"5","0"),"6","0"),"7","0"),"8","0"),"9","0")</f>
        <v/>
      </c>
      <c r="BP120" s="61" t="str">
        <f aca="false">SUBSTITUTE(SUBSTITUTE(SUBSTITUTE(SUBSTITUTE(SUBSTITUTE(SUBSTITUTE(SUBSTITUTE(SUBSTITUTE(SUBSTITUTE(SUBSTITUTE(SUBSTITUTE(SUBSTITUTE(SUBSTITUTE(SUBSTITUTE(SUBSTITUTE(SUBSTITUTE(SUBSTITUTE(SUBSTITUTE(SUBSTITUTE(SUBSTITUTE(SUBSTITUTE(SUBSTITUTE(SUBSTITUTE(SUBSTITUTE(SUBSTITUTE(BO120,"b","a"),"c","a"),"d","a"),"e","a"),"f","a"),"g","a"),"h","a"),"i","a"),"j","a"),"k","a"),"l","a"),"m","a"),"n","a"),"o","a"),"p","a"),"q","a"),"r","a"),"s","a"),"t","a"),"u","a"),"v","a"),"w","a"),"x","a"),"y","a"),"z","a")</f>
        <v/>
      </c>
      <c r="BQ120" s="61" t="n">
        <f aca="false">IFERROR(IF(AND(ISERROR(SEARCH(" mh"," "&amp;LOWER(W120))),ISNA(MATCH(LEFT(TRIM(BP120),255),{"0000a","000a","00a","0000aa","000aa","00aa","0aa","0000aaa","000aaa","00a00","0a00","0000-0000","00:00","a00","a0","00.00.0000","00/00/0000","00-00-0000","0000-00-00","0000/00/00","0000.00.00","00.00.00","00/00/00","00-00-00","0.00.0000","0/00/0000","0-00-0000"},0)),ISNA(MATCH(LEFT(TRIM(CA120),255),{"0000a","000a","00a","0000aa","000aa","00aa","0aa","0000aaa","000aaa","00a00","0a00","0000-0000","00:00","a00","a0","00.00.0000","00/00/0000","00-00-0000","0000-00-00","0000/00/00","0000.00.00","00.00.00","00/00/00","00-00-00","0.00.0000","0/00/0000","0-00-0000"},0)),LEN(CB120)&gt;=3,NOT(OR(SUBSTITUTE(CB120,"0","")="",AND(LEN(CB120)&gt;=4,CB120=REPT(LEFT(CB120),LEN(CB120))),ISNUMBER(MATCH(CB120,{"123","1234","12345","123456","1234567","12345678","0123","01234","012345","98765","987654","54321"},0)),AND(LEN(CB120)=8,LEFT(CB120,3)="202"))),OR(AND((LEN(CA120)-LEN(SUBSTITUTE(CA120,"a","")))&gt;=1,SUMPRODUCT(--ISNUMBER(SEARCH({"a0","a-0","a_0","a/0","a.0","a#0","0a","0-a","0_a","0/a"},BP120)))&gt;0),ISNUMBER(SEARCH("000000",BP120)))),1,0),0)</f>
        <v>0</v>
      </c>
      <c r="BR120" s="61" t="n">
        <f aca="false">IFERROR(LEN(SUBSTITUTE(CC120," ",""))-SUMPRODUCT((LEN(CC120)-LEN(SUBSTITUTE(CC120," "&amp;L_Role&amp;" "," ")))/(LEN(L_Role)+1)*LEN(L_Role)),0)</f>
        <v>0</v>
      </c>
      <c r="BS120" s="61" t="n">
        <f aca="false">IFERROR(LEN(SUBSTITUTE(CD120," ",""))-SUMPRODUCT((LEN(CD120)-LEN(SUBSTITUTE(CD120," "&amp;L_Role&amp;" "," ")))/(LEN(L_Role)+1)*LEN(L_Role)),0)</f>
        <v>0</v>
      </c>
      <c r="BT1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120,"revision",""),"version",""),"jan",""),"feb",""),"mar",""),"apr",""),"may",""),"jun",""),"jul",""),"aug",""),"sep",""),"oct",""),"nov",""),"dec",""),"utc",""),"gmt",""),"myt",""),"bst",""),"rev",""),"ver",""),"b","a"),"c","a"),"d","a"),"e","a"),"f","a"),"g","a"),"h","a"),"i","a"),"j","a"),"k","a"),"l","a"),"m","a"),"n","a"),"o","a"),"p","a"),"q","a"),"r","a"),"s","a"),"t","a"),"u","a"),"v","a"),"w","a"),"x","a"),"y","a"),"z","a")</f>
        <v/>
      </c>
      <c r="BU120" s="61" t="str">
        <f aca="false">SUBSTITUTE(SUBSTITUTE(SUBSTITUTE(SUBSTITUTE(SUBSTITUTE(SUBSTITUTE(SUBSTITUTE(SUBSTITUTE(SUBSTITUTE(SUBSTITUTE(LEFT(BM120,FIND("0",BM120&amp;"0")-1),"-",""),"_",""),"/",""),".",""),"#",""),"\\",""),":","")," ",""),"(",""),")","")</f>
        <v/>
      </c>
      <c r="BV120" s="61" t="n">
        <f aca="false">0</f>
        <v>0</v>
      </c>
      <c r="BW1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120&amp;""),"a",""),"b",""),"c",""),"d",""),"e",""),"f",""),"g",""),"h",""),"i",""),"j",""),"k",""),"l",""),"m",""),"n",""),"o",""),"p",""),"q",""),"r",""),"s",""),"t",""),"u",""),"v",""),"w",""),"x",""),"y",""),"z",""),"-",""),"_",""),"/",""),".",""),"#",""),"\\",""),":","")," ",""),"(",""),")","")</f>
        <v/>
      </c>
      <c r="BX120" s="61" t="str">
        <f aca="false">SUBSTITUTE(SUBSTITUTE(SUBSTITUTE(SUBSTITUTE(SUBSTITUTE(SUBSTITUTE(SUBSTITUTE(SUBSTITUTE(SUBSTITUTE(SUBSTITUTE(SUBSTITUTE(BM120,"0",""),"-",""),"_",""),"/",""),".",""),"#",""),"\\",""),":","")," ",""),"(",""),")","")</f>
        <v/>
      </c>
      <c r="BY120" s="62" t="n">
        <f aca="false">Q120-T12EarlyH/24</f>
        <v>46304.6458333333</v>
      </c>
      <c r="BZ120" s="61" t="n">
        <f aca="false">IFERROR(IF(IF(TRIM(S120)="Link / file path",AND(LEN(TRIM(Z120))&gt;=5,SUMPRODUCT(--ISNUMBER(SEARCH({"http","www.","\\",":\",".pdf",".jpg",".jpeg",".png",".heic",".xls",".doc",".msg",".eml",".ppt",".txt",".zip"},Z120)))&gt;0),AND(ISERROR(FIND(" ",TRIM(Z120))),NOT(OR(SUMPRODUCT(--ISNUMBER(FIND({",",";","&amp;","+"},Z120)))&gt;0,SUMPRODUCT(--ISNUMBER(SEARCH({"0/aa","0\\aa"},BN120)))&gt;0)),NOT(SUMPRODUCT(--ISNUMBER(SEARCH({"http","www.","\\",":\",".pdf",".jpg",".jpeg",".png",".heic",".xls",".doc",".msg",".eml",".ppt",".txt",".zip"},Z120)))&gt;0),NOT(LOWER(TRIM(Z120))=LOWER(Flights!$F$8)),ISNA(MATCH(BU120,{"mh","rev","revision","ver","version","v","r","a","b","seat","tray","row","gate","bay","stand","page","pg","item","line","no","cart","galley","flight","flt","table","box","bag","oven","etd","eta","std","sta","atd","ata","qty","pax","x","time","tel","ph","mob","day","wk","week","utc","gmt","myt","lt"},0)),NOT(OR(ISNUMBER(MATCH(LEFT(BN120,255),{"0000a","000a","00a","0000aa","000aa","00aa","0aa","0000aaa","000aaa","00a00","0a00","0000-0000","00:00","a00","a0","00.00.0000","00/00/0000","00-00-0000","0000-00-00","0000/00/00","0000.00.00","00.00.00","00/00/00","00-00-00","0.00.0000","0/00/0000","0-00-0000"},0)),ISNUMBER(MATCH(LEFT(BT120,255),{"0000a","000a","00a","0000aa","000aa","00aa","0aa","0000aaa","000aaa","00a00","0a00","0000-0000","00:00","a00","a0","00.00.0000","00/00/0000","00-00-0000","0000-00-00","0000/00/00","0000.00.00","00.00.00","00/00/00","00-00-00","0.00.0000","0/00/0000","0-00-0000"},0)))),NOT(OR(AND(BW120&lt;&gt;"",SUBSTITUTE(BW120,"0","")=""),AND(LEN(BW120)&gt;=4,BW120=REPT(LEFT(BW120),LEN(BW120))),ISNUMBER(MATCH(BW120,{"123","1234","12345","123456","1234567","12345678","0123","01234","012345","98765","987654","54321"},0)),ISNUMBER(MATCH(BX120,{"x","xx","xxx","xxxx","xxxxx","abc","abcd","nil","na","nan","test","tbc","tba","tbd","dummy","sample","example","eg","zz","zzz","none","null","xyz","qwe","asd","id","ref"},0)),AND(LEN(BW120)=8,BX120="",OR(LEFT(BW120,3)="202",ISNUMBER(MATCH(RIGHT(BW120,4),{"2025","2026","2027"},0)))))),OR(AND((LEN(BT120)-LEN(SUBSTITUTE(BT120,"a","")))&gt;=1,(LEN(BN120)-LEN(SUBSTITUTE(BN120,"0","")))&gt;=2,SUMPRODUCT(--ISNUMBER(SEARCH({"a0","a-0","a_0","a/0","a.0","a#0","0a","0-a","0_a","0/a"},BN120)))&gt;0),AND((LEN(BN120)-LEN(SUBSTITUTE(BN120,"a","")))=0,(LEN(BN120)-LEN(SUBSTITUTE(BN120,"0","")))&gt;=5)))),1,0),0)</f>
        <v>0</v>
      </c>
      <c r="CA1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120,"revision",""),"version",""),"jan",""),"feb",""),"mar",""),"apr",""),"may",""),"jun",""),"jul",""),"aug",""),"sep",""),"oct",""),"nov",""),"dec",""),"utc",""),"gmt",""),"myt",""),"bst",""),"rev",""),"ver",""),"b","a"),"c","a"),"d","a"),"e","a"),"f","a"),"g","a"),"h","a"),"i","a"),"j","a"),"k","a"),"l","a"),"m","a"),"n","a"),"o","a"),"p","a"),"q","a"),"r","a"),"s","a"),"t","a"),"u","a"),"v","a"),"w","a"),"x","a"),"y","a"),"z","a")</f>
        <v/>
      </c>
      <c r="CB1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120&amp;""),"a",""),"b",""),"c",""),"d",""),"e",""),"f",""),"g",""),"h",""),"i",""),"j",""),"k",""),"l",""),"m",""),"n",""),"o",""),"p",""),"q",""),"r",""),"s",""),"t",""),"u",""),"v",""),"w",""),"x",""),"y",""),"z",""),"-",""),"_",""),"/",""),".",""),"#",""),"\\",""),":","")," ",""),"(",""),")","")</f>
        <v/>
      </c>
      <c r="CC120" s="0" t="str">
        <f aca="false">" "&amp;TRIM(SUBSTITUTE(SUBSTITUTE(SUBSTITUTE(SUBSTITUTE(SUBSTITUTE(SUBSTITUTE(SUBSTITUTE(SUBSTITUTE(SUBSTITUTE(SUBSTITUTE(SUBSTITUTE(SUBSTITUTE(SUBSTITUTE(SUBSTITUTE(SUBSTITUTE(SUBSTITUTE(SUBSTITUTE(SUBSTITUTE(SUBSTITUTE(SUBSTITUTE(SUBSTITUTE(SUBSTITUTE(SUBSTITUTE(SUBSTITUTE(LOWER(T120&amp;""),CHAR(10)," "),CHAR(13)," "),CHAR(9)," "),CHAR(160)," "),"."," "),","," "),"-"," "),"/"," "),"("," "),")"," "),":"," "),";"," "),"_"," "),"–"," "),"?"," "),"!"," "),"*"," "),"["," "),"]"," "),"'"," "),"#"," "),"+"," "),"&amp;"," "),"\"," "))&amp;" "</f>
        <v>  </v>
      </c>
      <c r="CD120" s="0" t="str">
        <f aca="false">" "&amp;TRIM(SUBSTITUTE(SUBSTITUTE(SUBSTITUTE(SUBSTITUTE(SUBSTITUTE(SUBSTITUTE(SUBSTITUTE(SUBSTITUTE(SUBSTITUTE(SUBSTITUTE(SUBSTITUTE(SUBSTITUTE(SUBSTITUTE(SUBSTITUTE(SUBSTITUTE(SUBSTITUTE(SUBSTITUTE(SUBSTITUTE(SUBSTITUTE(SUBSTITUTE(SUBSTITUTE(SUBSTITUTE(SUBSTITUTE(SUBSTITUTE(LOWER(AE120&amp;""),CHAR(10)," "),CHAR(13)," "),CHAR(9)," "),CHAR(160)," "),"."," "),","," "),"-"," "),"/"," "),"("," "),")"," "),":"," "),";"," "),"_"," "),"–"," "),"?"," "),"!"," "),"*"," "),"["," "),"]"," "),"'"," "),"#"," "),"+"," "),"&amp;"," "),"\"," "))&amp;" "</f>
        <v>  </v>
      </c>
      <c r="CE120" s="68" t="n">
        <f aca="false">IFERROR(IF(AND(LEN(AU120)&gt;0,LEN(AU120)=LEN(AX120),OR(TRIM(MID(SUBSTITUTE(TRIM(CC120)," ",REPT(" ",60)),1,60))="",ISNUMBER(SEARCH(" "&amp;TRIM(MID(SUBSTITUTE(TRIM(CC120)," ",REPT(" ",60)),1,60))&amp;" ",CD120))),OR(TRIM(MID(SUBSTITUTE(TRIM(CC120)," ",REPT(" ",60)),61,60))="",ISNUMBER(SEARCH(" "&amp;TRIM(MID(SUBSTITUTE(TRIM(CC120)," ",REPT(" ",60)),61,60))&amp;" ",CD120))),OR(TRIM(MID(SUBSTITUTE(TRIM(CC120)," ",REPT(" ",60)),121,60))="",ISNUMBER(SEARCH(" "&amp;TRIM(MID(SUBSTITUTE(TRIM(CC120)," ",REPT(" ",60)),121,60))&amp;" ",CD120)))),1,0),0)</f>
        <v>0</v>
      </c>
      <c r="CG120" s="68" t="n">
        <f aca="false">IFERROR(LEN(SUBSTITUTE(BF120," ",""))-SUMPRODUCT((LEN(BF120)-LEN(SUBSTITUTE(BF120," "&amp;L_NAFiller&amp;" "," ")))/(LEN(L_NAFiller)+1)*LEN(L_NAFiller)),0)</f>
        <v>0</v>
      </c>
    </row>
    <row r="121" customFormat="false" ht="39.75" hidden="false" customHeight="true" outlineLevel="0" collapsed="false">
      <c r="A121" s="57" t="s">
        <v>639</v>
      </c>
      <c r="B121" s="57" t="s">
        <v>218</v>
      </c>
      <c r="C121" s="57" t="str">
        <f aca="false">Flights!$F$8</f>
        <v>MH0088</v>
      </c>
      <c r="D121" s="58" t="n">
        <f aca="false">Flights!$D$8</f>
        <v>46305</v>
      </c>
      <c r="E121" s="57" t="str">
        <f aca="false">Flights!$G$8&amp;"-"&amp;Flights!$H$8</f>
        <v>KUL-NRT</v>
      </c>
      <c r="F121" s="57" t="str">
        <f aca="false">Flights!$K$8</f>
        <v>BC</v>
      </c>
      <c r="G121" s="57" t="s">
        <v>459</v>
      </c>
      <c r="H121" s="57" t="s">
        <v>460</v>
      </c>
      <c r="I121" s="57" t="s">
        <v>379</v>
      </c>
      <c r="J121" s="57" t="s">
        <v>461</v>
      </c>
      <c r="K121" s="67" t="s">
        <v>426</v>
      </c>
      <c r="L121" s="67" t="s">
        <v>462</v>
      </c>
      <c r="M121" s="67"/>
      <c r="N121" s="67" t="s">
        <v>383</v>
      </c>
      <c r="O121" s="67" t="s">
        <v>463</v>
      </c>
      <c r="P121" s="57" t="s">
        <v>187</v>
      </c>
      <c r="Q121" s="59" t="n">
        <f aca="false">ROUND((Flights!$AF$8)*1440,0)/1440</f>
        <v>46305.6458333333</v>
      </c>
      <c r="R121" s="59" t="n">
        <f aca="false">Q121+(IF(AND(INDEX(TZ_DSTS,MATCH(P121,TZ_STN,0))&lt;&gt;"",Q121&gt;=INDEX(TZ_DSTS,MATCH(P121,TZ_STN,0)),Q121&lt;INDEX(TZ_DSTE,MATCH(P121,TZ_STN,0))),INDEX(TZ_DST,MATCH(P121,TZ_STN,0)),INDEX(TZ_STD,MATCH(P121,TZ_STN,0))))/24</f>
        <v>46305.9791666667</v>
      </c>
      <c r="S121" s="60"/>
      <c r="T121" s="60"/>
      <c r="U121" s="60"/>
      <c r="V121" s="60"/>
      <c r="W121" s="61"/>
      <c r="X121" s="60"/>
      <c r="Y121" s="60"/>
      <c r="Z121" s="60"/>
      <c r="AA121" s="60"/>
      <c r="AB121" s="60"/>
      <c r="AC121" s="60"/>
      <c r="AD121" s="66"/>
      <c r="AE121" s="60"/>
      <c r="AF121" s="61" t="str">
        <f aca="false">IF(AND(ISNUMBER(X121),ISNUMBER(Y121)),Y121-X121,"")</f>
        <v/>
      </c>
      <c r="AG121" s="62" t="str">
        <f aca="false">IF(ISNUMBER(AD121),AD121-(IF(AND(INDEX(TZ_DSTS,MATCH(P121,TZ_STN,0))&lt;&gt;"",(AD121-INDEX(TZ_STD,MATCH(P121,TZ_STN,0))/24)&gt;=INDEX(TZ_DSTS,MATCH(P121,TZ_STN,0)),(AD121-INDEX(TZ_STD,MATCH(P121,TZ_STN,0))/24)&lt;INDEX(TZ_DSTE,MATCH(P121,TZ_STN,0))),INDEX(TZ_DST,MATCH(P121,TZ_STN,0)),INDEX(TZ_STD,MATCH(P121,TZ_STN,0))))/24,"")</f>
        <v/>
      </c>
      <c r="AH121" s="65" t="str">
        <f aca="false">IFERROR(IF(N121="N/A – rule",IF(OR(TRIM(U121)="",TRIM(U121)="N/A",TRIM(U121)="Not started"),"N/A – RULE","INVALID – this check does not apply to this aircraft: clear the status (or correct the fleet on Flights)"),IF(TRIM(U121)="N/A",IF(AT121=0,"INVALID – N/A not permitted for this check",IF(AND(TRIM(AB121)&lt;&gt;"",TRIM(AB121)&lt;&gt;"Closed"),"INVALID – corrective action still open",IF(AND(NOT(OR(LEN(AZ121)&lt;15,ISNUMBER(MATCH(AZ121,L_Placeholder,0)))),BK121=0,CG121&gt;=8,NOT(OR(LEN(AU121)&lt;2,ISNUMBER(MATCH(AU121,L_Placeholder,0)))),BR121&gt;=3,NOT(OR(LEN(AX121)&lt;2,ISNUMBER(MATCH(AX121,L_Placeholder,0)))),BS121&gt;=3,TRIM(AE121)&lt;&gt;TRIM(T121),AX121&lt;&gt;AU121,CE121=0),"N/A – JUSTIFIED","INVALID – N/A needs a real, settled reason (not 'not applicable' / 'as above' / TBC), a named PIC and a different named verifier"))),IF(OR(TRIM(U121)="Pass",TRIM(U121)="Pass after CA"),IF(NOT(ISNUMBER(AD121)),"INVALID – completion time missing",IF(OR(OR(LEN(AU121)&lt;2,ISNUMBER(MATCH(AU121,L_Placeholder,0))),BR121&lt;3),"INVALID – PIC missing or not a named person (a role such as QA / CSM is not a name)",IF(OR(LEN(AV121)&lt;2,ISNUMBER(MATCH(AV121,L_Placeholder,0))),"INVALID – result / assessment missing",IF(OR(OR(LEN(AW121)&lt;3,ISNUMBER(MATCH(AW121,L_Placeholder,0))),SUMPRODUCT(--ISNUMBER(SEARCH(" "&amp;L_EvidencePhrase&amp;" ",BD121)))&gt;0,BI121=1),"INVALID – evidence missing, placeholder or not yet on file",IF(ISNA(MATCH(TRIM(S121),L_EvidenceType,0)),"INVALID – choose the evidence type from the list (column S)",IF(BL121=0,"INVALID – evidence ID must be the record's own ID only (e.g. SF-2210, IMG_2231, 1045521); a link / file name needs type 'Link / file path'",IF(OR(OR(LEN(AX121)&lt;2,ISNUMBER(MATCH(AX121,L_Placeholder,0))),BS121&lt;3),"INVALID – verifier missing or not a named person (a role such as QA / CSM is not a name)",IF(OR(AX121=AU121,CE121=1,AND(LEN(AU121)&gt;=4,ISNUMBER(SEARCH(AU121,AX121))),AND(LEN(AX121)&gt;=4,ISNUMBER(SEARCH(AX121,AU121)))),"INVALID – verifier must be a different, named person (not the PIC or a role)",IF(BH121=1,"INVALID – result not yet available (awaiting / TBC)",IF(BG121=1,"INVALID – result describes a problem: record Fail, then Pass after CA (or reword if it is not a problem)",IF(BV121=1,"INVALID – wording says not on board: an on-board confirmation needs the item loaded",IF(AND(AQ121=1,OR(OR(LEN(AY121)&lt;3,ISNUMBER(MATCH(AY121,L_Placeholder,0))),BJ121=1,BQ121=0)),"INVALID – batch ID missing, placeholder or not an ID (e.g. PASB-261008-BC-017)",IF(AND(AR121=1,OR(NOT(ISNUMBER(X121)),NOT(ISNUMBER(Y121)))),"INVALID – expected/actual qty missing",IF(AND(AR121=1,OR(X121&lt;=0,Y121&lt;0)),"INVALID – expected qty must be above 0 and actual not negative",IF(AH101="N/A – JUSTIFIED","INVALID – preparation row F04-T12-02 is N/A",IF(AND(AR121=1,ISNUMBER(X101),X121&lt;&gt;X101,TRIM(U121)&lt;&gt;"Pass after CA"),"INVALID – expected qty differs from preparation check F04-T12-02: record the load change as a corrective action (Pass after CA)",IF(BB121&lt;&gt;"",BB121,IF(AND(AS121=1,Documents!$J$8&lt;&gt;"ON FILE"),"INVALID – GLD not on file (Documents sheet)",IF(AND(AS121=2,Documents!$O$8&lt;&gt;"ON FILE"),"INVALID – menu checklist not on file (Documents sheet)",IF(AND(AS121=3,NOT(ISNUMBER(Flights!$AX$8))),"INVALID – enter carrying flight KUL departure (Flights AX)",IF(AND(AS121=3,OR(Flights!$AZ$8&gt;Flights!$AA$8,Flights!$AX$8&lt;Flights!$AA$8-3)),"INVALID – carrying flight (Flights AX) cannot arrive before this leg's STD, or is over 3 days early",IF(AG121&gt;AsOfUTC,"INVALID – completion time is in the future",IF(AND(ISNUMBER(BY121),AG121&lt;BY121),IF(H121="Physical uplift","INVALID – before uplift window (cannot confirm loading)","INVALID – before valid window"),IF(AG121&gt;Flights!$AA$8,"INVALID – completed after departure (cannot establish readiness)",IF(AND(H121="Preparation",AG121&gt;=IF(ISNUMBER(Flights!$BA$8),MIN(Flights!$BA$8,Flights!$AA$8),Flights!$AA$8)),"INVALID – completed after loading / departure (cannot establish readiness)",IF(AND(H121="Physical uplift",AG121&gt;Q121),"INVALID – recorded after the loading flight departed",IF(AG121&gt;Q121,"COMPLETE – LATE","COMPLETE"))))))))))))))))))))))))))),IF(TRIM(U121)="Fail","FAIL – DISCREPANCY",IF(AND(TRIM(U121)&lt;&gt;"",TRIM(U121)&lt;&gt;"Not started",TRIM(U121)&lt;&gt;"In progress"),"INVALID – unrecognised status (use the list)",IF(AsOfUTC&gt;Q121,"OVERDUE",IF(N121="Clarification required","OPEN – CLARIFICATION","OPEN"))))))),"INVALID – error value in an input cell")</f>
        <v>OPEN</v>
      </c>
      <c r="AI121" s="61" t="n">
        <f aca="false">IF(OR(AH121="N/A – RULE",AH121="N/A – JUSTIFIED"),0,1)</f>
        <v>1</v>
      </c>
      <c r="AJ121" s="61" t="n">
        <f aca="false">IF(LEFT(AH121,8)="COMPLETE",1,0)</f>
        <v>0</v>
      </c>
      <c r="AK121" s="61" t="n">
        <f aca="false">IF(AND(AI121=1,AJ121=0,AsOfUTC&gt;Q121),1,0)</f>
        <v>0</v>
      </c>
      <c r="AL121" s="61" t="n">
        <f aca="false">IFERROR(IF(AND(AI121=1,OR(TRIM(U121)="Fail",AND(TRIM(AB121)&lt;&gt;"",TRIM(AB121)&lt;&gt;"Closed"),AND(ISNUMBER(AF121),AF121&lt;&gt;0,TRIM(U121)&lt;&gt;"Pass after CA"))),1,0),1)</f>
        <v>0</v>
      </c>
      <c r="AM121" s="61" t="n">
        <f aca="false">IF(LEFT(AH121,7)="INVALID",1,0)</f>
        <v>0</v>
      </c>
      <c r="AN121" s="61" t="n">
        <f aca="false">IF(AND(N121="Clarification required",AI121=1,AJ121=0),1,0)</f>
        <v>0</v>
      </c>
      <c r="AO121" s="61" t="str">
        <f aca="false">IF(AK121=1,SUM(AK$5:AK121),"")</f>
        <v/>
      </c>
      <c r="AP121" s="61" t="str">
        <f aca="false">IF(AL121=1,SUM(AL$5:AL121),"")</f>
        <v/>
      </c>
      <c r="AQ121" s="61" t="n">
        <v>0</v>
      </c>
      <c r="AR121" s="61" t="n">
        <v>1</v>
      </c>
      <c r="AS121" s="61" t="n">
        <v>0</v>
      </c>
      <c r="AT121" s="61" t="n">
        <v>0</v>
      </c>
      <c r="AU121" s="61" t="str">
        <f aca="false">SUBSTITUTE(SUBSTITUTE(SUBSTITUTE(SUBSTITUTE(SUBSTITUTE(SUBSTITUTE(SUBSTITUTE(SUBSTITUTE(SUBSTITUTE(SUBSTITUTE(SUBSTITUTE(SUBSTITUTE(SUBSTITUTE(SUBSTITUTE(SUBSTITUTE(SUBSTITUTE(LOWER(T121&amp;""),CHAR(10),""),CHAR(13),""),CHAR(9),""),CHAR(160),"")," ",""),".",""),"-",""),"/",""),"?",""),"_",""),",",""),"[",""),"]",""),"(",""),")",""),"*","")</f>
        <v/>
      </c>
      <c r="AV121" s="61" t="str">
        <f aca="false">SUBSTITUTE(SUBSTITUTE(SUBSTITUTE(SUBSTITUTE(SUBSTITUTE(SUBSTITUTE(SUBSTITUTE(SUBSTITUTE(SUBSTITUTE(SUBSTITUTE(SUBSTITUTE(SUBSTITUTE(SUBSTITUTE(SUBSTITUTE(SUBSTITUTE(SUBSTITUTE(LOWER(V121&amp;""),CHAR(10),""),CHAR(13),""),CHAR(9),""),CHAR(160),"")," ",""),".",""),"-",""),"/",""),"?",""),"_",""),",",""),"[",""),"]",""),"(",""),")",""),"*","")</f>
        <v/>
      </c>
      <c r="AW121" s="61" t="str">
        <f aca="false">SUBSTITUTE(SUBSTITUTE(SUBSTITUTE(SUBSTITUTE(SUBSTITUTE(SUBSTITUTE(SUBSTITUTE(SUBSTITUTE(SUBSTITUTE(SUBSTITUTE(SUBSTITUTE(SUBSTITUTE(SUBSTITUTE(SUBSTITUTE(SUBSTITUTE(SUBSTITUTE(LOWER(Z121&amp;""),CHAR(10),""),CHAR(13),""),CHAR(9),""),CHAR(160),"")," ",""),".",""),"-",""),"/",""),"?",""),"_",""),",",""),"[",""),"]",""),"(",""),")",""),"*","")</f>
        <v/>
      </c>
      <c r="AX121" s="61" t="str">
        <f aca="false">SUBSTITUTE(SUBSTITUTE(SUBSTITUTE(SUBSTITUTE(SUBSTITUTE(SUBSTITUTE(SUBSTITUTE(SUBSTITUTE(SUBSTITUTE(SUBSTITUTE(SUBSTITUTE(SUBSTITUTE(SUBSTITUTE(SUBSTITUTE(SUBSTITUTE(SUBSTITUTE(LOWER(AE121&amp;""),CHAR(10),""),CHAR(13),""),CHAR(9),""),CHAR(160),"")," ",""),".",""),"-",""),"/",""),"?",""),"_",""),",",""),"[",""),"]",""),"(",""),")",""),"*","")</f>
        <v/>
      </c>
      <c r="AY121" s="61" t="str">
        <f aca="false">SUBSTITUTE(SUBSTITUTE(SUBSTITUTE(SUBSTITUTE(SUBSTITUTE(SUBSTITUTE(SUBSTITUTE(SUBSTITUTE(SUBSTITUTE(SUBSTITUTE(SUBSTITUTE(SUBSTITUTE(SUBSTITUTE(SUBSTITUTE(SUBSTITUTE(SUBSTITUTE(LOWER(W121&amp;""),CHAR(10),""),CHAR(13),""),CHAR(9),""),CHAR(160),"")," ",""),".",""),"-",""),"/",""),"?",""),"_",""),",",""),"[",""),"]",""),"(",""),")",""),"*","")</f>
        <v/>
      </c>
      <c r="AZ121" s="61" t="str">
        <f aca="false">SUBSTITUTE(SUBSTITUTE(SUBSTITUTE(SUBSTITUTE(SUBSTITUTE(SUBSTITUTE(SUBSTITUTE(SUBSTITUTE(SUBSTITUTE(SUBSTITUTE(SUBSTITUTE(SUBSTITUTE(SUBSTITUTE(SUBSTITUTE(SUBSTITUTE(SUBSTITUTE(LOWER(AC121&amp;""),CHAR(10),""),CHAR(13),""),CHAR(9),""),CHAR(160),"")," ",""),".",""),"-",""),"/",""),"?",""),"_",""),",",""),"[",""),"]",""),"(",""),")",""),"*","")</f>
        <v/>
      </c>
      <c r="BA121" s="61" t="str">
        <f aca="false">SUBSTITUTE(SUBSTITUTE(SUBSTITUTE(SUBSTITUTE(SUBSTITUTE(SUBSTITUTE(SUBSTITUTE(SUBSTITUTE(SUBSTITUTE(SUBSTITUTE(SUBSTITUTE(SUBSTITUTE(SUBSTITUTE(SUBSTITUTE(SUBSTITUTE(SUBSTITUTE(LOWER(AA121&amp;""),CHAR(10),""),CHAR(13),""),CHAR(9),""),CHAR(160),"")," ",""),".",""),"-",""),"/",""),"?",""),"_",""),",",""),"[",""),"]",""),"(",""),")",""),"*","")</f>
        <v/>
      </c>
      <c r="BB121" s="61" t="str">
        <f aca="false">IF(AND(TRIM(U121)="Pass",ISNUMBER(AF121)),IF(AF121&lt;&gt;0,"INVALID – qty variance: use Fail or Pass after CA",""),"")&amp;IF(AND(TRIM(U121)="Pass after CA",ISNUMBER(AF121)),IF(AF121&lt;&gt;0,"INVALID – after the corrective action the actual qty must equal expected (update Actual)",""),"")&amp;IF(AND(TRIM(U121)="Pass",TRIM(AB121)&lt;&gt;"",TRIM(AB121)&lt;&gt;"Closed"),"INVALID – corrective action not closed: use Fail, then Pass after CA","")&amp;IF(AND(LEN(BA121)&gt;=2,ISNA(MATCH(LEFT(BA121,255),L_Placeholder,0)),TRIM(AB121)=""),"INVALID – CA status missing for the recorded corrective action","")&amp;IF(AND(TRIM(U121)="Pass after CA",OR(OR(LEN(BA121)&lt;5,ISNUMBER(MATCH(BA121,L_Placeholder,0))),TRIM(AB121)&lt;&gt;"Closed")),"INVALID – corrective action not recorded/closed","")</f>
        <v/>
      </c>
      <c r="BC121" s="61" t="str">
        <f aca="false">" "&amp;TRIM(SUBSTITUTE(SUBSTITUTE(SUBSTITUTE(SUBSTITUTE(SUBSTITUTE(SUBSTITUTE(SUBSTITUTE(SUBSTITUTE(SUBSTITUTE(SUBSTITUTE(SUBSTITUTE(SUBSTITUTE(SUBSTITUTE(SUBSTITUTE(SUBSTITUTE(SUBSTITUTE(SUBSTITUTE(SUBSTITUTE(SUBSTITUTE(SUBSTITUTE(SUBSTITUTE(SUBSTITUTE(SUBSTITUTE(SUBSTITUTE(LOWER(V121&amp;""),CHAR(10)," "),CHAR(13)," "),CHAR(9)," "),CHAR(160)," "),"."," "),","," "),"-"," "),"/"," "),"("," "),")"," "),":"," "),";"," "),"_"," "),"–"," "),"?"," "),"!"," "),"*"," "),"["," "),"]"," "),"'"," "),"#"," "),"+"," "),"&amp;"," "),"\"," "))&amp;" "</f>
        <v>  </v>
      </c>
      <c r="BD121" s="61" t="str">
        <f aca="false">" "&amp;TRIM(SUBSTITUTE(SUBSTITUTE(SUBSTITUTE(SUBSTITUTE(SUBSTITUTE(SUBSTITUTE(SUBSTITUTE(SUBSTITUTE(SUBSTITUTE(SUBSTITUTE(SUBSTITUTE(SUBSTITUTE(SUBSTITUTE(SUBSTITUTE(SUBSTITUTE(SUBSTITUTE(SUBSTITUTE(SUBSTITUTE(SUBSTITUTE(SUBSTITUTE(SUBSTITUTE(SUBSTITUTE(SUBSTITUTE(SUBSTITUTE(LOWER(Z121&amp;""),CHAR(10)," "),CHAR(13)," "),CHAR(9)," "),CHAR(160)," "),"."," "),","," "),"-"," "),"/"," "),"("," "),")"," "),":"," "),";"," "),"_"," "),"–"," "),"?"," "),"!"," "),"*"," "),"["," "),"]"," "),"'"," "),"#"," "),"+"," "),"&amp;"," "),"\"," "))&amp;" "</f>
        <v>  </v>
      </c>
      <c r="BE121" s="61" t="str">
        <f aca="false">" "&amp;TRIM(SUBSTITUTE(SUBSTITUTE(SUBSTITUTE(SUBSTITUTE(SUBSTITUTE(SUBSTITUTE(SUBSTITUTE(SUBSTITUTE(SUBSTITUTE(SUBSTITUTE(SUBSTITUTE(SUBSTITUTE(SUBSTITUTE(SUBSTITUTE(SUBSTITUTE(SUBSTITUTE(SUBSTITUTE(SUBSTITUTE(SUBSTITUTE(SUBSTITUTE(SUBSTITUTE(SUBSTITUTE(SUBSTITUTE(SUBSTITUTE(LOWER(W121&amp;""),CHAR(10)," "),CHAR(13)," "),CHAR(9)," "),CHAR(160)," "),"."," "),","," "),"-"," "),"/"," "),"("," "),")"," "),":"," "),";"," "),"_"," "),"–"," "),"?"," "),"!"," "),"*"," "),"["," "),"]"," "),"'"," "),"#"," "),"+"," "),"&amp;"," "),"\"," "))&amp;" "</f>
        <v>  </v>
      </c>
      <c r="BF121" s="61" t="str">
        <f aca="false">" "&amp;TRIM(SUBSTITUTE(SUBSTITUTE(SUBSTITUTE(SUBSTITUTE(SUBSTITUTE(SUBSTITUTE(SUBSTITUTE(SUBSTITUTE(SUBSTITUTE(SUBSTITUTE(SUBSTITUTE(SUBSTITUTE(SUBSTITUTE(SUBSTITUTE(SUBSTITUTE(SUBSTITUTE(SUBSTITUTE(SUBSTITUTE(SUBSTITUTE(SUBSTITUTE(SUBSTITUTE(SUBSTITUTE(SUBSTITUTE(SUBSTITUTE(LOWER(AC121&amp;""),CHAR(10)," "),CHAR(13)," "),CHAR(9)," "),CHAR(160)," "),"."," "),","," "),"-"," "),"/"," "),"("," "),")"," "),":"," "),";"," "),"_"," "),"–"," "),"?"," "),"!"," "),"*"," "),"["," "),"]"," "),"'"," "),"#"," "),"+"," "),"&amp;"," "),"\"," "))&amp;" "</f>
        <v>  </v>
      </c>
      <c r="BG121" s="61" t="n">
        <f aca="false">IFERROR(IF(AND(TRIM(U121)="Pass",SUMPRODUCT((LEN(BC121)-LEN(SUBSTITUTE(BC121," "&amp;L_ResultBad&amp;" "," ")))/(LEN(L_ResultBad)+1))&gt;SUMPRODUCT((LEN(BC121)-LEN(SUBSTITUTE(BC121," "&amp;L_NegPhrase&amp;" "," ")))/(LEN(L_NegPhrase)+1))),1,0),0)</f>
        <v>0</v>
      </c>
      <c r="BH121" s="61" t="n">
        <f aca="false">IFERROR(IF(SUMPRODUCT((LEN(BC121)-LEN(SUBSTITUTE(BC121," "&amp;L_Pending&amp;" "," ")))/(LEN(L_Pending)+1))&gt;SUMPRODUCT((LEN(BC121)-LEN(SUBSTITUTE(BC121," "&amp;L_PendNeg&amp;" "," ")))/(LEN(L_PendNeg)+1)),1,0),1)</f>
        <v>0</v>
      </c>
      <c r="BI121" s="61" t="n">
        <f aca="false">IFERROR(IF(SUMPRODUCT((LEN(BD121)-LEN(SUBSTITUTE(BD121," "&amp;L_PendStrict&amp;" "," ")))/(LEN(L_PendStrict)+1))&gt;SUMPRODUCT((LEN(BD121)-LEN(SUBSTITUTE(BD121," "&amp;L_PendNeg&amp;" "," ")))/(LEN(L_PendNeg)+1)),1,0),1)</f>
        <v>0</v>
      </c>
      <c r="BJ121" s="61" t="n">
        <f aca="false">IFERROR(IF(SUMPRODUCT((LEN(BE121)-LEN(SUBSTITUTE(BE121," "&amp;L_Pending&amp;" "," ")))/(LEN(L_Pending)+1))&gt;SUMPRODUCT((LEN(BE121)-LEN(SUBSTITUTE(BE121," "&amp;L_PendNeg&amp;" "," ")))/(LEN(L_PendNeg)+1)),1,0),1)</f>
        <v>0</v>
      </c>
      <c r="BK121" s="61" t="n">
        <f aca="false">IFERROR(IF(SUMPRODUCT((LEN(BF121)-LEN(SUBSTITUTE(BF121," "&amp;L_PendStrict&amp;" "," ")))/(LEN(L_PendStrict)+1))&gt;SUMPRODUCT((LEN(BF121)-LEN(SUBSTITUTE(BF121," "&amp;L_PendNeg&amp;" "," ")))/(LEN(L_PendNeg)+1)),1,0),1)</f>
        <v>0</v>
      </c>
      <c r="BL121" s="61" t="n">
        <f aca="false">IF(ISNA(MATCH(TRIM(S121),L_EvidenceType,0)),0,BZ121)</f>
        <v>0</v>
      </c>
      <c r="BM121" s="61" t="str">
        <f aca="false">SUBSTITUTE(SUBSTITUTE(SUBSTITUTE(SUBSTITUTE(SUBSTITUTE(SUBSTITUTE(SUBSTITUTE(SUBSTITUTE(SUBSTITUTE(LOWER(Z121&amp;""),"1","0"),"2","0"),"3","0"),"4","0"),"5","0"),"6","0"),"7","0"),"8","0"),"9","0")</f>
        <v/>
      </c>
      <c r="BN121" s="61" t="str">
        <f aca="false">SUBSTITUTE(SUBSTITUTE(SUBSTITUTE(SUBSTITUTE(SUBSTITUTE(SUBSTITUTE(SUBSTITUTE(SUBSTITUTE(SUBSTITUTE(SUBSTITUTE(SUBSTITUTE(SUBSTITUTE(SUBSTITUTE(SUBSTITUTE(SUBSTITUTE(SUBSTITUTE(SUBSTITUTE(SUBSTITUTE(SUBSTITUTE(SUBSTITUTE(SUBSTITUTE(SUBSTITUTE(SUBSTITUTE(SUBSTITUTE(SUBSTITUTE(BM121,"b","a"),"c","a"),"d","a"),"e","a"),"f","a"),"g","a"),"h","a"),"i","a"),"j","a"),"k","a"),"l","a"),"m","a"),"n","a"),"o","a"),"p","a"),"q","a"),"r","a"),"s","a"),"t","a"),"u","a"),"v","a"),"w","a"),"x","a"),"y","a"),"z","a")</f>
        <v/>
      </c>
      <c r="BO121" s="61" t="str">
        <f aca="false">SUBSTITUTE(SUBSTITUTE(SUBSTITUTE(SUBSTITUTE(SUBSTITUTE(SUBSTITUTE(SUBSTITUTE(SUBSTITUTE(SUBSTITUTE(LOWER(W121&amp;""),"1","0"),"2","0"),"3","0"),"4","0"),"5","0"),"6","0"),"7","0"),"8","0"),"9","0")</f>
        <v/>
      </c>
      <c r="BP121" s="61" t="str">
        <f aca="false">SUBSTITUTE(SUBSTITUTE(SUBSTITUTE(SUBSTITUTE(SUBSTITUTE(SUBSTITUTE(SUBSTITUTE(SUBSTITUTE(SUBSTITUTE(SUBSTITUTE(SUBSTITUTE(SUBSTITUTE(SUBSTITUTE(SUBSTITUTE(SUBSTITUTE(SUBSTITUTE(SUBSTITUTE(SUBSTITUTE(SUBSTITUTE(SUBSTITUTE(SUBSTITUTE(SUBSTITUTE(SUBSTITUTE(SUBSTITUTE(SUBSTITUTE(BO121,"b","a"),"c","a"),"d","a"),"e","a"),"f","a"),"g","a"),"h","a"),"i","a"),"j","a"),"k","a"),"l","a"),"m","a"),"n","a"),"o","a"),"p","a"),"q","a"),"r","a"),"s","a"),"t","a"),"u","a"),"v","a"),"w","a"),"x","a"),"y","a"),"z","a")</f>
        <v/>
      </c>
      <c r="BQ121" s="61" t="n">
        <f aca="false">IFERROR(IF(AND(ISERROR(SEARCH(" mh"," "&amp;LOWER(W121))),ISNA(MATCH(LEFT(TRIM(BP121),255),{"0000a","000a","00a","0000aa","000aa","00aa","0aa","0000aaa","000aaa","00a00","0a00","0000-0000","00:00","a00","a0","00.00.0000","00/00/0000","00-00-0000","0000-00-00","0000/00/00","0000.00.00","00.00.00","00/00/00","00-00-00","0.00.0000","0/00/0000","0-00-0000"},0)),ISNA(MATCH(LEFT(TRIM(CA121),255),{"0000a","000a","00a","0000aa","000aa","00aa","0aa","0000aaa","000aaa","00a00","0a00","0000-0000","00:00","a00","a0","00.00.0000","00/00/0000","00-00-0000","0000-00-00","0000/00/00","0000.00.00","00.00.00","00/00/00","00-00-00","0.00.0000","0/00/0000","0-00-0000"},0)),LEN(CB121)&gt;=3,NOT(OR(SUBSTITUTE(CB121,"0","")="",AND(LEN(CB121)&gt;=4,CB121=REPT(LEFT(CB121),LEN(CB121))),ISNUMBER(MATCH(CB121,{"123","1234","12345","123456","1234567","12345678","0123","01234","012345","98765","987654","54321"},0)),AND(LEN(CB121)=8,LEFT(CB121,3)="202"))),OR(AND((LEN(CA121)-LEN(SUBSTITUTE(CA121,"a","")))&gt;=1,SUMPRODUCT(--ISNUMBER(SEARCH({"a0","a-0","a_0","a/0","a.0","a#0","0a","0-a","0_a","0/a"},BP121)))&gt;0),ISNUMBER(SEARCH("000000",BP121)))),1,0),0)</f>
        <v>0</v>
      </c>
      <c r="BR121" s="61" t="n">
        <f aca="false">IFERROR(LEN(SUBSTITUTE(CC121," ",""))-SUMPRODUCT((LEN(CC121)-LEN(SUBSTITUTE(CC121," "&amp;L_Role&amp;" "," ")))/(LEN(L_Role)+1)*LEN(L_Role)),0)</f>
        <v>0</v>
      </c>
      <c r="BS121" s="61" t="n">
        <f aca="false">IFERROR(LEN(SUBSTITUTE(CD121," ",""))-SUMPRODUCT((LEN(CD121)-LEN(SUBSTITUTE(CD121," "&amp;L_Role&amp;" "," ")))/(LEN(L_Role)+1)*LEN(L_Role)),0)</f>
        <v>0</v>
      </c>
      <c r="BT1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121,"revision",""),"version",""),"jan",""),"feb",""),"mar",""),"apr",""),"may",""),"jun",""),"jul",""),"aug",""),"sep",""),"oct",""),"nov",""),"dec",""),"utc",""),"gmt",""),"myt",""),"bst",""),"rev",""),"ver",""),"b","a"),"c","a"),"d","a"),"e","a"),"f","a"),"g","a"),"h","a"),"i","a"),"j","a"),"k","a"),"l","a"),"m","a"),"n","a"),"o","a"),"p","a"),"q","a"),"r","a"),"s","a"),"t","a"),"u","a"),"v","a"),"w","a"),"x","a"),"y","a"),"z","a")</f>
        <v/>
      </c>
      <c r="BU121" s="61" t="str">
        <f aca="false">SUBSTITUTE(SUBSTITUTE(SUBSTITUTE(SUBSTITUTE(SUBSTITUTE(SUBSTITUTE(SUBSTITUTE(SUBSTITUTE(SUBSTITUTE(SUBSTITUTE(LEFT(BM121,FIND("0",BM121&amp;"0")-1),"-",""),"_",""),"/",""),".",""),"#",""),"\\",""),":","")," ",""),"(",""),")","")</f>
        <v/>
      </c>
      <c r="BV121" s="61" t="n">
        <f aca="false">IFERROR(IF(OR(SUMPRODUCT((LEN(BC121)-LEN(SUBSTITUTE(BC121," "&amp;L_NotLoaded&amp;" "," ")))/(LEN(L_NotLoaded)+1))&gt;SUMPRODUCT((LEN(BC121)-LEN(SUBSTITUTE(BC121," "&amp;L_NotLoadedNeg&amp;" "," ")))/(LEN(L_NotLoadedNeg)+1)),SUMPRODUCT((LEN(BD121)-LEN(SUBSTITUTE(BD121," "&amp;L_NotLoaded&amp;" "," ")))/(LEN(L_NotLoaded)+1))&gt;SUMPRODUCT((LEN(BD121)-LEN(SUBSTITUTE(BD121," "&amp;L_NotLoadedNeg&amp;" "," ")))/(LEN(L_NotLoadedNeg)+1))),1,0),0)</f>
        <v>0</v>
      </c>
      <c r="BW1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121&amp;""),"a",""),"b",""),"c",""),"d",""),"e",""),"f",""),"g",""),"h",""),"i",""),"j",""),"k",""),"l",""),"m",""),"n",""),"o",""),"p",""),"q",""),"r",""),"s",""),"t",""),"u",""),"v",""),"w",""),"x",""),"y",""),"z",""),"-",""),"_",""),"/",""),".",""),"#",""),"\\",""),":","")," ",""),"(",""),")","")</f>
        <v/>
      </c>
      <c r="BX121" s="61" t="str">
        <f aca="false">SUBSTITUTE(SUBSTITUTE(SUBSTITUTE(SUBSTITUTE(SUBSTITUTE(SUBSTITUTE(SUBSTITUTE(SUBSTITUTE(SUBSTITUTE(SUBSTITUTE(SUBSTITUTE(BM121,"0",""),"-",""),"_",""),"/",""),".",""),"#",""),"\\",""),":","")," ",""),"(",""),")","")</f>
        <v/>
      </c>
      <c r="BY121" s="62" t="n">
        <f aca="false">IF(ISNUMBER(Flights!$AZ$8),MAX(Q121-UpliftWindowH/24,Flights!$AZ$8),Q121-UpliftWindowH/24)</f>
        <v>46305.3958333333</v>
      </c>
      <c r="BZ121" s="61" t="n">
        <f aca="false">IFERROR(IF(IF(TRIM(S121)="Link / file path",AND(LEN(TRIM(Z121))&gt;=5,SUMPRODUCT(--ISNUMBER(SEARCH({"http","www.","\\",":\",".pdf",".jpg",".jpeg",".png",".heic",".xls",".doc",".msg",".eml",".ppt",".txt",".zip"},Z121)))&gt;0),AND(ISERROR(FIND(" ",TRIM(Z121))),NOT(OR(SUMPRODUCT(--ISNUMBER(FIND({",",";","&amp;","+"},Z121)))&gt;0,SUMPRODUCT(--ISNUMBER(SEARCH({"0/aa","0\\aa"},BN121)))&gt;0)),NOT(SUMPRODUCT(--ISNUMBER(SEARCH({"http","www.","\\",":\",".pdf",".jpg",".jpeg",".png",".heic",".xls",".doc",".msg",".eml",".ppt",".txt",".zip"},Z121)))&gt;0),NOT(LOWER(TRIM(Z121))=LOWER(Flights!$F$8)),ISNA(MATCH(BU121,{"mh","rev","revision","ver","version","v","r","a","b","seat","tray","row","gate","bay","stand","page","pg","item","line","no","cart","galley","flight","flt","table","box","bag","oven","etd","eta","std","sta","atd","ata","qty","pax","x","time","tel","ph","mob","day","wk","week","utc","gmt","myt","lt"},0)),NOT(OR(ISNUMBER(MATCH(LEFT(BN121,255),{"0000a","000a","00a","0000aa","000aa","00aa","0aa","0000aaa","000aaa","00a00","0a00","0000-0000","00:00","a00","a0","00.00.0000","00/00/0000","00-00-0000","0000-00-00","0000/00/00","0000.00.00","00.00.00","00/00/00","00-00-00","0.00.0000","0/00/0000","0-00-0000"},0)),ISNUMBER(MATCH(LEFT(BT121,255),{"0000a","000a","00a","0000aa","000aa","00aa","0aa","0000aaa","000aaa","00a00","0a00","0000-0000","00:00","a00","a0","00.00.0000","00/00/0000","00-00-0000","0000-00-00","0000/00/00","0000.00.00","00.00.00","00/00/00","00-00-00","0.00.0000","0/00/0000","0-00-0000"},0)))),NOT(OR(AND(BW121&lt;&gt;"",SUBSTITUTE(BW121,"0","")=""),AND(LEN(BW121)&gt;=4,BW121=REPT(LEFT(BW121),LEN(BW121))),ISNUMBER(MATCH(BW121,{"123","1234","12345","123456","1234567","12345678","0123","01234","012345","98765","987654","54321"},0)),ISNUMBER(MATCH(BX121,{"x","xx","xxx","xxxx","xxxxx","abc","abcd","nil","na","nan","test","tbc","tba","tbd","dummy","sample","example","eg","zz","zzz","none","null","xyz","qwe","asd","id","ref"},0)),AND(LEN(BW121)=8,BX121="",OR(LEFT(BW121,3)="202",ISNUMBER(MATCH(RIGHT(BW121,4),{"2025","2026","2027"},0)))))),OR(AND((LEN(BT121)-LEN(SUBSTITUTE(BT121,"a","")))&gt;=1,(LEN(BN121)-LEN(SUBSTITUTE(BN121,"0","")))&gt;=2,SUMPRODUCT(--ISNUMBER(SEARCH({"a0","a-0","a_0","a/0","a.0","a#0","0a","0-a","0_a","0/a"},BN121)))&gt;0),AND((LEN(BN121)-LEN(SUBSTITUTE(BN121,"a","")))=0,(LEN(BN121)-LEN(SUBSTITUTE(BN121,"0","")))&gt;=5)))),1,0),0)</f>
        <v>0</v>
      </c>
      <c r="CA1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121,"revision",""),"version",""),"jan",""),"feb",""),"mar",""),"apr",""),"may",""),"jun",""),"jul",""),"aug",""),"sep",""),"oct",""),"nov",""),"dec",""),"utc",""),"gmt",""),"myt",""),"bst",""),"rev",""),"ver",""),"b","a"),"c","a"),"d","a"),"e","a"),"f","a"),"g","a"),"h","a"),"i","a"),"j","a"),"k","a"),"l","a"),"m","a"),"n","a"),"o","a"),"p","a"),"q","a"),"r","a"),"s","a"),"t","a"),"u","a"),"v","a"),"w","a"),"x","a"),"y","a"),"z","a")</f>
        <v/>
      </c>
      <c r="CB1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121&amp;""),"a",""),"b",""),"c",""),"d",""),"e",""),"f",""),"g",""),"h",""),"i",""),"j",""),"k",""),"l",""),"m",""),"n",""),"o",""),"p",""),"q",""),"r",""),"s",""),"t",""),"u",""),"v",""),"w",""),"x",""),"y",""),"z",""),"-",""),"_",""),"/",""),".",""),"#",""),"\\",""),":","")," ",""),"(",""),")","")</f>
        <v/>
      </c>
      <c r="CC121" s="0" t="str">
        <f aca="false">" "&amp;TRIM(SUBSTITUTE(SUBSTITUTE(SUBSTITUTE(SUBSTITUTE(SUBSTITUTE(SUBSTITUTE(SUBSTITUTE(SUBSTITUTE(SUBSTITUTE(SUBSTITUTE(SUBSTITUTE(SUBSTITUTE(SUBSTITUTE(SUBSTITUTE(SUBSTITUTE(SUBSTITUTE(SUBSTITUTE(SUBSTITUTE(SUBSTITUTE(SUBSTITUTE(SUBSTITUTE(SUBSTITUTE(SUBSTITUTE(SUBSTITUTE(LOWER(T121&amp;""),CHAR(10)," "),CHAR(13)," "),CHAR(9)," "),CHAR(160)," "),"."," "),","," "),"-"," "),"/"," "),"("," "),")"," "),":"," "),";"," "),"_"," "),"–"," "),"?"," "),"!"," "),"*"," "),"["," "),"]"," "),"'"," "),"#"," "),"+"," "),"&amp;"," "),"\"," "))&amp;" "</f>
        <v>  </v>
      </c>
      <c r="CD121" s="0" t="str">
        <f aca="false">" "&amp;TRIM(SUBSTITUTE(SUBSTITUTE(SUBSTITUTE(SUBSTITUTE(SUBSTITUTE(SUBSTITUTE(SUBSTITUTE(SUBSTITUTE(SUBSTITUTE(SUBSTITUTE(SUBSTITUTE(SUBSTITUTE(SUBSTITUTE(SUBSTITUTE(SUBSTITUTE(SUBSTITUTE(SUBSTITUTE(SUBSTITUTE(SUBSTITUTE(SUBSTITUTE(SUBSTITUTE(SUBSTITUTE(SUBSTITUTE(SUBSTITUTE(LOWER(AE121&amp;""),CHAR(10)," "),CHAR(13)," "),CHAR(9)," "),CHAR(160)," "),"."," "),","," "),"-"," "),"/"," "),"("," "),")"," "),":"," "),";"," "),"_"," "),"–"," "),"?"," "),"!"," "),"*"," "),"["," "),"]"," "),"'"," "),"#"," "),"+"," "),"&amp;"," "),"\"," "))&amp;" "</f>
        <v>  </v>
      </c>
      <c r="CE121" s="68" t="n">
        <f aca="false">IFERROR(IF(AND(LEN(AU121)&gt;0,LEN(AU121)=LEN(AX121),OR(TRIM(MID(SUBSTITUTE(TRIM(CC121)," ",REPT(" ",60)),1,60))="",ISNUMBER(SEARCH(" "&amp;TRIM(MID(SUBSTITUTE(TRIM(CC121)," ",REPT(" ",60)),1,60))&amp;" ",CD121))),OR(TRIM(MID(SUBSTITUTE(TRIM(CC121)," ",REPT(" ",60)),61,60))="",ISNUMBER(SEARCH(" "&amp;TRIM(MID(SUBSTITUTE(TRIM(CC121)," ",REPT(" ",60)),61,60))&amp;" ",CD121))),OR(TRIM(MID(SUBSTITUTE(TRIM(CC121)," ",REPT(" ",60)),121,60))="",ISNUMBER(SEARCH(" "&amp;TRIM(MID(SUBSTITUTE(TRIM(CC121)," ",REPT(" ",60)),121,60))&amp;" ",CD121)))),1,0),0)</f>
        <v>0</v>
      </c>
      <c r="CG121" s="68" t="n">
        <f aca="false">IFERROR(LEN(SUBSTITUTE(BF121," ",""))-SUMPRODUCT((LEN(BF121)-LEN(SUBSTITUTE(BF121," "&amp;L_NAFiller&amp;" "," ")))/(LEN(L_NAFiller)+1)*LEN(L_NAFiller)),0)</f>
        <v>0</v>
      </c>
    </row>
    <row r="122" customFormat="false" ht="39.75" hidden="false" customHeight="true" outlineLevel="0" collapsed="false">
      <c r="A122" s="57" t="s">
        <v>640</v>
      </c>
      <c r="B122" s="57" t="s">
        <v>218</v>
      </c>
      <c r="C122" s="57" t="str">
        <f aca="false">Flights!$F$8</f>
        <v>MH0088</v>
      </c>
      <c r="D122" s="58" t="n">
        <f aca="false">Flights!$D$8</f>
        <v>46305</v>
      </c>
      <c r="E122" s="57" t="str">
        <f aca="false">Flights!$G$8&amp;"-"&amp;Flights!$H$8</f>
        <v>KUL-NRT</v>
      </c>
      <c r="F122" s="57" t="str">
        <f aca="false">Flights!$K$8</f>
        <v>BC</v>
      </c>
      <c r="G122" s="57" t="s">
        <v>459</v>
      </c>
      <c r="H122" s="57" t="s">
        <v>460</v>
      </c>
      <c r="I122" s="57" t="s">
        <v>428</v>
      </c>
      <c r="J122" s="57" t="s">
        <v>465</v>
      </c>
      <c r="K122" s="67" t="s">
        <v>426</v>
      </c>
      <c r="L122" s="67" t="s">
        <v>462</v>
      </c>
      <c r="M122" s="67"/>
      <c r="N122" s="67" t="s">
        <v>383</v>
      </c>
      <c r="O122" s="67" t="s">
        <v>463</v>
      </c>
      <c r="P122" s="57" t="s">
        <v>187</v>
      </c>
      <c r="Q122" s="59" t="n">
        <f aca="false">ROUND((Flights!$AF$8)*1440,0)/1440</f>
        <v>46305.6458333333</v>
      </c>
      <c r="R122" s="59" t="n">
        <f aca="false">Q122+(IF(AND(INDEX(TZ_DSTS,MATCH(P122,TZ_STN,0))&lt;&gt;"",Q122&gt;=INDEX(TZ_DSTS,MATCH(P122,TZ_STN,0)),Q122&lt;INDEX(TZ_DSTE,MATCH(P122,TZ_STN,0))),INDEX(TZ_DST,MATCH(P122,TZ_STN,0)),INDEX(TZ_STD,MATCH(P122,TZ_STN,0))))/24</f>
        <v>46305.9791666667</v>
      </c>
      <c r="S122" s="60"/>
      <c r="T122" s="60"/>
      <c r="U122" s="60"/>
      <c r="V122" s="60"/>
      <c r="W122" s="61"/>
      <c r="X122" s="60"/>
      <c r="Y122" s="60"/>
      <c r="Z122" s="60"/>
      <c r="AA122" s="60"/>
      <c r="AB122" s="60"/>
      <c r="AC122" s="60"/>
      <c r="AD122" s="66"/>
      <c r="AE122" s="60"/>
      <c r="AF122" s="61" t="str">
        <f aca="false">IF(AND(ISNUMBER(X122),ISNUMBER(Y122)),Y122-X122,"")</f>
        <v/>
      </c>
      <c r="AG122" s="62" t="str">
        <f aca="false">IF(ISNUMBER(AD122),AD122-(IF(AND(INDEX(TZ_DSTS,MATCH(P122,TZ_STN,0))&lt;&gt;"",(AD122-INDEX(TZ_STD,MATCH(P122,TZ_STN,0))/24)&gt;=INDEX(TZ_DSTS,MATCH(P122,TZ_STN,0)),(AD122-INDEX(TZ_STD,MATCH(P122,TZ_STN,0))/24)&lt;INDEX(TZ_DSTE,MATCH(P122,TZ_STN,0))),INDEX(TZ_DST,MATCH(P122,TZ_STN,0)),INDEX(TZ_STD,MATCH(P122,TZ_STN,0))))/24,"")</f>
        <v/>
      </c>
      <c r="AH122" s="65" t="str">
        <f aca="false">IFERROR(IF(N122="N/A – rule",IF(OR(TRIM(U122)="",TRIM(U122)="N/A",TRIM(U122)="Not started"),"N/A – RULE","INVALID – this check does not apply to this aircraft: clear the status (or correct the fleet on Flights)"),IF(TRIM(U122)="N/A",IF(AT122=0,"INVALID – N/A not permitted for this check",IF(AND(TRIM(AB122)&lt;&gt;"",TRIM(AB122)&lt;&gt;"Closed"),"INVALID – corrective action still open",IF(AND(NOT(OR(LEN(AZ122)&lt;15,ISNUMBER(MATCH(AZ122,L_Placeholder,0)))),BK122=0,CG122&gt;=8,NOT(OR(LEN(AU122)&lt;2,ISNUMBER(MATCH(AU122,L_Placeholder,0)))),BR122&gt;=3,NOT(OR(LEN(AX122)&lt;2,ISNUMBER(MATCH(AX122,L_Placeholder,0)))),BS122&gt;=3,TRIM(AE122)&lt;&gt;TRIM(T122),AX122&lt;&gt;AU122,CE122=0),"N/A – JUSTIFIED","INVALID – N/A needs a real, settled reason (not 'not applicable' / 'as above' / TBC), a named PIC and a different named verifier"))),IF(OR(TRIM(U122)="Pass",TRIM(U122)="Pass after CA"),IF(NOT(ISNUMBER(AD122)),"INVALID – completion time missing",IF(OR(OR(LEN(AU122)&lt;2,ISNUMBER(MATCH(AU122,L_Placeholder,0))),BR122&lt;3),"INVALID – PIC missing or not a named person (a role such as QA / CSM is not a name)",IF(OR(LEN(AV122)&lt;2,ISNUMBER(MATCH(AV122,L_Placeholder,0))),"INVALID – result / assessment missing",IF(OR(OR(LEN(AW122)&lt;3,ISNUMBER(MATCH(AW122,L_Placeholder,0))),SUMPRODUCT(--ISNUMBER(SEARCH(" "&amp;L_EvidencePhrase&amp;" ",BD122)))&gt;0,BI122=1),"INVALID – evidence missing, placeholder or not yet on file",IF(ISNA(MATCH(TRIM(S122),L_EvidenceType,0)),"INVALID – choose the evidence type from the list (column S)",IF(BL122=0,"INVALID – evidence ID must be the record's own ID only (e.g. SF-2210, IMG_2231, 1045521); a link / file name needs type 'Link / file path'",IF(OR(OR(LEN(AX122)&lt;2,ISNUMBER(MATCH(AX122,L_Placeholder,0))),BS122&lt;3),"INVALID – verifier missing or not a named person (a role such as QA / CSM is not a name)",IF(OR(AX122=AU122,CE122=1,AND(LEN(AU122)&gt;=4,ISNUMBER(SEARCH(AU122,AX122))),AND(LEN(AX122)&gt;=4,ISNUMBER(SEARCH(AX122,AU122)))),"INVALID – verifier must be a different, named person (not the PIC or a role)",IF(BH122=1,"INVALID – result not yet available (awaiting / TBC)",IF(BG122=1,"INVALID – result describes a problem: record Fail, then Pass after CA (or reword if it is not a problem)",IF(BV122=1,"INVALID – wording says not on board: an on-board confirmation needs the item loaded",IF(AND(AQ122=1,OR(OR(LEN(AY122)&lt;3,ISNUMBER(MATCH(AY122,L_Placeholder,0))),BJ122=1,BQ122=0)),"INVALID – batch ID missing, placeholder or not an ID (e.g. PASB-261008-BC-017)",IF(AND(AR122=1,OR(NOT(ISNUMBER(X122)),NOT(ISNUMBER(Y122)))),"INVALID – expected/actual qty missing",IF(AND(AR122=1,OR(X122&lt;=0,Y122&lt;0)),"INVALID – expected qty must be above 0 and actual not negative",IF(AH105="N/A – JUSTIFIED","INVALID – preparation row F04-T12-06 is N/A",IF(AND(AR122=1,ISNUMBER(X105),X122&lt;&gt;X105,TRIM(U122)&lt;&gt;"Pass after CA"),"INVALID – expected qty differs from preparation check F04-T12-06: record the load change as a corrective action (Pass after CA)",IF(BB122&lt;&gt;"",BB122,IF(AND(AS122=1,Documents!$J$8&lt;&gt;"ON FILE"),"INVALID – GLD not on file (Documents sheet)",IF(AND(AS122=2,Documents!$O$8&lt;&gt;"ON FILE"),"INVALID – menu checklist not on file (Documents sheet)",IF(AND(AS122=3,NOT(ISNUMBER(Flights!$AX$8))),"INVALID – enter carrying flight KUL departure (Flights AX)",IF(AND(AS122=3,OR(Flights!$AZ$8&gt;Flights!$AA$8,Flights!$AX$8&lt;Flights!$AA$8-3)),"INVALID – carrying flight (Flights AX) cannot arrive before this leg's STD, or is over 3 days early",IF(AG122&gt;AsOfUTC,"INVALID – completion time is in the future",IF(AND(ISNUMBER(BY122),AG122&lt;BY122),IF(H122="Physical uplift","INVALID – before uplift window (cannot confirm loading)","INVALID – before valid window"),IF(AG122&gt;Flights!$AA$8,"INVALID – completed after departure (cannot establish readiness)",IF(AND(H122="Preparation",AG122&gt;=IF(ISNUMBER(Flights!$BA$8),MIN(Flights!$BA$8,Flights!$AA$8),Flights!$AA$8)),"INVALID – completed after loading / departure (cannot establish readiness)",IF(AND(H122="Physical uplift",AG122&gt;Q122),"INVALID – recorded after the loading flight departed",IF(AG122&gt;Q122,"COMPLETE – LATE","COMPLETE"))))))))))))))))))))))))))),IF(TRIM(U122)="Fail","FAIL – DISCREPANCY",IF(AND(TRIM(U122)&lt;&gt;"",TRIM(U122)&lt;&gt;"Not started",TRIM(U122)&lt;&gt;"In progress"),"INVALID – unrecognised status (use the list)",IF(AsOfUTC&gt;Q122,"OVERDUE",IF(N122="Clarification required","OPEN – CLARIFICATION","OPEN"))))))),"INVALID – error value in an input cell")</f>
        <v>OPEN</v>
      </c>
      <c r="AI122" s="61" t="n">
        <f aca="false">IF(OR(AH122="N/A – RULE",AH122="N/A – JUSTIFIED"),0,1)</f>
        <v>1</v>
      </c>
      <c r="AJ122" s="61" t="n">
        <f aca="false">IF(LEFT(AH122,8)="COMPLETE",1,0)</f>
        <v>0</v>
      </c>
      <c r="AK122" s="61" t="n">
        <f aca="false">IF(AND(AI122=1,AJ122=0,AsOfUTC&gt;Q122),1,0)</f>
        <v>0</v>
      </c>
      <c r="AL122" s="61" t="n">
        <f aca="false">IFERROR(IF(AND(AI122=1,OR(TRIM(U122)="Fail",AND(TRIM(AB122)&lt;&gt;"",TRIM(AB122)&lt;&gt;"Closed"),AND(ISNUMBER(AF122),AF122&lt;&gt;0,TRIM(U122)&lt;&gt;"Pass after CA"))),1,0),1)</f>
        <v>0</v>
      </c>
      <c r="AM122" s="61" t="n">
        <f aca="false">IF(LEFT(AH122,7)="INVALID",1,0)</f>
        <v>0</v>
      </c>
      <c r="AN122" s="61" t="n">
        <f aca="false">IF(AND(N122="Clarification required",AI122=1,AJ122=0),1,0)</f>
        <v>0</v>
      </c>
      <c r="AO122" s="61" t="str">
        <f aca="false">IF(AK122=1,SUM(AK$5:AK122),"")</f>
        <v/>
      </c>
      <c r="AP122" s="61" t="str">
        <f aca="false">IF(AL122=1,SUM(AL$5:AL122),"")</f>
        <v/>
      </c>
      <c r="AQ122" s="61" t="n">
        <v>0</v>
      </c>
      <c r="AR122" s="61" t="n">
        <v>1</v>
      </c>
      <c r="AS122" s="61" t="n">
        <v>0</v>
      </c>
      <c r="AT122" s="61" t="n">
        <v>0</v>
      </c>
      <c r="AU122" s="61" t="str">
        <f aca="false">SUBSTITUTE(SUBSTITUTE(SUBSTITUTE(SUBSTITUTE(SUBSTITUTE(SUBSTITUTE(SUBSTITUTE(SUBSTITUTE(SUBSTITUTE(SUBSTITUTE(SUBSTITUTE(SUBSTITUTE(SUBSTITUTE(SUBSTITUTE(SUBSTITUTE(SUBSTITUTE(LOWER(T122&amp;""),CHAR(10),""),CHAR(13),""),CHAR(9),""),CHAR(160),"")," ",""),".",""),"-",""),"/",""),"?",""),"_",""),",",""),"[",""),"]",""),"(",""),")",""),"*","")</f>
        <v/>
      </c>
      <c r="AV122" s="61" t="str">
        <f aca="false">SUBSTITUTE(SUBSTITUTE(SUBSTITUTE(SUBSTITUTE(SUBSTITUTE(SUBSTITUTE(SUBSTITUTE(SUBSTITUTE(SUBSTITUTE(SUBSTITUTE(SUBSTITUTE(SUBSTITUTE(SUBSTITUTE(SUBSTITUTE(SUBSTITUTE(SUBSTITUTE(LOWER(V122&amp;""),CHAR(10),""),CHAR(13),""),CHAR(9),""),CHAR(160),"")," ",""),".",""),"-",""),"/",""),"?",""),"_",""),",",""),"[",""),"]",""),"(",""),")",""),"*","")</f>
        <v/>
      </c>
      <c r="AW122" s="61" t="str">
        <f aca="false">SUBSTITUTE(SUBSTITUTE(SUBSTITUTE(SUBSTITUTE(SUBSTITUTE(SUBSTITUTE(SUBSTITUTE(SUBSTITUTE(SUBSTITUTE(SUBSTITUTE(SUBSTITUTE(SUBSTITUTE(SUBSTITUTE(SUBSTITUTE(SUBSTITUTE(SUBSTITUTE(LOWER(Z122&amp;""),CHAR(10),""),CHAR(13),""),CHAR(9),""),CHAR(160),"")," ",""),".",""),"-",""),"/",""),"?",""),"_",""),",",""),"[",""),"]",""),"(",""),")",""),"*","")</f>
        <v/>
      </c>
      <c r="AX122" s="61" t="str">
        <f aca="false">SUBSTITUTE(SUBSTITUTE(SUBSTITUTE(SUBSTITUTE(SUBSTITUTE(SUBSTITUTE(SUBSTITUTE(SUBSTITUTE(SUBSTITUTE(SUBSTITUTE(SUBSTITUTE(SUBSTITUTE(SUBSTITUTE(SUBSTITUTE(SUBSTITUTE(SUBSTITUTE(LOWER(AE122&amp;""),CHAR(10),""),CHAR(13),""),CHAR(9),""),CHAR(160),"")," ",""),".",""),"-",""),"/",""),"?",""),"_",""),",",""),"[",""),"]",""),"(",""),")",""),"*","")</f>
        <v/>
      </c>
      <c r="AY122" s="61" t="str">
        <f aca="false">SUBSTITUTE(SUBSTITUTE(SUBSTITUTE(SUBSTITUTE(SUBSTITUTE(SUBSTITUTE(SUBSTITUTE(SUBSTITUTE(SUBSTITUTE(SUBSTITUTE(SUBSTITUTE(SUBSTITUTE(SUBSTITUTE(SUBSTITUTE(SUBSTITUTE(SUBSTITUTE(LOWER(W122&amp;""),CHAR(10),""),CHAR(13),""),CHAR(9),""),CHAR(160),"")," ",""),".",""),"-",""),"/",""),"?",""),"_",""),",",""),"[",""),"]",""),"(",""),")",""),"*","")</f>
        <v/>
      </c>
      <c r="AZ122" s="61" t="str">
        <f aca="false">SUBSTITUTE(SUBSTITUTE(SUBSTITUTE(SUBSTITUTE(SUBSTITUTE(SUBSTITUTE(SUBSTITUTE(SUBSTITUTE(SUBSTITUTE(SUBSTITUTE(SUBSTITUTE(SUBSTITUTE(SUBSTITUTE(SUBSTITUTE(SUBSTITUTE(SUBSTITUTE(LOWER(AC122&amp;""),CHAR(10),""),CHAR(13),""),CHAR(9),""),CHAR(160),"")," ",""),".",""),"-",""),"/",""),"?",""),"_",""),",",""),"[",""),"]",""),"(",""),")",""),"*","")</f>
        <v/>
      </c>
      <c r="BA122" s="61" t="str">
        <f aca="false">SUBSTITUTE(SUBSTITUTE(SUBSTITUTE(SUBSTITUTE(SUBSTITUTE(SUBSTITUTE(SUBSTITUTE(SUBSTITUTE(SUBSTITUTE(SUBSTITUTE(SUBSTITUTE(SUBSTITUTE(SUBSTITUTE(SUBSTITUTE(SUBSTITUTE(SUBSTITUTE(LOWER(AA122&amp;""),CHAR(10),""),CHAR(13),""),CHAR(9),""),CHAR(160),"")," ",""),".",""),"-",""),"/",""),"?",""),"_",""),",",""),"[",""),"]",""),"(",""),")",""),"*","")</f>
        <v/>
      </c>
      <c r="BB122" s="61" t="str">
        <f aca="false">IF(AND(TRIM(U122)="Pass",ISNUMBER(AF122)),IF(AF122&lt;&gt;0,"INVALID – qty variance: use Fail or Pass after CA",""),"")&amp;IF(AND(TRIM(U122)="Pass after CA",ISNUMBER(AF122)),IF(AF122&lt;&gt;0,"INVALID – after the corrective action the actual qty must equal expected (update Actual)",""),"")&amp;IF(AND(TRIM(U122)="Pass",TRIM(AB122)&lt;&gt;"",TRIM(AB122)&lt;&gt;"Closed"),"INVALID – corrective action not closed: use Fail, then Pass after CA","")&amp;IF(AND(LEN(BA122)&gt;=2,ISNA(MATCH(LEFT(BA122,255),L_Placeholder,0)),TRIM(AB122)=""),"INVALID – CA status missing for the recorded corrective action","")&amp;IF(AND(TRIM(U122)="Pass after CA",OR(OR(LEN(BA122)&lt;5,ISNUMBER(MATCH(BA122,L_Placeholder,0))),TRIM(AB122)&lt;&gt;"Closed")),"INVALID – corrective action not recorded/closed","")</f>
        <v/>
      </c>
      <c r="BC122" s="61" t="str">
        <f aca="false">" "&amp;TRIM(SUBSTITUTE(SUBSTITUTE(SUBSTITUTE(SUBSTITUTE(SUBSTITUTE(SUBSTITUTE(SUBSTITUTE(SUBSTITUTE(SUBSTITUTE(SUBSTITUTE(SUBSTITUTE(SUBSTITUTE(SUBSTITUTE(SUBSTITUTE(SUBSTITUTE(SUBSTITUTE(SUBSTITUTE(SUBSTITUTE(SUBSTITUTE(SUBSTITUTE(SUBSTITUTE(SUBSTITUTE(SUBSTITUTE(SUBSTITUTE(LOWER(V122&amp;""),CHAR(10)," "),CHAR(13)," "),CHAR(9)," "),CHAR(160)," "),"."," "),","," "),"-"," "),"/"," "),"("," "),")"," "),":"," "),";"," "),"_"," "),"–"," "),"?"," "),"!"," "),"*"," "),"["," "),"]"," "),"'"," "),"#"," "),"+"," "),"&amp;"," "),"\"," "))&amp;" "</f>
        <v>  </v>
      </c>
      <c r="BD122" s="61" t="str">
        <f aca="false">" "&amp;TRIM(SUBSTITUTE(SUBSTITUTE(SUBSTITUTE(SUBSTITUTE(SUBSTITUTE(SUBSTITUTE(SUBSTITUTE(SUBSTITUTE(SUBSTITUTE(SUBSTITUTE(SUBSTITUTE(SUBSTITUTE(SUBSTITUTE(SUBSTITUTE(SUBSTITUTE(SUBSTITUTE(SUBSTITUTE(SUBSTITUTE(SUBSTITUTE(SUBSTITUTE(SUBSTITUTE(SUBSTITUTE(SUBSTITUTE(SUBSTITUTE(LOWER(Z122&amp;""),CHAR(10)," "),CHAR(13)," "),CHAR(9)," "),CHAR(160)," "),"."," "),","," "),"-"," "),"/"," "),"("," "),")"," "),":"," "),";"," "),"_"," "),"–"," "),"?"," "),"!"," "),"*"," "),"["," "),"]"," "),"'"," "),"#"," "),"+"," "),"&amp;"," "),"\"," "))&amp;" "</f>
        <v>  </v>
      </c>
      <c r="BE122" s="61" t="str">
        <f aca="false">" "&amp;TRIM(SUBSTITUTE(SUBSTITUTE(SUBSTITUTE(SUBSTITUTE(SUBSTITUTE(SUBSTITUTE(SUBSTITUTE(SUBSTITUTE(SUBSTITUTE(SUBSTITUTE(SUBSTITUTE(SUBSTITUTE(SUBSTITUTE(SUBSTITUTE(SUBSTITUTE(SUBSTITUTE(SUBSTITUTE(SUBSTITUTE(SUBSTITUTE(SUBSTITUTE(SUBSTITUTE(SUBSTITUTE(SUBSTITUTE(SUBSTITUTE(LOWER(W122&amp;""),CHAR(10)," "),CHAR(13)," "),CHAR(9)," "),CHAR(160)," "),"."," "),","," "),"-"," "),"/"," "),"("," "),")"," "),":"," "),";"," "),"_"," "),"–"," "),"?"," "),"!"," "),"*"," "),"["," "),"]"," "),"'"," "),"#"," "),"+"," "),"&amp;"," "),"\"," "))&amp;" "</f>
        <v>  </v>
      </c>
      <c r="BF122" s="61" t="str">
        <f aca="false">" "&amp;TRIM(SUBSTITUTE(SUBSTITUTE(SUBSTITUTE(SUBSTITUTE(SUBSTITUTE(SUBSTITUTE(SUBSTITUTE(SUBSTITUTE(SUBSTITUTE(SUBSTITUTE(SUBSTITUTE(SUBSTITUTE(SUBSTITUTE(SUBSTITUTE(SUBSTITUTE(SUBSTITUTE(SUBSTITUTE(SUBSTITUTE(SUBSTITUTE(SUBSTITUTE(SUBSTITUTE(SUBSTITUTE(SUBSTITUTE(SUBSTITUTE(LOWER(AC122&amp;""),CHAR(10)," "),CHAR(13)," "),CHAR(9)," "),CHAR(160)," "),"."," "),","," "),"-"," "),"/"," "),"("," "),")"," "),":"," "),";"," "),"_"," "),"–"," "),"?"," "),"!"," "),"*"," "),"["," "),"]"," "),"'"," "),"#"," "),"+"," "),"&amp;"," "),"\"," "))&amp;" "</f>
        <v>  </v>
      </c>
      <c r="BG122" s="61" t="n">
        <f aca="false">IFERROR(IF(AND(TRIM(U122)="Pass",SUMPRODUCT((LEN(BC122)-LEN(SUBSTITUTE(BC122," "&amp;L_ResultBad&amp;" "," ")))/(LEN(L_ResultBad)+1))&gt;SUMPRODUCT((LEN(BC122)-LEN(SUBSTITUTE(BC122," "&amp;L_NegPhrase&amp;" "," ")))/(LEN(L_NegPhrase)+1))),1,0),0)</f>
        <v>0</v>
      </c>
      <c r="BH122" s="61" t="n">
        <f aca="false">IFERROR(IF(SUMPRODUCT((LEN(BC122)-LEN(SUBSTITUTE(BC122," "&amp;L_Pending&amp;" "," ")))/(LEN(L_Pending)+1))&gt;SUMPRODUCT((LEN(BC122)-LEN(SUBSTITUTE(BC122," "&amp;L_PendNeg&amp;" "," ")))/(LEN(L_PendNeg)+1)),1,0),1)</f>
        <v>0</v>
      </c>
      <c r="BI122" s="61" t="n">
        <f aca="false">IFERROR(IF(SUMPRODUCT((LEN(BD122)-LEN(SUBSTITUTE(BD122," "&amp;L_PendStrict&amp;" "," ")))/(LEN(L_PendStrict)+1))&gt;SUMPRODUCT((LEN(BD122)-LEN(SUBSTITUTE(BD122," "&amp;L_PendNeg&amp;" "," ")))/(LEN(L_PendNeg)+1)),1,0),1)</f>
        <v>0</v>
      </c>
      <c r="BJ122" s="61" t="n">
        <f aca="false">IFERROR(IF(SUMPRODUCT((LEN(BE122)-LEN(SUBSTITUTE(BE122," "&amp;L_Pending&amp;" "," ")))/(LEN(L_Pending)+1))&gt;SUMPRODUCT((LEN(BE122)-LEN(SUBSTITUTE(BE122," "&amp;L_PendNeg&amp;" "," ")))/(LEN(L_PendNeg)+1)),1,0),1)</f>
        <v>0</v>
      </c>
      <c r="BK122" s="61" t="n">
        <f aca="false">IFERROR(IF(SUMPRODUCT((LEN(BF122)-LEN(SUBSTITUTE(BF122," "&amp;L_PendStrict&amp;" "," ")))/(LEN(L_PendStrict)+1))&gt;SUMPRODUCT((LEN(BF122)-LEN(SUBSTITUTE(BF122," "&amp;L_PendNeg&amp;" "," ")))/(LEN(L_PendNeg)+1)),1,0),1)</f>
        <v>0</v>
      </c>
      <c r="BL122" s="61" t="n">
        <f aca="false">IF(ISNA(MATCH(TRIM(S122),L_EvidenceType,0)),0,BZ122)</f>
        <v>0</v>
      </c>
      <c r="BM122" s="61" t="str">
        <f aca="false">SUBSTITUTE(SUBSTITUTE(SUBSTITUTE(SUBSTITUTE(SUBSTITUTE(SUBSTITUTE(SUBSTITUTE(SUBSTITUTE(SUBSTITUTE(LOWER(Z122&amp;""),"1","0"),"2","0"),"3","0"),"4","0"),"5","0"),"6","0"),"7","0"),"8","0"),"9","0")</f>
        <v/>
      </c>
      <c r="BN122" s="61" t="str">
        <f aca="false">SUBSTITUTE(SUBSTITUTE(SUBSTITUTE(SUBSTITUTE(SUBSTITUTE(SUBSTITUTE(SUBSTITUTE(SUBSTITUTE(SUBSTITUTE(SUBSTITUTE(SUBSTITUTE(SUBSTITUTE(SUBSTITUTE(SUBSTITUTE(SUBSTITUTE(SUBSTITUTE(SUBSTITUTE(SUBSTITUTE(SUBSTITUTE(SUBSTITUTE(SUBSTITUTE(SUBSTITUTE(SUBSTITUTE(SUBSTITUTE(SUBSTITUTE(BM122,"b","a"),"c","a"),"d","a"),"e","a"),"f","a"),"g","a"),"h","a"),"i","a"),"j","a"),"k","a"),"l","a"),"m","a"),"n","a"),"o","a"),"p","a"),"q","a"),"r","a"),"s","a"),"t","a"),"u","a"),"v","a"),"w","a"),"x","a"),"y","a"),"z","a")</f>
        <v/>
      </c>
      <c r="BO122" s="61" t="str">
        <f aca="false">SUBSTITUTE(SUBSTITUTE(SUBSTITUTE(SUBSTITUTE(SUBSTITUTE(SUBSTITUTE(SUBSTITUTE(SUBSTITUTE(SUBSTITUTE(LOWER(W122&amp;""),"1","0"),"2","0"),"3","0"),"4","0"),"5","0"),"6","0"),"7","0"),"8","0"),"9","0")</f>
        <v/>
      </c>
      <c r="BP122" s="61" t="str">
        <f aca="false">SUBSTITUTE(SUBSTITUTE(SUBSTITUTE(SUBSTITUTE(SUBSTITUTE(SUBSTITUTE(SUBSTITUTE(SUBSTITUTE(SUBSTITUTE(SUBSTITUTE(SUBSTITUTE(SUBSTITUTE(SUBSTITUTE(SUBSTITUTE(SUBSTITUTE(SUBSTITUTE(SUBSTITUTE(SUBSTITUTE(SUBSTITUTE(SUBSTITUTE(SUBSTITUTE(SUBSTITUTE(SUBSTITUTE(SUBSTITUTE(SUBSTITUTE(BO122,"b","a"),"c","a"),"d","a"),"e","a"),"f","a"),"g","a"),"h","a"),"i","a"),"j","a"),"k","a"),"l","a"),"m","a"),"n","a"),"o","a"),"p","a"),"q","a"),"r","a"),"s","a"),"t","a"),"u","a"),"v","a"),"w","a"),"x","a"),"y","a"),"z","a")</f>
        <v/>
      </c>
      <c r="BQ122" s="61" t="n">
        <f aca="false">IFERROR(IF(AND(ISERROR(SEARCH(" mh"," "&amp;LOWER(W122))),ISNA(MATCH(LEFT(TRIM(BP122),255),{"0000a","000a","00a","0000aa","000aa","00aa","0aa","0000aaa","000aaa","00a00","0a00","0000-0000","00:00","a00","a0","00.00.0000","00/00/0000","00-00-0000","0000-00-00","0000/00/00","0000.00.00","00.00.00","00/00/00","00-00-00","0.00.0000","0/00/0000","0-00-0000"},0)),ISNA(MATCH(LEFT(TRIM(CA122),255),{"0000a","000a","00a","0000aa","000aa","00aa","0aa","0000aaa","000aaa","00a00","0a00","0000-0000","00:00","a00","a0","00.00.0000","00/00/0000","00-00-0000","0000-00-00","0000/00/00","0000.00.00","00.00.00","00/00/00","00-00-00","0.00.0000","0/00/0000","0-00-0000"},0)),LEN(CB122)&gt;=3,NOT(OR(SUBSTITUTE(CB122,"0","")="",AND(LEN(CB122)&gt;=4,CB122=REPT(LEFT(CB122),LEN(CB122))),ISNUMBER(MATCH(CB122,{"123","1234","12345","123456","1234567","12345678","0123","01234","012345","98765","987654","54321"},0)),AND(LEN(CB122)=8,LEFT(CB122,3)="202"))),OR(AND((LEN(CA122)-LEN(SUBSTITUTE(CA122,"a","")))&gt;=1,SUMPRODUCT(--ISNUMBER(SEARCH({"a0","a-0","a_0","a/0","a.0","a#0","0a","0-a","0_a","0/a"},BP122)))&gt;0),ISNUMBER(SEARCH("000000",BP122)))),1,0),0)</f>
        <v>0</v>
      </c>
      <c r="BR122" s="61" t="n">
        <f aca="false">IFERROR(LEN(SUBSTITUTE(CC122," ",""))-SUMPRODUCT((LEN(CC122)-LEN(SUBSTITUTE(CC122," "&amp;L_Role&amp;" "," ")))/(LEN(L_Role)+1)*LEN(L_Role)),0)</f>
        <v>0</v>
      </c>
      <c r="BS122" s="61" t="n">
        <f aca="false">IFERROR(LEN(SUBSTITUTE(CD122," ",""))-SUMPRODUCT((LEN(CD122)-LEN(SUBSTITUTE(CD122," "&amp;L_Role&amp;" "," ")))/(LEN(L_Role)+1)*LEN(L_Role)),0)</f>
        <v>0</v>
      </c>
      <c r="BT1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122,"revision",""),"version",""),"jan",""),"feb",""),"mar",""),"apr",""),"may",""),"jun",""),"jul",""),"aug",""),"sep",""),"oct",""),"nov",""),"dec",""),"utc",""),"gmt",""),"myt",""),"bst",""),"rev",""),"ver",""),"b","a"),"c","a"),"d","a"),"e","a"),"f","a"),"g","a"),"h","a"),"i","a"),"j","a"),"k","a"),"l","a"),"m","a"),"n","a"),"o","a"),"p","a"),"q","a"),"r","a"),"s","a"),"t","a"),"u","a"),"v","a"),"w","a"),"x","a"),"y","a"),"z","a")</f>
        <v/>
      </c>
      <c r="BU122" s="61" t="str">
        <f aca="false">SUBSTITUTE(SUBSTITUTE(SUBSTITUTE(SUBSTITUTE(SUBSTITUTE(SUBSTITUTE(SUBSTITUTE(SUBSTITUTE(SUBSTITUTE(SUBSTITUTE(LEFT(BM122,FIND("0",BM122&amp;"0")-1),"-",""),"_",""),"/",""),".",""),"#",""),"\\",""),":","")," ",""),"(",""),")","")</f>
        <v/>
      </c>
      <c r="BV122" s="61" t="n">
        <f aca="false">IFERROR(IF(OR(SUMPRODUCT((LEN(BC122)-LEN(SUBSTITUTE(BC122," "&amp;L_NotLoaded&amp;" "," ")))/(LEN(L_NotLoaded)+1))&gt;SUMPRODUCT((LEN(BC122)-LEN(SUBSTITUTE(BC122," "&amp;L_NotLoadedNeg&amp;" "," ")))/(LEN(L_NotLoadedNeg)+1)),SUMPRODUCT((LEN(BD122)-LEN(SUBSTITUTE(BD122," "&amp;L_NotLoaded&amp;" "," ")))/(LEN(L_NotLoaded)+1))&gt;SUMPRODUCT((LEN(BD122)-LEN(SUBSTITUTE(BD122," "&amp;L_NotLoadedNeg&amp;" "," ")))/(LEN(L_NotLoadedNeg)+1))),1,0),0)</f>
        <v>0</v>
      </c>
      <c r="BW1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122&amp;""),"a",""),"b",""),"c",""),"d",""),"e",""),"f",""),"g",""),"h",""),"i",""),"j",""),"k",""),"l",""),"m",""),"n",""),"o",""),"p",""),"q",""),"r",""),"s",""),"t",""),"u",""),"v",""),"w",""),"x",""),"y",""),"z",""),"-",""),"_",""),"/",""),".",""),"#",""),"\\",""),":","")," ",""),"(",""),")","")</f>
        <v/>
      </c>
      <c r="BX122" s="61" t="str">
        <f aca="false">SUBSTITUTE(SUBSTITUTE(SUBSTITUTE(SUBSTITUTE(SUBSTITUTE(SUBSTITUTE(SUBSTITUTE(SUBSTITUTE(SUBSTITUTE(SUBSTITUTE(SUBSTITUTE(BM122,"0",""),"-",""),"_",""),"/",""),".",""),"#",""),"\\",""),":","")," ",""),"(",""),")","")</f>
        <v/>
      </c>
      <c r="BY122" s="62" t="n">
        <f aca="false">IF(ISNUMBER(Flights!$AZ$8),MAX(Q122-UpliftWindowH/24,Flights!$AZ$8),Q122-UpliftWindowH/24)</f>
        <v>46305.3958333333</v>
      </c>
      <c r="BZ122" s="61" t="n">
        <f aca="false">IFERROR(IF(IF(TRIM(S122)="Link / file path",AND(LEN(TRIM(Z122))&gt;=5,SUMPRODUCT(--ISNUMBER(SEARCH({"http","www.","\\",":\",".pdf",".jpg",".jpeg",".png",".heic",".xls",".doc",".msg",".eml",".ppt",".txt",".zip"},Z122)))&gt;0),AND(ISERROR(FIND(" ",TRIM(Z122))),NOT(OR(SUMPRODUCT(--ISNUMBER(FIND({",",";","&amp;","+"},Z122)))&gt;0,SUMPRODUCT(--ISNUMBER(SEARCH({"0/aa","0\\aa"},BN122)))&gt;0)),NOT(SUMPRODUCT(--ISNUMBER(SEARCH({"http","www.","\\",":\",".pdf",".jpg",".jpeg",".png",".heic",".xls",".doc",".msg",".eml",".ppt",".txt",".zip"},Z122)))&gt;0),NOT(LOWER(TRIM(Z122))=LOWER(Flights!$F$8)),ISNA(MATCH(BU122,{"mh","rev","revision","ver","version","v","r","a","b","seat","tray","row","gate","bay","stand","page","pg","item","line","no","cart","galley","flight","flt","table","box","bag","oven","etd","eta","std","sta","atd","ata","qty","pax","x","time","tel","ph","mob","day","wk","week","utc","gmt","myt","lt"},0)),NOT(OR(ISNUMBER(MATCH(LEFT(BN122,255),{"0000a","000a","00a","0000aa","000aa","00aa","0aa","0000aaa","000aaa","00a00","0a00","0000-0000","00:00","a00","a0","00.00.0000","00/00/0000","00-00-0000","0000-00-00","0000/00/00","0000.00.00","00.00.00","00/00/00","00-00-00","0.00.0000","0/00/0000","0-00-0000"},0)),ISNUMBER(MATCH(LEFT(BT122,255),{"0000a","000a","00a","0000aa","000aa","00aa","0aa","0000aaa","000aaa","00a00","0a00","0000-0000","00:00","a00","a0","00.00.0000","00/00/0000","00-00-0000","0000-00-00","0000/00/00","0000.00.00","00.00.00","00/00/00","00-00-00","0.00.0000","0/00/0000","0-00-0000"},0)))),NOT(OR(AND(BW122&lt;&gt;"",SUBSTITUTE(BW122,"0","")=""),AND(LEN(BW122)&gt;=4,BW122=REPT(LEFT(BW122),LEN(BW122))),ISNUMBER(MATCH(BW122,{"123","1234","12345","123456","1234567","12345678","0123","01234","012345","98765","987654","54321"},0)),ISNUMBER(MATCH(BX122,{"x","xx","xxx","xxxx","xxxxx","abc","abcd","nil","na","nan","test","tbc","tba","tbd","dummy","sample","example","eg","zz","zzz","none","null","xyz","qwe","asd","id","ref"},0)),AND(LEN(BW122)=8,BX122="",OR(LEFT(BW122,3)="202",ISNUMBER(MATCH(RIGHT(BW122,4),{"2025","2026","2027"},0)))))),OR(AND((LEN(BT122)-LEN(SUBSTITUTE(BT122,"a","")))&gt;=1,(LEN(BN122)-LEN(SUBSTITUTE(BN122,"0","")))&gt;=2,SUMPRODUCT(--ISNUMBER(SEARCH({"a0","a-0","a_0","a/0","a.0","a#0","0a","0-a","0_a","0/a"},BN122)))&gt;0),AND((LEN(BN122)-LEN(SUBSTITUTE(BN122,"a","")))=0,(LEN(BN122)-LEN(SUBSTITUTE(BN122,"0","")))&gt;=5)))),1,0),0)</f>
        <v>0</v>
      </c>
      <c r="CA1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122,"revision",""),"version",""),"jan",""),"feb",""),"mar",""),"apr",""),"may",""),"jun",""),"jul",""),"aug",""),"sep",""),"oct",""),"nov",""),"dec",""),"utc",""),"gmt",""),"myt",""),"bst",""),"rev",""),"ver",""),"b","a"),"c","a"),"d","a"),"e","a"),"f","a"),"g","a"),"h","a"),"i","a"),"j","a"),"k","a"),"l","a"),"m","a"),"n","a"),"o","a"),"p","a"),"q","a"),"r","a"),"s","a"),"t","a"),"u","a"),"v","a"),"w","a"),"x","a"),"y","a"),"z","a")</f>
        <v/>
      </c>
      <c r="CB1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122&amp;""),"a",""),"b",""),"c",""),"d",""),"e",""),"f",""),"g",""),"h",""),"i",""),"j",""),"k",""),"l",""),"m",""),"n",""),"o",""),"p",""),"q",""),"r",""),"s",""),"t",""),"u",""),"v",""),"w",""),"x",""),"y",""),"z",""),"-",""),"_",""),"/",""),".",""),"#",""),"\\",""),":","")," ",""),"(",""),")","")</f>
        <v/>
      </c>
      <c r="CC122" s="0" t="str">
        <f aca="false">" "&amp;TRIM(SUBSTITUTE(SUBSTITUTE(SUBSTITUTE(SUBSTITUTE(SUBSTITUTE(SUBSTITUTE(SUBSTITUTE(SUBSTITUTE(SUBSTITUTE(SUBSTITUTE(SUBSTITUTE(SUBSTITUTE(SUBSTITUTE(SUBSTITUTE(SUBSTITUTE(SUBSTITUTE(SUBSTITUTE(SUBSTITUTE(SUBSTITUTE(SUBSTITUTE(SUBSTITUTE(SUBSTITUTE(SUBSTITUTE(SUBSTITUTE(LOWER(T122&amp;""),CHAR(10)," "),CHAR(13)," "),CHAR(9)," "),CHAR(160)," "),"."," "),","," "),"-"," "),"/"," "),"("," "),")"," "),":"," "),";"," "),"_"," "),"–"," "),"?"," "),"!"," "),"*"," "),"["," "),"]"," "),"'"," "),"#"," "),"+"," "),"&amp;"," "),"\"," "))&amp;" "</f>
        <v>  </v>
      </c>
      <c r="CD122" s="0" t="str">
        <f aca="false">" "&amp;TRIM(SUBSTITUTE(SUBSTITUTE(SUBSTITUTE(SUBSTITUTE(SUBSTITUTE(SUBSTITUTE(SUBSTITUTE(SUBSTITUTE(SUBSTITUTE(SUBSTITUTE(SUBSTITUTE(SUBSTITUTE(SUBSTITUTE(SUBSTITUTE(SUBSTITUTE(SUBSTITUTE(SUBSTITUTE(SUBSTITUTE(SUBSTITUTE(SUBSTITUTE(SUBSTITUTE(SUBSTITUTE(SUBSTITUTE(SUBSTITUTE(LOWER(AE122&amp;""),CHAR(10)," "),CHAR(13)," "),CHAR(9)," "),CHAR(160)," "),"."," "),","," "),"-"," "),"/"," "),"("," "),")"," "),":"," "),";"," "),"_"," "),"–"," "),"?"," "),"!"," "),"*"," "),"["," "),"]"," "),"'"," "),"#"," "),"+"," "),"&amp;"," "),"\"," "))&amp;" "</f>
        <v>  </v>
      </c>
      <c r="CE122" s="68" t="n">
        <f aca="false">IFERROR(IF(AND(LEN(AU122)&gt;0,LEN(AU122)=LEN(AX122),OR(TRIM(MID(SUBSTITUTE(TRIM(CC122)," ",REPT(" ",60)),1,60))="",ISNUMBER(SEARCH(" "&amp;TRIM(MID(SUBSTITUTE(TRIM(CC122)," ",REPT(" ",60)),1,60))&amp;" ",CD122))),OR(TRIM(MID(SUBSTITUTE(TRIM(CC122)," ",REPT(" ",60)),61,60))="",ISNUMBER(SEARCH(" "&amp;TRIM(MID(SUBSTITUTE(TRIM(CC122)," ",REPT(" ",60)),61,60))&amp;" ",CD122))),OR(TRIM(MID(SUBSTITUTE(TRIM(CC122)," ",REPT(" ",60)),121,60))="",ISNUMBER(SEARCH(" "&amp;TRIM(MID(SUBSTITUTE(TRIM(CC122)," ",REPT(" ",60)),121,60))&amp;" ",CD122)))),1,0),0)</f>
        <v>0</v>
      </c>
      <c r="CG122" s="68" t="n">
        <f aca="false">IFERROR(LEN(SUBSTITUTE(BF122," ",""))-SUMPRODUCT((LEN(BF122)-LEN(SUBSTITUTE(BF122," "&amp;L_NAFiller&amp;" "," ")))/(LEN(L_NAFiller)+1)*LEN(L_NAFiller)),0)</f>
        <v>0</v>
      </c>
    </row>
    <row r="123" customFormat="false" ht="39.75" hidden="false" customHeight="true" outlineLevel="0" collapsed="false">
      <c r="A123" s="57" t="s">
        <v>641</v>
      </c>
      <c r="B123" s="57" t="s">
        <v>218</v>
      </c>
      <c r="C123" s="57" t="str">
        <f aca="false">Flights!$F$8</f>
        <v>MH0088</v>
      </c>
      <c r="D123" s="58" t="n">
        <f aca="false">Flights!$D$8</f>
        <v>46305</v>
      </c>
      <c r="E123" s="57" t="str">
        <f aca="false">Flights!$G$8&amp;"-"&amp;Flights!$H$8</f>
        <v>KUL-NRT</v>
      </c>
      <c r="F123" s="57" t="str">
        <f aca="false">Flights!$K$8</f>
        <v>BC</v>
      </c>
      <c r="G123" s="57" t="s">
        <v>459</v>
      </c>
      <c r="H123" s="57" t="s">
        <v>460</v>
      </c>
      <c r="I123" s="57" t="s">
        <v>440</v>
      </c>
      <c r="J123" s="57" t="s">
        <v>467</v>
      </c>
      <c r="K123" s="67" t="s">
        <v>501</v>
      </c>
      <c r="L123" s="67" t="s">
        <v>601</v>
      </c>
      <c r="M123" s="67" t="s">
        <v>187</v>
      </c>
      <c r="N123" s="67" t="s">
        <v>383</v>
      </c>
      <c r="O123" s="67"/>
      <c r="P123" s="57" t="s">
        <v>187</v>
      </c>
      <c r="Q123" s="59" t="n">
        <f aca="false">ROUND((Flights!$AF$8)*1440,0)/1440</f>
        <v>46305.6458333333</v>
      </c>
      <c r="R123" s="59" t="n">
        <f aca="false">Q123+(IF(AND(INDEX(TZ_DSTS,MATCH(P123,TZ_STN,0))&lt;&gt;"",Q123&gt;=INDEX(TZ_DSTS,MATCH(P123,TZ_STN,0)),Q123&lt;INDEX(TZ_DSTE,MATCH(P123,TZ_STN,0))),INDEX(TZ_DST,MATCH(P123,TZ_STN,0)),INDEX(TZ_STD,MATCH(P123,TZ_STN,0))))/24</f>
        <v>46305.9791666667</v>
      </c>
      <c r="S123" s="60"/>
      <c r="T123" s="60"/>
      <c r="U123" s="60"/>
      <c r="V123" s="60"/>
      <c r="W123" s="61"/>
      <c r="X123" s="60"/>
      <c r="Y123" s="60"/>
      <c r="Z123" s="60"/>
      <c r="AA123" s="60"/>
      <c r="AB123" s="60"/>
      <c r="AC123" s="60"/>
      <c r="AD123" s="66"/>
      <c r="AE123" s="60"/>
      <c r="AF123" s="61" t="str">
        <f aca="false">IF(AND(ISNUMBER(X123),ISNUMBER(Y123)),Y123-X123,"")</f>
        <v/>
      </c>
      <c r="AG123" s="62" t="str">
        <f aca="false">IF(ISNUMBER(AD123),AD123-(IF(AND(INDEX(TZ_DSTS,MATCH(P123,TZ_STN,0))&lt;&gt;"",(AD123-INDEX(TZ_STD,MATCH(P123,TZ_STN,0))/24)&gt;=INDEX(TZ_DSTS,MATCH(P123,TZ_STN,0)),(AD123-INDEX(TZ_STD,MATCH(P123,TZ_STN,0))/24)&lt;INDEX(TZ_DSTE,MATCH(P123,TZ_STN,0))),INDEX(TZ_DST,MATCH(P123,TZ_STN,0)),INDEX(TZ_STD,MATCH(P123,TZ_STN,0))))/24,"")</f>
        <v/>
      </c>
      <c r="AH123" s="65" t="str">
        <f aca="false">IFERROR(IF(N123="N/A – rule",IF(OR(TRIM(U123)="",TRIM(U123)="N/A",TRIM(U123)="Not started"),"N/A – RULE","INVALID – this check does not apply to this aircraft: clear the status (or correct the fleet on Flights)"),IF(TRIM(U123)="N/A",IF(AT123=0,"INVALID – N/A not permitted for this check",IF(AND(TRIM(AB123)&lt;&gt;"",TRIM(AB123)&lt;&gt;"Closed"),"INVALID – corrective action still open",IF(AND(NOT(OR(LEN(AZ123)&lt;15,ISNUMBER(MATCH(AZ123,L_Placeholder,0)))),BK123=0,CG123&gt;=8,NOT(OR(LEN(AU123)&lt;2,ISNUMBER(MATCH(AU123,L_Placeholder,0)))),BR123&gt;=3,NOT(OR(LEN(AX123)&lt;2,ISNUMBER(MATCH(AX123,L_Placeholder,0)))),BS123&gt;=3,TRIM(AE123)&lt;&gt;TRIM(T123),AX123&lt;&gt;AU123,CE123=0),"N/A – JUSTIFIED","INVALID – N/A needs a real, settled reason (not 'not applicable' / 'as above' / TBC), a named PIC and a different named verifier"))),IF(OR(TRIM(U123)="Pass",TRIM(U123)="Pass after CA"),IF(NOT(ISNUMBER(AD123)),"INVALID – completion time missing",IF(OR(OR(LEN(AU123)&lt;2,ISNUMBER(MATCH(AU123,L_Placeholder,0))),BR123&lt;3),"INVALID – PIC missing or not a named person (a role such as QA / CSM is not a name)",IF(OR(LEN(AV123)&lt;2,ISNUMBER(MATCH(AV123,L_Placeholder,0))),"INVALID – result / assessment missing",IF(OR(OR(LEN(AW123)&lt;3,ISNUMBER(MATCH(AW123,L_Placeholder,0))),SUMPRODUCT(--ISNUMBER(SEARCH(" "&amp;L_EvidencePhrase&amp;" ",BD123)))&gt;0,BI123=1),"INVALID – evidence missing, placeholder or not yet on file",IF(ISNA(MATCH(TRIM(S123),L_EvidenceType,0)),"INVALID – choose the evidence type from the list (column S)",IF(BL123=0,"INVALID – evidence ID must be the record's own ID only (e.g. SF-2210, IMG_2231, 1045521); a link / file name needs type 'Link / file path'",IF(OR(OR(LEN(AX123)&lt;2,ISNUMBER(MATCH(AX123,L_Placeholder,0))),BS123&lt;3),"INVALID – verifier missing or not a named person (a role such as QA / CSM is not a name)",IF(OR(AX123=AU123,CE123=1,AND(LEN(AU123)&gt;=4,ISNUMBER(SEARCH(AU123,AX123))),AND(LEN(AX123)&gt;=4,ISNUMBER(SEARCH(AX123,AU123)))),"INVALID – verifier must be a different, named person (not the PIC or a role)",IF(BH123=1,"INVALID – result not yet available (awaiting / TBC)",IF(BG123=1,"INVALID – result describes a problem: record Fail, then Pass after CA (or reword if it is not a problem)",IF(BV123=1,"INVALID – wording says not on board: an on-board confirmation needs the item loaded",IF(AND(AQ123=1,OR(OR(LEN(AY123)&lt;3,ISNUMBER(MATCH(AY123,L_Placeholder,0))),BJ123=1,BQ123=0)),"INVALID – batch ID missing, placeholder or not an ID (e.g. PASB-261008-BC-017)",IF(AND(AR123=1,OR(NOT(ISNUMBER(X123)),NOT(ISNUMBER(Y123)))),"INVALID – expected/actual qty missing",IF(AND(AR123=1,OR(X123&lt;=0,Y123&lt;0)),"INVALID – expected qty must be above 0 and actual not negative",IF(AH107="N/A – JUSTIFIED","INVALID – preparation row F04-T12-08 is N/A",IF(AND(AR123=1,ISNUMBER(X107),X123&lt;&gt;X107,TRIM(U123)&lt;&gt;"Pass after CA"),"INVALID – expected qty differs from preparation check F04-T12-08: record the load change as a corrective action (Pass after CA)",IF(BB123&lt;&gt;"",BB123,IF(AND(AS123=1,Documents!$J$8&lt;&gt;"ON FILE"),"INVALID – GLD not on file (Documents sheet)",IF(AND(AS123=2,Documents!$O$8&lt;&gt;"ON FILE"),"INVALID – menu checklist not on file (Documents sheet)",IF(AND(AS123=3,NOT(ISNUMBER(Flights!$AX$8))),"INVALID – enter carrying flight KUL departure (Flights AX)",IF(AND(AS123=3,OR(Flights!$AZ$8&gt;Flights!$AA$8,Flights!$AX$8&lt;Flights!$AA$8-3)),"INVALID – carrying flight (Flights AX) cannot arrive before this leg's STD, or is over 3 days early",IF(AG123&gt;AsOfUTC,"INVALID – completion time is in the future",IF(AND(ISNUMBER(BY123),AG123&lt;BY123),IF(H123="Physical uplift","INVALID – before uplift window (cannot confirm loading)","INVALID – before valid window"),IF(AG123&gt;Flights!$AA$8,"INVALID – completed after departure (cannot establish readiness)",IF(AND(H123="Preparation",AG123&gt;=IF(ISNUMBER(Flights!$BA$8),MIN(Flights!$BA$8,Flights!$AA$8),Flights!$AA$8)),"INVALID – completed after loading / departure (cannot establish readiness)",IF(AND(H123="Physical uplift",AG123&gt;Q123),"INVALID – recorded after the loading flight departed",IF(AG123&gt;Q123,"COMPLETE – LATE","COMPLETE"))))))))))))))))))))))))))),IF(TRIM(U123)="Fail","FAIL – DISCREPANCY",IF(AND(TRIM(U123)&lt;&gt;"",TRIM(U123)&lt;&gt;"Not started",TRIM(U123)&lt;&gt;"In progress"),"INVALID – unrecognised status (use the list)",IF(AsOfUTC&gt;Q123,"OVERDUE",IF(N123="Clarification required","OPEN – CLARIFICATION","OPEN"))))))),"INVALID – error value in an input cell")</f>
        <v>OPEN</v>
      </c>
      <c r="AI123" s="61" t="n">
        <f aca="false">IF(OR(AH123="N/A – RULE",AH123="N/A – JUSTIFIED"),0,1)</f>
        <v>1</v>
      </c>
      <c r="AJ123" s="61" t="n">
        <f aca="false">IF(LEFT(AH123,8)="COMPLETE",1,0)</f>
        <v>0</v>
      </c>
      <c r="AK123" s="61" t="n">
        <f aca="false">IF(AND(AI123=1,AJ123=0,AsOfUTC&gt;Q123),1,0)</f>
        <v>0</v>
      </c>
      <c r="AL123" s="61" t="n">
        <f aca="false">IFERROR(IF(AND(AI123=1,OR(TRIM(U123)="Fail",AND(TRIM(AB123)&lt;&gt;"",TRIM(AB123)&lt;&gt;"Closed"),AND(ISNUMBER(AF123),AF123&lt;&gt;0,TRIM(U123)&lt;&gt;"Pass after CA"))),1,0),1)</f>
        <v>0</v>
      </c>
      <c r="AM123" s="61" t="n">
        <f aca="false">IF(LEFT(AH123,7)="INVALID",1,0)</f>
        <v>0</v>
      </c>
      <c r="AN123" s="61" t="n">
        <f aca="false">IF(AND(N123="Clarification required",AI123=1,AJ123=0),1,0)</f>
        <v>0</v>
      </c>
      <c r="AO123" s="61" t="str">
        <f aca="false">IF(AK123=1,SUM(AK$5:AK123),"")</f>
        <v/>
      </c>
      <c r="AP123" s="61" t="str">
        <f aca="false">IF(AL123=1,SUM(AL$5:AL123),"")</f>
        <v/>
      </c>
      <c r="AQ123" s="61" t="n">
        <v>0</v>
      </c>
      <c r="AR123" s="61" t="n">
        <v>0</v>
      </c>
      <c r="AS123" s="61" t="n">
        <v>0</v>
      </c>
      <c r="AT123" s="61" t="n">
        <v>0</v>
      </c>
      <c r="AU123" s="61" t="str">
        <f aca="false">SUBSTITUTE(SUBSTITUTE(SUBSTITUTE(SUBSTITUTE(SUBSTITUTE(SUBSTITUTE(SUBSTITUTE(SUBSTITUTE(SUBSTITUTE(SUBSTITUTE(SUBSTITUTE(SUBSTITUTE(SUBSTITUTE(SUBSTITUTE(SUBSTITUTE(SUBSTITUTE(LOWER(T123&amp;""),CHAR(10),""),CHAR(13),""),CHAR(9),""),CHAR(160),"")," ",""),".",""),"-",""),"/",""),"?",""),"_",""),",",""),"[",""),"]",""),"(",""),")",""),"*","")</f>
        <v/>
      </c>
      <c r="AV123" s="61" t="str">
        <f aca="false">SUBSTITUTE(SUBSTITUTE(SUBSTITUTE(SUBSTITUTE(SUBSTITUTE(SUBSTITUTE(SUBSTITUTE(SUBSTITUTE(SUBSTITUTE(SUBSTITUTE(SUBSTITUTE(SUBSTITUTE(SUBSTITUTE(SUBSTITUTE(SUBSTITUTE(SUBSTITUTE(LOWER(V123&amp;""),CHAR(10),""),CHAR(13),""),CHAR(9),""),CHAR(160),"")," ",""),".",""),"-",""),"/",""),"?",""),"_",""),",",""),"[",""),"]",""),"(",""),")",""),"*","")</f>
        <v/>
      </c>
      <c r="AW123" s="61" t="str">
        <f aca="false">SUBSTITUTE(SUBSTITUTE(SUBSTITUTE(SUBSTITUTE(SUBSTITUTE(SUBSTITUTE(SUBSTITUTE(SUBSTITUTE(SUBSTITUTE(SUBSTITUTE(SUBSTITUTE(SUBSTITUTE(SUBSTITUTE(SUBSTITUTE(SUBSTITUTE(SUBSTITUTE(LOWER(Z123&amp;""),CHAR(10),""),CHAR(13),""),CHAR(9),""),CHAR(160),"")," ",""),".",""),"-",""),"/",""),"?",""),"_",""),",",""),"[",""),"]",""),"(",""),")",""),"*","")</f>
        <v/>
      </c>
      <c r="AX123" s="61" t="str">
        <f aca="false">SUBSTITUTE(SUBSTITUTE(SUBSTITUTE(SUBSTITUTE(SUBSTITUTE(SUBSTITUTE(SUBSTITUTE(SUBSTITUTE(SUBSTITUTE(SUBSTITUTE(SUBSTITUTE(SUBSTITUTE(SUBSTITUTE(SUBSTITUTE(SUBSTITUTE(SUBSTITUTE(LOWER(AE123&amp;""),CHAR(10),""),CHAR(13),""),CHAR(9),""),CHAR(160),"")," ",""),".",""),"-",""),"/",""),"?",""),"_",""),",",""),"[",""),"]",""),"(",""),")",""),"*","")</f>
        <v/>
      </c>
      <c r="AY123" s="61" t="str">
        <f aca="false">SUBSTITUTE(SUBSTITUTE(SUBSTITUTE(SUBSTITUTE(SUBSTITUTE(SUBSTITUTE(SUBSTITUTE(SUBSTITUTE(SUBSTITUTE(SUBSTITUTE(SUBSTITUTE(SUBSTITUTE(SUBSTITUTE(SUBSTITUTE(SUBSTITUTE(SUBSTITUTE(LOWER(W123&amp;""),CHAR(10),""),CHAR(13),""),CHAR(9),""),CHAR(160),"")," ",""),".",""),"-",""),"/",""),"?",""),"_",""),",",""),"[",""),"]",""),"(",""),")",""),"*","")</f>
        <v/>
      </c>
      <c r="AZ123" s="61" t="str">
        <f aca="false">SUBSTITUTE(SUBSTITUTE(SUBSTITUTE(SUBSTITUTE(SUBSTITUTE(SUBSTITUTE(SUBSTITUTE(SUBSTITUTE(SUBSTITUTE(SUBSTITUTE(SUBSTITUTE(SUBSTITUTE(SUBSTITUTE(SUBSTITUTE(SUBSTITUTE(SUBSTITUTE(LOWER(AC123&amp;""),CHAR(10),""),CHAR(13),""),CHAR(9),""),CHAR(160),"")," ",""),".",""),"-",""),"/",""),"?",""),"_",""),",",""),"[",""),"]",""),"(",""),")",""),"*","")</f>
        <v/>
      </c>
      <c r="BA123" s="61" t="str">
        <f aca="false">SUBSTITUTE(SUBSTITUTE(SUBSTITUTE(SUBSTITUTE(SUBSTITUTE(SUBSTITUTE(SUBSTITUTE(SUBSTITUTE(SUBSTITUTE(SUBSTITUTE(SUBSTITUTE(SUBSTITUTE(SUBSTITUTE(SUBSTITUTE(SUBSTITUTE(SUBSTITUTE(LOWER(AA123&amp;""),CHAR(10),""),CHAR(13),""),CHAR(9),""),CHAR(160),"")," ",""),".",""),"-",""),"/",""),"?",""),"_",""),",",""),"[",""),"]",""),"(",""),")",""),"*","")</f>
        <v/>
      </c>
      <c r="BB123" s="61" t="str">
        <f aca="false">IF(AND(TRIM(U123)="Pass",ISNUMBER(AF123)),IF(AF123&lt;&gt;0,"INVALID – qty variance: use Fail or Pass after CA",""),"")&amp;IF(AND(TRIM(U123)="Pass after CA",ISNUMBER(AF123)),IF(AF123&lt;&gt;0,"INVALID – after the corrective action the actual qty must equal expected (update Actual)",""),"")&amp;IF(AND(TRIM(U123)="Pass",TRIM(AB123)&lt;&gt;"",TRIM(AB123)&lt;&gt;"Closed"),"INVALID – corrective action not closed: use Fail, then Pass after CA","")&amp;IF(AND(LEN(BA123)&gt;=2,ISNA(MATCH(LEFT(BA123,255),L_Placeholder,0)),TRIM(AB123)=""),"INVALID – CA status missing for the recorded corrective action","")&amp;IF(AND(TRIM(U123)="Pass after CA",OR(OR(LEN(BA123)&lt;5,ISNUMBER(MATCH(BA123,L_Placeholder,0))),TRIM(AB123)&lt;&gt;"Closed")),"INVALID – corrective action not recorded/closed","")</f>
        <v/>
      </c>
      <c r="BC123" s="61" t="str">
        <f aca="false">" "&amp;TRIM(SUBSTITUTE(SUBSTITUTE(SUBSTITUTE(SUBSTITUTE(SUBSTITUTE(SUBSTITUTE(SUBSTITUTE(SUBSTITUTE(SUBSTITUTE(SUBSTITUTE(SUBSTITUTE(SUBSTITUTE(SUBSTITUTE(SUBSTITUTE(SUBSTITUTE(SUBSTITUTE(SUBSTITUTE(SUBSTITUTE(SUBSTITUTE(SUBSTITUTE(SUBSTITUTE(SUBSTITUTE(SUBSTITUTE(SUBSTITUTE(LOWER(V123&amp;""),CHAR(10)," "),CHAR(13)," "),CHAR(9)," "),CHAR(160)," "),"."," "),","," "),"-"," "),"/"," "),"("," "),")"," "),":"," "),";"," "),"_"," "),"–"," "),"?"," "),"!"," "),"*"," "),"["," "),"]"," "),"'"," "),"#"," "),"+"," "),"&amp;"," "),"\"," "))&amp;" "</f>
        <v>  </v>
      </c>
      <c r="BD123" s="61" t="str">
        <f aca="false">" "&amp;TRIM(SUBSTITUTE(SUBSTITUTE(SUBSTITUTE(SUBSTITUTE(SUBSTITUTE(SUBSTITUTE(SUBSTITUTE(SUBSTITUTE(SUBSTITUTE(SUBSTITUTE(SUBSTITUTE(SUBSTITUTE(SUBSTITUTE(SUBSTITUTE(SUBSTITUTE(SUBSTITUTE(SUBSTITUTE(SUBSTITUTE(SUBSTITUTE(SUBSTITUTE(SUBSTITUTE(SUBSTITUTE(SUBSTITUTE(SUBSTITUTE(LOWER(Z123&amp;""),CHAR(10)," "),CHAR(13)," "),CHAR(9)," "),CHAR(160)," "),"."," "),","," "),"-"," "),"/"," "),"("," "),")"," "),":"," "),";"," "),"_"," "),"–"," "),"?"," "),"!"," "),"*"," "),"["," "),"]"," "),"'"," "),"#"," "),"+"," "),"&amp;"," "),"\"," "))&amp;" "</f>
        <v>  </v>
      </c>
      <c r="BE123" s="61" t="str">
        <f aca="false">" "&amp;TRIM(SUBSTITUTE(SUBSTITUTE(SUBSTITUTE(SUBSTITUTE(SUBSTITUTE(SUBSTITUTE(SUBSTITUTE(SUBSTITUTE(SUBSTITUTE(SUBSTITUTE(SUBSTITUTE(SUBSTITUTE(SUBSTITUTE(SUBSTITUTE(SUBSTITUTE(SUBSTITUTE(SUBSTITUTE(SUBSTITUTE(SUBSTITUTE(SUBSTITUTE(SUBSTITUTE(SUBSTITUTE(SUBSTITUTE(SUBSTITUTE(LOWER(W123&amp;""),CHAR(10)," "),CHAR(13)," "),CHAR(9)," "),CHAR(160)," "),"."," "),","," "),"-"," "),"/"," "),"("," "),")"," "),":"," "),";"," "),"_"," "),"–"," "),"?"," "),"!"," "),"*"," "),"["," "),"]"," "),"'"," "),"#"," "),"+"," "),"&amp;"," "),"\"," "))&amp;" "</f>
        <v>  </v>
      </c>
      <c r="BF123" s="61" t="str">
        <f aca="false">" "&amp;TRIM(SUBSTITUTE(SUBSTITUTE(SUBSTITUTE(SUBSTITUTE(SUBSTITUTE(SUBSTITUTE(SUBSTITUTE(SUBSTITUTE(SUBSTITUTE(SUBSTITUTE(SUBSTITUTE(SUBSTITUTE(SUBSTITUTE(SUBSTITUTE(SUBSTITUTE(SUBSTITUTE(SUBSTITUTE(SUBSTITUTE(SUBSTITUTE(SUBSTITUTE(SUBSTITUTE(SUBSTITUTE(SUBSTITUTE(SUBSTITUTE(LOWER(AC123&amp;""),CHAR(10)," "),CHAR(13)," "),CHAR(9)," "),CHAR(160)," "),"."," "),","," "),"-"," "),"/"," "),"("," "),")"," "),":"," "),";"," "),"_"," "),"–"," "),"?"," "),"!"," "),"*"," "),"["," "),"]"," "),"'"," "),"#"," "),"+"," "),"&amp;"," "),"\"," "))&amp;" "</f>
        <v>  </v>
      </c>
      <c r="BG123" s="61" t="n">
        <f aca="false">IFERROR(IF(AND(TRIM(U123)="Pass",SUMPRODUCT((LEN(BC123)-LEN(SUBSTITUTE(BC123," "&amp;L_ResultBad&amp;" "," ")))/(LEN(L_ResultBad)+1))&gt;SUMPRODUCT((LEN(BC123)-LEN(SUBSTITUTE(BC123," "&amp;L_NegPhrase&amp;" "," ")))/(LEN(L_NegPhrase)+1))),1,0),0)</f>
        <v>0</v>
      </c>
      <c r="BH123" s="61" t="n">
        <f aca="false">IFERROR(IF(SUMPRODUCT((LEN(BC123)-LEN(SUBSTITUTE(BC123," "&amp;L_Pending&amp;" "," ")))/(LEN(L_Pending)+1))&gt;SUMPRODUCT((LEN(BC123)-LEN(SUBSTITUTE(BC123," "&amp;L_PendNeg&amp;" "," ")))/(LEN(L_PendNeg)+1)),1,0),1)</f>
        <v>0</v>
      </c>
      <c r="BI123" s="61" t="n">
        <f aca="false">IFERROR(IF(SUMPRODUCT((LEN(BD123)-LEN(SUBSTITUTE(BD123," "&amp;L_PendStrict&amp;" "," ")))/(LEN(L_PendStrict)+1))&gt;SUMPRODUCT((LEN(BD123)-LEN(SUBSTITUTE(BD123," "&amp;L_PendNeg&amp;" "," ")))/(LEN(L_PendNeg)+1)),1,0),1)</f>
        <v>0</v>
      </c>
      <c r="BJ123" s="61" t="n">
        <f aca="false">IFERROR(IF(SUMPRODUCT((LEN(BE123)-LEN(SUBSTITUTE(BE123," "&amp;L_Pending&amp;" "," ")))/(LEN(L_Pending)+1))&gt;SUMPRODUCT((LEN(BE123)-LEN(SUBSTITUTE(BE123," "&amp;L_PendNeg&amp;" "," ")))/(LEN(L_PendNeg)+1)),1,0),1)</f>
        <v>0</v>
      </c>
      <c r="BK123" s="61" t="n">
        <f aca="false">IFERROR(IF(SUMPRODUCT((LEN(BF123)-LEN(SUBSTITUTE(BF123," "&amp;L_PendStrict&amp;" "," ")))/(LEN(L_PendStrict)+1))&gt;SUMPRODUCT((LEN(BF123)-LEN(SUBSTITUTE(BF123," "&amp;L_PendNeg&amp;" "," ")))/(LEN(L_PendNeg)+1)),1,0),1)</f>
        <v>0</v>
      </c>
      <c r="BL123" s="61" t="n">
        <f aca="false">IF(ISNA(MATCH(TRIM(S123),L_EvidenceType,0)),0,BZ123)</f>
        <v>0</v>
      </c>
      <c r="BM123" s="61" t="str">
        <f aca="false">SUBSTITUTE(SUBSTITUTE(SUBSTITUTE(SUBSTITUTE(SUBSTITUTE(SUBSTITUTE(SUBSTITUTE(SUBSTITUTE(SUBSTITUTE(LOWER(Z123&amp;""),"1","0"),"2","0"),"3","0"),"4","0"),"5","0"),"6","0"),"7","0"),"8","0"),"9","0")</f>
        <v/>
      </c>
      <c r="BN123" s="61" t="str">
        <f aca="false">SUBSTITUTE(SUBSTITUTE(SUBSTITUTE(SUBSTITUTE(SUBSTITUTE(SUBSTITUTE(SUBSTITUTE(SUBSTITUTE(SUBSTITUTE(SUBSTITUTE(SUBSTITUTE(SUBSTITUTE(SUBSTITUTE(SUBSTITUTE(SUBSTITUTE(SUBSTITUTE(SUBSTITUTE(SUBSTITUTE(SUBSTITUTE(SUBSTITUTE(SUBSTITUTE(SUBSTITUTE(SUBSTITUTE(SUBSTITUTE(SUBSTITUTE(BM123,"b","a"),"c","a"),"d","a"),"e","a"),"f","a"),"g","a"),"h","a"),"i","a"),"j","a"),"k","a"),"l","a"),"m","a"),"n","a"),"o","a"),"p","a"),"q","a"),"r","a"),"s","a"),"t","a"),"u","a"),"v","a"),"w","a"),"x","a"),"y","a"),"z","a")</f>
        <v/>
      </c>
      <c r="BO123" s="61" t="str">
        <f aca="false">SUBSTITUTE(SUBSTITUTE(SUBSTITUTE(SUBSTITUTE(SUBSTITUTE(SUBSTITUTE(SUBSTITUTE(SUBSTITUTE(SUBSTITUTE(LOWER(W123&amp;""),"1","0"),"2","0"),"3","0"),"4","0"),"5","0"),"6","0"),"7","0"),"8","0"),"9","0")</f>
        <v/>
      </c>
      <c r="BP123" s="61" t="str">
        <f aca="false">SUBSTITUTE(SUBSTITUTE(SUBSTITUTE(SUBSTITUTE(SUBSTITUTE(SUBSTITUTE(SUBSTITUTE(SUBSTITUTE(SUBSTITUTE(SUBSTITUTE(SUBSTITUTE(SUBSTITUTE(SUBSTITUTE(SUBSTITUTE(SUBSTITUTE(SUBSTITUTE(SUBSTITUTE(SUBSTITUTE(SUBSTITUTE(SUBSTITUTE(SUBSTITUTE(SUBSTITUTE(SUBSTITUTE(SUBSTITUTE(SUBSTITUTE(BO123,"b","a"),"c","a"),"d","a"),"e","a"),"f","a"),"g","a"),"h","a"),"i","a"),"j","a"),"k","a"),"l","a"),"m","a"),"n","a"),"o","a"),"p","a"),"q","a"),"r","a"),"s","a"),"t","a"),"u","a"),"v","a"),"w","a"),"x","a"),"y","a"),"z","a")</f>
        <v/>
      </c>
      <c r="BQ123" s="61" t="n">
        <f aca="false">IFERROR(IF(AND(ISERROR(SEARCH(" mh"," "&amp;LOWER(W123))),ISNA(MATCH(LEFT(TRIM(BP123),255),{"0000a","000a","00a","0000aa","000aa","00aa","0aa","0000aaa","000aaa","00a00","0a00","0000-0000","00:00","a00","a0","00.00.0000","00/00/0000","00-00-0000","0000-00-00","0000/00/00","0000.00.00","00.00.00","00/00/00","00-00-00","0.00.0000","0/00/0000","0-00-0000"},0)),ISNA(MATCH(LEFT(TRIM(CA123),255),{"0000a","000a","00a","0000aa","000aa","00aa","0aa","0000aaa","000aaa","00a00","0a00","0000-0000","00:00","a00","a0","00.00.0000","00/00/0000","00-00-0000","0000-00-00","0000/00/00","0000.00.00","00.00.00","00/00/00","00-00-00","0.00.0000","0/00/0000","0-00-0000"},0)),LEN(CB123)&gt;=3,NOT(OR(SUBSTITUTE(CB123,"0","")="",AND(LEN(CB123)&gt;=4,CB123=REPT(LEFT(CB123),LEN(CB123))),ISNUMBER(MATCH(CB123,{"123","1234","12345","123456","1234567","12345678","0123","01234","012345","98765","987654","54321"},0)),AND(LEN(CB123)=8,LEFT(CB123,3)="202"))),OR(AND((LEN(CA123)-LEN(SUBSTITUTE(CA123,"a","")))&gt;=1,SUMPRODUCT(--ISNUMBER(SEARCH({"a0","a-0","a_0","a/0","a.0","a#0","0a","0-a","0_a","0/a"},BP123)))&gt;0),ISNUMBER(SEARCH("000000",BP123)))),1,0),0)</f>
        <v>0</v>
      </c>
      <c r="BR123" s="61" t="n">
        <f aca="false">IFERROR(LEN(SUBSTITUTE(CC123," ",""))-SUMPRODUCT((LEN(CC123)-LEN(SUBSTITUTE(CC123," "&amp;L_Role&amp;" "," ")))/(LEN(L_Role)+1)*LEN(L_Role)),0)</f>
        <v>0</v>
      </c>
      <c r="BS123" s="61" t="n">
        <f aca="false">IFERROR(LEN(SUBSTITUTE(CD123," ",""))-SUMPRODUCT((LEN(CD123)-LEN(SUBSTITUTE(CD123," "&amp;L_Role&amp;" "," ")))/(LEN(L_Role)+1)*LEN(L_Role)),0)</f>
        <v>0</v>
      </c>
      <c r="BT1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123,"revision",""),"version",""),"jan",""),"feb",""),"mar",""),"apr",""),"may",""),"jun",""),"jul",""),"aug",""),"sep",""),"oct",""),"nov",""),"dec",""),"utc",""),"gmt",""),"myt",""),"bst",""),"rev",""),"ver",""),"b","a"),"c","a"),"d","a"),"e","a"),"f","a"),"g","a"),"h","a"),"i","a"),"j","a"),"k","a"),"l","a"),"m","a"),"n","a"),"o","a"),"p","a"),"q","a"),"r","a"),"s","a"),"t","a"),"u","a"),"v","a"),"w","a"),"x","a"),"y","a"),"z","a")</f>
        <v/>
      </c>
      <c r="BU123" s="61" t="str">
        <f aca="false">SUBSTITUTE(SUBSTITUTE(SUBSTITUTE(SUBSTITUTE(SUBSTITUTE(SUBSTITUTE(SUBSTITUTE(SUBSTITUTE(SUBSTITUTE(SUBSTITUTE(LEFT(BM123,FIND("0",BM123&amp;"0")-1),"-",""),"_",""),"/",""),".",""),"#",""),"\\",""),":","")," ",""),"(",""),")","")</f>
        <v/>
      </c>
      <c r="BV123" s="61" t="n">
        <f aca="false">IFERROR(IF(OR(SUMPRODUCT((LEN(BC123)-LEN(SUBSTITUTE(BC123," "&amp;L_NotLoaded&amp;" "," ")))/(LEN(L_NotLoaded)+1))&gt;SUMPRODUCT((LEN(BC123)-LEN(SUBSTITUTE(BC123," "&amp;L_NotLoadedNeg&amp;" "," ")))/(LEN(L_NotLoadedNeg)+1)),SUMPRODUCT((LEN(BD123)-LEN(SUBSTITUTE(BD123," "&amp;L_NotLoaded&amp;" "," ")))/(LEN(L_NotLoaded)+1))&gt;SUMPRODUCT((LEN(BD123)-LEN(SUBSTITUTE(BD123," "&amp;L_NotLoadedNeg&amp;" "," ")))/(LEN(L_NotLoadedNeg)+1))),1,0),0)</f>
        <v>0</v>
      </c>
      <c r="BW1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123&amp;""),"a",""),"b",""),"c",""),"d",""),"e",""),"f",""),"g",""),"h",""),"i",""),"j",""),"k",""),"l",""),"m",""),"n",""),"o",""),"p",""),"q",""),"r",""),"s",""),"t",""),"u",""),"v",""),"w",""),"x",""),"y",""),"z",""),"-",""),"_",""),"/",""),".",""),"#",""),"\\",""),":","")," ",""),"(",""),")","")</f>
        <v/>
      </c>
      <c r="BX123" s="61" t="str">
        <f aca="false">SUBSTITUTE(SUBSTITUTE(SUBSTITUTE(SUBSTITUTE(SUBSTITUTE(SUBSTITUTE(SUBSTITUTE(SUBSTITUTE(SUBSTITUTE(SUBSTITUTE(SUBSTITUTE(BM123,"0",""),"-",""),"_",""),"/",""),".",""),"#",""),"\\",""),":","")," ",""),"(",""),")","")</f>
        <v/>
      </c>
      <c r="BY123" s="62" t="n">
        <f aca="false">IF(ISNUMBER(Flights!$AZ$8),MAX(Q123-UpliftWindowH/24,Flights!$AZ$8),Q123-UpliftWindowH/24)</f>
        <v>46305.3958333333</v>
      </c>
      <c r="BZ123" s="61" t="n">
        <f aca="false">IFERROR(IF(IF(TRIM(S123)="Link / file path",AND(LEN(TRIM(Z123))&gt;=5,SUMPRODUCT(--ISNUMBER(SEARCH({"http","www.","\\",":\",".pdf",".jpg",".jpeg",".png",".heic",".xls",".doc",".msg",".eml",".ppt",".txt",".zip"},Z123)))&gt;0),AND(ISERROR(FIND(" ",TRIM(Z123))),NOT(OR(SUMPRODUCT(--ISNUMBER(FIND({",",";","&amp;","+"},Z123)))&gt;0,SUMPRODUCT(--ISNUMBER(SEARCH({"0/aa","0\\aa"},BN123)))&gt;0)),NOT(SUMPRODUCT(--ISNUMBER(SEARCH({"http","www.","\\",":\",".pdf",".jpg",".jpeg",".png",".heic",".xls",".doc",".msg",".eml",".ppt",".txt",".zip"},Z123)))&gt;0),NOT(LOWER(TRIM(Z123))=LOWER(Flights!$F$8)),ISNA(MATCH(BU123,{"mh","rev","revision","ver","version","v","r","a","b","seat","tray","row","gate","bay","stand","page","pg","item","line","no","cart","galley","flight","flt","table","box","bag","oven","etd","eta","std","sta","atd","ata","qty","pax","x","time","tel","ph","mob","day","wk","week","utc","gmt","myt","lt"},0)),NOT(OR(ISNUMBER(MATCH(LEFT(BN123,255),{"0000a","000a","00a","0000aa","000aa","00aa","0aa","0000aaa","000aaa","00a00","0a00","0000-0000","00:00","a00","a0","00.00.0000","00/00/0000","00-00-0000","0000-00-00","0000/00/00","0000.00.00","00.00.00","00/00/00","00-00-00","0.00.0000","0/00/0000","0-00-0000"},0)),ISNUMBER(MATCH(LEFT(BT123,255),{"0000a","000a","00a","0000aa","000aa","00aa","0aa","0000aaa","000aaa","00a00","0a00","0000-0000","00:00","a00","a0","00.00.0000","00/00/0000","00-00-0000","0000-00-00","0000/00/00","0000.00.00","00.00.00","00/00/00","00-00-00","0.00.0000","0/00/0000","0-00-0000"},0)))),NOT(OR(AND(BW123&lt;&gt;"",SUBSTITUTE(BW123,"0","")=""),AND(LEN(BW123)&gt;=4,BW123=REPT(LEFT(BW123),LEN(BW123))),ISNUMBER(MATCH(BW123,{"123","1234","12345","123456","1234567","12345678","0123","01234","012345","98765","987654","54321"},0)),ISNUMBER(MATCH(BX123,{"x","xx","xxx","xxxx","xxxxx","abc","abcd","nil","na","nan","test","tbc","tba","tbd","dummy","sample","example","eg","zz","zzz","none","null","xyz","qwe","asd","id","ref"},0)),AND(LEN(BW123)=8,BX123="",OR(LEFT(BW123,3)="202",ISNUMBER(MATCH(RIGHT(BW123,4),{"2025","2026","2027"},0)))))),OR(AND((LEN(BT123)-LEN(SUBSTITUTE(BT123,"a","")))&gt;=1,(LEN(BN123)-LEN(SUBSTITUTE(BN123,"0","")))&gt;=2,SUMPRODUCT(--ISNUMBER(SEARCH({"a0","a-0","a_0","a/0","a.0","a#0","0a","0-a","0_a","0/a"},BN123)))&gt;0),AND((LEN(BN123)-LEN(SUBSTITUTE(BN123,"a","")))=0,(LEN(BN123)-LEN(SUBSTITUTE(BN123,"0","")))&gt;=5)))),1,0),0)</f>
        <v>0</v>
      </c>
      <c r="CA1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123,"revision",""),"version",""),"jan",""),"feb",""),"mar",""),"apr",""),"may",""),"jun",""),"jul",""),"aug",""),"sep",""),"oct",""),"nov",""),"dec",""),"utc",""),"gmt",""),"myt",""),"bst",""),"rev",""),"ver",""),"b","a"),"c","a"),"d","a"),"e","a"),"f","a"),"g","a"),"h","a"),"i","a"),"j","a"),"k","a"),"l","a"),"m","a"),"n","a"),"o","a"),"p","a"),"q","a"),"r","a"),"s","a"),"t","a"),"u","a"),"v","a"),"w","a"),"x","a"),"y","a"),"z","a")</f>
        <v/>
      </c>
      <c r="CB1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123&amp;""),"a",""),"b",""),"c",""),"d",""),"e",""),"f",""),"g",""),"h",""),"i",""),"j",""),"k",""),"l",""),"m",""),"n",""),"o",""),"p",""),"q",""),"r",""),"s",""),"t",""),"u",""),"v",""),"w",""),"x",""),"y",""),"z",""),"-",""),"_",""),"/",""),".",""),"#",""),"\\",""),":","")," ",""),"(",""),")","")</f>
        <v/>
      </c>
      <c r="CC123" s="0" t="str">
        <f aca="false">" "&amp;TRIM(SUBSTITUTE(SUBSTITUTE(SUBSTITUTE(SUBSTITUTE(SUBSTITUTE(SUBSTITUTE(SUBSTITUTE(SUBSTITUTE(SUBSTITUTE(SUBSTITUTE(SUBSTITUTE(SUBSTITUTE(SUBSTITUTE(SUBSTITUTE(SUBSTITUTE(SUBSTITUTE(SUBSTITUTE(SUBSTITUTE(SUBSTITUTE(SUBSTITUTE(SUBSTITUTE(SUBSTITUTE(SUBSTITUTE(SUBSTITUTE(LOWER(T123&amp;""),CHAR(10)," "),CHAR(13)," "),CHAR(9)," "),CHAR(160)," "),"."," "),","," "),"-"," "),"/"," "),"("," "),")"," "),":"," "),";"," "),"_"," "),"–"," "),"?"," "),"!"," "),"*"," "),"["," "),"]"," "),"'"," "),"#"," "),"+"," "),"&amp;"," "),"\"," "))&amp;" "</f>
        <v>  </v>
      </c>
      <c r="CD123" s="0" t="str">
        <f aca="false">" "&amp;TRIM(SUBSTITUTE(SUBSTITUTE(SUBSTITUTE(SUBSTITUTE(SUBSTITUTE(SUBSTITUTE(SUBSTITUTE(SUBSTITUTE(SUBSTITUTE(SUBSTITUTE(SUBSTITUTE(SUBSTITUTE(SUBSTITUTE(SUBSTITUTE(SUBSTITUTE(SUBSTITUTE(SUBSTITUTE(SUBSTITUTE(SUBSTITUTE(SUBSTITUTE(SUBSTITUTE(SUBSTITUTE(SUBSTITUTE(SUBSTITUTE(LOWER(AE123&amp;""),CHAR(10)," "),CHAR(13)," "),CHAR(9)," "),CHAR(160)," "),"."," "),","," "),"-"," "),"/"," "),"("," "),")"," "),":"," "),";"," "),"_"," "),"–"," "),"?"," "),"!"," "),"*"," "),"["," "),"]"," "),"'"," "),"#"," "),"+"," "),"&amp;"," "),"\"," "))&amp;" "</f>
        <v>  </v>
      </c>
      <c r="CE123" s="68" t="n">
        <f aca="false">IFERROR(IF(AND(LEN(AU123)&gt;0,LEN(AU123)=LEN(AX123),OR(TRIM(MID(SUBSTITUTE(TRIM(CC123)," ",REPT(" ",60)),1,60))="",ISNUMBER(SEARCH(" "&amp;TRIM(MID(SUBSTITUTE(TRIM(CC123)," ",REPT(" ",60)),1,60))&amp;" ",CD123))),OR(TRIM(MID(SUBSTITUTE(TRIM(CC123)," ",REPT(" ",60)),61,60))="",ISNUMBER(SEARCH(" "&amp;TRIM(MID(SUBSTITUTE(TRIM(CC123)," ",REPT(" ",60)),61,60))&amp;" ",CD123))),OR(TRIM(MID(SUBSTITUTE(TRIM(CC123)," ",REPT(" ",60)),121,60))="",ISNUMBER(SEARCH(" "&amp;TRIM(MID(SUBSTITUTE(TRIM(CC123)," ",REPT(" ",60)),121,60))&amp;" ",CD123)))),1,0),0)</f>
        <v>0</v>
      </c>
      <c r="CG123" s="68" t="n">
        <f aca="false">IFERROR(LEN(SUBSTITUTE(BF123," ",""))-SUMPRODUCT((LEN(BF123)-LEN(SUBSTITUTE(BF123," "&amp;L_NAFiller&amp;" "," ")))/(LEN(L_NAFiller)+1)*LEN(L_NAFiller)),0)</f>
        <v>0</v>
      </c>
    </row>
    <row r="124" customFormat="false" ht="39.75" hidden="false" customHeight="true" outlineLevel="0" collapsed="false">
      <c r="A124" s="57" t="s">
        <v>642</v>
      </c>
      <c r="B124" s="57" t="s">
        <v>218</v>
      </c>
      <c r="C124" s="57" t="str">
        <f aca="false">Flights!$F$8</f>
        <v>MH0088</v>
      </c>
      <c r="D124" s="58" t="n">
        <f aca="false">Flights!$D$8</f>
        <v>46305</v>
      </c>
      <c r="E124" s="57" t="str">
        <f aca="false">Flights!$G$8&amp;"-"&amp;Flights!$H$8</f>
        <v>KUL-NRT</v>
      </c>
      <c r="F124" s="57" t="str">
        <f aca="false">Flights!$K$8</f>
        <v>BC</v>
      </c>
      <c r="G124" s="57" t="s">
        <v>459</v>
      </c>
      <c r="H124" s="57" t="s">
        <v>460</v>
      </c>
      <c r="I124" s="57" t="s">
        <v>440</v>
      </c>
      <c r="J124" s="57" t="s">
        <v>643</v>
      </c>
      <c r="K124" s="67" t="s">
        <v>501</v>
      </c>
      <c r="L124" s="67" t="s">
        <v>604</v>
      </c>
      <c r="M124" s="67" t="s">
        <v>187</v>
      </c>
      <c r="N124" s="67" t="s">
        <v>383</v>
      </c>
      <c r="O124" s="67"/>
      <c r="P124" s="57" t="s">
        <v>187</v>
      </c>
      <c r="Q124" s="59" t="n">
        <f aca="false">ROUND((Flights!$AF$8)*1440,0)/1440</f>
        <v>46305.6458333333</v>
      </c>
      <c r="R124" s="59" t="n">
        <f aca="false">Q124+(IF(AND(INDEX(TZ_DSTS,MATCH(P124,TZ_STN,0))&lt;&gt;"",Q124&gt;=INDEX(TZ_DSTS,MATCH(P124,TZ_STN,0)),Q124&lt;INDEX(TZ_DSTE,MATCH(P124,TZ_STN,0))),INDEX(TZ_DST,MATCH(P124,TZ_STN,0)),INDEX(TZ_STD,MATCH(P124,TZ_STN,0))))/24</f>
        <v>46305.9791666667</v>
      </c>
      <c r="S124" s="60"/>
      <c r="T124" s="60"/>
      <c r="U124" s="60"/>
      <c r="V124" s="60"/>
      <c r="W124" s="61"/>
      <c r="X124" s="60"/>
      <c r="Y124" s="60"/>
      <c r="Z124" s="60"/>
      <c r="AA124" s="60"/>
      <c r="AB124" s="60"/>
      <c r="AC124" s="60"/>
      <c r="AD124" s="66"/>
      <c r="AE124" s="60"/>
      <c r="AF124" s="61" t="str">
        <f aca="false">IF(AND(ISNUMBER(X124),ISNUMBER(Y124)),Y124-X124,"")</f>
        <v/>
      </c>
      <c r="AG124" s="62" t="str">
        <f aca="false">IF(ISNUMBER(AD124),AD124-(IF(AND(INDEX(TZ_DSTS,MATCH(P124,TZ_STN,0))&lt;&gt;"",(AD124-INDEX(TZ_STD,MATCH(P124,TZ_STN,0))/24)&gt;=INDEX(TZ_DSTS,MATCH(P124,TZ_STN,0)),(AD124-INDEX(TZ_STD,MATCH(P124,TZ_STN,0))/24)&lt;INDEX(TZ_DSTE,MATCH(P124,TZ_STN,0))),INDEX(TZ_DST,MATCH(P124,TZ_STN,0)),INDEX(TZ_STD,MATCH(P124,TZ_STN,0))))/24,"")</f>
        <v/>
      </c>
      <c r="AH124" s="65" t="str">
        <f aca="false">IFERROR(IF(N124="N/A – rule",IF(OR(TRIM(U124)="",TRIM(U124)="N/A",TRIM(U124)="Not started"),"N/A – RULE","INVALID – this check does not apply to this aircraft: clear the status (or correct the fleet on Flights)"),IF(TRIM(U124)="N/A",IF(AT124=0,"INVALID – N/A not permitted for this check",IF(AND(TRIM(AB124)&lt;&gt;"",TRIM(AB124)&lt;&gt;"Closed"),"INVALID – corrective action still open",IF(AND(NOT(OR(LEN(AZ124)&lt;15,ISNUMBER(MATCH(AZ124,L_Placeholder,0)))),BK124=0,CG124&gt;=8,NOT(OR(LEN(AU124)&lt;2,ISNUMBER(MATCH(AU124,L_Placeholder,0)))),BR124&gt;=3,NOT(OR(LEN(AX124)&lt;2,ISNUMBER(MATCH(AX124,L_Placeholder,0)))),BS124&gt;=3,TRIM(AE124)&lt;&gt;TRIM(T124),AX124&lt;&gt;AU124,CE124=0),"N/A – JUSTIFIED","INVALID – N/A needs a real, settled reason (not 'not applicable' / 'as above' / TBC), a named PIC and a different named verifier"))),IF(OR(TRIM(U124)="Pass",TRIM(U124)="Pass after CA"),IF(NOT(ISNUMBER(AD124)),"INVALID – completion time missing",IF(OR(OR(LEN(AU124)&lt;2,ISNUMBER(MATCH(AU124,L_Placeholder,0))),BR124&lt;3),"INVALID – PIC missing or not a named person (a role such as QA / CSM is not a name)",IF(OR(LEN(AV124)&lt;2,ISNUMBER(MATCH(AV124,L_Placeholder,0))),"INVALID – result / assessment missing",IF(OR(OR(LEN(AW124)&lt;3,ISNUMBER(MATCH(AW124,L_Placeholder,0))),SUMPRODUCT(--ISNUMBER(SEARCH(" "&amp;L_EvidencePhrase&amp;" ",BD124)))&gt;0,BI124=1),"INVALID – evidence missing, placeholder or not yet on file",IF(ISNA(MATCH(TRIM(S124),L_EvidenceType,0)),"INVALID – choose the evidence type from the list (column S)",IF(BL124=0,"INVALID – evidence ID must be the record's own ID only (e.g. SF-2210, IMG_2231, 1045521); a link / file name needs type 'Link / file path'",IF(OR(OR(LEN(AX124)&lt;2,ISNUMBER(MATCH(AX124,L_Placeholder,0))),BS124&lt;3),"INVALID – verifier missing or not a named person (a role such as QA / CSM is not a name)",IF(OR(AX124=AU124,CE124=1,AND(LEN(AU124)&gt;=4,ISNUMBER(SEARCH(AU124,AX124))),AND(LEN(AX124)&gt;=4,ISNUMBER(SEARCH(AX124,AU124)))),"INVALID – verifier must be a different, named person (not the PIC or a role)",IF(BH124=1,"INVALID – result not yet available (awaiting / TBC)",IF(BG124=1,"INVALID – result describes a problem: record Fail, then Pass after CA (or reword if it is not a problem)",IF(BV124=1,"INVALID – wording says not on board: an on-board confirmation needs the item loaded",IF(AND(AQ124=1,OR(OR(LEN(AY124)&lt;3,ISNUMBER(MATCH(AY124,L_Placeholder,0))),BJ124=1,BQ124=0)),"INVALID – batch ID missing, placeholder or not an ID (e.g. PASB-261008-BC-017)",IF(AND(AR124=1,OR(NOT(ISNUMBER(X124)),NOT(ISNUMBER(Y124)))),"INVALID – expected/actual qty missing",IF(AND(AR124=1,OR(X124&lt;=0,Y124&lt;0)),"INVALID – expected qty must be above 0 and actual not negative",IF(AH108="N/A – JUSTIFIED","INVALID – preparation row F04-T12-09 is N/A",IF(AND(AR124=1,ISNUMBER(X108),X124&lt;&gt;X108,TRIM(U124)&lt;&gt;"Pass after CA"),"INVALID – expected qty differs from preparation check F04-T12-09: record the load change as a corrective action (Pass after CA)",IF(BB124&lt;&gt;"",BB124,IF(AND(AS124=1,Documents!$J$8&lt;&gt;"ON FILE"),"INVALID – GLD not on file (Documents sheet)",IF(AND(AS124=2,Documents!$O$8&lt;&gt;"ON FILE"),"INVALID – menu checklist not on file (Documents sheet)",IF(AND(AS124=3,NOT(ISNUMBER(Flights!$AX$8))),"INVALID – enter carrying flight KUL departure (Flights AX)",IF(AND(AS124=3,OR(Flights!$AZ$8&gt;Flights!$AA$8,Flights!$AX$8&lt;Flights!$AA$8-3)),"INVALID – carrying flight (Flights AX) cannot arrive before this leg's STD, or is over 3 days early",IF(AG124&gt;AsOfUTC,"INVALID – completion time is in the future",IF(AND(ISNUMBER(BY124),AG124&lt;BY124),IF(H124="Physical uplift","INVALID – before uplift window (cannot confirm loading)","INVALID – before valid window"),IF(AG124&gt;Flights!$AA$8,"INVALID – completed after departure (cannot establish readiness)",IF(AND(H124="Preparation",AG124&gt;=IF(ISNUMBER(Flights!$BA$8),MIN(Flights!$BA$8,Flights!$AA$8),Flights!$AA$8)),"INVALID – completed after loading / departure (cannot establish readiness)",IF(AND(H124="Physical uplift",AG124&gt;Q124),"INVALID – recorded after the loading flight departed",IF(AG124&gt;Q124,"COMPLETE – LATE","COMPLETE"))))))))))))))))))))))))))),IF(TRIM(U124)="Fail","FAIL – DISCREPANCY",IF(AND(TRIM(U124)&lt;&gt;"",TRIM(U124)&lt;&gt;"Not started",TRIM(U124)&lt;&gt;"In progress"),"INVALID – unrecognised status (use the list)",IF(AsOfUTC&gt;Q124,"OVERDUE",IF(N124="Clarification required","OPEN – CLARIFICATION","OPEN"))))))),"INVALID – error value in an input cell")</f>
        <v>OPEN</v>
      </c>
      <c r="AI124" s="61" t="n">
        <f aca="false">IF(OR(AH124="N/A – RULE",AH124="N/A – JUSTIFIED"),0,1)</f>
        <v>1</v>
      </c>
      <c r="AJ124" s="61" t="n">
        <f aca="false">IF(LEFT(AH124,8)="COMPLETE",1,0)</f>
        <v>0</v>
      </c>
      <c r="AK124" s="61" t="n">
        <f aca="false">IF(AND(AI124=1,AJ124=0,AsOfUTC&gt;Q124),1,0)</f>
        <v>0</v>
      </c>
      <c r="AL124" s="61" t="n">
        <f aca="false">IFERROR(IF(AND(AI124=1,OR(TRIM(U124)="Fail",AND(TRIM(AB124)&lt;&gt;"",TRIM(AB124)&lt;&gt;"Closed"),AND(ISNUMBER(AF124),AF124&lt;&gt;0,TRIM(U124)&lt;&gt;"Pass after CA"))),1,0),1)</f>
        <v>0</v>
      </c>
      <c r="AM124" s="61" t="n">
        <f aca="false">IF(LEFT(AH124,7)="INVALID",1,0)</f>
        <v>0</v>
      </c>
      <c r="AN124" s="61" t="n">
        <f aca="false">IF(AND(N124="Clarification required",AI124=1,AJ124=0),1,0)</f>
        <v>0</v>
      </c>
      <c r="AO124" s="61" t="str">
        <f aca="false">IF(AK124=1,SUM(AK$5:AK124),"")</f>
        <v/>
      </c>
      <c r="AP124" s="61" t="str">
        <f aca="false">IF(AL124=1,SUM(AL$5:AL124),"")</f>
        <v/>
      </c>
      <c r="AQ124" s="61" t="n">
        <v>0</v>
      </c>
      <c r="AR124" s="61" t="n">
        <v>0</v>
      </c>
      <c r="AS124" s="61" t="n">
        <v>0</v>
      </c>
      <c r="AT124" s="61" t="n">
        <v>0</v>
      </c>
      <c r="AU124" s="61" t="str">
        <f aca="false">SUBSTITUTE(SUBSTITUTE(SUBSTITUTE(SUBSTITUTE(SUBSTITUTE(SUBSTITUTE(SUBSTITUTE(SUBSTITUTE(SUBSTITUTE(SUBSTITUTE(SUBSTITUTE(SUBSTITUTE(SUBSTITUTE(SUBSTITUTE(SUBSTITUTE(SUBSTITUTE(LOWER(T124&amp;""),CHAR(10),""),CHAR(13),""),CHAR(9),""),CHAR(160),"")," ",""),".",""),"-",""),"/",""),"?",""),"_",""),",",""),"[",""),"]",""),"(",""),")",""),"*","")</f>
        <v/>
      </c>
      <c r="AV124" s="61" t="str">
        <f aca="false">SUBSTITUTE(SUBSTITUTE(SUBSTITUTE(SUBSTITUTE(SUBSTITUTE(SUBSTITUTE(SUBSTITUTE(SUBSTITUTE(SUBSTITUTE(SUBSTITUTE(SUBSTITUTE(SUBSTITUTE(SUBSTITUTE(SUBSTITUTE(SUBSTITUTE(SUBSTITUTE(LOWER(V124&amp;""),CHAR(10),""),CHAR(13),""),CHAR(9),""),CHAR(160),"")," ",""),".",""),"-",""),"/",""),"?",""),"_",""),",",""),"[",""),"]",""),"(",""),")",""),"*","")</f>
        <v/>
      </c>
      <c r="AW124" s="61" t="str">
        <f aca="false">SUBSTITUTE(SUBSTITUTE(SUBSTITUTE(SUBSTITUTE(SUBSTITUTE(SUBSTITUTE(SUBSTITUTE(SUBSTITUTE(SUBSTITUTE(SUBSTITUTE(SUBSTITUTE(SUBSTITUTE(SUBSTITUTE(SUBSTITUTE(SUBSTITUTE(SUBSTITUTE(LOWER(Z124&amp;""),CHAR(10),""),CHAR(13),""),CHAR(9),""),CHAR(160),"")," ",""),".",""),"-",""),"/",""),"?",""),"_",""),",",""),"[",""),"]",""),"(",""),")",""),"*","")</f>
        <v/>
      </c>
      <c r="AX124" s="61" t="str">
        <f aca="false">SUBSTITUTE(SUBSTITUTE(SUBSTITUTE(SUBSTITUTE(SUBSTITUTE(SUBSTITUTE(SUBSTITUTE(SUBSTITUTE(SUBSTITUTE(SUBSTITUTE(SUBSTITUTE(SUBSTITUTE(SUBSTITUTE(SUBSTITUTE(SUBSTITUTE(SUBSTITUTE(LOWER(AE124&amp;""),CHAR(10),""),CHAR(13),""),CHAR(9),""),CHAR(160),"")," ",""),".",""),"-",""),"/",""),"?",""),"_",""),",",""),"[",""),"]",""),"(",""),")",""),"*","")</f>
        <v/>
      </c>
      <c r="AY124" s="61" t="str">
        <f aca="false">SUBSTITUTE(SUBSTITUTE(SUBSTITUTE(SUBSTITUTE(SUBSTITUTE(SUBSTITUTE(SUBSTITUTE(SUBSTITUTE(SUBSTITUTE(SUBSTITUTE(SUBSTITUTE(SUBSTITUTE(SUBSTITUTE(SUBSTITUTE(SUBSTITUTE(SUBSTITUTE(LOWER(W124&amp;""),CHAR(10),""),CHAR(13),""),CHAR(9),""),CHAR(160),"")," ",""),".",""),"-",""),"/",""),"?",""),"_",""),",",""),"[",""),"]",""),"(",""),")",""),"*","")</f>
        <v/>
      </c>
      <c r="AZ124" s="61" t="str">
        <f aca="false">SUBSTITUTE(SUBSTITUTE(SUBSTITUTE(SUBSTITUTE(SUBSTITUTE(SUBSTITUTE(SUBSTITUTE(SUBSTITUTE(SUBSTITUTE(SUBSTITUTE(SUBSTITUTE(SUBSTITUTE(SUBSTITUTE(SUBSTITUTE(SUBSTITUTE(SUBSTITUTE(LOWER(AC124&amp;""),CHAR(10),""),CHAR(13),""),CHAR(9),""),CHAR(160),"")," ",""),".",""),"-",""),"/",""),"?",""),"_",""),",",""),"[",""),"]",""),"(",""),")",""),"*","")</f>
        <v/>
      </c>
      <c r="BA124" s="61" t="str">
        <f aca="false">SUBSTITUTE(SUBSTITUTE(SUBSTITUTE(SUBSTITUTE(SUBSTITUTE(SUBSTITUTE(SUBSTITUTE(SUBSTITUTE(SUBSTITUTE(SUBSTITUTE(SUBSTITUTE(SUBSTITUTE(SUBSTITUTE(SUBSTITUTE(SUBSTITUTE(SUBSTITUTE(LOWER(AA124&amp;""),CHAR(10),""),CHAR(13),""),CHAR(9),""),CHAR(160),"")," ",""),".",""),"-",""),"/",""),"?",""),"_",""),",",""),"[",""),"]",""),"(",""),")",""),"*","")</f>
        <v/>
      </c>
      <c r="BB124" s="61" t="str">
        <f aca="false">IF(AND(TRIM(U124)="Pass",ISNUMBER(AF124)),IF(AF124&lt;&gt;0,"INVALID – qty variance: use Fail or Pass after CA",""),"")&amp;IF(AND(TRIM(U124)="Pass after CA",ISNUMBER(AF124)),IF(AF124&lt;&gt;0,"INVALID – after the corrective action the actual qty must equal expected (update Actual)",""),"")&amp;IF(AND(TRIM(U124)="Pass",TRIM(AB124)&lt;&gt;"",TRIM(AB124)&lt;&gt;"Closed"),"INVALID – corrective action not closed: use Fail, then Pass after CA","")&amp;IF(AND(LEN(BA124)&gt;=2,ISNA(MATCH(LEFT(BA124,255),L_Placeholder,0)),TRIM(AB124)=""),"INVALID – CA status missing for the recorded corrective action","")&amp;IF(AND(TRIM(U124)="Pass after CA",OR(OR(LEN(BA124)&lt;5,ISNUMBER(MATCH(BA124,L_Placeholder,0))),TRIM(AB124)&lt;&gt;"Closed")),"INVALID – corrective action not recorded/closed","")</f>
        <v/>
      </c>
      <c r="BC124" s="61" t="str">
        <f aca="false">" "&amp;TRIM(SUBSTITUTE(SUBSTITUTE(SUBSTITUTE(SUBSTITUTE(SUBSTITUTE(SUBSTITUTE(SUBSTITUTE(SUBSTITUTE(SUBSTITUTE(SUBSTITUTE(SUBSTITUTE(SUBSTITUTE(SUBSTITUTE(SUBSTITUTE(SUBSTITUTE(SUBSTITUTE(SUBSTITUTE(SUBSTITUTE(SUBSTITUTE(SUBSTITUTE(SUBSTITUTE(SUBSTITUTE(SUBSTITUTE(SUBSTITUTE(LOWER(V124&amp;""),CHAR(10)," "),CHAR(13)," "),CHAR(9)," "),CHAR(160)," "),"."," "),","," "),"-"," "),"/"," "),"("," "),")"," "),":"," "),";"," "),"_"," "),"–"," "),"?"," "),"!"," "),"*"," "),"["," "),"]"," "),"'"," "),"#"," "),"+"," "),"&amp;"," "),"\"," "))&amp;" "</f>
        <v>  </v>
      </c>
      <c r="BD124" s="61" t="str">
        <f aca="false">" "&amp;TRIM(SUBSTITUTE(SUBSTITUTE(SUBSTITUTE(SUBSTITUTE(SUBSTITUTE(SUBSTITUTE(SUBSTITUTE(SUBSTITUTE(SUBSTITUTE(SUBSTITUTE(SUBSTITUTE(SUBSTITUTE(SUBSTITUTE(SUBSTITUTE(SUBSTITUTE(SUBSTITUTE(SUBSTITUTE(SUBSTITUTE(SUBSTITUTE(SUBSTITUTE(SUBSTITUTE(SUBSTITUTE(SUBSTITUTE(SUBSTITUTE(LOWER(Z124&amp;""),CHAR(10)," "),CHAR(13)," "),CHAR(9)," "),CHAR(160)," "),"."," "),","," "),"-"," "),"/"," "),"("," "),")"," "),":"," "),";"," "),"_"," "),"–"," "),"?"," "),"!"," "),"*"," "),"["," "),"]"," "),"'"," "),"#"," "),"+"," "),"&amp;"," "),"\"," "))&amp;" "</f>
        <v>  </v>
      </c>
      <c r="BE124" s="61" t="str">
        <f aca="false">" "&amp;TRIM(SUBSTITUTE(SUBSTITUTE(SUBSTITUTE(SUBSTITUTE(SUBSTITUTE(SUBSTITUTE(SUBSTITUTE(SUBSTITUTE(SUBSTITUTE(SUBSTITUTE(SUBSTITUTE(SUBSTITUTE(SUBSTITUTE(SUBSTITUTE(SUBSTITUTE(SUBSTITUTE(SUBSTITUTE(SUBSTITUTE(SUBSTITUTE(SUBSTITUTE(SUBSTITUTE(SUBSTITUTE(SUBSTITUTE(SUBSTITUTE(LOWER(W124&amp;""),CHAR(10)," "),CHAR(13)," "),CHAR(9)," "),CHAR(160)," "),"."," "),","," "),"-"," "),"/"," "),"("," "),")"," "),":"," "),";"," "),"_"," "),"–"," "),"?"," "),"!"," "),"*"," "),"["," "),"]"," "),"'"," "),"#"," "),"+"," "),"&amp;"," "),"\"," "))&amp;" "</f>
        <v>  </v>
      </c>
      <c r="BF124" s="61" t="str">
        <f aca="false">" "&amp;TRIM(SUBSTITUTE(SUBSTITUTE(SUBSTITUTE(SUBSTITUTE(SUBSTITUTE(SUBSTITUTE(SUBSTITUTE(SUBSTITUTE(SUBSTITUTE(SUBSTITUTE(SUBSTITUTE(SUBSTITUTE(SUBSTITUTE(SUBSTITUTE(SUBSTITUTE(SUBSTITUTE(SUBSTITUTE(SUBSTITUTE(SUBSTITUTE(SUBSTITUTE(SUBSTITUTE(SUBSTITUTE(SUBSTITUTE(SUBSTITUTE(LOWER(AC124&amp;""),CHAR(10)," "),CHAR(13)," "),CHAR(9)," "),CHAR(160)," "),"."," "),","," "),"-"," "),"/"," "),"("," "),")"," "),":"," "),";"," "),"_"," "),"–"," "),"?"," "),"!"," "),"*"," "),"["," "),"]"," "),"'"," "),"#"," "),"+"," "),"&amp;"," "),"\"," "))&amp;" "</f>
        <v>  </v>
      </c>
      <c r="BG124" s="61" t="n">
        <f aca="false">IFERROR(IF(AND(TRIM(U124)="Pass",SUMPRODUCT((LEN(BC124)-LEN(SUBSTITUTE(BC124," "&amp;L_ResultBad&amp;" "," ")))/(LEN(L_ResultBad)+1))&gt;SUMPRODUCT((LEN(BC124)-LEN(SUBSTITUTE(BC124," "&amp;L_NegPhrase&amp;" "," ")))/(LEN(L_NegPhrase)+1))),1,0),0)</f>
        <v>0</v>
      </c>
      <c r="BH124" s="61" t="n">
        <f aca="false">IFERROR(IF(SUMPRODUCT((LEN(BC124)-LEN(SUBSTITUTE(BC124," "&amp;L_Pending&amp;" "," ")))/(LEN(L_Pending)+1))&gt;SUMPRODUCT((LEN(BC124)-LEN(SUBSTITUTE(BC124," "&amp;L_PendNeg&amp;" "," ")))/(LEN(L_PendNeg)+1)),1,0),1)</f>
        <v>0</v>
      </c>
      <c r="BI124" s="61" t="n">
        <f aca="false">IFERROR(IF(SUMPRODUCT((LEN(BD124)-LEN(SUBSTITUTE(BD124," "&amp;L_PendStrict&amp;" "," ")))/(LEN(L_PendStrict)+1))&gt;SUMPRODUCT((LEN(BD124)-LEN(SUBSTITUTE(BD124," "&amp;L_PendNeg&amp;" "," ")))/(LEN(L_PendNeg)+1)),1,0),1)</f>
        <v>0</v>
      </c>
      <c r="BJ124" s="61" t="n">
        <f aca="false">IFERROR(IF(SUMPRODUCT((LEN(BE124)-LEN(SUBSTITUTE(BE124," "&amp;L_Pending&amp;" "," ")))/(LEN(L_Pending)+1))&gt;SUMPRODUCT((LEN(BE124)-LEN(SUBSTITUTE(BE124," "&amp;L_PendNeg&amp;" "," ")))/(LEN(L_PendNeg)+1)),1,0),1)</f>
        <v>0</v>
      </c>
      <c r="BK124" s="61" t="n">
        <f aca="false">IFERROR(IF(SUMPRODUCT((LEN(BF124)-LEN(SUBSTITUTE(BF124," "&amp;L_PendStrict&amp;" "," ")))/(LEN(L_PendStrict)+1))&gt;SUMPRODUCT((LEN(BF124)-LEN(SUBSTITUTE(BF124," "&amp;L_PendNeg&amp;" "," ")))/(LEN(L_PendNeg)+1)),1,0),1)</f>
        <v>0</v>
      </c>
      <c r="BL124" s="61" t="n">
        <f aca="false">IF(ISNA(MATCH(TRIM(S124),L_EvidenceType,0)),0,BZ124)</f>
        <v>0</v>
      </c>
      <c r="BM124" s="61" t="str">
        <f aca="false">SUBSTITUTE(SUBSTITUTE(SUBSTITUTE(SUBSTITUTE(SUBSTITUTE(SUBSTITUTE(SUBSTITUTE(SUBSTITUTE(SUBSTITUTE(LOWER(Z124&amp;""),"1","0"),"2","0"),"3","0"),"4","0"),"5","0"),"6","0"),"7","0"),"8","0"),"9","0")</f>
        <v/>
      </c>
      <c r="BN124" s="61" t="str">
        <f aca="false">SUBSTITUTE(SUBSTITUTE(SUBSTITUTE(SUBSTITUTE(SUBSTITUTE(SUBSTITUTE(SUBSTITUTE(SUBSTITUTE(SUBSTITUTE(SUBSTITUTE(SUBSTITUTE(SUBSTITUTE(SUBSTITUTE(SUBSTITUTE(SUBSTITUTE(SUBSTITUTE(SUBSTITUTE(SUBSTITUTE(SUBSTITUTE(SUBSTITUTE(SUBSTITUTE(SUBSTITUTE(SUBSTITUTE(SUBSTITUTE(SUBSTITUTE(BM124,"b","a"),"c","a"),"d","a"),"e","a"),"f","a"),"g","a"),"h","a"),"i","a"),"j","a"),"k","a"),"l","a"),"m","a"),"n","a"),"o","a"),"p","a"),"q","a"),"r","a"),"s","a"),"t","a"),"u","a"),"v","a"),"w","a"),"x","a"),"y","a"),"z","a")</f>
        <v/>
      </c>
      <c r="BO124" s="61" t="str">
        <f aca="false">SUBSTITUTE(SUBSTITUTE(SUBSTITUTE(SUBSTITUTE(SUBSTITUTE(SUBSTITUTE(SUBSTITUTE(SUBSTITUTE(SUBSTITUTE(LOWER(W124&amp;""),"1","0"),"2","0"),"3","0"),"4","0"),"5","0"),"6","0"),"7","0"),"8","0"),"9","0")</f>
        <v/>
      </c>
      <c r="BP124" s="61" t="str">
        <f aca="false">SUBSTITUTE(SUBSTITUTE(SUBSTITUTE(SUBSTITUTE(SUBSTITUTE(SUBSTITUTE(SUBSTITUTE(SUBSTITUTE(SUBSTITUTE(SUBSTITUTE(SUBSTITUTE(SUBSTITUTE(SUBSTITUTE(SUBSTITUTE(SUBSTITUTE(SUBSTITUTE(SUBSTITUTE(SUBSTITUTE(SUBSTITUTE(SUBSTITUTE(SUBSTITUTE(SUBSTITUTE(SUBSTITUTE(SUBSTITUTE(SUBSTITUTE(BO124,"b","a"),"c","a"),"d","a"),"e","a"),"f","a"),"g","a"),"h","a"),"i","a"),"j","a"),"k","a"),"l","a"),"m","a"),"n","a"),"o","a"),"p","a"),"q","a"),"r","a"),"s","a"),"t","a"),"u","a"),"v","a"),"w","a"),"x","a"),"y","a"),"z","a")</f>
        <v/>
      </c>
      <c r="BQ124" s="61" t="n">
        <f aca="false">IFERROR(IF(AND(ISERROR(SEARCH(" mh"," "&amp;LOWER(W124))),ISNA(MATCH(LEFT(TRIM(BP124),255),{"0000a","000a","00a","0000aa","000aa","00aa","0aa","0000aaa","000aaa","00a00","0a00","0000-0000","00:00","a00","a0","00.00.0000","00/00/0000","00-00-0000","0000-00-00","0000/00/00","0000.00.00","00.00.00","00/00/00","00-00-00","0.00.0000","0/00/0000","0-00-0000"},0)),ISNA(MATCH(LEFT(TRIM(CA124),255),{"0000a","000a","00a","0000aa","000aa","00aa","0aa","0000aaa","000aaa","00a00","0a00","0000-0000","00:00","a00","a0","00.00.0000","00/00/0000","00-00-0000","0000-00-00","0000/00/00","0000.00.00","00.00.00","00/00/00","00-00-00","0.00.0000","0/00/0000","0-00-0000"},0)),LEN(CB124)&gt;=3,NOT(OR(SUBSTITUTE(CB124,"0","")="",AND(LEN(CB124)&gt;=4,CB124=REPT(LEFT(CB124),LEN(CB124))),ISNUMBER(MATCH(CB124,{"123","1234","12345","123456","1234567","12345678","0123","01234","012345","98765","987654","54321"},0)),AND(LEN(CB124)=8,LEFT(CB124,3)="202"))),OR(AND((LEN(CA124)-LEN(SUBSTITUTE(CA124,"a","")))&gt;=1,SUMPRODUCT(--ISNUMBER(SEARCH({"a0","a-0","a_0","a/0","a.0","a#0","0a","0-a","0_a","0/a"},BP124)))&gt;0),ISNUMBER(SEARCH("000000",BP124)))),1,0),0)</f>
        <v>0</v>
      </c>
      <c r="BR124" s="61" t="n">
        <f aca="false">IFERROR(LEN(SUBSTITUTE(CC124," ",""))-SUMPRODUCT((LEN(CC124)-LEN(SUBSTITUTE(CC124," "&amp;L_Role&amp;" "," ")))/(LEN(L_Role)+1)*LEN(L_Role)),0)</f>
        <v>0</v>
      </c>
      <c r="BS124" s="61" t="n">
        <f aca="false">IFERROR(LEN(SUBSTITUTE(CD124," ",""))-SUMPRODUCT((LEN(CD124)-LEN(SUBSTITUTE(CD124," "&amp;L_Role&amp;" "," ")))/(LEN(L_Role)+1)*LEN(L_Role)),0)</f>
        <v>0</v>
      </c>
      <c r="BT1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124,"revision",""),"version",""),"jan",""),"feb",""),"mar",""),"apr",""),"may",""),"jun",""),"jul",""),"aug",""),"sep",""),"oct",""),"nov",""),"dec",""),"utc",""),"gmt",""),"myt",""),"bst",""),"rev",""),"ver",""),"b","a"),"c","a"),"d","a"),"e","a"),"f","a"),"g","a"),"h","a"),"i","a"),"j","a"),"k","a"),"l","a"),"m","a"),"n","a"),"o","a"),"p","a"),"q","a"),"r","a"),"s","a"),"t","a"),"u","a"),"v","a"),"w","a"),"x","a"),"y","a"),"z","a")</f>
        <v/>
      </c>
      <c r="BU124" s="61" t="str">
        <f aca="false">SUBSTITUTE(SUBSTITUTE(SUBSTITUTE(SUBSTITUTE(SUBSTITUTE(SUBSTITUTE(SUBSTITUTE(SUBSTITUTE(SUBSTITUTE(SUBSTITUTE(LEFT(BM124,FIND("0",BM124&amp;"0")-1),"-",""),"_",""),"/",""),".",""),"#",""),"\\",""),":","")," ",""),"(",""),")","")</f>
        <v/>
      </c>
      <c r="BV124" s="61" t="n">
        <f aca="false">IFERROR(IF(OR(SUMPRODUCT((LEN(BC124)-LEN(SUBSTITUTE(BC124," "&amp;L_NotLoaded&amp;" "," ")))/(LEN(L_NotLoaded)+1))&gt;SUMPRODUCT((LEN(BC124)-LEN(SUBSTITUTE(BC124," "&amp;L_NotLoadedNeg&amp;" "," ")))/(LEN(L_NotLoadedNeg)+1)),SUMPRODUCT((LEN(BD124)-LEN(SUBSTITUTE(BD124," "&amp;L_NotLoaded&amp;" "," ")))/(LEN(L_NotLoaded)+1))&gt;SUMPRODUCT((LEN(BD124)-LEN(SUBSTITUTE(BD124," "&amp;L_NotLoadedNeg&amp;" "," ")))/(LEN(L_NotLoadedNeg)+1))),1,0),0)</f>
        <v>0</v>
      </c>
      <c r="BW1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124&amp;""),"a",""),"b",""),"c",""),"d",""),"e",""),"f",""),"g",""),"h",""),"i",""),"j",""),"k",""),"l",""),"m",""),"n",""),"o",""),"p",""),"q",""),"r",""),"s",""),"t",""),"u",""),"v",""),"w",""),"x",""),"y",""),"z",""),"-",""),"_",""),"/",""),".",""),"#",""),"\\",""),":","")," ",""),"(",""),")","")</f>
        <v/>
      </c>
      <c r="BX124" s="61" t="str">
        <f aca="false">SUBSTITUTE(SUBSTITUTE(SUBSTITUTE(SUBSTITUTE(SUBSTITUTE(SUBSTITUTE(SUBSTITUTE(SUBSTITUTE(SUBSTITUTE(SUBSTITUTE(SUBSTITUTE(BM124,"0",""),"-",""),"_",""),"/",""),".",""),"#",""),"\\",""),":","")," ",""),"(",""),")","")</f>
        <v/>
      </c>
      <c r="BY124" s="62" t="n">
        <f aca="false">IF(ISNUMBER(Flights!$AZ$8),MAX(Q124-UpliftWindowH/24,Flights!$AZ$8),Q124-UpliftWindowH/24)</f>
        <v>46305.3958333333</v>
      </c>
      <c r="BZ124" s="61" t="n">
        <f aca="false">IFERROR(IF(IF(TRIM(S124)="Link / file path",AND(LEN(TRIM(Z124))&gt;=5,SUMPRODUCT(--ISNUMBER(SEARCH({"http","www.","\\",":\",".pdf",".jpg",".jpeg",".png",".heic",".xls",".doc",".msg",".eml",".ppt",".txt",".zip"},Z124)))&gt;0),AND(ISERROR(FIND(" ",TRIM(Z124))),NOT(OR(SUMPRODUCT(--ISNUMBER(FIND({",",";","&amp;","+"},Z124)))&gt;0,SUMPRODUCT(--ISNUMBER(SEARCH({"0/aa","0\\aa"},BN124)))&gt;0)),NOT(SUMPRODUCT(--ISNUMBER(SEARCH({"http","www.","\\",":\",".pdf",".jpg",".jpeg",".png",".heic",".xls",".doc",".msg",".eml",".ppt",".txt",".zip"},Z124)))&gt;0),NOT(LOWER(TRIM(Z124))=LOWER(Flights!$F$8)),ISNA(MATCH(BU124,{"mh","rev","revision","ver","version","v","r","a","b","seat","tray","row","gate","bay","stand","page","pg","item","line","no","cart","galley","flight","flt","table","box","bag","oven","etd","eta","std","sta","atd","ata","qty","pax","x","time","tel","ph","mob","day","wk","week","utc","gmt","myt","lt"},0)),NOT(OR(ISNUMBER(MATCH(LEFT(BN124,255),{"0000a","000a","00a","0000aa","000aa","00aa","0aa","0000aaa","000aaa","00a00","0a00","0000-0000","00:00","a00","a0","00.00.0000","00/00/0000","00-00-0000","0000-00-00","0000/00/00","0000.00.00","00.00.00","00/00/00","00-00-00","0.00.0000","0/00/0000","0-00-0000"},0)),ISNUMBER(MATCH(LEFT(BT124,255),{"0000a","000a","00a","0000aa","000aa","00aa","0aa","0000aaa","000aaa","00a00","0a00","0000-0000","00:00","a00","a0","00.00.0000","00/00/0000","00-00-0000","0000-00-00","0000/00/00","0000.00.00","00.00.00","00/00/00","00-00-00","0.00.0000","0/00/0000","0-00-0000"},0)))),NOT(OR(AND(BW124&lt;&gt;"",SUBSTITUTE(BW124,"0","")=""),AND(LEN(BW124)&gt;=4,BW124=REPT(LEFT(BW124),LEN(BW124))),ISNUMBER(MATCH(BW124,{"123","1234","12345","123456","1234567","12345678","0123","01234","012345","98765","987654","54321"},0)),ISNUMBER(MATCH(BX124,{"x","xx","xxx","xxxx","xxxxx","abc","abcd","nil","na","nan","test","tbc","tba","tbd","dummy","sample","example","eg","zz","zzz","none","null","xyz","qwe","asd","id","ref"},0)),AND(LEN(BW124)=8,BX124="",OR(LEFT(BW124,3)="202",ISNUMBER(MATCH(RIGHT(BW124,4),{"2025","2026","2027"},0)))))),OR(AND((LEN(BT124)-LEN(SUBSTITUTE(BT124,"a","")))&gt;=1,(LEN(BN124)-LEN(SUBSTITUTE(BN124,"0","")))&gt;=2,SUMPRODUCT(--ISNUMBER(SEARCH({"a0","a-0","a_0","a/0","a.0","a#0","0a","0-a","0_a","0/a"},BN124)))&gt;0),AND((LEN(BN124)-LEN(SUBSTITUTE(BN124,"a","")))=0,(LEN(BN124)-LEN(SUBSTITUTE(BN124,"0","")))&gt;=5)))),1,0),0)</f>
        <v>0</v>
      </c>
      <c r="CA1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124,"revision",""),"version",""),"jan",""),"feb",""),"mar",""),"apr",""),"may",""),"jun",""),"jul",""),"aug",""),"sep",""),"oct",""),"nov",""),"dec",""),"utc",""),"gmt",""),"myt",""),"bst",""),"rev",""),"ver",""),"b","a"),"c","a"),"d","a"),"e","a"),"f","a"),"g","a"),"h","a"),"i","a"),"j","a"),"k","a"),"l","a"),"m","a"),"n","a"),"o","a"),"p","a"),"q","a"),"r","a"),"s","a"),"t","a"),"u","a"),"v","a"),"w","a"),"x","a"),"y","a"),"z","a")</f>
        <v/>
      </c>
      <c r="CB1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124&amp;""),"a",""),"b",""),"c",""),"d",""),"e",""),"f",""),"g",""),"h",""),"i",""),"j",""),"k",""),"l",""),"m",""),"n",""),"o",""),"p",""),"q",""),"r",""),"s",""),"t",""),"u",""),"v",""),"w",""),"x",""),"y",""),"z",""),"-",""),"_",""),"/",""),".",""),"#",""),"\\",""),":","")," ",""),"(",""),")","")</f>
        <v/>
      </c>
      <c r="CC124" s="0" t="str">
        <f aca="false">" "&amp;TRIM(SUBSTITUTE(SUBSTITUTE(SUBSTITUTE(SUBSTITUTE(SUBSTITUTE(SUBSTITUTE(SUBSTITUTE(SUBSTITUTE(SUBSTITUTE(SUBSTITUTE(SUBSTITUTE(SUBSTITUTE(SUBSTITUTE(SUBSTITUTE(SUBSTITUTE(SUBSTITUTE(SUBSTITUTE(SUBSTITUTE(SUBSTITUTE(SUBSTITUTE(SUBSTITUTE(SUBSTITUTE(SUBSTITUTE(SUBSTITUTE(LOWER(T124&amp;""),CHAR(10)," "),CHAR(13)," "),CHAR(9)," "),CHAR(160)," "),"."," "),","," "),"-"," "),"/"," "),"("," "),")"," "),":"," "),";"," "),"_"," "),"–"," "),"?"," "),"!"," "),"*"," "),"["," "),"]"," "),"'"," "),"#"," "),"+"," "),"&amp;"," "),"\"," "))&amp;" "</f>
        <v>  </v>
      </c>
      <c r="CD124" s="0" t="str">
        <f aca="false">" "&amp;TRIM(SUBSTITUTE(SUBSTITUTE(SUBSTITUTE(SUBSTITUTE(SUBSTITUTE(SUBSTITUTE(SUBSTITUTE(SUBSTITUTE(SUBSTITUTE(SUBSTITUTE(SUBSTITUTE(SUBSTITUTE(SUBSTITUTE(SUBSTITUTE(SUBSTITUTE(SUBSTITUTE(SUBSTITUTE(SUBSTITUTE(SUBSTITUTE(SUBSTITUTE(SUBSTITUTE(SUBSTITUTE(SUBSTITUTE(SUBSTITUTE(LOWER(AE124&amp;""),CHAR(10)," "),CHAR(13)," "),CHAR(9)," "),CHAR(160)," "),"."," "),","," "),"-"," "),"/"," "),"("," "),")"," "),":"," "),";"," "),"_"," "),"–"," "),"?"," "),"!"," "),"*"," "),"["," "),"]"," "),"'"," "),"#"," "),"+"," "),"&amp;"," "),"\"," "))&amp;" "</f>
        <v>  </v>
      </c>
      <c r="CE124" s="68" t="n">
        <f aca="false">IFERROR(IF(AND(LEN(AU124)&gt;0,LEN(AU124)=LEN(AX124),OR(TRIM(MID(SUBSTITUTE(TRIM(CC124)," ",REPT(" ",60)),1,60))="",ISNUMBER(SEARCH(" "&amp;TRIM(MID(SUBSTITUTE(TRIM(CC124)," ",REPT(" ",60)),1,60))&amp;" ",CD124))),OR(TRIM(MID(SUBSTITUTE(TRIM(CC124)," ",REPT(" ",60)),61,60))="",ISNUMBER(SEARCH(" "&amp;TRIM(MID(SUBSTITUTE(TRIM(CC124)," ",REPT(" ",60)),61,60))&amp;" ",CD124))),OR(TRIM(MID(SUBSTITUTE(TRIM(CC124)," ",REPT(" ",60)),121,60))="",ISNUMBER(SEARCH(" "&amp;TRIM(MID(SUBSTITUTE(TRIM(CC124)," ",REPT(" ",60)),121,60))&amp;" ",CD124)))),1,0),0)</f>
        <v>0</v>
      </c>
      <c r="CG124" s="68" t="n">
        <f aca="false">IFERROR(LEN(SUBSTITUTE(BF124," ",""))-SUMPRODUCT((LEN(BF124)-LEN(SUBSTITUTE(BF124," "&amp;L_NAFiller&amp;" "," ")))/(LEN(L_NAFiller)+1)*LEN(L_NAFiller)),0)</f>
        <v>0</v>
      </c>
    </row>
    <row r="125" customFormat="false" ht="39.75" hidden="false" customHeight="true" outlineLevel="0" collapsed="false">
      <c r="A125" s="57" t="s">
        <v>644</v>
      </c>
      <c r="B125" s="57" t="s">
        <v>218</v>
      </c>
      <c r="C125" s="57" t="str">
        <f aca="false">Flights!$F$8</f>
        <v>MH0088</v>
      </c>
      <c r="D125" s="58" t="n">
        <f aca="false">Flights!$D$8</f>
        <v>46305</v>
      </c>
      <c r="E125" s="57" t="str">
        <f aca="false">Flights!$G$8&amp;"-"&amp;Flights!$H$8</f>
        <v>KUL-NRT</v>
      </c>
      <c r="F125" s="57" t="str">
        <f aca="false">Flights!$K$8</f>
        <v>BC</v>
      </c>
      <c r="G125" s="57" t="s">
        <v>459</v>
      </c>
      <c r="H125" s="57" t="s">
        <v>460</v>
      </c>
      <c r="I125" s="57" t="s">
        <v>499</v>
      </c>
      <c r="J125" s="57" t="s">
        <v>537</v>
      </c>
      <c r="K125" s="67" t="s">
        <v>501</v>
      </c>
      <c r="L125" s="67" t="s">
        <v>606</v>
      </c>
      <c r="M125" s="67" t="s">
        <v>451</v>
      </c>
      <c r="N125" s="67" t="s">
        <v>383</v>
      </c>
      <c r="O125" s="67"/>
      <c r="P125" s="57" t="s">
        <v>187</v>
      </c>
      <c r="Q125" s="59" t="n">
        <f aca="false">ROUND((Flights!$AF$8)*1440,0)/1440</f>
        <v>46305.6458333333</v>
      </c>
      <c r="R125" s="59" t="n">
        <f aca="false">Q125+(IF(AND(INDEX(TZ_DSTS,MATCH(P125,TZ_STN,0))&lt;&gt;"",Q125&gt;=INDEX(TZ_DSTS,MATCH(P125,TZ_STN,0)),Q125&lt;INDEX(TZ_DSTE,MATCH(P125,TZ_STN,0))),INDEX(TZ_DST,MATCH(P125,TZ_STN,0)),INDEX(TZ_STD,MATCH(P125,TZ_STN,0))))/24</f>
        <v>46305.9791666667</v>
      </c>
      <c r="S125" s="60"/>
      <c r="T125" s="60"/>
      <c r="U125" s="60"/>
      <c r="V125" s="60"/>
      <c r="W125" s="61"/>
      <c r="X125" s="60"/>
      <c r="Y125" s="60"/>
      <c r="Z125" s="60"/>
      <c r="AA125" s="60"/>
      <c r="AB125" s="60"/>
      <c r="AC125" s="60"/>
      <c r="AD125" s="66"/>
      <c r="AE125" s="60"/>
      <c r="AF125" s="61" t="str">
        <f aca="false">IF(AND(ISNUMBER(X125),ISNUMBER(Y125)),Y125-X125,"")</f>
        <v/>
      </c>
      <c r="AG125" s="62" t="str">
        <f aca="false">IF(ISNUMBER(AD125),AD125-(IF(AND(INDEX(TZ_DSTS,MATCH(P125,TZ_STN,0))&lt;&gt;"",(AD125-INDEX(TZ_STD,MATCH(P125,TZ_STN,0))/24)&gt;=INDEX(TZ_DSTS,MATCH(P125,TZ_STN,0)),(AD125-INDEX(TZ_STD,MATCH(P125,TZ_STN,0))/24)&lt;INDEX(TZ_DSTE,MATCH(P125,TZ_STN,0))),INDEX(TZ_DST,MATCH(P125,TZ_STN,0)),INDEX(TZ_STD,MATCH(P125,TZ_STN,0))))/24,"")</f>
        <v/>
      </c>
      <c r="AH125" s="65" t="str">
        <f aca="false">IFERROR(IF(N125="N/A – rule",IF(OR(TRIM(U125)="",TRIM(U125)="N/A",TRIM(U125)="Not started"),"N/A – RULE","INVALID – this check does not apply to this aircraft: clear the status (or correct the fleet on Flights)"),IF(TRIM(U125)="N/A",IF(AT125=0,"INVALID – N/A not permitted for this check",IF(AND(TRIM(AB125)&lt;&gt;"",TRIM(AB125)&lt;&gt;"Closed"),"INVALID – corrective action still open",IF(AND(NOT(OR(LEN(AZ125)&lt;15,ISNUMBER(MATCH(AZ125,L_Placeholder,0)))),BK125=0,CG125&gt;=8,NOT(OR(LEN(AU125)&lt;2,ISNUMBER(MATCH(AU125,L_Placeholder,0)))),BR125&gt;=3,NOT(OR(LEN(AX125)&lt;2,ISNUMBER(MATCH(AX125,L_Placeholder,0)))),BS125&gt;=3,TRIM(AE125)&lt;&gt;TRIM(T125),AX125&lt;&gt;AU125,CE125=0),"N/A – JUSTIFIED","INVALID – N/A needs a real, settled reason (not 'not applicable' / 'as above' / TBC), a named PIC and a different named verifier"))),IF(OR(TRIM(U125)="Pass",TRIM(U125)="Pass after CA"),IF(NOT(ISNUMBER(AD125)),"INVALID – completion time missing",IF(OR(OR(LEN(AU125)&lt;2,ISNUMBER(MATCH(AU125,L_Placeholder,0))),BR125&lt;3),"INVALID – PIC missing or not a named person (a role such as QA / CSM is not a name)",IF(OR(LEN(AV125)&lt;2,ISNUMBER(MATCH(AV125,L_Placeholder,0))),"INVALID – result / assessment missing",IF(OR(OR(LEN(AW125)&lt;3,ISNUMBER(MATCH(AW125,L_Placeholder,0))),SUMPRODUCT(--ISNUMBER(SEARCH(" "&amp;L_EvidencePhrase&amp;" ",BD125)))&gt;0,BI125=1),"INVALID – evidence missing, placeholder or not yet on file",IF(ISNA(MATCH(TRIM(S125),L_EvidenceType,0)),"INVALID – choose the evidence type from the list (column S)",IF(BL125=0,"INVALID – evidence ID must be the record's own ID only (e.g. SF-2210, IMG_2231, 1045521); a link / file name needs type 'Link / file path'",IF(OR(OR(LEN(AX125)&lt;2,ISNUMBER(MATCH(AX125,L_Placeholder,0))),BS125&lt;3),"INVALID – verifier missing or not a named person (a role such as QA / CSM is not a name)",IF(OR(AX125=AU125,CE125=1,AND(LEN(AU125)&gt;=4,ISNUMBER(SEARCH(AU125,AX125))),AND(LEN(AX125)&gt;=4,ISNUMBER(SEARCH(AX125,AU125)))),"INVALID – verifier must be a different, named person (not the PIC or a role)",IF(BH125=1,"INVALID – result not yet available (awaiting / TBC)",IF(BG125=1,"INVALID – result describes a problem: record Fail, then Pass after CA (or reword if it is not a problem)",IF(BV125=1,"INVALID – wording says not on board: an on-board confirmation needs the item loaded",IF(AND(AQ125=1,OR(OR(LEN(AY125)&lt;3,ISNUMBER(MATCH(AY125,L_Placeholder,0))),BJ125=1,BQ125=0)),"INVALID – batch ID missing, placeholder or not an ID (e.g. PASB-261008-BC-017)",IF(AND(AR125=1,OR(NOT(ISNUMBER(X125)),NOT(ISNUMBER(Y125)))),"INVALID – expected/actual qty missing",IF(AND(AR125=1,OR(X125&lt;=0,Y125&lt;0)),"INVALID – expected qty must be above 0 and actual not negative",IF(AH109="N/A – JUSTIFIED","INVALID – preparation row F04-T12-10 is N/A",IF(AND(AR125=1,ISNUMBER(X109),X125&lt;&gt;X109,TRIM(U125)&lt;&gt;"Pass after CA"),"INVALID – expected qty differs from preparation check F04-T12-10: record the load change as a corrective action (Pass after CA)",IF(BB125&lt;&gt;"",BB125,IF(AND(AS125=1,Documents!$J$8&lt;&gt;"ON FILE"),"INVALID – GLD not on file (Documents sheet)",IF(AND(AS125=2,Documents!$O$8&lt;&gt;"ON FILE"),"INVALID – menu checklist not on file (Documents sheet)",IF(AND(AS125=3,NOT(ISNUMBER(Flights!$AX$8))),"INVALID – enter carrying flight KUL departure (Flights AX)",IF(AND(AS125=3,OR(Flights!$AZ$8&gt;Flights!$AA$8,Flights!$AX$8&lt;Flights!$AA$8-3)),"INVALID – carrying flight (Flights AX) cannot arrive before this leg's STD, or is over 3 days early",IF(AG125&gt;AsOfUTC,"INVALID – completion time is in the future",IF(AND(ISNUMBER(BY125),AG125&lt;BY125),IF(H125="Physical uplift","INVALID – before uplift window (cannot confirm loading)","INVALID – before valid window"),IF(AG125&gt;Flights!$AA$8,"INVALID – completed after departure (cannot establish readiness)",IF(AND(H125="Preparation",AG125&gt;=IF(ISNUMBER(Flights!$BA$8),MIN(Flights!$BA$8,Flights!$AA$8),Flights!$AA$8)),"INVALID – completed after loading / departure (cannot establish readiness)",IF(AND(H125="Physical uplift",AG125&gt;Q125),"INVALID – recorded after the loading flight departed",IF(AG125&gt;Q125,"COMPLETE – LATE","COMPLETE"))))))))))))))))))))))))))),IF(TRIM(U125)="Fail","FAIL – DISCREPANCY",IF(AND(TRIM(U125)&lt;&gt;"",TRIM(U125)&lt;&gt;"Not started",TRIM(U125)&lt;&gt;"In progress"),"INVALID – unrecognised status (use the list)",IF(AsOfUTC&gt;Q125,"OVERDUE",IF(N125="Clarification required","OPEN – CLARIFICATION","OPEN"))))))),"INVALID – error value in an input cell")</f>
        <v>OPEN</v>
      </c>
      <c r="AI125" s="61" t="n">
        <f aca="false">IF(OR(AH125="N/A – RULE",AH125="N/A – JUSTIFIED"),0,1)</f>
        <v>1</v>
      </c>
      <c r="AJ125" s="61" t="n">
        <f aca="false">IF(LEFT(AH125,8)="COMPLETE",1,0)</f>
        <v>0</v>
      </c>
      <c r="AK125" s="61" t="n">
        <f aca="false">IF(AND(AI125=1,AJ125=0,AsOfUTC&gt;Q125),1,0)</f>
        <v>0</v>
      </c>
      <c r="AL125" s="61" t="n">
        <f aca="false">IFERROR(IF(AND(AI125=1,OR(TRIM(U125)="Fail",AND(TRIM(AB125)&lt;&gt;"",TRIM(AB125)&lt;&gt;"Closed"),AND(ISNUMBER(AF125),AF125&lt;&gt;0,TRIM(U125)&lt;&gt;"Pass after CA"))),1,0),1)</f>
        <v>0</v>
      </c>
      <c r="AM125" s="61" t="n">
        <f aca="false">IF(LEFT(AH125,7)="INVALID",1,0)</f>
        <v>0</v>
      </c>
      <c r="AN125" s="61" t="n">
        <f aca="false">IF(AND(N125="Clarification required",AI125=1,AJ125=0),1,0)</f>
        <v>0</v>
      </c>
      <c r="AO125" s="61" t="str">
        <f aca="false">IF(AK125=1,SUM(AK$5:AK125),"")</f>
        <v/>
      </c>
      <c r="AP125" s="61" t="str">
        <f aca="false">IF(AL125=1,SUM(AL$5:AL125),"")</f>
        <v/>
      </c>
      <c r="AQ125" s="61" t="n">
        <v>0</v>
      </c>
      <c r="AR125" s="61" t="n">
        <v>0</v>
      </c>
      <c r="AS125" s="61" t="n">
        <v>0</v>
      </c>
      <c r="AT125" s="61" t="n">
        <v>0</v>
      </c>
      <c r="AU125" s="61" t="str">
        <f aca="false">SUBSTITUTE(SUBSTITUTE(SUBSTITUTE(SUBSTITUTE(SUBSTITUTE(SUBSTITUTE(SUBSTITUTE(SUBSTITUTE(SUBSTITUTE(SUBSTITUTE(SUBSTITUTE(SUBSTITUTE(SUBSTITUTE(SUBSTITUTE(SUBSTITUTE(SUBSTITUTE(LOWER(T125&amp;""),CHAR(10),""),CHAR(13),""),CHAR(9),""),CHAR(160),"")," ",""),".",""),"-",""),"/",""),"?",""),"_",""),",",""),"[",""),"]",""),"(",""),")",""),"*","")</f>
        <v/>
      </c>
      <c r="AV125" s="61" t="str">
        <f aca="false">SUBSTITUTE(SUBSTITUTE(SUBSTITUTE(SUBSTITUTE(SUBSTITUTE(SUBSTITUTE(SUBSTITUTE(SUBSTITUTE(SUBSTITUTE(SUBSTITUTE(SUBSTITUTE(SUBSTITUTE(SUBSTITUTE(SUBSTITUTE(SUBSTITUTE(SUBSTITUTE(LOWER(V125&amp;""),CHAR(10),""),CHAR(13),""),CHAR(9),""),CHAR(160),"")," ",""),".",""),"-",""),"/",""),"?",""),"_",""),",",""),"[",""),"]",""),"(",""),")",""),"*","")</f>
        <v/>
      </c>
      <c r="AW125" s="61" t="str">
        <f aca="false">SUBSTITUTE(SUBSTITUTE(SUBSTITUTE(SUBSTITUTE(SUBSTITUTE(SUBSTITUTE(SUBSTITUTE(SUBSTITUTE(SUBSTITUTE(SUBSTITUTE(SUBSTITUTE(SUBSTITUTE(SUBSTITUTE(SUBSTITUTE(SUBSTITUTE(SUBSTITUTE(LOWER(Z125&amp;""),CHAR(10),""),CHAR(13),""),CHAR(9),""),CHAR(160),"")," ",""),".",""),"-",""),"/",""),"?",""),"_",""),",",""),"[",""),"]",""),"(",""),")",""),"*","")</f>
        <v/>
      </c>
      <c r="AX125" s="61" t="str">
        <f aca="false">SUBSTITUTE(SUBSTITUTE(SUBSTITUTE(SUBSTITUTE(SUBSTITUTE(SUBSTITUTE(SUBSTITUTE(SUBSTITUTE(SUBSTITUTE(SUBSTITUTE(SUBSTITUTE(SUBSTITUTE(SUBSTITUTE(SUBSTITUTE(SUBSTITUTE(SUBSTITUTE(LOWER(AE125&amp;""),CHAR(10),""),CHAR(13),""),CHAR(9),""),CHAR(160),"")," ",""),".",""),"-",""),"/",""),"?",""),"_",""),",",""),"[",""),"]",""),"(",""),")",""),"*","")</f>
        <v/>
      </c>
      <c r="AY125" s="61" t="str">
        <f aca="false">SUBSTITUTE(SUBSTITUTE(SUBSTITUTE(SUBSTITUTE(SUBSTITUTE(SUBSTITUTE(SUBSTITUTE(SUBSTITUTE(SUBSTITUTE(SUBSTITUTE(SUBSTITUTE(SUBSTITUTE(SUBSTITUTE(SUBSTITUTE(SUBSTITUTE(SUBSTITUTE(LOWER(W125&amp;""),CHAR(10),""),CHAR(13),""),CHAR(9),""),CHAR(160),"")," ",""),".",""),"-",""),"/",""),"?",""),"_",""),",",""),"[",""),"]",""),"(",""),")",""),"*","")</f>
        <v/>
      </c>
      <c r="AZ125" s="61" t="str">
        <f aca="false">SUBSTITUTE(SUBSTITUTE(SUBSTITUTE(SUBSTITUTE(SUBSTITUTE(SUBSTITUTE(SUBSTITUTE(SUBSTITUTE(SUBSTITUTE(SUBSTITUTE(SUBSTITUTE(SUBSTITUTE(SUBSTITUTE(SUBSTITUTE(SUBSTITUTE(SUBSTITUTE(LOWER(AC125&amp;""),CHAR(10),""),CHAR(13),""),CHAR(9),""),CHAR(160),"")," ",""),".",""),"-",""),"/",""),"?",""),"_",""),",",""),"[",""),"]",""),"(",""),")",""),"*","")</f>
        <v/>
      </c>
      <c r="BA125" s="61" t="str">
        <f aca="false">SUBSTITUTE(SUBSTITUTE(SUBSTITUTE(SUBSTITUTE(SUBSTITUTE(SUBSTITUTE(SUBSTITUTE(SUBSTITUTE(SUBSTITUTE(SUBSTITUTE(SUBSTITUTE(SUBSTITUTE(SUBSTITUTE(SUBSTITUTE(SUBSTITUTE(SUBSTITUTE(LOWER(AA125&amp;""),CHAR(10),""),CHAR(13),""),CHAR(9),""),CHAR(160),"")," ",""),".",""),"-",""),"/",""),"?",""),"_",""),",",""),"[",""),"]",""),"(",""),")",""),"*","")</f>
        <v/>
      </c>
      <c r="BB125" s="61" t="str">
        <f aca="false">IF(AND(TRIM(U125)="Pass",ISNUMBER(AF125)),IF(AF125&lt;&gt;0,"INVALID – qty variance: use Fail or Pass after CA",""),"")&amp;IF(AND(TRIM(U125)="Pass after CA",ISNUMBER(AF125)),IF(AF125&lt;&gt;0,"INVALID – after the corrective action the actual qty must equal expected (update Actual)",""),"")&amp;IF(AND(TRIM(U125)="Pass",TRIM(AB125)&lt;&gt;"",TRIM(AB125)&lt;&gt;"Closed"),"INVALID – corrective action not closed: use Fail, then Pass after CA","")&amp;IF(AND(LEN(BA125)&gt;=2,ISNA(MATCH(LEFT(BA125,255),L_Placeholder,0)),TRIM(AB125)=""),"INVALID – CA status missing for the recorded corrective action","")&amp;IF(AND(TRIM(U125)="Pass after CA",OR(OR(LEN(BA125)&lt;5,ISNUMBER(MATCH(BA125,L_Placeholder,0))),TRIM(AB125)&lt;&gt;"Closed")),"INVALID – corrective action not recorded/closed","")</f>
        <v/>
      </c>
      <c r="BC125" s="61" t="str">
        <f aca="false">" "&amp;TRIM(SUBSTITUTE(SUBSTITUTE(SUBSTITUTE(SUBSTITUTE(SUBSTITUTE(SUBSTITUTE(SUBSTITUTE(SUBSTITUTE(SUBSTITUTE(SUBSTITUTE(SUBSTITUTE(SUBSTITUTE(SUBSTITUTE(SUBSTITUTE(SUBSTITUTE(SUBSTITUTE(SUBSTITUTE(SUBSTITUTE(SUBSTITUTE(SUBSTITUTE(SUBSTITUTE(SUBSTITUTE(SUBSTITUTE(SUBSTITUTE(LOWER(V125&amp;""),CHAR(10)," "),CHAR(13)," "),CHAR(9)," "),CHAR(160)," "),"."," "),","," "),"-"," "),"/"," "),"("," "),")"," "),":"," "),";"," "),"_"," "),"–"," "),"?"," "),"!"," "),"*"," "),"["," "),"]"," "),"'"," "),"#"," "),"+"," "),"&amp;"," "),"\"," "))&amp;" "</f>
        <v>  </v>
      </c>
      <c r="BD125" s="61" t="str">
        <f aca="false">" "&amp;TRIM(SUBSTITUTE(SUBSTITUTE(SUBSTITUTE(SUBSTITUTE(SUBSTITUTE(SUBSTITUTE(SUBSTITUTE(SUBSTITUTE(SUBSTITUTE(SUBSTITUTE(SUBSTITUTE(SUBSTITUTE(SUBSTITUTE(SUBSTITUTE(SUBSTITUTE(SUBSTITUTE(SUBSTITUTE(SUBSTITUTE(SUBSTITUTE(SUBSTITUTE(SUBSTITUTE(SUBSTITUTE(SUBSTITUTE(SUBSTITUTE(LOWER(Z125&amp;""),CHAR(10)," "),CHAR(13)," "),CHAR(9)," "),CHAR(160)," "),"."," "),","," "),"-"," "),"/"," "),"("," "),")"," "),":"," "),";"," "),"_"," "),"–"," "),"?"," "),"!"," "),"*"," "),"["," "),"]"," "),"'"," "),"#"," "),"+"," "),"&amp;"," "),"\"," "))&amp;" "</f>
        <v>  </v>
      </c>
      <c r="BE125" s="61" t="str">
        <f aca="false">" "&amp;TRIM(SUBSTITUTE(SUBSTITUTE(SUBSTITUTE(SUBSTITUTE(SUBSTITUTE(SUBSTITUTE(SUBSTITUTE(SUBSTITUTE(SUBSTITUTE(SUBSTITUTE(SUBSTITUTE(SUBSTITUTE(SUBSTITUTE(SUBSTITUTE(SUBSTITUTE(SUBSTITUTE(SUBSTITUTE(SUBSTITUTE(SUBSTITUTE(SUBSTITUTE(SUBSTITUTE(SUBSTITUTE(SUBSTITUTE(SUBSTITUTE(LOWER(W125&amp;""),CHAR(10)," "),CHAR(13)," "),CHAR(9)," "),CHAR(160)," "),"."," "),","," "),"-"," "),"/"," "),"("," "),")"," "),":"," "),";"," "),"_"," "),"–"," "),"?"," "),"!"," "),"*"," "),"["," "),"]"," "),"'"," "),"#"," "),"+"," "),"&amp;"," "),"\"," "))&amp;" "</f>
        <v>  </v>
      </c>
      <c r="BF125" s="61" t="str">
        <f aca="false">" "&amp;TRIM(SUBSTITUTE(SUBSTITUTE(SUBSTITUTE(SUBSTITUTE(SUBSTITUTE(SUBSTITUTE(SUBSTITUTE(SUBSTITUTE(SUBSTITUTE(SUBSTITUTE(SUBSTITUTE(SUBSTITUTE(SUBSTITUTE(SUBSTITUTE(SUBSTITUTE(SUBSTITUTE(SUBSTITUTE(SUBSTITUTE(SUBSTITUTE(SUBSTITUTE(SUBSTITUTE(SUBSTITUTE(SUBSTITUTE(SUBSTITUTE(LOWER(AC125&amp;""),CHAR(10)," "),CHAR(13)," "),CHAR(9)," "),CHAR(160)," "),"."," "),","," "),"-"," "),"/"," "),"("," "),")"," "),":"," "),";"," "),"_"," "),"–"," "),"?"," "),"!"," "),"*"," "),"["," "),"]"," "),"'"," "),"#"," "),"+"," "),"&amp;"," "),"\"," "))&amp;" "</f>
        <v>  </v>
      </c>
      <c r="BG125" s="61" t="n">
        <f aca="false">IFERROR(IF(AND(TRIM(U125)="Pass",SUMPRODUCT((LEN(BC125)-LEN(SUBSTITUTE(BC125," "&amp;L_ResultBad&amp;" "," ")))/(LEN(L_ResultBad)+1))&gt;SUMPRODUCT((LEN(BC125)-LEN(SUBSTITUTE(BC125," "&amp;L_NegPhrase&amp;" "," ")))/(LEN(L_NegPhrase)+1))),1,0),0)</f>
        <v>0</v>
      </c>
      <c r="BH125" s="61" t="n">
        <f aca="false">IFERROR(IF(SUMPRODUCT((LEN(BC125)-LEN(SUBSTITUTE(BC125," "&amp;L_Pending&amp;" "," ")))/(LEN(L_Pending)+1))&gt;SUMPRODUCT((LEN(BC125)-LEN(SUBSTITUTE(BC125," "&amp;L_PendNeg&amp;" "," ")))/(LEN(L_PendNeg)+1)),1,0),1)</f>
        <v>0</v>
      </c>
      <c r="BI125" s="61" t="n">
        <f aca="false">IFERROR(IF(SUMPRODUCT((LEN(BD125)-LEN(SUBSTITUTE(BD125," "&amp;L_PendStrict&amp;" "," ")))/(LEN(L_PendStrict)+1))&gt;SUMPRODUCT((LEN(BD125)-LEN(SUBSTITUTE(BD125," "&amp;L_PendNeg&amp;" "," ")))/(LEN(L_PendNeg)+1)),1,0),1)</f>
        <v>0</v>
      </c>
      <c r="BJ125" s="61" t="n">
        <f aca="false">IFERROR(IF(SUMPRODUCT((LEN(BE125)-LEN(SUBSTITUTE(BE125," "&amp;L_Pending&amp;" "," ")))/(LEN(L_Pending)+1))&gt;SUMPRODUCT((LEN(BE125)-LEN(SUBSTITUTE(BE125," "&amp;L_PendNeg&amp;" "," ")))/(LEN(L_PendNeg)+1)),1,0),1)</f>
        <v>0</v>
      </c>
      <c r="BK125" s="61" t="n">
        <f aca="false">IFERROR(IF(SUMPRODUCT((LEN(BF125)-LEN(SUBSTITUTE(BF125," "&amp;L_PendStrict&amp;" "," ")))/(LEN(L_PendStrict)+1))&gt;SUMPRODUCT((LEN(BF125)-LEN(SUBSTITUTE(BF125," "&amp;L_PendNeg&amp;" "," ")))/(LEN(L_PendNeg)+1)),1,0),1)</f>
        <v>0</v>
      </c>
      <c r="BL125" s="61" t="n">
        <f aca="false">IF(ISNA(MATCH(TRIM(S125),L_EvidenceType,0)),0,BZ125)</f>
        <v>0</v>
      </c>
      <c r="BM125" s="61" t="str">
        <f aca="false">SUBSTITUTE(SUBSTITUTE(SUBSTITUTE(SUBSTITUTE(SUBSTITUTE(SUBSTITUTE(SUBSTITUTE(SUBSTITUTE(SUBSTITUTE(LOWER(Z125&amp;""),"1","0"),"2","0"),"3","0"),"4","0"),"5","0"),"6","0"),"7","0"),"8","0"),"9","0")</f>
        <v/>
      </c>
      <c r="BN125" s="61" t="str">
        <f aca="false">SUBSTITUTE(SUBSTITUTE(SUBSTITUTE(SUBSTITUTE(SUBSTITUTE(SUBSTITUTE(SUBSTITUTE(SUBSTITUTE(SUBSTITUTE(SUBSTITUTE(SUBSTITUTE(SUBSTITUTE(SUBSTITUTE(SUBSTITUTE(SUBSTITUTE(SUBSTITUTE(SUBSTITUTE(SUBSTITUTE(SUBSTITUTE(SUBSTITUTE(SUBSTITUTE(SUBSTITUTE(SUBSTITUTE(SUBSTITUTE(SUBSTITUTE(BM125,"b","a"),"c","a"),"d","a"),"e","a"),"f","a"),"g","a"),"h","a"),"i","a"),"j","a"),"k","a"),"l","a"),"m","a"),"n","a"),"o","a"),"p","a"),"q","a"),"r","a"),"s","a"),"t","a"),"u","a"),"v","a"),"w","a"),"x","a"),"y","a"),"z","a")</f>
        <v/>
      </c>
      <c r="BO125" s="61" t="str">
        <f aca="false">SUBSTITUTE(SUBSTITUTE(SUBSTITUTE(SUBSTITUTE(SUBSTITUTE(SUBSTITUTE(SUBSTITUTE(SUBSTITUTE(SUBSTITUTE(LOWER(W125&amp;""),"1","0"),"2","0"),"3","0"),"4","0"),"5","0"),"6","0"),"7","0"),"8","0"),"9","0")</f>
        <v/>
      </c>
      <c r="BP125" s="61" t="str">
        <f aca="false">SUBSTITUTE(SUBSTITUTE(SUBSTITUTE(SUBSTITUTE(SUBSTITUTE(SUBSTITUTE(SUBSTITUTE(SUBSTITUTE(SUBSTITUTE(SUBSTITUTE(SUBSTITUTE(SUBSTITUTE(SUBSTITUTE(SUBSTITUTE(SUBSTITUTE(SUBSTITUTE(SUBSTITUTE(SUBSTITUTE(SUBSTITUTE(SUBSTITUTE(SUBSTITUTE(SUBSTITUTE(SUBSTITUTE(SUBSTITUTE(SUBSTITUTE(BO125,"b","a"),"c","a"),"d","a"),"e","a"),"f","a"),"g","a"),"h","a"),"i","a"),"j","a"),"k","a"),"l","a"),"m","a"),"n","a"),"o","a"),"p","a"),"q","a"),"r","a"),"s","a"),"t","a"),"u","a"),"v","a"),"w","a"),"x","a"),"y","a"),"z","a")</f>
        <v/>
      </c>
      <c r="BQ125" s="61" t="n">
        <f aca="false">IFERROR(IF(AND(ISERROR(SEARCH(" mh"," "&amp;LOWER(W125))),ISNA(MATCH(LEFT(TRIM(BP125),255),{"0000a","000a","00a","0000aa","000aa","00aa","0aa","0000aaa","000aaa","00a00","0a00","0000-0000","00:00","a00","a0","00.00.0000","00/00/0000","00-00-0000","0000-00-00","0000/00/00","0000.00.00","00.00.00","00/00/00","00-00-00","0.00.0000","0/00/0000","0-00-0000"},0)),ISNA(MATCH(LEFT(TRIM(CA125),255),{"0000a","000a","00a","0000aa","000aa","00aa","0aa","0000aaa","000aaa","00a00","0a00","0000-0000","00:00","a00","a0","00.00.0000","00/00/0000","00-00-0000","0000-00-00","0000/00/00","0000.00.00","00.00.00","00/00/00","00-00-00","0.00.0000","0/00/0000","0-00-0000"},0)),LEN(CB125)&gt;=3,NOT(OR(SUBSTITUTE(CB125,"0","")="",AND(LEN(CB125)&gt;=4,CB125=REPT(LEFT(CB125),LEN(CB125))),ISNUMBER(MATCH(CB125,{"123","1234","12345","123456","1234567","12345678","0123","01234","012345","98765","987654","54321"},0)),AND(LEN(CB125)=8,LEFT(CB125,3)="202"))),OR(AND((LEN(CA125)-LEN(SUBSTITUTE(CA125,"a","")))&gt;=1,SUMPRODUCT(--ISNUMBER(SEARCH({"a0","a-0","a_0","a/0","a.0","a#0","0a","0-a","0_a","0/a"},BP125)))&gt;0),ISNUMBER(SEARCH("000000",BP125)))),1,0),0)</f>
        <v>0</v>
      </c>
      <c r="BR125" s="61" t="n">
        <f aca="false">IFERROR(LEN(SUBSTITUTE(CC125," ",""))-SUMPRODUCT((LEN(CC125)-LEN(SUBSTITUTE(CC125," "&amp;L_Role&amp;" "," ")))/(LEN(L_Role)+1)*LEN(L_Role)),0)</f>
        <v>0</v>
      </c>
      <c r="BS125" s="61" t="n">
        <f aca="false">IFERROR(LEN(SUBSTITUTE(CD125," ",""))-SUMPRODUCT((LEN(CD125)-LEN(SUBSTITUTE(CD125," "&amp;L_Role&amp;" "," ")))/(LEN(L_Role)+1)*LEN(L_Role)),0)</f>
        <v>0</v>
      </c>
      <c r="BT1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125,"revision",""),"version",""),"jan",""),"feb",""),"mar",""),"apr",""),"may",""),"jun",""),"jul",""),"aug",""),"sep",""),"oct",""),"nov",""),"dec",""),"utc",""),"gmt",""),"myt",""),"bst",""),"rev",""),"ver",""),"b","a"),"c","a"),"d","a"),"e","a"),"f","a"),"g","a"),"h","a"),"i","a"),"j","a"),"k","a"),"l","a"),"m","a"),"n","a"),"o","a"),"p","a"),"q","a"),"r","a"),"s","a"),"t","a"),"u","a"),"v","a"),"w","a"),"x","a"),"y","a"),"z","a")</f>
        <v/>
      </c>
      <c r="BU125" s="61" t="str">
        <f aca="false">SUBSTITUTE(SUBSTITUTE(SUBSTITUTE(SUBSTITUTE(SUBSTITUTE(SUBSTITUTE(SUBSTITUTE(SUBSTITUTE(SUBSTITUTE(SUBSTITUTE(LEFT(BM125,FIND("0",BM125&amp;"0")-1),"-",""),"_",""),"/",""),".",""),"#",""),"\\",""),":","")," ",""),"(",""),")","")</f>
        <v/>
      </c>
      <c r="BV125" s="61" t="n">
        <f aca="false">IFERROR(IF(OR(SUMPRODUCT((LEN(BC125)-LEN(SUBSTITUTE(BC125," "&amp;L_NotLoaded&amp;" "," ")))/(LEN(L_NotLoaded)+1))&gt;SUMPRODUCT((LEN(BC125)-LEN(SUBSTITUTE(BC125," "&amp;L_NotLoadedNeg&amp;" "," ")))/(LEN(L_NotLoadedNeg)+1)),SUMPRODUCT((LEN(BD125)-LEN(SUBSTITUTE(BD125," "&amp;L_NotLoaded&amp;" "," ")))/(LEN(L_NotLoaded)+1))&gt;SUMPRODUCT((LEN(BD125)-LEN(SUBSTITUTE(BD125," "&amp;L_NotLoadedNeg&amp;" "," ")))/(LEN(L_NotLoadedNeg)+1))),1,0),0)</f>
        <v>0</v>
      </c>
      <c r="BW1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125&amp;""),"a",""),"b",""),"c",""),"d",""),"e",""),"f",""),"g",""),"h",""),"i",""),"j",""),"k",""),"l",""),"m",""),"n",""),"o",""),"p",""),"q",""),"r",""),"s",""),"t",""),"u",""),"v",""),"w",""),"x",""),"y",""),"z",""),"-",""),"_",""),"/",""),".",""),"#",""),"\\",""),":","")," ",""),"(",""),")","")</f>
        <v/>
      </c>
      <c r="BX125" s="61" t="str">
        <f aca="false">SUBSTITUTE(SUBSTITUTE(SUBSTITUTE(SUBSTITUTE(SUBSTITUTE(SUBSTITUTE(SUBSTITUTE(SUBSTITUTE(SUBSTITUTE(SUBSTITUTE(SUBSTITUTE(BM125,"0",""),"-",""),"_",""),"/",""),".",""),"#",""),"\\",""),":","")," ",""),"(",""),")","")</f>
        <v/>
      </c>
      <c r="BY125" s="62" t="n">
        <f aca="false">IF(ISNUMBER(Flights!$AZ$8),MAX(Q125-UpliftWindowH/24,Flights!$AZ$8),Q125-UpliftWindowH/24)</f>
        <v>46305.3958333333</v>
      </c>
      <c r="BZ125" s="61" t="n">
        <f aca="false">IFERROR(IF(IF(TRIM(S125)="Link / file path",AND(LEN(TRIM(Z125))&gt;=5,SUMPRODUCT(--ISNUMBER(SEARCH({"http","www.","\\",":\",".pdf",".jpg",".jpeg",".png",".heic",".xls",".doc",".msg",".eml",".ppt",".txt",".zip"},Z125)))&gt;0),AND(ISERROR(FIND(" ",TRIM(Z125))),NOT(OR(SUMPRODUCT(--ISNUMBER(FIND({",",";","&amp;","+"},Z125)))&gt;0,SUMPRODUCT(--ISNUMBER(SEARCH({"0/aa","0\\aa"},BN125)))&gt;0)),NOT(SUMPRODUCT(--ISNUMBER(SEARCH({"http","www.","\\",":\",".pdf",".jpg",".jpeg",".png",".heic",".xls",".doc",".msg",".eml",".ppt",".txt",".zip"},Z125)))&gt;0),NOT(LOWER(TRIM(Z125))=LOWER(Flights!$F$8)),ISNA(MATCH(BU125,{"mh","rev","revision","ver","version","v","r","a","b","seat","tray","row","gate","bay","stand","page","pg","item","line","no","cart","galley","flight","flt","table","box","bag","oven","etd","eta","std","sta","atd","ata","qty","pax","x","time","tel","ph","mob","day","wk","week","utc","gmt","myt","lt"},0)),NOT(OR(ISNUMBER(MATCH(LEFT(BN125,255),{"0000a","000a","00a","0000aa","000aa","00aa","0aa","0000aaa","000aaa","00a00","0a00","0000-0000","00:00","a00","a0","00.00.0000","00/00/0000","00-00-0000","0000-00-00","0000/00/00","0000.00.00","00.00.00","00/00/00","00-00-00","0.00.0000","0/00/0000","0-00-0000"},0)),ISNUMBER(MATCH(LEFT(BT125,255),{"0000a","000a","00a","0000aa","000aa","00aa","0aa","0000aaa","000aaa","00a00","0a00","0000-0000","00:00","a00","a0","00.00.0000","00/00/0000","00-00-0000","0000-00-00","0000/00/00","0000.00.00","00.00.00","00/00/00","00-00-00","0.00.0000","0/00/0000","0-00-0000"},0)))),NOT(OR(AND(BW125&lt;&gt;"",SUBSTITUTE(BW125,"0","")=""),AND(LEN(BW125)&gt;=4,BW125=REPT(LEFT(BW125),LEN(BW125))),ISNUMBER(MATCH(BW125,{"123","1234","12345","123456","1234567","12345678","0123","01234","012345","98765","987654","54321"},0)),ISNUMBER(MATCH(BX125,{"x","xx","xxx","xxxx","xxxxx","abc","abcd","nil","na","nan","test","tbc","tba","tbd","dummy","sample","example","eg","zz","zzz","none","null","xyz","qwe","asd","id","ref"},0)),AND(LEN(BW125)=8,BX125="",OR(LEFT(BW125,3)="202",ISNUMBER(MATCH(RIGHT(BW125,4),{"2025","2026","2027"},0)))))),OR(AND((LEN(BT125)-LEN(SUBSTITUTE(BT125,"a","")))&gt;=1,(LEN(BN125)-LEN(SUBSTITUTE(BN125,"0","")))&gt;=2,SUMPRODUCT(--ISNUMBER(SEARCH({"a0","a-0","a_0","a/0","a.0","a#0","0a","0-a","0_a","0/a"},BN125)))&gt;0),AND((LEN(BN125)-LEN(SUBSTITUTE(BN125,"a","")))=0,(LEN(BN125)-LEN(SUBSTITUTE(BN125,"0","")))&gt;=5)))),1,0),0)</f>
        <v>0</v>
      </c>
      <c r="CA1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125,"revision",""),"version",""),"jan",""),"feb",""),"mar",""),"apr",""),"may",""),"jun",""),"jul",""),"aug",""),"sep",""),"oct",""),"nov",""),"dec",""),"utc",""),"gmt",""),"myt",""),"bst",""),"rev",""),"ver",""),"b","a"),"c","a"),"d","a"),"e","a"),"f","a"),"g","a"),"h","a"),"i","a"),"j","a"),"k","a"),"l","a"),"m","a"),"n","a"),"o","a"),"p","a"),"q","a"),"r","a"),"s","a"),"t","a"),"u","a"),"v","a"),"w","a"),"x","a"),"y","a"),"z","a")</f>
        <v/>
      </c>
      <c r="CB1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125&amp;""),"a",""),"b",""),"c",""),"d",""),"e",""),"f",""),"g",""),"h",""),"i",""),"j",""),"k",""),"l",""),"m",""),"n",""),"o",""),"p",""),"q",""),"r",""),"s",""),"t",""),"u",""),"v",""),"w",""),"x",""),"y",""),"z",""),"-",""),"_",""),"/",""),".",""),"#",""),"\\",""),":","")," ",""),"(",""),")","")</f>
        <v/>
      </c>
      <c r="CC125" s="0" t="str">
        <f aca="false">" "&amp;TRIM(SUBSTITUTE(SUBSTITUTE(SUBSTITUTE(SUBSTITUTE(SUBSTITUTE(SUBSTITUTE(SUBSTITUTE(SUBSTITUTE(SUBSTITUTE(SUBSTITUTE(SUBSTITUTE(SUBSTITUTE(SUBSTITUTE(SUBSTITUTE(SUBSTITUTE(SUBSTITUTE(SUBSTITUTE(SUBSTITUTE(SUBSTITUTE(SUBSTITUTE(SUBSTITUTE(SUBSTITUTE(SUBSTITUTE(SUBSTITUTE(LOWER(T125&amp;""),CHAR(10)," "),CHAR(13)," "),CHAR(9)," "),CHAR(160)," "),"."," "),","," "),"-"," "),"/"," "),"("," "),")"," "),":"," "),";"," "),"_"," "),"–"," "),"?"," "),"!"," "),"*"," "),"["," "),"]"," "),"'"," "),"#"," "),"+"," "),"&amp;"," "),"\"," "))&amp;" "</f>
        <v>  </v>
      </c>
      <c r="CD125" s="0" t="str">
        <f aca="false">" "&amp;TRIM(SUBSTITUTE(SUBSTITUTE(SUBSTITUTE(SUBSTITUTE(SUBSTITUTE(SUBSTITUTE(SUBSTITUTE(SUBSTITUTE(SUBSTITUTE(SUBSTITUTE(SUBSTITUTE(SUBSTITUTE(SUBSTITUTE(SUBSTITUTE(SUBSTITUTE(SUBSTITUTE(SUBSTITUTE(SUBSTITUTE(SUBSTITUTE(SUBSTITUTE(SUBSTITUTE(SUBSTITUTE(SUBSTITUTE(SUBSTITUTE(LOWER(AE125&amp;""),CHAR(10)," "),CHAR(13)," "),CHAR(9)," "),CHAR(160)," "),"."," "),","," "),"-"," "),"/"," "),"("," "),")"," "),":"," "),";"," "),"_"," "),"–"," "),"?"," "),"!"," "),"*"," "),"["," "),"]"," "),"'"," "),"#"," "),"+"," "),"&amp;"," "),"\"," "))&amp;" "</f>
        <v>  </v>
      </c>
      <c r="CE125" s="68" t="n">
        <f aca="false">IFERROR(IF(AND(LEN(AU125)&gt;0,LEN(AU125)=LEN(AX125),OR(TRIM(MID(SUBSTITUTE(TRIM(CC125)," ",REPT(" ",60)),1,60))="",ISNUMBER(SEARCH(" "&amp;TRIM(MID(SUBSTITUTE(TRIM(CC125)," ",REPT(" ",60)),1,60))&amp;" ",CD125))),OR(TRIM(MID(SUBSTITUTE(TRIM(CC125)," ",REPT(" ",60)),61,60))="",ISNUMBER(SEARCH(" "&amp;TRIM(MID(SUBSTITUTE(TRIM(CC125)," ",REPT(" ",60)),61,60))&amp;" ",CD125))),OR(TRIM(MID(SUBSTITUTE(TRIM(CC125)," ",REPT(" ",60)),121,60))="",ISNUMBER(SEARCH(" "&amp;TRIM(MID(SUBSTITUTE(TRIM(CC125)," ",REPT(" ",60)),121,60))&amp;" ",CD125)))),1,0),0)</f>
        <v>0</v>
      </c>
      <c r="CG125" s="68" t="n">
        <f aca="false">IFERROR(LEN(SUBSTITUTE(BF125," ",""))-SUMPRODUCT((LEN(BF125)-LEN(SUBSTITUTE(BF125," "&amp;L_NAFiller&amp;" "," ")))/(LEN(L_NAFiller)+1)*LEN(L_NAFiller)),0)</f>
        <v>0</v>
      </c>
    </row>
    <row r="126" customFormat="false" ht="39.75" hidden="false" customHeight="true" outlineLevel="0" collapsed="false">
      <c r="A126" s="57" t="s">
        <v>645</v>
      </c>
      <c r="B126" s="57" t="s">
        <v>218</v>
      </c>
      <c r="C126" s="57" t="str">
        <f aca="false">Flights!$F$8</f>
        <v>MH0088</v>
      </c>
      <c r="D126" s="58" t="n">
        <f aca="false">Flights!$D$8</f>
        <v>46305</v>
      </c>
      <c r="E126" s="57" t="str">
        <f aca="false">Flights!$G$8&amp;"-"&amp;Flights!$H$8</f>
        <v>KUL-NRT</v>
      </c>
      <c r="F126" s="57" t="str">
        <f aca="false">Flights!$K$8</f>
        <v>BC</v>
      </c>
      <c r="G126" s="57" t="s">
        <v>459</v>
      </c>
      <c r="H126" s="57" t="s">
        <v>460</v>
      </c>
      <c r="I126" s="57" t="s">
        <v>499</v>
      </c>
      <c r="J126" s="57" t="s">
        <v>539</v>
      </c>
      <c r="K126" s="67" t="s">
        <v>501</v>
      </c>
      <c r="L126" s="67" t="s">
        <v>608</v>
      </c>
      <c r="M126" s="67" t="s">
        <v>451</v>
      </c>
      <c r="N126" s="67" t="s">
        <v>383</v>
      </c>
      <c r="O126" s="67"/>
      <c r="P126" s="57" t="s">
        <v>187</v>
      </c>
      <c r="Q126" s="59" t="n">
        <f aca="false">ROUND((Flights!$AF$8)*1440,0)/1440</f>
        <v>46305.6458333333</v>
      </c>
      <c r="R126" s="59" t="n">
        <f aca="false">Q126+(IF(AND(INDEX(TZ_DSTS,MATCH(P126,TZ_STN,0))&lt;&gt;"",Q126&gt;=INDEX(TZ_DSTS,MATCH(P126,TZ_STN,0)),Q126&lt;INDEX(TZ_DSTE,MATCH(P126,TZ_STN,0))),INDEX(TZ_DST,MATCH(P126,TZ_STN,0)),INDEX(TZ_STD,MATCH(P126,TZ_STN,0))))/24</f>
        <v>46305.9791666667</v>
      </c>
      <c r="S126" s="60"/>
      <c r="T126" s="60"/>
      <c r="U126" s="60"/>
      <c r="V126" s="60"/>
      <c r="W126" s="61"/>
      <c r="X126" s="60"/>
      <c r="Y126" s="60"/>
      <c r="Z126" s="60"/>
      <c r="AA126" s="60"/>
      <c r="AB126" s="60"/>
      <c r="AC126" s="60"/>
      <c r="AD126" s="66"/>
      <c r="AE126" s="60"/>
      <c r="AF126" s="61" t="str">
        <f aca="false">IF(AND(ISNUMBER(X126),ISNUMBER(Y126)),Y126-X126,"")</f>
        <v/>
      </c>
      <c r="AG126" s="62" t="str">
        <f aca="false">IF(ISNUMBER(AD126),AD126-(IF(AND(INDEX(TZ_DSTS,MATCH(P126,TZ_STN,0))&lt;&gt;"",(AD126-INDEX(TZ_STD,MATCH(P126,TZ_STN,0))/24)&gt;=INDEX(TZ_DSTS,MATCH(P126,TZ_STN,0)),(AD126-INDEX(TZ_STD,MATCH(P126,TZ_STN,0))/24)&lt;INDEX(TZ_DSTE,MATCH(P126,TZ_STN,0))),INDEX(TZ_DST,MATCH(P126,TZ_STN,0)),INDEX(TZ_STD,MATCH(P126,TZ_STN,0))))/24,"")</f>
        <v/>
      </c>
      <c r="AH126" s="65" t="str">
        <f aca="false">IFERROR(IF(N126="N/A – rule",IF(OR(TRIM(U126)="",TRIM(U126)="N/A",TRIM(U126)="Not started"),"N/A – RULE","INVALID – this check does not apply to this aircraft: clear the status (or correct the fleet on Flights)"),IF(TRIM(U126)="N/A",IF(AT126=0,"INVALID – N/A not permitted for this check",IF(AND(TRIM(AB126)&lt;&gt;"",TRIM(AB126)&lt;&gt;"Closed"),"INVALID – corrective action still open",IF(AND(NOT(OR(LEN(AZ126)&lt;15,ISNUMBER(MATCH(AZ126,L_Placeholder,0)))),BK126=0,CG126&gt;=8,NOT(OR(LEN(AU126)&lt;2,ISNUMBER(MATCH(AU126,L_Placeholder,0)))),BR126&gt;=3,NOT(OR(LEN(AX126)&lt;2,ISNUMBER(MATCH(AX126,L_Placeholder,0)))),BS126&gt;=3,TRIM(AE126)&lt;&gt;TRIM(T126),AX126&lt;&gt;AU126,CE126=0),"N/A – JUSTIFIED","INVALID – N/A needs a real, settled reason (not 'not applicable' / 'as above' / TBC), a named PIC and a different named verifier"))),IF(OR(TRIM(U126)="Pass",TRIM(U126)="Pass after CA"),IF(NOT(ISNUMBER(AD126)),"INVALID – completion time missing",IF(OR(OR(LEN(AU126)&lt;2,ISNUMBER(MATCH(AU126,L_Placeholder,0))),BR126&lt;3),"INVALID – PIC missing or not a named person (a role such as QA / CSM is not a name)",IF(OR(LEN(AV126)&lt;2,ISNUMBER(MATCH(AV126,L_Placeholder,0))),"INVALID – result / assessment missing",IF(OR(OR(LEN(AW126)&lt;3,ISNUMBER(MATCH(AW126,L_Placeholder,0))),SUMPRODUCT(--ISNUMBER(SEARCH(" "&amp;L_EvidencePhrase&amp;" ",BD126)))&gt;0,BI126=1),"INVALID – evidence missing, placeholder or not yet on file",IF(ISNA(MATCH(TRIM(S126),L_EvidenceType,0)),"INVALID – choose the evidence type from the list (column S)",IF(BL126=0,"INVALID – evidence ID must be the record's own ID only (e.g. SF-2210, IMG_2231, 1045521); a link / file name needs type 'Link / file path'",IF(OR(OR(LEN(AX126)&lt;2,ISNUMBER(MATCH(AX126,L_Placeholder,0))),BS126&lt;3),"INVALID – verifier missing or not a named person (a role such as QA / CSM is not a name)",IF(OR(AX126=AU126,CE126=1,AND(LEN(AU126)&gt;=4,ISNUMBER(SEARCH(AU126,AX126))),AND(LEN(AX126)&gt;=4,ISNUMBER(SEARCH(AX126,AU126)))),"INVALID – verifier must be a different, named person (not the PIC or a role)",IF(BH126=1,"INVALID – result not yet available (awaiting / TBC)",IF(BG126=1,"INVALID – result describes a problem: record Fail, then Pass after CA (or reword if it is not a problem)",IF(BV126=1,"INVALID – wording says not on board: an on-board confirmation needs the item loaded",IF(AND(AQ126=1,OR(OR(LEN(AY126)&lt;3,ISNUMBER(MATCH(AY126,L_Placeholder,0))),BJ126=1,BQ126=0)),"INVALID – batch ID missing, placeholder or not an ID (e.g. PASB-261008-BC-017)",IF(AND(AR126=1,OR(NOT(ISNUMBER(X126)),NOT(ISNUMBER(Y126)))),"INVALID – expected/actual qty missing",IF(AND(AR126=1,OR(X126&lt;=0,Y126&lt;0)),"INVALID – expected qty must be above 0 and actual not negative",IF(AH110="N/A – JUSTIFIED","INVALID – preparation row F04-T12-11 is N/A",IF(AND(AR126=1,ISNUMBER(X110),X126&lt;&gt;X110,TRIM(U126)&lt;&gt;"Pass after CA"),"INVALID – expected qty differs from preparation check F04-T12-11: record the load change as a corrective action (Pass after CA)",IF(BB126&lt;&gt;"",BB126,IF(AND(AS126=1,Documents!$J$8&lt;&gt;"ON FILE"),"INVALID – GLD not on file (Documents sheet)",IF(AND(AS126=2,Documents!$O$8&lt;&gt;"ON FILE"),"INVALID – menu checklist not on file (Documents sheet)",IF(AND(AS126=3,NOT(ISNUMBER(Flights!$AX$8))),"INVALID – enter carrying flight KUL departure (Flights AX)",IF(AND(AS126=3,OR(Flights!$AZ$8&gt;Flights!$AA$8,Flights!$AX$8&lt;Flights!$AA$8-3)),"INVALID – carrying flight (Flights AX) cannot arrive before this leg's STD, or is over 3 days early",IF(AG126&gt;AsOfUTC,"INVALID – completion time is in the future",IF(AND(ISNUMBER(BY126),AG126&lt;BY126),IF(H126="Physical uplift","INVALID – before uplift window (cannot confirm loading)","INVALID – before valid window"),IF(AG126&gt;Flights!$AA$8,"INVALID – completed after departure (cannot establish readiness)",IF(AND(H126="Preparation",AG126&gt;=IF(ISNUMBER(Flights!$BA$8),MIN(Flights!$BA$8,Flights!$AA$8),Flights!$AA$8)),"INVALID – completed after loading / departure (cannot establish readiness)",IF(AND(H126="Physical uplift",AG126&gt;Q126),"INVALID – recorded after the loading flight departed",IF(AG126&gt;Q126,"COMPLETE – LATE","COMPLETE"))))))))))))))))))))))))))),IF(TRIM(U126)="Fail","FAIL – DISCREPANCY",IF(AND(TRIM(U126)&lt;&gt;"",TRIM(U126)&lt;&gt;"Not started",TRIM(U126)&lt;&gt;"In progress"),"INVALID – unrecognised status (use the list)",IF(AsOfUTC&gt;Q126,"OVERDUE",IF(N126="Clarification required","OPEN – CLARIFICATION","OPEN"))))))),"INVALID – error value in an input cell")</f>
        <v>OPEN</v>
      </c>
      <c r="AI126" s="61" t="n">
        <f aca="false">IF(OR(AH126="N/A – RULE",AH126="N/A – JUSTIFIED"),0,1)</f>
        <v>1</v>
      </c>
      <c r="AJ126" s="61" t="n">
        <f aca="false">IF(LEFT(AH126,8)="COMPLETE",1,0)</f>
        <v>0</v>
      </c>
      <c r="AK126" s="61" t="n">
        <f aca="false">IF(AND(AI126=1,AJ126=0,AsOfUTC&gt;Q126),1,0)</f>
        <v>0</v>
      </c>
      <c r="AL126" s="61" t="n">
        <f aca="false">IFERROR(IF(AND(AI126=1,OR(TRIM(U126)="Fail",AND(TRIM(AB126)&lt;&gt;"",TRIM(AB126)&lt;&gt;"Closed"),AND(ISNUMBER(AF126),AF126&lt;&gt;0,TRIM(U126)&lt;&gt;"Pass after CA"))),1,0),1)</f>
        <v>0</v>
      </c>
      <c r="AM126" s="61" t="n">
        <f aca="false">IF(LEFT(AH126,7)="INVALID",1,0)</f>
        <v>0</v>
      </c>
      <c r="AN126" s="61" t="n">
        <f aca="false">IF(AND(N126="Clarification required",AI126=1,AJ126=0),1,0)</f>
        <v>0</v>
      </c>
      <c r="AO126" s="61" t="str">
        <f aca="false">IF(AK126=1,SUM(AK$5:AK126),"")</f>
        <v/>
      </c>
      <c r="AP126" s="61" t="str">
        <f aca="false">IF(AL126=1,SUM(AL$5:AL126),"")</f>
        <v/>
      </c>
      <c r="AQ126" s="61" t="n">
        <v>0</v>
      </c>
      <c r="AR126" s="61" t="n">
        <v>0</v>
      </c>
      <c r="AS126" s="61" t="n">
        <v>0</v>
      </c>
      <c r="AT126" s="61" t="n">
        <v>0</v>
      </c>
      <c r="AU126" s="61" t="str">
        <f aca="false">SUBSTITUTE(SUBSTITUTE(SUBSTITUTE(SUBSTITUTE(SUBSTITUTE(SUBSTITUTE(SUBSTITUTE(SUBSTITUTE(SUBSTITUTE(SUBSTITUTE(SUBSTITUTE(SUBSTITUTE(SUBSTITUTE(SUBSTITUTE(SUBSTITUTE(SUBSTITUTE(LOWER(T126&amp;""),CHAR(10),""),CHAR(13),""),CHAR(9),""),CHAR(160),"")," ",""),".",""),"-",""),"/",""),"?",""),"_",""),",",""),"[",""),"]",""),"(",""),")",""),"*","")</f>
        <v/>
      </c>
      <c r="AV126" s="61" t="str">
        <f aca="false">SUBSTITUTE(SUBSTITUTE(SUBSTITUTE(SUBSTITUTE(SUBSTITUTE(SUBSTITUTE(SUBSTITUTE(SUBSTITUTE(SUBSTITUTE(SUBSTITUTE(SUBSTITUTE(SUBSTITUTE(SUBSTITUTE(SUBSTITUTE(SUBSTITUTE(SUBSTITUTE(LOWER(V126&amp;""),CHAR(10),""),CHAR(13),""),CHAR(9),""),CHAR(160),"")," ",""),".",""),"-",""),"/",""),"?",""),"_",""),",",""),"[",""),"]",""),"(",""),")",""),"*","")</f>
        <v/>
      </c>
      <c r="AW126" s="61" t="str">
        <f aca="false">SUBSTITUTE(SUBSTITUTE(SUBSTITUTE(SUBSTITUTE(SUBSTITUTE(SUBSTITUTE(SUBSTITUTE(SUBSTITUTE(SUBSTITUTE(SUBSTITUTE(SUBSTITUTE(SUBSTITUTE(SUBSTITUTE(SUBSTITUTE(SUBSTITUTE(SUBSTITUTE(LOWER(Z126&amp;""),CHAR(10),""),CHAR(13),""),CHAR(9),""),CHAR(160),"")," ",""),".",""),"-",""),"/",""),"?",""),"_",""),",",""),"[",""),"]",""),"(",""),")",""),"*","")</f>
        <v/>
      </c>
      <c r="AX126" s="61" t="str">
        <f aca="false">SUBSTITUTE(SUBSTITUTE(SUBSTITUTE(SUBSTITUTE(SUBSTITUTE(SUBSTITUTE(SUBSTITUTE(SUBSTITUTE(SUBSTITUTE(SUBSTITUTE(SUBSTITUTE(SUBSTITUTE(SUBSTITUTE(SUBSTITUTE(SUBSTITUTE(SUBSTITUTE(LOWER(AE126&amp;""),CHAR(10),""),CHAR(13),""),CHAR(9),""),CHAR(160),"")," ",""),".",""),"-",""),"/",""),"?",""),"_",""),",",""),"[",""),"]",""),"(",""),")",""),"*","")</f>
        <v/>
      </c>
      <c r="AY126" s="61" t="str">
        <f aca="false">SUBSTITUTE(SUBSTITUTE(SUBSTITUTE(SUBSTITUTE(SUBSTITUTE(SUBSTITUTE(SUBSTITUTE(SUBSTITUTE(SUBSTITUTE(SUBSTITUTE(SUBSTITUTE(SUBSTITUTE(SUBSTITUTE(SUBSTITUTE(SUBSTITUTE(SUBSTITUTE(LOWER(W126&amp;""),CHAR(10),""),CHAR(13),""),CHAR(9),""),CHAR(160),"")," ",""),".",""),"-",""),"/",""),"?",""),"_",""),",",""),"[",""),"]",""),"(",""),")",""),"*","")</f>
        <v/>
      </c>
      <c r="AZ126" s="61" t="str">
        <f aca="false">SUBSTITUTE(SUBSTITUTE(SUBSTITUTE(SUBSTITUTE(SUBSTITUTE(SUBSTITUTE(SUBSTITUTE(SUBSTITUTE(SUBSTITUTE(SUBSTITUTE(SUBSTITUTE(SUBSTITUTE(SUBSTITUTE(SUBSTITUTE(SUBSTITUTE(SUBSTITUTE(LOWER(AC126&amp;""),CHAR(10),""),CHAR(13),""),CHAR(9),""),CHAR(160),"")," ",""),".",""),"-",""),"/",""),"?",""),"_",""),",",""),"[",""),"]",""),"(",""),")",""),"*","")</f>
        <v/>
      </c>
      <c r="BA126" s="61" t="str">
        <f aca="false">SUBSTITUTE(SUBSTITUTE(SUBSTITUTE(SUBSTITUTE(SUBSTITUTE(SUBSTITUTE(SUBSTITUTE(SUBSTITUTE(SUBSTITUTE(SUBSTITUTE(SUBSTITUTE(SUBSTITUTE(SUBSTITUTE(SUBSTITUTE(SUBSTITUTE(SUBSTITUTE(LOWER(AA126&amp;""),CHAR(10),""),CHAR(13),""),CHAR(9),""),CHAR(160),"")," ",""),".",""),"-",""),"/",""),"?",""),"_",""),",",""),"[",""),"]",""),"(",""),")",""),"*","")</f>
        <v/>
      </c>
      <c r="BB126" s="61" t="str">
        <f aca="false">IF(AND(TRIM(U126)="Pass",ISNUMBER(AF126)),IF(AF126&lt;&gt;0,"INVALID – qty variance: use Fail or Pass after CA",""),"")&amp;IF(AND(TRIM(U126)="Pass after CA",ISNUMBER(AF126)),IF(AF126&lt;&gt;0,"INVALID – after the corrective action the actual qty must equal expected (update Actual)",""),"")&amp;IF(AND(TRIM(U126)="Pass",TRIM(AB126)&lt;&gt;"",TRIM(AB126)&lt;&gt;"Closed"),"INVALID – corrective action not closed: use Fail, then Pass after CA","")&amp;IF(AND(LEN(BA126)&gt;=2,ISNA(MATCH(LEFT(BA126,255),L_Placeholder,0)),TRIM(AB126)=""),"INVALID – CA status missing for the recorded corrective action","")&amp;IF(AND(TRIM(U126)="Pass after CA",OR(OR(LEN(BA126)&lt;5,ISNUMBER(MATCH(BA126,L_Placeholder,0))),TRIM(AB126)&lt;&gt;"Closed")),"INVALID – corrective action not recorded/closed","")</f>
        <v/>
      </c>
      <c r="BC126" s="61" t="str">
        <f aca="false">" "&amp;TRIM(SUBSTITUTE(SUBSTITUTE(SUBSTITUTE(SUBSTITUTE(SUBSTITUTE(SUBSTITUTE(SUBSTITUTE(SUBSTITUTE(SUBSTITUTE(SUBSTITUTE(SUBSTITUTE(SUBSTITUTE(SUBSTITUTE(SUBSTITUTE(SUBSTITUTE(SUBSTITUTE(SUBSTITUTE(SUBSTITUTE(SUBSTITUTE(SUBSTITUTE(SUBSTITUTE(SUBSTITUTE(SUBSTITUTE(SUBSTITUTE(LOWER(V126&amp;""),CHAR(10)," "),CHAR(13)," "),CHAR(9)," "),CHAR(160)," "),"."," "),","," "),"-"," "),"/"," "),"("," "),")"," "),":"," "),";"," "),"_"," "),"–"," "),"?"," "),"!"," "),"*"," "),"["," "),"]"," "),"'"," "),"#"," "),"+"," "),"&amp;"," "),"\"," "))&amp;" "</f>
        <v>  </v>
      </c>
      <c r="BD126" s="61" t="str">
        <f aca="false">" "&amp;TRIM(SUBSTITUTE(SUBSTITUTE(SUBSTITUTE(SUBSTITUTE(SUBSTITUTE(SUBSTITUTE(SUBSTITUTE(SUBSTITUTE(SUBSTITUTE(SUBSTITUTE(SUBSTITUTE(SUBSTITUTE(SUBSTITUTE(SUBSTITUTE(SUBSTITUTE(SUBSTITUTE(SUBSTITUTE(SUBSTITUTE(SUBSTITUTE(SUBSTITUTE(SUBSTITUTE(SUBSTITUTE(SUBSTITUTE(SUBSTITUTE(LOWER(Z126&amp;""),CHAR(10)," "),CHAR(13)," "),CHAR(9)," "),CHAR(160)," "),"."," "),","," "),"-"," "),"/"," "),"("," "),")"," "),":"," "),";"," "),"_"," "),"–"," "),"?"," "),"!"," "),"*"," "),"["," "),"]"," "),"'"," "),"#"," "),"+"," "),"&amp;"," "),"\"," "))&amp;" "</f>
        <v>  </v>
      </c>
      <c r="BE126" s="61" t="str">
        <f aca="false">" "&amp;TRIM(SUBSTITUTE(SUBSTITUTE(SUBSTITUTE(SUBSTITUTE(SUBSTITUTE(SUBSTITUTE(SUBSTITUTE(SUBSTITUTE(SUBSTITUTE(SUBSTITUTE(SUBSTITUTE(SUBSTITUTE(SUBSTITUTE(SUBSTITUTE(SUBSTITUTE(SUBSTITUTE(SUBSTITUTE(SUBSTITUTE(SUBSTITUTE(SUBSTITUTE(SUBSTITUTE(SUBSTITUTE(SUBSTITUTE(SUBSTITUTE(LOWER(W126&amp;""),CHAR(10)," "),CHAR(13)," "),CHAR(9)," "),CHAR(160)," "),"."," "),","," "),"-"," "),"/"," "),"("," "),")"," "),":"," "),";"," "),"_"," "),"–"," "),"?"," "),"!"," "),"*"," "),"["," "),"]"," "),"'"," "),"#"," "),"+"," "),"&amp;"," "),"\"," "))&amp;" "</f>
        <v>  </v>
      </c>
      <c r="BF126" s="61" t="str">
        <f aca="false">" "&amp;TRIM(SUBSTITUTE(SUBSTITUTE(SUBSTITUTE(SUBSTITUTE(SUBSTITUTE(SUBSTITUTE(SUBSTITUTE(SUBSTITUTE(SUBSTITUTE(SUBSTITUTE(SUBSTITUTE(SUBSTITUTE(SUBSTITUTE(SUBSTITUTE(SUBSTITUTE(SUBSTITUTE(SUBSTITUTE(SUBSTITUTE(SUBSTITUTE(SUBSTITUTE(SUBSTITUTE(SUBSTITUTE(SUBSTITUTE(SUBSTITUTE(LOWER(AC126&amp;""),CHAR(10)," "),CHAR(13)," "),CHAR(9)," "),CHAR(160)," "),"."," "),","," "),"-"," "),"/"," "),"("," "),")"," "),":"," "),";"," "),"_"," "),"–"," "),"?"," "),"!"," "),"*"," "),"["," "),"]"," "),"'"," "),"#"," "),"+"," "),"&amp;"," "),"\"," "))&amp;" "</f>
        <v>  </v>
      </c>
      <c r="BG126" s="61" t="n">
        <f aca="false">IFERROR(IF(AND(TRIM(U126)="Pass",SUMPRODUCT((LEN(BC126)-LEN(SUBSTITUTE(BC126," "&amp;L_ResultBad&amp;" "," ")))/(LEN(L_ResultBad)+1))&gt;SUMPRODUCT((LEN(BC126)-LEN(SUBSTITUTE(BC126," "&amp;L_NegPhrase&amp;" "," ")))/(LEN(L_NegPhrase)+1))),1,0),0)</f>
        <v>0</v>
      </c>
      <c r="BH126" s="61" t="n">
        <f aca="false">IFERROR(IF(SUMPRODUCT((LEN(BC126)-LEN(SUBSTITUTE(BC126," "&amp;L_Pending&amp;" "," ")))/(LEN(L_Pending)+1))&gt;SUMPRODUCT((LEN(BC126)-LEN(SUBSTITUTE(BC126," "&amp;L_PendNeg&amp;" "," ")))/(LEN(L_PendNeg)+1)),1,0),1)</f>
        <v>0</v>
      </c>
      <c r="BI126" s="61" t="n">
        <f aca="false">IFERROR(IF(SUMPRODUCT((LEN(BD126)-LEN(SUBSTITUTE(BD126," "&amp;L_PendStrict&amp;" "," ")))/(LEN(L_PendStrict)+1))&gt;SUMPRODUCT((LEN(BD126)-LEN(SUBSTITUTE(BD126," "&amp;L_PendNeg&amp;" "," ")))/(LEN(L_PendNeg)+1)),1,0),1)</f>
        <v>0</v>
      </c>
      <c r="BJ126" s="61" t="n">
        <f aca="false">IFERROR(IF(SUMPRODUCT((LEN(BE126)-LEN(SUBSTITUTE(BE126," "&amp;L_Pending&amp;" "," ")))/(LEN(L_Pending)+1))&gt;SUMPRODUCT((LEN(BE126)-LEN(SUBSTITUTE(BE126," "&amp;L_PendNeg&amp;" "," ")))/(LEN(L_PendNeg)+1)),1,0),1)</f>
        <v>0</v>
      </c>
      <c r="BK126" s="61" t="n">
        <f aca="false">IFERROR(IF(SUMPRODUCT((LEN(BF126)-LEN(SUBSTITUTE(BF126," "&amp;L_PendStrict&amp;" "," ")))/(LEN(L_PendStrict)+1))&gt;SUMPRODUCT((LEN(BF126)-LEN(SUBSTITUTE(BF126," "&amp;L_PendNeg&amp;" "," ")))/(LEN(L_PendNeg)+1)),1,0),1)</f>
        <v>0</v>
      </c>
      <c r="BL126" s="61" t="n">
        <f aca="false">IF(ISNA(MATCH(TRIM(S126),L_EvidenceType,0)),0,BZ126)</f>
        <v>0</v>
      </c>
      <c r="BM126" s="61" t="str">
        <f aca="false">SUBSTITUTE(SUBSTITUTE(SUBSTITUTE(SUBSTITUTE(SUBSTITUTE(SUBSTITUTE(SUBSTITUTE(SUBSTITUTE(SUBSTITUTE(LOWER(Z126&amp;""),"1","0"),"2","0"),"3","0"),"4","0"),"5","0"),"6","0"),"7","0"),"8","0"),"9","0")</f>
        <v/>
      </c>
      <c r="BN126" s="61" t="str">
        <f aca="false">SUBSTITUTE(SUBSTITUTE(SUBSTITUTE(SUBSTITUTE(SUBSTITUTE(SUBSTITUTE(SUBSTITUTE(SUBSTITUTE(SUBSTITUTE(SUBSTITUTE(SUBSTITUTE(SUBSTITUTE(SUBSTITUTE(SUBSTITUTE(SUBSTITUTE(SUBSTITUTE(SUBSTITUTE(SUBSTITUTE(SUBSTITUTE(SUBSTITUTE(SUBSTITUTE(SUBSTITUTE(SUBSTITUTE(SUBSTITUTE(SUBSTITUTE(BM126,"b","a"),"c","a"),"d","a"),"e","a"),"f","a"),"g","a"),"h","a"),"i","a"),"j","a"),"k","a"),"l","a"),"m","a"),"n","a"),"o","a"),"p","a"),"q","a"),"r","a"),"s","a"),"t","a"),"u","a"),"v","a"),"w","a"),"x","a"),"y","a"),"z","a")</f>
        <v/>
      </c>
      <c r="BO126" s="61" t="str">
        <f aca="false">SUBSTITUTE(SUBSTITUTE(SUBSTITUTE(SUBSTITUTE(SUBSTITUTE(SUBSTITUTE(SUBSTITUTE(SUBSTITUTE(SUBSTITUTE(LOWER(W126&amp;""),"1","0"),"2","0"),"3","0"),"4","0"),"5","0"),"6","0"),"7","0"),"8","0"),"9","0")</f>
        <v/>
      </c>
      <c r="BP126" s="61" t="str">
        <f aca="false">SUBSTITUTE(SUBSTITUTE(SUBSTITUTE(SUBSTITUTE(SUBSTITUTE(SUBSTITUTE(SUBSTITUTE(SUBSTITUTE(SUBSTITUTE(SUBSTITUTE(SUBSTITUTE(SUBSTITUTE(SUBSTITUTE(SUBSTITUTE(SUBSTITUTE(SUBSTITUTE(SUBSTITUTE(SUBSTITUTE(SUBSTITUTE(SUBSTITUTE(SUBSTITUTE(SUBSTITUTE(SUBSTITUTE(SUBSTITUTE(SUBSTITUTE(BO126,"b","a"),"c","a"),"d","a"),"e","a"),"f","a"),"g","a"),"h","a"),"i","a"),"j","a"),"k","a"),"l","a"),"m","a"),"n","a"),"o","a"),"p","a"),"q","a"),"r","a"),"s","a"),"t","a"),"u","a"),"v","a"),"w","a"),"x","a"),"y","a"),"z","a")</f>
        <v/>
      </c>
      <c r="BQ126" s="61" t="n">
        <f aca="false">IFERROR(IF(AND(ISERROR(SEARCH(" mh"," "&amp;LOWER(W126))),ISNA(MATCH(LEFT(TRIM(BP126),255),{"0000a","000a","00a","0000aa","000aa","00aa","0aa","0000aaa","000aaa","00a00","0a00","0000-0000","00:00","a00","a0","00.00.0000","00/00/0000","00-00-0000","0000-00-00","0000/00/00","0000.00.00","00.00.00","00/00/00","00-00-00","0.00.0000","0/00/0000","0-00-0000"},0)),ISNA(MATCH(LEFT(TRIM(CA126),255),{"0000a","000a","00a","0000aa","000aa","00aa","0aa","0000aaa","000aaa","00a00","0a00","0000-0000","00:00","a00","a0","00.00.0000","00/00/0000","00-00-0000","0000-00-00","0000/00/00","0000.00.00","00.00.00","00/00/00","00-00-00","0.00.0000","0/00/0000","0-00-0000"},0)),LEN(CB126)&gt;=3,NOT(OR(SUBSTITUTE(CB126,"0","")="",AND(LEN(CB126)&gt;=4,CB126=REPT(LEFT(CB126),LEN(CB126))),ISNUMBER(MATCH(CB126,{"123","1234","12345","123456","1234567","12345678","0123","01234","012345","98765","987654","54321"},0)),AND(LEN(CB126)=8,LEFT(CB126,3)="202"))),OR(AND((LEN(CA126)-LEN(SUBSTITUTE(CA126,"a","")))&gt;=1,SUMPRODUCT(--ISNUMBER(SEARCH({"a0","a-0","a_0","a/0","a.0","a#0","0a","0-a","0_a","0/a"},BP126)))&gt;0),ISNUMBER(SEARCH("000000",BP126)))),1,0),0)</f>
        <v>0</v>
      </c>
      <c r="BR126" s="61" t="n">
        <f aca="false">IFERROR(LEN(SUBSTITUTE(CC126," ",""))-SUMPRODUCT((LEN(CC126)-LEN(SUBSTITUTE(CC126," "&amp;L_Role&amp;" "," ")))/(LEN(L_Role)+1)*LEN(L_Role)),0)</f>
        <v>0</v>
      </c>
      <c r="BS126" s="61" t="n">
        <f aca="false">IFERROR(LEN(SUBSTITUTE(CD126," ",""))-SUMPRODUCT((LEN(CD126)-LEN(SUBSTITUTE(CD126," "&amp;L_Role&amp;" "," ")))/(LEN(L_Role)+1)*LEN(L_Role)),0)</f>
        <v>0</v>
      </c>
      <c r="BT1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126,"revision",""),"version",""),"jan",""),"feb",""),"mar",""),"apr",""),"may",""),"jun",""),"jul",""),"aug",""),"sep",""),"oct",""),"nov",""),"dec",""),"utc",""),"gmt",""),"myt",""),"bst",""),"rev",""),"ver",""),"b","a"),"c","a"),"d","a"),"e","a"),"f","a"),"g","a"),"h","a"),"i","a"),"j","a"),"k","a"),"l","a"),"m","a"),"n","a"),"o","a"),"p","a"),"q","a"),"r","a"),"s","a"),"t","a"),"u","a"),"v","a"),"w","a"),"x","a"),"y","a"),"z","a")</f>
        <v/>
      </c>
      <c r="BU126" s="61" t="str">
        <f aca="false">SUBSTITUTE(SUBSTITUTE(SUBSTITUTE(SUBSTITUTE(SUBSTITUTE(SUBSTITUTE(SUBSTITUTE(SUBSTITUTE(SUBSTITUTE(SUBSTITUTE(LEFT(BM126,FIND("0",BM126&amp;"0")-1),"-",""),"_",""),"/",""),".",""),"#",""),"\\",""),":","")," ",""),"(",""),")","")</f>
        <v/>
      </c>
      <c r="BV126" s="61" t="n">
        <f aca="false">IFERROR(IF(OR(SUMPRODUCT((LEN(BC126)-LEN(SUBSTITUTE(BC126," "&amp;L_NotLoaded&amp;" "," ")))/(LEN(L_NotLoaded)+1))&gt;SUMPRODUCT((LEN(BC126)-LEN(SUBSTITUTE(BC126," "&amp;L_NotLoadedNeg&amp;" "," ")))/(LEN(L_NotLoadedNeg)+1)),SUMPRODUCT((LEN(BD126)-LEN(SUBSTITUTE(BD126," "&amp;L_NotLoaded&amp;" "," ")))/(LEN(L_NotLoaded)+1))&gt;SUMPRODUCT((LEN(BD126)-LEN(SUBSTITUTE(BD126," "&amp;L_NotLoadedNeg&amp;" "," ")))/(LEN(L_NotLoadedNeg)+1))),1,0),0)</f>
        <v>0</v>
      </c>
      <c r="BW1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126&amp;""),"a",""),"b",""),"c",""),"d",""),"e",""),"f",""),"g",""),"h",""),"i",""),"j",""),"k",""),"l",""),"m",""),"n",""),"o",""),"p",""),"q",""),"r",""),"s",""),"t",""),"u",""),"v",""),"w",""),"x",""),"y",""),"z",""),"-",""),"_",""),"/",""),".",""),"#",""),"\\",""),":","")," ",""),"(",""),")","")</f>
        <v/>
      </c>
      <c r="BX126" s="61" t="str">
        <f aca="false">SUBSTITUTE(SUBSTITUTE(SUBSTITUTE(SUBSTITUTE(SUBSTITUTE(SUBSTITUTE(SUBSTITUTE(SUBSTITUTE(SUBSTITUTE(SUBSTITUTE(SUBSTITUTE(BM126,"0",""),"-",""),"_",""),"/",""),".",""),"#",""),"\\",""),":","")," ",""),"(",""),")","")</f>
        <v/>
      </c>
      <c r="BY126" s="62" t="n">
        <f aca="false">IF(ISNUMBER(Flights!$AZ$8),MAX(Q126-UpliftWindowH/24,Flights!$AZ$8),Q126-UpliftWindowH/24)</f>
        <v>46305.3958333333</v>
      </c>
      <c r="BZ126" s="61" t="n">
        <f aca="false">IFERROR(IF(IF(TRIM(S126)="Link / file path",AND(LEN(TRIM(Z126))&gt;=5,SUMPRODUCT(--ISNUMBER(SEARCH({"http","www.","\\",":\",".pdf",".jpg",".jpeg",".png",".heic",".xls",".doc",".msg",".eml",".ppt",".txt",".zip"},Z126)))&gt;0),AND(ISERROR(FIND(" ",TRIM(Z126))),NOT(OR(SUMPRODUCT(--ISNUMBER(FIND({",",";","&amp;","+"},Z126)))&gt;0,SUMPRODUCT(--ISNUMBER(SEARCH({"0/aa","0\\aa"},BN126)))&gt;0)),NOT(SUMPRODUCT(--ISNUMBER(SEARCH({"http","www.","\\",":\",".pdf",".jpg",".jpeg",".png",".heic",".xls",".doc",".msg",".eml",".ppt",".txt",".zip"},Z126)))&gt;0),NOT(LOWER(TRIM(Z126))=LOWER(Flights!$F$8)),ISNA(MATCH(BU126,{"mh","rev","revision","ver","version","v","r","a","b","seat","tray","row","gate","bay","stand","page","pg","item","line","no","cart","galley","flight","flt","table","box","bag","oven","etd","eta","std","sta","atd","ata","qty","pax","x","time","tel","ph","mob","day","wk","week","utc","gmt","myt","lt"},0)),NOT(OR(ISNUMBER(MATCH(LEFT(BN126,255),{"0000a","000a","00a","0000aa","000aa","00aa","0aa","0000aaa","000aaa","00a00","0a00","0000-0000","00:00","a00","a0","00.00.0000","00/00/0000","00-00-0000","0000-00-00","0000/00/00","0000.00.00","00.00.00","00/00/00","00-00-00","0.00.0000","0/00/0000","0-00-0000"},0)),ISNUMBER(MATCH(LEFT(BT126,255),{"0000a","000a","00a","0000aa","000aa","00aa","0aa","0000aaa","000aaa","00a00","0a00","0000-0000","00:00","a00","a0","00.00.0000","00/00/0000","00-00-0000","0000-00-00","0000/00/00","0000.00.00","00.00.00","00/00/00","00-00-00","0.00.0000","0/00/0000","0-00-0000"},0)))),NOT(OR(AND(BW126&lt;&gt;"",SUBSTITUTE(BW126,"0","")=""),AND(LEN(BW126)&gt;=4,BW126=REPT(LEFT(BW126),LEN(BW126))),ISNUMBER(MATCH(BW126,{"123","1234","12345","123456","1234567","12345678","0123","01234","012345","98765","987654","54321"},0)),ISNUMBER(MATCH(BX126,{"x","xx","xxx","xxxx","xxxxx","abc","abcd","nil","na","nan","test","tbc","tba","tbd","dummy","sample","example","eg","zz","zzz","none","null","xyz","qwe","asd","id","ref"},0)),AND(LEN(BW126)=8,BX126="",OR(LEFT(BW126,3)="202",ISNUMBER(MATCH(RIGHT(BW126,4),{"2025","2026","2027"},0)))))),OR(AND((LEN(BT126)-LEN(SUBSTITUTE(BT126,"a","")))&gt;=1,(LEN(BN126)-LEN(SUBSTITUTE(BN126,"0","")))&gt;=2,SUMPRODUCT(--ISNUMBER(SEARCH({"a0","a-0","a_0","a/0","a.0","a#0","0a","0-a","0_a","0/a"},BN126)))&gt;0),AND((LEN(BN126)-LEN(SUBSTITUTE(BN126,"a","")))=0,(LEN(BN126)-LEN(SUBSTITUTE(BN126,"0","")))&gt;=5)))),1,0),0)</f>
        <v>0</v>
      </c>
      <c r="CA1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126,"revision",""),"version",""),"jan",""),"feb",""),"mar",""),"apr",""),"may",""),"jun",""),"jul",""),"aug",""),"sep",""),"oct",""),"nov",""),"dec",""),"utc",""),"gmt",""),"myt",""),"bst",""),"rev",""),"ver",""),"b","a"),"c","a"),"d","a"),"e","a"),"f","a"),"g","a"),"h","a"),"i","a"),"j","a"),"k","a"),"l","a"),"m","a"),"n","a"),"o","a"),"p","a"),"q","a"),"r","a"),"s","a"),"t","a"),"u","a"),"v","a"),"w","a"),"x","a"),"y","a"),"z","a")</f>
        <v/>
      </c>
      <c r="CB1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126&amp;""),"a",""),"b",""),"c",""),"d",""),"e",""),"f",""),"g",""),"h",""),"i",""),"j",""),"k",""),"l",""),"m",""),"n",""),"o",""),"p",""),"q",""),"r",""),"s",""),"t",""),"u",""),"v",""),"w",""),"x",""),"y",""),"z",""),"-",""),"_",""),"/",""),".",""),"#",""),"\\",""),":","")," ",""),"(",""),")","")</f>
        <v/>
      </c>
      <c r="CC126" s="0" t="str">
        <f aca="false">" "&amp;TRIM(SUBSTITUTE(SUBSTITUTE(SUBSTITUTE(SUBSTITUTE(SUBSTITUTE(SUBSTITUTE(SUBSTITUTE(SUBSTITUTE(SUBSTITUTE(SUBSTITUTE(SUBSTITUTE(SUBSTITUTE(SUBSTITUTE(SUBSTITUTE(SUBSTITUTE(SUBSTITUTE(SUBSTITUTE(SUBSTITUTE(SUBSTITUTE(SUBSTITUTE(SUBSTITUTE(SUBSTITUTE(SUBSTITUTE(SUBSTITUTE(LOWER(T126&amp;""),CHAR(10)," "),CHAR(13)," "),CHAR(9)," "),CHAR(160)," "),"."," "),","," "),"-"," "),"/"," "),"("," "),")"," "),":"," "),";"," "),"_"," "),"–"," "),"?"," "),"!"," "),"*"," "),"["," "),"]"," "),"'"," "),"#"," "),"+"," "),"&amp;"," "),"\"," "))&amp;" "</f>
        <v>  </v>
      </c>
      <c r="CD126" s="0" t="str">
        <f aca="false">" "&amp;TRIM(SUBSTITUTE(SUBSTITUTE(SUBSTITUTE(SUBSTITUTE(SUBSTITUTE(SUBSTITUTE(SUBSTITUTE(SUBSTITUTE(SUBSTITUTE(SUBSTITUTE(SUBSTITUTE(SUBSTITUTE(SUBSTITUTE(SUBSTITUTE(SUBSTITUTE(SUBSTITUTE(SUBSTITUTE(SUBSTITUTE(SUBSTITUTE(SUBSTITUTE(SUBSTITUTE(SUBSTITUTE(SUBSTITUTE(SUBSTITUTE(LOWER(AE126&amp;""),CHAR(10)," "),CHAR(13)," "),CHAR(9)," "),CHAR(160)," "),"."," "),","," "),"-"," "),"/"," "),"("," "),")"," "),":"," "),";"," "),"_"," "),"–"," "),"?"," "),"!"," "),"*"," "),"["," "),"]"," "),"'"," "),"#"," "),"+"," "),"&amp;"," "),"\"," "))&amp;" "</f>
        <v>  </v>
      </c>
      <c r="CE126" s="68" t="n">
        <f aca="false">IFERROR(IF(AND(LEN(AU126)&gt;0,LEN(AU126)=LEN(AX126),OR(TRIM(MID(SUBSTITUTE(TRIM(CC126)," ",REPT(" ",60)),1,60))="",ISNUMBER(SEARCH(" "&amp;TRIM(MID(SUBSTITUTE(TRIM(CC126)," ",REPT(" ",60)),1,60))&amp;" ",CD126))),OR(TRIM(MID(SUBSTITUTE(TRIM(CC126)," ",REPT(" ",60)),61,60))="",ISNUMBER(SEARCH(" "&amp;TRIM(MID(SUBSTITUTE(TRIM(CC126)," ",REPT(" ",60)),61,60))&amp;" ",CD126))),OR(TRIM(MID(SUBSTITUTE(TRIM(CC126)," ",REPT(" ",60)),121,60))="",ISNUMBER(SEARCH(" "&amp;TRIM(MID(SUBSTITUTE(TRIM(CC126)," ",REPT(" ",60)),121,60))&amp;" ",CD126)))),1,0),0)</f>
        <v>0</v>
      </c>
      <c r="CG126" s="68" t="n">
        <f aca="false">IFERROR(LEN(SUBSTITUTE(BF126," ",""))-SUMPRODUCT((LEN(BF126)-LEN(SUBSTITUTE(BF126," "&amp;L_NAFiller&amp;" "," ")))/(LEN(L_NAFiller)+1)*LEN(L_NAFiller)),0)</f>
        <v>0</v>
      </c>
    </row>
    <row r="127" customFormat="false" ht="39.75" hidden="false" customHeight="true" outlineLevel="0" collapsed="false">
      <c r="A127" s="57" t="s">
        <v>646</v>
      </c>
      <c r="B127" s="57" t="s">
        <v>218</v>
      </c>
      <c r="C127" s="57" t="str">
        <f aca="false">Flights!$F$8</f>
        <v>MH0088</v>
      </c>
      <c r="D127" s="58" t="n">
        <f aca="false">Flights!$D$8</f>
        <v>46305</v>
      </c>
      <c r="E127" s="57" t="str">
        <f aca="false">Flights!$G$8&amp;"-"&amp;Flights!$H$8</f>
        <v>KUL-NRT</v>
      </c>
      <c r="F127" s="57" t="str">
        <f aca="false">Flights!$K$8</f>
        <v>BC</v>
      </c>
      <c r="G127" s="57" t="s">
        <v>459</v>
      </c>
      <c r="H127" s="57" t="s">
        <v>460</v>
      </c>
      <c r="I127" s="57" t="s">
        <v>499</v>
      </c>
      <c r="J127" s="57" t="s">
        <v>541</v>
      </c>
      <c r="K127" s="67" t="s">
        <v>501</v>
      </c>
      <c r="L127" s="67" t="s">
        <v>610</v>
      </c>
      <c r="M127" s="67" t="s">
        <v>451</v>
      </c>
      <c r="N127" s="67" t="s">
        <v>383</v>
      </c>
      <c r="O127" s="67"/>
      <c r="P127" s="57" t="s">
        <v>187</v>
      </c>
      <c r="Q127" s="59" t="n">
        <f aca="false">ROUND((Flights!$AF$8)*1440,0)/1440</f>
        <v>46305.6458333333</v>
      </c>
      <c r="R127" s="59" t="n">
        <f aca="false">Q127+(IF(AND(INDEX(TZ_DSTS,MATCH(P127,TZ_STN,0))&lt;&gt;"",Q127&gt;=INDEX(TZ_DSTS,MATCH(P127,TZ_STN,0)),Q127&lt;INDEX(TZ_DSTE,MATCH(P127,TZ_STN,0))),INDEX(TZ_DST,MATCH(P127,TZ_STN,0)),INDEX(TZ_STD,MATCH(P127,TZ_STN,0))))/24</f>
        <v>46305.9791666667</v>
      </c>
      <c r="S127" s="60"/>
      <c r="T127" s="60"/>
      <c r="U127" s="60"/>
      <c r="V127" s="60"/>
      <c r="W127" s="61"/>
      <c r="X127" s="60"/>
      <c r="Y127" s="60"/>
      <c r="Z127" s="60"/>
      <c r="AA127" s="60"/>
      <c r="AB127" s="60"/>
      <c r="AC127" s="60"/>
      <c r="AD127" s="66"/>
      <c r="AE127" s="60"/>
      <c r="AF127" s="61" t="str">
        <f aca="false">IF(AND(ISNUMBER(X127),ISNUMBER(Y127)),Y127-X127,"")</f>
        <v/>
      </c>
      <c r="AG127" s="62" t="str">
        <f aca="false">IF(ISNUMBER(AD127),AD127-(IF(AND(INDEX(TZ_DSTS,MATCH(P127,TZ_STN,0))&lt;&gt;"",(AD127-INDEX(TZ_STD,MATCH(P127,TZ_STN,0))/24)&gt;=INDEX(TZ_DSTS,MATCH(P127,TZ_STN,0)),(AD127-INDEX(TZ_STD,MATCH(P127,TZ_STN,0))/24)&lt;INDEX(TZ_DSTE,MATCH(P127,TZ_STN,0))),INDEX(TZ_DST,MATCH(P127,TZ_STN,0)),INDEX(TZ_STD,MATCH(P127,TZ_STN,0))))/24,"")</f>
        <v/>
      </c>
      <c r="AH127" s="65" t="str">
        <f aca="false">IFERROR(IF(N127="N/A – rule",IF(OR(TRIM(U127)="",TRIM(U127)="N/A",TRIM(U127)="Not started"),"N/A – RULE","INVALID – this check does not apply to this aircraft: clear the status (or correct the fleet on Flights)"),IF(TRIM(U127)="N/A",IF(AT127=0,"INVALID – N/A not permitted for this check",IF(AND(TRIM(AB127)&lt;&gt;"",TRIM(AB127)&lt;&gt;"Closed"),"INVALID – corrective action still open",IF(AND(NOT(OR(LEN(AZ127)&lt;15,ISNUMBER(MATCH(AZ127,L_Placeholder,0)))),BK127=0,CG127&gt;=8,NOT(OR(LEN(AU127)&lt;2,ISNUMBER(MATCH(AU127,L_Placeholder,0)))),BR127&gt;=3,NOT(OR(LEN(AX127)&lt;2,ISNUMBER(MATCH(AX127,L_Placeholder,0)))),BS127&gt;=3,TRIM(AE127)&lt;&gt;TRIM(T127),AX127&lt;&gt;AU127,CE127=0),"N/A – JUSTIFIED","INVALID – N/A needs a real, settled reason (not 'not applicable' / 'as above' / TBC), a named PIC and a different named verifier"))),IF(OR(TRIM(U127)="Pass",TRIM(U127)="Pass after CA"),IF(NOT(ISNUMBER(AD127)),"INVALID – completion time missing",IF(OR(OR(LEN(AU127)&lt;2,ISNUMBER(MATCH(AU127,L_Placeholder,0))),BR127&lt;3),"INVALID – PIC missing or not a named person (a role such as QA / CSM is not a name)",IF(OR(LEN(AV127)&lt;2,ISNUMBER(MATCH(AV127,L_Placeholder,0))),"INVALID – result / assessment missing",IF(OR(OR(LEN(AW127)&lt;3,ISNUMBER(MATCH(AW127,L_Placeholder,0))),SUMPRODUCT(--ISNUMBER(SEARCH(" "&amp;L_EvidencePhrase&amp;" ",BD127)))&gt;0,BI127=1),"INVALID – evidence missing, placeholder or not yet on file",IF(ISNA(MATCH(TRIM(S127),L_EvidenceType,0)),"INVALID – choose the evidence type from the list (column S)",IF(BL127=0,"INVALID – evidence ID must be the record's own ID only (e.g. SF-2210, IMG_2231, 1045521); a link / file name needs type 'Link / file path'",IF(OR(OR(LEN(AX127)&lt;2,ISNUMBER(MATCH(AX127,L_Placeholder,0))),BS127&lt;3),"INVALID – verifier missing or not a named person (a role such as QA / CSM is not a name)",IF(OR(AX127=AU127,CE127=1,AND(LEN(AU127)&gt;=4,ISNUMBER(SEARCH(AU127,AX127))),AND(LEN(AX127)&gt;=4,ISNUMBER(SEARCH(AX127,AU127)))),"INVALID – verifier must be a different, named person (not the PIC or a role)",IF(BH127=1,"INVALID – result not yet available (awaiting / TBC)",IF(BG127=1,"INVALID – result describes a problem: record Fail, then Pass after CA (or reword if it is not a problem)",IF(BV127=1,"INVALID – wording says not on board: an on-board confirmation needs the item loaded",IF(AND(AQ127=1,OR(OR(LEN(AY127)&lt;3,ISNUMBER(MATCH(AY127,L_Placeholder,0))),BJ127=1,BQ127=0)),"INVALID – batch ID missing, placeholder or not an ID (e.g. PASB-261008-BC-017)",IF(AND(AR127=1,OR(NOT(ISNUMBER(X127)),NOT(ISNUMBER(Y127)))),"INVALID – expected/actual qty missing",IF(AND(AR127=1,OR(X127&lt;=0,Y127&lt;0)),"INVALID – expected qty must be above 0 and actual not negative",IF(AH111="N/A – JUSTIFIED","INVALID – preparation row F04-T12-12 is N/A",IF(AND(AR127=1,ISNUMBER(X111),X127&lt;&gt;X111,TRIM(U127)&lt;&gt;"Pass after CA"),"INVALID – expected qty differs from preparation check F04-T12-12: record the load change as a corrective action (Pass after CA)",IF(BB127&lt;&gt;"",BB127,IF(AND(AS127=1,Documents!$J$8&lt;&gt;"ON FILE"),"INVALID – GLD not on file (Documents sheet)",IF(AND(AS127=2,Documents!$O$8&lt;&gt;"ON FILE"),"INVALID – menu checklist not on file (Documents sheet)",IF(AND(AS127=3,NOT(ISNUMBER(Flights!$AX$8))),"INVALID – enter carrying flight KUL departure (Flights AX)",IF(AND(AS127=3,OR(Flights!$AZ$8&gt;Flights!$AA$8,Flights!$AX$8&lt;Flights!$AA$8-3)),"INVALID – carrying flight (Flights AX) cannot arrive before this leg's STD, or is over 3 days early",IF(AG127&gt;AsOfUTC,"INVALID – completion time is in the future",IF(AND(ISNUMBER(BY127),AG127&lt;BY127),IF(H127="Physical uplift","INVALID – before uplift window (cannot confirm loading)","INVALID – before valid window"),IF(AG127&gt;Flights!$AA$8,"INVALID – completed after departure (cannot establish readiness)",IF(AND(H127="Preparation",AG127&gt;=IF(ISNUMBER(Flights!$BA$8),MIN(Flights!$BA$8,Flights!$AA$8),Flights!$AA$8)),"INVALID – completed after loading / departure (cannot establish readiness)",IF(AND(H127="Physical uplift",AG127&gt;Q127),"INVALID – recorded after the loading flight departed",IF(AG127&gt;Q127,"COMPLETE – LATE","COMPLETE"))))))))))))))))))))))))))),IF(TRIM(U127)="Fail","FAIL – DISCREPANCY",IF(AND(TRIM(U127)&lt;&gt;"",TRIM(U127)&lt;&gt;"Not started",TRIM(U127)&lt;&gt;"In progress"),"INVALID – unrecognised status (use the list)",IF(AsOfUTC&gt;Q127,"OVERDUE",IF(N127="Clarification required","OPEN – CLARIFICATION","OPEN"))))))),"INVALID – error value in an input cell")</f>
        <v>OPEN</v>
      </c>
      <c r="AI127" s="61" t="n">
        <f aca="false">IF(OR(AH127="N/A – RULE",AH127="N/A – JUSTIFIED"),0,1)</f>
        <v>1</v>
      </c>
      <c r="AJ127" s="61" t="n">
        <f aca="false">IF(LEFT(AH127,8)="COMPLETE",1,0)</f>
        <v>0</v>
      </c>
      <c r="AK127" s="61" t="n">
        <f aca="false">IF(AND(AI127=1,AJ127=0,AsOfUTC&gt;Q127),1,0)</f>
        <v>0</v>
      </c>
      <c r="AL127" s="61" t="n">
        <f aca="false">IFERROR(IF(AND(AI127=1,OR(TRIM(U127)="Fail",AND(TRIM(AB127)&lt;&gt;"",TRIM(AB127)&lt;&gt;"Closed"),AND(ISNUMBER(AF127),AF127&lt;&gt;0,TRIM(U127)&lt;&gt;"Pass after CA"))),1,0),1)</f>
        <v>0</v>
      </c>
      <c r="AM127" s="61" t="n">
        <f aca="false">IF(LEFT(AH127,7)="INVALID",1,0)</f>
        <v>0</v>
      </c>
      <c r="AN127" s="61" t="n">
        <f aca="false">IF(AND(N127="Clarification required",AI127=1,AJ127=0),1,0)</f>
        <v>0</v>
      </c>
      <c r="AO127" s="61" t="str">
        <f aca="false">IF(AK127=1,SUM(AK$5:AK127),"")</f>
        <v/>
      </c>
      <c r="AP127" s="61" t="str">
        <f aca="false">IF(AL127=1,SUM(AL$5:AL127),"")</f>
        <v/>
      </c>
      <c r="AQ127" s="61" t="n">
        <v>0</v>
      </c>
      <c r="AR127" s="61" t="n">
        <v>0</v>
      </c>
      <c r="AS127" s="61" t="n">
        <v>0</v>
      </c>
      <c r="AT127" s="61" t="n">
        <v>0</v>
      </c>
      <c r="AU127" s="61" t="str">
        <f aca="false">SUBSTITUTE(SUBSTITUTE(SUBSTITUTE(SUBSTITUTE(SUBSTITUTE(SUBSTITUTE(SUBSTITUTE(SUBSTITUTE(SUBSTITUTE(SUBSTITUTE(SUBSTITUTE(SUBSTITUTE(SUBSTITUTE(SUBSTITUTE(SUBSTITUTE(SUBSTITUTE(LOWER(T127&amp;""),CHAR(10),""),CHAR(13),""),CHAR(9),""),CHAR(160),"")," ",""),".",""),"-",""),"/",""),"?",""),"_",""),",",""),"[",""),"]",""),"(",""),")",""),"*","")</f>
        <v/>
      </c>
      <c r="AV127" s="61" t="str">
        <f aca="false">SUBSTITUTE(SUBSTITUTE(SUBSTITUTE(SUBSTITUTE(SUBSTITUTE(SUBSTITUTE(SUBSTITUTE(SUBSTITUTE(SUBSTITUTE(SUBSTITUTE(SUBSTITUTE(SUBSTITUTE(SUBSTITUTE(SUBSTITUTE(SUBSTITUTE(SUBSTITUTE(LOWER(V127&amp;""),CHAR(10),""),CHAR(13),""),CHAR(9),""),CHAR(160),"")," ",""),".",""),"-",""),"/",""),"?",""),"_",""),",",""),"[",""),"]",""),"(",""),")",""),"*","")</f>
        <v/>
      </c>
      <c r="AW127" s="61" t="str">
        <f aca="false">SUBSTITUTE(SUBSTITUTE(SUBSTITUTE(SUBSTITUTE(SUBSTITUTE(SUBSTITUTE(SUBSTITUTE(SUBSTITUTE(SUBSTITUTE(SUBSTITUTE(SUBSTITUTE(SUBSTITUTE(SUBSTITUTE(SUBSTITUTE(SUBSTITUTE(SUBSTITUTE(LOWER(Z127&amp;""),CHAR(10),""),CHAR(13),""),CHAR(9),""),CHAR(160),"")," ",""),".",""),"-",""),"/",""),"?",""),"_",""),",",""),"[",""),"]",""),"(",""),")",""),"*","")</f>
        <v/>
      </c>
      <c r="AX127" s="61" t="str">
        <f aca="false">SUBSTITUTE(SUBSTITUTE(SUBSTITUTE(SUBSTITUTE(SUBSTITUTE(SUBSTITUTE(SUBSTITUTE(SUBSTITUTE(SUBSTITUTE(SUBSTITUTE(SUBSTITUTE(SUBSTITUTE(SUBSTITUTE(SUBSTITUTE(SUBSTITUTE(SUBSTITUTE(LOWER(AE127&amp;""),CHAR(10),""),CHAR(13),""),CHAR(9),""),CHAR(160),"")," ",""),".",""),"-",""),"/",""),"?",""),"_",""),",",""),"[",""),"]",""),"(",""),")",""),"*","")</f>
        <v/>
      </c>
      <c r="AY127" s="61" t="str">
        <f aca="false">SUBSTITUTE(SUBSTITUTE(SUBSTITUTE(SUBSTITUTE(SUBSTITUTE(SUBSTITUTE(SUBSTITUTE(SUBSTITUTE(SUBSTITUTE(SUBSTITUTE(SUBSTITUTE(SUBSTITUTE(SUBSTITUTE(SUBSTITUTE(SUBSTITUTE(SUBSTITUTE(LOWER(W127&amp;""),CHAR(10),""),CHAR(13),""),CHAR(9),""),CHAR(160),"")," ",""),".",""),"-",""),"/",""),"?",""),"_",""),",",""),"[",""),"]",""),"(",""),")",""),"*","")</f>
        <v/>
      </c>
      <c r="AZ127" s="61" t="str">
        <f aca="false">SUBSTITUTE(SUBSTITUTE(SUBSTITUTE(SUBSTITUTE(SUBSTITUTE(SUBSTITUTE(SUBSTITUTE(SUBSTITUTE(SUBSTITUTE(SUBSTITUTE(SUBSTITUTE(SUBSTITUTE(SUBSTITUTE(SUBSTITUTE(SUBSTITUTE(SUBSTITUTE(LOWER(AC127&amp;""),CHAR(10),""),CHAR(13),""),CHAR(9),""),CHAR(160),"")," ",""),".",""),"-",""),"/",""),"?",""),"_",""),",",""),"[",""),"]",""),"(",""),")",""),"*","")</f>
        <v/>
      </c>
      <c r="BA127" s="61" t="str">
        <f aca="false">SUBSTITUTE(SUBSTITUTE(SUBSTITUTE(SUBSTITUTE(SUBSTITUTE(SUBSTITUTE(SUBSTITUTE(SUBSTITUTE(SUBSTITUTE(SUBSTITUTE(SUBSTITUTE(SUBSTITUTE(SUBSTITUTE(SUBSTITUTE(SUBSTITUTE(SUBSTITUTE(LOWER(AA127&amp;""),CHAR(10),""),CHAR(13),""),CHAR(9),""),CHAR(160),"")," ",""),".",""),"-",""),"/",""),"?",""),"_",""),",",""),"[",""),"]",""),"(",""),")",""),"*","")</f>
        <v/>
      </c>
      <c r="BB127" s="61" t="str">
        <f aca="false">IF(AND(TRIM(U127)="Pass",ISNUMBER(AF127)),IF(AF127&lt;&gt;0,"INVALID – qty variance: use Fail or Pass after CA",""),"")&amp;IF(AND(TRIM(U127)="Pass after CA",ISNUMBER(AF127)),IF(AF127&lt;&gt;0,"INVALID – after the corrective action the actual qty must equal expected (update Actual)",""),"")&amp;IF(AND(TRIM(U127)="Pass",TRIM(AB127)&lt;&gt;"",TRIM(AB127)&lt;&gt;"Closed"),"INVALID – corrective action not closed: use Fail, then Pass after CA","")&amp;IF(AND(LEN(BA127)&gt;=2,ISNA(MATCH(LEFT(BA127,255),L_Placeholder,0)),TRIM(AB127)=""),"INVALID – CA status missing for the recorded corrective action","")&amp;IF(AND(TRIM(U127)="Pass after CA",OR(OR(LEN(BA127)&lt;5,ISNUMBER(MATCH(BA127,L_Placeholder,0))),TRIM(AB127)&lt;&gt;"Closed")),"INVALID – corrective action not recorded/closed","")</f>
        <v/>
      </c>
      <c r="BC127" s="61" t="str">
        <f aca="false">" "&amp;TRIM(SUBSTITUTE(SUBSTITUTE(SUBSTITUTE(SUBSTITUTE(SUBSTITUTE(SUBSTITUTE(SUBSTITUTE(SUBSTITUTE(SUBSTITUTE(SUBSTITUTE(SUBSTITUTE(SUBSTITUTE(SUBSTITUTE(SUBSTITUTE(SUBSTITUTE(SUBSTITUTE(SUBSTITUTE(SUBSTITUTE(SUBSTITUTE(SUBSTITUTE(SUBSTITUTE(SUBSTITUTE(SUBSTITUTE(SUBSTITUTE(LOWER(V127&amp;""),CHAR(10)," "),CHAR(13)," "),CHAR(9)," "),CHAR(160)," "),"."," "),","," "),"-"," "),"/"," "),"("," "),")"," "),":"," "),";"," "),"_"," "),"–"," "),"?"," "),"!"," "),"*"," "),"["," "),"]"," "),"'"," "),"#"," "),"+"," "),"&amp;"," "),"\"," "))&amp;" "</f>
        <v>  </v>
      </c>
      <c r="BD127" s="61" t="str">
        <f aca="false">" "&amp;TRIM(SUBSTITUTE(SUBSTITUTE(SUBSTITUTE(SUBSTITUTE(SUBSTITUTE(SUBSTITUTE(SUBSTITUTE(SUBSTITUTE(SUBSTITUTE(SUBSTITUTE(SUBSTITUTE(SUBSTITUTE(SUBSTITUTE(SUBSTITUTE(SUBSTITUTE(SUBSTITUTE(SUBSTITUTE(SUBSTITUTE(SUBSTITUTE(SUBSTITUTE(SUBSTITUTE(SUBSTITUTE(SUBSTITUTE(SUBSTITUTE(LOWER(Z127&amp;""),CHAR(10)," "),CHAR(13)," "),CHAR(9)," "),CHAR(160)," "),"."," "),","," "),"-"," "),"/"," "),"("," "),")"," "),":"," "),";"," "),"_"," "),"–"," "),"?"," "),"!"," "),"*"," "),"["," "),"]"," "),"'"," "),"#"," "),"+"," "),"&amp;"," "),"\"," "))&amp;" "</f>
        <v>  </v>
      </c>
      <c r="BE127" s="61" t="str">
        <f aca="false">" "&amp;TRIM(SUBSTITUTE(SUBSTITUTE(SUBSTITUTE(SUBSTITUTE(SUBSTITUTE(SUBSTITUTE(SUBSTITUTE(SUBSTITUTE(SUBSTITUTE(SUBSTITUTE(SUBSTITUTE(SUBSTITUTE(SUBSTITUTE(SUBSTITUTE(SUBSTITUTE(SUBSTITUTE(SUBSTITUTE(SUBSTITUTE(SUBSTITUTE(SUBSTITUTE(SUBSTITUTE(SUBSTITUTE(SUBSTITUTE(SUBSTITUTE(LOWER(W127&amp;""),CHAR(10)," "),CHAR(13)," "),CHAR(9)," "),CHAR(160)," "),"."," "),","," "),"-"," "),"/"," "),"("," "),")"," "),":"," "),";"," "),"_"," "),"–"," "),"?"," "),"!"," "),"*"," "),"["," "),"]"," "),"'"," "),"#"," "),"+"," "),"&amp;"," "),"\"," "))&amp;" "</f>
        <v>  </v>
      </c>
      <c r="BF127" s="61" t="str">
        <f aca="false">" "&amp;TRIM(SUBSTITUTE(SUBSTITUTE(SUBSTITUTE(SUBSTITUTE(SUBSTITUTE(SUBSTITUTE(SUBSTITUTE(SUBSTITUTE(SUBSTITUTE(SUBSTITUTE(SUBSTITUTE(SUBSTITUTE(SUBSTITUTE(SUBSTITUTE(SUBSTITUTE(SUBSTITUTE(SUBSTITUTE(SUBSTITUTE(SUBSTITUTE(SUBSTITUTE(SUBSTITUTE(SUBSTITUTE(SUBSTITUTE(SUBSTITUTE(LOWER(AC127&amp;""),CHAR(10)," "),CHAR(13)," "),CHAR(9)," "),CHAR(160)," "),"."," "),","," "),"-"," "),"/"," "),"("," "),")"," "),":"," "),";"," "),"_"," "),"–"," "),"?"," "),"!"," "),"*"," "),"["," "),"]"," "),"'"," "),"#"," "),"+"," "),"&amp;"," "),"\"," "))&amp;" "</f>
        <v>  </v>
      </c>
      <c r="BG127" s="61" t="n">
        <f aca="false">IFERROR(IF(AND(TRIM(U127)="Pass",SUMPRODUCT((LEN(BC127)-LEN(SUBSTITUTE(BC127," "&amp;L_ResultBad&amp;" "," ")))/(LEN(L_ResultBad)+1))&gt;SUMPRODUCT((LEN(BC127)-LEN(SUBSTITUTE(BC127," "&amp;L_NegPhrase&amp;" "," ")))/(LEN(L_NegPhrase)+1))),1,0),0)</f>
        <v>0</v>
      </c>
      <c r="BH127" s="61" t="n">
        <f aca="false">IFERROR(IF(SUMPRODUCT((LEN(BC127)-LEN(SUBSTITUTE(BC127," "&amp;L_Pending&amp;" "," ")))/(LEN(L_Pending)+1))&gt;SUMPRODUCT((LEN(BC127)-LEN(SUBSTITUTE(BC127," "&amp;L_PendNeg&amp;" "," ")))/(LEN(L_PendNeg)+1)),1,0),1)</f>
        <v>0</v>
      </c>
      <c r="BI127" s="61" t="n">
        <f aca="false">IFERROR(IF(SUMPRODUCT((LEN(BD127)-LEN(SUBSTITUTE(BD127," "&amp;L_PendStrict&amp;" "," ")))/(LEN(L_PendStrict)+1))&gt;SUMPRODUCT((LEN(BD127)-LEN(SUBSTITUTE(BD127," "&amp;L_PendNeg&amp;" "," ")))/(LEN(L_PendNeg)+1)),1,0),1)</f>
        <v>0</v>
      </c>
      <c r="BJ127" s="61" t="n">
        <f aca="false">IFERROR(IF(SUMPRODUCT((LEN(BE127)-LEN(SUBSTITUTE(BE127," "&amp;L_Pending&amp;" "," ")))/(LEN(L_Pending)+1))&gt;SUMPRODUCT((LEN(BE127)-LEN(SUBSTITUTE(BE127," "&amp;L_PendNeg&amp;" "," ")))/(LEN(L_PendNeg)+1)),1,0),1)</f>
        <v>0</v>
      </c>
      <c r="BK127" s="61" t="n">
        <f aca="false">IFERROR(IF(SUMPRODUCT((LEN(BF127)-LEN(SUBSTITUTE(BF127," "&amp;L_PendStrict&amp;" "," ")))/(LEN(L_PendStrict)+1))&gt;SUMPRODUCT((LEN(BF127)-LEN(SUBSTITUTE(BF127," "&amp;L_PendNeg&amp;" "," ")))/(LEN(L_PendNeg)+1)),1,0),1)</f>
        <v>0</v>
      </c>
      <c r="BL127" s="61" t="n">
        <f aca="false">IF(ISNA(MATCH(TRIM(S127),L_EvidenceType,0)),0,BZ127)</f>
        <v>0</v>
      </c>
      <c r="BM127" s="61" t="str">
        <f aca="false">SUBSTITUTE(SUBSTITUTE(SUBSTITUTE(SUBSTITUTE(SUBSTITUTE(SUBSTITUTE(SUBSTITUTE(SUBSTITUTE(SUBSTITUTE(LOWER(Z127&amp;""),"1","0"),"2","0"),"3","0"),"4","0"),"5","0"),"6","0"),"7","0"),"8","0"),"9","0")</f>
        <v/>
      </c>
      <c r="BN127" s="61" t="str">
        <f aca="false">SUBSTITUTE(SUBSTITUTE(SUBSTITUTE(SUBSTITUTE(SUBSTITUTE(SUBSTITUTE(SUBSTITUTE(SUBSTITUTE(SUBSTITUTE(SUBSTITUTE(SUBSTITUTE(SUBSTITUTE(SUBSTITUTE(SUBSTITUTE(SUBSTITUTE(SUBSTITUTE(SUBSTITUTE(SUBSTITUTE(SUBSTITUTE(SUBSTITUTE(SUBSTITUTE(SUBSTITUTE(SUBSTITUTE(SUBSTITUTE(SUBSTITUTE(BM127,"b","a"),"c","a"),"d","a"),"e","a"),"f","a"),"g","a"),"h","a"),"i","a"),"j","a"),"k","a"),"l","a"),"m","a"),"n","a"),"o","a"),"p","a"),"q","a"),"r","a"),"s","a"),"t","a"),"u","a"),"v","a"),"w","a"),"x","a"),"y","a"),"z","a")</f>
        <v/>
      </c>
      <c r="BO127" s="61" t="str">
        <f aca="false">SUBSTITUTE(SUBSTITUTE(SUBSTITUTE(SUBSTITUTE(SUBSTITUTE(SUBSTITUTE(SUBSTITUTE(SUBSTITUTE(SUBSTITUTE(LOWER(W127&amp;""),"1","0"),"2","0"),"3","0"),"4","0"),"5","0"),"6","0"),"7","0"),"8","0"),"9","0")</f>
        <v/>
      </c>
      <c r="BP127" s="61" t="str">
        <f aca="false">SUBSTITUTE(SUBSTITUTE(SUBSTITUTE(SUBSTITUTE(SUBSTITUTE(SUBSTITUTE(SUBSTITUTE(SUBSTITUTE(SUBSTITUTE(SUBSTITUTE(SUBSTITUTE(SUBSTITUTE(SUBSTITUTE(SUBSTITUTE(SUBSTITUTE(SUBSTITUTE(SUBSTITUTE(SUBSTITUTE(SUBSTITUTE(SUBSTITUTE(SUBSTITUTE(SUBSTITUTE(SUBSTITUTE(SUBSTITUTE(SUBSTITUTE(BO127,"b","a"),"c","a"),"d","a"),"e","a"),"f","a"),"g","a"),"h","a"),"i","a"),"j","a"),"k","a"),"l","a"),"m","a"),"n","a"),"o","a"),"p","a"),"q","a"),"r","a"),"s","a"),"t","a"),"u","a"),"v","a"),"w","a"),"x","a"),"y","a"),"z","a")</f>
        <v/>
      </c>
      <c r="BQ127" s="61" t="n">
        <f aca="false">IFERROR(IF(AND(ISERROR(SEARCH(" mh"," "&amp;LOWER(W127))),ISNA(MATCH(LEFT(TRIM(BP127),255),{"0000a","000a","00a","0000aa","000aa","00aa","0aa","0000aaa","000aaa","00a00","0a00","0000-0000","00:00","a00","a0","00.00.0000","00/00/0000","00-00-0000","0000-00-00","0000/00/00","0000.00.00","00.00.00","00/00/00","00-00-00","0.00.0000","0/00/0000","0-00-0000"},0)),ISNA(MATCH(LEFT(TRIM(CA127),255),{"0000a","000a","00a","0000aa","000aa","00aa","0aa","0000aaa","000aaa","00a00","0a00","0000-0000","00:00","a00","a0","00.00.0000","00/00/0000","00-00-0000","0000-00-00","0000/00/00","0000.00.00","00.00.00","00/00/00","00-00-00","0.00.0000","0/00/0000","0-00-0000"},0)),LEN(CB127)&gt;=3,NOT(OR(SUBSTITUTE(CB127,"0","")="",AND(LEN(CB127)&gt;=4,CB127=REPT(LEFT(CB127),LEN(CB127))),ISNUMBER(MATCH(CB127,{"123","1234","12345","123456","1234567","12345678","0123","01234","012345","98765","987654","54321"},0)),AND(LEN(CB127)=8,LEFT(CB127,3)="202"))),OR(AND((LEN(CA127)-LEN(SUBSTITUTE(CA127,"a","")))&gt;=1,SUMPRODUCT(--ISNUMBER(SEARCH({"a0","a-0","a_0","a/0","a.0","a#0","0a","0-a","0_a","0/a"},BP127)))&gt;0),ISNUMBER(SEARCH("000000",BP127)))),1,0),0)</f>
        <v>0</v>
      </c>
      <c r="BR127" s="61" t="n">
        <f aca="false">IFERROR(LEN(SUBSTITUTE(CC127," ",""))-SUMPRODUCT((LEN(CC127)-LEN(SUBSTITUTE(CC127," "&amp;L_Role&amp;" "," ")))/(LEN(L_Role)+1)*LEN(L_Role)),0)</f>
        <v>0</v>
      </c>
      <c r="BS127" s="61" t="n">
        <f aca="false">IFERROR(LEN(SUBSTITUTE(CD127," ",""))-SUMPRODUCT((LEN(CD127)-LEN(SUBSTITUTE(CD127," "&amp;L_Role&amp;" "," ")))/(LEN(L_Role)+1)*LEN(L_Role)),0)</f>
        <v>0</v>
      </c>
      <c r="BT1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127,"revision",""),"version",""),"jan",""),"feb",""),"mar",""),"apr",""),"may",""),"jun",""),"jul",""),"aug",""),"sep",""),"oct",""),"nov",""),"dec",""),"utc",""),"gmt",""),"myt",""),"bst",""),"rev",""),"ver",""),"b","a"),"c","a"),"d","a"),"e","a"),"f","a"),"g","a"),"h","a"),"i","a"),"j","a"),"k","a"),"l","a"),"m","a"),"n","a"),"o","a"),"p","a"),"q","a"),"r","a"),"s","a"),"t","a"),"u","a"),"v","a"),"w","a"),"x","a"),"y","a"),"z","a")</f>
        <v/>
      </c>
      <c r="BU127" s="61" t="str">
        <f aca="false">SUBSTITUTE(SUBSTITUTE(SUBSTITUTE(SUBSTITUTE(SUBSTITUTE(SUBSTITUTE(SUBSTITUTE(SUBSTITUTE(SUBSTITUTE(SUBSTITUTE(LEFT(BM127,FIND("0",BM127&amp;"0")-1),"-",""),"_",""),"/",""),".",""),"#",""),"\\",""),":","")," ",""),"(",""),")","")</f>
        <v/>
      </c>
      <c r="BV127" s="61" t="n">
        <f aca="false">IFERROR(IF(OR(SUMPRODUCT((LEN(BC127)-LEN(SUBSTITUTE(BC127," "&amp;L_NotLoaded&amp;" "," ")))/(LEN(L_NotLoaded)+1))&gt;SUMPRODUCT((LEN(BC127)-LEN(SUBSTITUTE(BC127," "&amp;L_NotLoadedNeg&amp;" "," ")))/(LEN(L_NotLoadedNeg)+1)),SUMPRODUCT((LEN(BD127)-LEN(SUBSTITUTE(BD127," "&amp;L_NotLoaded&amp;" "," ")))/(LEN(L_NotLoaded)+1))&gt;SUMPRODUCT((LEN(BD127)-LEN(SUBSTITUTE(BD127," "&amp;L_NotLoadedNeg&amp;" "," ")))/(LEN(L_NotLoadedNeg)+1))),1,0),0)</f>
        <v>0</v>
      </c>
      <c r="BW1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127&amp;""),"a",""),"b",""),"c",""),"d",""),"e",""),"f",""),"g",""),"h",""),"i",""),"j",""),"k",""),"l",""),"m",""),"n",""),"o",""),"p",""),"q",""),"r",""),"s",""),"t",""),"u",""),"v",""),"w",""),"x",""),"y",""),"z",""),"-",""),"_",""),"/",""),".",""),"#",""),"\\",""),":","")," ",""),"(",""),")","")</f>
        <v/>
      </c>
      <c r="BX127" s="61" t="str">
        <f aca="false">SUBSTITUTE(SUBSTITUTE(SUBSTITUTE(SUBSTITUTE(SUBSTITUTE(SUBSTITUTE(SUBSTITUTE(SUBSTITUTE(SUBSTITUTE(SUBSTITUTE(SUBSTITUTE(BM127,"0",""),"-",""),"_",""),"/",""),".",""),"#",""),"\\",""),":","")," ",""),"(",""),")","")</f>
        <v/>
      </c>
      <c r="BY127" s="62" t="n">
        <f aca="false">IF(ISNUMBER(Flights!$AZ$8),MAX(Q127-UpliftWindowH/24,Flights!$AZ$8),Q127-UpliftWindowH/24)</f>
        <v>46305.3958333333</v>
      </c>
      <c r="BZ127" s="61" t="n">
        <f aca="false">IFERROR(IF(IF(TRIM(S127)="Link / file path",AND(LEN(TRIM(Z127))&gt;=5,SUMPRODUCT(--ISNUMBER(SEARCH({"http","www.","\\",":\",".pdf",".jpg",".jpeg",".png",".heic",".xls",".doc",".msg",".eml",".ppt",".txt",".zip"},Z127)))&gt;0),AND(ISERROR(FIND(" ",TRIM(Z127))),NOT(OR(SUMPRODUCT(--ISNUMBER(FIND({",",";","&amp;","+"},Z127)))&gt;0,SUMPRODUCT(--ISNUMBER(SEARCH({"0/aa","0\\aa"},BN127)))&gt;0)),NOT(SUMPRODUCT(--ISNUMBER(SEARCH({"http","www.","\\",":\",".pdf",".jpg",".jpeg",".png",".heic",".xls",".doc",".msg",".eml",".ppt",".txt",".zip"},Z127)))&gt;0),NOT(LOWER(TRIM(Z127))=LOWER(Flights!$F$8)),ISNA(MATCH(BU127,{"mh","rev","revision","ver","version","v","r","a","b","seat","tray","row","gate","bay","stand","page","pg","item","line","no","cart","galley","flight","flt","table","box","bag","oven","etd","eta","std","sta","atd","ata","qty","pax","x","time","tel","ph","mob","day","wk","week","utc","gmt","myt","lt"},0)),NOT(OR(ISNUMBER(MATCH(LEFT(BN127,255),{"0000a","000a","00a","0000aa","000aa","00aa","0aa","0000aaa","000aaa","00a00","0a00","0000-0000","00:00","a00","a0","00.00.0000","00/00/0000","00-00-0000","0000-00-00","0000/00/00","0000.00.00","00.00.00","00/00/00","00-00-00","0.00.0000","0/00/0000","0-00-0000"},0)),ISNUMBER(MATCH(LEFT(BT127,255),{"0000a","000a","00a","0000aa","000aa","00aa","0aa","0000aaa","000aaa","00a00","0a00","0000-0000","00:00","a00","a0","00.00.0000","00/00/0000","00-00-0000","0000-00-00","0000/00/00","0000.00.00","00.00.00","00/00/00","00-00-00","0.00.0000","0/00/0000","0-00-0000"},0)))),NOT(OR(AND(BW127&lt;&gt;"",SUBSTITUTE(BW127,"0","")=""),AND(LEN(BW127)&gt;=4,BW127=REPT(LEFT(BW127),LEN(BW127))),ISNUMBER(MATCH(BW127,{"123","1234","12345","123456","1234567","12345678","0123","01234","012345","98765","987654","54321"},0)),ISNUMBER(MATCH(BX127,{"x","xx","xxx","xxxx","xxxxx","abc","abcd","nil","na","nan","test","tbc","tba","tbd","dummy","sample","example","eg","zz","zzz","none","null","xyz","qwe","asd","id","ref"},0)),AND(LEN(BW127)=8,BX127="",OR(LEFT(BW127,3)="202",ISNUMBER(MATCH(RIGHT(BW127,4),{"2025","2026","2027"},0)))))),OR(AND((LEN(BT127)-LEN(SUBSTITUTE(BT127,"a","")))&gt;=1,(LEN(BN127)-LEN(SUBSTITUTE(BN127,"0","")))&gt;=2,SUMPRODUCT(--ISNUMBER(SEARCH({"a0","a-0","a_0","a/0","a.0","a#0","0a","0-a","0_a","0/a"},BN127)))&gt;0),AND((LEN(BN127)-LEN(SUBSTITUTE(BN127,"a","")))=0,(LEN(BN127)-LEN(SUBSTITUTE(BN127,"0","")))&gt;=5)))),1,0),0)</f>
        <v>0</v>
      </c>
      <c r="CA1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127,"revision",""),"version",""),"jan",""),"feb",""),"mar",""),"apr",""),"may",""),"jun",""),"jul",""),"aug",""),"sep",""),"oct",""),"nov",""),"dec",""),"utc",""),"gmt",""),"myt",""),"bst",""),"rev",""),"ver",""),"b","a"),"c","a"),"d","a"),"e","a"),"f","a"),"g","a"),"h","a"),"i","a"),"j","a"),"k","a"),"l","a"),"m","a"),"n","a"),"o","a"),"p","a"),"q","a"),"r","a"),"s","a"),"t","a"),"u","a"),"v","a"),"w","a"),"x","a"),"y","a"),"z","a")</f>
        <v/>
      </c>
      <c r="CB1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127&amp;""),"a",""),"b",""),"c",""),"d",""),"e",""),"f",""),"g",""),"h",""),"i",""),"j",""),"k",""),"l",""),"m",""),"n",""),"o",""),"p",""),"q",""),"r",""),"s",""),"t",""),"u",""),"v",""),"w",""),"x",""),"y",""),"z",""),"-",""),"_",""),"/",""),".",""),"#",""),"\\",""),":","")," ",""),"(",""),")","")</f>
        <v/>
      </c>
      <c r="CC127" s="0" t="str">
        <f aca="false">" "&amp;TRIM(SUBSTITUTE(SUBSTITUTE(SUBSTITUTE(SUBSTITUTE(SUBSTITUTE(SUBSTITUTE(SUBSTITUTE(SUBSTITUTE(SUBSTITUTE(SUBSTITUTE(SUBSTITUTE(SUBSTITUTE(SUBSTITUTE(SUBSTITUTE(SUBSTITUTE(SUBSTITUTE(SUBSTITUTE(SUBSTITUTE(SUBSTITUTE(SUBSTITUTE(SUBSTITUTE(SUBSTITUTE(SUBSTITUTE(SUBSTITUTE(LOWER(T127&amp;""),CHAR(10)," "),CHAR(13)," "),CHAR(9)," "),CHAR(160)," "),"."," "),","," "),"-"," "),"/"," "),"("," "),")"," "),":"," "),";"," "),"_"," "),"–"," "),"?"," "),"!"," "),"*"," "),"["," "),"]"," "),"'"," "),"#"," "),"+"," "),"&amp;"," "),"\"," "))&amp;" "</f>
        <v>  </v>
      </c>
      <c r="CD127" s="0" t="str">
        <f aca="false">" "&amp;TRIM(SUBSTITUTE(SUBSTITUTE(SUBSTITUTE(SUBSTITUTE(SUBSTITUTE(SUBSTITUTE(SUBSTITUTE(SUBSTITUTE(SUBSTITUTE(SUBSTITUTE(SUBSTITUTE(SUBSTITUTE(SUBSTITUTE(SUBSTITUTE(SUBSTITUTE(SUBSTITUTE(SUBSTITUTE(SUBSTITUTE(SUBSTITUTE(SUBSTITUTE(SUBSTITUTE(SUBSTITUTE(SUBSTITUTE(SUBSTITUTE(LOWER(AE127&amp;""),CHAR(10)," "),CHAR(13)," "),CHAR(9)," "),CHAR(160)," "),"."," "),","," "),"-"," "),"/"," "),"("," "),")"," "),":"," "),";"," "),"_"," "),"–"," "),"?"," "),"!"," "),"*"," "),"["," "),"]"," "),"'"," "),"#"," "),"+"," "),"&amp;"," "),"\"," "))&amp;" "</f>
        <v>  </v>
      </c>
      <c r="CE127" s="68" t="n">
        <f aca="false">IFERROR(IF(AND(LEN(AU127)&gt;0,LEN(AU127)=LEN(AX127),OR(TRIM(MID(SUBSTITUTE(TRIM(CC127)," ",REPT(" ",60)),1,60))="",ISNUMBER(SEARCH(" "&amp;TRIM(MID(SUBSTITUTE(TRIM(CC127)," ",REPT(" ",60)),1,60))&amp;" ",CD127))),OR(TRIM(MID(SUBSTITUTE(TRIM(CC127)," ",REPT(" ",60)),61,60))="",ISNUMBER(SEARCH(" "&amp;TRIM(MID(SUBSTITUTE(TRIM(CC127)," ",REPT(" ",60)),61,60))&amp;" ",CD127))),OR(TRIM(MID(SUBSTITUTE(TRIM(CC127)," ",REPT(" ",60)),121,60))="",ISNUMBER(SEARCH(" "&amp;TRIM(MID(SUBSTITUTE(TRIM(CC127)," ",REPT(" ",60)),121,60))&amp;" ",CD127)))),1,0),0)</f>
        <v>0</v>
      </c>
      <c r="CG127" s="68" t="n">
        <f aca="false">IFERROR(LEN(SUBSTITUTE(BF127," ",""))-SUMPRODUCT((LEN(BF127)-LEN(SUBSTITUTE(BF127," "&amp;L_NAFiller&amp;" "," ")))/(LEN(L_NAFiller)+1)*LEN(L_NAFiller)),0)</f>
        <v>0</v>
      </c>
    </row>
    <row r="128" customFormat="false" ht="39.75" hidden="false" customHeight="true" outlineLevel="0" collapsed="false">
      <c r="A128" s="57" t="s">
        <v>647</v>
      </c>
      <c r="B128" s="57" t="s">
        <v>218</v>
      </c>
      <c r="C128" s="57" t="str">
        <f aca="false">Flights!$F$8</f>
        <v>MH0088</v>
      </c>
      <c r="D128" s="58" t="n">
        <f aca="false">Flights!$D$8</f>
        <v>46305</v>
      </c>
      <c r="E128" s="57" t="str">
        <f aca="false">Flights!$G$8&amp;"-"&amp;Flights!$H$8</f>
        <v>KUL-NRT</v>
      </c>
      <c r="F128" s="57" t="str">
        <f aca="false">Flights!$K$8</f>
        <v>BC</v>
      </c>
      <c r="G128" s="57" t="s">
        <v>459</v>
      </c>
      <c r="H128" s="57" t="s">
        <v>460</v>
      </c>
      <c r="I128" s="57" t="s">
        <v>499</v>
      </c>
      <c r="J128" s="57" t="s">
        <v>543</v>
      </c>
      <c r="K128" s="67" t="s">
        <v>501</v>
      </c>
      <c r="L128" s="67" t="s">
        <v>612</v>
      </c>
      <c r="M128" s="67" t="s">
        <v>451</v>
      </c>
      <c r="N128" s="67" t="s">
        <v>383</v>
      </c>
      <c r="O128" s="67"/>
      <c r="P128" s="57" t="s">
        <v>187</v>
      </c>
      <c r="Q128" s="59" t="n">
        <f aca="false">ROUND((Flights!$AF$8)*1440,0)/1440</f>
        <v>46305.6458333333</v>
      </c>
      <c r="R128" s="59" t="n">
        <f aca="false">Q128+(IF(AND(INDEX(TZ_DSTS,MATCH(P128,TZ_STN,0))&lt;&gt;"",Q128&gt;=INDEX(TZ_DSTS,MATCH(P128,TZ_STN,0)),Q128&lt;INDEX(TZ_DSTE,MATCH(P128,TZ_STN,0))),INDEX(TZ_DST,MATCH(P128,TZ_STN,0)),INDEX(TZ_STD,MATCH(P128,TZ_STN,0))))/24</f>
        <v>46305.9791666667</v>
      </c>
      <c r="S128" s="60"/>
      <c r="T128" s="60"/>
      <c r="U128" s="60"/>
      <c r="V128" s="60"/>
      <c r="W128" s="61"/>
      <c r="X128" s="60"/>
      <c r="Y128" s="60"/>
      <c r="Z128" s="60"/>
      <c r="AA128" s="60"/>
      <c r="AB128" s="60"/>
      <c r="AC128" s="60"/>
      <c r="AD128" s="66"/>
      <c r="AE128" s="60"/>
      <c r="AF128" s="61" t="str">
        <f aca="false">IF(AND(ISNUMBER(X128),ISNUMBER(Y128)),Y128-X128,"")</f>
        <v/>
      </c>
      <c r="AG128" s="62" t="str">
        <f aca="false">IF(ISNUMBER(AD128),AD128-(IF(AND(INDEX(TZ_DSTS,MATCH(P128,TZ_STN,0))&lt;&gt;"",(AD128-INDEX(TZ_STD,MATCH(P128,TZ_STN,0))/24)&gt;=INDEX(TZ_DSTS,MATCH(P128,TZ_STN,0)),(AD128-INDEX(TZ_STD,MATCH(P128,TZ_STN,0))/24)&lt;INDEX(TZ_DSTE,MATCH(P128,TZ_STN,0))),INDEX(TZ_DST,MATCH(P128,TZ_STN,0)),INDEX(TZ_STD,MATCH(P128,TZ_STN,0))))/24,"")</f>
        <v/>
      </c>
      <c r="AH128" s="65" t="str">
        <f aca="false">IFERROR(IF(N128="N/A – rule",IF(OR(TRIM(U128)="",TRIM(U128)="N/A",TRIM(U128)="Not started"),"N/A – RULE","INVALID – this check does not apply to this aircraft: clear the status (or correct the fleet on Flights)"),IF(TRIM(U128)="N/A",IF(AT128=0,"INVALID – N/A not permitted for this check",IF(AND(TRIM(AB128)&lt;&gt;"",TRIM(AB128)&lt;&gt;"Closed"),"INVALID – corrective action still open",IF(AND(NOT(OR(LEN(AZ128)&lt;15,ISNUMBER(MATCH(AZ128,L_Placeholder,0)))),BK128=0,CG128&gt;=8,NOT(OR(LEN(AU128)&lt;2,ISNUMBER(MATCH(AU128,L_Placeholder,0)))),BR128&gt;=3,NOT(OR(LEN(AX128)&lt;2,ISNUMBER(MATCH(AX128,L_Placeholder,0)))),BS128&gt;=3,TRIM(AE128)&lt;&gt;TRIM(T128),AX128&lt;&gt;AU128,CE128=0),"N/A – JUSTIFIED","INVALID – N/A needs a real, settled reason (not 'not applicable' / 'as above' / TBC), a named PIC and a different named verifier"))),IF(OR(TRIM(U128)="Pass",TRIM(U128)="Pass after CA"),IF(NOT(ISNUMBER(AD128)),"INVALID – completion time missing",IF(OR(OR(LEN(AU128)&lt;2,ISNUMBER(MATCH(AU128,L_Placeholder,0))),BR128&lt;3),"INVALID – PIC missing or not a named person (a role such as QA / CSM is not a name)",IF(OR(LEN(AV128)&lt;2,ISNUMBER(MATCH(AV128,L_Placeholder,0))),"INVALID – result / assessment missing",IF(OR(OR(LEN(AW128)&lt;3,ISNUMBER(MATCH(AW128,L_Placeholder,0))),SUMPRODUCT(--ISNUMBER(SEARCH(" "&amp;L_EvidencePhrase&amp;" ",BD128)))&gt;0,BI128=1),"INVALID – evidence missing, placeholder or not yet on file",IF(ISNA(MATCH(TRIM(S128),L_EvidenceType,0)),"INVALID – choose the evidence type from the list (column S)",IF(BL128=0,"INVALID – evidence ID must be the record's own ID only (e.g. SF-2210, IMG_2231, 1045521); a link / file name needs type 'Link / file path'",IF(OR(OR(LEN(AX128)&lt;2,ISNUMBER(MATCH(AX128,L_Placeholder,0))),BS128&lt;3),"INVALID – verifier missing or not a named person (a role such as QA / CSM is not a name)",IF(OR(AX128=AU128,CE128=1,AND(LEN(AU128)&gt;=4,ISNUMBER(SEARCH(AU128,AX128))),AND(LEN(AX128)&gt;=4,ISNUMBER(SEARCH(AX128,AU128)))),"INVALID – verifier must be a different, named person (not the PIC or a role)",IF(BH128=1,"INVALID – result not yet available (awaiting / TBC)",IF(BG128=1,"INVALID – result describes a problem: record Fail, then Pass after CA (or reword if it is not a problem)",IF(BV128=1,"INVALID – wording says not on board: an on-board confirmation needs the item loaded",IF(AND(AQ128=1,OR(OR(LEN(AY128)&lt;3,ISNUMBER(MATCH(AY128,L_Placeholder,0))),BJ128=1,BQ128=0)),"INVALID – batch ID missing, placeholder or not an ID (e.g. PASB-261008-BC-017)",IF(AND(AR128=1,OR(NOT(ISNUMBER(X128)),NOT(ISNUMBER(Y128)))),"INVALID – expected/actual qty missing",IF(AND(AR128=1,OR(X128&lt;=0,Y128&lt;0)),"INVALID – expected qty must be above 0 and actual not negative",IF(AH112="N/A – JUSTIFIED","INVALID – preparation row F04-T12-13 is N/A",IF(AND(AR128=1,ISNUMBER(X112),X128&lt;&gt;X112,TRIM(U128)&lt;&gt;"Pass after CA"),"INVALID – expected qty differs from preparation check F04-T12-13: record the load change as a corrective action (Pass after CA)",IF(BB128&lt;&gt;"",BB128,IF(AND(AS128=1,Documents!$J$8&lt;&gt;"ON FILE"),"INVALID – GLD not on file (Documents sheet)",IF(AND(AS128=2,Documents!$O$8&lt;&gt;"ON FILE"),"INVALID – menu checklist not on file (Documents sheet)",IF(AND(AS128=3,NOT(ISNUMBER(Flights!$AX$8))),"INVALID – enter carrying flight KUL departure (Flights AX)",IF(AND(AS128=3,OR(Flights!$AZ$8&gt;Flights!$AA$8,Flights!$AX$8&lt;Flights!$AA$8-3)),"INVALID – carrying flight (Flights AX) cannot arrive before this leg's STD, or is over 3 days early",IF(AG128&gt;AsOfUTC,"INVALID – completion time is in the future",IF(AND(ISNUMBER(BY128),AG128&lt;BY128),IF(H128="Physical uplift","INVALID – before uplift window (cannot confirm loading)","INVALID – before valid window"),IF(AG128&gt;Flights!$AA$8,"INVALID – completed after departure (cannot establish readiness)",IF(AND(H128="Preparation",AG128&gt;=IF(ISNUMBER(Flights!$BA$8),MIN(Flights!$BA$8,Flights!$AA$8),Flights!$AA$8)),"INVALID – completed after loading / departure (cannot establish readiness)",IF(AND(H128="Physical uplift",AG128&gt;Q128),"INVALID – recorded after the loading flight departed",IF(AG128&gt;Q128,"COMPLETE – LATE","COMPLETE"))))))))))))))))))))))))))),IF(TRIM(U128)="Fail","FAIL – DISCREPANCY",IF(AND(TRIM(U128)&lt;&gt;"",TRIM(U128)&lt;&gt;"Not started",TRIM(U128)&lt;&gt;"In progress"),"INVALID – unrecognised status (use the list)",IF(AsOfUTC&gt;Q128,"OVERDUE",IF(N128="Clarification required","OPEN – CLARIFICATION","OPEN"))))))),"INVALID – error value in an input cell")</f>
        <v>OPEN</v>
      </c>
      <c r="AI128" s="61" t="n">
        <f aca="false">IF(OR(AH128="N/A – RULE",AH128="N/A – JUSTIFIED"),0,1)</f>
        <v>1</v>
      </c>
      <c r="AJ128" s="61" t="n">
        <f aca="false">IF(LEFT(AH128,8)="COMPLETE",1,0)</f>
        <v>0</v>
      </c>
      <c r="AK128" s="61" t="n">
        <f aca="false">IF(AND(AI128=1,AJ128=0,AsOfUTC&gt;Q128),1,0)</f>
        <v>0</v>
      </c>
      <c r="AL128" s="61" t="n">
        <f aca="false">IFERROR(IF(AND(AI128=1,OR(TRIM(U128)="Fail",AND(TRIM(AB128)&lt;&gt;"",TRIM(AB128)&lt;&gt;"Closed"),AND(ISNUMBER(AF128),AF128&lt;&gt;0,TRIM(U128)&lt;&gt;"Pass after CA"))),1,0),1)</f>
        <v>0</v>
      </c>
      <c r="AM128" s="61" t="n">
        <f aca="false">IF(LEFT(AH128,7)="INVALID",1,0)</f>
        <v>0</v>
      </c>
      <c r="AN128" s="61" t="n">
        <f aca="false">IF(AND(N128="Clarification required",AI128=1,AJ128=0),1,0)</f>
        <v>0</v>
      </c>
      <c r="AO128" s="61" t="str">
        <f aca="false">IF(AK128=1,SUM(AK$5:AK128),"")</f>
        <v/>
      </c>
      <c r="AP128" s="61" t="str">
        <f aca="false">IF(AL128=1,SUM(AL$5:AL128),"")</f>
        <v/>
      </c>
      <c r="AQ128" s="61" t="n">
        <v>0</v>
      </c>
      <c r="AR128" s="61" t="n">
        <v>0</v>
      </c>
      <c r="AS128" s="61" t="n">
        <v>0</v>
      </c>
      <c r="AT128" s="61" t="n">
        <v>0</v>
      </c>
      <c r="AU128" s="61" t="str">
        <f aca="false">SUBSTITUTE(SUBSTITUTE(SUBSTITUTE(SUBSTITUTE(SUBSTITUTE(SUBSTITUTE(SUBSTITUTE(SUBSTITUTE(SUBSTITUTE(SUBSTITUTE(SUBSTITUTE(SUBSTITUTE(SUBSTITUTE(SUBSTITUTE(SUBSTITUTE(SUBSTITUTE(LOWER(T128&amp;""),CHAR(10),""),CHAR(13),""),CHAR(9),""),CHAR(160),"")," ",""),".",""),"-",""),"/",""),"?",""),"_",""),",",""),"[",""),"]",""),"(",""),")",""),"*","")</f>
        <v/>
      </c>
      <c r="AV128" s="61" t="str">
        <f aca="false">SUBSTITUTE(SUBSTITUTE(SUBSTITUTE(SUBSTITUTE(SUBSTITUTE(SUBSTITUTE(SUBSTITUTE(SUBSTITUTE(SUBSTITUTE(SUBSTITUTE(SUBSTITUTE(SUBSTITUTE(SUBSTITUTE(SUBSTITUTE(SUBSTITUTE(SUBSTITUTE(LOWER(V128&amp;""),CHAR(10),""),CHAR(13),""),CHAR(9),""),CHAR(160),"")," ",""),".",""),"-",""),"/",""),"?",""),"_",""),",",""),"[",""),"]",""),"(",""),")",""),"*","")</f>
        <v/>
      </c>
      <c r="AW128" s="61" t="str">
        <f aca="false">SUBSTITUTE(SUBSTITUTE(SUBSTITUTE(SUBSTITUTE(SUBSTITUTE(SUBSTITUTE(SUBSTITUTE(SUBSTITUTE(SUBSTITUTE(SUBSTITUTE(SUBSTITUTE(SUBSTITUTE(SUBSTITUTE(SUBSTITUTE(SUBSTITUTE(SUBSTITUTE(LOWER(Z128&amp;""),CHAR(10),""),CHAR(13),""),CHAR(9),""),CHAR(160),"")," ",""),".",""),"-",""),"/",""),"?",""),"_",""),",",""),"[",""),"]",""),"(",""),")",""),"*","")</f>
        <v/>
      </c>
      <c r="AX128" s="61" t="str">
        <f aca="false">SUBSTITUTE(SUBSTITUTE(SUBSTITUTE(SUBSTITUTE(SUBSTITUTE(SUBSTITUTE(SUBSTITUTE(SUBSTITUTE(SUBSTITUTE(SUBSTITUTE(SUBSTITUTE(SUBSTITUTE(SUBSTITUTE(SUBSTITUTE(SUBSTITUTE(SUBSTITUTE(LOWER(AE128&amp;""),CHAR(10),""),CHAR(13),""),CHAR(9),""),CHAR(160),"")," ",""),".",""),"-",""),"/",""),"?",""),"_",""),",",""),"[",""),"]",""),"(",""),")",""),"*","")</f>
        <v/>
      </c>
      <c r="AY128" s="61" t="str">
        <f aca="false">SUBSTITUTE(SUBSTITUTE(SUBSTITUTE(SUBSTITUTE(SUBSTITUTE(SUBSTITUTE(SUBSTITUTE(SUBSTITUTE(SUBSTITUTE(SUBSTITUTE(SUBSTITUTE(SUBSTITUTE(SUBSTITUTE(SUBSTITUTE(SUBSTITUTE(SUBSTITUTE(LOWER(W128&amp;""),CHAR(10),""),CHAR(13),""),CHAR(9),""),CHAR(160),"")," ",""),".",""),"-",""),"/",""),"?",""),"_",""),",",""),"[",""),"]",""),"(",""),")",""),"*","")</f>
        <v/>
      </c>
      <c r="AZ128" s="61" t="str">
        <f aca="false">SUBSTITUTE(SUBSTITUTE(SUBSTITUTE(SUBSTITUTE(SUBSTITUTE(SUBSTITUTE(SUBSTITUTE(SUBSTITUTE(SUBSTITUTE(SUBSTITUTE(SUBSTITUTE(SUBSTITUTE(SUBSTITUTE(SUBSTITUTE(SUBSTITUTE(SUBSTITUTE(LOWER(AC128&amp;""),CHAR(10),""),CHAR(13),""),CHAR(9),""),CHAR(160),"")," ",""),".",""),"-",""),"/",""),"?",""),"_",""),",",""),"[",""),"]",""),"(",""),")",""),"*","")</f>
        <v/>
      </c>
      <c r="BA128" s="61" t="str">
        <f aca="false">SUBSTITUTE(SUBSTITUTE(SUBSTITUTE(SUBSTITUTE(SUBSTITUTE(SUBSTITUTE(SUBSTITUTE(SUBSTITUTE(SUBSTITUTE(SUBSTITUTE(SUBSTITUTE(SUBSTITUTE(SUBSTITUTE(SUBSTITUTE(SUBSTITUTE(SUBSTITUTE(LOWER(AA128&amp;""),CHAR(10),""),CHAR(13),""),CHAR(9),""),CHAR(160),"")," ",""),".",""),"-",""),"/",""),"?",""),"_",""),",",""),"[",""),"]",""),"(",""),")",""),"*","")</f>
        <v/>
      </c>
      <c r="BB128" s="61" t="str">
        <f aca="false">IF(AND(TRIM(U128)="Pass",ISNUMBER(AF128)),IF(AF128&lt;&gt;0,"INVALID – qty variance: use Fail or Pass after CA",""),"")&amp;IF(AND(TRIM(U128)="Pass after CA",ISNUMBER(AF128)),IF(AF128&lt;&gt;0,"INVALID – after the corrective action the actual qty must equal expected (update Actual)",""),"")&amp;IF(AND(TRIM(U128)="Pass",TRIM(AB128)&lt;&gt;"",TRIM(AB128)&lt;&gt;"Closed"),"INVALID – corrective action not closed: use Fail, then Pass after CA","")&amp;IF(AND(LEN(BA128)&gt;=2,ISNA(MATCH(LEFT(BA128,255),L_Placeholder,0)),TRIM(AB128)=""),"INVALID – CA status missing for the recorded corrective action","")&amp;IF(AND(TRIM(U128)="Pass after CA",OR(OR(LEN(BA128)&lt;5,ISNUMBER(MATCH(BA128,L_Placeholder,0))),TRIM(AB128)&lt;&gt;"Closed")),"INVALID – corrective action not recorded/closed","")</f>
        <v/>
      </c>
      <c r="BC128" s="61" t="str">
        <f aca="false">" "&amp;TRIM(SUBSTITUTE(SUBSTITUTE(SUBSTITUTE(SUBSTITUTE(SUBSTITUTE(SUBSTITUTE(SUBSTITUTE(SUBSTITUTE(SUBSTITUTE(SUBSTITUTE(SUBSTITUTE(SUBSTITUTE(SUBSTITUTE(SUBSTITUTE(SUBSTITUTE(SUBSTITUTE(SUBSTITUTE(SUBSTITUTE(SUBSTITUTE(SUBSTITUTE(SUBSTITUTE(SUBSTITUTE(SUBSTITUTE(SUBSTITUTE(LOWER(V128&amp;""),CHAR(10)," "),CHAR(13)," "),CHAR(9)," "),CHAR(160)," "),"."," "),","," "),"-"," "),"/"," "),"("," "),")"," "),":"," "),";"," "),"_"," "),"–"," "),"?"," "),"!"," "),"*"," "),"["," "),"]"," "),"'"," "),"#"," "),"+"," "),"&amp;"," "),"\"," "))&amp;" "</f>
        <v>  </v>
      </c>
      <c r="BD128" s="61" t="str">
        <f aca="false">" "&amp;TRIM(SUBSTITUTE(SUBSTITUTE(SUBSTITUTE(SUBSTITUTE(SUBSTITUTE(SUBSTITUTE(SUBSTITUTE(SUBSTITUTE(SUBSTITUTE(SUBSTITUTE(SUBSTITUTE(SUBSTITUTE(SUBSTITUTE(SUBSTITUTE(SUBSTITUTE(SUBSTITUTE(SUBSTITUTE(SUBSTITUTE(SUBSTITUTE(SUBSTITUTE(SUBSTITUTE(SUBSTITUTE(SUBSTITUTE(SUBSTITUTE(LOWER(Z128&amp;""),CHAR(10)," "),CHAR(13)," "),CHAR(9)," "),CHAR(160)," "),"."," "),","," "),"-"," "),"/"," "),"("," "),")"," "),":"," "),";"," "),"_"," "),"–"," "),"?"," "),"!"," "),"*"," "),"["," "),"]"," "),"'"," "),"#"," "),"+"," "),"&amp;"," "),"\"," "))&amp;" "</f>
        <v>  </v>
      </c>
      <c r="BE128" s="61" t="str">
        <f aca="false">" "&amp;TRIM(SUBSTITUTE(SUBSTITUTE(SUBSTITUTE(SUBSTITUTE(SUBSTITUTE(SUBSTITUTE(SUBSTITUTE(SUBSTITUTE(SUBSTITUTE(SUBSTITUTE(SUBSTITUTE(SUBSTITUTE(SUBSTITUTE(SUBSTITUTE(SUBSTITUTE(SUBSTITUTE(SUBSTITUTE(SUBSTITUTE(SUBSTITUTE(SUBSTITUTE(SUBSTITUTE(SUBSTITUTE(SUBSTITUTE(SUBSTITUTE(LOWER(W128&amp;""),CHAR(10)," "),CHAR(13)," "),CHAR(9)," "),CHAR(160)," "),"."," "),","," "),"-"," "),"/"," "),"("," "),")"," "),":"," "),";"," "),"_"," "),"–"," "),"?"," "),"!"," "),"*"," "),"["," "),"]"," "),"'"," "),"#"," "),"+"," "),"&amp;"," "),"\"," "))&amp;" "</f>
        <v>  </v>
      </c>
      <c r="BF128" s="61" t="str">
        <f aca="false">" "&amp;TRIM(SUBSTITUTE(SUBSTITUTE(SUBSTITUTE(SUBSTITUTE(SUBSTITUTE(SUBSTITUTE(SUBSTITUTE(SUBSTITUTE(SUBSTITUTE(SUBSTITUTE(SUBSTITUTE(SUBSTITUTE(SUBSTITUTE(SUBSTITUTE(SUBSTITUTE(SUBSTITUTE(SUBSTITUTE(SUBSTITUTE(SUBSTITUTE(SUBSTITUTE(SUBSTITUTE(SUBSTITUTE(SUBSTITUTE(SUBSTITUTE(LOWER(AC128&amp;""),CHAR(10)," "),CHAR(13)," "),CHAR(9)," "),CHAR(160)," "),"."," "),","," "),"-"," "),"/"," "),"("," "),")"," "),":"," "),";"," "),"_"," "),"–"," "),"?"," "),"!"," "),"*"," "),"["," "),"]"," "),"'"," "),"#"," "),"+"," "),"&amp;"," "),"\"," "))&amp;" "</f>
        <v>  </v>
      </c>
      <c r="BG128" s="61" t="n">
        <f aca="false">IFERROR(IF(AND(TRIM(U128)="Pass",SUMPRODUCT((LEN(BC128)-LEN(SUBSTITUTE(BC128," "&amp;L_ResultBad&amp;" "," ")))/(LEN(L_ResultBad)+1))&gt;SUMPRODUCT((LEN(BC128)-LEN(SUBSTITUTE(BC128," "&amp;L_NegPhrase&amp;" "," ")))/(LEN(L_NegPhrase)+1))),1,0),0)</f>
        <v>0</v>
      </c>
      <c r="BH128" s="61" t="n">
        <f aca="false">IFERROR(IF(SUMPRODUCT((LEN(BC128)-LEN(SUBSTITUTE(BC128," "&amp;L_Pending&amp;" "," ")))/(LEN(L_Pending)+1))&gt;SUMPRODUCT((LEN(BC128)-LEN(SUBSTITUTE(BC128," "&amp;L_PendNeg&amp;" "," ")))/(LEN(L_PendNeg)+1)),1,0),1)</f>
        <v>0</v>
      </c>
      <c r="BI128" s="61" t="n">
        <f aca="false">IFERROR(IF(SUMPRODUCT((LEN(BD128)-LEN(SUBSTITUTE(BD128," "&amp;L_PendStrict&amp;" "," ")))/(LEN(L_PendStrict)+1))&gt;SUMPRODUCT((LEN(BD128)-LEN(SUBSTITUTE(BD128," "&amp;L_PendNeg&amp;" "," ")))/(LEN(L_PendNeg)+1)),1,0),1)</f>
        <v>0</v>
      </c>
      <c r="BJ128" s="61" t="n">
        <f aca="false">IFERROR(IF(SUMPRODUCT((LEN(BE128)-LEN(SUBSTITUTE(BE128," "&amp;L_Pending&amp;" "," ")))/(LEN(L_Pending)+1))&gt;SUMPRODUCT((LEN(BE128)-LEN(SUBSTITUTE(BE128," "&amp;L_PendNeg&amp;" "," ")))/(LEN(L_PendNeg)+1)),1,0),1)</f>
        <v>0</v>
      </c>
      <c r="BK128" s="61" t="n">
        <f aca="false">IFERROR(IF(SUMPRODUCT((LEN(BF128)-LEN(SUBSTITUTE(BF128," "&amp;L_PendStrict&amp;" "," ")))/(LEN(L_PendStrict)+1))&gt;SUMPRODUCT((LEN(BF128)-LEN(SUBSTITUTE(BF128," "&amp;L_PendNeg&amp;" "," ")))/(LEN(L_PendNeg)+1)),1,0),1)</f>
        <v>0</v>
      </c>
      <c r="BL128" s="61" t="n">
        <f aca="false">IF(ISNA(MATCH(TRIM(S128),L_EvidenceType,0)),0,BZ128)</f>
        <v>0</v>
      </c>
      <c r="BM128" s="61" t="str">
        <f aca="false">SUBSTITUTE(SUBSTITUTE(SUBSTITUTE(SUBSTITUTE(SUBSTITUTE(SUBSTITUTE(SUBSTITUTE(SUBSTITUTE(SUBSTITUTE(LOWER(Z128&amp;""),"1","0"),"2","0"),"3","0"),"4","0"),"5","0"),"6","0"),"7","0"),"8","0"),"9","0")</f>
        <v/>
      </c>
      <c r="BN128" s="61" t="str">
        <f aca="false">SUBSTITUTE(SUBSTITUTE(SUBSTITUTE(SUBSTITUTE(SUBSTITUTE(SUBSTITUTE(SUBSTITUTE(SUBSTITUTE(SUBSTITUTE(SUBSTITUTE(SUBSTITUTE(SUBSTITUTE(SUBSTITUTE(SUBSTITUTE(SUBSTITUTE(SUBSTITUTE(SUBSTITUTE(SUBSTITUTE(SUBSTITUTE(SUBSTITUTE(SUBSTITUTE(SUBSTITUTE(SUBSTITUTE(SUBSTITUTE(SUBSTITUTE(BM128,"b","a"),"c","a"),"d","a"),"e","a"),"f","a"),"g","a"),"h","a"),"i","a"),"j","a"),"k","a"),"l","a"),"m","a"),"n","a"),"o","a"),"p","a"),"q","a"),"r","a"),"s","a"),"t","a"),"u","a"),"v","a"),"w","a"),"x","a"),"y","a"),"z","a")</f>
        <v/>
      </c>
      <c r="BO128" s="61" t="str">
        <f aca="false">SUBSTITUTE(SUBSTITUTE(SUBSTITUTE(SUBSTITUTE(SUBSTITUTE(SUBSTITUTE(SUBSTITUTE(SUBSTITUTE(SUBSTITUTE(LOWER(W128&amp;""),"1","0"),"2","0"),"3","0"),"4","0"),"5","0"),"6","0"),"7","0"),"8","0"),"9","0")</f>
        <v/>
      </c>
      <c r="BP128" s="61" t="str">
        <f aca="false">SUBSTITUTE(SUBSTITUTE(SUBSTITUTE(SUBSTITUTE(SUBSTITUTE(SUBSTITUTE(SUBSTITUTE(SUBSTITUTE(SUBSTITUTE(SUBSTITUTE(SUBSTITUTE(SUBSTITUTE(SUBSTITUTE(SUBSTITUTE(SUBSTITUTE(SUBSTITUTE(SUBSTITUTE(SUBSTITUTE(SUBSTITUTE(SUBSTITUTE(SUBSTITUTE(SUBSTITUTE(SUBSTITUTE(SUBSTITUTE(SUBSTITUTE(BO128,"b","a"),"c","a"),"d","a"),"e","a"),"f","a"),"g","a"),"h","a"),"i","a"),"j","a"),"k","a"),"l","a"),"m","a"),"n","a"),"o","a"),"p","a"),"q","a"),"r","a"),"s","a"),"t","a"),"u","a"),"v","a"),"w","a"),"x","a"),"y","a"),"z","a")</f>
        <v/>
      </c>
      <c r="BQ128" s="61" t="n">
        <f aca="false">IFERROR(IF(AND(ISERROR(SEARCH(" mh"," "&amp;LOWER(W128))),ISNA(MATCH(LEFT(TRIM(BP128),255),{"0000a","000a","00a","0000aa","000aa","00aa","0aa","0000aaa","000aaa","00a00","0a00","0000-0000","00:00","a00","a0","00.00.0000","00/00/0000","00-00-0000","0000-00-00","0000/00/00","0000.00.00","00.00.00","00/00/00","00-00-00","0.00.0000","0/00/0000","0-00-0000"},0)),ISNA(MATCH(LEFT(TRIM(CA128),255),{"0000a","000a","00a","0000aa","000aa","00aa","0aa","0000aaa","000aaa","00a00","0a00","0000-0000","00:00","a00","a0","00.00.0000","00/00/0000","00-00-0000","0000-00-00","0000/00/00","0000.00.00","00.00.00","00/00/00","00-00-00","0.00.0000","0/00/0000","0-00-0000"},0)),LEN(CB128)&gt;=3,NOT(OR(SUBSTITUTE(CB128,"0","")="",AND(LEN(CB128)&gt;=4,CB128=REPT(LEFT(CB128),LEN(CB128))),ISNUMBER(MATCH(CB128,{"123","1234","12345","123456","1234567","12345678","0123","01234","012345","98765","987654","54321"},0)),AND(LEN(CB128)=8,LEFT(CB128,3)="202"))),OR(AND((LEN(CA128)-LEN(SUBSTITUTE(CA128,"a","")))&gt;=1,SUMPRODUCT(--ISNUMBER(SEARCH({"a0","a-0","a_0","a/0","a.0","a#0","0a","0-a","0_a","0/a"},BP128)))&gt;0),ISNUMBER(SEARCH("000000",BP128)))),1,0),0)</f>
        <v>0</v>
      </c>
      <c r="BR128" s="61" t="n">
        <f aca="false">IFERROR(LEN(SUBSTITUTE(CC128," ",""))-SUMPRODUCT((LEN(CC128)-LEN(SUBSTITUTE(CC128," "&amp;L_Role&amp;" "," ")))/(LEN(L_Role)+1)*LEN(L_Role)),0)</f>
        <v>0</v>
      </c>
      <c r="BS128" s="61" t="n">
        <f aca="false">IFERROR(LEN(SUBSTITUTE(CD128," ",""))-SUMPRODUCT((LEN(CD128)-LEN(SUBSTITUTE(CD128," "&amp;L_Role&amp;" "," ")))/(LEN(L_Role)+1)*LEN(L_Role)),0)</f>
        <v>0</v>
      </c>
      <c r="BT1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128,"revision",""),"version",""),"jan",""),"feb",""),"mar",""),"apr",""),"may",""),"jun",""),"jul",""),"aug",""),"sep",""),"oct",""),"nov",""),"dec",""),"utc",""),"gmt",""),"myt",""),"bst",""),"rev",""),"ver",""),"b","a"),"c","a"),"d","a"),"e","a"),"f","a"),"g","a"),"h","a"),"i","a"),"j","a"),"k","a"),"l","a"),"m","a"),"n","a"),"o","a"),"p","a"),"q","a"),"r","a"),"s","a"),"t","a"),"u","a"),"v","a"),"w","a"),"x","a"),"y","a"),"z","a")</f>
        <v/>
      </c>
      <c r="BU128" s="61" t="str">
        <f aca="false">SUBSTITUTE(SUBSTITUTE(SUBSTITUTE(SUBSTITUTE(SUBSTITUTE(SUBSTITUTE(SUBSTITUTE(SUBSTITUTE(SUBSTITUTE(SUBSTITUTE(LEFT(BM128,FIND("0",BM128&amp;"0")-1),"-",""),"_",""),"/",""),".",""),"#",""),"\\",""),":","")," ",""),"(",""),")","")</f>
        <v/>
      </c>
      <c r="BV128" s="61" t="n">
        <f aca="false">IFERROR(IF(OR(SUMPRODUCT((LEN(BC128)-LEN(SUBSTITUTE(BC128," "&amp;L_NotLoaded&amp;" "," ")))/(LEN(L_NotLoaded)+1))&gt;SUMPRODUCT((LEN(BC128)-LEN(SUBSTITUTE(BC128," "&amp;L_NotLoadedNeg&amp;" "," ")))/(LEN(L_NotLoadedNeg)+1)),SUMPRODUCT((LEN(BD128)-LEN(SUBSTITUTE(BD128," "&amp;L_NotLoaded&amp;" "," ")))/(LEN(L_NotLoaded)+1))&gt;SUMPRODUCT((LEN(BD128)-LEN(SUBSTITUTE(BD128," "&amp;L_NotLoadedNeg&amp;" "," ")))/(LEN(L_NotLoadedNeg)+1))),1,0),0)</f>
        <v>0</v>
      </c>
      <c r="BW1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128&amp;""),"a",""),"b",""),"c",""),"d",""),"e",""),"f",""),"g",""),"h",""),"i",""),"j",""),"k",""),"l",""),"m",""),"n",""),"o",""),"p",""),"q",""),"r",""),"s",""),"t",""),"u",""),"v",""),"w",""),"x",""),"y",""),"z",""),"-",""),"_",""),"/",""),".",""),"#",""),"\\",""),":","")," ",""),"(",""),")","")</f>
        <v/>
      </c>
      <c r="BX128" s="61" t="str">
        <f aca="false">SUBSTITUTE(SUBSTITUTE(SUBSTITUTE(SUBSTITUTE(SUBSTITUTE(SUBSTITUTE(SUBSTITUTE(SUBSTITUTE(SUBSTITUTE(SUBSTITUTE(SUBSTITUTE(BM128,"0",""),"-",""),"_",""),"/",""),".",""),"#",""),"\\",""),":","")," ",""),"(",""),")","")</f>
        <v/>
      </c>
      <c r="BY128" s="62" t="n">
        <f aca="false">IF(ISNUMBER(Flights!$AZ$8),MAX(Q128-UpliftWindowH/24,Flights!$AZ$8),Q128-UpliftWindowH/24)</f>
        <v>46305.3958333333</v>
      </c>
      <c r="BZ128" s="61" t="n">
        <f aca="false">IFERROR(IF(IF(TRIM(S128)="Link / file path",AND(LEN(TRIM(Z128))&gt;=5,SUMPRODUCT(--ISNUMBER(SEARCH({"http","www.","\\",":\",".pdf",".jpg",".jpeg",".png",".heic",".xls",".doc",".msg",".eml",".ppt",".txt",".zip"},Z128)))&gt;0),AND(ISERROR(FIND(" ",TRIM(Z128))),NOT(OR(SUMPRODUCT(--ISNUMBER(FIND({",",";","&amp;","+"},Z128)))&gt;0,SUMPRODUCT(--ISNUMBER(SEARCH({"0/aa","0\\aa"},BN128)))&gt;0)),NOT(SUMPRODUCT(--ISNUMBER(SEARCH({"http","www.","\\",":\",".pdf",".jpg",".jpeg",".png",".heic",".xls",".doc",".msg",".eml",".ppt",".txt",".zip"},Z128)))&gt;0),NOT(LOWER(TRIM(Z128))=LOWER(Flights!$F$8)),ISNA(MATCH(BU128,{"mh","rev","revision","ver","version","v","r","a","b","seat","tray","row","gate","bay","stand","page","pg","item","line","no","cart","galley","flight","flt","table","box","bag","oven","etd","eta","std","sta","atd","ata","qty","pax","x","time","tel","ph","mob","day","wk","week","utc","gmt","myt","lt"},0)),NOT(OR(ISNUMBER(MATCH(LEFT(BN128,255),{"0000a","000a","00a","0000aa","000aa","00aa","0aa","0000aaa","000aaa","00a00","0a00","0000-0000","00:00","a00","a0","00.00.0000","00/00/0000","00-00-0000","0000-00-00","0000/00/00","0000.00.00","00.00.00","00/00/00","00-00-00","0.00.0000","0/00/0000","0-00-0000"},0)),ISNUMBER(MATCH(LEFT(BT128,255),{"0000a","000a","00a","0000aa","000aa","00aa","0aa","0000aaa","000aaa","00a00","0a00","0000-0000","00:00","a00","a0","00.00.0000","00/00/0000","00-00-0000","0000-00-00","0000/00/00","0000.00.00","00.00.00","00/00/00","00-00-00","0.00.0000","0/00/0000","0-00-0000"},0)))),NOT(OR(AND(BW128&lt;&gt;"",SUBSTITUTE(BW128,"0","")=""),AND(LEN(BW128)&gt;=4,BW128=REPT(LEFT(BW128),LEN(BW128))),ISNUMBER(MATCH(BW128,{"123","1234","12345","123456","1234567","12345678","0123","01234","012345","98765","987654","54321"},0)),ISNUMBER(MATCH(BX128,{"x","xx","xxx","xxxx","xxxxx","abc","abcd","nil","na","nan","test","tbc","tba","tbd","dummy","sample","example","eg","zz","zzz","none","null","xyz","qwe","asd","id","ref"},0)),AND(LEN(BW128)=8,BX128="",OR(LEFT(BW128,3)="202",ISNUMBER(MATCH(RIGHT(BW128,4),{"2025","2026","2027"},0)))))),OR(AND((LEN(BT128)-LEN(SUBSTITUTE(BT128,"a","")))&gt;=1,(LEN(BN128)-LEN(SUBSTITUTE(BN128,"0","")))&gt;=2,SUMPRODUCT(--ISNUMBER(SEARCH({"a0","a-0","a_0","a/0","a.0","a#0","0a","0-a","0_a","0/a"},BN128)))&gt;0),AND((LEN(BN128)-LEN(SUBSTITUTE(BN128,"a","")))=0,(LEN(BN128)-LEN(SUBSTITUTE(BN128,"0","")))&gt;=5)))),1,0),0)</f>
        <v>0</v>
      </c>
      <c r="CA1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128,"revision",""),"version",""),"jan",""),"feb",""),"mar",""),"apr",""),"may",""),"jun",""),"jul",""),"aug",""),"sep",""),"oct",""),"nov",""),"dec",""),"utc",""),"gmt",""),"myt",""),"bst",""),"rev",""),"ver",""),"b","a"),"c","a"),"d","a"),"e","a"),"f","a"),"g","a"),"h","a"),"i","a"),"j","a"),"k","a"),"l","a"),"m","a"),"n","a"),"o","a"),"p","a"),"q","a"),"r","a"),"s","a"),"t","a"),"u","a"),"v","a"),"w","a"),"x","a"),"y","a"),"z","a")</f>
        <v/>
      </c>
      <c r="CB1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128&amp;""),"a",""),"b",""),"c",""),"d",""),"e",""),"f",""),"g",""),"h",""),"i",""),"j",""),"k",""),"l",""),"m",""),"n",""),"o",""),"p",""),"q",""),"r",""),"s",""),"t",""),"u",""),"v",""),"w",""),"x",""),"y",""),"z",""),"-",""),"_",""),"/",""),".",""),"#",""),"\\",""),":","")," ",""),"(",""),")","")</f>
        <v/>
      </c>
      <c r="CC128" s="0" t="str">
        <f aca="false">" "&amp;TRIM(SUBSTITUTE(SUBSTITUTE(SUBSTITUTE(SUBSTITUTE(SUBSTITUTE(SUBSTITUTE(SUBSTITUTE(SUBSTITUTE(SUBSTITUTE(SUBSTITUTE(SUBSTITUTE(SUBSTITUTE(SUBSTITUTE(SUBSTITUTE(SUBSTITUTE(SUBSTITUTE(SUBSTITUTE(SUBSTITUTE(SUBSTITUTE(SUBSTITUTE(SUBSTITUTE(SUBSTITUTE(SUBSTITUTE(SUBSTITUTE(LOWER(T128&amp;""),CHAR(10)," "),CHAR(13)," "),CHAR(9)," "),CHAR(160)," "),"."," "),","," "),"-"," "),"/"," "),"("," "),")"," "),":"," "),";"," "),"_"," "),"–"," "),"?"," "),"!"," "),"*"," "),"["," "),"]"," "),"'"," "),"#"," "),"+"," "),"&amp;"," "),"\"," "))&amp;" "</f>
        <v>  </v>
      </c>
      <c r="CD128" s="0" t="str">
        <f aca="false">" "&amp;TRIM(SUBSTITUTE(SUBSTITUTE(SUBSTITUTE(SUBSTITUTE(SUBSTITUTE(SUBSTITUTE(SUBSTITUTE(SUBSTITUTE(SUBSTITUTE(SUBSTITUTE(SUBSTITUTE(SUBSTITUTE(SUBSTITUTE(SUBSTITUTE(SUBSTITUTE(SUBSTITUTE(SUBSTITUTE(SUBSTITUTE(SUBSTITUTE(SUBSTITUTE(SUBSTITUTE(SUBSTITUTE(SUBSTITUTE(SUBSTITUTE(LOWER(AE128&amp;""),CHAR(10)," "),CHAR(13)," "),CHAR(9)," "),CHAR(160)," "),"."," "),","," "),"-"," "),"/"," "),"("," "),")"," "),":"," "),";"," "),"_"," "),"–"," "),"?"," "),"!"," "),"*"," "),"["," "),"]"," "),"'"," "),"#"," "),"+"," "),"&amp;"," "),"\"," "))&amp;" "</f>
        <v>  </v>
      </c>
      <c r="CE128" s="68" t="n">
        <f aca="false">IFERROR(IF(AND(LEN(AU128)&gt;0,LEN(AU128)=LEN(AX128),OR(TRIM(MID(SUBSTITUTE(TRIM(CC128)," ",REPT(" ",60)),1,60))="",ISNUMBER(SEARCH(" "&amp;TRIM(MID(SUBSTITUTE(TRIM(CC128)," ",REPT(" ",60)),1,60))&amp;" ",CD128))),OR(TRIM(MID(SUBSTITUTE(TRIM(CC128)," ",REPT(" ",60)),61,60))="",ISNUMBER(SEARCH(" "&amp;TRIM(MID(SUBSTITUTE(TRIM(CC128)," ",REPT(" ",60)),61,60))&amp;" ",CD128))),OR(TRIM(MID(SUBSTITUTE(TRIM(CC128)," ",REPT(" ",60)),121,60))="",ISNUMBER(SEARCH(" "&amp;TRIM(MID(SUBSTITUTE(TRIM(CC128)," ",REPT(" ",60)),121,60))&amp;" ",CD128)))),1,0),0)</f>
        <v>0</v>
      </c>
      <c r="CG128" s="68" t="n">
        <f aca="false">IFERROR(LEN(SUBSTITUTE(BF128," ",""))-SUMPRODUCT((LEN(BF128)-LEN(SUBSTITUTE(BF128," "&amp;L_NAFiller&amp;" "," ")))/(LEN(L_NAFiller)+1)*LEN(L_NAFiller)),0)</f>
        <v>0</v>
      </c>
    </row>
    <row r="129" customFormat="false" ht="39.75" hidden="false" customHeight="true" outlineLevel="0" collapsed="false">
      <c r="A129" s="57" t="s">
        <v>648</v>
      </c>
      <c r="B129" s="57" t="s">
        <v>218</v>
      </c>
      <c r="C129" s="57" t="str">
        <f aca="false">Flights!$F$8</f>
        <v>MH0088</v>
      </c>
      <c r="D129" s="58" t="n">
        <f aca="false">Flights!$D$8</f>
        <v>46305</v>
      </c>
      <c r="E129" s="57" t="str">
        <f aca="false">Flights!$G$8&amp;"-"&amp;Flights!$H$8</f>
        <v>KUL-NRT</v>
      </c>
      <c r="F129" s="57" t="str">
        <f aca="false">Flights!$K$8</f>
        <v>BC</v>
      </c>
      <c r="G129" s="57" t="s">
        <v>459</v>
      </c>
      <c r="H129" s="57" t="s">
        <v>460</v>
      </c>
      <c r="I129" s="57" t="s">
        <v>499</v>
      </c>
      <c r="J129" s="57" t="s">
        <v>546</v>
      </c>
      <c r="K129" s="67" t="s">
        <v>501</v>
      </c>
      <c r="L129" s="67" t="s">
        <v>614</v>
      </c>
      <c r="M129" s="67" t="s">
        <v>451</v>
      </c>
      <c r="N129" s="67" t="s">
        <v>383</v>
      </c>
      <c r="O129" s="67"/>
      <c r="P129" s="57" t="s">
        <v>187</v>
      </c>
      <c r="Q129" s="59" t="n">
        <f aca="false">ROUND((Flights!$AF$8)*1440,0)/1440</f>
        <v>46305.6458333333</v>
      </c>
      <c r="R129" s="59" t="n">
        <f aca="false">Q129+(IF(AND(INDEX(TZ_DSTS,MATCH(P129,TZ_STN,0))&lt;&gt;"",Q129&gt;=INDEX(TZ_DSTS,MATCH(P129,TZ_STN,0)),Q129&lt;INDEX(TZ_DSTE,MATCH(P129,TZ_STN,0))),INDEX(TZ_DST,MATCH(P129,TZ_STN,0)),INDEX(TZ_STD,MATCH(P129,TZ_STN,0))))/24</f>
        <v>46305.9791666667</v>
      </c>
      <c r="S129" s="60"/>
      <c r="T129" s="60"/>
      <c r="U129" s="60"/>
      <c r="V129" s="60"/>
      <c r="W129" s="61"/>
      <c r="X129" s="60"/>
      <c r="Y129" s="60"/>
      <c r="Z129" s="60"/>
      <c r="AA129" s="60"/>
      <c r="AB129" s="60"/>
      <c r="AC129" s="60"/>
      <c r="AD129" s="66"/>
      <c r="AE129" s="60"/>
      <c r="AF129" s="61" t="str">
        <f aca="false">IF(AND(ISNUMBER(X129),ISNUMBER(Y129)),Y129-X129,"")</f>
        <v/>
      </c>
      <c r="AG129" s="62" t="str">
        <f aca="false">IF(ISNUMBER(AD129),AD129-(IF(AND(INDEX(TZ_DSTS,MATCH(P129,TZ_STN,0))&lt;&gt;"",(AD129-INDEX(TZ_STD,MATCH(P129,TZ_STN,0))/24)&gt;=INDEX(TZ_DSTS,MATCH(P129,TZ_STN,0)),(AD129-INDEX(TZ_STD,MATCH(P129,TZ_STN,0))/24)&lt;INDEX(TZ_DSTE,MATCH(P129,TZ_STN,0))),INDEX(TZ_DST,MATCH(P129,TZ_STN,0)),INDEX(TZ_STD,MATCH(P129,TZ_STN,0))))/24,"")</f>
        <v/>
      </c>
      <c r="AH129" s="65" t="str">
        <f aca="false">IFERROR(IF(N129="N/A – rule",IF(OR(TRIM(U129)="",TRIM(U129)="N/A",TRIM(U129)="Not started"),"N/A – RULE","INVALID – this check does not apply to this aircraft: clear the status (or correct the fleet on Flights)"),IF(TRIM(U129)="N/A",IF(AT129=0,"INVALID – N/A not permitted for this check",IF(AND(TRIM(AB129)&lt;&gt;"",TRIM(AB129)&lt;&gt;"Closed"),"INVALID – corrective action still open",IF(AND(NOT(OR(LEN(AZ129)&lt;15,ISNUMBER(MATCH(AZ129,L_Placeholder,0)))),BK129=0,CG129&gt;=8,NOT(OR(LEN(AU129)&lt;2,ISNUMBER(MATCH(AU129,L_Placeholder,0)))),BR129&gt;=3,NOT(OR(LEN(AX129)&lt;2,ISNUMBER(MATCH(AX129,L_Placeholder,0)))),BS129&gt;=3,TRIM(AE129)&lt;&gt;TRIM(T129),AX129&lt;&gt;AU129,CE129=0),"N/A – JUSTIFIED","INVALID – N/A needs a real, settled reason (not 'not applicable' / 'as above' / TBC), a named PIC and a different named verifier"))),IF(OR(TRIM(U129)="Pass",TRIM(U129)="Pass after CA"),IF(NOT(ISNUMBER(AD129)),"INVALID – completion time missing",IF(OR(OR(LEN(AU129)&lt;2,ISNUMBER(MATCH(AU129,L_Placeholder,0))),BR129&lt;3),"INVALID – PIC missing or not a named person (a role such as QA / CSM is not a name)",IF(OR(LEN(AV129)&lt;2,ISNUMBER(MATCH(AV129,L_Placeholder,0))),"INVALID – result / assessment missing",IF(OR(OR(LEN(AW129)&lt;3,ISNUMBER(MATCH(AW129,L_Placeholder,0))),SUMPRODUCT(--ISNUMBER(SEARCH(" "&amp;L_EvidencePhrase&amp;" ",BD129)))&gt;0,BI129=1),"INVALID – evidence missing, placeholder or not yet on file",IF(ISNA(MATCH(TRIM(S129),L_EvidenceType,0)),"INVALID – choose the evidence type from the list (column S)",IF(BL129=0,"INVALID – evidence ID must be the record's own ID only (e.g. SF-2210, IMG_2231, 1045521); a link / file name needs type 'Link / file path'",IF(OR(OR(LEN(AX129)&lt;2,ISNUMBER(MATCH(AX129,L_Placeholder,0))),BS129&lt;3),"INVALID – verifier missing or not a named person (a role such as QA / CSM is not a name)",IF(OR(AX129=AU129,CE129=1,AND(LEN(AU129)&gt;=4,ISNUMBER(SEARCH(AU129,AX129))),AND(LEN(AX129)&gt;=4,ISNUMBER(SEARCH(AX129,AU129)))),"INVALID – verifier must be a different, named person (not the PIC or a role)",IF(BH129=1,"INVALID – result not yet available (awaiting / TBC)",IF(BG129=1,"INVALID – result describes a problem: record Fail, then Pass after CA (or reword if it is not a problem)",IF(BV129=1,"INVALID – wording says not on board: an on-board confirmation needs the item loaded",IF(AND(AQ129=1,OR(OR(LEN(AY129)&lt;3,ISNUMBER(MATCH(AY129,L_Placeholder,0))),BJ129=1,BQ129=0)),"INVALID – batch ID missing, placeholder or not an ID (e.g. PASB-261008-BC-017)",IF(AND(AR129=1,OR(NOT(ISNUMBER(X129)),NOT(ISNUMBER(Y129)))),"INVALID – expected/actual qty missing",IF(AND(AR129=1,OR(X129&lt;=0,Y129&lt;0)),"INVALID – expected qty must be above 0 and actual not negative",IF(AH113="N/A – JUSTIFIED","INVALID – preparation row F04-T12-14 is N/A",IF(AND(AR129=1,ISNUMBER(X113),X129&lt;&gt;X113,TRIM(U129)&lt;&gt;"Pass after CA"),"INVALID – expected qty differs from preparation check F04-T12-14: record the load change as a corrective action (Pass after CA)",IF(BB129&lt;&gt;"",BB129,IF(AND(AS129=1,Documents!$J$8&lt;&gt;"ON FILE"),"INVALID – GLD not on file (Documents sheet)",IF(AND(AS129=2,Documents!$O$8&lt;&gt;"ON FILE"),"INVALID – menu checklist not on file (Documents sheet)",IF(AND(AS129=3,NOT(ISNUMBER(Flights!$AX$8))),"INVALID – enter carrying flight KUL departure (Flights AX)",IF(AND(AS129=3,OR(Flights!$AZ$8&gt;Flights!$AA$8,Flights!$AX$8&lt;Flights!$AA$8-3)),"INVALID – carrying flight (Flights AX) cannot arrive before this leg's STD, or is over 3 days early",IF(AG129&gt;AsOfUTC,"INVALID – completion time is in the future",IF(AND(ISNUMBER(BY129),AG129&lt;BY129),IF(H129="Physical uplift","INVALID – before uplift window (cannot confirm loading)","INVALID – before valid window"),IF(AG129&gt;Flights!$AA$8,"INVALID – completed after departure (cannot establish readiness)",IF(AND(H129="Preparation",AG129&gt;=IF(ISNUMBER(Flights!$BA$8),MIN(Flights!$BA$8,Flights!$AA$8),Flights!$AA$8)),"INVALID – completed after loading / departure (cannot establish readiness)",IF(AND(H129="Physical uplift",AG129&gt;Q129),"INVALID – recorded after the loading flight departed",IF(AG129&gt;Q129,"COMPLETE – LATE","COMPLETE"))))))))))))))))))))))))))),IF(TRIM(U129)="Fail","FAIL – DISCREPANCY",IF(AND(TRIM(U129)&lt;&gt;"",TRIM(U129)&lt;&gt;"Not started",TRIM(U129)&lt;&gt;"In progress"),"INVALID – unrecognised status (use the list)",IF(AsOfUTC&gt;Q129,"OVERDUE",IF(N129="Clarification required","OPEN – CLARIFICATION","OPEN"))))))),"INVALID – error value in an input cell")</f>
        <v>OPEN</v>
      </c>
      <c r="AI129" s="61" t="n">
        <f aca="false">IF(OR(AH129="N/A – RULE",AH129="N/A – JUSTIFIED"),0,1)</f>
        <v>1</v>
      </c>
      <c r="AJ129" s="61" t="n">
        <f aca="false">IF(LEFT(AH129,8)="COMPLETE",1,0)</f>
        <v>0</v>
      </c>
      <c r="AK129" s="61" t="n">
        <f aca="false">IF(AND(AI129=1,AJ129=0,AsOfUTC&gt;Q129),1,0)</f>
        <v>0</v>
      </c>
      <c r="AL129" s="61" t="n">
        <f aca="false">IFERROR(IF(AND(AI129=1,OR(TRIM(U129)="Fail",AND(TRIM(AB129)&lt;&gt;"",TRIM(AB129)&lt;&gt;"Closed"),AND(ISNUMBER(AF129),AF129&lt;&gt;0,TRIM(U129)&lt;&gt;"Pass after CA"))),1,0),1)</f>
        <v>0</v>
      </c>
      <c r="AM129" s="61" t="n">
        <f aca="false">IF(LEFT(AH129,7)="INVALID",1,0)</f>
        <v>0</v>
      </c>
      <c r="AN129" s="61" t="n">
        <f aca="false">IF(AND(N129="Clarification required",AI129=1,AJ129=0),1,0)</f>
        <v>0</v>
      </c>
      <c r="AO129" s="61" t="str">
        <f aca="false">IF(AK129=1,SUM(AK$5:AK129),"")</f>
        <v/>
      </c>
      <c r="AP129" s="61" t="str">
        <f aca="false">IF(AL129=1,SUM(AL$5:AL129),"")</f>
        <v/>
      </c>
      <c r="AQ129" s="61" t="n">
        <v>0</v>
      </c>
      <c r="AR129" s="61" t="n">
        <v>0</v>
      </c>
      <c r="AS129" s="61" t="n">
        <v>0</v>
      </c>
      <c r="AT129" s="61" t="n">
        <v>0</v>
      </c>
      <c r="AU129" s="61" t="str">
        <f aca="false">SUBSTITUTE(SUBSTITUTE(SUBSTITUTE(SUBSTITUTE(SUBSTITUTE(SUBSTITUTE(SUBSTITUTE(SUBSTITUTE(SUBSTITUTE(SUBSTITUTE(SUBSTITUTE(SUBSTITUTE(SUBSTITUTE(SUBSTITUTE(SUBSTITUTE(SUBSTITUTE(LOWER(T129&amp;""),CHAR(10),""),CHAR(13),""),CHAR(9),""),CHAR(160),"")," ",""),".",""),"-",""),"/",""),"?",""),"_",""),",",""),"[",""),"]",""),"(",""),")",""),"*","")</f>
        <v/>
      </c>
      <c r="AV129" s="61" t="str">
        <f aca="false">SUBSTITUTE(SUBSTITUTE(SUBSTITUTE(SUBSTITUTE(SUBSTITUTE(SUBSTITUTE(SUBSTITUTE(SUBSTITUTE(SUBSTITUTE(SUBSTITUTE(SUBSTITUTE(SUBSTITUTE(SUBSTITUTE(SUBSTITUTE(SUBSTITUTE(SUBSTITUTE(LOWER(V129&amp;""),CHAR(10),""),CHAR(13),""),CHAR(9),""),CHAR(160),"")," ",""),".",""),"-",""),"/",""),"?",""),"_",""),",",""),"[",""),"]",""),"(",""),")",""),"*","")</f>
        <v/>
      </c>
      <c r="AW129" s="61" t="str">
        <f aca="false">SUBSTITUTE(SUBSTITUTE(SUBSTITUTE(SUBSTITUTE(SUBSTITUTE(SUBSTITUTE(SUBSTITUTE(SUBSTITUTE(SUBSTITUTE(SUBSTITUTE(SUBSTITUTE(SUBSTITUTE(SUBSTITUTE(SUBSTITUTE(SUBSTITUTE(SUBSTITUTE(LOWER(Z129&amp;""),CHAR(10),""),CHAR(13),""),CHAR(9),""),CHAR(160),"")," ",""),".",""),"-",""),"/",""),"?",""),"_",""),",",""),"[",""),"]",""),"(",""),")",""),"*","")</f>
        <v/>
      </c>
      <c r="AX129" s="61" t="str">
        <f aca="false">SUBSTITUTE(SUBSTITUTE(SUBSTITUTE(SUBSTITUTE(SUBSTITUTE(SUBSTITUTE(SUBSTITUTE(SUBSTITUTE(SUBSTITUTE(SUBSTITUTE(SUBSTITUTE(SUBSTITUTE(SUBSTITUTE(SUBSTITUTE(SUBSTITUTE(SUBSTITUTE(LOWER(AE129&amp;""),CHAR(10),""),CHAR(13),""),CHAR(9),""),CHAR(160),"")," ",""),".",""),"-",""),"/",""),"?",""),"_",""),",",""),"[",""),"]",""),"(",""),")",""),"*","")</f>
        <v/>
      </c>
      <c r="AY129" s="61" t="str">
        <f aca="false">SUBSTITUTE(SUBSTITUTE(SUBSTITUTE(SUBSTITUTE(SUBSTITUTE(SUBSTITUTE(SUBSTITUTE(SUBSTITUTE(SUBSTITUTE(SUBSTITUTE(SUBSTITUTE(SUBSTITUTE(SUBSTITUTE(SUBSTITUTE(SUBSTITUTE(SUBSTITUTE(LOWER(W129&amp;""),CHAR(10),""),CHAR(13),""),CHAR(9),""),CHAR(160),"")," ",""),".",""),"-",""),"/",""),"?",""),"_",""),",",""),"[",""),"]",""),"(",""),")",""),"*","")</f>
        <v/>
      </c>
      <c r="AZ129" s="61" t="str">
        <f aca="false">SUBSTITUTE(SUBSTITUTE(SUBSTITUTE(SUBSTITUTE(SUBSTITUTE(SUBSTITUTE(SUBSTITUTE(SUBSTITUTE(SUBSTITUTE(SUBSTITUTE(SUBSTITUTE(SUBSTITUTE(SUBSTITUTE(SUBSTITUTE(SUBSTITUTE(SUBSTITUTE(LOWER(AC129&amp;""),CHAR(10),""),CHAR(13),""),CHAR(9),""),CHAR(160),"")," ",""),".",""),"-",""),"/",""),"?",""),"_",""),",",""),"[",""),"]",""),"(",""),")",""),"*","")</f>
        <v/>
      </c>
      <c r="BA129" s="61" t="str">
        <f aca="false">SUBSTITUTE(SUBSTITUTE(SUBSTITUTE(SUBSTITUTE(SUBSTITUTE(SUBSTITUTE(SUBSTITUTE(SUBSTITUTE(SUBSTITUTE(SUBSTITUTE(SUBSTITUTE(SUBSTITUTE(SUBSTITUTE(SUBSTITUTE(SUBSTITUTE(SUBSTITUTE(LOWER(AA129&amp;""),CHAR(10),""),CHAR(13),""),CHAR(9),""),CHAR(160),"")," ",""),".",""),"-",""),"/",""),"?",""),"_",""),",",""),"[",""),"]",""),"(",""),")",""),"*","")</f>
        <v/>
      </c>
      <c r="BB129" s="61" t="str">
        <f aca="false">IF(AND(TRIM(U129)="Pass",ISNUMBER(AF129)),IF(AF129&lt;&gt;0,"INVALID – qty variance: use Fail or Pass after CA",""),"")&amp;IF(AND(TRIM(U129)="Pass after CA",ISNUMBER(AF129)),IF(AF129&lt;&gt;0,"INVALID – after the corrective action the actual qty must equal expected (update Actual)",""),"")&amp;IF(AND(TRIM(U129)="Pass",TRIM(AB129)&lt;&gt;"",TRIM(AB129)&lt;&gt;"Closed"),"INVALID – corrective action not closed: use Fail, then Pass after CA","")&amp;IF(AND(LEN(BA129)&gt;=2,ISNA(MATCH(LEFT(BA129,255),L_Placeholder,0)),TRIM(AB129)=""),"INVALID – CA status missing for the recorded corrective action","")&amp;IF(AND(TRIM(U129)="Pass after CA",OR(OR(LEN(BA129)&lt;5,ISNUMBER(MATCH(BA129,L_Placeholder,0))),TRIM(AB129)&lt;&gt;"Closed")),"INVALID – corrective action not recorded/closed","")</f>
        <v/>
      </c>
      <c r="BC129" s="61" t="str">
        <f aca="false">" "&amp;TRIM(SUBSTITUTE(SUBSTITUTE(SUBSTITUTE(SUBSTITUTE(SUBSTITUTE(SUBSTITUTE(SUBSTITUTE(SUBSTITUTE(SUBSTITUTE(SUBSTITUTE(SUBSTITUTE(SUBSTITUTE(SUBSTITUTE(SUBSTITUTE(SUBSTITUTE(SUBSTITUTE(SUBSTITUTE(SUBSTITUTE(SUBSTITUTE(SUBSTITUTE(SUBSTITUTE(SUBSTITUTE(SUBSTITUTE(SUBSTITUTE(LOWER(V129&amp;""),CHAR(10)," "),CHAR(13)," "),CHAR(9)," "),CHAR(160)," "),"."," "),","," "),"-"," "),"/"," "),"("," "),")"," "),":"," "),";"," "),"_"," "),"–"," "),"?"," "),"!"," "),"*"," "),"["," "),"]"," "),"'"," "),"#"," "),"+"," "),"&amp;"," "),"\"," "))&amp;" "</f>
        <v>  </v>
      </c>
      <c r="BD129" s="61" t="str">
        <f aca="false">" "&amp;TRIM(SUBSTITUTE(SUBSTITUTE(SUBSTITUTE(SUBSTITUTE(SUBSTITUTE(SUBSTITUTE(SUBSTITUTE(SUBSTITUTE(SUBSTITUTE(SUBSTITUTE(SUBSTITUTE(SUBSTITUTE(SUBSTITUTE(SUBSTITUTE(SUBSTITUTE(SUBSTITUTE(SUBSTITUTE(SUBSTITUTE(SUBSTITUTE(SUBSTITUTE(SUBSTITUTE(SUBSTITUTE(SUBSTITUTE(SUBSTITUTE(LOWER(Z129&amp;""),CHAR(10)," "),CHAR(13)," "),CHAR(9)," "),CHAR(160)," "),"."," "),","," "),"-"," "),"/"," "),"("," "),")"," "),":"," "),";"," "),"_"," "),"–"," "),"?"," "),"!"," "),"*"," "),"["," "),"]"," "),"'"," "),"#"," "),"+"," "),"&amp;"," "),"\"," "))&amp;" "</f>
        <v>  </v>
      </c>
      <c r="BE129" s="61" t="str">
        <f aca="false">" "&amp;TRIM(SUBSTITUTE(SUBSTITUTE(SUBSTITUTE(SUBSTITUTE(SUBSTITUTE(SUBSTITUTE(SUBSTITUTE(SUBSTITUTE(SUBSTITUTE(SUBSTITUTE(SUBSTITUTE(SUBSTITUTE(SUBSTITUTE(SUBSTITUTE(SUBSTITUTE(SUBSTITUTE(SUBSTITUTE(SUBSTITUTE(SUBSTITUTE(SUBSTITUTE(SUBSTITUTE(SUBSTITUTE(SUBSTITUTE(SUBSTITUTE(LOWER(W129&amp;""),CHAR(10)," "),CHAR(13)," "),CHAR(9)," "),CHAR(160)," "),"."," "),","," "),"-"," "),"/"," "),"("," "),")"," "),":"," "),";"," "),"_"," "),"–"," "),"?"," "),"!"," "),"*"," "),"["," "),"]"," "),"'"," "),"#"," "),"+"," "),"&amp;"," "),"\"," "))&amp;" "</f>
        <v>  </v>
      </c>
      <c r="BF129" s="61" t="str">
        <f aca="false">" "&amp;TRIM(SUBSTITUTE(SUBSTITUTE(SUBSTITUTE(SUBSTITUTE(SUBSTITUTE(SUBSTITUTE(SUBSTITUTE(SUBSTITUTE(SUBSTITUTE(SUBSTITUTE(SUBSTITUTE(SUBSTITUTE(SUBSTITUTE(SUBSTITUTE(SUBSTITUTE(SUBSTITUTE(SUBSTITUTE(SUBSTITUTE(SUBSTITUTE(SUBSTITUTE(SUBSTITUTE(SUBSTITUTE(SUBSTITUTE(SUBSTITUTE(LOWER(AC129&amp;""),CHAR(10)," "),CHAR(13)," "),CHAR(9)," "),CHAR(160)," "),"."," "),","," "),"-"," "),"/"," "),"("," "),")"," "),":"," "),";"," "),"_"," "),"–"," "),"?"," "),"!"," "),"*"," "),"["," "),"]"," "),"'"," "),"#"," "),"+"," "),"&amp;"," "),"\"," "))&amp;" "</f>
        <v>  </v>
      </c>
      <c r="BG129" s="61" t="n">
        <f aca="false">IFERROR(IF(AND(TRIM(U129)="Pass",SUMPRODUCT((LEN(BC129)-LEN(SUBSTITUTE(BC129," "&amp;L_ResultBad&amp;" "," ")))/(LEN(L_ResultBad)+1))&gt;SUMPRODUCT((LEN(BC129)-LEN(SUBSTITUTE(BC129," "&amp;L_NegPhrase&amp;" "," ")))/(LEN(L_NegPhrase)+1))),1,0),0)</f>
        <v>0</v>
      </c>
      <c r="BH129" s="61" t="n">
        <f aca="false">IFERROR(IF(SUMPRODUCT((LEN(BC129)-LEN(SUBSTITUTE(BC129," "&amp;L_Pending&amp;" "," ")))/(LEN(L_Pending)+1))&gt;SUMPRODUCT((LEN(BC129)-LEN(SUBSTITUTE(BC129," "&amp;L_PendNeg&amp;" "," ")))/(LEN(L_PendNeg)+1)),1,0),1)</f>
        <v>0</v>
      </c>
      <c r="BI129" s="61" t="n">
        <f aca="false">IFERROR(IF(SUMPRODUCT((LEN(BD129)-LEN(SUBSTITUTE(BD129," "&amp;L_PendStrict&amp;" "," ")))/(LEN(L_PendStrict)+1))&gt;SUMPRODUCT((LEN(BD129)-LEN(SUBSTITUTE(BD129," "&amp;L_PendNeg&amp;" "," ")))/(LEN(L_PendNeg)+1)),1,0),1)</f>
        <v>0</v>
      </c>
      <c r="BJ129" s="61" t="n">
        <f aca="false">IFERROR(IF(SUMPRODUCT((LEN(BE129)-LEN(SUBSTITUTE(BE129," "&amp;L_Pending&amp;" "," ")))/(LEN(L_Pending)+1))&gt;SUMPRODUCT((LEN(BE129)-LEN(SUBSTITUTE(BE129," "&amp;L_PendNeg&amp;" "," ")))/(LEN(L_PendNeg)+1)),1,0),1)</f>
        <v>0</v>
      </c>
      <c r="BK129" s="61" t="n">
        <f aca="false">IFERROR(IF(SUMPRODUCT((LEN(BF129)-LEN(SUBSTITUTE(BF129," "&amp;L_PendStrict&amp;" "," ")))/(LEN(L_PendStrict)+1))&gt;SUMPRODUCT((LEN(BF129)-LEN(SUBSTITUTE(BF129," "&amp;L_PendNeg&amp;" "," ")))/(LEN(L_PendNeg)+1)),1,0),1)</f>
        <v>0</v>
      </c>
      <c r="BL129" s="61" t="n">
        <f aca="false">IF(ISNA(MATCH(TRIM(S129),L_EvidenceType,0)),0,BZ129)</f>
        <v>0</v>
      </c>
      <c r="BM129" s="61" t="str">
        <f aca="false">SUBSTITUTE(SUBSTITUTE(SUBSTITUTE(SUBSTITUTE(SUBSTITUTE(SUBSTITUTE(SUBSTITUTE(SUBSTITUTE(SUBSTITUTE(LOWER(Z129&amp;""),"1","0"),"2","0"),"3","0"),"4","0"),"5","0"),"6","0"),"7","0"),"8","0"),"9","0")</f>
        <v/>
      </c>
      <c r="BN129" s="61" t="str">
        <f aca="false">SUBSTITUTE(SUBSTITUTE(SUBSTITUTE(SUBSTITUTE(SUBSTITUTE(SUBSTITUTE(SUBSTITUTE(SUBSTITUTE(SUBSTITUTE(SUBSTITUTE(SUBSTITUTE(SUBSTITUTE(SUBSTITUTE(SUBSTITUTE(SUBSTITUTE(SUBSTITUTE(SUBSTITUTE(SUBSTITUTE(SUBSTITUTE(SUBSTITUTE(SUBSTITUTE(SUBSTITUTE(SUBSTITUTE(SUBSTITUTE(SUBSTITUTE(BM129,"b","a"),"c","a"),"d","a"),"e","a"),"f","a"),"g","a"),"h","a"),"i","a"),"j","a"),"k","a"),"l","a"),"m","a"),"n","a"),"o","a"),"p","a"),"q","a"),"r","a"),"s","a"),"t","a"),"u","a"),"v","a"),"w","a"),"x","a"),"y","a"),"z","a")</f>
        <v/>
      </c>
      <c r="BO129" s="61" t="str">
        <f aca="false">SUBSTITUTE(SUBSTITUTE(SUBSTITUTE(SUBSTITUTE(SUBSTITUTE(SUBSTITUTE(SUBSTITUTE(SUBSTITUTE(SUBSTITUTE(LOWER(W129&amp;""),"1","0"),"2","0"),"3","0"),"4","0"),"5","0"),"6","0"),"7","0"),"8","0"),"9","0")</f>
        <v/>
      </c>
      <c r="BP129" s="61" t="str">
        <f aca="false">SUBSTITUTE(SUBSTITUTE(SUBSTITUTE(SUBSTITUTE(SUBSTITUTE(SUBSTITUTE(SUBSTITUTE(SUBSTITUTE(SUBSTITUTE(SUBSTITUTE(SUBSTITUTE(SUBSTITUTE(SUBSTITUTE(SUBSTITUTE(SUBSTITUTE(SUBSTITUTE(SUBSTITUTE(SUBSTITUTE(SUBSTITUTE(SUBSTITUTE(SUBSTITUTE(SUBSTITUTE(SUBSTITUTE(SUBSTITUTE(SUBSTITUTE(BO129,"b","a"),"c","a"),"d","a"),"e","a"),"f","a"),"g","a"),"h","a"),"i","a"),"j","a"),"k","a"),"l","a"),"m","a"),"n","a"),"o","a"),"p","a"),"q","a"),"r","a"),"s","a"),"t","a"),"u","a"),"v","a"),"w","a"),"x","a"),"y","a"),"z","a")</f>
        <v/>
      </c>
      <c r="BQ129" s="61" t="n">
        <f aca="false">IFERROR(IF(AND(ISERROR(SEARCH(" mh"," "&amp;LOWER(W129))),ISNA(MATCH(LEFT(TRIM(BP129),255),{"0000a","000a","00a","0000aa","000aa","00aa","0aa","0000aaa","000aaa","00a00","0a00","0000-0000","00:00","a00","a0","00.00.0000","00/00/0000","00-00-0000","0000-00-00","0000/00/00","0000.00.00","00.00.00","00/00/00","00-00-00","0.00.0000","0/00/0000","0-00-0000"},0)),ISNA(MATCH(LEFT(TRIM(CA129),255),{"0000a","000a","00a","0000aa","000aa","00aa","0aa","0000aaa","000aaa","00a00","0a00","0000-0000","00:00","a00","a0","00.00.0000","00/00/0000","00-00-0000","0000-00-00","0000/00/00","0000.00.00","00.00.00","00/00/00","00-00-00","0.00.0000","0/00/0000","0-00-0000"},0)),LEN(CB129)&gt;=3,NOT(OR(SUBSTITUTE(CB129,"0","")="",AND(LEN(CB129)&gt;=4,CB129=REPT(LEFT(CB129),LEN(CB129))),ISNUMBER(MATCH(CB129,{"123","1234","12345","123456","1234567","12345678","0123","01234","012345","98765","987654","54321"},0)),AND(LEN(CB129)=8,LEFT(CB129,3)="202"))),OR(AND((LEN(CA129)-LEN(SUBSTITUTE(CA129,"a","")))&gt;=1,SUMPRODUCT(--ISNUMBER(SEARCH({"a0","a-0","a_0","a/0","a.0","a#0","0a","0-a","0_a","0/a"},BP129)))&gt;0),ISNUMBER(SEARCH("000000",BP129)))),1,0),0)</f>
        <v>0</v>
      </c>
      <c r="BR129" s="61" t="n">
        <f aca="false">IFERROR(LEN(SUBSTITUTE(CC129," ",""))-SUMPRODUCT((LEN(CC129)-LEN(SUBSTITUTE(CC129," "&amp;L_Role&amp;" "," ")))/(LEN(L_Role)+1)*LEN(L_Role)),0)</f>
        <v>0</v>
      </c>
      <c r="BS129" s="61" t="n">
        <f aca="false">IFERROR(LEN(SUBSTITUTE(CD129," ",""))-SUMPRODUCT((LEN(CD129)-LEN(SUBSTITUTE(CD129," "&amp;L_Role&amp;" "," ")))/(LEN(L_Role)+1)*LEN(L_Role)),0)</f>
        <v>0</v>
      </c>
      <c r="BT1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129,"revision",""),"version",""),"jan",""),"feb",""),"mar",""),"apr",""),"may",""),"jun",""),"jul",""),"aug",""),"sep",""),"oct",""),"nov",""),"dec",""),"utc",""),"gmt",""),"myt",""),"bst",""),"rev",""),"ver",""),"b","a"),"c","a"),"d","a"),"e","a"),"f","a"),"g","a"),"h","a"),"i","a"),"j","a"),"k","a"),"l","a"),"m","a"),"n","a"),"o","a"),"p","a"),"q","a"),"r","a"),"s","a"),"t","a"),"u","a"),"v","a"),"w","a"),"x","a"),"y","a"),"z","a")</f>
        <v/>
      </c>
      <c r="BU129" s="61" t="str">
        <f aca="false">SUBSTITUTE(SUBSTITUTE(SUBSTITUTE(SUBSTITUTE(SUBSTITUTE(SUBSTITUTE(SUBSTITUTE(SUBSTITUTE(SUBSTITUTE(SUBSTITUTE(LEFT(BM129,FIND("0",BM129&amp;"0")-1),"-",""),"_",""),"/",""),".",""),"#",""),"\\",""),":","")," ",""),"(",""),")","")</f>
        <v/>
      </c>
      <c r="BV129" s="61" t="n">
        <f aca="false">IFERROR(IF(OR(SUMPRODUCT((LEN(BC129)-LEN(SUBSTITUTE(BC129," "&amp;L_NotLoaded&amp;" "," ")))/(LEN(L_NotLoaded)+1))&gt;SUMPRODUCT((LEN(BC129)-LEN(SUBSTITUTE(BC129," "&amp;L_NotLoadedNeg&amp;" "," ")))/(LEN(L_NotLoadedNeg)+1)),SUMPRODUCT((LEN(BD129)-LEN(SUBSTITUTE(BD129," "&amp;L_NotLoaded&amp;" "," ")))/(LEN(L_NotLoaded)+1))&gt;SUMPRODUCT((LEN(BD129)-LEN(SUBSTITUTE(BD129," "&amp;L_NotLoadedNeg&amp;" "," ")))/(LEN(L_NotLoadedNeg)+1))),1,0),0)</f>
        <v>0</v>
      </c>
      <c r="BW1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129&amp;""),"a",""),"b",""),"c",""),"d",""),"e",""),"f",""),"g",""),"h",""),"i",""),"j",""),"k",""),"l",""),"m",""),"n",""),"o",""),"p",""),"q",""),"r",""),"s",""),"t",""),"u",""),"v",""),"w",""),"x",""),"y",""),"z",""),"-",""),"_",""),"/",""),".",""),"#",""),"\\",""),":","")," ",""),"(",""),")","")</f>
        <v/>
      </c>
      <c r="BX129" s="61" t="str">
        <f aca="false">SUBSTITUTE(SUBSTITUTE(SUBSTITUTE(SUBSTITUTE(SUBSTITUTE(SUBSTITUTE(SUBSTITUTE(SUBSTITUTE(SUBSTITUTE(SUBSTITUTE(SUBSTITUTE(BM129,"0",""),"-",""),"_",""),"/",""),".",""),"#",""),"\\",""),":","")," ",""),"(",""),")","")</f>
        <v/>
      </c>
      <c r="BY129" s="62" t="n">
        <f aca="false">IF(ISNUMBER(Flights!$AZ$8),MAX(Q129-UpliftWindowH/24,Flights!$AZ$8),Q129-UpliftWindowH/24)</f>
        <v>46305.3958333333</v>
      </c>
      <c r="BZ129" s="61" t="n">
        <f aca="false">IFERROR(IF(IF(TRIM(S129)="Link / file path",AND(LEN(TRIM(Z129))&gt;=5,SUMPRODUCT(--ISNUMBER(SEARCH({"http","www.","\\",":\",".pdf",".jpg",".jpeg",".png",".heic",".xls",".doc",".msg",".eml",".ppt",".txt",".zip"},Z129)))&gt;0),AND(ISERROR(FIND(" ",TRIM(Z129))),NOT(OR(SUMPRODUCT(--ISNUMBER(FIND({",",";","&amp;","+"},Z129)))&gt;0,SUMPRODUCT(--ISNUMBER(SEARCH({"0/aa","0\\aa"},BN129)))&gt;0)),NOT(SUMPRODUCT(--ISNUMBER(SEARCH({"http","www.","\\",":\",".pdf",".jpg",".jpeg",".png",".heic",".xls",".doc",".msg",".eml",".ppt",".txt",".zip"},Z129)))&gt;0),NOT(LOWER(TRIM(Z129))=LOWER(Flights!$F$8)),ISNA(MATCH(BU129,{"mh","rev","revision","ver","version","v","r","a","b","seat","tray","row","gate","bay","stand","page","pg","item","line","no","cart","galley","flight","flt","table","box","bag","oven","etd","eta","std","sta","atd","ata","qty","pax","x","time","tel","ph","mob","day","wk","week","utc","gmt","myt","lt"},0)),NOT(OR(ISNUMBER(MATCH(LEFT(BN129,255),{"0000a","000a","00a","0000aa","000aa","00aa","0aa","0000aaa","000aaa","00a00","0a00","0000-0000","00:00","a00","a0","00.00.0000","00/00/0000","00-00-0000","0000-00-00","0000/00/00","0000.00.00","00.00.00","00/00/00","00-00-00","0.00.0000","0/00/0000","0-00-0000"},0)),ISNUMBER(MATCH(LEFT(BT129,255),{"0000a","000a","00a","0000aa","000aa","00aa","0aa","0000aaa","000aaa","00a00","0a00","0000-0000","00:00","a00","a0","00.00.0000","00/00/0000","00-00-0000","0000-00-00","0000/00/00","0000.00.00","00.00.00","00/00/00","00-00-00","0.00.0000","0/00/0000","0-00-0000"},0)))),NOT(OR(AND(BW129&lt;&gt;"",SUBSTITUTE(BW129,"0","")=""),AND(LEN(BW129)&gt;=4,BW129=REPT(LEFT(BW129),LEN(BW129))),ISNUMBER(MATCH(BW129,{"123","1234","12345","123456","1234567","12345678","0123","01234","012345","98765","987654","54321"},0)),ISNUMBER(MATCH(BX129,{"x","xx","xxx","xxxx","xxxxx","abc","abcd","nil","na","nan","test","tbc","tba","tbd","dummy","sample","example","eg","zz","zzz","none","null","xyz","qwe","asd","id","ref"},0)),AND(LEN(BW129)=8,BX129="",OR(LEFT(BW129,3)="202",ISNUMBER(MATCH(RIGHT(BW129,4),{"2025","2026","2027"},0)))))),OR(AND((LEN(BT129)-LEN(SUBSTITUTE(BT129,"a","")))&gt;=1,(LEN(BN129)-LEN(SUBSTITUTE(BN129,"0","")))&gt;=2,SUMPRODUCT(--ISNUMBER(SEARCH({"a0","a-0","a_0","a/0","a.0","a#0","0a","0-a","0_a","0/a"},BN129)))&gt;0),AND((LEN(BN129)-LEN(SUBSTITUTE(BN129,"a","")))=0,(LEN(BN129)-LEN(SUBSTITUTE(BN129,"0","")))&gt;=5)))),1,0),0)</f>
        <v>0</v>
      </c>
      <c r="CA1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129,"revision",""),"version",""),"jan",""),"feb",""),"mar",""),"apr",""),"may",""),"jun",""),"jul",""),"aug",""),"sep",""),"oct",""),"nov",""),"dec",""),"utc",""),"gmt",""),"myt",""),"bst",""),"rev",""),"ver",""),"b","a"),"c","a"),"d","a"),"e","a"),"f","a"),"g","a"),"h","a"),"i","a"),"j","a"),"k","a"),"l","a"),"m","a"),"n","a"),"o","a"),"p","a"),"q","a"),"r","a"),"s","a"),"t","a"),"u","a"),"v","a"),"w","a"),"x","a"),"y","a"),"z","a")</f>
        <v/>
      </c>
      <c r="CB1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129&amp;""),"a",""),"b",""),"c",""),"d",""),"e",""),"f",""),"g",""),"h",""),"i",""),"j",""),"k",""),"l",""),"m",""),"n",""),"o",""),"p",""),"q",""),"r",""),"s",""),"t",""),"u",""),"v",""),"w",""),"x",""),"y",""),"z",""),"-",""),"_",""),"/",""),".",""),"#",""),"\\",""),":","")," ",""),"(",""),")","")</f>
        <v/>
      </c>
      <c r="CC129" s="0" t="str">
        <f aca="false">" "&amp;TRIM(SUBSTITUTE(SUBSTITUTE(SUBSTITUTE(SUBSTITUTE(SUBSTITUTE(SUBSTITUTE(SUBSTITUTE(SUBSTITUTE(SUBSTITUTE(SUBSTITUTE(SUBSTITUTE(SUBSTITUTE(SUBSTITUTE(SUBSTITUTE(SUBSTITUTE(SUBSTITUTE(SUBSTITUTE(SUBSTITUTE(SUBSTITUTE(SUBSTITUTE(SUBSTITUTE(SUBSTITUTE(SUBSTITUTE(SUBSTITUTE(LOWER(T129&amp;""),CHAR(10)," "),CHAR(13)," "),CHAR(9)," "),CHAR(160)," "),"."," "),","," "),"-"," "),"/"," "),"("," "),")"," "),":"," "),";"," "),"_"," "),"–"," "),"?"," "),"!"," "),"*"," "),"["," "),"]"," "),"'"," "),"#"," "),"+"," "),"&amp;"," "),"\"," "))&amp;" "</f>
        <v>  </v>
      </c>
      <c r="CD129" s="0" t="str">
        <f aca="false">" "&amp;TRIM(SUBSTITUTE(SUBSTITUTE(SUBSTITUTE(SUBSTITUTE(SUBSTITUTE(SUBSTITUTE(SUBSTITUTE(SUBSTITUTE(SUBSTITUTE(SUBSTITUTE(SUBSTITUTE(SUBSTITUTE(SUBSTITUTE(SUBSTITUTE(SUBSTITUTE(SUBSTITUTE(SUBSTITUTE(SUBSTITUTE(SUBSTITUTE(SUBSTITUTE(SUBSTITUTE(SUBSTITUTE(SUBSTITUTE(SUBSTITUTE(LOWER(AE129&amp;""),CHAR(10)," "),CHAR(13)," "),CHAR(9)," "),CHAR(160)," "),"."," "),","," "),"-"," "),"/"," "),"("," "),")"," "),":"," "),";"," "),"_"," "),"–"," "),"?"," "),"!"," "),"*"," "),"["," "),"]"," "),"'"," "),"#"," "),"+"," "),"&amp;"," "),"\"," "))&amp;" "</f>
        <v>  </v>
      </c>
      <c r="CE129" s="68" t="n">
        <f aca="false">IFERROR(IF(AND(LEN(AU129)&gt;0,LEN(AU129)=LEN(AX129),OR(TRIM(MID(SUBSTITUTE(TRIM(CC129)," ",REPT(" ",60)),1,60))="",ISNUMBER(SEARCH(" "&amp;TRIM(MID(SUBSTITUTE(TRIM(CC129)," ",REPT(" ",60)),1,60))&amp;" ",CD129))),OR(TRIM(MID(SUBSTITUTE(TRIM(CC129)," ",REPT(" ",60)),61,60))="",ISNUMBER(SEARCH(" "&amp;TRIM(MID(SUBSTITUTE(TRIM(CC129)," ",REPT(" ",60)),61,60))&amp;" ",CD129))),OR(TRIM(MID(SUBSTITUTE(TRIM(CC129)," ",REPT(" ",60)),121,60))="",ISNUMBER(SEARCH(" "&amp;TRIM(MID(SUBSTITUTE(TRIM(CC129)," ",REPT(" ",60)),121,60))&amp;" ",CD129)))),1,0),0)</f>
        <v>0</v>
      </c>
      <c r="CG129" s="68" t="n">
        <f aca="false">IFERROR(LEN(SUBSTITUTE(BF129," ",""))-SUMPRODUCT((LEN(BF129)-LEN(SUBSTITUTE(BF129," "&amp;L_NAFiller&amp;" "," ")))/(LEN(L_NAFiller)+1)*LEN(L_NAFiller)),0)</f>
        <v>0</v>
      </c>
    </row>
    <row r="130" customFormat="false" ht="39.75" hidden="false" customHeight="true" outlineLevel="0" collapsed="false">
      <c r="A130" s="57" t="s">
        <v>649</v>
      </c>
      <c r="B130" s="57" t="s">
        <v>218</v>
      </c>
      <c r="C130" s="57" t="str">
        <f aca="false">Flights!$F$8</f>
        <v>MH0088</v>
      </c>
      <c r="D130" s="58" t="n">
        <f aca="false">Flights!$D$8</f>
        <v>46305</v>
      </c>
      <c r="E130" s="57" t="str">
        <f aca="false">Flights!$G$8&amp;"-"&amp;Flights!$H$8</f>
        <v>KUL-NRT</v>
      </c>
      <c r="F130" s="57" t="str">
        <f aca="false">Flights!$K$8</f>
        <v>BC</v>
      </c>
      <c r="G130" s="57" t="s">
        <v>459</v>
      </c>
      <c r="H130" s="57" t="s">
        <v>460</v>
      </c>
      <c r="I130" s="57" t="s">
        <v>499</v>
      </c>
      <c r="J130" s="57" t="s">
        <v>548</v>
      </c>
      <c r="K130" s="67" t="s">
        <v>616</v>
      </c>
      <c r="L130" s="67" t="s">
        <v>617</v>
      </c>
      <c r="M130" s="67" t="s">
        <v>451</v>
      </c>
      <c r="N130" s="67" t="s">
        <v>383</v>
      </c>
      <c r="O130" s="67" t="s">
        <v>549</v>
      </c>
      <c r="P130" s="57" t="s">
        <v>187</v>
      </c>
      <c r="Q130" s="59" t="n">
        <f aca="false">ROUND((Flights!$AF$8)*1440,0)/1440</f>
        <v>46305.6458333333</v>
      </c>
      <c r="R130" s="59" t="n">
        <f aca="false">Q130+(IF(AND(INDEX(TZ_DSTS,MATCH(P130,TZ_STN,0))&lt;&gt;"",Q130&gt;=INDEX(TZ_DSTS,MATCH(P130,TZ_STN,0)),Q130&lt;INDEX(TZ_DSTE,MATCH(P130,TZ_STN,0))),INDEX(TZ_DST,MATCH(P130,TZ_STN,0)),INDEX(TZ_STD,MATCH(P130,TZ_STN,0))))/24</f>
        <v>46305.9791666667</v>
      </c>
      <c r="S130" s="60"/>
      <c r="T130" s="60"/>
      <c r="U130" s="60"/>
      <c r="V130" s="60"/>
      <c r="W130" s="61"/>
      <c r="X130" s="60"/>
      <c r="Y130" s="60"/>
      <c r="Z130" s="60"/>
      <c r="AA130" s="60"/>
      <c r="AB130" s="60"/>
      <c r="AC130" s="60"/>
      <c r="AD130" s="66"/>
      <c r="AE130" s="60"/>
      <c r="AF130" s="61" t="str">
        <f aca="false">IF(AND(ISNUMBER(X130),ISNUMBER(Y130)),Y130-X130,"")</f>
        <v/>
      </c>
      <c r="AG130" s="62" t="str">
        <f aca="false">IF(ISNUMBER(AD130),AD130-(IF(AND(INDEX(TZ_DSTS,MATCH(P130,TZ_STN,0))&lt;&gt;"",(AD130-INDEX(TZ_STD,MATCH(P130,TZ_STN,0))/24)&gt;=INDEX(TZ_DSTS,MATCH(P130,TZ_STN,0)),(AD130-INDEX(TZ_STD,MATCH(P130,TZ_STN,0))/24)&lt;INDEX(TZ_DSTE,MATCH(P130,TZ_STN,0))),INDEX(TZ_DST,MATCH(P130,TZ_STN,0)),INDEX(TZ_STD,MATCH(P130,TZ_STN,0))))/24,"")</f>
        <v/>
      </c>
      <c r="AH130" s="65" t="str">
        <f aca="false">IFERROR(IF(N130="N/A – rule",IF(OR(TRIM(U130)="",TRIM(U130)="N/A",TRIM(U130)="Not started"),"N/A – RULE","INVALID – this check does not apply to this aircraft: clear the status (or correct the fleet on Flights)"),IF(TRIM(U130)="N/A",IF(AT130=0,"INVALID – N/A not permitted for this check",IF(AND(TRIM(AB130)&lt;&gt;"",TRIM(AB130)&lt;&gt;"Closed"),"INVALID – corrective action still open",IF(AND(NOT(OR(LEN(AZ130)&lt;15,ISNUMBER(MATCH(AZ130,L_Placeholder,0)))),BK130=0,CG130&gt;=8,NOT(OR(LEN(AU130)&lt;2,ISNUMBER(MATCH(AU130,L_Placeholder,0)))),BR130&gt;=3,NOT(OR(LEN(AX130)&lt;2,ISNUMBER(MATCH(AX130,L_Placeholder,0)))),BS130&gt;=3,TRIM(AE130)&lt;&gt;TRIM(T130),AX130&lt;&gt;AU130,CE130=0),"N/A – JUSTIFIED","INVALID – N/A needs a real, settled reason (not 'not applicable' / 'as above' / TBC), a named PIC and a different named verifier"))),IF(OR(TRIM(U130)="Pass",TRIM(U130)="Pass after CA"),IF(NOT(ISNUMBER(AD130)),"INVALID – completion time missing",IF(OR(OR(LEN(AU130)&lt;2,ISNUMBER(MATCH(AU130,L_Placeholder,0))),BR130&lt;3),"INVALID – PIC missing or not a named person (a role such as QA / CSM is not a name)",IF(OR(LEN(AV130)&lt;2,ISNUMBER(MATCH(AV130,L_Placeholder,0))),"INVALID – result / assessment missing",IF(OR(OR(LEN(AW130)&lt;3,ISNUMBER(MATCH(AW130,L_Placeholder,0))),SUMPRODUCT(--ISNUMBER(SEARCH(" "&amp;L_EvidencePhrase&amp;" ",BD130)))&gt;0,BI130=1),"INVALID – evidence missing, placeholder or not yet on file",IF(ISNA(MATCH(TRIM(S130),L_EvidenceType,0)),"INVALID – choose the evidence type from the list (column S)",IF(BL130=0,"INVALID – evidence ID must be the record's own ID only (e.g. SF-2210, IMG_2231, 1045521); a link / file name needs type 'Link / file path'",IF(OR(OR(LEN(AX130)&lt;2,ISNUMBER(MATCH(AX130,L_Placeholder,0))),BS130&lt;3),"INVALID – verifier missing or not a named person (a role such as QA / CSM is not a name)",IF(OR(AX130=AU130,CE130=1,AND(LEN(AU130)&gt;=4,ISNUMBER(SEARCH(AU130,AX130))),AND(LEN(AX130)&gt;=4,ISNUMBER(SEARCH(AX130,AU130)))),"INVALID – verifier must be a different, named person (not the PIC or a role)",IF(BH130=1,"INVALID – result not yet available (awaiting / TBC)",IF(BG130=1,"INVALID – result describes a problem: record Fail, then Pass after CA (or reword if it is not a problem)",IF(BV130=1,"INVALID – wording says not on board: an on-board confirmation needs the item loaded",IF(AND(AQ130=1,OR(OR(LEN(AY130)&lt;3,ISNUMBER(MATCH(AY130,L_Placeholder,0))),BJ130=1,BQ130=0)),"INVALID – batch ID missing, placeholder or not an ID (e.g. PASB-261008-BC-017)",IF(AND(AR130=1,OR(NOT(ISNUMBER(X130)),NOT(ISNUMBER(Y130)))),"INVALID – expected/actual qty missing",IF(AND(AR130=1,OR(X130&lt;=0,Y130&lt;0)),"INVALID – expected qty must be above 0 and actual not negative",IF(AH114="N/A – JUSTIFIED","INVALID – preparation row F04-T12-15 is N/A",IF(AND(AR130=1,ISNUMBER(X114),X130&lt;&gt;X114,TRIM(U130)&lt;&gt;"Pass after CA"),"INVALID – expected qty differs from preparation check F04-T12-15: record the load change as a corrective action (Pass after CA)",IF(BB130&lt;&gt;"",BB130,IF(AND(AS130=1,Documents!$J$8&lt;&gt;"ON FILE"),"INVALID – GLD not on file (Documents sheet)",IF(AND(AS130=2,Documents!$O$8&lt;&gt;"ON FILE"),"INVALID – menu checklist not on file (Documents sheet)",IF(AND(AS130=3,NOT(ISNUMBER(Flights!$AX$8))),"INVALID – enter carrying flight KUL departure (Flights AX)",IF(AND(AS130=3,OR(Flights!$AZ$8&gt;Flights!$AA$8,Flights!$AX$8&lt;Flights!$AA$8-3)),"INVALID – carrying flight (Flights AX) cannot arrive before this leg's STD, or is over 3 days early",IF(AG130&gt;AsOfUTC,"INVALID – completion time is in the future",IF(AND(ISNUMBER(BY130),AG130&lt;BY130),IF(H130="Physical uplift","INVALID – before uplift window (cannot confirm loading)","INVALID – before valid window"),IF(AG130&gt;Flights!$AA$8,"INVALID – completed after departure (cannot establish readiness)",IF(AND(H130="Preparation",AG130&gt;=IF(ISNUMBER(Flights!$BA$8),MIN(Flights!$BA$8,Flights!$AA$8),Flights!$AA$8)),"INVALID – completed after loading / departure (cannot establish readiness)",IF(AND(H130="Physical uplift",AG130&gt;Q130),"INVALID – recorded after the loading flight departed",IF(AG130&gt;Q130,"COMPLETE – LATE","COMPLETE"))))))))))))))))))))))))))),IF(TRIM(U130)="Fail","FAIL – DISCREPANCY",IF(AND(TRIM(U130)&lt;&gt;"",TRIM(U130)&lt;&gt;"Not started",TRIM(U130)&lt;&gt;"In progress"),"INVALID – unrecognised status (use the list)",IF(AsOfUTC&gt;Q130,"OVERDUE",IF(N130="Clarification required","OPEN – CLARIFICATION","OPEN"))))))),"INVALID – error value in an input cell")</f>
        <v>OPEN</v>
      </c>
      <c r="AI130" s="61" t="n">
        <f aca="false">IF(OR(AH130="N/A – RULE",AH130="N/A – JUSTIFIED"),0,1)</f>
        <v>1</v>
      </c>
      <c r="AJ130" s="61" t="n">
        <f aca="false">IF(LEFT(AH130,8)="COMPLETE",1,0)</f>
        <v>0</v>
      </c>
      <c r="AK130" s="61" t="n">
        <f aca="false">IF(AND(AI130=1,AJ130=0,AsOfUTC&gt;Q130),1,0)</f>
        <v>0</v>
      </c>
      <c r="AL130" s="61" t="n">
        <f aca="false">IFERROR(IF(AND(AI130=1,OR(TRIM(U130)="Fail",AND(TRIM(AB130)&lt;&gt;"",TRIM(AB130)&lt;&gt;"Closed"),AND(ISNUMBER(AF130),AF130&lt;&gt;0,TRIM(U130)&lt;&gt;"Pass after CA"))),1,0),1)</f>
        <v>0</v>
      </c>
      <c r="AM130" s="61" t="n">
        <f aca="false">IF(LEFT(AH130,7)="INVALID",1,0)</f>
        <v>0</v>
      </c>
      <c r="AN130" s="61" t="n">
        <f aca="false">IF(AND(N130="Clarification required",AI130=1,AJ130=0),1,0)</f>
        <v>0</v>
      </c>
      <c r="AO130" s="61" t="str">
        <f aca="false">IF(AK130=1,SUM(AK$5:AK130),"")</f>
        <v/>
      </c>
      <c r="AP130" s="61" t="str">
        <f aca="false">IF(AL130=1,SUM(AL$5:AL130),"")</f>
        <v/>
      </c>
      <c r="AQ130" s="61" t="n">
        <v>0</v>
      </c>
      <c r="AR130" s="61" t="n">
        <v>0</v>
      </c>
      <c r="AS130" s="61" t="n">
        <v>0</v>
      </c>
      <c r="AT130" s="61" t="n">
        <v>0</v>
      </c>
      <c r="AU130" s="61" t="str">
        <f aca="false">SUBSTITUTE(SUBSTITUTE(SUBSTITUTE(SUBSTITUTE(SUBSTITUTE(SUBSTITUTE(SUBSTITUTE(SUBSTITUTE(SUBSTITUTE(SUBSTITUTE(SUBSTITUTE(SUBSTITUTE(SUBSTITUTE(SUBSTITUTE(SUBSTITUTE(SUBSTITUTE(LOWER(T130&amp;""),CHAR(10),""),CHAR(13),""),CHAR(9),""),CHAR(160),"")," ",""),".",""),"-",""),"/",""),"?",""),"_",""),",",""),"[",""),"]",""),"(",""),")",""),"*","")</f>
        <v/>
      </c>
      <c r="AV130" s="61" t="str">
        <f aca="false">SUBSTITUTE(SUBSTITUTE(SUBSTITUTE(SUBSTITUTE(SUBSTITUTE(SUBSTITUTE(SUBSTITUTE(SUBSTITUTE(SUBSTITUTE(SUBSTITUTE(SUBSTITUTE(SUBSTITUTE(SUBSTITUTE(SUBSTITUTE(SUBSTITUTE(SUBSTITUTE(LOWER(V130&amp;""),CHAR(10),""),CHAR(13),""),CHAR(9),""),CHAR(160),"")," ",""),".",""),"-",""),"/",""),"?",""),"_",""),",",""),"[",""),"]",""),"(",""),")",""),"*","")</f>
        <v/>
      </c>
      <c r="AW130" s="61" t="str">
        <f aca="false">SUBSTITUTE(SUBSTITUTE(SUBSTITUTE(SUBSTITUTE(SUBSTITUTE(SUBSTITUTE(SUBSTITUTE(SUBSTITUTE(SUBSTITUTE(SUBSTITUTE(SUBSTITUTE(SUBSTITUTE(SUBSTITUTE(SUBSTITUTE(SUBSTITUTE(SUBSTITUTE(LOWER(Z130&amp;""),CHAR(10),""),CHAR(13),""),CHAR(9),""),CHAR(160),"")," ",""),".",""),"-",""),"/",""),"?",""),"_",""),",",""),"[",""),"]",""),"(",""),")",""),"*","")</f>
        <v/>
      </c>
      <c r="AX130" s="61" t="str">
        <f aca="false">SUBSTITUTE(SUBSTITUTE(SUBSTITUTE(SUBSTITUTE(SUBSTITUTE(SUBSTITUTE(SUBSTITUTE(SUBSTITUTE(SUBSTITUTE(SUBSTITUTE(SUBSTITUTE(SUBSTITUTE(SUBSTITUTE(SUBSTITUTE(SUBSTITUTE(SUBSTITUTE(LOWER(AE130&amp;""),CHAR(10),""),CHAR(13),""),CHAR(9),""),CHAR(160),"")," ",""),".",""),"-",""),"/",""),"?",""),"_",""),",",""),"[",""),"]",""),"(",""),")",""),"*","")</f>
        <v/>
      </c>
      <c r="AY130" s="61" t="str">
        <f aca="false">SUBSTITUTE(SUBSTITUTE(SUBSTITUTE(SUBSTITUTE(SUBSTITUTE(SUBSTITUTE(SUBSTITUTE(SUBSTITUTE(SUBSTITUTE(SUBSTITUTE(SUBSTITUTE(SUBSTITUTE(SUBSTITUTE(SUBSTITUTE(SUBSTITUTE(SUBSTITUTE(LOWER(W130&amp;""),CHAR(10),""),CHAR(13),""),CHAR(9),""),CHAR(160),"")," ",""),".",""),"-",""),"/",""),"?",""),"_",""),",",""),"[",""),"]",""),"(",""),")",""),"*","")</f>
        <v/>
      </c>
      <c r="AZ130" s="61" t="str">
        <f aca="false">SUBSTITUTE(SUBSTITUTE(SUBSTITUTE(SUBSTITUTE(SUBSTITUTE(SUBSTITUTE(SUBSTITUTE(SUBSTITUTE(SUBSTITUTE(SUBSTITUTE(SUBSTITUTE(SUBSTITUTE(SUBSTITUTE(SUBSTITUTE(SUBSTITUTE(SUBSTITUTE(LOWER(AC130&amp;""),CHAR(10),""),CHAR(13),""),CHAR(9),""),CHAR(160),"")," ",""),".",""),"-",""),"/",""),"?",""),"_",""),",",""),"[",""),"]",""),"(",""),")",""),"*","")</f>
        <v/>
      </c>
      <c r="BA130" s="61" t="str">
        <f aca="false">SUBSTITUTE(SUBSTITUTE(SUBSTITUTE(SUBSTITUTE(SUBSTITUTE(SUBSTITUTE(SUBSTITUTE(SUBSTITUTE(SUBSTITUTE(SUBSTITUTE(SUBSTITUTE(SUBSTITUTE(SUBSTITUTE(SUBSTITUTE(SUBSTITUTE(SUBSTITUTE(LOWER(AA130&amp;""),CHAR(10),""),CHAR(13),""),CHAR(9),""),CHAR(160),"")," ",""),".",""),"-",""),"/",""),"?",""),"_",""),",",""),"[",""),"]",""),"(",""),")",""),"*","")</f>
        <v/>
      </c>
      <c r="BB130" s="61" t="str">
        <f aca="false">IF(AND(TRIM(U130)="Pass",ISNUMBER(AF130)),IF(AF130&lt;&gt;0,"INVALID – qty variance: use Fail or Pass after CA",""),"")&amp;IF(AND(TRIM(U130)="Pass after CA",ISNUMBER(AF130)),IF(AF130&lt;&gt;0,"INVALID – after the corrective action the actual qty must equal expected (update Actual)",""),"")&amp;IF(AND(TRIM(U130)="Pass",TRIM(AB130)&lt;&gt;"",TRIM(AB130)&lt;&gt;"Closed"),"INVALID – corrective action not closed: use Fail, then Pass after CA","")&amp;IF(AND(LEN(BA130)&gt;=2,ISNA(MATCH(LEFT(BA130,255),L_Placeholder,0)),TRIM(AB130)=""),"INVALID – CA status missing for the recorded corrective action","")&amp;IF(AND(TRIM(U130)="Pass after CA",OR(OR(LEN(BA130)&lt;5,ISNUMBER(MATCH(BA130,L_Placeholder,0))),TRIM(AB130)&lt;&gt;"Closed")),"INVALID – corrective action not recorded/closed","")</f>
        <v/>
      </c>
      <c r="BC130" s="61" t="str">
        <f aca="false">" "&amp;TRIM(SUBSTITUTE(SUBSTITUTE(SUBSTITUTE(SUBSTITUTE(SUBSTITUTE(SUBSTITUTE(SUBSTITUTE(SUBSTITUTE(SUBSTITUTE(SUBSTITUTE(SUBSTITUTE(SUBSTITUTE(SUBSTITUTE(SUBSTITUTE(SUBSTITUTE(SUBSTITUTE(SUBSTITUTE(SUBSTITUTE(SUBSTITUTE(SUBSTITUTE(SUBSTITUTE(SUBSTITUTE(SUBSTITUTE(SUBSTITUTE(LOWER(V130&amp;""),CHAR(10)," "),CHAR(13)," "),CHAR(9)," "),CHAR(160)," "),"."," "),","," "),"-"," "),"/"," "),"("," "),")"," "),":"," "),";"," "),"_"," "),"–"," "),"?"," "),"!"," "),"*"," "),"["," "),"]"," "),"'"," "),"#"," "),"+"," "),"&amp;"," "),"\"," "))&amp;" "</f>
        <v>  </v>
      </c>
      <c r="BD130" s="61" t="str">
        <f aca="false">" "&amp;TRIM(SUBSTITUTE(SUBSTITUTE(SUBSTITUTE(SUBSTITUTE(SUBSTITUTE(SUBSTITUTE(SUBSTITUTE(SUBSTITUTE(SUBSTITUTE(SUBSTITUTE(SUBSTITUTE(SUBSTITUTE(SUBSTITUTE(SUBSTITUTE(SUBSTITUTE(SUBSTITUTE(SUBSTITUTE(SUBSTITUTE(SUBSTITUTE(SUBSTITUTE(SUBSTITUTE(SUBSTITUTE(SUBSTITUTE(SUBSTITUTE(LOWER(Z130&amp;""),CHAR(10)," "),CHAR(13)," "),CHAR(9)," "),CHAR(160)," "),"."," "),","," "),"-"," "),"/"," "),"("," "),")"," "),":"," "),";"," "),"_"," "),"–"," "),"?"," "),"!"," "),"*"," "),"["," "),"]"," "),"'"," "),"#"," "),"+"," "),"&amp;"," "),"\"," "))&amp;" "</f>
        <v>  </v>
      </c>
      <c r="BE130" s="61" t="str">
        <f aca="false">" "&amp;TRIM(SUBSTITUTE(SUBSTITUTE(SUBSTITUTE(SUBSTITUTE(SUBSTITUTE(SUBSTITUTE(SUBSTITUTE(SUBSTITUTE(SUBSTITUTE(SUBSTITUTE(SUBSTITUTE(SUBSTITUTE(SUBSTITUTE(SUBSTITUTE(SUBSTITUTE(SUBSTITUTE(SUBSTITUTE(SUBSTITUTE(SUBSTITUTE(SUBSTITUTE(SUBSTITUTE(SUBSTITUTE(SUBSTITUTE(SUBSTITUTE(LOWER(W130&amp;""),CHAR(10)," "),CHAR(13)," "),CHAR(9)," "),CHAR(160)," "),"."," "),","," "),"-"," "),"/"," "),"("," "),")"," "),":"," "),";"," "),"_"," "),"–"," "),"?"," "),"!"," "),"*"," "),"["," "),"]"," "),"'"," "),"#"," "),"+"," "),"&amp;"," "),"\"," "))&amp;" "</f>
        <v>  </v>
      </c>
      <c r="BF130" s="61" t="str">
        <f aca="false">" "&amp;TRIM(SUBSTITUTE(SUBSTITUTE(SUBSTITUTE(SUBSTITUTE(SUBSTITUTE(SUBSTITUTE(SUBSTITUTE(SUBSTITUTE(SUBSTITUTE(SUBSTITUTE(SUBSTITUTE(SUBSTITUTE(SUBSTITUTE(SUBSTITUTE(SUBSTITUTE(SUBSTITUTE(SUBSTITUTE(SUBSTITUTE(SUBSTITUTE(SUBSTITUTE(SUBSTITUTE(SUBSTITUTE(SUBSTITUTE(SUBSTITUTE(LOWER(AC130&amp;""),CHAR(10)," "),CHAR(13)," "),CHAR(9)," "),CHAR(160)," "),"."," "),","," "),"-"," "),"/"," "),"("," "),")"," "),":"," "),";"," "),"_"," "),"–"," "),"?"," "),"!"," "),"*"," "),"["," "),"]"," "),"'"," "),"#"," "),"+"," "),"&amp;"," "),"\"," "))&amp;" "</f>
        <v>  </v>
      </c>
      <c r="BG130" s="61" t="n">
        <f aca="false">IFERROR(IF(AND(TRIM(U130)="Pass",SUMPRODUCT((LEN(BC130)-LEN(SUBSTITUTE(BC130," "&amp;L_ResultBad&amp;" "," ")))/(LEN(L_ResultBad)+1))&gt;SUMPRODUCT((LEN(BC130)-LEN(SUBSTITUTE(BC130," "&amp;L_NegPhrase&amp;" "," ")))/(LEN(L_NegPhrase)+1))),1,0),0)</f>
        <v>0</v>
      </c>
      <c r="BH130" s="61" t="n">
        <f aca="false">IFERROR(IF(SUMPRODUCT((LEN(BC130)-LEN(SUBSTITUTE(BC130," "&amp;L_Pending&amp;" "," ")))/(LEN(L_Pending)+1))&gt;SUMPRODUCT((LEN(BC130)-LEN(SUBSTITUTE(BC130," "&amp;L_PendNeg&amp;" "," ")))/(LEN(L_PendNeg)+1)),1,0),1)</f>
        <v>0</v>
      </c>
      <c r="BI130" s="61" t="n">
        <f aca="false">IFERROR(IF(SUMPRODUCT((LEN(BD130)-LEN(SUBSTITUTE(BD130," "&amp;L_PendStrict&amp;" "," ")))/(LEN(L_PendStrict)+1))&gt;SUMPRODUCT((LEN(BD130)-LEN(SUBSTITUTE(BD130," "&amp;L_PendNeg&amp;" "," ")))/(LEN(L_PendNeg)+1)),1,0),1)</f>
        <v>0</v>
      </c>
      <c r="BJ130" s="61" t="n">
        <f aca="false">IFERROR(IF(SUMPRODUCT((LEN(BE130)-LEN(SUBSTITUTE(BE130," "&amp;L_Pending&amp;" "," ")))/(LEN(L_Pending)+1))&gt;SUMPRODUCT((LEN(BE130)-LEN(SUBSTITUTE(BE130," "&amp;L_PendNeg&amp;" "," ")))/(LEN(L_PendNeg)+1)),1,0),1)</f>
        <v>0</v>
      </c>
      <c r="BK130" s="61" t="n">
        <f aca="false">IFERROR(IF(SUMPRODUCT((LEN(BF130)-LEN(SUBSTITUTE(BF130," "&amp;L_PendStrict&amp;" "," ")))/(LEN(L_PendStrict)+1))&gt;SUMPRODUCT((LEN(BF130)-LEN(SUBSTITUTE(BF130," "&amp;L_PendNeg&amp;" "," ")))/(LEN(L_PendNeg)+1)),1,0),1)</f>
        <v>0</v>
      </c>
      <c r="BL130" s="61" t="n">
        <f aca="false">IF(ISNA(MATCH(TRIM(S130),L_EvidenceType,0)),0,BZ130)</f>
        <v>0</v>
      </c>
      <c r="BM130" s="61" t="str">
        <f aca="false">SUBSTITUTE(SUBSTITUTE(SUBSTITUTE(SUBSTITUTE(SUBSTITUTE(SUBSTITUTE(SUBSTITUTE(SUBSTITUTE(SUBSTITUTE(LOWER(Z130&amp;""),"1","0"),"2","0"),"3","0"),"4","0"),"5","0"),"6","0"),"7","0"),"8","0"),"9","0")</f>
        <v/>
      </c>
      <c r="BN130" s="61" t="str">
        <f aca="false">SUBSTITUTE(SUBSTITUTE(SUBSTITUTE(SUBSTITUTE(SUBSTITUTE(SUBSTITUTE(SUBSTITUTE(SUBSTITUTE(SUBSTITUTE(SUBSTITUTE(SUBSTITUTE(SUBSTITUTE(SUBSTITUTE(SUBSTITUTE(SUBSTITUTE(SUBSTITUTE(SUBSTITUTE(SUBSTITUTE(SUBSTITUTE(SUBSTITUTE(SUBSTITUTE(SUBSTITUTE(SUBSTITUTE(SUBSTITUTE(SUBSTITUTE(BM130,"b","a"),"c","a"),"d","a"),"e","a"),"f","a"),"g","a"),"h","a"),"i","a"),"j","a"),"k","a"),"l","a"),"m","a"),"n","a"),"o","a"),"p","a"),"q","a"),"r","a"),"s","a"),"t","a"),"u","a"),"v","a"),"w","a"),"x","a"),"y","a"),"z","a")</f>
        <v/>
      </c>
      <c r="BO130" s="61" t="str">
        <f aca="false">SUBSTITUTE(SUBSTITUTE(SUBSTITUTE(SUBSTITUTE(SUBSTITUTE(SUBSTITUTE(SUBSTITUTE(SUBSTITUTE(SUBSTITUTE(LOWER(W130&amp;""),"1","0"),"2","0"),"3","0"),"4","0"),"5","0"),"6","0"),"7","0"),"8","0"),"9","0")</f>
        <v/>
      </c>
      <c r="BP130" s="61" t="str">
        <f aca="false">SUBSTITUTE(SUBSTITUTE(SUBSTITUTE(SUBSTITUTE(SUBSTITUTE(SUBSTITUTE(SUBSTITUTE(SUBSTITUTE(SUBSTITUTE(SUBSTITUTE(SUBSTITUTE(SUBSTITUTE(SUBSTITUTE(SUBSTITUTE(SUBSTITUTE(SUBSTITUTE(SUBSTITUTE(SUBSTITUTE(SUBSTITUTE(SUBSTITUTE(SUBSTITUTE(SUBSTITUTE(SUBSTITUTE(SUBSTITUTE(SUBSTITUTE(BO130,"b","a"),"c","a"),"d","a"),"e","a"),"f","a"),"g","a"),"h","a"),"i","a"),"j","a"),"k","a"),"l","a"),"m","a"),"n","a"),"o","a"),"p","a"),"q","a"),"r","a"),"s","a"),"t","a"),"u","a"),"v","a"),"w","a"),"x","a"),"y","a"),"z","a")</f>
        <v/>
      </c>
      <c r="BQ130" s="61" t="n">
        <f aca="false">IFERROR(IF(AND(ISERROR(SEARCH(" mh"," "&amp;LOWER(W130))),ISNA(MATCH(LEFT(TRIM(BP130),255),{"0000a","000a","00a","0000aa","000aa","00aa","0aa","0000aaa","000aaa","00a00","0a00","0000-0000","00:00","a00","a0","00.00.0000","00/00/0000","00-00-0000","0000-00-00","0000/00/00","0000.00.00","00.00.00","00/00/00","00-00-00","0.00.0000","0/00/0000","0-00-0000"},0)),ISNA(MATCH(LEFT(TRIM(CA130),255),{"0000a","000a","00a","0000aa","000aa","00aa","0aa","0000aaa","000aaa","00a00","0a00","0000-0000","00:00","a00","a0","00.00.0000","00/00/0000","00-00-0000","0000-00-00","0000/00/00","0000.00.00","00.00.00","00/00/00","00-00-00","0.00.0000","0/00/0000","0-00-0000"},0)),LEN(CB130)&gt;=3,NOT(OR(SUBSTITUTE(CB130,"0","")="",AND(LEN(CB130)&gt;=4,CB130=REPT(LEFT(CB130),LEN(CB130))),ISNUMBER(MATCH(CB130,{"123","1234","12345","123456","1234567","12345678","0123","01234","012345","98765","987654","54321"},0)),AND(LEN(CB130)=8,LEFT(CB130,3)="202"))),OR(AND((LEN(CA130)-LEN(SUBSTITUTE(CA130,"a","")))&gt;=1,SUMPRODUCT(--ISNUMBER(SEARCH({"a0","a-0","a_0","a/0","a.0","a#0","0a","0-a","0_a","0/a"},BP130)))&gt;0),ISNUMBER(SEARCH("000000",BP130)))),1,0),0)</f>
        <v>0</v>
      </c>
      <c r="BR130" s="61" t="n">
        <f aca="false">IFERROR(LEN(SUBSTITUTE(CC130," ",""))-SUMPRODUCT((LEN(CC130)-LEN(SUBSTITUTE(CC130," "&amp;L_Role&amp;" "," ")))/(LEN(L_Role)+1)*LEN(L_Role)),0)</f>
        <v>0</v>
      </c>
      <c r="BS130" s="61" t="n">
        <f aca="false">IFERROR(LEN(SUBSTITUTE(CD130," ",""))-SUMPRODUCT((LEN(CD130)-LEN(SUBSTITUTE(CD130," "&amp;L_Role&amp;" "," ")))/(LEN(L_Role)+1)*LEN(L_Role)),0)</f>
        <v>0</v>
      </c>
      <c r="BT1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130,"revision",""),"version",""),"jan",""),"feb",""),"mar",""),"apr",""),"may",""),"jun",""),"jul",""),"aug",""),"sep",""),"oct",""),"nov",""),"dec",""),"utc",""),"gmt",""),"myt",""),"bst",""),"rev",""),"ver",""),"b","a"),"c","a"),"d","a"),"e","a"),"f","a"),"g","a"),"h","a"),"i","a"),"j","a"),"k","a"),"l","a"),"m","a"),"n","a"),"o","a"),"p","a"),"q","a"),"r","a"),"s","a"),"t","a"),"u","a"),"v","a"),"w","a"),"x","a"),"y","a"),"z","a")</f>
        <v/>
      </c>
      <c r="BU130" s="61" t="str">
        <f aca="false">SUBSTITUTE(SUBSTITUTE(SUBSTITUTE(SUBSTITUTE(SUBSTITUTE(SUBSTITUTE(SUBSTITUTE(SUBSTITUTE(SUBSTITUTE(SUBSTITUTE(LEFT(BM130,FIND("0",BM130&amp;"0")-1),"-",""),"_",""),"/",""),".",""),"#",""),"\\",""),":","")," ",""),"(",""),")","")</f>
        <v/>
      </c>
      <c r="BV130" s="61" t="n">
        <f aca="false">IFERROR(IF(OR(SUMPRODUCT((LEN(BC130)-LEN(SUBSTITUTE(BC130," "&amp;L_NotLoaded&amp;" "," ")))/(LEN(L_NotLoaded)+1))&gt;SUMPRODUCT((LEN(BC130)-LEN(SUBSTITUTE(BC130," "&amp;L_NotLoadedNeg&amp;" "," ")))/(LEN(L_NotLoadedNeg)+1)),SUMPRODUCT((LEN(BD130)-LEN(SUBSTITUTE(BD130," "&amp;L_NotLoaded&amp;" "," ")))/(LEN(L_NotLoaded)+1))&gt;SUMPRODUCT((LEN(BD130)-LEN(SUBSTITUTE(BD130," "&amp;L_NotLoadedNeg&amp;" "," ")))/(LEN(L_NotLoadedNeg)+1))),1,0),0)</f>
        <v>0</v>
      </c>
      <c r="BW1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130&amp;""),"a",""),"b",""),"c",""),"d",""),"e",""),"f",""),"g",""),"h",""),"i",""),"j",""),"k",""),"l",""),"m",""),"n",""),"o",""),"p",""),"q",""),"r",""),"s",""),"t",""),"u",""),"v",""),"w",""),"x",""),"y",""),"z",""),"-",""),"_",""),"/",""),".",""),"#",""),"\\",""),":","")," ",""),"(",""),")","")</f>
        <v/>
      </c>
      <c r="BX130" s="61" t="str">
        <f aca="false">SUBSTITUTE(SUBSTITUTE(SUBSTITUTE(SUBSTITUTE(SUBSTITUTE(SUBSTITUTE(SUBSTITUTE(SUBSTITUTE(SUBSTITUTE(SUBSTITUTE(SUBSTITUTE(BM130,"0",""),"-",""),"_",""),"/",""),".",""),"#",""),"\\",""),":","")," ",""),"(",""),")","")</f>
        <v/>
      </c>
      <c r="BY130" s="62" t="n">
        <f aca="false">IF(ISNUMBER(Flights!$AZ$8),MAX(Q130-UpliftWindowH/24,Flights!$AZ$8),Q130-UpliftWindowH/24)</f>
        <v>46305.3958333333</v>
      </c>
      <c r="BZ130" s="61" t="n">
        <f aca="false">IFERROR(IF(IF(TRIM(S130)="Link / file path",AND(LEN(TRIM(Z130))&gt;=5,SUMPRODUCT(--ISNUMBER(SEARCH({"http","www.","\\",":\",".pdf",".jpg",".jpeg",".png",".heic",".xls",".doc",".msg",".eml",".ppt",".txt",".zip"},Z130)))&gt;0),AND(ISERROR(FIND(" ",TRIM(Z130))),NOT(OR(SUMPRODUCT(--ISNUMBER(FIND({",",";","&amp;","+"},Z130)))&gt;0,SUMPRODUCT(--ISNUMBER(SEARCH({"0/aa","0\\aa"},BN130)))&gt;0)),NOT(SUMPRODUCT(--ISNUMBER(SEARCH({"http","www.","\\",":\",".pdf",".jpg",".jpeg",".png",".heic",".xls",".doc",".msg",".eml",".ppt",".txt",".zip"},Z130)))&gt;0),NOT(LOWER(TRIM(Z130))=LOWER(Flights!$F$8)),ISNA(MATCH(BU130,{"mh","rev","revision","ver","version","v","r","a","b","seat","tray","row","gate","bay","stand","page","pg","item","line","no","cart","galley","flight","flt","table","box","bag","oven","etd","eta","std","sta","atd","ata","qty","pax","x","time","tel","ph","mob","day","wk","week","utc","gmt","myt","lt"},0)),NOT(OR(ISNUMBER(MATCH(LEFT(BN130,255),{"0000a","000a","00a","0000aa","000aa","00aa","0aa","0000aaa","000aaa","00a00","0a00","0000-0000","00:00","a00","a0","00.00.0000","00/00/0000","00-00-0000","0000-00-00","0000/00/00","0000.00.00","00.00.00","00/00/00","00-00-00","0.00.0000","0/00/0000","0-00-0000"},0)),ISNUMBER(MATCH(LEFT(BT130,255),{"0000a","000a","00a","0000aa","000aa","00aa","0aa","0000aaa","000aaa","00a00","0a00","0000-0000","00:00","a00","a0","00.00.0000","00/00/0000","00-00-0000","0000-00-00","0000/00/00","0000.00.00","00.00.00","00/00/00","00-00-00","0.00.0000","0/00/0000","0-00-0000"},0)))),NOT(OR(AND(BW130&lt;&gt;"",SUBSTITUTE(BW130,"0","")=""),AND(LEN(BW130)&gt;=4,BW130=REPT(LEFT(BW130),LEN(BW130))),ISNUMBER(MATCH(BW130,{"123","1234","12345","123456","1234567","12345678","0123","01234","012345","98765","987654","54321"},0)),ISNUMBER(MATCH(BX130,{"x","xx","xxx","xxxx","xxxxx","abc","abcd","nil","na","nan","test","tbc","tba","tbd","dummy","sample","example","eg","zz","zzz","none","null","xyz","qwe","asd","id","ref"},0)),AND(LEN(BW130)=8,BX130="",OR(LEFT(BW130,3)="202",ISNUMBER(MATCH(RIGHT(BW130,4),{"2025","2026","2027"},0)))))),OR(AND((LEN(BT130)-LEN(SUBSTITUTE(BT130,"a","")))&gt;=1,(LEN(BN130)-LEN(SUBSTITUTE(BN130,"0","")))&gt;=2,SUMPRODUCT(--ISNUMBER(SEARCH({"a0","a-0","a_0","a/0","a.0","a#0","0a","0-a","0_a","0/a"},BN130)))&gt;0),AND((LEN(BN130)-LEN(SUBSTITUTE(BN130,"a","")))=0,(LEN(BN130)-LEN(SUBSTITUTE(BN130,"0","")))&gt;=5)))),1,0),0)</f>
        <v>0</v>
      </c>
      <c r="CA1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130,"revision",""),"version",""),"jan",""),"feb",""),"mar",""),"apr",""),"may",""),"jun",""),"jul",""),"aug",""),"sep",""),"oct",""),"nov",""),"dec",""),"utc",""),"gmt",""),"myt",""),"bst",""),"rev",""),"ver",""),"b","a"),"c","a"),"d","a"),"e","a"),"f","a"),"g","a"),"h","a"),"i","a"),"j","a"),"k","a"),"l","a"),"m","a"),"n","a"),"o","a"),"p","a"),"q","a"),"r","a"),"s","a"),"t","a"),"u","a"),"v","a"),"w","a"),"x","a"),"y","a"),"z","a")</f>
        <v/>
      </c>
      <c r="CB1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130&amp;""),"a",""),"b",""),"c",""),"d",""),"e",""),"f",""),"g",""),"h",""),"i",""),"j",""),"k",""),"l",""),"m",""),"n",""),"o",""),"p",""),"q",""),"r",""),"s",""),"t",""),"u",""),"v",""),"w",""),"x",""),"y",""),"z",""),"-",""),"_",""),"/",""),".",""),"#",""),"\\",""),":","")," ",""),"(",""),")","")</f>
        <v/>
      </c>
      <c r="CC130" s="0" t="str">
        <f aca="false">" "&amp;TRIM(SUBSTITUTE(SUBSTITUTE(SUBSTITUTE(SUBSTITUTE(SUBSTITUTE(SUBSTITUTE(SUBSTITUTE(SUBSTITUTE(SUBSTITUTE(SUBSTITUTE(SUBSTITUTE(SUBSTITUTE(SUBSTITUTE(SUBSTITUTE(SUBSTITUTE(SUBSTITUTE(SUBSTITUTE(SUBSTITUTE(SUBSTITUTE(SUBSTITUTE(SUBSTITUTE(SUBSTITUTE(SUBSTITUTE(SUBSTITUTE(LOWER(T130&amp;""),CHAR(10)," "),CHAR(13)," "),CHAR(9)," "),CHAR(160)," "),"."," "),","," "),"-"," "),"/"," "),"("," "),")"," "),":"," "),";"," "),"_"," "),"–"," "),"?"," "),"!"," "),"*"," "),"["," "),"]"," "),"'"," "),"#"," "),"+"," "),"&amp;"," "),"\"," "))&amp;" "</f>
        <v>  </v>
      </c>
      <c r="CD130" s="0" t="str">
        <f aca="false">" "&amp;TRIM(SUBSTITUTE(SUBSTITUTE(SUBSTITUTE(SUBSTITUTE(SUBSTITUTE(SUBSTITUTE(SUBSTITUTE(SUBSTITUTE(SUBSTITUTE(SUBSTITUTE(SUBSTITUTE(SUBSTITUTE(SUBSTITUTE(SUBSTITUTE(SUBSTITUTE(SUBSTITUTE(SUBSTITUTE(SUBSTITUTE(SUBSTITUTE(SUBSTITUTE(SUBSTITUTE(SUBSTITUTE(SUBSTITUTE(SUBSTITUTE(LOWER(AE130&amp;""),CHAR(10)," "),CHAR(13)," "),CHAR(9)," "),CHAR(160)," "),"."," "),","," "),"-"," "),"/"," "),"("," "),")"," "),":"," "),";"," "),"_"," "),"–"," "),"?"," "),"!"," "),"*"," "),"["," "),"]"," "),"'"," "),"#"," "),"+"," "),"&amp;"," "),"\"," "))&amp;" "</f>
        <v>  </v>
      </c>
      <c r="CE130" s="68" t="n">
        <f aca="false">IFERROR(IF(AND(LEN(AU130)&gt;0,LEN(AU130)=LEN(AX130),OR(TRIM(MID(SUBSTITUTE(TRIM(CC130)," ",REPT(" ",60)),1,60))="",ISNUMBER(SEARCH(" "&amp;TRIM(MID(SUBSTITUTE(TRIM(CC130)," ",REPT(" ",60)),1,60))&amp;" ",CD130))),OR(TRIM(MID(SUBSTITUTE(TRIM(CC130)," ",REPT(" ",60)),61,60))="",ISNUMBER(SEARCH(" "&amp;TRIM(MID(SUBSTITUTE(TRIM(CC130)," ",REPT(" ",60)),61,60))&amp;" ",CD130))),OR(TRIM(MID(SUBSTITUTE(TRIM(CC130)," ",REPT(" ",60)),121,60))="",ISNUMBER(SEARCH(" "&amp;TRIM(MID(SUBSTITUTE(TRIM(CC130)," ",REPT(" ",60)),121,60))&amp;" ",CD130)))),1,0),0)</f>
        <v>0</v>
      </c>
      <c r="CG130" s="68" t="n">
        <f aca="false">IFERROR(LEN(SUBSTITUTE(BF130," ",""))-SUMPRODUCT((LEN(BF130)-LEN(SUBSTITUTE(BF130," "&amp;L_NAFiller&amp;" "," ")))/(LEN(L_NAFiller)+1)*LEN(L_NAFiller)),0)</f>
        <v>0</v>
      </c>
    </row>
    <row r="131" customFormat="false" ht="39.75" hidden="false" customHeight="true" outlineLevel="0" collapsed="false">
      <c r="A131" s="57" t="s">
        <v>650</v>
      </c>
      <c r="B131" s="57" t="s">
        <v>218</v>
      </c>
      <c r="C131" s="57" t="str">
        <f aca="false">Flights!$F$8</f>
        <v>MH0088</v>
      </c>
      <c r="D131" s="58" t="n">
        <f aca="false">Flights!$D$8</f>
        <v>46305</v>
      </c>
      <c r="E131" s="57" t="str">
        <f aca="false">Flights!$G$8&amp;"-"&amp;Flights!$H$8</f>
        <v>KUL-NRT</v>
      </c>
      <c r="F131" s="57" t="str">
        <f aca="false">Flights!$K$8</f>
        <v>BC</v>
      </c>
      <c r="G131" s="57" t="s">
        <v>459</v>
      </c>
      <c r="H131" s="57" t="s">
        <v>460</v>
      </c>
      <c r="I131" s="57" t="s">
        <v>499</v>
      </c>
      <c r="J131" s="57" t="s">
        <v>551</v>
      </c>
      <c r="K131" s="67" t="s">
        <v>501</v>
      </c>
      <c r="L131" s="67" t="s">
        <v>619</v>
      </c>
      <c r="M131" s="67" t="s">
        <v>451</v>
      </c>
      <c r="N131" s="67" t="s">
        <v>383</v>
      </c>
      <c r="O131" s="67"/>
      <c r="P131" s="57" t="s">
        <v>187</v>
      </c>
      <c r="Q131" s="59" t="n">
        <f aca="false">ROUND((Flights!$AF$8)*1440,0)/1440</f>
        <v>46305.6458333333</v>
      </c>
      <c r="R131" s="59" t="n">
        <f aca="false">Q131+(IF(AND(INDEX(TZ_DSTS,MATCH(P131,TZ_STN,0))&lt;&gt;"",Q131&gt;=INDEX(TZ_DSTS,MATCH(P131,TZ_STN,0)),Q131&lt;INDEX(TZ_DSTE,MATCH(P131,TZ_STN,0))),INDEX(TZ_DST,MATCH(P131,TZ_STN,0)),INDEX(TZ_STD,MATCH(P131,TZ_STN,0))))/24</f>
        <v>46305.9791666667</v>
      </c>
      <c r="S131" s="60"/>
      <c r="T131" s="60"/>
      <c r="U131" s="60"/>
      <c r="V131" s="60"/>
      <c r="W131" s="61"/>
      <c r="X131" s="60"/>
      <c r="Y131" s="60"/>
      <c r="Z131" s="60"/>
      <c r="AA131" s="60"/>
      <c r="AB131" s="60"/>
      <c r="AC131" s="60"/>
      <c r="AD131" s="66"/>
      <c r="AE131" s="60"/>
      <c r="AF131" s="61" t="str">
        <f aca="false">IF(AND(ISNUMBER(X131),ISNUMBER(Y131)),Y131-X131,"")</f>
        <v/>
      </c>
      <c r="AG131" s="62" t="str">
        <f aca="false">IF(ISNUMBER(AD131),AD131-(IF(AND(INDEX(TZ_DSTS,MATCH(P131,TZ_STN,0))&lt;&gt;"",(AD131-INDEX(TZ_STD,MATCH(P131,TZ_STN,0))/24)&gt;=INDEX(TZ_DSTS,MATCH(P131,TZ_STN,0)),(AD131-INDEX(TZ_STD,MATCH(P131,TZ_STN,0))/24)&lt;INDEX(TZ_DSTE,MATCH(P131,TZ_STN,0))),INDEX(TZ_DST,MATCH(P131,TZ_STN,0)),INDEX(TZ_STD,MATCH(P131,TZ_STN,0))))/24,"")</f>
        <v/>
      </c>
      <c r="AH131" s="65" t="str">
        <f aca="false">IFERROR(IF(N131="N/A – rule",IF(OR(TRIM(U131)="",TRIM(U131)="N/A",TRIM(U131)="Not started"),"N/A – RULE","INVALID – this check does not apply to this aircraft: clear the status (or correct the fleet on Flights)"),IF(TRIM(U131)="N/A",IF(AT131=0,"INVALID – N/A not permitted for this check",IF(AND(TRIM(AB131)&lt;&gt;"",TRIM(AB131)&lt;&gt;"Closed"),"INVALID – corrective action still open",IF(AND(NOT(OR(LEN(AZ131)&lt;15,ISNUMBER(MATCH(AZ131,L_Placeholder,0)))),BK131=0,CG131&gt;=8,NOT(OR(LEN(AU131)&lt;2,ISNUMBER(MATCH(AU131,L_Placeholder,0)))),BR131&gt;=3,NOT(OR(LEN(AX131)&lt;2,ISNUMBER(MATCH(AX131,L_Placeholder,0)))),BS131&gt;=3,TRIM(AE131)&lt;&gt;TRIM(T131),AX131&lt;&gt;AU131,CE131=0),"N/A – JUSTIFIED","INVALID – N/A needs a real, settled reason (not 'not applicable' / 'as above' / TBC), a named PIC and a different named verifier"))),IF(OR(TRIM(U131)="Pass",TRIM(U131)="Pass after CA"),IF(NOT(ISNUMBER(AD131)),"INVALID – completion time missing",IF(OR(OR(LEN(AU131)&lt;2,ISNUMBER(MATCH(AU131,L_Placeholder,0))),BR131&lt;3),"INVALID – PIC missing or not a named person (a role such as QA / CSM is not a name)",IF(OR(LEN(AV131)&lt;2,ISNUMBER(MATCH(AV131,L_Placeholder,0))),"INVALID – result / assessment missing",IF(OR(OR(LEN(AW131)&lt;3,ISNUMBER(MATCH(AW131,L_Placeholder,0))),SUMPRODUCT(--ISNUMBER(SEARCH(" "&amp;L_EvidencePhrase&amp;" ",BD131)))&gt;0,BI131=1),"INVALID – evidence missing, placeholder or not yet on file",IF(ISNA(MATCH(TRIM(S131),L_EvidenceType,0)),"INVALID – choose the evidence type from the list (column S)",IF(BL131=0,"INVALID – evidence ID must be the record's own ID only (e.g. SF-2210, IMG_2231, 1045521); a link / file name needs type 'Link / file path'",IF(OR(OR(LEN(AX131)&lt;2,ISNUMBER(MATCH(AX131,L_Placeholder,0))),BS131&lt;3),"INVALID – verifier missing or not a named person (a role such as QA / CSM is not a name)",IF(OR(AX131=AU131,CE131=1,AND(LEN(AU131)&gt;=4,ISNUMBER(SEARCH(AU131,AX131))),AND(LEN(AX131)&gt;=4,ISNUMBER(SEARCH(AX131,AU131)))),"INVALID – verifier must be a different, named person (not the PIC or a role)",IF(BH131=1,"INVALID – result not yet available (awaiting / TBC)",IF(BG131=1,"INVALID – result describes a problem: record Fail, then Pass after CA (or reword if it is not a problem)",IF(BV131=1,"INVALID – wording says not on board: an on-board confirmation needs the item loaded",IF(AND(AQ131=1,OR(OR(LEN(AY131)&lt;3,ISNUMBER(MATCH(AY131,L_Placeholder,0))),BJ131=1,BQ131=0)),"INVALID – batch ID missing, placeholder or not an ID (e.g. PASB-261008-BC-017)",IF(AND(AR131=1,OR(NOT(ISNUMBER(X131)),NOT(ISNUMBER(Y131)))),"INVALID – expected/actual qty missing",IF(AND(AR131=1,OR(X131&lt;=0,Y131&lt;0)),"INVALID – expected qty must be above 0 and actual not negative",IF(AH115="N/A – JUSTIFIED","INVALID – preparation row F04-T12-16 is N/A",IF(AND(AR131=1,ISNUMBER(X115),X131&lt;&gt;X115,TRIM(U131)&lt;&gt;"Pass after CA"),"INVALID – expected qty differs from preparation check F04-T12-16: record the load change as a corrective action (Pass after CA)",IF(BB131&lt;&gt;"",BB131,IF(AND(AS131=1,Documents!$J$8&lt;&gt;"ON FILE"),"INVALID – GLD not on file (Documents sheet)",IF(AND(AS131=2,Documents!$O$8&lt;&gt;"ON FILE"),"INVALID – menu checklist not on file (Documents sheet)",IF(AND(AS131=3,NOT(ISNUMBER(Flights!$AX$8))),"INVALID – enter carrying flight KUL departure (Flights AX)",IF(AND(AS131=3,OR(Flights!$AZ$8&gt;Flights!$AA$8,Flights!$AX$8&lt;Flights!$AA$8-3)),"INVALID – carrying flight (Flights AX) cannot arrive before this leg's STD, or is over 3 days early",IF(AG131&gt;AsOfUTC,"INVALID – completion time is in the future",IF(AND(ISNUMBER(BY131),AG131&lt;BY131),IF(H131="Physical uplift","INVALID – before uplift window (cannot confirm loading)","INVALID – before valid window"),IF(AG131&gt;Flights!$AA$8,"INVALID – completed after departure (cannot establish readiness)",IF(AND(H131="Preparation",AG131&gt;=IF(ISNUMBER(Flights!$BA$8),MIN(Flights!$BA$8,Flights!$AA$8),Flights!$AA$8)),"INVALID – completed after loading / departure (cannot establish readiness)",IF(AND(H131="Physical uplift",AG131&gt;Q131),"INVALID – recorded after the loading flight departed",IF(AG131&gt;Q131,"COMPLETE – LATE","COMPLETE"))))))))))))))))))))))))))),IF(TRIM(U131)="Fail","FAIL – DISCREPANCY",IF(AND(TRIM(U131)&lt;&gt;"",TRIM(U131)&lt;&gt;"Not started",TRIM(U131)&lt;&gt;"In progress"),"INVALID – unrecognised status (use the list)",IF(AsOfUTC&gt;Q131,"OVERDUE",IF(N131="Clarification required","OPEN – CLARIFICATION","OPEN"))))))),"INVALID – error value in an input cell")</f>
        <v>OPEN</v>
      </c>
      <c r="AI131" s="61" t="n">
        <f aca="false">IF(OR(AH131="N/A – RULE",AH131="N/A – JUSTIFIED"),0,1)</f>
        <v>1</v>
      </c>
      <c r="AJ131" s="61" t="n">
        <f aca="false">IF(LEFT(AH131,8)="COMPLETE",1,0)</f>
        <v>0</v>
      </c>
      <c r="AK131" s="61" t="n">
        <f aca="false">IF(AND(AI131=1,AJ131=0,AsOfUTC&gt;Q131),1,0)</f>
        <v>0</v>
      </c>
      <c r="AL131" s="61" t="n">
        <f aca="false">IFERROR(IF(AND(AI131=1,OR(TRIM(U131)="Fail",AND(TRIM(AB131)&lt;&gt;"",TRIM(AB131)&lt;&gt;"Closed"),AND(ISNUMBER(AF131),AF131&lt;&gt;0,TRIM(U131)&lt;&gt;"Pass after CA"))),1,0),1)</f>
        <v>0</v>
      </c>
      <c r="AM131" s="61" t="n">
        <f aca="false">IF(LEFT(AH131,7)="INVALID",1,0)</f>
        <v>0</v>
      </c>
      <c r="AN131" s="61" t="n">
        <f aca="false">IF(AND(N131="Clarification required",AI131=1,AJ131=0),1,0)</f>
        <v>0</v>
      </c>
      <c r="AO131" s="61" t="str">
        <f aca="false">IF(AK131=1,SUM(AK$5:AK131),"")</f>
        <v/>
      </c>
      <c r="AP131" s="61" t="str">
        <f aca="false">IF(AL131=1,SUM(AL$5:AL131),"")</f>
        <v/>
      </c>
      <c r="AQ131" s="61" t="n">
        <v>0</v>
      </c>
      <c r="AR131" s="61" t="n">
        <v>0</v>
      </c>
      <c r="AS131" s="61" t="n">
        <v>0</v>
      </c>
      <c r="AT131" s="61" t="n">
        <v>0</v>
      </c>
      <c r="AU131" s="61" t="str">
        <f aca="false">SUBSTITUTE(SUBSTITUTE(SUBSTITUTE(SUBSTITUTE(SUBSTITUTE(SUBSTITUTE(SUBSTITUTE(SUBSTITUTE(SUBSTITUTE(SUBSTITUTE(SUBSTITUTE(SUBSTITUTE(SUBSTITUTE(SUBSTITUTE(SUBSTITUTE(SUBSTITUTE(LOWER(T131&amp;""),CHAR(10),""),CHAR(13),""),CHAR(9),""),CHAR(160),"")," ",""),".",""),"-",""),"/",""),"?",""),"_",""),",",""),"[",""),"]",""),"(",""),")",""),"*","")</f>
        <v/>
      </c>
      <c r="AV131" s="61" t="str">
        <f aca="false">SUBSTITUTE(SUBSTITUTE(SUBSTITUTE(SUBSTITUTE(SUBSTITUTE(SUBSTITUTE(SUBSTITUTE(SUBSTITUTE(SUBSTITUTE(SUBSTITUTE(SUBSTITUTE(SUBSTITUTE(SUBSTITUTE(SUBSTITUTE(SUBSTITUTE(SUBSTITUTE(LOWER(V131&amp;""),CHAR(10),""),CHAR(13),""),CHAR(9),""),CHAR(160),"")," ",""),".",""),"-",""),"/",""),"?",""),"_",""),",",""),"[",""),"]",""),"(",""),")",""),"*","")</f>
        <v/>
      </c>
      <c r="AW131" s="61" t="str">
        <f aca="false">SUBSTITUTE(SUBSTITUTE(SUBSTITUTE(SUBSTITUTE(SUBSTITUTE(SUBSTITUTE(SUBSTITUTE(SUBSTITUTE(SUBSTITUTE(SUBSTITUTE(SUBSTITUTE(SUBSTITUTE(SUBSTITUTE(SUBSTITUTE(SUBSTITUTE(SUBSTITUTE(LOWER(Z131&amp;""),CHAR(10),""),CHAR(13),""),CHAR(9),""),CHAR(160),"")," ",""),".",""),"-",""),"/",""),"?",""),"_",""),",",""),"[",""),"]",""),"(",""),")",""),"*","")</f>
        <v/>
      </c>
      <c r="AX131" s="61" t="str">
        <f aca="false">SUBSTITUTE(SUBSTITUTE(SUBSTITUTE(SUBSTITUTE(SUBSTITUTE(SUBSTITUTE(SUBSTITUTE(SUBSTITUTE(SUBSTITUTE(SUBSTITUTE(SUBSTITUTE(SUBSTITUTE(SUBSTITUTE(SUBSTITUTE(SUBSTITUTE(SUBSTITUTE(LOWER(AE131&amp;""),CHAR(10),""),CHAR(13),""),CHAR(9),""),CHAR(160),"")," ",""),".",""),"-",""),"/",""),"?",""),"_",""),",",""),"[",""),"]",""),"(",""),")",""),"*","")</f>
        <v/>
      </c>
      <c r="AY131" s="61" t="str">
        <f aca="false">SUBSTITUTE(SUBSTITUTE(SUBSTITUTE(SUBSTITUTE(SUBSTITUTE(SUBSTITUTE(SUBSTITUTE(SUBSTITUTE(SUBSTITUTE(SUBSTITUTE(SUBSTITUTE(SUBSTITUTE(SUBSTITUTE(SUBSTITUTE(SUBSTITUTE(SUBSTITUTE(LOWER(W131&amp;""),CHAR(10),""),CHAR(13),""),CHAR(9),""),CHAR(160),"")," ",""),".",""),"-",""),"/",""),"?",""),"_",""),",",""),"[",""),"]",""),"(",""),")",""),"*","")</f>
        <v/>
      </c>
      <c r="AZ131" s="61" t="str">
        <f aca="false">SUBSTITUTE(SUBSTITUTE(SUBSTITUTE(SUBSTITUTE(SUBSTITUTE(SUBSTITUTE(SUBSTITUTE(SUBSTITUTE(SUBSTITUTE(SUBSTITUTE(SUBSTITUTE(SUBSTITUTE(SUBSTITUTE(SUBSTITUTE(SUBSTITUTE(SUBSTITUTE(LOWER(AC131&amp;""),CHAR(10),""),CHAR(13),""),CHAR(9),""),CHAR(160),"")," ",""),".",""),"-",""),"/",""),"?",""),"_",""),",",""),"[",""),"]",""),"(",""),")",""),"*","")</f>
        <v/>
      </c>
      <c r="BA131" s="61" t="str">
        <f aca="false">SUBSTITUTE(SUBSTITUTE(SUBSTITUTE(SUBSTITUTE(SUBSTITUTE(SUBSTITUTE(SUBSTITUTE(SUBSTITUTE(SUBSTITUTE(SUBSTITUTE(SUBSTITUTE(SUBSTITUTE(SUBSTITUTE(SUBSTITUTE(SUBSTITUTE(SUBSTITUTE(LOWER(AA131&amp;""),CHAR(10),""),CHAR(13),""),CHAR(9),""),CHAR(160),"")," ",""),".",""),"-",""),"/",""),"?",""),"_",""),",",""),"[",""),"]",""),"(",""),")",""),"*","")</f>
        <v/>
      </c>
      <c r="BB131" s="61" t="str">
        <f aca="false">IF(AND(TRIM(U131)="Pass",ISNUMBER(AF131)),IF(AF131&lt;&gt;0,"INVALID – qty variance: use Fail or Pass after CA",""),"")&amp;IF(AND(TRIM(U131)="Pass after CA",ISNUMBER(AF131)),IF(AF131&lt;&gt;0,"INVALID – after the corrective action the actual qty must equal expected (update Actual)",""),"")&amp;IF(AND(TRIM(U131)="Pass",TRIM(AB131)&lt;&gt;"",TRIM(AB131)&lt;&gt;"Closed"),"INVALID – corrective action not closed: use Fail, then Pass after CA","")&amp;IF(AND(LEN(BA131)&gt;=2,ISNA(MATCH(LEFT(BA131,255),L_Placeholder,0)),TRIM(AB131)=""),"INVALID – CA status missing for the recorded corrective action","")&amp;IF(AND(TRIM(U131)="Pass after CA",OR(OR(LEN(BA131)&lt;5,ISNUMBER(MATCH(BA131,L_Placeholder,0))),TRIM(AB131)&lt;&gt;"Closed")),"INVALID – corrective action not recorded/closed","")</f>
        <v/>
      </c>
      <c r="BC131" s="61" t="str">
        <f aca="false">" "&amp;TRIM(SUBSTITUTE(SUBSTITUTE(SUBSTITUTE(SUBSTITUTE(SUBSTITUTE(SUBSTITUTE(SUBSTITUTE(SUBSTITUTE(SUBSTITUTE(SUBSTITUTE(SUBSTITUTE(SUBSTITUTE(SUBSTITUTE(SUBSTITUTE(SUBSTITUTE(SUBSTITUTE(SUBSTITUTE(SUBSTITUTE(SUBSTITUTE(SUBSTITUTE(SUBSTITUTE(SUBSTITUTE(SUBSTITUTE(SUBSTITUTE(LOWER(V131&amp;""),CHAR(10)," "),CHAR(13)," "),CHAR(9)," "),CHAR(160)," "),"."," "),","," "),"-"," "),"/"," "),"("," "),")"," "),":"," "),";"," "),"_"," "),"–"," "),"?"," "),"!"," "),"*"," "),"["," "),"]"," "),"'"," "),"#"," "),"+"," "),"&amp;"," "),"\"," "))&amp;" "</f>
        <v>  </v>
      </c>
      <c r="BD131" s="61" t="str">
        <f aca="false">" "&amp;TRIM(SUBSTITUTE(SUBSTITUTE(SUBSTITUTE(SUBSTITUTE(SUBSTITUTE(SUBSTITUTE(SUBSTITUTE(SUBSTITUTE(SUBSTITUTE(SUBSTITUTE(SUBSTITUTE(SUBSTITUTE(SUBSTITUTE(SUBSTITUTE(SUBSTITUTE(SUBSTITUTE(SUBSTITUTE(SUBSTITUTE(SUBSTITUTE(SUBSTITUTE(SUBSTITUTE(SUBSTITUTE(SUBSTITUTE(SUBSTITUTE(LOWER(Z131&amp;""),CHAR(10)," "),CHAR(13)," "),CHAR(9)," "),CHAR(160)," "),"."," "),","," "),"-"," "),"/"," "),"("," "),")"," "),":"," "),";"," "),"_"," "),"–"," "),"?"," "),"!"," "),"*"," "),"["," "),"]"," "),"'"," "),"#"," "),"+"," "),"&amp;"," "),"\"," "))&amp;" "</f>
        <v>  </v>
      </c>
      <c r="BE131" s="61" t="str">
        <f aca="false">" "&amp;TRIM(SUBSTITUTE(SUBSTITUTE(SUBSTITUTE(SUBSTITUTE(SUBSTITUTE(SUBSTITUTE(SUBSTITUTE(SUBSTITUTE(SUBSTITUTE(SUBSTITUTE(SUBSTITUTE(SUBSTITUTE(SUBSTITUTE(SUBSTITUTE(SUBSTITUTE(SUBSTITUTE(SUBSTITUTE(SUBSTITUTE(SUBSTITUTE(SUBSTITUTE(SUBSTITUTE(SUBSTITUTE(SUBSTITUTE(SUBSTITUTE(LOWER(W131&amp;""),CHAR(10)," "),CHAR(13)," "),CHAR(9)," "),CHAR(160)," "),"."," "),","," "),"-"," "),"/"," "),"("," "),")"," "),":"," "),";"," "),"_"," "),"–"," "),"?"," "),"!"," "),"*"," "),"["," "),"]"," "),"'"," "),"#"," "),"+"," "),"&amp;"," "),"\"," "))&amp;" "</f>
        <v>  </v>
      </c>
      <c r="BF131" s="61" t="str">
        <f aca="false">" "&amp;TRIM(SUBSTITUTE(SUBSTITUTE(SUBSTITUTE(SUBSTITUTE(SUBSTITUTE(SUBSTITUTE(SUBSTITUTE(SUBSTITUTE(SUBSTITUTE(SUBSTITUTE(SUBSTITUTE(SUBSTITUTE(SUBSTITUTE(SUBSTITUTE(SUBSTITUTE(SUBSTITUTE(SUBSTITUTE(SUBSTITUTE(SUBSTITUTE(SUBSTITUTE(SUBSTITUTE(SUBSTITUTE(SUBSTITUTE(SUBSTITUTE(LOWER(AC131&amp;""),CHAR(10)," "),CHAR(13)," "),CHAR(9)," "),CHAR(160)," "),"."," "),","," "),"-"," "),"/"," "),"("," "),")"," "),":"," "),";"," "),"_"," "),"–"," "),"?"," "),"!"," "),"*"," "),"["," "),"]"," "),"'"," "),"#"," "),"+"," "),"&amp;"," "),"\"," "))&amp;" "</f>
        <v>  </v>
      </c>
      <c r="BG131" s="61" t="n">
        <f aca="false">IFERROR(IF(AND(TRIM(U131)="Pass",SUMPRODUCT((LEN(BC131)-LEN(SUBSTITUTE(BC131," "&amp;L_ResultBad&amp;" "," ")))/(LEN(L_ResultBad)+1))&gt;SUMPRODUCT((LEN(BC131)-LEN(SUBSTITUTE(BC131," "&amp;L_NegPhrase&amp;" "," ")))/(LEN(L_NegPhrase)+1))),1,0),0)</f>
        <v>0</v>
      </c>
      <c r="BH131" s="61" t="n">
        <f aca="false">IFERROR(IF(SUMPRODUCT((LEN(BC131)-LEN(SUBSTITUTE(BC131," "&amp;L_Pending&amp;" "," ")))/(LEN(L_Pending)+1))&gt;SUMPRODUCT((LEN(BC131)-LEN(SUBSTITUTE(BC131," "&amp;L_PendNeg&amp;" "," ")))/(LEN(L_PendNeg)+1)),1,0),1)</f>
        <v>0</v>
      </c>
      <c r="BI131" s="61" t="n">
        <f aca="false">IFERROR(IF(SUMPRODUCT((LEN(BD131)-LEN(SUBSTITUTE(BD131," "&amp;L_PendStrict&amp;" "," ")))/(LEN(L_PendStrict)+1))&gt;SUMPRODUCT((LEN(BD131)-LEN(SUBSTITUTE(BD131," "&amp;L_PendNeg&amp;" "," ")))/(LEN(L_PendNeg)+1)),1,0),1)</f>
        <v>0</v>
      </c>
      <c r="BJ131" s="61" t="n">
        <f aca="false">IFERROR(IF(SUMPRODUCT((LEN(BE131)-LEN(SUBSTITUTE(BE131," "&amp;L_Pending&amp;" "," ")))/(LEN(L_Pending)+1))&gt;SUMPRODUCT((LEN(BE131)-LEN(SUBSTITUTE(BE131," "&amp;L_PendNeg&amp;" "," ")))/(LEN(L_PendNeg)+1)),1,0),1)</f>
        <v>0</v>
      </c>
      <c r="BK131" s="61" t="n">
        <f aca="false">IFERROR(IF(SUMPRODUCT((LEN(BF131)-LEN(SUBSTITUTE(BF131," "&amp;L_PendStrict&amp;" "," ")))/(LEN(L_PendStrict)+1))&gt;SUMPRODUCT((LEN(BF131)-LEN(SUBSTITUTE(BF131," "&amp;L_PendNeg&amp;" "," ")))/(LEN(L_PendNeg)+1)),1,0),1)</f>
        <v>0</v>
      </c>
      <c r="BL131" s="61" t="n">
        <f aca="false">IF(ISNA(MATCH(TRIM(S131),L_EvidenceType,0)),0,BZ131)</f>
        <v>0</v>
      </c>
      <c r="BM131" s="61" t="str">
        <f aca="false">SUBSTITUTE(SUBSTITUTE(SUBSTITUTE(SUBSTITUTE(SUBSTITUTE(SUBSTITUTE(SUBSTITUTE(SUBSTITUTE(SUBSTITUTE(LOWER(Z131&amp;""),"1","0"),"2","0"),"3","0"),"4","0"),"5","0"),"6","0"),"7","0"),"8","0"),"9","0")</f>
        <v/>
      </c>
      <c r="BN131" s="61" t="str">
        <f aca="false">SUBSTITUTE(SUBSTITUTE(SUBSTITUTE(SUBSTITUTE(SUBSTITUTE(SUBSTITUTE(SUBSTITUTE(SUBSTITUTE(SUBSTITUTE(SUBSTITUTE(SUBSTITUTE(SUBSTITUTE(SUBSTITUTE(SUBSTITUTE(SUBSTITUTE(SUBSTITUTE(SUBSTITUTE(SUBSTITUTE(SUBSTITUTE(SUBSTITUTE(SUBSTITUTE(SUBSTITUTE(SUBSTITUTE(SUBSTITUTE(SUBSTITUTE(BM131,"b","a"),"c","a"),"d","a"),"e","a"),"f","a"),"g","a"),"h","a"),"i","a"),"j","a"),"k","a"),"l","a"),"m","a"),"n","a"),"o","a"),"p","a"),"q","a"),"r","a"),"s","a"),"t","a"),"u","a"),"v","a"),"w","a"),"x","a"),"y","a"),"z","a")</f>
        <v/>
      </c>
      <c r="BO131" s="61" t="str">
        <f aca="false">SUBSTITUTE(SUBSTITUTE(SUBSTITUTE(SUBSTITUTE(SUBSTITUTE(SUBSTITUTE(SUBSTITUTE(SUBSTITUTE(SUBSTITUTE(LOWER(W131&amp;""),"1","0"),"2","0"),"3","0"),"4","0"),"5","0"),"6","0"),"7","0"),"8","0"),"9","0")</f>
        <v/>
      </c>
      <c r="BP131" s="61" t="str">
        <f aca="false">SUBSTITUTE(SUBSTITUTE(SUBSTITUTE(SUBSTITUTE(SUBSTITUTE(SUBSTITUTE(SUBSTITUTE(SUBSTITUTE(SUBSTITUTE(SUBSTITUTE(SUBSTITUTE(SUBSTITUTE(SUBSTITUTE(SUBSTITUTE(SUBSTITUTE(SUBSTITUTE(SUBSTITUTE(SUBSTITUTE(SUBSTITUTE(SUBSTITUTE(SUBSTITUTE(SUBSTITUTE(SUBSTITUTE(SUBSTITUTE(SUBSTITUTE(BO131,"b","a"),"c","a"),"d","a"),"e","a"),"f","a"),"g","a"),"h","a"),"i","a"),"j","a"),"k","a"),"l","a"),"m","a"),"n","a"),"o","a"),"p","a"),"q","a"),"r","a"),"s","a"),"t","a"),"u","a"),"v","a"),"w","a"),"x","a"),"y","a"),"z","a")</f>
        <v/>
      </c>
      <c r="BQ131" s="61" t="n">
        <f aca="false">IFERROR(IF(AND(ISERROR(SEARCH(" mh"," "&amp;LOWER(W131))),ISNA(MATCH(LEFT(TRIM(BP131),255),{"0000a","000a","00a","0000aa","000aa","00aa","0aa","0000aaa","000aaa","00a00","0a00","0000-0000","00:00","a00","a0","00.00.0000","00/00/0000","00-00-0000","0000-00-00","0000/00/00","0000.00.00","00.00.00","00/00/00","00-00-00","0.00.0000","0/00/0000","0-00-0000"},0)),ISNA(MATCH(LEFT(TRIM(CA131),255),{"0000a","000a","00a","0000aa","000aa","00aa","0aa","0000aaa","000aaa","00a00","0a00","0000-0000","00:00","a00","a0","00.00.0000","00/00/0000","00-00-0000","0000-00-00","0000/00/00","0000.00.00","00.00.00","00/00/00","00-00-00","0.00.0000","0/00/0000","0-00-0000"},0)),LEN(CB131)&gt;=3,NOT(OR(SUBSTITUTE(CB131,"0","")="",AND(LEN(CB131)&gt;=4,CB131=REPT(LEFT(CB131),LEN(CB131))),ISNUMBER(MATCH(CB131,{"123","1234","12345","123456","1234567","12345678","0123","01234","012345","98765","987654","54321"},0)),AND(LEN(CB131)=8,LEFT(CB131,3)="202"))),OR(AND((LEN(CA131)-LEN(SUBSTITUTE(CA131,"a","")))&gt;=1,SUMPRODUCT(--ISNUMBER(SEARCH({"a0","a-0","a_0","a/0","a.0","a#0","0a","0-a","0_a","0/a"},BP131)))&gt;0),ISNUMBER(SEARCH("000000",BP131)))),1,0),0)</f>
        <v>0</v>
      </c>
      <c r="BR131" s="61" t="n">
        <f aca="false">IFERROR(LEN(SUBSTITUTE(CC131," ",""))-SUMPRODUCT((LEN(CC131)-LEN(SUBSTITUTE(CC131," "&amp;L_Role&amp;" "," ")))/(LEN(L_Role)+1)*LEN(L_Role)),0)</f>
        <v>0</v>
      </c>
      <c r="BS131" s="61" t="n">
        <f aca="false">IFERROR(LEN(SUBSTITUTE(CD131," ",""))-SUMPRODUCT((LEN(CD131)-LEN(SUBSTITUTE(CD131," "&amp;L_Role&amp;" "," ")))/(LEN(L_Role)+1)*LEN(L_Role)),0)</f>
        <v>0</v>
      </c>
      <c r="BT1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131,"revision",""),"version",""),"jan",""),"feb",""),"mar",""),"apr",""),"may",""),"jun",""),"jul",""),"aug",""),"sep",""),"oct",""),"nov",""),"dec",""),"utc",""),"gmt",""),"myt",""),"bst",""),"rev",""),"ver",""),"b","a"),"c","a"),"d","a"),"e","a"),"f","a"),"g","a"),"h","a"),"i","a"),"j","a"),"k","a"),"l","a"),"m","a"),"n","a"),"o","a"),"p","a"),"q","a"),"r","a"),"s","a"),"t","a"),"u","a"),"v","a"),"w","a"),"x","a"),"y","a"),"z","a")</f>
        <v/>
      </c>
      <c r="BU131" s="61" t="str">
        <f aca="false">SUBSTITUTE(SUBSTITUTE(SUBSTITUTE(SUBSTITUTE(SUBSTITUTE(SUBSTITUTE(SUBSTITUTE(SUBSTITUTE(SUBSTITUTE(SUBSTITUTE(LEFT(BM131,FIND("0",BM131&amp;"0")-1),"-",""),"_",""),"/",""),".",""),"#",""),"\\",""),":","")," ",""),"(",""),")","")</f>
        <v/>
      </c>
      <c r="BV131" s="61" t="n">
        <f aca="false">IFERROR(IF(OR(SUMPRODUCT((LEN(BC131)-LEN(SUBSTITUTE(BC131," "&amp;L_NotLoaded&amp;" "," ")))/(LEN(L_NotLoaded)+1))&gt;SUMPRODUCT((LEN(BC131)-LEN(SUBSTITUTE(BC131," "&amp;L_NotLoadedNeg&amp;" "," ")))/(LEN(L_NotLoadedNeg)+1)),SUMPRODUCT((LEN(BD131)-LEN(SUBSTITUTE(BD131," "&amp;L_NotLoaded&amp;" "," ")))/(LEN(L_NotLoaded)+1))&gt;SUMPRODUCT((LEN(BD131)-LEN(SUBSTITUTE(BD131," "&amp;L_NotLoadedNeg&amp;" "," ")))/(LEN(L_NotLoadedNeg)+1))),1,0),0)</f>
        <v>0</v>
      </c>
      <c r="BW1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131&amp;""),"a",""),"b",""),"c",""),"d",""),"e",""),"f",""),"g",""),"h",""),"i",""),"j",""),"k",""),"l",""),"m",""),"n",""),"o",""),"p",""),"q",""),"r",""),"s",""),"t",""),"u",""),"v",""),"w",""),"x",""),"y",""),"z",""),"-",""),"_",""),"/",""),".",""),"#",""),"\\",""),":","")," ",""),"(",""),")","")</f>
        <v/>
      </c>
      <c r="BX131" s="61" t="str">
        <f aca="false">SUBSTITUTE(SUBSTITUTE(SUBSTITUTE(SUBSTITUTE(SUBSTITUTE(SUBSTITUTE(SUBSTITUTE(SUBSTITUTE(SUBSTITUTE(SUBSTITUTE(SUBSTITUTE(BM131,"0",""),"-",""),"_",""),"/",""),".",""),"#",""),"\\",""),":","")," ",""),"(",""),")","")</f>
        <v/>
      </c>
      <c r="BY131" s="62" t="n">
        <f aca="false">IF(ISNUMBER(Flights!$AZ$8),MAX(Q131-UpliftWindowH/24,Flights!$AZ$8),Q131-UpliftWindowH/24)</f>
        <v>46305.3958333333</v>
      </c>
      <c r="BZ131" s="61" t="n">
        <f aca="false">IFERROR(IF(IF(TRIM(S131)="Link / file path",AND(LEN(TRIM(Z131))&gt;=5,SUMPRODUCT(--ISNUMBER(SEARCH({"http","www.","\\",":\",".pdf",".jpg",".jpeg",".png",".heic",".xls",".doc",".msg",".eml",".ppt",".txt",".zip"},Z131)))&gt;0),AND(ISERROR(FIND(" ",TRIM(Z131))),NOT(OR(SUMPRODUCT(--ISNUMBER(FIND({",",";","&amp;","+"},Z131)))&gt;0,SUMPRODUCT(--ISNUMBER(SEARCH({"0/aa","0\\aa"},BN131)))&gt;0)),NOT(SUMPRODUCT(--ISNUMBER(SEARCH({"http","www.","\\",":\",".pdf",".jpg",".jpeg",".png",".heic",".xls",".doc",".msg",".eml",".ppt",".txt",".zip"},Z131)))&gt;0),NOT(LOWER(TRIM(Z131))=LOWER(Flights!$F$8)),ISNA(MATCH(BU131,{"mh","rev","revision","ver","version","v","r","a","b","seat","tray","row","gate","bay","stand","page","pg","item","line","no","cart","galley","flight","flt","table","box","bag","oven","etd","eta","std","sta","atd","ata","qty","pax","x","time","tel","ph","mob","day","wk","week","utc","gmt","myt","lt"},0)),NOT(OR(ISNUMBER(MATCH(LEFT(BN131,255),{"0000a","000a","00a","0000aa","000aa","00aa","0aa","0000aaa","000aaa","00a00","0a00","0000-0000","00:00","a00","a0","00.00.0000","00/00/0000","00-00-0000","0000-00-00","0000/00/00","0000.00.00","00.00.00","00/00/00","00-00-00","0.00.0000","0/00/0000","0-00-0000"},0)),ISNUMBER(MATCH(LEFT(BT131,255),{"0000a","000a","00a","0000aa","000aa","00aa","0aa","0000aaa","000aaa","00a00","0a00","0000-0000","00:00","a00","a0","00.00.0000","00/00/0000","00-00-0000","0000-00-00","0000/00/00","0000.00.00","00.00.00","00/00/00","00-00-00","0.00.0000","0/00/0000","0-00-0000"},0)))),NOT(OR(AND(BW131&lt;&gt;"",SUBSTITUTE(BW131,"0","")=""),AND(LEN(BW131)&gt;=4,BW131=REPT(LEFT(BW131),LEN(BW131))),ISNUMBER(MATCH(BW131,{"123","1234","12345","123456","1234567","12345678","0123","01234","012345","98765","987654","54321"},0)),ISNUMBER(MATCH(BX131,{"x","xx","xxx","xxxx","xxxxx","abc","abcd","nil","na","nan","test","tbc","tba","tbd","dummy","sample","example","eg","zz","zzz","none","null","xyz","qwe","asd","id","ref"},0)),AND(LEN(BW131)=8,BX131="",OR(LEFT(BW131,3)="202",ISNUMBER(MATCH(RIGHT(BW131,4),{"2025","2026","2027"},0)))))),OR(AND((LEN(BT131)-LEN(SUBSTITUTE(BT131,"a","")))&gt;=1,(LEN(BN131)-LEN(SUBSTITUTE(BN131,"0","")))&gt;=2,SUMPRODUCT(--ISNUMBER(SEARCH({"a0","a-0","a_0","a/0","a.0","a#0","0a","0-a","0_a","0/a"},BN131)))&gt;0),AND((LEN(BN131)-LEN(SUBSTITUTE(BN131,"a","")))=0,(LEN(BN131)-LEN(SUBSTITUTE(BN131,"0","")))&gt;=5)))),1,0),0)</f>
        <v>0</v>
      </c>
      <c r="CA1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131,"revision",""),"version",""),"jan",""),"feb",""),"mar",""),"apr",""),"may",""),"jun",""),"jul",""),"aug",""),"sep",""),"oct",""),"nov",""),"dec",""),"utc",""),"gmt",""),"myt",""),"bst",""),"rev",""),"ver",""),"b","a"),"c","a"),"d","a"),"e","a"),"f","a"),"g","a"),"h","a"),"i","a"),"j","a"),"k","a"),"l","a"),"m","a"),"n","a"),"o","a"),"p","a"),"q","a"),"r","a"),"s","a"),"t","a"),"u","a"),"v","a"),"w","a"),"x","a"),"y","a"),"z","a")</f>
        <v/>
      </c>
      <c r="CB1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131&amp;""),"a",""),"b",""),"c",""),"d",""),"e",""),"f",""),"g",""),"h",""),"i",""),"j",""),"k",""),"l",""),"m",""),"n",""),"o",""),"p",""),"q",""),"r",""),"s",""),"t",""),"u",""),"v",""),"w",""),"x",""),"y",""),"z",""),"-",""),"_",""),"/",""),".",""),"#",""),"\\",""),":","")," ",""),"(",""),")","")</f>
        <v/>
      </c>
      <c r="CC131" s="0" t="str">
        <f aca="false">" "&amp;TRIM(SUBSTITUTE(SUBSTITUTE(SUBSTITUTE(SUBSTITUTE(SUBSTITUTE(SUBSTITUTE(SUBSTITUTE(SUBSTITUTE(SUBSTITUTE(SUBSTITUTE(SUBSTITUTE(SUBSTITUTE(SUBSTITUTE(SUBSTITUTE(SUBSTITUTE(SUBSTITUTE(SUBSTITUTE(SUBSTITUTE(SUBSTITUTE(SUBSTITUTE(SUBSTITUTE(SUBSTITUTE(SUBSTITUTE(SUBSTITUTE(LOWER(T131&amp;""),CHAR(10)," "),CHAR(13)," "),CHAR(9)," "),CHAR(160)," "),"."," "),","," "),"-"," "),"/"," "),"("," "),")"," "),":"," "),";"," "),"_"," "),"–"," "),"?"," "),"!"," "),"*"," "),"["," "),"]"," "),"'"," "),"#"," "),"+"," "),"&amp;"," "),"\"," "))&amp;" "</f>
        <v>  </v>
      </c>
      <c r="CD131" s="0" t="str">
        <f aca="false">" "&amp;TRIM(SUBSTITUTE(SUBSTITUTE(SUBSTITUTE(SUBSTITUTE(SUBSTITUTE(SUBSTITUTE(SUBSTITUTE(SUBSTITUTE(SUBSTITUTE(SUBSTITUTE(SUBSTITUTE(SUBSTITUTE(SUBSTITUTE(SUBSTITUTE(SUBSTITUTE(SUBSTITUTE(SUBSTITUTE(SUBSTITUTE(SUBSTITUTE(SUBSTITUTE(SUBSTITUTE(SUBSTITUTE(SUBSTITUTE(SUBSTITUTE(LOWER(AE131&amp;""),CHAR(10)," "),CHAR(13)," "),CHAR(9)," "),CHAR(160)," "),"."," "),","," "),"-"," "),"/"," "),"("," "),")"," "),":"," "),";"," "),"_"," "),"–"," "),"?"," "),"!"," "),"*"," "),"["," "),"]"," "),"'"," "),"#"," "),"+"," "),"&amp;"," "),"\"," "))&amp;" "</f>
        <v>  </v>
      </c>
      <c r="CE131" s="68" t="n">
        <f aca="false">IFERROR(IF(AND(LEN(AU131)&gt;0,LEN(AU131)=LEN(AX131),OR(TRIM(MID(SUBSTITUTE(TRIM(CC131)," ",REPT(" ",60)),1,60))="",ISNUMBER(SEARCH(" "&amp;TRIM(MID(SUBSTITUTE(TRIM(CC131)," ",REPT(" ",60)),1,60))&amp;" ",CD131))),OR(TRIM(MID(SUBSTITUTE(TRIM(CC131)," ",REPT(" ",60)),61,60))="",ISNUMBER(SEARCH(" "&amp;TRIM(MID(SUBSTITUTE(TRIM(CC131)," ",REPT(" ",60)),61,60))&amp;" ",CD131))),OR(TRIM(MID(SUBSTITUTE(TRIM(CC131)," ",REPT(" ",60)),121,60))="",ISNUMBER(SEARCH(" "&amp;TRIM(MID(SUBSTITUTE(TRIM(CC131)," ",REPT(" ",60)),121,60))&amp;" ",CD131)))),1,0),0)</f>
        <v>0</v>
      </c>
      <c r="CG131" s="68" t="n">
        <f aca="false">IFERROR(LEN(SUBSTITUTE(BF131," ",""))-SUMPRODUCT((LEN(BF131)-LEN(SUBSTITUTE(BF131," "&amp;L_NAFiller&amp;" "," ")))/(LEN(L_NAFiller)+1)*LEN(L_NAFiller)),0)</f>
        <v>0</v>
      </c>
    </row>
    <row r="132" customFormat="false" ht="39.75" hidden="false" customHeight="true" outlineLevel="0" collapsed="false">
      <c r="A132" s="57" t="s">
        <v>651</v>
      </c>
      <c r="B132" s="57" t="s">
        <v>218</v>
      </c>
      <c r="C132" s="57" t="str">
        <f aca="false">Flights!$F$8</f>
        <v>MH0088</v>
      </c>
      <c r="D132" s="58" t="n">
        <f aca="false">Flights!$D$8</f>
        <v>46305</v>
      </c>
      <c r="E132" s="57" t="str">
        <f aca="false">Flights!$G$8&amp;"-"&amp;Flights!$H$8</f>
        <v>KUL-NRT</v>
      </c>
      <c r="F132" s="57" t="str">
        <f aca="false">Flights!$K$8</f>
        <v>BC</v>
      </c>
      <c r="G132" s="57" t="s">
        <v>459</v>
      </c>
      <c r="H132" s="57" t="s">
        <v>460</v>
      </c>
      <c r="I132" s="57" t="s">
        <v>447</v>
      </c>
      <c r="J132" s="57" t="s">
        <v>553</v>
      </c>
      <c r="K132" s="67" t="s">
        <v>449</v>
      </c>
      <c r="L132" s="67" t="s">
        <v>621</v>
      </c>
      <c r="M132" s="67" t="s">
        <v>451</v>
      </c>
      <c r="N132" s="67" t="s">
        <v>383</v>
      </c>
      <c r="O132" s="67"/>
      <c r="P132" s="57" t="s">
        <v>187</v>
      </c>
      <c r="Q132" s="59" t="n">
        <f aca="false">ROUND((Flights!$AF$8)*1440,0)/1440</f>
        <v>46305.6458333333</v>
      </c>
      <c r="R132" s="59" t="n">
        <f aca="false">Q132+(IF(AND(INDEX(TZ_DSTS,MATCH(P132,TZ_STN,0))&lt;&gt;"",Q132&gt;=INDEX(TZ_DSTS,MATCH(P132,TZ_STN,0)),Q132&lt;INDEX(TZ_DSTE,MATCH(P132,TZ_STN,0))),INDEX(TZ_DST,MATCH(P132,TZ_STN,0)),INDEX(TZ_STD,MATCH(P132,TZ_STN,0))))/24</f>
        <v>46305.9791666667</v>
      </c>
      <c r="S132" s="60"/>
      <c r="T132" s="60"/>
      <c r="U132" s="60"/>
      <c r="V132" s="60"/>
      <c r="W132" s="61"/>
      <c r="X132" s="60"/>
      <c r="Y132" s="60"/>
      <c r="Z132" s="60"/>
      <c r="AA132" s="60"/>
      <c r="AB132" s="60"/>
      <c r="AC132" s="60"/>
      <c r="AD132" s="66"/>
      <c r="AE132" s="60"/>
      <c r="AF132" s="61" t="str">
        <f aca="false">IF(AND(ISNUMBER(X132),ISNUMBER(Y132)),Y132-X132,"")</f>
        <v/>
      </c>
      <c r="AG132" s="62" t="str">
        <f aca="false">IF(ISNUMBER(AD132),AD132-(IF(AND(INDEX(TZ_DSTS,MATCH(P132,TZ_STN,0))&lt;&gt;"",(AD132-INDEX(TZ_STD,MATCH(P132,TZ_STN,0))/24)&gt;=INDEX(TZ_DSTS,MATCH(P132,TZ_STN,0)),(AD132-INDEX(TZ_STD,MATCH(P132,TZ_STN,0))/24)&lt;INDEX(TZ_DSTE,MATCH(P132,TZ_STN,0))),INDEX(TZ_DST,MATCH(P132,TZ_STN,0)),INDEX(TZ_STD,MATCH(P132,TZ_STN,0))))/24,"")</f>
        <v/>
      </c>
      <c r="AH132" s="65" t="str">
        <f aca="false">IFERROR(IF(N132="N/A – rule",IF(OR(TRIM(U132)="",TRIM(U132)="N/A",TRIM(U132)="Not started"),"N/A – RULE","INVALID – this check does not apply to this aircraft: clear the status (or correct the fleet on Flights)"),IF(TRIM(U132)="N/A",IF(AT132=0,"INVALID – N/A not permitted for this check",IF(AND(TRIM(AB132)&lt;&gt;"",TRIM(AB132)&lt;&gt;"Closed"),"INVALID – corrective action still open",IF(AND(NOT(OR(LEN(AZ132)&lt;15,ISNUMBER(MATCH(AZ132,L_Placeholder,0)))),BK132=0,CG132&gt;=8,NOT(OR(LEN(AU132)&lt;2,ISNUMBER(MATCH(AU132,L_Placeholder,0)))),BR132&gt;=3,NOT(OR(LEN(AX132)&lt;2,ISNUMBER(MATCH(AX132,L_Placeholder,0)))),BS132&gt;=3,TRIM(AE132)&lt;&gt;TRIM(T132),AX132&lt;&gt;AU132,CE132=0),"N/A – JUSTIFIED","INVALID – N/A needs a real, settled reason (not 'not applicable' / 'as above' / TBC), a named PIC and a different named verifier"))),IF(OR(TRIM(U132)="Pass",TRIM(U132)="Pass after CA"),IF(NOT(ISNUMBER(AD132)),"INVALID – completion time missing",IF(OR(OR(LEN(AU132)&lt;2,ISNUMBER(MATCH(AU132,L_Placeholder,0))),BR132&lt;3),"INVALID – PIC missing or not a named person (a role such as QA / CSM is not a name)",IF(OR(LEN(AV132)&lt;2,ISNUMBER(MATCH(AV132,L_Placeholder,0))),"INVALID – result / assessment missing",IF(OR(OR(LEN(AW132)&lt;3,ISNUMBER(MATCH(AW132,L_Placeholder,0))),SUMPRODUCT(--ISNUMBER(SEARCH(" "&amp;L_EvidencePhrase&amp;" ",BD132)))&gt;0,BI132=1),"INVALID – evidence missing, placeholder or not yet on file",IF(ISNA(MATCH(TRIM(S132),L_EvidenceType,0)),"INVALID – choose the evidence type from the list (column S)",IF(BL132=0,"INVALID – evidence ID must be the record's own ID only (e.g. SF-2210, IMG_2231, 1045521); a link / file name needs type 'Link / file path'",IF(OR(OR(LEN(AX132)&lt;2,ISNUMBER(MATCH(AX132,L_Placeholder,0))),BS132&lt;3),"INVALID – verifier missing or not a named person (a role such as QA / CSM is not a name)",IF(OR(AX132=AU132,CE132=1,AND(LEN(AU132)&gt;=4,ISNUMBER(SEARCH(AU132,AX132))),AND(LEN(AX132)&gt;=4,ISNUMBER(SEARCH(AX132,AU132)))),"INVALID – verifier must be a different, named person (not the PIC or a role)",IF(BH132=1,"INVALID – result not yet available (awaiting / TBC)",IF(BG132=1,"INVALID – result describes a problem: record Fail, then Pass after CA (or reword if it is not a problem)",IF(BV132=1,"INVALID – wording says not on board: an on-board confirmation needs the item loaded",IF(AND(AQ132=1,OR(OR(LEN(AY132)&lt;3,ISNUMBER(MATCH(AY132,L_Placeholder,0))),BJ132=1,BQ132=0)),"INVALID – batch ID missing, placeholder or not an ID (e.g. PASB-261008-BC-017)",IF(AND(AR132=1,OR(NOT(ISNUMBER(X132)),NOT(ISNUMBER(Y132)))),"INVALID – expected/actual qty missing",IF(AND(AR132=1,OR(X132&lt;=0,Y132&lt;0)),"INVALID – expected qty must be above 0 and actual not negative",IF(AH116="N/A – JUSTIFIED","INVALID – preparation row F04-T12-17 is N/A",IF(AND(AR132=1,ISNUMBER(X116),X132&lt;&gt;X116,TRIM(U132)&lt;&gt;"Pass after CA"),"INVALID – expected qty differs from preparation check F04-T12-17: record the load change as a corrective action (Pass after CA)",IF(BB132&lt;&gt;"",BB132,IF(AND(AS132=1,Documents!$J$8&lt;&gt;"ON FILE"),"INVALID – GLD not on file (Documents sheet)",IF(AND(AS132=2,Documents!$O$8&lt;&gt;"ON FILE"),"INVALID – menu checklist not on file (Documents sheet)",IF(AND(AS132=3,NOT(ISNUMBER(Flights!$AX$8))),"INVALID – enter carrying flight KUL departure (Flights AX)",IF(AND(AS132=3,OR(Flights!$AZ$8&gt;Flights!$AA$8,Flights!$AX$8&lt;Flights!$AA$8-3)),"INVALID – carrying flight (Flights AX) cannot arrive before this leg's STD, or is over 3 days early",IF(AG132&gt;AsOfUTC,"INVALID – completion time is in the future",IF(AND(ISNUMBER(BY132),AG132&lt;BY132),IF(H132="Physical uplift","INVALID – before uplift window (cannot confirm loading)","INVALID – before valid window"),IF(AG132&gt;Flights!$AA$8,"INVALID – completed after departure (cannot establish readiness)",IF(AND(H132="Preparation",AG132&gt;=IF(ISNUMBER(Flights!$BA$8),MIN(Flights!$BA$8,Flights!$AA$8),Flights!$AA$8)),"INVALID – completed after loading / departure (cannot establish readiness)",IF(AND(H132="Physical uplift",AG132&gt;Q132),"INVALID – recorded after the loading flight departed",IF(AG132&gt;Q132,"COMPLETE – LATE","COMPLETE"))))))))))))))))))))))))))),IF(TRIM(U132)="Fail","FAIL – DISCREPANCY",IF(AND(TRIM(U132)&lt;&gt;"",TRIM(U132)&lt;&gt;"Not started",TRIM(U132)&lt;&gt;"In progress"),"INVALID – unrecognised status (use the list)",IF(AsOfUTC&gt;Q132,"OVERDUE",IF(N132="Clarification required","OPEN – CLARIFICATION","OPEN"))))))),"INVALID – error value in an input cell")</f>
        <v>OPEN</v>
      </c>
      <c r="AI132" s="61" t="n">
        <f aca="false">IF(OR(AH132="N/A – RULE",AH132="N/A – JUSTIFIED"),0,1)</f>
        <v>1</v>
      </c>
      <c r="AJ132" s="61" t="n">
        <f aca="false">IF(LEFT(AH132,8)="COMPLETE",1,0)</f>
        <v>0</v>
      </c>
      <c r="AK132" s="61" t="n">
        <f aca="false">IF(AND(AI132=1,AJ132=0,AsOfUTC&gt;Q132),1,0)</f>
        <v>0</v>
      </c>
      <c r="AL132" s="61" t="n">
        <f aca="false">IFERROR(IF(AND(AI132=1,OR(TRIM(U132)="Fail",AND(TRIM(AB132)&lt;&gt;"",TRIM(AB132)&lt;&gt;"Closed"),AND(ISNUMBER(AF132),AF132&lt;&gt;0,TRIM(U132)&lt;&gt;"Pass after CA"))),1,0),1)</f>
        <v>0</v>
      </c>
      <c r="AM132" s="61" t="n">
        <f aca="false">IF(LEFT(AH132,7)="INVALID",1,0)</f>
        <v>0</v>
      </c>
      <c r="AN132" s="61" t="n">
        <f aca="false">IF(AND(N132="Clarification required",AI132=1,AJ132=0),1,0)</f>
        <v>0</v>
      </c>
      <c r="AO132" s="61" t="str">
        <f aca="false">IF(AK132=1,SUM(AK$5:AK132),"")</f>
        <v/>
      </c>
      <c r="AP132" s="61" t="str">
        <f aca="false">IF(AL132=1,SUM(AL$5:AL132),"")</f>
        <v/>
      </c>
      <c r="AQ132" s="61" t="n">
        <v>0</v>
      </c>
      <c r="AR132" s="61" t="n">
        <v>0</v>
      </c>
      <c r="AS132" s="61" t="n">
        <v>0</v>
      </c>
      <c r="AT132" s="61" t="n">
        <v>0</v>
      </c>
      <c r="AU132" s="61" t="str">
        <f aca="false">SUBSTITUTE(SUBSTITUTE(SUBSTITUTE(SUBSTITUTE(SUBSTITUTE(SUBSTITUTE(SUBSTITUTE(SUBSTITUTE(SUBSTITUTE(SUBSTITUTE(SUBSTITUTE(SUBSTITUTE(SUBSTITUTE(SUBSTITUTE(SUBSTITUTE(SUBSTITUTE(LOWER(T132&amp;""),CHAR(10),""),CHAR(13),""),CHAR(9),""),CHAR(160),"")," ",""),".",""),"-",""),"/",""),"?",""),"_",""),",",""),"[",""),"]",""),"(",""),")",""),"*","")</f>
        <v/>
      </c>
      <c r="AV132" s="61" t="str">
        <f aca="false">SUBSTITUTE(SUBSTITUTE(SUBSTITUTE(SUBSTITUTE(SUBSTITUTE(SUBSTITUTE(SUBSTITUTE(SUBSTITUTE(SUBSTITUTE(SUBSTITUTE(SUBSTITUTE(SUBSTITUTE(SUBSTITUTE(SUBSTITUTE(SUBSTITUTE(SUBSTITUTE(LOWER(V132&amp;""),CHAR(10),""),CHAR(13),""),CHAR(9),""),CHAR(160),"")," ",""),".",""),"-",""),"/",""),"?",""),"_",""),",",""),"[",""),"]",""),"(",""),")",""),"*","")</f>
        <v/>
      </c>
      <c r="AW132" s="61" t="str">
        <f aca="false">SUBSTITUTE(SUBSTITUTE(SUBSTITUTE(SUBSTITUTE(SUBSTITUTE(SUBSTITUTE(SUBSTITUTE(SUBSTITUTE(SUBSTITUTE(SUBSTITUTE(SUBSTITUTE(SUBSTITUTE(SUBSTITUTE(SUBSTITUTE(SUBSTITUTE(SUBSTITUTE(LOWER(Z132&amp;""),CHAR(10),""),CHAR(13),""),CHAR(9),""),CHAR(160),"")," ",""),".",""),"-",""),"/",""),"?",""),"_",""),",",""),"[",""),"]",""),"(",""),")",""),"*","")</f>
        <v/>
      </c>
      <c r="AX132" s="61" t="str">
        <f aca="false">SUBSTITUTE(SUBSTITUTE(SUBSTITUTE(SUBSTITUTE(SUBSTITUTE(SUBSTITUTE(SUBSTITUTE(SUBSTITUTE(SUBSTITUTE(SUBSTITUTE(SUBSTITUTE(SUBSTITUTE(SUBSTITUTE(SUBSTITUTE(SUBSTITUTE(SUBSTITUTE(LOWER(AE132&amp;""),CHAR(10),""),CHAR(13),""),CHAR(9),""),CHAR(160),"")," ",""),".",""),"-",""),"/",""),"?",""),"_",""),",",""),"[",""),"]",""),"(",""),")",""),"*","")</f>
        <v/>
      </c>
      <c r="AY132" s="61" t="str">
        <f aca="false">SUBSTITUTE(SUBSTITUTE(SUBSTITUTE(SUBSTITUTE(SUBSTITUTE(SUBSTITUTE(SUBSTITUTE(SUBSTITUTE(SUBSTITUTE(SUBSTITUTE(SUBSTITUTE(SUBSTITUTE(SUBSTITUTE(SUBSTITUTE(SUBSTITUTE(SUBSTITUTE(LOWER(W132&amp;""),CHAR(10),""),CHAR(13),""),CHAR(9),""),CHAR(160),"")," ",""),".",""),"-",""),"/",""),"?",""),"_",""),",",""),"[",""),"]",""),"(",""),")",""),"*","")</f>
        <v/>
      </c>
      <c r="AZ132" s="61" t="str">
        <f aca="false">SUBSTITUTE(SUBSTITUTE(SUBSTITUTE(SUBSTITUTE(SUBSTITUTE(SUBSTITUTE(SUBSTITUTE(SUBSTITUTE(SUBSTITUTE(SUBSTITUTE(SUBSTITUTE(SUBSTITUTE(SUBSTITUTE(SUBSTITUTE(SUBSTITUTE(SUBSTITUTE(LOWER(AC132&amp;""),CHAR(10),""),CHAR(13),""),CHAR(9),""),CHAR(160),"")," ",""),".",""),"-",""),"/",""),"?",""),"_",""),",",""),"[",""),"]",""),"(",""),")",""),"*","")</f>
        <v/>
      </c>
      <c r="BA132" s="61" t="str">
        <f aca="false">SUBSTITUTE(SUBSTITUTE(SUBSTITUTE(SUBSTITUTE(SUBSTITUTE(SUBSTITUTE(SUBSTITUTE(SUBSTITUTE(SUBSTITUTE(SUBSTITUTE(SUBSTITUTE(SUBSTITUTE(SUBSTITUTE(SUBSTITUTE(SUBSTITUTE(SUBSTITUTE(LOWER(AA132&amp;""),CHAR(10),""),CHAR(13),""),CHAR(9),""),CHAR(160),"")," ",""),".",""),"-",""),"/",""),"?",""),"_",""),",",""),"[",""),"]",""),"(",""),")",""),"*","")</f>
        <v/>
      </c>
      <c r="BB132" s="61" t="str">
        <f aca="false">IF(AND(TRIM(U132)="Pass",ISNUMBER(AF132)),IF(AF132&lt;&gt;0,"INVALID – qty variance: use Fail or Pass after CA",""),"")&amp;IF(AND(TRIM(U132)="Pass after CA",ISNUMBER(AF132)),IF(AF132&lt;&gt;0,"INVALID – after the corrective action the actual qty must equal expected (update Actual)",""),"")&amp;IF(AND(TRIM(U132)="Pass",TRIM(AB132)&lt;&gt;"",TRIM(AB132)&lt;&gt;"Closed"),"INVALID – corrective action not closed: use Fail, then Pass after CA","")&amp;IF(AND(LEN(BA132)&gt;=2,ISNA(MATCH(LEFT(BA132,255),L_Placeholder,0)),TRIM(AB132)=""),"INVALID – CA status missing for the recorded corrective action","")&amp;IF(AND(TRIM(U132)="Pass after CA",OR(OR(LEN(BA132)&lt;5,ISNUMBER(MATCH(BA132,L_Placeholder,0))),TRIM(AB132)&lt;&gt;"Closed")),"INVALID – corrective action not recorded/closed","")</f>
        <v/>
      </c>
      <c r="BC132" s="61" t="str">
        <f aca="false">" "&amp;TRIM(SUBSTITUTE(SUBSTITUTE(SUBSTITUTE(SUBSTITUTE(SUBSTITUTE(SUBSTITUTE(SUBSTITUTE(SUBSTITUTE(SUBSTITUTE(SUBSTITUTE(SUBSTITUTE(SUBSTITUTE(SUBSTITUTE(SUBSTITUTE(SUBSTITUTE(SUBSTITUTE(SUBSTITUTE(SUBSTITUTE(SUBSTITUTE(SUBSTITUTE(SUBSTITUTE(SUBSTITUTE(SUBSTITUTE(SUBSTITUTE(LOWER(V132&amp;""),CHAR(10)," "),CHAR(13)," "),CHAR(9)," "),CHAR(160)," "),"."," "),","," "),"-"," "),"/"," "),"("," "),")"," "),":"," "),";"," "),"_"," "),"–"," "),"?"," "),"!"," "),"*"," "),"["," "),"]"," "),"'"," "),"#"," "),"+"," "),"&amp;"," "),"\"," "))&amp;" "</f>
        <v>  </v>
      </c>
      <c r="BD132" s="61" t="str">
        <f aca="false">" "&amp;TRIM(SUBSTITUTE(SUBSTITUTE(SUBSTITUTE(SUBSTITUTE(SUBSTITUTE(SUBSTITUTE(SUBSTITUTE(SUBSTITUTE(SUBSTITUTE(SUBSTITUTE(SUBSTITUTE(SUBSTITUTE(SUBSTITUTE(SUBSTITUTE(SUBSTITUTE(SUBSTITUTE(SUBSTITUTE(SUBSTITUTE(SUBSTITUTE(SUBSTITUTE(SUBSTITUTE(SUBSTITUTE(SUBSTITUTE(SUBSTITUTE(LOWER(Z132&amp;""),CHAR(10)," "),CHAR(13)," "),CHAR(9)," "),CHAR(160)," "),"."," "),","," "),"-"," "),"/"," "),"("," "),")"," "),":"," "),";"," "),"_"," "),"–"," "),"?"," "),"!"," "),"*"," "),"["," "),"]"," "),"'"," "),"#"," "),"+"," "),"&amp;"," "),"\"," "))&amp;" "</f>
        <v>  </v>
      </c>
      <c r="BE132" s="61" t="str">
        <f aca="false">" "&amp;TRIM(SUBSTITUTE(SUBSTITUTE(SUBSTITUTE(SUBSTITUTE(SUBSTITUTE(SUBSTITUTE(SUBSTITUTE(SUBSTITUTE(SUBSTITUTE(SUBSTITUTE(SUBSTITUTE(SUBSTITUTE(SUBSTITUTE(SUBSTITUTE(SUBSTITUTE(SUBSTITUTE(SUBSTITUTE(SUBSTITUTE(SUBSTITUTE(SUBSTITUTE(SUBSTITUTE(SUBSTITUTE(SUBSTITUTE(SUBSTITUTE(LOWER(W132&amp;""),CHAR(10)," "),CHAR(13)," "),CHAR(9)," "),CHAR(160)," "),"."," "),","," "),"-"," "),"/"," "),"("," "),")"," "),":"," "),";"," "),"_"," "),"–"," "),"?"," "),"!"," "),"*"," "),"["," "),"]"," "),"'"," "),"#"," "),"+"," "),"&amp;"," "),"\"," "))&amp;" "</f>
        <v>  </v>
      </c>
      <c r="BF132" s="61" t="str">
        <f aca="false">" "&amp;TRIM(SUBSTITUTE(SUBSTITUTE(SUBSTITUTE(SUBSTITUTE(SUBSTITUTE(SUBSTITUTE(SUBSTITUTE(SUBSTITUTE(SUBSTITUTE(SUBSTITUTE(SUBSTITUTE(SUBSTITUTE(SUBSTITUTE(SUBSTITUTE(SUBSTITUTE(SUBSTITUTE(SUBSTITUTE(SUBSTITUTE(SUBSTITUTE(SUBSTITUTE(SUBSTITUTE(SUBSTITUTE(SUBSTITUTE(SUBSTITUTE(LOWER(AC132&amp;""),CHAR(10)," "),CHAR(13)," "),CHAR(9)," "),CHAR(160)," "),"."," "),","," "),"-"," "),"/"," "),"("," "),")"," "),":"," "),";"," "),"_"," "),"–"," "),"?"," "),"!"," "),"*"," "),"["," "),"]"," "),"'"," "),"#"," "),"+"," "),"&amp;"," "),"\"," "))&amp;" "</f>
        <v>  </v>
      </c>
      <c r="BG132" s="61" t="n">
        <f aca="false">IFERROR(IF(AND(TRIM(U132)="Pass",SUMPRODUCT((LEN(BC132)-LEN(SUBSTITUTE(BC132," "&amp;L_ResultBad&amp;" "," ")))/(LEN(L_ResultBad)+1))&gt;SUMPRODUCT((LEN(BC132)-LEN(SUBSTITUTE(BC132," "&amp;L_NegPhrase&amp;" "," ")))/(LEN(L_NegPhrase)+1))),1,0),0)</f>
        <v>0</v>
      </c>
      <c r="BH132" s="61" t="n">
        <f aca="false">IFERROR(IF(SUMPRODUCT((LEN(BC132)-LEN(SUBSTITUTE(BC132," "&amp;L_Pending&amp;" "," ")))/(LEN(L_Pending)+1))&gt;SUMPRODUCT((LEN(BC132)-LEN(SUBSTITUTE(BC132," "&amp;L_PendNeg&amp;" "," ")))/(LEN(L_PendNeg)+1)),1,0),1)</f>
        <v>0</v>
      </c>
      <c r="BI132" s="61" t="n">
        <f aca="false">IFERROR(IF(SUMPRODUCT((LEN(BD132)-LEN(SUBSTITUTE(BD132," "&amp;L_PendStrict&amp;" "," ")))/(LEN(L_PendStrict)+1))&gt;SUMPRODUCT((LEN(BD132)-LEN(SUBSTITUTE(BD132," "&amp;L_PendNeg&amp;" "," ")))/(LEN(L_PendNeg)+1)),1,0),1)</f>
        <v>0</v>
      </c>
      <c r="BJ132" s="61" t="n">
        <f aca="false">IFERROR(IF(SUMPRODUCT((LEN(BE132)-LEN(SUBSTITUTE(BE132," "&amp;L_Pending&amp;" "," ")))/(LEN(L_Pending)+1))&gt;SUMPRODUCT((LEN(BE132)-LEN(SUBSTITUTE(BE132," "&amp;L_PendNeg&amp;" "," ")))/(LEN(L_PendNeg)+1)),1,0),1)</f>
        <v>0</v>
      </c>
      <c r="BK132" s="61" t="n">
        <f aca="false">IFERROR(IF(SUMPRODUCT((LEN(BF132)-LEN(SUBSTITUTE(BF132," "&amp;L_PendStrict&amp;" "," ")))/(LEN(L_PendStrict)+1))&gt;SUMPRODUCT((LEN(BF132)-LEN(SUBSTITUTE(BF132," "&amp;L_PendNeg&amp;" "," ")))/(LEN(L_PendNeg)+1)),1,0),1)</f>
        <v>0</v>
      </c>
      <c r="BL132" s="61" t="n">
        <f aca="false">IF(ISNA(MATCH(TRIM(S132),L_EvidenceType,0)),0,BZ132)</f>
        <v>0</v>
      </c>
      <c r="BM132" s="61" t="str">
        <f aca="false">SUBSTITUTE(SUBSTITUTE(SUBSTITUTE(SUBSTITUTE(SUBSTITUTE(SUBSTITUTE(SUBSTITUTE(SUBSTITUTE(SUBSTITUTE(LOWER(Z132&amp;""),"1","0"),"2","0"),"3","0"),"4","0"),"5","0"),"6","0"),"7","0"),"8","0"),"9","0")</f>
        <v/>
      </c>
      <c r="BN132" s="61" t="str">
        <f aca="false">SUBSTITUTE(SUBSTITUTE(SUBSTITUTE(SUBSTITUTE(SUBSTITUTE(SUBSTITUTE(SUBSTITUTE(SUBSTITUTE(SUBSTITUTE(SUBSTITUTE(SUBSTITUTE(SUBSTITUTE(SUBSTITUTE(SUBSTITUTE(SUBSTITUTE(SUBSTITUTE(SUBSTITUTE(SUBSTITUTE(SUBSTITUTE(SUBSTITUTE(SUBSTITUTE(SUBSTITUTE(SUBSTITUTE(SUBSTITUTE(SUBSTITUTE(BM132,"b","a"),"c","a"),"d","a"),"e","a"),"f","a"),"g","a"),"h","a"),"i","a"),"j","a"),"k","a"),"l","a"),"m","a"),"n","a"),"o","a"),"p","a"),"q","a"),"r","a"),"s","a"),"t","a"),"u","a"),"v","a"),"w","a"),"x","a"),"y","a"),"z","a")</f>
        <v/>
      </c>
      <c r="BO132" s="61" t="str">
        <f aca="false">SUBSTITUTE(SUBSTITUTE(SUBSTITUTE(SUBSTITUTE(SUBSTITUTE(SUBSTITUTE(SUBSTITUTE(SUBSTITUTE(SUBSTITUTE(LOWER(W132&amp;""),"1","0"),"2","0"),"3","0"),"4","0"),"5","0"),"6","0"),"7","0"),"8","0"),"9","0")</f>
        <v/>
      </c>
      <c r="BP132" s="61" t="str">
        <f aca="false">SUBSTITUTE(SUBSTITUTE(SUBSTITUTE(SUBSTITUTE(SUBSTITUTE(SUBSTITUTE(SUBSTITUTE(SUBSTITUTE(SUBSTITUTE(SUBSTITUTE(SUBSTITUTE(SUBSTITUTE(SUBSTITUTE(SUBSTITUTE(SUBSTITUTE(SUBSTITUTE(SUBSTITUTE(SUBSTITUTE(SUBSTITUTE(SUBSTITUTE(SUBSTITUTE(SUBSTITUTE(SUBSTITUTE(SUBSTITUTE(SUBSTITUTE(BO132,"b","a"),"c","a"),"d","a"),"e","a"),"f","a"),"g","a"),"h","a"),"i","a"),"j","a"),"k","a"),"l","a"),"m","a"),"n","a"),"o","a"),"p","a"),"q","a"),"r","a"),"s","a"),"t","a"),"u","a"),"v","a"),"w","a"),"x","a"),"y","a"),"z","a")</f>
        <v/>
      </c>
      <c r="BQ132" s="61" t="n">
        <f aca="false">IFERROR(IF(AND(ISERROR(SEARCH(" mh"," "&amp;LOWER(W132))),ISNA(MATCH(LEFT(TRIM(BP132),255),{"0000a","000a","00a","0000aa","000aa","00aa","0aa","0000aaa","000aaa","00a00","0a00","0000-0000","00:00","a00","a0","00.00.0000","00/00/0000","00-00-0000","0000-00-00","0000/00/00","0000.00.00","00.00.00","00/00/00","00-00-00","0.00.0000","0/00/0000","0-00-0000"},0)),ISNA(MATCH(LEFT(TRIM(CA132),255),{"0000a","000a","00a","0000aa","000aa","00aa","0aa","0000aaa","000aaa","00a00","0a00","0000-0000","00:00","a00","a0","00.00.0000","00/00/0000","00-00-0000","0000-00-00","0000/00/00","0000.00.00","00.00.00","00/00/00","00-00-00","0.00.0000","0/00/0000","0-00-0000"},0)),LEN(CB132)&gt;=3,NOT(OR(SUBSTITUTE(CB132,"0","")="",AND(LEN(CB132)&gt;=4,CB132=REPT(LEFT(CB132),LEN(CB132))),ISNUMBER(MATCH(CB132,{"123","1234","12345","123456","1234567","12345678","0123","01234","012345","98765","987654","54321"},0)),AND(LEN(CB132)=8,LEFT(CB132,3)="202"))),OR(AND((LEN(CA132)-LEN(SUBSTITUTE(CA132,"a","")))&gt;=1,SUMPRODUCT(--ISNUMBER(SEARCH({"a0","a-0","a_0","a/0","a.0","a#0","0a","0-a","0_a","0/a"},BP132)))&gt;0),ISNUMBER(SEARCH("000000",BP132)))),1,0),0)</f>
        <v>0</v>
      </c>
      <c r="BR132" s="61" t="n">
        <f aca="false">IFERROR(LEN(SUBSTITUTE(CC132," ",""))-SUMPRODUCT((LEN(CC132)-LEN(SUBSTITUTE(CC132," "&amp;L_Role&amp;" "," ")))/(LEN(L_Role)+1)*LEN(L_Role)),0)</f>
        <v>0</v>
      </c>
      <c r="BS132" s="61" t="n">
        <f aca="false">IFERROR(LEN(SUBSTITUTE(CD132," ",""))-SUMPRODUCT((LEN(CD132)-LEN(SUBSTITUTE(CD132," "&amp;L_Role&amp;" "," ")))/(LEN(L_Role)+1)*LEN(L_Role)),0)</f>
        <v>0</v>
      </c>
      <c r="BT1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132,"revision",""),"version",""),"jan",""),"feb",""),"mar",""),"apr",""),"may",""),"jun",""),"jul",""),"aug",""),"sep",""),"oct",""),"nov",""),"dec",""),"utc",""),"gmt",""),"myt",""),"bst",""),"rev",""),"ver",""),"b","a"),"c","a"),"d","a"),"e","a"),"f","a"),"g","a"),"h","a"),"i","a"),"j","a"),"k","a"),"l","a"),"m","a"),"n","a"),"o","a"),"p","a"),"q","a"),"r","a"),"s","a"),"t","a"),"u","a"),"v","a"),"w","a"),"x","a"),"y","a"),"z","a")</f>
        <v/>
      </c>
      <c r="BU132" s="61" t="str">
        <f aca="false">SUBSTITUTE(SUBSTITUTE(SUBSTITUTE(SUBSTITUTE(SUBSTITUTE(SUBSTITUTE(SUBSTITUTE(SUBSTITUTE(SUBSTITUTE(SUBSTITUTE(LEFT(BM132,FIND("0",BM132&amp;"0")-1),"-",""),"_",""),"/",""),".",""),"#",""),"\\",""),":","")," ",""),"(",""),")","")</f>
        <v/>
      </c>
      <c r="BV132" s="61" t="n">
        <f aca="false">IFERROR(IF(OR(SUMPRODUCT((LEN(BC132)-LEN(SUBSTITUTE(BC132," "&amp;L_NotLoaded&amp;" "," ")))/(LEN(L_NotLoaded)+1))&gt;SUMPRODUCT((LEN(BC132)-LEN(SUBSTITUTE(BC132," "&amp;L_NotLoadedNeg&amp;" "," ")))/(LEN(L_NotLoadedNeg)+1)),SUMPRODUCT((LEN(BD132)-LEN(SUBSTITUTE(BD132," "&amp;L_NotLoaded&amp;" "," ")))/(LEN(L_NotLoaded)+1))&gt;SUMPRODUCT((LEN(BD132)-LEN(SUBSTITUTE(BD132," "&amp;L_NotLoadedNeg&amp;" "," ")))/(LEN(L_NotLoadedNeg)+1))),1,0),0)</f>
        <v>0</v>
      </c>
      <c r="BW1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132&amp;""),"a",""),"b",""),"c",""),"d",""),"e",""),"f",""),"g",""),"h",""),"i",""),"j",""),"k",""),"l",""),"m",""),"n",""),"o",""),"p",""),"q",""),"r",""),"s",""),"t",""),"u",""),"v",""),"w",""),"x",""),"y",""),"z",""),"-",""),"_",""),"/",""),".",""),"#",""),"\\",""),":","")," ",""),"(",""),")","")</f>
        <v/>
      </c>
      <c r="BX132" s="61" t="str">
        <f aca="false">SUBSTITUTE(SUBSTITUTE(SUBSTITUTE(SUBSTITUTE(SUBSTITUTE(SUBSTITUTE(SUBSTITUTE(SUBSTITUTE(SUBSTITUTE(SUBSTITUTE(SUBSTITUTE(BM132,"0",""),"-",""),"_",""),"/",""),".",""),"#",""),"\\",""),":","")," ",""),"(",""),")","")</f>
        <v/>
      </c>
      <c r="BY132" s="62" t="n">
        <f aca="false">IF(ISNUMBER(Flights!$AZ$8),MAX(Q132-UpliftWindowH/24,Flights!$AZ$8),Q132-UpliftWindowH/24)</f>
        <v>46305.3958333333</v>
      </c>
      <c r="BZ132" s="61" t="n">
        <f aca="false">IFERROR(IF(IF(TRIM(S132)="Link / file path",AND(LEN(TRIM(Z132))&gt;=5,SUMPRODUCT(--ISNUMBER(SEARCH({"http","www.","\\",":\",".pdf",".jpg",".jpeg",".png",".heic",".xls",".doc",".msg",".eml",".ppt",".txt",".zip"},Z132)))&gt;0),AND(ISERROR(FIND(" ",TRIM(Z132))),NOT(OR(SUMPRODUCT(--ISNUMBER(FIND({",",";","&amp;","+"},Z132)))&gt;0,SUMPRODUCT(--ISNUMBER(SEARCH({"0/aa","0\\aa"},BN132)))&gt;0)),NOT(SUMPRODUCT(--ISNUMBER(SEARCH({"http","www.","\\",":\",".pdf",".jpg",".jpeg",".png",".heic",".xls",".doc",".msg",".eml",".ppt",".txt",".zip"},Z132)))&gt;0),NOT(LOWER(TRIM(Z132))=LOWER(Flights!$F$8)),ISNA(MATCH(BU132,{"mh","rev","revision","ver","version","v","r","a","b","seat","tray","row","gate","bay","stand","page","pg","item","line","no","cart","galley","flight","flt","table","box","bag","oven","etd","eta","std","sta","atd","ata","qty","pax","x","time","tel","ph","mob","day","wk","week","utc","gmt","myt","lt"},0)),NOT(OR(ISNUMBER(MATCH(LEFT(BN132,255),{"0000a","000a","00a","0000aa","000aa","00aa","0aa","0000aaa","000aaa","00a00","0a00","0000-0000","00:00","a00","a0","00.00.0000","00/00/0000","00-00-0000","0000-00-00","0000/00/00","0000.00.00","00.00.00","00/00/00","00-00-00","0.00.0000","0/00/0000","0-00-0000"},0)),ISNUMBER(MATCH(LEFT(BT132,255),{"0000a","000a","00a","0000aa","000aa","00aa","0aa","0000aaa","000aaa","00a00","0a00","0000-0000","00:00","a00","a0","00.00.0000","00/00/0000","00-00-0000","0000-00-00","0000/00/00","0000.00.00","00.00.00","00/00/00","00-00-00","0.00.0000","0/00/0000","0-00-0000"},0)))),NOT(OR(AND(BW132&lt;&gt;"",SUBSTITUTE(BW132,"0","")=""),AND(LEN(BW132)&gt;=4,BW132=REPT(LEFT(BW132),LEN(BW132))),ISNUMBER(MATCH(BW132,{"123","1234","12345","123456","1234567","12345678","0123","01234","012345","98765","987654","54321"},0)),ISNUMBER(MATCH(BX132,{"x","xx","xxx","xxxx","xxxxx","abc","abcd","nil","na","nan","test","tbc","tba","tbd","dummy","sample","example","eg","zz","zzz","none","null","xyz","qwe","asd","id","ref"},0)),AND(LEN(BW132)=8,BX132="",OR(LEFT(BW132,3)="202",ISNUMBER(MATCH(RIGHT(BW132,4),{"2025","2026","2027"},0)))))),OR(AND((LEN(BT132)-LEN(SUBSTITUTE(BT132,"a","")))&gt;=1,(LEN(BN132)-LEN(SUBSTITUTE(BN132,"0","")))&gt;=2,SUMPRODUCT(--ISNUMBER(SEARCH({"a0","a-0","a_0","a/0","a.0","a#0","0a","0-a","0_a","0/a"},BN132)))&gt;0),AND((LEN(BN132)-LEN(SUBSTITUTE(BN132,"a","")))=0,(LEN(BN132)-LEN(SUBSTITUTE(BN132,"0","")))&gt;=5)))),1,0),0)</f>
        <v>0</v>
      </c>
      <c r="CA1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132,"revision",""),"version",""),"jan",""),"feb",""),"mar",""),"apr",""),"may",""),"jun",""),"jul",""),"aug",""),"sep",""),"oct",""),"nov",""),"dec",""),"utc",""),"gmt",""),"myt",""),"bst",""),"rev",""),"ver",""),"b","a"),"c","a"),"d","a"),"e","a"),"f","a"),"g","a"),"h","a"),"i","a"),"j","a"),"k","a"),"l","a"),"m","a"),"n","a"),"o","a"),"p","a"),"q","a"),"r","a"),"s","a"),"t","a"),"u","a"),"v","a"),"w","a"),"x","a"),"y","a"),"z","a")</f>
        <v/>
      </c>
      <c r="CB1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132&amp;""),"a",""),"b",""),"c",""),"d",""),"e",""),"f",""),"g",""),"h",""),"i",""),"j",""),"k",""),"l",""),"m",""),"n",""),"o",""),"p",""),"q",""),"r",""),"s",""),"t",""),"u",""),"v",""),"w",""),"x",""),"y",""),"z",""),"-",""),"_",""),"/",""),".",""),"#",""),"\\",""),":","")," ",""),"(",""),")","")</f>
        <v/>
      </c>
      <c r="CC132" s="0" t="str">
        <f aca="false">" "&amp;TRIM(SUBSTITUTE(SUBSTITUTE(SUBSTITUTE(SUBSTITUTE(SUBSTITUTE(SUBSTITUTE(SUBSTITUTE(SUBSTITUTE(SUBSTITUTE(SUBSTITUTE(SUBSTITUTE(SUBSTITUTE(SUBSTITUTE(SUBSTITUTE(SUBSTITUTE(SUBSTITUTE(SUBSTITUTE(SUBSTITUTE(SUBSTITUTE(SUBSTITUTE(SUBSTITUTE(SUBSTITUTE(SUBSTITUTE(SUBSTITUTE(LOWER(T132&amp;""),CHAR(10)," "),CHAR(13)," "),CHAR(9)," "),CHAR(160)," "),"."," "),","," "),"-"," "),"/"," "),"("," "),")"," "),":"," "),";"," "),"_"," "),"–"," "),"?"," "),"!"," "),"*"," "),"["," "),"]"," "),"'"," "),"#"," "),"+"," "),"&amp;"," "),"\"," "))&amp;" "</f>
        <v>  </v>
      </c>
      <c r="CD132" s="0" t="str">
        <f aca="false">" "&amp;TRIM(SUBSTITUTE(SUBSTITUTE(SUBSTITUTE(SUBSTITUTE(SUBSTITUTE(SUBSTITUTE(SUBSTITUTE(SUBSTITUTE(SUBSTITUTE(SUBSTITUTE(SUBSTITUTE(SUBSTITUTE(SUBSTITUTE(SUBSTITUTE(SUBSTITUTE(SUBSTITUTE(SUBSTITUTE(SUBSTITUTE(SUBSTITUTE(SUBSTITUTE(SUBSTITUTE(SUBSTITUTE(SUBSTITUTE(SUBSTITUTE(LOWER(AE132&amp;""),CHAR(10)," "),CHAR(13)," "),CHAR(9)," "),CHAR(160)," "),"."," "),","," "),"-"," "),"/"," "),"("," "),")"," "),":"," "),";"," "),"_"," "),"–"," "),"?"," "),"!"," "),"*"," "),"["," "),"]"," "),"'"," "),"#"," "),"+"," "),"&amp;"," "),"\"," "))&amp;" "</f>
        <v>  </v>
      </c>
      <c r="CE132" s="68" t="n">
        <f aca="false">IFERROR(IF(AND(LEN(AU132)&gt;0,LEN(AU132)=LEN(AX132),OR(TRIM(MID(SUBSTITUTE(TRIM(CC132)," ",REPT(" ",60)),1,60))="",ISNUMBER(SEARCH(" "&amp;TRIM(MID(SUBSTITUTE(TRIM(CC132)," ",REPT(" ",60)),1,60))&amp;" ",CD132))),OR(TRIM(MID(SUBSTITUTE(TRIM(CC132)," ",REPT(" ",60)),61,60))="",ISNUMBER(SEARCH(" "&amp;TRIM(MID(SUBSTITUTE(TRIM(CC132)," ",REPT(" ",60)),61,60))&amp;" ",CD132))),OR(TRIM(MID(SUBSTITUTE(TRIM(CC132)," ",REPT(" ",60)),121,60))="",ISNUMBER(SEARCH(" "&amp;TRIM(MID(SUBSTITUTE(TRIM(CC132)," ",REPT(" ",60)),121,60))&amp;" ",CD132)))),1,0),0)</f>
        <v>0</v>
      </c>
      <c r="CG132" s="68" t="n">
        <f aca="false">IFERROR(LEN(SUBSTITUTE(BF132," ",""))-SUMPRODUCT((LEN(BF132)-LEN(SUBSTITUTE(BF132," "&amp;L_NAFiller&amp;" "," ")))/(LEN(L_NAFiller)+1)*LEN(L_NAFiller)),0)</f>
        <v>0</v>
      </c>
    </row>
    <row r="133" customFormat="false" ht="39.75" hidden="false" customHeight="true" outlineLevel="0" collapsed="false">
      <c r="A133" s="57" t="s">
        <v>652</v>
      </c>
      <c r="B133" s="57" t="s">
        <v>218</v>
      </c>
      <c r="C133" s="57" t="str">
        <f aca="false">Flights!$F$8</f>
        <v>MH0088</v>
      </c>
      <c r="D133" s="58" t="n">
        <f aca="false">Flights!$D$8</f>
        <v>46305</v>
      </c>
      <c r="E133" s="57" t="str">
        <f aca="false">Flights!$G$8&amp;"-"&amp;Flights!$H$8</f>
        <v>KUL-NRT</v>
      </c>
      <c r="F133" s="57" t="str">
        <f aca="false">Flights!$K$8</f>
        <v>BC</v>
      </c>
      <c r="G133" s="57" t="s">
        <v>459</v>
      </c>
      <c r="H133" s="57" t="s">
        <v>460</v>
      </c>
      <c r="I133" s="57" t="s">
        <v>447</v>
      </c>
      <c r="J133" s="57" t="s">
        <v>653</v>
      </c>
      <c r="K133" s="67" t="s">
        <v>449</v>
      </c>
      <c r="L133" s="67" t="s">
        <v>624</v>
      </c>
      <c r="M133" s="67" t="s">
        <v>451</v>
      </c>
      <c r="N133" s="67" t="s">
        <v>383</v>
      </c>
      <c r="O133" s="67"/>
      <c r="P133" s="57" t="s">
        <v>187</v>
      </c>
      <c r="Q133" s="59" t="n">
        <f aca="false">ROUND((Flights!$AF$8)*1440,0)/1440</f>
        <v>46305.6458333333</v>
      </c>
      <c r="R133" s="59" t="n">
        <f aca="false">Q133+(IF(AND(INDEX(TZ_DSTS,MATCH(P133,TZ_STN,0))&lt;&gt;"",Q133&gt;=INDEX(TZ_DSTS,MATCH(P133,TZ_STN,0)),Q133&lt;INDEX(TZ_DSTE,MATCH(P133,TZ_STN,0))),INDEX(TZ_DST,MATCH(P133,TZ_STN,0)),INDEX(TZ_STD,MATCH(P133,TZ_STN,0))))/24</f>
        <v>46305.9791666667</v>
      </c>
      <c r="S133" s="60"/>
      <c r="T133" s="60"/>
      <c r="U133" s="60"/>
      <c r="V133" s="60"/>
      <c r="W133" s="61"/>
      <c r="X133" s="60"/>
      <c r="Y133" s="60"/>
      <c r="Z133" s="60"/>
      <c r="AA133" s="60"/>
      <c r="AB133" s="60"/>
      <c r="AC133" s="60"/>
      <c r="AD133" s="66"/>
      <c r="AE133" s="60"/>
      <c r="AF133" s="61" t="str">
        <f aca="false">IF(AND(ISNUMBER(X133),ISNUMBER(Y133)),Y133-X133,"")</f>
        <v/>
      </c>
      <c r="AG133" s="62" t="str">
        <f aca="false">IF(ISNUMBER(AD133),AD133-(IF(AND(INDEX(TZ_DSTS,MATCH(P133,TZ_STN,0))&lt;&gt;"",(AD133-INDEX(TZ_STD,MATCH(P133,TZ_STN,0))/24)&gt;=INDEX(TZ_DSTS,MATCH(P133,TZ_STN,0)),(AD133-INDEX(TZ_STD,MATCH(P133,TZ_STN,0))/24)&lt;INDEX(TZ_DSTE,MATCH(P133,TZ_STN,0))),INDEX(TZ_DST,MATCH(P133,TZ_STN,0)),INDEX(TZ_STD,MATCH(P133,TZ_STN,0))))/24,"")</f>
        <v/>
      </c>
      <c r="AH133" s="65" t="str">
        <f aca="false">IFERROR(IF(N133="N/A – rule",IF(OR(TRIM(U133)="",TRIM(U133)="N/A",TRIM(U133)="Not started"),"N/A – RULE","INVALID – this check does not apply to this aircraft: clear the status (or correct the fleet on Flights)"),IF(TRIM(U133)="N/A",IF(AT133=0,"INVALID – N/A not permitted for this check",IF(AND(TRIM(AB133)&lt;&gt;"",TRIM(AB133)&lt;&gt;"Closed"),"INVALID – corrective action still open",IF(AND(NOT(OR(LEN(AZ133)&lt;15,ISNUMBER(MATCH(AZ133,L_Placeholder,0)))),BK133=0,CG133&gt;=8,NOT(OR(LEN(AU133)&lt;2,ISNUMBER(MATCH(AU133,L_Placeholder,0)))),BR133&gt;=3,NOT(OR(LEN(AX133)&lt;2,ISNUMBER(MATCH(AX133,L_Placeholder,0)))),BS133&gt;=3,TRIM(AE133)&lt;&gt;TRIM(T133),AX133&lt;&gt;AU133,CE133=0),"N/A – JUSTIFIED","INVALID – N/A needs a real, settled reason (not 'not applicable' / 'as above' / TBC), a named PIC and a different named verifier"))),IF(OR(TRIM(U133)="Pass",TRIM(U133)="Pass after CA"),IF(NOT(ISNUMBER(AD133)),"INVALID – completion time missing",IF(OR(OR(LEN(AU133)&lt;2,ISNUMBER(MATCH(AU133,L_Placeholder,0))),BR133&lt;3),"INVALID – PIC missing or not a named person (a role such as QA / CSM is not a name)",IF(OR(LEN(AV133)&lt;2,ISNUMBER(MATCH(AV133,L_Placeholder,0))),"INVALID – result / assessment missing",IF(OR(OR(LEN(AW133)&lt;3,ISNUMBER(MATCH(AW133,L_Placeholder,0))),SUMPRODUCT(--ISNUMBER(SEARCH(" "&amp;L_EvidencePhrase&amp;" ",BD133)))&gt;0,BI133=1),"INVALID – evidence missing, placeholder or not yet on file",IF(ISNA(MATCH(TRIM(S133),L_EvidenceType,0)),"INVALID – choose the evidence type from the list (column S)",IF(BL133=0,"INVALID – evidence ID must be the record's own ID only (e.g. SF-2210, IMG_2231, 1045521); a link / file name needs type 'Link / file path'",IF(OR(OR(LEN(AX133)&lt;2,ISNUMBER(MATCH(AX133,L_Placeholder,0))),BS133&lt;3),"INVALID – verifier missing or not a named person (a role such as QA / CSM is not a name)",IF(OR(AX133=AU133,CE133=1,AND(LEN(AU133)&gt;=4,ISNUMBER(SEARCH(AU133,AX133))),AND(LEN(AX133)&gt;=4,ISNUMBER(SEARCH(AX133,AU133)))),"INVALID – verifier must be a different, named person (not the PIC or a role)",IF(BH133=1,"INVALID – result not yet available (awaiting / TBC)",IF(BG133=1,"INVALID – result describes a problem: record Fail, then Pass after CA (or reword if it is not a problem)",IF(BV133=1,"INVALID – wording says not on board: an on-board confirmation needs the item loaded",IF(AND(AQ133=1,OR(OR(LEN(AY133)&lt;3,ISNUMBER(MATCH(AY133,L_Placeholder,0))),BJ133=1,BQ133=0)),"INVALID – batch ID missing, placeholder or not an ID (e.g. PASB-261008-BC-017)",IF(AND(AR133=1,OR(NOT(ISNUMBER(X133)),NOT(ISNUMBER(Y133)))),"INVALID – expected/actual qty missing",IF(AND(AR133=1,OR(X133&lt;=0,Y133&lt;0)),"INVALID – expected qty must be above 0 and actual not negative",IF(AH117="N/A – JUSTIFIED","INVALID – preparation row F04-T12-18 is N/A",IF(AND(AR133=1,ISNUMBER(X117),X133&lt;&gt;X117,TRIM(U133)&lt;&gt;"Pass after CA"),"INVALID – expected qty differs from preparation check F04-T12-18: record the load change as a corrective action (Pass after CA)",IF(BB133&lt;&gt;"",BB133,IF(AND(AS133=1,Documents!$J$8&lt;&gt;"ON FILE"),"INVALID – GLD not on file (Documents sheet)",IF(AND(AS133=2,Documents!$O$8&lt;&gt;"ON FILE"),"INVALID – menu checklist not on file (Documents sheet)",IF(AND(AS133=3,NOT(ISNUMBER(Flights!$AX$8))),"INVALID – enter carrying flight KUL departure (Flights AX)",IF(AND(AS133=3,OR(Flights!$AZ$8&gt;Flights!$AA$8,Flights!$AX$8&lt;Flights!$AA$8-3)),"INVALID – carrying flight (Flights AX) cannot arrive before this leg's STD, or is over 3 days early",IF(AG133&gt;AsOfUTC,"INVALID – completion time is in the future",IF(AND(ISNUMBER(BY133),AG133&lt;BY133),IF(H133="Physical uplift","INVALID – before uplift window (cannot confirm loading)","INVALID – before valid window"),IF(AG133&gt;Flights!$AA$8,"INVALID – completed after departure (cannot establish readiness)",IF(AND(H133="Preparation",AG133&gt;=IF(ISNUMBER(Flights!$BA$8),MIN(Flights!$BA$8,Flights!$AA$8),Flights!$AA$8)),"INVALID – completed after loading / departure (cannot establish readiness)",IF(AND(H133="Physical uplift",AG133&gt;Q133),"INVALID – recorded after the loading flight departed",IF(AG133&gt;Q133,"COMPLETE – LATE","COMPLETE"))))))))))))))))))))))))))),IF(TRIM(U133)="Fail","FAIL – DISCREPANCY",IF(AND(TRIM(U133)&lt;&gt;"",TRIM(U133)&lt;&gt;"Not started",TRIM(U133)&lt;&gt;"In progress"),"INVALID – unrecognised status (use the list)",IF(AsOfUTC&gt;Q133,"OVERDUE",IF(N133="Clarification required","OPEN – CLARIFICATION","OPEN"))))))),"INVALID – error value in an input cell")</f>
        <v>OPEN</v>
      </c>
      <c r="AI133" s="61" t="n">
        <f aca="false">IF(OR(AH133="N/A – RULE",AH133="N/A – JUSTIFIED"),0,1)</f>
        <v>1</v>
      </c>
      <c r="AJ133" s="61" t="n">
        <f aca="false">IF(LEFT(AH133,8)="COMPLETE",1,0)</f>
        <v>0</v>
      </c>
      <c r="AK133" s="61" t="n">
        <f aca="false">IF(AND(AI133=1,AJ133=0,AsOfUTC&gt;Q133),1,0)</f>
        <v>0</v>
      </c>
      <c r="AL133" s="61" t="n">
        <f aca="false">IFERROR(IF(AND(AI133=1,OR(TRIM(U133)="Fail",AND(TRIM(AB133)&lt;&gt;"",TRIM(AB133)&lt;&gt;"Closed"),AND(ISNUMBER(AF133),AF133&lt;&gt;0,TRIM(U133)&lt;&gt;"Pass after CA"))),1,0),1)</f>
        <v>0</v>
      </c>
      <c r="AM133" s="61" t="n">
        <f aca="false">IF(LEFT(AH133,7)="INVALID",1,0)</f>
        <v>0</v>
      </c>
      <c r="AN133" s="61" t="n">
        <f aca="false">IF(AND(N133="Clarification required",AI133=1,AJ133=0),1,0)</f>
        <v>0</v>
      </c>
      <c r="AO133" s="61" t="str">
        <f aca="false">IF(AK133=1,SUM(AK$5:AK133),"")</f>
        <v/>
      </c>
      <c r="AP133" s="61" t="str">
        <f aca="false">IF(AL133=1,SUM(AL$5:AL133),"")</f>
        <v/>
      </c>
      <c r="AQ133" s="61" t="n">
        <v>0</v>
      </c>
      <c r="AR133" s="61" t="n">
        <v>0</v>
      </c>
      <c r="AS133" s="61" t="n">
        <v>0</v>
      </c>
      <c r="AT133" s="61" t="n">
        <v>0</v>
      </c>
      <c r="AU133" s="61" t="str">
        <f aca="false">SUBSTITUTE(SUBSTITUTE(SUBSTITUTE(SUBSTITUTE(SUBSTITUTE(SUBSTITUTE(SUBSTITUTE(SUBSTITUTE(SUBSTITUTE(SUBSTITUTE(SUBSTITUTE(SUBSTITUTE(SUBSTITUTE(SUBSTITUTE(SUBSTITUTE(SUBSTITUTE(LOWER(T133&amp;""),CHAR(10),""),CHAR(13),""),CHAR(9),""),CHAR(160),"")," ",""),".",""),"-",""),"/",""),"?",""),"_",""),",",""),"[",""),"]",""),"(",""),")",""),"*","")</f>
        <v/>
      </c>
      <c r="AV133" s="61" t="str">
        <f aca="false">SUBSTITUTE(SUBSTITUTE(SUBSTITUTE(SUBSTITUTE(SUBSTITUTE(SUBSTITUTE(SUBSTITUTE(SUBSTITUTE(SUBSTITUTE(SUBSTITUTE(SUBSTITUTE(SUBSTITUTE(SUBSTITUTE(SUBSTITUTE(SUBSTITUTE(SUBSTITUTE(LOWER(V133&amp;""),CHAR(10),""),CHAR(13),""),CHAR(9),""),CHAR(160),"")," ",""),".",""),"-",""),"/",""),"?",""),"_",""),",",""),"[",""),"]",""),"(",""),")",""),"*","")</f>
        <v/>
      </c>
      <c r="AW133" s="61" t="str">
        <f aca="false">SUBSTITUTE(SUBSTITUTE(SUBSTITUTE(SUBSTITUTE(SUBSTITUTE(SUBSTITUTE(SUBSTITUTE(SUBSTITUTE(SUBSTITUTE(SUBSTITUTE(SUBSTITUTE(SUBSTITUTE(SUBSTITUTE(SUBSTITUTE(SUBSTITUTE(SUBSTITUTE(LOWER(Z133&amp;""),CHAR(10),""),CHAR(13),""),CHAR(9),""),CHAR(160),"")," ",""),".",""),"-",""),"/",""),"?",""),"_",""),",",""),"[",""),"]",""),"(",""),")",""),"*","")</f>
        <v/>
      </c>
      <c r="AX133" s="61" t="str">
        <f aca="false">SUBSTITUTE(SUBSTITUTE(SUBSTITUTE(SUBSTITUTE(SUBSTITUTE(SUBSTITUTE(SUBSTITUTE(SUBSTITUTE(SUBSTITUTE(SUBSTITUTE(SUBSTITUTE(SUBSTITUTE(SUBSTITUTE(SUBSTITUTE(SUBSTITUTE(SUBSTITUTE(LOWER(AE133&amp;""),CHAR(10),""),CHAR(13),""),CHAR(9),""),CHAR(160),"")," ",""),".",""),"-",""),"/",""),"?",""),"_",""),",",""),"[",""),"]",""),"(",""),")",""),"*","")</f>
        <v/>
      </c>
      <c r="AY133" s="61" t="str">
        <f aca="false">SUBSTITUTE(SUBSTITUTE(SUBSTITUTE(SUBSTITUTE(SUBSTITUTE(SUBSTITUTE(SUBSTITUTE(SUBSTITUTE(SUBSTITUTE(SUBSTITUTE(SUBSTITUTE(SUBSTITUTE(SUBSTITUTE(SUBSTITUTE(SUBSTITUTE(SUBSTITUTE(LOWER(W133&amp;""),CHAR(10),""),CHAR(13),""),CHAR(9),""),CHAR(160),"")," ",""),".",""),"-",""),"/",""),"?",""),"_",""),",",""),"[",""),"]",""),"(",""),")",""),"*","")</f>
        <v/>
      </c>
      <c r="AZ133" s="61" t="str">
        <f aca="false">SUBSTITUTE(SUBSTITUTE(SUBSTITUTE(SUBSTITUTE(SUBSTITUTE(SUBSTITUTE(SUBSTITUTE(SUBSTITUTE(SUBSTITUTE(SUBSTITUTE(SUBSTITUTE(SUBSTITUTE(SUBSTITUTE(SUBSTITUTE(SUBSTITUTE(SUBSTITUTE(LOWER(AC133&amp;""),CHAR(10),""),CHAR(13),""),CHAR(9),""),CHAR(160),"")," ",""),".",""),"-",""),"/",""),"?",""),"_",""),",",""),"[",""),"]",""),"(",""),")",""),"*","")</f>
        <v/>
      </c>
      <c r="BA133" s="61" t="str">
        <f aca="false">SUBSTITUTE(SUBSTITUTE(SUBSTITUTE(SUBSTITUTE(SUBSTITUTE(SUBSTITUTE(SUBSTITUTE(SUBSTITUTE(SUBSTITUTE(SUBSTITUTE(SUBSTITUTE(SUBSTITUTE(SUBSTITUTE(SUBSTITUTE(SUBSTITUTE(SUBSTITUTE(LOWER(AA133&amp;""),CHAR(10),""),CHAR(13),""),CHAR(9),""),CHAR(160),"")," ",""),".",""),"-",""),"/",""),"?",""),"_",""),",",""),"[",""),"]",""),"(",""),")",""),"*","")</f>
        <v/>
      </c>
      <c r="BB133" s="61" t="str">
        <f aca="false">IF(AND(TRIM(U133)="Pass",ISNUMBER(AF133)),IF(AF133&lt;&gt;0,"INVALID – qty variance: use Fail or Pass after CA",""),"")&amp;IF(AND(TRIM(U133)="Pass after CA",ISNUMBER(AF133)),IF(AF133&lt;&gt;0,"INVALID – after the corrective action the actual qty must equal expected (update Actual)",""),"")&amp;IF(AND(TRIM(U133)="Pass",TRIM(AB133)&lt;&gt;"",TRIM(AB133)&lt;&gt;"Closed"),"INVALID – corrective action not closed: use Fail, then Pass after CA","")&amp;IF(AND(LEN(BA133)&gt;=2,ISNA(MATCH(LEFT(BA133,255),L_Placeholder,0)),TRIM(AB133)=""),"INVALID – CA status missing for the recorded corrective action","")&amp;IF(AND(TRIM(U133)="Pass after CA",OR(OR(LEN(BA133)&lt;5,ISNUMBER(MATCH(BA133,L_Placeholder,0))),TRIM(AB133)&lt;&gt;"Closed")),"INVALID – corrective action not recorded/closed","")</f>
        <v/>
      </c>
      <c r="BC133" s="61" t="str">
        <f aca="false">" "&amp;TRIM(SUBSTITUTE(SUBSTITUTE(SUBSTITUTE(SUBSTITUTE(SUBSTITUTE(SUBSTITUTE(SUBSTITUTE(SUBSTITUTE(SUBSTITUTE(SUBSTITUTE(SUBSTITUTE(SUBSTITUTE(SUBSTITUTE(SUBSTITUTE(SUBSTITUTE(SUBSTITUTE(SUBSTITUTE(SUBSTITUTE(SUBSTITUTE(SUBSTITUTE(SUBSTITUTE(SUBSTITUTE(SUBSTITUTE(SUBSTITUTE(LOWER(V133&amp;""),CHAR(10)," "),CHAR(13)," "),CHAR(9)," "),CHAR(160)," "),"."," "),","," "),"-"," "),"/"," "),"("," "),")"," "),":"," "),";"," "),"_"," "),"–"," "),"?"," "),"!"," "),"*"," "),"["," "),"]"," "),"'"," "),"#"," "),"+"," "),"&amp;"," "),"\"," "))&amp;" "</f>
        <v>  </v>
      </c>
      <c r="BD133" s="61" t="str">
        <f aca="false">" "&amp;TRIM(SUBSTITUTE(SUBSTITUTE(SUBSTITUTE(SUBSTITUTE(SUBSTITUTE(SUBSTITUTE(SUBSTITUTE(SUBSTITUTE(SUBSTITUTE(SUBSTITUTE(SUBSTITUTE(SUBSTITUTE(SUBSTITUTE(SUBSTITUTE(SUBSTITUTE(SUBSTITUTE(SUBSTITUTE(SUBSTITUTE(SUBSTITUTE(SUBSTITUTE(SUBSTITUTE(SUBSTITUTE(SUBSTITUTE(SUBSTITUTE(LOWER(Z133&amp;""),CHAR(10)," "),CHAR(13)," "),CHAR(9)," "),CHAR(160)," "),"."," "),","," "),"-"," "),"/"," "),"("," "),")"," "),":"," "),";"," "),"_"," "),"–"," "),"?"," "),"!"," "),"*"," "),"["," "),"]"," "),"'"," "),"#"," "),"+"," "),"&amp;"," "),"\"," "))&amp;" "</f>
        <v>  </v>
      </c>
      <c r="BE133" s="61" t="str">
        <f aca="false">" "&amp;TRIM(SUBSTITUTE(SUBSTITUTE(SUBSTITUTE(SUBSTITUTE(SUBSTITUTE(SUBSTITUTE(SUBSTITUTE(SUBSTITUTE(SUBSTITUTE(SUBSTITUTE(SUBSTITUTE(SUBSTITUTE(SUBSTITUTE(SUBSTITUTE(SUBSTITUTE(SUBSTITUTE(SUBSTITUTE(SUBSTITUTE(SUBSTITUTE(SUBSTITUTE(SUBSTITUTE(SUBSTITUTE(SUBSTITUTE(SUBSTITUTE(LOWER(W133&amp;""),CHAR(10)," "),CHAR(13)," "),CHAR(9)," "),CHAR(160)," "),"."," "),","," "),"-"," "),"/"," "),"("," "),")"," "),":"," "),";"," "),"_"," "),"–"," "),"?"," "),"!"," "),"*"," "),"["," "),"]"," "),"'"," "),"#"," "),"+"," "),"&amp;"," "),"\"," "))&amp;" "</f>
        <v>  </v>
      </c>
      <c r="BF133" s="61" t="str">
        <f aca="false">" "&amp;TRIM(SUBSTITUTE(SUBSTITUTE(SUBSTITUTE(SUBSTITUTE(SUBSTITUTE(SUBSTITUTE(SUBSTITUTE(SUBSTITUTE(SUBSTITUTE(SUBSTITUTE(SUBSTITUTE(SUBSTITUTE(SUBSTITUTE(SUBSTITUTE(SUBSTITUTE(SUBSTITUTE(SUBSTITUTE(SUBSTITUTE(SUBSTITUTE(SUBSTITUTE(SUBSTITUTE(SUBSTITUTE(SUBSTITUTE(SUBSTITUTE(LOWER(AC133&amp;""),CHAR(10)," "),CHAR(13)," "),CHAR(9)," "),CHAR(160)," "),"."," "),","," "),"-"," "),"/"," "),"("," "),")"," "),":"," "),";"," "),"_"," "),"–"," "),"?"," "),"!"," "),"*"," "),"["," "),"]"," "),"'"," "),"#"," "),"+"," "),"&amp;"," "),"\"," "))&amp;" "</f>
        <v>  </v>
      </c>
      <c r="BG133" s="61" t="n">
        <f aca="false">IFERROR(IF(AND(TRIM(U133)="Pass",SUMPRODUCT((LEN(BC133)-LEN(SUBSTITUTE(BC133," "&amp;L_ResultBad&amp;" "," ")))/(LEN(L_ResultBad)+1))&gt;SUMPRODUCT((LEN(BC133)-LEN(SUBSTITUTE(BC133," "&amp;L_NegPhrase&amp;" "," ")))/(LEN(L_NegPhrase)+1))),1,0),0)</f>
        <v>0</v>
      </c>
      <c r="BH133" s="61" t="n">
        <f aca="false">IFERROR(IF(SUMPRODUCT((LEN(BC133)-LEN(SUBSTITUTE(BC133," "&amp;L_Pending&amp;" "," ")))/(LEN(L_Pending)+1))&gt;SUMPRODUCT((LEN(BC133)-LEN(SUBSTITUTE(BC133," "&amp;L_PendNeg&amp;" "," ")))/(LEN(L_PendNeg)+1)),1,0),1)</f>
        <v>0</v>
      </c>
      <c r="BI133" s="61" t="n">
        <f aca="false">IFERROR(IF(SUMPRODUCT((LEN(BD133)-LEN(SUBSTITUTE(BD133," "&amp;L_PendStrict&amp;" "," ")))/(LEN(L_PendStrict)+1))&gt;SUMPRODUCT((LEN(BD133)-LEN(SUBSTITUTE(BD133," "&amp;L_PendNeg&amp;" "," ")))/(LEN(L_PendNeg)+1)),1,0),1)</f>
        <v>0</v>
      </c>
      <c r="BJ133" s="61" t="n">
        <f aca="false">IFERROR(IF(SUMPRODUCT((LEN(BE133)-LEN(SUBSTITUTE(BE133," "&amp;L_Pending&amp;" "," ")))/(LEN(L_Pending)+1))&gt;SUMPRODUCT((LEN(BE133)-LEN(SUBSTITUTE(BE133," "&amp;L_PendNeg&amp;" "," ")))/(LEN(L_PendNeg)+1)),1,0),1)</f>
        <v>0</v>
      </c>
      <c r="BK133" s="61" t="n">
        <f aca="false">IFERROR(IF(SUMPRODUCT((LEN(BF133)-LEN(SUBSTITUTE(BF133," "&amp;L_PendStrict&amp;" "," ")))/(LEN(L_PendStrict)+1))&gt;SUMPRODUCT((LEN(BF133)-LEN(SUBSTITUTE(BF133," "&amp;L_PendNeg&amp;" "," ")))/(LEN(L_PendNeg)+1)),1,0),1)</f>
        <v>0</v>
      </c>
      <c r="BL133" s="61" t="n">
        <f aca="false">IF(ISNA(MATCH(TRIM(S133),L_EvidenceType,0)),0,BZ133)</f>
        <v>0</v>
      </c>
      <c r="BM133" s="61" t="str">
        <f aca="false">SUBSTITUTE(SUBSTITUTE(SUBSTITUTE(SUBSTITUTE(SUBSTITUTE(SUBSTITUTE(SUBSTITUTE(SUBSTITUTE(SUBSTITUTE(LOWER(Z133&amp;""),"1","0"),"2","0"),"3","0"),"4","0"),"5","0"),"6","0"),"7","0"),"8","0"),"9","0")</f>
        <v/>
      </c>
      <c r="BN133" s="61" t="str">
        <f aca="false">SUBSTITUTE(SUBSTITUTE(SUBSTITUTE(SUBSTITUTE(SUBSTITUTE(SUBSTITUTE(SUBSTITUTE(SUBSTITUTE(SUBSTITUTE(SUBSTITUTE(SUBSTITUTE(SUBSTITUTE(SUBSTITUTE(SUBSTITUTE(SUBSTITUTE(SUBSTITUTE(SUBSTITUTE(SUBSTITUTE(SUBSTITUTE(SUBSTITUTE(SUBSTITUTE(SUBSTITUTE(SUBSTITUTE(SUBSTITUTE(SUBSTITUTE(BM133,"b","a"),"c","a"),"d","a"),"e","a"),"f","a"),"g","a"),"h","a"),"i","a"),"j","a"),"k","a"),"l","a"),"m","a"),"n","a"),"o","a"),"p","a"),"q","a"),"r","a"),"s","a"),"t","a"),"u","a"),"v","a"),"w","a"),"x","a"),"y","a"),"z","a")</f>
        <v/>
      </c>
      <c r="BO133" s="61" t="str">
        <f aca="false">SUBSTITUTE(SUBSTITUTE(SUBSTITUTE(SUBSTITUTE(SUBSTITUTE(SUBSTITUTE(SUBSTITUTE(SUBSTITUTE(SUBSTITUTE(LOWER(W133&amp;""),"1","0"),"2","0"),"3","0"),"4","0"),"5","0"),"6","0"),"7","0"),"8","0"),"9","0")</f>
        <v/>
      </c>
      <c r="BP133" s="61" t="str">
        <f aca="false">SUBSTITUTE(SUBSTITUTE(SUBSTITUTE(SUBSTITUTE(SUBSTITUTE(SUBSTITUTE(SUBSTITUTE(SUBSTITUTE(SUBSTITUTE(SUBSTITUTE(SUBSTITUTE(SUBSTITUTE(SUBSTITUTE(SUBSTITUTE(SUBSTITUTE(SUBSTITUTE(SUBSTITUTE(SUBSTITUTE(SUBSTITUTE(SUBSTITUTE(SUBSTITUTE(SUBSTITUTE(SUBSTITUTE(SUBSTITUTE(SUBSTITUTE(BO133,"b","a"),"c","a"),"d","a"),"e","a"),"f","a"),"g","a"),"h","a"),"i","a"),"j","a"),"k","a"),"l","a"),"m","a"),"n","a"),"o","a"),"p","a"),"q","a"),"r","a"),"s","a"),"t","a"),"u","a"),"v","a"),"w","a"),"x","a"),"y","a"),"z","a")</f>
        <v/>
      </c>
      <c r="BQ133" s="61" t="n">
        <f aca="false">IFERROR(IF(AND(ISERROR(SEARCH(" mh"," "&amp;LOWER(W133))),ISNA(MATCH(LEFT(TRIM(BP133),255),{"0000a","000a","00a","0000aa","000aa","00aa","0aa","0000aaa","000aaa","00a00","0a00","0000-0000","00:00","a00","a0","00.00.0000","00/00/0000","00-00-0000","0000-00-00","0000/00/00","0000.00.00","00.00.00","00/00/00","00-00-00","0.00.0000","0/00/0000","0-00-0000"},0)),ISNA(MATCH(LEFT(TRIM(CA133),255),{"0000a","000a","00a","0000aa","000aa","00aa","0aa","0000aaa","000aaa","00a00","0a00","0000-0000","00:00","a00","a0","00.00.0000","00/00/0000","00-00-0000","0000-00-00","0000/00/00","0000.00.00","00.00.00","00/00/00","00-00-00","0.00.0000","0/00/0000","0-00-0000"},0)),LEN(CB133)&gt;=3,NOT(OR(SUBSTITUTE(CB133,"0","")="",AND(LEN(CB133)&gt;=4,CB133=REPT(LEFT(CB133),LEN(CB133))),ISNUMBER(MATCH(CB133,{"123","1234","12345","123456","1234567","12345678","0123","01234","012345","98765","987654","54321"},0)),AND(LEN(CB133)=8,LEFT(CB133,3)="202"))),OR(AND((LEN(CA133)-LEN(SUBSTITUTE(CA133,"a","")))&gt;=1,SUMPRODUCT(--ISNUMBER(SEARCH({"a0","a-0","a_0","a/0","a.0","a#0","0a","0-a","0_a","0/a"},BP133)))&gt;0),ISNUMBER(SEARCH("000000",BP133)))),1,0),0)</f>
        <v>0</v>
      </c>
      <c r="BR133" s="61" t="n">
        <f aca="false">IFERROR(LEN(SUBSTITUTE(CC133," ",""))-SUMPRODUCT((LEN(CC133)-LEN(SUBSTITUTE(CC133," "&amp;L_Role&amp;" "," ")))/(LEN(L_Role)+1)*LEN(L_Role)),0)</f>
        <v>0</v>
      </c>
      <c r="BS133" s="61" t="n">
        <f aca="false">IFERROR(LEN(SUBSTITUTE(CD133," ",""))-SUMPRODUCT((LEN(CD133)-LEN(SUBSTITUTE(CD133," "&amp;L_Role&amp;" "," ")))/(LEN(L_Role)+1)*LEN(L_Role)),0)</f>
        <v>0</v>
      </c>
      <c r="BT1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133,"revision",""),"version",""),"jan",""),"feb",""),"mar",""),"apr",""),"may",""),"jun",""),"jul",""),"aug",""),"sep",""),"oct",""),"nov",""),"dec",""),"utc",""),"gmt",""),"myt",""),"bst",""),"rev",""),"ver",""),"b","a"),"c","a"),"d","a"),"e","a"),"f","a"),"g","a"),"h","a"),"i","a"),"j","a"),"k","a"),"l","a"),"m","a"),"n","a"),"o","a"),"p","a"),"q","a"),"r","a"),"s","a"),"t","a"),"u","a"),"v","a"),"w","a"),"x","a"),"y","a"),"z","a")</f>
        <v/>
      </c>
      <c r="BU133" s="61" t="str">
        <f aca="false">SUBSTITUTE(SUBSTITUTE(SUBSTITUTE(SUBSTITUTE(SUBSTITUTE(SUBSTITUTE(SUBSTITUTE(SUBSTITUTE(SUBSTITUTE(SUBSTITUTE(LEFT(BM133,FIND("0",BM133&amp;"0")-1),"-",""),"_",""),"/",""),".",""),"#",""),"\\",""),":","")," ",""),"(",""),")","")</f>
        <v/>
      </c>
      <c r="BV133" s="61" t="n">
        <f aca="false">IFERROR(IF(OR(SUMPRODUCT((LEN(BC133)-LEN(SUBSTITUTE(BC133," "&amp;L_NotLoaded&amp;" "," ")))/(LEN(L_NotLoaded)+1))&gt;SUMPRODUCT((LEN(BC133)-LEN(SUBSTITUTE(BC133," "&amp;L_NotLoadedNeg&amp;" "," ")))/(LEN(L_NotLoadedNeg)+1)),SUMPRODUCT((LEN(BD133)-LEN(SUBSTITUTE(BD133," "&amp;L_NotLoaded&amp;" "," ")))/(LEN(L_NotLoaded)+1))&gt;SUMPRODUCT((LEN(BD133)-LEN(SUBSTITUTE(BD133," "&amp;L_NotLoadedNeg&amp;" "," ")))/(LEN(L_NotLoadedNeg)+1))),1,0),0)</f>
        <v>0</v>
      </c>
      <c r="BW1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133&amp;""),"a",""),"b",""),"c",""),"d",""),"e",""),"f",""),"g",""),"h",""),"i",""),"j",""),"k",""),"l",""),"m",""),"n",""),"o",""),"p",""),"q",""),"r",""),"s",""),"t",""),"u",""),"v",""),"w",""),"x",""),"y",""),"z",""),"-",""),"_",""),"/",""),".",""),"#",""),"\\",""),":","")," ",""),"(",""),")","")</f>
        <v/>
      </c>
      <c r="BX133" s="61" t="str">
        <f aca="false">SUBSTITUTE(SUBSTITUTE(SUBSTITUTE(SUBSTITUTE(SUBSTITUTE(SUBSTITUTE(SUBSTITUTE(SUBSTITUTE(SUBSTITUTE(SUBSTITUTE(SUBSTITUTE(BM133,"0",""),"-",""),"_",""),"/",""),".",""),"#",""),"\\",""),":","")," ",""),"(",""),")","")</f>
        <v/>
      </c>
      <c r="BY133" s="62" t="n">
        <f aca="false">IF(ISNUMBER(Flights!$AZ$8),MAX(Q133-UpliftWindowH/24,Flights!$AZ$8),Q133-UpliftWindowH/24)</f>
        <v>46305.3958333333</v>
      </c>
      <c r="BZ133" s="61" t="n">
        <f aca="false">IFERROR(IF(IF(TRIM(S133)="Link / file path",AND(LEN(TRIM(Z133))&gt;=5,SUMPRODUCT(--ISNUMBER(SEARCH({"http","www.","\\",":\",".pdf",".jpg",".jpeg",".png",".heic",".xls",".doc",".msg",".eml",".ppt",".txt",".zip"},Z133)))&gt;0),AND(ISERROR(FIND(" ",TRIM(Z133))),NOT(OR(SUMPRODUCT(--ISNUMBER(FIND({",",";","&amp;","+"},Z133)))&gt;0,SUMPRODUCT(--ISNUMBER(SEARCH({"0/aa","0\\aa"},BN133)))&gt;0)),NOT(SUMPRODUCT(--ISNUMBER(SEARCH({"http","www.","\\",":\",".pdf",".jpg",".jpeg",".png",".heic",".xls",".doc",".msg",".eml",".ppt",".txt",".zip"},Z133)))&gt;0),NOT(LOWER(TRIM(Z133))=LOWER(Flights!$F$8)),ISNA(MATCH(BU133,{"mh","rev","revision","ver","version","v","r","a","b","seat","tray","row","gate","bay","stand","page","pg","item","line","no","cart","galley","flight","flt","table","box","bag","oven","etd","eta","std","sta","atd","ata","qty","pax","x","time","tel","ph","mob","day","wk","week","utc","gmt","myt","lt"},0)),NOT(OR(ISNUMBER(MATCH(LEFT(BN133,255),{"0000a","000a","00a","0000aa","000aa","00aa","0aa","0000aaa","000aaa","00a00","0a00","0000-0000","00:00","a00","a0","00.00.0000","00/00/0000","00-00-0000","0000-00-00","0000/00/00","0000.00.00","00.00.00","00/00/00","00-00-00","0.00.0000","0/00/0000","0-00-0000"},0)),ISNUMBER(MATCH(LEFT(BT133,255),{"0000a","000a","00a","0000aa","000aa","00aa","0aa","0000aaa","000aaa","00a00","0a00","0000-0000","00:00","a00","a0","00.00.0000","00/00/0000","00-00-0000","0000-00-00","0000/00/00","0000.00.00","00.00.00","00/00/00","00-00-00","0.00.0000","0/00/0000","0-00-0000"},0)))),NOT(OR(AND(BW133&lt;&gt;"",SUBSTITUTE(BW133,"0","")=""),AND(LEN(BW133)&gt;=4,BW133=REPT(LEFT(BW133),LEN(BW133))),ISNUMBER(MATCH(BW133,{"123","1234","12345","123456","1234567","12345678","0123","01234","012345","98765","987654","54321"},0)),ISNUMBER(MATCH(BX133,{"x","xx","xxx","xxxx","xxxxx","abc","abcd","nil","na","nan","test","tbc","tba","tbd","dummy","sample","example","eg","zz","zzz","none","null","xyz","qwe","asd","id","ref"},0)),AND(LEN(BW133)=8,BX133="",OR(LEFT(BW133,3)="202",ISNUMBER(MATCH(RIGHT(BW133,4),{"2025","2026","2027"},0)))))),OR(AND((LEN(BT133)-LEN(SUBSTITUTE(BT133,"a","")))&gt;=1,(LEN(BN133)-LEN(SUBSTITUTE(BN133,"0","")))&gt;=2,SUMPRODUCT(--ISNUMBER(SEARCH({"a0","a-0","a_0","a/0","a.0","a#0","0a","0-a","0_a","0/a"},BN133)))&gt;0),AND((LEN(BN133)-LEN(SUBSTITUTE(BN133,"a","")))=0,(LEN(BN133)-LEN(SUBSTITUTE(BN133,"0","")))&gt;=5)))),1,0),0)</f>
        <v>0</v>
      </c>
      <c r="CA1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133,"revision",""),"version",""),"jan",""),"feb",""),"mar",""),"apr",""),"may",""),"jun",""),"jul",""),"aug",""),"sep",""),"oct",""),"nov",""),"dec",""),"utc",""),"gmt",""),"myt",""),"bst",""),"rev",""),"ver",""),"b","a"),"c","a"),"d","a"),"e","a"),"f","a"),"g","a"),"h","a"),"i","a"),"j","a"),"k","a"),"l","a"),"m","a"),"n","a"),"o","a"),"p","a"),"q","a"),"r","a"),"s","a"),"t","a"),"u","a"),"v","a"),"w","a"),"x","a"),"y","a"),"z","a")</f>
        <v/>
      </c>
      <c r="CB1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133&amp;""),"a",""),"b",""),"c",""),"d",""),"e",""),"f",""),"g",""),"h",""),"i",""),"j",""),"k",""),"l",""),"m",""),"n",""),"o",""),"p",""),"q",""),"r",""),"s",""),"t",""),"u",""),"v",""),"w",""),"x",""),"y",""),"z",""),"-",""),"_",""),"/",""),".",""),"#",""),"\\",""),":","")," ",""),"(",""),")","")</f>
        <v/>
      </c>
      <c r="CC133" s="0" t="str">
        <f aca="false">" "&amp;TRIM(SUBSTITUTE(SUBSTITUTE(SUBSTITUTE(SUBSTITUTE(SUBSTITUTE(SUBSTITUTE(SUBSTITUTE(SUBSTITUTE(SUBSTITUTE(SUBSTITUTE(SUBSTITUTE(SUBSTITUTE(SUBSTITUTE(SUBSTITUTE(SUBSTITUTE(SUBSTITUTE(SUBSTITUTE(SUBSTITUTE(SUBSTITUTE(SUBSTITUTE(SUBSTITUTE(SUBSTITUTE(SUBSTITUTE(SUBSTITUTE(LOWER(T133&amp;""),CHAR(10)," "),CHAR(13)," "),CHAR(9)," "),CHAR(160)," "),"."," "),","," "),"-"," "),"/"," "),"("," "),")"," "),":"," "),";"," "),"_"," "),"–"," "),"?"," "),"!"," "),"*"," "),"["," "),"]"," "),"'"," "),"#"," "),"+"," "),"&amp;"," "),"\"," "))&amp;" "</f>
        <v>  </v>
      </c>
      <c r="CD133" s="0" t="str">
        <f aca="false">" "&amp;TRIM(SUBSTITUTE(SUBSTITUTE(SUBSTITUTE(SUBSTITUTE(SUBSTITUTE(SUBSTITUTE(SUBSTITUTE(SUBSTITUTE(SUBSTITUTE(SUBSTITUTE(SUBSTITUTE(SUBSTITUTE(SUBSTITUTE(SUBSTITUTE(SUBSTITUTE(SUBSTITUTE(SUBSTITUTE(SUBSTITUTE(SUBSTITUTE(SUBSTITUTE(SUBSTITUTE(SUBSTITUTE(SUBSTITUTE(SUBSTITUTE(LOWER(AE133&amp;""),CHAR(10)," "),CHAR(13)," "),CHAR(9)," "),CHAR(160)," "),"."," "),","," "),"-"," "),"/"," "),"("," "),")"," "),":"," "),";"," "),"_"," "),"–"," "),"?"," "),"!"," "),"*"," "),"["," "),"]"," "),"'"," "),"#"," "),"+"," "),"&amp;"," "),"\"," "))&amp;" "</f>
        <v>  </v>
      </c>
      <c r="CE133" s="68" t="n">
        <f aca="false">IFERROR(IF(AND(LEN(AU133)&gt;0,LEN(AU133)=LEN(AX133),OR(TRIM(MID(SUBSTITUTE(TRIM(CC133)," ",REPT(" ",60)),1,60))="",ISNUMBER(SEARCH(" "&amp;TRIM(MID(SUBSTITUTE(TRIM(CC133)," ",REPT(" ",60)),1,60))&amp;" ",CD133))),OR(TRIM(MID(SUBSTITUTE(TRIM(CC133)," ",REPT(" ",60)),61,60))="",ISNUMBER(SEARCH(" "&amp;TRIM(MID(SUBSTITUTE(TRIM(CC133)," ",REPT(" ",60)),61,60))&amp;" ",CD133))),OR(TRIM(MID(SUBSTITUTE(TRIM(CC133)," ",REPT(" ",60)),121,60))="",ISNUMBER(SEARCH(" "&amp;TRIM(MID(SUBSTITUTE(TRIM(CC133)," ",REPT(" ",60)),121,60))&amp;" ",CD133)))),1,0),0)</f>
        <v>0</v>
      </c>
      <c r="CG133" s="68" t="n">
        <f aca="false">IFERROR(LEN(SUBSTITUTE(BF133," ",""))-SUMPRODUCT((LEN(BF133)-LEN(SUBSTITUTE(BF133," "&amp;L_NAFiller&amp;" "," ")))/(LEN(L_NAFiller)+1)*LEN(L_NAFiller)),0)</f>
        <v>0</v>
      </c>
    </row>
    <row r="134" customFormat="false" ht="39.75" hidden="false" customHeight="true" outlineLevel="0" collapsed="false">
      <c r="A134" s="57" t="s">
        <v>654</v>
      </c>
      <c r="B134" s="57" t="s">
        <v>218</v>
      </c>
      <c r="C134" s="57" t="str">
        <f aca="false">Flights!$F$8</f>
        <v>MH0088</v>
      </c>
      <c r="D134" s="58" t="n">
        <f aca="false">Flights!$D$8</f>
        <v>46305</v>
      </c>
      <c r="E134" s="57" t="str">
        <f aca="false">Flights!$G$8&amp;"-"&amp;Flights!$H$8</f>
        <v>KUL-NRT</v>
      </c>
      <c r="F134" s="57" t="str">
        <f aca="false">Flights!$K$8</f>
        <v>BC</v>
      </c>
      <c r="G134" s="57" t="s">
        <v>459</v>
      </c>
      <c r="H134" s="57" t="s">
        <v>460</v>
      </c>
      <c r="I134" s="57" t="s">
        <v>447</v>
      </c>
      <c r="J134" s="57" t="s">
        <v>655</v>
      </c>
      <c r="K134" s="67" t="s">
        <v>449</v>
      </c>
      <c r="L134" s="67" t="s">
        <v>627</v>
      </c>
      <c r="M134" s="67" t="s">
        <v>451</v>
      </c>
      <c r="N134" s="67" t="s">
        <v>383</v>
      </c>
      <c r="O134" s="67"/>
      <c r="P134" s="57" t="s">
        <v>187</v>
      </c>
      <c r="Q134" s="59" t="n">
        <f aca="false">ROUND((Flights!$AF$8)*1440,0)/1440</f>
        <v>46305.6458333333</v>
      </c>
      <c r="R134" s="59" t="n">
        <f aca="false">Q134+(IF(AND(INDEX(TZ_DSTS,MATCH(P134,TZ_STN,0))&lt;&gt;"",Q134&gt;=INDEX(TZ_DSTS,MATCH(P134,TZ_STN,0)),Q134&lt;INDEX(TZ_DSTE,MATCH(P134,TZ_STN,0))),INDEX(TZ_DST,MATCH(P134,TZ_STN,0)),INDEX(TZ_STD,MATCH(P134,TZ_STN,0))))/24</f>
        <v>46305.9791666667</v>
      </c>
      <c r="S134" s="60"/>
      <c r="T134" s="60"/>
      <c r="U134" s="60"/>
      <c r="V134" s="60"/>
      <c r="W134" s="61"/>
      <c r="X134" s="60"/>
      <c r="Y134" s="60"/>
      <c r="Z134" s="60"/>
      <c r="AA134" s="60"/>
      <c r="AB134" s="60"/>
      <c r="AC134" s="60"/>
      <c r="AD134" s="66"/>
      <c r="AE134" s="60"/>
      <c r="AF134" s="61" t="str">
        <f aca="false">IF(AND(ISNUMBER(X134),ISNUMBER(Y134)),Y134-X134,"")</f>
        <v/>
      </c>
      <c r="AG134" s="62" t="str">
        <f aca="false">IF(ISNUMBER(AD134),AD134-(IF(AND(INDEX(TZ_DSTS,MATCH(P134,TZ_STN,0))&lt;&gt;"",(AD134-INDEX(TZ_STD,MATCH(P134,TZ_STN,0))/24)&gt;=INDEX(TZ_DSTS,MATCH(P134,TZ_STN,0)),(AD134-INDEX(TZ_STD,MATCH(P134,TZ_STN,0))/24)&lt;INDEX(TZ_DSTE,MATCH(P134,TZ_STN,0))),INDEX(TZ_DST,MATCH(P134,TZ_STN,0)),INDEX(TZ_STD,MATCH(P134,TZ_STN,0))))/24,"")</f>
        <v/>
      </c>
      <c r="AH134" s="65" t="str">
        <f aca="false">IFERROR(IF(N134="N/A – rule",IF(OR(TRIM(U134)="",TRIM(U134)="N/A",TRIM(U134)="Not started"),"N/A – RULE","INVALID – this check does not apply to this aircraft: clear the status (or correct the fleet on Flights)"),IF(TRIM(U134)="N/A",IF(AT134=0,"INVALID – N/A not permitted for this check",IF(AND(TRIM(AB134)&lt;&gt;"",TRIM(AB134)&lt;&gt;"Closed"),"INVALID – corrective action still open",IF(AND(NOT(OR(LEN(AZ134)&lt;15,ISNUMBER(MATCH(AZ134,L_Placeholder,0)))),BK134=0,CG134&gt;=8,NOT(OR(LEN(AU134)&lt;2,ISNUMBER(MATCH(AU134,L_Placeholder,0)))),BR134&gt;=3,NOT(OR(LEN(AX134)&lt;2,ISNUMBER(MATCH(AX134,L_Placeholder,0)))),BS134&gt;=3,TRIM(AE134)&lt;&gt;TRIM(T134),AX134&lt;&gt;AU134,CE134=0),"N/A – JUSTIFIED","INVALID – N/A needs a real, settled reason (not 'not applicable' / 'as above' / TBC), a named PIC and a different named verifier"))),IF(OR(TRIM(U134)="Pass",TRIM(U134)="Pass after CA"),IF(NOT(ISNUMBER(AD134)),"INVALID – completion time missing",IF(OR(OR(LEN(AU134)&lt;2,ISNUMBER(MATCH(AU134,L_Placeholder,0))),BR134&lt;3),"INVALID – PIC missing or not a named person (a role such as QA / CSM is not a name)",IF(OR(LEN(AV134)&lt;2,ISNUMBER(MATCH(AV134,L_Placeholder,0))),"INVALID – result / assessment missing",IF(OR(OR(LEN(AW134)&lt;3,ISNUMBER(MATCH(AW134,L_Placeholder,0))),SUMPRODUCT(--ISNUMBER(SEARCH(" "&amp;L_EvidencePhrase&amp;" ",BD134)))&gt;0,BI134=1),"INVALID – evidence missing, placeholder or not yet on file",IF(ISNA(MATCH(TRIM(S134),L_EvidenceType,0)),"INVALID – choose the evidence type from the list (column S)",IF(BL134=0,"INVALID – evidence ID must be the record's own ID only (e.g. SF-2210, IMG_2231, 1045521); a link / file name needs type 'Link / file path'",IF(OR(OR(LEN(AX134)&lt;2,ISNUMBER(MATCH(AX134,L_Placeholder,0))),BS134&lt;3),"INVALID – verifier missing or not a named person (a role such as QA / CSM is not a name)",IF(OR(AX134=AU134,CE134=1,AND(LEN(AU134)&gt;=4,ISNUMBER(SEARCH(AU134,AX134))),AND(LEN(AX134)&gt;=4,ISNUMBER(SEARCH(AX134,AU134)))),"INVALID – verifier must be a different, named person (not the PIC or a role)",IF(BH134=1,"INVALID – result not yet available (awaiting / TBC)",IF(BG134=1,"INVALID – result describes a problem: record Fail, then Pass after CA (or reword if it is not a problem)",IF(BV134=1,"INVALID – wording says not on board: an on-board confirmation needs the item loaded",IF(AND(AQ134=1,OR(OR(LEN(AY134)&lt;3,ISNUMBER(MATCH(AY134,L_Placeholder,0))),BJ134=1,BQ134=0)),"INVALID – batch ID missing, placeholder or not an ID (e.g. PASB-261008-BC-017)",IF(AND(AR134=1,OR(NOT(ISNUMBER(X134)),NOT(ISNUMBER(Y134)))),"INVALID – expected/actual qty missing",IF(AND(AR134=1,OR(X134&lt;=0,Y134&lt;0)),"INVALID – expected qty must be above 0 and actual not negative",IF(AH118="N/A – JUSTIFIED","INVALID – preparation row F04-T12-19 is N/A",IF(AND(AR134=1,ISNUMBER(X118),X134&lt;&gt;X118,TRIM(U134)&lt;&gt;"Pass after CA"),"INVALID – expected qty differs from preparation check F04-T12-19: record the load change as a corrective action (Pass after CA)",IF(BB134&lt;&gt;"",BB134,IF(AND(AS134=1,Documents!$J$8&lt;&gt;"ON FILE"),"INVALID – GLD not on file (Documents sheet)",IF(AND(AS134=2,Documents!$O$8&lt;&gt;"ON FILE"),"INVALID – menu checklist not on file (Documents sheet)",IF(AND(AS134=3,NOT(ISNUMBER(Flights!$AX$8))),"INVALID – enter carrying flight KUL departure (Flights AX)",IF(AND(AS134=3,OR(Flights!$AZ$8&gt;Flights!$AA$8,Flights!$AX$8&lt;Flights!$AA$8-3)),"INVALID – carrying flight (Flights AX) cannot arrive before this leg's STD, or is over 3 days early",IF(AG134&gt;AsOfUTC,"INVALID – completion time is in the future",IF(AND(ISNUMBER(BY134),AG134&lt;BY134),IF(H134="Physical uplift","INVALID – before uplift window (cannot confirm loading)","INVALID – before valid window"),IF(AG134&gt;Flights!$AA$8,"INVALID – completed after departure (cannot establish readiness)",IF(AND(H134="Preparation",AG134&gt;=IF(ISNUMBER(Flights!$BA$8),MIN(Flights!$BA$8,Flights!$AA$8),Flights!$AA$8)),"INVALID – completed after loading / departure (cannot establish readiness)",IF(AND(H134="Physical uplift",AG134&gt;Q134),"INVALID – recorded after the loading flight departed",IF(AG134&gt;Q134,"COMPLETE – LATE","COMPLETE"))))))))))))))))))))))))))),IF(TRIM(U134)="Fail","FAIL – DISCREPANCY",IF(AND(TRIM(U134)&lt;&gt;"",TRIM(U134)&lt;&gt;"Not started",TRIM(U134)&lt;&gt;"In progress"),"INVALID – unrecognised status (use the list)",IF(AsOfUTC&gt;Q134,"OVERDUE",IF(N134="Clarification required","OPEN – CLARIFICATION","OPEN"))))))),"INVALID – error value in an input cell")</f>
        <v>OPEN</v>
      </c>
      <c r="AI134" s="61" t="n">
        <f aca="false">IF(OR(AH134="N/A – RULE",AH134="N/A – JUSTIFIED"),0,1)</f>
        <v>1</v>
      </c>
      <c r="AJ134" s="61" t="n">
        <f aca="false">IF(LEFT(AH134,8)="COMPLETE",1,0)</f>
        <v>0</v>
      </c>
      <c r="AK134" s="61" t="n">
        <f aca="false">IF(AND(AI134=1,AJ134=0,AsOfUTC&gt;Q134),1,0)</f>
        <v>0</v>
      </c>
      <c r="AL134" s="61" t="n">
        <f aca="false">IFERROR(IF(AND(AI134=1,OR(TRIM(U134)="Fail",AND(TRIM(AB134)&lt;&gt;"",TRIM(AB134)&lt;&gt;"Closed"),AND(ISNUMBER(AF134),AF134&lt;&gt;0,TRIM(U134)&lt;&gt;"Pass after CA"))),1,0),1)</f>
        <v>0</v>
      </c>
      <c r="AM134" s="61" t="n">
        <f aca="false">IF(LEFT(AH134,7)="INVALID",1,0)</f>
        <v>0</v>
      </c>
      <c r="AN134" s="61" t="n">
        <f aca="false">IF(AND(N134="Clarification required",AI134=1,AJ134=0),1,0)</f>
        <v>0</v>
      </c>
      <c r="AO134" s="61" t="str">
        <f aca="false">IF(AK134=1,SUM(AK$5:AK134),"")</f>
        <v/>
      </c>
      <c r="AP134" s="61" t="str">
        <f aca="false">IF(AL134=1,SUM(AL$5:AL134),"")</f>
        <v/>
      </c>
      <c r="AQ134" s="61" t="n">
        <v>0</v>
      </c>
      <c r="AR134" s="61" t="n">
        <v>0</v>
      </c>
      <c r="AS134" s="61" t="n">
        <v>0</v>
      </c>
      <c r="AT134" s="61" t="n">
        <v>0</v>
      </c>
      <c r="AU134" s="61" t="str">
        <f aca="false">SUBSTITUTE(SUBSTITUTE(SUBSTITUTE(SUBSTITUTE(SUBSTITUTE(SUBSTITUTE(SUBSTITUTE(SUBSTITUTE(SUBSTITUTE(SUBSTITUTE(SUBSTITUTE(SUBSTITUTE(SUBSTITUTE(SUBSTITUTE(SUBSTITUTE(SUBSTITUTE(LOWER(T134&amp;""),CHAR(10),""),CHAR(13),""),CHAR(9),""),CHAR(160),"")," ",""),".",""),"-",""),"/",""),"?",""),"_",""),",",""),"[",""),"]",""),"(",""),")",""),"*","")</f>
        <v/>
      </c>
      <c r="AV134" s="61" t="str">
        <f aca="false">SUBSTITUTE(SUBSTITUTE(SUBSTITUTE(SUBSTITUTE(SUBSTITUTE(SUBSTITUTE(SUBSTITUTE(SUBSTITUTE(SUBSTITUTE(SUBSTITUTE(SUBSTITUTE(SUBSTITUTE(SUBSTITUTE(SUBSTITUTE(SUBSTITUTE(SUBSTITUTE(LOWER(V134&amp;""),CHAR(10),""),CHAR(13),""),CHAR(9),""),CHAR(160),"")," ",""),".",""),"-",""),"/",""),"?",""),"_",""),",",""),"[",""),"]",""),"(",""),")",""),"*","")</f>
        <v/>
      </c>
      <c r="AW134" s="61" t="str">
        <f aca="false">SUBSTITUTE(SUBSTITUTE(SUBSTITUTE(SUBSTITUTE(SUBSTITUTE(SUBSTITUTE(SUBSTITUTE(SUBSTITUTE(SUBSTITUTE(SUBSTITUTE(SUBSTITUTE(SUBSTITUTE(SUBSTITUTE(SUBSTITUTE(SUBSTITUTE(SUBSTITUTE(LOWER(Z134&amp;""),CHAR(10),""),CHAR(13),""),CHAR(9),""),CHAR(160),"")," ",""),".",""),"-",""),"/",""),"?",""),"_",""),",",""),"[",""),"]",""),"(",""),")",""),"*","")</f>
        <v/>
      </c>
      <c r="AX134" s="61" t="str">
        <f aca="false">SUBSTITUTE(SUBSTITUTE(SUBSTITUTE(SUBSTITUTE(SUBSTITUTE(SUBSTITUTE(SUBSTITUTE(SUBSTITUTE(SUBSTITUTE(SUBSTITUTE(SUBSTITUTE(SUBSTITUTE(SUBSTITUTE(SUBSTITUTE(SUBSTITUTE(SUBSTITUTE(LOWER(AE134&amp;""),CHAR(10),""),CHAR(13),""),CHAR(9),""),CHAR(160),"")," ",""),".",""),"-",""),"/",""),"?",""),"_",""),",",""),"[",""),"]",""),"(",""),")",""),"*","")</f>
        <v/>
      </c>
      <c r="AY134" s="61" t="str">
        <f aca="false">SUBSTITUTE(SUBSTITUTE(SUBSTITUTE(SUBSTITUTE(SUBSTITUTE(SUBSTITUTE(SUBSTITUTE(SUBSTITUTE(SUBSTITUTE(SUBSTITUTE(SUBSTITUTE(SUBSTITUTE(SUBSTITUTE(SUBSTITUTE(SUBSTITUTE(SUBSTITUTE(LOWER(W134&amp;""),CHAR(10),""),CHAR(13),""),CHAR(9),""),CHAR(160),"")," ",""),".",""),"-",""),"/",""),"?",""),"_",""),",",""),"[",""),"]",""),"(",""),")",""),"*","")</f>
        <v/>
      </c>
      <c r="AZ134" s="61" t="str">
        <f aca="false">SUBSTITUTE(SUBSTITUTE(SUBSTITUTE(SUBSTITUTE(SUBSTITUTE(SUBSTITUTE(SUBSTITUTE(SUBSTITUTE(SUBSTITUTE(SUBSTITUTE(SUBSTITUTE(SUBSTITUTE(SUBSTITUTE(SUBSTITUTE(SUBSTITUTE(SUBSTITUTE(LOWER(AC134&amp;""),CHAR(10),""),CHAR(13),""),CHAR(9),""),CHAR(160),"")," ",""),".",""),"-",""),"/",""),"?",""),"_",""),",",""),"[",""),"]",""),"(",""),")",""),"*","")</f>
        <v/>
      </c>
      <c r="BA134" s="61" t="str">
        <f aca="false">SUBSTITUTE(SUBSTITUTE(SUBSTITUTE(SUBSTITUTE(SUBSTITUTE(SUBSTITUTE(SUBSTITUTE(SUBSTITUTE(SUBSTITUTE(SUBSTITUTE(SUBSTITUTE(SUBSTITUTE(SUBSTITUTE(SUBSTITUTE(SUBSTITUTE(SUBSTITUTE(LOWER(AA134&amp;""),CHAR(10),""),CHAR(13),""),CHAR(9),""),CHAR(160),"")," ",""),".",""),"-",""),"/",""),"?",""),"_",""),",",""),"[",""),"]",""),"(",""),")",""),"*","")</f>
        <v/>
      </c>
      <c r="BB134" s="61" t="str">
        <f aca="false">IF(AND(TRIM(U134)="Pass",ISNUMBER(AF134)),IF(AF134&lt;&gt;0,"INVALID – qty variance: use Fail or Pass after CA",""),"")&amp;IF(AND(TRIM(U134)="Pass after CA",ISNUMBER(AF134)),IF(AF134&lt;&gt;0,"INVALID – after the corrective action the actual qty must equal expected (update Actual)",""),"")&amp;IF(AND(TRIM(U134)="Pass",TRIM(AB134)&lt;&gt;"",TRIM(AB134)&lt;&gt;"Closed"),"INVALID – corrective action not closed: use Fail, then Pass after CA","")&amp;IF(AND(LEN(BA134)&gt;=2,ISNA(MATCH(LEFT(BA134,255),L_Placeholder,0)),TRIM(AB134)=""),"INVALID – CA status missing for the recorded corrective action","")&amp;IF(AND(TRIM(U134)="Pass after CA",OR(OR(LEN(BA134)&lt;5,ISNUMBER(MATCH(BA134,L_Placeholder,0))),TRIM(AB134)&lt;&gt;"Closed")),"INVALID – corrective action not recorded/closed","")</f>
        <v/>
      </c>
      <c r="BC134" s="61" t="str">
        <f aca="false">" "&amp;TRIM(SUBSTITUTE(SUBSTITUTE(SUBSTITUTE(SUBSTITUTE(SUBSTITUTE(SUBSTITUTE(SUBSTITUTE(SUBSTITUTE(SUBSTITUTE(SUBSTITUTE(SUBSTITUTE(SUBSTITUTE(SUBSTITUTE(SUBSTITUTE(SUBSTITUTE(SUBSTITUTE(SUBSTITUTE(SUBSTITUTE(SUBSTITUTE(SUBSTITUTE(SUBSTITUTE(SUBSTITUTE(SUBSTITUTE(SUBSTITUTE(LOWER(V134&amp;""),CHAR(10)," "),CHAR(13)," "),CHAR(9)," "),CHAR(160)," "),"."," "),","," "),"-"," "),"/"," "),"("," "),")"," "),":"," "),";"," "),"_"," "),"–"," "),"?"," "),"!"," "),"*"," "),"["," "),"]"," "),"'"," "),"#"," "),"+"," "),"&amp;"," "),"\"," "))&amp;" "</f>
        <v>  </v>
      </c>
      <c r="BD134" s="61" t="str">
        <f aca="false">" "&amp;TRIM(SUBSTITUTE(SUBSTITUTE(SUBSTITUTE(SUBSTITUTE(SUBSTITUTE(SUBSTITUTE(SUBSTITUTE(SUBSTITUTE(SUBSTITUTE(SUBSTITUTE(SUBSTITUTE(SUBSTITUTE(SUBSTITUTE(SUBSTITUTE(SUBSTITUTE(SUBSTITUTE(SUBSTITUTE(SUBSTITUTE(SUBSTITUTE(SUBSTITUTE(SUBSTITUTE(SUBSTITUTE(SUBSTITUTE(SUBSTITUTE(LOWER(Z134&amp;""),CHAR(10)," "),CHAR(13)," "),CHAR(9)," "),CHAR(160)," "),"."," "),","," "),"-"," "),"/"," "),"("," "),")"," "),":"," "),";"," "),"_"," "),"–"," "),"?"," "),"!"," "),"*"," "),"["," "),"]"," "),"'"," "),"#"," "),"+"," "),"&amp;"," "),"\"," "))&amp;" "</f>
        <v>  </v>
      </c>
      <c r="BE134" s="61" t="str">
        <f aca="false">" "&amp;TRIM(SUBSTITUTE(SUBSTITUTE(SUBSTITUTE(SUBSTITUTE(SUBSTITUTE(SUBSTITUTE(SUBSTITUTE(SUBSTITUTE(SUBSTITUTE(SUBSTITUTE(SUBSTITUTE(SUBSTITUTE(SUBSTITUTE(SUBSTITUTE(SUBSTITUTE(SUBSTITUTE(SUBSTITUTE(SUBSTITUTE(SUBSTITUTE(SUBSTITUTE(SUBSTITUTE(SUBSTITUTE(SUBSTITUTE(SUBSTITUTE(LOWER(W134&amp;""),CHAR(10)," "),CHAR(13)," "),CHAR(9)," "),CHAR(160)," "),"."," "),","," "),"-"," "),"/"," "),"("," "),")"," "),":"," "),";"," "),"_"," "),"–"," "),"?"," "),"!"," "),"*"," "),"["," "),"]"," "),"'"," "),"#"," "),"+"," "),"&amp;"," "),"\"," "))&amp;" "</f>
        <v>  </v>
      </c>
      <c r="BF134" s="61" t="str">
        <f aca="false">" "&amp;TRIM(SUBSTITUTE(SUBSTITUTE(SUBSTITUTE(SUBSTITUTE(SUBSTITUTE(SUBSTITUTE(SUBSTITUTE(SUBSTITUTE(SUBSTITUTE(SUBSTITUTE(SUBSTITUTE(SUBSTITUTE(SUBSTITUTE(SUBSTITUTE(SUBSTITUTE(SUBSTITUTE(SUBSTITUTE(SUBSTITUTE(SUBSTITUTE(SUBSTITUTE(SUBSTITUTE(SUBSTITUTE(SUBSTITUTE(SUBSTITUTE(LOWER(AC134&amp;""),CHAR(10)," "),CHAR(13)," "),CHAR(9)," "),CHAR(160)," "),"."," "),","," "),"-"," "),"/"," "),"("," "),")"," "),":"," "),";"," "),"_"," "),"–"," "),"?"," "),"!"," "),"*"," "),"["," "),"]"," "),"'"," "),"#"," "),"+"," "),"&amp;"," "),"\"," "))&amp;" "</f>
        <v>  </v>
      </c>
      <c r="BG134" s="61" t="n">
        <f aca="false">IFERROR(IF(AND(TRIM(U134)="Pass",SUMPRODUCT((LEN(BC134)-LEN(SUBSTITUTE(BC134," "&amp;L_ResultBad&amp;" "," ")))/(LEN(L_ResultBad)+1))&gt;SUMPRODUCT((LEN(BC134)-LEN(SUBSTITUTE(BC134," "&amp;L_NegPhrase&amp;" "," ")))/(LEN(L_NegPhrase)+1))),1,0),0)</f>
        <v>0</v>
      </c>
      <c r="BH134" s="61" t="n">
        <f aca="false">IFERROR(IF(SUMPRODUCT((LEN(BC134)-LEN(SUBSTITUTE(BC134," "&amp;L_Pending&amp;" "," ")))/(LEN(L_Pending)+1))&gt;SUMPRODUCT((LEN(BC134)-LEN(SUBSTITUTE(BC134," "&amp;L_PendNeg&amp;" "," ")))/(LEN(L_PendNeg)+1)),1,0),1)</f>
        <v>0</v>
      </c>
      <c r="BI134" s="61" t="n">
        <f aca="false">IFERROR(IF(SUMPRODUCT((LEN(BD134)-LEN(SUBSTITUTE(BD134," "&amp;L_PendStrict&amp;" "," ")))/(LEN(L_PendStrict)+1))&gt;SUMPRODUCT((LEN(BD134)-LEN(SUBSTITUTE(BD134," "&amp;L_PendNeg&amp;" "," ")))/(LEN(L_PendNeg)+1)),1,0),1)</f>
        <v>0</v>
      </c>
      <c r="BJ134" s="61" t="n">
        <f aca="false">IFERROR(IF(SUMPRODUCT((LEN(BE134)-LEN(SUBSTITUTE(BE134," "&amp;L_Pending&amp;" "," ")))/(LEN(L_Pending)+1))&gt;SUMPRODUCT((LEN(BE134)-LEN(SUBSTITUTE(BE134," "&amp;L_PendNeg&amp;" "," ")))/(LEN(L_PendNeg)+1)),1,0),1)</f>
        <v>0</v>
      </c>
      <c r="BK134" s="61" t="n">
        <f aca="false">IFERROR(IF(SUMPRODUCT((LEN(BF134)-LEN(SUBSTITUTE(BF134," "&amp;L_PendStrict&amp;" "," ")))/(LEN(L_PendStrict)+1))&gt;SUMPRODUCT((LEN(BF134)-LEN(SUBSTITUTE(BF134," "&amp;L_PendNeg&amp;" "," ")))/(LEN(L_PendNeg)+1)),1,0),1)</f>
        <v>0</v>
      </c>
      <c r="BL134" s="61" t="n">
        <f aca="false">IF(ISNA(MATCH(TRIM(S134),L_EvidenceType,0)),0,BZ134)</f>
        <v>0</v>
      </c>
      <c r="BM134" s="61" t="str">
        <f aca="false">SUBSTITUTE(SUBSTITUTE(SUBSTITUTE(SUBSTITUTE(SUBSTITUTE(SUBSTITUTE(SUBSTITUTE(SUBSTITUTE(SUBSTITUTE(LOWER(Z134&amp;""),"1","0"),"2","0"),"3","0"),"4","0"),"5","0"),"6","0"),"7","0"),"8","0"),"9","0")</f>
        <v/>
      </c>
      <c r="BN134" s="61" t="str">
        <f aca="false">SUBSTITUTE(SUBSTITUTE(SUBSTITUTE(SUBSTITUTE(SUBSTITUTE(SUBSTITUTE(SUBSTITUTE(SUBSTITUTE(SUBSTITUTE(SUBSTITUTE(SUBSTITUTE(SUBSTITUTE(SUBSTITUTE(SUBSTITUTE(SUBSTITUTE(SUBSTITUTE(SUBSTITUTE(SUBSTITUTE(SUBSTITUTE(SUBSTITUTE(SUBSTITUTE(SUBSTITUTE(SUBSTITUTE(SUBSTITUTE(SUBSTITUTE(BM134,"b","a"),"c","a"),"d","a"),"e","a"),"f","a"),"g","a"),"h","a"),"i","a"),"j","a"),"k","a"),"l","a"),"m","a"),"n","a"),"o","a"),"p","a"),"q","a"),"r","a"),"s","a"),"t","a"),"u","a"),"v","a"),"w","a"),"x","a"),"y","a"),"z","a")</f>
        <v/>
      </c>
      <c r="BO134" s="61" t="str">
        <f aca="false">SUBSTITUTE(SUBSTITUTE(SUBSTITUTE(SUBSTITUTE(SUBSTITUTE(SUBSTITUTE(SUBSTITUTE(SUBSTITUTE(SUBSTITUTE(LOWER(W134&amp;""),"1","0"),"2","0"),"3","0"),"4","0"),"5","0"),"6","0"),"7","0"),"8","0"),"9","0")</f>
        <v/>
      </c>
      <c r="BP134" s="61" t="str">
        <f aca="false">SUBSTITUTE(SUBSTITUTE(SUBSTITUTE(SUBSTITUTE(SUBSTITUTE(SUBSTITUTE(SUBSTITUTE(SUBSTITUTE(SUBSTITUTE(SUBSTITUTE(SUBSTITUTE(SUBSTITUTE(SUBSTITUTE(SUBSTITUTE(SUBSTITUTE(SUBSTITUTE(SUBSTITUTE(SUBSTITUTE(SUBSTITUTE(SUBSTITUTE(SUBSTITUTE(SUBSTITUTE(SUBSTITUTE(SUBSTITUTE(SUBSTITUTE(BO134,"b","a"),"c","a"),"d","a"),"e","a"),"f","a"),"g","a"),"h","a"),"i","a"),"j","a"),"k","a"),"l","a"),"m","a"),"n","a"),"o","a"),"p","a"),"q","a"),"r","a"),"s","a"),"t","a"),"u","a"),"v","a"),"w","a"),"x","a"),"y","a"),"z","a")</f>
        <v/>
      </c>
      <c r="BQ134" s="61" t="n">
        <f aca="false">IFERROR(IF(AND(ISERROR(SEARCH(" mh"," "&amp;LOWER(W134))),ISNA(MATCH(LEFT(TRIM(BP134),255),{"0000a","000a","00a","0000aa","000aa","00aa","0aa","0000aaa","000aaa","00a00","0a00","0000-0000","00:00","a00","a0","00.00.0000","00/00/0000","00-00-0000","0000-00-00","0000/00/00","0000.00.00","00.00.00","00/00/00","00-00-00","0.00.0000","0/00/0000","0-00-0000"},0)),ISNA(MATCH(LEFT(TRIM(CA134),255),{"0000a","000a","00a","0000aa","000aa","00aa","0aa","0000aaa","000aaa","00a00","0a00","0000-0000","00:00","a00","a0","00.00.0000","00/00/0000","00-00-0000","0000-00-00","0000/00/00","0000.00.00","00.00.00","00/00/00","00-00-00","0.00.0000","0/00/0000","0-00-0000"},0)),LEN(CB134)&gt;=3,NOT(OR(SUBSTITUTE(CB134,"0","")="",AND(LEN(CB134)&gt;=4,CB134=REPT(LEFT(CB134),LEN(CB134))),ISNUMBER(MATCH(CB134,{"123","1234","12345","123456","1234567","12345678","0123","01234","012345","98765","987654","54321"},0)),AND(LEN(CB134)=8,LEFT(CB134,3)="202"))),OR(AND((LEN(CA134)-LEN(SUBSTITUTE(CA134,"a","")))&gt;=1,SUMPRODUCT(--ISNUMBER(SEARCH({"a0","a-0","a_0","a/0","a.0","a#0","0a","0-a","0_a","0/a"},BP134)))&gt;0),ISNUMBER(SEARCH("000000",BP134)))),1,0),0)</f>
        <v>0</v>
      </c>
      <c r="BR134" s="61" t="n">
        <f aca="false">IFERROR(LEN(SUBSTITUTE(CC134," ",""))-SUMPRODUCT((LEN(CC134)-LEN(SUBSTITUTE(CC134," "&amp;L_Role&amp;" "," ")))/(LEN(L_Role)+1)*LEN(L_Role)),0)</f>
        <v>0</v>
      </c>
      <c r="BS134" s="61" t="n">
        <f aca="false">IFERROR(LEN(SUBSTITUTE(CD134," ",""))-SUMPRODUCT((LEN(CD134)-LEN(SUBSTITUTE(CD134," "&amp;L_Role&amp;" "," ")))/(LEN(L_Role)+1)*LEN(L_Role)),0)</f>
        <v>0</v>
      </c>
      <c r="BT1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134,"revision",""),"version",""),"jan",""),"feb",""),"mar",""),"apr",""),"may",""),"jun",""),"jul",""),"aug",""),"sep",""),"oct",""),"nov",""),"dec",""),"utc",""),"gmt",""),"myt",""),"bst",""),"rev",""),"ver",""),"b","a"),"c","a"),"d","a"),"e","a"),"f","a"),"g","a"),"h","a"),"i","a"),"j","a"),"k","a"),"l","a"),"m","a"),"n","a"),"o","a"),"p","a"),"q","a"),"r","a"),"s","a"),"t","a"),"u","a"),"v","a"),"w","a"),"x","a"),"y","a"),"z","a")</f>
        <v/>
      </c>
      <c r="BU134" s="61" t="str">
        <f aca="false">SUBSTITUTE(SUBSTITUTE(SUBSTITUTE(SUBSTITUTE(SUBSTITUTE(SUBSTITUTE(SUBSTITUTE(SUBSTITUTE(SUBSTITUTE(SUBSTITUTE(LEFT(BM134,FIND("0",BM134&amp;"0")-1),"-",""),"_",""),"/",""),".",""),"#",""),"\\",""),":","")," ",""),"(",""),")","")</f>
        <v/>
      </c>
      <c r="BV134" s="61" t="n">
        <f aca="false">IFERROR(IF(OR(SUMPRODUCT((LEN(BC134)-LEN(SUBSTITUTE(BC134," "&amp;L_NotLoaded&amp;" "," ")))/(LEN(L_NotLoaded)+1))&gt;SUMPRODUCT((LEN(BC134)-LEN(SUBSTITUTE(BC134," "&amp;L_NotLoadedNeg&amp;" "," ")))/(LEN(L_NotLoadedNeg)+1)),SUMPRODUCT((LEN(BD134)-LEN(SUBSTITUTE(BD134," "&amp;L_NotLoaded&amp;" "," ")))/(LEN(L_NotLoaded)+1))&gt;SUMPRODUCT((LEN(BD134)-LEN(SUBSTITUTE(BD134," "&amp;L_NotLoadedNeg&amp;" "," ")))/(LEN(L_NotLoadedNeg)+1))),1,0),0)</f>
        <v>0</v>
      </c>
      <c r="BW1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134&amp;""),"a",""),"b",""),"c",""),"d",""),"e",""),"f",""),"g",""),"h",""),"i",""),"j",""),"k",""),"l",""),"m",""),"n",""),"o",""),"p",""),"q",""),"r",""),"s",""),"t",""),"u",""),"v",""),"w",""),"x",""),"y",""),"z",""),"-",""),"_",""),"/",""),".",""),"#",""),"\\",""),":","")," ",""),"(",""),")","")</f>
        <v/>
      </c>
      <c r="BX134" s="61" t="str">
        <f aca="false">SUBSTITUTE(SUBSTITUTE(SUBSTITUTE(SUBSTITUTE(SUBSTITUTE(SUBSTITUTE(SUBSTITUTE(SUBSTITUTE(SUBSTITUTE(SUBSTITUTE(SUBSTITUTE(BM134,"0",""),"-",""),"_",""),"/",""),".",""),"#",""),"\\",""),":","")," ",""),"(",""),")","")</f>
        <v/>
      </c>
      <c r="BY134" s="62" t="n">
        <f aca="false">IF(ISNUMBER(Flights!$AZ$8),MAX(Q134-UpliftWindowH/24,Flights!$AZ$8),Q134-UpliftWindowH/24)</f>
        <v>46305.3958333333</v>
      </c>
      <c r="BZ134" s="61" t="n">
        <f aca="false">IFERROR(IF(IF(TRIM(S134)="Link / file path",AND(LEN(TRIM(Z134))&gt;=5,SUMPRODUCT(--ISNUMBER(SEARCH({"http","www.","\\",":\",".pdf",".jpg",".jpeg",".png",".heic",".xls",".doc",".msg",".eml",".ppt",".txt",".zip"},Z134)))&gt;0),AND(ISERROR(FIND(" ",TRIM(Z134))),NOT(OR(SUMPRODUCT(--ISNUMBER(FIND({",",";","&amp;","+"},Z134)))&gt;0,SUMPRODUCT(--ISNUMBER(SEARCH({"0/aa","0\\aa"},BN134)))&gt;0)),NOT(SUMPRODUCT(--ISNUMBER(SEARCH({"http","www.","\\",":\",".pdf",".jpg",".jpeg",".png",".heic",".xls",".doc",".msg",".eml",".ppt",".txt",".zip"},Z134)))&gt;0),NOT(LOWER(TRIM(Z134))=LOWER(Flights!$F$8)),ISNA(MATCH(BU134,{"mh","rev","revision","ver","version","v","r","a","b","seat","tray","row","gate","bay","stand","page","pg","item","line","no","cart","galley","flight","flt","table","box","bag","oven","etd","eta","std","sta","atd","ata","qty","pax","x","time","tel","ph","mob","day","wk","week","utc","gmt","myt","lt"},0)),NOT(OR(ISNUMBER(MATCH(LEFT(BN134,255),{"0000a","000a","00a","0000aa","000aa","00aa","0aa","0000aaa","000aaa","00a00","0a00","0000-0000","00:00","a00","a0","00.00.0000","00/00/0000","00-00-0000","0000-00-00","0000/00/00","0000.00.00","00.00.00","00/00/00","00-00-00","0.00.0000","0/00/0000","0-00-0000"},0)),ISNUMBER(MATCH(LEFT(BT134,255),{"0000a","000a","00a","0000aa","000aa","00aa","0aa","0000aaa","000aaa","00a00","0a00","0000-0000","00:00","a00","a0","00.00.0000","00/00/0000","00-00-0000","0000-00-00","0000/00/00","0000.00.00","00.00.00","00/00/00","00-00-00","0.00.0000","0/00/0000","0-00-0000"},0)))),NOT(OR(AND(BW134&lt;&gt;"",SUBSTITUTE(BW134,"0","")=""),AND(LEN(BW134)&gt;=4,BW134=REPT(LEFT(BW134),LEN(BW134))),ISNUMBER(MATCH(BW134,{"123","1234","12345","123456","1234567","12345678","0123","01234","012345","98765","987654","54321"},0)),ISNUMBER(MATCH(BX134,{"x","xx","xxx","xxxx","xxxxx","abc","abcd","nil","na","nan","test","tbc","tba","tbd","dummy","sample","example","eg","zz","zzz","none","null","xyz","qwe","asd","id","ref"},0)),AND(LEN(BW134)=8,BX134="",OR(LEFT(BW134,3)="202",ISNUMBER(MATCH(RIGHT(BW134,4),{"2025","2026","2027"},0)))))),OR(AND((LEN(BT134)-LEN(SUBSTITUTE(BT134,"a","")))&gt;=1,(LEN(BN134)-LEN(SUBSTITUTE(BN134,"0","")))&gt;=2,SUMPRODUCT(--ISNUMBER(SEARCH({"a0","a-0","a_0","a/0","a.0","a#0","0a","0-a","0_a","0/a"},BN134)))&gt;0),AND((LEN(BN134)-LEN(SUBSTITUTE(BN134,"a","")))=0,(LEN(BN134)-LEN(SUBSTITUTE(BN134,"0","")))&gt;=5)))),1,0),0)</f>
        <v>0</v>
      </c>
      <c r="CA1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134,"revision",""),"version",""),"jan",""),"feb",""),"mar",""),"apr",""),"may",""),"jun",""),"jul",""),"aug",""),"sep",""),"oct",""),"nov",""),"dec",""),"utc",""),"gmt",""),"myt",""),"bst",""),"rev",""),"ver",""),"b","a"),"c","a"),"d","a"),"e","a"),"f","a"),"g","a"),"h","a"),"i","a"),"j","a"),"k","a"),"l","a"),"m","a"),"n","a"),"o","a"),"p","a"),"q","a"),"r","a"),"s","a"),"t","a"),"u","a"),"v","a"),"w","a"),"x","a"),"y","a"),"z","a")</f>
        <v/>
      </c>
      <c r="CB1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134&amp;""),"a",""),"b",""),"c",""),"d",""),"e",""),"f",""),"g",""),"h",""),"i",""),"j",""),"k",""),"l",""),"m",""),"n",""),"o",""),"p",""),"q",""),"r",""),"s",""),"t",""),"u",""),"v",""),"w",""),"x",""),"y",""),"z",""),"-",""),"_",""),"/",""),".",""),"#",""),"\\",""),":","")," ",""),"(",""),")","")</f>
        <v/>
      </c>
      <c r="CC134" s="0" t="str">
        <f aca="false">" "&amp;TRIM(SUBSTITUTE(SUBSTITUTE(SUBSTITUTE(SUBSTITUTE(SUBSTITUTE(SUBSTITUTE(SUBSTITUTE(SUBSTITUTE(SUBSTITUTE(SUBSTITUTE(SUBSTITUTE(SUBSTITUTE(SUBSTITUTE(SUBSTITUTE(SUBSTITUTE(SUBSTITUTE(SUBSTITUTE(SUBSTITUTE(SUBSTITUTE(SUBSTITUTE(SUBSTITUTE(SUBSTITUTE(SUBSTITUTE(SUBSTITUTE(LOWER(T134&amp;""),CHAR(10)," "),CHAR(13)," "),CHAR(9)," "),CHAR(160)," "),"."," "),","," "),"-"," "),"/"," "),"("," "),")"," "),":"," "),";"," "),"_"," "),"–"," "),"?"," "),"!"," "),"*"," "),"["," "),"]"," "),"'"," "),"#"," "),"+"," "),"&amp;"," "),"\"," "))&amp;" "</f>
        <v>  </v>
      </c>
      <c r="CD134" s="0" t="str">
        <f aca="false">" "&amp;TRIM(SUBSTITUTE(SUBSTITUTE(SUBSTITUTE(SUBSTITUTE(SUBSTITUTE(SUBSTITUTE(SUBSTITUTE(SUBSTITUTE(SUBSTITUTE(SUBSTITUTE(SUBSTITUTE(SUBSTITUTE(SUBSTITUTE(SUBSTITUTE(SUBSTITUTE(SUBSTITUTE(SUBSTITUTE(SUBSTITUTE(SUBSTITUTE(SUBSTITUTE(SUBSTITUTE(SUBSTITUTE(SUBSTITUTE(SUBSTITUTE(LOWER(AE134&amp;""),CHAR(10)," "),CHAR(13)," "),CHAR(9)," "),CHAR(160)," "),"."," "),","," "),"-"," "),"/"," "),"("," "),")"," "),":"," "),";"," "),"_"," "),"–"," "),"?"," "),"!"," "),"*"," "),"["," "),"]"," "),"'"," "),"#"," "),"+"," "),"&amp;"," "),"\"," "))&amp;" "</f>
        <v>  </v>
      </c>
      <c r="CE134" s="68" t="n">
        <f aca="false">IFERROR(IF(AND(LEN(AU134)&gt;0,LEN(AU134)=LEN(AX134),OR(TRIM(MID(SUBSTITUTE(TRIM(CC134)," ",REPT(" ",60)),1,60))="",ISNUMBER(SEARCH(" "&amp;TRIM(MID(SUBSTITUTE(TRIM(CC134)," ",REPT(" ",60)),1,60))&amp;" ",CD134))),OR(TRIM(MID(SUBSTITUTE(TRIM(CC134)," ",REPT(" ",60)),61,60))="",ISNUMBER(SEARCH(" "&amp;TRIM(MID(SUBSTITUTE(TRIM(CC134)," ",REPT(" ",60)),61,60))&amp;" ",CD134))),OR(TRIM(MID(SUBSTITUTE(TRIM(CC134)," ",REPT(" ",60)),121,60))="",ISNUMBER(SEARCH(" "&amp;TRIM(MID(SUBSTITUTE(TRIM(CC134)," ",REPT(" ",60)),121,60))&amp;" ",CD134)))),1,0),0)</f>
        <v>0</v>
      </c>
      <c r="CG134" s="68" t="n">
        <f aca="false">IFERROR(LEN(SUBSTITUTE(BF134," ",""))-SUMPRODUCT((LEN(BF134)-LEN(SUBSTITUTE(BF134," "&amp;L_NAFiller&amp;" "," ")))/(LEN(L_NAFiller)+1)*LEN(L_NAFiller)),0)</f>
        <v>0</v>
      </c>
    </row>
    <row r="135" customFormat="false" ht="39.75" hidden="false" customHeight="true" outlineLevel="0" collapsed="false">
      <c r="A135" s="57" t="s">
        <v>656</v>
      </c>
      <c r="B135" s="57" t="s">
        <v>218</v>
      </c>
      <c r="C135" s="57" t="str">
        <f aca="false">Flights!$F$8</f>
        <v>MH0088</v>
      </c>
      <c r="D135" s="58" t="n">
        <f aca="false">Flights!$D$8</f>
        <v>46305</v>
      </c>
      <c r="E135" s="57" t="str">
        <f aca="false">Flights!$G$8&amp;"-"&amp;Flights!$H$8</f>
        <v>KUL-NRT</v>
      </c>
      <c r="F135" s="57" t="str">
        <f aca="false">Flights!$K$8</f>
        <v>BC</v>
      </c>
      <c r="G135" s="57" t="s">
        <v>459</v>
      </c>
      <c r="H135" s="57" t="s">
        <v>460</v>
      </c>
      <c r="I135" s="57" t="s">
        <v>629</v>
      </c>
      <c r="J135" s="57" t="s">
        <v>657</v>
      </c>
      <c r="K135" s="67" t="s">
        <v>501</v>
      </c>
      <c r="L135" s="67" t="s">
        <v>631</v>
      </c>
      <c r="M135" s="67" t="s">
        <v>187</v>
      </c>
      <c r="N135" s="67" t="s">
        <v>383</v>
      </c>
      <c r="O135" s="67" t="s">
        <v>632</v>
      </c>
      <c r="P135" s="57" t="s">
        <v>187</v>
      </c>
      <c r="Q135" s="59" t="n">
        <f aca="false">ROUND((Flights!$AF$8)*1440,0)/1440</f>
        <v>46305.6458333333</v>
      </c>
      <c r="R135" s="59" t="n">
        <f aca="false">Q135+(IF(AND(INDEX(TZ_DSTS,MATCH(P135,TZ_STN,0))&lt;&gt;"",Q135&gt;=INDEX(TZ_DSTS,MATCH(P135,TZ_STN,0)),Q135&lt;INDEX(TZ_DSTE,MATCH(P135,TZ_STN,0))),INDEX(TZ_DST,MATCH(P135,TZ_STN,0)),INDEX(TZ_STD,MATCH(P135,TZ_STN,0))))/24</f>
        <v>46305.9791666667</v>
      </c>
      <c r="S135" s="60"/>
      <c r="T135" s="60"/>
      <c r="U135" s="60"/>
      <c r="V135" s="60"/>
      <c r="W135" s="61"/>
      <c r="X135" s="60"/>
      <c r="Y135" s="60"/>
      <c r="Z135" s="60"/>
      <c r="AA135" s="60"/>
      <c r="AB135" s="60"/>
      <c r="AC135" s="60"/>
      <c r="AD135" s="66"/>
      <c r="AE135" s="60"/>
      <c r="AF135" s="61" t="str">
        <f aca="false">IF(AND(ISNUMBER(X135),ISNUMBER(Y135)),Y135-X135,"")</f>
        <v/>
      </c>
      <c r="AG135" s="62" t="str">
        <f aca="false">IF(ISNUMBER(AD135),AD135-(IF(AND(INDEX(TZ_DSTS,MATCH(P135,TZ_STN,0))&lt;&gt;"",(AD135-INDEX(TZ_STD,MATCH(P135,TZ_STN,0))/24)&gt;=INDEX(TZ_DSTS,MATCH(P135,TZ_STN,0)),(AD135-INDEX(TZ_STD,MATCH(P135,TZ_STN,0))/24)&lt;INDEX(TZ_DSTE,MATCH(P135,TZ_STN,0))),INDEX(TZ_DST,MATCH(P135,TZ_STN,0)),INDEX(TZ_STD,MATCH(P135,TZ_STN,0))))/24,"")</f>
        <v/>
      </c>
      <c r="AH135" s="65" t="str">
        <f aca="false">IFERROR(IF(N135="N/A – rule",IF(OR(TRIM(U135)="",TRIM(U135)="N/A",TRIM(U135)="Not started"),"N/A – RULE","INVALID – this check does not apply to this aircraft: clear the status (or correct the fleet on Flights)"),IF(TRIM(U135)="N/A",IF(AT135=0,"INVALID – N/A not permitted for this check",IF(AND(TRIM(AB135)&lt;&gt;"",TRIM(AB135)&lt;&gt;"Closed"),"INVALID – corrective action still open",IF(AND(NOT(OR(LEN(AZ135)&lt;15,ISNUMBER(MATCH(AZ135,L_Placeholder,0)))),BK135=0,CG135&gt;=8,NOT(OR(LEN(AU135)&lt;2,ISNUMBER(MATCH(AU135,L_Placeholder,0)))),BR135&gt;=3,NOT(OR(LEN(AX135)&lt;2,ISNUMBER(MATCH(AX135,L_Placeholder,0)))),BS135&gt;=3,TRIM(AE135)&lt;&gt;TRIM(T135),AX135&lt;&gt;AU135,CE135=0),"N/A – JUSTIFIED","INVALID – N/A needs a real, settled reason (not 'not applicable' / 'as above' / TBC), a named PIC and a different named verifier"))),IF(OR(TRIM(U135)="Pass",TRIM(U135)="Pass after CA"),IF(NOT(ISNUMBER(AD135)),"INVALID – completion time missing",IF(OR(OR(LEN(AU135)&lt;2,ISNUMBER(MATCH(AU135,L_Placeholder,0))),BR135&lt;3),"INVALID – PIC missing or not a named person (a role such as QA / CSM is not a name)",IF(OR(LEN(AV135)&lt;2,ISNUMBER(MATCH(AV135,L_Placeholder,0))),"INVALID – result / assessment missing",IF(OR(OR(LEN(AW135)&lt;3,ISNUMBER(MATCH(AW135,L_Placeholder,0))),SUMPRODUCT(--ISNUMBER(SEARCH(" "&amp;L_EvidencePhrase&amp;" ",BD135)))&gt;0,BI135=1),"INVALID – evidence missing, placeholder or not yet on file",IF(ISNA(MATCH(TRIM(S135),L_EvidenceType,0)),"INVALID – choose the evidence type from the list (column S)",IF(BL135=0,"INVALID – evidence ID must be the record's own ID only (e.g. SF-2210, IMG_2231, 1045521); a link / file name needs type 'Link / file path'",IF(OR(OR(LEN(AX135)&lt;2,ISNUMBER(MATCH(AX135,L_Placeholder,0))),BS135&lt;3),"INVALID – verifier missing or not a named person (a role such as QA / CSM is not a name)",IF(OR(AX135=AU135,CE135=1,AND(LEN(AU135)&gt;=4,ISNUMBER(SEARCH(AU135,AX135))),AND(LEN(AX135)&gt;=4,ISNUMBER(SEARCH(AX135,AU135)))),"INVALID – verifier must be a different, named person (not the PIC or a role)",IF(BH135=1,"INVALID – result not yet available (awaiting / TBC)",IF(BG135=1,"INVALID – result describes a problem: record Fail, then Pass after CA (or reword if it is not a problem)",IF(BV135=1,"INVALID – wording says not on board: an on-board confirmation needs the item loaded",IF(AND(AQ135=1,OR(OR(LEN(AY135)&lt;3,ISNUMBER(MATCH(AY135,L_Placeholder,0))),BJ135=1,BQ135=0)),"INVALID – batch ID missing, placeholder or not an ID (e.g. PASB-261008-BC-017)",IF(AND(AR135=1,OR(NOT(ISNUMBER(X135)),NOT(ISNUMBER(Y135)))),"INVALID – expected/actual qty missing",IF(AND(AR135=1,OR(X135&lt;=0,Y135&lt;0)),"INVALID – expected qty must be above 0 and actual not negative",IF(AH119="N/A – JUSTIFIED","INVALID – preparation row F04-T12-20 is N/A",IF(AND(AR135=1,ISNUMBER(X119),X135&lt;&gt;X119,TRIM(U135)&lt;&gt;"Pass after CA"),"INVALID – expected qty differs from preparation check F04-T12-20: record the load change as a corrective action (Pass after CA)",IF(BB135&lt;&gt;"",BB135,IF(AND(AS135=1,Documents!$J$8&lt;&gt;"ON FILE"),"INVALID – GLD not on file (Documents sheet)",IF(AND(AS135=2,Documents!$O$8&lt;&gt;"ON FILE"),"INVALID – menu checklist not on file (Documents sheet)",IF(AND(AS135=3,NOT(ISNUMBER(Flights!$AX$8))),"INVALID – enter carrying flight KUL departure (Flights AX)",IF(AND(AS135=3,OR(Flights!$AZ$8&gt;Flights!$AA$8,Flights!$AX$8&lt;Flights!$AA$8-3)),"INVALID – carrying flight (Flights AX) cannot arrive before this leg's STD, or is over 3 days early",IF(AG135&gt;AsOfUTC,"INVALID – completion time is in the future",IF(AND(ISNUMBER(BY135),AG135&lt;BY135),IF(H135="Physical uplift","INVALID – before uplift window (cannot confirm loading)","INVALID – before valid window"),IF(AG135&gt;Flights!$AA$8,"INVALID – completed after departure (cannot establish readiness)",IF(AND(H135="Preparation",AG135&gt;=IF(ISNUMBER(Flights!$BA$8),MIN(Flights!$BA$8,Flights!$AA$8),Flights!$AA$8)),"INVALID – completed after loading / departure (cannot establish readiness)",IF(AND(H135="Physical uplift",AG135&gt;Q135),"INVALID – recorded after the loading flight departed",IF(AG135&gt;Q135,"COMPLETE – LATE","COMPLETE"))))))))))))))))))))))))))),IF(TRIM(U135)="Fail","FAIL – DISCREPANCY",IF(AND(TRIM(U135)&lt;&gt;"",TRIM(U135)&lt;&gt;"Not started",TRIM(U135)&lt;&gt;"In progress"),"INVALID – unrecognised status (use the list)",IF(AsOfUTC&gt;Q135,"OVERDUE",IF(N135="Clarification required","OPEN – CLARIFICATION","OPEN"))))))),"INVALID – error value in an input cell")</f>
        <v>OPEN</v>
      </c>
      <c r="AI135" s="61" t="n">
        <f aca="false">IF(OR(AH135="N/A – RULE",AH135="N/A – JUSTIFIED"),0,1)</f>
        <v>1</v>
      </c>
      <c r="AJ135" s="61" t="n">
        <f aca="false">IF(LEFT(AH135,8)="COMPLETE",1,0)</f>
        <v>0</v>
      </c>
      <c r="AK135" s="61" t="n">
        <f aca="false">IF(AND(AI135=1,AJ135=0,AsOfUTC&gt;Q135),1,0)</f>
        <v>0</v>
      </c>
      <c r="AL135" s="61" t="n">
        <f aca="false">IFERROR(IF(AND(AI135=1,OR(TRIM(U135)="Fail",AND(TRIM(AB135)&lt;&gt;"",TRIM(AB135)&lt;&gt;"Closed"),AND(ISNUMBER(AF135),AF135&lt;&gt;0,TRIM(U135)&lt;&gt;"Pass after CA"))),1,0),1)</f>
        <v>0</v>
      </c>
      <c r="AM135" s="61" t="n">
        <f aca="false">IF(LEFT(AH135,7)="INVALID",1,0)</f>
        <v>0</v>
      </c>
      <c r="AN135" s="61" t="n">
        <f aca="false">IF(AND(N135="Clarification required",AI135=1,AJ135=0),1,0)</f>
        <v>0</v>
      </c>
      <c r="AO135" s="61" t="str">
        <f aca="false">IF(AK135=1,SUM(AK$5:AK135),"")</f>
        <v/>
      </c>
      <c r="AP135" s="61" t="str">
        <f aca="false">IF(AL135=1,SUM(AL$5:AL135),"")</f>
        <v/>
      </c>
      <c r="AQ135" s="61" t="n">
        <v>0</v>
      </c>
      <c r="AR135" s="61" t="n">
        <v>0</v>
      </c>
      <c r="AS135" s="61" t="n">
        <v>0</v>
      </c>
      <c r="AT135" s="61" t="n">
        <v>0</v>
      </c>
      <c r="AU135" s="61" t="str">
        <f aca="false">SUBSTITUTE(SUBSTITUTE(SUBSTITUTE(SUBSTITUTE(SUBSTITUTE(SUBSTITUTE(SUBSTITUTE(SUBSTITUTE(SUBSTITUTE(SUBSTITUTE(SUBSTITUTE(SUBSTITUTE(SUBSTITUTE(SUBSTITUTE(SUBSTITUTE(SUBSTITUTE(LOWER(T135&amp;""),CHAR(10),""),CHAR(13),""),CHAR(9),""),CHAR(160),"")," ",""),".",""),"-",""),"/",""),"?",""),"_",""),",",""),"[",""),"]",""),"(",""),")",""),"*","")</f>
        <v/>
      </c>
      <c r="AV135" s="61" t="str">
        <f aca="false">SUBSTITUTE(SUBSTITUTE(SUBSTITUTE(SUBSTITUTE(SUBSTITUTE(SUBSTITUTE(SUBSTITUTE(SUBSTITUTE(SUBSTITUTE(SUBSTITUTE(SUBSTITUTE(SUBSTITUTE(SUBSTITUTE(SUBSTITUTE(SUBSTITUTE(SUBSTITUTE(LOWER(V135&amp;""),CHAR(10),""),CHAR(13),""),CHAR(9),""),CHAR(160),"")," ",""),".",""),"-",""),"/",""),"?",""),"_",""),",",""),"[",""),"]",""),"(",""),")",""),"*","")</f>
        <v/>
      </c>
      <c r="AW135" s="61" t="str">
        <f aca="false">SUBSTITUTE(SUBSTITUTE(SUBSTITUTE(SUBSTITUTE(SUBSTITUTE(SUBSTITUTE(SUBSTITUTE(SUBSTITUTE(SUBSTITUTE(SUBSTITUTE(SUBSTITUTE(SUBSTITUTE(SUBSTITUTE(SUBSTITUTE(SUBSTITUTE(SUBSTITUTE(LOWER(Z135&amp;""),CHAR(10),""),CHAR(13),""),CHAR(9),""),CHAR(160),"")," ",""),".",""),"-",""),"/",""),"?",""),"_",""),",",""),"[",""),"]",""),"(",""),")",""),"*","")</f>
        <v/>
      </c>
      <c r="AX135" s="61" t="str">
        <f aca="false">SUBSTITUTE(SUBSTITUTE(SUBSTITUTE(SUBSTITUTE(SUBSTITUTE(SUBSTITUTE(SUBSTITUTE(SUBSTITUTE(SUBSTITUTE(SUBSTITUTE(SUBSTITUTE(SUBSTITUTE(SUBSTITUTE(SUBSTITUTE(SUBSTITUTE(SUBSTITUTE(LOWER(AE135&amp;""),CHAR(10),""),CHAR(13),""),CHAR(9),""),CHAR(160),"")," ",""),".",""),"-",""),"/",""),"?",""),"_",""),",",""),"[",""),"]",""),"(",""),")",""),"*","")</f>
        <v/>
      </c>
      <c r="AY135" s="61" t="str">
        <f aca="false">SUBSTITUTE(SUBSTITUTE(SUBSTITUTE(SUBSTITUTE(SUBSTITUTE(SUBSTITUTE(SUBSTITUTE(SUBSTITUTE(SUBSTITUTE(SUBSTITUTE(SUBSTITUTE(SUBSTITUTE(SUBSTITUTE(SUBSTITUTE(SUBSTITUTE(SUBSTITUTE(LOWER(W135&amp;""),CHAR(10),""),CHAR(13),""),CHAR(9),""),CHAR(160),"")," ",""),".",""),"-",""),"/",""),"?",""),"_",""),",",""),"[",""),"]",""),"(",""),")",""),"*","")</f>
        <v/>
      </c>
      <c r="AZ135" s="61" t="str">
        <f aca="false">SUBSTITUTE(SUBSTITUTE(SUBSTITUTE(SUBSTITUTE(SUBSTITUTE(SUBSTITUTE(SUBSTITUTE(SUBSTITUTE(SUBSTITUTE(SUBSTITUTE(SUBSTITUTE(SUBSTITUTE(SUBSTITUTE(SUBSTITUTE(SUBSTITUTE(SUBSTITUTE(LOWER(AC135&amp;""),CHAR(10),""),CHAR(13),""),CHAR(9),""),CHAR(160),"")," ",""),".",""),"-",""),"/",""),"?",""),"_",""),",",""),"[",""),"]",""),"(",""),")",""),"*","")</f>
        <v/>
      </c>
      <c r="BA135" s="61" t="str">
        <f aca="false">SUBSTITUTE(SUBSTITUTE(SUBSTITUTE(SUBSTITUTE(SUBSTITUTE(SUBSTITUTE(SUBSTITUTE(SUBSTITUTE(SUBSTITUTE(SUBSTITUTE(SUBSTITUTE(SUBSTITUTE(SUBSTITUTE(SUBSTITUTE(SUBSTITUTE(SUBSTITUTE(LOWER(AA135&amp;""),CHAR(10),""),CHAR(13),""),CHAR(9),""),CHAR(160),"")," ",""),".",""),"-",""),"/",""),"?",""),"_",""),",",""),"[",""),"]",""),"(",""),")",""),"*","")</f>
        <v/>
      </c>
      <c r="BB135" s="61" t="str">
        <f aca="false">IF(AND(TRIM(U135)="Pass",ISNUMBER(AF135)),IF(AF135&lt;&gt;0,"INVALID – qty variance: use Fail or Pass after CA",""),"")&amp;IF(AND(TRIM(U135)="Pass after CA",ISNUMBER(AF135)),IF(AF135&lt;&gt;0,"INVALID – after the corrective action the actual qty must equal expected (update Actual)",""),"")&amp;IF(AND(TRIM(U135)="Pass",TRIM(AB135)&lt;&gt;"",TRIM(AB135)&lt;&gt;"Closed"),"INVALID – corrective action not closed: use Fail, then Pass after CA","")&amp;IF(AND(LEN(BA135)&gt;=2,ISNA(MATCH(LEFT(BA135,255),L_Placeholder,0)),TRIM(AB135)=""),"INVALID – CA status missing for the recorded corrective action","")&amp;IF(AND(TRIM(U135)="Pass after CA",OR(OR(LEN(BA135)&lt;5,ISNUMBER(MATCH(BA135,L_Placeholder,0))),TRIM(AB135)&lt;&gt;"Closed")),"INVALID – corrective action not recorded/closed","")</f>
        <v/>
      </c>
      <c r="BC135" s="61" t="str">
        <f aca="false">" "&amp;TRIM(SUBSTITUTE(SUBSTITUTE(SUBSTITUTE(SUBSTITUTE(SUBSTITUTE(SUBSTITUTE(SUBSTITUTE(SUBSTITUTE(SUBSTITUTE(SUBSTITUTE(SUBSTITUTE(SUBSTITUTE(SUBSTITUTE(SUBSTITUTE(SUBSTITUTE(SUBSTITUTE(SUBSTITUTE(SUBSTITUTE(SUBSTITUTE(SUBSTITUTE(SUBSTITUTE(SUBSTITUTE(SUBSTITUTE(SUBSTITUTE(LOWER(V135&amp;""),CHAR(10)," "),CHAR(13)," "),CHAR(9)," "),CHAR(160)," "),"."," "),","," "),"-"," "),"/"," "),"("," "),")"," "),":"," "),";"," "),"_"," "),"–"," "),"?"," "),"!"," "),"*"," "),"["," "),"]"," "),"'"," "),"#"," "),"+"," "),"&amp;"," "),"\"," "))&amp;" "</f>
        <v>  </v>
      </c>
      <c r="BD135" s="61" t="str">
        <f aca="false">" "&amp;TRIM(SUBSTITUTE(SUBSTITUTE(SUBSTITUTE(SUBSTITUTE(SUBSTITUTE(SUBSTITUTE(SUBSTITUTE(SUBSTITUTE(SUBSTITUTE(SUBSTITUTE(SUBSTITUTE(SUBSTITUTE(SUBSTITUTE(SUBSTITUTE(SUBSTITUTE(SUBSTITUTE(SUBSTITUTE(SUBSTITUTE(SUBSTITUTE(SUBSTITUTE(SUBSTITUTE(SUBSTITUTE(SUBSTITUTE(SUBSTITUTE(LOWER(Z135&amp;""),CHAR(10)," "),CHAR(13)," "),CHAR(9)," "),CHAR(160)," "),"."," "),","," "),"-"," "),"/"," "),"("," "),")"," "),":"," "),";"," "),"_"," "),"–"," "),"?"," "),"!"," "),"*"," "),"["," "),"]"," "),"'"," "),"#"," "),"+"," "),"&amp;"," "),"\"," "))&amp;" "</f>
        <v>  </v>
      </c>
      <c r="BE135" s="61" t="str">
        <f aca="false">" "&amp;TRIM(SUBSTITUTE(SUBSTITUTE(SUBSTITUTE(SUBSTITUTE(SUBSTITUTE(SUBSTITUTE(SUBSTITUTE(SUBSTITUTE(SUBSTITUTE(SUBSTITUTE(SUBSTITUTE(SUBSTITUTE(SUBSTITUTE(SUBSTITUTE(SUBSTITUTE(SUBSTITUTE(SUBSTITUTE(SUBSTITUTE(SUBSTITUTE(SUBSTITUTE(SUBSTITUTE(SUBSTITUTE(SUBSTITUTE(SUBSTITUTE(LOWER(W135&amp;""),CHAR(10)," "),CHAR(13)," "),CHAR(9)," "),CHAR(160)," "),"."," "),","," "),"-"," "),"/"," "),"("," "),")"," "),":"," "),";"," "),"_"," "),"–"," "),"?"," "),"!"," "),"*"," "),"["," "),"]"," "),"'"," "),"#"," "),"+"," "),"&amp;"," "),"\"," "))&amp;" "</f>
        <v>  </v>
      </c>
      <c r="BF135" s="61" t="str">
        <f aca="false">" "&amp;TRIM(SUBSTITUTE(SUBSTITUTE(SUBSTITUTE(SUBSTITUTE(SUBSTITUTE(SUBSTITUTE(SUBSTITUTE(SUBSTITUTE(SUBSTITUTE(SUBSTITUTE(SUBSTITUTE(SUBSTITUTE(SUBSTITUTE(SUBSTITUTE(SUBSTITUTE(SUBSTITUTE(SUBSTITUTE(SUBSTITUTE(SUBSTITUTE(SUBSTITUTE(SUBSTITUTE(SUBSTITUTE(SUBSTITUTE(SUBSTITUTE(LOWER(AC135&amp;""),CHAR(10)," "),CHAR(13)," "),CHAR(9)," "),CHAR(160)," "),"."," "),","," "),"-"," "),"/"," "),"("," "),")"," "),":"," "),";"," "),"_"," "),"–"," "),"?"," "),"!"," "),"*"," "),"["," "),"]"," "),"'"," "),"#"," "),"+"," "),"&amp;"," "),"\"," "))&amp;" "</f>
        <v>  </v>
      </c>
      <c r="BG135" s="61" t="n">
        <f aca="false">IFERROR(IF(AND(TRIM(U135)="Pass",SUMPRODUCT((LEN(BC135)-LEN(SUBSTITUTE(BC135," "&amp;L_ResultBad&amp;" "," ")))/(LEN(L_ResultBad)+1))&gt;SUMPRODUCT((LEN(BC135)-LEN(SUBSTITUTE(BC135," "&amp;L_NegPhrase&amp;" "," ")))/(LEN(L_NegPhrase)+1))),1,0),0)</f>
        <v>0</v>
      </c>
      <c r="BH135" s="61" t="n">
        <f aca="false">IFERROR(IF(SUMPRODUCT((LEN(BC135)-LEN(SUBSTITUTE(BC135," "&amp;L_Pending&amp;" "," ")))/(LEN(L_Pending)+1))&gt;SUMPRODUCT((LEN(BC135)-LEN(SUBSTITUTE(BC135," "&amp;L_PendNeg&amp;" "," ")))/(LEN(L_PendNeg)+1)),1,0),1)</f>
        <v>0</v>
      </c>
      <c r="BI135" s="61" t="n">
        <f aca="false">IFERROR(IF(SUMPRODUCT((LEN(BD135)-LEN(SUBSTITUTE(BD135," "&amp;L_PendStrict&amp;" "," ")))/(LEN(L_PendStrict)+1))&gt;SUMPRODUCT((LEN(BD135)-LEN(SUBSTITUTE(BD135," "&amp;L_PendNeg&amp;" "," ")))/(LEN(L_PendNeg)+1)),1,0),1)</f>
        <v>0</v>
      </c>
      <c r="BJ135" s="61" t="n">
        <f aca="false">IFERROR(IF(SUMPRODUCT((LEN(BE135)-LEN(SUBSTITUTE(BE135," "&amp;L_Pending&amp;" "," ")))/(LEN(L_Pending)+1))&gt;SUMPRODUCT((LEN(BE135)-LEN(SUBSTITUTE(BE135," "&amp;L_PendNeg&amp;" "," ")))/(LEN(L_PendNeg)+1)),1,0),1)</f>
        <v>0</v>
      </c>
      <c r="BK135" s="61" t="n">
        <f aca="false">IFERROR(IF(SUMPRODUCT((LEN(BF135)-LEN(SUBSTITUTE(BF135," "&amp;L_PendStrict&amp;" "," ")))/(LEN(L_PendStrict)+1))&gt;SUMPRODUCT((LEN(BF135)-LEN(SUBSTITUTE(BF135," "&amp;L_PendNeg&amp;" "," ")))/(LEN(L_PendNeg)+1)),1,0),1)</f>
        <v>0</v>
      </c>
      <c r="BL135" s="61" t="n">
        <f aca="false">IF(ISNA(MATCH(TRIM(S135),L_EvidenceType,0)),0,BZ135)</f>
        <v>0</v>
      </c>
      <c r="BM135" s="61" t="str">
        <f aca="false">SUBSTITUTE(SUBSTITUTE(SUBSTITUTE(SUBSTITUTE(SUBSTITUTE(SUBSTITUTE(SUBSTITUTE(SUBSTITUTE(SUBSTITUTE(LOWER(Z135&amp;""),"1","0"),"2","0"),"3","0"),"4","0"),"5","0"),"6","0"),"7","0"),"8","0"),"9","0")</f>
        <v/>
      </c>
      <c r="BN135" s="61" t="str">
        <f aca="false">SUBSTITUTE(SUBSTITUTE(SUBSTITUTE(SUBSTITUTE(SUBSTITUTE(SUBSTITUTE(SUBSTITUTE(SUBSTITUTE(SUBSTITUTE(SUBSTITUTE(SUBSTITUTE(SUBSTITUTE(SUBSTITUTE(SUBSTITUTE(SUBSTITUTE(SUBSTITUTE(SUBSTITUTE(SUBSTITUTE(SUBSTITUTE(SUBSTITUTE(SUBSTITUTE(SUBSTITUTE(SUBSTITUTE(SUBSTITUTE(SUBSTITUTE(BM135,"b","a"),"c","a"),"d","a"),"e","a"),"f","a"),"g","a"),"h","a"),"i","a"),"j","a"),"k","a"),"l","a"),"m","a"),"n","a"),"o","a"),"p","a"),"q","a"),"r","a"),"s","a"),"t","a"),"u","a"),"v","a"),"w","a"),"x","a"),"y","a"),"z","a")</f>
        <v/>
      </c>
      <c r="BO135" s="61" t="str">
        <f aca="false">SUBSTITUTE(SUBSTITUTE(SUBSTITUTE(SUBSTITUTE(SUBSTITUTE(SUBSTITUTE(SUBSTITUTE(SUBSTITUTE(SUBSTITUTE(LOWER(W135&amp;""),"1","0"),"2","0"),"3","0"),"4","0"),"5","0"),"6","0"),"7","0"),"8","0"),"9","0")</f>
        <v/>
      </c>
      <c r="BP135" s="61" t="str">
        <f aca="false">SUBSTITUTE(SUBSTITUTE(SUBSTITUTE(SUBSTITUTE(SUBSTITUTE(SUBSTITUTE(SUBSTITUTE(SUBSTITUTE(SUBSTITUTE(SUBSTITUTE(SUBSTITUTE(SUBSTITUTE(SUBSTITUTE(SUBSTITUTE(SUBSTITUTE(SUBSTITUTE(SUBSTITUTE(SUBSTITUTE(SUBSTITUTE(SUBSTITUTE(SUBSTITUTE(SUBSTITUTE(SUBSTITUTE(SUBSTITUTE(SUBSTITUTE(BO135,"b","a"),"c","a"),"d","a"),"e","a"),"f","a"),"g","a"),"h","a"),"i","a"),"j","a"),"k","a"),"l","a"),"m","a"),"n","a"),"o","a"),"p","a"),"q","a"),"r","a"),"s","a"),"t","a"),"u","a"),"v","a"),"w","a"),"x","a"),"y","a"),"z","a")</f>
        <v/>
      </c>
      <c r="BQ135" s="61" t="n">
        <f aca="false">IFERROR(IF(AND(ISERROR(SEARCH(" mh"," "&amp;LOWER(W135))),ISNA(MATCH(LEFT(TRIM(BP135),255),{"0000a","000a","00a","0000aa","000aa","00aa","0aa","0000aaa","000aaa","00a00","0a00","0000-0000","00:00","a00","a0","00.00.0000","00/00/0000","00-00-0000","0000-00-00","0000/00/00","0000.00.00","00.00.00","00/00/00","00-00-00","0.00.0000","0/00/0000","0-00-0000"},0)),ISNA(MATCH(LEFT(TRIM(CA135),255),{"0000a","000a","00a","0000aa","000aa","00aa","0aa","0000aaa","000aaa","00a00","0a00","0000-0000","00:00","a00","a0","00.00.0000","00/00/0000","00-00-0000","0000-00-00","0000/00/00","0000.00.00","00.00.00","00/00/00","00-00-00","0.00.0000","0/00/0000","0-00-0000"},0)),LEN(CB135)&gt;=3,NOT(OR(SUBSTITUTE(CB135,"0","")="",AND(LEN(CB135)&gt;=4,CB135=REPT(LEFT(CB135),LEN(CB135))),ISNUMBER(MATCH(CB135,{"123","1234","12345","123456","1234567","12345678","0123","01234","012345","98765","987654","54321"},0)),AND(LEN(CB135)=8,LEFT(CB135,3)="202"))),OR(AND((LEN(CA135)-LEN(SUBSTITUTE(CA135,"a","")))&gt;=1,SUMPRODUCT(--ISNUMBER(SEARCH({"a0","a-0","a_0","a/0","a.0","a#0","0a","0-a","0_a","0/a"},BP135)))&gt;0),ISNUMBER(SEARCH("000000",BP135)))),1,0),0)</f>
        <v>0</v>
      </c>
      <c r="BR135" s="61" t="n">
        <f aca="false">IFERROR(LEN(SUBSTITUTE(CC135," ",""))-SUMPRODUCT((LEN(CC135)-LEN(SUBSTITUTE(CC135," "&amp;L_Role&amp;" "," ")))/(LEN(L_Role)+1)*LEN(L_Role)),0)</f>
        <v>0</v>
      </c>
      <c r="BS135" s="61" t="n">
        <f aca="false">IFERROR(LEN(SUBSTITUTE(CD135," ",""))-SUMPRODUCT((LEN(CD135)-LEN(SUBSTITUTE(CD135," "&amp;L_Role&amp;" "," ")))/(LEN(L_Role)+1)*LEN(L_Role)),0)</f>
        <v>0</v>
      </c>
      <c r="BT1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135,"revision",""),"version",""),"jan",""),"feb",""),"mar",""),"apr",""),"may",""),"jun",""),"jul",""),"aug",""),"sep",""),"oct",""),"nov",""),"dec",""),"utc",""),"gmt",""),"myt",""),"bst",""),"rev",""),"ver",""),"b","a"),"c","a"),"d","a"),"e","a"),"f","a"),"g","a"),"h","a"),"i","a"),"j","a"),"k","a"),"l","a"),"m","a"),"n","a"),"o","a"),"p","a"),"q","a"),"r","a"),"s","a"),"t","a"),"u","a"),"v","a"),"w","a"),"x","a"),"y","a"),"z","a")</f>
        <v/>
      </c>
      <c r="BU135" s="61" t="str">
        <f aca="false">SUBSTITUTE(SUBSTITUTE(SUBSTITUTE(SUBSTITUTE(SUBSTITUTE(SUBSTITUTE(SUBSTITUTE(SUBSTITUTE(SUBSTITUTE(SUBSTITUTE(LEFT(BM135,FIND("0",BM135&amp;"0")-1),"-",""),"_",""),"/",""),".",""),"#",""),"\\",""),":","")," ",""),"(",""),")","")</f>
        <v/>
      </c>
      <c r="BV135" s="61" t="n">
        <f aca="false">IFERROR(IF(OR(SUMPRODUCT((LEN(BC135)-LEN(SUBSTITUTE(BC135," "&amp;L_NotLoaded&amp;" "," ")))/(LEN(L_NotLoaded)+1))&gt;SUMPRODUCT((LEN(BC135)-LEN(SUBSTITUTE(BC135," "&amp;L_NotLoadedNeg&amp;" "," ")))/(LEN(L_NotLoadedNeg)+1)),SUMPRODUCT((LEN(BD135)-LEN(SUBSTITUTE(BD135," "&amp;L_NotLoaded&amp;" "," ")))/(LEN(L_NotLoaded)+1))&gt;SUMPRODUCT((LEN(BD135)-LEN(SUBSTITUTE(BD135," "&amp;L_NotLoadedNeg&amp;" "," ")))/(LEN(L_NotLoadedNeg)+1))),1,0),0)</f>
        <v>0</v>
      </c>
      <c r="BW1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135&amp;""),"a",""),"b",""),"c",""),"d",""),"e",""),"f",""),"g",""),"h",""),"i",""),"j",""),"k",""),"l",""),"m",""),"n",""),"o",""),"p",""),"q",""),"r",""),"s",""),"t",""),"u",""),"v",""),"w",""),"x",""),"y",""),"z",""),"-",""),"_",""),"/",""),".",""),"#",""),"\\",""),":","")," ",""),"(",""),")","")</f>
        <v/>
      </c>
      <c r="BX135" s="61" t="str">
        <f aca="false">SUBSTITUTE(SUBSTITUTE(SUBSTITUTE(SUBSTITUTE(SUBSTITUTE(SUBSTITUTE(SUBSTITUTE(SUBSTITUTE(SUBSTITUTE(SUBSTITUTE(SUBSTITUTE(BM135,"0",""),"-",""),"_",""),"/",""),".",""),"#",""),"\\",""),":","")," ",""),"(",""),")","")</f>
        <v/>
      </c>
      <c r="BY135" s="62" t="n">
        <f aca="false">IF(ISNUMBER(Flights!$AZ$8),MAX(Q135-UpliftWindowH/24,Flights!$AZ$8),Q135-UpliftWindowH/24)</f>
        <v>46305.3958333333</v>
      </c>
      <c r="BZ135" s="61" t="n">
        <f aca="false">IFERROR(IF(IF(TRIM(S135)="Link / file path",AND(LEN(TRIM(Z135))&gt;=5,SUMPRODUCT(--ISNUMBER(SEARCH({"http","www.","\\",":\",".pdf",".jpg",".jpeg",".png",".heic",".xls",".doc",".msg",".eml",".ppt",".txt",".zip"},Z135)))&gt;0),AND(ISERROR(FIND(" ",TRIM(Z135))),NOT(OR(SUMPRODUCT(--ISNUMBER(FIND({",",";","&amp;","+"},Z135)))&gt;0,SUMPRODUCT(--ISNUMBER(SEARCH({"0/aa","0\\aa"},BN135)))&gt;0)),NOT(SUMPRODUCT(--ISNUMBER(SEARCH({"http","www.","\\",":\",".pdf",".jpg",".jpeg",".png",".heic",".xls",".doc",".msg",".eml",".ppt",".txt",".zip"},Z135)))&gt;0),NOT(LOWER(TRIM(Z135))=LOWER(Flights!$F$8)),ISNA(MATCH(BU135,{"mh","rev","revision","ver","version","v","r","a","b","seat","tray","row","gate","bay","stand","page","pg","item","line","no","cart","galley","flight","flt","table","box","bag","oven","etd","eta","std","sta","atd","ata","qty","pax","x","time","tel","ph","mob","day","wk","week","utc","gmt","myt","lt"},0)),NOT(OR(ISNUMBER(MATCH(LEFT(BN135,255),{"0000a","000a","00a","0000aa","000aa","00aa","0aa","0000aaa","000aaa","00a00","0a00","0000-0000","00:00","a00","a0","00.00.0000","00/00/0000","00-00-0000","0000-00-00","0000/00/00","0000.00.00","00.00.00","00/00/00","00-00-00","0.00.0000","0/00/0000","0-00-0000"},0)),ISNUMBER(MATCH(LEFT(BT135,255),{"0000a","000a","00a","0000aa","000aa","00aa","0aa","0000aaa","000aaa","00a00","0a00","0000-0000","00:00","a00","a0","00.00.0000","00/00/0000","00-00-0000","0000-00-00","0000/00/00","0000.00.00","00.00.00","00/00/00","00-00-00","0.00.0000","0/00/0000","0-00-0000"},0)))),NOT(OR(AND(BW135&lt;&gt;"",SUBSTITUTE(BW135,"0","")=""),AND(LEN(BW135)&gt;=4,BW135=REPT(LEFT(BW135),LEN(BW135))),ISNUMBER(MATCH(BW135,{"123","1234","12345","123456","1234567","12345678","0123","01234","012345","98765","987654","54321"},0)),ISNUMBER(MATCH(BX135,{"x","xx","xxx","xxxx","xxxxx","abc","abcd","nil","na","nan","test","tbc","tba","tbd","dummy","sample","example","eg","zz","zzz","none","null","xyz","qwe","asd","id","ref"},0)),AND(LEN(BW135)=8,BX135="",OR(LEFT(BW135,3)="202",ISNUMBER(MATCH(RIGHT(BW135,4),{"2025","2026","2027"},0)))))),OR(AND((LEN(BT135)-LEN(SUBSTITUTE(BT135,"a","")))&gt;=1,(LEN(BN135)-LEN(SUBSTITUTE(BN135,"0","")))&gt;=2,SUMPRODUCT(--ISNUMBER(SEARCH({"a0","a-0","a_0","a/0","a.0","a#0","0a","0-a","0_a","0/a"},BN135)))&gt;0),AND((LEN(BN135)-LEN(SUBSTITUTE(BN135,"a","")))=0,(LEN(BN135)-LEN(SUBSTITUTE(BN135,"0","")))&gt;=5)))),1,0),0)</f>
        <v>0</v>
      </c>
      <c r="CA1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135,"revision",""),"version",""),"jan",""),"feb",""),"mar",""),"apr",""),"may",""),"jun",""),"jul",""),"aug",""),"sep",""),"oct",""),"nov",""),"dec",""),"utc",""),"gmt",""),"myt",""),"bst",""),"rev",""),"ver",""),"b","a"),"c","a"),"d","a"),"e","a"),"f","a"),"g","a"),"h","a"),"i","a"),"j","a"),"k","a"),"l","a"),"m","a"),"n","a"),"o","a"),"p","a"),"q","a"),"r","a"),"s","a"),"t","a"),"u","a"),"v","a"),"w","a"),"x","a"),"y","a"),"z","a")</f>
        <v/>
      </c>
      <c r="CB1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135&amp;""),"a",""),"b",""),"c",""),"d",""),"e",""),"f",""),"g",""),"h",""),"i",""),"j",""),"k",""),"l",""),"m",""),"n",""),"o",""),"p",""),"q",""),"r",""),"s",""),"t",""),"u",""),"v",""),"w",""),"x",""),"y",""),"z",""),"-",""),"_",""),"/",""),".",""),"#",""),"\\",""),":","")," ",""),"(",""),")","")</f>
        <v/>
      </c>
      <c r="CC135" s="0" t="str">
        <f aca="false">" "&amp;TRIM(SUBSTITUTE(SUBSTITUTE(SUBSTITUTE(SUBSTITUTE(SUBSTITUTE(SUBSTITUTE(SUBSTITUTE(SUBSTITUTE(SUBSTITUTE(SUBSTITUTE(SUBSTITUTE(SUBSTITUTE(SUBSTITUTE(SUBSTITUTE(SUBSTITUTE(SUBSTITUTE(SUBSTITUTE(SUBSTITUTE(SUBSTITUTE(SUBSTITUTE(SUBSTITUTE(SUBSTITUTE(SUBSTITUTE(SUBSTITUTE(LOWER(T135&amp;""),CHAR(10)," "),CHAR(13)," "),CHAR(9)," "),CHAR(160)," "),"."," "),","," "),"-"," "),"/"," "),"("," "),")"," "),":"," "),";"," "),"_"," "),"–"," "),"?"," "),"!"," "),"*"," "),"["," "),"]"," "),"'"," "),"#"," "),"+"," "),"&amp;"," "),"\"," "))&amp;" "</f>
        <v>  </v>
      </c>
      <c r="CD135" s="0" t="str">
        <f aca="false">" "&amp;TRIM(SUBSTITUTE(SUBSTITUTE(SUBSTITUTE(SUBSTITUTE(SUBSTITUTE(SUBSTITUTE(SUBSTITUTE(SUBSTITUTE(SUBSTITUTE(SUBSTITUTE(SUBSTITUTE(SUBSTITUTE(SUBSTITUTE(SUBSTITUTE(SUBSTITUTE(SUBSTITUTE(SUBSTITUTE(SUBSTITUTE(SUBSTITUTE(SUBSTITUTE(SUBSTITUTE(SUBSTITUTE(SUBSTITUTE(SUBSTITUTE(LOWER(AE135&amp;""),CHAR(10)," "),CHAR(13)," "),CHAR(9)," "),CHAR(160)," "),"."," "),","," "),"-"," "),"/"," "),"("," "),")"," "),":"," "),";"," "),"_"," "),"–"," "),"?"," "),"!"," "),"*"," "),"["," "),"]"," "),"'"," "),"#"," "),"+"," "),"&amp;"," "),"\"," "))&amp;" "</f>
        <v>  </v>
      </c>
      <c r="CE135" s="68" t="n">
        <f aca="false">IFERROR(IF(AND(LEN(AU135)&gt;0,LEN(AU135)=LEN(AX135),OR(TRIM(MID(SUBSTITUTE(TRIM(CC135)," ",REPT(" ",60)),1,60))="",ISNUMBER(SEARCH(" "&amp;TRIM(MID(SUBSTITUTE(TRIM(CC135)," ",REPT(" ",60)),1,60))&amp;" ",CD135))),OR(TRIM(MID(SUBSTITUTE(TRIM(CC135)," ",REPT(" ",60)),61,60))="",ISNUMBER(SEARCH(" "&amp;TRIM(MID(SUBSTITUTE(TRIM(CC135)," ",REPT(" ",60)),61,60))&amp;" ",CD135))),OR(TRIM(MID(SUBSTITUTE(TRIM(CC135)," ",REPT(" ",60)),121,60))="",ISNUMBER(SEARCH(" "&amp;TRIM(MID(SUBSTITUTE(TRIM(CC135)," ",REPT(" ",60)),121,60))&amp;" ",CD135)))),1,0),0)</f>
        <v>0</v>
      </c>
      <c r="CG135" s="68" t="n">
        <f aca="false">IFERROR(LEN(SUBSTITUTE(BF135," ",""))-SUMPRODUCT((LEN(BF135)-LEN(SUBSTITUTE(BF135," "&amp;L_NAFiller&amp;" "," ")))/(LEN(L_NAFiller)+1)*LEN(L_NAFiller)),0)</f>
        <v>0</v>
      </c>
    </row>
    <row r="136" customFormat="false" ht="41.25" hidden="false" customHeight="true" outlineLevel="0" collapsed="false">
      <c r="A136" s="57" t="s">
        <v>658</v>
      </c>
      <c r="B136" s="57" t="s">
        <v>218</v>
      </c>
      <c r="C136" s="57" t="str">
        <f aca="false">Flights!$F$8</f>
        <v>MH0088</v>
      </c>
      <c r="D136" s="58" t="n">
        <f aca="false">Flights!$D$8</f>
        <v>46305</v>
      </c>
      <c r="E136" s="57" t="str">
        <f aca="false">Flights!$G$8&amp;"-"&amp;Flights!$H$8</f>
        <v>KUL-NRT</v>
      </c>
      <c r="F136" s="57" t="str">
        <f aca="false">Flights!$K$8</f>
        <v>BC</v>
      </c>
      <c r="G136" s="57" t="s">
        <v>459</v>
      </c>
      <c r="H136" s="57" t="s">
        <v>460</v>
      </c>
      <c r="I136" s="57" t="s">
        <v>634</v>
      </c>
      <c r="J136" s="57" t="s">
        <v>659</v>
      </c>
      <c r="K136" s="67" t="s">
        <v>636</v>
      </c>
      <c r="L136" s="67" t="s">
        <v>637</v>
      </c>
      <c r="M136" s="67" t="s">
        <v>451</v>
      </c>
      <c r="N136" s="67" t="s">
        <v>383</v>
      </c>
      <c r="O136" s="67" t="s">
        <v>660</v>
      </c>
      <c r="P136" s="57" t="s">
        <v>187</v>
      </c>
      <c r="Q136" s="59" t="n">
        <f aca="false">ROUND((Flights!$AF$8)*1440,0)/1440</f>
        <v>46305.6458333333</v>
      </c>
      <c r="R136" s="59" t="n">
        <f aca="false">Q136+(IF(AND(INDEX(TZ_DSTS,MATCH(P136,TZ_STN,0))&lt;&gt;"",Q136&gt;=INDEX(TZ_DSTS,MATCH(P136,TZ_STN,0)),Q136&lt;INDEX(TZ_DSTE,MATCH(P136,TZ_STN,0))),INDEX(TZ_DST,MATCH(P136,TZ_STN,0)),INDEX(TZ_STD,MATCH(P136,TZ_STN,0))))/24</f>
        <v>46305.9791666667</v>
      </c>
      <c r="S136" s="60"/>
      <c r="T136" s="60"/>
      <c r="U136" s="60"/>
      <c r="V136" s="60"/>
      <c r="W136" s="61"/>
      <c r="X136" s="60"/>
      <c r="Y136" s="60"/>
      <c r="Z136" s="60"/>
      <c r="AA136" s="60"/>
      <c r="AB136" s="60"/>
      <c r="AC136" s="60"/>
      <c r="AD136" s="66"/>
      <c r="AE136" s="60"/>
      <c r="AF136" s="61" t="str">
        <f aca="false">IF(AND(ISNUMBER(X136),ISNUMBER(Y136)),Y136-X136,"")</f>
        <v/>
      </c>
      <c r="AG136" s="62" t="str">
        <f aca="false">IF(ISNUMBER(AD136),AD136-(IF(AND(INDEX(TZ_DSTS,MATCH(P136,TZ_STN,0))&lt;&gt;"",(AD136-INDEX(TZ_STD,MATCH(P136,TZ_STN,0))/24)&gt;=INDEX(TZ_DSTS,MATCH(P136,TZ_STN,0)),(AD136-INDEX(TZ_STD,MATCH(P136,TZ_STN,0))/24)&lt;INDEX(TZ_DSTE,MATCH(P136,TZ_STN,0))),INDEX(TZ_DST,MATCH(P136,TZ_STN,0)),INDEX(TZ_STD,MATCH(P136,TZ_STN,0))))/24,"")</f>
        <v/>
      </c>
      <c r="AH136" s="65" t="str">
        <f aca="false">IFERROR(IF(N136="N/A – rule",IF(OR(TRIM(U136)="",TRIM(U136)="N/A",TRIM(U136)="Not started"),"N/A – RULE","INVALID – this check does not apply to this aircraft: clear the status (or correct the fleet on Flights)"),IF(TRIM(U136)="N/A",IF(AT136=0,"INVALID – N/A not permitted for this check",IF(AND(TRIM(AB136)&lt;&gt;"",TRIM(AB136)&lt;&gt;"Closed"),"INVALID – corrective action still open",IF(AND(NOT(OR(LEN(AZ136)&lt;15,ISNUMBER(MATCH(AZ136,L_Placeholder,0)))),BK136=0,CG136&gt;=8,NOT(OR(LEN(AU136)&lt;2,ISNUMBER(MATCH(AU136,L_Placeholder,0)))),BR136&gt;=3,NOT(OR(LEN(AX136)&lt;2,ISNUMBER(MATCH(AX136,L_Placeholder,0)))),BS136&gt;=3,TRIM(AE136)&lt;&gt;TRIM(T136),AX136&lt;&gt;AU136,CE136=0),"N/A – JUSTIFIED","INVALID – N/A needs a real, settled reason (not 'not applicable' / 'as above' / TBC), a named PIC and a different named verifier"))),IF(OR(TRIM(U136)="Pass",TRIM(U136)="Pass after CA"),IF(NOT(ISNUMBER(AD136)),"INVALID – completion time missing",IF(OR(OR(LEN(AU136)&lt;2,ISNUMBER(MATCH(AU136,L_Placeholder,0))),BR136&lt;3),"INVALID – PIC missing or not a named person (a role such as QA / CSM is not a name)",IF(OR(LEN(AV136)&lt;2,ISNUMBER(MATCH(AV136,L_Placeholder,0))),"INVALID – result / assessment missing",IF(OR(OR(LEN(AW136)&lt;3,ISNUMBER(MATCH(AW136,L_Placeholder,0))),SUMPRODUCT(--ISNUMBER(SEARCH(" "&amp;L_EvidencePhrase&amp;" ",BD136)))&gt;0,BI136=1),"INVALID – evidence missing, placeholder or not yet on file",IF(ISNA(MATCH(TRIM(S136),L_EvidenceType,0)),"INVALID – choose the evidence type from the list (column S)",IF(BL136=0,"INVALID – evidence ID must be the record's own ID only (e.g. SF-2210, IMG_2231, 1045521); a link / file name needs type 'Link / file path'",IF(OR(OR(LEN(AX136)&lt;2,ISNUMBER(MATCH(AX136,L_Placeholder,0))),BS136&lt;3),"INVALID – verifier missing or not a named person (a role such as QA / CSM is not a name)",IF(OR(AX136=AU136,CE136=1,AND(LEN(AU136)&gt;=4,ISNUMBER(SEARCH(AU136,AX136))),AND(LEN(AX136)&gt;=4,ISNUMBER(SEARCH(AX136,AU136)))),"INVALID – verifier must be a different, named person (not the PIC or a role)",IF(BH136=1,"INVALID – result not yet available (awaiting / TBC)",IF(BG136=1,"INVALID – result describes a problem: record Fail, then Pass after CA (or reword if it is not a problem)",IF(BV136=1,"INVALID – wording says not on board: an on-board confirmation needs the item loaded",IF(AND(AQ136=1,OR(OR(LEN(AY136)&lt;3,ISNUMBER(MATCH(AY136,L_Placeholder,0))),BJ136=1,BQ136=0)),"INVALID – batch ID missing, placeholder or not an ID (e.g. PASB-261008-BC-017)",IF(AND(AR136=1,OR(NOT(ISNUMBER(X136)),NOT(ISNUMBER(Y136)))),"INVALID – expected/actual qty missing",IF(AND(AR136=1,OR(X136&lt;=0,Y136&lt;0)),"INVALID – expected qty must be above 0 and actual not negative",IF(AH120="N/A – JUSTIFIED","INVALID – preparation row F04-T12-21 is N/A",IF(AND(AR136=1,ISNUMBER(X120),X136&lt;&gt;X120,TRIM(U136)&lt;&gt;"Pass after CA"),"INVALID – expected qty differs from preparation check F04-T12-21: record the load change as a corrective action (Pass after CA)",IF(BB136&lt;&gt;"",BB136,IF(AND(AS136=1,Documents!$J$8&lt;&gt;"ON FILE"),"INVALID – GLD not on file (Documents sheet)",IF(AND(AS136=2,Documents!$O$8&lt;&gt;"ON FILE"),"INVALID – menu checklist not on file (Documents sheet)",IF(AND(AS136=3,NOT(ISNUMBER(Flights!$AX$8))),"INVALID – enter carrying flight KUL departure (Flights AX)",IF(AND(AS136=3,OR(Flights!$AZ$8&gt;Flights!$AA$8,Flights!$AX$8&lt;Flights!$AA$8-3)),"INVALID – carrying flight (Flights AX) cannot arrive before this leg's STD, or is over 3 days early",IF(AG136&gt;AsOfUTC,"INVALID – completion time is in the future",IF(AND(ISNUMBER(BY136),AG136&lt;BY136),IF(H136="Physical uplift","INVALID – before uplift window (cannot confirm loading)","INVALID – before valid window"),IF(AG136&gt;Flights!$AA$8,"INVALID – completed after departure (cannot establish readiness)",IF(AND(H136="Preparation",AG136&gt;=IF(ISNUMBER(Flights!$BA$8),MIN(Flights!$BA$8,Flights!$AA$8),Flights!$AA$8)),"INVALID – completed after loading / departure (cannot establish readiness)",IF(AND(H136="Physical uplift",AG136&gt;Q136),"INVALID – recorded after the loading flight departed",IF(AG136&gt;Q136,"COMPLETE – LATE","COMPLETE"))))))))))))))))))))))))))),IF(TRIM(U136)="Fail","FAIL – DISCREPANCY",IF(AND(TRIM(U136)&lt;&gt;"",TRIM(U136)&lt;&gt;"Not started",TRIM(U136)&lt;&gt;"In progress"),"INVALID – unrecognised status (use the list)",IF(AsOfUTC&gt;Q136,"OVERDUE",IF(N136="Clarification required","OPEN – CLARIFICATION","OPEN"))))))),"INVALID – error value in an input cell")</f>
        <v>OPEN</v>
      </c>
      <c r="AI136" s="61" t="n">
        <f aca="false">IF(OR(AH136="N/A – RULE",AH136="N/A – JUSTIFIED"),0,1)</f>
        <v>1</v>
      </c>
      <c r="AJ136" s="61" t="n">
        <f aca="false">IF(LEFT(AH136,8)="COMPLETE",1,0)</f>
        <v>0</v>
      </c>
      <c r="AK136" s="61" t="n">
        <f aca="false">IF(AND(AI136=1,AJ136=0,AsOfUTC&gt;Q136),1,0)</f>
        <v>0</v>
      </c>
      <c r="AL136" s="61" t="n">
        <f aca="false">IFERROR(IF(AND(AI136=1,OR(TRIM(U136)="Fail",AND(TRIM(AB136)&lt;&gt;"",TRIM(AB136)&lt;&gt;"Closed"),AND(ISNUMBER(AF136),AF136&lt;&gt;0,TRIM(U136)&lt;&gt;"Pass after CA"))),1,0),1)</f>
        <v>0</v>
      </c>
      <c r="AM136" s="61" t="n">
        <f aca="false">IF(LEFT(AH136,7)="INVALID",1,0)</f>
        <v>0</v>
      </c>
      <c r="AN136" s="61" t="n">
        <f aca="false">IF(AND(N136="Clarification required",AI136=1,AJ136=0),1,0)</f>
        <v>0</v>
      </c>
      <c r="AO136" s="61" t="str">
        <f aca="false">IF(AK136=1,SUM(AK$5:AK136),"")</f>
        <v/>
      </c>
      <c r="AP136" s="61" t="str">
        <f aca="false">IF(AL136=1,SUM(AL$5:AL136),"")</f>
        <v/>
      </c>
      <c r="AQ136" s="61" t="n">
        <v>0</v>
      </c>
      <c r="AR136" s="61" t="n">
        <v>0</v>
      </c>
      <c r="AS136" s="61" t="n">
        <v>0</v>
      </c>
      <c r="AT136" s="61" t="n">
        <v>0</v>
      </c>
      <c r="AU136" s="61" t="str">
        <f aca="false">SUBSTITUTE(SUBSTITUTE(SUBSTITUTE(SUBSTITUTE(SUBSTITUTE(SUBSTITUTE(SUBSTITUTE(SUBSTITUTE(SUBSTITUTE(SUBSTITUTE(SUBSTITUTE(SUBSTITUTE(SUBSTITUTE(SUBSTITUTE(SUBSTITUTE(SUBSTITUTE(LOWER(T136&amp;""),CHAR(10),""),CHAR(13),""),CHAR(9),""),CHAR(160),"")," ",""),".",""),"-",""),"/",""),"?",""),"_",""),",",""),"[",""),"]",""),"(",""),")",""),"*","")</f>
        <v/>
      </c>
      <c r="AV136" s="61" t="str">
        <f aca="false">SUBSTITUTE(SUBSTITUTE(SUBSTITUTE(SUBSTITUTE(SUBSTITUTE(SUBSTITUTE(SUBSTITUTE(SUBSTITUTE(SUBSTITUTE(SUBSTITUTE(SUBSTITUTE(SUBSTITUTE(SUBSTITUTE(SUBSTITUTE(SUBSTITUTE(SUBSTITUTE(LOWER(V136&amp;""),CHAR(10),""),CHAR(13),""),CHAR(9),""),CHAR(160),"")," ",""),".",""),"-",""),"/",""),"?",""),"_",""),",",""),"[",""),"]",""),"(",""),")",""),"*","")</f>
        <v/>
      </c>
      <c r="AW136" s="61" t="str">
        <f aca="false">SUBSTITUTE(SUBSTITUTE(SUBSTITUTE(SUBSTITUTE(SUBSTITUTE(SUBSTITUTE(SUBSTITUTE(SUBSTITUTE(SUBSTITUTE(SUBSTITUTE(SUBSTITUTE(SUBSTITUTE(SUBSTITUTE(SUBSTITUTE(SUBSTITUTE(SUBSTITUTE(LOWER(Z136&amp;""),CHAR(10),""),CHAR(13),""),CHAR(9),""),CHAR(160),"")," ",""),".",""),"-",""),"/",""),"?",""),"_",""),",",""),"[",""),"]",""),"(",""),")",""),"*","")</f>
        <v/>
      </c>
      <c r="AX136" s="61" t="str">
        <f aca="false">SUBSTITUTE(SUBSTITUTE(SUBSTITUTE(SUBSTITUTE(SUBSTITUTE(SUBSTITUTE(SUBSTITUTE(SUBSTITUTE(SUBSTITUTE(SUBSTITUTE(SUBSTITUTE(SUBSTITUTE(SUBSTITUTE(SUBSTITUTE(SUBSTITUTE(SUBSTITUTE(LOWER(AE136&amp;""),CHAR(10),""),CHAR(13),""),CHAR(9),""),CHAR(160),"")," ",""),".",""),"-",""),"/",""),"?",""),"_",""),",",""),"[",""),"]",""),"(",""),")",""),"*","")</f>
        <v/>
      </c>
      <c r="AY136" s="61" t="str">
        <f aca="false">SUBSTITUTE(SUBSTITUTE(SUBSTITUTE(SUBSTITUTE(SUBSTITUTE(SUBSTITUTE(SUBSTITUTE(SUBSTITUTE(SUBSTITUTE(SUBSTITUTE(SUBSTITUTE(SUBSTITUTE(SUBSTITUTE(SUBSTITUTE(SUBSTITUTE(SUBSTITUTE(LOWER(W136&amp;""),CHAR(10),""),CHAR(13),""),CHAR(9),""),CHAR(160),"")," ",""),".",""),"-",""),"/",""),"?",""),"_",""),",",""),"[",""),"]",""),"(",""),")",""),"*","")</f>
        <v/>
      </c>
      <c r="AZ136" s="61" t="str">
        <f aca="false">SUBSTITUTE(SUBSTITUTE(SUBSTITUTE(SUBSTITUTE(SUBSTITUTE(SUBSTITUTE(SUBSTITUTE(SUBSTITUTE(SUBSTITUTE(SUBSTITUTE(SUBSTITUTE(SUBSTITUTE(SUBSTITUTE(SUBSTITUTE(SUBSTITUTE(SUBSTITUTE(LOWER(AC136&amp;""),CHAR(10),""),CHAR(13),""),CHAR(9),""),CHAR(160),"")," ",""),".",""),"-",""),"/",""),"?",""),"_",""),",",""),"[",""),"]",""),"(",""),")",""),"*","")</f>
        <v/>
      </c>
      <c r="BA136" s="61" t="str">
        <f aca="false">SUBSTITUTE(SUBSTITUTE(SUBSTITUTE(SUBSTITUTE(SUBSTITUTE(SUBSTITUTE(SUBSTITUTE(SUBSTITUTE(SUBSTITUTE(SUBSTITUTE(SUBSTITUTE(SUBSTITUTE(SUBSTITUTE(SUBSTITUTE(SUBSTITUTE(SUBSTITUTE(LOWER(AA136&amp;""),CHAR(10),""),CHAR(13),""),CHAR(9),""),CHAR(160),"")," ",""),".",""),"-",""),"/",""),"?",""),"_",""),",",""),"[",""),"]",""),"(",""),")",""),"*","")</f>
        <v/>
      </c>
      <c r="BB136" s="61" t="str">
        <f aca="false">IF(AND(TRIM(U136)="Pass",ISNUMBER(AF136)),IF(AF136&lt;&gt;0,"INVALID – qty variance: use Fail or Pass after CA",""),"")&amp;IF(AND(TRIM(U136)="Pass after CA",ISNUMBER(AF136)),IF(AF136&lt;&gt;0,"INVALID – after the corrective action the actual qty must equal expected (update Actual)",""),"")&amp;IF(AND(TRIM(U136)="Pass",TRIM(AB136)&lt;&gt;"",TRIM(AB136)&lt;&gt;"Closed"),"INVALID – corrective action not closed: use Fail, then Pass after CA","")&amp;IF(AND(LEN(BA136)&gt;=2,ISNA(MATCH(LEFT(BA136,255),L_Placeholder,0)),TRIM(AB136)=""),"INVALID – CA status missing for the recorded corrective action","")&amp;IF(AND(TRIM(U136)="Pass after CA",OR(OR(LEN(BA136)&lt;5,ISNUMBER(MATCH(BA136,L_Placeholder,0))),TRIM(AB136)&lt;&gt;"Closed")),"INVALID – corrective action not recorded/closed","")</f>
        <v/>
      </c>
      <c r="BC136" s="61" t="str">
        <f aca="false">" "&amp;TRIM(SUBSTITUTE(SUBSTITUTE(SUBSTITUTE(SUBSTITUTE(SUBSTITUTE(SUBSTITUTE(SUBSTITUTE(SUBSTITUTE(SUBSTITUTE(SUBSTITUTE(SUBSTITUTE(SUBSTITUTE(SUBSTITUTE(SUBSTITUTE(SUBSTITUTE(SUBSTITUTE(SUBSTITUTE(SUBSTITUTE(SUBSTITUTE(SUBSTITUTE(SUBSTITUTE(SUBSTITUTE(SUBSTITUTE(SUBSTITUTE(LOWER(V136&amp;""),CHAR(10)," "),CHAR(13)," "),CHAR(9)," "),CHAR(160)," "),"."," "),","," "),"-"," "),"/"," "),"("," "),")"," "),":"," "),";"," "),"_"," "),"–"," "),"?"," "),"!"," "),"*"," "),"["," "),"]"," "),"'"," "),"#"," "),"+"," "),"&amp;"," "),"\"," "))&amp;" "</f>
        <v>  </v>
      </c>
      <c r="BD136" s="61" t="str">
        <f aca="false">" "&amp;TRIM(SUBSTITUTE(SUBSTITUTE(SUBSTITUTE(SUBSTITUTE(SUBSTITUTE(SUBSTITUTE(SUBSTITUTE(SUBSTITUTE(SUBSTITUTE(SUBSTITUTE(SUBSTITUTE(SUBSTITUTE(SUBSTITUTE(SUBSTITUTE(SUBSTITUTE(SUBSTITUTE(SUBSTITUTE(SUBSTITUTE(SUBSTITUTE(SUBSTITUTE(SUBSTITUTE(SUBSTITUTE(SUBSTITUTE(SUBSTITUTE(LOWER(Z136&amp;""),CHAR(10)," "),CHAR(13)," "),CHAR(9)," "),CHAR(160)," "),"."," "),","," "),"-"," "),"/"," "),"("," "),")"," "),":"," "),";"," "),"_"," "),"–"," "),"?"," "),"!"," "),"*"," "),"["," "),"]"," "),"'"," "),"#"," "),"+"," "),"&amp;"," "),"\"," "))&amp;" "</f>
        <v>  </v>
      </c>
      <c r="BE136" s="61" t="str">
        <f aca="false">" "&amp;TRIM(SUBSTITUTE(SUBSTITUTE(SUBSTITUTE(SUBSTITUTE(SUBSTITUTE(SUBSTITUTE(SUBSTITUTE(SUBSTITUTE(SUBSTITUTE(SUBSTITUTE(SUBSTITUTE(SUBSTITUTE(SUBSTITUTE(SUBSTITUTE(SUBSTITUTE(SUBSTITUTE(SUBSTITUTE(SUBSTITUTE(SUBSTITUTE(SUBSTITUTE(SUBSTITUTE(SUBSTITUTE(SUBSTITUTE(SUBSTITUTE(LOWER(W136&amp;""),CHAR(10)," "),CHAR(13)," "),CHAR(9)," "),CHAR(160)," "),"."," "),","," "),"-"," "),"/"," "),"("," "),")"," "),":"," "),";"," "),"_"," "),"–"," "),"?"," "),"!"," "),"*"," "),"["," "),"]"," "),"'"," "),"#"," "),"+"," "),"&amp;"," "),"\"," "))&amp;" "</f>
        <v>  </v>
      </c>
      <c r="BF136" s="61" t="str">
        <f aca="false">" "&amp;TRIM(SUBSTITUTE(SUBSTITUTE(SUBSTITUTE(SUBSTITUTE(SUBSTITUTE(SUBSTITUTE(SUBSTITUTE(SUBSTITUTE(SUBSTITUTE(SUBSTITUTE(SUBSTITUTE(SUBSTITUTE(SUBSTITUTE(SUBSTITUTE(SUBSTITUTE(SUBSTITUTE(SUBSTITUTE(SUBSTITUTE(SUBSTITUTE(SUBSTITUTE(SUBSTITUTE(SUBSTITUTE(SUBSTITUTE(SUBSTITUTE(LOWER(AC136&amp;""),CHAR(10)," "),CHAR(13)," "),CHAR(9)," "),CHAR(160)," "),"."," "),","," "),"-"," "),"/"," "),"("," "),")"," "),":"," "),";"," "),"_"," "),"–"," "),"?"," "),"!"," "),"*"," "),"["," "),"]"," "),"'"," "),"#"," "),"+"," "),"&amp;"," "),"\"," "))&amp;" "</f>
        <v>  </v>
      </c>
      <c r="BG136" s="61" t="n">
        <f aca="false">IFERROR(IF(AND(TRIM(U136)="Pass",SUMPRODUCT((LEN(BC136)-LEN(SUBSTITUTE(BC136," "&amp;L_ResultBad&amp;" "," ")))/(LEN(L_ResultBad)+1))&gt;SUMPRODUCT((LEN(BC136)-LEN(SUBSTITUTE(BC136," "&amp;L_NegPhrase&amp;" "," ")))/(LEN(L_NegPhrase)+1))),1,0),0)</f>
        <v>0</v>
      </c>
      <c r="BH136" s="61" t="n">
        <f aca="false">IFERROR(IF(SUMPRODUCT((LEN(BC136)-LEN(SUBSTITUTE(BC136," "&amp;L_Pending&amp;" "," ")))/(LEN(L_Pending)+1))&gt;SUMPRODUCT((LEN(BC136)-LEN(SUBSTITUTE(BC136," "&amp;L_PendNeg&amp;" "," ")))/(LEN(L_PendNeg)+1)),1,0),1)</f>
        <v>0</v>
      </c>
      <c r="BI136" s="61" t="n">
        <f aca="false">IFERROR(IF(SUMPRODUCT((LEN(BD136)-LEN(SUBSTITUTE(BD136," "&amp;L_PendStrict&amp;" "," ")))/(LEN(L_PendStrict)+1))&gt;SUMPRODUCT((LEN(BD136)-LEN(SUBSTITUTE(BD136," "&amp;L_PendNeg&amp;" "," ")))/(LEN(L_PendNeg)+1)),1,0),1)</f>
        <v>0</v>
      </c>
      <c r="BJ136" s="61" t="n">
        <f aca="false">IFERROR(IF(SUMPRODUCT((LEN(BE136)-LEN(SUBSTITUTE(BE136," "&amp;L_Pending&amp;" "," ")))/(LEN(L_Pending)+1))&gt;SUMPRODUCT((LEN(BE136)-LEN(SUBSTITUTE(BE136," "&amp;L_PendNeg&amp;" "," ")))/(LEN(L_PendNeg)+1)),1,0),1)</f>
        <v>0</v>
      </c>
      <c r="BK136" s="61" t="n">
        <f aca="false">IFERROR(IF(SUMPRODUCT((LEN(BF136)-LEN(SUBSTITUTE(BF136," "&amp;L_PendStrict&amp;" "," ")))/(LEN(L_PendStrict)+1))&gt;SUMPRODUCT((LEN(BF136)-LEN(SUBSTITUTE(BF136," "&amp;L_PendNeg&amp;" "," ")))/(LEN(L_PendNeg)+1)),1,0),1)</f>
        <v>0</v>
      </c>
      <c r="BL136" s="61" t="n">
        <f aca="false">IF(ISNA(MATCH(TRIM(S136),L_EvidenceType,0)),0,BZ136)</f>
        <v>0</v>
      </c>
      <c r="BM136" s="61" t="str">
        <f aca="false">SUBSTITUTE(SUBSTITUTE(SUBSTITUTE(SUBSTITUTE(SUBSTITUTE(SUBSTITUTE(SUBSTITUTE(SUBSTITUTE(SUBSTITUTE(LOWER(Z136&amp;""),"1","0"),"2","0"),"3","0"),"4","0"),"5","0"),"6","0"),"7","0"),"8","0"),"9","0")</f>
        <v/>
      </c>
      <c r="BN136" s="61" t="str">
        <f aca="false">SUBSTITUTE(SUBSTITUTE(SUBSTITUTE(SUBSTITUTE(SUBSTITUTE(SUBSTITUTE(SUBSTITUTE(SUBSTITUTE(SUBSTITUTE(SUBSTITUTE(SUBSTITUTE(SUBSTITUTE(SUBSTITUTE(SUBSTITUTE(SUBSTITUTE(SUBSTITUTE(SUBSTITUTE(SUBSTITUTE(SUBSTITUTE(SUBSTITUTE(SUBSTITUTE(SUBSTITUTE(SUBSTITUTE(SUBSTITUTE(SUBSTITUTE(BM136,"b","a"),"c","a"),"d","a"),"e","a"),"f","a"),"g","a"),"h","a"),"i","a"),"j","a"),"k","a"),"l","a"),"m","a"),"n","a"),"o","a"),"p","a"),"q","a"),"r","a"),"s","a"),"t","a"),"u","a"),"v","a"),"w","a"),"x","a"),"y","a"),"z","a")</f>
        <v/>
      </c>
      <c r="BO136" s="61" t="str">
        <f aca="false">SUBSTITUTE(SUBSTITUTE(SUBSTITUTE(SUBSTITUTE(SUBSTITUTE(SUBSTITUTE(SUBSTITUTE(SUBSTITUTE(SUBSTITUTE(LOWER(W136&amp;""),"1","0"),"2","0"),"3","0"),"4","0"),"5","0"),"6","0"),"7","0"),"8","0"),"9","0")</f>
        <v/>
      </c>
      <c r="BP136" s="61" t="str">
        <f aca="false">SUBSTITUTE(SUBSTITUTE(SUBSTITUTE(SUBSTITUTE(SUBSTITUTE(SUBSTITUTE(SUBSTITUTE(SUBSTITUTE(SUBSTITUTE(SUBSTITUTE(SUBSTITUTE(SUBSTITUTE(SUBSTITUTE(SUBSTITUTE(SUBSTITUTE(SUBSTITUTE(SUBSTITUTE(SUBSTITUTE(SUBSTITUTE(SUBSTITUTE(SUBSTITUTE(SUBSTITUTE(SUBSTITUTE(SUBSTITUTE(SUBSTITUTE(BO136,"b","a"),"c","a"),"d","a"),"e","a"),"f","a"),"g","a"),"h","a"),"i","a"),"j","a"),"k","a"),"l","a"),"m","a"),"n","a"),"o","a"),"p","a"),"q","a"),"r","a"),"s","a"),"t","a"),"u","a"),"v","a"),"w","a"),"x","a"),"y","a"),"z","a")</f>
        <v/>
      </c>
      <c r="BQ136" s="61" t="n">
        <f aca="false">IFERROR(IF(AND(ISERROR(SEARCH(" mh"," "&amp;LOWER(W136))),ISNA(MATCH(LEFT(TRIM(BP136),255),{"0000a","000a","00a","0000aa","000aa","00aa","0aa","0000aaa","000aaa","00a00","0a00","0000-0000","00:00","a00","a0","00.00.0000","00/00/0000","00-00-0000","0000-00-00","0000/00/00","0000.00.00","00.00.00","00/00/00","00-00-00","0.00.0000","0/00/0000","0-00-0000"},0)),ISNA(MATCH(LEFT(TRIM(CA136),255),{"0000a","000a","00a","0000aa","000aa","00aa","0aa","0000aaa","000aaa","00a00","0a00","0000-0000","00:00","a00","a0","00.00.0000","00/00/0000","00-00-0000","0000-00-00","0000/00/00","0000.00.00","00.00.00","00/00/00","00-00-00","0.00.0000","0/00/0000","0-00-0000"},0)),LEN(CB136)&gt;=3,NOT(OR(SUBSTITUTE(CB136,"0","")="",AND(LEN(CB136)&gt;=4,CB136=REPT(LEFT(CB136),LEN(CB136))),ISNUMBER(MATCH(CB136,{"123","1234","12345","123456","1234567","12345678","0123","01234","012345","98765","987654","54321"},0)),AND(LEN(CB136)=8,LEFT(CB136,3)="202"))),OR(AND((LEN(CA136)-LEN(SUBSTITUTE(CA136,"a","")))&gt;=1,SUMPRODUCT(--ISNUMBER(SEARCH({"a0","a-0","a_0","a/0","a.0","a#0","0a","0-a","0_a","0/a"},BP136)))&gt;0),ISNUMBER(SEARCH("000000",BP136)))),1,0),0)</f>
        <v>0</v>
      </c>
      <c r="BR136" s="61" t="n">
        <f aca="false">IFERROR(LEN(SUBSTITUTE(CC136," ",""))-SUMPRODUCT((LEN(CC136)-LEN(SUBSTITUTE(CC136," "&amp;L_Role&amp;" "," ")))/(LEN(L_Role)+1)*LEN(L_Role)),0)</f>
        <v>0</v>
      </c>
      <c r="BS136" s="61" t="n">
        <f aca="false">IFERROR(LEN(SUBSTITUTE(CD136," ",""))-SUMPRODUCT((LEN(CD136)-LEN(SUBSTITUTE(CD136," "&amp;L_Role&amp;" "," ")))/(LEN(L_Role)+1)*LEN(L_Role)),0)</f>
        <v>0</v>
      </c>
      <c r="BT1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136,"revision",""),"version",""),"jan",""),"feb",""),"mar",""),"apr",""),"may",""),"jun",""),"jul",""),"aug",""),"sep",""),"oct",""),"nov",""),"dec",""),"utc",""),"gmt",""),"myt",""),"bst",""),"rev",""),"ver",""),"b","a"),"c","a"),"d","a"),"e","a"),"f","a"),"g","a"),"h","a"),"i","a"),"j","a"),"k","a"),"l","a"),"m","a"),"n","a"),"o","a"),"p","a"),"q","a"),"r","a"),"s","a"),"t","a"),"u","a"),"v","a"),"w","a"),"x","a"),"y","a"),"z","a")</f>
        <v/>
      </c>
      <c r="BU136" s="61" t="str">
        <f aca="false">SUBSTITUTE(SUBSTITUTE(SUBSTITUTE(SUBSTITUTE(SUBSTITUTE(SUBSTITUTE(SUBSTITUTE(SUBSTITUTE(SUBSTITUTE(SUBSTITUTE(LEFT(BM136,FIND("0",BM136&amp;"0")-1),"-",""),"_",""),"/",""),".",""),"#",""),"\\",""),":","")," ",""),"(",""),")","")</f>
        <v/>
      </c>
      <c r="BV136" s="61" t="n">
        <f aca="false">IFERROR(IF(OR(SUMPRODUCT((LEN(BC136)-LEN(SUBSTITUTE(BC136," "&amp;L_NotLoaded&amp;" "," ")))/(LEN(L_NotLoaded)+1))&gt;SUMPRODUCT((LEN(BC136)-LEN(SUBSTITUTE(BC136," "&amp;L_NotLoadedNeg&amp;" "," ")))/(LEN(L_NotLoadedNeg)+1)),SUMPRODUCT((LEN(BD136)-LEN(SUBSTITUTE(BD136," "&amp;L_NotLoaded&amp;" "," ")))/(LEN(L_NotLoaded)+1))&gt;SUMPRODUCT((LEN(BD136)-LEN(SUBSTITUTE(BD136," "&amp;L_NotLoadedNeg&amp;" "," ")))/(LEN(L_NotLoadedNeg)+1))),1,0),0)</f>
        <v>0</v>
      </c>
      <c r="BW1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136&amp;""),"a",""),"b",""),"c",""),"d",""),"e",""),"f",""),"g",""),"h",""),"i",""),"j",""),"k",""),"l",""),"m",""),"n",""),"o",""),"p",""),"q",""),"r",""),"s",""),"t",""),"u",""),"v",""),"w",""),"x",""),"y",""),"z",""),"-",""),"_",""),"/",""),".",""),"#",""),"\\",""),":","")," ",""),"(",""),")","")</f>
        <v/>
      </c>
      <c r="BX136" s="61" t="str">
        <f aca="false">SUBSTITUTE(SUBSTITUTE(SUBSTITUTE(SUBSTITUTE(SUBSTITUTE(SUBSTITUTE(SUBSTITUTE(SUBSTITUTE(SUBSTITUTE(SUBSTITUTE(SUBSTITUTE(BM136,"0",""),"-",""),"_",""),"/",""),".",""),"#",""),"\\",""),":","")," ",""),"(",""),")","")</f>
        <v/>
      </c>
      <c r="BY136" s="62" t="n">
        <f aca="false">IF(ISNUMBER(Flights!$AZ$8),MAX(Q136-UpliftWindowH/24,Flights!$AZ$8),Q136-UpliftWindowH/24)</f>
        <v>46305.3958333333</v>
      </c>
      <c r="BZ136" s="61" t="n">
        <f aca="false">IFERROR(IF(IF(TRIM(S136)="Link / file path",AND(LEN(TRIM(Z136))&gt;=5,SUMPRODUCT(--ISNUMBER(SEARCH({"http","www.","\\",":\",".pdf",".jpg",".jpeg",".png",".heic",".xls",".doc",".msg",".eml",".ppt",".txt",".zip"},Z136)))&gt;0),AND(ISERROR(FIND(" ",TRIM(Z136))),NOT(OR(SUMPRODUCT(--ISNUMBER(FIND({",",";","&amp;","+"},Z136)))&gt;0,SUMPRODUCT(--ISNUMBER(SEARCH({"0/aa","0\\aa"},BN136)))&gt;0)),NOT(SUMPRODUCT(--ISNUMBER(SEARCH({"http","www.","\\",":\",".pdf",".jpg",".jpeg",".png",".heic",".xls",".doc",".msg",".eml",".ppt",".txt",".zip"},Z136)))&gt;0),NOT(LOWER(TRIM(Z136))=LOWER(Flights!$F$8)),ISNA(MATCH(BU136,{"mh","rev","revision","ver","version","v","r","a","b","seat","tray","row","gate","bay","stand","page","pg","item","line","no","cart","galley","flight","flt","table","box","bag","oven","etd","eta","std","sta","atd","ata","qty","pax","x","time","tel","ph","mob","day","wk","week","utc","gmt","myt","lt"},0)),NOT(OR(ISNUMBER(MATCH(LEFT(BN136,255),{"0000a","000a","00a","0000aa","000aa","00aa","0aa","0000aaa","000aaa","00a00","0a00","0000-0000","00:00","a00","a0","00.00.0000","00/00/0000","00-00-0000","0000-00-00","0000/00/00","0000.00.00","00.00.00","00/00/00","00-00-00","0.00.0000","0/00/0000","0-00-0000"},0)),ISNUMBER(MATCH(LEFT(BT136,255),{"0000a","000a","00a","0000aa","000aa","00aa","0aa","0000aaa","000aaa","00a00","0a00","0000-0000","00:00","a00","a0","00.00.0000","00/00/0000","00-00-0000","0000-00-00","0000/00/00","0000.00.00","00.00.00","00/00/00","00-00-00","0.00.0000","0/00/0000","0-00-0000"},0)))),NOT(OR(AND(BW136&lt;&gt;"",SUBSTITUTE(BW136,"0","")=""),AND(LEN(BW136)&gt;=4,BW136=REPT(LEFT(BW136),LEN(BW136))),ISNUMBER(MATCH(BW136,{"123","1234","12345","123456","1234567","12345678","0123","01234","012345","98765","987654","54321"},0)),ISNUMBER(MATCH(BX136,{"x","xx","xxx","xxxx","xxxxx","abc","abcd","nil","na","nan","test","tbc","tba","tbd","dummy","sample","example","eg","zz","zzz","none","null","xyz","qwe","asd","id","ref"},0)),AND(LEN(BW136)=8,BX136="",OR(LEFT(BW136,3)="202",ISNUMBER(MATCH(RIGHT(BW136,4),{"2025","2026","2027"},0)))))),OR(AND((LEN(BT136)-LEN(SUBSTITUTE(BT136,"a","")))&gt;=1,(LEN(BN136)-LEN(SUBSTITUTE(BN136,"0","")))&gt;=2,SUMPRODUCT(--ISNUMBER(SEARCH({"a0","a-0","a_0","a/0","a.0","a#0","0a","0-a","0_a","0/a"},BN136)))&gt;0),AND((LEN(BN136)-LEN(SUBSTITUTE(BN136,"a","")))=0,(LEN(BN136)-LEN(SUBSTITUTE(BN136,"0","")))&gt;=5)))),1,0),0)</f>
        <v>0</v>
      </c>
      <c r="CA1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136,"revision",""),"version",""),"jan",""),"feb",""),"mar",""),"apr",""),"may",""),"jun",""),"jul",""),"aug",""),"sep",""),"oct",""),"nov",""),"dec",""),"utc",""),"gmt",""),"myt",""),"bst",""),"rev",""),"ver",""),"b","a"),"c","a"),"d","a"),"e","a"),"f","a"),"g","a"),"h","a"),"i","a"),"j","a"),"k","a"),"l","a"),"m","a"),"n","a"),"o","a"),"p","a"),"q","a"),"r","a"),"s","a"),"t","a"),"u","a"),"v","a"),"w","a"),"x","a"),"y","a"),"z","a")</f>
        <v/>
      </c>
      <c r="CB1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136&amp;""),"a",""),"b",""),"c",""),"d",""),"e",""),"f",""),"g",""),"h",""),"i",""),"j",""),"k",""),"l",""),"m",""),"n",""),"o",""),"p",""),"q",""),"r",""),"s",""),"t",""),"u",""),"v",""),"w",""),"x",""),"y",""),"z",""),"-",""),"_",""),"/",""),".",""),"#",""),"\\",""),":","")," ",""),"(",""),")","")</f>
        <v/>
      </c>
      <c r="CC136" s="0" t="str">
        <f aca="false">" "&amp;TRIM(SUBSTITUTE(SUBSTITUTE(SUBSTITUTE(SUBSTITUTE(SUBSTITUTE(SUBSTITUTE(SUBSTITUTE(SUBSTITUTE(SUBSTITUTE(SUBSTITUTE(SUBSTITUTE(SUBSTITUTE(SUBSTITUTE(SUBSTITUTE(SUBSTITUTE(SUBSTITUTE(SUBSTITUTE(SUBSTITUTE(SUBSTITUTE(SUBSTITUTE(SUBSTITUTE(SUBSTITUTE(SUBSTITUTE(SUBSTITUTE(LOWER(T136&amp;""),CHAR(10)," "),CHAR(13)," "),CHAR(9)," "),CHAR(160)," "),"."," "),","," "),"-"," "),"/"," "),"("," "),")"," "),":"," "),";"," "),"_"," "),"–"," "),"?"," "),"!"," "),"*"," "),"["," "),"]"," "),"'"," "),"#"," "),"+"," "),"&amp;"," "),"\"," "))&amp;" "</f>
        <v>  </v>
      </c>
      <c r="CD136" s="0" t="str">
        <f aca="false">" "&amp;TRIM(SUBSTITUTE(SUBSTITUTE(SUBSTITUTE(SUBSTITUTE(SUBSTITUTE(SUBSTITUTE(SUBSTITUTE(SUBSTITUTE(SUBSTITUTE(SUBSTITUTE(SUBSTITUTE(SUBSTITUTE(SUBSTITUTE(SUBSTITUTE(SUBSTITUTE(SUBSTITUTE(SUBSTITUTE(SUBSTITUTE(SUBSTITUTE(SUBSTITUTE(SUBSTITUTE(SUBSTITUTE(SUBSTITUTE(SUBSTITUTE(LOWER(AE136&amp;""),CHAR(10)," "),CHAR(13)," "),CHAR(9)," "),CHAR(160)," "),"."," "),","," "),"-"," "),"/"," "),"("," "),")"," "),":"," "),";"," "),"_"," "),"–"," "),"?"," "),"!"," "),"*"," "),"["," "),"]"," "),"'"," "),"#"," "),"+"," "),"&amp;"," "),"\"," "))&amp;" "</f>
        <v>  </v>
      </c>
      <c r="CE136" s="68" t="n">
        <f aca="false">IFERROR(IF(AND(LEN(AU136)&gt;0,LEN(AU136)=LEN(AX136),OR(TRIM(MID(SUBSTITUTE(TRIM(CC136)," ",REPT(" ",60)),1,60))="",ISNUMBER(SEARCH(" "&amp;TRIM(MID(SUBSTITUTE(TRIM(CC136)," ",REPT(" ",60)),1,60))&amp;" ",CD136))),OR(TRIM(MID(SUBSTITUTE(TRIM(CC136)," ",REPT(" ",60)),61,60))="",ISNUMBER(SEARCH(" "&amp;TRIM(MID(SUBSTITUTE(TRIM(CC136)," ",REPT(" ",60)),61,60))&amp;" ",CD136))),OR(TRIM(MID(SUBSTITUTE(TRIM(CC136)," ",REPT(" ",60)),121,60))="",ISNUMBER(SEARCH(" "&amp;TRIM(MID(SUBSTITUTE(TRIM(CC136)," ",REPT(" ",60)),121,60))&amp;" ",CD136)))),1,0),0)</f>
        <v>0</v>
      </c>
      <c r="CG136" s="68" t="n">
        <f aca="false">IFERROR(LEN(SUBSTITUTE(BF136," ",""))-SUMPRODUCT((LEN(BF136)-LEN(SUBSTITUTE(BF136," "&amp;L_NAFiller&amp;" "," ")))/(LEN(L_NAFiller)+1)*LEN(L_NAFiller)),0)</f>
        <v>0</v>
      </c>
    </row>
    <row r="137" customFormat="false" ht="39.75" hidden="false" customHeight="true" outlineLevel="0" collapsed="false">
      <c r="A137" s="57" t="s">
        <v>661</v>
      </c>
      <c r="B137" s="57" t="s">
        <v>228</v>
      </c>
      <c r="C137" s="57" t="str">
        <f aca="false">Flights!$F$9</f>
        <v>MH0089</v>
      </c>
      <c r="D137" s="58" t="n">
        <f aca="false">Flights!$D$9</f>
        <v>46310</v>
      </c>
      <c r="E137" s="57" t="str">
        <f aca="false">Flights!$G$9&amp;"-"&amp;Flights!$H$9</f>
        <v>NRT-KUL</v>
      </c>
      <c r="F137" s="57" t="str">
        <f aca="false">Flights!$K$9</f>
        <v>EY</v>
      </c>
      <c r="G137" s="57" t="s">
        <v>81</v>
      </c>
      <c r="H137" s="57" t="s">
        <v>378</v>
      </c>
      <c r="I137" s="57" t="s">
        <v>379</v>
      </c>
      <c r="J137" s="57" t="s">
        <v>380</v>
      </c>
      <c r="K137" s="67" t="s">
        <v>381</v>
      </c>
      <c r="L137" s="67" t="s">
        <v>382</v>
      </c>
      <c r="M137" s="67"/>
      <c r="N137" s="67" t="s">
        <v>383</v>
      </c>
      <c r="O137" s="67"/>
      <c r="P137" s="57" t="s">
        <v>220</v>
      </c>
      <c r="Q137" s="59" t="n">
        <f aca="false">ROUND((Flights!$AC$9)*1440,0)/1440</f>
        <v>46303.0451388889</v>
      </c>
      <c r="R137" s="59" t="n">
        <f aca="false">Q137+(IF(AND(INDEX(TZ_DSTS,MATCH(P137,TZ_STN,0))&lt;&gt;"",Q137&gt;=INDEX(TZ_DSTS,MATCH(P137,TZ_STN,0)),Q137&lt;INDEX(TZ_DSTE,MATCH(P137,TZ_STN,0))),INDEX(TZ_DST,MATCH(P137,TZ_STN,0)),INDEX(TZ_STD,MATCH(P137,TZ_STN,0))))/24</f>
        <v>46303.4201388889</v>
      </c>
      <c r="S137" s="60"/>
      <c r="T137" s="60"/>
      <c r="U137" s="60"/>
      <c r="V137" s="60"/>
      <c r="W137" s="61"/>
      <c r="X137" s="60"/>
      <c r="Y137" s="60"/>
      <c r="Z137" s="60"/>
      <c r="AA137" s="60"/>
      <c r="AB137" s="60"/>
      <c r="AC137" s="60"/>
      <c r="AD137" s="66"/>
      <c r="AE137" s="60"/>
      <c r="AF137" s="61" t="str">
        <f aca="false">IF(AND(ISNUMBER(X137),ISNUMBER(Y137)),Y137-X137,"")</f>
        <v/>
      </c>
      <c r="AG137" s="62" t="str">
        <f aca="false">IF(ISNUMBER(AD137),AD137-(IF(AND(INDEX(TZ_DSTS,MATCH(P137,TZ_STN,0))&lt;&gt;"",(AD137-INDEX(TZ_STD,MATCH(P137,TZ_STN,0))/24)&gt;=INDEX(TZ_DSTS,MATCH(P137,TZ_STN,0)),(AD137-INDEX(TZ_STD,MATCH(P137,TZ_STN,0))/24)&lt;INDEX(TZ_DSTE,MATCH(P137,TZ_STN,0))),INDEX(TZ_DST,MATCH(P137,TZ_STN,0)),INDEX(TZ_STD,MATCH(P137,TZ_STN,0))))/24,"")</f>
        <v/>
      </c>
      <c r="AH137" s="65" t="str">
        <f aca="false">IFERROR(IF(N137="N/A – rule",IF(OR(TRIM(U137)="",TRIM(U137)="N/A",TRIM(U137)="Not started"),"N/A – RULE","INVALID – this check does not apply to this aircraft: clear the status (or correct the fleet on Flights)"),IF(TRIM(U137)="N/A",IF(AT137=0,"INVALID – N/A not permitted for this check",IF(AND(TRIM(AB137)&lt;&gt;"",TRIM(AB137)&lt;&gt;"Closed"),"INVALID – corrective action still open",IF(AND(NOT(OR(LEN(AZ137)&lt;15,ISNUMBER(MATCH(AZ137,L_Placeholder,0)))),BK137=0,CG137&gt;=8,NOT(OR(LEN(AU137)&lt;2,ISNUMBER(MATCH(AU137,L_Placeholder,0)))),BR137&gt;=3,NOT(OR(LEN(AX137)&lt;2,ISNUMBER(MATCH(AX137,L_Placeholder,0)))),BS137&gt;=3,TRIM(AE137)&lt;&gt;TRIM(T137),AX137&lt;&gt;AU137,CE137=0),"N/A – JUSTIFIED","INVALID – N/A needs a real, settled reason (not 'not applicable' / 'as above' / TBC), a named PIC and a different named verifier"))),IF(OR(TRIM(U137)="Pass",TRIM(U137)="Pass after CA"),IF(NOT(ISNUMBER(AD137)),"INVALID – completion time missing",IF(OR(OR(LEN(AU137)&lt;2,ISNUMBER(MATCH(AU137,L_Placeholder,0))),BR137&lt;3),"INVALID – PIC missing or not a named person (a role such as QA / CSM is not a name)",IF(OR(LEN(AV137)&lt;2,ISNUMBER(MATCH(AV137,L_Placeholder,0))),"INVALID – result / assessment missing",IF(OR(OR(LEN(AW137)&lt;3,ISNUMBER(MATCH(AW137,L_Placeholder,0))),SUMPRODUCT(--ISNUMBER(SEARCH(" "&amp;L_EvidencePhrase&amp;" ",BD137)))&gt;0,BI137=1),"INVALID – evidence missing, placeholder or not yet on file",IF(ISNA(MATCH(TRIM(S137),L_EvidenceType,0)),"INVALID – choose the evidence type from the list (column S)",IF(BL137=0,"INVALID – evidence ID must be the record's own ID only (e.g. SF-2210, IMG_2231, 1045521); a link / file name needs type 'Link / file path'",IF(OR(OR(LEN(AX137)&lt;2,ISNUMBER(MATCH(AX137,L_Placeholder,0))),BS137&lt;3),"INVALID – verifier missing or not a named person (a role such as QA / CSM is not a name)",IF(OR(AX137=AU137,CE137=1,AND(LEN(AU137)&gt;=4,ISNUMBER(SEARCH(AU137,AX137))),AND(LEN(AX137)&gt;=4,ISNUMBER(SEARCH(AX137,AU137)))),"INVALID – verifier must be a different, named person (not the PIC or a role)",IF(BH137=1,"INVALID – result not yet available (awaiting / TBC)",IF(BG137=1,"INVALID – result describes a problem: record Fail, then Pass after CA (or reword if it is not a problem)",IF(BV137=1,"INVALID – wording says not on board: an on-board confirmation needs the item loaded",IF(AND(AQ137=1,OR(OR(LEN(AY137)&lt;3,ISNUMBER(MATCH(AY137,L_Placeholder,0))),BJ137=1,BQ137=0)),"INVALID – batch ID missing, placeholder or not an ID (e.g. PASB-261008-BC-017)",IF(AND(AR137=1,OR(NOT(ISNUMBER(X137)),NOT(ISNUMBER(Y137)))),"INVALID – expected/actual qty missing",IF(AND(AR137=1,OR(X137&lt;=0,Y137&lt;0)),"INVALID – expected qty must be above 0 and actual not negative",IF(BB137&lt;&gt;"",BB137,IF(AND(AS137=1,Documents!$J$9&lt;&gt;"ON FILE"),"INVALID – GLD not on file (Documents sheet)",IF(AND(AS137=2,Documents!$O$9&lt;&gt;"ON FILE"),"INVALID – menu checklist not on file (Documents sheet)",IF(AND(AS137=3,NOT(ISNUMBER(Flights!$AX$9))),"INVALID – enter carrying flight KUL departure (Flights AX)",IF(AND(AS137=3,OR(Flights!$AZ$9&gt;Flights!$AA$9,Flights!$AX$9&lt;Flights!$AA$9-3)),"INVALID – carrying flight (Flights AX) cannot arrive before this leg's STD, or is over 3 days early",IF(AG137&gt;AsOfUTC,"INVALID – completion time is in the future",IF(AND(ISNUMBER(BY137),AG137&lt;BY137),IF(H137="Physical uplift","INVALID – before uplift window (cannot confirm loading)","INVALID – before valid window"),IF(AG137&gt;Flights!$AA$9,"INVALID – completed after departure (cannot establish readiness)",IF(AND(H137="Preparation",AG137&gt;=IF(ISNUMBER(Flights!$BA$9),MIN(Flights!$BA$9,Flights!$AA$9),Flights!$AA$9)),"INVALID – completed after loading / departure (cannot establish readiness)",IF(AND(H137="Physical uplift",AG137&gt;Q137),"INVALID – recorded after the loading flight departed",IF(AG137&gt;Q137,"COMPLETE – LATE","COMPLETE"))))))))))))))))))))))))),IF(TRIM(U137)="Fail","FAIL – DISCREPANCY",IF(AND(TRIM(U137)&lt;&gt;"",TRIM(U137)&lt;&gt;"Not started",TRIM(U137)&lt;&gt;"In progress"),"INVALID – unrecognised status (use the list)",IF(AsOfUTC&gt;Q137,"OVERDUE",IF(N137="Clarification required","OPEN – CLARIFICATION","OPEN"))))))),"INVALID – error value in an input cell")</f>
        <v>OPEN</v>
      </c>
      <c r="AI137" s="61" t="n">
        <f aca="false">IF(OR(AH137="N/A – RULE",AH137="N/A – JUSTIFIED"),0,1)</f>
        <v>1</v>
      </c>
      <c r="AJ137" s="61" t="n">
        <f aca="false">IF(LEFT(AH137,8)="COMPLETE",1,0)</f>
        <v>0</v>
      </c>
      <c r="AK137" s="61" t="n">
        <f aca="false">IF(AND(AI137=1,AJ137=0,AsOfUTC&gt;Q137),1,0)</f>
        <v>0</v>
      </c>
      <c r="AL137" s="61" t="n">
        <f aca="false">IFERROR(IF(AND(AI137=1,OR(TRIM(U137)="Fail",AND(TRIM(AB137)&lt;&gt;"",TRIM(AB137)&lt;&gt;"Closed"),AND(ISNUMBER(AF137),AF137&lt;&gt;0,TRIM(U137)&lt;&gt;"Pass after CA"))),1,0),1)</f>
        <v>0</v>
      </c>
      <c r="AM137" s="61" t="n">
        <f aca="false">IF(LEFT(AH137,7)="INVALID",1,0)</f>
        <v>0</v>
      </c>
      <c r="AN137" s="61" t="n">
        <f aca="false">IF(AND(N137="Clarification required",AI137=1,AJ137=0),1,0)</f>
        <v>0</v>
      </c>
      <c r="AO137" s="61" t="str">
        <f aca="false">IF(AK137=1,SUM(AK$5:AK137),"")</f>
        <v/>
      </c>
      <c r="AP137" s="61" t="str">
        <f aca="false">IF(AL137=1,SUM(AL$5:AL137),"")</f>
        <v/>
      </c>
      <c r="AQ137" s="61" t="n">
        <v>0</v>
      </c>
      <c r="AR137" s="61" t="n">
        <v>0</v>
      </c>
      <c r="AS137" s="61" t="n">
        <v>0</v>
      </c>
      <c r="AT137" s="61" t="n">
        <v>0</v>
      </c>
      <c r="AU137" s="61" t="str">
        <f aca="false">SUBSTITUTE(SUBSTITUTE(SUBSTITUTE(SUBSTITUTE(SUBSTITUTE(SUBSTITUTE(SUBSTITUTE(SUBSTITUTE(SUBSTITUTE(SUBSTITUTE(SUBSTITUTE(SUBSTITUTE(SUBSTITUTE(SUBSTITUTE(SUBSTITUTE(SUBSTITUTE(LOWER(T137&amp;""),CHAR(10),""),CHAR(13),""),CHAR(9),""),CHAR(160),"")," ",""),".",""),"-",""),"/",""),"?",""),"_",""),",",""),"[",""),"]",""),"(",""),")",""),"*","")</f>
        <v/>
      </c>
      <c r="AV137" s="61" t="str">
        <f aca="false">SUBSTITUTE(SUBSTITUTE(SUBSTITUTE(SUBSTITUTE(SUBSTITUTE(SUBSTITUTE(SUBSTITUTE(SUBSTITUTE(SUBSTITUTE(SUBSTITUTE(SUBSTITUTE(SUBSTITUTE(SUBSTITUTE(SUBSTITUTE(SUBSTITUTE(SUBSTITUTE(LOWER(V137&amp;""),CHAR(10),""),CHAR(13),""),CHAR(9),""),CHAR(160),"")," ",""),".",""),"-",""),"/",""),"?",""),"_",""),",",""),"[",""),"]",""),"(",""),")",""),"*","")</f>
        <v/>
      </c>
      <c r="AW137" s="61" t="str">
        <f aca="false">SUBSTITUTE(SUBSTITUTE(SUBSTITUTE(SUBSTITUTE(SUBSTITUTE(SUBSTITUTE(SUBSTITUTE(SUBSTITUTE(SUBSTITUTE(SUBSTITUTE(SUBSTITUTE(SUBSTITUTE(SUBSTITUTE(SUBSTITUTE(SUBSTITUTE(SUBSTITUTE(LOWER(Z137&amp;""),CHAR(10),""),CHAR(13),""),CHAR(9),""),CHAR(160),"")," ",""),".",""),"-",""),"/",""),"?",""),"_",""),",",""),"[",""),"]",""),"(",""),")",""),"*","")</f>
        <v/>
      </c>
      <c r="AX137" s="61" t="str">
        <f aca="false">SUBSTITUTE(SUBSTITUTE(SUBSTITUTE(SUBSTITUTE(SUBSTITUTE(SUBSTITUTE(SUBSTITUTE(SUBSTITUTE(SUBSTITUTE(SUBSTITUTE(SUBSTITUTE(SUBSTITUTE(SUBSTITUTE(SUBSTITUTE(SUBSTITUTE(SUBSTITUTE(LOWER(AE137&amp;""),CHAR(10),""),CHAR(13),""),CHAR(9),""),CHAR(160),"")," ",""),".",""),"-",""),"/",""),"?",""),"_",""),",",""),"[",""),"]",""),"(",""),")",""),"*","")</f>
        <v/>
      </c>
      <c r="AY137" s="61" t="str">
        <f aca="false">SUBSTITUTE(SUBSTITUTE(SUBSTITUTE(SUBSTITUTE(SUBSTITUTE(SUBSTITUTE(SUBSTITUTE(SUBSTITUTE(SUBSTITUTE(SUBSTITUTE(SUBSTITUTE(SUBSTITUTE(SUBSTITUTE(SUBSTITUTE(SUBSTITUTE(SUBSTITUTE(LOWER(W137&amp;""),CHAR(10),""),CHAR(13),""),CHAR(9),""),CHAR(160),"")," ",""),".",""),"-",""),"/",""),"?",""),"_",""),",",""),"[",""),"]",""),"(",""),")",""),"*","")</f>
        <v/>
      </c>
      <c r="AZ137" s="61" t="str">
        <f aca="false">SUBSTITUTE(SUBSTITUTE(SUBSTITUTE(SUBSTITUTE(SUBSTITUTE(SUBSTITUTE(SUBSTITUTE(SUBSTITUTE(SUBSTITUTE(SUBSTITUTE(SUBSTITUTE(SUBSTITUTE(SUBSTITUTE(SUBSTITUTE(SUBSTITUTE(SUBSTITUTE(LOWER(AC137&amp;""),CHAR(10),""),CHAR(13),""),CHAR(9),""),CHAR(160),"")," ",""),".",""),"-",""),"/",""),"?",""),"_",""),",",""),"[",""),"]",""),"(",""),")",""),"*","")</f>
        <v/>
      </c>
      <c r="BA137" s="61" t="str">
        <f aca="false">SUBSTITUTE(SUBSTITUTE(SUBSTITUTE(SUBSTITUTE(SUBSTITUTE(SUBSTITUTE(SUBSTITUTE(SUBSTITUTE(SUBSTITUTE(SUBSTITUTE(SUBSTITUTE(SUBSTITUTE(SUBSTITUTE(SUBSTITUTE(SUBSTITUTE(SUBSTITUTE(LOWER(AA137&amp;""),CHAR(10),""),CHAR(13),""),CHAR(9),""),CHAR(160),"")," ",""),".",""),"-",""),"/",""),"?",""),"_",""),",",""),"[",""),"]",""),"(",""),")",""),"*","")</f>
        <v/>
      </c>
      <c r="BB137" s="61" t="str">
        <f aca="false">IF(AND(TRIM(U137)="Pass",ISNUMBER(AF137)),IF(AF137&lt;&gt;0,"INVALID – qty variance: use Fail or Pass after CA",""),"")&amp;IF(AND(TRIM(U137)="Pass after CA",ISNUMBER(AF137)),IF(AF137&lt;&gt;0,"INVALID – after the corrective action the actual qty must equal expected (update Actual)",""),"")&amp;IF(AND(TRIM(U137)="Pass",TRIM(AB137)&lt;&gt;"",TRIM(AB137)&lt;&gt;"Closed"),"INVALID – corrective action not closed: use Fail, then Pass after CA","")&amp;IF(AND(LEN(BA137)&gt;=2,ISNA(MATCH(LEFT(BA137,255),L_Placeholder,0)),TRIM(AB137)=""),"INVALID – CA status missing for the recorded corrective action","")&amp;IF(AND(TRIM(U137)="Pass after CA",OR(OR(LEN(BA137)&lt;5,ISNUMBER(MATCH(BA137,L_Placeholder,0))),TRIM(AB137)&lt;&gt;"Closed")),"INVALID – corrective action not recorded/closed","")</f>
        <v/>
      </c>
      <c r="BC137" s="61" t="str">
        <f aca="false">" "&amp;TRIM(SUBSTITUTE(SUBSTITUTE(SUBSTITUTE(SUBSTITUTE(SUBSTITUTE(SUBSTITUTE(SUBSTITUTE(SUBSTITUTE(SUBSTITUTE(SUBSTITUTE(SUBSTITUTE(SUBSTITUTE(SUBSTITUTE(SUBSTITUTE(SUBSTITUTE(SUBSTITUTE(SUBSTITUTE(SUBSTITUTE(SUBSTITUTE(SUBSTITUTE(SUBSTITUTE(SUBSTITUTE(SUBSTITUTE(SUBSTITUTE(LOWER(V137&amp;""),CHAR(10)," "),CHAR(13)," "),CHAR(9)," "),CHAR(160)," "),"."," "),","," "),"-"," "),"/"," "),"("," "),")"," "),":"," "),";"," "),"_"," "),"–"," "),"?"," "),"!"," "),"*"," "),"["," "),"]"," "),"'"," "),"#"," "),"+"," "),"&amp;"," "),"\"," "))&amp;" "</f>
        <v>  </v>
      </c>
      <c r="BD137" s="61" t="str">
        <f aca="false">" "&amp;TRIM(SUBSTITUTE(SUBSTITUTE(SUBSTITUTE(SUBSTITUTE(SUBSTITUTE(SUBSTITUTE(SUBSTITUTE(SUBSTITUTE(SUBSTITUTE(SUBSTITUTE(SUBSTITUTE(SUBSTITUTE(SUBSTITUTE(SUBSTITUTE(SUBSTITUTE(SUBSTITUTE(SUBSTITUTE(SUBSTITUTE(SUBSTITUTE(SUBSTITUTE(SUBSTITUTE(SUBSTITUTE(SUBSTITUTE(SUBSTITUTE(LOWER(Z137&amp;""),CHAR(10)," "),CHAR(13)," "),CHAR(9)," "),CHAR(160)," "),"."," "),","," "),"-"," "),"/"," "),"("," "),")"," "),":"," "),";"," "),"_"," "),"–"," "),"?"," "),"!"," "),"*"," "),"["," "),"]"," "),"'"," "),"#"," "),"+"," "),"&amp;"," "),"\"," "))&amp;" "</f>
        <v>  </v>
      </c>
      <c r="BE137" s="61" t="str">
        <f aca="false">" "&amp;TRIM(SUBSTITUTE(SUBSTITUTE(SUBSTITUTE(SUBSTITUTE(SUBSTITUTE(SUBSTITUTE(SUBSTITUTE(SUBSTITUTE(SUBSTITUTE(SUBSTITUTE(SUBSTITUTE(SUBSTITUTE(SUBSTITUTE(SUBSTITUTE(SUBSTITUTE(SUBSTITUTE(SUBSTITUTE(SUBSTITUTE(SUBSTITUTE(SUBSTITUTE(SUBSTITUTE(SUBSTITUTE(SUBSTITUTE(SUBSTITUTE(LOWER(W137&amp;""),CHAR(10)," "),CHAR(13)," "),CHAR(9)," "),CHAR(160)," "),"."," "),","," "),"-"," "),"/"," "),"("," "),")"," "),":"," "),";"," "),"_"," "),"–"," "),"?"," "),"!"," "),"*"," "),"["," "),"]"," "),"'"," "),"#"," "),"+"," "),"&amp;"," "),"\"," "))&amp;" "</f>
        <v>  </v>
      </c>
      <c r="BF137" s="61" t="str">
        <f aca="false">" "&amp;TRIM(SUBSTITUTE(SUBSTITUTE(SUBSTITUTE(SUBSTITUTE(SUBSTITUTE(SUBSTITUTE(SUBSTITUTE(SUBSTITUTE(SUBSTITUTE(SUBSTITUTE(SUBSTITUTE(SUBSTITUTE(SUBSTITUTE(SUBSTITUTE(SUBSTITUTE(SUBSTITUTE(SUBSTITUTE(SUBSTITUTE(SUBSTITUTE(SUBSTITUTE(SUBSTITUTE(SUBSTITUTE(SUBSTITUTE(SUBSTITUTE(LOWER(AC137&amp;""),CHAR(10)," "),CHAR(13)," "),CHAR(9)," "),CHAR(160)," "),"."," "),","," "),"-"," "),"/"," "),"("," "),")"," "),":"," "),";"," "),"_"," "),"–"," "),"?"," "),"!"," "),"*"," "),"["," "),"]"," "),"'"," "),"#"," "),"+"," "),"&amp;"," "),"\"," "))&amp;" "</f>
        <v>  </v>
      </c>
      <c r="BG137" s="61" t="n">
        <f aca="false">IFERROR(IF(AND(TRIM(U137)="Pass",SUMPRODUCT((LEN(BC137)-LEN(SUBSTITUTE(BC137," "&amp;L_ResultBad&amp;" "," ")))/(LEN(L_ResultBad)+1))&gt;SUMPRODUCT((LEN(BC137)-LEN(SUBSTITUTE(BC137," "&amp;L_NegPhrase&amp;" "," ")))/(LEN(L_NegPhrase)+1))),1,0),0)</f>
        <v>0</v>
      </c>
      <c r="BH137" s="61" t="n">
        <f aca="false">IFERROR(IF(SUMPRODUCT((LEN(BC137)-LEN(SUBSTITUTE(BC137," "&amp;L_Pending&amp;" "," ")))/(LEN(L_Pending)+1))&gt;SUMPRODUCT((LEN(BC137)-LEN(SUBSTITUTE(BC137," "&amp;L_PendNeg&amp;" "," ")))/(LEN(L_PendNeg)+1))+SUMPRODUCT((LEN(BC137)-LEN(SUBSTITUTE(BC137," "&amp;L_PendPrep&amp;" "," ")))/(LEN(L_PendPrep)+1)),1,0),1)</f>
        <v>0</v>
      </c>
      <c r="BI137" s="61" t="n">
        <f aca="false">IFERROR(IF(SUMPRODUCT((LEN(BD137)-LEN(SUBSTITUTE(BD137," "&amp;L_PendStrict&amp;" "," ")))/(LEN(L_PendStrict)+1))&gt;SUMPRODUCT((LEN(BD137)-LEN(SUBSTITUTE(BD137," "&amp;L_PendNeg&amp;" "," ")))/(LEN(L_PendNeg)+1)),1,0),1)</f>
        <v>0</v>
      </c>
      <c r="BJ137" s="61" t="n">
        <f aca="false">IFERROR(IF(SUMPRODUCT((LEN(BE137)-LEN(SUBSTITUTE(BE137," "&amp;L_Pending&amp;" "," ")))/(LEN(L_Pending)+1))&gt;SUMPRODUCT((LEN(BE137)-LEN(SUBSTITUTE(BE137," "&amp;L_PendNeg&amp;" "," ")))/(LEN(L_PendNeg)+1))+SUMPRODUCT((LEN(BE137)-LEN(SUBSTITUTE(BE137," "&amp;L_PendPrep&amp;" "," ")))/(LEN(L_PendPrep)+1)),1,0),1)</f>
        <v>0</v>
      </c>
      <c r="BK137" s="61" t="n">
        <f aca="false">IFERROR(IF(SUMPRODUCT((LEN(BF137)-LEN(SUBSTITUTE(BF137," "&amp;L_PendStrict&amp;" "," ")))/(LEN(L_PendStrict)+1))&gt;SUMPRODUCT((LEN(BF137)-LEN(SUBSTITUTE(BF137," "&amp;L_PendNeg&amp;" "," ")))/(LEN(L_PendNeg)+1)),1,0),1)</f>
        <v>0</v>
      </c>
      <c r="BL137" s="61" t="n">
        <f aca="false">IF(ISNA(MATCH(TRIM(S137),L_EvidenceType,0)),0,BZ137)</f>
        <v>0</v>
      </c>
      <c r="BM137" s="61" t="str">
        <f aca="false">SUBSTITUTE(SUBSTITUTE(SUBSTITUTE(SUBSTITUTE(SUBSTITUTE(SUBSTITUTE(SUBSTITUTE(SUBSTITUTE(SUBSTITUTE(LOWER(Z137&amp;""),"1","0"),"2","0"),"3","0"),"4","0"),"5","0"),"6","0"),"7","0"),"8","0"),"9","0")</f>
        <v/>
      </c>
      <c r="BN137" s="61" t="str">
        <f aca="false">SUBSTITUTE(SUBSTITUTE(SUBSTITUTE(SUBSTITUTE(SUBSTITUTE(SUBSTITUTE(SUBSTITUTE(SUBSTITUTE(SUBSTITUTE(SUBSTITUTE(SUBSTITUTE(SUBSTITUTE(SUBSTITUTE(SUBSTITUTE(SUBSTITUTE(SUBSTITUTE(SUBSTITUTE(SUBSTITUTE(SUBSTITUTE(SUBSTITUTE(SUBSTITUTE(SUBSTITUTE(SUBSTITUTE(SUBSTITUTE(SUBSTITUTE(BM137,"b","a"),"c","a"),"d","a"),"e","a"),"f","a"),"g","a"),"h","a"),"i","a"),"j","a"),"k","a"),"l","a"),"m","a"),"n","a"),"o","a"),"p","a"),"q","a"),"r","a"),"s","a"),"t","a"),"u","a"),"v","a"),"w","a"),"x","a"),"y","a"),"z","a")</f>
        <v/>
      </c>
      <c r="BO137" s="61" t="str">
        <f aca="false">SUBSTITUTE(SUBSTITUTE(SUBSTITUTE(SUBSTITUTE(SUBSTITUTE(SUBSTITUTE(SUBSTITUTE(SUBSTITUTE(SUBSTITUTE(LOWER(W137&amp;""),"1","0"),"2","0"),"3","0"),"4","0"),"5","0"),"6","0"),"7","0"),"8","0"),"9","0")</f>
        <v/>
      </c>
      <c r="BP137" s="61" t="str">
        <f aca="false">SUBSTITUTE(SUBSTITUTE(SUBSTITUTE(SUBSTITUTE(SUBSTITUTE(SUBSTITUTE(SUBSTITUTE(SUBSTITUTE(SUBSTITUTE(SUBSTITUTE(SUBSTITUTE(SUBSTITUTE(SUBSTITUTE(SUBSTITUTE(SUBSTITUTE(SUBSTITUTE(SUBSTITUTE(SUBSTITUTE(SUBSTITUTE(SUBSTITUTE(SUBSTITUTE(SUBSTITUTE(SUBSTITUTE(SUBSTITUTE(SUBSTITUTE(BO137,"b","a"),"c","a"),"d","a"),"e","a"),"f","a"),"g","a"),"h","a"),"i","a"),"j","a"),"k","a"),"l","a"),"m","a"),"n","a"),"o","a"),"p","a"),"q","a"),"r","a"),"s","a"),"t","a"),"u","a"),"v","a"),"w","a"),"x","a"),"y","a"),"z","a")</f>
        <v/>
      </c>
      <c r="BQ137" s="61" t="n">
        <f aca="false">IFERROR(IF(AND(ISERROR(SEARCH(" mh"," "&amp;LOWER(W137))),ISNA(MATCH(LEFT(TRIM(BP137),255),{"0000a","000a","00a","0000aa","000aa","00aa","0aa","0000aaa","000aaa","00a00","0a00","0000-0000","00:00","a00","a0","00.00.0000","00/00/0000","00-00-0000","0000-00-00","0000/00/00","0000.00.00","00.00.00","00/00/00","00-00-00","0.00.0000","0/00/0000","0-00-0000"},0)),ISNA(MATCH(LEFT(TRIM(CA137),255),{"0000a","000a","00a","0000aa","000aa","00aa","0aa","0000aaa","000aaa","00a00","0a00","0000-0000","00:00","a00","a0","00.00.0000","00/00/0000","00-00-0000","0000-00-00","0000/00/00","0000.00.00","00.00.00","00/00/00","00-00-00","0.00.0000","0/00/0000","0-00-0000"},0)),LEN(CB137)&gt;=3,NOT(OR(SUBSTITUTE(CB137,"0","")="",AND(LEN(CB137)&gt;=4,CB137=REPT(LEFT(CB137),LEN(CB137))),ISNUMBER(MATCH(CB137,{"123","1234","12345","123456","1234567","12345678","0123","01234","012345","98765","987654","54321"},0)),AND(LEN(CB137)=8,LEFT(CB137,3)="202"))),OR(AND((LEN(CA137)-LEN(SUBSTITUTE(CA137,"a","")))&gt;=1,SUMPRODUCT(--ISNUMBER(SEARCH({"a0","a-0","a_0","a/0","a.0","a#0","0a","0-a","0_a","0/a"},BP137)))&gt;0),ISNUMBER(SEARCH("000000",BP137)))),1,0),0)</f>
        <v>0</v>
      </c>
      <c r="BR137" s="61" t="n">
        <f aca="false">IFERROR(LEN(SUBSTITUTE(CC137," ",""))-SUMPRODUCT((LEN(CC137)-LEN(SUBSTITUTE(CC137," "&amp;L_Role&amp;" "," ")))/(LEN(L_Role)+1)*LEN(L_Role)),0)</f>
        <v>0</v>
      </c>
      <c r="BS137" s="61" t="n">
        <f aca="false">IFERROR(LEN(SUBSTITUTE(CD137," ",""))-SUMPRODUCT((LEN(CD137)-LEN(SUBSTITUTE(CD137," "&amp;L_Role&amp;" "," ")))/(LEN(L_Role)+1)*LEN(L_Role)),0)</f>
        <v>0</v>
      </c>
      <c r="BT1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137,"revision",""),"version",""),"jan",""),"feb",""),"mar",""),"apr",""),"may",""),"jun",""),"jul",""),"aug",""),"sep",""),"oct",""),"nov",""),"dec",""),"utc",""),"gmt",""),"myt",""),"bst",""),"rev",""),"ver",""),"b","a"),"c","a"),"d","a"),"e","a"),"f","a"),"g","a"),"h","a"),"i","a"),"j","a"),"k","a"),"l","a"),"m","a"),"n","a"),"o","a"),"p","a"),"q","a"),"r","a"),"s","a"),"t","a"),"u","a"),"v","a"),"w","a"),"x","a"),"y","a"),"z","a")</f>
        <v/>
      </c>
      <c r="BU137" s="61" t="str">
        <f aca="false">SUBSTITUTE(SUBSTITUTE(SUBSTITUTE(SUBSTITUTE(SUBSTITUTE(SUBSTITUTE(SUBSTITUTE(SUBSTITUTE(SUBSTITUTE(SUBSTITUTE(LEFT(BM137,FIND("0",BM137&amp;"0")-1),"-",""),"_",""),"/",""),".",""),"#",""),"\\",""),":","")," ",""),"(",""),")","")</f>
        <v/>
      </c>
      <c r="BV137" s="61" t="n">
        <f aca="false">0</f>
        <v>0</v>
      </c>
      <c r="BW1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137&amp;""),"a",""),"b",""),"c",""),"d",""),"e",""),"f",""),"g",""),"h",""),"i",""),"j",""),"k",""),"l",""),"m",""),"n",""),"o",""),"p",""),"q",""),"r",""),"s",""),"t",""),"u",""),"v",""),"w",""),"x",""),"y",""),"z",""),"-",""),"_",""),"/",""),".",""),"#",""),"\\",""),":","")," ",""),"(",""),")","")</f>
        <v/>
      </c>
      <c r="BX137" s="61" t="str">
        <f aca="false">SUBSTITUTE(SUBSTITUTE(SUBSTITUTE(SUBSTITUTE(SUBSTITUTE(SUBSTITUTE(SUBSTITUTE(SUBSTITUTE(SUBSTITUTE(SUBSTITUTE(SUBSTITUTE(BM137,"0",""),"-",""),"_",""),"/",""),".",""),"#",""),"\\",""),":","")," ",""),"(",""),")","")</f>
        <v/>
      </c>
      <c r="BY137" s="62" t="n">
        <f aca="false">Q137-T7EarlyD*24/24</f>
        <v>46289.0451388889</v>
      </c>
      <c r="BZ137" s="61" t="n">
        <f aca="false">IFERROR(IF(IF(TRIM(S137)="Link / file path",AND(LEN(TRIM(Z137))&gt;=5,SUMPRODUCT(--ISNUMBER(SEARCH({"http","www.","\\",":\",".pdf",".jpg",".jpeg",".png",".heic",".xls",".doc",".msg",".eml",".ppt",".txt",".zip"},Z137)))&gt;0),AND(ISERROR(FIND(" ",TRIM(Z137))),NOT(OR(SUMPRODUCT(--ISNUMBER(FIND({",",";","&amp;","+"},Z137)))&gt;0,SUMPRODUCT(--ISNUMBER(SEARCH({"0/aa","0\\aa"},BN137)))&gt;0)),NOT(SUMPRODUCT(--ISNUMBER(SEARCH({"http","www.","\\",":\",".pdf",".jpg",".jpeg",".png",".heic",".xls",".doc",".msg",".eml",".ppt",".txt",".zip"},Z137)))&gt;0),NOT(LOWER(TRIM(Z137))=LOWER(Flights!$F$9)),ISNA(MATCH(BU137,{"mh","rev","revision","ver","version","v","r","a","b","seat","tray","row","gate","bay","stand","page","pg","item","line","no","cart","galley","flight","flt","table","box","bag","oven","etd","eta","std","sta","atd","ata","qty","pax","x","time","tel","ph","mob","day","wk","week","utc","gmt","myt","lt"},0)),NOT(OR(ISNUMBER(MATCH(LEFT(BN137,255),{"0000a","000a","00a","0000aa","000aa","00aa","0aa","0000aaa","000aaa","00a00","0a00","0000-0000","00:00","a00","a0","00.00.0000","00/00/0000","00-00-0000","0000-00-00","0000/00/00","0000.00.00","00.00.00","00/00/00","00-00-00","0.00.0000","0/00/0000","0-00-0000"},0)),ISNUMBER(MATCH(LEFT(BT137,255),{"0000a","000a","00a","0000aa","000aa","00aa","0aa","0000aaa","000aaa","00a00","0a00","0000-0000","00:00","a00","a0","00.00.0000","00/00/0000","00-00-0000","0000-00-00","0000/00/00","0000.00.00","00.00.00","00/00/00","00-00-00","0.00.0000","0/00/0000","0-00-0000"},0)))),NOT(OR(AND(BW137&lt;&gt;"",SUBSTITUTE(BW137,"0","")=""),AND(LEN(BW137)&gt;=4,BW137=REPT(LEFT(BW137),LEN(BW137))),ISNUMBER(MATCH(BW137,{"123","1234","12345","123456","1234567","12345678","0123","01234","012345","98765","987654","54321"},0)),ISNUMBER(MATCH(BX137,{"x","xx","xxx","xxxx","xxxxx","abc","abcd","nil","na","nan","test","tbc","tba","tbd","dummy","sample","example","eg","zz","zzz","none","null","xyz","qwe","asd","id","ref"},0)),AND(LEN(BW137)=8,BX137="",OR(LEFT(BW137,3)="202",ISNUMBER(MATCH(RIGHT(BW137,4),{"2025","2026","2027"},0)))))),OR(AND((LEN(BT137)-LEN(SUBSTITUTE(BT137,"a","")))&gt;=1,(LEN(BN137)-LEN(SUBSTITUTE(BN137,"0","")))&gt;=2,SUMPRODUCT(--ISNUMBER(SEARCH({"a0","a-0","a_0","a/0","a.0","a#0","0a","0-a","0_a","0/a"},BN137)))&gt;0),AND((LEN(BN137)-LEN(SUBSTITUTE(BN137,"a","")))=0,(LEN(BN137)-LEN(SUBSTITUTE(BN137,"0","")))&gt;=5)))),1,0),0)</f>
        <v>0</v>
      </c>
      <c r="CA1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137,"revision",""),"version",""),"jan",""),"feb",""),"mar",""),"apr",""),"may",""),"jun",""),"jul",""),"aug",""),"sep",""),"oct",""),"nov",""),"dec",""),"utc",""),"gmt",""),"myt",""),"bst",""),"rev",""),"ver",""),"b","a"),"c","a"),"d","a"),"e","a"),"f","a"),"g","a"),"h","a"),"i","a"),"j","a"),"k","a"),"l","a"),"m","a"),"n","a"),"o","a"),"p","a"),"q","a"),"r","a"),"s","a"),"t","a"),"u","a"),"v","a"),"w","a"),"x","a"),"y","a"),"z","a")</f>
        <v/>
      </c>
      <c r="CB1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137&amp;""),"a",""),"b",""),"c",""),"d",""),"e",""),"f",""),"g",""),"h",""),"i",""),"j",""),"k",""),"l",""),"m",""),"n",""),"o",""),"p",""),"q",""),"r",""),"s",""),"t",""),"u",""),"v",""),"w",""),"x",""),"y",""),"z",""),"-",""),"_",""),"/",""),".",""),"#",""),"\\",""),":","")," ",""),"(",""),")","")</f>
        <v/>
      </c>
      <c r="CC137" s="0" t="str">
        <f aca="false">" "&amp;TRIM(SUBSTITUTE(SUBSTITUTE(SUBSTITUTE(SUBSTITUTE(SUBSTITUTE(SUBSTITUTE(SUBSTITUTE(SUBSTITUTE(SUBSTITUTE(SUBSTITUTE(SUBSTITUTE(SUBSTITUTE(SUBSTITUTE(SUBSTITUTE(SUBSTITUTE(SUBSTITUTE(SUBSTITUTE(SUBSTITUTE(SUBSTITUTE(SUBSTITUTE(SUBSTITUTE(SUBSTITUTE(SUBSTITUTE(SUBSTITUTE(LOWER(T137&amp;""),CHAR(10)," "),CHAR(13)," "),CHAR(9)," "),CHAR(160)," "),"."," "),","," "),"-"," "),"/"," "),"("," "),")"," "),":"," "),";"," "),"_"," "),"–"," "),"?"," "),"!"," "),"*"," "),"["," "),"]"," "),"'"," "),"#"," "),"+"," "),"&amp;"," "),"\"," "))&amp;" "</f>
        <v>  </v>
      </c>
      <c r="CD137" s="0" t="str">
        <f aca="false">" "&amp;TRIM(SUBSTITUTE(SUBSTITUTE(SUBSTITUTE(SUBSTITUTE(SUBSTITUTE(SUBSTITUTE(SUBSTITUTE(SUBSTITUTE(SUBSTITUTE(SUBSTITUTE(SUBSTITUTE(SUBSTITUTE(SUBSTITUTE(SUBSTITUTE(SUBSTITUTE(SUBSTITUTE(SUBSTITUTE(SUBSTITUTE(SUBSTITUTE(SUBSTITUTE(SUBSTITUTE(SUBSTITUTE(SUBSTITUTE(SUBSTITUTE(LOWER(AE137&amp;""),CHAR(10)," "),CHAR(13)," "),CHAR(9)," "),CHAR(160)," "),"."," "),","," "),"-"," "),"/"," "),"("," "),")"," "),":"," "),";"," "),"_"," "),"–"," "),"?"," "),"!"," "),"*"," "),"["," "),"]"," "),"'"," "),"#"," "),"+"," "),"&amp;"," "),"\"," "))&amp;" "</f>
        <v>  </v>
      </c>
      <c r="CE137" s="68" t="n">
        <f aca="false">IFERROR(IF(AND(LEN(AU137)&gt;0,LEN(AU137)=LEN(AX137),OR(TRIM(MID(SUBSTITUTE(TRIM(CC137)," ",REPT(" ",60)),1,60))="",ISNUMBER(SEARCH(" "&amp;TRIM(MID(SUBSTITUTE(TRIM(CC137)," ",REPT(" ",60)),1,60))&amp;" ",CD137))),OR(TRIM(MID(SUBSTITUTE(TRIM(CC137)," ",REPT(" ",60)),61,60))="",ISNUMBER(SEARCH(" "&amp;TRIM(MID(SUBSTITUTE(TRIM(CC137)," ",REPT(" ",60)),61,60))&amp;" ",CD137))),OR(TRIM(MID(SUBSTITUTE(TRIM(CC137)," ",REPT(" ",60)),121,60))="",ISNUMBER(SEARCH(" "&amp;TRIM(MID(SUBSTITUTE(TRIM(CC137)," ",REPT(" ",60)),121,60))&amp;" ",CD137)))),1,0),0)</f>
        <v>0</v>
      </c>
      <c r="CG137" s="68" t="n">
        <f aca="false">IFERROR(LEN(SUBSTITUTE(BF137," ",""))-SUMPRODUCT((LEN(BF137)-LEN(SUBSTITUTE(BF137," "&amp;L_NAFiller&amp;" "," ")))/(LEN(L_NAFiller)+1)*LEN(L_NAFiller)),0)</f>
        <v>0</v>
      </c>
    </row>
    <row r="138" customFormat="false" ht="39.75" hidden="false" customHeight="true" outlineLevel="0" collapsed="false">
      <c r="A138" s="57" t="s">
        <v>662</v>
      </c>
      <c r="B138" s="57" t="s">
        <v>228</v>
      </c>
      <c r="C138" s="57" t="str">
        <f aca="false">Flights!$F$9</f>
        <v>MH0089</v>
      </c>
      <c r="D138" s="58" t="n">
        <f aca="false">Flights!$D$9</f>
        <v>46310</v>
      </c>
      <c r="E138" s="57" t="str">
        <f aca="false">Flights!$G$9&amp;"-"&amp;Flights!$H$9</f>
        <v>NRT-KUL</v>
      </c>
      <c r="F138" s="57" t="str">
        <f aca="false">Flights!$K$9</f>
        <v>EY</v>
      </c>
      <c r="G138" s="57" t="s">
        <v>81</v>
      </c>
      <c r="H138" s="57" t="s">
        <v>378</v>
      </c>
      <c r="I138" s="57" t="s">
        <v>385</v>
      </c>
      <c r="J138" s="57" t="s">
        <v>386</v>
      </c>
      <c r="K138" s="67" t="s">
        <v>387</v>
      </c>
      <c r="L138" s="67" t="s">
        <v>382</v>
      </c>
      <c r="M138" s="67"/>
      <c r="N138" s="67" t="s">
        <v>383</v>
      </c>
      <c r="O138" s="67"/>
      <c r="P138" s="57" t="s">
        <v>220</v>
      </c>
      <c r="Q138" s="59" t="n">
        <f aca="false">ROUND((Flights!$AC$9)*1440,0)/1440</f>
        <v>46303.0451388889</v>
      </c>
      <c r="R138" s="59" t="n">
        <f aca="false">Q138+(IF(AND(INDEX(TZ_DSTS,MATCH(P138,TZ_STN,0))&lt;&gt;"",Q138&gt;=INDEX(TZ_DSTS,MATCH(P138,TZ_STN,0)),Q138&lt;INDEX(TZ_DSTE,MATCH(P138,TZ_STN,0))),INDEX(TZ_DST,MATCH(P138,TZ_STN,0)),INDEX(TZ_STD,MATCH(P138,TZ_STN,0))))/24</f>
        <v>46303.4201388889</v>
      </c>
      <c r="S138" s="60"/>
      <c r="T138" s="60"/>
      <c r="U138" s="60"/>
      <c r="V138" s="60"/>
      <c r="W138" s="61"/>
      <c r="X138" s="60"/>
      <c r="Y138" s="60"/>
      <c r="Z138" s="60"/>
      <c r="AA138" s="60"/>
      <c r="AB138" s="60"/>
      <c r="AC138" s="60"/>
      <c r="AD138" s="66"/>
      <c r="AE138" s="60"/>
      <c r="AF138" s="61" t="str">
        <f aca="false">IF(AND(ISNUMBER(X138),ISNUMBER(Y138)),Y138-X138,"")</f>
        <v/>
      </c>
      <c r="AG138" s="62" t="str">
        <f aca="false">IF(ISNUMBER(AD138),AD138-(IF(AND(INDEX(TZ_DSTS,MATCH(P138,TZ_STN,0))&lt;&gt;"",(AD138-INDEX(TZ_STD,MATCH(P138,TZ_STN,0))/24)&gt;=INDEX(TZ_DSTS,MATCH(P138,TZ_STN,0)),(AD138-INDEX(TZ_STD,MATCH(P138,TZ_STN,0))/24)&lt;INDEX(TZ_DSTE,MATCH(P138,TZ_STN,0))),INDEX(TZ_DST,MATCH(P138,TZ_STN,0)),INDEX(TZ_STD,MATCH(P138,TZ_STN,0))))/24,"")</f>
        <v/>
      </c>
      <c r="AH138" s="65" t="str">
        <f aca="false">IFERROR(IF(N138="N/A – rule",IF(OR(TRIM(U138)="",TRIM(U138)="N/A",TRIM(U138)="Not started"),"N/A – RULE","INVALID – this check does not apply to this aircraft: clear the status (or correct the fleet on Flights)"),IF(TRIM(U138)="N/A",IF(AT138=0,"INVALID – N/A not permitted for this check",IF(AND(TRIM(AB138)&lt;&gt;"",TRIM(AB138)&lt;&gt;"Closed"),"INVALID – corrective action still open",IF(AND(NOT(OR(LEN(AZ138)&lt;15,ISNUMBER(MATCH(AZ138,L_Placeholder,0)))),BK138=0,CG138&gt;=8,NOT(OR(LEN(AU138)&lt;2,ISNUMBER(MATCH(AU138,L_Placeholder,0)))),BR138&gt;=3,NOT(OR(LEN(AX138)&lt;2,ISNUMBER(MATCH(AX138,L_Placeholder,0)))),BS138&gt;=3,TRIM(AE138)&lt;&gt;TRIM(T138),AX138&lt;&gt;AU138,CE138=0),"N/A – JUSTIFIED","INVALID – N/A needs a real, settled reason (not 'not applicable' / 'as above' / TBC), a named PIC and a different named verifier"))),IF(OR(TRIM(U138)="Pass",TRIM(U138)="Pass after CA"),IF(NOT(ISNUMBER(AD138)),"INVALID – completion time missing",IF(OR(OR(LEN(AU138)&lt;2,ISNUMBER(MATCH(AU138,L_Placeholder,0))),BR138&lt;3),"INVALID – PIC missing or not a named person (a role such as QA / CSM is not a name)",IF(OR(LEN(AV138)&lt;2,ISNUMBER(MATCH(AV138,L_Placeholder,0))),"INVALID – result / assessment missing",IF(OR(OR(LEN(AW138)&lt;3,ISNUMBER(MATCH(AW138,L_Placeholder,0))),SUMPRODUCT(--ISNUMBER(SEARCH(" "&amp;L_EvidencePhrase&amp;" ",BD138)))&gt;0,BI138=1),"INVALID – evidence missing, placeholder or not yet on file",IF(ISNA(MATCH(TRIM(S138),L_EvidenceType,0)),"INVALID – choose the evidence type from the list (column S)",IF(BL138=0,"INVALID – evidence ID must be the record's own ID only (e.g. SF-2210, IMG_2231, 1045521); a link / file name needs type 'Link / file path'",IF(OR(OR(LEN(AX138)&lt;2,ISNUMBER(MATCH(AX138,L_Placeholder,0))),BS138&lt;3),"INVALID – verifier missing or not a named person (a role such as QA / CSM is not a name)",IF(OR(AX138=AU138,CE138=1,AND(LEN(AU138)&gt;=4,ISNUMBER(SEARCH(AU138,AX138))),AND(LEN(AX138)&gt;=4,ISNUMBER(SEARCH(AX138,AU138)))),"INVALID – verifier must be a different, named person (not the PIC or a role)",IF(BH138=1,"INVALID – result not yet available (awaiting / TBC)",IF(BG138=1,"INVALID – result describes a problem: record Fail, then Pass after CA (or reword if it is not a problem)",IF(BV138=1,"INVALID – wording says not on board: an on-board confirmation needs the item loaded",IF(AND(AQ138=1,OR(OR(LEN(AY138)&lt;3,ISNUMBER(MATCH(AY138,L_Placeholder,0))),BJ138=1,BQ138=0)),"INVALID – batch ID missing, placeholder or not an ID (e.g. PASB-261008-BC-017)",IF(AND(AR138=1,OR(NOT(ISNUMBER(X138)),NOT(ISNUMBER(Y138)))),"INVALID – expected/actual qty missing",IF(AND(AR138=1,OR(X138&lt;=0,Y138&lt;0)),"INVALID – expected qty must be above 0 and actual not negative",IF(BB138&lt;&gt;"",BB138,IF(AND(AS138=1,Documents!$J$9&lt;&gt;"ON FILE"),"INVALID – GLD not on file (Documents sheet)",IF(AND(AS138=2,Documents!$O$9&lt;&gt;"ON FILE"),"INVALID – menu checklist not on file (Documents sheet)",IF(AND(AS138=3,NOT(ISNUMBER(Flights!$AX$9))),"INVALID – enter carrying flight KUL departure (Flights AX)",IF(AND(AS138=3,OR(Flights!$AZ$9&gt;Flights!$AA$9,Flights!$AX$9&lt;Flights!$AA$9-3)),"INVALID – carrying flight (Flights AX) cannot arrive before this leg's STD, or is over 3 days early",IF(AG138&gt;AsOfUTC,"INVALID – completion time is in the future",IF(AND(ISNUMBER(BY138),AG138&lt;BY138),IF(H138="Physical uplift","INVALID – before uplift window (cannot confirm loading)","INVALID – before valid window"),IF(AG138&gt;Flights!$AA$9,"INVALID – completed after departure (cannot establish readiness)",IF(AND(H138="Preparation",AG138&gt;=IF(ISNUMBER(Flights!$BA$9),MIN(Flights!$BA$9,Flights!$AA$9),Flights!$AA$9)),"INVALID – completed after loading / departure (cannot establish readiness)",IF(AND(H138="Physical uplift",AG138&gt;Q138),"INVALID – recorded after the loading flight departed",IF(AG138&gt;Q138,"COMPLETE – LATE","COMPLETE"))))))))))))))))))))))))),IF(TRIM(U138)="Fail","FAIL – DISCREPANCY",IF(AND(TRIM(U138)&lt;&gt;"",TRIM(U138)&lt;&gt;"Not started",TRIM(U138)&lt;&gt;"In progress"),"INVALID – unrecognised status (use the list)",IF(AsOfUTC&gt;Q138,"OVERDUE",IF(N138="Clarification required","OPEN – CLARIFICATION","OPEN"))))))),"INVALID – error value in an input cell")</f>
        <v>OPEN</v>
      </c>
      <c r="AI138" s="61" t="n">
        <f aca="false">IF(OR(AH138="N/A – RULE",AH138="N/A – JUSTIFIED"),0,1)</f>
        <v>1</v>
      </c>
      <c r="AJ138" s="61" t="n">
        <f aca="false">IF(LEFT(AH138,8)="COMPLETE",1,0)</f>
        <v>0</v>
      </c>
      <c r="AK138" s="61" t="n">
        <f aca="false">IF(AND(AI138=1,AJ138=0,AsOfUTC&gt;Q138),1,0)</f>
        <v>0</v>
      </c>
      <c r="AL138" s="61" t="n">
        <f aca="false">IFERROR(IF(AND(AI138=1,OR(TRIM(U138)="Fail",AND(TRIM(AB138)&lt;&gt;"",TRIM(AB138)&lt;&gt;"Closed"),AND(ISNUMBER(AF138),AF138&lt;&gt;0,TRIM(U138)&lt;&gt;"Pass after CA"))),1,0),1)</f>
        <v>0</v>
      </c>
      <c r="AM138" s="61" t="n">
        <f aca="false">IF(LEFT(AH138,7)="INVALID",1,0)</f>
        <v>0</v>
      </c>
      <c r="AN138" s="61" t="n">
        <f aca="false">IF(AND(N138="Clarification required",AI138=1,AJ138=0),1,0)</f>
        <v>0</v>
      </c>
      <c r="AO138" s="61" t="str">
        <f aca="false">IF(AK138=1,SUM(AK$5:AK138),"")</f>
        <v/>
      </c>
      <c r="AP138" s="61" t="str">
        <f aca="false">IF(AL138=1,SUM(AL$5:AL138),"")</f>
        <v/>
      </c>
      <c r="AQ138" s="61" t="n">
        <v>0</v>
      </c>
      <c r="AR138" s="61" t="n">
        <v>0</v>
      </c>
      <c r="AS138" s="61" t="n">
        <v>0</v>
      </c>
      <c r="AT138" s="61" t="n">
        <v>0</v>
      </c>
      <c r="AU138" s="61" t="str">
        <f aca="false">SUBSTITUTE(SUBSTITUTE(SUBSTITUTE(SUBSTITUTE(SUBSTITUTE(SUBSTITUTE(SUBSTITUTE(SUBSTITUTE(SUBSTITUTE(SUBSTITUTE(SUBSTITUTE(SUBSTITUTE(SUBSTITUTE(SUBSTITUTE(SUBSTITUTE(SUBSTITUTE(LOWER(T138&amp;""),CHAR(10),""),CHAR(13),""),CHAR(9),""),CHAR(160),"")," ",""),".",""),"-",""),"/",""),"?",""),"_",""),",",""),"[",""),"]",""),"(",""),")",""),"*","")</f>
        <v/>
      </c>
      <c r="AV138" s="61" t="str">
        <f aca="false">SUBSTITUTE(SUBSTITUTE(SUBSTITUTE(SUBSTITUTE(SUBSTITUTE(SUBSTITUTE(SUBSTITUTE(SUBSTITUTE(SUBSTITUTE(SUBSTITUTE(SUBSTITUTE(SUBSTITUTE(SUBSTITUTE(SUBSTITUTE(SUBSTITUTE(SUBSTITUTE(LOWER(V138&amp;""),CHAR(10),""),CHAR(13),""),CHAR(9),""),CHAR(160),"")," ",""),".",""),"-",""),"/",""),"?",""),"_",""),",",""),"[",""),"]",""),"(",""),")",""),"*","")</f>
        <v/>
      </c>
      <c r="AW138" s="61" t="str">
        <f aca="false">SUBSTITUTE(SUBSTITUTE(SUBSTITUTE(SUBSTITUTE(SUBSTITUTE(SUBSTITUTE(SUBSTITUTE(SUBSTITUTE(SUBSTITUTE(SUBSTITUTE(SUBSTITUTE(SUBSTITUTE(SUBSTITUTE(SUBSTITUTE(SUBSTITUTE(SUBSTITUTE(LOWER(Z138&amp;""),CHAR(10),""),CHAR(13),""),CHAR(9),""),CHAR(160),"")," ",""),".",""),"-",""),"/",""),"?",""),"_",""),",",""),"[",""),"]",""),"(",""),")",""),"*","")</f>
        <v/>
      </c>
      <c r="AX138" s="61" t="str">
        <f aca="false">SUBSTITUTE(SUBSTITUTE(SUBSTITUTE(SUBSTITUTE(SUBSTITUTE(SUBSTITUTE(SUBSTITUTE(SUBSTITUTE(SUBSTITUTE(SUBSTITUTE(SUBSTITUTE(SUBSTITUTE(SUBSTITUTE(SUBSTITUTE(SUBSTITUTE(SUBSTITUTE(LOWER(AE138&amp;""),CHAR(10),""),CHAR(13),""),CHAR(9),""),CHAR(160),"")," ",""),".",""),"-",""),"/",""),"?",""),"_",""),",",""),"[",""),"]",""),"(",""),")",""),"*","")</f>
        <v/>
      </c>
      <c r="AY138" s="61" t="str">
        <f aca="false">SUBSTITUTE(SUBSTITUTE(SUBSTITUTE(SUBSTITUTE(SUBSTITUTE(SUBSTITUTE(SUBSTITUTE(SUBSTITUTE(SUBSTITUTE(SUBSTITUTE(SUBSTITUTE(SUBSTITUTE(SUBSTITUTE(SUBSTITUTE(SUBSTITUTE(SUBSTITUTE(LOWER(W138&amp;""),CHAR(10),""),CHAR(13),""),CHAR(9),""),CHAR(160),"")," ",""),".",""),"-",""),"/",""),"?",""),"_",""),",",""),"[",""),"]",""),"(",""),")",""),"*","")</f>
        <v/>
      </c>
      <c r="AZ138" s="61" t="str">
        <f aca="false">SUBSTITUTE(SUBSTITUTE(SUBSTITUTE(SUBSTITUTE(SUBSTITUTE(SUBSTITUTE(SUBSTITUTE(SUBSTITUTE(SUBSTITUTE(SUBSTITUTE(SUBSTITUTE(SUBSTITUTE(SUBSTITUTE(SUBSTITUTE(SUBSTITUTE(SUBSTITUTE(LOWER(AC138&amp;""),CHAR(10),""),CHAR(13),""),CHAR(9),""),CHAR(160),"")," ",""),".",""),"-",""),"/",""),"?",""),"_",""),",",""),"[",""),"]",""),"(",""),")",""),"*","")</f>
        <v/>
      </c>
      <c r="BA138" s="61" t="str">
        <f aca="false">SUBSTITUTE(SUBSTITUTE(SUBSTITUTE(SUBSTITUTE(SUBSTITUTE(SUBSTITUTE(SUBSTITUTE(SUBSTITUTE(SUBSTITUTE(SUBSTITUTE(SUBSTITUTE(SUBSTITUTE(SUBSTITUTE(SUBSTITUTE(SUBSTITUTE(SUBSTITUTE(LOWER(AA138&amp;""),CHAR(10),""),CHAR(13),""),CHAR(9),""),CHAR(160),"")," ",""),".",""),"-",""),"/",""),"?",""),"_",""),",",""),"[",""),"]",""),"(",""),")",""),"*","")</f>
        <v/>
      </c>
      <c r="BB138" s="61" t="str">
        <f aca="false">IF(AND(TRIM(U138)="Pass",ISNUMBER(AF138)),IF(AF138&lt;&gt;0,"INVALID – qty variance: use Fail or Pass after CA",""),"")&amp;IF(AND(TRIM(U138)="Pass after CA",ISNUMBER(AF138)),IF(AF138&lt;&gt;0,"INVALID – after the corrective action the actual qty must equal expected (update Actual)",""),"")&amp;IF(AND(TRIM(U138)="Pass",TRIM(AB138)&lt;&gt;"",TRIM(AB138)&lt;&gt;"Closed"),"INVALID – corrective action not closed: use Fail, then Pass after CA","")&amp;IF(AND(LEN(BA138)&gt;=2,ISNA(MATCH(LEFT(BA138,255),L_Placeholder,0)),TRIM(AB138)=""),"INVALID – CA status missing for the recorded corrective action","")&amp;IF(AND(TRIM(U138)="Pass after CA",OR(OR(LEN(BA138)&lt;5,ISNUMBER(MATCH(BA138,L_Placeholder,0))),TRIM(AB138)&lt;&gt;"Closed")),"INVALID – corrective action not recorded/closed","")</f>
        <v/>
      </c>
      <c r="BC138" s="61" t="str">
        <f aca="false">" "&amp;TRIM(SUBSTITUTE(SUBSTITUTE(SUBSTITUTE(SUBSTITUTE(SUBSTITUTE(SUBSTITUTE(SUBSTITUTE(SUBSTITUTE(SUBSTITUTE(SUBSTITUTE(SUBSTITUTE(SUBSTITUTE(SUBSTITUTE(SUBSTITUTE(SUBSTITUTE(SUBSTITUTE(SUBSTITUTE(SUBSTITUTE(SUBSTITUTE(SUBSTITUTE(SUBSTITUTE(SUBSTITUTE(SUBSTITUTE(SUBSTITUTE(LOWER(V138&amp;""),CHAR(10)," "),CHAR(13)," "),CHAR(9)," "),CHAR(160)," "),"."," "),","," "),"-"," "),"/"," "),"("," "),")"," "),":"," "),";"," "),"_"," "),"–"," "),"?"," "),"!"," "),"*"," "),"["," "),"]"," "),"'"," "),"#"," "),"+"," "),"&amp;"," "),"\"," "))&amp;" "</f>
        <v>  </v>
      </c>
      <c r="BD138" s="61" t="str">
        <f aca="false">" "&amp;TRIM(SUBSTITUTE(SUBSTITUTE(SUBSTITUTE(SUBSTITUTE(SUBSTITUTE(SUBSTITUTE(SUBSTITUTE(SUBSTITUTE(SUBSTITUTE(SUBSTITUTE(SUBSTITUTE(SUBSTITUTE(SUBSTITUTE(SUBSTITUTE(SUBSTITUTE(SUBSTITUTE(SUBSTITUTE(SUBSTITUTE(SUBSTITUTE(SUBSTITUTE(SUBSTITUTE(SUBSTITUTE(SUBSTITUTE(SUBSTITUTE(LOWER(Z138&amp;""),CHAR(10)," "),CHAR(13)," "),CHAR(9)," "),CHAR(160)," "),"."," "),","," "),"-"," "),"/"," "),"("," "),")"," "),":"," "),";"," "),"_"," "),"–"," "),"?"," "),"!"," "),"*"," "),"["," "),"]"," "),"'"," "),"#"," "),"+"," "),"&amp;"," "),"\"," "))&amp;" "</f>
        <v>  </v>
      </c>
      <c r="BE138" s="61" t="str">
        <f aca="false">" "&amp;TRIM(SUBSTITUTE(SUBSTITUTE(SUBSTITUTE(SUBSTITUTE(SUBSTITUTE(SUBSTITUTE(SUBSTITUTE(SUBSTITUTE(SUBSTITUTE(SUBSTITUTE(SUBSTITUTE(SUBSTITUTE(SUBSTITUTE(SUBSTITUTE(SUBSTITUTE(SUBSTITUTE(SUBSTITUTE(SUBSTITUTE(SUBSTITUTE(SUBSTITUTE(SUBSTITUTE(SUBSTITUTE(SUBSTITUTE(SUBSTITUTE(LOWER(W138&amp;""),CHAR(10)," "),CHAR(13)," "),CHAR(9)," "),CHAR(160)," "),"."," "),","," "),"-"," "),"/"," "),"("," "),")"," "),":"," "),";"," "),"_"," "),"–"," "),"?"," "),"!"," "),"*"," "),"["," "),"]"," "),"'"," "),"#"," "),"+"," "),"&amp;"," "),"\"," "))&amp;" "</f>
        <v>  </v>
      </c>
      <c r="BF138" s="61" t="str">
        <f aca="false">" "&amp;TRIM(SUBSTITUTE(SUBSTITUTE(SUBSTITUTE(SUBSTITUTE(SUBSTITUTE(SUBSTITUTE(SUBSTITUTE(SUBSTITUTE(SUBSTITUTE(SUBSTITUTE(SUBSTITUTE(SUBSTITUTE(SUBSTITUTE(SUBSTITUTE(SUBSTITUTE(SUBSTITUTE(SUBSTITUTE(SUBSTITUTE(SUBSTITUTE(SUBSTITUTE(SUBSTITUTE(SUBSTITUTE(SUBSTITUTE(SUBSTITUTE(LOWER(AC138&amp;""),CHAR(10)," "),CHAR(13)," "),CHAR(9)," "),CHAR(160)," "),"."," "),","," "),"-"," "),"/"," "),"("," "),")"," "),":"," "),";"," "),"_"," "),"–"," "),"?"," "),"!"," "),"*"," "),"["," "),"]"," "),"'"," "),"#"," "),"+"," "),"&amp;"," "),"\"," "))&amp;" "</f>
        <v>  </v>
      </c>
      <c r="BG138" s="61" t="n">
        <f aca="false">IFERROR(IF(AND(TRIM(U138)="Pass",SUMPRODUCT((LEN(BC138)-LEN(SUBSTITUTE(BC138," "&amp;L_ResultBad&amp;" "," ")))/(LEN(L_ResultBad)+1))&gt;SUMPRODUCT((LEN(BC138)-LEN(SUBSTITUTE(BC138," "&amp;L_NegPhrase&amp;" "," ")))/(LEN(L_NegPhrase)+1))),1,0),0)</f>
        <v>0</v>
      </c>
      <c r="BH138" s="61" t="n">
        <f aca="false">IFERROR(IF(SUMPRODUCT((LEN(BC138)-LEN(SUBSTITUTE(BC138," "&amp;L_Pending&amp;" "," ")))/(LEN(L_Pending)+1))&gt;SUMPRODUCT((LEN(BC138)-LEN(SUBSTITUTE(BC138," "&amp;L_PendNeg&amp;" "," ")))/(LEN(L_PendNeg)+1))+SUMPRODUCT((LEN(BC138)-LEN(SUBSTITUTE(BC138," "&amp;L_PendPrep&amp;" "," ")))/(LEN(L_PendPrep)+1)),1,0),1)</f>
        <v>0</v>
      </c>
      <c r="BI138" s="61" t="n">
        <f aca="false">IFERROR(IF(SUMPRODUCT((LEN(BD138)-LEN(SUBSTITUTE(BD138," "&amp;L_PendStrict&amp;" "," ")))/(LEN(L_PendStrict)+1))&gt;SUMPRODUCT((LEN(BD138)-LEN(SUBSTITUTE(BD138," "&amp;L_PendNeg&amp;" "," ")))/(LEN(L_PendNeg)+1)),1,0),1)</f>
        <v>0</v>
      </c>
      <c r="BJ138" s="61" t="n">
        <f aca="false">IFERROR(IF(SUMPRODUCT((LEN(BE138)-LEN(SUBSTITUTE(BE138," "&amp;L_Pending&amp;" "," ")))/(LEN(L_Pending)+1))&gt;SUMPRODUCT((LEN(BE138)-LEN(SUBSTITUTE(BE138," "&amp;L_PendNeg&amp;" "," ")))/(LEN(L_PendNeg)+1))+SUMPRODUCT((LEN(BE138)-LEN(SUBSTITUTE(BE138," "&amp;L_PendPrep&amp;" "," ")))/(LEN(L_PendPrep)+1)),1,0),1)</f>
        <v>0</v>
      </c>
      <c r="BK138" s="61" t="n">
        <f aca="false">IFERROR(IF(SUMPRODUCT((LEN(BF138)-LEN(SUBSTITUTE(BF138," "&amp;L_PendStrict&amp;" "," ")))/(LEN(L_PendStrict)+1))&gt;SUMPRODUCT((LEN(BF138)-LEN(SUBSTITUTE(BF138," "&amp;L_PendNeg&amp;" "," ")))/(LEN(L_PendNeg)+1)),1,0),1)</f>
        <v>0</v>
      </c>
      <c r="BL138" s="61" t="n">
        <f aca="false">IF(ISNA(MATCH(TRIM(S138),L_EvidenceType,0)),0,BZ138)</f>
        <v>0</v>
      </c>
      <c r="BM138" s="61" t="str">
        <f aca="false">SUBSTITUTE(SUBSTITUTE(SUBSTITUTE(SUBSTITUTE(SUBSTITUTE(SUBSTITUTE(SUBSTITUTE(SUBSTITUTE(SUBSTITUTE(LOWER(Z138&amp;""),"1","0"),"2","0"),"3","0"),"4","0"),"5","0"),"6","0"),"7","0"),"8","0"),"9","0")</f>
        <v/>
      </c>
      <c r="BN138" s="61" t="str">
        <f aca="false">SUBSTITUTE(SUBSTITUTE(SUBSTITUTE(SUBSTITUTE(SUBSTITUTE(SUBSTITUTE(SUBSTITUTE(SUBSTITUTE(SUBSTITUTE(SUBSTITUTE(SUBSTITUTE(SUBSTITUTE(SUBSTITUTE(SUBSTITUTE(SUBSTITUTE(SUBSTITUTE(SUBSTITUTE(SUBSTITUTE(SUBSTITUTE(SUBSTITUTE(SUBSTITUTE(SUBSTITUTE(SUBSTITUTE(SUBSTITUTE(SUBSTITUTE(BM138,"b","a"),"c","a"),"d","a"),"e","a"),"f","a"),"g","a"),"h","a"),"i","a"),"j","a"),"k","a"),"l","a"),"m","a"),"n","a"),"o","a"),"p","a"),"q","a"),"r","a"),"s","a"),"t","a"),"u","a"),"v","a"),"w","a"),"x","a"),"y","a"),"z","a")</f>
        <v/>
      </c>
      <c r="BO138" s="61" t="str">
        <f aca="false">SUBSTITUTE(SUBSTITUTE(SUBSTITUTE(SUBSTITUTE(SUBSTITUTE(SUBSTITUTE(SUBSTITUTE(SUBSTITUTE(SUBSTITUTE(LOWER(W138&amp;""),"1","0"),"2","0"),"3","0"),"4","0"),"5","0"),"6","0"),"7","0"),"8","0"),"9","0")</f>
        <v/>
      </c>
      <c r="BP138" s="61" t="str">
        <f aca="false">SUBSTITUTE(SUBSTITUTE(SUBSTITUTE(SUBSTITUTE(SUBSTITUTE(SUBSTITUTE(SUBSTITUTE(SUBSTITUTE(SUBSTITUTE(SUBSTITUTE(SUBSTITUTE(SUBSTITUTE(SUBSTITUTE(SUBSTITUTE(SUBSTITUTE(SUBSTITUTE(SUBSTITUTE(SUBSTITUTE(SUBSTITUTE(SUBSTITUTE(SUBSTITUTE(SUBSTITUTE(SUBSTITUTE(SUBSTITUTE(SUBSTITUTE(BO138,"b","a"),"c","a"),"d","a"),"e","a"),"f","a"),"g","a"),"h","a"),"i","a"),"j","a"),"k","a"),"l","a"),"m","a"),"n","a"),"o","a"),"p","a"),"q","a"),"r","a"),"s","a"),"t","a"),"u","a"),"v","a"),"w","a"),"x","a"),"y","a"),"z","a")</f>
        <v/>
      </c>
      <c r="BQ138" s="61" t="n">
        <f aca="false">IFERROR(IF(AND(ISERROR(SEARCH(" mh"," "&amp;LOWER(W138))),ISNA(MATCH(LEFT(TRIM(BP138),255),{"0000a","000a","00a","0000aa","000aa","00aa","0aa","0000aaa","000aaa","00a00","0a00","0000-0000","00:00","a00","a0","00.00.0000","00/00/0000","00-00-0000","0000-00-00","0000/00/00","0000.00.00","00.00.00","00/00/00","00-00-00","0.00.0000","0/00/0000","0-00-0000"},0)),ISNA(MATCH(LEFT(TRIM(CA138),255),{"0000a","000a","00a","0000aa","000aa","00aa","0aa","0000aaa","000aaa","00a00","0a00","0000-0000","00:00","a00","a0","00.00.0000","00/00/0000","00-00-0000","0000-00-00","0000/00/00","0000.00.00","00.00.00","00/00/00","00-00-00","0.00.0000","0/00/0000","0-00-0000"},0)),LEN(CB138)&gt;=3,NOT(OR(SUBSTITUTE(CB138,"0","")="",AND(LEN(CB138)&gt;=4,CB138=REPT(LEFT(CB138),LEN(CB138))),ISNUMBER(MATCH(CB138,{"123","1234","12345","123456","1234567","12345678","0123","01234","012345","98765","987654","54321"},0)),AND(LEN(CB138)=8,LEFT(CB138,3)="202"))),OR(AND((LEN(CA138)-LEN(SUBSTITUTE(CA138,"a","")))&gt;=1,SUMPRODUCT(--ISNUMBER(SEARCH({"a0","a-0","a_0","a/0","a.0","a#0","0a","0-a","0_a","0/a"},BP138)))&gt;0),ISNUMBER(SEARCH("000000",BP138)))),1,0),0)</f>
        <v>0</v>
      </c>
      <c r="BR138" s="61" t="n">
        <f aca="false">IFERROR(LEN(SUBSTITUTE(CC138," ",""))-SUMPRODUCT((LEN(CC138)-LEN(SUBSTITUTE(CC138," "&amp;L_Role&amp;" "," ")))/(LEN(L_Role)+1)*LEN(L_Role)),0)</f>
        <v>0</v>
      </c>
      <c r="BS138" s="61" t="n">
        <f aca="false">IFERROR(LEN(SUBSTITUTE(CD138," ",""))-SUMPRODUCT((LEN(CD138)-LEN(SUBSTITUTE(CD138," "&amp;L_Role&amp;" "," ")))/(LEN(L_Role)+1)*LEN(L_Role)),0)</f>
        <v>0</v>
      </c>
      <c r="BT1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138,"revision",""),"version",""),"jan",""),"feb",""),"mar",""),"apr",""),"may",""),"jun",""),"jul",""),"aug",""),"sep",""),"oct",""),"nov",""),"dec",""),"utc",""),"gmt",""),"myt",""),"bst",""),"rev",""),"ver",""),"b","a"),"c","a"),"d","a"),"e","a"),"f","a"),"g","a"),"h","a"),"i","a"),"j","a"),"k","a"),"l","a"),"m","a"),"n","a"),"o","a"),"p","a"),"q","a"),"r","a"),"s","a"),"t","a"),"u","a"),"v","a"),"w","a"),"x","a"),"y","a"),"z","a")</f>
        <v/>
      </c>
      <c r="BU138" s="61" t="str">
        <f aca="false">SUBSTITUTE(SUBSTITUTE(SUBSTITUTE(SUBSTITUTE(SUBSTITUTE(SUBSTITUTE(SUBSTITUTE(SUBSTITUTE(SUBSTITUTE(SUBSTITUTE(LEFT(BM138,FIND("0",BM138&amp;"0")-1),"-",""),"_",""),"/",""),".",""),"#",""),"\\",""),":","")," ",""),"(",""),")","")</f>
        <v/>
      </c>
      <c r="BV138" s="61" t="n">
        <f aca="false">0</f>
        <v>0</v>
      </c>
      <c r="BW1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138&amp;""),"a",""),"b",""),"c",""),"d",""),"e",""),"f",""),"g",""),"h",""),"i",""),"j",""),"k",""),"l",""),"m",""),"n",""),"o",""),"p",""),"q",""),"r",""),"s",""),"t",""),"u",""),"v",""),"w",""),"x",""),"y",""),"z",""),"-",""),"_",""),"/",""),".",""),"#",""),"\\",""),":","")," ",""),"(",""),")","")</f>
        <v/>
      </c>
      <c r="BX138" s="61" t="str">
        <f aca="false">SUBSTITUTE(SUBSTITUTE(SUBSTITUTE(SUBSTITUTE(SUBSTITUTE(SUBSTITUTE(SUBSTITUTE(SUBSTITUTE(SUBSTITUTE(SUBSTITUTE(SUBSTITUTE(BM138,"0",""),"-",""),"_",""),"/",""),".",""),"#",""),"\\",""),":","")," ",""),"(",""),")","")</f>
        <v/>
      </c>
      <c r="BY138" s="62" t="n">
        <f aca="false">Q138-T7EarlyD*24/24</f>
        <v>46289.0451388889</v>
      </c>
      <c r="BZ138" s="61" t="n">
        <f aca="false">IFERROR(IF(IF(TRIM(S138)="Link / file path",AND(LEN(TRIM(Z138))&gt;=5,SUMPRODUCT(--ISNUMBER(SEARCH({"http","www.","\\",":\",".pdf",".jpg",".jpeg",".png",".heic",".xls",".doc",".msg",".eml",".ppt",".txt",".zip"},Z138)))&gt;0),AND(ISERROR(FIND(" ",TRIM(Z138))),NOT(OR(SUMPRODUCT(--ISNUMBER(FIND({",",";","&amp;","+"},Z138)))&gt;0,SUMPRODUCT(--ISNUMBER(SEARCH({"0/aa","0\\aa"},BN138)))&gt;0)),NOT(SUMPRODUCT(--ISNUMBER(SEARCH({"http","www.","\\",":\",".pdf",".jpg",".jpeg",".png",".heic",".xls",".doc",".msg",".eml",".ppt",".txt",".zip"},Z138)))&gt;0),NOT(LOWER(TRIM(Z138))=LOWER(Flights!$F$9)),ISNA(MATCH(BU138,{"mh","rev","revision","ver","version","v","r","a","b","seat","tray","row","gate","bay","stand","page","pg","item","line","no","cart","galley","flight","flt","table","box","bag","oven","etd","eta","std","sta","atd","ata","qty","pax","x","time","tel","ph","mob","day","wk","week","utc","gmt","myt","lt"},0)),NOT(OR(ISNUMBER(MATCH(LEFT(BN138,255),{"0000a","000a","00a","0000aa","000aa","00aa","0aa","0000aaa","000aaa","00a00","0a00","0000-0000","00:00","a00","a0","00.00.0000","00/00/0000","00-00-0000","0000-00-00","0000/00/00","0000.00.00","00.00.00","00/00/00","00-00-00","0.00.0000","0/00/0000","0-00-0000"},0)),ISNUMBER(MATCH(LEFT(BT138,255),{"0000a","000a","00a","0000aa","000aa","00aa","0aa","0000aaa","000aaa","00a00","0a00","0000-0000","00:00","a00","a0","00.00.0000","00/00/0000","00-00-0000","0000-00-00","0000/00/00","0000.00.00","00.00.00","00/00/00","00-00-00","0.00.0000","0/00/0000","0-00-0000"},0)))),NOT(OR(AND(BW138&lt;&gt;"",SUBSTITUTE(BW138,"0","")=""),AND(LEN(BW138)&gt;=4,BW138=REPT(LEFT(BW138),LEN(BW138))),ISNUMBER(MATCH(BW138,{"123","1234","12345","123456","1234567","12345678","0123","01234","012345","98765","987654","54321"},0)),ISNUMBER(MATCH(BX138,{"x","xx","xxx","xxxx","xxxxx","abc","abcd","nil","na","nan","test","tbc","tba","tbd","dummy","sample","example","eg","zz","zzz","none","null","xyz","qwe","asd","id","ref"},0)),AND(LEN(BW138)=8,BX138="",OR(LEFT(BW138,3)="202",ISNUMBER(MATCH(RIGHT(BW138,4),{"2025","2026","2027"},0)))))),OR(AND((LEN(BT138)-LEN(SUBSTITUTE(BT138,"a","")))&gt;=1,(LEN(BN138)-LEN(SUBSTITUTE(BN138,"0","")))&gt;=2,SUMPRODUCT(--ISNUMBER(SEARCH({"a0","a-0","a_0","a/0","a.0","a#0","0a","0-a","0_a","0/a"},BN138)))&gt;0),AND((LEN(BN138)-LEN(SUBSTITUTE(BN138,"a","")))=0,(LEN(BN138)-LEN(SUBSTITUTE(BN138,"0","")))&gt;=5)))),1,0),0)</f>
        <v>0</v>
      </c>
      <c r="CA1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138,"revision",""),"version",""),"jan",""),"feb",""),"mar",""),"apr",""),"may",""),"jun",""),"jul",""),"aug",""),"sep",""),"oct",""),"nov",""),"dec",""),"utc",""),"gmt",""),"myt",""),"bst",""),"rev",""),"ver",""),"b","a"),"c","a"),"d","a"),"e","a"),"f","a"),"g","a"),"h","a"),"i","a"),"j","a"),"k","a"),"l","a"),"m","a"),"n","a"),"o","a"),"p","a"),"q","a"),"r","a"),"s","a"),"t","a"),"u","a"),"v","a"),"w","a"),"x","a"),"y","a"),"z","a")</f>
        <v/>
      </c>
      <c r="CB1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138&amp;""),"a",""),"b",""),"c",""),"d",""),"e",""),"f",""),"g",""),"h",""),"i",""),"j",""),"k",""),"l",""),"m",""),"n",""),"o",""),"p",""),"q",""),"r",""),"s",""),"t",""),"u",""),"v",""),"w",""),"x",""),"y",""),"z",""),"-",""),"_",""),"/",""),".",""),"#",""),"\\",""),":","")," ",""),"(",""),")","")</f>
        <v/>
      </c>
      <c r="CC138" s="0" t="str">
        <f aca="false">" "&amp;TRIM(SUBSTITUTE(SUBSTITUTE(SUBSTITUTE(SUBSTITUTE(SUBSTITUTE(SUBSTITUTE(SUBSTITUTE(SUBSTITUTE(SUBSTITUTE(SUBSTITUTE(SUBSTITUTE(SUBSTITUTE(SUBSTITUTE(SUBSTITUTE(SUBSTITUTE(SUBSTITUTE(SUBSTITUTE(SUBSTITUTE(SUBSTITUTE(SUBSTITUTE(SUBSTITUTE(SUBSTITUTE(SUBSTITUTE(SUBSTITUTE(LOWER(T138&amp;""),CHAR(10)," "),CHAR(13)," "),CHAR(9)," "),CHAR(160)," "),"."," "),","," "),"-"," "),"/"," "),"("," "),")"," "),":"," "),";"," "),"_"," "),"–"," "),"?"," "),"!"," "),"*"," "),"["," "),"]"," "),"'"," "),"#"," "),"+"," "),"&amp;"," "),"\"," "))&amp;" "</f>
        <v>  </v>
      </c>
      <c r="CD138" s="0" t="str">
        <f aca="false">" "&amp;TRIM(SUBSTITUTE(SUBSTITUTE(SUBSTITUTE(SUBSTITUTE(SUBSTITUTE(SUBSTITUTE(SUBSTITUTE(SUBSTITUTE(SUBSTITUTE(SUBSTITUTE(SUBSTITUTE(SUBSTITUTE(SUBSTITUTE(SUBSTITUTE(SUBSTITUTE(SUBSTITUTE(SUBSTITUTE(SUBSTITUTE(SUBSTITUTE(SUBSTITUTE(SUBSTITUTE(SUBSTITUTE(SUBSTITUTE(SUBSTITUTE(LOWER(AE138&amp;""),CHAR(10)," "),CHAR(13)," "),CHAR(9)," "),CHAR(160)," "),"."," "),","," "),"-"," "),"/"," "),"("," "),")"," "),":"," "),";"," "),"_"," "),"–"," "),"?"," "),"!"," "),"*"," "),"["," "),"]"," "),"'"," "),"#"," "),"+"," "),"&amp;"," "),"\"," "))&amp;" "</f>
        <v>  </v>
      </c>
      <c r="CE138" s="68" t="n">
        <f aca="false">IFERROR(IF(AND(LEN(AU138)&gt;0,LEN(AU138)=LEN(AX138),OR(TRIM(MID(SUBSTITUTE(TRIM(CC138)," ",REPT(" ",60)),1,60))="",ISNUMBER(SEARCH(" "&amp;TRIM(MID(SUBSTITUTE(TRIM(CC138)," ",REPT(" ",60)),1,60))&amp;" ",CD138))),OR(TRIM(MID(SUBSTITUTE(TRIM(CC138)," ",REPT(" ",60)),61,60))="",ISNUMBER(SEARCH(" "&amp;TRIM(MID(SUBSTITUTE(TRIM(CC138)," ",REPT(" ",60)),61,60))&amp;" ",CD138))),OR(TRIM(MID(SUBSTITUTE(TRIM(CC138)," ",REPT(" ",60)),121,60))="",ISNUMBER(SEARCH(" "&amp;TRIM(MID(SUBSTITUTE(TRIM(CC138)," ",REPT(" ",60)),121,60))&amp;" ",CD138)))),1,0),0)</f>
        <v>0</v>
      </c>
      <c r="CG138" s="68" t="n">
        <f aca="false">IFERROR(LEN(SUBSTITUTE(BF138," ",""))-SUMPRODUCT((LEN(BF138)-LEN(SUBSTITUTE(BF138," "&amp;L_NAFiller&amp;" "," ")))/(LEN(L_NAFiller)+1)*LEN(L_NAFiller)),0)</f>
        <v>0</v>
      </c>
    </row>
    <row r="139" customFormat="false" ht="41.25" hidden="false" customHeight="true" outlineLevel="0" collapsed="false">
      <c r="A139" s="57" t="s">
        <v>663</v>
      </c>
      <c r="B139" s="57" t="s">
        <v>228</v>
      </c>
      <c r="C139" s="57" t="str">
        <f aca="false">Flights!$F$9</f>
        <v>MH0089</v>
      </c>
      <c r="D139" s="58" t="n">
        <f aca="false">Flights!$D$9</f>
        <v>46310</v>
      </c>
      <c r="E139" s="57" t="str">
        <f aca="false">Flights!$G$9&amp;"-"&amp;Flights!$H$9</f>
        <v>NRT-KUL</v>
      </c>
      <c r="F139" s="57" t="str">
        <f aca="false">Flights!$K$9</f>
        <v>EY</v>
      </c>
      <c r="G139" s="57" t="s">
        <v>81</v>
      </c>
      <c r="H139" s="57" t="s">
        <v>378</v>
      </c>
      <c r="I139" s="57" t="s">
        <v>389</v>
      </c>
      <c r="J139" s="57" t="s">
        <v>390</v>
      </c>
      <c r="K139" s="67" t="s">
        <v>391</v>
      </c>
      <c r="L139" s="67" t="s">
        <v>382</v>
      </c>
      <c r="M139" s="67"/>
      <c r="N139" s="67" t="str">
        <f aca="false">IF(TRIM(Flights!$L$9)="A339","Required","N/A – rule")</f>
        <v>N/A – rule</v>
      </c>
      <c r="O139" s="67" t="s">
        <v>392</v>
      </c>
      <c r="P139" s="57" t="s">
        <v>220</v>
      </c>
      <c r="Q139" s="59" t="n">
        <f aca="false">ROUND((Flights!$AC$9)*1440,0)/1440</f>
        <v>46303.0451388889</v>
      </c>
      <c r="R139" s="59" t="n">
        <f aca="false">Q139+(IF(AND(INDEX(TZ_DSTS,MATCH(P139,TZ_STN,0))&lt;&gt;"",Q139&gt;=INDEX(TZ_DSTS,MATCH(P139,TZ_STN,0)),Q139&lt;INDEX(TZ_DSTE,MATCH(P139,TZ_STN,0))),INDEX(TZ_DST,MATCH(P139,TZ_STN,0)),INDEX(TZ_STD,MATCH(P139,TZ_STN,0))))/24</f>
        <v>46303.4201388889</v>
      </c>
      <c r="S139" s="60"/>
      <c r="T139" s="60"/>
      <c r="U139" s="60"/>
      <c r="V139" s="60"/>
      <c r="W139" s="61"/>
      <c r="X139" s="60"/>
      <c r="Y139" s="60"/>
      <c r="Z139" s="60"/>
      <c r="AA139" s="60"/>
      <c r="AB139" s="60"/>
      <c r="AC139" s="60"/>
      <c r="AD139" s="66"/>
      <c r="AE139" s="60"/>
      <c r="AF139" s="61" t="str">
        <f aca="false">IF(AND(ISNUMBER(X139),ISNUMBER(Y139)),Y139-X139,"")</f>
        <v/>
      </c>
      <c r="AG139" s="62" t="str">
        <f aca="false">IF(ISNUMBER(AD139),AD139-(IF(AND(INDEX(TZ_DSTS,MATCH(P139,TZ_STN,0))&lt;&gt;"",(AD139-INDEX(TZ_STD,MATCH(P139,TZ_STN,0))/24)&gt;=INDEX(TZ_DSTS,MATCH(P139,TZ_STN,0)),(AD139-INDEX(TZ_STD,MATCH(P139,TZ_STN,0))/24)&lt;INDEX(TZ_DSTE,MATCH(P139,TZ_STN,0))),INDEX(TZ_DST,MATCH(P139,TZ_STN,0)),INDEX(TZ_STD,MATCH(P139,TZ_STN,0))))/24,"")</f>
        <v/>
      </c>
      <c r="AH139" s="65" t="str">
        <f aca="false">IFERROR(IF(N139="N/A – rule",IF(OR(TRIM(U139)="",TRIM(U139)="N/A",TRIM(U139)="Not started"),"N/A – RULE","INVALID – this check does not apply to this aircraft: clear the status (or correct the fleet on Flights)"),IF(TRIM(U139)="N/A",IF(AT139=0,"INVALID – N/A not permitted for this check",IF(AND(TRIM(AB139)&lt;&gt;"",TRIM(AB139)&lt;&gt;"Closed"),"INVALID – corrective action still open",IF(AND(NOT(OR(LEN(AZ139)&lt;15,ISNUMBER(MATCH(AZ139,L_Placeholder,0)))),BK139=0,CG139&gt;=8,NOT(OR(LEN(AU139)&lt;2,ISNUMBER(MATCH(AU139,L_Placeholder,0)))),BR139&gt;=3,NOT(OR(LEN(AX139)&lt;2,ISNUMBER(MATCH(AX139,L_Placeholder,0)))),BS139&gt;=3,TRIM(AE139)&lt;&gt;TRIM(T139),AX139&lt;&gt;AU139,CE139=0),"N/A – JUSTIFIED","INVALID – N/A needs a real, settled reason (not 'not applicable' / 'as above' / TBC), a named PIC and a different named verifier"))),IF(OR(TRIM(U139)="Pass",TRIM(U139)="Pass after CA"),IF(NOT(ISNUMBER(AD139)),"INVALID – completion time missing",IF(OR(OR(LEN(AU139)&lt;2,ISNUMBER(MATCH(AU139,L_Placeholder,0))),BR139&lt;3),"INVALID – PIC missing or not a named person (a role such as QA / CSM is not a name)",IF(OR(LEN(AV139)&lt;2,ISNUMBER(MATCH(AV139,L_Placeholder,0))),"INVALID – result / assessment missing",IF(OR(OR(LEN(AW139)&lt;3,ISNUMBER(MATCH(AW139,L_Placeholder,0))),SUMPRODUCT(--ISNUMBER(SEARCH(" "&amp;L_EvidencePhrase&amp;" ",BD139)))&gt;0,BI139=1),"INVALID – evidence missing, placeholder or not yet on file",IF(ISNA(MATCH(TRIM(S139),L_EvidenceType,0)),"INVALID – choose the evidence type from the list (column S)",IF(BL139=0,"INVALID – evidence ID must be the record's own ID only (e.g. SF-2210, IMG_2231, 1045521); a link / file name needs type 'Link / file path'",IF(OR(OR(LEN(AX139)&lt;2,ISNUMBER(MATCH(AX139,L_Placeholder,0))),BS139&lt;3),"INVALID – verifier missing or not a named person (a role such as QA / CSM is not a name)",IF(OR(AX139=AU139,CE139=1,AND(LEN(AU139)&gt;=4,ISNUMBER(SEARCH(AU139,AX139))),AND(LEN(AX139)&gt;=4,ISNUMBER(SEARCH(AX139,AU139)))),"INVALID – verifier must be a different, named person (not the PIC or a role)",IF(BH139=1,"INVALID – result not yet available (awaiting / TBC)",IF(BG139=1,"INVALID – result describes a problem: record Fail, then Pass after CA (or reword if it is not a problem)",IF(BV139=1,"INVALID – wording says not on board: an on-board confirmation needs the item loaded",IF(AND(AQ139=1,OR(OR(LEN(AY139)&lt;3,ISNUMBER(MATCH(AY139,L_Placeholder,0))),BJ139=1,BQ139=0)),"INVALID – batch ID missing, placeholder or not an ID (e.g. PASB-261008-BC-017)",IF(AND(AR139=1,OR(NOT(ISNUMBER(X139)),NOT(ISNUMBER(Y139)))),"INVALID – expected/actual qty missing",IF(AND(AR139=1,OR(X139&lt;=0,Y139&lt;0)),"INVALID – expected qty must be above 0 and actual not negative",IF(BB139&lt;&gt;"",BB139,IF(AND(AS139=1,Documents!$J$9&lt;&gt;"ON FILE"),"INVALID – GLD not on file (Documents sheet)",IF(AND(AS139=2,Documents!$O$9&lt;&gt;"ON FILE"),"INVALID – menu checklist not on file (Documents sheet)",IF(AND(AS139=3,NOT(ISNUMBER(Flights!$AX$9))),"INVALID – enter carrying flight KUL departure (Flights AX)",IF(AND(AS139=3,OR(Flights!$AZ$9&gt;Flights!$AA$9,Flights!$AX$9&lt;Flights!$AA$9-3)),"INVALID – carrying flight (Flights AX) cannot arrive before this leg's STD, or is over 3 days early",IF(AG139&gt;AsOfUTC,"INVALID – completion time is in the future",IF(AND(ISNUMBER(BY139),AG139&lt;BY139),IF(H139="Physical uplift","INVALID – before uplift window (cannot confirm loading)","INVALID – before valid window"),IF(AG139&gt;Flights!$AA$9,"INVALID – completed after departure (cannot establish readiness)",IF(AND(H139="Preparation",AG139&gt;=IF(ISNUMBER(Flights!$BA$9),MIN(Flights!$BA$9,Flights!$AA$9),Flights!$AA$9)),"INVALID – completed after loading / departure (cannot establish readiness)",IF(AND(H139="Physical uplift",AG139&gt;Q139),"INVALID – recorded after the loading flight departed",IF(AG139&gt;Q139,"COMPLETE – LATE","COMPLETE"))))))))))))))))))))))))),IF(TRIM(U139)="Fail","FAIL – DISCREPANCY",IF(AND(TRIM(U139)&lt;&gt;"",TRIM(U139)&lt;&gt;"Not started",TRIM(U139)&lt;&gt;"In progress"),"INVALID – unrecognised status (use the list)",IF(AsOfUTC&gt;Q139,"OVERDUE",IF(N139="Clarification required","OPEN – CLARIFICATION","OPEN"))))))),"INVALID – error value in an input cell")</f>
        <v>N/A – RULE</v>
      </c>
      <c r="AI139" s="61" t="n">
        <f aca="false">IF(OR(AH139="N/A – RULE",AH139="N/A – JUSTIFIED"),0,1)</f>
        <v>0</v>
      </c>
      <c r="AJ139" s="61" t="n">
        <f aca="false">IF(LEFT(AH139,8)="COMPLETE",1,0)</f>
        <v>0</v>
      </c>
      <c r="AK139" s="61" t="n">
        <f aca="false">IF(AND(AI139=1,AJ139=0,AsOfUTC&gt;Q139),1,0)</f>
        <v>0</v>
      </c>
      <c r="AL139" s="61" t="n">
        <f aca="false">IFERROR(IF(AND(AI139=1,OR(TRIM(U139)="Fail",AND(TRIM(AB139)&lt;&gt;"",TRIM(AB139)&lt;&gt;"Closed"),AND(ISNUMBER(AF139),AF139&lt;&gt;0,TRIM(U139)&lt;&gt;"Pass after CA"))),1,0),1)</f>
        <v>0</v>
      </c>
      <c r="AM139" s="61" t="n">
        <f aca="false">IF(LEFT(AH139,7)="INVALID",1,0)</f>
        <v>0</v>
      </c>
      <c r="AN139" s="61" t="n">
        <f aca="false">IF(AND(N139="Clarification required",AI139=1,AJ139=0),1,0)</f>
        <v>0</v>
      </c>
      <c r="AO139" s="61" t="str">
        <f aca="false">IF(AK139=1,SUM(AK$5:AK139),"")</f>
        <v/>
      </c>
      <c r="AP139" s="61" t="str">
        <f aca="false">IF(AL139=1,SUM(AL$5:AL139),"")</f>
        <v/>
      </c>
      <c r="AQ139" s="61" t="n">
        <v>0</v>
      </c>
      <c r="AR139" s="61" t="n">
        <v>0</v>
      </c>
      <c r="AS139" s="61" t="n">
        <v>0</v>
      </c>
      <c r="AT139" s="61" t="n">
        <v>0</v>
      </c>
      <c r="AU139" s="61" t="str">
        <f aca="false">SUBSTITUTE(SUBSTITUTE(SUBSTITUTE(SUBSTITUTE(SUBSTITUTE(SUBSTITUTE(SUBSTITUTE(SUBSTITUTE(SUBSTITUTE(SUBSTITUTE(SUBSTITUTE(SUBSTITUTE(SUBSTITUTE(SUBSTITUTE(SUBSTITUTE(SUBSTITUTE(LOWER(T139&amp;""),CHAR(10),""),CHAR(13),""),CHAR(9),""),CHAR(160),"")," ",""),".",""),"-",""),"/",""),"?",""),"_",""),",",""),"[",""),"]",""),"(",""),")",""),"*","")</f>
        <v/>
      </c>
      <c r="AV139" s="61" t="str">
        <f aca="false">SUBSTITUTE(SUBSTITUTE(SUBSTITUTE(SUBSTITUTE(SUBSTITUTE(SUBSTITUTE(SUBSTITUTE(SUBSTITUTE(SUBSTITUTE(SUBSTITUTE(SUBSTITUTE(SUBSTITUTE(SUBSTITUTE(SUBSTITUTE(SUBSTITUTE(SUBSTITUTE(LOWER(V139&amp;""),CHAR(10),""),CHAR(13),""),CHAR(9),""),CHAR(160),"")," ",""),".",""),"-",""),"/",""),"?",""),"_",""),",",""),"[",""),"]",""),"(",""),")",""),"*","")</f>
        <v/>
      </c>
      <c r="AW139" s="61" t="str">
        <f aca="false">SUBSTITUTE(SUBSTITUTE(SUBSTITUTE(SUBSTITUTE(SUBSTITUTE(SUBSTITUTE(SUBSTITUTE(SUBSTITUTE(SUBSTITUTE(SUBSTITUTE(SUBSTITUTE(SUBSTITUTE(SUBSTITUTE(SUBSTITUTE(SUBSTITUTE(SUBSTITUTE(LOWER(Z139&amp;""),CHAR(10),""),CHAR(13),""),CHAR(9),""),CHAR(160),"")," ",""),".",""),"-",""),"/",""),"?",""),"_",""),",",""),"[",""),"]",""),"(",""),")",""),"*","")</f>
        <v/>
      </c>
      <c r="AX139" s="61" t="str">
        <f aca="false">SUBSTITUTE(SUBSTITUTE(SUBSTITUTE(SUBSTITUTE(SUBSTITUTE(SUBSTITUTE(SUBSTITUTE(SUBSTITUTE(SUBSTITUTE(SUBSTITUTE(SUBSTITUTE(SUBSTITUTE(SUBSTITUTE(SUBSTITUTE(SUBSTITUTE(SUBSTITUTE(LOWER(AE139&amp;""),CHAR(10),""),CHAR(13),""),CHAR(9),""),CHAR(160),"")," ",""),".",""),"-",""),"/",""),"?",""),"_",""),",",""),"[",""),"]",""),"(",""),")",""),"*","")</f>
        <v/>
      </c>
      <c r="AY139" s="61" t="str">
        <f aca="false">SUBSTITUTE(SUBSTITUTE(SUBSTITUTE(SUBSTITUTE(SUBSTITUTE(SUBSTITUTE(SUBSTITUTE(SUBSTITUTE(SUBSTITUTE(SUBSTITUTE(SUBSTITUTE(SUBSTITUTE(SUBSTITUTE(SUBSTITUTE(SUBSTITUTE(SUBSTITUTE(LOWER(W139&amp;""),CHAR(10),""),CHAR(13),""),CHAR(9),""),CHAR(160),"")," ",""),".",""),"-",""),"/",""),"?",""),"_",""),",",""),"[",""),"]",""),"(",""),")",""),"*","")</f>
        <v/>
      </c>
      <c r="AZ139" s="61" t="str">
        <f aca="false">SUBSTITUTE(SUBSTITUTE(SUBSTITUTE(SUBSTITUTE(SUBSTITUTE(SUBSTITUTE(SUBSTITUTE(SUBSTITUTE(SUBSTITUTE(SUBSTITUTE(SUBSTITUTE(SUBSTITUTE(SUBSTITUTE(SUBSTITUTE(SUBSTITUTE(SUBSTITUTE(LOWER(AC139&amp;""),CHAR(10),""),CHAR(13),""),CHAR(9),""),CHAR(160),"")," ",""),".",""),"-",""),"/",""),"?",""),"_",""),",",""),"[",""),"]",""),"(",""),")",""),"*","")</f>
        <v/>
      </c>
      <c r="BA139" s="61" t="str">
        <f aca="false">SUBSTITUTE(SUBSTITUTE(SUBSTITUTE(SUBSTITUTE(SUBSTITUTE(SUBSTITUTE(SUBSTITUTE(SUBSTITUTE(SUBSTITUTE(SUBSTITUTE(SUBSTITUTE(SUBSTITUTE(SUBSTITUTE(SUBSTITUTE(SUBSTITUTE(SUBSTITUTE(LOWER(AA139&amp;""),CHAR(10),""),CHAR(13),""),CHAR(9),""),CHAR(160),"")," ",""),".",""),"-",""),"/",""),"?",""),"_",""),",",""),"[",""),"]",""),"(",""),")",""),"*","")</f>
        <v/>
      </c>
      <c r="BB139" s="61" t="str">
        <f aca="false">IF(AND(TRIM(U139)="Pass",ISNUMBER(AF139)),IF(AF139&lt;&gt;0,"INVALID – qty variance: use Fail or Pass after CA",""),"")&amp;IF(AND(TRIM(U139)="Pass after CA",ISNUMBER(AF139)),IF(AF139&lt;&gt;0,"INVALID – after the corrective action the actual qty must equal expected (update Actual)",""),"")&amp;IF(AND(TRIM(U139)="Pass",TRIM(AB139)&lt;&gt;"",TRIM(AB139)&lt;&gt;"Closed"),"INVALID – corrective action not closed: use Fail, then Pass after CA","")&amp;IF(AND(LEN(BA139)&gt;=2,ISNA(MATCH(LEFT(BA139,255),L_Placeholder,0)),TRIM(AB139)=""),"INVALID – CA status missing for the recorded corrective action","")&amp;IF(AND(TRIM(U139)="Pass after CA",OR(OR(LEN(BA139)&lt;5,ISNUMBER(MATCH(BA139,L_Placeholder,0))),TRIM(AB139)&lt;&gt;"Closed")),"INVALID – corrective action not recorded/closed","")</f>
        <v/>
      </c>
      <c r="BC139" s="61" t="str">
        <f aca="false">" "&amp;TRIM(SUBSTITUTE(SUBSTITUTE(SUBSTITUTE(SUBSTITUTE(SUBSTITUTE(SUBSTITUTE(SUBSTITUTE(SUBSTITUTE(SUBSTITUTE(SUBSTITUTE(SUBSTITUTE(SUBSTITUTE(SUBSTITUTE(SUBSTITUTE(SUBSTITUTE(SUBSTITUTE(SUBSTITUTE(SUBSTITUTE(SUBSTITUTE(SUBSTITUTE(SUBSTITUTE(SUBSTITUTE(SUBSTITUTE(SUBSTITUTE(LOWER(V139&amp;""),CHAR(10)," "),CHAR(13)," "),CHAR(9)," "),CHAR(160)," "),"."," "),","," "),"-"," "),"/"," "),"("," "),")"," "),":"," "),";"," "),"_"," "),"–"," "),"?"," "),"!"," "),"*"," "),"["," "),"]"," "),"'"," "),"#"," "),"+"," "),"&amp;"," "),"\"," "))&amp;" "</f>
        <v>  </v>
      </c>
      <c r="BD139" s="61" t="str">
        <f aca="false">" "&amp;TRIM(SUBSTITUTE(SUBSTITUTE(SUBSTITUTE(SUBSTITUTE(SUBSTITUTE(SUBSTITUTE(SUBSTITUTE(SUBSTITUTE(SUBSTITUTE(SUBSTITUTE(SUBSTITUTE(SUBSTITUTE(SUBSTITUTE(SUBSTITUTE(SUBSTITUTE(SUBSTITUTE(SUBSTITUTE(SUBSTITUTE(SUBSTITUTE(SUBSTITUTE(SUBSTITUTE(SUBSTITUTE(SUBSTITUTE(SUBSTITUTE(LOWER(Z139&amp;""),CHAR(10)," "),CHAR(13)," "),CHAR(9)," "),CHAR(160)," "),"."," "),","," "),"-"," "),"/"," "),"("," "),")"," "),":"," "),";"," "),"_"," "),"–"," "),"?"," "),"!"," "),"*"," "),"["," "),"]"," "),"'"," "),"#"," "),"+"," "),"&amp;"," "),"\"," "))&amp;" "</f>
        <v>  </v>
      </c>
      <c r="BE139" s="61" t="str">
        <f aca="false">" "&amp;TRIM(SUBSTITUTE(SUBSTITUTE(SUBSTITUTE(SUBSTITUTE(SUBSTITUTE(SUBSTITUTE(SUBSTITUTE(SUBSTITUTE(SUBSTITUTE(SUBSTITUTE(SUBSTITUTE(SUBSTITUTE(SUBSTITUTE(SUBSTITUTE(SUBSTITUTE(SUBSTITUTE(SUBSTITUTE(SUBSTITUTE(SUBSTITUTE(SUBSTITUTE(SUBSTITUTE(SUBSTITUTE(SUBSTITUTE(SUBSTITUTE(LOWER(W139&amp;""),CHAR(10)," "),CHAR(13)," "),CHAR(9)," "),CHAR(160)," "),"."," "),","," "),"-"," "),"/"," "),"("," "),")"," "),":"," "),";"," "),"_"," "),"–"," "),"?"," "),"!"," "),"*"," "),"["," "),"]"," "),"'"," "),"#"," "),"+"," "),"&amp;"," "),"\"," "))&amp;" "</f>
        <v>  </v>
      </c>
      <c r="BF139" s="61" t="str">
        <f aca="false">" "&amp;TRIM(SUBSTITUTE(SUBSTITUTE(SUBSTITUTE(SUBSTITUTE(SUBSTITUTE(SUBSTITUTE(SUBSTITUTE(SUBSTITUTE(SUBSTITUTE(SUBSTITUTE(SUBSTITUTE(SUBSTITUTE(SUBSTITUTE(SUBSTITUTE(SUBSTITUTE(SUBSTITUTE(SUBSTITUTE(SUBSTITUTE(SUBSTITUTE(SUBSTITUTE(SUBSTITUTE(SUBSTITUTE(SUBSTITUTE(SUBSTITUTE(LOWER(AC139&amp;""),CHAR(10)," "),CHAR(13)," "),CHAR(9)," "),CHAR(160)," "),"."," "),","," "),"-"," "),"/"," "),"("," "),")"," "),":"," "),";"," "),"_"," "),"–"," "),"?"," "),"!"," "),"*"," "),"["," "),"]"," "),"'"," "),"#"," "),"+"," "),"&amp;"," "),"\"," "))&amp;" "</f>
        <v>  </v>
      </c>
      <c r="BG139" s="61" t="n">
        <f aca="false">IFERROR(IF(AND(TRIM(U139)="Pass",SUMPRODUCT((LEN(BC139)-LEN(SUBSTITUTE(BC139," "&amp;L_ResultBad&amp;" "," ")))/(LEN(L_ResultBad)+1))&gt;SUMPRODUCT((LEN(BC139)-LEN(SUBSTITUTE(BC139," "&amp;L_NegPhrase&amp;" "," ")))/(LEN(L_NegPhrase)+1))),1,0),0)</f>
        <v>0</v>
      </c>
      <c r="BH139" s="61" t="n">
        <f aca="false">IFERROR(IF(SUMPRODUCT((LEN(BC139)-LEN(SUBSTITUTE(BC139," "&amp;L_Pending&amp;" "," ")))/(LEN(L_Pending)+1))&gt;SUMPRODUCT((LEN(BC139)-LEN(SUBSTITUTE(BC139," "&amp;L_PendNeg&amp;" "," ")))/(LEN(L_PendNeg)+1))+SUMPRODUCT((LEN(BC139)-LEN(SUBSTITUTE(BC139," "&amp;L_PendPrep&amp;" "," ")))/(LEN(L_PendPrep)+1)),1,0),1)</f>
        <v>0</v>
      </c>
      <c r="BI139" s="61" t="n">
        <f aca="false">IFERROR(IF(SUMPRODUCT((LEN(BD139)-LEN(SUBSTITUTE(BD139," "&amp;L_PendStrict&amp;" "," ")))/(LEN(L_PendStrict)+1))&gt;SUMPRODUCT((LEN(BD139)-LEN(SUBSTITUTE(BD139," "&amp;L_PendNeg&amp;" "," ")))/(LEN(L_PendNeg)+1)),1,0),1)</f>
        <v>0</v>
      </c>
      <c r="BJ139" s="61" t="n">
        <f aca="false">IFERROR(IF(SUMPRODUCT((LEN(BE139)-LEN(SUBSTITUTE(BE139," "&amp;L_Pending&amp;" "," ")))/(LEN(L_Pending)+1))&gt;SUMPRODUCT((LEN(BE139)-LEN(SUBSTITUTE(BE139," "&amp;L_PendNeg&amp;" "," ")))/(LEN(L_PendNeg)+1))+SUMPRODUCT((LEN(BE139)-LEN(SUBSTITUTE(BE139," "&amp;L_PendPrep&amp;" "," ")))/(LEN(L_PendPrep)+1)),1,0),1)</f>
        <v>0</v>
      </c>
      <c r="BK139" s="61" t="n">
        <f aca="false">IFERROR(IF(SUMPRODUCT((LEN(BF139)-LEN(SUBSTITUTE(BF139," "&amp;L_PendStrict&amp;" "," ")))/(LEN(L_PendStrict)+1))&gt;SUMPRODUCT((LEN(BF139)-LEN(SUBSTITUTE(BF139," "&amp;L_PendNeg&amp;" "," ")))/(LEN(L_PendNeg)+1)),1,0),1)</f>
        <v>0</v>
      </c>
      <c r="BL139" s="61" t="n">
        <f aca="false">IF(ISNA(MATCH(TRIM(S139),L_EvidenceType,0)),0,BZ139)</f>
        <v>0</v>
      </c>
      <c r="BM139" s="61" t="str">
        <f aca="false">SUBSTITUTE(SUBSTITUTE(SUBSTITUTE(SUBSTITUTE(SUBSTITUTE(SUBSTITUTE(SUBSTITUTE(SUBSTITUTE(SUBSTITUTE(LOWER(Z139&amp;""),"1","0"),"2","0"),"3","0"),"4","0"),"5","0"),"6","0"),"7","0"),"8","0"),"9","0")</f>
        <v/>
      </c>
      <c r="BN139" s="61" t="str">
        <f aca="false">SUBSTITUTE(SUBSTITUTE(SUBSTITUTE(SUBSTITUTE(SUBSTITUTE(SUBSTITUTE(SUBSTITUTE(SUBSTITUTE(SUBSTITUTE(SUBSTITUTE(SUBSTITUTE(SUBSTITUTE(SUBSTITUTE(SUBSTITUTE(SUBSTITUTE(SUBSTITUTE(SUBSTITUTE(SUBSTITUTE(SUBSTITUTE(SUBSTITUTE(SUBSTITUTE(SUBSTITUTE(SUBSTITUTE(SUBSTITUTE(SUBSTITUTE(BM139,"b","a"),"c","a"),"d","a"),"e","a"),"f","a"),"g","a"),"h","a"),"i","a"),"j","a"),"k","a"),"l","a"),"m","a"),"n","a"),"o","a"),"p","a"),"q","a"),"r","a"),"s","a"),"t","a"),"u","a"),"v","a"),"w","a"),"x","a"),"y","a"),"z","a")</f>
        <v/>
      </c>
      <c r="BO139" s="61" t="str">
        <f aca="false">SUBSTITUTE(SUBSTITUTE(SUBSTITUTE(SUBSTITUTE(SUBSTITUTE(SUBSTITUTE(SUBSTITUTE(SUBSTITUTE(SUBSTITUTE(LOWER(W139&amp;""),"1","0"),"2","0"),"3","0"),"4","0"),"5","0"),"6","0"),"7","0"),"8","0"),"9","0")</f>
        <v/>
      </c>
      <c r="BP139" s="61" t="str">
        <f aca="false">SUBSTITUTE(SUBSTITUTE(SUBSTITUTE(SUBSTITUTE(SUBSTITUTE(SUBSTITUTE(SUBSTITUTE(SUBSTITUTE(SUBSTITUTE(SUBSTITUTE(SUBSTITUTE(SUBSTITUTE(SUBSTITUTE(SUBSTITUTE(SUBSTITUTE(SUBSTITUTE(SUBSTITUTE(SUBSTITUTE(SUBSTITUTE(SUBSTITUTE(SUBSTITUTE(SUBSTITUTE(SUBSTITUTE(SUBSTITUTE(SUBSTITUTE(BO139,"b","a"),"c","a"),"d","a"),"e","a"),"f","a"),"g","a"),"h","a"),"i","a"),"j","a"),"k","a"),"l","a"),"m","a"),"n","a"),"o","a"),"p","a"),"q","a"),"r","a"),"s","a"),"t","a"),"u","a"),"v","a"),"w","a"),"x","a"),"y","a"),"z","a")</f>
        <v/>
      </c>
      <c r="BQ139" s="61" t="n">
        <f aca="false">IFERROR(IF(AND(ISERROR(SEARCH(" mh"," "&amp;LOWER(W139))),ISNA(MATCH(LEFT(TRIM(BP139),255),{"0000a","000a","00a","0000aa","000aa","00aa","0aa","0000aaa","000aaa","00a00","0a00","0000-0000","00:00","a00","a0","00.00.0000","00/00/0000","00-00-0000","0000-00-00","0000/00/00","0000.00.00","00.00.00","00/00/00","00-00-00","0.00.0000","0/00/0000","0-00-0000"},0)),ISNA(MATCH(LEFT(TRIM(CA139),255),{"0000a","000a","00a","0000aa","000aa","00aa","0aa","0000aaa","000aaa","00a00","0a00","0000-0000","00:00","a00","a0","00.00.0000","00/00/0000","00-00-0000","0000-00-00","0000/00/00","0000.00.00","00.00.00","00/00/00","00-00-00","0.00.0000","0/00/0000","0-00-0000"},0)),LEN(CB139)&gt;=3,NOT(OR(SUBSTITUTE(CB139,"0","")="",AND(LEN(CB139)&gt;=4,CB139=REPT(LEFT(CB139),LEN(CB139))),ISNUMBER(MATCH(CB139,{"123","1234","12345","123456","1234567","12345678","0123","01234","012345","98765","987654","54321"},0)),AND(LEN(CB139)=8,LEFT(CB139,3)="202"))),OR(AND((LEN(CA139)-LEN(SUBSTITUTE(CA139,"a","")))&gt;=1,SUMPRODUCT(--ISNUMBER(SEARCH({"a0","a-0","a_0","a/0","a.0","a#0","0a","0-a","0_a","0/a"},BP139)))&gt;0),ISNUMBER(SEARCH("000000",BP139)))),1,0),0)</f>
        <v>0</v>
      </c>
      <c r="BR139" s="61" t="n">
        <f aca="false">IFERROR(LEN(SUBSTITUTE(CC139," ",""))-SUMPRODUCT((LEN(CC139)-LEN(SUBSTITUTE(CC139," "&amp;L_Role&amp;" "," ")))/(LEN(L_Role)+1)*LEN(L_Role)),0)</f>
        <v>0</v>
      </c>
      <c r="BS139" s="61" t="n">
        <f aca="false">IFERROR(LEN(SUBSTITUTE(CD139," ",""))-SUMPRODUCT((LEN(CD139)-LEN(SUBSTITUTE(CD139," "&amp;L_Role&amp;" "," ")))/(LEN(L_Role)+1)*LEN(L_Role)),0)</f>
        <v>0</v>
      </c>
      <c r="BT1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139,"revision",""),"version",""),"jan",""),"feb",""),"mar",""),"apr",""),"may",""),"jun",""),"jul",""),"aug",""),"sep",""),"oct",""),"nov",""),"dec",""),"utc",""),"gmt",""),"myt",""),"bst",""),"rev",""),"ver",""),"b","a"),"c","a"),"d","a"),"e","a"),"f","a"),"g","a"),"h","a"),"i","a"),"j","a"),"k","a"),"l","a"),"m","a"),"n","a"),"o","a"),"p","a"),"q","a"),"r","a"),"s","a"),"t","a"),"u","a"),"v","a"),"w","a"),"x","a"),"y","a"),"z","a")</f>
        <v/>
      </c>
      <c r="BU139" s="61" t="str">
        <f aca="false">SUBSTITUTE(SUBSTITUTE(SUBSTITUTE(SUBSTITUTE(SUBSTITUTE(SUBSTITUTE(SUBSTITUTE(SUBSTITUTE(SUBSTITUTE(SUBSTITUTE(LEFT(BM139,FIND("0",BM139&amp;"0")-1),"-",""),"_",""),"/",""),".",""),"#",""),"\\",""),":","")," ",""),"(",""),")","")</f>
        <v/>
      </c>
      <c r="BV139" s="61" t="n">
        <f aca="false">0</f>
        <v>0</v>
      </c>
      <c r="BW1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139&amp;""),"a",""),"b",""),"c",""),"d",""),"e",""),"f",""),"g",""),"h",""),"i",""),"j",""),"k",""),"l",""),"m",""),"n",""),"o",""),"p",""),"q",""),"r",""),"s",""),"t",""),"u",""),"v",""),"w",""),"x",""),"y",""),"z",""),"-",""),"_",""),"/",""),".",""),"#",""),"\\",""),":","")," ",""),"(",""),")","")</f>
        <v/>
      </c>
      <c r="BX139" s="61" t="str">
        <f aca="false">SUBSTITUTE(SUBSTITUTE(SUBSTITUTE(SUBSTITUTE(SUBSTITUTE(SUBSTITUTE(SUBSTITUTE(SUBSTITUTE(SUBSTITUTE(SUBSTITUTE(SUBSTITUTE(BM139,"0",""),"-",""),"_",""),"/",""),".",""),"#",""),"\\",""),":","")," ",""),"(",""),")","")</f>
        <v/>
      </c>
      <c r="BY139" s="62" t="n">
        <f aca="false">Q139-T7EarlyD*24/24</f>
        <v>46289.0451388889</v>
      </c>
      <c r="BZ139" s="61" t="n">
        <f aca="false">IFERROR(IF(IF(TRIM(S139)="Link / file path",AND(LEN(TRIM(Z139))&gt;=5,SUMPRODUCT(--ISNUMBER(SEARCH({"http","www.","\\",":\",".pdf",".jpg",".jpeg",".png",".heic",".xls",".doc",".msg",".eml",".ppt",".txt",".zip"},Z139)))&gt;0),AND(ISERROR(FIND(" ",TRIM(Z139))),NOT(OR(SUMPRODUCT(--ISNUMBER(FIND({",",";","&amp;","+"},Z139)))&gt;0,SUMPRODUCT(--ISNUMBER(SEARCH({"0/aa","0\\aa"},BN139)))&gt;0)),NOT(SUMPRODUCT(--ISNUMBER(SEARCH({"http","www.","\\",":\",".pdf",".jpg",".jpeg",".png",".heic",".xls",".doc",".msg",".eml",".ppt",".txt",".zip"},Z139)))&gt;0),NOT(LOWER(TRIM(Z139))=LOWER(Flights!$F$9)),ISNA(MATCH(BU139,{"mh","rev","revision","ver","version","v","r","a","b","seat","tray","row","gate","bay","stand","page","pg","item","line","no","cart","galley","flight","flt","table","box","bag","oven","etd","eta","std","sta","atd","ata","qty","pax","x","time","tel","ph","mob","day","wk","week","utc","gmt","myt","lt"},0)),NOT(OR(ISNUMBER(MATCH(LEFT(BN139,255),{"0000a","000a","00a","0000aa","000aa","00aa","0aa","0000aaa","000aaa","00a00","0a00","0000-0000","00:00","a00","a0","00.00.0000","00/00/0000","00-00-0000","0000-00-00","0000/00/00","0000.00.00","00.00.00","00/00/00","00-00-00","0.00.0000","0/00/0000","0-00-0000"},0)),ISNUMBER(MATCH(LEFT(BT139,255),{"0000a","000a","00a","0000aa","000aa","00aa","0aa","0000aaa","000aaa","00a00","0a00","0000-0000","00:00","a00","a0","00.00.0000","00/00/0000","00-00-0000","0000-00-00","0000/00/00","0000.00.00","00.00.00","00/00/00","00-00-00","0.00.0000","0/00/0000","0-00-0000"},0)))),NOT(OR(AND(BW139&lt;&gt;"",SUBSTITUTE(BW139,"0","")=""),AND(LEN(BW139)&gt;=4,BW139=REPT(LEFT(BW139),LEN(BW139))),ISNUMBER(MATCH(BW139,{"123","1234","12345","123456","1234567","12345678","0123","01234","012345","98765","987654","54321"},0)),ISNUMBER(MATCH(BX139,{"x","xx","xxx","xxxx","xxxxx","abc","abcd","nil","na","nan","test","tbc","tba","tbd","dummy","sample","example","eg","zz","zzz","none","null","xyz","qwe","asd","id","ref"},0)),AND(LEN(BW139)=8,BX139="",OR(LEFT(BW139,3)="202",ISNUMBER(MATCH(RIGHT(BW139,4),{"2025","2026","2027"},0)))))),OR(AND((LEN(BT139)-LEN(SUBSTITUTE(BT139,"a","")))&gt;=1,(LEN(BN139)-LEN(SUBSTITUTE(BN139,"0","")))&gt;=2,SUMPRODUCT(--ISNUMBER(SEARCH({"a0","a-0","a_0","a/0","a.0","a#0","0a","0-a","0_a","0/a"},BN139)))&gt;0),AND((LEN(BN139)-LEN(SUBSTITUTE(BN139,"a","")))=0,(LEN(BN139)-LEN(SUBSTITUTE(BN139,"0","")))&gt;=5)))),1,0),0)</f>
        <v>0</v>
      </c>
      <c r="CA1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139,"revision",""),"version",""),"jan",""),"feb",""),"mar",""),"apr",""),"may",""),"jun",""),"jul",""),"aug",""),"sep",""),"oct",""),"nov",""),"dec",""),"utc",""),"gmt",""),"myt",""),"bst",""),"rev",""),"ver",""),"b","a"),"c","a"),"d","a"),"e","a"),"f","a"),"g","a"),"h","a"),"i","a"),"j","a"),"k","a"),"l","a"),"m","a"),"n","a"),"o","a"),"p","a"),"q","a"),"r","a"),"s","a"),"t","a"),"u","a"),"v","a"),"w","a"),"x","a"),"y","a"),"z","a")</f>
        <v/>
      </c>
      <c r="CB1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139&amp;""),"a",""),"b",""),"c",""),"d",""),"e",""),"f",""),"g",""),"h",""),"i",""),"j",""),"k",""),"l",""),"m",""),"n",""),"o",""),"p",""),"q",""),"r",""),"s",""),"t",""),"u",""),"v",""),"w",""),"x",""),"y",""),"z",""),"-",""),"_",""),"/",""),".",""),"#",""),"\\",""),":","")," ",""),"(",""),")","")</f>
        <v/>
      </c>
      <c r="CC139" s="0" t="str">
        <f aca="false">" "&amp;TRIM(SUBSTITUTE(SUBSTITUTE(SUBSTITUTE(SUBSTITUTE(SUBSTITUTE(SUBSTITUTE(SUBSTITUTE(SUBSTITUTE(SUBSTITUTE(SUBSTITUTE(SUBSTITUTE(SUBSTITUTE(SUBSTITUTE(SUBSTITUTE(SUBSTITUTE(SUBSTITUTE(SUBSTITUTE(SUBSTITUTE(SUBSTITUTE(SUBSTITUTE(SUBSTITUTE(SUBSTITUTE(SUBSTITUTE(SUBSTITUTE(LOWER(T139&amp;""),CHAR(10)," "),CHAR(13)," "),CHAR(9)," "),CHAR(160)," "),"."," "),","," "),"-"," "),"/"," "),"("," "),")"," "),":"," "),";"," "),"_"," "),"–"," "),"?"," "),"!"," "),"*"," "),"["," "),"]"," "),"'"," "),"#"," "),"+"," "),"&amp;"," "),"\"," "))&amp;" "</f>
        <v>  </v>
      </c>
      <c r="CD139" s="0" t="str">
        <f aca="false">" "&amp;TRIM(SUBSTITUTE(SUBSTITUTE(SUBSTITUTE(SUBSTITUTE(SUBSTITUTE(SUBSTITUTE(SUBSTITUTE(SUBSTITUTE(SUBSTITUTE(SUBSTITUTE(SUBSTITUTE(SUBSTITUTE(SUBSTITUTE(SUBSTITUTE(SUBSTITUTE(SUBSTITUTE(SUBSTITUTE(SUBSTITUTE(SUBSTITUTE(SUBSTITUTE(SUBSTITUTE(SUBSTITUTE(SUBSTITUTE(SUBSTITUTE(LOWER(AE139&amp;""),CHAR(10)," "),CHAR(13)," "),CHAR(9)," "),CHAR(160)," "),"."," "),","," "),"-"," "),"/"," "),"("," "),")"," "),":"," "),";"," "),"_"," "),"–"," "),"?"," "),"!"," "),"*"," "),"["," "),"]"," "),"'"," "),"#"," "),"+"," "),"&amp;"," "),"\"," "))&amp;" "</f>
        <v>  </v>
      </c>
      <c r="CE139" s="68" t="n">
        <f aca="false">IFERROR(IF(AND(LEN(AU139)&gt;0,LEN(AU139)=LEN(AX139),OR(TRIM(MID(SUBSTITUTE(TRIM(CC139)," ",REPT(" ",60)),1,60))="",ISNUMBER(SEARCH(" "&amp;TRIM(MID(SUBSTITUTE(TRIM(CC139)," ",REPT(" ",60)),1,60))&amp;" ",CD139))),OR(TRIM(MID(SUBSTITUTE(TRIM(CC139)," ",REPT(" ",60)),61,60))="",ISNUMBER(SEARCH(" "&amp;TRIM(MID(SUBSTITUTE(TRIM(CC139)," ",REPT(" ",60)),61,60))&amp;" ",CD139))),OR(TRIM(MID(SUBSTITUTE(TRIM(CC139)," ",REPT(" ",60)),121,60))="",ISNUMBER(SEARCH(" "&amp;TRIM(MID(SUBSTITUTE(TRIM(CC139)," ",REPT(" ",60)),121,60))&amp;" ",CD139)))),1,0),0)</f>
        <v>0</v>
      </c>
      <c r="CG139" s="68" t="n">
        <f aca="false">IFERROR(LEN(SUBSTITUTE(BF139," ",""))-SUMPRODUCT((LEN(BF139)-LEN(SUBSTITUTE(BF139," "&amp;L_NAFiller&amp;" "," ")))/(LEN(L_NAFiller)+1)*LEN(L_NAFiller)),0)</f>
        <v>0</v>
      </c>
    </row>
    <row r="140" customFormat="false" ht="39.75" hidden="false" customHeight="true" outlineLevel="0" collapsed="false">
      <c r="A140" s="57" t="s">
        <v>664</v>
      </c>
      <c r="B140" s="57" t="s">
        <v>228</v>
      </c>
      <c r="C140" s="57" t="str">
        <f aca="false">Flights!$F$9</f>
        <v>MH0089</v>
      </c>
      <c r="D140" s="58" t="n">
        <f aca="false">Flights!$D$9</f>
        <v>46310</v>
      </c>
      <c r="E140" s="57" t="str">
        <f aca="false">Flights!$G$9&amp;"-"&amp;Flights!$H$9</f>
        <v>NRT-KUL</v>
      </c>
      <c r="F140" s="57" t="str">
        <f aca="false">Flights!$K$9</f>
        <v>EY</v>
      </c>
      <c r="G140" s="57" t="s">
        <v>81</v>
      </c>
      <c r="H140" s="57" t="s">
        <v>378</v>
      </c>
      <c r="I140" s="57" t="s">
        <v>394</v>
      </c>
      <c r="J140" s="57" t="s">
        <v>395</v>
      </c>
      <c r="K140" s="67" t="s">
        <v>396</v>
      </c>
      <c r="L140" s="67" t="s">
        <v>382</v>
      </c>
      <c r="M140" s="67"/>
      <c r="N140" s="67" t="s">
        <v>383</v>
      </c>
      <c r="O140" s="67"/>
      <c r="P140" s="57" t="s">
        <v>220</v>
      </c>
      <c r="Q140" s="59" t="n">
        <f aca="false">ROUND((Flights!$AC$9)*1440,0)/1440</f>
        <v>46303.0451388889</v>
      </c>
      <c r="R140" s="59" t="n">
        <f aca="false">Q140+(IF(AND(INDEX(TZ_DSTS,MATCH(P140,TZ_STN,0))&lt;&gt;"",Q140&gt;=INDEX(TZ_DSTS,MATCH(P140,TZ_STN,0)),Q140&lt;INDEX(TZ_DSTE,MATCH(P140,TZ_STN,0))),INDEX(TZ_DST,MATCH(P140,TZ_STN,0)),INDEX(TZ_STD,MATCH(P140,TZ_STN,0))))/24</f>
        <v>46303.4201388889</v>
      </c>
      <c r="S140" s="60"/>
      <c r="T140" s="60"/>
      <c r="U140" s="60"/>
      <c r="V140" s="60"/>
      <c r="W140" s="61"/>
      <c r="X140" s="60"/>
      <c r="Y140" s="60"/>
      <c r="Z140" s="60"/>
      <c r="AA140" s="60"/>
      <c r="AB140" s="60"/>
      <c r="AC140" s="60"/>
      <c r="AD140" s="66"/>
      <c r="AE140" s="60"/>
      <c r="AF140" s="61" t="str">
        <f aca="false">IF(AND(ISNUMBER(X140),ISNUMBER(Y140)),Y140-X140,"")</f>
        <v/>
      </c>
      <c r="AG140" s="62" t="str">
        <f aca="false">IF(ISNUMBER(AD140),AD140-(IF(AND(INDEX(TZ_DSTS,MATCH(P140,TZ_STN,0))&lt;&gt;"",(AD140-INDEX(TZ_STD,MATCH(P140,TZ_STN,0))/24)&gt;=INDEX(TZ_DSTS,MATCH(P140,TZ_STN,0)),(AD140-INDEX(TZ_STD,MATCH(P140,TZ_STN,0))/24)&lt;INDEX(TZ_DSTE,MATCH(P140,TZ_STN,0))),INDEX(TZ_DST,MATCH(P140,TZ_STN,0)),INDEX(TZ_STD,MATCH(P140,TZ_STN,0))))/24,"")</f>
        <v/>
      </c>
      <c r="AH140" s="65" t="str">
        <f aca="false">IFERROR(IF(N140="N/A – rule",IF(OR(TRIM(U140)="",TRIM(U140)="N/A",TRIM(U140)="Not started"),"N/A – RULE","INVALID – this check does not apply to this aircraft: clear the status (or correct the fleet on Flights)"),IF(TRIM(U140)="N/A",IF(AT140=0,"INVALID – N/A not permitted for this check",IF(AND(TRIM(AB140)&lt;&gt;"",TRIM(AB140)&lt;&gt;"Closed"),"INVALID – corrective action still open",IF(AND(NOT(OR(LEN(AZ140)&lt;15,ISNUMBER(MATCH(AZ140,L_Placeholder,0)))),BK140=0,CG140&gt;=8,NOT(OR(LEN(AU140)&lt;2,ISNUMBER(MATCH(AU140,L_Placeholder,0)))),BR140&gt;=3,NOT(OR(LEN(AX140)&lt;2,ISNUMBER(MATCH(AX140,L_Placeholder,0)))),BS140&gt;=3,TRIM(AE140)&lt;&gt;TRIM(T140),AX140&lt;&gt;AU140,CE140=0),"N/A – JUSTIFIED","INVALID – N/A needs a real, settled reason (not 'not applicable' / 'as above' / TBC), a named PIC and a different named verifier"))),IF(OR(TRIM(U140)="Pass",TRIM(U140)="Pass after CA"),IF(NOT(ISNUMBER(AD140)),"INVALID – completion time missing",IF(OR(OR(LEN(AU140)&lt;2,ISNUMBER(MATCH(AU140,L_Placeholder,0))),BR140&lt;3),"INVALID – PIC missing or not a named person (a role such as QA / CSM is not a name)",IF(OR(LEN(AV140)&lt;2,ISNUMBER(MATCH(AV140,L_Placeholder,0))),"INVALID – result / assessment missing",IF(OR(OR(LEN(AW140)&lt;3,ISNUMBER(MATCH(AW140,L_Placeholder,0))),SUMPRODUCT(--ISNUMBER(SEARCH(" "&amp;L_EvidencePhrase&amp;" ",BD140)))&gt;0,BI140=1),"INVALID – evidence missing, placeholder or not yet on file",IF(ISNA(MATCH(TRIM(S140),L_EvidenceType,0)),"INVALID – choose the evidence type from the list (column S)",IF(BL140=0,"INVALID – evidence ID must be the record's own ID only (e.g. SF-2210, IMG_2231, 1045521); a link / file name needs type 'Link / file path'",IF(OR(OR(LEN(AX140)&lt;2,ISNUMBER(MATCH(AX140,L_Placeholder,0))),BS140&lt;3),"INVALID – verifier missing or not a named person (a role such as QA / CSM is not a name)",IF(OR(AX140=AU140,CE140=1,AND(LEN(AU140)&gt;=4,ISNUMBER(SEARCH(AU140,AX140))),AND(LEN(AX140)&gt;=4,ISNUMBER(SEARCH(AX140,AU140)))),"INVALID – verifier must be a different, named person (not the PIC or a role)",IF(BH140=1,"INVALID – result not yet available (awaiting / TBC)",IF(BG140=1,"INVALID – result describes a problem: record Fail, then Pass after CA (or reword if it is not a problem)",IF(BV140=1,"INVALID – wording says not on board: an on-board confirmation needs the item loaded",IF(AND(AQ140=1,OR(OR(LEN(AY140)&lt;3,ISNUMBER(MATCH(AY140,L_Placeholder,0))),BJ140=1,BQ140=0)),"INVALID – batch ID missing, placeholder or not an ID (e.g. PASB-261008-BC-017)",IF(AND(AR140=1,OR(NOT(ISNUMBER(X140)),NOT(ISNUMBER(Y140)))),"INVALID – expected/actual qty missing",IF(AND(AR140=1,OR(X140&lt;=0,Y140&lt;0)),"INVALID – expected qty must be above 0 and actual not negative",IF(BB140&lt;&gt;"",BB140,IF(AND(AS140=1,Documents!$J$9&lt;&gt;"ON FILE"),"INVALID – GLD not on file (Documents sheet)",IF(AND(AS140=2,Documents!$O$9&lt;&gt;"ON FILE"),"INVALID – menu checklist not on file (Documents sheet)",IF(AND(AS140=3,NOT(ISNUMBER(Flights!$AX$9))),"INVALID – enter carrying flight KUL departure (Flights AX)",IF(AND(AS140=3,OR(Flights!$AZ$9&gt;Flights!$AA$9,Flights!$AX$9&lt;Flights!$AA$9-3)),"INVALID – carrying flight (Flights AX) cannot arrive before this leg's STD, or is over 3 days early",IF(AG140&gt;AsOfUTC,"INVALID – completion time is in the future",IF(AND(ISNUMBER(BY140),AG140&lt;BY140),IF(H140="Physical uplift","INVALID – before uplift window (cannot confirm loading)","INVALID – before valid window"),IF(AG140&gt;Flights!$AA$9,"INVALID – completed after departure (cannot establish readiness)",IF(AND(H140="Preparation",AG140&gt;=IF(ISNUMBER(Flights!$BA$9),MIN(Flights!$BA$9,Flights!$AA$9),Flights!$AA$9)),"INVALID – completed after loading / departure (cannot establish readiness)",IF(AND(H140="Physical uplift",AG140&gt;Q140),"INVALID – recorded after the loading flight departed",IF(AG140&gt;Q140,"COMPLETE – LATE","COMPLETE"))))))))))))))))))))))))),IF(TRIM(U140)="Fail","FAIL – DISCREPANCY",IF(AND(TRIM(U140)&lt;&gt;"",TRIM(U140)&lt;&gt;"Not started",TRIM(U140)&lt;&gt;"In progress"),"INVALID – unrecognised status (use the list)",IF(AsOfUTC&gt;Q140,"OVERDUE",IF(N140="Clarification required","OPEN – CLARIFICATION","OPEN"))))))),"INVALID – error value in an input cell")</f>
        <v>OPEN</v>
      </c>
      <c r="AI140" s="61" t="n">
        <f aca="false">IF(OR(AH140="N/A – RULE",AH140="N/A – JUSTIFIED"),0,1)</f>
        <v>1</v>
      </c>
      <c r="AJ140" s="61" t="n">
        <f aca="false">IF(LEFT(AH140,8)="COMPLETE",1,0)</f>
        <v>0</v>
      </c>
      <c r="AK140" s="61" t="n">
        <f aca="false">IF(AND(AI140=1,AJ140=0,AsOfUTC&gt;Q140),1,0)</f>
        <v>0</v>
      </c>
      <c r="AL140" s="61" t="n">
        <f aca="false">IFERROR(IF(AND(AI140=1,OR(TRIM(U140)="Fail",AND(TRIM(AB140)&lt;&gt;"",TRIM(AB140)&lt;&gt;"Closed"),AND(ISNUMBER(AF140),AF140&lt;&gt;0,TRIM(U140)&lt;&gt;"Pass after CA"))),1,0),1)</f>
        <v>0</v>
      </c>
      <c r="AM140" s="61" t="n">
        <f aca="false">IF(LEFT(AH140,7)="INVALID",1,0)</f>
        <v>0</v>
      </c>
      <c r="AN140" s="61" t="n">
        <f aca="false">IF(AND(N140="Clarification required",AI140=1,AJ140=0),1,0)</f>
        <v>0</v>
      </c>
      <c r="AO140" s="61" t="str">
        <f aca="false">IF(AK140=1,SUM(AK$5:AK140),"")</f>
        <v/>
      </c>
      <c r="AP140" s="61" t="str">
        <f aca="false">IF(AL140=1,SUM(AL$5:AL140),"")</f>
        <v/>
      </c>
      <c r="AQ140" s="61" t="n">
        <v>0</v>
      </c>
      <c r="AR140" s="61" t="n">
        <v>0</v>
      </c>
      <c r="AS140" s="61" t="n">
        <v>0</v>
      </c>
      <c r="AT140" s="61" t="n">
        <v>0</v>
      </c>
      <c r="AU140" s="61" t="str">
        <f aca="false">SUBSTITUTE(SUBSTITUTE(SUBSTITUTE(SUBSTITUTE(SUBSTITUTE(SUBSTITUTE(SUBSTITUTE(SUBSTITUTE(SUBSTITUTE(SUBSTITUTE(SUBSTITUTE(SUBSTITUTE(SUBSTITUTE(SUBSTITUTE(SUBSTITUTE(SUBSTITUTE(LOWER(T140&amp;""),CHAR(10),""),CHAR(13),""),CHAR(9),""),CHAR(160),"")," ",""),".",""),"-",""),"/",""),"?",""),"_",""),",",""),"[",""),"]",""),"(",""),")",""),"*","")</f>
        <v/>
      </c>
      <c r="AV140" s="61" t="str">
        <f aca="false">SUBSTITUTE(SUBSTITUTE(SUBSTITUTE(SUBSTITUTE(SUBSTITUTE(SUBSTITUTE(SUBSTITUTE(SUBSTITUTE(SUBSTITUTE(SUBSTITUTE(SUBSTITUTE(SUBSTITUTE(SUBSTITUTE(SUBSTITUTE(SUBSTITUTE(SUBSTITUTE(LOWER(V140&amp;""),CHAR(10),""),CHAR(13),""),CHAR(9),""),CHAR(160),"")," ",""),".",""),"-",""),"/",""),"?",""),"_",""),",",""),"[",""),"]",""),"(",""),")",""),"*","")</f>
        <v/>
      </c>
      <c r="AW140" s="61" t="str">
        <f aca="false">SUBSTITUTE(SUBSTITUTE(SUBSTITUTE(SUBSTITUTE(SUBSTITUTE(SUBSTITUTE(SUBSTITUTE(SUBSTITUTE(SUBSTITUTE(SUBSTITUTE(SUBSTITUTE(SUBSTITUTE(SUBSTITUTE(SUBSTITUTE(SUBSTITUTE(SUBSTITUTE(LOWER(Z140&amp;""),CHAR(10),""),CHAR(13),""),CHAR(9),""),CHAR(160),"")," ",""),".",""),"-",""),"/",""),"?",""),"_",""),",",""),"[",""),"]",""),"(",""),")",""),"*","")</f>
        <v/>
      </c>
      <c r="AX140" s="61" t="str">
        <f aca="false">SUBSTITUTE(SUBSTITUTE(SUBSTITUTE(SUBSTITUTE(SUBSTITUTE(SUBSTITUTE(SUBSTITUTE(SUBSTITUTE(SUBSTITUTE(SUBSTITUTE(SUBSTITUTE(SUBSTITUTE(SUBSTITUTE(SUBSTITUTE(SUBSTITUTE(SUBSTITUTE(LOWER(AE140&amp;""),CHAR(10),""),CHAR(13),""),CHAR(9),""),CHAR(160),"")," ",""),".",""),"-",""),"/",""),"?",""),"_",""),",",""),"[",""),"]",""),"(",""),")",""),"*","")</f>
        <v/>
      </c>
      <c r="AY140" s="61" t="str">
        <f aca="false">SUBSTITUTE(SUBSTITUTE(SUBSTITUTE(SUBSTITUTE(SUBSTITUTE(SUBSTITUTE(SUBSTITUTE(SUBSTITUTE(SUBSTITUTE(SUBSTITUTE(SUBSTITUTE(SUBSTITUTE(SUBSTITUTE(SUBSTITUTE(SUBSTITUTE(SUBSTITUTE(LOWER(W140&amp;""),CHAR(10),""),CHAR(13),""),CHAR(9),""),CHAR(160),"")," ",""),".",""),"-",""),"/",""),"?",""),"_",""),",",""),"[",""),"]",""),"(",""),")",""),"*","")</f>
        <v/>
      </c>
      <c r="AZ140" s="61" t="str">
        <f aca="false">SUBSTITUTE(SUBSTITUTE(SUBSTITUTE(SUBSTITUTE(SUBSTITUTE(SUBSTITUTE(SUBSTITUTE(SUBSTITUTE(SUBSTITUTE(SUBSTITUTE(SUBSTITUTE(SUBSTITUTE(SUBSTITUTE(SUBSTITUTE(SUBSTITUTE(SUBSTITUTE(LOWER(AC140&amp;""),CHAR(10),""),CHAR(13),""),CHAR(9),""),CHAR(160),"")," ",""),".",""),"-",""),"/",""),"?",""),"_",""),",",""),"[",""),"]",""),"(",""),")",""),"*","")</f>
        <v/>
      </c>
      <c r="BA140" s="61" t="str">
        <f aca="false">SUBSTITUTE(SUBSTITUTE(SUBSTITUTE(SUBSTITUTE(SUBSTITUTE(SUBSTITUTE(SUBSTITUTE(SUBSTITUTE(SUBSTITUTE(SUBSTITUTE(SUBSTITUTE(SUBSTITUTE(SUBSTITUTE(SUBSTITUTE(SUBSTITUTE(SUBSTITUTE(LOWER(AA140&amp;""),CHAR(10),""),CHAR(13),""),CHAR(9),""),CHAR(160),"")," ",""),".",""),"-",""),"/",""),"?",""),"_",""),",",""),"[",""),"]",""),"(",""),")",""),"*","")</f>
        <v/>
      </c>
      <c r="BB140" s="61" t="str">
        <f aca="false">IF(AND(TRIM(U140)="Pass",ISNUMBER(AF140)),IF(AF140&lt;&gt;0,"INVALID – qty variance: use Fail or Pass after CA",""),"")&amp;IF(AND(TRIM(U140)="Pass after CA",ISNUMBER(AF140)),IF(AF140&lt;&gt;0,"INVALID – after the corrective action the actual qty must equal expected (update Actual)",""),"")&amp;IF(AND(TRIM(U140)="Pass",TRIM(AB140)&lt;&gt;"",TRIM(AB140)&lt;&gt;"Closed"),"INVALID – corrective action not closed: use Fail, then Pass after CA","")&amp;IF(AND(LEN(BA140)&gt;=2,ISNA(MATCH(LEFT(BA140,255),L_Placeholder,0)),TRIM(AB140)=""),"INVALID – CA status missing for the recorded corrective action","")&amp;IF(AND(TRIM(U140)="Pass after CA",OR(OR(LEN(BA140)&lt;5,ISNUMBER(MATCH(BA140,L_Placeholder,0))),TRIM(AB140)&lt;&gt;"Closed")),"INVALID – corrective action not recorded/closed","")</f>
        <v/>
      </c>
      <c r="BC140" s="61" t="str">
        <f aca="false">" "&amp;TRIM(SUBSTITUTE(SUBSTITUTE(SUBSTITUTE(SUBSTITUTE(SUBSTITUTE(SUBSTITUTE(SUBSTITUTE(SUBSTITUTE(SUBSTITUTE(SUBSTITUTE(SUBSTITUTE(SUBSTITUTE(SUBSTITUTE(SUBSTITUTE(SUBSTITUTE(SUBSTITUTE(SUBSTITUTE(SUBSTITUTE(SUBSTITUTE(SUBSTITUTE(SUBSTITUTE(SUBSTITUTE(SUBSTITUTE(SUBSTITUTE(LOWER(V140&amp;""),CHAR(10)," "),CHAR(13)," "),CHAR(9)," "),CHAR(160)," "),"."," "),","," "),"-"," "),"/"," "),"("," "),")"," "),":"," "),";"," "),"_"," "),"–"," "),"?"," "),"!"," "),"*"," "),"["," "),"]"," "),"'"," "),"#"," "),"+"," "),"&amp;"," "),"\"," "))&amp;" "</f>
        <v>  </v>
      </c>
      <c r="BD140" s="61" t="str">
        <f aca="false">" "&amp;TRIM(SUBSTITUTE(SUBSTITUTE(SUBSTITUTE(SUBSTITUTE(SUBSTITUTE(SUBSTITUTE(SUBSTITUTE(SUBSTITUTE(SUBSTITUTE(SUBSTITUTE(SUBSTITUTE(SUBSTITUTE(SUBSTITUTE(SUBSTITUTE(SUBSTITUTE(SUBSTITUTE(SUBSTITUTE(SUBSTITUTE(SUBSTITUTE(SUBSTITUTE(SUBSTITUTE(SUBSTITUTE(SUBSTITUTE(SUBSTITUTE(LOWER(Z140&amp;""),CHAR(10)," "),CHAR(13)," "),CHAR(9)," "),CHAR(160)," "),"."," "),","," "),"-"," "),"/"," "),"("," "),")"," "),":"," "),";"," "),"_"," "),"–"," "),"?"," "),"!"," "),"*"," "),"["," "),"]"," "),"'"," "),"#"," "),"+"," "),"&amp;"," "),"\"," "))&amp;" "</f>
        <v>  </v>
      </c>
      <c r="BE140" s="61" t="str">
        <f aca="false">" "&amp;TRIM(SUBSTITUTE(SUBSTITUTE(SUBSTITUTE(SUBSTITUTE(SUBSTITUTE(SUBSTITUTE(SUBSTITUTE(SUBSTITUTE(SUBSTITUTE(SUBSTITUTE(SUBSTITUTE(SUBSTITUTE(SUBSTITUTE(SUBSTITUTE(SUBSTITUTE(SUBSTITUTE(SUBSTITUTE(SUBSTITUTE(SUBSTITUTE(SUBSTITUTE(SUBSTITUTE(SUBSTITUTE(SUBSTITUTE(SUBSTITUTE(LOWER(W140&amp;""),CHAR(10)," "),CHAR(13)," "),CHAR(9)," "),CHAR(160)," "),"."," "),","," "),"-"," "),"/"," "),"("," "),")"," "),":"," "),";"," "),"_"," "),"–"," "),"?"," "),"!"," "),"*"," "),"["," "),"]"," "),"'"," "),"#"," "),"+"," "),"&amp;"," "),"\"," "))&amp;" "</f>
        <v>  </v>
      </c>
      <c r="BF140" s="61" t="str">
        <f aca="false">" "&amp;TRIM(SUBSTITUTE(SUBSTITUTE(SUBSTITUTE(SUBSTITUTE(SUBSTITUTE(SUBSTITUTE(SUBSTITUTE(SUBSTITUTE(SUBSTITUTE(SUBSTITUTE(SUBSTITUTE(SUBSTITUTE(SUBSTITUTE(SUBSTITUTE(SUBSTITUTE(SUBSTITUTE(SUBSTITUTE(SUBSTITUTE(SUBSTITUTE(SUBSTITUTE(SUBSTITUTE(SUBSTITUTE(SUBSTITUTE(SUBSTITUTE(LOWER(AC140&amp;""),CHAR(10)," "),CHAR(13)," "),CHAR(9)," "),CHAR(160)," "),"."," "),","," "),"-"," "),"/"," "),"("," "),")"," "),":"," "),";"," "),"_"," "),"–"," "),"?"," "),"!"," "),"*"," "),"["," "),"]"," "),"'"," "),"#"," "),"+"," "),"&amp;"," "),"\"," "))&amp;" "</f>
        <v>  </v>
      </c>
      <c r="BG140" s="61" t="n">
        <f aca="false">IFERROR(IF(AND(TRIM(U140)="Pass",SUMPRODUCT((LEN(BC140)-LEN(SUBSTITUTE(BC140," "&amp;L_ResultBad&amp;" "," ")))/(LEN(L_ResultBad)+1))&gt;SUMPRODUCT((LEN(BC140)-LEN(SUBSTITUTE(BC140," "&amp;L_NegPhrase&amp;" "," ")))/(LEN(L_NegPhrase)+1))),1,0),0)</f>
        <v>0</v>
      </c>
      <c r="BH140" s="61" t="n">
        <f aca="false">IFERROR(IF(SUMPRODUCT((LEN(BC140)-LEN(SUBSTITUTE(BC140," "&amp;L_Pending&amp;" "," ")))/(LEN(L_Pending)+1))&gt;SUMPRODUCT((LEN(BC140)-LEN(SUBSTITUTE(BC140," "&amp;L_PendNeg&amp;" "," ")))/(LEN(L_PendNeg)+1))+SUMPRODUCT((LEN(BC140)-LEN(SUBSTITUTE(BC140," "&amp;L_PendPrep&amp;" "," ")))/(LEN(L_PendPrep)+1)),1,0),1)</f>
        <v>0</v>
      </c>
      <c r="BI140" s="61" t="n">
        <f aca="false">IFERROR(IF(SUMPRODUCT((LEN(BD140)-LEN(SUBSTITUTE(BD140," "&amp;L_PendStrict&amp;" "," ")))/(LEN(L_PendStrict)+1))&gt;SUMPRODUCT((LEN(BD140)-LEN(SUBSTITUTE(BD140," "&amp;L_PendNeg&amp;" "," ")))/(LEN(L_PendNeg)+1)),1,0),1)</f>
        <v>0</v>
      </c>
      <c r="BJ140" s="61" t="n">
        <f aca="false">IFERROR(IF(SUMPRODUCT((LEN(BE140)-LEN(SUBSTITUTE(BE140," "&amp;L_Pending&amp;" "," ")))/(LEN(L_Pending)+1))&gt;SUMPRODUCT((LEN(BE140)-LEN(SUBSTITUTE(BE140," "&amp;L_PendNeg&amp;" "," ")))/(LEN(L_PendNeg)+1))+SUMPRODUCT((LEN(BE140)-LEN(SUBSTITUTE(BE140," "&amp;L_PendPrep&amp;" "," ")))/(LEN(L_PendPrep)+1)),1,0),1)</f>
        <v>0</v>
      </c>
      <c r="BK140" s="61" t="n">
        <f aca="false">IFERROR(IF(SUMPRODUCT((LEN(BF140)-LEN(SUBSTITUTE(BF140," "&amp;L_PendStrict&amp;" "," ")))/(LEN(L_PendStrict)+1))&gt;SUMPRODUCT((LEN(BF140)-LEN(SUBSTITUTE(BF140," "&amp;L_PendNeg&amp;" "," ")))/(LEN(L_PendNeg)+1)),1,0),1)</f>
        <v>0</v>
      </c>
      <c r="BL140" s="61" t="n">
        <f aca="false">IF(ISNA(MATCH(TRIM(S140),L_EvidenceType,0)),0,BZ140)</f>
        <v>0</v>
      </c>
      <c r="BM140" s="61" t="str">
        <f aca="false">SUBSTITUTE(SUBSTITUTE(SUBSTITUTE(SUBSTITUTE(SUBSTITUTE(SUBSTITUTE(SUBSTITUTE(SUBSTITUTE(SUBSTITUTE(LOWER(Z140&amp;""),"1","0"),"2","0"),"3","0"),"4","0"),"5","0"),"6","0"),"7","0"),"8","0"),"9","0")</f>
        <v/>
      </c>
      <c r="BN140" s="61" t="str">
        <f aca="false">SUBSTITUTE(SUBSTITUTE(SUBSTITUTE(SUBSTITUTE(SUBSTITUTE(SUBSTITUTE(SUBSTITUTE(SUBSTITUTE(SUBSTITUTE(SUBSTITUTE(SUBSTITUTE(SUBSTITUTE(SUBSTITUTE(SUBSTITUTE(SUBSTITUTE(SUBSTITUTE(SUBSTITUTE(SUBSTITUTE(SUBSTITUTE(SUBSTITUTE(SUBSTITUTE(SUBSTITUTE(SUBSTITUTE(SUBSTITUTE(SUBSTITUTE(BM140,"b","a"),"c","a"),"d","a"),"e","a"),"f","a"),"g","a"),"h","a"),"i","a"),"j","a"),"k","a"),"l","a"),"m","a"),"n","a"),"o","a"),"p","a"),"q","a"),"r","a"),"s","a"),"t","a"),"u","a"),"v","a"),"w","a"),"x","a"),"y","a"),"z","a")</f>
        <v/>
      </c>
      <c r="BO140" s="61" t="str">
        <f aca="false">SUBSTITUTE(SUBSTITUTE(SUBSTITUTE(SUBSTITUTE(SUBSTITUTE(SUBSTITUTE(SUBSTITUTE(SUBSTITUTE(SUBSTITUTE(LOWER(W140&amp;""),"1","0"),"2","0"),"3","0"),"4","0"),"5","0"),"6","0"),"7","0"),"8","0"),"9","0")</f>
        <v/>
      </c>
      <c r="BP140" s="61" t="str">
        <f aca="false">SUBSTITUTE(SUBSTITUTE(SUBSTITUTE(SUBSTITUTE(SUBSTITUTE(SUBSTITUTE(SUBSTITUTE(SUBSTITUTE(SUBSTITUTE(SUBSTITUTE(SUBSTITUTE(SUBSTITUTE(SUBSTITUTE(SUBSTITUTE(SUBSTITUTE(SUBSTITUTE(SUBSTITUTE(SUBSTITUTE(SUBSTITUTE(SUBSTITUTE(SUBSTITUTE(SUBSTITUTE(SUBSTITUTE(SUBSTITUTE(SUBSTITUTE(BO140,"b","a"),"c","a"),"d","a"),"e","a"),"f","a"),"g","a"),"h","a"),"i","a"),"j","a"),"k","a"),"l","a"),"m","a"),"n","a"),"o","a"),"p","a"),"q","a"),"r","a"),"s","a"),"t","a"),"u","a"),"v","a"),"w","a"),"x","a"),"y","a"),"z","a")</f>
        <v/>
      </c>
      <c r="BQ140" s="61" t="n">
        <f aca="false">IFERROR(IF(AND(ISERROR(SEARCH(" mh"," "&amp;LOWER(W140))),ISNA(MATCH(LEFT(TRIM(BP140),255),{"0000a","000a","00a","0000aa","000aa","00aa","0aa","0000aaa","000aaa","00a00","0a00","0000-0000","00:00","a00","a0","00.00.0000","00/00/0000","00-00-0000","0000-00-00","0000/00/00","0000.00.00","00.00.00","00/00/00","00-00-00","0.00.0000","0/00/0000","0-00-0000"},0)),ISNA(MATCH(LEFT(TRIM(CA140),255),{"0000a","000a","00a","0000aa","000aa","00aa","0aa","0000aaa","000aaa","00a00","0a00","0000-0000","00:00","a00","a0","00.00.0000","00/00/0000","00-00-0000","0000-00-00","0000/00/00","0000.00.00","00.00.00","00/00/00","00-00-00","0.00.0000","0/00/0000","0-00-0000"},0)),LEN(CB140)&gt;=3,NOT(OR(SUBSTITUTE(CB140,"0","")="",AND(LEN(CB140)&gt;=4,CB140=REPT(LEFT(CB140),LEN(CB140))),ISNUMBER(MATCH(CB140,{"123","1234","12345","123456","1234567","12345678","0123","01234","012345","98765","987654","54321"},0)),AND(LEN(CB140)=8,LEFT(CB140,3)="202"))),OR(AND((LEN(CA140)-LEN(SUBSTITUTE(CA140,"a","")))&gt;=1,SUMPRODUCT(--ISNUMBER(SEARCH({"a0","a-0","a_0","a/0","a.0","a#0","0a","0-a","0_a","0/a"},BP140)))&gt;0),ISNUMBER(SEARCH("000000",BP140)))),1,0),0)</f>
        <v>0</v>
      </c>
      <c r="BR140" s="61" t="n">
        <f aca="false">IFERROR(LEN(SUBSTITUTE(CC140," ",""))-SUMPRODUCT((LEN(CC140)-LEN(SUBSTITUTE(CC140," "&amp;L_Role&amp;" "," ")))/(LEN(L_Role)+1)*LEN(L_Role)),0)</f>
        <v>0</v>
      </c>
      <c r="BS140" s="61" t="n">
        <f aca="false">IFERROR(LEN(SUBSTITUTE(CD140," ",""))-SUMPRODUCT((LEN(CD140)-LEN(SUBSTITUTE(CD140," "&amp;L_Role&amp;" "," ")))/(LEN(L_Role)+1)*LEN(L_Role)),0)</f>
        <v>0</v>
      </c>
      <c r="BT1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140,"revision",""),"version",""),"jan",""),"feb",""),"mar",""),"apr",""),"may",""),"jun",""),"jul",""),"aug",""),"sep",""),"oct",""),"nov",""),"dec",""),"utc",""),"gmt",""),"myt",""),"bst",""),"rev",""),"ver",""),"b","a"),"c","a"),"d","a"),"e","a"),"f","a"),"g","a"),"h","a"),"i","a"),"j","a"),"k","a"),"l","a"),"m","a"),"n","a"),"o","a"),"p","a"),"q","a"),"r","a"),"s","a"),"t","a"),"u","a"),"v","a"),"w","a"),"x","a"),"y","a"),"z","a")</f>
        <v/>
      </c>
      <c r="BU140" s="61" t="str">
        <f aca="false">SUBSTITUTE(SUBSTITUTE(SUBSTITUTE(SUBSTITUTE(SUBSTITUTE(SUBSTITUTE(SUBSTITUTE(SUBSTITUTE(SUBSTITUTE(SUBSTITUTE(LEFT(BM140,FIND("0",BM140&amp;"0")-1),"-",""),"_",""),"/",""),".",""),"#",""),"\\",""),":","")," ",""),"(",""),")","")</f>
        <v/>
      </c>
      <c r="BV140" s="61" t="n">
        <f aca="false">0</f>
        <v>0</v>
      </c>
      <c r="BW1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140&amp;""),"a",""),"b",""),"c",""),"d",""),"e",""),"f",""),"g",""),"h",""),"i",""),"j",""),"k",""),"l",""),"m",""),"n",""),"o",""),"p",""),"q",""),"r",""),"s",""),"t",""),"u",""),"v",""),"w",""),"x",""),"y",""),"z",""),"-",""),"_",""),"/",""),".",""),"#",""),"\\",""),":","")," ",""),"(",""),")","")</f>
        <v/>
      </c>
      <c r="BX140" s="61" t="str">
        <f aca="false">SUBSTITUTE(SUBSTITUTE(SUBSTITUTE(SUBSTITUTE(SUBSTITUTE(SUBSTITUTE(SUBSTITUTE(SUBSTITUTE(SUBSTITUTE(SUBSTITUTE(SUBSTITUTE(BM140,"0",""),"-",""),"_",""),"/",""),".",""),"#",""),"\\",""),":","")," ",""),"(",""),")","")</f>
        <v/>
      </c>
      <c r="BY140" s="62" t="n">
        <f aca="false">Q140-T7EarlyD*24/24</f>
        <v>46289.0451388889</v>
      </c>
      <c r="BZ140" s="61" t="n">
        <f aca="false">IFERROR(IF(IF(TRIM(S140)="Link / file path",AND(LEN(TRIM(Z140))&gt;=5,SUMPRODUCT(--ISNUMBER(SEARCH({"http","www.","\\",":\",".pdf",".jpg",".jpeg",".png",".heic",".xls",".doc",".msg",".eml",".ppt",".txt",".zip"},Z140)))&gt;0),AND(ISERROR(FIND(" ",TRIM(Z140))),NOT(OR(SUMPRODUCT(--ISNUMBER(FIND({",",";","&amp;","+"},Z140)))&gt;0,SUMPRODUCT(--ISNUMBER(SEARCH({"0/aa","0\\aa"},BN140)))&gt;0)),NOT(SUMPRODUCT(--ISNUMBER(SEARCH({"http","www.","\\",":\",".pdf",".jpg",".jpeg",".png",".heic",".xls",".doc",".msg",".eml",".ppt",".txt",".zip"},Z140)))&gt;0),NOT(LOWER(TRIM(Z140))=LOWER(Flights!$F$9)),ISNA(MATCH(BU140,{"mh","rev","revision","ver","version","v","r","a","b","seat","tray","row","gate","bay","stand","page","pg","item","line","no","cart","galley","flight","flt","table","box","bag","oven","etd","eta","std","sta","atd","ata","qty","pax","x","time","tel","ph","mob","day","wk","week","utc","gmt","myt","lt"},0)),NOT(OR(ISNUMBER(MATCH(LEFT(BN140,255),{"0000a","000a","00a","0000aa","000aa","00aa","0aa","0000aaa","000aaa","00a00","0a00","0000-0000","00:00","a00","a0","00.00.0000","00/00/0000","00-00-0000","0000-00-00","0000/00/00","0000.00.00","00.00.00","00/00/00","00-00-00","0.00.0000","0/00/0000","0-00-0000"},0)),ISNUMBER(MATCH(LEFT(BT140,255),{"0000a","000a","00a","0000aa","000aa","00aa","0aa","0000aaa","000aaa","00a00","0a00","0000-0000","00:00","a00","a0","00.00.0000","00/00/0000","00-00-0000","0000-00-00","0000/00/00","0000.00.00","00.00.00","00/00/00","00-00-00","0.00.0000","0/00/0000","0-00-0000"},0)))),NOT(OR(AND(BW140&lt;&gt;"",SUBSTITUTE(BW140,"0","")=""),AND(LEN(BW140)&gt;=4,BW140=REPT(LEFT(BW140),LEN(BW140))),ISNUMBER(MATCH(BW140,{"123","1234","12345","123456","1234567","12345678","0123","01234","012345","98765","987654","54321"},0)),ISNUMBER(MATCH(BX140,{"x","xx","xxx","xxxx","xxxxx","abc","abcd","nil","na","nan","test","tbc","tba","tbd","dummy","sample","example","eg","zz","zzz","none","null","xyz","qwe","asd","id","ref"},0)),AND(LEN(BW140)=8,BX140="",OR(LEFT(BW140,3)="202",ISNUMBER(MATCH(RIGHT(BW140,4),{"2025","2026","2027"},0)))))),OR(AND((LEN(BT140)-LEN(SUBSTITUTE(BT140,"a","")))&gt;=1,(LEN(BN140)-LEN(SUBSTITUTE(BN140,"0","")))&gt;=2,SUMPRODUCT(--ISNUMBER(SEARCH({"a0","a-0","a_0","a/0","a.0","a#0","0a","0-a","0_a","0/a"},BN140)))&gt;0),AND((LEN(BN140)-LEN(SUBSTITUTE(BN140,"a","")))=0,(LEN(BN140)-LEN(SUBSTITUTE(BN140,"0","")))&gt;=5)))),1,0),0)</f>
        <v>0</v>
      </c>
      <c r="CA1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140,"revision",""),"version",""),"jan",""),"feb",""),"mar",""),"apr",""),"may",""),"jun",""),"jul",""),"aug",""),"sep",""),"oct",""),"nov",""),"dec",""),"utc",""),"gmt",""),"myt",""),"bst",""),"rev",""),"ver",""),"b","a"),"c","a"),"d","a"),"e","a"),"f","a"),"g","a"),"h","a"),"i","a"),"j","a"),"k","a"),"l","a"),"m","a"),"n","a"),"o","a"),"p","a"),"q","a"),"r","a"),"s","a"),"t","a"),"u","a"),"v","a"),"w","a"),"x","a"),"y","a"),"z","a")</f>
        <v/>
      </c>
      <c r="CB1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140&amp;""),"a",""),"b",""),"c",""),"d",""),"e",""),"f",""),"g",""),"h",""),"i",""),"j",""),"k",""),"l",""),"m",""),"n",""),"o",""),"p",""),"q",""),"r",""),"s",""),"t",""),"u",""),"v",""),"w",""),"x",""),"y",""),"z",""),"-",""),"_",""),"/",""),".",""),"#",""),"\\",""),":","")," ",""),"(",""),")","")</f>
        <v/>
      </c>
      <c r="CC140" s="0" t="str">
        <f aca="false">" "&amp;TRIM(SUBSTITUTE(SUBSTITUTE(SUBSTITUTE(SUBSTITUTE(SUBSTITUTE(SUBSTITUTE(SUBSTITUTE(SUBSTITUTE(SUBSTITUTE(SUBSTITUTE(SUBSTITUTE(SUBSTITUTE(SUBSTITUTE(SUBSTITUTE(SUBSTITUTE(SUBSTITUTE(SUBSTITUTE(SUBSTITUTE(SUBSTITUTE(SUBSTITUTE(SUBSTITUTE(SUBSTITUTE(SUBSTITUTE(SUBSTITUTE(LOWER(T140&amp;""),CHAR(10)," "),CHAR(13)," "),CHAR(9)," "),CHAR(160)," "),"."," "),","," "),"-"," "),"/"," "),"("," "),")"," "),":"," "),";"," "),"_"," "),"–"," "),"?"," "),"!"," "),"*"," "),"["," "),"]"," "),"'"," "),"#"," "),"+"," "),"&amp;"," "),"\"," "))&amp;" "</f>
        <v>  </v>
      </c>
      <c r="CD140" s="0" t="str">
        <f aca="false">" "&amp;TRIM(SUBSTITUTE(SUBSTITUTE(SUBSTITUTE(SUBSTITUTE(SUBSTITUTE(SUBSTITUTE(SUBSTITUTE(SUBSTITUTE(SUBSTITUTE(SUBSTITUTE(SUBSTITUTE(SUBSTITUTE(SUBSTITUTE(SUBSTITUTE(SUBSTITUTE(SUBSTITUTE(SUBSTITUTE(SUBSTITUTE(SUBSTITUTE(SUBSTITUTE(SUBSTITUTE(SUBSTITUTE(SUBSTITUTE(SUBSTITUTE(LOWER(AE140&amp;""),CHAR(10)," "),CHAR(13)," "),CHAR(9)," "),CHAR(160)," "),"."," "),","," "),"-"," "),"/"," "),"("," "),")"," "),":"," "),";"," "),"_"," "),"–"," "),"?"," "),"!"," "),"*"," "),"["," "),"]"," "),"'"," "),"#"," "),"+"," "),"&amp;"," "),"\"," "))&amp;" "</f>
        <v>  </v>
      </c>
      <c r="CE140" s="68" t="n">
        <f aca="false">IFERROR(IF(AND(LEN(AU140)&gt;0,LEN(AU140)=LEN(AX140),OR(TRIM(MID(SUBSTITUTE(TRIM(CC140)," ",REPT(" ",60)),1,60))="",ISNUMBER(SEARCH(" "&amp;TRIM(MID(SUBSTITUTE(TRIM(CC140)," ",REPT(" ",60)),1,60))&amp;" ",CD140))),OR(TRIM(MID(SUBSTITUTE(TRIM(CC140)," ",REPT(" ",60)),61,60))="",ISNUMBER(SEARCH(" "&amp;TRIM(MID(SUBSTITUTE(TRIM(CC140)," ",REPT(" ",60)),61,60))&amp;" ",CD140))),OR(TRIM(MID(SUBSTITUTE(TRIM(CC140)," ",REPT(" ",60)),121,60))="",ISNUMBER(SEARCH(" "&amp;TRIM(MID(SUBSTITUTE(TRIM(CC140)," ",REPT(" ",60)),121,60))&amp;" ",CD140)))),1,0),0)</f>
        <v>0</v>
      </c>
      <c r="CG140" s="68" t="n">
        <f aca="false">IFERROR(LEN(SUBSTITUTE(BF140," ",""))-SUMPRODUCT((LEN(BF140)-LEN(SUBSTITUTE(BF140," "&amp;L_NAFiller&amp;" "," ")))/(LEN(L_NAFiller)+1)*LEN(L_NAFiller)),0)</f>
        <v>0</v>
      </c>
    </row>
    <row r="141" customFormat="false" ht="39.75" hidden="false" customHeight="true" outlineLevel="0" collapsed="false">
      <c r="A141" s="57" t="s">
        <v>665</v>
      </c>
      <c r="B141" s="57" t="s">
        <v>228</v>
      </c>
      <c r="C141" s="57" t="str">
        <f aca="false">Flights!$F$9</f>
        <v>MH0089</v>
      </c>
      <c r="D141" s="58" t="n">
        <f aca="false">Flights!$D$9</f>
        <v>46310</v>
      </c>
      <c r="E141" s="57" t="str">
        <f aca="false">Flights!$G$9&amp;"-"&amp;Flights!$H$9</f>
        <v>NRT-KUL</v>
      </c>
      <c r="F141" s="57" t="str">
        <f aca="false">Flights!$K$9</f>
        <v>EY</v>
      </c>
      <c r="G141" s="57" t="s">
        <v>81</v>
      </c>
      <c r="H141" s="57" t="s">
        <v>378</v>
      </c>
      <c r="I141" s="57" t="s">
        <v>398</v>
      </c>
      <c r="J141" s="57" t="s">
        <v>399</v>
      </c>
      <c r="K141" s="67" t="s">
        <v>400</v>
      </c>
      <c r="L141" s="67" t="s">
        <v>382</v>
      </c>
      <c r="M141" s="67"/>
      <c r="N141" s="67" t="s">
        <v>383</v>
      </c>
      <c r="O141" s="67"/>
      <c r="P141" s="57" t="s">
        <v>220</v>
      </c>
      <c r="Q141" s="59" t="n">
        <f aca="false">ROUND((Flights!$AC$9)*1440,0)/1440</f>
        <v>46303.0451388889</v>
      </c>
      <c r="R141" s="59" t="n">
        <f aca="false">Q141+(IF(AND(INDEX(TZ_DSTS,MATCH(P141,TZ_STN,0))&lt;&gt;"",Q141&gt;=INDEX(TZ_DSTS,MATCH(P141,TZ_STN,0)),Q141&lt;INDEX(TZ_DSTE,MATCH(P141,TZ_STN,0))),INDEX(TZ_DST,MATCH(P141,TZ_STN,0)),INDEX(TZ_STD,MATCH(P141,TZ_STN,0))))/24</f>
        <v>46303.4201388889</v>
      </c>
      <c r="S141" s="60"/>
      <c r="T141" s="60"/>
      <c r="U141" s="60"/>
      <c r="V141" s="60"/>
      <c r="W141" s="61"/>
      <c r="X141" s="60"/>
      <c r="Y141" s="60"/>
      <c r="Z141" s="60"/>
      <c r="AA141" s="60"/>
      <c r="AB141" s="60"/>
      <c r="AC141" s="60"/>
      <c r="AD141" s="66"/>
      <c r="AE141" s="60"/>
      <c r="AF141" s="61" t="str">
        <f aca="false">IF(AND(ISNUMBER(X141),ISNUMBER(Y141)),Y141-X141,"")</f>
        <v/>
      </c>
      <c r="AG141" s="62" t="str">
        <f aca="false">IF(ISNUMBER(AD141),AD141-(IF(AND(INDEX(TZ_DSTS,MATCH(P141,TZ_STN,0))&lt;&gt;"",(AD141-INDEX(TZ_STD,MATCH(P141,TZ_STN,0))/24)&gt;=INDEX(TZ_DSTS,MATCH(P141,TZ_STN,0)),(AD141-INDEX(TZ_STD,MATCH(P141,TZ_STN,0))/24)&lt;INDEX(TZ_DSTE,MATCH(P141,TZ_STN,0))),INDEX(TZ_DST,MATCH(P141,TZ_STN,0)),INDEX(TZ_STD,MATCH(P141,TZ_STN,0))))/24,"")</f>
        <v/>
      </c>
      <c r="AH141" s="65" t="str">
        <f aca="false">IFERROR(IF(N141="N/A – rule",IF(OR(TRIM(U141)="",TRIM(U141)="N/A",TRIM(U141)="Not started"),"N/A – RULE","INVALID – this check does not apply to this aircraft: clear the status (or correct the fleet on Flights)"),IF(TRIM(U141)="N/A",IF(AT141=0,"INVALID – N/A not permitted for this check",IF(AND(TRIM(AB141)&lt;&gt;"",TRIM(AB141)&lt;&gt;"Closed"),"INVALID – corrective action still open",IF(AND(NOT(OR(LEN(AZ141)&lt;15,ISNUMBER(MATCH(AZ141,L_Placeholder,0)))),BK141=0,CG141&gt;=8,NOT(OR(LEN(AU141)&lt;2,ISNUMBER(MATCH(AU141,L_Placeholder,0)))),BR141&gt;=3,NOT(OR(LEN(AX141)&lt;2,ISNUMBER(MATCH(AX141,L_Placeholder,0)))),BS141&gt;=3,TRIM(AE141)&lt;&gt;TRIM(T141),AX141&lt;&gt;AU141,CE141=0),"N/A – JUSTIFIED","INVALID – N/A needs a real, settled reason (not 'not applicable' / 'as above' / TBC), a named PIC and a different named verifier"))),IF(OR(TRIM(U141)="Pass",TRIM(U141)="Pass after CA"),IF(NOT(ISNUMBER(AD141)),"INVALID – completion time missing",IF(OR(OR(LEN(AU141)&lt;2,ISNUMBER(MATCH(AU141,L_Placeholder,0))),BR141&lt;3),"INVALID – PIC missing or not a named person (a role such as QA / CSM is not a name)",IF(OR(LEN(AV141)&lt;2,ISNUMBER(MATCH(AV141,L_Placeholder,0))),"INVALID – result / assessment missing",IF(OR(OR(LEN(AW141)&lt;3,ISNUMBER(MATCH(AW141,L_Placeholder,0))),SUMPRODUCT(--ISNUMBER(SEARCH(" "&amp;L_EvidencePhrase&amp;" ",BD141)))&gt;0,BI141=1),"INVALID – evidence missing, placeholder or not yet on file",IF(ISNA(MATCH(TRIM(S141),L_EvidenceType,0)),"INVALID – choose the evidence type from the list (column S)",IF(BL141=0,"INVALID – evidence ID must be the record's own ID only (e.g. SF-2210, IMG_2231, 1045521); a link / file name needs type 'Link / file path'",IF(OR(OR(LEN(AX141)&lt;2,ISNUMBER(MATCH(AX141,L_Placeholder,0))),BS141&lt;3),"INVALID – verifier missing or not a named person (a role such as QA / CSM is not a name)",IF(OR(AX141=AU141,CE141=1,AND(LEN(AU141)&gt;=4,ISNUMBER(SEARCH(AU141,AX141))),AND(LEN(AX141)&gt;=4,ISNUMBER(SEARCH(AX141,AU141)))),"INVALID – verifier must be a different, named person (not the PIC or a role)",IF(BH141=1,"INVALID – result not yet available (awaiting / TBC)",IF(BG141=1,"INVALID – result describes a problem: record Fail, then Pass after CA (or reword if it is not a problem)",IF(BV141=1,"INVALID – wording says not on board: an on-board confirmation needs the item loaded",IF(AND(AQ141=1,OR(OR(LEN(AY141)&lt;3,ISNUMBER(MATCH(AY141,L_Placeholder,0))),BJ141=1,BQ141=0)),"INVALID – batch ID missing, placeholder or not an ID (e.g. PASB-261008-BC-017)",IF(AND(AR141=1,OR(NOT(ISNUMBER(X141)),NOT(ISNUMBER(Y141)))),"INVALID – expected/actual qty missing",IF(AND(AR141=1,OR(X141&lt;=0,Y141&lt;0)),"INVALID – expected qty must be above 0 and actual not negative",IF(BB141&lt;&gt;"",BB141,IF(AND(AS141=1,Documents!$J$9&lt;&gt;"ON FILE"),"INVALID – GLD not on file (Documents sheet)",IF(AND(AS141=2,Documents!$O$9&lt;&gt;"ON FILE"),"INVALID – menu checklist not on file (Documents sheet)",IF(AND(AS141=3,NOT(ISNUMBER(Flights!$AX$9))),"INVALID – enter carrying flight KUL departure (Flights AX)",IF(AND(AS141=3,OR(Flights!$AZ$9&gt;Flights!$AA$9,Flights!$AX$9&lt;Flights!$AA$9-3)),"INVALID – carrying flight (Flights AX) cannot arrive before this leg's STD, or is over 3 days early",IF(AG141&gt;AsOfUTC,"INVALID – completion time is in the future",IF(AND(ISNUMBER(BY141),AG141&lt;BY141),IF(H141="Physical uplift","INVALID – before uplift window (cannot confirm loading)","INVALID – before valid window"),IF(AG141&gt;Flights!$AA$9,"INVALID – completed after departure (cannot establish readiness)",IF(AND(H141="Preparation",AG141&gt;=IF(ISNUMBER(Flights!$BA$9),MIN(Flights!$BA$9,Flights!$AA$9),Flights!$AA$9)),"INVALID – completed after loading / departure (cannot establish readiness)",IF(AND(H141="Physical uplift",AG141&gt;Q141),"INVALID – recorded after the loading flight departed",IF(AG141&gt;Q141,"COMPLETE – LATE","COMPLETE"))))))))))))))))))))))))),IF(TRIM(U141)="Fail","FAIL – DISCREPANCY",IF(AND(TRIM(U141)&lt;&gt;"",TRIM(U141)&lt;&gt;"Not started",TRIM(U141)&lt;&gt;"In progress"),"INVALID – unrecognised status (use the list)",IF(AsOfUTC&gt;Q141,"OVERDUE",IF(N141="Clarification required","OPEN – CLARIFICATION","OPEN"))))))),"INVALID – error value in an input cell")</f>
        <v>OPEN</v>
      </c>
      <c r="AI141" s="61" t="n">
        <f aca="false">IF(OR(AH141="N/A – RULE",AH141="N/A – JUSTIFIED"),0,1)</f>
        <v>1</v>
      </c>
      <c r="AJ141" s="61" t="n">
        <f aca="false">IF(LEFT(AH141,8)="COMPLETE",1,0)</f>
        <v>0</v>
      </c>
      <c r="AK141" s="61" t="n">
        <f aca="false">IF(AND(AI141=1,AJ141=0,AsOfUTC&gt;Q141),1,0)</f>
        <v>0</v>
      </c>
      <c r="AL141" s="61" t="n">
        <f aca="false">IFERROR(IF(AND(AI141=1,OR(TRIM(U141)="Fail",AND(TRIM(AB141)&lt;&gt;"",TRIM(AB141)&lt;&gt;"Closed"),AND(ISNUMBER(AF141),AF141&lt;&gt;0,TRIM(U141)&lt;&gt;"Pass after CA"))),1,0),1)</f>
        <v>0</v>
      </c>
      <c r="AM141" s="61" t="n">
        <f aca="false">IF(LEFT(AH141,7)="INVALID",1,0)</f>
        <v>0</v>
      </c>
      <c r="AN141" s="61" t="n">
        <f aca="false">IF(AND(N141="Clarification required",AI141=1,AJ141=0),1,0)</f>
        <v>0</v>
      </c>
      <c r="AO141" s="61" t="str">
        <f aca="false">IF(AK141=1,SUM(AK$5:AK141),"")</f>
        <v/>
      </c>
      <c r="AP141" s="61" t="str">
        <f aca="false">IF(AL141=1,SUM(AL$5:AL141),"")</f>
        <v/>
      </c>
      <c r="AQ141" s="61" t="n">
        <v>0</v>
      </c>
      <c r="AR141" s="61" t="n">
        <v>0</v>
      </c>
      <c r="AS141" s="61" t="n">
        <v>0</v>
      </c>
      <c r="AT141" s="61" t="n">
        <v>0</v>
      </c>
      <c r="AU141" s="61" t="str">
        <f aca="false">SUBSTITUTE(SUBSTITUTE(SUBSTITUTE(SUBSTITUTE(SUBSTITUTE(SUBSTITUTE(SUBSTITUTE(SUBSTITUTE(SUBSTITUTE(SUBSTITUTE(SUBSTITUTE(SUBSTITUTE(SUBSTITUTE(SUBSTITUTE(SUBSTITUTE(SUBSTITUTE(LOWER(T141&amp;""),CHAR(10),""),CHAR(13),""),CHAR(9),""),CHAR(160),"")," ",""),".",""),"-",""),"/",""),"?",""),"_",""),",",""),"[",""),"]",""),"(",""),")",""),"*","")</f>
        <v/>
      </c>
      <c r="AV141" s="61" t="str">
        <f aca="false">SUBSTITUTE(SUBSTITUTE(SUBSTITUTE(SUBSTITUTE(SUBSTITUTE(SUBSTITUTE(SUBSTITUTE(SUBSTITUTE(SUBSTITUTE(SUBSTITUTE(SUBSTITUTE(SUBSTITUTE(SUBSTITUTE(SUBSTITUTE(SUBSTITUTE(SUBSTITUTE(LOWER(V141&amp;""),CHAR(10),""),CHAR(13),""),CHAR(9),""),CHAR(160),"")," ",""),".",""),"-",""),"/",""),"?",""),"_",""),",",""),"[",""),"]",""),"(",""),")",""),"*","")</f>
        <v/>
      </c>
      <c r="AW141" s="61" t="str">
        <f aca="false">SUBSTITUTE(SUBSTITUTE(SUBSTITUTE(SUBSTITUTE(SUBSTITUTE(SUBSTITUTE(SUBSTITUTE(SUBSTITUTE(SUBSTITUTE(SUBSTITUTE(SUBSTITUTE(SUBSTITUTE(SUBSTITUTE(SUBSTITUTE(SUBSTITUTE(SUBSTITUTE(LOWER(Z141&amp;""),CHAR(10),""),CHAR(13),""),CHAR(9),""),CHAR(160),"")," ",""),".",""),"-",""),"/",""),"?",""),"_",""),",",""),"[",""),"]",""),"(",""),")",""),"*","")</f>
        <v/>
      </c>
      <c r="AX141" s="61" t="str">
        <f aca="false">SUBSTITUTE(SUBSTITUTE(SUBSTITUTE(SUBSTITUTE(SUBSTITUTE(SUBSTITUTE(SUBSTITUTE(SUBSTITUTE(SUBSTITUTE(SUBSTITUTE(SUBSTITUTE(SUBSTITUTE(SUBSTITUTE(SUBSTITUTE(SUBSTITUTE(SUBSTITUTE(LOWER(AE141&amp;""),CHAR(10),""),CHAR(13),""),CHAR(9),""),CHAR(160),"")," ",""),".",""),"-",""),"/",""),"?",""),"_",""),",",""),"[",""),"]",""),"(",""),")",""),"*","")</f>
        <v/>
      </c>
      <c r="AY141" s="61" t="str">
        <f aca="false">SUBSTITUTE(SUBSTITUTE(SUBSTITUTE(SUBSTITUTE(SUBSTITUTE(SUBSTITUTE(SUBSTITUTE(SUBSTITUTE(SUBSTITUTE(SUBSTITUTE(SUBSTITUTE(SUBSTITUTE(SUBSTITUTE(SUBSTITUTE(SUBSTITUTE(SUBSTITUTE(LOWER(W141&amp;""),CHAR(10),""),CHAR(13),""),CHAR(9),""),CHAR(160),"")," ",""),".",""),"-",""),"/",""),"?",""),"_",""),",",""),"[",""),"]",""),"(",""),")",""),"*","")</f>
        <v/>
      </c>
      <c r="AZ141" s="61" t="str">
        <f aca="false">SUBSTITUTE(SUBSTITUTE(SUBSTITUTE(SUBSTITUTE(SUBSTITUTE(SUBSTITUTE(SUBSTITUTE(SUBSTITUTE(SUBSTITUTE(SUBSTITUTE(SUBSTITUTE(SUBSTITUTE(SUBSTITUTE(SUBSTITUTE(SUBSTITUTE(SUBSTITUTE(LOWER(AC141&amp;""),CHAR(10),""),CHAR(13),""),CHAR(9),""),CHAR(160),"")," ",""),".",""),"-",""),"/",""),"?",""),"_",""),",",""),"[",""),"]",""),"(",""),")",""),"*","")</f>
        <v/>
      </c>
      <c r="BA141" s="61" t="str">
        <f aca="false">SUBSTITUTE(SUBSTITUTE(SUBSTITUTE(SUBSTITUTE(SUBSTITUTE(SUBSTITUTE(SUBSTITUTE(SUBSTITUTE(SUBSTITUTE(SUBSTITUTE(SUBSTITUTE(SUBSTITUTE(SUBSTITUTE(SUBSTITUTE(SUBSTITUTE(SUBSTITUTE(LOWER(AA141&amp;""),CHAR(10),""),CHAR(13),""),CHAR(9),""),CHAR(160),"")," ",""),".",""),"-",""),"/",""),"?",""),"_",""),",",""),"[",""),"]",""),"(",""),")",""),"*","")</f>
        <v/>
      </c>
      <c r="BB141" s="61" t="str">
        <f aca="false">IF(AND(TRIM(U141)="Pass",ISNUMBER(AF141)),IF(AF141&lt;&gt;0,"INVALID – qty variance: use Fail or Pass after CA",""),"")&amp;IF(AND(TRIM(U141)="Pass after CA",ISNUMBER(AF141)),IF(AF141&lt;&gt;0,"INVALID – after the corrective action the actual qty must equal expected (update Actual)",""),"")&amp;IF(AND(TRIM(U141)="Pass",TRIM(AB141)&lt;&gt;"",TRIM(AB141)&lt;&gt;"Closed"),"INVALID – corrective action not closed: use Fail, then Pass after CA","")&amp;IF(AND(LEN(BA141)&gt;=2,ISNA(MATCH(LEFT(BA141,255),L_Placeholder,0)),TRIM(AB141)=""),"INVALID – CA status missing for the recorded corrective action","")&amp;IF(AND(TRIM(U141)="Pass after CA",OR(OR(LEN(BA141)&lt;5,ISNUMBER(MATCH(BA141,L_Placeholder,0))),TRIM(AB141)&lt;&gt;"Closed")),"INVALID – corrective action not recorded/closed","")</f>
        <v/>
      </c>
      <c r="BC141" s="61" t="str">
        <f aca="false">" "&amp;TRIM(SUBSTITUTE(SUBSTITUTE(SUBSTITUTE(SUBSTITUTE(SUBSTITUTE(SUBSTITUTE(SUBSTITUTE(SUBSTITUTE(SUBSTITUTE(SUBSTITUTE(SUBSTITUTE(SUBSTITUTE(SUBSTITUTE(SUBSTITUTE(SUBSTITUTE(SUBSTITUTE(SUBSTITUTE(SUBSTITUTE(SUBSTITUTE(SUBSTITUTE(SUBSTITUTE(SUBSTITUTE(SUBSTITUTE(SUBSTITUTE(LOWER(V141&amp;""),CHAR(10)," "),CHAR(13)," "),CHAR(9)," "),CHAR(160)," "),"."," "),","," "),"-"," "),"/"," "),"("," "),")"," "),":"," "),";"," "),"_"," "),"–"," "),"?"," "),"!"," "),"*"," "),"["," "),"]"," "),"'"," "),"#"," "),"+"," "),"&amp;"," "),"\"," "))&amp;" "</f>
        <v>  </v>
      </c>
      <c r="BD141" s="61" t="str">
        <f aca="false">" "&amp;TRIM(SUBSTITUTE(SUBSTITUTE(SUBSTITUTE(SUBSTITUTE(SUBSTITUTE(SUBSTITUTE(SUBSTITUTE(SUBSTITUTE(SUBSTITUTE(SUBSTITUTE(SUBSTITUTE(SUBSTITUTE(SUBSTITUTE(SUBSTITUTE(SUBSTITUTE(SUBSTITUTE(SUBSTITUTE(SUBSTITUTE(SUBSTITUTE(SUBSTITUTE(SUBSTITUTE(SUBSTITUTE(SUBSTITUTE(SUBSTITUTE(LOWER(Z141&amp;""),CHAR(10)," "),CHAR(13)," "),CHAR(9)," "),CHAR(160)," "),"."," "),","," "),"-"," "),"/"," "),"("," "),")"," "),":"," "),";"," "),"_"," "),"–"," "),"?"," "),"!"," "),"*"," "),"["," "),"]"," "),"'"," "),"#"," "),"+"," "),"&amp;"," "),"\"," "))&amp;" "</f>
        <v>  </v>
      </c>
      <c r="BE141" s="61" t="str">
        <f aca="false">" "&amp;TRIM(SUBSTITUTE(SUBSTITUTE(SUBSTITUTE(SUBSTITUTE(SUBSTITUTE(SUBSTITUTE(SUBSTITUTE(SUBSTITUTE(SUBSTITUTE(SUBSTITUTE(SUBSTITUTE(SUBSTITUTE(SUBSTITUTE(SUBSTITUTE(SUBSTITUTE(SUBSTITUTE(SUBSTITUTE(SUBSTITUTE(SUBSTITUTE(SUBSTITUTE(SUBSTITUTE(SUBSTITUTE(SUBSTITUTE(SUBSTITUTE(LOWER(W141&amp;""),CHAR(10)," "),CHAR(13)," "),CHAR(9)," "),CHAR(160)," "),"."," "),","," "),"-"," "),"/"," "),"("," "),")"," "),":"," "),";"," "),"_"," "),"–"," "),"?"," "),"!"," "),"*"," "),"["," "),"]"," "),"'"," "),"#"," "),"+"," "),"&amp;"," "),"\"," "))&amp;" "</f>
        <v>  </v>
      </c>
      <c r="BF141" s="61" t="str">
        <f aca="false">" "&amp;TRIM(SUBSTITUTE(SUBSTITUTE(SUBSTITUTE(SUBSTITUTE(SUBSTITUTE(SUBSTITUTE(SUBSTITUTE(SUBSTITUTE(SUBSTITUTE(SUBSTITUTE(SUBSTITUTE(SUBSTITUTE(SUBSTITUTE(SUBSTITUTE(SUBSTITUTE(SUBSTITUTE(SUBSTITUTE(SUBSTITUTE(SUBSTITUTE(SUBSTITUTE(SUBSTITUTE(SUBSTITUTE(SUBSTITUTE(SUBSTITUTE(LOWER(AC141&amp;""),CHAR(10)," "),CHAR(13)," "),CHAR(9)," "),CHAR(160)," "),"."," "),","," "),"-"," "),"/"," "),"("," "),")"," "),":"," "),";"," "),"_"," "),"–"," "),"?"," "),"!"," "),"*"," "),"["," "),"]"," "),"'"," "),"#"," "),"+"," "),"&amp;"," "),"\"," "))&amp;" "</f>
        <v>  </v>
      </c>
      <c r="BG141" s="61" t="n">
        <f aca="false">IFERROR(IF(AND(TRIM(U141)="Pass",SUMPRODUCT((LEN(BC141)-LEN(SUBSTITUTE(BC141," "&amp;L_ResultBad&amp;" "," ")))/(LEN(L_ResultBad)+1))&gt;SUMPRODUCT((LEN(BC141)-LEN(SUBSTITUTE(BC141," "&amp;L_NegPhrase&amp;" "," ")))/(LEN(L_NegPhrase)+1))),1,0),0)</f>
        <v>0</v>
      </c>
      <c r="BH141" s="61" t="n">
        <f aca="false">IFERROR(IF(SUMPRODUCT((LEN(BC141)-LEN(SUBSTITUTE(BC141," "&amp;L_Pending&amp;" "," ")))/(LEN(L_Pending)+1))&gt;SUMPRODUCT((LEN(BC141)-LEN(SUBSTITUTE(BC141," "&amp;L_PendNeg&amp;" "," ")))/(LEN(L_PendNeg)+1))+SUMPRODUCT((LEN(BC141)-LEN(SUBSTITUTE(BC141," "&amp;L_PendPrep&amp;" "," ")))/(LEN(L_PendPrep)+1)),1,0),1)</f>
        <v>0</v>
      </c>
      <c r="BI141" s="61" t="n">
        <f aca="false">IFERROR(IF(SUMPRODUCT((LEN(BD141)-LEN(SUBSTITUTE(BD141," "&amp;L_PendStrict&amp;" "," ")))/(LEN(L_PendStrict)+1))&gt;SUMPRODUCT((LEN(BD141)-LEN(SUBSTITUTE(BD141," "&amp;L_PendNeg&amp;" "," ")))/(LEN(L_PendNeg)+1)),1,0),1)</f>
        <v>0</v>
      </c>
      <c r="BJ141" s="61" t="n">
        <f aca="false">IFERROR(IF(SUMPRODUCT((LEN(BE141)-LEN(SUBSTITUTE(BE141," "&amp;L_Pending&amp;" "," ")))/(LEN(L_Pending)+1))&gt;SUMPRODUCT((LEN(BE141)-LEN(SUBSTITUTE(BE141," "&amp;L_PendNeg&amp;" "," ")))/(LEN(L_PendNeg)+1))+SUMPRODUCT((LEN(BE141)-LEN(SUBSTITUTE(BE141," "&amp;L_PendPrep&amp;" "," ")))/(LEN(L_PendPrep)+1)),1,0),1)</f>
        <v>0</v>
      </c>
      <c r="BK141" s="61" t="n">
        <f aca="false">IFERROR(IF(SUMPRODUCT((LEN(BF141)-LEN(SUBSTITUTE(BF141," "&amp;L_PendStrict&amp;" "," ")))/(LEN(L_PendStrict)+1))&gt;SUMPRODUCT((LEN(BF141)-LEN(SUBSTITUTE(BF141," "&amp;L_PendNeg&amp;" "," ")))/(LEN(L_PendNeg)+1)),1,0),1)</f>
        <v>0</v>
      </c>
      <c r="BL141" s="61" t="n">
        <f aca="false">IF(ISNA(MATCH(TRIM(S141),L_EvidenceType,0)),0,BZ141)</f>
        <v>0</v>
      </c>
      <c r="BM141" s="61" t="str">
        <f aca="false">SUBSTITUTE(SUBSTITUTE(SUBSTITUTE(SUBSTITUTE(SUBSTITUTE(SUBSTITUTE(SUBSTITUTE(SUBSTITUTE(SUBSTITUTE(LOWER(Z141&amp;""),"1","0"),"2","0"),"3","0"),"4","0"),"5","0"),"6","0"),"7","0"),"8","0"),"9","0")</f>
        <v/>
      </c>
      <c r="BN141" s="61" t="str">
        <f aca="false">SUBSTITUTE(SUBSTITUTE(SUBSTITUTE(SUBSTITUTE(SUBSTITUTE(SUBSTITUTE(SUBSTITUTE(SUBSTITUTE(SUBSTITUTE(SUBSTITUTE(SUBSTITUTE(SUBSTITUTE(SUBSTITUTE(SUBSTITUTE(SUBSTITUTE(SUBSTITUTE(SUBSTITUTE(SUBSTITUTE(SUBSTITUTE(SUBSTITUTE(SUBSTITUTE(SUBSTITUTE(SUBSTITUTE(SUBSTITUTE(SUBSTITUTE(BM141,"b","a"),"c","a"),"d","a"),"e","a"),"f","a"),"g","a"),"h","a"),"i","a"),"j","a"),"k","a"),"l","a"),"m","a"),"n","a"),"o","a"),"p","a"),"q","a"),"r","a"),"s","a"),"t","a"),"u","a"),"v","a"),"w","a"),"x","a"),"y","a"),"z","a")</f>
        <v/>
      </c>
      <c r="BO141" s="61" t="str">
        <f aca="false">SUBSTITUTE(SUBSTITUTE(SUBSTITUTE(SUBSTITUTE(SUBSTITUTE(SUBSTITUTE(SUBSTITUTE(SUBSTITUTE(SUBSTITUTE(LOWER(W141&amp;""),"1","0"),"2","0"),"3","0"),"4","0"),"5","0"),"6","0"),"7","0"),"8","0"),"9","0")</f>
        <v/>
      </c>
      <c r="BP141" s="61" t="str">
        <f aca="false">SUBSTITUTE(SUBSTITUTE(SUBSTITUTE(SUBSTITUTE(SUBSTITUTE(SUBSTITUTE(SUBSTITUTE(SUBSTITUTE(SUBSTITUTE(SUBSTITUTE(SUBSTITUTE(SUBSTITUTE(SUBSTITUTE(SUBSTITUTE(SUBSTITUTE(SUBSTITUTE(SUBSTITUTE(SUBSTITUTE(SUBSTITUTE(SUBSTITUTE(SUBSTITUTE(SUBSTITUTE(SUBSTITUTE(SUBSTITUTE(SUBSTITUTE(BO141,"b","a"),"c","a"),"d","a"),"e","a"),"f","a"),"g","a"),"h","a"),"i","a"),"j","a"),"k","a"),"l","a"),"m","a"),"n","a"),"o","a"),"p","a"),"q","a"),"r","a"),"s","a"),"t","a"),"u","a"),"v","a"),"w","a"),"x","a"),"y","a"),"z","a")</f>
        <v/>
      </c>
      <c r="BQ141" s="61" t="n">
        <f aca="false">IFERROR(IF(AND(ISERROR(SEARCH(" mh"," "&amp;LOWER(W141))),ISNA(MATCH(LEFT(TRIM(BP141),255),{"0000a","000a","00a","0000aa","000aa","00aa","0aa","0000aaa","000aaa","00a00","0a00","0000-0000","00:00","a00","a0","00.00.0000","00/00/0000","00-00-0000","0000-00-00","0000/00/00","0000.00.00","00.00.00","00/00/00","00-00-00","0.00.0000","0/00/0000","0-00-0000"},0)),ISNA(MATCH(LEFT(TRIM(CA141),255),{"0000a","000a","00a","0000aa","000aa","00aa","0aa","0000aaa","000aaa","00a00","0a00","0000-0000","00:00","a00","a0","00.00.0000","00/00/0000","00-00-0000","0000-00-00","0000/00/00","0000.00.00","00.00.00","00/00/00","00-00-00","0.00.0000","0/00/0000","0-00-0000"},0)),LEN(CB141)&gt;=3,NOT(OR(SUBSTITUTE(CB141,"0","")="",AND(LEN(CB141)&gt;=4,CB141=REPT(LEFT(CB141),LEN(CB141))),ISNUMBER(MATCH(CB141,{"123","1234","12345","123456","1234567","12345678","0123","01234","012345","98765","987654","54321"},0)),AND(LEN(CB141)=8,LEFT(CB141,3)="202"))),OR(AND((LEN(CA141)-LEN(SUBSTITUTE(CA141,"a","")))&gt;=1,SUMPRODUCT(--ISNUMBER(SEARCH({"a0","a-0","a_0","a/0","a.0","a#0","0a","0-a","0_a","0/a"},BP141)))&gt;0),ISNUMBER(SEARCH("000000",BP141)))),1,0),0)</f>
        <v>0</v>
      </c>
      <c r="BR141" s="61" t="n">
        <f aca="false">IFERROR(LEN(SUBSTITUTE(CC141," ",""))-SUMPRODUCT((LEN(CC141)-LEN(SUBSTITUTE(CC141," "&amp;L_Role&amp;" "," ")))/(LEN(L_Role)+1)*LEN(L_Role)),0)</f>
        <v>0</v>
      </c>
      <c r="BS141" s="61" t="n">
        <f aca="false">IFERROR(LEN(SUBSTITUTE(CD141," ",""))-SUMPRODUCT((LEN(CD141)-LEN(SUBSTITUTE(CD141," "&amp;L_Role&amp;" "," ")))/(LEN(L_Role)+1)*LEN(L_Role)),0)</f>
        <v>0</v>
      </c>
      <c r="BT1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141,"revision",""),"version",""),"jan",""),"feb",""),"mar",""),"apr",""),"may",""),"jun",""),"jul",""),"aug",""),"sep",""),"oct",""),"nov",""),"dec",""),"utc",""),"gmt",""),"myt",""),"bst",""),"rev",""),"ver",""),"b","a"),"c","a"),"d","a"),"e","a"),"f","a"),"g","a"),"h","a"),"i","a"),"j","a"),"k","a"),"l","a"),"m","a"),"n","a"),"o","a"),"p","a"),"q","a"),"r","a"),"s","a"),"t","a"),"u","a"),"v","a"),"w","a"),"x","a"),"y","a"),"z","a")</f>
        <v/>
      </c>
      <c r="BU141" s="61" t="str">
        <f aca="false">SUBSTITUTE(SUBSTITUTE(SUBSTITUTE(SUBSTITUTE(SUBSTITUTE(SUBSTITUTE(SUBSTITUTE(SUBSTITUTE(SUBSTITUTE(SUBSTITUTE(LEFT(BM141,FIND("0",BM141&amp;"0")-1),"-",""),"_",""),"/",""),".",""),"#",""),"\\",""),":","")," ",""),"(",""),")","")</f>
        <v/>
      </c>
      <c r="BV141" s="61" t="n">
        <f aca="false">0</f>
        <v>0</v>
      </c>
      <c r="BW1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141&amp;""),"a",""),"b",""),"c",""),"d",""),"e",""),"f",""),"g",""),"h",""),"i",""),"j",""),"k",""),"l",""),"m",""),"n",""),"o",""),"p",""),"q",""),"r",""),"s",""),"t",""),"u",""),"v",""),"w",""),"x",""),"y",""),"z",""),"-",""),"_",""),"/",""),".",""),"#",""),"\\",""),":","")," ",""),"(",""),")","")</f>
        <v/>
      </c>
      <c r="BX141" s="61" t="str">
        <f aca="false">SUBSTITUTE(SUBSTITUTE(SUBSTITUTE(SUBSTITUTE(SUBSTITUTE(SUBSTITUTE(SUBSTITUTE(SUBSTITUTE(SUBSTITUTE(SUBSTITUTE(SUBSTITUTE(BM141,"0",""),"-",""),"_",""),"/",""),".",""),"#",""),"\\",""),":","")," ",""),"(",""),")","")</f>
        <v/>
      </c>
      <c r="BY141" s="62" t="n">
        <f aca="false">Q141-T7EarlyD*24/24</f>
        <v>46289.0451388889</v>
      </c>
      <c r="BZ141" s="61" t="n">
        <f aca="false">IFERROR(IF(IF(TRIM(S141)="Link / file path",AND(LEN(TRIM(Z141))&gt;=5,SUMPRODUCT(--ISNUMBER(SEARCH({"http","www.","\\",":\",".pdf",".jpg",".jpeg",".png",".heic",".xls",".doc",".msg",".eml",".ppt",".txt",".zip"},Z141)))&gt;0),AND(ISERROR(FIND(" ",TRIM(Z141))),NOT(OR(SUMPRODUCT(--ISNUMBER(FIND({",",";","&amp;","+"},Z141)))&gt;0,SUMPRODUCT(--ISNUMBER(SEARCH({"0/aa","0\\aa"},BN141)))&gt;0)),NOT(SUMPRODUCT(--ISNUMBER(SEARCH({"http","www.","\\",":\",".pdf",".jpg",".jpeg",".png",".heic",".xls",".doc",".msg",".eml",".ppt",".txt",".zip"},Z141)))&gt;0),NOT(LOWER(TRIM(Z141))=LOWER(Flights!$F$9)),ISNA(MATCH(BU141,{"mh","rev","revision","ver","version","v","r","a","b","seat","tray","row","gate","bay","stand","page","pg","item","line","no","cart","galley","flight","flt","table","box","bag","oven","etd","eta","std","sta","atd","ata","qty","pax","x","time","tel","ph","mob","day","wk","week","utc","gmt","myt","lt"},0)),NOT(OR(ISNUMBER(MATCH(LEFT(BN141,255),{"0000a","000a","00a","0000aa","000aa","00aa","0aa","0000aaa","000aaa","00a00","0a00","0000-0000","00:00","a00","a0","00.00.0000","00/00/0000","00-00-0000","0000-00-00","0000/00/00","0000.00.00","00.00.00","00/00/00","00-00-00","0.00.0000","0/00/0000","0-00-0000"},0)),ISNUMBER(MATCH(LEFT(BT141,255),{"0000a","000a","00a","0000aa","000aa","00aa","0aa","0000aaa","000aaa","00a00","0a00","0000-0000","00:00","a00","a0","00.00.0000","00/00/0000","00-00-0000","0000-00-00","0000/00/00","0000.00.00","00.00.00","00/00/00","00-00-00","0.00.0000","0/00/0000","0-00-0000"},0)))),NOT(OR(AND(BW141&lt;&gt;"",SUBSTITUTE(BW141,"0","")=""),AND(LEN(BW141)&gt;=4,BW141=REPT(LEFT(BW141),LEN(BW141))),ISNUMBER(MATCH(BW141,{"123","1234","12345","123456","1234567","12345678","0123","01234","012345","98765","987654","54321"},0)),ISNUMBER(MATCH(BX141,{"x","xx","xxx","xxxx","xxxxx","abc","abcd","nil","na","nan","test","tbc","tba","tbd","dummy","sample","example","eg","zz","zzz","none","null","xyz","qwe","asd","id","ref"},0)),AND(LEN(BW141)=8,BX141="",OR(LEFT(BW141,3)="202",ISNUMBER(MATCH(RIGHT(BW141,4),{"2025","2026","2027"},0)))))),OR(AND((LEN(BT141)-LEN(SUBSTITUTE(BT141,"a","")))&gt;=1,(LEN(BN141)-LEN(SUBSTITUTE(BN141,"0","")))&gt;=2,SUMPRODUCT(--ISNUMBER(SEARCH({"a0","a-0","a_0","a/0","a.0","a#0","0a","0-a","0_a","0/a"},BN141)))&gt;0),AND((LEN(BN141)-LEN(SUBSTITUTE(BN141,"a","")))=0,(LEN(BN141)-LEN(SUBSTITUTE(BN141,"0","")))&gt;=5)))),1,0),0)</f>
        <v>0</v>
      </c>
      <c r="CA1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141,"revision",""),"version",""),"jan",""),"feb",""),"mar",""),"apr",""),"may",""),"jun",""),"jul",""),"aug",""),"sep",""),"oct",""),"nov",""),"dec",""),"utc",""),"gmt",""),"myt",""),"bst",""),"rev",""),"ver",""),"b","a"),"c","a"),"d","a"),"e","a"),"f","a"),"g","a"),"h","a"),"i","a"),"j","a"),"k","a"),"l","a"),"m","a"),"n","a"),"o","a"),"p","a"),"q","a"),"r","a"),"s","a"),"t","a"),"u","a"),"v","a"),"w","a"),"x","a"),"y","a"),"z","a")</f>
        <v/>
      </c>
      <c r="CB1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141&amp;""),"a",""),"b",""),"c",""),"d",""),"e",""),"f",""),"g",""),"h",""),"i",""),"j",""),"k",""),"l",""),"m",""),"n",""),"o",""),"p",""),"q",""),"r",""),"s",""),"t",""),"u",""),"v",""),"w",""),"x",""),"y",""),"z",""),"-",""),"_",""),"/",""),".",""),"#",""),"\\",""),":","")," ",""),"(",""),")","")</f>
        <v/>
      </c>
      <c r="CC141" s="0" t="str">
        <f aca="false">" "&amp;TRIM(SUBSTITUTE(SUBSTITUTE(SUBSTITUTE(SUBSTITUTE(SUBSTITUTE(SUBSTITUTE(SUBSTITUTE(SUBSTITUTE(SUBSTITUTE(SUBSTITUTE(SUBSTITUTE(SUBSTITUTE(SUBSTITUTE(SUBSTITUTE(SUBSTITUTE(SUBSTITUTE(SUBSTITUTE(SUBSTITUTE(SUBSTITUTE(SUBSTITUTE(SUBSTITUTE(SUBSTITUTE(SUBSTITUTE(SUBSTITUTE(LOWER(T141&amp;""),CHAR(10)," "),CHAR(13)," "),CHAR(9)," "),CHAR(160)," "),"."," "),","," "),"-"," "),"/"," "),"("," "),")"," "),":"," "),";"," "),"_"," "),"–"," "),"?"," "),"!"," "),"*"," "),"["," "),"]"," "),"'"," "),"#"," "),"+"," "),"&amp;"," "),"\"," "))&amp;" "</f>
        <v>  </v>
      </c>
      <c r="CD141" s="0" t="str">
        <f aca="false">" "&amp;TRIM(SUBSTITUTE(SUBSTITUTE(SUBSTITUTE(SUBSTITUTE(SUBSTITUTE(SUBSTITUTE(SUBSTITUTE(SUBSTITUTE(SUBSTITUTE(SUBSTITUTE(SUBSTITUTE(SUBSTITUTE(SUBSTITUTE(SUBSTITUTE(SUBSTITUTE(SUBSTITUTE(SUBSTITUTE(SUBSTITUTE(SUBSTITUTE(SUBSTITUTE(SUBSTITUTE(SUBSTITUTE(SUBSTITUTE(SUBSTITUTE(LOWER(AE141&amp;""),CHAR(10)," "),CHAR(13)," "),CHAR(9)," "),CHAR(160)," "),"."," "),","," "),"-"," "),"/"," "),"("," "),")"," "),":"," "),";"," "),"_"," "),"–"," "),"?"," "),"!"," "),"*"," "),"["," "),"]"," "),"'"," "),"#"," "),"+"," "),"&amp;"," "),"\"," "))&amp;" "</f>
        <v>  </v>
      </c>
      <c r="CE141" s="68" t="n">
        <f aca="false">IFERROR(IF(AND(LEN(AU141)&gt;0,LEN(AU141)=LEN(AX141),OR(TRIM(MID(SUBSTITUTE(TRIM(CC141)," ",REPT(" ",60)),1,60))="",ISNUMBER(SEARCH(" "&amp;TRIM(MID(SUBSTITUTE(TRIM(CC141)," ",REPT(" ",60)),1,60))&amp;" ",CD141))),OR(TRIM(MID(SUBSTITUTE(TRIM(CC141)," ",REPT(" ",60)),61,60))="",ISNUMBER(SEARCH(" "&amp;TRIM(MID(SUBSTITUTE(TRIM(CC141)," ",REPT(" ",60)),61,60))&amp;" ",CD141))),OR(TRIM(MID(SUBSTITUTE(TRIM(CC141)," ",REPT(" ",60)),121,60))="",ISNUMBER(SEARCH(" "&amp;TRIM(MID(SUBSTITUTE(TRIM(CC141)," ",REPT(" ",60)),121,60))&amp;" ",CD141)))),1,0),0)</f>
        <v>0</v>
      </c>
      <c r="CG141" s="68" t="n">
        <f aca="false">IFERROR(LEN(SUBSTITUTE(BF141," ",""))-SUMPRODUCT((LEN(BF141)-LEN(SUBSTITUTE(BF141," "&amp;L_NAFiller&amp;" "," ")))/(LEN(L_NAFiller)+1)*LEN(L_NAFiller)),0)</f>
        <v>0</v>
      </c>
    </row>
    <row r="142" customFormat="false" ht="39.75" hidden="false" customHeight="true" outlineLevel="0" collapsed="false">
      <c r="A142" s="57" t="s">
        <v>666</v>
      </c>
      <c r="B142" s="57" t="s">
        <v>228</v>
      </c>
      <c r="C142" s="57" t="str">
        <f aca="false">Flights!$F$9</f>
        <v>MH0089</v>
      </c>
      <c r="D142" s="58" t="n">
        <f aca="false">Flights!$D$9</f>
        <v>46310</v>
      </c>
      <c r="E142" s="57" t="str">
        <f aca="false">Flights!$G$9&amp;"-"&amp;Flights!$H$9</f>
        <v>NRT-KUL</v>
      </c>
      <c r="F142" s="57" t="str">
        <f aca="false">Flights!$K$9</f>
        <v>EY</v>
      </c>
      <c r="G142" s="57" t="s">
        <v>81</v>
      </c>
      <c r="H142" s="57" t="s">
        <v>378</v>
      </c>
      <c r="I142" s="57" t="s">
        <v>398</v>
      </c>
      <c r="J142" s="57" t="s">
        <v>402</v>
      </c>
      <c r="K142" s="67" t="s">
        <v>403</v>
      </c>
      <c r="L142" s="67" t="s">
        <v>382</v>
      </c>
      <c r="M142" s="67"/>
      <c r="N142" s="67" t="s">
        <v>383</v>
      </c>
      <c r="O142" s="67"/>
      <c r="P142" s="57" t="s">
        <v>220</v>
      </c>
      <c r="Q142" s="59" t="n">
        <f aca="false">ROUND((Flights!$AC$9)*1440,0)/1440</f>
        <v>46303.0451388889</v>
      </c>
      <c r="R142" s="59" t="n">
        <f aca="false">Q142+(IF(AND(INDEX(TZ_DSTS,MATCH(P142,TZ_STN,0))&lt;&gt;"",Q142&gt;=INDEX(TZ_DSTS,MATCH(P142,TZ_STN,0)),Q142&lt;INDEX(TZ_DSTE,MATCH(P142,TZ_STN,0))),INDEX(TZ_DST,MATCH(P142,TZ_STN,0)),INDEX(TZ_STD,MATCH(P142,TZ_STN,0))))/24</f>
        <v>46303.4201388889</v>
      </c>
      <c r="S142" s="60"/>
      <c r="T142" s="60"/>
      <c r="U142" s="60"/>
      <c r="V142" s="60"/>
      <c r="W142" s="61"/>
      <c r="X142" s="60"/>
      <c r="Y142" s="60"/>
      <c r="Z142" s="60"/>
      <c r="AA142" s="60"/>
      <c r="AB142" s="60"/>
      <c r="AC142" s="60"/>
      <c r="AD142" s="66"/>
      <c r="AE142" s="60"/>
      <c r="AF142" s="61" t="str">
        <f aca="false">IF(AND(ISNUMBER(X142),ISNUMBER(Y142)),Y142-X142,"")</f>
        <v/>
      </c>
      <c r="AG142" s="62" t="str">
        <f aca="false">IF(ISNUMBER(AD142),AD142-(IF(AND(INDEX(TZ_DSTS,MATCH(P142,TZ_STN,0))&lt;&gt;"",(AD142-INDEX(TZ_STD,MATCH(P142,TZ_STN,0))/24)&gt;=INDEX(TZ_DSTS,MATCH(P142,TZ_STN,0)),(AD142-INDEX(TZ_STD,MATCH(P142,TZ_STN,0))/24)&lt;INDEX(TZ_DSTE,MATCH(P142,TZ_STN,0))),INDEX(TZ_DST,MATCH(P142,TZ_STN,0)),INDEX(TZ_STD,MATCH(P142,TZ_STN,0))))/24,"")</f>
        <v/>
      </c>
      <c r="AH142" s="65" t="str">
        <f aca="false">IFERROR(IF(N142="N/A – rule",IF(OR(TRIM(U142)="",TRIM(U142)="N/A",TRIM(U142)="Not started"),"N/A – RULE","INVALID – this check does not apply to this aircraft: clear the status (or correct the fleet on Flights)"),IF(TRIM(U142)="N/A",IF(AT142=0,"INVALID – N/A not permitted for this check",IF(AND(TRIM(AB142)&lt;&gt;"",TRIM(AB142)&lt;&gt;"Closed"),"INVALID – corrective action still open",IF(AND(NOT(OR(LEN(AZ142)&lt;15,ISNUMBER(MATCH(AZ142,L_Placeholder,0)))),BK142=0,CG142&gt;=8,NOT(OR(LEN(AU142)&lt;2,ISNUMBER(MATCH(AU142,L_Placeholder,0)))),BR142&gt;=3,NOT(OR(LEN(AX142)&lt;2,ISNUMBER(MATCH(AX142,L_Placeholder,0)))),BS142&gt;=3,TRIM(AE142)&lt;&gt;TRIM(T142),AX142&lt;&gt;AU142,CE142=0),"N/A – JUSTIFIED","INVALID – N/A needs a real, settled reason (not 'not applicable' / 'as above' / TBC), a named PIC and a different named verifier"))),IF(OR(TRIM(U142)="Pass",TRIM(U142)="Pass after CA"),IF(NOT(ISNUMBER(AD142)),"INVALID – completion time missing",IF(OR(OR(LEN(AU142)&lt;2,ISNUMBER(MATCH(AU142,L_Placeholder,0))),BR142&lt;3),"INVALID – PIC missing or not a named person (a role such as QA / CSM is not a name)",IF(OR(LEN(AV142)&lt;2,ISNUMBER(MATCH(AV142,L_Placeholder,0))),"INVALID – result / assessment missing",IF(OR(OR(LEN(AW142)&lt;3,ISNUMBER(MATCH(AW142,L_Placeholder,0))),SUMPRODUCT(--ISNUMBER(SEARCH(" "&amp;L_EvidencePhrase&amp;" ",BD142)))&gt;0,BI142=1),"INVALID – evidence missing, placeholder or not yet on file",IF(ISNA(MATCH(TRIM(S142),L_EvidenceType,0)),"INVALID – choose the evidence type from the list (column S)",IF(BL142=0,"INVALID – evidence ID must be the record's own ID only (e.g. SF-2210, IMG_2231, 1045521); a link / file name needs type 'Link / file path'",IF(OR(OR(LEN(AX142)&lt;2,ISNUMBER(MATCH(AX142,L_Placeholder,0))),BS142&lt;3),"INVALID – verifier missing or not a named person (a role such as QA / CSM is not a name)",IF(OR(AX142=AU142,CE142=1,AND(LEN(AU142)&gt;=4,ISNUMBER(SEARCH(AU142,AX142))),AND(LEN(AX142)&gt;=4,ISNUMBER(SEARCH(AX142,AU142)))),"INVALID – verifier must be a different, named person (not the PIC or a role)",IF(BH142=1,"INVALID – result not yet available (awaiting / TBC)",IF(BG142=1,"INVALID – result describes a problem: record Fail, then Pass after CA (or reword if it is not a problem)",IF(BV142=1,"INVALID – wording says not on board: an on-board confirmation needs the item loaded",IF(AND(AQ142=1,OR(OR(LEN(AY142)&lt;3,ISNUMBER(MATCH(AY142,L_Placeholder,0))),BJ142=1,BQ142=0)),"INVALID – batch ID missing, placeholder or not an ID (e.g. PASB-261008-BC-017)",IF(AND(AR142=1,OR(NOT(ISNUMBER(X142)),NOT(ISNUMBER(Y142)))),"INVALID – expected/actual qty missing",IF(AND(AR142=1,OR(X142&lt;=0,Y142&lt;0)),"INVALID – expected qty must be above 0 and actual not negative",IF(BB142&lt;&gt;"",BB142,IF(AND(AS142=1,Documents!$J$9&lt;&gt;"ON FILE"),"INVALID – GLD not on file (Documents sheet)",IF(AND(AS142=2,Documents!$O$9&lt;&gt;"ON FILE"),"INVALID – menu checklist not on file (Documents sheet)",IF(AND(AS142=3,NOT(ISNUMBER(Flights!$AX$9))),"INVALID – enter carrying flight KUL departure (Flights AX)",IF(AND(AS142=3,OR(Flights!$AZ$9&gt;Flights!$AA$9,Flights!$AX$9&lt;Flights!$AA$9-3)),"INVALID – carrying flight (Flights AX) cannot arrive before this leg's STD, or is over 3 days early",IF(AG142&gt;AsOfUTC,"INVALID – completion time is in the future",IF(AND(ISNUMBER(BY142),AG142&lt;BY142),IF(H142="Physical uplift","INVALID – before uplift window (cannot confirm loading)","INVALID – before valid window"),IF(AG142&gt;Flights!$AA$9,"INVALID – completed after departure (cannot establish readiness)",IF(AND(H142="Preparation",AG142&gt;=IF(ISNUMBER(Flights!$BA$9),MIN(Flights!$BA$9,Flights!$AA$9),Flights!$AA$9)),"INVALID – completed after loading / departure (cannot establish readiness)",IF(AND(H142="Physical uplift",AG142&gt;Q142),"INVALID – recorded after the loading flight departed",IF(AG142&gt;Q142,"COMPLETE – LATE","COMPLETE"))))))))))))))))))))))))),IF(TRIM(U142)="Fail","FAIL – DISCREPANCY",IF(AND(TRIM(U142)&lt;&gt;"",TRIM(U142)&lt;&gt;"Not started",TRIM(U142)&lt;&gt;"In progress"),"INVALID – unrecognised status (use the list)",IF(AsOfUTC&gt;Q142,"OVERDUE",IF(N142="Clarification required","OPEN – CLARIFICATION","OPEN"))))))),"INVALID – error value in an input cell")</f>
        <v>OPEN</v>
      </c>
      <c r="AI142" s="61" t="n">
        <f aca="false">IF(OR(AH142="N/A – RULE",AH142="N/A – JUSTIFIED"),0,1)</f>
        <v>1</v>
      </c>
      <c r="AJ142" s="61" t="n">
        <f aca="false">IF(LEFT(AH142,8)="COMPLETE",1,0)</f>
        <v>0</v>
      </c>
      <c r="AK142" s="61" t="n">
        <f aca="false">IF(AND(AI142=1,AJ142=0,AsOfUTC&gt;Q142),1,0)</f>
        <v>0</v>
      </c>
      <c r="AL142" s="61" t="n">
        <f aca="false">IFERROR(IF(AND(AI142=1,OR(TRIM(U142)="Fail",AND(TRIM(AB142)&lt;&gt;"",TRIM(AB142)&lt;&gt;"Closed"),AND(ISNUMBER(AF142),AF142&lt;&gt;0,TRIM(U142)&lt;&gt;"Pass after CA"))),1,0),1)</f>
        <v>0</v>
      </c>
      <c r="AM142" s="61" t="n">
        <f aca="false">IF(LEFT(AH142,7)="INVALID",1,0)</f>
        <v>0</v>
      </c>
      <c r="AN142" s="61" t="n">
        <f aca="false">IF(AND(N142="Clarification required",AI142=1,AJ142=0),1,0)</f>
        <v>0</v>
      </c>
      <c r="AO142" s="61" t="str">
        <f aca="false">IF(AK142=1,SUM(AK$5:AK142),"")</f>
        <v/>
      </c>
      <c r="AP142" s="61" t="str">
        <f aca="false">IF(AL142=1,SUM(AL$5:AL142),"")</f>
        <v/>
      </c>
      <c r="AQ142" s="61" t="n">
        <v>0</v>
      </c>
      <c r="AR142" s="61" t="n">
        <v>0</v>
      </c>
      <c r="AS142" s="61" t="n">
        <v>0</v>
      </c>
      <c r="AT142" s="61" t="n">
        <v>0</v>
      </c>
      <c r="AU142" s="61" t="str">
        <f aca="false">SUBSTITUTE(SUBSTITUTE(SUBSTITUTE(SUBSTITUTE(SUBSTITUTE(SUBSTITUTE(SUBSTITUTE(SUBSTITUTE(SUBSTITUTE(SUBSTITUTE(SUBSTITUTE(SUBSTITUTE(SUBSTITUTE(SUBSTITUTE(SUBSTITUTE(SUBSTITUTE(LOWER(T142&amp;""),CHAR(10),""),CHAR(13),""),CHAR(9),""),CHAR(160),"")," ",""),".",""),"-",""),"/",""),"?",""),"_",""),",",""),"[",""),"]",""),"(",""),")",""),"*","")</f>
        <v/>
      </c>
      <c r="AV142" s="61" t="str">
        <f aca="false">SUBSTITUTE(SUBSTITUTE(SUBSTITUTE(SUBSTITUTE(SUBSTITUTE(SUBSTITUTE(SUBSTITUTE(SUBSTITUTE(SUBSTITUTE(SUBSTITUTE(SUBSTITUTE(SUBSTITUTE(SUBSTITUTE(SUBSTITUTE(SUBSTITUTE(SUBSTITUTE(LOWER(V142&amp;""),CHAR(10),""),CHAR(13),""),CHAR(9),""),CHAR(160),"")," ",""),".",""),"-",""),"/",""),"?",""),"_",""),",",""),"[",""),"]",""),"(",""),")",""),"*","")</f>
        <v/>
      </c>
      <c r="AW142" s="61" t="str">
        <f aca="false">SUBSTITUTE(SUBSTITUTE(SUBSTITUTE(SUBSTITUTE(SUBSTITUTE(SUBSTITUTE(SUBSTITUTE(SUBSTITUTE(SUBSTITUTE(SUBSTITUTE(SUBSTITUTE(SUBSTITUTE(SUBSTITUTE(SUBSTITUTE(SUBSTITUTE(SUBSTITUTE(LOWER(Z142&amp;""),CHAR(10),""),CHAR(13),""),CHAR(9),""),CHAR(160),"")," ",""),".",""),"-",""),"/",""),"?",""),"_",""),",",""),"[",""),"]",""),"(",""),")",""),"*","")</f>
        <v/>
      </c>
      <c r="AX142" s="61" t="str">
        <f aca="false">SUBSTITUTE(SUBSTITUTE(SUBSTITUTE(SUBSTITUTE(SUBSTITUTE(SUBSTITUTE(SUBSTITUTE(SUBSTITUTE(SUBSTITUTE(SUBSTITUTE(SUBSTITUTE(SUBSTITUTE(SUBSTITUTE(SUBSTITUTE(SUBSTITUTE(SUBSTITUTE(LOWER(AE142&amp;""),CHAR(10),""),CHAR(13),""),CHAR(9),""),CHAR(160),"")," ",""),".",""),"-",""),"/",""),"?",""),"_",""),",",""),"[",""),"]",""),"(",""),")",""),"*","")</f>
        <v/>
      </c>
      <c r="AY142" s="61" t="str">
        <f aca="false">SUBSTITUTE(SUBSTITUTE(SUBSTITUTE(SUBSTITUTE(SUBSTITUTE(SUBSTITUTE(SUBSTITUTE(SUBSTITUTE(SUBSTITUTE(SUBSTITUTE(SUBSTITUTE(SUBSTITUTE(SUBSTITUTE(SUBSTITUTE(SUBSTITUTE(SUBSTITUTE(LOWER(W142&amp;""),CHAR(10),""),CHAR(13),""),CHAR(9),""),CHAR(160),"")," ",""),".",""),"-",""),"/",""),"?",""),"_",""),",",""),"[",""),"]",""),"(",""),")",""),"*","")</f>
        <v/>
      </c>
      <c r="AZ142" s="61" t="str">
        <f aca="false">SUBSTITUTE(SUBSTITUTE(SUBSTITUTE(SUBSTITUTE(SUBSTITUTE(SUBSTITUTE(SUBSTITUTE(SUBSTITUTE(SUBSTITUTE(SUBSTITUTE(SUBSTITUTE(SUBSTITUTE(SUBSTITUTE(SUBSTITUTE(SUBSTITUTE(SUBSTITUTE(LOWER(AC142&amp;""),CHAR(10),""),CHAR(13),""),CHAR(9),""),CHAR(160),"")," ",""),".",""),"-",""),"/",""),"?",""),"_",""),",",""),"[",""),"]",""),"(",""),")",""),"*","")</f>
        <v/>
      </c>
      <c r="BA142" s="61" t="str">
        <f aca="false">SUBSTITUTE(SUBSTITUTE(SUBSTITUTE(SUBSTITUTE(SUBSTITUTE(SUBSTITUTE(SUBSTITUTE(SUBSTITUTE(SUBSTITUTE(SUBSTITUTE(SUBSTITUTE(SUBSTITUTE(SUBSTITUTE(SUBSTITUTE(SUBSTITUTE(SUBSTITUTE(LOWER(AA142&amp;""),CHAR(10),""),CHAR(13),""),CHAR(9),""),CHAR(160),"")," ",""),".",""),"-",""),"/",""),"?",""),"_",""),",",""),"[",""),"]",""),"(",""),")",""),"*","")</f>
        <v/>
      </c>
      <c r="BB142" s="61" t="str">
        <f aca="false">IF(AND(TRIM(U142)="Pass",ISNUMBER(AF142)),IF(AF142&lt;&gt;0,"INVALID – qty variance: use Fail or Pass after CA",""),"")&amp;IF(AND(TRIM(U142)="Pass after CA",ISNUMBER(AF142)),IF(AF142&lt;&gt;0,"INVALID – after the corrective action the actual qty must equal expected (update Actual)",""),"")&amp;IF(AND(TRIM(U142)="Pass",TRIM(AB142)&lt;&gt;"",TRIM(AB142)&lt;&gt;"Closed"),"INVALID – corrective action not closed: use Fail, then Pass after CA","")&amp;IF(AND(LEN(BA142)&gt;=2,ISNA(MATCH(LEFT(BA142,255),L_Placeholder,0)),TRIM(AB142)=""),"INVALID – CA status missing for the recorded corrective action","")&amp;IF(AND(TRIM(U142)="Pass after CA",OR(OR(LEN(BA142)&lt;5,ISNUMBER(MATCH(BA142,L_Placeholder,0))),TRIM(AB142)&lt;&gt;"Closed")),"INVALID – corrective action not recorded/closed","")</f>
        <v/>
      </c>
      <c r="BC142" s="61" t="str">
        <f aca="false">" "&amp;TRIM(SUBSTITUTE(SUBSTITUTE(SUBSTITUTE(SUBSTITUTE(SUBSTITUTE(SUBSTITUTE(SUBSTITUTE(SUBSTITUTE(SUBSTITUTE(SUBSTITUTE(SUBSTITUTE(SUBSTITUTE(SUBSTITUTE(SUBSTITUTE(SUBSTITUTE(SUBSTITUTE(SUBSTITUTE(SUBSTITUTE(SUBSTITUTE(SUBSTITUTE(SUBSTITUTE(SUBSTITUTE(SUBSTITUTE(SUBSTITUTE(LOWER(V142&amp;""),CHAR(10)," "),CHAR(13)," "),CHAR(9)," "),CHAR(160)," "),"."," "),","," "),"-"," "),"/"," "),"("," "),")"," "),":"," "),";"," "),"_"," "),"–"," "),"?"," "),"!"," "),"*"," "),"["," "),"]"," "),"'"," "),"#"," "),"+"," "),"&amp;"," "),"\"," "))&amp;" "</f>
        <v>  </v>
      </c>
      <c r="BD142" s="61" t="str">
        <f aca="false">" "&amp;TRIM(SUBSTITUTE(SUBSTITUTE(SUBSTITUTE(SUBSTITUTE(SUBSTITUTE(SUBSTITUTE(SUBSTITUTE(SUBSTITUTE(SUBSTITUTE(SUBSTITUTE(SUBSTITUTE(SUBSTITUTE(SUBSTITUTE(SUBSTITUTE(SUBSTITUTE(SUBSTITUTE(SUBSTITUTE(SUBSTITUTE(SUBSTITUTE(SUBSTITUTE(SUBSTITUTE(SUBSTITUTE(SUBSTITUTE(SUBSTITUTE(LOWER(Z142&amp;""),CHAR(10)," "),CHAR(13)," "),CHAR(9)," "),CHAR(160)," "),"."," "),","," "),"-"," "),"/"," "),"("," "),")"," "),":"," "),";"," "),"_"," "),"–"," "),"?"," "),"!"," "),"*"," "),"["," "),"]"," "),"'"," "),"#"," "),"+"," "),"&amp;"," "),"\"," "))&amp;" "</f>
        <v>  </v>
      </c>
      <c r="BE142" s="61" t="str">
        <f aca="false">" "&amp;TRIM(SUBSTITUTE(SUBSTITUTE(SUBSTITUTE(SUBSTITUTE(SUBSTITUTE(SUBSTITUTE(SUBSTITUTE(SUBSTITUTE(SUBSTITUTE(SUBSTITUTE(SUBSTITUTE(SUBSTITUTE(SUBSTITUTE(SUBSTITUTE(SUBSTITUTE(SUBSTITUTE(SUBSTITUTE(SUBSTITUTE(SUBSTITUTE(SUBSTITUTE(SUBSTITUTE(SUBSTITUTE(SUBSTITUTE(SUBSTITUTE(LOWER(W142&amp;""),CHAR(10)," "),CHAR(13)," "),CHAR(9)," "),CHAR(160)," "),"."," "),","," "),"-"," "),"/"," "),"("," "),")"," "),":"," "),";"," "),"_"," "),"–"," "),"?"," "),"!"," "),"*"," "),"["," "),"]"," "),"'"," "),"#"," "),"+"," "),"&amp;"," "),"\"," "))&amp;" "</f>
        <v>  </v>
      </c>
      <c r="BF142" s="61" t="str">
        <f aca="false">" "&amp;TRIM(SUBSTITUTE(SUBSTITUTE(SUBSTITUTE(SUBSTITUTE(SUBSTITUTE(SUBSTITUTE(SUBSTITUTE(SUBSTITUTE(SUBSTITUTE(SUBSTITUTE(SUBSTITUTE(SUBSTITUTE(SUBSTITUTE(SUBSTITUTE(SUBSTITUTE(SUBSTITUTE(SUBSTITUTE(SUBSTITUTE(SUBSTITUTE(SUBSTITUTE(SUBSTITUTE(SUBSTITUTE(SUBSTITUTE(SUBSTITUTE(LOWER(AC142&amp;""),CHAR(10)," "),CHAR(13)," "),CHAR(9)," "),CHAR(160)," "),"."," "),","," "),"-"," "),"/"," "),"("," "),")"," "),":"," "),";"," "),"_"," "),"–"," "),"?"," "),"!"," "),"*"," "),"["," "),"]"," "),"'"," "),"#"," "),"+"," "),"&amp;"," "),"\"," "))&amp;" "</f>
        <v>  </v>
      </c>
      <c r="BG142" s="61" t="n">
        <f aca="false">IFERROR(IF(AND(TRIM(U142)="Pass",SUMPRODUCT((LEN(BC142)-LEN(SUBSTITUTE(BC142," "&amp;L_ResultBad&amp;" "," ")))/(LEN(L_ResultBad)+1))&gt;SUMPRODUCT((LEN(BC142)-LEN(SUBSTITUTE(BC142," "&amp;L_NegPhrase&amp;" "," ")))/(LEN(L_NegPhrase)+1))),1,0),0)</f>
        <v>0</v>
      </c>
      <c r="BH142" s="61" t="n">
        <f aca="false">IFERROR(IF(SUMPRODUCT((LEN(BC142)-LEN(SUBSTITUTE(BC142," "&amp;L_Pending&amp;" "," ")))/(LEN(L_Pending)+1))&gt;SUMPRODUCT((LEN(BC142)-LEN(SUBSTITUTE(BC142," "&amp;L_PendNeg&amp;" "," ")))/(LEN(L_PendNeg)+1))+SUMPRODUCT((LEN(BC142)-LEN(SUBSTITUTE(BC142," "&amp;L_PendPrep&amp;" "," ")))/(LEN(L_PendPrep)+1)),1,0),1)</f>
        <v>0</v>
      </c>
      <c r="BI142" s="61" t="n">
        <f aca="false">IFERROR(IF(SUMPRODUCT((LEN(BD142)-LEN(SUBSTITUTE(BD142," "&amp;L_PendStrict&amp;" "," ")))/(LEN(L_PendStrict)+1))&gt;SUMPRODUCT((LEN(BD142)-LEN(SUBSTITUTE(BD142," "&amp;L_PendNeg&amp;" "," ")))/(LEN(L_PendNeg)+1)),1,0),1)</f>
        <v>0</v>
      </c>
      <c r="BJ142" s="61" t="n">
        <f aca="false">IFERROR(IF(SUMPRODUCT((LEN(BE142)-LEN(SUBSTITUTE(BE142," "&amp;L_Pending&amp;" "," ")))/(LEN(L_Pending)+1))&gt;SUMPRODUCT((LEN(BE142)-LEN(SUBSTITUTE(BE142," "&amp;L_PendNeg&amp;" "," ")))/(LEN(L_PendNeg)+1))+SUMPRODUCT((LEN(BE142)-LEN(SUBSTITUTE(BE142," "&amp;L_PendPrep&amp;" "," ")))/(LEN(L_PendPrep)+1)),1,0),1)</f>
        <v>0</v>
      </c>
      <c r="BK142" s="61" t="n">
        <f aca="false">IFERROR(IF(SUMPRODUCT((LEN(BF142)-LEN(SUBSTITUTE(BF142," "&amp;L_PendStrict&amp;" "," ")))/(LEN(L_PendStrict)+1))&gt;SUMPRODUCT((LEN(BF142)-LEN(SUBSTITUTE(BF142," "&amp;L_PendNeg&amp;" "," ")))/(LEN(L_PendNeg)+1)),1,0),1)</f>
        <v>0</v>
      </c>
      <c r="BL142" s="61" t="n">
        <f aca="false">IF(ISNA(MATCH(TRIM(S142),L_EvidenceType,0)),0,BZ142)</f>
        <v>0</v>
      </c>
      <c r="BM142" s="61" t="str">
        <f aca="false">SUBSTITUTE(SUBSTITUTE(SUBSTITUTE(SUBSTITUTE(SUBSTITUTE(SUBSTITUTE(SUBSTITUTE(SUBSTITUTE(SUBSTITUTE(LOWER(Z142&amp;""),"1","0"),"2","0"),"3","0"),"4","0"),"5","0"),"6","0"),"7","0"),"8","0"),"9","0")</f>
        <v/>
      </c>
      <c r="BN142" s="61" t="str">
        <f aca="false">SUBSTITUTE(SUBSTITUTE(SUBSTITUTE(SUBSTITUTE(SUBSTITUTE(SUBSTITUTE(SUBSTITUTE(SUBSTITUTE(SUBSTITUTE(SUBSTITUTE(SUBSTITUTE(SUBSTITUTE(SUBSTITUTE(SUBSTITUTE(SUBSTITUTE(SUBSTITUTE(SUBSTITUTE(SUBSTITUTE(SUBSTITUTE(SUBSTITUTE(SUBSTITUTE(SUBSTITUTE(SUBSTITUTE(SUBSTITUTE(SUBSTITUTE(BM142,"b","a"),"c","a"),"d","a"),"e","a"),"f","a"),"g","a"),"h","a"),"i","a"),"j","a"),"k","a"),"l","a"),"m","a"),"n","a"),"o","a"),"p","a"),"q","a"),"r","a"),"s","a"),"t","a"),"u","a"),"v","a"),"w","a"),"x","a"),"y","a"),"z","a")</f>
        <v/>
      </c>
      <c r="BO142" s="61" t="str">
        <f aca="false">SUBSTITUTE(SUBSTITUTE(SUBSTITUTE(SUBSTITUTE(SUBSTITUTE(SUBSTITUTE(SUBSTITUTE(SUBSTITUTE(SUBSTITUTE(LOWER(W142&amp;""),"1","0"),"2","0"),"3","0"),"4","0"),"5","0"),"6","0"),"7","0"),"8","0"),"9","0")</f>
        <v/>
      </c>
      <c r="BP142" s="61" t="str">
        <f aca="false">SUBSTITUTE(SUBSTITUTE(SUBSTITUTE(SUBSTITUTE(SUBSTITUTE(SUBSTITUTE(SUBSTITUTE(SUBSTITUTE(SUBSTITUTE(SUBSTITUTE(SUBSTITUTE(SUBSTITUTE(SUBSTITUTE(SUBSTITUTE(SUBSTITUTE(SUBSTITUTE(SUBSTITUTE(SUBSTITUTE(SUBSTITUTE(SUBSTITUTE(SUBSTITUTE(SUBSTITUTE(SUBSTITUTE(SUBSTITUTE(SUBSTITUTE(BO142,"b","a"),"c","a"),"d","a"),"e","a"),"f","a"),"g","a"),"h","a"),"i","a"),"j","a"),"k","a"),"l","a"),"m","a"),"n","a"),"o","a"),"p","a"),"q","a"),"r","a"),"s","a"),"t","a"),"u","a"),"v","a"),"w","a"),"x","a"),"y","a"),"z","a")</f>
        <v/>
      </c>
      <c r="BQ142" s="61" t="n">
        <f aca="false">IFERROR(IF(AND(ISERROR(SEARCH(" mh"," "&amp;LOWER(W142))),ISNA(MATCH(LEFT(TRIM(BP142),255),{"0000a","000a","00a","0000aa","000aa","00aa","0aa","0000aaa","000aaa","00a00","0a00","0000-0000","00:00","a00","a0","00.00.0000","00/00/0000","00-00-0000","0000-00-00","0000/00/00","0000.00.00","00.00.00","00/00/00","00-00-00","0.00.0000","0/00/0000","0-00-0000"},0)),ISNA(MATCH(LEFT(TRIM(CA142),255),{"0000a","000a","00a","0000aa","000aa","00aa","0aa","0000aaa","000aaa","00a00","0a00","0000-0000","00:00","a00","a0","00.00.0000","00/00/0000","00-00-0000","0000-00-00","0000/00/00","0000.00.00","00.00.00","00/00/00","00-00-00","0.00.0000","0/00/0000","0-00-0000"},0)),LEN(CB142)&gt;=3,NOT(OR(SUBSTITUTE(CB142,"0","")="",AND(LEN(CB142)&gt;=4,CB142=REPT(LEFT(CB142),LEN(CB142))),ISNUMBER(MATCH(CB142,{"123","1234","12345","123456","1234567","12345678","0123","01234","012345","98765","987654","54321"},0)),AND(LEN(CB142)=8,LEFT(CB142,3)="202"))),OR(AND((LEN(CA142)-LEN(SUBSTITUTE(CA142,"a","")))&gt;=1,SUMPRODUCT(--ISNUMBER(SEARCH({"a0","a-0","a_0","a/0","a.0","a#0","0a","0-a","0_a","0/a"},BP142)))&gt;0),ISNUMBER(SEARCH("000000",BP142)))),1,0),0)</f>
        <v>0</v>
      </c>
      <c r="BR142" s="61" t="n">
        <f aca="false">IFERROR(LEN(SUBSTITUTE(CC142," ",""))-SUMPRODUCT((LEN(CC142)-LEN(SUBSTITUTE(CC142," "&amp;L_Role&amp;" "," ")))/(LEN(L_Role)+1)*LEN(L_Role)),0)</f>
        <v>0</v>
      </c>
      <c r="BS142" s="61" t="n">
        <f aca="false">IFERROR(LEN(SUBSTITUTE(CD142," ",""))-SUMPRODUCT((LEN(CD142)-LEN(SUBSTITUTE(CD142," "&amp;L_Role&amp;" "," ")))/(LEN(L_Role)+1)*LEN(L_Role)),0)</f>
        <v>0</v>
      </c>
      <c r="BT1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142,"revision",""),"version",""),"jan",""),"feb",""),"mar",""),"apr",""),"may",""),"jun",""),"jul",""),"aug",""),"sep",""),"oct",""),"nov",""),"dec",""),"utc",""),"gmt",""),"myt",""),"bst",""),"rev",""),"ver",""),"b","a"),"c","a"),"d","a"),"e","a"),"f","a"),"g","a"),"h","a"),"i","a"),"j","a"),"k","a"),"l","a"),"m","a"),"n","a"),"o","a"),"p","a"),"q","a"),"r","a"),"s","a"),"t","a"),"u","a"),"v","a"),"w","a"),"x","a"),"y","a"),"z","a")</f>
        <v/>
      </c>
      <c r="BU142" s="61" t="str">
        <f aca="false">SUBSTITUTE(SUBSTITUTE(SUBSTITUTE(SUBSTITUTE(SUBSTITUTE(SUBSTITUTE(SUBSTITUTE(SUBSTITUTE(SUBSTITUTE(SUBSTITUTE(LEFT(BM142,FIND("0",BM142&amp;"0")-1),"-",""),"_",""),"/",""),".",""),"#",""),"\\",""),":","")," ",""),"(",""),")","")</f>
        <v/>
      </c>
      <c r="BV142" s="61" t="n">
        <f aca="false">0</f>
        <v>0</v>
      </c>
      <c r="BW1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142&amp;""),"a",""),"b",""),"c",""),"d",""),"e",""),"f",""),"g",""),"h",""),"i",""),"j",""),"k",""),"l",""),"m",""),"n",""),"o",""),"p",""),"q",""),"r",""),"s",""),"t",""),"u",""),"v",""),"w",""),"x",""),"y",""),"z",""),"-",""),"_",""),"/",""),".",""),"#",""),"\\",""),":","")," ",""),"(",""),")","")</f>
        <v/>
      </c>
      <c r="BX142" s="61" t="str">
        <f aca="false">SUBSTITUTE(SUBSTITUTE(SUBSTITUTE(SUBSTITUTE(SUBSTITUTE(SUBSTITUTE(SUBSTITUTE(SUBSTITUTE(SUBSTITUTE(SUBSTITUTE(SUBSTITUTE(BM142,"0",""),"-",""),"_",""),"/",""),".",""),"#",""),"\\",""),":","")," ",""),"(",""),")","")</f>
        <v/>
      </c>
      <c r="BY142" s="62" t="n">
        <f aca="false">Q142-T7EarlyD*24/24</f>
        <v>46289.0451388889</v>
      </c>
      <c r="BZ142" s="61" t="n">
        <f aca="false">IFERROR(IF(IF(TRIM(S142)="Link / file path",AND(LEN(TRIM(Z142))&gt;=5,SUMPRODUCT(--ISNUMBER(SEARCH({"http","www.","\\",":\",".pdf",".jpg",".jpeg",".png",".heic",".xls",".doc",".msg",".eml",".ppt",".txt",".zip"},Z142)))&gt;0),AND(ISERROR(FIND(" ",TRIM(Z142))),NOT(OR(SUMPRODUCT(--ISNUMBER(FIND({",",";","&amp;","+"},Z142)))&gt;0,SUMPRODUCT(--ISNUMBER(SEARCH({"0/aa","0\\aa"},BN142)))&gt;0)),NOT(SUMPRODUCT(--ISNUMBER(SEARCH({"http","www.","\\",":\",".pdf",".jpg",".jpeg",".png",".heic",".xls",".doc",".msg",".eml",".ppt",".txt",".zip"},Z142)))&gt;0),NOT(LOWER(TRIM(Z142))=LOWER(Flights!$F$9)),ISNA(MATCH(BU142,{"mh","rev","revision","ver","version","v","r","a","b","seat","tray","row","gate","bay","stand","page","pg","item","line","no","cart","galley","flight","flt","table","box","bag","oven","etd","eta","std","sta","atd","ata","qty","pax","x","time","tel","ph","mob","day","wk","week","utc","gmt","myt","lt"},0)),NOT(OR(ISNUMBER(MATCH(LEFT(BN142,255),{"0000a","000a","00a","0000aa","000aa","00aa","0aa","0000aaa","000aaa","00a00","0a00","0000-0000","00:00","a00","a0","00.00.0000","00/00/0000","00-00-0000","0000-00-00","0000/00/00","0000.00.00","00.00.00","00/00/00","00-00-00","0.00.0000","0/00/0000","0-00-0000"},0)),ISNUMBER(MATCH(LEFT(BT142,255),{"0000a","000a","00a","0000aa","000aa","00aa","0aa","0000aaa","000aaa","00a00","0a00","0000-0000","00:00","a00","a0","00.00.0000","00/00/0000","00-00-0000","0000-00-00","0000/00/00","0000.00.00","00.00.00","00/00/00","00-00-00","0.00.0000","0/00/0000","0-00-0000"},0)))),NOT(OR(AND(BW142&lt;&gt;"",SUBSTITUTE(BW142,"0","")=""),AND(LEN(BW142)&gt;=4,BW142=REPT(LEFT(BW142),LEN(BW142))),ISNUMBER(MATCH(BW142,{"123","1234","12345","123456","1234567","12345678","0123","01234","012345","98765","987654","54321"},0)),ISNUMBER(MATCH(BX142,{"x","xx","xxx","xxxx","xxxxx","abc","abcd","nil","na","nan","test","tbc","tba","tbd","dummy","sample","example","eg","zz","zzz","none","null","xyz","qwe","asd","id","ref"},0)),AND(LEN(BW142)=8,BX142="",OR(LEFT(BW142,3)="202",ISNUMBER(MATCH(RIGHT(BW142,4),{"2025","2026","2027"},0)))))),OR(AND((LEN(BT142)-LEN(SUBSTITUTE(BT142,"a","")))&gt;=1,(LEN(BN142)-LEN(SUBSTITUTE(BN142,"0","")))&gt;=2,SUMPRODUCT(--ISNUMBER(SEARCH({"a0","a-0","a_0","a/0","a.0","a#0","0a","0-a","0_a","0/a"},BN142)))&gt;0),AND((LEN(BN142)-LEN(SUBSTITUTE(BN142,"a","")))=0,(LEN(BN142)-LEN(SUBSTITUTE(BN142,"0","")))&gt;=5)))),1,0),0)</f>
        <v>0</v>
      </c>
      <c r="CA1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142,"revision",""),"version",""),"jan",""),"feb",""),"mar",""),"apr",""),"may",""),"jun",""),"jul",""),"aug",""),"sep",""),"oct",""),"nov",""),"dec",""),"utc",""),"gmt",""),"myt",""),"bst",""),"rev",""),"ver",""),"b","a"),"c","a"),"d","a"),"e","a"),"f","a"),"g","a"),"h","a"),"i","a"),"j","a"),"k","a"),"l","a"),"m","a"),"n","a"),"o","a"),"p","a"),"q","a"),"r","a"),"s","a"),"t","a"),"u","a"),"v","a"),"w","a"),"x","a"),"y","a"),"z","a")</f>
        <v/>
      </c>
      <c r="CB1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142&amp;""),"a",""),"b",""),"c",""),"d",""),"e",""),"f",""),"g",""),"h",""),"i",""),"j",""),"k",""),"l",""),"m",""),"n",""),"o",""),"p",""),"q",""),"r",""),"s",""),"t",""),"u",""),"v",""),"w",""),"x",""),"y",""),"z",""),"-",""),"_",""),"/",""),".",""),"#",""),"\\",""),":","")," ",""),"(",""),")","")</f>
        <v/>
      </c>
      <c r="CC142" s="0" t="str">
        <f aca="false">" "&amp;TRIM(SUBSTITUTE(SUBSTITUTE(SUBSTITUTE(SUBSTITUTE(SUBSTITUTE(SUBSTITUTE(SUBSTITUTE(SUBSTITUTE(SUBSTITUTE(SUBSTITUTE(SUBSTITUTE(SUBSTITUTE(SUBSTITUTE(SUBSTITUTE(SUBSTITUTE(SUBSTITUTE(SUBSTITUTE(SUBSTITUTE(SUBSTITUTE(SUBSTITUTE(SUBSTITUTE(SUBSTITUTE(SUBSTITUTE(SUBSTITUTE(LOWER(T142&amp;""),CHAR(10)," "),CHAR(13)," "),CHAR(9)," "),CHAR(160)," "),"."," "),","," "),"-"," "),"/"," "),"("," "),")"," "),":"," "),";"," "),"_"," "),"–"," "),"?"," "),"!"," "),"*"," "),"["," "),"]"," "),"'"," "),"#"," "),"+"," "),"&amp;"," "),"\"," "))&amp;" "</f>
        <v>  </v>
      </c>
      <c r="CD142" s="0" t="str">
        <f aca="false">" "&amp;TRIM(SUBSTITUTE(SUBSTITUTE(SUBSTITUTE(SUBSTITUTE(SUBSTITUTE(SUBSTITUTE(SUBSTITUTE(SUBSTITUTE(SUBSTITUTE(SUBSTITUTE(SUBSTITUTE(SUBSTITUTE(SUBSTITUTE(SUBSTITUTE(SUBSTITUTE(SUBSTITUTE(SUBSTITUTE(SUBSTITUTE(SUBSTITUTE(SUBSTITUTE(SUBSTITUTE(SUBSTITUTE(SUBSTITUTE(SUBSTITUTE(LOWER(AE142&amp;""),CHAR(10)," "),CHAR(13)," "),CHAR(9)," "),CHAR(160)," "),"."," "),","," "),"-"," "),"/"," "),"("," "),")"," "),":"," "),";"," "),"_"," "),"–"," "),"?"," "),"!"," "),"*"," "),"["," "),"]"," "),"'"," "),"#"," "),"+"," "),"&amp;"," "),"\"," "))&amp;" "</f>
        <v>  </v>
      </c>
      <c r="CE142" s="68" t="n">
        <f aca="false">IFERROR(IF(AND(LEN(AU142)&gt;0,LEN(AU142)=LEN(AX142),OR(TRIM(MID(SUBSTITUTE(TRIM(CC142)," ",REPT(" ",60)),1,60))="",ISNUMBER(SEARCH(" "&amp;TRIM(MID(SUBSTITUTE(TRIM(CC142)," ",REPT(" ",60)),1,60))&amp;" ",CD142))),OR(TRIM(MID(SUBSTITUTE(TRIM(CC142)," ",REPT(" ",60)),61,60))="",ISNUMBER(SEARCH(" "&amp;TRIM(MID(SUBSTITUTE(TRIM(CC142)," ",REPT(" ",60)),61,60))&amp;" ",CD142))),OR(TRIM(MID(SUBSTITUTE(TRIM(CC142)," ",REPT(" ",60)),121,60))="",ISNUMBER(SEARCH(" "&amp;TRIM(MID(SUBSTITUTE(TRIM(CC142)," ",REPT(" ",60)),121,60))&amp;" ",CD142)))),1,0),0)</f>
        <v>0</v>
      </c>
      <c r="CG142" s="68" t="n">
        <f aca="false">IFERROR(LEN(SUBSTITUTE(BF142," ",""))-SUMPRODUCT((LEN(BF142)-LEN(SUBSTITUTE(BF142," "&amp;L_NAFiller&amp;" "," ")))/(LEN(L_NAFiller)+1)*LEN(L_NAFiller)),0)</f>
        <v>0</v>
      </c>
    </row>
    <row r="143" customFormat="false" ht="39.75" hidden="false" customHeight="true" outlineLevel="0" collapsed="false">
      <c r="A143" s="57" t="s">
        <v>667</v>
      </c>
      <c r="B143" s="57" t="s">
        <v>228</v>
      </c>
      <c r="C143" s="57" t="str">
        <f aca="false">Flights!$F$9</f>
        <v>MH0089</v>
      </c>
      <c r="D143" s="58" t="n">
        <f aca="false">Flights!$D$9</f>
        <v>46310</v>
      </c>
      <c r="E143" s="57" t="str">
        <f aca="false">Flights!$G$9&amp;"-"&amp;Flights!$H$9</f>
        <v>NRT-KUL</v>
      </c>
      <c r="F143" s="57" t="str">
        <f aca="false">Flights!$K$9</f>
        <v>EY</v>
      </c>
      <c r="G143" s="57" t="s">
        <v>81</v>
      </c>
      <c r="H143" s="57" t="s">
        <v>378</v>
      </c>
      <c r="I143" s="57" t="s">
        <v>405</v>
      </c>
      <c r="J143" s="57" t="s">
        <v>406</v>
      </c>
      <c r="K143" s="67" t="s">
        <v>407</v>
      </c>
      <c r="L143" s="67" t="s">
        <v>382</v>
      </c>
      <c r="M143" s="67"/>
      <c r="N143" s="67" t="s">
        <v>383</v>
      </c>
      <c r="O143" s="67"/>
      <c r="P143" s="57" t="s">
        <v>220</v>
      </c>
      <c r="Q143" s="59" t="n">
        <f aca="false">ROUND((Flights!$AC$9)*1440,0)/1440</f>
        <v>46303.0451388889</v>
      </c>
      <c r="R143" s="59" t="n">
        <f aca="false">Q143+(IF(AND(INDEX(TZ_DSTS,MATCH(P143,TZ_STN,0))&lt;&gt;"",Q143&gt;=INDEX(TZ_DSTS,MATCH(P143,TZ_STN,0)),Q143&lt;INDEX(TZ_DSTE,MATCH(P143,TZ_STN,0))),INDEX(TZ_DST,MATCH(P143,TZ_STN,0)),INDEX(TZ_STD,MATCH(P143,TZ_STN,0))))/24</f>
        <v>46303.4201388889</v>
      </c>
      <c r="S143" s="60"/>
      <c r="T143" s="60"/>
      <c r="U143" s="60"/>
      <c r="V143" s="60"/>
      <c r="W143" s="61"/>
      <c r="X143" s="60"/>
      <c r="Y143" s="60"/>
      <c r="Z143" s="60"/>
      <c r="AA143" s="60"/>
      <c r="AB143" s="60"/>
      <c r="AC143" s="60"/>
      <c r="AD143" s="66"/>
      <c r="AE143" s="60"/>
      <c r="AF143" s="61" t="str">
        <f aca="false">IF(AND(ISNUMBER(X143),ISNUMBER(Y143)),Y143-X143,"")</f>
        <v/>
      </c>
      <c r="AG143" s="62" t="str">
        <f aca="false">IF(ISNUMBER(AD143),AD143-(IF(AND(INDEX(TZ_DSTS,MATCH(P143,TZ_STN,0))&lt;&gt;"",(AD143-INDEX(TZ_STD,MATCH(P143,TZ_STN,0))/24)&gt;=INDEX(TZ_DSTS,MATCH(P143,TZ_STN,0)),(AD143-INDEX(TZ_STD,MATCH(P143,TZ_STN,0))/24)&lt;INDEX(TZ_DSTE,MATCH(P143,TZ_STN,0))),INDEX(TZ_DST,MATCH(P143,TZ_STN,0)),INDEX(TZ_STD,MATCH(P143,TZ_STN,0))))/24,"")</f>
        <v/>
      </c>
      <c r="AH143" s="65" t="str">
        <f aca="false">IFERROR(IF(N143="N/A – rule",IF(OR(TRIM(U143)="",TRIM(U143)="N/A",TRIM(U143)="Not started"),"N/A – RULE","INVALID – this check does not apply to this aircraft: clear the status (or correct the fleet on Flights)"),IF(TRIM(U143)="N/A",IF(AT143=0,"INVALID – N/A not permitted for this check",IF(AND(TRIM(AB143)&lt;&gt;"",TRIM(AB143)&lt;&gt;"Closed"),"INVALID – corrective action still open",IF(AND(NOT(OR(LEN(AZ143)&lt;15,ISNUMBER(MATCH(AZ143,L_Placeholder,0)))),BK143=0,CG143&gt;=8,NOT(OR(LEN(AU143)&lt;2,ISNUMBER(MATCH(AU143,L_Placeholder,0)))),BR143&gt;=3,NOT(OR(LEN(AX143)&lt;2,ISNUMBER(MATCH(AX143,L_Placeholder,0)))),BS143&gt;=3,TRIM(AE143)&lt;&gt;TRIM(T143),AX143&lt;&gt;AU143,CE143=0),"N/A – JUSTIFIED","INVALID – N/A needs a real, settled reason (not 'not applicable' / 'as above' / TBC), a named PIC and a different named verifier"))),IF(OR(TRIM(U143)="Pass",TRIM(U143)="Pass after CA"),IF(NOT(ISNUMBER(AD143)),"INVALID – completion time missing",IF(OR(OR(LEN(AU143)&lt;2,ISNUMBER(MATCH(AU143,L_Placeholder,0))),BR143&lt;3),"INVALID – PIC missing or not a named person (a role such as QA / CSM is not a name)",IF(OR(LEN(AV143)&lt;2,ISNUMBER(MATCH(AV143,L_Placeholder,0))),"INVALID – result / assessment missing",IF(OR(OR(LEN(AW143)&lt;3,ISNUMBER(MATCH(AW143,L_Placeholder,0))),SUMPRODUCT(--ISNUMBER(SEARCH(" "&amp;L_EvidencePhrase&amp;" ",BD143)))&gt;0,BI143=1),"INVALID – evidence missing, placeholder or not yet on file",IF(ISNA(MATCH(TRIM(S143),L_EvidenceType,0)),"INVALID – choose the evidence type from the list (column S)",IF(BL143=0,"INVALID – evidence ID must be the record's own ID only (e.g. SF-2210, IMG_2231, 1045521); a link / file name needs type 'Link / file path'",IF(OR(OR(LEN(AX143)&lt;2,ISNUMBER(MATCH(AX143,L_Placeholder,0))),BS143&lt;3),"INVALID – verifier missing or not a named person (a role such as QA / CSM is not a name)",IF(OR(AX143=AU143,CE143=1,AND(LEN(AU143)&gt;=4,ISNUMBER(SEARCH(AU143,AX143))),AND(LEN(AX143)&gt;=4,ISNUMBER(SEARCH(AX143,AU143)))),"INVALID – verifier must be a different, named person (not the PIC or a role)",IF(BH143=1,"INVALID – result not yet available (awaiting / TBC)",IF(BG143=1,"INVALID – result describes a problem: record Fail, then Pass after CA (or reword if it is not a problem)",IF(BV143=1,"INVALID – wording says not on board: an on-board confirmation needs the item loaded",IF(AND(AQ143=1,OR(OR(LEN(AY143)&lt;3,ISNUMBER(MATCH(AY143,L_Placeholder,0))),BJ143=1,BQ143=0)),"INVALID – batch ID missing, placeholder or not an ID (e.g. PASB-261008-BC-017)",IF(AND(AR143=1,OR(NOT(ISNUMBER(X143)),NOT(ISNUMBER(Y143)))),"INVALID – expected/actual qty missing",IF(AND(AR143=1,OR(X143&lt;=0,Y143&lt;0)),"INVALID – expected qty must be above 0 and actual not negative",IF(BB143&lt;&gt;"",BB143,IF(AND(AS143=1,Documents!$J$9&lt;&gt;"ON FILE"),"INVALID – GLD not on file (Documents sheet)",IF(AND(AS143=2,Documents!$O$9&lt;&gt;"ON FILE"),"INVALID – menu checklist not on file (Documents sheet)",IF(AND(AS143=3,NOT(ISNUMBER(Flights!$AX$9))),"INVALID – enter carrying flight KUL departure (Flights AX)",IF(AND(AS143=3,OR(Flights!$AZ$9&gt;Flights!$AA$9,Flights!$AX$9&lt;Flights!$AA$9-3)),"INVALID – carrying flight (Flights AX) cannot arrive before this leg's STD, or is over 3 days early",IF(AG143&gt;AsOfUTC,"INVALID – completion time is in the future",IF(AND(ISNUMBER(BY143),AG143&lt;BY143),IF(H143="Physical uplift","INVALID – before uplift window (cannot confirm loading)","INVALID – before valid window"),IF(AG143&gt;Flights!$AA$9,"INVALID – completed after departure (cannot establish readiness)",IF(AND(H143="Preparation",AG143&gt;=IF(ISNUMBER(Flights!$BA$9),MIN(Flights!$BA$9,Flights!$AA$9),Flights!$AA$9)),"INVALID – completed after loading / departure (cannot establish readiness)",IF(AND(H143="Physical uplift",AG143&gt;Q143),"INVALID – recorded after the loading flight departed",IF(AG143&gt;Q143,"COMPLETE – LATE","COMPLETE"))))))))))))))))))))))))),IF(TRIM(U143)="Fail","FAIL – DISCREPANCY",IF(AND(TRIM(U143)&lt;&gt;"",TRIM(U143)&lt;&gt;"Not started",TRIM(U143)&lt;&gt;"In progress"),"INVALID – unrecognised status (use the list)",IF(AsOfUTC&gt;Q143,"OVERDUE",IF(N143="Clarification required","OPEN – CLARIFICATION","OPEN"))))))),"INVALID – error value in an input cell")</f>
        <v>OPEN</v>
      </c>
      <c r="AI143" s="61" t="n">
        <f aca="false">IF(OR(AH143="N/A – RULE",AH143="N/A – JUSTIFIED"),0,1)</f>
        <v>1</v>
      </c>
      <c r="AJ143" s="61" t="n">
        <f aca="false">IF(LEFT(AH143,8)="COMPLETE",1,0)</f>
        <v>0</v>
      </c>
      <c r="AK143" s="61" t="n">
        <f aca="false">IF(AND(AI143=1,AJ143=0,AsOfUTC&gt;Q143),1,0)</f>
        <v>0</v>
      </c>
      <c r="AL143" s="61" t="n">
        <f aca="false">IFERROR(IF(AND(AI143=1,OR(TRIM(U143)="Fail",AND(TRIM(AB143)&lt;&gt;"",TRIM(AB143)&lt;&gt;"Closed"),AND(ISNUMBER(AF143),AF143&lt;&gt;0,TRIM(U143)&lt;&gt;"Pass after CA"))),1,0),1)</f>
        <v>0</v>
      </c>
      <c r="AM143" s="61" t="n">
        <f aca="false">IF(LEFT(AH143,7)="INVALID",1,0)</f>
        <v>0</v>
      </c>
      <c r="AN143" s="61" t="n">
        <f aca="false">IF(AND(N143="Clarification required",AI143=1,AJ143=0),1,0)</f>
        <v>0</v>
      </c>
      <c r="AO143" s="61" t="str">
        <f aca="false">IF(AK143=1,SUM(AK$5:AK143),"")</f>
        <v/>
      </c>
      <c r="AP143" s="61" t="str">
        <f aca="false">IF(AL143=1,SUM(AL$5:AL143),"")</f>
        <v/>
      </c>
      <c r="AQ143" s="61" t="n">
        <v>0</v>
      </c>
      <c r="AR143" s="61" t="n">
        <v>0</v>
      </c>
      <c r="AS143" s="61" t="n">
        <v>1</v>
      </c>
      <c r="AT143" s="61" t="n">
        <v>0</v>
      </c>
      <c r="AU143" s="61" t="str">
        <f aca="false">SUBSTITUTE(SUBSTITUTE(SUBSTITUTE(SUBSTITUTE(SUBSTITUTE(SUBSTITUTE(SUBSTITUTE(SUBSTITUTE(SUBSTITUTE(SUBSTITUTE(SUBSTITUTE(SUBSTITUTE(SUBSTITUTE(SUBSTITUTE(SUBSTITUTE(SUBSTITUTE(LOWER(T143&amp;""),CHAR(10),""),CHAR(13),""),CHAR(9),""),CHAR(160),"")," ",""),".",""),"-",""),"/",""),"?",""),"_",""),",",""),"[",""),"]",""),"(",""),")",""),"*","")</f>
        <v/>
      </c>
      <c r="AV143" s="61" t="str">
        <f aca="false">SUBSTITUTE(SUBSTITUTE(SUBSTITUTE(SUBSTITUTE(SUBSTITUTE(SUBSTITUTE(SUBSTITUTE(SUBSTITUTE(SUBSTITUTE(SUBSTITUTE(SUBSTITUTE(SUBSTITUTE(SUBSTITUTE(SUBSTITUTE(SUBSTITUTE(SUBSTITUTE(LOWER(V143&amp;""),CHAR(10),""),CHAR(13),""),CHAR(9),""),CHAR(160),"")," ",""),".",""),"-",""),"/",""),"?",""),"_",""),",",""),"[",""),"]",""),"(",""),")",""),"*","")</f>
        <v/>
      </c>
      <c r="AW143" s="61" t="str">
        <f aca="false">SUBSTITUTE(SUBSTITUTE(SUBSTITUTE(SUBSTITUTE(SUBSTITUTE(SUBSTITUTE(SUBSTITUTE(SUBSTITUTE(SUBSTITUTE(SUBSTITUTE(SUBSTITUTE(SUBSTITUTE(SUBSTITUTE(SUBSTITUTE(SUBSTITUTE(SUBSTITUTE(LOWER(Z143&amp;""),CHAR(10),""),CHAR(13),""),CHAR(9),""),CHAR(160),"")," ",""),".",""),"-",""),"/",""),"?",""),"_",""),",",""),"[",""),"]",""),"(",""),")",""),"*","")</f>
        <v/>
      </c>
      <c r="AX143" s="61" t="str">
        <f aca="false">SUBSTITUTE(SUBSTITUTE(SUBSTITUTE(SUBSTITUTE(SUBSTITUTE(SUBSTITUTE(SUBSTITUTE(SUBSTITUTE(SUBSTITUTE(SUBSTITUTE(SUBSTITUTE(SUBSTITUTE(SUBSTITUTE(SUBSTITUTE(SUBSTITUTE(SUBSTITUTE(LOWER(AE143&amp;""),CHAR(10),""),CHAR(13),""),CHAR(9),""),CHAR(160),"")," ",""),".",""),"-",""),"/",""),"?",""),"_",""),",",""),"[",""),"]",""),"(",""),")",""),"*","")</f>
        <v/>
      </c>
      <c r="AY143" s="61" t="str">
        <f aca="false">SUBSTITUTE(SUBSTITUTE(SUBSTITUTE(SUBSTITUTE(SUBSTITUTE(SUBSTITUTE(SUBSTITUTE(SUBSTITUTE(SUBSTITUTE(SUBSTITUTE(SUBSTITUTE(SUBSTITUTE(SUBSTITUTE(SUBSTITUTE(SUBSTITUTE(SUBSTITUTE(LOWER(W143&amp;""),CHAR(10),""),CHAR(13),""),CHAR(9),""),CHAR(160),"")," ",""),".",""),"-",""),"/",""),"?",""),"_",""),",",""),"[",""),"]",""),"(",""),")",""),"*","")</f>
        <v/>
      </c>
      <c r="AZ143" s="61" t="str">
        <f aca="false">SUBSTITUTE(SUBSTITUTE(SUBSTITUTE(SUBSTITUTE(SUBSTITUTE(SUBSTITUTE(SUBSTITUTE(SUBSTITUTE(SUBSTITUTE(SUBSTITUTE(SUBSTITUTE(SUBSTITUTE(SUBSTITUTE(SUBSTITUTE(SUBSTITUTE(SUBSTITUTE(LOWER(AC143&amp;""),CHAR(10),""),CHAR(13),""),CHAR(9),""),CHAR(160),"")," ",""),".",""),"-",""),"/",""),"?",""),"_",""),",",""),"[",""),"]",""),"(",""),")",""),"*","")</f>
        <v/>
      </c>
      <c r="BA143" s="61" t="str">
        <f aca="false">SUBSTITUTE(SUBSTITUTE(SUBSTITUTE(SUBSTITUTE(SUBSTITUTE(SUBSTITUTE(SUBSTITUTE(SUBSTITUTE(SUBSTITUTE(SUBSTITUTE(SUBSTITUTE(SUBSTITUTE(SUBSTITUTE(SUBSTITUTE(SUBSTITUTE(SUBSTITUTE(LOWER(AA143&amp;""),CHAR(10),""),CHAR(13),""),CHAR(9),""),CHAR(160),"")," ",""),".",""),"-",""),"/",""),"?",""),"_",""),",",""),"[",""),"]",""),"(",""),")",""),"*","")</f>
        <v/>
      </c>
      <c r="BB143" s="61" t="str">
        <f aca="false">IF(AND(TRIM(U143)="Pass",ISNUMBER(AF143)),IF(AF143&lt;&gt;0,"INVALID – qty variance: use Fail or Pass after CA",""),"")&amp;IF(AND(TRIM(U143)="Pass after CA",ISNUMBER(AF143)),IF(AF143&lt;&gt;0,"INVALID – after the corrective action the actual qty must equal expected (update Actual)",""),"")&amp;IF(AND(TRIM(U143)="Pass",TRIM(AB143)&lt;&gt;"",TRIM(AB143)&lt;&gt;"Closed"),"INVALID – corrective action not closed: use Fail, then Pass after CA","")&amp;IF(AND(LEN(BA143)&gt;=2,ISNA(MATCH(LEFT(BA143,255),L_Placeholder,0)),TRIM(AB143)=""),"INVALID – CA status missing for the recorded corrective action","")&amp;IF(AND(TRIM(U143)="Pass after CA",OR(OR(LEN(BA143)&lt;5,ISNUMBER(MATCH(BA143,L_Placeholder,0))),TRIM(AB143)&lt;&gt;"Closed")),"INVALID – corrective action not recorded/closed","")</f>
        <v/>
      </c>
      <c r="BC143" s="61" t="str">
        <f aca="false">" "&amp;TRIM(SUBSTITUTE(SUBSTITUTE(SUBSTITUTE(SUBSTITUTE(SUBSTITUTE(SUBSTITUTE(SUBSTITUTE(SUBSTITUTE(SUBSTITUTE(SUBSTITUTE(SUBSTITUTE(SUBSTITUTE(SUBSTITUTE(SUBSTITUTE(SUBSTITUTE(SUBSTITUTE(SUBSTITUTE(SUBSTITUTE(SUBSTITUTE(SUBSTITUTE(SUBSTITUTE(SUBSTITUTE(SUBSTITUTE(SUBSTITUTE(LOWER(V143&amp;""),CHAR(10)," "),CHAR(13)," "),CHAR(9)," "),CHAR(160)," "),"."," "),","," "),"-"," "),"/"," "),"("," "),")"," "),":"," "),";"," "),"_"," "),"–"," "),"?"," "),"!"," "),"*"," "),"["," "),"]"," "),"'"," "),"#"," "),"+"," "),"&amp;"," "),"\"," "))&amp;" "</f>
        <v>  </v>
      </c>
      <c r="BD143" s="61" t="str">
        <f aca="false">" "&amp;TRIM(SUBSTITUTE(SUBSTITUTE(SUBSTITUTE(SUBSTITUTE(SUBSTITUTE(SUBSTITUTE(SUBSTITUTE(SUBSTITUTE(SUBSTITUTE(SUBSTITUTE(SUBSTITUTE(SUBSTITUTE(SUBSTITUTE(SUBSTITUTE(SUBSTITUTE(SUBSTITUTE(SUBSTITUTE(SUBSTITUTE(SUBSTITUTE(SUBSTITUTE(SUBSTITUTE(SUBSTITUTE(SUBSTITUTE(SUBSTITUTE(LOWER(Z143&amp;""),CHAR(10)," "),CHAR(13)," "),CHAR(9)," "),CHAR(160)," "),"."," "),","," "),"-"," "),"/"," "),"("," "),")"," "),":"," "),";"," "),"_"," "),"–"," "),"?"," "),"!"," "),"*"," "),"["," "),"]"," "),"'"," "),"#"," "),"+"," "),"&amp;"," "),"\"," "))&amp;" "</f>
        <v>  </v>
      </c>
      <c r="BE143" s="61" t="str">
        <f aca="false">" "&amp;TRIM(SUBSTITUTE(SUBSTITUTE(SUBSTITUTE(SUBSTITUTE(SUBSTITUTE(SUBSTITUTE(SUBSTITUTE(SUBSTITUTE(SUBSTITUTE(SUBSTITUTE(SUBSTITUTE(SUBSTITUTE(SUBSTITUTE(SUBSTITUTE(SUBSTITUTE(SUBSTITUTE(SUBSTITUTE(SUBSTITUTE(SUBSTITUTE(SUBSTITUTE(SUBSTITUTE(SUBSTITUTE(SUBSTITUTE(SUBSTITUTE(LOWER(W143&amp;""),CHAR(10)," "),CHAR(13)," "),CHAR(9)," "),CHAR(160)," "),"."," "),","," "),"-"," "),"/"," "),"("," "),")"," "),":"," "),";"," "),"_"," "),"–"," "),"?"," "),"!"," "),"*"," "),"["," "),"]"," "),"'"," "),"#"," "),"+"," "),"&amp;"," "),"\"," "))&amp;" "</f>
        <v>  </v>
      </c>
      <c r="BF143" s="61" t="str">
        <f aca="false">" "&amp;TRIM(SUBSTITUTE(SUBSTITUTE(SUBSTITUTE(SUBSTITUTE(SUBSTITUTE(SUBSTITUTE(SUBSTITUTE(SUBSTITUTE(SUBSTITUTE(SUBSTITUTE(SUBSTITUTE(SUBSTITUTE(SUBSTITUTE(SUBSTITUTE(SUBSTITUTE(SUBSTITUTE(SUBSTITUTE(SUBSTITUTE(SUBSTITUTE(SUBSTITUTE(SUBSTITUTE(SUBSTITUTE(SUBSTITUTE(SUBSTITUTE(LOWER(AC143&amp;""),CHAR(10)," "),CHAR(13)," "),CHAR(9)," "),CHAR(160)," "),"."," "),","," "),"-"," "),"/"," "),"("," "),")"," "),":"," "),";"," "),"_"," "),"–"," "),"?"," "),"!"," "),"*"," "),"["," "),"]"," "),"'"," "),"#"," "),"+"," "),"&amp;"," "),"\"," "))&amp;" "</f>
        <v>  </v>
      </c>
      <c r="BG143" s="61" t="n">
        <f aca="false">IFERROR(IF(AND(TRIM(U143)="Pass",SUMPRODUCT((LEN(BC143)-LEN(SUBSTITUTE(BC143," "&amp;L_ResultBad&amp;" "," ")))/(LEN(L_ResultBad)+1))&gt;SUMPRODUCT((LEN(BC143)-LEN(SUBSTITUTE(BC143," "&amp;L_NegPhrase&amp;" "," ")))/(LEN(L_NegPhrase)+1))),1,0),0)</f>
        <v>0</v>
      </c>
      <c r="BH143" s="61" t="n">
        <f aca="false">IFERROR(IF(SUMPRODUCT((LEN(BC143)-LEN(SUBSTITUTE(BC143," "&amp;L_Pending&amp;" "," ")))/(LEN(L_Pending)+1))&gt;SUMPRODUCT((LEN(BC143)-LEN(SUBSTITUTE(BC143," "&amp;L_PendNeg&amp;" "," ")))/(LEN(L_PendNeg)+1))+SUMPRODUCT((LEN(BC143)-LEN(SUBSTITUTE(BC143," "&amp;L_PendPrep&amp;" "," ")))/(LEN(L_PendPrep)+1)),1,0),1)</f>
        <v>0</v>
      </c>
      <c r="BI143" s="61" t="n">
        <f aca="false">IFERROR(IF(SUMPRODUCT((LEN(BD143)-LEN(SUBSTITUTE(BD143," "&amp;L_PendStrict&amp;" "," ")))/(LEN(L_PendStrict)+1))&gt;SUMPRODUCT((LEN(BD143)-LEN(SUBSTITUTE(BD143," "&amp;L_PendNeg&amp;" "," ")))/(LEN(L_PendNeg)+1)),1,0),1)</f>
        <v>0</v>
      </c>
      <c r="BJ143" s="61" t="n">
        <f aca="false">IFERROR(IF(SUMPRODUCT((LEN(BE143)-LEN(SUBSTITUTE(BE143," "&amp;L_Pending&amp;" "," ")))/(LEN(L_Pending)+1))&gt;SUMPRODUCT((LEN(BE143)-LEN(SUBSTITUTE(BE143," "&amp;L_PendNeg&amp;" "," ")))/(LEN(L_PendNeg)+1))+SUMPRODUCT((LEN(BE143)-LEN(SUBSTITUTE(BE143," "&amp;L_PendPrep&amp;" "," ")))/(LEN(L_PendPrep)+1)),1,0),1)</f>
        <v>0</v>
      </c>
      <c r="BK143" s="61" t="n">
        <f aca="false">IFERROR(IF(SUMPRODUCT((LEN(BF143)-LEN(SUBSTITUTE(BF143," "&amp;L_PendStrict&amp;" "," ")))/(LEN(L_PendStrict)+1))&gt;SUMPRODUCT((LEN(BF143)-LEN(SUBSTITUTE(BF143," "&amp;L_PendNeg&amp;" "," ")))/(LEN(L_PendNeg)+1)),1,0),1)</f>
        <v>0</v>
      </c>
      <c r="BL143" s="61" t="n">
        <f aca="false">IF(ISNA(MATCH(TRIM(S143),L_EvidenceType,0)),0,BZ143)</f>
        <v>0</v>
      </c>
      <c r="BM143" s="61" t="str">
        <f aca="false">SUBSTITUTE(SUBSTITUTE(SUBSTITUTE(SUBSTITUTE(SUBSTITUTE(SUBSTITUTE(SUBSTITUTE(SUBSTITUTE(SUBSTITUTE(LOWER(Z143&amp;""),"1","0"),"2","0"),"3","0"),"4","0"),"5","0"),"6","0"),"7","0"),"8","0"),"9","0")</f>
        <v/>
      </c>
      <c r="BN143" s="61" t="str">
        <f aca="false">SUBSTITUTE(SUBSTITUTE(SUBSTITUTE(SUBSTITUTE(SUBSTITUTE(SUBSTITUTE(SUBSTITUTE(SUBSTITUTE(SUBSTITUTE(SUBSTITUTE(SUBSTITUTE(SUBSTITUTE(SUBSTITUTE(SUBSTITUTE(SUBSTITUTE(SUBSTITUTE(SUBSTITUTE(SUBSTITUTE(SUBSTITUTE(SUBSTITUTE(SUBSTITUTE(SUBSTITUTE(SUBSTITUTE(SUBSTITUTE(SUBSTITUTE(BM143,"b","a"),"c","a"),"d","a"),"e","a"),"f","a"),"g","a"),"h","a"),"i","a"),"j","a"),"k","a"),"l","a"),"m","a"),"n","a"),"o","a"),"p","a"),"q","a"),"r","a"),"s","a"),"t","a"),"u","a"),"v","a"),"w","a"),"x","a"),"y","a"),"z","a")</f>
        <v/>
      </c>
      <c r="BO143" s="61" t="str">
        <f aca="false">SUBSTITUTE(SUBSTITUTE(SUBSTITUTE(SUBSTITUTE(SUBSTITUTE(SUBSTITUTE(SUBSTITUTE(SUBSTITUTE(SUBSTITUTE(LOWER(W143&amp;""),"1","0"),"2","0"),"3","0"),"4","0"),"5","0"),"6","0"),"7","0"),"8","0"),"9","0")</f>
        <v/>
      </c>
      <c r="BP143" s="61" t="str">
        <f aca="false">SUBSTITUTE(SUBSTITUTE(SUBSTITUTE(SUBSTITUTE(SUBSTITUTE(SUBSTITUTE(SUBSTITUTE(SUBSTITUTE(SUBSTITUTE(SUBSTITUTE(SUBSTITUTE(SUBSTITUTE(SUBSTITUTE(SUBSTITUTE(SUBSTITUTE(SUBSTITUTE(SUBSTITUTE(SUBSTITUTE(SUBSTITUTE(SUBSTITUTE(SUBSTITUTE(SUBSTITUTE(SUBSTITUTE(SUBSTITUTE(SUBSTITUTE(BO143,"b","a"),"c","a"),"d","a"),"e","a"),"f","a"),"g","a"),"h","a"),"i","a"),"j","a"),"k","a"),"l","a"),"m","a"),"n","a"),"o","a"),"p","a"),"q","a"),"r","a"),"s","a"),"t","a"),"u","a"),"v","a"),"w","a"),"x","a"),"y","a"),"z","a")</f>
        <v/>
      </c>
      <c r="BQ143" s="61" t="n">
        <f aca="false">IFERROR(IF(AND(ISERROR(SEARCH(" mh"," "&amp;LOWER(W143))),ISNA(MATCH(LEFT(TRIM(BP143),255),{"0000a","000a","00a","0000aa","000aa","00aa","0aa","0000aaa","000aaa","00a00","0a00","0000-0000","00:00","a00","a0","00.00.0000","00/00/0000","00-00-0000","0000-00-00","0000/00/00","0000.00.00","00.00.00","00/00/00","00-00-00","0.00.0000","0/00/0000","0-00-0000"},0)),ISNA(MATCH(LEFT(TRIM(CA143),255),{"0000a","000a","00a","0000aa","000aa","00aa","0aa","0000aaa","000aaa","00a00","0a00","0000-0000","00:00","a00","a0","00.00.0000","00/00/0000","00-00-0000","0000-00-00","0000/00/00","0000.00.00","00.00.00","00/00/00","00-00-00","0.00.0000","0/00/0000","0-00-0000"},0)),LEN(CB143)&gt;=3,NOT(OR(SUBSTITUTE(CB143,"0","")="",AND(LEN(CB143)&gt;=4,CB143=REPT(LEFT(CB143),LEN(CB143))),ISNUMBER(MATCH(CB143,{"123","1234","12345","123456","1234567","12345678","0123","01234","012345","98765","987654","54321"},0)),AND(LEN(CB143)=8,LEFT(CB143,3)="202"))),OR(AND((LEN(CA143)-LEN(SUBSTITUTE(CA143,"a","")))&gt;=1,SUMPRODUCT(--ISNUMBER(SEARCH({"a0","a-0","a_0","a/0","a.0","a#0","0a","0-a","0_a","0/a"},BP143)))&gt;0),ISNUMBER(SEARCH("000000",BP143)))),1,0),0)</f>
        <v>0</v>
      </c>
      <c r="BR143" s="61" t="n">
        <f aca="false">IFERROR(LEN(SUBSTITUTE(CC143," ",""))-SUMPRODUCT((LEN(CC143)-LEN(SUBSTITUTE(CC143," "&amp;L_Role&amp;" "," ")))/(LEN(L_Role)+1)*LEN(L_Role)),0)</f>
        <v>0</v>
      </c>
      <c r="BS143" s="61" t="n">
        <f aca="false">IFERROR(LEN(SUBSTITUTE(CD143," ",""))-SUMPRODUCT((LEN(CD143)-LEN(SUBSTITUTE(CD143," "&amp;L_Role&amp;" "," ")))/(LEN(L_Role)+1)*LEN(L_Role)),0)</f>
        <v>0</v>
      </c>
      <c r="BT1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143,"revision",""),"version",""),"jan",""),"feb",""),"mar",""),"apr",""),"may",""),"jun",""),"jul",""),"aug",""),"sep",""),"oct",""),"nov",""),"dec",""),"utc",""),"gmt",""),"myt",""),"bst",""),"rev",""),"ver",""),"b","a"),"c","a"),"d","a"),"e","a"),"f","a"),"g","a"),"h","a"),"i","a"),"j","a"),"k","a"),"l","a"),"m","a"),"n","a"),"o","a"),"p","a"),"q","a"),"r","a"),"s","a"),"t","a"),"u","a"),"v","a"),"w","a"),"x","a"),"y","a"),"z","a")</f>
        <v/>
      </c>
      <c r="BU143" s="61" t="str">
        <f aca="false">SUBSTITUTE(SUBSTITUTE(SUBSTITUTE(SUBSTITUTE(SUBSTITUTE(SUBSTITUTE(SUBSTITUTE(SUBSTITUTE(SUBSTITUTE(SUBSTITUTE(LEFT(BM143,FIND("0",BM143&amp;"0")-1),"-",""),"_",""),"/",""),".",""),"#",""),"\\",""),":","")," ",""),"(",""),")","")</f>
        <v/>
      </c>
      <c r="BV143" s="61" t="n">
        <f aca="false">0</f>
        <v>0</v>
      </c>
      <c r="BW1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143&amp;""),"a",""),"b",""),"c",""),"d",""),"e",""),"f",""),"g",""),"h",""),"i",""),"j",""),"k",""),"l",""),"m",""),"n",""),"o",""),"p",""),"q",""),"r",""),"s",""),"t",""),"u",""),"v",""),"w",""),"x",""),"y",""),"z",""),"-",""),"_",""),"/",""),".",""),"#",""),"\\",""),":","")," ",""),"(",""),")","")</f>
        <v/>
      </c>
      <c r="BX143" s="61" t="str">
        <f aca="false">SUBSTITUTE(SUBSTITUTE(SUBSTITUTE(SUBSTITUTE(SUBSTITUTE(SUBSTITUTE(SUBSTITUTE(SUBSTITUTE(SUBSTITUTE(SUBSTITUTE(SUBSTITUTE(BM143,"0",""),"-",""),"_",""),"/",""),".",""),"#",""),"\\",""),":","")," ",""),"(",""),")","")</f>
        <v/>
      </c>
      <c r="BY143" s="62" t="n">
        <f aca="false">Q143-T7EarlyD*24/24</f>
        <v>46289.0451388889</v>
      </c>
      <c r="BZ143" s="61" t="n">
        <f aca="false">IFERROR(IF(IF(TRIM(S143)="Link / file path",AND(LEN(TRIM(Z143))&gt;=5,SUMPRODUCT(--ISNUMBER(SEARCH({"http","www.","\\",":\",".pdf",".jpg",".jpeg",".png",".heic",".xls",".doc",".msg",".eml",".ppt",".txt",".zip"},Z143)))&gt;0),AND(ISERROR(FIND(" ",TRIM(Z143))),NOT(OR(SUMPRODUCT(--ISNUMBER(FIND({",",";","&amp;","+"},Z143)))&gt;0,SUMPRODUCT(--ISNUMBER(SEARCH({"0/aa","0\\aa"},BN143)))&gt;0)),NOT(SUMPRODUCT(--ISNUMBER(SEARCH({"http","www.","\\",":\",".pdf",".jpg",".jpeg",".png",".heic",".xls",".doc",".msg",".eml",".ppt",".txt",".zip"},Z143)))&gt;0),NOT(LOWER(TRIM(Z143))=LOWER(Flights!$F$9)),ISNA(MATCH(BU143,{"mh","rev","revision","ver","version","v","r","a","b","seat","tray","row","gate","bay","stand","page","pg","item","line","no","cart","galley","flight","flt","table","box","bag","oven","etd","eta","std","sta","atd","ata","qty","pax","x","time","tel","ph","mob","day","wk","week","utc","gmt","myt","lt"},0)),NOT(OR(ISNUMBER(MATCH(LEFT(BN143,255),{"0000a","000a","00a","0000aa","000aa","00aa","0aa","0000aaa","000aaa","00a00","0a00","0000-0000","00:00","a00","a0","00.00.0000","00/00/0000","00-00-0000","0000-00-00","0000/00/00","0000.00.00","00.00.00","00/00/00","00-00-00","0.00.0000","0/00/0000","0-00-0000"},0)),ISNUMBER(MATCH(LEFT(BT143,255),{"0000a","000a","00a","0000aa","000aa","00aa","0aa","0000aaa","000aaa","00a00","0a00","0000-0000","00:00","a00","a0","00.00.0000","00/00/0000","00-00-0000","0000-00-00","0000/00/00","0000.00.00","00.00.00","00/00/00","00-00-00","0.00.0000","0/00/0000","0-00-0000"},0)))),NOT(OR(AND(BW143&lt;&gt;"",SUBSTITUTE(BW143,"0","")=""),AND(LEN(BW143)&gt;=4,BW143=REPT(LEFT(BW143),LEN(BW143))),ISNUMBER(MATCH(BW143,{"123","1234","12345","123456","1234567","12345678","0123","01234","012345","98765","987654","54321"},0)),ISNUMBER(MATCH(BX143,{"x","xx","xxx","xxxx","xxxxx","abc","abcd","nil","na","nan","test","tbc","tba","tbd","dummy","sample","example","eg","zz","zzz","none","null","xyz","qwe","asd","id","ref"},0)),AND(LEN(BW143)=8,BX143="",OR(LEFT(BW143,3)="202",ISNUMBER(MATCH(RIGHT(BW143,4),{"2025","2026","2027"},0)))))),OR(AND((LEN(BT143)-LEN(SUBSTITUTE(BT143,"a","")))&gt;=1,(LEN(BN143)-LEN(SUBSTITUTE(BN143,"0","")))&gt;=2,SUMPRODUCT(--ISNUMBER(SEARCH({"a0","a-0","a_0","a/0","a.0","a#0","0a","0-a","0_a","0/a"},BN143)))&gt;0),AND((LEN(BN143)-LEN(SUBSTITUTE(BN143,"a","")))=0,(LEN(BN143)-LEN(SUBSTITUTE(BN143,"0","")))&gt;=5)))),1,0),0)</f>
        <v>0</v>
      </c>
      <c r="CA1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143,"revision",""),"version",""),"jan",""),"feb",""),"mar",""),"apr",""),"may",""),"jun",""),"jul",""),"aug",""),"sep",""),"oct",""),"nov",""),"dec",""),"utc",""),"gmt",""),"myt",""),"bst",""),"rev",""),"ver",""),"b","a"),"c","a"),"d","a"),"e","a"),"f","a"),"g","a"),"h","a"),"i","a"),"j","a"),"k","a"),"l","a"),"m","a"),"n","a"),"o","a"),"p","a"),"q","a"),"r","a"),"s","a"),"t","a"),"u","a"),"v","a"),"w","a"),"x","a"),"y","a"),"z","a")</f>
        <v/>
      </c>
      <c r="CB1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143&amp;""),"a",""),"b",""),"c",""),"d",""),"e",""),"f",""),"g",""),"h",""),"i",""),"j",""),"k",""),"l",""),"m",""),"n",""),"o",""),"p",""),"q",""),"r",""),"s",""),"t",""),"u",""),"v",""),"w",""),"x",""),"y",""),"z",""),"-",""),"_",""),"/",""),".",""),"#",""),"\\",""),":","")," ",""),"(",""),")","")</f>
        <v/>
      </c>
      <c r="CC143" s="0" t="str">
        <f aca="false">" "&amp;TRIM(SUBSTITUTE(SUBSTITUTE(SUBSTITUTE(SUBSTITUTE(SUBSTITUTE(SUBSTITUTE(SUBSTITUTE(SUBSTITUTE(SUBSTITUTE(SUBSTITUTE(SUBSTITUTE(SUBSTITUTE(SUBSTITUTE(SUBSTITUTE(SUBSTITUTE(SUBSTITUTE(SUBSTITUTE(SUBSTITUTE(SUBSTITUTE(SUBSTITUTE(SUBSTITUTE(SUBSTITUTE(SUBSTITUTE(SUBSTITUTE(LOWER(T143&amp;""),CHAR(10)," "),CHAR(13)," "),CHAR(9)," "),CHAR(160)," "),"."," "),","," "),"-"," "),"/"," "),"("," "),")"," "),":"," "),";"," "),"_"," "),"–"," "),"?"," "),"!"," "),"*"," "),"["," "),"]"," "),"'"," "),"#"," "),"+"," "),"&amp;"," "),"\"," "))&amp;" "</f>
        <v>  </v>
      </c>
      <c r="CD143" s="0" t="str">
        <f aca="false">" "&amp;TRIM(SUBSTITUTE(SUBSTITUTE(SUBSTITUTE(SUBSTITUTE(SUBSTITUTE(SUBSTITUTE(SUBSTITUTE(SUBSTITUTE(SUBSTITUTE(SUBSTITUTE(SUBSTITUTE(SUBSTITUTE(SUBSTITUTE(SUBSTITUTE(SUBSTITUTE(SUBSTITUTE(SUBSTITUTE(SUBSTITUTE(SUBSTITUTE(SUBSTITUTE(SUBSTITUTE(SUBSTITUTE(SUBSTITUTE(SUBSTITUTE(LOWER(AE143&amp;""),CHAR(10)," "),CHAR(13)," "),CHAR(9)," "),CHAR(160)," "),"."," "),","," "),"-"," "),"/"," "),"("," "),")"," "),":"," "),";"," "),"_"," "),"–"," "),"?"," "),"!"," "),"*"," "),"["," "),"]"," "),"'"," "),"#"," "),"+"," "),"&amp;"," "),"\"," "))&amp;" "</f>
        <v>  </v>
      </c>
      <c r="CE143" s="68" t="n">
        <f aca="false">IFERROR(IF(AND(LEN(AU143)&gt;0,LEN(AU143)=LEN(AX143),OR(TRIM(MID(SUBSTITUTE(TRIM(CC143)," ",REPT(" ",60)),1,60))="",ISNUMBER(SEARCH(" "&amp;TRIM(MID(SUBSTITUTE(TRIM(CC143)," ",REPT(" ",60)),1,60))&amp;" ",CD143))),OR(TRIM(MID(SUBSTITUTE(TRIM(CC143)," ",REPT(" ",60)),61,60))="",ISNUMBER(SEARCH(" "&amp;TRIM(MID(SUBSTITUTE(TRIM(CC143)," ",REPT(" ",60)),61,60))&amp;" ",CD143))),OR(TRIM(MID(SUBSTITUTE(TRIM(CC143)," ",REPT(" ",60)),121,60))="",ISNUMBER(SEARCH(" "&amp;TRIM(MID(SUBSTITUTE(TRIM(CC143)," ",REPT(" ",60)),121,60))&amp;" ",CD143)))),1,0),0)</f>
        <v>0</v>
      </c>
      <c r="CG143" s="68" t="n">
        <f aca="false">IFERROR(LEN(SUBSTITUTE(BF143," ",""))-SUMPRODUCT((LEN(BF143)-LEN(SUBSTITUTE(BF143," "&amp;L_NAFiller&amp;" "," ")))/(LEN(L_NAFiller)+1)*LEN(L_NAFiller)),0)</f>
        <v>0</v>
      </c>
    </row>
    <row r="144" customFormat="false" ht="39.75" hidden="false" customHeight="true" outlineLevel="0" collapsed="false">
      <c r="A144" s="57" t="s">
        <v>668</v>
      </c>
      <c r="B144" s="57" t="s">
        <v>228</v>
      </c>
      <c r="C144" s="57" t="str">
        <f aca="false">Flights!$F$9</f>
        <v>MH0089</v>
      </c>
      <c r="D144" s="58" t="n">
        <f aca="false">Flights!$D$9</f>
        <v>46310</v>
      </c>
      <c r="E144" s="57" t="str">
        <f aca="false">Flights!$G$9&amp;"-"&amp;Flights!$H$9</f>
        <v>NRT-KUL</v>
      </c>
      <c r="F144" s="57" t="str">
        <f aca="false">Flights!$K$9</f>
        <v>EY</v>
      </c>
      <c r="G144" s="57" t="s">
        <v>81</v>
      </c>
      <c r="H144" s="57" t="s">
        <v>378</v>
      </c>
      <c r="I144" s="57" t="s">
        <v>405</v>
      </c>
      <c r="J144" s="57" t="s">
        <v>409</v>
      </c>
      <c r="K144" s="67" t="s">
        <v>407</v>
      </c>
      <c r="L144" s="67" t="s">
        <v>382</v>
      </c>
      <c r="M144" s="67"/>
      <c r="N144" s="67" t="s">
        <v>383</v>
      </c>
      <c r="O144" s="67"/>
      <c r="P144" s="57" t="s">
        <v>220</v>
      </c>
      <c r="Q144" s="59" t="n">
        <f aca="false">ROUND((Flights!$AC$9)*1440,0)/1440</f>
        <v>46303.0451388889</v>
      </c>
      <c r="R144" s="59" t="n">
        <f aca="false">Q144+(IF(AND(INDEX(TZ_DSTS,MATCH(P144,TZ_STN,0))&lt;&gt;"",Q144&gt;=INDEX(TZ_DSTS,MATCH(P144,TZ_STN,0)),Q144&lt;INDEX(TZ_DSTE,MATCH(P144,TZ_STN,0))),INDEX(TZ_DST,MATCH(P144,TZ_STN,0)),INDEX(TZ_STD,MATCH(P144,TZ_STN,0))))/24</f>
        <v>46303.4201388889</v>
      </c>
      <c r="S144" s="60"/>
      <c r="T144" s="60"/>
      <c r="U144" s="60"/>
      <c r="V144" s="60"/>
      <c r="W144" s="61"/>
      <c r="X144" s="60"/>
      <c r="Y144" s="60"/>
      <c r="Z144" s="60"/>
      <c r="AA144" s="60"/>
      <c r="AB144" s="60"/>
      <c r="AC144" s="60"/>
      <c r="AD144" s="66"/>
      <c r="AE144" s="60"/>
      <c r="AF144" s="61" t="str">
        <f aca="false">IF(AND(ISNUMBER(X144),ISNUMBER(Y144)),Y144-X144,"")</f>
        <v/>
      </c>
      <c r="AG144" s="62" t="str">
        <f aca="false">IF(ISNUMBER(AD144),AD144-(IF(AND(INDEX(TZ_DSTS,MATCH(P144,TZ_STN,0))&lt;&gt;"",(AD144-INDEX(TZ_STD,MATCH(P144,TZ_STN,0))/24)&gt;=INDEX(TZ_DSTS,MATCH(P144,TZ_STN,0)),(AD144-INDEX(TZ_STD,MATCH(P144,TZ_STN,0))/24)&lt;INDEX(TZ_DSTE,MATCH(P144,TZ_STN,0))),INDEX(TZ_DST,MATCH(P144,TZ_STN,0)),INDEX(TZ_STD,MATCH(P144,TZ_STN,0))))/24,"")</f>
        <v/>
      </c>
      <c r="AH144" s="65" t="str">
        <f aca="false">IFERROR(IF(N144="N/A – rule",IF(OR(TRIM(U144)="",TRIM(U144)="N/A",TRIM(U144)="Not started"),"N/A – RULE","INVALID – this check does not apply to this aircraft: clear the status (or correct the fleet on Flights)"),IF(TRIM(U144)="N/A",IF(AT144=0,"INVALID – N/A not permitted for this check",IF(AND(TRIM(AB144)&lt;&gt;"",TRIM(AB144)&lt;&gt;"Closed"),"INVALID – corrective action still open",IF(AND(NOT(OR(LEN(AZ144)&lt;15,ISNUMBER(MATCH(AZ144,L_Placeholder,0)))),BK144=0,CG144&gt;=8,NOT(OR(LEN(AU144)&lt;2,ISNUMBER(MATCH(AU144,L_Placeholder,0)))),BR144&gt;=3,NOT(OR(LEN(AX144)&lt;2,ISNUMBER(MATCH(AX144,L_Placeholder,0)))),BS144&gt;=3,TRIM(AE144)&lt;&gt;TRIM(T144),AX144&lt;&gt;AU144,CE144=0),"N/A – JUSTIFIED","INVALID – N/A needs a real, settled reason (not 'not applicable' / 'as above' / TBC), a named PIC and a different named verifier"))),IF(OR(TRIM(U144)="Pass",TRIM(U144)="Pass after CA"),IF(NOT(ISNUMBER(AD144)),"INVALID – completion time missing",IF(OR(OR(LEN(AU144)&lt;2,ISNUMBER(MATCH(AU144,L_Placeholder,0))),BR144&lt;3),"INVALID – PIC missing or not a named person (a role such as QA / CSM is not a name)",IF(OR(LEN(AV144)&lt;2,ISNUMBER(MATCH(AV144,L_Placeholder,0))),"INVALID – result / assessment missing",IF(OR(OR(LEN(AW144)&lt;3,ISNUMBER(MATCH(AW144,L_Placeholder,0))),SUMPRODUCT(--ISNUMBER(SEARCH(" "&amp;L_EvidencePhrase&amp;" ",BD144)))&gt;0,BI144=1),"INVALID – evidence missing, placeholder or not yet on file",IF(ISNA(MATCH(TRIM(S144),L_EvidenceType,0)),"INVALID – choose the evidence type from the list (column S)",IF(BL144=0,"INVALID – evidence ID must be the record's own ID only (e.g. SF-2210, IMG_2231, 1045521); a link / file name needs type 'Link / file path'",IF(OR(OR(LEN(AX144)&lt;2,ISNUMBER(MATCH(AX144,L_Placeholder,0))),BS144&lt;3),"INVALID – verifier missing or not a named person (a role such as QA / CSM is not a name)",IF(OR(AX144=AU144,CE144=1,AND(LEN(AU144)&gt;=4,ISNUMBER(SEARCH(AU144,AX144))),AND(LEN(AX144)&gt;=4,ISNUMBER(SEARCH(AX144,AU144)))),"INVALID – verifier must be a different, named person (not the PIC or a role)",IF(BH144=1,"INVALID – result not yet available (awaiting / TBC)",IF(BG144=1,"INVALID – result describes a problem: record Fail, then Pass after CA (or reword if it is not a problem)",IF(BV144=1,"INVALID – wording says not on board: an on-board confirmation needs the item loaded",IF(AND(AQ144=1,OR(OR(LEN(AY144)&lt;3,ISNUMBER(MATCH(AY144,L_Placeholder,0))),BJ144=1,BQ144=0)),"INVALID – batch ID missing, placeholder or not an ID (e.g. PASB-261008-BC-017)",IF(AND(AR144=1,OR(NOT(ISNUMBER(X144)),NOT(ISNUMBER(Y144)))),"INVALID – expected/actual qty missing",IF(AND(AR144=1,OR(X144&lt;=0,Y144&lt;0)),"INVALID – expected qty must be above 0 and actual not negative",IF(BB144&lt;&gt;"",BB144,IF(AND(AS144=1,Documents!$J$9&lt;&gt;"ON FILE"),"INVALID – GLD not on file (Documents sheet)",IF(AND(AS144=2,Documents!$O$9&lt;&gt;"ON FILE"),"INVALID – menu checklist not on file (Documents sheet)",IF(AND(AS144=3,NOT(ISNUMBER(Flights!$AX$9))),"INVALID – enter carrying flight KUL departure (Flights AX)",IF(AND(AS144=3,OR(Flights!$AZ$9&gt;Flights!$AA$9,Flights!$AX$9&lt;Flights!$AA$9-3)),"INVALID – carrying flight (Flights AX) cannot arrive before this leg's STD, or is over 3 days early",IF(AG144&gt;AsOfUTC,"INVALID – completion time is in the future",IF(AND(ISNUMBER(BY144),AG144&lt;BY144),IF(H144="Physical uplift","INVALID – before uplift window (cannot confirm loading)","INVALID – before valid window"),IF(AG144&gt;Flights!$AA$9,"INVALID – completed after departure (cannot establish readiness)",IF(AND(H144="Preparation",AG144&gt;=IF(ISNUMBER(Flights!$BA$9),MIN(Flights!$BA$9,Flights!$AA$9),Flights!$AA$9)),"INVALID – completed after loading / departure (cannot establish readiness)",IF(AND(H144="Physical uplift",AG144&gt;Q144),"INVALID – recorded after the loading flight departed",IF(AG144&gt;Q144,"COMPLETE – LATE","COMPLETE"))))))))))))))))))))))))),IF(TRIM(U144)="Fail","FAIL – DISCREPANCY",IF(AND(TRIM(U144)&lt;&gt;"",TRIM(U144)&lt;&gt;"Not started",TRIM(U144)&lt;&gt;"In progress"),"INVALID – unrecognised status (use the list)",IF(AsOfUTC&gt;Q144,"OVERDUE",IF(N144="Clarification required","OPEN – CLARIFICATION","OPEN"))))))),"INVALID – error value in an input cell")</f>
        <v>OPEN</v>
      </c>
      <c r="AI144" s="61" t="n">
        <f aca="false">IF(OR(AH144="N/A – RULE",AH144="N/A – JUSTIFIED"),0,1)</f>
        <v>1</v>
      </c>
      <c r="AJ144" s="61" t="n">
        <f aca="false">IF(LEFT(AH144,8)="COMPLETE",1,0)</f>
        <v>0</v>
      </c>
      <c r="AK144" s="61" t="n">
        <f aca="false">IF(AND(AI144=1,AJ144=0,AsOfUTC&gt;Q144),1,0)</f>
        <v>0</v>
      </c>
      <c r="AL144" s="61" t="n">
        <f aca="false">IFERROR(IF(AND(AI144=1,OR(TRIM(U144)="Fail",AND(TRIM(AB144)&lt;&gt;"",TRIM(AB144)&lt;&gt;"Closed"),AND(ISNUMBER(AF144),AF144&lt;&gt;0,TRIM(U144)&lt;&gt;"Pass after CA"))),1,0),1)</f>
        <v>0</v>
      </c>
      <c r="AM144" s="61" t="n">
        <f aca="false">IF(LEFT(AH144,7)="INVALID",1,0)</f>
        <v>0</v>
      </c>
      <c r="AN144" s="61" t="n">
        <f aca="false">IF(AND(N144="Clarification required",AI144=1,AJ144=0),1,0)</f>
        <v>0</v>
      </c>
      <c r="AO144" s="61" t="str">
        <f aca="false">IF(AK144=1,SUM(AK$5:AK144),"")</f>
        <v/>
      </c>
      <c r="AP144" s="61" t="str">
        <f aca="false">IF(AL144=1,SUM(AL$5:AL144),"")</f>
        <v/>
      </c>
      <c r="AQ144" s="61" t="n">
        <v>0</v>
      </c>
      <c r="AR144" s="61" t="n">
        <v>0</v>
      </c>
      <c r="AS144" s="61" t="n">
        <v>2</v>
      </c>
      <c r="AT144" s="61" t="n">
        <v>0</v>
      </c>
      <c r="AU144" s="61" t="str">
        <f aca="false">SUBSTITUTE(SUBSTITUTE(SUBSTITUTE(SUBSTITUTE(SUBSTITUTE(SUBSTITUTE(SUBSTITUTE(SUBSTITUTE(SUBSTITUTE(SUBSTITUTE(SUBSTITUTE(SUBSTITUTE(SUBSTITUTE(SUBSTITUTE(SUBSTITUTE(SUBSTITUTE(LOWER(T144&amp;""),CHAR(10),""),CHAR(13),""),CHAR(9),""),CHAR(160),"")," ",""),".",""),"-",""),"/",""),"?",""),"_",""),",",""),"[",""),"]",""),"(",""),")",""),"*","")</f>
        <v/>
      </c>
      <c r="AV144" s="61" t="str">
        <f aca="false">SUBSTITUTE(SUBSTITUTE(SUBSTITUTE(SUBSTITUTE(SUBSTITUTE(SUBSTITUTE(SUBSTITUTE(SUBSTITUTE(SUBSTITUTE(SUBSTITUTE(SUBSTITUTE(SUBSTITUTE(SUBSTITUTE(SUBSTITUTE(SUBSTITUTE(SUBSTITUTE(LOWER(V144&amp;""),CHAR(10),""),CHAR(13),""),CHAR(9),""),CHAR(160),"")," ",""),".",""),"-",""),"/",""),"?",""),"_",""),",",""),"[",""),"]",""),"(",""),")",""),"*","")</f>
        <v/>
      </c>
      <c r="AW144" s="61" t="str">
        <f aca="false">SUBSTITUTE(SUBSTITUTE(SUBSTITUTE(SUBSTITUTE(SUBSTITUTE(SUBSTITUTE(SUBSTITUTE(SUBSTITUTE(SUBSTITUTE(SUBSTITUTE(SUBSTITUTE(SUBSTITUTE(SUBSTITUTE(SUBSTITUTE(SUBSTITUTE(SUBSTITUTE(LOWER(Z144&amp;""),CHAR(10),""),CHAR(13),""),CHAR(9),""),CHAR(160),"")," ",""),".",""),"-",""),"/",""),"?",""),"_",""),",",""),"[",""),"]",""),"(",""),")",""),"*","")</f>
        <v/>
      </c>
      <c r="AX144" s="61" t="str">
        <f aca="false">SUBSTITUTE(SUBSTITUTE(SUBSTITUTE(SUBSTITUTE(SUBSTITUTE(SUBSTITUTE(SUBSTITUTE(SUBSTITUTE(SUBSTITUTE(SUBSTITUTE(SUBSTITUTE(SUBSTITUTE(SUBSTITUTE(SUBSTITUTE(SUBSTITUTE(SUBSTITUTE(LOWER(AE144&amp;""),CHAR(10),""),CHAR(13),""),CHAR(9),""),CHAR(160),"")," ",""),".",""),"-",""),"/",""),"?",""),"_",""),",",""),"[",""),"]",""),"(",""),")",""),"*","")</f>
        <v/>
      </c>
      <c r="AY144" s="61" t="str">
        <f aca="false">SUBSTITUTE(SUBSTITUTE(SUBSTITUTE(SUBSTITUTE(SUBSTITUTE(SUBSTITUTE(SUBSTITUTE(SUBSTITUTE(SUBSTITUTE(SUBSTITUTE(SUBSTITUTE(SUBSTITUTE(SUBSTITUTE(SUBSTITUTE(SUBSTITUTE(SUBSTITUTE(LOWER(W144&amp;""),CHAR(10),""),CHAR(13),""),CHAR(9),""),CHAR(160),"")," ",""),".",""),"-",""),"/",""),"?",""),"_",""),",",""),"[",""),"]",""),"(",""),")",""),"*","")</f>
        <v/>
      </c>
      <c r="AZ144" s="61" t="str">
        <f aca="false">SUBSTITUTE(SUBSTITUTE(SUBSTITUTE(SUBSTITUTE(SUBSTITUTE(SUBSTITUTE(SUBSTITUTE(SUBSTITUTE(SUBSTITUTE(SUBSTITUTE(SUBSTITUTE(SUBSTITUTE(SUBSTITUTE(SUBSTITUTE(SUBSTITUTE(SUBSTITUTE(LOWER(AC144&amp;""),CHAR(10),""),CHAR(13),""),CHAR(9),""),CHAR(160),"")," ",""),".",""),"-",""),"/",""),"?",""),"_",""),",",""),"[",""),"]",""),"(",""),")",""),"*","")</f>
        <v/>
      </c>
      <c r="BA144" s="61" t="str">
        <f aca="false">SUBSTITUTE(SUBSTITUTE(SUBSTITUTE(SUBSTITUTE(SUBSTITUTE(SUBSTITUTE(SUBSTITUTE(SUBSTITUTE(SUBSTITUTE(SUBSTITUTE(SUBSTITUTE(SUBSTITUTE(SUBSTITUTE(SUBSTITUTE(SUBSTITUTE(SUBSTITUTE(LOWER(AA144&amp;""),CHAR(10),""),CHAR(13),""),CHAR(9),""),CHAR(160),"")," ",""),".",""),"-",""),"/",""),"?",""),"_",""),",",""),"[",""),"]",""),"(",""),")",""),"*","")</f>
        <v/>
      </c>
      <c r="BB144" s="61" t="str">
        <f aca="false">IF(AND(TRIM(U144)="Pass",ISNUMBER(AF144)),IF(AF144&lt;&gt;0,"INVALID – qty variance: use Fail or Pass after CA",""),"")&amp;IF(AND(TRIM(U144)="Pass after CA",ISNUMBER(AF144)),IF(AF144&lt;&gt;0,"INVALID – after the corrective action the actual qty must equal expected (update Actual)",""),"")&amp;IF(AND(TRIM(U144)="Pass",TRIM(AB144)&lt;&gt;"",TRIM(AB144)&lt;&gt;"Closed"),"INVALID – corrective action not closed: use Fail, then Pass after CA","")&amp;IF(AND(LEN(BA144)&gt;=2,ISNA(MATCH(LEFT(BA144,255),L_Placeholder,0)),TRIM(AB144)=""),"INVALID – CA status missing for the recorded corrective action","")&amp;IF(AND(TRIM(U144)="Pass after CA",OR(OR(LEN(BA144)&lt;5,ISNUMBER(MATCH(BA144,L_Placeholder,0))),TRIM(AB144)&lt;&gt;"Closed")),"INVALID – corrective action not recorded/closed","")</f>
        <v/>
      </c>
      <c r="BC144" s="61" t="str">
        <f aca="false">" "&amp;TRIM(SUBSTITUTE(SUBSTITUTE(SUBSTITUTE(SUBSTITUTE(SUBSTITUTE(SUBSTITUTE(SUBSTITUTE(SUBSTITUTE(SUBSTITUTE(SUBSTITUTE(SUBSTITUTE(SUBSTITUTE(SUBSTITUTE(SUBSTITUTE(SUBSTITUTE(SUBSTITUTE(SUBSTITUTE(SUBSTITUTE(SUBSTITUTE(SUBSTITUTE(SUBSTITUTE(SUBSTITUTE(SUBSTITUTE(SUBSTITUTE(LOWER(V144&amp;""),CHAR(10)," "),CHAR(13)," "),CHAR(9)," "),CHAR(160)," "),"."," "),","," "),"-"," "),"/"," "),"("," "),")"," "),":"," "),";"," "),"_"," "),"–"," "),"?"," "),"!"," "),"*"," "),"["," "),"]"," "),"'"," "),"#"," "),"+"," "),"&amp;"," "),"\"," "))&amp;" "</f>
        <v>  </v>
      </c>
      <c r="BD144" s="61" t="str">
        <f aca="false">" "&amp;TRIM(SUBSTITUTE(SUBSTITUTE(SUBSTITUTE(SUBSTITUTE(SUBSTITUTE(SUBSTITUTE(SUBSTITUTE(SUBSTITUTE(SUBSTITUTE(SUBSTITUTE(SUBSTITUTE(SUBSTITUTE(SUBSTITUTE(SUBSTITUTE(SUBSTITUTE(SUBSTITUTE(SUBSTITUTE(SUBSTITUTE(SUBSTITUTE(SUBSTITUTE(SUBSTITUTE(SUBSTITUTE(SUBSTITUTE(SUBSTITUTE(LOWER(Z144&amp;""),CHAR(10)," "),CHAR(13)," "),CHAR(9)," "),CHAR(160)," "),"."," "),","," "),"-"," "),"/"," "),"("," "),")"," "),":"," "),";"," "),"_"," "),"–"," "),"?"," "),"!"," "),"*"," "),"["," "),"]"," "),"'"," "),"#"," "),"+"," "),"&amp;"," "),"\"," "))&amp;" "</f>
        <v>  </v>
      </c>
      <c r="BE144" s="61" t="str">
        <f aca="false">" "&amp;TRIM(SUBSTITUTE(SUBSTITUTE(SUBSTITUTE(SUBSTITUTE(SUBSTITUTE(SUBSTITUTE(SUBSTITUTE(SUBSTITUTE(SUBSTITUTE(SUBSTITUTE(SUBSTITUTE(SUBSTITUTE(SUBSTITUTE(SUBSTITUTE(SUBSTITUTE(SUBSTITUTE(SUBSTITUTE(SUBSTITUTE(SUBSTITUTE(SUBSTITUTE(SUBSTITUTE(SUBSTITUTE(SUBSTITUTE(SUBSTITUTE(LOWER(W144&amp;""),CHAR(10)," "),CHAR(13)," "),CHAR(9)," "),CHAR(160)," "),"."," "),","," "),"-"," "),"/"," "),"("," "),")"," "),":"," "),";"," "),"_"," "),"–"," "),"?"," "),"!"," "),"*"," "),"["," "),"]"," "),"'"," "),"#"," "),"+"," "),"&amp;"," "),"\"," "))&amp;" "</f>
        <v>  </v>
      </c>
      <c r="BF144" s="61" t="str">
        <f aca="false">" "&amp;TRIM(SUBSTITUTE(SUBSTITUTE(SUBSTITUTE(SUBSTITUTE(SUBSTITUTE(SUBSTITUTE(SUBSTITUTE(SUBSTITUTE(SUBSTITUTE(SUBSTITUTE(SUBSTITUTE(SUBSTITUTE(SUBSTITUTE(SUBSTITUTE(SUBSTITUTE(SUBSTITUTE(SUBSTITUTE(SUBSTITUTE(SUBSTITUTE(SUBSTITUTE(SUBSTITUTE(SUBSTITUTE(SUBSTITUTE(SUBSTITUTE(LOWER(AC144&amp;""),CHAR(10)," "),CHAR(13)," "),CHAR(9)," "),CHAR(160)," "),"."," "),","," "),"-"," "),"/"," "),"("," "),")"," "),":"," "),";"," "),"_"," "),"–"," "),"?"," "),"!"," "),"*"," "),"["," "),"]"," "),"'"," "),"#"," "),"+"," "),"&amp;"," "),"\"," "))&amp;" "</f>
        <v>  </v>
      </c>
      <c r="BG144" s="61" t="n">
        <f aca="false">IFERROR(IF(AND(TRIM(U144)="Pass",SUMPRODUCT((LEN(BC144)-LEN(SUBSTITUTE(BC144," "&amp;L_ResultBad&amp;" "," ")))/(LEN(L_ResultBad)+1))&gt;SUMPRODUCT((LEN(BC144)-LEN(SUBSTITUTE(BC144," "&amp;L_NegPhrase&amp;" "," ")))/(LEN(L_NegPhrase)+1))),1,0),0)</f>
        <v>0</v>
      </c>
      <c r="BH144" s="61" t="n">
        <f aca="false">IFERROR(IF(SUMPRODUCT((LEN(BC144)-LEN(SUBSTITUTE(BC144," "&amp;L_Pending&amp;" "," ")))/(LEN(L_Pending)+1))&gt;SUMPRODUCT((LEN(BC144)-LEN(SUBSTITUTE(BC144," "&amp;L_PendNeg&amp;" "," ")))/(LEN(L_PendNeg)+1))+SUMPRODUCT((LEN(BC144)-LEN(SUBSTITUTE(BC144," "&amp;L_PendPrep&amp;" "," ")))/(LEN(L_PendPrep)+1)),1,0),1)</f>
        <v>0</v>
      </c>
      <c r="BI144" s="61" t="n">
        <f aca="false">IFERROR(IF(SUMPRODUCT((LEN(BD144)-LEN(SUBSTITUTE(BD144," "&amp;L_PendStrict&amp;" "," ")))/(LEN(L_PendStrict)+1))&gt;SUMPRODUCT((LEN(BD144)-LEN(SUBSTITUTE(BD144," "&amp;L_PendNeg&amp;" "," ")))/(LEN(L_PendNeg)+1)),1,0),1)</f>
        <v>0</v>
      </c>
      <c r="BJ144" s="61" t="n">
        <f aca="false">IFERROR(IF(SUMPRODUCT((LEN(BE144)-LEN(SUBSTITUTE(BE144," "&amp;L_Pending&amp;" "," ")))/(LEN(L_Pending)+1))&gt;SUMPRODUCT((LEN(BE144)-LEN(SUBSTITUTE(BE144," "&amp;L_PendNeg&amp;" "," ")))/(LEN(L_PendNeg)+1))+SUMPRODUCT((LEN(BE144)-LEN(SUBSTITUTE(BE144," "&amp;L_PendPrep&amp;" "," ")))/(LEN(L_PendPrep)+1)),1,0),1)</f>
        <v>0</v>
      </c>
      <c r="BK144" s="61" t="n">
        <f aca="false">IFERROR(IF(SUMPRODUCT((LEN(BF144)-LEN(SUBSTITUTE(BF144," "&amp;L_PendStrict&amp;" "," ")))/(LEN(L_PendStrict)+1))&gt;SUMPRODUCT((LEN(BF144)-LEN(SUBSTITUTE(BF144," "&amp;L_PendNeg&amp;" "," ")))/(LEN(L_PendNeg)+1)),1,0),1)</f>
        <v>0</v>
      </c>
      <c r="BL144" s="61" t="n">
        <f aca="false">IF(ISNA(MATCH(TRIM(S144),L_EvidenceType,0)),0,BZ144)</f>
        <v>0</v>
      </c>
      <c r="BM144" s="61" t="str">
        <f aca="false">SUBSTITUTE(SUBSTITUTE(SUBSTITUTE(SUBSTITUTE(SUBSTITUTE(SUBSTITUTE(SUBSTITUTE(SUBSTITUTE(SUBSTITUTE(LOWER(Z144&amp;""),"1","0"),"2","0"),"3","0"),"4","0"),"5","0"),"6","0"),"7","0"),"8","0"),"9","0")</f>
        <v/>
      </c>
      <c r="BN144" s="61" t="str">
        <f aca="false">SUBSTITUTE(SUBSTITUTE(SUBSTITUTE(SUBSTITUTE(SUBSTITUTE(SUBSTITUTE(SUBSTITUTE(SUBSTITUTE(SUBSTITUTE(SUBSTITUTE(SUBSTITUTE(SUBSTITUTE(SUBSTITUTE(SUBSTITUTE(SUBSTITUTE(SUBSTITUTE(SUBSTITUTE(SUBSTITUTE(SUBSTITUTE(SUBSTITUTE(SUBSTITUTE(SUBSTITUTE(SUBSTITUTE(SUBSTITUTE(SUBSTITUTE(BM144,"b","a"),"c","a"),"d","a"),"e","a"),"f","a"),"g","a"),"h","a"),"i","a"),"j","a"),"k","a"),"l","a"),"m","a"),"n","a"),"o","a"),"p","a"),"q","a"),"r","a"),"s","a"),"t","a"),"u","a"),"v","a"),"w","a"),"x","a"),"y","a"),"z","a")</f>
        <v/>
      </c>
      <c r="BO144" s="61" t="str">
        <f aca="false">SUBSTITUTE(SUBSTITUTE(SUBSTITUTE(SUBSTITUTE(SUBSTITUTE(SUBSTITUTE(SUBSTITUTE(SUBSTITUTE(SUBSTITUTE(LOWER(W144&amp;""),"1","0"),"2","0"),"3","0"),"4","0"),"5","0"),"6","0"),"7","0"),"8","0"),"9","0")</f>
        <v/>
      </c>
      <c r="BP144" s="61" t="str">
        <f aca="false">SUBSTITUTE(SUBSTITUTE(SUBSTITUTE(SUBSTITUTE(SUBSTITUTE(SUBSTITUTE(SUBSTITUTE(SUBSTITUTE(SUBSTITUTE(SUBSTITUTE(SUBSTITUTE(SUBSTITUTE(SUBSTITUTE(SUBSTITUTE(SUBSTITUTE(SUBSTITUTE(SUBSTITUTE(SUBSTITUTE(SUBSTITUTE(SUBSTITUTE(SUBSTITUTE(SUBSTITUTE(SUBSTITUTE(SUBSTITUTE(SUBSTITUTE(BO144,"b","a"),"c","a"),"d","a"),"e","a"),"f","a"),"g","a"),"h","a"),"i","a"),"j","a"),"k","a"),"l","a"),"m","a"),"n","a"),"o","a"),"p","a"),"q","a"),"r","a"),"s","a"),"t","a"),"u","a"),"v","a"),"w","a"),"x","a"),"y","a"),"z","a")</f>
        <v/>
      </c>
      <c r="BQ144" s="61" t="n">
        <f aca="false">IFERROR(IF(AND(ISERROR(SEARCH(" mh"," "&amp;LOWER(W144))),ISNA(MATCH(LEFT(TRIM(BP144),255),{"0000a","000a","00a","0000aa","000aa","00aa","0aa","0000aaa","000aaa","00a00","0a00","0000-0000","00:00","a00","a0","00.00.0000","00/00/0000","00-00-0000","0000-00-00","0000/00/00","0000.00.00","00.00.00","00/00/00","00-00-00","0.00.0000","0/00/0000","0-00-0000"},0)),ISNA(MATCH(LEFT(TRIM(CA144),255),{"0000a","000a","00a","0000aa","000aa","00aa","0aa","0000aaa","000aaa","00a00","0a00","0000-0000","00:00","a00","a0","00.00.0000","00/00/0000","00-00-0000","0000-00-00","0000/00/00","0000.00.00","00.00.00","00/00/00","00-00-00","0.00.0000","0/00/0000","0-00-0000"},0)),LEN(CB144)&gt;=3,NOT(OR(SUBSTITUTE(CB144,"0","")="",AND(LEN(CB144)&gt;=4,CB144=REPT(LEFT(CB144),LEN(CB144))),ISNUMBER(MATCH(CB144,{"123","1234","12345","123456","1234567","12345678","0123","01234","012345","98765","987654","54321"},0)),AND(LEN(CB144)=8,LEFT(CB144,3)="202"))),OR(AND((LEN(CA144)-LEN(SUBSTITUTE(CA144,"a","")))&gt;=1,SUMPRODUCT(--ISNUMBER(SEARCH({"a0","a-0","a_0","a/0","a.0","a#0","0a","0-a","0_a","0/a"},BP144)))&gt;0),ISNUMBER(SEARCH("000000",BP144)))),1,0),0)</f>
        <v>0</v>
      </c>
      <c r="BR144" s="61" t="n">
        <f aca="false">IFERROR(LEN(SUBSTITUTE(CC144," ",""))-SUMPRODUCT((LEN(CC144)-LEN(SUBSTITUTE(CC144," "&amp;L_Role&amp;" "," ")))/(LEN(L_Role)+1)*LEN(L_Role)),0)</f>
        <v>0</v>
      </c>
      <c r="BS144" s="61" t="n">
        <f aca="false">IFERROR(LEN(SUBSTITUTE(CD144," ",""))-SUMPRODUCT((LEN(CD144)-LEN(SUBSTITUTE(CD144," "&amp;L_Role&amp;" "," ")))/(LEN(L_Role)+1)*LEN(L_Role)),0)</f>
        <v>0</v>
      </c>
      <c r="BT1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144,"revision",""),"version",""),"jan",""),"feb",""),"mar",""),"apr",""),"may",""),"jun",""),"jul",""),"aug",""),"sep",""),"oct",""),"nov",""),"dec",""),"utc",""),"gmt",""),"myt",""),"bst",""),"rev",""),"ver",""),"b","a"),"c","a"),"d","a"),"e","a"),"f","a"),"g","a"),"h","a"),"i","a"),"j","a"),"k","a"),"l","a"),"m","a"),"n","a"),"o","a"),"p","a"),"q","a"),"r","a"),"s","a"),"t","a"),"u","a"),"v","a"),"w","a"),"x","a"),"y","a"),"z","a")</f>
        <v/>
      </c>
      <c r="BU144" s="61" t="str">
        <f aca="false">SUBSTITUTE(SUBSTITUTE(SUBSTITUTE(SUBSTITUTE(SUBSTITUTE(SUBSTITUTE(SUBSTITUTE(SUBSTITUTE(SUBSTITUTE(SUBSTITUTE(LEFT(BM144,FIND("0",BM144&amp;"0")-1),"-",""),"_",""),"/",""),".",""),"#",""),"\\",""),":","")," ",""),"(",""),")","")</f>
        <v/>
      </c>
      <c r="BV144" s="61" t="n">
        <f aca="false">0</f>
        <v>0</v>
      </c>
      <c r="BW1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144&amp;""),"a",""),"b",""),"c",""),"d",""),"e",""),"f",""),"g",""),"h",""),"i",""),"j",""),"k",""),"l",""),"m",""),"n",""),"o",""),"p",""),"q",""),"r",""),"s",""),"t",""),"u",""),"v",""),"w",""),"x",""),"y",""),"z",""),"-",""),"_",""),"/",""),".",""),"#",""),"\\",""),":","")," ",""),"(",""),")","")</f>
        <v/>
      </c>
      <c r="BX144" s="61" t="str">
        <f aca="false">SUBSTITUTE(SUBSTITUTE(SUBSTITUTE(SUBSTITUTE(SUBSTITUTE(SUBSTITUTE(SUBSTITUTE(SUBSTITUTE(SUBSTITUTE(SUBSTITUTE(SUBSTITUTE(BM144,"0",""),"-",""),"_",""),"/",""),".",""),"#",""),"\\",""),":","")," ",""),"(",""),")","")</f>
        <v/>
      </c>
      <c r="BY144" s="62" t="n">
        <f aca="false">Q144-T7EarlyD*24/24</f>
        <v>46289.0451388889</v>
      </c>
      <c r="BZ144" s="61" t="n">
        <f aca="false">IFERROR(IF(IF(TRIM(S144)="Link / file path",AND(LEN(TRIM(Z144))&gt;=5,SUMPRODUCT(--ISNUMBER(SEARCH({"http","www.","\\",":\",".pdf",".jpg",".jpeg",".png",".heic",".xls",".doc",".msg",".eml",".ppt",".txt",".zip"},Z144)))&gt;0),AND(ISERROR(FIND(" ",TRIM(Z144))),NOT(OR(SUMPRODUCT(--ISNUMBER(FIND({",",";","&amp;","+"},Z144)))&gt;0,SUMPRODUCT(--ISNUMBER(SEARCH({"0/aa","0\\aa"},BN144)))&gt;0)),NOT(SUMPRODUCT(--ISNUMBER(SEARCH({"http","www.","\\",":\",".pdf",".jpg",".jpeg",".png",".heic",".xls",".doc",".msg",".eml",".ppt",".txt",".zip"},Z144)))&gt;0),NOT(LOWER(TRIM(Z144))=LOWER(Flights!$F$9)),ISNA(MATCH(BU144,{"mh","rev","revision","ver","version","v","r","a","b","seat","tray","row","gate","bay","stand","page","pg","item","line","no","cart","galley","flight","flt","table","box","bag","oven","etd","eta","std","sta","atd","ata","qty","pax","x","time","tel","ph","mob","day","wk","week","utc","gmt","myt","lt"},0)),NOT(OR(ISNUMBER(MATCH(LEFT(BN144,255),{"0000a","000a","00a","0000aa","000aa","00aa","0aa","0000aaa","000aaa","00a00","0a00","0000-0000","00:00","a00","a0","00.00.0000","00/00/0000","00-00-0000","0000-00-00","0000/00/00","0000.00.00","00.00.00","00/00/00","00-00-00","0.00.0000","0/00/0000","0-00-0000"},0)),ISNUMBER(MATCH(LEFT(BT144,255),{"0000a","000a","00a","0000aa","000aa","00aa","0aa","0000aaa","000aaa","00a00","0a00","0000-0000","00:00","a00","a0","00.00.0000","00/00/0000","00-00-0000","0000-00-00","0000/00/00","0000.00.00","00.00.00","00/00/00","00-00-00","0.00.0000","0/00/0000","0-00-0000"},0)))),NOT(OR(AND(BW144&lt;&gt;"",SUBSTITUTE(BW144,"0","")=""),AND(LEN(BW144)&gt;=4,BW144=REPT(LEFT(BW144),LEN(BW144))),ISNUMBER(MATCH(BW144,{"123","1234","12345","123456","1234567","12345678","0123","01234","012345","98765","987654","54321"},0)),ISNUMBER(MATCH(BX144,{"x","xx","xxx","xxxx","xxxxx","abc","abcd","nil","na","nan","test","tbc","tba","tbd","dummy","sample","example","eg","zz","zzz","none","null","xyz","qwe","asd","id","ref"},0)),AND(LEN(BW144)=8,BX144="",OR(LEFT(BW144,3)="202",ISNUMBER(MATCH(RIGHT(BW144,4),{"2025","2026","2027"},0)))))),OR(AND((LEN(BT144)-LEN(SUBSTITUTE(BT144,"a","")))&gt;=1,(LEN(BN144)-LEN(SUBSTITUTE(BN144,"0","")))&gt;=2,SUMPRODUCT(--ISNUMBER(SEARCH({"a0","a-0","a_0","a/0","a.0","a#0","0a","0-a","0_a","0/a"},BN144)))&gt;0),AND((LEN(BN144)-LEN(SUBSTITUTE(BN144,"a","")))=0,(LEN(BN144)-LEN(SUBSTITUTE(BN144,"0","")))&gt;=5)))),1,0),0)</f>
        <v>0</v>
      </c>
      <c r="CA1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144,"revision",""),"version",""),"jan",""),"feb",""),"mar",""),"apr",""),"may",""),"jun",""),"jul",""),"aug",""),"sep",""),"oct",""),"nov",""),"dec",""),"utc",""),"gmt",""),"myt",""),"bst",""),"rev",""),"ver",""),"b","a"),"c","a"),"d","a"),"e","a"),"f","a"),"g","a"),"h","a"),"i","a"),"j","a"),"k","a"),"l","a"),"m","a"),"n","a"),"o","a"),"p","a"),"q","a"),"r","a"),"s","a"),"t","a"),"u","a"),"v","a"),"w","a"),"x","a"),"y","a"),"z","a")</f>
        <v/>
      </c>
      <c r="CB1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144&amp;""),"a",""),"b",""),"c",""),"d",""),"e",""),"f",""),"g",""),"h",""),"i",""),"j",""),"k",""),"l",""),"m",""),"n",""),"o",""),"p",""),"q",""),"r",""),"s",""),"t",""),"u",""),"v",""),"w",""),"x",""),"y",""),"z",""),"-",""),"_",""),"/",""),".",""),"#",""),"\\",""),":","")," ",""),"(",""),")","")</f>
        <v/>
      </c>
      <c r="CC144" s="0" t="str">
        <f aca="false">" "&amp;TRIM(SUBSTITUTE(SUBSTITUTE(SUBSTITUTE(SUBSTITUTE(SUBSTITUTE(SUBSTITUTE(SUBSTITUTE(SUBSTITUTE(SUBSTITUTE(SUBSTITUTE(SUBSTITUTE(SUBSTITUTE(SUBSTITUTE(SUBSTITUTE(SUBSTITUTE(SUBSTITUTE(SUBSTITUTE(SUBSTITUTE(SUBSTITUTE(SUBSTITUTE(SUBSTITUTE(SUBSTITUTE(SUBSTITUTE(SUBSTITUTE(LOWER(T144&amp;""),CHAR(10)," "),CHAR(13)," "),CHAR(9)," "),CHAR(160)," "),"."," "),","," "),"-"," "),"/"," "),"("," "),")"," "),":"," "),";"," "),"_"," "),"–"," "),"?"," "),"!"," "),"*"," "),"["," "),"]"," "),"'"," "),"#"," "),"+"," "),"&amp;"," "),"\"," "))&amp;" "</f>
        <v>  </v>
      </c>
      <c r="CD144" s="0" t="str">
        <f aca="false">" "&amp;TRIM(SUBSTITUTE(SUBSTITUTE(SUBSTITUTE(SUBSTITUTE(SUBSTITUTE(SUBSTITUTE(SUBSTITUTE(SUBSTITUTE(SUBSTITUTE(SUBSTITUTE(SUBSTITUTE(SUBSTITUTE(SUBSTITUTE(SUBSTITUTE(SUBSTITUTE(SUBSTITUTE(SUBSTITUTE(SUBSTITUTE(SUBSTITUTE(SUBSTITUTE(SUBSTITUTE(SUBSTITUTE(SUBSTITUTE(SUBSTITUTE(LOWER(AE144&amp;""),CHAR(10)," "),CHAR(13)," "),CHAR(9)," "),CHAR(160)," "),"."," "),","," "),"-"," "),"/"," "),"("," "),")"," "),":"," "),";"," "),"_"," "),"–"," "),"?"," "),"!"," "),"*"," "),"["," "),"]"," "),"'"," "),"#"," "),"+"," "),"&amp;"," "),"\"," "))&amp;" "</f>
        <v>  </v>
      </c>
      <c r="CE144" s="68" t="n">
        <f aca="false">IFERROR(IF(AND(LEN(AU144)&gt;0,LEN(AU144)=LEN(AX144),OR(TRIM(MID(SUBSTITUTE(TRIM(CC144)," ",REPT(" ",60)),1,60))="",ISNUMBER(SEARCH(" "&amp;TRIM(MID(SUBSTITUTE(TRIM(CC144)," ",REPT(" ",60)),1,60))&amp;" ",CD144))),OR(TRIM(MID(SUBSTITUTE(TRIM(CC144)," ",REPT(" ",60)),61,60))="",ISNUMBER(SEARCH(" "&amp;TRIM(MID(SUBSTITUTE(TRIM(CC144)," ",REPT(" ",60)),61,60))&amp;" ",CD144))),OR(TRIM(MID(SUBSTITUTE(TRIM(CC144)," ",REPT(" ",60)),121,60))="",ISNUMBER(SEARCH(" "&amp;TRIM(MID(SUBSTITUTE(TRIM(CC144)," ",REPT(" ",60)),121,60))&amp;" ",CD144)))),1,0),0)</f>
        <v>0</v>
      </c>
      <c r="CG144" s="68" t="n">
        <f aca="false">IFERROR(LEN(SUBSTITUTE(BF144," ",""))-SUMPRODUCT((LEN(BF144)-LEN(SUBSTITUTE(BF144," "&amp;L_NAFiller&amp;" "," ")))/(LEN(L_NAFiller)+1)*LEN(L_NAFiller)),0)</f>
        <v>0</v>
      </c>
    </row>
    <row r="145" customFormat="false" ht="39.75" hidden="false" customHeight="true" outlineLevel="0" collapsed="false">
      <c r="A145" s="57" t="s">
        <v>669</v>
      </c>
      <c r="B145" s="57" t="s">
        <v>228</v>
      </c>
      <c r="C145" s="57" t="str">
        <f aca="false">Flights!$F$9</f>
        <v>MH0089</v>
      </c>
      <c r="D145" s="58" t="n">
        <f aca="false">Flights!$D$9</f>
        <v>46310</v>
      </c>
      <c r="E145" s="57" t="str">
        <f aca="false">Flights!$G$9&amp;"-"&amp;Flights!$H$9</f>
        <v>NRT-KUL</v>
      </c>
      <c r="F145" s="57" t="str">
        <f aca="false">Flights!$K$9</f>
        <v>EY</v>
      </c>
      <c r="G145" s="57" t="s">
        <v>81</v>
      </c>
      <c r="H145" s="57" t="s">
        <v>378</v>
      </c>
      <c r="I145" s="57" t="s">
        <v>411</v>
      </c>
      <c r="J145" s="57" t="s">
        <v>412</v>
      </c>
      <c r="K145" s="67" t="s">
        <v>670</v>
      </c>
      <c r="L145" s="67" t="s">
        <v>591</v>
      </c>
      <c r="M145" s="67"/>
      <c r="N145" s="67" t="s">
        <v>383</v>
      </c>
      <c r="O145" s="67"/>
      <c r="P145" s="57" t="s">
        <v>220</v>
      </c>
      <c r="Q145" s="59" t="n">
        <f aca="false">ROUND((Flights!$AC$9)*1440,0)/1440</f>
        <v>46303.0451388889</v>
      </c>
      <c r="R145" s="59" t="n">
        <f aca="false">Q145+(IF(AND(INDEX(TZ_DSTS,MATCH(P145,TZ_STN,0))&lt;&gt;"",Q145&gt;=INDEX(TZ_DSTS,MATCH(P145,TZ_STN,0)),Q145&lt;INDEX(TZ_DSTE,MATCH(P145,TZ_STN,0))),INDEX(TZ_DST,MATCH(P145,TZ_STN,0)),INDEX(TZ_STD,MATCH(P145,TZ_STN,0))))/24</f>
        <v>46303.4201388889</v>
      </c>
      <c r="S145" s="60"/>
      <c r="T145" s="60"/>
      <c r="U145" s="60"/>
      <c r="V145" s="60"/>
      <c r="W145" s="61"/>
      <c r="X145" s="60"/>
      <c r="Y145" s="60"/>
      <c r="Z145" s="60"/>
      <c r="AA145" s="60"/>
      <c r="AB145" s="60"/>
      <c r="AC145" s="60"/>
      <c r="AD145" s="66"/>
      <c r="AE145" s="60"/>
      <c r="AF145" s="61" t="str">
        <f aca="false">IF(AND(ISNUMBER(X145),ISNUMBER(Y145)),Y145-X145,"")</f>
        <v/>
      </c>
      <c r="AG145" s="62" t="str">
        <f aca="false">IF(ISNUMBER(AD145),AD145-(IF(AND(INDEX(TZ_DSTS,MATCH(P145,TZ_STN,0))&lt;&gt;"",(AD145-INDEX(TZ_STD,MATCH(P145,TZ_STN,0))/24)&gt;=INDEX(TZ_DSTS,MATCH(P145,TZ_STN,0)),(AD145-INDEX(TZ_STD,MATCH(P145,TZ_STN,0))/24)&lt;INDEX(TZ_DSTE,MATCH(P145,TZ_STN,0))),INDEX(TZ_DST,MATCH(P145,TZ_STN,0)),INDEX(TZ_STD,MATCH(P145,TZ_STN,0))))/24,"")</f>
        <v/>
      </c>
      <c r="AH145" s="65" t="str">
        <f aca="false">IFERROR(IF(N145="N/A – rule",IF(OR(TRIM(U145)="",TRIM(U145)="N/A",TRIM(U145)="Not started"),"N/A – RULE","INVALID – this check does not apply to this aircraft: clear the status (or correct the fleet on Flights)"),IF(TRIM(U145)="N/A",IF(AT145=0,"INVALID – N/A not permitted for this check",IF(AND(TRIM(AB145)&lt;&gt;"",TRIM(AB145)&lt;&gt;"Closed"),"INVALID – corrective action still open",IF(AND(NOT(OR(LEN(AZ145)&lt;15,ISNUMBER(MATCH(AZ145,L_Placeholder,0)))),BK145=0,CG145&gt;=8,NOT(OR(LEN(AU145)&lt;2,ISNUMBER(MATCH(AU145,L_Placeholder,0)))),BR145&gt;=3,NOT(OR(LEN(AX145)&lt;2,ISNUMBER(MATCH(AX145,L_Placeholder,0)))),BS145&gt;=3,TRIM(AE145)&lt;&gt;TRIM(T145),AX145&lt;&gt;AU145,CE145=0),"N/A – JUSTIFIED","INVALID – N/A needs a real, settled reason (not 'not applicable' / 'as above' / TBC), a named PIC and a different named verifier"))),IF(OR(TRIM(U145)="Pass",TRIM(U145)="Pass after CA"),IF(NOT(ISNUMBER(AD145)),"INVALID – completion time missing",IF(OR(OR(LEN(AU145)&lt;2,ISNUMBER(MATCH(AU145,L_Placeholder,0))),BR145&lt;3),"INVALID – PIC missing or not a named person (a role such as QA / CSM is not a name)",IF(OR(LEN(AV145)&lt;2,ISNUMBER(MATCH(AV145,L_Placeholder,0))),"INVALID – result / assessment missing",IF(OR(OR(LEN(AW145)&lt;3,ISNUMBER(MATCH(AW145,L_Placeholder,0))),SUMPRODUCT(--ISNUMBER(SEARCH(" "&amp;L_EvidencePhrase&amp;" ",BD145)))&gt;0,BI145=1),"INVALID – evidence missing, placeholder or not yet on file",IF(ISNA(MATCH(TRIM(S145),L_EvidenceType,0)),"INVALID – choose the evidence type from the list (column S)",IF(BL145=0,"INVALID – evidence ID must be the record's own ID only (e.g. SF-2210, IMG_2231, 1045521); a link / file name needs type 'Link / file path'",IF(OR(OR(LEN(AX145)&lt;2,ISNUMBER(MATCH(AX145,L_Placeholder,0))),BS145&lt;3),"INVALID – verifier missing or not a named person (a role such as QA / CSM is not a name)",IF(OR(AX145=AU145,CE145=1,AND(LEN(AU145)&gt;=4,ISNUMBER(SEARCH(AU145,AX145))),AND(LEN(AX145)&gt;=4,ISNUMBER(SEARCH(AX145,AU145)))),"INVALID – verifier must be a different, named person (not the PIC or a role)",IF(BH145=1,"INVALID – result not yet available (awaiting / TBC)",IF(BG145=1,"INVALID – result describes a problem: record Fail, then Pass after CA (or reword if it is not a problem)",IF(BV145=1,"INVALID – wording says not on board: an on-board confirmation needs the item loaded",IF(AND(AQ145=1,OR(OR(LEN(AY145)&lt;3,ISNUMBER(MATCH(AY145,L_Placeholder,0))),BJ145=1,BQ145=0)),"INVALID – batch ID missing, placeholder or not an ID (e.g. PASB-261008-BC-017)",IF(AND(AR145=1,OR(NOT(ISNUMBER(X145)),NOT(ISNUMBER(Y145)))),"INVALID – expected/actual qty missing",IF(AND(AR145=1,OR(X145&lt;=0,Y145&lt;0)),"INVALID – expected qty must be above 0 and actual not negative",IF(BB145&lt;&gt;"",BB145,IF(AND(AS145=1,Documents!$J$9&lt;&gt;"ON FILE"),"INVALID – GLD not on file (Documents sheet)",IF(AND(AS145=2,Documents!$O$9&lt;&gt;"ON FILE"),"INVALID – menu checklist not on file (Documents sheet)",IF(AND(AS145=3,NOT(ISNUMBER(Flights!$AX$9))),"INVALID – enter carrying flight KUL departure (Flights AX)",IF(AND(AS145=3,OR(Flights!$AZ$9&gt;Flights!$AA$9,Flights!$AX$9&lt;Flights!$AA$9-3)),"INVALID – carrying flight (Flights AX) cannot arrive before this leg's STD, or is over 3 days early",IF(AG145&gt;AsOfUTC,"INVALID – completion time is in the future",IF(AND(ISNUMBER(BY145),AG145&lt;BY145),IF(H145="Physical uplift","INVALID – before uplift window (cannot confirm loading)","INVALID – before valid window"),IF(AG145&gt;Flights!$AA$9,"INVALID – completed after departure (cannot establish readiness)",IF(AND(H145="Preparation",AG145&gt;=IF(ISNUMBER(Flights!$BA$9),MIN(Flights!$BA$9,Flights!$AA$9),Flights!$AA$9)),"INVALID – completed after loading / departure (cannot establish readiness)",IF(AND(H145="Physical uplift",AG145&gt;Q145),"INVALID – recorded after the loading flight departed",IF(AG145&gt;Q145,"COMPLETE – LATE","COMPLETE"))))))))))))))))))))))))),IF(TRIM(U145)="Fail","FAIL – DISCREPANCY",IF(AND(TRIM(U145)&lt;&gt;"",TRIM(U145)&lt;&gt;"Not started",TRIM(U145)&lt;&gt;"In progress"),"INVALID – unrecognised status (use the list)",IF(AsOfUTC&gt;Q145,"OVERDUE",IF(N145="Clarification required","OPEN – CLARIFICATION","OPEN"))))))),"INVALID – error value in an input cell")</f>
        <v>OPEN</v>
      </c>
      <c r="AI145" s="61" t="n">
        <f aca="false">IF(OR(AH145="N/A – RULE",AH145="N/A – JUSTIFIED"),0,1)</f>
        <v>1</v>
      </c>
      <c r="AJ145" s="61" t="n">
        <f aca="false">IF(LEFT(AH145,8)="COMPLETE",1,0)</f>
        <v>0</v>
      </c>
      <c r="AK145" s="61" t="n">
        <f aca="false">IF(AND(AI145=1,AJ145=0,AsOfUTC&gt;Q145),1,0)</f>
        <v>0</v>
      </c>
      <c r="AL145" s="61" t="n">
        <f aca="false">IFERROR(IF(AND(AI145=1,OR(TRIM(U145)="Fail",AND(TRIM(AB145)&lt;&gt;"",TRIM(AB145)&lt;&gt;"Closed"),AND(ISNUMBER(AF145),AF145&lt;&gt;0,TRIM(U145)&lt;&gt;"Pass after CA"))),1,0),1)</f>
        <v>0</v>
      </c>
      <c r="AM145" s="61" t="n">
        <f aca="false">IF(LEFT(AH145,7)="INVALID",1,0)</f>
        <v>0</v>
      </c>
      <c r="AN145" s="61" t="n">
        <f aca="false">IF(AND(N145="Clarification required",AI145=1,AJ145=0),1,0)</f>
        <v>0</v>
      </c>
      <c r="AO145" s="61" t="str">
        <f aca="false">IF(AK145=1,SUM(AK$5:AK145),"")</f>
        <v/>
      </c>
      <c r="AP145" s="61" t="str">
        <f aca="false">IF(AL145=1,SUM(AL$5:AL145),"")</f>
        <v/>
      </c>
      <c r="AQ145" s="61" t="n">
        <v>0</v>
      </c>
      <c r="AR145" s="61" t="n">
        <v>0</v>
      </c>
      <c r="AS145" s="61" t="n">
        <v>0</v>
      </c>
      <c r="AT145" s="61" t="n">
        <v>0</v>
      </c>
      <c r="AU145" s="61" t="str">
        <f aca="false">SUBSTITUTE(SUBSTITUTE(SUBSTITUTE(SUBSTITUTE(SUBSTITUTE(SUBSTITUTE(SUBSTITUTE(SUBSTITUTE(SUBSTITUTE(SUBSTITUTE(SUBSTITUTE(SUBSTITUTE(SUBSTITUTE(SUBSTITUTE(SUBSTITUTE(SUBSTITUTE(LOWER(T145&amp;""),CHAR(10),""),CHAR(13),""),CHAR(9),""),CHAR(160),"")," ",""),".",""),"-",""),"/",""),"?",""),"_",""),",",""),"[",""),"]",""),"(",""),")",""),"*","")</f>
        <v/>
      </c>
      <c r="AV145" s="61" t="str">
        <f aca="false">SUBSTITUTE(SUBSTITUTE(SUBSTITUTE(SUBSTITUTE(SUBSTITUTE(SUBSTITUTE(SUBSTITUTE(SUBSTITUTE(SUBSTITUTE(SUBSTITUTE(SUBSTITUTE(SUBSTITUTE(SUBSTITUTE(SUBSTITUTE(SUBSTITUTE(SUBSTITUTE(LOWER(V145&amp;""),CHAR(10),""),CHAR(13),""),CHAR(9),""),CHAR(160),"")," ",""),".",""),"-",""),"/",""),"?",""),"_",""),",",""),"[",""),"]",""),"(",""),")",""),"*","")</f>
        <v/>
      </c>
      <c r="AW145" s="61" t="str">
        <f aca="false">SUBSTITUTE(SUBSTITUTE(SUBSTITUTE(SUBSTITUTE(SUBSTITUTE(SUBSTITUTE(SUBSTITUTE(SUBSTITUTE(SUBSTITUTE(SUBSTITUTE(SUBSTITUTE(SUBSTITUTE(SUBSTITUTE(SUBSTITUTE(SUBSTITUTE(SUBSTITUTE(LOWER(Z145&amp;""),CHAR(10),""),CHAR(13),""),CHAR(9),""),CHAR(160),"")," ",""),".",""),"-",""),"/",""),"?",""),"_",""),",",""),"[",""),"]",""),"(",""),")",""),"*","")</f>
        <v/>
      </c>
      <c r="AX145" s="61" t="str">
        <f aca="false">SUBSTITUTE(SUBSTITUTE(SUBSTITUTE(SUBSTITUTE(SUBSTITUTE(SUBSTITUTE(SUBSTITUTE(SUBSTITUTE(SUBSTITUTE(SUBSTITUTE(SUBSTITUTE(SUBSTITUTE(SUBSTITUTE(SUBSTITUTE(SUBSTITUTE(SUBSTITUTE(LOWER(AE145&amp;""),CHAR(10),""),CHAR(13),""),CHAR(9),""),CHAR(160),"")," ",""),".",""),"-",""),"/",""),"?",""),"_",""),",",""),"[",""),"]",""),"(",""),")",""),"*","")</f>
        <v/>
      </c>
      <c r="AY145" s="61" t="str">
        <f aca="false">SUBSTITUTE(SUBSTITUTE(SUBSTITUTE(SUBSTITUTE(SUBSTITUTE(SUBSTITUTE(SUBSTITUTE(SUBSTITUTE(SUBSTITUTE(SUBSTITUTE(SUBSTITUTE(SUBSTITUTE(SUBSTITUTE(SUBSTITUTE(SUBSTITUTE(SUBSTITUTE(LOWER(W145&amp;""),CHAR(10),""),CHAR(13),""),CHAR(9),""),CHAR(160),"")," ",""),".",""),"-",""),"/",""),"?",""),"_",""),",",""),"[",""),"]",""),"(",""),")",""),"*","")</f>
        <v/>
      </c>
      <c r="AZ145" s="61" t="str">
        <f aca="false">SUBSTITUTE(SUBSTITUTE(SUBSTITUTE(SUBSTITUTE(SUBSTITUTE(SUBSTITUTE(SUBSTITUTE(SUBSTITUTE(SUBSTITUTE(SUBSTITUTE(SUBSTITUTE(SUBSTITUTE(SUBSTITUTE(SUBSTITUTE(SUBSTITUTE(SUBSTITUTE(LOWER(AC145&amp;""),CHAR(10),""),CHAR(13),""),CHAR(9),""),CHAR(160),"")," ",""),".",""),"-",""),"/",""),"?",""),"_",""),",",""),"[",""),"]",""),"(",""),")",""),"*","")</f>
        <v/>
      </c>
      <c r="BA145" s="61" t="str">
        <f aca="false">SUBSTITUTE(SUBSTITUTE(SUBSTITUTE(SUBSTITUTE(SUBSTITUTE(SUBSTITUTE(SUBSTITUTE(SUBSTITUTE(SUBSTITUTE(SUBSTITUTE(SUBSTITUTE(SUBSTITUTE(SUBSTITUTE(SUBSTITUTE(SUBSTITUTE(SUBSTITUTE(LOWER(AA145&amp;""),CHAR(10),""),CHAR(13),""),CHAR(9),""),CHAR(160),"")," ",""),".",""),"-",""),"/",""),"?",""),"_",""),",",""),"[",""),"]",""),"(",""),")",""),"*","")</f>
        <v/>
      </c>
      <c r="BB145" s="61" t="str">
        <f aca="false">IF(AND(TRIM(U145)="Pass",ISNUMBER(AF145)),IF(AF145&lt;&gt;0,"INVALID – qty variance: use Fail or Pass after CA",""),"")&amp;IF(AND(TRIM(U145)="Pass after CA",ISNUMBER(AF145)),IF(AF145&lt;&gt;0,"INVALID – after the corrective action the actual qty must equal expected (update Actual)",""),"")&amp;IF(AND(TRIM(U145)="Pass",TRIM(AB145)&lt;&gt;"",TRIM(AB145)&lt;&gt;"Closed"),"INVALID – corrective action not closed: use Fail, then Pass after CA","")&amp;IF(AND(LEN(BA145)&gt;=2,ISNA(MATCH(LEFT(BA145,255),L_Placeholder,0)),TRIM(AB145)=""),"INVALID – CA status missing for the recorded corrective action","")&amp;IF(AND(TRIM(U145)="Pass after CA",OR(OR(LEN(BA145)&lt;5,ISNUMBER(MATCH(BA145,L_Placeholder,0))),TRIM(AB145)&lt;&gt;"Closed")),"INVALID – corrective action not recorded/closed","")</f>
        <v/>
      </c>
      <c r="BC145" s="61" t="str">
        <f aca="false">" "&amp;TRIM(SUBSTITUTE(SUBSTITUTE(SUBSTITUTE(SUBSTITUTE(SUBSTITUTE(SUBSTITUTE(SUBSTITUTE(SUBSTITUTE(SUBSTITUTE(SUBSTITUTE(SUBSTITUTE(SUBSTITUTE(SUBSTITUTE(SUBSTITUTE(SUBSTITUTE(SUBSTITUTE(SUBSTITUTE(SUBSTITUTE(SUBSTITUTE(SUBSTITUTE(SUBSTITUTE(SUBSTITUTE(SUBSTITUTE(SUBSTITUTE(LOWER(V145&amp;""),CHAR(10)," "),CHAR(13)," "),CHAR(9)," "),CHAR(160)," "),"."," "),","," "),"-"," "),"/"," "),"("," "),")"," "),":"," "),";"," "),"_"," "),"–"," "),"?"," "),"!"," "),"*"," "),"["," "),"]"," "),"'"," "),"#"," "),"+"," "),"&amp;"," "),"\"," "))&amp;" "</f>
        <v>  </v>
      </c>
      <c r="BD145" s="61" t="str">
        <f aca="false">" "&amp;TRIM(SUBSTITUTE(SUBSTITUTE(SUBSTITUTE(SUBSTITUTE(SUBSTITUTE(SUBSTITUTE(SUBSTITUTE(SUBSTITUTE(SUBSTITUTE(SUBSTITUTE(SUBSTITUTE(SUBSTITUTE(SUBSTITUTE(SUBSTITUTE(SUBSTITUTE(SUBSTITUTE(SUBSTITUTE(SUBSTITUTE(SUBSTITUTE(SUBSTITUTE(SUBSTITUTE(SUBSTITUTE(SUBSTITUTE(SUBSTITUTE(LOWER(Z145&amp;""),CHAR(10)," "),CHAR(13)," "),CHAR(9)," "),CHAR(160)," "),"."," "),","," "),"-"," "),"/"," "),"("," "),")"," "),":"," "),";"," "),"_"," "),"–"," "),"?"," "),"!"," "),"*"," "),"["," "),"]"," "),"'"," "),"#"," "),"+"," "),"&amp;"," "),"\"," "))&amp;" "</f>
        <v>  </v>
      </c>
      <c r="BE145" s="61" t="str">
        <f aca="false">" "&amp;TRIM(SUBSTITUTE(SUBSTITUTE(SUBSTITUTE(SUBSTITUTE(SUBSTITUTE(SUBSTITUTE(SUBSTITUTE(SUBSTITUTE(SUBSTITUTE(SUBSTITUTE(SUBSTITUTE(SUBSTITUTE(SUBSTITUTE(SUBSTITUTE(SUBSTITUTE(SUBSTITUTE(SUBSTITUTE(SUBSTITUTE(SUBSTITUTE(SUBSTITUTE(SUBSTITUTE(SUBSTITUTE(SUBSTITUTE(SUBSTITUTE(LOWER(W145&amp;""),CHAR(10)," "),CHAR(13)," "),CHAR(9)," "),CHAR(160)," "),"."," "),","," "),"-"," "),"/"," "),"("," "),")"," "),":"," "),";"," "),"_"," "),"–"," "),"?"," "),"!"," "),"*"," "),"["," "),"]"," "),"'"," "),"#"," "),"+"," "),"&amp;"," "),"\"," "))&amp;" "</f>
        <v>  </v>
      </c>
      <c r="BF145" s="61" t="str">
        <f aca="false">" "&amp;TRIM(SUBSTITUTE(SUBSTITUTE(SUBSTITUTE(SUBSTITUTE(SUBSTITUTE(SUBSTITUTE(SUBSTITUTE(SUBSTITUTE(SUBSTITUTE(SUBSTITUTE(SUBSTITUTE(SUBSTITUTE(SUBSTITUTE(SUBSTITUTE(SUBSTITUTE(SUBSTITUTE(SUBSTITUTE(SUBSTITUTE(SUBSTITUTE(SUBSTITUTE(SUBSTITUTE(SUBSTITUTE(SUBSTITUTE(SUBSTITUTE(LOWER(AC145&amp;""),CHAR(10)," "),CHAR(13)," "),CHAR(9)," "),CHAR(160)," "),"."," "),","," "),"-"," "),"/"," "),"("," "),")"," "),":"," "),";"," "),"_"," "),"–"," "),"?"," "),"!"," "),"*"," "),"["," "),"]"," "),"'"," "),"#"," "),"+"," "),"&amp;"," "),"\"," "))&amp;" "</f>
        <v>  </v>
      </c>
      <c r="BG145" s="61" t="n">
        <f aca="false">IFERROR(IF(AND(TRIM(U145)="Pass",SUMPRODUCT((LEN(BC145)-LEN(SUBSTITUTE(BC145," "&amp;L_ResultBad&amp;" "," ")))/(LEN(L_ResultBad)+1))&gt;SUMPRODUCT((LEN(BC145)-LEN(SUBSTITUTE(BC145," "&amp;L_NegPhrase&amp;" "," ")))/(LEN(L_NegPhrase)+1))),1,0),0)</f>
        <v>0</v>
      </c>
      <c r="BH145" s="61" t="n">
        <f aca="false">IFERROR(IF(SUMPRODUCT((LEN(BC145)-LEN(SUBSTITUTE(BC145," "&amp;L_Pending&amp;" "," ")))/(LEN(L_Pending)+1))&gt;SUMPRODUCT((LEN(BC145)-LEN(SUBSTITUTE(BC145," "&amp;L_PendNeg&amp;" "," ")))/(LEN(L_PendNeg)+1))+SUMPRODUCT((LEN(BC145)-LEN(SUBSTITUTE(BC145," "&amp;L_PendPrep&amp;" "," ")))/(LEN(L_PendPrep)+1)),1,0),1)</f>
        <v>0</v>
      </c>
      <c r="BI145" s="61" t="n">
        <f aca="false">IFERROR(IF(SUMPRODUCT((LEN(BD145)-LEN(SUBSTITUTE(BD145," "&amp;L_PendStrict&amp;" "," ")))/(LEN(L_PendStrict)+1))&gt;SUMPRODUCT((LEN(BD145)-LEN(SUBSTITUTE(BD145," "&amp;L_PendNeg&amp;" "," ")))/(LEN(L_PendNeg)+1)),1,0),1)</f>
        <v>0</v>
      </c>
      <c r="BJ145" s="61" t="n">
        <f aca="false">IFERROR(IF(SUMPRODUCT((LEN(BE145)-LEN(SUBSTITUTE(BE145," "&amp;L_Pending&amp;" "," ")))/(LEN(L_Pending)+1))&gt;SUMPRODUCT((LEN(BE145)-LEN(SUBSTITUTE(BE145," "&amp;L_PendNeg&amp;" "," ")))/(LEN(L_PendNeg)+1))+SUMPRODUCT((LEN(BE145)-LEN(SUBSTITUTE(BE145," "&amp;L_PendPrep&amp;" "," ")))/(LEN(L_PendPrep)+1)),1,0),1)</f>
        <v>0</v>
      </c>
      <c r="BK145" s="61" t="n">
        <f aca="false">IFERROR(IF(SUMPRODUCT((LEN(BF145)-LEN(SUBSTITUTE(BF145," "&amp;L_PendStrict&amp;" "," ")))/(LEN(L_PendStrict)+1))&gt;SUMPRODUCT((LEN(BF145)-LEN(SUBSTITUTE(BF145," "&amp;L_PendNeg&amp;" "," ")))/(LEN(L_PendNeg)+1)),1,0),1)</f>
        <v>0</v>
      </c>
      <c r="BL145" s="61" t="n">
        <f aca="false">IF(ISNA(MATCH(TRIM(S145),L_EvidenceType,0)),0,BZ145)</f>
        <v>0</v>
      </c>
      <c r="BM145" s="61" t="str">
        <f aca="false">SUBSTITUTE(SUBSTITUTE(SUBSTITUTE(SUBSTITUTE(SUBSTITUTE(SUBSTITUTE(SUBSTITUTE(SUBSTITUTE(SUBSTITUTE(LOWER(Z145&amp;""),"1","0"),"2","0"),"3","0"),"4","0"),"5","0"),"6","0"),"7","0"),"8","0"),"9","0")</f>
        <v/>
      </c>
      <c r="BN145" s="61" t="str">
        <f aca="false">SUBSTITUTE(SUBSTITUTE(SUBSTITUTE(SUBSTITUTE(SUBSTITUTE(SUBSTITUTE(SUBSTITUTE(SUBSTITUTE(SUBSTITUTE(SUBSTITUTE(SUBSTITUTE(SUBSTITUTE(SUBSTITUTE(SUBSTITUTE(SUBSTITUTE(SUBSTITUTE(SUBSTITUTE(SUBSTITUTE(SUBSTITUTE(SUBSTITUTE(SUBSTITUTE(SUBSTITUTE(SUBSTITUTE(SUBSTITUTE(SUBSTITUTE(BM145,"b","a"),"c","a"),"d","a"),"e","a"),"f","a"),"g","a"),"h","a"),"i","a"),"j","a"),"k","a"),"l","a"),"m","a"),"n","a"),"o","a"),"p","a"),"q","a"),"r","a"),"s","a"),"t","a"),"u","a"),"v","a"),"w","a"),"x","a"),"y","a"),"z","a")</f>
        <v/>
      </c>
      <c r="BO145" s="61" t="str">
        <f aca="false">SUBSTITUTE(SUBSTITUTE(SUBSTITUTE(SUBSTITUTE(SUBSTITUTE(SUBSTITUTE(SUBSTITUTE(SUBSTITUTE(SUBSTITUTE(LOWER(W145&amp;""),"1","0"),"2","0"),"3","0"),"4","0"),"5","0"),"6","0"),"7","0"),"8","0"),"9","0")</f>
        <v/>
      </c>
      <c r="BP145" s="61" t="str">
        <f aca="false">SUBSTITUTE(SUBSTITUTE(SUBSTITUTE(SUBSTITUTE(SUBSTITUTE(SUBSTITUTE(SUBSTITUTE(SUBSTITUTE(SUBSTITUTE(SUBSTITUTE(SUBSTITUTE(SUBSTITUTE(SUBSTITUTE(SUBSTITUTE(SUBSTITUTE(SUBSTITUTE(SUBSTITUTE(SUBSTITUTE(SUBSTITUTE(SUBSTITUTE(SUBSTITUTE(SUBSTITUTE(SUBSTITUTE(SUBSTITUTE(SUBSTITUTE(BO145,"b","a"),"c","a"),"d","a"),"e","a"),"f","a"),"g","a"),"h","a"),"i","a"),"j","a"),"k","a"),"l","a"),"m","a"),"n","a"),"o","a"),"p","a"),"q","a"),"r","a"),"s","a"),"t","a"),"u","a"),"v","a"),"w","a"),"x","a"),"y","a"),"z","a")</f>
        <v/>
      </c>
      <c r="BQ145" s="61" t="n">
        <f aca="false">IFERROR(IF(AND(ISERROR(SEARCH(" mh"," "&amp;LOWER(W145))),ISNA(MATCH(LEFT(TRIM(BP145),255),{"0000a","000a","00a","0000aa","000aa","00aa","0aa","0000aaa","000aaa","00a00","0a00","0000-0000","00:00","a00","a0","00.00.0000","00/00/0000","00-00-0000","0000-00-00","0000/00/00","0000.00.00","00.00.00","00/00/00","00-00-00","0.00.0000","0/00/0000","0-00-0000"},0)),ISNA(MATCH(LEFT(TRIM(CA145),255),{"0000a","000a","00a","0000aa","000aa","00aa","0aa","0000aaa","000aaa","00a00","0a00","0000-0000","00:00","a00","a0","00.00.0000","00/00/0000","00-00-0000","0000-00-00","0000/00/00","0000.00.00","00.00.00","00/00/00","00-00-00","0.00.0000","0/00/0000","0-00-0000"},0)),LEN(CB145)&gt;=3,NOT(OR(SUBSTITUTE(CB145,"0","")="",AND(LEN(CB145)&gt;=4,CB145=REPT(LEFT(CB145),LEN(CB145))),ISNUMBER(MATCH(CB145,{"123","1234","12345","123456","1234567","12345678","0123","01234","012345","98765","987654","54321"},0)),AND(LEN(CB145)=8,LEFT(CB145,3)="202"))),OR(AND((LEN(CA145)-LEN(SUBSTITUTE(CA145,"a","")))&gt;=1,SUMPRODUCT(--ISNUMBER(SEARCH({"a0","a-0","a_0","a/0","a.0","a#0","0a","0-a","0_a","0/a"},BP145)))&gt;0),ISNUMBER(SEARCH("000000",BP145)))),1,0),0)</f>
        <v>0</v>
      </c>
      <c r="BR145" s="61" t="n">
        <f aca="false">IFERROR(LEN(SUBSTITUTE(CC145," ",""))-SUMPRODUCT((LEN(CC145)-LEN(SUBSTITUTE(CC145," "&amp;L_Role&amp;" "," ")))/(LEN(L_Role)+1)*LEN(L_Role)),0)</f>
        <v>0</v>
      </c>
      <c r="BS145" s="61" t="n">
        <f aca="false">IFERROR(LEN(SUBSTITUTE(CD145," ",""))-SUMPRODUCT((LEN(CD145)-LEN(SUBSTITUTE(CD145," "&amp;L_Role&amp;" "," ")))/(LEN(L_Role)+1)*LEN(L_Role)),0)</f>
        <v>0</v>
      </c>
      <c r="BT1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145,"revision",""),"version",""),"jan",""),"feb",""),"mar",""),"apr",""),"may",""),"jun",""),"jul",""),"aug",""),"sep",""),"oct",""),"nov",""),"dec",""),"utc",""),"gmt",""),"myt",""),"bst",""),"rev",""),"ver",""),"b","a"),"c","a"),"d","a"),"e","a"),"f","a"),"g","a"),"h","a"),"i","a"),"j","a"),"k","a"),"l","a"),"m","a"),"n","a"),"o","a"),"p","a"),"q","a"),"r","a"),"s","a"),"t","a"),"u","a"),"v","a"),"w","a"),"x","a"),"y","a"),"z","a")</f>
        <v/>
      </c>
      <c r="BU145" s="61" t="str">
        <f aca="false">SUBSTITUTE(SUBSTITUTE(SUBSTITUTE(SUBSTITUTE(SUBSTITUTE(SUBSTITUTE(SUBSTITUTE(SUBSTITUTE(SUBSTITUTE(SUBSTITUTE(LEFT(BM145,FIND("0",BM145&amp;"0")-1),"-",""),"_",""),"/",""),".",""),"#",""),"\\",""),":","")," ",""),"(",""),")","")</f>
        <v/>
      </c>
      <c r="BV145" s="61" t="n">
        <f aca="false">0</f>
        <v>0</v>
      </c>
      <c r="BW1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145&amp;""),"a",""),"b",""),"c",""),"d",""),"e",""),"f",""),"g",""),"h",""),"i",""),"j",""),"k",""),"l",""),"m",""),"n",""),"o",""),"p",""),"q",""),"r",""),"s",""),"t",""),"u",""),"v",""),"w",""),"x",""),"y",""),"z",""),"-",""),"_",""),"/",""),".",""),"#",""),"\\",""),":","")," ",""),"(",""),")","")</f>
        <v/>
      </c>
      <c r="BX145" s="61" t="str">
        <f aca="false">SUBSTITUTE(SUBSTITUTE(SUBSTITUTE(SUBSTITUTE(SUBSTITUTE(SUBSTITUTE(SUBSTITUTE(SUBSTITUTE(SUBSTITUTE(SUBSTITUTE(SUBSTITUTE(BM145,"0",""),"-",""),"_",""),"/",""),".",""),"#",""),"\\",""),":","")," ",""),"(",""),")","")</f>
        <v/>
      </c>
      <c r="BY145" s="62" t="n">
        <f aca="false">Q145-T7EarlyD*24/24</f>
        <v>46289.0451388889</v>
      </c>
      <c r="BZ145" s="61" t="n">
        <f aca="false">IFERROR(IF(IF(TRIM(S145)="Link / file path",AND(LEN(TRIM(Z145))&gt;=5,SUMPRODUCT(--ISNUMBER(SEARCH({"http","www.","\\",":\",".pdf",".jpg",".jpeg",".png",".heic",".xls",".doc",".msg",".eml",".ppt",".txt",".zip"},Z145)))&gt;0),AND(ISERROR(FIND(" ",TRIM(Z145))),NOT(OR(SUMPRODUCT(--ISNUMBER(FIND({",",";","&amp;","+"},Z145)))&gt;0,SUMPRODUCT(--ISNUMBER(SEARCH({"0/aa","0\\aa"},BN145)))&gt;0)),NOT(SUMPRODUCT(--ISNUMBER(SEARCH({"http","www.","\\",":\",".pdf",".jpg",".jpeg",".png",".heic",".xls",".doc",".msg",".eml",".ppt",".txt",".zip"},Z145)))&gt;0),NOT(LOWER(TRIM(Z145))=LOWER(Flights!$F$9)),ISNA(MATCH(BU145,{"mh","rev","revision","ver","version","v","r","a","b","seat","tray","row","gate","bay","stand","page","pg","item","line","no","cart","galley","flight","flt","table","box","bag","oven","etd","eta","std","sta","atd","ata","qty","pax","x","time","tel","ph","mob","day","wk","week","utc","gmt","myt","lt"},0)),NOT(OR(ISNUMBER(MATCH(LEFT(BN145,255),{"0000a","000a","00a","0000aa","000aa","00aa","0aa","0000aaa","000aaa","00a00","0a00","0000-0000","00:00","a00","a0","00.00.0000","00/00/0000","00-00-0000","0000-00-00","0000/00/00","0000.00.00","00.00.00","00/00/00","00-00-00","0.00.0000","0/00/0000","0-00-0000"},0)),ISNUMBER(MATCH(LEFT(BT145,255),{"0000a","000a","00a","0000aa","000aa","00aa","0aa","0000aaa","000aaa","00a00","0a00","0000-0000","00:00","a00","a0","00.00.0000","00/00/0000","00-00-0000","0000-00-00","0000/00/00","0000.00.00","00.00.00","00/00/00","00-00-00","0.00.0000","0/00/0000","0-00-0000"},0)))),NOT(OR(AND(BW145&lt;&gt;"",SUBSTITUTE(BW145,"0","")=""),AND(LEN(BW145)&gt;=4,BW145=REPT(LEFT(BW145),LEN(BW145))),ISNUMBER(MATCH(BW145,{"123","1234","12345","123456","1234567","12345678","0123","01234","012345","98765","987654","54321"},0)),ISNUMBER(MATCH(BX145,{"x","xx","xxx","xxxx","xxxxx","abc","abcd","nil","na","nan","test","tbc","tba","tbd","dummy","sample","example","eg","zz","zzz","none","null","xyz","qwe","asd","id","ref"},0)),AND(LEN(BW145)=8,BX145="",OR(LEFT(BW145,3)="202",ISNUMBER(MATCH(RIGHT(BW145,4),{"2025","2026","2027"},0)))))),OR(AND((LEN(BT145)-LEN(SUBSTITUTE(BT145,"a","")))&gt;=1,(LEN(BN145)-LEN(SUBSTITUTE(BN145,"0","")))&gt;=2,SUMPRODUCT(--ISNUMBER(SEARCH({"a0","a-0","a_0","a/0","a.0","a#0","0a","0-a","0_a","0/a"},BN145)))&gt;0),AND((LEN(BN145)-LEN(SUBSTITUTE(BN145,"a","")))=0,(LEN(BN145)-LEN(SUBSTITUTE(BN145,"0","")))&gt;=5)))),1,0),0)</f>
        <v>0</v>
      </c>
      <c r="CA1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145,"revision",""),"version",""),"jan",""),"feb",""),"mar",""),"apr",""),"may",""),"jun",""),"jul",""),"aug",""),"sep",""),"oct",""),"nov",""),"dec",""),"utc",""),"gmt",""),"myt",""),"bst",""),"rev",""),"ver",""),"b","a"),"c","a"),"d","a"),"e","a"),"f","a"),"g","a"),"h","a"),"i","a"),"j","a"),"k","a"),"l","a"),"m","a"),"n","a"),"o","a"),"p","a"),"q","a"),"r","a"),"s","a"),"t","a"),"u","a"),"v","a"),"w","a"),"x","a"),"y","a"),"z","a")</f>
        <v/>
      </c>
      <c r="CB1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145&amp;""),"a",""),"b",""),"c",""),"d",""),"e",""),"f",""),"g",""),"h",""),"i",""),"j",""),"k",""),"l",""),"m",""),"n",""),"o",""),"p",""),"q",""),"r",""),"s",""),"t",""),"u",""),"v",""),"w",""),"x",""),"y",""),"z",""),"-",""),"_",""),"/",""),".",""),"#",""),"\\",""),":","")," ",""),"(",""),")","")</f>
        <v/>
      </c>
      <c r="CC145" s="0" t="str">
        <f aca="false">" "&amp;TRIM(SUBSTITUTE(SUBSTITUTE(SUBSTITUTE(SUBSTITUTE(SUBSTITUTE(SUBSTITUTE(SUBSTITUTE(SUBSTITUTE(SUBSTITUTE(SUBSTITUTE(SUBSTITUTE(SUBSTITUTE(SUBSTITUTE(SUBSTITUTE(SUBSTITUTE(SUBSTITUTE(SUBSTITUTE(SUBSTITUTE(SUBSTITUTE(SUBSTITUTE(SUBSTITUTE(SUBSTITUTE(SUBSTITUTE(SUBSTITUTE(LOWER(T145&amp;""),CHAR(10)," "),CHAR(13)," "),CHAR(9)," "),CHAR(160)," "),"."," "),","," "),"-"," "),"/"," "),"("," "),")"," "),":"," "),";"," "),"_"," "),"–"," "),"?"," "),"!"," "),"*"," "),"["," "),"]"," "),"'"," "),"#"," "),"+"," "),"&amp;"," "),"\"," "))&amp;" "</f>
        <v>  </v>
      </c>
      <c r="CD145" s="0" t="str">
        <f aca="false">" "&amp;TRIM(SUBSTITUTE(SUBSTITUTE(SUBSTITUTE(SUBSTITUTE(SUBSTITUTE(SUBSTITUTE(SUBSTITUTE(SUBSTITUTE(SUBSTITUTE(SUBSTITUTE(SUBSTITUTE(SUBSTITUTE(SUBSTITUTE(SUBSTITUTE(SUBSTITUTE(SUBSTITUTE(SUBSTITUTE(SUBSTITUTE(SUBSTITUTE(SUBSTITUTE(SUBSTITUTE(SUBSTITUTE(SUBSTITUTE(SUBSTITUTE(LOWER(AE145&amp;""),CHAR(10)," "),CHAR(13)," "),CHAR(9)," "),CHAR(160)," "),"."," "),","," "),"-"," "),"/"," "),"("," "),")"," "),":"," "),";"," "),"_"," "),"–"," "),"?"," "),"!"," "),"*"," "),"["," "),"]"," "),"'"," "),"#"," "),"+"," "),"&amp;"," "),"\"," "))&amp;" "</f>
        <v>  </v>
      </c>
      <c r="CE145" s="68" t="n">
        <f aca="false">IFERROR(IF(AND(LEN(AU145)&gt;0,LEN(AU145)=LEN(AX145),OR(TRIM(MID(SUBSTITUTE(TRIM(CC145)," ",REPT(" ",60)),1,60))="",ISNUMBER(SEARCH(" "&amp;TRIM(MID(SUBSTITUTE(TRIM(CC145)," ",REPT(" ",60)),1,60))&amp;" ",CD145))),OR(TRIM(MID(SUBSTITUTE(TRIM(CC145)," ",REPT(" ",60)),61,60))="",ISNUMBER(SEARCH(" "&amp;TRIM(MID(SUBSTITUTE(TRIM(CC145)," ",REPT(" ",60)),61,60))&amp;" ",CD145))),OR(TRIM(MID(SUBSTITUTE(TRIM(CC145)," ",REPT(" ",60)),121,60))="",ISNUMBER(SEARCH(" "&amp;TRIM(MID(SUBSTITUTE(TRIM(CC145)," ",REPT(" ",60)),121,60))&amp;" ",CD145)))),1,0),0)</f>
        <v>0</v>
      </c>
      <c r="CG145" s="68" t="n">
        <f aca="false">IFERROR(LEN(SUBSTITUTE(BF145," ",""))-SUMPRODUCT((LEN(BF145)-LEN(SUBSTITUTE(BF145," "&amp;L_NAFiller&amp;" "," ")))/(LEN(L_NAFiller)+1)*LEN(L_NAFiller)),0)</f>
        <v>0</v>
      </c>
    </row>
    <row r="146" customFormat="false" ht="91.5" hidden="false" customHeight="true" outlineLevel="0" collapsed="false">
      <c r="A146" s="57" t="s">
        <v>671</v>
      </c>
      <c r="B146" s="57" t="s">
        <v>228</v>
      </c>
      <c r="C146" s="57" t="str">
        <f aca="false">Flights!$F$9</f>
        <v>MH0089</v>
      </c>
      <c r="D146" s="58" t="n">
        <f aca="false">Flights!$D$9</f>
        <v>46310</v>
      </c>
      <c r="E146" s="57" t="str">
        <f aca="false">Flights!$G$9&amp;"-"&amp;Flights!$H$9</f>
        <v>NRT-KUL</v>
      </c>
      <c r="F146" s="57" t="str">
        <f aca="false">Flights!$K$9</f>
        <v>EY</v>
      </c>
      <c r="G146" s="57" t="s">
        <v>81</v>
      </c>
      <c r="H146" s="57" t="s">
        <v>378</v>
      </c>
      <c r="I146" s="57" t="s">
        <v>411</v>
      </c>
      <c r="J146" s="57" t="s">
        <v>672</v>
      </c>
      <c r="K146" s="67" t="s">
        <v>673</v>
      </c>
      <c r="L146" s="67" t="s">
        <v>674</v>
      </c>
      <c r="M146" s="67"/>
      <c r="N146" s="67" t="s">
        <v>444</v>
      </c>
      <c r="O146" s="67" t="s">
        <v>675</v>
      </c>
      <c r="P146" s="57" t="s">
        <v>187</v>
      </c>
      <c r="Q146" s="59" t="n">
        <f aca="false">ROUND((Flights!$AC$9)*1440,0)/1440</f>
        <v>46303.0451388889</v>
      </c>
      <c r="R146" s="59" t="n">
        <f aca="false">Q146+(IF(AND(INDEX(TZ_DSTS,MATCH(P146,TZ_STN,0))&lt;&gt;"",Q146&gt;=INDEX(TZ_DSTS,MATCH(P146,TZ_STN,0)),Q146&lt;INDEX(TZ_DSTE,MATCH(P146,TZ_STN,0))),INDEX(TZ_DST,MATCH(P146,TZ_STN,0)),INDEX(TZ_STD,MATCH(P146,TZ_STN,0))))/24</f>
        <v>46303.3784722222</v>
      </c>
      <c r="S146" s="60"/>
      <c r="T146" s="60"/>
      <c r="U146" s="60"/>
      <c r="V146" s="60"/>
      <c r="W146" s="61"/>
      <c r="X146" s="60"/>
      <c r="Y146" s="60"/>
      <c r="Z146" s="60"/>
      <c r="AA146" s="60"/>
      <c r="AB146" s="60"/>
      <c r="AC146" s="60"/>
      <c r="AD146" s="66"/>
      <c r="AE146" s="60"/>
      <c r="AF146" s="61" t="str">
        <f aca="false">IF(AND(ISNUMBER(X146),ISNUMBER(Y146)),Y146-X146,"")</f>
        <v/>
      </c>
      <c r="AG146" s="62" t="str">
        <f aca="false">IF(ISNUMBER(AD146),AD146-(IF(AND(INDEX(TZ_DSTS,MATCH(P146,TZ_STN,0))&lt;&gt;"",(AD146-INDEX(TZ_STD,MATCH(P146,TZ_STN,0))/24)&gt;=INDEX(TZ_DSTS,MATCH(P146,TZ_STN,0)),(AD146-INDEX(TZ_STD,MATCH(P146,TZ_STN,0))/24)&lt;INDEX(TZ_DSTE,MATCH(P146,TZ_STN,0))),INDEX(TZ_DST,MATCH(P146,TZ_STN,0)),INDEX(TZ_STD,MATCH(P146,TZ_STN,0))))/24,"")</f>
        <v/>
      </c>
      <c r="AH146" s="65" t="str">
        <f aca="false">IFERROR(IF(N146="N/A – rule",IF(OR(TRIM(U146)="",TRIM(U146)="N/A",TRIM(U146)="Not started"),"N/A – RULE","INVALID – this check does not apply to this aircraft: clear the status (or correct the fleet on Flights)"),IF(TRIM(U146)="N/A",IF(AT146=0,"INVALID – N/A not permitted for this check",IF(AND(TRIM(AB146)&lt;&gt;"",TRIM(AB146)&lt;&gt;"Closed"),"INVALID – corrective action still open",IF(AND(NOT(OR(LEN(AZ146)&lt;15,ISNUMBER(MATCH(AZ146,L_Placeholder,0)))),BK146=0,CG146&gt;=8,NOT(OR(LEN(AU146)&lt;2,ISNUMBER(MATCH(AU146,L_Placeholder,0)))),BR146&gt;=3,NOT(OR(LEN(AX146)&lt;2,ISNUMBER(MATCH(AX146,L_Placeholder,0)))),BS146&gt;=3,TRIM(AE146)&lt;&gt;TRIM(T146),AX146&lt;&gt;AU146,CE146=0),"N/A – JUSTIFIED","INVALID – N/A needs a real, settled reason (not 'not applicable' / 'as above' / TBC), a named PIC and a different named verifier"))),IF(OR(TRIM(U146)="Pass",TRIM(U146)="Pass after CA"),IF(NOT(ISNUMBER(AD146)),"INVALID – completion time missing",IF(OR(OR(LEN(AU146)&lt;2,ISNUMBER(MATCH(AU146,L_Placeholder,0))),BR146&lt;3),"INVALID – PIC missing or not a named person (a role such as QA / CSM is not a name)",IF(OR(LEN(AV146)&lt;2,ISNUMBER(MATCH(AV146,L_Placeholder,0))),"INVALID – result / assessment missing",IF(OR(OR(LEN(AW146)&lt;3,ISNUMBER(MATCH(AW146,L_Placeholder,0))),SUMPRODUCT(--ISNUMBER(SEARCH(" "&amp;L_EvidencePhrase&amp;" ",BD146)))&gt;0,BI146=1),"INVALID – evidence missing, placeholder or not yet on file",IF(ISNA(MATCH(TRIM(S146),L_EvidenceType,0)),"INVALID – choose the evidence type from the list (column S)",IF(BL146=0,"INVALID – evidence ID must be the record's own ID only (e.g. SF-2210, IMG_2231, 1045521); a link / file name needs type 'Link / file path'",IF(OR(OR(LEN(AX146)&lt;2,ISNUMBER(MATCH(AX146,L_Placeholder,0))),BS146&lt;3),"INVALID – verifier missing or not a named person (a role such as QA / CSM is not a name)",IF(OR(AX146=AU146,CE146=1,AND(LEN(AU146)&gt;=4,ISNUMBER(SEARCH(AU146,AX146))),AND(LEN(AX146)&gt;=4,ISNUMBER(SEARCH(AX146,AU146)))),"INVALID – verifier must be a different, named person (not the PIC or a role)",IF(BH146=1,"INVALID – result not yet available (awaiting / TBC)",IF(BG146=1,"INVALID – result describes a problem: record Fail, then Pass after CA (or reword if it is not a problem)",IF(BV146=1,"INVALID – wording says not on board: an on-board confirmation needs the item loaded",IF(AND(AQ146=1,OR(OR(LEN(AY146)&lt;3,ISNUMBER(MATCH(AY146,L_Placeholder,0))),BJ146=1,BQ146=0)),"INVALID – batch ID missing, placeholder or not an ID (e.g. PASB-261008-BC-017)",IF(AND(AR146=1,OR(NOT(ISNUMBER(X146)),NOT(ISNUMBER(Y146)))),"INVALID – expected/actual qty missing",IF(AND(AR146=1,OR(X146&lt;=0,Y146&lt;0)),"INVALID – expected qty must be above 0 and actual not negative",IF(BB146&lt;&gt;"",BB146,IF(AND(AS146=1,Documents!$J$9&lt;&gt;"ON FILE"),"INVALID – GLD not on file (Documents sheet)",IF(AND(AS146=2,Documents!$O$9&lt;&gt;"ON FILE"),"INVALID – menu checklist not on file (Documents sheet)",IF(AND(AS146=3,NOT(ISNUMBER(Flights!$AX$9))),"INVALID – enter carrying flight KUL departure (Flights AX)",IF(AND(AS146=3,OR(Flights!$AZ$9&gt;Flights!$AA$9,Flights!$AX$9&lt;Flights!$AA$9-3)),"INVALID – carrying flight (Flights AX) cannot arrive before this leg's STD, or is over 3 days early",IF(AG146&gt;AsOfUTC,"INVALID – completion time is in the future",IF(AND(ISNUMBER(BY146),AG146&lt;BY146),IF(H146="Physical uplift","INVALID – before uplift window (cannot confirm loading)","INVALID – before valid window"),IF(AG146&gt;Flights!$AA$9,"INVALID – completed after departure (cannot establish readiness)",IF(AND(H146="Preparation",AG146&gt;=IF(ISNUMBER(Flights!$BA$9),MIN(Flights!$BA$9,Flights!$AA$9),Flights!$AA$9)),"INVALID – completed after loading / departure (cannot establish readiness)",IF(AND(H146="Physical uplift",AG146&gt;Q146),"INVALID – recorded after the loading flight departed",IF(AG146&gt;Q146,"COMPLETE – LATE","COMPLETE"))))))))))))))))))))))))),IF(TRIM(U146)="Fail","FAIL – DISCREPANCY",IF(AND(TRIM(U146)&lt;&gt;"",TRIM(U146)&lt;&gt;"Not started",TRIM(U146)&lt;&gt;"In progress"),"INVALID – unrecognised status (use the list)",IF(AsOfUTC&gt;Q146,"OVERDUE",IF(N146="Clarification required","OPEN – CLARIFICATION","OPEN"))))))),"INVALID – error value in an input cell")</f>
        <v>OPEN – CLARIFICATION</v>
      </c>
      <c r="AI146" s="61" t="n">
        <f aca="false">IF(OR(AH146="N/A – RULE",AH146="N/A – JUSTIFIED"),0,1)</f>
        <v>1</v>
      </c>
      <c r="AJ146" s="61" t="n">
        <f aca="false">IF(LEFT(AH146,8)="COMPLETE",1,0)</f>
        <v>0</v>
      </c>
      <c r="AK146" s="61" t="n">
        <f aca="false">IF(AND(AI146=1,AJ146=0,AsOfUTC&gt;Q146),1,0)</f>
        <v>0</v>
      </c>
      <c r="AL146" s="61" t="n">
        <f aca="false">IFERROR(IF(AND(AI146=1,OR(TRIM(U146)="Fail",AND(TRIM(AB146)&lt;&gt;"",TRIM(AB146)&lt;&gt;"Closed"),AND(ISNUMBER(AF146),AF146&lt;&gt;0,TRIM(U146)&lt;&gt;"Pass after CA"))),1,0),1)</f>
        <v>0</v>
      </c>
      <c r="AM146" s="61" t="n">
        <f aca="false">IF(LEFT(AH146,7)="INVALID",1,0)</f>
        <v>0</v>
      </c>
      <c r="AN146" s="61" t="n">
        <f aca="false">IF(AND(N146="Clarification required",AI146=1,AJ146=0),1,0)</f>
        <v>1</v>
      </c>
      <c r="AO146" s="61" t="str">
        <f aca="false">IF(AK146=1,SUM(AK$5:AK146),"")</f>
        <v/>
      </c>
      <c r="AP146" s="61" t="str">
        <f aca="false">IF(AL146=1,SUM(AL$5:AL146),"")</f>
        <v/>
      </c>
      <c r="AQ146" s="61" t="n">
        <v>0</v>
      </c>
      <c r="AR146" s="61" t="n">
        <v>0</v>
      </c>
      <c r="AS146" s="61" t="n">
        <v>3</v>
      </c>
      <c r="AT146" s="61" t="n">
        <v>0</v>
      </c>
      <c r="AU146" s="61" t="str">
        <f aca="false">SUBSTITUTE(SUBSTITUTE(SUBSTITUTE(SUBSTITUTE(SUBSTITUTE(SUBSTITUTE(SUBSTITUTE(SUBSTITUTE(SUBSTITUTE(SUBSTITUTE(SUBSTITUTE(SUBSTITUTE(SUBSTITUTE(SUBSTITUTE(SUBSTITUTE(SUBSTITUTE(LOWER(T146&amp;""),CHAR(10),""),CHAR(13),""),CHAR(9),""),CHAR(160),"")," ",""),".",""),"-",""),"/",""),"?",""),"_",""),",",""),"[",""),"]",""),"(",""),")",""),"*","")</f>
        <v/>
      </c>
      <c r="AV146" s="61" t="str">
        <f aca="false">SUBSTITUTE(SUBSTITUTE(SUBSTITUTE(SUBSTITUTE(SUBSTITUTE(SUBSTITUTE(SUBSTITUTE(SUBSTITUTE(SUBSTITUTE(SUBSTITUTE(SUBSTITUTE(SUBSTITUTE(SUBSTITUTE(SUBSTITUTE(SUBSTITUTE(SUBSTITUTE(LOWER(V146&amp;""),CHAR(10),""),CHAR(13),""),CHAR(9),""),CHAR(160),"")," ",""),".",""),"-",""),"/",""),"?",""),"_",""),",",""),"[",""),"]",""),"(",""),")",""),"*","")</f>
        <v/>
      </c>
      <c r="AW146" s="61" t="str">
        <f aca="false">SUBSTITUTE(SUBSTITUTE(SUBSTITUTE(SUBSTITUTE(SUBSTITUTE(SUBSTITUTE(SUBSTITUTE(SUBSTITUTE(SUBSTITUTE(SUBSTITUTE(SUBSTITUTE(SUBSTITUTE(SUBSTITUTE(SUBSTITUTE(SUBSTITUTE(SUBSTITUTE(LOWER(Z146&amp;""),CHAR(10),""),CHAR(13),""),CHAR(9),""),CHAR(160),"")," ",""),".",""),"-",""),"/",""),"?",""),"_",""),",",""),"[",""),"]",""),"(",""),")",""),"*","")</f>
        <v/>
      </c>
      <c r="AX146" s="61" t="str">
        <f aca="false">SUBSTITUTE(SUBSTITUTE(SUBSTITUTE(SUBSTITUTE(SUBSTITUTE(SUBSTITUTE(SUBSTITUTE(SUBSTITUTE(SUBSTITUTE(SUBSTITUTE(SUBSTITUTE(SUBSTITUTE(SUBSTITUTE(SUBSTITUTE(SUBSTITUTE(SUBSTITUTE(LOWER(AE146&amp;""),CHAR(10),""),CHAR(13),""),CHAR(9),""),CHAR(160),"")," ",""),".",""),"-",""),"/",""),"?",""),"_",""),",",""),"[",""),"]",""),"(",""),")",""),"*","")</f>
        <v/>
      </c>
      <c r="AY146" s="61" t="str">
        <f aca="false">SUBSTITUTE(SUBSTITUTE(SUBSTITUTE(SUBSTITUTE(SUBSTITUTE(SUBSTITUTE(SUBSTITUTE(SUBSTITUTE(SUBSTITUTE(SUBSTITUTE(SUBSTITUTE(SUBSTITUTE(SUBSTITUTE(SUBSTITUTE(SUBSTITUTE(SUBSTITUTE(LOWER(W146&amp;""),CHAR(10),""),CHAR(13),""),CHAR(9),""),CHAR(160),"")," ",""),".",""),"-",""),"/",""),"?",""),"_",""),",",""),"[",""),"]",""),"(",""),")",""),"*","")</f>
        <v/>
      </c>
      <c r="AZ146" s="61" t="str">
        <f aca="false">SUBSTITUTE(SUBSTITUTE(SUBSTITUTE(SUBSTITUTE(SUBSTITUTE(SUBSTITUTE(SUBSTITUTE(SUBSTITUTE(SUBSTITUTE(SUBSTITUTE(SUBSTITUTE(SUBSTITUTE(SUBSTITUTE(SUBSTITUTE(SUBSTITUTE(SUBSTITUTE(LOWER(AC146&amp;""),CHAR(10),""),CHAR(13),""),CHAR(9),""),CHAR(160),"")," ",""),".",""),"-",""),"/",""),"?",""),"_",""),",",""),"[",""),"]",""),"(",""),")",""),"*","")</f>
        <v/>
      </c>
      <c r="BA146" s="61" t="str">
        <f aca="false">SUBSTITUTE(SUBSTITUTE(SUBSTITUTE(SUBSTITUTE(SUBSTITUTE(SUBSTITUTE(SUBSTITUTE(SUBSTITUTE(SUBSTITUTE(SUBSTITUTE(SUBSTITUTE(SUBSTITUTE(SUBSTITUTE(SUBSTITUTE(SUBSTITUTE(SUBSTITUTE(LOWER(AA146&amp;""),CHAR(10),""),CHAR(13),""),CHAR(9),""),CHAR(160),"")," ",""),".",""),"-",""),"/",""),"?",""),"_",""),",",""),"[",""),"]",""),"(",""),")",""),"*","")</f>
        <v/>
      </c>
      <c r="BB146" s="61" t="str">
        <f aca="false">IF(AND(TRIM(U146)="Pass",ISNUMBER(AF146)),IF(AF146&lt;&gt;0,"INVALID – qty variance: use Fail or Pass after CA",""),"")&amp;IF(AND(TRIM(U146)="Pass after CA",ISNUMBER(AF146)),IF(AF146&lt;&gt;0,"INVALID – after the corrective action the actual qty must equal expected (update Actual)",""),"")&amp;IF(AND(TRIM(U146)="Pass",TRIM(AB146)&lt;&gt;"",TRIM(AB146)&lt;&gt;"Closed"),"INVALID – corrective action not closed: use Fail, then Pass after CA","")&amp;IF(AND(LEN(BA146)&gt;=2,ISNA(MATCH(LEFT(BA146,255),L_Placeholder,0)),TRIM(AB146)=""),"INVALID – CA status missing for the recorded corrective action","")&amp;IF(AND(TRIM(U146)="Pass after CA",OR(OR(LEN(BA146)&lt;5,ISNUMBER(MATCH(BA146,L_Placeholder,0))),TRIM(AB146)&lt;&gt;"Closed")),"INVALID – corrective action not recorded/closed","")</f>
        <v/>
      </c>
      <c r="BC146" s="61" t="str">
        <f aca="false">" "&amp;TRIM(SUBSTITUTE(SUBSTITUTE(SUBSTITUTE(SUBSTITUTE(SUBSTITUTE(SUBSTITUTE(SUBSTITUTE(SUBSTITUTE(SUBSTITUTE(SUBSTITUTE(SUBSTITUTE(SUBSTITUTE(SUBSTITUTE(SUBSTITUTE(SUBSTITUTE(SUBSTITUTE(SUBSTITUTE(SUBSTITUTE(SUBSTITUTE(SUBSTITUTE(SUBSTITUTE(SUBSTITUTE(SUBSTITUTE(SUBSTITUTE(LOWER(V146&amp;""),CHAR(10)," "),CHAR(13)," "),CHAR(9)," "),CHAR(160)," "),"."," "),","," "),"-"," "),"/"," "),"("," "),")"," "),":"," "),";"," "),"_"," "),"–"," "),"?"," "),"!"," "),"*"," "),"["," "),"]"," "),"'"," "),"#"," "),"+"," "),"&amp;"," "),"\"," "))&amp;" "</f>
        <v>  </v>
      </c>
      <c r="BD146" s="61" t="str">
        <f aca="false">" "&amp;TRIM(SUBSTITUTE(SUBSTITUTE(SUBSTITUTE(SUBSTITUTE(SUBSTITUTE(SUBSTITUTE(SUBSTITUTE(SUBSTITUTE(SUBSTITUTE(SUBSTITUTE(SUBSTITUTE(SUBSTITUTE(SUBSTITUTE(SUBSTITUTE(SUBSTITUTE(SUBSTITUTE(SUBSTITUTE(SUBSTITUTE(SUBSTITUTE(SUBSTITUTE(SUBSTITUTE(SUBSTITUTE(SUBSTITUTE(SUBSTITUTE(LOWER(Z146&amp;""),CHAR(10)," "),CHAR(13)," "),CHAR(9)," "),CHAR(160)," "),"."," "),","," "),"-"," "),"/"," "),"("," "),")"," "),":"," "),";"," "),"_"," "),"–"," "),"?"," "),"!"," "),"*"," "),"["," "),"]"," "),"'"," "),"#"," "),"+"," "),"&amp;"," "),"\"," "))&amp;" "</f>
        <v>  </v>
      </c>
      <c r="BE146" s="61" t="str">
        <f aca="false">" "&amp;TRIM(SUBSTITUTE(SUBSTITUTE(SUBSTITUTE(SUBSTITUTE(SUBSTITUTE(SUBSTITUTE(SUBSTITUTE(SUBSTITUTE(SUBSTITUTE(SUBSTITUTE(SUBSTITUTE(SUBSTITUTE(SUBSTITUTE(SUBSTITUTE(SUBSTITUTE(SUBSTITUTE(SUBSTITUTE(SUBSTITUTE(SUBSTITUTE(SUBSTITUTE(SUBSTITUTE(SUBSTITUTE(SUBSTITUTE(SUBSTITUTE(LOWER(W146&amp;""),CHAR(10)," "),CHAR(13)," "),CHAR(9)," "),CHAR(160)," "),"."," "),","," "),"-"," "),"/"," "),"("," "),")"," "),":"," "),";"," "),"_"," "),"–"," "),"?"," "),"!"," "),"*"," "),"["," "),"]"," "),"'"," "),"#"," "),"+"," "),"&amp;"," "),"\"," "))&amp;" "</f>
        <v>  </v>
      </c>
      <c r="BF146" s="61" t="str">
        <f aca="false">" "&amp;TRIM(SUBSTITUTE(SUBSTITUTE(SUBSTITUTE(SUBSTITUTE(SUBSTITUTE(SUBSTITUTE(SUBSTITUTE(SUBSTITUTE(SUBSTITUTE(SUBSTITUTE(SUBSTITUTE(SUBSTITUTE(SUBSTITUTE(SUBSTITUTE(SUBSTITUTE(SUBSTITUTE(SUBSTITUTE(SUBSTITUTE(SUBSTITUTE(SUBSTITUTE(SUBSTITUTE(SUBSTITUTE(SUBSTITUTE(SUBSTITUTE(LOWER(AC146&amp;""),CHAR(10)," "),CHAR(13)," "),CHAR(9)," "),CHAR(160)," "),"."," "),","," "),"-"," "),"/"," "),"("," "),")"," "),":"," "),";"," "),"_"," "),"–"," "),"?"," "),"!"," "),"*"," "),"["," "),"]"," "),"'"," "),"#"," "),"+"," "),"&amp;"," "),"\"," "))&amp;" "</f>
        <v>  </v>
      </c>
      <c r="BG146" s="61" t="n">
        <f aca="false">IFERROR(IF(AND(TRIM(U146)="Pass",SUMPRODUCT((LEN(BC146)-LEN(SUBSTITUTE(BC146," "&amp;L_ResultBad&amp;" "," ")))/(LEN(L_ResultBad)+1))&gt;SUMPRODUCT((LEN(BC146)-LEN(SUBSTITUTE(BC146," "&amp;L_NegPhrase&amp;" "," ")))/(LEN(L_NegPhrase)+1))),1,0),0)</f>
        <v>0</v>
      </c>
      <c r="BH146" s="61" t="n">
        <f aca="false">IFERROR(IF(SUMPRODUCT((LEN(BC146)-LEN(SUBSTITUTE(BC146," "&amp;L_Pending&amp;" "," ")))/(LEN(L_Pending)+1))&gt;SUMPRODUCT((LEN(BC146)-LEN(SUBSTITUTE(BC146," "&amp;L_PendNeg&amp;" "," ")))/(LEN(L_PendNeg)+1))+SUMPRODUCT((LEN(BC146)-LEN(SUBSTITUTE(BC146," "&amp;L_PendPrep&amp;" "," ")))/(LEN(L_PendPrep)+1)),1,0),1)</f>
        <v>0</v>
      </c>
      <c r="BI146" s="61" t="n">
        <f aca="false">IFERROR(IF(SUMPRODUCT((LEN(BD146)-LEN(SUBSTITUTE(BD146," "&amp;L_PendStrict&amp;" "," ")))/(LEN(L_PendStrict)+1))&gt;SUMPRODUCT((LEN(BD146)-LEN(SUBSTITUTE(BD146," "&amp;L_PendNeg&amp;" "," ")))/(LEN(L_PendNeg)+1)),1,0),1)</f>
        <v>0</v>
      </c>
      <c r="BJ146" s="61" t="n">
        <f aca="false">IFERROR(IF(SUMPRODUCT((LEN(BE146)-LEN(SUBSTITUTE(BE146," "&amp;L_Pending&amp;" "," ")))/(LEN(L_Pending)+1))&gt;SUMPRODUCT((LEN(BE146)-LEN(SUBSTITUTE(BE146," "&amp;L_PendNeg&amp;" "," ")))/(LEN(L_PendNeg)+1))+SUMPRODUCT((LEN(BE146)-LEN(SUBSTITUTE(BE146," "&amp;L_PendPrep&amp;" "," ")))/(LEN(L_PendPrep)+1)),1,0),1)</f>
        <v>0</v>
      </c>
      <c r="BK146" s="61" t="n">
        <f aca="false">IFERROR(IF(SUMPRODUCT((LEN(BF146)-LEN(SUBSTITUTE(BF146," "&amp;L_PendStrict&amp;" "," ")))/(LEN(L_PendStrict)+1))&gt;SUMPRODUCT((LEN(BF146)-LEN(SUBSTITUTE(BF146," "&amp;L_PendNeg&amp;" "," ")))/(LEN(L_PendNeg)+1)),1,0),1)</f>
        <v>0</v>
      </c>
      <c r="BL146" s="61" t="n">
        <f aca="false">IF(ISNA(MATCH(TRIM(S146),L_EvidenceType,0)),0,BZ146)</f>
        <v>0</v>
      </c>
      <c r="BM146" s="61" t="str">
        <f aca="false">SUBSTITUTE(SUBSTITUTE(SUBSTITUTE(SUBSTITUTE(SUBSTITUTE(SUBSTITUTE(SUBSTITUTE(SUBSTITUTE(SUBSTITUTE(LOWER(Z146&amp;""),"1","0"),"2","0"),"3","0"),"4","0"),"5","0"),"6","0"),"7","0"),"8","0"),"9","0")</f>
        <v/>
      </c>
      <c r="BN146" s="61" t="str">
        <f aca="false">SUBSTITUTE(SUBSTITUTE(SUBSTITUTE(SUBSTITUTE(SUBSTITUTE(SUBSTITUTE(SUBSTITUTE(SUBSTITUTE(SUBSTITUTE(SUBSTITUTE(SUBSTITUTE(SUBSTITUTE(SUBSTITUTE(SUBSTITUTE(SUBSTITUTE(SUBSTITUTE(SUBSTITUTE(SUBSTITUTE(SUBSTITUTE(SUBSTITUTE(SUBSTITUTE(SUBSTITUTE(SUBSTITUTE(SUBSTITUTE(SUBSTITUTE(BM146,"b","a"),"c","a"),"d","a"),"e","a"),"f","a"),"g","a"),"h","a"),"i","a"),"j","a"),"k","a"),"l","a"),"m","a"),"n","a"),"o","a"),"p","a"),"q","a"),"r","a"),"s","a"),"t","a"),"u","a"),"v","a"),"w","a"),"x","a"),"y","a"),"z","a")</f>
        <v/>
      </c>
      <c r="BO146" s="61" t="str">
        <f aca="false">SUBSTITUTE(SUBSTITUTE(SUBSTITUTE(SUBSTITUTE(SUBSTITUTE(SUBSTITUTE(SUBSTITUTE(SUBSTITUTE(SUBSTITUTE(LOWER(W146&amp;""),"1","0"),"2","0"),"3","0"),"4","0"),"5","0"),"6","0"),"7","0"),"8","0"),"9","0")</f>
        <v/>
      </c>
      <c r="BP146" s="61" t="str">
        <f aca="false">SUBSTITUTE(SUBSTITUTE(SUBSTITUTE(SUBSTITUTE(SUBSTITUTE(SUBSTITUTE(SUBSTITUTE(SUBSTITUTE(SUBSTITUTE(SUBSTITUTE(SUBSTITUTE(SUBSTITUTE(SUBSTITUTE(SUBSTITUTE(SUBSTITUTE(SUBSTITUTE(SUBSTITUTE(SUBSTITUTE(SUBSTITUTE(SUBSTITUTE(SUBSTITUTE(SUBSTITUTE(SUBSTITUTE(SUBSTITUTE(SUBSTITUTE(BO146,"b","a"),"c","a"),"d","a"),"e","a"),"f","a"),"g","a"),"h","a"),"i","a"),"j","a"),"k","a"),"l","a"),"m","a"),"n","a"),"o","a"),"p","a"),"q","a"),"r","a"),"s","a"),"t","a"),"u","a"),"v","a"),"w","a"),"x","a"),"y","a"),"z","a")</f>
        <v/>
      </c>
      <c r="BQ146" s="61" t="n">
        <f aca="false">IFERROR(IF(AND(ISERROR(SEARCH(" mh"," "&amp;LOWER(W146))),ISNA(MATCH(LEFT(TRIM(BP146),255),{"0000a","000a","00a","0000aa","000aa","00aa","0aa","0000aaa","000aaa","00a00","0a00","0000-0000","00:00","a00","a0","00.00.0000","00/00/0000","00-00-0000","0000-00-00","0000/00/00","0000.00.00","00.00.00","00/00/00","00-00-00","0.00.0000","0/00/0000","0-00-0000"},0)),ISNA(MATCH(LEFT(TRIM(CA146),255),{"0000a","000a","00a","0000aa","000aa","00aa","0aa","0000aaa","000aaa","00a00","0a00","0000-0000","00:00","a00","a0","00.00.0000","00/00/0000","00-00-0000","0000-00-00","0000/00/00","0000.00.00","00.00.00","00/00/00","00-00-00","0.00.0000","0/00/0000","0-00-0000"},0)),LEN(CB146)&gt;=3,NOT(OR(SUBSTITUTE(CB146,"0","")="",AND(LEN(CB146)&gt;=4,CB146=REPT(LEFT(CB146),LEN(CB146))),ISNUMBER(MATCH(CB146,{"123","1234","12345","123456","1234567","12345678","0123","01234","012345","98765","987654","54321"},0)),AND(LEN(CB146)=8,LEFT(CB146,3)="202"))),OR(AND((LEN(CA146)-LEN(SUBSTITUTE(CA146,"a","")))&gt;=1,SUMPRODUCT(--ISNUMBER(SEARCH({"a0","a-0","a_0","a/0","a.0","a#0","0a","0-a","0_a","0/a"},BP146)))&gt;0),ISNUMBER(SEARCH("000000",BP146)))),1,0),0)</f>
        <v>0</v>
      </c>
      <c r="BR146" s="61" t="n">
        <f aca="false">IFERROR(LEN(SUBSTITUTE(CC146," ",""))-SUMPRODUCT((LEN(CC146)-LEN(SUBSTITUTE(CC146," "&amp;L_Role&amp;" "," ")))/(LEN(L_Role)+1)*LEN(L_Role)),0)</f>
        <v>0</v>
      </c>
      <c r="BS146" s="61" t="n">
        <f aca="false">IFERROR(LEN(SUBSTITUTE(CD146," ",""))-SUMPRODUCT((LEN(CD146)-LEN(SUBSTITUTE(CD146," "&amp;L_Role&amp;" "," ")))/(LEN(L_Role)+1)*LEN(L_Role)),0)</f>
        <v>0</v>
      </c>
      <c r="BT1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146,"revision",""),"version",""),"jan",""),"feb",""),"mar",""),"apr",""),"may",""),"jun",""),"jul",""),"aug",""),"sep",""),"oct",""),"nov",""),"dec",""),"utc",""),"gmt",""),"myt",""),"bst",""),"rev",""),"ver",""),"b","a"),"c","a"),"d","a"),"e","a"),"f","a"),"g","a"),"h","a"),"i","a"),"j","a"),"k","a"),"l","a"),"m","a"),"n","a"),"o","a"),"p","a"),"q","a"),"r","a"),"s","a"),"t","a"),"u","a"),"v","a"),"w","a"),"x","a"),"y","a"),"z","a")</f>
        <v/>
      </c>
      <c r="BU146" s="61" t="str">
        <f aca="false">SUBSTITUTE(SUBSTITUTE(SUBSTITUTE(SUBSTITUTE(SUBSTITUTE(SUBSTITUTE(SUBSTITUTE(SUBSTITUTE(SUBSTITUTE(SUBSTITUTE(LEFT(BM146,FIND("0",BM146&amp;"0")-1),"-",""),"_",""),"/",""),".",""),"#",""),"\\",""),":","")," ",""),"(",""),")","")</f>
        <v/>
      </c>
      <c r="BV146" s="61" t="n">
        <f aca="false">0</f>
        <v>0</v>
      </c>
      <c r="BW1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146&amp;""),"a",""),"b",""),"c",""),"d",""),"e",""),"f",""),"g",""),"h",""),"i",""),"j",""),"k",""),"l",""),"m",""),"n",""),"o",""),"p",""),"q",""),"r",""),"s",""),"t",""),"u",""),"v",""),"w",""),"x",""),"y",""),"z",""),"-",""),"_",""),"/",""),".",""),"#",""),"\\",""),":","")," ",""),"(",""),")","")</f>
        <v/>
      </c>
      <c r="BX146" s="61" t="str">
        <f aca="false">SUBSTITUTE(SUBSTITUTE(SUBSTITUTE(SUBSTITUTE(SUBSTITUTE(SUBSTITUTE(SUBSTITUTE(SUBSTITUTE(SUBSTITUTE(SUBSTITUTE(SUBSTITUTE(BM146,"0",""),"-",""),"_",""),"/",""),".",""),"#",""),"\\",""),":","")," ",""),"(",""),")","")</f>
        <v/>
      </c>
      <c r="BY146" s="62" t="n">
        <f aca="false">Q146-T7EarlyD*24/24</f>
        <v>46289.0451388889</v>
      </c>
      <c r="BZ146" s="61" t="n">
        <f aca="false">IFERROR(IF(IF(TRIM(S146)="Link / file path",AND(LEN(TRIM(Z146))&gt;=5,SUMPRODUCT(--ISNUMBER(SEARCH({"http","www.","\\",":\",".pdf",".jpg",".jpeg",".png",".heic",".xls",".doc",".msg",".eml",".ppt",".txt",".zip"},Z146)))&gt;0),AND(ISERROR(FIND(" ",TRIM(Z146))),NOT(OR(SUMPRODUCT(--ISNUMBER(FIND({",",";","&amp;","+"},Z146)))&gt;0,SUMPRODUCT(--ISNUMBER(SEARCH({"0/aa","0\\aa"},BN146)))&gt;0)),NOT(SUMPRODUCT(--ISNUMBER(SEARCH({"http","www.","\\",":\",".pdf",".jpg",".jpeg",".png",".heic",".xls",".doc",".msg",".eml",".ppt",".txt",".zip"},Z146)))&gt;0),NOT(LOWER(TRIM(Z146))=LOWER(Flights!$F$9)),ISNA(MATCH(BU146,{"mh","rev","revision","ver","version","v","r","a","b","seat","tray","row","gate","bay","stand","page","pg","item","line","no","cart","galley","flight","flt","table","box","bag","oven","etd","eta","std","sta","atd","ata","qty","pax","x","time","tel","ph","mob","day","wk","week","utc","gmt","myt","lt"},0)),NOT(OR(ISNUMBER(MATCH(LEFT(BN146,255),{"0000a","000a","00a","0000aa","000aa","00aa","0aa","0000aaa","000aaa","00a00","0a00","0000-0000","00:00","a00","a0","00.00.0000","00/00/0000","00-00-0000","0000-00-00","0000/00/00","0000.00.00","00.00.00","00/00/00","00-00-00","0.00.0000","0/00/0000","0-00-0000"},0)),ISNUMBER(MATCH(LEFT(BT146,255),{"0000a","000a","00a","0000aa","000aa","00aa","0aa","0000aaa","000aaa","00a00","0a00","0000-0000","00:00","a00","a0","00.00.0000","00/00/0000","00-00-0000","0000-00-00","0000/00/00","0000.00.00","00.00.00","00/00/00","00-00-00","0.00.0000","0/00/0000","0-00-0000"},0)))),NOT(OR(AND(BW146&lt;&gt;"",SUBSTITUTE(BW146,"0","")=""),AND(LEN(BW146)&gt;=4,BW146=REPT(LEFT(BW146),LEN(BW146))),ISNUMBER(MATCH(BW146,{"123","1234","12345","123456","1234567","12345678","0123","01234","012345","98765","987654","54321"},0)),ISNUMBER(MATCH(BX146,{"x","xx","xxx","xxxx","xxxxx","abc","abcd","nil","na","nan","test","tbc","tba","tbd","dummy","sample","example","eg","zz","zzz","none","null","xyz","qwe","asd","id","ref"},0)),AND(LEN(BW146)=8,BX146="",OR(LEFT(BW146,3)="202",ISNUMBER(MATCH(RIGHT(BW146,4),{"2025","2026","2027"},0)))))),OR(AND((LEN(BT146)-LEN(SUBSTITUTE(BT146,"a","")))&gt;=1,(LEN(BN146)-LEN(SUBSTITUTE(BN146,"0","")))&gt;=2,SUMPRODUCT(--ISNUMBER(SEARCH({"a0","a-0","a_0","a/0","a.0","a#0","0a","0-a","0_a","0/a"},BN146)))&gt;0),AND((LEN(BN146)-LEN(SUBSTITUTE(BN146,"a","")))=0,(LEN(BN146)-LEN(SUBSTITUTE(BN146,"0","")))&gt;=5)))),1,0),0)</f>
        <v>0</v>
      </c>
      <c r="CA1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146,"revision",""),"version",""),"jan",""),"feb",""),"mar",""),"apr",""),"may",""),"jun",""),"jul",""),"aug",""),"sep",""),"oct",""),"nov",""),"dec",""),"utc",""),"gmt",""),"myt",""),"bst",""),"rev",""),"ver",""),"b","a"),"c","a"),"d","a"),"e","a"),"f","a"),"g","a"),"h","a"),"i","a"),"j","a"),"k","a"),"l","a"),"m","a"),"n","a"),"o","a"),"p","a"),"q","a"),"r","a"),"s","a"),"t","a"),"u","a"),"v","a"),"w","a"),"x","a"),"y","a"),"z","a")</f>
        <v/>
      </c>
      <c r="CB1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146&amp;""),"a",""),"b",""),"c",""),"d",""),"e",""),"f",""),"g",""),"h",""),"i",""),"j",""),"k",""),"l",""),"m",""),"n",""),"o",""),"p",""),"q",""),"r",""),"s",""),"t",""),"u",""),"v",""),"w",""),"x",""),"y",""),"z",""),"-",""),"_",""),"/",""),".",""),"#",""),"\\",""),":","")," ",""),"(",""),")","")</f>
        <v/>
      </c>
      <c r="CC146" s="0" t="str">
        <f aca="false">" "&amp;TRIM(SUBSTITUTE(SUBSTITUTE(SUBSTITUTE(SUBSTITUTE(SUBSTITUTE(SUBSTITUTE(SUBSTITUTE(SUBSTITUTE(SUBSTITUTE(SUBSTITUTE(SUBSTITUTE(SUBSTITUTE(SUBSTITUTE(SUBSTITUTE(SUBSTITUTE(SUBSTITUTE(SUBSTITUTE(SUBSTITUTE(SUBSTITUTE(SUBSTITUTE(SUBSTITUTE(SUBSTITUTE(SUBSTITUTE(SUBSTITUTE(LOWER(T146&amp;""),CHAR(10)," "),CHAR(13)," "),CHAR(9)," "),CHAR(160)," "),"."," "),","," "),"-"," "),"/"," "),"("," "),")"," "),":"," "),";"," "),"_"," "),"–"," "),"?"," "),"!"," "),"*"," "),"["," "),"]"," "),"'"," "),"#"," "),"+"," "),"&amp;"," "),"\"," "))&amp;" "</f>
        <v>  </v>
      </c>
      <c r="CD146" s="0" t="str">
        <f aca="false">" "&amp;TRIM(SUBSTITUTE(SUBSTITUTE(SUBSTITUTE(SUBSTITUTE(SUBSTITUTE(SUBSTITUTE(SUBSTITUTE(SUBSTITUTE(SUBSTITUTE(SUBSTITUTE(SUBSTITUTE(SUBSTITUTE(SUBSTITUTE(SUBSTITUTE(SUBSTITUTE(SUBSTITUTE(SUBSTITUTE(SUBSTITUTE(SUBSTITUTE(SUBSTITUTE(SUBSTITUTE(SUBSTITUTE(SUBSTITUTE(SUBSTITUTE(LOWER(AE146&amp;""),CHAR(10)," "),CHAR(13)," "),CHAR(9)," "),CHAR(160)," "),"."," "),","," "),"-"," "),"/"," "),"("," "),")"," "),":"," "),";"," "),"_"," "),"–"," "),"?"," "),"!"," "),"*"," "),"["," "),"]"," "),"'"," "),"#"," "),"+"," "),"&amp;"," "),"\"," "))&amp;" "</f>
        <v>  </v>
      </c>
      <c r="CE146" s="68" t="n">
        <f aca="false">IFERROR(IF(AND(LEN(AU146)&gt;0,LEN(AU146)=LEN(AX146),OR(TRIM(MID(SUBSTITUTE(TRIM(CC146)," ",REPT(" ",60)),1,60))="",ISNUMBER(SEARCH(" "&amp;TRIM(MID(SUBSTITUTE(TRIM(CC146)," ",REPT(" ",60)),1,60))&amp;" ",CD146))),OR(TRIM(MID(SUBSTITUTE(TRIM(CC146)," ",REPT(" ",60)),61,60))="",ISNUMBER(SEARCH(" "&amp;TRIM(MID(SUBSTITUTE(TRIM(CC146)," ",REPT(" ",60)),61,60))&amp;" ",CD146))),OR(TRIM(MID(SUBSTITUTE(TRIM(CC146)," ",REPT(" ",60)),121,60))="",ISNUMBER(SEARCH(" "&amp;TRIM(MID(SUBSTITUTE(TRIM(CC146)," ",REPT(" ",60)),121,60))&amp;" ",CD146)))),1,0),0)</f>
        <v>0</v>
      </c>
      <c r="CG146" s="68" t="n">
        <f aca="false">IFERROR(LEN(SUBSTITUTE(BF146," ",""))-SUMPRODUCT((LEN(BF146)-LEN(SUBSTITUTE(BF146," "&amp;L_NAFiller&amp;" "," ")))/(LEN(L_NAFiller)+1)*LEN(L_NAFiller)),0)</f>
        <v>0</v>
      </c>
    </row>
    <row r="147" customFormat="false" ht="39.75" hidden="false" customHeight="true" outlineLevel="0" collapsed="false">
      <c r="A147" s="57" t="s">
        <v>676</v>
      </c>
      <c r="B147" s="57" t="s">
        <v>228</v>
      </c>
      <c r="C147" s="57" t="str">
        <f aca="false">Flights!$F$9</f>
        <v>MH0089</v>
      </c>
      <c r="D147" s="58" t="n">
        <f aca="false">Flights!$D$9</f>
        <v>46310</v>
      </c>
      <c r="E147" s="57" t="str">
        <f aca="false">Flights!$G$9&amp;"-"&amp;Flights!$H$9</f>
        <v>NRT-KUL</v>
      </c>
      <c r="F147" s="57" t="str">
        <f aca="false">Flights!$K$9</f>
        <v>EY</v>
      </c>
      <c r="G147" s="57" t="s">
        <v>83</v>
      </c>
      <c r="H147" s="57" t="s">
        <v>378</v>
      </c>
      <c r="I147" s="57" t="s">
        <v>379</v>
      </c>
      <c r="J147" s="57" t="s">
        <v>416</v>
      </c>
      <c r="K147" s="67" t="s">
        <v>417</v>
      </c>
      <c r="L147" s="67" t="s">
        <v>418</v>
      </c>
      <c r="M147" s="67"/>
      <c r="N147" s="67" t="s">
        <v>383</v>
      </c>
      <c r="O147" s="67"/>
      <c r="P147" s="57" t="s">
        <v>220</v>
      </c>
      <c r="Q147" s="59" t="n">
        <f aca="false">ROUND((Flights!$AD$9)*1440,0)/1440</f>
        <v>46309.0451388889</v>
      </c>
      <c r="R147" s="59" t="n">
        <f aca="false">Q147+(IF(AND(INDEX(TZ_DSTS,MATCH(P147,TZ_STN,0))&lt;&gt;"",Q147&gt;=INDEX(TZ_DSTS,MATCH(P147,TZ_STN,0)),Q147&lt;INDEX(TZ_DSTE,MATCH(P147,TZ_STN,0))),INDEX(TZ_DST,MATCH(P147,TZ_STN,0)),INDEX(TZ_STD,MATCH(P147,TZ_STN,0))))/24</f>
        <v>46309.4201388889</v>
      </c>
      <c r="S147" s="60"/>
      <c r="T147" s="60"/>
      <c r="U147" s="60"/>
      <c r="V147" s="60"/>
      <c r="W147" s="60"/>
      <c r="X147" s="60"/>
      <c r="Y147" s="60"/>
      <c r="Z147" s="60"/>
      <c r="AA147" s="60"/>
      <c r="AB147" s="60"/>
      <c r="AC147" s="60"/>
      <c r="AD147" s="66"/>
      <c r="AE147" s="60"/>
      <c r="AF147" s="61" t="str">
        <f aca="false">IF(AND(ISNUMBER(X147),ISNUMBER(Y147)),Y147-X147,"")</f>
        <v/>
      </c>
      <c r="AG147" s="62" t="str">
        <f aca="false">IF(ISNUMBER(AD147),AD147-(IF(AND(INDEX(TZ_DSTS,MATCH(P147,TZ_STN,0))&lt;&gt;"",(AD147-INDEX(TZ_STD,MATCH(P147,TZ_STN,0))/24)&gt;=INDEX(TZ_DSTS,MATCH(P147,TZ_STN,0)),(AD147-INDEX(TZ_STD,MATCH(P147,TZ_STN,0))/24)&lt;INDEX(TZ_DSTE,MATCH(P147,TZ_STN,0))),INDEX(TZ_DST,MATCH(P147,TZ_STN,0)),INDEX(TZ_STD,MATCH(P147,TZ_STN,0))))/24,"")</f>
        <v/>
      </c>
      <c r="AH147" s="65" t="str">
        <f aca="false">IFERROR(IF(N147="N/A – rule",IF(OR(TRIM(U147)="",TRIM(U147)="N/A",TRIM(U147)="Not started"),"N/A – RULE","INVALID – this check does not apply to this aircraft: clear the status (or correct the fleet on Flights)"),IF(TRIM(U147)="N/A",IF(AT147=0,"INVALID – N/A not permitted for this check",IF(AND(TRIM(AB147)&lt;&gt;"",TRIM(AB147)&lt;&gt;"Closed"),"INVALID – corrective action still open",IF(AND(NOT(OR(LEN(AZ147)&lt;15,ISNUMBER(MATCH(AZ147,L_Placeholder,0)))),BK147=0,CG147&gt;=8,NOT(OR(LEN(AU147)&lt;2,ISNUMBER(MATCH(AU147,L_Placeholder,0)))),BR147&gt;=3,NOT(OR(LEN(AX147)&lt;2,ISNUMBER(MATCH(AX147,L_Placeholder,0)))),BS147&gt;=3,TRIM(AE147)&lt;&gt;TRIM(T147),AX147&lt;&gt;AU147,CE147=0),"N/A – JUSTIFIED","INVALID – N/A needs a real, settled reason (not 'not applicable' / 'as above' / TBC), a named PIC and a different named verifier"))),IF(OR(TRIM(U147)="Pass",TRIM(U147)="Pass after CA"),IF(NOT(ISNUMBER(AD147)),"INVALID – completion time missing",IF(OR(OR(LEN(AU147)&lt;2,ISNUMBER(MATCH(AU147,L_Placeholder,0))),BR147&lt;3),"INVALID – PIC missing or not a named person (a role such as QA / CSM is not a name)",IF(OR(LEN(AV147)&lt;2,ISNUMBER(MATCH(AV147,L_Placeholder,0))),"INVALID – result / assessment missing",IF(OR(OR(LEN(AW147)&lt;3,ISNUMBER(MATCH(AW147,L_Placeholder,0))),SUMPRODUCT(--ISNUMBER(SEARCH(" "&amp;L_EvidencePhrase&amp;" ",BD147)))&gt;0,BI147=1),"INVALID – evidence missing, placeholder or not yet on file",IF(ISNA(MATCH(TRIM(S147),L_EvidenceType,0)),"INVALID – choose the evidence type from the list (column S)",IF(BL147=0,"INVALID – evidence ID must be the record's own ID only (e.g. SF-2210, IMG_2231, 1045521); a link / file name needs type 'Link / file path'",IF(OR(OR(LEN(AX147)&lt;2,ISNUMBER(MATCH(AX147,L_Placeholder,0))),BS147&lt;3),"INVALID – verifier missing or not a named person (a role such as QA / CSM is not a name)",IF(OR(AX147=AU147,CE147=1,AND(LEN(AU147)&gt;=4,ISNUMBER(SEARCH(AU147,AX147))),AND(LEN(AX147)&gt;=4,ISNUMBER(SEARCH(AX147,AU147)))),"INVALID – verifier must be a different, named person (not the PIC or a role)",IF(BH147=1,"INVALID – result not yet available (awaiting / TBC)",IF(BG147=1,"INVALID – result describes a problem: record Fail, then Pass after CA (or reword if it is not a problem)",IF(BV147=1,"INVALID – wording says not on board: an on-board confirmation needs the item loaded",IF(AND(AQ147=1,OR(OR(LEN(AY147)&lt;3,ISNUMBER(MATCH(AY147,L_Placeholder,0))),BJ147=1,BQ147=0)),"INVALID – batch ID missing, placeholder or not an ID (e.g. PASB-261008-BC-017)",IF(AND(AR147=1,OR(NOT(ISNUMBER(X147)),NOT(ISNUMBER(Y147)))),"INVALID – expected/actual qty missing",IF(AND(AR147=1,OR(X147&lt;=0,Y147&lt;0)),"INVALID – expected qty must be above 0 and actual not negative",IF(BB147&lt;&gt;"",BB147,IF(AND(AS147=1,Documents!$J$9&lt;&gt;"ON FILE"),"INVALID – GLD not on file (Documents sheet)",IF(AND(AS147=2,Documents!$O$9&lt;&gt;"ON FILE"),"INVALID – menu checklist not on file (Documents sheet)",IF(AND(AS147=3,NOT(ISNUMBER(Flights!$AX$9))),"INVALID – enter carrying flight KUL departure (Flights AX)",IF(AND(AS147=3,OR(Flights!$AZ$9&gt;Flights!$AA$9,Flights!$AX$9&lt;Flights!$AA$9-3)),"INVALID – carrying flight (Flights AX) cannot arrive before this leg's STD, or is over 3 days early",IF(AG147&gt;AsOfUTC,"INVALID – completion time is in the future",IF(AND(ISNUMBER(BY147),AG147&lt;BY147),IF(H147="Physical uplift","INVALID – before uplift window (cannot confirm loading)","INVALID – before valid window"),IF(AG147&gt;Flights!$AA$9,"INVALID – completed after departure (cannot establish readiness)",IF(AND(H147="Preparation",AG147&gt;=IF(ISNUMBER(Flights!$BA$9),MIN(Flights!$BA$9,Flights!$AA$9),Flights!$AA$9)),"INVALID – completed after loading / departure (cannot establish readiness)",IF(AND(H147="Physical uplift",AG147&gt;Q147),"INVALID – recorded after the loading flight departed",IF(AG147&gt;Q147,"COMPLETE – LATE","COMPLETE"))))))))))))))))))))))))),IF(TRIM(U147)="Fail","FAIL – DISCREPANCY",IF(AND(TRIM(U147)&lt;&gt;"",TRIM(U147)&lt;&gt;"Not started",TRIM(U147)&lt;&gt;"In progress"),"INVALID – unrecognised status (use the list)",IF(AsOfUTC&gt;Q147,"OVERDUE",IF(N147="Clarification required","OPEN – CLARIFICATION","OPEN"))))))),"INVALID – error value in an input cell")</f>
        <v>OPEN</v>
      </c>
      <c r="AI147" s="61" t="n">
        <f aca="false">IF(OR(AH147="N/A – RULE",AH147="N/A – JUSTIFIED"),0,1)</f>
        <v>1</v>
      </c>
      <c r="AJ147" s="61" t="n">
        <f aca="false">IF(LEFT(AH147,8)="COMPLETE",1,0)</f>
        <v>0</v>
      </c>
      <c r="AK147" s="61" t="n">
        <f aca="false">IF(AND(AI147=1,AJ147=0,AsOfUTC&gt;Q147),1,0)</f>
        <v>0</v>
      </c>
      <c r="AL147" s="61" t="n">
        <f aca="false">IFERROR(IF(AND(AI147=1,OR(TRIM(U147)="Fail",AND(TRIM(AB147)&lt;&gt;"",TRIM(AB147)&lt;&gt;"Closed"),AND(ISNUMBER(AF147),AF147&lt;&gt;0,TRIM(U147)&lt;&gt;"Pass after CA"))),1,0),1)</f>
        <v>0</v>
      </c>
      <c r="AM147" s="61" t="n">
        <f aca="false">IF(LEFT(AH147,7)="INVALID",1,0)</f>
        <v>0</v>
      </c>
      <c r="AN147" s="61" t="n">
        <f aca="false">IF(AND(N147="Clarification required",AI147=1,AJ147=0),1,0)</f>
        <v>0</v>
      </c>
      <c r="AO147" s="61" t="str">
        <f aca="false">IF(AK147=1,SUM(AK$5:AK147),"")</f>
        <v/>
      </c>
      <c r="AP147" s="61" t="str">
        <f aca="false">IF(AL147=1,SUM(AL$5:AL147),"")</f>
        <v/>
      </c>
      <c r="AQ147" s="61" t="n">
        <v>1</v>
      </c>
      <c r="AR147" s="61" t="n">
        <v>0</v>
      </c>
      <c r="AS147" s="61" t="n">
        <v>0</v>
      </c>
      <c r="AT147" s="61" t="n">
        <v>0</v>
      </c>
      <c r="AU147" s="61" t="str">
        <f aca="false">SUBSTITUTE(SUBSTITUTE(SUBSTITUTE(SUBSTITUTE(SUBSTITUTE(SUBSTITUTE(SUBSTITUTE(SUBSTITUTE(SUBSTITUTE(SUBSTITUTE(SUBSTITUTE(SUBSTITUTE(SUBSTITUTE(SUBSTITUTE(SUBSTITUTE(SUBSTITUTE(LOWER(T147&amp;""),CHAR(10),""),CHAR(13),""),CHAR(9),""),CHAR(160),"")," ",""),".",""),"-",""),"/",""),"?",""),"_",""),",",""),"[",""),"]",""),"(",""),")",""),"*","")</f>
        <v/>
      </c>
      <c r="AV147" s="61" t="str">
        <f aca="false">SUBSTITUTE(SUBSTITUTE(SUBSTITUTE(SUBSTITUTE(SUBSTITUTE(SUBSTITUTE(SUBSTITUTE(SUBSTITUTE(SUBSTITUTE(SUBSTITUTE(SUBSTITUTE(SUBSTITUTE(SUBSTITUTE(SUBSTITUTE(SUBSTITUTE(SUBSTITUTE(LOWER(V147&amp;""),CHAR(10),""),CHAR(13),""),CHAR(9),""),CHAR(160),"")," ",""),".",""),"-",""),"/",""),"?",""),"_",""),",",""),"[",""),"]",""),"(",""),")",""),"*","")</f>
        <v/>
      </c>
      <c r="AW147" s="61" t="str">
        <f aca="false">SUBSTITUTE(SUBSTITUTE(SUBSTITUTE(SUBSTITUTE(SUBSTITUTE(SUBSTITUTE(SUBSTITUTE(SUBSTITUTE(SUBSTITUTE(SUBSTITUTE(SUBSTITUTE(SUBSTITUTE(SUBSTITUTE(SUBSTITUTE(SUBSTITUTE(SUBSTITUTE(LOWER(Z147&amp;""),CHAR(10),""),CHAR(13),""),CHAR(9),""),CHAR(160),"")," ",""),".",""),"-",""),"/",""),"?",""),"_",""),",",""),"[",""),"]",""),"(",""),")",""),"*","")</f>
        <v/>
      </c>
      <c r="AX147" s="61" t="str">
        <f aca="false">SUBSTITUTE(SUBSTITUTE(SUBSTITUTE(SUBSTITUTE(SUBSTITUTE(SUBSTITUTE(SUBSTITUTE(SUBSTITUTE(SUBSTITUTE(SUBSTITUTE(SUBSTITUTE(SUBSTITUTE(SUBSTITUTE(SUBSTITUTE(SUBSTITUTE(SUBSTITUTE(LOWER(AE147&amp;""),CHAR(10),""),CHAR(13),""),CHAR(9),""),CHAR(160),"")," ",""),".",""),"-",""),"/",""),"?",""),"_",""),",",""),"[",""),"]",""),"(",""),")",""),"*","")</f>
        <v/>
      </c>
      <c r="AY147" s="61" t="str">
        <f aca="false">SUBSTITUTE(SUBSTITUTE(SUBSTITUTE(SUBSTITUTE(SUBSTITUTE(SUBSTITUTE(SUBSTITUTE(SUBSTITUTE(SUBSTITUTE(SUBSTITUTE(SUBSTITUTE(SUBSTITUTE(SUBSTITUTE(SUBSTITUTE(SUBSTITUTE(SUBSTITUTE(LOWER(W147&amp;""),CHAR(10),""),CHAR(13),""),CHAR(9),""),CHAR(160),"")," ",""),".",""),"-",""),"/",""),"?",""),"_",""),",",""),"[",""),"]",""),"(",""),")",""),"*","")</f>
        <v/>
      </c>
      <c r="AZ147" s="61" t="str">
        <f aca="false">SUBSTITUTE(SUBSTITUTE(SUBSTITUTE(SUBSTITUTE(SUBSTITUTE(SUBSTITUTE(SUBSTITUTE(SUBSTITUTE(SUBSTITUTE(SUBSTITUTE(SUBSTITUTE(SUBSTITUTE(SUBSTITUTE(SUBSTITUTE(SUBSTITUTE(SUBSTITUTE(LOWER(AC147&amp;""),CHAR(10),""),CHAR(13),""),CHAR(9),""),CHAR(160),"")," ",""),".",""),"-",""),"/",""),"?",""),"_",""),",",""),"[",""),"]",""),"(",""),")",""),"*","")</f>
        <v/>
      </c>
      <c r="BA147" s="61" t="str">
        <f aca="false">SUBSTITUTE(SUBSTITUTE(SUBSTITUTE(SUBSTITUTE(SUBSTITUTE(SUBSTITUTE(SUBSTITUTE(SUBSTITUTE(SUBSTITUTE(SUBSTITUTE(SUBSTITUTE(SUBSTITUTE(SUBSTITUTE(SUBSTITUTE(SUBSTITUTE(SUBSTITUTE(LOWER(AA147&amp;""),CHAR(10),""),CHAR(13),""),CHAR(9),""),CHAR(160),"")," ",""),".",""),"-",""),"/",""),"?",""),"_",""),",",""),"[",""),"]",""),"(",""),")",""),"*","")</f>
        <v/>
      </c>
      <c r="BB147" s="61" t="str">
        <f aca="false">IF(AND(TRIM(U147)="Pass",ISNUMBER(AF147)),IF(AF147&lt;&gt;0,"INVALID – qty variance: use Fail or Pass after CA",""),"")&amp;IF(AND(TRIM(U147)="Pass after CA",ISNUMBER(AF147)),IF(AF147&lt;&gt;0,"INVALID – after the corrective action the actual qty must equal expected (update Actual)",""),"")&amp;IF(AND(TRIM(U147)="Pass",TRIM(AB147)&lt;&gt;"",TRIM(AB147)&lt;&gt;"Closed"),"INVALID – corrective action not closed: use Fail, then Pass after CA","")&amp;IF(AND(LEN(BA147)&gt;=2,ISNA(MATCH(LEFT(BA147,255),L_Placeholder,0)),TRIM(AB147)=""),"INVALID – CA status missing for the recorded corrective action","")&amp;IF(AND(TRIM(U147)="Pass after CA",OR(OR(LEN(BA147)&lt;5,ISNUMBER(MATCH(BA147,L_Placeholder,0))),TRIM(AB147)&lt;&gt;"Closed")),"INVALID – corrective action not recorded/closed","")</f>
        <v/>
      </c>
      <c r="BC147" s="61" t="str">
        <f aca="false">" "&amp;TRIM(SUBSTITUTE(SUBSTITUTE(SUBSTITUTE(SUBSTITUTE(SUBSTITUTE(SUBSTITUTE(SUBSTITUTE(SUBSTITUTE(SUBSTITUTE(SUBSTITUTE(SUBSTITUTE(SUBSTITUTE(SUBSTITUTE(SUBSTITUTE(SUBSTITUTE(SUBSTITUTE(SUBSTITUTE(SUBSTITUTE(SUBSTITUTE(SUBSTITUTE(SUBSTITUTE(SUBSTITUTE(SUBSTITUTE(SUBSTITUTE(LOWER(V147&amp;""),CHAR(10)," "),CHAR(13)," "),CHAR(9)," "),CHAR(160)," "),"."," "),","," "),"-"," "),"/"," "),"("," "),")"," "),":"," "),";"," "),"_"," "),"–"," "),"?"," "),"!"," "),"*"," "),"["," "),"]"," "),"'"," "),"#"," "),"+"," "),"&amp;"," "),"\"," "))&amp;" "</f>
        <v>  </v>
      </c>
      <c r="BD147" s="61" t="str">
        <f aca="false">" "&amp;TRIM(SUBSTITUTE(SUBSTITUTE(SUBSTITUTE(SUBSTITUTE(SUBSTITUTE(SUBSTITUTE(SUBSTITUTE(SUBSTITUTE(SUBSTITUTE(SUBSTITUTE(SUBSTITUTE(SUBSTITUTE(SUBSTITUTE(SUBSTITUTE(SUBSTITUTE(SUBSTITUTE(SUBSTITUTE(SUBSTITUTE(SUBSTITUTE(SUBSTITUTE(SUBSTITUTE(SUBSTITUTE(SUBSTITUTE(SUBSTITUTE(LOWER(Z147&amp;""),CHAR(10)," "),CHAR(13)," "),CHAR(9)," "),CHAR(160)," "),"."," "),","," "),"-"," "),"/"," "),"("," "),")"," "),":"," "),";"," "),"_"," "),"–"," "),"?"," "),"!"," "),"*"," "),"["," "),"]"," "),"'"," "),"#"," "),"+"," "),"&amp;"," "),"\"," "))&amp;" "</f>
        <v>  </v>
      </c>
      <c r="BE147" s="61" t="str">
        <f aca="false">" "&amp;TRIM(SUBSTITUTE(SUBSTITUTE(SUBSTITUTE(SUBSTITUTE(SUBSTITUTE(SUBSTITUTE(SUBSTITUTE(SUBSTITUTE(SUBSTITUTE(SUBSTITUTE(SUBSTITUTE(SUBSTITUTE(SUBSTITUTE(SUBSTITUTE(SUBSTITUTE(SUBSTITUTE(SUBSTITUTE(SUBSTITUTE(SUBSTITUTE(SUBSTITUTE(SUBSTITUTE(SUBSTITUTE(SUBSTITUTE(SUBSTITUTE(LOWER(W147&amp;""),CHAR(10)," "),CHAR(13)," "),CHAR(9)," "),CHAR(160)," "),"."," "),","," "),"-"," "),"/"," "),"("," "),")"," "),":"," "),";"," "),"_"," "),"–"," "),"?"," "),"!"," "),"*"," "),"["," "),"]"," "),"'"," "),"#"," "),"+"," "),"&amp;"," "),"\"," "))&amp;" "</f>
        <v>  </v>
      </c>
      <c r="BF147" s="61" t="str">
        <f aca="false">" "&amp;TRIM(SUBSTITUTE(SUBSTITUTE(SUBSTITUTE(SUBSTITUTE(SUBSTITUTE(SUBSTITUTE(SUBSTITUTE(SUBSTITUTE(SUBSTITUTE(SUBSTITUTE(SUBSTITUTE(SUBSTITUTE(SUBSTITUTE(SUBSTITUTE(SUBSTITUTE(SUBSTITUTE(SUBSTITUTE(SUBSTITUTE(SUBSTITUTE(SUBSTITUTE(SUBSTITUTE(SUBSTITUTE(SUBSTITUTE(SUBSTITUTE(LOWER(AC147&amp;""),CHAR(10)," "),CHAR(13)," "),CHAR(9)," "),CHAR(160)," "),"."," "),","," "),"-"," "),"/"," "),"("," "),")"," "),":"," "),";"," "),"_"," "),"–"," "),"?"," "),"!"," "),"*"," "),"["," "),"]"," "),"'"," "),"#"," "),"+"," "),"&amp;"," "),"\"," "))&amp;" "</f>
        <v>  </v>
      </c>
      <c r="BG147" s="61" t="n">
        <f aca="false">IFERROR(IF(AND(TRIM(U147)="Pass",SUMPRODUCT((LEN(BC147)-LEN(SUBSTITUTE(BC147," "&amp;L_ResultBad&amp;" "," ")))/(LEN(L_ResultBad)+1))&gt;SUMPRODUCT((LEN(BC147)-LEN(SUBSTITUTE(BC147," "&amp;L_NegPhrase&amp;" "," ")))/(LEN(L_NegPhrase)+1))),1,0),0)</f>
        <v>0</v>
      </c>
      <c r="BH147" s="61" t="n">
        <f aca="false">IFERROR(IF(SUMPRODUCT((LEN(BC147)-LEN(SUBSTITUTE(BC147," "&amp;L_Pending&amp;" "," ")))/(LEN(L_Pending)+1))&gt;SUMPRODUCT((LEN(BC147)-LEN(SUBSTITUTE(BC147," "&amp;L_PendNeg&amp;" "," ")))/(LEN(L_PendNeg)+1))+SUMPRODUCT((LEN(BC147)-LEN(SUBSTITUTE(BC147," "&amp;L_PendPrep&amp;" "," ")))/(LEN(L_PendPrep)+1)),1,0),1)</f>
        <v>0</v>
      </c>
      <c r="BI147" s="61" t="n">
        <f aca="false">IFERROR(IF(SUMPRODUCT((LEN(BD147)-LEN(SUBSTITUTE(BD147," "&amp;L_PendStrict&amp;" "," ")))/(LEN(L_PendStrict)+1))&gt;SUMPRODUCT((LEN(BD147)-LEN(SUBSTITUTE(BD147," "&amp;L_PendNeg&amp;" "," ")))/(LEN(L_PendNeg)+1)),1,0),1)</f>
        <v>0</v>
      </c>
      <c r="BJ147" s="61" t="n">
        <f aca="false">IFERROR(IF(SUMPRODUCT((LEN(BE147)-LEN(SUBSTITUTE(BE147," "&amp;L_Pending&amp;" "," ")))/(LEN(L_Pending)+1))&gt;SUMPRODUCT((LEN(BE147)-LEN(SUBSTITUTE(BE147," "&amp;L_PendNeg&amp;" "," ")))/(LEN(L_PendNeg)+1))+SUMPRODUCT((LEN(BE147)-LEN(SUBSTITUTE(BE147," "&amp;L_PendPrep&amp;" "," ")))/(LEN(L_PendPrep)+1)),1,0),1)</f>
        <v>0</v>
      </c>
      <c r="BK147" s="61" t="n">
        <f aca="false">IFERROR(IF(SUMPRODUCT((LEN(BF147)-LEN(SUBSTITUTE(BF147," "&amp;L_PendStrict&amp;" "," ")))/(LEN(L_PendStrict)+1))&gt;SUMPRODUCT((LEN(BF147)-LEN(SUBSTITUTE(BF147," "&amp;L_PendNeg&amp;" "," ")))/(LEN(L_PendNeg)+1)),1,0),1)</f>
        <v>0</v>
      </c>
      <c r="BL147" s="61" t="n">
        <f aca="false">IF(ISNA(MATCH(TRIM(S147),L_EvidenceType,0)),0,BZ147)</f>
        <v>0</v>
      </c>
      <c r="BM147" s="61" t="str">
        <f aca="false">SUBSTITUTE(SUBSTITUTE(SUBSTITUTE(SUBSTITUTE(SUBSTITUTE(SUBSTITUTE(SUBSTITUTE(SUBSTITUTE(SUBSTITUTE(LOWER(Z147&amp;""),"1","0"),"2","0"),"3","0"),"4","0"),"5","0"),"6","0"),"7","0"),"8","0"),"9","0")</f>
        <v/>
      </c>
      <c r="BN147" s="61" t="str">
        <f aca="false">SUBSTITUTE(SUBSTITUTE(SUBSTITUTE(SUBSTITUTE(SUBSTITUTE(SUBSTITUTE(SUBSTITUTE(SUBSTITUTE(SUBSTITUTE(SUBSTITUTE(SUBSTITUTE(SUBSTITUTE(SUBSTITUTE(SUBSTITUTE(SUBSTITUTE(SUBSTITUTE(SUBSTITUTE(SUBSTITUTE(SUBSTITUTE(SUBSTITUTE(SUBSTITUTE(SUBSTITUTE(SUBSTITUTE(SUBSTITUTE(SUBSTITUTE(BM147,"b","a"),"c","a"),"d","a"),"e","a"),"f","a"),"g","a"),"h","a"),"i","a"),"j","a"),"k","a"),"l","a"),"m","a"),"n","a"),"o","a"),"p","a"),"q","a"),"r","a"),"s","a"),"t","a"),"u","a"),"v","a"),"w","a"),"x","a"),"y","a"),"z","a")</f>
        <v/>
      </c>
      <c r="BO147" s="61" t="str">
        <f aca="false">SUBSTITUTE(SUBSTITUTE(SUBSTITUTE(SUBSTITUTE(SUBSTITUTE(SUBSTITUTE(SUBSTITUTE(SUBSTITUTE(SUBSTITUTE(LOWER(W147&amp;""),"1","0"),"2","0"),"3","0"),"4","0"),"5","0"),"6","0"),"7","0"),"8","0"),"9","0")</f>
        <v/>
      </c>
      <c r="BP147" s="61" t="str">
        <f aca="false">SUBSTITUTE(SUBSTITUTE(SUBSTITUTE(SUBSTITUTE(SUBSTITUTE(SUBSTITUTE(SUBSTITUTE(SUBSTITUTE(SUBSTITUTE(SUBSTITUTE(SUBSTITUTE(SUBSTITUTE(SUBSTITUTE(SUBSTITUTE(SUBSTITUTE(SUBSTITUTE(SUBSTITUTE(SUBSTITUTE(SUBSTITUTE(SUBSTITUTE(SUBSTITUTE(SUBSTITUTE(SUBSTITUTE(SUBSTITUTE(SUBSTITUTE(BO147,"b","a"),"c","a"),"d","a"),"e","a"),"f","a"),"g","a"),"h","a"),"i","a"),"j","a"),"k","a"),"l","a"),"m","a"),"n","a"),"o","a"),"p","a"),"q","a"),"r","a"),"s","a"),"t","a"),"u","a"),"v","a"),"w","a"),"x","a"),"y","a"),"z","a")</f>
        <v/>
      </c>
      <c r="BQ147" s="61" t="n">
        <f aca="false">IFERROR(IF(AND(ISERROR(SEARCH(" mh"," "&amp;LOWER(W147))),ISNA(MATCH(LEFT(TRIM(BP147),255),{"0000a","000a","00a","0000aa","000aa","00aa","0aa","0000aaa","000aaa","00a00","0a00","0000-0000","00:00","a00","a0","00.00.0000","00/00/0000","00-00-0000","0000-00-00","0000/00/00","0000.00.00","00.00.00","00/00/00","00-00-00","0.00.0000","0/00/0000","0-00-0000"},0)),ISNA(MATCH(LEFT(TRIM(CA147),255),{"0000a","000a","00a","0000aa","000aa","00aa","0aa","0000aaa","000aaa","00a00","0a00","0000-0000","00:00","a00","a0","00.00.0000","00/00/0000","00-00-0000","0000-00-00","0000/00/00","0000.00.00","00.00.00","00/00/00","00-00-00","0.00.0000","0/00/0000","0-00-0000"},0)),LEN(CB147)&gt;=3,NOT(OR(SUBSTITUTE(CB147,"0","")="",AND(LEN(CB147)&gt;=4,CB147=REPT(LEFT(CB147),LEN(CB147))),ISNUMBER(MATCH(CB147,{"123","1234","12345","123456","1234567","12345678","0123","01234","012345","98765","987654","54321"},0)),AND(LEN(CB147)=8,LEFT(CB147,3)="202"))),OR(AND((LEN(CA147)-LEN(SUBSTITUTE(CA147,"a","")))&gt;=1,SUMPRODUCT(--ISNUMBER(SEARCH({"a0","a-0","a_0","a/0","a.0","a#0","0a","0-a","0_a","0/a"},BP147)))&gt;0),ISNUMBER(SEARCH("000000",BP147)))),1,0),0)</f>
        <v>0</v>
      </c>
      <c r="BR147" s="61" t="n">
        <f aca="false">IFERROR(LEN(SUBSTITUTE(CC147," ",""))-SUMPRODUCT((LEN(CC147)-LEN(SUBSTITUTE(CC147," "&amp;L_Role&amp;" "," ")))/(LEN(L_Role)+1)*LEN(L_Role)),0)</f>
        <v>0</v>
      </c>
      <c r="BS147" s="61" t="n">
        <f aca="false">IFERROR(LEN(SUBSTITUTE(CD147," ",""))-SUMPRODUCT((LEN(CD147)-LEN(SUBSTITUTE(CD147," "&amp;L_Role&amp;" "," ")))/(LEN(L_Role)+1)*LEN(L_Role)),0)</f>
        <v>0</v>
      </c>
      <c r="BT1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147,"revision",""),"version",""),"jan",""),"feb",""),"mar",""),"apr",""),"may",""),"jun",""),"jul",""),"aug",""),"sep",""),"oct",""),"nov",""),"dec",""),"utc",""),"gmt",""),"myt",""),"bst",""),"rev",""),"ver",""),"b","a"),"c","a"),"d","a"),"e","a"),"f","a"),"g","a"),"h","a"),"i","a"),"j","a"),"k","a"),"l","a"),"m","a"),"n","a"),"o","a"),"p","a"),"q","a"),"r","a"),"s","a"),"t","a"),"u","a"),"v","a"),"w","a"),"x","a"),"y","a"),"z","a")</f>
        <v/>
      </c>
      <c r="BU147" s="61" t="str">
        <f aca="false">SUBSTITUTE(SUBSTITUTE(SUBSTITUTE(SUBSTITUTE(SUBSTITUTE(SUBSTITUTE(SUBSTITUTE(SUBSTITUTE(SUBSTITUTE(SUBSTITUTE(LEFT(BM147,FIND("0",BM147&amp;"0")-1),"-",""),"_",""),"/",""),".",""),"#",""),"\\",""),":","")," ",""),"(",""),")","")</f>
        <v/>
      </c>
      <c r="BV147" s="61" t="n">
        <f aca="false">0</f>
        <v>0</v>
      </c>
      <c r="BW1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147&amp;""),"a",""),"b",""),"c",""),"d",""),"e",""),"f",""),"g",""),"h",""),"i",""),"j",""),"k",""),"l",""),"m",""),"n",""),"o",""),"p",""),"q",""),"r",""),"s",""),"t",""),"u",""),"v",""),"w",""),"x",""),"y",""),"z",""),"-",""),"_",""),"/",""),".",""),"#",""),"\\",""),":","")," ",""),"(",""),")","")</f>
        <v/>
      </c>
      <c r="BX147" s="61" t="str">
        <f aca="false">SUBSTITUTE(SUBSTITUTE(SUBSTITUTE(SUBSTITUTE(SUBSTITUTE(SUBSTITUTE(SUBSTITUTE(SUBSTITUTE(SUBSTITUTE(SUBSTITUTE(SUBSTITUTE(BM147,"0",""),"-",""),"_",""),"/",""),".",""),"#",""),"\\",""),":","")," ",""),"(",""),")","")</f>
        <v/>
      </c>
      <c r="BY147" s="62" t="n">
        <f aca="false">Q147-T24EarlyH/24</f>
        <v>46308.0451388889</v>
      </c>
      <c r="BZ147" s="61" t="n">
        <f aca="false">IFERROR(IF(IF(TRIM(S147)="Link / file path",AND(LEN(TRIM(Z147))&gt;=5,SUMPRODUCT(--ISNUMBER(SEARCH({"http","www.","\\",":\",".pdf",".jpg",".jpeg",".png",".heic",".xls",".doc",".msg",".eml",".ppt",".txt",".zip"},Z147)))&gt;0),AND(ISERROR(FIND(" ",TRIM(Z147))),NOT(OR(SUMPRODUCT(--ISNUMBER(FIND({",",";","&amp;","+"},Z147)))&gt;0,SUMPRODUCT(--ISNUMBER(SEARCH({"0/aa","0\\aa"},BN147)))&gt;0)),NOT(SUMPRODUCT(--ISNUMBER(SEARCH({"http","www.","\\",":\",".pdf",".jpg",".jpeg",".png",".heic",".xls",".doc",".msg",".eml",".ppt",".txt",".zip"},Z147)))&gt;0),NOT(LOWER(TRIM(Z147))=LOWER(Flights!$F$9)),ISNA(MATCH(BU147,{"mh","rev","revision","ver","version","v","r","a","b","seat","tray","row","gate","bay","stand","page","pg","item","line","no","cart","galley","flight","flt","table","box","bag","oven","etd","eta","std","sta","atd","ata","qty","pax","x","time","tel","ph","mob","day","wk","week","utc","gmt","myt","lt"},0)),NOT(OR(ISNUMBER(MATCH(LEFT(BN147,255),{"0000a","000a","00a","0000aa","000aa","00aa","0aa","0000aaa","000aaa","00a00","0a00","0000-0000","00:00","a00","a0","00.00.0000","00/00/0000","00-00-0000","0000-00-00","0000/00/00","0000.00.00","00.00.00","00/00/00","00-00-00","0.00.0000","0/00/0000","0-00-0000"},0)),ISNUMBER(MATCH(LEFT(BT147,255),{"0000a","000a","00a","0000aa","000aa","00aa","0aa","0000aaa","000aaa","00a00","0a00","0000-0000","00:00","a00","a0","00.00.0000","00/00/0000","00-00-0000","0000-00-00","0000/00/00","0000.00.00","00.00.00","00/00/00","00-00-00","0.00.0000","0/00/0000","0-00-0000"},0)))),NOT(OR(AND(BW147&lt;&gt;"",SUBSTITUTE(BW147,"0","")=""),AND(LEN(BW147)&gt;=4,BW147=REPT(LEFT(BW147),LEN(BW147))),ISNUMBER(MATCH(BW147,{"123","1234","12345","123456","1234567","12345678","0123","01234","012345","98765","987654","54321"},0)),ISNUMBER(MATCH(BX147,{"x","xx","xxx","xxxx","xxxxx","abc","abcd","nil","na","nan","test","tbc","tba","tbd","dummy","sample","example","eg","zz","zzz","none","null","xyz","qwe","asd","id","ref"},0)),AND(LEN(BW147)=8,BX147="",OR(LEFT(BW147,3)="202",ISNUMBER(MATCH(RIGHT(BW147,4),{"2025","2026","2027"},0)))))),OR(AND((LEN(BT147)-LEN(SUBSTITUTE(BT147,"a","")))&gt;=1,(LEN(BN147)-LEN(SUBSTITUTE(BN147,"0","")))&gt;=2,SUMPRODUCT(--ISNUMBER(SEARCH({"a0","a-0","a_0","a/0","a.0","a#0","0a","0-a","0_a","0/a"},BN147)))&gt;0),AND((LEN(BN147)-LEN(SUBSTITUTE(BN147,"a","")))=0,(LEN(BN147)-LEN(SUBSTITUTE(BN147,"0","")))&gt;=5)))),1,0),0)</f>
        <v>0</v>
      </c>
      <c r="CA1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147,"revision",""),"version",""),"jan",""),"feb",""),"mar",""),"apr",""),"may",""),"jun",""),"jul",""),"aug",""),"sep",""),"oct",""),"nov",""),"dec",""),"utc",""),"gmt",""),"myt",""),"bst",""),"rev",""),"ver",""),"b","a"),"c","a"),"d","a"),"e","a"),"f","a"),"g","a"),"h","a"),"i","a"),"j","a"),"k","a"),"l","a"),"m","a"),"n","a"),"o","a"),"p","a"),"q","a"),"r","a"),"s","a"),"t","a"),"u","a"),"v","a"),"w","a"),"x","a"),"y","a"),"z","a")</f>
        <v/>
      </c>
      <c r="CB1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147&amp;""),"a",""),"b",""),"c",""),"d",""),"e",""),"f",""),"g",""),"h",""),"i",""),"j",""),"k",""),"l",""),"m",""),"n",""),"o",""),"p",""),"q",""),"r",""),"s",""),"t",""),"u",""),"v",""),"w",""),"x",""),"y",""),"z",""),"-",""),"_",""),"/",""),".",""),"#",""),"\\",""),":","")," ",""),"(",""),")","")</f>
        <v/>
      </c>
      <c r="CC147" s="0" t="str">
        <f aca="false">" "&amp;TRIM(SUBSTITUTE(SUBSTITUTE(SUBSTITUTE(SUBSTITUTE(SUBSTITUTE(SUBSTITUTE(SUBSTITUTE(SUBSTITUTE(SUBSTITUTE(SUBSTITUTE(SUBSTITUTE(SUBSTITUTE(SUBSTITUTE(SUBSTITUTE(SUBSTITUTE(SUBSTITUTE(SUBSTITUTE(SUBSTITUTE(SUBSTITUTE(SUBSTITUTE(SUBSTITUTE(SUBSTITUTE(SUBSTITUTE(SUBSTITUTE(LOWER(T147&amp;""),CHAR(10)," "),CHAR(13)," "),CHAR(9)," "),CHAR(160)," "),"."," "),","," "),"-"," "),"/"," "),"("," "),")"," "),":"," "),";"," "),"_"," "),"–"," "),"?"," "),"!"," "),"*"," "),"["," "),"]"," "),"'"," "),"#"," "),"+"," "),"&amp;"," "),"\"," "))&amp;" "</f>
        <v>  </v>
      </c>
      <c r="CD147" s="0" t="str">
        <f aca="false">" "&amp;TRIM(SUBSTITUTE(SUBSTITUTE(SUBSTITUTE(SUBSTITUTE(SUBSTITUTE(SUBSTITUTE(SUBSTITUTE(SUBSTITUTE(SUBSTITUTE(SUBSTITUTE(SUBSTITUTE(SUBSTITUTE(SUBSTITUTE(SUBSTITUTE(SUBSTITUTE(SUBSTITUTE(SUBSTITUTE(SUBSTITUTE(SUBSTITUTE(SUBSTITUTE(SUBSTITUTE(SUBSTITUTE(SUBSTITUTE(SUBSTITUTE(LOWER(AE147&amp;""),CHAR(10)," "),CHAR(13)," "),CHAR(9)," "),CHAR(160)," "),"."," "),","," "),"-"," "),"/"," "),"("," "),")"," "),":"," "),";"," "),"_"," "),"–"," "),"?"," "),"!"," "),"*"," "),"["," "),"]"," "),"'"," "),"#"," "),"+"," "),"&amp;"," "),"\"," "))&amp;" "</f>
        <v>  </v>
      </c>
      <c r="CE147" s="68" t="n">
        <f aca="false">IFERROR(IF(AND(LEN(AU147)&gt;0,LEN(AU147)=LEN(AX147),OR(TRIM(MID(SUBSTITUTE(TRIM(CC147)," ",REPT(" ",60)),1,60))="",ISNUMBER(SEARCH(" "&amp;TRIM(MID(SUBSTITUTE(TRIM(CC147)," ",REPT(" ",60)),1,60))&amp;" ",CD147))),OR(TRIM(MID(SUBSTITUTE(TRIM(CC147)," ",REPT(" ",60)),61,60))="",ISNUMBER(SEARCH(" "&amp;TRIM(MID(SUBSTITUTE(TRIM(CC147)," ",REPT(" ",60)),61,60))&amp;" ",CD147))),OR(TRIM(MID(SUBSTITUTE(TRIM(CC147)," ",REPT(" ",60)),121,60))="",ISNUMBER(SEARCH(" "&amp;TRIM(MID(SUBSTITUTE(TRIM(CC147)," ",REPT(" ",60)),121,60))&amp;" ",CD147)))),1,0),0)</f>
        <v>0</v>
      </c>
      <c r="CG147" s="68" t="n">
        <f aca="false">IFERROR(LEN(SUBSTITUTE(BF147," ",""))-SUMPRODUCT((LEN(BF147)-LEN(SUBSTITUTE(BF147," "&amp;L_NAFiller&amp;" "," ")))/(LEN(L_NAFiller)+1)*LEN(L_NAFiller)),0)</f>
        <v>0</v>
      </c>
    </row>
    <row r="148" customFormat="false" ht="39.75" hidden="false" customHeight="true" outlineLevel="0" collapsed="false">
      <c r="A148" s="57" t="s">
        <v>677</v>
      </c>
      <c r="B148" s="57" t="s">
        <v>228</v>
      </c>
      <c r="C148" s="57" t="str">
        <f aca="false">Flights!$F$9</f>
        <v>MH0089</v>
      </c>
      <c r="D148" s="58" t="n">
        <f aca="false">Flights!$D$9</f>
        <v>46310</v>
      </c>
      <c r="E148" s="57" t="str">
        <f aca="false">Flights!$G$9&amp;"-"&amp;Flights!$H$9</f>
        <v>NRT-KUL</v>
      </c>
      <c r="F148" s="57" t="str">
        <f aca="false">Flights!$K$9</f>
        <v>EY</v>
      </c>
      <c r="G148" s="57" t="s">
        <v>420</v>
      </c>
      <c r="H148" s="57" t="s">
        <v>378</v>
      </c>
      <c r="I148" s="57" t="s">
        <v>379</v>
      </c>
      <c r="J148" s="57" t="s">
        <v>421</v>
      </c>
      <c r="K148" s="67"/>
      <c r="L148" s="67" t="s">
        <v>422</v>
      </c>
      <c r="M148" s="67"/>
      <c r="N148" s="67" t="s">
        <v>383</v>
      </c>
      <c r="O148" s="67" t="s">
        <v>423</v>
      </c>
      <c r="P148" s="57" t="s">
        <v>220</v>
      </c>
      <c r="Q148" s="59" t="n">
        <f aca="false">ROUND((Flights!$AE$9)*1440,0)/1440</f>
        <v>46309.5451388889</v>
      </c>
      <c r="R148" s="59" t="n">
        <f aca="false">Q148+(IF(AND(INDEX(TZ_DSTS,MATCH(P148,TZ_STN,0))&lt;&gt;"",Q148&gt;=INDEX(TZ_DSTS,MATCH(P148,TZ_STN,0)),Q148&lt;INDEX(TZ_DSTE,MATCH(P148,TZ_STN,0))),INDEX(TZ_DST,MATCH(P148,TZ_STN,0)),INDEX(TZ_STD,MATCH(P148,TZ_STN,0))))/24</f>
        <v>46309.9201388889</v>
      </c>
      <c r="S148" s="60"/>
      <c r="T148" s="60"/>
      <c r="U148" s="60"/>
      <c r="V148" s="60"/>
      <c r="W148" s="61"/>
      <c r="X148" s="60"/>
      <c r="Y148" s="60"/>
      <c r="Z148" s="60"/>
      <c r="AA148" s="60"/>
      <c r="AB148" s="60"/>
      <c r="AC148" s="60"/>
      <c r="AD148" s="66"/>
      <c r="AE148" s="60"/>
      <c r="AF148" s="61" t="str">
        <f aca="false">IF(AND(ISNUMBER(X148),ISNUMBER(Y148)),Y148-X148,"")</f>
        <v/>
      </c>
      <c r="AG148" s="62" t="str">
        <f aca="false">IF(ISNUMBER(AD148),AD148-(IF(AND(INDEX(TZ_DSTS,MATCH(P148,TZ_STN,0))&lt;&gt;"",(AD148-INDEX(TZ_STD,MATCH(P148,TZ_STN,0))/24)&gt;=INDEX(TZ_DSTS,MATCH(P148,TZ_STN,0)),(AD148-INDEX(TZ_STD,MATCH(P148,TZ_STN,0))/24)&lt;INDEX(TZ_DSTE,MATCH(P148,TZ_STN,0))),INDEX(TZ_DST,MATCH(P148,TZ_STN,0)),INDEX(TZ_STD,MATCH(P148,TZ_STN,0))))/24,"")</f>
        <v/>
      </c>
      <c r="AH148" s="65" t="str">
        <f aca="false">IFERROR(IF(N148="N/A – rule",IF(OR(TRIM(U148)="",TRIM(U148)="N/A",TRIM(U148)="Not started"),"N/A – RULE","INVALID – this check does not apply to this aircraft: clear the status (or correct the fleet on Flights)"),IF(TRIM(U148)="N/A",IF(AT148=0,"INVALID – N/A not permitted for this check",IF(AND(TRIM(AB148)&lt;&gt;"",TRIM(AB148)&lt;&gt;"Closed"),"INVALID – corrective action still open",IF(AND(NOT(OR(LEN(AZ148)&lt;15,ISNUMBER(MATCH(AZ148,L_Placeholder,0)))),BK148=0,CG148&gt;=8,NOT(OR(LEN(AU148)&lt;2,ISNUMBER(MATCH(AU148,L_Placeholder,0)))),BR148&gt;=3,NOT(OR(LEN(AX148)&lt;2,ISNUMBER(MATCH(AX148,L_Placeholder,0)))),BS148&gt;=3,TRIM(AE148)&lt;&gt;TRIM(T148),AX148&lt;&gt;AU148,CE148=0),"N/A – JUSTIFIED","INVALID – N/A needs a real, settled reason (not 'not applicable' / 'as above' / TBC), a named PIC and a different named verifier"))),IF(OR(TRIM(U148)="Pass",TRIM(U148)="Pass after CA"),IF(NOT(ISNUMBER(AD148)),"INVALID – completion time missing",IF(OR(OR(LEN(AU148)&lt;2,ISNUMBER(MATCH(AU148,L_Placeholder,0))),BR148&lt;3),"INVALID – PIC missing or not a named person (a role such as QA / CSM is not a name)",IF(OR(LEN(AV148)&lt;2,ISNUMBER(MATCH(AV148,L_Placeholder,0))),"INVALID – result / assessment missing",IF(OR(OR(LEN(AW148)&lt;3,ISNUMBER(MATCH(AW148,L_Placeholder,0))),SUMPRODUCT(--ISNUMBER(SEARCH(" "&amp;L_EvidencePhrase&amp;" ",BD148)))&gt;0,BI148=1),"INVALID – evidence missing, placeholder or not yet on file",IF(ISNA(MATCH(TRIM(S148),L_EvidenceType,0)),"INVALID – choose the evidence type from the list (column S)",IF(BL148=0,"INVALID – evidence ID must be the record's own ID only (e.g. SF-2210, IMG_2231, 1045521); a link / file name needs type 'Link / file path'",IF(OR(OR(LEN(AX148)&lt;2,ISNUMBER(MATCH(AX148,L_Placeholder,0))),BS148&lt;3),"INVALID – verifier missing or not a named person (a role such as QA / CSM is not a name)",IF(OR(AX148=AU148,CE148=1,AND(LEN(AU148)&gt;=4,ISNUMBER(SEARCH(AU148,AX148))),AND(LEN(AX148)&gt;=4,ISNUMBER(SEARCH(AX148,AU148)))),"INVALID – verifier must be a different, named person (not the PIC or a role)",IF(BH148=1,"INVALID – result not yet available (awaiting / TBC)",IF(BG148=1,"INVALID – result describes a problem: record Fail, then Pass after CA (or reword if it is not a problem)",IF(BV148=1,"INVALID – wording says not on board: an on-board confirmation needs the item loaded",IF(AND(AQ148=1,OR(OR(LEN(AY148)&lt;3,ISNUMBER(MATCH(AY148,L_Placeholder,0))),BJ148=1,BQ148=0)),"INVALID – batch ID missing, placeholder or not an ID (e.g. PASB-261008-BC-017)",IF(AND(AR148=1,OR(NOT(ISNUMBER(X148)),NOT(ISNUMBER(Y148)))),"INVALID – expected/actual qty missing",IF(AND(AR148=1,OR(X148&lt;=0,Y148&lt;0)),"INVALID – expected qty must be above 0 and actual not negative",IF(BB148&lt;&gt;"",BB148,IF(AND(AS148=1,Documents!$J$9&lt;&gt;"ON FILE"),"INVALID – GLD not on file (Documents sheet)",IF(AND(AS148=2,Documents!$O$9&lt;&gt;"ON FILE"),"INVALID – menu checklist not on file (Documents sheet)",IF(AND(AS148=3,NOT(ISNUMBER(Flights!$AX$9))),"INVALID – enter carrying flight KUL departure (Flights AX)",IF(AND(AS148=3,OR(Flights!$AZ$9&gt;Flights!$AA$9,Flights!$AX$9&lt;Flights!$AA$9-3)),"INVALID – carrying flight (Flights AX) cannot arrive before this leg's STD, or is over 3 days early",IF(AG148&gt;AsOfUTC,"INVALID – completion time is in the future",IF(AND(ISNUMBER(BY148),AG148&lt;BY148),IF(H148="Physical uplift","INVALID – before uplift window (cannot confirm loading)","INVALID – before valid window"),IF(AG148&gt;Flights!$AA$9,"INVALID – completed after departure (cannot establish readiness)",IF(AND(H148="Preparation",AG148&gt;=IF(ISNUMBER(Flights!$BA$9),MIN(Flights!$BA$9,Flights!$AA$9),Flights!$AA$9)),"INVALID – completed after loading / departure (cannot establish readiness)",IF(AND(H148="Physical uplift",AG148&gt;Q148),"INVALID – recorded after the loading flight departed",IF(AG148&gt;Q148,"COMPLETE – LATE","COMPLETE"))))))))))))))))))))))))),IF(TRIM(U148)="Fail","FAIL – DISCREPANCY",IF(AND(TRIM(U148)&lt;&gt;"",TRIM(U148)&lt;&gt;"Not started",TRIM(U148)&lt;&gt;"In progress"),"INVALID – unrecognised status (use the list)",IF(AsOfUTC&gt;Q148,"OVERDUE",IF(N148="Clarification required","OPEN – CLARIFICATION","OPEN"))))))),"INVALID – error value in an input cell")</f>
        <v>OPEN</v>
      </c>
      <c r="AI148" s="61" t="n">
        <f aca="false">IF(OR(AH148="N/A – RULE",AH148="N/A – JUSTIFIED"),0,1)</f>
        <v>1</v>
      </c>
      <c r="AJ148" s="61" t="n">
        <f aca="false">IF(LEFT(AH148,8)="COMPLETE",1,0)</f>
        <v>0</v>
      </c>
      <c r="AK148" s="61" t="n">
        <f aca="false">IF(AND(AI148=1,AJ148=0,AsOfUTC&gt;Q148),1,0)</f>
        <v>0</v>
      </c>
      <c r="AL148" s="61" t="n">
        <f aca="false">IFERROR(IF(AND(AI148=1,OR(TRIM(U148)="Fail",AND(TRIM(AB148)&lt;&gt;"",TRIM(AB148)&lt;&gt;"Closed"),AND(ISNUMBER(AF148),AF148&lt;&gt;0,TRIM(U148)&lt;&gt;"Pass after CA"))),1,0),1)</f>
        <v>0</v>
      </c>
      <c r="AM148" s="61" t="n">
        <f aca="false">IF(LEFT(AH148,7)="INVALID",1,0)</f>
        <v>0</v>
      </c>
      <c r="AN148" s="61" t="n">
        <f aca="false">IF(AND(N148="Clarification required",AI148=1,AJ148=0),1,0)</f>
        <v>0</v>
      </c>
      <c r="AO148" s="61" t="str">
        <f aca="false">IF(AK148=1,SUM(AK$5:AK148),"")</f>
        <v/>
      </c>
      <c r="AP148" s="61" t="str">
        <f aca="false">IF(AL148=1,SUM(AL$5:AL148),"")</f>
        <v/>
      </c>
      <c r="AQ148" s="61" t="n">
        <v>0</v>
      </c>
      <c r="AR148" s="61" t="n">
        <v>0</v>
      </c>
      <c r="AS148" s="61" t="n">
        <v>0</v>
      </c>
      <c r="AT148" s="61" t="n">
        <v>0</v>
      </c>
      <c r="AU148" s="61" t="str">
        <f aca="false">SUBSTITUTE(SUBSTITUTE(SUBSTITUTE(SUBSTITUTE(SUBSTITUTE(SUBSTITUTE(SUBSTITUTE(SUBSTITUTE(SUBSTITUTE(SUBSTITUTE(SUBSTITUTE(SUBSTITUTE(SUBSTITUTE(SUBSTITUTE(SUBSTITUTE(SUBSTITUTE(LOWER(T148&amp;""),CHAR(10),""),CHAR(13),""),CHAR(9),""),CHAR(160),"")," ",""),".",""),"-",""),"/",""),"?",""),"_",""),",",""),"[",""),"]",""),"(",""),")",""),"*","")</f>
        <v/>
      </c>
      <c r="AV148" s="61" t="str">
        <f aca="false">SUBSTITUTE(SUBSTITUTE(SUBSTITUTE(SUBSTITUTE(SUBSTITUTE(SUBSTITUTE(SUBSTITUTE(SUBSTITUTE(SUBSTITUTE(SUBSTITUTE(SUBSTITUTE(SUBSTITUTE(SUBSTITUTE(SUBSTITUTE(SUBSTITUTE(SUBSTITUTE(LOWER(V148&amp;""),CHAR(10),""),CHAR(13),""),CHAR(9),""),CHAR(160),"")," ",""),".",""),"-",""),"/",""),"?",""),"_",""),",",""),"[",""),"]",""),"(",""),")",""),"*","")</f>
        <v/>
      </c>
      <c r="AW148" s="61" t="str">
        <f aca="false">SUBSTITUTE(SUBSTITUTE(SUBSTITUTE(SUBSTITUTE(SUBSTITUTE(SUBSTITUTE(SUBSTITUTE(SUBSTITUTE(SUBSTITUTE(SUBSTITUTE(SUBSTITUTE(SUBSTITUTE(SUBSTITUTE(SUBSTITUTE(SUBSTITUTE(SUBSTITUTE(LOWER(Z148&amp;""),CHAR(10),""),CHAR(13),""),CHAR(9),""),CHAR(160),"")," ",""),".",""),"-",""),"/",""),"?",""),"_",""),",",""),"[",""),"]",""),"(",""),")",""),"*","")</f>
        <v/>
      </c>
      <c r="AX148" s="61" t="str">
        <f aca="false">SUBSTITUTE(SUBSTITUTE(SUBSTITUTE(SUBSTITUTE(SUBSTITUTE(SUBSTITUTE(SUBSTITUTE(SUBSTITUTE(SUBSTITUTE(SUBSTITUTE(SUBSTITUTE(SUBSTITUTE(SUBSTITUTE(SUBSTITUTE(SUBSTITUTE(SUBSTITUTE(LOWER(AE148&amp;""),CHAR(10),""),CHAR(13),""),CHAR(9),""),CHAR(160),"")," ",""),".",""),"-",""),"/",""),"?",""),"_",""),",",""),"[",""),"]",""),"(",""),")",""),"*","")</f>
        <v/>
      </c>
      <c r="AY148" s="61" t="str">
        <f aca="false">SUBSTITUTE(SUBSTITUTE(SUBSTITUTE(SUBSTITUTE(SUBSTITUTE(SUBSTITUTE(SUBSTITUTE(SUBSTITUTE(SUBSTITUTE(SUBSTITUTE(SUBSTITUTE(SUBSTITUTE(SUBSTITUTE(SUBSTITUTE(SUBSTITUTE(SUBSTITUTE(LOWER(W148&amp;""),CHAR(10),""),CHAR(13),""),CHAR(9),""),CHAR(160),"")," ",""),".",""),"-",""),"/",""),"?",""),"_",""),",",""),"[",""),"]",""),"(",""),")",""),"*","")</f>
        <v/>
      </c>
      <c r="AZ148" s="61" t="str">
        <f aca="false">SUBSTITUTE(SUBSTITUTE(SUBSTITUTE(SUBSTITUTE(SUBSTITUTE(SUBSTITUTE(SUBSTITUTE(SUBSTITUTE(SUBSTITUTE(SUBSTITUTE(SUBSTITUTE(SUBSTITUTE(SUBSTITUTE(SUBSTITUTE(SUBSTITUTE(SUBSTITUTE(LOWER(AC148&amp;""),CHAR(10),""),CHAR(13),""),CHAR(9),""),CHAR(160),"")," ",""),".",""),"-",""),"/",""),"?",""),"_",""),",",""),"[",""),"]",""),"(",""),")",""),"*","")</f>
        <v/>
      </c>
      <c r="BA148" s="61" t="str">
        <f aca="false">SUBSTITUTE(SUBSTITUTE(SUBSTITUTE(SUBSTITUTE(SUBSTITUTE(SUBSTITUTE(SUBSTITUTE(SUBSTITUTE(SUBSTITUTE(SUBSTITUTE(SUBSTITUTE(SUBSTITUTE(SUBSTITUTE(SUBSTITUTE(SUBSTITUTE(SUBSTITUTE(LOWER(AA148&amp;""),CHAR(10),""),CHAR(13),""),CHAR(9),""),CHAR(160),"")," ",""),".",""),"-",""),"/",""),"?",""),"_",""),",",""),"[",""),"]",""),"(",""),")",""),"*","")</f>
        <v/>
      </c>
      <c r="BB148" s="61" t="str">
        <f aca="false">IF(AND(TRIM(U148)="Pass",ISNUMBER(AF148)),IF(AF148&lt;&gt;0,"INVALID – qty variance: use Fail or Pass after CA",""),"")&amp;IF(AND(TRIM(U148)="Pass after CA",ISNUMBER(AF148)),IF(AF148&lt;&gt;0,"INVALID – after the corrective action the actual qty must equal expected (update Actual)",""),"")&amp;IF(AND(TRIM(U148)="Pass",TRIM(AB148)&lt;&gt;"",TRIM(AB148)&lt;&gt;"Closed"),"INVALID – corrective action not closed: use Fail, then Pass after CA","")&amp;IF(AND(LEN(BA148)&gt;=2,ISNA(MATCH(LEFT(BA148,255),L_Placeholder,0)),TRIM(AB148)=""),"INVALID – CA status missing for the recorded corrective action","")&amp;IF(AND(TRIM(U148)="Pass after CA",OR(OR(LEN(BA148)&lt;5,ISNUMBER(MATCH(BA148,L_Placeholder,0))),TRIM(AB148)&lt;&gt;"Closed")),"INVALID – corrective action not recorded/closed","")</f>
        <v/>
      </c>
      <c r="BC148" s="61" t="str">
        <f aca="false">" "&amp;TRIM(SUBSTITUTE(SUBSTITUTE(SUBSTITUTE(SUBSTITUTE(SUBSTITUTE(SUBSTITUTE(SUBSTITUTE(SUBSTITUTE(SUBSTITUTE(SUBSTITUTE(SUBSTITUTE(SUBSTITUTE(SUBSTITUTE(SUBSTITUTE(SUBSTITUTE(SUBSTITUTE(SUBSTITUTE(SUBSTITUTE(SUBSTITUTE(SUBSTITUTE(SUBSTITUTE(SUBSTITUTE(SUBSTITUTE(SUBSTITUTE(LOWER(V148&amp;""),CHAR(10)," "),CHAR(13)," "),CHAR(9)," "),CHAR(160)," "),"."," "),","," "),"-"," "),"/"," "),"("," "),")"," "),":"," "),";"," "),"_"," "),"–"," "),"?"," "),"!"," "),"*"," "),"["," "),"]"," "),"'"," "),"#"," "),"+"," "),"&amp;"," "),"\"," "))&amp;" "</f>
        <v>  </v>
      </c>
      <c r="BD148" s="61" t="str">
        <f aca="false">" "&amp;TRIM(SUBSTITUTE(SUBSTITUTE(SUBSTITUTE(SUBSTITUTE(SUBSTITUTE(SUBSTITUTE(SUBSTITUTE(SUBSTITUTE(SUBSTITUTE(SUBSTITUTE(SUBSTITUTE(SUBSTITUTE(SUBSTITUTE(SUBSTITUTE(SUBSTITUTE(SUBSTITUTE(SUBSTITUTE(SUBSTITUTE(SUBSTITUTE(SUBSTITUTE(SUBSTITUTE(SUBSTITUTE(SUBSTITUTE(SUBSTITUTE(LOWER(Z148&amp;""),CHAR(10)," "),CHAR(13)," "),CHAR(9)," "),CHAR(160)," "),"."," "),","," "),"-"," "),"/"," "),"("," "),")"," "),":"," "),";"," "),"_"," "),"–"," "),"?"," "),"!"," "),"*"," "),"["," "),"]"," "),"'"," "),"#"," "),"+"," "),"&amp;"," "),"\"," "))&amp;" "</f>
        <v>  </v>
      </c>
      <c r="BE148" s="61" t="str">
        <f aca="false">" "&amp;TRIM(SUBSTITUTE(SUBSTITUTE(SUBSTITUTE(SUBSTITUTE(SUBSTITUTE(SUBSTITUTE(SUBSTITUTE(SUBSTITUTE(SUBSTITUTE(SUBSTITUTE(SUBSTITUTE(SUBSTITUTE(SUBSTITUTE(SUBSTITUTE(SUBSTITUTE(SUBSTITUTE(SUBSTITUTE(SUBSTITUTE(SUBSTITUTE(SUBSTITUTE(SUBSTITUTE(SUBSTITUTE(SUBSTITUTE(SUBSTITUTE(LOWER(W148&amp;""),CHAR(10)," "),CHAR(13)," "),CHAR(9)," "),CHAR(160)," "),"."," "),","," "),"-"," "),"/"," "),"("," "),")"," "),":"," "),";"," "),"_"," "),"–"," "),"?"," "),"!"," "),"*"," "),"["," "),"]"," "),"'"," "),"#"," "),"+"," "),"&amp;"," "),"\"," "))&amp;" "</f>
        <v>  </v>
      </c>
      <c r="BF148" s="61" t="str">
        <f aca="false">" "&amp;TRIM(SUBSTITUTE(SUBSTITUTE(SUBSTITUTE(SUBSTITUTE(SUBSTITUTE(SUBSTITUTE(SUBSTITUTE(SUBSTITUTE(SUBSTITUTE(SUBSTITUTE(SUBSTITUTE(SUBSTITUTE(SUBSTITUTE(SUBSTITUTE(SUBSTITUTE(SUBSTITUTE(SUBSTITUTE(SUBSTITUTE(SUBSTITUTE(SUBSTITUTE(SUBSTITUTE(SUBSTITUTE(SUBSTITUTE(SUBSTITUTE(LOWER(AC148&amp;""),CHAR(10)," "),CHAR(13)," "),CHAR(9)," "),CHAR(160)," "),"."," "),","," "),"-"," "),"/"," "),"("," "),")"," "),":"," "),";"," "),"_"," "),"–"," "),"?"," "),"!"," "),"*"," "),"["," "),"]"," "),"'"," "),"#"," "),"+"," "),"&amp;"," "),"\"," "))&amp;" "</f>
        <v>  </v>
      </c>
      <c r="BG148" s="61" t="n">
        <f aca="false">IFERROR(IF(AND(TRIM(U148)="Pass",SUMPRODUCT((LEN(BC148)-LEN(SUBSTITUTE(BC148," "&amp;L_ResultBad&amp;" "," ")))/(LEN(L_ResultBad)+1))&gt;SUMPRODUCT((LEN(BC148)-LEN(SUBSTITUTE(BC148," "&amp;L_NegPhrase&amp;" "," ")))/(LEN(L_NegPhrase)+1))),1,0),0)</f>
        <v>0</v>
      </c>
      <c r="BH148" s="61" t="n">
        <f aca="false">IFERROR(IF(SUMPRODUCT((LEN(BC148)-LEN(SUBSTITUTE(BC148," "&amp;L_Pending&amp;" "," ")))/(LEN(L_Pending)+1))&gt;SUMPRODUCT((LEN(BC148)-LEN(SUBSTITUTE(BC148," "&amp;L_PendNeg&amp;" "," ")))/(LEN(L_PendNeg)+1))+SUMPRODUCT((LEN(BC148)-LEN(SUBSTITUTE(BC148," "&amp;L_PendPrep&amp;" "," ")))/(LEN(L_PendPrep)+1)),1,0),1)</f>
        <v>0</v>
      </c>
      <c r="BI148" s="61" t="n">
        <f aca="false">IFERROR(IF(SUMPRODUCT((LEN(BD148)-LEN(SUBSTITUTE(BD148," "&amp;L_PendStrict&amp;" "," ")))/(LEN(L_PendStrict)+1))&gt;SUMPRODUCT((LEN(BD148)-LEN(SUBSTITUTE(BD148," "&amp;L_PendNeg&amp;" "," ")))/(LEN(L_PendNeg)+1)),1,0),1)</f>
        <v>0</v>
      </c>
      <c r="BJ148" s="61" t="n">
        <f aca="false">IFERROR(IF(SUMPRODUCT((LEN(BE148)-LEN(SUBSTITUTE(BE148," "&amp;L_Pending&amp;" "," ")))/(LEN(L_Pending)+1))&gt;SUMPRODUCT((LEN(BE148)-LEN(SUBSTITUTE(BE148," "&amp;L_PendNeg&amp;" "," ")))/(LEN(L_PendNeg)+1))+SUMPRODUCT((LEN(BE148)-LEN(SUBSTITUTE(BE148," "&amp;L_PendPrep&amp;" "," ")))/(LEN(L_PendPrep)+1)),1,0),1)</f>
        <v>0</v>
      </c>
      <c r="BK148" s="61" t="n">
        <f aca="false">IFERROR(IF(SUMPRODUCT((LEN(BF148)-LEN(SUBSTITUTE(BF148," "&amp;L_PendStrict&amp;" "," ")))/(LEN(L_PendStrict)+1))&gt;SUMPRODUCT((LEN(BF148)-LEN(SUBSTITUTE(BF148," "&amp;L_PendNeg&amp;" "," ")))/(LEN(L_PendNeg)+1)),1,0),1)</f>
        <v>0</v>
      </c>
      <c r="BL148" s="61" t="n">
        <f aca="false">IF(ISNA(MATCH(TRIM(S148),L_EvidenceType,0)),0,BZ148)</f>
        <v>0</v>
      </c>
      <c r="BM148" s="61" t="str">
        <f aca="false">SUBSTITUTE(SUBSTITUTE(SUBSTITUTE(SUBSTITUTE(SUBSTITUTE(SUBSTITUTE(SUBSTITUTE(SUBSTITUTE(SUBSTITUTE(LOWER(Z148&amp;""),"1","0"),"2","0"),"3","0"),"4","0"),"5","0"),"6","0"),"7","0"),"8","0"),"9","0")</f>
        <v/>
      </c>
      <c r="BN148" s="61" t="str">
        <f aca="false">SUBSTITUTE(SUBSTITUTE(SUBSTITUTE(SUBSTITUTE(SUBSTITUTE(SUBSTITUTE(SUBSTITUTE(SUBSTITUTE(SUBSTITUTE(SUBSTITUTE(SUBSTITUTE(SUBSTITUTE(SUBSTITUTE(SUBSTITUTE(SUBSTITUTE(SUBSTITUTE(SUBSTITUTE(SUBSTITUTE(SUBSTITUTE(SUBSTITUTE(SUBSTITUTE(SUBSTITUTE(SUBSTITUTE(SUBSTITUTE(SUBSTITUTE(BM148,"b","a"),"c","a"),"d","a"),"e","a"),"f","a"),"g","a"),"h","a"),"i","a"),"j","a"),"k","a"),"l","a"),"m","a"),"n","a"),"o","a"),"p","a"),"q","a"),"r","a"),"s","a"),"t","a"),"u","a"),"v","a"),"w","a"),"x","a"),"y","a"),"z","a")</f>
        <v/>
      </c>
      <c r="BO148" s="61" t="str">
        <f aca="false">SUBSTITUTE(SUBSTITUTE(SUBSTITUTE(SUBSTITUTE(SUBSTITUTE(SUBSTITUTE(SUBSTITUTE(SUBSTITUTE(SUBSTITUTE(LOWER(W148&amp;""),"1","0"),"2","0"),"3","0"),"4","0"),"5","0"),"6","0"),"7","0"),"8","0"),"9","0")</f>
        <v/>
      </c>
      <c r="BP148" s="61" t="str">
        <f aca="false">SUBSTITUTE(SUBSTITUTE(SUBSTITUTE(SUBSTITUTE(SUBSTITUTE(SUBSTITUTE(SUBSTITUTE(SUBSTITUTE(SUBSTITUTE(SUBSTITUTE(SUBSTITUTE(SUBSTITUTE(SUBSTITUTE(SUBSTITUTE(SUBSTITUTE(SUBSTITUTE(SUBSTITUTE(SUBSTITUTE(SUBSTITUTE(SUBSTITUTE(SUBSTITUTE(SUBSTITUTE(SUBSTITUTE(SUBSTITUTE(SUBSTITUTE(BO148,"b","a"),"c","a"),"d","a"),"e","a"),"f","a"),"g","a"),"h","a"),"i","a"),"j","a"),"k","a"),"l","a"),"m","a"),"n","a"),"o","a"),"p","a"),"q","a"),"r","a"),"s","a"),"t","a"),"u","a"),"v","a"),"w","a"),"x","a"),"y","a"),"z","a")</f>
        <v/>
      </c>
      <c r="BQ148" s="61" t="n">
        <f aca="false">IFERROR(IF(AND(ISERROR(SEARCH(" mh"," "&amp;LOWER(W148))),ISNA(MATCH(LEFT(TRIM(BP148),255),{"0000a","000a","00a","0000aa","000aa","00aa","0aa","0000aaa","000aaa","00a00","0a00","0000-0000","00:00","a00","a0","00.00.0000","00/00/0000","00-00-0000","0000-00-00","0000/00/00","0000.00.00","00.00.00","00/00/00","00-00-00","0.00.0000","0/00/0000","0-00-0000"},0)),ISNA(MATCH(LEFT(TRIM(CA148),255),{"0000a","000a","00a","0000aa","000aa","00aa","0aa","0000aaa","000aaa","00a00","0a00","0000-0000","00:00","a00","a0","00.00.0000","00/00/0000","00-00-0000","0000-00-00","0000/00/00","0000.00.00","00.00.00","00/00/00","00-00-00","0.00.0000","0/00/0000","0-00-0000"},0)),LEN(CB148)&gt;=3,NOT(OR(SUBSTITUTE(CB148,"0","")="",AND(LEN(CB148)&gt;=4,CB148=REPT(LEFT(CB148),LEN(CB148))),ISNUMBER(MATCH(CB148,{"123","1234","12345","123456","1234567","12345678","0123","01234","012345","98765","987654","54321"},0)),AND(LEN(CB148)=8,LEFT(CB148,3)="202"))),OR(AND((LEN(CA148)-LEN(SUBSTITUTE(CA148,"a","")))&gt;=1,SUMPRODUCT(--ISNUMBER(SEARCH({"a0","a-0","a_0","a/0","a.0","a#0","0a","0-a","0_a","0/a"},BP148)))&gt;0),ISNUMBER(SEARCH("000000",BP148)))),1,0),0)</f>
        <v>0</v>
      </c>
      <c r="BR148" s="61" t="n">
        <f aca="false">IFERROR(LEN(SUBSTITUTE(CC148," ",""))-SUMPRODUCT((LEN(CC148)-LEN(SUBSTITUTE(CC148," "&amp;L_Role&amp;" "," ")))/(LEN(L_Role)+1)*LEN(L_Role)),0)</f>
        <v>0</v>
      </c>
      <c r="BS148" s="61" t="n">
        <f aca="false">IFERROR(LEN(SUBSTITUTE(CD148," ",""))-SUMPRODUCT((LEN(CD148)-LEN(SUBSTITUTE(CD148," "&amp;L_Role&amp;" "," ")))/(LEN(L_Role)+1)*LEN(L_Role)),0)</f>
        <v>0</v>
      </c>
      <c r="BT1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148,"revision",""),"version",""),"jan",""),"feb",""),"mar",""),"apr",""),"may",""),"jun",""),"jul",""),"aug",""),"sep",""),"oct",""),"nov",""),"dec",""),"utc",""),"gmt",""),"myt",""),"bst",""),"rev",""),"ver",""),"b","a"),"c","a"),"d","a"),"e","a"),"f","a"),"g","a"),"h","a"),"i","a"),"j","a"),"k","a"),"l","a"),"m","a"),"n","a"),"o","a"),"p","a"),"q","a"),"r","a"),"s","a"),"t","a"),"u","a"),"v","a"),"w","a"),"x","a"),"y","a"),"z","a")</f>
        <v/>
      </c>
      <c r="BU148" s="61" t="str">
        <f aca="false">SUBSTITUTE(SUBSTITUTE(SUBSTITUTE(SUBSTITUTE(SUBSTITUTE(SUBSTITUTE(SUBSTITUTE(SUBSTITUTE(SUBSTITUTE(SUBSTITUTE(LEFT(BM148,FIND("0",BM148&amp;"0")-1),"-",""),"_",""),"/",""),".",""),"#",""),"\\",""),":","")," ",""),"(",""),")","")</f>
        <v/>
      </c>
      <c r="BV148" s="61" t="n">
        <f aca="false">0</f>
        <v>0</v>
      </c>
      <c r="BW1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148&amp;""),"a",""),"b",""),"c",""),"d",""),"e",""),"f",""),"g",""),"h",""),"i",""),"j",""),"k",""),"l",""),"m",""),"n",""),"o",""),"p",""),"q",""),"r",""),"s",""),"t",""),"u",""),"v",""),"w",""),"x",""),"y",""),"z",""),"-",""),"_",""),"/",""),".",""),"#",""),"\\",""),":","")," ",""),"(",""),")","")</f>
        <v/>
      </c>
      <c r="BX148" s="61" t="str">
        <f aca="false">SUBSTITUTE(SUBSTITUTE(SUBSTITUTE(SUBSTITUTE(SUBSTITUTE(SUBSTITUTE(SUBSTITUTE(SUBSTITUTE(SUBSTITUTE(SUBSTITUTE(SUBSTITUTE(BM148,"0",""),"-",""),"_",""),"/",""),".",""),"#",""),"\\",""),":","")," ",""),"(",""),")","")</f>
        <v/>
      </c>
      <c r="BY148" s="62" t="n">
        <f aca="false">Q148-T12EarlyH/24</f>
        <v>46309.0451388889</v>
      </c>
      <c r="BZ148" s="61" t="n">
        <f aca="false">IFERROR(IF(IF(TRIM(S148)="Link / file path",AND(LEN(TRIM(Z148))&gt;=5,SUMPRODUCT(--ISNUMBER(SEARCH({"http","www.","\\",":\",".pdf",".jpg",".jpeg",".png",".heic",".xls",".doc",".msg",".eml",".ppt",".txt",".zip"},Z148)))&gt;0),AND(ISERROR(FIND(" ",TRIM(Z148))),NOT(OR(SUMPRODUCT(--ISNUMBER(FIND({",",";","&amp;","+"},Z148)))&gt;0,SUMPRODUCT(--ISNUMBER(SEARCH({"0/aa","0\\aa"},BN148)))&gt;0)),NOT(SUMPRODUCT(--ISNUMBER(SEARCH({"http","www.","\\",":\",".pdf",".jpg",".jpeg",".png",".heic",".xls",".doc",".msg",".eml",".ppt",".txt",".zip"},Z148)))&gt;0),NOT(LOWER(TRIM(Z148))=LOWER(Flights!$F$9)),ISNA(MATCH(BU148,{"mh","rev","revision","ver","version","v","r","a","b","seat","tray","row","gate","bay","stand","page","pg","item","line","no","cart","galley","flight","flt","table","box","bag","oven","etd","eta","std","sta","atd","ata","qty","pax","x","time","tel","ph","mob","day","wk","week","utc","gmt","myt","lt"},0)),NOT(OR(ISNUMBER(MATCH(LEFT(BN148,255),{"0000a","000a","00a","0000aa","000aa","00aa","0aa","0000aaa","000aaa","00a00","0a00","0000-0000","00:00","a00","a0","00.00.0000","00/00/0000","00-00-0000","0000-00-00","0000/00/00","0000.00.00","00.00.00","00/00/00","00-00-00","0.00.0000","0/00/0000","0-00-0000"},0)),ISNUMBER(MATCH(LEFT(BT148,255),{"0000a","000a","00a","0000aa","000aa","00aa","0aa","0000aaa","000aaa","00a00","0a00","0000-0000","00:00","a00","a0","00.00.0000","00/00/0000","00-00-0000","0000-00-00","0000/00/00","0000.00.00","00.00.00","00/00/00","00-00-00","0.00.0000","0/00/0000","0-00-0000"},0)))),NOT(OR(AND(BW148&lt;&gt;"",SUBSTITUTE(BW148,"0","")=""),AND(LEN(BW148)&gt;=4,BW148=REPT(LEFT(BW148),LEN(BW148))),ISNUMBER(MATCH(BW148,{"123","1234","12345","123456","1234567","12345678","0123","01234","012345","98765","987654","54321"},0)),ISNUMBER(MATCH(BX148,{"x","xx","xxx","xxxx","xxxxx","abc","abcd","nil","na","nan","test","tbc","tba","tbd","dummy","sample","example","eg","zz","zzz","none","null","xyz","qwe","asd","id","ref"},0)),AND(LEN(BW148)=8,BX148="",OR(LEFT(BW148,3)="202",ISNUMBER(MATCH(RIGHT(BW148,4),{"2025","2026","2027"},0)))))),OR(AND((LEN(BT148)-LEN(SUBSTITUTE(BT148,"a","")))&gt;=1,(LEN(BN148)-LEN(SUBSTITUTE(BN148,"0","")))&gt;=2,SUMPRODUCT(--ISNUMBER(SEARCH({"a0","a-0","a_0","a/0","a.0","a#0","0a","0-a","0_a","0/a"},BN148)))&gt;0),AND((LEN(BN148)-LEN(SUBSTITUTE(BN148,"a","")))=0,(LEN(BN148)-LEN(SUBSTITUTE(BN148,"0","")))&gt;=5)))),1,0),0)</f>
        <v>0</v>
      </c>
      <c r="CA1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148,"revision",""),"version",""),"jan",""),"feb",""),"mar",""),"apr",""),"may",""),"jun",""),"jul",""),"aug",""),"sep",""),"oct",""),"nov",""),"dec",""),"utc",""),"gmt",""),"myt",""),"bst",""),"rev",""),"ver",""),"b","a"),"c","a"),"d","a"),"e","a"),"f","a"),"g","a"),"h","a"),"i","a"),"j","a"),"k","a"),"l","a"),"m","a"),"n","a"),"o","a"),"p","a"),"q","a"),"r","a"),"s","a"),"t","a"),"u","a"),"v","a"),"w","a"),"x","a"),"y","a"),"z","a")</f>
        <v/>
      </c>
      <c r="CB1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148&amp;""),"a",""),"b",""),"c",""),"d",""),"e",""),"f",""),"g",""),"h",""),"i",""),"j",""),"k",""),"l",""),"m",""),"n",""),"o",""),"p",""),"q",""),"r",""),"s",""),"t",""),"u",""),"v",""),"w",""),"x",""),"y",""),"z",""),"-",""),"_",""),"/",""),".",""),"#",""),"\\",""),":","")," ",""),"(",""),")","")</f>
        <v/>
      </c>
      <c r="CC148" s="0" t="str">
        <f aca="false">" "&amp;TRIM(SUBSTITUTE(SUBSTITUTE(SUBSTITUTE(SUBSTITUTE(SUBSTITUTE(SUBSTITUTE(SUBSTITUTE(SUBSTITUTE(SUBSTITUTE(SUBSTITUTE(SUBSTITUTE(SUBSTITUTE(SUBSTITUTE(SUBSTITUTE(SUBSTITUTE(SUBSTITUTE(SUBSTITUTE(SUBSTITUTE(SUBSTITUTE(SUBSTITUTE(SUBSTITUTE(SUBSTITUTE(SUBSTITUTE(SUBSTITUTE(LOWER(T148&amp;""),CHAR(10)," "),CHAR(13)," "),CHAR(9)," "),CHAR(160)," "),"."," "),","," "),"-"," "),"/"," "),"("," "),")"," "),":"," "),";"," "),"_"," "),"–"," "),"?"," "),"!"," "),"*"," "),"["," "),"]"," "),"'"," "),"#"," "),"+"," "),"&amp;"," "),"\"," "))&amp;" "</f>
        <v>  </v>
      </c>
      <c r="CD148" s="0" t="str">
        <f aca="false">" "&amp;TRIM(SUBSTITUTE(SUBSTITUTE(SUBSTITUTE(SUBSTITUTE(SUBSTITUTE(SUBSTITUTE(SUBSTITUTE(SUBSTITUTE(SUBSTITUTE(SUBSTITUTE(SUBSTITUTE(SUBSTITUTE(SUBSTITUTE(SUBSTITUTE(SUBSTITUTE(SUBSTITUTE(SUBSTITUTE(SUBSTITUTE(SUBSTITUTE(SUBSTITUTE(SUBSTITUTE(SUBSTITUTE(SUBSTITUTE(SUBSTITUTE(LOWER(AE148&amp;""),CHAR(10)," "),CHAR(13)," "),CHAR(9)," "),CHAR(160)," "),"."," "),","," "),"-"," "),"/"," "),"("," "),")"," "),":"," "),";"," "),"_"," "),"–"," "),"?"," "),"!"," "),"*"," "),"["," "),"]"," "),"'"," "),"#"," "),"+"," "),"&amp;"," "),"\"," "))&amp;" "</f>
        <v>  </v>
      </c>
      <c r="CE148" s="68" t="n">
        <f aca="false">IFERROR(IF(AND(LEN(AU148)&gt;0,LEN(AU148)=LEN(AX148),OR(TRIM(MID(SUBSTITUTE(TRIM(CC148)," ",REPT(" ",60)),1,60))="",ISNUMBER(SEARCH(" "&amp;TRIM(MID(SUBSTITUTE(TRIM(CC148)," ",REPT(" ",60)),1,60))&amp;" ",CD148))),OR(TRIM(MID(SUBSTITUTE(TRIM(CC148)," ",REPT(" ",60)),61,60))="",ISNUMBER(SEARCH(" "&amp;TRIM(MID(SUBSTITUTE(TRIM(CC148)," ",REPT(" ",60)),61,60))&amp;" ",CD148))),OR(TRIM(MID(SUBSTITUTE(TRIM(CC148)," ",REPT(" ",60)),121,60))="",ISNUMBER(SEARCH(" "&amp;TRIM(MID(SUBSTITUTE(TRIM(CC148)," ",REPT(" ",60)),121,60))&amp;" ",CD148)))),1,0),0)</f>
        <v>0</v>
      </c>
      <c r="CG148" s="68" t="n">
        <f aca="false">IFERROR(LEN(SUBSTITUTE(BF148," ",""))-SUMPRODUCT((LEN(BF148)-LEN(SUBSTITUTE(BF148," "&amp;L_NAFiller&amp;" "," ")))/(LEN(L_NAFiller)+1)*LEN(L_NAFiller)),0)</f>
        <v>0</v>
      </c>
    </row>
    <row r="149" customFormat="false" ht="39.75" hidden="false" customHeight="true" outlineLevel="0" collapsed="false">
      <c r="A149" s="57" t="s">
        <v>678</v>
      </c>
      <c r="B149" s="57" t="s">
        <v>228</v>
      </c>
      <c r="C149" s="57" t="str">
        <f aca="false">Flights!$F$9</f>
        <v>MH0089</v>
      </c>
      <c r="D149" s="58" t="n">
        <f aca="false">Flights!$D$9</f>
        <v>46310</v>
      </c>
      <c r="E149" s="57" t="str">
        <f aca="false">Flights!$G$9&amp;"-"&amp;Flights!$H$9</f>
        <v>NRT-KUL</v>
      </c>
      <c r="F149" s="57" t="str">
        <f aca="false">Flights!$K$9</f>
        <v>EY</v>
      </c>
      <c r="G149" s="57" t="s">
        <v>420</v>
      </c>
      <c r="H149" s="57" t="s">
        <v>378</v>
      </c>
      <c r="I149" s="57" t="s">
        <v>379</v>
      </c>
      <c r="J149" s="57" t="s">
        <v>425</v>
      </c>
      <c r="K149" s="67" t="s">
        <v>426</v>
      </c>
      <c r="L149" s="67" t="s">
        <v>422</v>
      </c>
      <c r="M149" s="67"/>
      <c r="N149" s="67" t="s">
        <v>383</v>
      </c>
      <c r="O149" s="67" t="s">
        <v>423</v>
      </c>
      <c r="P149" s="57" t="s">
        <v>220</v>
      </c>
      <c r="Q149" s="59" t="n">
        <f aca="false">ROUND((Flights!$AE$9)*1440,0)/1440</f>
        <v>46309.5451388889</v>
      </c>
      <c r="R149" s="59" t="n">
        <f aca="false">Q149+(IF(AND(INDEX(TZ_DSTS,MATCH(P149,TZ_STN,0))&lt;&gt;"",Q149&gt;=INDEX(TZ_DSTS,MATCH(P149,TZ_STN,0)),Q149&lt;INDEX(TZ_DSTE,MATCH(P149,TZ_STN,0))),INDEX(TZ_DST,MATCH(P149,TZ_STN,0)),INDEX(TZ_STD,MATCH(P149,TZ_STN,0))))/24</f>
        <v>46309.9201388889</v>
      </c>
      <c r="S149" s="60"/>
      <c r="T149" s="60"/>
      <c r="U149" s="60"/>
      <c r="V149" s="60"/>
      <c r="W149" s="61"/>
      <c r="X149" s="60"/>
      <c r="Y149" s="60"/>
      <c r="Z149" s="60"/>
      <c r="AA149" s="60"/>
      <c r="AB149" s="60"/>
      <c r="AC149" s="60"/>
      <c r="AD149" s="66"/>
      <c r="AE149" s="60"/>
      <c r="AF149" s="61" t="str">
        <f aca="false">IF(AND(ISNUMBER(X149),ISNUMBER(Y149)),Y149-X149,"")</f>
        <v/>
      </c>
      <c r="AG149" s="62" t="str">
        <f aca="false">IF(ISNUMBER(AD149),AD149-(IF(AND(INDEX(TZ_DSTS,MATCH(P149,TZ_STN,0))&lt;&gt;"",(AD149-INDEX(TZ_STD,MATCH(P149,TZ_STN,0))/24)&gt;=INDEX(TZ_DSTS,MATCH(P149,TZ_STN,0)),(AD149-INDEX(TZ_STD,MATCH(P149,TZ_STN,0))/24)&lt;INDEX(TZ_DSTE,MATCH(P149,TZ_STN,0))),INDEX(TZ_DST,MATCH(P149,TZ_STN,0)),INDEX(TZ_STD,MATCH(P149,TZ_STN,0))))/24,"")</f>
        <v/>
      </c>
      <c r="AH149" s="65" t="str">
        <f aca="false">IFERROR(IF(N149="N/A – rule",IF(OR(TRIM(U149)="",TRIM(U149)="N/A",TRIM(U149)="Not started"),"N/A – RULE","INVALID – this check does not apply to this aircraft: clear the status (or correct the fleet on Flights)"),IF(TRIM(U149)="N/A",IF(AT149=0,"INVALID – N/A not permitted for this check",IF(AND(TRIM(AB149)&lt;&gt;"",TRIM(AB149)&lt;&gt;"Closed"),"INVALID – corrective action still open",IF(AND(NOT(OR(LEN(AZ149)&lt;15,ISNUMBER(MATCH(AZ149,L_Placeholder,0)))),BK149=0,CG149&gt;=8,NOT(OR(LEN(AU149)&lt;2,ISNUMBER(MATCH(AU149,L_Placeholder,0)))),BR149&gt;=3,NOT(OR(LEN(AX149)&lt;2,ISNUMBER(MATCH(AX149,L_Placeholder,0)))),BS149&gt;=3,TRIM(AE149)&lt;&gt;TRIM(T149),AX149&lt;&gt;AU149,CE149=0),"N/A – JUSTIFIED","INVALID – N/A needs a real, settled reason (not 'not applicable' / 'as above' / TBC), a named PIC and a different named verifier"))),IF(OR(TRIM(U149)="Pass",TRIM(U149)="Pass after CA"),IF(NOT(ISNUMBER(AD149)),"INVALID – completion time missing",IF(OR(OR(LEN(AU149)&lt;2,ISNUMBER(MATCH(AU149,L_Placeholder,0))),BR149&lt;3),"INVALID – PIC missing or not a named person (a role such as QA / CSM is not a name)",IF(OR(LEN(AV149)&lt;2,ISNUMBER(MATCH(AV149,L_Placeholder,0))),"INVALID – result / assessment missing",IF(OR(OR(LEN(AW149)&lt;3,ISNUMBER(MATCH(AW149,L_Placeholder,0))),SUMPRODUCT(--ISNUMBER(SEARCH(" "&amp;L_EvidencePhrase&amp;" ",BD149)))&gt;0,BI149=1),"INVALID – evidence missing, placeholder or not yet on file",IF(ISNA(MATCH(TRIM(S149),L_EvidenceType,0)),"INVALID – choose the evidence type from the list (column S)",IF(BL149=0,"INVALID – evidence ID must be the record's own ID only (e.g. SF-2210, IMG_2231, 1045521); a link / file name needs type 'Link / file path'",IF(OR(OR(LEN(AX149)&lt;2,ISNUMBER(MATCH(AX149,L_Placeholder,0))),BS149&lt;3),"INVALID – verifier missing or not a named person (a role such as QA / CSM is not a name)",IF(OR(AX149=AU149,CE149=1,AND(LEN(AU149)&gt;=4,ISNUMBER(SEARCH(AU149,AX149))),AND(LEN(AX149)&gt;=4,ISNUMBER(SEARCH(AX149,AU149)))),"INVALID – verifier must be a different, named person (not the PIC or a role)",IF(BH149=1,"INVALID – result not yet available (awaiting / TBC)",IF(BG149=1,"INVALID – result describes a problem: record Fail, then Pass after CA (or reword if it is not a problem)",IF(BV149=1,"INVALID – wording says not on board: an on-board confirmation needs the item loaded",IF(AND(AQ149=1,OR(OR(LEN(AY149)&lt;3,ISNUMBER(MATCH(AY149,L_Placeholder,0))),BJ149=1,BQ149=0)),"INVALID – batch ID missing, placeholder or not an ID (e.g. PASB-261008-BC-017)",IF(AND(AR149=1,OR(NOT(ISNUMBER(X149)),NOT(ISNUMBER(Y149)))),"INVALID – expected/actual qty missing",IF(AND(AR149=1,OR(X149&lt;=0,Y149&lt;0)),"INVALID – expected qty must be above 0 and actual not negative",IF(BB149&lt;&gt;"",BB149,IF(AND(AS149=1,Documents!$J$9&lt;&gt;"ON FILE"),"INVALID – GLD not on file (Documents sheet)",IF(AND(AS149=2,Documents!$O$9&lt;&gt;"ON FILE"),"INVALID – menu checklist not on file (Documents sheet)",IF(AND(AS149=3,NOT(ISNUMBER(Flights!$AX$9))),"INVALID – enter carrying flight KUL departure (Flights AX)",IF(AND(AS149=3,OR(Flights!$AZ$9&gt;Flights!$AA$9,Flights!$AX$9&lt;Flights!$AA$9-3)),"INVALID – carrying flight (Flights AX) cannot arrive before this leg's STD, or is over 3 days early",IF(AG149&gt;AsOfUTC,"INVALID – completion time is in the future",IF(AND(ISNUMBER(BY149),AG149&lt;BY149),IF(H149="Physical uplift","INVALID – before uplift window (cannot confirm loading)","INVALID – before valid window"),IF(AG149&gt;Flights!$AA$9,"INVALID – completed after departure (cannot establish readiness)",IF(AND(H149="Preparation",AG149&gt;=IF(ISNUMBER(Flights!$BA$9),MIN(Flights!$BA$9,Flights!$AA$9),Flights!$AA$9)),"INVALID – completed after loading / departure (cannot establish readiness)",IF(AND(H149="Physical uplift",AG149&gt;Q149),"INVALID – recorded after the loading flight departed",IF(AG149&gt;Q149,"COMPLETE – LATE","COMPLETE"))))))))))))))))))))))))),IF(TRIM(U149)="Fail","FAIL – DISCREPANCY",IF(AND(TRIM(U149)&lt;&gt;"",TRIM(U149)&lt;&gt;"Not started",TRIM(U149)&lt;&gt;"In progress"),"INVALID – unrecognised status (use the list)",IF(AsOfUTC&gt;Q149,"OVERDUE",IF(N149="Clarification required","OPEN – CLARIFICATION","OPEN"))))))),"INVALID – error value in an input cell")</f>
        <v>OPEN</v>
      </c>
      <c r="AI149" s="61" t="n">
        <f aca="false">IF(OR(AH149="N/A – RULE",AH149="N/A – JUSTIFIED"),0,1)</f>
        <v>1</v>
      </c>
      <c r="AJ149" s="61" t="n">
        <f aca="false">IF(LEFT(AH149,8)="COMPLETE",1,0)</f>
        <v>0</v>
      </c>
      <c r="AK149" s="61" t="n">
        <f aca="false">IF(AND(AI149=1,AJ149=0,AsOfUTC&gt;Q149),1,0)</f>
        <v>0</v>
      </c>
      <c r="AL149" s="61" t="n">
        <f aca="false">IFERROR(IF(AND(AI149=1,OR(TRIM(U149)="Fail",AND(TRIM(AB149)&lt;&gt;"",TRIM(AB149)&lt;&gt;"Closed"),AND(ISNUMBER(AF149),AF149&lt;&gt;0,TRIM(U149)&lt;&gt;"Pass after CA"))),1,0),1)</f>
        <v>0</v>
      </c>
      <c r="AM149" s="61" t="n">
        <f aca="false">IF(LEFT(AH149,7)="INVALID",1,0)</f>
        <v>0</v>
      </c>
      <c r="AN149" s="61" t="n">
        <f aca="false">IF(AND(N149="Clarification required",AI149=1,AJ149=0),1,0)</f>
        <v>0</v>
      </c>
      <c r="AO149" s="61" t="str">
        <f aca="false">IF(AK149=1,SUM(AK$5:AK149),"")</f>
        <v/>
      </c>
      <c r="AP149" s="61" t="str">
        <f aca="false">IF(AL149=1,SUM(AL$5:AL149),"")</f>
        <v/>
      </c>
      <c r="AQ149" s="61" t="n">
        <v>0</v>
      </c>
      <c r="AR149" s="61" t="n">
        <v>1</v>
      </c>
      <c r="AS149" s="61" t="n">
        <v>0</v>
      </c>
      <c r="AT149" s="61" t="n">
        <v>0</v>
      </c>
      <c r="AU149" s="61" t="str">
        <f aca="false">SUBSTITUTE(SUBSTITUTE(SUBSTITUTE(SUBSTITUTE(SUBSTITUTE(SUBSTITUTE(SUBSTITUTE(SUBSTITUTE(SUBSTITUTE(SUBSTITUTE(SUBSTITUTE(SUBSTITUTE(SUBSTITUTE(SUBSTITUTE(SUBSTITUTE(SUBSTITUTE(LOWER(T149&amp;""),CHAR(10),""),CHAR(13),""),CHAR(9),""),CHAR(160),"")," ",""),".",""),"-",""),"/",""),"?",""),"_",""),",",""),"[",""),"]",""),"(",""),")",""),"*","")</f>
        <v/>
      </c>
      <c r="AV149" s="61" t="str">
        <f aca="false">SUBSTITUTE(SUBSTITUTE(SUBSTITUTE(SUBSTITUTE(SUBSTITUTE(SUBSTITUTE(SUBSTITUTE(SUBSTITUTE(SUBSTITUTE(SUBSTITUTE(SUBSTITUTE(SUBSTITUTE(SUBSTITUTE(SUBSTITUTE(SUBSTITUTE(SUBSTITUTE(LOWER(V149&amp;""),CHAR(10),""),CHAR(13),""),CHAR(9),""),CHAR(160),"")," ",""),".",""),"-",""),"/",""),"?",""),"_",""),",",""),"[",""),"]",""),"(",""),")",""),"*","")</f>
        <v/>
      </c>
      <c r="AW149" s="61" t="str">
        <f aca="false">SUBSTITUTE(SUBSTITUTE(SUBSTITUTE(SUBSTITUTE(SUBSTITUTE(SUBSTITUTE(SUBSTITUTE(SUBSTITUTE(SUBSTITUTE(SUBSTITUTE(SUBSTITUTE(SUBSTITUTE(SUBSTITUTE(SUBSTITUTE(SUBSTITUTE(SUBSTITUTE(LOWER(Z149&amp;""),CHAR(10),""),CHAR(13),""),CHAR(9),""),CHAR(160),"")," ",""),".",""),"-",""),"/",""),"?",""),"_",""),",",""),"[",""),"]",""),"(",""),")",""),"*","")</f>
        <v/>
      </c>
      <c r="AX149" s="61" t="str">
        <f aca="false">SUBSTITUTE(SUBSTITUTE(SUBSTITUTE(SUBSTITUTE(SUBSTITUTE(SUBSTITUTE(SUBSTITUTE(SUBSTITUTE(SUBSTITUTE(SUBSTITUTE(SUBSTITUTE(SUBSTITUTE(SUBSTITUTE(SUBSTITUTE(SUBSTITUTE(SUBSTITUTE(LOWER(AE149&amp;""),CHAR(10),""),CHAR(13),""),CHAR(9),""),CHAR(160),"")," ",""),".",""),"-",""),"/",""),"?",""),"_",""),",",""),"[",""),"]",""),"(",""),")",""),"*","")</f>
        <v/>
      </c>
      <c r="AY149" s="61" t="str">
        <f aca="false">SUBSTITUTE(SUBSTITUTE(SUBSTITUTE(SUBSTITUTE(SUBSTITUTE(SUBSTITUTE(SUBSTITUTE(SUBSTITUTE(SUBSTITUTE(SUBSTITUTE(SUBSTITUTE(SUBSTITUTE(SUBSTITUTE(SUBSTITUTE(SUBSTITUTE(SUBSTITUTE(LOWER(W149&amp;""),CHAR(10),""),CHAR(13),""),CHAR(9),""),CHAR(160),"")," ",""),".",""),"-",""),"/",""),"?",""),"_",""),",",""),"[",""),"]",""),"(",""),")",""),"*","")</f>
        <v/>
      </c>
      <c r="AZ149" s="61" t="str">
        <f aca="false">SUBSTITUTE(SUBSTITUTE(SUBSTITUTE(SUBSTITUTE(SUBSTITUTE(SUBSTITUTE(SUBSTITUTE(SUBSTITUTE(SUBSTITUTE(SUBSTITUTE(SUBSTITUTE(SUBSTITUTE(SUBSTITUTE(SUBSTITUTE(SUBSTITUTE(SUBSTITUTE(LOWER(AC149&amp;""),CHAR(10),""),CHAR(13),""),CHAR(9),""),CHAR(160),"")," ",""),".",""),"-",""),"/",""),"?",""),"_",""),",",""),"[",""),"]",""),"(",""),")",""),"*","")</f>
        <v/>
      </c>
      <c r="BA149" s="61" t="str">
        <f aca="false">SUBSTITUTE(SUBSTITUTE(SUBSTITUTE(SUBSTITUTE(SUBSTITUTE(SUBSTITUTE(SUBSTITUTE(SUBSTITUTE(SUBSTITUTE(SUBSTITUTE(SUBSTITUTE(SUBSTITUTE(SUBSTITUTE(SUBSTITUTE(SUBSTITUTE(SUBSTITUTE(LOWER(AA149&amp;""),CHAR(10),""),CHAR(13),""),CHAR(9),""),CHAR(160),"")," ",""),".",""),"-",""),"/",""),"?",""),"_",""),",",""),"[",""),"]",""),"(",""),")",""),"*","")</f>
        <v/>
      </c>
      <c r="BB149" s="61" t="str">
        <f aca="false">IF(AND(TRIM(U149)="Pass",ISNUMBER(AF149)),IF(AF149&lt;&gt;0,"INVALID – qty variance: use Fail or Pass after CA",""),"")&amp;IF(AND(TRIM(U149)="Pass after CA",ISNUMBER(AF149)),IF(AF149&lt;&gt;0,"INVALID – after the corrective action the actual qty must equal expected (update Actual)",""),"")&amp;IF(AND(TRIM(U149)="Pass",TRIM(AB149)&lt;&gt;"",TRIM(AB149)&lt;&gt;"Closed"),"INVALID – corrective action not closed: use Fail, then Pass after CA","")&amp;IF(AND(LEN(BA149)&gt;=2,ISNA(MATCH(LEFT(BA149,255),L_Placeholder,0)),TRIM(AB149)=""),"INVALID – CA status missing for the recorded corrective action","")&amp;IF(AND(TRIM(U149)="Pass after CA",OR(OR(LEN(BA149)&lt;5,ISNUMBER(MATCH(BA149,L_Placeholder,0))),TRIM(AB149)&lt;&gt;"Closed")),"INVALID – corrective action not recorded/closed","")</f>
        <v/>
      </c>
      <c r="BC149" s="61" t="str">
        <f aca="false">" "&amp;TRIM(SUBSTITUTE(SUBSTITUTE(SUBSTITUTE(SUBSTITUTE(SUBSTITUTE(SUBSTITUTE(SUBSTITUTE(SUBSTITUTE(SUBSTITUTE(SUBSTITUTE(SUBSTITUTE(SUBSTITUTE(SUBSTITUTE(SUBSTITUTE(SUBSTITUTE(SUBSTITUTE(SUBSTITUTE(SUBSTITUTE(SUBSTITUTE(SUBSTITUTE(SUBSTITUTE(SUBSTITUTE(SUBSTITUTE(SUBSTITUTE(LOWER(V149&amp;""),CHAR(10)," "),CHAR(13)," "),CHAR(9)," "),CHAR(160)," "),"."," "),","," "),"-"," "),"/"," "),"("," "),")"," "),":"," "),";"," "),"_"," "),"–"," "),"?"," "),"!"," "),"*"," "),"["," "),"]"," "),"'"," "),"#"," "),"+"," "),"&amp;"," "),"\"," "))&amp;" "</f>
        <v>  </v>
      </c>
      <c r="BD149" s="61" t="str">
        <f aca="false">" "&amp;TRIM(SUBSTITUTE(SUBSTITUTE(SUBSTITUTE(SUBSTITUTE(SUBSTITUTE(SUBSTITUTE(SUBSTITUTE(SUBSTITUTE(SUBSTITUTE(SUBSTITUTE(SUBSTITUTE(SUBSTITUTE(SUBSTITUTE(SUBSTITUTE(SUBSTITUTE(SUBSTITUTE(SUBSTITUTE(SUBSTITUTE(SUBSTITUTE(SUBSTITUTE(SUBSTITUTE(SUBSTITUTE(SUBSTITUTE(SUBSTITUTE(LOWER(Z149&amp;""),CHAR(10)," "),CHAR(13)," "),CHAR(9)," "),CHAR(160)," "),"."," "),","," "),"-"," "),"/"," "),"("," "),")"," "),":"," "),";"," "),"_"," "),"–"," "),"?"," "),"!"," "),"*"," "),"["," "),"]"," "),"'"," "),"#"," "),"+"," "),"&amp;"," "),"\"," "))&amp;" "</f>
        <v>  </v>
      </c>
      <c r="BE149" s="61" t="str">
        <f aca="false">" "&amp;TRIM(SUBSTITUTE(SUBSTITUTE(SUBSTITUTE(SUBSTITUTE(SUBSTITUTE(SUBSTITUTE(SUBSTITUTE(SUBSTITUTE(SUBSTITUTE(SUBSTITUTE(SUBSTITUTE(SUBSTITUTE(SUBSTITUTE(SUBSTITUTE(SUBSTITUTE(SUBSTITUTE(SUBSTITUTE(SUBSTITUTE(SUBSTITUTE(SUBSTITUTE(SUBSTITUTE(SUBSTITUTE(SUBSTITUTE(SUBSTITUTE(LOWER(W149&amp;""),CHAR(10)," "),CHAR(13)," "),CHAR(9)," "),CHAR(160)," "),"."," "),","," "),"-"," "),"/"," "),"("," "),")"," "),":"," "),";"," "),"_"," "),"–"," "),"?"," "),"!"," "),"*"," "),"["," "),"]"," "),"'"," "),"#"," "),"+"," "),"&amp;"," "),"\"," "))&amp;" "</f>
        <v>  </v>
      </c>
      <c r="BF149" s="61" t="str">
        <f aca="false">" "&amp;TRIM(SUBSTITUTE(SUBSTITUTE(SUBSTITUTE(SUBSTITUTE(SUBSTITUTE(SUBSTITUTE(SUBSTITUTE(SUBSTITUTE(SUBSTITUTE(SUBSTITUTE(SUBSTITUTE(SUBSTITUTE(SUBSTITUTE(SUBSTITUTE(SUBSTITUTE(SUBSTITUTE(SUBSTITUTE(SUBSTITUTE(SUBSTITUTE(SUBSTITUTE(SUBSTITUTE(SUBSTITUTE(SUBSTITUTE(SUBSTITUTE(LOWER(AC149&amp;""),CHAR(10)," "),CHAR(13)," "),CHAR(9)," "),CHAR(160)," "),"."," "),","," "),"-"," "),"/"," "),"("," "),")"," "),":"," "),";"," "),"_"," "),"–"," "),"?"," "),"!"," "),"*"," "),"["," "),"]"," "),"'"," "),"#"," "),"+"," "),"&amp;"," "),"\"," "))&amp;" "</f>
        <v>  </v>
      </c>
      <c r="BG149" s="61" t="n">
        <f aca="false">IFERROR(IF(AND(TRIM(U149)="Pass",SUMPRODUCT((LEN(BC149)-LEN(SUBSTITUTE(BC149," "&amp;L_ResultBad&amp;" "," ")))/(LEN(L_ResultBad)+1))&gt;SUMPRODUCT((LEN(BC149)-LEN(SUBSTITUTE(BC149," "&amp;L_NegPhrase&amp;" "," ")))/(LEN(L_NegPhrase)+1))),1,0),0)</f>
        <v>0</v>
      </c>
      <c r="BH149" s="61" t="n">
        <f aca="false">IFERROR(IF(SUMPRODUCT((LEN(BC149)-LEN(SUBSTITUTE(BC149," "&amp;L_Pending&amp;" "," ")))/(LEN(L_Pending)+1))&gt;SUMPRODUCT((LEN(BC149)-LEN(SUBSTITUTE(BC149," "&amp;L_PendNeg&amp;" "," ")))/(LEN(L_PendNeg)+1))+SUMPRODUCT((LEN(BC149)-LEN(SUBSTITUTE(BC149," "&amp;L_PendPrep&amp;" "," ")))/(LEN(L_PendPrep)+1)),1,0),1)</f>
        <v>0</v>
      </c>
      <c r="BI149" s="61" t="n">
        <f aca="false">IFERROR(IF(SUMPRODUCT((LEN(BD149)-LEN(SUBSTITUTE(BD149," "&amp;L_PendStrict&amp;" "," ")))/(LEN(L_PendStrict)+1))&gt;SUMPRODUCT((LEN(BD149)-LEN(SUBSTITUTE(BD149," "&amp;L_PendNeg&amp;" "," ")))/(LEN(L_PendNeg)+1)),1,0),1)</f>
        <v>0</v>
      </c>
      <c r="BJ149" s="61" t="n">
        <f aca="false">IFERROR(IF(SUMPRODUCT((LEN(BE149)-LEN(SUBSTITUTE(BE149," "&amp;L_Pending&amp;" "," ")))/(LEN(L_Pending)+1))&gt;SUMPRODUCT((LEN(BE149)-LEN(SUBSTITUTE(BE149," "&amp;L_PendNeg&amp;" "," ")))/(LEN(L_PendNeg)+1))+SUMPRODUCT((LEN(BE149)-LEN(SUBSTITUTE(BE149," "&amp;L_PendPrep&amp;" "," ")))/(LEN(L_PendPrep)+1)),1,0),1)</f>
        <v>0</v>
      </c>
      <c r="BK149" s="61" t="n">
        <f aca="false">IFERROR(IF(SUMPRODUCT((LEN(BF149)-LEN(SUBSTITUTE(BF149," "&amp;L_PendStrict&amp;" "," ")))/(LEN(L_PendStrict)+1))&gt;SUMPRODUCT((LEN(BF149)-LEN(SUBSTITUTE(BF149," "&amp;L_PendNeg&amp;" "," ")))/(LEN(L_PendNeg)+1)),1,0),1)</f>
        <v>0</v>
      </c>
      <c r="BL149" s="61" t="n">
        <f aca="false">IF(ISNA(MATCH(TRIM(S149),L_EvidenceType,0)),0,BZ149)</f>
        <v>0</v>
      </c>
      <c r="BM149" s="61" t="str">
        <f aca="false">SUBSTITUTE(SUBSTITUTE(SUBSTITUTE(SUBSTITUTE(SUBSTITUTE(SUBSTITUTE(SUBSTITUTE(SUBSTITUTE(SUBSTITUTE(LOWER(Z149&amp;""),"1","0"),"2","0"),"3","0"),"4","0"),"5","0"),"6","0"),"7","0"),"8","0"),"9","0")</f>
        <v/>
      </c>
      <c r="BN149" s="61" t="str">
        <f aca="false">SUBSTITUTE(SUBSTITUTE(SUBSTITUTE(SUBSTITUTE(SUBSTITUTE(SUBSTITUTE(SUBSTITUTE(SUBSTITUTE(SUBSTITUTE(SUBSTITUTE(SUBSTITUTE(SUBSTITUTE(SUBSTITUTE(SUBSTITUTE(SUBSTITUTE(SUBSTITUTE(SUBSTITUTE(SUBSTITUTE(SUBSTITUTE(SUBSTITUTE(SUBSTITUTE(SUBSTITUTE(SUBSTITUTE(SUBSTITUTE(SUBSTITUTE(BM149,"b","a"),"c","a"),"d","a"),"e","a"),"f","a"),"g","a"),"h","a"),"i","a"),"j","a"),"k","a"),"l","a"),"m","a"),"n","a"),"o","a"),"p","a"),"q","a"),"r","a"),"s","a"),"t","a"),"u","a"),"v","a"),"w","a"),"x","a"),"y","a"),"z","a")</f>
        <v/>
      </c>
      <c r="BO149" s="61" t="str">
        <f aca="false">SUBSTITUTE(SUBSTITUTE(SUBSTITUTE(SUBSTITUTE(SUBSTITUTE(SUBSTITUTE(SUBSTITUTE(SUBSTITUTE(SUBSTITUTE(LOWER(W149&amp;""),"1","0"),"2","0"),"3","0"),"4","0"),"5","0"),"6","0"),"7","0"),"8","0"),"9","0")</f>
        <v/>
      </c>
      <c r="BP149" s="61" t="str">
        <f aca="false">SUBSTITUTE(SUBSTITUTE(SUBSTITUTE(SUBSTITUTE(SUBSTITUTE(SUBSTITUTE(SUBSTITUTE(SUBSTITUTE(SUBSTITUTE(SUBSTITUTE(SUBSTITUTE(SUBSTITUTE(SUBSTITUTE(SUBSTITUTE(SUBSTITUTE(SUBSTITUTE(SUBSTITUTE(SUBSTITUTE(SUBSTITUTE(SUBSTITUTE(SUBSTITUTE(SUBSTITUTE(SUBSTITUTE(SUBSTITUTE(SUBSTITUTE(BO149,"b","a"),"c","a"),"d","a"),"e","a"),"f","a"),"g","a"),"h","a"),"i","a"),"j","a"),"k","a"),"l","a"),"m","a"),"n","a"),"o","a"),"p","a"),"q","a"),"r","a"),"s","a"),"t","a"),"u","a"),"v","a"),"w","a"),"x","a"),"y","a"),"z","a")</f>
        <v/>
      </c>
      <c r="BQ149" s="61" t="n">
        <f aca="false">IFERROR(IF(AND(ISERROR(SEARCH(" mh"," "&amp;LOWER(W149))),ISNA(MATCH(LEFT(TRIM(BP149),255),{"0000a","000a","00a","0000aa","000aa","00aa","0aa","0000aaa","000aaa","00a00","0a00","0000-0000","00:00","a00","a0","00.00.0000","00/00/0000","00-00-0000","0000-00-00","0000/00/00","0000.00.00","00.00.00","00/00/00","00-00-00","0.00.0000","0/00/0000","0-00-0000"},0)),ISNA(MATCH(LEFT(TRIM(CA149),255),{"0000a","000a","00a","0000aa","000aa","00aa","0aa","0000aaa","000aaa","00a00","0a00","0000-0000","00:00","a00","a0","00.00.0000","00/00/0000","00-00-0000","0000-00-00","0000/00/00","0000.00.00","00.00.00","00/00/00","00-00-00","0.00.0000","0/00/0000","0-00-0000"},0)),LEN(CB149)&gt;=3,NOT(OR(SUBSTITUTE(CB149,"0","")="",AND(LEN(CB149)&gt;=4,CB149=REPT(LEFT(CB149),LEN(CB149))),ISNUMBER(MATCH(CB149,{"123","1234","12345","123456","1234567","12345678","0123","01234","012345","98765","987654","54321"},0)),AND(LEN(CB149)=8,LEFT(CB149,3)="202"))),OR(AND((LEN(CA149)-LEN(SUBSTITUTE(CA149,"a","")))&gt;=1,SUMPRODUCT(--ISNUMBER(SEARCH({"a0","a-0","a_0","a/0","a.0","a#0","0a","0-a","0_a","0/a"},BP149)))&gt;0),ISNUMBER(SEARCH("000000",BP149)))),1,0),0)</f>
        <v>0</v>
      </c>
      <c r="BR149" s="61" t="n">
        <f aca="false">IFERROR(LEN(SUBSTITUTE(CC149," ",""))-SUMPRODUCT((LEN(CC149)-LEN(SUBSTITUTE(CC149," "&amp;L_Role&amp;" "," ")))/(LEN(L_Role)+1)*LEN(L_Role)),0)</f>
        <v>0</v>
      </c>
      <c r="BS149" s="61" t="n">
        <f aca="false">IFERROR(LEN(SUBSTITUTE(CD149," ",""))-SUMPRODUCT((LEN(CD149)-LEN(SUBSTITUTE(CD149," "&amp;L_Role&amp;" "," ")))/(LEN(L_Role)+1)*LEN(L_Role)),0)</f>
        <v>0</v>
      </c>
      <c r="BT1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149,"revision",""),"version",""),"jan",""),"feb",""),"mar",""),"apr",""),"may",""),"jun",""),"jul",""),"aug",""),"sep",""),"oct",""),"nov",""),"dec",""),"utc",""),"gmt",""),"myt",""),"bst",""),"rev",""),"ver",""),"b","a"),"c","a"),"d","a"),"e","a"),"f","a"),"g","a"),"h","a"),"i","a"),"j","a"),"k","a"),"l","a"),"m","a"),"n","a"),"o","a"),"p","a"),"q","a"),"r","a"),"s","a"),"t","a"),"u","a"),"v","a"),"w","a"),"x","a"),"y","a"),"z","a")</f>
        <v/>
      </c>
      <c r="BU149" s="61" t="str">
        <f aca="false">SUBSTITUTE(SUBSTITUTE(SUBSTITUTE(SUBSTITUTE(SUBSTITUTE(SUBSTITUTE(SUBSTITUTE(SUBSTITUTE(SUBSTITUTE(SUBSTITUTE(LEFT(BM149,FIND("0",BM149&amp;"0")-1),"-",""),"_",""),"/",""),".",""),"#",""),"\\",""),":","")," ",""),"(",""),")","")</f>
        <v/>
      </c>
      <c r="BV149" s="61" t="n">
        <f aca="false">0</f>
        <v>0</v>
      </c>
      <c r="BW1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149&amp;""),"a",""),"b",""),"c",""),"d",""),"e",""),"f",""),"g",""),"h",""),"i",""),"j",""),"k",""),"l",""),"m",""),"n",""),"o",""),"p",""),"q",""),"r",""),"s",""),"t",""),"u",""),"v",""),"w",""),"x",""),"y",""),"z",""),"-",""),"_",""),"/",""),".",""),"#",""),"\\",""),":","")," ",""),"(",""),")","")</f>
        <v/>
      </c>
      <c r="BX149" s="61" t="str">
        <f aca="false">SUBSTITUTE(SUBSTITUTE(SUBSTITUTE(SUBSTITUTE(SUBSTITUTE(SUBSTITUTE(SUBSTITUTE(SUBSTITUTE(SUBSTITUTE(SUBSTITUTE(SUBSTITUTE(BM149,"0",""),"-",""),"_",""),"/",""),".",""),"#",""),"\\",""),":","")," ",""),"(",""),")","")</f>
        <v/>
      </c>
      <c r="BY149" s="62" t="n">
        <f aca="false">Q149-T12EarlyH/24</f>
        <v>46309.0451388889</v>
      </c>
      <c r="BZ149" s="61" t="n">
        <f aca="false">IFERROR(IF(IF(TRIM(S149)="Link / file path",AND(LEN(TRIM(Z149))&gt;=5,SUMPRODUCT(--ISNUMBER(SEARCH({"http","www.","\\",":\",".pdf",".jpg",".jpeg",".png",".heic",".xls",".doc",".msg",".eml",".ppt",".txt",".zip"},Z149)))&gt;0),AND(ISERROR(FIND(" ",TRIM(Z149))),NOT(OR(SUMPRODUCT(--ISNUMBER(FIND({",",";","&amp;","+"},Z149)))&gt;0,SUMPRODUCT(--ISNUMBER(SEARCH({"0/aa","0\\aa"},BN149)))&gt;0)),NOT(SUMPRODUCT(--ISNUMBER(SEARCH({"http","www.","\\",":\",".pdf",".jpg",".jpeg",".png",".heic",".xls",".doc",".msg",".eml",".ppt",".txt",".zip"},Z149)))&gt;0),NOT(LOWER(TRIM(Z149))=LOWER(Flights!$F$9)),ISNA(MATCH(BU149,{"mh","rev","revision","ver","version","v","r","a","b","seat","tray","row","gate","bay","stand","page","pg","item","line","no","cart","galley","flight","flt","table","box","bag","oven","etd","eta","std","sta","atd","ata","qty","pax","x","time","tel","ph","mob","day","wk","week","utc","gmt","myt","lt"},0)),NOT(OR(ISNUMBER(MATCH(LEFT(BN149,255),{"0000a","000a","00a","0000aa","000aa","00aa","0aa","0000aaa","000aaa","00a00","0a00","0000-0000","00:00","a00","a0","00.00.0000","00/00/0000","00-00-0000","0000-00-00","0000/00/00","0000.00.00","00.00.00","00/00/00","00-00-00","0.00.0000","0/00/0000","0-00-0000"},0)),ISNUMBER(MATCH(LEFT(BT149,255),{"0000a","000a","00a","0000aa","000aa","00aa","0aa","0000aaa","000aaa","00a00","0a00","0000-0000","00:00","a00","a0","00.00.0000","00/00/0000","00-00-0000","0000-00-00","0000/00/00","0000.00.00","00.00.00","00/00/00","00-00-00","0.00.0000","0/00/0000","0-00-0000"},0)))),NOT(OR(AND(BW149&lt;&gt;"",SUBSTITUTE(BW149,"0","")=""),AND(LEN(BW149)&gt;=4,BW149=REPT(LEFT(BW149),LEN(BW149))),ISNUMBER(MATCH(BW149,{"123","1234","12345","123456","1234567","12345678","0123","01234","012345","98765","987654","54321"},0)),ISNUMBER(MATCH(BX149,{"x","xx","xxx","xxxx","xxxxx","abc","abcd","nil","na","nan","test","tbc","tba","tbd","dummy","sample","example","eg","zz","zzz","none","null","xyz","qwe","asd","id","ref"},0)),AND(LEN(BW149)=8,BX149="",OR(LEFT(BW149,3)="202",ISNUMBER(MATCH(RIGHT(BW149,4),{"2025","2026","2027"},0)))))),OR(AND((LEN(BT149)-LEN(SUBSTITUTE(BT149,"a","")))&gt;=1,(LEN(BN149)-LEN(SUBSTITUTE(BN149,"0","")))&gt;=2,SUMPRODUCT(--ISNUMBER(SEARCH({"a0","a-0","a_0","a/0","a.0","a#0","0a","0-a","0_a","0/a"},BN149)))&gt;0),AND((LEN(BN149)-LEN(SUBSTITUTE(BN149,"a","")))=0,(LEN(BN149)-LEN(SUBSTITUTE(BN149,"0","")))&gt;=5)))),1,0),0)</f>
        <v>0</v>
      </c>
      <c r="CA1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149,"revision",""),"version",""),"jan",""),"feb",""),"mar",""),"apr",""),"may",""),"jun",""),"jul",""),"aug",""),"sep",""),"oct",""),"nov",""),"dec",""),"utc",""),"gmt",""),"myt",""),"bst",""),"rev",""),"ver",""),"b","a"),"c","a"),"d","a"),"e","a"),"f","a"),"g","a"),"h","a"),"i","a"),"j","a"),"k","a"),"l","a"),"m","a"),"n","a"),"o","a"),"p","a"),"q","a"),"r","a"),"s","a"),"t","a"),"u","a"),"v","a"),"w","a"),"x","a"),"y","a"),"z","a")</f>
        <v/>
      </c>
      <c r="CB1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149&amp;""),"a",""),"b",""),"c",""),"d",""),"e",""),"f",""),"g",""),"h",""),"i",""),"j",""),"k",""),"l",""),"m",""),"n",""),"o",""),"p",""),"q",""),"r",""),"s",""),"t",""),"u",""),"v",""),"w",""),"x",""),"y",""),"z",""),"-",""),"_",""),"/",""),".",""),"#",""),"\\",""),":","")," ",""),"(",""),")","")</f>
        <v/>
      </c>
      <c r="CC149" s="0" t="str">
        <f aca="false">" "&amp;TRIM(SUBSTITUTE(SUBSTITUTE(SUBSTITUTE(SUBSTITUTE(SUBSTITUTE(SUBSTITUTE(SUBSTITUTE(SUBSTITUTE(SUBSTITUTE(SUBSTITUTE(SUBSTITUTE(SUBSTITUTE(SUBSTITUTE(SUBSTITUTE(SUBSTITUTE(SUBSTITUTE(SUBSTITUTE(SUBSTITUTE(SUBSTITUTE(SUBSTITUTE(SUBSTITUTE(SUBSTITUTE(SUBSTITUTE(SUBSTITUTE(LOWER(T149&amp;""),CHAR(10)," "),CHAR(13)," "),CHAR(9)," "),CHAR(160)," "),"."," "),","," "),"-"," "),"/"," "),"("," "),")"," "),":"," "),";"," "),"_"," "),"–"," "),"?"," "),"!"," "),"*"," "),"["," "),"]"," "),"'"," "),"#"," "),"+"," "),"&amp;"," "),"\"," "))&amp;" "</f>
        <v>  </v>
      </c>
      <c r="CD149" s="0" t="str">
        <f aca="false">" "&amp;TRIM(SUBSTITUTE(SUBSTITUTE(SUBSTITUTE(SUBSTITUTE(SUBSTITUTE(SUBSTITUTE(SUBSTITUTE(SUBSTITUTE(SUBSTITUTE(SUBSTITUTE(SUBSTITUTE(SUBSTITUTE(SUBSTITUTE(SUBSTITUTE(SUBSTITUTE(SUBSTITUTE(SUBSTITUTE(SUBSTITUTE(SUBSTITUTE(SUBSTITUTE(SUBSTITUTE(SUBSTITUTE(SUBSTITUTE(SUBSTITUTE(LOWER(AE149&amp;""),CHAR(10)," "),CHAR(13)," "),CHAR(9)," "),CHAR(160)," "),"."," "),","," "),"-"," "),"/"," "),"("," "),")"," "),":"," "),";"," "),"_"," "),"–"," "),"?"," "),"!"," "),"*"," "),"["," "),"]"," "),"'"," "),"#"," "),"+"," "),"&amp;"," "),"\"," "))&amp;" "</f>
        <v>  </v>
      </c>
      <c r="CE149" s="68" t="n">
        <f aca="false">IFERROR(IF(AND(LEN(AU149)&gt;0,LEN(AU149)=LEN(AX149),OR(TRIM(MID(SUBSTITUTE(TRIM(CC149)," ",REPT(" ",60)),1,60))="",ISNUMBER(SEARCH(" "&amp;TRIM(MID(SUBSTITUTE(TRIM(CC149)," ",REPT(" ",60)),1,60))&amp;" ",CD149))),OR(TRIM(MID(SUBSTITUTE(TRIM(CC149)," ",REPT(" ",60)),61,60))="",ISNUMBER(SEARCH(" "&amp;TRIM(MID(SUBSTITUTE(TRIM(CC149)," ",REPT(" ",60)),61,60))&amp;" ",CD149))),OR(TRIM(MID(SUBSTITUTE(TRIM(CC149)," ",REPT(" ",60)),121,60))="",ISNUMBER(SEARCH(" "&amp;TRIM(MID(SUBSTITUTE(TRIM(CC149)," ",REPT(" ",60)),121,60))&amp;" ",CD149)))),1,0),0)</f>
        <v>0</v>
      </c>
      <c r="CG149" s="68" t="n">
        <f aca="false">IFERROR(LEN(SUBSTITUTE(BF149," ",""))-SUMPRODUCT((LEN(BF149)-LEN(SUBSTITUTE(BF149," "&amp;L_NAFiller&amp;" "," ")))/(LEN(L_NAFiller)+1)*LEN(L_NAFiller)),0)</f>
        <v>0</v>
      </c>
    </row>
    <row r="150" customFormat="false" ht="39.75" hidden="false" customHeight="true" outlineLevel="0" collapsed="false">
      <c r="A150" s="57" t="s">
        <v>679</v>
      </c>
      <c r="B150" s="57" t="s">
        <v>228</v>
      </c>
      <c r="C150" s="57" t="str">
        <f aca="false">Flights!$F$9</f>
        <v>MH0089</v>
      </c>
      <c r="D150" s="58" t="n">
        <f aca="false">Flights!$D$9</f>
        <v>46310</v>
      </c>
      <c r="E150" s="57" t="str">
        <f aca="false">Flights!$G$9&amp;"-"&amp;Flights!$H$9</f>
        <v>NRT-KUL</v>
      </c>
      <c r="F150" s="57" t="str">
        <f aca="false">Flights!$K$9</f>
        <v>EY</v>
      </c>
      <c r="G150" s="57" t="s">
        <v>420</v>
      </c>
      <c r="H150" s="57" t="s">
        <v>378</v>
      </c>
      <c r="I150" s="57" t="s">
        <v>428</v>
      </c>
      <c r="J150" s="57" t="s">
        <v>429</v>
      </c>
      <c r="K150" s="67"/>
      <c r="L150" s="67" t="s">
        <v>422</v>
      </c>
      <c r="M150" s="67"/>
      <c r="N150" s="67" t="s">
        <v>383</v>
      </c>
      <c r="O150" s="67" t="s">
        <v>423</v>
      </c>
      <c r="P150" s="57" t="s">
        <v>220</v>
      </c>
      <c r="Q150" s="59" t="n">
        <f aca="false">ROUND((Flights!$AE$9)*1440,0)/1440</f>
        <v>46309.5451388889</v>
      </c>
      <c r="R150" s="59" t="n">
        <f aca="false">Q150+(IF(AND(INDEX(TZ_DSTS,MATCH(P150,TZ_STN,0))&lt;&gt;"",Q150&gt;=INDEX(TZ_DSTS,MATCH(P150,TZ_STN,0)),Q150&lt;INDEX(TZ_DSTE,MATCH(P150,TZ_STN,0))),INDEX(TZ_DST,MATCH(P150,TZ_STN,0)),INDEX(TZ_STD,MATCH(P150,TZ_STN,0))))/24</f>
        <v>46309.9201388889</v>
      </c>
      <c r="S150" s="60"/>
      <c r="T150" s="60"/>
      <c r="U150" s="60"/>
      <c r="V150" s="60"/>
      <c r="W150" s="61"/>
      <c r="X150" s="60"/>
      <c r="Y150" s="60"/>
      <c r="Z150" s="60"/>
      <c r="AA150" s="60"/>
      <c r="AB150" s="60"/>
      <c r="AC150" s="60"/>
      <c r="AD150" s="66"/>
      <c r="AE150" s="60"/>
      <c r="AF150" s="61" t="str">
        <f aca="false">IF(AND(ISNUMBER(X150),ISNUMBER(Y150)),Y150-X150,"")</f>
        <v/>
      </c>
      <c r="AG150" s="62" t="str">
        <f aca="false">IF(ISNUMBER(AD150),AD150-(IF(AND(INDEX(TZ_DSTS,MATCH(P150,TZ_STN,0))&lt;&gt;"",(AD150-INDEX(TZ_STD,MATCH(P150,TZ_STN,0))/24)&gt;=INDEX(TZ_DSTS,MATCH(P150,TZ_STN,0)),(AD150-INDEX(TZ_STD,MATCH(P150,TZ_STN,0))/24)&lt;INDEX(TZ_DSTE,MATCH(P150,TZ_STN,0))),INDEX(TZ_DST,MATCH(P150,TZ_STN,0)),INDEX(TZ_STD,MATCH(P150,TZ_STN,0))))/24,"")</f>
        <v/>
      </c>
      <c r="AH150" s="65" t="str">
        <f aca="false">IFERROR(IF(N150="N/A – rule",IF(OR(TRIM(U150)="",TRIM(U150)="N/A",TRIM(U150)="Not started"),"N/A – RULE","INVALID – this check does not apply to this aircraft: clear the status (or correct the fleet on Flights)"),IF(TRIM(U150)="N/A",IF(AT150=0,"INVALID – N/A not permitted for this check",IF(AND(TRIM(AB150)&lt;&gt;"",TRIM(AB150)&lt;&gt;"Closed"),"INVALID – corrective action still open",IF(AND(NOT(OR(LEN(AZ150)&lt;15,ISNUMBER(MATCH(AZ150,L_Placeholder,0)))),BK150=0,CG150&gt;=8,NOT(OR(LEN(AU150)&lt;2,ISNUMBER(MATCH(AU150,L_Placeholder,0)))),BR150&gt;=3,NOT(OR(LEN(AX150)&lt;2,ISNUMBER(MATCH(AX150,L_Placeholder,0)))),BS150&gt;=3,TRIM(AE150)&lt;&gt;TRIM(T150),AX150&lt;&gt;AU150,CE150=0),"N/A – JUSTIFIED","INVALID – N/A needs a real, settled reason (not 'not applicable' / 'as above' / TBC), a named PIC and a different named verifier"))),IF(OR(TRIM(U150)="Pass",TRIM(U150)="Pass after CA"),IF(NOT(ISNUMBER(AD150)),"INVALID – completion time missing",IF(OR(OR(LEN(AU150)&lt;2,ISNUMBER(MATCH(AU150,L_Placeholder,0))),BR150&lt;3),"INVALID – PIC missing or not a named person (a role such as QA / CSM is not a name)",IF(OR(LEN(AV150)&lt;2,ISNUMBER(MATCH(AV150,L_Placeholder,0))),"INVALID – result / assessment missing",IF(OR(OR(LEN(AW150)&lt;3,ISNUMBER(MATCH(AW150,L_Placeholder,0))),SUMPRODUCT(--ISNUMBER(SEARCH(" "&amp;L_EvidencePhrase&amp;" ",BD150)))&gt;0,BI150=1),"INVALID – evidence missing, placeholder or not yet on file",IF(ISNA(MATCH(TRIM(S150),L_EvidenceType,0)),"INVALID – choose the evidence type from the list (column S)",IF(BL150=0,"INVALID – evidence ID must be the record's own ID only (e.g. SF-2210, IMG_2231, 1045521); a link / file name needs type 'Link / file path'",IF(OR(OR(LEN(AX150)&lt;2,ISNUMBER(MATCH(AX150,L_Placeholder,0))),BS150&lt;3),"INVALID – verifier missing or not a named person (a role such as QA / CSM is not a name)",IF(OR(AX150=AU150,CE150=1,AND(LEN(AU150)&gt;=4,ISNUMBER(SEARCH(AU150,AX150))),AND(LEN(AX150)&gt;=4,ISNUMBER(SEARCH(AX150,AU150)))),"INVALID – verifier must be a different, named person (not the PIC or a role)",IF(BH150=1,"INVALID – result not yet available (awaiting / TBC)",IF(BG150=1,"INVALID – result describes a problem: record Fail, then Pass after CA (or reword if it is not a problem)",IF(BV150=1,"INVALID – wording says not on board: an on-board confirmation needs the item loaded",IF(AND(AQ150=1,OR(OR(LEN(AY150)&lt;3,ISNUMBER(MATCH(AY150,L_Placeholder,0))),BJ150=1,BQ150=0)),"INVALID – batch ID missing, placeholder or not an ID (e.g. PASB-261008-BC-017)",IF(AND(AR150=1,OR(NOT(ISNUMBER(X150)),NOT(ISNUMBER(Y150)))),"INVALID – expected/actual qty missing",IF(AND(AR150=1,OR(X150&lt;=0,Y150&lt;0)),"INVALID – expected qty must be above 0 and actual not negative",IF(BB150&lt;&gt;"",BB150,IF(AND(AS150=1,Documents!$J$9&lt;&gt;"ON FILE"),"INVALID – GLD not on file (Documents sheet)",IF(AND(AS150=2,Documents!$O$9&lt;&gt;"ON FILE"),"INVALID – menu checklist not on file (Documents sheet)",IF(AND(AS150=3,NOT(ISNUMBER(Flights!$AX$9))),"INVALID – enter carrying flight KUL departure (Flights AX)",IF(AND(AS150=3,OR(Flights!$AZ$9&gt;Flights!$AA$9,Flights!$AX$9&lt;Flights!$AA$9-3)),"INVALID – carrying flight (Flights AX) cannot arrive before this leg's STD, or is over 3 days early",IF(AG150&gt;AsOfUTC,"INVALID – completion time is in the future",IF(AND(ISNUMBER(BY150),AG150&lt;BY150),IF(H150="Physical uplift","INVALID – before uplift window (cannot confirm loading)","INVALID – before valid window"),IF(AG150&gt;Flights!$AA$9,"INVALID – completed after departure (cannot establish readiness)",IF(AND(H150="Preparation",AG150&gt;=IF(ISNUMBER(Flights!$BA$9),MIN(Flights!$BA$9,Flights!$AA$9),Flights!$AA$9)),"INVALID – completed after loading / departure (cannot establish readiness)",IF(AND(H150="Physical uplift",AG150&gt;Q150),"INVALID – recorded after the loading flight departed",IF(AG150&gt;Q150,"COMPLETE – LATE","COMPLETE"))))))))))))))))))))))))),IF(TRIM(U150)="Fail","FAIL – DISCREPANCY",IF(AND(TRIM(U150)&lt;&gt;"",TRIM(U150)&lt;&gt;"Not started",TRIM(U150)&lt;&gt;"In progress"),"INVALID – unrecognised status (use the list)",IF(AsOfUTC&gt;Q150,"OVERDUE",IF(N150="Clarification required","OPEN – CLARIFICATION","OPEN"))))))),"INVALID – error value in an input cell")</f>
        <v>OPEN</v>
      </c>
      <c r="AI150" s="61" t="n">
        <f aca="false">IF(OR(AH150="N/A – RULE",AH150="N/A – JUSTIFIED"),0,1)</f>
        <v>1</v>
      </c>
      <c r="AJ150" s="61" t="n">
        <f aca="false">IF(LEFT(AH150,8)="COMPLETE",1,0)</f>
        <v>0</v>
      </c>
      <c r="AK150" s="61" t="n">
        <f aca="false">IF(AND(AI150=1,AJ150=0,AsOfUTC&gt;Q150),1,0)</f>
        <v>0</v>
      </c>
      <c r="AL150" s="61" t="n">
        <f aca="false">IFERROR(IF(AND(AI150=1,OR(TRIM(U150)="Fail",AND(TRIM(AB150)&lt;&gt;"",TRIM(AB150)&lt;&gt;"Closed"),AND(ISNUMBER(AF150),AF150&lt;&gt;0,TRIM(U150)&lt;&gt;"Pass after CA"))),1,0),1)</f>
        <v>0</v>
      </c>
      <c r="AM150" s="61" t="n">
        <f aca="false">IF(LEFT(AH150,7)="INVALID",1,0)</f>
        <v>0</v>
      </c>
      <c r="AN150" s="61" t="n">
        <f aca="false">IF(AND(N150="Clarification required",AI150=1,AJ150=0),1,0)</f>
        <v>0</v>
      </c>
      <c r="AO150" s="61" t="str">
        <f aca="false">IF(AK150=1,SUM(AK$5:AK150),"")</f>
        <v/>
      </c>
      <c r="AP150" s="61" t="str">
        <f aca="false">IF(AL150=1,SUM(AL$5:AL150),"")</f>
        <v/>
      </c>
      <c r="AQ150" s="61" t="n">
        <v>0</v>
      </c>
      <c r="AR150" s="61" t="n">
        <v>0</v>
      </c>
      <c r="AS150" s="61" t="n">
        <v>0</v>
      </c>
      <c r="AT150" s="61" t="n">
        <v>0</v>
      </c>
      <c r="AU150" s="61" t="str">
        <f aca="false">SUBSTITUTE(SUBSTITUTE(SUBSTITUTE(SUBSTITUTE(SUBSTITUTE(SUBSTITUTE(SUBSTITUTE(SUBSTITUTE(SUBSTITUTE(SUBSTITUTE(SUBSTITUTE(SUBSTITUTE(SUBSTITUTE(SUBSTITUTE(SUBSTITUTE(SUBSTITUTE(LOWER(T150&amp;""),CHAR(10),""),CHAR(13),""),CHAR(9),""),CHAR(160),"")," ",""),".",""),"-",""),"/",""),"?",""),"_",""),",",""),"[",""),"]",""),"(",""),")",""),"*","")</f>
        <v/>
      </c>
      <c r="AV150" s="61" t="str">
        <f aca="false">SUBSTITUTE(SUBSTITUTE(SUBSTITUTE(SUBSTITUTE(SUBSTITUTE(SUBSTITUTE(SUBSTITUTE(SUBSTITUTE(SUBSTITUTE(SUBSTITUTE(SUBSTITUTE(SUBSTITUTE(SUBSTITUTE(SUBSTITUTE(SUBSTITUTE(SUBSTITUTE(LOWER(V150&amp;""),CHAR(10),""),CHAR(13),""),CHAR(9),""),CHAR(160),"")," ",""),".",""),"-",""),"/",""),"?",""),"_",""),",",""),"[",""),"]",""),"(",""),")",""),"*","")</f>
        <v/>
      </c>
      <c r="AW150" s="61" t="str">
        <f aca="false">SUBSTITUTE(SUBSTITUTE(SUBSTITUTE(SUBSTITUTE(SUBSTITUTE(SUBSTITUTE(SUBSTITUTE(SUBSTITUTE(SUBSTITUTE(SUBSTITUTE(SUBSTITUTE(SUBSTITUTE(SUBSTITUTE(SUBSTITUTE(SUBSTITUTE(SUBSTITUTE(LOWER(Z150&amp;""),CHAR(10),""),CHAR(13),""),CHAR(9),""),CHAR(160),"")," ",""),".",""),"-",""),"/",""),"?",""),"_",""),",",""),"[",""),"]",""),"(",""),")",""),"*","")</f>
        <v/>
      </c>
      <c r="AX150" s="61" t="str">
        <f aca="false">SUBSTITUTE(SUBSTITUTE(SUBSTITUTE(SUBSTITUTE(SUBSTITUTE(SUBSTITUTE(SUBSTITUTE(SUBSTITUTE(SUBSTITUTE(SUBSTITUTE(SUBSTITUTE(SUBSTITUTE(SUBSTITUTE(SUBSTITUTE(SUBSTITUTE(SUBSTITUTE(LOWER(AE150&amp;""),CHAR(10),""),CHAR(13),""),CHAR(9),""),CHAR(160),"")," ",""),".",""),"-",""),"/",""),"?",""),"_",""),",",""),"[",""),"]",""),"(",""),")",""),"*","")</f>
        <v/>
      </c>
      <c r="AY150" s="61" t="str">
        <f aca="false">SUBSTITUTE(SUBSTITUTE(SUBSTITUTE(SUBSTITUTE(SUBSTITUTE(SUBSTITUTE(SUBSTITUTE(SUBSTITUTE(SUBSTITUTE(SUBSTITUTE(SUBSTITUTE(SUBSTITUTE(SUBSTITUTE(SUBSTITUTE(SUBSTITUTE(SUBSTITUTE(LOWER(W150&amp;""),CHAR(10),""),CHAR(13),""),CHAR(9),""),CHAR(160),"")," ",""),".",""),"-",""),"/",""),"?",""),"_",""),",",""),"[",""),"]",""),"(",""),")",""),"*","")</f>
        <v/>
      </c>
      <c r="AZ150" s="61" t="str">
        <f aca="false">SUBSTITUTE(SUBSTITUTE(SUBSTITUTE(SUBSTITUTE(SUBSTITUTE(SUBSTITUTE(SUBSTITUTE(SUBSTITUTE(SUBSTITUTE(SUBSTITUTE(SUBSTITUTE(SUBSTITUTE(SUBSTITUTE(SUBSTITUTE(SUBSTITUTE(SUBSTITUTE(LOWER(AC150&amp;""),CHAR(10),""),CHAR(13),""),CHAR(9),""),CHAR(160),"")," ",""),".",""),"-",""),"/",""),"?",""),"_",""),",",""),"[",""),"]",""),"(",""),")",""),"*","")</f>
        <v/>
      </c>
      <c r="BA150" s="61" t="str">
        <f aca="false">SUBSTITUTE(SUBSTITUTE(SUBSTITUTE(SUBSTITUTE(SUBSTITUTE(SUBSTITUTE(SUBSTITUTE(SUBSTITUTE(SUBSTITUTE(SUBSTITUTE(SUBSTITUTE(SUBSTITUTE(SUBSTITUTE(SUBSTITUTE(SUBSTITUTE(SUBSTITUTE(LOWER(AA150&amp;""),CHAR(10),""),CHAR(13),""),CHAR(9),""),CHAR(160),"")," ",""),".",""),"-",""),"/",""),"?",""),"_",""),",",""),"[",""),"]",""),"(",""),")",""),"*","")</f>
        <v/>
      </c>
      <c r="BB150" s="61" t="str">
        <f aca="false">IF(AND(TRIM(U150)="Pass",ISNUMBER(AF150)),IF(AF150&lt;&gt;0,"INVALID – qty variance: use Fail or Pass after CA",""),"")&amp;IF(AND(TRIM(U150)="Pass after CA",ISNUMBER(AF150)),IF(AF150&lt;&gt;0,"INVALID – after the corrective action the actual qty must equal expected (update Actual)",""),"")&amp;IF(AND(TRIM(U150)="Pass",TRIM(AB150)&lt;&gt;"",TRIM(AB150)&lt;&gt;"Closed"),"INVALID – corrective action not closed: use Fail, then Pass after CA","")&amp;IF(AND(LEN(BA150)&gt;=2,ISNA(MATCH(LEFT(BA150,255),L_Placeholder,0)),TRIM(AB150)=""),"INVALID – CA status missing for the recorded corrective action","")&amp;IF(AND(TRIM(U150)="Pass after CA",OR(OR(LEN(BA150)&lt;5,ISNUMBER(MATCH(BA150,L_Placeholder,0))),TRIM(AB150)&lt;&gt;"Closed")),"INVALID – corrective action not recorded/closed","")</f>
        <v/>
      </c>
      <c r="BC150" s="61" t="str">
        <f aca="false">" "&amp;TRIM(SUBSTITUTE(SUBSTITUTE(SUBSTITUTE(SUBSTITUTE(SUBSTITUTE(SUBSTITUTE(SUBSTITUTE(SUBSTITUTE(SUBSTITUTE(SUBSTITUTE(SUBSTITUTE(SUBSTITUTE(SUBSTITUTE(SUBSTITUTE(SUBSTITUTE(SUBSTITUTE(SUBSTITUTE(SUBSTITUTE(SUBSTITUTE(SUBSTITUTE(SUBSTITUTE(SUBSTITUTE(SUBSTITUTE(SUBSTITUTE(LOWER(V150&amp;""),CHAR(10)," "),CHAR(13)," "),CHAR(9)," "),CHAR(160)," "),"."," "),","," "),"-"," "),"/"," "),"("," "),")"," "),":"," "),";"," "),"_"," "),"–"," "),"?"," "),"!"," "),"*"," "),"["," "),"]"," "),"'"," "),"#"," "),"+"," "),"&amp;"," "),"\"," "))&amp;" "</f>
        <v>  </v>
      </c>
      <c r="BD150" s="61" t="str">
        <f aca="false">" "&amp;TRIM(SUBSTITUTE(SUBSTITUTE(SUBSTITUTE(SUBSTITUTE(SUBSTITUTE(SUBSTITUTE(SUBSTITUTE(SUBSTITUTE(SUBSTITUTE(SUBSTITUTE(SUBSTITUTE(SUBSTITUTE(SUBSTITUTE(SUBSTITUTE(SUBSTITUTE(SUBSTITUTE(SUBSTITUTE(SUBSTITUTE(SUBSTITUTE(SUBSTITUTE(SUBSTITUTE(SUBSTITUTE(SUBSTITUTE(SUBSTITUTE(LOWER(Z150&amp;""),CHAR(10)," "),CHAR(13)," "),CHAR(9)," "),CHAR(160)," "),"."," "),","," "),"-"," "),"/"," "),"("," "),")"," "),":"," "),";"," "),"_"," "),"–"," "),"?"," "),"!"," "),"*"," "),"["," "),"]"," "),"'"," "),"#"," "),"+"," "),"&amp;"," "),"\"," "))&amp;" "</f>
        <v>  </v>
      </c>
      <c r="BE150" s="61" t="str">
        <f aca="false">" "&amp;TRIM(SUBSTITUTE(SUBSTITUTE(SUBSTITUTE(SUBSTITUTE(SUBSTITUTE(SUBSTITUTE(SUBSTITUTE(SUBSTITUTE(SUBSTITUTE(SUBSTITUTE(SUBSTITUTE(SUBSTITUTE(SUBSTITUTE(SUBSTITUTE(SUBSTITUTE(SUBSTITUTE(SUBSTITUTE(SUBSTITUTE(SUBSTITUTE(SUBSTITUTE(SUBSTITUTE(SUBSTITUTE(SUBSTITUTE(SUBSTITUTE(LOWER(W150&amp;""),CHAR(10)," "),CHAR(13)," "),CHAR(9)," "),CHAR(160)," "),"."," "),","," "),"-"," "),"/"," "),"("," "),")"," "),":"," "),";"," "),"_"," "),"–"," "),"?"," "),"!"," "),"*"," "),"["," "),"]"," "),"'"," "),"#"," "),"+"," "),"&amp;"," "),"\"," "))&amp;" "</f>
        <v>  </v>
      </c>
      <c r="BF150" s="61" t="str">
        <f aca="false">" "&amp;TRIM(SUBSTITUTE(SUBSTITUTE(SUBSTITUTE(SUBSTITUTE(SUBSTITUTE(SUBSTITUTE(SUBSTITUTE(SUBSTITUTE(SUBSTITUTE(SUBSTITUTE(SUBSTITUTE(SUBSTITUTE(SUBSTITUTE(SUBSTITUTE(SUBSTITUTE(SUBSTITUTE(SUBSTITUTE(SUBSTITUTE(SUBSTITUTE(SUBSTITUTE(SUBSTITUTE(SUBSTITUTE(SUBSTITUTE(SUBSTITUTE(LOWER(AC150&amp;""),CHAR(10)," "),CHAR(13)," "),CHAR(9)," "),CHAR(160)," "),"."," "),","," "),"-"," "),"/"," "),"("," "),")"," "),":"," "),";"," "),"_"," "),"–"," "),"?"," "),"!"," "),"*"," "),"["," "),"]"," "),"'"," "),"#"," "),"+"," "),"&amp;"," "),"\"," "))&amp;" "</f>
        <v>  </v>
      </c>
      <c r="BG150" s="61" t="n">
        <f aca="false">IFERROR(IF(AND(TRIM(U150)="Pass",SUMPRODUCT((LEN(BC150)-LEN(SUBSTITUTE(BC150," "&amp;L_ResultBad&amp;" "," ")))/(LEN(L_ResultBad)+1))&gt;SUMPRODUCT((LEN(BC150)-LEN(SUBSTITUTE(BC150," "&amp;L_NegPhrase&amp;" "," ")))/(LEN(L_NegPhrase)+1))),1,0),0)</f>
        <v>0</v>
      </c>
      <c r="BH150" s="61" t="n">
        <f aca="false">IFERROR(IF(SUMPRODUCT((LEN(BC150)-LEN(SUBSTITUTE(BC150," "&amp;L_Pending&amp;" "," ")))/(LEN(L_Pending)+1))&gt;SUMPRODUCT((LEN(BC150)-LEN(SUBSTITUTE(BC150," "&amp;L_PendNeg&amp;" "," ")))/(LEN(L_PendNeg)+1))+SUMPRODUCT((LEN(BC150)-LEN(SUBSTITUTE(BC150," "&amp;L_PendPrep&amp;" "," ")))/(LEN(L_PendPrep)+1)),1,0),1)</f>
        <v>0</v>
      </c>
      <c r="BI150" s="61" t="n">
        <f aca="false">IFERROR(IF(SUMPRODUCT((LEN(BD150)-LEN(SUBSTITUTE(BD150," "&amp;L_PendStrict&amp;" "," ")))/(LEN(L_PendStrict)+1))&gt;SUMPRODUCT((LEN(BD150)-LEN(SUBSTITUTE(BD150," "&amp;L_PendNeg&amp;" "," ")))/(LEN(L_PendNeg)+1)),1,0),1)</f>
        <v>0</v>
      </c>
      <c r="BJ150" s="61" t="n">
        <f aca="false">IFERROR(IF(SUMPRODUCT((LEN(BE150)-LEN(SUBSTITUTE(BE150," "&amp;L_Pending&amp;" "," ")))/(LEN(L_Pending)+1))&gt;SUMPRODUCT((LEN(BE150)-LEN(SUBSTITUTE(BE150," "&amp;L_PendNeg&amp;" "," ")))/(LEN(L_PendNeg)+1))+SUMPRODUCT((LEN(BE150)-LEN(SUBSTITUTE(BE150," "&amp;L_PendPrep&amp;" "," ")))/(LEN(L_PendPrep)+1)),1,0),1)</f>
        <v>0</v>
      </c>
      <c r="BK150" s="61" t="n">
        <f aca="false">IFERROR(IF(SUMPRODUCT((LEN(BF150)-LEN(SUBSTITUTE(BF150," "&amp;L_PendStrict&amp;" "," ")))/(LEN(L_PendStrict)+1))&gt;SUMPRODUCT((LEN(BF150)-LEN(SUBSTITUTE(BF150," "&amp;L_PendNeg&amp;" "," ")))/(LEN(L_PendNeg)+1)),1,0),1)</f>
        <v>0</v>
      </c>
      <c r="BL150" s="61" t="n">
        <f aca="false">IF(ISNA(MATCH(TRIM(S150),L_EvidenceType,0)),0,BZ150)</f>
        <v>0</v>
      </c>
      <c r="BM150" s="61" t="str">
        <f aca="false">SUBSTITUTE(SUBSTITUTE(SUBSTITUTE(SUBSTITUTE(SUBSTITUTE(SUBSTITUTE(SUBSTITUTE(SUBSTITUTE(SUBSTITUTE(LOWER(Z150&amp;""),"1","0"),"2","0"),"3","0"),"4","0"),"5","0"),"6","0"),"7","0"),"8","0"),"9","0")</f>
        <v/>
      </c>
      <c r="BN150" s="61" t="str">
        <f aca="false">SUBSTITUTE(SUBSTITUTE(SUBSTITUTE(SUBSTITUTE(SUBSTITUTE(SUBSTITUTE(SUBSTITUTE(SUBSTITUTE(SUBSTITUTE(SUBSTITUTE(SUBSTITUTE(SUBSTITUTE(SUBSTITUTE(SUBSTITUTE(SUBSTITUTE(SUBSTITUTE(SUBSTITUTE(SUBSTITUTE(SUBSTITUTE(SUBSTITUTE(SUBSTITUTE(SUBSTITUTE(SUBSTITUTE(SUBSTITUTE(SUBSTITUTE(BM150,"b","a"),"c","a"),"d","a"),"e","a"),"f","a"),"g","a"),"h","a"),"i","a"),"j","a"),"k","a"),"l","a"),"m","a"),"n","a"),"o","a"),"p","a"),"q","a"),"r","a"),"s","a"),"t","a"),"u","a"),"v","a"),"w","a"),"x","a"),"y","a"),"z","a")</f>
        <v/>
      </c>
      <c r="BO150" s="61" t="str">
        <f aca="false">SUBSTITUTE(SUBSTITUTE(SUBSTITUTE(SUBSTITUTE(SUBSTITUTE(SUBSTITUTE(SUBSTITUTE(SUBSTITUTE(SUBSTITUTE(LOWER(W150&amp;""),"1","0"),"2","0"),"3","0"),"4","0"),"5","0"),"6","0"),"7","0"),"8","0"),"9","0")</f>
        <v/>
      </c>
      <c r="BP150" s="61" t="str">
        <f aca="false">SUBSTITUTE(SUBSTITUTE(SUBSTITUTE(SUBSTITUTE(SUBSTITUTE(SUBSTITUTE(SUBSTITUTE(SUBSTITUTE(SUBSTITUTE(SUBSTITUTE(SUBSTITUTE(SUBSTITUTE(SUBSTITUTE(SUBSTITUTE(SUBSTITUTE(SUBSTITUTE(SUBSTITUTE(SUBSTITUTE(SUBSTITUTE(SUBSTITUTE(SUBSTITUTE(SUBSTITUTE(SUBSTITUTE(SUBSTITUTE(SUBSTITUTE(BO150,"b","a"),"c","a"),"d","a"),"e","a"),"f","a"),"g","a"),"h","a"),"i","a"),"j","a"),"k","a"),"l","a"),"m","a"),"n","a"),"o","a"),"p","a"),"q","a"),"r","a"),"s","a"),"t","a"),"u","a"),"v","a"),"w","a"),"x","a"),"y","a"),"z","a")</f>
        <v/>
      </c>
      <c r="BQ150" s="61" t="n">
        <f aca="false">IFERROR(IF(AND(ISERROR(SEARCH(" mh"," "&amp;LOWER(W150))),ISNA(MATCH(LEFT(TRIM(BP150),255),{"0000a","000a","00a","0000aa","000aa","00aa","0aa","0000aaa","000aaa","00a00","0a00","0000-0000","00:00","a00","a0","00.00.0000","00/00/0000","00-00-0000","0000-00-00","0000/00/00","0000.00.00","00.00.00","00/00/00","00-00-00","0.00.0000","0/00/0000","0-00-0000"},0)),ISNA(MATCH(LEFT(TRIM(CA150),255),{"0000a","000a","00a","0000aa","000aa","00aa","0aa","0000aaa","000aaa","00a00","0a00","0000-0000","00:00","a00","a0","00.00.0000","00/00/0000","00-00-0000","0000-00-00","0000/00/00","0000.00.00","00.00.00","00/00/00","00-00-00","0.00.0000","0/00/0000","0-00-0000"},0)),LEN(CB150)&gt;=3,NOT(OR(SUBSTITUTE(CB150,"0","")="",AND(LEN(CB150)&gt;=4,CB150=REPT(LEFT(CB150),LEN(CB150))),ISNUMBER(MATCH(CB150,{"123","1234","12345","123456","1234567","12345678","0123","01234","012345","98765","987654","54321"},0)),AND(LEN(CB150)=8,LEFT(CB150,3)="202"))),OR(AND((LEN(CA150)-LEN(SUBSTITUTE(CA150,"a","")))&gt;=1,SUMPRODUCT(--ISNUMBER(SEARCH({"a0","a-0","a_0","a/0","a.0","a#0","0a","0-a","0_a","0/a"},BP150)))&gt;0),ISNUMBER(SEARCH("000000",BP150)))),1,0),0)</f>
        <v>0</v>
      </c>
      <c r="BR150" s="61" t="n">
        <f aca="false">IFERROR(LEN(SUBSTITUTE(CC150," ",""))-SUMPRODUCT((LEN(CC150)-LEN(SUBSTITUTE(CC150," "&amp;L_Role&amp;" "," ")))/(LEN(L_Role)+1)*LEN(L_Role)),0)</f>
        <v>0</v>
      </c>
      <c r="BS150" s="61" t="n">
        <f aca="false">IFERROR(LEN(SUBSTITUTE(CD150," ",""))-SUMPRODUCT((LEN(CD150)-LEN(SUBSTITUTE(CD150," "&amp;L_Role&amp;" "," ")))/(LEN(L_Role)+1)*LEN(L_Role)),0)</f>
        <v>0</v>
      </c>
      <c r="BT1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150,"revision",""),"version",""),"jan",""),"feb",""),"mar",""),"apr",""),"may",""),"jun",""),"jul",""),"aug",""),"sep",""),"oct",""),"nov",""),"dec",""),"utc",""),"gmt",""),"myt",""),"bst",""),"rev",""),"ver",""),"b","a"),"c","a"),"d","a"),"e","a"),"f","a"),"g","a"),"h","a"),"i","a"),"j","a"),"k","a"),"l","a"),"m","a"),"n","a"),"o","a"),"p","a"),"q","a"),"r","a"),"s","a"),"t","a"),"u","a"),"v","a"),"w","a"),"x","a"),"y","a"),"z","a")</f>
        <v/>
      </c>
      <c r="BU150" s="61" t="str">
        <f aca="false">SUBSTITUTE(SUBSTITUTE(SUBSTITUTE(SUBSTITUTE(SUBSTITUTE(SUBSTITUTE(SUBSTITUTE(SUBSTITUTE(SUBSTITUTE(SUBSTITUTE(LEFT(BM150,FIND("0",BM150&amp;"0")-1),"-",""),"_",""),"/",""),".",""),"#",""),"\\",""),":","")," ",""),"(",""),")","")</f>
        <v/>
      </c>
      <c r="BV150" s="61" t="n">
        <f aca="false">0</f>
        <v>0</v>
      </c>
      <c r="BW1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150&amp;""),"a",""),"b",""),"c",""),"d",""),"e",""),"f",""),"g",""),"h",""),"i",""),"j",""),"k",""),"l",""),"m",""),"n",""),"o",""),"p",""),"q",""),"r",""),"s",""),"t",""),"u",""),"v",""),"w",""),"x",""),"y",""),"z",""),"-",""),"_",""),"/",""),".",""),"#",""),"\\",""),":","")," ",""),"(",""),")","")</f>
        <v/>
      </c>
      <c r="BX150" s="61" t="str">
        <f aca="false">SUBSTITUTE(SUBSTITUTE(SUBSTITUTE(SUBSTITUTE(SUBSTITUTE(SUBSTITUTE(SUBSTITUTE(SUBSTITUTE(SUBSTITUTE(SUBSTITUTE(SUBSTITUTE(BM150,"0",""),"-",""),"_",""),"/",""),".",""),"#",""),"\\",""),":","")," ",""),"(",""),")","")</f>
        <v/>
      </c>
      <c r="BY150" s="62" t="n">
        <f aca="false">Q150-T12EarlyH/24</f>
        <v>46309.0451388889</v>
      </c>
      <c r="BZ150" s="61" t="n">
        <f aca="false">IFERROR(IF(IF(TRIM(S150)="Link / file path",AND(LEN(TRIM(Z150))&gt;=5,SUMPRODUCT(--ISNUMBER(SEARCH({"http","www.","\\",":\",".pdf",".jpg",".jpeg",".png",".heic",".xls",".doc",".msg",".eml",".ppt",".txt",".zip"},Z150)))&gt;0),AND(ISERROR(FIND(" ",TRIM(Z150))),NOT(OR(SUMPRODUCT(--ISNUMBER(FIND({",",";","&amp;","+"},Z150)))&gt;0,SUMPRODUCT(--ISNUMBER(SEARCH({"0/aa","0\\aa"},BN150)))&gt;0)),NOT(SUMPRODUCT(--ISNUMBER(SEARCH({"http","www.","\\",":\",".pdf",".jpg",".jpeg",".png",".heic",".xls",".doc",".msg",".eml",".ppt",".txt",".zip"},Z150)))&gt;0),NOT(LOWER(TRIM(Z150))=LOWER(Flights!$F$9)),ISNA(MATCH(BU150,{"mh","rev","revision","ver","version","v","r","a","b","seat","tray","row","gate","bay","stand","page","pg","item","line","no","cart","galley","flight","flt","table","box","bag","oven","etd","eta","std","sta","atd","ata","qty","pax","x","time","tel","ph","mob","day","wk","week","utc","gmt","myt","lt"},0)),NOT(OR(ISNUMBER(MATCH(LEFT(BN150,255),{"0000a","000a","00a","0000aa","000aa","00aa","0aa","0000aaa","000aaa","00a00","0a00","0000-0000","00:00","a00","a0","00.00.0000","00/00/0000","00-00-0000","0000-00-00","0000/00/00","0000.00.00","00.00.00","00/00/00","00-00-00","0.00.0000","0/00/0000","0-00-0000"},0)),ISNUMBER(MATCH(LEFT(BT150,255),{"0000a","000a","00a","0000aa","000aa","00aa","0aa","0000aaa","000aaa","00a00","0a00","0000-0000","00:00","a00","a0","00.00.0000","00/00/0000","00-00-0000","0000-00-00","0000/00/00","0000.00.00","00.00.00","00/00/00","00-00-00","0.00.0000","0/00/0000","0-00-0000"},0)))),NOT(OR(AND(BW150&lt;&gt;"",SUBSTITUTE(BW150,"0","")=""),AND(LEN(BW150)&gt;=4,BW150=REPT(LEFT(BW150),LEN(BW150))),ISNUMBER(MATCH(BW150,{"123","1234","12345","123456","1234567","12345678","0123","01234","012345","98765","987654","54321"},0)),ISNUMBER(MATCH(BX150,{"x","xx","xxx","xxxx","xxxxx","abc","abcd","nil","na","nan","test","tbc","tba","tbd","dummy","sample","example","eg","zz","zzz","none","null","xyz","qwe","asd","id","ref"},0)),AND(LEN(BW150)=8,BX150="",OR(LEFT(BW150,3)="202",ISNUMBER(MATCH(RIGHT(BW150,4),{"2025","2026","2027"},0)))))),OR(AND((LEN(BT150)-LEN(SUBSTITUTE(BT150,"a","")))&gt;=1,(LEN(BN150)-LEN(SUBSTITUTE(BN150,"0","")))&gt;=2,SUMPRODUCT(--ISNUMBER(SEARCH({"a0","a-0","a_0","a/0","a.0","a#0","0a","0-a","0_a","0/a"},BN150)))&gt;0),AND((LEN(BN150)-LEN(SUBSTITUTE(BN150,"a","")))=0,(LEN(BN150)-LEN(SUBSTITUTE(BN150,"0","")))&gt;=5)))),1,0),0)</f>
        <v>0</v>
      </c>
      <c r="CA1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150,"revision",""),"version",""),"jan",""),"feb",""),"mar",""),"apr",""),"may",""),"jun",""),"jul",""),"aug",""),"sep",""),"oct",""),"nov",""),"dec",""),"utc",""),"gmt",""),"myt",""),"bst",""),"rev",""),"ver",""),"b","a"),"c","a"),"d","a"),"e","a"),"f","a"),"g","a"),"h","a"),"i","a"),"j","a"),"k","a"),"l","a"),"m","a"),"n","a"),"o","a"),"p","a"),"q","a"),"r","a"),"s","a"),"t","a"),"u","a"),"v","a"),"w","a"),"x","a"),"y","a"),"z","a")</f>
        <v/>
      </c>
      <c r="CB1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150&amp;""),"a",""),"b",""),"c",""),"d",""),"e",""),"f",""),"g",""),"h",""),"i",""),"j",""),"k",""),"l",""),"m",""),"n",""),"o",""),"p",""),"q",""),"r",""),"s",""),"t",""),"u",""),"v",""),"w",""),"x",""),"y",""),"z",""),"-",""),"_",""),"/",""),".",""),"#",""),"\\",""),":","")," ",""),"(",""),")","")</f>
        <v/>
      </c>
      <c r="CC150" s="0" t="str">
        <f aca="false">" "&amp;TRIM(SUBSTITUTE(SUBSTITUTE(SUBSTITUTE(SUBSTITUTE(SUBSTITUTE(SUBSTITUTE(SUBSTITUTE(SUBSTITUTE(SUBSTITUTE(SUBSTITUTE(SUBSTITUTE(SUBSTITUTE(SUBSTITUTE(SUBSTITUTE(SUBSTITUTE(SUBSTITUTE(SUBSTITUTE(SUBSTITUTE(SUBSTITUTE(SUBSTITUTE(SUBSTITUTE(SUBSTITUTE(SUBSTITUTE(SUBSTITUTE(LOWER(T150&amp;""),CHAR(10)," "),CHAR(13)," "),CHAR(9)," "),CHAR(160)," "),"."," "),","," "),"-"," "),"/"," "),"("," "),")"," "),":"," "),";"," "),"_"," "),"–"," "),"?"," "),"!"," "),"*"," "),"["," "),"]"," "),"'"," "),"#"," "),"+"," "),"&amp;"," "),"\"," "))&amp;" "</f>
        <v>  </v>
      </c>
      <c r="CD150" s="0" t="str">
        <f aca="false">" "&amp;TRIM(SUBSTITUTE(SUBSTITUTE(SUBSTITUTE(SUBSTITUTE(SUBSTITUTE(SUBSTITUTE(SUBSTITUTE(SUBSTITUTE(SUBSTITUTE(SUBSTITUTE(SUBSTITUTE(SUBSTITUTE(SUBSTITUTE(SUBSTITUTE(SUBSTITUTE(SUBSTITUTE(SUBSTITUTE(SUBSTITUTE(SUBSTITUTE(SUBSTITUTE(SUBSTITUTE(SUBSTITUTE(SUBSTITUTE(SUBSTITUTE(LOWER(AE150&amp;""),CHAR(10)," "),CHAR(13)," "),CHAR(9)," "),CHAR(160)," "),"."," "),","," "),"-"," "),"/"," "),"("," "),")"," "),":"," "),";"," "),"_"," "),"–"," "),"?"," "),"!"," "),"*"," "),"["," "),"]"," "),"'"," "),"#"," "),"+"," "),"&amp;"," "),"\"," "))&amp;" "</f>
        <v>  </v>
      </c>
      <c r="CE150" s="68" t="n">
        <f aca="false">IFERROR(IF(AND(LEN(AU150)&gt;0,LEN(AU150)=LEN(AX150),OR(TRIM(MID(SUBSTITUTE(TRIM(CC150)," ",REPT(" ",60)),1,60))="",ISNUMBER(SEARCH(" "&amp;TRIM(MID(SUBSTITUTE(TRIM(CC150)," ",REPT(" ",60)),1,60))&amp;" ",CD150))),OR(TRIM(MID(SUBSTITUTE(TRIM(CC150)," ",REPT(" ",60)),61,60))="",ISNUMBER(SEARCH(" "&amp;TRIM(MID(SUBSTITUTE(TRIM(CC150)," ",REPT(" ",60)),61,60))&amp;" ",CD150))),OR(TRIM(MID(SUBSTITUTE(TRIM(CC150)," ",REPT(" ",60)),121,60))="",ISNUMBER(SEARCH(" "&amp;TRIM(MID(SUBSTITUTE(TRIM(CC150)," ",REPT(" ",60)),121,60))&amp;" ",CD150)))),1,0),0)</f>
        <v>0</v>
      </c>
      <c r="CG150" s="68" t="n">
        <f aca="false">IFERROR(LEN(SUBSTITUTE(BF150," ",""))-SUMPRODUCT((LEN(BF150)-LEN(SUBSTITUTE(BF150," "&amp;L_NAFiller&amp;" "," ")))/(LEN(L_NAFiller)+1)*LEN(L_NAFiller)),0)</f>
        <v>0</v>
      </c>
    </row>
    <row r="151" customFormat="false" ht="39.75" hidden="false" customHeight="true" outlineLevel="0" collapsed="false">
      <c r="A151" s="57" t="s">
        <v>680</v>
      </c>
      <c r="B151" s="57" t="s">
        <v>228</v>
      </c>
      <c r="C151" s="57" t="str">
        <f aca="false">Flights!$F$9</f>
        <v>MH0089</v>
      </c>
      <c r="D151" s="58" t="n">
        <f aca="false">Flights!$D$9</f>
        <v>46310</v>
      </c>
      <c r="E151" s="57" t="str">
        <f aca="false">Flights!$G$9&amp;"-"&amp;Flights!$H$9</f>
        <v>NRT-KUL</v>
      </c>
      <c r="F151" s="57" t="str">
        <f aca="false">Flights!$K$9</f>
        <v>EY</v>
      </c>
      <c r="G151" s="57" t="s">
        <v>420</v>
      </c>
      <c r="H151" s="57" t="s">
        <v>378</v>
      </c>
      <c r="I151" s="57" t="s">
        <v>428</v>
      </c>
      <c r="J151" s="57" t="s">
        <v>431</v>
      </c>
      <c r="K151" s="67"/>
      <c r="L151" s="67" t="s">
        <v>422</v>
      </c>
      <c r="M151" s="67"/>
      <c r="N151" s="67" t="s">
        <v>383</v>
      </c>
      <c r="O151" s="67" t="s">
        <v>423</v>
      </c>
      <c r="P151" s="57" t="s">
        <v>220</v>
      </c>
      <c r="Q151" s="59" t="n">
        <f aca="false">ROUND((Flights!$AE$9)*1440,0)/1440</f>
        <v>46309.5451388889</v>
      </c>
      <c r="R151" s="59" t="n">
        <f aca="false">Q151+(IF(AND(INDEX(TZ_DSTS,MATCH(P151,TZ_STN,0))&lt;&gt;"",Q151&gt;=INDEX(TZ_DSTS,MATCH(P151,TZ_STN,0)),Q151&lt;INDEX(TZ_DSTE,MATCH(P151,TZ_STN,0))),INDEX(TZ_DST,MATCH(P151,TZ_STN,0)),INDEX(TZ_STD,MATCH(P151,TZ_STN,0))))/24</f>
        <v>46309.9201388889</v>
      </c>
      <c r="S151" s="60"/>
      <c r="T151" s="60"/>
      <c r="U151" s="60"/>
      <c r="V151" s="60"/>
      <c r="W151" s="61"/>
      <c r="X151" s="60"/>
      <c r="Y151" s="60"/>
      <c r="Z151" s="60"/>
      <c r="AA151" s="60"/>
      <c r="AB151" s="60"/>
      <c r="AC151" s="60"/>
      <c r="AD151" s="66"/>
      <c r="AE151" s="60"/>
      <c r="AF151" s="61" t="str">
        <f aca="false">IF(AND(ISNUMBER(X151),ISNUMBER(Y151)),Y151-X151,"")</f>
        <v/>
      </c>
      <c r="AG151" s="62" t="str">
        <f aca="false">IF(ISNUMBER(AD151),AD151-(IF(AND(INDEX(TZ_DSTS,MATCH(P151,TZ_STN,0))&lt;&gt;"",(AD151-INDEX(TZ_STD,MATCH(P151,TZ_STN,0))/24)&gt;=INDEX(TZ_DSTS,MATCH(P151,TZ_STN,0)),(AD151-INDEX(TZ_STD,MATCH(P151,TZ_STN,0))/24)&lt;INDEX(TZ_DSTE,MATCH(P151,TZ_STN,0))),INDEX(TZ_DST,MATCH(P151,TZ_STN,0)),INDEX(TZ_STD,MATCH(P151,TZ_STN,0))))/24,"")</f>
        <v/>
      </c>
      <c r="AH151" s="65" t="str">
        <f aca="false">IFERROR(IF(N151="N/A – rule",IF(OR(TRIM(U151)="",TRIM(U151)="N/A",TRIM(U151)="Not started"),"N/A – RULE","INVALID – this check does not apply to this aircraft: clear the status (or correct the fleet on Flights)"),IF(TRIM(U151)="N/A",IF(AT151=0,"INVALID – N/A not permitted for this check",IF(AND(TRIM(AB151)&lt;&gt;"",TRIM(AB151)&lt;&gt;"Closed"),"INVALID – corrective action still open",IF(AND(NOT(OR(LEN(AZ151)&lt;15,ISNUMBER(MATCH(AZ151,L_Placeholder,0)))),BK151=0,CG151&gt;=8,NOT(OR(LEN(AU151)&lt;2,ISNUMBER(MATCH(AU151,L_Placeholder,0)))),BR151&gt;=3,NOT(OR(LEN(AX151)&lt;2,ISNUMBER(MATCH(AX151,L_Placeholder,0)))),BS151&gt;=3,TRIM(AE151)&lt;&gt;TRIM(T151),AX151&lt;&gt;AU151,CE151=0),"N/A – JUSTIFIED","INVALID – N/A needs a real, settled reason (not 'not applicable' / 'as above' / TBC), a named PIC and a different named verifier"))),IF(OR(TRIM(U151)="Pass",TRIM(U151)="Pass after CA"),IF(NOT(ISNUMBER(AD151)),"INVALID – completion time missing",IF(OR(OR(LEN(AU151)&lt;2,ISNUMBER(MATCH(AU151,L_Placeholder,0))),BR151&lt;3),"INVALID – PIC missing or not a named person (a role such as QA / CSM is not a name)",IF(OR(LEN(AV151)&lt;2,ISNUMBER(MATCH(AV151,L_Placeholder,0))),"INVALID – result / assessment missing",IF(OR(OR(LEN(AW151)&lt;3,ISNUMBER(MATCH(AW151,L_Placeholder,0))),SUMPRODUCT(--ISNUMBER(SEARCH(" "&amp;L_EvidencePhrase&amp;" ",BD151)))&gt;0,BI151=1),"INVALID – evidence missing, placeholder or not yet on file",IF(ISNA(MATCH(TRIM(S151),L_EvidenceType,0)),"INVALID – choose the evidence type from the list (column S)",IF(BL151=0,"INVALID – evidence ID must be the record's own ID only (e.g. SF-2210, IMG_2231, 1045521); a link / file name needs type 'Link / file path'",IF(OR(OR(LEN(AX151)&lt;2,ISNUMBER(MATCH(AX151,L_Placeholder,0))),BS151&lt;3),"INVALID – verifier missing or not a named person (a role such as QA / CSM is not a name)",IF(OR(AX151=AU151,CE151=1,AND(LEN(AU151)&gt;=4,ISNUMBER(SEARCH(AU151,AX151))),AND(LEN(AX151)&gt;=4,ISNUMBER(SEARCH(AX151,AU151)))),"INVALID – verifier must be a different, named person (not the PIC or a role)",IF(BH151=1,"INVALID – result not yet available (awaiting / TBC)",IF(BG151=1,"INVALID – result describes a problem: record Fail, then Pass after CA (or reword if it is not a problem)",IF(BV151=1,"INVALID – wording says not on board: an on-board confirmation needs the item loaded",IF(AND(AQ151=1,OR(OR(LEN(AY151)&lt;3,ISNUMBER(MATCH(AY151,L_Placeholder,0))),BJ151=1,BQ151=0)),"INVALID – batch ID missing, placeholder or not an ID (e.g. PASB-261008-BC-017)",IF(AND(AR151=1,OR(NOT(ISNUMBER(X151)),NOT(ISNUMBER(Y151)))),"INVALID – expected/actual qty missing",IF(AND(AR151=1,OR(X151&lt;=0,Y151&lt;0)),"INVALID – expected qty must be above 0 and actual not negative",IF(BB151&lt;&gt;"",BB151,IF(AND(AS151=1,Documents!$J$9&lt;&gt;"ON FILE"),"INVALID – GLD not on file (Documents sheet)",IF(AND(AS151=2,Documents!$O$9&lt;&gt;"ON FILE"),"INVALID – menu checklist not on file (Documents sheet)",IF(AND(AS151=3,NOT(ISNUMBER(Flights!$AX$9))),"INVALID – enter carrying flight KUL departure (Flights AX)",IF(AND(AS151=3,OR(Flights!$AZ$9&gt;Flights!$AA$9,Flights!$AX$9&lt;Flights!$AA$9-3)),"INVALID – carrying flight (Flights AX) cannot arrive before this leg's STD, or is over 3 days early",IF(AG151&gt;AsOfUTC,"INVALID – completion time is in the future",IF(AND(ISNUMBER(BY151),AG151&lt;BY151),IF(H151="Physical uplift","INVALID – before uplift window (cannot confirm loading)","INVALID – before valid window"),IF(AG151&gt;Flights!$AA$9,"INVALID – completed after departure (cannot establish readiness)",IF(AND(H151="Preparation",AG151&gt;=IF(ISNUMBER(Flights!$BA$9),MIN(Flights!$BA$9,Flights!$AA$9),Flights!$AA$9)),"INVALID – completed after loading / departure (cannot establish readiness)",IF(AND(H151="Physical uplift",AG151&gt;Q151),"INVALID – recorded after the loading flight departed",IF(AG151&gt;Q151,"COMPLETE – LATE","COMPLETE"))))))))))))))))))))))))),IF(TRIM(U151)="Fail","FAIL – DISCREPANCY",IF(AND(TRIM(U151)&lt;&gt;"",TRIM(U151)&lt;&gt;"Not started",TRIM(U151)&lt;&gt;"In progress"),"INVALID – unrecognised status (use the list)",IF(AsOfUTC&gt;Q151,"OVERDUE",IF(N151="Clarification required","OPEN – CLARIFICATION","OPEN"))))))),"INVALID – error value in an input cell")</f>
        <v>OPEN</v>
      </c>
      <c r="AI151" s="61" t="n">
        <f aca="false">IF(OR(AH151="N/A – RULE",AH151="N/A – JUSTIFIED"),0,1)</f>
        <v>1</v>
      </c>
      <c r="AJ151" s="61" t="n">
        <f aca="false">IF(LEFT(AH151,8)="COMPLETE",1,0)</f>
        <v>0</v>
      </c>
      <c r="AK151" s="61" t="n">
        <f aca="false">IF(AND(AI151=1,AJ151=0,AsOfUTC&gt;Q151),1,0)</f>
        <v>0</v>
      </c>
      <c r="AL151" s="61" t="n">
        <f aca="false">IFERROR(IF(AND(AI151=1,OR(TRIM(U151)="Fail",AND(TRIM(AB151)&lt;&gt;"",TRIM(AB151)&lt;&gt;"Closed"),AND(ISNUMBER(AF151),AF151&lt;&gt;0,TRIM(U151)&lt;&gt;"Pass after CA"))),1,0),1)</f>
        <v>0</v>
      </c>
      <c r="AM151" s="61" t="n">
        <f aca="false">IF(LEFT(AH151,7)="INVALID",1,0)</f>
        <v>0</v>
      </c>
      <c r="AN151" s="61" t="n">
        <f aca="false">IF(AND(N151="Clarification required",AI151=1,AJ151=0),1,0)</f>
        <v>0</v>
      </c>
      <c r="AO151" s="61" t="str">
        <f aca="false">IF(AK151=1,SUM(AK$5:AK151),"")</f>
        <v/>
      </c>
      <c r="AP151" s="61" t="str">
        <f aca="false">IF(AL151=1,SUM(AL$5:AL151),"")</f>
        <v/>
      </c>
      <c r="AQ151" s="61" t="n">
        <v>0</v>
      </c>
      <c r="AR151" s="61" t="n">
        <v>0</v>
      </c>
      <c r="AS151" s="61" t="n">
        <v>0</v>
      </c>
      <c r="AT151" s="61" t="n">
        <v>0</v>
      </c>
      <c r="AU151" s="61" t="str">
        <f aca="false">SUBSTITUTE(SUBSTITUTE(SUBSTITUTE(SUBSTITUTE(SUBSTITUTE(SUBSTITUTE(SUBSTITUTE(SUBSTITUTE(SUBSTITUTE(SUBSTITUTE(SUBSTITUTE(SUBSTITUTE(SUBSTITUTE(SUBSTITUTE(SUBSTITUTE(SUBSTITUTE(LOWER(T151&amp;""),CHAR(10),""),CHAR(13),""),CHAR(9),""),CHAR(160),"")," ",""),".",""),"-",""),"/",""),"?",""),"_",""),",",""),"[",""),"]",""),"(",""),")",""),"*","")</f>
        <v/>
      </c>
      <c r="AV151" s="61" t="str">
        <f aca="false">SUBSTITUTE(SUBSTITUTE(SUBSTITUTE(SUBSTITUTE(SUBSTITUTE(SUBSTITUTE(SUBSTITUTE(SUBSTITUTE(SUBSTITUTE(SUBSTITUTE(SUBSTITUTE(SUBSTITUTE(SUBSTITUTE(SUBSTITUTE(SUBSTITUTE(SUBSTITUTE(LOWER(V151&amp;""),CHAR(10),""),CHAR(13),""),CHAR(9),""),CHAR(160),"")," ",""),".",""),"-",""),"/",""),"?",""),"_",""),",",""),"[",""),"]",""),"(",""),")",""),"*","")</f>
        <v/>
      </c>
      <c r="AW151" s="61" t="str">
        <f aca="false">SUBSTITUTE(SUBSTITUTE(SUBSTITUTE(SUBSTITUTE(SUBSTITUTE(SUBSTITUTE(SUBSTITUTE(SUBSTITUTE(SUBSTITUTE(SUBSTITUTE(SUBSTITUTE(SUBSTITUTE(SUBSTITUTE(SUBSTITUTE(SUBSTITUTE(SUBSTITUTE(LOWER(Z151&amp;""),CHAR(10),""),CHAR(13),""),CHAR(9),""),CHAR(160),"")," ",""),".",""),"-",""),"/",""),"?",""),"_",""),",",""),"[",""),"]",""),"(",""),")",""),"*","")</f>
        <v/>
      </c>
      <c r="AX151" s="61" t="str">
        <f aca="false">SUBSTITUTE(SUBSTITUTE(SUBSTITUTE(SUBSTITUTE(SUBSTITUTE(SUBSTITUTE(SUBSTITUTE(SUBSTITUTE(SUBSTITUTE(SUBSTITUTE(SUBSTITUTE(SUBSTITUTE(SUBSTITUTE(SUBSTITUTE(SUBSTITUTE(SUBSTITUTE(LOWER(AE151&amp;""),CHAR(10),""),CHAR(13),""),CHAR(9),""),CHAR(160),"")," ",""),".",""),"-",""),"/",""),"?",""),"_",""),",",""),"[",""),"]",""),"(",""),")",""),"*","")</f>
        <v/>
      </c>
      <c r="AY151" s="61" t="str">
        <f aca="false">SUBSTITUTE(SUBSTITUTE(SUBSTITUTE(SUBSTITUTE(SUBSTITUTE(SUBSTITUTE(SUBSTITUTE(SUBSTITUTE(SUBSTITUTE(SUBSTITUTE(SUBSTITUTE(SUBSTITUTE(SUBSTITUTE(SUBSTITUTE(SUBSTITUTE(SUBSTITUTE(LOWER(W151&amp;""),CHAR(10),""),CHAR(13),""),CHAR(9),""),CHAR(160),"")," ",""),".",""),"-",""),"/",""),"?",""),"_",""),",",""),"[",""),"]",""),"(",""),")",""),"*","")</f>
        <v/>
      </c>
      <c r="AZ151" s="61" t="str">
        <f aca="false">SUBSTITUTE(SUBSTITUTE(SUBSTITUTE(SUBSTITUTE(SUBSTITUTE(SUBSTITUTE(SUBSTITUTE(SUBSTITUTE(SUBSTITUTE(SUBSTITUTE(SUBSTITUTE(SUBSTITUTE(SUBSTITUTE(SUBSTITUTE(SUBSTITUTE(SUBSTITUTE(LOWER(AC151&amp;""),CHAR(10),""),CHAR(13),""),CHAR(9),""),CHAR(160),"")," ",""),".",""),"-",""),"/",""),"?",""),"_",""),",",""),"[",""),"]",""),"(",""),")",""),"*","")</f>
        <v/>
      </c>
      <c r="BA151" s="61" t="str">
        <f aca="false">SUBSTITUTE(SUBSTITUTE(SUBSTITUTE(SUBSTITUTE(SUBSTITUTE(SUBSTITUTE(SUBSTITUTE(SUBSTITUTE(SUBSTITUTE(SUBSTITUTE(SUBSTITUTE(SUBSTITUTE(SUBSTITUTE(SUBSTITUTE(SUBSTITUTE(SUBSTITUTE(LOWER(AA151&amp;""),CHAR(10),""),CHAR(13),""),CHAR(9),""),CHAR(160),"")," ",""),".",""),"-",""),"/",""),"?",""),"_",""),",",""),"[",""),"]",""),"(",""),")",""),"*","")</f>
        <v/>
      </c>
      <c r="BB151" s="61" t="str">
        <f aca="false">IF(AND(TRIM(U151)="Pass",ISNUMBER(AF151)),IF(AF151&lt;&gt;0,"INVALID – qty variance: use Fail or Pass after CA",""),"")&amp;IF(AND(TRIM(U151)="Pass after CA",ISNUMBER(AF151)),IF(AF151&lt;&gt;0,"INVALID – after the corrective action the actual qty must equal expected (update Actual)",""),"")&amp;IF(AND(TRIM(U151)="Pass",TRIM(AB151)&lt;&gt;"",TRIM(AB151)&lt;&gt;"Closed"),"INVALID – corrective action not closed: use Fail, then Pass after CA","")&amp;IF(AND(LEN(BA151)&gt;=2,ISNA(MATCH(LEFT(BA151,255),L_Placeholder,0)),TRIM(AB151)=""),"INVALID – CA status missing for the recorded corrective action","")&amp;IF(AND(TRIM(U151)="Pass after CA",OR(OR(LEN(BA151)&lt;5,ISNUMBER(MATCH(BA151,L_Placeholder,0))),TRIM(AB151)&lt;&gt;"Closed")),"INVALID – corrective action not recorded/closed","")</f>
        <v/>
      </c>
      <c r="BC151" s="61" t="str">
        <f aca="false">" "&amp;TRIM(SUBSTITUTE(SUBSTITUTE(SUBSTITUTE(SUBSTITUTE(SUBSTITUTE(SUBSTITUTE(SUBSTITUTE(SUBSTITUTE(SUBSTITUTE(SUBSTITUTE(SUBSTITUTE(SUBSTITUTE(SUBSTITUTE(SUBSTITUTE(SUBSTITUTE(SUBSTITUTE(SUBSTITUTE(SUBSTITUTE(SUBSTITUTE(SUBSTITUTE(SUBSTITUTE(SUBSTITUTE(SUBSTITUTE(SUBSTITUTE(LOWER(V151&amp;""),CHAR(10)," "),CHAR(13)," "),CHAR(9)," "),CHAR(160)," "),"."," "),","," "),"-"," "),"/"," "),"("," "),")"," "),":"," "),";"," "),"_"," "),"–"," "),"?"," "),"!"," "),"*"," "),"["," "),"]"," "),"'"," "),"#"," "),"+"," "),"&amp;"," "),"\"," "))&amp;" "</f>
        <v>  </v>
      </c>
      <c r="BD151" s="61" t="str">
        <f aca="false">" "&amp;TRIM(SUBSTITUTE(SUBSTITUTE(SUBSTITUTE(SUBSTITUTE(SUBSTITUTE(SUBSTITUTE(SUBSTITUTE(SUBSTITUTE(SUBSTITUTE(SUBSTITUTE(SUBSTITUTE(SUBSTITUTE(SUBSTITUTE(SUBSTITUTE(SUBSTITUTE(SUBSTITUTE(SUBSTITUTE(SUBSTITUTE(SUBSTITUTE(SUBSTITUTE(SUBSTITUTE(SUBSTITUTE(SUBSTITUTE(SUBSTITUTE(LOWER(Z151&amp;""),CHAR(10)," "),CHAR(13)," "),CHAR(9)," "),CHAR(160)," "),"."," "),","," "),"-"," "),"/"," "),"("," "),")"," "),":"," "),";"," "),"_"," "),"–"," "),"?"," "),"!"," "),"*"," "),"["," "),"]"," "),"'"," "),"#"," "),"+"," "),"&amp;"," "),"\"," "))&amp;" "</f>
        <v>  </v>
      </c>
      <c r="BE151" s="61" t="str">
        <f aca="false">" "&amp;TRIM(SUBSTITUTE(SUBSTITUTE(SUBSTITUTE(SUBSTITUTE(SUBSTITUTE(SUBSTITUTE(SUBSTITUTE(SUBSTITUTE(SUBSTITUTE(SUBSTITUTE(SUBSTITUTE(SUBSTITUTE(SUBSTITUTE(SUBSTITUTE(SUBSTITUTE(SUBSTITUTE(SUBSTITUTE(SUBSTITUTE(SUBSTITUTE(SUBSTITUTE(SUBSTITUTE(SUBSTITUTE(SUBSTITUTE(SUBSTITUTE(LOWER(W151&amp;""),CHAR(10)," "),CHAR(13)," "),CHAR(9)," "),CHAR(160)," "),"."," "),","," "),"-"," "),"/"," "),"("," "),")"," "),":"," "),";"," "),"_"," "),"–"," "),"?"," "),"!"," "),"*"," "),"["," "),"]"," "),"'"," "),"#"," "),"+"," "),"&amp;"," "),"\"," "))&amp;" "</f>
        <v>  </v>
      </c>
      <c r="BF151" s="61" t="str">
        <f aca="false">" "&amp;TRIM(SUBSTITUTE(SUBSTITUTE(SUBSTITUTE(SUBSTITUTE(SUBSTITUTE(SUBSTITUTE(SUBSTITUTE(SUBSTITUTE(SUBSTITUTE(SUBSTITUTE(SUBSTITUTE(SUBSTITUTE(SUBSTITUTE(SUBSTITUTE(SUBSTITUTE(SUBSTITUTE(SUBSTITUTE(SUBSTITUTE(SUBSTITUTE(SUBSTITUTE(SUBSTITUTE(SUBSTITUTE(SUBSTITUTE(SUBSTITUTE(LOWER(AC151&amp;""),CHAR(10)," "),CHAR(13)," "),CHAR(9)," "),CHAR(160)," "),"."," "),","," "),"-"," "),"/"," "),"("," "),")"," "),":"," "),";"," "),"_"," "),"–"," "),"?"," "),"!"," "),"*"," "),"["," "),"]"," "),"'"," "),"#"," "),"+"," "),"&amp;"," "),"\"," "))&amp;" "</f>
        <v>  </v>
      </c>
      <c r="BG151" s="61" t="n">
        <f aca="false">IFERROR(IF(AND(TRIM(U151)="Pass",SUMPRODUCT((LEN(BC151)-LEN(SUBSTITUTE(BC151," "&amp;L_ResultBad&amp;" "," ")))/(LEN(L_ResultBad)+1))&gt;SUMPRODUCT((LEN(BC151)-LEN(SUBSTITUTE(BC151," "&amp;L_NegPhrase&amp;" "," ")))/(LEN(L_NegPhrase)+1))),1,0),0)</f>
        <v>0</v>
      </c>
      <c r="BH151" s="61" t="n">
        <f aca="false">IFERROR(IF(SUMPRODUCT((LEN(BC151)-LEN(SUBSTITUTE(BC151," "&amp;L_Pending&amp;" "," ")))/(LEN(L_Pending)+1))&gt;SUMPRODUCT((LEN(BC151)-LEN(SUBSTITUTE(BC151," "&amp;L_PendNeg&amp;" "," ")))/(LEN(L_PendNeg)+1))+SUMPRODUCT((LEN(BC151)-LEN(SUBSTITUTE(BC151," "&amp;L_PendPrep&amp;" "," ")))/(LEN(L_PendPrep)+1)),1,0),1)</f>
        <v>0</v>
      </c>
      <c r="BI151" s="61" t="n">
        <f aca="false">IFERROR(IF(SUMPRODUCT((LEN(BD151)-LEN(SUBSTITUTE(BD151," "&amp;L_PendStrict&amp;" "," ")))/(LEN(L_PendStrict)+1))&gt;SUMPRODUCT((LEN(BD151)-LEN(SUBSTITUTE(BD151," "&amp;L_PendNeg&amp;" "," ")))/(LEN(L_PendNeg)+1)),1,0),1)</f>
        <v>0</v>
      </c>
      <c r="BJ151" s="61" t="n">
        <f aca="false">IFERROR(IF(SUMPRODUCT((LEN(BE151)-LEN(SUBSTITUTE(BE151," "&amp;L_Pending&amp;" "," ")))/(LEN(L_Pending)+1))&gt;SUMPRODUCT((LEN(BE151)-LEN(SUBSTITUTE(BE151," "&amp;L_PendNeg&amp;" "," ")))/(LEN(L_PendNeg)+1))+SUMPRODUCT((LEN(BE151)-LEN(SUBSTITUTE(BE151," "&amp;L_PendPrep&amp;" "," ")))/(LEN(L_PendPrep)+1)),1,0),1)</f>
        <v>0</v>
      </c>
      <c r="BK151" s="61" t="n">
        <f aca="false">IFERROR(IF(SUMPRODUCT((LEN(BF151)-LEN(SUBSTITUTE(BF151," "&amp;L_PendStrict&amp;" "," ")))/(LEN(L_PendStrict)+1))&gt;SUMPRODUCT((LEN(BF151)-LEN(SUBSTITUTE(BF151," "&amp;L_PendNeg&amp;" "," ")))/(LEN(L_PendNeg)+1)),1,0),1)</f>
        <v>0</v>
      </c>
      <c r="BL151" s="61" t="n">
        <f aca="false">IF(ISNA(MATCH(TRIM(S151),L_EvidenceType,0)),0,BZ151)</f>
        <v>0</v>
      </c>
      <c r="BM151" s="61" t="str">
        <f aca="false">SUBSTITUTE(SUBSTITUTE(SUBSTITUTE(SUBSTITUTE(SUBSTITUTE(SUBSTITUTE(SUBSTITUTE(SUBSTITUTE(SUBSTITUTE(LOWER(Z151&amp;""),"1","0"),"2","0"),"3","0"),"4","0"),"5","0"),"6","0"),"7","0"),"8","0"),"9","0")</f>
        <v/>
      </c>
      <c r="BN151" s="61" t="str">
        <f aca="false">SUBSTITUTE(SUBSTITUTE(SUBSTITUTE(SUBSTITUTE(SUBSTITUTE(SUBSTITUTE(SUBSTITUTE(SUBSTITUTE(SUBSTITUTE(SUBSTITUTE(SUBSTITUTE(SUBSTITUTE(SUBSTITUTE(SUBSTITUTE(SUBSTITUTE(SUBSTITUTE(SUBSTITUTE(SUBSTITUTE(SUBSTITUTE(SUBSTITUTE(SUBSTITUTE(SUBSTITUTE(SUBSTITUTE(SUBSTITUTE(SUBSTITUTE(BM151,"b","a"),"c","a"),"d","a"),"e","a"),"f","a"),"g","a"),"h","a"),"i","a"),"j","a"),"k","a"),"l","a"),"m","a"),"n","a"),"o","a"),"p","a"),"q","a"),"r","a"),"s","a"),"t","a"),"u","a"),"v","a"),"w","a"),"x","a"),"y","a"),"z","a")</f>
        <v/>
      </c>
      <c r="BO151" s="61" t="str">
        <f aca="false">SUBSTITUTE(SUBSTITUTE(SUBSTITUTE(SUBSTITUTE(SUBSTITUTE(SUBSTITUTE(SUBSTITUTE(SUBSTITUTE(SUBSTITUTE(LOWER(W151&amp;""),"1","0"),"2","0"),"3","0"),"4","0"),"5","0"),"6","0"),"7","0"),"8","0"),"9","0")</f>
        <v/>
      </c>
      <c r="BP151" s="61" t="str">
        <f aca="false">SUBSTITUTE(SUBSTITUTE(SUBSTITUTE(SUBSTITUTE(SUBSTITUTE(SUBSTITUTE(SUBSTITUTE(SUBSTITUTE(SUBSTITUTE(SUBSTITUTE(SUBSTITUTE(SUBSTITUTE(SUBSTITUTE(SUBSTITUTE(SUBSTITUTE(SUBSTITUTE(SUBSTITUTE(SUBSTITUTE(SUBSTITUTE(SUBSTITUTE(SUBSTITUTE(SUBSTITUTE(SUBSTITUTE(SUBSTITUTE(SUBSTITUTE(BO151,"b","a"),"c","a"),"d","a"),"e","a"),"f","a"),"g","a"),"h","a"),"i","a"),"j","a"),"k","a"),"l","a"),"m","a"),"n","a"),"o","a"),"p","a"),"q","a"),"r","a"),"s","a"),"t","a"),"u","a"),"v","a"),"w","a"),"x","a"),"y","a"),"z","a")</f>
        <v/>
      </c>
      <c r="BQ151" s="61" t="n">
        <f aca="false">IFERROR(IF(AND(ISERROR(SEARCH(" mh"," "&amp;LOWER(W151))),ISNA(MATCH(LEFT(TRIM(BP151),255),{"0000a","000a","00a","0000aa","000aa","00aa","0aa","0000aaa","000aaa","00a00","0a00","0000-0000","00:00","a00","a0","00.00.0000","00/00/0000","00-00-0000","0000-00-00","0000/00/00","0000.00.00","00.00.00","00/00/00","00-00-00","0.00.0000","0/00/0000","0-00-0000"},0)),ISNA(MATCH(LEFT(TRIM(CA151),255),{"0000a","000a","00a","0000aa","000aa","00aa","0aa","0000aaa","000aaa","00a00","0a00","0000-0000","00:00","a00","a0","00.00.0000","00/00/0000","00-00-0000","0000-00-00","0000/00/00","0000.00.00","00.00.00","00/00/00","00-00-00","0.00.0000","0/00/0000","0-00-0000"},0)),LEN(CB151)&gt;=3,NOT(OR(SUBSTITUTE(CB151,"0","")="",AND(LEN(CB151)&gt;=4,CB151=REPT(LEFT(CB151),LEN(CB151))),ISNUMBER(MATCH(CB151,{"123","1234","12345","123456","1234567","12345678","0123","01234","012345","98765","987654","54321"},0)),AND(LEN(CB151)=8,LEFT(CB151,3)="202"))),OR(AND((LEN(CA151)-LEN(SUBSTITUTE(CA151,"a","")))&gt;=1,SUMPRODUCT(--ISNUMBER(SEARCH({"a0","a-0","a_0","a/0","a.0","a#0","0a","0-a","0_a","0/a"},BP151)))&gt;0),ISNUMBER(SEARCH("000000",BP151)))),1,0),0)</f>
        <v>0</v>
      </c>
      <c r="BR151" s="61" t="n">
        <f aca="false">IFERROR(LEN(SUBSTITUTE(CC151," ",""))-SUMPRODUCT((LEN(CC151)-LEN(SUBSTITUTE(CC151," "&amp;L_Role&amp;" "," ")))/(LEN(L_Role)+1)*LEN(L_Role)),0)</f>
        <v>0</v>
      </c>
      <c r="BS151" s="61" t="n">
        <f aca="false">IFERROR(LEN(SUBSTITUTE(CD151," ",""))-SUMPRODUCT((LEN(CD151)-LEN(SUBSTITUTE(CD151," "&amp;L_Role&amp;" "," ")))/(LEN(L_Role)+1)*LEN(L_Role)),0)</f>
        <v>0</v>
      </c>
      <c r="BT1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151,"revision",""),"version",""),"jan",""),"feb",""),"mar",""),"apr",""),"may",""),"jun",""),"jul",""),"aug",""),"sep",""),"oct",""),"nov",""),"dec",""),"utc",""),"gmt",""),"myt",""),"bst",""),"rev",""),"ver",""),"b","a"),"c","a"),"d","a"),"e","a"),"f","a"),"g","a"),"h","a"),"i","a"),"j","a"),"k","a"),"l","a"),"m","a"),"n","a"),"o","a"),"p","a"),"q","a"),"r","a"),"s","a"),"t","a"),"u","a"),"v","a"),"w","a"),"x","a"),"y","a"),"z","a")</f>
        <v/>
      </c>
      <c r="BU151" s="61" t="str">
        <f aca="false">SUBSTITUTE(SUBSTITUTE(SUBSTITUTE(SUBSTITUTE(SUBSTITUTE(SUBSTITUTE(SUBSTITUTE(SUBSTITUTE(SUBSTITUTE(SUBSTITUTE(LEFT(BM151,FIND("0",BM151&amp;"0")-1),"-",""),"_",""),"/",""),".",""),"#",""),"\\",""),":","")," ",""),"(",""),")","")</f>
        <v/>
      </c>
      <c r="BV151" s="61" t="n">
        <f aca="false">0</f>
        <v>0</v>
      </c>
      <c r="BW1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151&amp;""),"a",""),"b",""),"c",""),"d",""),"e",""),"f",""),"g",""),"h",""),"i",""),"j",""),"k",""),"l",""),"m",""),"n",""),"o",""),"p",""),"q",""),"r",""),"s",""),"t",""),"u",""),"v",""),"w",""),"x",""),"y",""),"z",""),"-",""),"_",""),"/",""),".",""),"#",""),"\\",""),":","")," ",""),"(",""),")","")</f>
        <v/>
      </c>
      <c r="BX151" s="61" t="str">
        <f aca="false">SUBSTITUTE(SUBSTITUTE(SUBSTITUTE(SUBSTITUTE(SUBSTITUTE(SUBSTITUTE(SUBSTITUTE(SUBSTITUTE(SUBSTITUTE(SUBSTITUTE(SUBSTITUTE(BM151,"0",""),"-",""),"_",""),"/",""),".",""),"#",""),"\\",""),":","")," ",""),"(",""),")","")</f>
        <v/>
      </c>
      <c r="BY151" s="62" t="n">
        <f aca="false">Q151-T12EarlyH/24</f>
        <v>46309.0451388889</v>
      </c>
      <c r="BZ151" s="61" t="n">
        <f aca="false">IFERROR(IF(IF(TRIM(S151)="Link / file path",AND(LEN(TRIM(Z151))&gt;=5,SUMPRODUCT(--ISNUMBER(SEARCH({"http","www.","\\",":\",".pdf",".jpg",".jpeg",".png",".heic",".xls",".doc",".msg",".eml",".ppt",".txt",".zip"},Z151)))&gt;0),AND(ISERROR(FIND(" ",TRIM(Z151))),NOT(OR(SUMPRODUCT(--ISNUMBER(FIND({",",";","&amp;","+"},Z151)))&gt;0,SUMPRODUCT(--ISNUMBER(SEARCH({"0/aa","0\\aa"},BN151)))&gt;0)),NOT(SUMPRODUCT(--ISNUMBER(SEARCH({"http","www.","\\",":\",".pdf",".jpg",".jpeg",".png",".heic",".xls",".doc",".msg",".eml",".ppt",".txt",".zip"},Z151)))&gt;0),NOT(LOWER(TRIM(Z151))=LOWER(Flights!$F$9)),ISNA(MATCH(BU151,{"mh","rev","revision","ver","version","v","r","a","b","seat","tray","row","gate","bay","stand","page","pg","item","line","no","cart","galley","flight","flt","table","box","bag","oven","etd","eta","std","sta","atd","ata","qty","pax","x","time","tel","ph","mob","day","wk","week","utc","gmt","myt","lt"},0)),NOT(OR(ISNUMBER(MATCH(LEFT(BN151,255),{"0000a","000a","00a","0000aa","000aa","00aa","0aa","0000aaa","000aaa","00a00","0a00","0000-0000","00:00","a00","a0","00.00.0000","00/00/0000","00-00-0000","0000-00-00","0000/00/00","0000.00.00","00.00.00","00/00/00","00-00-00","0.00.0000","0/00/0000","0-00-0000"},0)),ISNUMBER(MATCH(LEFT(BT151,255),{"0000a","000a","00a","0000aa","000aa","00aa","0aa","0000aaa","000aaa","00a00","0a00","0000-0000","00:00","a00","a0","00.00.0000","00/00/0000","00-00-0000","0000-00-00","0000/00/00","0000.00.00","00.00.00","00/00/00","00-00-00","0.00.0000","0/00/0000","0-00-0000"},0)))),NOT(OR(AND(BW151&lt;&gt;"",SUBSTITUTE(BW151,"0","")=""),AND(LEN(BW151)&gt;=4,BW151=REPT(LEFT(BW151),LEN(BW151))),ISNUMBER(MATCH(BW151,{"123","1234","12345","123456","1234567","12345678","0123","01234","012345","98765","987654","54321"},0)),ISNUMBER(MATCH(BX151,{"x","xx","xxx","xxxx","xxxxx","abc","abcd","nil","na","nan","test","tbc","tba","tbd","dummy","sample","example","eg","zz","zzz","none","null","xyz","qwe","asd","id","ref"},0)),AND(LEN(BW151)=8,BX151="",OR(LEFT(BW151,3)="202",ISNUMBER(MATCH(RIGHT(BW151,4),{"2025","2026","2027"},0)))))),OR(AND((LEN(BT151)-LEN(SUBSTITUTE(BT151,"a","")))&gt;=1,(LEN(BN151)-LEN(SUBSTITUTE(BN151,"0","")))&gt;=2,SUMPRODUCT(--ISNUMBER(SEARCH({"a0","a-0","a_0","a/0","a.0","a#0","0a","0-a","0_a","0/a"},BN151)))&gt;0),AND((LEN(BN151)-LEN(SUBSTITUTE(BN151,"a","")))=0,(LEN(BN151)-LEN(SUBSTITUTE(BN151,"0","")))&gt;=5)))),1,0),0)</f>
        <v>0</v>
      </c>
      <c r="CA1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151,"revision",""),"version",""),"jan",""),"feb",""),"mar",""),"apr",""),"may",""),"jun",""),"jul",""),"aug",""),"sep",""),"oct",""),"nov",""),"dec",""),"utc",""),"gmt",""),"myt",""),"bst",""),"rev",""),"ver",""),"b","a"),"c","a"),"d","a"),"e","a"),"f","a"),"g","a"),"h","a"),"i","a"),"j","a"),"k","a"),"l","a"),"m","a"),"n","a"),"o","a"),"p","a"),"q","a"),"r","a"),"s","a"),"t","a"),"u","a"),"v","a"),"w","a"),"x","a"),"y","a"),"z","a")</f>
        <v/>
      </c>
      <c r="CB1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151&amp;""),"a",""),"b",""),"c",""),"d",""),"e",""),"f",""),"g",""),"h",""),"i",""),"j",""),"k",""),"l",""),"m",""),"n",""),"o",""),"p",""),"q",""),"r",""),"s",""),"t",""),"u",""),"v",""),"w",""),"x",""),"y",""),"z",""),"-",""),"_",""),"/",""),".",""),"#",""),"\\",""),":","")," ",""),"(",""),")","")</f>
        <v/>
      </c>
      <c r="CC151" s="0" t="str">
        <f aca="false">" "&amp;TRIM(SUBSTITUTE(SUBSTITUTE(SUBSTITUTE(SUBSTITUTE(SUBSTITUTE(SUBSTITUTE(SUBSTITUTE(SUBSTITUTE(SUBSTITUTE(SUBSTITUTE(SUBSTITUTE(SUBSTITUTE(SUBSTITUTE(SUBSTITUTE(SUBSTITUTE(SUBSTITUTE(SUBSTITUTE(SUBSTITUTE(SUBSTITUTE(SUBSTITUTE(SUBSTITUTE(SUBSTITUTE(SUBSTITUTE(SUBSTITUTE(LOWER(T151&amp;""),CHAR(10)," "),CHAR(13)," "),CHAR(9)," "),CHAR(160)," "),"."," "),","," "),"-"," "),"/"," "),"("," "),")"," "),":"," "),";"," "),"_"," "),"–"," "),"?"," "),"!"," "),"*"," "),"["," "),"]"," "),"'"," "),"#"," "),"+"," "),"&amp;"," "),"\"," "))&amp;" "</f>
        <v>  </v>
      </c>
      <c r="CD151" s="0" t="str">
        <f aca="false">" "&amp;TRIM(SUBSTITUTE(SUBSTITUTE(SUBSTITUTE(SUBSTITUTE(SUBSTITUTE(SUBSTITUTE(SUBSTITUTE(SUBSTITUTE(SUBSTITUTE(SUBSTITUTE(SUBSTITUTE(SUBSTITUTE(SUBSTITUTE(SUBSTITUTE(SUBSTITUTE(SUBSTITUTE(SUBSTITUTE(SUBSTITUTE(SUBSTITUTE(SUBSTITUTE(SUBSTITUTE(SUBSTITUTE(SUBSTITUTE(SUBSTITUTE(LOWER(AE151&amp;""),CHAR(10)," "),CHAR(13)," "),CHAR(9)," "),CHAR(160)," "),"."," "),","," "),"-"," "),"/"," "),"("," "),")"," "),":"," "),";"," "),"_"," "),"–"," "),"?"," "),"!"," "),"*"," "),"["," "),"]"," "),"'"," "),"#"," "),"+"," "),"&amp;"," "),"\"," "))&amp;" "</f>
        <v>  </v>
      </c>
      <c r="CE151" s="68" t="n">
        <f aca="false">IFERROR(IF(AND(LEN(AU151)&gt;0,LEN(AU151)=LEN(AX151),OR(TRIM(MID(SUBSTITUTE(TRIM(CC151)," ",REPT(" ",60)),1,60))="",ISNUMBER(SEARCH(" "&amp;TRIM(MID(SUBSTITUTE(TRIM(CC151)," ",REPT(" ",60)),1,60))&amp;" ",CD151))),OR(TRIM(MID(SUBSTITUTE(TRIM(CC151)," ",REPT(" ",60)),61,60))="",ISNUMBER(SEARCH(" "&amp;TRIM(MID(SUBSTITUTE(TRIM(CC151)," ",REPT(" ",60)),61,60))&amp;" ",CD151))),OR(TRIM(MID(SUBSTITUTE(TRIM(CC151)," ",REPT(" ",60)),121,60))="",ISNUMBER(SEARCH(" "&amp;TRIM(MID(SUBSTITUTE(TRIM(CC151)," ",REPT(" ",60)),121,60))&amp;" ",CD151)))),1,0),0)</f>
        <v>0</v>
      </c>
      <c r="CG151" s="68" t="n">
        <f aca="false">IFERROR(LEN(SUBSTITUTE(BF151," ",""))-SUMPRODUCT((LEN(BF151)-LEN(SUBSTITUTE(BF151," "&amp;L_NAFiller&amp;" "," ")))/(LEN(L_NAFiller)+1)*LEN(L_NAFiller)),0)</f>
        <v>0</v>
      </c>
    </row>
    <row r="152" customFormat="false" ht="39.75" hidden="false" customHeight="true" outlineLevel="0" collapsed="false">
      <c r="A152" s="57" t="s">
        <v>681</v>
      </c>
      <c r="B152" s="57" t="s">
        <v>228</v>
      </c>
      <c r="C152" s="57" t="str">
        <f aca="false">Flights!$F$9</f>
        <v>MH0089</v>
      </c>
      <c r="D152" s="58" t="n">
        <f aca="false">Flights!$D$9</f>
        <v>46310</v>
      </c>
      <c r="E152" s="57" t="str">
        <f aca="false">Flights!$G$9&amp;"-"&amp;Flights!$H$9</f>
        <v>NRT-KUL</v>
      </c>
      <c r="F152" s="57" t="str">
        <f aca="false">Flights!$K$9</f>
        <v>EY</v>
      </c>
      <c r="G152" s="57" t="s">
        <v>420</v>
      </c>
      <c r="H152" s="57" t="s">
        <v>378</v>
      </c>
      <c r="I152" s="57" t="s">
        <v>428</v>
      </c>
      <c r="J152" s="57" t="s">
        <v>433</v>
      </c>
      <c r="K152" s="67"/>
      <c r="L152" s="67" t="s">
        <v>422</v>
      </c>
      <c r="M152" s="67"/>
      <c r="N152" s="67" t="s">
        <v>383</v>
      </c>
      <c r="O152" s="67" t="s">
        <v>423</v>
      </c>
      <c r="P152" s="57" t="s">
        <v>220</v>
      </c>
      <c r="Q152" s="59" t="n">
        <f aca="false">ROUND((Flights!$AE$9)*1440,0)/1440</f>
        <v>46309.5451388889</v>
      </c>
      <c r="R152" s="59" t="n">
        <f aca="false">Q152+(IF(AND(INDEX(TZ_DSTS,MATCH(P152,TZ_STN,0))&lt;&gt;"",Q152&gt;=INDEX(TZ_DSTS,MATCH(P152,TZ_STN,0)),Q152&lt;INDEX(TZ_DSTE,MATCH(P152,TZ_STN,0))),INDEX(TZ_DST,MATCH(P152,TZ_STN,0)),INDEX(TZ_STD,MATCH(P152,TZ_STN,0))))/24</f>
        <v>46309.9201388889</v>
      </c>
      <c r="S152" s="60"/>
      <c r="T152" s="60"/>
      <c r="U152" s="60"/>
      <c r="V152" s="60"/>
      <c r="W152" s="61"/>
      <c r="X152" s="60"/>
      <c r="Y152" s="60"/>
      <c r="Z152" s="60"/>
      <c r="AA152" s="60"/>
      <c r="AB152" s="60"/>
      <c r="AC152" s="60"/>
      <c r="AD152" s="66"/>
      <c r="AE152" s="60"/>
      <c r="AF152" s="61" t="str">
        <f aca="false">IF(AND(ISNUMBER(X152),ISNUMBER(Y152)),Y152-X152,"")</f>
        <v/>
      </c>
      <c r="AG152" s="62" t="str">
        <f aca="false">IF(ISNUMBER(AD152),AD152-(IF(AND(INDEX(TZ_DSTS,MATCH(P152,TZ_STN,0))&lt;&gt;"",(AD152-INDEX(TZ_STD,MATCH(P152,TZ_STN,0))/24)&gt;=INDEX(TZ_DSTS,MATCH(P152,TZ_STN,0)),(AD152-INDEX(TZ_STD,MATCH(P152,TZ_STN,0))/24)&lt;INDEX(TZ_DSTE,MATCH(P152,TZ_STN,0))),INDEX(TZ_DST,MATCH(P152,TZ_STN,0)),INDEX(TZ_STD,MATCH(P152,TZ_STN,0))))/24,"")</f>
        <v/>
      </c>
      <c r="AH152" s="65" t="str">
        <f aca="false">IFERROR(IF(N152="N/A – rule",IF(OR(TRIM(U152)="",TRIM(U152)="N/A",TRIM(U152)="Not started"),"N/A – RULE","INVALID – this check does not apply to this aircraft: clear the status (or correct the fleet on Flights)"),IF(TRIM(U152)="N/A",IF(AT152=0,"INVALID – N/A not permitted for this check",IF(AND(TRIM(AB152)&lt;&gt;"",TRIM(AB152)&lt;&gt;"Closed"),"INVALID – corrective action still open",IF(AND(NOT(OR(LEN(AZ152)&lt;15,ISNUMBER(MATCH(AZ152,L_Placeholder,0)))),BK152=0,CG152&gt;=8,NOT(OR(LEN(AU152)&lt;2,ISNUMBER(MATCH(AU152,L_Placeholder,0)))),BR152&gt;=3,NOT(OR(LEN(AX152)&lt;2,ISNUMBER(MATCH(AX152,L_Placeholder,0)))),BS152&gt;=3,TRIM(AE152)&lt;&gt;TRIM(T152),AX152&lt;&gt;AU152,CE152=0),"N/A – JUSTIFIED","INVALID – N/A needs a real, settled reason (not 'not applicable' / 'as above' / TBC), a named PIC and a different named verifier"))),IF(OR(TRIM(U152)="Pass",TRIM(U152)="Pass after CA"),IF(NOT(ISNUMBER(AD152)),"INVALID – completion time missing",IF(OR(OR(LEN(AU152)&lt;2,ISNUMBER(MATCH(AU152,L_Placeholder,0))),BR152&lt;3),"INVALID – PIC missing or not a named person (a role such as QA / CSM is not a name)",IF(OR(LEN(AV152)&lt;2,ISNUMBER(MATCH(AV152,L_Placeholder,0))),"INVALID – result / assessment missing",IF(OR(OR(LEN(AW152)&lt;3,ISNUMBER(MATCH(AW152,L_Placeholder,0))),SUMPRODUCT(--ISNUMBER(SEARCH(" "&amp;L_EvidencePhrase&amp;" ",BD152)))&gt;0,BI152=1),"INVALID – evidence missing, placeholder or not yet on file",IF(ISNA(MATCH(TRIM(S152),L_EvidenceType,0)),"INVALID – choose the evidence type from the list (column S)",IF(BL152=0,"INVALID – evidence ID must be the record's own ID only (e.g. SF-2210, IMG_2231, 1045521); a link / file name needs type 'Link / file path'",IF(OR(OR(LEN(AX152)&lt;2,ISNUMBER(MATCH(AX152,L_Placeholder,0))),BS152&lt;3),"INVALID – verifier missing or not a named person (a role such as QA / CSM is not a name)",IF(OR(AX152=AU152,CE152=1,AND(LEN(AU152)&gt;=4,ISNUMBER(SEARCH(AU152,AX152))),AND(LEN(AX152)&gt;=4,ISNUMBER(SEARCH(AX152,AU152)))),"INVALID – verifier must be a different, named person (not the PIC or a role)",IF(BH152=1,"INVALID – result not yet available (awaiting / TBC)",IF(BG152=1,"INVALID – result describes a problem: record Fail, then Pass after CA (or reword if it is not a problem)",IF(BV152=1,"INVALID – wording says not on board: an on-board confirmation needs the item loaded",IF(AND(AQ152=1,OR(OR(LEN(AY152)&lt;3,ISNUMBER(MATCH(AY152,L_Placeholder,0))),BJ152=1,BQ152=0)),"INVALID – batch ID missing, placeholder or not an ID (e.g. PASB-261008-BC-017)",IF(AND(AR152=1,OR(NOT(ISNUMBER(X152)),NOT(ISNUMBER(Y152)))),"INVALID – expected/actual qty missing",IF(AND(AR152=1,OR(X152&lt;=0,Y152&lt;0)),"INVALID – expected qty must be above 0 and actual not negative",IF(BB152&lt;&gt;"",BB152,IF(AND(AS152=1,Documents!$J$9&lt;&gt;"ON FILE"),"INVALID – GLD not on file (Documents sheet)",IF(AND(AS152=2,Documents!$O$9&lt;&gt;"ON FILE"),"INVALID – menu checklist not on file (Documents sheet)",IF(AND(AS152=3,NOT(ISNUMBER(Flights!$AX$9))),"INVALID – enter carrying flight KUL departure (Flights AX)",IF(AND(AS152=3,OR(Flights!$AZ$9&gt;Flights!$AA$9,Flights!$AX$9&lt;Flights!$AA$9-3)),"INVALID – carrying flight (Flights AX) cannot arrive before this leg's STD, or is over 3 days early",IF(AG152&gt;AsOfUTC,"INVALID – completion time is in the future",IF(AND(ISNUMBER(BY152),AG152&lt;BY152),IF(H152="Physical uplift","INVALID – before uplift window (cannot confirm loading)","INVALID – before valid window"),IF(AG152&gt;Flights!$AA$9,"INVALID – completed after departure (cannot establish readiness)",IF(AND(H152="Preparation",AG152&gt;=IF(ISNUMBER(Flights!$BA$9),MIN(Flights!$BA$9,Flights!$AA$9),Flights!$AA$9)),"INVALID – completed after loading / departure (cannot establish readiness)",IF(AND(H152="Physical uplift",AG152&gt;Q152),"INVALID – recorded after the loading flight departed",IF(AG152&gt;Q152,"COMPLETE – LATE","COMPLETE"))))))))))))))))))))))))),IF(TRIM(U152)="Fail","FAIL – DISCREPANCY",IF(AND(TRIM(U152)&lt;&gt;"",TRIM(U152)&lt;&gt;"Not started",TRIM(U152)&lt;&gt;"In progress"),"INVALID – unrecognised status (use the list)",IF(AsOfUTC&gt;Q152,"OVERDUE",IF(N152="Clarification required","OPEN – CLARIFICATION","OPEN"))))))),"INVALID – error value in an input cell")</f>
        <v>OPEN</v>
      </c>
      <c r="AI152" s="61" t="n">
        <f aca="false">IF(OR(AH152="N/A – RULE",AH152="N/A – JUSTIFIED"),0,1)</f>
        <v>1</v>
      </c>
      <c r="AJ152" s="61" t="n">
        <f aca="false">IF(LEFT(AH152,8)="COMPLETE",1,0)</f>
        <v>0</v>
      </c>
      <c r="AK152" s="61" t="n">
        <f aca="false">IF(AND(AI152=1,AJ152=0,AsOfUTC&gt;Q152),1,0)</f>
        <v>0</v>
      </c>
      <c r="AL152" s="61" t="n">
        <f aca="false">IFERROR(IF(AND(AI152=1,OR(TRIM(U152)="Fail",AND(TRIM(AB152)&lt;&gt;"",TRIM(AB152)&lt;&gt;"Closed"),AND(ISNUMBER(AF152),AF152&lt;&gt;0,TRIM(U152)&lt;&gt;"Pass after CA"))),1,0),1)</f>
        <v>0</v>
      </c>
      <c r="AM152" s="61" t="n">
        <f aca="false">IF(LEFT(AH152,7)="INVALID",1,0)</f>
        <v>0</v>
      </c>
      <c r="AN152" s="61" t="n">
        <f aca="false">IF(AND(N152="Clarification required",AI152=1,AJ152=0),1,0)</f>
        <v>0</v>
      </c>
      <c r="AO152" s="61" t="str">
        <f aca="false">IF(AK152=1,SUM(AK$5:AK152),"")</f>
        <v/>
      </c>
      <c r="AP152" s="61" t="str">
        <f aca="false">IF(AL152=1,SUM(AL$5:AL152),"")</f>
        <v/>
      </c>
      <c r="AQ152" s="61" t="n">
        <v>0</v>
      </c>
      <c r="AR152" s="61" t="n">
        <v>0</v>
      </c>
      <c r="AS152" s="61" t="n">
        <v>0</v>
      </c>
      <c r="AT152" s="61" t="n">
        <v>0</v>
      </c>
      <c r="AU152" s="61" t="str">
        <f aca="false">SUBSTITUTE(SUBSTITUTE(SUBSTITUTE(SUBSTITUTE(SUBSTITUTE(SUBSTITUTE(SUBSTITUTE(SUBSTITUTE(SUBSTITUTE(SUBSTITUTE(SUBSTITUTE(SUBSTITUTE(SUBSTITUTE(SUBSTITUTE(SUBSTITUTE(SUBSTITUTE(LOWER(T152&amp;""),CHAR(10),""),CHAR(13),""),CHAR(9),""),CHAR(160),"")," ",""),".",""),"-",""),"/",""),"?",""),"_",""),",",""),"[",""),"]",""),"(",""),")",""),"*","")</f>
        <v/>
      </c>
      <c r="AV152" s="61" t="str">
        <f aca="false">SUBSTITUTE(SUBSTITUTE(SUBSTITUTE(SUBSTITUTE(SUBSTITUTE(SUBSTITUTE(SUBSTITUTE(SUBSTITUTE(SUBSTITUTE(SUBSTITUTE(SUBSTITUTE(SUBSTITUTE(SUBSTITUTE(SUBSTITUTE(SUBSTITUTE(SUBSTITUTE(LOWER(V152&amp;""),CHAR(10),""),CHAR(13),""),CHAR(9),""),CHAR(160),"")," ",""),".",""),"-",""),"/",""),"?",""),"_",""),",",""),"[",""),"]",""),"(",""),")",""),"*","")</f>
        <v/>
      </c>
      <c r="AW152" s="61" t="str">
        <f aca="false">SUBSTITUTE(SUBSTITUTE(SUBSTITUTE(SUBSTITUTE(SUBSTITUTE(SUBSTITUTE(SUBSTITUTE(SUBSTITUTE(SUBSTITUTE(SUBSTITUTE(SUBSTITUTE(SUBSTITUTE(SUBSTITUTE(SUBSTITUTE(SUBSTITUTE(SUBSTITUTE(LOWER(Z152&amp;""),CHAR(10),""),CHAR(13),""),CHAR(9),""),CHAR(160),"")," ",""),".",""),"-",""),"/",""),"?",""),"_",""),",",""),"[",""),"]",""),"(",""),")",""),"*","")</f>
        <v/>
      </c>
      <c r="AX152" s="61" t="str">
        <f aca="false">SUBSTITUTE(SUBSTITUTE(SUBSTITUTE(SUBSTITUTE(SUBSTITUTE(SUBSTITUTE(SUBSTITUTE(SUBSTITUTE(SUBSTITUTE(SUBSTITUTE(SUBSTITUTE(SUBSTITUTE(SUBSTITUTE(SUBSTITUTE(SUBSTITUTE(SUBSTITUTE(LOWER(AE152&amp;""),CHAR(10),""),CHAR(13),""),CHAR(9),""),CHAR(160),"")," ",""),".",""),"-",""),"/",""),"?",""),"_",""),",",""),"[",""),"]",""),"(",""),")",""),"*","")</f>
        <v/>
      </c>
      <c r="AY152" s="61" t="str">
        <f aca="false">SUBSTITUTE(SUBSTITUTE(SUBSTITUTE(SUBSTITUTE(SUBSTITUTE(SUBSTITUTE(SUBSTITUTE(SUBSTITUTE(SUBSTITUTE(SUBSTITUTE(SUBSTITUTE(SUBSTITUTE(SUBSTITUTE(SUBSTITUTE(SUBSTITUTE(SUBSTITUTE(LOWER(W152&amp;""),CHAR(10),""),CHAR(13),""),CHAR(9),""),CHAR(160),"")," ",""),".",""),"-",""),"/",""),"?",""),"_",""),",",""),"[",""),"]",""),"(",""),")",""),"*","")</f>
        <v/>
      </c>
      <c r="AZ152" s="61" t="str">
        <f aca="false">SUBSTITUTE(SUBSTITUTE(SUBSTITUTE(SUBSTITUTE(SUBSTITUTE(SUBSTITUTE(SUBSTITUTE(SUBSTITUTE(SUBSTITUTE(SUBSTITUTE(SUBSTITUTE(SUBSTITUTE(SUBSTITUTE(SUBSTITUTE(SUBSTITUTE(SUBSTITUTE(LOWER(AC152&amp;""),CHAR(10),""),CHAR(13),""),CHAR(9),""),CHAR(160),"")," ",""),".",""),"-",""),"/",""),"?",""),"_",""),",",""),"[",""),"]",""),"(",""),")",""),"*","")</f>
        <v/>
      </c>
      <c r="BA152" s="61" t="str">
        <f aca="false">SUBSTITUTE(SUBSTITUTE(SUBSTITUTE(SUBSTITUTE(SUBSTITUTE(SUBSTITUTE(SUBSTITUTE(SUBSTITUTE(SUBSTITUTE(SUBSTITUTE(SUBSTITUTE(SUBSTITUTE(SUBSTITUTE(SUBSTITUTE(SUBSTITUTE(SUBSTITUTE(LOWER(AA152&amp;""),CHAR(10),""),CHAR(13),""),CHAR(9),""),CHAR(160),"")," ",""),".",""),"-",""),"/",""),"?",""),"_",""),",",""),"[",""),"]",""),"(",""),")",""),"*","")</f>
        <v/>
      </c>
      <c r="BB152" s="61" t="str">
        <f aca="false">IF(AND(TRIM(U152)="Pass",ISNUMBER(AF152)),IF(AF152&lt;&gt;0,"INVALID – qty variance: use Fail or Pass after CA",""),"")&amp;IF(AND(TRIM(U152)="Pass after CA",ISNUMBER(AF152)),IF(AF152&lt;&gt;0,"INVALID – after the corrective action the actual qty must equal expected (update Actual)",""),"")&amp;IF(AND(TRIM(U152)="Pass",TRIM(AB152)&lt;&gt;"",TRIM(AB152)&lt;&gt;"Closed"),"INVALID – corrective action not closed: use Fail, then Pass after CA","")&amp;IF(AND(LEN(BA152)&gt;=2,ISNA(MATCH(LEFT(BA152,255),L_Placeholder,0)),TRIM(AB152)=""),"INVALID – CA status missing for the recorded corrective action","")&amp;IF(AND(TRIM(U152)="Pass after CA",OR(OR(LEN(BA152)&lt;5,ISNUMBER(MATCH(BA152,L_Placeholder,0))),TRIM(AB152)&lt;&gt;"Closed")),"INVALID – corrective action not recorded/closed","")</f>
        <v/>
      </c>
      <c r="BC152" s="61" t="str">
        <f aca="false">" "&amp;TRIM(SUBSTITUTE(SUBSTITUTE(SUBSTITUTE(SUBSTITUTE(SUBSTITUTE(SUBSTITUTE(SUBSTITUTE(SUBSTITUTE(SUBSTITUTE(SUBSTITUTE(SUBSTITUTE(SUBSTITUTE(SUBSTITUTE(SUBSTITUTE(SUBSTITUTE(SUBSTITUTE(SUBSTITUTE(SUBSTITUTE(SUBSTITUTE(SUBSTITUTE(SUBSTITUTE(SUBSTITUTE(SUBSTITUTE(SUBSTITUTE(LOWER(V152&amp;""),CHAR(10)," "),CHAR(13)," "),CHAR(9)," "),CHAR(160)," "),"."," "),","," "),"-"," "),"/"," "),"("," "),")"," "),":"," "),";"," "),"_"," "),"–"," "),"?"," "),"!"," "),"*"," "),"["," "),"]"," "),"'"," "),"#"," "),"+"," "),"&amp;"," "),"\"," "))&amp;" "</f>
        <v>  </v>
      </c>
      <c r="BD152" s="61" t="str">
        <f aca="false">" "&amp;TRIM(SUBSTITUTE(SUBSTITUTE(SUBSTITUTE(SUBSTITUTE(SUBSTITUTE(SUBSTITUTE(SUBSTITUTE(SUBSTITUTE(SUBSTITUTE(SUBSTITUTE(SUBSTITUTE(SUBSTITUTE(SUBSTITUTE(SUBSTITUTE(SUBSTITUTE(SUBSTITUTE(SUBSTITUTE(SUBSTITUTE(SUBSTITUTE(SUBSTITUTE(SUBSTITUTE(SUBSTITUTE(SUBSTITUTE(SUBSTITUTE(LOWER(Z152&amp;""),CHAR(10)," "),CHAR(13)," "),CHAR(9)," "),CHAR(160)," "),"."," "),","," "),"-"," "),"/"," "),"("," "),")"," "),":"," "),";"," "),"_"," "),"–"," "),"?"," "),"!"," "),"*"," "),"["," "),"]"," "),"'"," "),"#"," "),"+"," "),"&amp;"," "),"\"," "))&amp;" "</f>
        <v>  </v>
      </c>
      <c r="BE152" s="61" t="str">
        <f aca="false">" "&amp;TRIM(SUBSTITUTE(SUBSTITUTE(SUBSTITUTE(SUBSTITUTE(SUBSTITUTE(SUBSTITUTE(SUBSTITUTE(SUBSTITUTE(SUBSTITUTE(SUBSTITUTE(SUBSTITUTE(SUBSTITUTE(SUBSTITUTE(SUBSTITUTE(SUBSTITUTE(SUBSTITUTE(SUBSTITUTE(SUBSTITUTE(SUBSTITUTE(SUBSTITUTE(SUBSTITUTE(SUBSTITUTE(SUBSTITUTE(SUBSTITUTE(LOWER(W152&amp;""),CHAR(10)," "),CHAR(13)," "),CHAR(9)," "),CHAR(160)," "),"."," "),","," "),"-"," "),"/"," "),"("," "),")"," "),":"," "),";"," "),"_"," "),"–"," "),"?"," "),"!"," "),"*"," "),"["," "),"]"," "),"'"," "),"#"," "),"+"," "),"&amp;"," "),"\"," "))&amp;" "</f>
        <v>  </v>
      </c>
      <c r="BF152" s="61" t="str">
        <f aca="false">" "&amp;TRIM(SUBSTITUTE(SUBSTITUTE(SUBSTITUTE(SUBSTITUTE(SUBSTITUTE(SUBSTITUTE(SUBSTITUTE(SUBSTITUTE(SUBSTITUTE(SUBSTITUTE(SUBSTITUTE(SUBSTITUTE(SUBSTITUTE(SUBSTITUTE(SUBSTITUTE(SUBSTITUTE(SUBSTITUTE(SUBSTITUTE(SUBSTITUTE(SUBSTITUTE(SUBSTITUTE(SUBSTITUTE(SUBSTITUTE(SUBSTITUTE(LOWER(AC152&amp;""),CHAR(10)," "),CHAR(13)," "),CHAR(9)," "),CHAR(160)," "),"."," "),","," "),"-"," "),"/"," "),"("," "),")"," "),":"," "),";"," "),"_"," "),"–"," "),"?"," "),"!"," "),"*"," "),"["," "),"]"," "),"'"," "),"#"," "),"+"," "),"&amp;"," "),"\"," "))&amp;" "</f>
        <v>  </v>
      </c>
      <c r="BG152" s="61" t="n">
        <f aca="false">IFERROR(IF(AND(TRIM(U152)="Pass",SUMPRODUCT((LEN(BC152)-LEN(SUBSTITUTE(BC152," "&amp;L_ResultBad&amp;" "," ")))/(LEN(L_ResultBad)+1))&gt;SUMPRODUCT((LEN(BC152)-LEN(SUBSTITUTE(BC152," "&amp;L_NegPhrase&amp;" "," ")))/(LEN(L_NegPhrase)+1))),1,0),0)</f>
        <v>0</v>
      </c>
      <c r="BH152" s="61" t="n">
        <f aca="false">IFERROR(IF(SUMPRODUCT((LEN(BC152)-LEN(SUBSTITUTE(BC152," "&amp;L_Pending&amp;" "," ")))/(LEN(L_Pending)+1))&gt;SUMPRODUCT((LEN(BC152)-LEN(SUBSTITUTE(BC152," "&amp;L_PendNeg&amp;" "," ")))/(LEN(L_PendNeg)+1))+SUMPRODUCT((LEN(BC152)-LEN(SUBSTITUTE(BC152," "&amp;L_PendPrep&amp;" "," ")))/(LEN(L_PendPrep)+1)),1,0),1)</f>
        <v>0</v>
      </c>
      <c r="BI152" s="61" t="n">
        <f aca="false">IFERROR(IF(SUMPRODUCT((LEN(BD152)-LEN(SUBSTITUTE(BD152," "&amp;L_PendStrict&amp;" "," ")))/(LEN(L_PendStrict)+1))&gt;SUMPRODUCT((LEN(BD152)-LEN(SUBSTITUTE(BD152," "&amp;L_PendNeg&amp;" "," ")))/(LEN(L_PendNeg)+1)),1,0),1)</f>
        <v>0</v>
      </c>
      <c r="BJ152" s="61" t="n">
        <f aca="false">IFERROR(IF(SUMPRODUCT((LEN(BE152)-LEN(SUBSTITUTE(BE152," "&amp;L_Pending&amp;" "," ")))/(LEN(L_Pending)+1))&gt;SUMPRODUCT((LEN(BE152)-LEN(SUBSTITUTE(BE152," "&amp;L_PendNeg&amp;" "," ")))/(LEN(L_PendNeg)+1))+SUMPRODUCT((LEN(BE152)-LEN(SUBSTITUTE(BE152," "&amp;L_PendPrep&amp;" "," ")))/(LEN(L_PendPrep)+1)),1,0),1)</f>
        <v>0</v>
      </c>
      <c r="BK152" s="61" t="n">
        <f aca="false">IFERROR(IF(SUMPRODUCT((LEN(BF152)-LEN(SUBSTITUTE(BF152," "&amp;L_PendStrict&amp;" "," ")))/(LEN(L_PendStrict)+1))&gt;SUMPRODUCT((LEN(BF152)-LEN(SUBSTITUTE(BF152," "&amp;L_PendNeg&amp;" "," ")))/(LEN(L_PendNeg)+1)),1,0),1)</f>
        <v>0</v>
      </c>
      <c r="BL152" s="61" t="n">
        <f aca="false">IF(ISNA(MATCH(TRIM(S152),L_EvidenceType,0)),0,BZ152)</f>
        <v>0</v>
      </c>
      <c r="BM152" s="61" t="str">
        <f aca="false">SUBSTITUTE(SUBSTITUTE(SUBSTITUTE(SUBSTITUTE(SUBSTITUTE(SUBSTITUTE(SUBSTITUTE(SUBSTITUTE(SUBSTITUTE(LOWER(Z152&amp;""),"1","0"),"2","0"),"3","0"),"4","0"),"5","0"),"6","0"),"7","0"),"8","0"),"9","0")</f>
        <v/>
      </c>
      <c r="BN152" s="61" t="str">
        <f aca="false">SUBSTITUTE(SUBSTITUTE(SUBSTITUTE(SUBSTITUTE(SUBSTITUTE(SUBSTITUTE(SUBSTITUTE(SUBSTITUTE(SUBSTITUTE(SUBSTITUTE(SUBSTITUTE(SUBSTITUTE(SUBSTITUTE(SUBSTITUTE(SUBSTITUTE(SUBSTITUTE(SUBSTITUTE(SUBSTITUTE(SUBSTITUTE(SUBSTITUTE(SUBSTITUTE(SUBSTITUTE(SUBSTITUTE(SUBSTITUTE(SUBSTITUTE(BM152,"b","a"),"c","a"),"d","a"),"e","a"),"f","a"),"g","a"),"h","a"),"i","a"),"j","a"),"k","a"),"l","a"),"m","a"),"n","a"),"o","a"),"p","a"),"q","a"),"r","a"),"s","a"),"t","a"),"u","a"),"v","a"),"w","a"),"x","a"),"y","a"),"z","a")</f>
        <v/>
      </c>
      <c r="BO152" s="61" t="str">
        <f aca="false">SUBSTITUTE(SUBSTITUTE(SUBSTITUTE(SUBSTITUTE(SUBSTITUTE(SUBSTITUTE(SUBSTITUTE(SUBSTITUTE(SUBSTITUTE(LOWER(W152&amp;""),"1","0"),"2","0"),"3","0"),"4","0"),"5","0"),"6","0"),"7","0"),"8","0"),"9","0")</f>
        <v/>
      </c>
      <c r="BP152" s="61" t="str">
        <f aca="false">SUBSTITUTE(SUBSTITUTE(SUBSTITUTE(SUBSTITUTE(SUBSTITUTE(SUBSTITUTE(SUBSTITUTE(SUBSTITUTE(SUBSTITUTE(SUBSTITUTE(SUBSTITUTE(SUBSTITUTE(SUBSTITUTE(SUBSTITUTE(SUBSTITUTE(SUBSTITUTE(SUBSTITUTE(SUBSTITUTE(SUBSTITUTE(SUBSTITUTE(SUBSTITUTE(SUBSTITUTE(SUBSTITUTE(SUBSTITUTE(SUBSTITUTE(BO152,"b","a"),"c","a"),"d","a"),"e","a"),"f","a"),"g","a"),"h","a"),"i","a"),"j","a"),"k","a"),"l","a"),"m","a"),"n","a"),"o","a"),"p","a"),"q","a"),"r","a"),"s","a"),"t","a"),"u","a"),"v","a"),"w","a"),"x","a"),"y","a"),"z","a")</f>
        <v/>
      </c>
      <c r="BQ152" s="61" t="n">
        <f aca="false">IFERROR(IF(AND(ISERROR(SEARCH(" mh"," "&amp;LOWER(W152))),ISNA(MATCH(LEFT(TRIM(BP152),255),{"0000a","000a","00a","0000aa","000aa","00aa","0aa","0000aaa","000aaa","00a00","0a00","0000-0000","00:00","a00","a0","00.00.0000","00/00/0000","00-00-0000","0000-00-00","0000/00/00","0000.00.00","00.00.00","00/00/00","00-00-00","0.00.0000","0/00/0000","0-00-0000"},0)),ISNA(MATCH(LEFT(TRIM(CA152),255),{"0000a","000a","00a","0000aa","000aa","00aa","0aa","0000aaa","000aaa","00a00","0a00","0000-0000","00:00","a00","a0","00.00.0000","00/00/0000","00-00-0000","0000-00-00","0000/00/00","0000.00.00","00.00.00","00/00/00","00-00-00","0.00.0000","0/00/0000","0-00-0000"},0)),LEN(CB152)&gt;=3,NOT(OR(SUBSTITUTE(CB152,"0","")="",AND(LEN(CB152)&gt;=4,CB152=REPT(LEFT(CB152),LEN(CB152))),ISNUMBER(MATCH(CB152,{"123","1234","12345","123456","1234567","12345678","0123","01234","012345","98765","987654","54321"},0)),AND(LEN(CB152)=8,LEFT(CB152,3)="202"))),OR(AND((LEN(CA152)-LEN(SUBSTITUTE(CA152,"a","")))&gt;=1,SUMPRODUCT(--ISNUMBER(SEARCH({"a0","a-0","a_0","a/0","a.0","a#0","0a","0-a","0_a","0/a"},BP152)))&gt;0),ISNUMBER(SEARCH("000000",BP152)))),1,0),0)</f>
        <v>0</v>
      </c>
      <c r="BR152" s="61" t="n">
        <f aca="false">IFERROR(LEN(SUBSTITUTE(CC152," ",""))-SUMPRODUCT((LEN(CC152)-LEN(SUBSTITUTE(CC152," "&amp;L_Role&amp;" "," ")))/(LEN(L_Role)+1)*LEN(L_Role)),0)</f>
        <v>0</v>
      </c>
      <c r="BS152" s="61" t="n">
        <f aca="false">IFERROR(LEN(SUBSTITUTE(CD152," ",""))-SUMPRODUCT((LEN(CD152)-LEN(SUBSTITUTE(CD152," "&amp;L_Role&amp;" "," ")))/(LEN(L_Role)+1)*LEN(L_Role)),0)</f>
        <v>0</v>
      </c>
      <c r="BT1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152,"revision",""),"version",""),"jan",""),"feb",""),"mar",""),"apr",""),"may",""),"jun",""),"jul",""),"aug",""),"sep",""),"oct",""),"nov",""),"dec",""),"utc",""),"gmt",""),"myt",""),"bst",""),"rev",""),"ver",""),"b","a"),"c","a"),"d","a"),"e","a"),"f","a"),"g","a"),"h","a"),"i","a"),"j","a"),"k","a"),"l","a"),"m","a"),"n","a"),"o","a"),"p","a"),"q","a"),"r","a"),"s","a"),"t","a"),"u","a"),"v","a"),"w","a"),"x","a"),"y","a"),"z","a")</f>
        <v/>
      </c>
      <c r="BU152" s="61" t="str">
        <f aca="false">SUBSTITUTE(SUBSTITUTE(SUBSTITUTE(SUBSTITUTE(SUBSTITUTE(SUBSTITUTE(SUBSTITUTE(SUBSTITUTE(SUBSTITUTE(SUBSTITUTE(LEFT(BM152,FIND("0",BM152&amp;"0")-1),"-",""),"_",""),"/",""),".",""),"#",""),"\\",""),":","")," ",""),"(",""),")","")</f>
        <v/>
      </c>
      <c r="BV152" s="61" t="n">
        <f aca="false">0</f>
        <v>0</v>
      </c>
      <c r="BW1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152&amp;""),"a",""),"b",""),"c",""),"d",""),"e",""),"f",""),"g",""),"h",""),"i",""),"j",""),"k",""),"l",""),"m",""),"n",""),"o",""),"p",""),"q",""),"r",""),"s",""),"t",""),"u",""),"v",""),"w",""),"x",""),"y",""),"z",""),"-",""),"_",""),"/",""),".",""),"#",""),"\\",""),":","")," ",""),"(",""),")","")</f>
        <v/>
      </c>
      <c r="BX152" s="61" t="str">
        <f aca="false">SUBSTITUTE(SUBSTITUTE(SUBSTITUTE(SUBSTITUTE(SUBSTITUTE(SUBSTITUTE(SUBSTITUTE(SUBSTITUTE(SUBSTITUTE(SUBSTITUTE(SUBSTITUTE(BM152,"0",""),"-",""),"_",""),"/",""),".",""),"#",""),"\\",""),":","")," ",""),"(",""),")","")</f>
        <v/>
      </c>
      <c r="BY152" s="62" t="n">
        <f aca="false">Q152-T12EarlyH/24</f>
        <v>46309.0451388889</v>
      </c>
      <c r="BZ152" s="61" t="n">
        <f aca="false">IFERROR(IF(IF(TRIM(S152)="Link / file path",AND(LEN(TRIM(Z152))&gt;=5,SUMPRODUCT(--ISNUMBER(SEARCH({"http","www.","\\",":\",".pdf",".jpg",".jpeg",".png",".heic",".xls",".doc",".msg",".eml",".ppt",".txt",".zip"},Z152)))&gt;0),AND(ISERROR(FIND(" ",TRIM(Z152))),NOT(OR(SUMPRODUCT(--ISNUMBER(FIND({",",";","&amp;","+"},Z152)))&gt;0,SUMPRODUCT(--ISNUMBER(SEARCH({"0/aa","0\\aa"},BN152)))&gt;0)),NOT(SUMPRODUCT(--ISNUMBER(SEARCH({"http","www.","\\",":\",".pdf",".jpg",".jpeg",".png",".heic",".xls",".doc",".msg",".eml",".ppt",".txt",".zip"},Z152)))&gt;0),NOT(LOWER(TRIM(Z152))=LOWER(Flights!$F$9)),ISNA(MATCH(BU152,{"mh","rev","revision","ver","version","v","r","a","b","seat","tray","row","gate","bay","stand","page","pg","item","line","no","cart","galley","flight","flt","table","box","bag","oven","etd","eta","std","sta","atd","ata","qty","pax","x","time","tel","ph","mob","day","wk","week","utc","gmt","myt","lt"},0)),NOT(OR(ISNUMBER(MATCH(LEFT(BN152,255),{"0000a","000a","00a","0000aa","000aa","00aa","0aa","0000aaa","000aaa","00a00","0a00","0000-0000","00:00","a00","a0","00.00.0000","00/00/0000","00-00-0000","0000-00-00","0000/00/00","0000.00.00","00.00.00","00/00/00","00-00-00","0.00.0000","0/00/0000","0-00-0000"},0)),ISNUMBER(MATCH(LEFT(BT152,255),{"0000a","000a","00a","0000aa","000aa","00aa","0aa","0000aaa","000aaa","00a00","0a00","0000-0000","00:00","a00","a0","00.00.0000","00/00/0000","00-00-0000","0000-00-00","0000/00/00","0000.00.00","00.00.00","00/00/00","00-00-00","0.00.0000","0/00/0000","0-00-0000"},0)))),NOT(OR(AND(BW152&lt;&gt;"",SUBSTITUTE(BW152,"0","")=""),AND(LEN(BW152)&gt;=4,BW152=REPT(LEFT(BW152),LEN(BW152))),ISNUMBER(MATCH(BW152,{"123","1234","12345","123456","1234567","12345678","0123","01234","012345","98765","987654","54321"},0)),ISNUMBER(MATCH(BX152,{"x","xx","xxx","xxxx","xxxxx","abc","abcd","nil","na","nan","test","tbc","tba","tbd","dummy","sample","example","eg","zz","zzz","none","null","xyz","qwe","asd","id","ref"},0)),AND(LEN(BW152)=8,BX152="",OR(LEFT(BW152,3)="202",ISNUMBER(MATCH(RIGHT(BW152,4),{"2025","2026","2027"},0)))))),OR(AND((LEN(BT152)-LEN(SUBSTITUTE(BT152,"a","")))&gt;=1,(LEN(BN152)-LEN(SUBSTITUTE(BN152,"0","")))&gt;=2,SUMPRODUCT(--ISNUMBER(SEARCH({"a0","a-0","a_0","a/0","a.0","a#0","0a","0-a","0_a","0/a"},BN152)))&gt;0),AND((LEN(BN152)-LEN(SUBSTITUTE(BN152,"a","")))=0,(LEN(BN152)-LEN(SUBSTITUTE(BN152,"0","")))&gt;=5)))),1,0),0)</f>
        <v>0</v>
      </c>
      <c r="CA1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152,"revision",""),"version",""),"jan",""),"feb",""),"mar",""),"apr",""),"may",""),"jun",""),"jul",""),"aug",""),"sep",""),"oct",""),"nov",""),"dec",""),"utc",""),"gmt",""),"myt",""),"bst",""),"rev",""),"ver",""),"b","a"),"c","a"),"d","a"),"e","a"),"f","a"),"g","a"),"h","a"),"i","a"),"j","a"),"k","a"),"l","a"),"m","a"),"n","a"),"o","a"),"p","a"),"q","a"),"r","a"),"s","a"),"t","a"),"u","a"),"v","a"),"w","a"),"x","a"),"y","a"),"z","a")</f>
        <v/>
      </c>
      <c r="CB1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152&amp;""),"a",""),"b",""),"c",""),"d",""),"e",""),"f",""),"g",""),"h",""),"i",""),"j",""),"k",""),"l",""),"m",""),"n",""),"o",""),"p",""),"q",""),"r",""),"s",""),"t",""),"u",""),"v",""),"w",""),"x",""),"y",""),"z",""),"-",""),"_",""),"/",""),".",""),"#",""),"\\",""),":","")," ",""),"(",""),")","")</f>
        <v/>
      </c>
      <c r="CC152" s="0" t="str">
        <f aca="false">" "&amp;TRIM(SUBSTITUTE(SUBSTITUTE(SUBSTITUTE(SUBSTITUTE(SUBSTITUTE(SUBSTITUTE(SUBSTITUTE(SUBSTITUTE(SUBSTITUTE(SUBSTITUTE(SUBSTITUTE(SUBSTITUTE(SUBSTITUTE(SUBSTITUTE(SUBSTITUTE(SUBSTITUTE(SUBSTITUTE(SUBSTITUTE(SUBSTITUTE(SUBSTITUTE(SUBSTITUTE(SUBSTITUTE(SUBSTITUTE(SUBSTITUTE(LOWER(T152&amp;""),CHAR(10)," "),CHAR(13)," "),CHAR(9)," "),CHAR(160)," "),"."," "),","," "),"-"," "),"/"," "),"("," "),")"," "),":"," "),";"," "),"_"," "),"–"," "),"?"," "),"!"," "),"*"," "),"["," "),"]"," "),"'"," "),"#"," "),"+"," "),"&amp;"," "),"\"," "))&amp;" "</f>
        <v>  </v>
      </c>
      <c r="CD152" s="0" t="str">
        <f aca="false">" "&amp;TRIM(SUBSTITUTE(SUBSTITUTE(SUBSTITUTE(SUBSTITUTE(SUBSTITUTE(SUBSTITUTE(SUBSTITUTE(SUBSTITUTE(SUBSTITUTE(SUBSTITUTE(SUBSTITUTE(SUBSTITUTE(SUBSTITUTE(SUBSTITUTE(SUBSTITUTE(SUBSTITUTE(SUBSTITUTE(SUBSTITUTE(SUBSTITUTE(SUBSTITUTE(SUBSTITUTE(SUBSTITUTE(SUBSTITUTE(SUBSTITUTE(LOWER(AE152&amp;""),CHAR(10)," "),CHAR(13)," "),CHAR(9)," "),CHAR(160)," "),"."," "),","," "),"-"," "),"/"," "),"("," "),")"," "),":"," "),";"," "),"_"," "),"–"," "),"?"," "),"!"," "),"*"," "),"["," "),"]"," "),"'"," "),"#"," "),"+"," "),"&amp;"," "),"\"," "))&amp;" "</f>
        <v>  </v>
      </c>
      <c r="CE152" s="68" t="n">
        <f aca="false">IFERROR(IF(AND(LEN(AU152)&gt;0,LEN(AU152)=LEN(AX152),OR(TRIM(MID(SUBSTITUTE(TRIM(CC152)," ",REPT(" ",60)),1,60))="",ISNUMBER(SEARCH(" "&amp;TRIM(MID(SUBSTITUTE(TRIM(CC152)," ",REPT(" ",60)),1,60))&amp;" ",CD152))),OR(TRIM(MID(SUBSTITUTE(TRIM(CC152)," ",REPT(" ",60)),61,60))="",ISNUMBER(SEARCH(" "&amp;TRIM(MID(SUBSTITUTE(TRIM(CC152)," ",REPT(" ",60)),61,60))&amp;" ",CD152))),OR(TRIM(MID(SUBSTITUTE(TRIM(CC152)," ",REPT(" ",60)),121,60))="",ISNUMBER(SEARCH(" "&amp;TRIM(MID(SUBSTITUTE(TRIM(CC152)," ",REPT(" ",60)),121,60))&amp;" ",CD152)))),1,0),0)</f>
        <v>0</v>
      </c>
      <c r="CG152" s="68" t="n">
        <f aca="false">IFERROR(LEN(SUBSTITUTE(BF152," ",""))-SUMPRODUCT((LEN(BF152)-LEN(SUBSTITUTE(BF152," "&amp;L_NAFiller&amp;" "," ")))/(LEN(L_NAFiller)+1)*LEN(L_NAFiller)),0)</f>
        <v>0</v>
      </c>
    </row>
    <row r="153" customFormat="false" ht="141" hidden="false" customHeight="true" outlineLevel="0" collapsed="false">
      <c r="A153" s="57" t="s">
        <v>682</v>
      </c>
      <c r="B153" s="57" t="s">
        <v>228</v>
      </c>
      <c r="C153" s="57" t="str">
        <f aca="false">Flights!$F$9</f>
        <v>MH0089</v>
      </c>
      <c r="D153" s="58" t="n">
        <f aca="false">Flights!$D$9</f>
        <v>46310</v>
      </c>
      <c r="E153" s="57" t="str">
        <f aca="false">Flights!$G$9&amp;"-"&amp;Flights!$H$9</f>
        <v>NRT-KUL</v>
      </c>
      <c r="F153" s="57" t="str">
        <f aca="false">Flights!$K$9</f>
        <v>EY</v>
      </c>
      <c r="G153" s="57" t="s">
        <v>420</v>
      </c>
      <c r="H153" s="57" t="s">
        <v>378</v>
      </c>
      <c r="I153" s="57" t="s">
        <v>428</v>
      </c>
      <c r="J153" s="57" t="s">
        <v>435</v>
      </c>
      <c r="K153" s="67" t="s">
        <v>436</v>
      </c>
      <c r="L153" s="67" t="s">
        <v>422</v>
      </c>
      <c r="M153" s="67"/>
      <c r="N153" s="67" t="s">
        <v>383</v>
      </c>
      <c r="O153" s="67" t="s">
        <v>423</v>
      </c>
      <c r="P153" s="57" t="s">
        <v>220</v>
      </c>
      <c r="Q153" s="59" t="n">
        <f aca="false">ROUND((Flights!$AE$9)*1440,0)/1440</f>
        <v>46309.5451388889</v>
      </c>
      <c r="R153" s="59" t="n">
        <f aca="false">Q153+(IF(AND(INDEX(TZ_DSTS,MATCH(P153,TZ_STN,0))&lt;&gt;"",Q153&gt;=INDEX(TZ_DSTS,MATCH(P153,TZ_STN,0)),Q153&lt;INDEX(TZ_DSTE,MATCH(P153,TZ_STN,0))),INDEX(TZ_DST,MATCH(P153,TZ_STN,0)),INDEX(TZ_STD,MATCH(P153,TZ_STN,0))))/24</f>
        <v>46309.9201388889</v>
      </c>
      <c r="S153" s="60"/>
      <c r="T153" s="60"/>
      <c r="U153" s="60"/>
      <c r="V153" s="60"/>
      <c r="W153" s="61"/>
      <c r="X153" s="60"/>
      <c r="Y153" s="60"/>
      <c r="Z153" s="60"/>
      <c r="AA153" s="60"/>
      <c r="AB153" s="60"/>
      <c r="AC153" s="60"/>
      <c r="AD153" s="66"/>
      <c r="AE153" s="60"/>
      <c r="AF153" s="61" t="str">
        <f aca="false">IF(AND(ISNUMBER(X153),ISNUMBER(Y153)),Y153-X153,"")</f>
        <v/>
      </c>
      <c r="AG153" s="62" t="str">
        <f aca="false">IF(ISNUMBER(AD153),AD153-(IF(AND(INDEX(TZ_DSTS,MATCH(P153,TZ_STN,0))&lt;&gt;"",(AD153-INDEX(TZ_STD,MATCH(P153,TZ_STN,0))/24)&gt;=INDEX(TZ_DSTS,MATCH(P153,TZ_STN,0)),(AD153-INDEX(TZ_STD,MATCH(P153,TZ_STN,0))/24)&lt;INDEX(TZ_DSTE,MATCH(P153,TZ_STN,0))),INDEX(TZ_DST,MATCH(P153,TZ_STN,0)),INDEX(TZ_STD,MATCH(P153,TZ_STN,0))))/24,"")</f>
        <v/>
      </c>
      <c r="AH153" s="65" t="str">
        <f aca="false">IFERROR(IF(N153="N/A – rule",IF(OR(TRIM(U153)="",TRIM(U153)="N/A",TRIM(U153)="Not started"),"N/A – RULE","INVALID – this check does not apply to this aircraft: clear the status (or correct the fleet on Flights)"),IF(TRIM(U153)="N/A",IF(AT153=0,"INVALID – N/A not permitted for this check",IF(AND(TRIM(AB153)&lt;&gt;"",TRIM(AB153)&lt;&gt;"Closed"),"INVALID – corrective action still open",IF(AND(NOT(OR(LEN(AZ153)&lt;15,ISNUMBER(MATCH(AZ153,L_Placeholder,0)))),BK153=0,CG153&gt;=8,NOT(OR(LEN(AU153)&lt;2,ISNUMBER(MATCH(AU153,L_Placeholder,0)))),BR153&gt;=3,NOT(OR(LEN(AX153)&lt;2,ISNUMBER(MATCH(AX153,L_Placeholder,0)))),BS153&gt;=3,TRIM(AE153)&lt;&gt;TRIM(T153),AX153&lt;&gt;AU153,CE153=0),"N/A – JUSTIFIED","INVALID – N/A needs a real, settled reason (not 'not applicable' / 'as above' / TBC), a named PIC and a different named verifier"))),IF(OR(TRIM(U153)="Pass",TRIM(U153)="Pass after CA"),IF(NOT(ISNUMBER(AD153)),"INVALID – completion time missing",IF(OR(OR(LEN(AU153)&lt;2,ISNUMBER(MATCH(AU153,L_Placeholder,0))),BR153&lt;3),"INVALID – PIC missing or not a named person (a role such as QA / CSM is not a name)",IF(OR(LEN(AV153)&lt;2,ISNUMBER(MATCH(AV153,L_Placeholder,0))),"INVALID – result / assessment missing",IF(OR(OR(LEN(AW153)&lt;3,ISNUMBER(MATCH(AW153,L_Placeholder,0))),SUMPRODUCT(--ISNUMBER(SEARCH(" "&amp;L_EvidencePhrase&amp;" ",BD153)))&gt;0,BI153=1),"INVALID – evidence missing, placeholder or not yet on file",IF(ISNA(MATCH(TRIM(S153),L_EvidenceType,0)),"INVALID – choose the evidence type from the list (column S)",IF(BL153=0,"INVALID – evidence ID must be the record's own ID only (e.g. SF-2210, IMG_2231, 1045521); a link / file name needs type 'Link / file path'",IF(OR(OR(LEN(AX153)&lt;2,ISNUMBER(MATCH(AX153,L_Placeholder,0))),BS153&lt;3),"INVALID – verifier missing or not a named person (a role such as QA / CSM is not a name)",IF(OR(AX153=AU153,CE153=1,AND(LEN(AU153)&gt;=4,ISNUMBER(SEARCH(AU153,AX153))),AND(LEN(AX153)&gt;=4,ISNUMBER(SEARCH(AX153,AU153)))),"INVALID – verifier must be a different, named person (not the PIC or a role)",IF(BH153=1,"INVALID – result not yet available (awaiting / TBC)",IF(BG153=1,"INVALID – result describes a problem: record Fail, then Pass after CA (or reword if it is not a problem)",IF(BV153=1,"INVALID – wording says not on board: an on-board confirmation needs the item loaded",IF(AND(AQ153=1,OR(OR(LEN(AY153)&lt;3,ISNUMBER(MATCH(AY153,L_Placeholder,0))),BJ153=1,BQ153=0)),"INVALID – batch ID missing, placeholder or not an ID (e.g. PASB-261008-BC-017)",IF(AND(AR153=1,OR(NOT(ISNUMBER(X153)),NOT(ISNUMBER(Y153)))),"INVALID – expected/actual qty missing",IF(AND(AR153=1,OR(X153&lt;=0,Y153&lt;0)),"INVALID – expected qty must be above 0 and actual not negative",IF(BB153&lt;&gt;"",BB153,IF(AND(AS153=1,Documents!$J$9&lt;&gt;"ON FILE"),"INVALID – GLD not on file (Documents sheet)",IF(AND(AS153=2,Documents!$O$9&lt;&gt;"ON FILE"),"INVALID – menu checklist not on file (Documents sheet)",IF(AND(AS153=3,NOT(ISNUMBER(Flights!$AX$9))),"INVALID – enter carrying flight KUL departure (Flights AX)",IF(AND(AS153=3,OR(Flights!$AZ$9&gt;Flights!$AA$9,Flights!$AX$9&lt;Flights!$AA$9-3)),"INVALID – carrying flight (Flights AX) cannot arrive before this leg's STD, or is over 3 days early",IF(AG153&gt;AsOfUTC,"INVALID – completion time is in the future",IF(AND(ISNUMBER(BY153),AG153&lt;BY153),IF(H153="Physical uplift","INVALID – before uplift window (cannot confirm loading)","INVALID – before valid window"),IF(AG153&gt;Flights!$AA$9,"INVALID – completed after departure (cannot establish readiness)",IF(AND(H153="Preparation",AG153&gt;=IF(ISNUMBER(Flights!$BA$9),MIN(Flights!$BA$9,Flights!$AA$9),Flights!$AA$9)),"INVALID – completed after loading / departure (cannot establish readiness)",IF(AND(H153="Physical uplift",AG153&gt;Q153),"INVALID – recorded after the loading flight departed",IF(AG153&gt;Q153,"COMPLETE – LATE","COMPLETE"))))))))))))))))))))))))),IF(TRIM(U153)="Fail","FAIL – DISCREPANCY",IF(AND(TRIM(U153)&lt;&gt;"",TRIM(U153)&lt;&gt;"Not started",TRIM(U153)&lt;&gt;"In progress"),"INVALID – unrecognised status (use the list)",IF(AsOfUTC&gt;Q153,"OVERDUE",IF(N153="Clarification required","OPEN – CLARIFICATION","OPEN"))))))),"INVALID – error value in an input cell")</f>
        <v>OPEN</v>
      </c>
      <c r="AI153" s="61" t="n">
        <f aca="false">IF(OR(AH153="N/A – RULE",AH153="N/A – JUSTIFIED"),0,1)</f>
        <v>1</v>
      </c>
      <c r="AJ153" s="61" t="n">
        <f aca="false">IF(LEFT(AH153,8)="COMPLETE",1,0)</f>
        <v>0</v>
      </c>
      <c r="AK153" s="61" t="n">
        <f aca="false">IF(AND(AI153=1,AJ153=0,AsOfUTC&gt;Q153),1,0)</f>
        <v>0</v>
      </c>
      <c r="AL153" s="61" t="n">
        <f aca="false">IFERROR(IF(AND(AI153=1,OR(TRIM(U153)="Fail",AND(TRIM(AB153)&lt;&gt;"",TRIM(AB153)&lt;&gt;"Closed"),AND(ISNUMBER(AF153),AF153&lt;&gt;0,TRIM(U153)&lt;&gt;"Pass after CA"))),1,0),1)</f>
        <v>0</v>
      </c>
      <c r="AM153" s="61" t="n">
        <f aca="false">IF(LEFT(AH153,7)="INVALID",1,0)</f>
        <v>0</v>
      </c>
      <c r="AN153" s="61" t="n">
        <f aca="false">IF(AND(N153="Clarification required",AI153=1,AJ153=0),1,0)</f>
        <v>0</v>
      </c>
      <c r="AO153" s="61" t="str">
        <f aca="false">IF(AK153=1,SUM(AK$5:AK153),"")</f>
        <v/>
      </c>
      <c r="AP153" s="61" t="str">
        <f aca="false">IF(AL153=1,SUM(AL$5:AL153),"")</f>
        <v/>
      </c>
      <c r="AQ153" s="61" t="n">
        <v>0</v>
      </c>
      <c r="AR153" s="61" t="n">
        <v>1</v>
      </c>
      <c r="AS153" s="61" t="n">
        <v>0</v>
      </c>
      <c r="AT153" s="61" t="n">
        <v>0</v>
      </c>
      <c r="AU153" s="61" t="str">
        <f aca="false">SUBSTITUTE(SUBSTITUTE(SUBSTITUTE(SUBSTITUTE(SUBSTITUTE(SUBSTITUTE(SUBSTITUTE(SUBSTITUTE(SUBSTITUTE(SUBSTITUTE(SUBSTITUTE(SUBSTITUTE(SUBSTITUTE(SUBSTITUTE(SUBSTITUTE(SUBSTITUTE(LOWER(T153&amp;""),CHAR(10),""),CHAR(13),""),CHAR(9),""),CHAR(160),"")," ",""),".",""),"-",""),"/",""),"?",""),"_",""),",",""),"[",""),"]",""),"(",""),")",""),"*","")</f>
        <v/>
      </c>
      <c r="AV153" s="61" t="str">
        <f aca="false">SUBSTITUTE(SUBSTITUTE(SUBSTITUTE(SUBSTITUTE(SUBSTITUTE(SUBSTITUTE(SUBSTITUTE(SUBSTITUTE(SUBSTITUTE(SUBSTITUTE(SUBSTITUTE(SUBSTITUTE(SUBSTITUTE(SUBSTITUTE(SUBSTITUTE(SUBSTITUTE(LOWER(V153&amp;""),CHAR(10),""),CHAR(13),""),CHAR(9),""),CHAR(160),"")," ",""),".",""),"-",""),"/",""),"?",""),"_",""),",",""),"[",""),"]",""),"(",""),")",""),"*","")</f>
        <v/>
      </c>
      <c r="AW153" s="61" t="str">
        <f aca="false">SUBSTITUTE(SUBSTITUTE(SUBSTITUTE(SUBSTITUTE(SUBSTITUTE(SUBSTITUTE(SUBSTITUTE(SUBSTITUTE(SUBSTITUTE(SUBSTITUTE(SUBSTITUTE(SUBSTITUTE(SUBSTITUTE(SUBSTITUTE(SUBSTITUTE(SUBSTITUTE(LOWER(Z153&amp;""),CHAR(10),""),CHAR(13),""),CHAR(9),""),CHAR(160),"")," ",""),".",""),"-",""),"/",""),"?",""),"_",""),",",""),"[",""),"]",""),"(",""),")",""),"*","")</f>
        <v/>
      </c>
      <c r="AX153" s="61" t="str">
        <f aca="false">SUBSTITUTE(SUBSTITUTE(SUBSTITUTE(SUBSTITUTE(SUBSTITUTE(SUBSTITUTE(SUBSTITUTE(SUBSTITUTE(SUBSTITUTE(SUBSTITUTE(SUBSTITUTE(SUBSTITUTE(SUBSTITUTE(SUBSTITUTE(SUBSTITUTE(SUBSTITUTE(LOWER(AE153&amp;""),CHAR(10),""),CHAR(13),""),CHAR(9),""),CHAR(160),"")," ",""),".",""),"-",""),"/",""),"?",""),"_",""),",",""),"[",""),"]",""),"(",""),")",""),"*","")</f>
        <v/>
      </c>
      <c r="AY153" s="61" t="str">
        <f aca="false">SUBSTITUTE(SUBSTITUTE(SUBSTITUTE(SUBSTITUTE(SUBSTITUTE(SUBSTITUTE(SUBSTITUTE(SUBSTITUTE(SUBSTITUTE(SUBSTITUTE(SUBSTITUTE(SUBSTITUTE(SUBSTITUTE(SUBSTITUTE(SUBSTITUTE(SUBSTITUTE(LOWER(W153&amp;""),CHAR(10),""),CHAR(13),""),CHAR(9),""),CHAR(160),"")," ",""),".",""),"-",""),"/",""),"?",""),"_",""),",",""),"[",""),"]",""),"(",""),")",""),"*","")</f>
        <v/>
      </c>
      <c r="AZ153" s="61" t="str">
        <f aca="false">SUBSTITUTE(SUBSTITUTE(SUBSTITUTE(SUBSTITUTE(SUBSTITUTE(SUBSTITUTE(SUBSTITUTE(SUBSTITUTE(SUBSTITUTE(SUBSTITUTE(SUBSTITUTE(SUBSTITUTE(SUBSTITUTE(SUBSTITUTE(SUBSTITUTE(SUBSTITUTE(LOWER(AC153&amp;""),CHAR(10),""),CHAR(13),""),CHAR(9),""),CHAR(160),"")," ",""),".",""),"-",""),"/",""),"?",""),"_",""),",",""),"[",""),"]",""),"(",""),")",""),"*","")</f>
        <v/>
      </c>
      <c r="BA153" s="61" t="str">
        <f aca="false">SUBSTITUTE(SUBSTITUTE(SUBSTITUTE(SUBSTITUTE(SUBSTITUTE(SUBSTITUTE(SUBSTITUTE(SUBSTITUTE(SUBSTITUTE(SUBSTITUTE(SUBSTITUTE(SUBSTITUTE(SUBSTITUTE(SUBSTITUTE(SUBSTITUTE(SUBSTITUTE(LOWER(AA153&amp;""),CHAR(10),""),CHAR(13),""),CHAR(9),""),CHAR(160),"")," ",""),".",""),"-",""),"/",""),"?",""),"_",""),",",""),"[",""),"]",""),"(",""),")",""),"*","")</f>
        <v/>
      </c>
      <c r="BB153" s="61" t="str">
        <f aca="false">IF(AND(TRIM(U153)="Pass",ISNUMBER(AF153)),IF(AF153&lt;&gt;0,"INVALID – qty variance: use Fail or Pass after CA",""),"")&amp;IF(AND(TRIM(U153)="Pass after CA",ISNUMBER(AF153)),IF(AF153&lt;&gt;0,"INVALID – after the corrective action the actual qty must equal expected (update Actual)",""),"")&amp;IF(AND(TRIM(U153)="Pass",TRIM(AB153)&lt;&gt;"",TRIM(AB153)&lt;&gt;"Closed"),"INVALID – corrective action not closed: use Fail, then Pass after CA","")&amp;IF(AND(LEN(BA153)&gt;=2,ISNA(MATCH(LEFT(BA153,255),L_Placeholder,0)),TRIM(AB153)=""),"INVALID – CA status missing for the recorded corrective action","")&amp;IF(AND(TRIM(U153)="Pass after CA",OR(OR(LEN(BA153)&lt;5,ISNUMBER(MATCH(BA153,L_Placeholder,0))),TRIM(AB153)&lt;&gt;"Closed")),"INVALID – corrective action not recorded/closed","")</f>
        <v/>
      </c>
      <c r="BC153" s="61" t="str">
        <f aca="false">" "&amp;TRIM(SUBSTITUTE(SUBSTITUTE(SUBSTITUTE(SUBSTITUTE(SUBSTITUTE(SUBSTITUTE(SUBSTITUTE(SUBSTITUTE(SUBSTITUTE(SUBSTITUTE(SUBSTITUTE(SUBSTITUTE(SUBSTITUTE(SUBSTITUTE(SUBSTITUTE(SUBSTITUTE(SUBSTITUTE(SUBSTITUTE(SUBSTITUTE(SUBSTITUTE(SUBSTITUTE(SUBSTITUTE(SUBSTITUTE(SUBSTITUTE(LOWER(V153&amp;""),CHAR(10)," "),CHAR(13)," "),CHAR(9)," "),CHAR(160)," "),"."," "),","," "),"-"," "),"/"," "),"("," "),")"," "),":"," "),";"," "),"_"," "),"–"," "),"?"," "),"!"," "),"*"," "),"["," "),"]"," "),"'"," "),"#"," "),"+"," "),"&amp;"," "),"\"," "))&amp;" "</f>
        <v>  </v>
      </c>
      <c r="BD153" s="61" t="str">
        <f aca="false">" "&amp;TRIM(SUBSTITUTE(SUBSTITUTE(SUBSTITUTE(SUBSTITUTE(SUBSTITUTE(SUBSTITUTE(SUBSTITUTE(SUBSTITUTE(SUBSTITUTE(SUBSTITUTE(SUBSTITUTE(SUBSTITUTE(SUBSTITUTE(SUBSTITUTE(SUBSTITUTE(SUBSTITUTE(SUBSTITUTE(SUBSTITUTE(SUBSTITUTE(SUBSTITUTE(SUBSTITUTE(SUBSTITUTE(SUBSTITUTE(SUBSTITUTE(LOWER(Z153&amp;""),CHAR(10)," "),CHAR(13)," "),CHAR(9)," "),CHAR(160)," "),"."," "),","," "),"-"," "),"/"," "),"("," "),")"," "),":"," "),";"," "),"_"," "),"–"," "),"?"," "),"!"," "),"*"," "),"["," "),"]"," "),"'"," "),"#"," "),"+"," "),"&amp;"," "),"\"," "))&amp;" "</f>
        <v>  </v>
      </c>
      <c r="BE153" s="61" t="str">
        <f aca="false">" "&amp;TRIM(SUBSTITUTE(SUBSTITUTE(SUBSTITUTE(SUBSTITUTE(SUBSTITUTE(SUBSTITUTE(SUBSTITUTE(SUBSTITUTE(SUBSTITUTE(SUBSTITUTE(SUBSTITUTE(SUBSTITUTE(SUBSTITUTE(SUBSTITUTE(SUBSTITUTE(SUBSTITUTE(SUBSTITUTE(SUBSTITUTE(SUBSTITUTE(SUBSTITUTE(SUBSTITUTE(SUBSTITUTE(SUBSTITUTE(SUBSTITUTE(LOWER(W153&amp;""),CHAR(10)," "),CHAR(13)," "),CHAR(9)," "),CHAR(160)," "),"."," "),","," "),"-"," "),"/"," "),"("," "),")"," "),":"," "),";"," "),"_"," "),"–"," "),"?"," "),"!"," "),"*"," "),"["," "),"]"," "),"'"," "),"#"," "),"+"," "),"&amp;"," "),"\"," "))&amp;" "</f>
        <v>  </v>
      </c>
      <c r="BF153" s="61" t="str">
        <f aca="false">" "&amp;TRIM(SUBSTITUTE(SUBSTITUTE(SUBSTITUTE(SUBSTITUTE(SUBSTITUTE(SUBSTITUTE(SUBSTITUTE(SUBSTITUTE(SUBSTITUTE(SUBSTITUTE(SUBSTITUTE(SUBSTITUTE(SUBSTITUTE(SUBSTITUTE(SUBSTITUTE(SUBSTITUTE(SUBSTITUTE(SUBSTITUTE(SUBSTITUTE(SUBSTITUTE(SUBSTITUTE(SUBSTITUTE(SUBSTITUTE(SUBSTITUTE(LOWER(AC153&amp;""),CHAR(10)," "),CHAR(13)," "),CHAR(9)," "),CHAR(160)," "),"."," "),","," "),"-"," "),"/"," "),"("," "),")"," "),":"," "),";"," "),"_"," "),"–"," "),"?"," "),"!"," "),"*"," "),"["," "),"]"," "),"'"," "),"#"," "),"+"," "),"&amp;"," "),"\"," "))&amp;" "</f>
        <v>  </v>
      </c>
      <c r="BG153" s="61" t="n">
        <f aca="false">IFERROR(IF(AND(TRIM(U153)="Pass",SUMPRODUCT((LEN(BC153)-LEN(SUBSTITUTE(BC153," "&amp;L_ResultBad&amp;" "," ")))/(LEN(L_ResultBad)+1))&gt;SUMPRODUCT((LEN(BC153)-LEN(SUBSTITUTE(BC153," "&amp;L_NegPhrase&amp;" "," ")))/(LEN(L_NegPhrase)+1))),1,0),0)</f>
        <v>0</v>
      </c>
      <c r="BH153" s="61" t="n">
        <f aca="false">IFERROR(IF(SUMPRODUCT((LEN(BC153)-LEN(SUBSTITUTE(BC153," "&amp;L_Pending&amp;" "," ")))/(LEN(L_Pending)+1))&gt;SUMPRODUCT((LEN(BC153)-LEN(SUBSTITUTE(BC153," "&amp;L_PendNeg&amp;" "," ")))/(LEN(L_PendNeg)+1))+SUMPRODUCT((LEN(BC153)-LEN(SUBSTITUTE(BC153," "&amp;L_PendPrep&amp;" "," ")))/(LEN(L_PendPrep)+1)),1,0),1)</f>
        <v>0</v>
      </c>
      <c r="BI153" s="61" t="n">
        <f aca="false">IFERROR(IF(SUMPRODUCT((LEN(BD153)-LEN(SUBSTITUTE(BD153," "&amp;L_PendStrict&amp;" "," ")))/(LEN(L_PendStrict)+1))&gt;SUMPRODUCT((LEN(BD153)-LEN(SUBSTITUTE(BD153," "&amp;L_PendNeg&amp;" "," ")))/(LEN(L_PendNeg)+1)),1,0),1)</f>
        <v>0</v>
      </c>
      <c r="BJ153" s="61" t="n">
        <f aca="false">IFERROR(IF(SUMPRODUCT((LEN(BE153)-LEN(SUBSTITUTE(BE153," "&amp;L_Pending&amp;" "," ")))/(LEN(L_Pending)+1))&gt;SUMPRODUCT((LEN(BE153)-LEN(SUBSTITUTE(BE153," "&amp;L_PendNeg&amp;" "," ")))/(LEN(L_PendNeg)+1))+SUMPRODUCT((LEN(BE153)-LEN(SUBSTITUTE(BE153," "&amp;L_PendPrep&amp;" "," ")))/(LEN(L_PendPrep)+1)),1,0),1)</f>
        <v>0</v>
      </c>
      <c r="BK153" s="61" t="n">
        <f aca="false">IFERROR(IF(SUMPRODUCT((LEN(BF153)-LEN(SUBSTITUTE(BF153," "&amp;L_PendStrict&amp;" "," ")))/(LEN(L_PendStrict)+1))&gt;SUMPRODUCT((LEN(BF153)-LEN(SUBSTITUTE(BF153," "&amp;L_PendNeg&amp;" "," ")))/(LEN(L_PendNeg)+1)),1,0),1)</f>
        <v>0</v>
      </c>
      <c r="BL153" s="61" t="n">
        <f aca="false">IF(ISNA(MATCH(TRIM(S153),L_EvidenceType,0)),0,BZ153)</f>
        <v>0</v>
      </c>
      <c r="BM153" s="61" t="str">
        <f aca="false">SUBSTITUTE(SUBSTITUTE(SUBSTITUTE(SUBSTITUTE(SUBSTITUTE(SUBSTITUTE(SUBSTITUTE(SUBSTITUTE(SUBSTITUTE(LOWER(Z153&amp;""),"1","0"),"2","0"),"3","0"),"4","0"),"5","0"),"6","0"),"7","0"),"8","0"),"9","0")</f>
        <v/>
      </c>
      <c r="BN153" s="61" t="str">
        <f aca="false">SUBSTITUTE(SUBSTITUTE(SUBSTITUTE(SUBSTITUTE(SUBSTITUTE(SUBSTITUTE(SUBSTITUTE(SUBSTITUTE(SUBSTITUTE(SUBSTITUTE(SUBSTITUTE(SUBSTITUTE(SUBSTITUTE(SUBSTITUTE(SUBSTITUTE(SUBSTITUTE(SUBSTITUTE(SUBSTITUTE(SUBSTITUTE(SUBSTITUTE(SUBSTITUTE(SUBSTITUTE(SUBSTITUTE(SUBSTITUTE(SUBSTITUTE(BM153,"b","a"),"c","a"),"d","a"),"e","a"),"f","a"),"g","a"),"h","a"),"i","a"),"j","a"),"k","a"),"l","a"),"m","a"),"n","a"),"o","a"),"p","a"),"q","a"),"r","a"),"s","a"),"t","a"),"u","a"),"v","a"),"w","a"),"x","a"),"y","a"),"z","a")</f>
        <v/>
      </c>
      <c r="BO153" s="61" t="str">
        <f aca="false">SUBSTITUTE(SUBSTITUTE(SUBSTITUTE(SUBSTITUTE(SUBSTITUTE(SUBSTITUTE(SUBSTITUTE(SUBSTITUTE(SUBSTITUTE(LOWER(W153&amp;""),"1","0"),"2","0"),"3","0"),"4","0"),"5","0"),"6","0"),"7","0"),"8","0"),"9","0")</f>
        <v/>
      </c>
      <c r="BP153" s="61" t="str">
        <f aca="false">SUBSTITUTE(SUBSTITUTE(SUBSTITUTE(SUBSTITUTE(SUBSTITUTE(SUBSTITUTE(SUBSTITUTE(SUBSTITUTE(SUBSTITUTE(SUBSTITUTE(SUBSTITUTE(SUBSTITUTE(SUBSTITUTE(SUBSTITUTE(SUBSTITUTE(SUBSTITUTE(SUBSTITUTE(SUBSTITUTE(SUBSTITUTE(SUBSTITUTE(SUBSTITUTE(SUBSTITUTE(SUBSTITUTE(SUBSTITUTE(SUBSTITUTE(BO153,"b","a"),"c","a"),"d","a"),"e","a"),"f","a"),"g","a"),"h","a"),"i","a"),"j","a"),"k","a"),"l","a"),"m","a"),"n","a"),"o","a"),"p","a"),"q","a"),"r","a"),"s","a"),"t","a"),"u","a"),"v","a"),"w","a"),"x","a"),"y","a"),"z","a")</f>
        <v/>
      </c>
      <c r="BQ153" s="61" t="n">
        <f aca="false">IFERROR(IF(AND(ISERROR(SEARCH(" mh"," "&amp;LOWER(W153))),ISNA(MATCH(LEFT(TRIM(BP153),255),{"0000a","000a","00a","0000aa","000aa","00aa","0aa","0000aaa","000aaa","00a00","0a00","0000-0000","00:00","a00","a0","00.00.0000","00/00/0000","00-00-0000","0000-00-00","0000/00/00","0000.00.00","00.00.00","00/00/00","00-00-00","0.00.0000","0/00/0000","0-00-0000"},0)),ISNA(MATCH(LEFT(TRIM(CA153),255),{"0000a","000a","00a","0000aa","000aa","00aa","0aa","0000aaa","000aaa","00a00","0a00","0000-0000","00:00","a00","a0","00.00.0000","00/00/0000","00-00-0000","0000-00-00","0000/00/00","0000.00.00","00.00.00","00/00/00","00-00-00","0.00.0000","0/00/0000","0-00-0000"},0)),LEN(CB153)&gt;=3,NOT(OR(SUBSTITUTE(CB153,"0","")="",AND(LEN(CB153)&gt;=4,CB153=REPT(LEFT(CB153),LEN(CB153))),ISNUMBER(MATCH(CB153,{"123","1234","12345","123456","1234567","12345678","0123","01234","012345","98765","987654","54321"},0)),AND(LEN(CB153)=8,LEFT(CB153,3)="202"))),OR(AND((LEN(CA153)-LEN(SUBSTITUTE(CA153,"a","")))&gt;=1,SUMPRODUCT(--ISNUMBER(SEARCH({"a0","a-0","a_0","a/0","a.0","a#0","0a","0-a","0_a","0/a"},BP153)))&gt;0),ISNUMBER(SEARCH("000000",BP153)))),1,0),0)</f>
        <v>0</v>
      </c>
      <c r="BR153" s="61" t="n">
        <f aca="false">IFERROR(LEN(SUBSTITUTE(CC153," ",""))-SUMPRODUCT((LEN(CC153)-LEN(SUBSTITUTE(CC153," "&amp;L_Role&amp;" "," ")))/(LEN(L_Role)+1)*LEN(L_Role)),0)</f>
        <v>0</v>
      </c>
      <c r="BS153" s="61" t="n">
        <f aca="false">IFERROR(LEN(SUBSTITUTE(CD153," ",""))-SUMPRODUCT((LEN(CD153)-LEN(SUBSTITUTE(CD153," "&amp;L_Role&amp;" "," ")))/(LEN(L_Role)+1)*LEN(L_Role)),0)</f>
        <v>0</v>
      </c>
      <c r="BT1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153,"revision",""),"version",""),"jan",""),"feb",""),"mar",""),"apr",""),"may",""),"jun",""),"jul",""),"aug",""),"sep",""),"oct",""),"nov",""),"dec",""),"utc",""),"gmt",""),"myt",""),"bst",""),"rev",""),"ver",""),"b","a"),"c","a"),"d","a"),"e","a"),"f","a"),"g","a"),"h","a"),"i","a"),"j","a"),"k","a"),"l","a"),"m","a"),"n","a"),"o","a"),"p","a"),"q","a"),"r","a"),"s","a"),"t","a"),"u","a"),"v","a"),"w","a"),"x","a"),"y","a"),"z","a")</f>
        <v/>
      </c>
      <c r="BU153" s="61" t="str">
        <f aca="false">SUBSTITUTE(SUBSTITUTE(SUBSTITUTE(SUBSTITUTE(SUBSTITUTE(SUBSTITUTE(SUBSTITUTE(SUBSTITUTE(SUBSTITUTE(SUBSTITUTE(LEFT(BM153,FIND("0",BM153&amp;"0")-1),"-",""),"_",""),"/",""),".",""),"#",""),"\\",""),":","")," ",""),"(",""),")","")</f>
        <v/>
      </c>
      <c r="BV153" s="61" t="n">
        <f aca="false">0</f>
        <v>0</v>
      </c>
      <c r="BW1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153&amp;""),"a",""),"b",""),"c",""),"d",""),"e",""),"f",""),"g",""),"h",""),"i",""),"j",""),"k",""),"l",""),"m",""),"n",""),"o",""),"p",""),"q",""),"r",""),"s",""),"t",""),"u",""),"v",""),"w",""),"x",""),"y",""),"z",""),"-",""),"_",""),"/",""),".",""),"#",""),"\\",""),":","")," ",""),"(",""),")","")</f>
        <v/>
      </c>
      <c r="BX153" s="61" t="str">
        <f aca="false">SUBSTITUTE(SUBSTITUTE(SUBSTITUTE(SUBSTITUTE(SUBSTITUTE(SUBSTITUTE(SUBSTITUTE(SUBSTITUTE(SUBSTITUTE(SUBSTITUTE(SUBSTITUTE(BM153,"0",""),"-",""),"_",""),"/",""),".",""),"#",""),"\\",""),":","")," ",""),"(",""),")","")</f>
        <v/>
      </c>
      <c r="BY153" s="62" t="n">
        <f aca="false">Q153-T12EarlyH/24</f>
        <v>46309.0451388889</v>
      </c>
      <c r="BZ153" s="61" t="n">
        <f aca="false">IFERROR(IF(IF(TRIM(S153)="Link / file path",AND(LEN(TRIM(Z153))&gt;=5,SUMPRODUCT(--ISNUMBER(SEARCH({"http","www.","\\",":\",".pdf",".jpg",".jpeg",".png",".heic",".xls",".doc",".msg",".eml",".ppt",".txt",".zip"},Z153)))&gt;0),AND(ISERROR(FIND(" ",TRIM(Z153))),NOT(OR(SUMPRODUCT(--ISNUMBER(FIND({",",";","&amp;","+"},Z153)))&gt;0,SUMPRODUCT(--ISNUMBER(SEARCH({"0/aa","0\\aa"},BN153)))&gt;0)),NOT(SUMPRODUCT(--ISNUMBER(SEARCH({"http","www.","\\",":\",".pdf",".jpg",".jpeg",".png",".heic",".xls",".doc",".msg",".eml",".ppt",".txt",".zip"},Z153)))&gt;0),NOT(LOWER(TRIM(Z153))=LOWER(Flights!$F$9)),ISNA(MATCH(BU153,{"mh","rev","revision","ver","version","v","r","a","b","seat","tray","row","gate","bay","stand","page","pg","item","line","no","cart","galley","flight","flt","table","box","bag","oven","etd","eta","std","sta","atd","ata","qty","pax","x","time","tel","ph","mob","day","wk","week","utc","gmt","myt","lt"},0)),NOT(OR(ISNUMBER(MATCH(LEFT(BN153,255),{"0000a","000a","00a","0000aa","000aa","00aa","0aa","0000aaa","000aaa","00a00","0a00","0000-0000","00:00","a00","a0","00.00.0000","00/00/0000","00-00-0000","0000-00-00","0000/00/00","0000.00.00","00.00.00","00/00/00","00-00-00","0.00.0000","0/00/0000","0-00-0000"},0)),ISNUMBER(MATCH(LEFT(BT153,255),{"0000a","000a","00a","0000aa","000aa","00aa","0aa","0000aaa","000aaa","00a00","0a00","0000-0000","00:00","a00","a0","00.00.0000","00/00/0000","00-00-0000","0000-00-00","0000/00/00","0000.00.00","00.00.00","00/00/00","00-00-00","0.00.0000","0/00/0000","0-00-0000"},0)))),NOT(OR(AND(BW153&lt;&gt;"",SUBSTITUTE(BW153,"0","")=""),AND(LEN(BW153)&gt;=4,BW153=REPT(LEFT(BW153),LEN(BW153))),ISNUMBER(MATCH(BW153,{"123","1234","12345","123456","1234567","12345678","0123","01234","012345","98765","987654","54321"},0)),ISNUMBER(MATCH(BX153,{"x","xx","xxx","xxxx","xxxxx","abc","abcd","nil","na","nan","test","tbc","tba","tbd","dummy","sample","example","eg","zz","zzz","none","null","xyz","qwe","asd","id","ref"},0)),AND(LEN(BW153)=8,BX153="",OR(LEFT(BW153,3)="202",ISNUMBER(MATCH(RIGHT(BW153,4),{"2025","2026","2027"},0)))))),OR(AND((LEN(BT153)-LEN(SUBSTITUTE(BT153,"a","")))&gt;=1,(LEN(BN153)-LEN(SUBSTITUTE(BN153,"0","")))&gt;=2,SUMPRODUCT(--ISNUMBER(SEARCH({"a0","a-0","a_0","a/0","a.0","a#0","0a","0-a","0_a","0/a"},BN153)))&gt;0),AND((LEN(BN153)-LEN(SUBSTITUTE(BN153,"a","")))=0,(LEN(BN153)-LEN(SUBSTITUTE(BN153,"0","")))&gt;=5)))),1,0),0)</f>
        <v>0</v>
      </c>
      <c r="CA1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153,"revision",""),"version",""),"jan",""),"feb",""),"mar",""),"apr",""),"may",""),"jun",""),"jul",""),"aug",""),"sep",""),"oct",""),"nov",""),"dec",""),"utc",""),"gmt",""),"myt",""),"bst",""),"rev",""),"ver",""),"b","a"),"c","a"),"d","a"),"e","a"),"f","a"),"g","a"),"h","a"),"i","a"),"j","a"),"k","a"),"l","a"),"m","a"),"n","a"),"o","a"),"p","a"),"q","a"),"r","a"),"s","a"),"t","a"),"u","a"),"v","a"),"w","a"),"x","a"),"y","a"),"z","a")</f>
        <v/>
      </c>
      <c r="CB1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153&amp;""),"a",""),"b",""),"c",""),"d",""),"e",""),"f",""),"g",""),"h",""),"i",""),"j",""),"k",""),"l",""),"m",""),"n",""),"o",""),"p",""),"q",""),"r",""),"s",""),"t",""),"u",""),"v",""),"w",""),"x",""),"y",""),"z",""),"-",""),"_",""),"/",""),".",""),"#",""),"\\",""),":","")," ",""),"(",""),")","")</f>
        <v/>
      </c>
      <c r="CC153" s="0" t="str">
        <f aca="false">" "&amp;TRIM(SUBSTITUTE(SUBSTITUTE(SUBSTITUTE(SUBSTITUTE(SUBSTITUTE(SUBSTITUTE(SUBSTITUTE(SUBSTITUTE(SUBSTITUTE(SUBSTITUTE(SUBSTITUTE(SUBSTITUTE(SUBSTITUTE(SUBSTITUTE(SUBSTITUTE(SUBSTITUTE(SUBSTITUTE(SUBSTITUTE(SUBSTITUTE(SUBSTITUTE(SUBSTITUTE(SUBSTITUTE(SUBSTITUTE(SUBSTITUTE(LOWER(T153&amp;""),CHAR(10)," "),CHAR(13)," "),CHAR(9)," "),CHAR(160)," "),"."," "),","," "),"-"," "),"/"," "),"("," "),")"," "),":"," "),";"," "),"_"," "),"–"," "),"?"," "),"!"," "),"*"," "),"["," "),"]"," "),"'"," "),"#"," "),"+"," "),"&amp;"," "),"\"," "))&amp;" "</f>
        <v>  </v>
      </c>
      <c r="CD153" s="0" t="str">
        <f aca="false">" "&amp;TRIM(SUBSTITUTE(SUBSTITUTE(SUBSTITUTE(SUBSTITUTE(SUBSTITUTE(SUBSTITUTE(SUBSTITUTE(SUBSTITUTE(SUBSTITUTE(SUBSTITUTE(SUBSTITUTE(SUBSTITUTE(SUBSTITUTE(SUBSTITUTE(SUBSTITUTE(SUBSTITUTE(SUBSTITUTE(SUBSTITUTE(SUBSTITUTE(SUBSTITUTE(SUBSTITUTE(SUBSTITUTE(SUBSTITUTE(SUBSTITUTE(LOWER(AE153&amp;""),CHAR(10)," "),CHAR(13)," "),CHAR(9)," "),CHAR(160)," "),"."," "),","," "),"-"," "),"/"," "),"("," "),")"," "),":"," "),";"," "),"_"," "),"–"," "),"?"," "),"!"," "),"*"," "),"["," "),"]"," "),"'"," "),"#"," "),"+"," "),"&amp;"," "),"\"," "))&amp;" "</f>
        <v>  </v>
      </c>
      <c r="CE153" s="68" t="n">
        <f aca="false">IFERROR(IF(AND(LEN(AU153)&gt;0,LEN(AU153)=LEN(AX153),OR(TRIM(MID(SUBSTITUTE(TRIM(CC153)," ",REPT(" ",60)),1,60))="",ISNUMBER(SEARCH(" "&amp;TRIM(MID(SUBSTITUTE(TRIM(CC153)," ",REPT(" ",60)),1,60))&amp;" ",CD153))),OR(TRIM(MID(SUBSTITUTE(TRIM(CC153)," ",REPT(" ",60)),61,60))="",ISNUMBER(SEARCH(" "&amp;TRIM(MID(SUBSTITUTE(TRIM(CC153)," ",REPT(" ",60)),61,60))&amp;" ",CD153))),OR(TRIM(MID(SUBSTITUTE(TRIM(CC153)," ",REPT(" ",60)),121,60))="",ISNUMBER(SEARCH(" "&amp;TRIM(MID(SUBSTITUTE(TRIM(CC153)," ",REPT(" ",60)),121,60))&amp;" ",CD153)))),1,0),0)</f>
        <v>0</v>
      </c>
      <c r="CG153" s="68" t="n">
        <f aca="false">IFERROR(LEN(SUBSTITUTE(BF153," ",""))-SUMPRODUCT((LEN(BF153)-LEN(SUBSTITUTE(BF153," "&amp;L_NAFiller&amp;" "," ")))/(LEN(L_NAFiller)+1)*LEN(L_NAFiller)),0)</f>
        <v>0</v>
      </c>
    </row>
    <row r="154" customFormat="false" ht="39.75" hidden="false" customHeight="true" outlineLevel="0" collapsed="false">
      <c r="A154" s="57" t="s">
        <v>683</v>
      </c>
      <c r="B154" s="57" t="s">
        <v>228</v>
      </c>
      <c r="C154" s="57" t="str">
        <f aca="false">Flights!$F$9</f>
        <v>MH0089</v>
      </c>
      <c r="D154" s="58" t="n">
        <f aca="false">Flights!$D$9</f>
        <v>46310</v>
      </c>
      <c r="E154" s="57" t="str">
        <f aca="false">Flights!$G$9&amp;"-"&amp;Flights!$H$9</f>
        <v>NRT-KUL</v>
      </c>
      <c r="F154" s="57" t="str">
        <f aca="false">Flights!$K$9</f>
        <v>EY</v>
      </c>
      <c r="G154" s="57" t="s">
        <v>420</v>
      </c>
      <c r="H154" s="57" t="s">
        <v>378</v>
      </c>
      <c r="I154" s="57" t="s">
        <v>428</v>
      </c>
      <c r="J154" s="57" t="s">
        <v>438</v>
      </c>
      <c r="K154" s="67"/>
      <c r="L154" s="67" t="s">
        <v>422</v>
      </c>
      <c r="M154" s="67"/>
      <c r="N154" s="67" t="s">
        <v>383</v>
      </c>
      <c r="O154" s="67" t="s">
        <v>423</v>
      </c>
      <c r="P154" s="57" t="s">
        <v>220</v>
      </c>
      <c r="Q154" s="59" t="n">
        <f aca="false">ROUND((Flights!$AE$9)*1440,0)/1440</f>
        <v>46309.5451388889</v>
      </c>
      <c r="R154" s="59" t="n">
        <f aca="false">Q154+(IF(AND(INDEX(TZ_DSTS,MATCH(P154,TZ_STN,0))&lt;&gt;"",Q154&gt;=INDEX(TZ_DSTS,MATCH(P154,TZ_STN,0)),Q154&lt;INDEX(TZ_DSTE,MATCH(P154,TZ_STN,0))),INDEX(TZ_DST,MATCH(P154,TZ_STN,0)),INDEX(TZ_STD,MATCH(P154,TZ_STN,0))))/24</f>
        <v>46309.9201388889</v>
      </c>
      <c r="S154" s="60"/>
      <c r="T154" s="60"/>
      <c r="U154" s="60"/>
      <c r="V154" s="60"/>
      <c r="W154" s="61"/>
      <c r="X154" s="60"/>
      <c r="Y154" s="60"/>
      <c r="Z154" s="60"/>
      <c r="AA154" s="60"/>
      <c r="AB154" s="60"/>
      <c r="AC154" s="60"/>
      <c r="AD154" s="66"/>
      <c r="AE154" s="60"/>
      <c r="AF154" s="61" t="str">
        <f aca="false">IF(AND(ISNUMBER(X154),ISNUMBER(Y154)),Y154-X154,"")</f>
        <v/>
      </c>
      <c r="AG154" s="62" t="str">
        <f aca="false">IF(ISNUMBER(AD154),AD154-(IF(AND(INDEX(TZ_DSTS,MATCH(P154,TZ_STN,0))&lt;&gt;"",(AD154-INDEX(TZ_STD,MATCH(P154,TZ_STN,0))/24)&gt;=INDEX(TZ_DSTS,MATCH(P154,TZ_STN,0)),(AD154-INDEX(TZ_STD,MATCH(P154,TZ_STN,0))/24)&lt;INDEX(TZ_DSTE,MATCH(P154,TZ_STN,0))),INDEX(TZ_DST,MATCH(P154,TZ_STN,0)),INDEX(TZ_STD,MATCH(P154,TZ_STN,0))))/24,"")</f>
        <v/>
      </c>
      <c r="AH154" s="65" t="str">
        <f aca="false">IFERROR(IF(N154="N/A – rule",IF(OR(TRIM(U154)="",TRIM(U154)="N/A",TRIM(U154)="Not started"),"N/A – RULE","INVALID – this check does not apply to this aircraft: clear the status (or correct the fleet on Flights)"),IF(TRIM(U154)="N/A",IF(AT154=0,"INVALID – N/A not permitted for this check",IF(AND(TRIM(AB154)&lt;&gt;"",TRIM(AB154)&lt;&gt;"Closed"),"INVALID – corrective action still open",IF(AND(NOT(OR(LEN(AZ154)&lt;15,ISNUMBER(MATCH(AZ154,L_Placeholder,0)))),BK154=0,CG154&gt;=8,NOT(OR(LEN(AU154)&lt;2,ISNUMBER(MATCH(AU154,L_Placeholder,0)))),BR154&gt;=3,NOT(OR(LEN(AX154)&lt;2,ISNUMBER(MATCH(AX154,L_Placeholder,0)))),BS154&gt;=3,TRIM(AE154)&lt;&gt;TRIM(T154),AX154&lt;&gt;AU154,CE154=0),"N/A – JUSTIFIED","INVALID – N/A needs a real, settled reason (not 'not applicable' / 'as above' / TBC), a named PIC and a different named verifier"))),IF(OR(TRIM(U154)="Pass",TRIM(U154)="Pass after CA"),IF(NOT(ISNUMBER(AD154)),"INVALID – completion time missing",IF(OR(OR(LEN(AU154)&lt;2,ISNUMBER(MATCH(AU154,L_Placeholder,0))),BR154&lt;3),"INVALID – PIC missing or not a named person (a role such as QA / CSM is not a name)",IF(OR(LEN(AV154)&lt;2,ISNUMBER(MATCH(AV154,L_Placeholder,0))),"INVALID – result / assessment missing",IF(OR(OR(LEN(AW154)&lt;3,ISNUMBER(MATCH(AW154,L_Placeholder,0))),SUMPRODUCT(--ISNUMBER(SEARCH(" "&amp;L_EvidencePhrase&amp;" ",BD154)))&gt;0,BI154=1),"INVALID – evidence missing, placeholder or not yet on file",IF(ISNA(MATCH(TRIM(S154),L_EvidenceType,0)),"INVALID – choose the evidence type from the list (column S)",IF(BL154=0,"INVALID – evidence ID must be the record's own ID only (e.g. SF-2210, IMG_2231, 1045521); a link / file name needs type 'Link / file path'",IF(OR(OR(LEN(AX154)&lt;2,ISNUMBER(MATCH(AX154,L_Placeholder,0))),BS154&lt;3),"INVALID – verifier missing or not a named person (a role such as QA / CSM is not a name)",IF(OR(AX154=AU154,CE154=1,AND(LEN(AU154)&gt;=4,ISNUMBER(SEARCH(AU154,AX154))),AND(LEN(AX154)&gt;=4,ISNUMBER(SEARCH(AX154,AU154)))),"INVALID – verifier must be a different, named person (not the PIC or a role)",IF(BH154=1,"INVALID – result not yet available (awaiting / TBC)",IF(BG154=1,"INVALID – result describes a problem: record Fail, then Pass after CA (or reword if it is not a problem)",IF(BV154=1,"INVALID – wording says not on board: an on-board confirmation needs the item loaded",IF(AND(AQ154=1,OR(OR(LEN(AY154)&lt;3,ISNUMBER(MATCH(AY154,L_Placeholder,0))),BJ154=1,BQ154=0)),"INVALID – batch ID missing, placeholder or not an ID (e.g. PASB-261008-BC-017)",IF(AND(AR154=1,OR(NOT(ISNUMBER(X154)),NOT(ISNUMBER(Y154)))),"INVALID – expected/actual qty missing",IF(AND(AR154=1,OR(X154&lt;=0,Y154&lt;0)),"INVALID – expected qty must be above 0 and actual not negative",IF(BB154&lt;&gt;"",BB154,IF(AND(AS154=1,Documents!$J$9&lt;&gt;"ON FILE"),"INVALID – GLD not on file (Documents sheet)",IF(AND(AS154=2,Documents!$O$9&lt;&gt;"ON FILE"),"INVALID – menu checklist not on file (Documents sheet)",IF(AND(AS154=3,NOT(ISNUMBER(Flights!$AX$9))),"INVALID – enter carrying flight KUL departure (Flights AX)",IF(AND(AS154=3,OR(Flights!$AZ$9&gt;Flights!$AA$9,Flights!$AX$9&lt;Flights!$AA$9-3)),"INVALID – carrying flight (Flights AX) cannot arrive before this leg's STD, or is over 3 days early",IF(AG154&gt;AsOfUTC,"INVALID – completion time is in the future",IF(AND(ISNUMBER(BY154),AG154&lt;BY154),IF(H154="Physical uplift","INVALID – before uplift window (cannot confirm loading)","INVALID – before valid window"),IF(AG154&gt;Flights!$AA$9,"INVALID – completed after departure (cannot establish readiness)",IF(AND(H154="Preparation",AG154&gt;=IF(ISNUMBER(Flights!$BA$9),MIN(Flights!$BA$9,Flights!$AA$9),Flights!$AA$9)),"INVALID – completed after loading / departure (cannot establish readiness)",IF(AND(H154="Physical uplift",AG154&gt;Q154),"INVALID – recorded after the loading flight departed",IF(AG154&gt;Q154,"COMPLETE – LATE","COMPLETE"))))))))))))))))))))))))),IF(TRIM(U154)="Fail","FAIL – DISCREPANCY",IF(AND(TRIM(U154)&lt;&gt;"",TRIM(U154)&lt;&gt;"Not started",TRIM(U154)&lt;&gt;"In progress"),"INVALID – unrecognised status (use the list)",IF(AsOfUTC&gt;Q154,"OVERDUE",IF(N154="Clarification required","OPEN – CLARIFICATION","OPEN"))))))),"INVALID – error value in an input cell")</f>
        <v>OPEN</v>
      </c>
      <c r="AI154" s="61" t="n">
        <f aca="false">IF(OR(AH154="N/A – RULE",AH154="N/A – JUSTIFIED"),0,1)</f>
        <v>1</v>
      </c>
      <c r="AJ154" s="61" t="n">
        <f aca="false">IF(LEFT(AH154,8)="COMPLETE",1,0)</f>
        <v>0</v>
      </c>
      <c r="AK154" s="61" t="n">
        <f aca="false">IF(AND(AI154=1,AJ154=0,AsOfUTC&gt;Q154),1,0)</f>
        <v>0</v>
      </c>
      <c r="AL154" s="61" t="n">
        <f aca="false">IFERROR(IF(AND(AI154=1,OR(TRIM(U154)="Fail",AND(TRIM(AB154)&lt;&gt;"",TRIM(AB154)&lt;&gt;"Closed"),AND(ISNUMBER(AF154),AF154&lt;&gt;0,TRIM(U154)&lt;&gt;"Pass after CA"))),1,0),1)</f>
        <v>0</v>
      </c>
      <c r="AM154" s="61" t="n">
        <f aca="false">IF(LEFT(AH154,7)="INVALID",1,0)</f>
        <v>0</v>
      </c>
      <c r="AN154" s="61" t="n">
        <f aca="false">IF(AND(N154="Clarification required",AI154=1,AJ154=0),1,0)</f>
        <v>0</v>
      </c>
      <c r="AO154" s="61" t="str">
        <f aca="false">IF(AK154=1,SUM(AK$5:AK154),"")</f>
        <v/>
      </c>
      <c r="AP154" s="61" t="str">
        <f aca="false">IF(AL154=1,SUM(AL$5:AL154),"")</f>
        <v/>
      </c>
      <c r="AQ154" s="61" t="n">
        <v>0</v>
      </c>
      <c r="AR154" s="61" t="n">
        <v>0</v>
      </c>
      <c r="AS154" s="61" t="n">
        <v>0</v>
      </c>
      <c r="AT154" s="61" t="n">
        <v>0</v>
      </c>
      <c r="AU154" s="61" t="str">
        <f aca="false">SUBSTITUTE(SUBSTITUTE(SUBSTITUTE(SUBSTITUTE(SUBSTITUTE(SUBSTITUTE(SUBSTITUTE(SUBSTITUTE(SUBSTITUTE(SUBSTITUTE(SUBSTITUTE(SUBSTITUTE(SUBSTITUTE(SUBSTITUTE(SUBSTITUTE(SUBSTITUTE(LOWER(T154&amp;""),CHAR(10),""),CHAR(13),""),CHAR(9),""),CHAR(160),"")," ",""),".",""),"-",""),"/",""),"?",""),"_",""),",",""),"[",""),"]",""),"(",""),")",""),"*","")</f>
        <v/>
      </c>
      <c r="AV154" s="61" t="str">
        <f aca="false">SUBSTITUTE(SUBSTITUTE(SUBSTITUTE(SUBSTITUTE(SUBSTITUTE(SUBSTITUTE(SUBSTITUTE(SUBSTITUTE(SUBSTITUTE(SUBSTITUTE(SUBSTITUTE(SUBSTITUTE(SUBSTITUTE(SUBSTITUTE(SUBSTITUTE(SUBSTITUTE(LOWER(V154&amp;""),CHAR(10),""),CHAR(13),""),CHAR(9),""),CHAR(160),"")," ",""),".",""),"-",""),"/",""),"?",""),"_",""),",",""),"[",""),"]",""),"(",""),")",""),"*","")</f>
        <v/>
      </c>
      <c r="AW154" s="61" t="str">
        <f aca="false">SUBSTITUTE(SUBSTITUTE(SUBSTITUTE(SUBSTITUTE(SUBSTITUTE(SUBSTITUTE(SUBSTITUTE(SUBSTITUTE(SUBSTITUTE(SUBSTITUTE(SUBSTITUTE(SUBSTITUTE(SUBSTITUTE(SUBSTITUTE(SUBSTITUTE(SUBSTITUTE(LOWER(Z154&amp;""),CHAR(10),""),CHAR(13),""),CHAR(9),""),CHAR(160),"")," ",""),".",""),"-",""),"/",""),"?",""),"_",""),",",""),"[",""),"]",""),"(",""),")",""),"*","")</f>
        <v/>
      </c>
      <c r="AX154" s="61" t="str">
        <f aca="false">SUBSTITUTE(SUBSTITUTE(SUBSTITUTE(SUBSTITUTE(SUBSTITUTE(SUBSTITUTE(SUBSTITUTE(SUBSTITUTE(SUBSTITUTE(SUBSTITUTE(SUBSTITUTE(SUBSTITUTE(SUBSTITUTE(SUBSTITUTE(SUBSTITUTE(SUBSTITUTE(LOWER(AE154&amp;""),CHAR(10),""),CHAR(13),""),CHAR(9),""),CHAR(160),"")," ",""),".",""),"-",""),"/",""),"?",""),"_",""),",",""),"[",""),"]",""),"(",""),")",""),"*","")</f>
        <v/>
      </c>
      <c r="AY154" s="61" t="str">
        <f aca="false">SUBSTITUTE(SUBSTITUTE(SUBSTITUTE(SUBSTITUTE(SUBSTITUTE(SUBSTITUTE(SUBSTITUTE(SUBSTITUTE(SUBSTITUTE(SUBSTITUTE(SUBSTITUTE(SUBSTITUTE(SUBSTITUTE(SUBSTITUTE(SUBSTITUTE(SUBSTITUTE(LOWER(W154&amp;""),CHAR(10),""),CHAR(13),""),CHAR(9),""),CHAR(160),"")," ",""),".",""),"-",""),"/",""),"?",""),"_",""),",",""),"[",""),"]",""),"(",""),")",""),"*","")</f>
        <v/>
      </c>
      <c r="AZ154" s="61" t="str">
        <f aca="false">SUBSTITUTE(SUBSTITUTE(SUBSTITUTE(SUBSTITUTE(SUBSTITUTE(SUBSTITUTE(SUBSTITUTE(SUBSTITUTE(SUBSTITUTE(SUBSTITUTE(SUBSTITUTE(SUBSTITUTE(SUBSTITUTE(SUBSTITUTE(SUBSTITUTE(SUBSTITUTE(LOWER(AC154&amp;""),CHAR(10),""),CHAR(13),""),CHAR(9),""),CHAR(160),"")," ",""),".",""),"-",""),"/",""),"?",""),"_",""),",",""),"[",""),"]",""),"(",""),")",""),"*","")</f>
        <v/>
      </c>
      <c r="BA154" s="61" t="str">
        <f aca="false">SUBSTITUTE(SUBSTITUTE(SUBSTITUTE(SUBSTITUTE(SUBSTITUTE(SUBSTITUTE(SUBSTITUTE(SUBSTITUTE(SUBSTITUTE(SUBSTITUTE(SUBSTITUTE(SUBSTITUTE(SUBSTITUTE(SUBSTITUTE(SUBSTITUTE(SUBSTITUTE(LOWER(AA154&amp;""),CHAR(10),""),CHAR(13),""),CHAR(9),""),CHAR(160),"")," ",""),".",""),"-",""),"/",""),"?",""),"_",""),",",""),"[",""),"]",""),"(",""),")",""),"*","")</f>
        <v/>
      </c>
      <c r="BB154" s="61" t="str">
        <f aca="false">IF(AND(TRIM(U154)="Pass",ISNUMBER(AF154)),IF(AF154&lt;&gt;0,"INVALID – qty variance: use Fail or Pass after CA",""),"")&amp;IF(AND(TRIM(U154)="Pass after CA",ISNUMBER(AF154)),IF(AF154&lt;&gt;0,"INVALID – after the corrective action the actual qty must equal expected (update Actual)",""),"")&amp;IF(AND(TRIM(U154)="Pass",TRIM(AB154)&lt;&gt;"",TRIM(AB154)&lt;&gt;"Closed"),"INVALID – corrective action not closed: use Fail, then Pass after CA","")&amp;IF(AND(LEN(BA154)&gt;=2,ISNA(MATCH(LEFT(BA154,255),L_Placeholder,0)),TRIM(AB154)=""),"INVALID – CA status missing for the recorded corrective action","")&amp;IF(AND(TRIM(U154)="Pass after CA",OR(OR(LEN(BA154)&lt;5,ISNUMBER(MATCH(BA154,L_Placeholder,0))),TRIM(AB154)&lt;&gt;"Closed")),"INVALID – corrective action not recorded/closed","")</f>
        <v/>
      </c>
      <c r="BC154" s="61" t="str">
        <f aca="false">" "&amp;TRIM(SUBSTITUTE(SUBSTITUTE(SUBSTITUTE(SUBSTITUTE(SUBSTITUTE(SUBSTITUTE(SUBSTITUTE(SUBSTITUTE(SUBSTITUTE(SUBSTITUTE(SUBSTITUTE(SUBSTITUTE(SUBSTITUTE(SUBSTITUTE(SUBSTITUTE(SUBSTITUTE(SUBSTITUTE(SUBSTITUTE(SUBSTITUTE(SUBSTITUTE(SUBSTITUTE(SUBSTITUTE(SUBSTITUTE(SUBSTITUTE(LOWER(V154&amp;""),CHAR(10)," "),CHAR(13)," "),CHAR(9)," "),CHAR(160)," "),"."," "),","," "),"-"," "),"/"," "),"("," "),")"," "),":"," "),";"," "),"_"," "),"–"," "),"?"," "),"!"," "),"*"," "),"["," "),"]"," "),"'"," "),"#"," "),"+"," "),"&amp;"," "),"\"," "))&amp;" "</f>
        <v>  </v>
      </c>
      <c r="BD154" s="61" t="str">
        <f aca="false">" "&amp;TRIM(SUBSTITUTE(SUBSTITUTE(SUBSTITUTE(SUBSTITUTE(SUBSTITUTE(SUBSTITUTE(SUBSTITUTE(SUBSTITUTE(SUBSTITUTE(SUBSTITUTE(SUBSTITUTE(SUBSTITUTE(SUBSTITUTE(SUBSTITUTE(SUBSTITUTE(SUBSTITUTE(SUBSTITUTE(SUBSTITUTE(SUBSTITUTE(SUBSTITUTE(SUBSTITUTE(SUBSTITUTE(SUBSTITUTE(SUBSTITUTE(LOWER(Z154&amp;""),CHAR(10)," "),CHAR(13)," "),CHAR(9)," "),CHAR(160)," "),"."," "),","," "),"-"," "),"/"," "),"("," "),")"," "),":"," "),";"," "),"_"," "),"–"," "),"?"," "),"!"," "),"*"," "),"["," "),"]"," "),"'"," "),"#"," "),"+"," "),"&amp;"," "),"\"," "))&amp;" "</f>
        <v>  </v>
      </c>
      <c r="BE154" s="61" t="str">
        <f aca="false">" "&amp;TRIM(SUBSTITUTE(SUBSTITUTE(SUBSTITUTE(SUBSTITUTE(SUBSTITUTE(SUBSTITUTE(SUBSTITUTE(SUBSTITUTE(SUBSTITUTE(SUBSTITUTE(SUBSTITUTE(SUBSTITUTE(SUBSTITUTE(SUBSTITUTE(SUBSTITUTE(SUBSTITUTE(SUBSTITUTE(SUBSTITUTE(SUBSTITUTE(SUBSTITUTE(SUBSTITUTE(SUBSTITUTE(SUBSTITUTE(SUBSTITUTE(LOWER(W154&amp;""),CHAR(10)," "),CHAR(13)," "),CHAR(9)," "),CHAR(160)," "),"."," "),","," "),"-"," "),"/"," "),"("," "),")"," "),":"," "),";"," "),"_"," "),"–"," "),"?"," "),"!"," "),"*"," "),"["," "),"]"," "),"'"," "),"#"," "),"+"," "),"&amp;"," "),"\"," "))&amp;" "</f>
        <v>  </v>
      </c>
      <c r="BF154" s="61" t="str">
        <f aca="false">" "&amp;TRIM(SUBSTITUTE(SUBSTITUTE(SUBSTITUTE(SUBSTITUTE(SUBSTITUTE(SUBSTITUTE(SUBSTITUTE(SUBSTITUTE(SUBSTITUTE(SUBSTITUTE(SUBSTITUTE(SUBSTITUTE(SUBSTITUTE(SUBSTITUTE(SUBSTITUTE(SUBSTITUTE(SUBSTITUTE(SUBSTITUTE(SUBSTITUTE(SUBSTITUTE(SUBSTITUTE(SUBSTITUTE(SUBSTITUTE(SUBSTITUTE(LOWER(AC154&amp;""),CHAR(10)," "),CHAR(13)," "),CHAR(9)," "),CHAR(160)," "),"."," "),","," "),"-"," "),"/"," "),"("," "),")"," "),":"," "),";"," "),"_"," "),"–"," "),"?"," "),"!"," "),"*"," "),"["," "),"]"," "),"'"," "),"#"," "),"+"," "),"&amp;"," "),"\"," "))&amp;" "</f>
        <v>  </v>
      </c>
      <c r="BG154" s="61" t="n">
        <f aca="false">IFERROR(IF(AND(TRIM(U154)="Pass",SUMPRODUCT((LEN(BC154)-LEN(SUBSTITUTE(BC154," "&amp;L_ResultBad&amp;" "," ")))/(LEN(L_ResultBad)+1))&gt;SUMPRODUCT((LEN(BC154)-LEN(SUBSTITUTE(BC154," "&amp;L_NegPhrase&amp;" "," ")))/(LEN(L_NegPhrase)+1))),1,0),0)</f>
        <v>0</v>
      </c>
      <c r="BH154" s="61" t="n">
        <f aca="false">IFERROR(IF(SUMPRODUCT((LEN(BC154)-LEN(SUBSTITUTE(BC154," "&amp;L_Pending&amp;" "," ")))/(LEN(L_Pending)+1))&gt;SUMPRODUCT((LEN(BC154)-LEN(SUBSTITUTE(BC154," "&amp;L_PendNeg&amp;" "," ")))/(LEN(L_PendNeg)+1))+SUMPRODUCT((LEN(BC154)-LEN(SUBSTITUTE(BC154," "&amp;L_PendPrep&amp;" "," ")))/(LEN(L_PendPrep)+1)),1,0),1)</f>
        <v>0</v>
      </c>
      <c r="BI154" s="61" t="n">
        <f aca="false">IFERROR(IF(SUMPRODUCT((LEN(BD154)-LEN(SUBSTITUTE(BD154," "&amp;L_PendStrict&amp;" "," ")))/(LEN(L_PendStrict)+1))&gt;SUMPRODUCT((LEN(BD154)-LEN(SUBSTITUTE(BD154," "&amp;L_PendNeg&amp;" "," ")))/(LEN(L_PendNeg)+1)),1,0),1)</f>
        <v>0</v>
      </c>
      <c r="BJ154" s="61" t="n">
        <f aca="false">IFERROR(IF(SUMPRODUCT((LEN(BE154)-LEN(SUBSTITUTE(BE154," "&amp;L_Pending&amp;" "," ")))/(LEN(L_Pending)+1))&gt;SUMPRODUCT((LEN(BE154)-LEN(SUBSTITUTE(BE154," "&amp;L_PendNeg&amp;" "," ")))/(LEN(L_PendNeg)+1))+SUMPRODUCT((LEN(BE154)-LEN(SUBSTITUTE(BE154," "&amp;L_PendPrep&amp;" "," ")))/(LEN(L_PendPrep)+1)),1,0),1)</f>
        <v>0</v>
      </c>
      <c r="BK154" s="61" t="n">
        <f aca="false">IFERROR(IF(SUMPRODUCT((LEN(BF154)-LEN(SUBSTITUTE(BF154," "&amp;L_PendStrict&amp;" "," ")))/(LEN(L_PendStrict)+1))&gt;SUMPRODUCT((LEN(BF154)-LEN(SUBSTITUTE(BF154," "&amp;L_PendNeg&amp;" "," ")))/(LEN(L_PendNeg)+1)),1,0),1)</f>
        <v>0</v>
      </c>
      <c r="BL154" s="61" t="n">
        <f aca="false">IF(ISNA(MATCH(TRIM(S154),L_EvidenceType,0)),0,BZ154)</f>
        <v>0</v>
      </c>
      <c r="BM154" s="61" t="str">
        <f aca="false">SUBSTITUTE(SUBSTITUTE(SUBSTITUTE(SUBSTITUTE(SUBSTITUTE(SUBSTITUTE(SUBSTITUTE(SUBSTITUTE(SUBSTITUTE(LOWER(Z154&amp;""),"1","0"),"2","0"),"3","0"),"4","0"),"5","0"),"6","0"),"7","0"),"8","0"),"9","0")</f>
        <v/>
      </c>
      <c r="BN154" s="61" t="str">
        <f aca="false">SUBSTITUTE(SUBSTITUTE(SUBSTITUTE(SUBSTITUTE(SUBSTITUTE(SUBSTITUTE(SUBSTITUTE(SUBSTITUTE(SUBSTITUTE(SUBSTITUTE(SUBSTITUTE(SUBSTITUTE(SUBSTITUTE(SUBSTITUTE(SUBSTITUTE(SUBSTITUTE(SUBSTITUTE(SUBSTITUTE(SUBSTITUTE(SUBSTITUTE(SUBSTITUTE(SUBSTITUTE(SUBSTITUTE(SUBSTITUTE(SUBSTITUTE(BM154,"b","a"),"c","a"),"d","a"),"e","a"),"f","a"),"g","a"),"h","a"),"i","a"),"j","a"),"k","a"),"l","a"),"m","a"),"n","a"),"o","a"),"p","a"),"q","a"),"r","a"),"s","a"),"t","a"),"u","a"),"v","a"),"w","a"),"x","a"),"y","a"),"z","a")</f>
        <v/>
      </c>
      <c r="BO154" s="61" t="str">
        <f aca="false">SUBSTITUTE(SUBSTITUTE(SUBSTITUTE(SUBSTITUTE(SUBSTITUTE(SUBSTITUTE(SUBSTITUTE(SUBSTITUTE(SUBSTITUTE(LOWER(W154&amp;""),"1","0"),"2","0"),"3","0"),"4","0"),"5","0"),"6","0"),"7","0"),"8","0"),"9","0")</f>
        <v/>
      </c>
      <c r="BP154" s="61" t="str">
        <f aca="false">SUBSTITUTE(SUBSTITUTE(SUBSTITUTE(SUBSTITUTE(SUBSTITUTE(SUBSTITUTE(SUBSTITUTE(SUBSTITUTE(SUBSTITUTE(SUBSTITUTE(SUBSTITUTE(SUBSTITUTE(SUBSTITUTE(SUBSTITUTE(SUBSTITUTE(SUBSTITUTE(SUBSTITUTE(SUBSTITUTE(SUBSTITUTE(SUBSTITUTE(SUBSTITUTE(SUBSTITUTE(SUBSTITUTE(SUBSTITUTE(SUBSTITUTE(BO154,"b","a"),"c","a"),"d","a"),"e","a"),"f","a"),"g","a"),"h","a"),"i","a"),"j","a"),"k","a"),"l","a"),"m","a"),"n","a"),"o","a"),"p","a"),"q","a"),"r","a"),"s","a"),"t","a"),"u","a"),"v","a"),"w","a"),"x","a"),"y","a"),"z","a")</f>
        <v/>
      </c>
      <c r="BQ154" s="61" t="n">
        <f aca="false">IFERROR(IF(AND(ISERROR(SEARCH(" mh"," "&amp;LOWER(W154))),ISNA(MATCH(LEFT(TRIM(BP154),255),{"0000a","000a","00a","0000aa","000aa","00aa","0aa","0000aaa","000aaa","00a00","0a00","0000-0000","00:00","a00","a0","00.00.0000","00/00/0000","00-00-0000","0000-00-00","0000/00/00","0000.00.00","00.00.00","00/00/00","00-00-00","0.00.0000","0/00/0000","0-00-0000"},0)),ISNA(MATCH(LEFT(TRIM(CA154),255),{"0000a","000a","00a","0000aa","000aa","00aa","0aa","0000aaa","000aaa","00a00","0a00","0000-0000","00:00","a00","a0","00.00.0000","00/00/0000","00-00-0000","0000-00-00","0000/00/00","0000.00.00","00.00.00","00/00/00","00-00-00","0.00.0000","0/00/0000","0-00-0000"},0)),LEN(CB154)&gt;=3,NOT(OR(SUBSTITUTE(CB154,"0","")="",AND(LEN(CB154)&gt;=4,CB154=REPT(LEFT(CB154),LEN(CB154))),ISNUMBER(MATCH(CB154,{"123","1234","12345","123456","1234567","12345678","0123","01234","012345","98765","987654","54321"},0)),AND(LEN(CB154)=8,LEFT(CB154,3)="202"))),OR(AND((LEN(CA154)-LEN(SUBSTITUTE(CA154,"a","")))&gt;=1,SUMPRODUCT(--ISNUMBER(SEARCH({"a0","a-0","a_0","a/0","a.0","a#0","0a","0-a","0_a","0/a"},BP154)))&gt;0),ISNUMBER(SEARCH("000000",BP154)))),1,0),0)</f>
        <v>0</v>
      </c>
      <c r="BR154" s="61" t="n">
        <f aca="false">IFERROR(LEN(SUBSTITUTE(CC154," ",""))-SUMPRODUCT((LEN(CC154)-LEN(SUBSTITUTE(CC154," "&amp;L_Role&amp;" "," ")))/(LEN(L_Role)+1)*LEN(L_Role)),0)</f>
        <v>0</v>
      </c>
      <c r="BS154" s="61" t="n">
        <f aca="false">IFERROR(LEN(SUBSTITUTE(CD154," ",""))-SUMPRODUCT((LEN(CD154)-LEN(SUBSTITUTE(CD154," "&amp;L_Role&amp;" "," ")))/(LEN(L_Role)+1)*LEN(L_Role)),0)</f>
        <v>0</v>
      </c>
      <c r="BT1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154,"revision",""),"version",""),"jan",""),"feb",""),"mar",""),"apr",""),"may",""),"jun",""),"jul",""),"aug",""),"sep",""),"oct",""),"nov",""),"dec",""),"utc",""),"gmt",""),"myt",""),"bst",""),"rev",""),"ver",""),"b","a"),"c","a"),"d","a"),"e","a"),"f","a"),"g","a"),"h","a"),"i","a"),"j","a"),"k","a"),"l","a"),"m","a"),"n","a"),"o","a"),"p","a"),"q","a"),"r","a"),"s","a"),"t","a"),"u","a"),"v","a"),"w","a"),"x","a"),"y","a"),"z","a")</f>
        <v/>
      </c>
      <c r="BU154" s="61" t="str">
        <f aca="false">SUBSTITUTE(SUBSTITUTE(SUBSTITUTE(SUBSTITUTE(SUBSTITUTE(SUBSTITUTE(SUBSTITUTE(SUBSTITUTE(SUBSTITUTE(SUBSTITUTE(LEFT(BM154,FIND("0",BM154&amp;"0")-1),"-",""),"_",""),"/",""),".",""),"#",""),"\\",""),":","")," ",""),"(",""),")","")</f>
        <v/>
      </c>
      <c r="BV154" s="61" t="n">
        <f aca="false">0</f>
        <v>0</v>
      </c>
      <c r="BW1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154&amp;""),"a",""),"b",""),"c",""),"d",""),"e",""),"f",""),"g",""),"h",""),"i",""),"j",""),"k",""),"l",""),"m",""),"n",""),"o",""),"p",""),"q",""),"r",""),"s",""),"t",""),"u",""),"v",""),"w",""),"x",""),"y",""),"z",""),"-",""),"_",""),"/",""),".",""),"#",""),"\\",""),":","")," ",""),"(",""),")","")</f>
        <v/>
      </c>
      <c r="BX154" s="61" t="str">
        <f aca="false">SUBSTITUTE(SUBSTITUTE(SUBSTITUTE(SUBSTITUTE(SUBSTITUTE(SUBSTITUTE(SUBSTITUTE(SUBSTITUTE(SUBSTITUTE(SUBSTITUTE(SUBSTITUTE(BM154,"0",""),"-",""),"_",""),"/",""),".",""),"#",""),"\\",""),":","")," ",""),"(",""),")","")</f>
        <v/>
      </c>
      <c r="BY154" s="62" t="n">
        <f aca="false">Q154-T12EarlyH/24</f>
        <v>46309.0451388889</v>
      </c>
      <c r="BZ154" s="61" t="n">
        <f aca="false">IFERROR(IF(IF(TRIM(S154)="Link / file path",AND(LEN(TRIM(Z154))&gt;=5,SUMPRODUCT(--ISNUMBER(SEARCH({"http","www.","\\",":\",".pdf",".jpg",".jpeg",".png",".heic",".xls",".doc",".msg",".eml",".ppt",".txt",".zip"},Z154)))&gt;0),AND(ISERROR(FIND(" ",TRIM(Z154))),NOT(OR(SUMPRODUCT(--ISNUMBER(FIND({",",";","&amp;","+"},Z154)))&gt;0,SUMPRODUCT(--ISNUMBER(SEARCH({"0/aa","0\\aa"},BN154)))&gt;0)),NOT(SUMPRODUCT(--ISNUMBER(SEARCH({"http","www.","\\",":\",".pdf",".jpg",".jpeg",".png",".heic",".xls",".doc",".msg",".eml",".ppt",".txt",".zip"},Z154)))&gt;0),NOT(LOWER(TRIM(Z154))=LOWER(Flights!$F$9)),ISNA(MATCH(BU154,{"mh","rev","revision","ver","version","v","r","a","b","seat","tray","row","gate","bay","stand","page","pg","item","line","no","cart","galley","flight","flt","table","box","bag","oven","etd","eta","std","sta","atd","ata","qty","pax","x","time","tel","ph","mob","day","wk","week","utc","gmt","myt","lt"},0)),NOT(OR(ISNUMBER(MATCH(LEFT(BN154,255),{"0000a","000a","00a","0000aa","000aa","00aa","0aa","0000aaa","000aaa","00a00","0a00","0000-0000","00:00","a00","a0","00.00.0000","00/00/0000","00-00-0000","0000-00-00","0000/00/00","0000.00.00","00.00.00","00/00/00","00-00-00","0.00.0000","0/00/0000","0-00-0000"},0)),ISNUMBER(MATCH(LEFT(BT154,255),{"0000a","000a","00a","0000aa","000aa","00aa","0aa","0000aaa","000aaa","00a00","0a00","0000-0000","00:00","a00","a0","00.00.0000","00/00/0000","00-00-0000","0000-00-00","0000/00/00","0000.00.00","00.00.00","00/00/00","00-00-00","0.00.0000","0/00/0000","0-00-0000"},0)))),NOT(OR(AND(BW154&lt;&gt;"",SUBSTITUTE(BW154,"0","")=""),AND(LEN(BW154)&gt;=4,BW154=REPT(LEFT(BW154),LEN(BW154))),ISNUMBER(MATCH(BW154,{"123","1234","12345","123456","1234567","12345678","0123","01234","012345","98765","987654","54321"},0)),ISNUMBER(MATCH(BX154,{"x","xx","xxx","xxxx","xxxxx","abc","abcd","nil","na","nan","test","tbc","tba","tbd","dummy","sample","example","eg","zz","zzz","none","null","xyz","qwe","asd","id","ref"},0)),AND(LEN(BW154)=8,BX154="",OR(LEFT(BW154,3)="202",ISNUMBER(MATCH(RIGHT(BW154,4),{"2025","2026","2027"},0)))))),OR(AND((LEN(BT154)-LEN(SUBSTITUTE(BT154,"a","")))&gt;=1,(LEN(BN154)-LEN(SUBSTITUTE(BN154,"0","")))&gt;=2,SUMPRODUCT(--ISNUMBER(SEARCH({"a0","a-0","a_0","a/0","a.0","a#0","0a","0-a","0_a","0/a"},BN154)))&gt;0),AND((LEN(BN154)-LEN(SUBSTITUTE(BN154,"a","")))=0,(LEN(BN154)-LEN(SUBSTITUTE(BN154,"0","")))&gt;=5)))),1,0),0)</f>
        <v>0</v>
      </c>
      <c r="CA1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154,"revision",""),"version",""),"jan",""),"feb",""),"mar",""),"apr",""),"may",""),"jun",""),"jul",""),"aug",""),"sep",""),"oct",""),"nov",""),"dec",""),"utc",""),"gmt",""),"myt",""),"bst",""),"rev",""),"ver",""),"b","a"),"c","a"),"d","a"),"e","a"),"f","a"),"g","a"),"h","a"),"i","a"),"j","a"),"k","a"),"l","a"),"m","a"),"n","a"),"o","a"),"p","a"),"q","a"),"r","a"),"s","a"),"t","a"),"u","a"),"v","a"),"w","a"),"x","a"),"y","a"),"z","a")</f>
        <v/>
      </c>
      <c r="CB1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154&amp;""),"a",""),"b",""),"c",""),"d",""),"e",""),"f",""),"g",""),"h",""),"i",""),"j",""),"k",""),"l",""),"m",""),"n",""),"o",""),"p",""),"q",""),"r",""),"s",""),"t",""),"u",""),"v",""),"w",""),"x",""),"y",""),"z",""),"-",""),"_",""),"/",""),".",""),"#",""),"\\",""),":","")," ",""),"(",""),")","")</f>
        <v/>
      </c>
      <c r="CC154" s="0" t="str">
        <f aca="false">" "&amp;TRIM(SUBSTITUTE(SUBSTITUTE(SUBSTITUTE(SUBSTITUTE(SUBSTITUTE(SUBSTITUTE(SUBSTITUTE(SUBSTITUTE(SUBSTITUTE(SUBSTITUTE(SUBSTITUTE(SUBSTITUTE(SUBSTITUTE(SUBSTITUTE(SUBSTITUTE(SUBSTITUTE(SUBSTITUTE(SUBSTITUTE(SUBSTITUTE(SUBSTITUTE(SUBSTITUTE(SUBSTITUTE(SUBSTITUTE(SUBSTITUTE(LOWER(T154&amp;""),CHAR(10)," "),CHAR(13)," "),CHAR(9)," "),CHAR(160)," "),"."," "),","," "),"-"," "),"/"," "),"("," "),")"," "),":"," "),";"," "),"_"," "),"–"," "),"?"," "),"!"," "),"*"," "),"["," "),"]"," "),"'"," "),"#"," "),"+"," "),"&amp;"," "),"\"," "))&amp;" "</f>
        <v>  </v>
      </c>
      <c r="CD154" s="0" t="str">
        <f aca="false">" "&amp;TRIM(SUBSTITUTE(SUBSTITUTE(SUBSTITUTE(SUBSTITUTE(SUBSTITUTE(SUBSTITUTE(SUBSTITUTE(SUBSTITUTE(SUBSTITUTE(SUBSTITUTE(SUBSTITUTE(SUBSTITUTE(SUBSTITUTE(SUBSTITUTE(SUBSTITUTE(SUBSTITUTE(SUBSTITUTE(SUBSTITUTE(SUBSTITUTE(SUBSTITUTE(SUBSTITUTE(SUBSTITUTE(SUBSTITUTE(SUBSTITUTE(LOWER(AE154&amp;""),CHAR(10)," "),CHAR(13)," "),CHAR(9)," "),CHAR(160)," "),"."," "),","," "),"-"," "),"/"," "),"("," "),")"," "),":"," "),";"," "),"_"," "),"–"," "),"?"," "),"!"," "),"*"," "),"["," "),"]"," "),"'"," "),"#"," "),"+"," "),"&amp;"," "),"\"," "))&amp;" "</f>
        <v>  </v>
      </c>
      <c r="CE154" s="68" t="n">
        <f aca="false">IFERROR(IF(AND(LEN(AU154)&gt;0,LEN(AU154)=LEN(AX154),OR(TRIM(MID(SUBSTITUTE(TRIM(CC154)," ",REPT(" ",60)),1,60))="",ISNUMBER(SEARCH(" "&amp;TRIM(MID(SUBSTITUTE(TRIM(CC154)," ",REPT(" ",60)),1,60))&amp;" ",CD154))),OR(TRIM(MID(SUBSTITUTE(TRIM(CC154)," ",REPT(" ",60)),61,60))="",ISNUMBER(SEARCH(" "&amp;TRIM(MID(SUBSTITUTE(TRIM(CC154)," ",REPT(" ",60)),61,60))&amp;" ",CD154))),OR(TRIM(MID(SUBSTITUTE(TRIM(CC154)," ",REPT(" ",60)),121,60))="",ISNUMBER(SEARCH(" "&amp;TRIM(MID(SUBSTITUTE(TRIM(CC154)," ",REPT(" ",60)),121,60))&amp;" ",CD154)))),1,0),0)</f>
        <v>0</v>
      </c>
      <c r="CG154" s="68" t="n">
        <f aca="false">IFERROR(LEN(SUBSTITUTE(BF154," ",""))-SUMPRODUCT((LEN(BF154)-LEN(SUBSTITUTE(BF154," "&amp;L_NAFiller&amp;" "," ")))/(LEN(L_NAFiller)+1)*LEN(L_NAFiller)),0)</f>
        <v>0</v>
      </c>
    </row>
    <row r="155" customFormat="false" ht="78.75" hidden="false" customHeight="true" outlineLevel="0" collapsed="false">
      <c r="A155" s="57" t="s">
        <v>684</v>
      </c>
      <c r="B155" s="57" t="s">
        <v>228</v>
      </c>
      <c r="C155" s="57" t="str">
        <f aca="false">Flights!$F$9</f>
        <v>MH0089</v>
      </c>
      <c r="D155" s="58" t="n">
        <f aca="false">Flights!$D$9</f>
        <v>46310</v>
      </c>
      <c r="E155" s="57" t="str">
        <f aca="false">Flights!$G$9&amp;"-"&amp;Flights!$H$9</f>
        <v>NRT-KUL</v>
      </c>
      <c r="F155" s="57" t="str">
        <f aca="false">Flights!$K$9</f>
        <v>EY</v>
      </c>
      <c r="G155" s="57" t="s">
        <v>420</v>
      </c>
      <c r="H155" s="57" t="s">
        <v>378</v>
      </c>
      <c r="I155" s="57" t="s">
        <v>440</v>
      </c>
      <c r="J155" s="57" t="s">
        <v>441</v>
      </c>
      <c r="K155" s="67" t="s">
        <v>442</v>
      </c>
      <c r="L155" s="67" t="s">
        <v>601</v>
      </c>
      <c r="M155" s="67" t="s">
        <v>187</v>
      </c>
      <c r="N155" s="67" t="s">
        <v>444</v>
      </c>
      <c r="O155" s="67" t="s">
        <v>685</v>
      </c>
      <c r="P155" s="57" t="s">
        <v>187</v>
      </c>
      <c r="Q155" s="59" t="n">
        <f aca="false">ROUND((MIN(Flights!$AE$9,Flights!$AY$9))*1440,0)/1440</f>
        <v>46309.4965277778</v>
      </c>
      <c r="R155" s="59" t="n">
        <f aca="false">Q155+(IF(AND(INDEX(TZ_DSTS,MATCH(P155,TZ_STN,0))&lt;&gt;"",Q155&gt;=INDEX(TZ_DSTS,MATCH(P155,TZ_STN,0)),Q155&lt;INDEX(TZ_DSTE,MATCH(P155,TZ_STN,0))),INDEX(TZ_DST,MATCH(P155,TZ_STN,0)),INDEX(TZ_STD,MATCH(P155,TZ_STN,0))))/24</f>
        <v>46309.8298611111</v>
      </c>
      <c r="S155" s="60"/>
      <c r="T155" s="60"/>
      <c r="U155" s="60"/>
      <c r="V155" s="60"/>
      <c r="W155" s="61"/>
      <c r="X155" s="60"/>
      <c r="Y155" s="60"/>
      <c r="Z155" s="60"/>
      <c r="AA155" s="60"/>
      <c r="AB155" s="60"/>
      <c r="AC155" s="60"/>
      <c r="AD155" s="66"/>
      <c r="AE155" s="60"/>
      <c r="AF155" s="61" t="str">
        <f aca="false">IF(AND(ISNUMBER(X155),ISNUMBER(Y155)),Y155-X155,"")</f>
        <v/>
      </c>
      <c r="AG155" s="62" t="str">
        <f aca="false">IF(ISNUMBER(AD155),AD155-(IF(AND(INDEX(TZ_DSTS,MATCH(P155,TZ_STN,0))&lt;&gt;"",(AD155-INDEX(TZ_STD,MATCH(P155,TZ_STN,0))/24)&gt;=INDEX(TZ_DSTS,MATCH(P155,TZ_STN,0)),(AD155-INDEX(TZ_STD,MATCH(P155,TZ_STN,0))/24)&lt;INDEX(TZ_DSTE,MATCH(P155,TZ_STN,0))),INDEX(TZ_DST,MATCH(P155,TZ_STN,0)),INDEX(TZ_STD,MATCH(P155,TZ_STN,0))))/24,"")</f>
        <v/>
      </c>
      <c r="AH155" s="65" t="str">
        <f aca="false">IFERROR(IF(N155="N/A – rule",IF(OR(TRIM(U155)="",TRIM(U155)="N/A",TRIM(U155)="Not started"),"N/A – RULE","INVALID – this check does not apply to this aircraft: clear the status (or correct the fleet on Flights)"),IF(TRIM(U155)="N/A",IF(AT155=0,"INVALID – N/A not permitted for this check",IF(AND(TRIM(AB155)&lt;&gt;"",TRIM(AB155)&lt;&gt;"Closed"),"INVALID – corrective action still open",IF(AND(NOT(OR(LEN(AZ155)&lt;15,ISNUMBER(MATCH(AZ155,L_Placeholder,0)))),BK155=0,CG155&gt;=8,NOT(OR(LEN(AU155)&lt;2,ISNUMBER(MATCH(AU155,L_Placeholder,0)))),BR155&gt;=3,NOT(OR(LEN(AX155)&lt;2,ISNUMBER(MATCH(AX155,L_Placeholder,0)))),BS155&gt;=3,TRIM(AE155)&lt;&gt;TRIM(T155),AX155&lt;&gt;AU155,CE155=0),"N/A – JUSTIFIED","INVALID – N/A needs a real, settled reason (not 'not applicable' / 'as above' / TBC), a named PIC and a different named verifier"))),IF(OR(TRIM(U155)="Pass",TRIM(U155)="Pass after CA"),IF(NOT(ISNUMBER(AD155)),"INVALID – completion time missing",IF(OR(OR(LEN(AU155)&lt;2,ISNUMBER(MATCH(AU155,L_Placeholder,0))),BR155&lt;3),"INVALID – PIC missing or not a named person (a role such as QA / CSM is not a name)",IF(OR(LEN(AV155)&lt;2,ISNUMBER(MATCH(AV155,L_Placeholder,0))),"INVALID – result / assessment missing",IF(OR(OR(LEN(AW155)&lt;3,ISNUMBER(MATCH(AW155,L_Placeholder,0))),SUMPRODUCT(--ISNUMBER(SEARCH(" "&amp;L_EvidencePhrase&amp;" ",BD155)))&gt;0,BI155=1),"INVALID – evidence missing, placeholder or not yet on file",IF(ISNA(MATCH(TRIM(S155),L_EvidenceType,0)),"INVALID – choose the evidence type from the list (column S)",IF(BL155=0,"INVALID – evidence ID must be the record's own ID only (e.g. SF-2210, IMG_2231, 1045521); a link / file name needs type 'Link / file path'",IF(OR(OR(LEN(AX155)&lt;2,ISNUMBER(MATCH(AX155,L_Placeholder,0))),BS155&lt;3),"INVALID – verifier missing or not a named person (a role such as QA / CSM is not a name)",IF(OR(AX155=AU155,CE155=1,AND(LEN(AU155)&gt;=4,ISNUMBER(SEARCH(AU155,AX155))),AND(LEN(AX155)&gt;=4,ISNUMBER(SEARCH(AX155,AU155)))),"INVALID – verifier must be a different, named person (not the PIC or a role)",IF(BH155=1,"INVALID – result not yet available (awaiting / TBC)",IF(BG155=1,"INVALID – result describes a problem: record Fail, then Pass after CA (or reword if it is not a problem)",IF(BV155=1,"INVALID – wording says not on board: an on-board confirmation needs the item loaded",IF(AND(AQ155=1,OR(OR(LEN(AY155)&lt;3,ISNUMBER(MATCH(AY155,L_Placeholder,0))),BJ155=1,BQ155=0)),"INVALID – batch ID missing, placeholder or not an ID (e.g. PASB-261008-BC-017)",IF(AND(AR155=1,OR(NOT(ISNUMBER(X155)),NOT(ISNUMBER(Y155)))),"INVALID – expected/actual qty missing",IF(AND(AR155=1,OR(X155&lt;=0,Y155&lt;0)),"INVALID – expected qty must be above 0 and actual not negative",IF(BB155&lt;&gt;"",BB155,IF(AND(AS155=1,Documents!$J$9&lt;&gt;"ON FILE"),"INVALID – GLD not on file (Documents sheet)",IF(AND(AS155=2,Documents!$O$9&lt;&gt;"ON FILE"),"INVALID – menu checklist not on file (Documents sheet)",IF(AND(AS155=3,NOT(ISNUMBER(Flights!$AX$9))),"INVALID – enter carrying flight KUL departure (Flights AX)",IF(AND(AS155=3,OR(Flights!$AZ$9&gt;Flights!$AA$9,Flights!$AX$9&lt;Flights!$AA$9-3)),"INVALID – carrying flight (Flights AX) cannot arrive before this leg's STD, or is over 3 days early",IF(AG155&gt;AsOfUTC,"INVALID – completion time is in the future",IF(AND(ISNUMBER(BY155),AG155&lt;BY155),IF(H155="Physical uplift","INVALID – before uplift window (cannot confirm loading)","INVALID – before valid window"),IF(AG155&gt;Flights!$AA$9,"INVALID – completed after departure (cannot establish readiness)",IF(AND(H155="Preparation",AG155&gt;=Flights!$AY$9+UpliftWindowH/24),"INVALID – completed after the carrying flight left KUL",IF(AND(H155="Physical uplift",AG155&gt;Q155),"INVALID – recorded after the loading flight departed",IF(AG155&gt;Q155,"COMPLETE – LATE","COMPLETE"))))))))))))))))))))))))),IF(TRIM(U155)="Fail","FAIL – DISCREPANCY",IF(AND(TRIM(U155)&lt;&gt;"",TRIM(U155)&lt;&gt;"Not started",TRIM(U155)&lt;&gt;"In progress"),"INVALID – unrecognised status (use the list)",IF(AsOfUTC&gt;Q155,"OVERDUE",IF(N155="Clarification required","OPEN – CLARIFICATION","OPEN"))))))),"INVALID – error value in an input cell")</f>
        <v>OPEN – CLARIFICATION</v>
      </c>
      <c r="AI155" s="61" t="n">
        <f aca="false">IF(OR(AH155="N/A – RULE",AH155="N/A – JUSTIFIED"),0,1)</f>
        <v>1</v>
      </c>
      <c r="AJ155" s="61" t="n">
        <f aca="false">IF(LEFT(AH155,8)="COMPLETE",1,0)</f>
        <v>0</v>
      </c>
      <c r="AK155" s="61" t="n">
        <f aca="false">IF(AND(AI155=1,AJ155=0,AsOfUTC&gt;Q155),1,0)</f>
        <v>0</v>
      </c>
      <c r="AL155" s="61" t="n">
        <f aca="false">IFERROR(IF(AND(AI155=1,OR(TRIM(U155)="Fail",AND(TRIM(AB155)&lt;&gt;"",TRIM(AB155)&lt;&gt;"Closed"),AND(ISNUMBER(AF155),AF155&lt;&gt;0,TRIM(U155)&lt;&gt;"Pass after CA"))),1,0),1)</f>
        <v>0</v>
      </c>
      <c r="AM155" s="61" t="n">
        <f aca="false">IF(LEFT(AH155,7)="INVALID",1,0)</f>
        <v>0</v>
      </c>
      <c r="AN155" s="61" t="n">
        <f aca="false">IF(AND(N155="Clarification required",AI155=1,AJ155=0),1,0)</f>
        <v>1</v>
      </c>
      <c r="AO155" s="61" t="str">
        <f aca="false">IF(AK155=1,SUM(AK$5:AK155),"")</f>
        <v/>
      </c>
      <c r="AP155" s="61" t="str">
        <f aca="false">IF(AL155=1,SUM(AL$5:AL155),"")</f>
        <v/>
      </c>
      <c r="AQ155" s="61" t="n">
        <v>0</v>
      </c>
      <c r="AR155" s="61" t="n">
        <v>0</v>
      </c>
      <c r="AS155" s="61" t="n">
        <v>0</v>
      </c>
      <c r="AT155" s="61" t="n">
        <v>1</v>
      </c>
      <c r="AU155" s="61" t="str">
        <f aca="false">SUBSTITUTE(SUBSTITUTE(SUBSTITUTE(SUBSTITUTE(SUBSTITUTE(SUBSTITUTE(SUBSTITUTE(SUBSTITUTE(SUBSTITUTE(SUBSTITUTE(SUBSTITUTE(SUBSTITUTE(SUBSTITUTE(SUBSTITUTE(SUBSTITUTE(SUBSTITUTE(LOWER(T155&amp;""),CHAR(10),""),CHAR(13),""),CHAR(9),""),CHAR(160),"")," ",""),".",""),"-",""),"/",""),"?",""),"_",""),",",""),"[",""),"]",""),"(",""),")",""),"*","")</f>
        <v/>
      </c>
      <c r="AV155" s="61" t="str">
        <f aca="false">SUBSTITUTE(SUBSTITUTE(SUBSTITUTE(SUBSTITUTE(SUBSTITUTE(SUBSTITUTE(SUBSTITUTE(SUBSTITUTE(SUBSTITUTE(SUBSTITUTE(SUBSTITUTE(SUBSTITUTE(SUBSTITUTE(SUBSTITUTE(SUBSTITUTE(SUBSTITUTE(LOWER(V155&amp;""),CHAR(10),""),CHAR(13),""),CHAR(9),""),CHAR(160),"")," ",""),".",""),"-",""),"/",""),"?",""),"_",""),",",""),"[",""),"]",""),"(",""),")",""),"*","")</f>
        <v/>
      </c>
      <c r="AW155" s="61" t="str">
        <f aca="false">SUBSTITUTE(SUBSTITUTE(SUBSTITUTE(SUBSTITUTE(SUBSTITUTE(SUBSTITUTE(SUBSTITUTE(SUBSTITUTE(SUBSTITUTE(SUBSTITUTE(SUBSTITUTE(SUBSTITUTE(SUBSTITUTE(SUBSTITUTE(SUBSTITUTE(SUBSTITUTE(LOWER(Z155&amp;""),CHAR(10),""),CHAR(13),""),CHAR(9),""),CHAR(160),"")," ",""),".",""),"-",""),"/",""),"?",""),"_",""),",",""),"[",""),"]",""),"(",""),")",""),"*","")</f>
        <v/>
      </c>
      <c r="AX155" s="61" t="str">
        <f aca="false">SUBSTITUTE(SUBSTITUTE(SUBSTITUTE(SUBSTITUTE(SUBSTITUTE(SUBSTITUTE(SUBSTITUTE(SUBSTITUTE(SUBSTITUTE(SUBSTITUTE(SUBSTITUTE(SUBSTITUTE(SUBSTITUTE(SUBSTITUTE(SUBSTITUTE(SUBSTITUTE(LOWER(AE155&amp;""),CHAR(10),""),CHAR(13),""),CHAR(9),""),CHAR(160),"")," ",""),".",""),"-",""),"/",""),"?",""),"_",""),",",""),"[",""),"]",""),"(",""),")",""),"*","")</f>
        <v/>
      </c>
      <c r="AY155" s="61" t="str">
        <f aca="false">SUBSTITUTE(SUBSTITUTE(SUBSTITUTE(SUBSTITUTE(SUBSTITUTE(SUBSTITUTE(SUBSTITUTE(SUBSTITUTE(SUBSTITUTE(SUBSTITUTE(SUBSTITUTE(SUBSTITUTE(SUBSTITUTE(SUBSTITUTE(SUBSTITUTE(SUBSTITUTE(LOWER(W155&amp;""),CHAR(10),""),CHAR(13),""),CHAR(9),""),CHAR(160),"")," ",""),".",""),"-",""),"/",""),"?",""),"_",""),",",""),"[",""),"]",""),"(",""),")",""),"*","")</f>
        <v/>
      </c>
      <c r="AZ155" s="61" t="str">
        <f aca="false">SUBSTITUTE(SUBSTITUTE(SUBSTITUTE(SUBSTITUTE(SUBSTITUTE(SUBSTITUTE(SUBSTITUTE(SUBSTITUTE(SUBSTITUTE(SUBSTITUTE(SUBSTITUTE(SUBSTITUTE(SUBSTITUTE(SUBSTITUTE(SUBSTITUTE(SUBSTITUTE(LOWER(AC155&amp;""),CHAR(10),""),CHAR(13),""),CHAR(9),""),CHAR(160),"")," ",""),".",""),"-",""),"/",""),"?",""),"_",""),",",""),"[",""),"]",""),"(",""),")",""),"*","")</f>
        <v/>
      </c>
      <c r="BA155" s="61" t="str">
        <f aca="false">SUBSTITUTE(SUBSTITUTE(SUBSTITUTE(SUBSTITUTE(SUBSTITUTE(SUBSTITUTE(SUBSTITUTE(SUBSTITUTE(SUBSTITUTE(SUBSTITUTE(SUBSTITUTE(SUBSTITUTE(SUBSTITUTE(SUBSTITUTE(SUBSTITUTE(SUBSTITUTE(LOWER(AA155&amp;""),CHAR(10),""),CHAR(13),""),CHAR(9),""),CHAR(160),"")," ",""),".",""),"-",""),"/",""),"?",""),"_",""),",",""),"[",""),"]",""),"(",""),")",""),"*","")</f>
        <v/>
      </c>
      <c r="BB155" s="61" t="str">
        <f aca="false">IF(AND(TRIM(U155)="Pass",ISNUMBER(AF155)),IF(AF155&lt;&gt;0,"INVALID – qty variance: use Fail or Pass after CA",""),"")&amp;IF(AND(TRIM(U155)="Pass after CA",ISNUMBER(AF155)),IF(AF155&lt;&gt;0,"INVALID – after the corrective action the actual qty must equal expected (update Actual)",""),"")&amp;IF(AND(TRIM(U155)="Pass",TRIM(AB155)&lt;&gt;"",TRIM(AB155)&lt;&gt;"Closed"),"INVALID – corrective action not closed: use Fail, then Pass after CA","")&amp;IF(AND(LEN(BA155)&gt;=2,ISNA(MATCH(LEFT(BA155,255),L_Placeholder,0)),TRIM(AB155)=""),"INVALID – CA status missing for the recorded corrective action","")&amp;IF(AND(TRIM(U155)="Pass after CA",OR(OR(LEN(BA155)&lt;5,ISNUMBER(MATCH(BA155,L_Placeholder,0))),TRIM(AB155)&lt;&gt;"Closed")),"INVALID – corrective action not recorded/closed","")</f>
        <v/>
      </c>
      <c r="BC155" s="61" t="str">
        <f aca="false">" "&amp;TRIM(SUBSTITUTE(SUBSTITUTE(SUBSTITUTE(SUBSTITUTE(SUBSTITUTE(SUBSTITUTE(SUBSTITUTE(SUBSTITUTE(SUBSTITUTE(SUBSTITUTE(SUBSTITUTE(SUBSTITUTE(SUBSTITUTE(SUBSTITUTE(SUBSTITUTE(SUBSTITUTE(SUBSTITUTE(SUBSTITUTE(SUBSTITUTE(SUBSTITUTE(SUBSTITUTE(SUBSTITUTE(SUBSTITUTE(SUBSTITUTE(LOWER(V155&amp;""),CHAR(10)," "),CHAR(13)," "),CHAR(9)," "),CHAR(160)," "),"."," "),","," "),"-"," "),"/"," "),"("," "),")"," "),":"," "),";"," "),"_"," "),"–"," "),"?"," "),"!"," "),"*"," "),"["," "),"]"," "),"'"," "),"#"," "),"+"," "),"&amp;"," "),"\"," "))&amp;" "</f>
        <v>  </v>
      </c>
      <c r="BD155" s="61" t="str">
        <f aca="false">" "&amp;TRIM(SUBSTITUTE(SUBSTITUTE(SUBSTITUTE(SUBSTITUTE(SUBSTITUTE(SUBSTITUTE(SUBSTITUTE(SUBSTITUTE(SUBSTITUTE(SUBSTITUTE(SUBSTITUTE(SUBSTITUTE(SUBSTITUTE(SUBSTITUTE(SUBSTITUTE(SUBSTITUTE(SUBSTITUTE(SUBSTITUTE(SUBSTITUTE(SUBSTITUTE(SUBSTITUTE(SUBSTITUTE(SUBSTITUTE(SUBSTITUTE(LOWER(Z155&amp;""),CHAR(10)," "),CHAR(13)," "),CHAR(9)," "),CHAR(160)," "),"."," "),","," "),"-"," "),"/"," "),"("," "),")"," "),":"," "),";"," "),"_"," "),"–"," "),"?"," "),"!"," "),"*"," "),"["," "),"]"," "),"'"," "),"#"," "),"+"," "),"&amp;"," "),"\"," "))&amp;" "</f>
        <v>  </v>
      </c>
      <c r="BE155" s="61" t="str">
        <f aca="false">" "&amp;TRIM(SUBSTITUTE(SUBSTITUTE(SUBSTITUTE(SUBSTITUTE(SUBSTITUTE(SUBSTITUTE(SUBSTITUTE(SUBSTITUTE(SUBSTITUTE(SUBSTITUTE(SUBSTITUTE(SUBSTITUTE(SUBSTITUTE(SUBSTITUTE(SUBSTITUTE(SUBSTITUTE(SUBSTITUTE(SUBSTITUTE(SUBSTITUTE(SUBSTITUTE(SUBSTITUTE(SUBSTITUTE(SUBSTITUTE(SUBSTITUTE(LOWER(W155&amp;""),CHAR(10)," "),CHAR(13)," "),CHAR(9)," "),CHAR(160)," "),"."," "),","," "),"-"," "),"/"," "),"("," "),")"," "),":"," "),";"," "),"_"," "),"–"," "),"?"," "),"!"," "),"*"," "),"["," "),"]"," "),"'"," "),"#"," "),"+"," "),"&amp;"," "),"\"," "))&amp;" "</f>
        <v>  </v>
      </c>
      <c r="BF155" s="61" t="str">
        <f aca="false">" "&amp;TRIM(SUBSTITUTE(SUBSTITUTE(SUBSTITUTE(SUBSTITUTE(SUBSTITUTE(SUBSTITUTE(SUBSTITUTE(SUBSTITUTE(SUBSTITUTE(SUBSTITUTE(SUBSTITUTE(SUBSTITUTE(SUBSTITUTE(SUBSTITUTE(SUBSTITUTE(SUBSTITUTE(SUBSTITUTE(SUBSTITUTE(SUBSTITUTE(SUBSTITUTE(SUBSTITUTE(SUBSTITUTE(SUBSTITUTE(SUBSTITUTE(LOWER(AC155&amp;""),CHAR(10)," "),CHAR(13)," "),CHAR(9)," "),CHAR(160)," "),"."," "),","," "),"-"," "),"/"," "),"("," "),")"," "),":"," "),";"," "),"_"," "),"–"," "),"?"," "),"!"," "),"*"," "),"["," "),"]"," "),"'"," "),"#"," "),"+"," "),"&amp;"," "),"\"," "))&amp;" "</f>
        <v>  </v>
      </c>
      <c r="BG155" s="61" t="n">
        <f aca="false">IFERROR(IF(AND(TRIM(U155)="Pass",SUMPRODUCT((LEN(BC155)-LEN(SUBSTITUTE(BC155," "&amp;L_ResultBad&amp;" "," ")))/(LEN(L_ResultBad)+1))&gt;SUMPRODUCT((LEN(BC155)-LEN(SUBSTITUTE(BC155," "&amp;L_NegPhrase&amp;" "," ")))/(LEN(L_NegPhrase)+1))),1,0),0)</f>
        <v>0</v>
      </c>
      <c r="BH155" s="61" t="n">
        <f aca="false">IFERROR(IF(SUMPRODUCT((LEN(BC155)-LEN(SUBSTITUTE(BC155," "&amp;L_Pending&amp;" "," ")))/(LEN(L_Pending)+1))&gt;SUMPRODUCT((LEN(BC155)-LEN(SUBSTITUTE(BC155," "&amp;L_PendNeg&amp;" "," ")))/(LEN(L_PendNeg)+1))+SUMPRODUCT((LEN(BC155)-LEN(SUBSTITUTE(BC155," "&amp;L_PendPrep&amp;" "," ")))/(LEN(L_PendPrep)+1)),1,0),1)</f>
        <v>0</v>
      </c>
      <c r="BI155" s="61" t="n">
        <f aca="false">IFERROR(IF(SUMPRODUCT((LEN(BD155)-LEN(SUBSTITUTE(BD155," "&amp;L_PendStrict&amp;" "," ")))/(LEN(L_PendStrict)+1))&gt;SUMPRODUCT((LEN(BD155)-LEN(SUBSTITUTE(BD155," "&amp;L_PendNeg&amp;" "," ")))/(LEN(L_PendNeg)+1)),1,0),1)</f>
        <v>0</v>
      </c>
      <c r="BJ155" s="61" t="n">
        <f aca="false">IFERROR(IF(SUMPRODUCT((LEN(BE155)-LEN(SUBSTITUTE(BE155," "&amp;L_Pending&amp;" "," ")))/(LEN(L_Pending)+1))&gt;SUMPRODUCT((LEN(BE155)-LEN(SUBSTITUTE(BE155," "&amp;L_PendNeg&amp;" "," ")))/(LEN(L_PendNeg)+1))+SUMPRODUCT((LEN(BE155)-LEN(SUBSTITUTE(BE155," "&amp;L_PendPrep&amp;" "," ")))/(LEN(L_PendPrep)+1)),1,0),1)</f>
        <v>0</v>
      </c>
      <c r="BK155" s="61" t="n">
        <f aca="false">IFERROR(IF(SUMPRODUCT((LEN(BF155)-LEN(SUBSTITUTE(BF155," "&amp;L_PendStrict&amp;" "," ")))/(LEN(L_PendStrict)+1))&gt;SUMPRODUCT((LEN(BF155)-LEN(SUBSTITUTE(BF155," "&amp;L_PendNeg&amp;" "," ")))/(LEN(L_PendNeg)+1)),1,0),1)</f>
        <v>0</v>
      </c>
      <c r="BL155" s="61" t="n">
        <f aca="false">IF(ISNA(MATCH(TRIM(S155),L_EvidenceType,0)),0,BZ155)</f>
        <v>0</v>
      </c>
      <c r="BM155" s="61" t="str">
        <f aca="false">SUBSTITUTE(SUBSTITUTE(SUBSTITUTE(SUBSTITUTE(SUBSTITUTE(SUBSTITUTE(SUBSTITUTE(SUBSTITUTE(SUBSTITUTE(LOWER(Z155&amp;""),"1","0"),"2","0"),"3","0"),"4","0"),"5","0"),"6","0"),"7","0"),"8","0"),"9","0")</f>
        <v/>
      </c>
      <c r="BN155" s="61" t="str">
        <f aca="false">SUBSTITUTE(SUBSTITUTE(SUBSTITUTE(SUBSTITUTE(SUBSTITUTE(SUBSTITUTE(SUBSTITUTE(SUBSTITUTE(SUBSTITUTE(SUBSTITUTE(SUBSTITUTE(SUBSTITUTE(SUBSTITUTE(SUBSTITUTE(SUBSTITUTE(SUBSTITUTE(SUBSTITUTE(SUBSTITUTE(SUBSTITUTE(SUBSTITUTE(SUBSTITUTE(SUBSTITUTE(SUBSTITUTE(SUBSTITUTE(SUBSTITUTE(BM155,"b","a"),"c","a"),"d","a"),"e","a"),"f","a"),"g","a"),"h","a"),"i","a"),"j","a"),"k","a"),"l","a"),"m","a"),"n","a"),"o","a"),"p","a"),"q","a"),"r","a"),"s","a"),"t","a"),"u","a"),"v","a"),"w","a"),"x","a"),"y","a"),"z","a")</f>
        <v/>
      </c>
      <c r="BO155" s="61" t="str">
        <f aca="false">SUBSTITUTE(SUBSTITUTE(SUBSTITUTE(SUBSTITUTE(SUBSTITUTE(SUBSTITUTE(SUBSTITUTE(SUBSTITUTE(SUBSTITUTE(LOWER(W155&amp;""),"1","0"),"2","0"),"3","0"),"4","0"),"5","0"),"6","0"),"7","0"),"8","0"),"9","0")</f>
        <v/>
      </c>
      <c r="BP155" s="61" t="str">
        <f aca="false">SUBSTITUTE(SUBSTITUTE(SUBSTITUTE(SUBSTITUTE(SUBSTITUTE(SUBSTITUTE(SUBSTITUTE(SUBSTITUTE(SUBSTITUTE(SUBSTITUTE(SUBSTITUTE(SUBSTITUTE(SUBSTITUTE(SUBSTITUTE(SUBSTITUTE(SUBSTITUTE(SUBSTITUTE(SUBSTITUTE(SUBSTITUTE(SUBSTITUTE(SUBSTITUTE(SUBSTITUTE(SUBSTITUTE(SUBSTITUTE(SUBSTITUTE(BO155,"b","a"),"c","a"),"d","a"),"e","a"),"f","a"),"g","a"),"h","a"),"i","a"),"j","a"),"k","a"),"l","a"),"m","a"),"n","a"),"o","a"),"p","a"),"q","a"),"r","a"),"s","a"),"t","a"),"u","a"),"v","a"),"w","a"),"x","a"),"y","a"),"z","a")</f>
        <v/>
      </c>
      <c r="BQ155" s="61" t="n">
        <f aca="false">IFERROR(IF(AND(ISERROR(SEARCH(" mh"," "&amp;LOWER(W155))),ISNA(MATCH(LEFT(TRIM(BP155),255),{"0000a","000a","00a","0000aa","000aa","00aa","0aa","0000aaa","000aaa","00a00","0a00","0000-0000","00:00","a00","a0","00.00.0000","00/00/0000","00-00-0000","0000-00-00","0000/00/00","0000.00.00","00.00.00","00/00/00","00-00-00","0.00.0000","0/00/0000","0-00-0000"},0)),ISNA(MATCH(LEFT(TRIM(CA155),255),{"0000a","000a","00a","0000aa","000aa","00aa","0aa","0000aaa","000aaa","00a00","0a00","0000-0000","00:00","a00","a0","00.00.0000","00/00/0000","00-00-0000","0000-00-00","0000/00/00","0000.00.00","00.00.00","00/00/00","00-00-00","0.00.0000","0/00/0000","0-00-0000"},0)),LEN(CB155)&gt;=3,NOT(OR(SUBSTITUTE(CB155,"0","")="",AND(LEN(CB155)&gt;=4,CB155=REPT(LEFT(CB155),LEN(CB155))),ISNUMBER(MATCH(CB155,{"123","1234","12345","123456","1234567","12345678","0123","01234","012345","98765","987654","54321"},0)),AND(LEN(CB155)=8,LEFT(CB155,3)="202"))),OR(AND((LEN(CA155)-LEN(SUBSTITUTE(CA155,"a","")))&gt;=1,SUMPRODUCT(--ISNUMBER(SEARCH({"a0","a-0","a_0","a/0","a.0","a#0","0a","0-a","0_a","0/a"},BP155)))&gt;0),ISNUMBER(SEARCH("000000",BP155)))),1,0),0)</f>
        <v>0</v>
      </c>
      <c r="BR155" s="61" t="n">
        <f aca="false">IFERROR(LEN(SUBSTITUTE(CC155," ",""))-SUMPRODUCT((LEN(CC155)-LEN(SUBSTITUTE(CC155," "&amp;L_Role&amp;" "," ")))/(LEN(L_Role)+1)*LEN(L_Role)),0)</f>
        <v>0</v>
      </c>
      <c r="BS155" s="61" t="n">
        <f aca="false">IFERROR(LEN(SUBSTITUTE(CD155," ",""))-SUMPRODUCT((LEN(CD155)-LEN(SUBSTITUTE(CD155," "&amp;L_Role&amp;" "," ")))/(LEN(L_Role)+1)*LEN(L_Role)),0)</f>
        <v>0</v>
      </c>
      <c r="BT1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155,"revision",""),"version",""),"jan",""),"feb",""),"mar",""),"apr",""),"may",""),"jun",""),"jul",""),"aug",""),"sep",""),"oct",""),"nov",""),"dec",""),"utc",""),"gmt",""),"myt",""),"bst",""),"rev",""),"ver",""),"b","a"),"c","a"),"d","a"),"e","a"),"f","a"),"g","a"),"h","a"),"i","a"),"j","a"),"k","a"),"l","a"),"m","a"),"n","a"),"o","a"),"p","a"),"q","a"),"r","a"),"s","a"),"t","a"),"u","a"),"v","a"),"w","a"),"x","a"),"y","a"),"z","a")</f>
        <v/>
      </c>
      <c r="BU155" s="61" t="str">
        <f aca="false">SUBSTITUTE(SUBSTITUTE(SUBSTITUTE(SUBSTITUTE(SUBSTITUTE(SUBSTITUTE(SUBSTITUTE(SUBSTITUTE(SUBSTITUTE(SUBSTITUTE(LEFT(BM155,FIND("0",BM155&amp;"0")-1),"-",""),"_",""),"/",""),".",""),"#",""),"\\",""),":","")," ",""),"(",""),")","")</f>
        <v/>
      </c>
      <c r="BV155" s="61" t="n">
        <f aca="false">0</f>
        <v>0</v>
      </c>
      <c r="BW1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155&amp;""),"a",""),"b",""),"c",""),"d",""),"e",""),"f",""),"g",""),"h",""),"i",""),"j",""),"k",""),"l",""),"m",""),"n",""),"o",""),"p",""),"q",""),"r",""),"s",""),"t",""),"u",""),"v",""),"w",""),"x",""),"y",""),"z",""),"-",""),"_",""),"/",""),".",""),"#",""),"\\",""),":","")," ",""),"(",""),")","")</f>
        <v/>
      </c>
      <c r="BX155" s="61" t="str">
        <f aca="false">SUBSTITUTE(SUBSTITUTE(SUBSTITUTE(SUBSTITUTE(SUBSTITUTE(SUBSTITUTE(SUBSTITUTE(SUBSTITUTE(SUBSTITUTE(SUBSTITUTE(SUBSTITUTE(BM155,"0",""),"-",""),"_",""),"/",""),".",""),"#",""),"\\",""),":","")," ",""),"(",""),")","")</f>
        <v/>
      </c>
      <c r="BY155" s="62" t="n">
        <f aca="false">Q155-T12EarlyH/24</f>
        <v>46308.9965277778</v>
      </c>
      <c r="BZ155" s="61" t="n">
        <f aca="false">IFERROR(IF(IF(TRIM(S155)="Link / file path",AND(LEN(TRIM(Z155))&gt;=5,SUMPRODUCT(--ISNUMBER(SEARCH({"http","www.","\\",":\",".pdf",".jpg",".jpeg",".png",".heic",".xls",".doc",".msg",".eml",".ppt",".txt",".zip"},Z155)))&gt;0),AND(ISERROR(FIND(" ",TRIM(Z155))),NOT(OR(SUMPRODUCT(--ISNUMBER(FIND({",",";","&amp;","+"},Z155)))&gt;0,SUMPRODUCT(--ISNUMBER(SEARCH({"0/aa","0\\aa"},BN155)))&gt;0)),NOT(SUMPRODUCT(--ISNUMBER(SEARCH({"http","www.","\\",":\",".pdf",".jpg",".jpeg",".png",".heic",".xls",".doc",".msg",".eml",".ppt",".txt",".zip"},Z155)))&gt;0),NOT(LOWER(TRIM(Z155))=LOWER(Flights!$F$9)),ISNA(MATCH(BU155,{"mh","rev","revision","ver","version","v","r","a","b","seat","tray","row","gate","bay","stand","page","pg","item","line","no","cart","galley","flight","flt","table","box","bag","oven","etd","eta","std","sta","atd","ata","qty","pax","x","time","tel","ph","mob","day","wk","week","utc","gmt","myt","lt"},0)),NOT(OR(ISNUMBER(MATCH(LEFT(BN155,255),{"0000a","000a","00a","0000aa","000aa","00aa","0aa","0000aaa","000aaa","00a00","0a00","0000-0000","00:00","a00","a0","00.00.0000","00/00/0000","00-00-0000","0000-00-00","0000/00/00","0000.00.00","00.00.00","00/00/00","00-00-00","0.00.0000","0/00/0000","0-00-0000"},0)),ISNUMBER(MATCH(LEFT(BT155,255),{"0000a","000a","00a","0000aa","000aa","00aa","0aa","0000aaa","000aaa","00a00","0a00","0000-0000","00:00","a00","a0","00.00.0000","00/00/0000","00-00-0000","0000-00-00","0000/00/00","0000.00.00","00.00.00","00/00/00","00-00-00","0.00.0000","0/00/0000","0-00-0000"},0)))),NOT(OR(AND(BW155&lt;&gt;"",SUBSTITUTE(BW155,"0","")=""),AND(LEN(BW155)&gt;=4,BW155=REPT(LEFT(BW155),LEN(BW155))),ISNUMBER(MATCH(BW155,{"123","1234","12345","123456","1234567","12345678","0123","01234","012345","98765","987654","54321"},0)),ISNUMBER(MATCH(BX155,{"x","xx","xxx","xxxx","xxxxx","abc","abcd","nil","na","nan","test","tbc","tba","tbd","dummy","sample","example","eg","zz","zzz","none","null","xyz","qwe","asd","id","ref"},0)),AND(LEN(BW155)=8,BX155="",OR(LEFT(BW155,3)="202",ISNUMBER(MATCH(RIGHT(BW155,4),{"2025","2026","2027"},0)))))),OR(AND((LEN(BT155)-LEN(SUBSTITUTE(BT155,"a","")))&gt;=1,(LEN(BN155)-LEN(SUBSTITUTE(BN155,"0","")))&gt;=2,SUMPRODUCT(--ISNUMBER(SEARCH({"a0","a-0","a_0","a/0","a.0","a#0","0a","0-a","0_a","0/a"},BN155)))&gt;0),AND((LEN(BN155)-LEN(SUBSTITUTE(BN155,"a","")))=0,(LEN(BN155)-LEN(SUBSTITUTE(BN155,"0","")))&gt;=5)))),1,0),0)</f>
        <v>0</v>
      </c>
      <c r="CA1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155,"revision",""),"version",""),"jan",""),"feb",""),"mar",""),"apr",""),"may",""),"jun",""),"jul",""),"aug",""),"sep",""),"oct",""),"nov",""),"dec",""),"utc",""),"gmt",""),"myt",""),"bst",""),"rev",""),"ver",""),"b","a"),"c","a"),"d","a"),"e","a"),"f","a"),"g","a"),"h","a"),"i","a"),"j","a"),"k","a"),"l","a"),"m","a"),"n","a"),"o","a"),"p","a"),"q","a"),"r","a"),"s","a"),"t","a"),"u","a"),"v","a"),"w","a"),"x","a"),"y","a"),"z","a")</f>
        <v/>
      </c>
      <c r="CB1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155&amp;""),"a",""),"b",""),"c",""),"d",""),"e",""),"f",""),"g",""),"h",""),"i",""),"j",""),"k",""),"l",""),"m",""),"n",""),"o",""),"p",""),"q",""),"r",""),"s",""),"t",""),"u",""),"v",""),"w",""),"x",""),"y",""),"z",""),"-",""),"_",""),"/",""),".",""),"#",""),"\\",""),":","")," ",""),"(",""),")","")</f>
        <v/>
      </c>
      <c r="CC155" s="0" t="str">
        <f aca="false">" "&amp;TRIM(SUBSTITUTE(SUBSTITUTE(SUBSTITUTE(SUBSTITUTE(SUBSTITUTE(SUBSTITUTE(SUBSTITUTE(SUBSTITUTE(SUBSTITUTE(SUBSTITUTE(SUBSTITUTE(SUBSTITUTE(SUBSTITUTE(SUBSTITUTE(SUBSTITUTE(SUBSTITUTE(SUBSTITUTE(SUBSTITUTE(SUBSTITUTE(SUBSTITUTE(SUBSTITUTE(SUBSTITUTE(SUBSTITUTE(SUBSTITUTE(LOWER(T155&amp;""),CHAR(10)," "),CHAR(13)," "),CHAR(9)," "),CHAR(160)," "),"."," "),","," "),"-"," "),"/"," "),"("," "),")"," "),":"," "),";"," "),"_"," "),"–"," "),"?"," "),"!"," "),"*"," "),"["," "),"]"," "),"'"," "),"#"," "),"+"," "),"&amp;"," "),"\"," "))&amp;" "</f>
        <v>  </v>
      </c>
      <c r="CD155" s="0" t="str">
        <f aca="false">" "&amp;TRIM(SUBSTITUTE(SUBSTITUTE(SUBSTITUTE(SUBSTITUTE(SUBSTITUTE(SUBSTITUTE(SUBSTITUTE(SUBSTITUTE(SUBSTITUTE(SUBSTITUTE(SUBSTITUTE(SUBSTITUTE(SUBSTITUTE(SUBSTITUTE(SUBSTITUTE(SUBSTITUTE(SUBSTITUTE(SUBSTITUTE(SUBSTITUTE(SUBSTITUTE(SUBSTITUTE(SUBSTITUTE(SUBSTITUTE(SUBSTITUTE(LOWER(AE155&amp;""),CHAR(10)," "),CHAR(13)," "),CHAR(9)," "),CHAR(160)," "),"."," "),","," "),"-"," "),"/"," "),"("," "),")"," "),":"," "),";"," "),"_"," "),"–"," "),"?"," "),"!"," "),"*"," "),"["," "),"]"," "),"'"," "),"#"," "),"+"," "),"&amp;"," "),"\"," "))&amp;" "</f>
        <v>  </v>
      </c>
      <c r="CE155" s="68" t="n">
        <f aca="false">IFERROR(IF(AND(LEN(AU155)&gt;0,LEN(AU155)=LEN(AX155),OR(TRIM(MID(SUBSTITUTE(TRIM(CC155)," ",REPT(" ",60)),1,60))="",ISNUMBER(SEARCH(" "&amp;TRIM(MID(SUBSTITUTE(TRIM(CC155)," ",REPT(" ",60)),1,60))&amp;" ",CD155))),OR(TRIM(MID(SUBSTITUTE(TRIM(CC155)," ",REPT(" ",60)),61,60))="",ISNUMBER(SEARCH(" "&amp;TRIM(MID(SUBSTITUTE(TRIM(CC155)," ",REPT(" ",60)),61,60))&amp;" ",CD155))),OR(TRIM(MID(SUBSTITUTE(TRIM(CC155)," ",REPT(" ",60)),121,60))="",ISNUMBER(SEARCH(" "&amp;TRIM(MID(SUBSTITUTE(TRIM(CC155)," ",REPT(" ",60)),121,60))&amp;" ",CD155)))),1,0),0)</f>
        <v>0</v>
      </c>
      <c r="CG155" s="68" t="n">
        <f aca="false">IFERROR(LEN(SUBSTITUTE(BF155," ",""))-SUMPRODUCT((LEN(BF155)-LEN(SUBSTITUTE(BF155," "&amp;L_NAFiller&amp;" "," ")))/(LEN(L_NAFiller)+1)*LEN(L_NAFiller)),0)</f>
        <v>0</v>
      </c>
    </row>
    <row r="156" customFormat="false" ht="41.25" hidden="false" customHeight="true" outlineLevel="0" collapsed="false">
      <c r="A156" s="57" t="s">
        <v>686</v>
      </c>
      <c r="B156" s="57" t="s">
        <v>228</v>
      </c>
      <c r="C156" s="57" t="str">
        <f aca="false">Flights!$F$9</f>
        <v>MH0089</v>
      </c>
      <c r="D156" s="58" t="n">
        <f aca="false">Flights!$D$9</f>
        <v>46310</v>
      </c>
      <c r="E156" s="57" t="str">
        <f aca="false">Flights!$G$9&amp;"-"&amp;Flights!$H$9</f>
        <v>NRT-KUL</v>
      </c>
      <c r="F156" s="57" t="str">
        <f aca="false">Flights!$K$9</f>
        <v>EY</v>
      </c>
      <c r="G156" s="57" t="s">
        <v>420</v>
      </c>
      <c r="H156" s="57" t="s">
        <v>378</v>
      </c>
      <c r="I156" s="57" t="s">
        <v>447</v>
      </c>
      <c r="J156" s="57" t="s">
        <v>448</v>
      </c>
      <c r="K156" s="67" t="s">
        <v>449</v>
      </c>
      <c r="L156" s="67" t="s">
        <v>687</v>
      </c>
      <c r="M156" s="67" t="s">
        <v>451</v>
      </c>
      <c r="N156" s="67" t="s">
        <v>383</v>
      </c>
      <c r="O156" s="67" t="s">
        <v>688</v>
      </c>
      <c r="P156" s="57" t="s">
        <v>220</v>
      </c>
      <c r="Q156" s="59" t="n">
        <f aca="false">ROUND((Flights!$AE$9)*1440,0)/1440</f>
        <v>46309.5451388889</v>
      </c>
      <c r="R156" s="59" t="n">
        <f aca="false">Q156+(IF(AND(INDEX(TZ_DSTS,MATCH(P156,TZ_STN,0))&lt;&gt;"",Q156&gt;=INDEX(TZ_DSTS,MATCH(P156,TZ_STN,0)),Q156&lt;INDEX(TZ_DSTE,MATCH(P156,TZ_STN,0))),INDEX(TZ_DST,MATCH(P156,TZ_STN,0)),INDEX(TZ_STD,MATCH(P156,TZ_STN,0))))/24</f>
        <v>46309.9201388889</v>
      </c>
      <c r="S156" s="60"/>
      <c r="T156" s="60"/>
      <c r="U156" s="60"/>
      <c r="V156" s="60"/>
      <c r="W156" s="61"/>
      <c r="X156" s="60"/>
      <c r="Y156" s="60"/>
      <c r="Z156" s="60"/>
      <c r="AA156" s="60"/>
      <c r="AB156" s="60"/>
      <c r="AC156" s="60"/>
      <c r="AD156" s="66"/>
      <c r="AE156" s="60"/>
      <c r="AF156" s="61" t="str">
        <f aca="false">IF(AND(ISNUMBER(X156),ISNUMBER(Y156)),Y156-X156,"")</f>
        <v/>
      </c>
      <c r="AG156" s="62" t="str">
        <f aca="false">IF(ISNUMBER(AD156),AD156-(IF(AND(INDEX(TZ_DSTS,MATCH(P156,TZ_STN,0))&lt;&gt;"",(AD156-INDEX(TZ_STD,MATCH(P156,TZ_STN,0))/24)&gt;=INDEX(TZ_DSTS,MATCH(P156,TZ_STN,0)),(AD156-INDEX(TZ_STD,MATCH(P156,TZ_STN,0))/24)&lt;INDEX(TZ_DSTE,MATCH(P156,TZ_STN,0))),INDEX(TZ_DST,MATCH(P156,TZ_STN,0)),INDEX(TZ_STD,MATCH(P156,TZ_STN,0))))/24,"")</f>
        <v/>
      </c>
      <c r="AH156" s="65" t="str">
        <f aca="false">IFERROR(IF(N156="N/A – rule",IF(OR(TRIM(U156)="",TRIM(U156)="N/A",TRIM(U156)="Not started"),"N/A – RULE","INVALID – this check does not apply to this aircraft: clear the status (or correct the fleet on Flights)"),IF(TRIM(U156)="N/A",IF(AT156=0,"INVALID – N/A not permitted for this check",IF(AND(TRIM(AB156)&lt;&gt;"",TRIM(AB156)&lt;&gt;"Closed"),"INVALID – corrective action still open",IF(AND(NOT(OR(LEN(AZ156)&lt;15,ISNUMBER(MATCH(AZ156,L_Placeholder,0)))),BK156=0,CG156&gt;=8,NOT(OR(LEN(AU156)&lt;2,ISNUMBER(MATCH(AU156,L_Placeholder,0)))),BR156&gt;=3,NOT(OR(LEN(AX156)&lt;2,ISNUMBER(MATCH(AX156,L_Placeholder,0)))),BS156&gt;=3,TRIM(AE156)&lt;&gt;TRIM(T156),AX156&lt;&gt;AU156,CE156=0),"N/A – JUSTIFIED","INVALID – N/A needs a real, settled reason (not 'not applicable' / 'as above' / TBC), a named PIC and a different named verifier"))),IF(OR(TRIM(U156)="Pass",TRIM(U156)="Pass after CA"),IF(NOT(ISNUMBER(AD156)),"INVALID – completion time missing",IF(OR(OR(LEN(AU156)&lt;2,ISNUMBER(MATCH(AU156,L_Placeholder,0))),BR156&lt;3),"INVALID – PIC missing or not a named person (a role such as QA / CSM is not a name)",IF(OR(LEN(AV156)&lt;2,ISNUMBER(MATCH(AV156,L_Placeholder,0))),"INVALID – result / assessment missing",IF(OR(OR(LEN(AW156)&lt;3,ISNUMBER(MATCH(AW156,L_Placeholder,0))),SUMPRODUCT(--ISNUMBER(SEARCH(" "&amp;L_EvidencePhrase&amp;" ",BD156)))&gt;0,BI156=1),"INVALID – evidence missing, placeholder or not yet on file",IF(ISNA(MATCH(TRIM(S156),L_EvidenceType,0)),"INVALID – choose the evidence type from the list (column S)",IF(BL156=0,"INVALID – evidence ID must be the record's own ID only (e.g. SF-2210, IMG_2231, 1045521); a link / file name needs type 'Link / file path'",IF(OR(OR(LEN(AX156)&lt;2,ISNUMBER(MATCH(AX156,L_Placeholder,0))),BS156&lt;3),"INVALID – verifier missing or not a named person (a role such as QA / CSM is not a name)",IF(OR(AX156=AU156,CE156=1,AND(LEN(AU156)&gt;=4,ISNUMBER(SEARCH(AU156,AX156))),AND(LEN(AX156)&gt;=4,ISNUMBER(SEARCH(AX156,AU156)))),"INVALID – verifier must be a different, named person (not the PIC or a role)",IF(BH156=1,"INVALID – result not yet available (awaiting / TBC)",IF(BG156=1,"INVALID – result describes a problem: record Fail, then Pass after CA (or reword if it is not a problem)",IF(BV156=1,"INVALID – wording says not on board: an on-board confirmation needs the item loaded",IF(AND(AQ156=1,OR(OR(LEN(AY156)&lt;3,ISNUMBER(MATCH(AY156,L_Placeholder,0))),BJ156=1,BQ156=0)),"INVALID – batch ID missing, placeholder or not an ID (e.g. PASB-261008-BC-017)",IF(AND(AR156=1,OR(NOT(ISNUMBER(X156)),NOT(ISNUMBER(Y156)))),"INVALID – expected/actual qty missing",IF(AND(AR156=1,OR(X156&lt;=0,Y156&lt;0)),"INVALID – expected qty must be above 0 and actual not negative",IF(BB156&lt;&gt;"",BB156,IF(AND(AS156=1,Documents!$J$9&lt;&gt;"ON FILE"),"INVALID – GLD not on file (Documents sheet)",IF(AND(AS156=2,Documents!$O$9&lt;&gt;"ON FILE"),"INVALID – menu checklist not on file (Documents sheet)",IF(AND(AS156=3,NOT(ISNUMBER(Flights!$AX$9))),"INVALID – enter carrying flight KUL departure (Flights AX)",IF(AND(AS156=3,OR(Flights!$AZ$9&gt;Flights!$AA$9,Flights!$AX$9&lt;Flights!$AA$9-3)),"INVALID – carrying flight (Flights AX) cannot arrive before this leg's STD, or is over 3 days early",IF(AG156&gt;AsOfUTC,"INVALID – completion time is in the future",IF(AND(ISNUMBER(BY156),AG156&lt;BY156),IF(H156="Physical uplift","INVALID – before uplift window (cannot confirm loading)","INVALID – before valid window"),IF(AG156&gt;Flights!$AA$9,"INVALID – completed after departure (cannot establish readiness)",IF(AND(H156="Preparation",AG156&gt;=IF(ISNUMBER(Flights!$BA$9),MIN(Flights!$BA$9,Flights!$AA$9),Flights!$AA$9)),"INVALID – completed after loading / departure (cannot establish readiness)",IF(AND(H156="Physical uplift",AG156&gt;Q156),"INVALID – recorded after the loading flight departed",IF(AG156&gt;Q156,"COMPLETE – LATE","COMPLETE"))))))))))))))))))))))))),IF(TRIM(U156)="Fail","FAIL – DISCREPANCY",IF(AND(TRIM(U156)&lt;&gt;"",TRIM(U156)&lt;&gt;"Not started",TRIM(U156)&lt;&gt;"In progress"),"INVALID – unrecognised status (use the list)",IF(AsOfUTC&gt;Q156,"OVERDUE",IF(N156="Clarification required","OPEN – CLARIFICATION","OPEN"))))))),"INVALID – error value in an input cell")</f>
        <v>OPEN</v>
      </c>
      <c r="AI156" s="61" t="n">
        <f aca="false">IF(OR(AH156="N/A – RULE",AH156="N/A – JUSTIFIED"),0,1)</f>
        <v>1</v>
      </c>
      <c r="AJ156" s="61" t="n">
        <f aca="false">IF(LEFT(AH156,8)="COMPLETE",1,0)</f>
        <v>0</v>
      </c>
      <c r="AK156" s="61" t="n">
        <f aca="false">IF(AND(AI156=1,AJ156=0,AsOfUTC&gt;Q156),1,0)</f>
        <v>0</v>
      </c>
      <c r="AL156" s="61" t="n">
        <f aca="false">IFERROR(IF(AND(AI156=1,OR(TRIM(U156)="Fail",AND(TRIM(AB156)&lt;&gt;"",TRIM(AB156)&lt;&gt;"Closed"),AND(ISNUMBER(AF156),AF156&lt;&gt;0,TRIM(U156)&lt;&gt;"Pass after CA"))),1,0),1)</f>
        <v>0</v>
      </c>
      <c r="AM156" s="61" t="n">
        <f aca="false">IF(LEFT(AH156,7)="INVALID",1,0)</f>
        <v>0</v>
      </c>
      <c r="AN156" s="61" t="n">
        <f aca="false">IF(AND(N156="Clarification required",AI156=1,AJ156=0),1,0)</f>
        <v>0</v>
      </c>
      <c r="AO156" s="61" t="str">
        <f aca="false">IF(AK156=1,SUM(AK$5:AK156),"")</f>
        <v/>
      </c>
      <c r="AP156" s="61" t="str">
        <f aca="false">IF(AL156=1,SUM(AL$5:AL156),"")</f>
        <v/>
      </c>
      <c r="AQ156" s="61" t="n">
        <v>0</v>
      </c>
      <c r="AR156" s="61" t="n">
        <v>0</v>
      </c>
      <c r="AS156" s="61" t="n">
        <v>0</v>
      </c>
      <c r="AT156" s="61" t="n">
        <v>0</v>
      </c>
      <c r="AU156" s="61" t="str">
        <f aca="false">SUBSTITUTE(SUBSTITUTE(SUBSTITUTE(SUBSTITUTE(SUBSTITUTE(SUBSTITUTE(SUBSTITUTE(SUBSTITUTE(SUBSTITUTE(SUBSTITUTE(SUBSTITUTE(SUBSTITUTE(SUBSTITUTE(SUBSTITUTE(SUBSTITUTE(SUBSTITUTE(LOWER(T156&amp;""),CHAR(10),""),CHAR(13),""),CHAR(9),""),CHAR(160),"")," ",""),".",""),"-",""),"/",""),"?",""),"_",""),",",""),"[",""),"]",""),"(",""),")",""),"*","")</f>
        <v/>
      </c>
      <c r="AV156" s="61" t="str">
        <f aca="false">SUBSTITUTE(SUBSTITUTE(SUBSTITUTE(SUBSTITUTE(SUBSTITUTE(SUBSTITUTE(SUBSTITUTE(SUBSTITUTE(SUBSTITUTE(SUBSTITUTE(SUBSTITUTE(SUBSTITUTE(SUBSTITUTE(SUBSTITUTE(SUBSTITUTE(SUBSTITUTE(LOWER(V156&amp;""),CHAR(10),""),CHAR(13),""),CHAR(9),""),CHAR(160),"")," ",""),".",""),"-",""),"/",""),"?",""),"_",""),",",""),"[",""),"]",""),"(",""),")",""),"*","")</f>
        <v/>
      </c>
      <c r="AW156" s="61" t="str">
        <f aca="false">SUBSTITUTE(SUBSTITUTE(SUBSTITUTE(SUBSTITUTE(SUBSTITUTE(SUBSTITUTE(SUBSTITUTE(SUBSTITUTE(SUBSTITUTE(SUBSTITUTE(SUBSTITUTE(SUBSTITUTE(SUBSTITUTE(SUBSTITUTE(SUBSTITUTE(SUBSTITUTE(LOWER(Z156&amp;""),CHAR(10),""),CHAR(13),""),CHAR(9),""),CHAR(160),"")," ",""),".",""),"-",""),"/",""),"?",""),"_",""),",",""),"[",""),"]",""),"(",""),")",""),"*","")</f>
        <v/>
      </c>
      <c r="AX156" s="61" t="str">
        <f aca="false">SUBSTITUTE(SUBSTITUTE(SUBSTITUTE(SUBSTITUTE(SUBSTITUTE(SUBSTITUTE(SUBSTITUTE(SUBSTITUTE(SUBSTITUTE(SUBSTITUTE(SUBSTITUTE(SUBSTITUTE(SUBSTITUTE(SUBSTITUTE(SUBSTITUTE(SUBSTITUTE(LOWER(AE156&amp;""),CHAR(10),""),CHAR(13),""),CHAR(9),""),CHAR(160),"")," ",""),".",""),"-",""),"/",""),"?",""),"_",""),",",""),"[",""),"]",""),"(",""),")",""),"*","")</f>
        <v/>
      </c>
      <c r="AY156" s="61" t="str">
        <f aca="false">SUBSTITUTE(SUBSTITUTE(SUBSTITUTE(SUBSTITUTE(SUBSTITUTE(SUBSTITUTE(SUBSTITUTE(SUBSTITUTE(SUBSTITUTE(SUBSTITUTE(SUBSTITUTE(SUBSTITUTE(SUBSTITUTE(SUBSTITUTE(SUBSTITUTE(SUBSTITUTE(LOWER(W156&amp;""),CHAR(10),""),CHAR(13),""),CHAR(9),""),CHAR(160),"")," ",""),".",""),"-",""),"/",""),"?",""),"_",""),",",""),"[",""),"]",""),"(",""),")",""),"*","")</f>
        <v/>
      </c>
      <c r="AZ156" s="61" t="str">
        <f aca="false">SUBSTITUTE(SUBSTITUTE(SUBSTITUTE(SUBSTITUTE(SUBSTITUTE(SUBSTITUTE(SUBSTITUTE(SUBSTITUTE(SUBSTITUTE(SUBSTITUTE(SUBSTITUTE(SUBSTITUTE(SUBSTITUTE(SUBSTITUTE(SUBSTITUTE(SUBSTITUTE(LOWER(AC156&amp;""),CHAR(10),""),CHAR(13),""),CHAR(9),""),CHAR(160),"")," ",""),".",""),"-",""),"/",""),"?",""),"_",""),",",""),"[",""),"]",""),"(",""),")",""),"*","")</f>
        <v/>
      </c>
      <c r="BA156" s="61" t="str">
        <f aca="false">SUBSTITUTE(SUBSTITUTE(SUBSTITUTE(SUBSTITUTE(SUBSTITUTE(SUBSTITUTE(SUBSTITUTE(SUBSTITUTE(SUBSTITUTE(SUBSTITUTE(SUBSTITUTE(SUBSTITUTE(SUBSTITUTE(SUBSTITUTE(SUBSTITUTE(SUBSTITUTE(LOWER(AA156&amp;""),CHAR(10),""),CHAR(13),""),CHAR(9),""),CHAR(160),"")," ",""),".",""),"-",""),"/",""),"?",""),"_",""),",",""),"[",""),"]",""),"(",""),")",""),"*","")</f>
        <v/>
      </c>
      <c r="BB156" s="61" t="str">
        <f aca="false">IF(AND(TRIM(U156)="Pass",ISNUMBER(AF156)),IF(AF156&lt;&gt;0,"INVALID – qty variance: use Fail or Pass after CA",""),"")&amp;IF(AND(TRIM(U156)="Pass after CA",ISNUMBER(AF156)),IF(AF156&lt;&gt;0,"INVALID – after the corrective action the actual qty must equal expected (update Actual)",""),"")&amp;IF(AND(TRIM(U156)="Pass",TRIM(AB156)&lt;&gt;"",TRIM(AB156)&lt;&gt;"Closed"),"INVALID – corrective action not closed: use Fail, then Pass after CA","")&amp;IF(AND(LEN(BA156)&gt;=2,ISNA(MATCH(LEFT(BA156,255),L_Placeholder,0)),TRIM(AB156)=""),"INVALID – CA status missing for the recorded corrective action","")&amp;IF(AND(TRIM(U156)="Pass after CA",OR(OR(LEN(BA156)&lt;5,ISNUMBER(MATCH(BA156,L_Placeholder,0))),TRIM(AB156)&lt;&gt;"Closed")),"INVALID – corrective action not recorded/closed","")</f>
        <v/>
      </c>
      <c r="BC156" s="61" t="str">
        <f aca="false">" "&amp;TRIM(SUBSTITUTE(SUBSTITUTE(SUBSTITUTE(SUBSTITUTE(SUBSTITUTE(SUBSTITUTE(SUBSTITUTE(SUBSTITUTE(SUBSTITUTE(SUBSTITUTE(SUBSTITUTE(SUBSTITUTE(SUBSTITUTE(SUBSTITUTE(SUBSTITUTE(SUBSTITUTE(SUBSTITUTE(SUBSTITUTE(SUBSTITUTE(SUBSTITUTE(SUBSTITUTE(SUBSTITUTE(SUBSTITUTE(SUBSTITUTE(LOWER(V156&amp;""),CHAR(10)," "),CHAR(13)," "),CHAR(9)," "),CHAR(160)," "),"."," "),","," "),"-"," "),"/"," "),"("," "),")"," "),":"," "),";"," "),"_"," "),"–"," "),"?"," "),"!"," "),"*"," "),"["," "),"]"," "),"'"," "),"#"," "),"+"," "),"&amp;"," "),"\"," "))&amp;" "</f>
        <v>  </v>
      </c>
      <c r="BD156" s="61" t="str">
        <f aca="false">" "&amp;TRIM(SUBSTITUTE(SUBSTITUTE(SUBSTITUTE(SUBSTITUTE(SUBSTITUTE(SUBSTITUTE(SUBSTITUTE(SUBSTITUTE(SUBSTITUTE(SUBSTITUTE(SUBSTITUTE(SUBSTITUTE(SUBSTITUTE(SUBSTITUTE(SUBSTITUTE(SUBSTITUTE(SUBSTITUTE(SUBSTITUTE(SUBSTITUTE(SUBSTITUTE(SUBSTITUTE(SUBSTITUTE(SUBSTITUTE(SUBSTITUTE(LOWER(Z156&amp;""),CHAR(10)," "),CHAR(13)," "),CHAR(9)," "),CHAR(160)," "),"."," "),","," "),"-"," "),"/"," "),"("," "),")"," "),":"," "),";"," "),"_"," "),"–"," "),"?"," "),"!"," "),"*"," "),"["," "),"]"," "),"'"," "),"#"," "),"+"," "),"&amp;"," "),"\"," "))&amp;" "</f>
        <v>  </v>
      </c>
      <c r="BE156" s="61" t="str">
        <f aca="false">" "&amp;TRIM(SUBSTITUTE(SUBSTITUTE(SUBSTITUTE(SUBSTITUTE(SUBSTITUTE(SUBSTITUTE(SUBSTITUTE(SUBSTITUTE(SUBSTITUTE(SUBSTITUTE(SUBSTITUTE(SUBSTITUTE(SUBSTITUTE(SUBSTITUTE(SUBSTITUTE(SUBSTITUTE(SUBSTITUTE(SUBSTITUTE(SUBSTITUTE(SUBSTITUTE(SUBSTITUTE(SUBSTITUTE(SUBSTITUTE(SUBSTITUTE(LOWER(W156&amp;""),CHAR(10)," "),CHAR(13)," "),CHAR(9)," "),CHAR(160)," "),"."," "),","," "),"-"," "),"/"," "),"("," "),")"," "),":"," "),";"," "),"_"," "),"–"," "),"?"," "),"!"," "),"*"," "),"["," "),"]"," "),"'"," "),"#"," "),"+"," "),"&amp;"," "),"\"," "))&amp;" "</f>
        <v>  </v>
      </c>
      <c r="BF156" s="61" t="str">
        <f aca="false">" "&amp;TRIM(SUBSTITUTE(SUBSTITUTE(SUBSTITUTE(SUBSTITUTE(SUBSTITUTE(SUBSTITUTE(SUBSTITUTE(SUBSTITUTE(SUBSTITUTE(SUBSTITUTE(SUBSTITUTE(SUBSTITUTE(SUBSTITUTE(SUBSTITUTE(SUBSTITUTE(SUBSTITUTE(SUBSTITUTE(SUBSTITUTE(SUBSTITUTE(SUBSTITUTE(SUBSTITUTE(SUBSTITUTE(SUBSTITUTE(SUBSTITUTE(LOWER(AC156&amp;""),CHAR(10)," "),CHAR(13)," "),CHAR(9)," "),CHAR(160)," "),"."," "),","," "),"-"," "),"/"," "),"("," "),")"," "),":"," "),";"," "),"_"," "),"–"," "),"?"," "),"!"," "),"*"," "),"["," "),"]"," "),"'"," "),"#"," "),"+"," "),"&amp;"," "),"\"," "))&amp;" "</f>
        <v>  </v>
      </c>
      <c r="BG156" s="61" t="n">
        <f aca="false">IFERROR(IF(AND(TRIM(U156)="Pass",SUMPRODUCT((LEN(BC156)-LEN(SUBSTITUTE(BC156," "&amp;L_ResultBad&amp;" "," ")))/(LEN(L_ResultBad)+1))&gt;SUMPRODUCT((LEN(BC156)-LEN(SUBSTITUTE(BC156," "&amp;L_NegPhrase&amp;" "," ")))/(LEN(L_NegPhrase)+1))),1,0),0)</f>
        <v>0</v>
      </c>
      <c r="BH156" s="61" t="n">
        <f aca="false">IFERROR(IF(SUMPRODUCT((LEN(BC156)-LEN(SUBSTITUTE(BC156," "&amp;L_Pending&amp;" "," ")))/(LEN(L_Pending)+1))&gt;SUMPRODUCT((LEN(BC156)-LEN(SUBSTITUTE(BC156," "&amp;L_PendNeg&amp;" "," ")))/(LEN(L_PendNeg)+1))+SUMPRODUCT((LEN(BC156)-LEN(SUBSTITUTE(BC156," "&amp;L_PendPrep&amp;" "," ")))/(LEN(L_PendPrep)+1)),1,0),1)</f>
        <v>0</v>
      </c>
      <c r="BI156" s="61" t="n">
        <f aca="false">IFERROR(IF(SUMPRODUCT((LEN(BD156)-LEN(SUBSTITUTE(BD156," "&amp;L_PendStrict&amp;" "," ")))/(LEN(L_PendStrict)+1))&gt;SUMPRODUCT((LEN(BD156)-LEN(SUBSTITUTE(BD156," "&amp;L_PendNeg&amp;" "," ")))/(LEN(L_PendNeg)+1)),1,0),1)</f>
        <v>0</v>
      </c>
      <c r="BJ156" s="61" t="n">
        <f aca="false">IFERROR(IF(SUMPRODUCT((LEN(BE156)-LEN(SUBSTITUTE(BE156," "&amp;L_Pending&amp;" "," ")))/(LEN(L_Pending)+1))&gt;SUMPRODUCT((LEN(BE156)-LEN(SUBSTITUTE(BE156," "&amp;L_PendNeg&amp;" "," ")))/(LEN(L_PendNeg)+1))+SUMPRODUCT((LEN(BE156)-LEN(SUBSTITUTE(BE156," "&amp;L_PendPrep&amp;" "," ")))/(LEN(L_PendPrep)+1)),1,0),1)</f>
        <v>0</v>
      </c>
      <c r="BK156" s="61" t="n">
        <f aca="false">IFERROR(IF(SUMPRODUCT((LEN(BF156)-LEN(SUBSTITUTE(BF156," "&amp;L_PendStrict&amp;" "," ")))/(LEN(L_PendStrict)+1))&gt;SUMPRODUCT((LEN(BF156)-LEN(SUBSTITUTE(BF156," "&amp;L_PendNeg&amp;" "," ")))/(LEN(L_PendNeg)+1)),1,0),1)</f>
        <v>0</v>
      </c>
      <c r="BL156" s="61" t="n">
        <f aca="false">IF(ISNA(MATCH(TRIM(S156),L_EvidenceType,0)),0,BZ156)</f>
        <v>0</v>
      </c>
      <c r="BM156" s="61" t="str">
        <f aca="false">SUBSTITUTE(SUBSTITUTE(SUBSTITUTE(SUBSTITUTE(SUBSTITUTE(SUBSTITUTE(SUBSTITUTE(SUBSTITUTE(SUBSTITUTE(LOWER(Z156&amp;""),"1","0"),"2","0"),"3","0"),"4","0"),"5","0"),"6","0"),"7","0"),"8","0"),"9","0")</f>
        <v/>
      </c>
      <c r="BN156" s="61" t="str">
        <f aca="false">SUBSTITUTE(SUBSTITUTE(SUBSTITUTE(SUBSTITUTE(SUBSTITUTE(SUBSTITUTE(SUBSTITUTE(SUBSTITUTE(SUBSTITUTE(SUBSTITUTE(SUBSTITUTE(SUBSTITUTE(SUBSTITUTE(SUBSTITUTE(SUBSTITUTE(SUBSTITUTE(SUBSTITUTE(SUBSTITUTE(SUBSTITUTE(SUBSTITUTE(SUBSTITUTE(SUBSTITUTE(SUBSTITUTE(SUBSTITUTE(SUBSTITUTE(BM156,"b","a"),"c","a"),"d","a"),"e","a"),"f","a"),"g","a"),"h","a"),"i","a"),"j","a"),"k","a"),"l","a"),"m","a"),"n","a"),"o","a"),"p","a"),"q","a"),"r","a"),"s","a"),"t","a"),"u","a"),"v","a"),"w","a"),"x","a"),"y","a"),"z","a")</f>
        <v/>
      </c>
      <c r="BO156" s="61" t="str">
        <f aca="false">SUBSTITUTE(SUBSTITUTE(SUBSTITUTE(SUBSTITUTE(SUBSTITUTE(SUBSTITUTE(SUBSTITUTE(SUBSTITUTE(SUBSTITUTE(LOWER(W156&amp;""),"1","0"),"2","0"),"3","0"),"4","0"),"5","0"),"6","0"),"7","0"),"8","0"),"9","0")</f>
        <v/>
      </c>
      <c r="BP156" s="61" t="str">
        <f aca="false">SUBSTITUTE(SUBSTITUTE(SUBSTITUTE(SUBSTITUTE(SUBSTITUTE(SUBSTITUTE(SUBSTITUTE(SUBSTITUTE(SUBSTITUTE(SUBSTITUTE(SUBSTITUTE(SUBSTITUTE(SUBSTITUTE(SUBSTITUTE(SUBSTITUTE(SUBSTITUTE(SUBSTITUTE(SUBSTITUTE(SUBSTITUTE(SUBSTITUTE(SUBSTITUTE(SUBSTITUTE(SUBSTITUTE(SUBSTITUTE(SUBSTITUTE(BO156,"b","a"),"c","a"),"d","a"),"e","a"),"f","a"),"g","a"),"h","a"),"i","a"),"j","a"),"k","a"),"l","a"),"m","a"),"n","a"),"o","a"),"p","a"),"q","a"),"r","a"),"s","a"),"t","a"),"u","a"),"v","a"),"w","a"),"x","a"),"y","a"),"z","a")</f>
        <v/>
      </c>
      <c r="BQ156" s="61" t="n">
        <f aca="false">IFERROR(IF(AND(ISERROR(SEARCH(" mh"," "&amp;LOWER(W156))),ISNA(MATCH(LEFT(TRIM(BP156),255),{"0000a","000a","00a","0000aa","000aa","00aa","0aa","0000aaa","000aaa","00a00","0a00","0000-0000","00:00","a00","a0","00.00.0000","00/00/0000","00-00-0000","0000-00-00","0000/00/00","0000.00.00","00.00.00","00/00/00","00-00-00","0.00.0000","0/00/0000","0-00-0000"},0)),ISNA(MATCH(LEFT(TRIM(CA156),255),{"0000a","000a","00a","0000aa","000aa","00aa","0aa","0000aaa","000aaa","00a00","0a00","0000-0000","00:00","a00","a0","00.00.0000","00/00/0000","00-00-0000","0000-00-00","0000/00/00","0000.00.00","00.00.00","00/00/00","00-00-00","0.00.0000","0/00/0000","0-00-0000"},0)),LEN(CB156)&gt;=3,NOT(OR(SUBSTITUTE(CB156,"0","")="",AND(LEN(CB156)&gt;=4,CB156=REPT(LEFT(CB156),LEN(CB156))),ISNUMBER(MATCH(CB156,{"123","1234","12345","123456","1234567","12345678","0123","01234","012345","98765","987654","54321"},0)),AND(LEN(CB156)=8,LEFT(CB156,3)="202"))),OR(AND((LEN(CA156)-LEN(SUBSTITUTE(CA156,"a","")))&gt;=1,SUMPRODUCT(--ISNUMBER(SEARCH({"a0","a-0","a_0","a/0","a.0","a#0","0a","0-a","0_a","0/a"},BP156)))&gt;0),ISNUMBER(SEARCH("000000",BP156)))),1,0),0)</f>
        <v>0</v>
      </c>
      <c r="BR156" s="61" t="n">
        <f aca="false">IFERROR(LEN(SUBSTITUTE(CC156," ",""))-SUMPRODUCT((LEN(CC156)-LEN(SUBSTITUTE(CC156," "&amp;L_Role&amp;" "," ")))/(LEN(L_Role)+1)*LEN(L_Role)),0)</f>
        <v>0</v>
      </c>
      <c r="BS156" s="61" t="n">
        <f aca="false">IFERROR(LEN(SUBSTITUTE(CD156," ",""))-SUMPRODUCT((LEN(CD156)-LEN(SUBSTITUTE(CD156," "&amp;L_Role&amp;" "," ")))/(LEN(L_Role)+1)*LEN(L_Role)),0)</f>
        <v>0</v>
      </c>
      <c r="BT1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156,"revision",""),"version",""),"jan",""),"feb",""),"mar",""),"apr",""),"may",""),"jun",""),"jul",""),"aug",""),"sep",""),"oct",""),"nov",""),"dec",""),"utc",""),"gmt",""),"myt",""),"bst",""),"rev",""),"ver",""),"b","a"),"c","a"),"d","a"),"e","a"),"f","a"),"g","a"),"h","a"),"i","a"),"j","a"),"k","a"),"l","a"),"m","a"),"n","a"),"o","a"),"p","a"),"q","a"),"r","a"),"s","a"),"t","a"),"u","a"),"v","a"),"w","a"),"x","a"),"y","a"),"z","a")</f>
        <v/>
      </c>
      <c r="BU156" s="61" t="str">
        <f aca="false">SUBSTITUTE(SUBSTITUTE(SUBSTITUTE(SUBSTITUTE(SUBSTITUTE(SUBSTITUTE(SUBSTITUTE(SUBSTITUTE(SUBSTITUTE(SUBSTITUTE(LEFT(BM156,FIND("0",BM156&amp;"0")-1),"-",""),"_",""),"/",""),".",""),"#",""),"\\",""),":","")," ",""),"(",""),")","")</f>
        <v/>
      </c>
      <c r="BV156" s="61" t="n">
        <f aca="false">0</f>
        <v>0</v>
      </c>
      <c r="BW1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156&amp;""),"a",""),"b",""),"c",""),"d",""),"e",""),"f",""),"g",""),"h",""),"i",""),"j",""),"k",""),"l",""),"m",""),"n",""),"o",""),"p",""),"q",""),"r",""),"s",""),"t",""),"u",""),"v",""),"w",""),"x",""),"y",""),"z",""),"-",""),"_",""),"/",""),".",""),"#",""),"\\",""),":","")," ",""),"(",""),")","")</f>
        <v/>
      </c>
      <c r="BX156" s="61" t="str">
        <f aca="false">SUBSTITUTE(SUBSTITUTE(SUBSTITUTE(SUBSTITUTE(SUBSTITUTE(SUBSTITUTE(SUBSTITUTE(SUBSTITUTE(SUBSTITUTE(SUBSTITUTE(SUBSTITUTE(BM156,"0",""),"-",""),"_",""),"/",""),".",""),"#",""),"\\",""),":","")," ",""),"(",""),")","")</f>
        <v/>
      </c>
      <c r="BY156" s="62" t="n">
        <f aca="false">Q156-T12EarlyH/24</f>
        <v>46309.0451388889</v>
      </c>
      <c r="BZ156" s="61" t="n">
        <f aca="false">IFERROR(IF(IF(TRIM(S156)="Link / file path",AND(LEN(TRIM(Z156))&gt;=5,SUMPRODUCT(--ISNUMBER(SEARCH({"http","www.","\\",":\",".pdf",".jpg",".jpeg",".png",".heic",".xls",".doc",".msg",".eml",".ppt",".txt",".zip"},Z156)))&gt;0),AND(ISERROR(FIND(" ",TRIM(Z156))),NOT(OR(SUMPRODUCT(--ISNUMBER(FIND({",",";","&amp;","+"},Z156)))&gt;0,SUMPRODUCT(--ISNUMBER(SEARCH({"0/aa","0\\aa"},BN156)))&gt;0)),NOT(SUMPRODUCT(--ISNUMBER(SEARCH({"http","www.","\\",":\",".pdf",".jpg",".jpeg",".png",".heic",".xls",".doc",".msg",".eml",".ppt",".txt",".zip"},Z156)))&gt;0),NOT(LOWER(TRIM(Z156))=LOWER(Flights!$F$9)),ISNA(MATCH(BU156,{"mh","rev","revision","ver","version","v","r","a","b","seat","tray","row","gate","bay","stand","page","pg","item","line","no","cart","galley","flight","flt","table","box","bag","oven","etd","eta","std","sta","atd","ata","qty","pax","x","time","tel","ph","mob","day","wk","week","utc","gmt","myt","lt"},0)),NOT(OR(ISNUMBER(MATCH(LEFT(BN156,255),{"0000a","000a","00a","0000aa","000aa","00aa","0aa","0000aaa","000aaa","00a00","0a00","0000-0000","00:00","a00","a0","00.00.0000","00/00/0000","00-00-0000","0000-00-00","0000/00/00","0000.00.00","00.00.00","00/00/00","00-00-00","0.00.0000","0/00/0000","0-00-0000"},0)),ISNUMBER(MATCH(LEFT(BT156,255),{"0000a","000a","00a","0000aa","000aa","00aa","0aa","0000aaa","000aaa","00a00","0a00","0000-0000","00:00","a00","a0","00.00.0000","00/00/0000","00-00-0000","0000-00-00","0000/00/00","0000.00.00","00.00.00","00/00/00","00-00-00","0.00.0000","0/00/0000","0-00-0000"},0)))),NOT(OR(AND(BW156&lt;&gt;"",SUBSTITUTE(BW156,"0","")=""),AND(LEN(BW156)&gt;=4,BW156=REPT(LEFT(BW156),LEN(BW156))),ISNUMBER(MATCH(BW156,{"123","1234","12345","123456","1234567","12345678","0123","01234","012345","98765","987654","54321"},0)),ISNUMBER(MATCH(BX156,{"x","xx","xxx","xxxx","xxxxx","abc","abcd","nil","na","nan","test","tbc","tba","tbd","dummy","sample","example","eg","zz","zzz","none","null","xyz","qwe","asd","id","ref"},0)),AND(LEN(BW156)=8,BX156="",OR(LEFT(BW156,3)="202",ISNUMBER(MATCH(RIGHT(BW156,4),{"2025","2026","2027"},0)))))),OR(AND((LEN(BT156)-LEN(SUBSTITUTE(BT156,"a","")))&gt;=1,(LEN(BN156)-LEN(SUBSTITUTE(BN156,"0","")))&gt;=2,SUMPRODUCT(--ISNUMBER(SEARCH({"a0","a-0","a_0","a/0","a.0","a#0","0a","0-a","0_a","0/a"},BN156)))&gt;0),AND((LEN(BN156)-LEN(SUBSTITUTE(BN156,"a","")))=0,(LEN(BN156)-LEN(SUBSTITUTE(BN156,"0","")))&gt;=5)))),1,0),0)</f>
        <v>0</v>
      </c>
      <c r="CA1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156,"revision",""),"version",""),"jan",""),"feb",""),"mar",""),"apr",""),"may",""),"jun",""),"jul",""),"aug",""),"sep",""),"oct",""),"nov",""),"dec",""),"utc",""),"gmt",""),"myt",""),"bst",""),"rev",""),"ver",""),"b","a"),"c","a"),"d","a"),"e","a"),"f","a"),"g","a"),"h","a"),"i","a"),"j","a"),"k","a"),"l","a"),"m","a"),"n","a"),"o","a"),"p","a"),"q","a"),"r","a"),"s","a"),"t","a"),"u","a"),"v","a"),"w","a"),"x","a"),"y","a"),"z","a")</f>
        <v/>
      </c>
      <c r="CB1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156&amp;""),"a",""),"b",""),"c",""),"d",""),"e",""),"f",""),"g",""),"h",""),"i",""),"j",""),"k",""),"l",""),"m",""),"n",""),"o",""),"p",""),"q",""),"r",""),"s",""),"t",""),"u",""),"v",""),"w",""),"x",""),"y",""),"z",""),"-",""),"_",""),"/",""),".",""),"#",""),"\\",""),":","")," ",""),"(",""),")","")</f>
        <v/>
      </c>
      <c r="CC156" s="0" t="str">
        <f aca="false">" "&amp;TRIM(SUBSTITUTE(SUBSTITUTE(SUBSTITUTE(SUBSTITUTE(SUBSTITUTE(SUBSTITUTE(SUBSTITUTE(SUBSTITUTE(SUBSTITUTE(SUBSTITUTE(SUBSTITUTE(SUBSTITUTE(SUBSTITUTE(SUBSTITUTE(SUBSTITUTE(SUBSTITUTE(SUBSTITUTE(SUBSTITUTE(SUBSTITUTE(SUBSTITUTE(SUBSTITUTE(SUBSTITUTE(SUBSTITUTE(SUBSTITUTE(LOWER(T156&amp;""),CHAR(10)," "),CHAR(13)," "),CHAR(9)," "),CHAR(160)," "),"."," "),","," "),"-"," "),"/"," "),"("," "),")"," "),":"," "),";"," "),"_"," "),"–"," "),"?"," "),"!"," "),"*"," "),"["," "),"]"," "),"'"," "),"#"," "),"+"," "),"&amp;"," "),"\"," "))&amp;" "</f>
        <v>  </v>
      </c>
      <c r="CD156" s="0" t="str">
        <f aca="false">" "&amp;TRIM(SUBSTITUTE(SUBSTITUTE(SUBSTITUTE(SUBSTITUTE(SUBSTITUTE(SUBSTITUTE(SUBSTITUTE(SUBSTITUTE(SUBSTITUTE(SUBSTITUTE(SUBSTITUTE(SUBSTITUTE(SUBSTITUTE(SUBSTITUTE(SUBSTITUTE(SUBSTITUTE(SUBSTITUTE(SUBSTITUTE(SUBSTITUTE(SUBSTITUTE(SUBSTITUTE(SUBSTITUTE(SUBSTITUTE(SUBSTITUTE(LOWER(AE156&amp;""),CHAR(10)," "),CHAR(13)," "),CHAR(9)," "),CHAR(160)," "),"."," "),","," "),"-"," "),"/"," "),"("," "),")"," "),":"," "),";"," "),"_"," "),"–"," "),"?"," "),"!"," "),"*"," "),"["," "),"]"," "),"'"," "),"#"," "),"+"," "),"&amp;"," "),"\"," "))&amp;" "</f>
        <v>  </v>
      </c>
      <c r="CE156" s="68" t="n">
        <f aca="false">IFERROR(IF(AND(LEN(AU156)&gt;0,LEN(AU156)=LEN(AX156),OR(TRIM(MID(SUBSTITUTE(TRIM(CC156)," ",REPT(" ",60)),1,60))="",ISNUMBER(SEARCH(" "&amp;TRIM(MID(SUBSTITUTE(TRIM(CC156)," ",REPT(" ",60)),1,60))&amp;" ",CD156))),OR(TRIM(MID(SUBSTITUTE(TRIM(CC156)," ",REPT(" ",60)),61,60))="",ISNUMBER(SEARCH(" "&amp;TRIM(MID(SUBSTITUTE(TRIM(CC156)," ",REPT(" ",60)),61,60))&amp;" ",CD156))),OR(TRIM(MID(SUBSTITUTE(TRIM(CC156)," ",REPT(" ",60)),121,60))="",ISNUMBER(SEARCH(" "&amp;TRIM(MID(SUBSTITUTE(TRIM(CC156)," ",REPT(" ",60)),121,60))&amp;" ",CD156)))),1,0),0)</f>
        <v>0</v>
      </c>
      <c r="CG156" s="68" t="n">
        <f aca="false">IFERROR(LEN(SUBSTITUTE(BF156," ",""))-SUMPRODUCT((LEN(BF156)-LEN(SUBSTITUTE(BF156," "&amp;L_NAFiller&amp;" "," ")))/(LEN(L_NAFiller)+1)*LEN(L_NAFiller)),0)</f>
        <v>0</v>
      </c>
    </row>
    <row r="157" customFormat="false" ht="91.5" hidden="false" customHeight="true" outlineLevel="0" collapsed="false">
      <c r="A157" s="57" t="s">
        <v>689</v>
      </c>
      <c r="B157" s="57" t="s">
        <v>228</v>
      </c>
      <c r="C157" s="57" t="str">
        <f aca="false">Flights!$F$9</f>
        <v>MH0089</v>
      </c>
      <c r="D157" s="58" t="n">
        <f aca="false">Flights!$D$9</f>
        <v>46310</v>
      </c>
      <c r="E157" s="57" t="str">
        <f aca="false">Flights!$G$9&amp;"-"&amp;Flights!$H$9</f>
        <v>NRT-KUL</v>
      </c>
      <c r="F157" s="57" t="str">
        <f aca="false">Flights!$K$9</f>
        <v>EY</v>
      </c>
      <c r="G157" s="57" t="s">
        <v>420</v>
      </c>
      <c r="H157" s="57" t="s">
        <v>378</v>
      </c>
      <c r="I157" s="57" t="s">
        <v>447</v>
      </c>
      <c r="J157" s="57" t="s">
        <v>454</v>
      </c>
      <c r="K157" s="67" t="s">
        <v>455</v>
      </c>
      <c r="L157" s="67" t="s">
        <v>690</v>
      </c>
      <c r="M157" s="67" t="s">
        <v>451</v>
      </c>
      <c r="N157" s="67" t="s">
        <v>383</v>
      </c>
      <c r="O157" s="67" t="s">
        <v>691</v>
      </c>
      <c r="P157" s="57" t="s">
        <v>220</v>
      </c>
      <c r="Q157" s="59" t="n">
        <f aca="false">ROUND((Flights!$AE$9)*1440,0)/1440</f>
        <v>46309.5451388889</v>
      </c>
      <c r="R157" s="59" t="n">
        <f aca="false">Q157+(IF(AND(INDEX(TZ_DSTS,MATCH(P157,TZ_STN,0))&lt;&gt;"",Q157&gt;=INDEX(TZ_DSTS,MATCH(P157,TZ_STN,0)),Q157&lt;INDEX(TZ_DSTE,MATCH(P157,TZ_STN,0))),INDEX(TZ_DST,MATCH(P157,TZ_STN,0)),INDEX(TZ_STD,MATCH(P157,TZ_STN,0))))/24</f>
        <v>46309.9201388889</v>
      </c>
      <c r="S157" s="60"/>
      <c r="T157" s="60"/>
      <c r="U157" s="60"/>
      <c r="V157" s="60"/>
      <c r="W157" s="61"/>
      <c r="X157" s="69" t="str">
        <f aca="false">IF(TRIM(Flights!$N$9)="","",IF(ISNUMBER(SEARCH("MAH",Flights!$N$9)),280,260))</f>
        <v/>
      </c>
      <c r="Y157" s="60"/>
      <c r="Z157" s="60"/>
      <c r="AA157" s="60"/>
      <c r="AB157" s="60"/>
      <c r="AC157" s="60"/>
      <c r="AD157" s="66"/>
      <c r="AE157" s="60"/>
      <c r="AF157" s="61" t="str">
        <f aca="false">IF(AND(ISNUMBER(X157),ISNUMBER(Y157)),Y157-X157,"")</f>
        <v/>
      </c>
      <c r="AG157" s="62" t="str">
        <f aca="false">IF(ISNUMBER(AD157),AD157-(IF(AND(INDEX(TZ_DSTS,MATCH(P157,TZ_STN,0))&lt;&gt;"",(AD157-INDEX(TZ_STD,MATCH(P157,TZ_STN,0))/24)&gt;=INDEX(TZ_DSTS,MATCH(P157,TZ_STN,0)),(AD157-INDEX(TZ_STD,MATCH(P157,TZ_STN,0))/24)&lt;INDEX(TZ_DSTE,MATCH(P157,TZ_STN,0))),INDEX(TZ_DST,MATCH(P157,TZ_STN,0)),INDEX(TZ_STD,MATCH(P157,TZ_STN,0))))/24,"")</f>
        <v/>
      </c>
      <c r="AH157" s="65" t="str">
        <f aca="false">IFERROR(IF(N157="N/A – rule",IF(OR(TRIM(U157)="",TRIM(U157)="N/A",TRIM(U157)="Not started"),"N/A – RULE","INVALID – this check does not apply to this aircraft: clear the status (or correct the fleet on Flights)"),IF(TRIM(U157)="N/A",IF(AT157=0,"INVALID – N/A not permitted for this check",IF(AND(TRIM(AB157)&lt;&gt;"",TRIM(AB157)&lt;&gt;"Closed"),"INVALID – corrective action still open",IF(AND(NOT(OR(LEN(AZ157)&lt;15,ISNUMBER(MATCH(AZ157,L_Placeholder,0)))),BK157=0,CG157&gt;=8,NOT(OR(LEN(AU157)&lt;2,ISNUMBER(MATCH(AU157,L_Placeholder,0)))),BR157&gt;=3,NOT(OR(LEN(AX157)&lt;2,ISNUMBER(MATCH(AX157,L_Placeholder,0)))),BS157&gt;=3,TRIM(AE157)&lt;&gt;TRIM(T157),AX157&lt;&gt;AU157,CE157=0),"N/A – JUSTIFIED","INVALID – N/A needs a real, settled reason (not 'not applicable' / 'as above' / TBC), a named PIC and a different named verifier"))),IF(OR(TRIM(U157)="Pass",TRIM(U157)="Pass after CA"),IF(NOT(ISNUMBER(AD157)),"INVALID – completion time missing",IF(OR(OR(LEN(AU157)&lt;2,ISNUMBER(MATCH(AU157,L_Placeholder,0))),BR157&lt;3),"INVALID – PIC missing or not a named person (a role such as QA / CSM is not a name)",IF(OR(LEN(AV157)&lt;2,ISNUMBER(MATCH(AV157,L_Placeholder,0))),"INVALID – result / assessment missing",IF(OR(OR(LEN(AW157)&lt;3,ISNUMBER(MATCH(AW157,L_Placeholder,0))),SUMPRODUCT(--ISNUMBER(SEARCH(" "&amp;L_EvidencePhrase&amp;" ",BD157)))&gt;0,BI157=1),"INVALID – evidence missing, placeholder or not yet on file",IF(ISNA(MATCH(TRIM(S157),L_EvidenceType,0)),"INVALID – choose the evidence type from the list (column S)",IF(BL157=0,"INVALID – evidence ID must be the record's own ID only (e.g. SF-2210, IMG_2231, 1045521); a link / file name needs type 'Link / file path'",IF(OR(OR(LEN(AX157)&lt;2,ISNUMBER(MATCH(AX157,L_Placeholder,0))),BS157&lt;3),"INVALID – verifier missing or not a named person (a role such as QA / CSM is not a name)",IF(OR(AX157=AU157,CE157=1,AND(LEN(AU157)&gt;=4,ISNUMBER(SEARCH(AU157,AX157))),AND(LEN(AX157)&gt;=4,ISNUMBER(SEARCH(AX157,AU157)))),"INVALID – verifier must be a different, named person (not the PIC or a role)",IF(BH157=1,"INVALID – result not yet available (awaiting / TBC)",IF(BG157=1,"INVALID – result describes a problem: record Fail, then Pass after CA (or reword if it is not a problem)",IF(BV157=1,"INVALID – wording says not on board: an on-board confirmation needs the item loaded",IF(AND(AQ157=1,OR(OR(LEN(AY157)&lt;3,ISNUMBER(MATCH(AY157,L_Placeholder,0))),BJ157=1,BQ157=0)),"INVALID – batch ID missing, placeholder or not an ID (e.g. PASB-261008-BC-017)",IF(AND(AR157=1,OR(NOT(ISNUMBER(X157)),NOT(ISNUMBER(Y157)))),"INVALID – expected/actual qty missing",IF(AND(AR157=1,OR(X157&lt;=0,Y157&lt;0)),"INVALID – expected qty must be above 0 and actual not negative",IF(BB157&lt;&gt;"",BB157,IF(AND(AS157=1,Documents!$J$9&lt;&gt;"ON FILE"),"INVALID – GLD not on file (Documents sheet)",IF(AND(AS157=2,Documents!$O$9&lt;&gt;"ON FILE"),"INVALID – menu checklist not on file (Documents sheet)",IF(AND(AS157=3,NOT(ISNUMBER(Flights!$AX$9))),"INVALID – enter carrying flight KUL departure (Flights AX)",IF(AND(AS157=3,OR(Flights!$AZ$9&gt;Flights!$AA$9,Flights!$AX$9&lt;Flights!$AA$9-3)),"INVALID – carrying flight (Flights AX) cannot arrive before this leg's STD, or is over 3 days early",IF(AG157&gt;AsOfUTC,"INVALID – completion time is in the future",IF(AND(ISNUMBER(BY157),AG157&lt;BY157),IF(H157="Physical uplift","INVALID – before uplift window (cannot confirm loading)","INVALID – before valid window"),IF(AG157&gt;Flights!$AA$9,"INVALID – completed after departure (cannot establish readiness)",IF(AND(H157="Preparation",AG157&gt;=IF(ISNUMBER(Flights!$BA$9),MIN(Flights!$BA$9,Flights!$AA$9),Flights!$AA$9)),"INVALID – completed after loading / departure (cannot establish readiness)",IF(AND(H157="Physical uplift",AG157&gt;Q157),"INVALID – recorded after the loading flight departed",IF(AG157&gt;Q157,"COMPLETE – LATE","COMPLETE"))))))))))))))))))))))))),IF(TRIM(U157)="Fail","FAIL – DISCREPANCY",IF(AND(TRIM(U157)&lt;&gt;"",TRIM(U157)&lt;&gt;"Not started",TRIM(U157)&lt;&gt;"In progress"),"INVALID – unrecognised status (use the list)",IF(AsOfUTC&gt;Q157,"OVERDUE",IF(N157="Clarification required","OPEN – CLARIFICATION","OPEN"))))))),"INVALID – error value in an input cell")</f>
        <v>OPEN</v>
      </c>
      <c r="AI157" s="61" t="n">
        <f aca="false">IF(OR(AH157="N/A – RULE",AH157="N/A – JUSTIFIED"),0,1)</f>
        <v>1</v>
      </c>
      <c r="AJ157" s="61" t="n">
        <f aca="false">IF(LEFT(AH157,8)="COMPLETE",1,0)</f>
        <v>0</v>
      </c>
      <c r="AK157" s="61" t="n">
        <f aca="false">IF(AND(AI157=1,AJ157=0,AsOfUTC&gt;Q157),1,0)</f>
        <v>0</v>
      </c>
      <c r="AL157" s="61" t="n">
        <f aca="false">IFERROR(IF(AND(AI157=1,OR(TRIM(U157)="Fail",AND(TRIM(AB157)&lt;&gt;"",TRIM(AB157)&lt;&gt;"Closed"),AND(ISNUMBER(AF157),AF157&lt;&gt;0,TRIM(U157)&lt;&gt;"Pass after CA"))),1,0),1)</f>
        <v>0</v>
      </c>
      <c r="AM157" s="61" t="n">
        <f aca="false">IF(LEFT(AH157,7)="INVALID",1,0)</f>
        <v>0</v>
      </c>
      <c r="AN157" s="61" t="n">
        <f aca="false">IF(AND(N157="Clarification required",AI157=1,AJ157=0),1,0)</f>
        <v>0</v>
      </c>
      <c r="AO157" s="61" t="str">
        <f aca="false">IF(AK157=1,SUM(AK$5:AK157),"")</f>
        <v/>
      </c>
      <c r="AP157" s="61" t="str">
        <f aca="false">IF(AL157=1,SUM(AL$5:AL157),"")</f>
        <v/>
      </c>
      <c r="AQ157" s="61" t="n">
        <v>0</v>
      </c>
      <c r="AR157" s="61" t="n">
        <v>1</v>
      </c>
      <c r="AS157" s="61" t="n">
        <v>0</v>
      </c>
      <c r="AT157" s="61" t="n">
        <v>0</v>
      </c>
      <c r="AU157" s="61" t="str">
        <f aca="false">SUBSTITUTE(SUBSTITUTE(SUBSTITUTE(SUBSTITUTE(SUBSTITUTE(SUBSTITUTE(SUBSTITUTE(SUBSTITUTE(SUBSTITUTE(SUBSTITUTE(SUBSTITUTE(SUBSTITUTE(SUBSTITUTE(SUBSTITUTE(SUBSTITUTE(SUBSTITUTE(LOWER(T157&amp;""),CHAR(10),""),CHAR(13),""),CHAR(9),""),CHAR(160),"")," ",""),".",""),"-",""),"/",""),"?",""),"_",""),",",""),"[",""),"]",""),"(",""),")",""),"*","")</f>
        <v/>
      </c>
      <c r="AV157" s="61" t="str">
        <f aca="false">SUBSTITUTE(SUBSTITUTE(SUBSTITUTE(SUBSTITUTE(SUBSTITUTE(SUBSTITUTE(SUBSTITUTE(SUBSTITUTE(SUBSTITUTE(SUBSTITUTE(SUBSTITUTE(SUBSTITUTE(SUBSTITUTE(SUBSTITUTE(SUBSTITUTE(SUBSTITUTE(LOWER(V157&amp;""),CHAR(10),""),CHAR(13),""),CHAR(9),""),CHAR(160),"")," ",""),".",""),"-",""),"/",""),"?",""),"_",""),",",""),"[",""),"]",""),"(",""),")",""),"*","")</f>
        <v/>
      </c>
      <c r="AW157" s="61" t="str">
        <f aca="false">SUBSTITUTE(SUBSTITUTE(SUBSTITUTE(SUBSTITUTE(SUBSTITUTE(SUBSTITUTE(SUBSTITUTE(SUBSTITUTE(SUBSTITUTE(SUBSTITUTE(SUBSTITUTE(SUBSTITUTE(SUBSTITUTE(SUBSTITUTE(SUBSTITUTE(SUBSTITUTE(LOWER(Z157&amp;""),CHAR(10),""),CHAR(13),""),CHAR(9),""),CHAR(160),"")," ",""),".",""),"-",""),"/",""),"?",""),"_",""),",",""),"[",""),"]",""),"(",""),")",""),"*","")</f>
        <v/>
      </c>
      <c r="AX157" s="61" t="str">
        <f aca="false">SUBSTITUTE(SUBSTITUTE(SUBSTITUTE(SUBSTITUTE(SUBSTITUTE(SUBSTITUTE(SUBSTITUTE(SUBSTITUTE(SUBSTITUTE(SUBSTITUTE(SUBSTITUTE(SUBSTITUTE(SUBSTITUTE(SUBSTITUTE(SUBSTITUTE(SUBSTITUTE(LOWER(AE157&amp;""),CHAR(10),""),CHAR(13),""),CHAR(9),""),CHAR(160),"")," ",""),".",""),"-",""),"/",""),"?",""),"_",""),",",""),"[",""),"]",""),"(",""),")",""),"*","")</f>
        <v/>
      </c>
      <c r="AY157" s="61" t="str">
        <f aca="false">SUBSTITUTE(SUBSTITUTE(SUBSTITUTE(SUBSTITUTE(SUBSTITUTE(SUBSTITUTE(SUBSTITUTE(SUBSTITUTE(SUBSTITUTE(SUBSTITUTE(SUBSTITUTE(SUBSTITUTE(SUBSTITUTE(SUBSTITUTE(SUBSTITUTE(SUBSTITUTE(LOWER(W157&amp;""),CHAR(10),""),CHAR(13),""),CHAR(9),""),CHAR(160),"")," ",""),".",""),"-",""),"/",""),"?",""),"_",""),",",""),"[",""),"]",""),"(",""),")",""),"*","")</f>
        <v/>
      </c>
      <c r="AZ157" s="61" t="str">
        <f aca="false">SUBSTITUTE(SUBSTITUTE(SUBSTITUTE(SUBSTITUTE(SUBSTITUTE(SUBSTITUTE(SUBSTITUTE(SUBSTITUTE(SUBSTITUTE(SUBSTITUTE(SUBSTITUTE(SUBSTITUTE(SUBSTITUTE(SUBSTITUTE(SUBSTITUTE(SUBSTITUTE(LOWER(AC157&amp;""),CHAR(10),""),CHAR(13),""),CHAR(9),""),CHAR(160),"")," ",""),".",""),"-",""),"/",""),"?",""),"_",""),",",""),"[",""),"]",""),"(",""),")",""),"*","")</f>
        <v/>
      </c>
      <c r="BA157" s="61" t="str">
        <f aca="false">SUBSTITUTE(SUBSTITUTE(SUBSTITUTE(SUBSTITUTE(SUBSTITUTE(SUBSTITUTE(SUBSTITUTE(SUBSTITUTE(SUBSTITUTE(SUBSTITUTE(SUBSTITUTE(SUBSTITUTE(SUBSTITUTE(SUBSTITUTE(SUBSTITUTE(SUBSTITUTE(LOWER(AA157&amp;""),CHAR(10),""),CHAR(13),""),CHAR(9),""),CHAR(160),"")," ",""),".",""),"-",""),"/",""),"?",""),"_",""),",",""),"[",""),"]",""),"(",""),")",""),"*","")</f>
        <v/>
      </c>
      <c r="BB157" s="61" t="str">
        <f aca="false">IF(AND(TRIM(U157)="Pass",ISNUMBER(AF157)),IF(AF157&lt;&gt;0,"INVALID – qty variance: use Fail or Pass after CA",""),"")&amp;IF(AND(TRIM(U157)="Pass after CA",ISNUMBER(AF157)),IF(AF157&lt;&gt;0,"INVALID – after the corrective action the actual qty must equal expected (update Actual)",""),"")&amp;IF(AND(TRIM(U157)="Pass",TRIM(AB157)&lt;&gt;"",TRIM(AB157)&lt;&gt;"Closed"),"INVALID – corrective action not closed: use Fail, then Pass after CA","")&amp;IF(AND(LEN(BA157)&gt;=2,ISNA(MATCH(LEFT(BA157,255),L_Placeholder,0)),TRIM(AB157)=""),"INVALID – CA status missing for the recorded corrective action","")&amp;IF(AND(TRIM(U157)="Pass after CA",OR(OR(LEN(BA157)&lt;5,ISNUMBER(MATCH(BA157,L_Placeholder,0))),TRIM(AB157)&lt;&gt;"Closed")),"INVALID – corrective action not recorded/closed","")</f>
        <v/>
      </c>
      <c r="BC157" s="61" t="str">
        <f aca="false">" "&amp;TRIM(SUBSTITUTE(SUBSTITUTE(SUBSTITUTE(SUBSTITUTE(SUBSTITUTE(SUBSTITUTE(SUBSTITUTE(SUBSTITUTE(SUBSTITUTE(SUBSTITUTE(SUBSTITUTE(SUBSTITUTE(SUBSTITUTE(SUBSTITUTE(SUBSTITUTE(SUBSTITUTE(SUBSTITUTE(SUBSTITUTE(SUBSTITUTE(SUBSTITUTE(SUBSTITUTE(SUBSTITUTE(SUBSTITUTE(SUBSTITUTE(LOWER(V157&amp;""),CHAR(10)," "),CHAR(13)," "),CHAR(9)," "),CHAR(160)," "),"."," "),","," "),"-"," "),"/"," "),"("," "),")"," "),":"," "),";"," "),"_"," "),"–"," "),"?"," "),"!"," "),"*"," "),"["," "),"]"," "),"'"," "),"#"," "),"+"," "),"&amp;"," "),"\"," "))&amp;" "</f>
        <v>  </v>
      </c>
      <c r="BD157" s="61" t="str">
        <f aca="false">" "&amp;TRIM(SUBSTITUTE(SUBSTITUTE(SUBSTITUTE(SUBSTITUTE(SUBSTITUTE(SUBSTITUTE(SUBSTITUTE(SUBSTITUTE(SUBSTITUTE(SUBSTITUTE(SUBSTITUTE(SUBSTITUTE(SUBSTITUTE(SUBSTITUTE(SUBSTITUTE(SUBSTITUTE(SUBSTITUTE(SUBSTITUTE(SUBSTITUTE(SUBSTITUTE(SUBSTITUTE(SUBSTITUTE(SUBSTITUTE(SUBSTITUTE(LOWER(Z157&amp;""),CHAR(10)," "),CHAR(13)," "),CHAR(9)," "),CHAR(160)," "),"."," "),","," "),"-"," "),"/"," "),"("," "),")"," "),":"," "),";"," "),"_"," "),"–"," "),"?"," "),"!"," "),"*"," "),"["," "),"]"," "),"'"," "),"#"," "),"+"," "),"&amp;"," "),"\"," "))&amp;" "</f>
        <v>  </v>
      </c>
      <c r="BE157" s="61" t="str">
        <f aca="false">" "&amp;TRIM(SUBSTITUTE(SUBSTITUTE(SUBSTITUTE(SUBSTITUTE(SUBSTITUTE(SUBSTITUTE(SUBSTITUTE(SUBSTITUTE(SUBSTITUTE(SUBSTITUTE(SUBSTITUTE(SUBSTITUTE(SUBSTITUTE(SUBSTITUTE(SUBSTITUTE(SUBSTITUTE(SUBSTITUTE(SUBSTITUTE(SUBSTITUTE(SUBSTITUTE(SUBSTITUTE(SUBSTITUTE(SUBSTITUTE(SUBSTITUTE(LOWER(W157&amp;""),CHAR(10)," "),CHAR(13)," "),CHAR(9)," "),CHAR(160)," "),"."," "),","," "),"-"," "),"/"," "),"("," "),")"," "),":"," "),";"," "),"_"," "),"–"," "),"?"," "),"!"," "),"*"," "),"["," "),"]"," "),"'"," "),"#"," "),"+"," "),"&amp;"," "),"\"," "))&amp;" "</f>
        <v>  </v>
      </c>
      <c r="BF157" s="61" t="str">
        <f aca="false">" "&amp;TRIM(SUBSTITUTE(SUBSTITUTE(SUBSTITUTE(SUBSTITUTE(SUBSTITUTE(SUBSTITUTE(SUBSTITUTE(SUBSTITUTE(SUBSTITUTE(SUBSTITUTE(SUBSTITUTE(SUBSTITUTE(SUBSTITUTE(SUBSTITUTE(SUBSTITUTE(SUBSTITUTE(SUBSTITUTE(SUBSTITUTE(SUBSTITUTE(SUBSTITUTE(SUBSTITUTE(SUBSTITUTE(SUBSTITUTE(SUBSTITUTE(LOWER(AC157&amp;""),CHAR(10)," "),CHAR(13)," "),CHAR(9)," "),CHAR(160)," "),"."," "),","," "),"-"," "),"/"," "),"("," "),")"," "),":"," "),";"," "),"_"," "),"–"," "),"?"," "),"!"," "),"*"," "),"["," "),"]"," "),"'"," "),"#"," "),"+"," "),"&amp;"," "),"\"," "))&amp;" "</f>
        <v>  </v>
      </c>
      <c r="BG157" s="61" t="n">
        <f aca="false">IFERROR(IF(AND(TRIM(U157)="Pass",SUMPRODUCT((LEN(BC157)-LEN(SUBSTITUTE(BC157," "&amp;L_ResultBad&amp;" "," ")))/(LEN(L_ResultBad)+1))&gt;SUMPRODUCT((LEN(BC157)-LEN(SUBSTITUTE(BC157," "&amp;L_NegPhrase&amp;" "," ")))/(LEN(L_NegPhrase)+1))),1,0),0)</f>
        <v>0</v>
      </c>
      <c r="BH157" s="61" t="n">
        <f aca="false">IFERROR(IF(SUMPRODUCT((LEN(BC157)-LEN(SUBSTITUTE(BC157," "&amp;L_Pending&amp;" "," ")))/(LEN(L_Pending)+1))&gt;SUMPRODUCT((LEN(BC157)-LEN(SUBSTITUTE(BC157," "&amp;L_PendNeg&amp;" "," ")))/(LEN(L_PendNeg)+1))+SUMPRODUCT((LEN(BC157)-LEN(SUBSTITUTE(BC157," "&amp;L_PendPrep&amp;" "," ")))/(LEN(L_PendPrep)+1)),1,0),1)</f>
        <v>0</v>
      </c>
      <c r="BI157" s="61" t="n">
        <f aca="false">IFERROR(IF(SUMPRODUCT((LEN(BD157)-LEN(SUBSTITUTE(BD157," "&amp;L_PendStrict&amp;" "," ")))/(LEN(L_PendStrict)+1))&gt;SUMPRODUCT((LEN(BD157)-LEN(SUBSTITUTE(BD157," "&amp;L_PendNeg&amp;" "," ")))/(LEN(L_PendNeg)+1)),1,0),1)</f>
        <v>0</v>
      </c>
      <c r="BJ157" s="61" t="n">
        <f aca="false">IFERROR(IF(SUMPRODUCT((LEN(BE157)-LEN(SUBSTITUTE(BE157," "&amp;L_Pending&amp;" "," ")))/(LEN(L_Pending)+1))&gt;SUMPRODUCT((LEN(BE157)-LEN(SUBSTITUTE(BE157," "&amp;L_PendNeg&amp;" "," ")))/(LEN(L_PendNeg)+1))+SUMPRODUCT((LEN(BE157)-LEN(SUBSTITUTE(BE157," "&amp;L_PendPrep&amp;" "," ")))/(LEN(L_PendPrep)+1)),1,0),1)</f>
        <v>0</v>
      </c>
      <c r="BK157" s="61" t="n">
        <f aca="false">IFERROR(IF(SUMPRODUCT((LEN(BF157)-LEN(SUBSTITUTE(BF157," "&amp;L_PendStrict&amp;" "," ")))/(LEN(L_PendStrict)+1))&gt;SUMPRODUCT((LEN(BF157)-LEN(SUBSTITUTE(BF157," "&amp;L_PendNeg&amp;" "," ")))/(LEN(L_PendNeg)+1)),1,0),1)</f>
        <v>0</v>
      </c>
      <c r="BL157" s="61" t="n">
        <f aca="false">IF(ISNA(MATCH(TRIM(S157),L_EvidenceType,0)),0,BZ157)</f>
        <v>0</v>
      </c>
      <c r="BM157" s="61" t="str">
        <f aca="false">SUBSTITUTE(SUBSTITUTE(SUBSTITUTE(SUBSTITUTE(SUBSTITUTE(SUBSTITUTE(SUBSTITUTE(SUBSTITUTE(SUBSTITUTE(LOWER(Z157&amp;""),"1","0"),"2","0"),"3","0"),"4","0"),"5","0"),"6","0"),"7","0"),"8","0"),"9","0")</f>
        <v/>
      </c>
      <c r="BN157" s="61" t="str">
        <f aca="false">SUBSTITUTE(SUBSTITUTE(SUBSTITUTE(SUBSTITUTE(SUBSTITUTE(SUBSTITUTE(SUBSTITUTE(SUBSTITUTE(SUBSTITUTE(SUBSTITUTE(SUBSTITUTE(SUBSTITUTE(SUBSTITUTE(SUBSTITUTE(SUBSTITUTE(SUBSTITUTE(SUBSTITUTE(SUBSTITUTE(SUBSTITUTE(SUBSTITUTE(SUBSTITUTE(SUBSTITUTE(SUBSTITUTE(SUBSTITUTE(SUBSTITUTE(BM157,"b","a"),"c","a"),"d","a"),"e","a"),"f","a"),"g","a"),"h","a"),"i","a"),"j","a"),"k","a"),"l","a"),"m","a"),"n","a"),"o","a"),"p","a"),"q","a"),"r","a"),"s","a"),"t","a"),"u","a"),"v","a"),"w","a"),"x","a"),"y","a"),"z","a")</f>
        <v/>
      </c>
      <c r="BO157" s="61" t="str">
        <f aca="false">SUBSTITUTE(SUBSTITUTE(SUBSTITUTE(SUBSTITUTE(SUBSTITUTE(SUBSTITUTE(SUBSTITUTE(SUBSTITUTE(SUBSTITUTE(LOWER(W157&amp;""),"1","0"),"2","0"),"3","0"),"4","0"),"5","0"),"6","0"),"7","0"),"8","0"),"9","0")</f>
        <v/>
      </c>
      <c r="BP157" s="61" t="str">
        <f aca="false">SUBSTITUTE(SUBSTITUTE(SUBSTITUTE(SUBSTITUTE(SUBSTITUTE(SUBSTITUTE(SUBSTITUTE(SUBSTITUTE(SUBSTITUTE(SUBSTITUTE(SUBSTITUTE(SUBSTITUTE(SUBSTITUTE(SUBSTITUTE(SUBSTITUTE(SUBSTITUTE(SUBSTITUTE(SUBSTITUTE(SUBSTITUTE(SUBSTITUTE(SUBSTITUTE(SUBSTITUTE(SUBSTITUTE(SUBSTITUTE(SUBSTITUTE(BO157,"b","a"),"c","a"),"d","a"),"e","a"),"f","a"),"g","a"),"h","a"),"i","a"),"j","a"),"k","a"),"l","a"),"m","a"),"n","a"),"o","a"),"p","a"),"q","a"),"r","a"),"s","a"),"t","a"),"u","a"),"v","a"),"w","a"),"x","a"),"y","a"),"z","a")</f>
        <v/>
      </c>
      <c r="BQ157" s="61" t="n">
        <f aca="false">IFERROR(IF(AND(ISERROR(SEARCH(" mh"," "&amp;LOWER(W157))),ISNA(MATCH(LEFT(TRIM(BP157),255),{"0000a","000a","00a","0000aa","000aa","00aa","0aa","0000aaa","000aaa","00a00","0a00","0000-0000","00:00","a00","a0","00.00.0000","00/00/0000","00-00-0000","0000-00-00","0000/00/00","0000.00.00","00.00.00","00/00/00","00-00-00","0.00.0000","0/00/0000","0-00-0000"},0)),ISNA(MATCH(LEFT(TRIM(CA157),255),{"0000a","000a","00a","0000aa","000aa","00aa","0aa","0000aaa","000aaa","00a00","0a00","0000-0000","00:00","a00","a0","00.00.0000","00/00/0000","00-00-0000","0000-00-00","0000/00/00","0000.00.00","00.00.00","00/00/00","00-00-00","0.00.0000","0/00/0000","0-00-0000"},0)),LEN(CB157)&gt;=3,NOT(OR(SUBSTITUTE(CB157,"0","")="",AND(LEN(CB157)&gt;=4,CB157=REPT(LEFT(CB157),LEN(CB157))),ISNUMBER(MATCH(CB157,{"123","1234","12345","123456","1234567","12345678","0123","01234","012345","98765","987654","54321"},0)),AND(LEN(CB157)=8,LEFT(CB157,3)="202"))),OR(AND((LEN(CA157)-LEN(SUBSTITUTE(CA157,"a","")))&gt;=1,SUMPRODUCT(--ISNUMBER(SEARCH({"a0","a-0","a_0","a/0","a.0","a#0","0a","0-a","0_a","0/a"},BP157)))&gt;0),ISNUMBER(SEARCH("000000",BP157)))),1,0),0)</f>
        <v>0</v>
      </c>
      <c r="BR157" s="61" t="n">
        <f aca="false">IFERROR(LEN(SUBSTITUTE(CC157," ",""))-SUMPRODUCT((LEN(CC157)-LEN(SUBSTITUTE(CC157," "&amp;L_Role&amp;" "," ")))/(LEN(L_Role)+1)*LEN(L_Role)),0)</f>
        <v>0</v>
      </c>
      <c r="BS157" s="61" t="n">
        <f aca="false">IFERROR(LEN(SUBSTITUTE(CD157," ",""))-SUMPRODUCT((LEN(CD157)-LEN(SUBSTITUTE(CD157," "&amp;L_Role&amp;" "," ")))/(LEN(L_Role)+1)*LEN(L_Role)),0)</f>
        <v>0</v>
      </c>
      <c r="BT1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157,"revision",""),"version",""),"jan",""),"feb",""),"mar",""),"apr",""),"may",""),"jun",""),"jul",""),"aug",""),"sep",""),"oct",""),"nov",""),"dec",""),"utc",""),"gmt",""),"myt",""),"bst",""),"rev",""),"ver",""),"b","a"),"c","a"),"d","a"),"e","a"),"f","a"),"g","a"),"h","a"),"i","a"),"j","a"),"k","a"),"l","a"),"m","a"),"n","a"),"o","a"),"p","a"),"q","a"),"r","a"),"s","a"),"t","a"),"u","a"),"v","a"),"w","a"),"x","a"),"y","a"),"z","a")</f>
        <v/>
      </c>
      <c r="BU157" s="61" t="str">
        <f aca="false">SUBSTITUTE(SUBSTITUTE(SUBSTITUTE(SUBSTITUTE(SUBSTITUTE(SUBSTITUTE(SUBSTITUTE(SUBSTITUTE(SUBSTITUTE(SUBSTITUTE(LEFT(BM157,FIND("0",BM157&amp;"0")-1),"-",""),"_",""),"/",""),".",""),"#",""),"\\",""),":","")," ",""),"(",""),")","")</f>
        <v/>
      </c>
      <c r="BV157" s="61" t="n">
        <f aca="false">0</f>
        <v>0</v>
      </c>
      <c r="BW1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157&amp;""),"a",""),"b",""),"c",""),"d",""),"e",""),"f",""),"g",""),"h",""),"i",""),"j",""),"k",""),"l",""),"m",""),"n",""),"o",""),"p",""),"q",""),"r",""),"s",""),"t",""),"u",""),"v",""),"w",""),"x",""),"y",""),"z",""),"-",""),"_",""),"/",""),".",""),"#",""),"\\",""),":","")," ",""),"(",""),")","")</f>
        <v/>
      </c>
      <c r="BX157" s="61" t="str">
        <f aca="false">SUBSTITUTE(SUBSTITUTE(SUBSTITUTE(SUBSTITUTE(SUBSTITUTE(SUBSTITUTE(SUBSTITUTE(SUBSTITUTE(SUBSTITUTE(SUBSTITUTE(SUBSTITUTE(BM157,"0",""),"-",""),"_",""),"/",""),".",""),"#",""),"\\",""),":","")," ",""),"(",""),")","")</f>
        <v/>
      </c>
      <c r="BY157" s="62" t="n">
        <f aca="false">Q157-T12EarlyH/24</f>
        <v>46309.0451388889</v>
      </c>
      <c r="BZ157" s="61" t="n">
        <f aca="false">IFERROR(IF(IF(TRIM(S157)="Link / file path",AND(LEN(TRIM(Z157))&gt;=5,SUMPRODUCT(--ISNUMBER(SEARCH({"http","www.","\\",":\",".pdf",".jpg",".jpeg",".png",".heic",".xls",".doc",".msg",".eml",".ppt",".txt",".zip"},Z157)))&gt;0),AND(ISERROR(FIND(" ",TRIM(Z157))),NOT(OR(SUMPRODUCT(--ISNUMBER(FIND({",",";","&amp;","+"},Z157)))&gt;0,SUMPRODUCT(--ISNUMBER(SEARCH({"0/aa","0\\aa"},BN157)))&gt;0)),NOT(SUMPRODUCT(--ISNUMBER(SEARCH({"http","www.","\\",":\",".pdf",".jpg",".jpeg",".png",".heic",".xls",".doc",".msg",".eml",".ppt",".txt",".zip"},Z157)))&gt;0),NOT(LOWER(TRIM(Z157))=LOWER(Flights!$F$9)),ISNA(MATCH(BU157,{"mh","rev","revision","ver","version","v","r","a","b","seat","tray","row","gate","bay","stand","page","pg","item","line","no","cart","galley","flight","flt","table","box","bag","oven","etd","eta","std","sta","atd","ata","qty","pax","x","time","tel","ph","mob","day","wk","week","utc","gmt","myt","lt"},0)),NOT(OR(ISNUMBER(MATCH(LEFT(BN157,255),{"0000a","000a","00a","0000aa","000aa","00aa","0aa","0000aaa","000aaa","00a00","0a00","0000-0000","00:00","a00","a0","00.00.0000","00/00/0000","00-00-0000","0000-00-00","0000/00/00","0000.00.00","00.00.00","00/00/00","00-00-00","0.00.0000","0/00/0000","0-00-0000"},0)),ISNUMBER(MATCH(LEFT(BT157,255),{"0000a","000a","00a","0000aa","000aa","00aa","0aa","0000aaa","000aaa","00a00","0a00","0000-0000","00:00","a00","a0","00.00.0000","00/00/0000","00-00-0000","0000-00-00","0000/00/00","0000.00.00","00.00.00","00/00/00","00-00-00","0.00.0000","0/00/0000","0-00-0000"},0)))),NOT(OR(AND(BW157&lt;&gt;"",SUBSTITUTE(BW157,"0","")=""),AND(LEN(BW157)&gt;=4,BW157=REPT(LEFT(BW157),LEN(BW157))),ISNUMBER(MATCH(BW157,{"123","1234","12345","123456","1234567","12345678","0123","01234","012345","98765","987654","54321"},0)),ISNUMBER(MATCH(BX157,{"x","xx","xxx","xxxx","xxxxx","abc","abcd","nil","na","nan","test","tbc","tba","tbd","dummy","sample","example","eg","zz","zzz","none","null","xyz","qwe","asd","id","ref"},0)),AND(LEN(BW157)=8,BX157="",OR(LEFT(BW157,3)="202",ISNUMBER(MATCH(RIGHT(BW157,4),{"2025","2026","2027"},0)))))),OR(AND((LEN(BT157)-LEN(SUBSTITUTE(BT157,"a","")))&gt;=1,(LEN(BN157)-LEN(SUBSTITUTE(BN157,"0","")))&gt;=2,SUMPRODUCT(--ISNUMBER(SEARCH({"a0","a-0","a_0","a/0","a.0","a#0","0a","0-a","0_a","0/a"},BN157)))&gt;0),AND((LEN(BN157)-LEN(SUBSTITUTE(BN157,"a","")))=0,(LEN(BN157)-LEN(SUBSTITUTE(BN157,"0","")))&gt;=5)))),1,0),0)</f>
        <v>0</v>
      </c>
      <c r="CA1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157,"revision",""),"version",""),"jan",""),"feb",""),"mar",""),"apr",""),"may",""),"jun",""),"jul",""),"aug",""),"sep",""),"oct",""),"nov",""),"dec",""),"utc",""),"gmt",""),"myt",""),"bst",""),"rev",""),"ver",""),"b","a"),"c","a"),"d","a"),"e","a"),"f","a"),"g","a"),"h","a"),"i","a"),"j","a"),"k","a"),"l","a"),"m","a"),"n","a"),"o","a"),"p","a"),"q","a"),"r","a"),"s","a"),"t","a"),"u","a"),"v","a"),"w","a"),"x","a"),"y","a"),"z","a")</f>
        <v/>
      </c>
      <c r="CB1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157&amp;""),"a",""),"b",""),"c",""),"d",""),"e",""),"f",""),"g",""),"h",""),"i",""),"j",""),"k",""),"l",""),"m",""),"n",""),"o",""),"p",""),"q",""),"r",""),"s",""),"t",""),"u",""),"v",""),"w",""),"x",""),"y",""),"z",""),"-",""),"_",""),"/",""),".",""),"#",""),"\\",""),":","")," ",""),"(",""),")","")</f>
        <v/>
      </c>
      <c r="CC157" s="0" t="str">
        <f aca="false">" "&amp;TRIM(SUBSTITUTE(SUBSTITUTE(SUBSTITUTE(SUBSTITUTE(SUBSTITUTE(SUBSTITUTE(SUBSTITUTE(SUBSTITUTE(SUBSTITUTE(SUBSTITUTE(SUBSTITUTE(SUBSTITUTE(SUBSTITUTE(SUBSTITUTE(SUBSTITUTE(SUBSTITUTE(SUBSTITUTE(SUBSTITUTE(SUBSTITUTE(SUBSTITUTE(SUBSTITUTE(SUBSTITUTE(SUBSTITUTE(SUBSTITUTE(LOWER(T157&amp;""),CHAR(10)," "),CHAR(13)," "),CHAR(9)," "),CHAR(160)," "),"."," "),","," "),"-"," "),"/"," "),"("," "),")"," "),":"," "),";"," "),"_"," "),"–"," "),"?"," "),"!"," "),"*"," "),"["," "),"]"," "),"'"," "),"#"," "),"+"," "),"&amp;"," "),"\"," "))&amp;" "</f>
        <v>  </v>
      </c>
      <c r="CD157" s="0" t="str">
        <f aca="false">" "&amp;TRIM(SUBSTITUTE(SUBSTITUTE(SUBSTITUTE(SUBSTITUTE(SUBSTITUTE(SUBSTITUTE(SUBSTITUTE(SUBSTITUTE(SUBSTITUTE(SUBSTITUTE(SUBSTITUTE(SUBSTITUTE(SUBSTITUTE(SUBSTITUTE(SUBSTITUTE(SUBSTITUTE(SUBSTITUTE(SUBSTITUTE(SUBSTITUTE(SUBSTITUTE(SUBSTITUTE(SUBSTITUTE(SUBSTITUTE(SUBSTITUTE(LOWER(AE157&amp;""),CHAR(10)," "),CHAR(13)," "),CHAR(9)," "),CHAR(160)," "),"."," "),","," "),"-"," "),"/"," "),"("," "),")"," "),":"," "),";"," "),"_"," "),"–"," "),"?"," "),"!"," "),"*"," "),"["," "),"]"," "),"'"," "),"#"," "),"+"," "),"&amp;"," "),"\"," "))&amp;" "</f>
        <v>  </v>
      </c>
      <c r="CE157" s="68" t="n">
        <f aca="false">IFERROR(IF(AND(LEN(AU157)&gt;0,LEN(AU157)=LEN(AX157),OR(TRIM(MID(SUBSTITUTE(TRIM(CC157)," ",REPT(" ",60)),1,60))="",ISNUMBER(SEARCH(" "&amp;TRIM(MID(SUBSTITUTE(TRIM(CC157)," ",REPT(" ",60)),1,60))&amp;" ",CD157))),OR(TRIM(MID(SUBSTITUTE(TRIM(CC157)," ",REPT(" ",60)),61,60))="",ISNUMBER(SEARCH(" "&amp;TRIM(MID(SUBSTITUTE(TRIM(CC157)," ",REPT(" ",60)),61,60))&amp;" ",CD157))),OR(TRIM(MID(SUBSTITUTE(TRIM(CC157)," ",REPT(" ",60)),121,60))="",ISNUMBER(SEARCH(" "&amp;TRIM(MID(SUBSTITUTE(TRIM(CC157)," ",REPT(" ",60)),121,60))&amp;" ",CD157)))),1,0),0)</f>
        <v>0</v>
      </c>
      <c r="CG157" s="68" t="n">
        <f aca="false">IFERROR(LEN(SUBSTITUTE(BF157," ",""))-SUMPRODUCT((LEN(BF157)-LEN(SUBSTITUTE(BF157," "&amp;L_NAFiller&amp;" "," ")))/(LEN(L_NAFiller)+1)*LEN(L_NAFiller)),0)</f>
        <v>0</v>
      </c>
    </row>
    <row r="158" customFormat="false" ht="103.5" hidden="false" customHeight="true" outlineLevel="0" collapsed="false">
      <c r="A158" s="57" t="s">
        <v>692</v>
      </c>
      <c r="B158" s="57" t="s">
        <v>228</v>
      </c>
      <c r="C158" s="57" t="str">
        <f aca="false">Flights!$F$9</f>
        <v>MH0089</v>
      </c>
      <c r="D158" s="58" t="n">
        <f aca="false">Flights!$D$9</f>
        <v>46310</v>
      </c>
      <c r="E158" s="57" t="str">
        <f aca="false">Flights!$G$9&amp;"-"&amp;Flights!$H$9</f>
        <v>NRT-KUL</v>
      </c>
      <c r="F158" s="57" t="str">
        <f aca="false">Flights!$K$9</f>
        <v>EY</v>
      </c>
      <c r="G158" s="57" t="s">
        <v>420</v>
      </c>
      <c r="H158" s="57" t="s">
        <v>378</v>
      </c>
      <c r="I158" s="57" t="s">
        <v>634</v>
      </c>
      <c r="J158" s="57" t="s">
        <v>635</v>
      </c>
      <c r="K158" s="67" t="s">
        <v>636</v>
      </c>
      <c r="L158" s="67" t="s">
        <v>637</v>
      </c>
      <c r="M158" s="67" t="s">
        <v>451</v>
      </c>
      <c r="N158" s="67" t="s">
        <v>444</v>
      </c>
      <c r="O158" s="67" t="s">
        <v>693</v>
      </c>
      <c r="P158" s="57" t="s">
        <v>220</v>
      </c>
      <c r="Q158" s="59" t="n">
        <f aca="false">ROUND((Flights!$AE$9)*1440,0)/1440</f>
        <v>46309.5451388889</v>
      </c>
      <c r="R158" s="59" t="n">
        <f aca="false">Q158+(IF(AND(INDEX(TZ_DSTS,MATCH(P158,TZ_STN,0))&lt;&gt;"",Q158&gt;=INDEX(TZ_DSTS,MATCH(P158,TZ_STN,0)),Q158&lt;INDEX(TZ_DSTE,MATCH(P158,TZ_STN,0))),INDEX(TZ_DST,MATCH(P158,TZ_STN,0)),INDEX(TZ_STD,MATCH(P158,TZ_STN,0))))/24</f>
        <v>46309.9201388889</v>
      </c>
      <c r="S158" s="60"/>
      <c r="T158" s="60"/>
      <c r="U158" s="60"/>
      <c r="V158" s="60"/>
      <c r="W158" s="61"/>
      <c r="X158" s="60"/>
      <c r="Y158" s="60"/>
      <c r="Z158" s="60"/>
      <c r="AA158" s="60"/>
      <c r="AB158" s="60"/>
      <c r="AC158" s="60"/>
      <c r="AD158" s="66"/>
      <c r="AE158" s="60"/>
      <c r="AF158" s="61" t="str">
        <f aca="false">IF(AND(ISNUMBER(X158),ISNUMBER(Y158)),Y158-X158,"")</f>
        <v/>
      </c>
      <c r="AG158" s="62" t="str">
        <f aca="false">IF(ISNUMBER(AD158),AD158-(IF(AND(INDEX(TZ_DSTS,MATCH(P158,TZ_STN,0))&lt;&gt;"",(AD158-INDEX(TZ_STD,MATCH(P158,TZ_STN,0))/24)&gt;=INDEX(TZ_DSTS,MATCH(P158,TZ_STN,0)),(AD158-INDEX(TZ_STD,MATCH(P158,TZ_STN,0))/24)&lt;INDEX(TZ_DSTE,MATCH(P158,TZ_STN,0))),INDEX(TZ_DST,MATCH(P158,TZ_STN,0)),INDEX(TZ_STD,MATCH(P158,TZ_STN,0))))/24,"")</f>
        <v/>
      </c>
      <c r="AH158" s="65" t="str">
        <f aca="false">IFERROR(IF(N158="N/A – rule",IF(OR(TRIM(U158)="",TRIM(U158)="N/A",TRIM(U158)="Not started"),"N/A – RULE","INVALID – this check does not apply to this aircraft: clear the status (or correct the fleet on Flights)"),IF(TRIM(U158)="N/A",IF(AT158=0,"INVALID – N/A not permitted for this check",IF(AND(TRIM(AB158)&lt;&gt;"",TRIM(AB158)&lt;&gt;"Closed"),"INVALID – corrective action still open",IF(AND(NOT(OR(LEN(AZ158)&lt;15,ISNUMBER(MATCH(AZ158,L_Placeholder,0)))),BK158=0,CG158&gt;=8,NOT(OR(LEN(AU158)&lt;2,ISNUMBER(MATCH(AU158,L_Placeholder,0)))),BR158&gt;=3,NOT(OR(LEN(AX158)&lt;2,ISNUMBER(MATCH(AX158,L_Placeholder,0)))),BS158&gt;=3,TRIM(AE158)&lt;&gt;TRIM(T158),AX158&lt;&gt;AU158,CE158=0),"N/A – JUSTIFIED","INVALID – N/A needs a real, settled reason (not 'not applicable' / 'as above' / TBC), a named PIC and a different named verifier"))),IF(OR(TRIM(U158)="Pass",TRIM(U158)="Pass after CA"),IF(NOT(ISNUMBER(AD158)),"INVALID – completion time missing",IF(OR(OR(LEN(AU158)&lt;2,ISNUMBER(MATCH(AU158,L_Placeholder,0))),BR158&lt;3),"INVALID – PIC missing or not a named person (a role such as QA / CSM is not a name)",IF(OR(LEN(AV158)&lt;2,ISNUMBER(MATCH(AV158,L_Placeholder,0))),"INVALID – result / assessment missing",IF(OR(OR(LEN(AW158)&lt;3,ISNUMBER(MATCH(AW158,L_Placeholder,0))),SUMPRODUCT(--ISNUMBER(SEARCH(" "&amp;L_EvidencePhrase&amp;" ",BD158)))&gt;0,BI158=1),"INVALID – evidence missing, placeholder or not yet on file",IF(ISNA(MATCH(TRIM(S158),L_EvidenceType,0)),"INVALID – choose the evidence type from the list (column S)",IF(BL158=0,"INVALID – evidence ID must be the record's own ID only (e.g. SF-2210, IMG_2231, 1045521); a link / file name needs type 'Link / file path'",IF(OR(OR(LEN(AX158)&lt;2,ISNUMBER(MATCH(AX158,L_Placeholder,0))),BS158&lt;3),"INVALID – verifier missing or not a named person (a role such as QA / CSM is not a name)",IF(OR(AX158=AU158,CE158=1,AND(LEN(AU158)&gt;=4,ISNUMBER(SEARCH(AU158,AX158))),AND(LEN(AX158)&gt;=4,ISNUMBER(SEARCH(AX158,AU158)))),"INVALID – verifier must be a different, named person (not the PIC or a role)",IF(BH158=1,"INVALID – result not yet available (awaiting / TBC)",IF(BG158=1,"INVALID – result describes a problem: record Fail, then Pass after CA (or reword if it is not a problem)",IF(BV158=1,"INVALID – wording says not on board: an on-board confirmation needs the item loaded",IF(AND(AQ158=1,OR(OR(LEN(AY158)&lt;3,ISNUMBER(MATCH(AY158,L_Placeholder,0))),BJ158=1,BQ158=0)),"INVALID – batch ID missing, placeholder or not an ID (e.g. PASB-261008-BC-017)",IF(AND(AR158=1,OR(NOT(ISNUMBER(X158)),NOT(ISNUMBER(Y158)))),"INVALID – expected/actual qty missing",IF(AND(AR158=1,OR(X158&lt;=0,Y158&lt;0)),"INVALID – expected qty must be above 0 and actual not negative",IF(BB158&lt;&gt;"",BB158,IF(AND(AS158=1,Documents!$J$9&lt;&gt;"ON FILE"),"INVALID – GLD not on file (Documents sheet)",IF(AND(AS158=2,Documents!$O$9&lt;&gt;"ON FILE"),"INVALID – menu checklist not on file (Documents sheet)",IF(AND(AS158=3,NOT(ISNUMBER(Flights!$AX$9))),"INVALID – enter carrying flight KUL departure (Flights AX)",IF(AND(AS158=3,OR(Flights!$AZ$9&gt;Flights!$AA$9,Flights!$AX$9&lt;Flights!$AA$9-3)),"INVALID – carrying flight (Flights AX) cannot arrive before this leg's STD, or is over 3 days early",IF(AG158&gt;AsOfUTC,"INVALID – completion time is in the future",IF(AND(ISNUMBER(BY158),AG158&lt;BY158),IF(H158="Physical uplift","INVALID – before uplift window (cannot confirm loading)","INVALID – before valid window"),IF(AG158&gt;Flights!$AA$9,"INVALID – completed after departure (cannot establish readiness)",IF(AND(H158="Preparation",AG158&gt;=IF(ISNUMBER(Flights!$BA$9),MIN(Flights!$BA$9,Flights!$AA$9),Flights!$AA$9)),"INVALID – completed after loading / departure (cannot establish readiness)",IF(AND(H158="Physical uplift",AG158&gt;Q158),"INVALID – recorded after the loading flight departed",IF(AG158&gt;Q158,"COMPLETE – LATE","COMPLETE"))))))))))))))))))))))))),IF(TRIM(U158)="Fail","FAIL – DISCREPANCY",IF(AND(TRIM(U158)&lt;&gt;"",TRIM(U158)&lt;&gt;"Not started",TRIM(U158)&lt;&gt;"In progress"),"INVALID – unrecognised status (use the list)",IF(AsOfUTC&gt;Q158,"OVERDUE",IF(N158="Clarification required","OPEN – CLARIFICATION","OPEN"))))))),"INVALID – error value in an input cell")</f>
        <v>OPEN – CLARIFICATION</v>
      </c>
      <c r="AI158" s="61" t="n">
        <f aca="false">IF(OR(AH158="N/A – RULE",AH158="N/A – JUSTIFIED"),0,1)</f>
        <v>1</v>
      </c>
      <c r="AJ158" s="61" t="n">
        <f aca="false">IF(LEFT(AH158,8)="COMPLETE",1,0)</f>
        <v>0</v>
      </c>
      <c r="AK158" s="61" t="n">
        <f aca="false">IF(AND(AI158=1,AJ158=0,AsOfUTC&gt;Q158),1,0)</f>
        <v>0</v>
      </c>
      <c r="AL158" s="61" t="n">
        <f aca="false">IFERROR(IF(AND(AI158=1,OR(TRIM(U158)="Fail",AND(TRIM(AB158)&lt;&gt;"",TRIM(AB158)&lt;&gt;"Closed"),AND(ISNUMBER(AF158),AF158&lt;&gt;0,TRIM(U158)&lt;&gt;"Pass after CA"))),1,0),1)</f>
        <v>0</v>
      </c>
      <c r="AM158" s="61" t="n">
        <f aca="false">IF(LEFT(AH158,7)="INVALID",1,0)</f>
        <v>0</v>
      </c>
      <c r="AN158" s="61" t="n">
        <f aca="false">IF(AND(N158="Clarification required",AI158=1,AJ158=0),1,0)</f>
        <v>1</v>
      </c>
      <c r="AO158" s="61" t="str">
        <f aca="false">IF(AK158=1,SUM(AK$5:AK158),"")</f>
        <v/>
      </c>
      <c r="AP158" s="61" t="str">
        <f aca="false">IF(AL158=1,SUM(AL$5:AL158),"")</f>
        <v/>
      </c>
      <c r="AQ158" s="61" t="n">
        <v>0</v>
      </c>
      <c r="AR158" s="61" t="n">
        <v>0</v>
      </c>
      <c r="AS158" s="61" t="n">
        <v>0</v>
      </c>
      <c r="AT158" s="61" t="n">
        <v>1</v>
      </c>
      <c r="AU158" s="61" t="str">
        <f aca="false">SUBSTITUTE(SUBSTITUTE(SUBSTITUTE(SUBSTITUTE(SUBSTITUTE(SUBSTITUTE(SUBSTITUTE(SUBSTITUTE(SUBSTITUTE(SUBSTITUTE(SUBSTITUTE(SUBSTITUTE(SUBSTITUTE(SUBSTITUTE(SUBSTITUTE(SUBSTITUTE(LOWER(T158&amp;""),CHAR(10),""),CHAR(13),""),CHAR(9),""),CHAR(160),"")," ",""),".",""),"-",""),"/",""),"?",""),"_",""),",",""),"[",""),"]",""),"(",""),")",""),"*","")</f>
        <v/>
      </c>
      <c r="AV158" s="61" t="str">
        <f aca="false">SUBSTITUTE(SUBSTITUTE(SUBSTITUTE(SUBSTITUTE(SUBSTITUTE(SUBSTITUTE(SUBSTITUTE(SUBSTITUTE(SUBSTITUTE(SUBSTITUTE(SUBSTITUTE(SUBSTITUTE(SUBSTITUTE(SUBSTITUTE(SUBSTITUTE(SUBSTITUTE(LOWER(V158&amp;""),CHAR(10),""),CHAR(13),""),CHAR(9),""),CHAR(160),"")," ",""),".",""),"-",""),"/",""),"?",""),"_",""),",",""),"[",""),"]",""),"(",""),")",""),"*","")</f>
        <v/>
      </c>
      <c r="AW158" s="61" t="str">
        <f aca="false">SUBSTITUTE(SUBSTITUTE(SUBSTITUTE(SUBSTITUTE(SUBSTITUTE(SUBSTITUTE(SUBSTITUTE(SUBSTITUTE(SUBSTITUTE(SUBSTITUTE(SUBSTITUTE(SUBSTITUTE(SUBSTITUTE(SUBSTITUTE(SUBSTITUTE(SUBSTITUTE(LOWER(Z158&amp;""),CHAR(10),""),CHAR(13),""),CHAR(9),""),CHAR(160),"")," ",""),".",""),"-",""),"/",""),"?",""),"_",""),",",""),"[",""),"]",""),"(",""),")",""),"*","")</f>
        <v/>
      </c>
      <c r="AX158" s="61" t="str">
        <f aca="false">SUBSTITUTE(SUBSTITUTE(SUBSTITUTE(SUBSTITUTE(SUBSTITUTE(SUBSTITUTE(SUBSTITUTE(SUBSTITUTE(SUBSTITUTE(SUBSTITUTE(SUBSTITUTE(SUBSTITUTE(SUBSTITUTE(SUBSTITUTE(SUBSTITUTE(SUBSTITUTE(LOWER(AE158&amp;""),CHAR(10),""),CHAR(13),""),CHAR(9),""),CHAR(160),"")," ",""),".",""),"-",""),"/",""),"?",""),"_",""),",",""),"[",""),"]",""),"(",""),")",""),"*","")</f>
        <v/>
      </c>
      <c r="AY158" s="61" t="str">
        <f aca="false">SUBSTITUTE(SUBSTITUTE(SUBSTITUTE(SUBSTITUTE(SUBSTITUTE(SUBSTITUTE(SUBSTITUTE(SUBSTITUTE(SUBSTITUTE(SUBSTITUTE(SUBSTITUTE(SUBSTITUTE(SUBSTITUTE(SUBSTITUTE(SUBSTITUTE(SUBSTITUTE(LOWER(W158&amp;""),CHAR(10),""),CHAR(13),""),CHAR(9),""),CHAR(160),"")," ",""),".",""),"-",""),"/",""),"?",""),"_",""),",",""),"[",""),"]",""),"(",""),")",""),"*","")</f>
        <v/>
      </c>
      <c r="AZ158" s="61" t="str">
        <f aca="false">SUBSTITUTE(SUBSTITUTE(SUBSTITUTE(SUBSTITUTE(SUBSTITUTE(SUBSTITUTE(SUBSTITUTE(SUBSTITUTE(SUBSTITUTE(SUBSTITUTE(SUBSTITUTE(SUBSTITUTE(SUBSTITUTE(SUBSTITUTE(SUBSTITUTE(SUBSTITUTE(LOWER(AC158&amp;""),CHAR(10),""),CHAR(13),""),CHAR(9),""),CHAR(160),"")," ",""),".",""),"-",""),"/",""),"?",""),"_",""),",",""),"[",""),"]",""),"(",""),")",""),"*","")</f>
        <v/>
      </c>
      <c r="BA158" s="61" t="str">
        <f aca="false">SUBSTITUTE(SUBSTITUTE(SUBSTITUTE(SUBSTITUTE(SUBSTITUTE(SUBSTITUTE(SUBSTITUTE(SUBSTITUTE(SUBSTITUTE(SUBSTITUTE(SUBSTITUTE(SUBSTITUTE(SUBSTITUTE(SUBSTITUTE(SUBSTITUTE(SUBSTITUTE(LOWER(AA158&amp;""),CHAR(10),""),CHAR(13),""),CHAR(9),""),CHAR(160),"")," ",""),".",""),"-",""),"/",""),"?",""),"_",""),",",""),"[",""),"]",""),"(",""),")",""),"*","")</f>
        <v/>
      </c>
      <c r="BB158" s="61" t="str">
        <f aca="false">IF(AND(TRIM(U158)="Pass",ISNUMBER(AF158)),IF(AF158&lt;&gt;0,"INVALID – qty variance: use Fail or Pass after CA",""),"")&amp;IF(AND(TRIM(U158)="Pass after CA",ISNUMBER(AF158)),IF(AF158&lt;&gt;0,"INVALID – after the corrective action the actual qty must equal expected (update Actual)",""),"")&amp;IF(AND(TRIM(U158)="Pass",TRIM(AB158)&lt;&gt;"",TRIM(AB158)&lt;&gt;"Closed"),"INVALID – corrective action not closed: use Fail, then Pass after CA","")&amp;IF(AND(LEN(BA158)&gt;=2,ISNA(MATCH(LEFT(BA158,255),L_Placeholder,0)),TRIM(AB158)=""),"INVALID – CA status missing for the recorded corrective action","")&amp;IF(AND(TRIM(U158)="Pass after CA",OR(OR(LEN(BA158)&lt;5,ISNUMBER(MATCH(BA158,L_Placeholder,0))),TRIM(AB158)&lt;&gt;"Closed")),"INVALID – corrective action not recorded/closed","")</f>
        <v/>
      </c>
      <c r="BC158" s="61" t="str">
        <f aca="false">" "&amp;TRIM(SUBSTITUTE(SUBSTITUTE(SUBSTITUTE(SUBSTITUTE(SUBSTITUTE(SUBSTITUTE(SUBSTITUTE(SUBSTITUTE(SUBSTITUTE(SUBSTITUTE(SUBSTITUTE(SUBSTITUTE(SUBSTITUTE(SUBSTITUTE(SUBSTITUTE(SUBSTITUTE(SUBSTITUTE(SUBSTITUTE(SUBSTITUTE(SUBSTITUTE(SUBSTITUTE(SUBSTITUTE(SUBSTITUTE(SUBSTITUTE(LOWER(V158&amp;""),CHAR(10)," "),CHAR(13)," "),CHAR(9)," "),CHAR(160)," "),"."," "),","," "),"-"," "),"/"," "),"("," "),")"," "),":"," "),";"," "),"_"," "),"–"," "),"?"," "),"!"," "),"*"," "),"["," "),"]"," "),"'"," "),"#"," "),"+"," "),"&amp;"," "),"\"," "))&amp;" "</f>
        <v>  </v>
      </c>
      <c r="BD158" s="61" t="str">
        <f aca="false">" "&amp;TRIM(SUBSTITUTE(SUBSTITUTE(SUBSTITUTE(SUBSTITUTE(SUBSTITUTE(SUBSTITUTE(SUBSTITUTE(SUBSTITUTE(SUBSTITUTE(SUBSTITUTE(SUBSTITUTE(SUBSTITUTE(SUBSTITUTE(SUBSTITUTE(SUBSTITUTE(SUBSTITUTE(SUBSTITUTE(SUBSTITUTE(SUBSTITUTE(SUBSTITUTE(SUBSTITUTE(SUBSTITUTE(SUBSTITUTE(SUBSTITUTE(LOWER(Z158&amp;""),CHAR(10)," "),CHAR(13)," "),CHAR(9)," "),CHAR(160)," "),"."," "),","," "),"-"," "),"/"," "),"("," "),")"," "),":"," "),";"," "),"_"," "),"–"," "),"?"," "),"!"," "),"*"," "),"["," "),"]"," "),"'"," "),"#"," "),"+"," "),"&amp;"," "),"\"," "))&amp;" "</f>
        <v>  </v>
      </c>
      <c r="BE158" s="61" t="str">
        <f aca="false">" "&amp;TRIM(SUBSTITUTE(SUBSTITUTE(SUBSTITUTE(SUBSTITUTE(SUBSTITUTE(SUBSTITUTE(SUBSTITUTE(SUBSTITUTE(SUBSTITUTE(SUBSTITUTE(SUBSTITUTE(SUBSTITUTE(SUBSTITUTE(SUBSTITUTE(SUBSTITUTE(SUBSTITUTE(SUBSTITUTE(SUBSTITUTE(SUBSTITUTE(SUBSTITUTE(SUBSTITUTE(SUBSTITUTE(SUBSTITUTE(SUBSTITUTE(LOWER(W158&amp;""),CHAR(10)," "),CHAR(13)," "),CHAR(9)," "),CHAR(160)," "),"."," "),","," "),"-"," "),"/"," "),"("," "),")"," "),":"," "),";"," "),"_"," "),"–"," "),"?"," "),"!"," "),"*"," "),"["," "),"]"," "),"'"," "),"#"," "),"+"," "),"&amp;"," "),"\"," "))&amp;" "</f>
        <v>  </v>
      </c>
      <c r="BF158" s="61" t="str">
        <f aca="false">" "&amp;TRIM(SUBSTITUTE(SUBSTITUTE(SUBSTITUTE(SUBSTITUTE(SUBSTITUTE(SUBSTITUTE(SUBSTITUTE(SUBSTITUTE(SUBSTITUTE(SUBSTITUTE(SUBSTITUTE(SUBSTITUTE(SUBSTITUTE(SUBSTITUTE(SUBSTITUTE(SUBSTITUTE(SUBSTITUTE(SUBSTITUTE(SUBSTITUTE(SUBSTITUTE(SUBSTITUTE(SUBSTITUTE(SUBSTITUTE(SUBSTITUTE(LOWER(AC158&amp;""),CHAR(10)," "),CHAR(13)," "),CHAR(9)," "),CHAR(160)," "),"."," "),","," "),"-"," "),"/"," "),"("," "),")"," "),":"," "),";"," "),"_"," "),"–"," "),"?"," "),"!"," "),"*"," "),"["," "),"]"," "),"'"," "),"#"," "),"+"," "),"&amp;"," "),"\"," "))&amp;" "</f>
        <v>  </v>
      </c>
      <c r="BG158" s="61" t="n">
        <f aca="false">IFERROR(IF(AND(TRIM(U158)="Pass",SUMPRODUCT((LEN(BC158)-LEN(SUBSTITUTE(BC158," "&amp;L_ResultBad&amp;" "," ")))/(LEN(L_ResultBad)+1))&gt;SUMPRODUCT((LEN(BC158)-LEN(SUBSTITUTE(BC158," "&amp;L_NegPhrase&amp;" "," ")))/(LEN(L_NegPhrase)+1))),1,0),0)</f>
        <v>0</v>
      </c>
      <c r="BH158" s="61" t="n">
        <f aca="false">IFERROR(IF(SUMPRODUCT((LEN(BC158)-LEN(SUBSTITUTE(BC158," "&amp;L_Pending&amp;" "," ")))/(LEN(L_Pending)+1))&gt;SUMPRODUCT((LEN(BC158)-LEN(SUBSTITUTE(BC158," "&amp;L_PendNeg&amp;" "," ")))/(LEN(L_PendNeg)+1))+SUMPRODUCT((LEN(BC158)-LEN(SUBSTITUTE(BC158," "&amp;L_PendPrep&amp;" "," ")))/(LEN(L_PendPrep)+1)),1,0),1)</f>
        <v>0</v>
      </c>
      <c r="BI158" s="61" t="n">
        <f aca="false">IFERROR(IF(SUMPRODUCT((LEN(BD158)-LEN(SUBSTITUTE(BD158," "&amp;L_PendStrict&amp;" "," ")))/(LEN(L_PendStrict)+1))&gt;SUMPRODUCT((LEN(BD158)-LEN(SUBSTITUTE(BD158," "&amp;L_PendNeg&amp;" "," ")))/(LEN(L_PendNeg)+1)),1,0),1)</f>
        <v>0</v>
      </c>
      <c r="BJ158" s="61" t="n">
        <f aca="false">IFERROR(IF(SUMPRODUCT((LEN(BE158)-LEN(SUBSTITUTE(BE158," "&amp;L_Pending&amp;" "," ")))/(LEN(L_Pending)+1))&gt;SUMPRODUCT((LEN(BE158)-LEN(SUBSTITUTE(BE158," "&amp;L_PendNeg&amp;" "," ")))/(LEN(L_PendNeg)+1))+SUMPRODUCT((LEN(BE158)-LEN(SUBSTITUTE(BE158," "&amp;L_PendPrep&amp;" "," ")))/(LEN(L_PendPrep)+1)),1,0),1)</f>
        <v>0</v>
      </c>
      <c r="BK158" s="61" t="n">
        <f aca="false">IFERROR(IF(SUMPRODUCT((LEN(BF158)-LEN(SUBSTITUTE(BF158," "&amp;L_PendStrict&amp;" "," ")))/(LEN(L_PendStrict)+1))&gt;SUMPRODUCT((LEN(BF158)-LEN(SUBSTITUTE(BF158," "&amp;L_PendNeg&amp;" "," ")))/(LEN(L_PendNeg)+1)),1,0),1)</f>
        <v>0</v>
      </c>
      <c r="BL158" s="61" t="n">
        <f aca="false">IF(ISNA(MATCH(TRIM(S158),L_EvidenceType,0)),0,BZ158)</f>
        <v>0</v>
      </c>
      <c r="BM158" s="61" t="str">
        <f aca="false">SUBSTITUTE(SUBSTITUTE(SUBSTITUTE(SUBSTITUTE(SUBSTITUTE(SUBSTITUTE(SUBSTITUTE(SUBSTITUTE(SUBSTITUTE(LOWER(Z158&amp;""),"1","0"),"2","0"),"3","0"),"4","0"),"5","0"),"6","0"),"7","0"),"8","0"),"9","0")</f>
        <v/>
      </c>
      <c r="BN158" s="61" t="str">
        <f aca="false">SUBSTITUTE(SUBSTITUTE(SUBSTITUTE(SUBSTITUTE(SUBSTITUTE(SUBSTITUTE(SUBSTITUTE(SUBSTITUTE(SUBSTITUTE(SUBSTITUTE(SUBSTITUTE(SUBSTITUTE(SUBSTITUTE(SUBSTITUTE(SUBSTITUTE(SUBSTITUTE(SUBSTITUTE(SUBSTITUTE(SUBSTITUTE(SUBSTITUTE(SUBSTITUTE(SUBSTITUTE(SUBSTITUTE(SUBSTITUTE(SUBSTITUTE(BM158,"b","a"),"c","a"),"d","a"),"e","a"),"f","a"),"g","a"),"h","a"),"i","a"),"j","a"),"k","a"),"l","a"),"m","a"),"n","a"),"o","a"),"p","a"),"q","a"),"r","a"),"s","a"),"t","a"),"u","a"),"v","a"),"w","a"),"x","a"),"y","a"),"z","a")</f>
        <v/>
      </c>
      <c r="BO158" s="61" t="str">
        <f aca="false">SUBSTITUTE(SUBSTITUTE(SUBSTITUTE(SUBSTITUTE(SUBSTITUTE(SUBSTITUTE(SUBSTITUTE(SUBSTITUTE(SUBSTITUTE(LOWER(W158&amp;""),"1","0"),"2","0"),"3","0"),"4","0"),"5","0"),"6","0"),"7","0"),"8","0"),"9","0")</f>
        <v/>
      </c>
      <c r="BP158" s="61" t="str">
        <f aca="false">SUBSTITUTE(SUBSTITUTE(SUBSTITUTE(SUBSTITUTE(SUBSTITUTE(SUBSTITUTE(SUBSTITUTE(SUBSTITUTE(SUBSTITUTE(SUBSTITUTE(SUBSTITUTE(SUBSTITUTE(SUBSTITUTE(SUBSTITUTE(SUBSTITUTE(SUBSTITUTE(SUBSTITUTE(SUBSTITUTE(SUBSTITUTE(SUBSTITUTE(SUBSTITUTE(SUBSTITUTE(SUBSTITUTE(SUBSTITUTE(SUBSTITUTE(BO158,"b","a"),"c","a"),"d","a"),"e","a"),"f","a"),"g","a"),"h","a"),"i","a"),"j","a"),"k","a"),"l","a"),"m","a"),"n","a"),"o","a"),"p","a"),"q","a"),"r","a"),"s","a"),"t","a"),"u","a"),"v","a"),"w","a"),"x","a"),"y","a"),"z","a")</f>
        <v/>
      </c>
      <c r="BQ158" s="61" t="n">
        <f aca="false">IFERROR(IF(AND(ISERROR(SEARCH(" mh"," "&amp;LOWER(W158))),ISNA(MATCH(LEFT(TRIM(BP158),255),{"0000a","000a","00a","0000aa","000aa","00aa","0aa","0000aaa","000aaa","00a00","0a00","0000-0000","00:00","a00","a0","00.00.0000","00/00/0000","00-00-0000","0000-00-00","0000/00/00","0000.00.00","00.00.00","00/00/00","00-00-00","0.00.0000","0/00/0000","0-00-0000"},0)),ISNA(MATCH(LEFT(TRIM(CA158),255),{"0000a","000a","00a","0000aa","000aa","00aa","0aa","0000aaa","000aaa","00a00","0a00","0000-0000","00:00","a00","a0","00.00.0000","00/00/0000","00-00-0000","0000-00-00","0000/00/00","0000.00.00","00.00.00","00/00/00","00-00-00","0.00.0000","0/00/0000","0-00-0000"},0)),LEN(CB158)&gt;=3,NOT(OR(SUBSTITUTE(CB158,"0","")="",AND(LEN(CB158)&gt;=4,CB158=REPT(LEFT(CB158),LEN(CB158))),ISNUMBER(MATCH(CB158,{"123","1234","12345","123456","1234567","12345678","0123","01234","012345","98765","987654","54321"},0)),AND(LEN(CB158)=8,LEFT(CB158,3)="202"))),OR(AND((LEN(CA158)-LEN(SUBSTITUTE(CA158,"a","")))&gt;=1,SUMPRODUCT(--ISNUMBER(SEARCH({"a0","a-0","a_0","a/0","a.0","a#0","0a","0-a","0_a","0/a"},BP158)))&gt;0),ISNUMBER(SEARCH("000000",BP158)))),1,0),0)</f>
        <v>0</v>
      </c>
      <c r="BR158" s="61" t="n">
        <f aca="false">IFERROR(LEN(SUBSTITUTE(CC158," ",""))-SUMPRODUCT((LEN(CC158)-LEN(SUBSTITUTE(CC158," "&amp;L_Role&amp;" "," ")))/(LEN(L_Role)+1)*LEN(L_Role)),0)</f>
        <v>0</v>
      </c>
      <c r="BS158" s="61" t="n">
        <f aca="false">IFERROR(LEN(SUBSTITUTE(CD158," ",""))-SUMPRODUCT((LEN(CD158)-LEN(SUBSTITUTE(CD158," "&amp;L_Role&amp;" "," ")))/(LEN(L_Role)+1)*LEN(L_Role)),0)</f>
        <v>0</v>
      </c>
      <c r="BT1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158,"revision",""),"version",""),"jan",""),"feb",""),"mar",""),"apr",""),"may",""),"jun",""),"jul",""),"aug",""),"sep",""),"oct",""),"nov",""),"dec",""),"utc",""),"gmt",""),"myt",""),"bst",""),"rev",""),"ver",""),"b","a"),"c","a"),"d","a"),"e","a"),"f","a"),"g","a"),"h","a"),"i","a"),"j","a"),"k","a"),"l","a"),"m","a"),"n","a"),"o","a"),"p","a"),"q","a"),"r","a"),"s","a"),"t","a"),"u","a"),"v","a"),"w","a"),"x","a"),"y","a"),"z","a")</f>
        <v/>
      </c>
      <c r="BU158" s="61" t="str">
        <f aca="false">SUBSTITUTE(SUBSTITUTE(SUBSTITUTE(SUBSTITUTE(SUBSTITUTE(SUBSTITUTE(SUBSTITUTE(SUBSTITUTE(SUBSTITUTE(SUBSTITUTE(LEFT(BM158,FIND("0",BM158&amp;"0")-1),"-",""),"_",""),"/",""),".",""),"#",""),"\\",""),":","")," ",""),"(",""),")","")</f>
        <v/>
      </c>
      <c r="BV158" s="61" t="n">
        <f aca="false">0</f>
        <v>0</v>
      </c>
      <c r="BW1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158&amp;""),"a",""),"b",""),"c",""),"d",""),"e",""),"f",""),"g",""),"h",""),"i",""),"j",""),"k",""),"l",""),"m",""),"n",""),"o",""),"p",""),"q",""),"r",""),"s",""),"t",""),"u",""),"v",""),"w",""),"x",""),"y",""),"z",""),"-",""),"_",""),"/",""),".",""),"#",""),"\\",""),":","")," ",""),"(",""),")","")</f>
        <v/>
      </c>
      <c r="BX158" s="61" t="str">
        <f aca="false">SUBSTITUTE(SUBSTITUTE(SUBSTITUTE(SUBSTITUTE(SUBSTITUTE(SUBSTITUTE(SUBSTITUTE(SUBSTITUTE(SUBSTITUTE(SUBSTITUTE(SUBSTITUTE(BM158,"0",""),"-",""),"_",""),"/",""),".",""),"#",""),"\\",""),":","")," ",""),"(",""),")","")</f>
        <v/>
      </c>
      <c r="BY158" s="62" t="n">
        <f aca="false">Q158-T12EarlyH/24</f>
        <v>46309.0451388889</v>
      </c>
      <c r="BZ158" s="61" t="n">
        <f aca="false">IFERROR(IF(IF(TRIM(S158)="Link / file path",AND(LEN(TRIM(Z158))&gt;=5,SUMPRODUCT(--ISNUMBER(SEARCH({"http","www.","\\",":\",".pdf",".jpg",".jpeg",".png",".heic",".xls",".doc",".msg",".eml",".ppt",".txt",".zip"},Z158)))&gt;0),AND(ISERROR(FIND(" ",TRIM(Z158))),NOT(OR(SUMPRODUCT(--ISNUMBER(FIND({",",";","&amp;","+"},Z158)))&gt;0,SUMPRODUCT(--ISNUMBER(SEARCH({"0/aa","0\\aa"},BN158)))&gt;0)),NOT(SUMPRODUCT(--ISNUMBER(SEARCH({"http","www.","\\",":\",".pdf",".jpg",".jpeg",".png",".heic",".xls",".doc",".msg",".eml",".ppt",".txt",".zip"},Z158)))&gt;0),NOT(LOWER(TRIM(Z158))=LOWER(Flights!$F$9)),ISNA(MATCH(BU158,{"mh","rev","revision","ver","version","v","r","a","b","seat","tray","row","gate","bay","stand","page","pg","item","line","no","cart","galley","flight","flt","table","box","bag","oven","etd","eta","std","sta","atd","ata","qty","pax","x","time","tel","ph","mob","day","wk","week","utc","gmt","myt","lt"},0)),NOT(OR(ISNUMBER(MATCH(LEFT(BN158,255),{"0000a","000a","00a","0000aa","000aa","00aa","0aa","0000aaa","000aaa","00a00","0a00","0000-0000","00:00","a00","a0","00.00.0000","00/00/0000","00-00-0000","0000-00-00","0000/00/00","0000.00.00","00.00.00","00/00/00","00-00-00","0.00.0000","0/00/0000","0-00-0000"},0)),ISNUMBER(MATCH(LEFT(BT158,255),{"0000a","000a","00a","0000aa","000aa","00aa","0aa","0000aaa","000aaa","00a00","0a00","0000-0000","00:00","a00","a0","00.00.0000","00/00/0000","00-00-0000","0000-00-00","0000/00/00","0000.00.00","00.00.00","00/00/00","00-00-00","0.00.0000","0/00/0000","0-00-0000"},0)))),NOT(OR(AND(BW158&lt;&gt;"",SUBSTITUTE(BW158,"0","")=""),AND(LEN(BW158)&gt;=4,BW158=REPT(LEFT(BW158),LEN(BW158))),ISNUMBER(MATCH(BW158,{"123","1234","12345","123456","1234567","12345678","0123","01234","012345","98765","987654","54321"},0)),ISNUMBER(MATCH(BX158,{"x","xx","xxx","xxxx","xxxxx","abc","abcd","nil","na","nan","test","tbc","tba","tbd","dummy","sample","example","eg","zz","zzz","none","null","xyz","qwe","asd","id","ref"},0)),AND(LEN(BW158)=8,BX158="",OR(LEFT(BW158,3)="202",ISNUMBER(MATCH(RIGHT(BW158,4),{"2025","2026","2027"},0)))))),OR(AND((LEN(BT158)-LEN(SUBSTITUTE(BT158,"a","")))&gt;=1,(LEN(BN158)-LEN(SUBSTITUTE(BN158,"0","")))&gt;=2,SUMPRODUCT(--ISNUMBER(SEARCH({"a0","a-0","a_0","a/0","a.0","a#0","0a","0-a","0_a","0/a"},BN158)))&gt;0),AND((LEN(BN158)-LEN(SUBSTITUTE(BN158,"a","")))=0,(LEN(BN158)-LEN(SUBSTITUTE(BN158,"0","")))&gt;=5)))),1,0),0)</f>
        <v>0</v>
      </c>
      <c r="CA1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158,"revision",""),"version",""),"jan",""),"feb",""),"mar",""),"apr",""),"may",""),"jun",""),"jul",""),"aug",""),"sep",""),"oct",""),"nov",""),"dec",""),"utc",""),"gmt",""),"myt",""),"bst",""),"rev",""),"ver",""),"b","a"),"c","a"),"d","a"),"e","a"),"f","a"),"g","a"),"h","a"),"i","a"),"j","a"),"k","a"),"l","a"),"m","a"),"n","a"),"o","a"),"p","a"),"q","a"),"r","a"),"s","a"),"t","a"),"u","a"),"v","a"),"w","a"),"x","a"),"y","a"),"z","a")</f>
        <v/>
      </c>
      <c r="CB1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158&amp;""),"a",""),"b",""),"c",""),"d",""),"e",""),"f",""),"g",""),"h",""),"i",""),"j",""),"k",""),"l",""),"m",""),"n",""),"o",""),"p",""),"q",""),"r",""),"s",""),"t",""),"u",""),"v",""),"w",""),"x",""),"y",""),"z",""),"-",""),"_",""),"/",""),".",""),"#",""),"\\",""),":","")," ",""),"(",""),")","")</f>
        <v/>
      </c>
      <c r="CC158" s="0" t="str">
        <f aca="false">" "&amp;TRIM(SUBSTITUTE(SUBSTITUTE(SUBSTITUTE(SUBSTITUTE(SUBSTITUTE(SUBSTITUTE(SUBSTITUTE(SUBSTITUTE(SUBSTITUTE(SUBSTITUTE(SUBSTITUTE(SUBSTITUTE(SUBSTITUTE(SUBSTITUTE(SUBSTITUTE(SUBSTITUTE(SUBSTITUTE(SUBSTITUTE(SUBSTITUTE(SUBSTITUTE(SUBSTITUTE(SUBSTITUTE(SUBSTITUTE(SUBSTITUTE(LOWER(T158&amp;""),CHAR(10)," "),CHAR(13)," "),CHAR(9)," "),CHAR(160)," "),"."," "),","," "),"-"," "),"/"," "),"("," "),")"," "),":"," "),";"," "),"_"," "),"–"," "),"?"," "),"!"," "),"*"," "),"["," "),"]"," "),"'"," "),"#"," "),"+"," "),"&amp;"," "),"\"," "))&amp;" "</f>
        <v>  </v>
      </c>
      <c r="CD158" s="0" t="str">
        <f aca="false">" "&amp;TRIM(SUBSTITUTE(SUBSTITUTE(SUBSTITUTE(SUBSTITUTE(SUBSTITUTE(SUBSTITUTE(SUBSTITUTE(SUBSTITUTE(SUBSTITUTE(SUBSTITUTE(SUBSTITUTE(SUBSTITUTE(SUBSTITUTE(SUBSTITUTE(SUBSTITUTE(SUBSTITUTE(SUBSTITUTE(SUBSTITUTE(SUBSTITUTE(SUBSTITUTE(SUBSTITUTE(SUBSTITUTE(SUBSTITUTE(SUBSTITUTE(LOWER(AE158&amp;""),CHAR(10)," "),CHAR(13)," "),CHAR(9)," "),CHAR(160)," "),"."," "),","," "),"-"," "),"/"," "),"("," "),")"," "),":"," "),";"," "),"_"," "),"–"," "),"?"," "),"!"," "),"*"," "),"["," "),"]"," "),"'"," "),"#"," "),"+"," "),"&amp;"," "),"\"," "))&amp;" "</f>
        <v>  </v>
      </c>
      <c r="CE158" s="68" t="n">
        <f aca="false">IFERROR(IF(AND(LEN(AU158)&gt;0,LEN(AU158)=LEN(AX158),OR(TRIM(MID(SUBSTITUTE(TRIM(CC158)," ",REPT(" ",60)),1,60))="",ISNUMBER(SEARCH(" "&amp;TRIM(MID(SUBSTITUTE(TRIM(CC158)," ",REPT(" ",60)),1,60))&amp;" ",CD158))),OR(TRIM(MID(SUBSTITUTE(TRIM(CC158)," ",REPT(" ",60)),61,60))="",ISNUMBER(SEARCH(" "&amp;TRIM(MID(SUBSTITUTE(TRIM(CC158)," ",REPT(" ",60)),61,60))&amp;" ",CD158))),OR(TRIM(MID(SUBSTITUTE(TRIM(CC158)," ",REPT(" ",60)),121,60))="",ISNUMBER(SEARCH(" "&amp;TRIM(MID(SUBSTITUTE(TRIM(CC158)," ",REPT(" ",60)),121,60))&amp;" ",CD158)))),1,0),0)</f>
        <v>0</v>
      </c>
      <c r="CG158" s="68" t="n">
        <f aca="false">IFERROR(LEN(SUBSTITUTE(BF158," ",""))-SUMPRODUCT((LEN(BF158)-LEN(SUBSTITUTE(BF158," "&amp;L_NAFiller&amp;" "," ")))/(LEN(L_NAFiller)+1)*LEN(L_NAFiller)),0)</f>
        <v>0</v>
      </c>
    </row>
    <row r="159" customFormat="false" ht="39.75" hidden="false" customHeight="true" outlineLevel="0" collapsed="false">
      <c r="A159" s="57" t="s">
        <v>694</v>
      </c>
      <c r="B159" s="57" t="s">
        <v>228</v>
      </c>
      <c r="C159" s="57" t="str">
        <f aca="false">Flights!$F$9</f>
        <v>MH0089</v>
      </c>
      <c r="D159" s="58" t="n">
        <f aca="false">Flights!$D$9</f>
        <v>46310</v>
      </c>
      <c r="E159" s="57" t="str">
        <f aca="false">Flights!$G$9&amp;"-"&amp;Flights!$H$9</f>
        <v>NRT-KUL</v>
      </c>
      <c r="F159" s="57" t="str">
        <f aca="false">Flights!$K$9</f>
        <v>EY</v>
      </c>
      <c r="G159" s="57" t="s">
        <v>459</v>
      </c>
      <c r="H159" s="57" t="s">
        <v>460</v>
      </c>
      <c r="I159" s="57" t="s">
        <v>379</v>
      </c>
      <c r="J159" s="57" t="s">
        <v>461</v>
      </c>
      <c r="K159" s="67" t="s">
        <v>426</v>
      </c>
      <c r="L159" s="67" t="s">
        <v>462</v>
      </c>
      <c r="M159" s="67"/>
      <c r="N159" s="67" t="s">
        <v>383</v>
      </c>
      <c r="O159" s="67" t="s">
        <v>463</v>
      </c>
      <c r="P159" s="57" t="s">
        <v>220</v>
      </c>
      <c r="Q159" s="59" t="n">
        <f aca="false">ROUND((Flights!$AF$9)*1440,0)/1440</f>
        <v>46310.0451388889</v>
      </c>
      <c r="R159" s="59" t="n">
        <f aca="false">Q159+(IF(AND(INDEX(TZ_DSTS,MATCH(P159,TZ_STN,0))&lt;&gt;"",Q159&gt;=INDEX(TZ_DSTS,MATCH(P159,TZ_STN,0)),Q159&lt;INDEX(TZ_DSTE,MATCH(P159,TZ_STN,0))),INDEX(TZ_DST,MATCH(P159,TZ_STN,0)),INDEX(TZ_STD,MATCH(P159,TZ_STN,0))))/24</f>
        <v>46310.4201388889</v>
      </c>
      <c r="S159" s="60"/>
      <c r="T159" s="60"/>
      <c r="U159" s="60"/>
      <c r="V159" s="60"/>
      <c r="W159" s="61"/>
      <c r="X159" s="60"/>
      <c r="Y159" s="60"/>
      <c r="Z159" s="60"/>
      <c r="AA159" s="60"/>
      <c r="AB159" s="60"/>
      <c r="AC159" s="60"/>
      <c r="AD159" s="66"/>
      <c r="AE159" s="60"/>
      <c r="AF159" s="61" t="str">
        <f aca="false">IF(AND(ISNUMBER(X159),ISNUMBER(Y159)),Y159-X159,"")</f>
        <v/>
      </c>
      <c r="AG159" s="62" t="str">
        <f aca="false">IF(ISNUMBER(AD159),AD159-(IF(AND(INDEX(TZ_DSTS,MATCH(P159,TZ_STN,0))&lt;&gt;"",(AD159-INDEX(TZ_STD,MATCH(P159,TZ_STN,0))/24)&gt;=INDEX(TZ_DSTS,MATCH(P159,TZ_STN,0)),(AD159-INDEX(TZ_STD,MATCH(P159,TZ_STN,0))/24)&lt;INDEX(TZ_DSTE,MATCH(P159,TZ_STN,0))),INDEX(TZ_DST,MATCH(P159,TZ_STN,0)),INDEX(TZ_STD,MATCH(P159,TZ_STN,0))))/24,"")</f>
        <v/>
      </c>
      <c r="AH159" s="65" t="str">
        <f aca="false">IFERROR(IF(N159="N/A – rule",IF(OR(TRIM(U159)="",TRIM(U159)="N/A",TRIM(U159)="Not started"),"N/A – RULE","INVALID – this check does not apply to this aircraft: clear the status (or correct the fleet on Flights)"),IF(TRIM(U159)="N/A",IF(AT159=0,"INVALID – N/A not permitted for this check",IF(AND(TRIM(AB159)&lt;&gt;"",TRIM(AB159)&lt;&gt;"Closed"),"INVALID – corrective action still open",IF(AND(NOT(OR(LEN(AZ159)&lt;15,ISNUMBER(MATCH(AZ159,L_Placeholder,0)))),BK159=0,CG159&gt;=8,NOT(OR(LEN(AU159)&lt;2,ISNUMBER(MATCH(AU159,L_Placeholder,0)))),BR159&gt;=3,NOT(OR(LEN(AX159)&lt;2,ISNUMBER(MATCH(AX159,L_Placeholder,0)))),BS159&gt;=3,TRIM(AE159)&lt;&gt;TRIM(T159),AX159&lt;&gt;AU159,CE159=0),"N/A – JUSTIFIED","INVALID – N/A needs a real, settled reason (not 'not applicable' / 'as above' / TBC), a named PIC and a different named verifier"))),IF(OR(TRIM(U159)="Pass",TRIM(U159)="Pass after CA"),IF(NOT(ISNUMBER(AD159)),"INVALID – completion time missing",IF(OR(OR(LEN(AU159)&lt;2,ISNUMBER(MATCH(AU159,L_Placeholder,0))),BR159&lt;3),"INVALID – PIC missing or not a named person (a role such as QA / CSM is not a name)",IF(OR(LEN(AV159)&lt;2,ISNUMBER(MATCH(AV159,L_Placeholder,0))),"INVALID – result / assessment missing",IF(OR(OR(LEN(AW159)&lt;3,ISNUMBER(MATCH(AW159,L_Placeholder,0))),SUMPRODUCT(--ISNUMBER(SEARCH(" "&amp;L_EvidencePhrase&amp;" ",BD159)))&gt;0,BI159=1),"INVALID – evidence missing, placeholder or not yet on file",IF(ISNA(MATCH(TRIM(S159),L_EvidenceType,0)),"INVALID – choose the evidence type from the list (column S)",IF(BL159=0,"INVALID – evidence ID must be the record's own ID only (e.g. SF-2210, IMG_2231, 1045521); a link / file name needs type 'Link / file path'",IF(OR(OR(LEN(AX159)&lt;2,ISNUMBER(MATCH(AX159,L_Placeholder,0))),BS159&lt;3),"INVALID – verifier missing or not a named person (a role such as QA / CSM is not a name)",IF(OR(AX159=AU159,CE159=1,AND(LEN(AU159)&gt;=4,ISNUMBER(SEARCH(AU159,AX159))),AND(LEN(AX159)&gt;=4,ISNUMBER(SEARCH(AX159,AU159)))),"INVALID – verifier must be a different, named person (not the PIC or a role)",IF(BH159=1,"INVALID – result not yet available (awaiting / TBC)",IF(BG159=1,"INVALID – result describes a problem: record Fail, then Pass after CA (or reword if it is not a problem)",IF(BV159=1,"INVALID – wording says not on board: an on-board confirmation needs the item loaded",IF(AND(AQ159=1,OR(OR(LEN(AY159)&lt;3,ISNUMBER(MATCH(AY159,L_Placeholder,0))),BJ159=1,BQ159=0)),"INVALID – batch ID missing, placeholder or not an ID (e.g. PASB-261008-BC-017)",IF(AND(AR159=1,OR(NOT(ISNUMBER(X159)),NOT(ISNUMBER(Y159)))),"INVALID – expected/actual qty missing",IF(AND(AR159=1,OR(X159&lt;=0,Y159&lt;0)),"INVALID – expected qty must be above 0 and actual not negative",IF(AH149="N/A – JUSTIFIED","INVALID – preparation row F05-T12-02 is N/A",IF(AND(AR159=1,ISNUMBER(X149),X159&lt;&gt;X149,TRIM(U159)&lt;&gt;"Pass after CA"),"INVALID – expected qty differs from preparation check F05-T12-02: record the load change as a corrective action (Pass after CA)",IF(BB159&lt;&gt;"",BB159,IF(AND(AS159=1,Documents!$J$9&lt;&gt;"ON FILE"),"INVALID – GLD not on file (Documents sheet)",IF(AND(AS159=2,Documents!$O$9&lt;&gt;"ON FILE"),"INVALID – menu checklist not on file (Documents sheet)",IF(AND(AS159=3,NOT(ISNUMBER(Flights!$AX$9))),"INVALID – enter carrying flight KUL departure (Flights AX)",IF(AND(AS159=3,OR(Flights!$AZ$9&gt;Flights!$AA$9,Flights!$AX$9&lt;Flights!$AA$9-3)),"INVALID – carrying flight (Flights AX) cannot arrive before this leg's STD, or is over 3 days early",IF(AG159&gt;AsOfUTC,"INVALID – completion time is in the future",IF(AND(ISNUMBER(BY159),AG159&lt;BY159),IF(H159="Physical uplift","INVALID – before uplift window (cannot confirm loading)","INVALID – before valid window"),IF(AG159&gt;Flights!$AA$9,"INVALID – completed after departure (cannot establish readiness)",IF(AND(H159="Preparation",AG159&gt;=IF(ISNUMBER(Flights!$BA$9),MIN(Flights!$BA$9,Flights!$AA$9),Flights!$AA$9)),"INVALID – completed after loading / departure (cannot establish readiness)",IF(AND(H159="Physical uplift",AG159&gt;Q159),"INVALID – recorded after the loading flight departed",IF(AG159&gt;Q159,"COMPLETE – LATE","COMPLETE"))))))))))))))))))))))))))),IF(TRIM(U159)="Fail","FAIL – DISCREPANCY",IF(AND(TRIM(U159)&lt;&gt;"",TRIM(U159)&lt;&gt;"Not started",TRIM(U159)&lt;&gt;"In progress"),"INVALID – unrecognised status (use the list)",IF(AsOfUTC&gt;Q159,"OVERDUE",IF(N159="Clarification required","OPEN – CLARIFICATION","OPEN"))))))),"INVALID – error value in an input cell")</f>
        <v>OPEN</v>
      </c>
      <c r="AI159" s="61" t="n">
        <f aca="false">IF(OR(AH159="N/A – RULE",AH159="N/A – JUSTIFIED"),0,1)</f>
        <v>1</v>
      </c>
      <c r="AJ159" s="61" t="n">
        <f aca="false">IF(LEFT(AH159,8)="COMPLETE",1,0)</f>
        <v>0</v>
      </c>
      <c r="AK159" s="61" t="n">
        <f aca="false">IF(AND(AI159=1,AJ159=0,AsOfUTC&gt;Q159),1,0)</f>
        <v>0</v>
      </c>
      <c r="AL159" s="61" t="n">
        <f aca="false">IFERROR(IF(AND(AI159=1,OR(TRIM(U159)="Fail",AND(TRIM(AB159)&lt;&gt;"",TRIM(AB159)&lt;&gt;"Closed"),AND(ISNUMBER(AF159),AF159&lt;&gt;0,TRIM(U159)&lt;&gt;"Pass after CA"))),1,0),1)</f>
        <v>0</v>
      </c>
      <c r="AM159" s="61" t="n">
        <f aca="false">IF(LEFT(AH159,7)="INVALID",1,0)</f>
        <v>0</v>
      </c>
      <c r="AN159" s="61" t="n">
        <f aca="false">IF(AND(N159="Clarification required",AI159=1,AJ159=0),1,0)</f>
        <v>0</v>
      </c>
      <c r="AO159" s="61" t="str">
        <f aca="false">IF(AK159=1,SUM(AK$5:AK159),"")</f>
        <v/>
      </c>
      <c r="AP159" s="61" t="str">
        <f aca="false">IF(AL159=1,SUM(AL$5:AL159),"")</f>
        <v/>
      </c>
      <c r="AQ159" s="61" t="n">
        <v>0</v>
      </c>
      <c r="AR159" s="61" t="n">
        <v>1</v>
      </c>
      <c r="AS159" s="61" t="n">
        <v>0</v>
      </c>
      <c r="AT159" s="61" t="n">
        <v>0</v>
      </c>
      <c r="AU159" s="61" t="str">
        <f aca="false">SUBSTITUTE(SUBSTITUTE(SUBSTITUTE(SUBSTITUTE(SUBSTITUTE(SUBSTITUTE(SUBSTITUTE(SUBSTITUTE(SUBSTITUTE(SUBSTITUTE(SUBSTITUTE(SUBSTITUTE(SUBSTITUTE(SUBSTITUTE(SUBSTITUTE(SUBSTITUTE(LOWER(T159&amp;""),CHAR(10),""),CHAR(13),""),CHAR(9),""),CHAR(160),"")," ",""),".",""),"-",""),"/",""),"?",""),"_",""),",",""),"[",""),"]",""),"(",""),")",""),"*","")</f>
        <v/>
      </c>
      <c r="AV159" s="61" t="str">
        <f aca="false">SUBSTITUTE(SUBSTITUTE(SUBSTITUTE(SUBSTITUTE(SUBSTITUTE(SUBSTITUTE(SUBSTITUTE(SUBSTITUTE(SUBSTITUTE(SUBSTITUTE(SUBSTITUTE(SUBSTITUTE(SUBSTITUTE(SUBSTITUTE(SUBSTITUTE(SUBSTITUTE(LOWER(V159&amp;""),CHAR(10),""),CHAR(13),""),CHAR(9),""),CHAR(160),"")," ",""),".",""),"-",""),"/",""),"?",""),"_",""),",",""),"[",""),"]",""),"(",""),")",""),"*","")</f>
        <v/>
      </c>
      <c r="AW159" s="61" t="str">
        <f aca="false">SUBSTITUTE(SUBSTITUTE(SUBSTITUTE(SUBSTITUTE(SUBSTITUTE(SUBSTITUTE(SUBSTITUTE(SUBSTITUTE(SUBSTITUTE(SUBSTITUTE(SUBSTITUTE(SUBSTITUTE(SUBSTITUTE(SUBSTITUTE(SUBSTITUTE(SUBSTITUTE(LOWER(Z159&amp;""),CHAR(10),""),CHAR(13),""),CHAR(9),""),CHAR(160),"")," ",""),".",""),"-",""),"/",""),"?",""),"_",""),",",""),"[",""),"]",""),"(",""),")",""),"*","")</f>
        <v/>
      </c>
      <c r="AX159" s="61" t="str">
        <f aca="false">SUBSTITUTE(SUBSTITUTE(SUBSTITUTE(SUBSTITUTE(SUBSTITUTE(SUBSTITUTE(SUBSTITUTE(SUBSTITUTE(SUBSTITUTE(SUBSTITUTE(SUBSTITUTE(SUBSTITUTE(SUBSTITUTE(SUBSTITUTE(SUBSTITUTE(SUBSTITUTE(LOWER(AE159&amp;""),CHAR(10),""),CHAR(13),""),CHAR(9),""),CHAR(160),"")," ",""),".",""),"-",""),"/",""),"?",""),"_",""),",",""),"[",""),"]",""),"(",""),")",""),"*","")</f>
        <v/>
      </c>
      <c r="AY159" s="61" t="str">
        <f aca="false">SUBSTITUTE(SUBSTITUTE(SUBSTITUTE(SUBSTITUTE(SUBSTITUTE(SUBSTITUTE(SUBSTITUTE(SUBSTITUTE(SUBSTITUTE(SUBSTITUTE(SUBSTITUTE(SUBSTITUTE(SUBSTITUTE(SUBSTITUTE(SUBSTITUTE(SUBSTITUTE(LOWER(W159&amp;""),CHAR(10),""),CHAR(13),""),CHAR(9),""),CHAR(160),"")," ",""),".",""),"-",""),"/",""),"?",""),"_",""),",",""),"[",""),"]",""),"(",""),")",""),"*","")</f>
        <v/>
      </c>
      <c r="AZ159" s="61" t="str">
        <f aca="false">SUBSTITUTE(SUBSTITUTE(SUBSTITUTE(SUBSTITUTE(SUBSTITUTE(SUBSTITUTE(SUBSTITUTE(SUBSTITUTE(SUBSTITUTE(SUBSTITUTE(SUBSTITUTE(SUBSTITUTE(SUBSTITUTE(SUBSTITUTE(SUBSTITUTE(SUBSTITUTE(LOWER(AC159&amp;""),CHAR(10),""),CHAR(13),""),CHAR(9),""),CHAR(160),"")," ",""),".",""),"-",""),"/",""),"?",""),"_",""),",",""),"[",""),"]",""),"(",""),")",""),"*","")</f>
        <v/>
      </c>
      <c r="BA159" s="61" t="str">
        <f aca="false">SUBSTITUTE(SUBSTITUTE(SUBSTITUTE(SUBSTITUTE(SUBSTITUTE(SUBSTITUTE(SUBSTITUTE(SUBSTITUTE(SUBSTITUTE(SUBSTITUTE(SUBSTITUTE(SUBSTITUTE(SUBSTITUTE(SUBSTITUTE(SUBSTITUTE(SUBSTITUTE(LOWER(AA159&amp;""),CHAR(10),""),CHAR(13),""),CHAR(9),""),CHAR(160),"")," ",""),".",""),"-",""),"/",""),"?",""),"_",""),",",""),"[",""),"]",""),"(",""),")",""),"*","")</f>
        <v/>
      </c>
      <c r="BB159" s="61" t="str">
        <f aca="false">IF(AND(TRIM(U159)="Pass",ISNUMBER(AF159)),IF(AF159&lt;&gt;0,"INVALID – qty variance: use Fail or Pass after CA",""),"")&amp;IF(AND(TRIM(U159)="Pass after CA",ISNUMBER(AF159)),IF(AF159&lt;&gt;0,"INVALID – after the corrective action the actual qty must equal expected (update Actual)",""),"")&amp;IF(AND(TRIM(U159)="Pass",TRIM(AB159)&lt;&gt;"",TRIM(AB159)&lt;&gt;"Closed"),"INVALID – corrective action not closed: use Fail, then Pass after CA","")&amp;IF(AND(LEN(BA159)&gt;=2,ISNA(MATCH(LEFT(BA159,255),L_Placeholder,0)),TRIM(AB159)=""),"INVALID – CA status missing for the recorded corrective action","")&amp;IF(AND(TRIM(U159)="Pass after CA",OR(OR(LEN(BA159)&lt;5,ISNUMBER(MATCH(BA159,L_Placeholder,0))),TRIM(AB159)&lt;&gt;"Closed")),"INVALID – corrective action not recorded/closed","")</f>
        <v/>
      </c>
      <c r="BC159" s="61" t="str">
        <f aca="false">" "&amp;TRIM(SUBSTITUTE(SUBSTITUTE(SUBSTITUTE(SUBSTITUTE(SUBSTITUTE(SUBSTITUTE(SUBSTITUTE(SUBSTITUTE(SUBSTITUTE(SUBSTITUTE(SUBSTITUTE(SUBSTITUTE(SUBSTITUTE(SUBSTITUTE(SUBSTITUTE(SUBSTITUTE(SUBSTITUTE(SUBSTITUTE(SUBSTITUTE(SUBSTITUTE(SUBSTITUTE(SUBSTITUTE(SUBSTITUTE(SUBSTITUTE(LOWER(V159&amp;""),CHAR(10)," "),CHAR(13)," "),CHAR(9)," "),CHAR(160)," "),"."," "),","," "),"-"," "),"/"," "),"("," "),")"," "),":"," "),";"," "),"_"," "),"–"," "),"?"," "),"!"," "),"*"," "),"["," "),"]"," "),"'"," "),"#"," "),"+"," "),"&amp;"," "),"\"," "))&amp;" "</f>
        <v>  </v>
      </c>
      <c r="BD159" s="61" t="str">
        <f aca="false">" "&amp;TRIM(SUBSTITUTE(SUBSTITUTE(SUBSTITUTE(SUBSTITUTE(SUBSTITUTE(SUBSTITUTE(SUBSTITUTE(SUBSTITUTE(SUBSTITUTE(SUBSTITUTE(SUBSTITUTE(SUBSTITUTE(SUBSTITUTE(SUBSTITUTE(SUBSTITUTE(SUBSTITUTE(SUBSTITUTE(SUBSTITUTE(SUBSTITUTE(SUBSTITUTE(SUBSTITUTE(SUBSTITUTE(SUBSTITUTE(SUBSTITUTE(LOWER(Z159&amp;""),CHAR(10)," "),CHAR(13)," "),CHAR(9)," "),CHAR(160)," "),"."," "),","," "),"-"," "),"/"," "),"("," "),")"," "),":"," "),";"," "),"_"," "),"–"," "),"?"," "),"!"," "),"*"," "),"["," "),"]"," "),"'"," "),"#"," "),"+"," "),"&amp;"," "),"\"," "))&amp;" "</f>
        <v>  </v>
      </c>
      <c r="BE159" s="61" t="str">
        <f aca="false">" "&amp;TRIM(SUBSTITUTE(SUBSTITUTE(SUBSTITUTE(SUBSTITUTE(SUBSTITUTE(SUBSTITUTE(SUBSTITUTE(SUBSTITUTE(SUBSTITUTE(SUBSTITUTE(SUBSTITUTE(SUBSTITUTE(SUBSTITUTE(SUBSTITUTE(SUBSTITUTE(SUBSTITUTE(SUBSTITUTE(SUBSTITUTE(SUBSTITUTE(SUBSTITUTE(SUBSTITUTE(SUBSTITUTE(SUBSTITUTE(SUBSTITUTE(LOWER(W159&amp;""),CHAR(10)," "),CHAR(13)," "),CHAR(9)," "),CHAR(160)," "),"."," "),","," "),"-"," "),"/"," "),"("," "),")"," "),":"," "),";"," "),"_"," "),"–"," "),"?"," "),"!"," "),"*"," "),"["," "),"]"," "),"'"," "),"#"," "),"+"," "),"&amp;"," "),"\"," "))&amp;" "</f>
        <v>  </v>
      </c>
      <c r="BF159" s="61" t="str">
        <f aca="false">" "&amp;TRIM(SUBSTITUTE(SUBSTITUTE(SUBSTITUTE(SUBSTITUTE(SUBSTITUTE(SUBSTITUTE(SUBSTITUTE(SUBSTITUTE(SUBSTITUTE(SUBSTITUTE(SUBSTITUTE(SUBSTITUTE(SUBSTITUTE(SUBSTITUTE(SUBSTITUTE(SUBSTITUTE(SUBSTITUTE(SUBSTITUTE(SUBSTITUTE(SUBSTITUTE(SUBSTITUTE(SUBSTITUTE(SUBSTITUTE(SUBSTITUTE(LOWER(AC159&amp;""),CHAR(10)," "),CHAR(13)," "),CHAR(9)," "),CHAR(160)," "),"."," "),","," "),"-"," "),"/"," "),"("," "),")"," "),":"," "),";"," "),"_"," "),"–"," "),"?"," "),"!"," "),"*"," "),"["," "),"]"," "),"'"," "),"#"," "),"+"," "),"&amp;"," "),"\"," "))&amp;" "</f>
        <v>  </v>
      </c>
      <c r="BG159" s="61" t="n">
        <f aca="false">IFERROR(IF(AND(TRIM(U159)="Pass",SUMPRODUCT((LEN(BC159)-LEN(SUBSTITUTE(BC159," "&amp;L_ResultBad&amp;" "," ")))/(LEN(L_ResultBad)+1))&gt;SUMPRODUCT((LEN(BC159)-LEN(SUBSTITUTE(BC159," "&amp;L_NegPhrase&amp;" "," ")))/(LEN(L_NegPhrase)+1))),1,0),0)</f>
        <v>0</v>
      </c>
      <c r="BH159" s="61" t="n">
        <f aca="false">IFERROR(IF(SUMPRODUCT((LEN(BC159)-LEN(SUBSTITUTE(BC159," "&amp;L_Pending&amp;" "," ")))/(LEN(L_Pending)+1))&gt;SUMPRODUCT((LEN(BC159)-LEN(SUBSTITUTE(BC159," "&amp;L_PendNeg&amp;" "," ")))/(LEN(L_PendNeg)+1)),1,0),1)</f>
        <v>0</v>
      </c>
      <c r="BI159" s="61" t="n">
        <f aca="false">IFERROR(IF(SUMPRODUCT((LEN(BD159)-LEN(SUBSTITUTE(BD159," "&amp;L_PendStrict&amp;" "," ")))/(LEN(L_PendStrict)+1))&gt;SUMPRODUCT((LEN(BD159)-LEN(SUBSTITUTE(BD159," "&amp;L_PendNeg&amp;" "," ")))/(LEN(L_PendNeg)+1)),1,0),1)</f>
        <v>0</v>
      </c>
      <c r="BJ159" s="61" t="n">
        <f aca="false">IFERROR(IF(SUMPRODUCT((LEN(BE159)-LEN(SUBSTITUTE(BE159," "&amp;L_Pending&amp;" "," ")))/(LEN(L_Pending)+1))&gt;SUMPRODUCT((LEN(BE159)-LEN(SUBSTITUTE(BE159," "&amp;L_PendNeg&amp;" "," ")))/(LEN(L_PendNeg)+1)),1,0),1)</f>
        <v>0</v>
      </c>
      <c r="BK159" s="61" t="n">
        <f aca="false">IFERROR(IF(SUMPRODUCT((LEN(BF159)-LEN(SUBSTITUTE(BF159," "&amp;L_PendStrict&amp;" "," ")))/(LEN(L_PendStrict)+1))&gt;SUMPRODUCT((LEN(BF159)-LEN(SUBSTITUTE(BF159," "&amp;L_PendNeg&amp;" "," ")))/(LEN(L_PendNeg)+1)),1,0),1)</f>
        <v>0</v>
      </c>
      <c r="BL159" s="61" t="n">
        <f aca="false">IF(ISNA(MATCH(TRIM(S159),L_EvidenceType,0)),0,BZ159)</f>
        <v>0</v>
      </c>
      <c r="BM159" s="61" t="str">
        <f aca="false">SUBSTITUTE(SUBSTITUTE(SUBSTITUTE(SUBSTITUTE(SUBSTITUTE(SUBSTITUTE(SUBSTITUTE(SUBSTITUTE(SUBSTITUTE(LOWER(Z159&amp;""),"1","0"),"2","0"),"3","0"),"4","0"),"5","0"),"6","0"),"7","0"),"8","0"),"9","0")</f>
        <v/>
      </c>
      <c r="BN159" s="61" t="str">
        <f aca="false">SUBSTITUTE(SUBSTITUTE(SUBSTITUTE(SUBSTITUTE(SUBSTITUTE(SUBSTITUTE(SUBSTITUTE(SUBSTITUTE(SUBSTITUTE(SUBSTITUTE(SUBSTITUTE(SUBSTITUTE(SUBSTITUTE(SUBSTITUTE(SUBSTITUTE(SUBSTITUTE(SUBSTITUTE(SUBSTITUTE(SUBSTITUTE(SUBSTITUTE(SUBSTITUTE(SUBSTITUTE(SUBSTITUTE(SUBSTITUTE(SUBSTITUTE(BM159,"b","a"),"c","a"),"d","a"),"e","a"),"f","a"),"g","a"),"h","a"),"i","a"),"j","a"),"k","a"),"l","a"),"m","a"),"n","a"),"o","a"),"p","a"),"q","a"),"r","a"),"s","a"),"t","a"),"u","a"),"v","a"),"w","a"),"x","a"),"y","a"),"z","a")</f>
        <v/>
      </c>
      <c r="BO159" s="61" t="str">
        <f aca="false">SUBSTITUTE(SUBSTITUTE(SUBSTITUTE(SUBSTITUTE(SUBSTITUTE(SUBSTITUTE(SUBSTITUTE(SUBSTITUTE(SUBSTITUTE(LOWER(W159&amp;""),"1","0"),"2","0"),"3","0"),"4","0"),"5","0"),"6","0"),"7","0"),"8","0"),"9","0")</f>
        <v/>
      </c>
      <c r="BP159" s="61" t="str">
        <f aca="false">SUBSTITUTE(SUBSTITUTE(SUBSTITUTE(SUBSTITUTE(SUBSTITUTE(SUBSTITUTE(SUBSTITUTE(SUBSTITUTE(SUBSTITUTE(SUBSTITUTE(SUBSTITUTE(SUBSTITUTE(SUBSTITUTE(SUBSTITUTE(SUBSTITUTE(SUBSTITUTE(SUBSTITUTE(SUBSTITUTE(SUBSTITUTE(SUBSTITUTE(SUBSTITUTE(SUBSTITUTE(SUBSTITUTE(SUBSTITUTE(SUBSTITUTE(BO159,"b","a"),"c","a"),"d","a"),"e","a"),"f","a"),"g","a"),"h","a"),"i","a"),"j","a"),"k","a"),"l","a"),"m","a"),"n","a"),"o","a"),"p","a"),"q","a"),"r","a"),"s","a"),"t","a"),"u","a"),"v","a"),"w","a"),"x","a"),"y","a"),"z","a")</f>
        <v/>
      </c>
      <c r="BQ159" s="61" t="n">
        <f aca="false">IFERROR(IF(AND(ISERROR(SEARCH(" mh"," "&amp;LOWER(W159))),ISNA(MATCH(LEFT(TRIM(BP159),255),{"0000a","000a","00a","0000aa","000aa","00aa","0aa","0000aaa","000aaa","00a00","0a00","0000-0000","00:00","a00","a0","00.00.0000","00/00/0000","00-00-0000","0000-00-00","0000/00/00","0000.00.00","00.00.00","00/00/00","00-00-00","0.00.0000","0/00/0000","0-00-0000"},0)),ISNA(MATCH(LEFT(TRIM(CA159),255),{"0000a","000a","00a","0000aa","000aa","00aa","0aa","0000aaa","000aaa","00a00","0a00","0000-0000","00:00","a00","a0","00.00.0000","00/00/0000","00-00-0000","0000-00-00","0000/00/00","0000.00.00","00.00.00","00/00/00","00-00-00","0.00.0000","0/00/0000","0-00-0000"},0)),LEN(CB159)&gt;=3,NOT(OR(SUBSTITUTE(CB159,"0","")="",AND(LEN(CB159)&gt;=4,CB159=REPT(LEFT(CB159),LEN(CB159))),ISNUMBER(MATCH(CB159,{"123","1234","12345","123456","1234567","12345678","0123","01234","012345","98765","987654","54321"},0)),AND(LEN(CB159)=8,LEFT(CB159,3)="202"))),OR(AND((LEN(CA159)-LEN(SUBSTITUTE(CA159,"a","")))&gt;=1,SUMPRODUCT(--ISNUMBER(SEARCH({"a0","a-0","a_0","a/0","a.0","a#0","0a","0-a","0_a","0/a"},BP159)))&gt;0),ISNUMBER(SEARCH("000000",BP159)))),1,0),0)</f>
        <v>0</v>
      </c>
      <c r="BR159" s="61" t="n">
        <f aca="false">IFERROR(LEN(SUBSTITUTE(CC159," ",""))-SUMPRODUCT((LEN(CC159)-LEN(SUBSTITUTE(CC159," "&amp;L_Role&amp;" "," ")))/(LEN(L_Role)+1)*LEN(L_Role)),0)</f>
        <v>0</v>
      </c>
      <c r="BS159" s="61" t="n">
        <f aca="false">IFERROR(LEN(SUBSTITUTE(CD159," ",""))-SUMPRODUCT((LEN(CD159)-LEN(SUBSTITUTE(CD159," "&amp;L_Role&amp;" "," ")))/(LEN(L_Role)+1)*LEN(L_Role)),0)</f>
        <v>0</v>
      </c>
      <c r="BT1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159,"revision",""),"version",""),"jan",""),"feb",""),"mar",""),"apr",""),"may",""),"jun",""),"jul",""),"aug",""),"sep",""),"oct",""),"nov",""),"dec",""),"utc",""),"gmt",""),"myt",""),"bst",""),"rev",""),"ver",""),"b","a"),"c","a"),"d","a"),"e","a"),"f","a"),"g","a"),"h","a"),"i","a"),"j","a"),"k","a"),"l","a"),"m","a"),"n","a"),"o","a"),"p","a"),"q","a"),"r","a"),"s","a"),"t","a"),"u","a"),"v","a"),"w","a"),"x","a"),"y","a"),"z","a")</f>
        <v/>
      </c>
      <c r="BU159" s="61" t="str">
        <f aca="false">SUBSTITUTE(SUBSTITUTE(SUBSTITUTE(SUBSTITUTE(SUBSTITUTE(SUBSTITUTE(SUBSTITUTE(SUBSTITUTE(SUBSTITUTE(SUBSTITUTE(LEFT(BM159,FIND("0",BM159&amp;"0")-1),"-",""),"_",""),"/",""),".",""),"#",""),"\\",""),":","")," ",""),"(",""),")","")</f>
        <v/>
      </c>
      <c r="BV159" s="61" t="n">
        <f aca="false">IFERROR(IF(OR(SUMPRODUCT((LEN(BC159)-LEN(SUBSTITUTE(BC159," "&amp;L_NotLoaded&amp;" "," ")))/(LEN(L_NotLoaded)+1))&gt;SUMPRODUCT((LEN(BC159)-LEN(SUBSTITUTE(BC159," "&amp;L_NotLoadedNeg&amp;" "," ")))/(LEN(L_NotLoadedNeg)+1)),SUMPRODUCT((LEN(BD159)-LEN(SUBSTITUTE(BD159," "&amp;L_NotLoaded&amp;" "," ")))/(LEN(L_NotLoaded)+1))&gt;SUMPRODUCT((LEN(BD159)-LEN(SUBSTITUTE(BD159," "&amp;L_NotLoadedNeg&amp;" "," ")))/(LEN(L_NotLoadedNeg)+1))),1,0),0)</f>
        <v>0</v>
      </c>
      <c r="BW1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159&amp;""),"a",""),"b",""),"c",""),"d",""),"e",""),"f",""),"g",""),"h",""),"i",""),"j",""),"k",""),"l",""),"m",""),"n",""),"o",""),"p",""),"q",""),"r",""),"s",""),"t",""),"u",""),"v",""),"w",""),"x",""),"y",""),"z",""),"-",""),"_",""),"/",""),".",""),"#",""),"\\",""),":","")," ",""),"(",""),")","")</f>
        <v/>
      </c>
      <c r="BX159" s="61" t="str">
        <f aca="false">SUBSTITUTE(SUBSTITUTE(SUBSTITUTE(SUBSTITUTE(SUBSTITUTE(SUBSTITUTE(SUBSTITUTE(SUBSTITUTE(SUBSTITUTE(SUBSTITUTE(SUBSTITUTE(BM159,"0",""),"-",""),"_",""),"/",""),".",""),"#",""),"\\",""),":","")," ",""),"(",""),")","")</f>
        <v/>
      </c>
      <c r="BY159" s="62" t="n">
        <f aca="false">IF(ISNUMBER(Flights!$AZ$9),MAX(Q159-UpliftWindowH/24,Flights!$AZ$9),Q159-UpliftWindowH/24)</f>
        <v>46310.0451388889</v>
      </c>
      <c r="BZ159" s="61" t="n">
        <f aca="false">IFERROR(IF(IF(TRIM(S159)="Link / file path",AND(LEN(TRIM(Z159))&gt;=5,SUMPRODUCT(--ISNUMBER(SEARCH({"http","www.","\\",":\",".pdf",".jpg",".jpeg",".png",".heic",".xls",".doc",".msg",".eml",".ppt",".txt",".zip"},Z159)))&gt;0),AND(ISERROR(FIND(" ",TRIM(Z159))),NOT(OR(SUMPRODUCT(--ISNUMBER(FIND({",",";","&amp;","+"},Z159)))&gt;0,SUMPRODUCT(--ISNUMBER(SEARCH({"0/aa","0\\aa"},BN159)))&gt;0)),NOT(SUMPRODUCT(--ISNUMBER(SEARCH({"http","www.","\\",":\",".pdf",".jpg",".jpeg",".png",".heic",".xls",".doc",".msg",".eml",".ppt",".txt",".zip"},Z159)))&gt;0),NOT(LOWER(TRIM(Z159))=LOWER(Flights!$F$9)),ISNA(MATCH(BU159,{"mh","rev","revision","ver","version","v","r","a","b","seat","tray","row","gate","bay","stand","page","pg","item","line","no","cart","galley","flight","flt","table","box","bag","oven","etd","eta","std","sta","atd","ata","qty","pax","x","time","tel","ph","mob","day","wk","week","utc","gmt","myt","lt"},0)),NOT(OR(ISNUMBER(MATCH(LEFT(BN159,255),{"0000a","000a","00a","0000aa","000aa","00aa","0aa","0000aaa","000aaa","00a00","0a00","0000-0000","00:00","a00","a0","00.00.0000","00/00/0000","00-00-0000","0000-00-00","0000/00/00","0000.00.00","00.00.00","00/00/00","00-00-00","0.00.0000","0/00/0000","0-00-0000"},0)),ISNUMBER(MATCH(LEFT(BT159,255),{"0000a","000a","00a","0000aa","000aa","00aa","0aa","0000aaa","000aaa","00a00","0a00","0000-0000","00:00","a00","a0","00.00.0000","00/00/0000","00-00-0000","0000-00-00","0000/00/00","0000.00.00","00.00.00","00/00/00","00-00-00","0.00.0000","0/00/0000","0-00-0000"},0)))),NOT(OR(AND(BW159&lt;&gt;"",SUBSTITUTE(BW159,"0","")=""),AND(LEN(BW159)&gt;=4,BW159=REPT(LEFT(BW159),LEN(BW159))),ISNUMBER(MATCH(BW159,{"123","1234","12345","123456","1234567","12345678","0123","01234","012345","98765","987654","54321"},0)),ISNUMBER(MATCH(BX159,{"x","xx","xxx","xxxx","xxxxx","abc","abcd","nil","na","nan","test","tbc","tba","tbd","dummy","sample","example","eg","zz","zzz","none","null","xyz","qwe","asd","id","ref"},0)),AND(LEN(BW159)=8,BX159="",OR(LEFT(BW159,3)="202",ISNUMBER(MATCH(RIGHT(BW159,4),{"2025","2026","2027"},0)))))),OR(AND((LEN(BT159)-LEN(SUBSTITUTE(BT159,"a","")))&gt;=1,(LEN(BN159)-LEN(SUBSTITUTE(BN159,"0","")))&gt;=2,SUMPRODUCT(--ISNUMBER(SEARCH({"a0","a-0","a_0","a/0","a.0","a#0","0a","0-a","0_a","0/a"},BN159)))&gt;0),AND((LEN(BN159)-LEN(SUBSTITUTE(BN159,"a","")))=0,(LEN(BN159)-LEN(SUBSTITUTE(BN159,"0","")))&gt;=5)))),1,0),0)</f>
        <v>0</v>
      </c>
      <c r="CA1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159,"revision",""),"version",""),"jan",""),"feb",""),"mar",""),"apr",""),"may",""),"jun",""),"jul",""),"aug",""),"sep",""),"oct",""),"nov",""),"dec",""),"utc",""),"gmt",""),"myt",""),"bst",""),"rev",""),"ver",""),"b","a"),"c","a"),"d","a"),"e","a"),"f","a"),"g","a"),"h","a"),"i","a"),"j","a"),"k","a"),"l","a"),"m","a"),"n","a"),"o","a"),"p","a"),"q","a"),"r","a"),"s","a"),"t","a"),"u","a"),"v","a"),"w","a"),"x","a"),"y","a"),"z","a")</f>
        <v/>
      </c>
      <c r="CB1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159&amp;""),"a",""),"b",""),"c",""),"d",""),"e",""),"f",""),"g",""),"h",""),"i",""),"j",""),"k",""),"l",""),"m",""),"n",""),"o",""),"p",""),"q",""),"r",""),"s",""),"t",""),"u",""),"v",""),"w",""),"x",""),"y",""),"z",""),"-",""),"_",""),"/",""),".",""),"#",""),"\\",""),":","")," ",""),"(",""),")","")</f>
        <v/>
      </c>
      <c r="CC159" s="0" t="str">
        <f aca="false">" "&amp;TRIM(SUBSTITUTE(SUBSTITUTE(SUBSTITUTE(SUBSTITUTE(SUBSTITUTE(SUBSTITUTE(SUBSTITUTE(SUBSTITUTE(SUBSTITUTE(SUBSTITUTE(SUBSTITUTE(SUBSTITUTE(SUBSTITUTE(SUBSTITUTE(SUBSTITUTE(SUBSTITUTE(SUBSTITUTE(SUBSTITUTE(SUBSTITUTE(SUBSTITUTE(SUBSTITUTE(SUBSTITUTE(SUBSTITUTE(SUBSTITUTE(LOWER(T159&amp;""),CHAR(10)," "),CHAR(13)," "),CHAR(9)," "),CHAR(160)," "),"."," "),","," "),"-"," "),"/"," "),"("," "),")"," "),":"," "),";"," "),"_"," "),"–"," "),"?"," "),"!"," "),"*"," "),"["," "),"]"," "),"'"," "),"#"," "),"+"," "),"&amp;"," "),"\"," "))&amp;" "</f>
        <v>  </v>
      </c>
      <c r="CD159" s="0" t="str">
        <f aca="false">" "&amp;TRIM(SUBSTITUTE(SUBSTITUTE(SUBSTITUTE(SUBSTITUTE(SUBSTITUTE(SUBSTITUTE(SUBSTITUTE(SUBSTITUTE(SUBSTITUTE(SUBSTITUTE(SUBSTITUTE(SUBSTITUTE(SUBSTITUTE(SUBSTITUTE(SUBSTITUTE(SUBSTITUTE(SUBSTITUTE(SUBSTITUTE(SUBSTITUTE(SUBSTITUTE(SUBSTITUTE(SUBSTITUTE(SUBSTITUTE(SUBSTITUTE(LOWER(AE159&amp;""),CHAR(10)," "),CHAR(13)," "),CHAR(9)," "),CHAR(160)," "),"."," "),","," "),"-"," "),"/"," "),"("," "),")"," "),":"," "),";"," "),"_"," "),"–"," "),"?"," "),"!"," "),"*"," "),"["," "),"]"," "),"'"," "),"#"," "),"+"," "),"&amp;"," "),"\"," "))&amp;" "</f>
        <v>  </v>
      </c>
      <c r="CE159" s="68" t="n">
        <f aca="false">IFERROR(IF(AND(LEN(AU159)&gt;0,LEN(AU159)=LEN(AX159),OR(TRIM(MID(SUBSTITUTE(TRIM(CC159)," ",REPT(" ",60)),1,60))="",ISNUMBER(SEARCH(" "&amp;TRIM(MID(SUBSTITUTE(TRIM(CC159)," ",REPT(" ",60)),1,60))&amp;" ",CD159))),OR(TRIM(MID(SUBSTITUTE(TRIM(CC159)," ",REPT(" ",60)),61,60))="",ISNUMBER(SEARCH(" "&amp;TRIM(MID(SUBSTITUTE(TRIM(CC159)," ",REPT(" ",60)),61,60))&amp;" ",CD159))),OR(TRIM(MID(SUBSTITUTE(TRIM(CC159)," ",REPT(" ",60)),121,60))="",ISNUMBER(SEARCH(" "&amp;TRIM(MID(SUBSTITUTE(TRIM(CC159)," ",REPT(" ",60)),121,60))&amp;" ",CD159)))),1,0),0)</f>
        <v>0</v>
      </c>
      <c r="CG159" s="68" t="n">
        <f aca="false">IFERROR(LEN(SUBSTITUTE(BF159," ",""))-SUMPRODUCT((LEN(BF159)-LEN(SUBSTITUTE(BF159," "&amp;L_NAFiller&amp;" "," ")))/(LEN(L_NAFiller)+1)*LEN(L_NAFiller)),0)</f>
        <v>0</v>
      </c>
    </row>
    <row r="160" customFormat="false" ht="39.75" hidden="false" customHeight="true" outlineLevel="0" collapsed="false">
      <c r="A160" s="57" t="s">
        <v>695</v>
      </c>
      <c r="B160" s="57" t="s">
        <v>228</v>
      </c>
      <c r="C160" s="57" t="str">
        <f aca="false">Flights!$F$9</f>
        <v>MH0089</v>
      </c>
      <c r="D160" s="58" t="n">
        <f aca="false">Flights!$D$9</f>
        <v>46310</v>
      </c>
      <c r="E160" s="57" t="str">
        <f aca="false">Flights!$G$9&amp;"-"&amp;Flights!$H$9</f>
        <v>NRT-KUL</v>
      </c>
      <c r="F160" s="57" t="str">
        <f aca="false">Flights!$K$9</f>
        <v>EY</v>
      </c>
      <c r="G160" s="57" t="s">
        <v>459</v>
      </c>
      <c r="H160" s="57" t="s">
        <v>460</v>
      </c>
      <c r="I160" s="57" t="s">
        <v>428</v>
      </c>
      <c r="J160" s="57" t="s">
        <v>465</v>
      </c>
      <c r="K160" s="67" t="s">
        <v>426</v>
      </c>
      <c r="L160" s="67" t="s">
        <v>462</v>
      </c>
      <c r="M160" s="67"/>
      <c r="N160" s="67" t="s">
        <v>383</v>
      </c>
      <c r="O160" s="67" t="s">
        <v>463</v>
      </c>
      <c r="P160" s="57" t="s">
        <v>220</v>
      </c>
      <c r="Q160" s="59" t="n">
        <f aca="false">ROUND((Flights!$AF$9)*1440,0)/1440</f>
        <v>46310.0451388889</v>
      </c>
      <c r="R160" s="59" t="n">
        <f aca="false">Q160+(IF(AND(INDEX(TZ_DSTS,MATCH(P160,TZ_STN,0))&lt;&gt;"",Q160&gt;=INDEX(TZ_DSTS,MATCH(P160,TZ_STN,0)),Q160&lt;INDEX(TZ_DSTE,MATCH(P160,TZ_STN,0))),INDEX(TZ_DST,MATCH(P160,TZ_STN,0)),INDEX(TZ_STD,MATCH(P160,TZ_STN,0))))/24</f>
        <v>46310.4201388889</v>
      </c>
      <c r="S160" s="60"/>
      <c r="T160" s="60"/>
      <c r="U160" s="60"/>
      <c r="V160" s="60"/>
      <c r="W160" s="61"/>
      <c r="X160" s="60"/>
      <c r="Y160" s="60"/>
      <c r="Z160" s="60"/>
      <c r="AA160" s="60"/>
      <c r="AB160" s="60"/>
      <c r="AC160" s="60"/>
      <c r="AD160" s="66"/>
      <c r="AE160" s="60"/>
      <c r="AF160" s="61" t="str">
        <f aca="false">IF(AND(ISNUMBER(X160),ISNUMBER(Y160)),Y160-X160,"")</f>
        <v/>
      </c>
      <c r="AG160" s="62" t="str">
        <f aca="false">IF(ISNUMBER(AD160),AD160-(IF(AND(INDEX(TZ_DSTS,MATCH(P160,TZ_STN,0))&lt;&gt;"",(AD160-INDEX(TZ_STD,MATCH(P160,TZ_STN,0))/24)&gt;=INDEX(TZ_DSTS,MATCH(P160,TZ_STN,0)),(AD160-INDEX(TZ_STD,MATCH(P160,TZ_STN,0))/24)&lt;INDEX(TZ_DSTE,MATCH(P160,TZ_STN,0))),INDEX(TZ_DST,MATCH(P160,TZ_STN,0)),INDEX(TZ_STD,MATCH(P160,TZ_STN,0))))/24,"")</f>
        <v/>
      </c>
      <c r="AH160" s="65" t="str">
        <f aca="false">IFERROR(IF(N160="N/A – rule",IF(OR(TRIM(U160)="",TRIM(U160)="N/A",TRIM(U160)="Not started"),"N/A – RULE","INVALID – this check does not apply to this aircraft: clear the status (or correct the fleet on Flights)"),IF(TRIM(U160)="N/A",IF(AT160=0,"INVALID – N/A not permitted for this check",IF(AND(TRIM(AB160)&lt;&gt;"",TRIM(AB160)&lt;&gt;"Closed"),"INVALID – corrective action still open",IF(AND(NOT(OR(LEN(AZ160)&lt;15,ISNUMBER(MATCH(AZ160,L_Placeholder,0)))),BK160=0,CG160&gt;=8,NOT(OR(LEN(AU160)&lt;2,ISNUMBER(MATCH(AU160,L_Placeholder,0)))),BR160&gt;=3,NOT(OR(LEN(AX160)&lt;2,ISNUMBER(MATCH(AX160,L_Placeholder,0)))),BS160&gt;=3,TRIM(AE160)&lt;&gt;TRIM(T160),AX160&lt;&gt;AU160,CE160=0),"N/A – JUSTIFIED","INVALID – N/A needs a real, settled reason (not 'not applicable' / 'as above' / TBC), a named PIC and a different named verifier"))),IF(OR(TRIM(U160)="Pass",TRIM(U160)="Pass after CA"),IF(NOT(ISNUMBER(AD160)),"INVALID – completion time missing",IF(OR(OR(LEN(AU160)&lt;2,ISNUMBER(MATCH(AU160,L_Placeholder,0))),BR160&lt;3),"INVALID – PIC missing or not a named person (a role such as QA / CSM is not a name)",IF(OR(LEN(AV160)&lt;2,ISNUMBER(MATCH(AV160,L_Placeholder,0))),"INVALID – result / assessment missing",IF(OR(OR(LEN(AW160)&lt;3,ISNUMBER(MATCH(AW160,L_Placeholder,0))),SUMPRODUCT(--ISNUMBER(SEARCH(" "&amp;L_EvidencePhrase&amp;" ",BD160)))&gt;0,BI160=1),"INVALID – evidence missing, placeholder or not yet on file",IF(ISNA(MATCH(TRIM(S160),L_EvidenceType,0)),"INVALID – choose the evidence type from the list (column S)",IF(BL160=0,"INVALID – evidence ID must be the record's own ID only (e.g. SF-2210, IMG_2231, 1045521); a link / file name needs type 'Link / file path'",IF(OR(OR(LEN(AX160)&lt;2,ISNUMBER(MATCH(AX160,L_Placeholder,0))),BS160&lt;3),"INVALID – verifier missing or not a named person (a role such as QA / CSM is not a name)",IF(OR(AX160=AU160,CE160=1,AND(LEN(AU160)&gt;=4,ISNUMBER(SEARCH(AU160,AX160))),AND(LEN(AX160)&gt;=4,ISNUMBER(SEARCH(AX160,AU160)))),"INVALID – verifier must be a different, named person (not the PIC or a role)",IF(BH160=1,"INVALID – result not yet available (awaiting / TBC)",IF(BG160=1,"INVALID – result describes a problem: record Fail, then Pass after CA (or reword if it is not a problem)",IF(BV160=1,"INVALID – wording says not on board: an on-board confirmation needs the item loaded",IF(AND(AQ160=1,OR(OR(LEN(AY160)&lt;3,ISNUMBER(MATCH(AY160,L_Placeholder,0))),BJ160=1,BQ160=0)),"INVALID – batch ID missing, placeholder or not an ID (e.g. PASB-261008-BC-017)",IF(AND(AR160=1,OR(NOT(ISNUMBER(X160)),NOT(ISNUMBER(Y160)))),"INVALID – expected/actual qty missing",IF(AND(AR160=1,OR(X160&lt;=0,Y160&lt;0)),"INVALID – expected qty must be above 0 and actual not negative",IF(AH153="N/A – JUSTIFIED","INVALID – preparation row F05-T12-06 is N/A",IF(AND(AR160=1,ISNUMBER(X153),X160&lt;&gt;X153,TRIM(U160)&lt;&gt;"Pass after CA"),"INVALID – expected qty differs from preparation check F05-T12-06: record the load change as a corrective action (Pass after CA)",IF(BB160&lt;&gt;"",BB160,IF(AND(AS160=1,Documents!$J$9&lt;&gt;"ON FILE"),"INVALID – GLD not on file (Documents sheet)",IF(AND(AS160=2,Documents!$O$9&lt;&gt;"ON FILE"),"INVALID – menu checklist not on file (Documents sheet)",IF(AND(AS160=3,NOT(ISNUMBER(Flights!$AX$9))),"INVALID – enter carrying flight KUL departure (Flights AX)",IF(AND(AS160=3,OR(Flights!$AZ$9&gt;Flights!$AA$9,Flights!$AX$9&lt;Flights!$AA$9-3)),"INVALID – carrying flight (Flights AX) cannot arrive before this leg's STD, or is over 3 days early",IF(AG160&gt;AsOfUTC,"INVALID – completion time is in the future",IF(AND(ISNUMBER(BY160),AG160&lt;BY160),IF(H160="Physical uplift","INVALID – before uplift window (cannot confirm loading)","INVALID – before valid window"),IF(AG160&gt;Flights!$AA$9,"INVALID – completed after departure (cannot establish readiness)",IF(AND(H160="Preparation",AG160&gt;=IF(ISNUMBER(Flights!$BA$9),MIN(Flights!$BA$9,Flights!$AA$9),Flights!$AA$9)),"INVALID – completed after loading / departure (cannot establish readiness)",IF(AND(H160="Physical uplift",AG160&gt;Q160),"INVALID – recorded after the loading flight departed",IF(AG160&gt;Q160,"COMPLETE – LATE","COMPLETE"))))))))))))))))))))))))))),IF(TRIM(U160)="Fail","FAIL – DISCREPANCY",IF(AND(TRIM(U160)&lt;&gt;"",TRIM(U160)&lt;&gt;"Not started",TRIM(U160)&lt;&gt;"In progress"),"INVALID – unrecognised status (use the list)",IF(AsOfUTC&gt;Q160,"OVERDUE",IF(N160="Clarification required","OPEN – CLARIFICATION","OPEN"))))))),"INVALID – error value in an input cell")</f>
        <v>OPEN</v>
      </c>
      <c r="AI160" s="61" t="n">
        <f aca="false">IF(OR(AH160="N/A – RULE",AH160="N/A – JUSTIFIED"),0,1)</f>
        <v>1</v>
      </c>
      <c r="AJ160" s="61" t="n">
        <f aca="false">IF(LEFT(AH160,8)="COMPLETE",1,0)</f>
        <v>0</v>
      </c>
      <c r="AK160" s="61" t="n">
        <f aca="false">IF(AND(AI160=1,AJ160=0,AsOfUTC&gt;Q160),1,0)</f>
        <v>0</v>
      </c>
      <c r="AL160" s="61" t="n">
        <f aca="false">IFERROR(IF(AND(AI160=1,OR(TRIM(U160)="Fail",AND(TRIM(AB160)&lt;&gt;"",TRIM(AB160)&lt;&gt;"Closed"),AND(ISNUMBER(AF160),AF160&lt;&gt;0,TRIM(U160)&lt;&gt;"Pass after CA"))),1,0),1)</f>
        <v>0</v>
      </c>
      <c r="AM160" s="61" t="n">
        <f aca="false">IF(LEFT(AH160,7)="INVALID",1,0)</f>
        <v>0</v>
      </c>
      <c r="AN160" s="61" t="n">
        <f aca="false">IF(AND(N160="Clarification required",AI160=1,AJ160=0),1,0)</f>
        <v>0</v>
      </c>
      <c r="AO160" s="61" t="str">
        <f aca="false">IF(AK160=1,SUM(AK$5:AK160),"")</f>
        <v/>
      </c>
      <c r="AP160" s="61" t="str">
        <f aca="false">IF(AL160=1,SUM(AL$5:AL160),"")</f>
        <v/>
      </c>
      <c r="AQ160" s="61" t="n">
        <v>0</v>
      </c>
      <c r="AR160" s="61" t="n">
        <v>1</v>
      </c>
      <c r="AS160" s="61" t="n">
        <v>0</v>
      </c>
      <c r="AT160" s="61" t="n">
        <v>0</v>
      </c>
      <c r="AU160" s="61" t="str">
        <f aca="false">SUBSTITUTE(SUBSTITUTE(SUBSTITUTE(SUBSTITUTE(SUBSTITUTE(SUBSTITUTE(SUBSTITUTE(SUBSTITUTE(SUBSTITUTE(SUBSTITUTE(SUBSTITUTE(SUBSTITUTE(SUBSTITUTE(SUBSTITUTE(SUBSTITUTE(SUBSTITUTE(LOWER(T160&amp;""),CHAR(10),""),CHAR(13),""),CHAR(9),""),CHAR(160),"")," ",""),".",""),"-",""),"/",""),"?",""),"_",""),",",""),"[",""),"]",""),"(",""),")",""),"*","")</f>
        <v/>
      </c>
      <c r="AV160" s="61" t="str">
        <f aca="false">SUBSTITUTE(SUBSTITUTE(SUBSTITUTE(SUBSTITUTE(SUBSTITUTE(SUBSTITUTE(SUBSTITUTE(SUBSTITUTE(SUBSTITUTE(SUBSTITUTE(SUBSTITUTE(SUBSTITUTE(SUBSTITUTE(SUBSTITUTE(SUBSTITUTE(SUBSTITUTE(LOWER(V160&amp;""),CHAR(10),""),CHAR(13),""),CHAR(9),""),CHAR(160),"")," ",""),".",""),"-",""),"/",""),"?",""),"_",""),",",""),"[",""),"]",""),"(",""),")",""),"*","")</f>
        <v/>
      </c>
      <c r="AW160" s="61" t="str">
        <f aca="false">SUBSTITUTE(SUBSTITUTE(SUBSTITUTE(SUBSTITUTE(SUBSTITUTE(SUBSTITUTE(SUBSTITUTE(SUBSTITUTE(SUBSTITUTE(SUBSTITUTE(SUBSTITUTE(SUBSTITUTE(SUBSTITUTE(SUBSTITUTE(SUBSTITUTE(SUBSTITUTE(LOWER(Z160&amp;""),CHAR(10),""),CHAR(13),""),CHAR(9),""),CHAR(160),"")," ",""),".",""),"-",""),"/",""),"?",""),"_",""),",",""),"[",""),"]",""),"(",""),")",""),"*","")</f>
        <v/>
      </c>
      <c r="AX160" s="61" t="str">
        <f aca="false">SUBSTITUTE(SUBSTITUTE(SUBSTITUTE(SUBSTITUTE(SUBSTITUTE(SUBSTITUTE(SUBSTITUTE(SUBSTITUTE(SUBSTITUTE(SUBSTITUTE(SUBSTITUTE(SUBSTITUTE(SUBSTITUTE(SUBSTITUTE(SUBSTITUTE(SUBSTITUTE(LOWER(AE160&amp;""),CHAR(10),""),CHAR(13),""),CHAR(9),""),CHAR(160),"")," ",""),".",""),"-",""),"/",""),"?",""),"_",""),",",""),"[",""),"]",""),"(",""),")",""),"*","")</f>
        <v/>
      </c>
      <c r="AY160" s="61" t="str">
        <f aca="false">SUBSTITUTE(SUBSTITUTE(SUBSTITUTE(SUBSTITUTE(SUBSTITUTE(SUBSTITUTE(SUBSTITUTE(SUBSTITUTE(SUBSTITUTE(SUBSTITUTE(SUBSTITUTE(SUBSTITUTE(SUBSTITUTE(SUBSTITUTE(SUBSTITUTE(SUBSTITUTE(LOWER(W160&amp;""),CHAR(10),""),CHAR(13),""),CHAR(9),""),CHAR(160),"")," ",""),".",""),"-",""),"/",""),"?",""),"_",""),",",""),"[",""),"]",""),"(",""),")",""),"*","")</f>
        <v/>
      </c>
      <c r="AZ160" s="61" t="str">
        <f aca="false">SUBSTITUTE(SUBSTITUTE(SUBSTITUTE(SUBSTITUTE(SUBSTITUTE(SUBSTITUTE(SUBSTITUTE(SUBSTITUTE(SUBSTITUTE(SUBSTITUTE(SUBSTITUTE(SUBSTITUTE(SUBSTITUTE(SUBSTITUTE(SUBSTITUTE(SUBSTITUTE(LOWER(AC160&amp;""),CHAR(10),""),CHAR(13),""),CHAR(9),""),CHAR(160),"")," ",""),".",""),"-",""),"/",""),"?",""),"_",""),",",""),"[",""),"]",""),"(",""),")",""),"*","")</f>
        <v/>
      </c>
      <c r="BA160" s="61" t="str">
        <f aca="false">SUBSTITUTE(SUBSTITUTE(SUBSTITUTE(SUBSTITUTE(SUBSTITUTE(SUBSTITUTE(SUBSTITUTE(SUBSTITUTE(SUBSTITUTE(SUBSTITUTE(SUBSTITUTE(SUBSTITUTE(SUBSTITUTE(SUBSTITUTE(SUBSTITUTE(SUBSTITUTE(LOWER(AA160&amp;""),CHAR(10),""),CHAR(13),""),CHAR(9),""),CHAR(160),"")," ",""),".",""),"-",""),"/",""),"?",""),"_",""),",",""),"[",""),"]",""),"(",""),")",""),"*","")</f>
        <v/>
      </c>
      <c r="BB160" s="61" t="str">
        <f aca="false">IF(AND(TRIM(U160)="Pass",ISNUMBER(AF160)),IF(AF160&lt;&gt;0,"INVALID – qty variance: use Fail or Pass after CA",""),"")&amp;IF(AND(TRIM(U160)="Pass after CA",ISNUMBER(AF160)),IF(AF160&lt;&gt;0,"INVALID – after the corrective action the actual qty must equal expected (update Actual)",""),"")&amp;IF(AND(TRIM(U160)="Pass",TRIM(AB160)&lt;&gt;"",TRIM(AB160)&lt;&gt;"Closed"),"INVALID – corrective action not closed: use Fail, then Pass after CA","")&amp;IF(AND(LEN(BA160)&gt;=2,ISNA(MATCH(LEFT(BA160,255),L_Placeholder,0)),TRIM(AB160)=""),"INVALID – CA status missing for the recorded corrective action","")&amp;IF(AND(TRIM(U160)="Pass after CA",OR(OR(LEN(BA160)&lt;5,ISNUMBER(MATCH(BA160,L_Placeholder,0))),TRIM(AB160)&lt;&gt;"Closed")),"INVALID – corrective action not recorded/closed","")</f>
        <v/>
      </c>
      <c r="BC160" s="61" t="str">
        <f aca="false">" "&amp;TRIM(SUBSTITUTE(SUBSTITUTE(SUBSTITUTE(SUBSTITUTE(SUBSTITUTE(SUBSTITUTE(SUBSTITUTE(SUBSTITUTE(SUBSTITUTE(SUBSTITUTE(SUBSTITUTE(SUBSTITUTE(SUBSTITUTE(SUBSTITUTE(SUBSTITUTE(SUBSTITUTE(SUBSTITUTE(SUBSTITUTE(SUBSTITUTE(SUBSTITUTE(SUBSTITUTE(SUBSTITUTE(SUBSTITUTE(SUBSTITUTE(LOWER(V160&amp;""),CHAR(10)," "),CHAR(13)," "),CHAR(9)," "),CHAR(160)," "),"."," "),","," "),"-"," "),"/"," "),"("," "),")"," "),":"," "),";"," "),"_"," "),"–"," "),"?"," "),"!"," "),"*"," "),"["," "),"]"," "),"'"," "),"#"," "),"+"," "),"&amp;"," "),"\"," "))&amp;" "</f>
        <v>  </v>
      </c>
      <c r="BD160" s="61" t="str">
        <f aca="false">" "&amp;TRIM(SUBSTITUTE(SUBSTITUTE(SUBSTITUTE(SUBSTITUTE(SUBSTITUTE(SUBSTITUTE(SUBSTITUTE(SUBSTITUTE(SUBSTITUTE(SUBSTITUTE(SUBSTITUTE(SUBSTITUTE(SUBSTITUTE(SUBSTITUTE(SUBSTITUTE(SUBSTITUTE(SUBSTITUTE(SUBSTITUTE(SUBSTITUTE(SUBSTITUTE(SUBSTITUTE(SUBSTITUTE(SUBSTITUTE(SUBSTITUTE(LOWER(Z160&amp;""),CHAR(10)," "),CHAR(13)," "),CHAR(9)," "),CHAR(160)," "),"."," "),","," "),"-"," "),"/"," "),"("," "),")"," "),":"," "),";"," "),"_"," "),"–"," "),"?"," "),"!"," "),"*"," "),"["," "),"]"," "),"'"," "),"#"," "),"+"," "),"&amp;"," "),"\"," "))&amp;" "</f>
        <v>  </v>
      </c>
      <c r="BE160" s="61" t="str">
        <f aca="false">" "&amp;TRIM(SUBSTITUTE(SUBSTITUTE(SUBSTITUTE(SUBSTITUTE(SUBSTITUTE(SUBSTITUTE(SUBSTITUTE(SUBSTITUTE(SUBSTITUTE(SUBSTITUTE(SUBSTITUTE(SUBSTITUTE(SUBSTITUTE(SUBSTITUTE(SUBSTITUTE(SUBSTITUTE(SUBSTITUTE(SUBSTITUTE(SUBSTITUTE(SUBSTITUTE(SUBSTITUTE(SUBSTITUTE(SUBSTITUTE(SUBSTITUTE(LOWER(W160&amp;""),CHAR(10)," "),CHAR(13)," "),CHAR(9)," "),CHAR(160)," "),"."," "),","," "),"-"," "),"/"," "),"("," "),")"," "),":"," "),";"," "),"_"," "),"–"," "),"?"," "),"!"," "),"*"," "),"["," "),"]"," "),"'"," "),"#"," "),"+"," "),"&amp;"," "),"\"," "))&amp;" "</f>
        <v>  </v>
      </c>
      <c r="BF160" s="61" t="str">
        <f aca="false">" "&amp;TRIM(SUBSTITUTE(SUBSTITUTE(SUBSTITUTE(SUBSTITUTE(SUBSTITUTE(SUBSTITUTE(SUBSTITUTE(SUBSTITUTE(SUBSTITUTE(SUBSTITUTE(SUBSTITUTE(SUBSTITUTE(SUBSTITUTE(SUBSTITUTE(SUBSTITUTE(SUBSTITUTE(SUBSTITUTE(SUBSTITUTE(SUBSTITUTE(SUBSTITUTE(SUBSTITUTE(SUBSTITUTE(SUBSTITUTE(SUBSTITUTE(LOWER(AC160&amp;""),CHAR(10)," "),CHAR(13)," "),CHAR(9)," "),CHAR(160)," "),"."," "),","," "),"-"," "),"/"," "),"("," "),")"," "),":"," "),";"," "),"_"," "),"–"," "),"?"," "),"!"," "),"*"," "),"["," "),"]"," "),"'"," "),"#"," "),"+"," "),"&amp;"," "),"\"," "))&amp;" "</f>
        <v>  </v>
      </c>
      <c r="BG160" s="61" t="n">
        <f aca="false">IFERROR(IF(AND(TRIM(U160)="Pass",SUMPRODUCT((LEN(BC160)-LEN(SUBSTITUTE(BC160," "&amp;L_ResultBad&amp;" "," ")))/(LEN(L_ResultBad)+1))&gt;SUMPRODUCT((LEN(BC160)-LEN(SUBSTITUTE(BC160," "&amp;L_NegPhrase&amp;" "," ")))/(LEN(L_NegPhrase)+1))),1,0),0)</f>
        <v>0</v>
      </c>
      <c r="BH160" s="61" t="n">
        <f aca="false">IFERROR(IF(SUMPRODUCT((LEN(BC160)-LEN(SUBSTITUTE(BC160," "&amp;L_Pending&amp;" "," ")))/(LEN(L_Pending)+1))&gt;SUMPRODUCT((LEN(BC160)-LEN(SUBSTITUTE(BC160," "&amp;L_PendNeg&amp;" "," ")))/(LEN(L_PendNeg)+1)),1,0),1)</f>
        <v>0</v>
      </c>
      <c r="BI160" s="61" t="n">
        <f aca="false">IFERROR(IF(SUMPRODUCT((LEN(BD160)-LEN(SUBSTITUTE(BD160," "&amp;L_PendStrict&amp;" "," ")))/(LEN(L_PendStrict)+1))&gt;SUMPRODUCT((LEN(BD160)-LEN(SUBSTITUTE(BD160," "&amp;L_PendNeg&amp;" "," ")))/(LEN(L_PendNeg)+1)),1,0),1)</f>
        <v>0</v>
      </c>
      <c r="BJ160" s="61" t="n">
        <f aca="false">IFERROR(IF(SUMPRODUCT((LEN(BE160)-LEN(SUBSTITUTE(BE160," "&amp;L_Pending&amp;" "," ")))/(LEN(L_Pending)+1))&gt;SUMPRODUCT((LEN(BE160)-LEN(SUBSTITUTE(BE160," "&amp;L_PendNeg&amp;" "," ")))/(LEN(L_PendNeg)+1)),1,0),1)</f>
        <v>0</v>
      </c>
      <c r="BK160" s="61" t="n">
        <f aca="false">IFERROR(IF(SUMPRODUCT((LEN(BF160)-LEN(SUBSTITUTE(BF160," "&amp;L_PendStrict&amp;" "," ")))/(LEN(L_PendStrict)+1))&gt;SUMPRODUCT((LEN(BF160)-LEN(SUBSTITUTE(BF160," "&amp;L_PendNeg&amp;" "," ")))/(LEN(L_PendNeg)+1)),1,0),1)</f>
        <v>0</v>
      </c>
      <c r="BL160" s="61" t="n">
        <f aca="false">IF(ISNA(MATCH(TRIM(S160),L_EvidenceType,0)),0,BZ160)</f>
        <v>0</v>
      </c>
      <c r="BM160" s="61" t="str">
        <f aca="false">SUBSTITUTE(SUBSTITUTE(SUBSTITUTE(SUBSTITUTE(SUBSTITUTE(SUBSTITUTE(SUBSTITUTE(SUBSTITUTE(SUBSTITUTE(LOWER(Z160&amp;""),"1","0"),"2","0"),"3","0"),"4","0"),"5","0"),"6","0"),"7","0"),"8","0"),"9","0")</f>
        <v/>
      </c>
      <c r="BN160" s="61" t="str">
        <f aca="false">SUBSTITUTE(SUBSTITUTE(SUBSTITUTE(SUBSTITUTE(SUBSTITUTE(SUBSTITUTE(SUBSTITUTE(SUBSTITUTE(SUBSTITUTE(SUBSTITUTE(SUBSTITUTE(SUBSTITUTE(SUBSTITUTE(SUBSTITUTE(SUBSTITUTE(SUBSTITUTE(SUBSTITUTE(SUBSTITUTE(SUBSTITUTE(SUBSTITUTE(SUBSTITUTE(SUBSTITUTE(SUBSTITUTE(SUBSTITUTE(SUBSTITUTE(BM160,"b","a"),"c","a"),"d","a"),"e","a"),"f","a"),"g","a"),"h","a"),"i","a"),"j","a"),"k","a"),"l","a"),"m","a"),"n","a"),"o","a"),"p","a"),"q","a"),"r","a"),"s","a"),"t","a"),"u","a"),"v","a"),"w","a"),"x","a"),"y","a"),"z","a")</f>
        <v/>
      </c>
      <c r="BO160" s="61" t="str">
        <f aca="false">SUBSTITUTE(SUBSTITUTE(SUBSTITUTE(SUBSTITUTE(SUBSTITUTE(SUBSTITUTE(SUBSTITUTE(SUBSTITUTE(SUBSTITUTE(LOWER(W160&amp;""),"1","0"),"2","0"),"3","0"),"4","0"),"5","0"),"6","0"),"7","0"),"8","0"),"9","0")</f>
        <v/>
      </c>
      <c r="BP160" s="61" t="str">
        <f aca="false">SUBSTITUTE(SUBSTITUTE(SUBSTITUTE(SUBSTITUTE(SUBSTITUTE(SUBSTITUTE(SUBSTITUTE(SUBSTITUTE(SUBSTITUTE(SUBSTITUTE(SUBSTITUTE(SUBSTITUTE(SUBSTITUTE(SUBSTITUTE(SUBSTITUTE(SUBSTITUTE(SUBSTITUTE(SUBSTITUTE(SUBSTITUTE(SUBSTITUTE(SUBSTITUTE(SUBSTITUTE(SUBSTITUTE(SUBSTITUTE(SUBSTITUTE(BO160,"b","a"),"c","a"),"d","a"),"e","a"),"f","a"),"g","a"),"h","a"),"i","a"),"j","a"),"k","a"),"l","a"),"m","a"),"n","a"),"o","a"),"p","a"),"q","a"),"r","a"),"s","a"),"t","a"),"u","a"),"v","a"),"w","a"),"x","a"),"y","a"),"z","a")</f>
        <v/>
      </c>
      <c r="BQ160" s="61" t="n">
        <f aca="false">IFERROR(IF(AND(ISERROR(SEARCH(" mh"," "&amp;LOWER(W160))),ISNA(MATCH(LEFT(TRIM(BP160),255),{"0000a","000a","00a","0000aa","000aa","00aa","0aa","0000aaa","000aaa","00a00","0a00","0000-0000","00:00","a00","a0","00.00.0000","00/00/0000","00-00-0000","0000-00-00","0000/00/00","0000.00.00","00.00.00","00/00/00","00-00-00","0.00.0000","0/00/0000","0-00-0000"},0)),ISNA(MATCH(LEFT(TRIM(CA160),255),{"0000a","000a","00a","0000aa","000aa","00aa","0aa","0000aaa","000aaa","00a00","0a00","0000-0000","00:00","a00","a0","00.00.0000","00/00/0000","00-00-0000","0000-00-00","0000/00/00","0000.00.00","00.00.00","00/00/00","00-00-00","0.00.0000","0/00/0000","0-00-0000"},0)),LEN(CB160)&gt;=3,NOT(OR(SUBSTITUTE(CB160,"0","")="",AND(LEN(CB160)&gt;=4,CB160=REPT(LEFT(CB160),LEN(CB160))),ISNUMBER(MATCH(CB160,{"123","1234","12345","123456","1234567","12345678","0123","01234","012345","98765","987654","54321"},0)),AND(LEN(CB160)=8,LEFT(CB160,3)="202"))),OR(AND((LEN(CA160)-LEN(SUBSTITUTE(CA160,"a","")))&gt;=1,SUMPRODUCT(--ISNUMBER(SEARCH({"a0","a-0","a_0","a/0","a.0","a#0","0a","0-a","0_a","0/a"},BP160)))&gt;0),ISNUMBER(SEARCH("000000",BP160)))),1,0),0)</f>
        <v>0</v>
      </c>
      <c r="BR160" s="61" t="n">
        <f aca="false">IFERROR(LEN(SUBSTITUTE(CC160," ",""))-SUMPRODUCT((LEN(CC160)-LEN(SUBSTITUTE(CC160," "&amp;L_Role&amp;" "," ")))/(LEN(L_Role)+1)*LEN(L_Role)),0)</f>
        <v>0</v>
      </c>
      <c r="BS160" s="61" t="n">
        <f aca="false">IFERROR(LEN(SUBSTITUTE(CD160," ",""))-SUMPRODUCT((LEN(CD160)-LEN(SUBSTITUTE(CD160," "&amp;L_Role&amp;" "," ")))/(LEN(L_Role)+1)*LEN(L_Role)),0)</f>
        <v>0</v>
      </c>
      <c r="BT1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160,"revision",""),"version",""),"jan",""),"feb",""),"mar",""),"apr",""),"may",""),"jun",""),"jul",""),"aug",""),"sep",""),"oct",""),"nov",""),"dec",""),"utc",""),"gmt",""),"myt",""),"bst",""),"rev",""),"ver",""),"b","a"),"c","a"),"d","a"),"e","a"),"f","a"),"g","a"),"h","a"),"i","a"),"j","a"),"k","a"),"l","a"),"m","a"),"n","a"),"o","a"),"p","a"),"q","a"),"r","a"),"s","a"),"t","a"),"u","a"),"v","a"),"w","a"),"x","a"),"y","a"),"z","a")</f>
        <v/>
      </c>
      <c r="BU160" s="61" t="str">
        <f aca="false">SUBSTITUTE(SUBSTITUTE(SUBSTITUTE(SUBSTITUTE(SUBSTITUTE(SUBSTITUTE(SUBSTITUTE(SUBSTITUTE(SUBSTITUTE(SUBSTITUTE(LEFT(BM160,FIND("0",BM160&amp;"0")-1),"-",""),"_",""),"/",""),".",""),"#",""),"\\",""),":","")," ",""),"(",""),")","")</f>
        <v/>
      </c>
      <c r="BV160" s="61" t="n">
        <f aca="false">IFERROR(IF(OR(SUMPRODUCT((LEN(BC160)-LEN(SUBSTITUTE(BC160," "&amp;L_NotLoaded&amp;" "," ")))/(LEN(L_NotLoaded)+1))&gt;SUMPRODUCT((LEN(BC160)-LEN(SUBSTITUTE(BC160," "&amp;L_NotLoadedNeg&amp;" "," ")))/(LEN(L_NotLoadedNeg)+1)),SUMPRODUCT((LEN(BD160)-LEN(SUBSTITUTE(BD160," "&amp;L_NotLoaded&amp;" "," ")))/(LEN(L_NotLoaded)+1))&gt;SUMPRODUCT((LEN(BD160)-LEN(SUBSTITUTE(BD160," "&amp;L_NotLoadedNeg&amp;" "," ")))/(LEN(L_NotLoadedNeg)+1))),1,0),0)</f>
        <v>0</v>
      </c>
      <c r="BW1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160&amp;""),"a",""),"b",""),"c",""),"d",""),"e",""),"f",""),"g",""),"h",""),"i",""),"j",""),"k",""),"l",""),"m",""),"n",""),"o",""),"p",""),"q",""),"r",""),"s",""),"t",""),"u",""),"v",""),"w",""),"x",""),"y",""),"z",""),"-",""),"_",""),"/",""),".",""),"#",""),"\\",""),":","")," ",""),"(",""),")","")</f>
        <v/>
      </c>
      <c r="BX160" s="61" t="str">
        <f aca="false">SUBSTITUTE(SUBSTITUTE(SUBSTITUTE(SUBSTITUTE(SUBSTITUTE(SUBSTITUTE(SUBSTITUTE(SUBSTITUTE(SUBSTITUTE(SUBSTITUTE(SUBSTITUTE(BM160,"0",""),"-",""),"_",""),"/",""),".",""),"#",""),"\\",""),":","")," ",""),"(",""),")","")</f>
        <v/>
      </c>
      <c r="BY160" s="62" t="n">
        <f aca="false">IF(ISNUMBER(Flights!$AZ$9),MAX(Q160-UpliftWindowH/24,Flights!$AZ$9),Q160-UpliftWindowH/24)</f>
        <v>46310.0451388889</v>
      </c>
      <c r="BZ160" s="61" t="n">
        <f aca="false">IFERROR(IF(IF(TRIM(S160)="Link / file path",AND(LEN(TRIM(Z160))&gt;=5,SUMPRODUCT(--ISNUMBER(SEARCH({"http","www.","\\",":\",".pdf",".jpg",".jpeg",".png",".heic",".xls",".doc",".msg",".eml",".ppt",".txt",".zip"},Z160)))&gt;0),AND(ISERROR(FIND(" ",TRIM(Z160))),NOT(OR(SUMPRODUCT(--ISNUMBER(FIND({",",";","&amp;","+"},Z160)))&gt;0,SUMPRODUCT(--ISNUMBER(SEARCH({"0/aa","0\\aa"},BN160)))&gt;0)),NOT(SUMPRODUCT(--ISNUMBER(SEARCH({"http","www.","\\",":\",".pdf",".jpg",".jpeg",".png",".heic",".xls",".doc",".msg",".eml",".ppt",".txt",".zip"},Z160)))&gt;0),NOT(LOWER(TRIM(Z160))=LOWER(Flights!$F$9)),ISNA(MATCH(BU160,{"mh","rev","revision","ver","version","v","r","a","b","seat","tray","row","gate","bay","stand","page","pg","item","line","no","cart","galley","flight","flt","table","box","bag","oven","etd","eta","std","sta","atd","ata","qty","pax","x","time","tel","ph","mob","day","wk","week","utc","gmt","myt","lt"},0)),NOT(OR(ISNUMBER(MATCH(LEFT(BN160,255),{"0000a","000a","00a","0000aa","000aa","00aa","0aa","0000aaa","000aaa","00a00","0a00","0000-0000","00:00","a00","a0","00.00.0000","00/00/0000","00-00-0000","0000-00-00","0000/00/00","0000.00.00","00.00.00","00/00/00","00-00-00","0.00.0000","0/00/0000","0-00-0000"},0)),ISNUMBER(MATCH(LEFT(BT160,255),{"0000a","000a","00a","0000aa","000aa","00aa","0aa","0000aaa","000aaa","00a00","0a00","0000-0000","00:00","a00","a0","00.00.0000","00/00/0000","00-00-0000","0000-00-00","0000/00/00","0000.00.00","00.00.00","00/00/00","00-00-00","0.00.0000","0/00/0000","0-00-0000"},0)))),NOT(OR(AND(BW160&lt;&gt;"",SUBSTITUTE(BW160,"0","")=""),AND(LEN(BW160)&gt;=4,BW160=REPT(LEFT(BW160),LEN(BW160))),ISNUMBER(MATCH(BW160,{"123","1234","12345","123456","1234567","12345678","0123","01234","012345","98765","987654","54321"},0)),ISNUMBER(MATCH(BX160,{"x","xx","xxx","xxxx","xxxxx","abc","abcd","nil","na","nan","test","tbc","tba","tbd","dummy","sample","example","eg","zz","zzz","none","null","xyz","qwe","asd","id","ref"},0)),AND(LEN(BW160)=8,BX160="",OR(LEFT(BW160,3)="202",ISNUMBER(MATCH(RIGHT(BW160,4),{"2025","2026","2027"},0)))))),OR(AND((LEN(BT160)-LEN(SUBSTITUTE(BT160,"a","")))&gt;=1,(LEN(BN160)-LEN(SUBSTITUTE(BN160,"0","")))&gt;=2,SUMPRODUCT(--ISNUMBER(SEARCH({"a0","a-0","a_0","a/0","a.0","a#0","0a","0-a","0_a","0/a"},BN160)))&gt;0),AND((LEN(BN160)-LEN(SUBSTITUTE(BN160,"a","")))=0,(LEN(BN160)-LEN(SUBSTITUTE(BN160,"0","")))&gt;=5)))),1,0),0)</f>
        <v>0</v>
      </c>
      <c r="CA1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160,"revision",""),"version",""),"jan",""),"feb",""),"mar",""),"apr",""),"may",""),"jun",""),"jul",""),"aug",""),"sep",""),"oct",""),"nov",""),"dec",""),"utc",""),"gmt",""),"myt",""),"bst",""),"rev",""),"ver",""),"b","a"),"c","a"),"d","a"),"e","a"),"f","a"),"g","a"),"h","a"),"i","a"),"j","a"),"k","a"),"l","a"),"m","a"),"n","a"),"o","a"),"p","a"),"q","a"),"r","a"),"s","a"),"t","a"),"u","a"),"v","a"),"w","a"),"x","a"),"y","a"),"z","a")</f>
        <v/>
      </c>
      <c r="CB1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160&amp;""),"a",""),"b",""),"c",""),"d",""),"e",""),"f",""),"g",""),"h",""),"i",""),"j",""),"k",""),"l",""),"m",""),"n",""),"o",""),"p",""),"q",""),"r",""),"s",""),"t",""),"u",""),"v",""),"w",""),"x",""),"y",""),"z",""),"-",""),"_",""),"/",""),".",""),"#",""),"\\",""),":","")," ",""),"(",""),")","")</f>
        <v/>
      </c>
      <c r="CC160" s="0" t="str">
        <f aca="false">" "&amp;TRIM(SUBSTITUTE(SUBSTITUTE(SUBSTITUTE(SUBSTITUTE(SUBSTITUTE(SUBSTITUTE(SUBSTITUTE(SUBSTITUTE(SUBSTITUTE(SUBSTITUTE(SUBSTITUTE(SUBSTITUTE(SUBSTITUTE(SUBSTITUTE(SUBSTITUTE(SUBSTITUTE(SUBSTITUTE(SUBSTITUTE(SUBSTITUTE(SUBSTITUTE(SUBSTITUTE(SUBSTITUTE(SUBSTITUTE(SUBSTITUTE(LOWER(T160&amp;""),CHAR(10)," "),CHAR(13)," "),CHAR(9)," "),CHAR(160)," "),"."," "),","," "),"-"," "),"/"," "),"("," "),")"," "),":"," "),";"," "),"_"," "),"–"," "),"?"," "),"!"," "),"*"," "),"["," "),"]"," "),"'"," "),"#"," "),"+"," "),"&amp;"," "),"\"," "))&amp;" "</f>
        <v>  </v>
      </c>
      <c r="CD160" s="0" t="str">
        <f aca="false">" "&amp;TRIM(SUBSTITUTE(SUBSTITUTE(SUBSTITUTE(SUBSTITUTE(SUBSTITUTE(SUBSTITUTE(SUBSTITUTE(SUBSTITUTE(SUBSTITUTE(SUBSTITUTE(SUBSTITUTE(SUBSTITUTE(SUBSTITUTE(SUBSTITUTE(SUBSTITUTE(SUBSTITUTE(SUBSTITUTE(SUBSTITUTE(SUBSTITUTE(SUBSTITUTE(SUBSTITUTE(SUBSTITUTE(SUBSTITUTE(SUBSTITUTE(LOWER(AE160&amp;""),CHAR(10)," "),CHAR(13)," "),CHAR(9)," "),CHAR(160)," "),"."," "),","," "),"-"," "),"/"," "),"("," "),")"," "),":"," "),";"," "),"_"," "),"–"," "),"?"," "),"!"," "),"*"," "),"["," "),"]"," "),"'"," "),"#"," "),"+"," "),"&amp;"," "),"\"," "))&amp;" "</f>
        <v>  </v>
      </c>
      <c r="CE160" s="68" t="n">
        <f aca="false">IFERROR(IF(AND(LEN(AU160)&gt;0,LEN(AU160)=LEN(AX160),OR(TRIM(MID(SUBSTITUTE(TRIM(CC160)," ",REPT(" ",60)),1,60))="",ISNUMBER(SEARCH(" "&amp;TRIM(MID(SUBSTITUTE(TRIM(CC160)," ",REPT(" ",60)),1,60))&amp;" ",CD160))),OR(TRIM(MID(SUBSTITUTE(TRIM(CC160)," ",REPT(" ",60)),61,60))="",ISNUMBER(SEARCH(" "&amp;TRIM(MID(SUBSTITUTE(TRIM(CC160)," ",REPT(" ",60)),61,60))&amp;" ",CD160))),OR(TRIM(MID(SUBSTITUTE(TRIM(CC160)," ",REPT(" ",60)),121,60))="",ISNUMBER(SEARCH(" "&amp;TRIM(MID(SUBSTITUTE(TRIM(CC160)," ",REPT(" ",60)),121,60))&amp;" ",CD160)))),1,0),0)</f>
        <v>0</v>
      </c>
      <c r="CG160" s="68" t="n">
        <f aca="false">IFERROR(LEN(SUBSTITUTE(BF160," ",""))-SUMPRODUCT((LEN(BF160)-LEN(SUBSTITUTE(BF160," "&amp;L_NAFiller&amp;" "," ")))/(LEN(L_NAFiller)+1)*LEN(L_NAFiller)),0)</f>
        <v>0</v>
      </c>
    </row>
    <row r="161" customFormat="false" ht="41.25" hidden="false" customHeight="true" outlineLevel="0" collapsed="false">
      <c r="A161" s="57" t="s">
        <v>696</v>
      </c>
      <c r="B161" s="57" t="s">
        <v>228</v>
      </c>
      <c r="C161" s="57" t="str">
        <f aca="false">Flights!$F$9</f>
        <v>MH0089</v>
      </c>
      <c r="D161" s="58" t="n">
        <f aca="false">Flights!$D$9</f>
        <v>46310</v>
      </c>
      <c r="E161" s="57" t="str">
        <f aca="false">Flights!$G$9&amp;"-"&amp;Flights!$H$9</f>
        <v>NRT-KUL</v>
      </c>
      <c r="F161" s="57" t="str">
        <f aca="false">Flights!$K$9</f>
        <v>EY</v>
      </c>
      <c r="G161" s="57" t="s">
        <v>459</v>
      </c>
      <c r="H161" s="57" t="s">
        <v>460</v>
      </c>
      <c r="I161" s="57" t="s">
        <v>411</v>
      </c>
      <c r="J161" s="57" t="s">
        <v>697</v>
      </c>
      <c r="K161" s="67" t="s">
        <v>698</v>
      </c>
      <c r="L161" s="67" t="s">
        <v>699</v>
      </c>
      <c r="M161" s="67"/>
      <c r="N161" s="67" t="s">
        <v>383</v>
      </c>
      <c r="O161" s="67" t="s">
        <v>700</v>
      </c>
      <c r="P161" s="57" t="s">
        <v>187</v>
      </c>
      <c r="Q161" s="59" t="n">
        <f aca="false">ROUND((Flights!$AY$9+UpliftWindowH/24)*1440,0)/1440</f>
        <v>46309.7465277778</v>
      </c>
      <c r="R161" s="59" t="n">
        <f aca="false">Q161+(IF(AND(INDEX(TZ_DSTS,MATCH(P161,TZ_STN,0))&lt;&gt;"",Q161&gt;=INDEX(TZ_DSTS,MATCH(P161,TZ_STN,0)),Q161&lt;INDEX(TZ_DSTE,MATCH(P161,TZ_STN,0))),INDEX(TZ_DST,MATCH(P161,TZ_STN,0)),INDEX(TZ_STD,MATCH(P161,TZ_STN,0))))/24</f>
        <v>46310.0798611111</v>
      </c>
      <c r="S161" s="60"/>
      <c r="T161" s="60"/>
      <c r="U161" s="60"/>
      <c r="V161" s="60"/>
      <c r="W161" s="61"/>
      <c r="X161" s="60"/>
      <c r="Y161" s="60"/>
      <c r="Z161" s="60"/>
      <c r="AA161" s="60"/>
      <c r="AB161" s="60"/>
      <c r="AC161" s="60"/>
      <c r="AD161" s="66"/>
      <c r="AE161" s="60"/>
      <c r="AF161" s="61" t="str">
        <f aca="false">IF(AND(ISNUMBER(X161),ISNUMBER(Y161)),Y161-X161,"")</f>
        <v/>
      </c>
      <c r="AG161" s="62" t="str">
        <f aca="false">IF(ISNUMBER(AD161),AD161-(IF(AND(INDEX(TZ_DSTS,MATCH(P161,TZ_STN,0))&lt;&gt;"",(AD161-INDEX(TZ_STD,MATCH(P161,TZ_STN,0))/24)&gt;=INDEX(TZ_DSTS,MATCH(P161,TZ_STN,0)),(AD161-INDEX(TZ_STD,MATCH(P161,TZ_STN,0))/24)&lt;INDEX(TZ_DSTE,MATCH(P161,TZ_STN,0))),INDEX(TZ_DST,MATCH(P161,TZ_STN,0)),INDEX(TZ_STD,MATCH(P161,TZ_STN,0))))/24,"")</f>
        <v/>
      </c>
      <c r="AH161" s="65" t="str">
        <f aca="false">IFERROR(IF(N161="N/A – rule",IF(OR(TRIM(U161)="",TRIM(U161)="N/A",TRIM(U161)="Not started"),"N/A – RULE","INVALID – this check does not apply to this aircraft: clear the status (or correct the fleet on Flights)"),IF(TRIM(U161)="N/A",IF(AT161=0,"INVALID – N/A not permitted for this check",IF(AND(TRIM(AB161)&lt;&gt;"",TRIM(AB161)&lt;&gt;"Closed"),"INVALID – corrective action still open",IF(AND(NOT(OR(LEN(AZ161)&lt;15,ISNUMBER(MATCH(AZ161,L_Placeholder,0)))),BK161=0,CG161&gt;=8,NOT(OR(LEN(AU161)&lt;2,ISNUMBER(MATCH(AU161,L_Placeholder,0)))),BR161&gt;=3,NOT(OR(LEN(AX161)&lt;2,ISNUMBER(MATCH(AX161,L_Placeholder,0)))),BS161&gt;=3,TRIM(AE161)&lt;&gt;TRIM(T161),AX161&lt;&gt;AU161,CE161=0),"N/A – JUSTIFIED","INVALID – N/A needs a real, settled reason (not 'not applicable' / 'as above' / TBC), a named PIC and a different named verifier"))),IF(OR(TRIM(U161)="Pass",TRIM(U161)="Pass after CA"),IF(NOT(ISNUMBER(AD161)),"INVALID – completion time missing",IF(OR(OR(LEN(AU161)&lt;2,ISNUMBER(MATCH(AU161,L_Placeholder,0))),BR161&lt;3),"INVALID – PIC missing or not a named person (a role such as QA / CSM is not a name)",IF(OR(LEN(AV161)&lt;2,ISNUMBER(MATCH(AV161,L_Placeholder,0))),"INVALID – result / assessment missing",IF(OR(OR(LEN(AW161)&lt;3,ISNUMBER(MATCH(AW161,L_Placeholder,0))),SUMPRODUCT(--ISNUMBER(SEARCH(" "&amp;L_EvidencePhrase&amp;" ",BD161)))&gt;0,BI161=1),"INVALID – evidence missing, placeholder or not yet on file",IF(ISNA(MATCH(TRIM(S161),L_EvidenceType,0)),"INVALID – choose the evidence type from the list (column S)",IF(BL161=0,"INVALID – evidence ID must be the record's own ID only (e.g. SF-2210, IMG_2231, 1045521); a link / file name needs type 'Link / file path'",IF(OR(OR(LEN(AX161)&lt;2,ISNUMBER(MATCH(AX161,L_Placeholder,0))),BS161&lt;3),"INVALID – verifier missing or not a named person (a role such as QA / CSM is not a name)",IF(OR(AX161=AU161,CE161=1,AND(LEN(AU161)&gt;=4,ISNUMBER(SEARCH(AU161,AX161))),AND(LEN(AX161)&gt;=4,ISNUMBER(SEARCH(AX161,AU161)))),"INVALID – verifier must be a different, named person (not the PIC or a role)",IF(BH161=1,"INVALID – result not yet available (awaiting / TBC)",IF(BG161=1,"INVALID – result describes a problem: record Fail, then Pass after CA (or reword if it is not a problem)",IF(BV161=1,"INVALID – wording says not on board: an on-board confirmation needs the item loaded",IF(AND(AQ161=1,OR(OR(LEN(AY161)&lt;3,ISNUMBER(MATCH(AY161,L_Placeholder,0))),BJ161=1,BQ161=0)),"INVALID – batch ID missing, placeholder or not an ID (e.g. PASB-261008-BC-017)",IF(AND(AR161=1,OR(NOT(ISNUMBER(X161)),NOT(ISNUMBER(Y161)))),"INVALID – expected/actual qty missing",IF(AND(AR161=1,OR(X161&lt;=0,Y161&lt;0)),"INVALID – expected qty must be above 0 and actual not negative",IF(BB161&lt;&gt;"",BB161,IF(AND(AS161=1,Documents!$J$9&lt;&gt;"ON FILE"),"INVALID – GLD not on file (Documents sheet)",IF(AND(AS161=2,Documents!$O$9&lt;&gt;"ON FILE"),"INVALID – menu checklist not on file (Documents sheet)",IF(AND(AS161=3,NOT(ISNUMBER(Flights!$AX$9))),"INVALID – enter carrying flight KUL departure (Flights AX)",IF(AND(AS161=3,OR(Flights!$AZ$9&gt;Flights!$AA$9,Flights!$AX$9&lt;Flights!$AA$9-3)),"INVALID – carrying flight (Flights AX) cannot arrive before this leg's STD, or is over 3 days early",IF(AG161&gt;AsOfUTC,"INVALID – completion time is in the future",IF(AND(ISNUMBER(BY161),AG161&lt;BY161),IF(H161="Physical uplift","INVALID – before uplift window (cannot confirm loading)","INVALID – before valid window"),IF(AG161&gt;Flights!$AA$9,"INVALID – completed after departure (cannot establish readiness)",IF(AND(H161="Preparation",AG161&gt;=Flights!$AY$9+UpliftWindowH/24),"INVALID – completed after the carrying flight left KUL",IF(AND(H161="Physical uplift",AG161&gt;Q161),"INVALID – recorded after the loading flight departed",IF(AG161&gt;Q161,"COMPLETE – LATE","COMPLETE"))))))))))))))))))))))))),IF(TRIM(U161)="Fail","FAIL – DISCREPANCY",IF(AND(TRIM(U161)&lt;&gt;"",TRIM(U161)&lt;&gt;"Not started",TRIM(U161)&lt;&gt;"In progress"),"INVALID – unrecognised status (use the list)",IF(AsOfUTC&gt;Q161,"OVERDUE",IF(N161="Clarification required","OPEN – CLARIFICATION","OPEN"))))))),"INVALID – error value in an input cell")</f>
        <v>OPEN</v>
      </c>
      <c r="AI161" s="61" t="n">
        <f aca="false">IF(OR(AH161="N/A – RULE",AH161="N/A – JUSTIFIED"),0,1)</f>
        <v>1</v>
      </c>
      <c r="AJ161" s="61" t="n">
        <f aca="false">IF(LEFT(AH161,8)="COMPLETE",1,0)</f>
        <v>0</v>
      </c>
      <c r="AK161" s="61" t="n">
        <f aca="false">IF(AND(AI161=1,AJ161=0,AsOfUTC&gt;Q161),1,0)</f>
        <v>0</v>
      </c>
      <c r="AL161" s="61" t="n">
        <f aca="false">IFERROR(IF(AND(AI161=1,OR(TRIM(U161)="Fail",AND(TRIM(AB161)&lt;&gt;"",TRIM(AB161)&lt;&gt;"Closed"),AND(ISNUMBER(AF161),AF161&lt;&gt;0,TRIM(U161)&lt;&gt;"Pass after CA"))),1,0),1)</f>
        <v>0</v>
      </c>
      <c r="AM161" s="61" t="n">
        <f aca="false">IF(LEFT(AH161,7)="INVALID",1,0)</f>
        <v>0</v>
      </c>
      <c r="AN161" s="61" t="n">
        <f aca="false">IF(AND(N161="Clarification required",AI161=1,AJ161=0),1,0)</f>
        <v>0</v>
      </c>
      <c r="AO161" s="61" t="str">
        <f aca="false">IF(AK161=1,SUM(AK$5:AK161),"")</f>
        <v/>
      </c>
      <c r="AP161" s="61" t="str">
        <f aca="false">IF(AL161=1,SUM(AL$5:AL161),"")</f>
        <v/>
      </c>
      <c r="AQ161" s="61" t="n">
        <v>0</v>
      </c>
      <c r="AR161" s="61" t="n">
        <v>0</v>
      </c>
      <c r="AS161" s="61" t="n">
        <v>0</v>
      </c>
      <c r="AT161" s="61" t="n">
        <v>0</v>
      </c>
      <c r="AU161" s="61" t="str">
        <f aca="false">SUBSTITUTE(SUBSTITUTE(SUBSTITUTE(SUBSTITUTE(SUBSTITUTE(SUBSTITUTE(SUBSTITUTE(SUBSTITUTE(SUBSTITUTE(SUBSTITUTE(SUBSTITUTE(SUBSTITUTE(SUBSTITUTE(SUBSTITUTE(SUBSTITUTE(SUBSTITUTE(LOWER(T161&amp;""),CHAR(10),""),CHAR(13),""),CHAR(9),""),CHAR(160),"")," ",""),".",""),"-",""),"/",""),"?",""),"_",""),",",""),"[",""),"]",""),"(",""),")",""),"*","")</f>
        <v/>
      </c>
      <c r="AV161" s="61" t="str">
        <f aca="false">SUBSTITUTE(SUBSTITUTE(SUBSTITUTE(SUBSTITUTE(SUBSTITUTE(SUBSTITUTE(SUBSTITUTE(SUBSTITUTE(SUBSTITUTE(SUBSTITUTE(SUBSTITUTE(SUBSTITUTE(SUBSTITUTE(SUBSTITUTE(SUBSTITUTE(SUBSTITUTE(LOWER(V161&amp;""),CHAR(10),""),CHAR(13),""),CHAR(9),""),CHAR(160),"")," ",""),".",""),"-",""),"/",""),"?",""),"_",""),",",""),"[",""),"]",""),"(",""),")",""),"*","")</f>
        <v/>
      </c>
      <c r="AW161" s="61" t="str">
        <f aca="false">SUBSTITUTE(SUBSTITUTE(SUBSTITUTE(SUBSTITUTE(SUBSTITUTE(SUBSTITUTE(SUBSTITUTE(SUBSTITUTE(SUBSTITUTE(SUBSTITUTE(SUBSTITUTE(SUBSTITUTE(SUBSTITUTE(SUBSTITUTE(SUBSTITUTE(SUBSTITUTE(LOWER(Z161&amp;""),CHAR(10),""),CHAR(13),""),CHAR(9),""),CHAR(160),"")," ",""),".",""),"-",""),"/",""),"?",""),"_",""),",",""),"[",""),"]",""),"(",""),")",""),"*","")</f>
        <v/>
      </c>
      <c r="AX161" s="61" t="str">
        <f aca="false">SUBSTITUTE(SUBSTITUTE(SUBSTITUTE(SUBSTITUTE(SUBSTITUTE(SUBSTITUTE(SUBSTITUTE(SUBSTITUTE(SUBSTITUTE(SUBSTITUTE(SUBSTITUTE(SUBSTITUTE(SUBSTITUTE(SUBSTITUTE(SUBSTITUTE(SUBSTITUTE(LOWER(AE161&amp;""),CHAR(10),""),CHAR(13),""),CHAR(9),""),CHAR(160),"")," ",""),".",""),"-",""),"/",""),"?",""),"_",""),",",""),"[",""),"]",""),"(",""),")",""),"*","")</f>
        <v/>
      </c>
      <c r="AY161" s="61" t="str">
        <f aca="false">SUBSTITUTE(SUBSTITUTE(SUBSTITUTE(SUBSTITUTE(SUBSTITUTE(SUBSTITUTE(SUBSTITUTE(SUBSTITUTE(SUBSTITUTE(SUBSTITUTE(SUBSTITUTE(SUBSTITUTE(SUBSTITUTE(SUBSTITUTE(SUBSTITUTE(SUBSTITUTE(LOWER(W161&amp;""),CHAR(10),""),CHAR(13),""),CHAR(9),""),CHAR(160),"")," ",""),".",""),"-",""),"/",""),"?",""),"_",""),",",""),"[",""),"]",""),"(",""),")",""),"*","")</f>
        <v/>
      </c>
      <c r="AZ161" s="61" t="str">
        <f aca="false">SUBSTITUTE(SUBSTITUTE(SUBSTITUTE(SUBSTITUTE(SUBSTITUTE(SUBSTITUTE(SUBSTITUTE(SUBSTITUTE(SUBSTITUTE(SUBSTITUTE(SUBSTITUTE(SUBSTITUTE(SUBSTITUTE(SUBSTITUTE(SUBSTITUTE(SUBSTITUTE(LOWER(AC161&amp;""),CHAR(10),""),CHAR(13),""),CHAR(9),""),CHAR(160),"")," ",""),".",""),"-",""),"/",""),"?",""),"_",""),",",""),"[",""),"]",""),"(",""),")",""),"*","")</f>
        <v/>
      </c>
      <c r="BA161" s="61" t="str">
        <f aca="false">SUBSTITUTE(SUBSTITUTE(SUBSTITUTE(SUBSTITUTE(SUBSTITUTE(SUBSTITUTE(SUBSTITUTE(SUBSTITUTE(SUBSTITUTE(SUBSTITUTE(SUBSTITUTE(SUBSTITUTE(SUBSTITUTE(SUBSTITUTE(SUBSTITUTE(SUBSTITUTE(LOWER(AA161&amp;""),CHAR(10),""),CHAR(13),""),CHAR(9),""),CHAR(160),"")," ",""),".",""),"-",""),"/",""),"?",""),"_",""),",",""),"[",""),"]",""),"(",""),")",""),"*","")</f>
        <v/>
      </c>
      <c r="BB161" s="61" t="str">
        <f aca="false">IF(AND(TRIM(U161)="Pass",ISNUMBER(AF161)),IF(AF161&lt;&gt;0,"INVALID – qty variance: use Fail or Pass after CA",""),"")&amp;IF(AND(TRIM(U161)="Pass after CA",ISNUMBER(AF161)),IF(AF161&lt;&gt;0,"INVALID – after the corrective action the actual qty must equal expected (update Actual)",""),"")&amp;IF(AND(TRIM(U161)="Pass",TRIM(AB161)&lt;&gt;"",TRIM(AB161)&lt;&gt;"Closed"),"INVALID – corrective action not closed: use Fail, then Pass after CA","")&amp;IF(AND(LEN(BA161)&gt;=2,ISNA(MATCH(LEFT(BA161,255),L_Placeholder,0)),TRIM(AB161)=""),"INVALID – CA status missing for the recorded corrective action","")&amp;IF(AND(TRIM(U161)="Pass after CA",OR(OR(LEN(BA161)&lt;5,ISNUMBER(MATCH(BA161,L_Placeholder,0))),TRIM(AB161)&lt;&gt;"Closed")),"INVALID – corrective action not recorded/closed","")</f>
        <v/>
      </c>
      <c r="BC161" s="61" t="str">
        <f aca="false">" "&amp;TRIM(SUBSTITUTE(SUBSTITUTE(SUBSTITUTE(SUBSTITUTE(SUBSTITUTE(SUBSTITUTE(SUBSTITUTE(SUBSTITUTE(SUBSTITUTE(SUBSTITUTE(SUBSTITUTE(SUBSTITUTE(SUBSTITUTE(SUBSTITUTE(SUBSTITUTE(SUBSTITUTE(SUBSTITUTE(SUBSTITUTE(SUBSTITUTE(SUBSTITUTE(SUBSTITUTE(SUBSTITUTE(SUBSTITUTE(SUBSTITUTE(LOWER(V161&amp;""),CHAR(10)," "),CHAR(13)," "),CHAR(9)," "),CHAR(160)," "),"."," "),","," "),"-"," "),"/"," "),"("," "),")"," "),":"," "),";"," "),"_"," "),"–"," "),"?"," "),"!"," "),"*"," "),"["," "),"]"," "),"'"," "),"#"," "),"+"," "),"&amp;"," "),"\"," "))&amp;" "</f>
        <v>  </v>
      </c>
      <c r="BD161" s="61" t="str">
        <f aca="false">" "&amp;TRIM(SUBSTITUTE(SUBSTITUTE(SUBSTITUTE(SUBSTITUTE(SUBSTITUTE(SUBSTITUTE(SUBSTITUTE(SUBSTITUTE(SUBSTITUTE(SUBSTITUTE(SUBSTITUTE(SUBSTITUTE(SUBSTITUTE(SUBSTITUTE(SUBSTITUTE(SUBSTITUTE(SUBSTITUTE(SUBSTITUTE(SUBSTITUTE(SUBSTITUTE(SUBSTITUTE(SUBSTITUTE(SUBSTITUTE(SUBSTITUTE(LOWER(Z161&amp;""),CHAR(10)," "),CHAR(13)," "),CHAR(9)," "),CHAR(160)," "),"."," "),","," "),"-"," "),"/"," "),"("," "),")"," "),":"," "),";"," "),"_"," "),"–"," "),"?"," "),"!"," "),"*"," "),"["," "),"]"," "),"'"," "),"#"," "),"+"," "),"&amp;"," "),"\"," "))&amp;" "</f>
        <v>  </v>
      </c>
      <c r="BE161" s="61" t="str">
        <f aca="false">" "&amp;TRIM(SUBSTITUTE(SUBSTITUTE(SUBSTITUTE(SUBSTITUTE(SUBSTITUTE(SUBSTITUTE(SUBSTITUTE(SUBSTITUTE(SUBSTITUTE(SUBSTITUTE(SUBSTITUTE(SUBSTITUTE(SUBSTITUTE(SUBSTITUTE(SUBSTITUTE(SUBSTITUTE(SUBSTITUTE(SUBSTITUTE(SUBSTITUTE(SUBSTITUTE(SUBSTITUTE(SUBSTITUTE(SUBSTITUTE(SUBSTITUTE(LOWER(W161&amp;""),CHAR(10)," "),CHAR(13)," "),CHAR(9)," "),CHAR(160)," "),"."," "),","," "),"-"," "),"/"," "),"("," "),")"," "),":"," "),";"," "),"_"," "),"–"," "),"?"," "),"!"," "),"*"," "),"["," "),"]"," "),"'"," "),"#"," "),"+"," "),"&amp;"," "),"\"," "))&amp;" "</f>
        <v>  </v>
      </c>
      <c r="BF161" s="61" t="str">
        <f aca="false">" "&amp;TRIM(SUBSTITUTE(SUBSTITUTE(SUBSTITUTE(SUBSTITUTE(SUBSTITUTE(SUBSTITUTE(SUBSTITUTE(SUBSTITUTE(SUBSTITUTE(SUBSTITUTE(SUBSTITUTE(SUBSTITUTE(SUBSTITUTE(SUBSTITUTE(SUBSTITUTE(SUBSTITUTE(SUBSTITUTE(SUBSTITUTE(SUBSTITUTE(SUBSTITUTE(SUBSTITUTE(SUBSTITUTE(SUBSTITUTE(SUBSTITUTE(LOWER(AC161&amp;""),CHAR(10)," "),CHAR(13)," "),CHAR(9)," "),CHAR(160)," "),"."," "),","," "),"-"," "),"/"," "),"("," "),")"," "),":"," "),";"," "),"_"," "),"–"," "),"?"," "),"!"," "),"*"," "),"["," "),"]"," "),"'"," "),"#"," "),"+"," "),"&amp;"," "),"\"," "))&amp;" "</f>
        <v>  </v>
      </c>
      <c r="BG161" s="61" t="n">
        <f aca="false">IFERROR(IF(AND(TRIM(U161)="Pass",SUMPRODUCT((LEN(BC161)-LEN(SUBSTITUTE(BC161," "&amp;L_ResultBad&amp;" "," ")))/(LEN(L_ResultBad)+1))&gt;SUMPRODUCT((LEN(BC161)-LEN(SUBSTITUTE(BC161," "&amp;L_NegPhrase&amp;" "," ")))/(LEN(L_NegPhrase)+1))),1,0),0)</f>
        <v>0</v>
      </c>
      <c r="BH161" s="61" t="n">
        <f aca="false">IFERROR(IF(SUMPRODUCT((LEN(BC161)-LEN(SUBSTITUTE(BC161," "&amp;L_Pending&amp;" "," ")))/(LEN(L_Pending)+1))&gt;SUMPRODUCT((LEN(BC161)-LEN(SUBSTITUTE(BC161," "&amp;L_PendNeg&amp;" "," ")))/(LEN(L_PendNeg)+1)),1,0),1)</f>
        <v>0</v>
      </c>
      <c r="BI161" s="61" t="n">
        <f aca="false">IFERROR(IF(SUMPRODUCT((LEN(BD161)-LEN(SUBSTITUTE(BD161," "&amp;L_PendStrict&amp;" "," ")))/(LEN(L_PendStrict)+1))&gt;SUMPRODUCT((LEN(BD161)-LEN(SUBSTITUTE(BD161," "&amp;L_PendNeg&amp;" "," ")))/(LEN(L_PendNeg)+1)),1,0),1)</f>
        <v>0</v>
      </c>
      <c r="BJ161" s="61" t="n">
        <f aca="false">IFERROR(IF(SUMPRODUCT((LEN(BE161)-LEN(SUBSTITUTE(BE161," "&amp;L_Pending&amp;" "," ")))/(LEN(L_Pending)+1))&gt;SUMPRODUCT((LEN(BE161)-LEN(SUBSTITUTE(BE161," "&amp;L_PendNeg&amp;" "," ")))/(LEN(L_PendNeg)+1)),1,0),1)</f>
        <v>0</v>
      </c>
      <c r="BK161" s="61" t="n">
        <f aca="false">IFERROR(IF(SUMPRODUCT((LEN(BF161)-LEN(SUBSTITUTE(BF161," "&amp;L_PendStrict&amp;" "," ")))/(LEN(L_PendStrict)+1))&gt;SUMPRODUCT((LEN(BF161)-LEN(SUBSTITUTE(BF161," "&amp;L_PendNeg&amp;" "," ")))/(LEN(L_PendNeg)+1)),1,0),1)</f>
        <v>0</v>
      </c>
      <c r="BL161" s="61" t="n">
        <f aca="false">IF(ISNA(MATCH(TRIM(S161),L_EvidenceType,0)),0,BZ161)</f>
        <v>0</v>
      </c>
      <c r="BM161" s="61" t="str">
        <f aca="false">SUBSTITUTE(SUBSTITUTE(SUBSTITUTE(SUBSTITUTE(SUBSTITUTE(SUBSTITUTE(SUBSTITUTE(SUBSTITUTE(SUBSTITUTE(LOWER(Z161&amp;""),"1","0"),"2","0"),"3","0"),"4","0"),"5","0"),"6","0"),"7","0"),"8","0"),"9","0")</f>
        <v/>
      </c>
      <c r="BN161" s="61" t="str">
        <f aca="false">SUBSTITUTE(SUBSTITUTE(SUBSTITUTE(SUBSTITUTE(SUBSTITUTE(SUBSTITUTE(SUBSTITUTE(SUBSTITUTE(SUBSTITUTE(SUBSTITUTE(SUBSTITUTE(SUBSTITUTE(SUBSTITUTE(SUBSTITUTE(SUBSTITUTE(SUBSTITUTE(SUBSTITUTE(SUBSTITUTE(SUBSTITUTE(SUBSTITUTE(SUBSTITUTE(SUBSTITUTE(SUBSTITUTE(SUBSTITUTE(SUBSTITUTE(BM161,"b","a"),"c","a"),"d","a"),"e","a"),"f","a"),"g","a"),"h","a"),"i","a"),"j","a"),"k","a"),"l","a"),"m","a"),"n","a"),"o","a"),"p","a"),"q","a"),"r","a"),"s","a"),"t","a"),"u","a"),"v","a"),"w","a"),"x","a"),"y","a"),"z","a")</f>
        <v/>
      </c>
      <c r="BO161" s="61" t="str">
        <f aca="false">SUBSTITUTE(SUBSTITUTE(SUBSTITUTE(SUBSTITUTE(SUBSTITUTE(SUBSTITUTE(SUBSTITUTE(SUBSTITUTE(SUBSTITUTE(LOWER(W161&amp;""),"1","0"),"2","0"),"3","0"),"4","0"),"5","0"),"6","0"),"7","0"),"8","0"),"9","0")</f>
        <v/>
      </c>
      <c r="BP161" s="61" t="str">
        <f aca="false">SUBSTITUTE(SUBSTITUTE(SUBSTITUTE(SUBSTITUTE(SUBSTITUTE(SUBSTITUTE(SUBSTITUTE(SUBSTITUTE(SUBSTITUTE(SUBSTITUTE(SUBSTITUTE(SUBSTITUTE(SUBSTITUTE(SUBSTITUTE(SUBSTITUTE(SUBSTITUTE(SUBSTITUTE(SUBSTITUTE(SUBSTITUTE(SUBSTITUTE(SUBSTITUTE(SUBSTITUTE(SUBSTITUTE(SUBSTITUTE(SUBSTITUTE(BO161,"b","a"),"c","a"),"d","a"),"e","a"),"f","a"),"g","a"),"h","a"),"i","a"),"j","a"),"k","a"),"l","a"),"m","a"),"n","a"),"o","a"),"p","a"),"q","a"),"r","a"),"s","a"),"t","a"),"u","a"),"v","a"),"w","a"),"x","a"),"y","a"),"z","a")</f>
        <v/>
      </c>
      <c r="BQ161" s="61" t="n">
        <f aca="false">IFERROR(IF(AND(ISERROR(SEARCH(" mh"," "&amp;LOWER(W161))),ISNA(MATCH(LEFT(TRIM(BP161),255),{"0000a","000a","00a","0000aa","000aa","00aa","0aa","0000aaa","000aaa","00a00","0a00","0000-0000","00:00","a00","a0","00.00.0000","00/00/0000","00-00-0000","0000-00-00","0000/00/00","0000.00.00","00.00.00","00/00/00","00-00-00","0.00.0000","0/00/0000","0-00-0000"},0)),ISNA(MATCH(LEFT(TRIM(CA161),255),{"0000a","000a","00a","0000aa","000aa","00aa","0aa","0000aaa","000aaa","00a00","0a00","0000-0000","00:00","a00","a0","00.00.0000","00/00/0000","00-00-0000","0000-00-00","0000/00/00","0000.00.00","00.00.00","00/00/00","00-00-00","0.00.0000","0/00/0000","0-00-0000"},0)),LEN(CB161)&gt;=3,NOT(OR(SUBSTITUTE(CB161,"0","")="",AND(LEN(CB161)&gt;=4,CB161=REPT(LEFT(CB161),LEN(CB161))),ISNUMBER(MATCH(CB161,{"123","1234","12345","123456","1234567","12345678","0123","01234","012345","98765","987654","54321"},0)),AND(LEN(CB161)=8,LEFT(CB161,3)="202"))),OR(AND((LEN(CA161)-LEN(SUBSTITUTE(CA161,"a","")))&gt;=1,SUMPRODUCT(--ISNUMBER(SEARCH({"a0","a-0","a_0","a/0","a.0","a#0","0a","0-a","0_a","0/a"},BP161)))&gt;0),ISNUMBER(SEARCH("000000",BP161)))),1,0),0)</f>
        <v>0</v>
      </c>
      <c r="BR161" s="61" t="n">
        <f aca="false">IFERROR(LEN(SUBSTITUTE(CC161," ",""))-SUMPRODUCT((LEN(CC161)-LEN(SUBSTITUTE(CC161," "&amp;L_Role&amp;" "," ")))/(LEN(L_Role)+1)*LEN(L_Role)),0)</f>
        <v>0</v>
      </c>
      <c r="BS161" s="61" t="n">
        <f aca="false">IFERROR(LEN(SUBSTITUTE(CD161," ",""))-SUMPRODUCT((LEN(CD161)-LEN(SUBSTITUTE(CD161," "&amp;L_Role&amp;" "," ")))/(LEN(L_Role)+1)*LEN(L_Role)),0)</f>
        <v>0</v>
      </c>
      <c r="BT1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161,"revision",""),"version",""),"jan",""),"feb",""),"mar",""),"apr",""),"may",""),"jun",""),"jul",""),"aug",""),"sep",""),"oct",""),"nov",""),"dec",""),"utc",""),"gmt",""),"myt",""),"bst",""),"rev",""),"ver",""),"b","a"),"c","a"),"d","a"),"e","a"),"f","a"),"g","a"),"h","a"),"i","a"),"j","a"),"k","a"),"l","a"),"m","a"),"n","a"),"o","a"),"p","a"),"q","a"),"r","a"),"s","a"),"t","a"),"u","a"),"v","a"),"w","a"),"x","a"),"y","a"),"z","a")</f>
        <v/>
      </c>
      <c r="BU161" s="61" t="str">
        <f aca="false">SUBSTITUTE(SUBSTITUTE(SUBSTITUTE(SUBSTITUTE(SUBSTITUTE(SUBSTITUTE(SUBSTITUTE(SUBSTITUTE(SUBSTITUTE(SUBSTITUTE(LEFT(BM161,FIND("0",BM161&amp;"0")-1),"-",""),"_",""),"/",""),".",""),"#",""),"\\",""),":","")," ",""),"(",""),")","")</f>
        <v/>
      </c>
      <c r="BV161" s="61" t="n">
        <f aca="false">IFERROR(IF(OR(SUMPRODUCT((LEN(BC161)-LEN(SUBSTITUTE(BC161," "&amp;L_NotLoaded&amp;" "," ")))/(LEN(L_NotLoaded)+1))&gt;SUMPRODUCT((LEN(BC161)-LEN(SUBSTITUTE(BC161," "&amp;L_NotLoadedNeg&amp;" "," ")))/(LEN(L_NotLoadedNeg)+1)),SUMPRODUCT((LEN(BD161)-LEN(SUBSTITUTE(BD161," "&amp;L_NotLoaded&amp;" "," ")))/(LEN(L_NotLoaded)+1))&gt;SUMPRODUCT((LEN(BD161)-LEN(SUBSTITUTE(BD161," "&amp;L_NotLoadedNeg&amp;" "," ")))/(LEN(L_NotLoadedNeg)+1))),1,0),0)</f>
        <v>0</v>
      </c>
      <c r="BW1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161&amp;""),"a",""),"b",""),"c",""),"d",""),"e",""),"f",""),"g",""),"h",""),"i",""),"j",""),"k",""),"l",""),"m",""),"n",""),"o",""),"p",""),"q",""),"r",""),"s",""),"t",""),"u",""),"v",""),"w",""),"x",""),"y",""),"z",""),"-",""),"_",""),"/",""),".",""),"#",""),"\\",""),":","")," ",""),"(",""),")","")</f>
        <v/>
      </c>
      <c r="BX161" s="61" t="str">
        <f aca="false">SUBSTITUTE(SUBSTITUTE(SUBSTITUTE(SUBSTITUTE(SUBSTITUTE(SUBSTITUTE(SUBSTITUTE(SUBSTITUTE(SUBSTITUTE(SUBSTITUTE(SUBSTITUTE(BM161,"0",""),"-",""),"_",""),"/",""),".",""),"#",""),"\\",""),":","")," ",""),"(",""),")","")</f>
        <v/>
      </c>
      <c r="BY161" s="62" t="n">
        <f aca="false">Q161-UpliftWindowH/24</f>
        <v>46309.4965277778</v>
      </c>
      <c r="BZ161" s="61" t="n">
        <f aca="false">IFERROR(IF(IF(TRIM(S161)="Link / file path",AND(LEN(TRIM(Z161))&gt;=5,SUMPRODUCT(--ISNUMBER(SEARCH({"http","www.","\\",":\",".pdf",".jpg",".jpeg",".png",".heic",".xls",".doc",".msg",".eml",".ppt",".txt",".zip"},Z161)))&gt;0),AND(ISERROR(FIND(" ",TRIM(Z161))),NOT(OR(SUMPRODUCT(--ISNUMBER(FIND({",",";","&amp;","+"},Z161)))&gt;0,SUMPRODUCT(--ISNUMBER(SEARCH({"0/aa","0\\aa"},BN161)))&gt;0)),NOT(SUMPRODUCT(--ISNUMBER(SEARCH({"http","www.","\\",":\",".pdf",".jpg",".jpeg",".png",".heic",".xls",".doc",".msg",".eml",".ppt",".txt",".zip"},Z161)))&gt;0),NOT(LOWER(TRIM(Z161))=LOWER(Flights!$F$9)),ISNA(MATCH(BU161,{"mh","rev","revision","ver","version","v","r","a","b","seat","tray","row","gate","bay","stand","page","pg","item","line","no","cart","galley","flight","flt","table","box","bag","oven","etd","eta","std","sta","atd","ata","qty","pax","x","time","tel","ph","mob","day","wk","week","utc","gmt","myt","lt"},0)),NOT(OR(ISNUMBER(MATCH(LEFT(BN161,255),{"0000a","000a","00a","0000aa","000aa","00aa","0aa","0000aaa","000aaa","00a00","0a00","0000-0000","00:00","a00","a0","00.00.0000","00/00/0000","00-00-0000","0000-00-00","0000/00/00","0000.00.00","00.00.00","00/00/00","00-00-00","0.00.0000","0/00/0000","0-00-0000"},0)),ISNUMBER(MATCH(LEFT(BT161,255),{"0000a","000a","00a","0000aa","000aa","00aa","0aa","0000aaa","000aaa","00a00","0a00","0000-0000","00:00","a00","a0","00.00.0000","00/00/0000","00-00-0000","0000-00-00","0000/00/00","0000.00.00","00.00.00","00/00/00","00-00-00","0.00.0000","0/00/0000","0-00-0000"},0)))),NOT(OR(AND(BW161&lt;&gt;"",SUBSTITUTE(BW161,"0","")=""),AND(LEN(BW161)&gt;=4,BW161=REPT(LEFT(BW161),LEN(BW161))),ISNUMBER(MATCH(BW161,{"123","1234","12345","123456","1234567","12345678","0123","01234","012345","98765","987654","54321"},0)),ISNUMBER(MATCH(BX161,{"x","xx","xxx","xxxx","xxxxx","abc","abcd","nil","na","nan","test","tbc","tba","tbd","dummy","sample","example","eg","zz","zzz","none","null","xyz","qwe","asd","id","ref"},0)),AND(LEN(BW161)=8,BX161="",OR(LEFT(BW161,3)="202",ISNUMBER(MATCH(RIGHT(BW161,4),{"2025","2026","2027"},0)))))),OR(AND((LEN(BT161)-LEN(SUBSTITUTE(BT161,"a","")))&gt;=1,(LEN(BN161)-LEN(SUBSTITUTE(BN161,"0","")))&gt;=2,SUMPRODUCT(--ISNUMBER(SEARCH({"a0","a-0","a_0","a/0","a.0","a#0","0a","0-a","0_a","0/a"},BN161)))&gt;0),AND((LEN(BN161)-LEN(SUBSTITUTE(BN161,"a","")))=0,(LEN(BN161)-LEN(SUBSTITUTE(BN161,"0","")))&gt;=5)))),1,0),0)</f>
        <v>0</v>
      </c>
      <c r="CA1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161,"revision",""),"version",""),"jan",""),"feb",""),"mar",""),"apr",""),"may",""),"jun",""),"jul",""),"aug",""),"sep",""),"oct",""),"nov",""),"dec",""),"utc",""),"gmt",""),"myt",""),"bst",""),"rev",""),"ver",""),"b","a"),"c","a"),"d","a"),"e","a"),"f","a"),"g","a"),"h","a"),"i","a"),"j","a"),"k","a"),"l","a"),"m","a"),"n","a"),"o","a"),"p","a"),"q","a"),"r","a"),"s","a"),"t","a"),"u","a"),"v","a"),"w","a"),"x","a"),"y","a"),"z","a")</f>
        <v/>
      </c>
      <c r="CB1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161&amp;""),"a",""),"b",""),"c",""),"d",""),"e",""),"f",""),"g",""),"h",""),"i",""),"j",""),"k",""),"l",""),"m",""),"n",""),"o",""),"p",""),"q",""),"r",""),"s",""),"t",""),"u",""),"v",""),"w",""),"x",""),"y",""),"z",""),"-",""),"_",""),"/",""),".",""),"#",""),"\\",""),":","")," ",""),"(",""),")","")</f>
        <v/>
      </c>
      <c r="CC161" s="0" t="str">
        <f aca="false">" "&amp;TRIM(SUBSTITUTE(SUBSTITUTE(SUBSTITUTE(SUBSTITUTE(SUBSTITUTE(SUBSTITUTE(SUBSTITUTE(SUBSTITUTE(SUBSTITUTE(SUBSTITUTE(SUBSTITUTE(SUBSTITUTE(SUBSTITUTE(SUBSTITUTE(SUBSTITUTE(SUBSTITUTE(SUBSTITUTE(SUBSTITUTE(SUBSTITUTE(SUBSTITUTE(SUBSTITUTE(SUBSTITUTE(SUBSTITUTE(SUBSTITUTE(LOWER(T161&amp;""),CHAR(10)," "),CHAR(13)," "),CHAR(9)," "),CHAR(160)," "),"."," "),","," "),"-"," "),"/"," "),"("," "),")"," "),":"," "),";"," "),"_"," "),"–"," "),"?"," "),"!"," "),"*"," "),"["," "),"]"," "),"'"," "),"#"," "),"+"," "),"&amp;"," "),"\"," "))&amp;" "</f>
        <v>  </v>
      </c>
      <c r="CD161" s="0" t="str">
        <f aca="false">" "&amp;TRIM(SUBSTITUTE(SUBSTITUTE(SUBSTITUTE(SUBSTITUTE(SUBSTITUTE(SUBSTITUTE(SUBSTITUTE(SUBSTITUTE(SUBSTITUTE(SUBSTITUTE(SUBSTITUTE(SUBSTITUTE(SUBSTITUTE(SUBSTITUTE(SUBSTITUTE(SUBSTITUTE(SUBSTITUTE(SUBSTITUTE(SUBSTITUTE(SUBSTITUTE(SUBSTITUTE(SUBSTITUTE(SUBSTITUTE(SUBSTITUTE(LOWER(AE161&amp;""),CHAR(10)," "),CHAR(13)," "),CHAR(9)," "),CHAR(160)," "),"."," "),","," "),"-"," "),"/"," "),"("," "),")"," "),":"," "),";"," "),"_"," "),"–"," "),"?"," "),"!"," "),"*"," "),"["," "),"]"," "),"'"," "),"#"," "),"+"," "),"&amp;"," "),"\"," "))&amp;" "</f>
        <v>  </v>
      </c>
      <c r="CE161" s="68" t="n">
        <f aca="false">IFERROR(IF(AND(LEN(AU161)&gt;0,LEN(AU161)=LEN(AX161),OR(TRIM(MID(SUBSTITUTE(TRIM(CC161)," ",REPT(" ",60)),1,60))="",ISNUMBER(SEARCH(" "&amp;TRIM(MID(SUBSTITUTE(TRIM(CC161)," ",REPT(" ",60)),1,60))&amp;" ",CD161))),OR(TRIM(MID(SUBSTITUTE(TRIM(CC161)," ",REPT(" ",60)),61,60))="",ISNUMBER(SEARCH(" "&amp;TRIM(MID(SUBSTITUTE(TRIM(CC161)," ",REPT(" ",60)),61,60))&amp;" ",CD161))),OR(TRIM(MID(SUBSTITUTE(TRIM(CC161)," ",REPT(" ",60)),121,60))="",ISNUMBER(SEARCH(" "&amp;TRIM(MID(SUBSTITUTE(TRIM(CC161)," ",REPT(" ",60)),121,60))&amp;" ",CD161)))),1,0),0)</f>
        <v>0</v>
      </c>
      <c r="CG161" s="68" t="n">
        <f aca="false">IFERROR(LEN(SUBSTITUTE(BF161," ",""))-SUMPRODUCT((LEN(BF161)-LEN(SUBSTITUTE(BF161," "&amp;L_NAFiller&amp;" "," ")))/(LEN(L_NAFiller)+1)*LEN(L_NAFiller)),0)</f>
        <v>0</v>
      </c>
    </row>
    <row r="162" customFormat="false" ht="54" hidden="false" customHeight="true" outlineLevel="0" collapsed="false">
      <c r="A162" s="57" t="s">
        <v>701</v>
      </c>
      <c r="B162" s="57" t="s">
        <v>228</v>
      </c>
      <c r="C162" s="57" t="str">
        <f aca="false">Flights!$F$9</f>
        <v>MH0089</v>
      </c>
      <c r="D162" s="58" t="n">
        <f aca="false">Flights!$D$9</f>
        <v>46310</v>
      </c>
      <c r="E162" s="57" t="str">
        <f aca="false">Flights!$G$9&amp;"-"&amp;Flights!$H$9</f>
        <v>NRT-KUL</v>
      </c>
      <c r="F162" s="57" t="str">
        <f aca="false">Flights!$K$9</f>
        <v>EY</v>
      </c>
      <c r="G162" s="57" t="s">
        <v>459</v>
      </c>
      <c r="H162" s="57" t="s">
        <v>460</v>
      </c>
      <c r="I162" s="57" t="s">
        <v>440</v>
      </c>
      <c r="J162" s="57" t="s">
        <v>467</v>
      </c>
      <c r="K162" s="67" t="s">
        <v>442</v>
      </c>
      <c r="L162" s="67" t="s">
        <v>601</v>
      </c>
      <c r="M162" s="67" t="s">
        <v>187</v>
      </c>
      <c r="N162" s="67" t="s">
        <v>444</v>
      </c>
      <c r="O162" s="67" t="s">
        <v>445</v>
      </c>
      <c r="P162" s="57" t="s">
        <v>220</v>
      </c>
      <c r="Q162" s="59" t="n">
        <f aca="false">ROUND((Flights!$AF$9)*1440,0)/1440</f>
        <v>46310.0451388889</v>
      </c>
      <c r="R162" s="59" t="n">
        <f aca="false">Q162+(IF(AND(INDEX(TZ_DSTS,MATCH(P162,TZ_STN,0))&lt;&gt;"",Q162&gt;=INDEX(TZ_DSTS,MATCH(P162,TZ_STN,0)),Q162&lt;INDEX(TZ_DSTE,MATCH(P162,TZ_STN,0))),INDEX(TZ_DST,MATCH(P162,TZ_STN,0)),INDEX(TZ_STD,MATCH(P162,TZ_STN,0))))/24</f>
        <v>46310.4201388889</v>
      </c>
      <c r="S162" s="60"/>
      <c r="T162" s="60"/>
      <c r="U162" s="60"/>
      <c r="V162" s="60"/>
      <c r="W162" s="61"/>
      <c r="X162" s="60"/>
      <c r="Y162" s="60"/>
      <c r="Z162" s="60"/>
      <c r="AA162" s="60"/>
      <c r="AB162" s="60"/>
      <c r="AC162" s="60"/>
      <c r="AD162" s="66"/>
      <c r="AE162" s="60"/>
      <c r="AF162" s="61" t="str">
        <f aca="false">IF(AND(ISNUMBER(X162),ISNUMBER(Y162)),Y162-X162,"")</f>
        <v/>
      </c>
      <c r="AG162" s="62" t="str">
        <f aca="false">IF(ISNUMBER(AD162),AD162-(IF(AND(INDEX(TZ_DSTS,MATCH(P162,TZ_STN,0))&lt;&gt;"",(AD162-INDEX(TZ_STD,MATCH(P162,TZ_STN,0))/24)&gt;=INDEX(TZ_DSTS,MATCH(P162,TZ_STN,0)),(AD162-INDEX(TZ_STD,MATCH(P162,TZ_STN,0))/24)&lt;INDEX(TZ_DSTE,MATCH(P162,TZ_STN,0))),INDEX(TZ_DST,MATCH(P162,TZ_STN,0)),INDEX(TZ_STD,MATCH(P162,TZ_STN,0))))/24,"")</f>
        <v/>
      </c>
      <c r="AH162" s="65" t="str">
        <f aca="false">IFERROR(IF(N162="N/A – rule",IF(OR(TRIM(U162)="",TRIM(U162)="N/A",TRIM(U162)="Not started"),"N/A – RULE","INVALID – this check does not apply to this aircraft: clear the status (or correct the fleet on Flights)"),IF(TRIM(U162)="N/A",IF(AT162=0,"INVALID – N/A not permitted for this check",IF(AND(TRIM(AB162)&lt;&gt;"",TRIM(AB162)&lt;&gt;"Closed"),"INVALID – corrective action still open",IF(AND(NOT(OR(LEN(AZ162)&lt;15,ISNUMBER(MATCH(AZ162,L_Placeholder,0)))),BK162=0,CG162&gt;=8,NOT(OR(LEN(AU162)&lt;2,ISNUMBER(MATCH(AU162,L_Placeholder,0)))),BR162&gt;=3,NOT(OR(LEN(AX162)&lt;2,ISNUMBER(MATCH(AX162,L_Placeholder,0)))),BS162&gt;=3,TRIM(AE162)&lt;&gt;TRIM(T162),AX162&lt;&gt;AU162,CE162=0),"N/A – JUSTIFIED","INVALID – N/A needs a real, settled reason (not 'not applicable' / 'as above' / TBC), a named PIC and a different named verifier"))),IF(OR(TRIM(U162)="Pass",TRIM(U162)="Pass after CA"),IF(NOT(ISNUMBER(AD162)),"INVALID – completion time missing",IF(OR(OR(LEN(AU162)&lt;2,ISNUMBER(MATCH(AU162,L_Placeholder,0))),BR162&lt;3),"INVALID – PIC missing or not a named person (a role such as QA / CSM is not a name)",IF(OR(LEN(AV162)&lt;2,ISNUMBER(MATCH(AV162,L_Placeholder,0))),"INVALID – result / assessment missing",IF(OR(OR(LEN(AW162)&lt;3,ISNUMBER(MATCH(AW162,L_Placeholder,0))),SUMPRODUCT(--ISNUMBER(SEARCH(" "&amp;L_EvidencePhrase&amp;" ",BD162)))&gt;0,BI162=1),"INVALID – evidence missing, placeholder or not yet on file",IF(ISNA(MATCH(TRIM(S162),L_EvidenceType,0)),"INVALID – choose the evidence type from the list (column S)",IF(BL162=0,"INVALID – evidence ID must be the record's own ID only (e.g. SF-2210, IMG_2231, 1045521); a link / file name needs type 'Link / file path'",IF(OR(OR(LEN(AX162)&lt;2,ISNUMBER(MATCH(AX162,L_Placeholder,0))),BS162&lt;3),"INVALID – verifier missing or not a named person (a role such as QA / CSM is not a name)",IF(OR(AX162=AU162,CE162=1,AND(LEN(AU162)&gt;=4,ISNUMBER(SEARCH(AU162,AX162))),AND(LEN(AX162)&gt;=4,ISNUMBER(SEARCH(AX162,AU162)))),"INVALID – verifier must be a different, named person (not the PIC or a role)",IF(BH162=1,"INVALID – result not yet available (awaiting / TBC)",IF(BG162=1,"INVALID – result describes a problem: record Fail, then Pass after CA (or reword if it is not a problem)",IF(BV162=1,"INVALID – wording says not on board: an on-board confirmation needs the item loaded",IF(AND(AQ162=1,OR(OR(LEN(AY162)&lt;3,ISNUMBER(MATCH(AY162,L_Placeholder,0))),BJ162=1,BQ162=0)),"INVALID – batch ID missing, placeholder or not an ID (e.g. PASB-261008-BC-017)",IF(AND(AR162=1,OR(NOT(ISNUMBER(X162)),NOT(ISNUMBER(Y162)))),"INVALID – expected/actual qty missing",IF(AND(AR162=1,OR(X162&lt;=0,Y162&lt;0)),"INVALID – expected qty must be above 0 and actual not negative",IF(AH155="N/A – JUSTIFIED","INVALID – preparation row F05-T12-08 is N/A",IF(AND(AR162=1,ISNUMBER(X155),X162&lt;&gt;X155,TRIM(U162)&lt;&gt;"Pass after CA"),"INVALID – expected qty differs from preparation check F05-T12-08: record the load change as a corrective action (Pass after CA)",IF(BB162&lt;&gt;"",BB162,IF(AND(AS162=1,Documents!$J$9&lt;&gt;"ON FILE"),"INVALID – GLD not on file (Documents sheet)",IF(AND(AS162=2,Documents!$O$9&lt;&gt;"ON FILE"),"INVALID – menu checklist not on file (Documents sheet)",IF(AND(AS162=3,NOT(ISNUMBER(Flights!$AX$9))),"INVALID – enter carrying flight KUL departure (Flights AX)",IF(AND(AS162=3,OR(Flights!$AZ$9&gt;Flights!$AA$9,Flights!$AX$9&lt;Flights!$AA$9-3)),"INVALID – carrying flight (Flights AX) cannot arrive before this leg's STD, or is over 3 days early",IF(AG162&gt;AsOfUTC,"INVALID – completion time is in the future",IF(AND(ISNUMBER(BY162),AG162&lt;BY162),IF(H162="Physical uplift","INVALID – before uplift window (cannot confirm loading)","INVALID – before valid window"),IF(AG162&gt;Flights!$AA$9,"INVALID – completed after departure (cannot establish readiness)",IF(AND(H162="Preparation",AG162&gt;=IF(ISNUMBER(Flights!$BA$9),MIN(Flights!$BA$9,Flights!$AA$9),Flights!$AA$9)),"INVALID – completed after loading / departure (cannot establish readiness)",IF(AND(H162="Physical uplift",AG162&gt;Q162),"INVALID – recorded after the loading flight departed",IF(AG162&gt;Q162,"COMPLETE – LATE","COMPLETE"))))))))))))))))))))))))))),IF(TRIM(U162)="Fail","FAIL – DISCREPANCY",IF(AND(TRIM(U162)&lt;&gt;"",TRIM(U162)&lt;&gt;"Not started",TRIM(U162)&lt;&gt;"In progress"),"INVALID – unrecognised status (use the list)",IF(AsOfUTC&gt;Q162,"OVERDUE",IF(N162="Clarification required","OPEN – CLARIFICATION","OPEN"))))))),"INVALID – error value in an input cell")</f>
        <v>OPEN – CLARIFICATION</v>
      </c>
      <c r="AI162" s="61" t="n">
        <f aca="false">IF(OR(AH162="N/A – RULE",AH162="N/A – JUSTIFIED"),0,1)</f>
        <v>1</v>
      </c>
      <c r="AJ162" s="61" t="n">
        <f aca="false">IF(LEFT(AH162,8)="COMPLETE",1,0)</f>
        <v>0</v>
      </c>
      <c r="AK162" s="61" t="n">
        <f aca="false">IF(AND(AI162=1,AJ162=0,AsOfUTC&gt;Q162),1,0)</f>
        <v>0</v>
      </c>
      <c r="AL162" s="61" t="n">
        <f aca="false">IFERROR(IF(AND(AI162=1,OR(TRIM(U162)="Fail",AND(TRIM(AB162)&lt;&gt;"",TRIM(AB162)&lt;&gt;"Closed"),AND(ISNUMBER(AF162),AF162&lt;&gt;0,TRIM(U162)&lt;&gt;"Pass after CA"))),1,0),1)</f>
        <v>0</v>
      </c>
      <c r="AM162" s="61" t="n">
        <f aca="false">IF(LEFT(AH162,7)="INVALID",1,0)</f>
        <v>0</v>
      </c>
      <c r="AN162" s="61" t="n">
        <f aca="false">IF(AND(N162="Clarification required",AI162=1,AJ162=0),1,0)</f>
        <v>1</v>
      </c>
      <c r="AO162" s="61" t="str">
        <f aca="false">IF(AK162=1,SUM(AK$5:AK162),"")</f>
        <v/>
      </c>
      <c r="AP162" s="61" t="str">
        <f aca="false">IF(AL162=1,SUM(AL$5:AL162),"")</f>
        <v/>
      </c>
      <c r="AQ162" s="61" t="n">
        <v>0</v>
      </c>
      <c r="AR162" s="61" t="n">
        <v>0</v>
      </c>
      <c r="AS162" s="61" t="n">
        <v>0</v>
      </c>
      <c r="AT162" s="61" t="n">
        <v>1</v>
      </c>
      <c r="AU162" s="61" t="str">
        <f aca="false">SUBSTITUTE(SUBSTITUTE(SUBSTITUTE(SUBSTITUTE(SUBSTITUTE(SUBSTITUTE(SUBSTITUTE(SUBSTITUTE(SUBSTITUTE(SUBSTITUTE(SUBSTITUTE(SUBSTITUTE(SUBSTITUTE(SUBSTITUTE(SUBSTITUTE(SUBSTITUTE(LOWER(T162&amp;""),CHAR(10),""),CHAR(13),""),CHAR(9),""),CHAR(160),"")," ",""),".",""),"-",""),"/",""),"?",""),"_",""),",",""),"[",""),"]",""),"(",""),")",""),"*","")</f>
        <v/>
      </c>
      <c r="AV162" s="61" t="str">
        <f aca="false">SUBSTITUTE(SUBSTITUTE(SUBSTITUTE(SUBSTITUTE(SUBSTITUTE(SUBSTITUTE(SUBSTITUTE(SUBSTITUTE(SUBSTITUTE(SUBSTITUTE(SUBSTITUTE(SUBSTITUTE(SUBSTITUTE(SUBSTITUTE(SUBSTITUTE(SUBSTITUTE(LOWER(V162&amp;""),CHAR(10),""),CHAR(13),""),CHAR(9),""),CHAR(160),"")," ",""),".",""),"-",""),"/",""),"?",""),"_",""),",",""),"[",""),"]",""),"(",""),")",""),"*","")</f>
        <v/>
      </c>
      <c r="AW162" s="61" t="str">
        <f aca="false">SUBSTITUTE(SUBSTITUTE(SUBSTITUTE(SUBSTITUTE(SUBSTITUTE(SUBSTITUTE(SUBSTITUTE(SUBSTITUTE(SUBSTITUTE(SUBSTITUTE(SUBSTITUTE(SUBSTITUTE(SUBSTITUTE(SUBSTITUTE(SUBSTITUTE(SUBSTITUTE(LOWER(Z162&amp;""),CHAR(10),""),CHAR(13),""),CHAR(9),""),CHAR(160),"")," ",""),".",""),"-",""),"/",""),"?",""),"_",""),",",""),"[",""),"]",""),"(",""),")",""),"*","")</f>
        <v/>
      </c>
      <c r="AX162" s="61" t="str">
        <f aca="false">SUBSTITUTE(SUBSTITUTE(SUBSTITUTE(SUBSTITUTE(SUBSTITUTE(SUBSTITUTE(SUBSTITUTE(SUBSTITUTE(SUBSTITUTE(SUBSTITUTE(SUBSTITUTE(SUBSTITUTE(SUBSTITUTE(SUBSTITUTE(SUBSTITUTE(SUBSTITUTE(LOWER(AE162&amp;""),CHAR(10),""),CHAR(13),""),CHAR(9),""),CHAR(160),"")," ",""),".",""),"-",""),"/",""),"?",""),"_",""),",",""),"[",""),"]",""),"(",""),")",""),"*","")</f>
        <v/>
      </c>
      <c r="AY162" s="61" t="str">
        <f aca="false">SUBSTITUTE(SUBSTITUTE(SUBSTITUTE(SUBSTITUTE(SUBSTITUTE(SUBSTITUTE(SUBSTITUTE(SUBSTITUTE(SUBSTITUTE(SUBSTITUTE(SUBSTITUTE(SUBSTITUTE(SUBSTITUTE(SUBSTITUTE(SUBSTITUTE(SUBSTITUTE(LOWER(W162&amp;""),CHAR(10),""),CHAR(13),""),CHAR(9),""),CHAR(160),"")," ",""),".",""),"-",""),"/",""),"?",""),"_",""),",",""),"[",""),"]",""),"(",""),")",""),"*","")</f>
        <v/>
      </c>
      <c r="AZ162" s="61" t="str">
        <f aca="false">SUBSTITUTE(SUBSTITUTE(SUBSTITUTE(SUBSTITUTE(SUBSTITUTE(SUBSTITUTE(SUBSTITUTE(SUBSTITUTE(SUBSTITUTE(SUBSTITUTE(SUBSTITUTE(SUBSTITUTE(SUBSTITUTE(SUBSTITUTE(SUBSTITUTE(SUBSTITUTE(LOWER(AC162&amp;""),CHAR(10),""),CHAR(13),""),CHAR(9),""),CHAR(160),"")," ",""),".",""),"-",""),"/",""),"?",""),"_",""),",",""),"[",""),"]",""),"(",""),")",""),"*","")</f>
        <v/>
      </c>
      <c r="BA162" s="61" t="str">
        <f aca="false">SUBSTITUTE(SUBSTITUTE(SUBSTITUTE(SUBSTITUTE(SUBSTITUTE(SUBSTITUTE(SUBSTITUTE(SUBSTITUTE(SUBSTITUTE(SUBSTITUTE(SUBSTITUTE(SUBSTITUTE(SUBSTITUTE(SUBSTITUTE(SUBSTITUTE(SUBSTITUTE(LOWER(AA162&amp;""),CHAR(10),""),CHAR(13),""),CHAR(9),""),CHAR(160),"")," ",""),".",""),"-",""),"/",""),"?",""),"_",""),",",""),"[",""),"]",""),"(",""),")",""),"*","")</f>
        <v/>
      </c>
      <c r="BB162" s="61" t="str">
        <f aca="false">IF(AND(TRIM(U162)="Pass",ISNUMBER(AF162)),IF(AF162&lt;&gt;0,"INVALID – qty variance: use Fail or Pass after CA",""),"")&amp;IF(AND(TRIM(U162)="Pass after CA",ISNUMBER(AF162)),IF(AF162&lt;&gt;0,"INVALID – after the corrective action the actual qty must equal expected (update Actual)",""),"")&amp;IF(AND(TRIM(U162)="Pass",TRIM(AB162)&lt;&gt;"",TRIM(AB162)&lt;&gt;"Closed"),"INVALID – corrective action not closed: use Fail, then Pass after CA","")&amp;IF(AND(LEN(BA162)&gt;=2,ISNA(MATCH(LEFT(BA162,255),L_Placeholder,0)),TRIM(AB162)=""),"INVALID – CA status missing for the recorded corrective action","")&amp;IF(AND(TRIM(U162)="Pass after CA",OR(OR(LEN(BA162)&lt;5,ISNUMBER(MATCH(BA162,L_Placeholder,0))),TRIM(AB162)&lt;&gt;"Closed")),"INVALID – corrective action not recorded/closed","")</f>
        <v/>
      </c>
      <c r="BC162" s="61" t="str">
        <f aca="false">" "&amp;TRIM(SUBSTITUTE(SUBSTITUTE(SUBSTITUTE(SUBSTITUTE(SUBSTITUTE(SUBSTITUTE(SUBSTITUTE(SUBSTITUTE(SUBSTITUTE(SUBSTITUTE(SUBSTITUTE(SUBSTITUTE(SUBSTITUTE(SUBSTITUTE(SUBSTITUTE(SUBSTITUTE(SUBSTITUTE(SUBSTITUTE(SUBSTITUTE(SUBSTITUTE(SUBSTITUTE(SUBSTITUTE(SUBSTITUTE(SUBSTITUTE(LOWER(V162&amp;""),CHAR(10)," "),CHAR(13)," "),CHAR(9)," "),CHAR(160)," "),"."," "),","," "),"-"," "),"/"," "),"("," "),")"," "),":"," "),";"," "),"_"," "),"–"," "),"?"," "),"!"," "),"*"," "),"["," "),"]"," "),"'"," "),"#"," "),"+"," "),"&amp;"," "),"\"," "))&amp;" "</f>
        <v>  </v>
      </c>
      <c r="BD162" s="61" t="str">
        <f aca="false">" "&amp;TRIM(SUBSTITUTE(SUBSTITUTE(SUBSTITUTE(SUBSTITUTE(SUBSTITUTE(SUBSTITUTE(SUBSTITUTE(SUBSTITUTE(SUBSTITUTE(SUBSTITUTE(SUBSTITUTE(SUBSTITUTE(SUBSTITUTE(SUBSTITUTE(SUBSTITUTE(SUBSTITUTE(SUBSTITUTE(SUBSTITUTE(SUBSTITUTE(SUBSTITUTE(SUBSTITUTE(SUBSTITUTE(SUBSTITUTE(SUBSTITUTE(LOWER(Z162&amp;""),CHAR(10)," "),CHAR(13)," "),CHAR(9)," "),CHAR(160)," "),"."," "),","," "),"-"," "),"/"," "),"("," "),")"," "),":"," "),";"," "),"_"," "),"–"," "),"?"," "),"!"," "),"*"," "),"["," "),"]"," "),"'"," "),"#"," "),"+"," "),"&amp;"," "),"\"," "))&amp;" "</f>
        <v>  </v>
      </c>
      <c r="BE162" s="61" t="str">
        <f aca="false">" "&amp;TRIM(SUBSTITUTE(SUBSTITUTE(SUBSTITUTE(SUBSTITUTE(SUBSTITUTE(SUBSTITUTE(SUBSTITUTE(SUBSTITUTE(SUBSTITUTE(SUBSTITUTE(SUBSTITUTE(SUBSTITUTE(SUBSTITUTE(SUBSTITUTE(SUBSTITUTE(SUBSTITUTE(SUBSTITUTE(SUBSTITUTE(SUBSTITUTE(SUBSTITUTE(SUBSTITUTE(SUBSTITUTE(SUBSTITUTE(SUBSTITUTE(LOWER(W162&amp;""),CHAR(10)," "),CHAR(13)," "),CHAR(9)," "),CHAR(160)," "),"."," "),","," "),"-"," "),"/"," "),"("," "),")"," "),":"," "),";"," "),"_"," "),"–"," "),"?"," "),"!"," "),"*"," "),"["," "),"]"," "),"'"," "),"#"," "),"+"," "),"&amp;"," "),"\"," "))&amp;" "</f>
        <v>  </v>
      </c>
      <c r="BF162" s="61" t="str">
        <f aca="false">" "&amp;TRIM(SUBSTITUTE(SUBSTITUTE(SUBSTITUTE(SUBSTITUTE(SUBSTITUTE(SUBSTITUTE(SUBSTITUTE(SUBSTITUTE(SUBSTITUTE(SUBSTITUTE(SUBSTITUTE(SUBSTITUTE(SUBSTITUTE(SUBSTITUTE(SUBSTITUTE(SUBSTITUTE(SUBSTITUTE(SUBSTITUTE(SUBSTITUTE(SUBSTITUTE(SUBSTITUTE(SUBSTITUTE(SUBSTITUTE(SUBSTITUTE(LOWER(AC162&amp;""),CHAR(10)," "),CHAR(13)," "),CHAR(9)," "),CHAR(160)," "),"."," "),","," "),"-"," "),"/"," "),"("," "),")"," "),":"," "),";"," "),"_"," "),"–"," "),"?"," "),"!"," "),"*"," "),"["," "),"]"," "),"'"," "),"#"," "),"+"," "),"&amp;"," "),"\"," "))&amp;" "</f>
        <v>  </v>
      </c>
      <c r="BG162" s="61" t="n">
        <f aca="false">IFERROR(IF(AND(TRIM(U162)="Pass",SUMPRODUCT((LEN(BC162)-LEN(SUBSTITUTE(BC162," "&amp;L_ResultBad&amp;" "," ")))/(LEN(L_ResultBad)+1))&gt;SUMPRODUCT((LEN(BC162)-LEN(SUBSTITUTE(BC162," "&amp;L_NegPhrase&amp;" "," ")))/(LEN(L_NegPhrase)+1))),1,0),0)</f>
        <v>0</v>
      </c>
      <c r="BH162" s="61" t="n">
        <f aca="false">IFERROR(IF(SUMPRODUCT((LEN(BC162)-LEN(SUBSTITUTE(BC162," "&amp;L_Pending&amp;" "," ")))/(LEN(L_Pending)+1))&gt;SUMPRODUCT((LEN(BC162)-LEN(SUBSTITUTE(BC162," "&amp;L_PendNeg&amp;" "," ")))/(LEN(L_PendNeg)+1)),1,0),1)</f>
        <v>0</v>
      </c>
      <c r="BI162" s="61" t="n">
        <f aca="false">IFERROR(IF(SUMPRODUCT((LEN(BD162)-LEN(SUBSTITUTE(BD162," "&amp;L_PendStrict&amp;" "," ")))/(LEN(L_PendStrict)+1))&gt;SUMPRODUCT((LEN(BD162)-LEN(SUBSTITUTE(BD162," "&amp;L_PendNeg&amp;" "," ")))/(LEN(L_PendNeg)+1)),1,0),1)</f>
        <v>0</v>
      </c>
      <c r="BJ162" s="61" t="n">
        <f aca="false">IFERROR(IF(SUMPRODUCT((LEN(BE162)-LEN(SUBSTITUTE(BE162," "&amp;L_Pending&amp;" "," ")))/(LEN(L_Pending)+1))&gt;SUMPRODUCT((LEN(BE162)-LEN(SUBSTITUTE(BE162," "&amp;L_PendNeg&amp;" "," ")))/(LEN(L_PendNeg)+1)),1,0),1)</f>
        <v>0</v>
      </c>
      <c r="BK162" s="61" t="n">
        <f aca="false">IFERROR(IF(SUMPRODUCT((LEN(BF162)-LEN(SUBSTITUTE(BF162," "&amp;L_PendStrict&amp;" "," ")))/(LEN(L_PendStrict)+1))&gt;SUMPRODUCT((LEN(BF162)-LEN(SUBSTITUTE(BF162," "&amp;L_PendNeg&amp;" "," ")))/(LEN(L_PendNeg)+1)),1,0),1)</f>
        <v>0</v>
      </c>
      <c r="BL162" s="61" t="n">
        <f aca="false">IF(ISNA(MATCH(TRIM(S162),L_EvidenceType,0)),0,BZ162)</f>
        <v>0</v>
      </c>
      <c r="BM162" s="61" t="str">
        <f aca="false">SUBSTITUTE(SUBSTITUTE(SUBSTITUTE(SUBSTITUTE(SUBSTITUTE(SUBSTITUTE(SUBSTITUTE(SUBSTITUTE(SUBSTITUTE(LOWER(Z162&amp;""),"1","0"),"2","0"),"3","0"),"4","0"),"5","0"),"6","0"),"7","0"),"8","0"),"9","0")</f>
        <v/>
      </c>
      <c r="BN162" s="61" t="str">
        <f aca="false">SUBSTITUTE(SUBSTITUTE(SUBSTITUTE(SUBSTITUTE(SUBSTITUTE(SUBSTITUTE(SUBSTITUTE(SUBSTITUTE(SUBSTITUTE(SUBSTITUTE(SUBSTITUTE(SUBSTITUTE(SUBSTITUTE(SUBSTITUTE(SUBSTITUTE(SUBSTITUTE(SUBSTITUTE(SUBSTITUTE(SUBSTITUTE(SUBSTITUTE(SUBSTITUTE(SUBSTITUTE(SUBSTITUTE(SUBSTITUTE(SUBSTITUTE(BM162,"b","a"),"c","a"),"d","a"),"e","a"),"f","a"),"g","a"),"h","a"),"i","a"),"j","a"),"k","a"),"l","a"),"m","a"),"n","a"),"o","a"),"p","a"),"q","a"),"r","a"),"s","a"),"t","a"),"u","a"),"v","a"),"w","a"),"x","a"),"y","a"),"z","a")</f>
        <v/>
      </c>
      <c r="BO162" s="61" t="str">
        <f aca="false">SUBSTITUTE(SUBSTITUTE(SUBSTITUTE(SUBSTITUTE(SUBSTITUTE(SUBSTITUTE(SUBSTITUTE(SUBSTITUTE(SUBSTITUTE(LOWER(W162&amp;""),"1","0"),"2","0"),"3","0"),"4","0"),"5","0"),"6","0"),"7","0"),"8","0"),"9","0")</f>
        <v/>
      </c>
      <c r="BP162" s="61" t="str">
        <f aca="false">SUBSTITUTE(SUBSTITUTE(SUBSTITUTE(SUBSTITUTE(SUBSTITUTE(SUBSTITUTE(SUBSTITUTE(SUBSTITUTE(SUBSTITUTE(SUBSTITUTE(SUBSTITUTE(SUBSTITUTE(SUBSTITUTE(SUBSTITUTE(SUBSTITUTE(SUBSTITUTE(SUBSTITUTE(SUBSTITUTE(SUBSTITUTE(SUBSTITUTE(SUBSTITUTE(SUBSTITUTE(SUBSTITUTE(SUBSTITUTE(SUBSTITUTE(BO162,"b","a"),"c","a"),"d","a"),"e","a"),"f","a"),"g","a"),"h","a"),"i","a"),"j","a"),"k","a"),"l","a"),"m","a"),"n","a"),"o","a"),"p","a"),"q","a"),"r","a"),"s","a"),"t","a"),"u","a"),"v","a"),"w","a"),"x","a"),"y","a"),"z","a")</f>
        <v/>
      </c>
      <c r="BQ162" s="61" t="n">
        <f aca="false">IFERROR(IF(AND(ISERROR(SEARCH(" mh"," "&amp;LOWER(W162))),ISNA(MATCH(LEFT(TRIM(BP162),255),{"0000a","000a","00a","0000aa","000aa","00aa","0aa","0000aaa","000aaa","00a00","0a00","0000-0000","00:00","a00","a0","00.00.0000","00/00/0000","00-00-0000","0000-00-00","0000/00/00","0000.00.00","00.00.00","00/00/00","00-00-00","0.00.0000","0/00/0000","0-00-0000"},0)),ISNA(MATCH(LEFT(TRIM(CA162),255),{"0000a","000a","00a","0000aa","000aa","00aa","0aa","0000aaa","000aaa","00a00","0a00","0000-0000","00:00","a00","a0","00.00.0000","00/00/0000","00-00-0000","0000-00-00","0000/00/00","0000.00.00","00.00.00","00/00/00","00-00-00","0.00.0000","0/00/0000","0-00-0000"},0)),LEN(CB162)&gt;=3,NOT(OR(SUBSTITUTE(CB162,"0","")="",AND(LEN(CB162)&gt;=4,CB162=REPT(LEFT(CB162),LEN(CB162))),ISNUMBER(MATCH(CB162,{"123","1234","12345","123456","1234567","12345678","0123","01234","012345","98765","987654","54321"},0)),AND(LEN(CB162)=8,LEFT(CB162,3)="202"))),OR(AND((LEN(CA162)-LEN(SUBSTITUTE(CA162,"a","")))&gt;=1,SUMPRODUCT(--ISNUMBER(SEARCH({"a0","a-0","a_0","a/0","a.0","a#0","0a","0-a","0_a","0/a"},BP162)))&gt;0),ISNUMBER(SEARCH("000000",BP162)))),1,0),0)</f>
        <v>0</v>
      </c>
      <c r="BR162" s="61" t="n">
        <f aca="false">IFERROR(LEN(SUBSTITUTE(CC162," ",""))-SUMPRODUCT((LEN(CC162)-LEN(SUBSTITUTE(CC162," "&amp;L_Role&amp;" "," ")))/(LEN(L_Role)+1)*LEN(L_Role)),0)</f>
        <v>0</v>
      </c>
      <c r="BS162" s="61" t="n">
        <f aca="false">IFERROR(LEN(SUBSTITUTE(CD162," ",""))-SUMPRODUCT((LEN(CD162)-LEN(SUBSTITUTE(CD162," "&amp;L_Role&amp;" "," ")))/(LEN(L_Role)+1)*LEN(L_Role)),0)</f>
        <v>0</v>
      </c>
      <c r="BT1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162,"revision",""),"version",""),"jan",""),"feb",""),"mar",""),"apr",""),"may",""),"jun",""),"jul",""),"aug",""),"sep",""),"oct",""),"nov",""),"dec",""),"utc",""),"gmt",""),"myt",""),"bst",""),"rev",""),"ver",""),"b","a"),"c","a"),"d","a"),"e","a"),"f","a"),"g","a"),"h","a"),"i","a"),"j","a"),"k","a"),"l","a"),"m","a"),"n","a"),"o","a"),"p","a"),"q","a"),"r","a"),"s","a"),"t","a"),"u","a"),"v","a"),"w","a"),"x","a"),"y","a"),"z","a")</f>
        <v/>
      </c>
      <c r="BU162" s="61" t="str">
        <f aca="false">SUBSTITUTE(SUBSTITUTE(SUBSTITUTE(SUBSTITUTE(SUBSTITUTE(SUBSTITUTE(SUBSTITUTE(SUBSTITUTE(SUBSTITUTE(SUBSTITUTE(LEFT(BM162,FIND("0",BM162&amp;"0")-1),"-",""),"_",""),"/",""),".",""),"#",""),"\\",""),":","")," ",""),"(",""),")","")</f>
        <v/>
      </c>
      <c r="BV162" s="61" t="n">
        <f aca="false">IFERROR(IF(OR(SUMPRODUCT((LEN(BC162)-LEN(SUBSTITUTE(BC162," "&amp;L_NotLoaded&amp;" "," ")))/(LEN(L_NotLoaded)+1))&gt;SUMPRODUCT((LEN(BC162)-LEN(SUBSTITUTE(BC162," "&amp;L_NotLoadedNeg&amp;" "," ")))/(LEN(L_NotLoadedNeg)+1)),SUMPRODUCT((LEN(BD162)-LEN(SUBSTITUTE(BD162," "&amp;L_NotLoaded&amp;" "," ")))/(LEN(L_NotLoaded)+1))&gt;SUMPRODUCT((LEN(BD162)-LEN(SUBSTITUTE(BD162," "&amp;L_NotLoadedNeg&amp;" "," ")))/(LEN(L_NotLoadedNeg)+1))),1,0),0)</f>
        <v>0</v>
      </c>
      <c r="BW1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162&amp;""),"a",""),"b",""),"c",""),"d",""),"e",""),"f",""),"g",""),"h",""),"i",""),"j",""),"k",""),"l",""),"m",""),"n",""),"o",""),"p",""),"q",""),"r",""),"s",""),"t",""),"u",""),"v",""),"w",""),"x",""),"y",""),"z",""),"-",""),"_",""),"/",""),".",""),"#",""),"\\",""),":","")," ",""),"(",""),")","")</f>
        <v/>
      </c>
      <c r="BX162" s="61" t="str">
        <f aca="false">SUBSTITUTE(SUBSTITUTE(SUBSTITUTE(SUBSTITUTE(SUBSTITUTE(SUBSTITUTE(SUBSTITUTE(SUBSTITUTE(SUBSTITUTE(SUBSTITUTE(SUBSTITUTE(BM162,"0",""),"-",""),"_",""),"/",""),".",""),"#",""),"\\",""),":","")," ",""),"(",""),")","")</f>
        <v/>
      </c>
      <c r="BY162" s="62" t="n">
        <f aca="false">IF(ISNUMBER(Flights!$AZ$9),MAX(Q162-UpliftWindowH/24,Flights!$AZ$9),Q162-UpliftWindowH/24)</f>
        <v>46310.0451388889</v>
      </c>
      <c r="BZ162" s="61" t="n">
        <f aca="false">IFERROR(IF(IF(TRIM(S162)="Link / file path",AND(LEN(TRIM(Z162))&gt;=5,SUMPRODUCT(--ISNUMBER(SEARCH({"http","www.","\\",":\",".pdf",".jpg",".jpeg",".png",".heic",".xls",".doc",".msg",".eml",".ppt",".txt",".zip"},Z162)))&gt;0),AND(ISERROR(FIND(" ",TRIM(Z162))),NOT(OR(SUMPRODUCT(--ISNUMBER(FIND({",",";","&amp;","+"},Z162)))&gt;0,SUMPRODUCT(--ISNUMBER(SEARCH({"0/aa","0\\aa"},BN162)))&gt;0)),NOT(SUMPRODUCT(--ISNUMBER(SEARCH({"http","www.","\\",":\",".pdf",".jpg",".jpeg",".png",".heic",".xls",".doc",".msg",".eml",".ppt",".txt",".zip"},Z162)))&gt;0),NOT(LOWER(TRIM(Z162))=LOWER(Flights!$F$9)),ISNA(MATCH(BU162,{"mh","rev","revision","ver","version","v","r","a","b","seat","tray","row","gate","bay","stand","page","pg","item","line","no","cart","galley","flight","flt","table","box","bag","oven","etd","eta","std","sta","atd","ata","qty","pax","x","time","tel","ph","mob","day","wk","week","utc","gmt","myt","lt"},0)),NOT(OR(ISNUMBER(MATCH(LEFT(BN162,255),{"0000a","000a","00a","0000aa","000aa","00aa","0aa","0000aaa","000aaa","00a00","0a00","0000-0000","00:00","a00","a0","00.00.0000","00/00/0000","00-00-0000","0000-00-00","0000/00/00","0000.00.00","00.00.00","00/00/00","00-00-00","0.00.0000","0/00/0000","0-00-0000"},0)),ISNUMBER(MATCH(LEFT(BT162,255),{"0000a","000a","00a","0000aa","000aa","00aa","0aa","0000aaa","000aaa","00a00","0a00","0000-0000","00:00","a00","a0","00.00.0000","00/00/0000","00-00-0000","0000-00-00","0000/00/00","0000.00.00","00.00.00","00/00/00","00-00-00","0.00.0000","0/00/0000","0-00-0000"},0)))),NOT(OR(AND(BW162&lt;&gt;"",SUBSTITUTE(BW162,"0","")=""),AND(LEN(BW162)&gt;=4,BW162=REPT(LEFT(BW162),LEN(BW162))),ISNUMBER(MATCH(BW162,{"123","1234","12345","123456","1234567","12345678","0123","01234","012345","98765","987654","54321"},0)),ISNUMBER(MATCH(BX162,{"x","xx","xxx","xxxx","xxxxx","abc","abcd","nil","na","nan","test","tbc","tba","tbd","dummy","sample","example","eg","zz","zzz","none","null","xyz","qwe","asd","id","ref"},0)),AND(LEN(BW162)=8,BX162="",OR(LEFT(BW162,3)="202",ISNUMBER(MATCH(RIGHT(BW162,4),{"2025","2026","2027"},0)))))),OR(AND((LEN(BT162)-LEN(SUBSTITUTE(BT162,"a","")))&gt;=1,(LEN(BN162)-LEN(SUBSTITUTE(BN162,"0","")))&gt;=2,SUMPRODUCT(--ISNUMBER(SEARCH({"a0","a-0","a_0","a/0","a.0","a#0","0a","0-a","0_a","0/a"},BN162)))&gt;0),AND((LEN(BN162)-LEN(SUBSTITUTE(BN162,"a","")))=0,(LEN(BN162)-LEN(SUBSTITUTE(BN162,"0","")))&gt;=5)))),1,0),0)</f>
        <v>0</v>
      </c>
      <c r="CA1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162,"revision",""),"version",""),"jan",""),"feb",""),"mar",""),"apr",""),"may",""),"jun",""),"jul",""),"aug",""),"sep",""),"oct",""),"nov",""),"dec",""),"utc",""),"gmt",""),"myt",""),"bst",""),"rev",""),"ver",""),"b","a"),"c","a"),"d","a"),"e","a"),"f","a"),"g","a"),"h","a"),"i","a"),"j","a"),"k","a"),"l","a"),"m","a"),"n","a"),"o","a"),"p","a"),"q","a"),"r","a"),"s","a"),"t","a"),"u","a"),"v","a"),"w","a"),"x","a"),"y","a"),"z","a")</f>
        <v/>
      </c>
      <c r="CB1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162&amp;""),"a",""),"b",""),"c",""),"d",""),"e",""),"f",""),"g",""),"h",""),"i",""),"j",""),"k",""),"l",""),"m",""),"n",""),"o",""),"p",""),"q",""),"r",""),"s",""),"t",""),"u",""),"v",""),"w",""),"x",""),"y",""),"z",""),"-",""),"_",""),"/",""),".",""),"#",""),"\\",""),":","")," ",""),"(",""),")","")</f>
        <v/>
      </c>
      <c r="CC162" s="0" t="str">
        <f aca="false">" "&amp;TRIM(SUBSTITUTE(SUBSTITUTE(SUBSTITUTE(SUBSTITUTE(SUBSTITUTE(SUBSTITUTE(SUBSTITUTE(SUBSTITUTE(SUBSTITUTE(SUBSTITUTE(SUBSTITUTE(SUBSTITUTE(SUBSTITUTE(SUBSTITUTE(SUBSTITUTE(SUBSTITUTE(SUBSTITUTE(SUBSTITUTE(SUBSTITUTE(SUBSTITUTE(SUBSTITUTE(SUBSTITUTE(SUBSTITUTE(SUBSTITUTE(LOWER(T162&amp;""),CHAR(10)," "),CHAR(13)," "),CHAR(9)," "),CHAR(160)," "),"."," "),","," "),"-"," "),"/"," "),"("," "),")"," "),":"," "),";"," "),"_"," "),"–"," "),"?"," "),"!"," "),"*"," "),"["," "),"]"," "),"'"," "),"#"," "),"+"," "),"&amp;"," "),"\"," "))&amp;" "</f>
        <v>  </v>
      </c>
      <c r="CD162" s="0" t="str">
        <f aca="false">" "&amp;TRIM(SUBSTITUTE(SUBSTITUTE(SUBSTITUTE(SUBSTITUTE(SUBSTITUTE(SUBSTITUTE(SUBSTITUTE(SUBSTITUTE(SUBSTITUTE(SUBSTITUTE(SUBSTITUTE(SUBSTITUTE(SUBSTITUTE(SUBSTITUTE(SUBSTITUTE(SUBSTITUTE(SUBSTITUTE(SUBSTITUTE(SUBSTITUTE(SUBSTITUTE(SUBSTITUTE(SUBSTITUTE(SUBSTITUTE(SUBSTITUTE(LOWER(AE162&amp;""),CHAR(10)," "),CHAR(13)," "),CHAR(9)," "),CHAR(160)," "),"."," "),","," "),"-"," "),"/"," "),"("," "),")"," "),":"," "),";"," "),"_"," "),"–"," "),"?"," "),"!"," "),"*"," "),"["," "),"]"," "),"'"," "),"#"," "),"+"," "),"&amp;"," "),"\"," "))&amp;" "</f>
        <v>  </v>
      </c>
      <c r="CE162" s="68" t="n">
        <f aca="false">IFERROR(IF(AND(LEN(AU162)&gt;0,LEN(AU162)=LEN(AX162),OR(TRIM(MID(SUBSTITUTE(TRIM(CC162)," ",REPT(" ",60)),1,60))="",ISNUMBER(SEARCH(" "&amp;TRIM(MID(SUBSTITUTE(TRIM(CC162)," ",REPT(" ",60)),1,60))&amp;" ",CD162))),OR(TRIM(MID(SUBSTITUTE(TRIM(CC162)," ",REPT(" ",60)),61,60))="",ISNUMBER(SEARCH(" "&amp;TRIM(MID(SUBSTITUTE(TRIM(CC162)," ",REPT(" ",60)),61,60))&amp;" ",CD162))),OR(TRIM(MID(SUBSTITUTE(TRIM(CC162)," ",REPT(" ",60)),121,60))="",ISNUMBER(SEARCH(" "&amp;TRIM(MID(SUBSTITUTE(TRIM(CC162)," ",REPT(" ",60)),121,60))&amp;" ",CD162)))),1,0),0)</f>
        <v>0</v>
      </c>
      <c r="CG162" s="68" t="n">
        <f aca="false">IFERROR(LEN(SUBSTITUTE(BF162," ",""))-SUMPRODUCT((LEN(BF162)-LEN(SUBSTITUTE(BF162," "&amp;L_NAFiller&amp;" "," ")))/(LEN(L_NAFiller)+1)*LEN(L_NAFiller)),0)</f>
        <v>0</v>
      </c>
    </row>
    <row r="163" customFormat="false" ht="39.75" hidden="false" customHeight="true" outlineLevel="0" collapsed="false">
      <c r="A163" s="57" t="s">
        <v>702</v>
      </c>
      <c r="B163" s="57" t="s">
        <v>228</v>
      </c>
      <c r="C163" s="57" t="str">
        <f aca="false">Flights!$F$9</f>
        <v>MH0089</v>
      </c>
      <c r="D163" s="58" t="n">
        <f aca="false">Flights!$D$9</f>
        <v>46310</v>
      </c>
      <c r="E163" s="57" t="str">
        <f aca="false">Flights!$G$9&amp;"-"&amp;Flights!$H$9</f>
        <v>NRT-KUL</v>
      </c>
      <c r="F163" s="57" t="str">
        <f aca="false">Flights!$K$9</f>
        <v>EY</v>
      </c>
      <c r="G163" s="57" t="s">
        <v>459</v>
      </c>
      <c r="H163" s="57" t="s">
        <v>460</v>
      </c>
      <c r="I163" s="57" t="s">
        <v>447</v>
      </c>
      <c r="J163" s="57" t="s">
        <v>469</v>
      </c>
      <c r="K163" s="67" t="s">
        <v>449</v>
      </c>
      <c r="L163" s="67" t="s">
        <v>687</v>
      </c>
      <c r="M163" s="67" t="s">
        <v>451</v>
      </c>
      <c r="N163" s="67" t="s">
        <v>383</v>
      </c>
      <c r="O163" s="67"/>
      <c r="P163" s="57" t="s">
        <v>220</v>
      </c>
      <c r="Q163" s="59" t="n">
        <f aca="false">ROUND((Flights!$AF$9)*1440,0)/1440</f>
        <v>46310.0451388889</v>
      </c>
      <c r="R163" s="59" t="n">
        <f aca="false">Q163+(IF(AND(INDEX(TZ_DSTS,MATCH(P163,TZ_STN,0))&lt;&gt;"",Q163&gt;=INDEX(TZ_DSTS,MATCH(P163,TZ_STN,0)),Q163&lt;INDEX(TZ_DSTE,MATCH(P163,TZ_STN,0))),INDEX(TZ_DST,MATCH(P163,TZ_STN,0)),INDEX(TZ_STD,MATCH(P163,TZ_STN,0))))/24</f>
        <v>46310.4201388889</v>
      </c>
      <c r="S163" s="60"/>
      <c r="T163" s="60"/>
      <c r="U163" s="60"/>
      <c r="V163" s="60"/>
      <c r="W163" s="61"/>
      <c r="X163" s="60"/>
      <c r="Y163" s="60"/>
      <c r="Z163" s="60"/>
      <c r="AA163" s="60"/>
      <c r="AB163" s="60"/>
      <c r="AC163" s="60"/>
      <c r="AD163" s="66"/>
      <c r="AE163" s="60"/>
      <c r="AF163" s="61" t="str">
        <f aca="false">IF(AND(ISNUMBER(X163),ISNUMBER(Y163)),Y163-X163,"")</f>
        <v/>
      </c>
      <c r="AG163" s="62" t="str">
        <f aca="false">IF(ISNUMBER(AD163),AD163-(IF(AND(INDEX(TZ_DSTS,MATCH(P163,TZ_STN,0))&lt;&gt;"",(AD163-INDEX(TZ_STD,MATCH(P163,TZ_STN,0))/24)&gt;=INDEX(TZ_DSTS,MATCH(P163,TZ_STN,0)),(AD163-INDEX(TZ_STD,MATCH(P163,TZ_STN,0))/24)&lt;INDEX(TZ_DSTE,MATCH(P163,TZ_STN,0))),INDEX(TZ_DST,MATCH(P163,TZ_STN,0)),INDEX(TZ_STD,MATCH(P163,TZ_STN,0))))/24,"")</f>
        <v/>
      </c>
      <c r="AH163" s="65" t="str">
        <f aca="false">IFERROR(IF(N163="N/A – rule",IF(OR(TRIM(U163)="",TRIM(U163)="N/A",TRIM(U163)="Not started"),"N/A – RULE","INVALID – this check does not apply to this aircraft: clear the status (or correct the fleet on Flights)"),IF(TRIM(U163)="N/A",IF(AT163=0,"INVALID – N/A not permitted for this check",IF(AND(TRIM(AB163)&lt;&gt;"",TRIM(AB163)&lt;&gt;"Closed"),"INVALID – corrective action still open",IF(AND(NOT(OR(LEN(AZ163)&lt;15,ISNUMBER(MATCH(AZ163,L_Placeholder,0)))),BK163=0,CG163&gt;=8,NOT(OR(LEN(AU163)&lt;2,ISNUMBER(MATCH(AU163,L_Placeholder,0)))),BR163&gt;=3,NOT(OR(LEN(AX163)&lt;2,ISNUMBER(MATCH(AX163,L_Placeholder,0)))),BS163&gt;=3,TRIM(AE163)&lt;&gt;TRIM(T163),AX163&lt;&gt;AU163,CE163=0),"N/A – JUSTIFIED","INVALID – N/A needs a real, settled reason (not 'not applicable' / 'as above' / TBC), a named PIC and a different named verifier"))),IF(OR(TRIM(U163)="Pass",TRIM(U163)="Pass after CA"),IF(NOT(ISNUMBER(AD163)),"INVALID – completion time missing",IF(OR(OR(LEN(AU163)&lt;2,ISNUMBER(MATCH(AU163,L_Placeholder,0))),BR163&lt;3),"INVALID – PIC missing or not a named person (a role such as QA / CSM is not a name)",IF(OR(LEN(AV163)&lt;2,ISNUMBER(MATCH(AV163,L_Placeholder,0))),"INVALID – result / assessment missing",IF(OR(OR(LEN(AW163)&lt;3,ISNUMBER(MATCH(AW163,L_Placeholder,0))),SUMPRODUCT(--ISNUMBER(SEARCH(" "&amp;L_EvidencePhrase&amp;" ",BD163)))&gt;0,BI163=1),"INVALID – evidence missing, placeholder or not yet on file",IF(ISNA(MATCH(TRIM(S163),L_EvidenceType,0)),"INVALID – choose the evidence type from the list (column S)",IF(BL163=0,"INVALID – evidence ID must be the record's own ID only (e.g. SF-2210, IMG_2231, 1045521); a link / file name needs type 'Link / file path'",IF(OR(OR(LEN(AX163)&lt;2,ISNUMBER(MATCH(AX163,L_Placeholder,0))),BS163&lt;3),"INVALID – verifier missing or not a named person (a role such as QA / CSM is not a name)",IF(OR(AX163=AU163,CE163=1,AND(LEN(AU163)&gt;=4,ISNUMBER(SEARCH(AU163,AX163))),AND(LEN(AX163)&gt;=4,ISNUMBER(SEARCH(AX163,AU163)))),"INVALID – verifier must be a different, named person (not the PIC or a role)",IF(BH163=1,"INVALID – result not yet available (awaiting / TBC)",IF(BG163=1,"INVALID – result describes a problem: record Fail, then Pass after CA (or reword if it is not a problem)",IF(BV163=1,"INVALID – wording says not on board: an on-board confirmation needs the item loaded",IF(AND(AQ163=1,OR(OR(LEN(AY163)&lt;3,ISNUMBER(MATCH(AY163,L_Placeholder,0))),BJ163=1,BQ163=0)),"INVALID – batch ID missing, placeholder or not an ID (e.g. PASB-261008-BC-017)",IF(AND(AR163=1,OR(NOT(ISNUMBER(X163)),NOT(ISNUMBER(Y163)))),"INVALID – expected/actual qty missing",IF(AND(AR163=1,OR(X163&lt;=0,Y163&lt;0)),"INVALID – expected qty must be above 0 and actual not negative",IF(AH156="N/A – JUSTIFIED","INVALID – preparation row F05-T12-09 is N/A",IF(AND(AR163=1,ISNUMBER(X156),X163&lt;&gt;X156,TRIM(U163)&lt;&gt;"Pass after CA"),"INVALID – expected qty differs from preparation check F05-T12-09: record the load change as a corrective action (Pass after CA)",IF(BB163&lt;&gt;"",BB163,IF(AND(AS163=1,Documents!$J$9&lt;&gt;"ON FILE"),"INVALID – GLD not on file (Documents sheet)",IF(AND(AS163=2,Documents!$O$9&lt;&gt;"ON FILE"),"INVALID – menu checklist not on file (Documents sheet)",IF(AND(AS163=3,NOT(ISNUMBER(Flights!$AX$9))),"INVALID – enter carrying flight KUL departure (Flights AX)",IF(AND(AS163=3,OR(Flights!$AZ$9&gt;Flights!$AA$9,Flights!$AX$9&lt;Flights!$AA$9-3)),"INVALID – carrying flight (Flights AX) cannot arrive before this leg's STD, or is over 3 days early",IF(AG163&gt;AsOfUTC,"INVALID – completion time is in the future",IF(AND(ISNUMBER(BY163),AG163&lt;BY163),IF(H163="Physical uplift","INVALID – before uplift window (cannot confirm loading)","INVALID – before valid window"),IF(AG163&gt;Flights!$AA$9,"INVALID – completed after departure (cannot establish readiness)",IF(AND(H163="Preparation",AG163&gt;=IF(ISNUMBER(Flights!$BA$9),MIN(Flights!$BA$9,Flights!$AA$9),Flights!$AA$9)),"INVALID – completed after loading / departure (cannot establish readiness)",IF(AND(H163="Physical uplift",AG163&gt;Q163),"INVALID – recorded after the loading flight departed",IF(AG163&gt;Q163,"COMPLETE – LATE","COMPLETE"))))))))))))))))))))))))))),IF(TRIM(U163)="Fail","FAIL – DISCREPANCY",IF(AND(TRIM(U163)&lt;&gt;"",TRIM(U163)&lt;&gt;"Not started",TRIM(U163)&lt;&gt;"In progress"),"INVALID – unrecognised status (use the list)",IF(AsOfUTC&gt;Q163,"OVERDUE",IF(N163="Clarification required","OPEN – CLARIFICATION","OPEN"))))))),"INVALID – error value in an input cell")</f>
        <v>OPEN</v>
      </c>
      <c r="AI163" s="61" t="n">
        <f aca="false">IF(OR(AH163="N/A – RULE",AH163="N/A – JUSTIFIED"),0,1)</f>
        <v>1</v>
      </c>
      <c r="AJ163" s="61" t="n">
        <f aca="false">IF(LEFT(AH163,8)="COMPLETE",1,0)</f>
        <v>0</v>
      </c>
      <c r="AK163" s="61" t="n">
        <f aca="false">IF(AND(AI163=1,AJ163=0,AsOfUTC&gt;Q163),1,0)</f>
        <v>0</v>
      </c>
      <c r="AL163" s="61" t="n">
        <f aca="false">IFERROR(IF(AND(AI163=1,OR(TRIM(U163)="Fail",AND(TRIM(AB163)&lt;&gt;"",TRIM(AB163)&lt;&gt;"Closed"),AND(ISNUMBER(AF163),AF163&lt;&gt;0,TRIM(U163)&lt;&gt;"Pass after CA"))),1,0),1)</f>
        <v>0</v>
      </c>
      <c r="AM163" s="61" t="n">
        <f aca="false">IF(LEFT(AH163,7)="INVALID",1,0)</f>
        <v>0</v>
      </c>
      <c r="AN163" s="61" t="n">
        <f aca="false">IF(AND(N163="Clarification required",AI163=1,AJ163=0),1,0)</f>
        <v>0</v>
      </c>
      <c r="AO163" s="61" t="str">
        <f aca="false">IF(AK163=1,SUM(AK$5:AK163),"")</f>
        <v/>
      </c>
      <c r="AP163" s="61" t="str">
        <f aca="false">IF(AL163=1,SUM(AL$5:AL163),"")</f>
        <v/>
      </c>
      <c r="AQ163" s="61" t="n">
        <v>0</v>
      </c>
      <c r="AR163" s="61" t="n">
        <v>0</v>
      </c>
      <c r="AS163" s="61" t="n">
        <v>0</v>
      </c>
      <c r="AT163" s="61" t="n">
        <v>0</v>
      </c>
      <c r="AU163" s="61" t="str">
        <f aca="false">SUBSTITUTE(SUBSTITUTE(SUBSTITUTE(SUBSTITUTE(SUBSTITUTE(SUBSTITUTE(SUBSTITUTE(SUBSTITUTE(SUBSTITUTE(SUBSTITUTE(SUBSTITUTE(SUBSTITUTE(SUBSTITUTE(SUBSTITUTE(SUBSTITUTE(SUBSTITUTE(LOWER(T163&amp;""),CHAR(10),""),CHAR(13),""),CHAR(9),""),CHAR(160),"")," ",""),".",""),"-",""),"/",""),"?",""),"_",""),",",""),"[",""),"]",""),"(",""),")",""),"*","")</f>
        <v/>
      </c>
      <c r="AV163" s="61" t="str">
        <f aca="false">SUBSTITUTE(SUBSTITUTE(SUBSTITUTE(SUBSTITUTE(SUBSTITUTE(SUBSTITUTE(SUBSTITUTE(SUBSTITUTE(SUBSTITUTE(SUBSTITUTE(SUBSTITUTE(SUBSTITUTE(SUBSTITUTE(SUBSTITUTE(SUBSTITUTE(SUBSTITUTE(LOWER(V163&amp;""),CHAR(10),""),CHAR(13),""),CHAR(9),""),CHAR(160),"")," ",""),".",""),"-",""),"/",""),"?",""),"_",""),",",""),"[",""),"]",""),"(",""),")",""),"*","")</f>
        <v/>
      </c>
      <c r="AW163" s="61" t="str">
        <f aca="false">SUBSTITUTE(SUBSTITUTE(SUBSTITUTE(SUBSTITUTE(SUBSTITUTE(SUBSTITUTE(SUBSTITUTE(SUBSTITUTE(SUBSTITUTE(SUBSTITUTE(SUBSTITUTE(SUBSTITUTE(SUBSTITUTE(SUBSTITUTE(SUBSTITUTE(SUBSTITUTE(LOWER(Z163&amp;""),CHAR(10),""),CHAR(13),""),CHAR(9),""),CHAR(160),"")," ",""),".",""),"-",""),"/",""),"?",""),"_",""),",",""),"[",""),"]",""),"(",""),")",""),"*","")</f>
        <v/>
      </c>
      <c r="AX163" s="61" t="str">
        <f aca="false">SUBSTITUTE(SUBSTITUTE(SUBSTITUTE(SUBSTITUTE(SUBSTITUTE(SUBSTITUTE(SUBSTITUTE(SUBSTITUTE(SUBSTITUTE(SUBSTITUTE(SUBSTITUTE(SUBSTITUTE(SUBSTITUTE(SUBSTITUTE(SUBSTITUTE(SUBSTITUTE(LOWER(AE163&amp;""),CHAR(10),""),CHAR(13),""),CHAR(9),""),CHAR(160),"")," ",""),".",""),"-",""),"/",""),"?",""),"_",""),",",""),"[",""),"]",""),"(",""),")",""),"*","")</f>
        <v/>
      </c>
      <c r="AY163" s="61" t="str">
        <f aca="false">SUBSTITUTE(SUBSTITUTE(SUBSTITUTE(SUBSTITUTE(SUBSTITUTE(SUBSTITUTE(SUBSTITUTE(SUBSTITUTE(SUBSTITUTE(SUBSTITUTE(SUBSTITUTE(SUBSTITUTE(SUBSTITUTE(SUBSTITUTE(SUBSTITUTE(SUBSTITUTE(LOWER(W163&amp;""),CHAR(10),""),CHAR(13),""),CHAR(9),""),CHAR(160),"")," ",""),".",""),"-",""),"/",""),"?",""),"_",""),",",""),"[",""),"]",""),"(",""),")",""),"*","")</f>
        <v/>
      </c>
      <c r="AZ163" s="61" t="str">
        <f aca="false">SUBSTITUTE(SUBSTITUTE(SUBSTITUTE(SUBSTITUTE(SUBSTITUTE(SUBSTITUTE(SUBSTITUTE(SUBSTITUTE(SUBSTITUTE(SUBSTITUTE(SUBSTITUTE(SUBSTITUTE(SUBSTITUTE(SUBSTITUTE(SUBSTITUTE(SUBSTITUTE(LOWER(AC163&amp;""),CHAR(10),""),CHAR(13),""),CHAR(9),""),CHAR(160),"")," ",""),".",""),"-",""),"/",""),"?",""),"_",""),",",""),"[",""),"]",""),"(",""),")",""),"*","")</f>
        <v/>
      </c>
      <c r="BA163" s="61" t="str">
        <f aca="false">SUBSTITUTE(SUBSTITUTE(SUBSTITUTE(SUBSTITUTE(SUBSTITUTE(SUBSTITUTE(SUBSTITUTE(SUBSTITUTE(SUBSTITUTE(SUBSTITUTE(SUBSTITUTE(SUBSTITUTE(SUBSTITUTE(SUBSTITUTE(SUBSTITUTE(SUBSTITUTE(LOWER(AA163&amp;""),CHAR(10),""),CHAR(13),""),CHAR(9),""),CHAR(160),"")," ",""),".",""),"-",""),"/",""),"?",""),"_",""),",",""),"[",""),"]",""),"(",""),")",""),"*","")</f>
        <v/>
      </c>
      <c r="BB163" s="61" t="str">
        <f aca="false">IF(AND(TRIM(U163)="Pass",ISNUMBER(AF163)),IF(AF163&lt;&gt;0,"INVALID – qty variance: use Fail or Pass after CA",""),"")&amp;IF(AND(TRIM(U163)="Pass after CA",ISNUMBER(AF163)),IF(AF163&lt;&gt;0,"INVALID – after the corrective action the actual qty must equal expected (update Actual)",""),"")&amp;IF(AND(TRIM(U163)="Pass",TRIM(AB163)&lt;&gt;"",TRIM(AB163)&lt;&gt;"Closed"),"INVALID – corrective action not closed: use Fail, then Pass after CA","")&amp;IF(AND(LEN(BA163)&gt;=2,ISNA(MATCH(LEFT(BA163,255),L_Placeholder,0)),TRIM(AB163)=""),"INVALID – CA status missing for the recorded corrective action","")&amp;IF(AND(TRIM(U163)="Pass after CA",OR(OR(LEN(BA163)&lt;5,ISNUMBER(MATCH(BA163,L_Placeholder,0))),TRIM(AB163)&lt;&gt;"Closed")),"INVALID – corrective action not recorded/closed","")</f>
        <v/>
      </c>
      <c r="BC163" s="61" t="str">
        <f aca="false">" "&amp;TRIM(SUBSTITUTE(SUBSTITUTE(SUBSTITUTE(SUBSTITUTE(SUBSTITUTE(SUBSTITUTE(SUBSTITUTE(SUBSTITUTE(SUBSTITUTE(SUBSTITUTE(SUBSTITUTE(SUBSTITUTE(SUBSTITUTE(SUBSTITUTE(SUBSTITUTE(SUBSTITUTE(SUBSTITUTE(SUBSTITUTE(SUBSTITUTE(SUBSTITUTE(SUBSTITUTE(SUBSTITUTE(SUBSTITUTE(SUBSTITUTE(LOWER(V163&amp;""),CHAR(10)," "),CHAR(13)," "),CHAR(9)," "),CHAR(160)," "),"."," "),","," "),"-"," "),"/"," "),"("," "),")"," "),":"," "),";"," "),"_"," "),"–"," "),"?"," "),"!"," "),"*"," "),"["," "),"]"," "),"'"," "),"#"," "),"+"," "),"&amp;"," "),"\"," "))&amp;" "</f>
        <v>  </v>
      </c>
      <c r="BD163" s="61" t="str">
        <f aca="false">" "&amp;TRIM(SUBSTITUTE(SUBSTITUTE(SUBSTITUTE(SUBSTITUTE(SUBSTITUTE(SUBSTITUTE(SUBSTITUTE(SUBSTITUTE(SUBSTITUTE(SUBSTITUTE(SUBSTITUTE(SUBSTITUTE(SUBSTITUTE(SUBSTITUTE(SUBSTITUTE(SUBSTITUTE(SUBSTITUTE(SUBSTITUTE(SUBSTITUTE(SUBSTITUTE(SUBSTITUTE(SUBSTITUTE(SUBSTITUTE(SUBSTITUTE(LOWER(Z163&amp;""),CHAR(10)," "),CHAR(13)," "),CHAR(9)," "),CHAR(160)," "),"."," "),","," "),"-"," "),"/"," "),"("," "),")"," "),":"," "),";"," "),"_"," "),"–"," "),"?"," "),"!"," "),"*"," "),"["," "),"]"," "),"'"," "),"#"," "),"+"," "),"&amp;"," "),"\"," "))&amp;" "</f>
        <v>  </v>
      </c>
      <c r="BE163" s="61" t="str">
        <f aca="false">" "&amp;TRIM(SUBSTITUTE(SUBSTITUTE(SUBSTITUTE(SUBSTITUTE(SUBSTITUTE(SUBSTITUTE(SUBSTITUTE(SUBSTITUTE(SUBSTITUTE(SUBSTITUTE(SUBSTITUTE(SUBSTITUTE(SUBSTITUTE(SUBSTITUTE(SUBSTITUTE(SUBSTITUTE(SUBSTITUTE(SUBSTITUTE(SUBSTITUTE(SUBSTITUTE(SUBSTITUTE(SUBSTITUTE(SUBSTITUTE(SUBSTITUTE(LOWER(W163&amp;""),CHAR(10)," "),CHAR(13)," "),CHAR(9)," "),CHAR(160)," "),"."," "),","," "),"-"," "),"/"," "),"("," "),")"," "),":"," "),";"," "),"_"," "),"–"," "),"?"," "),"!"," "),"*"," "),"["," "),"]"," "),"'"," "),"#"," "),"+"," "),"&amp;"," "),"\"," "))&amp;" "</f>
        <v>  </v>
      </c>
      <c r="BF163" s="61" t="str">
        <f aca="false">" "&amp;TRIM(SUBSTITUTE(SUBSTITUTE(SUBSTITUTE(SUBSTITUTE(SUBSTITUTE(SUBSTITUTE(SUBSTITUTE(SUBSTITUTE(SUBSTITUTE(SUBSTITUTE(SUBSTITUTE(SUBSTITUTE(SUBSTITUTE(SUBSTITUTE(SUBSTITUTE(SUBSTITUTE(SUBSTITUTE(SUBSTITUTE(SUBSTITUTE(SUBSTITUTE(SUBSTITUTE(SUBSTITUTE(SUBSTITUTE(SUBSTITUTE(LOWER(AC163&amp;""),CHAR(10)," "),CHAR(13)," "),CHAR(9)," "),CHAR(160)," "),"."," "),","," "),"-"," "),"/"," "),"("," "),")"," "),":"," "),";"," "),"_"," "),"–"," "),"?"," "),"!"," "),"*"," "),"["," "),"]"," "),"'"," "),"#"," "),"+"," "),"&amp;"," "),"\"," "))&amp;" "</f>
        <v>  </v>
      </c>
      <c r="BG163" s="61" t="n">
        <f aca="false">IFERROR(IF(AND(TRIM(U163)="Pass",SUMPRODUCT((LEN(BC163)-LEN(SUBSTITUTE(BC163," "&amp;L_ResultBad&amp;" "," ")))/(LEN(L_ResultBad)+1))&gt;SUMPRODUCT((LEN(BC163)-LEN(SUBSTITUTE(BC163," "&amp;L_NegPhrase&amp;" "," ")))/(LEN(L_NegPhrase)+1))),1,0),0)</f>
        <v>0</v>
      </c>
      <c r="BH163" s="61" t="n">
        <f aca="false">IFERROR(IF(SUMPRODUCT((LEN(BC163)-LEN(SUBSTITUTE(BC163," "&amp;L_Pending&amp;" "," ")))/(LEN(L_Pending)+1))&gt;SUMPRODUCT((LEN(BC163)-LEN(SUBSTITUTE(BC163," "&amp;L_PendNeg&amp;" "," ")))/(LEN(L_PendNeg)+1)),1,0),1)</f>
        <v>0</v>
      </c>
      <c r="BI163" s="61" t="n">
        <f aca="false">IFERROR(IF(SUMPRODUCT((LEN(BD163)-LEN(SUBSTITUTE(BD163," "&amp;L_PendStrict&amp;" "," ")))/(LEN(L_PendStrict)+1))&gt;SUMPRODUCT((LEN(BD163)-LEN(SUBSTITUTE(BD163," "&amp;L_PendNeg&amp;" "," ")))/(LEN(L_PendNeg)+1)),1,0),1)</f>
        <v>0</v>
      </c>
      <c r="BJ163" s="61" t="n">
        <f aca="false">IFERROR(IF(SUMPRODUCT((LEN(BE163)-LEN(SUBSTITUTE(BE163," "&amp;L_Pending&amp;" "," ")))/(LEN(L_Pending)+1))&gt;SUMPRODUCT((LEN(BE163)-LEN(SUBSTITUTE(BE163," "&amp;L_PendNeg&amp;" "," ")))/(LEN(L_PendNeg)+1)),1,0),1)</f>
        <v>0</v>
      </c>
      <c r="BK163" s="61" t="n">
        <f aca="false">IFERROR(IF(SUMPRODUCT((LEN(BF163)-LEN(SUBSTITUTE(BF163," "&amp;L_PendStrict&amp;" "," ")))/(LEN(L_PendStrict)+1))&gt;SUMPRODUCT((LEN(BF163)-LEN(SUBSTITUTE(BF163," "&amp;L_PendNeg&amp;" "," ")))/(LEN(L_PendNeg)+1)),1,0),1)</f>
        <v>0</v>
      </c>
      <c r="BL163" s="61" t="n">
        <f aca="false">IF(ISNA(MATCH(TRIM(S163),L_EvidenceType,0)),0,BZ163)</f>
        <v>0</v>
      </c>
      <c r="BM163" s="61" t="str">
        <f aca="false">SUBSTITUTE(SUBSTITUTE(SUBSTITUTE(SUBSTITUTE(SUBSTITUTE(SUBSTITUTE(SUBSTITUTE(SUBSTITUTE(SUBSTITUTE(LOWER(Z163&amp;""),"1","0"),"2","0"),"3","0"),"4","0"),"5","0"),"6","0"),"7","0"),"8","0"),"9","0")</f>
        <v/>
      </c>
      <c r="BN163" s="61" t="str">
        <f aca="false">SUBSTITUTE(SUBSTITUTE(SUBSTITUTE(SUBSTITUTE(SUBSTITUTE(SUBSTITUTE(SUBSTITUTE(SUBSTITUTE(SUBSTITUTE(SUBSTITUTE(SUBSTITUTE(SUBSTITUTE(SUBSTITUTE(SUBSTITUTE(SUBSTITUTE(SUBSTITUTE(SUBSTITUTE(SUBSTITUTE(SUBSTITUTE(SUBSTITUTE(SUBSTITUTE(SUBSTITUTE(SUBSTITUTE(SUBSTITUTE(SUBSTITUTE(BM163,"b","a"),"c","a"),"d","a"),"e","a"),"f","a"),"g","a"),"h","a"),"i","a"),"j","a"),"k","a"),"l","a"),"m","a"),"n","a"),"o","a"),"p","a"),"q","a"),"r","a"),"s","a"),"t","a"),"u","a"),"v","a"),"w","a"),"x","a"),"y","a"),"z","a")</f>
        <v/>
      </c>
      <c r="BO163" s="61" t="str">
        <f aca="false">SUBSTITUTE(SUBSTITUTE(SUBSTITUTE(SUBSTITUTE(SUBSTITUTE(SUBSTITUTE(SUBSTITUTE(SUBSTITUTE(SUBSTITUTE(LOWER(W163&amp;""),"1","0"),"2","0"),"3","0"),"4","0"),"5","0"),"6","0"),"7","0"),"8","0"),"9","0")</f>
        <v/>
      </c>
      <c r="BP163" s="61" t="str">
        <f aca="false">SUBSTITUTE(SUBSTITUTE(SUBSTITUTE(SUBSTITUTE(SUBSTITUTE(SUBSTITUTE(SUBSTITUTE(SUBSTITUTE(SUBSTITUTE(SUBSTITUTE(SUBSTITUTE(SUBSTITUTE(SUBSTITUTE(SUBSTITUTE(SUBSTITUTE(SUBSTITUTE(SUBSTITUTE(SUBSTITUTE(SUBSTITUTE(SUBSTITUTE(SUBSTITUTE(SUBSTITUTE(SUBSTITUTE(SUBSTITUTE(SUBSTITUTE(BO163,"b","a"),"c","a"),"d","a"),"e","a"),"f","a"),"g","a"),"h","a"),"i","a"),"j","a"),"k","a"),"l","a"),"m","a"),"n","a"),"o","a"),"p","a"),"q","a"),"r","a"),"s","a"),"t","a"),"u","a"),"v","a"),"w","a"),"x","a"),"y","a"),"z","a")</f>
        <v/>
      </c>
      <c r="BQ163" s="61" t="n">
        <f aca="false">IFERROR(IF(AND(ISERROR(SEARCH(" mh"," "&amp;LOWER(W163))),ISNA(MATCH(LEFT(TRIM(BP163),255),{"0000a","000a","00a","0000aa","000aa","00aa","0aa","0000aaa","000aaa","00a00","0a00","0000-0000","00:00","a00","a0","00.00.0000","00/00/0000","00-00-0000","0000-00-00","0000/00/00","0000.00.00","00.00.00","00/00/00","00-00-00","0.00.0000","0/00/0000","0-00-0000"},0)),ISNA(MATCH(LEFT(TRIM(CA163),255),{"0000a","000a","00a","0000aa","000aa","00aa","0aa","0000aaa","000aaa","00a00","0a00","0000-0000","00:00","a00","a0","00.00.0000","00/00/0000","00-00-0000","0000-00-00","0000/00/00","0000.00.00","00.00.00","00/00/00","00-00-00","0.00.0000","0/00/0000","0-00-0000"},0)),LEN(CB163)&gt;=3,NOT(OR(SUBSTITUTE(CB163,"0","")="",AND(LEN(CB163)&gt;=4,CB163=REPT(LEFT(CB163),LEN(CB163))),ISNUMBER(MATCH(CB163,{"123","1234","12345","123456","1234567","12345678","0123","01234","012345","98765","987654","54321"},0)),AND(LEN(CB163)=8,LEFT(CB163,3)="202"))),OR(AND((LEN(CA163)-LEN(SUBSTITUTE(CA163,"a","")))&gt;=1,SUMPRODUCT(--ISNUMBER(SEARCH({"a0","a-0","a_0","a/0","a.0","a#0","0a","0-a","0_a","0/a"},BP163)))&gt;0),ISNUMBER(SEARCH("000000",BP163)))),1,0),0)</f>
        <v>0</v>
      </c>
      <c r="BR163" s="61" t="n">
        <f aca="false">IFERROR(LEN(SUBSTITUTE(CC163," ",""))-SUMPRODUCT((LEN(CC163)-LEN(SUBSTITUTE(CC163," "&amp;L_Role&amp;" "," ")))/(LEN(L_Role)+1)*LEN(L_Role)),0)</f>
        <v>0</v>
      </c>
      <c r="BS163" s="61" t="n">
        <f aca="false">IFERROR(LEN(SUBSTITUTE(CD163," ",""))-SUMPRODUCT((LEN(CD163)-LEN(SUBSTITUTE(CD163," "&amp;L_Role&amp;" "," ")))/(LEN(L_Role)+1)*LEN(L_Role)),0)</f>
        <v>0</v>
      </c>
      <c r="BT1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163,"revision",""),"version",""),"jan",""),"feb",""),"mar",""),"apr",""),"may",""),"jun",""),"jul",""),"aug",""),"sep",""),"oct",""),"nov",""),"dec",""),"utc",""),"gmt",""),"myt",""),"bst",""),"rev",""),"ver",""),"b","a"),"c","a"),"d","a"),"e","a"),"f","a"),"g","a"),"h","a"),"i","a"),"j","a"),"k","a"),"l","a"),"m","a"),"n","a"),"o","a"),"p","a"),"q","a"),"r","a"),"s","a"),"t","a"),"u","a"),"v","a"),"w","a"),"x","a"),"y","a"),"z","a")</f>
        <v/>
      </c>
      <c r="BU163" s="61" t="str">
        <f aca="false">SUBSTITUTE(SUBSTITUTE(SUBSTITUTE(SUBSTITUTE(SUBSTITUTE(SUBSTITUTE(SUBSTITUTE(SUBSTITUTE(SUBSTITUTE(SUBSTITUTE(LEFT(BM163,FIND("0",BM163&amp;"0")-1),"-",""),"_",""),"/",""),".",""),"#",""),"\\",""),":","")," ",""),"(",""),")","")</f>
        <v/>
      </c>
      <c r="BV163" s="61" t="n">
        <f aca="false">IFERROR(IF(OR(SUMPRODUCT((LEN(BC163)-LEN(SUBSTITUTE(BC163," "&amp;L_NotLoaded&amp;" "," ")))/(LEN(L_NotLoaded)+1))&gt;SUMPRODUCT((LEN(BC163)-LEN(SUBSTITUTE(BC163," "&amp;L_NotLoadedNeg&amp;" "," ")))/(LEN(L_NotLoadedNeg)+1)),SUMPRODUCT((LEN(BD163)-LEN(SUBSTITUTE(BD163," "&amp;L_NotLoaded&amp;" "," ")))/(LEN(L_NotLoaded)+1))&gt;SUMPRODUCT((LEN(BD163)-LEN(SUBSTITUTE(BD163," "&amp;L_NotLoadedNeg&amp;" "," ")))/(LEN(L_NotLoadedNeg)+1))),1,0),0)</f>
        <v>0</v>
      </c>
      <c r="BW1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163&amp;""),"a",""),"b",""),"c",""),"d",""),"e",""),"f",""),"g",""),"h",""),"i",""),"j",""),"k",""),"l",""),"m",""),"n",""),"o",""),"p",""),"q",""),"r",""),"s",""),"t",""),"u",""),"v",""),"w",""),"x",""),"y",""),"z",""),"-",""),"_",""),"/",""),".",""),"#",""),"\\",""),":","")," ",""),"(",""),")","")</f>
        <v/>
      </c>
      <c r="BX163" s="61" t="str">
        <f aca="false">SUBSTITUTE(SUBSTITUTE(SUBSTITUTE(SUBSTITUTE(SUBSTITUTE(SUBSTITUTE(SUBSTITUTE(SUBSTITUTE(SUBSTITUTE(SUBSTITUTE(SUBSTITUTE(BM163,"0",""),"-",""),"_",""),"/",""),".",""),"#",""),"\\",""),":","")," ",""),"(",""),")","")</f>
        <v/>
      </c>
      <c r="BY163" s="62" t="n">
        <f aca="false">IF(ISNUMBER(Flights!$AZ$9),MAX(Q163-UpliftWindowH/24,Flights!$AZ$9),Q163-UpliftWindowH/24)</f>
        <v>46310.0451388889</v>
      </c>
      <c r="BZ163" s="61" t="n">
        <f aca="false">IFERROR(IF(IF(TRIM(S163)="Link / file path",AND(LEN(TRIM(Z163))&gt;=5,SUMPRODUCT(--ISNUMBER(SEARCH({"http","www.","\\",":\",".pdf",".jpg",".jpeg",".png",".heic",".xls",".doc",".msg",".eml",".ppt",".txt",".zip"},Z163)))&gt;0),AND(ISERROR(FIND(" ",TRIM(Z163))),NOT(OR(SUMPRODUCT(--ISNUMBER(FIND({",",";","&amp;","+"},Z163)))&gt;0,SUMPRODUCT(--ISNUMBER(SEARCH({"0/aa","0\\aa"},BN163)))&gt;0)),NOT(SUMPRODUCT(--ISNUMBER(SEARCH({"http","www.","\\",":\",".pdf",".jpg",".jpeg",".png",".heic",".xls",".doc",".msg",".eml",".ppt",".txt",".zip"},Z163)))&gt;0),NOT(LOWER(TRIM(Z163))=LOWER(Flights!$F$9)),ISNA(MATCH(BU163,{"mh","rev","revision","ver","version","v","r","a","b","seat","tray","row","gate","bay","stand","page","pg","item","line","no","cart","galley","flight","flt","table","box","bag","oven","etd","eta","std","sta","atd","ata","qty","pax","x","time","tel","ph","mob","day","wk","week","utc","gmt","myt","lt"},0)),NOT(OR(ISNUMBER(MATCH(LEFT(BN163,255),{"0000a","000a","00a","0000aa","000aa","00aa","0aa","0000aaa","000aaa","00a00","0a00","0000-0000","00:00","a00","a0","00.00.0000","00/00/0000","00-00-0000","0000-00-00","0000/00/00","0000.00.00","00.00.00","00/00/00","00-00-00","0.00.0000","0/00/0000","0-00-0000"},0)),ISNUMBER(MATCH(LEFT(BT163,255),{"0000a","000a","00a","0000aa","000aa","00aa","0aa","0000aaa","000aaa","00a00","0a00","0000-0000","00:00","a00","a0","00.00.0000","00/00/0000","00-00-0000","0000-00-00","0000/00/00","0000.00.00","00.00.00","00/00/00","00-00-00","0.00.0000","0/00/0000","0-00-0000"},0)))),NOT(OR(AND(BW163&lt;&gt;"",SUBSTITUTE(BW163,"0","")=""),AND(LEN(BW163)&gt;=4,BW163=REPT(LEFT(BW163),LEN(BW163))),ISNUMBER(MATCH(BW163,{"123","1234","12345","123456","1234567","12345678","0123","01234","012345","98765","987654","54321"},0)),ISNUMBER(MATCH(BX163,{"x","xx","xxx","xxxx","xxxxx","abc","abcd","nil","na","nan","test","tbc","tba","tbd","dummy","sample","example","eg","zz","zzz","none","null","xyz","qwe","asd","id","ref"},0)),AND(LEN(BW163)=8,BX163="",OR(LEFT(BW163,3)="202",ISNUMBER(MATCH(RIGHT(BW163,4),{"2025","2026","2027"},0)))))),OR(AND((LEN(BT163)-LEN(SUBSTITUTE(BT163,"a","")))&gt;=1,(LEN(BN163)-LEN(SUBSTITUTE(BN163,"0","")))&gt;=2,SUMPRODUCT(--ISNUMBER(SEARCH({"a0","a-0","a_0","a/0","a.0","a#0","0a","0-a","0_a","0/a"},BN163)))&gt;0),AND((LEN(BN163)-LEN(SUBSTITUTE(BN163,"a","")))=0,(LEN(BN163)-LEN(SUBSTITUTE(BN163,"0","")))&gt;=5)))),1,0),0)</f>
        <v>0</v>
      </c>
      <c r="CA1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163,"revision",""),"version",""),"jan",""),"feb",""),"mar",""),"apr",""),"may",""),"jun",""),"jul",""),"aug",""),"sep",""),"oct",""),"nov",""),"dec",""),"utc",""),"gmt",""),"myt",""),"bst",""),"rev",""),"ver",""),"b","a"),"c","a"),"d","a"),"e","a"),"f","a"),"g","a"),"h","a"),"i","a"),"j","a"),"k","a"),"l","a"),"m","a"),"n","a"),"o","a"),"p","a"),"q","a"),"r","a"),"s","a"),"t","a"),"u","a"),"v","a"),"w","a"),"x","a"),"y","a"),"z","a")</f>
        <v/>
      </c>
      <c r="CB1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163&amp;""),"a",""),"b",""),"c",""),"d",""),"e",""),"f",""),"g",""),"h",""),"i",""),"j",""),"k",""),"l",""),"m",""),"n",""),"o",""),"p",""),"q",""),"r",""),"s",""),"t",""),"u",""),"v",""),"w",""),"x",""),"y",""),"z",""),"-",""),"_",""),"/",""),".",""),"#",""),"\\",""),":","")," ",""),"(",""),")","")</f>
        <v/>
      </c>
      <c r="CC163" s="0" t="str">
        <f aca="false">" "&amp;TRIM(SUBSTITUTE(SUBSTITUTE(SUBSTITUTE(SUBSTITUTE(SUBSTITUTE(SUBSTITUTE(SUBSTITUTE(SUBSTITUTE(SUBSTITUTE(SUBSTITUTE(SUBSTITUTE(SUBSTITUTE(SUBSTITUTE(SUBSTITUTE(SUBSTITUTE(SUBSTITUTE(SUBSTITUTE(SUBSTITUTE(SUBSTITUTE(SUBSTITUTE(SUBSTITUTE(SUBSTITUTE(SUBSTITUTE(SUBSTITUTE(LOWER(T163&amp;""),CHAR(10)," "),CHAR(13)," "),CHAR(9)," "),CHAR(160)," "),"."," "),","," "),"-"," "),"/"," "),"("," "),")"," "),":"," "),";"," "),"_"," "),"–"," "),"?"," "),"!"," "),"*"," "),"["," "),"]"," "),"'"," "),"#"," "),"+"," "),"&amp;"," "),"\"," "))&amp;" "</f>
        <v>  </v>
      </c>
      <c r="CD163" s="0" t="str">
        <f aca="false">" "&amp;TRIM(SUBSTITUTE(SUBSTITUTE(SUBSTITUTE(SUBSTITUTE(SUBSTITUTE(SUBSTITUTE(SUBSTITUTE(SUBSTITUTE(SUBSTITUTE(SUBSTITUTE(SUBSTITUTE(SUBSTITUTE(SUBSTITUTE(SUBSTITUTE(SUBSTITUTE(SUBSTITUTE(SUBSTITUTE(SUBSTITUTE(SUBSTITUTE(SUBSTITUTE(SUBSTITUTE(SUBSTITUTE(SUBSTITUTE(SUBSTITUTE(LOWER(AE163&amp;""),CHAR(10)," "),CHAR(13)," "),CHAR(9)," "),CHAR(160)," "),"."," "),","," "),"-"," "),"/"," "),"("," "),")"," "),":"," "),";"," "),"_"," "),"–"," "),"?"," "),"!"," "),"*"," "),"["," "),"]"," "),"'"," "),"#"," "),"+"," "),"&amp;"," "),"\"," "))&amp;" "</f>
        <v>  </v>
      </c>
      <c r="CE163" s="68" t="n">
        <f aca="false">IFERROR(IF(AND(LEN(AU163)&gt;0,LEN(AU163)=LEN(AX163),OR(TRIM(MID(SUBSTITUTE(TRIM(CC163)," ",REPT(" ",60)),1,60))="",ISNUMBER(SEARCH(" "&amp;TRIM(MID(SUBSTITUTE(TRIM(CC163)," ",REPT(" ",60)),1,60))&amp;" ",CD163))),OR(TRIM(MID(SUBSTITUTE(TRIM(CC163)," ",REPT(" ",60)),61,60))="",ISNUMBER(SEARCH(" "&amp;TRIM(MID(SUBSTITUTE(TRIM(CC163)," ",REPT(" ",60)),61,60))&amp;" ",CD163))),OR(TRIM(MID(SUBSTITUTE(TRIM(CC163)," ",REPT(" ",60)),121,60))="",ISNUMBER(SEARCH(" "&amp;TRIM(MID(SUBSTITUTE(TRIM(CC163)," ",REPT(" ",60)),121,60))&amp;" ",CD163)))),1,0),0)</f>
        <v>0</v>
      </c>
      <c r="CG163" s="68" t="n">
        <f aca="false">IFERROR(LEN(SUBSTITUTE(BF163," ",""))-SUMPRODUCT((LEN(BF163)-LEN(SUBSTITUTE(BF163," "&amp;L_NAFiller&amp;" "," ")))/(LEN(L_NAFiller)+1)*LEN(L_NAFiller)),0)</f>
        <v>0</v>
      </c>
    </row>
    <row r="164" customFormat="false" ht="54" hidden="false" customHeight="true" outlineLevel="0" collapsed="false">
      <c r="A164" s="57" t="s">
        <v>703</v>
      </c>
      <c r="B164" s="57" t="s">
        <v>228</v>
      </c>
      <c r="C164" s="57" t="str">
        <f aca="false">Flights!$F$9</f>
        <v>MH0089</v>
      </c>
      <c r="D164" s="58" t="n">
        <f aca="false">Flights!$D$9</f>
        <v>46310</v>
      </c>
      <c r="E164" s="57" t="str">
        <f aca="false">Flights!$G$9&amp;"-"&amp;Flights!$H$9</f>
        <v>NRT-KUL</v>
      </c>
      <c r="F164" s="57" t="str">
        <f aca="false">Flights!$K$9</f>
        <v>EY</v>
      </c>
      <c r="G164" s="57" t="s">
        <v>459</v>
      </c>
      <c r="H164" s="57" t="s">
        <v>460</v>
      </c>
      <c r="I164" s="57" t="s">
        <v>447</v>
      </c>
      <c r="J164" s="57" t="s">
        <v>471</v>
      </c>
      <c r="K164" s="67" t="s">
        <v>455</v>
      </c>
      <c r="L164" s="67" t="s">
        <v>690</v>
      </c>
      <c r="M164" s="67" t="s">
        <v>451</v>
      </c>
      <c r="N164" s="67" t="s">
        <v>383</v>
      </c>
      <c r="O164" s="67" t="s">
        <v>704</v>
      </c>
      <c r="P164" s="57" t="s">
        <v>220</v>
      </c>
      <c r="Q164" s="59" t="n">
        <f aca="false">ROUND((Flights!$AF$9)*1440,0)/1440</f>
        <v>46310.0451388889</v>
      </c>
      <c r="R164" s="59" t="n">
        <f aca="false">Q164+(IF(AND(INDEX(TZ_DSTS,MATCH(P164,TZ_STN,0))&lt;&gt;"",Q164&gt;=INDEX(TZ_DSTS,MATCH(P164,TZ_STN,0)),Q164&lt;INDEX(TZ_DSTE,MATCH(P164,TZ_STN,0))),INDEX(TZ_DST,MATCH(P164,TZ_STN,0)),INDEX(TZ_STD,MATCH(P164,TZ_STN,0))))/24</f>
        <v>46310.4201388889</v>
      </c>
      <c r="S164" s="60"/>
      <c r="T164" s="60"/>
      <c r="U164" s="60"/>
      <c r="V164" s="60"/>
      <c r="W164" s="61"/>
      <c r="X164" s="69" t="str">
        <f aca="false">IF(TRIM(Flights!$N$9)="","",IF(ISNUMBER(SEARCH("MAH",Flights!$N$9)),280,260))</f>
        <v/>
      </c>
      <c r="Y164" s="60"/>
      <c r="Z164" s="60"/>
      <c r="AA164" s="60"/>
      <c r="AB164" s="60"/>
      <c r="AC164" s="60"/>
      <c r="AD164" s="66"/>
      <c r="AE164" s="60"/>
      <c r="AF164" s="61" t="str">
        <f aca="false">IF(AND(ISNUMBER(X164),ISNUMBER(Y164)),Y164-X164,"")</f>
        <v/>
      </c>
      <c r="AG164" s="62" t="str">
        <f aca="false">IF(ISNUMBER(AD164),AD164-(IF(AND(INDEX(TZ_DSTS,MATCH(P164,TZ_STN,0))&lt;&gt;"",(AD164-INDEX(TZ_STD,MATCH(P164,TZ_STN,0))/24)&gt;=INDEX(TZ_DSTS,MATCH(P164,TZ_STN,0)),(AD164-INDEX(TZ_STD,MATCH(P164,TZ_STN,0))/24)&lt;INDEX(TZ_DSTE,MATCH(P164,TZ_STN,0))),INDEX(TZ_DST,MATCH(P164,TZ_STN,0)),INDEX(TZ_STD,MATCH(P164,TZ_STN,0))))/24,"")</f>
        <v/>
      </c>
      <c r="AH164" s="65" t="str">
        <f aca="false">IFERROR(IF(N164="N/A – rule",IF(OR(TRIM(U164)="",TRIM(U164)="N/A",TRIM(U164)="Not started"),"N/A – RULE","INVALID – this check does not apply to this aircraft: clear the status (or correct the fleet on Flights)"),IF(TRIM(U164)="N/A",IF(AT164=0,"INVALID – N/A not permitted for this check",IF(AND(TRIM(AB164)&lt;&gt;"",TRIM(AB164)&lt;&gt;"Closed"),"INVALID – corrective action still open",IF(AND(NOT(OR(LEN(AZ164)&lt;15,ISNUMBER(MATCH(AZ164,L_Placeholder,0)))),BK164=0,CG164&gt;=8,NOT(OR(LEN(AU164)&lt;2,ISNUMBER(MATCH(AU164,L_Placeholder,0)))),BR164&gt;=3,NOT(OR(LEN(AX164)&lt;2,ISNUMBER(MATCH(AX164,L_Placeholder,0)))),BS164&gt;=3,TRIM(AE164)&lt;&gt;TRIM(T164),AX164&lt;&gt;AU164,CE164=0),"N/A – JUSTIFIED","INVALID – N/A needs a real, settled reason (not 'not applicable' / 'as above' / TBC), a named PIC and a different named verifier"))),IF(OR(TRIM(U164)="Pass",TRIM(U164)="Pass after CA"),IF(NOT(ISNUMBER(AD164)),"INVALID – completion time missing",IF(OR(OR(LEN(AU164)&lt;2,ISNUMBER(MATCH(AU164,L_Placeholder,0))),BR164&lt;3),"INVALID – PIC missing or not a named person (a role such as QA / CSM is not a name)",IF(OR(LEN(AV164)&lt;2,ISNUMBER(MATCH(AV164,L_Placeholder,0))),"INVALID – result / assessment missing",IF(OR(OR(LEN(AW164)&lt;3,ISNUMBER(MATCH(AW164,L_Placeholder,0))),SUMPRODUCT(--ISNUMBER(SEARCH(" "&amp;L_EvidencePhrase&amp;" ",BD164)))&gt;0,BI164=1),"INVALID – evidence missing, placeholder or not yet on file",IF(ISNA(MATCH(TRIM(S164),L_EvidenceType,0)),"INVALID – choose the evidence type from the list (column S)",IF(BL164=0,"INVALID – evidence ID must be the record's own ID only (e.g. SF-2210, IMG_2231, 1045521); a link / file name needs type 'Link / file path'",IF(OR(OR(LEN(AX164)&lt;2,ISNUMBER(MATCH(AX164,L_Placeholder,0))),BS164&lt;3),"INVALID – verifier missing or not a named person (a role such as QA / CSM is not a name)",IF(OR(AX164=AU164,CE164=1,AND(LEN(AU164)&gt;=4,ISNUMBER(SEARCH(AU164,AX164))),AND(LEN(AX164)&gt;=4,ISNUMBER(SEARCH(AX164,AU164)))),"INVALID – verifier must be a different, named person (not the PIC or a role)",IF(BH164=1,"INVALID – result not yet available (awaiting / TBC)",IF(BG164=1,"INVALID – result describes a problem: record Fail, then Pass after CA (or reword if it is not a problem)",IF(BV164=1,"INVALID – wording says not on board: an on-board confirmation needs the item loaded",IF(AND(AQ164=1,OR(OR(LEN(AY164)&lt;3,ISNUMBER(MATCH(AY164,L_Placeholder,0))),BJ164=1,BQ164=0)),"INVALID – batch ID missing, placeholder or not an ID (e.g. PASB-261008-BC-017)",IF(AND(AR164=1,OR(NOT(ISNUMBER(X164)),NOT(ISNUMBER(Y164)))),"INVALID – expected/actual qty missing",IF(AND(AR164=1,OR(X164&lt;=0,Y164&lt;0)),"INVALID – expected qty must be above 0 and actual not negative",IF(AH157="N/A – JUSTIFIED","INVALID – preparation row F05-T12-10 is N/A",IF(AND(AR164=1,ISNUMBER(X157),X164&lt;&gt;X157,TRIM(U164)&lt;&gt;"Pass after CA"),"INVALID – expected qty differs from preparation check F05-T12-10: record the load change as a corrective action (Pass after CA)",IF(BB164&lt;&gt;"",BB164,IF(AND(AS164=1,Documents!$J$9&lt;&gt;"ON FILE"),"INVALID – GLD not on file (Documents sheet)",IF(AND(AS164=2,Documents!$O$9&lt;&gt;"ON FILE"),"INVALID – menu checklist not on file (Documents sheet)",IF(AND(AS164=3,NOT(ISNUMBER(Flights!$AX$9))),"INVALID – enter carrying flight KUL departure (Flights AX)",IF(AND(AS164=3,OR(Flights!$AZ$9&gt;Flights!$AA$9,Flights!$AX$9&lt;Flights!$AA$9-3)),"INVALID – carrying flight (Flights AX) cannot arrive before this leg's STD, or is over 3 days early",IF(AG164&gt;AsOfUTC,"INVALID – completion time is in the future",IF(AND(ISNUMBER(BY164),AG164&lt;BY164),IF(H164="Physical uplift","INVALID – before uplift window (cannot confirm loading)","INVALID – before valid window"),IF(AG164&gt;Flights!$AA$9,"INVALID – completed after departure (cannot establish readiness)",IF(AND(H164="Preparation",AG164&gt;=IF(ISNUMBER(Flights!$BA$9),MIN(Flights!$BA$9,Flights!$AA$9),Flights!$AA$9)),"INVALID – completed after loading / departure (cannot establish readiness)",IF(AND(H164="Physical uplift",AG164&gt;Q164),"INVALID – recorded after the loading flight departed",IF(AG164&gt;Q164,"COMPLETE – LATE","COMPLETE"))))))))))))))))))))))))))),IF(TRIM(U164)="Fail","FAIL – DISCREPANCY",IF(AND(TRIM(U164)&lt;&gt;"",TRIM(U164)&lt;&gt;"Not started",TRIM(U164)&lt;&gt;"In progress"),"INVALID – unrecognised status (use the list)",IF(AsOfUTC&gt;Q164,"OVERDUE",IF(N164="Clarification required","OPEN – CLARIFICATION","OPEN"))))))),"INVALID – error value in an input cell")</f>
        <v>OPEN</v>
      </c>
      <c r="AI164" s="61" t="n">
        <f aca="false">IF(OR(AH164="N/A – RULE",AH164="N/A – JUSTIFIED"),0,1)</f>
        <v>1</v>
      </c>
      <c r="AJ164" s="61" t="n">
        <f aca="false">IF(LEFT(AH164,8)="COMPLETE",1,0)</f>
        <v>0</v>
      </c>
      <c r="AK164" s="61" t="n">
        <f aca="false">IF(AND(AI164=1,AJ164=0,AsOfUTC&gt;Q164),1,0)</f>
        <v>0</v>
      </c>
      <c r="AL164" s="61" t="n">
        <f aca="false">IFERROR(IF(AND(AI164=1,OR(TRIM(U164)="Fail",AND(TRIM(AB164)&lt;&gt;"",TRIM(AB164)&lt;&gt;"Closed"),AND(ISNUMBER(AF164),AF164&lt;&gt;0,TRIM(U164)&lt;&gt;"Pass after CA"))),1,0),1)</f>
        <v>0</v>
      </c>
      <c r="AM164" s="61" t="n">
        <f aca="false">IF(LEFT(AH164,7)="INVALID",1,0)</f>
        <v>0</v>
      </c>
      <c r="AN164" s="61" t="n">
        <f aca="false">IF(AND(N164="Clarification required",AI164=1,AJ164=0),1,0)</f>
        <v>0</v>
      </c>
      <c r="AO164" s="61" t="str">
        <f aca="false">IF(AK164=1,SUM(AK$5:AK164),"")</f>
        <v/>
      </c>
      <c r="AP164" s="61" t="str">
        <f aca="false">IF(AL164=1,SUM(AL$5:AL164),"")</f>
        <v/>
      </c>
      <c r="AQ164" s="61" t="n">
        <v>0</v>
      </c>
      <c r="AR164" s="61" t="n">
        <v>1</v>
      </c>
      <c r="AS164" s="61" t="n">
        <v>0</v>
      </c>
      <c r="AT164" s="61" t="n">
        <v>0</v>
      </c>
      <c r="AU164" s="61" t="str">
        <f aca="false">SUBSTITUTE(SUBSTITUTE(SUBSTITUTE(SUBSTITUTE(SUBSTITUTE(SUBSTITUTE(SUBSTITUTE(SUBSTITUTE(SUBSTITUTE(SUBSTITUTE(SUBSTITUTE(SUBSTITUTE(SUBSTITUTE(SUBSTITUTE(SUBSTITUTE(SUBSTITUTE(LOWER(T164&amp;""),CHAR(10),""),CHAR(13),""),CHAR(9),""),CHAR(160),"")," ",""),".",""),"-",""),"/",""),"?",""),"_",""),",",""),"[",""),"]",""),"(",""),")",""),"*","")</f>
        <v/>
      </c>
      <c r="AV164" s="61" t="str">
        <f aca="false">SUBSTITUTE(SUBSTITUTE(SUBSTITUTE(SUBSTITUTE(SUBSTITUTE(SUBSTITUTE(SUBSTITUTE(SUBSTITUTE(SUBSTITUTE(SUBSTITUTE(SUBSTITUTE(SUBSTITUTE(SUBSTITUTE(SUBSTITUTE(SUBSTITUTE(SUBSTITUTE(LOWER(V164&amp;""),CHAR(10),""),CHAR(13),""),CHAR(9),""),CHAR(160),"")," ",""),".",""),"-",""),"/",""),"?",""),"_",""),",",""),"[",""),"]",""),"(",""),")",""),"*","")</f>
        <v/>
      </c>
      <c r="AW164" s="61" t="str">
        <f aca="false">SUBSTITUTE(SUBSTITUTE(SUBSTITUTE(SUBSTITUTE(SUBSTITUTE(SUBSTITUTE(SUBSTITUTE(SUBSTITUTE(SUBSTITUTE(SUBSTITUTE(SUBSTITUTE(SUBSTITUTE(SUBSTITUTE(SUBSTITUTE(SUBSTITUTE(SUBSTITUTE(LOWER(Z164&amp;""),CHAR(10),""),CHAR(13),""),CHAR(9),""),CHAR(160),"")," ",""),".",""),"-",""),"/",""),"?",""),"_",""),",",""),"[",""),"]",""),"(",""),")",""),"*","")</f>
        <v/>
      </c>
      <c r="AX164" s="61" t="str">
        <f aca="false">SUBSTITUTE(SUBSTITUTE(SUBSTITUTE(SUBSTITUTE(SUBSTITUTE(SUBSTITUTE(SUBSTITUTE(SUBSTITUTE(SUBSTITUTE(SUBSTITUTE(SUBSTITUTE(SUBSTITUTE(SUBSTITUTE(SUBSTITUTE(SUBSTITUTE(SUBSTITUTE(LOWER(AE164&amp;""),CHAR(10),""),CHAR(13),""),CHAR(9),""),CHAR(160),"")," ",""),".",""),"-",""),"/",""),"?",""),"_",""),",",""),"[",""),"]",""),"(",""),")",""),"*","")</f>
        <v/>
      </c>
      <c r="AY164" s="61" t="str">
        <f aca="false">SUBSTITUTE(SUBSTITUTE(SUBSTITUTE(SUBSTITUTE(SUBSTITUTE(SUBSTITUTE(SUBSTITUTE(SUBSTITUTE(SUBSTITUTE(SUBSTITUTE(SUBSTITUTE(SUBSTITUTE(SUBSTITUTE(SUBSTITUTE(SUBSTITUTE(SUBSTITUTE(LOWER(W164&amp;""),CHAR(10),""),CHAR(13),""),CHAR(9),""),CHAR(160),"")," ",""),".",""),"-",""),"/",""),"?",""),"_",""),",",""),"[",""),"]",""),"(",""),")",""),"*","")</f>
        <v/>
      </c>
      <c r="AZ164" s="61" t="str">
        <f aca="false">SUBSTITUTE(SUBSTITUTE(SUBSTITUTE(SUBSTITUTE(SUBSTITUTE(SUBSTITUTE(SUBSTITUTE(SUBSTITUTE(SUBSTITUTE(SUBSTITUTE(SUBSTITUTE(SUBSTITUTE(SUBSTITUTE(SUBSTITUTE(SUBSTITUTE(SUBSTITUTE(LOWER(AC164&amp;""),CHAR(10),""),CHAR(13),""),CHAR(9),""),CHAR(160),"")," ",""),".",""),"-",""),"/",""),"?",""),"_",""),",",""),"[",""),"]",""),"(",""),")",""),"*","")</f>
        <v/>
      </c>
      <c r="BA164" s="61" t="str">
        <f aca="false">SUBSTITUTE(SUBSTITUTE(SUBSTITUTE(SUBSTITUTE(SUBSTITUTE(SUBSTITUTE(SUBSTITUTE(SUBSTITUTE(SUBSTITUTE(SUBSTITUTE(SUBSTITUTE(SUBSTITUTE(SUBSTITUTE(SUBSTITUTE(SUBSTITUTE(SUBSTITUTE(LOWER(AA164&amp;""),CHAR(10),""),CHAR(13),""),CHAR(9),""),CHAR(160),"")," ",""),".",""),"-",""),"/",""),"?",""),"_",""),",",""),"[",""),"]",""),"(",""),")",""),"*","")</f>
        <v/>
      </c>
      <c r="BB164" s="61" t="str">
        <f aca="false">IF(AND(TRIM(U164)="Pass",ISNUMBER(AF164)),IF(AF164&lt;&gt;0,"INVALID – qty variance: use Fail or Pass after CA",""),"")&amp;IF(AND(TRIM(U164)="Pass after CA",ISNUMBER(AF164)),IF(AF164&lt;&gt;0,"INVALID – after the corrective action the actual qty must equal expected (update Actual)",""),"")&amp;IF(AND(TRIM(U164)="Pass",TRIM(AB164)&lt;&gt;"",TRIM(AB164)&lt;&gt;"Closed"),"INVALID – corrective action not closed: use Fail, then Pass after CA","")&amp;IF(AND(LEN(BA164)&gt;=2,ISNA(MATCH(LEFT(BA164,255),L_Placeholder,0)),TRIM(AB164)=""),"INVALID – CA status missing for the recorded corrective action","")&amp;IF(AND(TRIM(U164)="Pass after CA",OR(OR(LEN(BA164)&lt;5,ISNUMBER(MATCH(BA164,L_Placeholder,0))),TRIM(AB164)&lt;&gt;"Closed")),"INVALID – corrective action not recorded/closed","")</f>
        <v/>
      </c>
      <c r="BC164" s="61" t="str">
        <f aca="false">" "&amp;TRIM(SUBSTITUTE(SUBSTITUTE(SUBSTITUTE(SUBSTITUTE(SUBSTITUTE(SUBSTITUTE(SUBSTITUTE(SUBSTITUTE(SUBSTITUTE(SUBSTITUTE(SUBSTITUTE(SUBSTITUTE(SUBSTITUTE(SUBSTITUTE(SUBSTITUTE(SUBSTITUTE(SUBSTITUTE(SUBSTITUTE(SUBSTITUTE(SUBSTITUTE(SUBSTITUTE(SUBSTITUTE(SUBSTITUTE(SUBSTITUTE(LOWER(V164&amp;""),CHAR(10)," "),CHAR(13)," "),CHAR(9)," "),CHAR(160)," "),"."," "),","," "),"-"," "),"/"," "),"("," "),")"," "),":"," "),";"," "),"_"," "),"–"," "),"?"," "),"!"," "),"*"," "),"["," "),"]"," "),"'"," "),"#"," "),"+"," "),"&amp;"," "),"\"," "))&amp;" "</f>
        <v>  </v>
      </c>
      <c r="BD164" s="61" t="str">
        <f aca="false">" "&amp;TRIM(SUBSTITUTE(SUBSTITUTE(SUBSTITUTE(SUBSTITUTE(SUBSTITUTE(SUBSTITUTE(SUBSTITUTE(SUBSTITUTE(SUBSTITUTE(SUBSTITUTE(SUBSTITUTE(SUBSTITUTE(SUBSTITUTE(SUBSTITUTE(SUBSTITUTE(SUBSTITUTE(SUBSTITUTE(SUBSTITUTE(SUBSTITUTE(SUBSTITUTE(SUBSTITUTE(SUBSTITUTE(SUBSTITUTE(SUBSTITUTE(LOWER(Z164&amp;""),CHAR(10)," "),CHAR(13)," "),CHAR(9)," "),CHAR(160)," "),"."," "),","," "),"-"," "),"/"," "),"("," "),")"," "),":"," "),";"," "),"_"," "),"–"," "),"?"," "),"!"," "),"*"," "),"["," "),"]"," "),"'"," "),"#"," "),"+"," "),"&amp;"," "),"\"," "))&amp;" "</f>
        <v>  </v>
      </c>
      <c r="BE164" s="61" t="str">
        <f aca="false">" "&amp;TRIM(SUBSTITUTE(SUBSTITUTE(SUBSTITUTE(SUBSTITUTE(SUBSTITUTE(SUBSTITUTE(SUBSTITUTE(SUBSTITUTE(SUBSTITUTE(SUBSTITUTE(SUBSTITUTE(SUBSTITUTE(SUBSTITUTE(SUBSTITUTE(SUBSTITUTE(SUBSTITUTE(SUBSTITUTE(SUBSTITUTE(SUBSTITUTE(SUBSTITUTE(SUBSTITUTE(SUBSTITUTE(SUBSTITUTE(SUBSTITUTE(LOWER(W164&amp;""),CHAR(10)," "),CHAR(13)," "),CHAR(9)," "),CHAR(160)," "),"."," "),","," "),"-"," "),"/"," "),"("," "),")"," "),":"," "),";"," "),"_"," "),"–"," "),"?"," "),"!"," "),"*"," "),"["," "),"]"," "),"'"," "),"#"," "),"+"," "),"&amp;"," "),"\"," "))&amp;" "</f>
        <v>  </v>
      </c>
      <c r="BF164" s="61" t="str">
        <f aca="false">" "&amp;TRIM(SUBSTITUTE(SUBSTITUTE(SUBSTITUTE(SUBSTITUTE(SUBSTITUTE(SUBSTITUTE(SUBSTITUTE(SUBSTITUTE(SUBSTITUTE(SUBSTITUTE(SUBSTITUTE(SUBSTITUTE(SUBSTITUTE(SUBSTITUTE(SUBSTITUTE(SUBSTITUTE(SUBSTITUTE(SUBSTITUTE(SUBSTITUTE(SUBSTITUTE(SUBSTITUTE(SUBSTITUTE(SUBSTITUTE(SUBSTITUTE(LOWER(AC164&amp;""),CHAR(10)," "),CHAR(13)," "),CHAR(9)," "),CHAR(160)," "),"."," "),","," "),"-"," "),"/"," "),"("," "),")"," "),":"," "),";"," "),"_"," "),"–"," "),"?"," "),"!"," "),"*"," "),"["," "),"]"," "),"'"," "),"#"," "),"+"," "),"&amp;"," "),"\"," "))&amp;" "</f>
        <v>  </v>
      </c>
      <c r="BG164" s="61" t="n">
        <f aca="false">IFERROR(IF(AND(TRIM(U164)="Pass",SUMPRODUCT((LEN(BC164)-LEN(SUBSTITUTE(BC164," "&amp;L_ResultBad&amp;" "," ")))/(LEN(L_ResultBad)+1))&gt;SUMPRODUCT((LEN(BC164)-LEN(SUBSTITUTE(BC164," "&amp;L_NegPhrase&amp;" "," ")))/(LEN(L_NegPhrase)+1))),1,0),0)</f>
        <v>0</v>
      </c>
      <c r="BH164" s="61" t="n">
        <f aca="false">IFERROR(IF(SUMPRODUCT((LEN(BC164)-LEN(SUBSTITUTE(BC164," "&amp;L_Pending&amp;" "," ")))/(LEN(L_Pending)+1))&gt;SUMPRODUCT((LEN(BC164)-LEN(SUBSTITUTE(BC164," "&amp;L_PendNeg&amp;" "," ")))/(LEN(L_PendNeg)+1)),1,0),1)</f>
        <v>0</v>
      </c>
      <c r="BI164" s="61" t="n">
        <f aca="false">IFERROR(IF(SUMPRODUCT((LEN(BD164)-LEN(SUBSTITUTE(BD164," "&amp;L_PendStrict&amp;" "," ")))/(LEN(L_PendStrict)+1))&gt;SUMPRODUCT((LEN(BD164)-LEN(SUBSTITUTE(BD164," "&amp;L_PendNeg&amp;" "," ")))/(LEN(L_PendNeg)+1)),1,0),1)</f>
        <v>0</v>
      </c>
      <c r="BJ164" s="61" t="n">
        <f aca="false">IFERROR(IF(SUMPRODUCT((LEN(BE164)-LEN(SUBSTITUTE(BE164," "&amp;L_Pending&amp;" "," ")))/(LEN(L_Pending)+1))&gt;SUMPRODUCT((LEN(BE164)-LEN(SUBSTITUTE(BE164," "&amp;L_PendNeg&amp;" "," ")))/(LEN(L_PendNeg)+1)),1,0),1)</f>
        <v>0</v>
      </c>
      <c r="BK164" s="61" t="n">
        <f aca="false">IFERROR(IF(SUMPRODUCT((LEN(BF164)-LEN(SUBSTITUTE(BF164," "&amp;L_PendStrict&amp;" "," ")))/(LEN(L_PendStrict)+1))&gt;SUMPRODUCT((LEN(BF164)-LEN(SUBSTITUTE(BF164," "&amp;L_PendNeg&amp;" "," ")))/(LEN(L_PendNeg)+1)),1,0),1)</f>
        <v>0</v>
      </c>
      <c r="BL164" s="61" t="n">
        <f aca="false">IF(ISNA(MATCH(TRIM(S164),L_EvidenceType,0)),0,BZ164)</f>
        <v>0</v>
      </c>
      <c r="BM164" s="61" t="str">
        <f aca="false">SUBSTITUTE(SUBSTITUTE(SUBSTITUTE(SUBSTITUTE(SUBSTITUTE(SUBSTITUTE(SUBSTITUTE(SUBSTITUTE(SUBSTITUTE(LOWER(Z164&amp;""),"1","0"),"2","0"),"3","0"),"4","0"),"5","0"),"6","0"),"7","0"),"8","0"),"9","0")</f>
        <v/>
      </c>
      <c r="BN164" s="61" t="str">
        <f aca="false">SUBSTITUTE(SUBSTITUTE(SUBSTITUTE(SUBSTITUTE(SUBSTITUTE(SUBSTITUTE(SUBSTITUTE(SUBSTITUTE(SUBSTITUTE(SUBSTITUTE(SUBSTITUTE(SUBSTITUTE(SUBSTITUTE(SUBSTITUTE(SUBSTITUTE(SUBSTITUTE(SUBSTITUTE(SUBSTITUTE(SUBSTITUTE(SUBSTITUTE(SUBSTITUTE(SUBSTITUTE(SUBSTITUTE(SUBSTITUTE(SUBSTITUTE(BM164,"b","a"),"c","a"),"d","a"),"e","a"),"f","a"),"g","a"),"h","a"),"i","a"),"j","a"),"k","a"),"l","a"),"m","a"),"n","a"),"o","a"),"p","a"),"q","a"),"r","a"),"s","a"),"t","a"),"u","a"),"v","a"),"w","a"),"x","a"),"y","a"),"z","a")</f>
        <v/>
      </c>
      <c r="BO164" s="61" t="str">
        <f aca="false">SUBSTITUTE(SUBSTITUTE(SUBSTITUTE(SUBSTITUTE(SUBSTITUTE(SUBSTITUTE(SUBSTITUTE(SUBSTITUTE(SUBSTITUTE(LOWER(W164&amp;""),"1","0"),"2","0"),"3","0"),"4","0"),"5","0"),"6","0"),"7","0"),"8","0"),"9","0")</f>
        <v/>
      </c>
      <c r="BP164" s="61" t="str">
        <f aca="false">SUBSTITUTE(SUBSTITUTE(SUBSTITUTE(SUBSTITUTE(SUBSTITUTE(SUBSTITUTE(SUBSTITUTE(SUBSTITUTE(SUBSTITUTE(SUBSTITUTE(SUBSTITUTE(SUBSTITUTE(SUBSTITUTE(SUBSTITUTE(SUBSTITUTE(SUBSTITUTE(SUBSTITUTE(SUBSTITUTE(SUBSTITUTE(SUBSTITUTE(SUBSTITUTE(SUBSTITUTE(SUBSTITUTE(SUBSTITUTE(SUBSTITUTE(BO164,"b","a"),"c","a"),"d","a"),"e","a"),"f","a"),"g","a"),"h","a"),"i","a"),"j","a"),"k","a"),"l","a"),"m","a"),"n","a"),"o","a"),"p","a"),"q","a"),"r","a"),"s","a"),"t","a"),"u","a"),"v","a"),"w","a"),"x","a"),"y","a"),"z","a")</f>
        <v/>
      </c>
      <c r="BQ164" s="61" t="n">
        <f aca="false">IFERROR(IF(AND(ISERROR(SEARCH(" mh"," "&amp;LOWER(W164))),ISNA(MATCH(LEFT(TRIM(BP164),255),{"0000a","000a","00a","0000aa","000aa","00aa","0aa","0000aaa","000aaa","00a00","0a00","0000-0000","00:00","a00","a0","00.00.0000","00/00/0000","00-00-0000","0000-00-00","0000/00/00","0000.00.00","00.00.00","00/00/00","00-00-00","0.00.0000","0/00/0000","0-00-0000"},0)),ISNA(MATCH(LEFT(TRIM(CA164),255),{"0000a","000a","00a","0000aa","000aa","00aa","0aa","0000aaa","000aaa","00a00","0a00","0000-0000","00:00","a00","a0","00.00.0000","00/00/0000","00-00-0000","0000-00-00","0000/00/00","0000.00.00","00.00.00","00/00/00","00-00-00","0.00.0000","0/00/0000","0-00-0000"},0)),LEN(CB164)&gt;=3,NOT(OR(SUBSTITUTE(CB164,"0","")="",AND(LEN(CB164)&gt;=4,CB164=REPT(LEFT(CB164),LEN(CB164))),ISNUMBER(MATCH(CB164,{"123","1234","12345","123456","1234567","12345678","0123","01234","012345","98765","987654","54321"},0)),AND(LEN(CB164)=8,LEFT(CB164,3)="202"))),OR(AND((LEN(CA164)-LEN(SUBSTITUTE(CA164,"a","")))&gt;=1,SUMPRODUCT(--ISNUMBER(SEARCH({"a0","a-0","a_0","a/0","a.0","a#0","0a","0-a","0_a","0/a"},BP164)))&gt;0),ISNUMBER(SEARCH("000000",BP164)))),1,0),0)</f>
        <v>0</v>
      </c>
      <c r="BR164" s="61" t="n">
        <f aca="false">IFERROR(LEN(SUBSTITUTE(CC164," ",""))-SUMPRODUCT((LEN(CC164)-LEN(SUBSTITUTE(CC164," "&amp;L_Role&amp;" "," ")))/(LEN(L_Role)+1)*LEN(L_Role)),0)</f>
        <v>0</v>
      </c>
      <c r="BS164" s="61" t="n">
        <f aca="false">IFERROR(LEN(SUBSTITUTE(CD164," ",""))-SUMPRODUCT((LEN(CD164)-LEN(SUBSTITUTE(CD164," "&amp;L_Role&amp;" "," ")))/(LEN(L_Role)+1)*LEN(L_Role)),0)</f>
        <v>0</v>
      </c>
      <c r="BT1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164,"revision",""),"version",""),"jan",""),"feb",""),"mar",""),"apr",""),"may",""),"jun",""),"jul",""),"aug",""),"sep",""),"oct",""),"nov",""),"dec",""),"utc",""),"gmt",""),"myt",""),"bst",""),"rev",""),"ver",""),"b","a"),"c","a"),"d","a"),"e","a"),"f","a"),"g","a"),"h","a"),"i","a"),"j","a"),"k","a"),"l","a"),"m","a"),"n","a"),"o","a"),"p","a"),"q","a"),"r","a"),"s","a"),"t","a"),"u","a"),"v","a"),"w","a"),"x","a"),"y","a"),"z","a")</f>
        <v/>
      </c>
      <c r="BU164" s="61" t="str">
        <f aca="false">SUBSTITUTE(SUBSTITUTE(SUBSTITUTE(SUBSTITUTE(SUBSTITUTE(SUBSTITUTE(SUBSTITUTE(SUBSTITUTE(SUBSTITUTE(SUBSTITUTE(LEFT(BM164,FIND("0",BM164&amp;"0")-1),"-",""),"_",""),"/",""),".",""),"#",""),"\\",""),":","")," ",""),"(",""),")","")</f>
        <v/>
      </c>
      <c r="BV164" s="61" t="n">
        <f aca="false">IFERROR(IF(OR(SUMPRODUCT((LEN(BC164)-LEN(SUBSTITUTE(BC164," "&amp;L_NotLoaded&amp;" "," ")))/(LEN(L_NotLoaded)+1))&gt;SUMPRODUCT((LEN(BC164)-LEN(SUBSTITUTE(BC164," "&amp;L_NotLoadedNeg&amp;" "," ")))/(LEN(L_NotLoadedNeg)+1)),SUMPRODUCT((LEN(BD164)-LEN(SUBSTITUTE(BD164," "&amp;L_NotLoaded&amp;" "," ")))/(LEN(L_NotLoaded)+1))&gt;SUMPRODUCT((LEN(BD164)-LEN(SUBSTITUTE(BD164," "&amp;L_NotLoadedNeg&amp;" "," ")))/(LEN(L_NotLoadedNeg)+1))),1,0),0)</f>
        <v>0</v>
      </c>
      <c r="BW1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164&amp;""),"a",""),"b",""),"c",""),"d",""),"e",""),"f",""),"g",""),"h",""),"i",""),"j",""),"k",""),"l",""),"m",""),"n",""),"o",""),"p",""),"q",""),"r",""),"s",""),"t",""),"u",""),"v",""),"w",""),"x",""),"y",""),"z",""),"-",""),"_",""),"/",""),".",""),"#",""),"\\",""),":","")," ",""),"(",""),")","")</f>
        <v/>
      </c>
      <c r="BX164" s="61" t="str">
        <f aca="false">SUBSTITUTE(SUBSTITUTE(SUBSTITUTE(SUBSTITUTE(SUBSTITUTE(SUBSTITUTE(SUBSTITUTE(SUBSTITUTE(SUBSTITUTE(SUBSTITUTE(SUBSTITUTE(BM164,"0",""),"-",""),"_",""),"/",""),".",""),"#",""),"\\",""),":","")," ",""),"(",""),")","")</f>
        <v/>
      </c>
      <c r="BY164" s="62" t="n">
        <f aca="false">IF(ISNUMBER(Flights!$AZ$9),MAX(Q164-UpliftWindowH/24,Flights!$AZ$9),Q164-UpliftWindowH/24)</f>
        <v>46310.0451388889</v>
      </c>
      <c r="BZ164" s="61" t="n">
        <f aca="false">IFERROR(IF(IF(TRIM(S164)="Link / file path",AND(LEN(TRIM(Z164))&gt;=5,SUMPRODUCT(--ISNUMBER(SEARCH({"http","www.","\\",":\",".pdf",".jpg",".jpeg",".png",".heic",".xls",".doc",".msg",".eml",".ppt",".txt",".zip"},Z164)))&gt;0),AND(ISERROR(FIND(" ",TRIM(Z164))),NOT(OR(SUMPRODUCT(--ISNUMBER(FIND({",",";","&amp;","+"},Z164)))&gt;0,SUMPRODUCT(--ISNUMBER(SEARCH({"0/aa","0\\aa"},BN164)))&gt;0)),NOT(SUMPRODUCT(--ISNUMBER(SEARCH({"http","www.","\\",":\",".pdf",".jpg",".jpeg",".png",".heic",".xls",".doc",".msg",".eml",".ppt",".txt",".zip"},Z164)))&gt;0),NOT(LOWER(TRIM(Z164))=LOWER(Flights!$F$9)),ISNA(MATCH(BU164,{"mh","rev","revision","ver","version","v","r","a","b","seat","tray","row","gate","bay","stand","page","pg","item","line","no","cart","galley","flight","flt","table","box","bag","oven","etd","eta","std","sta","atd","ata","qty","pax","x","time","tel","ph","mob","day","wk","week","utc","gmt","myt","lt"},0)),NOT(OR(ISNUMBER(MATCH(LEFT(BN164,255),{"0000a","000a","00a","0000aa","000aa","00aa","0aa","0000aaa","000aaa","00a00","0a00","0000-0000","00:00","a00","a0","00.00.0000","00/00/0000","00-00-0000","0000-00-00","0000/00/00","0000.00.00","00.00.00","00/00/00","00-00-00","0.00.0000","0/00/0000","0-00-0000"},0)),ISNUMBER(MATCH(LEFT(BT164,255),{"0000a","000a","00a","0000aa","000aa","00aa","0aa","0000aaa","000aaa","00a00","0a00","0000-0000","00:00","a00","a0","00.00.0000","00/00/0000","00-00-0000","0000-00-00","0000/00/00","0000.00.00","00.00.00","00/00/00","00-00-00","0.00.0000","0/00/0000","0-00-0000"},0)))),NOT(OR(AND(BW164&lt;&gt;"",SUBSTITUTE(BW164,"0","")=""),AND(LEN(BW164)&gt;=4,BW164=REPT(LEFT(BW164),LEN(BW164))),ISNUMBER(MATCH(BW164,{"123","1234","12345","123456","1234567","12345678","0123","01234","012345","98765","987654","54321"},0)),ISNUMBER(MATCH(BX164,{"x","xx","xxx","xxxx","xxxxx","abc","abcd","nil","na","nan","test","tbc","tba","tbd","dummy","sample","example","eg","zz","zzz","none","null","xyz","qwe","asd","id","ref"},0)),AND(LEN(BW164)=8,BX164="",OR(LEFT(BW164,3)="202",ISNUMBER(MATCH(RIGHT(BW164,4),{"2025","2026","2027"},0)))))),OR(AND((LEN(BT164)-LEN(SUBSTITUTE(BT164,"a","")))&gt;=1,(LEN(BN164)-LEN(SUBSTITUTE(BN164,"0","")))&gt;=2,SUMPRODUCT(--ISNUMBER(SEARCH({"a0","a-0","a_0","a/0","a.0","a#0","0a","0-a","0_a","0/a"},BN164)))&gt;0),AND((LEN(BN164)-LEN(SUBSTITUTE(BN164,"a","")))=0,(LEN(BN164)-LEN(SUBSTITUTE(BN164,"0","")))&gt;=5)))),1,0),0)</f>
        <v>0</v>
      </c>
      <c r="CA1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164,"revision",""),"version",""),"jan",""),"feb",""),"mar",""),"apr",""),"may",""),"jun",""),"jul",""),"aug",""),"sep",""),"oct",""),"nov",""),"dec",""),"utc",""),"gmt",""),"myt",""),"bst",""),"rev",""),"ver",""),"b","a"),"c","a"),"d","a"),"e","a"),"f","a"),"g","a"),"h","a"),"i","a"),"j","a"),"k","a"),"l","a"),"m","a"),"n","a"),"o","a"),"p","a"),"q","a"),"r","a"),"s","a"),"t","a"),"u","a"),"v","a"),"w","a"),"x","a"),"y","a"),"z","a")</f>
        <v/>
      </c>
      <c r="CB1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164&amp;""),"a",""),"b",""),"c",""),"d",""),"e",""),"f",""),"g",""),"h",""),"i",""),"j",""),"k",""),"l",""),"m",""),"n",""),"o",""),"p",""),"q",""),"r",""),"s",""),"t",""),"u",""),"v",""),"w",""),"x",""),"y",""),"z",""),"-",""),"_",""),"/",""),".",""),"#",""),"\\",""),":","")," ",""),"(",""),")","")</f>
        <v/>
      </c>
      <c r="CC164" s="0" t="str">
        <f aca="false">" "&amp;TRIM(SUBSTITUTE(SUBSTITUTE(SUBSTITUTE(SUBSTITUTE(SUBSTITUTE(SUBSTITUTE(SUBSTITUTE(SUBSTITUTE(SUBSTITUTE(SUBSTITUTE(SUBSTITUTE(SUBSTITUTE(SUBSTITUTE(SUBSTITUTE(SUBSTITUTE(SUBSTITUTE(SUBSTITUTE(SUBSTITUTE(SUBSTITUTE(SUBSTITUTE(SUBSTITUTE(SUBSTITUTE(SUBSTITUTE(SUBSTITUTE(LOWER(T164&amp;""),CHAR(10)," "),CHAR(13)," "),CHAR(9)," "),CHAR(160)," "),"."," "),","," "),"-"," "),"/"," "),"("," "),")"," "),":"," "),";"," "),"_"," "),"–"," "),"?"," "),"!"," "),"*"," "),"["," "),"]"," "),"'"," "),"#"," "),"+"," "),"&amp;"," "),"\"," "))&amp;" "</f>
        <v>  </v>
      </c>
      <c r="CD164" s="0" t="str">
        <f aca="false">" "&amp;TRIM(SUBSTITUTE(SUBSTITUTE(SUBSTITUTE(SUBSTITUTE(SUBSTITUTE(SUBSTITUTE(SUBSTITUTE(SUBSTITUTE(SUBSTITUTE(SUBSTITUTE(SUBSTITUTE(SUBSTITUTE(SUBSTITUTE(SUBSTITUTE(SUBSTITUTE(SUBSTITUTE(SUBSTITUTE(SUBSTITUTE(SUBSTITUTE(SUBSTITUTE(SUBSTITUTE(SUBSTITUTE(SUBSTITUTE(SUBSTITUTE(LOWER(AE164&amp;""),CHAR(10)," "),CHAR(13)," "),CHAR(9)," "),CHAR(160)," "),"."," "),","," "),"-"," "),"/"," "),"("," "),")"," "),":"," "),";"," "),"_"," "),"–"," "),"?"," "),"!"," "),"*"," "),"["," "),"]"," "),"'"," "),"#"," "),"+"," "),"&amp;"," "),"\"," "))&amp;" "</f>
        <v>  </v>
      </c>
      <c r="CE164" s="68" t="n">
        <f aca="false">IFERROR(IF(AND(LEN(AU164)&gt;0,LEN(AU164)=LEN(AX164),OR(TRIM(MID(SUBSTITUTE(TRIM(CC164)," ",REPT(" ",60)),1,60))="",ISNUMBER(SEARCH(" "&amp;TRIM(MID(SUBSTITUTE(TRIM(CC164)," ",REPT(" ",60)),1,60))&amp;" ",CD164))),OR(TRIM(MID(SUBSTITUTE(TRIM(CC164)," ",REPT(" ",60)),61,60))="",ISNUMBER(SEARCH(" "&amp;TRIM(MID(SUBSTITUTE(TRIM(CC164)," ",REPT(" ",60)),61,60))&amp;" ",CD164))),OR(TRIM(MID(SUBSTITUTE(TRIM(CC164)," ",REPT(" ",60)),121,60))="",ISNUMBER(SEARCH(" "&amp;TRIM(MID(SUBSTITUTE(TRIM(CC164)," ",REPT(" ",60)),121,60))&amp;" ",CD164)))),1,0),0)</f>
        <v>0</v>
      </c>
      <c r="CG164" s="68" t="n">
        <f aca="false">IFERROR(LEN(SUBSTITUTE(BF164," ",""))-SUMPRODUCT((LEN(BF164)-LEN(SUBSTITUTE(BF164," "&amp;L_NAFiller&amp;" "," ")))/(LEN(L_NAFiller)+1)*LEN(L_NAFiller)),0)</f>
        <v>0</v>
      </c>
    </row>
    <row r="165" customFormat="false" ht="66" hidden="false" customHeight="true" outlineLevel="0" collapsed="false">
      <c r="A165" s="57" t="s">
        <v>705</v>
      </c>
      <c r="B165" s="57" t="s">
        <v>228</v>
      </c>
      <c r="C165" s="57" t="str">
        <f aca="false">Flights!$F$9</f>
        <v>MH0089</v>
      </c>
      <c r="D165" s="58" t="n">
        <f aca="false">Flights!$D$9</f>
        <v>46310</v>
      </c>
      <c r="E165" s="57" t="str">
        <f aca="false">Flights!$G$9&amp;"-"&amp;Flights!$H$9</f>
        <v>NRT-KUL</v>
      </c>
      <c r="F165" s="57" t="str">
        <f aca="false">Flights!$K$9</f>
        <v>EY</v>
      </c>
      <c r="G165" s="57" t="s">
        <v>459</v>
      </c>
      <c r="H165" s="57" t="s">
        <v>460</v>
      </c>
      <c r="I165" s="57" t="s">
        <v>634</v>
      </c>
      <c r="J165" s="57" t="s">
        <v>659</v>
      </c>
      <c r="K165" s="67" t="s">
        <v>636</v>
      </c>
      <c r="L165" s="67" t="s">
        <v>637</v>
      </c>
      <c r="M165" s="67" t="s">
        <v>451</v>
      </c>
      <c r="N165" s="67" t="s">
        <v>444</v>
      </c>
      <c r="O165" s="67" t="s">
        <v>706</v>
      </c>
      <c r="P165" s="57" t="s">
        <v>220</v>
      </c>
      <c r="Q165" s="59" t="n">
        <f aca="false">ROUND((Flights!$AF$9)*1440,0)/1440</f>
        <v>46310.0451388889</v>
      </c>
      <c r="R165" s="59" t="n">
        <f aca="false">Q165+(IF(AND(INDEX(TZ_DSTS,MATCH(P165,TZ_STN,0))&lt;&gt;"",Q165&gt;=INDEX(TZ_DSTS,MATCH(P165,TZ_STN,0)),Q165&lt;INDEX(TZ_DSTE,MATCH(P165,TZ_STN,0))),INDEX(TZ_DST,MATCH(P165,TZ_STN,0)),INDEX(TZ_STD,MATCH(P165,TZ_STN,0))))/24</f>
        <v>46310.4201388889</v>
      </c>
      <c r="S165" s="60"/>
      <c r="T165" s="60"/>
      <c r="U165" s="60"/>
      <c r="V165" s="60"/>
      <c r="W165" s="61"/>
      <c r="X165" s="60"/>
      <c r="Y165" s="60"/>
      <c r="Z165" s="60"/>
      <c r="AA165" s="60"/>
      <c r="AB165" s="60"/>
      <c r="AC165" s="60"/>
      <c r="AD165" s="66"/>
      <c r="AE165" s="60"/>
      <c r="AF165" s="61" t="str">
        <f aca="false">IF(AND(ISNUMBER(X165),ISNUMBER(Y165)),Y165-X165,"")</f>
        <v/>
      </c>
      <c r="AG165" s="62" t="str">
        <f aca="false">IF(ISNUMBER(AD165),AD165-(IF(AND(INDEX(TZ_DSTS,MATCH(P165,TZ_STN,0))&lt;&gt;"",(AD165-INDEX(TZ_STD,MATCH(P165,TZ_STN,0))/24)&gt;=INDEX(TZ_DSTS,MATCH(P165,TZ_STN,0)),(AD165-INDEX(TZ_STD,MATCH(P165,TZ_STN,0))/24)&lt;INDEX(TZ_DSTE,MATCH(P165,TZ_STN,0))),INDEX(TZ_DST,MATCH(P165,TZ_STN,0)),INDEX(TZ_STD,MATCH(P165,TZ_STN,0))))/24,"")</f>
        <v/>
      </c>
      <c r="AH165" s="65" t="str">
        <f aca="false">IFERROR(IF(N165="N/A – rule",IF(OR(TRIM(U165)="",TRIM(U165)="N/A",TRIM(U165)="Not started"),"N/A – RULE","INVALID – this check does not apply to this aircraft: clear the status (or correct the fleet on Flights)"),IF(TRIM(U165)="N/A",IF(AT165=0,"INVALID – N/A not permitted for this check",IF(AND(TRIM(AB165)&lt;&gt;"",TRIM(AB165)&lt;&gt;"Closed"),"INVALID – corrective action still open",IF(AND(NOT(OR(LEN(AZ165)&lt;15,ISNUMBER(MATCH(AZ165,L_Placeholder,0)))),BK165=0,CG165&gt;=8,NOT(OR(LEN(AU165)&lt;2,ISNUMBER(MATCH(AU165,L_Placeholder,0)))),BR165&gt;=3,NOT(OR(LEN(AX165)&lt;2,ISNUMBER(MATCH(AX165,L_Placeholder,0)))),BS165&gt;=3,TRIM(AE165)&lt;&gt;TRIM(T165),AX165&lt;&gt;AU165,CE165=0),"N/A – JUSTIFIED","INVALID – N/A needs a real, settled reason (not 'not applicable' / 'as above' / TBC), a named PIC and a different named verifier"))),IF(OR(TRIM(U165)="Pass",TRIM(U165)="Pass after CA"),IF(NOT(ISNUMBER(AD165)),"INVALID – completion time missing",IF(OR(OR(LEN(AU165)&lt;2,ISNUMBER(MATCH(AU165,L_Placeholder,0))),BR165&lt;3),"INVALID – PIC missing or not a named person (a role such as QA / CSM is not a name)",IF(OR(LEN(AV165)&lt;2,ISNUMBER(MATCH(AV165,L_Placeholder,0))),"INVALID – result / assessment missing",IF(OR(OR(LEN(AW165)&lt;3,ISNUMBER(MATCH(AW165,L_Placeholder,0))),SUMPRODUCT(--ISNUMBER(SEARCH(" "&amp;L_EvidencePhrase&amp;" ",BD165)))&gt;0,BI165=1),"INVALID – evidence missing, placeholder or not yet on file",IF(ISNA(MATCH(TRIM(S165),L_EvidenceType,0)),"INVALID – choose the evidence type from the list (column S)",IF(BL165=0,"INVALID – evidence ID must be the record's own ID only (e.g. SF-2210, IMG_2231, 1045521); a link / file name needs type 'Link / file path'",IF(OR(OR(LEN(AX165)&lt;2,ISNUMBER(MATCH(AX165,L_Placeholder,0))),BS165&lt;3),"INVALID – verifier missing or not a named person (a role such as QA / CSM is not a name)",IF(OR(AX165=AU165,CE165=1,AND(LEN(AU165)&gt;=4,ISNUMBER(SEARCH(AU165,AX165))),AND(LEN(AX165)&gt;=4,ISNUMBER(SEARCH(AX165,AU165)))),"INVALID – verifier must be a different, named person (not the PIC or a role)",IF(BH165=1,"INVALID – result not yet available (awaiting / TBC)",IF(BG165=1,"INVALID – result describes a problem: record Fail, then Pass after CA (or reword if it is not a problem)",IF(BV165=1,"INVALID – wording says not on board: an on-board confirmation needs the item loaded",IF(AND(AQ165=1,OR(OR(LEN(AY165)&lt;3,ISNUMBER(MATCH(AY165,L_Placeholder,0))),BJ165=1,BQ165=0)),"INVALID – batch ID missing, placeholder or not an ID (e.g. PASB-261008-BC-017)",IF(AND(AR165=1,OR(NOT(ISNUMBER(X165)),NOT(ISNUMBER(Y165)))),"INVALID – expected/actual qty missing",IF(AND(AR165=1,OR(X165&lt;=0,Y165&lt;0)),"INVALID – expected qty must be above 0 and actual not negative",IF(AH158="N/A – JUSTIFIED","INVALID – preparation row F05-T12-11 is N/A",IF(AND(AR165=1,ISNUMBER(X158),X165&lt;&gt;X158,TRIM(U165)&lt;&gt;"Pass after CA"),"INVALID – expected qty differs from preparation check F05-T12-11: record the load change as a corrective action (Pass after CA)",IF(BB165&lt;&gt;"",BB165,IF(AND(AS165=1,Documents!$J$9&lt;&gt;"ON FILE"),"INVALID – GLD not on file (Documents sheet)",IF(AND(AS165=2,Documents!$O$9&lt;&gt;"ON FILE"),"INVALID – menu checklist not on file (Documents sheet)",IF(AND(AS165=3,NOT(ISNUMBER(Flights!$AX$9))),"INVALID – enter carrying flight KUL departure (Flights AX)",IF(AND(AS165=3,OR(Flights!$AZ$9&gt;Flights!$AA$9,Flights!$AX$9&lt;Flights!$AA$9-3)),"INVALID – carrying flight (Flights AX) cannot arrive before this leg's STD, or is over 3 days early",IF(AG165&gt;AsOfUTC,"INVALID – completion time is in the future",IF(AND(ISNUMBER(BY165),AG165&lt;BY165),IF(H165="Physical uplift","INVALID – before uplift window (cannot confirm loading)","INVALID – before valid window"),IF(AG165&gt;Flights!$AA$9,"INVALID – completed after departure (cannot establish readiness)",IF(AND(H165="Preparation",AG165&gt;=IF(ISNUMBER(Flights!$BA$9),MIN(Flights!$BA$9,Flights!$AA$9),Flights!$AA$9)),"INVALID – completed after loading / departure (cannot establish readiness)",IF(AND(H165="Physical uplift",AG165&gt;Q165),"INVALID – recorded after the loading flight departed",IF(AG165&gt;Q165,"COMPLETE – LATE","COMPLETE"))))))))))))))))))))))))))),IF(TRIM(U165)="Fail","FAIL – DISCREPANCY",IF(AND(TRIM(U165)&lt;&gt;"",TRIM(U165)&lt;&gt;"Not started",TRIM(U165)&lt;&gt;"In progress"),"INVALID – unrecognised status (use the list)",IF(AsOfUTC&gt;Q165,"OVERDUE",IF(N165="Clarification required","OPEN – CLARIFICATION","OPEN"))))))),"INVALID – error value in an input cell")</f>
        <v>OPEN – CLARIFICATION</v>
      </c>
      <c r="AI165" s="61" t="n">
        <f aca="false">IF(OR(AH165="N/A – RULE",AH165="N/A – JUSTIFIED"),0,1)</f>
        <v>1</v>
      </c>
      <c r="AJ165" s="61" t="n">
        <f aca="false">IF(LEFT(AH165,8)="COMPLETE",1,0)</f>
        <v>0</v>
      </c>
      <c r="AK165" s="61" t="n">
        <f aca="false">IF(AND(AI165=1,AJ165=0,AsOfUTC&gt;Q165),1,0)</f>
        <v>0</v>
      </c>
      <c r="AL165" s="61" t="n">
        <f aca="false">IFERROR(IF(AND(AI165=1,OR(TRIM(U165)="Fail",AND(TRIM(AB165)&lt;&gt;"",TRIM(AB165)&lt;&gt;"Closed"),AND(ISNUMBER(AF165),AF165&lt;&gt;0,TRIM(U165)&lt;&gt;"Pass after CA"))),1,0),1)</f>
        <v>0</v>
      </c>
      <c r="AM165" s="61" t="n">
        <f aca="false">IF(LEFT(AH165,7)="INVALID",1,0)</f>
        <v>0</v>
      </c>
      <c r="AN165" s="61" t="n">
        <f aca="false">IF(AND(N165="Clarification required",AI165=1,AJ165=0),1,0)</f>
        <v>1</v>
      </c>
      <c r="AO165" s="61" t="str">
        <f aca="false">IF(AK165=1,SUM(AK$5:AK165),"")</f>
        <v/>
      </c>
      <c r="AP165" s="61" t="str">
        <f aca="false">IF(AL165=1,SUM(AL$5:AL165),"")</f>
        <v/>
      </c>
      <c r="AQ165" s="61" t="n">
        <v>0</v>
      </c>
      <c r="AR165" s="61" t="n">
        <v>0</v>
      </c>
      <c r="AS165" s="61" t="n">
        <v>0</v>
      </c>
      <c r="AT165" s="61" t="n">
        <v>1</v>
      </c>
      <c r="AU165" s="61" t="str">
        <f aca="false">SUBSTITUTE(SUBSTITUTE(SUBSTITUTE(SUBSTITUTE(SUBSTITUTE(SUBSTITUTE(SUBSTITUTE(SUBSTITUTE(SUBSTITUTE(SUBSTITUTE(SUBSTITUTE(SUBSTITUTE(SUBSTITUTE(SUBSTITUTE(SUBSTITUTE(SUBSTITUTE(LOWER(T165&amp;""),CHAR(10),""),CHAR(13),""),CHAR(9),""),CHAR(160),"")," ",""),".",""),"-",""),"/",""),"?",""),"_",""),",",""),"[",""),"]",""),"(",""),")",""),"*","")</f>
        <v/>
      </c>
      <c r="AV165" s="61" t="str">
        <f aca="false">SUBSTITUTE(SUBSTITUTE(SUBSTITUTE(SUBSTITUTE(SUBSTITUTE(SUBSTITUTE(SUBSTITUTE(SUBSTITUTE(SUBSTITUTE(SUBSTITUTE(SUBSTITUTE(SUBSTITUTE(SUBSTITUTE(SUBSTITUTE(SUBSTITUTE(SUBSTITUTE(LOWER(V165&amp;""),CHAR(10),""),CHAR(13),""),CHAR(9),""),CHAR(160),"")," ",""),".",""),"-",""),"/",""),"?",""),"_",""),",",""),"[",""),"]",""),"(",""),")",""),"*","")</f>
        <v/>
      </c>
      <c r="AW165" s="61" t="str">
        <f aca="false">SUBSTITUTE(SUBSTITUTE(SUBSTITUTE(SUBSTITUTE(SUBSTITUTE(SUBSTITUTE(SUBSTITUTE(SUBSTITUTE(SUBSTITUTE(SUBSTITUTE(SUBSTITUTE(SUBSTITUTE(SUBSTITUTE(SUBSTITUTE(SUBSTITUTE(SUBSTITUTE(LOWER(Z165&amp;""),CHAR(10),""),CHAR(13),""),CHAR(9),""),CHAR(160),"")," ",""),".",""),"-",""),"/",""),"?",""),"_",""),",",""),"[",""),"]",""),"(",""),")",""),"*","")</f>
        <v/>
      </c>
      <c r="AX165" s="61" t="str">
        <f aca="false">SUBSTITUTE(SUBSTITUTE(SUBSTITUTE(SUBSTITUTE(SUBSTITUTE(SUBSTITUTE(SUBSTITUTE(SUBSTITUTE(SUBSTITUTE(SUBSTITUTE(SUBSTITUTE(SUBSTITUTE(SUBSTITUTE(SUBSTITUTE(SUBSTITUTE(SUBSTITUTE(LOWER(AE165&amp;""),CHAR(10),""),CHAR(13),""),CHAR(9),""),CHAR(160),"")," ",""),".",""),"-",""),"/",""),"?",""),"_",""),",",""),"[",""),"]",""),"(",""),")",""),"*","")</f>
        <v/>
      </c>
      <c r="AY165" s="61" t="str">
        <f aca="false">SUBSTITUTE(SUBSTITUTE(SUBSTITUTE(SUBSTITUTE(SUBSTITUTE(SUBSTITUTE(SUBSTITUTE(SUBSTITUTE(SUBSTITUTE(SUBSTITUTE(SUBSTITUTE(SUBSTITUTE(SUBSTITUTE(SUBSTITUTE(SUBSTITUTE(SUBSTITUTE(LOWER(W165&amp;""),CHAR(10),""),CHAR(13),""),CHAR(9),""),CHAR(160),"")," ",""),".",""),"-",""),"/",""),"?",""),"_",""),",",""),"[",""),"]",""),"(",""),")",""),"*","")</f>
        <v/>
      </c>
      <c r="AZ165" s="61" t="str">
        <f aca="false">SUBSTITUTE(SUBSTITUTE(SUBSTITUTE(SUBSTITUTE(SUBSTITUTE(SUBSTITUTE(SUBSTITUTE(SUBSTITUTE(SUBSTITUTE(SUBSTITUTE(SUBSTITUTE(SUBSTITUTE(SUBSTITUTE(SUBSTITUTE(SUBSTITUTE(SUBSTITUTE(LOWER(AC165&amp;""),CHAR(10),""),CHAR(13),""),CHAR(9),""),CHAR(160),"")," ",""),".",""),"-",""),"/",""),"?",""),"_",""),",",""),"[",""),"]",""),"(",""),")",""),"*","")</f>
        <v/>
      </c>
      <c r="BA165" s="61" t="str">
        <f aca="false">SUBSTITUTE(SUBSTITUTE(SUBSTITUTE(SUBSTITUTE(SUBSTITUTE(SUBSTITUTE(SUBSTITUTE(SUBSTITUTE(SUBSTITUTE(SUBSTITUTE(SUBSTITUTE(SUBSTITUTE(SUBSTITUTE(SUBSTITUTE(SUBSTITUTE(SUBSTITUTE(LOWER(AA165&amp;""),CHAR(10),""),CHAR(13),""),CHAR(9),""),CHAR(160),"")," ",""),".",""),"-",""),"/",""),"?",""),"_",""),",",""),"[",""),"]",""),"(",""),")",""),"*","")</f>
        <v/>
      </c>
      <c r="BB165" s="61" t="str">
        <f aca="false">IF(AND(TRIM(U165)="Pass",ISNUMBER(AF165)),IF(AF165&lt;&gt;0,"INVALID – qty variance: use Fail or Pass after CA",""),"")&amp;IF(AND(TRIM(U165)="Pass after CA",ISNUMBER(AF165)),IF(AF165&lt;&gt;0,"INVALID – after the corrective action the actual qty must equal expected (update Actual)",""),"")&amp;IF(AND(TRIM(U165)="Pass",TRIM(AB165)&lt;&gt;"",TRIM(AB165)&lt;&gt;"Closed"),"INVALID – corrective action not closed: use Fail, then Pass after CA","")&amp;IF(AND(LEN(BA165)&gt;=2,ISNA(MATCH(LEFT(BA165,255),L_Placeholder,0)),TRIM(AB165)=""),"INVALID – CA status missing for the recorded corrective action","")&amp;IF(AND(TRIM(U165)="Pass after CA",OR(OR(LEN(BA165)&lt;5,ISNUMBER(MATCH(BA165,L_Placeholder,0))),TRIM(AB165)&lt;&gt;"Closed")),"INVALID – corrective action not recorded/closed","")</f>
        <v/>
      </c>
      <c r="BC165" s="61" t="str">
        <f aca="false">" "&amp;TRIM(SUBSTITUTE(SUBSTITUTE(SUBSTITUTE(SUBSTITUTE(SUBSTITUTE(SUBSTITUTE(SUBSTITUTE(SUBSTITUTE(SUBSTITUTE(SUBSTITUTE(SUBSTITUTE(SUBSTITUTE(SUBSTITUTE(SUBSTITUTE(SUBSTITUTE(SUBSTITUTE(SUBSTITUTE(SUBSTITUTE(SUBSTITUTE(SUBSTITUTE(SUBSTITUTE(SUBSTITUTE(SUBSTITUTE(SUBSTITUTE(LOWER(V165&amp;""),CHAR(10)," "),CHAR(13)," "),CHAR(9)," "),CHAR(160)," "),"."," "),","," "),"-"," "),"/"," "),"("," "),")"," "),":"," "),";"," "),"_"," "),"–"," "),"?"," "),"!"," "),"*"," "),"["," "),"]"," "),"'"," "),"#"," "),"+"," "),"&amp;"," "),"\"," "))&amp;" "</f>
        <v>  </v>
      </c>
      <c r="BD165" s="61" t="str">
        <f aca="false">" "&amp;TRIM(SUBSTITUTE(SUBSTITUTE(SUBSTITUTE(SUBSTITUTE(SUBSTITUTE(SUBSTITUTE(SUBSTITUTE(SUBSTITUTE(SUBSTITUTE(SUBSTITUTE(SUBSTITUTE(SUBSTITUTE(SUBSTITUTE(SUBSTITUTE(SUBSTITUTE(SUBSTITUTE(SUBSTITUTE(SUBSTITUTE(SUBSTITUTE(SUBSTITUTE(SUBSTITUTE(SUBSTITUTE(SUBSTITUTE(SUBSTITUTE(LOWER(Z165&amp;""),CHAR(10)," "),CHAR(13)," "),CHAR(9)," "),CHAR(160)," "),"."," "),","," "),"-"," "),"/"," "),"("," "),")"," "),":"," "),";"," "),"_"," "),"–"," "),"?"," "),"!"," "),"*"," "),"["," "),"]"," "),"'"," "),"#"," "),"+"," "),"&amp;"," "),"\"," "))&amp;" "</f>
        <v>  </v>
      </c>
      <c r="BE165" s="61" t="str">
        <f aca="false">" "&amp;TRIM(SUBSTITUTE(SUBSTITUTE(SUBSTITUTE(SUBSTITUTE(SUBSTITUTE(SUBSTITUTE(SUBSTITUTE(SUBSTITUTE(SUBSTITUTE(SUBSTITUTE(SUBSTITUTE(SUBSTITUTE(SUBSTITUTE(SUBSTITUTE(SUBSTITUTE(SUBSTITUTE(SUBSTITUTE(SUBSTITUTE(SUBSTITUTE(SUBSTITUTE(SUBSTITUTE(SUBSTITUTE(SUBSTITUTE(SUBSTITUTE(LOWER(W165&amp;""),CHAR(10)," "),CHAR(13)," "),CHAR(9)," "),CHAR(160)," "),"."," "),","," "),"-"," "),"/"," "),"("," "),")"," "),":"," "),";"," "),"_"," "),"–"," "),"?"," "),"!"," "),"*"," "),"["," "),"]"," "),"'"," "),"#"," "),"+"," "),"&amp;"," "),"\"," "))&amp;" "</f>
        <v>  </v>
      </c>
      <c r="BF165" s="61" t="str">
        <f aca="false">" "&amp;TRIM(SUBSTITUTE(SUBSTITUTE(SUBSTITUTE(SUBSTITUTE(SUBSTITUTE(SUBSTITUTE(SUBSTITUTE(SUBSTITUTE(SUBSTITUTE(SUBSTITUTE(SUBSTITUTE(SUBSTITUTE(SUBSTITUTE(SUBSTITUTE(SUBSTITUTE(SUBSTITUTE(SUBSTITUTE(SUBSTITUTE(SUBSTITUTE(SUBSTITUTE(SUBSTITUTE(SUBSTITUTE(SUBSTITUTE(SUBSTITUTE(LOWER(AC165&amp;""),CHAR(10)," "),CHAR(13)," "),CHAR(9)," "),CHAR(160)," "),"."," "),","," "),"-"," "),"/"," "),"("," "),")"," "),":"," "),";"," "),"_"," "),"–"," "),"?"," "),"!"," "),"*"," "),"["," "),"]"," "),"'"," "),"#"," "),"+"," "),"&amp;"," "),"\"," "))&amp;" "</f>
        <v>  </v>
      </c>
      <c r="BG165" s="61" t="n">
        <f aca="false">IFERROR(IF(AND(TRIM(U165)="Pass",SUMPRODUCT((LEN(BC165)-LEN(SUBSTITUTE(BC165," "&amp;L_ResultBad&amp;" "," ")))/(LEN(L_ResultBad)+1))&gt;SUMPRODUCT((LEN(BC165)-LEN(SUBSTITUTE(BC165," "&amp;L_NegPhrase&amp;" "," ")))/(LEN(L_NegPhrase)+1))),1,0),0)</f>
        <v>0</v>
      </c>
      <c r="BH165" s="61" t="n">
        <f aca="false">IFERROR(IF(SUMPRODUCT((LEN(BC165)-LEN(SUBSTITUTE(BC165," "&amp;L_Pending&amp;" "," ")))/(LEN(L_Pending)+1))&gt;SUMPRODUCT((LEN(BC165)-LEN(SUBSTITUTE(BC165," "&amp;L_PendNeg&amp;" "," ")))/(LEN(L_PendNeg)+1)),1,0),1)</f>
        <v>0</v>
      </c>
      <c r="BI165" s="61" t="n">
        <f aca="false">IFERROR(IF(SUMPRODUCT((LEN(BD165)-LEN(SUBSTITUTE(BD165," "&amp;L_PendStrict&amp;" "," ")))/(LEN(L_PendStrict)+1))&gt;SUMPRODUCT((LEN(BD165)-LEN(SUBSTITUTE(BD165," "&amp;L_PendNeg&amp;" "," ")))/(LEN(L_PendNeg)+1)),1,0),1)</f>
        <v>0</v>
      </c>
      <c r="BJ165" s="61" t="n">
        <f aca="false">IFERROR(IF(SUMPRODUCT((LEN(BE165)-LEN(SUBSTITUTE(BE165," "&amp;L_Pending&amp;" "," ")))/(LEN(L_Pending)+1))&gt;SUMPRODUCT((LEN(BE165)-LEN(SUBSTITUTE(BE165," "&amp;L_PendNeg&amp;" "," ")))/(LEN(L_PendNeg)+1)),1,0),1)</f>
        <v>0</v>
      </c>
      <c r="BK165" s="61" t="n">
        <f aca="false">IFERROR(IF(SUMPRODUCT((LEN(BF165)-LEN(SUBSTITUTE(BF165," "&amp;L_PendStrict&amp;" "," ")))/(LEN(L_PendStrict)+1))&gt;SUMPRODUCT((LEN(BF165)-LEN(SUBSTITUTE(BF165," "&amp;L_PendNeg&amp;" "," ")))/(LEN(L_PendNeg)+1)),1,0),1)</f>
        <v>0</v>
      </c>
      <c r="BL165" s="61" t="n">
        <f aca="false">IF(ISNA(MATCH(TRIM(S165),L_EvidenceType,0)),0,BZ165)</f>
        <v>0</v>
      </c>
      <c r="BM165" s="61" t="str">
        <f aca="false">SUBSTITUTE(SUBSTITUTE(SUBSTITUTE(SUBSTITUTE(SUBSTITUTE(SUBSTITUTE(SUBSTITUTE(SUBSTITUTE(SUBSTITUTE(LOWER(Z165&amp;""),"1","0"),"2","0"),"3","0"),"4","0"),"5","0"),"6","0"),"7","0"),"8","0"),"9","0")</f>
        <v/>
      </c>
      <c r="BN165" s="61" t="str">
        <f aca="false">SUBSTITUTE(SUBSTITUTE(SUBSTITUTE(SUBSTITUTE(SUBSTITUTE(SUBSTITUTE(SUBSTITUTE(SUBSTITUTE(SUBSTITUTE(SUBSTITUTE(SUBSTITUTE(SUBSTITUTE(SUBSTITUTE(SUBSTITUTE(SUBSTITUTE(SUBSTITUTE(SUBSTITUTE(SUBSTITUTE(SUBSTITUTE(SUBSTITUTE(SUBSTITUTE(SUBSTITUTE(SUBSTITUTE(SUBSTITUTE(SUBSTITUTE(BM165,"b","a"),"c","a"),"d","a"),"e","a"),"f","a"),"g","a"),"h","a"),"i","a"),"j","a"),"k","a"),"l","a"),"m","a"),"n","a"),"o","a"),"p","a"),"q","a"),"r","a"),"s","a"),"t","a"),"u","a"),"v","a"),"w","a"),"x","a"),"y","a"),"z","a")</f>
        <v/>
      </c>
      <c r="BO165" s="61" t="str">
        <f aca="false">SUBSTITUTE(SUBSTITUTE(SUBSTITUTE(SUBSTITUTE(SUBSTITUTE(SUBSTITUTE(SUBSTITUTE(SUBSTITUTE(SUBSTITUTE(LOWER(W165&amp;""),"1","0"),"2","0"),"3","0"),"4","0"),"5","0"),"6","0"),"7","0"),"8","0"),"9","0")</f>
        <v/>
      </c>
      <c r="BP165" s="61" t="str">
        <f aca="false">SUBSTITUTE(SUBSTITUTE(SUBSTITUTE(SUBSTITUTE(SUBSTITUTE(SUBSTITUTE(SUBSTITUTE(SUBSTITUTE(SUBSTITUTE(SUBSTITUTE(SUBSTITUTE(SUBSTITUTE(SUBSTITUTE(SUBSTITUTE(SUBSTITUTE(SUBSTITUTE(SUBSTITUTE(SUBSTITUTE(SUBSTITUTE(SUBSTITUTE(SUBSTITUTE(SUBSTITUTE(SUBSTITUTE(SUBSTITUTE(SUBSTITUTE(BO165,"b","a"),"c","a"),"d","a"),"e","a"),"f","a"),"g","a"),"h","a"),"i","a"),"j","a"),"k","a"),"l","a"),"m","a"),"n","a"),"o","a"),"p","a"),"q","a"),"r","a"),"s","a"),"t","a"),"u","a"),"v","a"),"w","a"),"x","a"),"y","a"),"z","a")</f>
        <v/>
      </c>
      <c r="BQ165" s="61" t="n">
        <f aca="false">IFERROR(IF(AND(ISERROR(SEARCH(" mh"," "&amp;LOWER(W165))),ISNA(MATCH(LEFT(TRIM(BP165),255),{"0000a","000a","00a","0000aa","000aa","00aa","0aa","0000aaa","000aaa","00a00","0a00","0000-0000","00:00","a00","a0","00.00.0000","00/00/0000","00-00-0000","0000-00-00","0000/00/00","0000.00.00","00.00.00","00/00/00","00-00-00","0.00.0000","0/00/0000","0-00-0000"},0)),ISNA(MATCH(LEFT(TRIM(CA165),255),{"0000a","000a","00a","0000aa","000aa","00aa","0aa","0000aaa","000aaa","00a00","0a00","0000-0000","00:00","a00","a0","00.00.0000","00/00/0000","00-00-0000","0000-00-00","0000/00/00","0000.00.00","00.00.00","00/00/00","00-00-00","0.00.0000","0/00/0000","0-00-0000"},0)),LEN(CB165)&gt;=3,NOT(OR(SUBSTITUTE(CB165,"0","")="",AND(LEN(CB165)&gt;=4,CB165=REPT(LEFT(CB165),LEN(CB165))),ISNUMBER(MATCH(CB165,{"123","1234","12345","123456","1234567","12345678","0123","01234","012345","98765","987654","54321"},0)),AND(LEN(CB165)=8,LEFT(CB165,3)="202"))),OR(AND((LEN(CA165)-LEN(SUBSTITUTE(CA165,"a","")))&gt;=1,SUMPRODUCT(--ISNUMBER(SEARCH({"a0","a-0","a_0","a/0","a.0","a#0","0a","0-a","0_a","0/a"},BP165)))&gt;0),ISNUMBER(SEARCH("000000",BP165)))),1,0),0)</f>
        <v>0</v>
      </c>
      <c r="BR165" s="61" t="n">
        <f aca="false">IFERROR(LEN(SUBSTITUTE(CC165," ",""))-SUMPRODUCT((LEN(CC165)-LEN(SUBSTITUTE(CC165," "&amp;L_Role&amp;" "," ")))/(LEN(L_Role)+1)*LEN(L_Role)),0)</f>
        <v>0</v>
      </c>
      <c r="BS165" s="61" t="n">
        <f aca="false">IFERROR(LEN(SUBSTITUTE(CD165," ",""))-SUMPRODUCT((LEN(CD165)-LEN(SUBSTITUTE(CD165," "&amp;L_Role&amp;" "," ")))/(LEN(L_Role)+1)*LEN(L_Role)),0)</f>
        <v>0</v>
      </c>
      <c r="BT1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165,"revision",""),"version",""),"jan",""),"feb",""),"mar",""),"apr",""),"may",""),"jun",""),"jul",""),"aug",""),"sep",""),"oct",""),"nov",""),"dec",""),"utc",""),"gmt",""),"myt",""),"bst",""),"rev",""),"ver",""),"b","a"),"c","a"),"d","a"),"e","a"),"f","a"),"g","a"),"h","a"),"i","a"),"j","a"),"k","a"),"l","a"),"m","a"),"n","a"),"o","a"),"p","a"),"q","a"),"r","a"),"s","a"),"t","a"),"u","a"),"v","a"),"w","a"),"x","a"),"y","a"),"z","a")</f>
        <v/>
      </c>
      <c r="BU165" s="61" t="str">
        <f aca="false">SUBSTITUTE(SUBSTITUTE(SUBSTITUTE(SUBSTITUTE(SUBSTITUTE(SUBSTITUTE(SUBSTITUTE(SUBSTITUTE(SUBSTITUTE(SUBSTITUTE(LEFT(BM165,FIND("0",BM165&amp;"0")-1),"-",""),"_",""),"/",""),".",""),"#",""),"\\",""),":","")," ",""),"(",""),")","")</f>
        <v/>
      </c>
      <c r="BV165" s="61" t="n">
        <f aca="false">IFERROR(IF(OR(SUMPRODUCT((LEN(BC165)-LEN(SUBSTITUTE(BC165," "&amp;L_NotLoaded&amp;" "," ")))/(LEN(L_NotLoaded)+1))&gt;SUMPRODUCT((LEN(BC165)-LEN(SUBSTITUTE(BC165," "&amp;L_NotLoadedNeg&amp;" "," ")))/(LEN(L_NotLoadedNeg)+1)),SUMPRODUCT((LEN(BD165)-LEN(SUBSTITUTE(BD165," "&amp;L_NotLoaded&amp;" "," ")))/(LEN(L_NotLoaded)+1))&gt;SUMPRODUCT((LEN(BD165)-LEN(SUBSTITUTE(BD165," "&amp;L_NotLoadedNeg&amp;" "," ")))/(LEN(L_NotLoadedNeg)+1))),1,0),0)</f>
        <v>0</v>
      </c>
      <c r="BW1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165&amp;""),"a",""),"b",""),"c",""),"d",""),"e",""),"f",""),"g",""),"h",""),"i",""),"j",""),"k",""),"l",""),"m",""),"n",""),"o",""),"p",""),"q",""),"r",""),"s",""),"t",""),"u",""),"v",""),"w",""),"x",""),"y",""),"z",""),"-",""),"_",""),"/",""),".",""),"#",""),"\\",""),":","")," ",""),"(",""),")","")</f>
        <v/>
      </c>
      <c r="BX165" s="61" t="str">
        <f aca="false">SUBSTITUTE(SUBSTITUTE(SUBSTITUTE(SUBSTITUTE(SUBSTITUTE(SUBSTITUTE(SUBSTITUTE(SUBSTITUTE(SUBSTITUTE(SUBSTITUTE(SUBSTITUTE(BM165,"0",""),"-",""),"_",""),"/",""),".",""),"#",""),"\\",""),":","")," ",""),"(",""),")","")</f>
        <v/>
      </c>
      <c r="BY165" s="62" t="n">
        <f aca="false">IF(ISNUMBER(Flights!$AZ$9),MAX(Q165-UpliftWindowH/24,Flights!$AZ$9),Q165-UpliftWindowH/24)</f>
        <v>46310.0451388889</v>
      </c>
      <c r="BZ165" s="61" t="n">
        <f aca="false">IFERROR(IF(IF(TRIM(S165)="Link / file path",AND(LEN(TRIM(Z165))&gt;=5,SUMPRODUCT(--ISNUMBER(SEARCH({"http","www.","\\",":\",".pdf",".jpg",".jpeg",".png",".heic",".xls",".doc",".msg",".eml",".ppt",".txt",".zip"},Z165)))&gt;0),AND(ISERROR(FIND(" ",TRIM(Z165))),NOT(OR(SUMPRODUCT(--ISNUMBER(FIND({",",";","&amp;","+"},Z165)))&gt;0,SUMPRODUCT(--ISNUMBER(SEARCH({"0/aa","0\\aa"},BN165)))&gt;0)),NOT(SUMPRODUCT(--ISNUMBER(SEARCH({"http","www.","\\",":\",".pdf",".jpg",".jpeg",".png",".heic",".xls",".doc",".msg",".eml",".ppt",".txt",".zip"},Z165)))&gt;0),NOT(LOWER(TRIM(Z165))=LOWER(Flights!$F$9)),ISNA(MATCH(BU165,{"mh","rev","revision","ver","version","v","r","a","b","seat","tray","row","gate","bay","stand","page","pg","item","line","no","cart","galley","flight","flt","table","box","bag","oven","etd","eta","std","sta","atd","ata","qty","pax","x","time","tel","ph","mob","day","wk","week","utc","gmt","myt","lt"},0)),NOT(OR(ISNUMBER(MATCH(LEFT(BN165,255),{"0000a","000a","00a","0000aa","000aa","00aa","0aa","0000aaa","000aaa","00a00","0a00","0000-0000","00:00","a00","a0","00.00.0000","00/00/0000","00-00-0000","0000-00-00","0000/00/00","0000.00.00","00.00.00","00/00/00","00-00-00","0.00.0000","0/00/0000","0-00-0000"},0)),ISNUMBER(MATCH(LEFT(BT165,255),{"0000a","000a","00a","0000aa","000aa","00aa","0aa","0000aaa","000aaa","00a00","0a00","0000-0000","00:00","a00","a0","00.00.0000","00/00/0000","00-00-0000","0000-00-00","0000/00/00","0000.00.00","00.00.00","00/00/00","00-00-00","0.00.0000","0/00/0000","0-00-0000"},0)))),NOT(OR(AND(BW165&lt;&gt;"",SUBSTITUTE(BW165,"0","")=""),AND(LEN(BW165)&gt;=4,BW165=REPT(LEFT(BW165),LEN(BW165))),ISNUMBER(MATCH(BW165,{"123","1234","12345","123456","1234567","12345678","0123","01234","012345","98765","987654","54321"},0)),ISNUMBER(MATCH(BX165,{"x","xx","xxx","xxxx","xxxxx","abc","abcd","nil","na","nan","test","tbc","tba","tbd","dummy","sample","example","eg","zz","zzz","none","null","xyz","qwe","asd","id","ref"},0)),AND(LEN(BW165)=8,BX165="",OR(LEFT(BW165,3)="202",ISNUMBER(MATCH(RIGHT(BW165,4),{"2025","2026","2027"},0)))))),OR(AND((LEN(BT165)-LEN(SUBSTITUTE(BT165,"a","")))&gt;=1,(LEN(BN165)-LEN(SUBSTITUTE(BN165,"0","")))&gt;=2,SUMPRODUCT(--ISNUMBER(SEARCH({"a0","a-0","a_0","a/0","a.0","a#0","0a","0-a","0_a","0/a"},BN165)))&gt;0),AND((LEN(BN165)-LEN(SUBSTITUTE(BN165,"a","")))=0,(LEN(BN165)-LEN(SUBSTITUTE(BN165,"0","")))&gt;=5)))),1,0),0)</f>
        <v>0</v>
      </c>
      <c r="CA1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165,"revision",""),"version",""),"jan",""),"feb",""),"mar",""),"apr",""),"may",""),"jun",""),"jul",""),"aug",""),"sep",""),"oct",""),"nov",""),"dec",""),"utc",""),"gmt",""),"myt",""),"bst",""),"rev",""),"ver",""),"b","a"),"c","a"),"d","a"),"e","a"),"f","a"),"g","a"),"h","a"),"i","a"),"j","a"),"k","a"),"l","a"),"m","a"),"n","a"),"o","a"),"p","a"),"q","a"),"r","a"),"s","a"),"t","a"),"u","a"),"v","a"),"w","a"),"x","a"),"y","a"),"z","a")</f>
        <v/>
      </c>
      <c r="CB1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165&amp;""),"a",""),"b",""),"c",""),"d",""),"e",""),"f",""),"g",""),"h",""),"i",""),"j",""),"k",""),"l",""),"m",""),"n",""),"o",""),"p",""),"q",""),"r",""),"s",""),"t",""),"u",""),"v",""),"w",""),"x",""),"y",""),"z",""),"-",""),"_",""),"/",""),".",""),"#",""),"\\",""),":","")," ",""),"(",""),")","")</f>
        <v/>
      </c>
      <c r="CC165" s="0" t="str">
        <f aca="false">" "&amp;TRIM(SUBSTITUTE(SUBSTITUTE(SUBSTITUTE(SUBSTITUTE(SUBSTITUTE(SUBSTITUTE(SUBSTITUTE(SUBSTITUTE(SUBSTITUTE(SUBSTITUTE(SUBSTITUTE(SUBSTITUTE(SUBSTITUTE(SUBSTITUTE(SUBSTITUTE(SUBSTITUTE(SUBSTITUTE(SUBSTITUTE(SUBSTITUTE(SUBSTITUTE(SUBSTITUTE(SUBSTITUTE(SUBSTITUTE(SUBSTITUTE(LOWER(T165&amp;""),CHAR(10)," "),CHAR(13)," "),CHAR(9)," "),CHAR(160)," "),"."," "),","," "),"-"," "),"/"," "),"("," "),")"," "),":"," "),";"," "),"_"," "),"–"," "),"?"," "),"!"," "),"*"," "),"["," "),"]"," "),"'"," "),"#"," "),"+"," "),"&amp;"," "),"\"," "))&amp;" "</f>
        <v>  </v>
      </c>
      <c r="CD165" s="0" t="str">
        <f aca="false">" "&amp;TRIM(SUBSTITUTE(SUBSTITUTE(SUBSTITUTE(SUBSTITUTE(SUBSTITUTE(SUBSTITUTE(SUBSTITUTE(SUBSTITUTE(SUBSTITUTE(SUBSTITUTE(SUBSTITUTE(SUBSTITUTE(SUBSTITUTE(SUBSTITUTE(SUBSTITUTE(SUBSTITUTE(SUBSTITUTE(SUBSTITUTE(SUBSTITUTE(SUBSTITUTE(SUBSTITUTE(SUBSTITUTE(SUBSTITUTE(SUBSTITUTE(LOWER(AE165&amp;""),CHAR(10)," "),CHAR(13)," "),CHAR(9)," "),CHAR(160)," "),"."," "),","," "),"-"," "),"/"," "),"("," "),")"," "),":"," "),";"," "),"_"," "),"–"," "),"?"," "),"!"," "),"*"," "),"["," "),"]"," "),"'"," "),"#"," "),"+"," "),"&amp;"," "),"\"," "))&amp;" "</f>
        <v>  </v>
      </c>
      <c r="CE165" s="68" t="n">
        <f aca="false">IFERROR(IF(AND(LEN(AU165)&gt;0,LEN(AU165)=LEN(AX165),OR(TRIM(MID(SUBSTITUTE(TRIM(CC165)," ",REPT(" ",60)),1,60))="",ISNUMBER(SEARCH(" "&amp;TRIM(MID(SUBSTITUTE(TRIM(CC165)," ",REPT(" ",60)),1,60))&amp;" ",CD165))),OR(TRIM(MID(SUBSTITUTE(TRIM(CC165)," ",REPT(" ",60)),61,60))="",ISNUMBER(SEARCH(" "&amp;TRIM(MID(SUBSTITUTE(TRIM(CC165)," ",REPT(" ",60)),61,60))&amp;" ",CD165))),OR(TRIM(MID(SUBSTITUTE(TRIM(CC165)," ",REPT(" ",60)),121,60))="",ISNUMBER(SEARCH(" "&amp;TRIM(MID(SUBSTITUTE(TRIM(CC165)," ",REPT(" ",60)),121,60))&amp;" ",CD165)))),1,0),0)</f>
        <v>0</v>
      </c>
      <c r="CG165" s="68" t="n">
        <f aca="false">IFERROR(LEN(SUBSTITUTE(BF165," ",""))-SUMPRODUCT((LEN(BF165)-LEN(SUBSTITUTE(BF165," "&amp;L_NAFiller&amp;" "," ")))/(LEN(L_NAFiller)+1)*LEN(L_NAFiller)),0)</f>
        <v>0</v>
      </c>
    </row>
    <row r="166" customFormat="false" ht="39.75" hidden="false" customHeight="true" outlineLevel="0" collapsed="false">
      <c r="A166" s="57" t="s">
        <v>707</v>
      </c>
      <c r="B166" s="57" t="s">
        <v>231</v>
      </c>
      <c r="C166" s="57" t="str">
        <f aca="false">Flights!$F$10</f>
        <v>MH0002</v>
      </c>
      <c r="D166" s="58" t="n">
        <f aca="false">Flights!$D$10</f>
        <v>46310</v>
      </c>
      <c r="E166" s="57" t="str">
        <f aca="false">Flights!$G$10&amp;"-"&amp;Flights!$H$10</f>
        <v>KUL-LHR</v>
      </c>
      <c r="F166" s="57" t="str">
        <f aca="false">Flights!$K$10</f>
        <v>BC</v>
      </c>
      <c r="G166" s="57" t="s">
        <v>81</v>
      </c>
      <c r="H166" s="57" t="s">
        <v>378</v>
      </c>
      <c r="I166" s="57" t="s">
        <v>379</v>
      </c>
      <c r="J166" s="57" t="s">
        <v>380</v>
      </c>
      <c r="K166" s="67" t="s">
        <v>381</v>
      </c>
      <c r="L166" s="67" t="s">
        <v>382</v>
      </c>
      <c r="M166" s="67"/>
      <c r="N166" s="67" t="s">
        <v>383</v>
      </c>
      <c r="O166" s="67"/>
      <c r="P166" s="57" t="s">
        <v>187</v>
      </c>
      <c r="Q166" s="59" t="n">
        <f aca="false">ROUND((Flights!$AC$10)*1440,0)/1440</f>
        <v>46303.6388888889</v>
      </c>
      <c r="R166" s="59" t="n">
        <f aca="false">Q166+(IF(AND(INDEX(TZ_DSTS,MATCH(P166,TZ_STN,0))&lt;&gt;"",Q166&gt;=INDEX(TZ_DSTS,MATCH(P166,TZ_STN,0)),Q166&lt;INDEX(TZ_DSTE,MATCH(P166,TZ_STN,0))),INDEX(TZ_DST,MATCH(P166,TZ_STN,0)),INDEX(TZ_STD,MATCH(P166,TZ_STN,0))))/24</f>
        <v>46303.9722222222</v>
      </c>
      <c r="S166" s="60"/>
      <c r="T166" s="60"/>
      <c r="U166" s="60"/>
      <c r="V166" s="60"/>
      <c r="W166" s="61"/>
      <c r="X166" s="60"/>
      <c r="Y166" s="60"/>
      <c r="Z166" s="60"/>
      <c r="AA166" s="60"/>
      <c r="AB166" s="60"/>
      <c r="AC166" s="60"/>
      <c r="AD166" s="66"/>
      <c r="AE166" s="60"/>
      <c r="AF166" s="61" t="str">
        <f aca="false">IF(AND(ISNUMBER(X166),ISNUMBER(Y166)),Y166-X166,"")</f>
        <v/>
      </c>
      <c r="AG166" s="62" t="str">
        <f aca="false">IF(ISNUMBER(AD166),AD166-(IF(AND(INDEX(TZ_DSTS,MATCH(P166,TZ_STN,0))&lt;&gt;"",(AD166-INDEX(TZ_STD,MATCH(P166,TZ_STN,0))/24)&gt;=INDEX(TZ_DSTS,MATCH(P166,TZ_STN,0)),(AD166-INDEX(TZ_STD,MATCH(P166,TZ_STN,0))/24)&lt;INDEX(TZ_DSTE,MATCH(P166,TZ_STN,0))),INDEX(TZ_DST,MATCH(P166,TZ_STN,0)),INDEX(TZ_STD,MATCH(P166,TZ_STN,0))))/24,"")</f>
        <v/>
      </c>
      <c r="AH166" s="65" t="str">
        <f aca="false">IFERROR(IF(N166="N/A – rule",IF(OR(TRIM(U166)="",TRIM(U166)="N/A",TRIM(U166)="Not started"),"N/A – RULE","INVALID – this check does not apply to this aircraft: clear the status (or correct the fleet on Flights)"),IF(TRIM(U166)="N/A",IF(AT166=0,"INVALID – N/A not permitted for this check",IF(AND(TRIM(AB166)&lt;&gt;"",TRIM(AB166)&lt;&gt;"Closed"),"INVALID – corrective action still open",IF(AND(NOT(OR(LEN(AZ166)&lt;15,ISNUMBER(MATCH(AZ166,L_Placeholder,0)))),BK166=0,CG166&gt;=8,NOT(OR(LEN(AU166)&lt;2,ISNUMBER(MATCH(AU166,L_Placeholder,0)))),BR166&gt;=3,NOT(OR(LEN(AX166)&lt;2,ISNUMBER(MATCH(AX166,L_Placeholder,0)))),BS166&gt;=3,TRIM(AE166)&lt;&gt;TRIM(T166),AX166&lt;&gt;AU166,CE166=0),"N/A – JUSTIFIED","INVALID – N/A needs a real, settled reason (not 'not applicable' / 'as above' / TBC), a named PIC and a different named verifier"))),IF(OR(TRIM(U166)="Pass",TRIM(U166)="Pass after CA"),IF(NOT(ISNUMBER(AD166)),"INVALID – completion time missing",IF(OR(OR(LEN(AU166)&lt;2,ISNUMBER(MATCH(AU166,L_Placeholder,0))),BR166&lt;3),"INVALID – PIC missing or not a named person (a role such as QA / CSM is not a name)",IF(OR(LEN(AV166)&lt;2,ISNUMBER(MATCH(AV166,L_Placeholder,0))),"INVALID – result / assessment missing",IF(OR(OR(LEN(AW166)&lt;3,ISNUMBER(MATCH(AW166,L_Placeholder,0))),SUMPRODUCT(--ISNUMBER(SEARCH(" "&amp;L_EvidencePhrase&amp;" ",BD166)))&gt;0,BI166=1),"INVALID – evidence missing, placeholder or not yet on file",IF(ISNA(MATCH(TRIM(S166),L_EvidenceType,0)),"INVALID – choose the evidence type from the list (column S)",IF(BL166=0,"INVALID – evidence ID must be the record's own ID only (e.g. SF-2210, IMG_2231, 1045521); a link / file name needs type 'Link / file path'",IF(OR(OR(LEN(AX166)&lt;2,ISNUMBER(MATCH(AX166,L_Placeholder,0))),BS166&lt;3),"INVALID – verifier missing or not a named person (a role such as QA / CSM is not a name)",IF(OR(AX166=AU166,CE166=1,AND(LEN(AU166)&gt;=4,ISNUMBER(SEARCH(AU166,AX166))),AND(LEN(AX166)&gt;=4,ISNUMBER(SEARCH(AX166,AU166)))),"INVALID – verifier must be a different, named person (not the PIC or a role)",IF(BH166=1,"INVALID – result not yet available (awaiting / TBC)",IF(BG166=1,"INVALID – result describes a problem: record Fail, then Pass after CA (or reword if it is not a problem)",IF(BV166=1,"INVALID – wording says not on board: an on-board confirmation needs the item loaded",IF(AND(AQ166=1,OR(OR(LEN(AY166)&lt;3,ISNUMBER(MATCH(AY166,L_Placeholder,0))),BJ166=1,BQ166=0)),"INVALID – batch ID missing, placeholder or not an ID (e.g. PASB-261008-BC-017)",IF(AND(AR166=1,OR(NOT(ISNUMBER(X166)),NOT(ISNUMBER(Y166)))),"INVALID – expected/actual qty missing",IF(AND(AR166=1,OR(X166&lt;=0,Y166&lt;0)),"INVALID – expected qty must be above 0 and actual not negative",IF(BB166&lt;&gt;"",BB166,IF(AND(AS166=1,Documents!$J$10&lt;&gt;"ON FILE"),"INVALID – GLD not on file (Documents sheet)",IF(AND(AS166=2,Documents!$O$10&lt;&gt;"ON FILE"),"INVALID – menu checklist not on file (Documents sheet)",IF(AND(AS166=3,NOT(ISNUMBER(Flights!$AX$10))),"INVALID – enter carrying flight KUL departure (Flights AX)",IF(AND(AS166=3,OR(Flights!$AZ$10&gt;Flights!$AA$10,Flights!$AX$10&lt;Flights!$AA$10-3)),"INVALID – carrying flight (Flights AX) cannot arrive before this leg's STD, or is over 3 days early",IF(AG166&gt;AsOfUTC,"INVALID – completion time is in the future",IF(AND(ISNUMBER(BY166),AG166&lt;BY166),IF(H166="Physical uplift","INVALID – before uplift window (cannot confirm loading)","INVALID – before valid window"),IF(AG166&gt;Flights!$AA$10,"INVALID – completed after departure (cannot establish readiness)",IF(AND(H166="Preparation",AG166&gt;=IF(ISNUMBER(Flights!$BA$10),MIN(Flights!$BA$10,Flights!$AA$10),Flights!$AA$10)),"INVALID – completed after loading / departure (cannot establish readiness)",IF(AND(H166="Physical uplift",AG166&gt;Q166),"INVALID – recorded after the loading flight departed",IF(AG166&gt;Q166,"COMPLETE – LATE","COMPLETE"))))))))))))))))))))))))),IF(TRIM(U166)="Fail","FAIL – DISCREPANCY",IF(AND(TRIM(U166)&lt;&gt;"",TRIM(U166)&lt;&gt;"Not started",TRIM(U166)&lt;&gt;"In progress"),"INVALID – unrecognised status (use the list)",IF(AsOfUTC&gt;Q166,"OVERDUE",IF(N166="Clarification required","OPEN – CLARIFICATION","OPEN"))))))),"INVALID – error value in an input cell")</f>
        <v>OPEN</v>
      </c>
      <c r="AI166" s="61" t="n">
        <f aca="false">IF(OR(AH166="N/A – RULE",AH166="N/A – JUSTIFIED"),0,1)</f>
        <v>1</v>
      </c>
      <c r="AJ166" s="61" t="n">
        <f aca="false">IF(LEFT(AH166,8)="COMPLETE",1,0)</f>
        <v>0</v>
      </c>
      <c r="AK166" s="61" t="n">
        <f aca="false">IF(AND(AI166=1,AJ166=0,AsOfUTC&gt;Q166),1,0)</f>
        <v>0</v>
      </c>
      <c r="AL166" s="61" t="n">
        <f aca="false">IFERROR(IF(AND(AI166=1,OR(TRIM(U166)="Fail",AND(TRIM(AB166)&lt;&gt;"",TRIM(AB166)&lt;&gt;"Closed"),AND(ISNUMBER(AF166),AF166&lt;&gt;0,TRIM(U166)&lt;&gt;"Pass after CA"))),1,0),1)</f>
        <v>0</v>
      </c>
      <c r="AM166" s="61" t="n">
        <f aca="false">IF(LEFT(AH166,7)="INVALID",1,0)</f>
        <v>0</v>
      </c>
      <c r="AN166" s="61" t="n">
        <f aca="false">IF(AND(N166="Clarification required",AI166=1,AJ166=0),1,0)</f>
        <v>0</v>
      </c>
      <c r="AO166" s="61" t="str">
        <f aca="false">IF(AK166=1,SUM(AK$5:AK166),"")</f>
        <v/>
      </c>
      <c r="AP166" s="61" t="str">
        <f aca="false">IF(AL166=1,SUM(AL$5:AL166),"")</f>
        <v/>
      </c>
      <c r="AQ166" s="61" t="n">
        <v>0</v>
      </c>
      <c r="AR166" s="61" t="n">
        <v>0</v>
      </c>
      <c r="AS166" s="61" t="n">
        <v>0</v>
      </c>
      <c r="AT166" s="61" t="n">
        <v>0</v>
      </c>
      <c r="AU166" s="61" t="str">
        <f aca="false">SUBSTITUTE(SUBSTITUTE(SUBSTITUTE(SUBSTITUTE(SUBSTITUTE(SUBSTITUTE(SUBSTITUTE(SUBSTITUTE(SUBSTITUTE(SUBSTITUTE(SUBSTITUTE(SUBSTITUTE(SUBSTITUTE(SUBSTITUTE(SUBSTITUTE(SUBSTITUTE(LOWER(T166&amp;""),CHAR(10),""),CHAR(13),""),CHAR(9),""),CHAR(160),"")," ",""),".",""),"-",""),"/",""),"?",""),"_",""),",",""),"[",""),"]",""),"(",""),")",""),"*","")</f>
        <v/>
      </c>
      <c r="AV166" s="61" t="str">
        <f aca="false">SUBSTITUTE(SUBSTITUTE(SUBSTITUTE(SUBSTITUTE(SUBSTITUTE(SUBSTITUTE(SUBSTITUTE(SUBSTITUTE(SUBSTITUTE(SUBSTITUTE(SUBSTITUTE(SUBSTITUTE(SUBSTITUTE(SUBSTITUTE(SUBSTITUTE(SUBSTITUTE(LOWER(V166&amp;""),CHAR(10),""),CHAR(13),""),CHAR(9),""),CHAR(160),"")," ",""),".",""),"-",""),"/",""),"?",""),"_",""),",",""),"[",""),"]",""),"(",""),")",""),"*","")</f>
        <v/>
      </c>
      <c r="AW166" s="61" t="str">
        <f aca="false">SUBSTITUTE(SUBSTITUTE(SUBSTITUTE(SUBSTITUTE(SUBSTITUTE(SUBSTITUTE(SUBSTITUTE(SUBSTITUTE(SUBSTITUTE(SUBSTITUTE(SUBSTITUTE(SUBSTITUTE(SUBSTITUTE(SUBSTITUTE(SUBSTITUTE(SUBSTITUTE(LOWER(Z166&amp;""),CHAR(10),""),CHAR(13),""),CHAR(9),""),CHAR(160),"")," ",""),".",""),"-",""),"/",""),"?",""),"_",""),",",""),"[",""),"]",""),"(",""),")",""),"*","")</f>
        <v/>
      </c>
      <c r="AX166" s="61" t="str">
        <f aca="false">SUBSTITUTE(SUBSTITUTE(SUBSTITUTE(SUBSTITUTE(SUBSTITUTE(SUBSTITUTE(SUBSTITUTE(SUBSTITUTE(SUBSTITUTE(SUBSTITUTE(SUBSTITUTE(SUBSTITUTE(SUBSTITUTE(SUBSTITUTE(SUBSTITUTE(SUBSTITUTE(LOWER(AE166&amp;""),CHAR(10),""),CHAR(13),""),CHAR(9),""),CHAR(160),"")," ",""),".",""),"-",""),"/",""),"?",""),"_",""),",",""),"[",""),"]",""),"(",""),")",""),"*","")</f>
        <v/>
      </c>
      <c r="AY166" s="61" t="str">
        <f aca="false">SUBSTITUTE(SUBSTITUTE(SUBSTITUTE(SUBSTITUTE(SUBSTITUTE(SUBSTITUTE(SUBSTITUTE(SUBSTITUTE(SUBSTITUTE(SUBSTITUTE(SUBSTITUTE(SUBSTITUTE(SUBSTITUTE(SUBSTITUTE(SUBSTITUTE(SUBSTITUTE(LOWER(W166&amp;""),CHAR(10),""),CHAR(13),""),CHAR(9),""),CHAR(160),"")," ",""),".",""),"-",""),"/",""),"?",""),"_",""),",",""),"[",""),"]",""),"(",""),")",""),"*","")</f>
        <v/>
      </c>
      <c r="AZ166" s="61" t="str">
        <f aca="false">SUBSTITUTE(SUBSTITUTE(SUBSTITUTE(SUBSTITUTE(SUBSTITUTE(SUBSTITUTE(SUBSTITUTE(SUBSTITUTE(SUBSTITUTE(SUBSTITUTE(SUBSTITUTE(SUBSTITUTE(SUBSTITUTE(SUBSTITUTE(SUBSTITUTE(SUBSTITUTE(LOWER(AC166&amp;""),CHAR(10),""),CHAR(13),""),CHAR(9),""),CHAR(160),"")," ",""),".",""),"-",""),"/",""),"?",""),"_",""),",",""),"[",""),"]",""),"(",""),")",""),"*","")</f>
        <v/>
      </c>
      <c r="BA166" s="61" t="str">
        <f aca="false">SUBSTITUTE(SUBSTITUTE(SUBSTITUTE(SUBSTITUTE(SUBSTITUTE(SUBSTITUTE(SUBSTITUTE(SUBSTITUTE(SUBSTITUTE(SUBSTITUTE(SUBSTITUTE(SUBSTITUTE(SUBSTITUTE(SUBSTITUTE(SUBSTITUTE(SUBSTITUTE(LOWER(AA166&amp;""),CHAR(10),""),CHAR(13),""),CHAR(9),""),CHAR(160),"")," ",""),".",""),"-",""),"/",""),"?",""),"_",""),",",""),"[",""),"]",""),"(",""),")",""),"*","")</f>
        <v/>
      </c>
      <c r="BB166" s="61" t="str">
        <f aca="false">IF(AND(TRIM(U166)="Pass",ISNUMBER(AF166)),IF(AF166&lt;&gt;0,"INVALID – qty variance: use Fail or Pass after CA",""),"")&amp;IF(AND(TRIM(U166)="Pass after CA",ISNUMBER(AF166)),IF(AF166&lt;&gt;0,"INVALID – after the corrective action the actual qty must equal expected (update Actual)",""),"")&amp;IF(AND(TRIM(U166)="Pass",TRIM(AB166)&lt;&gt;"",TRIM(AB166)&lt;&gt;"Closed"),"INVALID – corrective action not closed: use Fail, then Pass after CA","")&amp;IF(AND(LEN(BA166)&gt;=2,ISNA(MATCH(LEFT(BA166,255),L_Placeholder,0)),TRIM(AB166)=""),"INVALID – CA status missing for the recorded corrective action","")&amp;IF(AND(TRIM(U166)="Pass after CA",OR(OR(LEN(BA166)&lt;5,ISNUMBER(MATCH(BA166,L_Placeholder,0))),TRIM(AB166)&lt;&gt;"Closed")),"INVALID – corrective action not recorded/closed","")</f>
        <v/>
      </c>
      <c r="BC166" s="61" t="str">
        <f aca="false">" "&amp;TRIM(SUBSTITUTE(SUBSTITUTE(SUBSTITUTE(SUBSTITUTE(SUBSTITUTE(SUBSTITUTE(SUBSTITUTE(SUBSTITUTE(SUBSTITUTE(SUBSTITUTE(SUBSTITUTE(SUBSTITUTE(SUBSTITUTE(SUBSTITUTE(SUBSTITUTE(SUBSTITUTE(SUBSTITUTE(SUBSTITUTE(SUBSTITUTE(SUBSTITUTE(SUBSTITUTE(SUBSTITUTE(SUBSTITUTE(SUBSTITUTE(LOWER(V166&amp;""),CHAR(10)," "),CHAR(13)," "),CHAR(9)," "),CHAR(160)," "),"."," "),","," "),"-"," "),"/"," "),"("," "),")"," "),":"," "),";"," "),"_"," "),"–"," "),"?"," "),"!"," "),"*"," "),"["," "),"]"," "),"'"," "),"#"," "),"+"," "),"&amp;"," "),"\"," "))&amp;" "</f>
        <v>  </v>
      </c>
      <c r="BD166" s="61" t="str">
        <f aca="false">" "&amp;TRIM(SUBSTITUTE(SUBSTITUTE(SUBSTITUTE(SUBSTITUTE(SUBSTITUTE(SUBSTITUTE(SUBSTITUTE(SUBSTITUTE(SUBSTITUTE(SUBSTITUTE(SUBSTITUTE(SUBSTITUTE(SUBSTITUTE(SUBSTITUTE(SUBSTITUTE(SUBSTITUTE(SUBSTITUTE(SUBSTITUTE(SUBSTITUTE(SUBSTITUTE(SUBSTITUTE(SUBSTITUTE(SUBSTITUTE(SUBSTITUTE(LOWER(Z166&amp;""),CHAR(10)," "),CHAR(13)," "),CHAR(9)," "),CHAR(160)," "),"."," "),","," "),"-"," "),"/"," "),"("," "),")"," "),":"," "),";"," "),"_"," "),"–"," "),"?"," "),"!"," "),"*"," "),"["," "),"]"," "),"'"," "),"#"," "),"+"," "),"&amp;"," "),"\"," "))&amp;" "</f>
        <v>  </v>
      </c>
      <c r="BE166" s="61" t="str">
        <f aca="false">" "&amp;TRIM(SUBSTITUTE(SUBSTITUTE(SUBSTITUTE(SUBSTITUTE(SUBSTITUTE(SUBSTITUTE(SUBSTITUTE(SUBSTITUTE(SUBSTITUTE(SUBSTITUTE(SUBSTITUTE(SUBSTITUTE(SUBSTITUTE(SUBSTITUTE(SUBSTITUTE(SUBSTITUTE(SUBSTITUTE(SUBSTITUTE(SUBSTITUTE(SUBSTITUTE(SUBSTITUTE(SUBSTITUTE(SUBSTITUTE(SUBSTITUTE(LOWER(W166&amp;""),CHAR(10)," "),CHAR(13)," "),CHAR(9)," "),CHAR(160)," "),"."," "),","," "),"-"," "),"/"," "),"("," "),")"," "),":"," "),";"," "),"_"," "),"–"," "),"?"," "),"!"," "),"*"," "),"["," "),"]"," "),"'"," "),"#"," "),"+"," "),"&amp;"," "),"\"," "))&amp;" "</f>
        <v>  </v>
      </c>
      <c r="BF166" s="61" t="str">
        <f aca="false">" "&amp;TRIM(SUBSTITUTE(SUBSTITUTE(SUBSTITUTE(SUBSTITUTE(SUBSTITUTE(SUBSTITUTE(SUBSTITUTE(SUBSTITUTE(SUBSTITUTE(SUBSTITUTE(SUBSTITUTE(SUBSTITUTE(SUBSTITUTE(SUBSTITUTE(SUBSTITUTE(SUBSTITUTE(SUBSTITUTE(SUBSTITUTE(SUBSTITUTE(SUBSTITUTE(SUBSTITUTE(SUBSTITUTE(SUBSTITUTE(SUBSTITUTE(LOWER(AC166&amp;""),CHAR(10)," "),CHAR(13)," "),CHAR(9)," "),CHAR(160)," "),"."," "),","," "),"-"," "),"/"," "),"("," "),")"," "),":"," "),";"," "),"_"," "),"–"," "),"?"," "),"!"," "),"*"," "),"["," "),"]"," "),"'"," "),"#"," "),"+"," "),"&amp;"," "),"\"," "))&amp;" "</f>
        <v>  </v>
      </c>
      <c r="BG166" s="61" t="n">
        <f aca="false">IFERROR(IF(AND(TRIM(U166)="Pass",SUMPRODUCT((LEN(BC166)-LEN(SUBSTITUTE(BC166," "&amp;L_ResultBad&amp;" "," ")))/(LEN(L_ResultBad)+1))&gt;SUMPRODUCT((LEN(BC166)-LEN(SUBSTITUTE(BC166," "&amp;L_NegPhrase&amp;" "," ")))/(LEN(L_NegPhrase)+1))),1,0),0)</f>
        <v>0</v>
      </c>
      <c r="BH166" s="61" t="n">
        <f aca="false">IFERROR(IF(SUMPRODUCT((LEN(BC166)-LEN(SUBSTITUTE(BC166," "&amp;L_Pending&amp;" "," ")))/(LEN(L_Pending)+1))&gt;SUMPRODUCT((LEN(BC166)-LEN(SUBSTITUTE(BC166," "&amp;L_PendNeg&amp;" "," ")))/(LEN(L_PendNeg)+1))+SUMPRODUCT((LEN(BC166)-LEN(SUBSTITUTE(BC166," "&amp;L_PendPrep&amp;" "," ")))/(LEN(L_PendPrep)+1)),1,0),1)</f>
        <v>0</v>
      </c>
      <c r="BI166" s="61" t="n">
        <f aca="false">IFERROR(IF(SUMPRODUCT((LEN(BD166)-LEN(SUBSTITUTE(BD166," "&amp;L_PendStrict&amp;" "," ")))/(LEN(L_PendStrict)+1))&gt;SUMPRODUCT((LEN(BD166)-LEN(SUBSTITUTE(BD166," "&amp;L_PendNeg&amp;" "," ")))/(LEN(L_PendNeg)+1)),1,0),1)</f>
        <v>0</v>
      </c>
      <c r="BJ166" s="61" t="n">
        <f aca="false">IFERROR(IF(SUMPRODUCT((LEN(BE166)-LEN(SUBSTITUTE(BE166," "&amp;L_Pending&amp;" "," ")))/(LEN(L_Pending)+1))&gt;SUMPRODUCT((LEN(BE166)-LEN(SUBSTITUTE(BE166," "&amp;L_PendNeg&amp;" "," ")))/(LEN(L_PendNeg)+1))+SUMPRODUCT((LEN(BE166)-LEN(SUBSTITUTE(BE166," "&amp;L_PendPrep&amp;" "," ")))/(LEN(L_PendPrep)+1)),1,0),1)</f>
        <v>0</v>
      </c>
      <c r="BK166" s="61" t="n">
        <f aca="false">IFERROR(IF(SUMPRODUCT((LEN(BF166)-LEN(SUBSTITUTE(BF166," "&amp;L_PendStrict&amp;" "," ")))/(LEN(L_PendStrict)+1))&gt;SUMPRODUCT((LEN(BF166)-LEN(SUBSTITUTE(BF166," "&amp;L_PendNeg&amp;" "," ")))/(LEN(L_PendNeg)+1)),1,0),1)</f>
        <v>0</v>
      </c>
      <c r="BL166" s="61" t="n">
        <f aca="false">IF(ISNA(MATCH(TRIM(S166),L_EvidenceType,0)),0,BZ166)</f>
        <v>0</v>
      </c>
      <c r="BM166" s="61" t="str">
        <f aca="false">SUBSTITUTE(SUBSTITUTE(SUBSTITUTE(SUBSTITUTE(SUBSTITUTE(SUBSTITUTE(SUBSTITUTE(SUBSTITUTE(SUBSTITUTE(LOWER(Z166&amp;""),"1","0"),"2","0"),"3","0"),"4","0"),"5","0"),"6","0"),"7","0"),"8","0"),"9","0")</f>
        <v/>
      </c>
      <c r="BN166" s="61" t="str">
        <f aca="false">SUBSTITUTE(SUBSTITUTE(SUBSTITUTE(SUBSTITUTE(SUBSTITUTE(SUBSTITUTE(SUBSTITUTE(SUBSTITUTE(SUBSTITUTE(SUBSTITUTE(SUBSTITUTE(SUBSTITUTE(SUBSTITUTE(SUBSTITUTE(SUBSTITUTE(SUBSTITUTE(SUBSTITUTE(SUBSTITUTE(SUBSTITUTE(SUBSTITUTE(SUBSTITUTE(SUBSTITUTE(SUBSTITUTE(SUBSTITUTE(SUBSTITUTE(BM166,"b","a"),"c","a"),"d","a"),"e","a"),"f","a"),"g","a"),"h","a"),"i","a"),"j","a"),"k","a"),"l","a"),"m","a"),"n","a"),"o","a"),"p","a"),"q","a"),"r","a"),"s","a"),"t","a"),"u","a"),"v","a"),"w","a"),"x","a"),"y","a"),"z","a")</f>
        <v/>
      </c>
      <c r="BO166" s="61" t="str">
        <f aca="false">SUBSTITUTE(SUBSTITUTE(SUBSTITUTE(SUBSTITUTE(SUBSTITUTE(SUBSTITUTE(SUBSTITUTE(SUBSTITUTE(SUBSTITUTE(LOWER(W166&amp;""),"1","0"),"2","0"),"3","0"),"4","0"),"5","0"),"6","0"),"7","0"),"8","0"),"9","0")</f>
        <v/>
      </c>
      <c r="BP166" s="61" t="str">
        <f aca="false">SUBSTITUTE(SUBSTITUTE(SUBSTITUTE(SUBSTITUTE(SUBSTITUTE(SUBSTITUTE(SUBSTITUTE(SUBSTITUTE(SUBSTITUTE(SUBSTITUTE(SUBSTITUTE(SUBSTITUTE(SUBSTITUTE(SUBSTITUTE(SUBSTITUTE(SUBSTITUTE(SUBSTITUTE(SUBSTITUTE(SUBSTITUTE(SUBSTITUTE(SUBSTITUTE(SUBSTITUTE(SUBSTITUTE(SUBSTITUTE(SUBSTITUTE(BO166,"b","a"),"c","a"),"d","a"),"e","a"),"f","a"),"g","a"),"h","a"),"i","a"),"j","a"),"k","a"),"l","a"),"m","a"),"n","a"),"o","a"),"p","a"),"q","a"),"r","a"),"s","a"),"t","a"),"u","a"),"v","a"),"w","a"),"x","a"),"y","a"),"z","a")</f>
        <v/>
      </c>
      <c r="BQ166" s="61" t="n">
        <f aca="false">IFERROR(IF(AND(ISERROR(SEARCH(" mh"," "&amp;LOWER(W166))),ISNA(MATCH(LEFT(TRIM(BP166),255),{"0000a","000a","00a","0000aa","000aa","00aa","0aa","0000aaa","000aaa","00a00","0a00","0000-0000","00:00","a00","a0","00.00.0000","00/00/0000","00-00-0000","0000-00-00","0000/00/00","0000.00.00","00.00.00","00/00/00","00-00-00","0.00.0000","0/00/0000","0-00-0000"},0)),ISNA(MATCH(LEFT(TRIM(CA166),255),{"0000a","000a","00a","0000aa","000aa","00aa","0aa","0000aaa","000aaa","00a00","0a00","0000-0000","00:00","a00","a0","00.00.0000","00/00/0000","00-00-0000","0000-00-00","0000/00/00","0000.00.00","00.00.00","00/00/00","00-00-00","0.00.0000","0/00/0000","0-00-0000"},0)),LEN(CB166)&gt;=3,NOT(OR(SUBSTITUTE(CB166,"0","")="",AND(LEN(CB166)&gt;=4,CB166=REPT(LEFT(CB166),LEN(CB166))),ISNUMBER(MATCH(CB166,{"123","1234","12345","123456","1234567","12345678","0123","01234","012345","98765","987654","54321"},0)),AND(LEN(CB166)=8,LEFT(CB166,3)="202"))),OR(AND((LEN(CA166)-LEN(SUBSTITUTE(CA166,"a","")))&gt;=1,SUMPRODUCT(--ISNUMBER(SEARCH({"a0","a-0","a_0","a/0","a.0","a#0","0a","0-a","0_a","0/a"},BP166)))&gt;0),ISNUMBER(SEARCH("000000",BP166)))),1,0),0)</f>
        <v>0</v>
      </c>
      <c r="BR166" s="61" t="n">
        <f aca="false">IFERROR(LEN(SUBSTITUTE(CC166," ",""))-SUMPRODUCT((LEN(CC166)-LEN(SUBSTITUTE(CC166," "&amp;L_Role&amp;" "," ")))/(LEN(L_Role)+1)*LEN(L_Role)),0)</f>
        <v>0</v>
      </c>
      <c r="BS166" s="61" t="n">
        <f aca="false">IFERROR(LEN(SUBSTITUTE(CD166," ",""))-SUMPRODUCT((LEN(CD166)-LEN(SUBSTITUTE(CD166," "&amp;L_Role&amp;" "," ")))/(LEN(L_Role)+1)*LEN(L_Role)),0)</f>
        <v>0</v>
      </c>
      <c r="BT1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166,"revision",""),"version",""),"jan",""),"feb",""),"mar",""),"apr",""),"may",""),"jun",""),"jul",""),"aug",""),"sep",""),"oct",""),"nov",""),"dec",""),"utc",""),"gmt",""),"myt",""),"bst",""),"rev",""),"ver",""),"b","a"),"c","a"),"d","a"),"e","a"),"f","a"),"g","a"),"h","a"),"i","a"),"j","a"),"k","a"),"l","a"),"m","a"),"n","a"),"o","a"),"p","a"),"q","a"),"r","a"),"s","a"),"t","a"),"u","a"),"v","a"),"w","a"),"x","a"),"y","a"),"z","a")</f>
        <v/>
      </c>
      <c r="BU166" s="61" t="str">
        <f aca="false">SUBSTITUTE(SUBSTITUTE(SUBSTITUTE(SUBSTITUTE(SUBSTITUTE(SUBSTITUTE(SUBSTITUTE(SUBSTITUTE(SUBSTITUTE(SUBSTITUTE(LEFT(BM166,FIND("0",BM166&amp;"0")-1),"-",""),"_",""),"/",""),".",""),"#",""),"\\",""),":","")," ",""),"(",""),")","")</f>
        <v/>
      </c>
      <c r="BV166" s="61" t="n">
        <f aca="false">0</f>
        <v>0</v>
      </c>
      <c r="BW1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166&amp;""),"a",""),"b",""),"c",""),"d",""),"e",""),"f",""),"g",""),"h",""),"i",""),"j",""),"k",""),"l",""),"m",""),"n",""),"o",""),"p",""),"q",""),"r",""),"s",""),"t",""),"u",""),"v",""),"w",""),"x",""),"y",""),"z",""),"-",""),"_",""),"/",""),".",""),"#",""),"\\",""),":","")," ",""),"(",""),")","")</f>
        <v/>
      </c>
      <c r="BX166" s="61" t="str">
        <f aca="false">SUBSTITUTE(SUBSTITUTE(SUBSTITUTE(SUBSTITUTE(SUBSTITUTE(SUBSTITUTE(SUBSTITUTE(SUBSTITUTE(SUBSTITUTE(SUBSTITUTE(SUBSTITUTE(BM166,"0",""),"-",""),"_",""),"/",""),".",""),"#",""),"\\",""),":","")," ",""),"(",""),")","")</f>
        <v/>
      </c>
      <c r="BY166" s="62" t="n">
        <f aca="false">Q166-T7EarlyD*24/24</f>
        <v>46289.6388888889</v>
      </c>
      <c r="BZ166" s="61" t="n">
        <f aca="false">IFERROR(IF(IF(TRIM(S166)="Link / file path",AND(LEN(TRIM(Z166))&gt;=5,SUMPRODUCT(--ISNUMBER(SEARCH({"http","www.","\\",":\",".pdf",".jpg",".jpeg",".png",".heic",".xls",".doc",".msg",".eml",".ppt",".txt",".zip"},Z166)))&gt;0),AND(ISERROR(FIND(" ",TRIM(Z166))),NOT(OR(SUMPRODUCT(--ISNUMBER(FIND({",",";","&amp;","+"},Z166)))&gt;0,SUMPRODUCT(--ISNUMBER(SEARCH({"0/aa","0\\aa"},BN166)))&gt;0)),NOT(SUMPRODUCT(--ISNUMBER(SEARCH({"http","www.","\\",":\",".pdf",".jpg",".jpeg",".png",".heic",".xls",".doc",".msg",".eml",".ppt",".txt",".zip"},Z166)))&gt;0),NOT(LOWER(TRIM(Z166))=LOWER(Flights!$F$10)),ISNA(MATCH(BU166,{"mh","rev","revision","ver","version","v","r","a","b","seat","tray","row","gate","bay","stand","page","pg","item","line","no","cart","galley","flight","flt","table","box","bag","oven","etd","eta","std","sta","atd","ata","qty","pax","x","time","tel","ph","mob","day","wk","week","utc","gmt","myt","lt"},0)),NOT(OR(ISNUMBER(MATCH(LEFT(BN166,255),{"0000a","000a","00a","0000aa","000aa","00aa","0aa","0000aaa","000aaa","00a00","0a00","0000-0000","00:00","a00","a0","00.00.0000","00/00/0000","00-00-0000","0000-00-00","0000/00/00","0000.00.00","00.00.00","00/00/00","00-00-00","0.00.0000","0/00/0000","0-00-0000"},0)),ISNUMBER(MATCH(LEFT(BT166,255),{"0000a","000a","00a","0000aa","000aa","00aa","0aa","0000aaa","000aaa","00a00","0a00","0000-0000","00:00","a00","a0","00.00.0000","00/00/0000","00-00-0000","0000-00-00","0000/00/00","0000.00.00","00.00.00","00/00/00","00-00-00","0.00.0000","0/00/0000","0-00-0000"},0)))),NOT(OR(AND(BW166&lt;&gt;"",SUBSTITUTE(BW166,"0","")=""),AND(LEN(BW166)&gt;=4,BW166=REPT(LEFT(BW166),LEN(BW166))),ISNUMBER(MATCH(BW166,{"123","1234","12345","123456","1234567","12345678","0123","01234","012345","98765","987654","54321"},0)),ISNUMBER(MATCH(BX166,{"x","xx","xxx","xxxx","xxxxx","abc","abcd","nil","na","nan","test","tbc","tba","tbd","dummy","sample","example","eg","zz","zzz","none","null","xyz","qwe","asd","id","ref"},0)),AND(LEN(BW166)=8,BX166="",OR(LEFT(BW166,3)="202",ISNUMBER(MATCH(RIGHT(BW166,4),{"2025","2026","2027"},0)))))),OR(AND((LEN(BT166)-LEN(SUBSTITUTE(BT166,"a","")))&gt;=1,(LEN(BN166)-LEN(SUBSTITUTE(BN166,"0","")))&gt;=2,SUMPRODUCT(--ISNUMBER(SEARCH({"a0","a-0","a_0","a/0","a.0","a#0","0a","0-a","0_a","0/a"},BN166)))&gt;0),AND((LEN(BN166)-LEN(SUBSTITUTE(BN166,"a","")))=0,(LEN(BN166)-LEN(SUBSTITUTE(BN166,"0","")))&gt;=5)))),1,0),0)</f>
        <v>0</v>
      </c>
      <c r="CA1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166,"revision",""),"version",""),"jan",""),"feb",""),"mar",""),"apr",""),"may",""),"jun",""),"jul",""),"aug",""),"sep",""),"oct",""),"nov",""),"dec",""),"utc",""),"gmt",""),"myt",""),"bst",""),"rev",""),"ver",""),"b","a"),"c","a"),"d","a"),"e","a"),"f","a"),"g","a"),"h","a"),"i","a"),"j","a"),"k","a"),"l","a"),"m","a"),"n","a"),"o","a"),"p","a"),"q","a"),"r","a"),"s","a"),"t","a"),"u","a"),"v","a"),"w","a"),"x","a"),"y","a"),"z","a")</f>
        <v/>
      </c>
      <c r="CB1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166&amp;""),"a",""),"b",""),"c",""),"d",""),"e",""),"f",""),"g",""),"h",""),"i",""),"j",""),"k",""),"l",""),"m",""),"n",""),"o",""),"p",""),"q",""),"r",""),"s",""),"t",""),"u",""),"v",""),"w",""),"x",""),"y",""),"z",""),"-",""),"_",""),"/",""),".",""),"#",""),"\\",""),":","")," ",""),"(",""),")","")</f>
        <v/>
      </c>
      <c r="CC166" s="0" t="str">
        <f aca="false">" "&amp;TRIM(SUBSTITUTE(SUBSTITUTE(SUBSTITUTE(SUBSTITUTE(SUBSTITUTE(SUBSTITUTE(SUBSTITUTE(SUBSTITUTE(SUBSTITUTE(SUBSTITUTE(SUBSTITUTE(SUBSTITUTE(SUBSTITUTE(SUBSTITUTE(SUBSTITUTE(SUBSTITUTE(SUBSTITUTE(SUBSTITUTE(SUBSTITUTE(SUBSTITUTE(SUBSTITUTE(SUBSTITUTE(SUBSTITUTE(SUBSTITUTE(LOWER(T166&amp;""),CHAR(10)," "),CHAR(13)," "),CHAR(9)," "),CHAR(160)," "),"."," "),","," "),"-"," "),"/"," "),"("," "),")"," "),":"," "),";"," "),"_"," "),"–"," "),"?"," "),"!"," "),"*"," "),"["," "),"]"," "),"'"," "),"#"," "),"+"," "),"&amp;"," "),"\"," "))&amp;" "</f>
        <v>  </v>
      </c>
      <c r="CD166" s="0" t="str">
        <f aca="false">" "&amp;TRIM(SUBSTITUTE(SUBSTITUTE(SUBSTITUTE(SUBSTITUTE(SUBSTITUTE(SUBSTITUTE(SUBSTITUTE(SUBSTITUTE(SUBSTITUTE(SUBSTITUTE(SUBSTITUTE(SUBSTITUTE(SUBSTITUTE(SUBSTITUTE(SUBSTITUTE(SUBSTITUTE(SUBSTITUTE(SUBSTITUTE(SUBSTITUTE(SUBSTITUTE(SUBSTITUTE(SUBSTITUTE(SUBSTITUTE(SUBSTITUTE(LOWER(AE166&amp;""),CHAR(10)," "),CHAR(13)," "),CHAR(9)," "),CHAR(160)," "),"."," "),","," "),"-"," "),"/"," "),"("," "),")"," "),":"," "),";"," "),"_"," "),"–"," "),"?"," "),"!"," "),"*"," "),"["," "),"]"," "),"'"," "),"#"," "),"+"," "),"&amp;"," "),"\"," "))&amp;" "</f>
        <v>  </v>
      </c>
      <c r="CE166" s="68" t="n">
        <f aca="false">IFERROR(IF(AND(LEN(AU166)&gt;0,LEN(AU166)=LEN(AX166),OR(TRIM(MID(SUBSTITUTE(TRIM(CC166)," ",REPT(" ",60)),1,60))="",ISNUMBER(SEARCH(" "&amp;TRIM(MID(SUBSTITUTE(TRIM(CC166)," ",REPT(" ",60)),1,60))&amp;" ",CD166))),OR(TRIM(MID(SUBSTITUTE(TRIM(CC166)," ",REPT(" ",60)),61,60))="",ISNUMBER(SEARCH(" "&amp;TRIM(MID(SUBSTITUTE(TRIM(CC166)," ",REPT(" ",60)),61,60))&amp;" ",CD166))),OR(TRIM(MID(SUBSTITUTE(TRIM(CC166)," ",REPT(" ",60)),121,60))="",ISNUMBER(SEARCH(" "&amp;TRIM(MID(SUBSTITUTE(TRIM(CC166)," ",REPT(" ",60)),121,60))&amp;" ",CD166)))),1,0),0)</f>
        <v>0</v>
      </c>
      <c r="CG166" s="68" t="n">
        <f aca="false">IFERROR(LEN(SUBSTITUTE(BF166," ",""))-SUMPRODUCT((LEN(BF166)-LEN(SUBSTITUTE(BF166," "&amp;L_NAFiller&amp;" "," ")))/(LEN(L_NAFiller)+1)*LEN(L_NAFiller)),0)</f>
        <v>0</v>
      </c>
    </row>
    <row r="167" customFormat="false" ht="39.75" hidden="false" customHeight="true" outlineLevel="0" collapsed="false">
      <c r="A167" s="57" t="s">
        <v>708</v>
      </c>
      <c r="B167" s="57" t="s">
        <v>231</v>
      </c>
      <c r="C167" s="57" t="str">
        <f aca="false">Flights!$F$10</f>
        <v>MH0002</v>
      </c>
      <c r="D167" s="58" t="n">
        <f aca="false">Flights!$D$10</f>
        <v>46310</v>
      </c>
      <c r="E167" s="57" t="str">
        <f aca="false">Flights!$G$10&amp;"-"&amp;Flights!$H$10</f>
        <v>KUL-LHR</v>
      </c>
      <c r="F167" s="57" t="str">
        <f aca="false">Flights!$K$10</f>
        <v>BC</v>
      </c>
      <c r="G167" s="57" t="s">
        <v>81</v>
      </c>
      <c r="H167" s="57" t="s">
        <v>378</v>
      </c>
      <c r="I167" s="57" t="s">
        <v>385</v>
      </c>
      <c r="J167" s="57" t="s">
        <v>386</v>
      </c>
      <c r="K167" s="67" t="s">
        <v>387</v>
      </c>
      <c r="L167" s="67" t="s">
        <v>382</v>
      </c>
      <c r="M167" s="67"/>
      <c r="N167" s="67" t="s">
        <v>383</v>
      </c>
      <c r="O167" s="67"/>
      <c r="P167" s="57" t="s">
        <v>187</v>
      </c>
      <c r="Q167" s="59" t="n">
        <f aca="false">ROUND((Flights!$AC$10)*1440,0)/1440</f>
        <v>46303.6388888889</v>
      </c>
      <c r="R167" s="59" t="n">
        <f aca="false">Q167+(IF(AND(INDEX(TZ_DSTS,MATCH(P167,TZ_STN,0))&lt;&gt;"",Q167&gt;=INDEX(TZ_DSTS,MATCH(P167,TZ_STN,0)),Q167&lt;INDEX(TZ_DSTE,MATCH(P167,TZ_STN,0))),INDEX(TZ_DST,MATCH(P167,TZ_STN,0)),INDEX(TZ_STD,MATCH(P167,TZ_STN,0))))/24</f>
        <v>46303.9722222222</v>
      </c>
      <c r="S167" s="60"/>
      <c r="T167" s="60"/>
      <c r="U167" s="60"/>
      <c r="V167" s="60"/>
      <c r="W167" s="61"/>
      <c r="X167" s="60"/>
      <c r="Y167" s="60"/>
      <c r="Z167" s="60"/>
      <c r="AA167" s="60"/>
      <c r="AB167" s="60"/>
      <c r="AC167" s="60"/>
      <c r="AD167" s="66"/>
      <c r="AE167" s="60"/>
      <c r="AF167" s="61" t="str">
        <f aca="false">IF(AND(ISNUMBER(X167),ISNUMBER(Y167)),Y167-X167,"")</f>
        <v/>
      </c>
      <c r="AG167" s="62" t="str">
        <f aca="false">IF(ISNUMBER(AD167),AD167-(IF(AND(INDEX(TZ_DSTS,MATCH(P167,TZ_STN,0))&lt;&gt;"",(AD167-INDEX(TZ_STD,MATCH(P167,TZ_STN,0))/24)&gt;=INDEX(TZ_DSTS,MATCH(P167,TZ_STN,0)),(AD167-INDEX(TZ_STD,MATCH(P167,TZ_STN,0))/24)&lt;INDEX(TZ_DSTE,MATCH(P167,TZ_STN,0))),INDEX(TZ_DST,MATCH(P167,TZ_STN,0)),INDEX(TZ_STD,MATCH(P167,TZ_STN,0))))/24,"")</f>
        <v/>
      </c>
      <c r="AH167" s="65" t="str">
        <f aca="false">IFERROR(IF(N167="N/A – rule",IF(OR(TRIM(U167)="",TRIM(U167)="N/A",TRIM(U167)="Not started"),"N/A – RULE","INVALID – this check does not apply to this aircraft: clear the status (or correct the fleet on Flights)"),IF(TRIM(U167)="N/A",IF(AT167=0,"INVALID – N/A not permitted for this check",IF(AND(TRIM(AB167)&lt;&gt;"",TRIM(AB167)&lt;&gt;"Closed"),"INVALID – corrective action still open",IF(AND(NOT(OR(LEN(AZ167)&lt;15,ISNUMBER(MATCH(AZ167,L_Placeholder,0)))),BK167=0,CG167&gt;=8,NOT(OR(LEN(AU167)&lt;2,ISNUMBER(MATCH(AU167,L_Placeholder,0)))),BR167&gt;=3,NOT(OR(LEN(AX167)&lt;2,ISNUMBER(MATCH(AX167,L_Placeholder,0)))),BS167&gt;=3,TRIM(AE167)&lt;&gt;TRIM(T167),AX167&lt;&gt;AU167,CE167=0),"N/A – JUSTIFIED","INVALID – N/A needs a real, settled reason (not 'not applicable' / 'as above' / TBC), a named PIC and a different named verifier"))),IF(OR(TRIM(U167)="Pass",TRIM(U167)="Pass after CA"),IF(NOT(ISNUMBER(AD167)),"INVALID – completion time missing",IF(OR(OR(LEN(AU167)&lt;2,ISNUMBER(MATCH(AU167,L_Placeholder,0))),BR167&lt;3),"INVALID – PIC missing or not a named person (a role such as QA / CSM is not a name)",IF(OR(LEN(AV167)&lt;2,ISNUMBER(MATCH(AV167,L_Placeholder,0))),"INVALID – result / assessment missing",IF(OR(OR(LEN(AW167)&lt;3,ISNUMBER(MATCH(AW167,L_Placeholder,0))),SUMPRODUCT(--ISNUMBER(SEARCH(" "&amp;L_EvidencePhrase&amp;" ",BD167)))&gt;0,BI167=1),"INVALID – evidence missing, placeholder or not yet on file",IF(ISNA(MATCH(TRIM(S167),L_EvidenceType,0)),"INVALID – choose the evidence type from the list (column S)",IF(BL167=0,"INVALID – evidence ID must be the record's own ID only (e.g. SF-2210, IMG_2231, 1045521); a link / file name needs type 'Link / file path'",IF(OR(OR(LEN(AX167)&lt;2,ISNUMBER(MATCH(AX167,L_Placeholder,0))),BS167&lt;3),"INVALID – verifier missing or not a named person (a role such as QA / CSM is not a name)",IF(OR(AX167=AU167,CE167=1,AND(LEN(AU167)&gt;=4,ISNUMBER(SEARCH(AU167,AX167))),AND(LEN(AX167)&gt;=4,ISNUMBER(SEARCH(AX167,AU167)))),"INVALID – verifier must be a different, named person (not the PIC or a role)",IF(BH167=1,"INVALID – result not yet available (awaiting / TBC)",IF(BG167=1,"INVALID – result describes a problem: record Fail, then Pass after CA (or reword if it is not a problem)",IF(BV167=1,"INVALID – wording says not on board: an on-board confirmation needs the item loaded",IF(AND(AQ167=1,OR(OR(LEN(AY167)&lt;3,ISNUMBER(MATCH(AY167,L_Placeholder,0))),BJ167=1,BQ167=0)),"INVALID – batch ID missing, placeholder or not an ID (e.g. PASB-261008-BC-017)",IF(AND(AR167=1,OR(NOT(ISNUMBER(X167)),NOT(ISNUMBER(Y167)))),"INVALID – expected/actual qty missing",IF(AND(AR167=1,OR(X167&lt;=0,Y167&lt;0)),"INVALID – expected qty must be above 0 and actual not negative",IF(BB167&lt;&gt;"",BB167,IF(AND(AS167=1,Documents!$J$10&lt;&gt;"ON FILE"),"INVALID – GLD not on file (Documents sheet)",IF(AND(AS167=2,Documents!$O$10&lt;&gt;"ON FILE"),"INVALID – menu checklist not on file (Documents sheet)",IF(AND(AS167=3,NOT(ISNUMBER(Flights!$AX$10))),"INVALID – enter carrying flight KUL departure (Flights AX)",IF(AND(AS167=3,OR(Flights!$AZ$10&gt;Flights!$AA$10,Flights!$AX$10&lt;Flights!$AA$10-3)),"INVALID – carrying flight (Flights AX) cannot arrive before this leg's STD, or is over 3 days early",IF(AG167&gt;AsOfUTC,"INVALID – completion time is in the future",IF(AND(ISNUMBER(BY167),AG167&lt;BY167),IF(H167="Physical uplift","INVALID – before uplift window (cannot confirm loading)","INVALID – before valid window"),IF(AG167&gt;Flights!$AA$10,"INVALID – completed after departure (cannot establish readiness)",IF(AND(H167="Preparation",AG167&gt;=IF(ISNUMBER(Flights!$BA$10),MIN(Flights!$BA$10,Flights!$AA$10),Flights!$AA$10)),"INVALID – completed after loading / departure (cannot establish readiness)",IF(AND(H167="Physical uplift",AG167&gt;Q167),"INVALID – recorded after the loading flight departed",IF(AG167&gt;Q167,"COMPLETE – LATE","COMPLETE"))))))))))))))))))))))))),IF(TRIM(U167)="Fail","FAIL – DISCREPANCY",IF(AND(TRIM(U167)&lt;&gt;"",TRIM(U167)&lt;&gt;"Not started",TRIM(U167)&lt;&gt;"In progress"),"INVALID – unrecognised status (use the list)",IF(AsOfUTC&gt;Q167,"OVERDUE",IF(N167="Clarification required","OPEN – CLARIFICATION","OPEN"))))))),"INVALID – error value in an input cell")</f>
        <v>OPEN</v>
      </c>
      <c r="AI167" s="61" t="n">
        <f aca="false">IF(OR(AH167="N/A – RULE",AH167="N/A – JUSTIFIED"),0,1)</f>
        <v>1</v>
      </c>
      <c r="AJ167" s="61" t="n">
        <f aca="false">IF(LEFT(AH167,8)="COMPLETE",1,0)</f>
        <v>0</v>
      </c>
      <c r="AK167" s="61" t="n">
        <f aca="false">IF(AND(AI167=1,AJ167=0,AsOfUTC&gt;Q167),1,0)</f>
        <v>0</v>
      </c>
      <c r="AL167" s="61" t="n">
        <f aca="false">IFERROR(IF(AND(AI167=1,OR(TRIM(U167)="Fail",AND(TRIM(AB167)&lt;&gt;"",TRIM(AB167)&lt;&gt;"Closed"),AND(ISNUMBER(AF167),AF167&lt;&gt;0,TRIM(U167)&lt;&gt;"Pass after CA"))),1,0),1)</f>
        <v>0</v>
      </c>
      <c r="AM167" s="61" t="n">
        <f aca="false">IF(LEFT(AH167,7)="INVALID",1,0)</f>
        <v>0</v>
      </c>
      <c r="AN167" s="61" t="n">
        <f aca="false">IF(AND(N167="Clarification required",AI167=1,AJ167=0),1,0)</f>
        <v>0</v>
      </c>
      <c r="AO167" s="61" t="str">
        <f aca="false">IF(AK167=1,SUM(AK$5:AK167),"")</f>
        <v/>
      </c>
      <c r="AP167" s="61" t="str">
        <f aca="false">IF(AL167=1,SUM(AL$5:AL167),"")</f>
        <v/>
      </c>
      <c r="AQ167" s="61" t="n">
        <v>0</v>
      </c>
      <c r="AR167" s="61" t="n">
        <v>0</v>
      </c>
      <c r="AS167" s="61" t="n">
        <v>0</v>
      </c>
      <c r="AT167" s="61" t="n">
        <v>0</v>
      </c>
      <c r="AU167" s="61" t="str">
        <f aca="false">SUBSTITUTE(SUBSTITUTE(SUBSTITUTE(SUBSTITUTE(SUBSTITUTE(SUBSTITUTE(SUBSTITUTE(SUBSTITUTE(SUBSTITUTE(SUBSTITUTE(SUBSTITUTE(SUBSTITUTE(SUBSTITUTE(SUBSTITUTE(SUBSTITUTE(SUBSTITUTE(LOWER(T167&amp;""),CHAR(10),""),CHAR(13),""),CHAR(9),""),CHAR(160),"")," ",""),".",""),"-",""),"/",""),"?",""),"_",""),",",""),"[",""),"]",""),"(",""),")",""),"*","")</f>
        <v/>
      </c>
      <c r="AV167" s="61" t="str">
        <f aca="false">SUBSTITUTE(SUBSTITUTE(SUBSTITUTE(SUBSTITUTE(SUBSTITUTE(SUBSTITUTE(SUBSTITUTE(SUBSTITUTE(SUBSTITUTE(SUBSTITUTE(SUBSTITUTE(SUBSTITUTE(SUBSTITUTE(SUBSTITUTE(SUBSTITUTE(SUBSTITUTE(LOWER(V167&amp;""),CHAR(10),""),CHAR(13),""),CHAR(9),""),CHAR(160),"")," ",""),".",""),"-",""),"/",""),"?",""),"_",""),",",""),"[",""),"]",""),"(",""),")",""),"*","")</f>
        <v/>
      </c>
      <c r="AW167" s="61" t="str">
        <f aca="false">SUBSTITUTE(SUBSTITUTE(SUBSTITUTE(SUBSTITUTE(SUBSTITUTE(SUBSTITUTE(SUBSTITUTE(SUBSTITUTE(SUBSTITUTE(SUBSTITUTE(SUBSTITUTE(SUBSTITUTE(SUBSTITUTE(SUBSTITUTE(SUBSTITUTE(SUBSTITUTE(LOWER(Z167&amp;""),CHAR(10),""),CHAR(13),""),CHAR(9),""),CHAR(160),"")," ",""),".",""),"-",""),"/",""),"?",""),"_",""),",",""),"[",""),"]",""),"(",""),")",""),"*","")</f>
        <v/>
      </c>
      <c r="AX167" s="61" t="str">
        <f aca="false">SUBSTITUTE(SUBSTITUTE(SUBSTITUTE(SUBSTITUTE(SUBSTITUTE(SUBSTITUTE(SUBSTITUTE(SUBSTITUTE(SUBSTITUTE(SUBSTITUTE(SUBSTITUTE(SUBSTITUTE(SUBSTITUTE(SUBSTITUTE(SUBSTITUTE(SUBSTITUTE(LOWER(AE167&amp;""),CHAR(10),""),CHAR(13),""),CHAR(9),""),CHAR(160),"")," ",""),".",""),"-",""),"/",""),"?",""),"_",""),",",""),"[",""),"]",""),"(",""),")",""),"*","")</f>
        <v/>
      </c>
      <c r="AY167" s="61" t="str">
        <f aca="false">SUBSTITUTE(SUBSTITUTE(SUBSTITUTE(SUBSTITUTE(SUBSTITUTE(SUBSTITUTE(SUBSTITUTE(SUBSTITUTE(SUBSTITUTE(SUBSTITUTE(SUBSTITUTE(SUBSTITUTE(SUBSTITUTE(SUBSTITUTE(SUBSTITUTE(SUBSTITUTE(LOWER(W167&amp;""),CHAR(10),""),CHAR(13),""),CHAR(9),""),CHAR(160),"")," ",""),".",""),"-",""),"/",""),"?",""),"_",""),",",""),"[",""),"]",""),"(",""),")",""),"*","")</f>
        <v/>
      </c>
      <c r="AZ167" s="61" t="str">
        <f aca="false">SUBSTITUTE(SUBSTITUTE(SUBSTITUTE(SUBSTITUTE(SUBSTITUTE(SUBSTITUTE(SUBSTITUTE(SUBSTITUTE(SUBSTITUTE(SUBSTITUTE(SUBSTITUTE(SUBSTITUTE(SUBSTITUTE(SUBSTITUTE(SUBSTITUTE(SUBSTITUTE(LOWER(AC167&amp;""),CHAR(10),""),CHAR(13),""),CHAR(9),""),CHAR(160),"")," ",""),".",""),"-",""),"/",""),"?",""),"_",""),",",""),"[",""),"]",""),"(",""),")",""),"*","")</f>
        <v/>
      </c>
      <c r="BA167" s="61" t="str">
        <f aca="false">SUBSTITUTE(SUBSTITUTE(SUBSTITUTE(SUBSTITUTE(SUBSTITUTE(SUBSTITUTE(SUBSTITUTE(SUBSTITUTE(SUBSTITUTE(SUBSTITUTE(SUBSTITUTE(SUBSTITUTE(SUBSTITUTE(SUBSTITUTE(SUBSTITUTE(SUBSTITUTE(LOWER(AA167&amp;""),CHAR(10),""),CHAR(13),""),CHAR(9),""),CHAR(160),"")," ",""),".",""),"-",""),"/",""),"?",""),"_",""),",",""),"[",""),"]",""),"(",""),")",""),"*","")</f>
        <v/>
      </c>
      <c r="BB167" s="61" t="str">
        <f aca="false">IF(AND(TRIM(U167)="Pass",ISNUMBER(AF167)),IF(AF167&lt;&gt;0,"INVALID – qty variance: use Fail or Pass after CA",""),"")&amp;IF(AND(TRIM(U167)="Pass after CA",ISNUMBER(AF167)),IF(AF167&lt;&gt;0,"INVALID – after the corrective action the actual qty must equal expected (update Actual)",""),"")&amp;IF(AND(TRIM(U167)="Pass",TRIM(AB167)&lt;&gt;"",TRIM(AB167)&lt;&gt;"Closed"),"INVALID – corrective action not closed: use Fail, then Pass after CA","")&amp;IF(AND(LEN(BA167)&gt;=2,ISNA(MATCH(LEFT(BA167,255),L_Placeholder,0)),TRIM(AB167)=""),"INVALID – CA status missing for the recorded corrective action","")&amp;IF(AND(TRIM(U167)="Pass after CA",OR(OR(LEN(BA167)&lt;5,ISNUMBER(MATCH(BA167,L_Placeholder,0))),TRIM(AB167)&lt;&gt;"Closed")),"INVALID – corrective action not recorded/closed","")</f>
        <v/>
      </c>
      <c r="BC167" s="61" t="str">
        <f aca="false">" "&amp;TRIM(SUBSTITUTE(SUBSTITUTE(SUBSTITUTE(SUBSTITUTE(SUBSTITUTE(SUBSTITUTE(SUBSTITUTE(SUBSTITUTE(SUBSTITUTE(SUBSTITUTE(SUBSTITUTE(SUBSTITUTE(SUBSTITUTE(SUBSTITUTE(SUBSTITUTE(SUBSTITUTE(SUBSTITUTE(SUBSTITUTE(SUBSTITUTE(SUBSTITUTE(SUBSTITUTE(SUBSTITUTE(SUBSTITUTE(SUBSTITUTE(LOWER(V167&amp;""),CHAR(10)," "),CHAR(13)," "),CHAR(9)," "),CHAR(160)," "),"."," "),","," "),"-"," "),"/"," "),"("," "),")"," "),":"," "),";"," "),"_"," "),"–"," "),"?"," "),"!"," "),"*"," "),"["," "),"]"," "),"'"," "),"#"," "),"+"," "),"&amp;"," "),"\"," "))&amp;" "</f>
        <v>  </v>
      </c>
      <c r="BD167" s="61" t="str">
        <f aca="false">" "&amp;TRIM(SUBSTITUTE(SUBSTITUTE(SUBSTITUTE(SUBSTITUTE(SUBSTITUTE(SUBSTITUTE(SUBSTITUTE(SUBSTITUTE(SUBSTITUTE(SUBSTITUTE(SUBSTITUTE(SUBSTITUTE(SUBSTITUTE(SUBSTITUTE(SUBSTITUTE(SUBSTITUTE(SUBSTITUTE(SUBSTITUTE(SUBSTITUTE(SUBSTITUTE(SUBSTITUTE(SUBSTITUTE(SUBSTITUTE(SUBSTITUTE(LOWER(Z167&amp;""),CHAR(10)," "),CHAR(13)," "),CHAR(9)," "),CHAR(160)," "),"."," "),","," "),"-"," "),"/"," "),"("," "),")"," "),":"," "),";"," "),"_"," "),"–"," "),"?"," "),"!"," "),"*"," "),"["," "),"]"," "),"'"," "),"#"," "),"+"," "),"&amp;"," "),"\"," "))&amp;" "</f>
        <v>  </v>
      </c>
      <c r="BE167" s="61" t="str">
        <f aca="false">" "&amp;TRIM(SUBSTITUTE(SUBSTITUTE(SUBSTITUTE(SUBSTITUTE(SUBSTITUTE(SUBSTITUTE(SUBSTITUTE(SUBSTITUTE(SUBSTITUTE(SUBSTITUTE(SUBSTITUTE(SUBSTITUTE(SUBSTITUTE(SUBSTITUTE(SUBSTITUTE(SUBSTITUTE(SUBSTITUTE(SUBSTITUTE(SUBSTITUTE(SUBSTITUTE(SUBSTITUTE(SUBSTITUTE(SUBSTITUTE(SUBSTITUTE(LOWER(W167&amp;""),CHAR(10)," "),CHAR(13)," "),CHAR(9)," "),CHAR(160)," "),"."," "),","," "),"-"," "),"/"," "),"("," "),")"," "),":"," "),";"," "),"_"," "),"–"," "),"?"," "),"!"," "),"*"," "),"["," "),"]"," "),"'"," "),"#"," "),"+"," "),"&amp;"," "),"\"," "))&amp;" "</f>
        <v>  </v>
      </c>
      <c r="BF167" s="61" t="str">
        <f aca="false">" "&amp;TRIM(SUBSTITUTE(SUBSTITUTE(SUBSTITUTE(SUBSTITUTE(SUBSTITUTE(SUBSTITUTE(SUBSTITUTE(SUBSTITUTE(SUBSTITUTE(SUBSTITUTE(SUBSTITUTE(SUBSTITUTE(SUBSTITUTE(SUBSTITUTE(SUBSTITUTE(SUBSTITUTE(SUBSTITUTE(SUBSTITUTE(SUBSTITUTE(SUBSTITUTE(SUBSTITUTE(SUBSTITUTE(SUBSTITUTE(SUBSTITUTE(LOWER(AC167&amp;""),CHAR(10)," "),CHAR(13)," "),CHAR(9)," "),CHAR(160)," "),"."," "),","," "),"-"," "),"/"," "),"("," "),")"," "),":"," "),";"," "),"_"," "),"–"," "),"?"," "),"!"," "),"*"," "),"["," "),"]"," "),"'"," "),"#"," "),"+"," "),"&amp;"," "),"\"," "))&amp;" "</f>
        <v>  </v>
      </c>
      <c r="BG167" s="61" t="n">
        <f aca="false">IFERROR(IF(AND(TRIM(U167)="Pass",SUMPRODUCT((LEN(BC167)-LEN(SUBSTITUTE(BC167," "&amp;L_ResultBad&amp;" "," ")))/(LEN(L_ResultBad)+1))&gt;SUMPRODUCT((LEN(BC167)-LEN(SUBSTITUTE(BC167," "&amp;L_NegPhrase&amp;" "," ")))/(LEN(L_NegPhrase)+1))),1,0),0)</f>
        <v>0</v>
      </c>
      <c r="BH167" s="61" t="n">
        <f aca="false">IFERROR(IF(SUMPRODUCT((LEN(BC167)-LEN(SUBSTITUTE(BC167," "&amp;L_Pending&amp;" "," ")))/(LEN(L_Pending)+1))&gt;SUMPRODUCT((LEN(BC167)-LEN(SUBSTITUTE(BC167," "&amp;L_PendNeg&amp;" "," ")))/(LEN(L_PendNeg)+1))+SUMPRODUCT((LEN(BC167)-LEN(SUBSTITUTE(BC167," "&amp;L_PendPrep&amp;" "," ")))/(LEN(L_PendPrep)+1)),1,0),1)</f>
        <v>0</v>
      </c>
      <c r="BI167" s="61" t="n">
        <f aca="false">IFERROR(IF(SUMPRODUCT((LEN(BD167)-LEN(SUBSTITUTE(BD167," "&amp;L_PendStrict&amp;" "," ")))/(LEN(L_PendStrict)+1))&gt;SUMPRODUCT((LEN(BD167)-LEN(SUBSTITUTE(BD167," "&amp;L_PendNeg&amp;" "," ")))/(LEN(L_PendNeg)+1)),1,0),1)</f>
        <v>0</v>
      </c>
      <c r="BJ167" s="61" t="n">
        <f aca="false">IFERROR(IF(SUMPRODUCT((LEN(BE167)-LEN(SUBSTITUTE(BE167," "&amp;L_Pending&amp;" "," ")))/(LEN(L_Pending)+1))&gt;SUMPRODUCT((LEN(BE167)-LEN(SUBSTITUTE(BE167," "&amp;L_PendNeg&amp;" "," ")))/(LEN(L_PendNeg)+1))+SUMPRODUCT((LEN(BE167)-LEN(SUBSTITUTE(BE167," "&amp;L_PendPrep&amp;" "," ")))/(LEN(L_PendPrep)+1)),1,0),1)</f>
        <v>0</v>
      </c>
      <c r="BK167" s="61" t="n">
        <f aca="false">IFERROR(IF(SUMPRODUCT((LEN(BF167)-LEN(SUBSTITUTE(BF167," "&amp;L_PendStrict&amp;" "," ")))/(LEN(L_PendStrict)+1))&gt;SUMPRODUCT((LEN(BF167)-LEN(SUBSTITUTE(BF167," "&amp;L_PendNeg&amp;" "," ")))/(LEN(L_PendNeg)+1)),1,0),1)</f>
        <v>0</v>
      </c>
      <c r="BL167" s="61" t="n">
        <f aca="false">IF(ISNA(MATCH(TRIM(S167),L_EvidenceType,0)),0,BZ167)</f>
        <v>0</v>
      </c>
      <c r="BM167" s="61" t="str">
        <f aca="false">SUBSTITUTE(SUBSTITUTE(SUBSTITUTE(SUBSTITUTE(SUBSTITUTE(SUBSTITUTE(SUBSTITUTE(SUBSTITUTE(SUBSTITUTE(LOWER(Z167&amp;""),"1","0"),"2","0"),"3","0"),"4","0"),"5","0"),"6","0"),"7","0"),"8","0"),"9","0")</f>
        <v/>
      </c>
      <c r="BN167" s="61" t="str">
        <f aca="false">SUBSTITUTE(SUBSTITUTE(SUBSTITUTE(SUBSTITUTE(SUBSTITUTE(SUBSTITUTE(SUBSTITUTE(SUBSTITUTE(SUBSTITUTE(SUBSTITUTE(SUBSTITUTE(SUBSTITUTE(SUBSTITUTE(SUBSTITUTE(SUBSTITUTE(SUBSTITUTE(SUBSTITUTE(SUBSTITUTE(SUBSTITUTE(SUBSTITUTE(SUBSTITUTE(SUBSTITUTE(SUBSTITUTE(SUBSTITUTE(SUBSTITUTE(BM167,"b","a"),"c","a"),"d","a"),"e","a"),"f","a"),"g","a"),"h","a"),"i","a"),"j","a"),"k","a"),"l","a"),"m","a"),"n","a"),"o","a"),"p","a"),"q","a"),"r","a"),"s","a"),"t","a"),"u","a"),"v","a"),"w","a"),"x","a"),"y","a"),"z","a")</f>
        <v/>
      </c>
      <c r="BO167" s="61" t="str">
        <f aca="false">SUBSTITUTE(SUBSTITUTE(SUBSTITUTE(SUBSTITUTE(SUBSTITUTE(SUBSTITUTE(SUBSTITUTE(SUBSTITUTE(SUBSTITUTE(LOWER(W167&amp;""),"1","0"),"2","0"),"3","0"),"4","0"),"5","0"),"6","0"),"7","0"),"8","0"),"9","0")</f>
        <v/>
      </c>
      <c r="BP167" s="61" t="str">
        <f aca="false">SUBSTITUTE(SUBSTITUTE(SUBSTITUTE(SUBSTITUTE(SUBSTITUTE(SUBSTITUTE(SUBSTITUTE(SUBSTITUTE(SUBSTITUTE(SUBSTITUTE(SUBSTITUTE(SUBSTITUTE(SUBSTITUTE(SUBSTITUTE(SUBSTITUTE(SUBSTITUTE(SUBSTITUTE(SUBSTITUTE(SUBSTITUTE(SUBSTITUTE(SUBSTITUTE(SUBSTITUTE(SUBSTITUTE(SUBSTITUTE(SUBSTITUTE(BO167,"b","a"),"c","a"),"d","a"),"e","a"),"f","a"),"g","a"),"h","a"),"i","a"),"j","a"),"k","a"),"l","a"),"m","a"),"n","a"),"o","a"),"p","a"),"q","a"),"r","a"),"s","a"),"t","a"),"u","a"),"v","a"),"w","a"),"x","a"),"y","a"),"z","a")</f>
        <v/>
      </c>
      <c r="BQ167" s="61" t="n">
        <f aca="false">IFERROR(IF(AND(ISERROR(SEARCH(" mh"," "&amp;LOWER(W167))),ISNA(MATCH(LEFT(TRIM(BP167),255),{"0000a","000a","00a","0000aa","000aa","00aa","0aa","0000aaa","000aaa","00a00","0a00","0000-0000","00:00","a00","a0","00.00.0000","00/00/0000","00-00-0000","0000-00-00","0000/00/00","0000.00.00","00.00.00","00/00/00","00-00-00","0.00.0000","0/00/0000","0-00-0000"},0)),ISNA(MATCH(LEFT(TRIM(CA167),255),{"0000a","000a","00a","0000aa","000aa","00aa","0aa","0000aaa","000aaa","00a00","0a00","0000-0000","00:00","a00","a0","00.00.0000","00/00/0000","00-00-0000","0000-00-00","0000/00/00","0000.00.00","00.00.00","00/00/00","00-00-00","0.00.0000","0/00/0000","0-00-0000"},0)),LEN(CB167)&gt;=3,NOT(OR(SUBSTITUTE(CB167,"0","")="",AND(LEN(CB167)&gt;=4,CB167=REPT(LEFT(CB167),LEN(CB167))),ISNUMBER(MATCH(CB167,{"123","1234","12345","123456","1234567","12345678","0123","01234","012345","98765","987654","54321"},0)),AND(LEN(CB167)=8,LEFT(CB167,3)="202"))),OR(AND((LEN(CA167)-LEN(SUBSTITUTE(CA167,"a","")))&gt;=1,SUMPRODUCT(--ISNUMBER(SEARCH({"a0","a-0","a_0","a/0","a.0","a#0","0a","0-a","0_a","0/a"},BP167)))&gt;0),ISNUMBER(SEARCH("000000",BP167)))),1,0),0)</f>
        <v>0</v>
      </c>
      <c r="BR167" s="61" t="n">
        <f aca="false">IFERROR(LEN(SUBSTITUTE(CC167," ",""))-SUMPRODUCT((LEN(CC167)-LEN(SUBSTITUTE(CC167," "&amp;L_Role&amp;" "," ")))/(LEN(L_Role)+1)*LEN(L_Role)),0)</f>
        <v>0</v>
      </c>
      <c r="BS167" s="61" t="n">
        <f aca="false">IFERROR(LEN(SUBSTITUTE(CD167," ",""))-SUMPRODUCT((LEN(CD167)-LEN(SUBSTITUTE(CD167," "&amp;L_Role&amp;" "," ")))/(LEN(L_Role)+1)*LEN(L_Role)),0)</f>
        <v>0</v>
      </c>
      <c r="BT1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167,"revision",""),"version",""),"jan",""),"feb",""),"mar",""),"apr",""),"may",""),"jun",""),"jul",""),"aug",""),"sep",""),"oct",""),"nov",""),"dec",""),"utc",""),"gmt",""),"myt",""),"bst",""),"rev",""),"ver",""),"b","a"),"c","a"),"d","a"),"e","a"),"f","a"),"g","a"),"h","a"),"i","a"),"j","a"),"k","a"),"l","a"),"m","a"),"n","a"),"o","a"),"p","a"),"q","a"),"r","a"),"s","a"),"t","a"),"u","a"),"v","a"),"w","a"),"x","a"),"y","a"),"z","a")</f>
        <v/>
      </c>
      <c r="BU167" s="61" t="str">
        <f aca="false">SUBSTITUTE(SUBSTITUTE(SUBSTITUTE(SUBSTITUTE(SUBSTITUTE(SUBSTITUTE(SUBSTITUTE(SUBSTITUTE(SUBSTITUTE(SUBSTITUTE(LEFT(BM167,FIND("0",BM167&amp;"0")-1),"-",""),"_",""),"/",""),".",""),"#",""),"\\",""),":","")," ",""),"(",""),")","")</f>
        <v/>
      </c>
      <c r="BV167" s="61" t="n">
        <f aca="false">0</f>
        <v>0</v>
      </c>
      <c r="BW1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167&amp;""),"a",""),"b",""),"c",""),"d",""),"e",""),"f",""),"g",""),"h",""),"i",""),"j",""),"k",""),"l",""),"m",""),"n",""),"o",""),"p",""),"q",""),"r",""),"s",""),"t",""),"u",""),"v",""),"w",""),"x",""),"y",""),"z",""),"-",""),"_",""),"/",""),".",""),"#",""),"\\",""),":","")," ",""),"(",""),")","")</f>
        <v/>
      </c>
      <c r="BX167" s="61" t="str">
        <f aca="false">SUBSTITUTE(SUBSTITUTE(SUBSTITUTE(SUBSTITUTE(SUBSTITUTE(SUBSTITUTE(SUBSTITUTE(SUBSTITUTE(SUBSTITUTE(SUBSTITUTE(SUBSTITUTE(BM167,"0",""),"-",""),"_",""),"/",""),".",""),"#",""),"\\",""),":","")," ",""),"(",""),")","")</f>
        <v/>
      </c>
      <c r="BY167" s="62" t="n">
        <f aca="false">Q167-T7EarlyD*24/24</f>
        <v>46289.6388888889</v>
      </c>
      <c r="BZ167" s="61" t="n">
        <f aca="false">IFERROR(IF(IF(TRIM(S167)="Link / file path",AND(LEN(TRIM(Z167))&gt;=5,SUMPRODUCT(--ISNUMBER(SEARCH({"http","www.","\\",":\",".pdf",".jpg",".jpeg",".png",".heic",".xls",".doc",".msg",".eml",".ppt",".txt",".zip"},Z167)))&gt;0),AND(ISERROR(FIND(" ",TRIM(Z167))),NOT(OR(SUMPRODUCT(--ISNUMBER(FIND({",",";","&amp;","+"},Z167)))&gt;0,SUMPRODUCT(--ISNUMBER(SEARCH({"0/aa","0\\aa"},BN167)))&gt;0)),NOT(SUMPRODUCT(--ISNUMBER(SEARCH({"http","www.","\\",":\",".pdf",".jpg",".jpeg",".png",".heic",".xls",".doc",".msg",".eml",".ppt",".txt",".zip"},Z167)))&gt;0),NOT(LOWER(TRIM(Z167))=LOWER(Flights!$F$10)),ISNA(MATCH(BU167,{"mh","rev","revision","ver","version","v","r","a","b","seat","tray","row","gate","bay","stand","page","pg","item","line","no","cart","galley","flight","flt","table","box","bag","oven","etd","eta","std","sta","atd","ata","qty","pax","x","time","tel","ph","mob","day","wk","week","utc","gmt","myt","lt"},0)),NOT(OR(ISNUMBER(MATCH(LEFT(BN167,255),{"0000a","000a","00a","0000aa","000aa","00aa","0aa","0000aaa","000aaa","00a00","0a00","0000-0000","00:00","a00","a0","00.00.0000","00/00/0000","00-00-0000","0000-00-00","0000/00/00","0000.00.00","00.00.00","00/00/00","00-00-00","0.00.0000","0/00/0000","0-00-0000"},0)),ISNUMBER(MATCH(LEFT(BT167,255),{"0000a","000a","00a","0000aa","000aa","00aa","0aa","0000aaa","000aaa","00a00","0a00","0000-0000","00:00","a00","a0","00.00.0000","00/00/0000","00-00-0000","0000-00-00","0000/00/00","0000.00.00","00.00.00","00/00/00","00-00-00","0.00.0000","0/00/0000","0-00-0000"},0)))),NOT(OR(AND(BW167&lt;&gt;"",SUBSTITUTE(BW167,"0","")=""),AND(LEN(BW167)&gt;=4,BW167=REPT(LEFT(BW167),LEN(BW167))),ISNUMBER(MATCH(BW167,{"123","1234","12345","123456","1234567","12345678","0123","01234","012345","98765","987654","54321"},0)),ISNUMBER(MATCH(BX167,{"x","xx","xxx","xxxx","xxxxx","abc","abcd","nil","na","nan","test","tbc","tba","tbd","dummy","sample","example","eg","zz","zzz","none","null","xyz","qwe","asd","id","ref"},0)),AND(LEN(BW167)=8,BX167="",OR(LEFT(BW167,3)="202",ISNUMBER(MATCH(RIGHT(BW167,4),{"2025","2026","2027"},0)))))),OR(AND((LEN(BT167)-LEN(SUBSTITUTE(BT167,"a","")))&gt;=1,(LEN(BN167)-LEN(SUBSTITUTE(BN167,"0","")))&gt;=2,SUMPRODUCT(--ISNUMBER(SEARCH({"a0","a-0","a_0","a/0","a.0","a#0","0a","0-a","0_a","0/a"},BN167)))&gt;0),AND((LEN(BN167)-LEN(SUBSTITUTE(BN167,"a","")))=0,(LEN(BN167)-LEN(SUBSTITUTE(BN167,"0","")))&gt;=5)))),1,0),0)</f>
        <v>0</v>
      </c>
      <c r="CA1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167,"revision",""),"version",""),"jan",""),"feb",""),"mar",""),"apr",""),"may",""),"jun",""),"jul",""),"aug",""),"sep",""),"oct",""),"nov",""),"dec",""),"utc",""),"gmt",""),"myt",""),"bst",""),"rev",""),"ver",""),"b","a"),"c","a"),"d","a"),"e","a"),"f","a"),"g","a"),"h","a"),"i","a"),"j","a"),"k","a"),"l","a"),"m","a"),"n","a"),"o","a"),"p","a"),"q","a"),"r","a"),"s","a"),"t","a"),"u","a"),"v","a"),"w","a"),"x","a"),"y","a"),"z","a")</f>
        <v/>
      </c>
      <c r="CB1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167&amp;""),"a",""),"b",""),"c",""),"d",""),"e",""),"f",""),"g",""),"h",""),"i",""),"j",""),"k",""),"l",""),"m",""),"n",""),"o",""),"p",""),"q",""),"r",""),"s",""),"t",""),"u",""),"v",""),"w",""),"x",""),"y",""),"z",""),"-",""),"_",""),"/",""),".",""),"#",""),"\\",""),":","")," ",""),"(",""),")","")</f>
        <v/>
      </c>
      <c r="CC167" s="0" t="str">
        <f aca="false">" "&amp;TRIM(SUBSTITUTE(SUBSTITUTE(SUBSTITUTE(SUBSTITUTE(SUBSTITUTE(SUBSTITUTE(SUBSTITUTE(SUBSTITUTE(SUBSTITUTE(SUBSTITUTE(SUBSTITUTE(SUBSTITUTE(SUBSTITUTE(SUBSTITUTE(SUBSTITUTE(SUBSTITUTE(SUBSTITUTE(SUBSTITUTE(SUBSTITUTE(SUBSTITUTE(SUBSTITUTE(SUBSTITUTE(SUBSTITUTE(SUBSTITUTE(LOWER(T167&amp;""),CHAR(10)," "),CHAR(13)," "),CHAR(9)," "),CHAR(160)," "),"."," "),","," "),"-"," "),"/"," "),"("," "),")"," "),":"," "),";"," "),"_"," "),"–"," "),"?"," "),"!"," "),"*"," "),"["," "),"]"," "),"'"," "),"#"," "),"+"," "),"&amp;"," "),"\"," "))&amp;" "</f>
        <v>  </v>
      </c>
      <c r="CD167" s="0" t="str">
        <f aca="false">" "&amp;TRIM(SUBSTITUTE(SUBSTITUTE(SUBSTITUTE(SUBSTITUTE(SUBSTITUTE(SUBSTITUTE(SUBSTITUTE(SUBSTITUTE(SUBSTITUTE(SUBSTITUTE(SUBSTITUTE(SUBSTITUTE(SUBSTITUTE(SUBSTITUTE(SUBSTITUTE(SUBSTITUTE(SUBSTITUTE(SUBSTITUTE(SUBSTITUTE(SUBSTITUTE(SUBSTITUTE(SUBSTITUTE(SUBSTITUTE(SUBSTITUTE(LOWER(AE167&amp;""),CHAR(10)," "),CHAR(13)," "),CHAR(9)," "),CHAR(160)," "),"."," "),","," "),"-"," "),"/"," "),"("," "),")"," "),":"," "),";"," "),"_"," "),"–"," "),"?"," "),"!"," "),"*"," "),"["," "),"]"," "),"'"," "),"#"," "),"+"," "),"&amp;"," "),"\"," "))&amp;" "</f>
        <v>  </v>
      </c>
      <c r="CE167" s="68" t="n">
        <f aca="false">IFERROR(IF(AND(LEN(AU167)&gt;0,LEN(AU167)=LEN(AX167),OR(TRIM(MID(SUBSTITUTE(TRIM(CC167)," ",REPT(" ",60)),1,60))="",ISNUMBER(SEARCH(" "&amp;TRIM(MID(SUBSTITUTE(TRIM(CC167)," ",REPT(" ",60)),1,60))&amp;" ",CD167))),OR(TRIM(MID(SUBSTITUTE(TRIM(CC167)," ",REPT(" ",60)),61,60))="",ISNUMBER(SEARCH(" "&amp;TRIM(MID(SUBSTITUTE(TRIM(CC167)," ",REPT(" ",60)),61,60))&amp;" ",CD167))),OR(TRIM(MID(SUBSTITUTE(TRIM(CC167)," ",REPT(" ",60)),121,60))="",ISNUMBER(SEARCH(" "&amp;TRIM(MID(SUBSTITUTE(TRIM(CC167)," ",REPT(" ",60)),121,60))&amp;" ",CD167)))),1,0),0)</f>
        <v>0</v>
      </c>
      <c r="CG167" s="68" t="n">
        <f aca="false">IFERROR(LEN(SUBSTITUTE(BF167," ",""))-SUMPRODUCT((LEN(BF167)-LEN(SUBSTITUTE(BF167," "&amp;L_NAFiller&amp;" "," ")))/(LEN(L_NAFiller)+1)*LEN(L_NAFiller)),0)</f>
        <v>0</v>
      </c>
    </row>
    <row r="168" customFormat="false" ht="41.25" hidden="false" customHeight="true" outlineLevel="0" collapsed="false">
      <c r="A168" s="57" t="s">
        <v>709</v>
      </c>
      <c r="B168" s="57" t="s">
        <v>231</v>
      </c>
      <c r="C168" s="57" t="str">
        <f aca="false">Flights!$F$10</f>
        <v>MH0002</v>
      </c>
      <c r="D168" s="58" t="n">
        <f aca="false">Flights!$D$10</f>
        <v>46310</v>
      </c>
      <c r="E168" s="57" t="str">
        <f aca="false">Flights!$G$10&amp;"-"&amp;Flights!$H$10</f>
        <v>KUL-LHR</v>
      </c>
      <c r="F168" s="57" t="str">
        <f aca="false">Flights!$K$10</f>
        <v>BC</v>
      </c>
      <c r="G168" s="57" t="s">
        <v>81</v>
      </c>
      <c r="H168" s="57" t="s">
        <v>378</v>
      </c>
      <c r="I168" s="57" t="s">
        <v>389</v>
      </c>
      <c r="J168" s="57" t="s">
        <v>390</v>
      </c>
      <c r="K168" s="67" t="s">
        <v>391</v>
      </c>
      <c r="L168" s="67" t="s">
        <v>382</v>
      </c>
      <c r="M168" s="67"/>
      <c r="N168" s="67" t="str">
        <f aca="false">IF(TRIM(Flights!$L$10)="A339","Required","N/A – rule")</f>
        <v>N/A – rule</v>
      </c>
      <c r="O168" s="67" t="s">
        <v>392</v>
      </c>
      <c r="P168" s="57" t="s">
        <v>187</v>
      </c>
      <c r="Q168" s="59" t="n">
        <f aca="false">ROUND((Flights!$AC$10)*1440,0)/1440</f>
        <v>46303.6388888889</v>
      </c>
      <c r="R168" s="59" t="n">
        <f aca="false">Q168+(IF(AND(INDEX(TZ_DSTS,MATCH(P168,TZ_STN,0))&lt;&gt;"",Q168&gt;=INDEX(TZ_DSTS,MATCH(P168,TZ_STN,0)),Q168&lt;INDEX(TZ_DSTE,MATCH(P168,TZ_STN,0))),INDEX(TZ_DST,MATCH(P168,TZ_STN,0)),INDEX(TZ_STD,MATCH(P168,TZ_STN,0))))/24</f>
        <v>46303.9722222222</v>
      </c>
      <c r="S168" s="60"/>
      <c r="T168" s="60"/>
      <c r="U168" s="60"/>
      <c r="V168" s="60"/>
      <c r="W168" s="61"/>
      <c r="X168" s="60"/>
      <c r="Y168" s="60"/>
      <c r="Z168" s="60"/>
      <c r="AA168" s="60"/>
      <c r="AB168" s="60"/>
      <c r="AC168" s="60"/>
      <c r="AD168" s="66"/>
      <c r="AE168" s="60"/>
      <c r="AF168" s="61" t="str">
        <f aca="false">IF(AND(ISNUMBER(X168),ISNUMBER(Y168)),Y168-X168,"")</f>
        <v/>
      </c>
      <c r="AG168" s="62" t="str">
        <f aca="false">IF(ISNUMBER(AD168),AD168-(IF(AND(INDEX(TZ_DSTS,MATCH(P168,TZ_STN,0))&lt;&gt;"",(AD168-INDEX(TZ_STD,MATCH(P168,TZ_STN,0))/24)&gt;=INDEX(TZ_DSTS,MATCH(P168,TZ_STN,0)),(AD168-INDEX(TZ_STD,MATCH(P168,TZ_STN,0))/24)&lt;INDEX(TZ_DSTE,MATCH(P168,TZ_STN,0))),INDEX(TZ_DST,MATCH(P168,TZ_STN,0)),INDEX(TZ_STD,MATCH(P168,TZ_STN,0))))/24,"")</f>
        <v/>
      </c>
      <c r="AH168" s="65" t="str">
        <f aca="false">IFERROR(IF(N168="N/A – rule",IF(OR(TRIM(U168)="",TRIM(U168)="N/A",TRIM(U168)="Not started"),"N/A – RULE","INVALID – this check does not apply to this aircraft: clear the status (or correct the fleet on Flights)"),IF(TRIM(U168)="N/A",IF(AT168=0,"INVALID – N/A not permitted for this check",IF(AND(TRIM(AB168)&lt;&gt;"",TRIM(AB168)&lt;&gt;"Closed"),"INVALID – corrective action still open",IF(AND(NOT(OR(LEN(AZ168)&lt;15,ISNUMBER(MATCH(AZ168,L_Placeholder,0)))),BK168=0,CG168&gt;=8,NOT(OR(LEN(AU168)&lt;2,ISNUMBER(MATCH(AU168,L_Placeholder,0)))),BR168&gt;=3,NOT(OR(LEN(AX168)&lt;2,ISNUMBER(MATCH(AX168,L_Placeholder,0)))),BS168&gt;=3,TRIM(AE168)&lt;&gt;TRIM(T168),AX168&lt;&gt;AU168,CE168=0),"N/A – JUSTIFIED","INVALID – N/A needs a real, settled reason (not 'not applicable' / 'as above' / TBC), a named PIC and a different named verifier"))),IF(OR(TRIM(U168)="Pass",TRIM(U168)="Pass after CA"),IF(NOT(ISNUMBER(AD168)),"INVALID – completion time missing",IF(OR(OR(LEN(AU168)&lt;2,ISNUMBER(MATCH(AU168,L_Placeholder,0))),BR168&lt;3),"INVALID – PIC missing or not a named person (a role such as QA / CSM is not a name)",IF(OR(LEN(AV168)&lt;2,ISNUMBER(MATCH(AV168,L_Placeholder,0))),"INVALID – result / assessment missing",IF(OR(OR(LEN(AW168)&lt;3,ISNUMBER(MATCH(AW168,L_Placeholder,0))),SUMPRODUCT(--ISNUMBER(SEARCH(" "&amp;L_EvidencePhrase&amp;" ",BD168)))&gt;0,BI168=1),"INVALID – evidence missing, placeholder or not yet on file",IF(ISNA(MATCH(TRIM(S168),L_EvidenceType,0)),"INVALID – choose the evidence type from the list (column S)",IF(BL168=0,"INVALID – evidence ID must be the record's own ID only (e.g. SF-2210, IMG_2231, 1045521); a link / file name needs type 'Link / file path'",IF(OR(OR(LEN(AX168)&lt;2,ISNUMBER(MATCH(AX168,L_Placeholder,0))),BS168&lt;3),"INVALID – verifier missing or not a named person (a role such as QA / CSM is not a name)",IF(OR(AX168=AU168,CE168=1,AND(LEN(AU168)&gt;=4,ISNUMBER(SEARCH(AU168,AX168))),AND(LEN(AX168)&gt;=4,ISNUMBER(SEARCH(AX168,AU168)))),"INVALID – verifier must be a different, named person (not the PIC or a role)",IF(BH168=1,"INVALID – result not yet available (awaiting / TBC)",IF(BG168=1,"INVALID – result describes a problem: record Fail, then Pass after CA (or reword if it is not a problem)",IF(BV168=1,"INVALID – wording says not on board: an on-board confirmation needs the item loaded",IF(AND(AQ168=1,OR(OR(LEN(AY168)&lt;3,ISNUMBER(MATCH(AY168,L_Placeholder,0))),BJ168=1,BQ168=0)),"INVALID – batch ID missing, placeholder or not an ID (e.g. PASB-261008-BC-017)",IF(AND(AR168=1,OR(NOT(ISNUMBER(X168)),NOT(ISNUMBER(Y168)))),"INVALID – expected/actual qty missing",IF(AND(AR168=1,OR(X168&lt;=0,Y168&lt;0)),"INVALID – expected qty must be above 0 and actual not negative",IF(BB168&lt;&gt;"",BB168,IF(AND(AS168=1,Documents!$J$10&lt;&gt;"ON FILE"),"INVALID – GLD not on file (Documents sheet)",IF(AND(AS168=2,Documents!$O$10&lt;&gt;"ON FILE"),"INVALID – menu checklist not on file (Documents sheet)",IF(AND(AS168=3,NOT(ISNUMBER(Flights!$AX$10))),"INVALID – enter carrying flight KUL departure (Flights AX)",IF(AND(AS168=3,OR(Flights!$AZ$10&gt;Flights!$AA$10,Flights!$AX$10&lt;Flights!$AA$10-3)),"INVALID – carrying flight (Flights AX) cannot arrive before this leg's STD, or is over 3 days early",IF(AG168&gt;AsOfUTC,"INVALID – completion time is in the future",IF(AND(ISNUMBER(BY168),AG168&lt;BY168),IF(H168="Physical uplift","INVALID – before uplift window (cannot confirm loading)","INVALID – before valid window"),IF(AG168&gt;Flights!$AA$10,"INVALID – completed after departure (cannot establish readiness)",IF(AND(H168="Preparation",AG168&gt;=IF(ISNUMBER(Flights!$BA$10),MIN(Flights!$BA$10,Flights!$AA$10),Flights!$AA$10)),"INVALID – completed after loading / departure (cannot establish readiness)",IF(AND(H168="Physical uplift",AG168&gt;Q168),"INVALID – recorded after the loading flight departed",IF(AG168&gt;Q168,"COMPLETE – LATE","COMPLETE"))))))))))))))))))))))))),IF(TRIM(U168)="Fail","FAIL – DISCREPANCY",IF(AND(TRIM(U168)&lt;&gt;"",TRIM(U168)&lt;&gt;"Not started",TRIM(U168)&lt;&gt;"In progress"),"INVALID – unrecognised status (use the list)",IF(AsOfUTC&gt;Q168,"OVERDUE",IF(N168="Clarification required","OPEN – CLARIFICATION","OPEN"))))))),"INVALID – error value in an input cell")</f>
        <v>N/A – RULE</v>
      </c>
      <c r="AI168" s="61" t="n">
        <f aca="false">IF(OR(AH168="N/A – RULE",AH168="N/A – JUSTIFIED"),0,1)</f>
        <v>0</v>
      </c>
      <c r="AJ168" s="61" t="n">
        <f aca="false">IF(LEFT(AH168,8)="COMPLETE",1,0)</f>
        <v>0</v>
      </c>
      <c r="AK168" s="61" t="n">
        <f aca="false">IF(AND(AI168=1,AJ168=0,AsOfUTC&gt;Q168),1,0)</f>
        <v>0</v>
      </c>
      <c r="AL168" s="61" t="n">
        <f aca="false">IFERROR(IF(AND(AI168=1,OR(TRIM(U168)="Fail",AND(TRIM(AB168)&lt;&gt;"",TRIM(AB168)&lt;&gt;"Closed"),AND(ISNUMBER(AF168),AF168&lt;&gt;0,TRIM(U168)&lt;&gt;"Pass after CA"))),1,0),1)</f>
        <v>0</v>
      </c>
      <c r="AM168" s="61" t="n">
        <f aca="false">IF(LEFT(AH168,7)="INVALID",1,0)</f>
        <v>0</v>
      </c>
      <c r="AN168" s="61" t="n">
        <f aca="false">IF(AND(N168="Clarification required",AI168=1,AJ168=0),1,0)</f>
        <v>0</v>
      </c>
      <c r="AO168" s="61" t="str">
        <f aca="false">IF(AK168=1,SUM(AK$5:AK168),"")</f>
        <v/>
      </c>
      <c r="AP168" s="61" t="str">
        <f aca="false">IF(AL168=1,SUM(AL$5:AL168),"")</f>
        <v/>
      </c>
      <c r="AQ168" s="61" t="n">
        <v>0</v>
      </c>
      <c r="AR168" s="61" t="n">
        <v>0</v>
      </c>
      <c r="AS168" s="61" t="n">
        <v>0</v>
      </c>
      <c r="AT168" s="61" t="n">
        <v>0</v>
      </c>
      <c r="AU168" s="61" t="str">
        <f aca="false">SUBSTITUTE(SUBSTITUTE(SUBSTITUTE(SUBSTITUTE(SUBSTITUTE(SUBSTITUTE(SUBSTITUTE(SUBSTITUTE(SUBSTITUTE(SUBSTITUTE(SUBSTITUTE(SUBSTITUTE(SUBSTITUTE(SUBSTITUTE(SUBSTITUTE(SUBSTITUTE(LOWER(T168&amp;""),CHAR(10),""),CHAR(13),""),CHAR(9),""),CHAR(160),"")," ",""),".",""),"-",""),"/",""),"?",""),"_",""),",",""),"[",""),"]",""),"(",""),")",""),"*","")</f>
        <v/>
      </c>
      <c r="AV168" s="61" t="str">
        <f aca="false">SUBSTITUTE(SUBSTITUTE(SUBSTITUTE(SUBSTITUTE(SUBSTITUTE(SUBSTITUTE(SUBSTITUTE(SUBSTITUTE(SUBSTITUTE(SUBSTITUTE(SUBSTITUTE(SUBSTITUTE(SUBSTITUTE(SUBSTITUTE(SUBSTITUTE(SUBSTITUTE(LOWER(V168&amp;""),CHAR(10),""),CHAR(13),""),CHAR(9),""),CHAR(160),"")," ",""),".",""),"-",""),"/",""),"?",""),"_",""),",",""),"[",""),"]",""),"(",""),")",""),"*","")</f>
        <v/>
      </c>
      <c r="AW168" s="61" t="str">
        <f aca="false">SUBSTITUTE(SUBSTITUTE(SUBSTITUTE(SUBSTITUTE(SUBSTITUTE(SUBSTITUTE(SUBSTITUTE(SUBSTITUTE(SUBSTITUTE(SUBSTITUTE(SUBSTITUTE(SUBSTITUTE(SUBSTITUTE(SUBSTITUTE(SUBSTITUTE(SUBSTITUTE(LOWER(Z168&amp;""),CHAR(10),""),CHAR(13),""),CHAR(9),""),CHAR(160),"")," ",""),".",""),"-",""),"/",""),"?",""),"_",""),",",""),"[",""),"]",""),"(",""),")",""),"*","")</f>
        <v/>
      </c>
      <c r="AX168" s="61" t="str">
        <f aca="false">SUBSTITUTE(SUBSTITUTE(SUBSTITUTE(SUBSTITUTE(SUBSTITUTE(SUBSTITUTE(SUBSTITUTE(SUBSTITUTE(SUBSTITUTE(SUBSTITUTE(SUBSTITUTE(SUBSTITUTE(SUBSTITUTE(SUBSTITUTE(SUBSTITUTE(SUBSTITUTE(LOWER(AE168&amp;""),CHAR(10),""),CHAR(13),""),CHAR(9),""),CHAR(160),"")," ",""),".",""),"-",""),"/",""),"?",""),"_",""),",",""),"[",""),"]",""),"(",""),")",""),"*","")</f>
        <v/>
      </c>
      <c r="AY168" s="61" t="str">
        <f aca="false">SUBSTITUTE(SUBSTITUTE(SUBSTITUTE(SUBSTITUTE(SUBSTITUTE(SUBSTITUTE(SUBSTITUTE(SUBSTITUTE(SUBSTITUTE(SUBSTITUTE(SUBSTITUTE(SUBSTITUTE(SUBSTITUTE(SUBSTITUTE(SUBSTITUTE(SUBSTITUTE(LOWER(W168&amp;""),CHAR(10),""),CHAR(13),""),CHAR(9),""),CHAR(160),"")," ",""),".",""),"-",""),"/",""),"?",""),"_",""),",",""),"[",""),"]",""),"(",""),")",""),"*","")</f>
        <v/>
      </c>
      <c r="AZ168" s="61" t="str">
        <f aca="false">SUBSTITUTE(SUBSTITUTE(SUBSTITUTE(SUBSTITUTE(SUBSTITUTE(SUBSTITUTE(SUBSTITUTE(SUBSTITUTE(SUBSTITUTE(SUBSTITUTE(SUBSTITUTE(SUBSTITUTE(SUBSTITUTE(SUBSTITUTE(SUBSTITUTE(SUBSTITUTE(LOWER(AC168&amp;""),CHAR(10),""),CHAR(13),""),CHAR(9),""),CHAR(160),"")," ",""),".",""),"-",""),"/",""),"?",""),"_",""),",",""),"[",""),"]",""),"(",""),")",""),"*","")</f>
        <v/>
      </c>
      <c r="BA168" s="61" t="str">
        <f aca="false">SUBSTITUTE(SUBSTITUTE(SUBSTITUTE(SUBSTITUTE(SUBSTITUTE(SUBSTITUTE(SUBSTITUTE(SUBSTITUTE(SUBSTITUTE(SUBSTITUTE(SUBSTITUTE(SUBSTITUTE(SUBSTITUTE(SUBSTITUTE(SUBSTITUTE(SUBSTITUTE(LOWER(AA168&amp;""),CHAR(10),""),CHAR(13),""),CHAR(9),""),CHAR(160),"")," ",""),".",""),"-",""),"/",""),"?",""),"_",""),",",""),"[",""),"]",""),"(",""),")",""),"*","")</f>
        <v/>
      </c>
      <c r="BB168" s="61" t="str">
        <f aca="false">IF(AND(TRIM(U168)="Pass",ISNUMBER(AF168)),IF(AF168&lt;&gt;0,"INVALID – qty variance: use Fail or Pass after CA",""),"")&amp;IF(AND(TRIM(U168)="Pass after CA",ISNUMBER(AF168)),IF(AF168&lt;&gt;0,"INVALID – after the corrective action the actual qty must equal expected (update Actual)",""),"")&amp;IF(AND(TRIM(U168)="Pass",TRIM(AB168)&lt;&gt;"",TRIM(AB168)&lt;&gt;"Closed"),"INVALID – corrective action not closed: use Fail, then Pass after CA","")&amp;IF(AND(LEN(BA168)&gt;=2,ISNA(MATCH(LEFT(BA168,255),L_Placeholder,0)),TRIM(AB168)=""),"INVALID – CA status missing for the recorded corrective action","")&amp;IF(AND(TRIM(U168)="Pass after CA",OR(OR(LEN(BA168)&lt;5,ISNUMBER(MATCH(BA168,L_Placeholder,0))),TRIM(AB168)&lt;&gt;"Closed")),"INVALID – corrective action not recorded/closed","")</f>
        <v/>
      </c>
      <c r="BC168" s="61" t="str">
        <f aca="false">" "&amp;TRIM(SUBSTITUTE(SUBSTITUTE(SUBSTITUTE(SUBSTITUTE(SUBSTITUTE(SUBSTITUTE(SUBSTITUTE(SUBSTITUTE(SUBSTITUTE(SUBSTITUTE(SUBSTITUTE(SUBSTITUTE(SUBSTITUTE(SUBSTITUTE(SUBSTITUTE(SUBSTITUTE(SUBSTITUTE(SUBSTITUTE(SUBSTITUTE(SUBSTITUTE(SUBSTITUTE(SUBSTITUTE(SUBSTITUTE(SUBSTITUTE(LOWER(V168&amp;""),CHAR(10)," "),CHAR(13)," "),CHAR(9)," "),CHAR(160)," "),"."," "),","," "),"-"," "),"/"," "),"("," "),")"," "),":"," "),";"," "),"_"," "),"–"," "),"?"," "),"!"," "),"*"," "),"["," "),"]"," "),"'"," "),"#"," "),"+"," "),"&amp;"," "),"\"," "))&amp;" "</f>
        <v>  </v>
      </c>
      <c r="BD168" s="61" t="str">
        <f aca="false">" "&amp;TRIM(SUBSTITUTE(SUBSTITUTE(SUBSTITUTE(SUBSTITUTE(SUBSTITUTE(SUBSTITUTE(SUBSTITUTE(SUBSTITUTE(SUBSTITUTE(SUBSTITUTE(SUBSTITUTE(SUBSTITUTE(SUBSTITUTE(SUBSTITUTE(SUBSTITUTE(SUBSTITUTE(SUBSTITUTE(SUBSTITUTE(SUBSTITUTE(SUBSTITUTE(SUBSTITUTE(SUBSTITUTE(SUBSTITUTE(SUBSTITUTE(LOWER(Z168&amp;""),CHAR(10)," "),CHAR(13)," "),CHAR(9)," "),CHAR(160)," "),"."," "),","," "),"-"," "),"/"," "),"("," "),")"," "),":"," "),";"," "),"_"," "),"–"," "),"?"," "),"!"," "),"*"," "),"["," "),"]"," "),"'"," "),"#"," "),"+"," "),"&amp;"," "),"\"," "))&amp;" "</f>
        <v>  </v>
      </c>
      <c r="BE168" s="61" t="str">
        <f aca="false">" "&amp;TRIM(SUBSTITUTE(SUBSTITUTE(SUBSTITUTE(SUBSTITUTE(SUBSTITUTE(SUBSTITUTE(SUBSTITUTE(SUBSTITUTE(SUBSTITUTE(SUBSTITUTE(SUBSTITUTE(SUBSTITUTE(SUBSTITUTE(SUBSTITUTE(SUBSTITUTE(SUBSTITUTE(SUBSTITUTE(SUBSTITUTE(SUBSTITUTE(SUBSTITUTE(SUBSTITUTE(SUBSTITUTE(SUBSTITUTE(SUBSTITUTE(LOWER(W168&amp;""),CHAR(10)," "),CHAR(13)," "),CHAR(9)," "),CHAR(160)," "),"."," "),","," "),"-"," "),"/"," "),"("," "),")"," "),":"," "),";"," "),"_"," "),"–"," "),"?"," "),"!"," "),"*"," "),"["," "),"]"," "),"'"," "),"#"," "),"+"," "),"&amp;"," "),"\"," "))&amp;" "</f>
        <v>  </v>
      </c>
      <c r="BF168" s="61" t="str">
        <f aca="false">" "&amp;TRIM(SUBSTITUTE(SUBSTITUTE(SUBSTITUTE(SUBSTITUTE(SUBSTITUTE(SUBSTITUTE(SUBSTITUTE(SUBSTITUTE(SUBSTITUTE(SUBSTITUTE(SUBSTITUTE(SUBSTITUTE(SUBSTITUTE(SUBSTITUTE(SUBSTITUTE(SUBSTITUTE(SUBSTITUTE(SUBSTITUTE(SUBSTITUTE(SUBSTITUTE(SUBSTITUTE(SUBSTITUTE(SUBSTITUTE(SUBSTITUTE(LOWER(AC168&amp;""),CHAR(10)," "),CHAR(13)," "),CHAR(9)," "),CHAR(160)," "),"."," "),","," "),"-"," "),"/"," "),"("," "),")"," "),":"," "),";"," "),"_"," "),"–"," "),"?"," "),"!"," "),"*"," "),"["," "),"]"," "),"'"," "),"#"," "),"+"," "),"&amp;"," "),"\"," "))&amp;" "</f>
        <v>  </v>
      </c>
      <c r="BG168" s="61" t="n">
        <f aca="false">IFERROR(IF(AND(TRIM(U168)="Pass",SUMPRODUCT((LEN(BC168)-LEN(SUBSTITUTE(BC168," "&amp;L_ResultBad&amp;" "," ")))/(LEN(L_ResultBad)+1))&gt;SUMPRODUCT((LEN(BC168)-LEN(SUBSTITUTE(BC168," "&amp;L_NegPhrase&amp;" "," ")))/(LEN(L_NegPhrase)+1))),1,0),0)</f>
        <v>0</v>
      </c>
      <c r="BH168" s="61" t="n">
        <f aca="false">IFERROR(IF(SUMPRODUCT((LEN(BC168)-LEN(SUBSTITUTE(BC168," "&amp;L_Pending&amp;" "," ")))/(LEN(L_Pending)+1))&gt;SUMPRODUCT((LEN(BC168)-LEN(SUBSTITUTE(BC168," "&amp;L_PendNeg&amp;" "," ")))/(LEN(L_PendNeg)+1))+SUMPRODUCT((LEN(BC168)-LEN(SUBSTITUTE(BC168," "&amp;L_PendPrep&amp;" "," ")))/(LEN(L_PendPrep)+1)),1,0),1)</f>
        <v>0</v>
      </c>
      <c r="BI168" s="61" t="n">
        <f aca="false">IFERROR(IF(SUMPRODUCT((LEN(BD168)-LEN(SUBSTITUTE(BD168," "&amp;L_PendStrict&amp;" "," ")))/(LEN(L_PendStrict)+1))&gt;SUMPRODUCT((LEN(BD168)-LEN(SUBSTITUTE(BD168," "&amp;L_PendNeg&amp;" "," ")))/(LEN(L_PendNeg)+1)),1,0),1)</f>
        <v>0</v>
      </c>
      <c r="BJ168" s="61" t="n">
        <f aca="false">IFERROR(IF(SUMPRODUCT((LEN(BE168)-LEN(SUBSTITUTE(BE168," "&amp;L_Pending&amp;" "," ")))/(LEN(L_Pending)+1))&gt;SUMPRODUCT((LEN(BE168)-LEN(SUBSTITUTE(BE168," "&amp;L_PendNeg&amp;" "," ")))/(LEN(L_PendNeg)+1))+SUMPRODUCT((LEN(BE168)-LEN(SUBSTITUTE(BE168," "&amp;L_PendPrep&amp;" "," ")))/(LEN(L_PendPrep)+1)),1,0),1)</f>
        <v>0</v>
      </c>
      <c r="BK168" s="61" t="n">
        <f aca="false">IFERROR(IF(SUMPRODUCT((LEN(BF168)-LEN(SUBSTITUTE(BF168," "&amp;L_PendStrict&amp;" "," ")))/(LEN(L_PendStrict)+1))&gt;SUMPRODUCT((LEN(BF168)-LEN(SUBSTITUTE(BF168," "&amp;L_PendNeg&amp;" "," ")))/(LEN(L_PendNeg)+1)),1,0),1)</f>
        <v>0</v>
      </c>
      <c r="BL168" s="61" t="n">
        <f aca="false">IF(ISNA(MATCH(TRIM(S168),L_EvidenceType,0)),0,BZ168)</f>
        <v>0</v>
      </c>
      <c r="BM168" s="61" t="str">
        <f aca="false">SUBSTITUTE(SUBSTITUTE(SUBSTITUTE(SUBSTITUTE(SUBSTITUTE(SUBSTITUTE(SUBSTITUTE(SUBSTITUTE(SUBSTITUTE(LOWER(Z168&amp;""),"1","0"),"2","0"),"3","0"),"4","0"),"5","0"),"6","0"),"7","0"),"8","0"),"9","0")</f>
        <v/>
      </c>
      <c r="BN168" s="61" t="str">
        <f aca="false">SUBSTITUTE(SUBSTITUTE(SUBSTITUTE(SUBSTITUTE(SUBSTITUTE(SUBSTITUTE(SUBSTITUTE(SUBSTITUTE(SUBSTITUTE(SUBSTITUTE(SUBSTITUTE(SUBSTITUTE(SUBSTITUTE(SUBSTITUTE(SUBSTITUTE(SUBSTITUTE(SUBSTITUTE(SUBSTITUTE(SUBSTITUTE(SUBSTITUTE(SUBSTITUTE(SUBSTITUTE(SUBSTITUTE(SUBSTITUTE(SUBSTITUTE(BM168,"b","a"),"c","a"),"d","a"),"e","a"),"f","a"),"g","a"),"h","a"),"i","a"),"j","a"),"k","a"),"l","a"),"m","a"),"n","a"),"o","a"),"p","a"),"q","a"),"r","a"),"s","a"),"t","a"),"u","a"),"v","a"),"w","a"),"x","a"),"y","a"),"z","a")</f>
        <v/>
      </c>
      <c r="BO168" s="61" t="str">
        <f aca="false">SUBSTITUTE(SUBSTITUTE(SUBSTITUTE(SUBSTITUTE(SUBSTITUTE(SUBSTITUTE(SUBSTITUTE(SUBSTITUTE(SUBSTITUTE(LOWER(W168&amp;""),"1","0"),"2","0"),"3","0"),"4","0"),"5","0"),"6","0"),"7","0"),"8","0"),"9","0")</f>
        <v/>
      </c>
      <c r="BP168" s="61" t="str">
        <f aca="false">SUBSTITUTE(SUBSTITUTE(SUBSTITUTE(SUBSTITUTE(SUBSTITUTE(SUBSTITUTE(SUBSTITUTE(SUBSTITUTE(SUBSTITUTE(SUBSTITUTE(SUBSTITUTE(SUBSTITUTE(SUBSTITUTE(SUBSTITUTE(SUBSTITUTE(SUBSTITUTE(SUBSTITUTE(SUBSTITUTE(SUBSTITUTE(SUBSTITUTE(SUBSTITUTE(SUBSTITUTE(SUBSTITUTE(SUBSTITUTE(SUBSTITUTE(BO168,"b","a"),"c","a"),"d","a"),"e","a"),"f","a"),"g","a"),"h","a"),"i","a"),"j","a"),"k","a"),"l","a"),"m","a"),"n","a"),"o","a"),"p","a"),"q","a"),"r","a"),"s","a"),"t","a"),"u","a"),"v","a"),"w","a"),"x","a"),"y","a"),"z","a")</f>
        <v/>
      </c>
      <c r="BQ168" s="61" t="n">
        <f aca="false">IFERROR(IF(AND(ISERROR(SEARCH(" mh"," "&amp;LOWER(W168))),ISNA(MATCH(LEFT(TRIM(BP168),255),{"0000a","000a","00a","0000aa","000aa","00aa","0aa","0000aaa","000aaa","00a00","0a00","0000-0000","00:00","a00","a0","00.00.0000","00/00/0000","00-00-0000","0000-00-00","0000/00/00","0000.00.00","00.00.00","00/00/00","00-00-00","0.00.0000","0/00/0000","0-00-0000"},0)),ISNA(MATCH(LEFT(TRIM(CA168),255),{"0000a","000a","00a","0000aa","000aa","00aa","0aa","0000aaa","000aaa","00a00","0a00","0000-0000","00:00","a00","a0","00.00.0000","00/00/0000","00-00-0000","0000-00-00","0000/00/00","0000.00.00","00.00.00","00/00/00","00-00-00","0.00.0000","0/00/0000","0-00-0000"},0)),LEN(CB168)&gt;=3,NOT(OR(SUBSTITUTE(CB168,"0","")="",AND(LEN(CB168)&gt;=4,CB168=REPT(LEFT(CB168),LEN(CB168))),ISNUMBER(MATCH(CB168,{"123","1234","12345","123456","1234567","12345678","0123","01234","012345","98765","987654","54321"},0)),AND(LEN(CB168)=8,LEFT(CB168,3)="202"))),OR(AND((LEN(CA168)-LEN(SUBSTITUTE(CA168,"a","")))&gt;=1,SUMPRODUCT(--ISNUMBER(SEARCH({"a0","a-0","a_0","a/0","a.0","a#0","0a","0-a","0_a","0/a"},BP168)))&gt;0),ISNUMBER(SEARCH("000000",BP168)))),1,0),0)</f>
        <v>0</v>
      </c>
      <c r="BR168" s="61" t="n">
        <f aca="false">IFERROR(LEN(SUBSTITUTE(CC168," ",""))-SUMPRODUCT((LEN(CC168)-LEN(SUBSTITUTE(CC168," "&amp;L_Role&amp;" "," ")))/(LEN(L_Role)+1)*LEN(L_Role)),0)</f>
        <v>0</v>
      </c>
      <c r="BS168" s="61" t="n">
        <f aca="false">IFERROR(LEN(SUBSTITUTE(CD168," ",""))-SUMPRODUCT((LEN(CD168)-LEN(SUBSTITUTE(CD168," "&amp;L_Role&amp;" "," ")))/(LEN(L_Role)+1)*LEN(L_Role)),0)</f>
        <v>0</v>
      </c>
      <c r="BT1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168,"revision",""),"version",""),"jan",""),"feb",""),"mar",""),"apr",""),"may",""),"jun",""),"jul",""),"aug",""),"sep",""),"oct",""),"nov",""),"dec",""),"utc",""),"gmt",""),"myt",""),"bst",""),"rev",""),"ver",""),"b","a"),"c","a"),"d","a"),"e","a"),"f","a"),"g","a"),"h","a"),"i","a"),"j","a"),"k","a"),"l","a"),"m","a"),"n","a"),"o","a"),"p","a"),"q","a"),"r","a"),"s","a"),"t","a"),"u","a"),"v","a"),"w","a"),"x","a"),"y","a"),"z","a")</f>
        <v/>
      </c>
      <c r="BU168" s="61" t="str">
        <f aca="false">SUBSTITUTE(SUBSTITUTE(SUBSTITUTE(SUBSTITUTE(SUBSTITUTE(SUBSTITUTE(SUBSTITUTE(SUBSTITUTE(SUBSTITUTE(SUBSTITUTE(LEFT(BM168,FIND("0",BM168&amp;"0")-1),"-",""),"_",""),"/",""),".",""),"#",""),"\\",""),":","")," ",""),"(",""),")","")</f>
        <v/>
      </c>
      <c r="BV168" s="61" t="n">
        <f aca="false">0</f>
        <v>0</v>
      </c>
      <c r="BW1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168&amp;""),"a",""),"b",""),"c",""),"d",""),"e",""),"f",""),"g",""),"h",""),"i",""),"j",""),"k",""),"l",""),"m",""),"n",""),"o",""),"p",""),"q",""),"r",""),"s",""),"t",""),"u",""),"v",""),"w",""),"x",""),"y",""),"z",""),"-",""),"_",""),"/",""),".",""),"#",""),"\\",""),":","")," ",""),"(",""),")","")</f>
        <v/>
      </c>
      <c r="BX168" s="61" t="str">
        <f aca="false">SUBSTITUTE(SUBSTITUTE(SUBSTITUTE(SUBSTITUTE(SUBSTITUTE(SUBSTITUTE(SUBSTITUTE(SUBSTITUTE(SUBSTITUTE(SUBSTITUTE(SUBSTITUTE(BM168,"0",""),"-",""),"_",""),"/",""),".",""),"#",""),"\\",""),":","")," ",""),"(",""),")","")</f>
        <v/>
      </c>
      <c r="BY168" s="62" t="n">
        <f aca="false">Q168-T7EarlyD*24/24</f>
        <v>46289.6388888889</v>
      </c>
      <c r="BZ168" s="61" t="n">
        <f aca="false">IFERROR(IF(IF(TRIM(S168)="Link / file path",AND(LEN(TRIM(Z168))&gt;=5,SUMPRODUCT(--ISNUMBER(SEARCH({"http","www.","\\",":\",".pdf",".jpg",".jpeg",".png",".heic",".xls",".doc",".msg",".eml",".ppt",".txt",".zip"},Z168)))&gt;0),AND(ISERROR(FIND(" ",TRIM(Z168))),NOT(OR(SUMPRODUCT(--ISNUMBER(FIND({",",";","&amp;","+"},Z168)))&gt;0,SUMPRODUCT(--ISNUMBER(SEARCH({"0/aa","0\\aa"},BN168)))&gt;0)),NOT(SUMPRODUCT(--ISNUMBER(SEARCH({"http","www.","\\",":\",".pdf",".jpg",".jpeg",".png",".heic",".xls",".doc",".msg",".eml",".ppt",".txt",".zip"},Z168)))&gt;0),NOT(LOWER(TRIM(Z168))=LOWER(Flights!$F$10)),ISNA(MATCH(BU168,{"mh","rev","revision","ver","version","v","r","a","b","seat","tray","row","gate","bay","stand","page","pg","item","line","no","cart","galley","flight","flt","table","box","bag","oven","etd","eta","std","sta","atd","ata","qty","pax","x","time","tel","ph","mob","day","wk","week","utc","gmt","myt","lt"},0)),NOT(OR(ISNUMBER(MATCH(LEFT(BN168,255),{"0000a","000a","00a","0000aa","000aa","00aa","0aa","0000aaa","000aaa","00a00","0a00","0000-0000","00:00","a00","a0","00.00.0000","00/00/0000","00-00-0000","0000-00-00","0000/00/00","0000.00.00","00.00.00","00/00/00","00-00-00","0.00.0000","0/00/0000","0-00-0000"},0)),ISNUMBER(MATCH(LEFT(BT168,255),{"0000a","000a","00a","0000aa","000aa","00aa","0aa","0000aaa","000aaa","00a00","0a00","0000-0000","00:00","a00","a0","00.00.0000","00/00/0000","00-00-0000","0000-00-00","0000/00/00","0000.00.00","00.00.00","00/00/00","00-00-00","0.00.0000","0/00/0000","0-00-0000"},0)))),NOT(OR(AND(BW168&lt;&gt;"",SUBSTITUTE(BW168,"0","")=""),AND(LEN(BW168)&gt;=4,BW168=REPT(LEFT(BW168),LEN(BW168))),ISNUMBER(MATCH(BW168,{"123","1234","12345","123456","1234567","12345678","0123","01234","012345","98765","987654","54321"},0)),ISNUMBER(MATCH(BX168,{"x","xx","xxx","xxxx","xxxxx","abc","abcd","nil","na","nan","test","tbc","tba","tbd","dummy","sample","example","eg","zz","zzz","none","null","xyz","qwe","asd","id","ref"},0)),AND(LEN(BW168)=8,BX168="",OR(LEFT(BW168,3)="202",ISNUMBER(MATCH(RIGHT(BW168,4),{"2025","2026","2027"},0)))))),OR(AND((LEN(BT168)-LEN(SUBSTITUTE(BT168,"a","")))&gt;=1,(LEN(BN168)-LEN(SUBSTITUTE(BN168,"0","")))&gt;=2,SUMPRODUCT(--ISNUMBER(SEARCH({"a0","a-0","a_0","a/0","a.0","a#0","0a","0-a","0_a","0/a"},BN168)))&gt;0),AND((LEN(BN168)-LEN(SUBSTITUTE(BN168,"a","")))=0,(LEN(BN168)-LEN(SUBSTITUTE(BN168,"0","")))&gt;=5)))),1,0),0)</f>
        <v>0</v>
      </c>
      <c r="CA1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168,"revision",""),"version",""),"jan",""),"feb",""),"mar",""),"apr",""),"may",""),"jun",""),"jul",""),"aug",""),"sep",""),"oct",""),"nov",""),"dec",""),"utc",""),"gmt",""),"myt",""),"bst",""),"rev",""),"ver",""),"b","a"),"c","a"),"d","a"),"e","a"),"f","a"),"g","a"),"h","a"),"i","a"),"j","a"),"k","a"),"l","a"),"m","a"),"n","a"),"o","a"),"p","a"),"q","a"),"r","a"),"s","a"),"t","a"),"u","a"),"v","a"),"w","a"),"x","a"),"y","a"),"z","a")</f>
        <v/>
      </c>
      <c r="CB1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168&amp;""),"a",""),"b",""),"c",""),"d",""),"e",""),"f",""),"g",""),"h",""),"i",""),"j",""),"k",""),"l",""),"m",""),"n",""),"o",""),"p",""),"q",""),"r",""),"s",""),"t",""),"u",""),"v",""),"w",""),"x",""),"y",""),"z",""),"-",""),"_",""),"/",""),".",""),"#",""),"\\",""),":","")," ",""),"(",""),")","")</f>
        <v/>
      </c>
      <c r="CC168" s="0" t="str">
        <f aca="false">" "&amp;TRIM(SUBSTITUTE(SUBSTITUTE(SUBSTITUTE(SUBSTITUTE(SUBSTITUTE(SUBSTITUTE(SUBSTITUTE(SUBSTITUTE(SUBSTITUTE(SUBSTITUTE(SUBSTITUTE(SUBSTITUTE(SUBSTITUTE(SUBSTITUTE(SUBSTITUTE(SUBSTITUTE(SUBSTITUTE(SUBSTITUTE(SUBSTITUTE(SUBSTITUTE(SUBSTITUTE(SUBSTITUTE(SUBSTITUTE(SUBSTITUTE(LOWER(T168&amp;""),CHAR(10)," "),CHAR(13)," "),CHAR(9)," "),CHAR(160)," "),"."," "),","," "),"-"," "),"/"," "),"("," "),")"," "),":"," "),";"," "),"_"," "),"–"," "),"?"," "),"!"," "),"*"," "),"["," "),"]"," "),"'"," "),"#"," "),"+"," "),"&amp;"," "),"\"," "))&amp;" "</f>
        <v>  </v>
      </c>
      <c r="CD168" s="0" t="str">
        <f aca="false">" "&amp;TRIM(SUBSTITUTE(SUBSTITUTE(SUBSTITUTE(SUBSTITUTE(SUBSTITUTE(SUBSTITUTE(SUBSTITUTE(SUBSTITUTE(SUBSTITUTE(SUBSTITUTE(SUBSTITUTE(SUBSTITUTE(SUBSTITUTE(SUBSTITUTE(SUBSTITUTE(SUBSTITUTE(SUBSTITUTE(SUBSTITUTE(SUBSTITUTE(SUBSTITUTE(SUBSTITUTE(SUBSTITUTE(SUBSTITUTE(SUBSTITUTE(LOWER(AE168&amp;""),CHAR(10)," "),CHAR(13)," "),CHAR(9)," "),CHAR(160)," "),"."," "),","," "),"-"," "),"/"," "),"("," "),")"," "),":"," "),";"," "),"_"," "),"–"," "),"?"," "),"!"," "),"*"," "),"["," "),"]"," "),"'"," "),"#"," "),"+"," "),"&amp;"," "),"\"," "))&amp;" "</f>
        <v>  </v>
      </c>
      <c r="CE168" s="68" t="n">
        <f aca="false">IFERROR(IF(AND(LEN(AU168)&gt;0,LEN(AU168)=LEN(AX168),OR(TRIM(MID(SUBSTITUTE(TRIM(CC168)," ",REPT(" ",60)),1,60))="",ISNUMBER(SEARCH(" "&amp;TRIM(MID(SUBSTITUTE(TRIM(CC168)," ",REPT(" ",60)),1,60))&amp;" ",CD168))),OR(TRIM(MID(SUBSTITUTE(TRIM(CC168)," ",REPT(" ",60)),61,60))="",ISNUMBER(SEARCH(" "&amp;TRIM(MID(SUBSTITUTE(TRIM(CC168)," ",REPT(" ",60)),61,60))&amp;" ",CD168))),OR(TRIM(MID(SUBSTITUTE(TRIM(CC168)," ",REPT(" ",60)),121,60))="",ISNUMBER(SEARCH(" "&amp;TRIM(MID(SUBSTITUTE(TRIM(CC168)," ",REPT(" ",60)),121,60))&amp;" ",CD168)))),1,0),0)</f>
        <v>0</v>
      </c>
      <c r="CG168" s="68" t="n">
        <f aca="false">IFERROR(LEN(SUBSTITUTE(BF168," ",""))-SUMPRODUCT((LEN(BF168)-LEN(SUBSTITUTE(BF168," "&amp;L_NAFiller&amp;" "," ")))/(LEN(L_NAFiller)+1)*LEN(L_NAFiller)),0)</f>
        <v>0</v>
      </c>
    </row>
    <row r="169" customFormat="false" ht="39.75" hidden="false" customHeight="true" outlineLevel="0" collapsed="false">
      <c r="A169" s="57" t="s">
        <v>710</v>
      </c>
      <c r="B169" s="57" t="s">
        <v>231</v>
      </c>
      <c r="C169" s="57" t="str">
        <f aca="false">Flights!$F$10</f>
        <v>MH0002</v>
      </c>
      <c r="D169" s="58" t="n">
        <f aca="false">Flights!$D$10</f>
        <v>46310</v>
      </c>
      <c r="E169" s="57" t="str">
        <f aca="false">Flights!$G$10&amp;"-"&amp;Flights!$H$10</f>
        <v>KUL-LHR</v>
      </c>
      <c r="F169" s="57" t="str">
        <f aca="false">Flights!$K$10</f>
        <v>BC</v>
      </c>
      <c r="G169" s="57" t="s">
        <v>81</v>
      </c>
      <c r="H169" s="57" t="s">
        <v>378</v>
      </c>
      <c r="I169" s="57" t="s">
        <v>394</v>
      </c>
      <c r="J169" s="57" t="s">
        <v>395</v>
      </c>
      <c r="K169" s="67" t="s">
        <v>396</v>
      </c>
      <c r="L169" s="67" t="s">
        <v>382</v>
      </c>
      <c r="M169" s="67"/>
      <c r="N169" s="67" t="s">
        <v>383</v>
      </c>
      <c r="O169" s="67"/>
      <c r="P169" s="57" t="s">
        <v>187</v>
      </c>
      <c r="Q169" s="59" t="n">
        <f aca="false">ROUND((Flights!$AC$10)*1440,0)/1440</f>
        <v>46303.6388888889</v>
      </c>
      <c r="R169" s="59" t="n">
        <f aca="false">Q169+(IF(AND(INDEX(TZ_DSTS,MATCH(P169,TZ_STN,0))&lt;&gt;"",Q169&gt;=INDEX(TZ_DSTS,MATCH(P169,TZ_STN,0)),Q169&lt;INDEX(TZ_DSTE,MATCH(P169,TZ_STN,0))),INDEX(TZ_DST,MATCH(P169,TZ_STN,0)),INDEX(TZ_STD,MATCH(P169,TZ_STN,0))))/24</f>
        <v>46303.9722222222</v>
      </c>
      <c r="S169" s="60"/>
      <c r="T169" s="60"/>
      <c r="U169" s="60"/>
      <c r="V169" s="60"/>
      <c r="W169" s="61"/>
      <c r="X169" s="60"/>
      <c r="Y169" s="60"/>
      <c r="Z169" s="60"/>
      <c r="AA169" s="60"/>
      <c r="AB169" s="60"/>
      <c r="AC169" s="60"/>
      <c r="AD169" s="66"/>
      <c r="AE169" s="60"/>
      <c r="AF169" s="61" t="str">
        <f aca="false">IF(AND(ISNUMBER(X169),ISNUMBER(Y169)),Y169-X169,"")</f>
        <v/>
      </c>
      <c r="AG169" s="62" t="str">
        <f aca="false">IF(ISNUMBER(AD169),AD169-(IF(AND(INDEX(TZ_DSTS,MATCH(P169,TZ_STN,0))&lt;&gt;"",(AD169-INDEX(TZ_STD,MATCH(P169,TZ_STN,0))/24)&gt;=INDEX(TZ_DSTS,MATCH(P169,TZ_STN,0)),(AD169-INDEX(TZ_STD,MATCH(P169,TZ_STN,0))/24)&lt;INDEX(TZ_DSTE,MATCH(P169,TZ_STN,0))),INDEX(TZ_DST,MATCH(P169,TZ_STN,0)),INDEX(TZ_STD,MATCH(P169,TZ_STN,0))))/24,"")</f>
        <v/>
      </c>
      <c r="AH169" s="65" t="str">
        <f aca="false">IFERROR(IF(N169="N/A – rule",IF(OR(TRIM(U169)="",TRIM(U169)="N/A",TRIM(U169)="Not started"),"N/A – RULE","INVALID – this check does not apply to this aircraft: clear the status (or correct the fleet on Flights)"),IF(TRIM(U169)="N/A",IF(AT169=0,"INVALID – N/A not permitted for this check",IF(AND(TRIM(AB169)&lt;&gt;"",TRIM(AB169)&lt;&gt;"Closed"),"INVALID – corrective action still open",IF(AND(NOT(OR(LEN(AZ169)&lt;15,ISNUMBER(MATCH(AZ169,L_Placeholder,0)))),BK169=0,CG169&gt;=8,NOT(OR(LEN(AU169)&lt;2,ISNUMBER(MATCH(AU169,L_Placeholder,0)))),BR169&gt;=3,NOT(OR(LEN(AX169)&lt;2,ISNUMBER(MATCH(AX169,L_Placeholder,0)))),BS169&gt;=3,TRIM(AE169)&lt;&gt;TRIM(T169),AX169&lt;&gt;AU169,CE169=0),"N/A – JUSTIFIED","INVALID – N/A needs a real, settled reason (not 'not applicable' / 'as above' / TBC), a named PIC and a different named verifier"))),IF(OR(TRIM(U169)="Pass",TRIM(U169)="Pass after CA"),IF(NOT(ISNUMBER(AD169)),"INVALID – completion time missing",IF(OR(OR(LEN(AU169)&lt;2,ISNUMBER(MATCH(AU169,L_Placeholder,0))),BR169&lt;3),"INVALID – PIC missing or not a named person (a role such as QA / CSM is not a name)",IF(OR(LEN(AV169)&lt;2,ISNUMBER(MATCH(AV169,L_Placeholder,0))),"INVALID – result / assessment missing",IF(OR(OR(LEN(AW169)&lt;3,ISNUMBER(MATCH(AW169,L_Placeholder,0))),SUMPRODUCT(--ISNUMBER(SEARCH(" "&amp;L_EvidencePhrase&amp;" ",BD169)))&gt;0,BI169=1),"INVALID – evidence missing, placeholder or not yet on file",IF(ISNA(MATCH(TRIM(S169),L_EvidenceType,0)),"INVALID – choose the evidence type from the list (column S)",IF(BL169=0,"INVALID – evidence ID must be the record's own ID only (e.g. SF-2210, IMG_2231, 1045521); a link / file name needs type 'Link / file path'",IF(OR(OR(LEN(AX169)&lt;2,ISNUMBER(MATCH(AX169,L_Placeholder,0))),BS169&lt;3),"INVALID – verifier missing or not a named person (a role such as QA / CSM is not a name)",IF(OR(AX169=AU169,CE169=1,AND(LEN(AU169)&gt;=4,ISNUMBER(SEARCH(AU169,AX169))),AND(LEN(AX169)&gt;=4,ISNUMBER(SEARCH(AX169,AU169)))),"INVALID – verifier must be a different, named person (not the PIC or a role)",IF(BH169=1,"INVALID – result not yet available (awaiting / TBC)",IF(BG169=1,"INVALID – result describes a problem: record Fail, then Pass after CA (or reword if it is not a problem)",IF(BV169=1,"INVALID – wording says not on board: an on-board confirmation needs the item loaded",IF(AND(AQ169=1,OR(OR(LEN(AY169)&lt;3,ISNUMBER(MATCH(AY169,L_Placeholder,0))),BJ169=1,BQ169=0)),"INVALID – batch ID missing, placeholder or not an ID (e.g. PASB-261008-BC-017)",IF(AND(AR169=1,OR(NOT(ISNUMBER(X169)),NOT(ISNUMBER(Y169)))),"INVALID – expected/actual qty missing",IF(AND(AR169=1,OR(X169&lt;=0,Y169&lt;0)),"INVALID – expected qty must be above 0 and actual not negative",IF(BB169&lt;&gt;"",BB169,IF(AND(AS169=1,Documents!$J$10&lt;&gt;"ON FILE"),"INVALID – GLD not on file (Documents sheet)",IF(AND(AS169=2,Documents!$O$10&lt;&gt;"ON FILE"),"INVALID – menu checklist not on file (Documents sheet)",IF(AND(AS169=3,NOT(ISNUMBER(Flights!$AX$10))),"INVALID – enter carrying flight KUL departure (Flights AX)",IF(AND(AS169=3,OR(Flights!$AZ$10&gt;Flights!$AA$10,Flights!$AX$10&lt;Flights!$AA$10-3)),"INVALID – carrying flight (Flights AX) cannot arrive before this leg's STD, or is over 3 days early",IF(AG169&gt;AsOfUTC,"INVALID – completion time is in the future",IF(AND(ISNUMBER(BY169),AG169&lt;BY169),IF(H169="Physical uplift","INVALID – before uplift window (cannot confirm loading)","INVALID – before valid window"),IF(AG169&gt;Flights!$AA$10,"INVALID – completed after departure (cannot establish readiness)",IF(AND(H169="Preparation",AG169&gt;=IF(ISNUMBER(Flights!$BA$10),MIN(Flights!$BA$10,Flights!$AA$10),Flights!$AA$10)),"INVALID – completed after loading / departure (cannot establish readiness)",IF(AND(H169="Physical uplift",AG169&gt;Q169),"INVALID – recorded after the loading flight departed",IF(AG169&gt;Q169,"COMPLETE – LATE","COMPLETE"))))))))))))))))))))))))),IF(TRIM(U169)="Fail","FAIL – DISCREPANCY",IF(AND(TRIM(U169)&lt;&gt;"",TRIM(U169)&lt;&gt;"Not started",TRIM(U169)&lt;&gt;"In progress"),"INVALID – unrecognised status (use the list)",IF(AsOfUTC&gt;Q169,"OVERDUE",IF(N169="Clarification required","OPEN – CLARIFICATION","OPEN"))))))),"INVALID – error value in an input cell")</f>
        <v>OPEN</v>
      </c>
      <c r="AI169" s="61" t="n">
        <f aca="false">IF(OR(AH169="N/A – RULE",AH169="N/A – JUSTIFIED"),0,1)</f>
        <v>1</v>
      </c>
      <c r="AJ169" s="61" t="n">
        <f aca="false">IF(LEFT(AH169,8)="COMPLETE",1,0)</f>
        <v>0</v>
      </c>
      <c r="AK169" s="61" t="n">
        <f aca="false">IF(AND(AI169=1,AJ169=0,AsOfUTC&gt;Q169),1,0)</f>
        <v>0</v>
      </c>
      <c r="AL169" s="61" t="n">
        <f aca="false">IFERROR(IF(AND(AI169=1,OR(TRIM(U169)="Fail",AND(TRIM(AB169)&lt;&gt;"",TRIM(AB169)&lt;&gt;"Closed"),AND(ISNUMBER(AF169),AF169&lt;&gt;0,TRIM(U169)&lt;&gt;"Pass after CA"))),1,0),1)</f>
        <v>0</v>
      </c>
      <c r="AM169" s="61" t="n">
        <f aca="false">IF(LEFT(AH169,7)="INVALID",1,0)</f>
        <v>0</v>
      </c>
      <c r="AN169" s="61" t="n">
        <f aca="false">IF(AND(N169="Clarification required",AI169=1,AJ169=0),1,0)</f>
        <v>0</v>
      </c>
      <c r="AO169" s="61" t="str">
        <f aca="false">IF(AK169=1,SUM(AK$5:AK169),"")</f>
        <v/>
      </c>
      <c r="AP169" s="61" t="str">
        <f aca="false">IF(AL169=1,SUM(AL$5:AL169),"")</f>
        <v/>
      </c>
      <c r="AQ169" s="61" t="n">
        <v>0</v>
      </c>
      <c r="AR169" s="61" t="n">
        <v>0</v>
      </c>
      <c r="AS169" s="61" t="n">
        <v>0</v>
      </c>
      <c r="AT169" s="61" t="n">
        <v>0</v>
      </c>
      <c r="AU169" s="61" t="str">
        <f aca="false">SUBSTITUTE(SUBSTITUTE(SUBSTITUTE(SUBSTITUTE(SUBSTITUTE(SUBSTITUTE(SUBSTITUTE(SUBSTITUTE(SUBSTITUTE(SUBSTITUTE(SUBSTITUTE(SUBSTITUTE(SUBSTITUTE(SUBSTITUTE(SUBSTITUTE(SUBSTITUTE(LOWER(T169&amp;""),CHAR(10),""),CHAR(13),""),CHAR(9),""),CHAR(160),"")," ",""),".",""),"-",""),"/",""),"?",""),"_",""),",",""),"[",""),"]",""),"(",""),")",""),"*","")</f>
        <v/>
      </c>
      <c r="AV169" s="61" t="str">
        <f aca="false">SUBSTITUTE(SUBSTITUTE(SUBSTITUTE(SUBSTITUTE(SUBSTITUTE(SUBSTITUTE(SUBSTITUTE(SUBSTITUTE(SUBSTITUTE(SUBSTITUTE(SUBSTITUTE(SUBSTITUTE(SUBSTITUTE(SUBSTITUTE(SUBSTITUTE(SUBSTITUTE(LOWER(V169&amp;""),CHAR(10),""),CHAR(13),""),CHAR(9),""),CHAR(160),"")," ",""),".",""),"-",""),"/",""),"?",""),"_",""),",",""),"[",""),"]",""),"(",""),")",""),"*","")</f>
        <v/>
      </c>
      <c r="AW169" s="61" t="str">
        <f aca="false">SUBSTITUTE(SUBSTITUTE(SUBSTITUTE(SUBSTITUTE(SUBSTITUTE(SUBSTITUTE(SUBSTITUTE(SUBSTITUTE(SUBSTITUTE(SUBSTITUTE(SUBSTITUTE(SUBSTITUTE(SUBSTITUTE(SUBSTITUTE(SUBSTITUTE(SUBSTITUTE(LOWER(Z169&amp;""),CHAR(10),""),CHAR(13),""),CHAR(9),""),CHAR(160),"")," ",""),".",""),"-",""),"/",""),"?",""),"_",""),",",""),"[",""),"]",""),"(",""),")",""),"*","")</f>
        <v/>
      </c>
      <c r="AX169" s="61" t="str">
        <f aca="false">SUBSTITUTE(SUBSTITUTE(SUBSTITUTE(SUBSTITUTE(SUBSTITUTE(SUBSTITUTE(SUBSTITUTE(SUBSTITUTE(SUBSTITUTE(SUBSTITUTE(SUBSTITUTE(SUBSTITUTE(SUBSTITUTE(SUBSTITUTE(SUBSTITUTE(SUBSTITUTE(LOWER(AE169&amp;""),CHAR(10),""),CHAR(13),""),CHAR(9),""),CHAR(160),"")," ",""),".",""),"-",""),"/",""),"?",""),"_",""),",",""),"[",""),"]",""),"(",""),")",""),"*","")</f>
        <v/>
      </c>
      <c r="AY169" s="61" t="str">
        <f aca="false">SUBSTITUTE(SUBSTITUTE(SUBSTITUTE(SUBSTITUTE(SUBSTITUTE(SUBSTITUTE(SUBSTITUTE(SUBSTITUTE(SUBSTITUTE(SUBSTITUTE(SUBSTITUTE(SUBSTITUTE(SUBSTITUTE(SUBSTITUTE(SUBSTITUTE(SUBSTITUTE(LOWER(W169&amp;""),CHAR(10),""),CHAR(13),""),CHAR(9),""),CHAR(160),"")," ",""),".",""),"-",""),"/",""),"?",""),"_",""),",",""),"[",""),"]",""),"(",""),")",""),"*","")</f>
        <v/>
      </c>
      <c r="AZ169" s="61" t="str">
        <f aca="false">SUBSTITUTE(SUBSTITUTE(SUBSTITUTE(SUBSTITUTE(SUBSTITUTE(SUBSTITUTE(SUBSTITUTE(SUBSTITUTE(SUBSTITUTE(SUBSTITUTE(SUBSTITUTE(SUBSTITUTE(SUBSTITUTE(SUBSTITUTE(SUBSTITUTE(SUBSTITUTE(LOWER(AC169&amp;""),CHAR(10),""),CHAR(13),""),CHAR(9),""),CHAR(160),"")," ",""),".",""),"-",""),"/",""),"?",""),"_",""),",",""),"[",""),"]",""),"(",""),")",""),"*","")</f>
        <v/>
      </c>
      <c r="BA169" s="61" t="str">
        <f aca="false">SUBSTITUTE(SUBSTITUTE(SUBSTITUTE(SUBSTITUTE(SUBSTITUTE(SUBSTITUTE(SUBSTITUTE(SUBSTITUTE(SUBSTITUTE(SUBSTITUTE(SUBSTITUTE(SUBSTITUTE(SUBSTITUTE(SUBSTITUTE(SUBSTITUTE(SUBSTITUTE(LOWER(AA169&amp;""),CHAR(10),""),CHAR(13),""),CHAR(9),""),CHAR(160),"")," ",""),".",""),"-",""),"/",""),"?",""),"_",""),",",""),"[",""),"]",""),"(",""),")",""),"*","")</f>
        <v/>
      </c>
      <c r="BB169" s="61" t="str">
        <f aca="false">IF(AND(TRIM(U169)="Pass",ISNUMBER(AF169)),IF(AF169&lt;&gt;0,"INVALID – qty variance: use Fail or Pass after CA",""),"")&amp;IF(AND(TRIM(U169)="Pass after CA",ISNUMBER(AF169)),IF(AF169&lt;&gt;0,"INVALID – after the corrective action the actual qty must equal expected (update Actual)",""),"")&amp;IF(AND(TRIM(U169)="Pass",TRIM(AB169)&lt;&gt;"",TRIM(AB169)&lt;&gt;"Closed"),"INVALID – corrective action not closed: use Fail, then Pass after CA","")&amp;IF(AND(LEN(BA169)&gt;=2,ISNA(MATCH(LEFT(BA169,255),L_Placeholder,0)),TRIM(AB169)=""),"INVALID – CA status missing for the recorded corrective action","")&amp;IF(AND(TRIM(U169)="Pass after CA",OR(OR(LEN(BA169)&lt;5,ISNUMBER(MATCH(BA169,L_Placeholder,0))),TRIM(AB169)&lt;&gt;"Closed")),"INVALID – corrective action not recorded/closed","")</f>
        <v/>
      </c>
      <c r="BC169" s="61" t="str">
        <f aca="false">" "&amp;TRIM(SUBSTITUTE(SUBSTITUTE(SUBSTITUTE(SUBSTITUTE(SUBSTITUTE(SUBSTITUTE(SUBSTITUTE(SUBSTITUTE(SUBSTITUTE(SUBSTITUTE(SUBSTITUTE(SUBSTITUTE(SUBSTITUTE(SUBSTITUTE(SUBSTITUTE(SUBSTITUTE(SUBSTITUTE(SUBSTITUTE(SUBSTITUTE(SUBSTITUTE(SUBSTITUTE(SUBSTITUTE(SUBSTITUTE(SUBSTITUTE(LOWER(V169&amp;""),CHAR(10)," "),CHAR(13)," "),CHAR(9)," "),CHAR(160)," "),"."," "),","," "),"-"," "),"/"," "),"("," "),")"," "),":"," "),";"," "),"_"," "),"–"," "),"?"," "),"!"," "),"*"," "),"["," "),"]"," "),"'"," "),"#"," "),"+"," "),"&amp;"," "),"\"," "))&amp;" "</f>
        <v>  </v>
      </c>
      <c r="BD169" s="61" t="str">
        <f aca="false">" "&amp;TRIM(SUBSTITUTE(SUBSTITUTE(SUBSTITUTE(SUBSTITUTE(SUBSTITUTE(SUBSTITUTE(SUBSTITUTE(SUBSTITUTE(SUBSTITUTE(SUBSTITUTE(SUBSTITUTE(SUBSTITUTE(SUBSTITUTE(SUBSTITUTE(SUBSTITUTE(SUBSTITUTE(SUBSTITUTE(SUBSTITUTE(SUBSTITUTE(SUBSTITUTE(SUBSTITUTE(SUBSTITUTE(SUBSTITUTE(SUBSTITUTE(LOWER(Z169&amp;""),CHAR(10)," "),CHAR(13)," "),CHAR(9)," "),CHAR(160)," "),"."," "),","," "),"-"," "),"/"," "),"("," "),")"," "),":"," "),";"," "),"_"," "),"–"," "),"?"," "),"!"," "),"*"," "),"["," "),"]"," "),"'"," "),"#"," "),"+"," "),"&amp;"," "),"\"," "))&amp;" "</f>
        <v>  </v>
      </c>
      <c r="BE169" s="61" t="str">
        <f aca="false">" "&amp;TRIM(SUBSTITUTE(SUBSTITUTE(SUBSTITUTE(SUBSTITUTE(SUBSTITUTE(SUBSTITUTE(SUBSTITUTE(SUBSTITUTE(SUBSTITUTE(SUBSTITUTE(SUBSTITUTE(SUBSTITUTE(SUBSTITUTE(SUBSTITUTE(SUBSTITUTE(SUBSTITUTE(SUBSTITUTE(SUBSTITUTE(SUBSTITUTE(SUBSTITUTE(SUBSTITUTE(SUBSTITUTE(SUBSTITUTE(SUBSTITUTE(LOWER(W169&amp;""),CHAR(10)," "),CHAR(13)," "),CHAR(9)," "),CHAR(160)," "),"."," "),","," "),"-"," "),"/"," "),"("," "),")"," "),":"," "),";"," "),"_"," "),"–"," "),"?"," "),"!"," "),"*"," "),"["," "),"]"," "),"'"," "),"#"," "),"+"," "),"&amp;"," "),"\"," "))&amp;" "</f>
        <v>  </v>
      </c>
      <c r="BF169" s="61" t="str">
        <f aca="false">" "&amp;TRIM(SUBSTITUTE(SUBSTITUTE(SUBSTITUTE(SUBSTITUTE(SUBSTITUTE(SUBSTITUTE(SUBSTITUTE(SUBSTITUTE(SUBSTITUTE(SUBSTITUTE(SUBSTITUTE(SUBSTITUTE(SUBSTITUTE(SUBSTITUTE(SUBSTITUTE(SUBSTITUTE(SUBSTITUTE(SUBSTITUTE(SUBSTITUTE(SUBSTITUTE(SUBSTITUTE(SUBSTITUTE(SUBSTITUTE(SUBSTITUTE(LOWER(AC169&amp;""),CHAR(10)," "),CHAR(13)," "),CHAR(9)," "),CHAR(160)," "),"."," "),","," "),"-"," "),"/"," "),"("," "),")"," "),":"," "),";"," "),"_"," "),"–"," "),"?"," "),"!"," "),"*"," "),"["," "),"]"," "),"'"," "),"#"," "),"+"," "),"&amp;"," "),"\"," "))&amp;" "</f>
        <v>  </v>
      </c>
      <c r="BG169" s="61" t="n">
        <f aca="false">IFERROR(IF(AND(TRIM(U169)="Pass",SUMPRODUCT((LEN(BC169)-LEN(SUBSTITUTE(BC169," "&amp;L_ResultBad&amp;" "," ")))/(LEN(L_ResultBad)+1))&gt;SUMPRODUCT((LEN(BC169)-LEN(SUBSTITUTE(BC169," "&amp;L_NegPhrase&amp;" "," ")))/(LEN(L_NegPhrase)+1))),1,0),0)</f>
        <v>0</v>
      </c>
      <c r="BH169" s="61" t="n">
        <f aca="false">IFERROR(IF(SUMPRODUCT((LEN(BC169)-LEN(SUBSTITUTE(BC169," "&amp;L_Pending&amp;" "," ")))/(LEN(L_Pending)+1))&gt;SUMPRODUCT((LEN(BC169)-LEN(SUBSTITUTE(BC169," "&amp;L_PendNeg&amp;" "," ")))/(LEN(L_PendNeg)+1))+SUMPRODUCT((LEN(BC169)-LEN(SUBSTITUTE(BC169," "&amp;L_PendPrep&amp;" "," ")))/(LEN(L_PendPrep)+1)),1,0),1)</f>
        <v>0</v>
      </c>
      <c r="BI169" s="61" t="n">
        <f aca="false">IFERROR(IF(SUMPRODUCT((LEN(BD169)-LEN(SUBSTITUTE(BD169," "&amp;L_PendStrict&amp;" "," ")))/(LEN(L_PendStrict)+1))&gt;SUMPRODUCT((LEN(BD169)-LEN(SUBSTITUTE(BD169," "&amp;L_PendNeg&amp;" "," ")))/(LEN(L_PendNeg)+1)),1,0),1)</f>
        <v>0</v>
      </c>
      <c r="BJ169" s="61" t="n">
        <f aca="false">IFERROR(IF(SUMPRODUCT((LEN(BE169)-LEN(SUBSTITUTE(BE169," "&amp;L_Pending&amp;" "," ")))/(LEN(L_Pending)+1))&gt;SUMPRODUCT((LEN(BE169)-LEN(SUBSTITUTE(BE169," "&amp;L_PendNeg&amp;" "," ")))/(LEN(L_PendNeg)+1))+SUMPRODUCT((LEN(BE169)-LEN(SUBSTITUTE(BE169," "&amp;L_PendPrep&amp;" "," ")))/(LEN(L_PendPrep)+1)),1,0),1)</f>
        <v>0</v>
      </c>
      <c r="BK169" s="61" t="n">
        <f aca="false">IFERROR(IF(SUMPRODUCT((LEN(BF169)-LEN(SUBSTITUTE(BF169," "&amp;L_PendStrict&amp;" "," ")))/(LEN(L_PendStrict)+1))&gt;SUMPRODUCT((LEN(BF169)-LEN(SUBSTITUTE(BF169," "&amp;L_PendNeg&amp;" "," ")))/(LEN(L_PendNeg)+1)),1,0),1)</f>
        <v>0</v>
      </c>
      <c r="BL169" s="61" t="n">
        <f aca="false">IF(ISNA(MATCH(TRIM(S169),L_EvidenceType,0)),0,BZ169)</f>
        <v>0</v>
      </c>
      <c r="BM169" s="61" t="str">
        <f aca="false">SUBSTITUTE(SUBSTITUTE(SUBSTITUTE(SUBSTITUTE(SUBSTITUTE(SUBSTITUTE(SUBSTITUTE(SUBSTITUTE(SUBSTITUTE(LOWER(Z169&amp;""),"1","0"),"2","0"),"3","0"),"4","0"),"5","0"),"6","0"),"7","0"),"8","0"),"9","0")</f>
        <v/>
      </c>
      <c r="BN169" s="61" t="str">
        <f aca="false">SUBSTITUTE(SUBSTITUTE(SUBSTITUTE(SUBSTITUTE(SUBSTITUTE(SUBSTITUTE(SUBSTITUTE(SUBSTITUTE(SUBSTITUTE(SUBSTITUTE(SUBSTITUTE(SUBSTITUTE(SUBSTITUTE(SUBSTITUTE(SUBSTITUTE(SUBSTITUTE(SUBSTITUTE(SUBSTITUTE(SUBSTITUTE(SUBSTITUTE(SUBSTITUTE(SUBSTITUTE(SUBSTITUTE(SUBSTITUTE(SUBSTITUTE(BM169,"b","a"),"c","a"),"d","a"),"e","a"),"f","a"),"g","a"),"h","a"),"i","a"),"j","a"),"k","a"),"l","a"),"m","a"),"n","a"),"o","a"),"p","a"),"q","a"),"r","a"),"s","a"),"t","a"),"u","a"),"v","a"),"w","a"),"x","a"),"y","a"),"z","a")</f>
        <v/>
      </c>
      <c r="BO169" s="61" t="str">
        <f aca="false">SUBSTITUTE(SUBSTITUTE(SUBSTITUTE(SUBSTITUTE(SUBSTITUTE(SUBSTITUTE(SUBSTITUTE(SUBSTITUTE(SUBSTITUTE(LOWER(W169&amp;""),"1","0"),"2","0"),"3","0"),"4","0"),"5","0"),"6","0"),"7","0"),"8","0"),"9","0")</f>
        <v/>
      </c>
      <c r="BP169" s="61" t="str">
        <f aca="false">SUBSTITUTE(SUBSTITUTE(SUBSTITUTE(SUBSTITUTE(SUBSTITUTE(SUBSTITUTE(SUBSTITUTE(SUBSTITUTE(SUBSTITUTE(SUBSTITUTE(SUBSTITUTE(SUBSTITUTE(SUBSTITUTE(SUBSTITUTE(SUBSTITUTE(SUBSTITUTE(SUBSTITUTE(SUBSTITUTE(SUBSTITUTE(SUBSTITUTE(SUBSTITUTE(SUBSTITUTE(SUBSTITUTE(SUBSTITUTE(SUBSTITUTE(BO169,"b","a"),"c","a"),"d","a"),"e","a"),"f","a"),"g","a"),"h","a"),"i","a"),"j","a"),"k","a"),"l","a"),"m","a"),"n","a"),"o","a"),"p","a"),"q","a"),"r","a"),"s","a"),"t","a"),"u","a"),"v","a"),"w","a"),"x","a"),"y","a"),"z","a")</f>
        <v/>
      </c>
      <c r="BQ169" s="61" t="n">
        <f aca="false">IFERROR(IF(AND(ISERROR(SEARCH(" mh"," "&amp;LOWER(W169))),ISNA(MATCH(LEFT(TRIM(BP169),255),{"0000a","000a","00a","0000aa","000aa","00aa","0aa","0000aaa","000aaa","00a00","0a00","0000-0000","00:00","a00","a0","00.00.0000","00/00/0000","00-00-0000","0000-00-00","0000/00/00","0000.00.00","00.00.00","00/00/00","00-00-00","0.00.0000","0/00/0000","0-00-0000"},0)),ISNA(MATCH(LEFT(TRIM(CA169),255),{"0000a","000a","00a","0000aa","000aa","00aa","0aa","0000aaa","000aaa","00a00","0a00","0000-0000","00:00","a00","a0","00.00.0000","00/00/0000","00-00-0000","0000-00-00","0000/00/00","0000.00.00","00.00.00","00/00/00","00-00-00","0.00.0000","0/00/0000","0-00-0000"},0)),LEN(CB169)&gt;=3,NOT(OR(SUBSTITUTE(CB169,"0","")="",AND(LEN(CB169)&gt;=4,CB169=REPT(LEFT(CB169),LEN(CB169))),ISNUMBER(MATCH(CB169,{"123","1234","12345","123456","1234567","12345678","0123","01234","012345","98765","987654","54321"},0)),AND(LEN(CB169)=8,LEFT(CB169,3)="202"))),OR(AND((LEN(CA169)-LEN(SUBSTITUTE(CA169,"a","")))&gt;=1,SUMPRODUCT(--ISNUMBER(SEARCH({"a0","a-0","a_0","a/0","a.0","a#0","0a","0-a","0_a","0/a"},BP169)))&gt;0),ISNUMBER(SEARCH("000000",BP169)))),1,0),0)</f>
        <v>0</v>
      </c>
      <c r="BR169" s="61" t="n">
        <f aca="false">IFERROR(LEN(SUBSTITUTE(CC169," ",""))-SUMPRODUCT((LEN(CC169)-LEN(SUBSTITUTE(CC169," "&amp;L_Role&amp;" "," ")))/(LEN(L_Role)+1)*LEN(L_Role)),0)</f>
        <v>0</v>
      </c>
      <c r="BS169" s="61" t="n">
        <f aca="false">IFERROR(LEN(SUBSTITUTE(CD169," ",""))-SUMPRODUCT((LEN(CD169)-LEN(SUBSTITUTE(CD169," "&amp;L_Role&amp;" "," ")))/(LEN(L_Role)+1)*LEN(L_Role)),0)</f>
        <v>0</v>
      </c>
      <c r="BT1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169,"revision",""),"version",""),"jan",""),"feb",""),"mar",""),"apr",""),"may",""),"jun",""),"jul",""),"aug",""),"sep",""),"oct",""),"nov",""),"dec",""),"utc",""),"gmt",""),"myt",""),"bst",""),"rev",""),"ver",""),"b","a"),"c","a"),"d","a"),"e","a"),"f","a"),"g","a"),"h","a"),"i","a"),"j","a"),"k","a"),"l","a"),"m","a"),"n","a"),"o","a"),"p","a"),"q","a"),"r","a"),"s","a"),"t","a"),"u","a"),"v","a"),"w","a"),"x","a"),"y","a"),"z","a")</f>
        <v/>
      </c>
      <c r="BU169" s="61" t="str">
        <f aca="false">SUBSTITUTE(SUBSTITUTE(SUBSTITUTE(SUBSTITUTE(SUBSTITUTE(SUBSTITUTE(SUBSTITUTE(SUBSTITUTE(SUBSTITUTE(SUBSTITUTE(LEFT(BM169,FIND("0",BM169&amp;"0")-1),"-",""),"_",""),"/",""),".",""),"#",""),"\\",""),":","")," ",""),"(",""),")","")</f>
        <v/>
      </c>
      <c r="BV169" s="61" t="n">
        <f aca="false">0</f>
        <v>0</v>
      </c>
      <c r="BW1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169&amp;""),"a",""),"b",""),"c",""),"d",""),"e",""),"f",""),"g",""),"h",""),"i",""),"j",""),"k",""),"l",""),"m",""),"n",""),"o",""),"p",""),"q",""),"r",""),"s",""),"t",""),"u",""),"v",""),"w",""),"x",""),"y",""),"z",""),"-",""),"_",""),"/",""),".",""),"#",""),"\\",""),":","")," ",""),"(",""),")","")</f>
        <v/>
      </c>
      <c r="BX169" s="61" t="str">
        <f aca="false">SUBSTITUTE(SUBSTITUTE(SUBSTITUTE(SUBSTITUTE(SUBSTITUTE(SUBSTITUTE(SUBSTITUTE(SUBSTITUTE(SUBSTITUTE(SUBSTITUTE(SUBSTITUTE(BM169,"0",""),"-",""),"_",""),"/",""),".",""),"#",""),"\\",""),":","")," ",""),"(",""),")","")</f>
        <v/>
      </c>
      <c r="BY169" s="62" t="n">
        <f aca="false">Q169-T7EarlyD*24/24</f>
        <v>46289.6388888889</v>
      </c>
      <c r="BZ169" s="61" t="n">
        <f aca="false">IFERROR(IF(IF(TRIM(S169)="Link / file path",AND(LEN(TRIM(Z169))&gt;=5,SUMPRODUCT(--ISNUMBER(SEARCH({"http","www.","\\",":\",".pdf",".jpg",".jpeg",".png",".heic",".xls",".doc",".msg",".eml",".ppt",".txt",".zip"},Z169)))&gt;0),AND(ISERROR(FIND(" ",TRIM(Z169))),NOT(OR(SUMPRODUCT(--ISNUMBER(FIND({",",";","&amp;","+"},Z169)))&gt;0,SUMPRODUCT(--ISNUMBER(SEARCH({"0/aa","0\\aa"},BN169)))&gt;0)),NOT(SUMPRODUCT(--ISNUMBER(SEARCH({"http","www.","\\",":\",".pdf",".jpg",".jpeg",".png",".heic",".xls",".doc",".msg",".eml",".ppt",".txt",".zip"},Z169)))&gt;0),NOT(LOWER(TRIM(Z169))=LOWER(Flights!$F$10)),ISNA(MATCH(BU169,{"mh","rev","revision","ver","version","v","r","a","b","seat","tray","row","gate","bay","stand","page","pg","item","line","no","cart","galley","flight","flt","table","box","bag","oven","etd","eta","std","sta","atd","ata","qty","pax","x","time","tel","ph","mob","day","wk","week","utc","gmt","myt","lt"},0)),NOT(OR(ISNUMBER(MATCH(LEFT(BN169,255),{"0000a","000a","00a","0000aa","000aa","00aa","0aa","0000aaa","000aaa","00a00","0a00","0000-0000","00:00","a00","a0","00.00.0000","00/00/0000","00-00-0000","0000-00-00","0000/00/00","0000.00.00","00.00.00","00/00/00","00-00-00","0.00.0000","0/00/0000","0-00-0000"},0)),ISNUMBER(MATCH(LEFT(BT169,255),{"0000a","000a","00a","0000aa","000aa","00aa","0aa","0000aaa","000aaa","00a00","0a00","0000-0000","00:00","a00","a0","00.00.0000","00/00/0000","00-00-0000","0000-00-00","0000/00/00","0000.00.00","00.00.00","00/00/00","00-00-00","0.00.0000","0/00/0000","0-00-0000"},0)))),NOT(OR(AND(BW169&lt;&gt;"",SUBSTITUTE(BW169,"0","")=""),AND(LEN(BW169)&gt;=4,BW169=REPT(LEFT(BW169),LEN(BW169))),ISNUMBER(MATCH(BW169,{"123","1234","12345","123456","1234567","12345678","0123","01234","012345","98765","987654","54321"},0)),ISNUMBER(MATCH(BX169,{"x","xx","xxx","xxxx","xxxxx","abc","abcd","nil","na","nan","test","tbc","tba","tbd","dummy","sample","example","eg","zz","zzz","none","null","xyz","qwe","asd","id","ref"},0)),AND(LEN(BW169)=8,BX169="",OR(LEFT(BW169,3)="202",ISNUMBER(MATCH(RIGHT(BW169,4),{"2025","2026","2027"},0)))))),OR(AND((LEN(BT169)-LEN(SUBSTITUTE(BT169,"a","")))&gt;=1,(LEN(BN169)-LEN(SUBSTITUTE(BN169,"0","")))&gt;=2,SUMPRODUCT(--ISNUMBER(SEARCH({"a0","a-0","a_0","a/0","a.0","a#0","0a","0-a","0_a","0/a"},BN169)))&gt;0),AND((LEN(BN169)-LEN(SUBSTITUTE(BN169,"a","")))=0,(LEN(BN169)-LEN(SUBSTITUTE(BN169,"0","")))&gt;=5)))),1,0),0)</f>
        <v>0</v>
      </c>
      <c r="CA1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169,"revision",""),"version",""),"jan",""),"feb",""),"mar",""),"apr",""),"may",""),"jun",""),"jul",""),"aug",""),"sep",""),"oct",""),"nov",""),"dec",""),"utc",""),"gmt",""),"myt",""),"bst",""),"rev",""),"ver",""),"b","a"),"c","a"),"d","a"),"e","a"),"f","a"),"g","a"),"h","a"),"i","a"),"j","a"),"k","a"),"l","a"),"m","a"),"n","a"),"o","a"),"p","a"),"q","a"),"r","a"),"s","a"),"t","a"),"u","a"),"v","a"),"w","a"),"x","a"),"y","a"),"z","a")</f>
        <v/>
      </c>
      <c r="CB1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169&amp;""),"a",""),"b",""),"c",""),"d",""),"e",""),"f",""),"g",""),"h",""),"i",""),"j",""),"k",""),"l",""),"m",""),"n",""),"o",""),"p",""),"q",""),"r",""),"s",""),"t",""),"u",""),"v",""),"w",""),"x",""),"y",""),"z",""),"-",""),"_",""),"/",""),".",""),"#",""),"\\",""),":","")," ",""),"(",""),")","")</f>
        <v/>
      </c>
      <c r="CC169" s="0" t="str">
        <f aca="false">" "&amp;TRIM(SUBSTITUTE(SUBSTITUTE(SUBSTITUTE(SUBSTITUTE(SUBSTITUTE(SUBSTITUTE(SUBSTITUTE(SUBSTITUTE(SUBSTITUTE(SUBSTITUTE(SUBSTITUTE(SUBSTITUTE(SUBSTITUTE(SUBSTITUTE(SUBSTITUTE(SUBSTITUTE(SUBSTITUTE(SUBSTITUTE(SUBSTITUTE(SUBSTITUTE(SUBSTITUTE(SUBSTITUTE(SUBSTITUTE(SUBSTITUTE(LOWER(T169&amp;""),CHAR(10)," "),CHAR(13)," "),CHAR(9)," "),CHAR(160)," "),"."," "),","," "),"-"," "),"/"," "),"("," "),")"," "),":"," "),";"," "),"_"," "),"–"," "),"?"," "),"!"," "),"*"," "),"["," "),"]"," "),"'"," "),"#"," "),"+"," "),"&amp;"," "),"\"," "))&amp;" "</f>
        <v>  </v>
      </c>
      <c r="CD169" s="0" t="str">
        <f aca="false">" "&amp;TRIM(SUBSTITUTE(SUBSTITUTE(SUBSTITUTE(SUBSTITUTE(SUBSTITUTE(SUBSTITUTE(SUBSTITUTE(SUBSTITUTE(SUBSTITUTE(SUBSTITUTE(SUBSTITUTE(SUBSTITUTE(SUBSTITUTE(SUBSTITUTE(SUBSTITUTE(SUBSTITUTE(SUBSTITUTE(SUBSTITUTE(SUBSTITUTE(SUBSTITUTE(SUBSTITUTE(SUBSTITUTE(SUBSTITUTE(SUBSTITUTE(LOWER(AE169&amp;""),CHAR(10)," "),CHAR(13)," "),CHAR(9)," "),CHAR(160)," "),"."," "),","," "),"-"," "),"/"," "),"("," "),")"," "),":"," "),";"," "),"_"," "),"–"," "),"?"," "),"!"," "),"*"," "),"["," "),"]"," "),"'"," "),"#"," "),"+"," "),"&amp;"," "),"\"," "))&amp;" "</f>
        <v>  </v>
      </c>
      <c r="CE169" s="68" t="n">
        <f aca="false">IFERROR(IF(AND(LEN(AU169)&gt;0,LEN(AU169)=LEN(AX169),OR(TRIM(MID(SUBSTITUTE(TRIM(CC169)," ",REPT(" ",60)),1,60))="",ISNUMBER(SEARCH(" "&amp;TRIM(MID(SUBSTITUTE(TRIM(CC169)," ",REPT(" ",60)),1,60))&amp;" ",CD169))),OR(TRIM(MID(SUBSTITUTE(TRIM(CC169)," ",REPT(" ",60)),61,60))="",ISNUMBER(SEARCH(" "&amp;TRIM(MID(SUBSTITUTE(TRIM(CC169)," ",REPT(" ",60)),61,60))&amp;" ",CD169))),OR(TRIM(MID(SUBSTITUTE(TRIM(CC169)," ",REPT(" ",60)),121,60))="",ISNUMBER(SEARCH(" "&amp;TRIM(MID(SUBSTITUTE(TRIM(CC169)," ",REPT(" ",60)),121,60))&amp;" ",CD169)))),1,0),0)</f>
        <v>0</v>
      </c>
      <c r="CG169" s="68" t="n">
        <f aca="false">IFERROR(LEN(SUBSTITUTE(BF169," ",""))-SUMPRODUCT((LEN(BF169)-LEN(SUBSTITUTE(BF169," "&amp;L_NAFiller&amp;" "," ")))/(LEN(L_NAFiller)+1)*LEN(L_NAFiller)),0)</f>
        <v>0</v>
      </c>
    </row>
    <row r="170" customFormat="false" ht="39.75" hidden="false" customHeight="true" outlineLevel="0" collapsed="false">
      <c r="A170" s="57" t="s">
        <v>711</v>
      </c>
      <c r="B170" s="57" t="s">
        <v>231</v>
      </c>
      <c r="C170" s="57" t="str">
        <f aca="false">Flights!$F$10</f>
        <v>MH0002</v>
      </c>
      <c r="D170" s="58" t="n">
        <f aca="false">Flights!$D$10</f>
        <v>46310</v>
      </c>
      <c r="E170" s="57" t="str">
        <f aca="false">Flights!$G$10&amp;"-"&amp;Flights!$H$10</f>
        <v>KUL-LHR</v>
      </c>
      <c r="F170" s="57" t="str">
        <f aca="false">Flights!$K$10</f>
        <v>BC</v>
      </c>
      <c r="G170" s="57" t="s">
        <v>81</v>
      </c>
      <c r="H170" s="57" t="s">
        <v>378</v>
      </c>
      <c r="I170" s="57" t="s">
        <v>398</v>
      </c>
      <c r="J170" s="57" t="s">
        <v>399</v>
      </c>
      <c r="K170" s="67" t="s">
        <v>400</v>
      </c>
      <c r="L170" s="67" t="s">
        <v>382</v>
      </c>
      <c r="M170" s="67"/>
      <c r="N170" s="67" t="s">
        <v>383</v>
      </c>
      <c r="O170" s="67"/>
      <c r="P170" s="57" t="s">
        <v>187</v>
      </c>
      <c r="Q170" s="59" t="n">
        <f aca="false">ROUND((Flights!$AC$10)*1440,0)/1440</f>
        <v>46303.6388888889</v>
      </c>
      <c r="R170" s="59" t="n">
        <f aca="false">Q170+(IF(AND(INDEX(TZ_DSTS,MATCH(P170,TZ_STN,0))&lt;&gt;"",Q170&gt;=INDEX(TZ_DSTS,MATCH(P170,TZ_STN,0)),Q170&lt;INDEX(TZ_DSTE,MATCH(P170,TZ_STN,0))),INDEX(TZ_DST,MATCH(P170,TZ_STN,0)),INDEX(TZ_STD,MATCH(P170,TZ_STN,0))))/24</f>
        <v>46303.9722222222</v>
      </c>
      <c r="S170" s="60"/>
      <c r="T170" s="60"/>
      <c r="U170" s="60"/>
      <c r="V170" s="60"/>
      <c r="W170" s="61"/>
      <c r="X170" s="60"/>
      <c r="Y170" s="60"/>
      <c r="Z170" s="60"/>
      <c r="AA170" s="60"/>
      <c r="AB170" s="60"/>
      <c r="AC170" s="60"/>
      <c r="AD170" s="66"/>
      <c r="AE170" s="60"/>
      <c r="AF170" s="61" t="str">
        <f aca="false">IF(AND(ISNUMBER(X170),ISNUMBER(Y170)),Y170-X170,"")</f>
        <v/>
      </c>
      <c r="AG170" s="62" t="str">
        <f aca="false">IF(ISNUMBER(AD170),AD170-(IF(AND(INDEX(TZ_DSTS,MATCH(P170,TZ_STN,0))&lt;&gt;"",(AD170-INDEX(TZ_STD,MATCH(P170,TZ_STN,0))/24)&gt;=INDEX(TZ_DSTS,MATCH(P170,TZ_STN,0)),(AD170-INDEX(TZ_STD,MATCH(P170,TZ_STN,0))/24)&lt;INDEX(TZ_DSTE,MATCH(P170,TZ_STN,0))),INDEX(TZ_DST,MATCH(P170,TZ_STN,0)),INDEX(TZ_STD,MATCH(P170,TZ_STN,0))))/24,"")</f>
        <v/>
      </c>
      <c r="AH170" s="65" t="str">
        <f aca="false">IFERROR(IF(N170="N/A – rule",IF(OR(TRIM(U170)="",TRIM(U170)="N/A",TRIM(U170)="Not started"),"N/A – RULE","INVALID – this check does not apply to this aircraft: clear the status (or correct the fleet on Flights)"),IF(TRIM(U170)="N/A",IF(AT170=0,"INVALID – N/A not permitted for this check",IF(AND(TRIM(AB170)&lt;&gt;"",TRIM(AB170)&lt;&gt;"Closed"),"INVALID – corrective action still open",IF(AND(NOT(OR(LEN(AZ170)&lt;15,ISNUMBER(MATCH(AZ170,L_Placeholder,0)))),BK170=0,CG170&gt;=8,NOT(OR(LEN(AU170)&lt;2,ISNUMBER(MATCH(AU170,L_Placeholder,0)))),BR170&gt;=3,NOT(OR(LEN(AX170)&lt;2,ISNUMBER(MATCH(AX170,L_Placeholder,0)))),BS170&gt;=3,TRIM(AE170)&lt;&gt;TRIM(T170),AX170&lt;&gt;AU170,CE170=0),"N/A – JUSTIFIED","INVALID – N/A needs a real, settled reason (not 'not applicable' / 'as above' / TBC), a named PIC and a different named verifier"))),IF(OR(TRIM(U170)="Pass",TRIM(U170)="Pass after CA"),IF(NOT(ISNUMBER(AD170)),"INVALID – completion time missing",IF(OR(OR(LEN(AU170)&lt;2,ISNUMBER(MATCH(AU170,L_Placeholder,0))),BR170&lt;3),"INVALID – PIC missing or not a named person (a role such as QA / CSM is not a name)",IF(OR(LEN(AV170)&lt;2,ISNUMBER(MATCH(AV170,L_Placeholder,0))),"INVALID – result / assessment missing",IF(OR(OR(LEN(AW170)&lt;3,ISNUMBER(MATCH(AW170,L_Placeholder,0))),SUMPRODUCT(--ISNUMBER(SEARCH(" "&amp;L_EvidencePhrase&amp;" ",BD170)))&gt;0,BI170=1),"INVALID – evidence missing, placeholder or not yet on file",IF(ISNA(MATCH(TRIM(S170),L_EvidenceType,0)),"INVALID – choose the evidence type from the list (column S)",IF(BL170=0,"INVALID – evidence ID must be the record's own ID only (e.g. SF-2210, IMG_2231, 1045521); a link / file name needs type 'Link / file path'",IF(OR(OR(LEN(AX170)&lt;2,ISNUMBER(MATCH(AX170,L_Placeholder,0))),BS170&lt;3),"INVALID – verifier missing or not a named person (a role such as QA / CSM is not a name)",IF(OR(AX170=AU170,CE170=1,AND(LEN(AU170)&gt;=4,ISNUMBER(SEARCH(AU170,AX170))),AND(LEN(AX170)&gt;=4,ISNUMBER(SEARCH(AX170,AU170)))),"INVALID – verifier must be a different, named person (not the PIC or a role)",IF(BH170=1,"INVALID – result not yet available (awaiting / TBC)",IF(BG170=1,"INVALID – result describes a problem: record Fail, then Pass after CA (or reword if it is not a problem)",IF(BV170=1,"INVALID – wording says not on board: an on-board confirmation needs the item loaded",IF(AND(AQ170=1,OR(OR(LEN(AY170)&lt;3,ISNUMBER(MATCH(AY170,L_Placeholder,0))),BJ170=1,BQ170=0)),"INVALID – batch ID missing, placeholder or not an ID (e.g. PASB-261008-BC-017)",IF(AND(AR170=1,OR(NOT(ISNUMBER(X170)),NOT(ISNUMBER(Y170)))),"INVALID – expected/actual qty missing",IF(AND(AR170=1,OR(X170&lt;=0,Y170&lt;0)),"INVALID – expected qty must be above 0 and actual not negative",IF(BB170&lt;&gt;"",BB170,IF(AND(AS170=1,Documents!$J$10&lt;&gt;"ON FILE"),"INVALID – GLD not on file (Documents sheet)",IF(AND(AS170=2,Documents!$O$10&lt;&gt;"ON FILE"),"INVALID – menu checklist not on file (Documents sheet)",IF(AND(AS170=3,NOT(ISNUMBER(Flights!$AX$10))),"INVALID – enter carrying flight KUL departure (Flights AX)",IF(AND(AS170=3,OR(Flights!$AZ$10&gt;Flights!$AA$10,Flights!$AX$10&lt;Flights!$AA$10-3)),"INVALID – carrying flight (Flights AX) cannot arrive before this leg's STD, or is over 3 days early",IF(AG170&gt;AsOfUTC,"INVALID – completion time is in the future",IF(AND(ISNUMBER(BY170),AG170&lt;BY170),IF(H170="Physical uplift","INVALID – before uplift window (cannot confirm loading)","INVALID – before valid window"),IF(AG170&gt;Flights!$AA$10,"INVALID – completed after departure (cannot establish readiness)",IF(AND(H170="Preparation",AG170&gt;=IF(ISNUMBER(Flights!$BA$10),MIN(Flights!$BA$10,Flights!$AA$10),Flights!$AA$10)),"INVALID – completed after loading / departure (cannot establish readiness)",IF(AND(H170="Physical uplift",AG170&gt;Q170),"INVALID – recorded after the loading flight departed",IF(AG170&gt;Q170,"COMPLETE – LATE","COMPLETE"))))))))))))))))))))))))),IF(TRIM(U170)="Fail","FAIL – DISCREPANCY",IF(AND(TRIM(U170)&lt;&gt;"",TRIM(U170)&lt;&gt;"Not started",TRIM(U170)&lt;&gt;"In progress"),"INVALID – unrecognised status (use the list)",IF(AsOfUTC&gt;Q170,"OVERDUE",IF(N170="Clarification required","OPEN – CLARIFICATION","OPEN"))))))),"INVALID – error value in an input cell")</f>
        <v>OPEN</v>
      </c>
      <c r="AI170" s="61" t="n">
        <f aca="false">IF(OR(AH170="N/A – RULE",AH170="N/A – JUSTIFIED"),0,1)</f>
        <v>1</v>
      </c>
      <c r="AJ170" s="61" t="n">
        <f aca="false">IF(LEFT(AH170,8)="COMPLETE",1,0)</f>
        <v>0</v>
      </c>
      <c r="AK170" s="61" t="n">
        <f aca="false">IF(AND(AI170=1,AJ170=0,AsOfUTC&gt;Q170),1,0)</f>
        <v>0</v>
      </c>
      <c r="AL170" s="61" t="n">
        <f aca="false">IFERROR(IF(AND(AI170=1,OR(TRIM(U170)="Fail",AND(TRIM(AB170)&lt;&gt;"",TRIM(AB170)&lt;&gt;"Closed"),AND(ISNUMBER(AF170),AF170&lt;&gt;0,TRIM(U170)&lt;&gt;"Pass after CA"))),1,0),1)</f>
        <v>0</v>
      </c>
      <c r="AM170" s="61" t="n">
        <f aca="false">IF(LEFT(AH170,7)="INVALID",1,0)</f>
        <v>0</v>
      </c>
      <c r="AN170" s="61" t="n">
        <f aca="false">IF(AND(N170="Clarification required",AI170=1,AJ170=0),1,0)</f>
        <v>0</v>
      </c>
      <c r="AO170" s="61" t="str">
        <f aca="false">IF(AK170=1,SUM(AK$5:AK170),"")</f>
        <v/>
      </c>
      <c r="AP170" s="61" t="str">
        <f aca="false">IF(AL170=1,SUM(AL$5:AL170),"")</f>
        <v/>
      </c>
      <c r="AQ170" s="61" t="n">
        <v>0</v>
      </c>
      <c r="AR170" s="61" t="n">
        <v>0</v>
      </c>
      <c r="AS170" s="61" t="n">
        <v>0</v>
      </c>
      <c r="AT170" s="61" t="n">
        <v>0</v>
      </c>
      <c r="AU170" s="61" t="str">
        <f aca="false">SUBSTITUTE(SUBSTITUTE(SUBSTITUTE(SUBSTITUTE(SUBSTITUTE(SUBSTITUTE(SUBSTITUTE(SUBSTITUTE(SUBSTITUTE(SUBSTITUTE(SUBSTITUTE(SUBSTITUTE(SUBSTITUTE(SUBSTITUTE(SUBSTITUTE(SUBSTITUTE(LOWER(T170&amp;""),CHAR(10),""),CHAR(13),""),CHAR(9),""),CHAR(160),"")," ",""),".",""),"-",""),"/",""),"?",""),"_",""),",",""),"[",""),"]",""),"(",""),")",""),"*","")</f>
        <v/>
      </c>
      <c r="AV170" s="61" t="str">
        <f aca="false">SUBSTITUTE(SUBSTITUTE(SUBSTITUTE(SUBSTITUTE(SUBSTITUTE(SUBSTITUTE(SUBSTITUTE(SUBSTITUTE(SUBSTITUTE(SUBSTITUTE(SUBSTITUTE(SUBSTITUTE(SUBSTITUTE(SUBSTITUTE(SUBSTITUTE(SUBSTITUTE(LOWER(V170&amp;""),CHAR(10),""),CHAR(13),""),CHAR(9),""),CHAR(160),"")," ",""),".",""),"-",""),"/",""),"?",""),"_",""),",",""),"[",""),"]",""),"(",""),")",""),"*","")</f>
        <v/>
      </c>
      <c r="AW170" s="61" t="str">
        <f aca="false">SUBSTITUTE(SUBSTITUTE(SUBSTITUTE(SUBSTITUTE(SUBSTITUTE(SUBSTITUTE(SUBSTITUTE(SUBSTITUTE(SUBSTITUTE(SUBSTITUTE(SUBSTITUTE(SUBSTITUTE(SUBSTITUTE(SUBSTITUTE(SUBSTITUTE(SUBSTITUTE(LOWER(Z170&amp;""),CHAR(10),""),CHAR(13),""),CHAR(9),""),CHAR(160),"")," ",""),".",""),"-",""),"/",""),"?",""),"_",""),",",""),"[",""),"]",""),"(",""),")",""),"*","")</f>
        <v/>
      </c>
      <c r="AX170" s="61" t="str">
        <f aca="false">SUBSTITUTE(SUBSTITUTE(SUBSTITUTE(SUBSTITUTE(SUBSTITUTE(SUBSTITUTE(SUBSTITUTE(SUBSTITUTE(SUBSTITUTE(SUBSTITUTE(SUBSTITUTE(SUBSTITUTE(SUBSTITUTE(SUBSTITUTE(SUBSTITUTE(SUBSTITUTE(LOWER(AE170&amp;""),CHAR(10),""),CHAR(13),""),CHAR(9),""),CHAR(160),"")," ",""),".",""),"-",""),"/",""),"?",""),"_",""),",",""),"[",""),"]",""),"(",""),")",""),"*","")</f>
        <v/>
      </c>
      <c r="AY170" s="61" t="str">
        <f aca="false">SUBSTITUTE(SUBSTITUTE(SUBSTITUTE(SUBSTITUTE(SUBSTITUTE(SUBSTITUTE(SUBSTITUTE(SUBSTITUTE(SUBSTITUTE(SUBSTITUTE(SUBSTITUTE(SUBSTITUTE(SUBSTITUTE(SUBSTITUTE(SUBSTITUTE(SUBSTITUTE(LOWER(W170&amp;""),CHAR(10),""),CHAR(13),""),CHAR(9),""),CHAR(160),"")," ",""),".",""),"-",""),"/",""),"?",""),"_",""),",",""),"[",""),"]",""),"(",""),")",""),"*","")</f>
        <v/>
      </c>
      <c r="AZ170" s="61" t="str">
        <f aca="false">SUBSTITUTE(SUBSTITUTE(SUBSTITUTE(SUBSTITUTE(SUBSTITUTE(SUBSTITUTE(SUBSTITUTE(SUBSTITUTE(SUBSTITUTE(SUBSTITUTE(SUBSTITUTE(SUBSTITUTE(SUBSTITUTE(SUBSTITUTE(SUBSTITUTE(SUBSTITUTE(LOWER(AC170&amp;""),CHAR(10),""),CHAR(13),""),CHAR(9),""),CHAR(160),"")," ",""),".",""),"-",""),"/",""),"?",""),"_",""),",",""),"[",""),"]",""),"(",""),")",""),"*","")</f>
        <v/>
      </c>
      <c r="BA170" s="61" t="str">
        <f aca="false">SUBSTITUTE(SUBSTITUTE(SUBSTITUTE(SUBSTITUTE(SUBSTITUTE(SUBSTITUTE(SUBSTITUTE(SUBSTITUTE(SUBSTITUTE(SUBSTITUTE(SUBSTITUTE(SUBSTITUTE(SUBSTITUTE(SUBSTITUTE(SUBSTITUTE(SUBSTITUTE(LOWER(AA170&amp;""),CHAR(10),""),CHAR(13),""),CHAR(9),""),CHAR(160),"")," ",""),".",""),"-",""),"/",""),"?",""),"_",""),",",""),"[",""),"]",""),"(",""),")",""),"*","")</f>
        <v/>
      </c>
      <c r="BB170" s="61" t="str">
        <f aca="false">IF(AND(TRIM(U170)="Pass",ISNUMBER(AF170)),IF(AF170&lt;&gt;0,"INVALID – qty variance: use Fail or Pass after CA",""),"")&amp;IF(AND(TRIM(U170)="Pass after CA",ISNUMBER(AF170)),IF(AF170&lt;&gt;0,"INVALID – after the corrective action the actual qty must equal expected (update Actual)",""),"")&amp;IF(AND(TRIM(U170)="Pass",TRIM(AB170)&lt;&gt;"",TRIM(AB170)&lt;&gt;"Closed"),"INVALID – corrective action not closed: use Fail, then Pass after CA","")&amp;IF(AND(LEN(BA170)&gt;=2,ISNA(MATCH(LEFT(BA170,255),L_Placeholder,0)),TRIM(AB170)=""),"INVALID – CA status missing for the recorded corrective action","")&amp;IF(AND(TRIM(U170)="Pass after CA",OR(OR(LEN(BA170)&lt;5,ISNUMBER(MATCH(BA170,L_Placeholder,0))),TRIM(AB170)&lt;&gt;"Closed")),"INVALID – corrective action not recorded/closed","")</f>
        <v/>
      </c>
      <c r="BC170" s="61" t="str">
        <f aca="false">" "&amp;TRIM(SUBSTITUTE(SUBSTITUTE(SUBSTITUTE(SUBSTITUTE(SUBSTITUTE(SUBSTITUTE(SUBSTITUTE(SUBSTITUTE(SUBSTITUTE(SUBSTITUTE(SUBSTITUTE(SUBSTITUTE(SUBSTITUTE(SUBSTITUTE(SUBSTITUTE(SUBSTITUTE(SUBSTITUTE(SUBSTITUTE(SUBSTITUTE(SUBSTITUTE(SUBSTITUTE(SUBSTITUTE(SUBSTITUTE(SUBSTITUTE(LOWER(V170&amp;""),CHAR(10)," "),CHAR(13)," "),CHAR(9)," "),CHAR(160)," "),"."," "),","," "),"-"," "),"/"," "),"("," "),")"," "),":"," "),";"," "),"_"," "),"–"," "),"?"," "),"!"," "),"*"," "),"["," "),"]"," "),"'"," "),"#"," "),"+"," "),"&amp;"," "),"\"," "))&amp;" "</f>
        <v>  </v>
      </c>
      <c r="BD170" s="61" t="str">
        <f aca="false">" "&amp;TRIM(SUBSTITUTE(SUBSTITUTE(SUBSTITUTE(SUBSTITUTE(SUBSTITUTE(SUBSTITUTE(SUBSTITUTE(SUBSTITUTE(SUBSTITUTE(SUBSTITUTE(SUBSTITUTE(SUBSTITUTE(SUBSTITUTE(SUBSTITUTE(SUBSTITUTE(SUBSTITUTE(SUBSTITUTE(SUBSTITUTE(SUBSTITUTE(SUBSTITUTE(SUBSTITUTE(SUBSTITUTE(SUBSTITUTE(SUBSTITUTE(LOWER(Z170&amp;""),CHAR(10)," "),CHAR(13)," "),CHAR(9)," "),CHAR(160)," "),"."," "),","," "),"-"," "),"/"," "),"("," "),")"," "),":"," "),";"," "),"_"," "),"–"," "),"?"," "),"!"," "),"*"," "),"["," "),"]"," "),"'"," "),"#"," "),"+"," "),"&amp;"," "),"\"," "))&amp;" "</f>
        <v>  </v>
      </c>
      <c r="BE170" s="61" t="str">
        <f aca="false">" "&amp;TRIM(SUBSTITUTE(SUBSTITUTE(SUBSTITUTE(SUBSTITUTE(SUBSTITUTE(SUBSTITUTE(SUBSTITUTE(SUBSTITUTE(SUBSTITUTE(SUBSTITUTE(SUBSTITUTE(SUBSTITUTE(SUBSTITUTE(SUBSTITUTE(SUBSTITUTE(SUBSTITUTE(SUBSTITUTE(SUBSTITUTE(SUBSTITUTE(SUBSTITUTE(SUBSTITUTE(SUBSTITUTE(SUBSTITUTE(SUBSTITUTE(LOWER(W170&amp;""),CHAR(10)," "),CHAR(13)," "),CHAR(9)," "),CHAR(160)," "),"."," "),","," "),"-"," "),"/"," "),"("," "),")"," "),":"," "),";"," "),"_"," "),"–"," "),"?"," "),"!"," "),"*"," "),"["," "),"]"," "),"'"," "),"#"," "),"+"," "),"&amp;"," "),"\"," "))&amp;" "</f>
        <v>  </v>
      </c>
      <c r="BF170" s="61" t="str">
        <f aca="false">" "&amp;TRIM(SUBSTITUTE(SUBSTITUTE(SUBSTITUTE(SUBSTITUTE(SUBSTITUTE(SUBSTITUTE(SUBSTITUTE(SUBSTITUTE(SUBSTITUTE(SUBSTITUTE(SUBSTITUTE(SUBSTITUTE(SUBSTITUTE(SUBSTITUTE(SUBSTITUTE(SUBSTITUTE(SUBSTITUTE(SUBSTITUTE(SUBSTITUTE(SUBSTITUTE(SUBSTITUTE(SUBSTITUTE(SUBSTITUTE(SUBSTITUTE(LOWER(AC170&amp;""),CHAR(10)," "),CHAR(13)," "),CHAR(9)," "),CHAR(160)," "),"."," "),","," "),"-"," "),"/"," "),"("," "),")"," "),":"," "),";"," "),"_"," "),"–"," "),"?"," "),"!"," "),"*"," "),"["," "),"]"," "),"'"," "),"#"," "),"+"," "),"&amp;"," "),"\"," "))&amp;" "</f>
        <v>  </v>
      </c>
      <c r="BG170" s="61" t="n">
        <f aca="false">IFERROR(IF(AND(TRIM(U170)="Pass",SUMPRODUCT((LEN(BC170)-LEN(SUBSTITUTE(BC170," "&amp;L_ResultBad&amp;" "," ")))/(LEN(L_ResultBad)+1))&gt;SUMPRODUCT((LEN(BC170)-LEN(SUBSTITUTE(BC170," "&amp;L_NegPhrase&amp;" "," ")))/(LEN(L_NegPhrase)+1))),1,0),0)</f>
        <v>0</v>
      </c>
      <c r="BH170" s="61" t="n">
        <f aca="false">IFERROR(IF(SUMPRODUCT((LEN(BC170)-LEN(SUBSTITUTE(BC170," "&amp;L_Pending&amp;" "," ")))/(LEN(L_Pending)+1))&gt;SUMPRODUCT((LEN(BC170)-LEN(SUBSTITUTE(BC170," "&amp;L_PendNeg&amp;" "," ")))/(LEN(L_PendNeg)+1))+SUMPRODUCT((LEN(BC170)-LEN(SUBSTITUTE(BC170," "&amp;L_PendPrep&amp;" "," ")))/(LEN(L_PendPrep)+1)),1,0),1)</f>
        <v>0</v>
      </c>
      <c r="BI170" s="61" t="n">
        <f aca="false">IFERROR(IF(SUMPRODUCT((LEN(BD170)-LEN(SUBSTITUTE(BD170," "&amp;L_PendStrict&amp;" "," ")))/(LEN(L_PendStrict)+1))&gt;SUMPRODUCT((LEN(BD170)-LEN(SUBSTITUTE(BD170," "&amp;L_PendNeg&amp;" "," ")))/(LEN(L_PendNeg)+1)),1,0),1)</f>
        <v>0</v>
      </c>
      <c r="BJ170" s="61" t="n">
        <f aca="false">IFERROR(IF(SUMPRODUCT((LEN(BE170)-LEN(SUBSTITUTE(BE170," "&amp;L_Pending&amp;" "," ")))/(LEN(L_Pending)+1))&gt;SUMPRODUCT((LEN(BE170)-LEN(SUBSTITUTE(BE170," "&amp;L_PendNeg&amp;" "," ")))/(LEN(L_PendNeg)+1))+SUMPRODUCT((LEN(BE170)-LEN(SUBSTITUTE(BE170," "&amp;L_PendPrep&amp;" "," ")))/(LEN(L_PendPrep)+1)),1,0),1)</f>
        <v>0</v>
      </c>
      <c r="BK170" s="61" t="n">
        <f aca="false">IFERROR(IF(SUMPRODUCT((LEN(BF170)-LEN(SUBSTITUTE(BF170," "&amp;L_PendStrict&amp;" "," ")))/(LEN(L_PendStrict)+1))&gt;SUMPRODUCT((LEN(BF170)-LEN(SUBSTITUTE(BF170," "&amp;L_PendNeg&amp;" "," ")))/(LEN(L_PendNeg)+1)),1,0),1)</f>
        <v>0</v>
      </c>
      <c r="BL170" s="61" t="n">
        <f aca="false">IF(ISNA(MATCH(TRIM(S170),L_EvidenceType,0)),0,BZ170)</f>
        <v>0</v>
      </c>
      <c r="BM170" s="61" t="str">
        <f aca="false">SUBSTITUTE(SUBSTITUTE(SUBSTITUTE(SUBSTITUTE(SUBSTITUTE(SUBSTITUTE(SUBSTITUTE(SUBSTITUTE(SUBSTITUTE(LOWER(Z170&amp;""),"1","0"),"2","0"),"3","0"),"4","0"),"5","0"),"6","0"),"7","0"),"8","0"),"9","0")</f>
        <v/>
      </c>
      <c r="BN170" s="61" t="str">
        <f aca="false">SUBSTITUTE(SUBSTITUTE(SUBSTITUTE(SUBSTITUTE(SUBSTITUTE(SUBSTITUTE(SUBSTITUTE(SUBSTITUTE(SUBSTITUTE(SUBSTITUTE(SUBSTITUTE(SUBSTITUTE(SUBSTITUTE(SUBSTITUTE(SUBSTITUTE(SUBSTITUTE(SUBSTITUTE(SUBSTITUTE(SUBSTITUTE(SUBSTITUTE(SUBSTITUTE(SUBSTITUTE(SUBSTITUTE(SUBSTITUTE(SUBSTITUTE(BM170,"b","a"),"c","a"),"d","a"),"e","a"),"f","a"),"g","a"),"h","a"),"i","a"),"j","a"),"k","a"),"l","a"),"m","a"),"n","a"),"o","a"),"p","a"),"q","a"),"r","a"),"s","a"),"t","a"),"u","a"),"v","a"),"w","a"),"x","a"),"y","a"),"z","a")</f>
        <v/>
      </c>
      <c r="BO170" s="61" t="str">
        <f aca="false">SUBSTITUTE(SUBSTITUTE(SUBSTITUTE(SUBSTITUTE(SUBSTITUTE(SUBSTITUTE(SUBSTITUTE(SUBSTITUTE(SUBSTITUTE(LOWER(W170&amp;""),"1","0"),"2","0"),"3","0"),"4","0"),"5","0"),"6","0"),"7","0"),"8","0"),"9","0")</f>
        <v/>
      </c>
      <c r="BP170" s="61" t="str">
        <f aca="false">SUBSTITUTE(SUBSTITUTE(SUBSTITUTE(SUBSTITUTE(SUBSTITUTE(SUBSTITUTE(SUBSTITUTE(SUBSTITUTE(SUBSTITUTE(SUBSTITUTE(SUBSTITUTE(SUBSTITUTE(SUBSTITUTE(SUBSTITUTE(SUBSTITUTE(SUBSTITUTE(SUBSTITUTE(SUBSTITUTE(SUBSTITUTE(SUBSTITUTE(SUBSTITUTE(SUBSTITUTE(SUBSTITUTE(SUBSTITUTE(SUBSTITUTE(BO170,"b","a"),"c","a"),"d","a"),"e","a"),"f","a"),"g","a"),"h","a"),"i","a"),"j","a"),"k","a"),"l","a"),"m","a"),"n","a"),"o","a"),"p","a"),"q","a"),"r","a"),"s","a"),"t","a"),"u","a"),"v","a"),"w","a"),"x","a"),"y","a"),"z","a")</f>
        <v/>
      </c>
      <c r="BQ170" s="61" t="n">
        <f aca="false">IFERROR(IF(AND(ISERROR(SEARCH(" mh"," "&amp;LOWER(W170))),ISNA(MATCH(LEFT(TRIM(BP170),255),{"0000a","000a","00a","0000aa","000aa","00aa","0aa","0000aaa","000aaa","00a00","0a00","0000-0000","00:00","a00","a0","00.00.0000","00/00/0000","00-00-0000","0000-00-00","0000/00/00","0000.00.00","00.00.00","00/00/00","00-00-00","0.00.0000","0/00/0000","0-00-0000"},0)),ISNA(MATCH(LEFT(TRIM(CA170),255),{"0000a","000a","00a","0000aa","000aa","00aa","0aa","0000aaa","000aaa","00a00","0a00","0000-0000","00:00","a00","a0","00.00.0000","00/00/0000","00-00-0000","0000-00-00","0000/00/00","0000.00.00","00.00.00","00/00/00","00-00-00","0.00.0000","0/00/0000","0-00-0000"},0)),LEN(CB170)&gt;=3,NOT(OR(SUBSTITUTE(CB170,"0","")="",AND(LEN(CB170)&gt;=4,CB170=REPT(LEFT(CB170),LEN(CB170))),ISNUMBER(MATCH(CB170,{"123","1234","12345","123456","1234567","12345678","0123","01234","012345","98765","987654","54321"},0)),AND(LEN(CB170)=8,LEFT(CB170,3)="202"))),OR(AND((LEN(CA170)-LEN(SUBSTITUTE(CA170,"a","")))&gt;=1,SUMPRODUCT(--ISNUMBER(SEARCH({"a0","a-0","a_0","a/0","a.0","a#0","0a","0-a","0_a","0/a"},BP170)))&gt;0),ISNUMBER(SEARCH("000000",BP170)))),1,0),0)</f>
        <v>0</v>
      </c>
      <c r="BR170" s="61" t="n">
        <f aca="false">IFERROR(LEN(SUBSTITUTE(CC170," ",""))-SUMPRODUCT((LEN(CC170)-LEN(SUBSTITUTE(CC170," "&amp;L_Role&amp;" "," ")))/(LEN(L_Role)+1)*LEN(L_Role)),0)</f>
        <v>0</v>
      </c>
      <c r="BS170" s="61" t="n">
        <f aca="false">IFERROR(LEN(SUBSTITUTE(CD170," ",""))-SUMPRODUCT((LEN(CD170)-LEN(SUBSTITUTE(CD170," "&amp;L_Role&amp;" "," ")))/(LEN(L_Role)+1)*LEN(L_Role)),0)</f>
        <v>0</v>
      </c>
      <c r="BT1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170,"revision",""),"version",""),"jan",""),"feb",""),"mar",""),"apr",""),"may",""),"jun",""),"jul",""),"aug",""),"sep",""),"oct",""),"nov",""),"dec",""),"utc",""),"gmt",""),"myt",""),"bst",""),"rev",""),"ver",""),"b","a"),"c","a"),"d","a"),"e","a"),"f","a"),"g","a"),"h","a"),"i","a"),"j","a"),"k","a"),"l","a"),"m","a"),"n","a"),"o","a"),"p","a"),"q","a"),"r","a"),"s","a"),"t","a"),"u","a"),"v","a"),"w","a"),"x","a"),"y","a"),"z","a")</f>
        <v/>
      </c>
      <c r="BU170" s="61" t="str">
        <f aca="false">SUBSTITUTE(SUBSTITUTE(SUBSTITUTE(SUBSTITUTE(SUBSTITUTE(SUBSTITUTE(SUBSTITUTE(SUBSTITUTE(SUBSTITUTE(SUBSTITUTE(LEFT(BM170,FIND("0",BM170&amp;"0")-1),"-",""),"_",""),"/",""),".",""),"#",""),"\\",""),":","")," ",""),"(",""),")","")</f>
        <v/>
      </c>
      <c r="BV170" s="61" t="n">
        <f aca="false">0</f>
        <v>0</v>
      </c>
      <c r="BW1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170&amp;""),"a",""),"b",""),"c",""),"d",""),"e",""),"f",""),"g",""),"h",""),"i",""),"j",""),"k",""),"l",""),"m",""),"n",""),"o",""),"p",""),"q",""),"r",""),"s",""),"t",""),"u",""),"v",""),"w",""),"x",""),"y",""),"z",""),"-",""),"_",""),"/",""),".",""),"#",""),"\\",""),":","")," ",""),"(",""),")","")</f>
        <v/>
      </c>
      <c r="BX170" s="61" t="str">
        <f aca="false">SUBSTITUTE(SUBSTITUTE(SUBSTITUTE(SUBSTITUTE(SUBSTITUTE(SUBSTITUTE(SUBSTITUTE(SUBSTITUTE(SUBSTITUTE(SUBSTITUTE(SUBSTITUTE(BM170,"0",""),"-",""),"_",""),"/",""),".",""),"#",""),"\\",""),":","")," ",""),"(",""),")","")</f>
        <v/>
      </c>
      <c r="BY170" s="62" t="n">
        <f aca="false">Q170-T7EarlyD*24/24</f>
        <v>46289.6388888889</v>
      </c>
      <c r="BZ170" s="61" t="n">
        <f aca="false">IFERROR(IF(IF(TRIM(S170)="Link / file path",AND(LEN(TRIM(Z170))&gt;=5,SUMPRODUCT(--ISNUMBER(SEARCH({"http","www.","\\",":\",".pdf",".jpg",".jpeg",".png",".heic",".xls",".doc",".msg",".eml",".ppt",".txt",".zip"},Z170)))&gt;0),AND(ISERROR(FIND(" ",TRIM(Z170))),NOT(OR(SUMPRODUCT(--ISNUMBER(FIND({",",";","&amp;","+"},Z170)))&gt;0,SUMPRODUCT(--ISNUMBER(SEARCH({"0/aa","0\\aa"},BN170)))&gt;0)),NOT(SUMPRODUCT(--ISNUMBER(SEARCH({"http","www.","\\",":\",".pdf",".jpg",".jpeg",".png",".heic",".xls",".doc",".msg",".eml",".ppt",".txt",".zip"},Z170)))&gt;0),NOT(LOWER(TRIM(Z170))=LOWER(Flights!$F$10)),ISNA(MATCH(BU170,{"mh","rev","revision","ver","version","v","r","a","b","seat","tray","row","gate","bay","stand","page","pg","item","line","no","cart","galley","flight","flt","table","box","bag","oven","etd","eta","std","sta","atd","ata","qty","pax","x","time","tel","ph","mob","day","wk","week","utc","gmt","myt","lt"},0)),NOT(OR(ISNUMBER(MATCH(LEFT(BN170,255),{"0000a","000a","00a","0000aa","000aa","00aa","0aa","0000aaa","000aaa","00a00","0a00","0000-0000","00:00","a00","a0","00.00.0000","00/00/0000","00-00-0000","0000-00-00","0000/00/00","0000.00.00","00.00.00","00/00/00","00-00-00","0.00.0000","0/00/0000","0-00-0000"},0)),ISNUMBER(MATCH(LEFT(BT170,255),{"0000a","000a","00a","0000aa","000aa","00aa","0aa","0000aaa","000aaa","00a00","0a00","0000-0000","00:00","a00","a0","00.00.0000","00/00/0000","00-00-0000","0000-00-00","0000/00/00","0000.00.00","00.00.00","00/00/00","00-00-00","0.00.0000","0/00/0000","0-00-0000"},0)))),NOT(OR(AND(BW170&lt;&gt;"",SUBSTITUTE(BW170,"0","")=""),AND(LEN(BW170)&gt;=4,BW170=REPT(LEFT(BW170),LEN(BW170))),ISNUMBER(MATCH(BW170,{"123","1234","12345","123456","1234567","12345678","0123","01234","012345","98765","987654","54321"},0)),ISNUMBER(MATCH(BX170,{"x","xx","xxx","xxxx","xxxxx","abc","abcd","nil","na","nan","test","tbc","tba","tbd","dummy","sample","example","eg","zz","zzz","none","null","xyz","qwe","asd","id","ref"},0)),AND(LEN(BW170)=8,BX170="",OR(LEFT(BW170,3)="202",ISNUMBER(MATCH(RIGHT(BW170,4),{"2025","2026","2027"},0)))))),OR(AND((LEN(BT170)-LEN(SUBSTITUTE(BT170,"a","")))&gt;=1,(LEN(BN170)-LEN(SUBSTITUTE(BN170,"0","")))&gt;=2,SUMPRODUCT(--ISNUMBER(SEARCH({"a0","a-0","a_0","a/0","a.0","a#0","0a","0-a","0_a","0/a"},BN170)))&gt;0),AND((LEN(BN170)-LEN(SUBSTITUTE(BN170,"a","")))=0,(LEN(BN170)-LEN(SUBSTITUTE(BN170,"0","")))&gt;=5)))),1,0),0)</f>
        <v>0</v>
      </c>
      <c r="CA1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170,"revision",""),"version",""),"jan",""),"feb",""),"mar",""),"apr",""),"may",""),"jun",""),"jul",""),"aug",""),"sep",""),"oct",""),"nov",""),"dec",""),"utc",""),"gmt",""),"myt",""),"bst",""),"rev",""),"ver",""),"b","a"),"c","a"),"d","a"),"e","a"),"f","a"),"g","a"),"h","a"),"i","a"),"j","a"),"k","a"),"l","a"),"m","a"),"n","a"),"o","a"),"p","a"),"q","a"),"r","a"),"s","a"),"t","a"),"u","a"),"v","a"),"w","a"),"x","a"),"y","a"),"z","a")</f>
        <v/>
      </c>
      <c r="CB1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170&amp;""),"a",""),"b",""),"c",""),"d",""),"e",""),"f",""),"g",""),"h",""),"i",""),"j",""),"k",""),"l",""),"m",""),"n",""),"o",""),"p",""),"q",""),"r",""),"s",""),"t",""),"u",""),"v",""),"w",""),"x",""),"y",""),"z",""),"-",""),"_",""),"/",""),".",""),"#",""),"\\",""),":","")," ",""),"(",""),")","")</f>
        <v/>
      </c>
      <c r="CC170" s="0" t="str">
        <f aca="false">" "&amp;TRIM(SUBSTITUTE(SUBSTITUTE(SUBSTITUTE(SUBSTITUTE(SUBSTITUTE(SUBSTITUTE(SUBSTITUTE(SUBSTITUTE(SUBSTITUTE(SUBSTITUTE(SUBSTITUTE(SUBSTITUTE(SUBSTITUTE(SUBSTITUTE(SUBSTITUTE(SUBSTITUTE(SUBSTITUTE(SUBSTITUTE(SUBSTITUTE(SUBSTITUTE(SUBSTITUTE(SUBSTITUTE(SUBSTITUTE(SUBSTITUTE(LOWER(T170&amp;""),CHAR(10)," "),CHAR(13)," "),CHAR(9)," "),CHAR(160)," "),"."," "),","," "),"-"," "),"/"," "),"("," "),")"," "),":"," "),";"," "),"_"," "),"–"," "),"?"," "),"!"," "),"*"," "),"["," "),"]"," "),"'"," "),"#"," "),"+"," "),"&amp;"," "),"\"," "))&amp;" "</f>
        <v>  </v>
      </c>
      <c r="CD170" s="0" t="str">
        <f aca="false">" "&amp;TRIM(SUBSTITUTE(SUBSTITUTE(SUBSTITUTE(SUBSTITUTE(SUBSTITUTE(SUBSTITUTE(SUBSTITUTE(SUBSTITUTE(SUBSTITUTE(SUBSTITUTE(SUBSTITUTE(SUBSTITUTE(SUBSTITUTE(SUBSTITUTE(SUBSTITUTE(SUBSTITUTE(SUBSTITUTE(SUBSTITUTE(SUBSTITUTE(SUBSTITUTE(SUBSTITUTE(SUBSTITUTE(SUBSTITUTE(SUBSTITUTE(LOWER(AE170&amp;""),CHAR(10)," "),CHAR(13)," "),CHAR(9)," "),CHAR(160)," "),"."," "),","," "),"-"," "),"/"," "),"("," "),")"," "),":"," "),";"," "),"_"," "),"–"," "),"?"," "),"!"," "),"*"," "),"["," "),"]"," "),"'"," "),"#"," "),"+"," "),"&amp;"," "),"\"," "))&amp;" "</f>
        <v>  </v>
      </c>
      <c r="CE170" s="68" t="n">
        <f aca="false">IFERROR(IF(AND(LEN(AU170)&gt;0,LEN(AU170)=LEN(AX170),OR(TRIM(MID(SUBSTITUTE(TRIM(CC170)," ",REPT(" ",60)),1,60))="",ISNUMBER(SEARCH(" "&amp;TRIM(MID(SUBSTITUTE(TRIM(CC170)," ",REPT(" ",60)),1,60))&amp;" ",CD170))),OR(TRIM(MID(SUBSTITUTE(TRIM(CC170)," ",REPT(" ",60)),61,60))="",ISNUMBER(SEARCH(" "&amp;TRIM(MID(SUBSTITUTE(TRIM(CC170)," ",REPT(" ",60)),61,60))&amp;" ",CD170))),OR(TRIM(MID(SUBSTITUTE(TRIM(CC170)," ",REPT(" ",60)),121,60))="",ISNUMBER(SEARCH(" "&amp;TRIM(MID(SUBSTITUTE(TRIM(CC170)," ",REPT(" ",60)),121,60))&amp;" ",CD170)))),1,0),0)</f>
        <v>0</v>
      </c>
      <c r="CG170" s="68" t="n">
        <f aca="false">IFERROR(LEN(SUBSTITUTE(BF170," ",""))-SUMPRODUCT((LEN(BF170)-LEN(SUBSTITUTE(BF170," "&amp;L_NAFiller&amp;" "," ")))/(LEN(L_NAFiller)+1)*LEN(L_NAFiller)),0)</f>
        <v>0</v>
      </c>
    </row>
    <row r="171" customFormat="false" ht="39.75" hidden="false" customHeight="true" outlineLevel="0" collapsed="false">
      <c r="A171" s="57" t="s">
        <v>712</v>
      </c>
      <c r="B171" s="57" t="s">
        <v>231</v>
      </c>
      <c r="C171" s="57" t="str">
        <f aca="false">Flights!$F$10</f>
        <v>MH0002</v>
      </c>
      <c r="D171" s="58" t="n">
        <f aca="false">Flights!$D$10</f>
        <v>46310</v>
      </c>
      <c r="E171" s="57" t="str">
        <f aca="false">Flights!$G$10&amp;"-"&amp;Flights!$H$10</f>
        <v>KUL-LHR</v>
      </c>
      <c r="F171" s="57" t="str">
        <f aca="false">Flights!$K$10</f>
        <v>BC</v>
      </c>
      <c r="G171" s="57" t="s">
        <v>81</v>
      </c>
      <c r="H171" s="57" t="s">
        <v>378</v>
      </c>
      <c r="I171" s="57" t="s">
        <v>398</v>
      </c>
      <c r="J171" s="57" t="s">
        <v>402</v>
      </c>
      <c r="K171" s="67" t="s">
        <v>403</v>
      </c>
      <c r="L171" s="67" t="s">
        <v>382</v>
      </c>
      <c r="M171" s="67"/>
      <c r="N171" s="67" t="s">
        <v>383</v>
      </c>
      <c r="O171" s="67"/>
      <c r="P171" s="57" t="s">
        <v>187</v>
      </c>
      <c r="Q171" s="59" t="n">
        <f aca="false">ROUND((Flights!$AC$10)*1440,0)/1440</f>
        <v>46303.6388888889</v>
      </c>
      <c r="R171" s="59" t="n">
        <f aca="false">Q171+(IF(AND(INDEX(TZ_DSTS,MATCH(P171,TZ_STN,0))&lt;&gt;"",Q171&gt;=INDEX(TZ_DSTS,MATCH(P171,TZ_STN,0)),Q171&lt;INDEX(TZ_DSTE,MATCH(P171,TZ_STN,0))),INDEX(TZ_DST,MATCH(P171,TZ_STN,0)),INDEX(TZ_STD,MATCH(P171,TZ_STN,0))))/24</f>
        <v>46303.9722222222</v>
      </c>
      <c r="S171" s="60"/>
      <c r="T171" s="60"/>
      <c r="U171" s="60"/>
      <c r="V171" s="60"/>
      <c r="W171" s="61"/>
      <c r="X171" s="60"/>
      <c r="Y171" s="60"/>
      <c r="Z171" s="60"/>
      <c r="AA171" s="60"/>
      <c r="AB171" s="60"/>
      <c r="AC171" s="60"/>
      <c r="AD171" s="66"/>
      <c r="AE171" s="60"/>
      <c r="AF171" s="61" t="str">
        <f aca="false">IF(AND(ISNUMBER(X171),ISNUMBER(Y171)),Y171-X171,"")</f>
        <v/>
      </c>
      <c r="AG171" s="62" t="str">
        <f aca="false">IF(ISNUMBER(AD171),AD171-(IF(AND(INDEX(TZ_DSTS,MATCH(P171,TZ_STN,0))&lt;&gt;"",(AD171-INDEX(TZ_STD,MATCH(P171,TZ_STN,0))/24)&gt;=INDEX(TZ_DSTS,MATCH(P171,TZ_STN,0)),(AD171-INDEX(TZ_STD,MATCH(P171,TZ_STN,0))/24)&lt;INDEX(TZ_DSTE,MATCH(P171,TZ_STN,0))),INDEX(TZ_DST,MATCH(P171,TZ_STN,0)),INDEX(TZ_STD,MATCH(P171,TZ_STN,0))))/24,"")</f>
        <v/>
      </c>
      <c r="AH171" s="65" t="str">
        <f aca="false">IFERROR(IF(N171="N/A – rule",IF(OR(TRIM(U171)="",TRIM(U171)="N/A",TRIM(U171)="Not started"),"N/A – RULE","INVALID – this check does not apply to this aircraft: clear the status (or correct the fleet on Flights)"),IF(TRIM(U171)="N/A",IF(AT171=0,"INVALID – N/A not permitted for this check",IF(AND(TRIM(AB171)&lt;&gt;"",TRIM(AB171)&lt;&gt;"Closed"),"INVALID – corrective action still open",IF(AND(NOT(OR(LEN(AZ171)&lt;15,ISNUMBER(MATCH(AZ171,L_Placeholder,0)))),BK171=0,CG171&gt;=8,NOT(OR(LEN(AU171)&lt;2,ISNUMBER(MATCH(AU171,L_Placeholder,0)))),BR171&gt;=3,NOT(OR(LEN(AX171)&lt;2,ISNUMBER(MATCH(AX171,L_Placeholder,0)))),BS171&gt;=3,TRIM(AE171)&lt;&gt;TRIM(T171),AX171&lt;&gt;AU171,CE171=0),"N/A – JUSTIFIED","INVALID – N/A needs a real, settled reason (not 'not applicable' / 'as above' / TBC), a named PIC and a different named verifier"))),IF(OR(TRIM(U171)="Pass",TRIM(U171)="Pass after CA"),IF(NOT(ISNUMBER(AD171)),"INVALID – completion time missing",IF(OR(OR(LEN(AU171)&lt;2,ISNUMBER(MATCH(AU171,L_Placeholder,0))),BR171&lt;3),"INVALID – PIC missing or not a named person (a role such as QA / CSM is not a name)",IF(OR(LEN(AV171)&lt;2,ISNUMBER(MATCH(AV171,L_Placeholder,0))),"INVALID – result / assessment missing",IF(OR(OR(LEN(AW171)&lt;3,ISNUMBER(MATCH(AW171,L_Placeholder,0))),SUMPRODUCT(--ISNUMBER(SEARCH(" "&amp;L_EvidencePhrase&amp;" ",BD171)))&gt;0,BI171=1),"INVALID – evidence missing, placeholder or not yet on file",IF(ISNA(MATCH(TRIM(S171),L_EvidenceType,0)),"INVALID – choose the evidence type from the list (column S)",IF(BL171=0,"INVALID – evidence ID must be the record's own ID only (e.g. SF-2210, IMG_2231, 1045521); a link / file name needs type 'Link / file path'",IF(OR(OR(LEN(AX171)&lt;2,ISNUMBER(MATCH(AX171,L_Placeholder,0))),BS171&lt;3),"INVALID – verifier missing or not a named person (a role such as QA / CSM is not a name)",IF(OR(AX171=AU171,CE171=1,AND(LEN(AU171)&gt;=4,ISNUMBER(SEARCH(AU171,AX171))),AND(LEN(AX171)&gt;=4,ISNUMBER(SEARCH(AX171,AU171)))),"INVALID – verifier must be a different, named person (not the PIC or a role)",IF(BH171=1,"INVALID – result not yet available (awaiting / TBC)",IF(BG171=1,"INVALID – result describes a problem: record Fail, then Pass after CA (or reword if it is not a problem)",IF(BV171=1,"INVALID – wording says not on board: an on-board confirmation needs the item loaded",IF(AND(AQ171=1,OR(OR(LEN(AY171)&lt;3,ISNUMBER(MATCH(AY171,L_Placeholder,0))),BJ171=1,BQ171=0)),"INVALID – batch ID missing, placeholder or not an ID (e.g. PASB-261008-BC-017)",IF(AND(AR171=1,OR(NOT(ISNUMBER(X171)),NOT(ISNUMBER(Y171)))),"INVALID – expected/actual qty missing",IF(AND(AR171=1,OR(X171&lt;=0,Y171&lt;0)),"INVALID – expected qty must be above 0 and actual not negative",IF(BB171&lt;&gt;"",BB171,IF(AND(AS171=1,Documents!$J$10&lt;&gt;"ON FILE"),"INVALID – GLD not on file (Documents sheet)",IF(AND(AS171=2,Documents!$O$10&lt;&gt;"ON FILE"),"INVALID – menu checklist not on file (Documents sheet)",IF(AND(AS171=3,NOT(ISNUMBER(Flights!$AX$10))),"INVALID – enter carrying flight KUL departure (Flights AX)",IF(AND(AS171=3,OR(Flights!$AZ$10&gt;Flights!$AA$10,Flights!$AX$10&lt;Flights!$AA$10-3)),"INVALID – carrying flight (Flights AX) cannot arrive before this leg's STD, or is over 3 days early",IF(AG171&gt;AsOfUTC,"INVALID – completion time is in the future",IF(AND(ISNUMBER(BY171),AG171&lt;BY171),IF(H171="Physical uplift","INVALID – before uplift window (cannot confirm loading)","INVALID – before valid window"),IF(AG171&gt;Flights!$AA$10,"INVALID – completed after departure (cannot establish readiness)",IF(AND(H171="Preparation",AG171&gt;=IF(ISNUMBER(Flights!$BA$10),MIN(Flights!$BA$10,Flights!$AA$10),Flights!$AA$10)),"INVALID – completed after loading / departure (cannot establish readiness)",IF(AND(H171="Physical uplift",AG171&gt;Q171),"INVALID – recorded after the loading flight departed",IF(AG171&gt;Q171,"COMPLETE – LATE","COMPLETE"))))))))))))))))))))))))),IF(TRIM(U171)="Fail","FAIL – DISCREPANCY",IF(AND(TRIM(U171)&lt;&gt;"",TRIM(U171)&lt;&gt;"Not started",TRIM(U171)&lt;&gt;"In progress"),"INVALID – unrecognised status (use the list)",IF(AsOfUTC&gt;Q171,"OVERDUE",IF(N171="Clarification required","OPEN – CLARIFICATION","OPEN"))))))),"INVALID – error value in an input cell")</f>
        <v>OPEN</v>
      </c>
      <c r="AI171" s="61" t="n">
        <f aca="false">IF(OR(AH171="N/A – RULE",AH171="N/A – JUSTIFIED"),0,1)</f>
        <v>1</v>
      </c>
      <c r="AJ171" s="61" t="n">
        <f aca="false">IF(LEFT(AH171,8)="COMPLETE",1,0)</f>
        <v>0</v>
      </c>
      <c r="AK171" s="61" t="n">
        <f aca="false">IF(AND(AI171=1,AJ171=0,AsOfUTC&gt;Q171),1,0)</f>
        <v>0</v>
      </c>
      <c r="AL171" s="61" t="n">
        <f aca="false">IFERROR(IF(AND(AI171=1,OR(TRIM(U171)="Fail",AND(TRIM(AB171)&lt;&gt;"",TRIM(AB171)&lt;&gt;"Closed"),AND(ISNUMBER(AF171),AF171&lt;&gt;0,TRIM(U171)&lt;&gt;"Pass after CA"))),1,0),1)</f>
        <v>0</v>
      </c>
      <c r="AM171" s="61" t="n">
        <f aca="false">IF(LEFT(AH171,7)="INVALID",1,0)</f>
        <v>0</v>
      </c>
      <c r="AN171" s="61" t="n">
        <f aca="false">IF(AND(N171="Clarification required",AI171=1,AJ171=0),1,0)</f>
        <v>0</v>
      </c>
      <c r="AO171" s="61" t="str">
        <f aca="false">IF(AK171=1,SUM(AK$5:AK171),"")</f>
        <v/>
      </c>
      <c r="AP171" s="61" t="str">
        <f aca="false">IF(AL171=1,SUM(AL$5:AL171),"")</f>
        <v/>
      </c>
      <c r="AQ171" s="61" t="n">
        <v>0</v>
      </c>
      <c r="AR171" s="61" t="n">
        <v>0</v>
      </c>
      <c r="AS171" s="61" t="n">
        <v>0</v>
      </c>
      <c r="AT171" s="61" t="n">
        <v>0</v>
      </c>
      <c r="AU171" s="61" t="str">
        <f aca="false">SUBSTITUTE(SUBSTITUTE(SUBSTITUTE(SUBSTITUTE(SUBSTITUTE(SUBSTITUTE(SUBSTITUTE(SUBSTITUTE(SUBSTITUTE(SUBSTITUTE(SUBSTITUTE(SUBSTITUTE(SUBSTITUTE(SUBSTITUTE(SUBSTITUTE(SUBSTITUTE(LOWER(T171&amp;""),CHAR(10),""),CHAR(13),""),CHAR(9),""),CHAR(160),"")," ",""),".",""),"-",""),"/",""),"?",""),"_",""),",",""),"[",""),"]",""),"(",""),")",""),"*","")</f>
        <v/>
      </c>
      <c r="AV171" s="61" t="str">
        <f aca="false">SUBSTITUTE(SUBSTITUTE(SUBSTITUTE(SUBSTITUTE(SUBSTITUTE(SUBSTITUTE(SUBSTITUTE(SUBSTITUTE(SUBSTITUTE(SUBSTITUTE(SUBSTITUTE(SUBSTITUTE(SUBSTITUTE(SUBSTITUTE(SUBSTITUTE(SUBSTITUTE(LOWER(V171&amp;""),CHAR(10),""),CHAR(13),""),CHAR(9),""),CHAR(160),"")," ",""),".",""),"-",""),"/",""),"?",""),"_",""),",",""),"[",""),"]",""),"(",""),")",""),"*","")</f>
        <v/>
      </c>
      <c r="AW171" s="61" t="str">
        <f aca="false">SUBSTITUTE(SUBSTITUTE(SUBSTITUTE(SUBSTITUTE(SUBSTITUTE(SUBSTITUTE(SUBSTITUTE(SUBSTITUTE(SUBSTITUTE(SUBSTITUTE(SUBSTITUTE(SUBSTITUTE(SUBSTITUTE(SUBSTITUTE(SUBSTITUTE(SUBSTITUTE(LOWER(Z171&amp;""),CHAR(10),""),CHAR(13),""),CHAR(9),""),CHAR(160),"")," ",""),".",""),"-",""),"/",""),"?",""),"_",""),",",""),"[",""),"]",""),"(",""),")",""),"*","")</f>
        <v/>
      </c>
      <c r="AX171" s="61" t="str">
        <f aca="false">SUBSTITUTE(SUBSTITUTE(SUBSTITUTE(SUBSTITUTE(SUBSTITUTE(SUBSTITUTE(SUBSTITUTE(SUBSTITUTE(SUBSTITUTE(SUBSTITUTE(SUBSTITUTE(SUBSTITUTE(SUBSTITUTE(SUBSTITUTE(SUBSTITUTE(SUBSTITUTE(LOWER(AE171&amp;""),CHAR(10),""),CHAR(13),""),CHAR(9),""),CHAR(160),"")," ",""),".",""),"-",""),"/",""),"?",""),"_",""),",",""),"[",""),"]",""),"(",""),")",""),"*","")</f>
        <v/>
      </c>
      <c r="AY171" s="61" t="str">
        <f aca="false">SUBSTITUTE(SUBSTITUTE(SUBSTITUTE(SUBSTITUTE(SUBSTITUTE(SUBSTITUTE(SUBSTITUTE(SUBSTITUTE(SUBSTITUTE(SUBSTITUTE(SUBSTITUTE(SUBSTITUTE(SUBSTITUTE(SUBSTITUTE(SUBSTITUTE(SUBSTITUTE(LOWER(W171&amp;""),CHAR(10),""),CHAR(13),""),CHAR(9),""),CHAR(160),"")," ",""),".",""),"-",""),"/",""),"?",""),"_",""),",",""),"[",""),"]",""),"(",""),")",""),"*","")</f>
        <v/>
      </c>
      <c r="AZ171" s="61" t="str">
        <f aca="false">SUBSTITUTE(SUBSTITUTE(SUBSTITUTE(SUBSTITUTE(SUBSTITUTE(SUBSTITUTE(SUBSTITUTE(SUBSTITUTE(SUBSTITUTE(SUBSTITUTE(SUBSTITUTE(SUBSTITUTE(SUBSTITUTE(SUBSTITUTE(SUBSTITUTE(SUBSTITUTE(LOWER(AC171&amp;""),CHAR(10),""),CHAR(13),""),CHAR(9),""),CHAR(160),"")," ",""),".",""),"-",""),"/",""),"?",""),"_",""),",",""),"[",""),"]",""),"(",""),")",""),"*","")</f>
        <v/>
      </c>
      <c r="BA171" s="61" t="str">
        <f aca="false">SUBSTITUTE(SUBSTITUTE(SUBSTITUTE(SUBSTITUTE(SUBSTITUTE(SUBSTITUTE(SUBSTITUTE(SUBSTITUTE(SUBSTITUTE(SUBSTITUTE(SUBSTITUTE(SUBSTITUTE(SUBSTITUTE(SUBSTITUTE(SUBSTITUTE(SUBSTITUTE(LOWER(AA171&amp;""),CHAR(10),""),CHAR(13),""),CHAR(9),""),CHAR(160),"")," ",""),".",""),"-",""),"/",""),"?",""),"_",""),",",""),"[",""),"]",""),"(",""),")",""),"*","")</f>
        <v/>
      </c>
      <c r="BB171" s="61" t="str">
        <f aca="false">IF(AND(TRIM(U171)="Pass",ISNUMBER(AF171)),IF(AF171&lt;&gt;0,"INVALID – qty variance: use Fail or Pass after CA",""),"")&amp;IF(AND(TRIM(U171)="Pass after CA",ISNUMBER(AF171)),IF(AF171&lt;&gt;0,"INVALID – after the corrective action the actual qty must equal expected (update Actual)",""),"")&amp;IF(AND(TRIM(U171)="Pass",TRIM(AB171)&lt;&gt;"",TRIM(AB171)&lt;&gt;"Closed"),"INVALID – corrective action not closed: use Fail, then Pass after CA","")&amp;IF(AND(LEN(BA171)&gt;=2,ISNA(MATCH(LEFT(BA171,255),L_Placeholder,0)),TRIM(AB171)=""),"INVALID – CA status missing for the recorded corrective action","")&amp;IF(AND(TRIM(U171)="Pass after CA",OR(OR(LEN(BA171)&lt;5,ISNUMBER(MATCH(BA171,L_Placeholder,0))),TRIM(AB171)&lt;&gt;"Closed")),"INVALID – corrective action not recorded/closed","")</f>
        <v/>
      </c>
      <c r="BC171" s="61" t="str">
        <f aca="false">" "&amp;TRIM(SUBSTITUTE(SUBSTITUTE(SUBSTITUTE(SUBSTITUTE(SUBSTITUTE(SUBSTITUTE(SUBSTITUTE(SUBSTITUTE(SUBSTITUTE(SUBSTITUTE(SUBSTITUTE(SUBSTITUTE(SUBSTITUTE(SUBSTITUTE(SUBSTITUTE(SUBSTITUTE(SUBSTITUTE(SUBSTITUTE(SUBSTITUTE(SUBSTITUTE(SUBSTITUTE(SUBSTITUTE(SUBSTITUTE(SUBSTITUTE(LOWER(V171&amp;""),CHAR(10)," "),CHAR(13)," "),CHAR(9)," "),CHAR(160)," "),"."," "),","," "),"-"," "),"/"," "),"("," "),")"," "),":"," "),";"," "),"_"," "),"–"," "),"?"," "),"!"," "),"*"," "),"["," "),"]"," "),"'"," "),"#"," "),"+"," "),"&amp;"," "),"\"," "))&amp;" "</f>
        <v>  </v>
      </c>
      <c r="BD171" s="61" t="str">
        <f aca="false">" "&amp;TRIM(SUBSTITUTE(SUBSTITUTE(SUBSTITUTE(SUBSTITUTE(SUBSTITUTE(SUBSTITUTE(SUBSTITUTE(SUBSTITUTE(SUBSTITUTE(SUBSTITUTE(SUBSTITUTE(SUBSTITUTE(SUBSTITUTE(SUBSTITUTE(SUBSTITUTE(SUBSTITUTE(SUBSTITUTE(SUBSTITUTE(SUBSTITUTE(SUBSTITUTE(SUBSTITUTE(SUBSTITUTE(SUBSTITUTE(SUBSTITUTE(LOWER(Z171&amp;""),CHAR(10)," "),CHAR(13)," "),CHAR(9)," "),CHAR(160)," "),"."," "),","," "),"-"," "),"/"," "),"("," "),")"," "),":"," "),";"," "),"_"," "),"–"," "),"?"," "),"!"," "),"*"," "),"["," "),"]"," "),"'"," "),"#"," "),"+"," "),"&amp;"," "),"\"," "))&amp;" "</f>
        <v>  </v>
      </c>
      <c r="BE171" s="61" t="str">
        <f aca="false">" "&amp;TRIM(SUBSTITUTE(SUBSTITUTE(SUBSTITUTE(SUBSTITUTE(SUBSTITUTE(SUBSTITUTE(SUBSTITUTE(SUBSTITUTE(SUBSTITUTE(SUBSTITUTE(SUBSTITUTE(SUBSTITUTE(SUBSTITUTE(SUBSTITUTE(SUBSTITUTE(SUBSTITUTE(SUBSTITUTE(SUBSTITUTE(SUBSTITUTE(SUBSTITUTE(SUBSTITUTE(SUBSTITUTE(SUBSTITUTE(SUBSTITUTE(LOWER(W171&amp;""),CHAR(10)," "),CHAR(13)," "),CHAR(9)," "),CHAR(160)," "),"."," "),","," "),"-"," "),"/"," "),"("," "),")"," "),":"," "),";"," "),"_"," "),"–"," "),"?"," "),"!"," "),"*"," "),"["," "),"]"," "),"'"," "),"#"," "),"+"," "),"&amp;"," "),"\"," "))&amp;" "</f>
        <v>  </v>
      </c>
      <c r="BF171" s="61" t="str">
        <f aca="false">" "&amp;TRIM(SUBSTITUTE(SUBSTITUTE(SUBSTITUTE(SUBSTITUTE(SUBSTITUTE(SUBSTITUTE(SUBSTITUTE(SUBSTITUTE(SUBSTITUTE(SUBSTITUTE(SUBSTITUTE(SUBSTITUTE(SUBSTITUTE(SUBSTITUTE(SUBSTITUTE(SUBSTITUTE(SUBSTITUTE(SUBSTITUTE(SUBSTITUTE(SUBSTITUTE(SUBSTITUTE(SUBSTITUTE(SUBSTITUTE(SUBSTITUTE(LOWER(AC171&amp;""),CHAR(10)," "),CHAR(13)," "),CHAR(9)," "),CHAR(160)," "),"."," "),","," "),"-"," "),"/"," "),"("," "),")"," "),":"," "),";"," "),"_"," "),"–"," "),"?"," "),"!"," "),"*"," "),"["," "),"]"," "),"'"," "),"#"," "),"+"," "),"&amp;"," "),"\"," "))&amp;" "</f>
        <v>  </v>
      </c>
      <c r="BG171" s="61" t="n">
        <f aca="false">IFERROR(IF(AND(TRIM(U171)="Pass",SUMPRODUCT((LEN(BC171)-LEN(SUBSTITUTE(BC171," "&amp;L_ResultBad&amp;" "," ")))/(LEN(L_ResultBad)+1))&gt;SUMPRODUCT((LEN(BC171)-LEN(SUBSTITUTE(BC171," "&amp;L_NegPhrase&amp;" "," ")))/(LEN(L_NegPhrase)+1))),1,0),0)</f>
        <v>0</v>
      </c>
      <c r="BH171" s="61" t="n">
        <f aca="false">IFERROR(IF(SUMPRODUCT((LEN(BC171)-LEN(SUBSTITUTE(BC171," "&amp;L_Pending&amp;" "," ")))/(LEN(L_Pending)+1))&gt;SUMPRODUCT((LEN(BC171)-LEN(SUBSTITUTE(BC171," "&amp;L_PendNeg&amp;" "," ")))/(LEN(L_PendNeg)+1))+SUMPRODUCT((LEN(BC171)-LEN(SUBSTITUTE(BC171," "&amp;L_PendPrep&amp;" "," ")))/(LEN(L_PendPrep)+1)),1,0),1)</f>
        <v>0</v>
      </c>
      <c r="BI171" s="61" t="n">
        <f aca="false">IFERROR(IF(SUMPRODUCT((LEN(BD171)-LEN(SUBSTITUTE(BD171," "&amp;L_PendStrict&amp;" "," ")))/(LEN(L_PendStrict)+1))&gt;SUMPRODUCT((LEN(BD171)-LEN(SUBSTITUTE(BD171," "&amp;L_PendNeg&amp;" "," ")))/(LEN(L_PendNeg)+1)),1,0),1)</f>
        <v>0</v>
      </c>
      <c r="BJ171" s="61" t="n">
        <f aca="false">IFERROR(IF(SUMPRODUCT((LEN(BE171)-LEN(SUBSTITUTE(BE171," "&amp;L_Pending&amp;" "," ")))/(LEN(L_Pending)+1))&gt;SUMPRODUCT((LEN(BE171)-LEN(SUBSTITUTE(BE171," "&amp;L_PendNeg&amp;" "," ")))/(LEN(L_PendNeg)+1))+SUMPRODUCT((LEN(BE171)-LEN(SUBSTITUTE(BE171," "&amp;L_PendPrep&amp;" "," ")))/(LEN(L_PendPrep)+1)),1,0),1)</f>
        <v>0</v>
      </c>
      <c r="BK171" s="61" t="n">
        <f aca="false">IFERROR(IF(SUMPRODUCT((LEN(BF171)-LEN(SUBSTITUTE(BF171," "&amp;L_PendStrict&amp;" "," ")))/(LEN(L_PendStrict)+1))&gt;SUMPRODUCT((LEN(BF171)-LEN(SUBSTITUTE(BF171," "&amp;L_PendNeg&amp;" "," ")))/(LEN(L_PendNeg)+1)),1,0),1)</f>
        <v>0</v>
      </c>
      <c r="BL171" s="61" t="n">
        <f aca="false">IF(ISNA(MATCH(TRIM(S171),L_EvidenceType,0)),0,BZ171)</f>
        <v>0</v>
      </c>
      <c r="BM171" s="61" t="str">
        <f aca="false">SUBSTITUTE(SUBSTITUTE(SUBSTITUTE(SUBSTITUTE(SUBSTITUTE(SUBSTITUTE(SUBSTITUTE(SUBSTITUTE(SUBSTITUTE(LOWER(Z171&amp;""),"1","0"),"2","0"),"3","0"),"4","0"),"5","0"),"6","0"),"7","0"),"8","0"),"9","0")</f>
        <v/>
      </c>
      <c r="BN171" s="61" t="str">
        <f aca="false">SUBSTITUTE(SUBSTITUTE(SUBSTITUTE(SUBSTITUTE(SUBSTITUTE(SUBSTITUTE(SUBSTITUTE(SUBSTITUTE(SUBSTITUTE(SUBSTITUTE(SUBSTITUTE(SUBSTITUTE(SUBSTITUTE(SUBSTITUTE(SUBSTITUTE(SUBSTITUTE(SUBSTITUTE(SUBSTITUTE(SUBSTITUTE(SUBSTITUTE(SUBSTITUTE(SUBSTITUTE(SUBSTITUTE(SUBSTITUTE(SUBSTITUTE(BM171,"b","a"),"c","a"),"d","a"),"e","a"),"f","a"),"g","a"),"h","a"),"i","a"),"j","a"),"k","a"),"l","a"),"m","a"),"n","a"),"o","a"),"p","a"),"q","a"),"r","a"),"s","a"),"t","a"),"u","a"),"v","a"),"w","a"),"x","a"),"y","a"),"z","a")</f>
        <v/>
      </c>
      <c r="BO171" s="61" t="str">
        <f aca="false">SUBSTITUTE(SUBSTITUTE(SUBSTITUTE(SUBSTITUTE(SUBSTITUTE(SUBSTITUTE(SUBSTITUTE(SUBSTITUTE(SUBSTITUTE(LOWER(W171&amp;""),"1","0"),"2","0"),"3","0"),"4","0"),"5","0"),"6","0"),"7","0"),"8","0"),"9","0")</f>
        <v/>
      </c>
      <c r="BP171" s="61" t="str">
        <f aca="false">SUBSTITUTE(SUBSTITUTE(SUBSTITUTE(SUBSTITUTE(SUBSTITUTE(SUBSTITUTE(SUBSTITUTE(SUBSTITUTE(SUBSTITUTE(SUBSTITUTE(SUBSTITUTE(SUBSTITUTE(SUBSTITUTE(SUBSTITUTE(SUBSTITUTE(SUBSTITUTE(SUBSTITUTE(SUBSTITUTE(SUBSTITUTE(SUBSTITUTE(SUBSTITUTE(SUBSTITUTE(SUBSTITUTE(SUBSTITUTE(SUBSTITUTE(BO171,"b","a"),"c","a"),"d","a"),"e","a"),"f","a"),"g","a"),"h","a"),"i","a"),"j","a"),"k","a"),"l","a"),"m","a"),"n","a"),"o","a"),"p","a"),"q","a"),"r","a"),"s","a"),"t","a"),"u","a"),"v","a"),"w","a"),"x","a"),"y","a"),"z","a")</f>
        <v/>
      </c>
      <c r="BQ171" s="61" t="n">
        <f aca="false">IFERROR(IF(AND(ISERROR(SEARCH(" mh"," "&amp;LOWER(W171))),ISNA(MATCH(LEFT(TRIM(BP171),255),{"0000a","000a","00a","0000aa","000aa","00aa","0aa","0000aaa","000aaa","00a00","0a00","0000-0000","00:00","a00","a0","00.00.0000","00/00/0000","00-00-0000","0000-00-00","0000/00/00","0000.00.00","00.00.00","00/00/00","00-00-00","0.00.0000","0/00/0000","0-00-0000"},0)),ISNA(MATCH(LEFT(TRIM(CA171),255),{"0000a","000a","00a","0000aa","000aa","00aa","0aa","0000aaa","000aaa","00a00","0a00","0000-0000","00:00","a00","a0","00.00.0000","00/00/0000","00-00-0000","0000-00-00","0000/00/00","0000.00.00","00.00.00","00/00/00","00-00-00","0.00.0000","0/00/0000","0-00-0000"},0)),LEN(CB171)&gt;=3,NOT(OR(SUBSTITUTE(CB171,"0","")="",AND(LEN(CB171)&gt;=4,CB171=REPT(LEFT(CB171),LEN(CB171))),ISNUMBER(MATCH(CB171,{"123","1234","12345","123456","1234567","12345678","0123","01234","012345","98765","987654","54321"},0)),AND(LEN(CB171)=8,LEFT(CB171,3)="202"))),OR(AND((LEN(CA171)-LEN(SUBSTITUTE(CA171,"a","")))&gt;=1,SUMPRODUCT(--ISNUMBER(SEARCH({"a0","a-0","a_0","a/0","a.0","a#0","0a","0-a","0_a","0/a"},BP171)))&gt;0),ISNUMBER(SEARCH("000000",BP171)))),1,0),0)</f>
        <v>0</v>
      </c>
      <c r="BR171" s="61" t="n">
        <f aca="false">IFERROR(LEN(SUBSTITUTE(CC171," ",""))-SUMPRODUCT((LEN(CC171)-LEN(SUBSTITUTE(CC171," "&amp;L_Role&amp;" "," ")))/(LEN(L_Role)+1)*LEN(L_Role)),0)</f>
        <v>0</v>
      </c>
      <c r="BS171" s="61" t="n">
        <f aca="false">IFERROR(LEN(SUBSTITUTE(CD171," ",""))-SUMPRODUCT((LEN(CD171)-LEN(SUBSTITUTE(CD171," "&amp;L_Role&amp;" "," ")))/(LEN(L_Role)+1)*LEN(L_Role)),0)</f>
        <v>0</v>
      </c>
      <c r="BT1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171,"revision",""),"version",""),"jan",""),"feb",""),"mar",""),"apr",""),"may",""),"jun",""),"jul",""),"aug",""),"sep",""),"oct",""),"nov",""),"dec",""),"utc",""),"gmt",""),"myt",""),"bst",""),"rev",""),"ver",""),"b","a"),"c","a"),"d","a"),"e","a"),"f","a"),"g","a"),"h","a"),"i","a"),"j","a"),"k","a"),"l","a"),"m","a"),"n","a"),"o","a"),"p","a"),"q","a"),"r","a"),"s","a"),"t","a"),"u","a"),"v","a"),"w","a"),"x","a"),"y","a"),"z","a")</f>
        <v/>
      </c>
      <c r="BU171" s="61" t="str">
        <f aca="false">SUBSTITUTE(SUBSTITUTE(SUBSTITUTE(SUBSTITUTE(SUBSTITUTE(SUBSTITUTE(SUBSTITUTE(SUBSTITUTE(SUBSTITUTE(SUBSTITUTE(LEFT(BM171,FIND("0",BM171&amp;"0")-1),"-",""),"_",""),"/",""),".",""),"#",""),"\\",""),":","")," ",""),"(",""),")","")</f>
        <v/>
      </c>
      <c r="BV171" s="61" t="n">
        <f aca="false">0</f>
        <v>0</v>
      </c>
      <c r="BW1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171&amp;""),"a",""),"b",""),"c",""),"d",""),"e",""),"f",""),"g",""),"h",""),"i",""),"j",""),"k",""),"l",""),"m",""),"n",""),"o",""),"p",""),"q",""),"r",""),"s",""),"t",""),"u",""),"v",""),"w",""),"x",""),"y",""),"z",""),"-",""),"_",""),"/",""),".",""),"#",""),"\\",""),":","")," ",""),"(",""),")","")</f>
        <v/>
      </c>
      <c r="BX171" s="61" t="str">
        <f aca="false">SUBSTITUTE(SUBSTITUTE(SUBSTITUTE(SUBSTITUTE(SUBSTITUTE(SUBSTITUTE(SUBSTITUTE(SUBSTITUTE(SUBSTITUTE(SUBSTITUTE(SUBSTITUTE(BM171,"0",""),"-",""),"_",""),"/",""),".",""),"#",""),"\\",""),":","")," ",""),"(",""),")","")</f>
        <v/>
      </c>
      <c r="BY171" s="62" t="n">
        <f aca="false">Q171-T7EarlyD*24/24</f>
        <v>46289.6388888889</v>
      </c>
      <c r="BZ171" s="61" t="n">
        <f aca="false">IFERROR(IF(IF(TRIM(S171)="Link / file path",AND(LEN(TRIM(Z171))&gt;=5,SUMPRODUCT(--ISNUMBER(SEARCH({"http","www.","\\",":\",".pdf",".jpg",".jpeg",".png",".heic",".xls",".doc",".msg",".eml",".ppt",".txt",".zip"},Z171)))&gt;0),AND(ISERROR(FIND(" ",TRIM(Z171))),NOT(OR(SUMPRODUCT(--ISNUMBER(FIND({",",";","&amp;","+"},Z171)))&gt;0,SUMPRODUCT(--ISNUMBER(SEARCH({"0/aa","0\\aa"},BN171)))&gt;0)),NOT(SUMPRODUCT(--ISNUMBER(SEARCH({"http","www.","\\",":\",".pdf",".jpg",".jpeg",".png",".heic",".xls",".doc",".msg",".eml",".ppt",".txt",".zip"},Z171)))&gt;0),NOT(LOWER(TRIM(Z171))=LOWER(Flights!$F$10)),ISNA(MATCH(BU171,{"mh","rev","revision","ver","version","v","r","a","b","seat","tray","row","gate","bay","stand","page","pg","item","line","no","cart","galley","flight","flt","table","box","bag","oven","etd","eta","std","sta","atd","ata","qty","pax","x","time","tel","ph","mob","day","wk","week","utc","gmt","myt","lt"},0)),NOT(OR(ISNUMBER(MATCH(LEFT(BN171,255),{"0000a","000a","00a","0000aa","000aa","00aa","0aa","0000aaa","000aaa","00a00","0a00","0000-0000","00:00","a00","a0","00.00.0000","00/00/0000","00-00-0000","0000-00-00","0000/00/00","0000.00.00","00.00.00","00/00/00","00-00-00","0.00.0000","0/00/0000","0-00-0000"},0)),ISNUMBER(MATCH(LEFT(BT171,255),{"0000a","000a","00a","0000aa","000aa","00aa","0aa","0000aaa","000aaa","00a00","0a00","0000-0000","00:00","a00","a0","00.00.0000","00/00/0000","00-00-0000","0000-00-00","0000/00/00","0000.00.00","00.00.00","00/00/00","00-00-00","0.00.0000","0/00/0000","0-00-0000"},0)))),NOT(OR(AND(BW171&lt;&gt;"",SUBSTITUTE(BW171,"0","")=""),AND(LEN(BW171)&gt;=4,BW171=REPT(LEFT(BW171),LEN(BW171))),ISNUMBER(MATCH(BW171,{"123","1234","12345","123456","1234567","12345678","0123","01234","012345","98765","987654","54321"},0)),ISNUMBER(MATCH(BX171,{"x","xx","xxx","xxxx","xxxxx","abc","abcd","nil","na","nan","test","tbc","tba","tbd","dummy","sample","example","eg","zz","zzz","none","null","xyz","qwe","asd","id","ref"},0)),AND(LEN(BW171)=8,BX171="",OR(LEFT(BW171,3)="202",ISNUMBER(MATCH(RIGHT(BW171,4),{"2025","2026","2027"},0)))))),OR(AND((LEN(BT171)-LEN(SUBSTITUTE(BT171,"a","")))&gt;=1,(LEN(BN171)-LEN(SUBSTITUTE(BN171,"0","")))&gt;=2,SUMPRODUCT(--ISNUMBER(SEARCH({"a0","a-0","a_0","a/0","a.0","a#0","0a","0-a","0_a","0/a"},BN171)))&gt;0),AND((LEN(BN171)-LEN(SUBSTITUTE(BN171,"a","")))=0,(LEN(BN171)-LEN(SUBSTITUTE(BN171,"0","")))&gt;=5)))),1,0),0)</f>
        <v>0</v>
      </c>
      <c r="CA1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171,"revision",""),"version",""),"jan",""),"feb",""),"mar",""),"apr",""),"may",""),"jun",""),"jul",""),"aug",""),"sep",""),"oct",""),"nov",""),"dec",""),"utc",""),"gmt",""),"myt",""),"bst",""),"rev",""),"ver",""),"b","a"),"c","a"),"d","a"),"e","a"),"f","a"),"g","a"),"h","a"),"i","a"),"j","a"),"k","a"),"l","a"),"m","a"),"n","a"),"o","a"),"p","a"),"q","a"),"r","a"),"s","a"),"t","a"),"u","a"),"v","a"),"w","a"),"x","a"),"y","a"),"z","a")</f>
        <v/>
      </c>
      <c r="CB1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171&amp;""),"a",""),"b",""),"c",""),"d",""),"e",""),"f",""),"g",""),"h",""),"i",""),"j",""),"k",""),"l",""),"m",""),"n",""),"o",""),"p",""),"q",""),"r",""),"s",""),"t",""),"u",""),"v",""),"w",""),"x",""),"y",""),"z",""),"-",""),"_",""),"/",""),".",""),"#",""),"\\",""),":","")," ",""),"(",""),")","")</f>
        <v/>
      </c>
      <c r="CC171" s="0" t="str">
        <f aca="false">" "&amp;TRIM(SUBSTITUTE(SUBSTITUTE(SUBSTITUTE(SUBSTITUTE(SUBSTITUTE(SUBSTITUTE(SUBSTITUTE(SUBSTITUTE(SUBSTITUTE(SUBSTITUTE(SUBSTITUTE(SUBSTITUTE(SUBSTITUTE(SUBSTITUTE(SUBSTITUTE(SUBSTITUTE(SUBSTITUTE(SUBSTITUTE(SUBSTITUTE(SUBSTITUTE(SUBSTITUTE(SUBSTITUTE(SUBSTITUTE(SUBSTITUTE(LOWER(T171&amp;""),CHAR(10)," "),CHAR(13)," "),CHAR(9)," "),CHAR(160)," "),"."," "),","," "),"-"," "),"/"," "),"("," "),")"," "),":"," "),";"," "),"_"," "),"–"," "),"?"," "),"!"," "),"*"," "),"["," "),"]"," "),"'"," "),"#"," "),"+"," "),"&amp;"," "),"\"," "))&amp;" "</f>
        <v>  </v>
      </c>
      <c r="CD171" s="0" t="str">
        <f aca="false">" "&amp;TRIM(SUBSTITUTE(SUBSTITUTE(SUBSTITUTE(SUBSTITUTE(SUBSTITUTE(SUBSTITUTE(SUBSTITUTE(SUBSTITUTE(SUBSTITUTE(SUBSTITUTE(SUBSTITUTE(SUBSTITUTE(SUBSTITUTE(SUBSTITUTE(SUBSTITUTE(SUBSTITUTE(SUBSTITUTE(SUBSTITUTE(SUBSTITUTE(SUBSTITUTE(SUBSTITUTE(SUBSTITUTE(SUBSTITUTE(SUBSTITUTE(LOWER(AE171&amp;""),CHAR(10)," "),CHAR(13)," "),CHAR(9)," "),CHAR(160)," "),"."," "),","," "),"-"," "),"/"," "),"("," "),")"," "),":"," "),";"," "),"_"," "),"–"," "),"?"," "),"!"," "),"*"," "),"["," "),"]"," "),"'"," "),"#"," "),"+"," "),"&amp;"," "),"\"," "))&amp;" "</f>
        <v>  </v>
      </c>
      <c r="CE171" s="68" t="n">
        <f aca="false">IFERROR(IF(AND(LEN(AU171)&gt;0,LEN(AU171)=LEN(AX171),OR(TRIM(MID(SUBSTITUTE(TRIM(CC171)," ",REPT(" ",60)),1,60))="",ISNUMBER(SEARCH(" "&amp;TRIM(MID(SUBSTITUTE(TRIM(CC171)," ",REPT(" ",60)),1,60))&amp;" ",CD171))),OR(TRIM(MID(SUBSTITUTE(TRIM(CC171)," ",REPT(" ",60)),61,60))="",ISNUMBER(SEARCH(" "&amp;TRIM(MID(SUBSTITUTE(TRIM(CC171)," ",REPT(" ",60)),61,60))&amp;" ",CD171))),OR(TRIM(MID(SUBSTITUTE(TRIM(CC171)," ",REPT(" ",60)),121,60))="",ISNUMBER(SEARCH(" "&amp;TRIM(MID(SUBSTITUTE(TRIM(CC171)," ",REPT(" ",60)),121,60))&amp;" ",CD171)))),1,0),0)</f>
        <v>0</v>
      </c>
      <c r="CG171" s="68" t="n">
        <f aca="false">IFERROR(LEN(SUBSTITUTE(BF171," ",""))-SUMPRODUCT((LEN(BF171)-LEN(SUBSTITUTE(BF171," "&amp;L_NAFiller&amp;" "," ")))/(LEN(L_NAFiller)+1)*LEN(L_NAFiller)),0)</f>
        <v>0</v>
      </c>
    </row>
    <row r="172" customFormat="false" ht="39.75" hidden="false" customHeight="true" outlineLevel="0" collapsed="false">
      <c r="A172" s="57" t="s">
        <v>713</v>
      </c>
      <c r="B172" s="57" t="s">
        <v>231</v>
      </c>
      <c r="C172" s="57" t="str">
        <f aca="false">Flights!$F$10</f>
        <v>MH0002</v>
      </c>
      <c r="D172" s="58" t="n">
        <f aca="false">Flights!$D$10</f>
        <v>46310</v>
      </c>
      <c r="E172" s="57" t="str">
        <f aca="false">Flights!$G$10&amp;"-"&amp;Flights!$H$10</f>
        <v>KUL-LHR</v>
      </c>
      <c r="F172" s="57" t="str">
        <f aca="false">Flights!$K$10</f>
        <v>BC</v>
      </c>
      <c r="G172" s="57" t="s">
        <v>81</v>
      </c>
      <c r="H172" s="57" t="s">
        <v>378</v>
      </c>
      <c r="I172" s="57" t="s">
        <v>405</v>
      </c>
      <c r="J172" s="57" t="s">
        <v>406</v>
      </c>
      <c r="K172" s="67" t="s">
        <v>407</v>
      </c>
      <c r="L172" s="67" t="s">
        <v>382</v>
      </c>
      <c r="M172" s="67"/>
      <c r="N172" s="67" t="s">
        <v>383</v>
      </c>
      <c r="O172" s="67"/>
      <c r="P172" s="57" t="s">
        <v>187</v>
      </c>
      <c r="Q172" s="59" t="n">
        <f aca="false">ROUND((Flights!$AC$10)*1440,0)/1440</f>
        <v>46303.6388888889</v>
      </c>
      <c r="R172" s="59" t="n">
        <f aca="false">Q172+(IF(AND(INDEX(TZ_DSTS,MATCH(P172,TZ_STN,0))&lt;&gt;"",Q172&gt;=INDEX(TZ_DSTS,MATCH(P172,TZ_STN,0)),Q172&lt;INDEX(TZ_DSTE,MATCH(P172,TZ_STN,0))),INDEX(TZ_DST,MATCH(P172,TZ_STN,0)),INDEX(TZ_STD,MATCH(P172,TZ_STN,0))))/24</f>
        <v>46303.9722222222</v>
      </c>
      <c r="S172" s="60"/>
      <c r="T172" s="60"/>
      <c r="U172" s="60"/>
      <c r="V172" s="60"/>
      <c r="W172" s="61"/>
      <c r="X172" s="60"/>
      <c r="Y172" s="60"/>
      <c r="Z172" s="60"/>
      <c r="AA172" s="60"/>
      <c r="AB172" s="60"/>
      <c r="AC172" s="60"/>
      <c r="AD172" s="66"/>
      <c r="AE172" s="60"/>
      <c r="AF172" s="61" t="str">
        <f aca="false">IF(AND(ISNUMBER(X172),ISNUMBER(Y172)),Y172-X172,"")</f>
        <v/>
      </c>
      <c r="AG172" s="62" t="str">
        <f aca="false">IF(ISNUMBER(AD172),AD172-(IF(AND(INDEX(TZ_DSTS,MATCH(P172,TZ_STN,0))&lt;&gt;"",(AD172-INDEX(TZ_STD,MATCH(P172,TZ_STN,0))/24)&gt;=INDEX(TZ_DSTS,MATCH(P172,TZ_STN,0)),(AD172-INDEX(TZ_STD,MATCH(P172,TZ_STN,0))/24)&lt;INDEX(TZ_DSTE,MATCH(P172,TZ_STN,0))),INDEX(TZ_DST,MATCH(P172,TZ_STN,0)),INDEX(TZ_STD,MATCH(P172,TZ_STN,0))))/24,"")</f>
        <v/>
      </c>
      <c r="AH172" s="65" t="str">
        <f aca="false">IFERROR(IF(N172="N/A – rule",IF(OR(TRIM(U172)="",TRIM(U172)="N/A",TRIM(U172)="Not started"),"N/A – RULE","INVALID – this check does not apply to this aircraft: clear the status (or correct the fleet on Flights)"),IF(TRIM(U172)="N/A",IF(AT172=0,"INVALID – N/A not permitted for this check",IF(AND(TRIM(AB172)&lt;&gt;"",TRIM(AB172)&lt;&gt;"Closed"),"INVALID – corrective action still open",IF(AND(NOT(OR(LEN(AZ172)&lt;15,ISNUMBER(MATCH(AZ172,L_Placeholder,0)))),BK172=0,CG172&gt;=8,NOT(OR(LEN(AU172)&lt;2,ISNUMBER(MATCH(AU172,L_Placeholder,0)))),BR172&gt;=3,NOT(OR(LEN(AX172)&lt;2,ISNUMBER(MATCH(AX172,L_Placeholder,0)))),BS172&gt;=3,TRIM(AE172)&lt;&gt;TRIM(T172),AX172&lt;&gt;AU172,CE172=0),"N/A – JUSTIFIED","INVALID – N/A needs a real, settled reason (not 'not applicable' / 'as above' / TBC), a named PIC and a different named verifier"))),IF(OR(TRIM(U172)="Pass",TRIM(U172)="Pass after CA"),IF(NOT(ISNUMBER(AD172)),"INVALID – completion time missing",IF(OR(OR(LEN(AU172)&lt;2,ISNUMBER(MATCH(AU172,L_Placeholder,0))),BR172&lt;3),"INVALID – PIC missing or not a named person (a role such as QA / CSM is not a name)",IF(OR(LEN(AV172)&lt;2,ISNUMBER(MATCH(AV172,L_Placeholder,0))),"INVALID – result / assessment missing",IF(OR(OR(LEN(AW172)&lt;3,ISNUMBER(MATCH(AW172,L_Placeholder,0))),SUMPRODUCT(--ISNUMBER(SEARCH(" "&amp;L_EvidencePhrase&amp;" ",BD172)))&gt;0,BI172=1),"INVALID – evidence missing, placeholder or not yet on file",IF(ISNA(MATCH(TRIM(S172),L_EvidenceType,0)),"INVALID – choose the evidence type from the list (column S)",IF(BL172=0,"INVALID – evidence ID must be the record's own ID only (e.g. SF-2210, IMG_2231, 1045521); a link / file name needs type 'Link / file path'",IF(OR(OR(LEN(AX172)&lt;2,ISNUMBER(MATCH(AX172,L_Placeholder,0))),BS172&lt;3),"INVALID – verifier missing or not a named person (a role such as QA / CSM is not a name)",IF(OR(AX172=AU172,CE172=1,AND(LEN(AU172)&gt;=4,ISNUMBER(SEARCH(AU172,AX172))),AND(LEN(AX172)&gt;=4,ISNUMBER(SEARCH(AX172,AU172)))),"INVALID – verifier must be a different, named person (not the PIC or a role)",IF(BH172=1,"INVALID – result not yet available (awaiting / TBC)",IF(BG172=1,"INVALID – result describes a problem: record Fail, then Pass after CA (or reword if it is not a problem)",IF(BV172=1,"INVALID – wording says not on board: an on-board confirmation needs the item loaded",IF(AND(AQ172=1,OR(OR(LEN(AY172)&lt;3,ISNUMBER(MATCH(AY172,L_Placeholder,0))),BJ172=1,BQ172=0)),"INVALID – batch ID missing, placeholder or not an ID (e.g. PASB-261008-BC-017)",IF(AND(AR172=1,OR(NOT(ISNUMBER(X172)),NOT(ISNUMBER(Y172)))),"INVALID – expected/actual qty missing",IF(AND(AR172=1,OR(X172&lt;=0,Y172&lt;0)),"INVALID – expected qty must be above 0 and actual not negative",IF(BB172&lt;&gt;"",BB172,IF(AND(AS172=1,Documents!$J$10&lt;&gt;"ON FILE"),"INVALID – GLD not on file (Documents sheet)",IF(AND(AS172=2,Documents!$O$10&lt;&gt;"ON FILE"),"INVALID – menu checklist not on file (Documents sheet)",IF(AND(AS172=3,NOT(ISNUMBER(Flights!$AX$10))),"INVALID – enter carrying flight KUL departure (Flights AX)",IF(AND(AS172=3,OR(Flights!$AZ$10&gt;Flights!$AA$10,Flights!$AX$10&lt;Flights!$AA$10-3)),"INVALID – carrying flight (Flights AX) cannot arrive before this leg's STD, or is over 3 days early",IF(AG172&gt;AsOfUTC,"INVALID – completion time is in the future",IF(AND(ISNUMBER(BY172),AG172&lt;BY172),IF(H172="Physical uplift","INVALID – before uplift window (cannot confirm loading)","INVALID – before valid window"),IF(AG172&gt;Flights!$AA$10,"INVALID – completed after departure (cannot establish readiness)",IF(AND(H172="Preparation",AG172&gt;=IF(ISNUMBER(Flights!$BA$10),MIN(Flights!$BA$10,Flights!$AA$10),Flights!$AA$10)),"INVALID – completed after loading / departure (cannot establish readiness)",IF(AND(H172="Physical uplift",AG172&gt;Q172),"INVALID – recorded after the loading flight departed",IF(AG172&gt;Q172,"COMPLETE – LATE","COMPLETE"))))))))))))))))))))))))),IF(TRIM(U172)="Fail","FAIL – DISCREPANCY",IF(AND(TRIM(U172)&lt;&gt;"",TRIM(U172)&lt;&gt;"Not started",TRIM(U172)&lt;&gt;"In progress"),"INVALID – unrecognised status (use the list)",IF(AsOfUTC&gt;Q172,"OVERDUE",IF(N172="Clarification required","OPEN – CLARIFICATION","OPEN"))))))),"INVALID – error value in an input cell")</f>
        <v>OPEN</v>
      </c>
      <c r="AI172" s="61" t="n">
        <f aca="false">IF(OR(AH172="N/A – RULE",AH172="N/A – JUSTIFIED"),0,1)</f>
        <v>1</v>
      </c>
      <c r="AJ172" s="61" t="n">
        <f aca="false">IF(LEFT(AH172,8)="COMPLETE",1,0)</f>
        <v>0</v>
      </c>
      <c r="AK172" s="61" t="n">
        <f aca="false">IF(AND(AI172=1,AJ172=0,AsOfUTC&gt;Q172),1,0)</f>
        <v>0</v>
      </c>
      <c r="AL172" s="61" t="n">
        <f aca="false">IFERROR(IF(AND(AI172=1,OR(TRIM(U172)="Fail",AND(TRIM(AB172)&lt;&gt;"",TRIM(AB172)&lt;&gt;"Closed"),AND(ISNUMBER(AF172),AF172&lt;&gt;0,TRIM(U172)&lt;&gt;"Pass after CA"))),1,0),1)</f>
        <v>0</v>
      </c>
      <c r="AM172" s="61" t="n">
        <f aca="false">IF(LEFT(AH172,7)="INVALID",1,0)</f>
        <v>0</v>
      </c>
      <c r="AN172" s="61" t="n">
        <f aca="false">IF(AND(N172="Clarification required",AI172=1,AJ172=0),1,0)</f>
        <v>0</v>
      </c>
      <c r="AO172" s="61" t="str">
        <f aca="false">IF(AK172=1,SUM(AK$5:AK172),"")</f>
        <v/>
      </c>
      <c r="AP172" s="61" t="str">
        <f aca="false">IF(AL172=1,SUM(AL$5:AL172),"")</f>
        <v/>
      </c>
      <c r="AQ172" s="61" t="n">
        <v>0</v>
      </c>
      <c r="AR172" s="61" t="n">
        <v>0</v>
      </c>
      <c r="AS172" s="61" t="n">
        <v>1</v>
      </c>
      <c r="AT172" s="61" t="n">
        <v>0</v>
      </c>
      <c r="AU172" s="61" t="str">
        <f aca="false">SUBSTITUTE(SUBSTITUTE(SUBSTITUTE(SUBSTITUTE(SUBSTITUTE(SUBSTITUTE(SUBSTITUTE(SUBSTITUTE(SUBSTITUTE(SUBSTITUTE(SUBSTITUTE(SUBSTITUTE(SUBSTITUTE(SUBSTITUTE(SUBSTITUTE(SUBSTITUTE(LOWER(T172&amp;""),CHAR(10),""),CHAR(13),""),CHAR(9),""),CHAR(160),"")," ",""),".",""),"-",""),"/",""),"?",""),"_",""),",",""),"[",""),"]",""),"(",""),")",""),"*","")</f>
        <v/>
      </c>
      <c r="AV172" s="61" t="str">
        <f aca="false">SUBSTITUTE(SUBSTITUTE(SUBSTITUTE(SUBSTITUTE(SUBSTITUTE(SUBSTITUTE(SUBSTITUTE(SUBSTITUTE(SUBSTITUTE(SUBSTITUTE(SUBSTITUTE(SUBSTITUTE(SUBSTITUTE(SUBSTITUTE(SUBSTITUTE(SUBSTITUTE(LOWER(V172&amp;""),CHAR(10),""),CHAR(13),""),CHAR(9),""),CHAR(160),"")," ",""),".",""),"-",""),"/",""),"?",""),"_",""),",",""),"[",""),"]",""),"(",""),")",""),"*","")</f>
        <v/>
      </c>
      <c r="AW172" s="61" t="str">
        <f aca="false">SUBSTITUTE(SUBSTITUTE(SUBSTITUTE(SUBSTITUTE(SUBSTITUTE(SUBSTITUTE(SUBSTITUTE(SUBSTITUTE(SUBSTITUTE(SUBSTITUTE(SUBSTITUTE(SUBSTITUTE(SUBSTITUTE(SUBSTITUTE(SUBSTITUTE(SUBSTITUTE(LOWER(Z172&amp;""),CHAR(10),""),CHAR(13),""),CHAR(9),""),CHAR(160),"")," ",""),".",""),"-",""),"/",""),"?",""),"_",""),",",""),"[",""),"]",""),"(",""),")",""),"*","")</f>
        <v/>
      </c>
      <c r="AX172" s="61" t="str">
        <f aca="false">SUBSTITUTE(SUBSTITUTE(SUBSTITUTE(SUBSTITUTE(SUBSTITUTE(SUBSTITUTE(SUBSTITUTE(SUBSTITUTE(SUBSTITUTE(SUBSTITUTE(SUBSTITUTE(SUBSTITUTE(SUBSTITUTE(SUBSTITUTE(SUBSTITUTE(SUBSTITUTE(LOWER(AE172&amp;""),CHAR(10),""),CHAR(13),""),CHAR(9),""),CHAR(160),"")," ",""),".",""),"-",""),"/",""),"?",""),"_",""),",",""),"[",""),"]",""),"(",""),")",""),"*","")</f>
        <v/>
      </c>
      <c r="AY172" s="61" t="str">
        <f aca="false">SUBSTITUTE(SUBSTITUTE(SUBSTITUTE(SUBSTITUTE(SUBSTITUTE(SUBSTITUTE(SUBSTITUTE(SUBSTITUTE(SUBSTITUTE(SUBSTITUTE(SUBSTITUTE(SUBSTITUTE(SUBSTITUTE(SUBSTITUTE(SUBSTITUTE(SUBSTITUTE(LOWER(W172&amp;""),CHAR(10),""),CHAR(13),""),CHAR(9),""),CHAR(160),"")," ",""),".",""),"-",""),"/",""),"?",""),"_",""),",",""),"[",""),"]",""),"(",""),")",""),"*","")</f>
        <v/>
      </c>
      <c r="AZ172" s="61" t="str">
        <f aca="false">SUBSTITUTE(SUBSTITUTE(SUBSTITUTE(SUBSTITUTE(SUBSTITUTE(SUBSTITUTE(SUBSTITUTE(SUBSTITUTE(SUBSTITUTE(SUBSTITUTE(SUBSTITUTE(SUBSTITUTE(SUBSTITUTE(SUBSTITUTE(SUBSTITUTE(SUBSTITUTE(LOWER(AC172&amp;""),CHAR(10),""),CHAR(13),""),CHAR(9),""),CHAR(160),"")," ",""),".",""),"-",""),"/",""),"?",""),"_",""),",",""),"[",""),"]",""),"(",""),")",""),"*","")</f>
        <v/>
      </c>
      <c r="BA172" s="61" t="str">
        <f aca="false">SUBSTITUTE(SUBSTITUTE(SUBSTITUTE(SUBSTITUTE(SUBSTITUTE(SUBSTITUTE(SUBSTITUTE(SUBSTITUTE(SUBSTITUTE(SUBSTITUTE(SUBSTITUTE(SUBSTITUTE(SUBSTITUTE(SUBSTITUTE(SUBSTITUTE(SUBSTITUTE(LOWER(AA172&amp;""),CHAR(10),""),CHAR(13),""),CHAR(9),""),CHAR(160),"")," ",""),".",""),"-",""),"/",""),"?",""),"_",""),",",""),"[",""),"]",""),"(",""),")",""),"*","")</f>
        <v/>
      </c>
      <c r="BB172" s="61" t="str">
        <f aca="false">IF(AND(TRIM(U172)="Pass",ISNUMBER(AF172)),IF(AF172&lt;&gt;0,"INVALID – qty variance: use Fail or Pass after CA",""),"")&amp;IF(AND(TRIM(U172)="Pass after CA",ISNUMBER(AF172)),IF(AF172&lt;&gt;0,"INVALID – after the corrective action the actual qty must equal expected (update Actual)",""),"")&amp;IF(AND(TRIM(U172)="Pass",TRIM(AB172)&lt;&gt;"",TRIM(AB172)&lt;&gt;"Closed"),"INVALID – corrective action not closed: use Fail, then Pass after CA","")&amp;IF(AND(LEN(BA172)&gt;=2,ISNA(MATCH(LEFT(BA172,255),L_Placeholder,0)),TRIM(AB172)=""),"INVALID – CA status missing for the recorded corrective action","")&amp;IF(AND(TRIM(U172)="Pass after CA",OR(OR(LEN(BA172)&lt;5,ISNUMBER(MATCH(BA172,L_Placeholder,0))),TRIM(AB172)&lt;&gt;"Closed")),"INVALID – corrective action not recorded/closed","")</f>
        <v/>
      </c>
      <c r="BC172" s="61" t="str">
        <f aca="false">" "&amp;TRIM(SUBSTITUTE(SUBSTITUTE(SUBSTITUTE(SUBSTITUTE(SUBSTITUTE(SUBSTITUTE(SUBSTITUTE(SUBSTITUTE(SUBSTITUTE(SUBSTITUTE(SUBSTITUTE(SUBSTITUTE(SUBSTITUTE(SUBSTITUTE(SUBSTITUTE(SUBSTITUTE(SUBSTITUTE(SUBSTITUTE(SUBSTITUTE(SUBSTITUTE(SUBSTITUTE(SUBSTITUTE(SUBSTITUTE(SUBSTITUTE(LOWER(V172&amp;""),CHAR(10)," "),CHAR(13)," "),CHAR(9)," "),CHAR(160)," "),"."," "),","," "),"-"," "),"/"," "),"("," "),")"," "),":"," "),";"," "),"_"," "),"–"," "),"?"," "),"!"," "),"*"," "),"["," "),"]"," "),"'"," "),"#"," "),"+"," "),"&amp;"," "),"\"," "))&amp;" "</f>
        <v>  </v>
      </c>
      <c r="BD172" s="61" t="str">
        <f aca="false">" "&amp;TRIM(SUBSTITUTE(SUBSTITUTE(SUBSTITUTE(SUBSTITUTE(SUBSTITUTE(SUBSTITUTE(SUBSTITUTE(SUBSTITUTE(SUBSTITUTE(SUBSTITUTE(SUBSTITUTE(SUBSTITUTE(SUBSTITUTE(SUBSTITUTE(SUBSTITUTE(SUBSTITUTE(SUBSTITUTE(SUBSTITUTE(SUBSTITUTE(SUBSTITUTE(SUBSTITUTE(SUBSTITUTE(SUBSTITUTE(SUBSTITUTE(LOWER(Z172&amp;""),CHAR(10)," "),CHAR(13)," "),CHAR(9)," "),CHAR(160)," "),"."," "),","," "),"-"," "),"/"," "),"("," "),")"," "),":"," "),";"," "),"_"," "),"–"," "),"?"," "),"!"," "),"*"," "),"["," "),"]"," "),"'"," "),"#"," "),"+"," "),"&amp;"," "),"\"," "))&amp;" "</f>
        <v>  </v>
      </c>
      <c r="BE172" s="61" t="str">
        <f aca="false">" "&amp;TRIM(SUBSTITUTE(SUBSTITUTE(SUBSTITUTE(SUBSTITUTE(SUBSTITUTE(SUBSTITUTE(SUBSTITUTE(SUBSTITUTE(SUBSTITUTE(SUBSTITUTE(SUBSTITUTE(SUBSTITUTE(SUBSTITUTE(SUBSTITUTE(SUBSTITUTE(SUBSTITUTE(SUBSTITUTE(SUBSTITUTE(SUBSTITUTE(SUBSTITUTE(SUBSTITUTE(SUBSTITUTE(SUBSTITUTE(SUBSTITUTE(LOWER(W172&amp;""),CHAR(10)," "),CHAR(13)," "),CHAR(9)," "),CHAR(160)," "),"."," "),","," "),"-"," "),"/"," "),"("," "),")"," "),":"," "),";"," "),"_"," "),"–"," "),"?"," "),"!"," "),"*"," "),"["," "),"]"," "),"'"," "),"#"," "),"+"," "),"&amp;"," "),"\"," "))&amp;" "</f>
        <v>  </v>
      </c>
      <c r="BF172" s="61" t="str">
        <f aca="false">" "&amp;TRIM(SUBSTITUTE(SUBSTITUTE(SUBSTITUTE(SUBSTITUTE(SUBSTITUTE(SUBSTITUTE(SUBSTITUTE(SUBSTITUTE(SUBSTITUTE(SUBSTITUTE(SUBSTITUTE(SUBSTITUTE(SUBSTITUTE(SUBSTITUTE(SUBSTITUTE(SUBSTITUTE(SUBSTITUTE(SUBSTITUTE(SUBSTITUTE(SUBSTITUTE(SUBSTITUTE(SUBSTITUTE(SUBSTITUTE(SUBSTITUTE(LOWER(AC172&amp;""),CHAR(10)," "),CHAR(13)," "),CHAR(9)," "),CHAR(160)," "),"."," "),","," "),"-"," "),"/"," "),"("," "),")"," "),":"," "),";"," "),"_"," "),"–"," "),"?"," "),"!"," "),"*"," "),"["," "),"]"," "),"'"," "),"#"," "),"+"," "),"&amp;"," "),"\"," "))&amp;" "</f>
        <v>  </v>
      </c>
      <c r="BG172" s="61" t="n">
        <f aca="false">IFERROR(IF(AND(TRIM(U172)="Pass",SUMPRODUCT((LEN(BC172)-LEN(SUBSTITUTE(BC172," "&amp;L_ResultBad&amp;" "," ")))/(LEN(L_ResultBad)+1))&gt;SUMPRODUCT((LEN(BC172)-LEN(SUBSTITUTE(BC172," "&amp;L_NegPhrase&amp;" "," ")))/(LEN(L_NegPhrase)+1))),1,0),0)</f>
        <v>0</v>
      </c>
      <c r="BH172" s="61" t="n">
        <f aca="false">IFERROR(IF(SUMPRODUCT((LEN(BC172)-LEN(SUBSTITUTE(BC172," "&amp;L_Pending&amp;" "," ")))/(LEN(L_Pending)+1))&gt;SUMPRODUCT((LEN(BC172)-LEN(SUBSTITUTE(BC172," "&amp;L_PendNeg&amp;" "," ")))/(LEN(L_PendNeg)+1))+SUMPRODUCT((LEN(BC172)-LEN(SUBSTITUTE(BC172," "&amp;L_PendPrep&amp;" "," ")))/(LEN(L_PendPrep)+1)),1,0),1)</f>
        <v>0</v>
      </c>
      <c r="BI172" s="61" t="n">
        <f aca="false">IFERROR(IF(SUMPRODUCT((LEN(BD172)-LEN(SUBSTITUTE(BD172," "&amp;L_PendStrict&amp;" "," ")))/(LEN(L_PendStrict)+1))&gt;SUMPRODUCT((LEN(BD172)-LEN(SUBSTITUTE(BD172," "&amp;L_PendNeg&amp;" "," ")))/(LEN(L_PendNeg)+1)),1,0),1)</f>
        <v>0</v>
      </c>
      <c r="BJ172" s="61" t="n">
        <f aca="false">IFERROR(IF(SUMPRODUCT((LEN(BE172)-LEN(SUBSTITUTE(BE172," "&amp;L_Pending&amp;" "," ")))/(LEN(L_Pending)+1))&gt;SUMPRODUCT((LEN(BE172)-LEN(SUBSTITUTE(BE172," "&amp;L_PendNeg&amp;" "," ")))/(LEN(L_PendNeg)+1))+SUMPRODUCT((LEN(BE172)-LEN(SUBSTITUTE(BE172," "&amp;L_PendPrep&amp;" "," ")))/(LEN(L_PendPrep)+1)),1,0),1)</f>
        <v>0</v>
      </c>
      <c r="BK172" s="61" t="n">
        <f aca="false">IFERROR(IF(SUMPRODUCT((LEN(BF172)-LEN(SUBSTITUTE(BF172," "&amp;L_PendStrict&amp;" "," ")))/(LEN(L_PendStrict)+1))&gt;SUMPRODUCT((LEN(BF172)-LEN(SUBSTITUTE(BF172," "&amp;L_PendNeg&amp;" "," ")))/(LEN(L_PendNeg)+1)),1,0),1)</f>
        <v>0</v>
      </c>
      <c r="BL172" s="61" t="n">
        <f aca="false">IF(ISNA(MATCH(TRIM(S172),L_EvidenceType,0)),0,BZ172)</f>
        <v>0</v>
      </c>
      <c r="BM172" s="61" t="str">
        <f aca="false">SUBSTITUTE(SUBSTITUTE(SUBSTITUTE(SUBSTITUTE(SUBSTITUTE(SUBSTITUTE(SUBSTITUTE(SUBSTITUTE(SUBSTITUTE(LOWER(Z172&amp;""),"1","0"),"2","0"),"3","0"),"4","0"),"5","0"),"6","0"),"7","0"),"8","0"),"9","0")</f>
        <v/>
      </c>
      <c r="BN172" s="61" t="str">
        <f aca="false">SUBSTITUTE(SUBSTITUTE(SUBSTITUTE(SUBSTITUTE(SUBSTITUTE(SUBSTITUTE(SUBSTITUTE(SUBSTITUTE(SUBSTITUTE(SUBSTITUTE(SUBSTITUTE(SUBSTITUTE(SUBSTITUTE(SUBSTITUTE(SUBSTITUTE(SUBSTITUTE(SUBSTITUTE(SUBSTITUTE(SUBSTITUTE(SUBSTITUTE(SUBSTITUTE(SUBSTITUTE(SUBSTITUTE(SUBSTITUTE(SUBSTITUTE(BM172,"b","a"),"c","a"),"d","a"),"e","a"),"f","a"),"g","a"),"h","a"),"i","a"),"j","a"),"k","a"),"l","a"),"m","a"),"n","a"),"o","a"),"p","a"),"q","a"),"r","a"),"s","a"),"t","a"),"u","a"),"v","a"),"w","a"),"x","a"),"y","a"),"z","a")</f>
        <v/>
      </c>
      <c r="BO172" s="61" t="str">
        <f aca="false">SUBSTITUTE(SUBSTITUTE(SUBSTITUTE(SUBSTITUTE(SUBSTITUTE(SUBSTITUTE(SUBSTITUTE(SUBSTITUTE(SUBSTITUTE(LOWER(W172&amp;""),"1","0"),"2","0"),"3","0"),"4","0"),"5","0"),"6","0"),"7","0"),"8","0"),"9","0")</f>
        <v/>
      </c>
      <c r="BP172" s="61" t="str">
        <f aca="false">SUBSTITUTE(SUBSTITUTE(SUBSTITUTE(SUBSTITUTE(SUBSTITUTE(SUBSTITUTE(SUBSTITUTE(SUBSTITUTE(SUBSTITUTE(SUBSTITUTE(SUBSTITUTE(SUBSTITUTE(SUBSTITUTE(SUBSTITUTE(SUBSTITUTE(SUBSTITUTE(SUBSTITUTE(SUBSTITUTE(SUBSTITUTE(SUBSTITUTE(SUBSTITUTE(SUBSTITUTE(SUBSTITUTE(SUBSTITUTE(SUBSTITUTE(BO172,"b","a"),"c","a"),"d","a"),"e","a"),"f","a"),"g","a"),"h","a"),"i","a"),"j","a"),"k","a"),"l","a"),"m","a"),"n","a"),"o","a"),"p","a"),"q","a"),"r","a"),"s","a"),"t","a"),"u","a"),"v","a"),"w","a"),"x","a"),"y","a"),"z","a")</f>
        <v/>
      </c>
      <c r="BQ172" s="61" t="n">
        <f aca="false">IFERROR(IF(AND(ISERROR(SEARCH(" mh"," "&amp;LOWER(W172))),ISNA(MATCH(LEFT(TRIM(BP172),255),{"0000a","000a","00a","0000aa","000aa","00aa","0aa","0000aaa","000aaa","00a00","0a00","0000-0000","00:00","a00","a0","00.00.0000","00/00/0000","00-00-0000","0000-00-00","0000/00/00","0000.00.00","00.00.00","00/00/00","00-00-00","0.00.0000","0/00/0000","0-00-0000"},0)),ISNA(MATCH(LEFT(TRIM(CA172),255),{"0000a","000a","00a","0000aa","000aa","00aa","0aa","0000aaa","000aaa","00a00","0a00","0000-0000","00:00","a00","a0","00.00.0000","00/00/0000","00-00-0000","0000-00-00","0000/00/00","0000.00.00","00.00.00","00/00/00","00-00-00","0.00.0000","0/00/0000","0-00-0000"},0)),LEN(CB172)&gt;=3,NOT(OR(SUBSTITUTE(CB172,"0","")="",AND(LEN(CB172)&gt;=4,CB172=REPT(LEFT(CB172),LEN(CB172))),ISNUMBER(MATCH(CB172,{"123","1234","12345","123456","1234567","12345678","0123","01234","012345","98765","987654","54321"},0)),AND(LEN(CB172)=8,LEFT(CB172,3)="202"))),OR(AND((LEN(CA172)-LEN(SUBSTITUTE(CA172,"a","")))&gt;=1,SUMPRODUCT(--ISNUMBER(SEARCH({"a0","a-0","a_0","a/0","a.0","a#0","0a","0-a","0_a","0/a"},BP172)))&gt;0),ISNUMBER(SEARCH("000000",BP172)))),1,0),0)</f>
        <v>0</v>
      </c>
      <c r="BR172" s="61" t="n">
        <f aca="false">IFERROR(LEN(SUBSTITUTE(CC172," ",""))-SUMPRODUCT((LEN(CC172)-LEN(SUBSTITUTE(CC172," "&amp;L_Role&amp;" "," ")))/(LEN(L_Role)+1)*LEN(L_Role)),0)</f>
        <v>0</v>
      </c>
      <c r="BS172" s="61" t="n">
        <f aca="false">IFERROR(LEN(SUBSTITUTE(CD172," ",""))-SUMPRODUCT((LEN(CD172)-LEN(SUBSTITUTE(CD172," "&amp;L_Role&amp;" "," ")))/(LEN(L_Role)+1)*LEN(L_Role)),0)</f>
        <v>0</v>
      </c>
      <c r="BT1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172,"revision",""),"version",""),"jan",""),"feb",""),"mar",""),"apr",""),"may",""),"jun",""),"jul",""),"aug",""),"sep",""),"oct",""),"nov",""),"dec",""),"utc",""),"gmt",""),"myt",""),"bst",""),"rev",""),"ver",""),"b","a"),"c","a"),"d","a"),"e","a"),"f","a"),"g","a"),"h","a"),"i","a"),"j","a"),"k","a"),"l","a"),"m","a"),"n","a"),"o","a"),"p","a"),"q","a"),"r","a"),"s","a"),"t","a"),"u","a"),"v","a"),"w","a"),"x","a"),"y","a"),"z","a")</f>
        <v/>
      </c>
      <c r="BU172" s="61" t="str">
        <f aca="false">SUBSTITUTE(SUBSTITUTE(SUBSTITUTE(SUBSTITUTE(SUBSTITUTE(SUBSTITUTE(SUBSTITUTE(SUBSTITUTE(SUBSTITUTE(SUBSTITUTE(LEFT(BM172,FIND("0",BM172&amp;"0")-1),"-",""),"_",""),"/",""),".",""),"#",""),"\\",""),":","")," ",""),"(",""),")","")</f>
        <v/>
      </c>
      <c r="BV172" s="61" t="n">
        <f aca="false">0</f>
        <v>0</v>
      </c>
      <c r="BW1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172&amp;""),"a",""),"b",""),"c",""),"d",""),"e",""),"f",""),"g",""),"h",""),"i",""),"j",""),"k",""),"l",""),"m",""),"n",""),"o",""),"p",""),"q",""),"r",""),"s",""),"t",""),"u",""),"v",""),"w",""),"x",""),"y",""),"z",""),"-",""),"_",""),"/",""),".",""),"#",""),"\\",""),":","")," ",""),"(",""),")","")</f>
        <v/>
      </c>
      <c r="BX172" s="61" t="str">
        <f aca="false">SUBSTITUTE(SUBSTITUTE(SUBSTITUTE(SUBSTITUTE(SUBSTITUTE(SUBSTITUTE(SUBSTITUTE(SUBSTITUTE(SUBSTITUTE(SUBSTITUTE(SUBSTITUTE(BM172,"0",""),"-",""),"_",""),"/",""),".",""),"#",""),"\\",""),":","")," ",""),"(",""),")","")</f>
        <v/>
      </c>
      <c r="BY172" s="62" t="n">
        <f aca="false">Q172-T7EarlyD*24/24</f>
        <v>46289.6388888889</v>
      </c>
      <c r="BZ172" s="61" t="n">
        <f aca="false">IFERROR(IF(IF(TRIM(S172)="Link / file path",AND(LEN(TRIM(Z172))&gt;=5,SUMPRODUCT(--ISNUMBER(SEARCH({"http","www.","\\",":\",".pdf",".jpg",".jpeg",".png",".heic",".xls",".doc",".msg",".eml",".ppt",".txt",".zip"},Z172)))&gt;0),AND(ISERROR(FIND(" ",TRIM(Z172))),NOT(OR(SUMPRODUCT(--ISNUMBER(FIND({",",";","&amp;","+"},Z172)))&gt;0,SUMPRODUCT(--ISNUMBER(SEARCH({"0/aa","0\\aa"},BN172)))&gt;0)),NOT(SUMPRODUCT(--ISNUMBER(SEARCH({"http","www.","\\",":\",".pdf",".jpg",".jpeg",".png",".heic",".xls",".doc",".msg",".eml",".ppt",".txt",".zip"},Z172)))&gt;0),NOT(LOWER(TRIM(Z172))=LOWER(Flights!$F$10)),ISNA(MATCH(BU172,{"mh","rev","revision","ver","version","v","r","a","b","seat","tray","row","gate","bay","stand","page","pg","item","line","no","cart","galley","flight","flt","table","box","bag","oven","etd","eta","std","sta","atd","ata","qty","pax","x","time","tel","ph","mob","day","wk","week","utc","gmt","myt","lt"},0)),NOT(OR(ISNUMBER(MATCH(LEFT(BN172,255),{"0000a","000a","00a","0000aa","000aa","00aa","0aa","0000aaa","000aaa","00a00","0a00","0000-0000","00:00","a00","a0","00.00.0000","00/00/0000","00-00-0000","0000-00-00","0000/00/00","0000.00.00","00.00.00","00/00/00","00-00-00","0.00.0000","0/00/0000","0-00-0000"},0)),ISNUMBER(MATCH(LEFT(BT172,255),{"0000a","000a","00a","0000aa","000aa","00aa","0aa","0000aaa","000aaa","00a00","0a00","0000-0000","00:00","a00","a0","00.00.0000","00/00/0000","00-00-0000","0000-00-00","0000/00/00","0000.00.00","00.00.00","00/00/00","00-00-00","0.00.0000","0/00/0000","0-00-0000"},0)))),NOT(OR(AND(BW172&lt;&gt;"",SUBSTITUTE(BW172,"0","")=""),AND(LEN(BW172)&gt;=4,BW172=REPT(LEFT(BW172),LEN(BW172))),ISNUMBER(MATCH(BW172,{"123","1234","12345","123456","1234567","12345678","0123","01234","012345","98765","987654","54321"},0)),ISNUMBER(MATCH(BX172,{"x","xx","xxx","xxxx","xxxxx","abc","abcd","nil","na","nan","test","tbc","tba","tbd","dummy","sample","example","eg","zz","zzz","none","null","xyz","qwe","asd","id","ref"},0)),AND(LEN(BW172)=8,BX172="",OR(LEFT(BW172,3)="202",ISNUMBER(MATCH(RIGHT(BW172,4),{"2025","2026","2027"},0)))))),OR(AND((LEN(BT172)-LEN(SUBSTITUTE(BT172,"a","")))&gt;=1,(LEN(BN172)-LEN(SUBSTITUTE(BN172,"0","")))&gt;=2,SUMPRODUCT(--ISNUMBER(SEARCH({"a0","a-0","a_0","a/0","a.0","a#0","0a","0-a","0_a","0/a"},BN172)))&gt;0),AND((LEN(BN172)-LEN(SUBSTITUTE(BN172,"a","")))=0,(LEN(BN172)-LEN(SUBSTITUTE(BN172,"0","")))&gt;=5)))),1,0),0)</f>
        <v>0</v>
      </c>
      <c r="CA1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172,"revision",""),"version",""),"jan",""),"feb",""),"mar",""),"apr",""),"may",""),"jun",""),"jul",""),"aug",""),"sep",""),"oct",""),"nov",""),"dec",""),"utc",""),"gmt",""),"myt",""),"bst",""),"rev",""),"ver",""),"b","a"),"c","a"),"d","a"),"e","a"),"f","a"),"g","a"),"h","a"),"i","a"),"j","a"),"k","a"),"l","a"),"m","a"),"n","a"),"o","a"),"p","a"),"q","a"),"r","a"),"s","a"),"t","a"),"u","a"),"v","a"),"w","a"),"x","a"),"y","a"),"z","a")</f>
        <v/>
      </c>
      <c r="CB1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172&amp;""),"a",""),"b",""),"c",""),"d",""),"e",""),"f",""),"g",""),"h",""),"i",""),"j",""),"k",""),"l",""),"m",""),"n",""),"o",""),"p",""),"q",""),"r",""),"s",""),"t",""),"u",""),"v",""),"w",""),"x",""),"y",""),"z",""),"-",""),"_",""),"/",""),".",""),"#",""),"\\",""),":","")," ",""),"(",""),")","")</f>
        <v/>
      </c>
      <c r="CC172" s="0" t="str">
        <f aca="false">" "&amp;TRIM(SUBSTITUTE(SUBSTITUTE(SUBSTITUTE(SUBSTITUTE(SUBSTITUTE(SUBSTITUTE(SUBSTITUTE(SUBSTITUTE(SUBSTITUTE(SUBSTITUTE(SUBSTITUTE(SUBSTITUTE(SUBSTITUTE(SUBSTITUTE(SUBSTITUTE(SUBSTITUTE(SUBSTITUTE(SUBSTITUTE(SUBSTITUTE(SUBSTITUTE(SUBSTITUTE(SUBSTITUTE(SUBSTITUTE(SUBSTITUTE(LOWER(T172&amp;""),CHAR(10)," "),CHAR(13)," "),CHAR(9)," "),CHAR(160)," "),"."," "),","," "),"-"," "),"/"," "),"("," "),")"," "),":"," "),";"," "),"_"," "),"–"," "),"?"," "),"!"," "),"*"," "),"["," "),"]"," "),"'"," "),"#"," "),"+"," "),"&amp;"," "),"\"," "))&amp;" "</f>
        <v>  </v>
      </c>
      <c r="CD172" s="0" t="str">
        <f aca="false">" "&amp;TRIM(SUBSTITUTE(SUBSTITUTE(SUBSTITUTE(SUBSTITUTE(SUBSTITUTE(SUBSTITUTE(SUBSTITUTE(SUBSTITUTE(SUBSTITUTE(SUBSTITUTE(SUBSTITUTE(SUBSTITUTE(SUBSTITUTE(SUBSTITUTE(SUBSTITUTE(SUBSTITUTE(SUBSTITUTE(SUBSTITUTE(SUBSTITUTE(SUBSTITUTE(SUBSTITUTE(SUBSTITUTE(SUBSTITUTE(SUBSTITUTE(LOWER(AE172&amp;""),CHAR(10)," "),CHAR(13)," "),CHAR(9)," "),CHAR(160)," "),"."," "),","," "),"-"," "),"/"," "),"("," "),")"," "),":"," "),";"," "),"_"," "),"–"," "),"?"," "),"!"," "),"*"," "),"["," "),"]"," "),"'"," "),"#"," "),"+"," "),"&amp;"," "),"\"," "))&amp;" "</f>
        <v>  </v>
      </c>
      <c r="CE172" s="68" t="n">
        <f aca="false">IFERROR(IF(AND(LEN(AU172)&gt;0,LEN(AU172)=LEN(AX172),OR(TRIM(MID(SUBSTITUTE(TRIM(CC172)," ",REPT(" ",60)),1,60))="",ISNUMBER(SEARCH(" "&amp;TRIM(MID(SUBSTITUTE(TRIM(CC172)," ",REPT(" ",60)),1,60))&amp;" ",CD172))),OR(TRIM(MID(SUBSTITUTE(TRIM(CC172)," ",REPT(" ",60)),61,60))="",ISNUMBER(SEARCH(" "&amp;TRIM(MID(SUBSTITUTE(TRIM(CC172)," ",REPT(" ",60)),61,60))&amp;" ",CD172))),OR(TRIM(MID(SUBSTITUTE(TRIM(CC172)," ",REPT(" ",60)),121,60))="",ISNUMBER(SEARCH(" "&amp;TRIM(MID(SUBSTITUTE(TRIM(CC172)," ",REPT(" ",60)),121,60))&amp;" ",CD172)))),1,0),0)</f>
        <v>0</v>
      </c>
      <c r="CG172" s="68" t="n">
        <f aca="false">IFERROR(LEN(SUBSTITUTE(BF172," ",""))-SUMPRODUCT((LEN(BF172)-LEN(SUBSTITUTE(BF172," "&amp;L_NAFiller&amp;" "," ")))/(LEN(L_NAFiller)+1)*LEN(L_NAFiller)),0)</f>
        <v>0</v>
      </c>
    </row>
    <row r="173" customFormat="false" ht="39.75" hidden="false" customHeight="true" outlineLevel="0" collapsed="false">
      <c r="A173" s="57" t="s">
        <v>714</v>
      </c>
      <c r="B173" s="57" t="s">
        <v>231</v>
      </c>
      <c r="C173" s="57" t="str">
        <f aca="false">Flights!$F$10</f>
        <v>MH0002</v>
      </c>
      <c r="D173" s="58" t="n">
        <f aca="false">Flights!$D$10</f>
        <v>46310</v>
      </c>
      <c r="E173" s="57" t="str">
        <f aca="false">Flights!$G$10&amp;"-"&amp;Flights!$H$10</f>
        <v>KUL-LHR</v>
      </c>
      <c r="F173" s="57" t="str">
        <f aca="false">Flights!$K$10</f>
        <v>BC</v>
      </c>
      <c r="G173" s="57" t="s">
        <v>81</v>
      </c>
      <c r="H173" s="57" t="s">
        <v>378</v>
      </c>
      <c r="I173" s="57" t="s">
        <v>405</v>
      </c>
      <c r="J173" s="57" t="s">
        <v>409</v>
      </c>
      <c r="K173" s="67" t="s">
        <v>407</v>
      </c>
      <c r="L173" s="67" t="s">
        <v>382</v>
      </c>
      <c r="M173" s="67"/>
      <c r="N173" s="67" t="s">
        <v>383</v>
      </c>
      <c r="O173" s="67"/>
      <c r="P173" s="57" t="s">
        <v>187</v>
      </c>
      <c r="Q173" s="59" t="n">
        <f aca="false">ROUND((Flights!$AC$10)*1440,0)/1440</f>
        <v>46303.6388888889</v>
      </c>
      <c r="R173" s="59" t="n">
        <f aca="false">Q173+(IF(AND(INDEX(TZ_DSTS,MATCH(P173,TZ_STN,0))&lt;&gt;"",Q173&gt;=INDEX(TZ_DSTS,MATCH(P173,TZ_STN,0)),Q173&lt;INDEX(TZ_DSTE,MATCH(P173,TZ_STN,0))),INDEX(TZ_DST,MATCH(P173,TZ_STN,0)),INDEX(TZ_STD,MATCH(P173,TZ_STN,0))))/24</f>
        <v>46303.9722222222</v>
      </c>
      <c r="S173" s="60"/>
      <c r="T173" s="60"/>
      <c r="U173" s="60"/>
      <c r="V173" s="60"/>
      <c r="W173" s="61"/>
      <c r="X173" s="60"/>
      <c r="Y173" s="60"/>
      <c r="Z173" s="60"/>
      <c r="AA173" s="60"/>
      <c r="AB173" s="60"/>
      <c r="AC173" s="60"/>
      <c r="AD173" s="66"/>
      <c r="AE173" s="60"/>
      <c r="AF173" s="61" t="str">
        <f aca="false">IF(AND(ISNUMBER(X173),ISNUMBER(Y173)),Y173-X173,"")</f>
        <v/>
      </c>
      <c r="AG173" s="62" t="str">
        <f aca="false">IF(ISNUMBER(AD173),AD173-(IF(AND(INDEX(TZ_DSTS,MATCH(P173,TZ_STN,0))&lt;&gt;"",(AD173-INDEX(TZ_STD,MATCH(P173,TZ_STN,0))/24)&gt;=INDEX(TZ_DSTS,MATCH(P173,TZ_STN,0)),(AD173-INDEX(TZ_STD,MATCH(P173,TZ_STN,0))/24)&lt;INDEX(TZ_DSTE,MATCH(P173,TZ_STN,0))),INDEX(TZ_DST,MATCH(P173,TZ_STN,0)),INDEX(TZ_STD,MATCH(P173,TZ_STN,0))))/24,"")</f>
        <v/>
      </c>
      <c r="AH173" s="65" t="str">
        <f aca="false">IFERROR(IF(N173="N/A – rule",IF(OR(TRIM(U173)="",TRIM(U173)="N/A",TRIM(U173)="Not started"),"N/A – RULE","INVALID – this check does not apply to this aircraft: clear the status (or correct the fleet on Flights)"),IF(TRIM(U173)="N/A",IF(AT173=0,"INVALID – N/A not permitted for this check",IF(AND(TRIM(AB173)&lt;&gt;"",TRIM(AB173)&lt;&gt;"Closed"),"INVALID – corrective action still open",IF(AND(NOT(OR(LEN(AZ173)&lt;15,ISNUMBER(MATCH(AZ173,L_Placeholder,0)))),BK173=0,CG173&gt;=8,NOT(OR(LEN(AU173)&lt;2,ISNUMBER(MATCH(AU173,L_Placeholder,0)))),BR173&gt;=3,NOT(OR(LEN(AX173)&lt;2,ISNUMBER(MATCH(AX173,L_Placeholder,0)))),BS173&gt;=3,TRIM(AE173)&lt;&gt;TRIM(T173),AX173&lt;&gt;AU173,CE173=0),"N/A – JUSTIFIED","INVALID – N/A needs a real, settled reason (not 'not applicable' / 'as above' / TBC), a named PIC and a different named verifier"))),IF(OR(TRIM(U173)="Pass",TRIM(U173)="Pass after CA"),IF(NOT(ISNUMBER(AD173)),"INVALID – completion time missing",IF(OR(OR(LEN(AU173)&lt;2,ISNUMBER(MATCH(AU173,L_Placeholder,0))),BR173&lt;3),"INVALID – PIC missing or not a named person (a role such as QA / CSM is not a name)",IF(OR(LEN(AV173)&lt;2,ISNUMBER(MATCH(AV173,L_Placeholder,0))),"INVALID – result / assessment missing",IF(OR(OR(LEN(AW173)&lt;3,ISNUMBER(MATCH(AW173,L_Placeholder,0))),SUMPRODUCT(--ISNUMBER(SEARCH(" "&amp;L_EvidencePhrase&amp;" ",BD173)))&gt;0,BI173=1),"INVALID – evidence missing, placeholder or not yet on file",IF(ISNA(MATCH(TRIM(S173),L_EvidenceType,0)),"INVALID – choose the evidence type from the list (column S)",IF(BL173=0,"INVALID – evidence ID must be the record's own ID only (e.g. SF-2210, IMG_2231, 1045521); a link / file name needs type 'Link / file path'",IF(OR(OR(LEN(AX173)&lt;2,ISNUMBER(MATCH(AX173,L_Placeholder,0))),BS173&lt;3),"INVALID – verifier missing or not a named person (a role such as QA / CSM is not a name)",IF(OR(AX173=AU173,CE173=1,AND(LEN(AU173)&gt;=4,ISNUMBER(SEARCH(AU173,AX173))),AND(LEN(AX173)&gt;=4,ISNUMBER(SEARCH(AX173,AU173)))),"INVALID – verifier must be a different, named person (not the PIC or a role)",IF(BH173=1,"INVALID – result not yet available (awaiting / TBC)",IF(BG173=1,"INVALID – result describes a problem: record Fail, then Pass after CA (or reword if it is not a problem)",IF(BV173=1,"INVALID – wording says not on board: an on-board confirmation needs the item loaded",IF(AND(AQ173=1,OR(OR(LEN(AY173)&lt;3,ISNUMBER(MATCH(AY173,L_Placeholder,0))),BJ173=1,BQ173=0)),"INVALID – batch ID missing, placeholder or not an ID (e.g. PASB-261008-BC-017)",IF(AND(AR173=1,OR(NOT(ISNUMBER(X173)),NOT(ISNUMBER(Y173)))),"INVALID – expected/actual qty missing",IF(AND(AR173=1,OR(X173&lt;=0,Y173&lt;0)),"INVALID – expected qty must be above 0 and actual not negative",IF(BB173&lt;&gt;"",BB173,IF(AND(AS173=1,Documents!$J$10&lt;&gt;"ON FILE"),"INVALID – GLD not on file (Documents sheet)",IF(AND(AS173=2,Documents!$O$10&lt;&gt;"ON FILE"),"INVALID – menu checklist not on file (Documents sheet)",IF(AND(AS173=3,NOT(ISNUMBER(Flights!$AX$10))),"INVALID – enter carrying flight KUL departure (Flights AX)",IF(AND(AS173=3,OR(Flights!$AZ$10&gt;Flights!$AA$10,Flights!$AX$10&lt;Flights!$AA$10-3)),"INVALID – carrying flight (Flights AX) cannot arrive before this leg's STD, or is over 3 days early",IF(AG173&gt;AsOfUTC,"INVALID – completion time is in the future",IF(AND(ISNUMBER(BY173),AG173&lt;BY173),IF(H173="Physical uplift","INVALID – before uplift window (cannot confirm loading)","INVALID – before valid window"),IF(AG173&gt;Flights!$AA$10,"INVALID – completed after departure (cannot establish readiness)",IF(AND(H173="Preparation",AG173&gt;=IF(ISNUMBER(Flights!$BA$10),MIN(Flights!$BA$10,Flights!$AA$10),Flights!$AA$10)),"INVALID – completed after loading / departure (cannot establish readiness)",IF(AND(H173="Physical uplift",AG173&gt;Q173),"INVALID – recorded after the loading flight departed",IF(AG173&gt;Q173,"COMPLETE – LATE","COMPLETE"))))))))))))))))))))))))),IF(TRIM(U173)="Fail","FAIL – DISCREPANCY",IF(AND(TRIM(U173)&lt;&gt;"",TRIM(U173)&lt;&gt;"Not started",TRIM(U173)&lt;&gt;"In progress"),"INVALID – unrecognised status (use the list)",IF(AsOfUTC&gt;Q173,"OVERDUE",IF(N173="Clarification required","OPEN – CLARIFICATION","OPEN"))))))),"INVALID – error value in an input cell")</f>
        <v>OPEN</v>
      </c>
      <c r="AI173" s="61" t="n">
        <f aca="false">IF(OR(AH173="N/A – RULE",AH173="N/A – JUSTIFIED"),0,1)</f>
        <v>1</v>
      </c>
      <c r="AJ173" s="61" t="n">
        <f aca="false">IF(LEFT(AH173,8)="COMPLETE",1,0)</f>
        <v>0</v>
      </c>
      <c r="AK173" s="61" t="n">
        <f aca="false">IF(AND(AI173=1,AJ173=0,AsOfUTC&gt;Q173),1,0)</f>
        <v>0</v>
      </c>
      <c r="AL173" s="61" t="n">
        <f aca="false">IFERROR(IF(AND(AI173=1,OR(TRIM(U173)="Fail",AND(TRIM(AB173)&lt;&gt;"",TRIM(AB173)&lt;&gt;"Closed"),AND(ISNUMBER(AF173),AF173&lt;&gt;0,TRIM(U173)&lt;&gt;"Pass after CA"))),1,0),1)</f>
        <v>0</v>
      </c>
      <c r="AM173" s="61" t="n">
        <f aca="false">IF(LEFT(AH173,7)="INVALID",1,0)</f>
        <v>0</v>
      </c>
      <c r="AN173" s="61" t="n">
        <f aca="false">IF(AND(N173="Clarification required",AI173=1,AJ173=0),1,0)</f>
        <v>0</v>
      </c>
      <c r="AO173" s="61" t="str">
        <f aca="false">IF(AK173=1,SUM(AK$5:AK173),"")</f>
        <v/>
      </c>
      <c r="AP173" s="61" t="str">
        <f aca="false">IF(AL173=1,SUM(AL$5:AL173),"")</f>
        <v/>
      </c>
      <c r="AQ173" s="61" t="n">
        <v>0</v>
      </c>
      <c r="AR173" s="61" t="n">
        <v>0</v>
      </c>
      <c r="AS173" s="61" t="n">
        <v>2</v>
      </c>
      <c r="AT173" s="61" t="n">
        <v>0</v>
      </c>
      <c r="AU173" s="61" t="str">
        <f aca="false">SUBSTITUTE(SUBSTITUTE(SUBSTITUTE(SUBSTITUTE(SUBSTITUTE(SUBSTITUTE(SUBSTITUTE(SUBSTITUTE(SUBSTITUTE(SUBSTITUTE(SUBSTITUTE(SUBSTITUTE(SUBSTITUTE(SUBSTITUTE(SUBSTITUTE(SUBSTITUTE(LOWER(T173&amp;""),CHAR(10),""),CHAR(13),""),CHAR(9),""),CHAR(160),"")," ",""),".",""),"-",""),"/",""),"?",""),"_",""),",",""),"[",""),"]",""),"(",""),")",""),"*","")</f>
        <v/>
      </c>
      <c r="AV173" s="61" t="str">
        <f aca="false">SUBSTITUTE(SUBSTITUTE(SUBSTITUTE(SUBSTITUTE(SUBSTITUTE(SUBSTITUTE(SUBSTITUTE(SUBSTITUTE(SUBSTITUTE(SUBSTITUTE(SUBSTITUTE(SUBSTITUTE(SUBSTITUTE(SUBSTITUTE(SUBSTITUTE(SUBSTITUTE(LOWER(V173&amp;""),CHAR(10),""),CHAR(13),""),CHAR(9),""),CHAR(160),"")," ",""),".",""),"-",""),"/",""),"?",""),"_",""),",",""),"[",""),"]",""),"(",""),")",""),"*","")</f>
        <v/>
      </c>
      <c r="AW173" s="61" t="str">
        <f aca="false">SUBSTITUTE(SUBSTITUTE(SUBSTITUTE(SUBSTITUTE(SUBSTITUTE(SUBSTITUTE(SUBSTITUTE(SUBSTITUTE(SUBSTITUTE(SUBSTITUTE(SUBSTITUTE(SUBSTITUTE(SUBSTITUTE(SUBSTITUTE(SUBSTITUTE(SUBSTITUTE(LOWER(Z173&amp;""),CHAR(10),""),CHAR(13),""),CHAR(9),""),CHAR(160),"")," ",""),".",""),"-",""),"/",""),"?",""),"_",""),",",""),"[",""),"]",""),"(",""),")",""),"*","")</f>
        <v/>
      </c>
      <c r="AX173" s="61" t="str">
        <f aca="false">SUBSTITUTE(SUBSTITUTE(SUBSTITUTE(SUBSTITUTE(SUBSTITUTE(SUBSTITUTE(SUBSTITUTE(SUBSTITUTE(SUBSTITUTE(SUBSTITUTE(SUBSTITUTE(SUBSTITUTE(SUBSTITUTE(SUBSTITUTE(SUBSTITUTE(SUBSTITUTE(LOWER(AE173&amp;""),CHAR(10),""),CHAR(13),""),CHAR(9),""),CHAR(160),"")," ",""),".",""),"-",""),"/",""),"?",""),"_",""),",",""),"[",""),"]",""),"(",""),")",""),"*","")</f>
        <v/>
      </c>
      <c r="AY173" s="61" t="str">
        <f aca="false">SUBSTITUTE(SUBSTITUTE(SUBSTITUTE(SUBSTITUTE(SUBSTITUTE(SUBSTITUTE(SUBSTITUTE(SUBSTITUTE(SUBSTITUTE(SUBSTITUTE(SUBSTITUTE(SUBSTITUTE(SUBSTITUTE(SUBSTITUTE(SUBSTITUTE(SUBSTITUTE(LOWER(W173&amp;""),CHAR(10),""),CHAR(13),""),CHAR(9),""),CHAR(160),"")," ",""),".",""),"-",""),"/",""),"?",""),"_",""),",",""),"[",""),"]",""),"(",""),")",""),"*","")</f>
        <v/>
      </c>
      <c r="AZ173" s="61" t="str">
        <f aca="false">SUBSTITUTE(SUBSTITUTE(SUBSTITUTE(SUBSTITUTE(SUBSTITUTE(SUBSTITUTE(SUBSTITUTE(SUBSTITUTE(SUBSTITUTE(SUBSTITUTE(SUBSTITUTE(SUBSTITUTE(SUBSTITUTE(SUBSTITUTE(SUBSTITUTE(SUBSTITUTE(LOWER(AC173&amp;""),CHAR(10),""),CHAR(13),""),CHAR(9),""),CHAR(160),"")," ",""),".",""),"-",""),"/",""),"?",""),"_",""),",",""),"[",""),"]",""),"(",""),")",""),"*","")</f>
        <v/>
      </c>
      <c r="BA173" s="61" t="str">
        <f aca="false">SUBSTITUTE(SUBSTITUTE(SUBSTITUTE(SUBSTITUTE(SUBSTITUTE(SUBSTITUTE(SUBSTITUTE(SUBSTITUTE(SUBSTITUTE(SUBSTITUTE(SUBSTITUTE(SUBSTITUTE(SUBSTITUTE(SUBSTITUTE(SUBSTITUTE(SUBSTITUTE(LOWER(AA173&amp;""),CHAR(10),""),CHAR(13),""),CHAR(9),""),CHAR(160),"")," ",""),".",""),"-",""),"/",""),"?",""),"_",""),",",""),"[",""),"]",""),"(",""),")",""),"*","")</f>
        <v/>
      </c>
      <c r="BB173" s="61" t="str">
        <f aca="false">IF(AND(TRIM(U173)="Pass",ISNUMBER(AF173)),IF(AF173&lt;&gt;0,"INVALID – qty variance: use Fail or Pass after CA",""),"")&amp;IF(AND(TRIM(U173)="Pass after CA",ISNUMBER(AF173)),IF(AF173&lt;&gt;0,"INVALID – after the corrective action the actual qty must equal expected (update Actual)",""),"")&amp;IF(AND(TRIM(U173)="Pass",TRIM(AB173)&lt;&gt;"",TRIM(AB173)&lt;&gt;"Closed"),"INVALID – corrective action not closed: use Fail, then Pass after CA","")&amp;IF(AND(LEN(BA173)&gt;=2,ISNA(MATCH(LEFT(BA173,255),L_Placeholder,0)),TRIM(AB173)=""),"INVALID – CA status missing for the recorded corrective action","")&amp;IF(AND(TRIM(U173)="Pass after CA",OR(OR(LEN(BA173)&lt;5,ISNUMBER(MATCH(BA173,L_Placeholder,0))),TRIM(AB173)&lt;&gt;"Closed")),"INVALID – corrective action not recorded/closed","")</f>
        <v/>
      </c>
      <c r="BC173" s="61" t="str">
        <f aca="false">" "&amp;TRIM(SUBSTITUTE(SUBSTITUTE(SUBSTITUTE(SUBSTITUTE(SUBSTITUTE(SUBSTITUTE(SUBSTITUTE(SUBSTITUTE(SUBSTITUTE(SUBSTITUTE(SUBSTITUTE(SUBSTITUTE(SUBSTITUTE(SUBSTITUTE(SUBSTITUTE(SUBSTITUTE(SUBSTITUTE(SUBSTITUTE(SUBSTITUTE(SUBSTITUTE(SUBSTITUTE(SUBSTITUTE(SUBSTITUTE(SUBSTITUTE(LOWER(V173&amp;""),CHAR(10)," "),CHAR(13)," "),CHAR(9)," "),CHAR(160)," "),"."," "),","," "),"-"," "),"/"," "),"("," "),")"," "),":"," "),";"," "),"_"," "),"–"," "),"?"," "),"!"," "),"*"," "),"["," "),"]"," "),"'"," "),"#"," "),"+"," "),"&amp;"," "),"\"," "))&amp;" "</f>
        <v>  </v>
      </c>
      <c r="BD173" s="61" t="str">
        <f aca="false">" "&amp;TRIM(SUBSTITUTE(SUBSTITUTE(SUBSTITUTE(SUBSTITUTE(SUBSTITUTE(SUBSTITUTE(SUBSTITUTE(SUBSTITUTE(SUBSTITUTE(SUBSTITUTE(SUBSTITUTE(SUBSTITUTE(SUBSTITUTE(SUBSTITUTE(SUBSTITUTE(SUBSTITUTE(SUBSTITUTE(SUBSTITUTE(SUBSTITUTE(SUBSTITUTE(SUBSTITUTE(SUBSTITUTE(SUBSTITUTE(SUBSTITUTE(LOWER(Z173&amp;""),CHAR(10)," "),CHAR(13)," "),CHAR(9)," "),CHAR(160)," "),"."," "),","," "),"-"," "),"/"," "),"("," "),")"," "),":"," "),";"," "),"_"," "),"–"," "),"?"," "),"!"," "),"*"," "),"["," "),"]"," "),"'"," "),"#"," "),"+"," "),"&amp;"," "),"\"," "))&amp;" "</f>
        <v>  </v>
      </c>
      <c r="BE173" s="61" t="str">
        <f aca="false">" "&amp;TRIM(SUBSTITUTE(SUBSTITUTE(SUBSTITUTE(SUBSTITUTE(SUBSTITUTE(SUBSTITUTE(SUBSTITUTE(SUBSTITUTE(SUBSTITUTE(SUBSTITUTE(SUBSTITUTE(SUBSTITUTE(SUBSTITUTE(SUBSTITUTE(SUBSTITUTE(SUBSTITUTE(SUBSTITUTE(SUBSTITUTE(SUBSTITUTE(SUBSTITUTE(SUBSTITUTE(SUBSTITUTE(SUBSTITUTE(SUBSTITUTE(LOWER(W173&amp;""),CHAR(10)," "),CHAR(13)," "),CHAR(9)," "),CHAR(160)," "),"."," "),","," "),"-"," "),"/"," "),"("," "),")"," "),":"," "),";"," "),"_"," "),"–"," "),"?"," "),"!"," "),"*"," "),"["," "),"]"," "),"'"," "),"#"," "),"+"," "),"&amp;"," "),"\"," "))&amp;" "</f>
        <v>  </v>
      </c>
      <c r="BF173" s="61" t="str">
        <f aca="false">" "&amp;TRIM(SUBSTITUTE(SUBSTITUTE(SUBSTITUTE(SUBSTITUTE(SUBSTITUTE(SUBSTITUTE(SUBSTITUTE(SUBSTITUTE(SUBSTITUTE(SUBSTITUTE(SUBSTITUTE(SUBSTITUTE(SUBSTITUTE(SUBSTITUTE(SUBSTITUTE(SUBSTITUTE(SUBSTITUTE(SUBSTITUTE(SUBSTITUTE(SUBSTITUTE(SUBSTITUTE(SUBSTITUTE(SUBSTITUTE(SUBSTITUTE(LOWER(AC173&amp;""),CHAR(10)," "),CHAR(13)," "),CHAR(9)," "),CHAR(160)," "),"."," "),","," "),"-"," "),"/"," "),"("," "),")"," "),":"," "),";"," "),"_"," "),"–"," "),"?"," "),"!"," "),"*"," "),"["," "),"]"," "),"'"," "),"#"," "),"+"," "),"&amp;"," "),"\"," "))&amp;" "</f>
        <v>  </v>
      </c>
      <c r="BG173" s="61" t="n">
        <f aca="false">IFERROR(IF(AND(TRIM(U173)="Pass",SUMPRODUCT((LEN(BC173)-LEN(SUBSTITUTE(BC173," "&amp;L_ResultBad&amp;" "," ")))/(LEN(L_ResultBad)+1))&gt;SUMPRODUCT((LEN(BC173)-LEN(SUBSTITUTE(BC173," "&amp;L_NegPhrase&amp;" "," ")))/(LEN(L_NegPhrase)+1))),1,0),0)</f>
        <v>0</v>
      </c>
      <c r="BH173" s="61" t="n">
        <f aca="false">IFERROR(IF(SUMPRODUCT((LEN(BC173)-LEN(SUBSTITUTE(BC173," "&amp;L_Pending&amp;" "," ")))/(LEN(L_Pending)+1))&gt;SUMPRODUCT((LEN(BC173)-LEN(SUBSTITUTE(BC173," "&amp;L_PendNeg&amp;" "," ")))/(LEN(L_PendNeg)+1))+SUMPRODUCT((LEN(BC173)-LEN(SUBSTITUTE(BC173," "&amp;L_PendPrep&amp;" "," ")))/(LEN(L_PendPrep)+1)),1,0),1)</f>
        <v>0</v>
      </c>
      <c r="BI173" s="61" t="n">
        <f aca="false">IFERROR(IF(SUMPRODUCT((LEN(BD173)-LEN(SUBSTITUTE(BD173," "&amp;L_PendStrict&amp;" "," ")))/(LEN(L_PendStrict)+1))&gt;SUMPRODUCT((LEN(BD173)-LEN(SUBSTITUTE(BD173," "&amp;L_PendNeg&amp;" "," ")))/(LEN(L_PendNeg)+1)),1,0),1)</f>
        <v>0</v>
      </c>
      <c r="BJ173" s="61" t="n">
        <f aca="false">IFERROR(IF(SUMPRODUCT((LEN(BE173)-LEN(SUBSTITUTE(BE173," "&amp;L_Pending&amp;" "," ")))/(LEN(L_Pending)+1))&gt;SUMPRODUCT((LEN(BE173)-LEN(SUBSTITUTE(BE173," "&amp;L_PendNeg&amp;" "," ")))/(LEN(L_PendNeg)+1))+SUMPRODUCT((LEN(BE173)-LEN(SUBSTITUTE(BE173," "&amp;L_PendPrep&amp;" "," ")))/(LEN(L_PendPrep)+1)),1,0),1)</f>
        <v>0</v>
      </c>
      <c r="BK173" s="61" t="n">
        <f aca="false">IFERROR(IF(SUMPRODUCT((LEN(BF173)-LEN(SUBSTITUTE(BF173," "&amp;L_PendStrict&amp;" "," ")))/(LEN(L_PendStrict)+1))&gt;SUMPRODUCT((LEN(BF173)-LEN(SUBSTITUTE(BF173," "&amp;L_PendNeg&amp;" "," ")))/(LEN(L_PendNeg)+1)),1,0),1)</f>
        <v>0</v>
      </c>
      <c r="BL173" s="61" t="n">
        <f aca="false">IF(ISNA(MATCH(TRIM(S173),L_EvidenceType,0)),0,BZ173)</f>
        <v>0</v>
      </c>
      <c r="BM173" s="61" t="str">
        <f aca="false">SUBSTITUTE(SUBSTITUTE(SUBSTITUTE(SUBSTITUTE(SUBSTITUTE(SUBSTITUTE(SUBSTITUTE(SUBSTITUTE(SUBSTITUTE(LOWER(Z173&amp;""),"1","0"),"2","0"),"3","0"),"4","0"),"5","0"),"6","0"),"7","0"),"8","0"),"9","0")</f>
        <v/>
      </c>
      <c r="BN173" s="61" t="str">
        <f aca="false">SUBSTITUTE(SUBSTITUTE(SUBSTITUTE(SUBSTITUTE(SUBSTITUTE(SUBSTITUTE(SUBSTITUTE(SUBSTITUTE(SUBSTITUTE(SUBSTITUTE(SUBSTITUTE(SUBSTITUTE(SUBSTITUTE(SUBSTITUTE(SUBSTITUTE(SUBSTITUTE(SUBSTITUTE(SUBSTITUTE(SUBSTITUTE(SUBSTITUTE(SUBSTITUTE(SUBSTITUTE(SUBSTITUTE(SUBSTITUTE(SUBSTITUTE(BM173,"b","a"),"c","a"),"d","a"),"e","a"),"f","a"),"g","a"),"h","a"),"i","a"),"j","a"),"k","a"),"l","a"),"m","a"),"n","a"),"o","a"),"p","a"),"q","a"),"r","a"),"s","a"),"t","a"),"u","a"),"v","a"),"w","a"),"x","a"),"y","a"),"z","a")</f>
        <v/>
      </c>
      <c r="BO173" s="61" t="str">
        <f aca="false">SUBSTITUTE(SUBSTITUTE(SUBSTITUTE(SUBSTITUTE(SUBSTITUTE(SUBSTITUTE(SUBSTITUTE(SUBSTITUTE(SUBSTITUTE(LOWER(W173&amp;""),"1","0"),"2","0"),"3","0"),"4","0"),"5","0"),"6","0"),"7","0"),"8","0"),"9","0")</f>
        <v/>
      </c>
      <c r="BP173" s="61" t="str">
        <f aca="false">SUBSTITUTE(SUBSTITUTE(SUBSTITUTE(SUBSTITUTE(SUBSTITUTE(SUBSTITUTE(SUBSTITUTE(SUBSTITUTE(SUBSTITUTE(SUBSTITUTE(SUBSTITUTE(SUBSTITUTE(SUBSTITUTE(SUBSTITUTE(SUBSTITUTE(SUBSTITUTE(SUBSTITUTE(SUBSTITUTE(SUBSTITUTE(SUBSTITUTE(SUBSTITUTE(SUBSTITUTE(SUBSTITUTE(SUBSTITUTE(SUBSTITUTE(BO173,"b","a"),"c","a"),"d","a"),"e","a"),"f","a"),"g","a"),"h","a"),"i","a"),"j","a"),"k","a"),"l","a"),"m","a"),"n","a"),"o","a"),"p","a"),"q","a"),"r","a"),"s","a"),"t","a"),"u","a"),"v","a"),"w","a"),"x","a"),"y","a"),"z","a")</f>
        <v/>
      </c>
      <c r="BQ173" s="61" t="n">
        <f aca="false">IFERROR(IF(AND(ISERROR(SEARCH(" mh"," "&amp;LOWER(W173))),ISNA(MATCH(LEFT(TRIM(BP173),255),{"0000a","000a","00a","0000aa","000aa","00aa","0aa","0000aaa","000aaa","00a00","0a00","0000-0000","00:00","a00","a0","00.00.0000","00/00/0000","00-00-0000","0000-00-00","0000/00/00","0000.00.00","00.00.00","00/00/00","00-00-00","0.00.0000","0/00/0000","0-00-0000"},0)),ISNA(MATCH(LEFT(TRIM(CA173),255),{"0000a","000a","00a","0000aa","000aa","00aa","0aa","0000aaa","000aaa","00a00","0a00","0000-0000","00:00","a00","a0","00.00.0000","00/00/0000","00-00-0000","0000-00-00","0000/00/00","0000.00.00","00.00.00","00/00/00","00-00-00","0.00.0000","0/00/0000","0-00-0000"},0)),LEN(CB173)&gt;=3,NOT(OR(SUBSTITUTE(CB173,"0","")="",AND(LEN(CB173)&gt;=4,CB173=REPT(LEFT(CB173),LEN(CB173))),ISNUMBER(MATCH(CB173,{"123","1234","12345","123456","1234567","12345678","0123","01234","012345","98765","987654","54321"},0)),AND(LEN(CB173)=8,LEFT(CB173,3)="202"))),OR(AND((LEN(CA173)-LEN(SUBSTITUTE(CA173,"a","")))&gt;=1,SUMPRODUCT(--ISNUMBER(SEARCH({"a0","a-0","a_0","a/0","a.0","a#0","0a","0-a","0_a","0/a"},BP173)))&gt;0),ISNUMBER(SEARCH("000000",BP173)))),1,0),0)</f>
        <v>0</v>
      </c>
      <c r="BR173" s="61" t="n">
        <f aca="false">IFERROR(LEN(SUBSTITUTE(CC173," ",""))-SUMPRODUCT((LEN(CC173)-LEN(SUBSTITUTE(CC173," "&amp;L_Role&amp;" "," ")))/(LEN(L_Role)+1)*LEN(L_Role)),0)</f>
        <v>0</v>
      </c>
      <c r="BS173" s="61" t="n">
        <f aca="false">IFERROR(LEN(SUBSTITUTE(CD173," ",""))-SUMPRODUCT((LEN(CD173)-LEN(SUBSTITUTE(CD173," "&amp;L_Role&amp;" "," ")))/(LEN(L_Role)+1)*LEN(L_Role)),0)</f>
        <v>0</v>
      </c>
      <c r="BT1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173,"revision",""),"version",""),"jan",""),"feb",""),"mar",""),"apr",""),"may",""),"jun",""),"jul",""),"aug",""),"sep",""),"oct",""),"nov",""),"dec",""),"utc",""),"gmt",""),"myt",""),"bst",""),"rev",""),"ver",""),"b","a"),"c","a"),"d","a"),"e","a"),"f","a"),"g","a"),"h","a"),"i","a"),"j","a"),"k","a"),"l","a"),"m","a"),"n","a"),"o","a"),"p","a"),"q","a"),"r","a"),"s","a"),"t","a"),"u","a"),"v","a"),"w","a"),"x","a"),"y","a"),"z","a")</f>
        <v/>
      </c>
      <c r="BU173" s="61" t="str">
        <f aca="false">SUBSTITUTE(SUBSTITUTE(SUBSTITUTE(SUBSTITUTE(SUBSTITUTE(SUBSTITUTE(SUBSTITUTE(SUBSTITUTE(SUBSTITUTE(SUBSTITUTE(LEFT(BM173,FIND("0",BM173&amp;"0")-1),"-",""),"_",""),"/",""),".",""),"#",""),"\\",""),":","")," ",""),"(",""),")","")</f>
        <v/>
      </c>
      <c r="BV173" s="61" t="n">
        <f aca="false">0</f>
        <v>0</v>
      </c>
      <c r="BW1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173&amp;""),"a",""),"b",""),"c",""),"d",""),"e",""),"f",""),"g",""),"h",""),"i",""),"j",""),"k",""),"l",""),"m",""),"n",""),"o",""),"p",""),"q",""),"r",""),"s",""),"t",""),"u",""),"v",""),"w",""),"x",""),"y",""),"z",""),"-",""),"_",""),"/",""),".",""),"#",""),"\\",""),":","")," ",""),"(",""),")","")</f>
        <v/>
      </c>
      <c r="BX173" s="61" t="str">
        <f aca="false">SUBSTITUTE(SUBSTITUTE(SUBSTITUTE(SUBSTITUTE(SUBSTITUTE(SUBSTITUTE(SUBSTITUTE(SUBSTITUTE(SUBSTITUTE(SUBSTITUTE(SUBSTITUTE(BM173,"0",""),"-",""),"_",""),"/",""),".",""),"#",""),"\\",""),":","")," ",""),"(",""),")","")</f>
        <v/>
      </c>
      <c r="BY173" s="62" t="n">
        <f aca="false">Q173-T7EarlyD*24/24</f>
        <v>46289.6388888889</v>
      </c>
      <c r="BZ173" s="61" t="n">
        <f aca="false">IFERROR(IF(IF(TRIM(S173)="Link / file path",AND(LEN(TRIM(Z173))&gt;=5,SUMPRODUCT(--ISNUMBER(SEARCH({"http","www.","\\",":\",".pdf",".jpg",".jpeg",".png",".heic",".xls",".doc",".msg",".eml",".ppt",".txt",".zip"},Z173)))&gt;0),AND(ISERROR(FIND(" ",TRIM(Z173))),NOT(OR(SUMPRODUCT(--ISNUMBER(FIND({",",";","&amp;","+"},Z173)))&gt;0,SUMPRODUCT(--ISNUMBER(SEARCH({"0/aa","0\\aa"},BN173)))&gt;0)),NOT(SUMPRODUCT(--ISNUMBER(SEARCH({"http","www.","\\",":\",".pdf",".jpg",".jpeg",".png",".heic",".xls",".doc",".msg",".eml",".ppt",".txt",".zip"},Z173)))&gt;0),NOT(LOWER(TRIM(Z173))=LOWER(Flights!$F$10)),ISNA(MATCH(BU173,{"mh","rev","revision","ver","version","v","r","a","b","seat","tray","row","gate","bay","stand","page","pg","item","line","no","cart","galley","flight","flt","table","box","bag","oven","etd","eta","std","sta","atd","ata","qty","pax","x","time","tel","ph","mob","day","wk","week","utc","gmt","myt","lt"},0)),NOT(OR(ISNUMBER(MATCH(LEFT(BN173,255),{"0000a","000a","00a","0000aa","000aa","00aa","0aa","0000aaa","000aaa","00a00","0a00","0000-0000","00:00","a00","a0","00.00.0000","00/00/0000","00-00-0000","0000-00-00","0000/00/00","0000.00.00","00.00.00","00/00/00","00-00-00","0.00.0000","0/00/0000","0-00-0000"},0)),ISNUMBER(MATCH(LEFT(BT173,255),{"0000a","000a","00a","0000aa","000aa","00aa","0aa","0000aaa","000aaa","00a00","0a00","0000-0000","00:00","a00","a0","00.00.0000","00/00/0000","00-00-0000","0000-00-00","0000/00/00","0000.00.00","00.00.00","00/00/00","00-00-00","0.00.0000","0/00/0000","0-00-0000"},0)))),NOT(OR(AND(BW173&lt;&gt;"",SUBSTITUTE(BW173,"0","")=""),AND(LEN(BW173)&gt;=4,BW173=REPT(LEFT(BW173),LEN(BW173))),ISNUMBER(MATCH(BW173,{"123","1234","12345","123456","1234567","12345678","0123","01234","012345","98765","987654","54321"},0)),ISNUMBER(MATCH(BX173,{"x","xx","xxx","xxxx","xxxxx","abc","abcd","nil","na","nan","test","tbc","tba","tbd","dummy","sample","example","eg","zz","zzz","none","null","xyz","qwe","asd","id","ref"},0)),AND(LEN(BW173)=8,BX173="",OR(LEFT(BW173,3)="202",ISNUMBER(MATCH(RIGHT(BW173,4),{"2025","2026","2027"},0)))))),OR(AND((LEN(BT173)-LEN(SUBSTITUTE(BT173,"a","")))&gt;=1,(LEN(BN173)-LEN(SUBSTITUTE(BN173,"0","")))&gt;=2,SUMPRODUCT(--ISNUMBER(SEARCH({"a0","a-0","a_0","a/0","a.0","a#0","0a","0-a","0_a","0/a"},BN173)))&gt;0),AND((LEN(BN173)-LEN(SUBSTITUTE(BN173,"a","")))=0,(LEN(BN173)-LEN(SUBSTITUTE(BN173,"0","")))&gt;=5)))),1,0),0)</f>
        <v>0</v>
      </c>
      <c r="CA1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173,"revision",""),"version",""),"jan",""),"feb",""),"mar",""),"apr",""),"may",""),"jun",""),"jul",""),"aug",""),"sep",""),"oct",""),"nov",""),"dec",""),"utc",""),"gmt",""),"myt",""),"bst",""),"rev",""),"ver",""),"b","a"),"c","a"),"d","a"),"e","a"),"f","a"),"g","a"),"h","a"),"i","a"),"j","a"),"k","a"),"l","a"),"m","a"),"n","a"),"o","a"),"p","a"),"q","a"),"r","a"),"s","a"),"t","a"),"u","a"),"v","a"),"w","a"),"x","a"),"y","a"),"z","a")</f>
        <v/>
      </c>
      <c r="CB1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173&amp;""),"a",""),"b",""),"c",""),"d",""),"e",""),"f",""),"g",""),"h",""),"i",""),"j",""),"k",""),"l",""),"m",""),"n",""),"o",""),"p",""),"q",""),"r",""),"s",""),"t",""),"u",""),"v",""),"w",""),"x",""),"y",""),"z",""),"-",""),"_",""),"/",""),".",""),"#",""),"\\",""),":","")," ",""),"(",""),")","")</f>
        <v/>
      </c>
      <c r="CC173" s="0" t="str">
        <f aca="false">" "&amp;TRIM(SUBSTITUTE(SUBSTITUTE(SUBSTITUTE(SUBSTITUTE(SUBSTITUTE(SUBSTITUTE(SUBSTITUTE(SUBSTITUTE(SUBSTITUTE(SUBSTITUTE(SUBSTITUTE(SUBSTITUTE(SUBSTITUTE(SUBSTITUTE(SUBSTITUTE(SUBSTITUTE(SUBSTITUTE(SUBSTITUTE(SUBSTITUTE(SUBSTITUTE(SUBSTITUTE(SUBSTITUTE(SUBSTITUTE(SUBSTITUTE(LOWER(T173&amp;""),CHAR(10)," "),CHAR(13)," "),CHAR(9)," "),CHAR(160)," "),"."," "),","," "),"-"," "),"/"," "),"("," "),")"," "),":"," "),";"," "),"_"," "),"–"," "),"?"," "),"!"," "),"*"," "),"["," "),"]"," "),"'"," "),"#"," "),"+"," "),"&amp;"," "),"\"," "))&amp;" "</f>
        <v>  </v>
      </c>
      <c r="CD173" s="0" t="str">
        <f aca="false">" "&amp;TRIM(SUBSTITUTE(SUBSTITUTE(SUBSTITUTE(SUBSTITUTE(SUBSTITUTE(SUBSTITUTE(SUBSTITUTE(SUBSTITUTE(SUBSTITUTE(SUBSTITUTE(SUBSTITUTE(SUBSTITUTE(SUBSTITUTE(SUBSTITUTE(SUBSTITUTE(SUBSTITUTE(SUBSTITUTE(SUBSTITUTE(SUBSTITUTE(SUBSTITUTE(SUBSTITUTE(SUBSTITUTE(SUBSTITUTE(SUBSTITUTE(LOWER(AE173&amp;""),CHAR(10)," "),CHAR(13)," "),CHAR(9)," "),CHAR(160)," "),"."," "),","," "),"-"," "),"/"," "),"("," "),")"," "),":"," "),";"," "),"_"," "),"–"," "),"?"," "),"!"," "),"*"," "),"["," "),"]"," "),"'"," "),"#"," "),"+"," "),"&amp;"," "),"\"," "))&amp;" "</f>
        <v>  </v>
      </c>
      <c r="CE173" s="68" t="n">
        <f aca="false">IFERROR(IF(AND(LEN(AU173)&gt;0,LEN(AU173)=LEN(AX173),OR(TRIM(MID(SUBSTITUTE(TRIM(CC173)," ",REPT(" ",60)),1,60))="",ISNUMBER(SEARCH(" "&amp;TRIM(MID(SUBSTITUTE(TRIM(CC173)," ",REPT(" ",60)),1,60))&amp;" ",CD173))),OR(TRIM(MID(SUBSTITUTE(TRIM(CC173)," ",REPT(" ",60)),61,60))="",ISNUMBER(SEARCH(" "&amp;TRIM(MID(SUBSTITUTE(TRIM(CC173)," ",REPT(" ",60)),61,60))&amp;" ",CD173))),OR(TRIM(MID(SUBSTITUTE(TRIM(CC173)," ",REPT(" ",60)),121,60))="",ISNUMBER(SEARCH(" "&amp;TRIM(MID(SUBSTITUTE(TRIM(CC173)," ",REPT(" ",60)),121,60))&amp;" ",CD173)))),1,0),0)</f>
        <v>0</v>
      </c>
      <c r="CG173" s="68" t="n">
        <f aca="false">IFERROR(LEN(SUBSTITUTE(BF173," ",""))-SUMPRODUCT((LEN(BF173)-LEN(SUBSTITUTE(BF173," "&amp;L_NAFiller&amp;" "," ")))/(LEN(L_NAFiller)+1)*LEN(L_NAFiller)),0)</f>
        <v>0</v>
      </c>
    </row>
    <row r="174" customFormat="false" ht="39.75" hidden="false" customHeight="true" outlineLevel="0" collapsed="false">
      <c r="A174" s="57" t="s">
        <v>715</v>
      </c>
      <c r="B174" s="57" t="s">
        <v>231</v>
      </c>
      <c r="C174" s="57" t="str">
        <f aca="false">Flights!$F$10</f>
        <v>MH0002</v>
      </c>
      <c r="D174" s="58" t="n">
        <f aca="false">Flights!$D$10</f>
        <v>46310</v>
      </c>
      <c r="E174" s="57" t="str">
        <f aca="false">Flights!$G$10&amp;"-"&amp;Flights!$H$10</f>
        <v>KUL-LHR</v>
      </c>
      <c r="F174" s="57" t="str">
        <f aca="false">Flights!$K$10</f>
        <v>BC</v>
      </c>
      <c r="G174" s="57" t="s">
        <v>81</v>
      </c>
      <c r="H174" s="57" t="s">
        <v>378</v>
      </c>
      <c r="I174" s="57" t="s">
        <v>411</v>
      </c>
      <c r="J174" s="57" t="s">
        <v>412</v>
      </c>
      <c r="K174" s="67" t="s">
        <v>716</v>
      </c>
      <c r="L174" s="67" t="s">
        <v>414</v>
      </c>
      <c r="M174" s="67"/>
      <c r="N174" s="67" t="s">
        <v>383</v>
      </c>
      <c r="O174" s="67"/>
      <c r="P174" s="57" t="s">
        <v>187</v>
      </c>
      <c r="Q174" s="59" t="n">
        <f aca="false">ROUND((Flights!$AC$10)*1440,0)/1440</f>
        <v>46303.6388888889</v>
      </c>
      <c r="R174" s="59" t="n">
        <f aca="false">Q174+(IF(AND(INDEX(TZ_DSTS,MATCH(P174,TZ_STN,0))&lt;&gt;"",Q174&gt;=INDEX(TZ_DSTS,MATCH(P174,TZ_STN,0)),Q174&lt;INDEX(TZ_DSTE,MATCH(P174,TZ_STN,0))),INDEX(TZ_DST,MATCH(P174,TZ_STN,0)),INDEX(TZ_STD,MATCH(P174,TZ_STN,0))))/24</f>
        <v>46303.9722222222</v>
      </c>
      <c r="S174" s="60"/>
      <c r="T174" s="60"/>
      <c r="U174" s="60"/>
      <c r="V174" s="60"/>
      <c r="W174" s="61"/>
      <c r="X174" s="60"/>
      <c r="Y174" s="60"/>
      <c r="Z174" s="60"/>
      <c r="AA174" s="60"/>
      <c r="AB174" s="60"/>
      <c r="AC174" s="60"/>
      <c r="AD174" s="66"/>
      <c r="AE174" s="60"/>
      <c r="AF174" s="61" t="str">
        <f aca="false">IF(AND(ISNUMBER(X174),ISNUMBER(Y174)),Y174-X174,"")</f>
        <v/>
      </c>
      <c r="AG174" s="62" t="str">
        <f aca="false">IF(ISNUMBER(AD174),AD174-(IF(AND(INDEX(TZ_DSTS,MATCH(P174,TZ_STN,0))&lt;&gt;"",(AD174-INDEX(TZ_STD,MATCH(P174,TZ_STN,0))/24)&gt;=INDEX(TZ_DSTS,MATCH(P174,TZ_STN,0)),(AD174-INDEX(TZ_STD,MATCH(P174,TZ_STN,0))/24)&lt;INDEX(TZ_DSTE,MATCH(P174,TZ_STN,0))),INDEX(TZ_DST,MATCH(P174,TZ_STN,0)),INDEX(TZ_STD,MATCH(P174,TZ_STN,0))))/24,"")</f>
        <v/>
      </c>
      <c r="AH174" s="65" t="str">
        <f aca="false">IFERROR(IF(N174="N/A – rule",IF(OR(TRIM(U174)="",TRIM(U174)="N/A",TRIM(U174)="Not started"),"N/A – RULE","INVALID – this check does not apply to this aircraft: clear the status (or correct the fleet on Flights)"),IF(TRIM(U174)="N/A",IF(AT174=0,"INVALID – N/A not permitted for this check",IF(AND(TRIM(AB174)&lt;&gt;"",TRIM(AB174)&lt;&gt;"Closed"),"INVALID – corrective action still open",IF(AND(NOT(OR(LEN(AZ174)&lt;15,ISNUMBER(MATCH(AZ174,L_Placeholder,0)))),BK174=0,CG174&gt;=8,NOT(OR(LEN(AU174)&lt;2,ISNUMBER(MATCH(AU174,L_Placeholder,0)))),BR174&gt;=3,NOT(OR(LEN(AX174)&lt;2,ISNUMBER(MATCH(AX174,L_Placeholder,0)))),BS174&gt;=3,TRIM(AE174)&lt;&gt;TRIM(T174),AX174&lt;&gt;AU174,CE174=0),"N/A – JUSTIFIED","INVALID – N/A needs a real, settled reason (not 'not applicable' / 'as above' / TBC), a named PIC and a different named verifier"))),IF(OR(TRIM(U174)="Pass",TRIM(U174)="Pass after CA"),IF(NOT(ISNUMBER(AD174)),"INVALID – completion time missing",IF(OR(OR(LEN(AU174)&lt;2,ISNUMBER(MATCH(AU174,L_Placeholder,0))),BR174&lt;3),"INVALID – PIC missing or not a named person (a role such as QA / CSM is not a name)",IF(OR(LEN(AV174)&lt;2,ISNUMBER(MATCH(AV174,L_Placeholder,0))),"INVALID – result / assessment missing",IF(OR(OR(LEN(AW174)&lt;3,ISNUMBER(MATCH(AW174,L_Placeholder,0))),SUMPRODUCT(--ISNUMBER(SEARCH(" "&amp;L_EvidencePhrase&amp;" ",BD174)))&gt;0,BI174=1),"INVALID – evidence missing, placeholder or not yet on file",IF(ISNA(MATCH(TRIM(S174),L_EvidenceType,0)),"INVALID – choose the evidence type from the list (column S)",IF(BL174=0,"INVALID – evidence ID must be the record's own ID only (e.g. SF-2210, IMG_2231, 1045521); a link / file name needs type 'Link / file path'",IF(OR(OR(LEN(AX174)&lt;2,ISNUMBER(MATCH(AX174,L_Placeholder,0))),BS174&lt;3),"INVALID – verifier missing or not a named person (a role such as QA / CSM is not a name)",IF(OR(AX174=AU174,CE174=1,AND(LEN(AU174)&gt;=4,ISNUMBER(SEARCH(AU174,AX174))),AND(LEN(AX174)&gt;=4,ISNUMBER(SEARCH(AX174,AU174)))),"INVALID – verifier must be a different, named person (not the PIC or a role)",IF(BH174=1,"INVALID – result not yet available (awaiting / TBC)",IF(BG174=1,"INVALID – result describes a problem: record Fail, then Pass after CA (or reword if it is not a problem)",IF(BV174=1,"INVALID – wording says not on board: an on-board confirmation needs the item loaded",IF(AND(AQ174=1,OR(OR(LEN(AY174)&lt;3,ISNUMBER(MATCH(AY174,L_Placeholder,0))),BJ174=1,BQ174=0)),"INVALID – batch ID missing, placeholder or not an ID (e.g. PASB-261008-BC-017)",IF(AND(AR174=1,OR(NOT(ISNUMBER(X174)),NOT(ISNUMBER(Y174)))),"INVALID – expected/actual qty missing",IF(AND(AR174=1,OR(X174&lt;=0,Y174&lt;0)),"INVALID – expected qty must be above 0 and actual not negative",IF(BB174&lt;&gt;"",BB174,IF(AND(AS174=1,Documents!$J$10&lt;&gt;"ON FILE"),"INVALID – GLD not on file (Documents sheet)",IF(AND(AS174=2,Documents!$O$10&lt;&gt;"ON FILE"),"INVALID – menu checklist not on file (Documents sheet)",IF(AND(AS174=3,NOT(ISNUMBER(Flights!$AX$10))),"INVALID – enter carrying flight KUL departure (Flights AX)",IF(AND(AS174=3,OR(Flights!$AZ$10&gt;Flights!$AA$10,Flights!$AX$10&lt;Flights!$AA$10-3)),"INVALID – carrying flight (Flights AX) cannot arrive before this leg's STD, or is over 3 days early",IF(AG174&gt;AsOfUTC,"INVALID – completion time is in the future",IF(AND(ISNUMBER(BY174),AG174&lt;BY174),IF(H174="Physical uplift","INVALID – before uplift window (cannot confirm loading)","INVALID – before valid window"),IF(AG174&gt;Flights!$AA$10,"INVALID – completed after departure (cannot establish readiness)",IF(AND(H174="Preparation",AG174&gt;=IF(ISNUMBER(Flights!$BA$10),MIN(Flights!$BA$10,Flights!$AA$10),Flights!$AA$10)),"INVALID – completed after loading / departure (cannot establish readiness)",IF(AND(H174="Physical uplift",AG174&gt;Q174),"INVALID – recorded after the loading flight departed",IF(AG174&gt;Q174,"COMPLETE – LATE","COMPLETE"))))))))))))))))))))))))),IF(TRIM(U174)="Fail","FAIL – DISCREPANCY",IF(AND(TRIM(U174)&lt;&gt;"",TRIM(U174)&lt;&gt;"Not started",TRIM(U174)&lt;&gt;"In progress"),"INVALID – unrecognised status (use the list)",IF(AsOfUTC&gt;Q174,"OVERDUE",IF(N174="Clarification required","OPEN – CLARIFICATION","OPEN"))))))),"INVALID – error value in an input cell")</f>
        <v>OPEN</v>
      </c>
      <c r="AI174" s="61" t="n">
        <f aca="false">IF(OR(AH174="N/A – RULE",AH174="N/A – JUSTIFIED"),0,1)</f>
        <v>1</v>
      </c>
      <c r="AJ174" s="61" t="n">
        <f aca="false">IF(LEFT(AH174,8)="COMPLETE",1,0)</f>
        <v>0</v>
      </c>
      <c r="AK174" s="61" t="n">
        <f aca="false">IF(AND(AI174=1,AJ174=0,AsOfUTC&gt;Q174),1,0)</f>
        <v>0</v>
      </c>
      <c r="AL174" s="61" t="n">
        <f aca="false">IFERROR(IF(AND(AI174=1,OR(TRIM(U174)="Fail",AND(TRIM(AB174)&lt;&gt;"",TRIM(AB174)&lt;&gt;"Closed"),AND(ISNUMBER(AF174),AF174&lt;&gt;0,TRIM(U174)&lt;&gt;"Pass after CA"))),1,0),1)</f>
        <v>0</v>
      </c>
      <c r="AM174" s="61" t="n">
        <f aca="false">IF(LEFT(AH174,7)="INVALID",1,0)</f>
        <v>0</v>
      </c>
      <c r="AN174" s="61" t="n">
        <f aca="false">IF(AND(N174="Clarification required",AI174=1,AJ174=0),1,0)</f>
        <v>0</v>
      </c>
      <c r="AO174" s="61" t="str">
        <f aca="false">IF(AK174=1,SUM(AK$5:AK174),"")</f>
        <v/>
      </c>
      <c r="AP174" s="61" t="str">
        <f aca="false">IF(AL174=1,SUM(AL$5:AL174),"")</f>
        <v/>
      </c>
      <c r="AQ174" s="61" t="n">
        <v>0</v>
      </c>
      <c r="AR174" s="61" t="n">
        <v>0</v>
      </c>
      <c r="AS174" s="61" t="n">
        <v>0</v>
      </c>
      <c r="AT174" s="61" t="n">
        <v>0</v>
      </c>
      <c r="AU174" s="61" t="str">
        <f aca="false">SUBSTITUTE(SUBSTITUTE(SUBSTITUTE(SUBSTITUTE(SUBSTITUTE(SUBSTITUTE(SUBSTITUTE(SUBSTITUTE(SUBSTITUTE(SUBSTITUTE(SUBSTITUTE(SUBSTITUTE(SUBSTITUTE(SUBSTITUTE(SUBSTITUTE(SUBSTITUTE(LOWER(T174&amp;""),CHAR(10),""),CHAR(13),""),CHAR(9),""),CHAR(160),"")," ",""),".",""),"-",""),"/",""),"?",""),"_",""),",",""),"[",""),"]",""),"(",""),")",""),"*","")</f>
        <v/>
      </c>
      <c r="AV174" s="61" t="str">
        <f aca="false">SUBSTITUTE(SUBSTITUTE(SUBSTITUTE(SUBSTITUTE(SUBSTITUTE(SUBSTITUTE(SUBSTITUTE(SUBSTITUTE(SUBSTITUTE(SUBSTITUTE(SUBSTITUTE(SUBSTITUTE(SUBSTITUTE(SUBSTITUTE(SUBSTITUTE(SUBSTITUTE(LOWER(V174&amp;""),CHAR(10),""),CHAR(13),""),CHAR(9),""),CHAR(160),"")," ",""),".",""),"-",""),"/",""),"?",""),"_",""),",",""),"[",""),"]",""),"(",""),")",""),"*","")</f>
        <v/>
      </c>
      <c r="AW174" s="61" t="str">
        <f aca="false">SUBSTITUTE(SUBSTITUTE(SUBSTITUTE(SUBSTITUTE(SUBSTITUTE(SUBSTITUTE(SUBSTITUTE(SUBSTITUTE(SUBSTITUTE(SUBSTITUTE(SUBSTITUTE(SUBSTITUTE(SUBSTITUTE(SUBSTITUTE(SUBSTITUTE(SUBSTITUTE(LOWER(Z174&amp;""),CHAR(10),""),CHAR(13),""),CHAR(9),""),CHAR(160),"")," ",""),".",""),"-",""),"/",""),"?",""),"_",""),",",""),"[",""),"]",""),"(",""),")",""),"*","")</f>
        <v/>
      </c>
      <c r="AX174" s="61" t="str">
        <f aca="false">SUBSTITUTE(SUBSTITUTE(SUBSTITUTE(SUBSTITUTE(SUBSTITUTE(SUBSTITUTE(SUBSTITUTE(SUBSTITUTE(SUBSTITUTE(SUBSTITUTE(SUBSTITUTE(SUBSTITUTE(SUBSTITUTE(SUBSTITUTE(SUBSTITUTE(SUBSTITUTE(LOWER(AE174&amp;""),CHAR(10),""),CHAR(13),""),CHAR(9),""),CHAR(160),"")," ",""),".",""),"-",""),"/",""),"?",""),"_",""),",",""),"[",""),"]",""),"(",""),")",""),"*","")</f>
        <v/>
      </c>
      <c r="AY174" s="61" t="str">
        <f aca="false">SUBSTITUTE(SUBSTITUTE(SUBSTITUTE(SUBSTITUTE(SUBSTITUTE(SUBSTITUTE(SUBSTITUTE(SUBSTITUTE(SUBSTITUTE(SUBSTITUTE(SUBSTITUTE(SUBSTITUTE(SUBSTITUTE(SUBSTITUTE(SUBSTITUTE(SUBSTITUTE(LOWER(W174&amp;""),CHAR(10),""),CHAR(13),""),CHAR(9),""),CHAR(160),"")," ",""),".",""),"-",""),"/",""),"?",""),"_",""),",",""),"[",""),"]",""),"(",""),")",""),"*","")</f>
        <v/>
      </c>
      <c r="AZ174" s="61" t="str">
        <f aca="false">SUBSTITUTE(SUBSTITUTE(SUBSTITUTE(SUBSTITUTE(SUBSTITUTE(SUBSTITUTE(SUBSTITUTE(SUBSTITUTE(SUBSTITUTE(SUBSTITUTE(SUBSTITUTE(SUBSTITUTE(SUBSTITUTE(SUBSTITUTE(SUBSTITUTE(SUBSTITUTE(LOWER(AC174&amp;""),CHAR(10),""),CHAR(13),""),CHAR(9),""),CHAR(160),"")," ",""),".",""),"-",""),"/",""),"?",""),"_",""),",",""),"[",""),"]",""),"(",""),")",""),"*","")</f>
        <v/>
      </c>
      <c r="BA174" s="61" t="str">
        <f aca="false">SUBSTITUTE(SUBSTITUTE(SUBSTITUTE(SUBSTITUTE(SUBSTITUTE(SUBSTITUTE(SUBSTITUTE(SUBSTITUTE(SUBSTITUTE(SUBSTITUTE(SUBSTITUTE(SUBSTITUTE(SUBSTITUTE(SUBSTITUTE(SUBSTITUTE(SUBSTITUTE(LOWER(AA174&amp;""),CHAR(10),""),CHAR(13),""),CHAR(9),""),CHAR(160),"")," ",""),".",""),"-",""),"/",""),"?",""),"_",""),",",""),"[",""),"]",""),"(",""),")",""),"*","")</f>
        <v/>
      </c>
      <c r="BB174" s="61" t="str">
        <f aca="false">IF(AND(TRIM(U174)="Pass",ISNUMBER(AF174)),IF(AF174&lt;&gt;0,"INVALID – qty variance: use Fail or Pass after CA",""),"")&amp;IF(AND(TRIM(U174)="Pass after CA",ISNUMBER(AF174)),IF(AF174&lt;&gt;0,"INVALID – after the corrective action the actual qty must equal expected (update Actual)",""),"")&amp;IF(AND(TRIM(U174)="Pass",TRIM(AB174)&lt;&gt;"",TRIM(AB174)&lt;&gt;"Closed"),"INVALID – corrective action not closed: use Fail, then Pass after CA","")&amp;IF(AND(LEN(BA174)&gt;=2,ISNA(MATCH(LEFT(BA174,255),L_Placeholder,0)),TRIM(AB174)=""),"INVALID – CA status missing for the recorded corrective action","")&amp;IF(AND(TRIM(U174)="Pass after CA",OR(OR(LEN(BA174)&lt;5,ISNUMBER(MATCH(BA174,L_Placeholder,0))),TRIM(AB174)&lt;&gt;"Closed")),"INVALID – corrective action not recorded/closed","")</f>
        <v/>
      </c>
      <c r="BC174" s="61" t="str">
        <f aca="false">" "&amp;TRIM(SUBSTITUTE(SUBSTITUTE(SUBSTITUTE(SUBSTITUTE(SUBSTITUTE(SUBSTITUTE(SUBSTITUTE(SUBSTITUTE(SUBSTITUTE(SUBSTITUTE(SUBSTITUTE(SUBSTITUTE(SUBSTITUTE(SUBSTITUTE(SUBSTITUTE(SUBSTITUTE(SUBSTITUTE(SUBSTITUTE(SUBSTITUTE(SUBSTITUTE(SUBSTITUTE(SUBSTITUTE(SUBSTITUTE(SUBSTITUTE(LOWER(V174&amp;""),CHAR(10)," "),CHAR(13)," "),CHAR(9)," "),CHAR(160)," "),"."," "),","," "),"-"," "),"/"," "),"("," "),")"," "),":"," "),";"," "),"_"," "),"–"," "),"?"," "),"!"," "),"*"," "),"["," "),"]"," "),"'"," "),"#"," "),"+"," "),"&amp;"," "),"\"," "))&amp;" "</f>
        <v>  </v>
      </c>
      <c r="BD174" s="61" t="str">
        <f aca="false">" "&amp;TRIM(SUBSTITUTE(SUBSTITUTE(SUBSTITUTE(SUBSTITUTE(SUBSTITUTE(SUBSTITUTE(SUBSTITUTE(SUBSTITUTE(SUBSTITUTE(SUBSTITUTE(SUBSTITUTE(SUBSTITUTE(SUBSTITUTE(SUBSTITUTE(SUBSTITUTE(SUBSTITUTE(SUBSTITUTE(SUBSTITUTE(SUBSTITUTE(SUBSTITUTE(SUBSTITUTE(SUBSTITUTE(SUBSTITUTE(SUBSTITUTE(LOWER(Z174&amp;""),CHAR(10)," "),CHAR(13)," "),CHAR(9)," "),CHAR(160)," "),"."," "),","," "),"-"," "),"/"," "),"("," "),")"," "),":"," "),";"," "),"_"," "),"–"," "),"?"," "),"!"," "),"*"," "),"["," "),"]"," "),"'"," "),"#"," "),"+"," "),"&amp;"," "),"\"," "))&amp;" "</f>
        <v>  </v>
      </c>
      <c r="BE174" s="61" t="str">
        <f aca="false">" "&amp;TRIM(SUBSTITUTE(SUBSTITUTE(SUBSTITUTE(SUBSTITUTE(SUBSTITUTE(SUBSTITUTE(SUBSTITUTE(SUBSTITUTE(SUBSTITUTE(SUBSTITUTE(SUBSTITUTE(SUBSTITUTE(SUBSTITUTE(SUBSTITUTE(SUBSTITUTE(SUBSTITUTE(SUBSTITUTE(SUBSTITUTE(SUBSTITUTE(SUBSTITUTE(SUBSTITUTE(SUBSTITUTE(SUBSTITUTE(SUBSTITUTE(LOWER(W174&amp;""),CHAR(10)," "),CHAR(13)," "),CHAR(9)," "),CHAR(160)," "),"."," "),","," "),"-"," "),"/"," "),"("," "),")"," "),":"," "),";"," "),"_"," "),"–"," "),"?"," "),"!"," "),"*"," "),"["," "),"]"," "),"'"," "),"#"," "),"+"," "),"&amp;"," "),"\"," "))&amp;" "</f>
        <v>  </v>
      </c>
      <c r="BF174" s="61" t="str">
        <f aca="false">" "&amp;TRIM(SUBSTITUTE(SUBSTITUTE(SUBSTITUTE(SUBSTITUTE(SUBSTITUTE(SUBSTITUTE(SUBSTITUTE(SUBSTITUTE(SUBSTITUTE(SUBSTITUTE(SUBSTITUTE(SUBSTITUTE(SUBSTITUTE(SUBSTITUTE(SUBSTITUTE(SUBSTITUTE(SUBSTITUTE(SUBSTITUTE(SUBSTITUTE(SUBSTITUTE(SUBSTITUTE(SUBSTITUTE(SUBSTITUTE(SUBSTITUTE(LOWER(AC174&amp;""),CHAR(10)," "),CHAR(13)," "),CHAR(9)," "),CHAR(160)," "),"."," "),","," "),"-"," "),"/"," "),"("," "),")"," "),":"," "),";"," "),"_"," "),"–"," "),"?"," "),"!"," "),"*"," "),"["," "),"]"," "),"'"," "),"#"," "),"+"," "),"&amp;"," "),"\"," "))&amp;" "</f>
        <v>  </v>
      </c>
      <c r="BG174" s="61" t="n">
        <f aca="false">IFERROR(IF(AND(TRIM(U174)="Pass",SUMPRODUCT((LEN(BC174)-LEN(SUBSTITUTE(BC174," "&amp;L_ResultBad&amp;" "," ")))/(LEN(L_ResultBad)+1))&gt;SUMPRODUCT((LEN(BC174)-LEN(SUBSTITUTE(BC174," "&amp;L_NegPhrase&amp;" "," ")))/(LEN(L_NegPhrase)+1))),1,0),0)</f>
        <v>0</v>
      </c>
      <c r="BH174" s="61" t="n">
        <f aca="false">IFERROR(IF(SUMPRODUCT((LEN(BC174)-LEN(SUBSTITUTE(BC174," "&amp;L_Pending&amp;" "," ")))/(LEN(L_Pending)+1))&gt;SUMPRODUCT((LEN(BC174)-LEN(SUBSTITUTE(BC174," "&amp;L_PendNeg&amp;" "," ")))/(LEN(L_PendNeg)+1))+SUMPRODUCT((LEN(BC174)-LEN(SUBSTITUTE(BC174," "&amp;L_PendPrep&amp;" "," ")))/(LEN(L_PendPrep)+1)),1,0),1)</f>
        <v>0</v>
      </c>
      <c r="BI174" s="61" t="n">
        <f aca="false">IFERROR(IF(SUMPRODUCT((LEN(BD174)-LEN(SUBSTITUTE(BD174," "&amp;L_PendStrict&amp;" "," ")))/(LEN(L_PendStrict)+1))&gt;SUMPRODUCT((LEN(BD174)-LEN(SUBSTITUTE(BD174," "&amp;L_PendNeg&amp;" "," ")))/(LEN(L_PendNeg)+1)),1,0),1)</f>
        <v>0</v>
      </c>
      <c r="BJ174" s="61" t="n">
        <f aca="false">IFERROR(IF(SUMPRODUCT((LEN(BE174)-LEN(SUBSTITUTE(BE174," "&amp;L_Pending&amp;" "," ")))/(LEN(L_Pending)+1))&gt;SUMPRODUCT((LEN(BE174)-LEN(SUBSTITUTE(BE174," "&amp;L_PendNeg&amp;" "," ")))/(LEN(L_PendNeg)+1))+SUMPRODUCT((LEN(BE174)-LEN(SUBSTITUTE(BE174," "&amp;L_PendPrep&amp;" "," ")))/(LEN(L_PendPrep)+1)),1,0),1)</f>
        <v>0</v>
      </c>
      <c r="BK174" s="61" t="n">
        <f aca="false">IFERROR(IF(SUMPRODUCT((LEN(BF174)-LEN(SUBSTITUTE(BF174," "&amp;L_PendStrict&amp;" "," ")))/(LEN(L_PendStrict)+1))&gt;SUMPRODUCT((LEN(BF174)-LEN(SUBSTITUTE(BF174," "&amp;L_PendNeg&amp;" "," ")))/(LEN(L_PendNeg)+1)),1,0),1)</f>
        <v>0</v>
      </c>
      <c r="BL174" s="61" t="n">
        <f aca="false">IF(ISNA(MATCH(TRIM(S174),L_EvidenceType,0)),0,BZ174)</f>
        <v>0</v>
      </c>
      <c r="BM174" s="61" t="str">
        <f aca="false">SUBSTITUTE(SUBSTITUTE(SUBSTITUTE(SUBSTITUTE(SUBSTITUTE(SUBSTITUTE(SUBSTITUTE(SUBSTITUTE(SUBSTITUTE(LOWER(Z174&amp;""),"1","0"),"2","0"),"3","0"),"4","0"),"5","0"),"6","0"),"7","0"),"8","0"),"9","0")</f>
        <v/>
      </c>
      <c r="BN174" s="61" t="str">
        <f aca="false">SUBSTITUTE(SUBSTITUTE(SUBSTITUTE(SUBSTITUTE(SUBSTITUTE(SUBSTITUTE(SUBSTITUTE(SUBSTITUTE(SUBSTITUTE(SUBSTITUTE(SUBSTITUTE(SUBSTITUTE(SUBSTITUTE(SUBSTITUTE(SUBSTITUTE(SUBSTITUTE(SUBSTITUTE(SUBSTITUTE(SUBSTITUTE(SUBSTITUTE(SUBSTITUTE(SUBSTITUTE(SUBSTITUTE(SUBSTITUTE(SUBSTITUTE(BM174,"b","a"),"c","a"),"d","a"),"e","a"),"f","a"),"g","a"),"h","a"),"i","a"),"j","a"),"k","a"),"l","a"),"m","a"),"n","a"),"o","a"),"p","a"),"q","a"),"r","a"),"s","a"),"t","a"),"u","a"),"v","a"),"w","a"),"x","a"),"y","a"),"z","a")</f>
        <v/>
      </c>
      <c r="BO174" s="61" t="str">
        <f aca="false">SUBSTITUTE(SUBSTITUTE(SUBSTITUTE(SUBSTITUTE(SUBSTITUTE(SUBSTITUTE(SUBSTITUTE(SUBSTITUTE(SUBSTITUTE(LOWER(W174&amp;""),"1","0"),"2","0"),"3","0"),"4","0"),"5","0"),"6","0"),"7","0"),"8","0"),"9","0")</f>
        <v/>
      </c>
      <c r="BP174" s="61" t="str">
        <f aca="false">SUBSTITUTE(SUBSTITUTE(SUBSTITUTE(SUBSTITUTE(SUBSTITUTE(SUBSTITUTE(SUBSTITUTE(SUBSTITUTE(SUBSTITUTE(SUBSTITUTE(SUBSTITUTE(SUBSTITUTE(SUBSTITUTE(SUBSTITUTE(SUBSTITUTE(SUBSTITUTE(SUBSTITUTE(SUBSTITUTE(SUBSTITUTE(SUBSTITUTE(SUBSTITUTE(SUBSTITUTE(SUBSTITUTE(SUBSTITUTE(SUBSTITUTE(BO174,"b","a"),"c","a"),"d","a"),"e","a"),"f","a"),"g","a"),"h","a"),"i","a"),"j","a"),"k","a"),"l","a"),"m","a"),"n","a"),"o","a"),"p","a"),"q","a"),"r","a"),"s","a"),"t","a"),"u","a"),"v","a"),"w","a"),"x","a"),"y","a"),"z","a")</f>
        <v/>
      </c>
      <c r="BQ174" s="61" t="n">
        <f aca="false">IFERROR(IF(AND(ISERROR(SEARCH(" mh"," "&amp;LOWER(W174))),ISNA(MATCH(LEFT(TRIM(BP174),255),{"0000a","000a","00a","0000aa","000aa","00aa","0aa","0000aaa","000aaa","00a00","0a00","0000-0000","00:00","a00","a0","00.00.0000","00/00/0000","00-00-0000","0000-00-00","0000/00/00","0000.00.00","00.00.00","00/00/00","00-00-00","0.00.0000","0/00/0000","0-00-0000"},0)),ISNA(MATCH(LEFT(TRIM(CA174),255),{"0000a","000a","00a","0000aa","000aa","00aa","0aa","0000aaa","000aaa","00a00","0a00","0000-0000","00:00","a00","a0","00.00.0000","00/00/0000","00-00-0000","0000-00-00","0000/00/00","0000.00.00","00.00.00","00/00/00","00-00-00","0.00.0000","0/00/0000","0-00-0000"},0)),LEN(CB174)&gt;=3,NOT(OR(SUBSTITUTE(CB174,"0","")="",AND(LEN(CB174)&gt;=4,CB174=REPT(LEFT(CB174),LEN(CB174))),ISNUMBER(MATCH(CB174,{"123","1234","12345","123456","1234567","12345678","0123","01234","012345","98765","987654","54321"},0)),AND(LEN(CB174)=8,LEFT(CB174,3)="202"))),OR(AND((LEN(CA174)-LEN(SUBSTITUTE(CA174,"a","")))&gt;=1,SUMPRODUCT(--ISNUMBER(SEARCH({"a0","a-0","a_0","a/0","a.0","a#0","0a","0-a","0_a","0/a"},BP174)))&gt;0),ISNUMBER(SEARCH("000000",BP174)))),1,0),0)</f>
        <v>0</v>
      </c>
      <c r="BR174" s="61" t="n">
        <f aca="false">IFERROR(LEN(SUBSTITUTE(CC174," ",""))-SUMPRODUCT((LEN(CC174)-LEN(SUBSTITUTE(CC174," "&amp;L_Role&amp;" "," ")))/(LEN(L_Role)+1)*LEN(L_Role)),0)</f>
        <v>0</v>
      </c>
      <c r="BS174" s="61" t="n">
        <f aca="false">IFERROR(LEN(SUBSTITUTE(CD174," ",""))-SUMPRODUCT((LEN(CD174)-LEN(SUBSTITUTE(CD174," "&amp;L_Role&amp;" "," ")))/(LEN(L_Role)+1)*LEN(L_Role)),0)</f>
        <v>0</v>
      </c>
      <c r="BT1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174,"revision",""),"version",""),"jan",""),"feb",""),"mar",""),"apr",""),"may",""),"jun",""),"jul",""),"aug",""),"sep",""),"oct",""),"nov",""),"dec",""),"utc",""),"gmt",""),"myt",""),"bst",""),"rev",""),"ver",""),"b","a"),"c","a"),"d","a"),"e","a"),"f","a"),"g","a"),"h","a"),"i","a"),"j","a"),"k","a"),"l","a"),"m","a"),"n","a"),"o","a"),"p","a"),"q","a"),"r","a"),"s","a"),"t","a"),"u","a"),"v","a"),"w","a"),"x","a"),"y","a"),"z","a")</f>
        <v/>
      </c>
      <c r="BU174" s="61" t="str">
        <f aca="false">SUBSTITUTE(SUBSTITUTE(SUBSTITUTE(SUBSTITUTE(SUBSTITUTE(SUBSTITUTE(SUBSTITUTE(SUBSTITUTE(SUBSTITUTE(SUBSTITUTE(LEFT(BM174,FIND("0",BM174&amp;"0")-1),"-",""),"_",""),"/",""),".",""),"#",""),"\\",""),":","")," ",""),"(",""),")","")</f>
        <v/>
      </c>
      <c r="BV174" s="61" t="n">
        <f aca="false">0</f>
        <v>0</v>
      </c>
      <c r="BW1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174&amp;""),"a",""),"b",""),"c",""),"d",""),"e",""),"f",""),"g",""),"h",""),"i",""),"j",""),"k",""),"l",""),"m",""),"n",""),"o",""),"p",""),"q",""),"r",""),"s",""),"t",""),"u",""),"v",""),"w",""),"x",""),"y",""),"z",""),"-",""),"_",""),"/",""),".",""),"#",""),"\\",""),":","")," ",""),"(",""),")","")</f>
        <v/>
      </c>
      <c r="BX174" s="61" t="str">
        <f aca="false">SUBSTITUTE(SUBSTITUTE(SUBSTITUTE(SUBSTITUTE(SUBSTITUTE(SUBSTITUTE(SUBSTITUTE(SUBSTITUTE(SUBSTITUTE(SUBSTITUTE(SUBSTITUTE(BM174,"0",""),"-",""),"_",""),"/",""),".",""),"#",""),"\\",""),":","")," ",""),"(",""),")","")</f>
        <v/>
      </c>
      <c r="BY174" s="62" t="n">
        <f aca="false">Q174-T7EarlyD*24/24</f>
        <v>46289.6388888889</v>
      </c>
      <c r="BZ174" s="61" t="n">
        <f aca="false">IFERROR(IF(IF(TRIM(S174)="Link / file path",AND(LEN(TRIM(Z174))&gt;=5,SUMPRODUCT(--ISNUMBER(SEARCH({"http","www.","\\",":\",".pdf",".jpg",".jpeg",".png",".heic",".xls",".doc",".msg",".eml",".ppt",".txt",".zip"},Z174)))&gt;0),AND(ISERROR(FIND(" ",TRIM(Z174))),NOT(OR(SUMPRODUCT(--ISNUMBER(FIND({",",";","&amp;","+"},Z174)))&gt;0,SUMPRODUCT(--ISNUMBER(SEARCH({"0/aa","0\\aa"},BN174)))&gt;0)),NOT(SUMPRODUCT(--ISNUMBER(SEARCH({"http","www.","\\",":\",".pdf",".jpg",".jpeg",".png",".heic",".xls",".doc",".msg",".eml",".ppt",".txt",".zip"},Z174)))&gt;0),NOT(LOWER(TRIM(Z174))=LOWER(Flights!$F$10)),ISNA(MATCH(BU174,{"mh","rev","revision","ver","version","v","r","a","b","seat","tray","row","gate","bay","stand","page","pg","item","line","no","cart","galley","flight","flt","table","box","bag","oven","etd","eta","std","sta","atd","ata","qty","pax","x","time","tel","ph","mob","day","wk","week","utc","gmt","myt","lt"},0)),NOT(OR(ISNUMBER(MATCH(LEFT(BN174,255),{"0000a","000a","00a","0000aa","000aa","00aa","0aa","0000aaa","000aaa","00a00","0a00","0000-0000","00:00","a00","a0","00.00.0000","00/00/0000","00-00-0000","0000-00-00","0000/00/00","0000.00.00","00.00.00","00/00/00","00-00-00","0.00.0000","0/00/0000","0-00-0000"},0)),ISNUMBER(MATCH(LEFT(BT174,255),{"0000a","000a","00a","0000aa","000aa","00aa","0aa","0000aaa","000aaa","00a00","0a00","0000-0000","00:00","a00","a0","00.00.0000","00/00/0000","00-00-0000","0000-00-00","0000/00/00","0000.00.00","00.00.00","00/00/00","00-00-00","0.00.0000","0/00/0000","0-00-0000"},0)))),NOT(OR(AND(BW174&lt;&gt;"",SUBSTITUTE(BW174,"0","")=""),AND(LEN(BW174)&gt;=4,BW174=REPT(LEFT(BW174),LEN(BW174))),ISNUMBER(MATCH(BW174,{"123","1234","12345","123456","1234567","12345678","0123","01234","012345","98765","987654","54321"},0)),ISNUMBER(MATCH(BX174,{"x","xx","xxx","xxxx","xxxxx","abc","abcd","nil","na","nan","test","tbc","tba","tbd","dummy","sample","example","eg","zz","zzz","none","null","xyz","qwe","asd","id","ref"},0)),AND(LEN(BW174)=8,BX174="",OR(LEFT(BW174,3)="202",ISNUMBER(MATCH(RIGHT(BW174,4),{"2025","2026","2027"},0)))))),OR(AND((LEN(BT174)-LEN(SUBSTITUTE(BT174,"a","")))&gt;=1,(LEN(BN174)-LEN(SUBSTITUTE(BN174,"0","")))&gt;=2,SUMPRODUCT(--ISNUMBER(SEARCH({"a0","a-0","a_0","a/0","a.0","a#0","0a","0-a","0_a","0/a"},BN174)))&gt;0),AND((LEN(BN174)-LEN(SUBSTITUTE(BN174,"a","")))=0,(LEN(BN174)-LEN(SUBSTITUTE(BN174,"0","")))&gt;=5)))),1,0),0)</f>
        <v>0</v>
      </c>
      <c r="CA1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174,"revision",""),"version",""),"jan",""),"feb",""),"mar",""),"apr",""),"may",""),"jun",""),"jul",""),"aug",""),"sep",""),"oct",""),"nov",""),"dec",""),"utc",""),"gmt",""),"myt",""),"bst",""),"rev",""),"ver",""),"b","a"),"c","a"),"d","a"),"e","a"),"f","a"),"g","a"),"h","a"),"i","a"),"j","a"),"k","a"),"l","a"),"m","a"),"n","a"),"o","a"),"p","a"),"q","a"),"r","a"),"s","a"),"t","a"),"u","a"),"v","a"),"w","a"),"x","a"),"y","a"),"z","a")</f>
        <v/>
      </c>
      <c r="CB1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174&amp;""),"a",""),"b",""),"c",""),"d",""),"e",""),"f",""),"g",""),"h",""),"i",""),"j",""),"k",""),"l",""),"m",""),"n",""),"o",""),"p",""),"q",""),"r",""),"s",""),"t",""),"u",""),"v",""),"w",""),"x",""),"y",""),"z",""),"-",""),"_",""),"/",""),".",""),"#",""),"\\",""),":","")," ",""),"(",""),")","")</f>
        <v/>
      </c>
      <c r="CC174" s="0" t="str">
        <f aca="false">" "&amp;TRIM(SUBSTITUTE(SUBSTITUTE(SUBSTITUTE(SUBSTITUTE(SUBSTITUTE(SUBSTITUTE(SUBSTITUTE(SUBSTITUTE(SUBSTITUTE(SUBSTITUTE(SUBSTITUTE(SUBSTITUTE(SUBSTITUTE(SUBSTITUTE(SUBSTITUTE(SUBSTITUTE(SUBSTITUTE(SUBSTITUTE(SUBSTITUTE(SUBSTITUTE(SUBSTITUTE(SUBSTITUTE(SUBSTITUTE(SUBSTITUTE(LOWER(T174&amp;""),CHAR(10)," "),CHAR(13)," "),CHAR(9)," "),CHAR(160)," "),"."," "),","," "),"-"," "),"/"," "),"("," "),")"," "),":"," "),";"," "),"_"," "),"–"," "),"?"," "),"!"," "),"*"," "),"["," "),"]"," "),"'"," "),"#"," "),"+"," "),"&amp;"," "),"\"," "))&amp;" "</f>
        <v>  </v>
      </c>
      <c r="CD174" s="0" t="str">
        <f aca="false">" "&amp;TRIM(SUBSTITUTE(SUBSTITUTE(SUBSTITUTE(SUBSTITUTE(SUBSTITUTE(SUBSTITUTE(SUBSTITUTE(SUBSTITUTE(SUBSTITUTE(SUBSTITUTE(SUBSTITUTE(SUBSTITUTE(SUBSTITUTE(SUBSTITUTE(SUBSTITUTE(SUBSTITUTE(SUBSTITUTE(SUBSTITUTE(SUBSTITUTE(SUBSTITUTE(SUBSTITUTE(SUBSTITUTE(SUBSTITUTE(SUBSTITUTE(LOWER(AE174&amp;""),CHAR(10)," "),CHAR(13)," "),CHAR(9)," "),CHAR(160)," "),"."," "),","," "),"-"," "),"/"," "),"("," "),")"," "),":"," "),";"," "),"_"," "),"–"," "),"?"," "),"!"," "),"*"," "),"["," "),"]"," "),"'"," "),"#"," "),"+"," "),"&amp;"," "),"\"," "))&amp;" "</f>
        <v>  </v>
      </c>
      <c r="CE174" s="68" t="n">
        <f aca="false">IFERROR(IF(AND(LEN(AU174)&gt;0,LEN(AU174)=LEN(AX174),OR(TRIM(MID(SUBSTITUTE(TRIM(CC174)," ",REPT(" ",60)),1,60))="",ISNUMBER(SEARCH(" "&amp;TRIM(MID(SUBSTITUTE(TRIM(CC174)," ",REPT(" ",60)),1,60))&amp;" ",CD174))),OR(TRIM(MID(SUBSTITUTE(TRIM(CC174)," ",REPT(" ",60)),61,60))="",ISNUMBER(SEARCH(" "&amp;TRIM(MID(SUBSTITUTE(TRIM(CC174)," ",REPT(" ",60)),61,60))&amp;" ",CD174))),OR(TRIM(MID(SUBSTITUTE(TRIM(CC174)," ",REPT(" ",60)),121,60))="",ISNUMBER(SEARCH(" "&amp;TRIM(MID(SUBSTITUTE(TRIM(CC174)," ",REPT(" ",60)),121,60))&amp;" ",CD174)))),1,0),0)</f>
        <v>0</v>
      </c>
      <c r="CG174" s="68" t="n">
        <f aca="false">IFERROR(LEN(SUBSTITUTE(BF174," ",""))-SUMPRODUCT((LEN(BF174)-LEN(SUBSTITUTE(BF174," "&amp;L_NAFiller&amp;" "," ")))/(LEN(L_NAFiller)+1)*LEN(L_NAFiller)),0)</f>
        <v>0</v>
      </c>
    </row>
    <row r="175" customFormat="false" ht="39.75" hidden="false" customHeight="true" outlineLevel="0" collapsed="false">
      <c r="A175" s="57" t="s">
        <v>717</v>
      </c>
      <c r="B175" s="57" t="s">
        <v>231</v>
      </c>
      <c r="C175" s="57" t="str">
        <f aca="false">Flights!$F$10</f>
        <v>MH0002</v>
      </c>
      <c r="D175" s="58" t="n">
        <f aca="false">Flights!$D$10</f>
        <v>46310</v>
      </c>
      <c r="E175" s="57" t="str">
        <f aca="false">Flights!$G$10&amp;"-"&amp;Flights!$H$10</f>
        <v>KUL-LHR</v>
      </c>
      <c r="F175" s="57" t="str">
        <f aca="false">Flights!$K$10</f>
        <v>BC</v>
      </c>
      <c r="G175" s="57" t="s">
        <v>83</v>
      </c>
      <c r="H175" s="57" t="s">
        <v>378</v>
      </c>
      <c r="I175" s="57" t="s">
        <v>379</v>
      </c>
      <c r="J175" s="57" t="s">
        <v>416</v>
      </c>
      <c r="K175" s="67" t="s">
        <v>417</v>
      </c>
      <c r="L175" s="67" t="s">
        <v>418</v>
      </c>
      <c r="M175" s="67"/>
      <c r="N175" s="67" t="s">
        <v>383</v>
      </c>
      <c r="O175" s="67"/>
      <c r="P175" s="57" t="s">
        <v>187</v>
      </c>
      <c r="Q175" s="59" t="n">
        <f aca="false">ROUND((Flights!$AD$10)*1440,0)/1440</f>
        <v>46309.6388888889</v>
      </c>
      <c r="R175" s="59" t="n">
        <f aca="false">Q175+(IF(AND(INDEX(TZ_DSTS,MATCH(P175,TZ_STN,0))&lt;&gt;"",Q175&gt;=INDEX(TZ_DSTS,MATCH(P175,TZ_STN,0)),Q175&lt;INDEX(TZ_DSTE,MATCH(P175,TZ_STN,0))),INDEX(TZ_DST,MATCH(P175,TZ_STN,0)),INDEX(TZ_STD,MATCH(P175,TZ_STN,0))))/24</f>
        <v>46309.9722222222</v>
      </c>
      <c r="S175" s="60"/>
      <c r="T175" s="60"/>
      <c r="U175" s="60"/>
      <c r="V175" s="60"/>
      <c r="W175" s="60"/>
      <c r="X175" s="60"/>
      <c r="Y175" s="60"/>
      <c r="Z175" s="60"/>
      <c r="AA175" s="60"/>
      <c r="AB175" s="60"/>
      <c r="AC175" s="60"/>
      <c r="AD175" s="66"/>
      <c r="AE175" s="60"/>
      <c r="AF175" s="61" t="str">
        <f aca="false">IF(AND(ISNUMBER(X175),ISNUMBER(Y175)),Y175-X175,"")</f>
        <v/>
      </c>
      <c r="AG175" s="62" t="str">
        <f aca="false">IF(ISNUMBER(AD175),AD175-(IF(AND(INDEX(TZ_DSTS,MATCH(P175,TZ_STN,0))&lt;&gt;"",(AD175-INDEX(TZ_STD,MATCH(P175,TZ_STN,0))/24)&gt;=INDEX(TZ_DSTS,MATCH(P175,TZ_STN,0)),(AD175-INDEX(TZ_STD,MATCH(P175,TZ_STN,0))/24)&lt;INDEX(TZ_DSTE,MATCH(P175,TZ_STN,0))),INDEX(TZ_DST,MATCH(P175,TZ_STN,0)),INDEX(TZ_STD,MATCH(P175,TZ_STN,0))))/24,"")</f>
        <v/>
      </c>
      <c r="AH175" s="65" t="str">
        <f aca="false">IFERROR(IF(N175="N/A – rule",IF(OR(TRIM(U175)="",TRIM(U175)="N/A",TRIM(U175)="Not started"),"N/A – RULE","INVALID – this check does not apply to this aircraft: clear the status (or correct the fleet on Flights)"),IF(TRIM(U175)="N/A",IF(AT175=0,"INVALID – N/A not permitted for this check",IF(AND(TRIM(AB175)&lt;&gt;"",TRIM(AB175)&lt;&gt;"Closed"),"INVALID – corrective action still open",IF(AND(NOT(OR(LEN(AZ175)&lt;15,ISNUMBER(MATCH(AZ175,L_Placeholder,0)))),BK175=0,CG175&gt;=8,NOT(OR(LEN(AU175)&lt;2,ISNUMBER(MATCH(AU175,L_Placeholder,0)))),BR175&gt;=3,NOT(OR(LEN(AX175)&lt;2,ISNUMBER(MATCH(AX175,L_Placeholder,0)))),BS175&gt;=3,TRIM(AE175)&lt;&gt;TRIM(T175),AX175&lt;&gt;AU175,CE175=0),"N/A – JUSTIFIED","INVALID – N/A needs a real, settled reason (not 'not applicable' / 'as above' / TBC), a named PIC and a different named verifier"))),IF(OR(TRIM(U175)="Pass",TRIM(U175)="Pass after CA"),IF(NOT(ISNUMBER(AD175)),"INVALID – completion time missing",IF(OR(OR(LEN(AU175)&lt;2,ISNUMBER(MATCH(AU175,L_Placeholder,0))),BR175&lt;3),"INVALID – PIC missing or not a named person (a role such as QA / CSM is not a name)",IF(OR(LEN(AV175)&lt;2,ISNUMBER(MATCH(AV175,L_Placeholder,0))),"INVALID – result / assessment missing",IF(OR(OR(LEN(AW175)&lt;3,ISNUMBER(MATCH(AW175,L_Placeholder,0))),SUMPRODUCT(--ISNUMBER(SEARCH(" "&amp;L_EvidencePhrase&amp;" ",BD175)))&gt;0,BI175=1),"INVALID – evidence missing, placeholder or not yet on file",IF(ISNA(MATCH(TRIM(S175),L_EvidenceType,0)),"INVALID – choose the evidence type from the list (column S)",IF(BL175=0,"INVALID – evidence ID must be the record's own ID only (e.g. SF-2210, IMG_2231, 1045521); a link / file name needs type 'Link / file path'",IF(OR(OR(LEN(AX175)&lt;2,ISNUMBER(MATCH(AX175,L_Placeholder,0))),BS175&lt;3),"INVALID – verifier missing or not a named person (a role such as QA / CSM is not a name)",IF(OR(AX175=AU175,CE175=1,AND(LEN(AU175)&gt;=4,ISNUMBER(SEARCH(AU175,AX175))),AND(LEN(AX175)&gt;=4,ISNUMBER(SEARCH(AX175,AU175)))),"INVALID – verifier must be a different, named person (not the PIC or a role)",IF(BH175=1,"INVALID – result not yet available (awaiting / TBC)",IF(BG175=1,"INVALID – result describes a problem: record Fail, then Pass after CA (or reword if it is not a problem)",IF(BV175=1,"INVALID – wording says not on board: an on-board confirmation needs the item loaded",IF(AND(AQ175=1,OR(OR(LEN(AY175)&lt;3,ISNUMBER(MATCH(AY175,L_Placeholder,0))),BJ175=1,BQ175=0)),"INVALID – batch ID missing, placeholder or not an ID (e.g. PASB-261008-BC-017)",IF(AND(AR175=1,OR(NOT(ISNUMBER(X175)),NOT(ISNUMBER(Y175)))),"INVALID – expected/actual qty missing",IF(AND(AR175=1,OR(X175&lt;=0,Y175&lt;0)),"INVALID – expected qty must be above 0 and actual not negative",IF(BB175&lt;&gt;"",BB175,IF(AND(AS175=1,Documents!$J$10&lt;&gt;"ON FILE"),"INVALID – GLD not on file (Documents sheet)",IF(AND(AS175=2,Documents!$O$10&lt;&gt;"ON FILE"),"INVALID – menu checklist not on file (Documents sheet)",IF(AND(AS175=3,NOT(ISNUMBER(Flights!$AX$10))),"INVALID – enter carrying flight KUL departure (Flights AX)",IF(AND(AS175=3,OR(Flights!$AZ$10&gt;Flights!$AA$10,Flights!$AX$10&lt;Flights!$AA$10-3)),"INVALID – carrying flight (Flights AX) cannot arrive before this leg's STD, or is over 3 days early",IF(AG175&gt;AsOfUTC,"INVALID – completion time is in the future",IF(AND(ISNUMBER(BY175),AG175&lt;BY175),IF(H175="Physical uplift","INVALID – before uplift window (cannot confirm loading)","INVALID – before valid window"),IF(AG175&gt;Flights!$AA$10,"INVALID – completed after departure (cannot establish readiness)",IF(AND(H175="Preparation",AG175&gt;=IF(ISNUMBER(Flights!$BA$10),MIN(Flights!$BA$10,Flights!$AA$10),Flights!$AA$10)),"INVALID – completed after loading / departure (cannot establish readiness)",IF(AND(H175="Physical uplift",AG175&gt;Q175),"INVALID – recorded after the loading flight departed",IF(AG175&gt;Q175,"COMPLETE – LATE","COMPLETE"))))))))))))))))))))))))),IF(TRIM(U175)="Fail","FAIL – DISCREPANCY",IF(AND(TRIM(U175)&lt;&gt;"",TRIM(U175)&lt;&gt;"Not started",TRIM(U175)&lt;&gt;"In progress"),"INVALID – unrecognised status (use the list)",IF(AsOfUTC&gt;Q175,"OVERDUE",IF(N175="Clarification required","OPEN – CLARIFICATION","OPEN"))))))),"INVALID – error value in an input cell")</f>
        <v>OPEN</v>
      </c>
      <c r="AI175" s="61" t="n">
        <f aca="false">IF(OR(AH175="N/A – RULE",AH175="N/A – JUSTIFIED"),0,1)</f>
        <v>1</v>
      </c>
      <c r="AJ175" s="61" t="n">
        <f aca="false">IF(LEFT(AH175,8)="COMPLETE",1,0)</f>
        <v>0</v>
      </c>
      <c r="AK175" s="61" t="n">
        <f aca="false">IF(AND(AI175=1,AJ175=0,AsOfUTC&gt;Q175),1,0)</f>
        <v>0</v>
      </c>
      <c r="AL175" s="61" t="n">
        <f aca="false">IFERROR(IF(AND(AI175=1,OR(TRIM(U175)="Fail",AND(TRIM(AB175)&lt;&gt;"",TRIM(AB175)&lt;&gt;"Closed"),AND(ISNUMBER(AF175),AF175&lt;&gt;0,TRIM(U175)&lt;&gt;"Pass after CA"))),1,0),1)</f>
        <v>0</v>
      </c>
      <c r="AM175" s="61" t="n">
        <f aca="false">IF(LEFT(AH175,7)="INVALID",1,0)</f>
        <v>0</v>
      </c>
      <c r="AN175" s="61" t="n">
        <f aca="false">IF(AND(N175="Clarification required",AI175=1,AJ175=0),1,0)</f>
        <v>0</v>
      </c>
      <c r="AO175" s="61" t="str">
        <f aca="false">IF(AK175=1,SUM(AK$5:AK175),"")</f>
        <v/>
      </c>
      <c r="AP175" s="61" t="str">
        <f aca="false">IF(AL175=1,SUM(AL$5:AL175),"")</f>
        <v/>
      </c>
      <c r="AQ175" s="61" t="n">
        <v>1</v>
      </c>
      <c r="AR175" s="61" t="n">
        <v>0</v>
      </c>
      <c r="AS175" s="61" t="n">
        <v>0</v>
      </c>
      <c r="AT175" s="61" t="n">
        <v>0</v>
      </c>
      <c r="AU175" s="61" t="str">
        <f aca="false">SUBSTITUTE(SUBSTITUTE(SUBSTITUTE(SUBSTITUTE(SUBSTITUTE(SUBSTITUTE(SUBSTITUTE(SUBSTITUTE(SUBSTITUTE(SUBSTITUTE(SUBSTITUTE(SUBSTITUTE(SUBSTITUTE(SUBSTITUTE(SUBSTITUTE(SUBSTITUTE(LOWER(T175&amp;""),CHAR(10),""),CHAR(13),""),CHAR(9),""),CHAR(160),"")," ",""),".",""),"-",""),"/",""),"?",""),"_",""),",",""),"[",""),"]",""),"(",""),")",""),"*","")</f>
        <v/>
      </c>
      <c r="AV175" s="61" t="str">
        <f aca="false">SUBSTITUTE(SUBSTITUTE(SUBSTITUTE(SUBSTITUTE(SUBSTITUTE(SUBSTITUTE(SUBSTITUTE(SUBSTITUTE(SUBSTITUTE(SUBSTITUTE(SUBSTITUTE(SUBSTITUTE(SUBSTITUTE(SUBSTITUTE(SUBSTITUTE(SUBSTITUTE(LOWER(V175&amp;""),CHAR(10),""),CHAR(13),""),CHAR(9),""),CHAR(160),"")," ",""),".",""),"-",""),"/",""),"?",""),"_",""),",",""),"[",""),"]",""),"(",""),")",""),"*","")</f>
        <v/>
      </c>
      <c r="AW175" s="61" t="str">
        <f aca="false">SUBSTITUTE(SUBSTITUTE(SUBSTITUTE(SUBSTITUTE(SUBSTITUTE(SUBSTITUTE(SUBSTITUTE(SUBSTITUTE(SUBSTITUTE(SUBSTITUTE(SUBSTITUTE(SUBSTITUTE(SUBSTITUTE(SUBSTITUTE(SUBSTITUTE(SUBSTITUTE(LOWER(Z175&amp;""),CHAR(10),""),CHAR(13),""),CHAR(9),""),CHAR(160),"")," ",""),".",""),"-",""),"/",""),"?",""),"_",""),",",""),"[",""),"]",""),"(",""),")",""),"*","")</f>
        <v/>
      </c>
      <c r="AX175" s="61" t="str">
        <f aca="false">SUBSTITUTE(SUBSTITUTE(SUBSTITUTE(SUBSTITUTE(SUBSTITUTE(SUBSTITUTE(SUBSTITUTE(SUBSTITUTE(SUBSTITUTE(SUBSTITUTE(SUBSTITUTE(SUBSTITUTE(SUBSTITUTE(SUBSTITUTE(SUBSTITUTE(SUBSTITUTE(LOWER(AE175&amp;""),CHAR(10),""),CHAR(13),""),CHAR(9),""),CHAR(160),"")," ",""),".",""),"-",""),"/",""),"?",""),"_",""),",",""),"[",""),"]",""),"(",""),")",""),"*","")</f>
        <v/>
      </c>
      <c r="AY175" s="61" t="str">
        <f aca="false">SUBSTITUTE(SUBSTITUTE(SUBSTITUTE(SUBSTITUTE(SUBSTITUTE(SUBSTITUTE(SUBSTITUTE(SUBSTITUTE(SUBSTITUTE(SUBSTITUTE(SUBSTITUTE(SUBSTITUTE(SUBSTITUTE(SUBSTITUTE(SUBSTITUTE(SUBSTITUTE(LOWER(W175&amp;""),CHAR(10),""),CHAR(13),""),CHAR(9),""),CHAR(160),"")," ",""),".",""),"-",""),"/",""),"?",""),"_",""),",",""),"[",""),"]",""),"(",""),")",""),"*","")</f>
        <v/>
      </c>
      <c r="AZ175" s="61" t="str">
        <f aca="false">SUBSTITUTE(SUBSTITUTE(SUBSTITUTE(SUBSTITUTE(SUBSTITUTE(SUBSTITUTE(SUBSTITUTE(SUBSTITUTE(SUBSTITUTE(SUBSTITUTE(SUBSTITUTE(SUBSTITUTE(SUBSTITUTE(SUBSTITUTE(SUBSTITUTE(SUBSTITUTE(LOWER(AC175&amp;""),CHAR(10),""),CHAR(13),""),CHAR(9),""),CHAR(160),"")," ",""),".",""),"-",""),"/",""),"?",""),"_",""),",",""),"[",""),"]",""),"(",""),")",""),"*","")</f>
        <v/>
      </c>
      <c r="BA175" s="61" t="str">
        <f aca="false">SUBSTITUTE(SUBSTITUTE(SUBSTITUTE(SUBSTITUTE(SUBSTITUTE(SUBSTITUTE(SUBSTITUTE(SUBSTITUTE(SUBSTITUTE(SUBSTITUTE(SUBSTITUTE(SUBSTITUTE(SUBSTITUTE(SUBSTITUTE(SUBSTITUTE(SUBSTITUTE(LOWER(AA175&amp;""),CHAR(10),""),CHAR(13),""),CHAR(9),""),CHAR(160),"")," ",""),".",""),"-",""),"/",""),"?",""),"_",""),",",""),"[",""),"]",""),"(",""),")",""),"*","")</f>
        <v/>
      </c>
      <c r="BB175" s="61" t="str">
        <f aca="false">IF(AND(TRIM(U175)="Pass",ISNUMBER(AF175)),IF(AF175&lt;&gt;0,"INVALID – qty variance: use Fail or Pass after CA",""),"")&amp;IF(AND(TRIM(U175)="Pass after CA",ISNUMBER(AF175)),IF(AF175&lt;&gt;0,"INVALID – after the corrective action the actual qty must equal expected (update Actual)",""),"")&amp;IF(AND(TRIM(U175)="Pass",TRIM(AB175)&lt;&gt;"",TRIM(AB175)&lt;&gt;"Closed"),"INVALID – corrective action not closed: use Fail, then Pass after CA","")&amp;IF(AND(LEN(BA175)&gt;=2,ISNA(MATCH(LEFT(BA175,255),L_Placeholder,0)),TRIM(AB175)=""),"INVALID – CA status missing for the recorded corrective action","")&amp;IF(AND(TRIM(U175)="Pass after CA",OR(OR(LEN(BA175)&lt;5,ISNUMBER(MATCH(BA175,L_Placeholder,0))),TRIM(AB175)&lt;&gt;"Closed")),"INVALID – corrective action not recorded/closed","")</f>
        <v/>
      </c>
      <c r="BC175" s="61" t="str">
        <f aca="false">" "&amp;TRIM(SUBSTITUTE(SUBSTITUTE(SUBSTITUTE(SUBSTITUTE(SUBSTITUTE(SUBSTITUTE(SUBSTITUTE(SUBSTITUTE(SUBSTITUTE(SUBSTITUTE(SUBSTITUTE(SUBSTITUTE(SUBSTITUTE(SUBSTITUTE(SUBSTITUTE(SUBSTITUTE(SUBSTITUTE(SUBSTITUTE(SUBSTITUTE(SUBSTITUTE(SUBSTITUTE(SUBSTITUTE(SUBSTITUTE(SUBSTITUTE(LOWER(V175&amp;""),CHAR(10)," "),CHAR(13)," "),CHAR(9)," "),CHAR(160)," "),"."," "),","," "),"-"," "),"/"," "),"("," "),")"," "),":"," "),";"," "),"_"," "),"–"," "),"?"," "),"!"," "),"*"," "),"["," "),"]"," "),"'"," "),"#"," "),"+"," "),"&amp;"," "),"\"," "))&amp;" "</f>
        <v>  </v>
      </c>
      <c r="BD175" s="61" t="str">
        <f aca="false">" "&amp;TRIM(SUBSTITUTE(SUBSTITUTE(SUBSTITUTE(SUBSTITUTE(SUBSTITUTE(SUBSTITUTE(SUBSTITUTE(SUBSTITUTE(SUBSTITUTE(SUBSTITUTE(SUBSTITUTE(SUBSTITUTE(SUBSTITUTE(SUBSTITUTE(SUBSTITUTE(SUBSTITUTE(SUBSTITUTE(SUBSTITUTE(SUBSTITUTE(SUBSTITUTE(SUBSTITUTE(SUBSTITUTE(SUBSTITUTE(SUBSTITUTE(LOWER(Z175&amp;""),CHAR(10)," "),CHAR(13)," "),CHAR(9)," "),CHAR(160)," "),"."," "),","," "),"-"," "),"/"," "),"("," "),")"," "),":"," "),";"," "),"_"," "),"–"," "),"?"," "),"!"," "),"*"," "),"["," "),"]"," "),"'"," "),"#"," "),"+"," "),"&amp;"," "),"\"," "))&amp;" "</f>
        <v>  </v>
      </c>
      <c r="BE175" s="61" t="str">
        <f aca="false">" "&amp;TRIM(SUBSTITUTE(SUBSTITUTE(SUBSTITUTE(SUBSTITUTE(SUBSTITUTE(SUBSTITUTE(SUBSTITUTE(SUBSTITUTE(SUBSTITUTE(SUBSTITUTE(SUBSTITUTE(SUBSTITUTE(SUBSTITUTE(SUBSTITUTE(SUBSTITUTE(SUBSTITUTE(SUBSTITUTE(SUBSTITUTE(SUBSTITUTE(SUBSTITUTE(SUBSTITUTE(SUBSTITUTE(SUBSTITUTE(SUBSTITUTE(LOWER(W175&amp;""),CHAR(10)," "),CHAR(13)," "),CHAR(9)," "),CHAR(160)," "),"."," "),","," "),"-"," "),"/"," "),"("," "),")"," "),":"," "),";"," "),"_"," "),"–"," "),"?"," "),"!"," "),"*"," "),"["," "),"]"," "),"'"," "),"#"," "),"+"," "),"&amp;"," "),"\"," "))&amp;" "</f>
        <v>  </v>
      </c>
      <c r="BF175" s="61" t="str">
        <f aca="false">" "&amp;TRIM(SUBSTITUTE(SUBSTITUTE(SUBSTITUTE(SUBSTITUTE(SUBSTITUTE(SUBSTITUTE(SUBSTITUTE(SUBSTITUTE(SUBSTITUTE(SUBSTITUTE(SUBSTITUTE(SUBSTITUTE(SUBSTITUTE(SUBSTITUTE(SUBSTITUTE(SUBSTITUTE(SUBSTITUTE(SUBSTITUTE(SUBSTITUTE(SUBSTITUTE(SUBSTITUTE(SUBSTITUTE(SUBSTITUTE(SUBSTITUTE(LOWER(AC175&amp;""),CHAR(10)," "),CHAR(13)," "),CHAR(9)," "),CHAR(160)," "),"."," "),","," "),"-"," "),"/"," "),"("," "),")"," "),":"," "),";"," "),"_"," "),"–"," "),"?"," "),"!"," "),"*"," "),"["," "),"]"," "),"'"," "),"#"," "),"+"," "),"&amp;"," "),"\"," "))&amp;" "</f>
        <v>  </v>
      </c>
      <c r="BG175" s="61" t="n">
        <f aca="false">IFERROR(IF(AND(TRIM(U175)="Pass",SUMPRODUCT((LEN(BC175)-LEN(SUBSTITUTE(BC175," "&amp;L_ResultBad&amp;" "," ")))/(LEN(L_ResultBad)+1))&gt;SUMPRODUCT((LEN(BC175)-LEN(SUBSTITUTE(BC175," "&amp;L_NegPhrase&amp;" "," ")))/(LEN(L_NegPhrase)+1))),1,0),0)</f>
        <v>0</v>
      </c>
      <c r="BH175" s="61" t="n">
        <f aca="false">IFERROR(IF(SUMPRODUCT((LEN(BC175)-LEN(SUBSTITUTE(BC175," "&amp;L_Pending&amp;" "," ")))/(LEN(L_Pending)+1))&gt;SUMPRODUCT((LEN(BC175)-LEN(SUBSTITUTE(BC175," "&amp;L_PendNeg&amp;" "," ")))/(LEN(L_PendNeg)+1))+SUMPRODUCT((LEN(BC175)-LEN(SUBSTITUTE(BC175," "&amp;L_PendPrep&amp;" "," ")))/(LEN(L_PendPrep)+1)),1,0),1)</f>
        <v>0</v>
      </c>
      <c r="BI175" s="61" t="n">
        <f aca="false">IFERROR(IF(SUMPRODUCT((LEN(BD175)-LEN(SUBSTITUTE(BD175," "&amp;L_PendStrict&amp;" "," ")))/(LEN(L_PendStrict)+1))&gt;SUMPRODUCT((LEN(BD175)-LEN(SUBSTITUTE(BD175," "&amp;L_PendNeg&amp;" "," ")))/(LEN(L_PendNeg)+1)),1,0),1)</f>
        <v>0</v>
      </c>
      <c r="BJ175" s="61" t="n">
        <f aca="false">IFERROR(IF(SUMPRODUCT((LEN(BE175)-LEN(SUBSTITUTE(BE175," "&amp;L_Pending&amp;" "," ")))/(LEN(L_Pending)+1))&gt;SUMPRODUCT((LEN(BE175)-LEN(SUBSTITUTE(BE175," "&amp;L_PendNeg&amp;" "," ")))/(LEN(L_PendNeg)+1))+SUMPRODUCT((LEN(BE175)-LEN(SUBSTITUTE(BE175," "&amp;L_PendPrep&amp;" "," ")))/(LEN(L_PendPrep)+1)),1,0),1)</f>
        <v>0</v>
      </c>
      <c r="BK175" s="61" t="n">
        <f aca="false">IFERROR(IF(SUMPRODUCT((LEN(BF175)-LEN(SUBSTITUTE(BF175," "&amp;L_PendStrict&amp;" "," ")))/(LEN(L_PendStrict)+1))&gt;SUMPRODUCT((LEN(BF175)-LEN(SUBSTITUTE(BF175," "&amp;L_PendNeg&amp;" "," ")))/(LEN(L_PendNeg)+1)),1,0),1)</f>
        <v>0</v>
      </c>
      <c r="BL175" s="61" t="n">
        <f aca="false">IF(ISNA(MATCH(TRIM(S175),L_EvidenceType,0)),0,BZ175)</f>
        <v>0</v>
      </c>
      <c r="BM175" s="61" t="str">
        <f aca="false">SUBSTITUTE(SUBSTITUTE(SUBSTITUTE(SUBSTITUTE(SUBSTITUTE(SUBSTITUTE(SUBSTITUTE(SUBSTITUTE(SUBSTITUTE(LOWER(Z175&amp;""),"1","0"),"2","0"),"3","0"),"4","0"),"5","0"),"6","0"),"7","0"),"8","0"),"9","0")</f>
        <v/>
      </c>
      <c r="BN175" s="61" t="str">
        <f aca="false">SUBSTITUTE(SUBSTITUTE(SUBSTITUTE(SUBSTITUTE(SUBSTITUTE(SUBSTITUTE(SUBSTITUTE(SUBSTITUTE(SUBSTITUTE(SUBSTITUTE(SUBSTITUTE(SUBSTITUTE(SUBSTITUTE(SUBSTITUTE(SUBSTITUTE(SUBSTITUTE(SUBSTITUTE(SUBSTITUTE(SUBSTITUTE(SUBSTITUTE(SUBSTITUTE(SUBSTITUTE(SUBSTITUTE(SUBSTITUTE(SUBSTITUTE(BM175,"b","a"),"c","a"),"d","a"),"e","a"),"f","a"),"g","a"),"h","a"),"i","a"),"j","a"),"k","a"),"l","a"),"m","a"),"n","a"),"o","a"),"p","a"),"q","a"),"r","a"),"s","a"),"t","a"),"u","a"),"v","a"),"w","a"),"x","a"),"y","a"),"z","a")</f>
        <v/>
      </c>
      <c r="BO175" s="61" t="str">
        <f aca="false">SUBSTITUTE(SUBSTITUTE(SUBSTITUTE(SUBSTITUTE(SUBSTITUTE(SUBSTITUTE(SUBSTITUTE(SUBSTITUTE(SUBSTITUTE(LOWER(W175&amp;""),"1","0"),"2","0"),"3","0"),"4","0"),"5","0"),"6","0"),"7","0"),"8","0"),"9","0")</f>
        <v/>
      </c>
      <c r="BP175" s="61" t="str">
        <f aca="false">SUBSTITUTE(SUBSTITUTE(SUBSTITUTE(SUBSTITUTE(SUBSTITUTE(SUBSTITUTE(SUBSTITUTE(SUBSTITUTE(SUBSTITUTE(SUBSTITUTE(SUBSTITUTE(SUBSTITUTE(SUBSTITUTE(SUBSTITUTE(SUBSTITUTE(SUBSTITUTE(SUBSTITUTE(SUBSTITUTE(SUBSTITUTE(SUBSTITUTE(SUBSTITUTE(SUBSTITUTE(SUBSTITUTE(SUBSTITUTE(SUBSTITUTE(BO175,"b","a"),"c","a"),"d","a"),"e","a"),"f","a"),"g","a"),"h","a"),"i","a"),"j","a"),"k","a"),"l","a"),"m","a"),"n","a"),"o","a"),"p","a"),"q","a"),"r","a"),"s","a"),"t","a"),"u","a"),"v","a"),"w","a"),"x","a"),"y","a"),"z","a")</f>
        <v/>
      </c>
      <c r="BQ175" s="61" t="n">
        <f aca="false">IFERROR(IF(AND(ISERROR(SEARCH(" mh"," "&amp;LOWER(W175))),ISNA(MATCH(LEFT(TRIM(BP175),255),{"0000a","000a","00a","0000aa","000aa","00aa","0aa","0000aaa","000aaa","00a00","0a00","0000-0000","00:00","a00","a0","00.00.0000","00/00/0000","00-00-0000","0000-00-00","0000/00/00","0000.00.00","00.00.00","00/00/00","00-00-00","0.00.0000","0/00/0000","0-00-0000"},0)),ISNA(MATCH(LEFT(TRIM(CA175),255),{"0000a","000a","00a","0000aa","000aa","00aa","0aa","0000aaa","000aaa","00a00","0a00","0000-0000","00:00","a00","a0","00.00.0000","00/00/0000","00-00-0000","0000-00-00","0000/00/00","0000.00.00","00.00.00","00/00/00","00-00-00","0.00.0000","0/00/0000","0-00-0000"},0)),LEN(CB175)&gt;=3,NOT(OR(SUBSTITUTE(CB175,"0","")="",AND(LEN(CB175)&gt;=4,CB175=REPT(LEFT(CB175),LEN(CB175))),ISNUMBER(MATCH(CB175,{"123","1234","12345","123456","1234567","12345678","0123","01234","012345","98765","987654","54321"},0)),AND(LEN(CB175)=8,LEFT(CB175,3)="202"))),OR(AND((LEN(CA175)-LEN(SUBSTITUTE(CA175,"a","")))&gt;=1,SUMPRODUCT(--ISNUMBER(SEARCH({"a0","a-0","a_0","a/0","a.0","a#0","0a","0-a","0_a","0/a"},BP175)))&gt;0),ISNUMBER(SEARCH("000000",BP175)))),1,0),0)</f>
        <v>0</v>
      </c>
      <c r="BR175" s="61" t="n">
        <f aca="false">IFERROR(LEN(SUBSTITUTE(CC175," ",""))-SUMPRODUCT((LEN(CC175)-LEN(SUBSTITUTE(CC175," "&amp;L_Role&amp;" "," ")))/(LEN(L_Role)+1)*LEN(L_Role)),0)</f>
        <v>0</v>
      </c>
      <c r="BS175" s="61" t="n">
        <f aca="false">IFERROR(LEN(SUBSTITUTE(CD175," ",""))-SUMPRODUCT((LEN(CD175)-LEN(SUBSTITUTE(CD175," "&amp;L_Role&amp;" "," ")))/(LEN(L_Role)+1)*LEN(L_Role)),0)</f>
        <v>0</v>
      </c>
      <c r="BT1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175,"revision",""),"version",""),"jan",""),"feb",""),"mar",""),"apr",""),"may",""),"jun",""),"jul",""),"aug",""),"sep",""),"oct",""),"nov",""),"dec",""),"utc",""),"gmt",""),"myt",""),"bst",""),"rev",""),"ver",""),"b","a"),"c","a"),"d","a"),"e","a"),"f","a"),"g","a"),"h","a"),"i","a"),"j","a"),"k","a"),"l","a"),"m","a"),"n","a"),"o","a"),"p","a"),"q","a"),"r","a"),"s","a"),"t","a"),"u","a"),"v","a"),"w","a"),"x","a"),"y","a"),"z","a")</f>
        <v/>
      </c>
      <c r="BU175" s="61" t="str">
        <f aca="false">SUBSTITUTE(SUBSTITUTE(SUBSTITUTE(SUBSTITUTE(SUBSTITUTE(SUBSTITUTE(SUBSTITUTE(SUBSTITUTE(SUBSTITUTE(SUBSTITUTE(LEFT(BM175,FIND("0",BM175&amp;"0")-1),"-",""),"_",""),"/",""),".",""),"#",""),"\\",""),":","")," ",""),"(",""),")","")</f>
        <v/>
      </c>
      <c r="BV175" s="61" t="n">
        <f aca="false">0</f>
        <v>0</v>
      </c>
      <c r="BW1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175&amp;""),"a",""),"b",""),"c",""),"d",""),"e",""),"f",""),"g",""),"h",""),"i",""),"j",""),"k",""),"l",""),"m",""),"n",""),"o",""),"p",""),"q",""),"r",""),"s",""),"t",""),"u",""),"v",""),"w",""),"x",""),"y",""),"z",""),"-",""),"_",""),"/",""),".",""),"#",""),"\\",""),":","")," ",""),"(",""),")","")</f>
        <v/>
      </c>
      <c r="BX175" s="61" t="str">
        <f aca="false">SUBSTITUTE(SUBSTITUTE(SUBSTITUTE(SUBSTITUTE(SUBSTITUTE(SUBSTITUTE(SUBSTITUTE(SUBSTITUTE(SUBSTITUTE(SUBSTITUTE(SUBSTITUTE(BM175,"0",""),"-",""),"_",""),"/",""),".",""),"#",""),"\\",""),":","")," ",""),"(",""),")","")</f>
        <v/>
      </c>
      <c r="BY175" s="62" t="n">
        <f aca="false">Q175-T24EarlyH/24</f>
        <v>46308.6388888889</v>
      </c>
      <c r="BZ175" s="61" t="n">
        <f aca="false">IFERROR(IF(IF(TRIM(S175)="Link / file path",AND(LEN(TRIM(Z175))&gt;=5,SUMPRODUCT(--ISNUMBER(SEARCH({"http","www.","\\",":\",".pdf",".jpg",".jpeg",".png",".heic",".xls",".doc",".msg",".eml",".ppt",".txt",".zip"},Z175)))&gt;0),AND(ISERROR(FIND(" ",TRIM(Z175))),NOT(OR(SUMPRODUCT(--ISNUMBER(FIND({",",";","&amp;","+"},Z175)))&gt;0,SUMPRODUCT(--ISNUMBER(SEARCH({"0/aa","0\\aa"},BN175)))&gt;0)),NOT(SUMPRODUCT(--ISNUMBER(SEARCH({"http","www.","\\",":\",".pdf",".jpg",".jpeg",".png",".heic",".xls",".doc",".msg",".eml",".ppt",".txt",".zip"},Z175)))&gt;0),NOT(LOWER(TRIM(Z175))=LOWER(Flights!$F$10)),ISNA(MATCH(BU175,{"mh","rev","revision","ver","version","v","r","a","b","seat","tray","row","gate","bay","stand","page","pg","item","line","no","cart","galley","flight","flt","table","box","bag","oven","etd","eta","std","sta","atd","ata","qty","pax","x","time","tel","ph","mob","day","wk","week","utc","gmt","myt","lt"},0)),NOT(OR(ISNUMBER(MATCH(LEFT(BN175,255),{"0000a","000a","00a","0000aa","000aa","00aa","0aa","0000aaa","000aaa","00a00","0a00","0000-0000","00:00","a00","a0","00.00.0000","00/00/0000","00-00-0000","0000-00-00","0000/00/00","0000.00.00","00.00.00","00/00/00","00-00-00","0.00.0000","0/00/0000","0-00-0000"},0)),ISNUMBER(MATCH(LEFT(BT175,255),{"0000a","000a","00a","0000aa","000aa","00aa","0aa","0000aaa","000aaa","00a00","0a00","0000-0000","00:00","a00","a0","00.00.0000","00/00/0000","00-00-0000","0000-00-00","0000/00/00","0000.00.00","00.00.00","00/00/00","00-00-00","0.00.0000","0/00/0000","0-00-0000"},0)))),NOT(OR(AND(BW175&lt;&gt;"",SUBSTITUTE(BW175,"0","")=""),AND(LEN(BW175)&gt;=4,BW175=REPT(LEFT(BW175),LEN(BW175))),ISNUMBER(MATCH(BW175,{"123","1234","12345","123456","1234567","12345678","0123","01234","012345","98765","987654","54321"},0)),ISNUMBER(MATCH(BX175,{"x","xx","xxx","xxxx","xxxxx","abc","abcd","nil","na","nan","test","tbc","tba","tbd","dummy","sample","example","eg","zz","zzz","none","null","xyz","qwe","asd","id","ref"},0)),AND(LEN(BW175)=8,BX175="",OR(LEFT(BW175,3)="202",ISNUMBER(MATCH(RIGHT(BW175,4),{"2025","2026","2027"},0)))))),OR(AND((LEN(BT175)-LEN(SUBSTITUTE(BT175,"a","")))&gt;=1,(LEN(BN175)-LEN(SUBSTITUTE(BN175,"0","")))&gt;=2,SUMPRODUCT(--ISNUMBER(SEARCH({"a0","a-0","a_0","a/0","a.0","a#0","0a","0-a","0_a","0/a"},BN175)))&gt;0),AND((LEN(BN175)-LEN(SUBSTITUTE(BN175,"a","")))=0,(LEN(BN175)-LEN(SUBSTITUTE(BN175,"0","")))&gt;=5)))),1,0),0)</f>
        <v>0</v>
      </c>
      <c r="CA1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175,"revision",""),"version",""),"jan",""),"feb",""),"mar",""),"apr",""),"may",""),"jun",""),"jul",""),"aug",""),"sep",""),"oct",""),"nov",""),"dec",""),"utc",""),"gmt",""),"myt",""),"bst",""),"rev",""),"ver",""),"b","a"),"c","a"),"d","a"),"e","a"),"f","a"),"g","a"),"h","a"),"i","a"),"j","a"),"k","a"),"l","a"),"m","a"),"n","a"),"o","a"),"p","a"),"q","a"),"r","a"),"s","a"),"t","a"),"u","a"),"v","a"),"w","a"),"x","a"),"y","a"),"z","a")</f>
        <v/>
      </c>
      <c r="CB1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175&amp;""),"a",""),"b",""),"c",""),"d",""),"e",""),"f",""),"g",""),"h",""),"i",""),"j",""),"k",""),"l",""),"m",""),"n",""),"o",""),"p",""),"q",""),"r",""),"s",""),"t",""),"u",""),"v",""),"w",""),"x",""),"y",""),"z",""),"-",""),"_",""),"/",""),".",""),"#",""),"\\",""),":","")," ",""),"(",""),")","")</f>
        <v/>
      </c>
      <c r="CC175" s="0" t="str">
        <f aca="false">" "&amp;TRIM(SUBSTITUTE(SUBSTITUTE(SUBSTITUTE(SUBSTITUTE(SUBSTITUTE(SUBSTITUTE(SUBSTITUTE(SUBSTITUTE(SUBSTITUTE(SUBSTITUTE(SUBSTITUTE(SUBSTITUTE(SUBSTITUTE(SUBSTITUTE(SUBSTITUTE(SUBSTITUTE(SUBSTITUTE(SUBSTITUTE(SUBSTITUTE(SUBSTITUTE(SUBSTITUTE(SUBSTITUTE(SUBSTITUTE(SUBSTITUTE(LOWER(T175&amp;""),CHAR(10)," "),CHAR(13)," "),CHAR(9)," "),CHAR(160)," "),"."," "),","," "),"-"," "),"/"," "),"("," "),")"," "),":"," "),";"," "),"_"," "),"–"," "),"?"," "),"!"," "),"*"," "),"["," "),"]"," "),"'"," "),"#"," "),"+"," "),"&amp;"," "),"\"," "))&amp;" "</f>
        <v>  </v>
      </c>
      <c r="CD175" s="0" t="str">
        <f aca="false">" "&amp;TRIM(SUBSTITUTE(SUBSTITUTE(SUBSTITUTE(SUBSTITUTE(SUBSTITUTE(SUBSTITUTE(SUBSTITUTE(SUBSTITUTE(SUBSTITUTE(SUBSTITUTE(SUBSTITUTE(SUBSTITUTE(SUBSTITUTE(SUBSTITUTE(SUBSTITUTE(SUBSTITUTE(SUBSTITUTE(SUBSTITUTE(SUBSTITUTE(SUBSTITUTE(SUBSTITUTE(SUBSTITUTE(SUBSTITUTE(SUBSTITUTE(LOWER(AE175&amp;""),CHAR(10)," "),CHAR(13)," "),CHAR(9)," "),CHAR(160)," "),"."," "),","," "),"-"," "),"/"," "),"("," "),")"," "),":"," "),";"," "),"_"," "),"–"," "),"?"," "),"!"," "),"*"," "),"["," "),"]"," "),"'"," "),"#"," "),"+"," "),"&amp;"," "),"\"," "))&amp;" "</f>
        <v>  </v>
      </c>
      <c r="CE175" s="68" t="n">
        <f aca="false">IFERROR(IF(AND(LEN(AU175)&gt;0,LEN(AU175)=LEN(AX175),OR(TRIM(MID(SUBSTITUTE(TRIM(CC175)," ",REPT(" ",60)),1,60))="",ISNUMBER(SEARCH(" "&amp;TRIM(MID(SUBSTITUTE(TRIM(CC175)," ",REPT(" ",60)),1,60))&amp;" ",CD175))),OR(TRIM(MID(SUBSTITUTE(TRIM(CC175)," ",REPT(" ",60)),61,60))="",ISNUMBER(SEARCH(" "&amp;TRIM(MID(SUBSTITUTE(TRIM(CC175)," ",REPT(" ",60)),61,60))&amp;" ",CD175))),OR(TRIM(MID(SUBSTITUTE(TRIM(CC175)," ",REPT(" ",60)),121,60))="",ISNUMBER(SEARCH(" "&amp;TRIM(MID(SUBSTITUTE(TRIM(CC175)," ",REPT(" ",60)),121,60))&amp;" ",CD175)))),1,0),0)</f>
        <v>0</v>
      </c>
      <c r="CG175" s="68" t="n">
        <f aca="false">IFERROR(LEN(SUBSTITUTE(BF175," ",""))-SUMPRODUCT((LEN(BF175)-LEN(SUBSTITUTE(BF175," "&amp;L_NAFiller&amp;" "," ")))/(LEN(L_NAFiller)+1)*LEN(L_NAFiller)),0)</f>
        <v>0</v>
      </c>
    </row>
    <row r="176" customFormat="false" ht="39.75" hidden="false" customHeight="true" outlineLevel="0" collapsed="false">
      <c r="A176" s="57" t="s">
        <v>718</v>
      </c>
      <c r="B176" s="57" t="s">
        <v>231</v>
      </c>
      <c r="C176" s="57" t="str">
        <f aca="false">Flights!$F$10</f>
        <v>MH0002</v>
      </c>
      <c r="D176" s="58" t="n">
        <f aca="false">Flights!$D$10</f>
        <v>46310</v>
      </c>
      <c r="E176" s="57" t="str">
        <f aca="false">Flights!$G$10&amp;"-"&amp;Flights!$H$10</f>
        <v>KUL-LHR</v>
      </c>
      <c r="F176" s="57" t="str">
        <f aca="false">Flights!$K$10</f>
        <v>BC</v>
      </c>
      <c r="G176" s="57" t="s">
        <v>420</v>
      </c>
      <c r="H176" s="57" t="s">
        <v>378</v>
      </c>
      <c r="I176" s="57" t="s">
        <v>379</v>
      </c>
      <c r="J176" s="57" t="s">
        <v>421</v>
      </c>
      <c r="K176" s="67"/>
      <c r="L176" s="67" t="s">
        <v>422</v>
      </c>
      <c r="M176" s="67"/>
      <c r="N176" s="67" t="s">
        <v>383</v>
      </c>
      <c r="O176" s="67" t="s">
        <v>423</v>
      </c>
      <c r="P176" s="57" t="s">
        <v>187</v>
      </c>
      <c r="Q176" s="59" t="n">
        <f aca="false">ROUND((Flights!$AE$10)*1440,0)/1440</f>
        <v>46310.1388888889</v>
      </c>
      <c r="R176" s="59" t="n">
        <f aca="false">Q176+(IF(AND(INDEX(TZ_DSTS,MATCH(P176,TZ_STN,0))&lt;&gt;"",Q176&gt;=INDEX(TZ_DSTS,MATCH(P176,TZ_STN,0)),Q176&lt;INDEX(TZ_DSTE,MATCH(P176,TZ_STN,0))),INDEX(TZ_DST,MATCH(P176,TZ_STN,0)),INDEX(TZ_STD,MATCH(P176,TZ_STN,0))))/24</f>
        <v>46310.4722222222</v>
      </c>
      <c r="S176" s="60"/>
      <c r="T176" s="60"/>
      <c r="U176" s="60"/>
      <c r="V176" s="60"/>
      <c r="W176" s="61"/>
      <c r="X176" s="60"/>
      <c r="Y176" s="60"/>
      <c r="Z176" s="60"/>
      <c r="AA176" s="60"/>
      <c r="AB176" s="60"/>
      <c r="AC176" s="60"/>
      <c r="AD176" s="66"/>
      <c r="AE176" s="60"/>
      <c r="AF176" s="61" t="str">
        <f aca="false">IF(AND(ISNUMBER(X176),ISNUMBER(Y176)),Y176-X176,"")</f>
        <v/>
      </c>
      <c r="AG176" s="62" t="str">
        <f aca="false">IF(ISNUMBER(AD176),AD176-(IF(AND(INDEX(TZ_DSTS,MATCH(P176,TZ_STN,0))&lt;&gt;"",(AD176-INDEX(TZ_STD,MATCH(P176,TZ_STN,0))/24)&gt;=INDEX(TZ_DSTS,MATCH(P176,TZ_STN,0)),(AD176-INDEX(TZ_STD,MATCH(P176,TZ_STN,0))/24)&lt;INDEX(TZ_DSTE,MATCH(P176,TZ_STN,0))),INDEX(TZ_DST,MATCH(P176,TZ_STN,0)),INDEX(TZ_STD,MATCH(P176,TZ_STN,0))))/24,"")</f>
        <v/>
      </c>
      <c r="AH176" s="65" t="str">
        <f aca="false">IFERROR(IF(N176="N/A – rule",IF(OR(TRIM(U176)="",TRIM(U176)="N/A",TRIM(U176)="Not started"),"N/A – RULE","INVALID – this check does not apply to this aircraft: clear the status (or correct the fleet on Flights)"),IF(TRIM(U176)="N/A",IF(AT176=0,"INVALID – N/A not permitted for this check",IF(AND(TRIM(AB176)&lt;&gt;"",TRIM(AB176)&lt;&gt;"Closed"),"INVALID – corrective action still open",IF(AND(NOT(OR(LEN(AZ176)&lt;15,ISNUMBER(MATCH(AZ176,L_Placeholder,0)))),BK176=0,CG176&gt;=8,NOT(OR(LEN(AU176)&lt;2,ISNUMBER(MATCH(AU176,L_Placeholder,0)))),BR176&gt;=3,NOT(OR(LEN(AX176)&lt;2,ISNUMBER(MATCH(AX176,L_Placeholder,0)))),BS176&gt;=3,TRIM(AE176)&lt;&gt;TRIM(T176),AX176&lt;&gt;AU176,CE176=0),"N/A – JUSTIFIED","INVALID – N/A needs a real, settled reason (not 'not applicable' / 'as above' / TBC), a named PIC and a different named verifier"))),IF(OR(TRIM(U176)="Pass",TRIM(U176)="Pass after CA"),IF(NOT(ISNUMBER(AD176)),"INVALID – completion time missing",IF(OR(OR(LEN(AU176)&lt;2,ISNUMBER(MATCH(AU176,L_Placeholder,0))),BR176&lt;3),"INVALID – PIC missing or not a named person (a role such as QA / CSM is not a name)",IF(OR(LEN(AV176)&lt;2,ISNUMBER(MATCH(AV176,L_Placeholder,0))),"INVALID – result / assessment missing",IF(OR(OR(LEN(AW176)&lt;3,ISNUMBER(MATCH(AW176,L_Placeholder,0))),SUMPRODUCT(--ISNUMBER(SEARCH(" "&amp;L_EvidencePhrase&amp;" ",BD176)))&gt;0,BI176=1),"INVALID – evidence missing, placeholder or not yet on file",IF(ISNA(MATCH(TRIM(S176),L_EvidenceType,0)),"INVALID – choose the evidence type from the list (column S)",IF(BL176=0,"INVALID – evidence ID must be the record's own ID only (e.g. SF-2210, IMG_2231, 1045521); a link / file name needs type 'Link / file path'",IF(OR(OR(LEN(AX176)&lt;2,ISNUMBER(MATCH(AX176,L_Placeholder,0))),BS176&lt;3),"INVALID – verifier missing or not a named person (a role such as QA / CSM is not a name)",IF(OR(AX176=AU176,CE176=1,AND(LEN(AU176)&gt;=4,ISNUMBER(SEARCH(AU176,AX176))),AND(LEN(AX176)&gt;=4,ISNUMBER(SEARCH(AX176,AU176)))),"INVALID – verifier must be a different, named person (not the PIC or a role)",IF(BH176=1,"INVALID – result not yet available (awaiting / TBC)",IF(BG176=1,"INVALID – result describes a problem: record Fail, then Pass after CA (or reword if it is not a problem)",IF(BV176=1,"INVALID – wording says not on board: an on-board confirmation needs the item loaded",IF(AND(AQ176=1,OR(OR(LEN(AY176)&lt;3,ISNUMBER(MATCH(AY176,L_Placeholder,0))),BJ176=1,BQ176=0)),"INVALID – batch ID missing, placeholder or not an ID (e.g. PASB-261008-BC-017)",IF(AND(AR176=1,OR(NOT(ISNUMBER(X176)),NOT(ISNUMBER(Y176)))),"INVALID – expected/actual qty missing",IF(AND(AR176=1,OR(X176&lt;=0,Y176&lt;0)),"INVALID – expected qty must be above 0 and actual not negative",IF(BB176&lt;&gt;"",BB176,IF(AND(AS176=1,Documents!$J$10&lt;&gt;"ON FILE"),"INVALID – GLD not on file (Documents sheet)",IF(AND(AS176=2,Documents!$O$10&lt;&gt;"ON FILE"),"INVALID – menu checklist not on file (Documents sheet)",IF(AND(AS176=3,NOT(ISNUMBER(Flights!$AX$10))),"INVALID – enter carrying flight KUL departure (Flights AX)",IF(AND(AS176=3,OR(Flights!$AZ$10&gt;Flights!$AA$10,Flights!$AX$10&lt;Flights!$AA$10-3)),"INVALID – carrying flight (Flights AX) cannot arrive before this leg's STD, or is over 3 days early",IF(AG176&gt;AsOfUTC,"INVALID – completion time is in the future",IF(AND(ISNUMBER(BY176),AG176&lt;BY176),IF(H176="Physical uplift","INVALID – before uplift window (cannot confirm loading)","INVALID – before valid window"),IF(AG176&gt;Flights!$AA$10,"INVALID – completed after departure (cannot establish readiness)",IF(AND(H176="Preparation",AG176&gt;=IF(ISNUMBER(Flights!$BA$10),MIN(Flights!$BA$10,Flights!$AA$10),Flights!$AA$10)),"INVALID – completed after loading / departure (cannot establish readiness)",IF(AND(H176="Physical uplift",AG176&gt;Q176),"INVALID – recorded after the loading flight departed",IF(AG176&gt;Q176,"COMPLETE – LATE","COMPLETE"))))))))))))))))))))))))),IF(TRIM(U176)="Fail","FAIL – DISCREPANCY",IF(AND(TRIM(U176)&lt;&gt;"",TRIM(U176)&lt;&gt;"Not started",TRIM(U176)&lt;&gt;"In progress"),"INVALID – unrecognised status (use the list)",IF(AsOfUTC&gt;Q176,"OVERDUE",IF(N176="Clarification required","OPEN – CLARIFICATION","OPEN"))))))),"INVALID – error value in an input cell")</f>
        <v>OPEN</v>
      </c>
      <c r="AI176" s="61" t="n">
        <f aca="false">IF(OR(AH176="N/A – RULE",AH176="N/A – JUSTIFIED"),0,1)</f>
        <v>1</v>
      </c>
      <c r="AJ176" s="61" t="n">
        <f aca="false">IF(LEFT(AH176,8)="COMPLETE",1,0)</f>
        <v>0</v>
      </c>
      <c r="AK176" s="61" t="n">
        <f aca="false">IF(AND(AI176=1,AJ176=0,AsOfUTC&gt;Q176),1,0)</f>
        <v>0</v>
      </c>
      <c r="AL176" s="61" t="n">
        <f aca="false">IFERROR(IF(AND(AI176=1,OR(TRIM(U176)="Fail",AND(TRIM(AB176)&lt;&gt;"",TRIM(AB176)&lt;&gt;"Closed"),AND(ISNUMBER(AF176),AF176&lt;&gt;0,TRIM(U176)&lt;&gt;"Pass after CA"))),1,0),1)</f>
        <v>0</v>
      </c>
      <c r="AM176" s="61" t="n">
        <f aca="false">IF(LEFT(AH176,7)="INVALID",1,0)</f>
        <v>0</v>
      </c>
      <c r="AN176" s="61" t="n">
        <f aca="false">IF(AND(N176="Clarification required",AI176=1,AJ176=0),1,0)</f>
        <v>0</v>
      </c>
      <c r="AO176" s="61" t="str">
        <f aca="false">IF(AK176=1,SUM(AK$5:AK176),"")</f>
        <v/>
      </c>
      <c r="AP176" s="61" t="str">
        <f aca="false">IF(AL176=1,SUM(AL$5:AL176),"")</f>
        <v/>
      </c>
      <c r="AQ176" s="61" t="n">
        <v>0</v>
      </c>
      <c r="AR176" s="61" t="n">
        <v>0</v>
      </c>
      <c r="AS176" s="61" t="n">
        <v>0</v>
      </c>
      <c r="AT176" s="61" t="n">
        <v>0</v>
      </c>
      <c r="AU176" s="61" t="str">
        <f aca="false">SUBSTITUTE(SUBSTITUTE(SUBSTITUTE(SUBSTITUTE(SUBSTITUTE(SUBSTITUTE(SUBSTITUTE(SUBSTITUTE(SUBSTITUTE(SUBSTITUTE(SUBSTITUTE(SUBSTITUTE(SUBSTITUTE(SUBSTITUTE(SUBSTITUTE(SUBSTITUTE(LOWER(T176&amp;""),CHAR(10),""),CHAR(13),""),CHAR(9),""),CHAR(160),"")," ",""),".",""),"-",""),"/",""),"?",""),"_",""),",",""),"[",""),"]",""),"(",""),")",""),"*","")</f>
        <v/>
      </c>
      <c r="AV176" s="61" t="str">
        <f aca="false">SUBSTITUTE(SUBSTITUTE(SUBSTITUTE(SUBSTITUTE(SUBSTITUTE(SUBSTITUTE(SUBSTITUTE(SUBSTITUTE(SUBSTITUTE(SUBSTITUTE(SUBSTITUTE(SUBSTITUTE(SUBSTITUTE(SUBSTITUTE(SUBSTITUTE(SUBSTITUTE(LOWER(V176&amp;""),CHAR(10),""),CHAR(13),""),CHAR(9),""),CHAR(160),"")," ",""),".",""),"-",""),"/",""),"?",""),"_",""),",",""),"[",""),"]",""),"(",""),")",""),"*","")</f>
        <v/>
      </c>
      <c r="AW176" s="61" t="str">
        <f aca="false">SUBSTITUTE(SUBSTITUTE(SUBSTITUTE(SUBSTITUTE(SUBSTITUTE(SUBSTITUTE(SUBSTITUTE(SUBSTITUTE(SUBSTITUTE(SUBSTITUTE(SUBSTITUTE(SUBSTITUTE(SUBSTITUTE(SUBSTITUTE(SUBSTITUTE(SUBSTITUTE(LOWER(Z176&amp;""),CHAR(10),""),CHAR(13),""),CHAR(9),""),CHAR(160),"")," ",""),".",""),"-",""),"/",""),"?",""),"_",""),",",""),"[",""),"]",""),"(",""),")",""),"*","")</f>
        <v/>
      </c>
      <c r="AX176" s="61" t="str">
        <f aca="false">SUBSTITUTE(SUBSTITUTE(SUBSTITUTE(SUBSTITUTE(SUBSTITUTE(SUBSTITUTE(SUBSTITUTE(SUBSTITUTE(SUBSTITUTE(SUBSTITUTE(SUBSTITUTE(SUBSTITUTE(SUBSTITUTE(SUBSTITUTE(SUBSTITUTE(SUBSTITUTE(LOWER(AE176&amp;""),CHAR(10),""),CHAR(13),""),CHAR(9),""),CHAR(160),"")," ",""),".",""),"-",""),"/",""),"?",""),"_",""),",",""),"[",""),"]",""),"(",""),")",""),"*","")</f>
        <v/>
      </c>
      <c r="AY176" s="61" t="str">
        <f aca="false">SUBSTITUTE(SUBSTITUTE(SUBSTITUTE(SUBSTITUTE(SUBSTITUTE(SUBSTITUTE(SUBSTITUTE(SUBSTITUTE(SUBSTITUTE(SUBSTITUTE(SUBSTITUTE(SUBSTITUTE(SUBSTITUTE(SUBSTITUTE(SUBSTITUTE(SUBSTITUTE(LOWER(W176&amp;""),CHAR(10),""),CHAR(13),""),CHAR(9),""),CHAR(160),"")," ",""),".",""),"-",""),"/",""),"?",""),"_",""),",",""),"[",""),"]",""),"(",""),")",""),"*","")</f>
        <v/>
      </c>
      <c r="AZ176" s="61" t="str">
        <f aca="false">SUBSTITUTE(SUBSTITUTE(SUBSTITUTE(SUBSTITUTE(SUBSTITUTE(SUBSTITUTE(SUBSTITUTE(SUBSTITUTE(SUBSTITUTE(SUBSTITUTE(SUBSTITUTE(SUBSTITUTE(SUBSTITUTE(SUBSTITUTE(SUBSTITUTE(SUBSTITUTE(LOWER(AC176&amp;""),CHAR(10),""),CHAR(13),""),CHAR(9),""),CHAR(160),"")," ",""),".",""),"-",""),"/",""),"?",""),"_",""),",",""),"[",""),"]",""),"(",""),")",""),"*","")</f>
        <v/>
      </c>
      <c r="BA176" s="61" t="str">
        <f aca="false">SUBSTITUTE(SUBSTITUTE(SUBSTITUTE(SUBSTITUTE(SUBSTITUTE(SUBSTITUTE(SUBSTITUTE(SUBSTITUTE(SUBSTITUTE(SUBSTITUTE(SUBSTITUTE(SUBSTITUTE(SUBSTITUTE(SUBSTITUTE(SUBSTITUTE(SUBSTITUTE(LOWER(AA176&amp;""),CHAR(10),""),CHAR(13),""),CHAR(9),""),CHAR(160),"")," ",""),".",""),"-",""),"/",""),"?",""),"_",""),",",""),"[",""),"]",""),"(",""),")",""),"*","")</f>
        <v/>
      </c>
      <c r="BB176" s="61" t="str">
        <f aca="false">IF(AND(TRIM(U176)="Pass",ISNUMBER(AF176)),IF(AF176&lt;&gt;0,"INVALID – qty variance: use Fail or Pass after CA",""),"")&amp;IF(AND(TRIM(U176)="Pass after CA",ISNUMBER(AF176)),IF(AF176&lt;&gt;0,"INVALID – after the corrective action the actual qty must equal expected (update Actual)",""),"")&amp;IF(AND(TRIM(U176)="Pass",TRIM(AB176)&lt;&gt;"",TRIM(AB176)&lt;&gt;"Closed"),"INVALID – corrective action not closed: use Fail, then Pass after CA","")&amp;IF(AND(LEN(BA176)&gt;=2,ISNA(MATCH(LEFT(BA176,255),L_Placeholder,0)),TRIM(AB176)=""),"INVALID – CA status missing for the recorded corrective action","")&amp;IF(AND(TRIM(U176)="Pass after CA",OR(OR(LEN(BA176)&lt;5,ISNUMBER(MATCH(BA176,L_Placeholder,0))),TRIM(AB176)&lt;&gt;"Closed")),"INVALID – corrective action not recorded/closed","")</f>
        <v/>
      </c>
      <c r="BC176" s="61" t="str">
        <f aca="false">" "&amp;TRIM(SUBSTITUTE(SUBSTITUTE(SUBSTITUTE(SUBSTITUTE(SUBSTITUTE(SUBSTITUTE(SUBSTITUTE(SUBSTITUTE(SUBSTITUTE(SUBSTITUTE(SUBSTITUTE(SUBSTITUTE(SUBSTITUTE(SUBSTITUTE(SUBSTITUTE(SUBSTITUTE(SUBSTITUTE(SUBSTITUTE(SUBSTITUTE(SUBSTITUTE(SUBSTITUTE(SUBSTITUTE(SUBSTITUTE(SUBSTITUTE(LOWER(V176&amp;""),CHAR(10)," "),CHAR(13)," "),CHAR(9)," "),CHAR(160)," "),"."," "),","," "),"-"," "),"/"," "),"("," "),")"," "),":"," "),";"," "),"_"," "),"–"," "),"?"," "),"!"," "),"*"," "),"["," "),"]"," "),"'"," "),"#"," "),"+"," "),"&amp;"," "),"\"," "))&amp;" "</f>
        <v>  </v>
      </c>
      <c r="BD176" s="61" t="str">
        <f aca="false">" "&amp;TRIM(SUBSTITUTE(SUBSTITUTE(SUBSTITUTE(SUBSTITUTE(SUBSTITUTE(SUBSTITUTE(SUBSTITUTE(SUBSTITUTE(SUBSTITUTE(SUBSTITUTE(SUBSTITUTE(SUBSTITUTE(SUBSTITUTE(SUBSTITUTE(SUBSTITUTE(SUBSTITUTE(SUBSTITUTE(SUBSTITUTE(SUBSTITUTE(SUBSTITUTE(SUBSTITUTE(SUBSTITUTE(SUBSTITUTE(SUBSTITUTE(LOWER(Z176&amp;""),CHAR(10)," "),CHAR(13)," "),CHAR(9)," "),CHAR(160)," "),"."," "),","," "),"-"," "),"/"," "),"("," "),")"," "),":"," "),";"," "),"_"," "),"–"," "),"?"," "),"!"," "),"*"," "),"["," "),"]"," "),"'"," "),"#"," "),"+"," "),"&amp;"," "),"\"," "))&amp;" "</f>
        <v>  </v>
      </c>
      <c r="BE176" s="61" t="str">
        <f aca="false">" "&amp;TRIM(SUBSTITUTE(SUBSTITUTE(SUBSTITUTE(SUBSTITUTE(SUBSTITUTE(SUBSTITUTE(SUBSTITUTE(SUBSTITUTE(SUBSTITUTE(SUBSTITUTE(SUBSTITUTE(SUBSTITUTE(SUBSTITUTE(SUBSTITUTE(SUBSTITUTE(SUBSTITUTE(SUBSTITUTE(SUBSTITUTE(SUBSTITUTE(SUBSTITUTE(SUBSTITUTE(SUBSTITUTE(SUBSTITUTE(SUBSTITUTE(LOWER(W176&amp;""),CHAR(10)," "),CHAR(13)," "),CHAR(9)," "),CHAR(160)," "),"."," "),","," "),"-"," "),"/"," "),"("," "),")"," "),":"," "),";"," "),"_"," "),"–"," "),"?"," "),"!"," "),"*"," "),"["," "),"]"," "),"'"," "),"#"," "),"+"," "),"&amp;"," "),"\"," "))&amp;" "</f>
        <v>  </v>
      </c>
      <c r="BF176" s="61" t="str">
        <f aca="false">" "&amp;TRIM(SUBSTITUTE(SUBSTITUTE(SUBSTITUTE(SUBSTITUTE(SUBSTITUTE(SUBSTITUTE(SUBSTITUTE(SUBSTITUTE(SUBSTITUTE(SUBSTITUTE(SUBSTITUTE(SUBSTITUTE(SUBSTITUTE(SUBSTITUTE(SUBSTITUTE(SUBSTITUTE(SUBSTITUTE(SUBSTITUTE(SUBSTITUTE(SUBSTITUTE(SUBSTITUTE(SUBSTITUTE(SUBSTITUTE(SUBSTITUTE(LOWER(AC176&amp;""),CHAR(10)," "),CHAR(13)," "),CHAR(9)," "),CHAR(160)," "),"."," "),","," "),"-"," "),"/"," "),"("," "),")"," "),":"," "),";"," "),"_"," "),"–"," "),"?"," "),"!"," "),"*"," "),"["," "),"]"," "),"'"," "),"#"," "),"+"," "),"&amp;"," "),"\"," "))&amp;" "</f>
        <v>  </v>
      </c>
      <c r="BG176" s="61" t="n">
        <f aca="false">IFERROR(IF(AND(TRIM(U176)="Pass",SUMPRODUCT((LEN(BC176)-LEN(SUBSTITUTE(BC176," "&amp;L_ResultBad&amp;" "," ")))/(LEN(L_ResultBad)+1))&gt;SUMPRODUCT((LEN(BC176)-LEN(SUBSTITUTE(BC176," "&amp;L_NegPhrase&amp;" "," ")))/(LEN(L_NegPhrase)+1))),1,0),0)</f>
        <v>0</v>
      </c>
      <c r="BH176" s="61" t="n">
        <f aca="false">IFERROR(IF(SUMPRODUCT((LEN(BC176)-LEN(SUBSTITUTE(BC176," "&amp;L_Pending&amp;" "," ")))/(LEN(L_Pending)+1))&gt;SUMPRODUCT((LEN(BC176)-LEN(SUBSTITUTE(BC176," "&amp;L_PendNeg&amp;" "," ")))/(LEN(L_PendNeg)+1))+SUMPRODUCT((LEN(BC176)-LEN(SUBSTITUTE(BC176," "&amp;L_PendPrep&amp;" "," ")))/(LEN(L_PendPrep)+1)),1,0),1)</f>
        <v>0</v>
      </c>
      <c r="BI176" s="61" t="n">
        <f aca="false">IFERROR(IF(SUMPRODUCT((LEN(BD176)-LEN(SUBSTITUTE(BD176," "&amp;L_PendStrict&amp;" "," ")))/(LEN(L_PendStrict)+1))&gt;SUMPRODUCT((LEN(BD176)-LEN(SUBSTITUTE(BD176," "&amp;L_PendNeg&amp;" "," ")))/(LEN(L_PendNeg)+1)),1,0),1)</f>
        <v>0</v>
      </c>
      <c r="BJ176" s="61" t="n">
        <f aca="false">IFERROR(IF(SUMPRODUCT((LEN(BE176)-LEN(SUBSTITUTE(BE176," "&amp;L_Pending&amp;" "," ")))/(LEN(L_Pending)+1))&gt;SUMPRODUCT((LEN(BE176)-LEN(SUBSTITUTE(BE176," "&amp;L_PendNeg&amp;" "," ")))/(LEN(L_PendNeg)+1))+SUMPRODUCT((LEN(BE176)-LEN(SUBSTITUTE(BE176," "&amp;L_PendPrep&amp;" "," ")))/(LEN(L_PendPrep)+1)),1,0),1)</f>
        <v>0</v>
      </c>
      <c r="BK176" s="61" t="n">
        <f aca="false">IFERROR(IF(SUMPRODUCT((LEN(BF176)-LEN(SUBSTITUTE(BF176," "&amp;L_PendStrict&amp;" "," ")))/(LEN(L_PendStrict)+1))&gt;SUMPRODUCT((LEN(BF176)-LEN(SUBSTITUTE(BF176," "&amp;L_PendNeg&amp;" "," ")))/(LEN(L_PendNeg)+1)),1,0),1)</f>
        <v>0</v>
      </c>
      <c r="BL176" s="61" t="n">
        <f aca="false">IF(ISNA(MATCH(TRIM(S176),L_EvidenceType,0)),0,BZ176)</f>
        <v>0</v>
      </c>
      <c r="BM176" s="61" t="str">
        <f aca="false">SUBSTITUTE(SUBSTITUTE(SUBSTITUTE(SUBSTITUTE(SUBSTITUTE(SUBSTITUTE(SUBSTITUTE(SUBSTITUTE(SUBSTITUTE(LOWER(Z176&amp;""),"1","0"),"2","0"),"3","0"),"4","0"),"5","0"),"6","0"),"7","0"),"8","0"),"9","0")</f>
        <v/>
      </c>
      <c r="BN176" s="61" t="str">
        <f aca="false">SUBSTITUTE(SUBSTITUTE(SUBSTITUTE(SUBSTITUTE(SUBSTITUTE(SUBSTITUTE(SUBSTITUTE(SUBSTITUTE(SUBSTITUTE(SUBSTITUTE(SUBSTITUTE(SUBSTITUTE(SUBSTITUTE(SUBSTITUTE(SUBSTITUTE(SUBSTITUTE(SUBSTITUTE(SUBSTITUTE(SUBSTITUTE(SUBSTITUTE(SUBSTITUTE(SUBSTITUTE(SUBSTITUTE(SUBSTITUTE(SUBSTITUTE(BM176,"b","a"),"c","a"),"d","a"),"e","a"),"f","a"),"g","a"),"h","a"),"i","a"),"j","a"),"k","a"),"l","a"),"m","a"),"n","a"),"o","a"),"p","a"),"q","a"),"r","a"),"s","a"),"t","a"),"u","a"),"v","a"),"w","a"),"x","a"),"y","a"),"z","a")</f>
        <v/>
      </c>
      <c r="BO176" s="61" t="str">
        <f aca="false">SUBSTITUTE(SUBSTITUTE(SUBSTITUTE(SUBSTITUTE(SUBSTITUTE(SUBSTITUTE(SUBSTITUTE(SUBSTITUTE(SUBSTITUTE(LOWER(W176&amp;""),"1","0"),"2","0"),"3","0"),"4","0"),"5","0"),"6","0"),"7","0"),"8","0"),"9","0")</f>
        <v/>
      </c>
      <c r="BP176" s="61" t="str">
        <f aca="false">SUBSTITUTE(SUBSTITUTE(SUBSTITUTE(SUBSTITUTE(SUBSTITUTE(SUBSTITUTE(SUBSTITUTE(SUBSTITUTE(SUBSTITUTE(SUBSTITUTE(SUBSTITUTE(SUBSTITUTE(SUBSTITUTE(SUBSTITUTE(SUBSTITUTE(SUBSTITUTE(SUBSTITUTE(SUBSTITUTE(SUBSTITUTE(SUBSTITUTE(SUBSTITUTE(SUBSTITUTE(SUBSTITUTE(SUBSTITUTE(SUBSTITUTE(BO176,"b","a"),"c","a"),"d","a"),"e","a"),"f","a"),"g","a"),"h","a"),"i","a"),"j","a"),"k","a"),"l","a"),"m","a"),"n","a"),"o","a"),"p","a"),"q","a"),"r","a"),"s","a"),"t","a"),"u","a"),"v","a"),"w","a"),"x","a"),"y","a"),"z","a")</f>
        <v/>
      </c>
      <c r="BQ176" s="61" t="n">
        <f aca="false">IFERROR(IF(AND(ISERROR(SEARCH(" mh"," "&amp;LOWER(W176))),ISNA(MATCH(LEFT(TRIM(BP176),255),{"0000a","000a","00a","0000aa","000aa","00aa","0aa","0000aaa","000aaa","00a00","0a00","0000-0000","00:00","a00","a0","00.00.0000","00/00/0000","00-00-0000","0000-00-00","0000/00/00","0000.00.00","00.00.00","00/00/00","00-00-00","0.00.0000","0/00/0000","0-00-0000"},0)),ISNA(MATCH(LEFT(TRIM(CA176),255),{"0000a","000a","00a","0000aa","000aa","00aa","0aa","0000aaa","000aaa","00a00","0a00","0000-0000","00:00","a00","a0","00.00.0000","00/00/0000","00-00-0000","0000-00-00","0000/00/00","0000.00.00","00.00.00","00/00/00","00-00-00","0.00.0000","0/00/0000","0-00-0000"},0)),LEN(CB176)&gt;=3,NOT(OR(SUBSTITUTE(CB176,"0","")="",AND(LEN(CB176)&gt;=4,CB176=REPT(LEFT(CB176),LEN(CB176))),ISNUMBER(MATCH(CB176,{"123","1234","12345","123456","1234567","12345678","0123","01234","012345","98765","987654","54321"},0)),AND(LEN(CB176)=8,LEFT(CB176,3)="202"))),OR(AND((LEN(CA176)-LEN(SUBSTITUTE(CA176,"a","")))&gt;=1,SUMPRODUCT(--ISNUMBER(SEARCH({"a0","a-0","a_0","a/0","a.0","a#0","0a","0-a","0_a","0/a"},BP176)))&gt;0),ISNUMBER(SEARCH("000000",BP176)))),1,0),0)</f>
        <v>0</v>
      </c>
      <c r="BR176" s="61" t="n">
        <f aca="false">IFERROR(LEN(SUBSTITUTE(CC176," ",""))-SUMPRODUCT((LEN(CC176)-LEN(SUBSTITUTE(CC176," "&amp;L_Role&amp;" "," ")))/(LEN(L_Role)+1)*LEN(L_Role)),0)</f>
        <v>0</v>
      </c>
      <c r="BS176" s="61" t="n">
        <f aca="false">IFERROR(LEN(SUBSTITUTE(CD176," ",""))-SUMPRODUCT((LEN(CD176)-LEN(SUBSTITUTE(CD176," "&amp;L_Role&amp;" "," ")))/(LEN(L_Role)+1)*LEN(L_Role)),0)</f>
        <v>0</v>
      </c>
      <c r="BT1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176,"revision",""),"version",""),"jan",""),"feb",""),"mar",""),"apr",""),"may",""),"jun",""),"jul",""),"aug",""),"sep",""),"oct",""),"nov",""),"dec",""),"utc",""),"gmt",""),"myt",""),"bst",""),"rev",""),"ver",""),"b","a"),"c","a"),"d","a"),"e","a"),"f","a"),"g","a"),"h","a"),"i","a"),"j","a"),"k","a"),"l","a"),"m","a"),"n","a"),"o","a"),"p","a"),"q","a"),"r","a"),"s","a"),"t","a"),"u","a"),"v","a"),"w","a"),"x","a"),"y","a"),"z","a")</f>
        <v/>
      </c>
      <c r="BU176" s="61" t="str">
        <f aca="false">SUBSTITUTE(SUBSTITUTE(SUBSTITUTE(SUBSTITUTE(SUBSTITUTE(SUBSTITUTE(SUBSTITUTE(SUBSTITUTE(SUBSTITUTE(SUBSTITUTE(LEFT(BM176,FIND("0",BM176&amp;"0")-1),"-",""),"_",""),"/",""),".",""),"#",""),"\\",""),":","")," ",""),"(",""),")","")</f>
        <v/>
      </c>
      <c r="BV176" s="61" t="n">
        <f aca="false">0</f>
        <v>0</v>
      </c>
      <c r="BW1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176&amp;""),"a",""),"b",""),"c",""),"d",""),"e",""),"f",""),"g",""),"h",""),"i",""),"j",""),"k",""),"l",""),"m",""),"n",""),"o",""),"p",""),"q",""),"r",""),"s",""),"t",""),"u",""),"v",""),"w",""),"x",""),"y",""),"z",""),"-",""),"_",""),"/",""),".",""),"#",""),"\\",""),":","")," ",""),"(",""),")","")</f>
        <v/>
      </c>
      <c r="BX176" s="61" t="str">
        <f aca="false">SUBSTITUTE(SUBSTITUTE(SUBSTITUTE(SUBSTITUTE(SUBSTITUTE(SUBSTITUTE(SUBSTITUTE(SUBSTITUTE(SUBSTITUTE(SUBSTITUTE(SUBSTITUTE(BM176,"0",""),"-",""),"_",""),"/",""),".",""),"#",""),"\\",""),":","")," ",""),"(",""),")","")</f>
        <v/>
      </c>
      <c r="BY176" s="62" t="n">
        <f aca="false">Q176-T12EarlyH/24</f>
        <v>46309.6388888889</v>
      </c>
      <c r="BZ176" s="61" t="n">
        <f aca="false">IFERROR(IF(IF(TRIM(S176)="Link / file path",AND(LEN(TRIM(Z176))&gt;=5,SUMPRODUCT(--ISNUMBER(SEARCH({"http","www.","\\",":\",".pdf",".jpg",".jpeg",".png",".heic",".xls",".doc",".msg",".eml",".ppt",".txt",".zip"},Z176)))&gt;0),AND(ISERROR(FIND(" ",TRIM(Z176))),NOT(OR(SUMPRODUCT(--ISNUMBER(FIND({",",";","&amp;","+"},Z176)))&gt;0,SUMPRODUCT(--ISNUMBER(SEARCH({"0/aa","0\\aa"},BN176)))&gt;0)),NOT(SUMPRODUCT(--ISNUMBER(SEARCH({"http","www.","\\",":\",".pdf",".jpg",".jpeg",".png",".heic",".xls",".doc",".msg",".eml",".ppt",".txt",".zip"},Z176)))&gt;0),NOT(LOWER(TRIM(Z176))=LOWER(Flights!$F$10)),ISNA(MATCH(BU176,{"mh","rev","revision","ver","version","v","r","a","b","seat","tray","row","gate","bay","stand","page","pg","item","line","no","cart","galley","flight","flt","table","box","bag","oven","etd","eta","std","sta","atd","ata","qty","pax","x","time","tel","ph","mob","day","wk","week","utc","gmt","myt","lt"},0)),NOT(OR(ISNUMBER(MATCH(LEFT(BN176,255),{"0000a","000a","00a","0000aa","000aa","00aa","0aa","0000aaa","000aaa","00a00","0a00","0000-0000","00:00","a00","a0","00.00.0000","00/00/0000","00-00-0000","0000-00-00","0000/00/00","0000.00.00","00.00.00","00/00/00","00-00-00","0.00.0000","0/00/0000","0-00-0000"},0)),ISNUMBER(MATCH(LEFT(BT176,255),{"0000a","000a","00a","0000aa","000aa","00aa","0aa","0000aaa","000aaa","00a00","0a00","0000-0000","00:00","a00","a0","00.00.0000","00/00/0000","00-00-0000","0000-00-00","0000/00/00","0000.00.00","00.00.00","00/00/00","00-00-00","0.00.0000","0/00/0000","0-00-0000"},0)))),NOT(OR(AND(BW176&lt;&gt;"",SUBSTITUTE(BW176,"0","")=""),AND(LEN(BW176)&gt;=4,BW176=REPT(LEFT(BW176),LEN(BW176))),ISNUMBER(MATCH(BW176,{"123","1234","12345","123456","1234567","12345678","0123","01234","012345","98765","987654","54321"},0)),ISNUMBER(MATCH(BX176,{"x","xx","xxx","xxxx","xxxxx","abc","abcd","nil","na","nan","test","tbc","tba","tbd","dummy","sample","example","eg","zz","zzz","none","null","xyz","qwe","asd","id","ref"},0)),AND(LEN(BW176)=8,BX176="",OR(LEFT(BW176,3)="202",ISNUMBER(MATCH(RIGHT(BW176,4),{"2025","2026","2027"},0)))))),OR(AND((LEN(BT176)-LEN(SUBSTITUTE(BT176,"a","")))&gt;=1,(LEN(BN176)-LEN(SUBSTITUTE(BN176,"0","")))&gt;=2,SUMPRODUCT(--ISNUMBER(SEARCH({"a0","a-0","a_0","a/0","a.0","a#0","0a","0-a","0_a","0/a"},BN176)))&gt;0),AND((LEN(BN176)-LEN(SUBSTITUTE(BN176,"a","")))=0,(LEN(BN176)-LEN(SUBSTITUTE(BN176,"0","")))&gt;=5)))),1,0),0)</f>
        <v>0</v>
      </c>
      <c r="CA1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176,"revision",""),"version",""),"jan",""),"feb",""),"mar",""),"apr",""),"may",""),"jun",""),"jul",""),"aug",""),"sep",""),"oct",""),"nov",""),"dec",""),"utc",""),"gmt",""),"myt",""),"bst",""),"rev",""),"ver",""),"b","a"),"c","a"),"d","a"),"e","a"),"f","a"),"g","a"),"h","a"),"i","a"),"j","a"),"k","a"),"l","a"),"m","a"),"n","a"),"o","a"),"p","a"),"q","a"),"r","a"),"s","a"),"t","a"),"u","a"),"v","a"),"w","a"),"x","a"),"y","a"),"z","a")</f>
        <v/>
      </c>
      <c r="CB1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176&amp;""),"a",""),"b",""),"c",""),"d",""),"e",""),"f",""),"g",""),"h",""),"i",""),"j",""),"k",""),"l",""),"m",""),"n",""),"o",""),"p",""),"q",""),"r",""),"s",""),"t",""),"u",""),"v",""),"w",""),"x",""),"y",""),"z",""),"-",""),"_",""),"/",""),".",""),"#",""),"\\",""),":","")," ",""),"(",""),")","")</f>
        <v/>
      </c>
      <c r="CC176" s="0" t="str">
        <f aca="false">" "&amp;TRIM(SUBSTITUTE(SUBSTITUTE(SUBSTITUTE(SUBSTITUTE(SUBSTITUTE(SUBSTITUTE(SUBSTITUTE(SUBSTITUTE(SUBSTITUTE(SUBSTITUTE(SUBSTITUTE(SUBSTITUTE(SUBSTITUTE(SUBSTITUTE(SUBSTITUTE(SUBSTITUTE(SUBSTITUTE(SUBSTITUTE(SUBSTITUTE(SUBSTITUTE(SUBSTITUTE(SUBSTITUTE(SUBSTITUTE(SUBSTITUTE(LOWER(T176&amp;""),CHAR(10)," "),CHAR(13)," "),CHAR(9)," "),CHAR(160)," "),"."," "),","," "),"-"," "),"/"," "),"("," "),")"," "),":"," "),";"," "),"_"," "),"–"," "),"?"," "),"!"," "),"*"," "),"["," "),"]"," "),"'"," "),"#"," "),"+"," "),"&amp;"," "),"\"," "))&amp;" "</f>
        <v>  </v>
      </c>
      <c r="CD176" s="0" t="str">
        <f aca="false">" "&amp;TRIM(SUBSTITUTE(SUBSTITUTE(SUBSTITUTE(SUBSTITUTE(SUBSTITUTE(SUBSTITUTE(SUBSTITUTE(SUBSTITUTE(SUBSTITUTE(SUBSTITUTE(SUBSTITUTE(SUBSTITUTE(SUBSTITUTE(SUBSTITUTE(SUBSTITUTE(SUBSTITUTE(SUBSTITUTE(SUBSTITUTE(SUBSTITUTE(SUBSTITUTE(SUBSTITUTE(SUBSTITUTE(SUBSTITUTE(SUBSTITUTE(LOWER(AE176&amp;""),CHAR(10)," "),CHAR(13)," "),CHAR(9)," "),CHAR(160)," "),"."," "),","," "),"-"," "),"/"," "),"("," "),")"," "),":"," "),";"," "),"_"," "),"–"," "),"?"," "),"!"," "),"*"," "),"["," "),"]"," "),"'"," "),"#"," "),"+"," "),"&amp;"," "),"\"," "))&amp;" "</f>
        <v>  </v>
      </c>
      <c r="CE176" s="68" t="n">
        <f aca="false">IFERROR(IF(AND(LEN(AU176)&gt;0,LEN(AU176)=LEN(AX176),OR(TRIM(MID(SUBSTITUTE(TRIM(CC176)," ",REPT(" ",60)),1,60))="",ISNUMBER(SEARCH(" "&amp;TRIM(MID(SUBSTITUTE(TRIM(CC176)," ",REPT(" ",60)),1,60))&amp;" ",CD176))),OR(TRIM(MID(SUBSTITUTE(TRIM(CC176)," ",REPT(" ",60)),61,60))="",ISNUMBER(SEARCH(" "&amp;TRIM(MID(SUBSTITUTE(TRIM(CC176)," ",REPT(" ",60)),61,60))&amp;" ",CD176))),OR(TRIM(MID(SUBSTITUTE(TRIM(CC176)," ",REPT(" ",60)),121,60))="",ISNUMBER(SEARCH(" "&amp;TRIM(MID(SUBSTITUTE(TRIM(CC176)," ",REPT(" ",60)),121,60))&amp;" ",CD176)))),1,0),0)</f>
        <v>0</v>
      </c>
      <c r="CG176" s="68" t="n">
        <f aca="false">IFERROR(LEN(SUBSTITUTE(BF176," ",""))-SUMPRODUCT((LEN(BF176)-LEN(SUBSTITUTE(BF176," "&amp;L_NAFiller&amp;" "," ")))/(LEN(L_NAFiller)+1)*LEN(L_NAFiller)),0)</f>
        <v>0</v>
      </c>
    </row>
    <row r="177" customFormat="false" ht="39.75" hidden="false" customHeight="true" outlineLevel="0" collapsed="false">
      <c r="A177" s="57" t="s">
        <v>719</v>
      </c>
      <c r="B177" s="57" t="s">
        <v>231</v>
      </c>
      <c r="C177" s="57" t="str">
        <f aca="false">Flights!$F$10</f>
        <v>MH0002</v>
      </c>
      <c r="D177" s="58" t="n">
        <f aca="false">Flights!$D$10</f>
        <v>46310</v>
      </c>
      <c r="E177" s="57" t="str">
        <f aca="false">Flights!$G$10&amp;"-"&amp;Flights!$H$10</f>
        <v>KUL-LHR</v>
      </c>
      <c r="F177" s="57" t="str">
        <f aca="false">Flights!$K$10</f>
        <v>BC</v>
      </c>
      <c r="G177" s="57" t="s">
        <v>420</v>
      </c>
      <c r="H177" s="57" t="s">
        <v>378</v>
      </c>
      <c r="I177" s="57" t="s">
        <v>379</v>
      </c>
      <c r="J177" s="57" t="s">
        <v>425</v>
      </c>
      <c r="K177" s="67" t="s">
        <v>426</v>
      </c>
      <c r="L177" s="67" t="s">
        <v>422</v>
      </c>
      <c r="M177" s="67"/>
      <c r="N177" s="67" t="s">
        <v>383</v>
      </c>
      <c r="O177" s="67" t="s">
        <v>423</v>
      </c>
      <c r="P177" s="57" t="s">
        <v>187</v>
      </c>
      <c r="Q177" s="59" t="n">
        <f aca="false">ROUND((Flights!$AE$10)*1440,0)/1440</f>
        <v>46310.1388888889</v>
      </c>
      <c r="R177" s="59" t="n">
        <f aca="false">Q177+(IF(AND(INDEX(TZ_DSTS,MATCH(P177,TZ_STN,0))&lt;&gt;"",Q177&gt;=INDEX(TZ_DSTS,MATCH(P177,TZ_STN,0)),Q177&lt;INDEX(TZ_DSTE,MATCH(P177,TZ_STN,0))),INDEX(TZ_DST,MATCH(P177,TZ_STN,0)),INDEX(TZ_STD,MATCH(P177,TZ_STN,0))))/24</f>
        <v>46310.4722222222</v>
      </c>
      <c r="S177" s="60"/>
      <c r="T177" s="60"/>
      <c r="U177" s="60"/>
      <c r="V177" s="60"/>
      <c r="W177" s="61"/>
      <c r="X177" s="60"/>
      <c r="Y177" s="60"/>
      <c r="Z177" s="60"/>
      <c r="AA177" s="60"/>
      <c r="AB177" s="60"/>
      <c r="AC177" s="60"/>
      <c r="AD177" s="66"/>
      <c r="AE177" s="60"/>
      <c r="AF177" s="61" t="str">
        <f aca="false">IF(AND(ISNUMBER(X177),ISNUMBER(Y177)),Y177-X177,"")</f>
        <v/>
      </c>
      <c r="AG177" s="62" t="str">
        <f aca="false">IF(ISNUMBER(AD177),AD177-(IF(AND(INDEX(TZ_DSTS,MATCH(P177,TZ_STN,0))&lt;&gt;"",(AD177-INDEX(TZ_STD,MATCH(P177,TZ_STN,0))/24)&gt;=INDEX(TZ_DSTS,MATCH(P177,TZ_STN,0)),(AD177-INDEX(TZ_STD,MATCH(P177,TZ_STN,0))/24)&lt;INDEX(TZ_DSTE,MATCH(P177,TZ_STN,0))),INDEX(TZ_DST,MATCH(P177,TZ_STN,0)),INDEX(TZ_STD,MATCH(P177,TZ_STN,0))))/24,"")</f>
        <v/>
      </c>
      <c r="AH177" s="65" t="str">
        <f aca="false">IFERROR(IF(N177="N/A – rule",IF(OR(TRIM(U177)="",TRIM(U177)="N/A",TRIM(U177)="Not started"),"N/A – RULE","INVALID – this check does not apply to this aircraft: clear the status (or correct the fleet on Flights)"),IF(TRIM(U177)="N/A",IF(AT177=0,"INVALID – N/A not permitted for this check",IF(AND(TRIM(AB177)&lt;&gt;"",TRIM(AB177)&lt;&gt;"Closed"),"INVALID – corrective action still open",IF(AND(NOT(OR(LEN(AZ177)&lt;15,ISNUMBER(MATCH(AZ177,L_Placeholder,0)))),BK177=0,CG177&gt;=8,NOT(OR(LEN(AU177)&lt;2,ISNUMBER(MATCH(AU177,L_Placeholder,0)))),BR177&gt;=3,NOT(OR(LEN(AX177)&lt;2,ISNUMBER(MATCH(AX177,L_Placeholder,0)))),BS177&gt;=3,TRIM(AE177)&lt;&gt;TRIM(T177),AX177&lt;&gt;AU177,CE177=0),"N/A – JUSTIFIED","INVALID – N/A needs a real, settled reason (not 'not applicable' / 'as above' / TBC), a named PIC and a different named verifier"))),IF(OR(TRIM(U177)="Pass",TRIM(U177)="Pass after CA"),IF(NOT(ISNUMBER(AD177)),"INVALID – completion time missing",IF(OR(OR(LEN(AU177)&lt;2,ISNUMBER(MATCH(AU177,L_Placeholder,0))),BR177&lt;3),"INVALID – PIC missing or not a named person (a role such as QA / CSM is not a name)",IF(OR(LEN(AV177)&lt;2,ISNUMBER(MATCH(AV177,L_Placeholder,0))),"INVALID – result / assessment missing",IF(OR(OR(LEN(AW177)&lt;3,ISNUMBER(MATCH(AW177,L_Placeholder,0))),SUMPRODUCT(--ISNUMBER(SEARCH(" "&amp;L_EvidencePhrase&amp;" ",BD177)))&gt;0,BI177=1),"INVALID – evidence missing, placeholder or not yet on file",IF(ISNA(MATCH(TRIM(S177),L_EvidenceType,0)),"INVALID – choose the evidence type from the list (column S)",IF(BL177=0,"INVALID – evidence ID must be the record's own ID only (e.g. SF-2210, IMG_2231, 1045521); a link / file name needs type 'Link / file path'",IF(OR(OR(LEN(AX177)&lt;2,ISNUMBER(MATCH(AX177,L_Placeholder,0))),BS177&lt;3),"INVALID – verifier missing or not a named person (a role such as QA / CSM is not a name)",IF(OR(AX177=AU177,CE177=1,AND(LEN(AU177)&gt;=4,ISNUMBER(SEARCH(AU177,AX177))),AND(LEN(AX177)&gt;=4,ISNUMBER(SEARCH(AX177,AU177)))),"INVALID – verifier must be a different, named person (not the PIC or a role)",IF(BH177=1,"INVALID – result not yet available (awaiting / TBC)",IF(BG177=1,"INVALID – result describes a problem: record Fail, then Pass after CA (or reword if it is not a problem)",IF(BV177=1,"INVALID – wording says not on board: an on-board confirmation needs the item loaded",IF(AND(AQ177=1,OR(OR(LEN(AY177)&lt;3,ISNUMBER(MATCH(AY177,L_Placeholder,0))),BJ177=1,BQ177=0)),"INVALID – batch ID missing, placeholder or not an ID (e.g. PASB-261008-BC-017)",IF(AND(AR177=1,OR(NOT(ISNUMBER(X177)),NOT(ISNUMBER(Y177)))),"INVALID – expected/actual qty missing",IF(AND(AR177=1,OR(X177&lt;=0,Y177&lt;0)),"INVALID – expected qty must be above 0 and actual not negative",IF(BB177&lt;&gt;"",BB177,IF(AND(AS177=1,Documents!$J$10&lt;&gt;"ON FILE"),"INVALID – GLD not on file (Documents sheet)",IF(AND(AS177=2,Documents!$O$10&lt;&gt;"ON FILE"),"INVALID – menu checklist not on file (Documents sheet)",IF(AND(AS177=3,NOT(ISNUMBER(Flights!$AX$10))),"INVALID – enter carrying flight KUL departure (Flights AX)",IF(AND(AS177=3,OR(Flights!$AZ$10&gt;Flights!$AA$10,Flights!$AX$10&lt;Flights!$AA$10-3)),"INVALID – carrying flight (Flights AX) cannot arrive before this leg's STD, or is over 3 days early",IF(AG177&gt;AsOfUTC,"INVALID – completion time is in the future",IF(AND(ISNUMBER(BY177),AG177&lt;BY177),IF(H177="Physical uplift","INVALID – before uplift window (cannot confirm loading)","INVALID – before valid window"),IF(AG177&gt;Flights!$AA$10,"INVALID – completed after departure (cannot establish readiness)",IF(AND(H177="Preparation",AG177&gt;=IF(ISNUMBER(Flights!$BA$10),MIN(Flights!$BA$10,Flights!$AA$10),Flights!$AA$10)),"INVALID – completed after loading / departure (cannot establish readiness)",IF(AND(H177="Physical uplift",AG177&gt;Q177),"INVALID – recorded after the loading flight departed",IF(AG177&gt;Q177,"COMPLETE – LATE","COMPLETE"))))))))))))))))))))))))),IF(TRIM(U177)="Fail","FAIL – DISCREPANCY",IF(AND(TRIM(U177)&lt;&gt;"",TRIM(U177)&lt;&gt;"Not started",TRIM(U177)&lt;&gt;"In progress"),"INVALID – unrecognised status (use the list)",IF(AsOfUTC&gt;Q177,"OVERDUE",IF(N177="Clarification required","OPEN – CLARIFICATION","OPEN"))))))),"INVALID – error value in an input cell")</f>
        <v>OPEN</v>
      </c>
      <c r="AI177" s="61" t="n">
        <f aca="false">IF(OR(AH177="N/A – RULE",AH177="N/A – JUSTIFIED"),0,1)</f>
        <v>1</v>
      </c>
      <c r="AJ177" s="61" t="n">
        <f aca="false">IF(LEFT(AH177,8)="COMPLETE",1,0)</f>
        <v>0</v>
      </c>
      <c r="AK177" s="61" t="n">
        <f aca="false">IF(AND(AI177=1,AJ177=0,AsOfUTC&gt;Q177),1,0)</f>
        <v>0</v>
      </c>
      <c r="AL177" s="61" t="n">
        <f aca="false">IFERROR(IF(AND(AI177=1,OR(TRIM(U177)="Fail",AND(TRIM(AB177)&lt;&gt;"",TRIM(AB177)&lt;&gt;"Closed"),AND(ISNUMBER(AF177),AF177&lt;&gt;0,TRIM(U177)&lt;&gt;"Pass after CA"))),1,0),1)</f>
        <v>0</v>
      </c>
      <c r="AM177" s="61" t="n">
        <f aca="false">IF(LEFT(AH177,7)="INVALID",1,0)</f>
        <v>0</v>
      </c>
      <c r="AN177" s="61" t="n">
        <f aca="false">IF(AND(N177="Clarification required",AI177=1,AJ177=0),1,0)</f>
        <v>0</v>
      </c>
      <c r="AO177" s="61" t="str">
        <f aca="false">IF(AK177=1,SUM(AK$5:AK177),"")</f>
        <v/>
      </c>
      <c r="AP177" s="61" t="str">
        <f aca="false">IF(AL177=1,SUM(AL$5:AL177),"")</f>
        <v/>
      </c>
      <c r="AQ177" s="61" t="n">
        <v>0</v>
      </c>
      <c r="AR177" s="61" t="n">
        <v>1</v>
      </c>
      <c r="AS177" s="61" t="n">
        <v>0</v>
      </c>
      <c r="AT177" s="61" t="n">
        <v>0</v>
      </c>
      <c r="AU177" s="61" t="str">
        <f aca="false">SUBSTITUTE(SUBSTITUTE(SUBSTITUTE(SUBSTITUTE(SUBSTITUTE(SUBSTITUTE(SUBSTITUTE(SUBSTITUTE(SUBSTITUTE(SUBSTITUTE(SUBSTITUTE(SUBSTITUTE(SUBSTITUTE(SUBSTITUTE(SUBSTITUTE(SUBSTITUTE(LOWER(T177&amp;""),CHAR(10),""),CHAR(13),""),CHAR(9),""),CHAR(160),"")," ",""),".",""),"-",""),"/",""),"?",""),"_",""),",",""),"[",""),"]",""),"(",""),")",""),"*","")</f>
        <v/>
      </c>
      <c r="AV177" s="61" t="str">
        <f aca="false">SUBSTITUTE(SUBSTITUTE(SUBSTITUTE(SUBSTITUTE(SUBSTITUTE(SUBSTITUTE(SUBSTITUTE(SUBSTITUTE(SUBSTITUTE(SUBSTITUTE(SUBSTITUTE(SUBSTITUTE(SUBSTITUTE(SUBSTITUTE(SUBSTITUTE(SUBSTITUTE(LOWER(V177&amp;""),CHAR(10),""),CHAR(13),""),CHAR(9),""),CHAR(160),"")," ",""),".",""),"-",""),"/",""),"?",""),"_",""),",",""),"[",""),"]",""),"(",""),")",""),"*","")</f>
        <v/>
      </c>
      <c r="AW177" s="61" t="str">
        <f aca="false">SUBSTITUTE(SUBSTITUTE(SUBSTITUTE(SUBSTITUTE(SUBSTITUTE(SUBSTITUTE(SUBSTITUTE(SUBSTITUTE(SUBSTITUTE(SUBSTITUTE(SUBSTITUTE(SUBSTITUTE(SUBSTITUTE(SUBSTITUTE(SUBSTITUTE(SUBSTITUTE(LOWER(Z177&amp;""),CHAR(10),""),CHAR(13),""),CHAR(9),""),CHAR(160),"")," ",""),".",""),"-",""),"/",""),"?",""),"_",""),",",""),"[",""),"]",""),"(",""),")",""),"*","")</f>
        <v/>
      </c>
      <c r="AX177" s="61" t="str">
        <f aca="false">SUBSTITUTE(SUBSTITUTE(SUBSTITUTE(SUBSTITUTE(SUBSTITUTE(SUBSTITUTE(SUBSTITUTE(SUBSTITUTE(SUBSTITUTE(SUBSTITUTE(SUBSTITUTE(SUBSTITUTE(SUBSTITUTE(SUBSTITUTE(SUBSTITUTE(SUBSTITUTE(LOWER(AE177&amp;""),CHAR(10),""),CHAR(13),""),CHAR(9),""),CHAR(160),"")," ",""),".",""),"-",""),"/",""),"?",""),"_",""),",",""),"[",""),"]",""),"(",""),")",""),"*","")</f>
        <v/>
      </c>
      <c r="AY177" s="61" t="str">
        <f aca="false">SUBSTITUTE(SUBSTITUTE(SUBSTITUTE(SUBSTITUTE(SUBSTITUTE(SUBSTITUTE(SUBSTITUTE(SUBSTITUTE(SUBSTITUTE(SUBSTITUTE(SUBSTITUTE(SUBSTITUTE(SUBSTITUTE(SUBSTITUTE(SUBSTITUTE(SUBSTITUTE(LOWER(W177&amp;""),CHAR(10),""),CHAR(13),""),CHAR(9),""),CHAR(160),"")," ",""),".",""),"-",""),"/",""),"?",""),"_",""),",",""),"[",""),"]",""),"(",""),")",""),"*","")</f>
        <v/>
      </c>
      <c r="AZ177" s="61" t="str">
        <f aca="false">SUBSTITUTE(SUBSTITUTE(SUBSTITUTE(SUBSTITUTE(SUBSTITUTE(SUBSTITUTE(SUBSTITUTE(SUBSTITUTE(SUBSTITUTE(SUBSTITUTE(SUBSTITUTE(SUBSTITUTE(SUBSTITUTE(SUBSTITUTE(SUBSTITUTE(SUBSTITUTE(LOWER(AC177&amp;""),CHAR(10),""),CHAR(13),""),CHAR(9),""),CHAR(160),"")," ",""),".",""),"-",""),"/",""),"?",""),"_",""),",",""),"[",""),"]",""),"(",""),")",""),"*","")</f>
        <v/>
      </c>
      <c r="BA177" s="61" t="str">
        <f aca="false">SUBSTITUTE(SUBSTITUTE(SUBSTITUTE(SUBSTITUTE(SUBSTITUTE(SUBSTITUTE(SUBSTITUTE(SUBSTITUTE(SUBSTITUTE(SUBSTITUTE(SUBSTITUTE(SUBSTITUTE(SUBSTITUTE(SUBSTITUTE(SUBSTITUTE(SUBSTITUTE(LOWER(AA177&amp;""),CHAR(10),""),CHAR(13),""),CHAR(9),""),CHAR(160),"")," ",""),".",""),"-",""),"/",""),"?",""),"_",""),",",""),"[",""),"]",""),"(",""),")",""),"*","")</f>
        <v/>
      </c>
      <c r="BB177" s="61" t="str">
        <f aca="false">IF(AND(TRIM(U177)="Pass",ISNUMBER(AF177)),IF(AF177&lt;&gt;0,"INVALID – qty variance: use Fail or Pass after CA",""),"")&amp;IF(AND(TRIM(U177)="Pass after CA",ISNUMBER(AF177)),IF(AF177&lt;&gt;0,"INVALID – after the corrective action the actual qty must equal expected (update Actual)",""),"")&amp;IF(AND(TRIM(U177)="Pass",TRIM(AB177)&lt;&gt;"",TRIM(AB177)&lt;&gt;"Closed"),"INVALID – corrective action not closed: use Fail, then Pass after CA","")&amp;IF(AND(LEN(BA177)&gt;=2,ISNA(MATCH(LEFT(BA177,255),L_Placeholder,0)),TRIM(AB177)=""),"INVALID – CA status missing for the recorded corrective action","")&amp;IF(AND(TRIM(U177)="Pass after CA",OR(OR(LEN(BA177)&lt;5,ISNUMBER(MATCH(BA177,L_Placeholder,0))),TRIM(AB177)&lt;&gt;"Closed")),"INVALID – corrective action not recorded/closed","")</f>
        <v/>
      </c>
      <c r="BC177" s="61" t="str">
        <f aca="false">" "&amp;TRIM(SUBSTITUTE(SUBSTITUTE(SUBSTITUTE(SUBSTITUTE(SUBSTITUTE(SUBSTITUTE(SUBSTITUTE(SUBSTITUTE(SUBSTITUTE(SUBSTITUTE(SUBSTITUTE(SUBSTITUTE(SUBSTITUTE(SUBSTITUTE(SUBSTITUTE(SUBSTITUTE(SUBSTITUTE(SUBSTITUTE(SUBSTITUTE(SUBSTITUTE(SUBSTITUTE(SUBSTITUTE(SUBSTITUTE(SUBSTITUTE(LOWER(V177&amp;""),CHAR(10)," "),CHAR(13)," "),CHAR(9)," "),CHAR(160)," "),"."," "),","," "),"-"," "),"/"," "),"("," "),")"," "),":"," "),";"," "),"_"," "),"–"," "),"?"," "),"!"," "),"*"," "),"["," "),"]"," "),"'"," "),"#"," "),"+"," "),"&amp;"," "),"\"," "))&amp;" "</f>
        <v>  </v>
      </c>
      <c r="BD177" s="61" t="str">
        <f aca="false">" "&amp;TRIM(SUBSTITUTE(SUBSTITUTE(SUBSTITUTE(SUBSTITUTE(SUBSTITUTE(SUBSTITUTE(SUBSTITUTE(SUBSTITUTE(SUBSTITUTE(SUBSTITUTE(SUBSTITUTE(SUBSTITUTE(SUBSTITUTE(SUBSTITUTE(SUBSTITUTE(SUBSTITUTE(SUBSTITUTE(SUBSTITUTE(SUBSTITUTE(SUBSTITUTE(SUBSTITUTE(SUBSTITUTE(SUBSTITUTE(SUBSTITUTE(LOWER(Z177&amp;""),CHAR(10)," "),CHAR(13)," "),CHAR(9)," "),CHAR(160)," "),"."," "),","," "),"-"," "),"/"," "),"("," "),")"," "),":"," "),";"," "),"_"," "),"–"," "),"?"," "),"!"," "),"*"," "),"["," "),"]"," "),"'"," "),"#"," "),"+"," "),"&amp;"," "),"\"," "))&amp;" "</f>
        <v>  </v>
      </c>
      <c r="BE177" s="61" t="str">
        <f aca="false">" "&amp;TRIM(SUBSTITUTE(SUBSTITUTE(SUBSTITUTE(SUBSTITUTE(SUBSTITUTE(SUBSTITUTE(SUBSTITUTE(SUBSTITUTE(SUBSTITUTE(SUBSTITUTE(SUBSTITUTE(SUBSTITUTE(SUBSTITUTE(SUBSTITUTE(SUBSTITUTE(SUBSTITUTE(SUBSTITUTE(SUBSTITUTE(SUBSTITUTE(SUBSTITUTE(SUBSTITUTE(SUBSTITUTE(SUBSTITUTE(SUBSTITUTE(LOWER(W177&amp;""),CHAR(10)," "),CHAR(13)," "),CHAR(9)," "),CHAR(160)," "),"."," "),","," "),"-"," "),"/"," "),"("," "),")"," "),":"," "),";"," "),"_"," "),"–"," "),"?"," "),"!"," "),"*"," "),"["," "),"]"," "),"'"," "),"#"," "),"+"," "),"&amp;"," "),"\"," "))&amp;" "</f>
        <v>  </v>
      </c>
      <c r="BF177" s="61" t="str">
        <f aca="false">" "&amp;TRIM(SUBSTITUTE(SUBSTITUTE(SUBSTITUTE(SUBSTITUTE(SUBSTITUTE(SUBSTITUTE(SUBSTITUTE(SUBSTITUTE(SUBSTITUTE(SUBSTITUTE(SUBSTITUTE(SUBSTITUTE(SUBSTITUTE(SUBSTITUTE(SUBSTITUTE(SUBSTITUTE(SUBSTITUTE(SUBSTITUTE(SUBSTITUTE(SUBSTITUTE(SUBSTITUTE(SUBSTITUTE(SUBSTITUTE(SUBSTITUTE(LOWER(AC177&amp;""),CHAR(10)," "),CHAR(13)," "),CHAR(9)," "),CHAR(160)," "),"."," "),","," "),"-"," "),"/"," "),"("," "),")"," "),":"," "),";"," "),"_"," "),"–"," "),"?"," "),"!"," "),"*"," "),"["," "),"]"," "),"'"," "),"#"," "),"+"," "),"&amp;"," "),"\"," "))&amp;" "</f>
        <v>  </v>
      </c>
      <c r="BG177" s="61" t="n">
        <f aca="false">IFERROR(IF(AND(TRIM(U177)="Pass",SUMPRODUCT((LEN(BC177)-LEN(SUBSTITUTE(BC177," "&amp;L_ResultBad&amp;" "," ")))/(LEN(L_ResultBad)+1))&gt;SUMPRODUCT((LEN(BC177)-LEN(SUBSTITUTE(BC177," "&amp;L_NegPhrase&amp;" "," ")))/(LEN(L_NegPhrase)+1))),1,0),0)</f>
        <v>0</v>
      </c>
      <c r="BH177" s="61" t="n">
        <f aca="false">IFERROR(IF(SUMPRODUCT((LEN(BC177)-LEN(SUBSTITUTE(BC177," "&amp;L_Pending&amp;" "," ")))/(LEN(L_Pending)+1))&gt;SUMPRODUCT((LEN(BC177)-LEN(SUBSTITUTE(BC177," "&amp;L_PendNeg&amp;" "," ")))/(LEN(L_PendNeg)+1))+SUMPRODUCT((LEN(BC177)-LEN(SUBSTITUTE(BC177," "&amp;L_PendPrep&amp;" "," ")))/(LEN(L_PendPrep)+1)),1,0),1)</f>
        <v>0</v>
      </c>
      <c r="BI177" s="61" t="n">
        <f aca="false">IFERROR(IF(SUMPRODUCT((LEN(BD177)-LEN(SUBSTITUTE(BD177," "&amp;L_PendStrict&amp;" "," ")))/(LEN(L_PendStrict)+1))&gt;SUMPRODUCT((LEN(BD177)-LEN(SUBSTITUTE(BD177," "&amp;L_PendNeg&amp;" "," ")))/(LEN(L_PendNeg)+1)),1,0),1)</f>
        <v>0</v>
      </c>
      <c r="BJ177" s="61" t="n">
        <f aca="false">IFERROR(IF(SUMPRODUCT((LEN(BE177)-LEN(SUBSTITUTE(BE177," "&amp;L_Pending&amp;" "," ")))/(LEN(L_Pending)+1))&gt;SUMPRODUCT((LEN(BE177)-LEN(SUBSTITUTE(BE177," "&amp;L_PendNeg&amp;" "," ")))/(LEN(L_PendNeg)+1))+SUMPRODUCT((LEN(BE177)-LEN(SUBSTITUTE(BE177," "&amp;L_PendPrep&amp;" "," ")))/(LEN(L_PendPrep)+1)),1,0),1)</f>
        <v>0</v>
      </c>
      <c r="BK177" s="61" t="n">
        <f aca="false">IFERROR(IF(SUMPRODUCT((LEN(BF177)-LEN(SUBSTITUTE(BF177," "&amp;L_PendStrict&amp;" "," ")))/(LEN(L_PendStrict)+1))&gt;SUMPRODUCT((LEN(BF177)-LEN(SUBSTITUTE(BF177," "&amp;L_PendNeg&amp;" "," ")))/(LEN(L_PendNeg)+1)),1,0),1)</f>
        <v>0</v>
      </c>
      <c r="BL177" s="61" t="n">
        <f aca="false">IF(ISNA(MATCH(TRIM(S177),L_EvidenceType,0)),0,BZ177)</f>
        <v>0</v>
      </c>
      <c r="BM177" s="61" t="str">
        <f aca="false">SUBSTITUTE(SUBSTITUTE(SUBSTITUTE(SUBSTITUTE(SUBSTITUTE(SUBSTITUTE(SUBSTITUTE(SUBSTITUTE(SUBSTITUTE(LOWER(Z177&amp;""),"1","0"),"2","0"),"3","0"),"4","0"),"5","0"),"6","0"),"7","0"),"8","0"),"9","0")</f>
        <v/>
      </c>
      <c r="BN177" s="61" t="str">
        <f aca="false">SUBSTITUTE(SUBSTITUTE(SUBSTITUTE(SUBSTITUTE(SUBSTITUTE(SUBSTITUTE(SUBSTITUTE(SUBSTITUTE(SUBSTITUTE(SUBSTITUTE(SUBSTITUTE(SUBSTITUTE(SUBSTITUTE(SUBSTITUTE(SUBSTITUTE(SUBSTITUTE(SUBSTITUTE(SUBSTITUTE(SUBSTITUTE(SUBSTITUTE(SUBSTITUTE(SUBSTITUTE(SUBSTITUTE(SUBSTITUTE(SUBSTITUTE(BM177,"b","a"),"c","a"),"d","a"),"e","a"),"f","a"),"g","a"),"h","a"),"i","a"),"j","a"),"k","a"),"l","a"),"m","a"),"n","a"),"o","a"),"p","a"),"q","a"),"r","a"),"s","a"),"t","a"),"u","a"),"v","a"),"w","a"),"x","a"),"y","a"),"z","a")</f>
        <v/>
      </c>
      <c r="BO177" s="61" t="str">
        <f aca="false">SUBSTITUTE(SUBSTITUTE(SUBSTITUTE(SUBSTITUTE(SUBSTITUTE(SUBSTITUTE(SUBSTITUTE(SUBSTITUTE(SUBSTITUTE(LOWER(W177&amp;""),"1","0"),"2","0"),"3","0"),"4","0"),"5","0"),"6","0"),"7","0"),"8","0"),"9","0")</f>
        <v/>
      </c>
      <c r="BP177" s="61" t="str">
        <f aca="false">SUBSTITUTE(SUBSTITUTE(SUBSTITUTE(SUBSTITUTE(SUBSTITUTE(SUBSTITUTE(SUBSTITUTE(SUBSTITUTE(SUBSTITUTE(SUBSTITUTE(SUBSTITUTE(SUBSTITUTE(SUBSTITUTE(SUBSTITUTE(SUBSTITUTE(SUBSTITUTE(SUBSTITUTE(SUBSTITUTE(SUBSTITUTE(SUBSTITUTE(SUBSTITUTE(SUBSTITUTE(SUBSTITUTE(SUBSTITUTE(SUBSTITUTE(BO177,"b","a"),"c","a"),"d","a"),"e","a"),"f","a"),"g","a"),"h","a"),"i","a"),"j","a"),"k","a"),"l","a"),"m","a"),"n","a"),"o","a"),"p","a"),"q","a"),"r","a"),"s","a"),"t","a"),"u","a"),"v","a"),"w","a"),"x","a"),"y","a"),"z","a")</f>
        <v/>
      </c>
      <c r="BQ177" s="61" t="n">
        <f aca="false">IFERROR(IF(AND(ISERROR(SEARCH(" mh"," "&amp;LOWER(W177))),ISNA(MATCH(LEFT(TRIM(BP177),255),{"0000a","000a","00a","0000aa","000aa","00aa","0aa","0000aaa","000aaa","00a00","0a00","0000-0000","00:00","a00","a0","00.00.0000","00/00/0000","00-00-0000","0000-00-00","0000/00/00","0000.00.00","00.00.00","00/00/00","00-00-00","0.00.0000","0/00/0000","0-00-0000"},0)),ISNA(MATCH(LEFT(TRIM(CA177),255),{"0000a","000a","00a","0000aa","000aa","00aa","0aa","0000aaa","000aaa","00a00","0a00","0000-0000","00:00","a00","a0","00.00.0000","00/00/0000","00-00-0000","0000-00-00","0000/00/00","0000.00.00","00.00.00","00/00/00","00-00-00","0.00.0000","0/00/0000","0-00-0000"},0)),LEN(CB177)&gt;=3,NOT(OR(SUBSTITUTE(CB177,"0","")="",AND(LEN(CB177)&gt;=4,CB177=REPT(LEFT(CB177),LEN(CB177))),ISNUMBER(MATCH(CB177,{"123","1234","12345","123456","1234567","12345678","0123","01234","012345","98765","987654","54321"},0)),AND(LEN(CB177)=8,LEFT(CB177,3)="202"))),OR(AND((LEN(CA177)-LEN(SUBSTITUTE(CA177,"a","")))&gt;=1,SUMPRODUCT(--ISNUMBER(SEARCH({"a0","a-0","a_0","a/0","a.0","a#0","0a","0-a","0_a","0/a"},BP177)))&gt;0),ISNUMBER(SEARCH("000000",BP177)))),1,0),0)</f>
        <v>0</v>
      </c>
      <c r="BR177" s="61" t="n">
        <f aca="false">IFERROR(LEN(SUBSTITUTE(CC177," ",""))-SUMPRODUCT((LEN(CC177)-LEN(SUBSTITUTE(CC177," "&amp;L_Role&amp;" "," ")))/(LEN(L_Role)+1)*LEN(L_Role)),0)</f>
        <v>0</v>
      </c>
      <c r="BS177" s="61" t="n">
        <f aca="false">IFERROR(LEN(SUBSTITUTE(CD177," ",""))-SUMPRODUCT((LEN(CD177)-LEN(SUBSTITUTE(CD177," "&amp;L_Role&amp;" "," ")))/(LEN(L_Role)+1)*LEN(L_Role)),0)</f>
        <v>0</v>
      </c>
      <c r="BT1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177,"revision",""),"version",""),"jan",""),"feb",""),"mar",""),"apr",""),"may",""),"jun",""),"jul",""),"aug",""),"sep",""),"oct",""),"nov",""),"dec",""),"utc",""),"gmt",""),"myt",""),"bst",""),"rev",""),"ver",""),"b","a"),"c","a"),"d","a"),"e","a"),"f","a"),"g","a"),"h","a"),"i","a"),"j","a"),"k","a"),"l","a"),"m","a"),"n","a"),"o","a"),"p","a"),"q","a"),"r","a"),"s","a"),"t","a"),"u","a"),"v","a"),"w","a"),"x","a"),"y","a"),"z","a")</f>
        <v/>
      </c>
      <c r="BU177" s="61" t="str">
        <f aca="false">SUBSTITUTE(SUBSTITUTE(SUBSTITUTE(SUBSTITUTE(SUBSTITUTE(SUBSTITUTE(SUBSTITUTE(SUBSTITUTE(SUBSTITUTE(SUBSTITUTE(LEFT(BM177,FIND("0",BM177&amp;"0")-1),"-",""),"_",""),"/",""),".",""),"#",""),"\\",""),":","")," ",""),"(",""),")","")</f>
        <v/>
      </c>
      <c r="BV177" s="61" t="n">
        <f aca="false">0</f>
        <v>0</v>
      </c>
      <c r="BW1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177&amp;""),"a",""),"b",""),"c",""),"d",""),"e",""),"f",""),"g",""),"h",""),"i",""),"j",""),"k",""),"l",""),"m",""),"n",""),"o",""),"p",""),"q",""),"r",""),"s",""),"t",""),"u",""),"v",""),"w",""),"x",""),"y",""),"z",""),"-",""),"_",""),"/",""),".",""),"#",""),"\\",""),":","")," ",""),"(",""),")","")</f>
        <v/>
      </c>
      <c r="BX177" s="61" t="str">
        <f aca="false">SUBSTITUTE(SUBSTITUTE(SUBSTITUTE(SUBSTITUTE(SUBSTITUTE(SUBSTITUTE(SUBSTITUTE(SUBSTITUTE(SUBSTITUTE(SUBSTITUTE(SUBSTITUTE(BM177,"0",""),"-",""),"_",""),"/",""),".",""),"#",""),"\\",""),":","")," ",""),"(",""),")","")</f>
        <v/>
      </c>
      <c r="BY177" s="62" t="n">
        <f aca="false">Q177-T12EarlyH/24</f>
        <v>46309.6388888889</v>
      </c>
      <c r="BZ177" s="61" t="n">
        <f aca="false">IFERROR(IF(IF(TRIM(S177)="Link / file path",AND(LEN(TRIM(Z177))&gt;=5,SUMPRODUCT(--ISNUMBER(SEARCH({"http","www.","\\",":\",".pdf",".jpg",".jpeg",".png",".heic",".xls",".doc",".msg",".eml",".ppt",".txt",".zip"},Z177)))&gt;0),AND(ISERROR(FIND(" ",TRIM(Z177))),NOT(OR(SUMPRODUCT(--ISNUMBER(FIND({",",";","&amp;","+"},Z177)))&gt;0,SUMPRODUCT(--ISNUMBER(SEARCH({"0/aa","0\\aa"},BN177)))&gt;0)),NOT(SUMPRODUCT(--ISNUMBER(SEARCH({"http","www.","\\",":\",".pdf",".jpg",".jpeg",".png",".heic",".xls",".doc",".msg",".eml",".ppt",".txt",".zip"},Z177)))&gt;0),NOT(LOWER(TRIM(Z177))=LOWER(Flights!$F$10)),ISNA(MATCH(BU177,{"mh","rev","revision","ver","version","v","r","a","b","seat","tray","row","gate","bay","stand","page","pg","item","line","no","cart","galley","flight","flt","table","box","bag","oven","etd","eta","std","sta","atd","ata","qty","pax","x","time","tel","ph","mob","day","wk","week","utc","gmt","myt","lt"},0)),NOT(OR(ISNUMBER(MATCH(LEFT(BN177,255),{"0000a","000a","00a","0000aa","000aa","00aa","0aa","0000aaa","000aaa","00a00","0a00","0000-0000","00:00","a00","a0","00.00.0000","00/00/0000","00-00-0000","0000-00-00","0000/00/00","0000.00.00","00.00.00","00/00/00","00-00-00","0.00.0000","0/00/0000","0-00-0000"},0)),ISNUMBER(MATCH(LEFT(BT177,255),{"0000a","000a","00a","0000aa","000aa","00aa","0aa","0000aaa","000aaa","00a00","0a00","0000-0000","00:00","a00","a0","00.00.0000","00/00/0000","00-00-0000","0000-00-00","0000/00/00","0000.00.00","00.00.00","00/00/00","00-00-00","0.00.0000","0/00/0000","0-00-0000"},0)))),NOT(OR(AND(BW177&lt;&gt;"",SUBSTITUTE(BW177,"0","")=""),AND(LEN(BW177)&gt;=4,BW177=REPT(LEFT(BW177),LEN(BW177))),ISNUMBER(MATCH(BW177,{"123","1234","12345","123456","1234567","12345678","0123","01234","012345","98765","987654","54321"},0)),ISNUMBER(MATCH(BX177,{"x","xx","xxx","xxxx","xxxxx","abc","abcd","nil","na","nan","test","tbc","tba","tbd","dummy","sample","example","eg","zz","zzz","none","null","xyz","qwe","asd","id","ref"},0)),AND(LEN(BW177)=8,BX177="",OR(LEFT(BW177,3)="202",ISNUMBER(MATCH(RIGHT(BW177,4),{"2025","2026","2027"},0)))))),OR(AND((LEN(BT177)-LEN(SUBSTITUTE(BT177,"a","")))&gt;=1,(LEN(BN177)-LEN(SUBSTITUTE(BN177,"0","")))&gt;=2,SUMPRODUCT(--ISNUMBER(SEARCH({"a0","a-0","a_0","a/0","a.0","a#0","0a","0-a","0_a","0/a"},BN177)))&gt;0),AND((LEN(BN177)-LEN(SUBSTITUTE(BN177,"a","")))=0,(LEN(BN177)-LEN(SUBSTITUTE(BN177,"0","")))&gt;=5)))),1,0),0)</f>
        <v>0</v>
      </c>
      <c r="CA1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177,"revision",""),"version",""),"jan",""),"feb",""),"mar",""),"apr",""),"may",""),"jun",""),"jul",""),"aug",""),"sep",""),"oct",""),"nov",""),"dec",""),"utc",""),"gmt",""),"myt",""),"bst",""),"rev",""),"ver",""),"b","a"),"c","a"),"d","a"),"e","a"),"f","a"),"g","a"),"h","a"),"i","a"),"j","a"),"k","a"),"l","a"),"m","a"),"n","a"),"o","a"),"p","a"),"q","a"),"r","a"),"s","a"),"t","a"),"u","a"),"v","a"),"w","a"),"x","a"),"y","a"),"z","a")</f>
        <v/>
      </c>
      <c r="CB1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177&amp;""),"a",""),"b",""),"c",""),"d",""),"e",""),"f",""),"g",""),"h",""),"i",""),"j",""),"k",""),"l",""),"m",""),"n",""),"o",""),"p",""),"q",""),"r",""),"s",""),"t",""),"u",""),"v",""),"w",""),"x",""),"y",""),"z",""),"-",""),"_",""),"/",""),".",""),"#",""),"\\",""),":","")," ",""),"(",""),")","")</f>
        <v/>
      </c>
      <c r="CC177" s="0" t="str">
        <f aca="false">" "&amp;TRIM(SUBSTITUTE(SUBSTITUTE(SUBSTITUTE(SUBSTITUTE(SUBSTITUTE(SUBSTITUTE(SUBSTITUTE(SUBSTITUTE(SUBSTITUTE(SUBSTITUTE(SUBSTITUTE(SUBSTITUTE(SUBSTITUTE(SUBSTITUTE(SUBSTITUTE(SUBSTITUTE(SUBSTITUTE(SUBSTITUTE(SUBSTITUTE(SUBSTITUTE(SUBSTITUTE(SUBSTITUTE(SUBSTITUTE(SUBSTITUTE(LOWER(T177&amp;""),CHAR(10)," "),CHAR(13)," "),CHAR(9)," "),CHAR(160)," "),"."," "),","," "),"-"," "),"/"," "),"("," "),")"," "),":"," "),";"," "),"_"," "),"–"," "),"?"," "),"!"," "),"*"," "),"["," "),"]"," "),"'"," "),"#"," "),"+"," "),"&amp;"," "),"\"," "))&amp;" "</f>
        <v>  </v>
      </c>
      <c r="CD177" s="0" t="str">
        <f aca="false">" "&amp;TRIM(SUBSTITUTE(SUBSTITUTE(SUBSTITUTE(SUBSTITUTE(SUBSTITUTE(SUBSTITUTE(SUBSTITUTE(SUBSTITUTE(SUBSTITUTE(SUBSTITUTE(SUBSTITUTE(SUBSTITUTE(SUBSTITUTE(SUBSTITUTE(SUBSTITUTE(SUBSTITUTE(SUBSTITUTE(SUBSTITUTE(SUBSTITUTE(SUBSTITUTE(SUBSTITUTE(SUBSTITUTE(SUBSTITUTE(SUBSTITUTE(LOWER(AE177&amp;""),CHAR(10)," "),CHAR(13)," "),CHAR(9)," "),CHAR(160)," "),"."," "),","," "),"-"," "),"/"," "),"("," "),")"," "),":"," "),";"," "),"_"," "),"–"," "),"?"," "),"!"," "),"*"," "),"["," "),"]"," "),"'"," "),"#"," "),"+"," "),"&amp;"," "),"\"," "))&amp;" "</f>
        <v>  </v>
      </c>
      <c r="CE177" s="68" t="n">
        <f aca="false">IFERROR(IF(AND(LEN(AU177)&gt;0,LEN(AU177)=LEN(AX177),OR(TRIM(MID(SUBSTITUTE(TRIM(CC177)," ",REPT(" ",60)),1,60))="",ISNUMBER(SEARCH(" "&amp;TRIM(MID(SUBSTITUTE(TRIM(CC177)," ",REPT(" ",60)),1,60))&amp;" ",CD177))),OR(TRIM(MID(SUBSTITUTE(TRIM(CC177)," ",REPT(" ",60)),61,60))="",ISNUMBER(SEARCH(" "&amp;TRIM(MID(SUBSTITUTE(TRIM(CC177)," ",REPT(" ",60)),61,60))&amp;" ",CD177))),OR(TRIM(MID(SUBSTITUTE(TRIM(CC177)," ",REPT(" ",60)),121,60))="",ISNUMBER(SEARCH(" "&amp;TRIM(MID(SUBSTITUTE(TRIM(CC177)," ",REPT(" ",60)),121,60))&amp;" ",CD177)))),1,0),0)</f>
        <v>0</v>
      </c>
      <c r="CG177" s="68" t="n">
        <f aca="false">IFERROR(LEN(SUBSTITUTE(BF177," ",""))-SUMPRODUCT((LEN(BF177)-LEN(SUBSTITUTE(BF177," "&amp;L_NAFiller&amp;" "," ")))/(LEN(L_NAFiller)+1)*LEN(L_NAFiller)),0)</f>
        <v>0</v>
      </c>
    </row>
    <row r="178" customFormat="false" ht="39.75" hidden="false" customHeight="true" outlineLevel="0" collapsed="false">
      <c r="A178" s="57" t="s">
        <v>720</v>
      </c>
      <c r="B178" s="57" t="s">
        <v>231</v>
      </c>
      <c r="C178" s="57" t="str">
        <f aca="false">Flights!$F$10</f>
        <v>MH0002</v>
      </c>
      <c r="D178" s="58" t="n">
        <f aca="false">Flights!$D$10</f>
        <v>46310</v>
      </c>
      <c r="E178" s="57" t="str">
        <f aca="false">Flights!$G$10&amp;"-"&amp;Flights!$H$10</f>
        <v>KUL-LHR</v>
      </c>
      <c r="F178" s="57" t="str">
        <f aca="false">Flights!$K$10</f>
        <v>BC</v>
      </c>
      <c r="G178" s="57" t="s">
        <v>420</v>
      </c>
      <c r="H178" s="57" t="s">
        <v>378</v>
      </c>
      <c r="I178" s="57" t="s">
        <v>428</v>
      </c>
      <c r="J178" s="57" t="s">
        <v>429</v>
      </c>
      <c r="K178" s="67"/>
      <c r="L178" s="67" t="s">
        <v>422</v>
      </c>
      <c r="M178" s="67"/>
      <c r="N178" s="67" t="s">
        <v>383</v>
      </c>
      <c r="O178" s="67" t="s">
        <v>423</v>
      </c>
      <c r="P178" s="57" t="s">
        <v>187</v>
      </c>
      <c r="Q178" s="59" t="n">
        <f aca="false">ROUND((Flights!$AE$10)*1440,0)/1440</f>
        <v>46310.1388888889</v>
      </c>
      <c r="R178" s="59" t="n">
        <f aca="false">Q178+(IF(AND(INDEX(TZ_DSTS,MATCH(P178,TZ_STN,0))&lt;&gt;"",Q178&gt;=INDEX(TZ_DSTS,MATCH(P178,TZ_STN,0)),Q178&lt;INDEX(TZ_DSTE,MATCH(P178,TZ_STN,0))),INDEX(TZ_DST,MATCH(P178,TZ_STN,0)),INDEX(TZ_STD,MATCH(P178,TZ_STN,0))))/24</f>
        <v>46310.4722222222</v>
      </c>
      <c r="S178" s="60"/>
      <c r="T178" s="60"/>
      <c r="U178" s="60"/>
      <c r="V178" s="60"/>
      <c r="W178" s="61"/>
      <c r="X178" s="60"/>
      <c r="Y178" s="60"/>
      <c r="Z178" s="60"/>
      <c r="AA178" s="60"/>
      <c r="AB178" s="60"/>
      <c r="AC178" s="60"/>
      <c r="AD178" s="66"/>
      <c r="AE178" s="60"/>
      <c r="AF178" s="61" t="str">
        <f aca="false">IF(AND(ISNUMBER(X178),ISNUMBER(Y178)),Y178-X178,"")</f>
        <v/>
      </c>
      <c r="AG178" s="62" t="str">
        <f aca="false">IF(ISNUMBER(AD178),AD178-(IF(AND(INDEX(TZ_DSTS,MATCH(P178,TZ_STN,0))&lt;&gt;"",(AD178-INDEX(TZ_STD,MATCH(P178,TZ_STN,0))/24)&gt;=INDEX(TZ_DSTS,MATCH(P178,TZ_STN,0)),(AD178-INDEX(TZ_STD,MATCH(P178,TZ_STN,0))/24)&lt;INDEX(TZ_DSTE,MATCH(P178,TZ_STN,0))),INDEX(TZ_DST,MATCH(P178,TZ_STN,0)),INDEX(TZ_STD,MATCH(P178,TZ_STN,0))))/24,"")</f>
        <v/>
      </c>
      <c r="AH178" s="65" t="str">
        <f aca="false">IFERROR(IF(N178="N/A – rule",IF(OR(TRIM(U178)="",TRIM(U178)="N/A",TRIM(U178)="Not started"),"N/A – RULE","INVALID – this check does not apply to this aircraft: clear the status (or correct the fleet on Flights)"),IF(TRIM(U178)="N/A",IF(AT178=0,"INVALID – N/A not permitted for this check",IF(AND(TRIM(AB178)&lt;&gt;"",TRIM(AB178)&lt;&gt;"Closed"),"INVALID – corrective action still open",IF(AND(NOT(OR(LEN(AZ178)&lt;15,ISNUMBER(MATCH(AZ178,L_Placeholder,0)))),BK178=0,CG178&gt;=8,NOT(OR(LEN(AU178)&lt;2,ISNUMBER(MATCH(AU178,L_Placeholder,0)))),BR178&gt;=3,NOT(OR(LEN(AX178)&lt;2,ISNUMBER(MATCH(AX178,L_Placeholder,0)))),BS178&gt;=3,TRIM(AE178)&lt;&gt;TRIM(T178),AX178&lt;&gt;AU178,CE178=0),"N/A – JUSTIFIED","INVALID – N/A needs a real, settled reason (not 'not applicable' / 'as above' / TBC), a named PIC and a different named verifier"))),IF(OR(TRIM(U178)="Pass",TRIM(U178)="Pass after CA"),IF(NOT(ISNUMBER(AD178)),"INVALID – completion time missing",IF(OR(OR(LEN(AU178)&lt;2,ISNUMBER(MATCH(AU178,L_Placeholder,0))),BR178&lt;3),"INVALID – PIC missing or not a named person (a role such as QA / CSM is not a name)",IF(OR(LEN(AV178)&lt;2,ISNUMBER(MATCH(AV178,L_Placeholder,0))),"INVALID – result / assessment missing",IF(OR(OR(LEN(AW178)&lt;3,ISNUMBER(MATCH(AW178,L_Placeholder,0))),SUMPRODUCT(--ISNUMBER(SEARCH(" "&amp;L_EvidencePhrase&amp;" ",BD178)))&gt;0,BI178=1),"INVALID – evidence missing, placeholder or not yet on file",IF(ISNA(MATCH(TRIM(S178),L_EvidenceType,0)),"INVALID – choose the evidence type from the list (column S)",IF(BL178=0,"INVALID – evidence ID must be the record's own ID only (e.g. SF-2210, IMG_2231, 1045521); a link / file name needs type 'Link / file path'",IF(OR(OR(LEN(AX178)&lt;2,ISNUMBER(MATCH(AX178,L_Placeholder,0))),BS178&lt;3),"INVALID – verifier missing or not a named person (a role such as QA / CSM is not a name)",IF(OR(AX178=AU178,CE178=1,AND(LEN(AU178)&gt;=4,ISNUMBER(SEARCH(AU178,AX178))),AND(LEN(AX178)&gt;=4,ISNUMBER(SEARCH(AX178,AU178)))),"INVALID – verifier must be a different, named person (not the PIC or a role)",IF(BH178=1,"INVALID – result not yet available (awaiting / TBC)",IF(BG178=1,"INVALID – result describes a problem: record Fail, then Pass after CA (or reword if it is not a problem)",IF(BV178=1,"INVALID – wording says not on board: an on-board confirmation needs the item loaded",IF(AND(AQ178=1,OR(OR(LEN(AY178)&lt;3,ISNUMBER(MATCH(AY178,L_Placeholder,0))),BJ178=1,BQ178=0)),"INVALID – batch ID missing, placeholder or not an ID (e.g. PASB-261008-BC-017)",IF(AND(AR178=1,OR(NOT(ISNUMBER(X178)),NOT(ISNUMBER(Y178)))),"INVALID – expected/actual qty missing",IF(AND(AR178=1,OR(X178&lt;=0,Y178&lt;0)),"INVALID – expected qty must be above 0 and actual not negative",IF(BB178&lt;&gt;"",BB178,IF(AND(AS178=1,Documents!$J$10&lt;&gt;"ON FILE"),"INVALID – GLD not on file (Documents sheet)",IF(AND(AS178=2,Documents!$O$10&lt;&gt;"ON FILE"),"INVALID – menu checklist not on file (Documents sheet)",IF(AND(AS178=3,NOT(ISNUMBER(Flights!$AX$10))),"INVALID – enter carrying flight KUL departure (Flights AX)",IF(AND(AS178=3,OR(Flights!$AZ$10&gt;Flights!$AA$10,Flights!$AX$10&lt;Flights!$AA$10-3)),"INVALID – carrying flight (Flights AX) cannot arrive before this leg's STD, or is over 3 days early",IF(AG178&gt;AsOfUTC,"INVALID – completion time is in the future",IF(AND(ISNUMBER(BY178),AG178&lt;BY178),IF(H178="Physical uplift","INVALID – before uplift window (cannot confirm loading)","INVALID – before valid window"),IF(AG178&gt;Flights!$AA$10,"INVALID – completed after departure (cannot establish readiness)",IF(AND(H178="Preparation",AG178&gt;=IF(ISNUMBER(Flights!$BA$10),MIN(Flights!$BA$10,Flights!$AA$10),Flights!$AA$10)),"INVALID – completed after loading / departure (cannot establish readiness)",IF(AND(H178="Physical uplift",AG178&gt;Q178),"INVALID – recorded after the loading flight departed",IF(AG178&gt;Q178,"COMPLETE – LATE","COMPLETE"))))))))))))))))))))))))),IF(TRIM(U178)="Fail","FAIL – DISCREPANCY",IF(AND(TRIM(U178)&lt;&gt;"",TRIM(U178)&lt;&gt;"Not started",TRIM(U178)&lt;&gt;"In progress"),"INVALID – unrecognised status (use the list)",IF(AsOfUTC&gt;Q178,"OVERDUE",IF(N178="Clarification required","OPEN – CLARIFICATION","OPEN"))))))),"INVALID – error value in an input cell")</f>
        <v>OPEN</v>
      </c>
      <c r="AI178" s="61" t="n">
        <f aca="false">IF(OR(AH178="N/A – RULE",AH178="N/A – JUSTIFIED"),0,1)</f>
        <v>1</v>
      </c>
      <c r="AJ178" s="61" t="n">
        <f aca="false">IF(LEFT(AH178,8)="COMPLETE",1,0)</f>
        <v>0</v>
      </c>
      <c r="AK178" s="61" t="n">
        <f aca="false">IF(AND(AI178=1,AJ178=0,AsOfUTC&gt;Q178),1,0)</f>
        <v>0</v>
      </c>
      <c r="AL178" s="61" t="n">
        <f aca="false">IFERROR(IF(AND(AI178=1,OR(TRIM(U178)="Fail",AND(TRIM(AB178)&lt;&gt;"",TRIM(AB178)&lt;&gt;"Closed"),AND(ISNUMBER(AF178),AF178&lt;&gt;0,TRIM(U178)&lt;&gt;"Pass after CA"))),1,0),1)</f>
        <v>0</v>
      </c>
      <c r="AM178" s="61" t="n">
        <f aca="false">IF(LEFT(AH178,7)="INVALID",1,0)</f>
        <v>0</v>
      </c>
      <c r="AN178" s="61" t="n">
        <f aca="false">IF(AND(N178="Clarification required",AI178=1,AJ178=0),1,0)</f>
        <v>0</v>
      </c>
      <c r="AO178" s="61" t="str">
        <f aca="false">IF(AK178=1,SUM(AK$5:AK178),"")</f>
        <v/>
      </c>
      <c r="AP178" s="61" t="str">
        <f aca="false">IF(AL178=1,SUM(AL$5:AL178),"")</f>
        <v/>
      </c>
      <c r="AQ178" s="61" t="n">
        <v>0</v>
      </c>
      <c r="AR178" s="61" t="n">
        <v>0</v>
      </c>
      <c r="AS178" s="61" t="n">
        <v>0</v>
      </c>
      <c r="AT178" s="61" t="n">
        <v>0</v>
      </c>
      <c r="AU178" s="61" t="str">
        <f aca="false">SUBSTITUTE(SUBSTITUTE(SUBSTITUTE(SUBSTITUTE(SUBSTITUTE(SUBSTITUTE(SUBSTITUTE(SUBSTITUTE(SUBSTITUTE(SUBSTITUTE(SUBSTITUTE(SUBSTITUTE(SUBSTITUTE(SUBSTITUTE(SUBSTITUTE(SUBSTITUTE(LOWER(T178&amp;""),CHAR(10),""),CHAR(13),""),CHAR(9),""),CHAR(160),"")," ",""),".",""),"-",""),"/",""),"?",""),"_",""),",",""),"[",""),"]",""),"(",""),")",""),"*","")</f>
        <v/>
      </c>
      <c r="AV178" s="61" t="str">
        <f aca="false">SUBSTITUTE(SUBSTITUTE(SUBSTITUTE(SUBSTITUTE(SUBSTITUTE(SUBSTITUTE(SUBSTITUTE(SUBSTITUTE(SUBSTITUTE(SUBSTITUTE(SUBSTITUTE(SUBSTITUTE(SUBSTITUTE(SUBSTITUTE(SUBSTITUTE(SUBSTITUTE(LOWER(V178&amp;""),CHAR(10),""),CHAR(13),""),CHAR(9),""),CHAR(160),"")," ",""),".",""),"-",""),"/",""),"?",""),"_",""),",",""),"[",""),"]",""),"(",""),")",""),"*","")</f>
        <v/>
      </c>
      <c r="AW178" s="61" t="str">
        <f aca="false">SUBSTITUTE(SUBSTITUTE(SUBSTITUTE(SUBSTITUTE(SUBSTITUTE(SUBSTITUTE(SUBSTITUTE(SUBSTITUTE(SUBSTITUTE(SUBSTITUTE(SUBSTITUTE(SUBSTITUTE(SUBSTITUTE(SUBSTITUTE(SUBSTITUTE(SUBSTITUTE(LOWER(Z178&amp;""),CHAR(10),""),CHAR(13),""),CHAR(9),""),CHAR(160),"")," ",""),".",""),"-",""),"/",""),"?",""),"_",""),",",""),"[",""),"]",""),"(",""),")",""),"*","")</f>
        <v/>
      </c>
      <c r="AX178" s="61" t="str">
        <f aca="false">SUBSTITUTE(SUBSTITUTE(SUBSTITUTE(SUBSTITUTE(SUBSTITUTE(SUBSTITUTE(SUBSTITUTE(SUBSTITUTE(SUBSTITUTE(SUBSTITUTE(SUBSTITUTE(SUBSTITUTE(SUBSTITUTE(SUBSTITUTE(SUBSTITUTE(SUBSTITUTE(LOWER(AE178&amp;""),CHAR(10),""),CHAR(13),""),CHAR(9),""),CHAR(160),"")," ",""),".",""),"-",""),"/",""),"?",""),"_",""),",",""),"[",""),"]",""),"(",""),")",""),"*","")</f>
        <v/>
      </c>
      <c r="AY178" s="61" t="str">
        <f aca="false">SUBSTITUTE(SUBSTITUTE(SUBSTITUTE(SUBSTITUTE(SUBSTITUTE(SUBSTITUTE(SUBSTITUTE(SUBSTITUTE(SUBSTITUTE(SUBSTITUTE(SUBSTITUTE(SUBSTITUTE(SUBSTITUTE(SUBSTITUTE(SUBSTITUTE(SUBSTITUTE(LOWER(W178&amp;""),CHAR(10),""),CHAR(13),""),CHAR(9),""),CHAR(160),"")," ",""),".",""),"-",""),"/",""),"?",""),"_",""),",",""),"[",""),"]",""),"(",""),")",""),"*","")</f>
        <v/>
      </c>
      <c r="AZ178" s="61" t="str">
        <f aca="false">SUBSTITUTE(SUBSTITUTE(SUBSTITUTE(SUBSTITUTE(SUBSTITUTE(SUBSTITUTE(SUBSTITUTE(SUBSTITUTE(SUBSTITUTE(SUBSTITUTE(SUBSTITUTE(SUBSTITUTE(SUBSTITUTE(SUBSTITUTE(SUBSTITUTE(SUBSTITUTE(LOWER(AC178&amp;""),CHAR(10),""),CHAR(13),""),CHAR(9),""),CHAR(160),"")," ",""),".",""),"-",""),"/",""),"?",""),"_",""),",",""),"[",""),"]",""),"(",""),")",""),"*","")</f>
        <v/>
      </c>
      <c r="BA178" s="61" t="str">
        <f aca="false">SUBSTITUTE(SUBSTITUTE(SUBSTITUTE(SUBSTITUTE(SUBSTITUTE(SUBSTITUTE(SUBSTITUTE(SUBSTITUTE(SUBSTITUTE(SUBSTITUTE(SUBSTITUTE(SUBSTITUTE(SUBSTITUTE(SUBSTITUTE(SUBSTITUTE(SUBSTITUTE(LOWER(AA178&amp;""),CHAR(10),""),CHAR(13),""),CHAR(9),""),CHAR(160),"")," ",""),".",""),"-",""),"/",""),"?",""),"_",""),",",""),"[",""),"]",""),"(",""),")",""),"*","")</f>
        <v/>
      </c>
      <c r="BB178" s="61" t="str">
        <f aca="false">IF(AND(TRIM(U178)="Pass",ISNUMBER(AF178)),IF(AF178&lt;&gt;0,"INVALID – qty variance: use Fail or Pass after CA",""),"")&amp;IF(AND(TRIM(U178)="Pass after CA",ISNUMBER(AF178)),IF(AF178&lt;&gt;0,"INVALID – after the corrective action the actual qty must equal expected (update Actual)",""),"")&amp;IF(AND(TRIM(U178)="Pass",TRIM(AB178)&lt;&gt;"",TRIM(AB178)&lt;&gt;"Closed"),"INVALID – corrective action not closed: use Fail, then Pass after CA","")&amp;IF(AND(LEN(BA178)&gt;=2,ISNA(MATCH(LEFT(BA178,255),L_Placeholder,0)),TRIM(AB178)=""),"INVALID – CA status missing for the recorded corrective action","")&amp;IF(AND(TRIM(U178)="Pass after CA",OR(OR(LEN(BA178)&lt;5,ISNUMBER(MATCH(BA178,L_Placeholder,0))),TRIM(AB178)&lt;&gt;"Closed")),"INVALID – corrective action not recorded/closed","")</f>
        <v/>
      </c>
      <c r="BC178" s="61" t="str">
        <f aca="false">" "&amp;TRIM(SUBSTITUTE(SUBSTITUTE(SUBSTITUTE(SUBSTITUTE(SUBSTITUTE(SUBSTITUTE(SUBSTITUTE(SUBSTITUTE(SUBSTITUTE(SUBSTITUTE(SUBSTITUTE(SUBSTITUTE(SUBSTITUTE(SUBSTITUTE(SUBSTITUTE(SUBSTITUTE(SUBSTITUTE(SUBSTITUTE(SUBSTITUTE(SUBSTITUTE(SUBSTITUTE(SUBSTITUTE(SUBSTITUTE(SUBSTITUTE(LOWER(V178&amp;""),CHAR(10)," "),CHAR(13)," "),CHAR(9)," "),CHAR(160)," "),"."," "),","," "),"-"," "),"/"," "),"("," "),")"," "),":"," "),";"," "),"_"," "),"–"," "),"?"," "),"!"," "),"*"," "),"["," "),"]"," "),"'"," "),"#"," "),"+"," "),"&amp;"," "),"\"," "))&amp;" "</f>
        <v>  </v>
      </c>
      <c r="BD178" s="61" t="str">
        <f aca="false">" "&amp;TRIM(SUBSTITUTE(SUBSTITUTE(SUBSTITUTE(SUBSTITUTE(SUBSTITUTE(SUBSTITUTE(SUBSTITUTE(SUBSTITUTE(SUBSTITUTE(SUBSTITUTE(SUBSTITUTE(SUBSTITUTE(SUBSTITUTE(SUBSTITUTE(SUBSTITUTE(SUBSTITUTE(SUBSTITUTE(SUBSTITUTE(SUBSTITUTE(SUBSTITUTE(SUBSTITUTE(SUBSTITUTE(SUBSTITUTE(SUBSTITUTE(LOWER(Z178&amp;""),CHAR(10)," "),CHAR(13)," "),CHAR(9)," "),CHAR(160)," "),"."," "),","," "),"-"," "),"/"," "),"("," "),")"," "),":"," "),";"," "),"_"," "),"–"," "),"?"," "),"!"," "),"*"," "),"["," "),"]"," "),"'"," "),"#"," "),"+"," "),"&amp;"," "),"\"," "))&amp;" "</f>
        <v>  </v>
      </c>
      <c r="BE178" s="61" t="str">
        <f aca="false">" "&amp;TRIM(SUBSTITUTE(SUBSTITUTE(SUBSTITUTE(SUBSTITUTE(SUBSTITUTE(SUBSTITUTE(SUBSTITUTE(SUBSTITUTE(SUBSTITUTE(SUBSTITUTE(SUBSTITUTE(SUBSTITUTE(SUBSTITUTE(SUBSTITUTE(SUBSTITUTE(SUBSTITUTE(SUBSTITUTE(SUBSTITUTE(SUBSTITUTE(SUBSTITUTE(SUBSTITUTE(SUBSTITUTE(SUBSTITUTE(SUBSTITUTE(LOWER(W178&amp;""),CHAR(10)," "),CHAR(13)," "),CHAR(9)," "),CHAR(160)," "),"."," "),","," "),"-"," "),"/"," "),"("," "),")"," "),":"," "),";"," "),"_"," "),"–"," "),"?"," "),"!"," "),"*"," "),"["," "),"]"," "),"'"," "),"#"," "),"+"," "),"&amp;"," "),"\"," "))&amp;" "</f>
        <v>  </v>
      </c>
      <c r="BF178" s="61" t="str">
        <f aca="false">" "&amp;TRIM(SUBSTITUTE(SUBSTITUTE(SUBSTITUTE(SUBSTITUTE(SUBSTITUTE(SUBSTITUTE(SUBSTITUTE(SUBSTITUTE(SUBSTITUTE(SUBSTITUTE(SUBSTITUTE(SUBSTITUTE(SUBSTITUTE(SUBSTITUTE(SUBSTITUTE(SUBSTITUTE(SUBSTITUTE(SUBSTITUTE(SUBSTITUTE(SUBSTITUTE(SUBSTITUTE(SUBSTITUTE(SUBSTITUTE(SUBSTITUTE(LOWER(AC178&amp;""),CHAR(10)," "),CHAR(13)," "),CHAR(9)," "),CHAR(160)," "),"."," "),","," "),"-"," "),"/"," "),"("," "),")"," "),":"," "),";"," "),"_"," "),"–"," "),"?"," "),"!"," "),"*"," "),"["," "),"]"," "),"'"," "),"#"," "),"+"," "),"&amp;"," "),"\"," "))&amp;" "</f>
        <v>  </v>
      </c>
      <c r="BG178" s="61" t="n">
        <f aca="false">IFERROR(IF(AND(TRIM(U178)="Pass",SUMPRODUCT((LEN(BC178)-LEN(SUBSTITUTE(BC178," "&amp;L_ResultBad&amp;" "," ")))/(LEN(L_ResultBad)+1))&gt;SUMPRODUCT((LEN(BC178)-LEN(SUBSTITUTE(BC178," "&amp;L_NegPhrase&amp;" "," ")))/(LEN(L_NegPhrase)+1))),1,0),0)</f>
        <v>0</v>
      </c>
      <c r="BH178" s="61" t="n">
        <f aca="false">IFERROR(IF(SUMPRODUCT((LEN(BC178)-LEN(SUBSTITUTE(BC178," "&amp;L_Pending&amp;" "," ")))/(LEN(L_Pending)+1))&gt;SUMPRODUCT((LEN(BC178)-LEN(SUBSTITUTE(BC178," "&amp;L_PendNeg&amp;" "," ")))/(LEN(L_PendNeg)+1))+SUMPRODUCT((LEN(BC178)-LEN(SUBSTITUTE(BC178," "&amp;L_PendPrep&amp;" "," ")))/(LEN(L_PendPrep)+1)),1,0),1)</f>
        <v>0</v>
      </c>
      <c r="BI178" s="61" t="n">
        <f aca="false">IFERROR(IF(SUMPRODUCT((LEN(BD178)-LEN(SUBSTITUTE(BD178," "&amp;L_PendStrict&amp;" "," ")))/(LEN(L_PendStrict)+1))&gt;SUMPRODUCT((LEN(BD178)-LEN(SUBSTITUTE(BD178," "&amp;L_PendNeg&amp;" "," ")))/(LEN(L_PendNeg)+1)),1,0),1)</f>
        <v>0</v>
      </c>
      <c r="BJ178" s="61" t="n">
        <f aca="false">IFERROR(IF(SUMPRODUCT((LEN(BE178)-LEN(SUBSTITUTE(BE178," "&amp;L_Pending&amp;" "," ")))/(LEN(L_Pending)+1))&gt;SUMPRODUCT((LEN(BE178)-LEN(SUBSTITUTE(BE178," "&amp;L_PendNeg&amp;" "," ")))/(LEN(L_PendNeg)+1))+SUMPRODUCT((LEN(BE178)-LEN(SUBSTITUTE(BE178," "&amp;L_PendPrep&amp;" "," ")))/(LEN(L_PendPrep)+1)),1,0),1)</f>
        <v>0</v>
      </c>
      <c r="BK178" s="61" t="n">
        <f aca="false">IFERROR(IF(SUMPRODUCT((LEN(BF178)-LEN(SUBSTITUTE(BF178," "&amp;L_PendStrict&amp;" "," ")))/(LEN(L_PendStrict)+1))&gt;SUMPRODUCT((LEN(BF178)-LEN(SUBSTITUTE(BF178," "&amp;L_PendNeg&amp;" "," ")))/(LEN(L_PendNeg)+1)),1,0),1)</f>
        <v>0</v>
      </c>
      <c r="BL178" s="61" t="n">
        <f aca="false">IF(ISNA(MATCH(TRIM(S178),L_EvidenceType,0)),0,BZ178)</f>
        <v>0</v>
      </c>
      <c r="BM178" s="61" t="str">
        <f aca="false">SUBSTITUTE(SUBSTITUTE(SUBSTITUTE(SUBSTITUTE(SUBSTITUTE(SUBSTITUTE(SUBSTITUTE(SUBSTITUTE(SUBSTITUTE(LOWER(Z178&amp;""),"1","0"),"2","0"),"3","0"),"4","0"),"5","0"),"6","0"),"7","0"),"8","0"),"9","0")</f>
        <v/>
      </c>
      <c r="BN178" s="61" t="str">
        <f aca="false">SUBSTITUTE(SUBSTITUTE(SUBSTITUTE(SUBSTITUTE(SUBSTITUTE(SUBSTITUTE(SUBSTITUTE(SUBSTITUTE(SUBSTITUTE(SUBSTITUTE(SUBSTITUTE(SUBSTITUTE(SUBSTITUTE(SUBSTITUTE(SUBSTITUTE(SUBSTITUTE(SUBSTITUTE(SUBSTITUTE(SUBSTITUTE(SUBSTITUTE(SUBSTITUTE(SUBSTITUTE(SUBSTITUTE(SUBSTITUTE(SUBSTITUTE(BM178,"b","a"),"c","a"),"d","a"),"e","a"),"f","a"),"g","a"),"h","a"),"i","a"),"j","a"),"k","a"),"l","a"),"m","a"),"n","a"),"o","a"),"p","a"),"q","a"),"r","a"),"s","a"),"t","a"),"u","a"),"v","a"),"w","a"),"x","a"),"y","a"),"z","a")</f>
        <v/>
      </c>
      <c r="BO178" s="61" t="str">
        <f aca="false">SUBSTITUTE(SUBSTITUTE(SUBSTITUTE(SUBSTITUTE(SUBSTITUTE(SUBSTITUTE(SUBSTITUTE(SUBSTITUTE(SUBSTITUTE(LOWER(W178&amp;""),"1","0"),"2","0"),"3","0"),"4","0"),"5","0"),"6","0"),"7","0"),"8","0"),"9","0")</f>
        <v/>
      </c>
      <c r="BP178" s="61" t="str">
        <f aca="false">SUBSTITUTE(SUBSTITUTE(SUBSTITUTE(SUBSTITUTE(SUBSTITUTE(SUBSTITUTE(SUBSTITUTE(SUBSTITUTE(SUBSTITUTE(SUBSTITUTE(SUBSTITUTE(SUBSTITUTE(SUBSTITUTE(SUBSTITUTE(SUBSTITUTE(SUBSTITUTE(SUBSTITUTE(SUBSTITUTE(SUBSTITUTE(SUBSTITUTE(SUBSTITUTE(SUBSTITUTE(SUBSTITUTE(SUBSTITUTE(SUBSTITUTE(BO178,"b","a"),"c","a"),"d","a"),"e","a"),"f","a"),"g","a"),"h","a"),"i","a"),"j","a"),"k","a"),"l","a"),"m","a"),"n","a"),"o","a"),"p","a"),"q","a"),"r","a"),"s","a"),"t","a"),"u","a"),"v","a"),"w","a"),"x","a"),"y","a"),"z","a")</f>
        <v/>
      </c>
      <c r="BQ178" s="61" t="n">
        <f aca="false">IFERROR(IF(AND(ISERROR(SEARCH(" mh"," "&amp;LOWER(W178))),ISNA(MATCH(LEFT(TRIM(BP178),255),{"0000a","000a","00a","0000aa","000aa","00aa","0aa","0000aaa","000aaa","00a00","0a00","0000-0000","00:00","a00","a0","00.00.0000","00/00/0000","00-00-0000","0000-00-00","0000/00/00","0000.00.00","00.00.00","00/00/00","00-00-00","0.00.0000","0/00/0000","0-00-0000"},0)),ISNA(MATCH(LEFT(TRIM(CA178),255),{"0000a","000a","00a","0000aa","000aa","00aa","0aa","0000aaa","000aaa","00a00","0a00","0000-0000","00:00","a00","a0","00.00.0000","00/00/0000","00-00-0000","0000-00-00","0000/00/00","0000.00.00","00.00.00","00/00/00","00-00-00","0.00.0000","0/00/0000","0-00-0000"},0)),LEN(CB178)&gt;=3,NOT(OR(SUBSTITUTE(CB178,"0","")="",AND(LEN(CB178)&gt;=4,CB178=REPT(LEFT(CB178),LEN(CB178))),ISNUMBER(MATCH(CB178,{"123","1234","12345","123456","1234567","12345678","0123","01234","012345","98765","987654","54321"},0)),AND(LEN(CB178)=8,LEFT(CB178,3)="202"))),OR(AND((LEN(CA178)-LEN(SUBSTITUTE(CA178,"a","")))&gt;=1,SUMPRODUCT(--ISNUMBER(SEARCH({"a0","a-0","a_0","a/0","a.0","a#0","0a","0-a","0_a","0/a"},BP178)))&gt;0),ISNUMBER(SEARCH("000000",BP178)))),1,0),0)</f>
        <v>0</v>
      </c>
      <c r="BR178" s="61" t="n">
        <f aca="false">IFERROR(LEN(SUBSTITUTE(CC178," ",""))-SUMPRODUCT((LEN(CC178)-LEN(SUBSTITUTE(CC178," "&amp;L_Role&amp;" "," ")))/(LEN(L_Role)+1)*LEN(L_Role)),0)</f>
        <v>0</v>
      </c>
      <c r="BS178" s="61" t="n">
        <f aca="false">IFERROR(LEN(SUBSTITUTE(CD178," ",""))-SUMPRODUCT((LEN(CD178)-LEN(SUBSTITUTE(CD178," "&amp;L_Role&amp;" "," ")))/(LEN(L_Role)+1)*LEN(L_Role)),0)</f>
        <v>0</v>
      </c>
      <c r="BT1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178,"revision",""),"version",""),"jan",""),"feb",""),"mar",""),"apr",""),"may",""),"jun",""),"jul",""),"aug",""),"sep",""),"oct",""),"nov",""),"dec",""),"utc",""),"gmt",""),"myt",""),"bst",""),"rev",""),"ver",""),"b","a"),"c","a"),"d","a"),"e","a"),"f","a"),"g","a"),"h","a"),"i","a"),"j","a"),"k","a"),"l","a"),"m","a"),"n","a"),"o","a"),"p","a"),"q","a"),"r","a"),"s","a"),"t","a"),"u","a"),"v","a"),"w","a"),"x","a"),"y","a"),"z","a")</f>
        <v/>
      </c>
      <c r="BU178" s="61" t="str">
        <f aca="false">SUBSTITUTE(SUBSTITUTE(SUBSTITUTE(SUBSTITUTE(SUBSTITUTE(SUBSTITUTE(SUBSTITUTE(SUBSTITUTE(SUBSTITUTE(SUBSTITUTE(LEFT(BM178,FIND("0",BM178&amp;"0")-1),"-",""),"_",""),"/",""),".",""),"#",""),"\\",""),":","")," ",""),"(",""),")","")</f>
        <v/>
      </c>
      <c r="BV178" s="61" t="n">
        <f aca="false">0</f>
        <v>0</v>
      </c>
      <c r="BW1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178&amp;""),"a",""),"b",""),"c",""),"d",""),"e",""),"f",""),"g",""),"h",""),"i",""),"j",""),"k",""),"l",""),"m",""),"n",""),"o",""),"p",""),"q",""),"r",""),"s",""),"t",""),"u",""),"v",""),"w",""),"x",""),"y",""),"z",""),"-",""),"_",""),"/",""),".",""),"#",""),"\\",""),":","")," ",""),"(",""),")","")</f>
        <v/>
      </c>
      <c r="BX178" s="61" t="str">
        <f aca="false">SUBSTITUTE(SUBSTITUTE(SUBSTITUTE(SUBSTITUTE(SUBSTITUTE(SUBSTITUTE(SUBSTITUTE(SUBSTITUTE(SUBSTITUTE(SUBSTITUTE(SUBSTITUTE(BM178,"0",""),"-",""),"_",""),"/",""),".",""),"#",""),"\\",""),":","")," ",""),"(",""),")","")</f>
        <v/>
      </c>
      <c r="BY178" s="62" t="n">
        <f aca="false">Q178-T12EarlyH/24</f>
        <v>46309.6388888889</v>
      </c>
      <c r="BZ178" s="61" t="n">
        <f aca="false">IFERROR(IF(IF(TRIM(S178)="Link / file path",AND(LEN(TRIM(Z178))&gt;=5,SUMPRODUCT(--ISNUMBER(SEARCH({"http","www.","\\",":\",".pdf",".jpg",".jpeg",".png",".heic",".xls",".doc",".msg",".eml",".ppt",".txt",".zip"},Z178)))&gt;0),AND(ISERROR(FIND(" ",TRIM(Z178))),NOT(OR(SUMPRODUCT(--ISNUMBER(FIND({",",";","&amp;","+"},Z178)))&gt;0,SUMPRODUCT(--ISNUMBER(SEARCH({"0/aa","0\\aa"},BN178)))&gt;0)),NOT(SUMPRODUCT(--ISNUMBER(SEARCH({"http","www.","\\",":\",".pdf",".jpg",".jpeg",".png",".heic",".xls",".doc",".msg",".eml",".ppt",".txt",".zip"},Z178)))&gt;0),NOT(LOWER(TRIM(Z178))=LOWER(Flights!$F$10)),ISNA(MATCH(BU178,{"mh","rev","revision","ver","version","v","r","a","b","seat","tray","row","gate","bay","stand","page","pg","item","line","no","cart","galley","flight","flt","table","box","bag","oven","etd","eta","std","sta","atd","ata","qty","pax","x","time","tel","ph","mob","day","wk","week","utc","gmt","myt","lt"},0)),NOT(OR(ISNUMBER(MATCH(LEFT(BN178,255),{"0000a","000a","00a","0000aa","000aa","00aa","0aa","0000aaa","000aaa","00a00","0a00","0000-0000","00:00","a00","a0","00.00.0000","00/00/0000","00-00-0000","0000-00-00","0000/00/00","0000.00.00","00.00.00","00/00/00","00-00-00","0.00.0000","0/00/0000","0-00-0000"},0)),ISNUMBER(MATCH(LEFT(BT178,255),{"0000a","000a","00a","0000aa","000aa","00aa","0aa","0000aaa","000aaa","00a00","0a00","0000-0000","00:00","a00","a0","00.00.0000","00/00/0000","00-00-0000","0000-00-00","0000/00/00","0000.00.00","00.00.00","00/00/00","00-00-00","0.00.0000","0/00/0000","0-00-0000"},0)))),NOT(OR(AND(BW178&lt;&gt;"",SUBSTITUTE(BW178,"0","")=""),AND(LEN(BW178)&gt;=4,BW178=REPT(LEFT(BW178),LEN(BW178))),ISNUMBER(MATCH(BW178,{"123","1234","12345","123456","1234567","12345678","0123","01234","012345","98765","987654","54321"},0)),ISNUMBER(MATCH(BX178,{"x","xx","xxx","xxxx","xxxxx","abc","abcd","nil","na","nan","test","tbc","tba","tbd","dummy","sample","example","eg","zz","zzz","none","null","xyz","qwe","asd","id","ref"},0)),AND(LEN(BW178)=8,BX178="",OR(LEFT(BW178,3)="202",ISNUMBER(MATCH(RIGHT(BW178,4),{"2025","2026","2027"},0)))))),OR(AND((LEN(BT178)-LEN(SUBSTITUTE(BT178,"a","")))&gt;=1,(LEN(BN178)-LEN(SUBSTITUTE(BN178,"0","")))&gt;=2,SUMPRODUCT(--ISNUMBER(SEARCH({"a0","a-0","a_0","a/0","a.0","a#0","0a","0-a","0_a","0/a"},BN178)))&gt;0),AND((LEN(BN178)-LEN(SUBSTITUTE(BN178,"a","")))=0,(LEN(BN178)-LEN(SUBSTITUTE(BN178,"0","")))&gt;=5)))),1,0),0)</f>
        <v>0</v>
      </c>
      <c r="CA1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178,"revision",""),"version",""),"jan",""),"feb",""),"mar",""),"apr",""),"may",""),"jun",""),"jul",""),"aug",""),"sep",""),"oct",""),"nov",""),"dec",""),"utc",""),"gmt",""),"myt",""),"bst",""),"rev",""),"ver",""),"b","a"),"c","a"),"d","a"),"e","a"),"f","a"),"g","a"),"h","a"),"i","a"),"j","a"),"k","a"),"l","a"),"m","a"),"n","a"),"o","a"),"p","a"),"q","a"),"r","a"),"s","a"),"t","a"),"u","a"),"v","a"),"w","a"),"x","a"),"y","a"),"z","a")</f>
        <v/>
      </c>
      <c r="CB1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178&amp;""),"a",""),"b",""),"c",""),"d",""),"e",""),"f",""),"g",""),"h",""),"i",""),"j",""),"k",""),"l",""),"m",""),"n",""),"o",""),"p",""),"q",""),"r",""),"s",""),"t",""),"u",""),"v",""),"w",""),"x",""),"y",""),"z",""),"-",""),"_",""),"/",""),".",""),"#",""),"\\",""),":","")," ",""),"(",""),")","")</f>
        <v/>
      </c>
      <c r="CC178" s="0" t="str">
        <f aca="false">" "&amp;TRIM(SUBSTITUTE(SUBSTITUTE(SUBSTITUTE(SUBSTITUTE(SUBSTITUTE(SUBSTITUTE(SUBSTITUTE(SUBSTITUTE(SUBSTITUTE(SUBSTITUTE(SUBSTITUTE(SUBSTITUTE(SUBSTITUTE(SUBSTITUTE(SUBSTITUTE(SUBSTITUTE(SUBSTITUTE(SUBSTITUTE(SUBSTITUTE(SUBSTITUTE(SUBSTITUTE(SUBSTITUTE(SUBSTITUTE(SUBSTITUTE(LOWER(T178&amp;""),CHAR(10)," "),CHAR(13)," "),CHAR(9)," "),CHAR(160)," "),"."," "),","," "),"-"," "),"/"," "),"("," "),")"," "),":"," "),";"," "),"_"," "),"–"," "),"?"," "),"!"," "),"*"," "),"["," "),"]"," "),"'"," "),"#"," "),"+"," "),"&amp;"," "),"\"," "))&amp;" "</f>
        <v>  </v>
      </c>
      <c r="CD178" s="0" t="str">
        <f aca="false">" "&amp;TRIM(SUBSTITUTE(SUBSTITUTE(SUBSTITUTE(SUBSTITUTE(SUBSTITUTE(SUBSTITUTE(SUBSTITUTE(SUBSTITUTE(SUBSTITUTE(SUBSTITUTE(SUBSTITUTE(SUBSTITUTE(SUBSTITUTE(SUBSTITUTE(SUBSTITUTE(SUBSTITUTE(SUBSTITUTE(SUBSTITUTE(SUBSTITUTE(SUBSTITUTE(SUBSTITUTE(SUBSTITUTE(SUBSTITUTE(SUBSTITUTE(LOWER(AE178&amp;""),CHAR(10)," "),CHAR(13)," "),CHAR(9)," "),CHAR(160)," "),"."," "),","," "),"-"," "),"/"," "),"("," "),")"," "),":"," "),";"," "),"_"," "),"–"," "),"?"," "),"!"," "),"*"," "),"["," "),"]"," "),"'"," "),"#"," "),"+"," "),"&amp;"," "),"\"," "))&amp;" "</f>
        <v>  </v>
      </c>
      <c r="CE178" s="68" t="n">
        <f aca="false">IFERROR(IF(AND(LEN(AU178)&gt;0,LEN(AU178)=LEN(AX178),OR(TRIM(MID(SUBSTITUTE(TRIM(CC178)," ",REPT(" ",60)),1,60))="",ISNUMBER(SEARCH(" "&amp;TRIM(MID(SUBSTITUTE(TRIM(CC178)," ",REPT(" ",60)),1,60))&amp;" ",CD178))),OR(TRIM(MID(SUBSTITUTE(TRIM(CC178)," ",REPT(" ",60)),61,60))="",ISNUMBER(SEARCH(" "&amp;TRIM(MID(SUBSTITUTE(TRIM(CC178)," ",REPT(" ",60)),61,60))&amp;" ",CD178))),OR(TRIM(MID(SUBSTITUTE(TRIM(CC178)," ",REPT(" ",60)),121,60))="",ISNUMBER(SEARCH(" "&amp;TRIM(MID(SUBSTITUTE(TRIM(CC178)," ",REPT(" ",60)),121,60))&amp;" ",CD178)))),1,0),0)</f>
        <v>0</v>
      </c>
      <c r="CG178" s="68" t="n">
        <f aca="false">IFERROR(LEN(SUBSTITUTE(BF178," ",""))-SUMPRODUCT((LEN(BF178)-LEN(SUBSTITUTE(BF178," "&amp;L_NAFiller&amp;" "," ")))/(LEN(L_NAFiller)+1)*LEN(L_NAFiller)),0)</f>
        <v>0</v>
      </c>
    </row>
    <row r="179" customFormat="false" ht="39.75" hidden="false" customHeight="true" outlineLevel="0" collapsed="false">
      <c r="A179" s="57" t="s">
        <v>721</v>
      </c>
      <c r="B179" s="57" t="s">
        <v>231</v>
      </c>
      <c r="C179" s="57" t="str">
        <f aca="false">Flights!$F$10</f>
        <v>MH0002</v>
      </c>
      <c r="D179" s="58" t="n">
        <f aca="false">Flights!$D$10</f>
        <v>46310</v>
      </c>
      <c r="E179" s="57" t="str">
        <f aca="false">Flights!$G$10&amp;"-"&amp;Flights!$H$10</f>
        <v>KUL-LHR</v>
      </c>
      <c r="F179" s="57" t="str">
        <f aca="false">Flights!$K$10</f>
        <v>BC</v>
      </c>
      <c r="G179" s="57" t="s">
        <v>420</v>
      </c>
      <c r="H179" s="57" t="s">
        <v>378</v>
      </c>
      <c r="I179" s="57" t="s">
        <v>428</v>
      </c>
      <c r="J179" s="57" t="s">
        <v>431</v>
      </c>
      <c r="K179" s="67"/>
      <c r="L179" s="67" t="s">
        <v>422</v>
      </c>
      <c r="M179" s="67"/>
      <c r="N179" s="67" t="s">
        <v>383</v>
      </c>
      <c r="O179" s="67" t="s">
        <v>423</v>
      </c>
      <c r="P179" s="57" t="s">
        <v>187</v>
      </c>
      <c r="Q179" s="59" t="n">
        <f aca="false">ROUND((Flights!$AE$10)*1440,0)/1440</f>
        <v>46310.1388888889</v>
      </c>
      <c r="R179" s="59" t="n">
        <f aca="false">Q179+(IF(AND(INDEX(TZ_DSTS,MATCH(P179,TZ_STN,0))&lt;&gt;"",Q179&gt;=INDEX(TZ_DSTS,MATCH(P179,TZ_STN,0)),Q179&lt;INDEX(TZ_DSTE,MATCH(P179,TZ_STN,0))),INDEX(TZ_DST,MATCH(P179,TZ_STN,0)),INDEX(TZ_STD,MATCH(P179,TZ_STN,0))))/24</f>
        <v>46310.4722222222</v>
      </c>
      <c r="S179" s="60"/>
      <c r="T179" s="60"/>
      <c r="U179" s="60"/>
      <c r="V179" s="60"/>
      <c r="W179" s="61"/>
      <c r="X179" s="60"/>
      <c r="Y179" s="60"/>
      <c r="Z179" s="60"/>
      <c r="AA179" s="60"/>
      <c r="AB179" s="60"/>
      <c r="AC179" s="60"/>
      <c r="AD179" s="66"/>
      <c r="AE179" s="60"/>
      <c r="AF179" s="61" t="str">
        <f aca="false">IF(AND(ISNUMBER(X179),ISNUMBER(Y179)),Y179-X179,"")</f>
        <v/>
      </c>
      <c r="AG179" s="62" t="str">
        <f aca="false">IF(ISNUMBER(AD179),AD179-(IF(AND(INDEX(TZ_DSTS,MATCH(P179,TZ_STN,0))&lt;&gt;"",(AD179-INDEX(TZ_STD,MATCH(P179,TZ_STN,0))/24)&gt;=INDEX(TZ_DSTS,MATCH(P179,TZ_STN,0)),(AD179-INDEX(TZ_STD,MATCH(P179,TZ_STN,0))/24)&lt;INDEX(TZ_DSTE,MATCH(P179,TZ_STN,0))),INDEX(TZ_DST,MATCH(P179,TZ_STN,0)),INDEX(TZ_STD,MATCH(P179,TZ_STN,0))))/24,"")</f>
        <v/>
      </c>
      <c r="AH179" s="65" t="str">
        <f aca="false">IFERROR(IF(N179="N/A – rule",IF(OR(TRIM(U179)="",TRIM(U179)="N/A",TRIM(U179)="Not started"),"N/A – RULE","INVALID – this check does not apply to this aircraft: clear the status (or correct the fleet on Flights)"),IF(TRIM(U179)="N/A",IF(AT179=0,"INVALID – N/A not permitted for this check",IF(AND(TRIM(AB179)&lt;&gt;"",TRIM(AB179)&lt;&gt;"Closed"),"INVALID – corrective action still open",IF(AND(NOT(OR(LEN(AZ179)&lt;15,ISNUMBER(MATCH(AZ179,L_Placeholder,0)))),BK179=0,CG179&gt;=8,NOT(OR(LEN(AU179)&lt;2,ISNUMBER(MATCH(AU179,L_Placeholder,0)))),BR179&gt;=3,NOT(OR(LEN(AX179)&lt;2,ISNUMBER(MATCH(AX179,L_Placeholder,0)))),BS179&gt;=3,TRIM(AE179)&lt;&gt;TRIM(T179),AX179&lt;&gt;AU179,CE179=0),"N/A – JUSTIFIED","INVALID – N/A needs a real, settled reason (not 'not applicable' / 'as above' / TBC), a named PIC and a different named verifier"))),IF(OR(TRIM(U179)="Pass",TRIM(U179)="Pass after CA"),IF(NOT(ISNUMBER(AD179)),"INVALID – completion time missing",IF(OR(OR(LEN(AU179)&lt;2,ISNUMBER(MATCH(AU179,L_Placeholder,0))),BR179&lt;3),"INVALID – PIC missing or not a named person (a role such as QA / CSM is not a name)",IF(OR(LEN(AV179)&lt;2,ISNUMBER(MATCH(AV179,L_Placeholder,0))),"INVALID – result / assessment missing",IF(OR(OR(LEN(AW179)&lt;3,ISNUMBER(MATCH(AW179,L_Placeholder,0))),SUMPRODUCT(--ISNUMBER(SEARCH(" "&amp;L_EvidencePhrase&amp;" ",BD179)))&gt;0,BI179=1),"INVALID – evidence missing, placeholder or not yet on file",IF(ISNA(MATCH(TRIM(S179),L_EvidenceType,0)),"INVALID – choose the evidence type from the list (column S)",IF(BL179=0,"INVALID – evidence ID must be the record's own ID only (e.g. SF-2210, IMG_2231, 1045521); a link / file name needs type 'Link / file path'",IF(OR(OR(LEN(AX179)&lt;2,ISNUMBER(MATCH(AX179,L_Placeholder,0))),BS179&lt;3),"INVALID – verifier missing or not a named person (a role such as QA / CSM is not a name)",IF(OR(AX179=AU179,CE179=1,AND(LEN(AU179)&gt;=4,ISNUMBER(SEARCH(AU179,AX179))),AND(LEN(AX179)&gt;=4,ISNUMBER(SEARCH(AX179,AU179)))),"INVALID – verifier must be a different, named person (not the PIC or a role)",IF(BH179=1,"INVALID – result not yet available (awaiting / TBC)",IF(BG179=1,"INVALID – result describes a problem: record Fail, then Pass after CA (or reword if it is not a problem)",IF(BV179=1,"INVALID – wording says not on board: an on-board confirmation needs the item loaded",IF(AND(AQ179=1,OR(OR(LEN(AY179)&lt;3,ISNUMBER(MATCH(AY179,L_Placeholder,0))),BJ179=1,BQ179=0)),"INVALID – batch ID missing, placeholder or not an ID (e.g. PASB-261008-BC-017)",IF(AND(AR179=1,OR(NOT(ISNUMBER(X179)),NOT(ISNUMBER(Y179)))),"INVALID – expected/actual qty missing",IF(AND(AR179=1,OR(X179&lt;=0,Y179&lt;0)),"INVALID – expected qty must be above 0 and actual not negative",IF(BB179&lt;&gt;"",BB179,IF(AND(AS179=1,Documents!$J$10&lt;&gt;"ON FILE"),"INVALID – GLD not on file (Documents sheet)",IF(AND(AS179=2,Documents!$O$10&lt;&gt;"ON FILE"),"INVALID – menu checklist not on file (Documents sheet)",IF(AND(AS179=3,NOT(ISNUMBER(Flights!$AX$10))),"INVALID – enter carrying flight KUL departure (Flights AX)",IF(AND(AS179=3,OR(Flights!$AZ$10&gt;Flights!$AA$10,Flights!$AX$10&lt;Flights!$AA$10-3)),"INVALID – carrying flight (Flights AX) cannot arrive before this leg's STD, or is over 3 days early",IF(AG179&gt;AsOfUTC,"INVALID – completion time is in the future",IF(AND(ISNUMBER(BY179),AG179&lt;BY179),IF(H179="Physical uplift","INVALID – before uplift window (cannot confirm loading)","INVALID – before valid window"),IF(AG179&gt;Flights!$AA$10,"INVALID – completed after departure (cannot establish readiness)",IF(AND(H179="Preparation",AG179&gt;=IF(ISNUMBER(Flights!$BA$10),MIN(Flights!$BA$10,Flights!$AA$10),Flights!$AA$10)),"INVALID – completed after loading / departure (cannot establish readiness)",IF(AND(H179="Physical uplift",AG179&gt;Q179),"INVALID – recorded after the loading flight departed",IF(AG179&gt;Q179,"COMPLETE – LATE","COMPLETE"))))))))))))))))))))))))),IF(TRIM(U179)="Fail","FAIL – DISCREPANCY",IF(AND(TRIM(U179)&lt;&gt;"",TRIM(U179)&lt;&gt;"Not started",TRIM(U179)&lt;&gt;"In progress"),"INVALID – unrecognised status (use the list)",IF(AsOfUTC&gt;Q179,"OVERDUE",IF(N179="Clarification required","OPEN – CLARIFICATION","OPEN"))))))),"INVALID – error value in an input cell")</f>
        <v>OPEN</v>
      </c>
      <c r="AI179" s="61" t="n">
        <f aca="false">IF(OR(AH179="N/A – RULE",AH179="N/A – JUSTIFIED"),0,1)</f>
        <v>1</v>
      </c>
      <c r="AJ179" s="61" t="n">
        <f aca="false">IF(LEFT(AH179,8)="COMPLETE",1,0)</f>
        <v>0</v>
      </c>
      <c r="AK179" s="61" t="n">
        <f aca="false">IF(AND(AI179=1,AJ179=0,AsOfUTC&gt;Q179),1,0)</f>
        <v>0</v>
      </c>
      <c r="AL179" s="61" t="n">
        <f aca="false">IFERROR(IF(AND(AI179=1,OR(TRIM(U179)="Fail",AND(TRIM(AB179)&lt;&gt;"",TRIM(AB179)&lt;&gt;"Closed"),AND(ISNUMBER(AF179),AF179&lt;&gt;0,TRIM(U179)&lt;&gt;"Pass after CA"))),1,0),1)</f>
        <v>0</v>
      </c>
      <c r="AM179" s="61" t="n">
        <f aca="false">IF(LEFT(AH179,7)="INVALID",1,0)</f>
        <v>0</v>
      </c>
      <c r="AN179" s="61" t="n">
        <f aca="false">IF(AND(N179="Clarification required",AI179=1,AJ179=0),1,0)</f>
        <v>0</v>
      </c>
      <c r="AO179" s="61" t="str">
        <f aca="false">IF(AK179=1,SUM(AK$5:AK179),"")</f>
        <v/>
      </c>
      <c r="AP179" s="61" t="str">
        <f aca="false">IF(AL179=1,SUM(AL$5:AL179),"")</f>
        <v/>
      </c>
      <c r="AQ179" s="61" t="n">
        <v>0</v>
      </c>
      <c r="AR179" s="61" t="n">
        <v>0</v>
      </c>
      <c r="AS179" s="61" t="n">
        <v>0</v>
      </c>
      <c r="AT179" s="61" t="n">
        <v>0</v>
      </c>
      <c r="AU179" s="61" t="str">
        <f aca="false">SUBSTITUTE(SUBSTITUTE(SUBSTITUTE(SUBSTITUTE(SUBSTITUTE(SUBSTITUTE(SUBSTITUTE(SUBSTITUTE(SUBSTITUTE(SUBSTITUTE(SUBSTITUTE(SUBSTITUTE(SUBSTITUTE(SUBSTITUTE(SUBSTITUTE(SUBSTITUTE(LOWER(T179&amp;""),CHAR(10),""),CHAR(13),""),CHAR(9),""),CHAR(160),"")," ",""),".",""),"-",""),"/",""),"?",""),"_",""),",",""),"[",""),"]",""),"(",""),")",""),"*","")</f>
        <v/>
      </c>
      <c r="AV179" s="61" t="str">
        <f aca="false">SUBSTITUTE(SUBSTITUTE(SUBSTITUTE(SUBSTITUTE(SUBSTITUTE(SUBSTITUTE(SUBSTITUTE(SUBSTITUTE(SUBSTITUTE(SUBSTITUTE(SUBSTITUTE(SUBSTITUTE(SUBSTITUTE(SUBSTITUTE(SUBSTITUTE(SUBSTITUTE(LOWER(V179&amp;""),CHAR(10),""),CHAR(13),""),CHAR(9),""),CHAR(160),"")," ",""),".",""),"-",""),"/",""),"?",""),"_",""),",",""),"[",""),"]",""),"(",""),")",""),"*","")</f>
        <v/>
      </c>
      <c r="AW179" s="61" t="str">
        <f aca="false">SUBSTITUTE(SUBSTITUTE(SUBSTITUTE(SUBSTITUTE(SUBSTITUTE(SUBSTITUTE(SUBSTITUTE(SUBSTITUTE(SUBSTITUTE(SUBSTITUTE(SUBSTITUTE(SUBSTITUTE(SUBSTITUTE(SUBSTITUTE(SUBSTITUTE(SUBSTITUTE(LOWER(Z179&amp;""),CHAR(10),""),CHAR(13),""),CHAR(9),""),CHAR(160),"")," ",""),".",""),"-",""),"/",""),"?",""),"_",""),",",""),"[",""),"]",""),"(",""),")",""),"*","")</f>
        <v/>
      </c>
      <c r="AX179" s="61" t="str">
        <f aca="false">SUBSTITUTE(SUBSTITUTE(SUBSTITUTE(SUBSTITUTE(SUBSTITUTE(SUBSTITUTE(SUBSTITUTE(SUBSTITUTE(SUBSTITUTE(SUBSTITUTE(SUBSTITUTE(SUBSTITUTE(SUBSTITUTE(SUBSTITUTE(SUBSTITUTE(SUBSTITUTE(LOWER(AE179&amp;""),CHAR(10),""),CHAR(13),""),CHAR(9),""),CHAR(160),"")," ",""),".",""),"-",""),"/",""),"?",""),"_",""),",",""),"[",""),"]",""),"(",""),")",""),"*","")</f>
        <v/>
      </c>
      <c r="AY179" s="61" t="str">
        <f aca="false">SUBSTITUTE(SUBSTITUTE(SUBSTITUTE(SUBSTITUTE(SUBSTITUTE(SUBSTITUTE(SUBSTITUTE(SUBSTITUTE(SUBSTITUTE(SUBSTITUTE(SUBSTITUTE(SUBSTITUTE(SUBSTITUTE(SUBSTITUTE(SUBSTITUTE(SUBSTITUTE(LOWER(W179&amp;""),CHAR(10),""),CHAR(13),""),CHAR(9),""),CHAR(160),"")," ",""),".",""),"-",""),"/",""),"?",""),"_",""),",",""),"[",""),"]",""),"(",""),")",""),"*","")</f>
        <v/>
      </c>
      <c r="AZ179" s="61" t="str">
        <f aca="false">SUBSTITUTE(SUBSTITUTE(SUBSTITUTE(SUBSTITUTE(SUBSTITUTE(SUBSTITUTE(SUBSTITUTE(SUBSTITUTE(SUBSTITUTE(SUBSTITUTE(SUBSTITUTE(SUBSTITUTE(SUBSTITUTE(SUBSTITUTE(SUBSTITUTE(SUBSTITUTE(LOWER(AC179&amp;""),CHAR(10),""),CHAR(13),""),CHAR(9),""),CHAR(160),"")," ",""),".",""),"-",""),"/",""),"?",""),"_",""),",",""),"[",""),"]",""),"(",""),")",""),"*","")</f>
        <v/>
      </c>
      <c r="BA179" s="61" t="str">
        <f aca="false">SUBSTITUTE(SUBSTITUTE(SUBSTITUTE(SUBSTITUTE(SUBSTITUTE(SUBSTITUTE(SUBSTITUTE(SUBSTITUTE(SUBSTITUTE(SUBSTITUTE(SUBSTITUTE(SUBSTITUTE(SUBSTITUTE(SUBSTITUTE(SUBSTITUTE(SUBSTITUTE(LOWER(AA179&amp;""),CHAR(10),""),CHAR(13),""),CHAR(9),""),CHAR(160),"")," ",""),".",""),"-",""),"/",""),"?",""),"_",""),",",""),"[",""),"]",""),"(",""),")",""),"*","")</f>
        <v/>
      </c>
      <c r="BB179" s="61" t="str">
        <f aca="false">IF(AND(TRIM(U179)="Pass",ISNUMBER(AF179)),IF(AF179&lt;&gt;0,"INVALID – qty variance: use Fail or Pass after CA",""),"")&amp;IF(AND(TRIM(U179)="Pass after CA",ISNUMBER(AF179)),IF(AF179&lt;&gt;0,"INVALID – after the corrective action the actual qty must equal expected (update Actual)",""),"")&amp;IF(AND(TRIM(U179)="Pass",TRIM(AB179)&lt;&gt;"",TRIM(AB179)&lt;&gt;"Closed"),"INVALID – corrective action not closed: use Fail, then Pass after CA","")&amp;IF(AND(LEN(BA179)&gt;=2,ISNA(MATCH(LEFT(BA179,255),L_Placeholder,0)),TRIM(AB179)=""),"INVALID – CA status missing for the recorded corrective action","")&amp;IF(AND(TRIM(U179)="Pass after CA",OR(OR(LEN(BA179)&lt;5,ISNUMBER(MATCH(BA179,L_Placeholder,0))),TRIM(AB179)&lt;&gt;"Closed")),"INVALID – corrective action not recorded/closed","")</f>
        <v/>
      </c>
      <c r="BC179" s="61" t="str">
        <f aca="false">" "&amp;TRIM(SUBSTITUTE(SUBSTITUTE(SUBSTITUTE(SUBSTITUTE(SUBSTITUTE(SUBSTITUTE(SUBSTITUTE(SUBSTITUTE(SUBSTITUTE(SUBSTITUTE(SUBSTITUTE(SUBSTITUTE(SUBSTITUTE(SUBSTITUTE(SUBSTITUTE(SUBSTITUTE(SUBSTITUTE(SUBSTITUTE(SUBSTITUTE(SUBSTITUTE(SUBSTITUTE(SUBSTITUTE(SUBSTITUTE(SUBSTITUTE(LOWER(V179&amp;""),CHAR(10)," "),CHAR(13)," "),CHAR(9)," "),CHAR(160)," "),"."," "),","," "),"-"," "),"/"," "),"("," "),")"," "),":"," "),";"," "),"_"," "),"–"," "),"?"," "),"!"," "),"*"," "),"["," "),"]"," "),"'"," "),"#"," "),"+"," "),"&amp;"," "),"\"," "))&amp;" "</f>
        <v>  </v>
      </c>
      <c r="BD179" s="61" t="str">
        <f aca="false">" "&amp;TRIM(SUBSTITUTE(SUBSTITUTE(SUBSTITUTE(SUBSTITUTE(SUBSTITUTE(SUBSTITUTE(SUBSTITUTE(SUBSTITUTE(SUBSTITUTE(SUBSTITUTE(SUBSTITUTE(SUBSTITUTE(SUBSTITUTE(SUBSTITUTE(SUBSTITUTE(SUBSTITUTE(SUBSTITUTE(SUBSTITUTE(SUBSTITUTE(SUBSTITUTE(SUBSTITUTE(SUBSTITUTE(SUBSTITUTE(SUBSTITUTE(LOWER(Z179&amp;""),CHAR(10)," "),CHAR(13)," "),CHAR(9)," "),CHAR(160)," "),"."," "),","," "),"-"," "),"/"," "),"("," "),")"," "),":"," "),";"," "),"_"," "),"–"," "),"?"," "),"!"," "),"*"," "),"["," "),"]"," "),"'"," "),"#"," "),"+"," "),"&amp;"," "),"\"," "))&amp;" "</f>
        <v>  </v>
      </c>
      <c r="BE179" s="61" t="str">
        <f aca="false">" "&amp;TRIM(SUBSTITUTE(SUBSTITUTE(SUBSTITUTE(SUBSTITUTE(SUBSTITUTE(SUBSTITUTE(SUBSTITUTE(SUBSTITUTE(SUBSTITUTE(SUBSTITUTE(SUBSTITUTE(SUBSTITUTE(SUBSTITUTE(SUBSTITUTE(SUBSTITUTE(SUBSTITUTE(SUBSTITUTE(SUBSTITUTE(SUBSTITUTE(SUBSTITUTE(SUBSTITUTE(SUBSTITUTE(SUBSTITUTE(SUBSTITUTE(LOWER(W179&amp;""),CHAR(10)," "),CHAR(13)," "),CHAR(9)," "),CHAR(160)," "),"."," "),","," "),"-"," "),"/"," "),"("," "),")"," "),":"," "),";"," "),"_"," "),"–"," "),"?"," "),"!"," "),"*"," "),"["," "),"]"," "),"'"," "),"#"," "),"+"," "),"&amp;"," "),"\"," "))&amp;" "</f>
        <v>  </v>
      </c>
      <c r="BF179" s="61" t="str">
        <f aca="false">" "&amp;TRIM(SUBSTITUTE(SUBSTITUTE(SUBSTITUTE(SUBSTITUTE(SUBSTITUTE(SUBSTITUTE(SUBSTITUTE(SUBSTITUTE(SUBSTITUTE(SUBSTITUTE(SUBSTITUTE(SUBSTITUTE(SUBSTITUTE(SUBSTITUTE(SUBSTITUTE(SUBSTITUTE(SUBSTITUTE(SUBSTITUTE(SUBSTITUTE(SUBSTITUTE(SUBSTITUTE(SUBSTITUTE(SUBSTITUTE(SUBSTITUTE(LOWER(AC179&amp;""),CHAR(10)," "),CHAR(13)," "),CHAR(9)," "),CHAR(160)," "),"."," "),","," "),"-"," "),"/"," "),"("," "),")"," "),":"," "),";"," "),"_"," "),"–"," "),"?"," "),"!"," "),"*"," "),"["," "),"]"," "),"'"," "),"#"," "),"+"," "),"&amp;"," "),"\"," "))&amp;" "</f>
        <v>  </v>
      </c>
      <c r="BG179" s="61" t="n">
        <f aca="false">IFERROR(IF(AND(TRIM(U179)="Pass",SUMPRODUCT((LEN(BC179)-LEN(SUBSTITUTE(BC179," "&amp;L_ResultBad&amp;" "," ")))/(LEN(L_ResultBad)+1))&gt;SUMPRODUCT((LEN(BC179)-LEN(SUBSTITUTE(BC179," "&amp;L_NegPhrase&amp;" "," ")))/(LEN(L_NegPhrase)+1))),1,0),0)</f>
        <v>0</v>
      </c>
      <c r="BH179" s="61" t="n">
        <f aca="false">IFERROR(IF(SUMPRODUCT((LEN(BC179)-LEN(SUBSTITUTE(BC179," "&amp;L_Pending&amp;" "," ")))/(LEN(L_Pending)+1))&gt;SUMPRODUCT((LEN(BC179)-LEN(SUBSTITUTE(BC179," "&amp;L_PendNeg&amp;" "," ")))/(LEN(L_PendNeg)+1))+SUMPRODUCT((LEN(BC179)-LEN(SUBSTITUTE(BC179," "&amp;L_PendPrep&amp;" "," ")))/(LEN(L_PendPrep)+1)),1,0),1)</f>
        <v>0</v>
      </c>
      <c r="BI179" s="61" t="n">
        <f aca="false">IFERROR(IF(SUMPRODUCT((LEN(BD179)-LEN(SUBSTITUTE(BD179," "&amp;L_PendStrict&amp;" "," ")))/(LEN(L_PendStrict)+1))&gt;SUMPRODUCT((LEN(BD179)-LEN(SUBSTITUTE(BD179," "&amp;L_PendNeg&amp;" "," ")))/(LEN(L_PendNeg)+1)),1,0),1)</f>
        <v>0</v>
      </c>
      <c r="BJ179" s="61" t="n">
        <f aca="false">IFERROR(IF(SUMPRODUCT((LEN(BE179)-LEN(SUBSTITUTE(BE179," "&amp;L_Pending&amp;" "," ")))/(LEN(L_Pending)+1))&gt;SUMPRODUCT((LEN(BE179)-LEN(SUBSTITUTE(BE179," "&amp;L_PendNeg&amp;" "," ")))/(LEN(L_PendNeg)+1))+SUMPRODUCT((LEN(BE179)-LEN(SUBSTITUTE(BE179," "&amp;L_PendPrep&amp;" "," ")))/(LEN(L_PendPrep)+1)),1,0),1)</f>
        <v>0</v>
      </c>
      <c r="BK179" s="61" t="n">
        <f aca="false">IFERROR(IF(SUMPRODUCT((LEN(BF179)-LEN(SUBSTITUTE(BF179," "&amp;L_PendStrict&amp;" "," ")))/(LEN(L_PendStrict)+1))&gt;SUMPRODUCT((LEN(BF179)-LEN(SUBSTITUTE(BF179," "&amp;L_PendNeg&amp;" "," ")))/(LEN(L_PendNeg)+1)),1,0),1)</f>
        <v>0</v>
      </c>
      <c r="BL179" s="61" t="n">
        <f aca="false">IF(ISNA(MATCH(TRIM(S179),L_EvidenceType,0)),0,BZ179)</f>
        <v>0</v>
      </c>
      <c r="BM179" s="61" t="str">
        <f aca="false">SUBSTITUTE(SUBSTITUTE(SUBSTITUTE(SUBSTITUTE(SUBSTITUTE(SUBSTITUTE(SUBSTITUTE(SUBSTITUTE(SUBSTITUTE(LOWER(Z179&amp;""),"1","0"),"2","0"),"3","0"),"4","0"),"5","0"),"6","0"),"7","0"),"8","0"),"9","0")</f>
        <v/>
      </c>
      <c r="BN179" s="61" t="str">
        <f aca="false">SUBSTITUTE(SUBSTITUTE(SUBSTITUTE(SUBSTITUTE(SUBSTITUTE(SUBSTITUTE(SUBSTITUTE(SUBSTITUTE(SUBSTITUTE(SUBSTITUTE(SUBSTITUTE(SUBSTITUTE(SUBSTITUTE(SUBSTITUTE(SUBSTITUTE(SUBSTITUTE(SUBSTITUTE(SUBSTITUTE(SUBSTITUTE(SUBSTITUTE(SUBSTITUTE(SUBSTITUTE(SUBSTITUTE(SUBSTITUTE(SUBSTITUTE(BM179,"b","a"),"c","a"),"d","a"),"e","a"),"f","a"),"g","a"),"h","a"),"i","a"),"j","a"),"k","a"),"l","a"),"m","a"),"n","a"),"o","a"),"p","a"),"q","a"),"r","a"),"s","a"),"t","a"),"u","a"),"v","a"),"w","a"),"x","a"),"y","a"),"z","a")</f>
        <v/>
      </c>
      <c r="BO179" s="61" t="str">
        <f aca="false">SUBSTITUTE(SUBSTITUTE(SUBSTITUTE(SUBSTITUTE(SUBSTITUTE(SUBSTITUTE(SUBSTITUTE(SUBSTITUTE(SUBSTITUTE(LOWER(W179&amp;""),"1","0"),"2","0"),"3","0"),"4","0"),"5","0"),"6","0"),"7","0"),"8","0"),"9","0")</f>
        <v/>
      </c>
      <c r="BP179" s="61" t="str">
        <f aca="false">SUBSTITUTE(SUBSTITUTE(SUBSTITUTE(SUBSTITUTE(SUBSTITUTE(SUBSTITUTE(SUBSTITUTE(SUBSTITUTE(SUBSTITUTE(SUBSTITUTE(SUBSTITUTE(SUBSTITUTE(SUBSTITUTE(SUBSTITUTE(SUBSTITUTE(SUBSTITUTE(SUBSTITUTE(SUBSTITUTE(SUBSTITUTE(SUBSTITUTE(SUBSTITUTE(SUBSTITUTE(SUBSTITUTE(SUBSTITUTE(SUBSTITUTE(BO179,"b","a"),"c","a"),"d","a"),"e","a"),"f","a"),"g","a"),"h","a"),"i","a"),"j","a"),"k","a"),"l","a"),"m","a"),"n","a"),"o","a"),"p","a"),"q","a"),"r","a"),"s","a"),"t","a"),"u","a"),"v","a"),"w","a"),"x","a"),"y","a"),"z","a")</f>
        <v/>
      </c>
      <c r="BQ179" s="61" t="n">
        <f aca="false">IFERROR(IF(AND(ISERROR(SEARCH(" mh"," "&amp;LOWER(W179))),ISNA(MATCH(LEFT(TRIM(BP179),255),{"0000a","000a","00a","0000aa","000aa","00aa","0aa","0000aaa","000aaa","00a00","0a00","0000-0000","00:00","a00","a0","00.00.0000","00/00/0000","00-00-0000","0000-00-00","0000/00/00","0000.00.00","00.00.00","00/00/00","00-00-00","0.00.0000","0/00/0000","0-00-0000"},0)),ISNA(MATCH(LEFT(TRIM(CA179),255),{"0000a","000a","00a","0000aa","000aa","00aa","0aa","0000aaa","000aaa","00a00","0a00","0000-0000","00:00","a00","a0","00.00.0000","00/00/0000","00-00-0000","0000-00-00","0000/00/00","0000.00.00","00.00.00","00/00/00","00-00-00","0.00.0000","0/00/0000","0-00-0000"},0)),LEN(CB179)&gt;=3,NOT(OR(SUBSTITUTE(CB179,"0","")="",AND(LEN(CB179)&gt;=4,CB179=REPT(LEFT(CB179),LEN(CB179))),ISNUMBER(MATCH(CB179,{"123","1234","12345","123456","1234567","12345678","0123","01234","012345","98765","987654","54321"},0)),AND(LEN(CB179)=8,LEFT(CB179,3)="202"))),OR(AND((LEN(CA179)-LEN(SUBSTITUTE(CA179,"a","")))&gt;=1,SUMPRODUCT(--ISNUMBER(SEARCH({"a0","a-0","a_0","a/0","a.0","a#0","0a","0-a","0_a","0/a"},BP179)))&gt;0),ISNUMBER(SEARCH("000000",BP179)))),1,0),0)</f>
        <v>0</v>
      </c>
      <c r="BR179" s="61" t="n">
        <f aca="false">IFERROR(LEN(SUBSTITUTE(CC179," ",""))-SUMPRODUCT((LEN(CC179)-LEN(SUBSTITUTE(CC179," "&amp;L_Role&amp;" "," ")))/(LEN(L_Role)+1)*LEN(L_Role)),0)</f>
        <v>0</v>
      </c>
      <c r="BS179" s="61" t="n">
        <f aca="false">IFERROR(LEN(SUBSTITUTE(CD179," ",""))-SUMPRODUCT((LEN(CD179)-LEN(SUBSTITUTE(CD179," "&amp;L_Role&amp;" "," ")))/(LEN(L_Role)+1)*LEN(L_Role)),0)</f>
        <v>0</v>
      </c>
      <c r="BT1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179,"revision",""),"version",""),"jan",""),"feb",""),"mar",""),"apr",""),"may",""),"jun",""),"jul",""),"aug",""),"sep",""),"oct",""),"nov",""),"dec",""),"utc",""),"gmt",""),"myt",""),"bst",""),"rev",""),"ver",""),"b","a"),"c","a"),"d","a"),"e","a"),"f","a"),"g","a"),"h","a"),"i","a"),"j","a"),"k","a"),"l","a"),"m","a"),"n","a"),"o","a"),"p","a"),"q","a"),"r","a"),"s","a"),"t","a"),"u","a"),"v","a"),"w","a"),"x","a"),"y","a"),"z","a")</f>
        <v/>
      </c>
      <c r="BU179" s="61" t="str">
        <f aca="false">SUBSTITUTE(SUBSTITUTE(SUBSTITUTE(SUBSTITUTE(SUBSTITUTE(SUBSTITUTE(SUBSTITUTE(SUBSTITUTE(SUBSTITUTE(SUBSTITUTE(LEFT(BM179,FIND("0",BM179&amp;"0")-1),"-",""),"_",""),"/",""),".",""),"#",""),"\\",""),":","")," ",""),"(",""),")","")</f>
        <v/>
      </c>
      <c r="BV179" s="61" t="n">
        <f aca="false">0</f>
        <v>0</v>
      </c>
      <c r="BW1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179&amp;""),"a",""),"b",""),"c",""),"d",""),"e",""),"f",""),"g",""),"h",""),"i",""),"j",""),"k",""),"l",""),"m",""),"n",""),"o",""),"p",""),"q",""),"r",""),"s",""),"t",""),"u",""),"v",""),"w",""),"x",""),"y",""),"z",""),"-",""),"_",""),"/",""),".",""),"#",""),"\\",""),":","")," ",""),"(",""),")","")</f>
        <v/>
      </c>
      <c r="BX179" s="61" t="str">
        <f aca="false">SUBSTITUTE(SUBSTITUTE(SUBSTITUTE(SUBSTITUTE(SUBSTITUTE(SUBSTITUTE(SUBSTITUTE(SUBSTITUTE(SUBSTITUTE(SUBSTITUTE(SUBSTITUTE(BM179,"0",""),"-",""),"_",""),"/",""),".",""),"#",""),"\\",""),":","")," ",""),"(",""),")","")</f>
        <v/>
      </c>
      <c r="BY179" s="62" t="n">
        <f aca="false">Q179-T12EarlyH/24</f>
        <v>46309.6388888889</v>
      </c>
      <c r="BZ179" s="61" t="n">
        <f aca="false">IFERROR(IF(IF(TRIM(S179)="Link / file path",AND(LEN(TRIM(Z179))&gt;=5,SUMPRODUCT(--ISNUMBER(SEARCH({"http","www.","\\",":\",".pdf",".jpg",".jpeg",".png",".heic",".xls",".doc",".msg",".eml",".ppt",".txt",".zip"},Z179)))&gt;0),AND(ISERROR(FIND(" ",TRIM(Z179))),NOT(OR(SUMPRODUCT(--ISNUMBER(FIND({",",";","&amp;","+"},Z179)))&gt;0,SUMPRODUCT(--ISNUMBER(SEARCH({"0/aa","0\\aa"},BN179)))&gt;0)),NOT(SUMPRODUCT(--ISNUMBER(SEARCH({"http","www.","\\",":\",".pdf",".jpg",".jpeg",".png",".heic",".xls",".doc",".msg",".eml",".ppt",".txt",".zip"},Z179)))&gt;0),NOT(LOWER(TRIM(Z179))=LOWER(Flights!$F$10)),ISNA(MATCH(BU179,{"mh","rev","revision","ver","version","v","r","a","b","seat","tray","row","gate","bay","stand","page","pg","item","line","no","cart","galley","flight","flt","table","box","bag","oven","etd","eta","std","sta","atd","ata","qty","pax","x","time","tel","ph","mob","day","wk","week","utc","gmt","myt","lt"},0)),NOT(OR(ISNUMBER(MATCH(LEFT(BN179,255),{"0000a","000a","00a","0000aa","000aa","00aa","0aa","0000aaa","000aaa","00a00","0a00","0000-0000","00:00","a00","a0","00.00.0000","00/00/0000","00-00-0000","0000-00-00","0000/00/00","0000.00.00","00.00.00","00/00/00","00-00-00","0.00.0000","0/00/0000","0-00-0000"},0)),ISNUMBER(MATCH(LEFT(BT179,255),{"0000a","000a","00a","0000aa","000aa","00aa","0aa","0000aaa","000aaa","00a00","0a00","0000-0000","00:00","a00","a0","00.00.0000","00/00/0000","00-00-0000","0000-00-00","0000/00/00","0000.00.00","00.00.00","00/00/00","00-00-00","0.00.0000","0/00/0000","0-00-0000"},0)))),NOT(OR(AND(BW179&lt;&gt;"",SUBSTITUTE(BW179,"0","")=""),AND(LEN(BW179)&gt;=4,BW179=REPT(LEFT(BW179),LEN(BW179))),ISNUMBER(MATCH(BW179,{"123","1234","12345","123456","1234567","12345678","0123","01234","012345","98765","987654","54321"},0)),ISNUMBER(MATCH(BX179,{"x","xx","xxx","xxxx","xxxxx","abc","abcd","nil","na","nan","test","tbc","tba","tbd","dummy","sample","example","eg","zz","zzz","none","null","xyz","qwe","asd","id","ref"},0)),AND(LEN(BW179)=8,BX179="",OR(LEFT(BW179,3)="202",ISNUMBER(MATCH(RIGHT(BW179,4),{"2025","2026","2027"},0)))))),OR(AND((LEN(BT179)-LEN(SUBSTITUTE(BT179,"a","")))&gt;=1,(LEN(BN179)-LEN(SUBSTITUTE(BN179,"0","")))&gt;=2,SUMPRODUCT(--ISNUMBER(SEARCH({"a0","a-0","a_0","a/0","a.0","a#0","0a","0-a","0_a","0/a"},BN179)))&gt;0),AND((LEN(BN179)-LEN(SUBSTITUTE(BN179,"a","")))=0,(LEN(BN179)-LEN(SUBSTITUTE(BN179,"0","")))&gt;=5)))),1,0),0)</f>
        <v>0</v>
      </c>
      <c r="CA1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179,"revision",""),"version",""),"jan",""),"feb",""),"mar",""),"apr",""),"may",""),"jun",""),"jul",""),"aug",""),"sep",""),"oct",""),"nov",""),"dec",""),"utc",""),"gmt",""),"myt",""),"bst",""),"rev",""),"ver",""),"b","a"),"c","a"),"d","a"),"e","a"),"f","a"),"g","a"),"h","a"),"i","a"),"j","a"),"k","a"),"l","a"),"m","a"),"n","a"),"o","a"),"p","a"),"q","a"),"r","a"),"s","a"),"t","a"),"u","a"),"v","a"),"w","a"),"x","a"),"y","a"),"z","a")</f>
        <v/>
      </c>
      <c r="CB1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179&amp;""),"a",""),"b",""),"c",""),"d",""),"e",""),"f",""),"g",""),"h",""),"i",""),"j",""),"k",""),"l",""),"m",""),"n",""),"o",""),"p",""),"q",""),"r",""),"s",""),"t",""),"u",""),"v",""),"w",""),"x",""),"y",""),"z",""),"-",""),"_",""),"/",""),".",""),"#",""),"\\",""),":","")," ",""),"(",""),")","")</f>
        <v/>
      </c>
      <c r="CC179" s="0" t="str">
        <f aca="false">" "&amp;TRIM(SUBSTITUTE(SUBSTITUTE(SUBSTITUTE(SUBSTITUTE(SUBSTITUTE(SUBSTITUTE(SUBSTITUTE(SUBSTITUTE(SUBSTITUTE(SUBSTITUTE(SUBSTITUTE(SUBSTITUTE(SUBSTITUTE(SUBSTITUTE(SUBSTITUTE(SUBSTITUTE(SUBSTITUTE(SUBSTITUTE(SUBSTITUTE(SUBSTITUTE(SUBSTITUTE(SUBSTITUTE(SUBSTITUTE(SUBSTITUTE(LOWER(T179&amp;""),CHAR(10)," "),CHAR(13)," "),CHAR(9)," "),CHAR(160)," "),"."," "),","," "),"-"," "),"/"," "),"("," "),")"," "),":"," "),";"," "),"_"," "),"–"," "),"?"," "),"!"," "),"*"," "),"["," "),"]"," "),"'"," "),"#"," "),"+"," "),"&amp;"," "),"\"," "))&amp;" "</f>
        <v>  </v>
      </c>
      <c r="CD179" s="0" t="str">
        <f aca="false">" "&amp;TRIM(SUBSTITUTE(SUBSTITUTE(SUBSTITUTE(SUBSTITUTE(SUBSTITUTE(SUBSTITUTE(SUBSTITUTE(SUBSTITUTE(SUBSTITUTE(SUBSTITUTE(SUBSTITUTE(SUBSTITUTE(SUBSTITUTE(SUBSTITUTE(SUBSTITUTE(SUBSTITUTE(SUBSTITUTE(SUBSTITUTE(SUBSTITUTE(SUBSTITUTE(SUBSTITUTE(SUBSTITUTE(SUBSTITUTE(SUBSTITUTE(LOWER(AE179&amp;""),CHAR(10)," "),CHAR(13)," "),CHAR(9)," "),CHAR(160)," "),"."," "),","," "),"-"," "),"/"," "),"("," "),")"," "),":"," "),";"," "),"_"," "),"–"," "),"?"," "),"!"," "),"*"," "),"["," "),"]"," "),"'"," "),"#"," "),"+"," "),"&amp;"," "),"\"," "))&amp;" "</f>
        <v>  </v>
      </c>
      <c r="CE179" s="68" t="n">
        <f aca="false">IFERROR(IF(AND(LEN(AU179)&gt;0,LEN(AU179)=LEN(AX179),OR(TRIM(MID(SUBSTITUTE(TRIM(CC179)," ",REPT(" ",60)),1,60))="",ISNUMBER(SEARCH(" "&amp;TRIM(MID(SUBSTITUTE(TRIM(CC179)," ",REPT(" ",60)),1,60))&amp;" ",CD179))),OR(TRIM(MID(SUBSTITUTE(TRIM(CC179)," ",REPT(" ",60)),61,60))="",ISNUMBER(SEARCH(" "&amp;TRIM(MID(SUBSTITUTE(TRIM(CC179)," ",REPT(" ",60)),61,60))&amp;" ",CD179))),OR(TRIM(MID(SUBSTITUTE(TRIM(CC179)," ",REPT(" ",60)),121,60))="",ISNUMBER(SEARCH(" "&amp;TRIM(MID(SUBSTITUTE(TRIM(CC179)," ",REPT(" ",60)),121,60))&amp;" ",CD179)))),1,0),0)</f>
        <v>0</v>
      </c>
      <c r="CG179" s="68" t="n">
        <f aca="false">IFERROR(LEN(SUBSTITUTE(BF179," ",""))-SUMPRODUCT((LEN(BF179)-LEN(SUBSTITUTE(BF179," "&amp;L_NAFiller&amp;" "," ")))/(LEN(L_NAFiller)+1)*LEN(L_NAFiller)),0)</f>
        <v>0</v>
      </c>
    </row>
    <row r="180" customFormat="false" ht="39.75" hidden="false" customHeight="true" outlineLevel="0" collapsed="false">
      <c r="A180" s="57" t="s">
        <v>722</v>
      </c>
      <c r="B180" s="57" t="s">
        <v>231</v>
      </c>
      <c r="C180" s="57" t="str">
        <f aca="false">Flights!$F$10</f>
        <v>MH0002</v>
      </c>
      <c r="D180" s="58" t="n">
        <f aca="false">Flights!$D$10</f>
        <v>46310</v>
      </c>
      <c r="E180" s="57" t="str">
        <f aca="false">Flights!$G$10&amp;"-"&amp;Flights!$H$10</f>
        <v>KUL-LHR</v>
      </c>
      <c r="F180" s="57" t="str">
        <f aca="false">Flights!$K$10</f>
        <v>BC</v>
      </c>
      <c r="G180" s="57" t="s">
        <v>420</v>
      </c>
      <c r="H180" s="57" t="s">
        <v>378</v>
      </c>
      <c r="I180" s="57" t="s">
        <v>428</v>
      </c>
      <c r="J180" s="57" t="s">
        <v>433</v>
      </c>
      <c r="K180" s="67"/>
      <c r="L180" s="67" t="s">
        <v>422</v>
      </c>
      <c r="M180" s="67"/>
      <c r="N180" s="67" t="s">
        <v>383</v>
      </c>
      <c r="O180" s="67" t="s">
        <v>423</v>
      </c>
      <c r="P180" s="57" t="s">
        <v>187</v>
      </c>
      <c r="Q180" s="59" t="n">
        <f aca="false">ROUND((Flights!$AE$10)*1440,0)/1440</f>
        <v>46310.1388888889</v>
      </c>
      <c r="R180" s="59" t="n">
        <f aca="false">Q180+(IF(AND(INDEX(TZ_DSTS,MATCH(P180,TZ_STN,0))&lt;&gt;"",Q180&gt;=INDEX(TZ_DSTS,MATCH(P180,TZ_STN,0)),Q180&lt;INDEX(TZ_DSTE,MATCH(P180,TZ_STN,0))),INDEX(TZ_DST,MATCH(P180,TZ_STN,0)),INDEX(TZ_STD,MATCH(P180,TZ_STN,0))))/24</f>
        <v>46310.4722222222</v>
      </c>
      <c r="S180" s="60"/>
      <c r="T180" s="60"/>
      <c r="U180" s="60"/>
      <c r="V180" s="60"/>
      <c r="W180" s="61"/>
      <c r="X180" s="60"/>
      <c r="Y180" s="60"/>
      <c r="Z180" s="60"/>
      <c r="AA180" s="60"/>
      <c r="AB180" s="60"/>
      <c r="AC180" s="60"/>
      <c r="AD180" s="66"/>
      <c r="AE180" s="60"/>
      <c r="AF180" s="61" t="str">
        <f aca="false">IF(AND(ISNUMBER(X180),ISNUMBER(Y180)),Y180-X180,"")</f>
        <v/>
      </c>
      <c r="AG180" s="62" t="str">
        <f aca="false">IF(ISNUMBER(AD180),AD180-(IF(AND(INDEX(TZ_DSTS,MATCH(P180,TZ_STN,0))&lt;&gt;"",(AD180-INDEX(TZ_STD,MATCH(P180,TZ_STN,0))/24)&gt;=INDEX(TZ_DSTS,MATCH(P180,TZ_STN,0)),(AD180-INDEX(TZ_STD,MATCH(P180,TZ_STN,0))/24)&lt;INDEX(TZ_DSTE,MATCH(P180,TZ_STN,0))),INDEX(TZ_DST,MATCH(P180,TZ_STN,0)),INDEX(TZ_STD,MATCH(P180,TZ_STN,0))))/24,"")</f>
        <v/>
      </c>
      <c r="AH180" s="65" t="str">
        <f aca="false">IFERROR(IF(N180="N/A – rule",IF(OR(TRIM(U180)="",TRIM(U180)="N/A",TRIM(U180)="Not started"),"N/A – RULE","INVALID – this check does not apply to this aircraft: clear the status (or correct the fleet on Flights)"),IF(TRIM(U180)="N/A",IF(AT180=0,"INVALID – N/A not permitted for this check",IF(AND(TRIM(AB180)&lt;&gt;"",TRIM(AB180)&lt;&gt;"Closed"),"INVALID – corrective action still open",IF(AND(NOT(OR(LEN(AZ180)&lt;15,ISNUMBER(MATCH(AZ180,L_Placeholder,0)))),BK180=0,CG180&gt;=8,NOT(OR(LEN(AU180)&lt;2,ISNUMBER(MATCH(AU180,L_Placeholder,0)))),BR180&gt;=3,NOT(OR(LEN(AX180)&lt;2,ISNUMBER(MATCH(AX180,L_Placeholder,0)))),BS180&gt;=3,TRIM(AE180)&lt;&gt;TRIM(T180),AX180&lt;&gt;AU180,CE180=0),"N/A – JUSTIFIED","INVALID – N/A needs a real, settled reason (not 'not applicable' / 'as above' / TBC), a named PIC and a different named verifier"))),IF(OR(TRIM(U180)="Pass",TRIM(U180)="Pass after CA"),IF(NOT(ISNUMBER(AD180)),"INVALID – completion time missing",IF(OR(OR(LEN(AU180)&lt;2,ISNUMBER(MATCH(AU180,L_Placeholder,0))),BR180&lt;3),"INVALID – PIC missing or not a named person (a role such as QA / CSM is not a name)",IF(OR(LEN(AV180)&lt;2,ISNUMBER(MATCH(AV180,L_Placeholder,0))),"INVALID – result / assessment missing",IF(OR(OR(LEN(AW180)&lt;3,ISNUMBER(MATCH(AW180,L_Placeholder,0))),SUMPRODUCT(--ISNUMBER(SEARCH(" "&amp;L_EvidencePhrase&amp;" ",BD180)))&gt;0,BI180=1),"INVALID – evidence missing, placeholder or not yet on file",IF(ISNA(MATCH(TRIM(S180),L_EvidenceType,0)),"INVALID – choose the evidence type from the list (column S)",IF(BL180=0,"INVALID – evidence ID must be the record's own ID only (e.g. SF-2210, IMG_2231, 1045521); a link / file name needs type 'Link / file path'",IF(OR(OR(LEN(AX180)&lt;2,ISNUMBER(MATCH(AX180,L_Placeholder,0))),BS180&lt;3),"INVALID – verifier missing or not a named person (a role such as QA / CSM is not a name)",IF(OR(AX180=AU180,CE180=1,AND(LEN(AU180)&gt;=4,ISNUMBER(SEARCH(AU180,AX180))),AND(LEN(AX180)&gt;=4,ISNUMBER(SEARCH(AX180,AU180)))),"INVALID – verifier must be a different, named person (not the PIC or a role)",IF(BH180=1,"INVALID – result not yet available (awaiting / TBC)",IF(BG180=1,"INVALID – result describes a problem: record Fail, then Pass after CA (or reword if it is not a problem)",IF(BV180=1,"INVALID – wording says not on board: an on-board confirmation needs the item loaded",IF(AND(AQ180=1,OR(OR(LEN(AY180)&lt;3,ISNUMBER(MATCH(AY180,L_Placeholder,0))),BJ180=1,BQ180=0)),"INVALID – batch ID missing, placeholder or not an ID (e.g. PASB-261008-BC-017)",IF(AND(AR180=1,OR(NOT(ISNUMBER(X180)),NOT(ISNUMBER(Y180)))),"INVALID – expected/actual qty missing",IF(AND(AR180=1,OR(X180&lt;=0,Y180&lt;0)),"INVALID – expected qty must be above 0 and actual not negative",IF(BB180&lt;&gt;"",BB180,IF(AND(AS180=1,Documents!$J$10&lt;&gt;"ON FILE"),"INVALID – GLD not on file (Documents sheet)",IF(AND(AS180=2,Documents!$O$10&lt;&gt;"ON FILE"),"INVALID – menu checklist not on file (Documents sheet)",IF(AND(AS180=3,NOT(ISNUMBER(Flights!$AX$10))),"INVALID – enter carrying flight KUL departure (Flights AX)",IF(AND(AS180=3,OR(Flights!$AZ$10&gt;Flights!$AA$10,Flights!$AX$10&lt;Flights!$AA$10-3)),"INVALID – carrying flight (Flights AX) cannot arrive before this leg's STD, or is over 3 days early",IF(AG180&gt;AsOfUTC,"INVALID – completion time is in the future",IF(AND(ISNUMBER(BY180),AG180&lt;BY180),IF(H180="Physical uplift","INVALID – before uplift window (cannot confirm loading)","INVALID – before valid window"),IF(AG180&gt;Flights!$AA$10,"INVALID – completed after departure (cannot establish readiness)",IF(AND(H180="Preparation",AG180&gt;=IF(ISNUMBER(Flights!$BA$10),MIN(Flights!$BA$10,Flights!$AA$10),Flights!$AA$10)),"INVALID – completed after loading / departure (cannot establish readiness)",IF(AND(H180="Physical uplift",AG180&gt;Q180),"INVALID – recorded after the loading flight departed",IF(AG180&gt;Q180,"COMPLETE – LATE","COMPLETE"))))))))))))))))))))))))),IF(TRIM(U180)="Fail","FAIL – DISCREPANCY",IF(AND(TRIM(U180)&lt;&gt;"",TRIM(U180)&lt;&gt;"Not started",TRIM(U180)&lt;&gt;"In progress"),"INVALID – unrecognised status (use the list)",IF(AsOfUTC&gt;Q180,"OVERDUE",IF(N180="Clarification required","OPEN – CLARIFICATION","OPEN"))))))),"INVALID – error value in an input cell")</f>
        <v>OPEN</v>
      </c>
      <c r="AI180" s="61" t="n">
        <f aca="false">IF(OR(AH180="N/A – RULE",AH180="N/A – JUSTIFIED"),0,1)</f>
        <v>1</v>
      </c>
      <c r="AJ180" s="61" t="n">
        <f aca="false">IF(LEFT(AH180,8)="COMPLETE",1,0)</f>
        <v>0</v>
      </c>
      <c r="AK180" s="61" t="n">
        <f aca="false">IF(AND(AI180=1,AJ180=0,AsOfUTC&gt;Q180),1,0)</f>
        <v>0</v>
      </c>
      <c r="AL180" s="61" t="n">
        <f aca="false">IFERROR(IF(AND(AI180=1,OR(TRIM(U180)="Fail",AND(TRIM(AB180)&lt;&gt;"",TRIM(AB180)&lt;&gt;"Closed"),AND(ISNUMBER(AF180),AF180&lt;&gt;0,TRIM(U180)&lt;&gt;"Pass after CA"))),1,0),1)</f>
        <v>0</v>
      </c>
      <c r="AM180" s="61" t="n">
        <f aca="false">IF(LEFT(AH180,7)="INVALID",1,0)</f>
        <v>0</v>
      </c>
      <c r="AN180" s="61" t="n">
        <f aca="false">IF(AND(N180="Clarification required",AI180=1,AJ180=0),1,0)</f>
        <v>0</v>
      </c>
      <c r="AO180" s="61" t="str">
        <f aca="false">IF(AK180=1,SUM(AK$5:AK180),"")</f>
        <v/>
      </c>
      <c r="AP180" s="61" t="str">
        <f aca="false">IF(AL180=1,SUM(AL$5:AL180),"")</f>
        <v/>
      </c>
      <c r="AQ180" s="61" t="n">
        <v>0</v>
      </c>
      <c r="AR180" s="61" t="n">
        <v>0</v>
      </c>
      <c r="AS180" s="61" t="n">
        <v>0</v>
      </c>
      <c r="AT180" s="61" t="n">
        <v>0</v>
      </c>
      <c r="AU180" s="61" t="str">
        <f aca="false">SUBSTITUTE(SUBSTITUTE(SUBSTITUTE(SUBSTITUTE(SUBSTITUTE(SUBSTITUTE(SUBSTITUTE(SUBSTITUTE(SUBSTITUTE(SUBSTITUTE(SUBSTITUTE(SUBSTITUTE(SUBSTITUTE(SUBSTITUTE(SUBSTITUTE(SUBSTITUTE(LOWER(T180&amp;""),CHAR(10),""),CHAR(13),""),CHAR(9),""),CHAR(160),"")," ",""),".",""),"-",""),"/",""),"?",""),"_",""),",",""),"[",""),"]",""),"(",""),")",""),"*","")</f>
        <v/>
      </c>
      <c r="AV180" s="61" t="str">
        <f aca="false">SUBSTITUTE(SUBSTITUTE(SUBSTITUTE(SUBSTITUTE(SUBSTITUTE(SUBSTITUTE(SUBSTITUTE(SUBSTITUTE(SUBSTITUTE(SUBSTITUTE(SUBSTITUTE(SUBSTITUTE(SUBSTITUTE(SUBSTITUTE(SUBSTITUTE(SUBSTITUTE(LOWER(V180&amp;""),CHAR(10),""),CHAR(13),""),CHAR(9),""),CHAR(160),"")," ",""),".",""),"-",""),"/",""),"?",""),"_",""),",",""),"[",""),"]",""),"(",""),")",""),"*","")</f>
        <v/>
      </c>
      <c r="AW180" s="61" t="str">
        <f aca="false">SUBSTITUTE(SUBSTITUTE(SUBSTITUTE(SUBSTITUTE(SUBSTITUTE(SUBSTITUTE(SUBSTITUTE(SUBSTITUTE(SUBSTITUTE(SUBSTITUTE(SUBSTITUTE(SUBSTITUTE(SUBSTITUTE(SUBSTITUTE(SUBSTITUTE(SUBSTITUTE(LOWER(Z180&amp;""),CHAR(10),""),CHAR(13),""),CHAR(9),""),CHAR(160),"")," ",""),".",""),"-",""),"/",""),"?",""),"_",""),",",""),"[",""),"]",""),"(",""),")",""),"*","")</f>
        <v/>
      </c>
      <c r="AX180" s="61" t="str">
        <f aca="false">SUBSTITUTE(SUBSTITUTE(SUBSTITUTE(SUBSTITUTE(SUBSTITUTE(SUBSTITUTE(SUBSTITUTE(SUBSTITUTE(SUBSTITUTE(SUBSTITUTE(SUBSTITUTE(SUBSTITUTE(SUBSTITUTE(SUBSTITUTE(SUBSTITUTE(SUBSTITUTE(LOWER(AE180&amp;""),CHAR(10),""),CHAR(13),""),CHAR(9),""),CHAR(160),"")," ",""),".",""),"-",""),"/",""),"?",""),"_",""),",",""),"[",""),"]",""),"(",""),")",""),"*","")</f>
        <v/>
      </c>
      <c r="AY180" s="61" t="str">
        <f aca="false">SUBSTITUTE(SUBSTITUTE(SUBSTITUTE(SUBSTITUTE(SUBSTITUTE(SUBSTITUTE(SUBSTITUTE(SUBSTITUTE(SUBSTITUTE(SUBSTITUTE(SUBSTITUTE(SUBSTITUTE(SUBSTITUTE(SUBSTITUTE(SUBSTITUTE(SUBSTITUTE(LOWER(W180&amp;""),CHAR(10),""),CHAR(13),""),CHAR(9),""),CHAR(160),"")," ",""),".",""),"-",""),"/",""),"?",""),"_",""),",",""),"[",""),"]",""),"(",""),")",""),"*","")</f>
        <v/>
      </c>
      <c r="AZ180" s="61" t="str">
        <f aca="false">SUBSTITUTE(SUBSTITUTE(SUBSTITUTE(SUBSTITUTE(SUBSTITUTE(SUBSTITUTE(SUBSTITUTE(SUBSTITUTE(SUBSTITUTE(SUBSTITUTE(SUBSTITUTE(SUBSTITUTE(SUBSTITUTE(SUBSTITUTE(SUBSTITUTE(SUBSTITUTE(LOWER(AC180&amp;""),CHAR(10),""),CHAR(13),""),CHAR(9),""),CHAR(160),"")," ",""),".",""),"-",""),"/",""),"?",""),"_",""),",",""),"[",""),"]",""),"(",""),")",""),"*","")</f>
        <v/>
      </c>
      <c r="BA180" s="61" t="str">
        <f aca="false">SUBSTITUTE(SUBSTITUTE(SUBSTITUTE(SUBSTITUTE(SUBSTITUTE(SUBSTITUTE(SUBSTITUTE(SUBSTITUTE(SUBSTITUTE(SUBSTITUTE(SUBSTITUTE(SUBSTITUTE(SUBSTITUTE(SUBSTITUTE(SUBSTITUTE(SUBSTITUTE(LOWER(AA180&amp;""),CHAR(10),""),CHAR(13),""),CHAR(9),""),CHAR(160),"")," ",""),".",""),"-",""),"/",""),"?",""),"_",""),",",""),"[",""),"]",""),"(",""),")",""),"*","")</f>
        <v/>
      </c>
      <c r="BB180" s="61" t="str">
        <f aca="false">IF(AND(TRIM(U180)="Pass",ISNUMBER(AF180)),IF(AF180&lt;&gt;0,"INVALID – qty variance: use Fail or Pass after CA",""),"")&amp;IF(AND(TRIM(U180)="Pass after CA",ISNUMBER(AF180)),IF(AF180&lt;&gt;0,"INVALID – after the corrective action the actual qty must equal expected (update Actual)",""),"")&amp;IF(AND(TRIM(U180)="Pass",TRIM(AB180)&lt;&gt;"",TRIM(AB180)&lt;&gt;"Closed"),"INVALID – corrective action not closed: use Fail, then Pass after CA","")&amp;IF(AND(LEN(BA180)&gt;=2,ISNA(MATCH(LEFT(BA180,255),L_Placeholder,0)),TRIM(AB180)=""),"INVALID – CA status missing for the recorded corrective action","")&amp;IF(AND(TRIM(U180)="Pass after CA",OR(OR(LEN(BA180)&lt;5,ISNUMBER(MATCH(BA180,L_Placeholder,0))),TRIM(AB180)&lt;&gt;"Closed")),"INVALID – corrective action not recorded/closed","")</f>
        <v/>
      </c>
      <c r="BC180" s="61" t="str">
        <f aca="false">" "&amp;TRIM(SUBSTITUTE(SUBSTITUTE(SUBSTITUTE(SUBSTITUTE(SUBSTITUTE(SUBSTITUTE(SUBSTITUTE(SUBSTITUTE(SUBSTITUTE(SUBSTITUTE(SUBSTITUTE(SUBSTITUTE(SUBSTITUTE(SUBSTITUTE(SUBSTITUTE(SUBSTITUTE(SUBSTITUTE(SUBSTITUTE(SUBSTITUTE(SUBSTITUTE(SUBSTITUTE(SUBSTITUTE(SUBSTITUTE(SUBSTITUTE(LOWER(V180&amp;""),CHAR(10)," "),CHAR(13)," "),CHAR(9)," "),CHAR(160)," "),"."," "),","," "),"-"," "),"/"," "),"("," "),")"," "),":"," "),";"," "),"_"," "),"–"," "),"?"," "),"!"," "),"*"," "),"["," "),"]"," "),"'"," "),"#"," "),"+"," "),"&amp;"," "),"\"," "))&amp;" "</f>
        <v>  </v>
      </c>
      <c r="BD180" s="61" t="str">
        <f aca="false">" "&amp;TRIM(SUBSTITUTE(SUBSTITUTE(SUBSTITUTE(SUBSTITUTE(SUBSTITUTE(SUBSTITUTE(SUBSTITUTE(SUBSTITUTE(SUBSTITUTE(SUBSTITUTE(SUBSTITUTE(SUBSTITUTE(SUBSTITUTE(SUBSTITUTE(SUBSTITUTE(SUBSTITUTE(SUBSTITUTE(SUBSTITUTE(SUBSTITUTE(SUBSTITUTE(SUBSTITUTE(SUBSTITUTE(SUBSTITUTE(SUBSTITUTE(LOWER(Z180&amp;""),CHAR(10)," "),CHAR(13)," "),CHAR(9)," "),CHAR(160)," "),"."," "),","," "),"-"," "),"/"," "),"("," "),")"," "),":"," "),";"," "),"_"," "),"–"," "),"?"," "),"!"," "),"*"," "),"["," "),"]"," "),"'"," "),"#"," "),"+"," "),"&amp;"," "),"\"," "))&amp;" "</f>
        <v>  </v>
      </c>
      <c r="BE180" s="61" t="str">
        <f aca="false">" "&amp;TRIM(SUBSTITUTE(SUBSTITUTE(SUBSTITUTE(SUBSTITUTE(SUBSTITUTE(SUBSTITUTE(SUBSTITUTE(SUBSTITUTE(SUBSTITUTE(SUBSTITUTE(SUBSTITUTE(SUBSTITUTE(SUBSTITUTE(SUBSTITUTE(SUBSTITUTE(SUBSTITUTE(SUBSTITUTE(SUBSTITUTE(SUBSTITUTE(SUBSTITUTE(SUBSTITUTE(SUBSTITUTE(SUBSTITUTE(SUBSTITUTE(LOWER(W180&amp;""),CHAR(10)," "),CHAR(13)," "),CHAR(9)," "),CHAR(160)," "),"."," "),","," "),"-"," "),"/"," "),"("," "),")"," "),":"," "),";"," "),"_"," "),"–"," "),"?"," "),"!"," "),"*"," "),"["," "),"]"," "),"'"," "),"#"," "),"+"," "),"&amp;"," "),"\"," "))&amp;" "</f>
        <v>  </v>
      </c>
      <c r="BF180" s="61" t="str">
        <f aca="false">" "&amp;TRIM(SUBSTITUTE(SUBSTITUTE(SUBSTITUTE(SUBSTITUTE(SUBSTITUTE(SUBSTITUTE(SUBSTITUTE(SUBSTITUTE(SUBSTITUTE(SUBSTITUTE(SUBSTITUTE(SUBSTITUTE(SUBSTITUTE(SUBSTITUTE(SUBSTITUTE(SUBSTITUTE(SUBSTITUTE(SUBSTITUTE(SUBSTITUTE(SUBSTITUTE(SUBSTITUTE(SUBSTITUTE(SUBSTITUTE(SUBSTITUTE(LOWER(AC180&amp;""),CHAR(10)," "),CHAR(13)," "),CHAR(9)," "),CHAR(160)," "),"."," "),","," "),"-"," "),"/"," "),"("," "),")"," "),":"," "),";"," "),"_"," "),"–"," "),"?"," "),"!"," "),"*"," "),"["," "),"]"," "),"'"," "),"#"," "),"+"," "),"&amp;"," "),"\"," "))&amp;" "</f>
        <v>  </v>
      </c>
      <c r="BG180" s="61" t="n">
        <f aca="false">IFERROR(IF(AND(TRIM(U180)="Pass",SUMPRODUCT((LEN(BC180)-LEN(SUBSTITUTE(BC180," "&amp;L_ResultBad&amp;" "," ")))/(LEN(L_ResultBad)+1))&gt;SUMPRODUCT((LEN(BC180)-LEN(SUBSTITUTE(BC180," "&amp;L_NegPhrase&amp;" "," ")))/(LEN(L_NegPhrase)+1))),1,0),0)</f>
        <v>0</v>
      </c>
      <c r="BH180" s="61" t="n">
        <f aca="false">IFERROR(IF(SUMPRODUCT((LEN(BC180)-LEN(SUBSTITUTE(BC180," "&amp;L_Pending&amp;" "," ")))/(LEN(L_Pending)+1))&gt;SUMPRODUCT((LEN(BC180)-LEN(SUBSTITUTE(BC180," "&amp;L_PendNeg&amp;" "," ")))/(LEN(L_PendNeg)+1))+SUMPRODUCT((LEN(BC180)-LEN(SUBSTITUTE(BC180," "&amp;L_PendPrep&amp;" "," ")))/(LEN(L_PendPrep)+1)),1,0),1)</f>
        <v>0</v>
      </c>
      <c r="BI180" s="61" t="n">
        <f aca="false">IFERROR(IF(SUMPRODUCT((LEN(BD180)-LEN(SUBSTITUTE(BD180," "&amp;L_PendStrict&amp;" "," ")))/(LEN(L_PendStrict)+1))&gt;SUMPRODUCT((LEN(BD180)-LEN(SUBSTITUTE(BD180," "&amp;L_PendNeg&amp;" "," ")))/(LEN(L_PendNeg)+1)),1,0),1)</f>
        <v>0</v>
      </c>
      <c r="BJ180" s="61" t="n">
        <f aca="false">IFERROR(IF(SUMPRODUCT((LEN(BE180)-LEN(SUBSTITUTE(BE180," "&amp;L_Pending&amp;" "," ")))/(LEN(L_Pending)+1))&gt;SUMPRODUCT((LEN(BE180)-LEN(SUBSTITUTE(BE180," "&amp;L_PendNeg&amp;" "," ")))/(LEN(L_PendNeg)+1))+SUMPRODUCT((LEN(BE180)-LEN(SUBSTITUTE(BE180," "&amp;L_PendPrep&amp;" "," ")))/(LEN(L_PendPrep)+1)),1,0),1)</f>
        <v>0</v>
      </c>
      <c r="BK180" s="61" t="n">
        <f aca="false">IFERROR(IF(SUMPRODUCT((LEN(BF180)-LEN(SUBSTITUTE(BF180," "&amp;L_PendStrict&amp;" "," ")))/(LEN(L_PendStrict)+1))&gt;SUMPRODUCT((LEN(BF180)-LEN(SUBSTITUTE(BF180," "&amp;L_PendNeg&amp;" "," ")))/(LEN(L_PendNeg)+1)),1,0),1)</f>
        <v>0</v>
      </c>
      <c r="BL180" s="61" t="n">
        <f aca="false">IF(ISNA(MATCH(TRIM(S180),L_EvidenceType,0)),0,BZ180)</f>
        <v>0</v>
      </c>
      <c r="BM180" s="61" t="str">
        <f aca="false">SUBSTITUTE(SUBSTITUTE(SUBSTITUTE(SUBSTITUTE(SUBSTITUTE(SUBSTITUTE(SUBSTITUTE(SUBSTITUTE(SUBSTITUTE(LOWER(Z180&amp;""),"1","0"),"2","0"),"3","0"),"4","0"),"5","0"),"6","0"),"7","0"),"8","0"),"9","0")</f>
        <v/>
      </c>
      <c r="BN180" s="61" t="str">
        <f aca="false">SUBSTITUTE(SUBSTITUTE(SUBSTITUTE(SUBSTITUTE(SUBSTITUTE(SUBSTITUTE(SUBSTITUTE(SUBSTITUTE(SUBSTITUTE(SUBSTITUTE(SUBSTITUTE(SUBSTITUTE(SUBSTITUTE(SUBSTITUTE(SUBSTITUTE(SUBSTITUTE(SUBSTITUTE(SUBSTITUTE(SUBSTITUTE(SUBSTITUTE(SUBSTITUTE(SUBSTITUTE(SUBSTITUTE(SUBSTITUTE(SUBSTITUTE(BM180,"b","a"),"c","a"),"d","a"),"e","a"),"f","a"),"g","a"),"h","a"),"i","a"),"j","a"),"k","a"),"l","a"),"m","a"),"n","a"),"o","a"),"p","a"),"q","a"),"r","a"),"s","a"),"t","a"),"u","a"),"v","a"),"w","a"),"x","a"),"y","a"),"z","a")</f>
        <v/>
      </c>
      <c r="BO180" s="61" t="str">
        <f aca="false">SUBSTITUTE(SUBSTITUTE(SUBSTITUTE(SUBSTITUTE(SUBSTITUTE(SUBSTITUTE(SUBSTITUTE(SUBSTITUTE(SUBSTITUTE(LOWER(W180&amp;""),"1","0"),"2","0"),"3","0"),"4","0"),"5","0"),"6","0"),"7","0"),"8","0"),"9","0")</f>
        <v/>
      </c>
      <c r="BP180" s="61" t="str">
        <f aca="false">SUBSTITUTE(SUBSTITUTE(SUBSTITUTE(SUBSTITUTE(SUBSTITUTE(SUBSTITUTE(SUBSTITUTE(SUBSTITUTE(SUBSTITUTE(SUBSTITUTE(SUBSTITUTE(SUBSTITUTE(SUBSTITUTE(SUBSTITUTE(SUBSTITUTE(SUBSTITUTE(SUBSTITUTE(SUBSTITUTE(SUBSTITUTE(SUBSTITUTE(SUBSTITUTE(SUBSTITUTE(SUBSTITUTE(SUBSTITUTE(SUBSTITUTE(BO180,"b","a"),"c","a"),"d","a"),"e","a"),"f","a"),"g","a"),"h","a"),"i","a"),"j","a"),"k","a"),"l","a"),"m","a"),"n","a"),"o","a"),"p","a"),"q","a"),"r","a"),"s","a"),"t","a"),"u","a"),"v","a"),"w","a"),"x","a"),"y","a"),"z","a")</f>
        <v/>
      </c>
      <c r="BQ180" s="61" t="n">
        <f aca="false">IFERROR(IF(AND(ISERROR(SEARCH(" mh"," "&amp;LOWER(W180))),ISNA(MATCH(LEFT(TRIM(BP180),255),{"0000a","000a","00a","0000aa","000aa","00aa","0aa","0000aaa","000aaa","00a00","0a00","0000-0000","00:00","a00","a0","00.00.0000","00/00/0000","00-00-0000","0000-00-00","0000/00/00","0000.00.00","00.00.00","00/00/00","00-00-00","0.00.0000","0/00/0000","0-00-0000"},0)),ISNA(MATCH(LEFT(TRIM(CA180),255),{"0000a","000a","00a","0000aa","000aa","00aa","0aa","0000aaa","000aaa","00a00","0a00","0000-0000","00:00","a00","a0","00.00.0000","00/00/0000","00-00-0000","0000-00-00","0000/00/00","0000.00.00","00.00.00","00/00/00","00-00-00","0.00.0000","0/00/0000","0-00-0000"},0)),LEN(CB180)&gt;=3,NOT(OR(SUBSTITUTE(CB180,"0","")="",AND(LEN(CB180)&gt;=4,CB180=REPT(LEFT(CB180),LEN(CB180))),ISNUMBER(MATCH(CB180,{"123","1234","12345","123456","1234567","12345678","0123","01234","012345","98765","987654","54321"},0)),AND(LEN(CB180)=8,LEFT(CB180,3)="202"))),OR(AND((LEN(CA180)-LEN(SUBSTITUTE(CA180,"a","")))&gt;=1,SUMPRODUCT(--ISNUMBER(SEARCH({"a0","a-0","a_0","a/0","a.0","a#0","0a","0-a","0_a","0/a"},BP180)))&gt;0),ISNUMBER(SEARCH("000000",BP180)))),1,0),0)</f>
        <v>0</v>
      </c>
      <c r="BR180" s="61" t="n">
        <f aca="false">IFERROR(LEN(SUBSTITUTE(CC180," ",""))-SUMPRODUCT((LEN(CC180)-LEN(SUBSTITUTE(CC180," "&amp;L_Role&amp;" "," ")))/(LEN(L_Role)+1)*LEN(L_Role)),0)</f>
        <v>0</v>
      </c>
      <c r="BS180" s="61" t="n">
        <f aca="false">IFERROR(LEN(SUBSTITUTE(CD180," ",""))-SUMPRODUCT((LEN(CD180)-LEN(SUBSTITUTE(CD180," "&amp;L_Role&amp;" "," ")))/(LEN(L_Role)+1)*LEN(L_Role)),0)</f>
        <v>0</v>
      </c>
      <c r="BT1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180,"revision",""),"version",""),"jan",""),"feb",""),"mar",""),"apr",""),"may",""),"jun",""),"jul",""),"aug",""),"sep",""),"oct",""),"nov",""),"dec",""),"utc",""),"gmt",""),"myt",""),"bst",""),"rev",""),"ver",""),"b","a"),"c","a"),"d","a"),"e","a"),"f","a"),"g","a"),"h","a"),"i","a"),"j","a"),"k","a"),"l","a"),"m","a"),"n","a"),"o","a"),"p","a"),"q","a"),"r","a"),"s","a"),"t","a"),"u","a"),"v","a"),"w","a"),"x","a"),"y","a"),"z","a")</f>
        <v/>
      </c>
      <c r="BU180" s="61" t="str">
        <f aca="false">SUBSTITUTE(SUBSTITUTE(SUBSTITUTE(SUBSTITUTE(SUBSTITUTE(SUBSTITUTE(SUBSTITUTE(SUBSTITUTE(SUBSTITUTE(SUBSTITUTE(LEFT(BM180,FIND("0",BM180&amp;"0")-1),"-",""),"_",""),"/",""),".",""),"#",""),"\\",""),":","")," ",""),"(",""),")","")</f>
        <v/>
      </c>
      <c r="BV180" s="61" t="n">
        <f aca="false">0</f>
        <v>0</v>
      </c>
      <c r="BW1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180&amp;""),"a",""),"b",""),"c",""),"d",""),"e",""),"f",""),"g",""),"h",""),"i",""),"j",""),"k",""),"l",""),"m",""),"n",""),"o",""),"p",""),"q",""),"r",""),"s",""),"t",""),"u",""),"v",""),"w",""),"x",""),"y",""),"z",""),"-",""),"_",""),"/",""),".",""),"#",""),"\\",""),":","")," ",""),"(",""),")","")</f>
        <v/>
      </c>
      <c r="BX180" s="61" t="str">
        <f aca="false">SUBSTITUTE(SUBSTITUTE(SUBSTITUTE(SUBSTITUTE(SUBSTITUTE(SUBSTITUTE(SUBSTITUTE(SUBSTITUTE(SUBSTITUTE(SUBSTITUTE(SUBSTITUTE(BM180,"0",""),"-",""),"_",""),"/",""),".",""),"#",""),"\\",""),":","")," ",""),"(",""),")","")</f>
        <v/>
      </c>
      <c r="BY180" s="62" t="n">
        <f aca="false">Q180-T12EarlyH/24</f>
        <v>46309.6388888889</v>
      </c>
      <c r="BZ180" s="61" t="n">
        <f aca="false">IFERROR(IF(IF(TRIM(S180)="Link / file path",AND(LEN(TRIM(Z180))&gt;=5,SUMPRODUCT(--ISNUMBER(SEARCH({"http","www.","\\",":\",".pdf",".jpg",".jpeg",".png",".heic",".xls",".doc",".msg",".eml",".ppt",".txt",".zip"},Z180)))&gt;0),AND(ISERROR(FIND(" ",TRIM(Z180))),NOT(OR(SUMPRODUCT(--ISNUMBER(FIND({",",";","&amp;","+"},Z180)))&gt;0,SUMPRODUCT(--ISNUMBER(SEARCH({"0/aa","0\\aa"},BN180)))&gt;0)),NOT(SUMPRODUCT(--ISNUMBER(SEARCH({"http","www.","\\",":\",".pdf",".jpg",".jpeg",".png",".heic",".xls",".doc",".msg",".eml",".ppt",".txt",".zip"},Z180)))&gt;0),NOT(LOWER(TRIM(Z180))=LOWER(Flights!$F$10)),ISNA(MATCH(BU180,{"mh","rev","revision","ver","version","v","r","a","b","seat","tray","row","gate","bay","stand","page","pg","item","line","no","cart","galley","flight","flt","table","box","bag","oven","etd","eta","std","sta","atd","ata","qty","pax","x","time","tel","ph","mob","day","wk","week","utc","gmt","myt","lt"},0)),NOT(OR(ISNUMBER(MATCH(LEFT(BN180,255),{"0000a","000a","00a","0000aa","000aa","00aa","0aa","0000aaa","000aaa","00a00","0a00","0000-0000","00:00","a00","a0","00.00.0000","00/00/0000","00-00-0000","0000-00-00","0000/00/00","0000.00.00","00.00.00","00/00/00","00-00-00","0.00.0000","0/00/0000","0-00-0000"},0)),ISNUMBER(MATCH(LEFT(BT180,255),{"0000a","000a","00a","0000aa","000aa","00aa","0aa","0000aaa","000aaa","00a00","0a00","0000-0000","00:00","a00","a0","00.00.0000","00/00/0000","00-00-0000","0000-00-00","0000/00/00","0000.00.00","00.00.00","00/00/00","00-00-00","0.00.0000","0/00/0000","0-00-0000"},0)))),NOT(OR(AND(BW180&lt;&gt;"",SUBSTITUTE(BW180,"0","")=""),AND(LEN(BW180)&gt;=4,BW180=REPT(LEFT(BW180),LEN(BW180))),ISNUMBER(MATCH(BW180,{"123","1234","12345","123456","1234567","12345678","0123","01234","012345","98765","987654","54321"},0)),ISNUMBER(MATCH(BX180,{"x","xx","xxx","xxxx","xxxxx","abc","abcd","nil","na","nan","test","tbc","tba","tbd","dummy","sample","example","eg","zz","zzz","none","null","xyz","qwe","asd","id","ref"},0)),AND(LEN(BW180)=8,BX180="",OR(LEFT(BW180,3)="202",ISNUMBER(MATCH(RIGHT(BW180,4),{"2025","2026","2027"},0)))))),OR(AND((LEN(BT180)-LEN(SUBSTITUTE(BT180,"a","")))&gt;=1,(LEN(BN180)-LEN(SUBSTITUTE(BN180,"0","")))&gt;=2,SUMPRODUCT(--ISNUMBER(SEARCH({"a0","a-0","a_0","a/0","a.0","a#0","0a","0-a","0_a","0/a"},BN180)))&gt;0),AND((LEN(BN180)-LEN(SUBSTITUTE(BN180,"a","")))=0,(LEN(BN180)-LEN(SUBSTITUTE(BN180,"0","")))&gt;=5)))),1,0),0)</f>
        <v>0</v>
      </c>
      <c r="CA1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180,"revision",""),"version",""),"jan",""),"feb",""),"mar",""),"apr",""),"may",""),"jun",""),"jul",""),"aug",""),"sep",""),"oct",""),"nov",""),"dec",""),"utc",""),"gmt",""),"myt",""),"bst",""),"rev",""),"ver",""),"b","a"),"c","a"),"d","a"),"e","a"),"f","a"),"g","a"),"h","a"),"i","a"),"j","a"),"k","a"),"l","a"),"m","a"),"n","a"),"o","a"),"p","a"),"q","a"),"r","a"),"s","a"),"t","a"),"u","a"),"v","a"),"w","a"),"x","a"),"y","a"),"z","a")</f>
        <v/>
      </c>
      <c r="CB1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180&amp;""),"a",""),"b",""),"c",""),"d",""),"e",""),"f",""),"g",""),"h",""),"i",""),"j",""),"k",""),"l",""),"m",""),"n",""),"o",""),"p",""),"q",""),"r",""),"s",""),"t",""),"u",""),"v",""),"w",""),"x",""),"y",""),"z",""),"-",""),"_",""),"/",""),".",""),"#",""),"\\",""),":","")," ",""),"(",""),")","")</f>
        <v/>
      </c>
      <c r="CC180" s="0" t="str">
        <f aca="false">" "&amp;TRIM(SUBSTITUTE(SUBSTITUTE(SUBSTITUTE(SUBSTITUTE(SUBSTITUTE(SUBSTITUTE(SUBSTITUTE(SUBSTITUTE(SUBSTITUTE(SUBSTITUTE(SUBSTITUTE(SUBSTITUTE(SUBSTITUTE(SUBSTITUTE(SUBSTITUTE(SUBSTITUTE(SUBSTITUTE(SUBSTITUTE(SUBSTITUTE(SUBSTITUTE(SUBSTITUTE(SUBSTITUTE(SUBSTITUTE(SUBSTITUTE(LOWER(T180&amp;""),CHAR(10)," "),CHAR(13)," "),CHAR(9)," "),CHAR(160)," "),"."," "),","," "),"-"," "),"/"," "),"("," "),")"," "),":"," "),";"," "),"_"," "),"–"," "),"?"," "),"!"," "),"*"," "),"["," "),"]"," "),"'"," "),"#"," "),"+"," "),"&amp;"," "),"\"," "))&amp;" "</f>
        <v>  </v>
      </c>
      <c r="CD180" s="0" t="str">
        <f aca="false">" "&amp;TRIM(SUBSTITUTE(SUBSTITUTE(SUBSTITUTE(SUBSTITUTE(SUBSTITUTE(SUBSTITUTE(SUBSTITUTE(SUBSTITUTE(SUBSTITUTE(SUBSTITUTE(SUBSTITUTE(SUBSTITUTE(SUBSTITUTE(SUBSTITUTE(SUBSTITUTE(SUBSTITUTE(SUBSTITUTE(SUBSTITUTE(SUBSTITUTE(SUBSTITUTE(SUBSTITUTE(SUBSTITUTE(SUBSTITUTE(SUBSTITUTE(LOWER(AE180&amp;""),CHAR(10)," "),CHAR(13)," "),CHAR(9)," "),CHAR(160)," "),"."," "),","," "),"-"," "),"/"," "),"("," "),")"," "),":"," "),";"," "),"_"," "),"–"," "),"?"," "),"!"," "),"*"," "),"["," "),"]"," "),"'"," "),"#"," "),"+"," "),"&amp;"," "),"\"," "))&amp;" "</f>
        <v>  </v>
      </c>
      <c r="CE180" s="68" t="n">
        <f aca="false">IFERROR(IF(AND(LEN(AU180)&gt;0,LEN(AU180)=LEN(AX180),OR(TRIM(MID(SUBSTITUTE(TRIM(CC180)," ",REPT(" ",60)),1,60))="",ISNUMBER(SEARCH(" "&amp;TRIM(MID(SUBSTITUTE(TRIM(CC180)," ",REPT(" ",60)),1,60))&amp;" ",CD180))),OR(TRIM(MID(SUBSTITUTE(TRIM(CC180)," ",REPT(" ",60)),61,60))="",ISNUMBER(SEARCH(" "&amp;TRIM(MID(SUBSTITUTE(TRIM(CC180)," ",REPT(" ",60)),61,60))&amp;" ",CD180))),OR(TRIM(MID(SUBSTITUTE(TRIM(CC180)," ",REPT(" ",60)),121,60))="",ISNUMBER(SEARCH(" "&amp;TRIM(MID(SUBSTITUTE(TRIM(CC180)," ",REPT(" ",60)),121,60))&amp;" ",CD180)))),1,0),0)</f>
        <v>0</v>
      </c>
      <c r="CG180" s="68" t="n">
        <f aca="false">IFERROR(LEN(SUBSTITUTE(BF180," ",""))-SUMPRODUCT((LEN(BF180)-LEN(SUBSTITUTE(BF180," "&amp;L_NAFiller&amp;" "," ")))/(LEN(L_NAFiller)+1)*LEN(L_NAFiller)),0)</f>
        <v>0</v>
      </c>
    </row>
    <row r="181" customFormat="false" ht="141" hidden="false" customHeight="true" outlineLevel="0" collapsed="false">
      <c r="A181" s="57" t="s">
        <v>723</v>
      </c>
      <c r="B181" s="57" t="s">
        <v>231</v>
      </c>
      <c r="C181" s="57" t="str">
        <f aca="false">Flights!$F$10</f>
        <v>MH0002</v>
      </c>
      <c r="D181" s="58" t="n">
        <f aca="false">Flights!$D$10</f>
        <v>46310</v>
      </c>
      <c r="E181" s="57" t="str">
        <f aca="false">Flights!$G$10&amp;"-"&amp;Flights!$H$10</f>
        <v>KUL-LHR</v>
      </c>
      <c r="F181" s="57" t="str">
        <f aca="false">Flights!$K$10</f>
        <v>BC</v>
      </c>
      <c r="G181" s="57" t="s">
        <v>420</v>
      </c>
      <c r="H181" s="57" t="s">
        <v>378</v>
      </c>
      <c r="I181" s="57" t="s">
        <v>428</v>
      </c>
      <c r="J181" s="57" t="s">
        <v>435</v>
      </c>
      <c r="K181" s="67" t="s">
        <v>436</v>
      </c>
      <c r="L181" s="67" t="s">
        <v>422</v>
      </c>
      <c r="M181" s="67"/>
      <c r="N181" s="67" t="s">
        <v>383</v>
      </c>
      <c r="O181" s="67" t="s">
        <v>423</v>
      </c>
      <c r="P181" s="57" t="s">
        <v>187</v>
      </c>
      <c r="Q181" s="59" t="n">
        <f aca="false">ROUND((Flights!$AE$10)*1440,0)/1440</f>
        <v>46310.1388888889</v>
      </c>
      <c r="R181" s="59" t="n">
        <f aca="false">Q181+(IF(AND(INDEX(TZ_DSTS,MATCH(P181,TZ_STN,0))&lt;&gt;"",Q181&gt;=INDEX(TZ_DSTS,MATCH(P181,TZ_STN,0)),Q181&lt;INDEX(TZ_DSTE,MATCH(P181,TZ_STN,0))),INDEX(TZ_DST,MATCH(P181,TZ_STN,0)),INDEX(TZ_STD,MATCH(P181,TZ_STN,0))))/24</f>
        <v>46310.4722222222</v>
      </c>
      <c r="S181" s="60"/>
      <c r="T181" s="60"/>
      <c r="U181" s="60"/>
      <c r="V181" s="60"/>
      <c r="W181" s="61"/>
      <c r="X181" s="60"/>
      <c r="Y181" s="60"/>
      <c r="Z181" s="60"/>
      <c r="AA181" s="60"/>
      <c r="AB181" s="60"/>
      <c r="AC181" s="60"/>
      <c r="AD181" s="66"/>
      <c r="AE181" s="60"/>
      <c r="AF181" s="61" t="str">
        <f aca="false">IF(AND(ISNUMBER(X181),ISNUMBER(Y181)),Y181-X181,"")</f>
        <v/>
      </c>
      <c r="AG181" s="62" t="str">
        <f aca="false">IF(ISNUMBER(AD181),AD181-(IF(AND(INDEX(TZ_DSTS,MATCH(P181,TZ_STN,0))&lt;&gt;"",(AD181-INDEX(TZ_STD,MATCH(P181,TZ_STN,0))/24)&gt;=INDEX(TZ_DSTS,MATCH(P181,TZ_STN,0)),(AD181-INDEX(TZ_STD,MATCH(P181,TZ_STN,0))/24)&lt;INDEX(TZ_DSTE,MATCH(P181,TZ_STN,0))),INDEX(TZ_DST,MATCH(P181,TZ_STN,0)),INDEX(TZ_STD,MATCH(P181,TZ_STN,0))))/24,"")</f>
        <v/>
      </c>
      <c r="AH181" s="65" t="str">
        <f aca="false">IFERROR(IF(N181="N/A – rule",IF(OR(TRIM(U181)="",TRIM(U181)="N/A",TRIM(U181)="Not started"),"N/A – RULE","INVALID – this check does not apply to this aircraft: clear the status (or correct the fleet on Flights)"),IF(TRIM(U181)="N/A",IF(AT181=0,"INVALID – N/A not permitted for this check",IF(AND(TRIM(AB181)&lt;&gt;"",TRIM(AB181)&lt;&gt;"Closed"),"INVALID – corrective action still open",IF(AND(NOT(OR(LEN(AZ181)&lt;15,ISNUMBER(MATCH(AZ181,L_Placeholder,0)))),BK181=0,CG181&gt;=8,NOT(OR(LEN(AU181)&lt;2,ISNUMBER(MATCH(AU181,L_Placeholder,0)))),BR181&gt;=3,NOT(OR(LEN(AX181)&lt;2,ISNUMBER(MATCH(AX181,L_Placeholder,0)))),BS181&gt;=3,TRIM(AE181)&lt;&gt;TRIM(T181),AX181&lt;&gt;AU181,CE181=0),"N/A – JUSTIFIED","INVALID – N/A needs a real, settled reason (not 'not applicable' / 'as above' / TBC), a named PIC and a different named verifier"))),IF(OR(TRIM(U181)="Pass",TRIM(U181)="Pass after CA"),IF(NOT(ISNUMBER(AD181)),"INVALID – completion time missing",IF(OR(OR(LEN(AU181)&lt;2,ISNUMBER(MATCH(AU181,L_Placeholder,0))),BR181&lt;3),"INVALID – PIC missing or not a named person (a role such as QA / CSM is not a name)",IF(OR(LEN(AV181)&lt;2,ISNUMBER(MATCH(AV181,L_Placeholder,0))),"INVALID – result / assessment missing",IF(OR(OR(LEN(AW181)&lt;3,ISNUMBER(MATCH(AW181,L_Placeholder,0))),SUMPRODUCT(--ISNUMBER(SEARCH(" "&amp;L_EvidencePhrase&amp;" ",BD181)))&gt;0,BI181=1),"INVALID – evidence missing, placeholder or not yet on file",IF(ISNA(MATCH(TRIM(S181),L_EvidenceType,0)),"INVALID – choose the evidence type from the list (column S)",IF(BL181=0,"INVALID – evidence ID must be the record's own ID only (e.g. SF-2210, IMG_2231, 1045521); a link / file name needs type 'Link / file path'",IF(OR(OR(LEN(AX181)&lt;2,ISNUMBER(MATCH(AX181,L_Placeholder,0))),BS181&lt;3),"INVALID – verifier missing or not a named person (a role such as QA / CSM is not a name)",IF(OR(AX181=AU181,CE181=1,AND(LEN(AU181)&gt;=4,ISNUMBER(SEARCH(AU181,AX181))),AND(LEN(AX181)&gt;=4,ISNUMBER(SEARCH(AX181,AU181)))),"INVALID – verifier must be a different, named person (not the PIC or a role)",IF(BH181=1,"INVALID – result not yet available (awaiting / TBC)",IF(BG181=1,"INVALID – result describes a problem: record Fail, then Pass after CA (or reword if it is not a problem)",IF(BV181=1,"INVALID – wording says not on board: an on-board confirmation needs the item loaded",IF(AND(AQ181=1,OR(OR(LEN(AY181)&lt;3,ISNUMBER(MATCH(AY181,L_Placeholder,0))),BJ181=1,BQ181=0)),"INVALID – batch ID missing, placeholder or not an ID (e.g. PASB-261008-BC-017)",IF(AND(AR181=1,OR(NOT(ISNUMBER(X181)),NOT(ISNUMBER(Y181)))),"INVALID – expected/actual qty missing",IF(AND(AR181=1,OR(X181&lt;=0,Y181&lt;0)),"INVALID – expected qty must be above 0 and actual not negative",IF(BB181&lt;&gt;"",BB181,IF(AND(AS181=1,Documents!$J$10&lt;&gt;"ON FILE"),"INVALID – GLD not on file (Documents sheet)",IF(AND(AS181=2,Documents!$O$10&lt;&gt;"ON FILE"),"INVALID – menu checklist not on file (Documents sheet)",IF(AND(AS181=3,NOT(ISNUMBER(Flights!$AX$10))),"INVALID – enter carrying flight KUL departure (Flights AX)",IF(AND(AS181=3,OR(Flights!$AZ$10&gt;Flights!$AA$10,Flights!$AX$10&lt;Flights!$AA$10-3)),"INVALID – carrying flight (Flights AX) cannot arrive before this leg's STD, or is over 3 days early",IF(AG181&gt;AsOfUTC,"INVALID – completion time is in the future",IF(AND(ISNUMBER(BY181),AG181&lt;BY181),IF(H181="Physical uplift","INVALID – before uplift window (cannot confirm loading)","INVALID – before valid window"),IF(AG181&gt;Flights!$AA$10,"INVALID – completed after departure (cannot establish readiness)",IF(AND(H181="Preparation",AG181&gt;=IF(ISNUMBER(Flights!$BA$10),MIN(Flights!$BA$10,Flights!$AA$10),Flights!$AA$10)),"INVALID – completed after loading / departure (cannot establish readiness)",IF(AND(H181="Physical uplift",AG181&gt;Q181),"INVALID – recorded after the loading flight departed",IF(AG181&gt;Q181,"COMPLETE – LATE","COMPLETE"))))))))))))))))))))))))),IF(TRIM(U181)="Fail","FAIL – DISCREPANCY",IF(AND(TRIM(U181)&lt;&gt;"",TRIM(U181)&lt;&gt;"Not started",TRIM(U181)&lt;&gt;"In progress"),"INVALID – unrecognised status (use the list)",IF(AsOfUTC&gt;Q181,"OVERDUE",IF(N181="Clarification required","OPEN – CLARIFICATION","OPEN"))))))),"INVALID – error value in an input cell")</f>
        <v>OPEN</v>
      </c>
      <c r="AI181" s="61" t="n">
        <f aca="false">IF(OR(AH181="N/A – RULE",AH181="N/A – JUSTIFIED"),0,1)</f>
        <v>1</v>
      </c>
      <c r="AJ181" s="61" t="n">
        <f aca="false">IF(LEFT(AH181,8)="COMPLETE",1,0)</f>
        <v>0</v>
      </c>
      <c r="AK181" s="61" t="n">
        <f aca="false">IF(AND(AI181=1,AJ181=0,AsOfUTC&gt;Q181),1,0)</f>
        <v>0</v>
      </c>
      <c r="AL181" s="61" t="n">
        <f aca="false">IFERROR(IF(AND(AI181=1,OR(TRIM(U181)="Fail",AND(TRIM(AB181)&lt;&gt;"",TRIM(AB181)&lt;&gt;"Closed"),AND(ISNUMBER(AF181),AF181&lt;&gt;0,TRIM(U181)&lt;&gt;"Pass after CA"))),1,0),1)</f>
        <v>0</v>
      </c>
      <c r="AM181" s="61" t="n">
        <f aca="false">IF(LEFT(AH181,7)="INVALID",1,0)</f>
        <v>0</v>
      </c>
      <c r="AN181" s="61" t="n">
        <f aca="false">IF(AND(N181="Clarification required",AI181=1,AJ181=0),1,0)</f>
        <v>0</v>
      </c>
      <c r="AO181" s="61" t="str">
        <f aca="false">IF(AK181=1,SUM(AK$5:AK181),"")</f>
        <v/>
      </c>
      <c r="AP181" s="61" t="str">
        <f aca="false">IF(AL181=1,SUM(AL$5:AL181),"")</f>
        <v/>
      </c>
      <c r="AQ181" s="61" t="n">
        <v>0</v>
      </c>
      <c r="AR181" s="61" t="n">
        <v>1</v>
      </c>
      <c r="AS181" s="61" t="n">
        <v>0</v>
      </c>
      <c r="AT181" s="61" t="n">
        <v>0</v>
      </c>
      <c r="AU181" s="61" t="str">
        <f aca="false">SUBSTITUTE(SUBSTITUTE(SUBSTITUTE(SUBSTITUTE(SUBSTITUTE(SUBSTITUTE(SUBSTITUTE(SUBSTITUTE(SUBSTITUTE(SUBSTITUTE(SUBSTITUTE(SUBSTITUTE(SUBSTITUTE(SUBSTITUTE(SUBSTITUTE(SUBSTITUTE(LOWER(T181&amp;""),CHAR(10),""),CHAR(13),""),CHAR(9),""),CHAR(160),"")," ",""),".",""),"-",""),"/",""),"?",""),"_",""),",",""),"[",""),"]",""),"(",""),")",""),"*","")</f>
        <v/>
      </c>
      <c r="AV181" s="61" t="str">
        <f aca="false">SUBSTITUTE(SUBSTITUTE(SUBSTITUTE(SUBSTITUTE(SUBSTITUTE(SUBSTITUTE(SUBSTITUTE(SUBSTITUTE(SUBSTITUTE(SUBSTITUTE(SUBSTITUTE(SUBSTITUTE(SUBSTITUTE(SUBSTITUTE(SUBSTITUTE(SUBSTITUTE(LOWER(V181&amp;""),CHAR(10),""),CHAR(13),""),CHAR(9),""),CHAR(160),"")," ",""),".",""),"-",""),"/",""),"?",""),"_",""),",",""),"[",""),"]",""),"(",""),")",""),"*","")</f>
        <v/>
      </c>
      <c r="AW181" s="61" t="str">
        <f aca="false">SUBSTITUTE(SUBSTITUTE(SUBSTITUTE(SUBSTITUTE(SUBSTITUTE(SUBSTITUTE(SUBSTITUTE(SUBSTITUTE(SUBSTITUTE(SUBSTITUTE(SUBSTITUTE(SUBSTITUTE(SUBSTITUTE(SUBSTITUTE(SUBSTITUTE(SUBSTITUTE(LOWER(Z181&amp;""),CHAR(10),""),CHAR(13),""),CHAR(9),""),CHAR(160),"")," ",""),".",""),"-",""),"/",""),"?",""),"_",""),",",""),"[",""),"]",""),"(",""),")",""),"*","")</f>
        <v/>
      </c>
      <c r="AX181" s="61" t="str">
        <f aca="false">SUBSTITUTE(SUBSTITUTE(SUBSTITUTE(SUBSTITUTE(SUBSTITUTE(SUBSTITUTE(SUBSTITUTE(SUBSTITUTE(SUBSTITUTE(SUBSTITUTE(SUBSTITUTE(SUBSTITUTE(SUBSTITUTE(SUBSTITUTE(SUBSTITUTE(SUBSTITUTE(LOWER(AE181&amp;""),CHAR(10),""),CHAR(13),""),CHAR(9),""),CHAR(160),"")," ",""),".",""),"-",""),"/",""),"?",""),"_",""),",",""),"[",""),"]",""),"(",""),")",""),"*","")</f>
        <v/>
      </c>
      <c r="AY181" s="61" t="str">
        <f aca="false">SUBSTITUTE(SUBSTITUTE(SUBSTITUTE(SUBSTITUTE(SUBSTITUTE(SUBSTITUTE(SUBSTITUTE(SUBSTITUTE(SUBSTITUTE(SUBSTITUTE(SUBSTITUTE(SUBSTITUTE(SUBSTITUTE(SUBSTITUTE(SUBSTITUTE(SUBSTITUTE(LOWER(W181&amp;""),CHAR(10),""),CHAR(13),""),CHAR(9),""),CHAR(160),"")," ",""),".",""),"-",""),"/",""),"?",""),"_",""),",",""),"[",""),"]",""),"(",""),")",""),"*","")</f>
        <v/>
      </c>
      <c r="AZ181" s="61" t="str">
        <f aca="false">SUBSTITUTE(SUBSTITUTE(SUBSTITUTE(SUBSTITUTE(SUBSTITUTE(SUBSTITUTE(SUBSTITUTE(SUBSTITUTE(SUBSTITUTE(SUBSTITUTE(SUBSTITUTE(SUBSTITUTE(SUBSTITUTE(SUBSTITUTE(SUBSTITUTE(SUBSTITUTE(LOWER(AC181&amp;""),CHAR(10),""),CHAR(13),""),CHAR(9),""),CHAR(160),"")," ",""),".",""),"-",""),"/",""),"?",""),"_",""),",",""),"[",""),"]",""),"(",""),")",""),"*","")</f>
        <v/>
      </c>
      <c r="BA181" s="61" t="str">
        <f aca="false">SUBSTITUTE(SUBSTITUTE(SUBSTITUTE(SUBSTITUTE(SUBSTITUTE(SUBSTITUTE(SUBSTITUTE(SUBSTITUTE(SUBSTITUTE(SUBSTITUTE(SUBSTITUTE(SUBSTITUTE(SUBSTITUTE(SUBSTITUTE(SUBSTITUTE(SUBSTITUTE(LOWER(AA181&amp;""),CHAR(10),""),CHAR(13),""),CHAR(9),""),CHAR(160),"")," ",""),".",""),"-",""),"/",""),"?",""),"_",""),",",""),"[",""),"]",""),"(",""),")",""),"*","")</f>
        <v/>
      </c>
      <c r="BB181" s="61" t="str">
        <f aca="false">IF(AND(TRIM(U181)="Pass",ISNUMBER(AF181)),IF(AF181&lt;&gt;0,"INVALID – qty variance: use Fail or Pass after CA",""),"")&amp;IF(AND(TRIM(U181)="Pass after CA",ISNUMBER(AF181)),IF(AF181&lt;&gt;0,"INVALID – after the corrective action the actual qty must equal expected (update Actual)",""),"")&amp;IF(AND(TRIM(U181)="Pass",TRIM(AB181)&lt;&gt;"",TRIM(AB181)&lt;&gt;"Closed"),"INVALID – corrective action not closed: use Fail, then Pass after CA","")&amp;IF(AND(LEN(BA181)&gt;=2,ISNA(MATCH(LEFT(BA181,255),L_Placeholder,0)),TRIM(AB181)=""),"INVALID – CA status missing for the recorded corrective action","")&amp;IF(AND(TRIM(U181)="Pass after CA",OR(OR(LEN(BA181)&lt;5,ISNUMBER(MATCH(BA181,L_Placeholder,0))),TRIM(AB181)&lt;&gt;"Closed")),"INVALID – corrective action not recorded/closed","")</f>
        <v/>
      </c>
      <c r="BC181" s="61" t="str">
        <f aca="false">" "&amp;TRIM(SUBSTITUTE(SUBSTITUTE(SUBSTITUTE(SUBSTITUTE(SUBSTITUTE(SUBSTITUTE(SUBSTITUTE(SUBSTITUTE(SUBSTITUTE(SUBSTITUTE(SUBSTITUTE(SUBSTITUTE(SUBSTITUTE(SUBSTITUTE(SUBSTITUTE(SUBSTITUTE(SUBSTITUTE(SUBSTITUTE(SUBSTITUTE(SUBSTITUTE(SUBSTITUTE(SUBSTITUTE(SUBSTITUTE(SUBSTITUTE(LOWER(V181&amp;""),CHAR(10)," "),CHAR(13)," "),CHAR(9)," "),CHAR(160)," "),"."," "),","," "),"-"," "),"/"," "),"("," "),")"," "),":"," "),";"," "),"_"," "),"–"," "),"?"," "),"!"," "),"*"," "),"["," "),"]"," "),"'"," "),"#"," "),"+"," "),"&amp;"," "),"\"," "))&amp;" "</f>
        <v>  </v>
      </c>
      <c r="BD181" s="61" t="str">
        <f aca="false">" "&amp;TRIM(SUBSTITUTE(SUBSTITUTE(SUBSTITUTE(SUBSTITUTE(SUBSTITUTE(SUBSTITUTE(SUBSTITUTE(SUBSTITUTE(SUBSTITUTE(SUBSTITUTE(SUBSTITUTE(SUBSTITUTE(SUBSTITUTE(SUBSTITUTE(SUBSTITUTE(SUBSTITUTE(SUBSTITUTE(SUBSTITUTE(SUBSTITUTE(SUBSTITUTE(SUBSTITUTE(SUBSTITUTE(SUBSTITUTE(SUBSTITUTE(LOWER(Z181&amp;""),CHAR(10)," "),CHAR(13)," "),CHAR(9)," "),CHAR(160)," "),"."," "),","," "),"-"," "),"/"," "),"("," "),")"," "),":"," "),";"," "),"_"," "),"–"," "),"?"," "),"!"," "),"*"," "),"["," "),"]"," "),"'"," "),"#"," "),"+"," "),"&amp;"," "),"\"," "))&amp;" "</f>
        <v>  </v>
      </c>
      <c r="BE181" s="61" t="str">
        <f aca="false">" "&amp;TRIM(SUBSTITUTE(SUBSTITUTE(SUBSTITUTE(SUBSTITUTE(SUBSTITUTE(SUBSTITUTE(SUBSTITUTE(SUBSTITUTE(SUBSTITUTE(SUBSTITUTE(SUBSTITUTE(SUBSTITUTE(SUBSTITUTE(SUBSTITUTE(SUBSTITUTE(SUBSTITUTE(SUBSTITUTE(SUBSTITUTE(SUBSTITUTE(SUBSTITUTE(SUBSTITUTE(SUBSTITUTE(SUBSTITUTE(SUBSTITUTE(LOWER(W181&amp;""),CHAR(10)," "),CHAR(13)," "),CHAR(9)," "),CHAR(160)," "),"."," "),","," "),"-"," "),"/"," "),"("," "),")"," "),":"," "),";"," "),"_"," "),"–"," "),"?"," "),"!"," "),"*"," "),"["," "),"]"," "),"'"," "),"#"," "),"+"," "),"&amp;"," "),"\"," "))&amp;" "</f>
        <v>  </v>
      </c>
      <c r="BF181" s="61" t="str">
        <f aca="false">" "&amp;TRIM(SUBSTITUTE(SUBSTITUTE(SUBSTITUTE(SUBSTITUTE(SUBSTITUTE(SUBSTITUTE(SUBSTITUTE(SUBSTITUTE(SUBSTITUTE(SUBSTITUTE(SUBSTITUTE(SUBSTITUTE(SUBSTITUTE(SUBSTITUTE(SUBSTITUTE(SUBSTITUTE(SUBSTITUTE(SUBSTITUTE(SUBSTITUTE(SUBSTITUTE(SUBSTITUTE(SUBSTITUTE(SUBSTITUTE(SUBSTITUTE(LOWER(AC181&amp;""),CHAR(10)," "),CHAR(13)," "),CHAR(9)," "),CHAR(160)," "),"."," "),","," "),"-"," "),"/"," "),"("," "),")"," "),":"," "),";"," "),"_"," "),"–"," "),"?"," "),"!"," "),"*"," "),"["," "),"]"," "),"'"," "),"#"," "),"+"," "),"&amp;"," "),"\"," "))&amp;" "</f>
        <v>  </v>
      </c>
      <c r="BG181" s="61" t="n">
        <f aca="false">IFERROR(IF(AND(TRIM(U181)="Pass",SUMPRODUCT((LEN(BC181)-LEN(SUBSTITUTE(BC181," "&amp;L_ResultBad&amp;" "," ")))/(LEN(L_ResultBad)+1))&gt;SUMPRODUCT((LEN(BC181)-LEN(SUBSTITUTE(BC181," "&amp;L_NegPhrase&amp;" "," ")))/(LEN(L_NegPhrase)+1))),1,0),0)</f>
        <v>0</v>
      </c>
      <c r="BH181" s="61" t="n">
        <f aca="false">IFERROR(IF(SUMPRODUCT((LEN(BC181)-LEN(SUBSTITUTE(BC181," "&amp;L_Pending&amp;" "," ")))/(LEN(L_Pending)+1))&gt;SUMPRODUCT((LEN(BC181)-LEN(SUBSTITUTE(BC181," "&amp;L_PendNeg&amp;" "," ")))/(LEN(L_PendNeg)+1))+SUMPRODUCT((LEN(BC181)-LEN(SUBSTITUTE(BC181," "&amp;L_PendPrep&amp;" "," ")))/(LEN(L_PendPrep)+1)),1,0),1)</f>
        <v>0</v>
      </c>
      <c r="BI181" s="61" t="n">
        <f aca="false">IFERROR(IF(SUMPRODUCT((LEN(BD181)-LEN(SUBSTITUTE(BD181," "&amp;L_PendStrict&amp;" "," ")))/(LEN(L_PendStrict)+1))&gt;SUMPRODUCT((LEN(BD181)-LEN(SUBSTITUTE(BD181," "&amp;L_PendNeg&amp;" "," ")))/(LEN(L_PendNeg)+1)),1,0),1)</f>
        <v>0</v>
      </c>
      <c r="BJ181" s="61" t="n">
        <f aca="false">IFERROR(IF(SUMPRODUCT((LEN(BE181)-LEN(SUBSTITUTE(BE181," "&amp;L_Pending&amp;" "," ")))/(LEN(L_Pending)+1))&gt;SUMPRODUCT((LEN(BE181)-LEN(SUBSTITUTE(BE181," "&amp;L_PendNeg&amp;" "," ")))/(LEN(L_PendNeg)+1))+SUMPRODUCT((LEN(BE181)-LEN(SUBSTITUTE(BE181," "&amp;L_PendPrep&amp;" "," ")))/(LEN(L_PendPrep)+1)),1,0),1)</f>
        <v>0</v>
      </c>
      <c r="BK181" s="61" t="n">
        <f aca="false">IFERROR(IF(SUMPRODUCT((LEN(BF181)-LEN(SUBSTITUTE(BF181," "&amp;L_PendStrict&amp;" "," ")))/(LEN(L_PendStrict)+1))&gt;SUMPRODUCT((LEN(BF181)-LEN(SUBSTITUTE(BF181," "&amp;L_PendNeg&amp;" "," ")))/(LEN(L_PendNeg)+1)),1,0),1)</f>
        <v>0</v>
      </c>
      <c r="BL181" s="61" t="n">
        <f aca="false">IF(ISNA(MATCH(TRIM(S181),L_EvidenceType,0)),0,BZ181)</f>
        <v>0</v>
      </c>
      <c r="BM181" s="61" t="str">
        <f aca="false">SUBSTITUTE(SUBSTITUTE(SUBSTITUTE(SUBSTITUTE(SUBSTITUTE(SUBSTITUTE(SUBSTITUTE(SUBSTITUTE(SUBSTITUTE(LOWER(Z181&amp;""),"1","0"),"2","0"),"3","0"),"4","0"),"5","0"),"6","0"),"7","0"),"8","0"),"9","0")</f>
        <v/>
      </c>
      <c r="BN181" s="61" t="str">
        <f aca="false">SUBSTITUTE(SUBSTITUTE(SUBSTITUTE(SUBSTITUTE(SUBSTITUTE(SUBSTITUTE(SUBSTITUTE(SUBSTITUTE(SUBSTITUTE(SUBSTITUTE(SUBSTITUTE(SUBSTITUTE(SUBSTITUTE(SUBSTITUTE(SUBSTITUTE(SUBSTITUTE(SUBSTITUTE(SUBSTITUTE(SUBSTITUTE(SUBSTITUTE(SUBSTITUTE(SUBSTITUTE(SUBSTITUTE(SUBSTITUTE(SUBSTITUTE(BM181,"b","a"),"c","a"),"d","a"),"e","a"),"f","a"),"g","a"),"h","a"),"i","a"),"j","a"),"k","a"),"l","a"),"m","a"),"n","a"),"o","a"),"p","a"),"q","a"),"r","a"),"s","a"),"t","a"),"u","a"),"v","a"),"w","a"),"x","a"),"y","a"),"z","a")</f>
        <v/>
      </c>
      <c r="BO181" s="61" t="str">
        <f aca="false">SUBSTITUTE(SUBSTITUTE(SUBSTITUTE(SUBSTITUTE(SUBSTITUTE(SUBSTITUTE(SUBSTITUTE(SUBSTITUTE(SUBSTITUTE(LOWER(W181&amp;""),"1","0"),"2","0"),"3","0"),"4","0"),"5","0"),"6","0"),"7","0"),"8","0"),"9","0")</f>
        <v/>
      </c>
      <c r="BP181" s="61" t="str">
        <f aca="false">SUBSTITUTE(SUBSTITUTE(SUBSTITUTE(SUBSTITUTE(SUBSTITUTE(SUBSTITUTE(SUBSTITUTE(SUBSTITUTE(SUBSTITUTE(SUBSTITUTE(SUBSTITUTE(SUBSTITUTE(SUBSTITUTE(SUBSTITUTE(SUBSTITUTE(SUBSTITUTE(SUBSTITUTE(SUBSTITUTE(SUBSTITUTE(SUBSTITUTE(SUBSTITUTE(SUBSTITUTE(SUBSTITUTE(SUBSTITUTE(SUBSTITUTE(BO181,"b","a"),"c","a"),"d","a"),"e","a"),"f","a"),"g","a"),"h","a"),"i","a"),"j","a"),"k","a"),"l","a"),"m","a"),"n","a"),"o","a"),"p","a"),"q","a"),"r","a"),"s","a"),"t","a"),"u","a"),"v","a"),"w","a"),"x","a"),"y","a"),"z","a")</f>
        <v/>
      </c>
      <c r="BQ181" s="61" t="n">
        <f aca="false">IFERROR(IF(AND(ISERROR(SEARCH(" mh"," "&amp;LOWER(W181))),ISNA(MATCH(LEFT(TRIM(BP181),255),{"0000a","000a","00a","0000aa","000aa","00aa","0aa","0000aaa","000aaa","00a00","0a00","0000-0000","00:00","a00","a0","00.00.0000","00/00/0000","00-00-0000","0000-00-00","0000/00/00","0000.00.00","00.00.00","00/00/00","00-00-00","0.00.0000","0/00/0000","0-00-0000"},0)),ISNA(MATCH(LEFT(TRIM(CA181),255),{"0000a","000a","00a","0000aa","000aa","00aa","0aa","0000aaa","000aaa","00a00","0a00","0000-0000","00:00","a00","a0","00.00.0000","00/00/0000","00-00-0000","0000-00-00","0000/00/00","0000.00.00","00.00.00","00/00/00","00-00-00","0.00.0000","0/00/0000","0-00-0000"},0)),LEN(CB181)&gt;=3,NOT(OR(SUBSTITUTE(CB181,"0","")="",AND(LEN(CB181)&gt;=4,CB181=REPT(LEFT(CB181),LEN(CB181))),ISNUMBER(MATCH(CB181,{"123","1234","12345","123456","1234567","12345678","0123","01234","012345","98765","987654","54321"},0)),AND(LEN(CB181)=8,LEFT(CB181,3)="202"))),OR(AND((LEN(CA181)-LEN(SUBSTITUTE(CA181,"a","")))&gt;=1,SUMPRODUCT(--ISNUMBER(SEARCH({"a0","a-0","a_0","a/0","a.0","a#0","0a","0-a","0_a","0/a"},BP181)))&gt;0),ISNUMBER(SEARCH("000000",BP181)))),1,0),0)</f>
        <v>0</v>
      </c>
      <c r="BR181" s="61" t="n">
        <f aca="false">IFERROR(LEN(SUBSTITUTE(CC181," ",""))-SUMPRODUCT((LEN(CC181)-LEN(SUBSTITUTE(CC181," "&amp;L_Role&amp;" "," ")))/(LEN(L_Role)+1)*LEN(L_Role)),0)</f>
        <v>0</v>
      </c>
      <c r="BS181" s="61" t="n">
        <f aca="false">IFERROR(LEN(SUBSTITUTE(CD181," ",""))-SUMPRODUCT((LEN(CD181)-LEN(SUBSTITUTE(CD181," "&amp;L_Role&amp;" "," ")))/(LEN(L_Role)+1)*LEN(L_Role)),0)</f>
        <v>0</v>
      </c>
      <c r="BT1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181,"revision",""),"version",""),"jan",""),"feb",""),"mar",""),"apr",""),"may",""),"jun",""),"jul",""),"aug",""),"sep",""),"oct",""),"nov",""),"dec",""),"utc",""),"gmt",""),"myt",""),"bst",""),"rev",""),"ver",""),"b","a"),"c","a"),"d","a"),"e","a"),"f","a"),"g","a"),"h","a"),"i","a"),"j","a"),"k","a"),"l","a"),"m","a"),"n","a"),"o","a"),"p","a"),"q","a"),"r","a"),"s","a"),"t","a"),"u","a"),"v","a"),"w","a"),"x","a"),"y","a"),"z","a")</f>
        <v/>
      </c>
      <c r="BU181" s="61" t="str">
        <f aca="false">SUBSTITUTE(SUBSTITUTE(SUBSTITUTE(SUBSTITUTE(SUBSTITUTE(SUBSTITUTE(SUBSTITUTE(SUBSTITUTE(SUBSTITUTE(SUBSTITUTE(LEFT(BM181,FIND("0",BM181&amp;"0")-1),"-",""),"_",""),"/",""),".",""),"#",""),"\\",""),":","")," ",""),"(",""),")","")</f>
        <v/>
      </c>
      <c r="BV181" s="61" t="n">
        <f aca="false">0</f>
        <v>0</v>
      </c>
      <c r="BW1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181&amp;""),"a",""),"b",""),"c",""),"d",""),"e",""),"f",""),"g",""),"h",""),"i",""),"j",""),"k",""),"l",""),"m",""),"n",""),"o",""),"p",""),"q",""),"r",""),"s",""),"t",""),"u",""),"v",""),"w",""),"x",""),"y",""),"z",""),"-",""),"_",""),"/",""),".",""),"#",""),"\\",""),":","")," ",""),"(",""),")","")</f>
        <v/>
      </c>
      <c r="BX181" s="61" t="str">
        <f aca="false">SUBSTITUTE(SUBSTITUTE(SUBSTITUTE(SUBSTITUTE(SUBSTITUTE(SUBSTITUTE(SUBSTITUTE(SUBSTITUTE(SUBSTITUTE(SUBSTITUTE(SUBSTITUTE(BM181,"0",""),"-",""),"_",""),"/",""),".",""),"#",""),"\\",""),":","")," ",""),"(",""),")","")</f>
        <v/>
      </c>
      <c r="BY181" s="62" t="n">
        <f aca="false">Q181-T12EarlyH/24</f>
        <v>46309.6388888889</v>
      </c>
      <c r="BZ181" s="61" t="n">
        <f aca="false">IFERROR(IF(IF(TRIM(S181)="Link / file path",AND(LEN(TRIM(Z181))&gt;=5,SUMPRODUCT(--ISNUMBER(SEARCH({"http","www.","\\",":\",".pdf",".jpg",".jpeg",".png",".heic",".xls",".doc",".msg",".eml",".ppt",".txt",".zip"},Z181)))&gt;0),AND(ISERROR(FIND(" ",TRIM(Z181))),NOT(OR(SUMPRODUCT(--ISNUMBER(FIND({",",";","&amp;","+"},Z181)))&gt;0,SUMPRODUCT(--ISNUMBER(SEARCH({"0/aa","0\\aa"},BN181)))&gt;0)),NOT(SUMPRODUCT(--ISNUMBER(SEARCH({"http","www.","\\",":\",".pdf",".jpg",".jpeg",".png",".heic",".xls",".doc",".msg",".eml",".ppt",".txt",".zip"},Z181)))&gt;0),NOT(LOWER(TRIM(Z181))=LOWER(Flights!$F$10)),ISNA(MATCH(BU181,{"mh","rev","revision","ver","version","v","r","a","b","seat","tray","row","gate","bay","stand","page","pg","item","line","no","cart","galley","flight","flt","table","box","bag","oven","etd","eta","std","sta","atd","ata","qty","pax","x","time","tel","ph","mob","day","wk","week","utc","gmt","myt","lt"},0)),NOT(OR(ISNUMBER(MATCH(LEFT(BN181,255),{"0000a","000a","00a","0000aa","000aa","00aa","0aa","0000aaa","000aaa","00a00","0a00","0000-0000","00:00","a00","a0","00.00.0000","00/00/0000","00-00-0000","0000-00-00","0000/00/00","0000.00.00","00.00.00","00/00/00","00-00-00","0.00.0000","0/00/0000","0-00-0000"},0)),ISNUMBER(MATCH(LEFT(BT181,255),{"0000a","000a","00a","0000aa","000aa","00aa","0aa","0000aaa","000aaa","00a00","0a00","0000-0000","00:00","a00","a0","00.00.0000","00/00/0000","00-00-0000","0000-00-00","0000/00/00","0000.00.00","00.00.00","00/00/00","00-00-00","0.00.0000","0/00/0000","0-00-0000"},0)))),NOT(OR(AND(BW181&lt;&gt;"",SUBSTITUTE(BW181,"0","")=""),AND(LEN(BW181)&gt;=4,BW181=REPT(LEFT(BW181),LEN(BW181))),ISNUMBER(MATCH(BW181,{"123","1234","12345","123456","1234567","12345678","0123","01234","012345","98765","987654","54321"},0)),ISNUMBER(MATCH(BX181,{"x","xx","xxx","xxxx","xxxxx","abc","abcd","nil","na","nan","test","tbc","tba","tbd","dummy","sample","example","eg","zz","zzz","none","null","xyz","qwe","asd","id","ref"},0)),AND(LEN(BW181)=8,BX181="",OR(LEFT(BW181,3)="202",ISNUMBER(MATCH(RIGHT(BW181,4),{"2025","2026","2027"},0)))))),OR(AND((LEN(BT181)-LEN(SUBSTITUTE(BT181,"a","")))&gt;=1,(LEN(BN181)-LEN(SUBSTITUTE(BN181,"0","")))&gt;=2,SUMPRODUCT(--ISNUMBER(SEARCH({"a0","a-0","a_0","a/0","a.0","a#0","0a","0-a","0_a","0/a"},BN181)))&gt;0),AND((LEN(BN181)-LEN(SUBSTITUTE(BN181,"a","")))=0,(LEN(BN181)-LEN(SUBSTITUTE(BN181,"0","")))&gt;=5)))),1,0),0)</f>
        <v>0</v>
      </c>
      <c r="CA1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181,"revision",""),"version",""),"jan",""),"feb",""),"mar",""),"apr",""),"may",""),"jun",""),"jul",""),"aug",""),"sep",""),"oct",""),"nov",""),"dec",""),"utc",""),"gmt",""),"myt",""),"bst",""),"rev",""),"ver",""),"b","a"),"c","a"),"d","a"),"e","a"),"f","a"),"g","a"),"h","a"),"i","a"),"j","a"),"k","a"),"l","a"),"m","a"),"n","a"),"o","a"),"p","a"),"q","a"),"r","a"),"s","a"),"t","a"),"u","a"),"v","a"),"w","a"),"x","a"),"y","a"),"z","a")</f>
        <v/>
      </c>
      <c r="CB1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181&amp;""),"a",""),"b",""),"c",""),"d",""),"e",""),"f",""),"g",""),"h",""),"i",""),"j",""),"k",""),"l",""),"m",""),"n",""),"o",""),"p",""),"q",""),"r",""),"s",""),"t",""),"u",""),"v",""),"w",""),"x",""),"y",""),"z",""),"-",""),"_",""),"/",""),".",""),"#",""),"\\",""),":","")," ",""),"(",""),")","")</f>
        <v/>
      </c>
      <c r="CC181" s="0" t="str">
        <f aca="false">" "&amp;TRIM(SUBSTITUTE(SUBSTITUTE(SUBSTITUTE(SUBSTITUTE(SUBSTITUTE(SUBSTITUTE(SUBSTITUTE(SUBSTITUTE(SUBSTITUTE(SUBSTITUTE(SUBSTITUTE(SUBSTITUTE(SUBSTITUTE(SUBSTITUTE(SUBSTITUTE(SUBSTITUTE(SUBSTITUTE(SUBSTITUTE(SUBSTITUTE(SUBSTITUTE(SUBSTITUTE(SUBSTITUTE(SUBSTITUTE(SUBSTITUTE(LOWER(T181&amp;""),CHAR(10)," "),CHAR(13)," "),CHAR(9)," "),CHAR(160)," "),"."," "),","," "),"-"," "),"/"," "),"("," "),")"," "),":"," "),";"," "),"_"," "),"–"," "),"?"," "),"!"," "),"*"," "),"["," "),"]"," "),"'"," "),"#"," "),"+"," "),"&amp;"," "),"\"," "))&amp;" "</f>
        <v>  </v>
      </c>
      <c r="CD181" s="0" t="str">
        <f aca="false">" "&amp;TRIM(SUBSTITUTE(SUBSTITUTE(SUBSTITUTE(SUBSTITUTE(SUBSTITUTE(SUBSTITUTE(SUBSTITUTE(SUBSTITUTE(SUBSTITUTE(SUBSTITUTE(SUBSTITUTE(SUBSTITUTE(SUBSTITUTE(SUBSTITUTE(SUBSTITUTE(SUBSTITUTE(SUBSTITUTE(SUBSTITUTE(SUBSTITUTE(SUBSTITUTE(SUBSTITUTE(SUBSTITUTE(SUBSTITUTE(SUBSTITUTE(LOWER(AE181&amp;""),CHAR(10)," "),CHAR(13)," "),CHAR(9)," "),CHAR(160)," "),"."," "),","," "),"-"," "),"/"," "),"("," "),")"," "),":"," "),";"," "),"_"," "),"–"," "),"?"," "),"!"," "),"*"," "),"["," "),"]"," "),"'"," "),"#"," "),"+"," "),"&amp;"," "),"\"," "))&amp;" "</f>
        <v>  </v>
      </c>
      <c r="CE181" s="68" t="n">
        <f aca="false">IFERROR(IF(AND(LEN(AU181)&gt;0,LEN(AU181)=LEN(AX181),OR(TRIM(MID(SUBSTITUTE(TRIM(CC181)," ",REPT(" ",60)),1,60))="",ISNUMBER(SEARCH(" "&amp;TRIM(MID(SUBSTITUTE(TRIM(CC181)," ",REPT(" ",60)),1,60))&amp;" ",CD181))),OR(TRIM(MID(SUBSTITUTE(TRIM(CC181)," ",REPT(" ",60)),61,60))="",ISNUMBER(SEARCH(" "&amp;TRIM(MID(SUBSTITUTE(TRIM(CC181)," ",REPT(" ",60)),61,60))&amp;" ",CD181))),OR(TRIM(MID(SUBSTITUTE(TRIM(CC181)," ",REPT(" ",60)),121,60))="",ISNUMBER(SEARCH(" "&amp;TRIM(MID(SUBSTITUTE(TRIM(CC181)," ",REPT(" ",60)),121,60))&amp;" ",CD181)))),1,0),0)</f>
        <v>0</v>
      </c>
      <c r="CG181" s="68" t="n">
        <f aca="false">IFERROR(LEN(SUBSTITUTE(BF181," ",""))-SUMPRODUCT((LEN(BF181)-LEN(SUBSTITUTE(BF181," "&amp;L_NAFiller&amp;" "," ")))/(LEN(L_NAFiller)+1)*LEN(L_NAFiller)),0)</f>
        <v>0</v>
      </c>
    </row>
    <row r="182" customFormat="false" ht="39.75" hidden="false" customHeight="true" outlineLevel="0" collapsed="false">
      <c r="A182" s="57" t="s">
        <v>724</v>
      </c>
      <c r="B182" s="57" t="s">
        <v>231</v>
      </c>
      <c r="C182" s="57" t="str">
        <f aca="false">Flights!$F$10</f>
        <v>MH0002</v>
      </c>
      <c r="D182" s="58" t="n">
        <f aca="false">Flights!$D$10</f>
        <v>46310</v>
      </c>
      <c r="E182" s="57" t="str">
        <f aca="false">Flights!$G$10&amp;"-"&amp;Flights!$H$10</f>
        <v>KUL-LHR</v>
      </c>
      <c r="F182" s="57" t="str">
        <f aca="false">Flights!$K$10</f>
        <v>BC</v>
      </c>
      <c r="G182" s="57" t="s">
        <v>420</v>
      </c>
      <c r="H182" s="57" t="s">
        <v>378</v>
      </c>
      <c r="I182" s="57" t="s">
        <v>428</v>
      </c>
      <c r="J182" s="57" t="s">
        <v>438</v>
      </c>
      <c r="K182" s="67"/>
      <c r="L182" s="67" t="s">
        <v>422</v>
      </c>
      <c r="M182" s="67"/>
      <c r="N182" s="67" t="s">
        <v>383</v>
      </c>
      <c r="O182" s="67" t="s">
        <v>423</v>
      </c>
      <c r="P182" s="57" t="s">
        <v>187</v>
      </c>
      <c r="Q182" s="59" t="n">
        <f aca="false">ROUND((Flights!$AE$10)*1440,0)/1440</f>
        <v>46310.1388888889</v>
      </c>
      <c r="R182" s="59" t="n">
        <f aca="false">Q182+(IF(AND(INDEX(TZ_DSTS,MATCH(P182,TZ_STN,0))&lt;&gt;"",Q182&gt;=INDEX(TZ_DSTS,MATCH(P182,TZ_STN,0)),Q182&lt;INDEX(TZ_DSTE,MATCH(P182,TZ_STN,0))),INDEX(TZ_DST,MATCH(P182,TZ_STN,0)),INDEX(TZ_STD,MATCH(P182,TZ_STN,0))))/24</f>
        <v>46310.4722222222</v>
      </c>
      <c r="S182" s="60"/>
      <c r="T182" s="60"/>
      <c r="U182" s="60"/>
      <c r="V182" s="60"/>
      <c r="W182" s="61"/>
      <c r="X182" s="60"/>
      <c r="Y182" s="60"/>
      <c r="Z182" s="60"/>
      <c r="AA182" s="60"/>
      <c r="AB182" s="60"/>
      <c r="AC182" s="60"/>
      <c r="AD182" s="66"/>
      <c r="AE182" s="60"/>
      <c r="AF182" s="61" t="str">
        <f aca="false">IF(AND(ISNUMBER(X182),ISNUMBER(Y182)),Y182-X182,"")</f>
        <v/>
      </c>
      <c r="AG182" s="62" t="str">
        <f aca="false">IF(ISNUMBER(AD182),AD182-(IF(AND(INDEX(TZ_DSTS,MATCH(P182,TZ_STN,0))&lt;&gt;"",(AD182-INDEX(TZ_STD,MATCH(P182,TZ_STN,0))/24)&gt;=INDEX(TZ_DSTS,MATCH(P182,TZ_STN,0)),(AD182-INDEX(TZ_STD,MATCH(P182,TZ_STN,0))/24)&lt;INDEX(TZ_DSTE,MATCH(P182,TZ_STN,0))),INDEX(TZ_DST,MATCH(P182,TZ_STN,0)),INDEX(TZ_STD,MATCH(P182,TZ_STN,0))))/24,"")</f>
        <v/>
      </c>
      <c r="AH182" s="65" t="str">
        <f aca="false">IFERROR(IF(N182="N/A – rule",IF(OR(TRIM(U182)="",TRIM(U182)="N/A",TRIM(U182)="Not started"),"N/A – RULE","INVALID – this check does not apply to this aircraft: clear the status (or correct the fleet on Flights)"),IF(TRIM(U182)="N/A",IF(AT182=0,"INVALID – N/A not permitted for this check",IF(AND(TRIM(AB182)&lt;&gt;"",TRIM(AB182)&lt;&gt;"Closed"),"INVALID – corrective action still open",IF(AND(NOT(OR(LEN(AZ182)&lt;15,ISNUMBER(MATCH(AZ182,L_Placeholder,0)))),BK182=0,CG182&gt;=8,NOT(OR(LEN(AU182)&lt;2,ISNUMBER(MATCH(AU182,L_Placeholder,0)))),BR182&gt;=3,NOT(OR(LEN(AX182)&lt;2,ISNUMBER(MATCH(AX182,L_Placeholder,0)))),BS182&gt;=3,TRIM(AE182)&lt;&gt;TRIM(T182),AX182&lt;&gt;AU182,CE182=0),"N/A – JUSTIFIED","INVALID – N/A needs a real, settled reason (not 'not applicable' / 'as above' / TBC), a named PIC and a different named verifier"))),IF(OR(TRIM(U182)="Pass",TRIM(U182)="Pass after CA"),IF(NOT(ISNUMBER(AD182)),"INVALID – completion time missing",IF(OR(OR(LEN(AU182)&lt;2,ISNUMBER(MATCH(AU182,L_Placeholder,0))),BR182&lt;3),"INVALID – PIC missing or not a named person (a role such as QA / CSM is not a name)",IF(OR(LEN(AV182)&lt;2,ISNUMBER(MATCH(AV182,L_Placeholder,0))),"INVALID – result / assessment missing",IF(OR(OR(LEN(AW182)&lt;3,ISNUMBER(MATCH(AW182,L_Placeholder,0))),SUMPRODUCT(--ISNUMBER(SEARCH(" "&amp;L_EvidencePhrase&amp;" ",BD182)))&gt;0,BI182=1),"INVALID – evidence missing, placeholder or not yet on file",IF(ISNA(MATCH(TRIM(S182),L_EvidenceType,0)),"INVALID – choose the evidence type from the list (column S)",IF(BL182=0,"INVALID – evidence ID must be the record's own ID only (e.g. SF-2210, IMG_2231, 1045521); a link / file name needs type 'Link / file path'",IF(OR(OR(LEN(AX182)&lt;2,ISNUMBER(MATCH(AX182,L_Placeholder,0))),BS182&lt;3),"INVALID – verifier missing or not a named person (a role such as QA / CSM is not a name)",IF(OR(AX182=AU182,CE182=1,AND(LEN(AU182)&gt;=4,ISNUMBER(SEARCH(AU182,AX182))),AND(LEN(AX182)&gt;=4,ISNUMBER(SEARCH(AX182,AU182)))),"INVALID – verifier must be a different, named person (not the PIC or a role)",IF(BH182=1,"INVALID – result not yet available (awaiting / TBC)",IF(BG182=1,"INVALID – result describes a problem: record Fail, then Pass after CA (or reword if it is not a problem)",IF(BV182=1,"INVALID – wording says not on board: an on-board confirmation needs the item loaded",IF(AND(AQ182=1,OR(OR(LEN(AY182)&lt;3,ISNUMBER(MATCH(AY182,L_Placeholder,0))),BJ182=1,BQ182=0)),"INVALID – batch ID missing, placeholder or not an ID (e.g. PASB-261008-BC-017)",IF(AND(AR182=1,OR(NOT(ISNUMBER(X182)),NOT(ISNUMBER(Y182)))),"INVALID – expected/actual qty missing",IF(AND(AR182=1,OR(X182&lt;=0,Y182&lt;0)),"INVALID – expected qty must be above 0 and actual not negative",IF(BB182&lt;&gt;"",BB182,IF(AND(AS182=1,Documents!$J$10&lt;&gt;"ON FILE"),"INVALID – GLD not on file (Documents sheet)",IF(AND(AS182=2,Documents!$O$10&lt;&gt;"ON FILE"),"INVALID – menu checklist not on file (Documents sheet)",IF(AND(AS182=3,NOT(ISNUMBER(Flights!$AX$10))),"INVALID – enter carrying flight KUL departure (Flights AX)",IF(AND(AS182=3,OR(Flights!$AZ$10&gt;Flights!$AA$10,Flights!$AX$10&lt;Flights!$AA$10-3)),"INVALID – carrying flight (Flights AX) cannot arrive before this leg's STD, or is over 3 days early",IF(AG182&gt;AsOfUTC,"INVALID – completion time is in the future",IF(AND(ISNUMBER(BY182),AG182&lt;BY182),IF(H182="Physical uplift","INVALID – before uplift window (cannot confirm loading)","INVALID – before valid window"),IF(AG182&gt;Flights!$AA$10,"INVALID – completed after departure (cannot establish readiness)",IF(AND(H182="Preparation",AG182&gt;=IF(ISNUMBER(Flights!$BA$10),MIN(Flights!$BA$10,Flights!$AA$10),Flights!$AA$10)),"INVALID – completed after loading / departure (cannot establish readiness)",IF(AND(H182="Physical uplift",AG182&gt;Q182),"INVALID – recorded after the loading flight departed",IF(AG182&gt;Q182,"COMPLETE – LATE","COMPLETE"))))))))))))))))))))))))),IF(TRIM(U182)="Fail","FAIL – DISCREPANCY",IF(AND(TRIM(U182)&lt;&gt;"",TRIM(U182)&lt;&gt;"Not started",TRIM(U182)&lt;&gt;"In progress"),"INVALID – unrecognised status (use the list)",IF(AsOfUTC&gt;Q182,"OVERDUE",IF(N182="Clarification required","OPEN – CLARIFICATION","OPEN"))))))),"INVALID – error value in an input cell")</f>
        <v>OPEN</v>
      </c>
      <c r="AI182" s="61" t="n">
        <f aca="false">IF(OR(AH182="N/A – RULE",AH182="N/A – JUSTIFIED"),0,1)</f>
        <v>1</v>
      </c>
      <c r="AJ182" s="61" t="n">
        <f aca="false">IF(LEFT(AH182,8)="COMPLETE",1,0)</f>
        <v>0</v>
      </c>
      <c r="AK182" s="61" t="n">
        <f aca="false">IF(AND(AI182=1,AJ182=0,AsOfUTC&gt;Q182),1,0)</f>
        <v>0</v>
      </c>
      <c r="AL182" s="61" t="n">
        <f aca="false">IFERROR(IF(AND(AI182=1,OR(TRIM(U182)="Fail",AND(TRIM(AB182)&lt;&gt;"",TRIM(AB182)&lt;&gt;"Closed"),AND(ISNUMBER(AF182),AF182&lt;&gt;0,TRIM(U182)&lt;&gt;"Pass after CA"))),1,0),1)</f>
        <v>0</v>
      </c>
      <c r="AM182" s="61" t="n">
        <f aca="false">IF(LEFT(AH182,7)="INVALID",1,0)</f>
        <v>0</v>
      </c>
      <c r="AN182" s="61" t="n">
        <f aca="false">IF(AND(N182="Clarification required",AI182=1,AJ182=0),1,0)</f>
        <v>0</v>
      </c>
      <c r="AO182" s="61" t="str">
        <f aca="false">IF(AK182=1,SUM(AK$5:AK182),"")</f>
        <v/>
      </c>
      <c r="AP182" s="61" t="str">
        <f aca="false">IF(AL182=1,SUM(AL$5:AL182),"")</f>
        <v/>
      </c>
      <c r="AQ182" s="61" t="n">
        <v>0</v>
      </c>
      <c r="AR182" s="61" t="n">
        <v>0</v>
      </c>
      <c r="AS182" s="61" t="n">
        <v>0</v>
      </c>
      <c r="AT182" s="61" t="n">
        <v>0</v>
      </c>
      <c r="AU182" s="61" t="str">
        <f aca="false">SUBSTITUTE(SUBSTITUTE(SUBSTITUTE(SUBSTITUTE(SUBSTITUTE(SUBSTITUTE(SUBSTITUTE(SUBSTITUTE(SUBSTITUTE(SUBSTITUTE(SUBSTITUTE(SUBSTITUTE(SUBSTITUTE(SUBSTITUTE(SUBSTITUTE(SUBSTITUTE(LOWER(T182&amp;""),CHAR(10),""),CHAR(13),""),CHAR(9),""),CHAR(160),"")," ",""),".",""),"-",""),"/",""),"?",""),"_",""),",",""),"[",""),"]",""),"(",""),")",""),"*","")</f>
        <v/>
      </c>
      <c r="AV182" s="61" t="str">
        <f aca="false">SUBSTITUTE(SUBSTITUTE(SUBSTITUTE(SUBSTITUTE(SUBSTITUTE(SUBSTITUTE(SUBSTITUTE(SUBSTITUTE(SUBSTITUTE(SUBSTITUTE(SUBSTITUTE(SUBSTITUTE(SUBSTITUTE(SUBSTITUTE(SUBSTITUTE(SUBSTITUTE(LOWER(V182&amp;""),CHAR(10),""),CHAR(13),""),CHAR(9),""),CHAR(160),"")," ",""),".",""),"-",""),"/",""),"?",""),"_",""),",",""),"[",""),"]",""),"(",""),")",""),"*","")</f>
        <v/>
      </c>
      <c r="AW182" s="61" t="str">
        <f aca="false">SUBSTITUTE(SUBSTITUTE(SUBSTITUTE(SUBSTITUTE(SUBSTITUTE(SUBSTITUTE(SUBSTITUTE(SUBSTITUTE(SUBSTITUTE(SUBSTITUTE(SUBSTITUTE(SUBSTITUTE(SUBSTITUTE(SUBSTITUTE(SUBSTITUTE(SUBSTITUTE(LOWER(Z182&amp;""),CHAR(10),""),CHAR(13),""),CHAR(9),""),CHAR(160),"")," ",""),".",""),"-",""),"/",""),"?",""),"_",""),",",""),"[",""),"]",""),"(",""),")",""),"*","")</f>
        <v/>
      </c>
      <c r="AX182" s="61" t="str">
        <f aca="false">SUBSTITUTE(SUBSTITUTE(SUBSTITUTE(SUBSTITUTE(SUBSTITUTE(SUBSTITUTE(SUBSTITUTE(SUBSTITUTE(SUBSTITUTE(SUBSTITUTE(SUBSTITUTE(SUBSTITUTE(SUBSTITUTE(SUBSTITUTE(SUBSTITUTE(SUBSTITUTE(LOWER(AE182&amp;""),CHAR(10),""),CHAR(13),""),CHAR(9),""),CHAR(160),"")," ",""),".",""),"-",""),"/",""),"?",""),"_",""),",",""),"[",""),"]",""),"(",""),")",""),"*","")</f>
        <v/>
      </c>
      <c r="AY182" s="61" t="str">
        <f aca="false">SUBSTITUTE(SUBSTITUTE(SUBSTITUTE(SUBSTITUTE(SUBSTITUTE(SUBSTITUTE(SUBSTITUTE(SUBSTITUTE(SUBSTITUTE(SUBSTITUTE(SUBSTITUTE(SUBSTITUTE(SUBSTITUTE(SUBSTITUTE(SUBSTITUTE(SUBSTITUTE(LOWER(W182&amp;""),CHAR(10),""),CHAR(13),""),CHAR(9),""),CHAR(160),"")," ",""),".",""),"-",""),"/",""),"?",""),"_",""),",",""),"[",""),"]",""),"(",""),")",""),"*","")</f>
        <v/>
      </c>
      <c r="AZ182" s="61" t="str">
        <f aca="false">SUBSTITUTE(SUBSTITUTE(SUBSTITUTE(SUBSTITUTE(SUBSTITUTE(SUBSTITUTE(SUBSTITUTE(SUBSTITUTE(SUBSTITUTE(SUBSTITUTE(SUBSTITUTE(SUBSTITUTE(SUBSTITUTE(SUBSTITUTE(SUBSTITUTE(SUBSTITUTE(LOWER(AC182&amp;""),CHAR(10),""),CHAR(13),""),CHAR(9),""),CHAR(160),"")," ",""),".",""),"-",""),"/",""),"?",""),"_",""),",",""),"[",""),"]",""),"(",""),")",""),"*","")</f>
        <v/>
      </c>
      <c r="BA182" s="61" t="str">
        <f aca="false">SUBSTITUTE(SUBSTITUTE(SUBSTITUTE(SUBSTITUTE(SUBSTITUTE(SUBSTITUTE(SUBSTITUTE(SUBSTITUTE(SUBSTITUTE(SUBSTITUTE(SUBSTITUTE(SUBSTITUTE(SUBSTITUTE(SUBSTITUTE(SUBSTITUTE(SUBSTITUTE(LOWER(AA182&amp;""),CHAR(10),""),CHAR(13),""),CHAR(9),""),CHAR(160),"")," ",""),".",""),"-",""),"/",""),"?",""),"_",""),",",""),"[",""),"]",""),"(",""),")",""),"*","")</f>
        <v/>
      </c>
      <c r="BB182" s="61" t="str">
        <f aca="false">IF(AND(TRIM(U182)="Pass",ISNUMBER(AF182)),IF(AF182&lt;&gt;0,"INVALID – qty variance: use Fail or Pass after CA",""),"")&amp;IF(AND(TRIM(U182)="Pass after CA",ISNUMBER(AF182)),IF(AF182&lt;&gt;0,"INVALID – after the corrective action the actual qty must equal expected (update Actual)",""),"")&amp;IF(AND(TRIM(U182)="Pass",TRIM(AB182)&lt;&gt;"",TRIM(AB182)&lt;&gt;"Closed"),"INVALID – corrective action not closed: use Fail, then Pass after CA","")&amp;IF(AND(LEN(BA182)&gt;=2,ISNA(MATCH(LEFT(BA182,255),L_Placeholder,0)),TRIM(AB182)=""),"INVALID – CA status missing for the recorded corrective action","")&amp;IF(AND(TRIM(U182)="Pass after CA",OR(OR(LEN(BA182)&lt;5,ISNUMBER(MATCH(BA182,L_Placeholder,0))),TRIM(AB182)&lt;&gt;"Closed")),"INVALID – corrective action not recorded/closed","")</f>
        <v/>
      </c>
      <c r="BC182" s="61" t="str">
        <f aca="false">" "&amp;TRIM(SUBSTITUTE(SUBSTITUTE(SUBSTITUTE(SUBSTITUTE(SUBSTITUTE(SUBSTITUTE(SUBSTITUTE(SUBSTITUTE(SUBSTITUTE(SUBSTITUTE(SUBSTITUTE(SUBSTITUTE(SUBSTITUTE(SUBSTITUTE(SUBSTITUTE(SUBSTITUTE(SUBSTITUTE(SUBSTITUTE(SUBSTITUTE(SUBSTITUTE(SUBSTITUTE(SUBSTITUTE(SUBSTITUTE(SUBSTITUTE(LOWER(V182&amp;""),CHAR(10)," "),CHAR(13)," "),CHAR(9)," "),CHAR(160)," "),"."," "),","," "),"-"," "),"/"," "),"("," "),")"," "),":"," "),";"," "),"_"," "),"–"," "),"?"," "),"!"," "),"*"," "),"["," "),"]"," "),"'"," "),"#"," "),"+"," "),"&amp;"," "),"\"," "))&amp;" "</f>
        <v>  </v>
      </c>
      <c r="BD182" s="61" t="str">
        <f aca="false">" "&amp;TRIM(SUBSTITUTE(SUBSTITUTE(SUBSTITUTE(SUBSTITUTE(SUBSTITUTE(SUBSTITUTE(SUBSTITUTE(SUBSTITUTE(SUBSTITUTE(SUBSTITUTE(SUBSTITUTE(SUBSTITUTE(SUBSTITUTE(SUBSTITUTE(SUBSTITUTE(SUBSTITUTE(SUBSTITUTE(SUBSTITUTE(SUBSTITUTE(SUBSTITUTE(SUBSTITUTE(SUBSTITUTE(SUBSTITUTE(SUBSTITUTE(LOWER(Z182&amp;""),CHAR(10)," "),CHAR(13)," "),CHAR(9)," "),CHAR(160)," "),"."," "),","," "),"-"," "),"/"," "),"("," "),")"," "),":"," "),";"," "),"_"," "),"–"," "),"?"," "),"!"," "),"*"," "),"["," "),"]"," "),"'"," "),"#"," "),"+"," "),"&amp;"," "),"\"," "))&amp;" "</f>
        <v>  </v>
      </c>
      <c r="BE182" s="61" t="str">
        <f aca="false">" "&amp;TRIM(SUBSTITUTE(SUBSTITUTE(SUBSTITUTE(SUBSTITUTE(SUBSTITUTE(SUBSTITUTE(SUBSTITUTE(SUBSTITUTE(SUBSTITUTE(SUBSTITUTE(SUBSTITUTE(SUBSTITUTE(SUBSTITUTE(SUBSTITUTE(SUBSTITUTE(SUBSTITUTE(SUBSTITUTE(SUBSTITUTE(SUBSTITUTE(SUBSTITUTE(SUBSTITUTE(SUBSTITUTE(SUBSTITUTE(SUBSTITUTE(LOWER(W182&amp;""),CHAR(10)," "),CHAR(13)," "),CHAR(9)," "),CHAR(160)," "),"."," "),","," "),"-"," "),"/"," "),"("," "),")"," "),":"," "),";"," "),"_"," "),"–"," "),"?"," "),"!"," "),"*"," "),"["," "),"]"," "),"'"," "),"#"," "),"+"," "),"&amp;"," "),"\"," "))&amp;" "</f>
        <v>  </v>
      </c>
      <c r="BF182" s="61" t="str">
        <f aca="false">" "&amp;TRIM(SUBSTITUTE(SUBSTITUTE(SUBSTITUTE(SUBSTITUTE(SUBSTITUTE(SUBSTITUTE(SUBSTITUTE(SUBSTITUTE(SUBSTITUTE(SUBSTITUTE(SUBSTITUTE(SUBSTITUTE(SUBSTITUTE(SUBSTITUTE(SUBSTITUTE(SUBSTITUTE(SUBSTITUTE(SUBSTITUTE(SUBSTITUTE(SUBSTITUTE(SUBSTITUTE(SUBSTITUTE(SUBSTITUTE(SUBSTITUTE(LOWER(AC182&amp;""),CHAR(10)," "),CHAR(13)," "),CHAR(9)," "),CHAR(160)," "),"."," "),","," "),"-"," "),"/"," "),"("," "),")"," "),":"," "),";"," "),"_"," "),"–"," "),"?"," "),"!"," "),"*"," "),"["," "),"]"," "),"'"," "),"#"," "),"+"," "),"&amp;"," "),"\"," "))&amp;" "</f>
        <v>  </v>
      </c>
      <c r="BG182" s="61" t="n">
        <f aca="false">IFERROR(IF(AND(TRIM(U182)="Pass",SUMPRODUCT((LEN(BC182)-LEN(SUBSTITUTE(BC182," "&amp;L_ResultBad&amp;" "," ")))/(LEN(L_ResultBad)+1))&gt;SUMPRODUCT((LEN(BC182)-LEN(SUBSTITUTE(BC182," "&amp;L_NegPhrase&amp;" "," ")))/(LEN(L_NegPhrase)+1))),1,0),0)</f>
        <v>0</v>
      </c>
      <c r="BH182" s="61" t="n">
        <f aca="false">IFERROR(IF(SUMPRODUCT((LEN(BC182)-LEN(SUBSTITUTE(BC182," "&amp;L_Pending&amp;" "," ")))/(LEN(L_Pending)+1))&gt;SUMPRODUCT((LEN(BC182)-LEN(SUBSTITUTE(BC182," "&amp;L_PendNeg&amp;" "," ")))/(LEN(L_PendNeg)+1))+SUMPRODUCT((LEN(BC182)-LEN(SUBSTITUTE(BC182," "&amp;L_PendPrep&amp;" "," ")))/(LEN(L_PendPrep)+1)),1,0),1)</f>
        <v>0</v>
      </c>
      <c r="BI182" s="61" t="n">
        <f aca="false">IFERROR(IF(SUMPRODUCT((LEN(BD182)-LEN(SUBSTITUTE(BD182," "&amp;L_PendStrict&amp;" "," ")))/(LEN(L_PendStrict)+1))&gt;SUMPRODUCT((LEN(BD182)-LEN(SUBSTITUTE(BD182," "&amp;L_PendNeg&amp;" "," ")))/(LEN(L_PendNeg)+1)),1,0),1)</f>
        <v>0</v>
      </c>
      <c r="BJ182" s="61" t="n">
        <f aca="false">IFERROR(IF(SUMPRODUCT((LEN(BE182)-LEN(SUBSTITUTE(BE182," "&amp;L_Pending&amp;" "," ")))/(LEN(L_Pending)+1))&gt;SUMPRODUCT((LEN(BE182)-LEN(SUBSTITUTE(BE182," "&amp;L_PendNeg&amp;" "," ")))/(LEN(L_PendNeg)+1))+SUMPRODUCT((LEN(BE182)-LEN(SUBSTITUTE(BE182," "&amp;L_PendPrep&amp;" "," ")))/(LEN(L_PendPrep)+1)),1,0),1)</f>
        <v>0</v>
      </c>
      <c r="BK182" s="61" t="n">
        <f aca="false">IFERROR(IF(SUMPRODUCT((LEN(BF182)-LEN(SUBSTITUTE(BF182," "&amp;L_PendStrict&amp;" "," ")))/(LEN(L_PendStrict)+1))&gt;SUMPRODUCT((LEN(BF182)-LEN(SUBSTITUTE(BF182," "&amp;L_PendNeg&amp;" "," ")))/(LEN(L_PendNeg)+1)),1,0),1)</f>
        <v>0</v>
      </c>
      <c r="BL182" s="61" t="n">
        <f aca="false">IF(ISNA(MATCH(TRIM(S182),L_EvidenceType,0)),0,BZ182)</f>
        <v>0</v>
      </c>
      <c r="BM182" s="61" t="str">
        <f aca="false">SUBSTITUTE(SUBSTITUTE(SUBSTITUTE(SUBSTITUTE(SUBSTITUTE(SUBSTITUTE(SUBSTITUTE(SUBSTITUTE(SUBSTITUTE(LOWER(Z182&amp;""),"1","0"),"2","0"),"3","0"),"4","0"),"5","0"),"6","0"),"7","0"),"8","0"),"9","0")</f>
        <v/>
      </c>
      <c r="BN182" s="61" t="str">
        <f aca="false">SUBSTITUTE(SUBSTITUTE(SUBSTITUTE(SUBSTITUTE(SUBSTITUTE(SUBSTITUTE(SUBSTITUTE(SUBSTITUTE(SUBSTITUTE(SUBSTITUTE(SUBSTITUTE(SUBSTITUTE(SUBSTITUTE(SUBSTITUTE(SUBSTITUTE(SUBSTITUTE(SUBSTITUTE(SUBSTITUTE(SUBSTITUTE(SUBSTITUTE(SUBSTITUTE(SUBSTITUTE(SUBSTITUTE(SUBSTITUTE(SUBSTITUTE(BM182,"b","a"),"c","a"),"d","a"),"e","a"),"f","a"),"g","a"),"h","a"),"i","a"),"j","a"),"k","a"),"l","a"),"m","a"),"n","a"),"o","a"),"p","a"),"q","a"),"r","a"),"s","a"),"t","a"),"u","a"),"v","a"),"w","a"),"x","a"),"y","a"),"z","a")</f>
        <v/>
      </c>
      <c r="BO182" s="61" t="str">
        <f aca="false">SUBSTITUTE(SUBSTITUTE(SUBSTITUTE(SUBSTITUTE(SUBSTITUTE(SUBSTITUTE(SUBSTITUTE(SUBSTITUTE(SUBSTITUTE(LOWER(W182&amp;""),"1","0"),"2","0"),"3","0"),"4","0"),"5","0"),"6","0"),"7","0"),"8","0"),"9","0")</f>
        <v/>
      </c>
      <c r="BP182" s="61" t="str">
        <f aca="false">SUBSTITUTE(SUBSTITUTE(SUBSTITUTE(SUBSTITUTE(SUBSTITUTE(SUBSTITUTE(SUBSTITUTE(SUBSTITUTE(SUBSTITUTE(SUBSTITUTE(SUBSTITUTE(SUBSTITUTE(SUBSTITUTE(SUBSTITUTE(SUBSTITUTE(SUBSTITUTE(SUBSTITUTE(SUBSTITUTE(SUBSTITUTE(SUBSTITUTE(SUBSTITUTE(SUBSTITUTE(SUBSTITUTE(SUBSTITUTE(SUBSTITUTE(BO182,"b","a"),"c","a"),"d","a"),"e","a"),"f","a"),"g","a"),"h","a"),"i","a"),"j","a"),"k","a"),"l","a"),"m","a"),"n","a"),"o","a"),"p","a"),"q","a"),"r","a"),"s","a"),"t","a"),"u","a"),"v","a"),"w","a"),"x","a"),"y","a"),"z","a")</f>
        <v/>
      </c>
      <c r="BQ182" s="61" t="n">
        <f aca="false">IFERROR(IF(AND(ISERROR(SEARCH(" mh"," "&amp;LOWER(W182))),ISNA(MATCH(LEFT(TRIM(BP182),255),{"0000a","000a","00a","0000aa","000aa","00aa","0aa","0000aaa","000aaa","00a00","0a00","0000-0000","00:00","a00","a0","00.00.0000","00/00/0000","00-00-0000","0000-00-00","0000/00/00","0000.00.00","00.00.00","00/00/00","00-00-00","0.00.0000","0/00/0000","0-00-0000"},0)),ISNA(MATCH(LEFT(TRIM(CA182),255),{"0000a","000a","00a","0000aa","000aa","00aa","0aa","0000aaa","000aaa","00a00","0a00","0000-0000","00:00","a00","a0","00.00.0000","00/00/0000","00-00-0000","0000-00-00","0000/00/00","0000.00.00","00.00.00","00/00/00","00-00-00","0.00.0000","0/00/0000","0-00-0000"},0)),LEN(CB182)&gt;=3,NOT(OR(SUBSTITUTE(CB182,"0","")="",AND(LEN(CB182)&gt;=4,CB182=REPT(LEFT(CB182),LEN(CB182))),ISNUMBER(MATCH(CB182,{"123","1234","12345","123456","1234567","12345678","0123","01234","012345","98765","987654","54321"},0)),AND(LEN(CB182)=8,LEFT(CB182,3)="202"))),OR(AND((LEN(CA182)-LEN(SUBSTITUTE(CA182,"a","")))&gt;=1,SUMPRODUCT(--ISNUMBER(SEARCH({"a0","a-0","a_0","a/0","a.0","a#0","0a","0-a","0_a","0/a"},BP182)))&gt;0),ISNUMBER(SEARCH("000000",BP182)))),1,0),0)</f>
        <v>0</v>
      </c>
      <c r="BR182" s="61" t="n">
        <f aca="false">IFERROR(LEN(SUBSTITUTE(CC182," ",""))-SUMPRODUCT((LEN(CC182)-LEN(SUBSTITUTE(CC182," "&amp;L_Role&amp;" "," ")))/(LEN(L_Role)+1)*LEN(L_Role)),0)</f>
        <v>0</v>
      </c>
      <c r="BS182" s="61" t="n">
        <f aca="false">IFERROR(LEN(SUBSTITUTE(CD182," ",""))-SUMPRODUCT((LEN(CD182)-LEN(SUBSTITUTE(CD182," "&amp;L_Role&amp;" "," ")))/(LEN(L_Role)+1)*LEN(L_Role)),0)</f>
        <v>0</v>
      </c>
      <c r="BT1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182,"revision",""),"version",""),"jan",""),"feb",""),"mar",""),"apr",""),"may",""),"jun",""),"jul",""),"aug",""),"sep",""),"oct",""),"nov",""),"dec",""),"utc",""),"gmt",""),"myt",""),"bst",""),"rev",""),"ver",""),"b","a"),"c","a"),"d","a"),"e","a"),"f","a"),"g","a"),"h","a"),"i","a"),"j","a"),"k","a"),"l","a"),"m","a"),"n","a"),"o","a"),"p","a"),"q","a"),"r","a"),"s","a"),"t","a"),"u","a"),"v","a"),"w","a"),"x","a"),"y","a"),"z","a")</f>
        <v/>
      </c>
      <c r="BU182" s="61" t="str">
        <f aca="false">SUBSTITUTE(SUBSTITUTE(SUBSTITUTE(SUBSTITUTE(SUBSTITUTE(SUBSTITUTE(SUBSTITUTE(SUBSTITUTE(SUBSTITUTE(SUBSTITUTE(LEFT(BM182,FIND("0",BM182&amp;"0")-1),"-",""),"_",""),"/",""),".",""),"#",""),"\\",""),":","")," ",""),"(",""),")","")</f>
        <v/>
      </c>
      <c r="BV182" s="61" t="n">
        <f aca="false">0</f>
        <v>0</v>
      </c>
      <c r="BW1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182&amp;""),"a",""),"b",""),"c",""),"d",""),"e",""),"f",""),"g",""),"h",""),"i",""),"j",""),"k",""),"l",""),"m",""),"n",""),"o",""),"p",""),"q",""),"r",""),"s",""),"t",""),"u",""),"v",""),"w",""),"x",""),"y",""),"z",""),"-",""),"_",""),"/",""),".",""),"#",""),"\\",""),":","")," ",""),"(",""),")","")</f>
        <v/>
      </c>
      <c r="BX182" s="61" t="str">
        <f aca="false">SUBSTITUTE(SUBSTITUTE(SUBSTITUTE(SUBSTITUTE(SUBSTITUTE(SUBSTITUTE(SUBSTITUTE(SUBSTITUTE(SUBSTITUTE(SUBSTITUTE(SUBSTITUTE(BM182,"0",""),"-",""),"_",""),"/",""),".",""),"#",""),"\\",""),":","")," ",""),"(",""),")","")</f>
        <v/>
      </c>
      <c r="BY182" s="62" t="n">
        <f aca="false">Q182-T12EarlyH/24</f>
        <v>46309.6388888889</v>
      </c>
      <c r="BZ182" s="61" t="n">
        <f aca="false">IFERROR(IF(IF(TRIM(S182)="Link / file path",AND(LEN(TRIM(Z182))&gt;=5,SUMPRODUCT(--ISNUMBER(SEARCH({"http","www.","\\",":\",".pdf",".jpg",".jpeg",".png",".heic",".xls",".doc",".msg",".eml",".ppt",".txt",".zip"},Z182)))&gt;0),AND(ISERROR(FIND(" ",TRIM(Z182))),NOT(OR(SUMPRODUCT(--ISNUMBER(FIND({",",";","&amp;","+"},Z182)))&gt;0,SUMPRODUCT(--ISNUMBER(SEARCH({"0/aa","0\\aa"},BN182)))&gt;0)),NOT(SUMPRODUCT(--ISNUMBER(SEARCH({"http","www.","\\",":\",".pdf",".jpg",".jpeg",".png",".heic",".xls",".doc",".msg",".eml",".ppt",".txt",".zip"},Z182)))&gt;0),NOT(LOWER(TRIM(Z182))=LOWER(Flights!$F$10)),ISNA(MATCH(BU182,{"mh","rev","revision","ver","version","v","r","a","b","seat","tray","row","gate","bay","stand","page","pg","item","line","no","cart","galley","flight","flt","table","box","bag","oven","etd","eta","std","sta","atd","ata","qty","pax","x","time","tel","ph","mob","day","wk","week","utc","gmt","myt","lt"},0)),NOT(OR(ISNUMBER(MATCH(LEFT(BN182,255),{"0000a","000a","00a","0000aa","000aa","00aa","0aa","0000aaa","000aaa","00a00","0a00","0000-0000","00:00","a00","a0","00.00.0000","00/00/0000","00-00-0000","0000-00-00","0000/00/00","0000.00.00","00.00.00","00/00/00","00-00-00","0.00.0000","0/00/0000","0-00-0000"},0)),ISNUMBER(MATCH(LEFT(BT182,255),{"0000a","000a","00a","0000aa","000aa","00aa","0aa","0000aaa","000aaa","00a00","0a00","0000-0000","00:00","a00","a0","00.00.0000","00/00/0000","00-00-0000","0000-00-00","0000/00/00","0000.00.00","00.00.00","00/00/00","00-00-00","0.00.0000","0/00/0000","0-00-0000"},0)))),NOT(OR(AND(BW182&lt;&gt;"",SUBSTITUTE(BW182,"0","")=""),AND(LEN(BW182)&gt;=4,BW182=REPT(LEFT(BW182),LEN(BW182))),ISNUMBER(MATCH(BW182,{"123","1234","12345","123456","1234567","12345678","0123","01234","012345","98765","987654","54321"},0)),ISNUMBER(MATCH(BX182,{"x","xx","xxx","xxxx","xxxxx","abc","abcd","nil","na","nan","test","tbc","tba","tbd","dummy","sample","example","eg","zz","zzz","none","null","xyz","qwe","asd","id","ref"},0)),AND(LEN(BW182)=8,BX182="",OR(LEFT(BW182,3)="202",ISNUMBER(MATCH(RIGHT(BW182,4),{"2025","2026","2027"},0)))))),OR(AND((LEN(BT182)-LEN(SUBSTITUTE(BT182,"a","")))&gt;=1,(LEN(BN182)-LEN(SUBSTITUTE(BN182,"0","")))&gt;=2,SUMPRODUCT(--ISNUMBER(SEARCH({"a0","a-0","a_0","a/0","a.0","a#0","0a","0-a","0_a","0/a"},BN182)))&gt;0),AND((LEN(BN182)-LEN(SUBSTITUTE(BN182,"a","")))=0,(LEN(BN182)-LEN(SUBSTITUTE(BN182,"0","")))&gt;=5)))),1,0),0)</f>
        <v>0</v>
      </c>
      <c r="CA1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182,"revision",""),"version",""),"jan",""),"feb",""),"mar",""),"apr",""),"may",""),"jun",""),"jul",""),"aug",""),"sep",""),"oct",""),"nov",""),"dec",""),"utc",""),"gmt",""),"myt",""),"bst",""),"rev",""),"ver",""),"b","a"),"c","a"),"d","a"),"e","a"),"f","a"),"g","a"),"h","a"),"i","a"),"j","a"),"k","a"),"l","a"),"m","a"),"n","a"),"o","a"),"p","a"),"q","a"),"r","a"),"s","a"),"t","a"),"u","a"),"v","a"),"w","a"),"x","a"),"y","a"),"z","a")</f>
        <v/>
      </c>
      <c r="CB1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182&amp;""),"a",""),"b",""),"c",""),"d",""),"e",""),"f",""),"g",""),"h",""),"i",""),"j",""),"k",""),"l",""),"m",""),"n",""),"o",""),"p",""),"q",""),"r",""),"s",""),"t",""),"u",""),"v",""),"w",""),"x",""),"y",""),"z",""),"-",""),"_",""),"/",""),".",""),"#",""),"\\",""),":","")," ",""),"(",""),")","")</f>
        <v/>
      </c>
      <c r="CC182" s="0" t="str">
        <f aca="false">" "&amp;TRIM(SUBSTITUTE(SUBSTITUTE(SUBSTITUTE(SUBSTITUTE(SUBSTITUTE(SUBSTITUTE(SUBSTITUTE(SUBSTITUTE(SUBSTITUTE(SUBSTITUTE(SUBSTITUTE(SUBSTITUTE(SUBSTITUTE(SUBSTITUTE(SUBSTITUTE(SUBSTITUTE(SUBSTITUTE(SUBSTITUTE(SUBSTITUTE(SUBSTITUTE(SUBSTITUTE(SUBSTITUTE(SUBSTITUTE(SUBSTITUTE(LOWER(T182&amp;""),CHAR(10)," "),CHAR(13)," "),CHAR(9)," "),CHAR(160)," "),"."," "),","," "),"-"," "),"/"," "),"("," "),")"," "),":"," "),";"," "),"_"," "),"–"," "),"?"," "),"!"," "),"*"," "),"["," "),"]"," "),"'"," "),"#"," "),"+"," "),"&amp;"," "),"\"," "))&amp;" "</f>
        <v>  </v>
      </c>
      <c r="CD182" s="0" t="str">
        <f aca="false">" "&amp;TRIM(SUBSTITUTE(SUBSTITUTE(SUBSTITUTE(SUBSTITUTE(SUBSTITUTE(SUBSTITUTE(SUBSTITUTE(SUBSTITUTE(SUBSTITUTE(SUBSTITUTE(SUBSTITUTE(SUBSTITUTE(SUBSTITUTE(SUBSTITUTE(SUBSTITUTE(SUBSTITUTE(SUBSTITUTE(SUBSTITUTE(SUBSTITUTE(SUBSTITUTE(SUBSTITUTE(SUBSTITUTE(SUBSTITUTE(SUBSTITUTE(LOWER(AE182&amp;""),CHAR(10)," "),CHAR(13)," "),CHAR(9)," "),CHAR(160)," "),"."," "),","," "),"-"," "),"/"," "),"("," "),")"," "),":"," "),";"," "),"_"," "),"–"," "),"?"," "),"!"," "),"*"," "),"["," "),"]"," "),"'"," "),"#"," "),"+"," "),"&amp;"," "),"\"," "))&amp;" "</f>
        <v>  </v>
      </c>
      <c r="CE182" s="68" t="n">
        <f aca="false">IFERROR(IF(AND(LEN(AU182)&gt;0,LEN(AU182)=LEN(AX182),OR(TRIM(MID(SUBSTITUTE(TRIM(CC182)," ",REPT(" ",60)),1,60))="",ISNUMBER(SEARCH(" "&amp;TRIM(MID(SUBSTITUTE(TRIM(CC182)," ",REPT(" ",60)),1,60))&amp;" ",CD182))),OR(TRIM(MID(SUBSTITUTE(TRIM(CC182)," ",REPT(" ",60)),61,60))="",ISNUMBER(SEARCH(" "&amp;TRIM(MID(SUBSTITUTE(TRIM(CC182)," ",REPT(" ",60)),61,60))&amp;" ",CD182))),OR(TRIM(MID(SUBSTITUTE(TRIM(CC182)," ",REPT(" ",60)),121,60))="",ISNUMBER(SEARCH(" "&amp;TRIM(MID(SUBSTITUTE(TRIM(CC182)," ",REPT(" ",60)),121,60))&amp;" ",CD182)))),1,0),0)</f>
        <v>0</v>
      </c>
      <c r="CG182" s="68" t="n">
        <f aca="false">IFERROR(LEN(SUBSTITUTE(BF182," ",""))-SUMPRODUCT((LEN(BF182)-LEN(SUBSTITUTE(BF182," "&amp;L_NAFiller&amp;" "," ")))/(LEN(L_NAFiller)+1)*LEN(L_NAFiller)),0)</f>
        <v>0</v>
      </c>
    </row>
    <row r="183" customFormat="false" ht="91.5" hidden="false" customHeight="true" outlineLevel="0" collapsed="false">
      <c r="A183" s="57" t="s">
        <v>725</v>
      </c>
      <c r="B183" s="57" t="s">
        <v>231</v>
      </c>
      <c r="C183" s="57" t="str">
        <f aca="false">Flights!$F$10</f>
        <v>MH0002</v>
      </c>
      <c r="D183" s="58" t="n">
        <f aca="false">Flights!$D$10</f>
        <v>46310</v>
      </c>
      <c r="E183" s="57" t="str">
        <f aca="false">Flights!$G$10&amp;"-"&amp;Flights!$H$10</f>
        <v>KUL-LHR</v>
      </c>
      <c r="F183" s="57" t="str">
        <f aca="false">Flights!$K$10</f>
        <v>BC</v>
      </c>
      <c r="G183" s="57" t="s">
        <v>420</v>
      </c>
      <c r="H183" s="57" t="s">
        <v>378</v>
      </c>
      <c r="I183" s="57" t="s">
        <v>440</v>
      </c>
      <c r="J183" s="57" t="s">
        <v>441</v>
      </c>
      <c r="K183" s="67" t="s">
        <v>501</v>
      </c>
      <c r="L183" s="67" t="s">
        <v>443</v>
      </c>
      <c r="M183" s="67" t="s">
        <v>726</v>
      </c>
      <c r="N183" s="67" t="s">
        <v>444</v>
      </c>
      <c r="O183" s="67" t="s">
        <v>727</v>
      </c>
      <c r="P183" s="57" t="s">
        <v>187</v>
      </c>
      <c r="Q183" s="59" t="n">
        <f aca="false">ROUND((Flights!$AE$10)*1440,0)/1440</f>
        <v>46310.1388888889</v>
      </c>
      <c r="R183" s="59" t="n">
        <f aca="false">Q183+(IF(AND(INDEX(TZ_DSTS,MATCH(P183,TZ_STN,0))&lt;&gt;"",Q183&gt;=INDEX(TZ_DSTS,MATCH(P183,TZ_STN,0)),Q183&lt;INDEX(TZ_DSTE,MATCH(P183,TZ_STN,0))),INDEX(TZ_DST,MATCH(P183,TZ_STN,0)),INDEX(TZ_STD,MATCH(P183,TZ_STN,0))))/24</f>
        <v>46310.4722222222</v>
      </c>
      <c r="S183" s="60"/>
      <c r="T183" s="60"/>
      <c r="U183" s="60"/>
      <c r="V183" s="60"/>
      <c r="W183" s="61"/>
      <c r="X183" s="60"/>
      <c r="Y183" s="60"/>
      <c r="Z183" s="60"/>
      <c r="AA183" s="60"/>
      <c r="AB183" s="60"/>
      <c r="AC183" s="60"/>
      <c r="AD183" s="66"/>
      <c r="AE183" s="60"/>
      <c r="AF183" s="61" t="str">
        <f aca="false">IF(AND(ISNUMBER(X183),ISNUMBER(Y183)),Y183-X183,"")</f>
        <v/>
      </c>
      <c r="AG183" s="62" t="str">
        <f aca="false">IF(ISNUMBER(AD183),AD183-(IF(AND(INDEX(TZ_DSTS,MATCH(P183,TZ_STN,0))&lt;&gt;"",(AD183-INDEX(TZ_STD,MATCH(P183,TZ_STN,0))/24)&gt;=INDEX(TZ_DSTS,MATCH(P183,TZ_STN,0)),(AD183-INDEX(TZ_STD,MATCH(P183,TZ_STN,0))/24)&lt;INDEX(TZ_DSTE,MATCH(P183,TZ_STN,0))),INDEX(TZ_DST,MATCH(P183,TZ_STN,0)),INDEX(TZ_STD,MATCH(P183,TZ_STN,0))))/24,"")</f>
        <v/>
      </c>
      <c r="AH183" s="65" t="str">
        <f aca="false">IFERROR(IF(N183="N/A – rule",IF(OR(TRIM(U183)="",TRIM(U183)="N/A",TRIM(U183)="Not started"),"N/A – RULE","INVALID – this check does not apply to this aircraft: clear the status (or correct the fleet on Flights)"),IF(TRIM(U183)="N/A",IF(AT183=0,"INVALID – N/A not permitted for this check",IF(AND(TRIM(AB183)&lt;&gt;"",TRIM(AB183)&lt;&gt;"Closed"),"INVALID – corrective action still open",IF(AND(NOT(OR(LEN(AZ183)&lt;15,ISNUMBER(MATCH(AZ183,L_Placeholder,0)))),BK183=0,CG183&gt;=8,NOT(OR(LEN(AU183)&lt;2,ISNUMBER(MATCH(AU183,L_Placeholder,0)))),BR183&gt;=3,NOT(OR(LEN(AX183)&lt;2,ISNUMBER(MATCH(AX183,L_Placeholder,0)))),BS183&gt;=3,TRIM(AE183)&lt;&gt;TRIM(T183),AX183&lt;&gt;AU183,CE183=0),"N/A – JUSTIFIED","INVALID – N/A needs a real, settled reason (not 'not applicable' / 'as above' / TBC), a named PIC and a different named verifier"))),IF(OR(TRIM(U183)="Pass",TRIM(U183)="Pass after CA"),IF(NOT(ISNUMBER(AD183)),"INVALID – completion time missing",IF(OR(OR(LEN(AU183)&lt;2,ISNUMBER(MATCH(AU183,L_Placeholder,0))),BR183&lt;3),"INVALID – PIC missing or not a named person (a role such as QA / CSM is not a name)",IF(OR(LEN(AV183)&lt;2,ISNUMBER(MATCH(AV183,L_Placeholder,0))),"INVALID – result / assessment missing",IF(OR(OR(LEN(AW183)&lt;3,ISNUMBER(MATCH(AW183,L_Placeholder,0))),SUMPRODUCT(--ISNUMBER(SEARCH(" "&amp;L_EvidencePhrase&amp;" ",BD183)))&gt;0,BI183=1),"INVALID – evidence missing, placeholder or not yet on file",IF(ISNA(MATCH(TRIM(S183),L_EvidenceType,0)),"INVALID – choose the evidence type from the list (column S)",IF(BL183=0,"INVALID – evidence ID must be the record's own ID only (e.g. SF-2210, IMG_2231, 1045521); a link / file name needs type 'Link / file path'",IF(OR(OR(LEN(AX183)&lt;2,ISNUMBER(MATCH(AX183,L_Placeholder,0))),BS183&lt;3),"INVALID – verifier missing or not a named person (a role such as QA / CSM is not a name)",IF(OR(AX183=AU183,CE183=1,AND(LEN(AU183)&gt;=4,ISNUMBER(SEARCH(AU183,AX183))),AND(LEN(AX183)&gt;=4,ISNUMBER(SEARCH(AX183,AU183)))),"INVALID – verifier must be a different, named person (not the PIC or a role)",IF(BH183=1,"INVALID – result not yet available (awaiting / TBC)",IF(BG183=1,"INVALID – result describes a problem: record Fail, then Pass after CA (or reword if it is not a problem)",IF(BV183=1,"INVALID – wording says not on board: an on-board confirmation needs the item loaded",IF(AND(AQ183=1,OR(OR(LEN(AY183)&lt;3,ISNUMBER(MATCH(AY183,L_Placeholder,0))),BJ183=1,BQ183=0)),"INVALID – batch ID missing, placeholder or not an ID (e.g. PASB-261008-BC-017)",IF(AND(AR183=1,OR(NOT(ISNUMBER(X183)),NOT(ISNUMBER(Y183)))),"INVALID – expected/actual qty missing",IF(AND(AR183=1,OR(X183&lt;=0,Y183&lt;0)),"INVALID – expected qty must be above 0 and actual not negative",IF(BB183&lt;&gt;"",BB183,IF(AND(AS183=1,Documents!$J$10&lt;&gt;"ON FILE"),"INVALID – GLD not on file (Documents sheet)",IF(AND(AS183=2,Documents!$O$10&lt;&gt;"ON FILE"),"INVALID – menu checklist not on file (Documents sheet)",IF(AND(AS183=3,NOT(ISNUMBER(Flights!$AX$10))),"INVALID – enter carrying flight KUL departure (Flights AX)",IF(AND(AS183=3,OR(Flights!$AZ$10&gt;Flights!$AA$10,Flights!$AX$10&lt;Flights!$AA$10-3)),"INVALID – carrying flight (Flights AX) cannot arrive before this leg's STD, or is over 3 days early",IF(AG183&gt;AsOfUTC,"INVALID – completion time is in the future",IF(AND(ISNUMBER(BY183),AG183&lt;BY183),IF(H183="Physical uplift","INVALID – before uplift window (cannot confirm loading)","INVALID – before valid window"),IF(AG183&gt;Flights!$AA$10,"INVALID – completed after departure (cannot establish readiness)",IF(AND(H183="Preparation",AG183&gt;=IF(ISNUMBER(Flights!$BA$10),MIN(Flights!$BA$10,Flights!$AA$10),Flights!$AA$10)),"INVALID – completed after loading / departure (cannot establish readiness)",IF(AND(H183="Physical uplift",AG183&gt;Q183),"INVALID – recorded after the loading flight departed",IF(AG183&gt;Q183,"COMPLETE – LATE","COMPLETE"))))))))))))))))))))))))),IF(TRIM(U183)="Fail","FAIL – DISCREPANCY",IF(AND(TRIM(U183)&lt;&gt;"",TRIM(U183)&lt;&gt;"Not started",TRIM(U183)&lt;&gt;"In progress"),"INVALID – unrecognised status (use the list)",IF(AsOfUTC&gt;Q183,"OVERDUE",IF(N183="Clarification required","OPEN – CLARIFICATION","OPEN"))))))),"INVALID – error value in an input cell")</f>
        <v>OPEN – CLARIFICATION</v>
      </c>
      <c r="AI183" s="61" t="n">
        <f aca="false">IF(OR(AH183="N/A – RULE",AH183="N/A – JUSTIFIED"),0,1)</f>
        <v>1</v>
      </c>
      <c r="AJ183" s="61" t="n">
        <f aca="false">IF(LEFT(AH183,8)="COMPLETE",1,0)</f>
        <v>0</v>
      </c>
      <c r="AK183" s="61" t="n">
        <f aca="false">IF(AND(AI183=1,AJ183=0,AsOfUTC&gt;Q183),1,0)</f>
        <v>0</v>
      </c>
      <c r="AL183" s="61" t="n">
        <f aca="false">IFERROR(IF(AND(AI183=1,OR(TRIM(U183)="Fail",AND(TRIM(AB183)&lt;&gt;"",TRIM(AB183)&lt;&gt;"Closed"),AND(ISNUMBER(AF183),AF183&lt;&gt;0,TRIM(U183)&lt;&gt;"Pass after CA"))),1,0),1)</f>
        <v>0</v>
      </c>
      <c r="AM183" s="61" t="n">
        <f aca="false">IF(LEFT(AH183,7)="INVALID",1,0)</f>
        <v>0</v>
      </c>
      <c r="AN183" s="61" t="n">
        <f aca="false">IF(AND(N183="Clarification required",AI183=1,AJ183=0),1,0)</f>
        <v>1</v>
      </c>
      <c r="AO183" s="61" t="str">
        <f aca="false">IF(AK183=1,SUM(AK$5:AK183),"")</f>
        <v/>
      </c>
      <c r="AP183" s="61" t="str">
        <f aca="false">IF(AL183=1,SUM(AL$5:AL183),"")</f>
        <v/>
      </c>
      <c r="AQ183" s="61" t="n">
        <v>0</v>
      </c>
      <c r="AR183" s="61" t="n">
        <v>0</v>
      </c>
      <c r="AS183" s="61" t="n">
        <v>0</v>
      </c>
      <c r="AT183" s="61" t="n">
        <v>1</v>
      </c>
      <c r="AU183" s="61" t="str">
        <f aca="false">SUBSTITUTE(SUBSTITUTE(SUBSTITUTE(SUBSTITUTE(SUBSTITUTE(SUBSTITUTE(SUBSTITUTE(SUBSTITUTE(SUBSTITUTE(SUBSTITUTE(SUBSTITUTE(SUBSTITUTE(SUBSTITUTE(SUBSTITUTE(SUBSTITUTE(SUBSTITUTE(LOWER(T183&amp;""),CHAR(10),""),CHAR(13),""),CHAR(9),""),CHAR(160),"")," ",""),".",""),"-",""),"/",""),"?",""),"_",""),",",""),"[",""),"]",""),"(",""),")",""),"*","")</f>
        <v/>
      </c>
      <c r="AV183" s="61" t="str">
        <f aca="false">SUBSTITUTE(SUBSTITUTE(SUBSTITUTE(SUBSTITUTE(SUBSTITUTE(SUBSTITUTE(SUBSTITUTE(SUBSTITUTE(SUBSTITUTE(SUBSTITUTE(SUBSTITUTE(SUBSTITUTE(SUBSTITUTE(SUBSTITUTE(SUBSTITUTE(SUBSTITUTE(LOWER(V183&amp;""),CHAR(10),""),CHAR(13),""),CHAR(9),""),CHAR(160),"")," ",""),".",""),"-",""),"/",""),"?",""),"_",""),",",""),"[",""),"]",""),"(",""),")",""),"*","")</f>
        <v/>
      </c>
      <c r="AW183" s="61" t="str">
        <f aca="false">SUBSTITUTE(SUBSTITUTE(SUBSTITUTE(SUBSTITUTE(SUBSTITUTE(SUBSTITUTE(SUBSTITUTE(SUBSTITUTE(SUBSTITUTE(SUBSTITUTE(SUBSTITUTE(SUBSTITUTE(SUBSTITUTE(SUBSTITUTE(SUBSTITUTE(SUBSTITUTE(LOWER(Z183&amp;""),CHAR(10),""),CHAR(13),""),CHAR(9),""),CHAR(160),"")," ",""),".",""),"-",""),"/",""),"?",""),"_",""),",",""),"[",""),"]",""),"(",""),")",""),"*","")</f>
        <v/>
      </c>
      <c r="AX183" s="61" t="str">
        <f aca="false">SUBSTITUTE(SUBSTITUTE(SUBSTITUTE(SUBSTITUTE(SUBSTITUTE(SUBSTITUTE(SUBSTITUTE(SUBSTITUTE(SUBSTITUTE(SUBSTITUTE(SUBSTITUTE(SUBSTITUTE(SUBSTITUTE(SUBSTITUTE(SUBSTITUTE(SUBSTITUTE(LOWER(AE183&amp;""),CHAR(10),""),CHAR(13),""),CHAR(9),""),CHAR(160),"")," ",""),".",""),"-",""),"/",""),"?",""),"_",""),",",""),"[",""),"]",""),"(",""),")",""),"*","")</f>
        <v/>
      </c>
      <c r="AY183" s="61" t="str">
        <f aca="false">SUBSTITUTE(SUBSTITUTE(SUBSTITUTE(SUBSTITUTE(SUBSTITUTE(SUBSTITUTE(SUBSTITUTE(SUBSTITUTE(SUBSTITUTE(SUBSTITUTE(SUBSTITUTE(SUBSTITUTE(SUBSTITUTE(SUBSTITUTE(SUBSTITUTE(SUBSTITUTE(LOWER(W183&amp;""),CHAR(10),""),CHAR(13),""),CHAR(9),""),CHAR(160),"")," ",""),".",""),"-",""),"/",""),"?",""),"_",""),",",""),"[",""),"]",""),"(",""),")",""),"*","")</f>
        <v/>
      </c>
      <c r="AZ183" s="61" t="str">
        <f aca="false">SUBSTITUTE(SUBSTITUTE(SUBSTITUTE(SUBSTITUTE(SUBSTITUTE(SUBSTITUTE(SUBSTITUTE(SUBSTITUTE(SUBSTITUTE(SUBSTITUTE(SUBSTITUTE(SUBSTITUTE(SUBSTITUTE(SUBSTITUTE(SUBSTITUTE(SUBSTITUTE(LOWER(AC183&amp;""),CHAR(10),""),CHAR(13),""),CHAR(9),""),CHAR(160),"")," ",""),".",""),"-",""),"/",""),"?",""),"_",""),",",""),"[",""),"]",""),"(",""),")",""),"*","")</f>
        <v/>
      </c>
      <c r="BA183" s="61" t="str">
        <f aca="false">SUBSTITUTE(SUBSTITUTE(SUBSTITUTE(SUBSTITUTE(SUBSTITUTE(SUBSTITUTE(SUBSTITUTE(SUBSTITUTE(SUBSTITUTE(SUBSTITUTE(SUBSTITUTE(SUBSTITUTE(SUBSTITUTE(SUBSTITUTE(SUBSTITUTE(SUBSTITUTE(LOWER(AA183&amp;""),CHAR(10),""),CHAR(13),""),CHAR(9),""),CHAR(160),"")," ",""),".",""),"-",""),"/",""),"?",""),"_",""),",",""),"[",""),"]",""),"(",""),")",""),"*","")</f>
        <v/>
      </c>
      <c r="BB183" s="61" t="str">
        <f aca="false">IF(AND(TRIM(U183)="Pass",ISNUMBER(AF183)),IF(AF183&lt;&gt;0,"INVALID – qty variance: use Fail or Pass after CA",""),"")&amp;IF(AND(TRIM(U183)="Pass after CA",ISNUMBER(AF183)),IF(AF183&lt;&gt;0,"INVALID – after the corrective action the actual qty must equal expected (update Actual)",""),"")&amp;IF(AND(TRIM(U183)="Pass",TRIM(AB183)&lt;&gt;"",TRIM(AB183)&lt;&gt;"Closed"),"INVALID – corrective action not closed: use Fail, then Pass after CA","")&amp;IF(AND(LEN(BA183)&gt;=2,ISNA(MATCH(LEFT(BA183,255),L_Placeholder,0)),TRIM(AB183)=""),"INVALID – CA status missing for the recorded corrective action","")&amp;IF(AND(TRIM(U183)="Pass after CA",OR(OR(LEN(BA183)&lt;5,ISNUMBER(MATCH(BA183,L_Placeholder,0))),TRIM(AB183)&lt;&gt;"Closed")),"INVALID – corrective action not recorded/closed","")</f>
        <v/>
      </c>
      <c r="BC183" s="61" t="str">
        <f aca="false">" "&amp;TRIM(SUBSTITUTE(SUBSTITUTE(SUBSTITUTE(SUBSTITUTE(SUBSTITUTE(SUBSTITUTE(SUBSTITUTE(SUBSTITUTE(SUBSTITUTE(SUBSTITUTE(SUBSTITUTE(SUBSTITUTE(SUBSTITUTE(SUBSTITUTE(SUBSTITUTE(SUBSTITUTE(SUBSTITUTE(SUBSTITUTE(SUBSTITUTE(SUBSTITUTE(SUBSTITUTE(SUBSTITUTE(SUBSTITUTE(SUBSTITUTE(LOWER(V183&amp;""),CHAR(10)," "),CHAR(13)," "),CHAR(9)," "),CHAR(160)," "),"."," "),","," "),"-"," "),"/"," "),"("," "),")"," "),":"," "),";"," "),"_"," "),"–"," "),"?"," "),"!"," "),"*"," "),"["," "),"]"," "),"'"," "),"#"," "),"+"," "),"&amp;"," "),"\"," "))&amp;" "</f>
        <v>  </v>
      </c>
      <c r="BD183" s="61" t="str">
        <f aca="false">" "&amp;TRIM(SUBSTITUTE(SUBSTITUTE(SUBSTITUTE(SUBSTITUTE(SUBSTITUTE(SUBSTITUTE(SUBSTITUTE(SUBSTITUTE(SUBSTITUTE(SUBSTITUTE(SUBSTITUTE(SUBSTITUTE(SUBSTITUTE(SUBSTITUTE(SUBSTITUTE(SUBSTITUTE(SUBSTITUTE(SUBSTITUTE(SUBSTITUTE(SUBSTITUTE(SUBSTITUTE(SUBSTITUTE(SUBSTITUTE(SUBSTITUTE(LOWER(Z183&amp;""),CHAR(10)," "),CHAR(13)," "),CHAR(9)," "),CHAR(160)," "),"."," "),","," "),"-"," "),"/"," "),"("," "),")"," "),":"," "),";"," "),"_"," "),"–"," "),"?"," "),"!"," "),"*"," "),"["," "),"]"," "),"'"," "),"#"," "),"+"," "),"&amp;"," "),"\"," "))&amp;" "</f>
        <v>  </v>
      </c>
      <c r="BE183" s="61" t="str">
        <f aca="false">" "&amp;TRIM(SUBSTITUTE(SUBSTITUTE(SUBSTITUTE(SUBSTITUTE(SUBSTITUTE(SUBSTITUTE(SUBSTITUTE(SUBSTITUTE(SUBSTITUTE(SUBSTITUTE(SUBSTITUTE(SUBSTITUTE(SUBSTITUTE(SUBSTITUTE(SUBSTITUTE(SUBSTITUTE(SUBSTITUTE(SUBSTITUTE(SUBSTITUTE(SUBSTITUTE(SUBSTITUTE(SUBSTITUTE(SUBSTITUTE(SUBSTITUTE(LOWER(W183&amp;""),CHAR(10)," "),CHAR(13)," "),CHAR(9)," "),CHAR(160)," "),"."," "),","," "),"-"," "),"/"," "),"("," "),")"," "),":"," "),";"," "),"_"," "),"–"," "),"?"," "),"!"," "),"*"," "),"["," "),"]"," "),"'"," "),"#"," "),"+"," "),"&amp;"," "),"\"," "))&amp;" "</f>
        <v>  </v>
      </c>
      <c r="BF183" s="61" t="str">
        <f aca="false">" "&amp;TRIM(SUBSTITUTE(SUBSTITUTE(SUBSTITUTE(SUBSTITUTE(SUBSTITUTE(SUBSTITUTE(SUBSTITUTE(SUBSTITUTE(SUBSTITUTE(SUBSTITUTE(SUBSTITUTE(SUBSTITUTE(SUBSTITUTE(SUBSTITUTE(SUBSTITUTE(SUBSTITUTE(SUBSTITUTE(SUBSTITUTE(SUBSTITUTE(SUBSTITUTE(SUBSTITUTE(SUBSTITUTE(SUBSTITUTE(SUBSTITUTE(LOWER(AC183&amp;""),CHAR(10)," "),CHAR(13)," "),CHAR(9)," "),CHAR(160)," "),"."," "),","," "),"-"," "),"/"," "),"("," "),")"," "),":"," "),";"," "),"_"," "),"–"," "),"?"," "),"!"," "),"*"," "),"["," "),"]"," "),"'"," "),"#"," "),"+"," "),"&amp;"," "),"\"," "))&amp;" "</f>
        <v>  </v>
      </c>
      <c r="BG183" s="61" t="n">
        <f aca="false">IFERROR(IF(AND(TRIM(U183)="Pass",SUMPRODUCT((LEN(BC183)-LEN(SUBSTITUTE(BC183," "&amp;L_ResultBad&amp;" "," ")))/(LEN(L_ResultBad)+1))&gt;SUMPRODUCT((LEN(BC183)-LEN(SUBSTITUTE(BC183," "&amp;L_NegPhrase&amp;" "," ")))/(LEN(L_NegPhrase)+1))),1,0),0)</f>
        <v>0</v>
      </c>
      <c r="BH183" s="61" t="n">
        <f aca="false">IFERROR(IF(SUMPRODUCT((LEN(BC183)-LEN(SUBSTITUTE(BC183," "&amp;L_Pending&amp;" "," ")))/(LEN(L_Pending)+1))&gt;SUMPRODUCT((LEN(BC183)-LEN(SUBSTITUTE(BC183," "&amp;L_PendNeg&amp;" "," ")))/(LEN(L_PendNeg)+1))+SUMPRODUCT((LEN(BC183)-LEN(SUBSTITUTE(BC183," "&amp;L_PendPrep&amp;" "," ")))/(LEN(L_PendPrep)+1)),1,0),1)</f>
        <v>0</v>
      </c>
      <c r="BI183" s="61" t="n">
        <f aca="false">IFERROR(IF(SUMPRODUCT((LEN(BD183)-LEN(SUBSTITUTE(BD183," "&amp;L_PendStrict&amp;" "," ")))/(LEN(L_PendStrict)+1))&gt;SUMPRODUCT((LEN(BD183)-LEN(SUBSTITUTE(BD183," "&amp;L_PendNeg&amp;" "," ")))/(LEN(L_PendNeg)+1)),1,0),1)</f>
        <v>0</v>
      </c>
      <c r="BJ183" s="61" t="n">
        <f aca="false">IFERROR(IF(SUMPRODUCT((LEN(BE183)-LEN(SUBSTITUTE(BE183," "&amp;L_Pending&amp;" "," ")))/(LEN(L_Pending)+1))&gt;SUMPRODUCT((LEN(BE183)-LEN(SUBSTITUTE(BE183," "&amp;L_PendNeg&amp;" "," ")))/(LEN(L_PendNeg)+1))+SUMPRODUCT((LEN(BE183)-LEN(SUBSTITUTE(BE183," "&amp;L_PendPrep&amp;" "," ")))/(LEN(L_PendPrep)+1)),1,0),1)</f>
        <v>0</v>
      </c>
      <c r="BK183" s="61" t="n">
        <f aca="false">IFERROR(IF(SUMPRODUCT((LEN(BF183)-LEN(SUBSTITUTE(BF183," "&amp;L_PendStrict&amp;" "," ")))/(LEN(L_PendStrict)+1))&gt;SUMPRODUCT((LEN(BF183)-LEN(SUBSTITUTE(BF183," "&amp;L_PendNeg&amp;" "," ")))/(LEN(L_PendNeg)+1)),1,0),1)</f>
        <v>0</v>
      </c>
      <c r="BL183" s="61" t="n">
        <f aca="false">IF(ISNA(MATCH(TRIM(S183),L_EvidenceType,0)),0,BZ183)</f>
        <v>0</v>
      </c>
      <c r="BM183" s="61" t="str">
        <f aca="false">SUBSTITUTE(SUBSTITUTE(SUBSTITUTE(SUBSTITUTE(SUBSTITUTE(SUBSTITUTE(SUBSTITUTE(SUBSTITUTE(SUBSTITUTE(LOWER(Z183&amp;""),"1","0"),"2","0"),"3","0"),"4","0"),"5","0"),"6","0"),"7","0"),"8","0"),"9","0")</f>
        <v/>
      </c>
      <c r="BN183" s="61" t="str">
        <f aca="false">SUBSTITUTE(SUBSTITUTE(SUBSTITUTE(SUBSTITUTE(SUBSTITUTE(SUBSTITUTE(SUBSTITUTE(SUBSTITUTE(SUBSTITUTE(SUBSTITUTE(SUBSTITUTE(SUBSTITUTE(SUBSTITUTE(SUBSTITUTE(SUBSTITUTE(SUBSTITUTE(SUBSTITUTE(SUBSTITUTE(SUBSTITUTE(SUBSTITUTE(SUBSTITUTE(SUBSTITUTE(SUBSTITUTE(SUBSTITUTE(SUBSTITUTE(BM183,"b","a"),"c","a"),"d","a"),"e","a"),"f","a"),"g","a"),"h","a"),"i","a"),"j","a"),"k","a"),"l","a"),"m","a"),"n","a"),"o","a"),"p","a"),"q","a"),"r","a"),"s","a"),"t","a"),"u","a"),"v","a"),"w","a"),"x","a"),"y","a"),"z","a")</f>
        <v/>
      </c>
      <c r="BO183" s="61" t="str">
        <f aca="false">SUBSTITUTE(SUBSTITUTE(SUBSTITUTE(SUBSTITUTE(SUBSTITUTE(SUBSTITUTE(SUBSTITUTE(SUBSTITUTE(SUBSTITUTE(LOWER(W183&amp;""),"1","0"),"2","0"),"3","0"),"4","0"),"5","0"),"6","0"),"7","0"),"8","0"),"9","0")</f>
        <v/>
      </c>
      <c r="BP183" s="61" t="str">
        <f aca="false">SUBSTITUTE(SUBSTITUTE(SUBSTITUTE(SUBSTITUTE(SUBSTITUTE(SUBSTITUTE(SUBSTITUTE(SUBSTITUTE(SUBSTITUTE(SUBSTITUTE(SUBSTITUTE(SUBSTITUTE(SUBSTITUTE(SUBSTITUTE(SUBSTITUTE(SUBSTITUTE(SUBSTITUTE(SUBSTITUTE(SUBSTITUTE(SUBSTITUTE(SUBSTITUTE(SUBSTITUTE(SUBSTITUTE(SUBSTITUTE(SUBSTITUTE(BO183,"b","a"),"c","a"),"d","a"),"e","a"),"f","a"),"g","a"),"h","a"),"i","a"),"j","a"),"k","a"),"l","a"),"m","a"),"n","a"),"o","a"),"p","a"),"q","a"),"r","a"),"s","a"),"t","a"),"u","a"),"v","a"),"w","a"),"x","a"),"y","a"),"z","a")</f>
        <v/>
      </c>
      <c r="BQ183" s="61" t="n">
        <f aca="false">IFERROR(IF(AND(ISERROR(SEARCH(" mh"," "&amp;LOWER(W183))),ISNA(MATCH(LEFT(TRIM(BP183),255),{"0000a","000a","00a","0000aa","000aa","00aa","0aa","0000aaa","000aaa","00a00","0a00","0000-0000","00:00","a00","a0","00.00.0000","00/00/0000","00-00-0000","0000-00-00","0000/00/00","0000.00.00","00.00.00","00/00/00","00-00-00","0.00.0000","0/00/0000","0-00-0000"},0)),ISNA(MATCH(LEFT(TRIM(CA183),255),{"0000a","000a","00a","0000aa","000aa","00aa","0aa","0000aaa","000aaa","00a00","0a00","0000-0000","00:00","a00","a0","00.00.0000","00/00/0000","00-00-0000","0000-00-00","0000/00/00","0000.00.00","00.00.00","00/00/00","00-00-00","0.00.0000","0/00/0000","0-00-0000"},0)),LEN(CB183)&gt;=3,NOT(OR(SUBSTITUTE(CB183,"0","")="",AND(LEN(CB183)&gt;=4,CB183=REPT(LEFT(CB183),LEN(CB183))),ISNUMBER(MATCH(CB183,{"123","1234","12345","123456","1234567","12345678","0123","01234","012345","98765","987654","54321"},0)),AND(LEN(CB183)=8,LEFT(CB183,3)="202"))),OR(AND((LEN(CA183)-LEN(SUBSTITUTE(CA183,"a","")))&gt;=1,SUMPRODUCT(--ISNUMBER(SEARCH({"a0","a-0","a_0","a/0","a.0","a#0","0a","0-a","0_a","0/a"},BP183)))&gt;0),ISNUMBER(SEARCH("000000",BP183)))),1,0),0)</f>
        <v>0</v>
      </c>
      <c r="BR183" s="61" t="n">
        <f aca="false">IFERROR(LEN(SUBSTITUTE(CC183," ",""))-SUMPRODUCT((LEN(CC183)-LEN(SUBSTITUTE(CC183," "&amp;L_Role&amp;" "," ")))/(LEN(L_Role)+1)*LEN(L_Role)),0)</f>
        <v>0</v>
      </c>
      <c r="BS183" s="61" t="n">
        <f aca="false">IFERROR(LEN(SUBSTITUTE(CD183," ",""))-SUMPRODUCT((LEN(CD183)-LEN(SUBSTITUTE(CD183," "&amp;L_Role&amp;" "," ")))/(LEN(L_Role)+1)*LEN(L_Role)),0)</f>
        <v>0</v>
      </c>
      <c r="BT1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183,"revision",""),"version",""),"jan",""),"feb",""),"mar",""),"apr",""),"may",""),"jun",""),"jul",""),"aug",""),"sep",""),"oct",""),"nov",""),"dec",""),"utc",""),"gmt",""),"myt",""),"bst",""),"rev",""),"ver",""),"b","a"),"c","a"),"d","a"),"e","a"),"f","a"),"g","a"),"h","a"),"i","a"),"j","a"),"k","a"),"l","a"),"m","a"),"n","a"),"o","a"),"p","a"),"q","a"),"r","a"),"s","a"),"t","a"),"u","a"),"v","a"),"w","a"),"x","a"),"y","a"),"z","a")</f>
        <v/>
      </c>
      <c r="BU183" s="61" t="str">
        <f aca="false">SUBSTITUTE(SUBSTITUTE(SUBSTITUTE(SUBSTITUTE(SUBSTITUTE(SUBSTITUTE(SUBSTITUTE(SUBSTITUTE(SUBSTITUTE(SUBSTITUTE(LEFT(BM183,FIND("0",BM183&amp;"0")-1),"-",""),"_",""),"/",""),".",""),"#",""),"\\",""),":","")," ",""),"(",""),")","")</f>
        <v/>
      </c>
      <c r="BV183" s="61" t="n">
        <f aca="false">0</f>
        <v>0</v>
      </c>
      <c r="BW1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183&amp;""),"a",""),"b",""),"c",""),"d",""),"e",""),"f",""),"g",""),"h",""),"i",""),"j",""),"k",""),"l",""),"m",""),"n",""),"o",""),"p",""),"q",""),"r",""),"s",""),"t",""),"u",""),"v",""),"w",""),"x",""),"y",""),"z",""),"-",""),"_",""),"/",""),".",""),"#",""),"\\",""),":","")," ",""),"(",""),")","")</f>
        <v/>
      </c>
      <c r="BX183" s="61" t="str">
        <f aca="false">SUBSTITUTE(SUBSTITUTE(SUBSTITUTE(SUBSTITUTE(SUBSTITUTE(SUBSTITUTE(SUBSTITUTE(SUBSTITUTE(SUBSTITUTE(SUBSTITUTE(SUBSTITUTE(BM183,"0",""),"-",""),"_",""),"/",""),".",""),"#",""),"\\",""),":","")," ",""),"(",""),")","")</f>
        <v/>
      </c>
      <c r="BY183" s="62" t="n">
        <f aca="false">Q183-T12EarlyH/24</f>
        <v>46309.6388888889</v>
      </c>
      <c r="BZ183" s="61" t="n">
        <f aca="false">IFERROR(IF(IF(TRIM(S183)="Link / file path",AND(LEN(TRIM(Z183))&gt;=5,SUMPRODUCT(--ISNUMBER(SEARCH({"http","www.","\\",":\",".pdf",".jpg",".jpeg",".png",".heic",".xls",".doc",".msg",".eml",".ppt",".txt",".zip"},Z183)))&gt;0),AND(ISERROR(FIND(" ",TRIM(Z183))),NOT(OR(SUMPRODUCT(--ISNUMBER(FIND({",",";","&amp;","+"},Z183)))&gt;0,SUMPRODUCT(--ISNUMBER(SEARCH({"0/aa","0\\aa"},BN183)))&gt;0)),NOT(SUMPRODUCT(--ISNUMBER(SEARCH({"http","www.","\\",":\",".pdf",".jpg",".jpeg",".png",".heic",".xls",".doc",".msg",".eml",".ppt",".txt",".zip"},Z183)))&gt;0),NOT(LOWER(TRIM(Z183))=LOWER(Flights!$F$10)),ISNA(MATCH(BU183,{"mh","rev","revision","ver","version","v","r","a","b","seat","tray","row","gate","bay","stand","page","pg","item","line","no","cart","galley","flight","flt","table","box","bag","oven","etd","eta","std","sta","atd","ata","qty","pax","x","time","tel","ph","mob","day","wk","week","utc","gmt","myt","lt"},0)),NOT(OR(ISNUMBER(MATCH(LEFT(BN183,255),{"0000a","000a","00a","0000aa","000aa","00aa","0aa","0000aaa","000aaa","00a00","0a00","0000-0000","00:00","a00","a0","00.00.0000","00/00/0000","00-00-0000","0000-00-00","0000/00/00","0000.00.00","00.00.00","00/00/00","00-00-00","0.00.0000","0/00/0000","0-00-0000"},0)),ISNUMBER(MATCH(LEFT(BT183,255),{"0000a","000a","00a","0000aa","000aa","00aa","0aa","0000aaa","000aaa","00a00","0a00","0000-0000","00:00","a00","a0","00.00.0000","00/00/0000","00-00-0000","0000-00-00","0000/00/00","0000.00.00","00.00.00","00/00/00","00-00-00","0.00.0000","0/00/0000","0-00-0000"},0)))),NOT(OR(AND(BW183&lt;&gt;"",SUBSTITUTE(BW183,"0","")=""),AND(LEN(BW183)&gt;=4,BW183=REPT(LEFT(BW183),LEN(BW183))),ISNUMBER(MATCH(BW183,{"123","1234","12345","123456","1234567","12345678","0123","01234","012345","98765","987654","54321"},0)),ISNUMBER(MATCH(BX183,{"x","xx","xxx","xxxx","xxxxx","abc","abcd","nil","na","nan","test","tbc","tba","tbd","dummy","sample","example","eg","zz","zzz","none","null","xyz","qwe","asd","id","ref"},0)),AND(LEN(BW183)=8,BX183="",OR(LEFT(BW183,3)="202",ISNUMBER(MATCH(RIGHT(BW183,4),{"2025","2026","2027"},0)))))),OR(AND((LEN(BT183)-LEN(SUBSTITUTE(BT183,"a","")))&gt;=1,(LEN(BN183)-LEN(SUBSTITUTE(BN183,"0","")))&gt;=2,SUMPRODUCT(--ISNUMBER(SEARCH({"a0","a-0","a_0","a/0","a.0","a#0","0a","0-a","0_a","0/a"},BN183)))&gt;0),AND((LEN(BN183)-LEN(SUBSTITUTE(BN183,"a","")))=0,(LEN(BN183)-LEN(SUBSTITUTE(BN183,"0","")))&gt;=5)))),1,0),0)</f>
        <v>0</v>
      </c>
      <c r="CA1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183,"revision",""),"version",""),"jan",""),"feb",""),"mar",""),"apr",""),"may",""),"jun",""),"jul",""),"aug",""),"sep",""),"oct",""),"nov",""),"dec",""),"utc",""),"gmt",""),"myt",""),"bst",""),"rev",""),"ver",""),"b","a"),"c","a"),"d","a"),"e","a"),"f","a"),"g","a"),"h","a"),"i","a"),"j","a"),"k","a"),"l","a"),"m","a"),"n","a"),"o","a"),"p","a"),"q","a"),"r","a"),"s","a"),"t","a"),"u","a"),"v","a"),"w","a"),"x","a"),"y","a"),"z","a")</f>
        <v/>
      </c>
      <c r="CB1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183&amp;""),"a",""),"b",""),"c",""),"d",""),"e",""),"f",""),"g",""),"h",""),"i",""),"j",""),"k",""),"l",""),"m",""),"n",""),"o",""),"p",""),"q",""),"r",""),"s",""),"t",""),"u",""),"v",""),"w",""),"x",""),"y",""),"z",""),"-",""),"_",""),"/",""),".",""),"#",""),"\\",""),":","")," ",""),"(",""),")","")</f>
        <v/>
      </c>
      <c r="CC183" s="0" t="str">
        <f aca="false">" "&amp;TRIM(SUBSTITUTE(SUBSTITUTE(SUBSTITUTE(SUBSTITUTE(SUBSTITUTE(SUBSTITUTE(SUBSTITUTE(SUBSTITUTE(SUBSTITUTE(SUBSTITUTE(SUBSTITUTE(SUBSTITUTE(SUBSTITUTE(SUBSTITUTE(SUBSTITUTE(SUBSTITUTE(SUBSTITUTE(SUBSTITUTE(SUBSTITUTE(SUBSTITUTE(SUBSTITUTE(SUBSTITUTE(SUBSTITUTE(SUBSTITUTE(LOWER(T183&amp;""),CHAR(10)," "),CHAR(13)," "),CHAR(9)," "),CHAR(160)," "),"."," "),","," "),"-"," "),"/"," "),"("," "),")"," "),":"," "),";"," "),"_"," "),"–"," "),"?"," "),"!"," "),"*"," "),"["," "),"]"," "),"'"," "),"#"," "),"+"," "),"&amp;"," "),"\"," "))&amp;" "</f>
        <v>  </v>
      </c>
      <c r="CD183" s="0" t="str">
        <f aca="false">" "&amp;TRIM(SUBSTITUTE(SUBSTITUTE(SUBSTITUTE(SUBSTITUTE(SUBSTITUTE(SUBSTITUTE(SUBSTITUTE(SUBSTITUTE(SUBSTITUTE(SUBSTITUTE(SUBSTITUTE(SUBSTITUTE(SUBSTITUTE(SUBSTITUTE(SUBSTITUTE(SUBSTITUTE(SUBSTITUTE(SUBSTITUTE(SUBSTITUTE(SUBSTITUTE(SUBSTITUTE(SUBSTITUTE(SUBSTITUTE(SUBSTITUTE(LOWER(AE183&amp;""),CHAR(10)," "),CHAR(13)," "),CHAR(9)," "),CHAR(160)," "),"."," "),","," "),"-"," "),"/"," "),"("," "),")"," "),":"," "),";"," "),"_"," "),"–"," "),"?"," "),"!"," "),"*"," "),"["," "),"]"," "),"'"," "),"#"," "),"+"," "),"&amp;"," "),"\"," "))&amp;" "</f>
        <v>  </v>
      </c>
      <c r="CE183" s="68" t="n">
        <f aca="false">IFERROR(IF(AND(LEN(AU183)&gt;0,LEN(AU183)=LEN(AX183),OR(TRIM(MID(SUBSTITUTE(TRIM(CC183)," ",REPT(" ",60)),1,60))="",ISNUMBER(SEARCH(" "&amp;TRIM(MID(SUBSTITUTE(TRIM(CC183)," ",REPT(" ",60)),1,60))&amp;" ",CD183))),OR(TRIM(MID(SUBSTITUTE(TRIM(CC183)," ",REPT(" ",60)),61,60))="",ISNUMBER(SEARCH(" "&amp;TRIM(MID(SUBSTITUTE(TRIM(CC183)," ",REPT(" ",60)),61,60))&amp;" ",CD183))),OR(TRIM(MID(SUBSTITUTE(TRIM(CC183)," ",REPT(" ",60)),121,60))="",ISNUMBER(SEARCH(" "&amp;TRIM(MID(SUBSTITUTE(TRIM(CC183)," ",REPT(" ",60)),121,60))&amp;" ",CD183)))),1,0),0)</f>
        <v>0</v>
      </c>
      <c r="CG183" s="68" t="n">
        <f aca="false">IFERROR(LEN(SUBSTITUTE(BF183," ",""))-SUMPRODUCT((LEN(BF183)-LEN(SUBSTITUTE(BF183," "&amp;L_NAFiller&amp;" "," ")))/(LEN(L_NAFiller)+1)*LEN(L_NAFiller)),0)</f>
        <v>0</v>
      </c>
    </row>
    <row r="184" customFormat="false" ht="39.75" hidden="false" customHeight="true" outlineLevel="0" collapsed="false">
      <c r="A184" s="57" t="s">
        <v>728</v>
      </c>
      <c r="B184" s="57" t="s">
        <v>231</v>
      </c>
      <c r="C184" s="57" t="str">
        <f aca="false">Flights!$F$10</f>
        <v>MH0002</v>
      </c>
      <c r="D184" s="58" t="n">
        <f aca="false">Flights!$D$10</f>
        <v>46310</v>
      </c>
      <c r="E184" s="57" t="str">
        <f aca="false">Flights!$G$10&amp;"-"&amp;Flights!$H$10</f>
        <v>KUL-LHR</v>
      </c>
      <c r="F184" s="57" t="str">
        <f aca="false">Flights!$K$10</f>
        <v>BC</v>
      </c>
      <c r="G184" s="57" t="s">
        <v>420</v>
      </c>
      <c r="H184" s="57" t="s">
        <v>378</v>
      </c>
      <c r="I184" s="57" t="s">
        <v>440</v>
      </c>
      <c r="J184" s="57" t="s">
        <v>729</v>
      </c>
      <c r="K184" s="67" t="s">
        <v>730</v>
      </c>
      <c r="L184" s="67" t="s">
        <v>731</v>
      </c>
      <c r="M184" s="67" t="s">
        <v>187</v>
      </c>
      <c r="N184" s="67" t="s">
        <v>383</v>
      </c>
      <c r="O184" s="67" t="s">
        <v>732</v>
      </c>
      <c r="P184" s="57" t="s">
        <v>187</v>
      </c>
      <c r="Q184" s="59" t="n">
        <f aca="false">ROUND((Flights!$AE$10)*1440,0)/1440</f>
        <v>46310.1388888889</v>
      </c>
      <c r="R184" s="59" t="n">
        <f aca="false">Q184+(IF(AND(INDEX(TZ_DSTS,MATCH(P184,TZ_STN,0))&lt;&gt;"",Q184&gt;=INDEX(TZ_DSTS,MATCH(P184,TZ_STN,0)),Q184&lt;INDEX(TZ_DSTE,MATCH(P184,TZ_STN,0))),INDEX(TZ_DST,MATCH(P184,TZ_STN,0)),INDEX(TZ_STD,MATCH(P184,TZ_STN,0))))/24</f>
        <v>46310.4722222222</v>
      </c>
      <c r="S184" s="60"/>
      <c r="T184" s="60"/>
      <c r="U184" s="60"/>
      <c r="V184" s="60"/>
      <c r="W184" s="61"/>
      <c r="X184" s="60"/>
      <c r="Y184" s="60"/>
      <c r="Z184" s="60"/>
      <c r="AA184" s="60"/>
      <c r="AB184" s="60"/>
      <c r="AC184" s="60"/>
      <c r="AD184" s="66"/>
      <c r="AE184" s="60"/>
      <c r="AF184" s="61" t="str">
        <f aca="false">IF(AND(ISNUMBER(X184),ISNUMBER(Y184)),Y184-X184,"")</f>
        <v/>
      </c>
      <c r="AG184" s="62" t="str">
        <f aca="false">IF(ISNUMBER(AD184),AD184-(IF(AND(INDEX(TZ_DSTS,MATCH(P184,TZ_STN,0))&lt;&gt;"",(AD184-INDEX(TZ_STD,MATCH(P184,TZ_STN,0))/24)&gt;=INDEX(TZ_DSTS,MATCH(P184,TZ_STN,0)),(AD184-INDEX(TZ_STD,MATCH(P184,TZ_STN,0))/24)&lt;INDEX(TZ_DSTE,MATCH(P184,TZ_STN,0))),INDEX(TZ_DST,MATCH(P184,TZ_STN,0)),INDEX(TZ_STD,MATCH(P184,TZ_STN,0))))/24,"")</f>
        <v/>
      </c>
      <c r="AH184" s="65" t="str">
        <f aca="false">IFERROR(IF(N184="N/A – rule",IF(OR(TRIM(U184)="",TRIM(U184)="N/A",TRIM(U184)="Not started"),"N/A – RULE","INVALID – this check does not apply to this aircraft: clear the status (or correct the fleet on Flights)"),IF(TRIM(U184)="N/A",IF(AT184=0,"INVALID – N/A not permitted for this check",IF(AND(TRIM(AB184)&lt;&gt;"",TRIM(AB184)&lt;&gt;"Closed"),"INVALID – corrective action still open",IF(AND(NOT(OR(LEN(AZ184)&lt;15,ISNUMBER(MATCH(AZ184,L_Placeholder,0)))),BK184=0,CG184&gt;=8,NOT(OR(LEN(AU184)&lt;2,ISNUMBER(MATCH(AU184,L_Placeholder,0)))),BR184&gt;=3,NOT(OR(LEN(AX184)&lt;2,ISNUMBER(MATCH(AX184,L_Placeholder,0)))),BS184&gt;=3,TRIM(AE184)&lt;&gt;TRIM(T184),AX184&lt;&gt;AU184,CE184=0),"N/A – JUSTIFIED","INVALID – N/A needs a real, settled reason (not 'not applicable' / 'as above' / TBC), a named PIC and a different named verifier"))),IF(OR(TRIM(U184)="Pass",TRIM(U184)="Pass after CA"),IF(NOT(ISNUMBER(AD184)),"INVALID – completion time missing",IF(OR(OR(LEN(AU184)&lt;2,ISNUMBER(MATCH(AU184,L_Placeholder,0))),BR184&lt;3),"INVALID – PIC missing or not a named person (a role such as QA / CSM is not a name)",IF(OR(LEN(AV184)&lt;2,ISNUMBER(MATCH(AV184,L_Placeholder,0))),"INVALID – result / assessment missing",IF(OR(OR(LEN(AW184)&lt;3,ISNUMBER(MATCH(AW184,L_Placeholder,0))),SUMPRODUCT(--ISNUMBER(SEARCH(" "&amp;L_EvidencePhrase&amp;" ",BD184)))&gt;0,BI184=1),"INVALID – evidence missing, placeholder or not yet on file",IF(ISNA(MATCH(TRIM(S184),L_EvidenceType,0)),"INVALID – choose the evidence type from the list (column S)",IF(BL184=0,"INVALID – evidence ID must be the record's own ID only (e.g. SF-2210, IMG_2231, 1045521); a link / file name needs type 'Link / file path'",IF(OR(OR(LEN(AX184)&lt;2,ISNUMBER(MATCH(AX184,L_Placeholder,0))),BS184&lt;3),"INVALID – verifier missing or not a named person (a role such as QA / CSM is not a name)",IF(OR(AX184=AU184,CE184=1,AND(LEN(AU184)&gt;=4,ISNUMBER(SEARCH(AU184,AX184))),AND(LEN(AX184)&gt;=4,ISNUMBER(SEARCH(AX184,AU184)))),"INVALID – verifier must be a different, named person (not the PIC or a role)",IF(BH184=1,"INVALID – result not yet available (awaiting / TBC)",IF(BG184=1,"INVALID – result describes a problem: record Fail, then Pass after CA (or reword if it is not a problem)",IF(BV184=1,"INVALID – wording says not on board: an on-board confirmation needs the item loaded",IF(AND(AQ184=1,OR(OR(LEN(AY184)&lt;3,ISNUMBER(MATCH(AY184,L_Placeholder,0))),BJ184=1,BQ184=0)),"INVALID – batch ID missing, placeholder or not an ID (e.g. PASB-261008-BC-017)",IF(AND(AR184=1,OR(NOT(ISNUMBER(X184)),NOT(ISNUMBER(Y184)))),"INVALID – expected/actual qty missing",IF(AND(AR184=1,OR(X184&lt;=0,Y184&lt;0)),"INVALID – expected qty must be above 0 and actual not negative",IF(BB184&lt;&gt;"",BB184,IF(AND(AS184=1,Documents!$J$10&lt;&gt;"ON FILE"),"INVALID – GLD not on file (Documents sheet)",IF(AND(AS184=2,Documents!$O$10&lt;&gt;"ON FILE"),"INVALID – menu checklist not on file (Documents sheet)",IF(AND(AS184=3,NOT(ISNUMBER(Flights!$AX$10))),"INVALID – enter carrying flight KUL departure (Flights AX)",IF(AND(AS184=3,OR(Flights!$AZ$10&gt;Flights!$AA$10,Flights!$AX$10&lt;Flights!$AA$10-3)),"INVALID – carrying flight (Flights AX) cannot arrive before this leg's STD, or is over 3 days early",IF(AG184&gt;AsOfUTC,"INVALID – completion time is in the future",IF(AND(ISNUMBER(BY184),AG184&lt;BY184),IF(H184="Physical uplift","INVALID – before uplift window (cannot confirm loading)","INVALID – before valid window"),IF(AG184&gt;Flights!$AA$10,"INVALID – completed after departure (cannot establish readiness)",IF(AND(H184="Preparation",AG184&gt;=IF(ISNUMBER(Flights!$BA$10),MIN(Flights!$BA$10,Flights!$AA$10),Flights!$AA$10)),"INVALID – completed after loading / departure (cannot establish readiness)",IF(AND(H184="Physical uplift",AG184&gt;Q184),"INVALID – recorded after the loading flight departed",IF(AG184&gt;Q184,"COMPLETE – LATE","COMPLETE"))))))))))))))))))))))))),IF(TRIM(U184)="Fail","FAIL – DISCREPANCY",IF(AND(TRIM(U184)&lt;&gt;"",TRIM(U184)&lt;&gt;"Not started",TRIM(U184)&lt;&gt;"In progress"),"INVALID – unrecognised status (use the list)",IF(AsOfUTC&gt;Q184,"OVERDUE",IF(N184="Clarification required","OPEN – CLARIFICATION","OPEN"))))))),"INVALID – error value in an input cell")</f>
        <v>OPEN</v>
      </c>
      <c r="AI184" s="61" t="n">
        <f aca="false">IF(OR(AH184="N/A – RULE",AH184="N/A – JUSTIFIED"),0,1)</f>
        <v>1</v>
      </c>
      <c r="AJ184" s="61" t="n">
        <f aca="false">IF(LEFT(AH184,8)="COMPLETE",1,0)</f>
        <v>0</v>
      </c>
      <c r="AK184" s="61" t="n">
        <f aca="false">IF(AND(AI184=1,AJ184=0,AsOfUTC&gt;Q184),1,0)</f>
        <v>0</v>
      </c>
      <c r="AL184" s="61" t="n">
        <f aca="false">IFERROR(IF(AND(AI184=1,OR(TRIM(U184)="Fail",AND(TRIM(AB184)&lt;&gt;"",TRIM(AB184)&lt;&gt;"Closed"),AND(ISNUMBER(AF184),AF184&lt;&gt;0,TRIM(U184)&lt;&gt;"Pass after CA"))),1,0),1)</f>
        <v>0</v>
      </c>
      <c r="AM184" s="61" t="n">
        <f aca="false">IF(LEFT(AH184,7)="INVALID",1,0)</f>
        <v>0</v>
      </c>
      <c r="AN184" s="61" t="n">
        <f aca="false">IF(AND(N184="Clarification required",AI184=1,AJ184=0),1,0)</f>
        <v>0</v>
      </c>
      <c r="AO184" s="61" t="str">
        <f aca="false">IF(AK184=1,SUM(AK$5:AK184),"")</f>
        <v/>
      </c>
      <c r="AP184" s="61" t="str">
        <f aca="false">IF(AL184=1,SUM(AL$5:AL184),"")</f>
        <v/>
      </c>
      <c r="AQ184" s="61" t="n">
        <v>0</v>
      </c>
      <c r="AR184" s="61" t="n">
        <v>0</v>
      </c>
      <c r="AS184" s="61" t="n">
        <v>0</v>
      </c>
      <c r="AT184" s="61" t="n">
        <v>0</v>
      </c>
      <c r="AU184" s="61" t="str">
        <f aca="false">SUBSTITUTE(SUBSTITUTE(SUBSTITUTE(SUBSTITUTE(SUBSTITUTE(SUBSTITUTE(SUBSTITUTE(SUBSTITUTE(SUBSTITUTE(SUBSTITUTE(SUBSTITUTE(SUBSTITUTE(SUBSTITUTE(SUBSTITUTE(SUBSTITUTE(SUBSTITUTE(LOWER(T184&amp;""),CHAR(10),""),CHAR(13),""),CHAR(9),""),CHAR(160),"")," ",""),".",""),"-",""),"/",""),"?",""),"_",""),",",""),"[",""),"]",""),"(",""),")",""),"*","")</f>
        <v/>
      </c>
      <c r="AV184" s="61" t="str">
        <f aca="false">SUBSTITUTE(SUBSTITUTE(SUBSTITUTE(SUBSTITUTE(SUBSTITUTE(SUBSTITUTE(SUBSTITUTE(SUBSTITUTE(SUBSTITUTE(SUBSTITUTE(SUBSTITUTE(SUBSTITUTE(SUBSTITUTE(SUBSTITUTE(SUBSTITUTE(SUBSTITUTE(LOWER(V184&amp;""),CHAR(10),""),CHAR(13),""),CHAR(9),""),CHAR(160),"")," ",""),".",""),"-",""),"/",""),"?",""),"_",""),",",""),"[",""),"]",""),"(",""),")",""),"*","")</f>
        <v/>
      </c>
      <c r="AW184" s="61" t="str">
        <f aca="false">SUBSTITUTE(SUBSTITUTE(SUBSTITUTE(SUBSTITUTE(SUBSTITUTE(SUBSTITUTE(SUBSTITUTE(SUBSTITUTE(SUBSTITUTE(SUBSTITUTE(SUBSTITUTE(SUBSTITUTE(SUBSTITUTE(SUBSTITUTE(SUBSTITUTE(SUBSTITUTE(LOWER(Z184&amp;""),CHAR(10),""),CHAR(13),""),CHAR(9),""),CHAR(160),"")," ",""),".",""),"-",""),"/",""),"?",""),"_",""),",",""),"[",""),"]",""),"(",""),")",""),"*","")</f>
        <v/>
      </c>
      <c r="AX184" s="61" t="str">
        <f aca="false">SUBSTITUTE(SUBSTITUTE(SUBSTITUTE(SUBSTITUTE(SUBSTITUTE(SUBSTITUTE(SUBSTITUTE(SUBSTITUTE(SUBSTITUTE(SUBSTITUTE(SUBSTITUTE(SUBSTITUTE(SUBSTITUTE(SUBSTITUTE(SUBSTITUTE(SUBSTITUTE(LOWER(AE184&amp;""),CHAR(10),""),CHAR(13),""),CHAR(9),""),CHAR(160),"")," ",""),".",""),"-",""),"/",""),"?",""),"_",""),",",""),"[",""),"]",""),"(",""),")",""),"*","")</f>
        <v/>
      </c>
      <c r="AY184" s="61" t="str">
        <f aca="false">SUBSTITUTE(SUBSTITUTE(SUBSTITUTE(SUBSTITUTE(SUBSTITUTE(SUBSTITUTE(SUBSTITUTE(SUBSTITUTE(SUBSTITUTE(SUBSTITUTE(SUBSTITUTE(SUBSTITUTE(SUBSTITUTE(SUBSTITUTE(SUBSTITUTE(SUBSTITUTE(LOWER(W184&amp;""),CHAR(10),""),CHAR(13),""),CHAR(9),""),CHAR(160),"")," ",""),".",""),"-",""),"/",""),"?",""),"_",""),",",""),"[",""),"]",""),"(",""),")",""),"*","")</f>
        <v/>
      </c>
      <c r="AZ184" s="61" t="str">
        <f aca="false">SUBSTITUTE(SUBSTITUTE(SUBSTITUTE(SUBSTITUTE(SUBSTITUTE(SUBSTITUTE(SUBSTITUTE(SUBSTITUTE(SUBSTITUTE(SUBSTITUTE(SUBSTITUTE(SUBSTITUTE(SUBSTITUTE(SUBSTITUTE(SUBSTITUTE(SUBSTITUTE(LOWER(AC184&amp;""),CHAR(10),""),CHAR(13),""),CHAR(9),""),CHAR(160),"")," ",""),".",""),"-",""),"/",""),"?",""),"_",""),",",""),"[",""),"]",""),"(",""),")",""),"*","")</f>
        <v/>
      </c>
      <c r="BA184" s="61" t="str">
        <f aca="false">SUBSTITUTE(SUBSTITUTE(SUBSTITUTE(SUBSTITUTE(SUBSTITUTE(SUBSTITUTE(SUBSTITUTE(SUBSTITUTE(SUBSTITUTE(SUBSTITUTE(SUBSTITUTE(SUBSTITUTE(SUBSTITUTE(SUBSTITUTE(SUBSTITUTE(SUBSTITUTE(LOWER(AA184&amp;""),CHAR(10),""),CHAR(13),""),CHAR(9),""),CHAR(160),"")," ",""),".",""),"-",""),"/",""),"?",""),"_",""),",",""),"[",""),"]",""),"(",""),")",""),"*","")</f>
        <v/>
      </c>
      <c r="BB184" s="61" t="str">
        <f aca="false">IF(AND(TRIM(U184)="Pass",ISNUMBER(AF184)),IF(AF184&lt;&gt;0,"INVALID – qty variance: use Fail or Pass after CA",""),"")&amp;IF(AND(TRIM(U184)="Pass after CA",ISNUMBER(AF184)),IF(AF184&lt;&gt;0,"INVALID – after the corrective action the actual qty must equal expected (update Actual)",""),"")&amp;IF(AND(TRIM(U184)="Pass",TRIM(AB184)&lt;&gt;"",TRIM(AB184)&lt;&gt;"Closed"),"INVALID – corrective action not closed: use Fail, then Pass after CA","")&amp;IF(AND(LEN(BA184)&gt;=2,ISNA(MATCH(LEFT(BA184,255),L_Placeholder,0)),TRIM(AB184)=""),"INVALID – CA status missing for the recorded corrective action","")&amp;IF(AND(TRIM(U184)="Pass after CA",OR(OR(LEN(BA184)&lt;5,ISNUMBER(MATCH(BA184,L_Placeholder,0))),TRIM(AB184)&lt;&gt;"Closed")),"INVALID – corrective action not recorded/closed","")</f>
        <v/>
      </c>
      <c r="BC184" s="61" t="str">
        <f aca="false">" "&amp;TRIM(SUBSTITUTE(SUBSTITUTE(SUBSTITUTE(SUBSTITUTE(SUBSTITUTE(SUBSTITUTE(SUBSTITUTE(SUBSTITUTE(SUBSTITUTE(SUBSTITUTE(SUBSTITUTE(SUBSTITUTE(SUBSTITUTE(SUBSTITUTE(SUBSTITUTE(SUBSTITUTE(SUBSTITUTE(SUBSTITUTE(SUBSTITUTE(SUBSTITUTE(SUBSTITUTE(SUBSTITUTE(SUBSTITUTE(SUBSTITUTE(LOWER(V184&amp;""),CHAR(10)," "),CHAR(13)," "),CHAR(9)," "),CHAR(160)," "),"."," "),","," "),"-"," "),"/"," "),"("," "),")"," "),":"," "),";"," "),"_"," "),"–"," "),"?"," "),"!"," "),"*"," "),"["," "),"]"," "),"'"," "),"#"," "),"+"," "),"&amp;"," "),"\"," "))&amp;" "</f>
        <v>  </v>
      </c>
      <c r="BD184" s="61" t="str">
        <f aca="false">" "&amp;TRIM(SUBSTITUTE(SUBSTITUTE(SUBSTITUTE(SUBSTITUTE(SUBSTITUTE(SUBSTITUTE(SUBSTITUTE(SUBSTITUTE(SUBSTITUTE(SUBSTITUTE(SUBSTITUTE(SUBSTITUTE(SUBSTITUTE(SUBSTITUTE(SUBSTITUTE(SUBSTITUTE(SUBSTITUTE(SUBSTITUTE(SUBSTITUTE(SUBSTITUTE(SUBSTITUTE(SUBSTITUTE(SUBSTITUTE(SUBSTITUTE(LOWER(Z184&amp;""),CHAR(10)," "),CHAR(13)," "),CHAR(9)," "),CHAR(160)," "),"."," "),","," "),"-"," "),"/"," "),"("," "),")"," "),":"," "),";"," "),"_"," "),"–"," "),"?"," "),"!"," "),"*"," "),"["," "),"]"," "),"'"," "),"#"," "),"+"," "),"&amp;"," "),"\"," "))&amp;" "</f>
        <v>  </v>
      </c>
      <c r="BE184" s="61" t="str">
        <f aca="false">" "&amp;TRIM(SUBSTITUTE(SUBSTITUTE(SUBSTITUTE(SUBSTITUTE(SUBSTITUTE(SUBSTITUTE(SUBSTITUTE(SUBSTITUTE(SUBSTITUTE(SUBSTITUTE(SUBSTITUTE(SUBSTITUTE(SUBSTITUTE(SUBSTITUTE(SUBSTITUTE(SUBSTITUTE(SUBSTITUTE(SUBSTITUTE(SUBSTITUTE(SUBSTITUTE(SUBSTITUTE(SUBSTITUTE(SUBSTITUTE(SUBSTITUTE(LOWER(W184&amp;""),CHAR(10)," "),CHAR(13)," "),CHAR(9)," "),CHAR(160)," "),"."," "),","," "),"-"," "),"/"," "),"("," "),")"," "),":"," "),";"," "),"_"," "),"–"," "),"?"," "),"!"," "),"*"," "),"["," "),"]"," "),"'"," "),"#"," "),"+"," "),"&amp;"," "),"\"," "))&amp;" "</f>
        <v>  </v>
      </c>
      <c r="BF184" s="61" t="str">
        <f aca="false">" "&amp;TRIM(SUBSTITUTE(SUBSTITUTE(SUBSTITUTE(SUBSTITUTE(SUBSTITUTE(SUBSTITUTE(SUBSTITUTE(SUBSTITUTE(SUBSTITUTE(SUBSTITUTE(SUBSTITUTE(SUBSTITUTE(SUBSTITUTE(SUBSTITUTE(SUBSTITUTE(SUBSTITUTE(SUBSTITUTE(SUBSTITUTE(SUBSTITUTE(SUBSTITUTE(SUBSTITUTE(SUBSTITUTE(SUBSTITUTE(SUBSTITUTE(LOWER(AC184&amp;""),CHAR(10)," "),CHAR(13)," "),CHAR(9)," "),CHAR(160)," "),"."," "),","," "),"-"," "),"/"," "),"("," "),")"," "),":"," "),";"," "),"_"," "),"–"," "),"?"," "),"!"," "),"*"," "),"["," "),"]"," "),"'"," "),"#"," "),"+"," "),"&amp;"," "),"\"," "))&amp;" "</f>
        <v>  </v>
      </c>
      <c r="BG184" s="61" t="n">
        <f aca="false">IFERROR(IF(AND(TRIM(U184)="Pass",SUMPRODUCT((LEN(BC184)-LEN(SUBSTITUTE(BC184," "&amp;L_ResultBad&amp;" "," ")))/(LEN(L_ResultBad)+1))&gt;SUMPRODUCT((LEN(BC184)-LEN(SUBSTITUTE(BC184," "&amp;L_NegPhrase&amp;" "," ")))/(LEN(L_NegPhrase)+1))),1,0),0)</f>
        <v>0</v>
      </c>
      <c r="BH184" s="61" t="n">
        <f aca="false">IFERROR(IF(SUMPRODUCT((LEN(BC184)-LEN(SUBSTITUTE(BC184," "&amp;L_Pending&amp;" "," ")))/(LEN(L_Pending)+1))&gt;SUMPRODUCT((LEN(BC184)-LEN(SUBSTITUTE(BC184," "&amp;L_PendNeg&amp;" "," ")))/(LEN(L_PendNeg)+1))+SUMPRODUCT((LEN(BC184)-LEN(SUBSTITUTE(BC184," "&amp;L_PendPrep&amp;" "," ")))/(LEN(L_PendPrep)+1)),1,0),1)</f>
        <v>0</v>
      </c>
      <c r="BI184" s="61" t="n">
        <f aca="false">IFERROR(IF(SUMPRODUCT((LEN(BD184)-LEN(SUBSTITUTE(BD184," "&amp;L_PendStrict&amp;" "," ")))/(LEN(L_PendStrict)+1))&gt;SUMPRODUCT((LEN(BD184)-LEN(SUBSTITUTE(BD184," "&amp;L_PendNeg&amp;" "," ")))/(LEN(L_PendNeg)+1)),1,0),1)</f>
        <v>0</v>
      </c>
      <c r="BJ184" s="61" t="n">
        <f aca="false">IFERROR(IF(SUMPRODUCT((LEN(BE184)-LEN(SUBSTITUTE(BE184," "&amp;L_Pending&amp;" "," ")))/(LEN(L_Pending)+1))&gt;SUMPRODUCT((LEN(BE184)-LEN(SUBSTITUTE(BE184," "&amp;L_PendNeg&amp;" "," ")))/(LEN(L_PendNeg)+1))+SUMPRODUCT((LEN(BE184)-LEN(SUBSTITUTE(BE184," "&amp;L_PendPrep&amp;" "," ")))/(LEN(L_PendPrep)+1)),1,0),1)</f>
        <v>0</v>
      </c>
      <c r="BK184" s="61" t="n">
        <f aca="false">IFERROR(IF(SUMPRODUCT((LEN(BF184)-LEN(SUBSTITUTE(BF184," "&amp;L_PendStrict&amp;" "," ")))/(LEN(L_PendStrict)+1))&gt;SUMPRODUCT((LEN(BF184)-LEN(SUBSTITUTE(BF184," "&amp;L_PendNeg&amp;" "," ")))/(LEN(L_PendNeg)+1)),1,0),1)</f>
        <v>0</v>
      </c>
      <c r="BL184" s="61" t="n">
        <f aca="false">IF(ISNA(MATCH(TRIM(S184),L_EvidenceType,0)),0,BZ184)</f>
        <v>0</v>
      </c>
      <c r="BM184" s="61" t="str">
        <f aca="false">SUBSTITUTE(SUBSTITUTE(SUBSTITUTE(SUBSTITUTE(SUBSTITUTE(SUBSTITUTE(SUBSTITUTE(SUBSTITUTE(SUBSTITUTE(LOWER(Z184&amp;""),"1","0"),"2","0"),"3","0"),"4","0"),"5","0"),"6","0"),"7","0"),"8","0"),"9","0")</f>
        <v/>
      </c>
      <c r="BN184" s="61" t="str">
        <f aca="false">SUBSTITUTE(SUBSTITUTE(SUBSTITUTE(SUBSTITUTE(SUBSTITUTE(SUBSTITUTE(SUBSTITUTE(SUBSTITUTE(SUBSTITUTE(SUBSTITUTE(SUBSTITUTE(SUBSTITUTE(SUBSTITUTE(SUBSTITUTE(SUBSTITUTE(SUBSTITUTE(SUBSTITUTE(SUBSTITUTE(SUBSTITUTE(SUBSTITUTE(SUBSTITUTE(SUBSTITUTE(SUBSTITUTE(SUBSTITUTE(SUBSTITUTE(BM184,"b","a"),"c","a"),"d","a"),"e","a"),"f","a"),"g","a"),"h","a"),"i","a"),"j","a"),"k","a"),"l","a"),"m","a"),"n","a"),"o","a"),"p","a"),"q","a"),"r","a"),"s","a"),"t","a"),"u","a"),"v","a"),"w","a"),"x","a"),"y","a"),"z","a")</f>
        <v/>
      </c>
      <c r="BO184" s="61" t="str">
        <f aca="false">SUBSTITUTE(SUBSTITUTE(SUBSTITUTE(SUBSTITUTE(SUBSTITUTE(SUBSTITUTE(SUBSTITUTE(SUBSTITUTE(SUBSTITUTE(LOWER(W184&amp;""),"1","0"),"2","0"),"3","0"),"4","0"),"5","0"),"6","0"),"7","0"),"8","0"),"9","0")</f>
        <v/>
      </c>
      <c r="BP184" s="61" t="str">
        <f aca="false">SUBSTITUTE(SUBSTITUTE(SUBSTITUTE(SUBSTITUTE(SUBSTITUTE(SUBSTITUTE(SUBSTITUTE(SUBSTITUTE(SUBSTITUTE(SUBSTITUTE(SUBSTITUTE(SUBSTITUTE(SUBSTITUTE(SUBSTITUTE(SUBSTITUTE(SUBSTITUTE(SUBSTITUTE(SUBSTITUTE(SUBSTITUTE(SUBSTITUTE(SUBSTITUTE(SUBSTITUTE(SUBSTITUTE(SUBSTITUTE(SUBSTITUTE(BO184,"b","a"),"c","a"),"d","a"),"e","a"),"f","a"),"g","a"),"h","a"),"i","a"),"j","a"),"k","a"),"l","a"),"m","a"),"n","a"),"o","a"),"p","a"),"q","a"),"r","a"),"s","a"),"t","a"),"u","a"),"v","a"),"w","a"),"x","a"),"y","a"),"z","a")</f>
        <v/>
      </c>
      <c r="BQ184" s="61" t="n">
        <f aca="false">IFERROR(IF(AND(ISERROR(SEARCH(" mh"," "&amp;LOWER(W184))),ISNA(MATCH(LEFT(TRIM(BP184),255),{"0000a","000a","00a","0000aa","000aa","00aa","0aa","0000aaa","000aaa","00a00","0a00","0000-0000","00:00","a00","a0","00.00.0000","00/00/0000","00-00-0000","0000-00-00","0000/00/00","0000.00.00","00.00.00","00/00/00","00-00-00","0.00.0000","0/00/0000","0-00-0000"},0)),ISNA(MATCH(LEFT(TRIM(CA184),255),{"0000a","000a","00a","0000aa","000aa","00aa","0aa","0000aaa","000aaa","00a00","0a00","0000-0000","00:00","a00","a0","00.00.0000","00/00/0000","00-00-0000","0000-00-00","0000/00/00","0000.00.00","00.00.00","00/00/00","00-00-00","0.00.0000","0/00/0000","0-00-0000"},0)),LEN(CB184)&gt;=3,NOT(OR(SUBSTITUTE(CB184,"0","")="",AND(LEN(CB184)&gt;=4,CB184=REPT(LEFT(CB184),LEN(CB184))),ISNUMBER(MATCH(CB184,{"123","1234","12345","123456","1234567","12345678","0123","01234","012345","98765","987654","54321"},0)),AND(LEN(CB184)=8,LEFT(CB184,3)="202"))),OR(AND((LEN(CA184)-LEN(SUBSTITUTE(CA184,"a","")))&gt;=1,SUMPRODUCT(--ISNUMBER(SEARCH({"a0","a-0","a_0","a/0","a.0","a#0","0a","0-a","0_a","0/a"},BP184)))&gt;0),ISNUMBER(SEARCH("000000",BP184)))),1,0),0)</f>
        <v>0</v>
      </c>
      <c r="BR184" s="61" t="n">
        <f aca="false">IFERROR(LEN(SUBSTITUTE(CC184," ",""))-SUMPRODUCT((LEN(CC184)-LEN(SUBSTITUTE(CC184," "&amp;L_Role&amp;" "," ")))/(LEN(L_Role)+1)*LEN(L_Role)),0)</f>
        <v>0</v>
      </c>
      <c r="BS184" s="61" t="n">
        <f aca="false">IFERROR(LEN(SUBSTITUTE(CD184," ",""))-SUMPRODUCT((LEN(CD184)-LEN(SUBSTITUTE(CD184," "&amp;L_Role&amp;" "," ")))/(LEN(L_Role)+1)*LEN(L_Role)),0)</f>
        <v>0</v>
      </c>
      <c r="BT1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184,"revision",""),"version",""),"jan",""),"feb",""),"mar",""),"apr",""),"may",""),"jun",""),"jul",""),"aug",""),"sep",""),"oct",""),"nov",""),"dec",""),"utc",""),"gmt",""),"myt",""),"bst",""),"rev",""),"ver",""),"b","a"),"c","a"),"d","a"),"e","a"),"f","a"),"g","a"),"h","a"),"i","a"),"j","a"),"k","a"),"l","a"),"m","a"),"n","a"),"o","a"),"p","a"),"q","a"),"r","a"),"s","a"),"t","a"),"u","a"),"v","a"),"w","a"),"x","a"),"y","a"),"z","a")</f>
        <v/>
      </c>
      <c r="BU184" s="61" t="str">
        <f aca="false">SUBSTITUTE(SUBSTITUTE(SUBSTITUTE(SUBSTITUTE(SUBSTITUTE(SUBSTITUTE(SUBSTITUTE(SUBSTITUTE(SUBSTITUTE(SUBSTITUTE(LEFT(BM184,FIND("0",BM184&amp;"0")-1),"-",""),"_",""),"/",""),".",""),"#",""),"\\",""),":","")," ",""),"(",""),")","")</f>
        <v/>
      </c>
      <c r="BV184" s="61" t="n">
        <f aca="false">0</f>
        <v>0</v>
      </c>
      <c r="BW1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184&amp;""),"a",""),"b",""),"c",""),"d",""),"e",""),"f",""),"g",""),"h",""),"i",""),"j",""),"k",""),"l",""),"m",""),"n",""),"o",""),"p",""),"q",""),"r",""),"s",""),"t",""),"u",""),"v",""),"w",""),"x",""),"y",""),"z",""),"-",""),"_",""),"/",""),".",""),"#",""),"\\",""),":","")," ",""),"(",""),")","")</f>
        <v/>
      </c>
      <c r="BX184" s="61" t="str">
        <f aca="false">SUBSTITUTE(SUBSTITUTE(SUBSTITUTE(SUBSTITUTE(SUBSTITUTE(SUBSTITUTE(SUBSTITUTE(SUBSTITUTE(SUBSTITUTE(SUBSTITUTE(SUBSTITUTE(BM184,"0",""),"-",""),"_",""),"/",""),".",""),"#",""),"\\",""),":","")," ",""),"(",""),")","")</f>
        <v/>
      </c>
      <c r="BY184" s="62" t="n">
        <f aca="false">Q184-T12EarlyH/24</f>
        <v>46309.6388888889</v>
      </c>
      <c r="BZ184" s="61" t="n">
        <f aca="false">IFERROR(IF(IF(TRIM(S184)="Link / file path",AND(LEN(TRIM(Z184))&gt;=5,SUMPRODUCT(--ISNUMBER(SEARCH({"http","www.","\\",":\",".pdf",".jpg",".jpeg",".png",".heic",".xls",".doc",".msg",".eml",".ppt",".txt",".zip"},Z184)))&gt;0),AND(ISERROR(FIND(" ",TRIM(Z184))),NOT(OR(SUMPRODUCT(--ISNUMBER(FIND({",",";","&amp;","+"},Z184)))&gt;0,SUMPRODUCT(--ISNUMBER(SEARCH({"0/aa","0\\aa"},BN184)))&gt;0)),NOT(SUMPRODUCT(--ISNUMBER(SEARCH({"http","www.","\\",":\",".pdf",".jpg",".jpeg",".png",".heic",".xls",".doc",".msg",".eml",".ppt",".txt",".zip"},Z184)))&gt;0),NOT(LOWER(TRIM(Z184))=LOWER(Flights!$F$10)),ISNA(MATCH(BU184,{"mh","rev","revision","ver","version","v","r","a","b","seat","tray","row","gate","bay","stand","page","pg","item","line","no","cart","galley","flight","flt","table","box","bag","oven","etd","eta","std","sta","atd","ata","qty","pax","x","time","tel","ph","mob","day","wk","week","utc","gmt","myt","lt"},0)),NOT(OR(ISNUMBER(MATCH(LEFT(BN184,255),{"0000a","000a","00a","0000aa","000aa","00aa","0aa","0000aaa","000aaa","00a00","0a00","0000-0000","00:00","a00","a0","00.00.0000","00/00/0000","00-00-0000","0000-00-00","0000/00/00","0000.00.00","00.00.00","00/00/00","00-00-00","0.00.0000","0/00/0000","0-00-0000"},0)),ISNUMBER(MATCH(LEFT(BT184,255),{"0000a","000a","00a","0000aa","000aa","00aa","0aa","0000aaa","000aaa","00a00","0a00","0000-0000","00:00","a00","a0","00.00.0000","00/00/0000","00-00-0000","0000-00-00","0000/00/00","0000.00.00","00.00.00","00/00/00","00-00-00","0.00.0000","0/00/0000","0-00-0000"},0)))),NOT(OR(AND(BW184&lt;&gt;"",SUBSTITUTE(BW184,"0","")=""),AND(LEN(BW184)&gt;=4,BW184=REPT(LEFT(BW184),LEN(BW184))),ISNUMBER(MATCH(BW184,{"123","1234","12345","123456","1234567","12345678","0123","01234","012345","98765","987654","54321"},0)),ISNUMBER(MATCH(BX184,{"x","xx","xxx","xxxx","xxxxx","abc","abcd","nil","na","nan","test","tbc","tba","tbd","dummy","sample","example","eg","zz","zzz","none","null","xyz","qwe","asd","id","ref"},0)),AND(LEN(BW184)=8,BX184="",OR(LEFT(BW184,3)="202",ISNUMBER(MATCH(RIGHT(BW184,4),{"2025","2026","2027"},0)))))),OR(AND((LEN(BT184)-LEN(SUBSTITUTE(BT184,"a","")))&gt;=1,(LEN(BN184)-LEN(SUBSTITUTE(BN184,"0","")))&gt;=2,SUMPRODUCT(--ISNUMBER(SEARCH({"a0","a-0","a_0","a/0","a.0","a#0","0a","0-a","0_a","0/a"},BN184)))&gt;0),AND((LEN(BN184)-LEN(SUBSTITUTE(BN184,"a","")))=0,(LEN(BN184)-LEN(SUBSTITUTE(BN184,"0","")))&gt;=5)))),1,0),0)</f>
        <v>0</v>
      </c>
      <c r="CA1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184,"revision",""),"version",""),"jan",""),"feb",""),"mar",""),"apr",""),"may",""),"jun",""),"jul",""),"aug",""),"sep",""),"oct",""),"nov",""),"dec",""),"utc",""),"gmt",""),"myt",""),"bst",""),"rev",""),"ver",""),"b","a"),"c","a"),"d","a"),"e","a"),"f","a"),"g","a"),"h","a"),"i","a"),"j","a"),"k","a"),"l","a"),"m","a"),"n","a"),"o","a"),"p","a"),"q","a"),"r","a"),"s","a"),"t","a"),"u","a"),"v","a"),"w","a"),"x","a"),"y","a"),"z","a")</f>
        <v/>
      </c>
      <c r="CB1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184&amp;""),"a",""),"b",""),"c",""),"d",""),"e",""),"f",""),"g",""),"h",""),"i",""),"j",""),"k",""),"l",""),"m",""),"n",""),"o",""),"p",""),"q",""),"r",""),"s",""),"t",""),"u",""),"v",""),"w",""),"x",""),"y",""),"z",""),"-",""),"_",""),"/",""),".",""),"#",""),"\\",""),":","")," ",""),"(",""),")","")</f>
        <v/>
      </c>
      <c r="CC184" s="0" t="str">
        <f aca="false">" "&amp;TRIM(SUBSTITUTE(SUBSTITUTE(SUBSTITUTE(SUBSTITUTE(SUBSTITUTE(SUBSTITUTE(SUBSTITUTE(SUBSTITUTE(SUBSTITUTE(SUBSTITUTE(SUBSTITUTE(SUBSTITUTE(SUBSTITUTE(SUBSTITUTE(SUBSTITUTE(SUBSTITUTE(SUBSTITUTE(SUBSTITUTE(SUBSTITUTE(SUBSTITUTE(SUBSTITUTE(SUBSTITUTE(SUBSTITUTE(SUBSTITUTE(LOWER(T184&amp;""),CHAR(10)," "),CHAR(13)," "),CHAR(9)," "),CHAR(160)," "),"."," "),","," "),"-"," "),"/"," "),"("," "),")"," "),":"," "),";"," "),"_"," "),"–"," "),"?"," "),"!"," "),"*"," "),"["," "),"]"," "),"'"," "),"#"," "),"+"," "),"&amp;"," "),"\"," "))&amp;" "</f>
        <v>  </v>
      </c>
      <c r="CD184" s="0" t="str">
        <f aca="false">" "&amp;TRIM(SUBSTITUTE(SUBSTITUTE(SUBSTITUTE(SUBSTITUTE(SUBSTITUTE(SUBSTITUTE(SUBSTITUTE(SUBSTITUTE(SUBSTITUTE(SUBSTITUTE(SUBSTITUTE(SUBSTITUTE(SUBSTITUTE(SUBSTITUTE(SUBSTITUTE(SUBSTITUTE(SUBSTITUTE(SUBSTITUTE(SUBSTITUTE(SUBSTITUTE(SUBSTITUTE(SUBSTITUTE(SUBSTITUTE(SUBSTITUTE(LOWER(AE184&amp;""),CHAR(10)," "),CHAR(13)," "),CHAR(9)," "),CHAR(160)," "),"."," "),","," "),"-"," "),"/"," "),"("," "),")"," "),":"," "),";"," "),"_"," "),"–"," "),"?"," "),"!"," "),"*"," "),"["," "),"]"," "),"'"," "),"#"," "),"+"," "),"&amp;"," "),"\"," "))&amp;" "</f>
        <v>  </v>
      </c>
      <c r="CE184" s="68" t="n">
        <f aca="false">IFERROR(IF(AND(LEN(AU184)&gt;0,LEN(AU184)=LEN(AX184),OR(TRIM(MID(SUBSTITUTE(TRIM(CC184)," ",REPT(" ",60)),1,60))="",ISNUMBER(SEARCH(" "&amp;TRIM(MID(SUBSTITUTE(TRIM(CC184)," ",REPT(" ",60)),1,60))&amp;" ",CD184))),OR(TRIM(MID(SUBSTITUTE(TRIM(CC184)," ",REPT(" ",60)),61,60))="",ISNUMBER(SEARCH(" "&amp;TRIM(MID(SUBSTITUTE(TRIM(CC184)," ",REPT(" ",60)),61,60))&amp;" ",CD184))),OR(TRIM(MID(SUBSTITUTE(TRIM(CC184)," ",REPT(" ",60)),121,60))="",ISNUMBER(SEARCH(" "&amp;TRIM(MID(SUBSTITUTE(TRIM(CC184)," ",REPT(" ",60)),121,60))&amp;" ",CD184)))),1,0),0)</f>
        <v>0</v>
      </c>
      <c r="CG184" s="68" t="n">
        <f aca="false">IFERROR(LEN(SUBSTITUTE(BF184," ",""))-SUMPRODUCT((LEN(BF184)-LEN(SUBSTITUTE(BF184," "&amp;L_NAFiller&amp;" "," ")))/(LEN(L_NAFiller)+1)*LEN(L_NAFiller)),0)</f>
        <v>0</v>
      </c>
    </row>
    <row r="185" customFormat="false" ht="39.75" hidden="false" customHeight="true" outlineLevel="0" collapsed="false">
      <c r="A185" s="57" t="s">
        <v>733</v>
      </c>
      <c r="B185" s="57" t="s">
        <v>231</v>
      </c>
      <c r="C185" s="57" t="str">
        <f aca="false">Flights!$F$10</f>
        <v>MH0002</v>
      </c>
      <c r="D185" s="58" t="n">
        <f aca="false">Flights!$D$10</f>
        <v>46310</v>
      </c>
      <c r="E185" s="57" t="str">
        <f aca="false">Flights!$G$10&amp;"-"&amp;Flights!$H$10</f>
        <v>KUL-LHR</v>
      </c>
      <c r="F185" s="57" t="str">
        <f aca="false">Flights!$K$10</f>
        <v>BC</v>
      </c>
      <c r="G185" s="57" t="s">
        <v>420</v>
      </c>
      <c r="H185" s="57" t="s">
        <v>378</v>
      </c>
      <c r="I185" s="57" t="s">
        <v>440</v>
      </c>
      <c r="J185" s="57" t="s">
        <v>603</v>
      </c>
      <c r="K185" s="67" t="s">
        <v>501</v>
      </c>
      <c r="L185" s="67" t="s">
        <v>734</v>
      </c>
      <c r="M185" s="67" t="s">
        <v>187</v>
      </c>
      <c r="N185" s="67" t="s">
        <v>383</v>
      </c>
      <c r="O185" s="67"/>
      <c r="P185" s="57" t="s">
        <v>187</v>
      </c>
      <c r="Q185" s="59" t="n">
        <f aca="false">ROUND((Flights!$AE$10)*1440,0)/1440</f>
        <v>46310.1388888889</v>
      </c>
      <c r="R185" s="59" t="n">
        <f aca="false">Q185+(IF(AND(INDEX(TZ_DSTS,MATCH(P185,TZ_STN,0))&lt;&gt;"",Q185&gt;=INDEX(TZ_DSTS,MATCH(P185,TZ_STN,0)),Q185&lt;INDEX(TZ_DSTE,MATCH(P185,TZ_STN,0))),INDEX(TZ_DST,MATCH(P185,TZ_STN,0)),INDEX(TZ_STD,MATCH(P185,TZ_STN,0))))/24</f>
        <v>46310.4722222222</v>
      </c>
      <c r="S185" s="60"/>
      <c r="T185" s="60"/>
      <c r="U185" s="60"/>
      <c r="V185" s="60"/>
      <c r="W185" s="61"/>
      <c r="X185" s="60"/>
      <c r="Y185" s="60"/>
      <c r="Z185" s="60"/>
      <c r="AA185" s="60"/>
      <c r="AB185" s="60"/>
      <c r="AC185" s="60"/>
      <c r="AD185" s="66"/>
      <c r="AE185" s="60"/>
      <c r="AF185" s="61" t="str">
        <f aca="false">IF(AND(ISNUMBER(X185),ISNUMBER(Y185)),Y185-X185,"")</f>
        <v/>
      </c>
      <c r="AG185" s="62" t="str">
        <f aca="false">IF(ISNUMBER(AD185),AD185-(IF(AND(INDEX(TZ_DSTS,MATCH(P185,TZ_STN,0))&lt;&gt;"",(AD185-INDEX(TZ_STD,MATCH(P185,TZ_STN,0))/24)&gt;=INDEX(TZ_DSTS,MATCH(P185,TZ_STN,0)),(AD185-INDEX(TZ_STD,MATCH(P185,TZ_STN,0))/24)&lt;INDEX(TZ_DSTE,MATCH(P185,TZ_STN,0))),INDEX(TZ_DST,MATCH(P185,TZ_STN,0)),INDEX(TZ_STD,MATCH(P185,TZ_STN,0))))/24,"")</f>
        <v/>
      </c>
      <c r="AH185" s="65" t="str">
        <f aca="false">IFERROR(IF(N185="N/A – rule",IF(OR(TRIM(U185)="",TRIM(U185)="N/A",TRIM(U185)="Not started"),"N/A – RULE","INVALID – this check does not apply to this aircraft: clear the status (or correct the fleet on Flights)"),IF(TRIM(U185)="N/A",IF(AT185=0,"INVALID – N/A not permitted for this check",IF(AND(TRIM(AB185)&lt;&gt;"",TRIM(AB185)&lt;&gt;"Closed"),"INVALID – corrective action still open",IF(AND(NOT(OR(LEN(AZ185)&lt;15,ISNUMBER(MATCH(AZ185,L_Placeholder,0)))),BK185=0,CG185&gt;=8,NOT(OR(LEN(AU185)&lt;2,ISNUMBER(MATCH(AU185,L_Placeholder,0)))),BR185&gt;=3,NOT(OR(LEN(AX185)&lt;2,ISNUMBER(MATCH(AX185,L_Placeholder,0)))),BS185&gt;=3,TRIM(AE185)&lt;&gt;TRIM(T185),AX185&lt;&gt;AU185,CE185=0),"N/A – JUSTIFIED","INVALID – N/A needs a real, settled reason (not 'not applicable' / 'as above' / TBC), a named PIC and a different named verifier"))),IF(OR(TRIM(U185)="Pass",TRIM(U185)="Pass after CA"),IF(NOT(ISNUMBER(AD185)),"INVALID – completion time missing",IF(OR(OR(LEN(AU185)&lt;2,ISNUMBER(MATCH(AU185,L_Placeholder,0))),BR185&lt;3),"INVALID – PIC missing or not a named person (a role such as QA / CSM is not a name)",IF(OR(LEN(AV185)&lt;2,ISNUMBER(MATCH(AV185,L_Placeholder,0))),"INVALID – result / assessment missing",IF(OR(OR(LEN(AW185)&lt;3,ISNUMBER(MATCH(AW185,L_Placeholder,0))),SUMPRODUCT(--ISNUMBER(SEARCH(" "&amp;L_EvidencePhrase&amp;" ",BD185)))&gt;0,BI185=1),"INVALID – evidence missing, placeholder or not yet on file",IF(ISNA(MATCH(TRIM(S185),L_EvidenceType,0)),"INVALID – choose the evidence type from the list (column S)",IF(BL185=0,"INVALID – evidence ID must be the record's own ID only (e.g. SF-2210, IMG_2231, 1045521); a link / file name needs type 'Link / file path'",IF(OR(OR(LEN(AX185)&lt;2,ISNUMBER(MATCH(AX185,L_Placeholder,0))),BS185&lt;3),"INVALID – verifier missing or not a named person (a role such as QA / CSM is not a name)",IF(OR(AX185=AU185,CE185=1,AND(LEN(AU185)&gt;=4,ISNUMBER(SEARCH(AU185,AX185))),AND(LEN(AX185)&gt;=4,ISNUMBER(SEARCH(AX185,AU185)))),"INVALID – verifier must be a different, named person (not the PIC or a role)",IF(BH185=1,"INVALID – result not yet available (awaiting / TBC)",IF(BG185=1,"INVALID – result describes a problem: record Fail, then Pass after CA (or reword if it is not a problem)",IF(BV185=1,"INVALID – wording says not on board: an on-board confirmation needs the item loaded",IF(AND(AQ185=1,OR(OR(LEN(AY185)&lt;3,ISNUMBER(MATCH(AY185,L_Placeholder,0))),BJ185=1,BQ185=0)),"INVALID – batch ID missing, placeholder or not an ID (e.g. PASB-261008-BC-017)",IF(AND(AR185=1,OR(NOT(ISNUMBER(X185)),NOT(ISNUMBER(Y185)))),"INVALID – expected/actual qty missing",IF(AND(AR185=1,OR(X185&lt;=0,Y185&lt;0)),"INVALID – expected qty must be above 0 and actual not negative",IF(BB185&lt;&gt;"",BB185,IF(AND(AS185=1,Documents!$J$10&lt;&gt;"ON FILE"),"INVALID – GLD not on file (Documents sheet)",IF(AND(AS185=2,Documents!$O$10&lt;&gt;"ON FILE"),"INVALID – menu checklist not on file (Documents sheet)",IF(AND(AS185=3,NOT(ISNUMBER(Flights!$AX$10))),"INVALID – enter carrying flight KUL departure (Flights AX)",IF(AND(AS185=3,OR(Flights!$AZ$10&gt;Flights!$AA$10,Flights!$AX$10&lt;Flights!$AA$10-3)),"INVALID – carrying flight (Flights AX) cannot arrive before this leg's STD, or is over 3 days early",IF(AG185&gt;AsOfUTC,"INVALID – completion time is in the future",IF(AND(ISNUMBER(BY185),AG185&lt;BY185),IF(H185="Physical uplift","INVALID – before uplift window (cannot confirm loading)","INVALID – before valid window"),IF(AG185&gt;Flights!$AA$10,"INVALID – completed after departure (cannot establish readiness)",IF(AND(H185="Preparation",AG185&gt;=IF(ISNUMBER(Flights!$BA$10),MIN(Flights!$BA$10,Flights!$AA$10),Flights!$AA$10)),"INVALID – completed after loading / departure (cannot establish readiness)",IF(AND(H185="Physical uplift",AG185&gt;Q185),"INVALID – recorded after the loading flight departed",IF(AG185&gt;Q185,"COMPLETE – LATE","COMPLETE"))))))))))))))))))))))))),IF(TRIM(U185)="Fail","FAIL – DISCREPANCY",IF(AND(TRIM(U185)&lt;&gt;"",TRIM(U185)&lt;&gt;"Not started",TRIM(U185)&lt;&gt;"In progress"),"INVALID – unrecognised status (use the list)",IF(AsOfUTC&gt;Q185,"OVERDUE",IF(N185="Clarification required","OPEN – CLARIFICATION","OPEN"))))))),"INVALID – error value in an input cell")</f>
        <v>OPEN</v>
      </c>
      <c r="AI185" s="61" t="n">
        <f aca="false">IF(OR(AH185="N/A – RULE",AH185="N/A – JUSTIFIED"),0,1)</f>
        <v>1</v>
      </c>
      <c r="AJ185" s="61" t="n">
        <f aca="false">IF(LEFT(AH185,8)="COMPLETE",1,0)</f>
        <v>0</v>
      </c>
      <c r="AK185" s="61" t="n">
        <f aca="false">IF(AND(AI185=1,AJ185=0,AsOfUTC&gt;Q185),1,0)</f>
        <v>0</v>
      </c>
      <c r="AL185" s="61" t="n">
        <f aca="false">IFERROR(IF(AND(AI185=1,OR(TRIM(U185)="Fail",AND(TRIM(AB185)&lt;&gt;"",TRIM(AB185)&lt;&gt;"Closed"),AND(ISNUMBER(AF185),AF185&lt;&gt;0,TRIM(U185)&lt;&gt;"Pass after CA"))),1,0),1)</f>
        <v>0</v>
      </c>
      <c r="AM185" s="61" t="n">
        <f aca="false">IF(LEFT(AH185,7)="INVALID",1,0)</f>
        <v>0</v>
      </c>
      <c r="AN185" s="61" t="n">
        <f aca="false">IF(AND(N185="Clarification required",AI185=1,AJ185=0),1,0)</f>
        <v>0</v>
      </c>
      <c r="AO185" s="61" t="str">
        <f aca="false">IF(AK185=1,SUM(AK$5:AK185),"")</f>
        <v/>
      </c>
      <c r="AP185" s="61" t="str">
        <f aca="false">IF(AL185=1,SUM(AL$5:AL185),"")</f>
        <v/>
      </c>
      <c r="AQ185" s="61" t="n">
        <v>0</v>
      </c>
      <c r="AR185" s="61" t="n">
        <v>0</v>
      </c>
      <c r="AS185" s="61" t="n">
        <v>0</v>
      </c>
      <c r="AT185" s="61" t="n">
        <v>0</v>
      </c>
      <c r="AU185" s="61" t="str">
        <f aca="false">SUBSTITUTE(SUBSTITUTE(SUBSTITUTE(SUBSTITUTE(SUBSTITUTE(SUBSTITUTE(SUBSTITUTE(SUBSTITUTE(SUBSTITUTE(SUBSTITUTE(SUBSTITUTE(SUBSTITUTE(SUBSTITUTE(SUBSTITUTE(SUBSTITUTE(SUBSTITUTE(LOWER(T185&amp;""),CHAR(10),""),CHAR(13),""),CHAR(9),""),CHAR(160),"")," ",""),".",""),"-",""),"/",""),"?",""),"_",""),",",""),"[",""),"]",""),"(",""),")",""),"*","")</f>
        <v/>
      </c>
      <c r="AV185" s="61" t="str">
        <f aca="false">SUBSTITUTE(SUBSTITUTE(SUBSTITUTE(SUBSTITUTE(SUBSTITUTE(SUBSTITUTE(SUBSTITUTE(SUBSTITUTE(SUBSTITUTE(SUBSTITUTE(SUBSTITUTE(SUBSTITUTE(SUBSTITUTE(SUBSTITUTE(SUBSTITUTE(SUBSTITUTE(LOWER(V185&amp;""),CHAR(10),""),CHAR(13),""),CHAR(9),""),CHAR(160),"")," ",""),".",""),"-",""),"/",""),"?",""),"_",""),",",""),"[",""),"]",""),"(",""),")",""),"*","")</f>
        <v/>
      </c>
      <c r="AW185" s="61" t="str">
        <f aca="false">SUBSTITUTE(SUBSTITUTE(SUBSTITUTE(SUBSTITUTE(SUBSTITUTE(SUBSTITUTE(SUBSTITUTE(SUBSTITUTE(SUBSTITUTE(SUBSTITUTE(SUBSTITUTE(SUBSTITUTE(SUBSTITUTE(SUBSTITUTE(SUBSTITUTE(SUBSTITUTE(LOWER(Z185&amp;""),CHAR(10),""),CHAR(13),""),CHAR(9),""),CHAR(160),"")," ",""),".",""),"-",""),"/",""),"?",""),"_",""),",",""),"[",""),"]",""),"(",""),")",""),"*","")</f>
        <v/>
      </c>
      <c r="AX185" s="61" t="str">
        <f aca="false">SUBSTITUTE(SUBSTITUTE(SUBSTITUTE(SUBSTITUTE(SUBSTITUTE(SUBSTITUTE(SUBSTITUTE(SUBSTITUTE(SUBSTITUTE(SUBSTITUTE(SUBSTITUTE(SUBSTITUTE(SUBSTITUTE(SUBSTITUTE(SUBSTITUTE(SUBSTITUTE(LOWER(AE185&amp;""),CHAR(10),""),CHAR(13),""),CHAR(9),""),CHAR(160),"")," ",""),".",""),"-",""),"/",""),"?",""),"_",""),",",""),"[",""),"]",""),"(",""),")",""),"*","")</f>
        <v/>
      </c>
      <c r="AY185" s="61" t="str">
        <f aca="false">SUBSTITUTE(SUBSTITUTE(SUBSTITUTE(SUBSTITUTE(SUBSTITUTE(SUBSTITUTE(SUBSTITUTE(SUBSTITUTE(SUBSTITUTE(SUBSTITUTE(SUBSTITUTE(SUBSTITUTE(SUBSTITUTE(SUBSTITUTE(SUBSTITUTE(SUBSTITUTE(LOWER(W185&amp;""),CHAR(10),""),CHAR(13),""),CHAR(9),""),CHAR(160),"")," ",""),".",""),"-",""),"/",""),"?",""),"_",""),",",""),"[",""),"]",""),"(",""),")",""),"*","")</f>
        <v/>
      </c>
      <c r="AZ185" s="61" t="str">
        <f aca="false">SUBSTITUTE(SUBSTITUTE(SUBSTITUTE(SUBSTITUTE(SUBSTITUTE(SUBSTITUTE(SUBSTITUTE(SUBSTITUTE(SUBSTITUTE(SUBSTITUTE(SUBSTITUTE(SUBSTITUTE(SUBSTITUTE(SUBSTITUTE(SUBSTITUTE(SUBSTITUTE(LOWER(AC185&amp;""),CHAR(10),""),CHAR(13),""),CHAR(9),""),CHAR(160),"")," ",""),".",""),"-",""),"/",""),"?",""),"_",""),",",""),"[",""),"]",""),"(",""),")",""),"*","")</f>
        <v/>
      </c>
      <c r="BA185" s="61" t="str">
        <f aca="false">SUBSTITUTE(SUBSTITUTE(SUBSTITUTE(SUBSTITUTE(SUBSTITUTE(SUBSTITUTE(SUBSTITUTE(SUBSTITUTE(SUBSTITUTE(SUBSTITUTE(SUBSTITUTE(SUBSTITUTE(SUBSTITUTE(SUBSTITUTE(SUBSTITUTE(SUBSTITUTE(LOWER(AA185&amp;""),CHAR(10),""),CHAR(13),""),CHAR(9),""),CHAR(160),"")," ",""),".",""),"-",""),"/",""),"?",""),"_",""),",",""),"[",""),"]",""),"(",""),")",""),"*","")</f>
        <v/>
      </c>
      <c r="BB185" s="61" t="str">
        <f aca="false">IF(AND(TRIM(U185)="Pass",ISNUMBER(AF185)),IF(AF185&lt;&gt;0,"INVALID – qty variance: use Fail or Pass after CA",""),"")&amp;IF(AND(TRIM(U185)="Pass after CA",ISNUMBER(AF185)),IF(AF185&lt;&gt;0,"INVALID – after the corrective action the actual qty must equal expected (update Actual)",""),"")&amp;IF(AND(TRIM(U185)="Pass",TRIM(AB185)&lt;&gt;"",TRIM(AB185)&lt;&gt;"Closed"),"INVALID – corrective action not closed: use Fail, then Pass after CA","")&amp;IF(AND(LEN(BA185)&gt;=2,ISNA(MATCH(LEFT(BA185,255),L_Placeholder,0)),TRIM(AB185)=""),"INVALID – CA status missing for the recorded corrective action","")&amp;IF(AND(TRIM(U185)="Pass after CA",OR(OR(LEN(BA185)&lt;5,ISNUMBER(MATCH(BA185,L_Placeholder,0))),TRIM(AB185)&lt;&gt;"Closed")),"INVALID – corrective action not recorded/closed","")</f>
        <v/>
      </c>
      <c r="BC185" s="61" t="str">
        <f aca="false">" "&amp;TRIM(SUBSTITUTE(SUBSTITUTE(SUBSTITUTE(SUBSTITUTE(SUBSTITUTE(SUBSTITUTE(SUBSTITUTE(SUBSTITUTE(SUBSTITUTE(SUBSTITUTE(SUBSTITUTE(SUBSTITUTE(SUBSTITUTE(SUBSTITUTE(SUBSTITUTE(SUBSTITUTE(SUBSTITUTE(SUBSTITUTE(SUBSTITUTE(SUBSTITUTE(SUBSTITUTE(SUBSTITUTE(SUBSTITUTE(SUBSTITUTE(LOWER(V185&amp;""),CHAR(10)," "),CHAR(13)," "),CHAR(9)," "),CHAR(160)," "),"."," "),","," "),"-"," "),"/"," "),"("," "),")"," "),":"," "),";"," "),"_"," "),"–"," "),"?"," "),"!"," "),"*"," "),"["," "),"]"," "),"'"," "),"#"," "),"+"," "),"&amp;"," "),"\"," "))&amp;" "</f>
        <v>  </v>
      </c>
      <c r="BD185" s="61" t="str">
        <f aca="false">" "&amp;TRIM(SUBSTITUTE(SUBSTITUTE(SUBSTITUTE(SUBSTITUTE(SUBSTITUTE(SUBSTITUTE(SUBSTITUTE(SUBSTITUTE(SUBSTITUTE(SUBSTITUTE(SUBSTITUTE(SUBSTITUTE(SUBSTITUTE(SUBSTITUTE(SUBSTITUTE(SUBSTITUTE(SUBSTITUTE(SUBSTITUTE(SUBSTITUTE(SUBSTITUTE(SUBSTITUTE(SUBSTITUTE(SUBSTITUTE(SUBSTITUTE(LOWER(Z185&amp;""),CHAR(10)," "),CHAR(13)," "),CHAR(9)," "),CHAR(160)," "),"."," "),","," "),"-"," "),"/"," "),"("," "),")"," "),":"," "),";"," "),"_"," "),"–"," "),"?"," "),"!"," "),"*"," "),"["," "),"]"," "),"'"," "),"#"," "),"+"," "),"&amp;"," "),"\"," "))&amp;" "</f>
        <v>  </v>
      </c>
      <c r="BE185" s="61" t="str">
        <f aca="false">" "&amp;TRIM(SUBSTITUTE(SUBSTITUTE(SUBSTITUTE(SUBSTITUTE(SUBSTITUTE(SUBSTITUTE(SUBSTITUTE(SUBSTITUTE(SUBSTITUTE(SUBSTITUTE(SUBSTITUTE(SUBSTITUTE(SUBSTITUTE(SUBSTITUTE(SUBSTITUTE(SUBSTITUTE(SUBSTITUTE(SUBSTITUTE(SUBSTITUTE(SUBSTITUTE(SUBSTITUTE(SUBSTITUTE(SUBSTITUTE(SUBSTITUTE(LOWER(W185&amp;""),CHAR(10)," "),CHAR(13)," "),CHAR(9)," "),CHAR(160)," "),"."," "),","," "),"-"," "),"/"," "),"("," "),")"," "),":"," "),";"," "),"_"," "),"–"," "),"?"," "),"!"," "),"*"," "),"["," "),"]"," "),"'"," "),"#"," "),"+"," "),"&amp;"," "),"\"," "))&amp;" "</f>
        <v>  </v>
      </c>
      <c r="BF185" s="61" t="str">
        <f aca="false">" "&amp;TRIM(SUBSTITUTE(SUBSTITUTE(SUBSTITUTE(SUBSTITUTE(SUBSTITUTE(SUBSTITUTE(SUBSTITUTE(SUBSTITUTE(SUBSTITUTE(SUBSTITUTE(SUBSTITUTE(SUBSTITUTE(SUBSTITUTE(SUBSTITUTE(SUBSTITUTE(SUBSTITUTE(SUBSTITUTE(SUBSTITUTE(SUBSTITUTE(SUBSTITUTE(SUBSTITUTE(SUBSTITUTE(SUBSTITUTE(SUBSTITUTE(LOWER(AC185&amp;""),CHAR(10)," "),CHAR(13)," "),CHAR(9)," "),CHAR(160)," "),"."," "),","," "),"-"," "),"/"," "),"("," "),")"," "),":"," "),";"," "),"_"," "),"–"," "),"?"," "),"!"," "),"*"," "),"["," "),"]"," "),"'"," "),"#"," "),"+"," "),"&amp;"," "),"\"," "))&amp;" "</f>
        <v>  </v>
      </c>
      <c r="BG185" s="61" t="n">
        <f aca="false">IFERROR(IF(AND(TRIM(U185)="Pass",SUMPRODUCT((LEN(BC185)-LEN(SUBSTITUTE(BC185," "&amp;L_ResultBad&amp;" "," ")))/(LEN(L_ResultBad)+1))&gt;SUMPRODUCT((LEN(BC185)-LEN(SUBSTITUTE(BC185," "&amp;L_NegPhrase&amp;" "," ")))/(LEN(L_NegPhrase)+1))),1,0),0)</f>
        <v>0</v>
      </c>
      <c r="BH185" s="61" t="n">
        <f aca="false">IFERROR(IF(SUMPRODUCT((LEN(BC185)-LEN(SUBSTITUTE(BC185," "&amp;L_Pending&amp;" "," ")))/(LEN(L_Pending)+1))&gt;SUMPRODUCT((LEN(BC185)-LEN(SUBSTITUTE(BC185," "&amp;L_PendNeg&amp;" "," ")))/(LEN(L_PendNeg)+1))+SUMPRODUCT((LEN(BC185)-LEN(SUBSTITUTE(BC185," "&amp;L_PendPrep&amp;" "," ")))/(LEN(L_PendPrep)+1)),1,0),1)</f>
        <v>0</v>
      </c>
      <c r="BI185" s="61" t="n">
        <f aca="false">IFERROR(IF(SUMPRODUCT((LEN(BD185)-LEN(SUBSTITUTE(BD185," "&amp;L_PendStrict&amp;" "," ")))/(LEN(L_PendStrict)+1))&gt;SUMPRODUCT((LEN(BD185)-LEN(SUBSTITUTE(BD185," "&amp;L_PendNeg&amp;" "," ")))/(LEN(L_PendNeg)+1)),1,0),1)</f>
        <v>0</v>
      </c>
      <c r="BJ185" s="61" t="n">
        <f aca="false">IFERROR(IF(SUMPRODUCT((LEN(BE185)-LEN(SUBSTITUTE(BE185," "&amp;L_Pending&amp;" "," ")))/(LEN(L_Pending)+1))&gt;SUMPRODUCT((LEN(BE185)-LEN(SUBSTITUTE(BE185," "&amp;L_PendNeg&amp;" "," ")))/(LEN(L_PendNeg)+1))+SUMPRODUCT((LEN(BE185)-LEN(SUBSTITUTE(BE185," "&amp;L_PendPrep&amp;" "," ")))/(LEN(L_PendPrep)+1)),1,0),1)</f>
        <v>0</v>
      </c>
      <c r="BK185" s="61" t="n">
        <f aca="false">IFERROR(IF(SUMPRODUCT((LEN(BF185)-LEN(SUBSTITUTE(BF185," "&amp;L_PendStrict&amp;" "," ")))/(LEN(L_PendStrict)+1))&gt;SUMPRODUCT((LEN(BF185)-LEN(SUBSTITUTE(BF185," "&amp;L_PendNeg&amp;" "," ")))/(LEN(L_PendNeg)+1)),1,0),1)</f>
        <v>0</v>
      </c>
      <c r="BL185" s="61" t="n">
        <f aca="false">IF(ISNA(MATCH(TRIM(S185),L_EvidenceType,0)),0,BZ185)</f>
        <v>0</v>
      </c>
      <c r="BM185" s="61" t="str">
        <f aca="false">SUBSTITUTE(SUBSTITUTE(SUBSTITUTE(SUBSTITUTE(SUBSTITUTE(SUBSTITUTE(SUBSTITUTE(SUBSTITUTE(SUBSTITUTE(LOWER(Z185&amp;""),"1","0"),"2","0"),"3","0"),"4","0"),"5","0"),"6","0"),"7","0"),"8","0"),"9","0")</f>
        <v/>
      </c>
      <c r="BN185" s="61" t="str">
        <f aca="false">SUBSTITUTE(SUBSTITUTE(SUBSTITUTE(SUBSTITUTE(SUBSTITUTE(SUBSTITUTE(SUBSTITUTE(SUBSTITUTE(SUBSTITUTE(SUBSTITUTE(SUBSTITUTE(SUBSTITUTE(SUBSTITUTE(SUBSTITUTE(SUBSTITUTE(SUBSTITUTE(SUBSTITUTE(SUBSTITUTE(SUBSTITUTE(SUBSTITUTE(SUBSTITUTE(SUBSTITUTE(SUBSTITUTE(SUBSTITUTE(SUBSTITUTE(BM185,"b","a"),"c","a"),"d","a"),"e","a"),"f","a"),"g","a"),"h","a"),"i","a"),"j","a"),"k","a"),"l","a"),"m","a"),"n","a"),"o","a"),"p","a"),"q","a"),"r","a"),"s","a"),"t","a"),"u","a"),"v","a"),"w","a"),"x","a"),"y","a"),"z","a")</f>
        <v/>
      </c>
      <c r="BO185" s="61" t="str">
        <f aca="false">SUBSTITUTE(SUBSTITUTE(SUBSTITUTE(SUBSTITUTE(SUBSTITUTE(SUBSTITUTE(SUBSTITUTE(SUBSTITUTE(SUBSTITUTE(LOWER(W185&amp;""),"1","0"),"2","0"),"3","0"),"4","0"),"5","0"),"6","0"),"7","0"),"8","0"),"9","0")</f>
        <v/>
      </c>
      <c r="BP185" s="61" t="str">
        <f aca="false">SUBSTITUTE(SUBSTITUTE(SUBSTITUTE(SUBSTITUTE(SUBSTITUTE(SUBSTITUTE(SUBSTITUTE(SUBSTITUTE(SUBSTITUTE(SUBSTITUTE(SUBSTITUTE(SUBSTITUTE(SUBSTITUTE(SUBSTITUTE(SUBSTITUTE(SUBSTITUTE(SUBSTITUTE(SUBSTITUTE(SUBSTITUTE(SUBSTITUTE(SUBSTITUTE(SUBSTITUTE(SUBSTITUTE(SUBSTITUTE(SUBSTITUTE(BO185,"b","a"),"c","a"),"d","a"),"e","a"),"f","a"),"g","a"),"h","a"),"i","a"),"j","a"),"k","a"),"l","a"),"m","a"),"n","a"),"o","a"),"p","a"),"q","a"),"r","a"),"s","a"),"t","a"),"u","a"),"v","a"),"w","a"),"x","a"),"y","a"),"z","a")</f>
        <v/>
      </c>
      <c r="BQ185" s="61" t="n">
        <f aca="false">IFERROR(IF(AND(ISERROR(SEARCH(" mh"," "&amp;LOWER(W185))),ISNA(MATCH(LEFT(TRIM(BP185),255),{"0000a","000a","00a","0000aa","000aa","00aa","0aa","0000aaa","000aaa","00a00","0a00","0000-0000","00:00","a00","a0","00.00.0000","00/00/0000","00-00-0000","0000-00-00","0000/00/00","0000.00.00","00.00.00","00/00/00","00-00-00","0.00.0000","0/00/0000","0-00-0000"},0)),ISNA(MATCH(LEFT(TRIM(CA185),255),{"0000a","000a","00a","0000aa","000aa","00aa","0aa","0000aaa","000aaa","00a00","0a00","0000-0000","00:00","a00","a0","00.00.0000","00/00/0000","00-00-0000","0000-00-00","0000/00/00","0000.00.00","00.00.00","00/00/00","00-00-00","0.00.0000","0/00/0000","0-00-0000"},0)),LEN(CB185)&gt;=3,NOT(OR(SUBSTITUTE(CB185,"0","")="",AND(LEN(CB185)&gt;=4,CB185=REPT(LEFT(CB185),LEN(CB185))),ISNUMBER(MATCH(CB185,{"123","1234","12345","123456","1234567","12345678","0123","01234","012345","98765","987654","54321"},0)),AND(LEN(CB185)=8,LEFT(CB185,3)="202"))),OR(AND((LEN(CA185)-LEN(SUBSTITUTE(CA185,"a","")))&gt;=1,SUMPRODUCT(--ISNUMBER(SEARCH({"a0","a-0","a_0","a/0","a.0","a#0","0a","0-a","0_a","0/a"},BP185)))&gt;0),ISNUMBER(SEARCH("000000",BP185)))),1,0),0)</f>
        <v>0</v>
      </c>
      <c r="BR185" s="61" t="n">
        <f aca="false">IFERROR(LEN(SUBSTITUTE(CC185," ",""))-SUMPRODUCT((LEN(CC185)-LEN(SUBSTITUTE(CC185," "&amp;L_Role&amp;" "," ")))/(LEN(L_Role)+1)*LEN(L_Role)),0)</f>
        <v>0</v>
      </c>
      <c r="BS185" s="61" t="n">
        <f aca="false">IFERROR(LEN(SUBSTITUTE(CD185," ",""))-SUMPRODUCT((LEN(CD185)-LEN(SUBSTITUTE(CD185," "&amp;L_Role&amp;" "," ")))/(LEN(L_Role)+1)*LEN(L_Role)),0)</f>
        <v>0</v>
      </c>
      <c r="BT1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185,"revision",""),"version",""),"jan",""),"feb",""),"mar",""),"apr",""),"may",""),"jun",""),"jul",""),"aug",""),"sep",""),"oct",""),"nov",""),"dec",""),"utc",""),"gmt",""),"myt",""),"bst",""),"rev",""),"ver",""),"b","a"),"c","a"),"d","a"),"e","a"),"f","a"),"g","a"),"h","a"),"i","a"),"j","a"),"k","a"),"l","a"),"m","a"),"n","a"),"o","a"),"p","a"),"q","a"),"r","a"),"s","a"),"t","a"),"u","a"),"v","a"),"w","a"),"x","a"),"y","a"),"z","a")</f>
        <v/>
      </c>
      <c r="BU185" s="61" t="str">
        <f aca="false">SUBSTITUTE(SUBSTITUTE(SUBSTITUTE(SUBSTITUTE(SUBSTITUTE(SUBSTITUTE(SUBSTITUTE(SUBSTITUTE(SUBSTITUTE(SUBSTITUTE(LEFT(BM185,FIND("0",BM185&amp;"0")-1),"-",""),"_",""),"/",""),".",""),"#",""),"\\",""),":","")," ",""),"(",""),")","")</f>
        <v/>
      </c>
      <c r="BV185" s="61" t="n">
        <f aca="false">0</f>
        <v>0</v>
      </c>
      <c r="BW1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185&amp;""),"a",""),"b",""),"c",""),"d",""),"e",""),"f",""),"g",""),"h",""),"i",""),"j",""),"k",""),"l",""),"m",""),"n",""),"o",""),"p",""),"q",""),"r",""),"s",""),"t",""),"u",""),"v",""),"w",""),"x",""),"y",""),"z",""),"-",""),"_",""),"/",""),".",""),"#",""),"\\",""),":","")," ",""),"(",""),")","")</f>
        <v/>
      </c>
      <c r="BX185" s="61" t="str">
        <f aca="false">SUBSTITUTE(SUBSTITUTE(SUBSTITUTE(SUBSTITUTE(SUBSTITUTE(SUBSTITUTE(SUBSTITUTE(SUBSTITUTE(SUBSTITUTE(SUBSTITUTE(SUBSTITUTE(BM185,"0",""),"-",""),"_",""),"/",""),".",""),"#",""),"\\",""),":","")," ",""),"(",""),")","")</f>
        <v/>
      </c>
      <c r="BY185" s="62" t="n">
        <f aca="false">Q185-T12EarlyH/24</f>
        <v>46309.6388888889</v>
      </c>
      <c r="BZ185" s="61" t="n">
        <f aca="false">IFERROR(IF(IF(TRIM(S185)="Link / file path",AND(LEN(TRIM(Z185))&gt;=5,SUMPRODUCT(--ISNUMBER(SEARCH({"http","www.","\\",":\",".pdf",".jpg",".jpeg",".png",".heic",".xls",".doc",".msg",".eml",".ppt",".txt",".zip"},Z185)))&gt;0),AND(ISERROR(FIND(" ",TRIM(Z185))),NOT(OR(SUMPRODUCT(--ISNUMBER(FIND({",",";","&amp;","+"},Z185)))&gt;0,SUMPRODUCT(--ISNUMBER(SEARCH({"0/aa","0\\aa"},BN185)))&gt;0)),NOT(SUMPRODUCT(--ISNUMBER(SEARCH({"http","www.","\\",":\",".pdf",".jpg",".jpeg",".png",".heic",".xls",".doc",".msg",".eml",".ppt",".txt",".zip"},Z185)))&gt;0),NOT(LOWER(TRIM(Z185))=LOWER(Flights!$F$10)),ISNA(MATCH(BU185,{"mh","rev","revision","ver","version","v","r","a","b","seat","tray","row","gate","bay","stand","page","pg","item","line","no","cart","galley","flight","flt","table","box","bag","oven","etd","eta","std","sta","atd","ata","qty","pax","x","time","tel","ph","mob","day","wk","week","utc","gmt","myt","lt"},0)),NOT(OR(ISNUMBER(MATCH(LEFT(BN185,255),{"0000a","000a","00a","0000aa","000aa","00aa","0aa","0000aaa","000aaa","00a00","0a00","0000-0000","00:00","a00","a0","00.00.0000","00/00/0000","00-00-0000","0000-00-00","0000/00/00","0000.00.00","00.00.00","00/00/00","00-00-00","0.00.0000","0/00/0000","0-00-0000"},0)),ISNUMBER(MATCH(LEFT(BT185,255),{"0000a","000a","00a","0000aa","000aa","00aa","0aa","0000aaa","000aaa","00a00","0a00","0000-0000","00:00","a00","a0","00.00.0000","00/00/0000","00-00-0000","0000-00-00","0000/00/00","0000.00.00","00.00.00","00/00/00","00-00-00","0.00.0000","0/00/0000","0-00-0000"},0)))),NOT(OR(AND(BW185&lt;&gt;"",SUBSTITUTE(BW185,"0","")=""),AND(LEN(BW185)&gt;=4,BW185=REPT(LEFT(BW185),LEN(BW185))),ISNUMBER(MATCH(BW185,{"123","1234","12345","123456","1234567","12345678","0123","01234","012345","98765","987654","54321"},0)),ISNUMBER(MATCH(BX185,{"x","xx","xxx","xxxx","xxxxx","abc","abcd","nil","na","nan","test","tbc","tba","tbd","dummy","sample","example","eg","zz","zzz","none","null","xyz","qwe","asd","id","ref"},0)),AND(LEN(BW185)=8,BX185="",OR(LEFT(BW185,3)="202",ISNUMBER(MATCH(RIGHT(BW185,4),{"2025","2026","2027"},0)))))),OR(AND((LEN(BT185)-LEN(SUBSTITUTE(BT185,"a","")))&gt;=1,(LEN(BN185)-LEN(SUBSTITUTE(BN185,"0","")))&gt;=2,SUMPRODUCT(--ISNUMBER(SEARCH({"a0","a-0","a_0","a/0","a.0","a#0","0a","0-a","0_a","0/a"},BN185)))&gt;0),AND((LEN(BN185)-LEN(SUBSTITUTE(BN185,"a","")))=0,(LEN(BN185)-LEN(SUBSTITUTE(BN185,"0","")))&gt;=5)))),1,0),0)</f>
        <v>0</v>
      </c>
      <c r="CA1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185,"revision",""),"version",""),"jan",""),"feb",""),"mar",""),"apr",""),"may",""),"jun",""),"jul",""),"aug",""),"sep",""),"oct",""),"nov",""),"dec",""),"utc",""),"gmt",""),"myt",""),"bst",""),"rev",""),"ver",""),"b","a"),"c","a"),"d","a"),"e","a"),"f","a"),"g","a"),"h","a"),"i","a"),"j","a"),"k","a"),"l","a"),"m","a"),"n","a"),"o","a"),"p","a"),"q","a"),"r","a"),"s","a"),"t","a"),"u","a"),"v","a"),"w","a"),"x","a"),"y","a"),"z","a")</f>
        <v/>
      </c>
      <c r="CB1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185&amp;""),"a",""),"b",""),"c",""),"d",""),"e",""),"f",""),"g",""),"h",""),"i",""),"j",""),"k",""),"l",""),"m",""),"n",""),"o",""),"p",""),"q",""),"r",""),"s",""),"t",""),"u",""),"v",""),"w",""),"x",""),"y",""),"z",""),"-",""),"_",""),"/",""),".",""),"#",""),"\\",""),":","")," ",""),"(",""),")","")</f>
        <v/>
      </c>
      <c r="CC185" s="0" t="str">
        <f aca="false">" "&amp;TRIM(SUBSTITUTE(SUBSTITUTE(SUBSTITUTE(SUBSTITUTE(SUBSTITUTE(SUBSTITUTE(SUBSTITUTE(SUBSTITUTE(SUBSTITUTE(SUBSTITUTE(SUBSTITUTE(SUBSTITUTE(SUBSTITUTE(SUBSTITUTE(SUBSTITUTE(SUBSTITUTE(SUBSTITUTE(SUBSTITUTE(SUBSTITUTE(SUBSTITUTE(SUBSTITUTE(SUBSTITUTE(SUBSTITUTE(SUBSTITUTE(LOWER(T185&amp;""),CHAR(10)," "),CHAR(13)," "),CHAR(9)," "),CHAR(160)," "),"."," "),","," "),"-"," "),"/"," "),"("," "),")"," "),":"," "),";"," "),"_"," "),"–"," "),"?"," "),"!"," "),"*"," "),"["," "),"]"," "),"'"," "),"#"," "),"+"," "),"&amp;"," "),"\"," "))&amp;" "</f>
        <v>  </v>
      </c>
      <c r="CD185" s="0" t="str">
        <f aca="false">" "&amp;TRIM(SUBSTITUTE(SUBSTITUTE(SUBSTITUTE(SUBSTITUTE(SUBSTITUTE(SUBSTITUTE(SUBSTITUTE(SUBSTITUTE(SUBSTITUTE(SUBSTITUTE(SUBSTITUTE(SUBSTITUTE(SUBSTITUTE(SUBSTITUTE(SUBSTITUTE(SUBSTITUTE(SUBSTITUTE(SUBSTITUTE(SUBSTITUTE(SUBSTITUTE(SUBSTITUTE(SUBSTITUTE(SUBSTITUTE(SUBSTITUTE(LOWER(AE185&amp;""),CHAR(10)," "),CHAR(13)," "),CHAR(9)," "),CHAR(160)," "),"."," "),","," "),"-"," "),"/"," "),"("," "),")"," "),":"," "),";"," "),"_"," "),"–"," "),"?"," "),"!"," "),"*"," "),"["," "),"]"," "),"'"," "),"#"," "),"+"," "),"&amp;"," "),"\"," "))&amp;" "</f>
        <v>  </v>
      </c>
      <c r="CE185" s="68" t="n">
        <f aca="false">IFERROR(IF(AND(LEN(AU185)&gt;0,LEN(AU185)=LEN(AX185),OR(TRIM(MID(SUBSTITUTE(TRIM(CC185)," ",REPT(" ",60)),1,60))="",ISNUMBER(SEARCH(" "&amp;TRIM(MID(SUBSTITUTE(TRIM(CC185)," ",REPT(" ",60)),1,60))&amp;" ",CD185))),OR(TRIM(MID(SUBSTITUTE(TRIM(CC185)," ",REPT(" ",60)),61,60))="",ISNUMBER(SEARCH(" "&amp;TRIM(MID(SUBSTITUTE(TRIM(CC185)," ",REPT(" ",60)),61,60))&amp;" ",CD185))),OR(TRIM(MID(SUBSTITUTE(TRIM(CC185)," ",REPT(" ",60)),121,60))="",ISNUMBER(SEARCH(" "&amp;TRIM(MID(SUBSTITUTE(TRIM(CC185)," ",REPT(" ",60)),121,60))&amp;" ",CD185)))),1,0),0)</f>
        <v>0</v>
      </c>
      <c r="CG185" s="68" t="n">
        <f aca="false">IFERROR(LEN(SUBSTITUTE(BF185," ",""))-SUMPRODUCT((LEN(BF185)-LEN(SUBSTITUTE(BF185," "&amp;L_NAFiller&amp;" "," ")))/(LEN(L_NAFiller)+1)*LEN(L_NAFiller)),0)</f>
        <v>0</v>
      </c>
    </row>
    <row r="186" customFormat="false" ht="41.25" hidden="false" customHeight="true" outlineLevel="0" collapsed="false">
      <c r="A186" s="57" t="s">
        <v>735</v>
      </c>
      <c r="B186" s="57" t="s">
        <v>231</v>
      </c>
      <c r="C186" s="57" t="str">
        <f aca="false">Flights!$F$10</f>
        <v>MH0002</v>
      </c>
      <c r="D186" s="58" t="n">
        <f aca="false">Flights!$D$10</f>
        <v>46310</v>
      </c>
      <c r="E186" s="57" t="str">
        <f aca="false">Flights!$G$10&amp;"-"&amp;Flights!$H$10</f>
        <v>KUL-LHR</v>
      </c>
      <c r="F186" s="57" t="str">
        <f aca="false">Flights!$K$10</f>
        <v>BC</v>
      </c>
      <c r="G186" s="57" t="s">
        <v>420</v>
      </c>
      <c r="H186" s="57" t="s">
        <v>378</v>
      </c>
      <c r="I186" s="57" t="s">
        <v>499</v>
      </c>
      <c r="J186" s="57" t="s">
        <v>500</v>
      </c>
      <c r="K186" s="67" t="s">
        <v>501</v>
      </c>
      <c r="L186" s="67" t="s">
        <v>736</v>
      </c>
      <c r="M186" s="67" t="s">
        <v>451</v>
      </c>
      <c r="N186" s="67" t="s">
        <v>383</v>
      </c>
      <c r="O186" s="67" t="s">
        <v>503</v>
      </c>
      <c r="P186" s="57" t="s">
        <v>187</v>
      </c>
      <c r="Q186" s="59" t="n">
        <f aca="false">ROUND((Flights!$AE$10)*1440,0)/1440</f>
        <v>46310.1388888889</v>
      </c>
      <c r="R186" s="59" t="n">
        <f aca="false">Q186+(IF(AND(INDEX(TZ_DSTS,MATCH(P186,TZ_STN,0))&lt;&gt;"",Q186&gt;=INDEX(TZ_DSTS,MATCH(P186,TZ_STN,0)),Q186&lt;INDEX(TZ_DSTE,MATCH(P186,TZ_STN,0))),INDEX(TZ_DST,MATCH(P186,TZ_STN,0)),INDEX(TZ_STD,MATCH(P186,TZ_STN,0))))/24</f>
        <v>46310.4722222222</v>
      </c>
      <c r="S186" s="60"/>
      <c r="T186" s="60"/>
      <c r="U186" s="60"/>
      <c r="V186" s="60"/>
      <c r="W186" s="61"/>
      <c r="X186" s="60"/>
      <c r="Y186" s="60"/>
      <c r="Z186" s="60"/>
      <c r="AA186" s="60"/>
      <c r="AB186" s="60"/>
      <c r="AC186" s="60"/>
      <c r="AD186" s="66"/>
      <c r="AE186" s="60"/>
      <c r="AF186" s="61" t="str">
        <f aca="false">IF(AND(ISNUMBER(X186),ISNUMBER(Y186)),Y186-X186,"")</f>
        <v/>
      </c>
      <c r="AG186" s="62" t="str">
        <f aca="false">IF(ISNUMBER(AD186),AD186-(IF(AND(INDEX(TZ_DSTS,MATCH(P186,TZ_STN,0))&lt;&gt;"",(AD186-INDEX(TZ_STD,MATCH(P186,TZ_STN,0))/24)&gt;=INDEX(TZ_DSTS,MATCH(P186,TZ_STN,0)),(AD186-INDEX(TZ_STD,MATCH(P186,TZ_STN,0))/24)&lt;INDEX(TZ_DSTE,MATCH(P186,TZ_STN,0))),INDEX(TZ_DST,MATCH(P186,TZ_STN,0)),INDEX(TZ_STD,MATCH(P186,TZ_STN,0))))/24,"")</f>
        <v/>
      </c>
      <c r="AH186" s="65" t="str">
        <f aca="false">IFERROR(IF(N186="N/A – rule",IF(OR(TRIM(U186)="",TRIM(U186)="N/A",TRIM(U186)="Not started"),"N/A – RULE","INVALID – this check does not apply to this aircraft: clear the status (or correct the fleet on Flights)"),IF(TRIM(U186)="N/A",IF(AT186=0,"INVALID – N/A not permitted for this check",IF(AND(TRIM(AB186)&lt;&gt;"",TRIM(AB186)&lt;&gt;"Closed"),"INVALID – corrective action still open",IF(AND(NOT(OR(LEN(AZ186)&lt;15,ISNUMBER(MATCH(AZ186,L_Placeholder,0)))),BK186=0,CG186&gt;=8,NOT(OR(LEN(AU186)&lt;2,ISNUMBER(MATCH(AU186,L_Placeholder,0)))),BR186&gt;=3,NOT(OR(LEN(AX186)&lt;2,ISNUMBER(MATCH(AX186,L_Placeholder,0)))),BS186&gt;=3,TRIM(AE186)&lt;&gt;TRIM(T186),AX186&lt;&gt;AU186,CE186=0),"N/A – JUSTIFIED","INVALID – N/A needs a real, settled reason (not 'not applicable' / 'as above' / TBC), a named PIC and a different named verifier"))),IF(OR(TRIM(U186)="Pass",TRIM(U186)="Pass after CA"),IF(NOT(ISNUMBER(AD186)),"INVALID – completion time missing",IF(OR(OR(LEN(AU186)&lt;2,ISNUMBER(MATCH(AU186,L_Placeholder,0))),BR186&lt;3),"INVALID – PIC missing or not a named person (a role such as QA / CSM is not a name)",IF(OR(LEN(AV186)&lt;2,ISNUMBER(MATCH(AV186,L_Placeholder,0))),"INVALID – result / assessment missing",IF(OR(OR(LEN(AW186)&lt;3,ISNUMBER(MATCH(AW186,L_Placeholder,0))),SUMPRODUCT(--ISNUMBER(SEARCH(" "&amp;L_EvidencePhrase&amp;" ",BD186)))&gt;0,BI186=1),"INVALID – evidence missing, placeholder or not yet on file",IF(ISNA(MATCH(TRIM(S186),L_EvidenceType,0)),"INVALID – choose the evidence type from the list (column S)",IF(BL186=0,"INVALID – evidence ID must be the record's own ID only (e.g. SF-2210, IMG_2231, 1045521); a link / file name needs type 'Link / file path'",IF(OR(OR(LEN(AX186)&lt;2,ISNUMBER(MATCH(AX186,L_Placeholder,0))),BS186&lt;3),"INVALID – verifier missing or not a named person (a role such as QA / CSM is not a name)",IF(OR(AX186=AU186,CE186=1,AND(LEN(AU186)&gt;=4,ISNUMBER(SEARCH(AU186,AX186))),AND(LEN(AX186)&gt;=4,ISNUMBER(SEARCH(AX186,AU186)))),"INVALID – verifier must be a different, named person (not the PIC or a role)",IF(BH186=1,"INVALID – result not yet available (awaiting / TBC)",IF(BG186=1,"INVALID – result describes a problem: record Fail, then Pass after CA (or reword if it is not a problem)",IF(BV186=1,"INVALID – wording says not on board: an on-board confirmation needs the item loaded",IF(AND(AQ186=1,OR(OR(LEN(AY186)&lt;3,ISNUMBER(MATCH(AY186,L_Placeholder,0))),BJ186=1,BQ186=0)),"INVALID – batch ID missing, placeholder or not an ID (e.g. PASB-261008-BC-017)",IF(AND(AR186=1,OR(NOT(ISNUMBER(X186)),NOT(ISNUMBER(Y186)))),"INVALID – expected/actual qty missing",IF(AND(AR186=1,OR(X186&lt;=0,Y186&lt;0)),"INVALID – expected qty must be above 0 and actual not negative",IF(BB186&lt;&gt;"",BB186,IF(AND(AS186=1,Documents!$J$10&lt;&gt;"ON FILE"),"INVALID – GLD not on file (Documents sheet)",IF(AND(AS186=2,Documents!$O$10&lt;&gt;"ON FILE"),"INVALID – menu checklist not on file (Documents sheet)",IF(AND(AS186=3,NOT(ISNUMBER(Flights!$AX$10))),"INVALID – enter carrying flight KUL departure (Flights AX)",IF(AND(AS186=3,OR(Flights!$AZ$10&gt;Flights!$AA$10,Flights!$AX$10&lt;Flights!$AA$10-3)),"INVALID – carrying flight (Flights AX) cannot arrive before this leg's STD, or is over 3 days early",IF(AG186&gt;AsOfUTC,"INVALID – completion time is in the future",IF(AND(ISNUMBER(BY186),AG186&lt;BY186),IF(H186="Physical uplift","INVALID – before uplift window (cannot confirm loading)","INVALID – before valid window"),IF(AG186&gt;Flights!$AA$10,"INVALID – completed after departure (cannot establish readiness)",IF(AND(H186="Preparation",AG186&gt;=IF(ISNUMBER(Flights!$BA$10),MIN(Flights!$BA$10,Flights!$AA$10),Flights!$AA$10)),"INVALID – completed after loading / departure (cannot establish readiness)",IF(AND(H186="Physical uplift",AG186&gt;Q186),"INVALID – recorded after the loading flight departed",IF(AG186&gt;Q186,"COMPLETE – LATE","COMPLETE"))))))))))))))))))))))))),IF(TRIM(U186)="Fail","FAIL – DISCREPANCY",IF(AND(TRIM(U186)&lt;&gt;"",TRIM(U186)&lt;&gt;"Not started",TRIM(U186)&lt;&gt;"In progress"),"INVALID – unrecognised status (use the list)",IF(AsOfUTC&gt;Q186,"OVERDUE",IF(N186="Clarification required","OPEN – CLARIFICATION","OPEN"))))))),"INVALID – error value in an input cell")</f>
        <v>OPEN</v>
      </c>
      <c r="AI186" s="61" t="n">
        <f aca="false">IF(OR(AH186="N/A – RULE",AH186="N/A – JUSTIFIED"),0,1)</f>
        <v>1</v>
      </c>
      <c r="AJ186" s="61" t="n">
        <f aca="false">IF(LEFT(AH186,8)="COMPLETE",1,0)</f>
        <v>0</v>
      </c>
      <c r="AK186" s="61" t="n">
        <f aca="false">IF(AND(AI186=1,AJ186=0,AsOfUTC&gt;Q186),1,0)</f>
        <v>0</v>
      </c>
      <c r="AL186" s="61" t="n">
        <f aca="false">IFERROR(IF(AND(AI186=1,OR(TRIM(U186)="Fail",AND(TRIM(AB186)&lt;&gt;"",TRIM(AB186)&lt;&gt;"Closed"),AND(ISNUMBER(AF186),AF186&lt;&gt;0,TRIM(U186)&lt;&gt;"Pass after CA"))),1,0),1)</f>
        <v>0</v>
      </c>
      <c r="AM186" s="61" t="n">
        <f aca="false">IF(LEFT(AH186,7)="INVALID",1,0)</f>
        <v>0</v>
      </c>
      <c r="AN186" s="61" t="n">
        <f aca="false">IF(AND(N186="Clarification required",AI186=1,AJ186=0),1,0)</f>
        <v>0</v>
      </c>
      <c r="AO186" s="61" t="str">
        <f aca="false">IF(AK186=1,SUM(AK$5:AK186),"")</f>
        <v/>
      </c>
      <c r="AP186" s="61" t="str">
        <f aca="false">IF(AL186=1,SUM(AL$5:AL186),"")</f>
        <v/>
      </c>
      <c r="AQ186" s="61" t="n">
        <v>0</v>
      </c>
      <c r="AR186" s="61" t="n">
        <v>0</v>
      </c>
      <c r="AS186" s="61" t="n">
        <v>0</v>
      </c>
      <c r="AT186" s="61" t="n">
        <v>0</v>
      </c>
      <c r="AU186" s="61" t="str">
        <f aca="false">SUBSTITUTE(SUBSTITUTE(SUBSTITUTE(SUBSTITUTE(SUBSTITUTE(SUBSTITUTE(SUBSTITUTE(SUBSTITUTE(SUBSTITUTE(SUBSTITUTE(SUBSTITUTE(SUBSTITUTE(SUBSTITUTE(SUBSTITUTE(SUBSTITUTE(SUBSTITUTE(LOWER(T186&amp;""),CHAR(10),""),CHAR(13),""),CHAR(9),""),CHAR(160),"")," ",""),".",""),"-",""),"/",""),"?",""),"_",""),",",""),"[",""),"]",""),"(",""),")",""),"*","")</f>
        <v/>
      </c>
      <c r="AV186" s="61" t="str">
        <f aca="false">SUBSTITUTE(SUBSTITUTE(SUBSTITUTE(SUBSTITUTE(SUBSTITUTE(SUBSTITUTE(SUBSTITUTE(SUBSTITUTE(SUBSTITUTE(SUBSTITUTE(SUBSTITUTE(SUBSTITUTE(SUBSTITUTE(SUBSTITUTE(SUBSTITUTE(SUBSTITUTE(LOWER(V186&amp;""),CHAR(10),""),CHAR(13),""),CHAR(9),""),CHAR(160),"")," ",""),".",""),"-",""),"/",""),"?",""),"_",""),",",""),"[",""),"]",""),"(",""),")",""),"*","")</f>
        <v/>
      </c>
      <c r="AW186" s="61" t="str">
        <f aca="false">SUBSTITUTE(SUBSTITUTE(SUBSTITUTE(SUBSTITUTE(SUBSTITUTE(SUBSTITUTE(SUBSTITUTE(SUBSTITUTE(SUBSTITUTE(SUBSTITUTE(SUBSTITUTE(SUBSTITUTE(SUBSTITUTE(SUBSTITUTE(SUBSTITUTE(SUBSTITUTE(LOWER(Z186&amp;""),CHAR(10),""),CHAR(13),""),CHAR(9),""),CHAR(160),"")," ",""),".",""),"-",""),"/",""),"?",""),"_",""),",",""),"[",""),"]",""),"(",""),")",""),"*","")</f>
        <v/>
      </c>
      <c r="AX186" s="61" t="str">
        <f aca="false">SUBSTITUTE(SUBSTITUTE(SUBSTITUTE(SUBSTITUTE(SUBSTITUTE(SUBSTITUTE(SUBSTITUTE(SUBSTITUTE(SUBSTITUTE(SUBSTITUTE(SUBSTITUTE(SUBSTITUTE(SUBSTITUTE(SUBSTITUTE(SUBSTITUTE(SUBSTITUTE(LOWER(AE186&amp;""),CHAR(10),""),CHAR(13),""),CHAR(9),""),CHAR(160),"")," ",""),".",""),"-",""),"/",""),"?",""),"_",""),",",""),"[",""),"]",""),"(",""),")",""),"*","")</f>
        <v/>
      </c>
      <c r="AY186" s="61" t="str">
        <f aca="false">SUBSTITUTE(SUBSTITUTE(SUBSTITUTE(SUBSTITUTE(SUBSTITUTE(SUBSTITUTE(SUBSTITUTE(SUBSTITUTE(SUBSTITUTE(SUBSTITUTE(SUBSTITUTE(SUBSTITUTE(SUBSTITUTE(SUBSTITUTE(SUBSTITUTE(SUBSTITUTE(LOWER(W186&amp;""),CHAR(10),""),CHAR(13),""),CHAR(9),""),CHAR(160),"")," ",""),".",""),"-",""),"/",""),"?",""),"_",""),",",""),"[",""),"]",""),"(",""),")",""),"*","")</f>
        <v/>
      </c>
      <c r="AZ186" s="61" t="str">
        <f aca="false">SUBSTITUTE(SUBSTITUTE(SUBSTITUTE(SUBSTITUTE(SUBSTITUTE(SUBSTITUTE(SUBSTITUTE(SUBSTITUTE(SUBSTITUTE(SUBSTITUTE(SUBSTITUTE(SUBSTITUTE(SUBSTITUTE(SUBSTITUTE(SUBSTITUTE(SUBSTITUTE(LOWER(AC186&amp;""),CHAR(10),""),CHAR(13),""),CHAR(9),""),CHAR(160),"")," ",""),".",""),"-",""),"/",""),"?",""),"_",""),",",""),"[",""),"]",""),"(",""),")",""),"*","")</f>
        <v/>
      </c>
      <c r="BA186" s="61" t="str">
        <f aca="false">SUBSTITUTE(SUBSTITUTE(SUBSTITUTE(SUBSTITUTE(SUBSTITUTE(SUBSTITUTE(SUBSTITUTE(SUBSTITUTE(SUBSTITUTE(SUBSTITUTE(SUBSTITUTE(SUBSTITUTE(SUBSTITUTE(SUBSTITUTE(SUBSTITUTE(SUBSTITUTE(LOWER(AA186&amp;""),CHAR(10),""),CHAR(13),""),CHAR(9),""),CHAR(160),"")," ",""),".",""),"-",""),"/",""),"?",""),"_",""),",",""),"[",""),"]",""),"(",""),")",""),"*","")</f>
        <v/>
      </c>
      <c r="BB186" s="61" t="str">
        <f aca="false">IF(AND(TRIM(U186)="Pass",ISNUMBER(AF186)),IF(AF186&lt;&gt;0,"INVALID – qty variance: use Fail or Pass after CA",""),"")&amp;IF(AND(TRIM(U186)="Pass after CA",ISNUMBER(AF186)),IF(AF186&lt;&gt;0,"INVALID – after the corrective action the actual qty must equal expected (update Actual)",""),"")&amp;IF(AND(TRIM(U186)="Pass",TRIM(AB186)&lt;&gt;"",TRIM(AB186)&lt;&gt;"Closed"),"INVALID – corrective action not closed: use Fail, then Pass after CA","")&amp;IF(AND(LEN(BA186)&gt;=2,ISNA(MATCH(LEFT(BA186,255),L_Placeholder,0)),TRIM(AB186)=""),"INVALID – CA status missing for the recorded corrective action","")&amp;IF(AND(TRIM(U186)="Pass after CA",OR(OR(LEN(BA186)&lt;5,ISNUMBER(MATCH(BA186,L_Placeholder,0))),TRIM(AB186)&lt;&gt;"Closed")),"INVALID – corrective action not recorded/closed","")</f>
        <v/>
      </c>
      <c r="BC186" s="61" t="str">
        <f aca="false">" "&amp;TRIM(SUBSTITUTE(SUBSTITUTE(SUBSTITUTE(SUBSTITUTE(SUBSTITUTE(SUBSTITUTE(SUBSTITUTE(SUBSTITUTE(SUBSTITUTE(SUBSTITUTE(SUBSTITUTE(SUBSTITUTE(SUBSTITUTE(SUBSTITUTE(SUBSTITUTE(SUBSTITUTE(SUBSTITUTE(SUBSTITUTE(SUBSTITUTE(SUBSTITUTE(SUBSTITUTE(SUBSTITUTE(SUBSTITUTE(SUBSTITUTE(LOWER(V186&amp;""),CHAR(10)," "),CHAR(13)," "),CHAR(9)," "),CHAR(160)," "),"."," "),","," "),"-"," "),"/"," "),"("," "),")"," "),":"," "),";"," "),"_"," "),"–"," "),"?"," "),"!"," "),"*"," "),"["," "),"]"," "),"'"," "),"#"," "),"+"," "),"&amp;"," "),"\"," "))&amp;" "</f>
        <v>  </v>
      </c>
      <c r="BD186" s="61" t="str">
        <f aca="false">" "&amp;TRIM(SUBSTITUTE(SUBSTITUTE(SUBSTITUTE(SUBSTITUTE(SUBSTITUTE(SUBSTITUTE(SUBSTITUTE(SUBSTITUTE(SUBSTITUTE(SUBSTITUTE(SUBSTITUTE(SUBSTITUTE(SUBSTITUTE(SUBSTITUTE(SUBSTITUTE(SUBSTITUTE(SUBSTITUTE(SUBSTITUTE(SUBSTITUTE(SUBSTITUTE(SUBSTITUTE(SUBSTITUTE(SUBSTITUTE(SUBSTITUTE(LOWER(Z186&amp;""),CHAR(10)," "),CHAR(13)," "),CHAR(9)," "),CHAR(160)," "),"."," "),","," "),"-"," "),"/"," "),"("," "),")"," "),":"," "),";"," "),"_"," "),"–"," "),"?"," "),"!"," "),"*"," "),"["," "),"]"," "),"'"," "),"#"," "),"+"," "),"&amp;"," "),"\"," "))&amp;" "</f>
        <v>  </v>
      </c>
      <c r="BE186" s="61" t="str">
        <f aca="false">" "&amp;TRIM(SUBSTITUTE(SUBSTITUTE(SUBSTITUTE(SUBSTITUTE(SUBSTITUTE(SUBSTITUTE(SUBSTITUTE(SUBSTITUTE(SUBSTITUTE(SUBSTITUTE(SUBSTITUTE(SUBSTITUTE(SUBSTITUTE(SUBSTITUTE(SUBSTITUTE(SUBSTITUTE(SUBSTITUTE(SUBSTITUTE(SUBSTITUTE(SUBSTITUTE(SUBSTITUTE(SUBSTITUTE(SUBSTITUTE(SUBSTITUTE(LOWER(W186&amp;""),CHAR(10)," "),CHAR(13)," "),CHAR(9)," "),CHAR(160)," "),"."," "),","," "),"-"," "),"/"," "),"("," "),")"," "),":"," "),";"," "),"_"," "),"–"," "),"?"," "),"!"," "),"*"," "),"["," "),"]"," "),"'"," "),"#"," "),"+"," "),"&amp;"," "),"\"," "))&amp;" "</f>
        <v>  </v>
      </c>
      <c r="BF186" s="61" t="str">
        <f aca="false">" "&amp;TRIM(SUBSTITUTE(SUBSTITUTE(SUBSTITUTE(SUBSTITUTE(SUBSTITUTE(SUBSTITUTE(SUBSTITUTE(SUBSTITUTE(SUBSTITUTE(SUBSTITUTE(SUBSTITUTE(SUBSTITUTE(SUBSTITUTE(SUBSTITUTE(SUBSTITUTE(SUBSTITUTE(SUBSTITUTE(SUBSTITUTE(SUBSTITUTE(SUBSTITUTE(SUBSTITUTE(SUBSTITUTE(SUBSTITUTE(SUBSTITUTE(LOWER(AC186&amp;""),CHAR(10)," "),CHAR(13)," "),CHAR(9)," "),CHAR(160)," "),"."," "),","," "),"-"," "),"/"," "),"("," "),")"," "),":"," "),";"," "),"_"," "),"–"," "),"?"," "),"!"," "),"*"," "),"["," "),"]"," "),"'"," "),"#"," "),"+"," "),"&amp;"," "),"\"," "))&amp;" "</f>
        <v>  </v>
      </c>
      <c r="BG186" s="61" t="n">
        <f aca="false">IFERROR(IF(AND(TRIM(U186)="Pass",SUMPRODUCT((LEN(BC186)-LEN(SUBSTITUTE(BC186," "&amp;L_ResultBad&amp;" "," ")))/(LEN(L_ResultBad)+1))&gt;SUMPRODUCT((LEN(BC186)-LEN(SUBSTITUTE(BC186," "&amp;L_NegPhrase&amp;" "," ")))/(LEN(L_NegPhrase)+1))),1,0),0)</f>
        <v>0</v>
      </c>
      <c r="BH186" s="61" t="n">
        <f aca="false">IFERROR(IF(SUMPRODUCT((LEN(BC186)-LEN(SUBSTITUTE(BC186," "&amp;L_Pending&amp;" "," ")))/(LEN(L_Pending)+1))&gt;SUMPRODUCT((LEN(BC186)-LEN(SUBSTITUTE(BC186," "&amp;L_PendNeg&amp;" "," ")))/(LEN(L_PendNeg)+1))+SUMPRODUCT((LEN(BC186)-LEN(SUBSTITUTE(BC186," "&amp;L_PendPrep&amp;" "," ")))/(LEN(L_PendPrep)+1)),1,0),1)</f>
        <v>0</v>
      </c>
      <c r="BI186" s="61" t="n">
        <f aca="false">IFERROR(IF(SUMPRODUCT((LEN(BD186)-LEN(SUBSTITUTE(BD186," "&amp;L_PendStrict&amp;" "," ")))/(LEN(L_PendStrict)+1))&gt;SUMPRODUCT((LEN(BD186)-LEN(SUBSTITUTE(BD186," "&amp;L_PendNeg&amp;" "," ")))/(LEN(L_PendNeg)+1)),1,0),1)</f>
        <v>0</v>
      </c>
      <c r="BJ186" s="61" t="n">
        <f aca="false">IFERROR(IF(SUMPRODUCT((LEN(BE186)-LEN(SUBSTITUTE(BE186," "&amp;L_Pending&amp;" "," ")))/(LEN(L_Pending)+1))&gt;SUMPRODUCT((LEN(BE186)-LEN(SUBSTITUTE(BE186," "&amp;L_PendNeg&amp;" "," ")))/(LEN(L_PendNeg)+1))+SUMPRODUCT((LEN(BE186)-LEN(SUBSTITUTE(BE186," "&amp;L_PendPrep&amp;" "," ")))/(LEN(L_PendPrep)+1)),1,0),1)</f>
        <v>0</v>
      </c>
      <c r="BK186" s="61" t="n">
        <f aca="false">IFERROR(IF(SUMPRODUCT((LEN(BF186)-LEN(SUBSTITUTE(BF186," "&amp;L_PendStrict&amp;" "," ")))/(LEN(L_PendStrict)+1))&gt;SUMPRODUCT((LEN(BF186)-LEN(SUBSTITUTE(BF186," "&amp;L_PendNeg&amp;" "," ")))/(LEN(L_PendNeg)+1)),1,0),1)</f>
        <v>0</v>
      </c>
      <c r="BL186" s="61" t="n">
        <f aca="false">IF(ISNA(MATCH(TRIM(S186),L_EvidenceType,0)),0,BZ186)</f>
        <v>0</v>
      </c>
      <c r="BM186" s="61" t="str">
        <f aca="false">SUBSTITUTE(SUBSTITUTE(SUBSTITUTE(SUBSTITUTE(SUBSTITUTE(SUBSTITUTE(SUBSTITUTE(SUBSTITUTE(SUBSTITUTE(LOWER(Z186&amp;""),"1","0"),"2","0"),"3","0"),"4","0"),"5","0"),"6","0"),"7","0"),"8","0"),"9","0")</f>
        <v/>
      </c>
      <c r="BN186" s="61" t="str">
        <f aca="false">SUBSTITUTE(SUBSTITUTE(SUBSTITUTE(SUBSTITUTE(SUBSTITUTE(SUBSTITUTE(SUBSTITUTE(SUBSTITUTE(SUBSTITUTE(SUBSTITUTE(SUBSTITUTE(SUBSTITUTE(SUBSTITUTE(SUBSTITUTE(SUBSTITUTE(SUBSTITUTE(SUBSTITUTE(SUBSTITUTE(SUBSTITUTE(SUBSTITUTE(SUBSTITUTE(SUBSTITUTE(SUBSTITUTE(SUBSTITUTE(SUBSTITUTE(BM186,"b","a"),"c","a"),"d","a"),"e","a"),"f","a"),"g","a"),"h","a"),"i","a"),"j","a"),"k","a"),"l","a"),"m","a"),"n","a"),"o","a"),"p","a"),"q","a"),"r","a"),"s","a"),"t","a"),"u","a"),"v","a"),"w","a"),"x","a"),"y","a"),"z","a")</f>
        <v/>
      </c>
      <c r="BO186" s="61" t="str">
        <f aca="false">SUBSTITUTE(SUBSTITUTE(SUBSTITUTE(SUBSTITUTE(SUBSTITUTE(SUBSTITUTE(SUBSTITUTE(SUBSTITUTE(SUBSTITUTE(LOWER(W186&amp;""),"1","0"),"2","0"),"3","0"),"4","0"),"5","0"),"6","0"),"7","0"),"8","0"),"9","0")</f>
        <v/>
      </c>
      <c r="BP186" s="61" t="str">
        <f aca="false">SUBSTITUTE(SUBSTITUTE(SUBSTITUTE(SUBSTITUTE(SUBSTITUTE(SUBSTITUTE(SUBSTITUTE(SUBSTITUTE(SUBSTITUTE(SUBSTITUTE(SUBSTITUTE(SUBSTITUTE(SUBSTITUTE(SUBSTITUTE(SUBSTITUTE(SUBSTITUTE(SUBSTITUTE(SUBSTITUTE(SUBSTITUTE(SUBSTITUTE(SUBSTITUTE(SUBSTITUTE(SUBSTITUTE(SUBSTITUTE(SUBSTITUTE(BO186,"b","a"),"c","a"),"d","a"),"e","a"),"f","a"),"g","a"),"h","a"),"i","a"),"j","a"),"k","a"),"l","a"),"m","a"),"n","a"),"o","a"),"p","a"),"q","a"),"r","a"),"s","a"),"t","a"),"u","a"),"v","a"),"w","a"),"x","a"),"y","a"),"z","a")</f>
        <v/>
      </c>
      <c r="BQ186" s="61" t="n">
        <f aca="false">IFERROR(IF(AND(ISERROR(SEARCH(" mh"," "&amp;LOWER(W186))),ISNA(MATCH(LEFT(TRIM(BP186),255),{"0000a","000a","00a","0000aa","000aa","00aa","0aa","0000aaa","000aaa","00a00","0a00","0000-0000","00:00","a00","a0","00.00.0000","00/00/0000","00-00-0000","0000-00-00","0000/00/00","0000.00.00","00.00.00","00/00/00","00-00-00","0.00.0000","0/00/0000","0-00-0000"},0)),ISNA(MATCH(LEFT(TRIM(CA186),255),{"0000a","000a","00a","0000aa","000aa","00aa","0aa","0000aaa","000aaa","00a00","0a00","0000-0000","00:00","a00","a0","00.00.0000","00/00/0000","00-00-0000","0000-00-00","0000/00/00","0000.00.00","00.00.00","00/00/00","00-00-00","0.00.0000","0/00/0000","0-00-0000"},0)),LEN(CB186)&gt;=3,NOT(OR(SUBSTITUTE(CB186,"0","")="",AND(LEN(CB186)&gt;=4,CB186=REPT(LEFT(CB186),LEN(CB186))),ISNUMBER(MATCH(CB186,{"123","1234","12345","123456","1234567","12345678","0123","01234","012345","98765","987654","54321"},0)),AND(LEN(CB186)=8,LEFT(CB186,3)="202"))),OR(AND((LEN(CA186)-LEN(SUBSTITUTE(CA186,"a","")))&gt;=1,SUMPRODUCT(--ISNUMBER(SEARCH({"a0","a-0","a_0","a/0","a.0","a#0","0a","0-a","0_a","0/a"},BP186)))&gt;0),ISNUMBER(SEARCH("000000",BP186)))),1,0),0)</f>
        <v>0</v>
      </c>
      <c r="BR186" s="61" t="n">
        <f aca="false">IFERROR(LEN(SUBSTITUTE(CC186," ",""))-SUMPRODUCT((LEN(CC186)-LEN(SUBSTITUTE(CC186," "&amp;L_Role&amp;" "," ")))/(LEN(L_Role)+1)*LEN(L_Role)),0)</f>
        <v>0</v>
      </c>
      <c r="BS186" s="61" t="n">
        <f aca="false">IFERROR(LEN(SUBSTITUTE(CD186," ",""))-SUMPRODUCT((LEN(CD186)-LEN(SUBSTITUTE(CD186," "&amp;L_Role&amp;" "," ")))/(LEN(L_Role)+1)*LEN(L_Role)),0)</f>
        <v>0</v>
      </c>
      <c r="BT1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186,"revision",""),"version",""),"jan",""),"feb",""),"mar",""),"apr",""),"may",""),"jun",""),"jul",""),"aug",""),"sep",""),"oct",""),"nov",""),"dec",""),"utc",""),"gmt",""),"myt",""),"bst",""),"rev",""),"ver",""),"b","a"),"c","a"),"d","a"),"e","a"),"f","a"),"g","a"),"h","a"),"i","a"),"j","a"),"k","a"),"l","a"),"m","a"),"n","a"),"o","a"),"p","a"),"q","a"),"r","a"),"s","a"),"t","a"),"u","a"),"v","a"),"w","a"),"x","a"),"y","a"),"z","a")</f>
        <v/>
      </c>
      <c r="BU186" s="61" t="str">
        <f aca="false">SUBSTITUTE(SUBSTITUTE(SUBSTITUTE(SUBSTITUTE(SUBSTITUTE(SUBSTITUTE(SUBSTITUTE(SUBSTITUTE(SUBSTITUTE(SUBSTITUTE(LEFT(BM186,FIND("0",BM186&amp;"0")-1),"-",""),"_",""),"/",""),".",""),"#",""),"\\",""),":","")," ",""),"(",""),")","")</f>
        <v/>
      </c>
      <c r="BV186" s="61" t="n">
        <f aca="false">0</f>
        <v>0</v>
      </c>
      <c r="BW1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186&amp;""),"a",""),"b",""),"c",""),"d",""),"e",""),"f",""),"g",""),"h",""),"i",""),"j",""),"k",""),"l",""),"m",""),"n",""),"o",""),"p",""),"q",""),"r",""),"s",""),"t",""),"u",""),"v",""),"w",""),"x",""),"y",""),"z",""),"-",""),"_",""),"/",""),".",""),"#",""),"\\",""),":","")," ",""),"(",""),")","")</f>
        <v/>
      </c>
      <c r="BX186" s="61" t="str">
        <f aca="false">SUBSTITUTE(SUBSTITUTE(SUBSTITUTE(SUBSTITUTE(SUBSTITUTE(SUBSTITUTE(SUBSTITUTE(SUBSTITUTE(SUBSTITUTE(SUBSTITUTE(SUBSTITUTE(BM186,"0",""),"-",""),"_",""),"/",""),".",""),"#",""),"\\",""),":","")," ",""),"(",""),")","")</f>
        <v/>
      </c>
      <c r="BY186" s="62" t="n">
        <f aca="false">Q186-T12EarlyH/24</f>
        <v>46309.6388888889</v>
      </c>
      <c r="BZ186" s="61" t="n">
        <f aca="false">IFERROR(IF(IF(TRIM(S186)="Link / file path",AND(LEN(TRIM(Z186))&gt;=5,SUMPRODUCT(--ISNUMBER(SEARCH({"http","www.","\\",":\",".pdf",".jpg",".jpeg",".png",".heic",".xls",".doc",".msg",".eml",".ppt",".txt",".zip"},Z186)))&gt;0),AND(ISERROR(FIND(" ",TRIM(Z186))),NOT(OR(SUMPRODUCT(--ISNUMBER(FIND({",",";","&amp;","+"},Z186)))&gt;0,SUMPRODUCT(--ISNUMBER(SEARCH({"0/aa","0\\aa"},BN186)))&gt;0)),NOT(SUMPRODUCT(--ISNUMBER(SEARCH({"http","www.","\\",":\",".pdf",".jpg",".jpeg",".png",".heic",".xls",".doc",".msg",".eml",".ppt",".txt",".zip"},Z186)))&gt;0),NOT(LOWER(TRIM(Z186))=LOWER(Flights!$F$10)),ISNA(MATCH(BU186,{"mh","rev","revision","ver","version","v","r","a","b","seat","tray","row","gate","bay","stand","page","pg","item","line","no","cart","galley","flight","flt","table","box","bag","oven","etd","eta","std","sta","atd","ata","qty","pax","x","time","tel","ph","mob","day","wk","week","utc","gmt","myt","lt"},0)),NOT(OR(ISNUMBER(MATCH(LEFT(BN186,255),{"0000a","000a","00a","0000aa","000aa","00aa","0aa","0000aaa","000aaa","00a00","0a00","0000-0000","00:00","a00","a0","00.00.0000","00/00/0000","00-00-0000","0000-00-00","0000/00/00","0000.00.00","00.00.00","00/00/00","00-00-00","0.00.0000","0/00/0000","0-00-0000"},0)),ISNUMBER(MATCH(LEFT(BT186,255),{"0000a","000a","00a","0000aa","000aa","00aa","0aa","0000aaa","000aaa","00a00","0a00","0000-0000","00:00","a00","a0","00.00.0000","00/00/0000","00-00-0000","0000-00-00","0000/00/00","0000.00.00","00.00.00","00/00/00","00-00-00","0.00.0000","0/00/0000","0-00-0000"},0)))),NOT(OR(AND(BW186&lt;&gt;"",SUBSTITUTE(BW186,"0","")=""),AND(LEN(BW186)&gt;=4,BW186=REPT(LEFT(BW186),LEN(BW186))),ISNUMBER(MATCH(BW186,{"123","1234","12345","123456","1234567","12345678","0123","01234","012345","98765","987654","54321"},0)),ISNUMBER(MATCH(BX186,{"x","xx","xxx","xxxx","xxxxx","abc","abcd","nil","na","nan","test","tbc","tba","tbd","dummy","sample","example","eg","zz","zzz","none","null","xyz","qwe","asd","id","ref"},0)),AND(LEN(BW186)=8,BX186="",OR(LEFT(BW186,3)="202",ISNUMBER(MATCH(RIGHT(BW186,4),{"2025","2026","2027"},0)))))),OR(AND((LEN(BT186)-LEN(SUBSTITUTE(BT186,"a","")))&gt;=1,(LEN(BN186)-LEN(SUBSTITUTE(BN186,"0","")))&gt;=2,SUMPRODUCT(--ISNUMBER(SEARCH({"a0","a-0","a_0","a/0","a.0","a#0","0a","0-a","0_a","0/a"},BN186)))&gt;0),AND((LEN(BN186)-LEN(SUBSTITUTE(BN186,"a","")))=0,(LEN(BN186)-LEN(SUBSTITUTE(BN186,"0","")))&gt;=5)))),1,0),0)</f>
        <v>0</v>
      </c>
      <c r="CA1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186,"revision",""),"version",""),"jan",""),"feb",""),"mar",""),"apr",""),"may",""),"jun",""),"jul",""),"aug",""),"sep",""),"oct",""),"nov",""),"dec",""),"utc",""),"gmt",""),"myt",""),"bst",""),"rev",""),"ver",""),"b","a"),"c","a"),"d","a"),"e","a"),"f","a"),"g","a"),"h","a"),"i","a"),"j","a"),"k","a"),"l","a"),"m","a"),"n","a"),"o","a"),"p","a"),"q","a"),"r","a"),"s","a"),"t","a"),"u","a"),"v","a"),"w","a"),"x","a"),"y","a"),"z","a")</f>
        <v/>
      </c>
      <c r="CB1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186&amp;""),"a",""),"b",""),"c",""),"d",""),"e",""),"f",""),"g",""),"h",""),"i",""),"j",""),"k",""),"l",""),"m",""),"n",""),"o",""),"p",""),"q",""),"r",""),"s",""),"t",""),"u",""),"v",""),"w",""),"x",""),"y",""),"z",""),"-",""),"_",""),"/",""),".",""),"#",""),"\\",""),":","")," ",""),"(",""),")","")</f>
        <v/>
      </c>
      <c r="CC186" s="0" t="str">
        <f aca="false">" "&amp;TRIM(SUBSTITUTE(SUBSTITUTE(SUBSTITUTE(SUBSTITUTE(SUBSTITUTE(SUBSTITUTE(SUBSTITUTE(SUBSTITUTE(SUBSTITUTE(SUBSTITUTE(SUBSTITUTE(SUBSTITUTE(SUBSTITUTE(SUBSTITUTE(SUBSTITUTE(SUBSTITUTE(SUBSTITUTE(SUBSTITUTE(SUBSTITUTE(SUBSTITUTE(SUBSTITUTE(SUBSTITUTE(SUBSTITUTE(SUBSTITUTE(LOWER(T186&amp;""),CHAR(10)," "),CHAR(13)," "),CHAR(9)," "),CHAR(160)," "),"."," "),","," "),"-"," "),"/"," "),"("," "),")"," "),":"," "),";"," "),"_"," "),"–"," "),"?"," "),"!"," "),"*"," "),"["," "),"]"," "),"'"," "),"#"," "),"+"," "),"&amp;"," "),"\"," "))&amp;" "</f>
        <v>  </v>
      </c>
      <c r="CD186" s="0" t="str">
        <f aca="false">" "&amp;TRIM(SUBSTITUTE(SUBSTITUTE(SUBSTITUTE(SUBSTITUTE(SUBSTITUTE(SUBSTITUTE(SUBSTITUTE(SUBSTITUTE(SUBSTITUTE(SUBSTITUTE(SUBSTITUTE(SUBSTITUTE(SUBSTITUTE(SUBSTITUTE(SUBSTITUTE(SUBSTITUTE(SUBSTITUTE(SUBSTITUTE(SUBSTITUTE(SUBSTITUTE(SUBSTITUTE(SUBSTITUTE(SUBSTITUTE(SUBSTITUTE(LOWER(AE186&amp;""),CHAR(10)," "),CHAR(13)," "),CHAR(9)," "),CHAR(160)," "),"."," "),","," "),"-"," "),"/"," "),"("," "),")"," "),":"," "),";"," "),"_"," "),"–"," "),"?"," "),"!"," "),"*"," "),"["," "),"]"," "),"'"," "),"#"," "),"+"," "),"&amp;"," "),"\"," "))&amp;" "</f>
        <v>  </v>
      </c>
      <c r="CE186" s="68" t="n">
        <f aca="false">IFERROR(IF(AND(LEN(AU186)&gt;0,LEN(AU186)=LEN(AX186),OR(TRIM(MID(SUBSTITUTE(TRIM(CC186)," ",REPT(" ",60)),1,60))="",ISNUMBER(SEARCH(" "&amp;TRIM(MID(SUBSTITUTE(TRIM(CC186)," ",REPT(" ",60)),1,60))&amp;" ",CD186))),OR(TRIM(MID(SUBSTITUTE(TRIM(CC186)," ",REPT(" ",60)),61,60))="",ISNUMBER(SEARCH(" "&amp;TRIM(MID(SUBSTITUTE(TRIM(CC186)," ",REPT(" ",60)),61,60))&amp;" ",CD186))),OR(TRIM(MID(SUBSTITUTE(TRIM(CC186)," ",REPT(" ",60)),121,60))="",ISNUMBER(SEARCH(" "&amp;TRIM(MID(SUBSTITUTE(TRIM(CC186)," ",REPT(" ",60)),121,60))&amp;" ",CD186)))),1,0),0)</f>
        <v>0</v>
      </c>
      <c r="CG186" s="68" t="n">
        <f aca="false">IFERROR(LEN(SUBSTITUTE(BF186," ",""))-SUMPRODUCT((LEN(BF186)-LEN(SUBSTITUTE(BF186," "&amp;L_NAFiller&amp;" "," ")))/(LEN(L_NAFiller)+1)*LEN(L_NAFiller)),0)</f>
        <v>0</v>
      </c>
    </row>
    <row r="187" customFormat="false" ht="41.25" hidden="false" customHeight="true" outlineLevel="0" collapsed="false">
      <c r="A187" s="57" t="s">
        <v>737</v>
      </c>
      <c r="B187" s="57" t="s">
        <v>231</v>
      </c>
      <c r="C187" s="57" t="str">
        <f aca="false">Flights!$F$10</f>
        <v>MH0002</v>
      </c>
      <c r="D187" s="58" t="n">
        <f aca="false">Flights!$D$10</f>
        <v>46310</v>
      </c>
      <c r="E187" s="57" t="str">
        <f aca="false">Flights!$G$10&amp;"-"&amp;Flights!$H$10</f>
        <v>KUL-LHR</v>
      </c>
      <c r="F187" s="57" t="str">
        <f aca="false">Flights!$K$10</f>
        <v>BC</v>
      </c>
      <c r="G187" s="57" t="s">
        <v>420</v>
      </c>
      <c r="H187" s="57" t="s">
        <v>378</v>
      </c>
      <c r="I187" s="57" t="s">
        <v>499</v>
      </c>
      <c r="J187" s="57" t="s">
        <v>505</v>
      </c>
      <c r="K187" s="67" t="s">
        <v>501</v>
      </c>
      <c r="L187" s="67" t="s">
        <v>738</v>
      </c>
      <c r="M187" s="67" t="s">
        <v>451</v>
      </c>
      <c r="N187" s="67" t="s">
        <v>383</v>
      </c>
      <c r="O187" s="67" t="s">
        <v>503</v>
      </c>
      <c r="P187" s="57" t="s">
        <v>187</v>
      </c>
      <c r="Q187" s="59" t="n">
        <f aca="false">ROUND((Flights!$AE$10)*1440,0)/1440</f>
        <v>46310.1388888889</v>
      </c>
      <c r="R187" s="59" t="n">
        <f aca="false">Q187+(IF(AND(INDEX(TZ_DSTS,MATCH(P187,TZ_STN,0))&lt;&gt;"",Q187&gt;=INDEX(TZ_DSTS,MATCH(P187,TZ_STN,0)),Q187&lt;INDEX(TZ_DSTE,MATCH(P187,TZ_STN,0))),INDEX(TZ_DST,MATCH(P187,TZ_STN,0)),INDEX(TZ_STD,MATCH(P187,TZ_STN,0))))/24</f>
        <v>46310.4722222222</v>
      </c>
      <c r="S187" s="60"/>
      <c r="T187" s="60"/>
      <c r="U187" s="60"/>
      <c r="V187" s="60"/>
      <c r="W187" s="61"/>
      <c r="X187" s="60"/>
      <c r="Y187" s="60"/>
      <c r="Z187" s="60"/>
      <c r="AA187" s="60"/>
      <c r="AB187" s="60"/>
      <c r="AC187" s="60"/>
      <c r="AD187" s="66"/>
      <c r="AE187" s="60"/>
      <c r="AF187" s="61" t="str">
        <f aca="false">IF(AND(ISNUMBER(X187),ISNUMBER(Y187)),Y187-X187,"")</f>
        <v/>
      </c>
      <c r="AG187" s="62" t="str">
        <f aca="false">IF(ISNUMBER(AD187),AD187-(IF(AND(INDEX(TZ_DSTS,MATCH(P187,TZ_STN,0))&lt;&gt;"",(AD187-INDEX(TZ_STD,MATCH(P187,TZ_STN,0))/24)&gt;=INDEX(TZ_DSTS,MATCH(P187,TZ_STN,0)),(AD187-INDEX(TZ_STD,MATCH(P187,TZ_STN,0))/24)&lt;INDEX(TZ_DSTE,MATCH(P187,TZ_STN,0))),INDEX(TZ_DST,MATCH(P187,TZ_STN,0)),INDEX(TZ_STD,MATCH(P187,TZ_STN,0))))/24,"")</f>
        <v/>
      </c>
      <c r="AH187" s="65" t="str">
        <f aca="false">IFERROR(IF(N187="N/A – rule",IF(OR(TRIM(U187)="",TRIM(U187)="N/A",TRIM(U187)="Not started"),"N/A – RULE","INVALID – this check does not apply to this aircraft: clear the status (or correct the fleet on Flights)"),IF(TRIM(U187)="N/A",IF(AT187=0,"INVALID – N/A not permitted for this check",IF(AND(TRIM(AB187)&lt;&gt;"",TRIM(AB187)&lt;&gt;"Closed"),"INVALID – corrective action still open",IF(AND(NOT(OR(LEN(AZ187)&lt;15,ISNUMBER(MATCH(AZ187,L_Placeholder,0)))),BK187=0,CG187&gt;=8,NOT(OR(LEN(AU187)&lt;2,ISNUMBER(MATCH(AU187,L_Placeholder,0)))),BR187&gt;=3,NOT(OR(LEN(AX187)&lt;2,ISNUMBER(MATCH(AX187,L_Placeholder,0)))),BS187&gt;=3,TRIM(AE187)&lt;&gt;TRIM(T187),AX187&lt;&gt;AU187,CE187=0),"N/A – JUSTIFIED","INVALID – N/A needs a real, settled reason (not 'not applicable' / 'as above' / TBC), a named PIC and a different named verifier"))),IF(OR(TRIM(U187)="Pass",TRIM(U187)="Pass after CA"),IF(NOT(ISNUMBER(AD187)),"INVALID – completion time missing",IF(OR(OR(LEN(AU187)&lt;2,ISNUMBER(MATCH(AU187,L_Placeholder,0))),BR187&lt;3),"INVALID – PIC missing or not a named person (a role such as QA / CSM is not a name)",IF(OR(LEN(AV187)&lt;2,ISNUMBER(MATCH(AV187,L_Placeholder,0))),"INVALID – result / assessment missing",IF(OR(OR(LEN(AW187)&lt;3,ISNUMBER(MATCH(AW187,L_Placeholder,0))),SUMPRODUCT(--ISNUMBER(SEARCH(" "&amp;L_EvidencePhrase&amp;" ",BD187)))&gt;0,BI187=1),"INVALID – evidence missing, placeholder or not yet on file",IF(ISNA(MATCH(TRIM(S187),L_EvidenceType,0)),"INVALID – choose the evidence type from the list (column S)",IF(BL187=0,"INVALID – evidence ID must be the record's own ID only (e.g. SF-2210, IMG_2231, 1045521); a link / file name needs type 'Link / file path'",IF(OR(OR(LEN(AX187)&lt;2,ISNUMBER(MATCH(AX187,L_Placeholder,0))),BS187&lt;3),"INVALID – verifier missing or not a named person (a role such as QA / CSM is not a name)",IF(OR(AX187=AU187,CE187=1,AND(LEN(AU187)&gt;=4,ISNUMBER(SEARCH(AU187,AX187))),AND(LEN(AX187)&gt;=4,ISNUMBER(SEARCH(AX187,AU187)))),"INVALID – verifier must be a different, named person (not the PIC or a role)",IF(BH187=1,"INVALID – result not yet available (awaiting / TBC)",IF(BG187=1,"INVALID – result describes a problem: record Fail, then Pass after CA (or reword if it is not a problem)",IF(BV187=1,"INVALID – wording says not on board: an on-board confirmation needs the item loaded",IF(AND(AQ187=1,OR(OR(LEN(AY187)&lt;3,ISNUMBER(MATCH(AY187,L_Placeholder,0))),BJ187=1,BQ187=0)),"INVALID – batch ID missing, placeholder or not an ID (e.g. PASB-261008-BC-017)",IF(AND(AR187=1,OR(NOT(ISNUMBER(X187)),NOT(ISNUMBER(Y187)))),"INVALID – expected/actual qty missing",IF(AND(AR187=1,OR(X187&lt;=0,Y187&lt;0)),"INVALID – expected qty must be above 0 and actual not negative",IF(BB187&lt;&gt;"",BB187,IF(AND(AS187=1,Documents!$J$10&lt;&gt;"ON FILE"),"INVALID – GLD not on file (Documents sheet)",IF(AND(AS187=2,Documents!$O$10&lt;&gt;"ON FILE"),"INVALID – menu checklist not on file (Documents sheet)",IF(AND(AS187=3,NOT(ISNUMBER(Flights!$AX$10))),"INVALID – enter carrying flight KUL departure (Flights AX)",IF(AND(AS187=3,OR(Flights!$AZ$10&gt;Flights!$AA$10,Flights!$AX$10&lt;Flights!$AA$10-3)),"INVALID – carrying flight (Flights AX) cannot arrive before this leg's STD, or is over 3 days early",IF(AG187&gt;AsOfUTC,"INVALID – completion time is in the future",IF(AND(ISNUMBER(BY187),AG187&lt;BY187),IF(H187="Physical uplift","INVALID – before uplift window (cannot confirm loading)","INVALID – before valid window"),IF(AG187&gt;Flights!$AA$10,"INVALID – completed after departure (cannot establish readiness)",IF(AND(H187="Preparation",AG187&gt;=IF(ISNUMBER(Flights!$BA$10),MIN(Flights!$BA$10,Flights!$AA$10),Flights!$AA$10)),"INVALID – completed after loading / departure (cannot establish readiness)",IF(AND(H187="Physical uplift",AG187&gt;Q187),"INVALID – recorded after the loading flight departed",IF(AG187&gt;Q187,"COMPLETE – LATE","COMPLETE"))))))))))))))))))))))))),IF(TRIM(U187)="Fail","FAIL – DISCREPANCY",IF(AND(TRIM(U187)&lt;&gt;"",TRIM(U187)&lt;&gt;"Not started",TRIM(U187)&lt;&gt;"In progress"),"INVALID – unrecognised status (use the list)",IF(AsOfUTC&gt;Q187,"OVERDUE",IF(N187="Clarification required","OPEN – CLARIFICATION","OPEN"))))))),"INVALID – error value in an input cell")</f>
        <v>OPEN</v>
      </c>
      <c r="AI187" s="61" t="n">
        <f aca="false">IF(OR(AH187="N/A – RULE",AH187="N/A – JUSTIFIED"),0,1)</f>
        <v>1</v>
      </c>
      <c r="AJ187" s="61" t="n">
        <f aca="false">IF(LEFT(AH187,8)="COMPLETE",1,0)</f>
        <v>0</v>
      </c>
      <c r="AK187" s="61" t="n">
        <f aca="false">IF(AND(AI187=1,AJ187=0,AsOfUTC&gt;Q187),1,0)</f>
        <v>0</v>
      </c>
      <c r="AL187" s="61" t="n">
        <f aca="false">IFERROR(IF(AND(AI187=1,OR(TRIM(U187)="Fail",AND(TRIM(AB187)&lt;&gt;"",TRIM(AB187)&lt;&gt;"Closed"),AND(ISNUMBER(AF187),AF187&lt;&gt;0,TRIM(U187)&lt;&gt;"Pass after CA"))),1,0),1)</f>
        <v>0</v>
      </c>
      <c r="AM187" s="61" t="n">
        <f aca="false">IF(LEFT(AH187,7)="INVALID",1,0)</f>
        <v>0</v>
      </c>
      <c r="AN187" s="61" t="n">
        <f aca="false">IF(AND(N187="Clarification required",AI187=1,AJ187=0),1,0)</f>
        <v>0</v>
      </c>
      <c r="AO187" s="61" t="str">
        <f aca="false">IF(AK187=1,SUM(AK$5:AK187),"")</f>
        <v/>
      </c>
      <c r="AP187" s="61" t="str">
        <f aca="false">IF(AL187=1,SUM(AL$5:AL187),"")</f>
        <v/>
      </c>
      <c r="AQ187" s="61" t="n">
        <v>0</v>
      </c>
      <c r="AR187" s="61" t="n">
        <v>0</v>
      </c>
      <c r="AS187" s="61" t="n">
        <v>0</v>
      </c>
      <c r="AT187" s="61" t="n">
        <v>0</v>
      </c>
      <c r="AU187" s="61" t="str">
        <f aca="false">SUBSTITUTE(SUBSTITUTE(SUBSTITUTE(SUBSTITUTE(SUBSTITUTE(SUBSTITUTE(SUBSTITUTE(SUBSTITUTE(SUBSTITUTE(SUBSTITUTE(SUBSTITUTE(SUBSTITUTE(SUBSTITUTE(SUBSTITUTE(SUBSTITUTE(SUBSTITUTE(LOWER(T187&amp;""),CHAR(10),""),CHAR(13),""),CHAR(9),""),CHAR(160),"")," ",""),".",""),"-",""),"/",""),"?",""),"_",""),",",""),"[",""),"]",""),"(",""),")",""),"*","")</f>
        <v/>
      </c>
      <c r="AV187" s="61" t="str">
        <f aca="false">SUBSTITUTE(SUBSTITUTE(SUBSTITUTE(SUBSTITUTE(SUBSTITUTE(SUBSTITUTE(SUBSTITUTE(SUBSTITUTE(SUBSTITUTE(SUBSTITUTE(SUBSTITUTE(SUBSTITUTE(SUBSTITUTE(SUBSTITUTE(SUBSTITUTE(SUBSTITUTE(LOWER(V187&amp;""),CHAR(10),""),CHAR(13),""),CHAR(9),""),CHAR(160),"")," ",""),".",""),"-",""),"/",""),"?",""),"_",""),",",""),"[",""),"]",""),"(",""),")",""),"*","")</f>
        <v/>
      </c>
      <c r="AW187" s="61" t="str">
        <f aca="false">SUBSTITUTE(SUBSTITUTE(SUBSTITUTE(SUBSTITUTE(SUBSTITUTE(SUBSTITUTE(SUBSTITUTE(SUBSTITUTE(SUBSTITUTE(SUBSTITUTE(SUBSTITUTE(SUBSTITUTE(SUBSTITUTE(SUBSTITUTE(SUBSTITUTE(SUBSTITUTE(LOWER(Z187&amp;""),CHAR(10),""),CHAR(13),""),CHAR(9),""),CHAR(160),"")," ",""),".",""),"-",""),"/",""),"?",""),"_",""),",",""),"[",""),"]",""),"(",""),")",""),"*","")</f>
        <v/>
      </c>
      <c r="AX187" s="61" t="str">
        <f aca="false">SUBSTITUTE(SUBSTITUTE(SUBSTITUTE(SUBSTITUTE(SUBSTITUTE(SUBSTITUTE(SUBSTITUTE(SUBSTITUTE(SUBSTITUTE(SUBSTITUTE(SUBSTITUTE(SUBSTITUTE(SUBSTITUTE(SUBSTITUTE(SUBSTITUTE(SUBSTITUTE(LOWER(AE187&amp;""),CHAR(10),""),CHAR(13),""),CHAR(9),""),CHAR(160),"")," ",""),".",""),"-",""),"/",""),"?",""),"_",""),",",""),"[",""),"]",""),"(",""),")",""),"*","")</f>
        <v/>
      </c>
      <c r="AY187" s="61" t="str">
        <f aca="false">SUBSTITUTE(SUBSTITUTE(SUBSTITUTE(SUBSTITUTE(SUBSTITUTE(SUBSTITUTE(SUBSTITUTE(SUBSTITUTE(SUBSTITUTE(SUBSTITUTE(SUBSTITUTE(SUBSTITUTE(SUBSTITUTE(SUBSTITUTE(SUBSTITUTE(SUBSTITUTE(LOWER(W187&amp;""),CHAR(10),""),CHAR(13),""),CHAR(9),""),CHAR(160),"")," ",""),".",""),"-",""),"/",""),"?",""),"_",""),",",""),"[",""),"]",""),"(",""),")",""),"*","")</f>
        <v/>
      </c>
      <c r="AZ187" s="61" t="str">
        <f aca="false">SUBSTITUTE(SUBSTITUTE(SUBSTITUTE(SUBSTITUTE(SUBSTITUTE(SUBSTITUTE(SUBSTITUTE(SUBSTITUTE(SUBSTITUTE(SUBSTITUTE(SUBSTITUTE(SUBSTITUTE(SUBSTITUTE(SUBSTITUTE(SUBSTITUTE(SUBSTITUTE(LOWER(AC187&amp;""),CHAR(10),""),CHAR(13),""),CHAR(9),""),CHAR(160),"")," ",""),".",""),"-",""),"/",""),"?",""),"_",""),",",""),"[",""),"]",""),"(",""),")",""),"*","")</f>
        <v/>
      </c>
      <c r="BA187" s="61" t="str">
        <f aca="false">SUBSTITUTE(SUBSTITUTE(SUBSTITUTE(SUBSTITUTE(SUBSTITUTE(SUBSTITUTE(SUBSTITUTE(SUBSTITUTE(SUBSTITUTE(SUBSTITUTE(SUBSTITUTE(SUBSTITUTE(SUBSTITUTE(SUBSTITUTE(SUBSTITUTE(SUBSTITUTE(LOWER(AA187&amp;""),CHAR(10),""),CHAR(13),""),CHAR(9),""),CHAR(160),"")," ",""),".",""),"-",""),"/",""),"?",""),"_",""),",",""),"[",""),"]",""),"(",""),")",""),"*","")</f>
        <v/>
      </c>
      <c r="BB187" s="61" t="str">
        <f aca="false">IF(AND(TRIM(U187)="Pass",ISNUMBER(AF187)),IF(AF187&lt;&gt;0,"INVALID – qty variance: use Fail or Pass after CA",""),"")&amp;IF(AND(TRIM(U187)="Pass after CA",ISNUMBER(AF187)),IF(AF187&lt;&gt;0,"INVALID – after the corrective action the actual qty must equal expected (update Actual)",""),"")&amp;IF(AND(TRIM(U187)="Pass",TRIM(AB187)&lt;&gt;"",TRIM(AB187)&lt;&gt;"Closed"),"INVALID – corrective action not closed: use Fail, then Pass after CA","")&amp;IF(AND(LEN(BA187)&gt;=2,ISNA(MATCH(LEFT(BA187,255),L_Placeholder,0)),TRIM(AB187)=""),"INVALID – CA status missing for the recorded corrective action","")&amp;IF(AND(TRIM(U187)="Pass after CA",OR(OR(LEN(BA187)&lt;5,ISNUMBER(MATCH(BA187,L_Placeholder,0))),TRIM(AB187)&lt;&gt;"Closed")),"INVALID – corrective action not recorded/closed","")</f>
        <v/>
      </c>
      <c r="BC187" s="61" t="str">
        <f aca="false">" "&amp;TRIM(SUBSTITUTE(SUBSTITUTE(SUBSTITUTE(SUBSTITUTE(SUBSTITUTE(SUBSTITUTE(SUBSTITUTE(SUBSTITUTE(SUBSTITUTE(SUBSTITUTE(SUBSTITUTE(SUBSTITUTE(SUBSTITUTE(SUBSTITUTE(SUBSTITUTE(SUBSTITUTE(SUBSTITUTE(SUBSTITUTE(SUBSTITUTE(SUBSTITUTE(SUBSTITUTE(SUBSTITUTE(SUBSTITUTE(SUBSTITUTE(LOWER(V187&amp;""),CHAR(10)," "),CHAR(13)," "),CHAR(9)," "),CHAR(160)," "),"."," "),","," "),"-"," "),"/"," "),"("," "),")"," "),":"," "),";"," "),"_"," "),"–"," "),"?"," "),"!"," "),"*"," "),"["," "),"]"," "),"'"," "),"#"," "),"+"," "),"&amp;"," "),"\"," "))&amp;" "</f>
        <v>  </v>
      </c>
      <c r="BD187" s="61" t="str">
        <f aca="false">" "&amp;TRIM(SUBSTITUTE(SUBSTITUTE(SUBSTITUTE(SUBSTITUTE(SUBSTITUTE(SUBSTITUTE(SUBSTITUTE(SUBSTITUTE(SUBSTITUTE(SUBSTITUTE(SUBSTITUTE(SUBSTITUTE(SUBSTITUTE(SUBSTITUTE(SUBSTITUTE(SUBSTITUTE(SUBSTITUTE(SUBSTITUTE(SUBSTITUTE(SUBSTITUTE(SUBSTITUTE(SUBSTITUTE(SUBSTITUTE(SUBSTITUTE(LOWER(Z187&amp;""),CHAR(10)," "),CHAR(13)," "),CHAR(9)," "),CHAR(160)," "),"."," "),","," "),"-"," "),"/"," "),"("," "),")"," "),":"," "),";"," "),"_"," "),"–"," "),"?"," "),"!"," "),"*"," "),"["," "),"]"," "),"'"," "),"#"," "),"+"," "),"&amp;"," "),"\"," "))&amp;" "</f>
        <v>  </v>
      </c>
      <c r="BE187" s="61" t="str">
        <f aca="false">" "&amp;TRIM(SUBSTITUTE(SUBSTITUTE(SUBSTITUTE(SUBSTITUTE(SUBSTITUTE(SUBSTITUTE(SUBSTITUTE(SUBSTITUTE(SUBSTITUTE(SUBSTITUTE(SUBSTITUTE(SUBSTITUTE(SUBSTITUTE(SUBSTITUTE(SUBSTITUTE(SUBSTITUTE(SUBSTITUTE(SUBSTITUTE(SUBSTITUTE(SUBSTITUTE(SUBSTITUTE(SUBSTITUTE(SUBSTITUTE(SUBSTITUTE(LOWER(W187&amp;""),CHAR(10)," "),CHAR(13)," "),CHAR(9)," "),CHAR(160)," "),"."," "),","," "),"-"," "),"/"," "),"("," "),")"," "),":"," "),";"," "),"_"," "),"–"," "),"?"," "),"!"," "),"*"," "),"["," "),"]"," "),"'"," "),"#"," "),"+"," "),"&amp;"," "),"\"," "))&amp;" "</f>
        <v>  </v>
      </c>
      <c r="BF187" s="61" t="str">
        <f aca="false">" "&amp;TRIM(SUBSTITUTE(SUBSTITUTE(SUBSTITUTE(SUBSTITUTE(SUBSTITUTE(SUBSTITUTE(SUBSTITUTE(SUBSTITUTE(SUBSTITUTE(SUBSTITUTE(SUBSTITUTE(SUBSTITUTE(SUBSTITUTE(SUBSTITUTE(SUBSTITUTE(SUBSTITUTE(SUBSTITUTE(SUBSTITUTE(SUBSTITUTE(SUBSTITUTE(SUBSTITUTE(SUBSTITUTE(SUBSTITUTE(SUBSTITUTE(LOWER(AC187&amp;""),CHAR(10)," "),CHAR(13)," "),CHAR(9)," "),CHAR(160)," "),"."," "),","," "),"-"," "),"/"," "),"("," "),")"," "),":"," "),";"," "),"_"," "),"–"," "),"?"," "),"!"," "),"*"," "),"["," "),"]"," "),"'"," "),"#"," "),"+"," "),"&amp;"," "),"\"," "))&amp;" "</f>
        <v>  </v>
      </c>
      <c r="BG187" s="61" t="n">
        <f aca="false">IFERROR(IF(AND(TRIM(U187)="Pass",SUMPRODUCT((LEN(BC187)-LEN(SUBSTITUTE(BC187," "&amp;L_ResultBad&amp;" "," ")))/(LEN(L_ResultBad)+1))&gt;SUMPRODUCT((LEN(BC187)-LEN(SUBSTITUTE(BC187," "&amp;L_NegPhrase&amp;" "," ")))/(LEN(L_NegPhrase)+1))),1,0),0)</f>
        <v>0</v>
      </c>
      <c r="BH187" s="61" t="n">
        <f aca="false">IFERROR(IF(SUMPRODUCT((LEN(BC187)-LEN(SUBSTITUTE(BC187," "&amp;L_Pending&amp;" "," ")))/(LEN(L_Pending)+1))&gt;SUMPRODUCT((LEN(BC187)-LEN(SUBSTITUTE(BC187," "&amp;L_PendNeg&amp;" "," ")))/(LEN(L_PendNeg)+1))+SUMPRODUCT((LEN(BC187)-LEN(SUBSTITUTE(BC187," "&amp;L_PendPrep&amp;" "," ")))/(LEN(L_PendPrep)+1)),1,0),1)</f>
        <v>0</v>
      </c>
      <c r="BI187" s="61" t="n">
        <f aca="false">IFERROR(IF(SUMPRODUCT((LEN(BD187)-LEN(SUBSTITUTE(BD187," "&amp;L_PendStrict&amp;" "," ")))/(LEN(L_PendStrict)+1))&gt;SUMPRODUCT((LEN(BD187)-LEN(SUBSTITUTE(BD187," "&amp;L_PendNeg&amp;" "," ")))/(LEN(L_PendNeg)+1)),1,0),1)</f>
        <v>0</v>
      </c>
      <c r="BJ187" s="61" t="n">
        <f aca="false">IFERROR(IF(SUMPRODUCT((LEN(BE187)-LEN(SUBSTITUTE(BE187," "&amp;L_Pending&amp;" "," ")))/(LEN(L_Pending)+1))&gt;SUMPRODUCT((LEN(BE187)-LEN(SUBSTITUTE(BE187," "&amp;L_PendNeg&amp;" "," ")))/(LEN(L_PendNeg)+1))+SUMPRODUCT((LEN(BE187)-LEN(SUBSTITUTE(BE187," "&amp;L_PendPrep&amp;" "," ")))/(LEN(L_PendPrep)+1)),1,0),1)</f>
        <v>0</v>
      </c>
      <c r="BK187" s="61" t="n">
        <f aca="false">IFERROR(IF(SUMPRODUCT((LEN(BF187)-LEN(SUBSTITUTE(BF187," "&amp;L_PendStrict&amp;" "," ")))/(LEN(L_PendStrict)+1))&gt;SUMPRODUCT((LEN(BF187)-LEN(SUBSTITUTE(BF187," "&amp;L_PendNeg&amp;" "," ")))/(LEN(L_PendNeg)+1)),1,0),1)</f>
        <v>0</v>
      </c>
      <c r="BL187" s="61" t="n">
        <f aca="false">IF(ISNA(MATCH(TRIM(S187),L_EvidenceType,0)),0,BZ187)</f>
        <v>0</v>
      </c>
      <c r="BM187" s="61" t="str">
        <f aca="false">SUBSTITUTE(SUBSTITUTE(SUBSTITUTE(SUBSTITUTE(SUBSTITUTE(SUBSTITUTE(SUBSTITUTE(SUBSTITUTE(SUBSTITUTE(LOWER(Z187&amp;""),"1","0"),"2","0"),"3","0"),"4","0"),"5","0"),"6","0"),"7","0"),"8","0"),"9","0")</f>
        <v/>
      </c>
      <c r="BN187" s="61" t="str">
        <f aca="false">SUBSTITUTE(SUBSTITUTE(SUBSTITUTE(SUBSTITUTE(SUBSTITUTE(SUBSTITUTE(SUBSTITUTE(SUBSTITUTE(SUBSTITUTE(SUBSTITUTE(SUBSTITUTE(SUBSTITUTE(SUBSTITUTE(SUBSTITUTE(SUBSTITUTE(SUBSTITUTE(SUBSTITUTE(SUBSTITUTE(SUBSTITUTE(SUBSTITUTE(SUBSTITUTE(SUBSTITUTE(SUBSTITUTE(SUBSTITUTE(SUBSTITUTE(BM187,"b","a"),"c","a"),"d","a"),"e","a"),"f","a"),"g","a"),"h","a"),"i","a"),"j","a"),"k","a"),"l","a"),"m","a"),"n","a"),"o","a"),"p","a"),"q","a"),"r","a"),"s","a"),"t","a"),"u","a"),"v","a"),"w","a"),"x","a"),"y","a"),"z","a")</f>
        <v/>
      </c>
      <c r="BO187" s="61" t="str">
        <f aca="false">SUBSTITUTE(SUBSTITUTE(SUBSTITUTE(SUBSTITUTE(SUBSTITUTE(SUBSTITUTE(SUBSTITUTE(SUBSTITUTE(SUBSTITUTE(LOWER(W187&amp;""),"1","0"),"2","0"),"3","0"),"4","0"),"5","0"),"6","0"),"7","0"),"8","0"),"9","0")</f>
        <v/>
      </c>
      <c r="BP187" s="61" t="str">
        <f aca="false">SUBSTITUTE(SUBSTITUTE(SUBSTITUTE(SUBSTITUTE(SUBSTITUTE(SUBSTITUTE(SUBSTITUTE(SUBSTITUTE(SUBSTITUTE(SUBSTITUTE(SUBSTITUTE(SUBSTITUTE(SUBSTITUTE(SUBSTITUTE(SUBSTITUTE(SUBSTITUTE(SUBSTITUTE(SUBSTITUTE(SUBSTITUTE(SUBSTITUTE(SUBSTITUTE(SUBSTITUTE(SUBSTITUTE(SUBSTITUTE(SUBSTITUTE(BO187,"b","a"),"c","a"),"d","a"),"e","a"),"f","a"),"g","a"),"h","a"),"i","a"),"j","a"),"k","a"),"l","a"),"m","a"),"n","a"),"o","a"),"p","a"),"q","a"),"r","a"),"s","a"),"t","a"),"u","a"),"v","a"),"w","a"),"x","a"),"y","a"),"z","a")</f>
        <v/>
      </c>
      <c r="BQ187" s="61" t="n">
        <f aca="false">IFERROR(IF(AND(ISERROR(SEARCH(" mh"," "&amp;LOWER(W187))),ISNA(MATCH(LEFT(TRIM(BP187),255),{"0000a","000a","00a","0000aa","000aa","00aa","0aa","0000aaa","000aaa","00a00","0a00","0000-0000","00:00","a00","a0","00.00.0000","00/00/0000","00-00-0000","0000-00-00","0000/00/00","0000.00.00","00.00.00","00/00/00","00-00-00","0.00.0000","0/00/0000","0-00-0000"},0)),ISNA(MATCH(LEFT(TRIM(CA187),255),{"0000a","000a","00a","0000aa","000aa","00aa","0aa","0000aaa","000aaa","00a00","0a00","0000-0000","00:00","a00","a0","00.00.0000","00/00/0000","00-00-0000","0000-00-00","0000/00/00","0000.00.00","00.00.00","00/00/00","00-00-00","0.00.0000","0/00/0000","0-00-0000"},0)),LEN(CB187)&gt;=3,NOT(OR(SUBSTITUTE(CB187,"0","")="",AND(LEN(CB187)&gt;=4,CB187=REPT(LEFT(CB187),LEN(CB187))),ISNUMBER(MATCH(CB187,{"123","1234","12345","123456","1234567","12345678","0123","01234","012345","98765","987654","54321"},0)),AND(LEN(CB187)=8,LEFT(CB187,3)="202"))),OR(AND((LEN(CA187)-LEN(SUBSTITUTE(CA187,"a","")))&gt;=1,SUMPRODUCT(--ISNUMBER(SEARCH({"a0","a-0","a_0","a/0","a.0","a#0","0a","0-a","0_a","0/a"},BP187)))&gt;0),ISNUMBER(SEARCH("000000",BP187)))),1,0),0)</f>
        <v>0</v>
      </c>
      <c r="BR187" s="61" t="n">
        <f aca="false">IFERROR(LEN(SUBSTITUTE(CC187," ",""))-SUMPRODUCT((LEN(CC187)-LEN(SUBSTITUTE(CC187," "&amp;L_Role&amp;" "," ")))/(LEN(L_Role)+1)*LEN(L_Role)),0)</f>
        <v>0</v>
      </c>
      <c r="BS187" s="61" t="n">
        <f aca="false">IFERROR(LEN(SUBSTITUTE(CD187," ",""))-SUMPRODUCT((LEN(CD187)-LEN(SUBSTITUTE(CD187," "&amp;L_Role&amp;" "," ")))/(LEN(L_Role)+1)*LEN(L_Role)),0)</f>
        <v>0</v>
      </c>
      <c r="BT1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187,"revision",""),"version",""),"jan",""),"feb",""),"mar",""),"apr",""),"may",""),"jun",""),"jul",""),"aug",""),"sep",""),"oct",""),"nov",""),"dec",""),"utc",""),"gmt",""),"myt",""),"bst",""),"rev",""),"ver",""),"b","a"),"c","a"),"d","a"),"e","a"),"f","a"),"g","a"),"h","a"),"i","a"),"j","a"),"k","a"),"l","a"),"m","a"),"n","a"),"o","a"),"p","a"),"q","a"),"r","a"),"s","a"),"t","a"),"u","a"),"v","a"),"w","a"),"x","a"),"y","a"),"z","a")</f>
        <v/>
      </c>
      <c r="BU187" s="61" t="str">
        <f aca="false">SUBSTITUTE(SUBSTITUTE(SUBSTITUTE(SUBSTITUTE(SUBSTITUTE(SUBSTITUTE(SUBSTITUTE(SUBSTITUTE(SUBSTITUTE(SUBSTITUTE(LEFT(BM187,FIND("0",BM187&amp;"0")-1),"-",""),"_",""),"/",""),".",""),"#",""),"\\",""),":","")," ",""),"(",""),")","")</f>
        <v/>
      </c>
      <c r="BV187" s="61" t="n">
        <f aca="false">0</f>
        <v>0</v>
      </c>
      <c r="BW1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187&amp;""),"a",""),"b",""),"c",""),"d",""),"e",""),"f",""),"g",""),"h",""),"i",""),"j",""),"k",""),"l",""),"m",""),"n",""),"o",""),"p",""),"q",""),"r",""),"s",""),"t",""),"u",""),"v",""),"w",""),"x",""),"y",""),"z",""),"-",""),"_",""),"/",""),".",""),"#",""),"\\",""),":","")," ",""),"(",""),")","")</f>
        <v/>
      </c>
      <c r="BX187" s="61" t="str">
        <f aca="false">SUBSTITUTE(SUBSTITUTE(SUBSTITUTE(SUBSTITUTE(SUBSTITUTE(SUBSTITUTE(SUBSTITUTE(SUBSTITUTE(SUBSTITUTE(SUBSTITUTE(SUBSTITUTE(BM187,"0",""),"-",""),"_",""),"/",""),".",""),"#",""),"\\",""),":","")," ",""),"(",""),")","")</f>
        <v/>
      </c>
      <c r="BY187" s="62" t="n">
        <f aca="false">Q187-T12EarlyH/24</f>
        <v>46309.6388888889</v>
      </c>
      <c r="BZ187" s="61" t="n">
        <f aca="false">IFERROR(IF(IF(TRIM(S187)="Link / file path",AND(LEN(TRIM(Z187))&gt;=5,SUMPRODUCT(--ISNUMBER(SEARCH({"http","www.","\\",":\",".pdf",".jpg",".jpeg",".png",".heic",".xls",".doc",".msg",".eml",".ppt",".txt",".zip"},Z187)))&gt;0),AND(ISERROR(FIND(" ",TRIM(Z187))),NOT(OR(SUMPRODUCT(--ISNUMBER(FIND({",",";","&amp;","+"},Z187)))&gt;0,SUMPRODUCT(--ISNUMBER(SEARCH({"0/aa","0\\aa"},BN187)))&gt;0)),NOT(SUMPRODUCT(--ISNUMBER(SEARCH({"http","www.","\\",":\",".pdf",".jpg",".jpeg",".png",".heic",".xls",".doc",".msg",".eml",".ppt",".txt",".zip"},Z187)))&gt;0),NOT(LOWER(TRIM(Z187))=LOWER(Flights!$F$10)),ISNA(MATCH(BU187,{"mh","rev","revision","ver","version","v","r","a","b","seat","tray","row","gate","bay","stand","page","pg","item","line","no","cart","galley","flight","flt","table","box","bag","oven","etd","eta","std","sta","atd","ata","qty","pax","x","time","tel","ph","mob","day","wk","week","utc","gmt","myt","lt"},0)),NOT(OR(ISNUMBER(MATCH(LEFT(BN187,255),{"0000a","000a","00a","0000aa","000aa","00aa","0aa","0000aaa","000aaa","00a00","0a00","0000-0000","00:00","a00","a0","00.00.0000","00/00/0000","00-00-0000","0000-00-00","0000/00/00","0000.00.00","00.00.00","00/00/00","00-00-00","0.00.0000","0/00/0000","0-00-0000"},0)),ISNUMBER(MATCH(LEFT(BT187,255),{"0000a","000a","00a","0000aa","000aa","00aa","0aa","0000aaa","000aaa","00a00","0a00","0000-0000","00:00","a00","a0","00.00.0000","00/00/0000","00-00-0000","0000-00-00","0000/00/00","0000.00.00","00.00.00","00/00/00","00-00-00","0.00.0000","0/00/0000","0-00-0000"},0)))),NOT(OR(AND(BW187&lt;&gt;"",SUBSTITUTE(BW187,"0","")=""),AND(LEN(BW187)&gt;=4,BW187=REPT(LEFT(BW187),LEN(BW187))),ISNUMBER(MATCH(BW187,{"123","1234","12345","123456","1234567","12345678","0123","01234","012345","98765","987654","54321"},0)),ISNUMBER(MATCH(BX187,{"x","xx","xxx","xxxx","xxxxx","abc","abcd","nil","na","nan","test","tbc","tba","tbd","dummy","sample","example","eg","zz","zzz","none","null","xyz","qwe","asd","id","ref"},0)),AND(LEN(BW187)=8,BX187="",OR(LEFT(BW187,3)="202",ISNUMBER(MATCH(RIGHT(BW187,4),{"2025","2026","2027"},0)))))),OR(AND((LEN(BT187)-LEN(SUBSTITUTE(BT187,"a","")))&gt;=1,(LEN(BN187)-LEN(SUBSTITUTE(BN187,"0","")))&gt;=2,SUMPRODUCT(--ISNUMBER(SEARCH({"a0","a-0","a_0","a/0","a.0","a#0","0a","0-a","0_a","0/a"},BN187)))&gt;0),AND((LEN(BN187)-LEN(SUBSTITUTE(BN187,"a","")))=0,(LEN(BN187)-LEN(SUBSTITUTE(BN187,"0","")))&gt;=5)))),1,0),0)</f>
        <v>0</v>
      </c>
      <c r="CA1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187,"revision",""),"version",""),"jan",""),"feb",""),"mar",""),"apr",""),"may",""),"jun",""),"jul",""),"aug",""),"sep",""),"oct",""),"nov",""),"dec",""),"utc",""),"gmt",""),"myt",""),"bst",""),"rev",""),"ver",""),"b","a"),"c","a"),"d","a"),"e","a"),"f","a"),"g","a"),"h","a"),"i","a"),"j","a"),"k","a"),"l","a"),"m","a"),"n","a"),"o","a"),"p","a"),"q","a"),"r","a"),"s","a"),"t","a"),"u","a"),"v","a"),"w","a"),"x","a"),"y","a"),"z","a")</f>
        <v/>
      </c>
      <c r="CB1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187&amp;""),"a",""),"b",""),"c",""),"d",""),"e",""),"f",""),"g",""),"h",""),"i",""),"j",""),"k",""),"l",""),"m",""),"n",""),"o",""),"p",""),"q",""),"r",""),"s",""),"t",""),"u",""),"v",""),"w",""),"x",""),"y",""),"z",""),"-",""),"_",""),"/",""),".",""),"#",""),"\\",""),":","")," ",""),"(",""),")","")</f>
        <v/>
      </c>
      <c r="CC187" s="0" t="str">
        <f aca="false">" "&amp;TRIM(SUBSTITUTE(SUBSTITUTE(SUBSTITUTE(SUBSTITUTE(SUBSTITUTE(SUBSTITUTE(SUBSTITUTE(SUBSTITUTE(SUBSTITUTE(SUBSTITUTE(SUBSTITUTE(SUBSTITUTE(SUBSTITUTE(SUBSTITUTE(SUBSTITUTE(SUBSTITUTE(SUBSTITUTE(SUBSTITUTE(SUBSTITUTE(SUBSTITUTE(SUBSTITUTE(SUBSTITUTE(SUBSTITUTE(SUBSTITUTE(LOWER(T187&amp;""),CHAR(10)," "),CHAR(13)," "),CHAR(9)," "),CHAR(160)," "),"."," "),","," "),"-"," "),"/"," "),"("," "),")"," "),":"," "),";"," "),"_"," "),"–"," "),"?"," "),"!"," "),"*"," "),"["," "),"]"," "),"'"," "),"#"," "),"+"," "),"&amp;"," "),"\"," "))&amp;" "</f>
        <v>  </v>
      </c>
      <c r="CD187" s="0" t="str">
        <f aca="false">" "&amp;TRIM(SUBSTITUTE(SUBSTITUTE(SUBSTITUTE(SUBSTITUTE(SUBSTITUTE(SUBSTITUTE(SUBSTITUTE(SUBSTITUTE(SUBSTITUTE(SUBSTITUTE(SUBSTITUTE(SUBSTITUTE(SUBSTITUTE(SUBSTITUTE(SUBSTITUTE(SUBSTITUTE(SUBSTITUTE(SUBSTITUTE(SUBSTITUTE(SUBSTITUTE(SUBSTITUTE(SUBSTITUTE(SUBSTITUTE(SUBSTITUTE(LOWER(AE187&amp;""),CHAR(10)," "),CHAR(13)," "),CHAR(9)," "),CHAR(160)," "),"."," "),","," "),"-"," "),"/"," "),"("," "),")"," "),":"," "),";"," "),"_"," "),"–"," "),"?"," "),"!"," "),"*"," "),"["," "),"]"," "),"'"," "),"#"," "),"+"," "),"&amp;"," "),"\"," "))&amp;" "</f>
        <v>  </v>
      </c>
      <c r="CE187" s="68" t="n">
        <f aca="false">IFERROR(IF(AND(LEN(AU187)&gt;0,LEN(AU187)=LEN(AX187),OR(TRIM(MID(SUBSTITUTE(TRIM(CC187)," ",REPT(" ",60)),1,60))="",ISNUMBER(SEARCH(" "&amp;TRIM(MID(SUBSTITUTE(TRIM(CC187)," ",REPT(" ",60)),1,60))&amp;" ",CD187))),OR(TRIM(MID(SUBSTITUTE(TRIM(CC187)," ",REPT(" ",60)),61,60))="",ISNUMBER(SEARCH(" "&amp;TRIM(MID(SUBSTITUTE(TRIM(CC187)," ",REPT(" ",60)),61,60))&amp;" ",CD187))),OR(TRIM(MID(SUBSTITUTE(TRIM(CC187)," ",REPT(" ",60)),121,60))="",ISNUMBER(SEARCH(" "&amp;TRIM(MID(SUBSTITUTE(TRIM(CC187)," ",REPT(" ",60)),121,60))&amp;" ",CD187)))),1,0),0)</f>
        <v>0</v>
      </c>
      <c r="CG187" s="68" t="n">
        <f aca="false">IFERROR(LEN(SUBSTITUTE(BF187," ",""))-SUMPRODUCT((LEN(BF187)-LEN(SUBSTITUTE(BF187," "&amp;L_NAFiller&amp;" "," ")))/(LEN(L_NAFiller)+1)*LEN(L_NAFiller)),0)</f>
        <v>0</v>
      </c>
    </row>
    <row r="188" customFormat="false" ht="41.25" hidden="false" customHeight="true" outlineLevel="0" collapsed="false">
      <c r="A188" s="57" t="s">
        <v>739</v>
      </c>
      <c r="B188" s="57" t="s">
        <v>231</v>
      </c>
      <c r="C188" s="57" t="str">
        <f aca="false">Flights!$F$10</f>
        <v>MH0002</v>
      </c>
      <c r="D188" s="58" t="n">
        <f aca="false">Flights!$D$10</f>
        <v>46310</v>
      </c>
      <c r="E188" s="57" t="str">
        <f aca="false">Flights!$G$10&amp;"-"&amp;Flights!$H$10</f>
        <v>KUL-LHR</v>
      </c>
      <c r="F188" s="57" t="str">
        <f aca="false">Flights!$K$10</f>
        <v>BC</v>
      </c>
      <c r="G188" s="57" t="s">
        <v>420</v>
      </c>
      <c r="H188" s="57" t="s">
        <v>378</v>
      </c>
      <c r="I188" s="57" t="s">
        <v>499</v>
      </c>
      <c r="J188" s="57" t="s">
        <v>508</v>
      </c>
      <c r="K188" s="67" t="s">
        <v>501</v>
      </c>
      <c r="L188" s="67" t="s">
        <v>740</v>
      </c>
      <c r="M188" s="67" t="s">
        <v>451</v>
      </c>
      <c r="N188" s="67" t="s">
        <v>383</v>
      </c>
      <c r="O188" s="67" t="s">
        <v>503</v>
      </c>
      <c r="P188" s="57" t="s">
        <v>187</v>
      </c>
      <c r="Q188" s="59" t="n">
        <f aca="false">ROUND((Flights!$AE$10)*1440,0)/1440</f>
        <v>46310.1388888889</v>
      </c>
      <c r="R188" s="59" t="n">
        <f aca="false">Q188+(IF(AND(INDEX(TZ_DSTS,MATCH(P188,TZ_STN,0))&lt;&gt;"",Q188&gt;=INDEX(TZ_DSTS,MATCH(P188,TZ_STN,0)),Q188&lt;INDEX(TZ_DSTE,MATCH(P188,TZ_STN,0))),INDEX(TZ_DST,MATCH(P188,TZ_STN,0)),INDEX(TZ_STD,MATCH(P188,TZ_STN,0))))/24</f>
        <v>46310.4722222222</v>
      </c>
      <c r="S188" s="60"/>
      <c r="T188" s="60"/>
      <c r="U188" s="60"/>
      <c r="V188" s="60"/>
      <c r="W188" s="61"/>
      <c r="X188" s="60"/>
      <c r="Y188" s="60"/>
      <c r="Z188" s="60"/>
      <c r="AA188" s="60"/>
      <c r="AB188" s="60"/>
      <c r="AC188" s="60"/>
      <c r="AD188" s="66"/>
      <c r="AE188" s="60"/>
      <c r="AF188" s="61" t="str">
        <f aca="false">IF(AND(ISNUMBER(X188),ISNUMBER(Y188)),Y188-X188,"")</f>
        <v/>
      </c>
      <c r="AG188" s="62" t="str">
        <f aca="false">IF(ISNUMBER(AD188),AD188-(IF(AND(INDEX(TZ_DSTS,MATCH(P188,TZ_STN,0))&lt;&gt;"",(AD188-INDEX(TZ_STD,MATCH(P188,TZ_STN,0))/24)&gt;=INDEX(TZ_DSTS,MATCH(P188,TZ_STN,0)),(AD188-INDEX(TZ_STD,MATCH(P188,TZ_STN,0))/24)&lt;INDEX(TZ_DSTE,MATCH(P188,TZ_STN,0))),INDEX(TZ_DST,MATCH(P188,TZ_STN,0)),INDEX(TZ_STD,MATCH(P188,TZ_STN,0))))/24,"")</f>
        <v/>
      </c>
      <c r="AH188" s="65" t="str">
        <f aca="false">IFERROR(IF(N188="N/A – rule",IF(OR(TRIM(U188)="",TRIM(U188)="N/A",TRIM(U188)="Not started"),"N/A – RULE","INVALID – this check does not apply to this aircraft: clear the status (or correct the fleet on Flights)"),IF(TRIM(U188)="N/A",IF(AT188=0,"INVALID – N/A not permitted for this check",IF(AND(TRIM(AB188)&lt;&gt;"",TRIM(AB188)&lt;&gt;"Closed"),"INVALID – corrective action still open",IF(AND(NOT(OR(LEN(AZ188)&lt;15,ISNUMBER(MATCH(AZ188,L_Placeholder,0)))),BK188=0,CG188&gt;=8,NOT(OR(LEN(AU188)&lt;2,ISNUMBER(MATCH(AU188,L_Placeholder,0)))),BR188&gt;=3,NOT(OR(LEN(AX188)&lt;2,ISNUMBER(MATCH(AX188,L_Placeholder,0)))),BS188&gt;=3,TRIM(AE188)&lt;&gt;TRIM(T188),AX188&lt;&gt;AU188,CE188=0),"N/A – JUSTIFIED","INVALID – N/A needs a real, settled reason (not 'not applicable' / 'as above' / TBC), a named PIC and a different named verifier"))),IF(OR(TRIM(U188)="Pass",TRIM(U188)="Pass after CA"),IF(NOT(ISNUMBER(AD188)),"INVALID – completion time missing",IF(OR(OR(LEN(AU188)&lt;2,ISNUMBER(MATCH(AU188,L_Placeholder,0))),BR188&lt;3),"INVALID – PIC missing or not a named person (a role such as QA / CSM is not a name)",IF(OR(LEN(AV188)&lt;2,ISNUMBER(MATCH(AV188,L_Placeholder,0))),"INVALID – result / assessment missing",IF(OR(OR(LEN(AW188)&lt;3,ISNUMBER(MATCH(AW188,L_Placeholder,0))),SUMPRODUCT(--ISNUMBER(SEARCH(" "&amp;L_EvidencePhrase&amp;" ",BD188)))&gt;0,BI188=1),"INVALID – evidence missing, placeholder or not yet on file",IF(ISNA(MATCH(TRIM(S188),L_EvidenceType,0)),"INVALID – choose the evidence type from the list (column S)",IF(BL188=0,"INVALID – evidence ID must be the record's own ID only (e.g. SF-2210, IMG_2231, 1045521); a link / file name needs type 'Link / file path'",IF(OR(OR(LEN(AX188)&lt;2,ISNUMBER(MATCH(AX188,L_Placeholder,0))),BS188&lt;3),"INVALID – verifier missing or not a named person (a role such as QA / CSM is not a name)",IF(OR(AX188=AU188,CE188=1,AND(LEN(AU188)&gt;=4,ISNUMBER(SEARCH(AU188,AX188))),AND(LEN(AX188)&gt;=4,ISNUMBER(SEARCH(AX188,AU188)))),"INVALID – verifier must be a different, named person (not the PIC or a role)",IF(BH188=1,"INVALID – result not yet available (awaiting / TBC)",IF(BG188=1,"INVALID – result describes a problem: record Fail, then Pass after CA (or reword if it is not a problem)",IF(BV188=1,"INVALID – wording says not on board: an on-board confirmation needs the item loaded",IF(AND(AQ188=1,OR(OR(LEN(AY188)&lt;3,ISNUMBER(MATCH(AY188,L_Placeholder,0))),BJ188=1,BQ188=0)),"INVALID – batch ID missing, placeholder or not an ID (e.g. PASB-261008-BC-017)",IF(AND(AR188=1,OR(NOT(ISNUMBER(X188)),NOT(ISNUMBER(Y188)))),"INVALID – expected/actual qty missing",IF(AND(AR188=1,OR(X188&lt;=0,Y188&lt;0)),"INVALID – expected qty must be above 0 and actual not negative",IF(BB188&lt;&gt;"",BB188,IF(AND(AS188=1,Documents!$J$10&lt;&gt;"ON FILE"),"INVALID – GLD not on file (Documents sheet)",IF(AND(AS188=2,Documents!$O$10&lt;&gt;"ON FILE"),"INVALID – menu checklist not on file (Documents sheet)",IF(AND(AS188=3,NOT(ISNUMBER(Flights!$AX$10))),"INVALID – enter carrying flight KUL departure (Flights AX)",IF(AND(AS188=3,OR(Flights!$AZ$10&gt;Flights!$AA$10,Flights!$AX$10&lt;Flights!$AA$10-3)),"INVALID – carrying flight (Flights AX) cannot arrive before this leg's STD, or is over 3 days early",IF(AG188&gt;AsOfUTC,"INVALID – completion time is in the future",IF(AND(ISNUMBER(BY188),AG188&lt;BY188),IF(H188="Physical uplift","INVALID – before uplift window (cannot confirm loading)","INVALID – before valid window"),IF(AG188&gt;Flights!$AA$10,"INVALID – completed after departure (cannot establish readiness)",IF(AND(H188="Preparation",AG188&gt;=IF(ISNUMBER(Flights!$BA$10),MIN(Flights!$BA$10,Flights!$AA$10),Flights!$AA$10)),"INVALID – completed after loading / departure (cannot establish readiness)",IF(AND(H188="Physical uplift",AG188&gt;Q188),"INVALID – recorded after the loading flight departed",IF(AG188&gt;Q188,"COMPLETE – LATE","COMPLETE"))))))))))))))))))))))))),IF(TRIM(U188)="Fail","FAIL – DISCREPANCY",IF(AND(TRIM(U188)&lt;&gt;"",TRIM(U188)&lt;&gt;"Not started",TRIM(U188)&lt;&gt;"In progress"),"INVALID – unrecognised status (use the list)",IF(AsOfUTC&gt;Q188,"OVERDUE",IF(N188="Clarification required","OPEN – CLARIFICATION","OPEN"))))))),"INVALID – error value in an input cell")</f>
        <v>OPEN</v>
      </c>
      <c r="AI188" s="61" t="n">
        <f aca="false">IF(OR(AH188="N/A – RULE",AH188="N/A – JUSTIFIED"),0,1)</f>
        <v>1</v>
      </c>
      <c r="AJ188" s="61" t="n">
        <f aca="false">IF(LEFT(AH188,8)="COMPLETE",1,0)</f>
        <v>0</v>
      </c>
      <c r="AK188" s="61" t="n">
        <f aca="false">IF(AND(AI188=1,AJ188=0,AsOfUTC&gt;Q188),1,0)</f>
        <v>0</v>
      </c>
      <c r="AL188" s="61" t="n">
        <f aca="false">IFERROR(IF(AND(AI188=1,OR(TRIM(U188)="Fail",AND(TRIM(AB188)&lt;&gt;"",TRIM(AB188)&lt;&gt;"Closed"),AND(ISNUMBER(AF188),AF188&lt;&gt;0,TRIM(U188)&lt;&gt;"Pass after CA"))),1,0),1)</f>
        <v>0</v>
      </c>
      <c r="AM188" s="61" t="n">
        <f aca="false">IF(LEFT(AH188,7)="INVALID",1,0)</f>
        <v>0</v>
      </c>
      <c r="AN188" s="61" t="n">
        <f aca="false">IF(AND(N188="Clarification required",AI188=1,AJ188=0),1,0)</f>
        <v>0</v>
      </c>
      <c r="AO188" s="61" t="str">
        <f aca="false">IF(AK188=1,SUM(AK$5:AK188),"")</f>
        <v/>
      </c>
      <c r="AP188" s="61" t="str">
        <f aca="false">IF(AL188=1,SUM(AL$5:AL188),"")</f>
        <v/>
      </c>
      <c r="AQ188" s="61" t="n">
        <v>0</v>
      </c>
      <c r="AR188" s="61" t="n">
        <v>0</v>
      </c>
      <c r="AS188" s="61" t="n">
        <v>0</v>
      </c>
      <c r="AT188" s="61" t="n">
        <v>0</v>
      </c>
      <c r="AU188" s="61" t="str">
        <f aca="false">SUBSTITUTE(SUBSTITUTE(SUBSTITUTE(SUBSTITUTE(SUBSTITUTE(SUBSTITUTE(SUBSTITUTE(SUBSTITUTE(SUBSTITUTE(SUBSTITUTE(SUBSTITUTE(SUBSTITUTE(SUBSTITUTE(SUBSTITUTE(SUBSTITUTE(SUBSTITUTE(LOWER(T188&amp;""),CHAR(10),""),CHAR(13),""),CHAR(9),""),CHAR(160),"")," ",""),".",""),"-",""),"/",""),"?",""),"_",""),",",""),"[",""),"]",""),"(",""),")",""),"*","")</f>
        <v/>
      </c>
      <c r="AV188" s="61" t="str">
        <f aca="false">SUBSTITUTE(SUBSTITUTE(SUBSTITUTE(SUBSTITUTE(SUBSTITUTE(SUBSTITUTE(SUBSTITUTE(SUBSTITUTE(SUBSTITUTE(SUBSTITUTE(SUBSTITUTE(SUBSTITUTE(SUBSTITUTE(SUBSTITUTE(SUBSTITUTE(SUBSTITUTE(LOWER(V188&amp;""),CHAR(10),""),CHAR(13),""),CHAR(9),""),CHAR(160),"")," ",""),".",""),"-",""),"/",""),"?",""),"_",""),",",""),"[",""),"]",""),"(",""),")",""),"*","")</f>
        <v/>
      </c>
      <c r="AW188" s="61" t="str">
        <f aca="false">SUBSTITUTE(SUBSTITUTE(SUBSTITUTE(SUBSTITUTE(SUBSTITUTE(SUBSTITUTE(SUBSTITUTE(SUBSTITUTE(SUBSTITUTE(SUBSTITUTE(SUBSTITUTE(SUBSTITUTE(SUBSTITUTE(SUBSTITUTE(SUBSTITUTE(SUBSTITUTE(LOWER(Z188&amp;""),CHAR(10),""),CHAR(13),""),CHAR(9),""),CHAR(160),"")," ",""),".",""),"-",""),"/",""),"?",""),"_",""),",",""),"[",""),"]",""),"(",""),")",""),"*","")</f>
        <v/>
      </c>
      <c r="AX188" s="61" t="str">
        <f aca="false">SUBSTITUTE(SUBSTITUTE(SUBSTITUTE(SUBSTITUTE(SUBSTITUTE(SUBSTITUTE(SUBSTITUTE(SUBSTITUTE(SUBSTITUTE(SUBSTITUTE(SUBSTITUTE(SUBSTITUTE(SUBSTITUTE(SUBSTITUTE(SUBSTITUTE(SUBSTITUTE(LOWER(AE188&amp;""),CHAR(10),""),CHAR(13),""),CHAR(9),""),CHAR(160),"")," ",""),".",""),"-",""),"/",""),"?",""),"_",""),",",""),"[",""),"]",""),"(",""),")",""),"*","")</f>
        <v/>
      </c>
      <c r="AY188" s="61" t="str">
        <f aca="false">SUBSTITUTE(SUBSTITUTE(SUBSTITUTE(SUBSTITUTE(SUBSTITUTE(SUBSTITUTE(SUBSTITUTE(SUBSTITUTE(SUBSTITUTE(SUBSTITUTE(SUBSTITUTE(SUBSTITUTE(SUBSTITUTE(SUBSTITUTE(SUBSTITUTE(SUBSTITUTE(LOWER(W188&amp;""),CHAR(10),""),CHAR(13),""),CHAR(9),""),CHAR(160),"")," ",""),".",""),"-",""),"/",""),"?",""),"_",""),",",""),"[",""),"]",""),"(",""),")",""),"*","")</f>
        <v/>
      </c>
      <c r="AZ188" s="61" t="str">
        <f aca="false">SUBSTITUTE(SUBSTITUTE(SUBSTITUTE(SUBSTITUTE(SUBSTITUTE(SUBSTITUTE(SUBSTITUTE(SUBSTITUTE(SUBSTITUTE(SUBSTITUTE(SUBSTITUTE(SUBSTITUTE(SUBSTITUTE(SUBSTITUTE(SUBSTITUTE(SUBSTITUTE(LOWER(AC188&amp;""),CHAR(10),""),CHAR(13),""),CHAR(9),""),CHAR(160),"")," ",""),".",""),"-",""),"/",""),"?",""),"_",""),",",""),"[",""),"]",""),"(",""),")",""),"*","")</f>
        <v/>
      </c>
      <c r="BA188" s="61" t="str">
        <f aca="false">SUBSTITUTE(SUBSTITUTE(SUBSTITUTE(SUBSTITUTE(SUBSTITUTE(SUBSTITUTE(SUBSTITUTE(SUBSTITUTE(SUBSTITUTE(SUBSTITUTE(SUBSTITUTE(SUBSTITUTE(SUBSTITUTE(SUBSTITUTE(SUBSTITUTE(SUBSTITUTE(LOWER(AA188&amp;""),CHAR(10),""),CHAR(13),""),CHAR(9),""),CHAR(160),"")," ",""),".",""),"-",""),"/",""),"?",""),"_",""),",",""),"[",""),"]",""),"(",""),")",""),"*","")</f>
        <v/>
      </c>
      <c r="BB188" s="61" t="str">
        <f aca="false">IF(AND(TRIM(U188)="Pass",ISNUMBER(AF188)),IF(AF188&lt;&gt;0,"INVALID – qty variance: use Fail or Pass after CA",""),"")&amp;IF(AND(TRIM(U188)="Pass after CA",ISNUMBER(AF188)),IF(AF188&lt;&gt;0,"INVALID – after the corrective action the actual qty must equal expected (update Actual)",""),"")&amp;IF(AND(TRIM(U188)="Pass",TRIM(AB188)&lt;&gt;"",TRIM(AB188)&lt;&gt;"Closed"),"INVALID – corrective action not closed: use Fail, then Pass after CA","")&amp;IF(AND(LEN(BA188)&gt;=2,ISNA(MATCH(LEFT(BA188,255),L_Placeholder,0)),TRIM(AB188)=""),"INVALID – CA status missing for the recorded corrective action","")&amp;IF(AND(TRIM(U188)="Pass after CA",OR(OR(LEN(BA188)&lt;5,ISNUMBER(MATCH(BA188,L_Placeholder,0))),TRIM(AB188)&lt;&gt;"Closed")),"INVALID – corrective action not recorded/closed","")</f>
        <v/>
      </c>
      <c r="BC188" s="61" t="str">
        <f aca="false">" "&amp;TRIM(SUBSTITUTE(SUBSTITUTE(SUBSTITUTE(SUBSTITUTE(SUBSTITUTE(SUBSTITUTE(SUBSTITUTE(SUBSTITUTE(SUBSTITUTE(SUBSTITUTE(SUBSTITUTE(SUBSTITUTE(SUBSTITUTE(SUBSTITUTE(SUBSTITUTE(SUBSTITUTE(SUBSTITUTE(SUBSTITUTE(SUBSTITUTE(SUBSTITUTE(SUBSTITUTE(SUBSTITUTE(SUBSTITUTE(SUBSTITUTE(LOWER(V188&amp;""),CHAR(10)," "),CHAR(13)," "),CHAR(9)," "),CHAR(160)," "),"."," "),","," "),"-"," "),"/"," "),"("," "),")"," "),":"," "),";"," "),"_"," "),"–"," "),"?"," "),"!"," "),"*"," "),"["," "),"]"," "),"'"," "),"#"," "),"+"," "),"&amp;"," "),"\"," "))&amp;" "</f>
        <v>  </v>
      </c>
      <c r="BD188" s="61" t="str">
        <f aca="false">" "&amp;TRIM(SUBSTITUTE(SUBSTITUTE(SUBSTITUTE(SUBSTITUTE(SUBSTITUTE(SUBSTITUTE(SUBSTITUTE(SUBSTITUTE(SUBSTITUTE(SUBSTITUTE(SUBSTITUTE(SUBSTITUTE(SUBSTITUTE(SUBSTITUTE(SUBSTITUTE(SUBSTITUTE(SUBSTITUTE(SUBSTITUTE(SUBSTITUTE(SUBSTITUTE(SUBSTITUTE(SUBSTITUTE(SUBSTITUTE(SUBSTITUTE(LOWER(Z188&amp;""),CHAR(10)," "),CHAR(13)," "),CHAR(9)," "),CHAR(160)," "),"."," "),","," "),"-"," "),"/"," "),"("," "),")"," "),":"," "),";"," "),"_"," "),"–"," "),"?"," "),"!"," "),"*"," "),"["," "),"]"," "),"'"," "),"#"," "),"+"," "),"&amp;"," "),"\"," "))&amp;" "</f>
        <v>  </v>
      </c>
      <c r="BE188" s="61" t="str">
        <f aca="false">" "&amp;TRIM(SUBSTITUTE(SUBSTITUTE(SUBSTITUTE(SUBSTITUTE(SUBSTITUTE(SUBSTITUTE(SUBSTITUTE(SUBSTITUTE(SUBSTITUTE(SUBSTITUTE(SUBSTITUTE(SUBSTITUTE(SUBSTITUTE(SUBSTITUTE(SUBSTITUTE(SUBSTITUTE(SUBSTITUTE(SUBSTITUTE(SUBSTITUTE(SUBSTITUTE(SUBSTITUTE(SUBSTITUTE(SUBSTITUTE(SUBSTITUTE(LOWER(W188&amp;""),CHAR(10)," "),CHAR(13)," "),CHAR(9)," "),CHAR(160)," "),"."," "),","," "),"-"," "),"/"," "),"("," "),")"," "),":"," "),";"," "),"_"," "),"–"," "),"?"," "),"!"," "),"*"," "),"["," "),"]"," "),"'"," "),"#"," "),"+"," "),"&amp;"," "),"\"," "))&amp;" "</f>
        <v>  </v>
      </c>
      <c r="BF188" s="61" t="str">
        <f aca="false">" "&amp;TRIM(SUBSTITUTE(SUBSTITUTE(SUBSTITUTE(SUBSTITUTE(SUBSTITUTE(SUBSTITUTE(SUBSTITUTE(SUBSTITUTE(SUBSTITUTE(SUBSTITUTE(SUBSTITUTE(SUBSTITUTE(SUBSTITUTE(SUBSTITUTE(SUBSTITUTE(SUBSTITUTE(SUBSTITUTE(SUBSTITUTE(SUBSTITUTE(SUBSTITUTE(SUBSTITUTE(SUBSTITUTE(SUBSTITUTE(SUBSTITUTE(LOWER(AC188&amp;""),CHAR(10)," "),CHAR(13)," "),CHAR(9)," "),CHAR(160)," "),"."," "),","," "),"-"," "),"/"," "),"("," "),")"," "),":"," "),";"," "),"_"," "),"–"," "),"?"," "),"!"," "),"*"," "),"["," "),"]"," "),"'"," "),"#"," "),"+"," "),"&amp;"," "),"\"," "))&amp;" "</f>
        <v>  </v>
      </c>
      <c r="BG188" s="61" t="n">
        <f aca="false">IFERROR(IF(AND(TRIM(U188)="Pass",SUMPRODUCT((LEN(BC188)-LEN(SUBSTITUTE(BC188," "&amp;L_ResultBad&amp;" "," ")))/(LEN(L_ResultBad)+1))&gt;SUMPRODUCT((LEN(BC188)-LEN(SUBSTITUTE(BC188," "&amp;L_NegPhrase&amp;" "," ")))/(LEN(L_NegPhrase)+1))),1,0),0)</f>
        <v>0</v>
      </c>
      <c r="BH188" s="61" t="n">
        <f aca="false">IFERROR(IF(SUMPRODUCT((LEN(BC188)-LEN(SUBSTITUTE(BC188," "&amp;L_Pending&amp;" "," ")))/(LEN(L_Pending)+1))&gt;SUMPRODUCT((LEN(BC188)-LEN(SUBSTITUTE(BC188," "&amp;L_PendNeg&amp;" "," ")))/(LEN(L_PendNeg)+1))+SUMPRODUCT((LEN(BC188)-LEN(SUBSTITUTE(BC188," "&amp;L_PendPrep&amp;" "," ")))/(LEN(L_PendPrep)+1)),1,0),1)</f>
        <v>0</v>
      </c>
      <c r="BI188" s="61" t="n">
        <f aca="false">IFERROR(IF(SUMPRODUCT((LEN(BD188)-LEN(SUBSTITUTE(BD188," "&amp;L_PendStrict&amp;" "," ")))/(LEN(L_PendStrict)+1))&gt;SUMPRODUCT((LEN(BD188)-LEN(SUBSTITUTE(BD188," "&amp;L_PendNeg&amp;" "," ")))/(LEN(L_PendNeg)+1)),1,0),1)</f>
        <v>0</v>
      </c>
      <c r="BJ188" s="61" t="n">
        <f aca="false">IFERROR(IF(SUMPRODUCT((LEN(BE188)-LEN(SUBSTITUTE(BE188," "&amp;L_Pending&amp;" "," ")))/(LEN(L_Pending)+1))&gt;SUMPRODUCT((LEN(BE188)-LEN(SUBSTITUTE(BE188," "&amp;L_PendNeg&amp;" "," ")))/(LEN(L_PendNeg)+1))+SUMPRODUCT((LEN(BE188)-LEN(SUBSTITUTE(BE188," "&amp;L_PendPrep&amp;" "," ")))/(LEN(L_PendPrep)+1)),1,0),1)</f>
        <v>0</v>
      </c>
      <c r="BK188" s="61" t="n">
        <f aca="false">IFERROR(IF(SUMPRODUCT((LEN(BF188)-LEN(SUBSTITUTE(BF188," "&amp;L_PendStrict&amp;" "," ")))/(LEN(L_PendStrict)+1))&gt;SUMPRODUCT((LEN(BF188)-LEN(SUBSTITUTE(BF188," "&amp;L_PendNeg&amp;" "," ")))/(LEN(L_PendNeg)+1)),1,0),1)</f>
        <v>0</v>
      </c>
      <c r="BL188" s="61" t="n">
        <f aca="false">IF(ISNA(MATCH(TRIM(S188),L_EvidenceType,0)),0,BZ188)</f>
        <v>0</v>
      </c>
      <c r="BM188" s="61" t="str">
        <f aca="false">SUBSTITUTE(SUBSTITUTE(SUBSTITUTE(SUBSTITUTE(SUBSTITUTE(SUBSTITUTE(SUBSTITUTE(SUBSTITUTE(SUBSTITUTE(LOWER(Z188&amp;""),"1","0"),"2","0"),"3","0"),"4","0"),"5","0"),"6","0"),"7","0"),"8","0"),"9","0")</f>
        <v/>
      </c>
      <c r="BN188" s="61" t="str">
        <f aca="false">SUBSTITUTE(SUBSTITUTE(SUBSTITUTE(SUBSTITUTE(SUBSTITUTE(SUBSTITUTE(SUBSTITUTE(SUBSTITUTE(SUBSTITUTE(SUBSTITUTE(SUBSTITUTE(SUBSTITUTE(SUBSTITUTE(SUBSTITUTE(SUBSTITUTE(SUBSTITUTE(SUBSTITUTE(SUBSTITUTE(SUBSTITUTE(SUBSTITUTE(SUBSTITUTE(SUBSTITUTE(SUBSTITUTE(SUBSTITUTE(SUBSTITUTE(BM188,"b","a"),"c","a"),"d","a"),"e","a"),"f","a"),"g","a"),"h","a"),"i","a"),"j","a"),"k","a"),"l","a"),"m","a"),"n","a"),"o","a"),"p","a"),"q","a"),"r","a"),"s","a"),"t","a"),"u","a"),"v","a"),"w","a"),"x","a"),"y","a"),"z","a")</f>
        <v/>
      </c>
      <c r="BO188" s="61" t="str">
        <f aca="false">SUBSTITUTE(SUBSTITUTE(SUBSTITUTE(SUBSTITUTE(SUBSTITUTE(SUBSTITUTE(SUBSTITUTE(SUBSTITUTE(SUBSTITUTE(LOWER(W188&amp;""),"1","0"),"2","0"),"3","0"),"4","0"),"5","0"),"6","0"),"7","0"),"8","0"),"9","0")</f>
        <v/>
      </c>
      <c r="BP188" s="61" t="str">
        <f aca="false">SUBSTITUTE(SUBSTITUTE(SUBSTITUTE(SUBSTITUTE(SUBSTITUTE(SUBSTITUTE(SUBSTITUTE(SUBSTITUTE(SUBSTITUTE(SUBSTITUTE(SUBSTITUTE(SUBSTITUTE(SUBSTITUTE(SUBSTITUTE(SUBSTITUTE(SUBSTITUTE(SUBSTITUTE(SUBSTITUTE(SUBSTITUTE(SUBSTITUTE(SUBSTITUTE(SUBSTITUTE(SUBSTITUTE(SUBSTITUTE(SUBSTITUTE(BO188,"b","a"),"c","a"),"d","a"),"e","a"),"f","a"),"g","a"),"h","a"),"i","a"),"j","a"),"k","a"),"l","a"),"m","a"),"n","a"),"o","a"),"p","a"),"q","a"),"r","a"),"s","a"),"t","a"),"u","a"),"v","a"),"w","a"),"x","a"),"y","a"),"z","a")</f>
        <v/>
      </c>
      <c r="BQ188" s="61" t="n">
        <f aca="false">IFERROR(IF(AND(ISERROR(SEARCH(" mh"," "&amp;LOWER(W188))),ISNA(MATCH(LEFT(TRIM(BP188),255),{"0000a","000a","00a","0000aa","000aa","00aa","0aa","0000aaa","000aaa","00a00","0a00","0000-0000","00:00","a00","a0","00.00.0000","00/00/0000","00-00-0000","0000-00-00","0000/00/00","0000.00.00","00.00.00","00/00/00","00-00-00","0.00.0000","0/00/0000","0-00-0000"},0)),ISNA(MATCH(LEFT(TRIM(CA188),255),{"0000a","000a","00a","0000aa","000aa","00aa","0aa","0000aaa","000aaa","00a00","0a00","0000-0000","00:00","a00","a0","00.00.0000","00/00/0000","00-00-0000","0000-00-00","0000/00/00","0000.00.00","00.00.00","00/00/00","00-00-00","0.00.0000","0/00/0000","0-00-0000"},0)),LEN(CB188)&gt;=3,NOT(OR(SUBSTITUTE(CB188,"0","")="",AND(LEN(CB188)&gt;=4,CB188=REPT(LEFT(CB188),LEN(CB188))),ISNUMBER(MATCH(CB188,{"123","1234","12345","123456","1234567","12345678","0123","01234","012345","98765","987654","54321"},0)),AND(LEN(CB188)=8,LEFT(CB188,3)="202"))),OR(AND((LEN(CA188)-LEN(SUBSTITUTE(CA188,"a","")))&gt;=1,SUMPRODUCT(--ISNUMBER(SEARCH({"a0","a-0","a_0","a/0","a.0","a#0","0a","0-a","0_a","0/a"},BP188)))&gt;0),ISNUMBER(SEARCH("000000",BP188)))),1,0),0)</f>
        <v>0</v>
      </c>
      <c r="BR188" s="61" t="n">
        <f aca="false">IFERROR(LEN(SUBSTITUTE(CC188," ",""))-SUMPRODUCT((LEN(CC188)-LEN(SUBSTITUTE(CC188," "&amp;L_Role&amp;" "," ")))/(LEN(L_Role)+1)*LEN(L_Role)),0)</f>
        <v>0</v>
      </c>
      <c r="BS188" s="61" t="n">
        <f aca="false">IFERROR(LEN(SUBSTITUTE(CD188," ",""))-SUMPRODUCT((LEN(CD188)-LEN(SUBSTITUTE(CD188," "&amp;L_Role&amp;" "," ")))/(LEN(L_Role)+1)*LEN(L_Role)),0)</f>
        <v>0</v>
      </c>
      <c r="BT1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188,"revision",""),"version",""),"jan",""),"feb",""),"mar",""),"apr",""),"may",""),"jun",""),"jul",""),"aug",""),"sep",""),"oct",""),"nov",""),"dec",""),"utc",""),"gmt",""),"myt",""),"bst",""),"rev",""),"ver",""),"b","a"),"c","a"),"d","a"),"e","a"),"f","a"),"g","a"),"h","a"),"i","a"),"j","a"),"k","a"),"l","a"),"m","a"),"n","a"),"o","a"),"p","a"),"q","a"),"r","a"),"s","a"),"t","a"),"u","a"),"v","a"),"w","a"),"x","a"),"y","a"),"z","a")</f>
        <v/>
      </c>
      <c r="BU188" s="61" t="str">
        <f aca="false">SUBSTITUTE(SUBSTITUTE(SUBSTITUTE(SUBSTITUTE(SUBSTITUTE(SUBSTITUTE(SUBSTITUTE(SUBSTITUTE(SUBSTITUTE(SUBSTITUTE(LEFT(BM188,FIND("0",BM188&amp;"0")-1),"-",""),"_",""),"/",""),".",""),"#",""),"\\",""),":","")," ",""),"(",""),")","")</f>
        <v/>
      </c>
      <c r="BV188" s="61" t="n">
        <f aca="false">0</f>
        <v>0</v>
      </c>
      <c r="BW1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188&amp;""),"a",""),"b",""),"c",""),"d",""),"e",""),"f",""),"g",""),"h",""),"i",""),"j",""),"k",""),"l",""),"m",""),"n",""),"o",""),"p",""),"q",""),"r",""),"s",""),"t",""),"u",""),"v",""),"w",""),"x",""),"y",""),"z",""),"-",""),"_",""),"/",""),".",""),"#",""),"\\",""),":","")," ",""),"(",""),")","")</f>
        <v/>
      </c>
      <c r="BX188" s="61" t="str">
        <f aca="false">SUBSTITUTE(SUBSTITUTE(SUBSTITUTE(SUBSTITUTE(SUBSTITUTE(SUBSTITUTE(SUBSTITUTE(SUBSTITUTE(SUBSTITUTE(SUBSTITUTE(SUBSTITUTE(BM188,"0",""),"-",""),"_",""),"/",""),".",""),"#",""),"\\",""),":","")," ",""),"(",""),")","")</f>
        <v/>
      </c>
      <c r="BY188" s="62" t="n">
        <f aca="false">Q188-T12EarlyH/24</f>
        <v>46309.6388888889</v>
      </c>
      <c r="BZ188" s="61" t="n">
        <f aca="false">IFERROR(IF(IF(TRIM(S188)="Link / file path",AND(LEN(TRIM(Z188))&gt;=5,SUMPRODUCT(--ISNUMBER(SEARCH({"http","www.","\\",":\",".pdf",".jpg",".jpeg",".png",".heic",".xls",".doc",".msg",".eml",".ppt",".txt",".zip"},Z188)))&gt;0),AND(ISERROR(FIND(" ",TRIM(Z188))),NOT(OR(SUMPRODUCT(--ISNUMBER(FIND({",",";","&amp;","+"},Z188)))&gt;0,SUMPRODUCT(--ISNUMBER(SEARCH({"0/aa","0\\aa"},BN188)))&gt;0)),NOT(SUMPRODUCT(--ISNUMBER(SEARCH({"http","www.","\\",":\",".pdf",".jpg",".jpeg",".png",".heic",".xls",".doc",".msg",".eml",".ppt",".txt",".zip"},Z188)))&gt;0),NOT(LOWER(TRIM(Z188))=LOWER(Flights!$F$10)),ISNA(MATCH(BU188,{"mh","rev","revision","ver","version","v","r","a","b","seat","tray","row","gate","bay","stand","page","pg","item","line","no","cart","galley","flight","flt","table","box","bag","oven","etd","eta","std","sta","atd","ata","qty","pax","x","time","tel","ph","mob","day","wk","week","utc","gmt","myt","lt"},0)),NOT(OR(ISNUMBER(MATCH(LEFT(BN188,255),{"0000a","000a","00a","0000aa","000aa","00aa","0aa","0000aaa","000aaa","00a00","0a00","0000-0000","00:00","a00","a0","00.00.0000","00/00/0000","00-00-0000","0000-00-00","0000/00/00","0000.00.00","00.00.00","00/00/00","00-00-00","0.00.0000","0/00/0000","0-00-0000"},0)),ISNUMBER(MATCH(LEFT(BT188,255),{"0000a","000a","00a","0000aa","000aa","00aa","0aa","0000aaa","000aaa","00a00","0a00","0000-0000","00:00","a00","a0","00.00.0000","00/00/0000","00-00-0000","0000-00-00","0000/00/00","0000.00.00","00.00.00","00/00/00","00-00-00","0.00.0000","0/00/0000","0-00-0000"},0)))),NOT(OR(AND(BW188&lt;&gt;"",SUBSTITUTE(BW188,"0","")=""),AND(LEN(BW188)&gt;=4,BW188=REPT(LEFT(BW188),LEN(BW188))),ISNUMBER(MATCH(BW188,{"123","1234","12345","123456","1234567","12345678","0123","01234","012345","98765","987654","54321"},0)),ISNUMBER(MATCH(BX188,{"x","xx","xxx","xxxx","xxxxx","abc","abcd","nil","na","nan","test","tbc","tba","tbd","dummy","sample","example","eg","zz","zzz","none","null","xyz","qwe","asd","id","ref"},0)),AND(LEN(BW188)=8,BX188="",OR(LEFT(BW188,3)="202",ISNUMBER(MATCH(RIGHT(BW188,4),{"2025","2026","2027"},0)))))),OR(AND((LEN(BT188)-LEN(SUBSTITUTE(BT188,"a","")))&gt;=1,(LEN(BN188)-LEN(SUBSTITUTE(BN188,"0","")))&gt;=2,SUMPRODUCT(--ISNUMBER(SEARCH({"a0","a-0","a_0","a/0","a.0","a#0","0a","0-a","0_a","0/a"},BN188)))&gt;0),AND((LEN(BN188)-LEN(SUBSTITUTE(BN188,"a","")))=0,(LEN(BN188)-LEN(SUBSTITUTE(BN188,"0","")))&gt;=5)))),1,0),0)</f>
        <v>0</v>
      </c>
      <c r="CA1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188,"revision",""),"version",""),"jan",""),"feb",""),"mar",""),"apr",""),"may",""),"jun",""),"jul",""),"aug",""),"sep",""),"oct",""),"nov",""),"dec",""),"utc",""),"gmt",""),"myt",""),"bst",""),"rev",""),"ver",""),"b","a"),"c","a"),"d","a"),"e","a"),"f","a"),"g","a"),"h","a"),"i","a"),"j","a"),"k","a"),"l","a"),"m","a"),"n","a"),"o","a"),"p","a"),"q","a"),"r","a"),"s","a"),"t","a"),"u","a"),"v","a"),"w","a"),"x","a"),"y","a"),"z","a")</f>
        <v/>
      </c>
      <c r="CB1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188&amp;""),"a",""),"b",""),"c",""),"d",""),"e",""),"f",""),"g",""),"h",""),"i",""),"j",""),"k",""),"l",""),"m",""),"n",""),"o",""),"p",""),"q",""),"r",""),"s",""),"t",""),"u",""),"v",""),"w",""),"x",""),"y",""),"z",""),"-",""),"_",""),"/",""),".",""),"#",""),"\\",""),":","")," ",""),"(",""),")","")</f>
        <v/>
      </c>
      <c r="CC188" s="0" t="str">
        <f aca="false">" "&amp;TRIM(SUBSTITUTE(SUBSTITUTE(SUBSTITUTE(SUBSTITUTE(SUBSTITUTE(SUBSTITUTE(SUBSTITUTE(SUBSTITUTE(SUBSTITUTE(SUBSTITUTE(SUBSTITUTE(SUBSTITUTE(SUBSTITUTE(SUBSTITUTE(SUBSTITUTE(SUBSTITUTE(SUBSTITUTE(SUBSTITUTE(SUBSTITUTE(SUBSTITUTE(SUBSTITUTE(SUBSTITUTE(SUBSTITUTE(SUBSTITUTE(LOWER(T188&amp;""),CHAR(10)," "),CHAR(13)," "),CHAR(9)," "),CHAR(160)," "),"."," "),","," "),"-"," "),"/"," "),"("," "),")"," "),":"," "),";"," "),"_"," "),"–"," "),"?"," "),"!"," "),"*"," "),"["," "),"]"," "),"'"," "),"#"," "),"+"," "),"&amp;"," "),"\"," "))&amp;" "</f>
        <v>  </v>
      </c>
      <c r="CD188" s="0" t="str">
        <f aca="false">" "&amp;TRIM(SUBSTITUTE(SUBSTITUTE(SUBSTITUTE(SUBSTITUTE(SUBSTITUTE(SUBSTITUTE(SUBSTITUTE(SUBSTITUTE(SUBSTITUTE(SUBSTITUTE(SUBSTITUTE(SUBSTITUTE(SUBSTITUTE(SUBSTITUTE(SUBSTITUTE(SUBSTITUTE(SUBSTITUTE(SUBSTITUTE(SUBSTITUTE(SUBSTITUTE(SUBSTITUTE(SUBSTITUTE(SUBSTITUTE(SUBSTITUTE(LOWER(AE188&amp;""),CHAR(10)," "),CHAR(13)," "),CHAR(9)," "),CHAR(160)," "),"."," "),","," "),"-"," "),"/"," "),"("," "),")"," "),":"," "),";"," "),"_"," "),"–"," "),"?"," "),"!"," "),"*"," "),"["," "),"]"," "),"'"," "),"#"," "),"+"," "),"&amp;"," "),"\"," "))&amp;" "</f>
        <v>  </v>
      </c>
      <c r="CE188" s="68" t="n">
        <f aca="false">IFERROR(IF(AND(LEN(AU188)&gt;0,LEN(AU188)=LEN(AX188),OR(TRIM(MID(SUBSTITUTE(TRIM(CC188)," ",REPT(" ",60)),1,60))="",ISNUMBER(SEARCH(" "&amp;TRIM(MID(SUBSTITUTE(TRIM(CC188)," ",REPT(" ",60)),1,60))&amp;" ",CD188))),OR(TRIM(MID(SUBSTITUTE(TRIM(CC188)," ",REPT(" ",60)),61,60))="",ISNUMBER(SEARCH(" "&amp;TRIM(MID(SUBSTITUTE(TRIM(CC188)," ",REPT(" ",60)),61,60))&amp;" ",CD188))),OR(TRIM(MID(SUBSTITUTE(TRIM(CC188)," ",REPT(" ",60)),121,60))="",ISNUMBER(SEARCH(" "&amp;TRIM(MID(SUBSTITUTE(TRIM(CC188)," ",REPT(" ",60)),121,60))&amp;" ",CD188)))),1,0),0)</f>
        <v>0</v>
      </c>
      <c r="CG188" s="68" t="n">
        <f aca="false">IFERROR(LEN(SUBSTITUTE(BF188," ",""))-SUMPRODUCT((LEN(BF188)-LEN(SUBSTITUTE(BF188," "&amp;L_NAFiller&amp;" "," ")))/(LEN(L_NAFiller)+1)*LEN(L_NAFiller)),0)</f>
        <v>0</v>
      </c>
    </row>
    <row r="189" customFormat="false" ht="41.25" hidden="false" customHeight="true" outlineLevel="0" collapsed="false">
      <c r="A189" s="57" t="s">
        <v>741</v>
      </c>
      <c r="B189" s="57" t="s">
        <v>231</v>
      </c>
      <c r="C189" s="57" t="str">
        <f aca="false">Flights!$F$10</f>
        <v>MH0002</v>
      </c>
      <c r="D189" s="58" t="n">
        <f aca="false">Flights!$D$10</f>
        <v>46310</v>
      </c>
      <c r="E189" s="57" t="str">
        <f aca="false">Flights!$G$10&amp;"-"&amp;Flights!$H$10</f>
        <v>KUL-LHR</v>
      </c>
      <c r="F189" s="57" t="str">
        <f aca="false">Flights!$K$10</f>
        <v>BC</v>
      </c>
      <c r="G189" s="57" t="s">
        <v>420</v>
      </c>
      <c r="H189" s="57" t="s">
        <v>378</v>
      </c>
      <c r="I189" s="57" t="s">
        <v>499</v>
      </c>
      <c r="J189" s="57" t="s">
        <v>511</v>
      </c>
      <c r="K189" s="67" t="s">
        <v>501</v>
      </c>
      <c r="L189" s="67" t="s">
        <v>742</v>
      </c>
      <c r="M189" s="67" t="s">
        <v>451</v>
      </c>
      <c r="N189" s="67" t="s">
        <v>383</v>
      </c>
      <c r="O189" s="67" t="s">
        <v>503</v>
      </c>
      <c r="P189" s="57" t="s">
        <v>187</v>
      </c>
      <c r="Q189" s="59" t="n">
        <f aca="false">ROUND((Flights!$AE$10)*1440,0)/1440</f>
        <v>46310.1388888889</v>
      </c>
      <c r="R189" s="59" t="n">
        <f aca="false">Q189+(IF(AND(INDEX(TZ_DSTS,MATCH(P189,TZ_STN,0))&lt;&gt;"",Q189&gt;=INDEX(TZ_DSTS,MATCH(P189,TZ_STN,0)),Q189&lt;INDEX(TZ_DSTE,MATCH(P189,TZ_STN,0))),INDEX(TZ_DST,MATCH(P189,TZ_STN,0)),INDEX(TZ_STD,MATCH(P189,TZ_STN,0))))/24</f>
        <v>46310.4722222222</v>
      </c>
      <c r="S189" s="60"/>
      <c r="T189" s="60"/>
      <c r="U189" s="60"/>
      <c r="V189" s="60"/>
      <c r="W189" s="61"/>
      <c r="X189" s="60"/>
      <c r="Y189" s="60"/>
      <c r="Z189" s="60"/>
      <c r="AA189" s="60"/>
      <c r="AB189" s="60"/>
      <c r="AC189" s="60"/>
      <c r="AD189" s="66"/>
      <c r="AE189" s="60"/>
      <c r="AF189" s="61" t="str">
        <f aca="false">IF(AND(ISNUMBER(X189),ISNUMBER(Y189)),Y189-X189,"")</f>
        <v/>
      </c>
      <c r="AG189" s="62" t="str">
        <f aca="false">IF(ISNUMBER(AD189),AD189-(IF(AND(INDEX(TZ_DSTS,MATCH(P189,TZ_STN,0))&lt;&gt;"",(AD189-INDEX(TZ_STD,MATCH(P189,TZ_STN,0))/24)&gt;=INDEX(TZ_DSTS,MATCH(P189,TZ_STN,0)),(AD189-INDEX(TZ_STD,MATCH(P189,TZ_STN,0))/24)&lt;INDEX(TZ_DSTE,MATCH(P189,TZ_STN,0))),INDEX(TZ_DST,MATCH(P189,TZ_STN,0)),INDEX(TZ_STD,MATCH(P189,TZ_STN,0))))/24,"")</f>
        <v/>
      </c>
      <c r="AH189" s="65" t="str">
        <f aca="false">IFERROR(IF(N189="N/A – rule",IF(OR(TRIM(U189)="",TRIM(U189)="N/A",TRIM(U189)="Not started"),"N/A – RULE","INVALID – this check does not apply to this aircraft: clear the status (or correct the fleet on Flights)"),IF(TRIM(U189)="N/A",IF(AT189=0,"INVALID – N/A not permitted for this check",IF(AND(TRIM(AB189)&lt;&gt;"",TRIM(AB189)&lt;&gt;"Closed"),"INVALID – corrective action still open",IF(AND(NOT(OR(LEN(AZ189)&lt;15,ISNUMBER(MATCH(AZ189,L_Placeholder,0)))),BK189=0,CG189&gt;=8,NOT(OR(LEN(AU189)&lt;2,ISNUMBER(MATCH(AU189,L_Placeholder,0)))),BR189&gt;=3,NOT(OR(LEN(AX189)&lt;2,ISNUMBER(MATCH(AX189,L_Placeholder,0)))),BS189&gt;=3,TRIM(AE189)&lt;&gt;TRIM(T189),AX189&lt;&gt;AU189,CE189=0),"N/A – JUSTIFIED","INVALID – N/A needs a real, settled reason (not 'not applicable' / 'as above' / TBC), a named PIC and a different named verifier"))),IF(OR(TRIM(U189)="Pass",TRIM(U189)="Pass after CA"),IF(NOT(ISNUMBER(AD189)),"INVALID – completion time missing",IF(OR(OR(LEN(AU189)&lt;2,ISNUMBER(MATCH(AU189,L_Placeholder,0))),BR189&lt;3),"INVALID – PIC missing or not a named person (a role such as QA / CSM is not a name)",IF(OR(LEN(AV189)&lt;2,ISNUMBER(MATCH(AV189,L_Placeholder,0))),"INVALID – result / assessment missing",IF(OR(OR(LEN(AW189)&lt;3,ISNUMBER(MATCH(AW189,L_Placeholder,0))),SUMPRODUCT(--ISNUMBER(SEARCH(" "&amp;L_EvidencePhrase&amp;" ",BD189)))&gt;0,BI189=1),"INVALID – evidence missing, placeholder or not yet on file",IF(ISNA(MATCH(TRIM(S189),L_EvidenceType,0)),"INVALID – choose the evidence type from the list (column S)",IF(BL189=0,"INVALID – evidence ID must be the record's own ID only (e.g. SF-2210, IMG_2231, 1045521); a link / file name needs type 'Link / file path'",IF(OR(OR(LEN(AX189)&lt;2,ISNUMBER(MATCH(AX189,L_Placeholder,0))),BS189&lt;3),"INVALID – verifier missing or not a named person (a role such as QA / CSM is not a name)",IF(OR(AX189=AU189,CE189=1,AND(LEN(AU189)&gt;=4,ISNUMBER(SEARCH(AU189,AX189))),AND(LEN(AX189)&gt;=4,ISNUMBER(SEARCH(AX189,AU189)))),"INVALID – verifier must be a different, named person (not the PIC or a role)",IF(BH189=1,"INVALID – result not yet available (awaiting / TBC)",IF(BG189=1,"INVALID – result describes a problem: record Fail, then Pass after CA (or reword if it is not a problem)",IF(BV189=1,"INVALID – wording says not on board: an on-board confirmation needs the item loaded",IF(AND(AQ189=1,OR(OR(LEN(AY189)&lt;3,ISNUMBER(MATCH(AY189,L_Placeholder,0))),BJ189=1,BQ189=0)),"INVALID – batch ID missing, placeholder or not an ID (e.g. PASB-261008-BC-017)",IF(AND(AR189=1,OR(NOT(ISNUMBER(X189)),NOT(ISNUMBER(Y189)))),"INVALID – expected/actual qty missing",IF(AND(AR189=1,OR(X189&lt;=0,Y189&lt;0)),"INVALID – expected qty must be above 0 and actual not negative",IF(BB189&lt;&gt;"",BB189,IF(AND(AS189=1,Documents!$J$10&lt;&gt;"ON FILE"),"INVALID – GLD not on file (Documents sheet)",IF(AND(AS189=2,Documents!$O$10&lt;&gt;"ON FILE"),"INVALID – menu checklist not on file (Documents sheet)",IF(AND(AS189=3,NOT(ISNUMBER(Flights!$AX$10))),"INVALID – enter carrying flight KUL departure (Flights AX)",IF(AND(AS189=3,OR(Flights!$AZ$10&gt;Flights!$AA$10,Flights!$AX$10&lt;Flights!$AA$10-3)),"INVALID – carrying flight (Flights AX) cannot arrive before this leg's STD, or is over 3 days early",IF(AG189&gt;AsOfUTC,"INVALID – completion time is in the future",IF(AND(ISNUMBER(BY189),AG189&lt;BY189),IF(H189="Physical uplift","INVALID – before uplift window (cannot confirm loading)","INVALID – before valid window"),IF(AG189&gt;Flights!$AA$10,"INVALID – completed after departure (cannot establish readiness)",IF(AND(H189="Preparation",AG189&gt;=IF(ISNUMBER(Flights!$BA$10),MIN(Flights!$BA$10,Flights!$AA$10),Flights!$AA$10)),"INVALID – completed after loading / departure (cannot establish readiness)",IF(AND(H189="Physical uplift",AG189&gt;Q189),"INVALID – recorded after the loading flight departed",IF(AG189&gt;Q189,"COMPLETE – LATE","COMPLETE"))))))))))))))))))))))))),IF(TRIM(U189)="Fail","FAIL – DISCREPANCY",IF(AND(TRIM(U189)&lt;&gt;"",TRIM(U189)&lt;&gt;"Not started",TRIM(U189)&lt;&gt;"In progress"),"INVALID – unrecognised status (use the list)",IF(AsOfUTC&gt;Q189,"OVERDUE",IF(N189="Clarification required","OPEN – CLARIFICATION","OPEN"))))))),"INVALID – error value in an input cell")</f>
        <v>OPEN</v>
      </c>
      <c r="AI189" s="61" t="n">
        <f aca="false">IF(OR(AH189="N/A – RULE",AH189="N/A – JUSTIFIED"),0,1)</f>
        <v>1</v>
      </c>
      <c r="AJ189" s="61" t="n">
        <f aca="false">IF(LEFT(AH189,8)="COMPLETE",1,0)</f>
        <v>0</v>
      </c>
      <c r="AK189" s="61" t="n">
        <f aca="false">IF(AND(AI189=1,AJ189=0,AsOfUTC&gt;Q189),1,0)</f>
        <v>0</v>
      </c>
      <c r="AL189" s="61" t="n">
        <f aca="false">IFERROR(IF(AND(AI189=1,OR(TRIM(U189)="Fail",AND(TRIM(AB189)&lt;&gt;"",TRIM(AB189)&lt;&gt;"Closed"),AND(ISNUMBER(AF189),AF189&lt;&gt;0,TRIM(U189)&lt;&gt;"Pass after CA"))),1,0),1)</f>
        <v>0</v>
      </c>
      <c r="AM189" s="61" t="n">
        <f aca="false">IF(LEFT(AH189,7)="INVALID",1,0)</f>
        <v>0</v>
      </c>
      <c r="AN189" s="61" t="n">
        <f aca="false">IF(AND(N189="Clarification required",AI189=1,AJ189=0),1,0)</f>
        <v>0</v>
      </c>
      <c r="AO189" s="61" t="str">
        <f aca="false">IF(AK189=1,SUM(AK$5:AK189),"")</f>
        <v/>
      </c>
      <c r="AP189" s="61" t="str">
        <f aca="false">IF(AL189=1,SUM(AL$5:AL189),"")</f>
        <v/>
      </c>
      <c r="AQ189" s="61" t="n">
        <v>0</v>
      </c>
      <c r="AR189" s="61" t="n">
        <v>0</v>
      </c>
      <c r="AS189" s="61" t="n">
        <v>0</v>
      </c>
      <c r="AT189" s="61" t="n">
        <v>0</v>
      </c>
      <c r="AU189" s="61" t="str">
        <f aca="false">SUBSTITUTE(SUBSTITUTE(SUBSTITUTE(SUBSTITUTE(SUBSTITUTE(SUBSTITUTE(SUBSTITUTE(SUBSTITUTE(SUBSTITUTE(SUBSTITUTE(SUBSTITUTE(SUBSTITUTE(SUBSTITUTE(SUBSTITUTE(SUBSTITUTE(SUBSTITUTE(LOWER(T189&amp;""),CHAR(10),""),CHAR(13),""),CHAR(9),""),CHAR(160),"")," ",""),".",""),"-",""),"/",""),"?",""),"_",""),",",""),"[",""),"]",""),"(",""),")",""),"*","")</f>
        <v/>
      </c>
      <c r="AV189" s="61" t="str">
        <f aca="false">SUBSTITUTE(SUBSTITUTE(SUBSTITUTE(SUBSTITUTE(SUBSTITUTE(SUBSTITUTE(SUBSTITUTE(SUBSTITUTE(SUBSTITUTE(SUBSTITUTE(SUBSTITUTE(SUBSTITUTE(SUBSTITUTE(SUBSTITUTE(SUBSTITUTE(SUBSTITUTE(LOWER(V189&amp;""),CHAR(10),""),CHAR(13),""),CHAR(9),""),CHAR(160),"")," ",""),".",""),"-",""),"/",""),"?",""),"_",""),",",""),"[",""),"]",""),"(",""),")",""),"*","")</f>
        <v/>
      </c>
      <c r="AW189" s="61" t="str">
        <f aca="false">SUBSTITUTE(SUBSTITUTE(SUBSTITUTE(SUBSTITUTE(SUBSTITUTE(SUBSTITUTE(SUBSTITUTE(SUBSTITUTE(SUBSTITUTE(SUBSTITUTE(SUBSTITUTE(SUBSTITUTE(SUBSTITUTE(SUBSTITUTE(SUBSTITUTE(SUBSTITUTE(LOWER(Z189&amp;""),CHAR(10),""),CHAR(13),""),CHAR(9),""),CHAR(160),"")," ",""),".",""),"-",""),"/",""),"?",""),"_",""),",",""),"[",""),"]",""),"(",""),")",""),"*","")</f>
        <v/>
      </c>
      <c r="AX189" s="61" t="str">
        <f aca="false">SUBSTITUTE(SUBSTITUTE(SUBSTITUTE(SUBSTITUTE(SUBSTITUTE(SUBSTITUTE(SUBSTITUTE(SUBSTITUTE(SUBSTITUTE(SUBSTITUTE(SUBSTITUTE(SUBSTITUTE(SUBSTITUTE(SUBSTITUTE(SUBSTITUTE(SUBSTITUTE(LOWER(AE189&amp;""),CHAR(10),""),CHAR(13),""),CHAR(9),""),CHAR(160),"")," ",""),".",""),"-",""),"/",""),"?",""),"_",""),",",""),"[",""),"]",""),"(",""),")",""),"*","")</f>
        <v/>
      </c>
      <c r="AY189" s="61" t="str">
        <f aca="false">SUBSTITUTE(SUBSTITUTE(SUBSTITUTE(SUBSTITUTE(SUBSTITUTE(SUBSTITUTE(SUBSTITUTE(SUBSTITUTE(SUBSTITUTE(SUBSTITUTE(SUBSTITUTE(SUBSTITUTE(SUBSTITUTE(SUBSTITUTE(SUBSTITUTE(SUBSTITUTE(LOWER(W189&amp;""),CHAR(10),""),CHAR(13),""),CHAR(9),""),CHAR(160),"")," ",""),".",""),"-",""),"/",""),"?",""),"_",""),",",""),"[",""),"]",""),"(",""),")",""),"*","")</f>
        <v/>
      </c>
      <c r="AZ189" s="61" t="str">
        <f aca="false">SUBSTITUTE(SUBSTITUTE(SUBSTITUTE(SUBSTITUTE(SUBSTITUTE(SUBSTITUTE(SUBSTITUTE(SUBSTITUTE(SUBSTITUTE(SUBSTITUTE(SUBSTITUTE(SUBSTITUTE(SUBSTITUTE(SUBSTITUTE(SUBSTITUTE(SUBSTITUTE(LOWER(AC189&amp;""),CHAR(10),""),CHAR(13),""),CHAR(9),""),CHAR(160),"")," ",""),".",""),"-",""),"/",""),"?",""),"_",""),",",""),"[",""),"]",""),"(",""),")",""),"*","")</f>
        <v/>
      </c>
      <c r="BA189" s="61" t="str">
        <f aca="false">SUBSTITUTE(SUBSTITUTE(SUBSTITUTE(SUBSTITUTE(SUBSTITUTE(SUBSTITUTE(SUBSTITUTE(SUBSTITUTE(SUBSTITUTE(SUBSTITUTE(SUBSTITUTE(SUBSTITUTE(SUBSTITUTE(SUBSTITUTE(SUBSTITUTE(SUBSTITUTE(LOWER(AA189&amp;""),CHAR(10),""),CHAR(13),""),CHAR(9),""),CHAR(160),"")," ",""),".",""),"-",""),"/",""),"?",""),"_",""),",",""),"[",""),"]",""),"(",""),")",""),"*","")</f>
        <v/>
      </c>
      <c r="BB189" s="61" t="str">
        <f aca="false">IF(AND(TRIM(U189)="Pass",ISNUMBER(AF189)),IF(AF189&lt;&gt;0,"INVALID – qty variance: use Fail or Pass after CA",""),"")&amp;IF(AND(TRIM(U189)="Pass after CA",ISNUMBER(AF189)),IF(AF189&lt;&gt;0,"INVALID – after the corrective action the actual qty must equal expected (update Actual)",""),"")&amp;IF(AND(TRIM(U189)="Pass",TRIM(AB189)&lt;&gt;"",TRIM(AB189)&lt;&gt;"Closed"),"INVALID – corrective action not closed: use Fail, then Pass after CA","")&amp;IF(AND(LEN(BA189)&gt;=2,ISNA(MATCH(LEFT(BA189,255),L_Placeholder,0)),TRIM(AB189)=""),"INVALID – CA status missing for the recorded corrective action","")&amp;IF(AND(TRIM(U189)="Pass after CA",OR(OR(LEN(BA189)&lt;5,ISNUMBER(MATCH(BA189,L_Placeholder,0))),TRIM(AB189)&lt;&gt;"Closed")),"INVALID – corrective action not recorded/closed","")</f>
        <v/>
      </c>
      <c r="BC189" s="61" t="str">
        <f aca="false">" "&amp;TRIM(SUBSTITUTE(SUBSTITUTE(SUBSTITUTE(SUBSTITUTE(SUBSTITUTE(SUBSTITUTE(SUBSTITUTE(SUBSTITUTE(SUBSTITUTE(SUBSTITUTE(SUBSTITUTE(SUBSTITUTE(SUBSTITUTE(SUBSTITUTE(SUBSTITUTE(SUBSTITUTE(SUBSTITUTE(SUBSTITUTE(SUBSTITUTE(SUBSTITUTE(SUBSTITUTE(SUBSTITUTE(SUBSTITUTE(SUBSTITUTE(LOWER(V189&amp;""),CHAR(10)," "),CHAR(13)," "),CHAR(9)," "),CHAR(160)," "),"."," "),","," "),"-"," "),"/"," "),"("," "),")"," "),":"," "),";"," "),"_"," "),"–"," "),"?"," "),"!"," "),"*"," "),"["," "),"]"," "),"'"," "),"#"," "),"+"," "),"&amp;"," "),"\"," "))&amp;" "</f>
        <v>  </v>
      </c>
      <c r="BD189" s="61" t="str">
        <f aca="false">" "&amp;TRIM(SUBSTITUTE(SUBSTITUTE(SUBSTITUTE(SUBSTITUTE(SUBSTITUTE(SUBSTITUTE(SUBSTITUTE(SUBSTITUTE(SUBSTITUTE(SUBSTITUTE(SUBSTITUTE(SUBSTITUTE(SUBSTITUTE(SUBSTITUTE(SUBSTITUTE(SUBSTITUTE(SUBSTITUTE(SUBSTITUTE(SUBSTITUTE(SUBSTITUTE(SUBSTITUTE(SUBSTITUTE(SUBSTITUTE(SUBSTITUTE(LOWER(Z189&amp;""),CHAR(10)," "),CHAR(13)," "),CHAR(9)," "),CHAR(160)," "),"."," "),","," "),"-"," "),"/"," "),"("," "),")"," "),":"," "),";"," "),"_"," "),"–"," "),"?"," "),"!"," "),"*"," "),"["," "),"]"," "),"'"," "),"#"," "),"+"," "),"&amp;"," "),"\"," "))&amp;" "</f>
        <v>  </v>
      </c>
      <c r="BE189" s="61" t="str">
        <f aca="false">" "&amp;TRIM(SUBSTITUTE(SUBSTITUTE(SUBSTITUTE(SUBSTITUTE(SUBSTITUTE(SUBSTITUTE(SUBSTITUTE(SUBSTITUTE(SUBSTITUTE(SUBSTITUTE(SUBSTITUTE(SUBSTITUTE(SUBSTITUTE(SUBSTITUTE(SUBSTITUTE(SUBSTITUTE(SUBSTITUTE(SUBSTITUTE(SUBSTITUTE(SUBSTITUTE(SUBSTITUTE(SUBSTITUTE(SUBSTITUTE(SUBSTITUTE(LOWER(W189&amp;""),CHAR(10)," "),CHAR(13)," "),CHAR(9)," "),CHAR(160)," "),"."," "),","," "),"-"," "),"/"," "),"("," "),")"," "),":"," "),";"," "),"_"," "),"–"," "),"?"," "),"!"," "),"*"," "),"["," "),"]"," "),"'"," "),"#"," "),"+"," "),"&amp;"," "),"\"," "))&amp;" "</f>
        <v>  </v>
      </c>
      <c r="BF189" s="61" t="str">
        <f aca="false">" "&amp;TRIM(SUBSTITUTE(SUBSTITUTE(SUBSTITUTE(SUBSTITUTE(SUBSTITUTE(SUBSTITUTE(SUBSTITUTE(SUBSTITUTE(SUBSTITUTE(SUBSTITUTE(SUBSTITUTE(SUBSTITUTE(SUBSTITUTE(SUBSTITUTE(SUBSTITUTE(SUBSTITUTE(SUBSTITUTE(SUBSTITUTE(SUBSTITUTE(SUBSTITUTE(SUBSTITUTE(SUBSTITUTE(SUBSTITUTE(SUBSTITUTE(LOWER(AC189&amp;""),CHAR(10)," "),CHAR(13)," "),CHAR(9)," "),CHAR(160)," "),"."," "),","," "),"-"," "),"/"," "),"("," "),")"," "),":"," "),";"," "),"_"," "),"–"," "),"?"," "),"!"," "),"*"," "),"["," "),"]"," "),"'"," "),"#"," "),"+"," "),"&amp;"," "),"\"," "))&amp;" "</f>
        <v>  </v>
      </c>
      <c r="BG189" s="61" t="n">
        <f aca="false">IFERROR(IF(AND(TRIM(U189)="Pass",SUMPRODUCT((LEN(BC189)-LEN(SUBSTITUTE(BC189," "&amp;L_ResultBad&amp;" "," ")))/(LEN(L_ResultBad)+1))&gt;SUMPRODUCT((LEN(BC189)-LEN(SUBSTITUTE(BC189," "&amp;L_NegPhrase&amp;" "," ")))/(LEN(L_NegPhrase)+1))),1,0),0)</f>
        <v>0</v>
      </c>
      <c r="BH189" s="61" t="n">
        <f aca="false">IFERROR(IF(SUMPRODUCT((LEN(BC189)-LEN(SUBSTITUTE(BC189," "&amp;L_Pending&amp;" "," ")))/(LEN(L_Pending)+1))&gt;SUMPRODUCT((LEN(BC189)-LEN(SUBSTITUTE(BC189," "&amp;L_PendNeg&amp;" "," ")))/(LEN(L_PendNeg)+1))+SUMPRODUCT((LEN(BC189)-LEN(SUBSTITUTE(BC189," "&amp;L_PendPrep&amp;" "," ")))/(LEN(L_PendPrep)+1)),1,0),1)</f>
        <v>0</v>
      </c>
      <c r="BI189" s="61" t="n">
        <f aca="false">IFERROR(IF(SUMPRODUCT((LEN(BD189)-LEN(SUBSTITUTE(BD189," "&amp;L_PendStrict&amp;" "," ")))/(LEN(L_PendStrict)+1))&gt;SUMPRODUCT((LEN(BD189)-LEN(SUBSTITUTE(BD189," "&amp;L_PendNeg&amp;" "," ")))/(LEN(L_PendNeg)+1)),1,0),1)</f>
        <v>0</v>
      </c>
      <c r="BJ189" s="61" t="n">
        <f aca="false">IFERROR(IF(SUMPRODUCT((LEN(BE189)-LEN(SUBSTITUTE(BE189," "&amp;L_Pending&amp;" "," ")))/(LEN(L_Pending)+1))&gt;SUMPRODUCT((LEN(BE189)-LEN(SUBSTITUTE(BE189," "&amp;L_PendNeg&amp;" "," ")))/(LEN(L_PendNeg)+1))+SUMPRODUCT((LEN(BE189)-LEN(SUBSTITUTE(BE189," "&amp;L_PendPrep&amp;" "," ")))/(LEN(L_PendPrep)+1)),1,0),1)</f>
        <v>0</v>
      </c>
      <c r="BK189" s="61" t="n">
        <f aca="false">IFERROR(IF(SUMPRODUCT((LEN(BF189)-LEN(SUBSTITUTE(BF189," "&amp;L_PendStrict&amp;" "," ")))/(LEN(L_PendStrict)+1))&gt;SUMPRODUCT((LEN(BF189)-LEN(SUBSTITUTE(BF189," "&amp;L_PendNeg&amp;" "," ")))/(LEN(L_PendNeg)+1)),1,0),1)</f>
        <v>0</v>
      </c>
      <c r="BL189" s="61" t="n">
        <f aca="false">IF(ISNA(MATCH(TRIM(S189),L_EvidenceType,0)),0,BZ189)</f>
        <v>0</v>
      </c>
      <c r="BM189" s="61" t="str">
        <f aca="false">SUBSTITUTE(SUBSTITUTE(SUBSTITUTE(SUBSTITUTE(SUBSTITUTE(SUBSTITUTE(SUBSTITUTE(SUBSTITUTE(SUBSTITUTE(LOWER(Z189&amp;""),"1","0"),"2","0"),"3","0"),"4","0"),"5","0"),"6","0"),"7","0"),"8","0"),"9","0")</f>
        <v/>
      </c>
      <c r="BN189" s="61" t="str">
        <f aca="false">SUBSTITUTE(SUBSTITUTE(SUBSTITUTE(SUBSTITUTE(SUBSTITUTE(SUBSTITUTE(SUBSTITUTE(SUBSTITUTE(SUBSTITUTE(SUBSTITUTE(SUBSTITUTE(SUBSTITUTE(SUBSTITUTE(SUBSTITUTE(SUBSTITUTE(SUBSTITUTE(SUBSTITUTE(SUBSTITUTE(SUBSTITUTE(SUBSTITUTE(SUBSTITUTE(SUBSTITUTE(SUBSTITUTE(SUBSTITUTE(SUBSTITUTE(BM189,"b","a"),"c","a"),"d","a"),"e","a"),"f","a"),"g","a"),"h","a"),"i","a"),"j","a"),"k","a"),"l","a"),"m","a"),"n","a"),"o","a"),"p","a"),"q","a"),"r","a"),"s","a"),"t","a"),"u","a"),"v","a"),"w","a"),"x","a"),"y","a"),"z","a")</f>
        <v/>
      </c>
      <c r="BO189" s="61" t="str">
        <f aca="false">SUBSTITUTE(SUBSTITUTE(SUBSTITUTE(SUBSTITUTE(SUBSTITUTE(SUBSTITUTE(SUBSTITUTE(SUBSTITUTE(SUBSTITUTE(LOWER(W189&amp;""),"1","0"),"2","0"),"3","0"),"4","0"),"5","0"),"6","0"),"7","0"),"8","0"),"9","0")</f>
        <v/>
      </c>
      <c r="BP189" s="61" t="str">
        <f aca="false">SUBSTITUTE(SUBSTITUTE(SUBSTITUTE(SUBSTITUTE(SUBSTITUTE(SUBSTITUTE(SUBSTITUTE(SUBSTITUTE(SUBSTITUTE(SUBSTITUTE(SUBSTITUTE(SUBSTITUTE(SUBSTITUTE(SUBSTITUTE(SUBSTITUTE(SUBSTITUTE(SUBSTITUTE(SUBSTITUTE(SUBSTITUTE(SUBSTITUTE(SUBSTITUTE(SUBSTITUTE(SUBSTITUTE(SUBSTITUTE(SUBSTITUTE(BO189,"b","a"),"c","a"),"d","a"),"e","a"),"f","a"),"g","a"),"h","a"),"i","a"),"j","a"),"k","a"),"l","a"),"m","a"),"n","a"),"o","a"),"p","a"),"q","a"),"r","a"),"s","a"),"t","a"),"u","a"),"v","a"),"w","a"),"x","a"),"y","a"),"z","a")</f>
        <v/>
      </c>
      <c r="BQ189" s="61" t="n">
        <f aca="false">IFERROR(IF(AND(ISERROR(SEARCH(" mh"," "&amp;LOWER(W189))),ISNA(MATCH(LEFT(TRIM(BP189),255),{"0000a","000a","00a","0000aa","000aa","00aa","0aa","0000aaa","000aaa","00a00","0a00","0000-0000","00:00","a00","a0","00.00.0000","00/00/0000","00-00-0000","0000-00-00","0000/00/00","0000.00.00","00.00.00","00/00/00","00-00-00","0.00.0000","0/00/0000","0-00-0000"},0)),ISNA(MATCH(LEFT(TRIM(CA189),255),{"0000a","000a","00a","0000aa","000aa","00aa","0aa","0000aaa","000aaa","00a00","0a00","0000-0000","00:00","a00","a0","00.00.0000","00/00/0000","00-00-0000","0000-00-00","0000/00/00","0000.00.00","00.00.00","00/00/00","00-00-00","0.00.0000","0/00/0000","0-00-0000"},0)),LEN(CB189)&gt;=3,NOT(OR(SUBSTITUTE(CB189,"0","")="",AND(LEN(CB189)&gt;=4,CB189=REPT(LEFT(CB189),LEN(CB189))),ISNUMBER(MATCH(CB189,{"123","1234","12345","123456","1234567","12345678","0123","01234","012345","98765","987654","54321"},0)),AND(LEN(CB189)=8,LEFT(CB189,3)="202"))),OR(AND((LEN(CA189)-LEN(SUBSTITUTE(CA189,"a","")))&gt;=1,SUMPRODUCT(--ISNUMBER(SEARCH({"a0","a-0","a_0","a/0","a.0","a#0","0a","0-a","0_a","0/a"},BP189)))&gt;0),ISNUMBER(SEARCH("000000",BP189)))),1,0),0)</f>
        <v>0</v>
      </c>
      <c r="BR189" s="61" t="n">
        <f aca="false">IFERROR(LEN(SUBSTITUTE(CC189," ",""))-SUMPRODUCT((LEN(CC189)-LEN(SUBSTITUTE(CC189," "&amp;L_Role&amp;" "," ")))/(LEN(L_Role)+1)*LEN(L_Role)),0)</f>
        <v>0</v>
      </c>
      <c r="BS189" s="61" t="n">
        <f aca="false">IFERROR(LEN(SUBSTITUTE(CD189," ",""))-SUMPRODUCT((LEN(CD189)-LEN(SUBSTITUTE(CD189," "&amp;L_Role&amp;" "," ")))/(LEN(L_Role)+1)*LEN(L_Role)),0)</f>
        <v>0</v>
      </c>
      <c r="BT1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189,"revision",""),"version",""),"jan",""),"feb",""),"mar",""),"apr",""),"may",""),"jun",""),"jul",""),"aug",""),"sep",""),"oct",""),"nov",""),"dec",""),"utc",""),"gmt",""),"myt",""),"bst",""),"rev",""),"ver",""),"b","a"),"c","a"),"d","a"),"e","a"),"f","a"),"g","a"),"h","a"),"i","a"),"j","a"),"k","a"),"l","a"),"m","a"),"n","a"),"o","a"),"p","a"),"q","a"),"r","a"),"s","a"),"t","a"),"u","a"),"v","a"),"w","a"),"x","a"),"y","a"),"z","a")</f>
        <v/>
      </c>
      <c r="BU189" s="61" t="str">
        <f aca="false">SUBSTITUTE(SUBSTITUTE(SUBSTITUTE(SUBSTITUTE(SUBSTITUTE(SUBSTITUTE(SUBSTITUTE(SUBSTITUTE(SUBSTITUTE(SUBSTITUTE(LEFT(BM189,FIND("0",BM189&amp;"0")-1),"-",""),"_",""),"/",""),".",""),"#",""),"\\",""),":","")," ",""),"(",""),")","")</f>
        <v/>
      </c>
      <c r="BV189" s="61" t="n">
        <f aca="false">0</f>
        <v>0</v>
      </c>
      <c r="BW1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189&amp;""),"a",""),"b",""),"c",""),"d",""),"e",""),"f",""),"g",""),"h",""),"i",""),"j",""),"k",""),"l",""),"m",""),"n",""),"o",""),"p",""),"q",""),"r",""),"s",""),"t",""),"u",""),"v",""),"w",""),"x",""),"y",""),"z",""),"-",""),"_",""),"/",""),".",""),"#",""),"\\",""),":","")," ",""),"(",""),")","")</f>
        <v/>
      </c>
      <c r="BX189" s="61" t="str">
        <f aca="false">SUBSTITUTE(SUBSTITUTE(SUBSTITUTE(SUBSTITUTE(SUBSTITUTE(SUBSTITUTE(SUBSTITUTE(SUBSTITUTE(SUBSTITUTE(SUBSTITUTE(SUBSTITUTE(BM189,"0",""),"-",""),"_",""),"/",""),".",""),"#",""),"\\",""),":","")," ",""),"(",""),")","")</f>
        <v/>
      </c>
      <c r="BY189" s="62" t="n">
        <f aca="false">Q189-T12EarlyH/24</f>
        <v>46309.6388888889</v>
      </c>
      <c r="BZ189" s="61" t="n">
        <f aca="false">IFERROR(IF(IF(TRIM(S189)="Link / file path",AND(LEN(TRIM(Z189))&gt;=5,SUMPRODUCT(--ISNUMBER(SEARCH({"http","www.","\\",":\",".pdf",".jpg",".jpeg",".png",".heic",".xls",".doc",".msg",".eml",".ppt",".txt",".zip"},Z189)))&gt;0),AND(ISERROR(FIND(" ",TRIM(Z189))),NOT(OR(SUMPRODUCT(--ISNUMBER(FIND({",",";","&amp;","+"},Z189)))&gt;0,SUMPRODUCT(--ISNUMBER(SEARCH({"0/aa","0\\aa"},BN189)))&gt;0)),NOT(SUMPRODUCT(--ISNUMBER(SEARCH({"http","www.","\\",":\",".pdf",".jpg",".jpeg",".png",".heic",".xls",".doc",".msg",".eml",".ppt",".txt",".zip"},Z189)))&gt;0),NOT(LOWER(TRIM(Z189))=LOWER(Flights!$F$10)),ISNA(MATCH(BU189,{"mh","rev","revision","ver","version","v","r","a","b","seat","tray","row","gate","bay","stand","page","pg","item","line","no","cart","galley","flight","flt","table","box","bag","oven","etd","eta","std","sta","atd","ata","qty","pax","x","time","tel","ph","mob","day","wk","week","utc","gmt","myt","lt"},0)),NOT(OR(ISNUMBER(MATCH(LEFT(BN189,255),{"0000a","000a","00a","0000aa","000aa","00aa","0aa","0000aaa","000aaa","00a00","0a00","0000-0000","00:00","a00","a0","00.00.0000","00/00/0000","00-00-0000","0000-00-00","0000/00/00","0000.00.00","00.00.00","00/00/00","00-00-00","0.00.0000","0/00/0000","0-00-0000"},0)),ISNUMBER(MATCH(LEFT(BT189,255),{"0000a","000a","00a","0000aa","000aa","00aa","0aa","0000aaa","000aaa","00a00","0a00","0000-0000","00:00","a00","a0","00.00.0000","00/00/0000","00-00-0000","0000-00-00","0000/00/00","0000.00.00","00.00.00","00/00/00","00-00-00","0.00.0000","0/00/0000","0-00-0000"},0)))),NOT(OR(AND(BW189&lt;&gt;"",SUBSTITUTE(BW189,"0","")=""),AND(LEN(BW189)&gt;=4,BW189=REPT(LEFT(BW189),LEN(BW189))),ISNUMBER(MATCH(BW189,{"123","1234","12345","123456","1234567","12345678","0123","01234","012345","98765","987654","54321"},0)),ISNUMBER(MATCH(BX189,{"x","xx","xxx","xxxx","xxxxx","abc","abcd","nil","na","nan","test","tbc","tba","tbd","dummy","sample","example","eg","zz","zzz","none","null","xyz","qwe","asd","id","ref"},0)),AND(LEN(BW189)=8,BX189="",OR(LEFT(BW189,3)="202",ISNUMBER(MATCH(RIGHT(BW189,4),{"2025","2026","2027"},0)))))),OR(AND((LEN(BT189)-LEN(SUBSTITUTE(BT189,"a","")))&gt;=1,(LEN(BN189)-LEN(SUBSTITUTE(BN189,"0","")))&gt;=2,SUMPRODUCT(--ISNUMBER(SEARCH({"a0","a-0","a_0","a/0","a.0","a#0","0a","0-a","0_a","0/a"},BN189)))&gt;0),AND((LEN(BN189)-LEN(SUBSTITUTE(BN189,"a","")))=0,(LEN(BN189)-LEN(SUBSTITUTE(BN189,"0","")))&gt;=5)))),1,0),0)</f>
        <v>0</v>
      </c>
      <c r="CA1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189,"revision",""),"version",""),"jan",""),"feb",""),"mar",""),"apr",""),"may",""),"jun",""),"jul",""),"aug",""),"sep",""),"oct",""),"nov",""),"dec",""),"utc",""),"gmt",""),"myt",""),"bst",""),"rev",""),"ver",""),"b","a"),"c","a"),"d","a"),"e","a"),"f","a"),"g","a"),"h","a"),"i","a"),"j","a"),"k","a"),"l","a"),"m","a"),"n","a"),"o","a"),"p","a"),"q","a"),"r","a"),"s","a"),"t","a"),"u","a"),"v","a"),"w","a"),"x","a"),"y","a"),"z","a")</f>
        <v/>
      </c>
      <c r="CB1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189&amp;""),"a",""),"b",""),"c",""),"d",""),"e",""),"f",""),"g",""),"h",""),"i",""),"j",""),"k",""),"l",""),"m",""),"n",""),"o",""),"p",""),"q",""),"r",""),"s",""),"t",""),"u",""),"v",""),"w",""),"x",""),"y",""),"z",""),"-",""),"_",""),"/",""),".",""),"#",""),"\\",""),":","")," ",""),"(",""),")","")</f>
        <v/>
      </c>
      <c r="CC189" s="0" t="str">
        <f aca="false">" "&amp;TRIM(SUBSTITUTE(SUBSTITUTE(SUBSTITUTE(SUBSTITUTE(SUBSTITUTE(SUBSTITUTE(SUBSTITUTE(SUBSTITUTE(SUBSTITUTE(SUBSTITUTE(SUBSTITUTE(SUBSTITUTE(SUBSTITUTE(SUBSTITUTE(SUBSTITUTE(SUBSTITUTE(SUBSTITUTE(SUBSTITUTE(SUBSTITUTE(SUBSTITUTE(SUBSTITUTE(SUBSTITUTE(SUBSTITUTE(SUBSTITUTE(LOWER(T189&amp;""),CHAR(10)," "),CHAR(13)," "),CHAR(9)," "),CHAR(160)," "),"."," "),","," "),"-"," "),"/"," "),"("," "),")"," "),":"," "),";"," "),"_"," "),"–"," "),"?"," "),"!"," "),"*"," "),"["," "),"]"," "),"'"," "),"#"," "),"+"," "),"&amp;"," "),"\"," "))&amp;" "</f>
        <v>  </v>
      </c>
      <c r="CD189" s="0" t="str">
        <f aca="false">" "&amp;TRIM(SUBSTITUTE(SUBSTITUTE(SUBSTITUTE(SUBSTITUTE(SUBSTITUTE(SUBSTITUTE(SUBSTITUTE(SUBSTITUTE(SUBSTITUTE(SUBSTITUTE(SUBSTITUTE(SUBSTITUTE(SUBSTITUTE(SUBSTITUTE(SUBSTITUTE(SUBSTITUTE(SUBSTITUTE(SUBSTITUTE(SUBSTITUTE(SUBSTITUTE(SUBSTITUTE(SUBSTITUTE(SUBSTITUTE(SUBSTITUTE(LOWER(AE189&amp;""),CHAR(10)," "),CHAR(13)," "),CHAR(9)," "),CHAR(160)," "),"."," "),","," "),"-"," "),"/"," "),"("," "),")"," "),":"," "),";"," "),"_"," "),"–"," "),"?"," "),"!"," "),"*"," "),"["," "),"]"," "),"'"," "),"#"," "),"+"," "),"&amp;"," "),"\"," "))&amp;" "</f>
        <v>  </v>
      </c>
      <c r="CE189" s="68" t="n">
        <f aca="false">IFERROR(IF(AND(LEN(AU189)&gt;0,LEN(AU189)=LEN(AX189),OR(TRIM(MID(SUBSTITUTE(TRIM(CC189)," ",REPT(" ",60)),1,60))="",ISNUMBER(SEARCH(" "&amp;TRIM(MID(SUBSTITUTE(TRIM(CC189)," ",REPT(" ",60)),1,60))&amp;" ",CD189))),OR(TRIM(MID(SUBSTITUTE(TRIM(CC189)," ",REPT(" ",60)),61,60))="",ISNUMBER(SEARCH(" "&amp;TRIM(MID(SUBSTITUTE(TRIM(CC189)," ",REPT(" ",60)),61,60))&amp;" ",CD189))),OR(TRIM(MID(SUBSTITUTE(TRIM(CC189)," ",REPT(" ",60)),121,60))="",ISNUMBER(SEARCH(" "&amp;TRIM(MID(SUBSTITUTE(TRIM(CC189)," ",REPT(" ",60)),121,60))&amp;" ",CD189)))),1,0),0)</f>
        <v>0</v>
      </c>
      <c r="CG189" s="68" t="n">
        <f aca="false">IFERROR(LEN(SUBSTITUTE(BF189," ",""))-SUMPRODUCT((LEN(BF189)-LEN(SUBSTITUTE(BF189," "&amp;L_NAFiller&amp;" "," ")))/(LEN(L_NAFiller)+1)*LEN(L_NAFiller)),0)</f>
        <v>0</v>
      </c>
    </row>
    <row r="190" customFormat="false" ht="41.25" hidden="false" customHeight="true" outlineLevel="0" collapsed="false">
      <c r="A190" s="57" t="s">
        <v>743</v>
      </c>
      <c r="B190" s="57" t="s">
        <v>231</v>
      </c>
      <c r="C190" s="57" t="str">
        <f aca="false">Flights!$F$10</f>
        <v>MH0002</v>
      </c>
      <c r="D190" s="58" t="n">
        <f aca="false">Flights!$D$10</f>
        <v>46310</v>
      </c>
      <c r="E190" s="57" t="str">
        <f aca="false">Flights!$G$10&amp;"-"&amp;Flights!$H$10</f>
        <v>KUL-LHR</v>
      </c>
      <c r="F190" s="57" t="str">
        <f aca="false">Flights!$K$10</f>
        <v>BC</v>
      </c>
      <c r="G190" s="57" t="s">
        <v>420</v>
      </c>
      <c r="H190" s="57" t="s">
        <v>378</v>
      </c>
      <c r="I190" s="57" t="s">
        <v>499</v>
      </c>
      <c r="J190" s="57" t="s">
        <v>515</v>
      </c>
      <c r="K190" s="67" t="s">
        <v>501</v>
      </c>
      <c r="L190" s="67" t="s">
        <v>744</v>
      </c>
      <c r="M190" s="67" t="s">
        <v>451</v>
      </c>
      <c r="N190" s="67" t="s">
        <v>383</v>
      </c>
      <c r="O190" s="67" t="s">
        <v>503</v>
      </c>
      <c r="P190" s="57" t="s">
        <v>187</v>
      </c>
      <c r="Q190" s="59" t="n">
        <f aca="false">ROUND((Flights!$AE$10)*1440,0)/1440</f>
        <v>46310.1388888889</v>
      </c>
      <c r="R190" s="59" t="n">
        <f aca="false">Q190+(IF(AND(INDEX(TZ_DSTS,MATCH(P190,TZ_STN,0))&lt;&gt;"",Q190&gt;=INDEX(TZ_DSTS,MATCH(P190,TZ_STN,0)),Q190&lt;INDEX(TZ_DSTE,MATCH(P190,TZ_STN,0))),INDEX(TZ_DST,MATCH(P190,TZ_STN,0)),INDEX(TZ_STD,MATCH(P190,TZ_STN,0))))/24</f>
        <v>46310.4722222222</v>
      </c>
      <c r="S190" s="60"/>
      <c r="T190" s="60"/>
      <c r="U190" s="60"/>
      <c r="V190" s="60"/>
      <c r="W190" s="61"/>
      <c r="X190" s="60"/>
      <c r="Y190" s="60"/>
      <c r="Z190" s="60"/>
      <c r="AA190" s="60"/>
      <c r="AB190" s="60"/>
      <c r="AC190" s="60"/>
      <c r="AD190" s="66"/>
      <c r="AE190" s="60"/>
      <c r="AF190" s="61" t="str">
        <f aca="false">IF(AND(ISNUMBER(X190),ISNUMBER(Y190)),Y190-X190,"")</f>
        <v/>
      </c>
      <c r="AG190" s="62" t="str">
        <f aca="false">IF(ISNUMBER(AD190),AD190-(IF(AND(INDEX(TZ_DSTS,MATCH(P190,TZ_STN,0))&lt;&gt;"",(AD190-INDEX(TZ_STD,MATCH(P190,TZ_STN,0))/24)&gt;=INDEX(TZ_DSTS,MATCH(P190,TZ_STN,0)),(AD190-INDEX(TZ_STD,MATCH(P190,TZ_STN,0))/24)&lt;INDEX(TZ_DSTE,MATCH(P190,TZ_STN,0))),INDEX(TZ_DST,MATCH(P190,TZ_STN,0)),INDEX(TZ_STD,MATCH(P190,TZ_STN,0))))/24,"")</f>
        <v/>
      </c>
      <c r="AH190" s="65" t="str">
        <f aca="false">IFERROR(IF(N190="N/A – rule",IF(OR(TRIM(U190)="",TRIM(U190)="N/A",TRIM(U190)="Not started"),"N/A – RULE","INVALID – this check does not apply to this aircraft: clear the status (or correct the fleet on Flights)"),IF(TRIM(U190)="N/A",IF(AT190=0,"INVALID – N/A not permitted for this check",IF(AND(TRIM(AB190)&lt;&gt;"",TRIM(AB190)&lt;&gt;"Closed"),"INVALID – corrective action still open",IF(AND(NOT(OR(LEN(AZ190)&lt;15,ISNUMBER(MATCH(AZ190,L_Placeholder,0)))),BK190=0,CG190&gt;=8,NOT(OR(LEN(AU190)&lt;2,ISNUMBER(MATCH(AU190,L_Placeholder,0)))),BR190&gt;=3,NOT(OR(LEN(AX190)&lt;2,ISNUMBER(MATCH(AX190,L_Placeholder,0)))),BS190&gt;=3,TRIM(AE190)&lt;&gt;TRIM(T190),AX190&lt;&gt;AU190,CE190=0),"N/A – JUSTIFIED","INVALID – N/A needs a real, settled reason (not 'not applicable' / 'as above' / TBC), a named PIC and a different named verifier"))),IF(OR(TRIM(U190)="Pass",TRIM(U190)="Pass after CA"),IF(NOT(ISNUMBER(AD190)),"INVALID – completion time missing",IF(OR(OR(LEN(AU190)&lt;2,ISNUMBER(MATCH(AU190,L_Placeholder,0))),BR190&lt;3),"INVALID – PIC missing or not a named person (a role such as QA / CSM is not a name)",IF(OR(LEN(AV190)&lt;2,ISNUMBER(MATCH(AV190,L_Placeholder,0))),"INVALID – result / assessment missing",IF(OR(OR(LEN(AW190)&lt;3,ISNUMBER(MATCH(AW190,L_Placeholder,0))),SUMPRODUCT(--ISNUMBER(SEARCH(" "&amp;L_EvidencePhrase&amp;" ",BD190)))&gt;0,BI190=1),"INVALID – evidence missing, placeholder or not yet on file",IF(ISNA(MATCH(TRIM(S190),L_EvidenceType,0)),"INVALID – choose the evidence type from the list (column S)",IF(BL190=0,"INVALID – evidence ID must be the record's own ID only (e.g. SF-2210, IMG_2231, 1045521); a link / file name needs type 'Link / file path'",IF(OR(OR(LEN(AX190)&lt;2,ISNUMBER(MATCH(AX190,L_Placeholder,0))),BS190&lt;3),"INVALID – verifier missing or not a named person (a role such as QA / CSM is not a name)",IF(OR(AX190=AU190,CE190=1,AND(LEN(AU190)&gt;=4,ISNUMBER(SEARCH(AU190,AX190))),AND(LEN(AX190)&gt;=4,ISNUMBER(SEARCH(AX190,AU190)))),"INVALID – verifier must be a different, named person (not the PIC or a role)",IF(BH190=1,"INVALID – result not yet available (awaiting / TBC)",IF(BG190=1,"INVALID – result describes a problem: record Fail, then Pass after CA (or reword if it is not a problem)",IF(BV190=1,"INVALID – wording says not on board: an on-board confirmation needs the item loaded",IF(AND(AQ190=1,OR(OR(LEN(AY190)&lt;3,ISNUMBER(MATCH(AY190,L_Placeholder,0))),BJ190=1,BQ190=0)),"INVALID – batch ID missing, placeholder or not an ID (e.g. PASB-261008-BC-017)",IF(AND(AR190=1,OR(NOT(ISNUMBER(X190)),NOT(ISNUMBER(Y190)))),"INVALID – expected/actual qty missing",IF(AND(AR190=1,OR(X190&lt;=0,Y190&lt;0)),"INVALID – expected qty must be above 0 and actual not negative",IF(BB190&lt;&gt;"",BB190,IF(AND(AS190=1,Documents!$J$10&lt;&gt;"ON FILE"),"INVALID – GLD not on file (Documents sheet)",IF(AND(AS190=2,Documents!$O$10&lt;&gt;"ON FILE"),"INVALID – menu checklist not on file (Documents sheet)",IF(AND(AS190=3,NOT(ISNUMBER(Flights!$AX$10))),"INVALID – enter carrying flight KUL departure (Flights AX)",IF(AND(AS190=3,OR(Flights!$AZ$10&gt;Flights!$AA$10,Flights!$AX$10&lt;Flights!$AA$10-3)),"INVALID – carrying flight (Flights AX) cannot arrive before this leg's STD, or is over 3 days early",IF(AG190&gt;AsOfUTC,"INVALID – completion time is in the future",IF(AND(ISNUMBER(BY190),AG190&lt;BY190),IF(H190="Physical uplift","INVALID – before uplift window (cannot confirm loading)","INVALID – before valid window"),IF(AG190&gt;Flights!$AA$10,"INVALID – completed after departure (cannot establish readiness)",IF(AND(H190="Preparation",AG190&gt;=IF(ISNUMBER(Flights!$BA$10),MIN(Flights!$BA$10,Flights!$AA$10),Flights!$AA$10)),"INVALID – completed after loading / departure (cannot establish readiness)",IF(AND(H190="Physical uplift",AG190&gt;Q190),"INVALID – recorded after the loading flight departed",IF(AG190&gt;Q190,"COMPLETE – LATE","COMPLETE"))))))))))))))))))))))))),IF(TRIM(U190)="Fail","FAIL – DISCREPANCY",IF(AND(TRIM(U190)&lt;&gt;"",TRIM(U190)&lt;&gt;"Not started",TRIM(U190)&lt;&gt;"In progress"),"INVALID – unrecognised status (use the list)",IF(AsOfUTC&gt;Q190,"OVERDUE",IF(N190="Clarification required","OPEN – CLARIFICATION","OPEN"))))))),"INVALID – error value in an input cell")</f>
        <v>OPEN</v>
      </c>
      <c r="AI190" s="61" t="n">
        <f aca="false">IF(OR(AH190="N/A – RULE",AH190="N/A – JUSTIFIED"),0,1)</f>
        <v>1</v>
      </c>
      <c r="AJ190" s="61" t="n">
        <f aca="false">IF(LEFT(AH190,8)="COMPLETE",1,0)</f>
        <v>0</v>
      </c>
      <c r="AK190" s="61" t="n">
        <f aca="false">IF(AND(AI190=1,AJ190=0,AsOfUTC&gt;Q190),1,0)</f>
        <v>0</v>
      </c>
      <c r="AL190" s="61" t="n">
        <f aca="false">IFERROR(IF(AND(AI190=1,OR(TRIM(U190)="Fail",AND(TRIM(AB190)&lt;&gt;"",TRIM(AB190)&lt;&gt;"Closed"),AND(ISNUMBER(AF190),AF190&lt;&gt;0,TRIM(U190)&lt;&gt;"Pass after CA"))),1,0),1)</f>
        <v>0</v>
      </c>
      <c r="AM190" s="61" t="n">
        <f aca="false">IF(LEFT(AH190,7)="INVALID",1,0)</f>
        <v>0</v>
      </c>
      <c r="AN190" s="61" t="n">
        <f aca="false">IF(AND(N190="Clarification required",AI190=1,AJ190=0),1,0)</f>
        <v>0</v>
      </c>
      <c r="AO190" s="61" t="str">
        <f aca="false">IF(AK190=1,SUM(AK$5:AK190),"")</f>
        <v/>
      </c>
      <c r="AP190" s="61" t="str">
        <f aca="false">IF(AL190=1,SUM(AL$5:AL190),"")</f>
        <v/>
      </c>
      <c r="AQ190" s="61" t="n">
        <v>0</v>
      </c>
      <c r="AR190" s="61" t="n">
        <v>0</v>
      </c>
      <c r="AS190" s="61" t="n">
        <v>0</v>
      </c>
      <c r="AT190" s="61" t="n">
        <v>0</v>
      </c>
      <c r="AU190" s="61" t="str">
        <f aca="false">SUBSTITUTE(SUBSTITUTE(SUBSTITUTE(SUBSTITUTE(SUBSTITUTE(SUBSTITUTE(SUBSTITUTE(SUBSTITUTE(SUBSTITUTE(SUBSTITUTE(SUBSTITUTE(SUBSTITUTE(SUBSTITUTE(SUBSTITUTE(SUBSTITUTE(SUBSTITUTE(LOWER(T190&amp;""),CHAR(10),""),CHAR(13),""),CHAR(9),""),CHAR(160),"")," ",""),".",""),"-",""),"/",""),"?",""),"_",""),",",""),"[",""),"]",""),"(",""),")",""),"*","")</f>
        <v/>
      </c>
      <c r="AV190" s="61" t="str">
        <f aca="false">SUBSTITUTE(SUBSTITUTE(SUBSTITUTE(SUBSTITUTE(SUBSTITUTE(SUBSTITUTE(SUBSTITUTE(SUBSTITUTE(SUBSTITUTE(SUBSTITUTE(SUBSTITUTE(SUBSTITUTE(SUBSTITUTE(SUBSTITUTE(SUBSTITUTE(SUBSTITUTE(LOWER(V190&amp;""),CHAR(10),""),CHAR(13),""),CHAR(9),""),CHAR(160),"")," ",""),".",""),"-",""),"/",""),"?",""),"_",""),",",""),"[",""),"]",""),"(",""),")",""),"*","")</f>
        <v/>
      </c>
      <c r="AW190" s="61" t="str">
        <f aca="false">SUBSTITUTE(SUBSTITUTE(SUBSTITUTE(SUBSTITUTE(SUBSTITUTE(SUBSTITUTE(SUBSTITUTE(SUBSTITUTE(SUBSTITUTE(SUBSTITUTE(SUBSTITUTE(SUBSTITUTE(SUBSTITUTE(SUBSTITUTE(SUBSTITUTE(SUBSTITUTE(LOWER(Z190&amp;""),CHAR(10),""),CHAR(13),""),CHAR(9),""),CHAR(160),"")," ",""),".",""),"-",""),"/",""),"?",""),"_",""),",",""),"[",""),"]",""),"(",""),")",""),"*","")</f>
        <v/>
      </c>
      <c r="AX190" s="61" t="str">
        <f aca="false">SUBSTITUTE(SUBSTITUTE(SUBSTITUTE(SUBSTITUTE(SUBSTITUTE(SUBSTITUTE(SUBSTITUTE(SUBSTITUTE(SUBSTITUTE(SUBSTITUTE(SUBSTITUTE(SUBSTITUTE(SUBSTITUTE(SUBSTITUTE(SUBSTITUTE(SUBSTITUTE(LOWER(AE190&amp;""),CHAR(10),""),CHAR(13),""),CHAR(9),""),CHAR(160),"")," ",""),".",""),"-",""),"/",""),"?",""),"_",""),",",""),"[",""),"]",""),"(",""),")",""),"*","")</f>
        <v/>
      </c>
      <c r="AY190" s="61" t="str">
        <f aca="false">SUBSTITUTE(SUBSTITUTE(SUBSTITUTE(SUBSTITUTE(SUBSTITUTE(SUBSTITUTE(SUBSTITUTE(SUBSTITUTE(SUBSTITUTE(SUBSTITUTE(SUBSTITUTE(SUBSTITUTE(SUBSTITUTE(SUBSTITUTE(SUBSTITUTE(SUBSTITUTE(LOWER(W190&amp;""),CHAR(10),""),CHAR(13),""),CHAR(9),""),CHAR(160),"")," ",""),".",""),"-",""),"/",""),"?",""),"_",""),",",""),"[",""),"]",""),"(",""),")",""),"*","")</f>
        <v/>
      </c>
      <c r="AZ190" s="61" t="str">
        <f aca="false">SUBSTITUTE(SUBSTITUTE(SUBSTITUTE(SUBSTITUTE(SUBSTITUTE(SUBSTITUTE(SUBSTITUTE(SUBSTITUTE(SUBSTITUTE(SUBSTITUTE(SUBSTITUTE(SUBSTITUTE(SUBSTITUTE(SUBSTITUTE(SUBSTITUTE(SUBSTITUTE(LOWER(AC190&amp;""),CHAR(10),""),CHAR(13),""),CHAR(9),""),CHAR(160),"")," ",""),".",""),"-",""),"/",""),"?",""),"_",""),",",""),"[",""),"]",""),"(",""),")",""),"*","")</f>
        <v/>
      </c>
      <c r="BA190" s="61" t="str">
        <f aca="false">SUBSTITUTE(SUBSTITUTE(SUBSTITUTE(SUBSTITUTE(SUBSTITUTE(SUBSTITUTE(SUBSTITUTE(SUBSTITUTE(SUBSTITUTE(SUBSTITUTE(SUBSTITUTE(SUBSTITUTE(SUBSTITUTE(SUBSTITUTE(SUBSTITUTE(SUBSTITUTE(LOWER(AA190&amp;""),CHAR(10),""),CHAR(13),""),CHAR(9),""),CHAR(160),"")," ",""),".",""),"-",""),"/",""),"?",""),"_",""),",",""),"[",""),"]",""),"(",""),")",""),"*","")</f>
        <v/>
      </c>
      <c r="BB190" s="61" t="str">
        <f aca="false">IF(AND(TRIM(U190)="Pass",ISNUMBER(AF190)),IF(AF190&lt;&gt;0,"INVALID – qty variance: use Fail or Pass after CA",""),"")&amp;IF(AND(TRIM(U190)="Pass after CA",ISNUMBER(AF190)),IF(AF190&lt;&gt;0,"INVALID – after the corrective action the actual qty must equal expected (update Actual)",""),"")&amp;IF(AND(TRIM(U190)="Pass",TRIM(AB190)&lt;&gt;"",TRIM(AB190)&lt;&gt;"Closed"),"INVALID – corrective action not closed: use Fail, then Pass after CA","")&amp;IF(AND(LEN(BA190)&gt;=2,ISNA(MATCH(LEFT(BA190,255),L_Placeholder,0)),TRIM(AB190)=""),"INVALID – CA status missing for the recorded corrective action","")&amp;IF(AND(TRIM(U190)="Pass after CA",OR(OR(LEN(BA190)&lt;5,ISNUMBER(MATCH(BA190,L_Placeholder,0))),TRIM(AB190)&lt;&gt;"Closed")),"INVALID – corrective action not recorded/closed","")</f>
        <v/>
      </c>
      <c r="BC190" s="61" t="str">
        <f aca="false">" "&amp;TRIM(SUBSTITUTE(SUBSTITUTE(SUBSTITUTE(SUBSTITUTE(SUBSTITUTE(SUBSTITUTE(SUBSTITUTE(SUBSTITUTE(SUBSTITUTE(SUBSTITUTE(SUBSTITUTE(SUBSTITUTE(SUBSTITUTE(SUBSTITUTE(SUBSTITUTE(SUBSTITUTE(SUBSTITUTE(SUBSTITUTE(SUBSTITUTE(SUBSTITUTE(SUBSTITUTE(SUBSTITUTE(SUBSTITUTE(SUBSTITUTE(LOWER(V190&amp;""),CHAR(10)," "),CHAR(13)," "),CHAR(9)," "),CHAR(160)," "),"."," "),","," "),"-"," "),"/"," "),"("," "),")"," "),":"," "),";"," "),"_"," "),"–"," "),"?"," "),"!"," "),"*"," "),"["," "),"]"," "),"'"," "),"#"," "),"+"," "),"&amp;"," "),"\"," "))&amp;" "</f>
        <v>  </v>
      </c>
      <c r="BD190" s="61" t="str">
        <f aca="false">" "&amp;TRIM(SUBSTITUTE(SUBSTITUTE(SUBSTITUTE(SUBSTITUTE(SUBSTITUTE(SUBSTITUTE(SUBSTITUTE(SUBSTITUTE(SUBSTITUTE(SUBSTITUTE(SUBSTITUTE(SUBSTITUTE(SUBSTITUTE(SUBSTITUTE(SUBSTITUTE(SUBSTITUTE(SUBSTITUTE(SUBSTITUTE(SUBSTITUTE(SUBSTITUTE(SUBSTITUTE(SUBSTITUTE(SUBSTITUTE(SUBSTITUTE(LOWER(Z190&amp;""),CHAR(10)," "),CHAR(13)," "),CHAR(9)," "),CHAR(160)," "),"."," "),","," "),"-"," "),"/"," "),"("," "),")"," "),":"," "),";"," "),"_"," "),"–"," "),"?"," "),"!"," "),"*"," "),"["," "),"]"," "),"'"," "),"#"," "),"+"," "),"&amp;"," "),"\"," "))&amp;" "</f>
        <v>  </v>
      </c>
      <c r="BE190" s="61" t="str">
        <f aca="false">" "&amp;TRIM(SUBSTITUTE(SUBSTITUTE(SUBSTITUTE(SUBSTITUTE(SUBSTITUTE(SUBSTITUTE(SUBSTITUTE(SUBSTITUTE(SUBSTITUTE(SUBSTITUTE(SUBSTITUTE(SUBSTITUTE(SUBSTITUTE(SUBSTITUTE(SUBSTITUTE(SUBSTITUTE(SUBSTITUTE(SUBSTITUTE(SUBSTITUTE(SUBSTITUTE(SUBSTITUTE(SUBSTITUTE(SUBSTITUTE(SUBSTITUTE(LOWER(W190&amp;""),CHAR(10)," "),CHAR(13)," "),CHAR(9)," "),CHAR(160)," "),"."," "),","," "),"-"," "),"/"," "),"("," "),")"," "),":"," "),";"," "),"_"," "),"–"," "),"?"," "),"!"," "),"*"," "),"["," "),"]"," "),"'"," "),"#"," "),"+"," "),"&amp;"," "),"\"," "))&amp;" "</f>
        <v>  </v>
      </c>
      <c r="BF190" s="61" t="str">
        <f aca="false">" "&amp;TRIM(SUBSTITUTE(SUBSTITUTE(SUBSTITUTE(SUBSTITUTE(SUBSTITUTE(SUBSTITUTE(SUBSTITUTE(SUBSTITUTE(SUBSTITUTE(SUBSTITUTE(SUBSTITUTE(SUBSTITUTE(SUBSTITUTE(SUBSTITUTE(SUBSTITUTE(SUBSTITUTE(SUBSTITUTE(SUBSTITUTE(SUBSTITUTE(SUBSTITUTE(SUBSTITUTE(SUBSTITUTE(SUBSTITUTE(SUBSTITUTE(LOWER(AC190&amp;""),CHAR(10)," "),CHAR(13)," "),CHAR(9)," "),CHAR(160)," "),"."," "),","," "),"-"," "),"/"," "),"("," "),")"," "),":"," "),";"," "),"_"," "),"–"," "),"?"," "),"!"," "),"*"," "),"["," "),"]"," "),"'"," "),"#"," "),"+"," "),"&amp;"," "),"\"," "))&amp;" "</f>
        <v>  </v>
      </c>
      <c r="BG190" s="61" t="n">
        <f aca="false">IFERROR(IF(AND(TRIM(U190)="Pass",SUMPRODUCT((LEN(BC190)-LEN(SUBSTITUTE(BC190," "&amp;L_ResultBad&amp;" "," ")))/(LEN(L_ResultBad)+1))&gt;SUMPRODUCT((LEN(BC190)-LEN(SUBSTITUTE(BC190," "&amp;L_NegPhrase&amp;" "," ")))/(LEN(L_NegPhrase)+1))),1,0),0)</f>
        <v>0</v>
      </c>
      <c r="BH190" s="61" t="n">
        <f aca="false">IFERROR(IF(SUMPRODUCT((LEN(BC190)-LEN(SUBSTITUTE(BC190," "&amp;L_Pending&amp;" "," ")))/(LEN(L_Pending)+1))&gt;SUMPRODUCT((LEN(BC190)-LEN(SUBSTITUTE(BC190," "&amp;L_PendNeg&amp;" "," ")))/(LEN(L_PendNeg)+1))+SUMPRODUCT((LEN(BC190)-LEN(SUBSTITUTE(BC190," "&amp;L_PendPrep&amp;" "," ")))/(LEN(L_PendPrep)+1)),1,0),1)</f>
        <v>0</v>
      </c>
      <c r="BI190" s="61" t="n">
        <f aca="false">IFERROR(IF(SUMPRODUCT((LEN(BD190)-LEN(SUBSTITUTE(BD190," "&amp;L_PendStrict&amp;" "," ")))/(LEN(L_PendStrict)+1))&gt;SUMPRODUCT((LEN(BD190)-LEN(SUBSTITUTE(BD190," "&amp;L_PendNeg&amp;" "," ")))/(LEN(L_PendNeg)+1)),1,0),1)</f>
        <v>0</v>
      </c>
      <c r="BJ190" s="61" t="n">
        <f aca="false">IFERROR(IF(SUMPRODUCT((LEN(BE190)-LEN(SUBSTITUTE(BE190," "&amp;L_Pending&amp;" "," ")))/(LEN(L_Pending)+1))&gt;SUMPRODUCT((LEN(BE190)-LEN(SUBSTITUTE(BE190," "&amp;L_PendNeg&amp;" "," ")))/(LEN(L_PendNeg)+1))+SUMPRODUCT((LEN(BE190)-LEN(SUBSTITUTE(BE190," "&amp;L_PendPrep&amp;" "," ")))/(LEN(L_PendPrep)+1)),1,0),1)</f>
        <v>0</v>
      </c>
      <c r="BK190" s="61" t="n">
        <f aca="false">IFERROR(IF(SUMPRODUCT((LEN(BF190)-LEN(SUBSTITUTE(BF190," "&amp;L_PendStrict&amp;" "," ")))/(LEN(L_PendStrict)+1))&gt;SUMPRODUCT((LEN(BF190)-LEN(SUBSTITUTE(BF190," "&amp;L_PendNeg&amp;" "," ")))/(LEN(L_PendNeg)+1)),1,0),1)</f>
        <v>0</v>
      </c>
      <c r="BL190" s="61" t="n">
        <f aca="false">IF(ISNA(MATCH(TRIM(S190),L_EvidenceType,0)),0,BZ190)</f>
        <v>0</v>
      </c>
      <c r="BM190" s="61" t="str">
        <f aca="false">SUBSTITUTE(SUBSTITUTE(SUBSTITUTE(SUBSTITUTE(SUBSTITUTE(SUBSTITUTE(SUBSTITUTE(SUBSTITUTE(SUBSTITUTE(LOWER(Z190&amp;""),"1","0"),"2","0"),"3","0"),"4","0"),"5","0"),"6","0"),"7","0"),"8","0"),"9","0")</f>
        <v/>
      </c>
      <c r="BN190" s="61" t="str">
        <f aca="false">SUBSTITUTE(SUBSTITUTE(SUBSTITUTE(SUBSTITUTE(SUBSTITUTE(SUBSTITUTE(SUBSTITUTE(SUBSTITUTE(SUBSTITUTE(SUBSTITUTE(SUBSTITUTE(SUBSTITUTE(SUBSTITUTE(SUBSTITUTE(SUBSTITUTE(SUBSTITUTE(SUBSTITUTE(SUBSTITUTE(SUBSTITUTE(SUBSTITUTE(SUBSTITUTE(SUBSTITUTE(SUBSTITUTE(SUBSTITUTE(SUBSTITUTE(BM190,"b","a"),"c","a"),"d","a"),"e","a"),"f","a"),"g","a"),"h","a"),"i","a"),"j","a"),"k","a"),"l","a"),"m","a"),"n","a"),"o","a"),"p","a"),"q","a"),"r","a"),"s","a"),"t","a"),"u","a"),"v","a"),"w","a"),"x","a"),"y","a"),"z","a")</f>
        <v/>
      </c>
      <c r="BO190" s="61" t="str">
        <f aca="false">SUBSTITUTE(SUBSTITUTE(SUBSTITUTE(SUBSTITUTE(SUBSTITUTE(SUBSTITUTE(SUBSTITUTE(SUBSTITUTE(SUBSTITUTE(LOWER(W190&amp;""),"1","0"),"2","0"),"3","0"),"4","0"),"5","0"),"6","0"),"7","0"),"8","0"),"9","0")</f>
        <v/>
      </c>
      <c r="BP190" s="61" t="str">
        <f aca="false">SUBSTITUTE(SUBSTITUTE(SUBSTITUTE(SUBSTITUTE(SUBSTITUTE(SUBSTITUTE(SUBSTITUTE(SUBSTITUTE(SUBSTITUTE(SUBSTITUTE(SUBSTITUTE(SUBSTITUTE(SUBSTITUTE(SUBSTITUTE(SUBSTITUTE(SUBSTITUTE(SUBSTITUTE(SUBSTITUTE(SUBSTITUTE(SUBSTITUTE(SUBSTITUTE(SUBSTITUTE(SUBSTITUTE(SUBSTITUTE(SUBSTITUTE(BO190,"b","a"),"c","a"),"d","a"),"e","a"),"f","a"),"g","a"),"h","a"),"i","a"),"j","a"),"k","a"),"l","a"),"m","a"),"n","a"),"o","a"),"p","a"),"q","a"),"r","a"),"s","a"),"t","a"),"u","a"),"v","a"),"w","a"),"x","a"),"y","a"),"z","a")</f>
        <v/>
      </c>
      <c r="BQ190" s="61" t="n">
        <f aca="false">IFERROR(IF(AND(ISERROR(SEARCH(" mh"," "&amp;LOWER(W190))),ISNA(MATCH(LEFT(TRIM(BP190),255),{"0000a","000a","00a","0000aa","000aa","00aa","0aa","0000aaa","000aaa","00a00","0a00","0000-0000","00:00","a00","a0","00.00.0000","00/00/0000","00-00-0000","0000-00-00","0000/00/00","0000.00.00","00.00.00","00/00/00","00-00-00","0.00.0000","0/00/0000","0-00-0000"},0)),ISNA(MATCH(LEFT(TRIM(CA190),255),{"0000a","000a","00a","0000aa","000aa","00aa","0aa","0000aaa","000aaa","00a00","0a00","0000-0000","00:00","a00","a0","00.00.0000","00/00/0000","00-00-0000","0000-00-00","0000/00/00","0000.00.00","00.00.00","00/00/00","00-00-00","0.00.0000","0/00/0000","0-00-0000"},0)),LEN(CB190)&gt;=3,NOT(OR(SUBSTITUTE(CB190,"0","")="",AND(LEN(CB190)&gt;=4,CB190=REPT(LEFT(CB190),LEN(CB190))),ISNUMBER(MATCH(CB190,{"123","1234","12345","123456","1234567","12345678","0123","01234","012345","98765","987654","54321"},0)),AND(LEN(CB190)=8,LEFT(CB190,3)="202"))),OR(AND((LEN(CA190)-LEN(SUBSTITUTE(CA190,"a","")))&gt;=1,SUMPRODUCT(--ISNUMBER(SEARCH({"a0","a-0","a_0","a/0","a.0","a#0","0a","0-a","0_a","0/a"},BP190)))&gt;0),ISNUMBER(SEARCH("000000",BP190)))),1,0),0)</f>
        <v>0</v>
      </c>
      <c r="BR190" s="61" t="n">
        <f aca="false">IFERROR(LEN(SUBSTITUTE(CC190," ",""))-SUMPRODUCT((LEN(CC190)-LEN(SUBSTITUTE(CC190," "&amp;L_Role&amp;" "," ")))/(LEN(L_Role)+1)*LEN(L_Role)),0)</f>
        <v>0</v>
      </c>
      <c r="BS190" s="61" t="n">
        <f aca="false">IFERROR(LEN(SUBSTITUTE(CD190," ",""))-SUMPRODUCT((LEN(CD190)-LEN(SUBSTITUTE(CD190," "&amp;L_Role&amp;" "," ")))/(LEN(L_Role)+1)*LEN(L_Role)),0)</f>
        <v>0</v>
      </c>
      <c r="BT1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190,"revision",""),"version",""),"jan",""),"feb",""),"mar",""),"apr",""),"may",""),"jun",""),"jul",""),"aug",""),"sep",""),"oct",""),"nov",""),"dec",""),"utc",""),"gmt",""),"myt",""),"bst",""),"rev",""),"ver",""),"b","a"),"c","a"),"d","a"),"e","a"),"f","a"),"g","a"),"h","a"),"i","a"),"j","a"),"k","a"),"l","a"),"m","a"),"n","a"),"o","a"),"p","a"),"q","a"),"r","a"),"s","a"),"t","a"),"u","a"),"v","a"),"w","a"),"x","a"),"y","a"),"z","a")</f>
        <v/>
      </c>
      <c r="BU190" s="61" t="str">
        <f aca="false">SUBSTITUTE(SUBSTITUTE(SUBSTITUTE(SUBSTITUTE(SUBSTITUTE(SUBSTITUTE(SUBSTITUTE(SUBSTITUTE(SUBSTITUTE(SUBSTITUTE(LEFT(BM190,FIND("0",BM190&amp;"0")-1),"-",""),"_",""),"/",""),".",""),"#",""),"\\",""),":","")," ",""),"(",""),")","")</f>
        <v/>
      </c>
      <c r="BV190" s="61" t="n">
        <f aca="false">0</f>
        <v>0</v>
      </c>
      <c r="BW1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190&amp;""),"a",""),"b",""),"c",""),"d",""),"e",""),"f",""),"g",""),"h",""),"i",""),"j",""),"k",""),"l",""),"m",""),"n",""),"o",""),"p",""),"q",""),"r",""),"s",""),"t",""),"u",""),"v",""),"w",""),"x",""),"y",""),"z",""),"-",""),"_",""),"/",""),".",""),"#",""),"\\",""),":","")," ",""),"(",""),")","")</f>
        <v/>
      </c>
      <c r="BX190" s="61" t="str">
        <f aca="false">SUBSTITUTE(SUBSTITUTE(SUBSTITUTE(SUBSTITUTE(SUBSTITUTE(SUBSTITUTE(SUBSTITUTE(SUBSTITUTE(SUBSTITUTE(SUBSTITUTE(SUBSTITUTE(BM190,"0",""),"-",""),"_",""),"/",""),".",""),"#",""),"\\",""),":","")," ",""),"(",""),")","")</f>
        <v/>
      </c>
      <c r="BY190" s="62" t="n">
        <f aca="false">Q190-T12EarlyH/24</f>
        <v>46309.6388888889</v>
      </c>
      <c r="BZ190" s="61" t="n">
        <f aca="false">IFERROR(IF(IF(TRIM(S190)="Link / file path",AND(LEN(TRIM(Z190))&gt;=5,SUMPRODUCT(--ISNUMBER(SEARCH({"http","www.","\\",":\",".pdf",".jpg",".jpeg",".png",".heic",".xls",".doc",".msg",".eml",".ppt",".txt",".zip"},Z190)))&gt;0),AND(ISERROR(FIND(" ",TRIM(Z190))),NOT(OR(SUMPRODUCT(--ISNUMBER(FIND({",",";","&amp;","+"},Z190)))&gt;0,SUMPRODUCT(--ISNUMBER(SEARCH({"0/aa","0\\aa"},BN190)))&gt;0)),NOT(SUMPRODUCT(--ISNUMBER(SEARCH({"http","www.","\\",":\",".pdf",".jpg",".jpeg",".png",".heic",".xls",".doc",".msg",".eml",".ppt",".txt",".zip"},Z190)))&gt;0),NOT(LOWER(TRIM(Z190))=LOWER(Flights!$F$10)),ISNA(MATCH(BU190,{"mh","rev","revision","ver","version","v","r","a","b","seat","tray","row","gate","bay","stand","page","pg","item","line","no","cart","galley","flight","flt","table","box","bag","oven","etd","eta","std","sta","atd","ata","qty","pax","x","time","tel","ph","mob","day","wk","week","utc","gmt","myt","lt"},0)),NOT(OR(ISNUMBER(MATCH(LEFT(BN190,255),{"0000a","000a","00a","0000aa","000aa","00aa","0aa","0000aaa","000aaa","00a00","0a00","0000-0000","00:00","a00","a0","00.00.0000","00/00/0000","00-00-0000","0000-00-00","0000/00/00","0000.00.00","00.00.00","00/00/00","00-00-00","0.00.0000","0/00/0000","0-00-0000"},0)),ISNUMBER(MATCH(LEFT(BT190,255),{"0000a","000a","00a","0000aa","000aa","00aa","0aa","0000aaa","000aaa","00a00","0a00","0000-0000","00:00","a00","a0","00.00.0000","00/00/0000","00-00-0000","0000-00-00","0000/00/00","0000.00.00","00.00.00","00/00/00","00-00-00","0.00.0000","0/00/0000","0-00-0000"},0)))),NOT(OR(AND(BW190&lt;&gt;"",SUBSTITUTE(BW190,"0","")=""),AND(LEN(BW190)&gt;=4,BW190=REPT(LEFT(BW190),LEN(BW190))),ISNUMBER(MATCH(BW190,{"123","1234","12345","123456","1234567","12345678","0123","01234","012345","98765","987654","54321"},0)),ISNUMBER(MATCH(BX190,{"x","xx","xxx","xxxx","xxxxx","abc","abcd","nil","na","nan","test","tbc","tba","tbd","dummy","sample","example","eg","zz","zzz","none","null","xyz","qwe","asd","id","ref"},0)),AND(LEN(BW190)=8,BX190="",OR(LEFT(BW190,3)="202",ISNUMBER(MATCH(RIGHT(BW190,4),{"2025","2026","2027"},0)))))),OR(AND((LEN(BT190)-LEN(SUBSTITUTE(BT190,"a","")))&gt;=1,(LEN(BN190)-LEN(SUBSTITUTE(BN190,"0","")))&gt;=2,SUMPRODUCT(--ISNUMBER(SEARCH({"a0","a-0","a_0","a/0","a.0","a#0","0a","0-a","0_a","0/a"},BN190)))&gt;0),AND((LEN(BN190)-LEN(SUBSTITUTE(BN190,"a","")))=0,(LEN(BN190)-LEN(SUBSTITUTE(BN190,"0","")))&gt;=5)))),1,0),0)</f>
        <v>0</v>
      </c>
      <c r="CA1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190,"revision",""),"version",""),"jan",""),"feb",""),"mar",""),"apr",""),"may",""),"jun",""),"jul",""),"aug",""),"sep",""),"oct",""),"nov",""),"dec",""),"utc",""),"gmt",""),"myt",""),"bst",""),"rev",""),"ver",""),"b","a"),"c","a"),"d","a"),"e","a"),"f","a"),"g","a"),"h","a"),"i","a"),"j","a"),"k","a"),"l","a"),"m","a"),"n","a"),"o","a"),"p","a"),"q","a"),"r","a"),"s","a"),"t","a"),"u","a"),"v","a"),"w","a"),"x","a"),"y","a"),"z","a")</f>
        <v/>
      </c>
      <c r="CB1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190&amp;""),"a",""),"b",""),"c",""),"d",""),"e",""),"f",""),"g",""),"h",""),"i",""),"j",""),"k",""),"l",""),"m",""),"n",""),"o",""),"p",""),"q",""),"r",""),"s",""),"t",""),"u",""),"v",""),"w",""),"x",""),"y",""),"z",""),"-",""),"_",""),"/",""),".",""),"#",""),"\\",""),":","")," ",""),"(",""),")","")</f>
        <v/>
      </c>
      <c r="CC190" s="0" t="str">
        <f aca="false">" "&amp;TRIM(SUBSTITUTE(SUBSTITUTE(SUBSTITUTE(SUBSTITUTE(SUBSTITUTE(SUBSTITUTE(SUBSTITUTE(SUBSTITUTE(SUBSTITUTE(SUBSTITUTE(SUBSTITUTE(SUBSTITUTE(SUBSTITUTE(SUBSTITUTE(SUBSTITUTE(SUBSTITUTE(SUBSTITUTE(SUBSTITUTE(SUBSTITUTE(SUBSTITUTE(SUBSTITUTE(SUBSTITUTE(SUBSTITUTE(SUBSTITUTE(LOWER(T190&amp;""),CHAR(10)," "),CHAR(13)," "),CHAR(9)," "),CHAR(160)," "),"."," "),","," "),"-"," "),"/"," "),"("," "),")"," "),":"," "),";"," "),"_"," "),"–"," "),"?"," "),"!"," "),"*"," "),"["," "),"]"," "),"'"," "),"#"," "),"+"," "),"&amp;"," "),"\"," "))&amp;" "</f>
        <v>  </v>
      </c>
      <c r="CD190" s="0" t="str">
        <f aca="false">" "&amp;TRIM(SUBSTITUTE(SUBSTITUTE(SUBSTITUTE(SUBSTITUTE(SUBSTITUTE(SUBSTITUTE(SUBSTITUTE(SUBSTITUTE(SUBSTITUTE(SUBSTITUTE(SUBSTITUTE(SUBSTITUTE(SUBSTITUTE(SUBSTITUTE(SUBSTITUTE(SUBSTITUTE(SUBSTITUTE(SUBSTITUTE(SUBSTITUTE(SUBSTITUTE(SUBSTITUTE(SUBSTITUTE(SUBSTITUTE(SUBSTITUTE(LOWER(AE190&amp;""),CHAR(10)," "),CHAR(13)," "),CHAR(9)," "),CHAR(160)," "),"."," "),","," "),"-"," "),"/"," "),"("," "),")"," "),":"," "),";"," "),"_"," "),"–"," "),"?"," "),"!"," "),"*"," "),"["," "),"]"," "),"'"," "),"#"," "),"+"," "),"&amp;"," "),"\"," "))&amp;" "</f>
        <v>  </v>
      </c>
      <c r="CE190" s="68" t="n">
        <f aca="false">IFERROR(IF(AND(LEN(AU190)&gt;0,LEN(AU190)=LEN(AX190),OR(TRIM(MID(SUBSTITUTE(TRIM(CC190)," ",REPT(" ",60)),1,60))="",ISNUMBER(SEARCH(" "&amp;TRIM(MID(SUBSTITUTE(TRIM(CC190)," ",REPT(" ",60)),1,60))&amp;" ",CD190))),OR(TRIM(MID(SUBSTITUTE(TRIM(CC190)," ",REPT(" ",60)),61,60))="",ISNUMBER(SEARCH(" "&amp;TRIM(MID(SUBSTITUTE(TRIM(CC190)," ",REPT(" ",60)),61,60))&amp;" ",CD190))),OR(TRIM(MID(SUBSTITUTE(TRIM(CC190)," ",REPT(" ",60)),121,60))="",ISNUMBER(SEARCH(" "&amp;TRIM(MID(SUBSTITUTE(TRIM(CC190)," ",REPT(" ",60)),121,60))&amp;" ",CD190)))),1,0),0)</f>
        <v>0</v>
      </c>
      <c r="CG190" s="68" t="n">
        <f aca="false">IFERROR(LEN(SUBSTITUTE(BF190," ",""))-SUMPRODUCT((LEN(BF190)-LEN(SUBSTITUTE(BF190," "&amp;L_NAFiller&amp;" "," ")))/(LEN(L_NAFiller)+1)*LEN(L_NAFiller)),0)</f>
        <v>0</v>
      </c>
    </row>
    <row r="191" customFormat="false" ht="54" hidden="false" customHeight="true" outlineLevel="0" collapsed="false">
      <c r="A191" s="57" t="s">
        <v>745</v>
      </c>
      <c r="B191" s="57" t="s">
        <v>231</v>
      </c>
      <c r="C191" s="57" t="str">
        <f aca="false">Flights!$F$10</f>
        <v>MH0002</v>
      </c>
      <c r="D191" s="58" t="n">
        <f aca="false">Flights!$D$10</f>
        <v>46310</v>
      </c>
      <c r="E191" s="57" t="str">
        <f aca="false">Flights!$G$10&amp;"-"&amp;Flights!$H$10</f>
        <v>KUL-LHR</v>
      </c>
      <c r="F191" s="57" t="str">
        <f aca="false">Flights!$K$10</f>
        <v>BC</v>
      </c>
      <c r="G191" s="57" t="s">
        <v>420</v>
      </c>
      <c r="H191" s="57" t="s">
        <v>378</v>
      </c>
      <c r="I191" s="57" t="s">
        <v>499</v>
      </c>
      <c r="J191" s="57" t="s">
        <v>518</v>
      </c>
      <c r="K191" s="67" t="s">
        <v>616</v>
      </c>
      <c r="L191" s="67" t="s">
        <v>746</v>
      </c>
      <c r="M191" s="67" t="s">
        <v>451</v>
      </c>
      <c r="N191" s="67" t="s">
        <v>383</v>
      </c>
      <c r="O191" s="67" t="s">
        <v>521</v>
      </c>
      <c r="P191" s="57" t="s">
        <v>187</v>
      </c>
      <c r="Q191" s="59" t="n">
        <f aca="false">ROUND((Flights!$AE$10)*1440,0)/1440</f>
        <v>46310.1388888889</v>
      </c>
      <c r="R191" s="59" t="n">
        <f aca="false">Q191+(IF(AND(INDEX(TZ_DSTS,MATCH(P191,TZ_STN,0))&lt;&gt;"",Q191&gt;=INDEX(TZ_DSTS,MATCH(P191,TZ_STN,0)),Q191&lt;INDEX(TZ_DSTE,MATCH(P191,TZ_STN,0))),INDEX(TZ_DST,MATCH(P191,TZ_STN,0)),INDEX(TZ_STD,MATCH(P191,TZ_STN,0))))/24</f>
        <v>46310.4722222222</v>
      </c>
      <c r="S191" s="60"/>
      <c r="T191" s="60"/>
      <c r="U191" s="60"/>
      <c r="V191" s="60"/>
      <c r="W191" s="61"/>
      <c r="X191" s="60"/>
      <c r="Y191" s="60"/>
      <c r="Z191" s="60"/>
      <c r="AA191" s="60"/>
      <c r="AB191" s="60"/>
      <c r="AC191" s="60"/>
      <c r="AD191" s="66"/>
      <c r="AE191" s="60"/>
      <c r="AF191" s="61" t="str">
        <f aca="false">IF(AND(ISNUMBER(X191),ISNUMBER(Y191)),Y191-X191,"")</f>
        <v/>
      </c>
      <c r="AG191" s="62" t="str">
        <f aca="false">IF(ISNUMBER(AD191),AD191-(IF(AND(INDEX(TZ_DSTS,MATCH(P191,TZ_STN,0))&lt;&gt;"",(AD191-INDEX(TZ_STD,MATCH(P191,TZ_STN,0))/24)&gt;=INDEX(TZ_DSTS,MATCH(P191,TZ_STN,0)),(AD191-INDEX(TZ_STD,MATCH(P191,TZ_STN,0))/24)&lt;INDEX(TZ_DSTE,MATCH(P191,TZ_STN,0))),INDEX(TZ_DST,MATCH(P191,TZ_STN,0)),INDEX(TZ_STD,MATCH(P191,TZ_STN,0))))/24,"")</f>
        <v/>
      </c>
      <c r="AH191" s="65" t="str">
        <f aca="false">IFERROR(IF(N191="N/A – rule",IF(OR(TRIM(U191)="",TRIM(U191)="N/A",TRIM(U191)="Not started"),"N/A – RULE","INVALID – this check does not apply to this aircraft: clear the status (or correct the fleet on Flights)"),IF(TRIM(U191)="N/A",IF(AT191=0,"INVALID – N/A not permitted for this check",IF(AND(TRIM(AB191)&lt;&gt;"",TRIM(AB191)&lt;&gt;"Closed"),"INVALID – corrective action still open",IF(AND(NOT(OR(LEN(AZ191)&lt;15,ISNUMBER(MATCH(AZ191,L_Placeholder,0)))),BK191=0,CG191&gt;=8,NOT(OR(LEN(AU191)&lt;2,ISNUMBER(MATCH(AU191,L_Placeholder,0)))),BR191&gt;=3,NOT(OR(LEN(AX191)&lt;2,ISNUMBER(MATCH(AX191,L_Placeholder,0)))),BS191&gt;=3,TRIM(AE191)&lt;&gt;TRIM(T191),AX191&lt;&gt;AU191,CE191=0),"N/A – JUSTIFIED","INVALID – N/A needs a real, settled reason (not 'not applicable' / 'as above' / TBC), a named PIC and a different named verifier"))),IF(OR(TRIM(U191)="Pass",TRIM(U191)="Pass after CA"),IF(NOT(ISNUMBER(AD191)),"INVALID – completion time missing",IF(OR(OR(LEN(AU191)&lt;2,ISNUMBER(MATCH(AU191,L_Placeholder,0))),BR191&lt;3),"INVALID – PIC missing or not a named person (a role such as QA / CSM is not a name)",IF(OR(LEN(AV191)&lt;2,ISNUMBER(MATCH(AV191,L_Placeholder,0))),"INVALID – result / assessment missing",IF(OR(OR(LEN(AW191)&lt;3,ISNUMBER(MATCH(AW191,L_Placeholder,0))),SUMPRODUCT(--ISNUMBER(SEARCH(" "&amp;L_EvidencePhrase&amp;" ",BD191)))&gt;0,BI191=1),"INVALID – evidence missing, placeholder or not yet on file",IF(ISNA(MATCH(TRIM(S191),L_EvidenceType,0)),"INVALID – choose the evidence type from the list (column S)",IF(BL191=0,"INVALID – evidence ID must be the record's own ID only (e.g. SF-2210, IMG_2231, 1045521); a link / file name needs type 'Link / file path'",IF(OR(OR(LEN(AX191)&lt;2,ISNUMBER(MATCH(AX191,L_Placeholder,0))),BS191&lt;3),"INVALID – verifier missing or not a named person (a role such as QA / CSM is not a name)",IF(OR(AX191=AU191,CE191=1,AND(LEN(AU191)&gt;=4,ISNUMBER(SEARCH(AU191,AX191))),AND(LEN(AX191)&gt;=4,ISNUMBER(SEARCH(AX191,AU191)))),"INVALID – verifier must be a different, named person (not the PIC or a role)",IF(BH191=1,"INVALID – result not yet available (awaiting / TBC)",IF(BG191=1,"INVALID – result describes a problem: record Fail, then Pass after CA (or reword if it is not a problem)",IF(BV191=1,"INVALID – wording says not on board: an on-board confirmation needs the item loaded",IF(AND(AQ191=1,OR(OR(LEN(AY191)&lt;3,ISNUMBER(MATCH(AY191,L_Placeholder,0))),BJ191=1,BQ191=0)),"INVALID – batch ID missing, placeholder or not an ID (e.g. PASB-261008-BC-017)",IF(AND(AR191=1,OR(NOT(ISNUMBER(X191)),NOT(ISNUMBER(Y191)))),"INVALID – expected/actual qty missing",IF(AND(AR191=1,OR(X191&lt;=0,Y191&lt;0)),"INVALID – expected qty must be above 0 and actual not negative",IF(BB191&lt;&gt;"",BB191,IF(AND(AS191=1,Documents!$J$10&lt;&gt;"ON FILE"),"INVALID – GLD not on file (Documents sheet)",IF(AND(AS191=2,Documents!$O$10&lt;&gt;"ON FILE"),"INVALID – menu checklist not on file (Documents sheet)",IF(AND(AS191=3,NOT(ISNUMBER(Flights!$AX$10))),"INVALID – enter carrying flight KUL departure (Flights AX)",IF(AND(AS191=3,OR(Flights!$AZ$10&gt;Flights!$AA$10,Flights!$AX$10&lt;Flights!$AA$10-3)),"INVALID – carrying flight (Flights AX) cannot arrive before this leg's STD, or is over 3 days early",IF(AG191&gt;AsOfUTC,"INVALID – completion time is in the future",IF(AND(ISNUMBER(BY191),AG191&lt;BY191),IF(H191="Physical uplift","INVALID – before uplift window (cannot confirm loading)","INVALID – before valid window"),IF(AG191&gt;Flights!$AA$10,"INVALID – completed after departure (cannot establish readiness)",IF(AND(H191="Preparation",AG191&gt;=IF(ISNUMBER(Flights!$BA$10),MIN(Flights!$BA$10,Flights!$AA$10),Flights!$AA$10)),"INVALID – completed after loading / departure (cannot establish readiness)",IF(AND(H191="Physical uplift",AG191&gt;Q191),"INVALID – recorded after the loading flight departed",IF(AG191&gt;Q191,"COMPLETE – LATE","COMPLETE"))))))))))))))))))))))))),IF(TRIM(U191)="Fail","FAIL – DISCREPANCY",IF(AND(TRIM(U191)&lt;&gt;"",TRIM(U191)&lt;&gt;"Not started",TRIM(U191)&lt;&gt;"In progress"),"INVALID – unrecognised status (use the list)",IF(AsOfUTC&gt;Q191,"OVERDUE",IF(N191="Clarification required","OPEN – CLARIFICATION","OPEN"))))))),"INVALID – error value in an input cell")</f>
        <v>OPEN</v>
      </c>
      <c r="AI191" s="61" t="n">
        <f aca="false">IF(OR(AH191="N/A – RULE",AH191="N/A – JUSTIFIED"),0,1)</f>
        <v>1</v>
      </c>
      <c r="AJ191" s="61" t="n">
        <f aca="false">IF(LEFT(AH191,8)="COMPLETE",1,0)</f>
        <v>0</v>
      </c>
      <c r="AK191" s="61" t="n">
        <f aca="false">IF(AND(AI191=1,AJ191=0,AsOfUTC&gt;Q191),1,0)</f>
        <v>0</v>
      </c>
      <c r="AL191" s="61" t="n">
        <f aca="false">IFERROR(IF(AND(AI191=1,OR(TRIM(U191)="Fail",AND(TRIM(AB191)&lt;&gt;"",TRIM(AB191)&lt;&gt;"Closed"),AND(ISNUMBER(AF191),AF191&lt;&gt;0,TRIM(U191)&lt;&gt;"Pass after CA"))),1,0),1)</f>
        <v>0</v>
      </c>
      <c r="AM191" s="61" t="n">
        <f aca="false">IF(LEFT(AH191,7)="INVALID",1,0)</f>
        <v>0</v>
      </c>
      <c r="AN191" s="61" t="n">
        <f aca="false">IF(AND(N191="Clarification required",AI191=1,AJ191=0),1,0)</f>
        <v>0</v>
      </c>
      <c r="AO191" s="61" t="str">
        <f aca="false">IF(AK191=1,SUM(AK$5:AK191),"")</f>
        <v/>
      </c>
      <c r="AP191" s="61" t="str">
        <f aca="false">IF(AL191=1,SUM(AL$5:AL191),"")</f>
        <v/>
      </c>
      <c r="AQ191" s="61" t="n">
        <v>0</v>
      </c>
      <c r="AR191" s="61" t="n">
        <v>0</v>
      </c>
      <c r="AS191" s="61" t="n">
        <v>0</v>
      </c>
      <c r="AT191" s="61" t="n">
        <v>0</v>
      </c>
      <c r="AU191" s="61" t="str">
        <f aca="false">SUBSTITUTE(SUBSTITUTE(SUBSTITUTE(SUBSTITUTE(SUBSTITUTE(SUBSTITUTE(SUBSTITUTE(SUBSTITUTE(SUBSTITUTE(SUBSTITUTE(SUBSTITUTE(SUBSTITUTE(SUBSTITUTE(SUBSTITUTE(SUBSTITUTE(SUBSTITUTE(LOWER(T191&amp;""),CHAR(10),""),CHAR(13),""),CHAR(9),""),CHAR(160),"")," ",""),".",""),"-",""),"/",""),"?",""),"_",""),",",""),"[",""),"]",""),"(",""),")",""),"*","")</f>
        <v/>
      </c>
      <c r="AV191" s="61" t="str">
        <f aca="false">SUBSTITUTE(SUBSTITUTE(SUBSTITUTE(SUBSTITUTE(SUBSTITUTE(SUBSTITUTE(SUBSTITUTE(SUBSTITUTE(SUBSTITUTE(SUBSTITUTE(SUBSTITUTE(SUBSTITUTE(SUBSTITUTE(SUBSTITUTE(SUBSTITUTE(SUBSTITUTE(LOWER(V191&amp;""),CHAR(10),""),CHAR(13),""),CHAR(9),""),CHAR(160),"")," ",""),".",""),"-",""),"/",""),"?",""),"_",""),",",""),"[",""),"]",""),"(",""),")",""),"*","")</f>
        <v/>
      </c>
      <c r="AW191" s="61" t="str">
        <f aca="false">SUBSTITUTE(SUBSTITUTE(SUBSTITUTE(SUBSTITUTE(SUBSTITUTE(SUBSTITUTE(SUBSTITUTE(SUBSTITUTE(SUBSTITUTE(SUBSTITUTE(SUBSTITUTE(SUBSTITUTE(SUBSTITUTE(SUBSTITUTE(SUBSTITUTE(SUBSTITUTE(LOWER(Z191&amp;""),CHAR(10),""),CHAR(13),""),CHAR(9),""),CHAR(160),"")," ",""),".",""),"-",""),"/",""),"?",""),"_",""),",",""),"[",""),"]",""),"(",""),")",""),"*","")</f>
        <v/>
      </c>
      <c r="AX191" s="61" t="str">
        <f aca="false">SUBSTITUTE(SUBSTITUTE(SUBSTITUTE(SUBSTITUTE(SUBSTITUTE(SUBSTITUTE(SUBSTITUTE(SUBSTITUTE(SUBSTITUTE(SUBSTITUTE(SUBSTITUTE(SUBSTITUTE(SUBSTITUTE(SUBSTITUTE(SUBSTITUTE(SUBSTITUTE(LOWER(AE191&amp;""),CHAR(10),""),CHAR(13),""),CHAR(9),""),CHAR(160),"")," ",""),".",""),"-",""),"/",""),"?",""),"_",""),",",""),"[",""),"]",""),"(",""),")",""),"*","")</f>
        <v/>
      </c>
      <c r="AY191" s="61" t="str">
        <f aca="false">SUBSTITUTE(SUBSTITUTE(SUBSTITUTE(SUBSTITUTE(SUBSTITUTE(SUBSTITUTE(SUBSTITUTE(SUBSTITUTE(SUBSTITUTE(SUBSTITUTE(SUBSTITUTE(SUBSTITUTE(SUBSTITUTE(SUBSTITUTE(SUBSTITUTE(SUBSTITUTE(LOWER(W191&amp;""),CHAR(10),""),CHAR(13),""),CHAR(9),""),CHAR(160),"")," ",""),".",""),"-",""),"/",""),"?",""),"_",""),",",""),"[",""),"]",""),"(",""),")",""),"*","")</f>
        <v/>
      </c>
      <c r="AZ191" s="61" t="str">
        <f aca="false">SUBSTITUTE(SUBSTITUTE(SUBSTITUTE(SUBSTITUTE(SUBSTITUTE(SUBSTITUTE(SUBSTITUTE(SUBSTITUTE(SUBSTITUTE(SUBSTITUTE(SUBSTITUTE(SUBSTITUTE(SUBSTITUTE(SUBSTITUTE(SUBSTITUTE(SUBSTITUTE(LOWER(AC191&amp;""),CHAR(10),""),CHAR(13),""),CHAR(9),""),CHAR(160),"")," ",""),".",""),"-",""),"/",""),"?",""),"_",""),",",""),"[",""),"]",""),"(",""),")",""),"*","")</f>
        <v/>
      </c>
      <c r="BA191" s="61" t="str">
        <f aca="false">SUBSTITUTE(SUBSTITUTE(SUBSTITUTE(SUBSTITUTE(SUBSTITUTE(SUBSTITUTE(SUBSTITUTE(SUBSTITUTE(SUBSTITUTE(SUBSTITUTE(SUBSTITUTE(SUBSTITUTE(SUBSTITUTE(SUBSTITUTE(SUBSTITUTE(SUBSTITUTE(LOWER(AA191&amp;""),CHAR(10),""),CHAR(13),""),CHAR(9),""),CHAR(160),"")," ",""),".",""),"-",""),"/",""),"?",""),"_",""),",",""),"[",""),"]",""),"(",""),")",""),"*","")</f>
        <v/>
      </c>
      <c r="BB191" s="61" t="str">
        <f aca="false">IF(AND(TRIM(U191)="Pass",ISNUMBER(AF191)),IF(AF191&lt;&gt;0,"INVALID – qty variance: use Fail or Pass after CA",""),"")&amp;IF(AND(TRIM(U191)="Pass after CA",ISNUMBER(AF191)),IF(AF191&lt;&gt;0,"INVALID – after the corrective action the actual qty must equal expected (update Actual)",""),"")&amp;IF(AND(TRIM(U191)="Pass",TRIM(AB191)&lt;&gt;"",TRIM(AB191)&lt;&gt;"Closed"),"INVALID – corrective action not closed: use Fail, then Pass after CA","")&amp;IF(AND(LEN(BA191)&gt;=2,ISNA(MATCH(LEFT(BA191,255),L_Placeholder,0)),TRIM(AB191)=""),"INVALID – CA status missing for the recorded corrective action","")&amp;IF(AND(TRIM(U191)="Pass after CA",OR(OR(LEN(BA191)&lt;5,ISNUMBER(MATCH(BA191,L_Placeholder,0))),TRIM(AB191)&lt;&gt;"Closed")),"INVALID – corrective action not recorded/closed","")</f>
        <v/>
      </c>
      <c r="BC191" s="61" t="str">
        <f aca="false">" "&amp;TRIM(SUBSTITUTE(SUBSTITUTE(SUBSTITUTE(SUBSTITUTE(SUBSTITUTE(SUBSTITUTE(SUBSTITUTE(SUBSTITUTE(SUBSTITUTE(SUBSTITUTE(SUBSTITUTE(SUBSTITUTE(SUBSTITUTE(SUBSTITUTE(SUBSTITUTE(SUBSTITUTE(SUBSTITUTE(SUBSTITUTE(SUBSTITUTE(SUBSTITUTE(SUBSTITUTE(SUBSTITUTE(SUBSTITUTE(SUBSTITUTE(LOWER(V191&amp;""),CHAR(10)," "),CHAR(13)," "),CHAR(9)," "),CHAR(160)," "),"."," "),","," "),"-"," "),"/"," "),"("," "),")"," "),":"," "),";"," "),"_"," "),"–"," "),"?"," "),"!"," "),"*"," "),"["," "),"]"," "),"'"," "),"#"," "),"+"," "),"&amp;"," "),"\"," "))&amp;" "</f>
        <v>  </v>
      </c>
      <c r="BD191" s="61" t="str">
        <f aca="false">" "&amp;TRIM(SUBSTITUTE(SUBSTITUTE(SUBSTITUTE(SUBSTITUTE(SUBSTITUTE(SUBSTITUTE(SUBSTITUTE(SUBSTITUTE(SUBSTITUTE(SUBSTITUTE(SUBSTITUTE(SUBSTITUTE(SUBSTITUTE(SUBSTITUTE(SUBSTITUTE(SUBSTITUTE(SUBSTITUTE(SUBSTITUTE(SUBSTITUTE(SUBSTITUTE(SUBSTITUTE(SUBSTITUTE(SUBSTITUTE(SUBSTITUTE(LOWER(Z191&amp;""),CHAR(10)," "),CHAR(13)," "),CHAR(9)," "),CHAR(160)," "),"."," "),","," "),"-"," "),"/"," "),"("," "),")"," "),":"," "),";"," "),"_"," "),"–"," "),"?"," "),"!"," "),"*"," "),"["," "),"]"," "),"'"," "),"#"," "),"+"," "),"&amp;"," "),"\"," "))&amp;" "</f>
        <v>  </v>
      </c>
      <c r="BE191" s="61" t="str">
        <f aca="false">" "&amp;TRIM(SUBSTITUTE(SUBSTITUTE(SUBSTITUTE(SUBSTITUTE(SUBSTITUTE(SUBSTITUTE(SUBSTITUTE(SUBSTITUTE(SUBSTITUTE(SUBSTITUTE(SUBSTITUTE(SUBSTITUTE(SUBSTITUTE(SUBSTITUTE(SUBSTITUTE(SUBSTITUTE(SUBSTITUTE(SUBSTITUTE(SUBSTITUTE(SUBSTITUTE(SUBSTITUTE(SUBSTITUTE(SUBSTITUTE(SUBSTITUTE(LOWER(W191&amp;""),CHAR(10)," "),CHAR(13)," "),CHAR(9)," "),CHAR(160)," "),"."," "),","," "),"-"," "),"/"," "),"("," "),")"," "),":"," "),";"," "),"_"," "),"–"," "),"?"," "),"!"," "),"*"," "),"["," "),"]"," "),"'"," "),"#"," "),"+"," "),"&amp;"," "),"\"," "))&amp;" "</f>
        <v>  </v>
      </c>
      <c r="BF191" s="61" t="str">
        <f aca="false">" "&amp;TRIM(SUBSTITUTE(SUBSTITUTE(SUBSTITUTE(SUBSTITUTE(SUBSTITUTE(SUBSTITUTE(SUBSTITUTE(SUBSTITUTE(SUBSTITUTE(SUBSTITUTE(SUBSTITUTE(SUBSTITUTE(SUBSTITUTE(SUBSTITUTE(SUBSTITUTE(SUBSTITUTE(SUBSTITUTE(SUBSTITUTE(SUBSTITUTE(SUBSTITUTE(SUBSTITUTE(SUBSTITUTE(SUBSTITUTE(SUBSTITUTE(LOWER(AC191&amp;""),CHAR(10)," "),CHAR(13)," "),CHAR(9)," "),CHAR(160)," "),"."," "),","," "),"-"," "),"/"," "),"("," "),")"," "),":"," "),";"," "),"_"," "),"–"," "),"?"," "),"!"," "),"*"," "),"["," "),"]"," "),"'"," "),"#"," "),"+"," "),"&amp;"," "),"\"," "))&amp;" "</f>
        <v>  </v>
      </c>
      <c r="BG191" s="61" t="n">
        <f aca="false">IFERROR(IF(AND(TRIM(U191)="Pass",SUMPRODUCT((LEN(BC191)-LEN(SUBSTITUTE(BC191," "&amp;L_ResultBad&amp;" "," ")))/(LEN(L_ResultBad)+1))&gt;SUMPRODUCT((LEN(BC191)-LEN(SUBSTITUTE(BC191," "&amp;L_NegPhrase&amp;" "," ")))/(LEN(L_NegPhrase)+1))),1,0),0)</f>
        <v>0</v>
      </c>
      <c r="BH191" s="61" t="n">
        <f aca="false">IFERROR(IF(SUMPRODUCT((LEN(BC191)-LEN(SUBSTITUTE(BC191," "&amp;L_Pending&amp;" "," ")))/(LEN(L_Pending)+1))&gt;SUMPRODUCT((LEN(BC191)-LEN(SUBSTITUTE(BC191," "&amp;L_PendNeg&amp;" "," ")))/(LEN(L_PendNeg)+1))+SUMPRODUCT((LEN(BC191)-LEN(SUBSTITUTE(BC191," "&amp;L_PendPrep&amp;" "," ")))/(LEN(L_PendPrep)+1)),1,0),1)</f>
        <v>0</v>
      </c>
      <c r="BI191" s="61" t="n">
        <f aca="false">IFERROR(IF(SUMPRODUCT((LEN(BD191)-LEN(SUBSTITUTE(BD191," "&amp;L_PendStrict&amp;" "," ")))/(LEN(L_PendStrict)+1))&gt;SUMPRODUCT((LEN(BD191)-LEN(SUBSTITUTE(BD191," "&amp;L_PendNeg&amp;" "," ")))/(LEN(L_PendNeg)+1)),1,0),1)</f>
        <v>0</v>
      </c>
      <c r="BJ191" s="61" t="n">
        <f aca="false">IFERROR(IF(SUMPRODUCT((LEN(BE191)-LEN(SUBSTITUTE(BE191," "&amp;L_Pending&amp;" "," ")))/(LEN(L_Pending)+1))&gt;SUMPRODUCT((LEN(BE191)-LEN(SUBSTITUTE(BE191," "&amp;L_PendNeg&amp;" "," ")))/(LEN(L_PendNeg)+1))+SUMPRODUCT((LEN(BE191)-LEN(SUBSTITUTE(BE191," "&amp;L_PendPrep&amp;" "," ")))/(LEN(L_PendPrep)+1)),1,0),1)</f>
        <v>0</v>
      </c>
      <c r="BK191" s="61" t="n">
        <f aca="false">IFERROR(IF(SUMPRODUCT((LEN(BF191)-LEN(SUBSTITUTE(BF191," "&amp;L_PendStrict&amp;" "," ")))/(LEN(L_PendStrict)+1))&gt;SUMPRODUCT((LEN(BF191)-LEN(SUBSTITUTE(BF191," "&amp;L_PendNeg&amp;" "," ")))/(LEN(L_PendNeg)+1)),1,0),1)</f>
        <v>0</v>
      </c>
      <c r="BL191" s="61" t="n">
        <f aca="false">IF(ISNA(MATCH(TRIM(S191),L_EvidenceType,0)),0,BZ191)</f>
        <v>0</v>
      </c>
      <c r="BM191" s="61" t="str">
        <f aca="false">SUBSTITUTE(SUBSTITUTE(SUBSTITUTE(SUBSTITUTE(SUBSTITUTE(SUBSTITUTE(SUBSTITUTE(SUBSTITUTE(SUBSTITUTE(LOWER(Z191&amp;""),"1","0"),"2","0"),"3","0"),"4","0"),"5","0"),"6","0"),"7","0"),"8","0"),"9","0")</f>
        <v/>
      </c>
      <c r="BN191" s="61" t="str">
        <f aca="false">SUBSTITUTE(SUBSTITUTE(SUBSTITUTE(SUBSTITUTE(SUBSTITUTE(SUBSTITUTE(SUBSTITUTE(SUBSTITUTE(SUBSTITUTE(SUBSTITUTE(SUBSTITUTE(SUBSTITUTE(SUBSTITUTE(SUBSTITUTE(SUBSTITUTE(SUBSTITUTE(SUBSTITUTE(SUBSTITUTE(SUBSTITUTE(SUBSTITUTE(SUBSTITUTE(SUBSTITUTE(SUBSTITUTE(SUBSTITUTE(SUBSTITUTE(BM191,"b","a"),"c","a"),"d","a"),"e","a"),"f","a"),"g","a"),"h","a"),"i","a"),"j","a"),"k","a"),"l","a"),"m","a"),"n","a"),"o","a"),"p","a"),"q","a"),"r","a"),"s","a"),"t","a"),"u","a"),"v","a"),"w","a"),"x","a"),"y","a"),"z","a")</f>
        <v/>
      </c>
      <c r="BO191" s="61" t="str">
        <f aca="false">SUBSTITUTE(SUBSTITUTE(SUBSTITUTE(SUBSTITUTE(SUBSTITUTE(SUBSTITUTE(SUBSTITUTE(SUBSTITUTE(SUBSTITUTE(LOWER(W191&amp;""),"1","0"),"2","0"),"3","0"),"4","0"),"5","0"),"6","0"),"7","0"),"8","0"),"9","0")</f>
        <v/>
      </c>
      <c r="BP191" s="61" t="str">
        <f aca="false">SUBSTITUTE(SUBSTITUTE(SUBSTITUTE(SUBSTITUTE(SUBSTITUTE(SUBSTITUTE(SUBSTITUTE(SUBSTITUTE(SUBSTITUTE(SUBSTITUTE(SUBSTITUTE(SUBSTITUTE(SUBSTITUTE(SUBSTITUTE(SUBSTITUTE(SUBSTITUTE(SUBSTITUTE(SUBSTITUTE(SUBSTITUTE(SUBSTITUTE(SUBSTITUTE(SUBSTITUTE(SUBSTITUTE(SUBSTITUTE(SUBSTITUTE(BO191,"b","a"),"c","a"),"d","a"),"e","a"),"f","a"),"g","a"),"h","a"),"i","a"),"j","a"),"k","a"),"l","a"),"m","a"),"n","a"),"o","a"),"p","a"),"q","a"),"r","a"),"s","a"),"t","a"),"u","a"),"v","a"),"w","a"),"x","a"),"y","a"),"z","a")</f>
        <v/>
      </c>
      <c r="BQ191" s="61" t="n">
        <f aca="false">IFERROR(IF(AND(ISERROR(SEARCH(" mh"," "&amp;LOWER(W191))),ISNA(MATCH(LEFT(TRIM(BP191),255),{"0000a","000a","00a","0000aa","000aa","00aa","0aa","0000aaa","000aaa","00a00","0a00","0000-0000","00:00","a00","a0","00.00.0000","00/00/0000","00-00-0000","0000-00-00","0000/00/00","0000.00.00","00.00.00","00/00/00","00-00-00","0.00.0000","0/00/0000","0-00-0000"},0)),ISNA(MATCH(LEFT(TRIM(CA191),255),{"0000a","000a","00a","0000aa","000aa","00aa","0aa","0000aaa","000aaa","00a00","0a00","0000-0000","00:00","a00","a0","00.00.0000","00/00/0000","00-00-0000","0000-00-00","0000/00/00","0000.00.00","00.00.00","00/00/00","00-00-00","0.00.0000","0/00/0000","0-00-0000"},0)),LEN(CB191)&gt;=3,NOT(OR(SUBSTITUTE(CB191,"0","")="",AND(LEN(CB191)&gt;=4,CB191=REPT(LEFT(CB191),LEN(CB191))),ISNUMBER(MATCH(CB191,{"123","1234","12345","123456","1234567","12345678","0123","01234","012345","98765","987654","54321"},0)),AND(LEN(CB191)=8,LEFT(CB191,3)="202"))),OR(AND((LEN(CA191)-LEN(SUBSTITUTE(CA191,"a","")))&gt;=1,SUMPRODUCT(--ISNUMBER(SEARCH({"a0","a-0","a_0","a/0","a.0","a#0","0a","0-a","0_a","0/a"},BP191)))&gt;0),ISNUMBER(SEARCH("000000",BP191)))),1,0),0)</f>
        <v>0</v>
      </c>
      <c r="BR191" s="61" t="n">
        <f aca="false">IFERROR(LEN(SUBSTITUTE(CC191," ",""))-SUMPRODUCT((LEN(CC191)-LEN(SUBSTITUTE(CC191," "&amp;L_Role&amp;" "," ")))/(LEN(L_Role)+1)*LEN(L_Role)),0)</f>
        <v>0</v>
      </c>
      <c r="BS191" s="61" t="n">
        <f aca="false">IFERROR(LEN(SUBSTITUTE(CD191," ",""))-SUMPRODUCT((LEN(CD191)-LEN(SUBSTITUTE(CD191," "&amp;L_Role&amp;" "," ")))/(LEN(L_Role)+1)*LEN(L_Role)),0)</f>
        <v>0</v>
      </c>
      <c r="BT1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191,"revision",""),"version",""),"jan",""),"feb",""),"mar",""),"apr",""),"may",""),"jun",""),"jul",""),"aug",""),"sep",""),"oct",""),"nov",""),"dec",""),"utc",""),"gmt",""),"myt",""),"bst",""),"rev",""),"ver",""),"b","a"),"c","a"),"d","a"),"e","a"),"f","a"),"g","a"),"h","a"),"i","a"),"j","a"),"k","a"),"l","a"),"m","a"),"n","a"),"o","a"),"p","a"),"q","a"),"r","a"),"s","a"),"t","a"),"u","a"),"v","a"),"w","a"),"x","a"),"y","a"),"z","a")</f>
        <v/>
      </c>
      <c r="BU191" s="61" t="str">
        <f aca="false">SUBSTITUTE(SUBSTITUTE(SUBSTITUTE(SUBSTITUTE(SUBSTITUTE(SUBSTITUTE(SUBSTITUTE(SUBSTITUTE(SUBSTITUTE(SUBSTITUTE(LEFT(BM191,FIND("0",BM191&amp;"0")-1),"-",""),"_",""),"/",""),".",""),"#",""),"\\",""),":","")," ",""),"(",""),")","")</f>
        <v/>
      </c>
      <c r="BV191" s="61" t="n">
        <f aca="false">0</f>
        <v>0</v>
      </c>
      <c r="BW1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191&amp;""),"a",""),"b",""),"c",""),"d",""),"e",""),"f",""),"g",""),"h",""),"i",""),"j",""),"k",""),"l",""),"m",""),"n",""),"o",""),"p",""),"q",""),"r",""),"s",""),"t",""),"u",""),"v",""),"w",""),"x",""),"y",""),"z",""),"-",""),"_",""),"/",""),".",""),"#",""),"\\",""),":","")," ",""),"(",""),")","")</f>
        <v/>
      </c>
      <c r="BX191" s="61" t="str">
        <f aca="false">SUBSTITUTE(SUBSTITUTE(SUBSTITUTE(SUBSTITUTE(SUBSTITUTE(SUBSTITUTE(SUBSTITUTE(SUBSTITUTE(SUBSTITUTE(SUBSTITUTE(SUBSTITUTE(BM191,"0",""),"-",""),"_",""),"/",""),".",""),"#",""),"\\",""),":","")," ",""),"(",""),")","")</f>
        <v/>
      </c>
      <c r="BY191" s="62" t="n">
        <f aca="false">Q191-T12EarlyH/24</f>
        <v>46309.6388888889</v>
      </c>
      <c r="BZ191" s="61" t="n">
        <f aca="false">IFERROR(IF(IF(TRIM(S191)="Link / file path",AND(LEN(TRIM(Z191))&gt;=5,SUMPRODUCT(--ISNUMBER(SEARCH({"http","www.","\\",":\",".pdf",".jpg",".jpeg",".png",".heic",".xls",".doc",".msg",".eml",".ppt",".txt",".zip"},Z191)))&gt;0),AND(ISERROR(FIND(" ",TRIM(Z191))),NOT(OR(SUMPRODUCT(--ISNUMBER(FIND({",",";","&amp;","+"},Z191)))&gt;0,SUMPRODUCT(--ISNUMBER(SEARCH({"0/aa","0\\aa"},BN191)))&gt;0)),NOT(SUMPRODUCT(--ISNUMBER(SEARCH({"http","www.","\\",":\",".pdf",".jpg",".jpeg",".png",".heic",".xls",".doc",".msg",".eml",".ppt",".txt",".zip"},Z191)))&gt;0),NOT(LOWER(TRIM(Z191))=LOWER(Flights!$F$10)),ISNA(MATCH(BU191,{"mh","rev","revision","ver","version","v","r","a","b","seat","tray","row","gate","bay","stand","page","pg","item","line","no","cart","galley","flight","flt","table","box","bag","oven","etd","eta","std","sta","atd","ata","qty","pax","x","time","tel","ph","mob","day","wk","week","utc","gmt","myt","lt"},0)),NOT(OR(ISNUMBER(MATCH(LEFT(BN191,255),{"0000a","000a","00a","0000aa","000aa","00aa","0aa","0000aaa","000aaa","00a00","0a00","0000-0000","00:00","a00","a0","00.00.0000","00/00/0000","00-00-0000","0000-00-00","0000/00/00","0000.00.00","00.00.00","00/00/00","00-00-00","0.00.0000","0/00/0000","0-00-0000"},0)),ISNUMBER(MATCH(LEFT(BT191,255),{"0000a","000a","00a","0000aa","000aa","00aa","0aa","0000aaa","000aaa","00a00","0a00","0000-0000","00:00","a00","a0","00.00.0000","00/00/0000","00-00-0000","0000-00-00","0000/00/00","0000.00.00","00.00.00","00/00/00","00-00-00","0.00.0000","0/00/0000","0-00-0000"},0)))),NOT(OR(AND(BW191&lt;&gt;"",SUBSTITUTE(BW191,"0","")=""),AND(LEN(BW191)&gt;=4,BW191=REPT(LEFT(BW191),LEN(BW191))),ISNUMBER(MATCH(BW191,{"123","1234","12345","123456","1234567","12345678","0123","01234","012345","98765","987654","54321"},0)),ISNUMBER(MATCH(BX191,{"x","xx","xxx","xxxx","xxxxx","abc","abcd","nil","na","nan","test","tbc","tba","tbd","dummy","sample","example","eg","zz","zzz","none","null","xyz","qwe","asd","id","ref"},0)),AND(LEN(BW191)=8,BX191="",OR(LEFT(BW191,3)="202",ISNUMBER(MATCH(RIGHT(BW191,4),{"2025","2026","2027"},0)))))),OR(AND((LEN(BT191)-LEN(SUBSTITUTE(BT191,"a","")))&gt;=1,(LEN(BN191)-LEN(SUBSTITUTE(BN191,"0","")))&gt;=2,SUMPRODUCT(--ISNUMBER(SEARCH({"a0","a-0","a_0","a/0","a.0","a#0","0a","0-a","0_a","0/a"},BN191)))&gt;0),AND((LEN(BN191)-LEN(SUBSTITUTE(BN191,"a","")))=0,(LEN(BN191)-LEN(SUBSTITUTE(BN191,"0","")))&gt;=5)))),1,0),0)</f>
        <v>0</v>
      </c>
      <c r="CA1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191,"revision",""),"version",""),"jan",""),"feb",""),"mar",""),"apr",""),"may",""),"jun",""),"jul",""),"aug",""),"sep",""),"oct",""),"nov",""),"dec",""),"utc",""),"gmt",""),"myt",""),"bst",""),"rev",""),"ver",""),"b","a"),"c","a"),"d","a"),"e","a"),"f","a"),"g","a"),"h","a"),"i","a"),"j","a"),"k","a"),"l","a"),"m","a"),"n","a"),"o","a"),"p","a"),"q","a"),"r","a"),"s","a"),"t","a"),"u","a"),"v","a"),"w","a"),"x","a"),"y","a"),"z","a")</f>
        <v/>
      </c>
      <c r="CB1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191&amp;""),"a",""),"b",""),"c",""),"d",""),"e",""),"f",""),"g",""),"h",""),"i",""),"j",""),"k",""),"l",""),"m",""),"n",""),"o",""),"p",""),"q",""),"r",""),"s",""),"t",""),"u",""),"v",""),"w",""),"x",""),"y",""),"z",""),"-",""),"_",""),"/",""),".",""),"#",""),"\\",""),":","")," ",""),"(",""),")","")</f>
        <v/>
      </c>
      <c r="CC191" s="0" t="str">
        <f aca="false">" "&amp;TRIM(SUBSTITUTE(SUBSTITUTE(SUBSTITUTE(SUBSTITUTE(SUBSTITUTE(SUBSTITUTE(SUBSTITUTE(SUBSTITUTE(SUBSTITUTE(SUBSTITUTE(SUBSTITUTE(SUBSTITUTE(SUBSTITUTE(SUBSTITUTE(SUBSTITUTE(SUBSTITUTE(SUBSTITUTE(SUBSTITUTE(SUBSTITUTE(SUBSTITUTE(SUBSTITUTE(SUBSTITUTE(SUBSTITUTE(SUBSTITUTE(LOWER(T191&amp;""),CHAR(10)," "),CHAR(13)," "),CHAR(9)," "),CHAR(160)," "),"."," "),","," "),"-"," "),"/"," "),"("," "),")"," "),":"," "),";"," "),"_"," "),"–"," "),"?"," "),"!"," "),"*"," "),"["," "),"]"," "),"'"," "),"#"," "),"+"," "),"&amp;"," "),"\"," "))&amp;" "</f>
        <v>  </v>
      </c>
      <c r="CD191" s="0" t="str">
        <f aca="false">" "&amp;TRIM(SUBSTITUTE(SUBSTITUTE(SUBSTITUTE(SUBSTITUTE(SUBSTITUTE(SUBSTITUTE(SUBSTITUTE(SUBSTITUTE(SUBSTITUTE(SUBSTITUTE(SUBSTITUTE(SUBSTITUTE(SUBSTITUTE(SUBSTITUTE(SUBSTITUTE(SUBSTITUTE(SUBSTITUTE(SUBSTITUTE(SUBSTITUTE(SUBSTITUTE(SUBSTITUTE(SUBSTITUTE(SUBSTITUTE(SUBSTITUTE(LOWER(AE191&amp;""),CHAR(10)," "),CHAR(13)," "),CHAR(9)," "),CHAR(160)," "),"."," "),","," "),"-"," "),"/"," "),"("," "),")"," "),":"," "),";"," "),"_"," "),"–"," "),"?"," "),"!"," "),"*"," "),"["," "),"]"," "),"'"," "),"#"," "),"+"," "),"&amp;"," "),"\"," "))&amp;" "</f>
        <v>  </v>
      </c>
      <c r="CE191" s="68" t="n">
        <f aca="false">IFERROR(IF(AND(LEN(AU191)&gt;0,LEN(AU191)=LEN(AX191),OR(TRIM(MID(SUBSTITUTE(TRIM(CC191)," ",REPT(" ",60)),1,60))="",ISNUMBER(SEARCH(" "&amp;TRIM(MID(SUBSTITUTE(TRIM(CC191)," ",REPT(" ",60)),1,60))&amp;" ",CD191))),OR(TRIM(MID(SUBSTITUTE(TRIM(CC191)," ",REPT(" ",60)),61,60))="",ISNUMBER(SEARCH(" "&amp;TRIM(MID(SUBSTITUTE(TRIM(CC191)," ",REPT(" ",60)),61,60))&amp;" ",CD191))),OR(TRIM(MID(SUBSTITUTE(TRIM(CC191)," ",REPT(" ",60)),121,60))="",ISNUMBER(SEARCH(" "&amp;TRIM(MID(SUBSTITUTE(TRIM(CC191)," ",REPT(" ",60)),121,60))&amp;" ",CD191)))),1,0),0)</f>
        <v>0</v>
      </c>
      <c r="CG191" s="68" t="n">
        <f aca="false">IFERROR(LEN(SUBSTITUTE(BF191," ",""))-SUMPRODUCT((LEN(BF191)-LEN(SUBSTITUTE(BF191," "&amp;L_NAFiller&amp;" "," ")))/(LEN(L_NAFiller)+1)*LEN(L_NAFiller)),0)</f>
        <v>0</v>
      </c>
    </row>
    <row r="192" customFormat="false" ht="41.25" hidden="false" customHeight="true" outlineLevel="0" collapsed="false">
      <c r="A192" s="57" t="s">
        <v>747</v>
      </c>
      <c r="B192" s="57" t="s">
        <v>231</v>
      </c>
      <c r="C192" s="57" t="str">
        <f aca="false">Flights!$F$10</f>
        <v>MH0002</v>
      </c>
      <c r="D192" s="58" t="n">
        <f aca="false">Flights!$D$10</f>
        <v>46310</v>
      </c>
      <c r="E192" s="57" t="str">
        <f aca="false">Flights!$G$10&amp;"-"&amp;Flights!$H$10</f>
        <v>KUL-LHR</v>
      </c>
      <c r="F192" s="57" t="str">
        <f aca="false">Flights!$K$10</f>
        <v>BC</v>
      </c>
      <c r="G192" s="57" t="s">
        <v>420</v>
      </c>
      <c r="H192" s="57" t="s">
        <v>378</v>
      </c>
      <c r="I192" s="57" t="s">
        <v>499</v>
      </c>
      <c r="J192" s="57" t="s">
        <v>523</v>
      </c>
      <c r="K192" s="67" t="s">
        <v>501</v>
      </c>
      <c r="L192" s="67" t="s">
        <v>748</v>
      </c>
      <c r="M192" s="67" t="s">
        <v>451</v>
      </c>
      <c r="N192" s="67" t="s">
        <v>383</v>
      </c>
      <c r="O192" s="67" t="s">
        <v>503</v>
      </c>
      <c r="P192" s="57" t="s">
        <v>187</v>
      </c>
      <c r="Q192" s="59" t="n">
        <f aca="false">ROUND((Flights!$AE$10)*1440,0)/1440</f>
        <v>46310.1388888889</v>
      </c>
      <c r="R192" s="59" t="n">
        <f aca="false">Q192+(IF(AND(INDEX(TZ_DSTS,MATCH(P192,TZ_STN,0))&lt;&gt;"",Q192&gt;=INDEX(TZ_DSTS,MATCH(P192,TZ_STN,0)),Q192&lt;INDEX(TZ_DSTE,MATCH(P192,TZ_STN,0))),INDEX(TZ_DST,MATCH(P192,TZ_STN,0)),INDEX(TZ_STD,MATCH(P192,TZ_STN,0))))/24</f>
        <v>46310.4722222222</v>
      </c>
      <c r="S192" s="60"/>
      <c r="T192" s="60"/>
      <c r="U192" s="60"/>
      <c r="V192" s="60"/>
      <c r="W192" s="61"/>
      <c r="X192" s="60"/>
      <c r="Y192" s="60"/>
      <c r="Z192" s="60"/>
      <c r="AA192" s="60"/>
      <c r="AB192" s="60"/>
      <c r="AC192" s="60"/>
      <c r="AD192" s="66"/>
      <c r="AE192" s="60"/>
      <c r="AF192" s="61" t="str">
        <f aca="false">IF(AND(ISNUMBER(X192),ISNUMBER(Y192)),Y192-X192,"")</f>
        <v/>
      </c>
      <c r="AG192" s="62" t="str">
        <f aca="false">IF(ISNUMBER(AD192),AD192-(IF(AND(INDEX(TZ_DSTS,MATCH(P192,TZ_STN,0))&lt;&gt;"",(AD192-INDEX(TZ_STD,MATCH(P192,TZ_STN,0))/24)&gt;=INDEX(TZ_DSTS,MATCH(P192,TZ_STN,0)),(AD192-INDEX(TZ_STD,MATCH(P192,TZ_STN,0))/24)&lt;INDEX(TZ_DSTE,MATCH(P192,TZ_STN,0))),INDEX(TZ_DST,MATCH(P192,TZ_STN,0)),INDEX(TZ_STD,MATCH(P192,TZ_STN,0))))/24,"")</f>
        <v/>
      </c>
      <c r="AH192" s="65" t="str">
        <f aca="false">IFERROR(IF(N192="N/A – rule",IF(OR(TRIM(U192)="",TRIM(U192)="N/A",TRIM(U192)="Not started"),"N/A – RULE","INVALID – this check does not apply to this aircraft: clear the status (or correct the fleet on Flights)"),IF(TRIM(U192)="N/A",IF(AT192=0,"INVALID – N/A not permitted for this check",IF(AND(TRIM(AB192)&lt;&gt;"",TRIM(AB192)&lt;&gt;"Closed"),"INVALID – corrective action still open",IF(AND(NOT(OR(LEN(AZ192)&lt;15,ISNUMBER(MATCH(AZ192,L_Placeholder,0)))),BK192=0,CG192&gt;=8,NOT(OR(LEN(AU192)&lt;2,ISNUMBER(MATCH(AU192,L_Placeholder,0)))),BR192&gt;=3,NOT(OR(LEN(AX192)&lt;2,ISNUMBER(MATCH(AX192,L_Placeholder,0)))),BS192&gt;=3,TRIM(AE192)&lt;&gt;TRIM(T192),AX192&lt;&gt;AU192,CE192=0),"N/A – JUSTIFIED","INVALID – N/A needs a real, settled reason (not 'not applicable' / 'as above' / TBC), a named PIC and a different named verifier"))),IF(OR(TRIM(U192)="Pass",TRIM(U192)="Pass after CA"),IF(NOT(ISNUMBER(AD192)),"INVALID – completion time missing",IF(OR(OR(LEN(AU192)&lt;2,ISNUMBER(MATCH(AU192,L_Placeholder,0))),BR192&lt;3),"INVALID – PIC missing or not a named person (a role such as QA / CSM is not a name)",IF(OR(LEN(AV192)&lt;2,ISNUMBER(MATCH(AV192,L_Placeholder,0))),"INVALID – result / assessment missing",IF(OR(OR(LEN(AW192)&lt;3,ISNUMBER(MATCH(AW192,L_Placeholder,0))),SUMPRODUCT(--ISNUMBER(SEARCH(" "&amp;L_EvidencePhrase&amp;" ",BD192)))&gt;0,BI192=1),"INVALID – evidence missing, placeholder or not yet on file",IF(ISNA(MATCH(TRIM(S192),L_EvidenceType,0)),"INVALID – choose the evidence type from the list (column S)",IF(BL192=0,"INVALID – evidence ID must be the record's own ID only (e.g. SF-2210, IMG_2231, 1045521); a link / file name needs type 'Link / file path'",IF(OR(OR(LEN(AX192)&lt;2,ISNUMBER(MATCH(AX192,L_Placeholder,0))),BS192&lt;3),"INVALID – verifier missing or not a named person (a role such as QA / CSM is not a name)",IF(OR(AX192=AU192,CE192=1,AND(LEN(AU192)&gt;=4,ISNUMBER(SEARCH(AU192,AX192))),AND(LEN(AX192)&gt;=4,ISNUMBER(SEARCH(AX192,AU192)))),"INVALID – verifier must be a different, named person (not the PIC or a role)",IF(BH192=1,"INVALID – result not yet available (awaiting / TBC)",IF(BG192=1,"INVALID – result describes a problem: record Fail, then Pass after CA (or reword if it is not a problem)",IF(BV192=1,"INVALID – wording says not on board: an on-board confirmation needs the item loaded",IF(AND(AQ192=1,OR(OR(LEN(AY192)&lt;3,ISNUMBER(MATCH(AY192,L_Placeholder,0))),BJ192=1,BQ192=0)),"INVALID – batch ID missing, placeholder or not an ID (e.g. PASB-261008-BC-017)",IF(AND(AR192=1,OR(NOT(ISNUMBER(X192)),NOT(ISNUMBER(Y192)))),"INVALID – expected/actual qty missing",IF(AND(AR192=1,OR(X192&lt;=0,Y192&lt;0)),"INVALID – expected qty must be above 0 and actual not negative",IF(BB192&lt;&gt;"",BB192,IF(AND(AS192=1,Documents!$J$10&lt;&gt;"ON FILE"),"INVALID – GLD not on file (Documents sheet)",IF(AND(AS192=2,Documents!$O$10&lt;&gt;"ON FILE"),"INVALID – menu checklist not on file (Documents sheet)",IF(AND(AS192=3,NOT(ISNUMBER(Flights!$AX$10))),"INVALID – enter carrying flight KUL departure (Flights AX)",IF(AND(AS192=3,OR(Flights!$AZ$10&gt;Flights!$AA$10,Flights!$AX$10&lt;Flights!$AA$10-3)),"INVALID – carrying flight (Flights AX) cannot arrive before this leg's STD, or is over 3 days early",IF(AG192&gt;AsOfUTC,"INVALID – completion time is in the future",IF(AND(ISNUMBER(BY192),AG192&lt;BY192),IF(H192="Physical uplift","INVALID – before uplift window (cannot confirm loading)","INVALID – before valid window"),IF(AG192&gt;Flights!$AA$10,"INVALID – completed after departure (cannot establish readiness)",IF(AND(H192="Preparation",AG192&gt;=IF(ISNUMBER(Flights!$BA$10),MIN(Flights!$BA$10,Flights!$AA$10),Flights!$AA$10)),"INVALID – completed after loading / departure (cannot establish readiness)",IF(AND(H192="Physical uplift",AG192&gt;Q192),"INVALID – recorded after the loading flight departed",IF(AG192&gt;Q192,"COMPLETE – LATE","COMPLETE"))))))))))))))))))))))))),IF(TRIM(U192)="Fail","FAIL – DISCREPANCY",IF(AND(TRIM(U192)&lt;&gt;"",TRIM(U192)&lt;&gt;"Not started",TRIM(U192)&lt;&gt;"In progress"),"INVALID – unrecognised status (use the list)",IF(AsOfUTC&gt;Q192,"OVERDUE",IF(N192="Clarification required","OPEN – CLARIFICATION","OPEN"))))))),"INVALID – error value in an input cell")</f>
        <v>OPEN</v>
      </c>
      <c r="AI192" s="61" t="n">
        <f aca="false">IF(OR(AH192="N/A – RULE",AH192="N/A – JUSTIFIED"),0,1)</f>
        <v>1</v>
      </c>
      <c r="AJ192" s="61" t="n">
        <f aca="false">IF(LEFT(AH192,8)="COMPLETE",1,0)</f>
        <v>0</v>
      </c>
      <c r="AK192" s="61" t="n">
        <f aca="false">IF(AND(AI192=1,AJ192=0,AsOfUTC&gt;Q192),1,0)</f>
        <v>0</v>
      </c>
      <c r="AL192" s="61" t="n">
        <f aca="false">IFERROR(IF(AND(AI192=1,OR(TRIM(U192)="Fail",AND(TRIM(AB192)&lt;&gt;"",TRIM(AB192)&lt;&gt;"Closed"),AND(ISNUMBER(AF192),AF192&lt;&gt;0,TRIM(U192)&lt;&gt;"Pass after CA"))),1,0),1)</f>
        <v>0</v>
      </c>
      <c r="AM192" s="61" t="n">
        <f aca="false">IF(LEFT(AH192,7)="INVALID",1,0)</f>
        <v>0</v>
      </c>
      <c r="AN192" s="61" t="n">
        <f aca="false">IF(AND(N192="Clarification required",AI192=1,AJ192=0),1,0)</f>
        <v>0</v>
      </c>
      <c r="AO192" s="61" t="str">
        <f aca="false">IF(AK192=1,SUM(AK$5:AK192),"")</f>
        <v/>
      </c>
      <c r="AP192" s="61" t="str">
        <f aca="false">IF(AL192=1,SUM(AL$5:AL192),"")</f>
        <v/>
      </c>
      <c r="AQ192" s="61" t="n">
        <v>0</v>
      </c>
      <c r="AR192" s="61" t="n">
        <v>0</v>
      </c>
      <c r="AS192" s="61" t="n">
        <v>0</v>
      </c>
      <c r="AT192" s="61" t="n">
        <v>0</v>
      </c>
      <c r="AU192" s="61" t="str">
        <f aca="false">SUBSTITUTE(SUBSTITUTE(SUBSTITUTE(SUBSTITUTE(SUBSTITUTE(SUBSTITUTE(SUBSTITUTE(SUBSTITUTE(SUBSTITUTE(SUBSTITUTE(SUBSTITUTE(SUBSTITUTE(SUBSTITUTE(SUBSTITUTE(SUBSTITUTE(SUBSTITUTE(LOWER(T192&amp;""),CHAR(10),""),CHAR(13),""),CHAR(9),""),CHAR(160),"")," ",""),".",""),"-",""),"/",""),"?",""),"_",""),",",""),"[",""),"]",""),"(",""),")",""),"*","")</f>
        <v/>
      </c>
      <c r="AV192" s="61" t="str">
        <f aca="false">SUBSTITUTE(SUBSTITUTE(SUBSTITUTE(SUBSTITUTE(SUBSTITUTE(SUBSTITUTE(SUBSTITUTE(SUBSTITUTE(SUBSTITUTE(SUBSTITUTE(SUBSTITUTE(SUBSTITUTE(SUBSTITUTE(SUBSTITUTE(SUBSTITUTE(SUBSTITUTE(LOWER(V192&amp;""),CHAR(10),""),CHAR(13),""),CHAR(9),""),CHAR(160),"")," ",""),".",""),"-",""),"/",""),"?",""),"_",""),",",""),"[",""),"]",""),"(",""),")",""),"*","")</f>
        <v/>
      </c>
      <c r="AW192" s="61" t="str">
        <f aca="false">SUBSTITUTE(SUBSTITUTE(SUBSTITUTE(SUBSTITUTE(SUBSTITUTE(SUBSTITUTE(SUBSTITUTE(SUBSTITUTE(SUBSTITUTE(SUBSTITUTE(SUBSTITUTE(SUBSTITUTE(SUBSTITUTE(SUBSTITUTE(SUBSTITUTE(SUBSTITUTE(LOWER(Z192&amp;""),CHAR(10),""),CHAR(13),""),CHAR(9),""),CHAR(160),"")," ",""),".",""),"-",""),"/",""),"?",""),"_",""),",",""),"[",""),"]",""),"(",""),")",""),"*","")</f>
        <v/>
      </c>
      <c r="AX192" s="61" t="str">
        <f aca="false">SUBSTITUTE(SUBSTITUTE(SUBSTITUTE(SUBSTITUTE(SUBSTITUTE(SUBSTITUTE(SUBSTITUTE(SUBSTITUTE(SUBSTITUTE(SUBSTITUTE(SUBSTITUTE(SUBSTITUTE(SUBSTITUTE(SUBSTITUTE(SUBSTITUTE(SUBSTITUTE(LOWER(AE192&amp;""),CHAR(10),""),CHAR(13),""),CHAR(9),""),CHAR(160),"")," ",""),".",""),"-",""),"/",""),"?",""),"_",""),",",""),"[",""),"]",""),"(",""),")",""),"*","")</f>
        <v/>
      </c>
      <c r="AY192" s="61" t="str">
        <f aca="false">SUBSTITUTE(SUBSTITUTE(SUBSTITUTE(SUBSTITUTE(SUBSTITUTE(SUBSTITUTE(SUBSTITUTE(SUBSTITUTE(SUBSTITUTE(SUBSTITUTE(SUBSTITUTE(SUBSTITUTE(SUBSTITUTE(SUBSTITUTE(SUBSTITUTE(SUBSTITUTE(LOWER(W192&amp;""),CHAR(10),""),CHAR(13),""),CHAR(9),""),CHAR(160),"")," ",""),".",""),"-",""),"/",""),"?",""),"_",""),",",""),"[",""),"]",""),"(",""),")",""),"*","")</f>
        <v/>
      </c>
      <c r="AZ192" s="61" t="str">
        <f aca="false">SUBSTITUTE(SUBSTITUTE(SUBSTITUTE(SUBSTITUTE(SUBSTITUTE(SUBSTITUTE(SUBSTITUTE(SUBSTITUTE(SUBSTITUTE(SUBSTITUTE(SUBSTITUTE(SUBSTITUTE(SUBSTITUTE(SUBSTITUTE(SUBSTITUTE(SUBSTITUTE(LOWER(AC192&amp;""),CHAR(10),""),CHAR(13),""),CHAR(9),""),CHAR(160),"")," ",""),".",""),"-",""),"/",""),"?",""),"_",""),",",""),"[",""),"]",""),"(",""),")",""),"*","")</f>
        <v/>
      </c>
      <c r="BA192" s="61" t="str">
        <f aca="false">SUBSTITUTE(SUBSTITUTE(SUBSTITUTE(SUBSTITUTE(SUBSTITUTE(SUBSTITUTE(SUBSTITUTE(SUBSTITUTE(SUBSTITUTE(SUBSTITUTE(SUBSTITUTE(SUBSTITUTE(SUBSTITUTE(SUBSTITUTE(SUBSTITUTE(SUBSTITUTE(LOWER(AA192&amp;""),CHAR(10),""),CHAR(13),""),CHAR(9),""),CHAR(160),"")," ",""),".",""),"-",""),"/",""),"?",""),"_",""),",",""),"[",""),"]",""),"(",""),")",""),"*","")</f>
        <v/>
      </c>
      <c r="BB192" s="61" t="str">
        <f aca="false">IF(AND(TRIM(U192)="Pass",ISNUMBER(AF192)),IF(AF192&lt;&gt;0,"INVALID – qty variance: use Fail or Pass after CA",""),"")&amp;IF(AND(TRIM(U192)="Pass after CA",ISNUMBER(AF192)),IF(AF192&lt;&gt;0,"INVALID – after the corrective action the actual qty must equal expected (update Actual)",""),"")&amp;IF(AND(TRIM(U192)="Pass",TRIM(AB192)&lt;&gt;"",TRIM(AB192)&lt;&gt;"Closed"),"INVALID – corrective action not closed: use Fail, then Pass after CA","")&amp;IF(AND(LEN(BA192)&gt;=2,ISNA(MATCH(LEFT(BA192,255),L_Placeholder,0)),TRIM(AB192)=""),"INVALID – CA status missing for the recorded corrective action","")&amp;IF(AND(TRIM(U192)="Pass after CA",OR(OR(LEN(BA192)&lt;5,ISNUMBER(MATCH(BA192,L_Placeholder,0))),TRIM(AB192)&lt;&gt;"Closed")),"INVALID – corrective action not recorded/closed","")</f>
        <v/>
      </c>
      <c r="BC192" s="61" t="str">
        <f aca="false">" "&amp;TRIM(SUBSTITUTE(SUBSTITUTE(SUBSTITUTE(SUBSTITUTE(SUBSTITUTE(SUBSTITUTE(SUBSTITUTE(SUBSTITUTE(SUBSTITUTE(SUBSTITUTE(SUBSTITUTE(SUBSTITUTE(SUBSTITUTE(SUBSTITUTE(SUBSTITUTE(SUBSTITUTE(SUBSTITUTE(SUBSTITUTE(SUBSTITUTE(SUBSTITUTE(SUBSTITUTE(SUBSTITUTE(SUBSTITUTE(SUBSTITUTE(LOWER(V192&amp;""),CHAR(10)," "),CHAR(13)," "),CHAR(9)," "),CHAR(160)," "),"."," "),","," "),"-"," "),"/"," "),"("," "),")"," "),":"," "),";"," "),"_"," "),"–"," "),"?"," "),"!"," "),"*"," "),"["," "),"]"," "),"'"," "),"#"," "),"+"," "),"&amp;"," "),"\"," "))&amp;" "</f>
        <v>  </v>
      </c>
      <c r="BD192" s="61" t="str">
        <f aca="false">" "&amp;TRIM(SUBSTITUTE(SUBSTITUTE(SUBSTITUTE(SUBSTITUTE(SUBSTITUTE(SUBSTITUTE(SUBSTITUTE(SUBSTITUTE(SUBSTITUTE(SUBSTITUTE(SUBSTITUTE(SUBSTITUTE(SUBSTITUTE(SUBSTITUTE(SUBSTITUTE(SUBSTITUTE(SUBSTITUTE(SUBSTITUTE(SUBSTITUTE(SUBSTITUTE(SUBSTITUTE(SUBSTITUTE(SUBSTITUTE(SUBSTITUTE(LOWER(Z192&amp;""),CHAR(10)," "),CHAR(13)," "),CHAR(9)," "),CHAR(160)," "),"."," "),","," "),"-"," "),"/"," "),"("," "),")"," "),":"," "),";"," "),"_"," "),"–"," "),"?"," "),"!"," "),"*"," "),"["," "),"]"," "),"'"," "),"#"," "),"+"," "),"&amp;"," "),"\"," "))&amp;" "</f>
        <v>  </v>
      </c>
      <c r="BE192" s="61" t="str">
        <f aca="false">" "&amp;TRIM(SUBSTITUTE(SUBSTITUTE(SUBSTITUTE(SUBSTITUTE(SUBSTITUTE(SUBSTITUTE(SUBSTITUTE(SUBSTITUTE(SUBSTITUTE(SUBSTITUTE(SUBSTITUTE(SUBSTITUTE(SUBSTITUTE(SUBSTITUTE(SUBSTITUTE(SUBSTITUTE(SUBSTITUTE(SUBSTITUTE(SUBSTITUTE(SUBSTITUTE(SUBSTITUTE(SUBSTITUTE(SUBSTITUTE(SUBSTITUTE(LOWER(W192&amp;""),CHAR(10)," "),CHAR(13)," "),CHAR(9)," "),CHAR(160)," "),"."," "),","," "),"-"," "),"/"," "),"("," "),")"," "),":"," "),";"," "),"_"," "),"–"," "),"?"," "),"!"," "),"*"," "),"["," "),"]"," "),"'"," "),"#"," "),"+"," "),"&amp;"," "),"\"," "))&amp;" "</f>
        <v>  </v>
      </c>
      <c r="BF192" s="61" t="str">
        <f aca="false">" "&amp;TRIM(SUBSTITUTE(SUBSTITUTE(SUBSTITUTE(SUBSTITUTE(SUBSTITUTE(SUBSTITUTE(SUBSTITUTE(SUBSTITUTE(SUBSTITUTE(SUBSTITUTE(SUBSTITUTE(SUBSTITUTE(SUBSTITUTE(SUBSTITUTE(SUBSTITUTE(SUBSTITUTE(SUBSTITUTE(SUBSTITUTE(SUBSTITUTE(SUBSTITUTE(SUBSTITUTE(SUBSTITUTE(SUBSTITUTE(SUBSTITUTE(LOWER(AC192&amp;""),CHAR(10)," "),CHAR(13)," "),CHAR(9)," "),CHAR(160)," "),"."," "),","," "),"-"," "),"/"," "),"("," "),")"," "),":"," "),";"," "),"_"," "),"–"," "),"?"," "),"!"," "),"*"," "),"["," "),"]"," "),"'"," "),"#"," "),"+"," "),"&amp;"," "),"\"," "))&amp;" "</f>
        <v>  </v>
      </c>
      <c r="BG192" s="61" t="n">
        <f aca="false">IFERROR(IF(AND(TRIM(U192)="Pass",SUMPRODUCT((LEN(BC192)-LEN(SUBSTITUTE(BC192," "&amp;L_ResultBad&amp;" "," ")))/(LEN(L_ResultBad)+1))&gt;SUMPRODUCT((LEN(BC192)-LEN(SUBSTITUTE(BC192," "&amp;L_NegPhrase&amp;" "," ")))/(LEN(L_NegPhrase)+1))),1,0),0)</f>
        <v>0</v>
      </c>
      <c r="BH192" s="61" t="n">
        <f aca="false">IFERROR(IF(SUMPRODUCT((LEN(BC192)-LEN(SUBSTITUTE(BC192," "&amp;L_Pending&amp;" "," ")))/(LEN(L_Pending)+1))&gt;SUMPRODUCT((LEN(BC192)-LEN(SUBSTITUTE(BC192," "&amp;L_PendNeg&amp;" "," ")))/(LEN(L_PendNeg)+1))+SUMPRODUCT((LEN(BC192)-LEN(SUBSTITUTE(BC192," "&amp;L_PendPrep&amp;" "," ")))/(LEN(L_PendPrep)+1)),1,0),1)</f>
        <v>0</v>
      </c>
      <c r="BI192" s="61" t="n">
        <f aca="false">IFERROR(IF(SUMPRODUCT((LEN(BD192)-LEN(SUBSTITUTE(BD192," "&amp;L_PendStrict&amp;" "," ")))/(LEN(L_PendStrict)+1))&gt;SUMPRODUCT((LEN(BD192)-LEN(SUBSTITUTE(BD192," "&amp;L_PendNeg&amp;" "," ")))/(LEN(L_PendNeg)+1)),1,0),1)</f>
        <v>0</v>
      </c>
      <c r="BJ192" s="61" t="n">
        <f aca="false">IFERROR(IF(SUMPRODUCT((LEN(BE192)-LEN(SUBSTITUTE(BE192," "&amp;L_Pending&amp;" "," ")))/(LEN(L_Pending)+1))&gt;SUMPRODUCT((LEN(BE192)-LEN(SUBSTITUTE(BE192," "&amp;L_PendNeg&amp;" "," ")))/(LEN(L_PendNeg)+1))+SUMPRODUCT((LEN(BE192)-LEN(SUBSTITUTE(BE192," "&amp;L_PendPrep&amp;" "," ")))/(LEN(L_PendPrep)+1)),1,0),1)</f>
        <v>0</v>
      </c>
      <c r="BK192" s="61" t="n">
        <f aca="false">IFERROR(IF(SUMPRODUCT((LEN(BF192)-LEN(SUBSTITUTE(BF192," "&amp;L_PendStrict&amp;" "," ")))/(LEN(L_PendStrict)+1))&gt;SUMPRODUCT((LEN(BF192)-LEN(SUBSTITUTE(BF192," "&amp;L_PendNeg&amp;" "," ")))/(LEN(L_PendNeg)+1)),1,0),1)</f>
        <v>0</v>
      </c>
      <c r="BL192" s="61" t="n">
        <f aca="false">IF(ISNA(MATCH(TRIM(S192),L_EvidenceType,0)),0,BZ192)</f>
        <v>0</v>
      </c>
      <c r="BM192" s="61" t="str">
        <f aca="false">SUBSTITUTE(SUBSTITUTE(SUBSTITUTE(SUBSTITUTE(SUBSTITUTE(SUBSTITUTE(SUBSTITUTE(SUBSTITUTE(SUBSTITUTE(LOWER(Z192&amp;""),"1","0"),"2","0"),"3","0"),"4","0"),"5","0"),"6","0"),"7","0"),"8","0"),"9","0")</f>
        <v/>
      </c>
      <c r="BN192" s="61" t="str">
        <f aca="false">SUBSTITUTE(SUBSTITUTE(SUBSTITUTE(SUBSTITUTE(SUBSTITUTE(SUBSTITUTE(SUBSTITUTE(SUBSTITUTE(SUBSTITUTE(SUBSTITUTE(SUBSTITUTE(SUBSTITUTE(SUBSTITUTE(SUBSTITUTE(SUBSTITUTE(SUBSTITUTE(SUBSTITUTE(SUBSTITUTE(SUBSTITUTE(SUBSTITUTE(SUBSTITUTE(SUBSTITUTE(SUBSTITUTE(SUBSTITUTE(SUBSTITUTE(BM192,"b","a"),"c","a"),"d","a"),"e","a"),"f","a"),"g","a"),"h","a"),"i","a"),"j","a"),"k","a"),"l","a"),"m","a"),"n","a"),"o","a"),"p","a"),"q","a"),"r","a"),"s","a"),"t","a"),"u","a"),"v","a"),"w","a"),"x","a"),"y","a"),"z","a")</f>
        <v/>
      </c>
      <c r="BO192" s="61" t="str">
        <f aca="false">SUBSTITUTE(SUBSTITUTE(SUBSTITUTE(SUBSTITUTE(SUBSTITUTE(SUBSTITUTE(SUBSTITUTE(SUBSTITUTE(SUBSTITUTE(LOWER(W192&amp;""),"1","0"),"2","0"),"3","0"),"4","0"),"5","0"),"6","0"),"7","0"),"8","0"),"9","0")</f>
        <v/>
      </c>
      <c r="BP192" s="61" t="str">
        <f aca="false">SUBSTITUTE(SUBSTITUTE(SUBSTITUTE(SUBSTITUTE(SUBSTITUTE(SUBSTITUTE(SUBSTITUTE(SUBSTITUTE(SUBSTITUTE(SUBSTITUTE(SUBSTITUTE(SUBSTITUTE(SUBSTITUTE(SUBSTITUTE(SUBSTITUTE(SUBSTITUTE(SUBSTITUTE(SUBSTITUTE(SUBSTITUTE(SUBSTITUTE(SUBSTITUTE(SUBSTITUTE(SUBSTITUTE(SUBSTITUTE(SUBSTITUTE(BO192,"b","a"),"c","a"),"d","a"),"e","a"),"f","a"),"g","a"),"h","a"),"i","a"),"j","a"),"k","a"),"l","a"),"m","a"),"n","a"),"o","a"),"p","a"),"q","a"),"r","a"),"s","a"),"t","a"),"u","a"),"v","a"),"w","a"),"x","a"),"y","a"),"z","a")</f>
        <v/>
      </c>
      <c r="BQ192" s="61" t="n">
        <f aca="false">IFERROR(IF(AND(ISERROR(SEARCH(" mh"," "&amp;LOWER(W192))),ISNA(MATCH(LEFT(TRIM(BP192),255),{"0000a","000a","00a","0000aa","000aa","00aa","0aa","0000aaa","000aaa","00a00","0a00","0000-0000","00:00","a00","a0","00.00.0000","00/00/0000","00-00-0000","0000-00-00","0000/00/00","0000.00.00","00.00.00","00/00/00","00-00-00","0.00.0000","0/00/0000","0-00-0000"},0)),ISNA(MATCH(LEFT(TRIM(CA192),255),{"0000a","000a","00a","0000aa","000aa","00aa","0aa","0000aaa","000aaa","00a00","0a00","0000-0000","00:00","a00","a0","00.00.0000","00/00/0000","00-00-0000","0000-00-00","0000/00/00","0000.00.00","00.00.00","00/00/00","00-00-00","0.00.0000","0/00/0000","0-00-0000"},0)),LEN(CB192)&gt;=3,NOT(OR(SUBSTITUTE(CB192,"0","")="",AND(LEN(CB192)&gt;=4,CB192=REPT(LEFT(CB192),LEN(CB192))),ISNUMBER(MATCH(CB192,{"123","1234","12345","123456","1234567","12345678","0123","01234","012345","98765","987654","54321"},0)),AND(LEN(CB192)=8,LEFT(CB192,3)="202"))),OR(AND((LEN(CA192)-LEN(SUBSTITUTE(CA192,"a","")))&gt;=1,SUMPRODUCT(--ISNUMBER(SEARCH({"a0","a-0","a_0","a/0","a.0","a#0","0a","0-a","0_a","0/a"},BP192)))&gt;0),ISNUMBER(SEARCH("000000",BP192)))),1,0),0)</f>
        <v>0</v>
      </c>
      <c r="BR192" s="61" t="n">
        <f aca="false">IFERROR(LEN(SUBSTITUTE(CC192," ",""))-SUMPRODUCT((LEN(CC192)-LEN(SUBSTITUTE(CC192," "&amp;L_Role&amp;" "," ")))/(LEN(L_Role)+1)*LEN(L_Role)),0)</f>
        <v>0</v>
      </c>
      <c r="BS192" s="61" t="n">
        <f aca="false">IFERROR(LEN(SUBSTITUTE(CD192," ",""))-SUMPRODUCT((LEN(CD192)-LEN(SUBSTITUTE(CD192," "&amp;L_Role&amp;" "," ")))/(LEN(L_Role)+1)*LEN(L_Role)),0)</f>
        <v>0</v>
      </c>
      <c r="BT1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192,"revision",""),"version",""),"jan",""),"feb",""),"mar",""),"apr",""),"may",""),"jun",""),"jul",""),"aug",""),"sep",""),"oct",""),"nov",""),"dec",""),"utc",""),"gmt",""),"myt",""),"bst",""),"rev",""),"ver",""),"b","a"),"c","a"),"d","a"),"e","a"),"f","a"),"g","a"),"h","a"),"i","a"),"j","a"),"k","a"),"l","a"),"m","a"),"n","a"),"o","a"),"p","a"),"q","a"),"r","a"),"s","a"),"t","a"),"u","a"),"v","a"),"w","a"),"x","a"),"y","a"),"z","a")</f>
        <v/>
      </c>
      <c r="BU192" s="61" t="str">
        <f aca="false">SUBSTITUTE(SUBSTITUTE(SUBSTITUTE(SUBSTITUTE(SUBSTITUTE(SUBSTITUTE(SUBSTITUTE(SUBSTITUTE(SUBSTITUTE(SUBSTITUTE(LEFT(BM192,FIND("0",BM192&amp;"0")-1),"-",""),"_",""),"/",""),".",""),"#",""),"\\",""),":","")," ",""),"(",""),")","")</f>
        <v/>
      </c>
      <c r="BV192" s="61" t="n">
        <f aca="false">0</f>
        <v>0</v>
      </c>
      <c r="BW1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192&amp;""),"a",""),"b",""),"c",""),"d",""),"e",""),"f",""),"g",""),"h",""),"i",""),"j",""),"k",""),"l",""),"m",""),"n",""),"o",""),"p",""),"q",""),"r",""),"s",""),"t",""),"u",""),"v",""),"w",""),"x",""),"y",""),"z",""),"-",""),"_",""),"/",""),".",""),"#",""),"\\",""),":","")," ",""),"(",""),")","")</f>
        <v/>
      </c>
      <c r="BX192" s="61" t="str">
        <f aca="false">SUBSTITUTE(SUBSTITUTE(SUBSTITUTE(SUBSTITUTE(SUBSTITUTE(SUBSTITUTE(SUBSTITUTE(SUBSTITUTE(SUBSTITUTE(SUBSTITUTE(SUBSTITUTE(BM192,"0",""),"-",""),"_",""),"/",""),".",""),"#",""),"\\",""),":","")," ",""),"(",""),")","")</f>
        <v/>
      </c>
      <c r="BY192" s="62" t="n">
        <f aca="false">Q192-T12EarlyH/24</f>
        <v>46309.6388888889</v>
      </c>
      <c r="BZ192" s="61" t="n">
        <f aca="false">IFERROR(IF(IF(TRIM(S192)="Link / file path",AND(LEN(TRIM(Z192))&gt;=5,SUMPRODUCT(--ISNUMBER(SEARCH({"http","www.","\\",":\",".pdf",".jpg",".jpeg",".png",".heic",".xls",".doc",".msg",".eml",".ppt",".txt",".zip"},Z192)))&gt;0),AND(ISERROR(FIND(" ",TRIM(Z192))),NOT(OR(SUMPRODUCT(--ISNUMBER(FIND({",",";","&amp;","+"},Z192)))&gt;0,SUMPRODUCT(--ISNUMBER(SEARCH({"0/aa","0\\aa"},BN192)))&gt;0)),NOT(SUMPRODUCT(--ISNUMBER(SEARCH({"http","www.","\\",":\",".pdf",".jpg",".jpeg",".png",".heic",".xls",".doc",".msg",".eml",".ppt",".txt",".zip"},Z192)))&gt;0),NOT(LOWER(TRIM(Z192))=LOWER(Flights!$F$10)),ISNA(MATCH(BU192,{"mh","rev","revision","ver","version","v","r","a","b","seat","tray","row","gate","bay","stand","page","pg","item","line","no","cart","galley","flight","flt","table","box","bag","oven","etd","eta","std","sta","atd","ata","qty","pax","x","time","tel","ph","mob","day","wk","week","utc","gmt","myt","lt"},0)),NOT(OR(ISNUMBER(MATCH(LEFT(BN192,255),{"0000a","000a","00a","0000aa","000aa","00aa","0aa","0000aaa","000aaa","00a00","0a00","0000-0000","00:00","a00","a0","00.00.0000","00/00/0000","00-00-0000","0000-00-00","0000/00/00","0000.00.00","00.00.00","00/00/00","00-00-00","0.00.0000","0/00/0000","0-00-0000"},0)),ISNUMBER(MATCH(LEFT(BT192,255),{"0000a","000a","00a","0000aa","000aa","00aa","0aa","0000aaa","000aaa","00a00","0a00","0000-0000","00:00","a00","a0","00.00.0000","00/00/0000","00-00-0000","0000-00-00","0000/00/00","0000.00.00","00.00.00","00/00/00","00-00-00","0.00.0000","0/00/0000","0-00-0000"},0)))),NOT(OR(AND(BW192&lt;&gt;"",SUBSTITUTE(BW192,"0","")=""),AND(LEN(BW192)&gt;=4,BW192=REPT(LEFT(BW192),LEN(BW192))),ISNUMBER(MATCH(BW192,{"123","1234","12345","123456","1234567","12345678","0123","01234","012345","98765","987654","54321"},0)),ISNUMBER(MATCH(BX192,{"x","xx","xxx","xxxx","xxxxx","abc","abcd","nil","na","nan","test","tbc","tba","tbd","dummy","sample","example","eg","zz","zzz","none","null","xyz","qwe","asd","id","ref"},0)),AND(LEN(BW192)=8,BX192="",OR(LEFT(BW192,3)="202",ISNUMBER(MATCH(RIGHT(BW192,4),{"2025","2026","2027"},0)))))),OR(AND((LEN(BT192)-LEN(SUBSTITUTE(BT192,"a","")))&gt;=1,(LEN(BN192)-LEN(SUBSTITUTE(BN192,"0","")))&gt;=2,SUMPRODUCT(--ISNUMBER(SEARCH({"a0","a-0","a_0","a/0","a.0","a#0","0a","0-a","0_a","0/a"},BN192)))&gt;0),AND((LEN(BN192)-LEN(SUBSTITUTE(BN192,"a","")))=0,(LEN(BN192)-LEN(SUBSTITUTE(BN192,"0","")))&gt;=5)))),1,0),0)</f>
        <v>0</v>
      </c>
      <c r="CA1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192,"revision",""),"version",""),"jan",""),"feb",""),"mar",""),"apr",""),"may",""),"jun",""),"jul",""),"aug",""),"sep",""),"oct",""),"nov",""),"dec",""),"utc",""),"gmt",""),"myt",""),"bst",""),"rev",""),"ver",""),"b","a"),"c","a"),"d","a"),"e","a"),"f","a"),"g","a"),"h","a"),"i","a"),"j","a"),"k","a"),"l","a"),"m","a"),"n","a"),"o","a"),"p","a"),"q","a"),"r","a"),"s","a"),"t","a"),"u","a"),"v","a"),"w","a"),"x","a"),"y","a"),"z","a")</f>
        <v/>
      </c>
      <c r="CB1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192&amp;""),"a",""),"b",""),"c",""),"d",""),"e",""),"f",""),"g",""),"h",""),"i",""),"j",""),"k",""),"l",""),"m",""),"n",""),"o",""),"p",""),"q",""),"r",""),"s",""),"t",""),"u",""),"v",""),"w",""),"x",""),"y",""),"z",""),"-",""),"_",""),"/",""),".",""),"#",""),"\\",""),":","")," ",""),"(",""),")","")</f>
        <v/>
      </c>
      <c r="CC192" s="0" t="str">
        <f aca="false">" "&amp;TRIM(SUBSTITUTE(SUBSTITUTE(SUBSTITUTE(SUBSTITUTE(SUBSTITUTE(SUBSTITUTE(SUBSTITUTE(SUBSTITUTE(SUBSTITUTE(SUBSTITUTE(SUBSTITUTE(SUBSTITUTE(SUBSTITUTE(SUBSTITUTE(SUBSTITUTE(SUBSTITUTE(SUBSTITUTE(SUBSTITUTE(SUBSTITUTE(SUBSTITUTE(SUBSTITUTE(SUBSTITUTE(SUBSTITUTE(SUBSTITUTE(LOWER(T192&amp;""),CHAR(10)," "),CHAR(13)," "),CHAR(9)," "),CHAR(160)," "),"."," "),","," "),"-"," "),"/"," "),"("," "),")"," "),":"," "),";"," "),"_"," "),"–"," "),"?"," "),"!"," "),"*"," "),"["," "),"]"," "),"'"," "),"#"," "),"+"," "),"&amp;"," "),"\"," "))&amp;" "</f>
        <v>  </v>
      </c>
      <c r="CD192" s="0" t="str">
        <f aca="false">" "&amp;TRIM(SUBSTITUTE(SUBSTITUTE(SUBSTITUTE(SUBSTITUTE(SUBSTITUTE(SUBSTITUTE(SUBSTITUTE(SUBSTITUTE(SUBSTITUTE(SUBSTITUTE(SUBSTITUTE(SUBSTITUTE(SUBSTITUTE(SUBSTITUTE(SUBSTITUTE(SUBSTITUTE(SUBSTITUTE(SUBSTITUTE(SUBSTITUTE(SUBSTITUTE(SUBSTITUTE(SUBSTITUTE(SUBSTITUTE(SUBSTITUTE(LOWER(AE192&amp;""),CHAR(10)," "),CHAR(13)," "),CHAR(9)," "),CHAR(160)," "),"."," "),","," "),"-"," "),"/"," "),"("," "),")"," "),":"," "),";"," "),"_"," "),"–"," "),"?"," "),"!"," "),"*"," "),"["," "),"]"," "),"'"," "),"#"," "),"+"," "),"&amp;"," "),"\"," "))&amp;" "</f>
        <v>  </v>
      </c>
      <c r="CE192" s="68" t="n">
        <f aca="false">IFERROR(IF(AND(LEN(AU192)&gt;0,LEN(AU192)=LEN(AX192),OR(TRIM(MID(SUBSTITUTE(TRIM(CC192)," ",REPT(" ",60)),1,60))="",ISNUMBER(SEARCH(" "&amp;TRIM(MID(SUBSTITUTE(TRIM(CC192)," ",REPT(" ",60)),1,60))&amp;" ",CD192))),OR(TRIM(MID(SUBSTITUTE(TRIM(CC192)," ",REPT(" ",60)),61,60))="",ISNUMBER(SEARCH(" "&amp;TRIM(MID(SUBSTITUTE(TRIM(CC192)," ",REPT(" ",60)),61,60))&amp;" ",CD192))),OR(TRIM(MID(SUBSTITUTE(TRIM(CC192)," ",REPT(" ",60)),121,60))="",ISNUMBER(SEARCH(" "&amp;TRIM(MID(SUBSTITUTE(TRIM(CC192)," ",REPT(" ",60)),121,60))&amp;" ",CD192)))),1,0),0)</f>
        <v>0</v>
      </c>
      <c r="CG192" s="68" t="n">
        <f aca="false">IFERROR(LEN(SUBSTITUTE(BF192," ",""))-SUMPRODUCT((LEN(BF192)-LEN(SUBSTITUTE(BF192," "&amp;L_NAFiller&amp;" "," ")))/(LEN(L_NAFiller)+1)*LEN(L_NAFiller)),0)</f>
        <v>0</v>
      </c>
    </row>
    <row r="193" customFormat="false" ht="41.25" hidden="false" customHeight="true" outlineLevel="0" collapsed="false">
      <c r="A193" s="57" t="s">
        <v>749</v>
      </c>
      <c r="B193" s="57" t="s">
        <v>231</v>
      </c>
      <c r="C193" s="57" t="str">
        <f aca="false">Flights!$F$10</f>
        <v>MH0002</v>
      </c>
      <c r="D193" s="58" t="n">
        <f aca="false">Flights!$D$10</f>
        <v>46310</v>
      </c>
      <c r="E193" s="57" t="str">
        <f aca="false">Flights!$G$10&amp;"-"&amp;Flights!$H$10</f>
        <v>KUL-LHR</v>
      </c>
      <c r="F193" s="57" t="str">
        <f aca="false">Flights!$K$10</f>
        <v>BC</v>
      </c>
      <c r="G193" s="57" t="s">
        <v>420</v>
      </c>
      <c r="H193" s="57" t="s">
        <v>378</v>
      </c>
      <c r="I193" s="57" t="s">
        <v>447</v>
      </c>
      <c r="J193" s="57" t="s">
        <v>526</v>
      </c>
      <c r="K193" s="67" t="s">
        <v>449</v>
      </c>
      <c r="L193" s="67" t="s">
        <v>750</v>
      </c>
      <c r="M193" s="67" t="s">
        <v>451</v>
      </c>
      <c r="N193" s="67" t="s">
        <v>383</v>
      </c>
      <c r="O193" s="67" t="s">
        <v>503</v>
      </c>
      <c r="P193" s="57" t="s">
        <v>187</v>
      </c>
      <c r="Q193" s="59" t="n">
        <f aca="false">ROUND((Flights!$AE$10)*1440,0)/1440</f>
        <v>46310.1388888889</v>
      </c>
      <c r="R193" s="59" t="n">
        <f aca="false">Q193+(IF(AND(INDEX(TZ_DSTS,MATCH(P193,TZ_STN,0))&lt;&gt;"",Q193&gt;=INDEX(TZ_DSTS,MATCH(P193,TZ_STN,0)),Q193&lt;INDEX(TZ_DSTE,MATCH(P193,TZ_STN,0))),INDEX(TZ_DST,MATCH(P193,TZ_STN,0)),INDEX(TZ_STD,MATCH(P193,TZ_STN,0))))/24</f>
        <v>46310.4722222222</v>
      </c>
      <c r="S193" s="60"/>
      <c r="T193" s="60"/>
      <c r="U193" s="60"/>
      <c r="V193" s="60"/>
      <c r="W193" s="61"/>
      <c r="X193" s="60"/>
      <c r="Y193" s="60"/>
      <c r="Z193" s="60"/>
      <c r="AA193" s="60"/>
      <c r="AB193" s="60"/>
      <c r="AC193" s="60"/>
      <c r="AD193" s="66"/>
      <c r="AE193" s="60"/>
      <c r="AF193" s="61" t="str">
        <f aca="false">IF(AND(ISNUMBER(X193),ISNUMBER(Y193)),Y193-X193,"")</f>
        <v/>
      </c>
      <c r="AG193" s="62" t="str">
        <f aca="false">IF(ISNUMBER(AD193),AD193-(IF(AND(INDEX(TZ_DSTS,MATCH(P193,TZ_STN,0))&lt;&gt;"",(AD193-INDEX(TZ_STD,MATCH(P193,TZ_STN,0))/24)&gt;=INDEX(TZ_DSTS,MATCH(P193,TZ_STN,0)),(AD193-INDEX(TZ_STD,MATCH(P193,TZ_STN,0))/24)&lt;INDEX(TZ_DSTE,MATCH(P193,TZ_STN,0))),INDEX(TZ_DST,MATCH(P193,TZ_STN,0)),INDEX(TZ_STD,MATCH(P193,TZ_STN,0))))/24,"")</f>
        <v/>
      </c>
      <c r="AH193" s="65" t="str">
        <f aca="false">IFERROR(IF(N193="N/A – rule",IF(OR(TRIM(U193)="",TRIM(U193)="N/A",TRIM(U193)="Not started"),"N/A – RULE","INVALID – this check does not apply to this aircraft: clear the status (or correct the fleet on Flights)"),IF(TRIM(U193)="N/A",IF(AT193=0,"INVALID – N/A not permitted for this check",IF(AND(TRIM(AB193)&lt;&gt;"",TRIM(AB193)&lt;&gt;"Closed"),"INVALID – corrective action still open",IF(AND(NOT(OR(LEN(AZ193)&lt;15,ISNUMBER(MATCH(AZ193,L_Placeholder,0)))),BK193=0,CG193&gt;=8,NOT(OR(LEN(AU193)&lt;2,ISNUMBER(MATCH(AU193,L_Placeholder,0)))),BR193&gt;=3,NOT(OR(LEN(AX193)&lt;2,ISNUMBER(MATCH(AX193,L_Placeholder,0)))),BS193&gt;=3,TRIM(AE193)&lt;&gt;TRIM(T193),AX193&lt;&gt;AU193,CE193=0),"N/A – JUSTIFIED","INVALID – N/A needs a real, settled reason (not 'not applicable' / 'as above' / TBC), a named PIC and a different named verifier"))),IF(OR(TRIM(U193)="Pass",TRIM(U193)="Pass after CA"),IF(NOT(ISNUMBER(AD193)),"INVALID – completion time missing",IF(OR(OR(LEN(AU193)&lt;2,ISNUMBER(MATCH(AU193,L_Placeholder,0))),BR193&lt;3),"INVALID – PIC missing or not a named person (a role such as QA / CSM is not a name)",IF(OR(LEN(AV193)&lt;2,ISNUMBER(MATCH(AV193,L_Placeholder,0))),"INVALID – result / assessment missing",IF(OR(OR(LEN(AW193)&lt;3,ISNUMBER(MATCH(AW193,L_Placeholder,0))),SUMPRODUCT(--ISNUMBER(SEARCH(" "&amp;L_EvidencePhrase&amp;" ",BD193)))&gt;0,BI193=1),"INVALID – evidence missing, placeholder or not yet on file",IF(ISNA(MATCH(TRIM(S193),L_EvidenceType,0)),"INVALID – choose the evidence type from the list (column S)",IF(BL193=0,"INVALID – evidence ID must be the record's own ID only (e.g. SF-2210, IMG_2231, 1045521); a link / file name needs type 'Link / file path'",IF(OR(OR(LEN(AX193)&lt;2,ISNUMBER(MATCH(AX193,L_Placeholder,0))),BS193&lt;3),"INVALID – verifier missing or not a named person (a role such as QA / CSM is not a name)",IF(OR(AX193=AU193,CE193=1,AND(LEN(AU193)&gt;=4,ISNUMBER(SEARCH(AU193,AX193))),AND(LEN(AX193)&gt;=4,ISNUMBER(SEARCH(AX193,AU193)))),"INVALID – verifier must be a different, named person (not the PIC or a role)",IF(BH193=1,"INVALID – result not yet available (awaiting / TBC)",IF(BG193=1,"INVALID – result describes a problem: record Fail, then Pass after CA (or reword if it is not a problem)",IF(BV193=1,"INVALID – wording says not on board: an on-board confirmation needs the item loaded",IF(AND(AQ193=1,OR(OR(LEN(AY193)&lt;3,ISNUMBER(MATCH(AY193,L_Placeholder,0))),BJ193=1,BQ193=0)),"INVALID – batch ID missing, placeholder or not an ID (e.g. PASB-261008-BC-017)",IF(AND(AR193=1,OR(NOT(ISNUMBER(X193)),NOT(ISNUMBER(Y193)))),"INVALID – expected/actual qty missing",IF(AND(AR193=1,OR(X193&lt;=0,Y193&lt;0)),"INVALID – expected qty must be above 0 and actual not negative",IF(BB193&lt;&gt;"",BB193,IF(AND(AS193=1,Documents!$J$10&lt;&gt;"ON FILE"),"INVALID – GLD not on file (Documents sheet)",IF(AND(AS193=2,Documents!$O$10&lt;&gt;"ON FILE"),"INVALID – menu checklist not on file (Documents sheet)",IF(AND(AS193=3,NOT(ISNUMBER(Flights!$AX$10))),"INVALID – enter carrying flight KUL departure (Flights AX)",IF(AND(AS193=3,OR(Flights!$AZ$10&gt;Flights!$AA$10,Flights!$AX$10&lt;Flights!$AA$10-3)),"INVALID – carrying flight (Flights AX) cannot arrive before this leg's STD, or is over 3 days early",IF(AG193&gt;AsOfUTC,"INVALID – completion time is in the future",IF(AND(ISNUMBER(BY193),AG193&lt;BY193),IF(H193="Physical uplift","INVALID – before uplift window (cannot confirm loading)","INVALID – before valid window"),IF(AG193&gt;Flights!$AA$10,"INVALID – completed after departure (cannot establish readiness)",IF(AND(H193="Preparation",AG193&gt;=IF(ISNUMBER(Flights!$BA$10),MIN(Flights!$BA$10,Flights!$AA$10),Flights!$AA$10)),"INVALID – completed after loading / departure (cannot establish readiness)",IF(AND(H193="Physical uplift",AG193&gt;Q193),"INVALID – recorded after the loading flight departed",IF(AG193&gt;Q193,"COMPLETE – LATE","COMPLETE"))))))))))))))))))))))))),IF(TRIM(U193)="Fail","FAIL – DISCREPANCY",IF(AND(TRIM(U193)&lt;&gt;"",TRIM(U193)&lt;&gt;"Not started",TRIM(U193)&lt;&gt;"In progress"),"INVALID – unrecognised status (use the list)",IF(AsOfUTC&gt;Q193,"OVERDUE",IF(N193="Clarification required","OPEN – CLARIFICATION","OPEN"))))))),"INVALID – error value in an input cell")</f>
        <v>OPEN</v>
      </c>
      <c r="AI193" s="61" t="n">
        <f aca="false">IF(OR(AH193="N/A – RULE",AH193="N/A – JUSTIFIED"),0,1)</f>
        <v>1</v>
      </c>
      <c r="AJ193" s="61" t="n">
        <f aca="false">IF(LEFT(AH193,8)="COMPLETE",1,0)</f>
        <v>0</v>
      </c>
      <c r="AK193" s="61" t="n">
        <f aca="false">IF(AND(AI193=1,AJ193=0,AsOfUTC&gt;Q193),1,0)</f>
        <v>0</v>
      </c>
      <c r="AL193" s="61" t="n">
        <f aca="false">IFERROR(IF(AND(AI193=1,OR(TRIM(U193)="Fail",AND(TRIM(AB193)&lt;&gt;"",TRIM(AB193)&lt;&gt;"Closed"),AND(ISNUMBER(AF193),AF193&lt;&gt;0,TRIM(U193)&lt;&gt;"Pass after CA"))),1,0),1)</f>
        <v>0</v>
      </c>
      <c r="AM193" s="61" t="n">
        <f aca="false">IF(LEFT(AH193,7)="INVALID",1,0)</f>
        <v>0</v>
      </c>
      <c r="AN193" s="61" t="n">
        <f aca="false">IF(AND(N193="Clarification required",AI193=1,AJ193=0),1,0)</f>
        <v>0</v>
      </c>
      <c r="AO193" s="61" t="str">
        <f aca="false">IF(AK193=1,SUM(AK$5:AK193),"")</f>
        <v/>
      </c>
      <c r="AP193" s="61" t="str">
        <f aca="false">IF(AL193=1,SUM(AL$5:AL193),"")</f>
        <v/>
      </c>
      <c r="AQ193" s="61" t="n">
        <v>0</v>
      </c>
      <c r="AR193" s="61" t="n">
        <v>0</v>
      </c>
      <c r="AS193" s="61" t="n">
        <v>0</v>
      </c>
      <c r="AT193" s="61" t="n">
        <v>0</v>
      </c>
      <c r="AU193" s="61" t="str">
        <f aca="false">SUBSTITUTE(SUBSTITUTE(SUBSTITUTE(SUBSTITUTE(SUBSTITUTE(SUBSTITUTE(SUBSTITUTE(SUBSTITUTE(SUBSTITUTE(SUBSTITUTE(SUBSTITUTE(SUBSTITUTE(SUBSTITUTE(SUBSTITUTE(SUBSTITUTE(SUBSTITUTE(LOWER(T193&amp;""),CHAR(10),""),CHAR(13),""),CHAR(9),""),CHAR(160),"")," ",""),".",""),"-",""),"/",""),"?",""),"_",""),",",""),"[",""),"]",""),"(",""),")",""),"*","")</f>
        <v/>
      </c>
      <c r="AV193" s="61" t="str">
        <f aca="false">SUBSTITUTE(SUBSTITUTE(SUBSTITUTE(SUBSTITUTE(SUBSTITUTE(SUBSTITUTE(SUBSTITUTE(SUBSTITUTE(SUBSTITUTE(SUBSTITUTE(SUBSTITUTE(SUBSTITUTE(SUBSTITUTE(SUBSTITUTE(SUBSTITUTE(SUBSTITUTE(LOWER(V193&amp;""),CHAR(10),""),CHAR(13),""),CHAR(9),""),CHAR(160),"")," ",""),".",""),"-",""),"/",""),"?",""),"_",""),",",""),"[",""),"]",""),"(",""),")",""),"*","")</f>
        <v/>
      </c>
      <c r="AW193" s="61" t="str">
        <f aca="false">SUBSTITUTE(SUBSTITUTE(SUBSTITUTE(SUBSTITUTE(SUBSTITUTE(SUBSTITUTE(SUBSTITUTE(SUBSTITUTE(SUBSTITUTE(SUBSTITUTE(SUBSTITUTE(SUBSTITUTE(SUBSTITUTE(SUBSTITUTE(SUBSTITUTE(SUBSTITUTE(LOWER(Z193&amp;""),CHAR(10),""),CHAR(13),""),CHAR(9),""),CHAR(160),"")," ",""),".",""),"-",""),"/",""),"?",""),"_",""),",",""),"[",""),"]",""),"(",""),")",""),"*","")</f>
        <v/>
      </c>
      <c r="AX193" s="61" t="str">
        <f aca="false">SUBSTITUTE(SUBSTITUTE(SUBSTITUTE(SUBSTITUTE(SUBSTITUTE(SUBSTITUTE(SUBSTITUTE(SUBSTITUTE(SUBSTITUTE(SUBSTITUTE(SUBSTITUTE(SUBSTITUTE(SUBSTITUTE(SUBSTITUTE(SUBSTITUTE(SUBSTITUTE(LOWER(AE193&amp;""),CHAR(10),""),CHAR(13),""),CHAR(9),""),CHAR(160),"")," ",""),".",""),"-",""),"/",""),"?",""),"_",""),",",""),"[",""),"]",""),"(",""),")",""),"*","")</f>
        <v/>
      </c>
      <c r="AY193" s="61" t="str">
        <f aca="false">SUBSTITUTE(SUBSTITUTE(SUBSTITUTE(SUBSTITUTE(SUBSTITUTE(SUBSTITUTE(SUBSTITUTE(SUBSTITUTE(SUBSTITUTE(SUBSTITUTE(SUBSTITUTE(SUBSTITUTE(SUBSTITUTE(SUBSTITUTE(SUBSTITUTE(SUBSTITUTE(LOWER(W193&amp;""),CHAR(10),""),CHAR(13),""),CHAR(9),""),CHAR(160),"")," ",""),".",""),"-",""),"/",""),"?",""),"_",""),",",""),"[",""),"]",""),"(",""),")",""),"*","")</f>
        <v/>
      </c>
      <c r="AZ193" s="61" t="str">
        <f aca="false">SUBSTITUTE(SUBSTITUTE(SUBSTITUTE(SUBSTITUTE(SUBSTITUTE(SUBSTITUTE(SUBSTITUTE(SUBSTITUTE(SUBSTITUTE(SUBSTITUTE(SUBSTITUTE(SUBSTITUTE(SUBSTITUTE(SUBSTITUTE(SUBSTITUTE(SUBSTITUTE(LOWER(AC193&amp;""),CHAR(10),""),CHAR(13),""),CHAR(9),""),CHAR(160),"")," ",""),".",""),"-",""),"/",""),"?",""),"_",""),",",""),"[",""),"]",""),"(",""),")",""),"*","")</f>
        <v/>
      </c>
      <c r="BA193" s="61" t="str">
        <f aca="false">SUBSTITUTE(SUBSTITUTE(SUBSTITUTE(SUBSTITUTE(SUBSTITUTE(SUBSTITUTE(SUBSTITUTE(SUBSTITUTE(SUBSTITUTE(SUBSTITUTE(SUBSTITUTE(SUBSTITUTE(SUBSTITUTE(SUBSTITUTE(SUBSTITUTE(SUBSTITUTE(LOWER(AA193&amp;""),CHAR(10),""),CHAR(13),""),CHAR(9),""),CHAR(160),"")," ",""),".",""),"-",""),"/",""),"?",""),"_",""),",",""),"[",""),"]",""),"(",""),")",""),"*","")</f>
        <v/>
      </c>
      <c r="BB193" s="61" t="str">
        <f aca="false">IF(AND(TRIM(U193)="Pass",ISNUMBER(AF193)),IF(AF193&lt;&gt;0,"INVALID – qty variance: use Fail or Pass after CA",""),"")&amp;IF(AND(TRIM(U193)="Pass after CA",ISNUMBER(AF193)),IF(AF193&lt;&gt;0,"INVALID – after the corrective action the actual qty must equal expected (update Actual)",""),"")&amp;IF(AND(TRIM(U193)="Pass",TRIM(AB193)&lt;&gt;"",TRIM(AB193)&lt;&gt;"Closed"),"INVALID – corrective action not closed: use Fail, then Pass after CA","")&amp;IF(AND(LEN(BA193)&gt;=2,ISNA(MATCH(LEFT(BA193,255),L_Placeholder,0)),TRIM(AB193)=""),"INVALID – CA status missing for the recorded corrective action","")&amp;IF(AND(TRIM(U193)="Pass after CA",OR(OR(LEN(BA193)&lt;5,ISNUMBER(MATCH(BA193,L_Placeholder,0))),TRIM(AB193)&lt;&gt;"Closed")),"INVALID – corrective action not recorded/closed","")</f>
        <v/>
      </c>
      <c r="BC193" s="61" t="str">
        <f aca="false">" "&amp;TRIM(SUBSTITUTE(SUBSTITUTE(SUBSTITUTE(SUBSTITUTE(SUBSTITUTE(SUBSTITUTE(SUBSTITUTE(SUBSTITUTE(SUBSTITUTE(SUBSTITUTE(SUBSTITUTE(SUBSTITUTE(SUBSTITUTE(SUBSTITUTE(SUBSTITUTE(SUBSTITUTE(SUBSTITUTE(SUBSTITUTE(SUBSTITUTE(SUBSTITUTE(SUBSTITUTE(SUBSTITUTE(SUBSTITUTE(SUBSTITUTE(LOWER(V193&amp;""),CHAR(10)," "),CHAR(13)," "),CHAR(9)," "),CHAR(160)," "),"."," "),","," "),"-"," "),"/"," "),"("," "),")"," "),":"," "),";"," "),"_"," "),"–"," "),"?"," "),"!"," "),"*"," "),"["," "),"]"," "),"'"," "),"#"," "),"+"," "),"&amp;"," "),"\"," "))&amp;" "</f>
        <v>  </v>
      </c>
      <c r="BD193" s="61" t="str">
        <f aca="false">" "&amp;TRIM(SUBSTITUTE(SUBSTITUTE(SUBSTITUTE(SUBSTITUTE(SUBSTITUTE(SUBSTITUTE(SUBSTITUTE(SUBSTITUTE(SUBSTITUTE(SUBSTITUTE(SUBSTITUTE(SUBSTITUTE(SUBSTITUTE(SUBSTITUTE(SUBSTITUTE(SUBSTITUTE(SUBSTITUTE(SUBSTITUTE(SUBSTITUTE(SUBSTITUTE(SUBSTITUTE(SUBSTITUTE(SUBSTITUTE(SUBSTITUTE(LOWER(Z193&amp;""),CHAR(10)," "),CHAR(13)," "),CHAR(9)," "),CHAR(160)," "),"."," "),","," "),"-"," "),"/"," "),"("," "),")"," "),":"," "),";"," "),"_"," "),"–"," "),"?"," "),"!"," "),"*"," "),"["," "),"]"," "),"'"," "),"#"," "),"+"," "),"&amp;"," "),"\"," "))&amp;" "</f>
        <v>  </v>
      </c>
      <c r="BE193" s="61" t="str">
        <f aca="false">" "&amp;TRIM(SUBSTITUTE(SUBSTITUTE(SUBSTITUTE(SUBSTITUTE(SUBSTITUTE(SUBSTITUTE(SUBSTITUTE(SUBSTITUTE(SUBSTITUTE(SUBSTITUTE(SUBSTITUTE(SUBSTITUTE(SUBSTITUTE(SUBSTITUTE(SUBSTITUTE(SUBSTITUTE(SUBSTITUTE(SUBSTITUTE(SUBSTITUTE(SUBSTITUTE(SUBSTITUTE(SUBSTITUTE(SUBSTITUTE(SUBSTITUTE(LOWER(W193&amp;""),CHAR(10)," "),CHAR(13)," "),CHAR(9)," "),CHAR(160)," "),"."," "),","," "),"-"," "),"/"," "),"("," "),")"," "),":"," "),";"," "),"_"," "),"–"," "),"?"," "),"!"," "),"*"," "),"["," "),"]"," "),"'"," "),"#"," "),"+"," "),"&amp;"," "),"\"," "))&amp;" "</f>
        <v>  </v>
      </c>
      <c r="BF193" s="61" t="str">
        <f aca="false">" "&amp;TRIM(SUBSTITUTE(SUBSTITUTE(SUBSTITUTE(SUBSTITUTE(SUBSTITUTE(SUBSTITUTE(SUBSTITUTE(SUBSTITUTE(SUBSTITUTE(SUBSTITUTE(SUBSTITUTE(SUBSTITUTE(SUBSTITUTE(SUBSTITUTE(SUBSTITUTE(SUBSTITUTE(SUBSTITUTE(SUBSTITUTE(SUBSTITUTE(SUBSTITUTE(SUBSTITUTE(SUBSTITUTE(SUBSTITUTE(SUBSTITUTE(LOWER(AC193&amp;""),CHAR(10)," "),CHAR(13)," "),CHAR(9)," "),CHAR(160)," "),"."," "),","," "),"-"," "),"/"," "),"("," "),")"," "),":"," "),";"," "),"_"," "),"–"," "),"?"," "),"!"," "),"*"," "),"["," "),"]"," "),"'"," "),"#"," "),"+"," "),"&amp;"," "),"\"," "))&amp;" "</f>
        <v>  </v>
      </c>
      <c r="BG193" s="61" t="n">
        <f aca="false">IFERROR(IF(AND(TRIM(U193)="Pass",SUMPRODUCT((LEN(BC193)-LEN(SUBSTITUTE(BC193," "&amp;L_ResultBad&amp;" "," ")))/(LEN(L_ResultBad)+1))&gt;SUMPRODUCT((LEN(BC193)-LEN(SUBSTITUTE(BC193," "&amp;L_NegPhrase&amp;" "," ")))/(LEN(L_NegPhrase)+1))),1,0),0)</f>
        <v>0</v>
      </c>
      <c r="BH193" s="61" t="n">
        <f aca="false">IFERROR(IF(SUMPRODUCT((LEN(BC193)-LEN(SUBSTITUTE(BC193," "&amp;L_Pending&amp;" "," ")))/(LEN(L_Pending)+1))&gt;SUMPRODUCT((LEN(BC193)-LEN(SUBSTITUTE(BC193," "&amp;L_PendNeg&amp;" "," ")))/(LEN(L_PendNeg)+1))+SUMPRODUCT((LEN(BC193)-LEN(SUBSTITUTE(BC193," "&amp;L_PendPrep&amp;" "," ")))/(LEN(L_PendPrep)+1)),1,0),1)</f>
        <v>0</v>
      </c>
      <c r="BI193" s="61" t="n">
        <f aca="false">IFERROR(IF(SUMPRODUCT((LEN(BD193)-LEN(SUBSTITUTE(BD193," "&amp;L_PendStrict&amp;" "," ")))/(LEN(L_PendStrict)+1))&gt;SUMPRODUCT((LEN(BD193)-LEN(SUBSTITUTE(BD193," "&amp;L_PendNeg&amp;" "," ")))/(LEN(L_PendNeg)+1)),1,0),1)</f>
        <v>0</v>
      </c>
      <c r="BJ193" s="61" t="n">
        <f aca="false">IFERROR(IF(SUMPRODUCT((LEN(BE193)-LEN(SUBSTITUTE(BE193," "&amp;L_Pending&amp;" "," ")))/(LEN(L_Pending)+1))&gt;SUMPRODUCT((LEN(BE193)-LEN(SUBSTITUTE(BE193," "&amp;L_PendNeg&amp;" "," ")))/(LEN(L_PendNeg)+1))+SUMPRODUCT((LEN(BE193)-LEN(SUBSTITUTE(BE193," "&amp;L_PendPrep&amp;" "," ")))/(LEN(L_PendPrep)+1)),1,0),1)</f>
        <v>0</v>
      </c>
      <c r="BK193" s="61" t="n">
        <f aca="false">IFERROR(IF(SUMPRODUCT((LEN(BF193)-LEN(SUBSTITUTE(BF193," "&amp;L_PendStrict&amp;" "," ")))/(LEN(L_PendStrict)+1))&gt;SUMPRODUCT((LEN(BF193)-LEN(SUBSTITUTE(BF193," "&amp;L_PendNeg&amp;" "," ")))/(LEN(L_PendNeg)+1)),1,0),1)</f>
        <v>0</v>
      </c>
      <c r="BL193" s="61" t="n">
        <f aca="false">IF(ISNA(MATCH(TRIM(S193),L_EvidenceType,0)),0,BZ193)</f>
        <v>0</v>
      </c>
      <c r="BM193" s="61" t="str">
        <f aca="false">SUBSTITUTE(SUBSTITUTE(SUBSTITUTE(SUBSTITUTE(SUBSTITUTE(SUBSTITUTE(SUBSTITUTE(SUBSTITUTE(SUBSTITUTE(LOWER(Z193&amp;""),"1","0"),"2","0"),"3","0"),"4","0"),"5","0"),"6","0"),"7","0"),"8","0"),"9","0")</f>
        <v/>
      </c>
      <c r="BN193" s="61" t="str">
        <f aca="false">SUBSTITUTE(SUBSTITUTE(SUBSTITUTE(SUBSTITUTE(SUBSTITUTE(SUBSTITUTE(SUBSTITUTE(SUBSTITUTE(SUBSTITUTE(SUBSTITUTE(SUBSTITUTE(SUBSTITUTE(SUBSTITUTE(SUBSTITUTE(SUBSTITUTE(SUBSTITUTE(SUBSTITUTE(SUBSTITUTE(SUBSTITUTE(SUBSTITUTE(SUBSTITUTE(SUBSTITUTE(SUBSTITUTE(SUBSTITUTE(SUBSTITUTE(BM193,"b","a"),"c","a"),"d","a"),"e","a"),"f","a"),"g","a"),"h","a"),"i","a"),"j","a"),"k","a"),"l","a"),"m","a"),"n","a"),"o","a"),"p","a"),"q","a"),"r","a"),"s","a"),"t","a"),"u","a"),"v","a"),"w","a"),"x","a"),"y","a"),"z","a")</f>
        <v/>
      </c>
      <c r="BO193" s="61" t="str">
        <f aca="false">SUBSTITUTE(SUBSTITUTE(SUBSTITUTE(SUBSTITUTE(SUBSTITUTE(SUBSTITUTE(SUBSTITUTE(SUBSTITUTE(SUBSTITUTE(LOWER(W193&amp;""),"1","0"),"2","0"),"3","0"),"4","0"),"5","0"),"6","0"),"7","0"),"8","0"),"9","0")</f>
        <v/>
      </c>
      <c r="BP193" s="61" t="str">
        <f aca="false">SUBSTITUTE(SUBSTITUTE(SUBSTITUTE(SUBSTITUTE(SUBSTITUTE(SUBSTITUTE(SUBSTITUTE(SUBSTITUTE(SUBSTITUTE(SUBSTITUTE(SUBSTITUTE(SUBSTITUTE(SUBSTITUTE(SUBSTITUTE(SUBSTITUTE(SUBSTITUTE(SUBSTITUTE(SUBSTITUTE(SUBSTITUTE(SUBSTITUTE(SUBSTITUTE(SUBSTITUTE(SUBSTITUTE(SUBSTITUTE(SUBSTITUTE(BO193,"b","a"),"c","a"),"d","a"),"e","a"),"f","a"),"g","a"),"h","a"),"i","a"),"j","a"),"k","a"),"l","a"),"m","a"),"n","a"),"o","a"),"p","a"),"q","a"),"r","a"),"s","a"),"t","a"),"u","a"),"v","a"),"w","a"),"x","a"),"y","a"),"z","a")</f>
        <v/>
      </c>
      <c r="BQ193" s="61" t="n">
        <f aca="false">IFERROR(IF(AND(ISERROR(SEARCH(" mh"," "&amp;LOWER(W193))),ISNA(MATCH(LEFT(TRIM(BP193),255),{"0000a","000a","00a","0000aa","000aa","00aa","0aa","0000aaa","000aaa","00a00","0a00","0000-0000","00:00","a00","a0","00.00.0000","00/00/0000","00-00-0000","0000-00-00","0000/00/00","0000.00.00","00.00.00","00/00/00","00-00-00","0.00.0000","0/00/0000","0-00-0000"},0)),ISNA(MATCH(LEFT(TRIM(CA193),255),{"0000a","000a","00a","0000aa","000aa","00aa","0aa","0000aaa","000aaa","00a00","0a00","0000-0000","00:00","a00","a0","00.00.0000","00/00/0000","00-00-0000","0000-00-00","0000/00/00","0000.00.00","00.00.00","00/00/00","00-00-00","0.00.0000","0/00/0000","0-00-0000"},0)),LEN(CB193)&gt;=3,NOT(OR(SUBSTITUTE(CB193,"0","")="",AND(LEN(CB193)&gt;=4,CB193=REPT(LEFT(CB193),LEN(CB193))),ISNUMBER(MATCH(CB193,{"123","1234","12345","123456","1234567","12345678","0123","01234","012345","98765","987654","54321"},0)),AND(LEN(CB193)=8,LEFT(CB193,3)="202"))),OR(AND((LEN(CA193)-LEN(SUBSTITUTE(CA193,"a","")))&gt;=1,SUMPRODUCT(--ISNUMBER(SEARCH({"a0","a-0","a_0","a/0","a.0","a#0","0a","0-a","0_a","0/a"},BP193)))&gt;0),ISNUMBER(SEARCH("000000",BP193)))),1,0),0)</f>
        <v>0</v>
      </c>
      <c r="BR193" s="61" t="n">
        <f aca="false">IFERROR(LEN(SUBSTITUTE(CC193," ",""))-SUMPRODUCT((LEN(CC193)-LEN(SUBSTITUTE(CC193," "&amp;L_Role&amp;" "," ")))/(LEN(L_Role)+1)*LEN(L_Role)),0)</f>
        <v>0</v>
      </c>
      <c r="BS193" s="61" t="n">
        <f aca="false">IFERROR(LEN(SUBSTITUTE(CD193," ",""))-SUMPRODUCT((LEN(CD193)-LEN(SUBSTITUTE(CD193," "&amp;L_Role&amp;" "," ")))/(LEN(L_Role)+1)*LEN(L_Role)),0)</f>
        <v>0</v>
      </c>
      <c r="BT1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193,"revision",""),"version",""),"jan",""),"feb",""),"mar",""),"apr",""),"may",""),"jun",""),"jul",""),"aug",""),"sep",""),"oct",""),"nov",""),"dec",""),"utc",""),"gmt",""),"myt",""),"bst",""),"rev",""),"ver",""),"b","a"),"c","a"),"d","a"),"e","a"),"f","a"),"g","a"),"h","a"),"i","a"),"j","a"),"k","a"),"l","a"),"m","a"),"n","a"),"o","a"),"p","a"),"q","a"),"r","a"),"s","a"),"t","a"),"u","a"),"v","a"),"w","a"),"x","a"),"y","a"),"z","a")</f>
        <v/>
      </c>
      <c r="BU193" s="61" t="str">
        <f aca="false">SUBSTITUTE(SUBSTITUTE(SUBSTITUTE(SUBSTITUTE(SUBSTITUTE(SUBSTITUTE(SUBSTITUTE(SUBSTITUTE(SUBSTITUTE(SUBSTITUTE(LEFT(BM193,FIND("0",BM193&amp;"0")-1),"-",""),"_",""),"/",""),".",""),"#",""),"\\",""),":","")," ",""),"(",""),")","")</f>
        <v/>
      </c>
      <c r="BV193" s="61" t="n">
        <f aca="false">0</f>
        <v>0</v>
      </c>
      <c r="BW1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193&amp;""),"a",""),"b",""),"c",""),"d",""),"e",""),"f",""),"g",""),"h",""),"i",""),"j",""),"k",""),"l",""),"m",""),"n",""),"o",""),"p",""),"q",""),"r",""),"s",""),"t",""),"u",""),"v",""),"w",""),"x",""),"y",""),"z",""),"-",""),"_",""),"/",""),".",""),"#",""),"\\",""),":","")," ",""),"(",""),")","")</f>
        <v/>
      </c>
      <c r="BX193" s="61" t="str">
        <f aca="false">SUBSTITUTE(SUBSTITUTE(SUBSTITUTE(SUBSTITUTE(SUBSTITUTE(SUBSTITUTE(SUBSTITUTE(SUBSTITUTE(SUBSTITUTE(SUBSTITUTE(SUBSTITUTE(BM193,"0",""),"-",""),"_",""),"/",""),".",""),"#",""),"\\",""),":","")," ",""),"(",""),")","")</f>
        <v/>
      </c>
      <c r="BY193" s="62" t="n">
        <f aca="false">Q193-T12EarlyH/24</f>
        <v>46309.6388888889</v>
      </c>
      <c r="BZ193" s="61" t="n">
        <f aca="false">IFERROR(IF(IF(TRIM(S193)="Link / file path",AND(LEN(TRIM(Z193))&gt;=5,SUMPRODUCT(--ISNUMBER(SEARCH({"http","www.","\\",":\",".pdf",".jpg",".jpeg",".png",".heic",".xls",".doc",".msg",".eml",".ppt",".txt",".zip"},Z193)))&gt;0),AND(ISERROR(FIND(" ",TRIM(Z193))),NOT(OR(SUMPRODUCT(--ISNUMBER(FIND({",",";","&amp;","+"},Z193)))&gt;0,SUMPRODUCT(--ISNUMBER(SEARCH({"0/aa","0\\aa"},BN193)))&gt;0)),NOT(SUMPRODUCT(--ISNUMBER(SEARCH({"http","www.","\\",":\",".pdf",".jpg",".jpeg",".png",".heic",".xls",".doc",".msg",".eml",".ppt",".txt",".zip"},Z193)))&gt;0),NOT(LOWER(TRIM(Z193))=LOWER(Flights!$F$10)),ISNA(MATCH(BU193,{"mh","rev","revision","ver","version","v","r","a","b","seat","tray","row","gate","bay","stand","page","pg","item","line","no","cart","galley","flight","flt","table","box","bag","oven","etd","eta","std","sta","atd","ata","qty","pax","x","time","tel","ph","mob","day","wk","week","utc","gmt","myt","lt"},0)),NOT(OR(ISNUMBER(MATCH(LEFT(BN193,255),{"0000a","000a","00a","0000aa","000aa","00aa","0aa","0000aaa","000aaa","00a00","0a00","0000-0000","00:00","a00","a0","00.00.0000","00/00/0000","00-00-0000","0000-00-00","0000/00/00","0000.00.00","00.00.00","00/00/00","00-00-00","0.00.0000","0/00/0000","0-00-0000"},0)),ISNUMBER(MATCH(LEFT(BT193,255),{"0000a","000a","00a","0000aa","000aa","00aa","0aa","0000aaa","000aaa","00a00","0a00","0000-0000","00:00","a00","a0","00.00.0000","00/00/0000","00-00-0000","0000-00-00","0000/00/00","0000.00.00","00.00.00","00/00/00","00-00-00","0.00.0000","0/00/0000","0-00-0000"},0)))),NOT(OR(AND(BW193&lt;&gt;"",SUBSTITUTE(BW193,"0","")=""),AND(LEN(BW193)&gt;=4,BW193=REPT(LEFT(BW193),LEN(BW193))),ISNUMBER(MATCH(BW193,{"123","1234","12345","123456","1234567","12345678","0123","01234","012345","98765","987654","54321"},0)),ISNUMBER(MATCH(BX193,{"x","xx","xxx","xxxx","xxxxx","abc","abcd","nil","na","nan","test","tbc","tba","tbd","dummy","sample","example","eg","zz","zzz","none","null","xyz","qwe","asd","id","ref"},0)),AND(LEN(BW193)=8,BX193="",OR(LEFT(BW193,3)="202",ISNUMBER(MATCH(RIGHT(BW193,4),{"2025","2026","2027"},0)))))),OR(AND((LEN(BT193)-LEN(SUBSTITUTE(BT193,"a","")))&gt;=1,(LEN(BN193)-LEN(SUBSTITUTE(BN193,"0","")))&gt;=2,SUMPRODUCT(--ISNUMBER(SEARCH({"a0","a-0","a_0","a/0","a.0","a#0","0a","0-a","0_a","0/a"},BN193)))&gt;0),AND((LEN(BN193)-LEN(SUBSTITUTE(BN193,"a","")))=0,(LEN(BN193)-LEN(SUBSTITUTE(BN193,"0","")))&gt;=5)))),1,0),0)</f>
        <v>0</v>
      </c>
      <c r="CA1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193,"revision",""),"version",""),"jan",""),"feb",""),"mar",""),"apr",""),"may",""),"jun",""),"jul",""),"aug",""),"sep",""),"oct",""),"nov",""),"dec",""),"utc",""),"gmt",""),"myt",""),"bst",""),"rev",""),"ver",""),"b","a"),"c","a"),"d","a"),"e","a"),"f","a"),"g","a"),"h","a"),"i","a"),"j","a"),"k","a"),"l","a"),"m","a"),"n","a"),"o","a"),"p","a"),"q","a"),"r","a"),"s","a"),"t","a"),"u","a"),"v","a"),"w","a"),"x","a"),"y","a"),"z","a")</f>
        <v/>
      </c>
      <c r="CB1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193&amp;""),"a",""),"b",""),"c",""),"d",""),"e",""),"f",""),"g",""),"h",""),"i",""),"j",""),"k",""),"l",""),"m",""),"n",""),"o",""),"p",""),"q",""),"r",""),"s",""),"t",""),"u",""),"v",""),"w",""),"x",""),"y",""),"z",""),"-",""),"_",""),"/",""),".",""),"#",""),"\\",""),":","")," ",""),"(",""),")","")</f>
        <v/>
      </c>
      <c r="CC193" s="0" t="str">
        <f aca="false">" "&amp;TRIM(SUBSTITUTE(SUBSTITUTE(SUBSTITUTE(SUBSTITUTE(SUBSTITUTE(SUBSTITUTE(SUBSTITUTE(SUBSTITUTE(SUBSTITUTE(SUBSTITUTE(SUBSTITUTE(SUBSTITUTE(SUBSTITUTE(SUBSTITUTE(SUBSTITUTE(SUBSTITUTE(SUBSTITUTE(SUBSTITUTE(SUBSTITUTE(SUBSTITUTE(SUBSTITUTE(SUBSTITUTE(SUBSTITUTE(SUBSTITUTE(LOWER(T193&amp;""),CHAR(10)," "),CHAR(13)," "),CHAR(9)," "),CHAR(160)," "),"."," "),","," "),"-"," "),"/"," "),"("," "),")"," "),":"," "),";"," "),"_"," "),"–"," "),"?"," "),"!"," "),"*"," "),"["," "),"]"," "),"'"," "),"#"," "),"+"," "),"&amp;"," "),"\"," "))&amp;" "</f>
        <v>  </v>
      </c>
      <c r="CD193" s="0" t="str">
        <f aca="false">" "&amp;TRIM(SUBSTITUTE(SUBSTITUTE(SUBSTITUTE(SUBSTITUTE(SUBSTITUTE(SUBSTITUTE(SUBSTITUTE(SUBSTITUTE(SUBSTITUTE(SUBSTITUTE(SUBSTITUTE(SUBSTITUTE(SUBSTITUTE(SUBSTITUTE(SUBSTITUTE(SUBSTITUTE(SUBSTITUTE(SUBSTITUTE(SUBSTITUTE(SUBSTITUTE(SUBSTITUTE(SUBSTITUTE(SUBSTITUTE(SUBSTITUTE(LOWER(AE193&amp;""),CHAR(10)," "),CHAR(13)," "),CHAR(9)," "),CHAR(160)," "),"."," "),","," "),"-"," "),"/"," "),"("," "),")"," "),":"," "),";"," "),"_"," "),"–"," "),"?"," "),"!"," "),"*"," "),"["," "),"]"," "),"'"," "),"#"," "),"+"," "),"&amp;"," "),"\"," "))&amp;" "</f>
        <v>  </v>
      </c>
      <c r="CE193" s="68" t="n">
        <f aca="false">IFERROR(IF(AND(LEN(AU193)&gt;0,LEN(AU193)=LEN(AX193),OR(TRIM(MID(SUBSTITUTE(TRIM(CC193)," ",REPT(" ",60)),1,60))="",ISNUMBER(SEARCH(" "&amp;TRIM(MID(SUBSTITUTE(TRIM(CC193)," ",REPT(" ",60)),1,60))&amp;" ",CD193))),OR(TRIM(MID(SUBSTITUTE(TRIM(CC193)," ",REPT(" ",60)),61,60))="",ISNUMBER(SEARCH(" "&amp;TRIM(MID(SUBSTITUTE(TRIM(CC193)," ",REPT(" ",60)),61,60))&amp;" ",CD193))),OR(TRIM(MID(SUBSTITUTE(TRIM(CC193)," ",REPT(" ",60)),121,60))="",ISNUMBER(SEARCH(" "&amp;TRIM(MID(SUBSTITUTE(TRIM(CC193)," ",REPT(" ",60)),121,60))&amp;" ",CD193)))),1,0),0)</f>
        <v>0</v>
      </c>
      <c r="CG193" s="68" t="n">
        <f aca="false">IFERROR(LEN(SUBSTITUTE(BF193," ",""))-SUMPRODUCT((LEN(BF193)-LEN(SUBSTITUTE(BF193," "&amp;L_NAFiller&amp;" "," ")))/(LEN(L_NAFiller)+1)*LEN(L_NAFiller)),0)</f>
        <v>0</v>
      </c>
    </row>
    <row r="194" customFormat="false" ht="41.25" hidden="false" customHeight="true" outlineLevel="0" collapsed="false">
      <c r="A194" s="57" t="s">
        <v>751</v>
      </c>
      <c r="B194" s="57" t="s">
        <v>231</v>
      </c>
      <c r="C194" s="57" t="str">
        <f aca="false">Flights!$F$10</f>
        <v>MH0002</v>
      </c>
      <c r="D194" s="58" t="n">
        <f aca="false">Flights!$D$10</f>
        <v>46310</v>
      </c>
      <c r="E194" s="57" t="str">
        <f aca="false">Flights!$G$10&amp;"-"&amp;Flights!$H$10</f>
        <v>KUL-LHR</v>
      </c>
      <c r="F194" s="57" t="str">
        <f aca="false">Flights!$K$10</f>
        <v>BC</v>
      </c>
      <c r="G194" s="57" t="s">
        <v>420</v>
      </c>
      <c r="H194" s="57" t="s">
        <v>378</v>
      </c>
      <c r="I194" s="57" t="s">
        <v>447</v>
      </c>
      <c r="J194" s="57" t="s">
        <v>623</v>
      </c>
      <c r="K194" s="67" t="s">
        <v>449</v>
      </c>
      <c r="L194" s="67" t="s">
        <v>752</v>
      </c>
      <c r="M194" s="67" t="s">
        <v>451</v>
      </c>
      <c r="N194" s="67" t="s">
        <v>383</v>
      </c>
      <c r="O194" s="67" t="s">
        <v>503</v>
      </c>
      <c r="P194" s="57" t="s">
        <v>187</v>
      </c>
      <c r="Q194" s="59" t="n">
        <f aca="false">ROUND((Flights!$AE$10)*1440,0)/1440</f>
        <v>46310.1388888889</v>
      </c>
      <c r="R194" s="59" t="n">
        <f aca="false">Q194+(IF(AND(INDEX(TZ_DSTS,MATCH(P194,TZ_STN,0))&lt;&gt;"",Q194&gt;=INDEX(TZ_DSTS,MATCH(P194,TZ_STN,0)),Q194&lt;INDEX(TZ_DSTE,MATCH(P194,TZ_STN,0))),INDEX(TZ_DST,MATCH(P194,TZ_STN,0)),INDEX(TZ_STD,MATCH(P194,TZ_STN,0))))/24</f>
        <v>46310.4722222222</v>
      </c>
      <c r="S194" s="60"/>
      <c r="T194" s="60"/>
      <c r="U194" s="60"/>
      <c r="V194" s="60"/>
      <c r="W194" s="61"/>
      <c r="X194" s="60"/>
      <c r="Y194" s="60"/>
      <c r="Z194" s="60"/>
      <c r="AA194" s="60"/>
      <c r="AB194" s="60"/>
      <c r="AC194" s="60"/>
      <c r="AD194" s="66"/>
      <c r="AE194" s="60"/>
      <c r="AF194" s="61" t="str">
        <f aca="false">IF(AND(ISNUMBER(X194),ISNUMBER(Y194)),Y194-X194,"")</f>
        <v/>
      </c>
      <c r="AG194" s="62" t="str">
        <f aca="false">IF(ISNUMBER(AD194),AD194-(IF(AND(INDEX(TZ_DSTS,MATCH(P194,TZ_STN,0))&lt;&gt;"",(AD194-INDEX(TZ_STD,MATCH(P194,TZ_STN,0))/24)&gt;=INDEX(TZ_DSTS,MATCH(P194,TZ_STN,0)),(AD194-INDEX(TZ_STD,MATCH(P194,TZ_STN,0))/24)&lt;INDEX(TZ_DSTE,MATCH(P194,TZ_STN,0))),INDEX(TZ_DST,MATCH(P194,TZ_STN,0)),INDEX(TZ_STD,MATCH(P194,TZ_STN,0))))/24,"")</f>
        <v/>
      </c>
      <c r="AH194" s="65" t="str">
        <f aca="false">IFERROR(IF(N194="N/A – rule",IF(OR(TRIM(U194)="",TRIM(U194)="N/A",TRIM(U194)="Not started"),"N/A – RULE","INVALID – this check does not apply to this aircraft: clear the status (or correct the fleet on Flights)"),IF(TRIM(U194)="N/A",IF(AT194=0,"INVALID – N/A not permitted for this check",IF(AND(TRIM(AB194)&lt;&gt;"",TRIM(AB194)&lt;&gt;"Closed"),"INVALID – corrective action still open",IF(AND(NOT(OR(LEN(AZ194)&lt;15,ISNUMBER(MATCH(AZ194,L_Placeholder,0)))),BK194=0,CG194&gt;=8,NOT(OR(LEN(AU194)&lt;2,ISNUMBER(MATCH(AU194,L_Placeholder,0)))),BR194&gt;=3,NOT(OR(LEN(AX194)&lt;2,ISNUMBER(MATCH(AX194,L_Placeholder,0)))),BS194&gt;=3,TRIM(AE194)&lt;&gt;TRIM(T194),AX194&lt;&gt;AU194,CE194=0),"N/A – JUSTIFIED","INVALID – N/A needs a real, settled reason (not 'not applicable' / 'as above' / TBC), a named PIC and a different named verifier"))),IF(OR(TRIM(U194)="Pass",TRIM(U194)="Pass after CA"),IF(NOT(ISNUMBER(AD194)),"INVALID – completion time missing",IF(OR(OR(LEN(AU194)&lt;2,ISNUMBER(MATCH(AU194,L_Placeholder,0))),BR194&lt;3),"INVALID – PIC missing or not a named person (a role such as QA / CSM is not a name)",IF(OR(LEN(AV194)&lt;2,ISNUMBER(MATCH(AV194,L_Placeholder,0))),"INVALID – result / assessment missing",IF(OR(OR(LEN(AW194)&lt;3,ISNUMBER(MATCH(AW194,L_Placeholder,0))),SUMPRODUCT(--ISNUMBER(SEARCH(" "&amp;L_EvidencePhrase&amp;" ",BD194)))&gt;0,BI194=1),"INVALID – evidence missing, placeholder or not yet on file",IF(ISNA(MATCH(TRIM(S194),L_EvidenceType,0)),"INVALID – choose the evidence type from the list (column S)",IF(BL194=0,"INVALID – evidence ID must be the record's own ID only (e.g. SF-2210, IMG_2231, 1045521); a link / file name needs type 'Link / file path'",IF(OR(OR(LEN(AX194)&lt;2,ISNUMBER(MATCH(AX194,L_Placeholder,0))),BS194&lt;3),"INVALID – verifier missing or not a named person (a role such as QA / CSM is not a name)",IF(OR(AX194=AU194,CE194=1,AND(LEN(AU194)&gt;=4,ISNUMBER(SEARCH(AU194,AX194))),AND(LEN(AX194)&gt;=4,ISNUMBER(SEARCH(AX194,AU194)))),"INVALID – verifier must be a different, named person (not the PIC or a role)",IF(BH194=1,"INVALID – result not yet available (awaiting / TBC)",IF(BG194=1,"INVALID – result describes a problem: record Fail, then Pass after CA (or reword if it is not a problem)",IF(BV194=1,"INVALID – wording says not on board: an on-board confirmation needs the item loaded",IF(AND(AQ194=1,OR(OR(LEN(AY194)&lt;3,ISNUMBER(MATCH(AY194,L_Placeholder,0))),BJ194=1,BQ194=0)),"INVALID – batch ID missing, placeholder or not an ID (e.g. PASB-261008-BC-017)",IF(AND(AR194=1,OR(NOT(ISNUMBER(X194)),NOT(ISNUMBER(Y194)))),"INVALID – expected/actual qty missing",IF(AND(AR194=1,OR(X194&lt;=0,Y194&lt;0)),"INVALID – expected qty must be above 0 and actual not negative",IF(BB194&lt;&gt;"",BB194,IF(AND(AS194=1,Documents!$J$10&lt;&gt;"ON FILE"),"INVALID – GLD not on file (Documents sheet)",IF(AND(AS194=2,Documents!$O$10&lt;&gt;"ON FILE"),"INVALID – menu checklist not on file (Documents sheet)",IF(AND(AS194=3,NOT(ISNUMBER(Flights!$AX$10))),"INVALID – enter carrying flight KUL departure (Flights AX)",IF(AND(AS194=3,OR(Flights!$AZ$10&gt;Flights!$AA$10,Flights!$AX$10&lt;Flights!$AA$10-3)),"INVALID – carrying flight (Flights AX) cannot arrive before this leg's STD, or is over 3 days early",IF(AG194&gt;AsOfUTC,"INVALID – completion time is in the future",IF(AND(ISNUMBER(BY194),AG194&lt;BY194),IF(H194="Physical uplift","INVALID – before uplift window (cannot confirm loading)","INVALID – before valid window"),IF(AG194&gt;Flights!$AA$10,"INVALID – completed after departure (cannot establish readiness)",IF(AND(H194="Preparation",AG194&gt;=IF(ISNUMBER(Flights!$BA$10),MIN(Flights!$BA$10,Flights!$AA$10),Flights!$AA$10)),"INVALID – completed after loading / departure (cannot establish readiness)",IF(AND(H194="Physical uplift",AG194&gt;Q194),"INVALID – recorded after the loading flight departed",IF(AG194&gt;Q194,"COMPLETE – LATE","COMPLETE"))))))))))))))))))))))))),IF(TRIM(U194)="Fail","FAIL – DISCREPANCY",IF(AND(TRIM(U194)&lt;&gt;"",TRIM(U194)&lt;&gt;"Not started",TRIM(U194)&lt;&gt;"In progress"),"INVALID – unrecognised status (use the list)",IF(AsOfUTC&gt;Q194,"OVERDUE",IF(N194="Clarification required","OPEN – CLARIFICATION","OPEN"))))))),"INVALID – error value in an input cell")</f>
        <v>OPEN</v>
      </c>
      <c r="AI194" s="61" t="n">
        <f aca="false">IF(OR(AH194="N/A – RULE",AH194="N/A – JUSTIFIED"),0,1)</f>
        <v>1</v>
      </c>
      <c r="AJ194" s="61" t="n">
        <f aca="false">IF(LEFT(AH194,8)="COMPLETE",1,0)</f>
        <v>0</v>
      </c>
      <c r="AK194" s="61" t="n">
        <f aca="false">IF(AND(AI194=1,AJ194=0,AsOfUTC&gt;Q194),1,0)</f>
        <v>0</v>
      </c>
      <c r="AL194" s="61" t="n">
        <f aca="false">IFERROR(IF(AND(AI194=1,OR(TRIM(U194)="Fail",AND(TRIM(AB194)&lt;&gt;"",TRIM(AB194)&lt;&gt;"Closed"),AND(ISNUMBER(AF194),AF194&lt;&gt;0,TRIM(U194)&lt;&gt;"Pass after CA"))),1,0),1)</f>
        <v>0</v>
      </c>
      <c r="AM194" s="61" t="n">
        <f aca="false">IF(LEFT(AH194,7)="INVALID",1,0)</f>
        <v>0</v>
      </c>
      <c r="AN194" s="61" t="n">
        <f aca="false">IF(AND(N194="Clarification required",AI194=1,AJ194=0),1,0)</f>
        <v>0</v>
      </c>
      <c r="AO194" s="61" t="str">
        <f aca="false">IF(AK194=1,SUM(AK$5:AK194),"")</f>
        <v/>
      </c>
      <c r="AP194" s="61" t="str">
        <f aca="false">IF(AL194=1,SUM(AL$5:AL194),"")</f>
        <v/>
      </c>
      <c r="AQ194" s="61" t="n">
        <v>0</v>
      </c>
      <c r="AR194" s="61" t="n">
        <v>0</v>
      </c>
      <c r="AS194" s="61" t="n">
        <v>0</v>
      </c>
      <c r="AT194" s="61" t="n">
        <v>0</v>
      </c>
      <c r="AU194" s="61" t="str">
        <f aca="false">SUBSTITUTE(SUBSTITUTE(SUBSTITUTE(SUBSTITUTE(SUBSTITUTE(SUBSTITUTE(SUBSTITUTE(SUBSTITUTE(SUBSTITUTE(SUBSTITUTE(SUBSTITUTE(SUBSTITUTE(SUBSTITUTE(SUBSTITUTE(SUBSTITUTE(SUBSTITUTE(LOWER(T194&amp;""),CHAR(10),""),CHAR(13),""),CHAR(9),""),CHAR(160),"")," ",""),".",""),"-",""),"/",""),"?",""),"_",""),",",""),"[",""),"]",""),"(",""),")",""),"*","")</f>
        <v/>
      </c>
      <c r="AV194" s="61" t="str">
        <f aca="false">SUBSTITUTE(SUBSTITUTE(SUBSTITUTE(SUBSTITUTE(SUBSTITUTE(SUBSTITUTE(SUBSTITUTE(SUBSTITUTE(SUBSTITUTE(SUBSTITUTE(SUBSTITUTE(SUBSTITUTE(SUBSTITUTE(SUBSTITUTE(SUBSTITUTE(SUBSTITUTE(LOWER(V194&amp;""),CHAR(10),""),CHAR(13),""),CHAR(9),""),CHAR(160),"")," ",""),".",""),"-",""),"/",""),"?",""),"_",""),",",""),"[",""),"]",""),"(",""),")",""),"*","")</f>
        <v/>
      </c>
      <c r="AW194" s="61" t="str">
        <f aca="false">SUBSTITUTE(SUBSTITUTE(SUBSTITUTE(SUBSTITUTE(SUBSTITUTE(SUBSTITUTE(SUBSTITUTE(SUBSTITUTE(SUBSTITUTE(SUBSTITUTE(SUBSTITUTE(SUBSTITUTE(SUBSTITUTE(SUBSTITUTE(SUBSTITUTE(SUBSTITUTE(LOWER(Z194&amp;""),CHAR(10),""),CHAR(13),""),CHAR(9),""),CHAR(160),"")," ",""),".",""),"-",""),"/",""),"?",""),"_",""),",",""),"[",""),"]",""),"(",""),")",""),"*","")</f>
        <v/>
      </c>
      <c r="AX194" s="61" t="str">
        <f aca="false">SUBSTITUTE(SUBSTITUTE(SUBSTITUTE(SUBSTITUTE(SUBSTITUTE(SUBSTITUTE(SUBSTITUTE(SUBSTITUTE(SUBSTITUTE(SUBSTITUTE(SUBSTITUTE(SUBSTITUTE(SUBSTITUTE(SUBSTITUTE(SUBSTITUTE(SUBSTITUTE(LOWER(AE194&amp;""),CHAR(10),""),CHAR(13),""),CHAR(9),""),CHAR(160),"")," ",""),".",""),"-",""),"/",""),"?",""),"_",""),",",""),"[",""),"]",""),"(",""),")",""),"*","")</f>
        <v/>
      </c>
      <c r="AY194" s="61" t="str">
        <f aca="false">SUBSTITUTE(SUBSTITUTE(SUBSTITUTE(SUBSTITUTE(SUBSTITUTE(SUBSTITUTE(SUBSTITUTE(SUBSTITUTE(SUBSTITUTE(SUBSTITUTE(SUBSTITUTE(SUBSTITUTE(SUBSTITUTE(SUBSTITUTE(SUBSTITUTE(SUBSTITUTE(LOWER(W194&amp;""),CHAR(10),""),CHAR(13),""),CHAR(9),""),CHAR(160),"")," ",""),".",""),"-",""),"/",""),"?",""),"_",""),",",""),"[",""),"]",""),"(",""),")",""),"*","")</f>
        <v/>
      </c>
      <c r="AZ194" s="61" t="str">
        <f aca="false">SUBSTITUTE(SUBSTITUTE(SUBSTITUTE(SUBSTITUTE(SUBSTITUTE(SUBSTITUTE(SUBSTITUTE(SUBSTITUTE(SUBSTITUTE(SUBSTITUTE(SUBSTITUTE(SUBSTITUTE(SUBSTITUTE(SUBSTITUTE(SUBSTITUTE(SUBSTITUTE(LOWER(AC194&amp;""),CHAR(10),""),CHAR(13),""),CHAR(9),""),CHAR(160),"")," ",""),".",""),"-",""),"/",""),"?",""),"_",""),",",""),"[",""),"]",""),"(",""),")",""),"*","")</f>
        <v/>
      </c>
      <c r="BA194" s="61" t="str">
        <f aca="false">SUBSTITUTE(SUBSTITUTE(SUBSTITUTE(SUBSTITUTE(SUBSTITUTE(SUBSTITUTE(SUBSTITUTE(SUBSTITUTE(SUBSTITUTE(SUBSTITUTE(SUBSTITUTE(SUBSTITUTE(SUBSTITUTE(SUBSTITUTE(SUBSTITUTE(SUBSTITUTE(LOWER(AA194&amp;""),CHAR(10),""),CHAR(13),""),CHAR(9),""),CHAR(160),"")," ",""),".",""),"-",""),"/",""),"?",""),"_",""),",",""),"[",""),"]",""),"(",""),")",""),"*","")</f>
        <v/>
      </c>
      <c r="BB194" s="61" t="str">
        <f aca="false">IF(AND(TRIM(U194)="Pass",ISNUMBER(AF194)),IF(AF194&lt;&gt;0,"INVALID – qty variance: use Fail or Pass after CA",""),"")&amp;IF(AND(TRIM(U194)="Pass after CA",ISNUMBER(AF194)),IF(AF194&lt;&gt;0,"INVALID – after the corrective action the actual qty must equal expected (update Actual)",""),"")&amp;IF(AND(TRIM(U194)="Pass",TRIM(AB194)&lt;&gt;"",TRIM(AB194)&lt;&gt;"Closed"),"INVALID – corrective action not closed: use Fail, then Pass after CA","")&amp;IF(AND(LEN(BA194)&gt;=2,ISNA(MATCH(LEFT(BA194,255),L_Placeholder,0)),TRIM(AB194)=""),"INVALID – CA status missing for the recorded corrective action","")&amp;IF(AND(TRIM(U194)="Pass after CA",OR(OR(LEN(BA194)&lt;5,ISNUMBER(MATCH(BA194,L_Placeholder,0))),TRIM(AB194)&lt;&gt;"Closed")),"INVALID – corrective action not recorded/closed","")</f>
        <v/>
      </c>
      <c r="BC194" s="61" t="str">
        <f aca="false">" "&amp;TRIM(SUBSTITUTE(SUBSTITUTE(SUBSTITUTE(SUBSTITUTE(SUBSTITUTE(SUBSTITUTE(SUBSTITUTE(SUBSTITUTE(SUBSTITUTE(SUBSTITUTE(SUBSTITUTE(SUBSTITUTE(SUBSTITUTE(SUBSTITUTE(SUBSTITUTE(SUBSTITUTE(SUBSTITUTE(SUBSTITUTE(SUBSTITUTE(SUBSTITUTE(SUBSTITUTE(SUBSTITUTE(SUBSTITUTE(SUBSTITUTE(LOWER(V194&amp;""),CHAR(10)," "),CHAR(13)," "),CHAR(9)," "),CHAR(160)," "),"."," "),","," "),"-"," "),"/"," "),"("," "),")"," "),":"," "),";"," "),"_"," "),"–"," "),"?"," "),"!"," "),"*"," "),"["," "),"]"," "),"'"," "),"#"," "),"+"," "),"&amp;"," "),"\"," "))&amp;" "</f>
        <v>  </v>
      </c>
      <c r="BD194" s="61" t="str">
        <f aca="false">" "&amp;TRIM(SUBSTITUTE(SUBSTITUTE(SUBSTITUTE(SUBSTITUTE(SUBSTITUTE(SUBSTITUTE(SUBSTITUTE(SUBSTITUTE(SUBSTITUTE(SUBSTITUTE(SUBSTITUTE(SUBSTITUTE(SUBSTITUTE(SUBSTITUTE(SUBSTITUTE(SUBSTITUTE(SUBSTITUTE(SUBSTITUTE(SUBSTITUTE(SUBSTITUTE(SUBSTITUTE(SUBSTITUTE(SUBSTITUTE(SUBSTITUTE(LOWER(Z194&amp;""),CHAR(10)," "),CHAR(13)," "),CHAR(9)," "),CHAR(160)," "),"."," "),","," "),"-"," "),"/"," "),"("," "),")"," "),":"," "),";"," "),"_"," "),"–"," "),"?"," "),"!"," "),"*"," "),"["," "),"]"," "),"'"," "),"#"," "),"+"," "),"&amp;"," "),"\"," "))&amp;" "</f>
        <v>  </v>
      </c>
      <c r="BE194" s="61" t="str">
        <f aca="false">" "&amp;TRIM(SUBSTITUTE(SUBSTITUTE(SUBSTITUTE(SUBSTITUTE(SUBSTITUTE(SUBSTITUTE(SUBSTITUTE(SUBSTITUTE(SUBSTITUTE(SUBSTITUTE(SUBSTITUTE(SUBSTITUTE(SUBSTITUTE(SUBSTITUTE(SUBSTITUTE(SUBSTITUTE(SUBSTITUTE(SUBSTITUTE(SUBSTITUTE(SUBSTITUTE(SUBSTITUTE(SUBSTITUTE(SUBSTITUTE(SUBSTITUTE(LOWER(W194&amp;""),CHAR(10)," "),CHAR(13)," "),CHAR(9)," "),CHAR(160)," "),"."," "),","," "),"-"," "),"/"," "),"("," "),")"," "),":"," "),";"," "),"_"," "),"–"," "),"?"," "),"!"," "),"*"," "),"["," "),"]"," "),"'"," "),"#"," "),"+"," "),"&amp;"," "),"\"," "))&amp;" "</f>
        <v>  </v>
      </c>
      <c r="BF194" s="61" t="str">
        <f aca="false">" "&amp;TRIM(SUBSTITUTE(SUBSTITUTE(SUBSTITUTE(SUBSTITUTE(SUBSTITUTE(SUBSTITUTE(SUBSTITUTE(SUBSTITUTE(SUBSTITUTE(SUBSTITUTE(SUBSTITUTE(SUBSTITUTE(SUBSTITUTE(SUBSTITUTE(SUBSTITUTE(SUBSTITUTE(SUBSTITUTE(SUBSTITUTE(SUBSTITUTE(SUBSTITUTE(SUBSTITUTE(SUBSTITUTE(SUBSTITUTE(SUBSTITUTE(LOWER(AC194&amp;""),CHAR(10)," "),CHAR(13)," "),CHAR(9)," "),CHAR(160)," "),"."," "),","," "),"-"," "),"/"," "),"("," "),")"," "),":"," "),";"," "),"_"," "),"–"," "),"?"," "),"!"," "),"*"," "),"["," "),"]"," "),"'"," "),"#"," "),"+"," "),"&amp;"," "),"\"," "))&amp;" "</f>
        <v>  </v>
      </c>
      <c r="BG194" s="61" t="n">
        <f aca="false">IFERROR(IF(AND(TRIM(U194)="Pass",SUMPRODUCT((LEN(BC194)-LEN(SUBSTITUTE(BC194," "&amp;L_ResultBad&amp;" "," ")))/(LEN(L_ResultBad)+1))&gt;SUMPRODUCT((LEN(BC194)-LEN(SUBSTITUTE(BC194," "&amp;L_NegPhrase&amp;" "," ")))/(LEN(L_NegPhrase)+1))),1,0),0)</f>
        <v>0</v>
      </c>
      <c r="BH194" s="61" t="n">
        <f aca="false">IFERROR(IF(SUMPRODUCT((LEN(BC194)-LEN(SUBSTITUTE(BC194," "&amp;L_Pending&amp;" "," ")))/(LEN(L_Pending)+1))&gt;SUMPRODUCT((LEN(BC194)-LEN(SUBSTITUTE(BC194," "&amp;L_PendNeg&amp;" "," ")))/(LEN(L_PendNeg)+1))+SUMPRODUCT((LEN(BC194)-LEN(SUBSTITUTE(BC194," "&amp;L_PendPrep&amp;" "," ")))/(LEN(L_PendPrep)+1)),1,0),1)</f>
        <v>0</v>
      </c>
      <c r="BI194" s="61" t="n">
        <f aca="false">IFERROR(IF(SUMPRODUCT((LEN(BD194)-LEN(SUBSTITUTE(BD194," "&amp;L_PendStrict&amp;" "," ")))/(LEN(L_PendStrict)+1))&gt;SUMPRODUCT((LEN(BD194)-LEN(SUBSTITUTE(BD194," "&amp;L_PendNeg&amp;" "," ")))/(LEN(L_PendNeg)+1)),1,0),1)</f>
        <v>0</v>
      </c>
      <c r="BJ194" s="61" t="n">
        <f aca="false">IFERROR(IF(SUMPRODUCT((LEN(BE194)-LEN(SUBSTITUTE(BE194," "&amp;L_Pending&amp;" "," ")))/(LEN(L_Pending)+1))&gt;SUMPRODUCT((LEN(BE194)-LEN(SUBSTITUTE(BE194," "&amp;L_PendNeg&amp;" "," ")))/(LEN(L_PendNeg)+1))+SUMPRODUCT((LEN(BE194)-LEN(SUBSTITUTE(BE194," "&amp;L_PendPrep&amp;" "," ")))/(LEN(L_PendPrep)+1)),1,0),1)</f>
        <v>0</v>
      </c>
      <c r="BK194" s="61" t="n">
        <f aca="false">IFERROR(IF(SUMPRODUCT((LEN(BF194)-LEN(SUBSTITUTE(BF194," "&amp;L_PendStrict&amp;" "," ")))/(LEN(L_PendStrict)+1))&gt;SUMPRODUCT((LEN(BF194)-LEN(SUBSTITUTE(BF194," "&amp;L_PendNeg&amp;" "," ")))/(LEN(L_PendNeg)+1)),1,0),1)</f>
        <v>0</v>
      </c>
      <c r="BL194" s="61" t="n">
        <f aca="false">IF(ISNA(MATCH(TRIM(S194),L_EvidenceType,0)),0,BZ194)</f>
        <v>0</v>
      </c>
      <c r="BM194" s="61" t="str">
        <f aca="false">SUBSTITUTE(SUBSTITUTE(SUBSTITUTE(SUBSTITUTE(SUBSTITUTE(SUBSTITUTE(SUBSTITUTE(SUBSTITUTE(SUBSTITUTE(LOWER(Z194&amp;""),"1","0"),"2","0"),"3","0"),"4","0"),"5","0"),"6","0"),"7","0"),"8","0"),"9","0")</f>
        <v/>
      </c>
      <c r="BN194" s="61" t="str">
        <f aca="false">SUBSTITUTE(SUBSTITUTE(SUBSTITUTE(SUBSTITUTE(SUBSTITUTE(SUBSTITUTE(SUBSTITUTE(SUBSTITUTE(SUBSTITUTE(SUBSTITUTE(SUBSTITUTE(SUBSTITUTE(SUBSTITUTE(SUBSTITUTE(SUBSTITUTE(SUBSTITUTE(SUBSTITUTE(SUBSTITUTE(SUBSTITUTE(SUBSTITUTE(SUBSTITUTE(SUBSTITUTE(SUBSTITUTE(SUBSTITUTE(SUBSTITUTE(BM194,"b","a"),"c","a"),"d","a"),"e","a"),"f","a"),"g","a"),"h","a"),"i","a"),"j","a"),"k","a"),"l","a"),"m","a"),"n","a"),"o","a"),"p","a"),"q","a"),"r","a"),"s","a"),"t","a"),"u","a"),"v","a"),"w","a"),"x","a"),"y","a"),"z","a")</f>
        <v/>
      </c>
      <c r="BO194" s="61" t="str">
        <f aca="false">SUBSTITUTE(SUBSTITUTE(SUBSTITUTE(SUBSTITUTE(SUBSTITUTE(SUBSTITUTE(SUBSTITUTE(SUBSTITUTE(SUBSTITUTE(LOWER(W194&amp;""),"1","0"),"2","0"),"3","0"),"4","0"),"5","0"),"6","0"),"7","0"),"8","0"),"9","0")</f>
        <v/>
      </c>
      <c r="BP194" s="61" t="str">
        <f aca="false">SUBSTITUTE(SUBSTITUTE(SUBSTITUTE(SUBSTITUTE(SUBSTITUTE(SUBSTITUTE(SUBSTITUTE(SUBSTITUTE(SUBSTITUTE(SUBSTITUTE(SUBSTITUTE(SUBSTITUTE(SUBSTITUTE(SUBSTITUTE(SUBSTITUTE(SUBSTITUTE(SUBSTITUTE(SUBSTITUTE(SUBSTITUTE(SUBSTITUTE(SUBSTITUTE(SUBSTITUTE(SUBSTITUTE(SUBSTITUTE(SUBSTITUTE(BO194,"b","a"),"c","a"),"d","a"),"e","a"),"f","a"),"g","a"),"h","a"),"i","a"),"j","a"),"k","a"),"l","a"),"m","a"),"n","a"),"o","a"),"p","a"),"q","a"),"r","a"),"s","a"),"t","a"),"u","a"),"v","a"),"w","a"),"x","a"),"y","a"),"z","a")</f>
        <v/>
      </c>
      <c r="BQ194" s="61" t="n">
        <f aca="false">IFERROR(IF(AND(ISERROR(SEARCH(" mh"," "&amp;LOWER(W194))),ISNA(MATCH(LEFT(TRIM(BP194),255),{"0000a","000a","00a","0000aa","000aa","00aa","0aa","0000aaa","000aaa","00a00","0a00","0000-0000","00:00","a00","a0","00.00.0000","00/00/0000","00-00-0000","0000-00-00","0000/00/00","0000.00.00","00.00.00","00/00/00","00-00-00","0.00.0000","0/00/0000","0-00-0000"},0)),ISNA(MATCH(LEFT(TRIM(CA194),255),{"0000a","000a","00a","0000aa","000aa","00aa","0aa","0000aaa","000aaa","00a00","0a00","0000-0000","00:00","a00","a0","00.00.0000","00/00/0000","00-00-0000","0000-00-00","0000/00/00","0000.00.00","00.00.00","00/00/00","00-00-00","0.00.0000","0/00/0000","0-00-0000"},0)),LEN(CB194)&gt;=3,NOT(OR(SUBSTITUTE(CB194,"0","")="",AND(LEN(CB194)&gt;=4,CB194=REPT(LEFT(CB194),LEN(CB194))),ISNUMBER(MATCH(CB194,{"123","1234","12345","123456","1234567","12345678","0123","01234","012345","98765","987654","54321"},0)),AND(LEN(CB194)=8,LEFT(CB194,3)="202"))),OR(AND((LEN(CA194)-LEN(SUBSTITUTE(CA194,"a","")))&gt;=1,SUMPRODUCT(--ISNUMBER(SEARCH({"a0","a-0","a_0","a/0","a.0","a#0","0a","0-a","0_a","0/a"},BP194)))&gt;0),ISNUMBER(SEARCH("000000",BP194)))),1,0),0)</f>
        <v>0</v>
      </c>
      <c r="BR194" s="61" t="n">
        <f aca="false">IFERROR(LEN(SUBSTITUTE(CC194," ",""))-SUMPRODUCT((LEN(CC194)-LEN(SUBSTITUTE(CC194," "&amp;L_Role&amp;" "," ")))/(LEN(L_Role)+1)*LEN(L_Role)),0)</f>
        <v>0</v>
      </c>
      <c r="BS194" s="61" t="n">
        <f aca="false">IFERROR(LEN(SUBSTITUTE(CD194," ",""))-SUMPRODUCT((LEN(CD194)-LEN(SUBSTITUTE(CD194," "&amp;L_Role&amp;" "," ")))/(LEN(L_Role)+1)*LEN(L_Role)),0)</f>
        <v>0</v>
      </c>
      <c r="BT1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194,"revision",""),"version",""),"jan",""),"feb",""),"mar",""),"apr",""),"may",""),"jun",""),"jul",""),"aug",""),"sep",""),"oct",""),"nov",""),"dec",""),"utc",""),"gmt",""),"myt",""),"bst",""),"rev",""),"ver",""),"b","a"),"c","a"),"d","a"),"e","a"),"f","a"),"g","a"),"h","a"),"i","a"),"j","a"),"k","a"),"l","a"),"m","a"),"n","a"),"o","a"),"p","a"),"q","a"),"r","a"),"s","a"),"t","a"),"u","a"),"v","a"),"w","a"),"x","a"),"y","a"),"z","a")</f>
        <v/>
      </c>
      <c r="BU194" s="61" t="str">
        <f aca="false">SUBSTITUTE(SUBSTITUTE(SUBSTITUTE(SUBSTITUTE(SUBSTITUTE(SUBSTITUTE(SUBSTITUTE(SUBSTITUTE(SUBSTITUTE(SUBSTITUTE(LEFT(BM194,FIND("0",BM194&amp;"0")-1),"-",""),"_",""),"/",""),".",""),"#",""),"\\",""),":","")," ",""),"(",""),")","")</f>
        <v/>
      </c>
      <c r="BV194" s="61" t="n">
        <f aca="false">0</f>
        <v>0</v>
      </c>
      <c r="BW1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194&amp;""),"a",""),"b",""),"c",""),"d",""),"e",""),"f",""),"g",""),"h",""),"i",""),"j",""),"k",""),"l",""),"m",""),"n",""),"o",""),"p",""),"q",""),"r",""),"s",""),"t",""),"u",""),"v",""),"w",""),"x",""),"y",""),"z",""),"-",""),"_",""),"/",""),".",""),"#",""),"\\",""),":","")," ",""),"(",""),")","")</f>
        <v/>
      </c>
      <c r="BX194" s="61" t="str">
        <f aca="false">SUBSTITUTE(SUBSTITUTE(SUBSTITUTE(SUBSTITUTE(SUBSTITUTE(SUBSTITUTE(SUBSTITUTE(SUBSTITUTE(SUBSTITUTE(SUBSTITUTE(SUBSTITUTE(BM194,"0",""),"-",""),"_",""),"/",""),".",""),"#",""),"\\",""),":","")," ",""),"(",""),")","")</f>
        <v/>
      </c>
      <c r="BY194" s="62" t="n">
        <f aca="false">Q194-T12EarlyH/24</f>
        <v>46309.6388888889</v>
      </c>
      <c r="BZ194" s="61" t="n">
        <f aca="false">IFERROR(IF(IF(TRIM(S194)="Link / file path",AND(LEN(TRIM(Z194))&gt;=5,SUMPRODUCT(--ISNUMBER(SEARCH({"http","www.","\\",":\",".pdf",".jpg",".jpeg",".png",".heic",".xls",".doc",".msg",".eml",".ppt",".txt",".zip"},Z194)))&gt;0),AND(ISERROR(FIND(" ",TRIM(Z194))),NOT(OR(SUMPRODUCT(--ISNUMBER(FIND({",",";","&amp;","+"},Z194)))&gt;0,SUMPRODUCT(--ISNUMBER(SEARCH({"0/aa","0\\aa"},BN194)))&gt;0)),NOT(SUMPRODUCT(--ISNUMBER(SEARCH({"http","www.","\\",":\",".pdf",".jpg",".jpeg",".png",".heic",".xls",".doc",".msg",".eml",".ppt",".txt",".zip"},Z194)))&gt;0),NOT(LOWER(TRIM(Z194))=LOWER(Flights!$F$10)),ISNA(MATCH(BU194,{"mh","rev","revision","ver","version","v","r","a","b","seat","tray","row","gate","bay","stand","page","pg","item","line","no","cart","galley","flight","flt","table","box","bag","oven","etd","eta","std","sta","atd","ata","qty","pax","x","time","tel","ph","mob","day","wk","week","utc","gmt","myt","lt"},0)),NOT(OR(ISNUMBER(MATCH(LEFT(BN194,255),{"0000a","000a","00a","0000aa","000aa","00aa","0aa","0000aaa","000aaa","00a00","0a00","0000-0000","00:00","a00","a0","00.00.0000","00/00/0000","00-00-0000","0000-00-00","0000/00/00","0000.00.00","00.00.00","00/00/00","00-00-00","0.00.0000","0/00/0000","0-00-0000"},0)),ISNUMBER(MATCH(LEFT(BT194,255),{"0000a","000a","00a","0000aa","000aa","00aa","0aa","0000aaa","000aaa","00a00","0a00","0000-0000","00:00","a00","a0","00.00.0000","00/00/0000","00-00-0000","0000-00-00","0000/00/00","0000.00.00","00.00.00","00/00/00","00-00-00","0.00.0000","0/00/0000","0-00-0000"},0)))),NOT(OR(AND(BW194&lt;&gt;"",SUBSTITUTE(BW194,"0","")=""),AND(LEN(BW194)&gt;=4,BW194=REPT(LEFT(BW194),LEN(BW194))),ISNUMBER(MATCH(BW194,{"123","1234","12345","123456","1234567","12345678","0123","01234","012345","98765","987654","54321"},0)),ISNUMBER(MATCH(BX194,{"x","xx","xxx","xxxx","xxxxx","abc","abcd","nil","na","nan","test","tbc","tba","tbd","dummy","sample","example","eg","zz","zzz","none","null","xyz","qwe","asd","id","ref"},0)),AND(LEN(BW194)=8,BX194="",OR(LEFT(BW194,3)="202",ISNUMBER(MATCH(RIGHT(BW194,4),{"2025","2026","2027"},0)))))),OR(AND((LEN(BT194)-LEN(SUBSTITUTE(BT194,"a","")))&gt;=1,(LEN(BN194)-LEN(SUBSTITUTE(BN194,"0","")))&gt;=2,SUMPRODUCT(--ISNUMBER(SEARCH({"a0","a-0","a_0","a/0","a.0","a#0","0a","0-a","0_a","0/a"},BN194)))&gt;0),AND((LEN(BN194)-LEN(SUBSTITUTE(BN194,"a","")))=0,(LEN(BN194)-LEN(SUBSTITUTE(BN194,"0","")))&gt;=5)))),1,0),0)</f>
        <v>0</v>
      </c>
      <c r="CA1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194,"revision",""),"version",""),"jan",""),"feb",""),"mar",""),"apr",""),"may",""),"jun",""),"jul",""),"aug",""),"sep",""),"oct",""),"nov",""),"dec",""),"utc",""),"gmt",""),"myt",""),"bst",""),"rev",""),"ver",""),"b","a"),"c","a"),"d","a"),"e","a"),"f","a"),"g","a"),"h","a"),"i","a"),"j","a"),"k","a"),"l","a"),"m","a"),"n","a"),"o","a"),"p","a"),"q","a"),"r","a"),"s","a"),"t","a"),"u","a"),"v","a"),"w","a"),"x","a"),"y","a"),"z","a")</f>
        <v/>
      </c>
      <c r="CB1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194&amp;""),"a",""),"b",""),"c",""),"d",""),"e",""),"f",""),"g",""),"h",""),"i",""),"j",""),"k",""),"l",""),"m",""),"n",""),"o",""),"p",""),"q",""),"r",""),"s",""),"t",""),"u",""),"v",""),"w",""),"x",""),"y",""),"z",""),"-",""),"_",""),"/",""),".",""),"#",""),"\\",""),":","")," ",""),"(",""),")","")</f>
        <v/>
      </c>
      <c r="CC194" s="0" t="str">
        <f aca="false">" "&amp;TRIM(SUBSTITUTE(SUBSTITUTE(SUBSTITUTE(SUBSTITUTE(SUBSTITUTE(SUBSTITUTE(SUBSTITUTE(SUBSTITUTE(SUBSTITUTE(SUBSTITUTE(SUBSTITUTE(SUBSTITUTE(SUBSTITUTE(SUBSTITUTE(SUBSTITUTE(SUBSTITUTE(SUBSTITUTE(SUBSTITUTE(SUBSTITUTE(SUBSTITUTE(SUBSTITUTE(SUBSTITUTE(SUBSTITUTE(SUBSTITUTE(LOWER(T194&amp;""),CHAR(10)," "),CHAR(13)," "),CHAR(9)," "),CHAR(160)," "),"."," "),","," "),"-"," "),"/"," "),"("," "),")"," "),":"," "),";"," "),"_"," "),"–"," "),"?"," "),"!"," "),"*"," "),"["," "),"]"," "),"'"," "),"#"," "),"+"," "),"&amp;"," "),"\"," "))&amp;" "</f>
        <v>  </v>
      </c>
      <c r="CD194" s="0" t="str">
        <f aca="false">" "&amp;TRIM(SUBSTITUTE(SUBSTITUTE(SUBSTITUTE(SUBSTITUTE(SUBSTITUTE(SUBSTITUTE(SUBSTITUTE(SUBSTITUTE(SUBSTITUTE(SUBSTITUTE(SUBSTITUTE(SUBSTITUTE(SUBSTITUTE(SUBSTITUTE(SUBSTITUTE(SUBSTITUTE(SUBSTITUTE(SUBSTITUTE(SUBSTITUTE(SUBSTITUTE(SUBSTITUTE(SUBSTITUTE(SUBSTITUTE(SUBSTITUTE(LOWER(AE194&amp;""),CHAR(10)," "),CHAR(13)," "),CHAR(9)," "),CHAR(160)," "),"."," "),","," "),"-"," "),"/"," "),"("," "),")"," "),":"," "),";"," "),"_"," "),"–"," "),"?"," "),"!"," "),"*"," "),"["," "),"]"," "),"'"," "),"#"," "),"+"," "),"&amp;"," "),"\"," "))&amp;" "</f>
        <v>  </v>
      </c>
      <c r="CE194" s="68" t="n">
        <f aca="false">IFERROR(IF(AND(LEN(AU194)&gt;0,LEN(AU194)=LEN(AX194),OR(TRIM(MID(SUBSTITUTE(TRIM(CC194)," ",REPT(" ",60)),1,60))="",ISNUMBER(SEARCH(" "&amp;TRIM(MID(SUBSTITUTE(TRIM(CC194)," ",REPT(" ",60)),1,60))&amp;" ",CD194))),OR(TRIM(MID(SUBSTITUTE(TRIM(CC194)," ",REPT(" ",60)),61,60))="",ISNUMBER(SEARCH(" "&amp;TRIM(MID(SUBSTITUTE(TRIM(CC194)," ",REPT(" ",60)),61,60))&amp;" ",CD194))),OR(TRIM(MID(SUBSTITUTE(TRIM(CC194)," ",REPT(" ",60)),121,60))="",ISNUMBER(SEARCH(" "&amp;TRIM(MID(SUBSTITUTE(TRIM(CC194)," ",REPT(" ",60)),121,60))&amp;" ",CD194)))),1,0),0)</f>
        <v>0</v>
      </c>
      <c r="CG194" s="68" t="n">
        <f aca="false">IFERROR(LEN(SUBSTITUTE(BF194," ",""))-SUMPRODUCT((LEN(BF194)-LEN(SUBSTITUTE(BF194," "&amp;L_NAFiller&amp;" "," ")))/(LEN(L_NAFiller)+1)*LEN(L_NAFiller)),0)</f>
        <v>0</v>
      </c>
    </row>
    <row r="195" customFormat="false" ht="41.25" hidden="false" customHeight="true" outlineLevel="0" collapsed="false">
      <c r="A195" s="57" t="s">
        <v>753</v>
      </c>
      <c r="B195" s="57" t="s">
        <v>231</v>
      </c>
      <c r="C195" s="57" t="str">
        <f aca="false">Flights!$F$10</f>
        <v>MH0002</v>
      </c>
      <c r="D195" s="58" t="n">
        <f aca="false">Flights!$D$10</f>
        <v>46310</v>
      </c>
      <c r="E195" s="57" t="str">
        <f aca="false">Flights!$G$10&amp;"-"&amp;Flights!$H$10</f>
        <v>KUL-LHR</v>
      </c>
      <c r="F195" s="57" t="str">
        <f aca="false">Flights!$K$10</f>
        <v>BC</v>
      </c>
      <c r="G195" s="57" t="s">
        <v>420</v>
      </c>
      <c r="H195" s="57" t="s">
        <v>378</v>
      </c>
      <c r="I195" s="57" t="s">
        <v>447</v>
      </c>
      <c r="J195" s="57" t="s">
        <v>626</v>
      </c>
      <c r="K195" s="67" t="s">
        <v>449</v>
      </c>
      <c r="L195" s="67" t="s">
        <v>754</v>
      </c>
      <c r="M195" s="67" t="s">
        <v>451</v>
      </c>
      <c r="N195" s="67" t="s">
        <v>383</v>
      </c>
      <c r="O195" s="67" t="s">
        <v>503</v>
      </c>
      <c r="P195" s="57" t="s">
        <v>187</v>
      </c>
      <c r="Q195" s="59" t="n">
        <f aca="false">ROUND((Flights!$AE$10)*1440,0)/1440</f>
        <v>46310.1388888889</v>
      </c>
      <c r="R195" s="59" t="n">
        <f aca="false">Q195+(IF(AND(INDEX(TZ_DSTS,MATCH(P195,TZ_STN,0))&lt;&gt;"",Q195&gt;=INDEX(TZ_DSTS,MATCH(P195,TZ_STN,0)),Q195&lt;INDEX(TZ_DSTE,MATCH(P195,TZ_STN,0))),INDEX(TZ_DST,MATCH(P195,TZ_STN,0)),INDEX(TZ_STD,MATCH(P195,TZ_STN,0))))/24</f>
        <v>46310.4722222222</v>
      </c>
      <c r="S195" s="60"/>
      <c r="T195" s="60"/>
      <c r="U195" s="60"/>
      <c r="V195" s="60"/>
      <c r="W195" s="61"/>
      <c r="X195" s="60"/>
      <c r="Y195" s="60"/>
      <c r="Z195" s="60"/>
      <c r="AA195" s="60"/>
      <c r="AB195" s="60"/>
      <c r="AC195" s="60"/>
      <c r="AD195" s="66"/>
      <c r="AE195" s="60"/>
      <c r="AF195" s="61" t="str">
        <f aca="false">IF(AND(ISNUMBER(X195),ISNUMBER(Y195)),Y195-X195,"")</f>
        <v/>
      </c>
      <c r="AG195" s="62" t="str">
        <f aca="false">IF(ISNUMBER(AD195),AD195-(IF(AND(INDEX(TZ_DSTS,MATCH(P195,TZ_STN,0))&lt;&gt;"",(AD195-INDEX(TZ_STD,MATCH(P195,TZ_STN,0))/24)&gt;=INDEX(TZ_DSTS,MATCH(P195,TZ_STN,0)),(AD195-INDEX(TZ_STD,MATCH(P195,TZ_STN,0))/24)&lt;INDEX(TZ_DSTE,MATCH(P195,TZ_STN,0))),INDEX(TZ_DST,MATCH(P195,TZ_STN,0)),INDEX(TZ_STD,MATCH(P195,TZ_STN,0))))/24,"")</f>
        <v/>
      </c>
      <c r="AH195" s="65" t="str">
        <f aca="false">IFERROR(IF(N195="N/A – rule",IF(OR(TRIM(U195)="",TRIM(U195)="N/A",TRIM(U195)="Not started"),"N/A – RULE","INVALID – this check does not apply to this aircraft: clear the status (or correct the fleet on Flights)"),IF(TRIM(U195)="N/A",IF(AT195=0,"INVALID – N/A not permitted for this check",IF(AND(TRIM(AB195)&lt;&gt;"",TRIM(AB195)&lt;&gt;"Closed"),"INVALID – corrective action still open",IF(AND(NOT(OR(LEN(AZ195)&lt;15,ISNUMBER(MATCH(AZ195,L_Placeholder,0)))),BK195=0,CG195&gt;=8,NOT(OR(LEN(AU195)&lt;2,ISNUMBER(MATCH(AU195,L_Placeholder,0)))),BR195&gt;=3,NOT(OR(LEN(AX195)&lt;2,ISNUMBER(MATCH(AX195,L_Placeholder,0)))),BS195&gt;=3,TRIM(AE195)&lt;&gt;TRIM(T195),AX195&lt;&gt;AU195,CE195=0),"N/A – JUSTIFIED","INVALID – N/A needs a real, settled reason (not 'not applicable' / 'as above' / TBC), a named PIC and a different named verifier"))),IF(OR(TRIM(U195)="Pass",TRIM(U195)="Pass after CA"),IF(NOT(ISNUMBER(AD195)),"INVALID – completion time missing",IF(OR(OR(LEN(AU195)&lt;2,ISNUMBER(MATCH(AU195,L_Placeholder,0))),BR195&lt;3),"INVALID – PIC missing or not a named person (a role such as QA / CSM is not a name)",IF(OR(LEN(AV195)&lt;2,ISNUMBER(MATCH(AV195,L_Placeholder,0))),"INVALID – result / assessment missing",IF(OR(OR(LEN(AW195)&lt;3,ISNUMBER(MATCH(AW195,L_Placeholder,0))),SUMPRODUCT(--ISNUMBER(SEARCH(" "&amp;L_EvidencePhrase&amp;" ",BD195)))&gt;0,BI195=1),"INVALID – evidence missing, placeholder or not yet on file",IF(ISNA(MATCH(TRIM(S195),L_EvidenceType,0)),"INVALID – choose the evidence type from the list (column S)",IF(BL195=0,"INVALID – evidence ID must be the record's own ID only (e.g. SF-2210, IMG_2231, 1045521); a link / file name needs type 'Link / file path'",IF(OR(OR(LEN(AX195)&lt;2,ISNUMBER(MATCH(AX195,L_Placeholder,0))),BS195&lt;3),"INVALID – verifier missing or not a named person (a role such as QA / CSM is not a name)",IF(OR(AX195=AU195,CE195=1,AND(LEN(AU195)&gt;=4,ISNUMBER(SEARCH(AU195,AX195))),AND(LEN(AX195)&gt;=4,ISNUMBER(SEARCH(AX195,AU195)))),"INVALID – verifier must be a different, named person (not the PIC or a role)",IF(BH195=1,"INVALID – result not yet available (awaiting / TBC)",IF(BG195=1,"INVALID – result describes a problem: record Fail, then Pass after CA (or reword if it is not a problem)",IF(BV195=1,"INVALID – wording says not on board: an on-board confirmation needs the item loaded",IF(AND(AQ195=1,OR(OR(LEN(AY195)&lt;3,ISNUMBER(MATCH(AY195,L_Placeholder,0))),BJ195=1,BQ195=0)),"INVALID – batch ID missing, placeholder or not an ID (e.g. PASB-261008-BC-017)",IF(AND(AR195=1,OR(NOT(ISNUMBER(X195)),NOT(ISNUMBER(Y195)))),"INVALID – expected/actual qty missing",IF(AND(AR195=1,OR(X195&lt;=0,Y195&lt;0)),"INVALID – expected qty must be above 0 and actual not negative",IF(BB195&lt;&gt;"",BB195,IF(AND(AS195=1,Documents!$J$10&lt;&gt;"ON FILE"),"INVALID – GLD not on file (Documents sheet)",IF(AND(AS195=2,Documents!$O$10&lt;&gt;"ON FILE"),"INVALID – menu checklist not on file (Documents sheet)",IF(AND(AS195=3,NOT(ISNUMBER(Flights!$AX$10))),"INVALID – enter carrying flight KUL departure (Flights AX)",IF(AND(AS195=3,OR(Flights!$AZ$10&gt;Flights!$AA$10,Flights!$AX$10&lt;Flights!$AA$10-3)),"INVALID – carrying flight (Flights AX) cannot arrive before this leg's STD, or is over 3 days early",IF(AG195&gt;AsOfUTC,"INVALID – completion time is in the future",IF(AND(ISNUMBER(BY195),AG195&lt;BY195),IF(H195="Physical uplift","INVALID – before uplift window (cannot confirm loading)","INVALID – before valid window"),IF(AG195&gt;Flights!$AA$10,"INVALID – completed after departure (cannot establish readiness)",IF(AND(H195="Preparation",AG195&gt;=IF(ISNUMBER(Flights!$BA$10),MIN(Flights!$BA$10,Flights!$AA$10),Flights!$AA$10)),"INVALID – completed after loading / departure (cannot establish readiness)",IF(AND(H195="Physical uplift",AG195&gt;Q195),"INVALID – recorded after the loading flight departed",IF(AG195&gt;Q195,"COMPLETE – LATE","COMPLETE"))))))))))))))))))))))))),IF(TRIM(U195)="Fail","FAIL – DISCREPANCY",IF(AND(TRIM(U195)&lt;&gt;"",TRIM(U195)&lt;&gt;"Not started",TRIM(U195)&lt;&gt;"In progress"),"INVALID – unrecognised status (use the list)",IF(AsOfUTC&gt;Q195,"OVERDUE",IF(N195="Clarification required","OPEN – CLARIFICATION","OPEN"))))))),"INVALID – error value in an input cell")</f>
        <v>OPEN</v>
      </c>
      <c r="AI195" s="61" t="n">
        <f aca="false">IF(OR(AH195="N/A – RULE",AH195="N/A – JUSTIFIED"),0,1)</f>
        <v>1</v>
      </c>
      <c r="AJ195" s="61" t="n">
        <f aca="false">IF(LEFT(AH195,8)="COMPLETE",1,0)</f>
        <v>0</v>
      </c>
      <c r="AK195" s="61" t="n">
        <f aca="false">IF(AND(AI195=1,AJ195=0,AsOfUTC&gt;Q195),1,0)</f>
        <v>0</v>
      </c>
      <c r="AL195" s="61" t="n">
        <f aca="false">IFERROR(IF(AND(AI195=1,OR(TRIM(U195)="Fail",AND(TRIM(AB195)&lt;&gt;"",TRIM(AB195)&lt;&gt;"Closed"),AND(ISNUMBER(AF195),AF195&lt;&gt;0,TRIM(U195)&lt;&gt;"Pass after CA"))),1,0),1)</f>
        <v>0</v>
      </c>
      <c r="AM195" s="61" t="n">
        <f aca="false">IF(LEFT(AH195,7)="INVALID",1,0)</f>
        <v>0</v>
      </c>
      <c r="AN195" s="61" t="n">
        <f aca="false">IF(AND(N195="Clarification required",AI195=1,AJ195=0),1,0)</f>
        <v>0</v>
      </c>
      <c r="AO195" s="61" t="str">
        <f aca="false">IF(AK195=1,SUM(AK$5:AK195),"")</f>
        <v/>
      </c>
      <c r="AP195" s="61" t="str">
        <f aca="false">IF(AL195=1,SUM(AL$5:AL195),"")</f>
        <v/>
      </c>
      <c r="AQ195" s="61" t="n">
        <v>0</v>
      </c>
      <c r="AR195" s="61" t="n">
        <v>0</v>
      </c>
      <c r="AS195" s="61" t="n">
        <v>0</v>
      </c>
      <c r="AT195" s="61" t="n">
        <v>0</v>
      </c>
      <c r="AU195" s="61" t="str">
        <f aca="false">SUBSTITUTE(SUBSTITUTE(SUBSTITUTE(SUBSTITUTE(SUBSTITUTE(SUBSTITUTE(SUBSTITUTE(SUBSTITUTE(SUBSTITUTE(SUBSTITUTE(SUBSTITUTE(SUBSTITUTE(SUBSTITUTE(SUBSTITUTE(SUBSTITUTE(SUBSTITUTE(LOWER(T195&amp;""),CHAR(10),""),CHAR(13),""),CHAR(9),""),CHAR(160),"")," ",""),".",""),"-",""),"/",""),"?",""),"_",""),",",""),"[",""),"]",""),"(",""),")",""),"*","")</f>
        <v/>
      </c>
      <c r="AV195" s="61" t="str">
        <f aca="false">SUBSTITUTE(SUBSTITUTE(SUBSTITUTE(SUBSTITUTE(SUBSTITUTE(SUBSTITUTE(SUBSTITUTE(SUBSTITUTE(SUBSTITUTE(SUBSTITUTE(SUBSTITUTE(SUBSTITUTE(SUBSTITUTE(SUBSTITUTE(SUBSTITUTE(SUBSTITUTE(LOWER(V195&amp;""),CHAR(10),""),CHAR(13),""),CHAR(9),""),CHAR(160),"")," ",""),".",""),"-",""),"/",""),"?",""),"_",""),",",""),"[",""),"]",""),"(",""),")",""),"*","")</f>
        <v/>
      </c>
      <c r="AW195" s="61" t="str">
        <f aca="false">SUBSTITUTE(SUBSTITUTE(SUBSTITUTE(SUBSTITUTE(SUBSTITUTE(SUBSTITUTE(SUBSTITUTE(SUBSTITUTE(SUBSTITUTE(SUBSTITUTE(SUBSTITUTE(SUBSTITUTE(SUBSTITUTE(SUBSTITUTE(SUBSTITUTE(SUBSTITUTE(LOWER(Z195&amp;""),CHAR(10),""),CHAR(13),""),CHAR(9),""),CHAR(160),"")," ",""),".",""),"-",""),"/",""),"?",""),"_",""),",",""),"[",""),"]",""),"(",""),")",""),"*","")</f>
        <v/>
      </c>
      <c r="AX195" s="61" t="str">
        <f aca="false">SUBSTITUTE(SUBSTITUTE(SUBSTITUTE(SUBSTITUTE(SUBSTITUTE(SUBSTITUTE(SUBSTITUTE(SUBSTITUTE(SUBSTITUTE(SUBSTITUTE(SUBSTITUTE(SUBSTITUTE(SUBSTITUTE(SUBSTITUTE(SUBSTITUTE(SUBSTITUTE(LOWER(AE195&amp;""),CHAR(10),""),CHAR(13),""),CHAR(9),""),CHAR(160),"")," ",""),".",""),"-",""),"/",""),"?",""),"_",""),",",""),"[",""),"]",""),"(",""),")",""),"*","")</f>
        <v/>
      </c>
      <c r="AY195" s="61" t="str">
        <f aca="false">SUBSTITUTE(SUBSTITUTE(SUBSTITUTE(SUBSTITUTE(SUBSTITUTE(SUBSTITUTE(SUBSTITUTE(SUBSTITUTE(SUBSTITUTE(SUBSTITUTE(SUBSTITUTE(SUBSTITUTE(SUBSTITUTE(SUBSTITUTE(SUBSTITUTE(SUBSTITUTE(LOWER(W195&amp;""),CHAR(10),""),CHAR(13),""),CHAR(9),""),CHAR(160),"")," ",""),".",""),"-",""),"/",""),"?",""),"_",""),",",""),"[",""),"]",""),"(",""),")",""),"*","")</f>
        <v/>
      </c>
      <c r="AZ195" s="61" t="str">
        <f aca="false">SUBSTITUTE(SUBSTITUTE(SUBSTITUTE(SUBSTITUTE(SUBSTITUTE(SUBSTITUTE(SUBSTITUTE(SUBSTITUTE(SUBSTITUTE(SUBSTITUTE(SUBSTITUTE(SUBSTITUTE(SUBSTITUTE(SUBSTITUTE(SUBSTITUTE(SUBSTITUTE(LOWER(AC195&amp;""),CHAR(10),""),CHAR(13),""),CHAR(9),""),CHAR(160),"")," ",""),".",""),"-",""),"/",""),"?",""),"_",""),",",""),"[",""),"]",""),"(",""),")",""),"*","")</f>
        <v/>
      </c>
      <c r="BA195" s="61" t="str">
        <f aca="false">SUBSTITUTE(SUBSTITUTE(SUBSTITUTE(SUBSTITUTE(SUBSTITUTE(SUBSTITUTE(SUBSTITUTE(SUBSTITUTE(SUBSTITUTE(SUBSTITUTE(SUBSTITUTE(SUBSTITUTE(SUBSTITUTE(SUBSTITUTE(SUBSTITUTE(SUBSTITUTE(LOWER(AA195&amp;""),CHAR(10),""),CHAR(13),""),CHAR(9),""),CHAR(160),"")," ",""),".",""),"-",""),"/",""),"?",""),"_",""),",",""),"[",""),"]",""),"(",""),")",""),"*","")</f>
        <v/>
      </c>
      <c r="BB195" s="61" t="str">
        <f aca="false">IF(AND(TRIM(U195)="Pass",ISNUMBER(AF195)),IF(AF195&lt;&gt;0,"INVALID – qty variance: use Fail or Pass after CA",""),"")&amp;IF(AND(TRIM(U195)="Pass after CA",ISNUMBER(AF195)),IF(AF195&lt;&gt;0,"INVALID – after the corrective action the actual qty must equal expected (update Actual)",""),"")&amp;IF(AND(TRIM(U195)="Pass",TRIM(AB195)&lt;&gt;"",TRIM(AB195)&lt;&gt;"Closed"),"INVALID – corrective action not closed: use Fail, then Pass after CA","")&amp;IF(AND(LEN(BA195)&gt;=2,ISNA(MATCH(LEFT(BA195,255),L_Placeholder,0)),TRIM(AB195)=""),"INVALID – CA status missing for the recorded corrective action","")&amp;IF(AND(TRIM(U195)="Pass after CA",OR(OR(LEN(BA195)&lt;5,ISNUMBER(MATCH(BA195,L_Placeholder,0))),TRIM(AB195)&lt;&gt;"Closed")),"INVALID – corrective action not recorded/closed","")</f>
        <v/>
      </c>
      <c r="BC195" s="61" t="str">
        <f aca="false">" "&amp;TRIM(SUBSTITUTE(SUBSTITUTE(SUBSTITUTE(SUBSTITUTE(SUBSTITUTE(SUBSTITUTE(SUBSTITUTE(SUBSTITUTE(SUBSTITUTE(SUBSTITUTE(SUBSTITUTE(SUBSTITUTE(SUBSTITUTE(SUBSTITUTE(SUBSTITUTE(SUBSTITUTE(SUBSTITUTE(SUBSTITUTE(SUBSTITUTE(SUBSTITUTE(SUBSTITUTE(SUBSTITUTE(SUBSTITUTE(SUBSTITUTE(LOWER(V195&amp;""),CHAR(10)," "),CHAR(13)," "),CHAR(9)," "),CHAR(160)," "),"."," "),","," "),"-"," "),"/"," "),"("," "),")"," "),":"," "),";"," "),"_"," "),"–"," "),"?"," "),"!"," "),"*"," "),"["," "),"]"," "),"'"," "),"#"," "),"+"," "),"&amp;"," "),"\"," "))&amp;" "</f>
        <v>  </v>
      </c>
      <c r="BD195" s="61" t="str">
        <f aca="false">" "&amp;TRIM(SUBSTITUTE(SUBSTITUTE(SUBSTITUTE(SUBSTITUTE(SUBSTITUTE(SUBSTITUTE(SUBSTITUTE(SUBSTITUTE(SUBSTITUTE(SUBSTITUTE(SUBSTITUTE(SUBSTITUTE(SUBSTITUTE(SUBSTITUTE(SUBSTITUTE(SUBSTITUTE(SUBSTITUTE(SUBSTITUTE(SUBSTITUTE(SUBSTITUTE(SUBSTITUTE(SUBSTITUTE(SUBSTITUTE(SUBSTITUTE(LOWER(Z195&amp;""),CHAR(10)," "),CHAR(13)," "),CHAR(9)," "),CHAR(160)," "),"."," "),","," "),"-"," "),"/"," "),"("," "),")"," "),":"," "),";"," "),"_"," "),"–"," "),"?"," "),"!"," "),"*"," "),"["," "),"]"," "),"'"," "),"#"," "),"+"," "),"&amp;"," "),"\"," "))&amp;" "</f>
        <v>  </v>
      </c>
      <c r="BE195" s="61" t="str">
        <f aca="false">" "&amp;TRIM(SUBSTITUTE(SUBSTITUTE(SUBSTITUTE(SUBSTITUTE(SUBSTITUTE(SUBSTITUTE(SUBSTITUTE(SUBSTITUTE(SUBSTITUTE(SUBSTITUTE(SUBSTITUTE(SUBSTITUTE(SUBSTITUTE(SUBSTITUTE(SUBSTITUTE(SUBSTITUTE(SUBSTITUTE(SUBSTITUTE(SUBSTITUTE(SUBSTITUTE(SUBSTITUTE(SUBSTITUTE(SUBSTITUTE(SUBSTITUTE(LOWER(W195&amp;""),CHAR(10)," "),CHAR(13)," "),CHAR(9)," "),CHAR(160)," "),"."," "),","," "),"-"," "),"/"," "),"("," "),")"," "),":"," "),";"," "),"_"," "),"–"," "),"?"," "),"!"," "),"*"," "),"["," "),"]"," "),"'"," "),"#"," "),"+"," "),"&amp;"," "),"\"," "))&amp;" "</f>
        <v>  </v>
      </c>
      <c r="BF195" s="61" t="str">
        <f aca="false">" "&amp;TRIM(SUBSTITUTE(SUBSTITUTE(SUBSTITUTE(SUBSTITUTE(SUBSTITUTE(SUBSTITUTE(SUBSTITUTE(SUBSTITUTE(SUBSTITUTE(SUBSTITUTE(SUBSTITUTE(SUBSTITUTE(SUBSTITUTE(SUBSTITUTE(SUBSTITUTE(SUBSTITUTE(SUBSTITUTE(SUBSTITUTE(SUBSTITUTE(SUBSTITUTE(SUBSTITUTE(SUBSTITUTE(SUBSTITUTE(SUBSTITUTE(LOWER(AC195&amp;""),CHAR(10)," "),CHAR(13)," "),CHAR(9)," "),CHAR(160)," "),"."," "),","," "),"-"," "),"/"," "),"("," "),")"," "),":"," "),";"," "),"_"," "),"–"," "),"?"," "),"!"," "),"*"," "),"["," "),"]"," "),"'"," "),"#"," "),"+"," "),"&amp;"," "),"\"," "))&amp;" "</f>
        <v>  </v>
      </c>
      <c r="BG195" s="61" t="n">
        <f aca="false">IFERROR(IF(AND(TRIM(U195)="Pass",SUMPRODUCT((LEN(BC195)-LEN(SUBSTITUTE(BC195," "&amp;L_ResultBad&amp;" "," ")))/(LEN(L_ResultBad)+1))&gt;SUMPRODUCT((LEN(BC195)-LEN(SUBSTITUTE(BC195," "&amp;L_NegPhrase&amp;" "," ")))/(LEN(L_NegPhrase)+1))),1,0),0)</f>
        <v>0</v>
      </c>
      <c r="BH195" s="61" t="n">
        <f aca="false">IFERROR(IF(SUMPRODUCT((LEN(BC195)-LEN(SUBSTITUTE(BC195," "&amp;L_Pending&amp;" "," ")))/(LEN(L_Pending)+1))&gt;SUMPRODUCT((LEN(BC195)-LEN(SUBSTITUTE(BC195," "&amp;L_PendNeg&amp;" "," ")))/(LEN(L_PendNeg)+1))+SUMPRODUCT((LEN(BC195)-LEN(SUBSTITUTE(BC195," "&amp;L_PendPrep&amp;" "," ")))/(LEN(L_PendPrep)+1)),1,0),1)</f>
        <v>0</v>
      </c>
      <c r="BI195" s="61" t="n">
        <f aca="false">IFERROR(IF(SUMPRODUCT((LEN(BD195)-LEN(SUBSTITUTE(BD195," "&amp;L_PendStrict&amp;" "," ")))/(LEN(L_PendStrict)+1))&gt;SUMPRODUCT((LEN(BD195)-LEN(SUBSTITUTE(BD195," "&amp;L_PendNeg&amp;" "," ")))/(LEN(L_PendNeg)+1)),1,0),1)</f>
        <v>0</v>
      </c>
      <c r="BJ195" s="61" t="n">
        <f aca="false">IFERROR(IF(SUMPRODUCT((LEN(BE195)-LEN(SUBSTITUTE(BE195," "&amp;L_Pending&amp;" "," ")))/(LEN(L_Pending)+1))&gt;SUMPRODUCT((LEN(BE195)-LEN(SUBSTITUTE(BE195," "&amp;L_PendNeg&amp;" "," ")))/(LEN(L_PendNeg)+1))+SUMPRODUCT((LEN(BE195)-LEN(SUBSTITUTE(BE195," "&amp;L_PendPrep&amp;" "," ")))/(LEN(L_PendPrep)+1)),1,0),1)</f>
        <v>0</v>
      </c>
      <c r="BK195" s="61" t="n">
        <f aca="false">IFERROR(IF(SUMPRODUCT((LEN(BF195)-LEN(SUBSTITUTE(BF195," "&amp;L_PendStrict&amp;" "," ")))/(LEN(L_PendStrict)+1))&gt;SUMPRODUCT((LEN(BF195)-LEN(SUBSTITUTE(BF195," "&amp;L_PendNeg&amp;" "," ")))/(LEN(L_PendNeg)+1)),1,0),1)</f>
        <v>0</v>
      </c>
      <c r="BL195" s="61" t="n">
        <f aca="false">IF(ISNA(MATCH(TRIM(S195),L_EvidenceType,0)),0,BZ195)</f>
        <v>0</v>
      </c>
      <c r="BM195" s="61" t="str">
        <f aca="false">SUBSTITUTE(SUBSTITUTE(SUBSTITUTE(SUBSTITUTE(SUBSTITUTE(SUBSTITUTE(SUBSTITUTE(SUBSTITUTE(SUBSTITUTE(LOWER(Z195&amp;""),"1","0"),"2","0"),"3","0"),"4","0"),"5","0"),"6","0"),"7","0"),"8","0"),"9","0")</f>
        <v/>
      </c>
      <c r="BN195" s="61" t="str">
        <f aca="false">SUBSTITUTE(SUBSTITUTE(SUBSTITUTE(SUBSTITUTE(SUBSTITUTE(SUBSTITUTE(SUBSTITUTE(SUBSTITUTE(SUBSTITUTE(SUBSTITUTE(SUBSTITUTE(SUBSTITUTE(SUBSTITUTE(SUBSTITUTE(SUBSTITUTE(SUBSTITUTE(SUBSTITUTE(SUBSTITUTE(SUBSTITUTE(SUBSTITUTE(SUBSTITUTE(SUBSTITUTE(SUBSTITUTE(SUBSTITUTE(SUBSTITUTE(BM195,"b","a"),"c","a"),"d","a"),"e","a"),"f","a"),"g","a"),"h","a"),"i","a"),"j","a"),"k","a"),"l","a"),"m","a"),"n","a"),"o","a"),"p","a"),"q","a"),"r","a"),"s","a"),"t","a"),"u","a"),"v","a"),"w","a"),"x","a"),"y","a"),"z","a")</f>
        <v/>
      </c>
      <c r="BO195" s="61" t="str">
        <f aca="false">SUBSTITUTE(SUBSTITUTE(SUBSTITUTE(SUBSTITUTE(SUBSTITUTE(SUBSTITUTE(SUBSTITUTE(SUBSTITUTE(SUBSTITUTE(LOWER(W195&amp;""),"1","0"),"2","0"),"3","0"),"4","0"),"5","0"),"6","0"),"7","0"),"8","0"),"9","0")</f>
        <v/>
      </c>
      <c r="BP195" s="61" t="str">
        <f aca="false">SUBSTITUTE(SUBSTITUTE(SUBSTITUTE(SUBSTITUTE(SUBSTITUTE(SUBSTITUTE(SUBSTITUTE(SUBSTITUTE(SUBSTITUTE(SUBSTITUTE(SUBSTITUTE(SUBSTITUTE(SUBSTITUTE(SUBSTITUTE(SUBSTITUTE(SUBSTITUTE(SUBSTITUTE(SUBSTITUTE(SUBSTITUTE(SUBSTITUTE(SUBSTITUTE(SUBSTITUTE(SUBSTITUTE(SUBSTITUTE(SUBSTITUTE(BO195,"b","a"),"c","a"),"d","a"),"e","a"),"f","a"),"g","a"),"h","a"),"i","a"),"j","a"),"k","a"),"l","a"),"m","a"),"n","a"),"o","a"),"p","a"),"q","a"),"r","a"),"s","a"),"t","a"),"u","a"),"v","a"),"w","a"),"x","a"),"y","a"),"z","a")</f>
        <v/>
      </c>
      <c r="BQ195" s="61" t="n">
        <f aca="false">IFERROR(IF(AND(ISERROR(SEARCH(" mh"," "&amp;LOWER(W195))),ISNA(MATCH(LEFT(TRIM(BP195),255),{"0000a","000a","00a","0000aa","000aa","00aa","0aa","0000aaa","000aaa","00a00","0a00","0000-0000","00:00","a00","a0","00.00.0000","00/00/0000","00-00-0000","0000-00-00","0000/00/00","0000.00.00","00.00.00","00/00/00","00-00-00","0.00.0000","0/00/0000","0-00-0000"},0)),ISNA(MATCH(LEFT(TRIM(CA195),255),{"0000a","000a","00a","0000aa","000aa","00aa","0aa","0000aaa","000aaa","00a00","0a00","0000-0000","00:00","a00","a0","00.00.0000","00/00/0000","00-00-0000","0000-00-00","0000/00/00","0000.00.00","00.00.00","00/00/00","00-00-00","0.00.0000","0/00/0000","0-00-0000"},0)),LEN(CB195)&gt;=3,NOT(OR(SUBSTITUTE(CB195,"0","")="",AND(LEN(CB195)&gt;=4,CB195=REPT(LEFT(CB195),LEN(CB195))),ISNUMBER(MATCH(CB195,{"123","1234","12345","123456","1234567","12345678","0123","01234","012345","98765","987654","54321"},0)),AND(LEN(CB195)=8,LEFT(CB195,3)="202"))),OR(AND((LEN(CA195)-LEN(SUBSTITUTE(CA195,"a","")))&gt;=1,SUMPRODUCT(--ISNUMBER(SEARCH({"a0","a-0","a_0","a/0","a.0","a#0","0a","0-a","0_a","0/a"},BP195)))&gt;0),ISNUMBER(SEARCH("000000",BP195)))),1,0),0)</f>
        <v>0</v>
      </c>
      <c r="BR195" s="61" t="n">
        <f aca="false">IFERROR(LEN(SUBSTITUTE(CC195," ",""))-SUMPRODUCT((LEN(CC195)-LEN(SUBSTITUTE(CC195," "&amp;L_Role&amp;" "," ")))/(LEN(L_Role)+1)*LEN(L_Role)),0)</f>
        <v>0</v>
      </c>
      <c r="BS195" s="61" t="n">
        <f aca="false">IFERROR(LEN(SUBSTITUTE(CD195," ",""))-SUMPRODUCT((LEN(CD195)-LEN(SUBSTITUTE(CD195," "&amp;L_Role&amp;" "," ")))/(LEN(L_Role)+1)*LEN(L_Role)),0)</f>
        <v>0</v>
      </c>
      <c r="BT1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195,"revision",""),"version",""),"jan",""),"feb",""),"mar",""),"apr",""),"may",""),"jun",""),"jul",""),"aug",""),"sep",""),"oct",""),"nov",""),"dec",""),"utc",""),"gmt",""),"myt",""),"bst",""),"rev",""),"ver",""),"b","a"),"c","a"),"d","a"),"e","a"),"f","a"),"g","a"),"h","a"),"i","a"),"j","a"),"k","a"),"l","a"),"m","a"),"n","a"),"o","a"),"p","a"),"q","a"),"r","a"),"s","a"),"t","a"),"u","a"),"v","a"),"w","a"),"x","a"),"y","a"),"z","a")</f>
        <v/>
      </c>
      <c r="BU195" s="61" t="str">
        <f aca="false">SUBSTITUTE(SUBSTITUTE(SUBSTITUTE(SUBSTITUTE(SUBSTITUTE(SUBSTITUTE(SUBSTITUTE(SUBSTITUTE(SUBSTITUTE(SUBSTITUTE(LEFT(BM195,FIND("0",BM195&amp;"0")-1),"-",""),"_",""),"/",""),".",""),"#",""),"\\",""),":","")," ",""),"(",""),")","")</f>
        <v/>
      </c>
      <c r="BV195" s="61" t="n">
        <f aca="false">0</f>
        <v>0</v>
      </c>
      <c r="BW1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195&amp;""),"a",""),"b",""),"c",""),"d",""),"e",""),"f",""),"g",""),"h",""),"i",""),"j",""),"k",""),"l",""),"m",""),"n",""),"o",""),"p",""),"q",""),"r",""),"s",""),"t",""),"u",""),"v",""),"w",""),"x",""),"y",""),"z",""),"-",""),"_",""),"/",""),".",""),"#",""),"\\",""),":","")," ",""),"(",""),")","")</f>
        <v/>
      </c>
      <c r="BX195" s="61" t="str">
        <f aca="false">SUBSTITUTE(SUBSTITUTE(SUBSTITUTE(SUBSTITUTE(SUBSTITUTE(SUBSTITUTE(SUBSTITUTE(SUBSTITUTE(SUBSTITUTE(SUBSTITUTE(SUBSTITUTE(BM195,"0",""),"-",""),"_",""),"/",""),".",""),"#",""),"\\",""),":","")," ",""),"(",""),")","")</f>
        <v/>
      </c>
      <c r="BY195" s="62" t="n">
        <f aca="false">Q195-T12EarlyH/24</f>
        <v>46309.6388888889</v>
      </c>
      <c r="BZ195" s="61" t="n">
        <f aca="false">IFERROR(IF(IF(TRIM(S195)="Link / file path",AND(LEN(TRIM(Z195))&gt;=5,SUMPRODUCT(--ISNUMBER(SEARCH({"http","www.","\\",":\",".pdf",".jpg",".jpeg",".png",".heic",".xls",".doc",".msg",".eml",".ppt",".txt",".zip"},Z195)))&gt;0),AND(ISERROR(FIND(" ",TRIM(Z195))),NOT(OR(SUMPRODUCT(--ISNUMBER(FIND({",",";","&amp;","+"},Z195)))&gt;0,SUMPRODUCT(--ISNUMBER(SEARCH({"0/aa","0\\aa"},BN195)))&gt;0)),NOT(SUMPRODUCT(--ISNUMBER(SEARCH({"http","www.","\\",":\",".pdf",".jpg",".jpeg",".png",".heic",".xls",".doc",".msg",".eml",".ppt",".txt",".zip"},Z195)))&gt;0),NOT(LOWER(TRIM(Z195))=LOWER(Flights!$F$10)),ISNA(MATCH(BU195,{"mh","rev","revision","ver","version","v","r","a","b","seat","tray","row","gate","bay","stand","page","pg","item","line","no","cart","galley","flight","flt","table","box","bag","oven","etd","eta","std","sta","atd","ata","qty","pax","x","time","tel","ph","mob","day","wk","week","utc","gmt","myt","lt"},0)),NOT(OR(ISNUMBER(MATCH(LEFT(BN195,255),{"0000a","000a","00a","0000aa","000aa","00aa","0aa","0000aaa","000aaa","00a00","0a00","0000-0000","00:00","a00","a0","00.00.0000","00/00/0000","00-00-0000","0000-00-00","0000/00/00","0000.00.00","00.00.00","00/00/00","00-00-00","0.00.0000","0/00/0000","0-00-0000"},0)),ISNUMBER(MATCH(LEFT(BT195,255),{"0000a","000a","00a","0000aa","000aa","00aa","0aa","0000aaa","000aaa","00a00","0a00","0000-0000","00:00","a00","a0","00.00.0000","00/00/0000","00-00-0000","0000-00-00","0000/00/00","0000.00.00","00.00.00","00/00/00","00-00-00","0.00.0000","0/00/0000","0-00-0000"},0)))),NOT(OR(AND(BW195&lt;&gt;"",SUBSTITUTE(BW195,"0","")=""),AND(LEN(BW195)&gt;=4,BW195=REPT(LEFT(BW195),LEN(BW195))),ISNUMBER(MATCH(BW195,{"123","1234","12345","123456","1234567","12345678","0123","01234","012345","98765","987654","54321"},0)),ISNUMBER(MATCH(BX195,{"x","xx","xxx","xxxx","xxxxx","abc","abcd","nil","na","nan","test","tbc","tba","tbd","dummy","sample","example","eg","zz","zzz","none","null","xyz","qwe","asd","id","ref"},0)),AND(LEN(BW195)=8,BX195="",OR(LEFT(BW195,3)="202",ISNUMBER(MATCH(RIGHT(BW195,4),{"2025","2026","2027"},0)))))),OR(AND((LEN(BT195)-LEN(SUBSTITUTE(BT195,"a","")))&gt;=1,(LEN(BN195)-LEN(SUBSTITUTE(BN195,"0","")))&gt;=2,SUMPRODUCT(--ISNUMBER(SEARCH({"a0","a-0","a_0","a/0","a.0","a#0","0a","0-a","0_a","0/a"},BN195)))&gt;0),AND((LEN(BN195)-LEN(SUBSTITUTE(BN195,"a","")))=0,(LEN(BN195)-LEN(SUBSTITUTE(BN195,"0","")))&gt;=5)))),1,0),0)</f>
        <v>0</v>
      </c>
      <c r="CA1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195,"revision",""),"version",""),"jan",""),"feb",""),"mar",""),"apr",""),"may",""),"jun",""),"jul",""),"aug",""),"sep",""),"oct",""),"nov",""),"dec",""),"utc",""),"gmt",""),"myt",""),"bst",""),"rev",""),"ver",""),"b","a"),"c","a"),"d","a"),"e","a"),"f","a"),"g","a"),"h","a"),"i","a"),"j","a"),"k","a"),"l","a"),"m","a"),"n","a"),"o","a"),"p","a"),"q","a"),"r","a"),"s","a"),"t","a"),"u","a"),"v","a"),"w","a"),"x","a"),"y","a"),"z","a")</f>
        <v/>
      </c>
      <c r="CB1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195&amp;""),"a",""),"b",""),"c",""),"d",""),"e",""),"f",""),"g",""),"h",""),"i",""),"j",""),"k",""),"l",""),"m",""),"n",""),"o",""),"p",""),"q",""),"r",""),"s",""),"t",""),"u",""),"v",""),"w",""),"x",""),"y",""),"z",""),"-",""),"_",""),"/",""),".",""),"#",""),"\\",""),":","")," ",""),"(",""),")","")</f>
        <v/>
      </c>
      <c r="CC195" s="0" t="str">
        <f aca="false">" "&amp;TRIM(SUBSTITUTE(SUBSTITUTE(SUBSTITUTE(SUBSTITUTE(SUBSTITUTE(SUBSTITUTE(SUBSTITUTE(SUBSTITUTE(SUBSTITUTE(SUBSTITUTE(SUBSTITUTE(SUBSTITUTE(SUBSTITUTE(SUBSTITUTE(SUBSTITUTE(SUBSTITUTE(SUBSTITUTE(SUBSTITUTE(SUBSTITUTE(SUBSTITUTE(SUBSTITUTE(SUBSTITUTE(SUBSTITUTE(SUBSTITUTE(LOWER(T195&amp;""),CHAR(10)," "),CHAR(13)," "),CHAR(9)," "),CHAR(160)," "),"."," "),","," "),"-"," "),"/"," "),"("," "),")"," "),":"," "),";"," "),"_"," "),"–"," "),"?"," "),"!"," "),"*"," "),"["," "),"]"," "),"'"," "),"#"," "),"+"," "),"&amp;"," "),"\"," "))&amp;" "</f>
        <v>  </v>
      </c>
      <c r="CD195" s="0" t="str">
        <f aca="false">" "&amp;TRIM(SUBSTITUTE(SUBSTITUTE(SUBSTITUTE(SUBSTITUTE(SUBSTITUTE(SUBSTITUTE(SUBSTITUTE(SUBSTITUTE(SUBSTITUTE(SUBSTITUTE(SUBSTITUTE(SUBSTITUTE(SUBSTITUTE(SUBSTITUTE(SUBSTITUTE(SUBSTITUTE(SUBSTITUTE(SUBSTITUTE(SUBSTITUTE(SUBSTITUTE(SUBSTITUTE(SUBSTITUTE(SUBSTITUTE(SUBSTITUTE(LOWER(AE195&amp;""),CHAR(10)," "),CHAR(13)," "),CHAR(9)," "),CHAR(160)," "),"."," "),","," "),"-"," "),"/"," "),"("," "),")"," "),":"," "),";"," "),"_"," "),"–"," "),"?"," "),"!"," "),"*"," "),"["," "),"]"," "),"'"," "),"#"," "),"+"," "),"&amp;"," "),"\"," "))&amp;" "</f>
        <v>  </v>
      </c>
      <c r="CE195" s="68" t="n">
        <f aca="false">IFERROR(IF(AND(LEN(AU195)&gt;0,LEN(AU195)=LEN(AX195),OR(TRIM(MID(SUBSTITUTE(TRIM(CC195)," ",REPT(" ",60)),1,60))="",ISNUMBER(SEARCH(" "&amp;TRIM(MID(SUBSTITUTE(TRIM(CC195)," ",REPT(" ",60)),1,60))&amp;" ",CD195))),OR(TRIM(MID(SUBSTITUTE(TRIM(CC195)," ",REPT(" ",60)),61,60))="",ISNUMBER(SEARCH(" "&amp;TRIM(MID(SUBSTITUTE(TRIM(CC195)," ",REPT(" ",60)),61,60))&amp;" ",CD195))),OR(TRIM(MID(SUBSTITUTE(TRIM(CC195)," ",REPT(" ",60)),121,60))="",ISNUMBER(SEARCH(" "&amp;TRIM(MID(SUBSTITUTE(TRIM(CC195)," ",REPT(" ",60)),121,60))&amp;" ",CD195)))),1,0),0)</f>
        <v>0</v>
      </c>
      <c r="CG195" s="68" t="n">
        <f aca="false">IFERROR(LEN(SUBSTITUTE(BF195," ",""))-SUMPRODUCT((LEN(BF195)-LEN(SUBSTITUTE(BF195," "&amp;L_NAFiller&amp;" "," ")))/(LEN(L_NAFiller)+1)*LEN(L_NAFiller)),0)</f>
        <v>0</v>
      </c>
    </row>
    <row r="196" customFormat="false" ht="39.75" hidden="false" customHeight="true" outlineLevel="0" collapsed="false">
      <c r="A196" s="57" t="s">
        <v>755</v>
      </c>
      <c r="B196" s="57" t="s">
        <v>231</v>
      </c>
      <c r="C196" s="57" t="str">
        <f aca="false">Flights!$F$10</f>
        <v>MH0002</v>
      </c>
      <c r="D196" s="58" t="n">
        <f aca="false">Flights!$D$10</f>
        <v>46310</v>
      </c>
      <c r="E196" s="57" t="str">
        <f aca="false">Flights!$G$10&amp;"-"&amp;Flights!$H$10</f>
        <v>KUL-LHR</v>
      </c>
      <c r="F196" s="57" t="str">
        <f aca="false">Flights!$K$10</f>
        <v>BC</v>
      </c>
      <c r="G196" s="57" t="s">
        <v>420</v>
      </c>
      <c r="H196" s="57" t="s">
        <v>378</v>
      </c>
      <c r="I196" s="57" t="s">
        <v>629</v>
      </c>
      <c r="J196" s="57" t="s">
        <v>630</v>
      </c>
      <c r="K196" s="67" t="s">
        <v>501</v>
      </c>
      <c r="L196" s="67" t="s">
        <v>756</v>
      </c>
      <c r="M196" s="67" t="s">
        <v>187</v>
      </c>
      <c r="N196" s="67" t="s">
        <v>383</v>
      </c>
      <c r="O196" s="67" t="s">
        <v>632</v>
      </c>
      <c r="P196" s="57" t="s">
        <v>187</v>
      </c>
      <c r="Q196" s="59" t="n">
        <f aca="false">ROUND((Flights!$AE$10)*1440,0)/1440</f>
        <v>46310.1388888889</v>
      </c>
      <c r="R196" s="59" t="n">
        <f aca="false">Q196+(IF(AND(INDEX(TZ_DSTS,MATCH(P196,TZ_STN,0))&lt;&gt;"",Q196&gt;=INDEX(TZ_DSTS,MATCH(P196,TZ_STN,0)),Q196&lt;INDEX(TZ_DSTE,MATCH(P196,TZ_STN,0))),INDEX(TZ_DST,MATCH(P196,TZ_STN,0)),INDEX(TZ_STD,MATCH(P196,TZ_STN,0))))/24</f>
        <v>46310.4722222222</v>
      </c>
      <c r="S196" s="60"/>
      <c r="T196" s="60"/>
      <c r="U196" s="60"/>
      <c r="V196" s="60"/>
      <c r="W196" s="61"/>
      <c r="X196" s="60"/>
      <c r="Y196" s="60"/>
      <c r="Z196" s="60"/>
      <c r="AA196" s="60"/>
      <c r="AB196" s="60"/>
      <c r="AC196" s="60"/>
      <c r="AD196" s="66"/>
      <c r="AE196" s="60"/>
      <c r="AF196" s="61" t="str">
        <f aca="false">IF(AND(ISNUMBER(X196),ISNUMBER(Y196)),Y196-X196,"")</f>
        <v/>
      </c>
      <c r="AG196" s="62" t="str">
        <f aca="false">IF(ISNUMBER(AD196),AD196-(IF(AND(INDEX(TZ_DSTS,MATCH(P196,TZ_STN,0))&lt;&gt;"",(AD196-INDEX(TZ_STD,MATCH(P196,TZ_STN,0))/24)&gt;=INDEX(TZ_DSTS,MATCH(P196,TZ_STN,0)),(AD196-INDEX(TZ_STD,MATCH(P196,TZ_STN,0))/24)&lt;INDEX(TZ_DSTE,MATCH(P196,TZ_STN,0))),INDEX(TZ_DST,MATCH(P196,TZ_STN,0)),INDEX(TZ_STD,MATCH(P196,TZ_STN,0))))/24,"")</f>
        <v/>
      </c>
      <c r="AH196" s="65" t="str">
        <f aca="false">IFERROR(IF(N196="N/A – rule",IF(OR(TRIM(U196)="",TRIM(U196)="N/A",TRIM(U196)="Not started"),"N/A – RULE","INVALID – this check does not apply to this aircraft: clear the status (or correct the fleet on Flights)"),IF(TRIM(U196)="N/A",IF(AT196=0,"INVALID – N/A not permitted for this check",IF(AND(TRIM(AB196)&lt;&gt;"",TRIM(AB196)&lt;&gt;"Closed"),"INVALID – corrective action still open",IF(AND(NOT(OR(LEN(AZ196)&lt;15,ISNUMBER(MATCH(AZ196,L_Placeholder,0)))),BK196=0,CG196&gt;=8,NOT(OR(LEN(AU196)&lt;2,ISNUMBER(MATCH(AU196,L_Placeholder,0)))),BR196&gt;=3,NOT(OR(LEN(AX196)&lt;2,ISNUMBER(MATCH(AX196,L_Placeholder,0)))),BS196&gt;=3,TRIM(AE196)&lt;&gt;TRIM(T196),AX196&lt;&gt;AU196,CE196=0),"N/A – JUSTIFIED","INVALID – N/A needs a real, settled reason (not 'not applicable' / 'as above' / TBC), a named PIC and a different named verifier"))),IF(OR(TRIM(U196)="Pass",TRIM(U196)="Pass after CA"),IF(NOT(ISNUMBER(AD196)),"INVALID – completion time missing",IF(OR(OR(LEN(AU196)&lt;2,ISNUMBER(MATCH(AU196,L_Placeholder,0))),BR196&lt;3),"INVALID – PIC missing or not a named person (a role such as QA / CSM is not a name)",IF(OR(LEN(AV196)&lt;2,ISNUMBER(MATCH(AV196,L_Placeholder,0))),"INVALID – result / assessment missing",IF(OR(OR(LEN(AW196)&lt;3,ISNUMBER(MATCH(AW196,L_Placeholder,0))),SUMPRODUCT(--ISNUMBER(SEARCH(" "&amp;L_EvidencePhrase&amp;" ",BD196)))&gt;0,BI196=1),"INVALID – evidence missing, placeholder or not yet on file",IF(ISNA(MATCH(TRIM(S196),L_EvidenceType,0)),"INVALID – choose the evidence type from the list (column S)",IF(BL196=0,"INVALID – evidence ID must be the record's own ID only (e.g. SF-2210, IMG_2231, 1045521); a link / file name needs type 'Link / file path'",IF(OR(OR(LEN(AX196)&lt;2,ISNUMBER(MATCH(AX196,L_Placeholder,0))),BS196&lt;3),"INVALID – verifier missing or not a named person (a role such as QA / CSM is not a name)",IF(OR(AX196=AU196,CE196=1,AND(LEN(AU196)&gt;=4,ISNUMBER(SEARCH(AU196,AX196))),AND(LEN(AX196)&gt;=4,ISNUMBER(SEARCH(AX196,AU196)))),"INVALID – verifier must be a different, named person (not the PIC or a role)",IF(BH196=1,"INVALID – result not yet available (awaiting / TBC)",IF(BG196=1,"INVALID – result describes a problem: record Fail, then Pass after CA (or reword if it is not a problem)",IF(BV196=1,"INVALID – wording says not on board: an on-board confirmation needs the item loaded",IF(AND(AQ196=1,OR(OR(LEN(AY196)&lt;3,ISNUMBER(MATCH(AY196,L_Placeholder,0))),BJ196=1,BQ196=0)),"INVALID – batch ID missing, placeholder or not an ID (e.g. PASB-261008-BC-017)",IF(AND(AR196=1,OR(NOT(ISNUMBER(X196)),NOT(ISNUMBER(Y196)))),"INVALID – expected/actual qty missing",IF(AND(AR196=1,OR(X196&lt;=0,Y196&lt;0)),"INVALID – expected qty must be above 0 and actual not negative",IF(BB196&lt;&gt;"",BB196,IF(AND(AS196=1,Documents!$J$10&lt;&gt;"ON FILE"),"INVALID – GLD not on file (Documents sheet)",IF(AND(AS196=2,Documents!$O$10&lt;&gt;"ON FILE"),"INVALID – menu checklist not on file (Documents sheet)",IF(AND(AS196=3,NOT(ISNUMBER(Flights!$AX$10))),"INVALID – enter carrying flight KUL departure (Flights AX)",IF(AND(AS196=3,OR(Flights!$AZ$10&gt;Flights!$AA$10,Flights!$AX$10&lt;Flights!$AA$10-3)),"INVALID – carrying flight (Flights AX) cannot arrive before this leg's STD, or is over 3 days early",IF(AG196&gt;AsOfUTC,"INVALID – completion time is in the future",IF(AND(ISNUMBER(BY196),AG196&lt;BY196),IF(H196="Physical uplift","INVALID – before uplift window (cannot confirm loading)","INVALID – before valid window"),IF(AG196&gt;Flights!$AA$10,"INVALID – completed after departure (cannot establish readiness)",IF(AND(H196="Preparation",AG196&gt;=IF(ISNUMBER(Flights!$BA$10),MIN(Flights!$BA$10,Flights!$AA$10),Flights!$AA$10)),"INVALID – completed after loading / departure (cannot establish readiness)",IF(AND(H196="Physical uplift",AG196&gt;Q196),"INVALID – recorded after the loading flight departed",IF(AG196&gt;Q196,"COMPLETE – LATE","COMPLETE"))))))))))))))))))))))))),IF(TRIM(U196)="Fail","FAIL – DISCREPANCY",IF(AND(TRIM(U196)&lt;&gt;"",TRIM(U196)&lt;&gt;"Not started",TRIM(U196)&lt;&gt;"In progress"),"INVALID – unrecognised status (use the list)",IF(AsOfUTC&gt;Q196,"OVERDUE",IF(N196="Clarification required","OPEN – CLARIFICATION","OPEN"))))))),"INVALID – error value in an input cell")</f>
        <v>OPEN</v>
      </c>
      <c r="AI196" s="61" t="n">
        <f aca="false">IF(OR(AH196="N/A – RULE",AH196="N/A – JUSTIFIED"),0,1)</f>
        <v>1</v>
      </c>
      <c r="AJ196" s="61" t="n">
        <f aca="false">IF(LEFT(AH196,8)="COMPLETE",1,0)</f>
        <v>0</v>
      </c>
      <c r="AK196" s="61" t="n">
        <f aca="false">IF(AND(AI196=1,AJ196=0,AsOfUTC&gt;Q196),1,0)</f>
        <v>0</v>
      </c>
      <c r="AL196" s="61" t="n">
        <f aca="false">IFERROR(IF(AND(AI196=1,OR(TRIM(U196)="Fail",AND(TRIM(AB196)&lt;&gt;"",TRIM(AB196)&lt;&gt;"Closed"),AND(ISNUMBER(AF196),AF196&lt;&gt;0,TRIM(U196)&lt;&gt;"Pass after CA"))),1,0),1)</f>
        <v>0</v>
      </c>
      <c r="AM196" s="61" t="n">
        <f aca="false">IF(LEFT(AH196,7)="INVALID",1,0)</f>
        <v>0</v>
      </c>
      <c r="AN196" s="61" t="n">
        <f aca="false">IF(AND(N196="Clarification required",AI196=1,AJ196=0),1,0)</f>
        <v>0</v>
      </c>
      <c r="AO196" s="61" t="str">
        <f aca="false">IF(AK196=1,SUM(AK$5:AK196),"")</f>
        <v/>
      </c>
      <c r="AP196" s="61" t="str">
        <f aca="false">IF(AL196=1,SUM(AL$5:AL196),"")</f>
        <v/>
      </c>
      <c r="AQ196" s="61" t="n">
        <v>0</v>
      </c>
      <c r="AR196" s="61" t="n">
        <v>0</v>
      </c>
      <c r="AS196" s="61" t="n">
        <v>0</v>
      </c>
      <c r="AT196" s="61" t="n">
        <v>0</v>
      </c>
      <c r="AU196" s="61" t="str">
        <f aca="false">SUBSTITUTE(SUBSTITUTE(SUBSTITUTE(SUBSTITUTE(SUBSTITUTE(SUBSTITUTE(SUBSTITUTE(SUBSTITUTE(SUBSTITUTE(SUBSTITUTE(SUBSTITUTE(SUBSTITUTE(SUBSTITUTE(SUBSTITUTE(SUBSTITUTE(SUBSTITUTE(LOWER(T196&amp;""),CHAR(10),""),CHAR(13),""),CHAR(9),""),CHAR(160),"")," ",""),".",""),"-",""),"/",""),"?",""),"_",""),",",""),"[",""),"]",""),"(",""),")",""),"*","")</f>
        <v/>
      </c>
      <c r="AV196" s="61" t="str">
        <f aca="false">SUBSTITUTE(SUBSTITUTE(SUBSTITUTE(SUBSTITUTE(SUBSTITUTE(SUBSTITUTE(SUBSTITUTE(SUBSTITUTE(SUBSTITUTE(SUBSTITUTE(SUBSTITUTE(SUBSTITUTE(SUBSTITUTE(SUBSTITUTE(SUBSTITUTE(SUBSTITUTE(LOWER(V196&amp;""),CHAR(10),""),CHAR(13),""),CHAR(9),""),CHAR(160),"")," ",""),".",""),"-",""),"/",""),"?",""),"_",""),",",""),"[",""),"]",""),"(",""),")",""),"*","")</f>
        <v/>
      </c>
      <c r="AW196" s="61" t="str">
        <f aca="false">SUBSTITUTE(SUBSTITUTE(SUBSTITUTE(SUBSTITUTE(SUBSTITUTE(SUBSTITUTE(SUBSTITUTE(SUBSTITUTE(SUBSTITUTE(SUBSTITUTE(SUBSTITUTE(SUBSTITUTE(SUBSTITUTE(SUBSTITUTE(SUBSTITUTE(SUBSTITUTE(LOWER(Z196&amp;""),CHAR(10),""),CHAR(13),""),CHAR(9),""),CHAR(160),"")," ",""),".",""),"-",""),"/",""),"?",""),"_",""),",",""),"[",""),"]",""),"(",""),")",""),"*","")</f>
        <v/>
      </c>
      <c r="AX196" s="61" t="str">
        <f aca="false">SUBSTITUTE(SUBSTITUTE(SUBSTITUTE(SUBSTITUTE(SUBSTITUTE(SUBSTITUTE(SUBSTITUTE(SUBSTITUTE(SUBSTITUTE(SUBSTITUTE(SUBSTITUTE(SUBSTITUTE(SUBSTITUTE(SUBSTITUTE(SUBSTITUTE(SUBSTITUTE(LOWER(AE196&amp;""),CHAR(10),""),CHAR(13),""),CHAR(9),""),CHAR(160),"")," ",""),".",""),"-",""),"/",""),"?",""),"_",""),",",""),"[",""),"]",""),"(",""),")",""),"*","")</f>
        <v/>
      </c>
      <c r="AY196" s="61" t="str">
        <f aca="false">SUBSTITUTE(SUBSTITUTE(SUBSTITUTE(SUBSTITUTE(SUBSTITUTE(SUBSTITUTE(SUBSTITUTE(SUBSTITUTE(SUBSTITUTE(SUBSTITUTE(SUBSTITUTE(SUBSTITUTE(SUBSTITUTE(SUBSTITUTE(SUBSTITUTE(SUBSTITUTE(LOWER(W196&amp;""),CHAR(10),""),CHAR(13),""),CHAR(9),""),CHAR(160),"")," ",""),".",""),"-",""),"/",""),"?",""),"_",""),",",""),"[",""),"]",""),"(",""),")",""),"*","")</f>
        <v/>
      </c>
      <c r="AZ196" s="61" t="str">
        <f aca="false">SUBSTITUTE(SUBSTITUTE(SUBSTITUTE(SUBSTITUTE(SUBSTITUTE(SUBSTITUTE(SUBSTITUTE(SUBSTITUTE(SUBSTITUTE(SUBSTITUTE(SUBSTITUTE(SUBSTITUTE(SUBSTITUTE(SUBSTITUTE(SUBSTITUTE(SUBSTITUTE(LOWER(AC196&amp;""),CHAR(10),""),CHAR(13),""),CHAR(9),""),CHAR(160),"")," ",""),".",""),"-",""),"/",""),"?",""),"_",""),",",""),"[",""),"]",""),"(",""),")",""),"*","")</f>
        <v/>
      </c>
      <c r="BA196" s="61" t="str">
        <f aca="false">SUBSTITUTE(SUBSTITUTE(SUBSTITUTE(SUBSTITUTE(SUBSTITUTE(SUBSTITUTE(SUBSTITUTE(SUBSTITUTE(SUBSTITUTE(SUBSTITUTE(SUBSTITUTE(SUBSTITUTE(SUBSTITUTE(SUBSTITUTE(SUBSTITUTE(SUBSTITUTE(LOWER(AA196&amp;""),CHAR(10),""),CHAR(13),""),CHAR(9),""),CHAR(160),"")," ",""),".",""),"-",""),"/",""),"?",""),"_",""),",",""),"[",""),"]",""),"(",""),")",""),"*","")</f>
        <v/>
      </c>
      <c r="BB196" s="61" t="str">
        <f aca="false">IF(AND(TRIM(U196)="Pass",ISNUMBER(AF196)),IF(AF196&lt;&gt;0,"INVALID – qty variance: use Fail or Pass after CA",""),"")&amp;IF(AND(TRIM(U196)="Pass after CA",ISNUMBER(AF196)),IF(AF196&lt;&gt;0,"INVALID – after the corrective action the actual qty must equal expected (update Actual)",""),"")&amp;IF(AND(TRIM(U196)="Pass",TRIM(AB196)&lt;&gt;"",TRIM(AB196)&lt;&gt;"Closed"),"INVALID – corrective action not closed: use Fail, then Pass after CA","")&amp;IF(AND(LEN(BA196)&gt;=2,ISNA(MATCH(LEFT(BA196,255),L_Placeholder,0)),TRIM(AB196)=""),"INVALID – CA status missing for the recorded corrective action","")&amp;IF(AND(TRIM(U196)="Pass after CA",OR(OR(LEN(BA196)&lt;5,ISNUMBER(MATCH(BA196,L_Placeholder,0))),TRIM(AB196)&lt;&gt;"Closed")),"INVALID – corrective action not recorded/closed","")</f>
        <v/>
      </c>
      <c r="BC196" s="61" t="str">
        <f aca="false">" "&amp;TRIM(SUBSTITUTE(SUBSTITUTE(SUBSTITUTE(SUBSTITUTE(SUBSTITUTE(SUBSTITUTE(SUBSTITUTE(SUBSTITUTE(SUBSTITUTE(SUBSTITUTE(SUBSTITUTE(SUBSTITUTE(SUBSTITUTE(SUBSTITUTE(SUBSTITUTE(SUBSTITUTE(SUBSTITUTE(SUBSTITUTE(SUBSTITUTE(SUBSTITUTE(SUBSTITUTE(SUBSTITUTE(SUBSTITUTE(SUBSTITUTE(LOWER(V196&amp;""),CHAR(10)," "),CHAR(13)," "),CHAR(9)," "),CHAR(160)," "),"."," "),","," "),"-"," "),"/"," "),"("," "),")"," "),":"," "),";"," "),"_"," "),"–"," "),"?"," "),"!"," "),"*"," "),"["," "),"]"," "),"'"," "),"#"," "),"+"," "),"&amp;"," "),"\"," "))&amp;" "</f>
        <v>  </v>
      </c>
      <c r="BD196" s="61" t="str">
        <f aca="false">" "&amp;TRIM(SUBSTITUTE(SUBSTITUTE(SUBSTITUTE(SUBSTITUTE(SUBSTITUTE(SUBSTITUTE(SUBSTITUTE(SUBSTITUTE(SUBSTITUTE(SUBSTITUTE(SUBSTITUTE(SUBSTITUTE(SUBSTITUTE(SUBSTITUTE(SUBSTITUTE(SUBSTITUTE(SUBSTITUTE(SUBSTITUTE(SUBSTITUTE(SUBSTITUTE(SUBSTITUTE(SUBSTITUTE(SUBSTITUTE(SUBSTITUTE(LOWER(Z196&amp;""),CHAR(10)," "),CHAR(13)," "),CHAR(9)," "),CHAR(160)," "),"."," "),","," "),"-"," "),"/"," "),"("," "),")"," "),":"," "),";"," "),"_"," "),"–"," "),"?"," "),"!"," "),"*"," "),"["," "),"]"," "),"'"," "),"#"," "),"+"," "),"&amp;"," "),"\"," "))&amp;" "</f>
        <v>  </v>
      </c>
      <c r="BE196" s="61" t="str">
        <f aca="false">" "&amp;TRIM(SUBSTITUTE(SUBSTITUTE(SUBSTITUTE(SUBSTITUTE(SUBSTITUTE(SUBSTITUTE(SUBSTITUTE(SUBSTITUTE(SUBSTITUTE(SUBSTITUTE(SUBSTITUTE(SUBSTITUTE(SUBSTITUTE(SUBSTITUTE(SUBSTITUTE(SUBSTITUTE(SUBSTITUTE(SUBSTITUTE(SUBSTITUTE(SUBSTITUTE(SUBSTITUTE(SUBSTITUTE(SUBSTITUTE(SUBSTITUTE(LOWER(W196&amp;""),CHAR(10)," "),CHAR(13)," "),CHAR(9)," "),CHAR(160)," "),"."," "),","," "),"-"," "),"/"," "),"("," "),")"," "),":"," "),";"," "),"_"," "),"–"," "),"?"," "),"!"," "),"*"," "),"["," "),"]"," "),"'"," "),"#"," "),"+"," "),"&amp;"," "),"\"," "))&amp;" "</f>
        <v>  </v>
      </c>
      <c r="BF196" s="61" t="str">
        <f aca="false">" "&amp;TRIM(SUBSTITUTE(SUBSTITUTE(SUBSTITUTE(SUBSTITUTE(SUBSTITUTE(SUBSTITUTE(SUBSTITUTE(SUBSTITUTE(SUBSTITUTE(SUBSTITUTE(SUBSTITUTE(SUBSTITUTE(SUBSTITUTE(SUBSTITUTE(SUBSTITUTE(SUBSTITUTE(SUBSTITUTE(SUBSTITUTE(SUBSTITUTE(SUBSTITUTE(SUBSTITUTE(SUBSTITUTE(SUBSTITUTE(SUBSTITUTE(LOWER(AC196&amp;""),CHAR(10)," "),CHAR(13)," "),CHAR(9)," "),CHAR(160)," "),"."," "),","," "),"-"," "),"/"," "),"("," "),")"," "),":"," "),";"," "),"_"," "),"–"," "),"?"," "),"!"," "),"*"," "),"["," "),"]"," "),"'"," "),"#"," "),"+"," "),"&amp;"," "),"\"," "))&amp;" "</f>
        <v>  </v>
      </c>
      <c r="BG196" s="61" t="n">
        <f aca="false">IFERROR(IF(AND(TRIM(U196)="Pass",SUMPRODUCT((LEN(BC196)-LEN(SUBSTITUTE(BC196," "&amp;L_ResultBad&amp;" "," ")))/(LEN(L_ResultBad)+1))&gt;SUMPRODUCT((LEN(BC196)-LEN(SUBSTITUTE(BC196," "&amp;L_NegPhrase&amp;" "," ")))/(LEN(L_NegPhrase)+1))),1,0),0)</f>
        <v>0</v>
      </c>
      <c r="BH196" s="61" t="n">
        <f aca="false">IFERROR(IF(SUMPRODUCT((LEN(BC196)-LEN(SUBSTITUTE(BC196," "&amp;L_Pending&amp;" "," ")))/(LEN(L_Pending)+1))&gt;SUMPRODUCT((LEN(BC196)-LEN(SUBSTITUTE(BC196," "&amp;L_PendNeg&amp;" "," ")))/(LEN(L_PendNeg)+1))+SUMPRODUCT((LEN(BC196)-LEN(SUBSTITUTE(BC196," "&amp;L_PendPrep&amp;" "," ")))/(LEN(L_PendPrep)+1)),1,0),1)</f>
        <v>0</v>
      </c>
      <c r="BI196" s="61" t="n">
        <f aca="false">IFERROR(IF(SUMPRODUCT((LEN(BD196)-LEN(SUBSTITUTE(BD196," "&amp;L_PendStrict&amp;" "," ")))/(LEN(L_PendStrict)+1))&gt;SUMPRODUCT((LEN(BD196)-LEN(SUBSTITUTE(BD196," "&amp;L_PendNeg&amp;" "," ")))/(LEN(L_PendNeg)+1)),1,0),1)</f>
        <v>0</v>
      </c>
      <c r="BJ196" s="61" t="n">
        <f aca="false">IFERROR(IF(SUMPRODUCT((LEN(BE196)-LEN(SUBSTITUTE(BE196," "&amp;L_Pending&amp;" "," ")))/(LEN(L_Pending)+1))&gt;SUMPRODUCT((LEN(BE196)-LEN(SUBSTITUTE(BE196," "&amp;L_PendNeg&amp;" "," ")))/(LEN(L_PendNeg)+1))+SUMPRODUCT((LEN(BE196)-LEN(SUBSTITUTE(BE196," "&amp;L_PendPrep&amp;" "," ")))/(LEN(L_PendPrep)+1)),1,0),1)</f>
        <v>0</v>
      </c>
      <c r="BK196" s="61" t="n">
        <f aca="false">IFERROR(IF(SUMPRODUCT((LEN(BF196)-LEN(SUBSTITUTE(BF196," "&amp;L_PendStrict&amp;" "," ")))/(LEN(L_PendStrict)+1))&gt;SUMPRODUCT((LEN(BF196)-LEN(SUBSTITUTE(BF196," "&amp;L_PendNeg&amp;" "," ")))/(LEN(L_PendNeg)+1)),1,0),1)</f>
        <v>0</v>
      </c>
      <c r="BL196" s="61" t="n">
        <f aca="false">IF(ISNA(MATCH(TRIM(S196),L_EvidenceType,0)),0,BZ196)</f>
        <v>0</v>
      </c>
      <c r="BM196" s="61" t="str">
        <f aca="false">SUBSTITUTE(SUBSTITUTE(SUBSTITUTE(SUBSTITUTE(SUBSTITUTE(SUBSTITUTE(SUBSTITUTE(SUBSTITUTE(SUBSTITUTE(LOWER(Z196&amp;""),"1","0"),"2","0"),"3","0"),"4","0"),"5","0"),"6","0"),"7","0"),"8","0"),"9","0")</f>
        <v/>
      </c>
      <c r="BN196" s="61" t="str">
        <f aca="false">SUBSTITUTE(SUBSTITUTE(SUBSTITUTE(SUBSTITUTE(SUBSTITUTE(SUBSTITUTE(SUBSTITUTE(SUBSTITUTE(SUBSTITUTE(SUBSTITUTE(SUBSTITUTE(SUBSTITUTE(SUBSTITUTE(SUBSTITUTE(SUBSTITUTE(SUBSTITUTE(SUBSTITUTE(SUBSTITUTE(SUBSTITUTE(SUBSTITUTE(SUBSTITUTE(SUBSTITUTE(SUBSTITUTE(SUBSTITUTE(SUBSTITUTE(BM196,"b","a"),"c","a"),"d","a"),"e","a"),"f","a"),"g","a"),"h","a"),"i","a"),"j","a"),"k","a"),"l","a"),"m","a"),"n","a"),"o","a"),"p","a"),"q","a"),"r","a"),"s","a"),"t","a"),"u","a"),"v","a"),"w","a"),"x","a"),"y","a"),"z","a")</f>
        <v/>
      </c>
      <c r="BO196" s="61" t="str">
        <f aca="false">SUBSTITUTE(SUBSTITUTE(SUBSTITUTE(SUBSTITUTE(SUBSTITUTE(SUBSTITUTE(SUBSTITUTE(SUBSTITUTE(SUBSTITUTE(LOWER(W196&amp;""),"1","0"),"2","0"),"3","0"),"4","0"),"5","0"),"6","0"),"7","0"),"8","0"),"9","0")</f>
        <v/>
      </c>
      <c r="BP196" s="61" t="str">
        <f aca="false">SUBSTITUTE(SUBSTITUTE(SUBSTITUTE(SUBSTITUTE(SUBSTITUTE(SUBSTITUTE(SUBSTITUTE(SUBSTITUTE(SUBSTITUTE(SUBSTITUTE(SUBSTITUTE(SUBSTITUTE(SUBSTITUTE(SUBSTITUTE(SUBSTITUTE(SUBSTITUTE(SUBSTITUTE(SUBSTITUTE(SUBSTITUTE(SUBSTITUTE(SUBSTITUTE(SUBSTITUTE(SUBSTITUTE(SUBSTITUTE(SUBSTITUTE(BO196,"b","a"),"c","a"),"d","a"),"e","a"),"f","a"),"g","a"),"h","a"),"i","a"),"j","a"),"k","a"),"l","a"),"m","a"),"n","a"),"o","a"),"p","a"),"q","a"),"r","a"),"s","a"),"t","a"),"u","a"),"v","a"),"w","a"),"x","a"),"y","a"),"z","a")</f>
        <v/>
      </c>
      <c r="BQ196" s="61" t="n">
        <f aca="false">IFERROR(IF(AND(ISERROR(SEARCH(" mh"," "&amp;LOWER(W196))),ISNA(MATCH(LEFT(TRIM(BP196),255),{"0000a","000a","00a","0000aa","000aa","00aa","0aa","0000aaa","000aaa","00a00","0a00","0000-0000","00:00","a00","a0","00.00.0000","00/00/0000","00-00-0000","0000-00-00","0000/00/00","0000.00.00","00.00.00","00/00/00","00-00-00","0.00.0000","0/00/0000","0-00-0000"},0)),ISNA(MATCH(LEFT(TRIM(CA196),255),{"0000a","000a","00a","0000aa","000aa","00aa","0aa","0000aaa","000aaa","00a00","0a00","0000-0000","00:00","a00","a0","00.00.0000","00/00/0000","00-00-0000","0000-00-00","0000/00/00","0000.00.00","00.00.00","00/00/00","00-00-00","0.00.0000","0/00/0000","0-00-0000"},0)),LEN(CB196)&gt;=3,NOT(OR(SUBSTITUTE(CB196,"0","")="",AND(LEN(CB196)&gt;=4,CB196=REPT(LEFT(CB196),LEN(CB196))),ISNUMBER(MATCH(CB196,{"123","1234","12345","123456","1234567","12345678","0123","01234","012345","98765","987654","54321"},0)),AND(LEN(CB196)=8,LEFT(CB196,3)="202"))),OR(AND((LEN(CA196)-LEN(SUBSTITUTE(CA196,"a","")))&gt;=1,SUMPRODUCT(--ISNUMBER(SEARCH({"a0","a-0","a_0","a/0","a.0","a#0","0a","0-a","0_a","0/a"},BP196)))&gt;0),ISNUMBER(SEARCH("000000",BP196)))),1,0),0)</f>
        <v>0</v>
      </c>
      <c r="BR196" s="61" t="n">
        <f aca="false">IFERROR(LEN(SUBSTITUTE(CC196," ",""))-SUMPRODUCT((LEN(CC196)-LEN(SUBSTITUTE(CC196," "&amp;L_Role&amp;" "," ")))/(LEN(L_Role)+1)*LEN(L_Role)),0)</f>
        <v>0</v>
      </c>
      <c r="BS196" s="61" t="n">
        <f aca="false">IFERROR(LEN(SUBSTITUTE(CD196," ",""))-SUMPRODUCT((LEN(CD196)-LEN(SUBSTITUTE(CD196," "&amp;L_Role&amp;" "," ")))/(LEN(L_Role)+1)*LEN(L_Role)),0)</f>
        <v>0</v>
      </c>
      <c r="BT1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196,"revision",""),"version",""),"jan",""),"feb",""),"mar",""),"apr",""),"may",""),"jun",""),"jul",""),"aug",""),"sep",""),"oct",""),"nov",""),"dec",""),"utc",""),"gmt",""),"myt",""),"bst",""),"rev",""),"ver",""),"b","a"),"c","a"),"d","a"),"e","a"),"f","a"),"g","a"),"h","a"),"i","a"),"j","a"),"k","a"),"l","a"),"m","a"),"n","a"),"o","a"),"p","a"),"q","a"),"r","a"),"s","a"),"t","a"),"u","a"),"v","a"),"w","a"),"x","a"),"y","a"),"z","a")</f>
        <v/>
      </c>
      <c r="BU196" s="61" t="str">
        <f aca="false">SUBSTITUTE(SUBSTITUTE(SUBSTITUTE(SUBSTITUTE(SUBSTITUTE(SUBSTITUTE(SUBSTITUTE(SUBSTITUTE(SUBSTITUTE(SUBSTITUTE(LEFT(BM196,FIND("0",BM196&amp;"0")-1),"-",""),"_",""),"/",""),".",""),"#",""),"\\",""),":","")," ",""),"(",""),")","")</f>
        <v/>
      </c>
      <c r="BV196" s="61" t="n">
        <f aca="false">0</f>
        <v>0</v>
      </c>
      <c r="BW1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196&amp;""),"a",""),"b",""),"c",""),"d",""),"e",""),"f",""),"g",""),"h",""),"i",""),"j",""),"k",""),"l",""),"m",""),"n",""),"o",""),"p",""),"q",""),"r",""),"s",""),"t",""),"u",""),"v",""),"w",""),"x",""),"y",""),"z",""),"-",""),"_",""),"/",""),".",""),"#",""),"\\",""),":","")," ",""),"(",""),")","")</f>
        <v/>
      </c>
      <c r="BX196" s="61" t="str">
        <f aca="false">SUBSTITUTE(SUBSTITUTE(SUBSTITUTE(SUBSTITUTE(SUBSTITUTE(SUBSTITUTE(SUBSTITUTE(SUBSTITUTE(SUBSTITUTE(SUBSTITUTE(SUBSTITUTE(BM196,"0",""),"-",""),"_",""),"/",""),".",""),"#",""),"\\",""),":","")," ",""),"(",""),")","")</f>
        <v/>
      </c>
      <c r="BY196" s="62" t="n">
        <f aca="false">Q196-T12EarlyH/24</f>
        <v>46309.6388888889</v>
      </c>
      <c r="BZ196" s="61" t="n">
        <f aca="false">IFERROR(IF(IF(TRIM(S196)="Link / file path",AND(LEN(TRIM(Z196))&gt;=5,SUMPRODUCT(--ISNUMBER(SEARCH({"http","www.","\\",":\",".pdf",".jpg",".jpeg",".png",".heic",".xls",".doc",".msg",".eml",".ppt",".txt",".zip"},Z196)))&gt;0),AND(ISERROR(FIND(" ",TRIM(Z196))),NOT(OR(SUMPRODUCT(--ISNUMBER(FIND({",",";","&amp;","+"},Z196)))&gt;0,SUMPRODUCT(--ISNUMBER(SEARCH({"0/aa","0\\aa"},BN196)))&gt;0)),NOT(SUMPRODUCT(--ISNUMBER(SEARCH({"http","www.","\\",":\",".pdf",".jpg",".jpeg",".png",".heic",".xls",".doc",".msg",".eml",".ppt",".txt",".zip"},Z196)))&gt;0),NOT(LOWER(TRIM(Z196))=LOWER(Flights!$F$10)),ISNA(MATCH(BU196,{"mh","rev","revision","ver","version","v","r","a","b","seat","tray","row","gate","bay","stand","page","pg","item","line","no","cart","galley","flight","flt","table","box","bag","oven","etd","eta","std","sta","atd","ata","qty","pax","x","time","tel","ph","mob","day","wk","week","utc","gmt","myt","lt"},0)),NOT(OR(ISNUMBER(MATCH(LEFT(BN196,255),{"0000a","000a","00a","0000aa","000aa","00aa","0aa","0000aaa","000aaa","00a00","0a00","0000-0000","00:00","a00","a0","00.00.0000","00/00/0000","00-00-0000","0000-00-00","0000/00/00","0000.00.00","00.00.00","00/00/00","00-00-00","0.00.0000","0/00/0000","0-00-0000"},0)),ISNUMBER(MATCH(LEFT(BT196,255),{"0000a","000a","00a","0000aa","000aa","00aa","0aa","0000aaa","000aaa","00a00","0a00","0000-0000","00:00","a00","a0","00.00.0000","00/00/0000","00-00-0000","0000-00-00","0000/00/00","0000.00.00","00.00.00","00/00/00","00-00-00","0.00.0000","0/00/0000","0-00-0000"},0)))),NOT(OR(AND(BW196&lt;&gt;"",SUBSTITUTE(BW196,"0","")=""),AND(LEN(BW196)&gt;=4,BW196=REPT(LEFT(BW196),LEN(BW196))),ISNUMBER(MATCH(BW196,{"123","1234","12345","123456","1234567","12345678","0123","01234","012345","98765","987654","54321"},0)),ISNUMBER(MATCH(BX196,{"x","xx","xxx","xxxx","xxxxx","abc","abcd","nil","na","nan","test","tbc","tba","tbd","dummy","sample","example","eg","zz","zzz","none","null","xyz","qwe","asd","id","ref"},0)),AND(LEN(BW196)=8,BX196="",OR(LEFT(BW196,3)="202",ISNUMBER(MATCH(RIGHT(BW196,4),{"2025","2026","2027"},0)))))),OR(AND((LEN(BT196)-LEN(SUBSTITUTE(BT196,"a","")))&gt;=1,(LEN(BN196)-LEN(SUBSTITUTE(BN196,"0","")))&gt;=2,SUMPRODUCT(--ISNUMBER(SEARCH({"a0","a-0","a_0","a/0","a.0","a#0","0a","0-a","0_a","0/a"},BN196)))&gt;0),AND((LEN(BN196)-LEN(SUBSTITUTE(BN196,"a","")))=0,(LEN(BN196)-LEN(SUBSTITUTE(BN196,"0","")))&gt;=5)))),1,0),0)</f>
        <v>0</v>
      </c>
      <c r="CA1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196,"revision",""),"version",""),"jan",""),"feb",""),"mar",""),"apr",""),"may",""),"jun",""),"jul",""),"aug",""),"sep",""),"oct",""),"nov",""),"dec",""),"utc",""),"gmt",""),"myt",""),"bst",""),"rev",""),"ver",""),"b","a"),"c","a"),"d","a"),"e","a"),"f","a"),"g","a"),"h","a"),"i","a"),"j","a"),"k","a"),"l","a"),"m","a"),"n","a"),"o","a"),"p","a"),"q","a"),"r","a"),"s","a"),"t","a"),"u","a"),"v","a"),"w","a"),"x","a"),"y","a"),"z","a")</f>
        <v/>
      </c>
      <c r="CB1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196&amp;""),"a",""),"b",""),"c",""),"d",""),"e",""),"f",""),"g",""),"h",""),"i",""),"j",""),"k",""),"l",""),"m",""),"n",""),"o",""),"p",""),"q",""),"r",""),"s",""),"t",""),"u",""),"v",""),"w",""),"x",""),"y",""),"z",""),"-",""),"_",""),"/",""),".",""),"#",""),"\\",""),":","")," ",""),"(",""),")","")</f>
        <v/>
      </c>
      <c r="CC196" s="0" t="str">
        <f aca="false">" "&amp;TRIM(SUBSTITUTE(SUBSTITUTE(SUBSTITUTE(SUBSTITUTE(SUBSTITUTE(SUBSTITUTE(SUBSTITUTE(SUBSTITUTE(SUBSTITUTE(SUBSTITUTE(SUBSTITUTE(SUBSTITUTE(SUBSTITUTE(SUBSTITUTE(SUBSTITUTE(SUBSTITUTE(SUBSTITUTE(SUBSTITUTE(SUBSTITUTE(SUBSTITUTE(SUBSTITUTE(SUBSTITUTE(SUBSTITUTE(SUBSTITUTE(LOWER(T196&amp;""),CHAR(10)," "),CHAR(13)," "),CHAR(9)," "),CHAR(160)," "),"."," "),","," "),"-"," "),"/"," "),"("," "),")"," "),":"," "),";"," "),"_"," "),"–"," "),"?"," "),"!"," "),"*"," "),"["," "),"]"," "),"'"," "),"#"," "),"+"," "),"&amp;"," "),"\"," "))&amp;" "</f>
        <v>  </v>
      </c>
      <c r="CD196" s="0" t="str">
        <f aca="false">" "&amp;TRIM(SUBSTITUTE(SUBSTITUTE(SUBSTITUTE(SUBSTITUTE(SUBSTITUTE(SUBSTITUTE(SUBSTITUTE(SUBSTITUTE(SUBSTITUTE(SUBSTITUTE(SUBSTITUTE(SUBSTITUTE(SUBSTITUTE(SUBSTITUTE(SUBSTITUTE(SUBSTITUTE(SUBSTITUTE(SUBSTITUTE(SUBSTITUTE(SUBSTITUTE(SUBSTITUTE(SUBSTITUTE(SUBSTITUTE(SUBSTITUTE(LOWER(AE196&amp;""),CHAR(10)," "),CHAR(13)," "),CHAR(9)," "),CHAR(160)," "),"."," "),","," "),"-"," "),"/"," "),"("," "),")"," "),":"," "),";"," "),"_"," "),"–"," "),"?"," "),"!"," "),"*"," "),"["," "),"]"," "),"'"," "),"#"," "),"+"," "),"&amp;"," "),"\"," "))&amp;" "</f>
        <v>  </v>
      </c>
      <c r="CE196" s="68" t="n">
        <f aca="false">IFERROR(IF(AND(LEN(AU196)&gt;0,LEN(AU196)=LEN(AX196),OR(TRIM(MID(SUBSTITUTE(TRIM(CC196)," ",REPT(" ",60)),1,60))="",ISNUMBER(SEARCH(" "&amp;TRIM(MID(SUBSTITUTE(TRIM(CC196)," ",REPT(" ",60)),1,60))&amp;" ",CD196))),OR(TRIM(MID(SUBSTITUTE(TRIM(CC196)," ",REPT(" ",60)),61,60))="",ISNUMBER(SEARCH(" "&amp;TRIM(MID(SUBSTITUTE(TRIM(CC196)," ",REPT(" ",60)),61,60))&amp;" ",CD196))),OR(TRIM(MID(SUBSTITUTE(TRIM(CC196)," ",REPT(" ",60)),121,60))="",ISNUMBER(SEARCH(" "&amp;TRIM(MID(SUBSTITUTE(TRIM(CC196)," ",REPT(" ",60)),121,60))&amp;" ",CD196)))),1,0),0)</f>
        <v>0</v>
      </c>
      <c r="CG196" s="68" t="n">
        <f aca="false">IFERROR(LEN(SUBSTITUTE(BF196," ",""))-SUMPRODUCT((LEN(BF196)-LEN(SUBSTITUTE(BF196," "&amp;L_NAFiller&amp;" "," ")))/(LEN(L_NAFiller)+1)*LEN(L_NAFiller)),0)</f>
        <v>0</v>
      </c>
    </row>
    <row r="197" customFormat="false" ht="39.75" hidden="false" customHeight="true" outlineLevel="0" collapsed="false">
      <c r="A197" s="57" t="s">
        <v>757</v>
      </c>
      <c r="B197" s="57" t="s">
        <v>231</v>
      </c>
      <c r="C197" s="57" t="str">
        <f aca="false">Flights!$F$10</f>
        <v>MH0002</v>
      </c>
      <c r="D197" s="58" t="n">
        <f aca="false">Flights!$D$10</f>
        <v>46310</v>
      </c>
      <c r="E197" s="57" t="str">
        <f aca="false">Flights!$G$10&amp;"-"&amp;Flights!$H$10</f>
        <v>KUL-LHR</v>
      </c>
      <c r="F197" s="57" t="str">
        <f aca="false">Flights!$K$10</f>
        <v>BC</v>
      </c>
      <c r="G197" s="57" t="s">
        <v>459</v>
      </c>
      <c r="H197" s="57" t="s">
        <v>460</v>
      </c>
      <c r="I197" s="57" t="s">
        <v>379</v>
      </c>
      <c r="J197" s="57" t="s">
        <v>461</v>
      </c>
      <c r="K197" s="67" t="s">
        <v>426</v>
      </c>
      <c r="L197" s="67" t="s">
        <v>462</v>
      </c>
      <c r="M197" s="67"/>
      <c r="N197" s="67" t="s">
        <v>383</v>
      </c>
      <c r="O197" s="67" t="s">
        <v>463</v>
      </c>
      <c r="P197" s="57" t="s">
        <v>187</v>
      </c>
      <c r="Q197" s="59" t="n">
        <f aca="false">ROUND((Flights!$AF$10)*1440,0)/1440</f>
        <v>46310.6388888889</v>
      </c>
      <c r="R197" s="59" t="n">
        <f aca="false">Q197+(IF(AND(INDEX(TZ_DSTS,MATCH(P197,TZ_STN,0))&lt;&gt;"",Q197&gt;=INDEX(TZ_DSTS,MATCH(P197,TZ_STN,0)),Q197&lt;INDEX(TZ_DSTE,MATCH(P197,TZ_STN,0))),INDEX(TZ_DST,MATCH(P197,TZ_STN,0)),INDEX(TZ_STD,MATCH(P197,TZ_STN,0))))/24</f>
        <v>46310.9722222222</v>
      </c>
      <c r="S197" s="60"/>
      <c r="T197" s="60"/>
      <c r="U197" s="60"/>
      <c r="V197" s="60"/>
      <c r="W197" s="61"/>
      <c r="X197" s="60"/>
      <c r="Y197" s="60"/>
      <c r="Z197" s="60"/>
      <c r="AA197" s="60"/>
      <c r="AB197" s="60"/>
      <c r="AC197" s="60"/>
      <c r="AD197" s="66"/>
      <c r="AE197" s="60"/>
      <c r="AF197" s="61" t="str">
        <f aca="false">IF(AND(ISNUMBER(X197),ISNUMBER(Y197)),Y197-X197,"")</f>
        <v/>
      </c>
      <c r="AG197" s="62" t="str">
        <f aca="false">IF(ISNUMBER(AD197),AD197-(IF(AND(INDEX(TZ_DSTS,MATCH(P197,TZ_STN,0))&lt;&gt;"",(AD197-INDEX(TZ_STD,MATCH(P197,TZ_STN,0))/24)&gt;=INDEX(TZ_DSTS,MATCH(P197,TZ_STN,0)),(AD197-INDEX(TZ_STD,MATCH(P197,TZ_STN,0))/24)&lt;INDEX(TZ_DSTE,MATCH(P197,TZ_STN,0))),INDEX(TZ_DST,MATCH(P197,TZ_STN,0)),INDEX(TZ_STD,MATCH(P197,TZ_STN,0))))/24,"")</f>
        <v/>
      </c>
      <c r="AH197" s="65" t="str">
        <f aca="false">IFERROR(IF(N197="N/A – rule",IF(OR(TRIM(U197)="",TRIM(U197)="N/A",TRIM(U197)="Not started"),"N/A – RULE","INVALID – this check does not apply to this aircraft: clear the status (or correct the fleet on Flights)"),IF(TRIM(U197)="N/A",IF(AT197=0,"INVALID – N/A not permitted for this check",IF(AND(TRIM(AB197)&lt;&gt;"",TRIM(AB197)&lt;&gt;"Closed"),"INVALID – corrective action still open",IF(AND(NOT(OR(LEN(AZ197)&lt;15,ISNUMBER(MATCH(AZ197,L_Placeholder,0)))),BK197=0,CG197&gt;=8,NOT(OR(LEN(AU197)&lt;2,ISNUMBER(MATCH(AU197,L_Placeholder,0)))),BR197&gt;=3,NOT(OR(LEN(AX197)&lt;2,ISNUMBER(MATCH(AX197,L_Placeholder,0)))),BS197&gt;=3,TRIM(AE197)&lt;&gt;TRIM(T197),AX197&lt;&gt;AU197,CE197=0),"N/A – JUSTIFIED","INVALID – N/A needs a real, settled reason (not 'not applicable' / 'as above' / TBC), a named PIC and a different named verifier"))),IF(OR(TRIM(U197)="Pass",TRIM(U197)="Pass after CA"),IF(NOT(ISNUMBER(AD197)),"INVALID – completion time missing",IF(OR(OR(LEN(AU197)&lt;2,ISNUMBER(MATCH(AU197,L_Placeholder,0))),BR197&lt;3),"INVALID – PIC missing or not a named person (a role such as QA / CSM is not a name)",IF(OR(LEN(AV197)&lt;2,ISNUMBER(MATCH(AV197,L_Placeholder,0))),"INVALID – result / assessment missing",IF(OR(OR(LEN(AW197)&lt;3,ISNUMBER(MATCH(AW197,L_Placeholder,0))),SUMPRODUCT(--ISNUMBER(SEARCH(" "&amp;L_EvidencePhrase&amp;" ",BD197)))&gt;0,BI197=1),"INVALID – evidence missing, placeholder or not yet on file",IF(ISNA(MATCH(TRIM(S197),L_EvidenceType,0)),"INVALID – choose the evidence type from the list (column S)",IF(BL197=0,"INVALID – evidence ID must be the record's own ID only (e.g. SF-2210, IMG_2231, 1045521); a link / file name needs type 'Link / file path'",IF(OR(OR(LEN(AX197)&lt;2,ISNUMBER(MATCH(AX197,L_Placeholder,0))),BS197&lt;3),"INVALID – verifier missing or not a named person (a role such as QA / CSM is not a name)",IF(OR(AX197=AU197,CE197=1,AND(LEN(AU197)&gt;=4,ISNUMBER(SEARCH(AU197,AX197))),AND(LEN(AX197)&gt;=4,ISNUMBER(SEARCH(AX197,AU197)))),"INVALID – verifier must be a different, named person (not the PIC or a role)",IF(BH197=1,"INVALID – result not yet available (awaiting / TBC)",IF(BG197=1,"INVALID – result describes a problem: record Fail, then Pass after CA (or reword if it is not a problem)",IF(BV197=1,"INVALID – wording says not on board: an on-board confirmation needs the item loaded",IF(AND(AQ197=1,OR(OR(LEN(AY197)&lt;3,ISNUMBER(MATCH(AY197,L_Placeholder,0))),BJ197=1,BQ197=0)),"INVALID – batch ID missing, placeholder or not an ID (e.g. PASB-261008-BC-017)",IF(AND(AR197=1,OR(NOT(ISNUMBER(X197)),NOT(ISNUMBER(Y197)))),"INVALID – expected/actual qty missing",IF(AND(AR197=1,OR(X197&lt;=0,Y197&lt;0)),"INVALID – expected qty must be above 0 and actual not negative",IF(AH177="N/A – JUSTIFIED","INVALID – preparation row F06-T12-02 is N/A",IF(AND(AR197=1,ISNUMBER(X177),X197&lt;&gt;X177,TRIM(U197)&lt;&gt;"Pass after CA"),"INVALID – expected qty differs from preparation check F06-T12-02: record the load change as a corrective action (Pass after CA)",IF(BB197&lt;&gt;"",BB197,IF(AND(AS197=1,Documents!$J$10&lt;&gt;"ON FILE"),"INVALID – GLD not on file (Documents sheet)",IF(AND(AS197=2,Documents!$O$10&lt;&gt;"ON FILE"),"INVALID – menu checklist not on file (Documents sheet)",IF(AND(AS197=3,NOT(ISNUMBER(Flights!$AX$10))),"INVALID – enter carrying flight KUL departure (Flights AX)",IF(AND(AS197=3,OR(Flights!$AZ$10&gt;Flights!$AA$10,Flights!$AX$10&lt;Flights!$AA$10-3)),"INVALID – carrying flight (Flights AX) cannot arrive before this leg's STD, or is over 3 days early",IF(AG197&gt;AsOfUTC,"INVALID – completion time is in the future",IF(AND(ISNUMBER(BY197),AG197&lt;BY197),IF(H197="Physical uplift","INVALID – before uplift window (cannot confirm loading)","INVALID – before valid window"),IF(AG197&gt;Flights!$AA$10,"INVALID – completed after departure (cannot establish readiness)",IF(AND(H197="Preparation",AG197&gt;=IF(ISNUMBER(Flights!$BA$10),MIN(Flights!$BA$10,Flights!$AA$10),Flights!$AA$10)),"INVALID – completed after loading / departure (cannot establish readiness)",IF(AND(H197="Physical uplift",AG197&gt;Q197),"INVALID – recorded after the loading flight departed",IF(AG197&gt;Q197,"COMPLETE – LATE","COMPLETE"))))))))))))))))))))))))))),IF(TRIM(U197)="Fail","FAIL – DISCREPANCY",IF(AND(TRIM(U197)&lt;&gt;"",TRIM(U197)&lt;&gt;"Not started",TRIM(U197)&lt;&gt;"In progress"),"INVALID – unrecognised status (use the list)",IF(AsOfUTC&gt;Q197,"OVERDUE",IF(N197="Clarification required","OPEN – CLARIFICATION","OPEN"))))))),"INVALID – error value in an input cell")</f>
        <v>OPEN</v>
      </c>
      <c r="AI197" s="61" t="n">
        <f aca="false">IF(OR(AH197="N/A – RULE",AH197="N/A – JUSTIFIED"),0,1)</f>
        <v>1</v>
      </c>
      <c r="AJ197" s="61" t="n">
        <f aca="false">IF(LEFT(AH197,8)="COMPLETE",1,0)</f>
        <v>0</v>
      </c>
      <c r="AK197" s="61" t="n">
        <f aca="false">IF(AND(AI197=1,AJ197=0,AsOfUTC&gt;Q197),1,0)</f>
        <v>0</v>
      </c>
      <c r="AL197" s="61" t="n">
        <f aca="false">IFERROR(IF(AND(AI197=1,OR(TRIM(U197)="Fail",AND(TRIM(AB197)&lt;&gt;"",TRIM(AB197)&lt;&gt;"Closed"),AND(ISNUMBER(AF197),AF197&lt;&gt;0,TRIM(U197)&lt;&gt;"Pass after CA"))),1,0),1)</f>
        <v>0</v>
      </c>
      <c r="AM197" s="61" t="n">
        <f aca="false">IF(LEFT(AH197,7)="INVALID",1,0)</f>
        <v>0</v>
      </c>
      <c r="AN197" s="61" t="n">
        <f aca="false">IF(AND(N197="Clarification required",AI197=1,AJ197=0),1,0)</f>
        <v>0</v>
      </c>
      <c r="AO197" s="61" t="str">
        <f aca="false">IF(AK197=1,SUM(AK$5:AK197),"")</f>
        <v/>
      </c>
      <c r="AP197" s="61" t="str">
        <f aca="false">IF(AL197=1,SUM(AL$5:AL197),"")</f>
        <v/>
      </c>
      <c r="AQ197" s="61" t="n">
        <v>0</v>
      </c>
      <c r="AR197" s="61" t="n">
        <v>1</v>
      </c>
      <c r="AS197" s="61" t="n">
        <v>0</v>
      </c>
      <c r="AT197" s="61" t="n">
        <v>0</v>
      </c>
      <c r="AU197" s="61" t="str">
        <f aca="false">SUBSTITUTE(SUBSTITUTE(SUBSTITUTE(SUBSTITUTE(SUBSTITUTE(SUBSTITUTE(SUBSTITUTE(SUBSTITUTE(SUBSTITUTE(SUBSTITUTE(SUBSTITUTE(SUBSTITUTE(SUBSTITUTE(SUBSTITUTE(SUBSTITUTE(SUBSTITUTE(LOWER(T197&amp;""),CHAR(10),""),CHAR(13),""),CHAR(9),""),CHAR(160),"")," ",""),".",""),"-",""),"/",""),"?",""),"_",""),",",""),"[",""),"]",""),"(",""),")",""),"*","")</f>
        <v/>
      </c>
      <c r="AV197" s="61" t="str">
        <f aca="false">SUBSTITUTE(SUBSTITUTE(SUBSTITUTE(SUBSTITUTE(SUBSTITUTE(SUBSTITUTE(SUBSTITUTE(SUBSTITUTE(SUBSTITUTE(SUBSTITUTE(SUBSTITUTE(SUBSTITUTE(SUBSTITUTE(SUBSTITUTE(SUBSTITUTE(SUBSTITUTE(LOWER(V197&amp;""),CHAR(10),""),CHAR(13),""),CHAR(9),""),CHAR(160),"")," ",""),".",""),"-",""),"/",""),"?",""),"_",""),",",""),"[",""),"]",""),"(",""),")",""),"*","")</f>
        <v/>
      </c>
      <c r="AW197" s="61" t="str">
        <f aca="false">SUBSTITUTE(SUBSTITUTE(SUBSTITUTE(SUBSTITUTE(SUBSTITUTE(SUBSTITUTE(SUBSTITUTE(SUBSTITUTE(SUBSTITUTE(SUBSTITUTE(SUBSTITUTE(SUBSTITUTE(SUBSTITUTE(SUBSTITUTE(SUBSTITUTE(SUBSTITUTE(LOWER(Z197&amp;""),CHAR(10),""),CHAR(13),""),CHAR(9),""),CHAR(160),"")," ",""),".",""),"-",""),"/",""),"?",""),"_",""),",",""),"[",""),"]",""),"(",""),")",""),"*","")</f>
        <v/>
      </c>
      <c r="AX197" s="61" t="str">
        <f aca="false">SUBSTITUTE(SUBSTITUTE(SUBSTITUTE(SUBSTITUTE(SUBSTITUTE(SUBSTITUTE(SUBSTITUTE(SUBSTITUTE(SUBSTITUTE(SUBSTITUTE(SUBSTITUTE(SUBSTITUTE(SUBSTITUTE(SUBSTITUTE(SUBSTITUTE(SUBSTITUTE(LOWER(AE197&amp;""),CHAR(10),""),CHAR(13),""),CHAR(9),""),CHAR(160),"")," ",""),".",""),"-",""),"/",""),"?",""),"_",""),",",""),"[",""),"]",""),"(",""),")",""),"*","")</f>
        <v/>
      </c>
      <c r="AY197" s="61" t="str">
        <f aca="false">SUBSTITUTE(SUBSTITUTE(SUBSTITUTE(SUBSTITUTE(SUBSTITUTE(SUBSTITUTE(SUBSTITUTE(SUBSTITUTE(SUBSTITUTE(SUBSTITUTE(SUBSTITUTE(SUBSTITUTE(SUBSTITUTE(SUBSTITUTE(SUBSTITUTE(SUBSTITUTE(LOWER(W197&amp;""),CHAR(10),""),CHAR(13),""),CHAR(9),""),CHAR(160),"")," ",""),".",""),"-",""),"/",""),"?",""),"_",""),",",""),"[",""),"]",""),"(",""),")",""),"*","")</f>
        <v/>
      </c>
      <c r="AZ197" s="61" t="str">
        <f aca="false">SUBSTITUTE(SUBSTITUTE(SUBSTITUTE(SUBSTITUTE(SUBSTITUTE(SUBSTITUTE(SUBSTITUTE(SUBSTITUTE(SUBSTITUTE(SUBSTITUTE(SUBSTITUTE(SUBSTITUTE(SUBSTITUTE(SUBSTITUTE(SUBSTITUTE(SUBSTITUTE(LOWER(AC197&amp;""),CHAR(10),""),CHAR(13),""),CHAR(9),""),CHAR(160),"")," ",""),".",""),"-",""),"/",""),"?",""),"_",""),",",""),"[",""),"]",""),"(",""),")",""),"*","")</f>
        <v/>
      </c>
      <c r="BA197" s="61" t="str">
        <f aca="false">SUBSTITUTE(SUBSTITUTE(SUBSTITUTE(SUBSTITUTE(SUBSTITUTE(SUBSTITUTE(SUBSTITUTE(SUBSTITUTE(SUBSTITUTE(SUBSTITUTE(SUBSTITUTE(SUBSTITUTE(SUBSTITUTE(SUBSTITUTE(SUBSTITUTE(SUBSTITUTE(LOWER(AA197&amp;""),CHAR(10),""),CHAR(13),""),CHAR(9),""),CHAR(160),"")," ",""),".",""),"-",""),"/",""),"?",""),"_",""),",",""),"[",""),"]",""),"(",""),")",""),"*","")</f>
        <v/>
      </c>
      <c r="BB197" s="61" t="str">
        <f aca="false">IF(AND(TRIM(U197)="Pass",ISNUMBER(AF197)),IF(AF197&lt;&gt;0,"INVALID – qty variance: use Fail or Pass after CA",""),"")&amp;IF(AND(TRIM(U197)="Pass after CA",ISNUMBER(AF197)),IF(AF197&lt;&gt;0,"INVALID – after the corrective action the actual qty must equal expected (update Actual)",""),"")&amp;IF(AND(TRIM(U197)="Pass",TRIM(AB197)&lt;&gt;"",TRIM(AB197)&lt;&gt;"Closed"),"INVALID – corrective action not closed: use Fail, then Pass after CA","")&amp;IF(AND(LEN(BA197)&gt;=2,ISNA(MATCH(LEFT(BA197,255),L_Placeholder,0)),TRIM(AB197)=""),"INVALID – CA status missing for the recorded corrective action","")&amp;IF(AND(TRIM(U197)="Pass after CA",OR(OR(LEN(BA197)&lt;5,ISNUMBER(MATCH(BA197,L_Placeholder,0))),TRIM(AB197)&lt;&gt;"Closed")),"INVALID – corrective action not recorded/closed","")</f>
        <v/>
      </c>
      <c r="BC197" s="61" t="str">
        <f aca="false">" "&amp;TRIM(SUBSTITUTE(SUBSTITUTE(SUBSTITUTE(SUBSTITUTE(SUBSTITUTE(SUBSTITUTE(SUBSTITUTE(SUBSTITUTE(SUBSTITUTE(SUBSTITUTE(SUBSTITUTE(SUBSTITUTE(SUBSTITUTE(SUBSTITUTE(SUBSTITUTE(SUBSTITUTE(SUBSTITUTE(SUBSTITUTE(SUBSTITUTE(SUBSTITUTE(SUBSTITUTE(SUBSTITUTE(SUBSTITUTE(SUBSTITUTE(LOWER(V197&amp;""),CHAR(10)," "),CHAR(13)," "),CHAR(9)," "),CHAR(160)," "),"."," "),","," "),"-"," "),"/"," "),"("," "),")"," "),":"," "),";"," "),"_"," "),"–"," "),"?"," "),"!"," "),"*"," "),"["," "),"]"," "),"'"," "),"#"," "),"+"," "),"&amp;"," "),"\"," "))&amp;" "</f>
        <v>  </v>
      </c>
      <c r="BD197" s="61" t="str">
        <f aca="false">" "&amp;TRIM(SUBSTITUTE(SUBSTITUTE(SUBSTITUTE(SUBSTITUTE(SUBSTITUTE(SUBSTITUTE(SUBSTITUTE(SUBSTITUTE(SUBSTITUTE(SUBSTITUTE(SUBSTITUTE(SUBSTITUTE(SUBSTITUTE(SUBSTITUTE(SUBSTITUTE(SUBSTITUTE(SUBSTITUTE(SUBSTITUTE(SUBSTITUTE(SUBSTITUTE(SUBSTITUTE(SUBSTITUTE(SUBSTITUTE(SUBSTITUTE(LOWER(Z197&amp;""),CHAR(10)," "),CHAR(13)," "),CHAR(9)," "),CHAR(160)," "),"."," "),","," "),"-"," "),"/"," "),"("," "),")"," "),":"," "),";"," "),"_"," "),"–"," "),"?"," "),"!"," "),"*"," "),"["," "),"]"," "),"'"," "),"#"," "),"+"," "),"&amp;"," "),"\"," "))&amp;" "</f>
        <v>  </v>
      </c>
      <c r="BE197" s="61" t="str">
        <f aca="false">" "&amp;TRIM(SUBSTITUTE(SUBSTITUTE(SUBSTITUTE(SUBSTITUTE(SUBSTITUTE(SUBSTITUTE(SUBSTITUTE(SUBSTITUTE(SUBSTITUTE(SUBSTITUTE(SUBSTITUTE(SUBSTITUTE(SUBSTITUTE(SUBSTITUTE(SUBSTITUTE(SUBSTITUTE(SUBSTITUTE(SUBSTITUTE(SUBSTITUTE(SUBSTITUTE(SUBSTITUTE(SUBSTITUTE(SUBSTITUTE(SUBSTITUTE(LOWER(W197&amp;""),CHAR(10)," "),CHAR(13)," "),CHAR(9)," "),CHAR(160)," "),"."," "),","," "),"-"," "),"/"," "),"("," "),")"," "),":"," "),";"," "),"_"," "),"–"," "),"?"," "),"!"," "),"*"," "),"["," "),"]"," "),"'"," "),"#"," "),"+"," "),"&amp;"," "),"\"," "))&amp;" "</f>
        <v>  </v>
      </c>
      <c r="BF197" s="61" t="str">
        <f aca="false">" "&amp;TRIM(SUBSTITUTE(SUBSTITUTE(SUBSTITUTE(SUBSTITUTE(SUBSTITUTE(SUBSTITUTE(SUBSTITUTE(SUBSTITUTE(SUBSTITUTE(SUBSTITUTE(SUBSTITUTE(SUBSTITUTE(SUBSTITUTE(SUBSTITUTE(SUBSTITUTE(SUBSTITUTE(SUBSTITUTE(SUBSTITUTE(SUBSTITUTE(SUBSTITUTE(SUBSTITUTE(SUBSTITUTE(SUBSTITUTE(SUBSTITUTE(LOWER(AC197&amp;""),CHAR(10)," "),CHAR(13)," "),CHAR(9)," "),CHAR(160)," "),"."," "),","," "),"-"," "),"/"," "),"("," "),")"," "),":"," "),";"," "),"_"," "),"–"," "),"?"," "),"!"," "),"*"," "),"["," "),"]"," "),"'"," "),"#"," "),"+"," "),"&amp;"," "),"\"," "))&amp;" "</f>
        <v>  </v>
      </c>
      <c r="BG197" s="61" t="n">
        <f aca="false">IFERROR(IF(AND(TRIM(U197)="Pass",SUMPRODUCT((LEN(BC197)-LEN(SUBSTITUTE(BC197," "&amp;L_ResultBad&amp;" "," ")))/(LEN(L_ResultBad)+1))&gt;SUMPRODUCT((LEN(BC197)-LEN(SUBSTITUTE(BC197," "&amp;L_NegPhrase&amp;" "," ")))/(LEN(L_NegPhrase)+1))),1,0),0)</f>
        <v>0</v>
      </c>
      <c r="BH197" s="61" t="n">
        <f aca="false">IFERROR(IF(SUMPRODUCT((LEN(BC197)-LEN(SUBSTITUTE(BC197," "&amp;L_Pending&amp;" "," ")))/(LEN(L_Pending)+1))&gt;SUMPRODUCT((LEN(BC197)-LEN(SUBSTITUTE(BC197," "&amp;L_PendNeg&amp;" "," ")))/(LEN(L_PendNeg)+1)),1,0),1)</f>
        <v>0</v>
      </c>
      <c r="BI197" s="61" t="n">
        <f aca="false">IFERROR(IF(SUMPRODUCT((LEN(BD197)-LEN(SUBSTITUTE(BD197," "&amp;L_PendStrict&amp;" "," ")))/(LEN(L_PendStrict)+1))&gt;SUMPRODUCT((LEN(BD197)-LEN(SUBSTITUTE(BD197," "&amp;L_PendNeg&amp;" "," ")))/(LEN(L_PendNeg)+1)),1,0),1)</f>
        <v>0</v>
      </c>
      <c r="BJ197" s="61" t="n">
        <f aca="false">IFERROR(IF(SUMPRODUCT((LEN(BE197)-LEN(SUBSTITUTE(BE197," "&amp;L_Pending&amp;" "," ")))/(LEN(L_Pending)+1))&gt;SUMPRODUCT((LEN(BE197)-LEN(SUBSTITUTE(BE197," "&amp;L_PendNeg&amp;" "," ")))/(LEN(L_PendNeg)+1)),1,0),1)</f>
        <v>0</v>
      </c>
      <c r="BK197" s="61" t="n">
        <f aca="false">IFERROR(IF(SUMPRODUCT((LEN(BF197)-LEN(SUBSTITUTE(BF197," "&amp;L_PendStrict&amp;" "," ")))/(LEN(L_PendStrict)+1))&gt;SUMPRODUCT((LEN(BF197)-LEN(SUBSTITUTE(BF197," "&amp;L_PendNeg&amp;" "," ")))/(LEN(L_PendNeg)+1)),1,0),1)</f>
        <v>0</v>
      </c>
      <c r="BL197" s="61" t="n">
        <f aca="false">IF(ISNA(MATCH(TRIM(S197),L_EvidenceType,0)),0,BZ197)</f>
        <v>0</v>
      </c>
      <c r="BM197" s="61" t="str">
        <f aca="false">SUBSTITUTE(SUBSTITUTE(SUBSTITUTE(SUBSTITUTE(SUBSTITUTE(SUBSTITUTE(SUBSTITUTE(SUBSTITUTE(SUBSTITUTE(LOWER(Z197&amp;""),"1","0"),"2","0"),"3","0"),"4","0"),"5","0"),"6","0"),"7","0"),"8","0"),"9","0")</f>
        <v/>
      </c>
      <c r="BN197" s="61" t="str">
        <f aca="false">SUBSTITUTE(SUBSTITUTE(SUBSTITUTE(SUBSTITUTE(SUBSTITUTE(SUBSTITUTE(SUBSTITUTE(SUBSTITUTE(SUBSTITUTE(SUBSTITUTE(SUBSTITUTE(SUBSTITUTE(SUBSTITUTE(SUBSTITUTE(SUBSTITUTE(SUBSTITUTE(SUBSTITUTE(SUBSTITUTE(SUBSTITUTE(SUBSTITUTE(SUBSTITUTE(SUBSTITUTE(SUBSTITUTE(SUBSTITUTE(SUBSTITUTE(BM197,"b","a"),"c","a"),"d","a"),"e","a"),"f","a"),"g","a"),"h","a"),"i","a"),"j","a"),"k","a"),"l","a"),"m","a"),"n","a"),"o","a"),"p","a"),"q","a"),"r","a"),"s","a"),"t","a"),"u","a"),"v","a"),"w","a"),"x","a"),"y","a"),"z","a")</f>
        <v/>
      </c>
      <c r="BO197" s="61" t="str">
        <f aca="false">SUBSTITUTE(SUBSTITUTE(SUBSTITUTE(SUBSTITUTE(SUBSTITUTE(SUBSTITUTE(SUBSTITUTE(SUBSTITUTE(SUBSTITUTE(LOWER(W197&amp;""),"1","0"),"2","0"),"3","0"),"4","0"),"5","0"),"6","0"),"7","0"),"8","0"),"9","0")</f>
        <v/>
      </c>
      <c r="BP197" s="61" t="str">
        <f aca="false">SUBSTITUTE(SUBSTITUTE(SUBSTITUTE(SUBSTITUTE(SUBSTITUTE(SUBSTITUTE(SUBSTITUTE(SUBSTITUTE(SUBSTITUTE(SUBSTITUTE(SUBSTITUTE(SUBSTITUTE(SUBSTITUTE(SUBSTITUTE(SUBSTITUTE(SUBSTITUTE(SUBSTITUTE(SUBSTITUTE(SUBSTITUTE(SUBSTITUTE(SUBSTITUTE(SUBSTITUTE(SUBSTITUTE(SUBSTITUTE(SUBSTITUTE(BO197,"b","a"),"c","a"),"d","a"),"e","a"),"f","a"),"g","a"),"h","a"),"i","a"),"j","a"),"k","a"),"l","a"),"m","a"),"n","a"),"o","a"),"p","a"),"q","a"),"r","a"),"s","a"),"t","a"),"u","a"),"v","a"),"w","a"),"x","a"),"y","a"),"z","a")</f>
        <v/>
      </c>
      <c r="BQ197" s="61" t="n">
        <f aca="false">IFERROR(IF(AND(ISERROR(SEARCH(" mh"," "&amp;LOWER(W197))),ISNA(MATCH(LEFT(TRIM(BP197),255),{"0000a","000a","00a","0000aa","000aa","00aa","0aa","0000aaa","000aaa","00a00","0a00","0000-0000","00:00","a00","a0","00.00.0000","00/00/0000","00-00-0000","0000-00-00","0000/00/00","0000.00.00","00.00.00","00/00/00","00-00-00","0.00.0000","0/00/0000","0-00-0000"},0)),ISNA(MATCH(LEFT(TRIM(CA197),255),{"0000a","000a","00a","0000aa","000aa","00aa","0aa","0000aaa","000aaa","00a00","0a00","0000-0000","00:00","a00","a0","00.00.0000","00/00/0000","00-00-0000","0000-00-00","0000/00/00","0000.00.00","00.00.00","00/00/00","00-00-00","0.00.0000","0/00/0000","0-00-0000"},0)),LEN(CB197)&gt;=3,NOT(OR(SUBSTITUTE(CB197,"0","")="",AND(LEN(CB197)&gt;=4,CB197=REPT(LEFT(CB197),LEN(CB197))),ISNUMBER(MATCH(CB197,{"123","1234","12345","123456","1234567","12345678","0123","01234","012345","98765","987654","54321"},0)),AND(LEN(CB197)=8,LEFT(CB197,3)="202"))),OR(AND((LEN(CA197)-LEN(SUBSTITUTE(CA197,"a","")))&gt;=1,SUMPRODUCT(--ISNUMBER(SEARCH({"a0","a-0","a_0","a/0","a.0","a#0","0a","0-a","0_a","0/a"},BP197)))&gt;0),ISNUMBER(SEARCH("000000",BP197)))),1,0),0)</f>
        <v>0</v>
      </c>
      <c r="BR197" s="61" t="n">
        <f aca="false">IFERROR(LEN(SUBSTITUTE(CC197," ",""))-SUMPRODUCT((LEN(CC197)-LEN(SUBSTITUTE(CC197," "&amp;L_Role&amp;" "," ")))/(LEN(L_Role)+1)*LEN(L_Role)),0)</f>
        <v>0</v>
      </c>
      <c r="BS197" s="61" t="n">
        <f aca="false">IFERROR(LEN(SUBSTITUTE(CD197," ",""))-SUMPRODUCT((LEN(CD197)-LEN(SUBSTITUTE(CD197," "&amp;L_Role&amp;" "," ")))/(LEN(L_Role)+1)*LEN(L_Role)),0)</f>
        <v>0</v>
      </c>
      <c r="BT1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197,"revision",""),"version",""),"jan",""),"feb",""),"mar",""),"apr",""),"may",""),"jun",""),"jul",""),"aug",""),"sep",""),"oct",""),"nov",""),"dec",""),"utc",""),"gmt",""),"myt",""),"bst",""),"rev",""),"ver",""),"b","a"),"c","a"),"d","a"),"e","a"),"f","a"),"g","a"),"h","a"),"i","a"),"j","a"),"k","a"),"l","a"),"m","a"),"n","a"),"o","a"),"p","a"),"q","a"),"r","a"),"s","a"),"t","a"),"u","a"),"v","a"),"w","a"),"x","a"),"y","a"),"z","a")</f>
        <v/>
      </c>
      <c r="BU197" s="61" t="str">
        <f aca="false">SUBSTITUTE(SUBSTITUTE(SUBSTITUTE(SUBSTITUTE(SUBSTITUTE(SUBSTITUTE(SUBSTITUTE(SUBSTITUTE(SUBSTITUTE(SUBSTITUTE(LEFT(BM197,FIND("0",BM197&amp;"0")-1),"-",""),"_",""),"/",""),".",""),"#",""),"\\",""),":","")," ",""),"(",""),")","")</f>
        <v/>
      </c>
      <c r="BV197" s="61" t="n">
        <f aca="false">IFERROR(IF(OR(SUMPRODUCT((LEN(BC197)-LEN(SUBSTITUTE(BC197," "&amp;L_NotLoaded&amp;" "," ")))/(LEN(L_NotLoaded)+1))&gt;SUMPRODUCT((LEN(BC197)-LEN(SUBSTITUTE(BC197," "&amp;L_NotLoadedNeg&amp;" "," ")))/(LEN(L_NotLoadedNeg)+1)),SUMPRODUCT((LEN(BD197)-LEN(SUBSTITUTE(BD197," "&amp;L_NotLoaded&amp;" "," ")))/(LEN(L_NotLoaded)+1))&gt;SUMPRODUCT((LEN(BD197)-LEN(SUBSTITUTE(BD197," "&amp;L_NotLoadedNeg&amp;" "," ")))/(LEN(L_NotLoadedNeg)+1))),1,0),0)</f>
        <v>0</v>
      </c>
      <c r="BW1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197&amp;""),"a",""),"b",""),"c",""),"d",""),"e",""),"f",""),"g",""),"h",""),"i",""),"j",""),"k",""),"l",""),"m",""),"n",""),"o",""),"p",""),"q",""),"r",""),"s",""),"t",""),"u",""),"v",""),"w",""),"x",""),"y",""),"z",""),"-",""),"_",""),"/",""),".",""),"#",""),"\\",""),":","")," ",""),"(",""),")","")</f>
        <v/>
      </c>
      <c r="BX197" s="61" t="str">
        <f aca="false">SUBSTITUTE(SUBSTITUTE(SUBSTITUTE(SUBSTITUTE(SUBSTITUTE(SUBSTITUTE(SUBSTITUTE(SUBSTITUTE(SUBSTITUTE(SUBSTITUTE(SUBSTITUTE(BM197,"0",""),"-",""),"_",""),"/",""),".",""),"#",""),"\\",""),":","")," ",""),"(",""),")","")</f>
        <v/>
      </c>
      <c r="BY197" s="62" t="n">
        <f aca="false">IF(ISNUMBER(Flights!$AZ$10),MAX(Q197-UpliftWindowH/24,Flights!$AZ$10),Q197-UpliftWindowH/24)</f>
        <v>46310.3888888889</v>
      </c>
      <c r="BZ197" s="61" t="n">
        <f aca="false">IFERROR(IF(IF(TRIM(S197)="Link / file path",AND(LEN(TRIM(Z197))&gt;=5,SUMPRODUCT(--ISNUMBER(SEARCH({"http","www.","\\",":\",".pdf",".jpg",".jpeg",".png",".heic",".xls",".doc",".msg",".eml",".ppt",".txt",".zip"},Z197)))&gt;0),AND(ISERROR(FIND(" ",TRIM(Z197))),NOT(OR(SUMPRODUCT(--ISNUMBER(FIND({",",";","&amp;","+"},Z197)))&gt;0,SUMPRODUCT(--ISNUMBER(SEARCH({"0/aa","0\\aa"},BN197)))&gt;0)),NOT(SUMPRODUCT(--ISNUMBER(SEARCH({"http","www.","\\",":\",".pdf",".jpg",".jpeg",".png",".heic",".xls",".doc",".msg",".eml",".ppt",".txt",".zip"},Z197)))&gt;0),NOT(LOWER(TRIM(Z197))=LOWER(Flights!$F$10)),ISNA(MATCH(BU197,{"mh","rev","revision","ver","version","v","r","a","b","seat","tray","row","gate","bay","stand","page","pg","item","line","no","cart","galley","flight","flt","table","box","bag","oven","etd","eta","std","sta","atd","ata","qty","pax","x","time","tel","ph","mob","day","wk","week","utc","gmt","myt","lt"},0)),NOT(OR(ISNUMBER(MATCH(LEFT(BN197,255),{"0000a","000a","00a","0000aa","000aa","00aa","0aa","0000aaa","000aaa","00a00","0a00","0000-0000","00:00","a00","a0","00.00.0000","00/00/0000","00-00-0000","0000-00-00","0000/00/00","0000.00.00","00.00.00","00/00/00","00-00-00","0.00.0000","0/00/0000","0-00-0000"},0)),ISNUMBER(MATCH(LEFT(BT197,255),{"0000a","000a","00a","0000aa","000aa","00aa","0aa","0000aaa","000aaa","00a00","0a00","0000-0000","00:00","a00","a0","00.00.0000","00/00/0000","00-00-0000","0000-00-00","0000/00/00","0000.00.00","00.00.00","00/00/00","00-00-00","0.00.0000","0/00/0000","0-00-0000"},0)))),NOT(OR(AND(BW197&lt;&gt;"",SUBSTITUTE(BW197,"0","")=""),AND(LEN(BW197)&gt;=4,BW197=REPT(LEFT(BW197),LEN(BW197))),ISNUMBER(MATCH(BW197,{"123","1234","12345","123456","1234567","12345678","0123","01234","012345","98765","987654","54321"},0)),ISNUMBER(MATCH(BX197,{"x","xx","xxx","xxxx","xxxxx","abc","abcd","nil","na","nan","test","tbc","tba","tbd","dummy","sample","example","eg","zz","zzz","none","null","xyz","qwe","asd","id","ref"},0)),AND(LEN(BW197)=8,BX197="",OR(LEFT(BW197,3)="202",ISNUMBER(MATCH(RIGHT(BW197,4),{"2025","2026","2027"},0)))))),OR(AND((LEN(BT197)-LEN(SUBSTITUTE(BT197,"a","")))&gt;=1,(LEN(BN197)-LEN(SUBSTITUTE(BN197,"0","")))&gt;=2,SUMPRODUCT(--ISNUMBER(SEARCH({"a0","a-0","a_0","a/0","a.0","a#0","0a","0-a","0_a","0/a"},BN197)))&gt;0),AND((LEN(BN197)-LEN(SUBSTITUTE(BN197,"a","")))=0,(LEN(BN197)-LEN(SUBSTITUTE(BN197,"0","")))&gt;=5)))),1,0),0)</f>
        <v>0</v>
      </c>
      <c r="CA1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197,"revision",""),"version",""),"jan",""),"feb",""),"mar",""),"apr",""),"may",""),"jun",""),"jul",""),"aug",""),"sep",""),"oct",""),"nov",""),"dec",""),"utc",""),"gmt",""),"myt",""),"bst",""),"rev",""),"ver",""),"b","a"),"c","a"),"d","a"),"e","a"),"f","a"),"g","a"),"h","a"),"i","a"),"j","a"),"k","a"),"l","a"),"m","a"),"n","a"),"o","a"),"p","a"),"q","a"),"r","a"),"s","a"),"t","a"),"u","a"),"v","a"),"w","a"),"x","a"),"y","a"),"z","a")</f>
        <v/>
      </c>
      <c r="CB1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197&amp;""),"a",""),"b",""),"c",""),"d",""),"e",""),"f",""),"g",""),"h",""),"i",""),"j",""),"k",""),"l",""),"m",""),"n",""),"o",""),"p",""),"q",""),"r",""),"s",""),"t",""),"u",""),"v",""),"w",""),"x",""),"y",""),"z",""),"-",""),"_",""),"/",""),".",""),"#",""),"\\",""),":","")," ",""),"(",""),")","")</f>
        <v/>
      </c>
      <c r="CC197" s="0" t="str">
        <f aca="false">" "&amp;TRIM(SUBSTITUTE(SUBSTITUTE(SUBSTITUTE(SUBSTITUTE(SUBSTITUTE(SUBSTITUTE(SUBSTITUTE(SUBSTITUTE(SUBSTITUTE(SUBSTITUTE(SUBSTITUTE(SUBSTITUTE(SUBSTITUTE(SUBSTITUTE(SUBSTITUTE(SUBSTITUTE(SUBSTITUTE(SUBSTITUTE(SUBSTITUTE(SUBSTITUTE(SUBSTITUTE(SUBSTITUTE(SUBSTITUTE(SUBSTITUTE(LOWER(T197&amp;""),CHAR(10)," "),CHAR(13)," "),CHAR(9)," "),CHAR(160)," "),"."," "),","," "),"-"," "),"/"," "),"("," "),")"," "),":"," "),";"," "),"_"," "),"–"," "),"?"," "),"!"," "),"*"," "),"["," "),"]"," "),"'"," "),"#"," "),"+"," "),"&amp;"," "),"\"," "))&amp;" "</f>
        <v>  </v>
      </c>
      <c r="CD197" s="0" t="str">
        <f aca="false">" "&amp;TRIM(SUBSTITUTE(SUBSTITUTE(SUBSTITUTE(SUBSTITUTE(SUBSTITUTE(SUBSTITUTE(SUBSTITUTE(SUBSTITUTE(SUBSTITUTE(SUBSTITUTE(SUBSTITUTE(SUBSTITUTE(SUBSTITUTE(SUBSTITUTE(SUBSTITUTE(SUBSTITUTE(SUBSTITUTE(SUBSTITUTE(SUBSTITUTE(SUBSTITUTE(SUBSTITUTE(SUBSTITUTE(SUBSTITUTE(SUBSTITUTE(LOWER(AE197&amp;""),CHAR(10)," "),CHAR(13)," "),CHAR(9)," "),CHAR(160)," "),"."," "),","," "),"-"," "),"/"," "),"("," "),")"," "),":"," "),";"," "),"_"," "),"–"," "),"?"," "),"!"," "),"*"," "),"["," "),"]"," "),"'"," "),"#"," "),"+"," "),"&amp;"," "),"\"," "))&amp;" "</f>
        <v>  </v>
      </c>
      <c r="CE197" s="68" t="n">
        <f aca="false">IFERROR(IF(AND(LEN(AU197)&gt;0,LEN(AU197)=LEN(AX197),OR(TRIM(MID(SUBSTITUTE(TRIM(CC197)," ",REPT(" ",60)),1,60))="",ISNUMBER(SEARCH(" "&amp;TRIM(MID(SUBSTITUTE(TRIM(CC197)," ",REPT(" ",60)),1,60))&amp;" ",CD197))),OR(TRIM(MID(SUBSTITUTE(TRIM(CC197)," ",REPT(" ",60)),61,60))="",ISNUMBER(SEARCH(" "&amp;TRIM(MID(SUBSTITUTE(TRIM(CC197)," ",REPT(" ",60)),61,60))&amp;" ",CD197))),OR(TRIM(MID(SUBSTITUTE(TRIM(CC197)," ",REPT(" ",60)),121,60))="",ISNUMBER(SEARCH(" "&amp;TRIM(MID(SUBSTITUTE(TRIM(CC197)," ",REPT(" ",60)),121,60))&amp;" ",CD197)))),1,0),0)</f>
        <v>0</v>
      </c>
      <c r="CG197" s="68" t="n">
        <f aca="false">IFERROR(LEN(SUBSTITUTE(BF197," ",""))-SUMPRODUCT((LEN(BF197)-LEN(SUBSTITUTE(BF197," "&amp;L_NAFiller&amp;" "," ")))/(LEN(L_NAFiller)+1)*LEN(L_NAFiller)),0)</f>
        <v>0</v>
      </c>
    </row>
    <row r="198" customFormat="false" ht="39.75" hidden="false" customHeight="true" outlineLevel="0" collapsed="false">
      <c r="A198" s="57" t="s">
        <v>758</v>
      </c>
      <c r="B198" s="57" t="s">
        <v>231</v>
      </c>
      <c r="C198" s="57" t="str">
        <f aca="false">Flights!$F$10</f>
        <v>MH0002</v>
      </c>
      <c r="D198" s="58" t="n">
        <f aca="false">Flights!$D$10</f>
        <v>46310</v>
      </c>
      <c r="E198" s="57" t="str">
        <f aca="false">Flights!$G$10&amp;"-"&amp;Flights!$H$10</f>
        <v>KUL-LHR</v>
      </c>
      <c r="F198" s="57" t="str">
        <f aca="false">Flights!$K$10</f>
        <v>BC</v>
      </c>
      <c r="G198" s="57" t="s">
        <v>459</v>
      </c>
      <c r="H198" s="57" t="s">
        <v>460</v>
      </c>
      <c r="I198" s="57" t="s">
        <v>428</v>
      </c>
      <c r="J198" s="57" t="s">
        <v>465</v>
      </c>
      <c r="K198" s="67" t="s">
        <v>426</v>
      </c>
      <c r="L198" s="67" t="s">
        <v>462</v>
      </c>
      <c r="M198" s="67"/>
      <c r="N198" s="67" t="s">
        <v>383</v>
      </c>
      <c r="O198" s="67" t="s">
        <v>463</v>
      </c>
      <c r="P198" s="57" t="s">
        <v>187</v>
      </c>
      <c r="Q198" s="59" t="n">
        <f aca="false">ROUND((Flights!$AF$10)*1440,0)/1440</f>
        <v>46310.6388888889</v>
      </c>
      <c r="R198" s="59" t="n">
        <f aca="false">Q198+(IF(AND(INDEX(TZ_DSTS,MATCH(P198,TZ_STN,0))&lt;&gt;"",Q198&gt;=INDEX(TZ_DSTS,MATCH(P198,TZ_STN,0)),Q198&lt;INDEX(TZ_DSTE,MATCH(P198,TZ_STN,0))),INDEX(TZ_DST,MATCH(P198,TZ_STN,0)),INDEX(TZ_STD,MATCH(P198,TZ_STN,0))))/24</f>
        <v>46310.9722222222</v>
      </c>
      <c r="S198" s="60"/>
      <c r="T198" s="60"/>
      <c r="U198" s="60"/>
      <c r="V198" s="60"/>
      <c r="W198" s="61"/>
      <c r="X198" s="60"/>
      <c r="Y198" s="60"/>
      <c r="Z198" s="60"/>
      <c r="AA198" s="60"/>
      <c r="AB198" s="60"/>
      <c r="AC198" s="60"/>
      <c r="AD198" s="66"/>
      <c r="AE198" s="60"/>
      <c r="AF198" s="61" t="str">
        <f aca="false">IF(AND(ISNUMBER(X198),ISNUMBER(Y198)),Y198-X198,"")</f>
        <v/>
      </c>
      <c r="AG198" s="62" t="str">
        <f aca="false">IF(ISNUMBER(AD198),AD198-(IF(AND(INDEX(TZ_DSTS,MATCH(P198,TZ_STN,0))&lt;&gt;"",(AD198-INDEX(TZ_STD,MATCH(P198,TZ_STN,0))/24)&gt;=INDEX(TZ_DSTS,MATCH(P198,TZ_STN,0)),(AD198-INDEX(TZ_STD,MATCH(P198,TZ_STN,0))/24)&lt;INDEX(TZ_DSTE,MATCH(P198,TZ_STN,0))),INDEX(TZ_DST,MATCH(P198,TZ_STN,0)),INDEX(TZ_STD,MATCH(P198,TZ_STN,0))))/24,"")</f>
        <v/>
      </c>
      <c r="AH198" s="65" t="str">
        <f aca="false">IFERROR(IF(N198="N/A – rule",IF(OR(TRIM(U198)="",TRIM(U198)="N/A",TRIM(U198)="Not started"),"N/A – RULE","INVALID – this check does not apply to this aircraft: clear the status (or correct the fleet on Flights)"),IF(TRIM(U198)="N/A",IF(AT198=0,"INVALID – N/A not permitted for this check",IF(AND(TRIM(AB198)&lt;&gt;"",TRIM(AB198)&lt;&gt;"Closed"),"INVALID – corrective action still open",IF(AND(NOT(OR(LEN(AZ198)&lt;15,ISNUMBER(MATCH(AZ198,L_Placeholder,0)))),BK198=0,CG198&gt;=8,NOT(OR(LEN(AU198)&lt;2,ISNUMBER(MATCH(AU198,L_Placeholder,0)))),BR198&gt;=3,NOT(OR(LEN(AX198)&lt;2,ISNUMBER(MATCH(AX198,L_Placeholder,0)))),BS198&gt;=3,TRIM(AE198)&lt;&gt;TRIM(T198),AX198&lt;&gt;AU198,CE198=0),"N/A – JUSTIFIED","INVALID – N/A needs a real, settled reason (not 'not applicable' / 'as above' / TBC), a named PIC and a different named verifier"))),IF(OR(TRIM(U198)="Pass",TRIM(U198)="Pass after CA"),IF(NOT(ISNUMBER(AD198)),"INVALID – completion time missing",IF(OR(OR(LEN(AU198)&lt;2,ISNUMBER(MATCH(AU198,L_Placeholder,0))),BR198&lt;3),"INVALID – PIC missing or not a named person (a role such as QA / CSM is not a name)",IF(OR(LEN(AV198)&lt;2,ISNUMBER(MATCH(AV198,L_Placeholder,0))),"INVALID – result / assessment missing",IF(OR(OR(LEN(AW198)&lt;3,ISNUMBER(MATCH(AW198,L_Placeholder,0))),SUMPRODUCT(--ISNUMBER(SEARCH(" "&amp;L_EvidencePhrase&amp;" ",BD198)))&gt;0,BI198=1),"INVALID – evidence missing, placeholder or not yet on file",IF(ISNA(MATCH(TRIM(S198),L_EvidenceType,0)),"INVALID – choose the evidence type from the list (column S)",IF(BL198=0,"INVALID – evidence ID must be the record's own ID only (e.g. SF-2210, IMG_2231, 1045521); a link / file name needs type 'Link / file path'",IF(OR(OR(LEN(AX198)&lt;2,ISNUMBER(MATCH(AX198,L_Placeholder,0))),BS198&lt;3),"INVALID – verifier missing or not a named person (a role such as QA / CSM is not a name)",IF(OR(AX198=AU198,CE198=1,AND(LEN(AU198)&gt;=4,ISNUMBER(SEARCH(AU198,AX198))),AND(LEN(AX198)&gt;=4,ISNUMBER(SEARCH(AX198,AU198)))),"INVALID – verifier must be a different, named person (not the PIC or a role)",IF(BH198=1,"INVALID – result not yet available (awaiting / TBC)",IF(BG198=1,"INVALID – result describes a problem: record Fail, then Pass after CA (or reword if it is not a problem)",IF(BV198=1,"INVALID – wording says not on board: an on-board confirmation needs the item loaded",IF(AND(AQ198=1,OR(OR(LEN(AY198)&lt;3,ISNUMBER(MATCH(AY198,L_Placeholder,0))),BJ198=1,BQ198=0)),"INVALID – batch ID missing, placeholder or not an ID (e.g. PASB-261008-BC-017)",IF(AND(AR198=1,OR(NOT(ISNUMBER(X198)),NOT(ISNUMBER(Y198)))),"INVALID – expected/actual qty missing",IF(AND(AR198=1,OR(X198&lt;=0,Y198&lt;0)),"INVALID – expected qty must be above 0 and actual not negative",IF(AH181="N/A – JUSTIFIED","INVALID – preparation row F06-T12-06 is N/A",IF(AND(AR198=1,ISNUMBER(X181),X198&lt;&gt;X181,TRIM(U198)&lt;&gt;"Pass after CA"),"INVALID – expected qty differs from preparation check F06-T12-06: record the load change as a corrective action (Pass after CA)",IF(BB198&lt;&gt;"",BB198,IF(AND(AS198=1,Documents!$J$10&lt;&gt;"ON FILE"),"INVALID – GLD not on file (Documents sheet)",IF(AND(AS198=2,Documents!$O$10&lt;&gt;"ON FILE"),"INVALID – menu checklist not on file (Documents sheet)",IF(AND(AS198=3,NOT(ISNUMBER(Flights!$AX$10))),"INVALID – enter carrying flight KUL departure (Flights AX)",IF(AND(AS198=3,OR(Flights!$AZ$10&gt;Flights!$AA$10,Flights!$AX$10&lt;Flights!$AA$10-3)),"INVALID – carrying flight (Flights AX) cannot arrive before this leg's STD, or is over 3 days early",IF(AG198&gt;AsOfUTC,"INVALID – completion time is in the future",IF(AND(ISNUMBER(BY198),AG198&lt;BY198),IF(H198="Physical uplift","INVALID – before uplift window (cannot confirm loading)","INVALID – before valid window"),IF(AG198&gt;Flights!$AA$10,"INVALID – completed after departure (cannot establish readiness)",IF(AND(H198="Preparation",AG198&gt;=IF(ISNUMBER(Flights!$BA$10),MIN(Flights!$BA$10,Flights!$AA$10),Flights!$AA$10)),"INVALID – completed after loading / departure (cannot establish readiness)",IF(AND(H198="Physical uplift",AG198&gt;Q198),"INVALID – recorded after the loading flight departed",IF(AG198&gt;Q198,"COMPLETE – LATE","COMPLETE"))))))))))))))))))))))))))),IF(TRIM(U198)="Fail","FAIL – DISCREPANCY",IF(AND(TRIM(U198)&lt;&gt;"",TRIM(U198)&lt;&gt;"Not started",TRIM(U198)&lt;&gt;"In progress"),"INVALID – unrecognised status (use the list)",IF(AsOfUTC&gt;Q198,"OVERDUE",IF(N198="Clarification required","OPEN – CLARIFICATION","OPEN"))))))),"INVALID – error value in an input cell")</f>
        <v>OPEN</v>
      </c>
      <c r="AI198" s="61" t="n">
        <f aca="false">IF(OR(AH198="N/A – RULE",AH198="N/A – JUSTIFIED"),0,1)</f>
        <v>1</v>
      </c>
      <c r="AJ198" s="61" t="n">
        <f aca="false">IF(LEFT(AH198,8)="COMPLETE",1,0)</f>
        <v>0</v>
      </c>
      <c r="AK198" s="61" t="n">
        <f aca="false">IF(AND(AI198=1,AJ198=0,AsOfUTC&gt;Q198),1,0)</f>
        <v>0</v>
      </c>
      <c r="AL198" s="61" t="n">
        <f aca="false">IFERROR(IF(AND(AI198=1,OR(TRIM(U198)="Fail",AND(TRIM(AB198)&lt;&gt;"",TRIM(AB198)&lt;&gt;"Closed"),AND(ISNUMBER(AF198),AF198&lt;&gt;0,TRIM(U198)&lt;&gt;"Pass after CA"))),1,0),1)</f>
        <v>0</v>
      </c>
      <c r="AM198" s="61" t="n">
        <f aca="false">IF(LEFT(AH198,7)="INVALID",1,0)</f>
        <v>0</v>
      </c>
      <c r="AN198" s="61" t="n">
        <f aca="false">IF(AND(N198="Clarification required",AI198=1,AJ198=0),1,0)</f>
        <v>0</v>
      </c>
      <c r="AO198" s="61" t="str">
        <f aca="false">IF(AK198=1,SUM(AK$5:AK198),"")</f>
        <v/>
      </c>
      <c r="AP198" s="61" t="str">
        <f aca="false">IF(AL198=1,SUM(AL$5:AL198),"")</f>
        <v/>
      </c>
      <c r="AQ198" s="61" t="n">
        <v>0</v>
      </c>
      <c r="AR198" s="61" t="n">
        <v>1</v>
      </c>
      <c r="AS198" s="61" t="n">
        <v>0</v>
      </c>
      <c r="AT198" s="61" t="n">
        <v>0</v>
      </c>
      <c r="AU198" s="61" t="str">
        <f aca="false">SUBSTITUTE(SUBSTITUTE(SUBSTITUTE(SUBSTITUTE(SUBSTITUTE(SUBSTITUTE(SUBSTITUTE(SUBSTITUTE(SUBSTITUTE(SUBSTITUTE(SUBSTITUTE(SUBSTITUTE(SUBSTITUTE(SUBSTITUTE(SUBSTITUTE(SUBSTITUTE(LOWER(T198&amp;""),CHAR(10),""),CHAR(13),""),CHAR(9),""),CHAR(160),"")," ",""),".",""),"-",""),"/",""),"?",""),"_",""),",",""),"[",""),"]",""),"(",""),")",""),"*","")</f>
        <v/>
      </c>
      <c r="AV198" s="61" t="str">
        <f aca="false">SUBSTITUTE(SUBSTITUTE(SUBSTITUTE(SUBSTITUTE(SUBSTITUTE(SUBSTITUTE(SUBSTITUTE(SUBSTITUTE(SUBSTITUTE(SUBSTITUTE(SUBSTITUTE(SUBSTITUTE(SUBSTITUTE(SUBSTITUTE(SUBSTITUTE(SUBSTITUTE(LOWER(V198&amp;""),CHAR(10),""),CHAR(13),""),CHAR(9),""),CHAR(160),"")," ",""),".",""),"-",""),"/",""),"?",""),"_",""),",",""),"[",""),"]",""),"(",""),")",""),"*","")</f>
        <v/>
      </c>
      <c r="AW198" s="61" t="str">
        <f aca="false">SUBSTITUTE(SUBSTITUTE(SUBSTITUTE(SUBSTITUTE(SUBSTITUTE(SUBSTITUTE(SUBSTITUTE(SUBSTITUTE(SUBSTITUTE(SUBSTITUTE(SUBSTITUTE(SUBSTITUTE(SUBSTITUTE(SUBSTITUTE(SUBSTITUTE(SUBSTITUTE(LOWER(Z198&amp;""),CHAR(10),""),CHAR(13),""),CHAR(9),""),CHAR(160),"")," ",""),".",""),"-",""),"/",""),"?",""),"_",""),",",""),"[",""),"]",""),"(",""),")",""),"*","")</f>
        <v/>
      </c>
      <c r="AX198" s="61" t="str">
        <f aca="false">SUBSTITUTE(SUBSTITUTE(SUBSTITUTE(SUBSTITUTE(SUBSTITUTE(SUBSTITUTE(SUBSTITUTE(SUBSTITUTE(SUBSTITUTE(SUBSTITUTE(SUBSTITUTE(SUBSTITUTE(SUBSTITUTE(SUBSTITUTE(SUBSTITUTE(SUBSTITUTE(LOWER(AE198&amp;""),CHAR(10),""),CHAR(13),""),CHAR(9),""),CHAR(160),"")," ",""),".",""),"-",""),"/",""),"?",""),"_",""),",",""),"[",""),"]",""),"(",""),")",""),"*","")</f>
        <v/>
      </c>
      <c r="AY198" s="61" t="str">
        <f aca="false">SUBSTITUTE(SUBSTITUTE(SUBSTITUTE(SUBSTITUTE(SUBSTITUTE(SUBSTITUTE(SUBSTITUTE(SUBSTITUTE(SUBSTITUTE(SUBSTITUTE(SUBSTITUTE(SUBSTITUTE(SUBSTITUTE(SUBSTITUTE(SUBSTITUTE(SUBSTITUTE(LOWER(W198&amp;""),CHAR(10),""),CHAR(13),""),CHAR(9),""),CHAR(160),"")," ",""),".",""),"-",""),"/",""),"?",""),"_",""),",",""),"[",""),"]",""),"(",""),")",""),"*","")</f>
        <v/>
      </c>
      <c r="AZ198" s="61" t="str">
        <f aca="false">SUBSTITUTE(SUBSTITUTE(SUBSTITUTE(SUBSTITUTE(SUBSTITUTE(SUBSTITUTE(SUBSTITUTE(SUBSTITUTE(SUBSTITUTE(SUBSTITUTE(SUBSTITUTE(SUBSTITUTE(SUBSTITUTE(SUBSTITUTE(SUBSTITUTE(SUBSTITUTE(LOWER(AC198&amp;""),CHAR(10),""),CHAR(13),""),CHAR(9),""),CHAR(160),"")," ",""),".",""),"-",""),"/",""),"?",""),"_",""),",",""),"[",""),"]",""),"(",""),")",""),"*","")</f>
        <v/>
      </c>
      <c r="BA198" s="61" t="str">
        <f aca="false">SUBSTITUTE(SUBSTITUTE(SUBSTITUTE(SUBSTITUTE(SUBSTITUTE(SUBSTITUTE(SUBSTITUTE(SUBSTITUTE(SUBSTITUTE(SUBSTITUTE(SUBSTITUTE(SUBSTITUTE(SUBSTITUTE(SUBSTITUTE(SUBSTITUTE(SUBSTITUTE(LOWER(AA198&amp;""),CHAR(10),""),CHAR(13),""),CHAR(9),""),CHAR(160),"")," ",""),".",""),"-",""),"/",""),"?",""),"_",""),",",""),"[",""),"]",""),"(",""),")",""),"*","")</f>
        <v/>
      </c>
      <c r="BB198" s="61" t="str">
        <f aca="false">IF(AND(TRIM(U198)="Pass",ISNUMBER(AF198)),IF(AF198&lt;&gt;0,"INVALID – qty variance: use Fail or Pass after CA",""),"")&amp;IF(AND(TRIM(U198)="Pass after CA",ISNUMBER(AF198)),IF(AF198&lt;&gt;0,"INVALID – after the corrective action the actual qty must equal expected (update Actual)",""),"")&amp;IF(AND(TRIM(U198)="Pass",TRIM(AB198)&lt;&gt;"",TRIM(AB198)&lt;&gt;"Closed"),"INVALID – corrective action not closed: use Fail, then Pass after CA","")&amp;IF(AND(LEN(BA198)&gt;=2,ISNA(MATCH(LEFT(BA198,255),L_Placeholder,0)),TRIM(AB198)=""),"INVALID – CA status missing for the recorded corrective action","")&amp;IF(AND(TRIM(U198)="Pass after CA",OR(OR(LEN(BA198)&lt;5,ISNUMBER(MATCH(BA198,L_Placeholder,0))),TRIM(AB198)&lt;&gt;"Closed")),"INVALID – corrective action not recorded/closed","")</f>
        <v/>
      </c>
      <c r="BC198" s="61" t="str">
        <f aca="false">" "&amp;TRIM(SUBSTITUTE(SUBSTITUTE(SUBSTITUTE(SUBSTITUTE(SUBSTITUTE(SUBSTITUTE(SUBSTITUTE(SUBSTITUTE(SUBSTITUTE(SUBSTITUTE(SUBSTITUTE(SUBSTITUTE(SUBSTITUTE(SUBSTITUTE(SUBSTITUTE(SUBSTITUTE(SUBSTITUTE(SUBSTITUTE(SUBSTITUTE(SUBSTITUTE(SUBSTITUTE(SUBSTITUTE(SUBSTITUTE(SUBSTITUTE(LOWER(V198&amp;""),CHAR(10)," "),CHAR(13)," "),CHAR(9)," "),CHAR(160)," "),"."," "),","," "),"-"," "),"/"," "),"("," "),")"," "),":"," "),";"," "),"_"," "),"–"," "),"?"," "),"!"," "),"*"," "),"["," "),"]"," "),"'"," "),"#"," "),"+"," "),"&amp;"," "),"\"," "))&amp;" "</f>
        <v>  </v>
      </c>
      <c r="BD198" s="61" t="str">
        <f aca="false">" "&amp;TRIM(SUBSTITUTE(SUBSTITUTE(SUBSTITUTE(SUBSTITUTE(SUBSTITUTE(SUBSTITUTE(SUBSTITUTE(SUBSTITUTE(SUBSTITUTE(SUBSTITUTE(SUBSTITUTE(SUBSTITUTE(SUBSTITUTE(SUBSTITUTE(SUBSTITUTE(SUBSTITUTE(SUBSTITUTE(SUBSTITUTE(SUBSTITUTE(SUBSTITUTE(SUBSTITUTE(SUBSTITUTE(SUBSTITUTE(SUBSTITUTE(LOWER(Z198&amp;""),CHAR(10)," "),CHAR(13)," "),CHAR(9)," "),CHAR(160)," "),"."," "),","," "),"-"," "),"/"," "),"("," "),")"," "),":"," "),";"," "),"_"," "),"–"," "),"?"," "),"!"," "),"*"," "),"["," "),"]"," "),"'"," "),"#"," "),"+"," "),"&amp;"," "),"\"," "))&amp;" "</f>
        <v>  </v>
      </c>
      <c r="BE198" s="61" t="str">
        <f aca="false">" "&amp;TRIM(SUBSTITUTE(SUBSTITUTE(SUBSTITUTE(SUBSTITUTE(SUBSTITUTE(SUBSTITUTE(SUBSTITUTE(SUBSTITUTE(SUBSTITUTE(SUBSTITUTE(SUBSTITUTE(SUBSTITUTE(SUBSTITUTE(SUBSTITUTE(SUBSTITUTE(SUBSTITUTE(SUBSTITUTE(SUBSTITUTE(SUBSTITUTE(SUBSTITUTE(SUBSTITUTE(SUBSTITUTE(SUBSTITUTE(SUBSTITUTE(LOWER(W198&amp;""),CHAR(10)," "),CHAR(13)," "),CHAR(9)," "),CHAR(160)," "),"."," "),","," "),"-"," "),"/"," "),"("," "),")"," "),":"," "),";"," "),"_"," "),"–"," "),"?"," "),"!"," "),"*"," "),"["," "),"]"," "),"'"," "),"#"," "),"+"," "),"&amp;"," "),"\"," "))&amp;" "</f>
        <v>  </v>
      </c>
      <c r="BF198" s="61" t="str">
        <f aca="false">" "&amp;TRIM(SUBSTITUTE(SUBSTITUTE(SUBSTITUTE(SUBSTITUTE(SUBSTITUTE(SUBSTITUTE(SUBSTITUTE(SUBSTITUTE(SUBSTITUTE(SUBSTITUTE(SUBSTITUTE(SUBSTITUTE(SUBSTITUTE(SUBSTITUTE(SUBSTITUTE(SUBSTITUTE(SUBSTITUTE(SUBSTITUTE(SUBSTITUTE(SUBSTITUTE(SUBSTITUTE(SUBSTITUTE(SUBSTITUTE(SUBSTITUTE(LOWER(AC198&amp;""),CHAR(10)," "),CHAR(13)," "),CHAR(9)," "),CHAR(160)," "),"."," "),","," "),"-"," "),"/"," "),"("," "),")"," "),":"," "),";"," "),"_"," "),"–"," "),"?"," "),"!"," "),"*"," "),"["," "),"]"," "),"'"," "),"#"," "),"+"," "),"&amp;"," "),"\"," "))&amp;" "</f>
        <v>  </v>
      </c>
      <c r="BG198" s="61" t="n">
        <f aca="false">IFERROR(IF(AND(TRIM(U198)="Pass",SUMPRODUCT((LEN(BC198)-LEN(SUBSTITUTE(BC198," "&amp;L_ResultBad&amp;" "," ")))/(LEN(L_ResultBad)+1))&gt;SUMPRODUCT((LEN(BC198)-LEN(SUBSTITUTE(BC198," "&amp;L_NegPhrase&amp;" "," ")))/(LEN(L_NegPhrase)+1))),1,0),0)</f>
        <v>0</v>
      </c>
      <c r="BH198" s="61" t="n">
        <f aca="false">IFERROR(IF(SUMPRODUCT((LEN(BC198)-LEN(SUBSTITUTE(BC198," "&amp;L_Pending&amp;" "," ")))/(LEN(L_Pending)+1))&gt;SUMPRODUCT((LEN(BC198)-LEN(SUBSTITUTE(BC198," "&amp;L_PendNeg&amp;" "," ")))/(LEN(L_PendNeg)+1)),1,0),1)</f>
        <v>0</v>
      </c>
      <c r="BI198" s="61" t="n">
        <f aca="false">IFERROR(IF(SUMPRODUCT((LEN(BD198)-LEN(SUBSTITUTE(BD198," "&amp;L_PendStrict&amp;" "," ")))/(LEN(L_PendStrict)+1))&gt;SUMPRODUCT((LEN(BD198)-LEN(SUBSTITUTE(BD198," "&amp;L_PendNeg&amp;" "," ")))/(LEN(L_PendNeg)+1)),1,0),1)</f>
        <v>0</v>
      </c>
      <c r="BJ198" s="61" t="n">
        <f aca="false">IFERROR(IF(SUMPRODUCT((LEN(BE198)-LEN(SUBSTITUTE(BE198," "&amp;L_Pending&amp;" "," ")))/(LEN(L_Pending)+1))&gt;SUMPRODUCT((LEN(BE198)-LEN(SUBSTITUTE(BE198," "&amp;L_PendNeg&amp;" "," ")))/(LEN(L_PendNeg)+1)),1,0),1)</f>
        <v>0</v>
      </c>
      <c r="BK198" s="61" t="n">
        <f aca="false">IFERROR(IF(SUMPRODUCT((LEN(BF198)-LEN(SUBSTITUTE(BF198," "&amp;L_PendStrict&amp;" "," ")))/(LEN(L_PendStrict)+1))&gt;SUMPRODUCT((LEN(BF198)-LEN(SUBSTITUTE(BF198," "&amp;L_PendNeg&amp;" "," ")))/(LEN(L_PendNeg)+1)),1,0),1)</f>
        <v>0</v>
      </c>
      <c r="BL198" s="61" t="n">
        <f aca="false">IF(ISNA(MATCH(TRIM(S198),L_EvidenceType,0)),0,BZ198)</f>
        <v>0</v>
      </c>
      <c r="BM198" s="61" t="str">
        <f aca="false">SUBSTITUTE(SUBSTITUTE(SUBSTITUTE(SUBSTITUTE(SUBSTITUTE(SUBSTITUTE(SUBSTITUTE(SUBSTITUTE(SUBSTITUTE(LOWER(Z198&amp;""),"1","0"),"2","0"),"3","0"),"4","0"),"5","0"),"6","0"),"7","0"),"8","0"),"9","0")</f>
        <v/>
      </c>
      <c r="BN198" s="61" t="str">
        <f aca="false">SUBSTITUTE(SUBSTITUTE(SUBSTITUTE(SUBSTITUTE(SUBSTITUTE(SUBSTITUTE(SUBSTITUTE(SUBSTITUTE(SUBSTITUTE(SUBSTITUTE(SUBSTITUTE(SUBSTITUTE(SUBSTITUTE(SUBSTITUTE(SUBSTITUTE(SUBSTITUTE(SUBSTITUTE(SUBSTITUTE(SUBSTITUTE(SUBSTITUTE(SUBSTITUTE(SUBSTITUTE(SUBSTITUTE(SUBSTITUTE(SUBSTITUTE(BM198,"b","a"),"c","a"),"d","a"),"e","a"),"f","a"),"g","a"),"h","a"),"i","a"),"j","a"),"k","a"),"l","a"),"m","a"),"n","a"),"o","a"),"p","a"),"q","a"),"r","a"),"s","a"),"t","a"),"u","a"),"v","a"),"w","a"),"x","a"),"y","a"),"z","a")</f>
        <v/>
      </c>
      <c r="BO198" s="61" t="str">
        <f aca="false">SUBSTITUTE(SUBSTITUTE(SUBSTITUTE(SUBSTITUTE(SUBSTITUTE(SUBSTITUTE(SUBSTITUTE(SUBSTITUTE(SUBSTITUTE(LOWER(W198&amp;""),"1","0"),"2","0"),"3","0"),"4","0"),"5","0"),"6","0"),"7","0"),"8","0"),"9","0")</f>
        <v/>
      </c>
      <c r="BP198" s="61" t="str">
        <f aca="false">SUBSTITUTE(SUBSTITUTE(SUBSTITUTE(SUBSTITUTE(SUBSTITUTE(SUBSTITUTE(SUBSTITUTE(SUBSTITUTE(SUBSTITUTE(SUBSTITUTE(SUBSTITUTE(SUBSTITUTE(SUBSTITUTE(SUBSTITUTE(SUBSTITUTE(SUBSTITUTE(SUBSTITUTE(SUBSTITUTE(SUBSTITUTE(SUBSTITUTE(SUBSTITUTE(SUBSTITUTE(SUBSTITUTE(SUBSTITUTE(SUBSTITUTE(BO198,"b","a"),"c","a"),"d","a"),"e","a"),"f","a"),"g","a"),"h","a"),"i","a"),"j","a"),"k","a"),"l","a"),"m","a"),"n","a"),"o","a"),"p","a"),"q","a"),"r","a"),"s","a"),"t","a"),"u","a"),"v","a"),"w","a"),"x","a"),"y","a"),"z","a")</f>
        <v/>
      </c>
      <c r="BQ198" s="61" t="n">
        <f aca="false">IFERROR(IF(AND(ISERROR(SEARCH(" mh"," "&amp;LOWER(W198))),ISNA(MATCH(LEFT(TRIM(BP198),255),{"0000a","000a","00a","0000aa","000aa","00aa","0aa","0000aaa","000aaa","00a00","0a00","0000-0000","00:00","a00","a0","00.00.0000","00/00/0000","00-00-0000","0000-00-00","0000/00/00","0000.00.00","00.00.00","00/00/00","00-00-00","0.00.0000","0/00/0000","0-00-0000"},0)),ISNA(MATCH(LEFT(TRIM(CA198),255),{"0000a","000a","00a","0000aa","000aa","00aa","0aa","0000aaa","000aaa","00a00","0a00","0000-0000","00:00","a00","a0","00.00.0000","00/00/0000","00-00-0000","0000-00-00","0000/00/00","0000.00.00","00.00.00","00/00/00","00-00-00","0.00.0000","0/00/0000","0-00-0000"},0)),LEN(CB198)&gt;=3,NOT(OR(SUBSTITUTE(CB198,"0","")="",AND(LEN(CB198)&gt;=4,CB198=REPT(LEFT(CB198),LEN(CB198))),ISNUMBER(MATCH(CB198,{"123","1234","12345","123456","1234567","12345678","0123","01234","012345","98765","987654","54321"},0)),AND(LEN(CB198)=8,LEFT(CB198,3)="202"))),OR(AND((LEN(CA198)-LEN(SUBSTITUTE(CA198,"a","")))&gt;=1,SUMPRODUCT(--ISNUMBER(SEARCH({"a0","a-0","a_0","a/0","a.0","a#0","0a","0-a","0_a","0/a"},BP198)))&gt;0),ISNUMBER(SEARCH("000000",BP198)))),1,0),0)</f>
        <v>0</v>
      </c>
      <c r="BR198" s="61" t="n">
        <f aca="false">IFERROR(LEN(SUBSTITUTE(CC198," ",""))-SUMPRODUCT((LEN(CC198)-LEN(SUBSTITUTE(CC198," "&amp;L_Role&amp;" "," ")))/(LEN(L_Role)+1)*LEN(L_Role)),0)</f>
        <v>0</v>
      </c>
      <c r="BS198" s="61" t="n">
        <f aca="false">IFERROR(LEN(SUBSTITUTE(CD198," ",""))-SUMPRODUCT((LEN(CD198)-LEN(SUBSTITUTE(CD198," "&amp;L_Role&amp;" "," ")))/(LEN(L_Role)+1)*LEN(L_Role)),0)</f>
        <v>0</v>
      </c>
      <c r="BT1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198,"revision",""),"version",""),"jan",""),"feb",""),"mar",""),"apr",""),"may",""),"jun",""),"jul",""),"aug",""),"sep",""),"oct",""),"nov",""),"dec",""),"utc",""),"gmt",""),"myt",""),"bst",""),"rev",""),"ver",""),"b","a"),"c","a"),"d","a"),"e","a"),"f","a"),"g","a"),"h","a"),"i","a"),"j","a"),"k","a"),"l","a"),"m","a"),"n","a"),"o","a"),"p","a"),"q","a"),"r","a"),"s","a"),"t","a"),"u","a"),"v","a"),"w","a"),"x","a"),"y","a"),"z","a")</f>
        <v/>
      </c>
      <c r="BU198" s="61" t="str">
        <f aca="false">SUBSTITUTE(SUBSTITUTE(SUBSTITUTE(SUBSTITUTE(SUBSTITUTE(SUBSTITUTE(SUBSTITUTE(SUBSTITUTE(SUBSTITUTE(SUBSTITUTE(LEFT(BM198,FIND("0",BM198&amp;"0")-1),"-",""),"_",""),"/",""),".",""),"#",""),"\\",""),":","")," ",""),"(",""),")","")</f>
        <v/>
      </c>
      <c r="BV198" s="61" t="n">
        <f aca="false">IFERROR(IF(OR(SUMPRODUCT((LEN(BC198)-LEN(SUBSTITUTE(BC198," "&amp;L_NotLoaded&amp;" "," ")))/(LEN(L_NotLoaded)+1))&gt;SUMPRODUCT((LEN(BC198)-LEN(SUBSTITUTE(BC198," "&amp;L_NotLoadedNeg&amp;" "," ")))/(LEN(L_NotLoadedNeg)+1)),SUMPRODUCT((LEN(BD198)-LEN(SUBSTITUTE(BD198," "&amp;L_NotLoaded&amp;" "," ")))/(LEN(L_NotLoaded)+1))&gt;SUMPRODUCT((LEN(BD198)-LEN(SUBSTITUTE(BD198," "&amp;L_NotLoadedNeg&amp;" "," ")))/(LEN(L_NotLoadedNeg)+1))),1,0),0)</f>
        <v>0</v>
      </c>
      <c r="BW1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198&amp;""),"a",""),"b",""),"c",""),"d",""),"e",""),"f",""),"g",""),"h",""),"i",""),"j",""),"k",""),"l",""),"m",""),"n",""),"o",""),"p",""),"q",""),"r",""),"s",""),"t",""),"u",""),"v",""),"w",""),"x",""),"y",""),"z",""),"-",""),"_",""),"/",""),".",""),"#",""),"\\",""),":","")," ",""),"(",""),")","")</f>
        <v/>
      </c>
      <c r="BX198" s="61" t="str">
        <f aca="false">SUBSTITUTE(SUBSTITUTE(SUBSTITUTE(SUBSTITUTE(SUBSTITUTE(SUBSTITUTE(SUBSTITUTE(SUBSTITUTE(SUBSTITUTE(SUBSTITUTE(SUBSTITUTE(BM198,"0",""),"-",""),"_",""),"/",""),".",""),"#",""),"\\",""),":","")," ",""),"(",""),")","")</f>
        <v/>
      </c>
      <c r="BY198" s="62" t="n">
        <f aca="false">IF(ISNUMBER(Flights!$AZ$10),MAX(Q198-UpliftWindowH/24,Flights!$AZ$10),Q198-UpliftWindowH/24)</f>
        <v>46310.3888888889</v>
      </c>
      <c r="BZ198" s="61" t="n">
        <f aca="false">IFERROR(IF(IF(TRIM(S198)="Link / file path",AND(LEN(TRIM(Z198))&gt;=5,SUMPRODUCT(--ISNUMBER(SEARCH({"http","www.","\\",":\",".pdf",".jpg",".jpeg",".png",".heic",".xls",".doc",".msg",".eml",".ppt",".txt",".zip"},Z198)))&gt;0),AND(ISERROR(FIND(" ",TRIM(Z198))),NOT(OR(SUMPRODUCT(--ISNUMBER(FIND({",",";","&amp;","+"},Z198)))&gt;0,SUMPRODUCT(--ISNUMBER(SEARCH({"0/aa","0\\aa"},BN198)))&gt;0)),NOT(SUMPRODUCT(--ISNUMBER(SEARCH({"http","www.","\\",":\",".pdf",".jpg",".jpeg",".png",".heic",".xls",".doc",".msg",".eml",".ppt",".txt",".zip"},Z198)))&gt;0),NOT(LOWER(TRIM(Z198))=LOWER(Flights!$F$10)),ISNA(MATCH(BU198,{"mh","rev","revision","ver","version","v","r","a","b","seat","tray","row","gate","bay","stand","page","pg","item","line","no","cart","galley","flight","flt","table","box","bag","oven","etd","eta","std","sta","atd","ata","qty","pax","x","time","tel","ph","mob","day","wk","week","utc","gmt","myt","lt"},0)),NOT(OR(ISNUMBER(MATCH(LEFT(BN198,255),{"0000a","000a","00a","0000aa","000aa","00aa","0aa","0000aaa","000aaa","00a00","0a00","0000-0000","00:00","a00","a0","00.00.0000","00/00/0000","00-00-0000","0000-00-00","0000/00/00","0000.00.00","00.00.00","00/00/00","00-00-00","0.00.0000","0/00/0000","0-00-0000"},0)),ISNUMBER(MATCH(LEFT(BT198,255),{"0000a","000a","00a","0000aa","000aa","00aa","0aa","0000aaa","000aaa","00a00","0a00","0000-0000","00:00","a00","a0","00.00.0000","00/00/0000","00-00-0000","0000-00-00","0000/00/00","0000.00.00","00.00.00","00/00/00","00-00-00","0.00.0000","0/00/0000","0-00-0000"},0)))),NOT(OR(AND(BW198&lt;&gt;"",SUBSTITUTE(BW198,"0","")=""),AND(LEN(BW198)&gt;=4,BW198=REPT(LEFT(BW198),LEN(BW198))),ISNUMBER(MATCH(BW198,{"123","1234","12345","123456","1234567","12345678","0123","01234","012345","98765","987654","54321"},0)),ISNUMBER(MATCH(BX198,{"x","xx","xxx","xxxx","xxxxx","abc","abcd","nil","na","nan","test","tbc","tba","tbd","dummy","sample","example","eg","zz","zzz","none","null","xyz","qwe","asd","id","ref"},0)),AND(LEN(BW198)=8,BX198="",OR(LEFT(BW198,3)="202",ISNUMBER(MATCH(RIGHT(BW198,4),{"2025","2026","2027"},0)))))),OR(AND((LEN(BT198)-LEN(SUBSTITUTE(BT198,"a","")))&gt;=1,(LEN(BN198)-LEN(SUBSTITUTE(BN198,"0","")))&gt;=2,SUMPRODUCT(--ISNUMBER(SEARCH({"a0","a-0","a_0","a/0","a.0","a#0","0a","0-a","0_a","0/a"},BN198)))&gt;0),AND((LEN(BN198)-LEN(SUBSTITUTE(BN198,"a","")))=0,(LEN(BN198)-LEN(SUBSTITUTE(BN198,"0","")))&gt;=5)))),1,0),0)</f>
        <v>0</v>
      </c>
      <c r="CA1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198,"revision",""),"version",""),"jan",""),"feb",""),"mar",""),"apr",""),"may",""),"jun",""),"jul",""),"aug",""),"sep",""),"oct",""),"nov",""),"dec",""),"utc",""),"gmt",""),"myt",""),"bst",""),"rev",""),"ver",""),"b","a"),"c","a"),"d","a"),"e","a"),"f","a"),"g","a"),"h","a"),"i","a"),"j","a"),"k","a"),"l","a"),"m","a"),"n","a"),"o","a"),"p","a"),"q","a"),"r","a"),"s","a"),"t","a"),"u","a"),"v","a"),"w","a"),"x","a"),"y","a"),"z","a")</f>
        <v/>
      </c>
      <c r="CB1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198&amp;""),"a",""),"b",""),"c",""),"d",""),"e",""),"f",""),"g",""),"h",""),"i",""),"j",""),"k",""),"l",""),"m",""),"n",""),"o",""),"p",""),"q",""),"r",""),"s",""),"t",""),"u",""),"v",""),"w",""),"x",""),"y",""),"z",""),"-",""),"_",""),"/",""),".",""),"#",""),"\\",""),":","")," ",""),"(",""),")","")</f>
        <v/>
      </c>
      <c r="CC198" s="0" t="str">
        <f aca="false">" "&amp;TRIM(SUBSTITUTE(SUBSTITUTE(SUBSTITUTE(SUBSTITUTE(SUBSTITUTE(SUBSTITUTE(SUBSTITUTE(SUBSTITUTE(SUBSTITUTE(SUBSTITUTE(SUBSTITUTE(SUBSTITUTE(SUBSTITUTE(SUBSTITUTE(SUBSTITUTE(SUBSTITUTE(SUBSTITUTE(SUBSTITUTE(SUBSTITUTE(SUBSTITUTE(SUBSTITUTE(SUBSTITUTE(SUBSTITUTE(SUBSTITUTE(LOWER(T198&amp;""),CHAR(10)," "),CHAR(13)," "),CHAR(9)," "),CHAR(160)," "),"."," "),","," "),"-"," "),"/"," "),"("," "),")"," "),":"," "),";"," "),"_"," "),"–"," "),"?"," "),"!"," "),"*"," "),"["," "),"]"," "),"'"," "),"#"," "),"+"," "),"&amp;"," "),"\"," "))&amp;" "</f>
        <v>  </v>
      </c>
      <c r="CD198" s="0" t="str">
        <f aca="false">" "&amp;TRIM(SUBSTITUTE(SUBSTITUTE(SUBSTITUTE(SUBSTITUTE(SUBSTITUTE(SUBSTITUTE(SUBSTITUTE(SUBSTITUTE(SUBSTITUTE(SUBSTITUTE(SUBSTITUTE(SUBSTITUTE(SUBSTITUTE(SUBSTITUTE(SUBSTITUTE(SUBSTITUTE(SUBSTITUTE(SUBSTITUTE(SUBSTITUTE(SUBSTITUTE(SUBSTITUTE(SUBSTITUTE(SUBSTITUTE(SUBSTITUTE(LOWER(AE198&amp;""),CHAR(10)," "),CHAR(13)," "),CHAR(9)," "),CHAR(160)," "),"."," "),","," "),"-"," "),"/"," "),"("," "),")"," "),":"," "),";"," "),"_"," "),"–"," "),"?"," "),"!"," "),"*"," "),"["," "),"]"," "),"'"," "),"#"," "),"+"," "),"&amp;"," "),"\"," "))&amp;" "</f>
        <v>  </v>
      </c>
      <c r="CE198" s="68" t="n">
        <f aca="false">IFERROR(IF(AND(LEN(AU198)&gt;0,LEN(AU198)=LEN(AX198),OR(TRIM(MID(SUBSTITUTE(TRIM(CC198)," ",REPT(" ",60)),1,60))="",ISNUMBER(SEARCH(" "&amp;TRIM(MID(SUBSTITUTE(TRIM(CC198)," ",REPT(" ",60)),1,60))&amp;" ",CD198))),OR(TRIM(MID(SUBSTITUTE(TRIM(CC198)," ",REPT(" ",60)),61,60))="",ISNUMBER(SEARCH(" "&amp;TRIM(MID(SUBSTITUTE(TRIM(CC198)," ",REPT(" ",60)),61,60))&amp;" ",CD198))),OR(TRIM(MID(SUBSTITUTE(TRIM(CC198)," ",REPT(" ",60)),121,60))="",ISNUMBER(SEARCH(" "&amp;TRIM(MID(SUBSTITUTE(TRIM(CC198)," ",REPT(" ",60)),121,60))&amp;" ",CD198)))),1,0),0)</f>
        <v>0</v>
      </c>
      <c r="CG198" s="68" t="n">
        <f aca="false">IFERROR(LEN(SUBSTITUTE(BF198," ",""))-SUMPRODUCT((LEN(BF198)-LEN(SUBSTITUTE(BF198," "&amp;L_NAFiller&amp;" "," ")))/(LEN(L_NAFiller)+1)*LEN(L_NAFiller)),0)</f>
        <v>0</v>
      </c>
    </row>
    <row r="199" customFormat="false" ht="91.5" hidden="false" customHeight="true" outlineLevel="0" collapsed="false">
      <c r="A199" s="57" t="s">
        <v>759</v>
      </c>
      <c r="B199" s="57" t="s">
        <v>231</v>
      </c>
      <c r="C199" s="57" t="str">
        <f aca="false">Flights!$F$10</f>
        <v>MH0002</v>
      </c>
      <c r="D199" s="58" t="n">
        <f aca="false">Flights!$D$10</f>
        <v>46310</v>
      </c>
      <c r="E199" s="57" t="str">
        <f aca="false">Flights!$G$10&amp;"-"&amp;Flights!$H$10</f>
        <v>KUL-LHR</v>
      </c>
      <c r="F199" s="57" t="str">
        <f aca="false">Flights!$K$10</f>
        <v>BC</v>
      </c>
      <c r="G199" s="57" t="s">
        <v>459</v>
      </c>
      <c r="H199" s="57" t="s">
        <v>460</v>
      </c>
      <c r="I199" s="57" t="s">
        <v>440</v>
      </c>
      <c r="J199" s="57" t="s">
        <v>467</v>
      </c>
      <c r="K199" s="67" t="s">
        <v>501</v>
      </c>
      <c r="L199" s="67" t="s">
        <v>443</v>
      </c>
      <c r="M199" s="67" t="s">
        <v>726</v>
      </c>
      <c r="N199" s="67" t="s">
        <v>444</v>
      </c>
      <c r="O199" s="67" t="s">
        <v>727</v>
      </c>
      <c r="P199" s="57" t="s">
        <v>187</v>
      </c>
      <c r="Q199" s="59" t="n">
        <f aca="false">ROUND((Flights!$AF$10)*1440,0)/1440</f>
        <v>46310.6388888889</v>
      </c>
      <c r="R199" s="59" t="n">
        <f aca="false">Q199+(IF(AND(INDEX(TZ_DSTS,MATCH(P199,TZ_STN,0))&lt;&gt;"",Q199&gt;=INDEX(TZ_DSTS,MATCH(P199,TZ_STN,0)),Q199&lt;INDEX(TZ_DSTE,MATCH(P199,TZ_STN,0))),INDEX(TZ_DST,MATCH(P199,TZ_STN,0)),INDEX(TZ_STD,MATCH(P199,TZ_STN,0))))/24</f>
        <v>46310.9722222222</v>
      </c>
      <c r="S199" s="60"/>
      <c r="T199" s="60"/>
      <c r="U199" s="60"/>
      <c r="V199" s="60"/>
      <c r="W199" s="61"/>
      <c r="X199" s="60"/>
      <c r="Y199" s="60"/>
      <c r="Z199" s="60"/>
      <c r="AA199" s="60"/>
      <c r="AB199" s="60"/>
      <c r="AC199" s="60"/>
      <c r="AD199" s="66"/>
      <c r="AE199" s="60"/>
      <c r="AF199" s="61" t="str">
        <f aca="false">IF(AND(ISNUMBER(X199),ISNUMBER(Y199)),Y199-X199,"")</f>
        <v/>
      </c>
      <c r="AG199" s="62" t="str">
        <f aca="false">IF(ISNUMBER(AD199),AD199-(IF(AND(INDEX(TZ_DSTS,MATCH(P199,TZ_STN,0))&lt;&gt;"",(AD199-INDEX(TZ_STD,MATCH(P199,TZ_STN,0))/24)&gt;=INDEX(TZ_DSTS,MATCH(P199,TZ_STN,0)),(AD199-INDEX(TZ_STD,MATCH(P199,TZ_STN,0))/24)&lt;INDEX(TZ_DSTE,MATCH(P199,TZ_STN,0))),INDEX(TZ_DST,MATCH(P199,TZ_STN,0)),INDEX(TZ_STD,MATCH(P199,TZ_STN,0))))/24,"")</f>
        <v/>
      </c>
      <c r="AH199" s="65" t="str">
        <f aca="false">IFERROR(IF(N199="N/A – rule",IF(OR(TRIM(U199)="",TRIM(U199)="N/A",TRIM(U199)="Not started"),"N/A – RULE","INVALID – this check does not apply to this aircraft: clear the status (or correct the fleet on Flights)"),IF(TRIM(U199)="N/A",IF(AT199=0,"INVALID – N/A not permitted for this check",IF(AND(TRIM(AB199)&lt;&gt;"",TRIM(AB199)&lt;&gt;"Closed"),"INVALID – corrective action still open",IF(AND(NOT(OR(LEN(AZ199)&lt;15,ISNUMBER(MATCH(AZ199,L_Placeholder,0)))),BK199=0,CG199&gt;=8,NOT(OR(LEN(AU199)&lt;2,ISNUMBER(MATCH(AU199,L_Placeholder,0)))),BR199&gt;=3,NOT(OR(LEN(AX199)&lt;2,ISNUMBER(MATCH(AX199,L_Placeholder,0)))),BS199&gt;=3,TRIM(AE199)&lt;&gt;TRIM(T199),AX199&lt;&gt;AU199,CE199=0),"N/A – JUSTIFIED","INVALID – N/A needs a real, settled reason (not 'not applicable' / 'as above' / TBC), a named PIC and a different named verifier"))),IF(OR(TRIM(U199)="Pass",TRIM(U199)="Pass after CA"),IF(NOT(ISNUMBER(AD199)),"INVALID – completion time missing",IF(OR(OR(LEN(AU199)&lt;2,ISNUMBER(MATCH(AU199,L_Placeholder,0))),BR199&lt;3),"INVALID – PIC missing or not a named person (a role such as QA / CSM is not a name)",IF(OR(LEN(AV199)&lt;2,ISNUMBER(MATCH(AV199,L_Placeholder,0))),"INVALID – result / assessment missing",IF(OR(OR(LEN(AW199)&lt;3,ISNUMBER(MATCH(AW199,L_Placeholder,0))),SUMPRODUCT(--ISNUMBER(SEARCH(" "&amp;L_EvidencePhrase&amp;" ",BD199)))&gt;0,BI199=1),"INVALID – evidence missing, placeholder or not yet on file",IF(ISNA(MATCH(TRIM(S199),L_EvidenceType,0)),"INVALID – choose the evidence type from the list (column S)",IF(BL199=0,"INVALID – evidence ID must be the record's own ID only (e.g. SF-2210, IMG_2231, 1045521); a link / file name needs type 'Link / file path'",IF(OR(OR(LEN(AX199)&lt;2,ISNUMBER(MATCH(AX199,L_Placeholder,0))),BS199&lt;3),"INVALID – verifier missing or not a named person (a role such as QA / CSM is not a name)",IF(OR(AX199=AU199,CE199=1,AND(LEN(AU199)&gt;=4,ISNUMBER(SEARCH(AU199,AX199))),AND(LEN(AX199)&gt;=4,ISNUMBER(SEARCH(AX199,AU199)))),"INVALID – verifier must be a different, named person (not the PIC or a role)",IF(BH199=1,"INVALID – result not yet available (awaiting / TBC)",IF(BG199=1,"INVALID – result describes a problem: record Fail, then Pass after CA (or reword if it is not a problem)",IF(BV199=1,"INVALID – wording says not on board: an on-board confirmation needs the item loaded",IF(AND(AQ199=1,OR(OR(LEN(AY199)&lt;3,ISNUMBER(MATCH(AY199,L_Placeholder,0))),BJ199=1,BQ199=0)),"INVALID – batch ID missing, placeholder or not an ID (e.g. PASB-261008-BC-017)",IF(AND(AR199=1,OR(NOT(ISNUMBER(X199)),NOT(ISNUMBER(Y199)))),"INVALID – expected/actual qty missing",IF(AND(AR199=1,OR(X199&lt;=0,Y199&lt;0)),"INVALID – expected qty must be above 0 and actual not negative",IF(AH183="N/A – JUSTIFIED","INVALID – preparation row F06-T12-08 is N/A",IF(AND(AR199=1,ISNUMBER(X183),X199&lt;&gt;X183,TRIM(U199)&lt;&gt;"Pass after CA"),"INVALID – expected qty differs from preparation check F06-T12-08: record the load change as a corrective action (Pass after CA)",IF(BB199&lt;&gt;"",BB199,IF(AND(AS199=1,Documents!$J$10&lt;&gt;"ON FILE"),"INVALID – GLD not on file (Documents sheet)",IF(AND(AS199=2,Documents!$O$10&lt;&gt;"ON FILE"),"INVALID – menu checklist not on file (Documents sheet)",IF(AND(AS199=3,NOT(ISNUMBER(Flights!$AX$10))),"INVALID – enter carrying flight KUL departure (Flights AX)",IF(AND(AS199=3,OR(Flights!$AZ$10&gt;Flights!$AA$10,Flights!$AX$10&lt;Flights!$AA$10-3)),"INVALID – carrying flight (Flights AX) cannot arrive before this leg's STD, or is over 3 days early",IF(AG199&gt;AsOfUTC,"INVALID – completion time is in the future",IF(AND(ISNUMBER(BY199),AG199&lt;BY199),IF(H199="Physical uplift","INVALID – before uplift window (cannot confirm loading)","INVALID – before valid window"),IF(AG199&gt;Flights!$AA$10,"INVALID – completed after departure (cannot establish readiness)",IF(AND(H199="Preparation",AG199&gt;=IF(ISNUMBER(Flights!$BA$10),MIN(Flights!$BA$10,Flights!$AA$10),Flights!$AA$10)),"INVALID – completed after loading / departure (cannot establish readiness)",IF(AND(H199="Physical uplift",AG199&gt;Q199),"INVALID – recorded after the loading flight departed",IF(AG199&gt;Q199,"COMPLETE – LATE","COMPLETE"))))))))))))))))))))))))))),IF(TRIM(U199)="Fail","FAIL – DISCREPANCY",IF(AND(TRIM(U199)&lt;&gt;"",TRIM(U199)&lt;&gt;"Not started",TRIM(U199)&lt;&gt;"In progress"),"INVALID – unrecognised status (use the list)",IF(AsOfUTC&gt;Q199,"OVERDUE",IF(N199="Clarification required","OPEN – CLARIFICATION","OPEN"))))))),"INVALID – error value in an input cell")</f>
        <v>OPEN – CLARIFICATION</v>
      </c>
      <c r="AI199" s="61" t="n">
        <f aca="false">IF(OR(AH199="N/A – RULE",AH199="N/A – JUSTIFIED"),0,1)</f>
        <v>1</v>
      </c>
      <c r="AJ199" s="61" t="n">
        <f aca="false">IF(LEFT(AH199,8)="COMPLETE",1,0)</f>
        <v>0</v>
      </c>
      <c r="AK199" s="61" t="n">
        <f aca="false">IF(AND(AI199=1,AJ199=0,AsOfUTC&gt;Q199),1,0)</f>
        <v>0</v>
      </c>
      <c r="AL199" s="61" t="n">
        <f aca="false">IFERROR(IF(AND(AI199=1,OR(TRIM(U199)="Fail",AND(TRIM(AB199)&lt;&gt;"",TRIM(AB199)&lt;&gt;"Closed"),AND(ISNUMBER(AF199),AF199&lt;&gt;0,TRIM(U199)&lt;&gt;"Pass after CA"))),1,0),1)</f>
        <v>0</v>
      </c>
      <c r="AM199" s="61" t="n">
        <f aca="false">IF(LEFT(AH199,7)="INVALID",1,0)</f>
        <v>0</v>
      </c>
      <c r="AN199" s="61" t="n">
        <f aca="false">IF(AND(N199="Clarification required",AI199=1,AJ199=0),1,0)</f>
        <v>1</v>
      </c>
      <c r="AO199" s="61" t="str">
        <f aca="false">IF(AK199=1,SUM(AK$5:AK199),"")</f>
        <v/>
      </c>
      <c r="AP199" s="61" t="str">
        <f aca="false">IF(AL199=1,SUM(AL$5:AL199),"")</f>
        <v/>
      </c>
      <c r="AQ199" s="61" t="n">
        <v>0</v>
      </c>
      <c r="AR199" s="61" t="n">
        <v>0</v>
      </c>
      <c r="AS199" s="61" t="n">
        <v>0</v>
      </c>
      <c r="AT199" s="61" t="n">
        <v>1</v>
      </c>
      <c r="AU199" s="61" t="str">
        <f aca="false">SUBSTITUTE(SUBSTITUTE(SUBSTITUTE(SUBSTITUTE(SUBSTITUTE(SUBSTITUTE(SUBSTITUTE(SUBSTITUTE(SUBSTITUTE(SUBSTITUTE(SUBSTITUTE(SUBSTITUTE(SUBSTITUTE(SUBSTITUTE(SUBSTITUTE(SUBSTITUTE(LOWER(T199&amp;""),CHAR(10),""),CHAR(13),""),CHAR(9),""),CHAR(160),"")," ",""),".",""),"-",""),"/",""),"?",""),"_",""),",",""),"[",""),"]",""),"(",""),")",""),"*","")</f>
        <v/>
      </c>
      <c r="AV199" s="61" t="str">
        <f aca="false">SUBSTITUTE(SUBSTITUTE(SUBSTITUTE(SUBSTITUTE(SUBSTITUTE(SUBSTITUTE(SUBSTITUTE(SUBSTITUTE(SUBSTITUTE(SUBSTITUTE(SUBSTITUTE(SUBSTITUTE(SUBSTITUTE(SUBSTITUTE(SUBSTITUTE(SUBSTITUTE(LOWER(V199&amp;""),CHAR(10),""),CHAR(13),""),CHAR(9),""),CHAR(160),"")," ",""),".",""),"-",""),"/",""),"?",""),"_",""),",",""),"[",""),"]",""),"(",""),")",""),"*","")</f>
        <v/>
      </c>
      <c r="AW199" s="61" t="str">
        <f aca="false">SUBSTITUTE(SUBSTITUTE(SUBSTITUTE(SUBSTITUTE(SUBSTITUTE(SUBSTITUTE(SUBSTITUTE(SUBSTITUTE(SUBSTITUTE(SUBSTITUTE(SUBSTITUTE(SUBSTITUTE(SUBSTITUTE(SUBSTITUTE(SUBSTITUTE(SUBSTITUTE(LOWER(Z199&amp;""),CHAR(10),""),CHAR(13),""),CHAR(9),""),CHAR(160),"")," ",""),".",""),"-",""),"/",""),"?",""),"_",""),",",""),"[",""),"]",""),"(",""),")",""),"*","")</f>
        <v/>
      </c>
      <c r="AX199" s="61" t="str">
        <f aca="false">SUBSTITUTE(SUBSTITUTE(SUBSTITUTE(SUBSTITUTE(SUBSTITUTE(SUBSTITUTE(SUBSTITUTE(SUBSTITUTE(SUBSTITUTE(SUBSTITUTE(SUBSTITUTE(SUBSTITUTE(SUBSTITUTE(SUBSTITUTE(SUBSTITUTE(SUBSTITUTE(LOWER(AE199&amp;""),CHAR(10),""),CHAR(13),""),CHAR(9),""),CHAR(160),"")," ",""),".",""),"-",""),"/",""),"?",""),"_",""),",",""),"[",""),"]",""),"(",""),")",""),"*","")</f>
        <v/>
      </c>
      <c r="AY199" s="61" t="str">
        <f aca="false">SUBSTITUTE(SUBSTITUTE(SUBSTITUTE(SUBSTITUTE(SUBSTITUTE(SUBSTITUTE(SUBSTITUTE(SUBSTITUTE(SUBSTITUTE(SUBSTITUTE(SUBSTITUTE(SUBSTITUTE(SUBSTITUTE(SUBSTITUTE(SUBSTITUTE(SUBSTITUTE(LOWER(W199&amp;""),CHAR(10),""),CHAR(13),""),CHAR(9),""),CHAR(160),"")," ",""),".",""),"-",""),"/",""),"?",""),"_",""),",",""),"[",""),"]",""),"(",""),")",""),"*","")</f>
        <v/>
      </c>
      <c r="AZ199" s="61" t="str">
        <f aca="false">SUBSTITUTE(SUBSTITUTE(SUBSTITUTE(SUBSTITUTE(SUBSTITUTE(SUBSTITUTE(SUBSTITUTE(SUBSTITUTE(SUBSTITUTE(SUBSTITUTE(SUBSTITUTE(SUBSTITUTE(SUBSTITUTE(SUBSTITUTE(SUBSTITUTE(SUBSTITUTE(LOWER(AC199&amp;""),CHAR(10),""),CHAR(13),""),CHAR(9),""),CHAR(160),"")," ",""),".",""),"-",""),"/",""),"?",""),"_",""),",",""),"[",""),"]",""),"(",""),")",""),"*","")</f>
        <v/>
      </c>
      <c r="BA199" s="61" t="str">
        <f aca="false">SUBSTITUTE(SUBSTITUTE(SUBSTITUTE(SUBSTITUTE(SUBSTITUTE(SUBSTITUTE(SUBSTITUTE(SUBSTITUTE(SUBSTITUTE(SUBSTITUTE(SUBSTITUTE(SUBSTITUTE(SUBSTITUTE(SUBSTITUTE(SUBSTITUTE(SUBSTITUTE(LOWER(AA199&amp;""),CHAR(10),""),CHAR(13),""),CHAR(9),""),CHAR(160),"")," ",""),".",""),"-",""),"/",""),"?",""),"_",""),",",""),"[",""),"]",""),"(",""),")",""),"*","")</f>
        <v/>
      </c>
      <c r="BB199" s="61" t="str">
        <f aca="false">IF(AND(TRIM(U199)="Pass",ISNUMBER(AF199)),IF(AF199&lt;&gt;0,"INVALID – qty variance: use Fail or Pass after CA",""),"")&amp;IF(AND(TRIM(U199)="Pass after CA",ISNUMBER(AF199)),IF(AF199&lt;&gt;0,"INVALID – after the corrective action the actual qty must equal expected (update Actual)",""),"")&amp;IF(AND(TRIM(U199)="Pass",TRIM(AB199)&lt;&gt;"",TRIM(AB199)&lt;&gt;"Closed"),"INVALID – corrective action not closed: use Fail, then Pass after CA","")&amp;IF(AND(LEN(BA199)&gt;=2,ISNA(MATCH(LEFT(BA199,255),L_Placeholder,0)),TRIM(AB199)=""),"INVALID – CA status missing for the recorded corrective action","")&amp;IF(AND(TRIM(U199)="Pass after CA",OR(OR(LEN(BA199)&lt;5,ISNUMBER(MATCH(BA199,L_Placeholder,0))),TRIM(AB199)&lt;&gt;"Closed")),"INVALID – corrective action not recorded/closed","")</f>
        <v/>
      </c>
      <c r="BC199" s="61" t="str">
        <f aca="false">" "&amp;TRIM(SUBSTITUTE(SUBSTITUTE(SUBSTITUTE(SUBSTITUTE(SUBSTITUTE(SUBSTITUTE(SUBSTITUTE(SUBSTITUTE(SUBSTITUTE(SUBSTITUTE(SUBSTITUTE(SUBSTITUTE(SUBSTITUTE(SUBSTITUTE(SUBSTITUTE(SUBSTITUTE(SUBSTITUTE(SUBSTITUTE(SUBSTITUTE(SUBSTITUTE(SUBSTITUTE(SUBSTITUTE(SUBSTITUTE(SUBSTITUTE(LOWER(V199&amp;""),CHAR(10)," "),CHAR(13)," "),CHAR(9)," "),CHAR(160)," "),"."," "),","," "),"-"," "),"/"," "),"("," "),")"," "),":"," "),";"," "),"_"," "),"–"," "),"?"," "),"!"," "),"*"," "),"["," "),"]"," "),"'"," "),"#"," "),"+"," "),"&amp;"," "),"\"," "))&amp;" "</f>
        <v>  </v>
      </c>
      <c r="BD199" s="61" t="str">
        <f aca="false">" "&amp;TRIM(SUBSTITUTE(SUBSTITUTE(SUBSTITUTE(SUBSTITUTE(SUBSTITUTE(SUBSTITUTE(SUBSTITUTE(SUBSTITUTE(SUBSTITUTE(SUBSTITUTE(SUBSTITUTE(SUBSTITUTE(SUBSTITUTE(SUBSTITUTE(SUBSTITUTE(SUBSTITUTE(SUBSTITUTE(SUBSTITUTE(SUBSTITUTE(SUBSTITUTE(SUBSTITUTE(SUBSTITUTE(SUBSTITUTE(SUBSTITUTE(LOWER(Z199&amp;""),CHAR(10)," "),CHAR(13)," "),CHAR(9)," "),CHAR(160)," "),"."," "),","," "),"-"," "),"/"," "),"("," "),")"," "),":"," "),";"," "),"_"," "),"–"," "),"?"," "),"!"," "),"*"," "),"["," "),"]"," "),"'"," "),"#"," "),"+"," "),"&amp;"," "),"\"," "))&amp;" "</f>
        <v>  </v>
      </c>
      <c r="BE199" s="61" t="str">
        <f aca="false">" "&amp;TRIM(SUBSTITUTE(SUBSTITUTE(SUBSTITUTE(SUBSTITUTE(SUBSTITUTE(SUBSTITUTE(SUBSTITUTE(SUBSTITUTE(SUBSTITUTE(SUBSTITUTE(SUBSTITUTE(SUBSTITUTE(SUBSTITUTE(SUBSTITUTE(SUBSTITUTE(SUBSTITUTE(SUBSTITUTE(SUBSTITUTE(SUBSTITUTE(SUBSTITUTE(SUBSTITUTE(SUBSTITUTE(SUBSTITUTE(SUBSTITUTE(LOWER(W199&amp;""),CHAR(10)," "),CHAR(13)," "),CHAR(9)," "),CHAR(160)," "),"."," "),","," "),"-"," "),"/"," "),"("," "),")"," "),":"," "),";"," "),"_"," "),"–"," "),"?"," "),"!"," "),"*"," "),"["," "),"]"," "),"'"," "),"#"," "),"+"," "),"&amp;"," "),"\"," "))&amp;" "</f>
        <v>  </v>
      </c>
      <c r="BF199" s="61" t="str">
        <f aca="false">" "&amp;TRIM(SUBSTITUTE(SUBSTITUTE(SUBSTITUTE(SUBSTITUTE(SUBSTITUTE(SUBSTITUTE(SUBSTITUTE(SUBSTITUTE(SUBSTITUTE(SUBSTITUTE(SUBSTITUTE(SUBSTITUTE(SUBSTITUTE(SUBSTITUTE(SUBSTITUTE(SUBSTITUTE(SUBSTITUTE(SUBSTITUTE(SUBSTITUTE(SUBSTITUTE(SUBSTITUTE(SUBSTITUTE(SUBSTITUTE(SUBSTITUTE(LOWER(AC199&amp;""),CHAR(10)," "),CHAR(13)," "),CHAR(9)," "),CHAR(160)," "),"."," "),","," "),"-"," "),"/"," "),"("," "),")"," "),":"," "),";"," "),"_"," "),"–"," "),"?"," "),"!"," "),"*"," "),"["," "),"]"," "),"'"," "),"#"," "),"+"," "),"&amp;"," "),"\"," "))&amp;" "</f>
        <v>  </v>
      </c>
      <c r="BG199" s="61" t="n">
        <f aca="false">IFERROR(IF(AND(TRIM(U199)="Pass",SUMPRODUCT((LEN(BC199)-LEN(SUBSTITUTE(BC199," "&amp;L_ResultBad&amp;" "," ")))/(LEN(L_ResultBad)+1))&gt;SUMPRODUCT((LEN(BC199)-LEN(SUBSTITUTE(BC199," "&amp;L_NegPhrase&amp;" "," ")))/(LEN(L_NegPhrase)+1))),1,0),0)</f>
        <v>0</v>
      </c>
      <c r="BH199" s="61" t="n">
        <f aca="false">IFERROR(IF(SUMPRODUCT((LEN(BC199)-LEN(SUBSTITUTE(BC199," "&amp;L_Pending&amp;" "," ")))/(LEN(L_Pending)+1))&gt;SUMPRODUCT((LEN(BC199)-LEN(SUBSTITUTE(BC199," "&amp;L_PendNeg&amp;" "," ")))/(LEN(L_PendNeg)+1)),1,0),1)</f>
        <v>0</v>
      </c>
      <c r="BI199" s="61" t="n">
        <f aca="false">IFERROR(IF(SUMPRODUCT((LEN(BD199)-LEN(SUBSTITUTE(BD199," "&amp;L_PendStrict&amp;" "," ")))/(LEN(L_PendStrict)+1))&gt;SUMPRODUCT((LEN(BD199)-LEN(SUBSTITUTE(BD199," "&amp;L_PendNeg&amp;" "," ")))/(LEN(L_PendNeg)+1)),1,0),1)</f>
        <v>0</v>
      </c>
      <c r="BJ199" s="61" t="n">
        <f aca="false">IFERROR(IF(SUMPRODUCT((LEN(BE199)-LEN(SUBSTITUTE(BE199," "&amp;L_Pending&amp;" "," ")))/(LEN(L_Pending)+1))&gt;SUMPRODUCT((LEN(BE199)-LEN(SUBSTITUTE(BE199," "&amp;L_PendNeg&amp;" "," ")))/(LEN(L_PendNeg)+1)),1,0),1)</f>
        <v>0</v>
      </c>
      <c r="BK199" s="61" t="n">
        <f aca="false">IFERROR(IF(SUMPRODUCT((LEN(BF199)-LEN(SUBSTITUTE(BF199," "&amp;L_PendStrict&amp;" "," ")))/(LEN(L_PendStrict)+1))&gt;SUMPRODUCT((LEN(BF199)-LEN(SUBSTITUTE(BF199," "&amp;L_PendNeg&amp;" "," ")))/(LEN(L_PendNeg)+1)),1,0),1)</f>
        <v>0</v>
      </c>
      <c r="BL199" s="61" t="n">
        <f aca="false">IF(ISNA(MATCH(TRIM(S199),L_EvidenceType,0)),0,BZ199)</f>
        <v>0</v>
      </c>
      <c r="BM199" s="61" t="str">
        <f aca="false">SUBSTITUTE(SUBSTITUTE(SUBSTITUTE(SUBSTITUTE(SUBSTITUTE(SUBSTITUTE(SUBSTITUTE(SUBSTITUTE(SUBSTITUTE(LOWER(Z199&amp;""),"1","0"),"2","0"),"3","0"),"4","0"),"5","0"),"6","0"),"7","0"),"8","0"),"9","0")</f>
        <v/>
      </c>
      <c r="BN199" s="61" t="str">
        <f aca="false">SUBSTITUTE(SUBSTITUTE(SUBSTITUTE(SUBSTITUTE(SUBSTITUTE(SUBSTITUTE(SUBSTITUTE(SUBSTITUTE(SUBSTITUTE(SUBSTITUTE(SUBSTITUTE(SUBSTITUTE(SUBSTITUTE(SUBSTITUTE(SUBSTITUTE(SUBSTITUTE(SUBSTITUTE(SUBSTITUTE(SUBSTITUTE(SUBSTITUTE(SUBSTITUTE(SUBSTITUTE(SUBSTITUTE(SUBSTITUTE(SUBSTITUTE(BM199,"b","a"),"c","a"),"d","a"),"e","a"),"f","a"),"g","a"),"h","a"),"i","a"),"j","a"),"k","a"),"l","a"),"m","a"),"n","a"),"o","a"),"p","a"),"q","a"),"r","a"),"s","a"),"t","a"),"u","a"),"v","a"),"w","a"),"x","a"),"y","a"),"z","a")</f>
        <v/>
      </c>
      <c r="BO199" s="61" t="str">
        <f aca="false">SUBSTITUTE(SUBSTITUTE(SUBSTITUTE(SUBSTITUTE(SUBSTITUTE(SUBSTITUTE(SUBSTITUTE(SUBSTITUTE(SUBSTITUTE(LOWER(W199&amp;""),"1","0"),"2","0"),"3","0"),"4","0"),"5","0"),"6","0"),"7","0"),"8","0"),"9","0")</f>
        <v/>
      </c>
      <c r="BP199" s="61" t="str">
        <f aca="false">SUBSTITUTE(SUBSTITUTE(SUBSTITUTE(SUBSTITUTE(SUBSTITUTE(SUBSTITUTE(SUBSTITUTE(SUBSTITUTE(SUBSTITUTE(SUBSTITUTE(SUBSTITUTE(SUBSTITUTE(SUBSTITUTE(SUBSTITUTE(SUBSTITUTE(SUBSTITUTE(SUBSTITUTE(SUBSTITUTE(SUBSTITUTE(SUBSTITUTE(SUBSTITUTE(SUBSTITUTE(SUBSTITUTE(SUBSTITUTE(SUBSTITUTE(BO199,"b","a"),"c","a"),"d","a"),"e","a"),"f","a"),"g","a"),"h","a"),"i","a"),"j","a"),"k","a"),"l","a"),"m","a"),"n","a"),"o","a"),"p","a"),"q","a"),"r","a"),"s","a"),"t","a"),"u","a"),"v","a"),"w","a"),"x","a"),"y","a"),"z","a")</f>
        <v/>
      </c>
      <c r="BQ199" s="61" t="n">
        <f aca="false">IFERROR(IF(AND(ISERROR(SEARCH(" mh"," "&amp;LOWER(W199))),ISNA(MATCH(LEFT(TRIM(BP199),255),{"0000a","000a","00a","0000aa","000aa","00aa","0aa","0000aaa","000aaa","00a00","0a00","0000-0000","00:00","a00","a0","00.00.0000","00/00/0000","00-00-0000","0000-00-00","0000/00/00","0000.00.00","00.00.00","00/00/00","00-00-00","0.00.0000","0/00/0000","0-00-0000"},0)),ISNA(MATCH(LEFT(TRIM(CA199),255),{"0000a","000a","00a","0000aa","000aa","00aa","0aa","0000aaa","000aaa","00a00","0a00","0000-0000","00:00","a00","a0","00.00.0000","00/00/0000","00-00-0000","0000-00-00","0000/00/00","0000.00.00","00.00.00","00/00/00","00-00-00","0.00.0000","0/00/0000","0-00-0000"},0)),LEN(CB199)&gt;=3,NOT(OR(SUBSTITUTE(CB199,"0","")="",AND(LEN(CB199)&gt;=4,CB199=REPT(LEFT(CB199),LEN(CB199))),ISNUMBER(MATCH(CB199,{"123","1234","12345","123456","1234567","12345678","0123","01234","012345","98765","987654","54321"},0)),AND(LEN(CB199)=8,LEFT(CB199,3)="202"))),OR(AND((LEN(CA199)-LEN(SUBSTITUTE(CA199,"a","")))&gt;=1,SUMPRODUCT(--ISNUMBER(SEARCH({"a0","a-0","a_0","a/0","a.0","a#0","0a","0-a","0_a","0/a"},BP199)))&gt;0),ISNUMBER(SEARCH("000000",BP199)))),1,0),0)</f>
        <v>0</v>
      </c>
      <c r="BR199" s="61" t="n">
        <f aca="false">IFERROR(LEN(SUBSTITUTE(CC199," ",""))-SUMPRODUCT((LEN(CC199)-LEN(SUBSTITUTE(CC199," "&amp;L_Role&amp;" "," ")))/(LEN(L_Role)+1)*LEN(L_Role)),0)</f>
        <v>0</v>
      </c>
      <c r="BS199" s="61" t="n">
        <f aca="false">IFERROR(LEN(SUBSTITUTE(CD199," ",""))-SUMPRODUCT((LEN(CD199)-LEN(SUBSTITUTE(CD199," "&amp;L_Role&amp;" "," ")))/(LEN(L_Role)+1)*LEN(L_Role)),0)</f>
        <v>0</v>
      </c>
      <c r="BT1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199,"revision",""),"version",""),"jan",""),"feb",""),"mar",""),"apr",""),"may",""),"jun",""),"jul",""),"aug",""),"sep",""),"oct",""),"nov",""),"dec",""),"utc",""),"gmt",""),"myt",""),"bst",""),"rev",""),"ver",""),"b","a"),"c","a"),"d","a"),"e","a"),"f","a"),"g","a"),"h","a"),"i","a"),"j","a"),"k","a"),"l","a"),"m","a"),"n","a"),"o","a"),"p","a"),"q","a"),"r","a"),"s","a"),"t","a"),"u","a"),"v","a"),"w","a"),"x","a"),"y","a"),"z","a")</f>
        <v/>
      </c>
      <c r="BU199" s="61" t="str">
        <f aca="false">SUBSTITUTE(SUBSTITUTE(SUBSTITUTE(SUBSTITUTE(SUBSTITUTE(SUBSTITUTE(SUBSTITUTE(SUBSTITUTE(SUBSTITUTE(SUBSTITUTE(LEFT(BM199,FIND("0",BM199&amp;"0")-1),"-",""),"_",""),"/",""),".",""),"#",""),"\\",""),":","")," ",""),"(",""),")","")</f>
        <v/>
      </c>
      <c r="BV199" s="61" t="n">
        <f aca="false">IFERROR(IF(OR(SUMPRODUCT((LEN(BC199)-LEN(SUBSTITUTE(BC199," "&amp;L_NotLoaded&amp;" "," ")))/(LEN(L_NotLoaded)+1))&gt;SUMPRODUCT((LEN(BC199)-LEN(SUBSTITUTE(BC199," "&amp;L_NotLoadedNeg&amp;" "," ")))/(LEN(L_NotLoadedNeg)+1)),SUMPRODUCT((LEN(BD199)-LEN(SUBSTITUTE(BD199," "&amp;L_NotLoaded&amp;" "," ")))/(LEN(L_NotLoaded)+1))&gt;SUMPRODUCT((LEN(BD199)-LEN(SUBSTITUTE(BD199," "&amp;L_NotLoadedNeg&amp;" "," ")))/(LEN(L_NotLoadedNeg)+1))),1,0),0)</f>
        <v>0</v>
      </c>
      <c r="BW1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199&amp;""),"a",""),"b",""),"c",""),"d",""),"e",""),"f",""),"g",""),"h",""),"i",""),"j",""),"k",""),"l",""),"m",""),"n",""),"o",""),"p",""),"q",""),"r",""),"s",""),"t",""),"u",""),"v",""),"w",""),"x",""),"y",""),"z",""),"-",""),"_",""),"/",""),".",""),"#",""),"\\",""),":","")," ",""),"(",""),")","")</f>
        <v/>
      </c>
      <c r="BX199" s="61" t="str">
        <f aca="false">SUBSTITUTE(SUBSTITUTE(SUBSTITUTE(SUBSTITUTE(SUBSTITUTE(SUBSTITUTE(SUBSTITUTE(SUBSTITUTE(SUBSTITUTE(SUBSTITUTE(SUBSTITUTE(BM199,"0",""),"-",""),"_",""),"/",""),".",""),"#",""),"\\",""),":","")," ",""),"(",""),")","")</f>
        <v/>
      </c>
      <c r="BY199" s="62" t="n">
        <f aca="false">IF(ISNUMBER(Flights!$AZ$10),MAX(Q199-UpliftWindowH/24,Flights!$AZ$10),Q199-UpliftWindowH/24)</f>
        <v>46310.3888888889</v>
      </c>
      <c r="BZ199" s="61" t="n">
        <f aca="false">IFERROR(IF(IF(TRIM(S199)="Link / file path",AND(LEN(TRIM(Z199))&gt;=5,SUMPRODUCT(--ISNUMBER(SEARCH({"http","www.","\\",":\",".pdf",".jpg",".jpeg",".png",".heic",".xls",".doc",".msg",".eml",".ppt",".txt",".zip"},Z199)))&gt;0),AND(ISERROR(FIND(" ",TRIM(Z199))),NOT(OR(SUMPRODUCT(--ISNUMBER(FIND({",",";","&amp;","+"},Z199)))&gt;0,SUMPRODUCT(--ISNUMBER(SEARCH({"0/aa","0\\aa"},BN199)))&gt;0)),NOT(SUMPRODUCT(--ISNUMBER(SEARCH({"http","www.","\\",":\",".pdf",".jpg",".jpeg",".png",".heic",".xls",".doc",".msg",".eml",".ppt",".txt",".zip"},Z199)))&gt;0),NOT(LOWER(TRIM(Z199))=LOWER(Flights!$F$10)),ISNA(MATCH(BU199,{"mh","rev","revision","ver","version","v","r","a","b","seat","tray","row","gate","bay","stand","page","pg","item","line","no","cart","galley","flight","flt","table","box","bag","oven","etd","eta","std","sta","atd","ata","qty","pax","x","time","tel","ph","mob","day","wk","week","utc","gmt","myt","lt"},0)),NOT(OR(ISNUMBER(MATCH(LEFT(BN199,255),{"0000a","000a","00a","0000aa","000aa","00aa","0aa","0000aaa","000aaa","00a00","0a00","0000-0000","00:00","a00","a0","00.00.0000","00/00/0000","00-00-0000","0000-00-00","0000/00/00","0000.00.00","00.00.00","00/00/00","00-00-00","0.00.0000","0/00/0000","0-00-0000"},0)),ISNUMBER(MATCH(LEFT(BT199,255),{"0000a","000a","00a","0000aa","000aa","00aa","0aa","0000aaa","000aaa","00a00","0a00","0000-0000","00:00","a00","a0","00.00.0000","00/00/0000","00-00-0000","0000-00-00","0000/00/00","0000.00.00","00.00.00","00/00/00","00-00-00","0.00.0000","0/00/0000","0-00-0000"},0)))),NOT(OR(AND(BW199&lt;&gt;"",SUBSTITUTE(BW199,"0","")=""),AND(LEN(BW199)&gt;=4,BW199=REPT(LEFT(BW199),LEN(BW199))),ISNUMBER(MATCH(BW199,{"123","1234","12345","123456","1234567","12345678","0123","01234","012345","98765","987654","54321"},0)),ISNUMBER(MATCH(BX199,{"x","xx","xxx","xxxx","xxxxx","abc","abcd","nil","na","nan","test","tbc","tba","tbd","dummy","sample","example","eg","zz","zzz","none","null","xyz","qwe","asd","id","ref"},0)),AND(LEN(BW199)=8,BX199="",OR(LEFT(BW199,3)="202",ISNUMBER(MATCH(RIGHT(BW199,4),{"2025","2026","2027"},0)))))),OR(AND((LEN(BT199)-LEN(SUBSTITUTE(BT199,"a","")))&gt;=1,(LEN(BN199)-LEN(SUBSTITUTE(BN199,"0","")))&gt;=2,SUMPRODUCT(--ISNUMBER(SEARCH({"a0","a-0","a_0","a/0","a.0","a#0","0a","0-a","0_a","0/a"},BN199)))&gt;0),AND((LEN(BN199)-LEN(SUBSTITUTE(BN199,"a","")))=0,(LEN(BN199)-LEN(SUBSTITUTE(BN199,"0","")))&gt;=5)))),1,0),0)</f>
        <v>0</v>
      </c>
      <c r="CA1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199,"revision",""),"version",""),"jan",""),"feb",""),"mar",""),"apr",""),"may",""),"jun",""),"jul",""),"aug",""),"sep",""),"oct",""),"nov",""),"dec",""),"utc",""),"gmt",""),"myt",""),"bst",""),"rev",""),"ver",""),"b","a"),"c","a"),"d","a"),"e","a"),"f","a"),"g","a"),"h","a"),"i","a"),"j","a"),"k","a"),"l","a"),"m","a"),"n","a"),"o","a"),"p","a"),"q","a"),"r","a"),"s","a"),"t","a"),"u","a"),"v","a"),"w","a"),"x","a"),"y","a"),"z","a")</f>
        <v/>
      </c>
      <c r="CB1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199&amp;""),"a",""),"b",""),"c",""),"d",""),"e",""),"f",""),"g",""),"h",""),"i",""),"j",""),"k",""),"l",""),"m",""),"n",""),"o",""),"p",""),"q",""),"r",""),"s",""),"t",""),"u",""),"v",""),"w",""),"x",""),"y",""),"z",""),"-",""),"_",""),"/",""),".",""),"#",""),"\\",""),":","")," ",""),"(",""),")","")</f>
        <v/>
      </c>
      <c r="CC199" s="0" t="str">
        <f aca="false">" "&amp;TRIM(SUBSTITUTE(SUBSTITUTE(SUBSTITUTE(SUBSTITUTE(SUBSTITUTE(SUBSTITUTE(SUBSTITUTE(SUBSTITUTE(SUBSTITUTE(SUBSTITUTE(SUBSTITUTE(SUBSTITUTE(SUBSTITUTE(SUBSTITUTE(SUBSTITUTE(SUBSTITUTE(SUBSTITUTE(SUBSTITUTE(SUBSTITUTE(SUBSTITUTE(SUBSTITUTE(SUBSTITUTE(SUBSTITUTE(SUBSTITUTE(LOWER(T199&amp;""),CHAR(10)," "),CHAR(13)," "),CHAR(9)," "),CHAR(160)," "),"."," "),","," "),"-"," "),"/"," "),"("," "),")"," "),":"," "),";"," "),"_"," "),"–"," "),"?"," "),"!"," "),"*"," "),"["," "),"]"," "),"'"," "),"#"," "),"+"," "),"&amp;"," "),"\"," "))&amp;" "</f>
        <v>  </v>
      </c>
      <c r="CD199" s="0" t="str">
        <f aca="false">" "&amp;TRIM(SUBSTITUTE(SUBSTITUTE(SUBSTITUTE(SUBSTITUTE(SUBSTITUTE(SUBSTITUTE(SUBSTITUTE(SUBSTITUTE(SUBSTITUTE(SUBSTITUTE(SUBSTITUTE(SUBSTITUTE(SUBSTITUTE(SUBSTITUTE(SUBSTITUTE(SUBSTITUTE(SUBSTITUTE(SUBSTITUTE(SUBSTITUTE(SUBSTITUTE(SUBSTITUTE(SUBSTITUTE(SUBSTITUTE(SUBSTITUTE(LOWER(AE199&amp;""),CHAR(10)," "),CHAR(13)," "),CHAR(9)," "),CHAR(160)," "),"."," "),","," "),"-"," "),"/"," "),"("," "),")"," "),":"," "),";"," "),"_"," "),"–"," "),"?"," "),"!"," "),"*"," "),"["," "),"]"," "),"'"," "),"#"," "),"+"," "),"&amp;"," "),"\"," "))&amp;" "</f>
        <v>  </v>
      </c>
      <c r="CE199" s="68" t="n">
        <f aca="false">IFERROR(IF(AND(LEN(AU199)&gt;0,LEN(AU199)=LEN(AX199),OR(TRIM(MID(SUBSTITUTE(TRIM(CC199)," ",REPT(" ",60)),1,60))="",ISNUMBER(SEARCH(" "&amp;TRIM(MID(SUBSTITUTE(TRIM(CC199)," ",REPT(" ",60)),1,60))&amp;" ",CD199))),OR(TRIM(MID(SUBSTITUTE(TRIM(CC199)," ",REPT(" ",60)),61,60))="",ISNUMBER(SEARCH(" "&amp;TRIM(MID(SUBSTITUTE(TRIM(CC199)," ",REPT(" ",60)),61,60))&amp;" ",CD199))),OR(TRIM(MID(SUBSTITUTE(TRIM(CC199)," ",REPT(" ",60)),121,60))="",ISNUMBER(SEARCH(" "&amp;TRIM(MID(SUBSTITUTE(TRIM(CC199)," ",REPT(" ",60)),121,60))&amp;" ",CD199)))),1,0),0)</f>
        <v>0</v>
      </c>
      <c r="CG199" s="68" t="n">
        <f aca="false">IFERROR(LEN(SUBSTITUTE(BF199," ",""))-SUMPRODUCT((LEN(BF199)-LEN(SUBSTITUTE(BF199," "&amp;L_NAFiller&amp;" "," ")))/(LEN(L_NAFiller)+1)*LEN(L_NAFiller)),0)</f>
        <v>0</v>
      </c>
    </row>
    <row r="200" customFormat="false" ht="39.75" hidden="false" customHeight="true" outlineLevel="0" collapsed="false">
      <c r="A200" s="57" t="s">
        <v>760</v>
      </c>
      <c r="B200" s="57" t="s">
        <v>231</v>
      </c>
      <c r="C200" s="57" t="str">
        <f aca="false">Flights!$F$10</f>
        <v>MH0002</v>
      </c>
      <c r="D200" s="58" t="n">
        <f aca="false">Flights!$D$10</f>
        <v>46310</v>
      </c>
      <c r="E200" s="57" t="str">
        <f aca="false">Flights!$G$10&amp;"-"&amp;Flights!$H$10</f>
        <v>KUL-LHR</v>
      </c>
      <c r="F200" s="57" t="str">
        <f aca="false">Flights!$K$10</f>
        <v>BC</v>
      </c>
      <c r="G200" s="57" t="s">
        <v>459</v>
      </c>
      <c r="H200" s="57" t="s">
        <v>460</v>
      </c>
      <c r="I200" s="57" t="s">
        <v>440</v>
      </c>
      <c r="J200" s="57" t="s">
        <v>761</v>
      </c>
      <c r="K200" s="67" t="s">
        <v>730</v>
      </c>
      <c r="L200" s="67" t="s">
        <v>731</v>
      </c>
      <c r="M200" s="67" t="s">
        <v>187</v>
      </c>
      <c r="N200" s="67" t="s">
        <v>383</v>
      </c>
      <c r="O200" s="67" t="s">
        <v>732</v>
      </c>
      <c r="P200" s="57" t="s">
        <v>187</v>
      </c>
      <c r="Q200" s="59" t="n">
        <f aca="false">ROUND((Flights!$AF$10)*1440,0)/1440</f>
        <v>46310.6388888889</v>
      </c>
      <c r="R200" s="59" t="n">
        <f aca="false">Q200+(IF(AND(INDEX(TZ_DSTS,MATCH(P200,TZ_STN,0))&lt;&gt;"",Q200&gt;=INDEX(TZ_DSTS,MATCH(P200,TZ_STN,0)),Q200&lt;INDEX(TZ_DSTE,MATCH(P200,TZ_STN,0))),INDEX(TZ_DST,MATCH(P200,TZ_STN,0)),INDEX(TZ_STD,MATCH(P200,TZ_STN,0))))/24</f>
        <v>46310.9722222222</v>
      </c>
      <c r="S200" s="60"/>
      <c r="T200" s="60"/>
      <c r="U200" s="60"/>
      <c r="V200" s="60"/>
      <c r="W200" s="61"/>
      <c r="X200" s="60"/>
      <c r="Y200" s="60"/>
      <c r="Z200" s="60"/>
      <c r="AA200" s="60"/>
      <c r="AB200" s="60"/>
      <c r="AC200" s="60"/>
      <c r="AD200" s="66"/>
      <c r="AE200" s="60"/>
      <c r="AF200" s="61" t="str">
        <f aca="false">IF(AND(ISNUMBER(X200),ISNUMBER(Y200)),Y200-X200,"")</f>
        <v/>
      </c>
      <c r="AG200" s="62" t="str">
        <f aca="false">IF(ISNUMBER(AD200),AD200-(IF(AND(INDEX(TZ_DSTS,MATCH(P200,TZ_STN,0))&lt;&gt;"",(AD200-INDEX(TZ_STD,MATCH(P200,TZ_STN,0))/24)&gt;=INDEX(TZ_DSTS,MATCH(P200,TZ_STN,0)),(AD200-INDEX(TZ_STD,MATCH(P200,TZ_STN,0))/24)&lt;INDEX(TZ_DSTE,MATCH(P200,TZ_STN,0))),INDEX(TZ_DST,MATCH(P200,TZ_STN,0)),INDEX(TZ_STD,MATCH(P200,TZ_STN,0))))/24,"")</f>
        <v/>
      </c>
      <c r="AH200" s="65" t="str">
        <f aca="false">IFERROR(IF(N200="N/A – rule",IF(OR(TRIM(U200)="",TRIM(U200)="N/A",TRIM(U200)="Not started"),"N/A – RULE","INVALID – this check does not apply to this aircraft: clear the status (or correct the fleet on Flights)"),IF(TRIM(U200)="N/A",IF(AT200=0,"INVALID – N/A not permitted for this check",IF(AND(TRIM(AB200)&lt;&gt;"",TRIM(AB200)&lt;&gt;"Closed"),"INVALID – corrective action still open",IF(AND(NOT(OR(LEN(AZ200)&lt;15,ISNUMBER(MATCH(AZ200,L_Placeholder,0)))),BK200=0,CG200&gt;=8,NOT(OR(LEN(AU200)&lt;2,ISNUMBER(MATCH(AU200,L_Placeholder,0)))),BR200&gt;=3,NOT(OR(LEN(AX200)&lt;2,ISNUMBER(MATCH(AX200,L_Placeholder,0)))),BS200&gt;=3,TRIM(AE200)&lt;&gt;TRIM(T200),AX200&lt;&gt;AU200,CE200=0),"N/A – JUSTIFIED","INVALID – N/A needs a real, settled reason (not 'not applicable' / 'as above' / TBC), a named PIC and a different named verifier"))),IF(OR(TRIM(U200)="Pass",TRIM(U200)="Pass after CA"),IF(NOT(ISNUMBER(AD200)),"INVALID – completion time missing",IF(OR(OR(LEN(AU200)&lt;2,ISNUMBER(MATCH(AU200,L_Placeholder,0))),BR200&lt;3),"INVALID – PIC missing or not a named person (a role such as QA / CSM is not a name)",IF(OR(LEN(AV200)&lt;2,ISNUMBER(MATCH(AV200,L_Placeholder,0))),"INVALID – result / assessment missing",IF(OR(OR(LEN(AW200)&lt;3,ISNUMBER(MATCH(AW200,L_Placeholder,0))),SUMPRODUCT(--ISNUMBER(SEARCH(" "&amp;L_EvidencePhrase&amp;" ",BD200)))&gt;0,BI200=1),"INVALID – evidence missing, placeholder or not yet on file",IF(ISNA(MATCH(TRIM(S200),L_EvidenceType,0)),"INVALID – choose the evidence type from the list (column S)",IF(BL200=0,"INVALID – evidence ID must be the record's own ID only (e.g. SF-2210, IMG_2231, 1045521); a link / file name needs type 'Link / file path'",IF(OR(OR(LEN(AX200)&lt;2,ISNUMBER(MATCH(AX200,L_Placeholder,0))),BS200&lt;3),"INVALID – verifier missing or not a named person (a role such as QA / CSM is not a name)",IF(OR(AX200=AU200,CE200=1,AND(LEN(AU200)&gt;=4,ISNUMBER(SEARCH(AU200,AX200))),AND(LEN(AX200)&gt;=4,ISNUMBER(SEARCH(AX200,AU200)))),"INVALID – verifier must be a different, named person (not the PIC or a role)",IF(BH200=1,"INVALID – result not yet available (awaiting / TBC)",IF(BG200=1,"INVALID – result describes a problem: record Fail, then Pass after CA (or reword if it is not a problem)",IF(BV200=1,"INVALID – wording says not on board: an on-board confirmation needs the item loaded",IF(AND(AQ200=1,OR(OR(LEN(AY200)&lt;3,ISNUMBER(MATCH(AY200,L_Placeholder,0))),BJ200=1,BQ200=0)),"INVALID – batch ID missing, placeholder or not an ID (e.g. PASB-261008-BC-017)",IF(AND(AR200=1,OR(NOT(ISNUMBER(X200)),NOT(ISNUMBER(Y200)))),"INVALID – expected/actual qty missing",IF(AND(AR200=1,OR(X200&lt;=0,Y200&lt;0)),"INVALID – expected qty must be above 0 and actual not negative",IF(AH184="N/A – JUSTIFIED","INVALID – preparation row F06-T12-09 is N/A",IF(AND(AR200=1,ISNUMBER(X184),X200&lt;&gt;X184,TRIM(U200)&lt;&gt;"Pass after CA"),"INVALID – expected qty differs from preparation check F06-T12-09: record the load change as a corrective action (Pass after CA)",IF(BB200&lt;&gt;"",BB200,IF(AND(AS200=1,Documents!$J$10&lt;&gt;"ON FILE"),"INVALID – GLD not on file (Documents sheet)",IF(AND(AS200=2,Documents!$O$10&lt;&gt;"ON FILE"),"INVALID – menu checklist not on file (Documents sheet)",IF(AND(AS200=3,NOT(ISNUMBER(Flights!$AX$10))),"INVALID – enter carrying flight KUL departure (Flights AX)",IF(AND(AS200=3,OR(Flights!$AZ$10&gt;Flights!$AA$10,Flights!$AX$10&lt;Flights!$AA$10-3)),"INVALID – carrying flight (Flights AX) cannot arrive before this leg's STD, or is over 3 days early",IF(AG200&gt;AsOfUTC,"INVALID – completion time is in the future",IF(AND(ISNUMBER(BY200),AG200&lt;BY200),IF(H200="Physical uplift","INVALID – before uplift window (cannot confirm loading)","INVALID – before valid window"),IF(AG200&gt;Flights!$AA$10,"INVALID – completed after departure (cannot establish readiness)",IF(AND(H200="Preparation",AG200&gt;=IF(ISNUMBER(Flights!$BA$10),MIN(Flights!$BA$10,Flights!$AA$10),Flights!$AA$10)),"INVALID – completed after loading / departure (cannot establish readiness)",IF(AND(H200="Physical uplift",AG200&gt;Q200),"INVALID – recorded after the loading flight departed",IF(AG200&gt;Q200,"COMPLETE – LATE","COMPLETE"))))))))))))))))))))))))))),IF(TRIM(U200)="Fail","FAIL – DISCREPANCY",IF(AND(TRIM(U200)&lt;&gt;"",TRIM(U200)&lt;&gt;"Not started",TRIM(U200)&lt;&gt;"In progress"),"INVALID – unrecognised status (use the list)",IF(AsOfUTC&gt;Q200,"OVERDUE",IF(N200="Clarification required","OPEN – CLARIFICATION","OPEN"))))))),"INVALID – error value in an input cell")</f>
        <v>OPEN</v>
      </c>
      <c r="AI200" s="61" t="n">
        <f aca="false">IF(OR(AH200="N/A – RULE",AH200="N/A – JUSTIFIED"),0,1)</f>
        <v>1</v>
      </c>
      <c r="AJ200" s="61" t="n">
        <f aca="false">IF(LEFT(AH200,8)="COMPLETE",1,0)</f>
        <v>0</v>
      </c>
      <c r="AK200" s="61" t="n">
        <f aca="false">IF(AND(AI200=1,AJ200=0,AsOfUTC&gt;Q200),1,0)</f>
        <v>0</v>
      </c>
      <c r="AL200" s="61" t="n">
        <f aca="false">IFERROR(IF(AND(AI200=1,OR(TRIM(U200)="Fail",AND(TRIM(AB200)&lt;&gt;"",TRIM(AB200)&lt;&gt;"Closed"),AND(ISNUMBER(AF200),AF200&lt;&gt;0,TRIM(U200)&lt;&gt;"Pass after CA"))),1,0),1)</f>
        <v>0</v>
      </c>
      <c r="AM200" s="61" t="n">
        <f aca="false">IF(LEFT(AH200,7)="INVALID",1,0)</f>
        <v>0</v>
      </c>
      <c r="AN200" s="61" t="n">
        <f aca="false">IF(AND(N200="Clarification required",AI200=1,AJ200=0),1,0)</f>
        <v>0</v>
      </c>
      <c r="AO200" s="61" t="str">
        <f aca="false">IF(AK200=1,SUM(AK$5:AK200),"")</f>
        <v/>
      </c>
      <c r="AP200" s="61" t="str">
        <f aca="false">IF(AL200=1,SUM(AL$5:AL200),"")</f>
        <v/>
      </c>
      <c r="AQ200" s="61" t="n">
        <v>0</v>
      </c>
      <c r="AR200" s="61" t="n">
        <v>0</v>
      </c>
      <c r="AS200" s="61" t="n">
        <v>0</v>
      </c>
      <c r="AT200" s="61" t="n">
        <v>0</v>
      </c>
      <c r="AU200" s="61" t="str">
        <f aca="false">SUBSTITUTE(SUBSTITUTE(SUBSTITUTE(SUBSTITUTE(SUBSTITUTE(SUBSTITUTE(SUBSTITUTE(SUBSTITUTE(SUBSTITUTE(SUBSTITUTE(SUBSTITUTE(SUBSTITUTE(SUBSTITUTE(SUBSTITUTE(SUBSTITUTE(SUBSTITUTE(LOWER(T200&amp;""),CHAR(10),""),CHAR(13),""),CHAR(9),""),CHAR(160),"")," ",""),".",""),"-",""),"/",""),"?",""),"_",""),",",""),"[",""),"]",""),"(",""),")",""),"*","")</f>
        <v/>
      </c>
      <c r="AV200" s="61" t="str">
        <f aca="false">SUBSTITUTE(SUBSTITUTE(SUBSTITUTE(SUBSTITUTE(SUBSTITUTE(SUBSTITUTE(SUBSTITUTE(SUBSTITUTE(SUBSTITUTE(SUBSTITUTE(SUBSTITUTE(SUBSTITUTE(SUBSTITUTE(SUBSTITUTE(SUBSTITUTE(SUBSTITUTE(LOWER(V200&amp;""),CHAR(10),""),CHAR(13),""),CHAR(9),""),CHAR(160),"")," ",""),".",""),"-",""),"/",""),"?",""),"_",""),",",""),"[",""),"]",""),"(",""),")",""),"*","")</f>
        <v/>
      </c>
      <c r="AW200" s="61" t="str">
        <f aca="false">SUBSTITUTE(SUBSTITUTE(SUBSTITUTE(SUBSTITUTE(SUBSTITUTE(SUBSTITUTE(SUBSTITUTE(SUBSTITUTE(SUBSTITUTE(SUBSTITUTE(SUBSTITUTE(SUBSTITUTE(SUBSTITUTE(SUBSTITUTE(SUBSTITUTE(SUBSTITUTE(LOWER(Z200&amp;""),CHAR(10),""),CHAR(13),""),CHAR(9),""),CHAR(160),"")," ",""),".",""),"-",""),"/",""),"?",""),"_",""),",",""),"[",""),"]",""),"(",""),")",""),"*","")</f>
        <v/>
      </c>
      <c r="AX200" s="61" t="str">
        <f aca="false">SUBSTITUTE(SUBSTITUTE(SUBSTITUTE(SUBSTITUTE(SUBSTITUTE(SUBSTITUTE(SUBSTITUTE(SUBSTITUTE(SUBSTITUTE(SUBSTITUTE(SUBSTITUTE(SUBSTITUTE(SUBSTITUTE(SUBSTITUTE(SUBSTITUTE(SUBSTITUTE(LOWER(AE200&amp;""),CHAR(10),""),CHAR(13),""),CHAR(9),""),CHAR(160),"")," ",""),".",""),"-",""),"/",""),"?",""),"_",""),",",""),"[",""),"]",""),"(",""),")",""),"*","")</f>
        <v/>
      </c>
      <c r="AY200" s="61" t="str">
        <f aca="false">SUBSTITUTE(SUBSTITUTE(SUBSTITUTE(SUBSTITUTE(SUBSTITUTE(SUBSTITUTE(SUBSTITUTE(SUBSTITUTE(SUBSTITUTE(SUBSTITUTE(SUBSTITUTE(SUBSTITUTE(SUBSTITUTE(SUBSTITUTE(SUBSTITUTE(SUBSTITUTE(LOWER(W200&amp;""),CHAR(10),""),CHAR(13),""),CHAR(9),""),CHAR(160),"")," ",""),".",""),"-",""),"/",""),"?",""),"_",""),",",""),"[",""),"]",""),"(",""),")",""),"*","")</f>
        <v/>
      </c>
      <c r="AZ200" s="61" t="str">
        <f aca="false">SUBSTITUTE(SUBSTITUTE(SUBSTITUTE(SUBSTITUTE(SUBSTITUTE(SUBSTITUTE(SUBSTITUTE(SUBSTITUTE(SUBSTITUTE(SUBSTITUTE(SUBSTITUTE(SUBSTITUTE(SUBSTITUTE(SUBSTITUTE(SUBSTITUTE(SUBSTITUTE(LOWER(AC200&amp;""),CHAR(10),""),CHAR(13),""),CHAR(9),""),CHAR(160),"")," ",""),".",""),"-",""),"/",""),"?",""),"_",""),",",""),"[",""),"]",""),"(",""),")",""),"*","")</f>
        <v/>
      </c>
      <c r="BA200" s="61" t="str">
        <f aca="false">SUBSTITUTE(SUBSTITUTE(SUBSTITUTE(SUBSTITUTE(SUBSTITUTE(SUBSTITUTE(SUBSTITUTE(SUBSTITUTE(SUBSTITUTE(SUBSTITUTE(SUBSTITUTE(SUBSTITUTE(SUBSTITUTE(SUBSTITUTE(SUBSTITUTE(SUBSTITUTE(LOWER(AA200&amp;""),CHAR(10),""),CHAR(13),""),CHAR(9),""),CHAR(160),"")," ",""),".",""),"-",""),"/",""),"?",""),"_",""),",",""),"[",""),"]",""),"(",""),")",""),"*","")</f>
        <v/>
      </c>
      <c r="BB200" s="61" t="str">
        <f aca="false">IF(AND(TRIM(U200)="Pass",ISNUMBER(AF200)),IF(AF200&lt;&gt;0,"INVALID – qty variance: use Fail or Pass after CA",""),"")&amp;IF(AND(TRIM(U200)="Pass after CA",ISNUMBER(AF200)),IF(AF200&lt;&gt;0,"INVALID – after the corrective action the actual qty must equal expected (update Actual)",""),"")&amp;IF(AND(TRIM(U200)="Pass",TRIM(AB200)&lt;&gt;"",TRIM(AB200)&lt;&gt;"Closed"),"INVALID – corrective action not closed: use Fail, then Pass after CA","")&amp;IF(AND(LEN(BA200)&gt;=2,ISNA(MATCH(LEFT(BA200,255),L_Placeholder,0)),TRIM(AB200)=""),"INVALID – CA status missing for the recorded corrective action","")&amp;IF(AND(TRIM(U200)="Pass after CA",OR(OR(LEN(BA200)&lt;5,ISNUMBER(MATCH(BA200,L_Placeholder,0))),TRIM(AB200)&lt;&gt;"Closed")),"INVALID – corrective action not recorded/closed","")</f>
        <v/>
      </c>
      <c r="BC200" s="61" t="str">
        <f aca="false">" "&amp;TRIM(SUBSTITUTE(SUBSTITUTE(SUBSTITUTE(SUBSTITUTE(SUBSTITUTE(SUBSTITUTE(SUBSTITUTE(SUBSTITUTE(SUBSTITUTE(SUBSTITUTE(SUBSTITUTE(SUBSTITUTE(SUBSTITUTE(SUBSTITUTE(SUBSTITUTE(SUBSTITUTE(SUBSTITUTE(SUBSTITUTE(SUBSTITUTE(SUBSTITUTE(SUBSTITUTE(SUBSTITUTE(SUBSTITUTE(SUBSTITUTE(LOWER(V200&amp;""),CHAR(10)," "),CHAR(13)," "),CHAR(9)," "),CHAR(160)," "),"."," "),","," "),"-"," "),"/"," "),"("," "),")"," "),":"," "),";"," "),"_"," "),"–"," "),"?"," "),"!"," "),"*"," "),"["," "),"]"," "),"'"," "),"#"," "),"+"," "),"&amp;"," "),"\"," "))&amp;" "</f>
        <v>  </v>
      </c>
      <c r="BD200" s="61" t="str">
        <f aca="false">" "&amp;TRIM(SUBSTITUTE(SUBSTITUTE(SUBSTITUTE(SUBSTITUTE(SUBSTITUTE(SUBSTITUTE(SUBSTITUTE(SUBSTITUTE(SUBSTITUTE(SUBSTITUTE(SUBSTITUTE(SUBSTITUTE(SUBSTITUTE(SUBSTITUTE(SUBSTITUTE(SUBSTITUTE(SUBSTITUTE(SUBSTITUTE(SUBSTITUTE(SUBSTITUTE(SUBSTITUTE(SUBSTITUTE(SUBSTITUTE(SUBSTITUTE(LOWER(Z200&amp;""),CHAR(10)," "),CHAR(13)," "),CHAR(9)," "),CHAR(160)," "),"."," "),","," "),"-"," "),"/"," "),"("," "),")"," "),":"," "),";"," "),"_"," "),"–"," "),"?"," "),"!"," "),"*"," "),"["," "),"]"," "),"'"," "),"#"," "),"+"," "),"&amp;"," "),"\"," "))&amp;" "</f>
        <v>  </v>
      </c>
      <c r="BE200" s="61" t="str">
        <f aca="false">" "&amp;TRIM(SUBSTITUTE(SUBSTITUTE(SUBSTITUTE(SUBSTITUTE(SUBSTITUTE(SUBSTITUTE(SUBSTITUTE(SUBSTITUTE(SUBSTITUTE(SUBSTITUTE(SUBSTITUTE(SUBSTITUTE(SUBSTITUTE(SUBSTITUTE(SUBSTITUTE(SUBSTITUTE(SUBSTITUTE(SUBSTITUTE(SUBSTITUTE(SUBSTITUTE(SUBSTITUTE(SUBSTITUTE(SUBSTITUTE(SUBSTITUTE(LOWER(W200&amp;""),CHAR(10)," "),CHAR(13)," "),CHAR(9)," "),CHAR(160)," "),"."," "),","," "),"-"," "),"/"," "),"("," "),")"," "),":"," "),";"," "),"_"," "),"–"," "),"?"," "),"!"," "),"*"," "),"["," "),"]"," "),"'"," "),"#"," "),"+"," "),"&amp;"," "),"\"," "))&amp;" "</f>
        <v>  </v>
      </c>
      <c r="BF200" s="61" t="str">
        <f aca="false">" "&amp;TRIM(SUBSTITUTE(SUBSTITUTE(SUBSTITUTE(SUBSTITUTE(SUBSTITUTE(SUBSTITUTE(SUBSTITUTE(SUBSTITUTE(SUBSTITUTE(SUBSTITUTE(SUBSTITUTE(SUBSTITUTE(SUBSTITUTE(SUBSTITUTE(SUBSTITUTE(SUBSTITUTE(SUBSTITUTE(SUBSTITUTE(SUBSTITUTE(SUBSTITUTE(SUBSTITUTE(SUBSTITUTE(SUBSTITUTE(SUBSTITUTE(LOWER(AC200&amp;""),CHAR(10)," "),CHAR(13)," "),CHAR(9)," "),CHAR(160)," "),"."," "),","," "),"-"," "),"/"," "),"("," "),")"," "),":"," "),";"," "),"_"," "),"–"," "),"?"," "),"!"," "),"*"," "),"["," "),"]"," "),"'"," "),"#"," "),"+"," "),"&amp;"," "),"\"," "))&amp;" "</f>
        <v>  </v>
      </c>
      <c r="BG200" s="61" t="n">
        <f aca="false">IFERROR(IF(AND(TRIM(U200)="Pass",SUMPRODUCT((LEN(BC200)-LEN(SUBSTITUTE(BC200," "&amp;L_ResultBad&amp;" "," ")))/(LEN(L_ResultBad)+1))&gt;SUMPRODUCT((LEN(BC200)-LEN(SUBSTITUTE(BC200," "&amp;L_NegPhrase&amp;" "," ")))/(LEN(L_NegPhrase)+1))),1,0),0)</f>
        <v>0</v>
      </c>
      <c r="BH200" s="61" t="n">
        <f aca="false">IFERROR(IF(SUMPRODUCT((LEN(BC200)-LEN(SUBSTITUTE(BC200," "&amp;L_Pending&amp;" "," ")))/(LEN(L_Pending)+1))&gt;SUMPRODUCT((LEN(BC200)-LEN(SUBSTITUTE(BC200," "&amp;L_PendNeg&amp;" "," ")))/(LEN(L_PendNeg)+1)),1,0),1)</f>
        <v>0</v>
      </c>
      <c r="BI200" s="61" t="n">
        <f aca="false">IFERROR(IF(SUMPRODUCT((LEN(BD200)-LEN(SUBSTITUTE(BD200," "&amp;L_PendStrict&amp;" "," ")))/(LEN(L_PendStrict)+1))&gt;SUMPRODUCT((LEN(BD200)-LEN(SUBSTITUTE(BD200," "&amp;L_PendNeg&amp;" "," ")))/(LEN(L_PendNeg)+1)),1,0),1)</f>
        <v>0</v>
      </c>
      <c r="BJ200" s="61" t="n">
        <f aca="false">IFERROR(IF(SUMPRODUCT((LEN(BE200)-LEN(SUBSTITUTE(BE200," "&amp;L_Pending&amp;" "," ")))/(LEN(L_Pending)+1))&gt;SUMPRODUCT((LEN(BE200)-LEN(SUBSTITUTE(BE200," "&amp;L_PendNeg&amp;" "," ")))/(LEN(L_PendNeg)+1)),1,0),1)</f>
        <v>0</v>
      </c>
      <c r="BK200" s="61" t="n">
        <f aca="false">IFERROR(IF(SUMPRODUCT((LEN(BF200)-LEN(SUBSTITUTE(BF200," "&amp;L_PendStrict&amp;" "," ")))/(LEN(L_PendStrict)+1))&gt;SUMPRODUCT((LEN(BF200)-LEN(SUBSTITUTE(BF200," "&amp;L_PendNeg&amp;" "," ")))/(LEN(L_PendNeg)+1)),1,0),1)</f>
        <v>0</v>
      </c>
      <c r="BL200" s="61" t="n">
        <f aca="false">IF(ISNA(MATCH(TRIM(S200),L_EvidenceType,0)),0,BZ200)</f>
        <v>0</v>
      </c>
      <c r="BM200" s="61" t="str">
        <f aca="false">SUBSTITUTE(SUBSTITUTE(SUBSTITUTE(SUBSTITUTE(SUBSTITUTE(SUBSTITUTE(SUBSTITUTE(SUBSTITUTE(SUBSTITUTE(LOWER(Z200&amp;""),"1","0"),"2","0"),"3","0"),"4","0"),"5","0"),"6","0"),"7","0"),"8","0"),"9","0")</f>
        <v/>
      </c>
      <c r="BN200" s="61" t="str">
        <f aca="false">SUBSTITUTE(SUBSTITUTE(SUBSTITUTE(SUBSTITUTE(SUBSTITUTE(SUBSTITUTE(SUBSTITUTE(SUBSTITUTE(SUBSTITUTE(SUBSTITUTE(SUBSTITUTE(SUBSTITUTE(SUBSTITUTE(SUBSTITUTE(SUBSTITUTE(SUBSTITUTE(SUBSTITUTE(SUBSTITUTE(SUBSTITUTE(SUBSTITUTE(SUBSTITUTE(SUBSTITUTE(SUBSTITUTE(SUBSTITUTE(SUBSTITUTE(BM200,"b","a"),"c","a"),"d","a"),"e","a"),"f","a"),"g","a"),"h","a"),"i","a"),"j","a"),"k","a"),"l","a"),"m","a"),"n","a"),"o","a"),"p","a"),"q","a"),"r","a"),"s","a"),"t","a"),"u","a"),"v","a"),"w","a"),"x","a"),"y","a"),"z","a")</f>
        <v/>
      </c>
      <c r="BO200" s="61" t="str">
        <f aca="false">SUBSTITUTE(SUBSTITUTE(SUBSTITUTE(SUBSTITUTE(SUBSTITUTE(SUBSTITUTE(SUBSTITUTE(SUBSTITUTE(SUBSTITUTE(LOWER(W200&amp;""),"1","0"),"2","0"),"3","0"),"4","0"),"5","0"),"6","0"),"7","0"),"8","0"),"9","0")</f>
        <v/>
      </c>
      <c r="BP200" s="61" t="str">
        <f aca="false">SUBSTITUTE(SUBSTITUTE(SUBSTITUTE(SUBSTITUTE(SUBSTITUTE(SUBSTITUTE(SUBSTITUTE(SUBSTITUTE(SUBSTITUTE(SUBSTITUTE(SUBSTITUTE(SUBSTITUTE(SUBSTITUTE(SUBSTITUTE(SUBSTITUTE(SUBSTITUTE(SUBSTITUTE(SUBSTITUTE(SUBSTITUTE(SUBSTITUTE(SUBSTITUTE(SUBSTITUTE(SUBSTITUTE(SUBSTITUTE(SUBSTITUTE(BO200,"b","a"),"c","a"),"d","a"),"e","a"),"f","a"),"g","a"),"h","a"),"i","a"),"j","a"),"k","a"),"l","a"),"m","a"),"n","a"),"o","a"),"p","a"),"q","a"),"r","a"),"s","a"),"t","a"),"u","a"),"v","a"),"w","a"),"x","a"),"y","a"),"z","a")</f>
        <v/>
      </c>
      <c r="BQ200" s="61" t="n">
        <f aca="false">IFERROR(IF(AND(ISERROR(SEARCH(" mh"," "&amp;LOWER(W200))),ISNA(MATCH(LEFT(TRIM(BP200),255),{"0000a","000a","00a","0000aa","000aa","00aa","0aa","0000aaa","000aaa","00a00","0a00","0000-0000","00:00","a00","a0","00.00.0000","00/00/0000","00-00-0000","0000-00-00","0000/00/00","0000.00.00","00.00.00","00/00/00","00-00-00","0.00.0000","0/00/0000","0-00-0000"},0)),ISNA(MATCH(LEFT(TRIM(CA200),255),{"0000a","000a","00a","0000aa","000aa","00aa","0aa","0000aaa","000aaa","00a00","0a00","0000-0000","00:00","a00","a0","00.00.0000","00/00/0000","00-00-0000","0000-00-00","0000/00/00","0000.00.00","00.00.00","00/00/00","00-00-00","0.00.0000","0/00/0000","0-00-0000"},0)),LEN(CB200)&gt;=3,NOT(OR(SUBSTITUTE(CB200,"0","")="",AND(LEN(CB200)&gt;=4,CB200=REPT(LEFT(CB200),LEN(CB200))),ISNUMBER(MATCH(CB200,{"123","1234","12345","123456","1234567","12345678","0123","01234","012345","98765","987654","54321"},0)),AND(LEN(CB200)=8,LEFT(CB200,3)="202"))),OR(AND((LEN(CA200)-LEN(SUBSTITUTE(CA200,"a","")))&gt;=1,SUMPRODUCT(--ISNUMBER(SEARCH({"a0","a-0","a_0","a/0","a.0","a#0","0a","0-a","0_a","0/a"},BP200)))&gt;0),ISNUMBER(SEARCH("000000",BP200)))),1,0),0)</f>
        <v>0</v>
      </c>
      <c r="BR200" s="61" t="n">
        <f aca="false">IFERROR(LEN(SUBSTITUTE(CC200," ",""))-SUMPRODUCT((LEN(CC200)-LEN(SUBSTITUTE(CC200," "&amp;L_Role&amp;" "," ")))/(LEN(L_Role)+1)*LEN(L_Role)),0)</f>
        <v>0</v>
      </c>
      <c r="BS200" s="61" t="n">
        <f aca="false">IFERROR(LEN(SUBSTITUTE(CD200," ",""))-SUMPRODUCT((LEN(CD200)-LEN(SUBSTITUTE(CD200," "&amp;L_Role&amp;" "," ")))/(LEN(L_Role)+1)*LEN(L_Role)),0)</f>
        <v>0</v>
      </c>
      <c r="BT2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200,"revision",""),"version",""),"jan",""),"feb",""),"mar",""),"apr",""),"may",""),"jun",""),"jul",""),"aug",""),"sep",""),"oct",""),"nov",""),"dec",""),"utc",""),"gmt",""),"myt",""),"bst",""),"rev",""),"ver",""),"b","a"),"c","a"),"d","a"),"e","a"),"f","a"),"g","a"),"h","a"),"i","a"),"j","a"),"k","a"),"l","a"),"m","a"),"n","a"),"o","a"),"p","a"),"q","a"),"r","a"),"s","a"),"t","a"),"u","a"),"v","a"),"w","a"),"x","a"),"y","a"),"z","a")</f>
        <v/>
      </c>
      <c r="BU200" s="61" t="str">
        <f aca="false">SUBSTITUTE(SUBSTITUTE(SUBSTITUTE(SUBSTITUTE(SUBSTITUTE(SUBSTITUTE(SUBSTITUTE(SUBSTITUTE(SUBSTITUTE(SUBSTITUTE(LEFT(BM200,FIND("0",BM200&amp;"0")-1),"-",""),"_",""),"/",""),".",""),"#",""),"\\",""),":","")," ",""),"(",""),")","")</f>
        <v/>
      </c>
      <c r="BV200" s="61" t="n">
        <f aca="false">IFERROR(IF(OR(SUMPRODUCT((LEN(BC200)-LEN(SUBSTITUTE(BC200," "&amp;L_NotLoaded&amp;" "," ")))/(LEN(L_NotLoaded)+1))&gt;SUMPRODUCT((LEN(BC200)-LEN(SUBSTITUTE(BC200," "&amp;L_NotLoadedNeg&amp;" "," ")))/(LEN(L_NotLoadedNeg)+1)),SUMPRODUCT((LEN(BD200)-LEN(SUBSTITUTE(BD200," "&amp;L_NotLoaded&amp;" "," ")))/(LEN(L_NotLoaded)+1))&gt;SUMPRODUCT((LEN(BD200)-LEN(SUBSTITUTE(BD200," "&amp;L_NotLoadedNeg&amp;" "," ")))/(LEN(L_NotLoadedNeg)+1))),1,0),0)</f>
        <v>0</v>
      </c>
      <c r="BW2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200&amp;""),"a",""),"b",""),"c",""),"d",""),"e",""),"f",""),"g",""),"h",""),"i",""),"j",""),"k",""),"l",""),"m",""),"n",""),"o",""),"p",""),"q",""),"r",""),"s",""),"t",""),"u",""),"v",""),"w",""),"x",""),"y",""),"z",""),"-",""),"_",""),"/",""),".",""),"#",""),"\\",""),":","")," ",""),"(",""),")","")</f>
        <v/>
      </c>
      <c r="BX200" s="61" t="str">
        <f aca="false">SUBSTITUTE(SUBSTITUTE(SUBSTITUTE(SUBSTITUTE(SUBSTITUTE(SUBSTITUTE(SUBSTITUTE(SUBSTITUTE(SUBSTITUTE(SUBSTITUTE(SUBSTITUTE(BM200,"0",""),"-",""),"_",""),"/",""),".",""),"#",""),"\\",""),":","")," ",""),"(",""),")","")</f>
        <v/>
      </c>
      <c r="BY200" s="62" t="n">
        <f aca="false">IF(ISNUMBER(Flights!$AZ$10),MAX(Q200-UpliftWindowH/24,Flights!$AZ$10),Q200-UpliftWindowH/24)</f>
        <v>46310.3888888889</v>
      </c>
      <c r="BZ200" s="61" t="n">
        <f aca="false">IFERROR(IF(IF(TRIM(S200)="Link / file path",AND(LEN(TRIM(Z200))&gt;=5,SUMPRODUCT(--ISNUMBER(SEARCH({"http","www.","\\",":\",".pdf",".jpg",".jpeg",".png",".heic",".xls",".doc",".msg",".eml",".ppt",".txt",".zip"},Z200)))&gt;0),AND(ISERROR(FIND(" ",TRIM(Z200))),NOT(OR(SUMPRODUCT(--ISNUMBER(FIND({",",";","&amp;","+"},Z200)))&gt;0,SUMPRODUCT(--ISNUMBER(SEARCH({"0/aa","0\\aa"},BN200)))&gt;0)),NOT(SUMPRODUCT(--ISNUMBER(SEARCH({"http","www.","\\",":\",".pdf",".jpg",".jpeg",".png",".heic",".xls",".doc",".msg",".eml",".ppt",".txt",".zip"},Z200)))&gt;0),NOT(LOWER(TRIM(Z200))=LOWER(Flights!$F$10)),ISNA(MATCH(BU200,{"mh","rev","revision","ver","version","v","r","a","b","seat","tray","row","gate","bay","stand","page","pg","item","line","no","cart","galley","flight","flt","table","box","bag","oven","etd","eta","std","sta","atd","ata","qty","pax","x","time","tel","ph","mob","day","wk","week","utc","gmt","myt","lt"},0)),NOT(OR(ISNUMBER(MATCH(LEFT(BN200,255),{"0000a","000a","00a","0000aa","000aa","00aa","0aa","0000aaa","000aaa","00a00","0a00","0000-0000","00:00","a00","a0","00.00.0000","00/00/0000","00-00-0000","0000-00-00","0000/00/00","0000.00.00","00.00.00","00/00/00","00-00-00","0.00.0000","0/00/0000","0-00-0000"},0)),ISNUMBER(MATCH(LEFT(BT200,255),{"0000a","000a","00a","0000aa","000aa","00aa","0aa","0000aaa","000aaa","00a00","0a00","0000-0000","00:00","a00","a0","00.00.0000","00/00/0000","00-00-0000","0000-00-00","0000/00/00","0000.00.00","00.00.00","00/00/00","00-00-00","0.00.0000","0/00/0000","0-00-0000"},0)))),NOT(OR(AND(BW200&lt;&gt;"",SUBSTITUTE(BW200,"0","")=""),AND(LEN(BW200)&gt;=4,BW200=REPT(LEFT(BW200),LEN(BW200))),ISNUMBER(MATCH(BW200,{"123","1234","12345","123456","1234567","12345678","0123","01234","012345","98765","987654","54321"},0)),ISNUMBER(MATCH(BX200,{"x","xx","xxx","xxxx","xxxxx","abc","abcd","nil","na","nan","test","tbc","tba","tbd","dummy","sample","example","eg","zz","zzz","none","null","xyz","qwe","asd","id","ref"},0)),AND(LEN(BW200)=8,BX200="",OR(LEFT(BW200,3)="202",ISNUMBER(MATCH(RIGHT(BW200,4),{"2025","2026","2027"},0)))))),OR(AND((LEN(BT200)-LEN(SUBSTITUTE(BT200,"a","")))&gt;=1,(LEN(BN200)-LEN(SUBSTITUTE(BN200,"0","")))&gt;=2,SUMPRODUCT(--ISNUMBER(SEARCH({"a0","a-0","a_0","a/0","a.0","a#0","0a","0-a","0_a","0/a"},BN200)))&gt;0),AND((LEN(BN200)-LEN(SUBSTITUTE(BN200,"a","")))=0,(LEN(BN200)-LEN(SUBSTITUTE(BN200,"0","")))&gt;=5)))),1,0),0)</f>
        <v>0</v>
      </c>
      <c r="CA2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200,"revision",""),"version",""),"jan",""),"feb",""),"mar",""),"apr",""),"may",""),"jun",""),"jul",""),"aug",""),"sep",""),"oct",""),"nov",""),"dec",""),"utc",""),"gmt",""),"myt",""),"bst",""),"rev",""),"ver",""),"b","a"),"c","a"),"d","a"),"e","a"),"f","a"),"g","a"),"h","a"),"i","a"),"j","a"),"k","a"),"l","a"),"m","a"),"n","a"),"o","a"),"p","a"),"q","a"),"r","a"),"s","a"),"t","a"),"u","a"),"v","a"),"w","a"),"x","a"),"y","a"),"z","a")</f>
        <v/>
      </c>
      <c r="CB2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200&amp;""),"a",""),"b",""),"c",""),"d",""),"e",""),"f",""),"g",""),"h",""),"i",""),"j",""),"k",""),"l",""),"m",""),"n",""),"o",""),"p",""),"q",""),"r",""),"s",""),"t",""),"u",""),"v",""),"w",""),"x",""),"y",""),"z",""),"-",""),"_",""),"/",""),".",""),"#",""),"\\",""),":","")," ",""),"(",""),")","")</f>
        <v/>
      </c>
      <c r="CC200" s="0" t="str">
        <f aca="false">" "&amp;TRIM(SUBSTITUTE(SUBSTITUTE(SUBSTITUTE(SUBSTITUTE(SUBSTITUTE(SUBSTITUTE(SUBSTITUTE(SUBSTITUTE(SUBSTITUTE(SUBSTITUTE(SUBSTITUTE(SUBSTITUTE(SUBSTITUTE(SUBSTITUTE(SUBSTITUTE(SUBSTITUTE(SUBSTITUTE(SUBSTITUTE(SUBSTITUTE(SUBSTITUTE(SUBSTITUTE(SUBSTITUTE(SUBSTITUTE(SUBSTITUTE(LOWER(T200&amp;""),CHAR(10)," "),CHAR(13)," "),CHAR(9)," "),CHAR(160)," "),"."," "),","," "),"-"," "),"/"," "),"("," "),")"," "),":"," "),";"," "),"_"," "),"–"," "),"?"," "),"!"," "),"*"," "),"["," "),"]"," "),"'"," "),"#"," "),"+"," "),"&amp;"," "),"\"," "))&amp;" "</f>
        <v>  </v>
      </c>
      <c r="CD200" s="0" t="str">
        <f aca="false">" "&amp;TRIM(SUBSTITUTE(SUBSTITUTE(SUBSTITUTE(SUBSTITUTE(SUBSTITUTE(SUBSTITUTE(SUBSTITUTE(SUBSTITUTE(SUBSTITUTE(SUBSTITUTE(SUBSTITUTE(SUBSTITUTE(SUBSTITUTE(SUBSTITUTE(SUBSTITUTE(SUBSTITUTE(SUBSTITUTE(SUBSTITUTE(SUBSTITUTE(SUBSTITUTE(SUBSTITUTE(SUBSTITUTE(SUBSTITUTE(SUBSTITUTE(LOWER(AE200&amp;""),CHAR(10)," "),CHAR(13)," "),CHAR(9)," "),CHAR(160)," "),"."," "),","," "),"-"," "),"/"," "),"("," "),")"," "),":"," "),";"," "),"_"," "),"–"," "),"?"," "),"!"," "),"*"," "),"["," "),"]"," "),"'"," "),"#"," "),"+"," "),"&amp;"," "),"\"," "))&amp;" "</f>
        <v>  </v>
      </c>
      <c r="CE200" s="68" t="n">
        <f aca="false">IFERROR(IF(AND(LEN(AU200)&gt;0,LEN(AU200)=LEN(AX200),OR(TRIM(MID(SUBSTITUTE(TRIM(CC200)," ",REPT(" ",60)),1,60))="",ISNUMBER(SEARCH(" "&amp;TRIM(MID(SUBSTITUTE(TRIM(CC200)," ",REPT(" ",60)),1,60))&amp;" ",CD200))),OR(TRIM(MID(SUBSTITUTE(TRIM(CC200)," ",REPT(" ",60)),61,60))="",ISNUMBER(SEARCH(" "&amp;TRIM(MID(SUBSTITUTE(TRIM(CC200)," ",REPT(" ",60)),61,60))&amp;" ",CD200))),OR(TRIM(MID(SUBSTITUTE(TRIM(CC200)," ",REPT(" ",60)),121,60))="",ISNUMBER(SEARCH(" "&amp;TRIM(MID(SUBSTITUTE(TRIM(CC200)," ",REPT(" ",60)),121,60))&amp;" ",CD200)))),1,0),0)</f>
        <v>0</v>
      </c>
      <c r="CG200" s="68" t="n">
        <f aca="false">IFERROR(LEN(SUBSTITUTE(BF200," ",""))-SUMPRODUCT((LEN(BF200)-LEN(SUBSTITUTE(BF200," "&amp;L_NAFiller&amp;" "," ")))/(LEN(L_NAFiller)+1)*LEN(L_NAFiller)),0)</f>
        <v>0</v>
      </c>
    </row>
    <row r="201" customFormat="false" ht="39.75" hidden="false" customHeight="true" outlineLevel="0" collapsed="false">
      <c r="A201" s="57" t="s">
        <v>762</v>
      </c>
      <c r="B201" s="57" t="s">
        <v>231</v>
      </c>
      <c r="C201" s="57" t="str">
        <f aca="false">Flights!$F$10</f>
        <v>MH0002</v>
      </c>
      <c r="D201" s="58" t="n">
        <f aca="false">Flights!$D$10</f>
        <v>46310</v>
      </c>
      <c r="E201" s="57" t="str">
        <f aca="false">Flights!$G$10&amp;"-"&amp;Flights!$H$10</f>
        <v>KUL-LHR</v>
      </c>
      <c r="F201" s="57" t="str">
        <f aca="false">Flights!$K$10</f>
        <v>BC</v>
      </c>
      <c r="G201" s="57" t="s">
        <v>459</v>
      </c>
      <c r="H201" s="57" t="s">
        <v>460</v>
      </c>
      <c r="I201" s="57" t="s">
        <v>440</v>
      </c>
      <c r="J201" s="57" t="s">
        <v>643</v>
      </c>
      <c r="K201" s="67" t="s">
        <v>501</v>
      </c>
      <c r="L201" s="67" t="s">
        <v>734</v>
      </c>
      <c r="M201" s="67" t="s">
        <v>187</v>
      </c>
      <c r="N201" s="67" t="s">
        <v>383</v>
      </c>
      <c r="O201" s="67"/>
      <c r="P201" s="57" t="s">
        <v>187</v>
      </c>
      <c r="Q201" s="59" t="n">
        <f aca="false">ROUND((Flights!$AF$10)*1440,0)/1440</f>
        <v>46310.6388888889</v>
      </c>
      <c r="R201" s="59" t="n">
        <f aca="false">Q201+(IF(AND(INDEX(TZ_DSTS,MATCH(P201,TZ_STN,0))&lt;&gt;"",Q201&gt;=INDEX(TZ_DSTS,MATCH(P201,TZ_STN,0)),Q201&lt;INDEX(TZ_DSTE,MATCH(P201,TZ_STN,0))),INDEX(TZ_DST,MATCH(P201,TZ_STN,0)),INDEX(TZ_STD,MATCH(P201,TZ_STN,0))))/24</f>
        <v>46310.9722222222</v>
      </c>
      <c r="S201" s="60"/>
      <c r="T201" s="60"/>
      <c r="U201" s="60"/>
      <c r="V201" s="60"/>
      <c r="W201" s="61"/>
      <c r="X201" s="60"/>
      <c r="Y201" s="60"/>
      <c r="Z201" s="60"/>
      <c r="AA201" s="60"/>
      <c r="AB201" s="60"/>
      <c r="AC201" s="60"/>
      <c r="AD201" s="66"/>
      <c r="AE201" s="60"/>
      <c r="AF201" s="61" t="str">
        <f aca="false">IF(AND(ISNUMBER(X201),ISNUMBER(Y201)),Y201-X201,"")</f>
        <v/>
      </c>
      <c r="AG201" s="62" t="str">
        <f aca="false">IF(ISNUMBER(AD201),AD201-(IF(AND(INDEX(TZ_DSTS,MATCH(P201,TZ_STN,0))&lt;&gt;"",(AD201-INDEX(TZ_STD,MATCH(P201,TZ_STN,0))/24)&gt;=INDEX(TZ_DSTS,MATCH(P201,TZ_STN,0)),(AD201-INDEX(TZ_STD,MATCH(P201,TZ_STN,0))/24)&lt;INDEX(TZ_DSTE,MATCH(P201,TZ_STN,0))),INDEX(TZ_DST,MATCH(P201,TZ_STN,0)),INDEX(TZ_STD,MATCH(P201,TZ_STN,0))))/24,"")</f>
        <v/>
      </c>
      <c r="AH201" s="65" t="str">
        <f aca="false">IFERROR(IF(N201="N/A – rule",IF(OR(TRIM(U201)="",TRIM(U201)="N/A",TRIM(U201)="Not started"),"N/A – RULE","INVALID – this check does not apply to this aircraft: clear the status (or correct the fleet on Flights)"),IF(TRIM(U201)="N/A",IF(AT201=0,"INVALID – N/A not permitted for this check",IF(AND(TRIM(AB201)&lt;&gt;"",TRIM(AB201)&lt;&gt;"Closed"),"INVALID – corrective action still open",IF(AND(NOT(OR(LEN(AZ201)&lt;15,ISNUMBER(MATCH(AZ201,L_Placeholder,0)))),BK201=0,CG201&gt;=8,NOT(OR(LEN(AU201)&lt;2,ISNUMBER(MATCH(AU201,L_Placeholder,0)))),BR201&gt;=3,NOT(OR(LEN(AX201)&lt;2,ISNUMBER(MATCH(AX201,L_Placeholder,0)))),BS201&gt;=3,TRIM(AE201)&lt;&gt;TRIM(T201),AX201&lt;&gt;AU201,CE201=0),"N/A – JUSTIFIED","INVALID – N/A needs a real, settled reason (not 'not applicable' / 'as above' / TBC), a named PIC and a different named verifier"))),IF(OR(TRIM(U201)="Pass",TRIM(U201)="Pass after CA"),IF(NOT(ISNUMBER(AD201)),"INVALID – completion time missing",IF(OR(OR(LEN(AU201)&lt;2,ISNUMBER(MATCH(AU201,L_Placeholder,0))),BR201&lt;3),"INVALID – PIC missing or not a named person (a role such as QA / CSM is not a name)",IF(OR(LEN(AV201)&lt;2,ISNUMBER(MATCH(AV201,L_Placeholder,0))),"INVALID – result / assessment missing",IF(OR(OR(LEN(AW201)&lt;3,ISNUMBER(MATCH(AW201,L_Placeholder,0))),SUMPRODUCT(--ISNUMBER(SEARCH(" "&amp;L_EvidencePhrase&amp;" ",BD201)))&gt;0,BI201=1),"INVALID – evidence missing, placeholder or not yet on file",IF(ISNA(MATCH(TRIM(S201),L_EvidenceType,0)),"INVALID – choose the evidence type from the list (column S)",IF(BL201=0,"INVALID – evidence ID must be the record's own ID only (e.g. SF-2210, IMG_2231, 1045521); a link / file name needs type 'Link / file path'",IF(OR(OR(LEN(AX201)&lt;2,ISNUMBER(MATCH(AX201,L_Placeholder,0))),BS201&lt;3),"INVALID – verifier missing or not a named person (a role such as QA / CSM is not a name)",IF(OR(AX201=AU201,CE201=1,AND(LEN(AU201)&gt;=4,ISNUMBER(SEARCH(AU201,AX201))),AND(LEN(AX201)&gt;=4,ISNUMBER(SEARCH(AX201,AU201)))),"INVALID – verifier must be a different, named person (not the PIC or a role)",IF(BH201=1,"INVALID – result not yet available (awaiting / TBC)",IF(BG201=1,"INVALID – result describes a problem: record Fail, then Pass after CA (or reword if it is not a problem)",IF(BV201=1,"INVALID – wording says not on board: an on-board confirmation needs the item loaded",IF(AND(AQ201=1,OR(OR(LEN(AY201)&lt;3,ISNUMBER(MATCH(AY201,L_Placeholder,0))),BJ201=1,BQ201=0)),"INVALID – batch ID missing, placeholder or not an ID (e.g. PASB-261008-BC-017)",IF(AND(AR201=1,OR(NOT(ISNUMBER(X201)),NOT(ISNUMBER(Y201)))),"INVALID – expected/actual qty missing",IF(AND(AR201=1,OR(X201&lt;=0,Y201&lt;0)),"INVALID – expected qty must be above 0 and actual not negative",IF(AH185="N/A – JUSTIFIED","INVALID – preparation row F06-T12-10 is N/A",IF(AND(AR201=1,ISNUMBER(X185),X201&lt;&gt;X185,TRIM(U201)&lt;&gt;"Pass after CA"),"INVALID – expected qty differs from preparation check F06-T12-10: record the load change as a corrective action (Pass after CA)",IF(BB201&lt;&gt;"",BB201,IF(AND(AS201=1,Documents!$J$10&lt;&gt;"ON FILE"),"INVALID – GLD not on file (Documents sheet)",IF(AND(AS201=2,Documents!$O$10&lt;&gt;"ON FILE"),"INVALID – menu checklist not on file (Documents sheet)",IF(AND(AS201=3,NOT(ISNUMBER(Flights!$AX$10))),"INVALID – enter carrying flight KUL departure (Flights AX)",IF(AND(AS201=3,OR(Flights!$AZ$10&gt;Flights!$AA$10,Flights!$AX$10&lt;Flights!$AA$10-3)),"INVALID – carrying flight (Flights AX) cannot arrive before this leg's STD, or is over 3 days early",IF(AG201&gt;AsOfUTC,"INVALID – completion time is in the future",IF(AND(ISNUMBER(BY201),AG201&lt;BY201),IF(H201="Physical uplift","INVALID – before uplift window (cannot confirm loading)","INVALID – before valid window"),IF(AG201&gt;Flights!$AA$10,"INVALID – completed after departure (cannot establish readiness)",IF(AND(H201="Preparation",AG201&gt;=IF(ISNUMBER(Flights!$BA$10),MIN(Flights!$BA$10,Flights!$AA$10),Flights!$AA$10)),"INVALID – completed after loading / departure (cannot establish readiness)",IF(AND(H201="Physical uplift",AG201&gt;Q201),"INVALID – recorded after the loading flight departed",IF(AG201&gt;Q201,"COMPLETE – LATE","COMPLETE"))))))))))))))))))))))))))),IF(TRIM(U201)="Fail","FAIL – DISCREPANCY",IF(AND(TRIM(U201)&lt;&gt;"",TRIM(U201)&lt;&gt;"Not started",TRIM(U201)&lt;&gt;"In progress"),"INVALID – unrecognised status (use the list)",IF(AsOfUTC&gt;Q201,"OVERDUE",IF(N201="Clarification required","OPEN – CLARIFICATION","OPEN"))))))),"INVALID – error value in an input cell")</f>
        <v>OPEN</v>
      </c>
      <c r="AI201" s="61" t="n">
        <f aca="false">IF(OR(AH201="N/A – RULE",AH201="N/A – JUSTIFIED"),0,1)</f>
        <v>1</v>
      </c>
      <c r="AJ201" s="61" t="n">
        <f aca="false">IF(LEFT(AH201,8)="COMPLETE",1,0)</f>
        <v>0</v>
      </c>
      <c r="AK201" s="61" t="n">
        <f aca="false">IF(AND(AI201=1,AJ201=0,AsOfUTC&gt;Q201),1,0)</f>
        <v>0</v>
      </c>
      <c r="AL201" s="61" t="n">
        <f aca="false">IFERROR(IF(AND(AI201=1,OR(TRIM(U201)="Fail",AND(TRIM(AB201)&lt;&gt;"",TRIM(AB201)&lt;&gt;"Closed"),AND(ISNUMBER(AF201),AF201&lt;&gt;0,TRIM(U201)&lt;&gt;"Pass after CA"))),1,0),1)</f>
        <v>0</v>
      </c>
      <c r="AM201" s="61" t="n">
        <f aca="false">IF(LEFT(AH201,7)="INVALID",1,0)</f>
        <v>0</v>
      </c>
      <c r="AN201" s="61" t="n">
        <f aca="false">IF(AND(N201="Clarification required",AI201=1,AJ201=0),1,0)</f>
        <v>0</v>
      </c>
      <c r="AO201" s="61" t="str">
        <f aca="false">IF(AK201=1,SUM(AK$5:AK201),"")</f>
        <v/>
      </c>
      <c r="AP201" s="61" t="str">
        <f aca="false">IF(AL201=1,SUM(AL$5:AL201),"")</f>
        <v/>
      </c>
      <c r="AQ201" s="61" t="n">
        <v>0</v>
      </c>
      <c r="AR201" s="61" t="n">
        <v>0</v>
      </c>
      <c r="AS201" s="61" t="n">
        <v>0</v>
      </c>
      <c r="AT201" s="61" t="n">
        <v>0</v>
      </c>
      <c r="AU201" s="61" t="str">
        <f aca="false">SUBSTITUTE(SUBSTITUTE(SUBSTITUTE(SUBSTITUTE(SUBSTITUTE(SUBSTITUTE(SUBSTITUTE(SUBSTITUTE(SUBSTITUTE(SUBSTITUTE(SUBSTITUTE(SUBSTITUTE(SUBSTITUTE(SUBSTITUTE(SUBSTITUTE(SUBSTITUTE(LOWER(T201&amp;""),CHAR(10),""),CHAR(13),""),CHAR(9),""),CHAR(160),"")," ",""),".",""),"-",""),"/",""),"?",""),"_",""),",",""),"[",""),"]",""),"(",""),")",""),"*","")</f>
        <v/>
      </c>
      <c r="AV201" s="61" t="str">
        <f aca="false">SUBSTITUTE(SUBSTITUTE(SUBSTITUTE(SUBSTITUTE(SUBSTITUTE(SUBSTITUTE(SUBSTITUTE(SUBSTITUTE(SUBSTITUTE(SUBSTITUTE(SUBSTITUTE(SUBSTITUTE(SUBSTITUTE(SUBSTITUTE(SUBSTITUTE(SUBSTITUTE(LOWER(V201&amp;""),CHAR(10),""),CHAR(13),""),CHAR(9),""),CHAR(160),"")," ",""),".",""),"-",""),"/",""),"?",""),"_",""),",",""),"[",""),"]",""),"(",""),")",""),"*","")</f>
        <v/>
      </c>
      <c r="AW201" s="61" t="str">
        <f aca="false">SUBSTITUTE(SUBSTITUTE(SUBSTITUTE(SUBSTITUTE(SUBSTITUTE(SUBSTITUTE(SUBSTITUTE(SUBSTITUTE(SUBSTITUTE(SUBSTITUTE(SUBSTITUTE(SUBSTITUTE(SUBSTITUTE(SUBSTITUTE(SUBSTITUTE(SUBSTITUTE(LOWER(Z201&amp;""),CHAR(10),""),CHAR(13),""),CHAR(9),""),CHAR(160),"")," ",""),".",""),"-",""),"/",""),"?",""),"_",""),",",""),"[",""),"]",""),"(",""),")",""),"*","")</f>
        <v/>
      </c>
      <c r="AX201" s="61" t="str">
        <f aca="false">SUBSTITUTE(SUBSTITUTE(SUBSTITUTE(SUBSTITUTE(SUBSTITUTE(SUBSTITUTE(SUBSTITUTE(SUBSTITUTE(SUBSTITUTE(SUBSTITUTE(SUBSTITUTE(SUBSTITUTE(SUBSTITUTE(SUBSTITUTE(SUBSTITUTE(SUBSTITUTE(LOWER(AE201&amp;""),CHAR(10),""),CHAR(13),""),CHAR(9),""),CHAR(160),"")," ",""),".",""),"-",""),"/",""),"?",""),"_",""),",",""),"[",""),"]",""),"(",""),")",""),"*","")</f>
        <v/>
      </c>
      <c r="AY201" s="61" t="str">
        <f aca="false">SUBSTITUTE(SUBSTITUTE(SUBSTITUTE(SUBSTITUTE(SUBSTITUTE(SUBSTITUTE(SUBSTITUTE(SUBSTITUTE(SUBSTITUTE(SUBSTITUTE(SUBSTITUTE(SUBSTITUTE(SUBSTITUTE(SUBSTITUTE(SUBSTITUTE(SUBSTITUTE(LOWER(W201&amp;""),CHAR(10),""),CHAR(13),""),CHAR(9),""),CHAR(160),"")," ",""),".",""),"-",""),"/",""),"?",""),"_",""),",",""),"[",""),"]",""),"(",""),")",""),"*","")</f>
        <v/>
      </c>
      <c r="AZ201" s="61" t="str">
        <f aca="false">SUBSTITUTE(SUBSTITUTE(SUBSTITUTE(SUBSTITUTE(SUBSTITUTE(SUBSTITUTE(SUBSTITUTE(SUBSTITUTE(SUBSTITUTE(SUBSTITUTE(SUBSTITUTE(SUBSTITUTE(SUBSTITUTE(SUBSTITUTE(SUBSTITUTE(SUBSTITUTE(LOWER(AC201&amp;""),CHAR(10),""),CHAR(13),""),CHAR(9),""),CHAR(160),"")," ",""),".",""),"-",""),"/",""),"?",""),"_",""),",",""),"[",""),"]",""),"(",""),")",""),"*","")</f>
        <v/>
      </c>
      <c r="BA201" s="61" t="str">
        <f aca="false">SUBSTITUTE(SUBSTITUTE(SUBSTITUTE(SUBSTITUTE(SUBSTITUTE(SUBSTITUTE(SUBSTITUTE(SUBSTITUTE(SUBSTITUTE(SUBSTITUTE(SUBSTITUTE(SUBSTITUTE(SUBSTITUTE(SUBSTITUTE(SUBSTITUTE(SUBSTITUTE(LOWER(AA201&amp;""),CHAR(10),""),CHAR(13),""),CHAR(9),""),CHAR(160),"")," ",""),".",""),"-",""),"/",""),"?",""),"_",""),",",""),"[",""),"]",""),"(",""),")",""),"*","")</f>
        <v/>
      </c>
      <c r="BB201" s="61" t="str">
        <f aca="false">IF(AND(TRIM(U201)="Pass",ISNUMBER(AF201)),IF(AF201&lt;&gt;0,"INVALID – qty variance: use Fail or Pass after CA",""),"")&amp;IF(AND(TRIM(U201)="Pass after CA",ISNUMBER(AF201)),IF(AF201&lt;&gt;0,"INVALID – after the corrective action the actual qty must equal expected (update Actual)",""),"")&amp;IF(AND(TRIM(U201)="Pass",TRIM(AB201)&lt;&gt;"",TRIM(AB201)&lt;&gt;"Closed"),"INVALID – corrective action not closed: use Fail, then Pass after CA","")&amp;IF(AND(LEN(BA201)&gt;=2,ISNA(MATCH(LEFT(BA201,255),L_Placeholder,0)),TRIM(AB201)=""),"INVALID – CA status missing for the recorded corrective action","")&amp;IF(AND(TRIM(U201)="Pass after CA",OR(OR(LEN(BA201)&lt;5,ISNUMBER(MATCH(BA201,L_Placeholder,0))),TRIM(AB201)&lt;&gt;"Closed")),"INVALID – corrective action not recorded/closed","")</f>
        <v/>
      </c>
      <c r="BC201" s="61" t="str">
        <f aca="false">" "&amp;TRIM(SUBSTITUTE(SUBSTITUTE(SUBSTITUTE(SUBSTITUTE(SUBSTITUTE(SUBSTITUTE(SUBSTITUTE(SUBSTITUTE(SUBSTITUTE(SUBSTITUTE(SUBSTITUTE(SUBSTITUTE(SUBSTITUTE(SUBSTITUTE(SUBSTITUTE(SUBSTITUTE(SUBSTITUTE(SUBSTITUTE(SUBSTITUTE(SUBSTITUTE(SUBSTITUTE(SUBSTITUTE(SUBSTITUTE(SUBSTITUTE(LOWER(V201&amp;""),CHAR(10)," "),CHAR(13)," "),CHAR(9)," "),CHAR(160)," "),"."," "),","," "),"-"," "),"/"," "),"("," "),")"," "),":"," "),";"," "),"_"," "),"–"," "),"?"," "),"!"," "),"*"," "),"["," "),"]"," "),"'"," "),"#"," "),"+"," "),"&amp;"," "),"\"," "))&amp;" "</f>
        <v>  </v>
      </c>
      <c r="BD201" s="61" t="str">
        <f aca="false">" "&amp;TRIM(SUBSTITUTE(SUBSTITUTE(SUBSTITUTE(SUBSTITUTE(SUBSTITUTE(SUBSTITUTE(SUBSTITUTE(SUBSTITUTE(SUBSTITUTE(SUBSTITUTE(SUBSTITUTE(SUBSTITUTE(SUBSTITUTE(SUBSTITUTE(SUBSTITUTE(SUBSTITUTE(SUBSTITUTE(SUBSTITUTE(SUBSTITUTE(SUBSTITUTE(SUBSTITUTE(SUBSTITUTE(SUBSTITUTE(SUBSTITUTE(LOWER(Z201&amp;""),CHAR(10)," "),CHAR(13)," "),CHAR(9)," "),CHAR(160)," "),"."," "),","," "),"-"," "),"/"," "),"("," "),")"," "),":"," "),";"," "),"_"," "),"–"," "),"?"," "),"!"," "),"*"," "),"["," "),"]"," "),"'"," "),"#"," "),"+"," "),"&amp;"," "),"\"," "))&amp;" "</f>
        <v>  </v>
      </c>
      <c r="BE201" s="61" t="str">
        <f aca="false">" "&amp;TRIM(SUBSTITUTE(SUBSTITUTE(SUBSTITUTE(SUBSTITUTE(SUBSTITUTE(SUBSTITUTE(SUBSTITUTE(SUBSTITUTE(SUBSTITUTE(SUBSTITUTE(SUBSTITUTE(SUBSTITUTE(SUBSTITUTE(SUBSTITUTE(SUBSTITUTE(SUBSTITUTE(SUBSTITUTE(SUBSTITUTE(SUBSTITUTE(SUBSTITUTE(SUBSTITUTE(SUBSTITUTE(SUBSTITUTE(SUBSTITUTE(LOWER(W201&amp;""),CHAR(10)," "),CHAR(13)," "),CHAR(9)," "),CHAR(160)," "),"."," "),","," "),"-"," "),"/"," "),"("," "),")"," "),":"," "),";"," "),"_"," "),"–"," "),"?"," "),"!"," "),"*"," "),"["," "),"]"," "),"'"," "),"#"," "),"+"," "),"&amp;"," "),"\"," "))&amp;" "</f>
        <v>  </v>
      </c>
      <c r="BF201" s="61" t="str">
        <f aca="false">" "&amp;TRIM(SUBSTITUTE(SUBSTITUTE(SUBSTITUTE(SUBSTITUTE(SUBSTITUTE(SUBSTITUTE(SUBSTITUTE(SUBSTITUTE(SUBSTITUTE(SUBSTITUTE(SUBSTITUTE(SUBSTITUTE(SUBSTITUTE(SUBSTITUTE(SUBSTITUTE(SUBSTITUTE(SUBSTITUTE(SUBSTITUTE(SUBSTITUTE(SUBSTITUTE(SUBSTITUTE(SUBSTITUTE(SUBSTITUTE(SUBSTITUTE(LOWER(AC201&amp;""),CHAR(10)," "),CHAR(13)," "),CHAR(9)," "),CHAR(160)," "),"."," "),","," "),"-"," "),"/"," "),"("," "),")"," "),":"," "),";"," "),"_"," "),"–"," "),"?"," "),"!"," "),"*"," "),"["," "),"]"," "),"'"," "),"#"," "),"+"," "),"&amp;"," "),"\"," "))&amp;" "</f>
        <v>  </v>
      </c>
      <c r="BG201" s="61" t="n">
        <f aca="false">IFERROR(IF(AND(TRIM(U201)="Pass",SUMPRODUCT((LEN(BC201)-LEN(SUBSTITUTE(BC201," "&amp;L_ResultBad&amp;" "," ")))/(LEN(L_ResultBad)+1))&gt;SUMPRODUCT((LEN(BC201)-LEN(SUBSTITUTE(BC201," "&amp;L_NegPhrase&amp;" "," ")))/(LEN(L_NegPhrase)+1))),1,0),0)</f>
        <v>0</v>
      </c>
      <c r="BH201" s="61" t="n">
        <f aca="false">IFERROR(IF(SUMPRODUCT((LEN(BC201)-LEN(SUBSTITUTE(BC201," "&amp;L_Pending&amp;" "," ")))/(LEN(L_Pending)+1))&gt;SUMPRODUCT((LEN(BC201)-LEN(SUBSTITUTE(BC201," "&amp;L_PendNeg&amp;" "," ")))/(LEN(L_PendNeg)+1)),1,0),1)</f>
        <v>0</v>
      </c>
      <c r="BI201" s="61" t="n">
        <f aca="false">IFERROR(IF(SUMPRODUCT((LEN(BD201)-LEN(SUBSTITUTE(BD201," "&amp;L_PendStrict&amp;" "," ")))/(LEN(L_PendStrict)+1))&gt;SUMPRODUCT((LEN(BD201)-LEN(SUBSTITUTE(BD201," "&amp;L_PendNeg&amp;" "," ")))/(LEN(L_PendNeg)+1)),1,0),1)</f>
        <v>0</v>
      </c>
      <c r="BJ201" s="61" t="n">
        <f aca="false">IFERROR(IF(SUMPRODUCT((LEN(BE201)-LEN(SUBSTITUTE(BE201," "&amp;L_Pending&amp;" "," ")))/(LEN(L_Pending)+1))&gt;SUMPRODUCT((LEN(BE201)-LEN(SUBSTITUTE(BE201," "&amp;L_PendNeg&amp;" "," ")))/(LEN(L_PendNeg)+1)),1,0),1)</f>
        <v>0</v>
      </c>
      <c r="BK201" s="61" t="n">
        <f aca="false">IFERROR(IF(SUMPRODUCT((LEN(BF201)-LEN(SUBSTITUTE(BF201," "&amp;L_PendStrict&amp;" "," ")))/(LEN(L_PendStrict)+1))&gt;SUMPRODUCT((LEN(BF201)-LEN(SUBSTITUTE(BF201," "&amp;L_PendNeg&amp;" "," ")))/(LEN(L_PendNeg)+1)),1,0),1)</f>
        <v>0</v>
      </c>
      <c r="BL201" s="61" t="n">
        <f aca="false">IF(ISNA(MATCH(TRIM(S201),L_EvidenceType,0)),0,BZ201)</f>
        <v>0</v>
      </c>
      <c r="BM201" s="61" t="str">
        <f aca="false">SUBSTITUTE(SUBSTITUTE(SUBSTITUTE(SUBSTITUTE(SUBSTITUTE(SUBSTITUTE(SUBSTITUTE(SUBSTITUTE(SUBSTITUTE(LOWER(Z201&amp;""),"1","0"),"2","0"),"3","0"),"4","0"),"5","0"),"6","0"),"7","0"),"8","0"),"9","0")</f>
        <v/>
      </c>
      <c r="BN201" s="61" t="str">
        <f aca="false">SUBSTITUTE(SUBSTITUTE(SUBSTITUTE(SUBSTITUTE(SUBSTITUTE(SUBSTITUTE(SUBSTITUTE(SUBSTITUTE(SUBSTITUTE(SUBSTITUTE(SUBSTITUTE(SUBSTITUTE(SUBSTITUTE(SUBSTITUTE(SUBSTITUTE(SUBSTITUTE(SUBSTITUTE(SUBSTITUTE(SUBSTITUTE(SUBSTITUTE(SUBSTITUTE(SUBSTITUTE(SUBSTITUTE(SUBSTITUTE(SUBSTITUTE(BM201,"b","a"),"c","a"),"d","a"),"e","a"),"f","a"),"g","a"),"h","a"),"i","a"),"j","a"),"k","a"),"l","a"),"m","a"),"n","a"),"o","a"),"p","a"),"q","a"),"r","a"),"s","a"),"t","a"),"u","a"),"v","a"),"w","a"),"x","a"),"y","a"),"z","a")</f>
        <v/>
      </c>
      <c r="BO201" s="61" t="str">
        <f aca="false">SUBSTITUTE(SUBSTITUTE(SUBSTITUTE(SUBSTITUTE(SUBSTITUTE(SUBSTITUTE(SUBSTITUTE(SUBSTITUTE(SUBSTITUTE(LOWER(W201&amp;""),"1","0"),"2","0"),"3","0"),"4","0"),"5","0"),"6","0"),"7","0"),"8","0"),"9","0")</f>
        <v/>
      </c>
      <c r="BP201" s="61" t="str">
        <f aca="false">SUBSTITUTE(SUBSTITUTE(SUBSTITUTE(SUBSTITUTE(SUBSTITUTE(SUBSTITUTE(SUBSTITUTE(SUBSTITUTE(SUBSTITUTE(SUBSTITUTE(SUBSTITUTE(SUBSTITUTE(SUBSTITUTE(SUBSTITUTE(SUBSTITUTE(SUBSTITUTE(SUBSTITUTE(SUBSTITUTE(SUBSTITUTE(SUBSTITUTE(SUBSTITUTE(SUBSTITUTE(SUBSTITUTE(SUBSTITUTE(SUBSTITUTE(BO201,"b","a"),"c","a"),"d","a"),"e","a"),"f","a"),"g","a"),"h","a"),"i","a"),"j","a"),"k","a"),"l","a"),"m","a"),"n","a"),"o","a"),"p","a"),"q","a"),"r","a"),"s","a"),"t","a"),"u","a"),"v","a"),"w","a"),"x","a"),"y","a"),"z","a")</f>
        <v/>
      </c>
      <c r="BQ201" s="61" t="n">
        <f aca="false">IFERROR(IF(AND(ISERROR(SEARCH(" mh"," "&amp;LOWER(W201))),ISNA(MATCH(LEFT(TRIM(BP201),255),{"0000a","000a","00a","0000aa","000aa","00aa","0aa","0000aaa","000aaa","00a00","0a00","0000-0000","00:00","a00","a0","00.00.0000","00/00/0000","00-00-0000","0000-00-00","0000/00/00","0000.00.00","00.00.00","00/00/00","00-00-00","0.00.0000","0/00/0000","0-00-0000"},0)),ISNA(MATCH(LEFT(TRIM(CA201),255),{"0000a","000a","00a","0000aa","000aa","00aa","0aa","0000aaa","000aaa","00a00","0a00","0000-0000","00:00","a00","a0","00.00.0000","00/00/0000","00-00-0000","0000-00-00","0000/00/00","0000.00.00","00.00.00","00/00/00","00-00-00","0.00.0000","0/00/0000","0-00-0000"},0)),LEN(CB201)&gt;=3,NOT(OR(SUBSTITUTE(CB201,"0","")="",AND(LEN(CB201)&gt;=4,CB201=REPT(LEFT(CB201),LEN(CB201))),ISNUMBER(MATCH(CB201,{"123","1234","12345","123456","1234567","12345678","0123","01234","012345","98765","987654","54321"},0)),AND(LEN(CB201)=8,LEFT(CB201,3)="202"))),OR(AND((LEN(CA201)-LEN(SUBSTITUTE(CA201,"a","")))&gt;=1,SUMPRODUCT(--ISNUMBER(SEARCH({"a0","a-0","a_0","a/0","a.0","a#0","0a","0-a","0_a","0/a"},BP201)))&gt;0),ISNUMBER(SEARCH("000000",BP201)))),1,0),0)</f>
        <v>0</v>
      </c>
      <c r="BR201" s="61" t="n">
        <f aca="false">IFERROR(LEN(SUBSTITUTE(CC201," ",""))-SUMPRODUCT((LEN(CC201)-LEN(SUBSTITUTE(CC201," "&amp;L_Role&amp;" "," ")))/(LEN(L_Role)+1)*LEN(L_Role)),0)</f>
        <v>0</v>
      </c>
      <c r="BS201" s="61" t="n">
        <f aca="false">IFERROR(LEN(SUBSTITUTE(CD201," ",""))-SUMPRODUCT((LEN(CD201)-LEN(SUBSTITUTE(CD201," "&amp;L_Role&amp;" "," ")))/(LEN(L_Role)+1)*LEN(L_Role)),0)</f>
        <v>0</v>
      </c>
      <c r="BT2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201,"revision",""),"version",""),"jan",""),"feb",""),"mar",""),"apr",""),"may",""),"jun",""),"jul",""),"aug",""),"sep",""),"oct",""),"nov",""),"dec",""),"utc",""),"gmt",""),"myt",""),"bst",""),"rev",""),"ver",""),"b","a"),"c","a"),"d","a"),"e","a"),"f","a"),"g","a"),"h","a"),"i","a"),"j","a"),"k","a"),"l","a"),"m","a"),"n","a"),"o","a"),"p","a"),"q","a"),"r","a"),"s","a"),"t","a"),"u","a"),"v","a"),"w","a"),"x","a"),"y","a"),"z","a")</f>
        <v/>
      </c>
      <c r="BU201" s="61" t="str">
        <f aca="false">SUBSTITUTE(SUBSTITUTE(SUBSTITUTE(SUBSTITUTE(SUBSTITUTE(SUBSTITUTE(SUBSTITUTE(SUBSTITUTE(SUBSTITUTE(SUBSTITUTE(LEFT(BM201,FIND("0",BM201&amp;"0")-1),"-",""),"_",""),"/",""),".",""),"#",""),"\\",""),":","")," ",""),"(",""),")","")</f>
        <v/>
      </c>
      <c r="BV201" s="61" t="n">
        <f aca="false">IFERROR(IF(OR(SUMPRODUCT((LEN(BC201)-LEN(SUBSTITUTE(BC201," "&amp;L_NotLoaded&amp;" "," ")))/(LEN(L_NotLoaded)+1))&gt;SUMPRODUCT((LEN(BC201)-LEN(SUBSTITUTE(BC201," "&amp;L_NotLoadedNeg&amp;" "," ")))/(LEN(L_NotLoadedNeg)+1)),SUMPRODUCT((LEN(BD201)-LEN(SUBSTITUTE(BD201," "&amp;L_NotLoaded&amp;" "," ")))/(LEN(L_NotLoaded)+1))&gt;SUMPRODUCT((LEN(BD201)-LEN(SUBSTITUTE(BD201," "&amp;L_NotLoadedNeg&amp;" "," ")))/(LEN(L_NotLoadedNeg)+1))),1,0),0)</f>
        <v>0</v>
      </c>
      <c r="BW2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201&amp;""),"a",""),"b",""),"c",""),"d",""),"e",""),"f",""),"g",""),"h",""),"i",""),"j",""),"k",""),"l",""),"m",""),"n",""),"o",""),"p",""),"q",""),"r",""),"s",""),"t",""),"u",""),"v",""),"w",""),"x",""),"y",""),"z",""),"-",""),"_",""),"/",""),".",""),"#",""),"\\",""),":","")," ",""),"(",""),")","")</f>
        <v/>
      </c>
      <c r="BX201" s="61" t="str">
        <f aca="false">SUBSTITUTE(SUBSTITUTE(SUBSTITUTE(SUBSTITUTE(SUBSTITUTE(SUBSTITUTE(SUBSTITUTE(SUBSTITUTE(SUBSTITUTE(SUBSTITUTE(SUBSTITUTE(BM201,"0",""),"-",""),"_",""),"/",""),".",""),"#",""),"\\",""),":","")," ",""),"(",""),")","")</f>
        <v/>
      </c>
      <c r="BY201" s="62" t="n">
        <f aca="false">IF(ISNUMBER(Flights!$AZ$10),MAX(Q201-UpliftWindowH/24,Flights!$AZ$10),Q201-UpliftWindowH/24)</f>
        <v>46310.3888888889</v>
      </c>
      <c r="BZ201" s="61" t="n">
        <f aca="false">IFERROR(IF(IF(TRIM(S201)="Link / file path",AND(LEN(TRIM(Z201))&gt;=5,SUMPRODUCT(--ISNUMBER(SEARCH({"http","www.","\\",":\",".pdf",".jpg",".jpeg",".png",".heic",".xls",".doc",".msg",".eml",".ppt",".txt",".zip"},Z201)))&gt;0),AND(ISERROR(FIND(" ",TRIM(Z201))),NOT(OR(SUMPRODUCT(--ISNUMBER(FIND({",",";","&amp;","+"},Z201)))&gt;0,SUMPRODUCT(--ISNUMBER(SEARCH({"0/aa","0\\aa"},BN201)))&gt;0)),NOT(SUMPRODUCT(--ISNUMBER(SEARCH({"http","www.","\\",":\",".pdf",".jpg",".jpeg",".png",".heic",".xls",".doc",".msg",".eml",".ppt",".txt",".zip"},Z201)))&gt;0),NOT(LOWER(TRIM(Z201))=LOWER(Flights!$F$10)),ISNA(MATCH(BU201,{"mh","rev","revision","ver","version","v","r","a","b","seat","tray","row","gate","bay","stand","page","pg","item","line","no","cart","galley","flight","flt","table","box","bag","oven","etd","eta","std","sta","atd","ata","qty","pax","x","time","tel","ph","mob","day","wk","week","utc","gmt","myt","lt"},0)),NOT(OR(ISNUMBER(MATCH(LEFT(BN201,255),{"0000a","000a","00a","0000aa","000aa","00aa","0aa","0000aaa","000aaa","00a00","0a00","0000-0000","00:00","a00","a0","00.00.0000","00/00/0000","00-00-0000","0000-00-00","0000/00/00","0000.00.00","00.00.00","00/00/00","00-00-00","0.00.0000","0/00/0000","0-00-0000"},0)),ISNUMBER(MATCH(LEFT(BT201,255),{"0000a","000a","00a","0000aa","000aa","00aa","0aa","0000aaa","000aaa","00a00","0a00","0000-0000","00:00","a00","a0","00.00.0000","00/00/0000","00-00-0000","0000-00-00","0000/00/00","0000.00.00","00.00.00","00/00/00","00-00-00","0.00.0000","0/00/0000","0-00-0000"},0)))),NOT(OR(AND(BW201&lt;&gt;"",SUBSTITUTE(BW201,"0","")=""),AND(LEN(BW201)&gt;=4,BW201=REPT(LEFT(BW201),LEN(BW201))),ISNUMBER(MATCH(BW201,{"123","1234","12345","123456","1234567","12345678","0123","01234","012345","98765","987654","54321"},0)),ISNUMBER(MATCH(BX201,{"x","xx","xxx","xxxx","xxxxx","abc","abcd","nil","na","nan","test","tbc","tba","tbd","dummy","sample","example","eg","zz","zzz","none","null","xyz","qwe","asd","id","ref"},0)),AND(LEN(BW201)=8,BX201="",OR(LEFT(BW201,3)="202",ISNUMBER(MATCH(RIGHT(BW201,4),{"2025","2026","2027"},0)))))),OR(AND((LEN(BT201)-LEN(SUBSTITUTE(BT201,"a","")))&gt;=1,(LEN(BN201)-LEN(SUBSTITUTE(BN201,"0","")))&gt;=2,SUMPRODUCT(--ISNUMBER(SEARCH({"a0","a-0","a_0","a/0","a.0","a#0","0a","0-a","0_a","0/a"},BN201)))&gt;0),AND((LEN(BN201)-LEN(SUBSTITUTE(BN201,"a","")))=0,(LEN(BN201)-LEN(SUBSTITUTE(BN201,"0","")))&gt;=5)))),1,0),0)</f>
        <v>0</v>
      </c>
      <c r="CA2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201,"revision",""),"version",""),"jan",""),"feb",""),"mar",""),"apr",""),"may",""),"jun",""),"jul",""),"aug",""),"sep",""),"oct",""),"nov",""),"dec",""),"utc",""),"gmt",""),"myt",""),"bst",""),"rev",""),"ver",""),"b","a"),"c","a"),"d","a"),"e","a"),"f","a"),"g","a"),"h","a"),"i","a"),"j","a"),"k","a"),"l","a"),"m","a"),"n","a"),"o","a"),"p","a"),"q","a"),"r","a"),"s","a"),"t","a"),"u","a"),"v","a"),"w","a"),"x","a"),"y","a"),"z","a")</f>
        <v/>
      </c>
      <c r="CB2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201&amp;""),"a",""),"b",""),"c",""),"d",""),"e",""),"f",""),"g",""),"h",""),"i",""),"j",""),"k",""),"l",""),"m",""),"n",""),"o",""),"p",""),"q",""),"r",""),"s",""),"t",""),"u",""),"v",""),"w",""),"x",""),"y",""),"z",""),"-",""),"_",""),"/",""),".",""),"#",""),"\\",""),":","")," ",""),"(",""),")","")</f>
        <v/>
      </c>
      <c r="CC201" s="0" t="str">
        <f aca="false">" "&amp;TRIM(SUBSTITUTE(SUBSTITUTE(SUBSTITUTE(SUBSTITUTE(SUBSTITUTE(SUBSTITUTE(SUBSTITUTE(SUBSTITUTE(SUBSTITUTE(SUBSTITUTE(SUBSTITUTE(SUBSTITUTE(SUBSTITUTE(SUBSTITUTE(SUBSTITUTE(SUBSTITUTE(SUBSTITUTE(SUBSTITUTE(SUBSTITUTE(SUBSTITUTE(SUBSTITUTE(SUBSTITUTE(SUBSTITUTE(SUBSTITUTE(LOWER(T201&amp;""),CHAR(10)," "),CHAR(13)," "),CHAR(9)," "),CHAR(160)," "),"."," "),","," "),"-"," "),"/"," "),"("," "),")"," "),":"," "),";"," "),"_"," "),"–"," "),"?"," "),"!"," "),"*"," "),"["," "),"]"," "),"'"," "),"#"," "),"+"," "),"&amp;"," "),"\"," "))&amp;" "</f>
        <v>  </v>
      </c>
      <c r="CD201" s="0" t="str">
        <f aca="false">" "&amp;TRIM(SUBSTITUTE(SUBSTITUTE(SUBSTITUTE(SUBSTITUTE(SUBSTITUTE(SUBSTITUTE(SUBSTITUTE(SUBSTITUTE(SUBSTITUTE(SUBSTITUTE(SUBSTITUTE(SUBSTITUTE(SUBSTITUTE(SUBSTITUTE(SUBSTITUTE(SUBSTITUTE(SUBSTITUTE(SUBSTITUTE(SUBSTITUTE(SUBSTITUTE(SUBSTITUTE(SUBSTITUTE(SUBSTITUTE(SUBSTITUTE(LOWER(AE201&amp;""),CHAR(10)," "),CHAR(13)," "),CHAR(9)," "),CHAR(160)," "),"."," "),","," "),"-"," "),"/"," "),"("," "),")"," "),":"," "),";"," "),"_"," "),"–"," "),"?"," "),"!"," "),"*"," "),"["," "),"]"," "),"'"," "),"#"," "),"+"," "),"&amp;"," "),"\"," "))&amp;" "</f>
        <v>  </v>
      </c>
      <c r="CE201" s="68" t="n">
        <f aca="false">IFERROR(IF(AND(LEN(AU201)&gt;0,LEN(AU201)=LEN(AX201),OR(TRIM(MID(SUBSTITUTE(TRIM(CC201)," ",REPT(" ",60)),1,60))="",ISNUMBER(SEARCH(" "&amp;TRIM(MID(SUBSTITUTE(TRIM(CC201)," ",REPT(" ",60)),1,60))&amp;" ",CD201))),OR(TRIM(MID(SUBSTITUTE(TRIM(CC201)," ",REPT(" ",60)),61,60))="",ISNUMBER(SEARCH(" "&amp;TRIM(MID(SUBSTITUTE(TRIM(CC201)," ",REPT(" ",60)),61,60))&amp;" ",CD201))),OR(TRIM(MID(SUBSTITUTE(TRIM(CC201)," ",REPT(" ",60)),121,60))="",ISNUMBER(SEARCH(" "&amp;TRIM(MID(SUBSTITUTE(TRIM(CC201)," ",REPT(" ",60)),121,60))&amp;" ",CD201)))),1,0),0)</f>
        <v>0</v>
      </c>
      <c r="CG201" s="68" t="n">
        <f aca="false">IFERROR(LEN(SUBSTITUTE(BF201," ",""))-SUMPRODUCT((LEN(BF201)-LEN(SUBSTITUTE(BF201," "&amp;L_NAFiller&amp;" "," ")))/(LEN(L_NAFiller)+1)*LEN(L_NAFiller)),0)</f>
        <v>0</v>
      </c>
    </row>
    <row r="202" customFormat="false" ht="39.75" hidden="false" customHeight="true" outlineLevel="0" collapsed="false">
      <c r="A202" s="57" t="s">
        <v>763</v>
      </c>
      <c r="B202" s="57" t="s">
        <v>231</v>
      </c>
      <c r="C202" s="57" t="str">
        <f aca="false">Flights!$F$10</f>
        <v>MH0002</v>
      </c>
      <c r="D202" s="58" t="n">
        <f aca="false">Flights!$D$10</f>
        <v>46310</v>
      </c>
      <c r="E202" s="57" t="str">
        <f aca="false">Flights!$G$10&amp;"-"&amp;Flights!$H$10</f>
        <v>KUL-LHR</v>
      </c>
      <c r="F202" s="57" t="str">
        <f aca="false">Flights!$K$10</f>
        <v>BC</v>
      </c>
      <c r="G202" s="57" t="s">
        <v>459</v>
      </c>
      <c r="H202" s="57" t="s">
        <v>460</v>
      </c>
      <c r="I202" s="57" t="s">
        <v>499</v>
      </c>
      <c r="J202" s="57" t="s">
        <v>537</v>
      </c>
      <c r="K202" s="67" t="s">
        <v>501</v>
      </c>
      <c r="L202" s="67" t="s">
        <v>736</v>
      </c>
      <c r="M202" s="67" t="s">
        <v>451</v>
      </c>
      <c r="N202" s="67" t="s">
        <v>383</v>
      </c>
      <c r="O202" s="67"/>
      <c r="P202" s="57" t="s">
        <v>187</v>
      </c>
      <c r="Q202" s="59" t="n">
        <f aca="false">ROUND((Flights!$AF$10)*1440,0)/1440</f>
        <v>46310.6388888889</v>
      </c>
      <c r="R202" s="59" t="n">
        <f aca="false">Q202+(IF(AND(INDEX(TZ_DSTS,MATCH(P202,TZ_STN,0))&lt;&gt;"",Q202&gt;=INDEX(TZ_DSTS,MATCH(P202,TZ_STN,0)),Q202&lt;INDEX(TZ_DSTE,MATCH(P202,TZ_STN,0))),INDEX(TZ_DST,MATCH(P202,TZ_STN,0)),INDEX(TZ_STD,MATCH(P202,TZ_STN,0))))/24</f>
        <v>46310.9722222222</v>
      </c>
      <c r="S202" s="60"/>
      <c r="T202" s="60"/>
      <c r="U202" s="60"/>
      <c r="V202" s="60"/>
      <c r="W202" s="61"/>
      <c r="X202" s="60"/>
      <c r="Y202" s="60"/>
      <c r="Z202" s="60"/>
      <c r="AA202" s="60"/>
      <c r="AB202" s="60"/>
      <c r="AC202" s="60"/>
      <c r="AD202" s="66"/>
      <c r="AE202" s="60"/>
      <c r="AF202" s="61" t="str">
        <f aca="false">IF(AND(ISNUMBER(X202),ISNUMBER(Y202)),Y202-X202,"")</f>
        <v/>
      </c>
      <c r="AG202" s="62" t="str">
        <f aca="false">IF(ISNUMBER(AD202),AD202-(IF(AND(INDEX(TZ_DSTS,MATCH(P202,TZ_STN,0))&lt;&gt;"",(AD202-INDEX(TZ_STD,MATCH(P202,TZ_STN,0))/24)&gt;=INDEX(TZ_DSTS,MATCH(P202,TZ_STN,0)),(AD202-INDEX(TZ_STD,MATCH(P202,TZ_STN,0))/24)&lt;INDEX(TZ_DSTE,MATCH(P202,TZ_STN,0))),INDEX(TZ_DST,MATCH(P202,TZ_STN,0)),INDEX(TZ_STD,MATCH(P202,TZ_STN,0))))/24,"")</f>
        <v/>
      </c>
      <c r="AH202" s="65" t="str">
        <f aca="false">IFERROR(IF(N202="N/A – rule",IF(OR(TRIM(U202)="",TRIM(U202)="N/A",TRIM(U202)="Not started"),"N/A – RULE","INVALID – this check does not apply to this aircraft: clear the status (or correct the fleet on Flights)"),IF(TRIM(U202)="N/A",IF(AT202=0,"INVALID – N/A not permitted for this check",IF(AND(TRIM(AB202)&lt;&gt;"",TRIM(AB202)&lt;&gt;"Closed"),"INVALID – corrective action still open",IF(AND(NOT(OR(LEN(AZ202)&lt;15,ISNUMBER(MATCH(AZ202,L_Placeholder,0)))),BK202=0,CG202&gt;=8,NOT(OR(LEN(AU202)&lt;2,ISNUMBER(MATCH(AU202,L_Placeholder,0)))),BR202&gt;=3,NOT(OR(LEN(AX202)&lt;2,ISNUMBER(MATCH(AX202,L_Placeholder,0)))),BS202&gt;=3,TRIM(AE202)&lt;&gt;TRIM(T202),AX202&lt;&gt;AU202,CE202=0),"N/A – JUSTIFIED","INVALID – N/A needs a real, settled reason (not 'not applicable' / 'as above' / TBC), a named PIC and a different named verifier"))),IF(OR(TRIM(U202)="Pass",TRIM(U202)="Pass after CA"),IF(NOT(ISNUMBER(AD202)),"INVALID – completion time missing",IF(OR(OR(LEN(AU202)&lt;2,ISNUMBER(MATCH(AU202,L_Placeholder,0))),BR202&lt;3),"INVALID – PIC missing or not a named person (a role such as QA / CSM is not a name)",IF(OR(LEN(AV202)&lt;2,ISNUMBER(MATCH(AV202,L_Placeholder,0))),"INVALID – result / assessment missing",IF(OR(OR(LEN(AW202)&lt;3,ISNUMBER(MATCH(AW202,L_Placeholder,0))),SUMPRODUCT(--ISNUMBER(SEARCH(" "&amp;L_EvidencePhrase&amp;" ",BD202)))&gt;0,BI202=1),"INVALID – evidence missing, placeholder or not yet on file",IF(ISNA(MATCH(TRIM(S202),L_EvidenceType,0)),"INVALID – choose the evidence type from the list (column S)",IF(BL202=0,"INVALID – evidence ID must be the record's own ID only (e.g. SF-2210, IMG_2231, 1045521); a link / file name needs type 'Link / file path'",IF(OR(OR(LEN(AX202)&lt;2,ISNUMBER(MATCH(AX202,L_Placeholder,0))),BS202&lt;3),"INVALID – verifier missing or not a named person (a role such as QA / CSM is not a name)",IF(OR(AX202=AU202,CE202=1,AND(LEN(AU202)&gt;=4,ISNUMBER(SEARCH(AU202,AX202))),AND(LEN(AX202)&gt;=4,ISNUMBER(SEARCH(AX202,AU202)))),"INVALID – verifier must be a different, named person (not the PIC or a role)",IF(BH202=1,"INVALID – result not yet available (awaiting / TBC)",IF(BG202=1,"INVALID – result describes a problem: record Fail, then Pass after CA (or reword if it is not a problem)",IF(BV202=1,"INVALID – wording says not on board: an on-board confirmation needs the item loaded",IF(AND(AQ202=1,OR(OR(LEN(AY202)&lt;3,ISNUMBER(MATCH(AY202,L_Placeholder,0))),BJ202=1,BQ202=0)),"INVALID – batch ID missing, placeholder or not an ID (e.g. PASB-261008-BC-017)",IF(AND(AR202=1,OR(NOT(ISNUMBER(X202)),NOT(ISNUMBER(Y202)))),"INVALID – expected/actual qty missing",IF(AND(AR202=1,OR(X202&lt;=0,Y202&lt;0)),"INVALID – expected qty must be above 0 and actual not negative",IF(AH186="N/A – JUSTIFIED","INVALID – preparation row F06-T12-11 is N/A",IF(AND(AR202=1,ISNUMBER(X186),X202&lt;&gt;X186,TRIM(U202)&lt;&gt;"Pass after CA"),"INVALID – expected qty differs from preparation check F06-T12-11: record the load change as a corrective action (Pass after CA)",IF(BB202&lt;&gt;"",BB202,IF(AND(AS202=1,Documents!$J$10&lt;&gt;"ON FILE"),"INVALID – GLD not on file (Documents sheet)",IF(AND(AS202=2,Documents!$O$10&lt;&gt;"ON FILE"),"INVALID – menu checklist not on file (Documents sheet)",IF(AND(AS202=3,NOT(ISNUMBER(Flights!$AX$10))),"INVALID – enter carrying flight KUL departure (Flights AX)",IF(AND(AS202=3,OR(Flights!$AZ$10&gt;Flights!$AA$10,Flights!$AX$10&lt;Flights!$AA$10-3)),"INVALID – carrying flight (Flights AX) cannot arrive before this leg's STD, or is over 3 days early",IF(AG202&gt;AsOfUTC,"INVALID – completion time is in the future",IF(AND(ISNUMBER(BY202),AG202&lt;BY202),IF(H202="Physical uplift","INVALID – before uplift window (cannot confirm loading)","INVALID – before valid window"),IF(AG202&gt;Flights!$AA$10,"INVALID – completed after departure (cannot establish readiness)",IF(AND(H202="Preparation",AG202&gt;=IF(ISNUMBER(Flights!$BA$10),MIN(Flights!$BA$10,Flights!$AA$10),Flights!$AA$10)),"INVALID – completed after loading / departure (cannot establish readiness)",IF(AND(H202="Physical uplift",AG202&gt;Q202),"INVALID – recorded after the loading flight departed",IF(AG202&gt;Q202,"COMPLETE – LATE","COMPLETE"))))))))))))))))))))))))))),IF(TRIM(U202)="Fail","FAIL – DISCREPANCY",IF(AND(TRIM(U202)&lt;&gt;"",TRIM(U202)&lt;&gt;"Not started",TRIM(U202)&lt;&gt;"In progress"),"INVALID – unrecognised status (use the list)",IF(AsOfUTC&gt;Q202,"OVERDUE",IF(N202="Clarification required","OPEN – CLARIFICATION","OPEN"))))))),"INVALID – error value in an input cell")</f>
        <v>OPEN</v>
      </c>
      <c r="AI202" s="61" t="n">
        <f aca="false">IF(OR(AH202="N/A – RULE",AH202="N/A – JUSTIFIED"),0,1)</f>
        <v>1</v>
      </c>
      <c r="AJ202" s="61" t="n">
        <f aca="false">IF(LEFT(AH202,8)="COMPLETE",1,0)</f>
        <v>0</v>
      </c>
      <c r="AK202" s="61" t="n">
        <f aca="false">IF(AND(AI202=1,AJ202=0,AsOfUTC&gt;Q202),1,0)</f>
        <v>0</v>
      </c>
      <c r="AL202" s="61" t="n">
        <f aca="false">IFERROR(IF(AND(AI202=1,OR(TRIM(U202)="Fail",AND(TRIM(AB202)&lt;&gt;"",TRIM(AB202)&lt;&gt;"Closed"),AND(ISNUMBER(AF202),AF202&lt;&gt;0,TRIM(U202)&lt;&gt;"Pass after CA"))),1,0),1)</f>
        <v>0</v>
      </c>
      <c r="AM202" s="61" t="n">
        <f aca="false">IF(LEFT(AH202,7)="INVALID",1,0)</f>
        <v>0</v>
      </c>
      <c r="AN202" s="61" t="n">
        <f aca="false">IF(AND(N202="Clarification required",AI202=1,AJ202=0),1,0)</f>
        <v>0</v>
      </c>
      <c r="AO202" s="61" t="str">
        <f aca="false">IF(AK202=1,SUM(AK$5:AK202),"")</f>
        <v/>
      </c>
      <c r="AP202" s="61" t="str">
        <f aca="false">IF(AL202=1,SUM(AL$5:AL202),"")</f>
        <v/>
      </c>
      <c r="AQ202" s="61" t="n">
        <v>0</v>
      </c>
      <c r="AR202" s="61" t="n">
        <v>0</v>
      </c>
      <c r="AS202" s="61" t="n">
        <v>0</v>
      </c>
      <c r="AT202" s="61" t="n">
        <v>0</v>
      </c>
      <c r="AU202" s="61" t="str">
        <f aca="false">SUBSTITUTE(SUBSTITUTE(SUBSTITUTE(SUBSTITUTE(SUBSTITUTE(SUBSTITUTE(SUBSTITUTE(SUBSTITUTE(SUBSTITUTE(SUBSTITUTE(SUBSTITUTE(SUBSTITUTE(SUBSTITUTE(SUBSTITUTE(SUBSTITUTE(SUBSTITUTE(LOWER(T202&amp;""),CHAR(10),""),CHAR(13),""),CHAR(9),""),CHAR(160),"")," ",""),".",""),"-",""),"/",""),"?",""),"_",""),",",""),"[",""),"]",""),"(",""),")",""),"*","")</f>
        <v/>
      </c>
      <c r="AV202" s="61" t="str">
        <f aca="false">SUBSTITUTE(SUBSTITUTE(SUBSTITUTE(SUBSTITUTE(SUBSTITUTE(SUBSTITUTE(SUBSTITUTE(SUBSTITUTE(SUBSTITUTE(SUBSTITUTE(SUBSTITUTE(SUBSTITUTE(SUBSTITUTE(SUBSTITUTE(SUBSTITUTE(SUBSTITUTE(LOWER(V202&amp;""),CHAR(10),""),CHAR(13),""),CHAR(9),""),CHAR(160),"")," ",""),".",""),"-",""),"/",""),"?",""),"_",""),",",""),"[",""),"]",""),"(",""),")",""),"*","")</f>
        <v/>
      </c>
      <c r="AW202" s="61" t="str">
        <f aca="false">SUBSTITUTE(SUBSTITUTE(SUBSTITUTE(SUBSTITUTE(SUBSTITUTE(SUBSTITUTE(SUBSTITUTE(SUBSTITUTE(SUBSTITUTE(SUBSTITUTE(SUBSTITUTE(SUBSTITUTE(SUBSTITUTE(SUBSTITUTE(SUBSTITUTE(SUBSTITUTE(LOWER(Z202&amp;""),CHAR(10),""),CHAR(13),""),CHAR(9),""),CHAR(160),"")," ",""),".",""),"-",""),"/",""),"?",""),"_",""),",",""),"[",""),"]",""),"(",""),")",""),"*","")</f>
        <v/>
      </c>
      <c r="AX202" s="61" t="str">
        <f aca="false">SUBSTITUTE(SUBSTITUTE(SUBSTITUTE(SUBSTITUTE(SUBSTITUTE(SUBSTITUTE(SUBSTITUTE(SUBSTITUTE(SUBSTITUTE(SUBSTITUTE(SUBSTITUTE(SUBSTITUTE(SUBSTITUTE(SUBSTITUTE(SUBSTITUTE(SUBSTITUTE(LOWER(AE202&amp;""),CHAR(10),""),CHAR(13),""),CHAR(9),""),CHAR(160),"")," ",""),".",""),"-",""),"/",""),"?",""),"_",""),",",""),"[",""),"]",""),"(",""),")",""),"*","")</f>
        <v/>
      </c>
      <c r="AY202" s="61" t="str">
        <f aca="false">SUBSTITUTE(SUBSTITUTE(SUBSTITUTE(SUBSTITUTE(SUBSTITUTE(SUBSTITUTE(SUBSTITUTE(SUBSTITUTE(SUBSTITUTE(SUBSTITUTE(SUBSTITUTE(SUBSTITUTE(SUBSTITUTE(SUBSTITUTE(SUBSTITUTE(SUBSTITUTE(LOWER(W202&amp;""),CHAR(10),""),CHAR(13),""),CHAR(9),""),CHAR(160),"")," ",""),".",""),"-",""),"/",""),"?",""),"_",""),",",""),"[",""),"]",""),"(",""),")",""),"*","")</f>
        <v/>
      </c>
      <c r="AZ202" s="61" t="str">
        <f aca="false">SUBSTITUTE(SUBSTITUTE(SUBSTITUTE(SUBSTITUTE(SUBSTITUTE(SUBSTITUTE(SUBSTITUTE(SUBSTITUTE(SUBSTITUTE(SUBSTITUTE(SUBSTITUTE(SUBSTITUTE(SUBSTITUTE(SUBSTITUTE(SUBSTITUTE(SUBSTITUTE(LOWER(AC202&amp;""),CHAR(10),""),CHAR(13),""),CHAR(9),""),CHAR(160),"")," ",""),".",""),"-",""),"/",""),"?",""),"_",""),",",""),"[",""),"]",""),"(",""),")",""),"*","")</f>
        <v/>
      </c>
      <c r="BA202" s="61" t="str">
        <f aca="false">SUBSTITUTE(SUBSTITUTE(SUBSTITUTE(SUBSTITUTE(SUBSTITUTE(SUBSTITUTE(SUBSTITUTE(SUBSTITUTE(SUBSTITUTE(SUBSTITUTE(SUBSTITUTE(SUBSTITUTE(SUBSTITUTE(SUBSTITUTE(SUBSTITUTE(SUBSTITUTE(LOWER(AA202&amp;""),CHAR(10),""),CHAR(13),""),CHAR(9),""),CHAR(160),"")," ",""),".",""),"-",""),"/",""),"?",""),"_",""),",",""),"[",""),"]",""),"(",""),")",""),"*","")</f>
        <v/>
      </c>
      <c r="BB202" s="61" t="str">
        <f aca="false">IF(AND(TRIM(U202)="Pass",ISNUMBER(AF202)),IF(AF202&lt;&gt;0,"INVALID – qty variance: use Fail or Pass after CA",""),"")&amp;IF(AND(TRIM(U202)="Pass after CA",ISNUMBER(AF202)),IF(AF202&lt;&gt;0,"INVALID – after the corrective action the actual qty must equal expected (update Actual)",""),"")&amp;IF(AND(TRIM(U202)="Pass",TRIM(AB202)&lt;&gt;"",TRIM(AB202)&lt;&gt;"Closed"),"INVALID – corrective action not closed: use Fail, then Pass after CA","")&amp;IF(AND(LEN(BA202)&gt;=2,ISNA(MATCH(LEFT(BA202,255),L_Placeholder,0)),TRIM(AB202)=""),"INVALID – CA status missing for the recorded corrective action","")&amp;IF(AND(TRIM(U202)="Pass after CA",OR(OR(LEN(BA202)&lt;5,ISNUMBER(MATCH(BA202,L_Placeholder,0))),TRIM(AB202)&lt;&gt;"Closed")),"INVALID – corrective action not recorded/closed","")</f>
        <v/>
      </c>
      <c r="BC202" s="61" t="str">
        <f aca="false">" "&amp;TRIM(SUBSTITUTE(SUBSTITUTE(SUBSTITUTE(SUBSTITUTE(SUBSTITUTE(SUBSTITUTE(SUBSTITUTE(SUBSTITUTE(SUBSTITUTE(SUBSTITUTE(SUBSTITUTE(SUBSTITUTE(SUBSTITUTE(SUBSTITUTE(SUBSTITUTE(SUBSTITUTE(SUBSTITUTE(SUBSTITUTE(SUBSTITUTE(SUBSTITUTE(SUBSTITUTE(SUBSTITUTE(SUBSTITUTE(SUBSTITUTE(LOWER(V202&amp;""),CHAR(10)," "),CHAR(13)," "),CHAR(9)," "),CHAR(160)," "),"."," "),","," "),"-"," "),"/"," "),"("," "),")"," "),":"," "),";"," "),"_"," "),"–"," "),"?"," "),"!"," "),"*"," "),"["," "),"]"," "),"'"," "),"#"," "),"+"," "),"&amp;"," "),"\"," "))&amp;" "</f>
        <v>  </v>
      </c>
      <c r="BD202" s="61" t="str">
        <f aca="false">" "&amp;TRIM(SUBSTITUTE(SUBSTITUTE(SUBSTITUTE(SUBSTITUTE(SUBSTITUTE(SUBSTITUTE(SUBSTITUTE(SUBSTITUTE(SUBSTITUTE(SUBSTITUTE(SUBSTITUTE(SUBSTITUTE(SUBSTITUTE(SUBSTITUTE(SUBSTITUTE(SUBSTITUTE(SUBSTITUTE(SUBSTITUTE(SUBSTITUTE(SUBSTITUTE(SUBSTITUTE(SUBSTITUTE(SUBSTITUTE(SUBSTITUTE(LOWER(Z202&amp;""),CHAR(10)," "),CHAR(13)," "),CHAR(9)," "),CHAR(160)," "),"."," "),","," "),"-"," "),"/"," "),"("," "),")"," "),":"," "),";"," "),"_"," "),"–"," "),"?"," "),"!"," "),"*"," "),"["," "),"]"," "),"'"," "),"#"," "),"+"," "),"&amp;"," "),"\"," "))&amp;" "</f>
        <v>  </v>
      </c>
      <c r="BE202" s="61" t="str">
        <f aca="false">" "&amp;TRIM(SUBSTITUTE(SUBSTITUTE(SUBSTITUTE(SUBSTITUTE(SUBSTITUTE(SUBSTITUTE(SUBSTITUTE(SUBSTITUTE(SUBSTITUTE(SUBSTITUTE(SUBSTITUTE(SUBSTITUTE(SUBSTITUTE(SUBSTITUTE(SUBSTITUTE(SUBSTITUTE(SUBSTITUTE(SUBSTITUTE(SUBSTITUTE(SUBSTITUTE(SUBSTITUTE(SUBSTITUTE(SUBSTITUTE(SUBSTITUTE(LOWER(W202&amp;""),CHAR(10)," "),CHAR(13)," "),CHAR(9)," "),CHAR(160)," "),"."," "),","," "),"-"," "),"/"," "),"("," "),")"," "),":"," "),";"," "),"_"," "),"–"," "),"?"," "),"!"," "),"*"," "),"["," "),"]"," "),"'"," "),"#"," "),"+"," "),"&amp;"," "),"\"," "))&amp;" "</f>
        <v>  </v>
      </c>
      <c r="BF202" s="61" t="str">
        <f aca="false">" "&amp;TRIM(SUBSTITUTE(SUBSTITUTE(SUBSTITUTE(SUBSTITUTE(SUBSTITUTE(SUBSTITUTE(SUBSTITUTE(SUBSTITUTE(SUBSTITUTE(SUBSTITUTE(SUBSTITUTE(SUBSTITUTE(SUBSTITUTE(SUBSTITUTE(SUBSTITUTE(SUBSTITUTE(SUBSTITUTE(SUBSTITUTE(SUBSTITUTE(SUBSTITUTE(SUBSTITUTE(SUBSTITUTE(SUBSTITUTE(SUBSTITUTE(LOWER(AC202&amp;""),CHAR(10)," "),CHAR(13)," "),CHAR(9)," "),CHAR(160)," "),"."," "),","," "),"-"," "),"/"," "),"("," "),")"," "),":"," "),";"," "),"_"," "),"–"," "),"?"," "),"!"," "),"*"," "),"["," "),"]"," "),"'"," "),"#"," "),"+"," "),"&amp;"," "),"\"," "))&amp;" "</f>
        <v>  </v>
      </c>
      <c r="BG202" s="61" t="n">
        <f aca="false">IFERROR(IF(AND(TRIM(U202)="Pass",SUMPRODUCT((LEN(BC202)-LEN(SUBSTITUTE(BC202," "&amp;L_ResultBad&amp;" "," ")))/(LEN(L_ResultBad)+1))&gt;SUMPRODUCT((LEN(BC202)-LEN(SUBSTITUTE(BC202," "&amp;L_NegPhrase&amp;" "," ")))/(LEN(L_NegPhrase)+1))),1,0),0)</f>
        <v>0</v>
      </c>
      <c r="BH202" s="61" t="n">
        <f aca="false">IFERROR(IF(SUMPRODUCT((LEN(BC202)-LEN(SUBSTITUTE(BC202," "&amp;L_Pending&amp;" "," ")))/(LEN(L_Pending)+1))&gt;SUMPRODUCT((LEN(BC202)-LEN(SUBSTITUTE(BC202," "&amp;L_PendNeg&amp;" "," ")))/(LEN(L_PendNeg)+1)),1,0),1)</f>
        <v>0</v>
      </c>
      <c r="BI202" s="61" t="n">
        <f aca="false">IFERROR(IF(SUMPRODUCT((LEN(BD202)-LEN(SUBSTITUTE(BD202," "&amp;L_PendStrict&amp;" "," ")))/(LEN(L_PendStrict)+1))&gt;SUMPRODUCT((LEN(BD202)-LEN(SUBSTITUTE(BD202," "&amp;L_PendNeg&amp;" "," ")))/(LEN(L_PendNeg)+1)),1,0),1)</f>
        <v>0</v>
      </c>
      <c r="BJ202" s="61" t="n">
        <f aca="false">IFERROR(IF(SUMPRODUCT((LEN(BE202)-LEN(SUBSTITUTE(BE202," "&amp;L_Pending&amp;" "," ")))/(LEN(L_Pending)+1))&gt;SUMPRODUCT((LEN(BE202)-LEN(SUBSTITUTE(BE202," "&amp;L_PendNeg&amp;" "," ")))/(LEN(L_PendNeg)+1)),1,0),1)</f>
        <v>0</v>
      </c>
      <c r="BK202" s="61" t="n">
        <f aca="false">IFERROR(IF(SUMPRODUCT((LEN(BF202)-LEN(SUBSTITUTE(BF202," "&amp;L_PendStrict&amp;" "," ")))/(LEN(L_PendStrict)+1))&gt;SUMPRODUCT((LEN(BF202)-LEN(SUBSTITUTE(BF202," "&amp;L_PendNeg&amp;" "," ")))/(LEN(L_PendNeg)+1)),1,0),1)</f>
        <v>0</v>
      </c>
      <c r="BL202" s="61" t="n">
        <f aca="false">IF(ISNA(MATCH(TRIM(S202),L_EvidenceType,0)),0,BZ202)</f>
        <v>0</v>
      </c>
      <c r="BM202" s="61" t="str">
        <f aca="false">SUBSTITUTE(SUBSTITUTE(SUBSTITUTE(SUBSTITUTE(SUBSTITUTE(SUBSTITUTE(SUBSTITUTE(SUBSTITUTE(SUBSTITUTE(LOWER(Z202&amp;""),"1","0"),"2","0"),"3","0"),"4","0"),"5","0"),"6","0"),"7","0"),"8","0"),"9","0")</f>
        <v/>
      </c>
      <c r="BN202" s="61" t="str">
        <f aca="false">SUBSTITUTE(SUBSTITUTE(SUBSTITUTE(SUBSTITUTE(SUBSTITUTE(SUBSTITUTE(SUBSTITUTE(SUBSTITUTE(SUBSTITUTE(SUBSTITUTE(SUBSTITUTE(SUBSTITUTE(SUBSTITUTE(SUBSTITUTE(SUBSTITUTE(SUBSTITUTE(SUBSTITUTE(SUBSTITUTE(SUBSTITUTE(SUBSTITUTE(SUBSTITUTE(SUBSTITUTE(SUBSTITUTE(SUBSTITUTE(SUBSTITUTE(BM202,"b","a"),"c","a"),"d","a"),"e","a"),"f","a"),"g","a"),"h","a"),"i","a"),"j","a"),"k","a"),"l","a"),"m","a"),"n","a"),"o","a"),"p","a"),"q","a"),"r","a"),"s","a"),"t","a"),"u","a"),"v","a"),"w","a"),"x","a"),"y","a"),"z","a")</f>
        <v/>
      </c>
      <c r="BO202" s="61" t="str">
        <f aca="false">SUBSTITUTE(SUBSTITUTE(SUBSTITUTE(SUBSTITUTE(SUBSTITUTE(SUBSTITUTE(SUBSTITUTE(SUBSTITUTE(SUBSTITUTE(LOWER(W202&amp;""),"1","0"),"2","0"),"3","0"),"4","0"),"5","0"),"6","0"),"7","0"),"8","0"),"9","0")</f>
        <v/>
      </c>
      <c r="BP202" s="61" t="str">
        <f aca="false">SUBSTITUTE(SUBSTITUTE(SUBSTITUTE(SUBSTITUTE(SUBSTITUTE(SUBSTITUTE(SUBSTITUTE(SUBSTITUTE(SUBSTITUTE(SUBSTITUTE(SUBSTITUTE(SUBSTITUTE(SUBSTITUTE(SUBSTITUTE(SUBSTITUTE(SUBSTITUTE(SUBSTITUTE(SUBSTITUTE(SUBSTITUTE(SUBSTITUTE(SUBSTITUTE(SUBSTITUTE(SUBSTITUTE(SUBSTITUTE(SUBSTITUTE(BO202,"b","a"),"c","a"),"d","a"),"e","a"),"f","a"),"g","a"),"h","a"),"i","a"),"j","a"),"k","a"),"l","a"),"m","a"),"n","a"),"o","a"),"p","a"),"q","a"),"r","a"),"s","a"),"t","a"),"u","a"),"v","a"),"w","a"),"x","a"),"y","a"),"z","a")</f>
        <v/>
      </c>
      <c r="BQ202" s="61" t="n">
        <f aca="false">IFERROR(IF(AND(ISERROR(SEARCH(" mh"," "&amp;LOWER(W202))),ISNA(MATCH(LEFT(TRIM(BP202),255),{"0000a","000a","00a","0000aa","000aa","00aa","0aa","0000aaa","000aaa","00a00","0a00","0000-0000","00:00","a00","a0","00.00.0000","00/00/0000","00-00-0000","0000-00-00","0000/00/00","0000.00.00","00.00.00","00/00/00","00-00-00","0.00.0000","0/00/0000","0-00-0000"},0)),ISNA(MATCH(LEFT(TRIM(CA202),255),{"0000a","000a","00a","0000aa","000aa","00aa","0aa","0000aaa","000aaa","00a00","0a00","0000-0000","00:00","a00","a0","00.00.0000","00/00/0000","00-00-0000","0000-00-00","0000/00/00","0000.00.00","00.00.00","00/00/00","00-00-00","0.00.0000","0/00/0000","0-00-0000"},0)),LEN(CB202)&gt;=3,NOT(OR(SUBSTITUTE(CB202,"0","")="",AND(LEN(CB202)&gt;=4,CB202=REPT(LEFT(CB202),LEN(CB202))),ISNUMBER(MATCH(CB202,{"123","1234","12345","123456","1234567","12345678","0123","01234","012345","98765","987654","54321"},0)),AND(LEN(CB202)=8,LEFT(CB202,3)="202"))),OR(AND((LEN(CA202)-LEN(SUBSTITUTE(CA202,"a","")))&gt;=1,SUMPRODUCT(--ISNUMBER(SEARCH({"a0","a-0","a_0","a/0","a.0","a#0","0a","0-a","0_a","0/a"},BP202)))&gt;0),ISNUMBER(SEARCH("000000",BP202)))),1,0),0)</f>
        <v>0</v>
      </c>
      <c r="BR202" s="61" t="n">
        <f aca="false">IFERROR(LEN(SUBSTITUTE(CC202," ",""))-SUMPRODUCT((LEN(CC202)-LEN(SUBSTITUTE(CC202," "&amp;L_Role&amp;" "," ")))/(LEN(L_Role)+1)*LEN(L_Role)),0)</f>
        <v>0</v>
      </c>
      <c r="BS202" s="61" t="n">
        <f aca="false">IFERROR(LEN(SUBSTITUTE(CD202," ",""))-SUMPRODUCT((LEN(CD202)-LEN(SUBSTITUTE(CD202," "&amp;L_Role&amp;" "," ")))/(LEN(L_Role)+1)*LEN(L_Role)),0)</f>
        <v>0</v>
      </c>
      <c r="BT2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202,"revision",""),"version",""),"jan",""),"feb",""),"mar",""),"apr",""),"may",""),"jun",""),"jul",""),"aug",""),"sep",""),"oct",""),"nov",""),"dec",""),"utc",""),"gmt",""),"myt",""),"bst",""),"rev",""),"ver",""),"b","a"),"c","a"),"d","a"),"e","a"),"f","a"),"g","a"),"h","a"),"i","a"),"j","a"),"k","a"),"l","a"),"m","a"),"n","a"),"o","a"),"p","a"),"q","a"),"r","a"),"s","a"),"t","a"),"u","a"),"v","a"),"w","a"),"x","a"),"y","a"),"z","a")</f>
        <v/>
      </c>
      <c r="BU202" s="61" t="str">
        <f aca="false">SUBSTITUTE(SUBSTITUTE(SUBSTITUTE(SUBSTITUTE(SUBSTITUTE(SUBSTITUTE(SUBSTITUTE(SUBSTITUTE(SUBSTITUTE(SUBSTITUTE(LEFT(BM202,FIND("0",BM202&amp;"0")-1),"-",""),"_",""),"/",""),".",""),"#",""),"\\",""),":","")," ",""),"(",""),")","")</f>
        <v/>
      </c>
      <c r="BV202" s="61" t="n">
        <f aca="false">IFERROR(IF(OR(SUMPRODUCT((LEN(BC202)-LEN(SUBSTITUTE(BC202," "&amp;L_NotLoaded&amp;" "," ")))/(LEN(L_NotLoaded)+1))&gt;SUMPRODUCT((LEN(BC202)-LEN(SUBSTITUTE(BC202," "&amp;L_NotLoadedNeg&amp;" "," ")))/(LEN(L_NotLoadedNeg)+1)),SUMPRODUCT((LEN(BD202)-LEN(SUBSTITUTE(BD202," "&amp;L_NotLoaded&amp;" "," ")))/(LEN(L_NotLoaded)+1))&gt;SUMPRODUCT((LEN(BD202)-LEN(SUBSTITUTE(BD202," "&amp;L_NotLoadedNeg&amp;" "," ")))/(LEN(L_NotLoadedNeg)+1))),1,0),0)</f>
        <v>0</v>
      </c>
      <c r="BW2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202&amp;""),"a",""),"b",""),"c",""),"d",""),"e",""),"f",""),"g",""),"h",""),"i",""),"j",""),"k",""),"l",""),"m",""),"n",""),"o",""),"p",""),"q",""),"r",""),"s",""),"t",""),"u",""),"v",""),"w",""),"x",""),"y",""),"z",""),"-",""),"_",""),"/",""),".",""),"#",""),"\\",""),":","")," ",""),"(",""),")","")</f>
        <v/>
      </c>
      <c r="BX202" s="61" t="str">
        <f aca="false">SUBSTITUTE(SUBSTITUTE(SUBSTITUTE(SUBSTITUTE(SUBSTITUTE(SUBSTITUTE(SUBSTITUTE(SUBSTITUTE(SUBSTITUTE(SUBSTITUTE(SUBSTITUTE(BM202,"0",""),"-",""),"_",""),"/",""),".",""),"#",""),"\\",""),":","")," ",""),"(",""),")","")</f>
        <v/>
      </c>
      <c r="BY202" s="62" t="n">
        <f aca="false">IF(ISNUMBER(Flights!$AZ$10),MAX(Q202-UpliftWindowH/24,Flights!$AZ$10),Q202-UpliftWindowH/24)</f>
        <v>46310.3888888889</v>
      </c>
      <c r="BZ202" s="61" t="n">
        <f aca="false">IFERROR(IF(IF(TRIM(S202)="Link / file path",AND(LEN(TRIM(Z202))&gt;=5,SUMPRODUCT(--ISNUMBER(SEARCH({"http","www.","\\",":\",".pdf",".jpg",".jpeg",".png",".heic",".xls",".doc",".msg",".eml",".ppt",".txt",".zip"},Z202)))&gt;0),AND(ISERROR(FIND(" ",TRIM(Z202))),NOT(OR(SUMPRODUCT(--ISNUMBER(FIND({",",";","&amp;","+"},Z202)))&gt;0,SUMPRODUCT(--ISNUMBER(SEARCH({"0/aa","0\\aa"},BN202)))&gt;0)),NOT(SUMPRODUCT(--ISNUMBER(SEARCH({"http","www.","\\",":\",".pdf",".jpg",".jpeg",".png",".heic",".xls",".doc",".msg",".eml",".ppt",".txt",".zip"},Z202)))&gt;0),NOT(LOWER(TRIM(Z202))=LOWER(Flights!$F$10)),ISNA(MATCH(BU202,{"mh","rev","revision","ver","version","v","r","a","b","seat","tray","row","gate","bay","stand","page","pg","item","line","no","cart","galley","flight","flt","table","box","bag","oven","etd","eta","std","sta","atd","ata","qty","pax","x","time","tel","ph","mob","day","wk","week","utc","gmt","myt","lt"},0)),NOT(OR(ISNUMBER(MATCH(LEFT(BN202,255),{"0000a","000a","00a","0000aa","000aa","00aa","0aa","0000aaa","000aaa","00a00","0a00","0000-0000","00:00","a00","a0","00.00.0000","00/00/0000","00-00-0000","0000-00-00","0000/00/00","0000.00.00","00.00.00","00/00/00","00-00-00","0.00.0000","0/00/0000","0-00-0000"},0)),ISNUMBER(MATCH(LEFT(BT202,255),{"0000a","000a","00a","0000aa","000aa","00aa","0aa","0000aaa","000aaa","00a00","0a00","0000-0000","00:00","a00","a0","00.00.0000","00/00/0000","00-00-0000","0000-00-00","0000/00/00","0000.00.00","00.00.00","00/00/00","00-00-00","0.00.0000","0/00/0000","0-00-0000"},0)))),NOT(OR(AND(BW202&lt;&gt;"",SUBSTITUTE(BW202,"0","")=""),AND(LEN(BW202)&gt;=4,BW202=REPT(LEFT(BW202),LEN(BW202))),ISNUMBER(MATCH(BW202,{"123","1234","12345","123456","1234567","12345678","0123","01234","012345","98765","987654","54321"},0)),ISNUMBER(MATCH(BX202,{"x","xx","xxx","xxxx","xxxxx","abc","abcd","nil","na","nan","test","tbc","tba","tbd","dummy","sample","example","eg","zz","zzz","none","null","xyz","qwe","asd","id","ref"},0)),AND(LEN(BW202)=8,BX202="",OR(LEFT(BW202,3)="202",ISNUMBER(MATCH(RIGHT(BW202,4),{"2025","2026","2027"},0)))))),OR(AND((LEN(BT202)-LEN(SUBSTITUTE(BT202,"a","")))&gt;=1,(LEN(BN202)-LEN(SUBSTITUTE(BN202,"0","")))&gt;=2,SUMPRODUCT(--ISNUMBER(SEARCH({"a0","a-0","a_0","a/0","a.0","a#0","0a","0-a","0_a","0/a"},BN202)))&gt;0),AND((LEN(BN202)-LEN(SUBSTITUTE(BN202,"a","")))=0,(LEN(BN202)-LEN(SUBSTITUTE(BN202,"0","")))&gt;=5)))),1,0),0)</f>
        <v>0</v>
      </c>
      <c r="CA2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202,"revision",""),"version",""),"jan",""),"feb",""),"mar",""),"apr",""),"may",""),"jun",""),"jul",""),"aug",""),"sep",""),"oct",""),"nov",""),"dec",""),"utc",""),"gmt",""),"myt",""),"bst",""),"rev",""),"ver",""),"b","a"),"c","a"),"d","a"),"e","a"),"f","a"),"g","a"),"h","a"),"i","a"),"j","a"),"k","a"),"l","a"),"m","a"),"n","a"),"o","a"),"p","a"),"q","a"),"r","a"),"s","a"),"t","a"),"u","a"),"v","a"),"w","a"),"x","a"),"y","a"),"z","a")</f>
        <v/>
      </c>
      <c r="CB2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202&amp;""),"a",""),"b",""),"c",""),"d",""),"e",""),"f",""),"g",""),"h",""),"i",""),"j",""),"k",""),"l",""),"m",""),"n",""),"o",""),"p",""),"q",""),"r",""),"s",""),"t",""),"u",""),"v",""),"w",""),"x",""),"y",""),"z",""),"-",""),"_",""),"/",""),".",""),"#",""),"\\",""),":","")," ",""),"(",""),")","")</f>
        <v/>
      </c>
      <c r="CC202" s="0" t="str">
        <f aca="false">" "&amp;TRIM(SUBSTITUTE(SUBSTITUTE(SUBSTITUTE(SUBSTITUTE(SUBSTITUTE(SUBSTITUTE(SUBSTITUTE(SUBSTITUTE(SUBSTITUTE(SUBSTITUTE(SUBSTITUTE(SUBSTITUTE(SUBSTITUTE(SUBSTITUTE(SUBSTITUTE(SUBSTITUTE(SUBSTITUTE(SUBSTITUTE(SUBSTITUTE(SUBSTITUTE(SUBSTITUTE(SUBSTITUTE(SUBSTITUTE(SUBSTITUTE(LOWER(T202&amp;""),CHAR(10)," "),CHAR(13)," "),CHAR(9)," "),CHAR(160)," "),"."," "),","," "),"-"," "),"/"," "),"("," "),")"," "),":"," "),";"," "),"_"," "),"–"," "),"?"," "),"!"," "),"*"," "),"["," "),"]"," "),"'"," "),"#"," "),"+"," "),"&amp;"," "),"\"," "))&amp;" "</f>
        <v>  </v>
      </c>
      <c r="CD202" s="0" t="str">
        <f aca="false">" "&amp;TRIM(SUBSTITUTE(SUBSTITUTE(SUBSTITUTE(SUBSTITUTE(SUBSTITUTE(SUBSTITUTE(SUBSTITUTE(SUBSTITUTE(SUBSTITUTE(SUBSTITUTE(SUBSTITUTE(SUBSTITUTE(SUBSTITUTE(SUBSTITUTE(SUBSTITUTE(SUBSTITUTE(SUBSTITUTE(SUBSTITUTE(SUBSTITUTE(SUBSTITUTE(SUBSTITUTE(SUBSTITUTE(SUBSTITUTE(SUBSTITUTE(LOWER(AE202&amp;""),CHAR(10)," "),CHAR(13)," "),CHAR(9)," "),CHAR(160)," "),"."," "),","," "),"-"," "),"/"," "),"("," "),")"," "),":"," "),";"," "),"_"," "),"–"," "),"?"," "),"!"," "),"*"," "),"["," "),"]"," "),"'"," "),"#"," "),"+"," "),"&amp;"," "),"\"," "))&amp;" "</f>
        <v>  </v>
      </c>
      <c r="CE202" s="68" t="n">
        <f aca="false">IFERROR(IF(AND(LEN(AU202)&gt;0,LEN(AU202)=LEN(AX202),OR(TRIM(MID(SUBSTITUTE(TRIM(CC202)," ",REPT(" ",60)),1,60))="",ISNUMBER(SEARCH(" "&amp;TRIM(MID(SUBSTITUTE(TRIM(CC202)," ",REPT(" ",60)),1,60))&amp;" ",CD202))),OR(TRIM(MID(SUBSTITUTE(TRIM(CC202)," ",REPT(" ",60)),61,60))="",ISNUMBER(SEARCH(" "&amp;TRIM(MID(SUBSTITUTE(TRIM(CC202)," ",REPT(" ",60)),61,60))&amp;" ",CD202))),OR(TRIM(MID(SUBSTITUTE(TRIM(CC202)," ",REPT(" ",60)),121,60))="",ISNUMBER(SEARCH(" "&amp;TRIM(MID(SUBSTITUTE(TRIM(CC202)," ",REPT(" ",60)),121,60))&amp;" ",CD202)))),1,0),0)</f>
        <v>0</v>
      </c>
      <c r="CG202" s="68" t="n">
        <f aca="false">IFERROR(LEN(SUBSTITUTE(BF202," ",""))-SUMPRODUCT((LEN(BF202)-LEN(SUBSTITUTE(BF202," "&amp;L_NAFiller&amp;" "," ")))/(LEN(L_NAFiller)+1)*LEN(L_NAFiller)),0)</f>
        <v>0</v>
      </c>
    </row>
    <row r="203" customFormat="false" ht="39.75" hidden="false" customHeight="true" outlineLevel="0" collapsed="false">
      <c r="A203" s="57" t="s">
        <v>764</v>
      </c>
      <c r="B203" s="57" t="s">
        <v>231</v>
      </c>
      <c r="C203" s="57" t="str">
        <f aca="false">Flights!$F$10</f>
        <v>MH0002</v>
      </c>
      <c r="D203" s="58" t="n">
        <f aca="false">Flights!$D$10</f>
        <v>46310</v>
      </c>
      <c r="E203" s="57" t="str">
        <f aca="false">Flights!$G$10&amp;"-"&amp;Flights!$H$10</f>
        <v>KUL-LHR</v>
      </c>
      <c r="F203" s="57" t="str">
        <f aca="false">Flights!$K$10</f>
        <v>BC</v>
      </c>
      <c r="G203" s="57" t="s">
        <v>459</v>
      </c>
      <c r="H203" s="57" t="s">
        <v>460</v>
      </c>
      <c r="I203" s="57" t="s">
        <v>499</v>
      </c>
      <c r="J203" s="57" t="s">
        <v>539</v>
      </c>
      <c r="K203" s="67" t="s">
        <v>501</v>
      </c>
      <c r="L203" s="67" t="s">
        <v>738</v>
      </c>
      <c r="M203" s="67" t="s">
        <v>451</v>
      </c>
      <c r="N203" s="67" t="s">
        <v>383</v>
      </c>
      <c r="O203" s="67"/>
      <c r="P203" s="57" t="s">
        <v>187</v>
      </c>
      <c r="Q203" s="59" t="n">
        <f aca="false">ROUND((Flights!$AF$10)*1440,0)/1440</f>
        <v>46310.6388888889</v>
      </c>
      <c r="R203" s="59" t="n">
        <f aca="false">Q203+(IF(AND(INDEX(TZ_DSTS,MATCH(P203,TZ_STN,0))&lt;&gt;"",Q203&gt;=INDEX(TZ_DSTS,MATCH(P203,TZ_STN,0)),Q203&lt;INDEX(TZ_DSTE,MATCH(P203,TZ_STN,0))),INDEX(TZ_DST,MATCH(P203,TZ_STN,0)),INDEX(TZ_STD,MATCH(P203,TZ_STN,0))))/24</f>
        <v>46310.9722222222</v>
      </c>
      <c r="S203" s="60"/>
      <c r="T203" s="60"/>
      <c r="U203" s="60"/>
      <c r="V203" s="60"/>
      <c r="W203" s="61"/>
      <c r="X203" s="60"/>
      <c r="Y203" s="60"/>
      <c r="Z203" s="60"/>
      <c r="AA203" s="60"/>
      <c r="AB203" s="60"/>
      <c r="AC203" s="60"/>
      <c r="AD203" s="66"/>
      <c r="AE203" s="60"/>
      <c r="AF203" s="61" t="str">
        <f aca="false">IF(AND(ISNUMBER(X203),ISNUMBER(Y203)),Y203-X203,"")</f>
        <v/>
      </c>
      <c r="AG203" s="62" t="str">
        <f aca="false">IF(ISNUMBER(AD203),AD203-(IF(AND(INDEX(TZ_DSTS,MATCH(P203,TZ_STN,0))&lt;&gt;"",(AD203-INDEX(TZ_STD,MATCH(P203,TZ_STN,0))/24)&gt;=INDEX(TZ_DSTS,MATCH(P203,TZ_STN,0)),(AD203-INDEX(TZ_STD,MATCH(P203,TZ_STN,0))/24)&lt;INDEX(TZ_DSTE,MATCH(P203,TZ_STN,0))),INDEX(TZ_DST,MATCH(P203,TZ_STN,0)),INDEX(TZ_STD,MATCH(P203,TZ_STN,0))))/24,"")</f>
        <v/>
      </c>
      <c r="AH203" s="65" t="str">
        <f aca="false">IFERROR(IF(N203="N/A – rule",IF(OR(TRIM(U203)="",TRIM(U203)="N/A",TRIM(U203)="Not started"),"N/A – RULE","INVALID – this check does not apply to this aircraft: clear the status (or correct the fleet on Flights)"),IF(TRIM(U203)="N/A",IF(AT203=0,"INVALID – N/A not permitted for this check",IF(AND(TRIM(AB203)&lt;&gt;"",TRIM(AB203)&lt;&gt;"Closed"),"INVALID – corrective action still open",IF(AND(NOT(OR(LEN(AZ203)&lt;15,ISNUMBER(MATCH(AZ203,L_Placeholder,0)))),BK203=0,CG203&gt;=8,NOT(OR(LEN(AU203)&lt;2,ISNUMBER(MATCH(AU203,L_Placeholder,0)))),BR203&gt;=3,NOT(OR(LEN(AX203)&lt;2,ISNUMBER(MATCH(AX203,L_Placeholder,0)))),BS203&gt;=3,TRIM(AE203)&lt;&gt;TRIM(T203),AX203&lt;&gt;AU203,CE203=0),"N/A – JUSTIFIED","INVALID – N/A needs a real, settled reason (not 'not applicable' / 'as above' / TBC), a named PIC and a different named verifier"))),IF(OR(TRIM(U203)="Pass",TRIM(U203)="Pass after CA"),IF(NOT(ISNUMBER(AD203)),"INVALID – completion time missing",IF(OR(OR(LEN(AU203)&lt;2,ISNUMBER(MATCH(AU203,L_Placeholder,0))),BR203&lt;3),"INVALID – PIC missing or not a named person (a role such as QA / CSM is not a name)",IF(OR(LEN(AV203)&lt;2,ISNUMBER(MATCH(AV203,L_Placeholder,0))),"INVALID – result / assessment missing",IF(OR(OR(LEN(AW203)&lt;3,ISNUMBER(MATCH(AW203,L_Placeholder,0))),SUMPRODUCT(--ISNUMBER(SEARCH(" "&amp;L_EvidencePhrase&amp;" ",BD203)))&gt;0,BI203=1),"INVALID – evidence missing, placeholder or not yet on file",IF(ISNA(MATCH(TRIM(S203),L_EvidenceType,0)),"INVALID – choose the evidence type from the list (column S)",IF(BL203=0,"INVALID – evidence ID must be the record's own ID only (e.g. SF-2210, IMG_2231, 1045521); a link / file name needs type 'Link / file path'",IF(OR(OR(LEN(AX203)&lt;2,ISNUMBER(MATCH(AX203,L_Placeholder,0))),BS203&lt;3),"INVALID – verifier missing or not a named person (a role such as QA / CSM is not a name)",IF(OR(AX203=AU203,CE203=1,AND(LEN(AU203)&gt;=4,ISNUMBER(SEARCH(AU203,AX203))),AND(LEN(AX203)&gt;=4,ISNUMBER(SEARCH(AX203,AU203)))),"INVALID – verifier must be a different, named person (not the PIC or a role)",IF(BH203=1,"INVALID – result not yet available (awaiting / TBC)",IF(BG203=1,"INVALID – result describes a problem: record Fail, then Pass after CA (or reword if it is not a problem)",IF(BV203=1,"INVALID – wording says not on board: an on-board confirmation needs the item loaded",IF(AND(AQ203=1,OR(OR(LEN(AY203)&lt;3,ISNUMBER(MATCH(AY203,L_Placeholder,0))),BJ203=1,BQ203=0)),"INVALID – batch ID missing, placeholder or not an ID (e.g. PASB-261008-BC-017)",IF(AND(AR203=1,OR(NOT(ISNUMBER(X203)),NOT(ISNUMBER(Y203)))),"INVALID – expected/actual qty missing",IF(AND(AR203=1,OR(X203&lt;=0,Y203&lt;0)),"INVALID – expected qty must be above 0 and actual not negative",IF(AH187="N/A – JUSTIFIED","INVALID – preparation row F06-T12-12 is N/A",IF(AND(AR203=1,ISNUMBER(X187),X203&lt;&gt;X187,TRIM(U203)&lt;&gt;"Pass after CA"),"INVALID – expected qty differs from preparation check F06-T12-12: record the load change as a corrective action (Pass after CA)",IF(BB203&lt;&gt;"",BB203,IF(AND(AS203=1,Documents!$J$10&lt;&gt;"ON FILE"),"INVALID – GLD not on file (Documents sheet)",IF(AND(AS203=2,Documents!$O$10&lt;&gt;"ON FILE"),"INVALID – menu checklist not on file (Documents sheet)",IF(AND(AS203=3,NOT(ISNUMBER(Flights!$AX$10))),"INVALID – enter carrying flight KUL departure (Flights AX)",IF(AND(AS203=3,OR(Flights!$AZ$10&gt;Flights!$AA$10,Flights!$AX$10&lt;Flights!$AA$10-3)),"INVALID – carrying flight (Flights AX) cannot arrive before this leg's STD, or is over 3 days early",IF(AG203&gt;AsOfUTC,"INVALID – completion time is in the future",IF(AND(ISNUMBER(BY203),AG203&lt;BY203),IF(H203="Physical uplift","INVALID – before uplift window (cannot confirm loading)","INVALID – before valid window"),IF(AG203&gt;Flights!$AA$10,"INVALID – completed after departure (cannot establish readiness)",IF(AND(H203="Preparation",AG203&gt;=IF(ISNUMBER(Flights!$BA$10),MIN(Flights!$BA$10,Flights!$AA$10),Flights!$AA$10)),"INVALID – completed after loading / departure (cannot establish readiness)",IF(AND(H203="Physical uplift",AG203&gt;Q203),"INVALID – recorded after the loading flight departed",IF(AG203&gt;Q203,"COMPLETE – LATE","COMPLETE"))))))))))))))))))))))))))),IF(TRIM(U203)="Fail","FAIL – DISCREPANCY",IF(AND(TRIM(U203)&lt;&gt;"",TRIM(U203)&lt;&gt;"Not started",TRIM(U203)&lt;&gt;"In progress"),"INVALID – unrecognised status (use the list)",IF(AsOfUTC&gt;Q203,"OVERDUE",IF(N203="Clarification required","OPEN – CLARIFICATION","OPEN"))))))),"INVALID – error value in an input cell")</f>
        <v>OPEN</v>
      </c>
      <c r="AI203" s="61" t="n">
        <f aca="false">IF(OR(AH203="N/A – RULE",AH203="N/A – JUSTIFIED"),0,1)</f>
        <v>1</v>
      </c>
      <c r="AJ203" s="61" t="n">
        <f aca="false">IF(LEFT(AH203,8)="COMPLETE",1,0)</f>
        <v>0</v>
      </c>
      <c r="AK203" s="61" t="n">
        <f aca="false">IF(AND(AI203=1,AJ203=0,AsOfUTC&gt;Q203),1,0)</f>
        <v>0</v>
      </c>
      <c r="AL203" s="61" t="n">
        <f aca="false">IFERROR(IF(AND(AI203=1,OR(TRIM(U203)="Fail",AND(TRIM(AB203)&lt;&gt;"",TRIM(AB203)&lt;&gt;"Closed"),AND(ISNUMBER(AF203),AF203&lt;&gt;0,TRIM(U203)&lt;&gt;"Pass after CA"))),1,0),1)</f>
        <v>0</v>
      </c>
      <c r="AM203" s="61" t="n">
        <f aca="false">IF(LEFT(AH203,7)="INVALID",1,0)</f>
        <v>0</v>
      </c>
      <c r="AN203" s="61" t="n">
        <f aca="false">IF(AND(N203="Clarification required",AI203=1,AJ203=0),1,0)</f>
        <v>0</v>
      </c>
      <c r="AO203" s="61" t="str">
        <f aca="false">IF(AK203=1,SUM(AK$5:AK203),"")</f>
        <v/>
      </c>
      <c r="AP203" s="61" t="str">
        <f aca="false">IF(AL203=1,SUM(AL$5:AL203),"")</f>
        <v/>
      </c>
      <c r="AQ203" s="61" t="n">
        <v>0</v>
      </c>
      <c r="AR203" s="61" t="n">
        <v>0</v>
      </c>
      <c r="AS203" s="61" t="n">
        <v>0</v>
      </c>
      <c r="AT203" s="61" t="n">
        <v>0</v>
      </c>
      <c r="AU203" s="61" t="str">
        <f aca="false">SUBSTITUTE(SUBSTITUTE(SUBSTITUTE(SUBSTITUTE(SUBSTITUTE(SUBSTITUTE(SUBSTITUTE(SUBSTITUTE(SUBSTITUTE(SUBSTITUTE(SUBSTITUTE(SUBSTITUTE(SUBSTITUTE(SUBSTITUTE(SUBSTITUTE(SUBSTITUTE(LOWER(T203&amp;""),CHAR(10),""),CHAR(13),""),CHAR(9),""),CHAR(160),"")," ",""),".",""),"-",""),"/",""),"?",""),"_",""),",",""),"[",""),"]",""),"(",""),")",""),"*","")</f>
        <v/>
      </c>
      <c r="AV203" s="61" t="str">
        <f aca="false">SUBSTITUTE(SUBSTITUTE(SUBSTITUTE(SUBSTITUTE(SUBSTITUTE(SUBSTITUTE(SUBSTITUTE(SUBSTITUTE(SUBSTITUTE(SUBSTITUTE(SUBSTITUTE(SUBSTITUTE(SUBSTITUTE(SUBSTITUTE(SUBSTITUTE(SUBSTITUTE(LOWER(V203&amp;""),CHAR(10),""),CHAR(13),""),CHAR(9),""),CHAR(160),"")," ",""),".",""),"-",""),"/",""),"?",""),"_",""),",",""),"[",""),"]",""),"(",""),")",""),"*","")</f>
        <v/>
      </c>
      <c r="AW203" s="61" t="str">
        <f aca="false">SUBSTITUTE(SUBSTITUTE(SUBSTITUTE(SUBSTITUTE(SUBSTITUTE(SUBSTITUTE(SUBSTITUTE(SUBSTITUTE(SUBSTITUTE(SUBSTITUTE(SUBSTITUTE(SUBSTITUTE(SUBSTITUTE(SUBSTITUTE(SUBSTITUTE(SUBSTITUTE(LOWER(Z203&amp;""),CHAR(10),""),CHAR(13),""),CHAR(9),""),CHAR(160),"")," ",""),".",""),"-",""),"/",""),"?",""),"_",""),",",""),"[",""),"]",""),"(",""),")",""),"*","")</f>
        <v/>
      </c>
      <c r="AX203" s="61" t="str">
        <f aca="false">SUBSTITUTE(SUBSTITUTE(SUBSTITUTE(SUBSTITUTE(SUBSTITUTE(SUBSTITUTE(SUBSTITUTE(SUBSTITUTE(SUBSTITUTE(SUBSTITUTE(SUBSTITUTE(SUBSTITUTE(SUBSTITUTE(SUBSTITUTE(SUBSTITUTE(SUBSTITUTE(LOWER(AE203&amp;""),CHAR(10),""),CHAR(13),""),CHAR(9),""),CHAR(160),"")," ",""),".",""),"-",""),"/",""),"?",""),"_",""),",",""),"[",""),"]",""),"(",""),")",""),"*","")</f>
        <v/>
      </c>
      <c r="AY203" s="61" t="str">
        <f aca="false">SUBSTITUTE(SUBSTITUTE(SUBSTITUTE(SUBSTITUTE(SUBSTITUTE(SUBSTITUTE(SUBSTITUTE(SUBSTITUTE(SUBSTITUTE(SUBSTITUTE(SUBSTITUTE(SUBSTITUTE(SUBSTITUTE(SUBSTITUTE(SUBSTITUTE(SUBSTITUTE(LOWER(W203&amp;""),CHAR(10),""),CHAR(13),""),CHAR(9),""),CHAR(160),"")," ",""),".",""),"-",""),"/",""),"?",""),"_",""),",",""),"[",""),"]",""),"(",""),")",""),"*","")</f>
        <v/>
      </c>
      <c r="AZ203" s="61" t="str">
        <f aca="false">SUBSTITUTE(SUBSTITUTE(SUBSTITUTE(SUBSTITUTE(SUBSTITUTE(SUBSTITUTE(SUBSTITUTE(SUBSTITUTE(SUBSTITUTE(SUBSTITUTE(SUBSTITUTE(SUBSTITUTE(SUBSTITUTE(SUBSTITUTE(SUBSTITUTE(SUBSTITUTE(LOWER(AC203&amp;""),CHAR(10),""),CHAR(13),""),CHAR(9),""),CHAR(160),"")," ",""),".",""),"-",""),"/",""),"?",""),"_",""),",",""),"[",""),"]",""),"(",""),")",""),"*","")</f>
        <v/>
      </c>
      <c r="BA203" s="61" t="str">
        <f aca="false">SUBSTITUTE(SUBSTITUTE(SUBSTITUTE(SUBSTITUTE(SUBSTITUTE(SUBSTITUTE(SUBSTITUTE(SUBSTITUTE(SUBSTITUTE(SUBSTITUTE(SUBSTITUTE(SUBSTITUTE(SUBSTITUTE(SUBSTITUTE(SUBSTITUTE(SUBSTITUTE(LOWER(AA203&amp;""),CHAR(10),""),CHAR(13),""),CHAR(9),""),CHAR(160),"")," ",""),".",""),"-",""),"/",""),"?",""),"_",""),",",""),"[",""),"]",""),"(",""),")",""),"*","")</f>
        <v/>
      </c>
      <c r="BB203" s="61" t="str">
        <f aca="false">IF(AND(TRIM(U203)="Pass",ISNUMBER(AF203)),IF(AF203&lt;&gt;0,"INVALID – qty variance: use Fail or Pass after CA",""),"")&amp;IF(AND(TRIM(U203)="Pass after CA",ISNUMBER(AF203)),IF(AF203&lt;&gt;0,"INVALID – after the corrective action the actual qty must equal expected (update Actual)",""),"")&amp;IF(AND(TRIM(U203)="Pass",TRIM(AB203)&lt;&gt;"",TRIM(AB203)&lt;&gt;"Closed"),"INVALID – corrective action not closed: use Fail, then Pass after CA","")&amp;IF(AND(LEN(BA203)&gt;=2,ISNA(MATCH(LEFT(BA203,255),L_Placeholder,0)),TRIM(AB203)=""),"INVALID – CA status missing for the recorded corrective action","")&amp;IF(AND(TRIM(U203)="Pass after CA",OR(OR(LEN(BA203)&lt;5,ISNUMBER(MATCH(BA203,L_Placeholder,0))),TRIM(AB203)&lt;&gt;"Closed")),"INVALID – corrective action not recorded/closed","")</f>
        <v/>
      </c>
      <c r="BC203" s="61" t="str">
        <f aca="false">" "&amp;TRIM(SUBSTITUTE(SUBSTITUTE(SUBSTITUTE(SUBSTITUTE(SUBSTITUTE(SUBSTITUTE(SUBSTITUTE(SUBSTITUTE(SUBSTITUTE(SUBSTITUTE(SUBSTITUTE(SUBSTITUTE(SUBSTITUTE(SUBSTITUTE(SUBSTITUTE(SUBSTITUTE(SUBSTITUTE(SUBSTITUTE(SUBSTITUTE(SUBSTITUTE(SUBSTITUTE(SUBSTITUTE(SUBSTITUTE(SUBSTITUTE(LOWER(V203&amp;""),CHAR(10)," "),CHAR(13)," "),CHAR(9)," "),CHAR(160)," "),"."," "),","," "),"-"," "),"/"," "),"("," "),")"," "),":"," "),";"," "),"_"," "),"–"," "),"?"," "),"!"," "),"*"," "),"["," "),"]"," "),"'"," "),"#"," "),"+"," "),"&amp;"," "),"\"," "))&amp;" "</f>
        <v>  </v>
      </c>
      <c r="BD203" s="61" t="str">
        <f aca="false">" "&amp;TRIM(SUBSTITUTE(SUBSTITUTE(SUBSTITUTE(SUBSTITUTE(SUBSTITUTE(SUBSTITUTE(SUBSTITUTE(SUBSTITUTE(SUBSTITUTE(SUBSTITUTE(SUBSTITUTE(SUBSTITUTE(SUBSTITUTE(SUBSTITUTE(SUBSTITUTE(SUBSTITUTE(SUBSTITUTE(SUBSTITUTE(SUBSTITUTE(SUBSTITUTE(SUBSTITUTE(SUBSTITUTE(SUBSTITUTE(SUBSTITUTE(LOWER(Z203&amp;""),CHAR(10)," "),CHAR(13)," "),CHAR(9)," "),CHAR(160)," "),"."," "),","," "),"-"," "),"/"," "),"("," "),")"," "),":"," "),";"," "),"_"," "),"–"," "),"?"," "),"!"," "),"*"," "),"["," "),"]"," "),"'"," "),"#"," "),"+"," "),"&amp;"," "),"\"," "))&amp;" "</f>
        <v>  </v>
      </c>
      <c r="BE203" s="61" t="str">
        <f aca="false">" "&amp;TRIM(SUBSTITUTE(SUBSTITUTE(SUBSTITUTE(SUBSTITUTE(SUBSTITUTE(SUBSTITUTE(SUBSTITUTE(SUBSTITUTE(SUBSTITUTE(SUBSTITUTE(SUBSTITUTE(SUBSTITUTE(SUBSTITUTE(SUBSTITUTE(SUBSTITUTE(SUBSTITUTE(SUBSTITUTE(SUBSTITUTE(SUBSTITUTE(SUBSTITUTE(SUBSTITUTE(SUBSTITUTE(SUBSTITUTE(SUBSTITUTE(LOWER(W203&amp;""),CHAR(10)," "),CHAR(13)," "),CHAR(9)," "),CHAR(160)," "),"."," "),","," "),"-"," "),"/"," "),"("," "),")"," "),":"," "),";"," "),"_"," "),"–"," "),"?"," "),"!"," "),"*"," "),"["," "),"]"," "),"'"," "),"#"," "),"+"," "),"&amp;"," "),"\"," "))&amp;" "</f>
        <v>  </v>
      </c>
      <c r="BF203" s="61" t="str">
        <f aca="false">" "&amp;TRIM(SUBSTITUTE(SUBSTITUTE(SUBSTITUTE(SUBSTITUTE(SUBSTITUTE(SUBSTITUTE(SUBSTITUTE(SUBSTITUTE(SUBSTITUTE(SUBSTITUTE(SUBSTITUTE(SUBSTITUTE(SUBSTITUTE(SUBSTITUTE(SUBSTITUTE(SUBSTITUTE(SUBSTITUTE(SUBSTITUTE(SUBSTITUTE(SUBSTITUTE(SUBSTITUTE(SUBSTITUTE(SUBSTITUTE(SUBSTITUTE(LOWER(AC203&amp;""),CHAR(10)," "),CHAR(13)," "),CHAR(9)," "),CHAR(160)," "),"."," "),","," "),"-"," "),"/"," "),"("," "),")"," "),":"," "),";"," "),"_"," "),"–"," "),"?"," "),"!"," "),"*"," "),"["," "),"]"," "),"'"," "),"#"," "),"+"," "),"&amp;"," "),"\"," "))&amp;" "</f>
        <v>  </v>
      </c>
      <c r="BG203" s="61" t="n">
        <f aca="false">IFERROR(IF(AND(TRIM(U203)="Pass",SUMPRODUCT((LEN(BC203)-LEN(SUBSTITUTE(BC203," "&amp;L_ResultBad&amp;" "," ")))/(LEN(L_ResultBad)+1))&gt;SUMPRODUCT((LEN(BC203)-LEN(SUBSTITUTE(BC203," "&amp;L_NegPhrase&amp;" "," ")))/(LEN(L_NegPhrase)+1))),1,0),0)</f>
        <v>0</v>
      </c>
      <c r="BH203" s="61" t="n">
        <f aca="false">IFERROR(IF(SUMPRODUCT((LEN(BC203)-LEN(SUBSTITUTE(BC203," "&amp;L_Pending&amp;" "," ")))/(LEN(L_Pending)+1))&gt;SUMPRODUCT((LEN(BC203)-LEN(SUBSTITUTE(BC203," "&amp;L_PendNeg&amp;" "," ")))/(LEN(L_PendNeg)+1)),1,0),1)</f>
        <v>0</v>
      </c>
      <c r="BI203" s="61" t="n">
        <f aca="false">IFERROR(IF(SUMPRODUCT((LEN(BD203)-LEN(SUBSTITUTE(BD203," "&amp;L_PendStrict&amp;" "," ")))/(LEN(L_PendStrict)+1))&gt;SUMPRODUCT((LEN(BD203)-LEN(SUBSTITUTE(BD203," "&amp;L_PendNeg&amp;" "," ")))/(LEN(L_PendNeg)+1)),1,0),1)</f>
        <v>0</v>
      </c>
      <c r="BJ203" s="61" t="n">
        <f aca="false">IFERROR(IF(SUMPRODUCT((LEN(BE203)-LEN(SUBSTITUTE(BE203," "&amp;L_Pending&amp;" "," ")))/(LEN(L_Pending)+1))&gt;SUMPRODUCT((LEN(BE203)-LEN(SUBSTITUTE(BE203," "&amp;L_PendNeg&amp;" "," ")))/(LEN(L_PendNeg)+1)),1,0),1)</f>
        <v>0</v>
      </c>
      <c r="BK203" s="61" t="n">
        <f aca="false">IFERROR(IF(SUMPRODUCT((LEN(BF203)-LEN(SUBSTITUTE(BF203," "&amp;L_PendStrict&amp;" "," ")))/(LEN(L_PendStrict)+1))&gt;SUMPRODUCT((LEN(BF203)-LEN(SUBSTITUTE(BF203," "&amp;L_PendNeg&amp;" "," ")))/(LEN(L_PendNeg)+1)),1,0),1)</f>
        <v>0</v>
      </c>
      <c r="BL203" s="61" t="n">
        <f aca="false">IF(ISNA(MATCH(TRIM(S203),L_EvidenceType,0)),0,BZ203)</f>
        <v>0</v>
      </c>
      <c r="BM203" s="61" t="str">
        <f aca="false">SUBSTITUTE(SUBSTITUTE(SUBSTITUTE(SUBSTITUTE(SUBSTITUTE(SUBSTITUTE(SUBSTITUTE(SUBSTITUTE(SUBSTITUTE(LOWER(Z203&amp;""),"1","0"),"2","0"),"3","0"),"4","0"),"5","0"),"6","0"),"7","0"),"8","0"),"9","0")</f>
        <v/>
      </c>
      <c r="BN203" s="61" t="str">
        <f aca="false">SUBSTITUTE(SUBSTITUTE(SUBSTITUTE(SUBSTITUTE(SUBSTITUTE(SUBSTITUTE(SUBSTITUTE(SUBSTITUTE(SUBSTITUTE(SUBSTITUTE(SUBSTITUTE(SUBSTITUTE(SUBSTITUTE(SUBSTITUTE(SUBSTITUTE(SUBSTITUTE(SUBSTITUTE(SUBSTITUTE(SUBSTITUTE(SUBSTITUTE(SUBSTITUTE(SUBSTITUTE(SUBSTITUTE(SUBSTITUTE(SUBSTITUTE(BM203,"b","a"),"c","a"),"d","a"),"e","a"),"f","a"),"g","a"),"h","a"),"i","a"),"j","a"),"k","a"),"l","a"),"m","a"),"n","a"),"o","a"),"p","a"),"q","a"),"r","a"),"s","a"),"t","a"),"u","a"),"v","a"),"w","a"),"x","a"),"y","a"),"z","a")</f>
        <v/>
      </c>
      <c r="BO203" s="61" t="str">
        <f aca="false">SUBSTITUTE(SUBSTITUTE(SUBSTITUTE(SUBSTITUTE(SUBSTITUTE(SUBSTITUTE(SUBSTITUTE(SUBSTITUTE(SUBSTITUTE(LOWER(W203&amp;""),"1","0"),"2","0"),"3","0"),"4","0"),"5","0"),"6","0"),"7","0"),"8","0"),"9","0")</f>
        <v/>
      </c>
      <c r="BP203" s="61" t="str">
        <f aca="false">SUBSTITUTE(SUBSTITUTE(SUBSTITUTE(SUBSTITUTE(SUBSTITUTE(SUBSTITUTE(SUBSTITUTE(SUBSTITUTE(SUBSTITUTE(SUBSTITUTE(SUBSTITUTE(SUBSTITUTE(SUBSTITUTE(SUBSTITUTE(SUBSTITUTE(SUBSTITUTE(SUBSTITUTE(SUBSTITUTE(SUBSTITUTE(SUBSTITUTE(SUBSTITUTE(SUBSTITUTE(SUBSTITUTE(SUBSTITUTE(SUBSTITUTE(BO203,"b","a"),"c","a"),"d","a"),"e","a"),"f","a"),"g","a"),"h","a"),"i","a"),"j","a"),"k","a"),"l","a"),"m","a"),"n","a"),"o","a"),"p","a"),"q","a"),"r","a"),"s","a"),"t","a"),"u","a"),"v","a"),"w","a"),"x","a"),"y","a"),"z","a")</f>
        <v/>
      </c>
      <c r="BQ203" s="61" t="n">
        <f aca="false">IFERROR(IF(AND(ISERROR(SEARCH(" mh"," "&amp;LOWER(W203))),ISNA(MATCH(LEFT(TRIM(BP203),255),{"0000a","000a","00a","0000aa","000aa","00aa","0aa","0000aaa","000aaa","00a00","0a00","0000-0000","00:00","a00","a0","00.00.0000","00/00/0000","00-00-0000","0000-00-00","0000/00/00","0000.00.00","00.00.00","00/00/00","00-00-00","0.00.0000","0/00/0000","0-00-0000"},0)),ISNA(MATCH(LEFT(TRIM(CA203),255),{"0000a","000a","00a","0000aa","000aa","00aa","0aa","0000aaa","000aaa","00a00","0a00","0000-0000","00:00","a00","a0","00.00.0000","00/00/0000","00-00-0000","0000-00-00","0000/00/00","0000.00.00","00.00.00","00/00/00","00-00-00","0.00.0000","0/00/0000","0-00-0000"},0)),LEN(CB203)&gt;=3,NOT(OR(SUBSTITUTE(CB203,"0","")="",AND(LEN(CB203)&gt;=4,CB203=REPT(LEFT(CB203),LEN(CB203))),ISNUMBER(MATCH(CB203,{"123","1234","12345","123456","1234567","12345678","0123","01234","012345","98765","987654","54321"},0)),AND(LEN(CB203)=8,LEFT(CB203,3)="202"))),OR(AND((LEN(CA203)-LEN(SUBSTITUTE(CA203,"a","")))&gt;=1,SUMPRODUCT(--ISNUMBER(SEARCH({"a0","a-0","a_0","a/0","a.0","a#0","0a","0-a","0_a","0/a"},BP203)))&gt;0),ISNUMBER(SEARCH("000000",BP203)))),1,0),0)</f>
        <v>0</v>
      </c>
      <c r="BR203" s="61" t="n">
        <f aca="false">IFERROR(LEN(SUBSTITUTE(CC203," ",""))-SUMPRODUCT((LEN(CC203)-LEN(SUBSTITUTE(CC203," "&amp;L_Role&amp;" "," ")))/(LEN(L_Role)+1)*LEN(L_Role)),0)</f>
        <v>0</v>
      </c>
      <c r="BS203" s="61" t="n">
        <f aca="false">IFERROR(LEN(SUBSTITUTE(CD203," ",""))-SUMPRODUCT((LEN(CD203)-LEN(SUBSTITUTE(CD203," "&amp;L_Role&amp;" "," ")))/(LEN(L_Role)+1)*LEN(L_Role)),0)</f>
        <v>0</v>
      </c>
      <c r="BT2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203,"revision",""),"version",""),"jan",""),"feb",""),"mar",""),"apr",""),"may",""),"jun",""),"jul",""),"aug",""),"sep",""),"oct",""),"nov",""),"dec",""),"utc",""),"gmt",""),"myt",""),"bst",""),"rev",""),"ver",""),"b","a"),"c","a"),"d","a"),"e","a"),"f","a"),"g","a"),"h","a"),"i","a"),"j","a"),"k","a"),"l","a"),"m","a"),"n","a"),"o","a"),"p","a"),"q","a"),"r","a"),"s","a"),"t","a"),"u","a"),"v","a"),"w","a"),"x","a"),"y","a"),"z","a")</f>
        <v/>
      </c>
      <c r="BU203" s="61" t="str">
        <f aca="false">SUBSTITUTE(SUBSTITUTE(SUBSTITUTE(SUBSTITUTE(SUBSTITUTE(SUBSTITUTE(SUBSTITUTE(SUBSTITUTE(SUBSTITUTE(SUBSTITUTE(LEFT(BM203,FIND("0",BM203&amp;"0")-1),"-",""),"_",""),"/",""),".",""),"#",""),"\\",""),":","")," ",""),"(",""),")","")</f>
        <v/>
      </c>
      <c r="BV203" s="61" t="n">
        <f aca="false">IFERROR(IF(OR(SUMPRODUCT((LEN(BC203)-LEN(SUBSTITUTE(BC203," "&amp;L_NotLoaded&amp;" "," ")))/(LEN(L_NotLoaded)+1))&gt;SUMPRODUCT((LEN(BC203)-LEN(SUBSTITUTE(BC203," "&amp;L_NotLoadedNeg&amp;" "," ")))/(LEN(L_NotLoadedNeg)+1)),SUMPRODUCT((LEN(BD203)-LEN(SUBSTITUTE(BD203," "&amp;L_NotLoaded&amp;" "," ")))/(LEN(L_NotLoaded)+1))&gt;SUMPRODUCT((LEN(BD203)-LEN(SUBSTITUTE(BD203," "&amp;L_NotLoadedNeg&amp;" "," ")))/(LEN(L_NotLoadedNeg)+1))),1,0),0)</f>
        <v>0</v>
      </c>
      <c r="BW2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203&amp;""),"a",""),"b",""),"c",""),"d",""),"e",""),"f",""),"g",""),"h",""),"i",""),"j",""),"k",""),"l",""),"m",""),"n",""),"o",""),"p",""),"q",""),"r",""),"s",""),"t",""),"u",""),"v",""),"w",""),"x",""),"y",""),"z",""),"-",""),"_",""),"/",""),".",""),"#",""),"\\",""),":","")," ",""),"(",""),")","")</f>
        <v/>
      </c>
      <c r="BX203" s="61" t="str">
        <f aca="false">SUBSTITUTE(SUBSTITUTE(SUBSTITUTE(SUBSTITUTE(SUBSTITUTE(SUBSTITUTE(SUBSTITUTE(SUBSTITUTE(SUBSTITUTE(SUBSTITUTE(SUBSTITUTE(BM203,"0",""),"-",""),"_",""),"/",""),".",""),"#",""),"\\",""),":","")," ",""),"(",""),")","")</f>
        <v/>
      </c>
      <c r="BY203" s="62" t="n">
        <f aca="false">IF(ISNUMBER(Flights!$AZ$10),MAX(Q203-UpliftWindowH/24,Flights!$AZ$10),Q203-UpliftWindowH/24)</f>
        <v>46310.3888888889</v>
      </c>
      <c r="BZ203" s="61" t="n">
        <f aca="false">IFERROR(IF(IF(TRIM(S203)="Link / file path",AND(LEN(TRIM(Z203))&gt;=5,SUMPRODUCT(--ISNUMBER(SEARCH({"http","www.","\\",":\",".pdf",".jpg",".jpeg",".png",".heic",".xls",".doc",".msg",".eml",".ppt",".txt",".zip"},Z203)))&gt;0),AND(ISERROR(FIND(" ",TRIM(Z203))),NOT(OR(SUMPRODUCT(--ISNUMBER(FIND({",",";","&amp;","+"},Z203)))&gt;0,SUMPRODUCT(--ISNUMBER(SEARCH({"0/aa","0\\aa"},BN203)))&gt;0)),NOT(SUMPRODUCT(--ISNUMBER(SEARCH({"http","www.","\\",":\",".pdf",".jpg",".jpeg",".png",".heic",".xls",".doc",".msg",".eml",".ppt",".txt",".zip"},Z203)))&gt;0),NOT(LOWER(TRIM(Z203))=LOWER(Flights!$F$10)),ISNA(MATCH(BU203,{"mh","rev","revision","ver","version","v","r","a","b","seat","tray","row","gate","bay","stand","page","pg","item","line","no","cart","galley","flight","flt","table","box","bag","oven","etd","eta","std","sta","atd","ata","qty","pax","x","time","tel","ph","mob","day","wk","week","utc","gmt","myt","lt"},0)),NOT(OR(ISNUMBER(MATCH(LEFT(BN203,255),{"0000a","000a","00a","0000aa","000aa","00aa","0aa","0000aaa","000aaa","00a00","0a00","0000-0000","00:00","a00","a0","00.00.0000","00/00/0000","00-00-0000","0000-00-00","0000/00/00","0000.00.00","00.00.00","00/00/00","00-00-00","0.00.0000","0/00/0000","0-00-0000"},0)),ISNUMBER(MATCH(LEFT(BT203,255),{"0000a","000a","00a","0000aa","000aa","00aa","0aa","0000aaa","000aaa","00a00","0a00","0000-0000","00:00","a00","a0","00.00.0000","00/00/0000","00-00-0000","0000-00-00","0000/00/00","0000.00.00","00.00.00","00/00/00","00-00-00","0.00.0000","0/00/0000","0-00-0000"},0)))),NOT(OR(AND(BW203&lt;&gt;"",SUBSTITUTE(BW203,"0","")=""),AND(LEN(BW203)&gt;=4,BW203=REPT(LEFT(BW203),LEN(BW203))),ISNUMBER(MATCH(BW203,{"123","1234","12345","123456","1234567","12345678","0123","01234","012345","98765","987654","54321"},0)),ISNUMBER(MATCH(BX203,{"x","xx","xxx","xxxx","xxxxx","abc","abcd","nil","na","nan","test","tbc","tba","tbd","dummy","sample","example","eg","zz","zzz","none","null","xyz","qwe","asd","id","ref"},0)),AND(LEN(BW203)=8,BX203="",OR(LEFT(BW203,3)="202",ISNUMBER(MATCH(RIGHT(BW203,4),{"2025","2026","2027"},0)))))),OR(AND((LEN(BT203)-LEN(SUBSTITUTE(BT203,"a","")))&gt;=1,(LEN(BN203)-LEN(SUBSTITUTE(BN203,"0","")))&gt;=2,SUMPRODUCT(--ISNUMBER(SEARCH({"a0","a-0","a_0","a/0","a.0","a#0","0a","0-a","0_a","0/a"},BN203)))&gt;0),AND((LEN(BN203)-LEN(SUBSTITUTE(BN203,"a","")))=0,(LEN(BN203)-LEN(SUBSTITUTE(BN203,"0","")))&gt;=5)))),1,0),0)</f>
        <v>0</v>
      </c>
      <c r="CA2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203,"revision",""),"version",""),"jan",""),"feb",""),"mar",""),"apr",""),"may",""),"jun",""),"jul",""),"aug",""),"sep",""),"oct",""),"nov",""),"dec",""),"utc",""),"gmt",""),"myt",""),"bst",""),"rev",""),"ver",""),"b","a"),"c","a"),"d","a"),"e","a"),"f","a"),"g","a"),"h","a"),"i","a"),"j","a"),"k","a"),"l","a"),"m","a"),"n","a"),"o","a"),"p","a"),"q","a"),"r","a"),"s","a"),"t","a"),"u","a"),"v","a"),"w","a"),"x","a"),"y","a"),"z","a")</f>
        <v/>
      </c>
      <c r="CB2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203&amp;""),"a",""),"b",""),"c",""),"d",""),"e",""),"f",""),"g",""),"h",""),"i",""),"j",""),"k",""),"l",""),"m",""),"n",""),"o",""),"p",""),"q",""),"r",""),"s",""),"t",""),"u",""),"v",""),"w",""),"x",""),"y",""),"z",""),"-",""),"_",""),"/",""),".",""),"#",""),"\\",""),":","")," ",""),"(",""),")","")</f>
        <v/>
      </c>
      <c r="CC203" s="0" t="str">
        <f aca="false">" "&amp;TRIM(SUBSTITUTE(SUBSTITUTE(SUBSTITUTE(SUBSTITUTE(SUBSTITUTE(SUBSTITUTE(SUBSTITUTE(SUBSTITUTE(SUBSTITUTE(SUBSTITUTE(SUBSTITUTE(SUBSTITUTE(SUBSTITUTE(SUBSTITUTE(SUBSTITUTE(SUBSTITUTE(SUBSTITUTE(SUBSTITUTE(SUBSTITUTE(SUBSTITUTE(SUBSTITUTE(SUBSTITUTE(SUBSTITUTE(SUBSTITUTE(LOWER(T203&amp;""),CHAR(10)," "),CHAR(13)," "),CHAR(9)," "),CHAR(160)," "),"."," "),","," "),"-"," "),"/"," "),"("," "),")"," "),":"," "),";"," "),"_"," "),"–"," "),"?"," "),"!"," "),"*"," "),"["," "),"]"," "),"'"," "),"#"," "),"+"," "),"&amp;"," "),"\"," "))&amp;" "</f>
        <v>  </v>
      </c>
      <c r="CD203" s="0" t="str">
        <f aca="false">" "&amp;TRIM(SUBSTITUTE(SUBSTITUTE(SUBSTITUTE(SUBSTITUTE(SUBSTITUTE(SUBSTITUTE(SUBSTITUTE(SUBSTITUTE(SUBSTITUTE(SUBSTITUTE(SUBSTITUTE(SUBSTITUTE(SUBSTITUTE(SUBSTITUTE(SUBSTITUTE(SUBSTITUTE(SUBSTITUTE(SUBSTITUTE(SUBSTITUTE(SUBSTITUTE(SUBSTITUTE(SUBSTITUTE(SUBSTITUTE(SUBSTITUTE(LOWER(AE203&amp;""),CHAR(10)," "),CHAR(13)," "),CHAR(9)," "),CHAR(160)," "),"."," "),","," "),"-"," "),"/"," "),"("," "),")"," "),":"," "),";"," "),"_"," "),"–"," "),"?"," "),"!"," "),"*"," "),"["," "),"]"," "),"'"," "),"#"," "),"+"," "),"&amp;"," "),"\"," "))&amp;" "</f>
        <v>  </v>
      </c>
      <c r="CE203" s="68" t="n">
        <f aca="false">IFERROR(IF(AND(LEN(AU203)&gt;0,LEN(AU203)=LEN(AX203),OR(TRIM(MID(SUBSTITUTE(TRIM(CC203)," ",REPT(" ",60)),1,60))="",ISNUMBER(SEARCH(" "&amp;TRIM(MID(SUBSTITUTE(TRIM(CC203)," ",REPT(" ",60)),1,60))&amp;" ",CD203))),OR(TRIM(MID(SUBSTITUTE(TRIM(CC203)," ",REPT(" ",60)),61,60))="",ISNUMBER(SEARCH(" "&amp;TRIM(MID(SUBSTITUTE(TRIM(CC203)," ",REPT(" ",60)),61,60))&amp;" ",CD203))),OR(TRIM(MID(SUBSTITUTE(TRIM(CC203)," ",REPT(" ",60)),121,60))="",ISNUMBER(SEARCH(" "&amp;TRIM(MID(SUBSTITUTE(TRIM(CC203)," ",REPT(" ",60)),121,60))&amp;" ",CD203)))),1,0),0)</f>
        <v>0</v>
      </c>
      <c r="CG203" s="68" t="n">
        <f aca="false">IFERROR(LEN(SUBSTITUTE(BF203," ",""))-SUMPRODUCT((LEN(BF203)-LEN(SUBSTITUTE(BF203," "&amp;L_NAFiller&amp;" "," ")))/(LEN(L_NAFiller)+1)*LEN(L_NAFiller)),0)</f>
        <v>0</v>
      </c>
    </row>
    <row r="204" customFormat="false" ht="39.75" hidden="false" customHeight="true" outlineLevel="0" collapsed="false">
      <c r="A204" s="57" t="s">
        <v>765</v>
      </c>
      <c r="B204" s="57" t="s">
        <v>231</v>
      </c>
      <c r="C204" s="57" t="str">
        <f aca="false">Flights!$F$10</f>
        <v>MH0002</v>
      </c>
      <c r="D204" s="58" t="n">
        <f aca="false">Flights!$D$10</f>
        <v>46310</v>
      </c>
      <c r="E204" s="57" t="str">
        <f aca="false">Flights!$G$10&amp;"-"&amp;Flights!$H$10</f>
        <v>KUL-LHR</v>
      </c>
      <c r="F204" s="57" t="str">
        <f aca="false">Flights!$K$10</f>
        <v>BC</v>
      </c>
      <c r="G204" s="57" t="s">
        <v>459</v>
      </c>
      <c r="H204" s="57" t="s">
        <v>460</v>
      </c>
      <c r="I204" s="57" t="s">
        <v>499</v>
      </c>
      <c r="J204" s="57" t="s">
        <v>541</v>
      </c>
      <c r="K204" s="67" t="s">
        <v>501</v>
      </c>
      <c r="L204" s="67" t="s">
        <v>740</v>
      </c>
      <c r="M204" s="67" t="s">
        <v>451</v>
      </c>
      <c r="N204" s="67" t="s">
        <v>383</v>
      </c>
      <c r="O204" s="67"/>
      <c r="P204" s="57" t="s">
        <v>187</v>
      </c>
      <c r="Q204" s="59" t="n">
        <f aca="false">ROUND((Flights!$AF$10)*1440,0)/1440</f>
        <v>46310.6388888889</v>
      </c>
      <c r="R204" s="59" t="n">
        <f aca="false">Q204+(IF(AND(INDEX(TZ_DSTS,MATCH(P204,TZ_STN,0))&lt;&gt;"",Q204&gt;=INDEX(TZ_DSTS,MATCH(P204,TZ_STN,0)),Q204&lt;INDEX(TZ_DSTE,MATCH(P204,TZ_STN,0))),INDEX(TZ_DST,MATCH(P204,TZ_STN,0)),INDEX(TZ_STD,MATCH(P204,TZ_STN,0))))/24</f>
        <v>46310.9722222222</v>
      </c>
      <c r="S204" s="60"/>
      <c r="T204" s="60"/>
      <c r="U204" s="60"/>
      <c r="V204" s="60"/>
      <c r="W204" s="61"/>
      <c r="X204" s="60"/>
      <c r="Y204" s="60"/>
      <c r="Z204" s="60"/>
      <c r="AA204" s="60"/>
      <c r="AB204" s="60"/>
      <c r="AC204" s="60"/>
      <c r="AD204" s="66"/>
      <c r="AE204" s="60"/>
      <c r="AF204" s="61" t="str">
        <f aca="false">IF(AND(ISNUMBER(X204),ISNUMBER(Y204)),Y204-X204,"")</f>
        <v/>
      </c>
      <c r="AG204" s="62" t="str">
        <f aca="false">IF(ISNUMBER(AD204),AD204-(IF(AND(INDEX(TZ_DSTS,MATCH(P204,TZ_STN,0))&lt;&gt;"",(AD204-INDEX(TZ_STD,MATCH(P204,TZ_STN,0))/24)&gt;=INDEX(TZ_DSTS,MATCH(P204,TZ_STN,0)),(AD204-INDEX(TZ_STD,MATCH(P204,TZ_STN,0))/24)&lt;INDEX(TZ_DSTE,MATCH(P204,TZ_STN,0))),INDEX(TZ_DST,MATCH(P204,TZ_STN,0)),INDEX(TZ_STD,MATCH(P204,TZ_STN,0))))/24,"")</f>
        <v/>
      </c>
      <c r="AH204" s="65" t="str">
        <f aca="false">IFERROR(IF(N204="N/A – rule",IF(OR(TRIM(U204)="",TRIM(U204)="N/A",TRIM(U204)="Not started"),"N/A – RULE","INVALID – this check does not apply to this aircraft: clear the status (or correct the fleet on Flights)"),IF(TRIM(U204)="N/A",IF(AT204=0,"INVALID – N/A not permitted for this check",IF(AND(TRIM(AB204)&lt;&gt;"",TRIM(AB204)&lt;&gt;"Closed"),"INVALID – corrective action still open",IF(AND(NOT(OR(LEN(AZ204)&lt;15,ISNUMBER(MATCH(AZ204,L_Placeholder,0)))),BK204=0,CG204&gt;=8,NOT(OR(LEN(AU204)&lt;2,ISNUMBER(MATCH(AU204,L_Placeholder,0)))),BR204&gt;=3,NOT(OR(LEN(AX204)&lt;2,ISNUMBER(MATCH(AX204,L_Placeholder,0)))),BS204&gt;=3,TRIM(AE204)&lt;&gt;TRIM(T204),AX204&lt;&gt;AU204,CE204=0),"N/A – JUSTIFIED","INVALID – N/A needs a real, settled reason (not 'not applicable' / 'as above' / TBC), a named PIC and a different named verifier"))),IF(OR(TRIM(U204)="Pass",TRIM(U204)="Pass after CA"),IF(NOT(ISNUMBER(AD204)),"INVALID – completion time missing",IF(OR(OR(LEN(AU204)&lt;2,ISNUMBER(MATCH(AU204,L_Placeholder,0))),BR204&lt;3),"INVALID – PIC missing or not a named person (a role such as QA / CSM is not a name)",IF(OR(LEN(AV204)&lt;2,ISNUMBER(MATCH(AV204,L_Placeholder,0))),"INVALID – result / assessment missing",IF(OR(OR(LEN(AW204)&lt;3,ISNUMBER(MATCH(AW204,L_Placeholder,0))),SUMPRODUCT(--ISNUMBER(SEARCH(" "&amp;L_EvidencePhrase&amp;" ",BD204)))&gt;0,BI204=1),"INVALID – evidence missing, placeholder or not yet on file",IF(ISNA(MATCH(TRIM(S204),L_EvidenceType,0)),"INVALID – choose the evidence type from the list (column S)",IF(BL204=0,"INVALID – evidence ID must be the record's own ID only (e.g. SF-2210, IMG_2231, 1045521); a link / file name needs type 'Link / file path'",IF(OR(OR(LEN(AX204)&lt;2,ISNUMBER(MATCH(AX204,L_Placeholder,0))),BS204&lt;3),"INVALID – verifier missing or not a named person (a role such as QA / CSM is not a name)",IF(OR(AX204=AU204,CE204=1,AND(LEN(AU204)&gt;=4,ISNUMBER(SEARCH(AU204,AX204))),AND(LEN(AX204)&gt;=4,ISNUMBER(SEARCH(AX204,AU204)))),"INVALID – verifier must be a different, named person (not the PIC or a role)",IF(BH204=1,"INVALID – result not yet available (awaiting / TBC)",IF(BG204=1,"INVALID – result describes a problem: record Fail, then Pass after CA (or reword if it is not a problem)",IF(BV204=1,"INVALID – wording says not on board: an on-board confirmation needs the item loaded",IF(AND(AQ204=1,OR(OR(LEN(AY204)&lt;3,ISNUMBER(MATCH(AY204,L_Placeholder,0))),BJ204=1,BQ204=0)),"INVALID – batch ID missing, placeholder or not an ID (e.g. PASB-261008-BC-017)",IF(AND(AR204=1,OR(NOT(ISNUMBER(X204)),NOT(ISNUMBER(Y204)))),"INVALID – expected/actual qty missing",IF(AND(AR204=1,OR(X204&lt;=0,Y204&lt;0)),"INVALID – expected qty must be above 0 and actual not negative",IF(AH188="N/A – JUSTIFIED","INVALID – preparation row F06-T12-13 is N/A",IF(AND(AR204=1,ISNUMBER(X188),X204&lt;&gt;X188,TRIM(U204)&lt;&gt;"Pass after CA"),"INVALID – expected qty differs from preparation check F06-T12-13: record the load change as a corrective action (Pass after CA)",IF(BB204&lt;&gt;"",BB204,IF(AND(AS204=1,Documents!$J$10&lt;&gt;"ON FILE"),"INVALID – GLD not on file (Documents sheet)",IF(AND(AS204=2,Documents!$O$10&lt;&gt;"ON FILE"),"INVALID – menu checklist not on file (Documents sheet)",IF(AND(AS204=3,NOT(ISNUMBER(Flights!$AX$10))),"INVALID – enter carrying flight KUL departure (Flights AX)",IF(AND(AS204=3,OR(Flights!$AZ$10&gt;Flights!$AA$10,Flights!$AX$10&lt;Flights!$AA$10-3)),"INVALID – carrying flight (Flights AX) cannot arrive before this leg's STD, or is over 3 days early",IF(AG204&gt;AsOfUTC,"INVALID – completion time is in the future",IF(AND(ISNUMBER(BY204),AG204&lt;BY204),IF(H204="Physical uplift","INVALID – before uplift window (cannot confirm loading)","INVALID – before valid window"),IF(AG204&gt;Flights!$AA$10,"INVALID – completed after departure (cannot establish readiness)",IF(AND(H204="Preparation",AG204&gt;=IF(ISNUMBER(Flights!$BA$10),MIN(Flights!$BA$10,Flights!$AA$10),Flights!$AA$10)),"INVALID – completed after loading / departure (cannot establish readiness)",IF(AND(H204="Physical uplift",AG204&gt;Q204),"INVALID – recorded after the loading flight departed",IF(AG204&gt;Q204,"COMPLETE – LATE","COMPLETE"))))))))))))))))))))))))))),IF(TRIM(U204)="Fail","FAIL – DISCREPANCY",IF(AND(TRIM(U204)&lt;&gt;"",TRIM(U204)&lt;&gt;"Not started",TRIM(U204)&lt;&gt;"In progress"),"INVALID – unrecognised status (use the list)",IF(AsOfUTC&gt;Q204,"OVERDUE",IF(N204="Clarification required","OPEN – CLARIFICATION","OPEN"))))))),"INVALID – error value in an input cell")</f>
        <v>OPEN</v>
      </c>
      <c r="AI204" s="61" t="n">
        <f aca="false">IF(OR(AH204="N/A – RULE",AH204="N/A – JUSTIFIED"),0,1)</f>
        <v>1</v>
      </c>
      <c r="AJ204" s="61" t="n">
        <f aca="false">IF(LEFT(AH204,8)="COMPLETE",1,0)</f>
        <v>0</v>
      </c>
      <c r="AK204" s="61" t="n">
        <f aca="false">IF(AND(AI204=1,AJ204=0,AsOfUTC&gt;Q204),1,0)</f>
        <v>0</v>
      </c>
      <c r="AL204" s="61" t="n">
        <f aca="false">IFERROR(IF(AND(AI204=1,OR(TRIM(U204)="Fail",AND(TRIM(AB204)&lt;&gt;"",TRIM(AB204)&lt;&gt;"Closed"),AND(ISNUMBER(AF204),AF204&lt;&gt;0,TRIM(U204)&lt;&gt;"Pass after CA"))),1,0),1)</f>
        <v>0</v>
      </c>
      <c r="AM204" s="61" t="n">
        <f aca="false">IF(LEFT(AH204,7)="INVALID",1,0)</f>
        <v>0</v>
      </c>
      <c r="AN204" s="61" t="n">
        <f aca="false">IF(AND(N204="Clarification required",AI204=1,AJ204=0),1,0)</f>
        <v>0</v>
      </c>
      <c r="AO204" s="61" t="str">
        <f aca="false">IF(AK204=1,SUM(AK$5:AK204),"")</f>
        <v/>
      </c>
      <c r="AP204" s="61" t="str">
        <f aca="false">IF(AL204=1,SUM(AL$5:AL204),"")</f>
        <v/>
      </c>
      <c r="AQ204" s="61" t="n">
        <v>0</v>
      </c>
      <c r="AR204" s="61" t="n">
        <v>0</v>
      </c>
      <c r="AS204" s="61" t="n">
        <v>0</v>
      </c>
      <c r="AT204" s="61" t="n">
        <v>0</v>
      </c>
      <c r="AU204" s="61" t="str">
        <f aca="false">SUBSTITUTE(SUBSTITUTE(SUBSTITUTE(SUBSTITUTE(SUBSTITUTE(SUBSTITUTE(SUBSTITUTE(SUBSTITUTE(SUBSTITUTE(SUBSTITUTE(SUBSTITUTE(SUBSTITUTE(SUBSTITUTE(SUBSTITUTE(SUBSTITUTE(SUBSTITUTE(LOWER(T204&amp;""),CHAR(10),""),CHAR(13),""),CHAR(9),""),CHAR(160),"")," ",""),".",""),"-",""),"/",""),"?",""),"_",""),",",""),"[",""),"]",""),"(",""),")",""),"*","")</f>
        <v/>
      </c>
      <c r="AV204" s="61" t="str">
        <f aca="false">SUBSTITUTE(SUBSTITUTE(SUBSTITUTE(SUBSTITUTE(SUBSTITUTE(SUBSTITUTE(SUBSTITUTE(SUBSTITUTE(SUBSTITUTE(SUBSTITUTE(SUBSTITUTE(SUBSTITUTE(SUBSTITUTE(SUBSTITUTE(SUBSTITUTE(SUBSTITUTE(LOWER(V204&amp;""),CHAR(10),""),CHAR(13),""),CHAR(9),""),CHAR(160),"")," ",""),".",""),"-",""),"/",""),"?",""),"_",""),",",""),"[",""),"]",""),"(",""),")",""),"*","")</f>
        <v/>
      </c>
      <c r="AW204" s="61" t="str">
        <f aca="false">SUBSTITUTE(SUBSTITUTE(SUBSTITUTE(SUBSTITUTE(SUBSTITUTE(SUBSTITUTE(SUBSTITUTE(SUBSTITUTE(SUBSTITUTE(SUBSTITUTE(SUBSTITUTE(SUBSTITUTE(SUBSTITUTE(SUBSTITUTE(SUBSTITUTE(SUBSTITUTE(LOWER(Z204&amp;""),CHAR(10),""),CHAR(13),""),CHAR(9),""),CHAR(160),"")," ",""),".",""),"-",""),"/",""),"?",""),"_",""),",",""),"[",""),"]",""),"(",""),")",""),"*","")</f>
        <v/>
      </c>
      <c r="AX204" s="61" t="str">
        <f aca="false">SUBSTITUTE(SUBSTITUTE(SUBSTITUTE(SUBSTITUTE(SUBSTITUTE(SUBSTITUTE(SUBSTITUTE(SUBSTITUTE(SUBSTITUTE(SUBSTITUTE(SUBSTITUTE(SUBSTITUTE(SUBSTITUTE(SUBSTITUTE(SUBSTITUTE(SUBSTITUTE(LOWER(AE204&amp;""),CHAR(10),""),CHAR(13),""),CHAR(9),""),CHAR(160),"")," ",""),".",""),"-",""),"/",""),"?",""),"_",""),",",""),"[",""),"]",""),"(",""),")",""),"*","")</f>
        <v/>
      </c>
      <c r="AY204" s="61" t="str">
        <f aca="false">SUBSTITUTE(SUBSTITUTE(SUBSTITUTE(SUBSTITUTE(SUBSTITUTE(SUBSTITUTE(SUBSTITUTE(SUBSTITUTE(SUBSTITUTE(SUBSTITUTE(SUBSTITUTE(SUBSTITUTE(SUBSTITUTE(SUBSTITUTE(SUBSTITUTE(SUBSTITUTE(LOWER(W204&amp;""),CHAR(10),""),CHAR(13),""),CHAR(9),""),CHAR(160),"")," ",""),".",""),"-",""),"/",""),"?",""),"_",""),",",""),"[",""),"]",""),"(",""),")",""),"*","")</f>
        <v/>
      </c>
      <c r="AZ204" s="61" t="str">
        <f aca="false">SUBSTITUTE(SUBSTITUTE(SUBSTITUTE(SUBSTITUTE(SUBSTITUTE(SUBSTITUTE(SUBSTITUTE(SUBSTITUTE(SUBSTITUTE(SUBSTITUTE(SUBSTITUTE(SUBSTITUTE(SUBSTITUTE(SUBSTITUTE(SUBSTITUTE(SUBSTITUTE(LOWER(AC204&amp;""),CHAR(10),""),CHAR(13),""),CHAR(9),""),CHAR(160),"")," ",""),".",""),"-",""),"/",""),"?",""),"_",""),",",""),"[",""),"]",""),"(",""),")",""),"*","")</f>
        <v/>
      </c>
      <c r="BA204" s="61" t="str">
        <f aca="false">SUBSTITUTE(SUBSTITUTE(SUBSTITUTE(SUBSTITUTE(SUBSTITUTE(SUBSTITUTE(SUBSTITUTE(SUBSTITUTE(SUBSTITUTE(SUBSTITUTE(SUBSTITUTE(SUBSTITUTE(SUBSTITUTE(SUBSTITUTE(SUBSTITUTE(SUBSTITUTE(LOWER(AA204&amp;""),CHAR(10),""),CHAR(13),""),CHAR(9),""),CHAR(160),"")," ",""),".",""),"-",""),"/",""),"?",""),"_",""),",",""),"[",""),"]",""),"(",""),")",""),"*","")</f>
        <v/>
      </c>
      <c r="BB204" s="61" t="str">
        <f aca="false">IF(AND(TRIM(U204)="Pass",ISNUMBER(AF204)),IF(AF204&lt;&gt;0,"INVALID – qty variance: use Fail or Pass after CA",""),"")&amp;IF(AND(TRIM(U204)="Pass after CA",ISNUMBER(AF204)),IF(AF204&lt;&gt;0,"INVALID – after the corrective action the actual qty must equal expected (update Actual)",""),"")&amp;IF(AND(TRIM(U204)="Pass",TRIM(AB204)&lt;&gt;"",TRIM(AB204)&lt;&gt;"Closed"),"INVALID – corrective action not closed: use Fail, then Pass after CA","")&amp;IF(AND(LEN(BA204)&gt;=2,ISNA(MATCH(LEFT(BA204,255),L_Placeholder,0)),TRIM(AB204)=""),"INVALID – CA status missing for the recorded corrective action","")&amp;IF(AND(TRIM(U204)="Pass after CA",OR(OR(LEN(BA204)&lt;5,ISNUMBER(MATCH(BA204,L_Placeholder,0))),TRIM(AB204)&lt;&gt;"Closed")),"INVALID – corrective action not recorded/closed","")</f>
        <v/>
      </c>
      <c r="BC204" s="61" t="str">
        <f aca="false">" "&amp;TRIM(SUBSTITUTE(SUBSTITUTE(SUBSTITUTE(SUBSTITUTE(SUBSTITUTE(SUBSTITUTE(SUBSTITUTE(SUBSTITUTE(SUBSTITUTE(SUBSTITUTE(SUBSTITUTE(SUBSTITUTE(SUBSTITUTE(SUBSTITUTE(SUBSTITUTE(SUBSTITUTE(SUBSTITUTE(SUBSTITUTE(SUBSTITUTE(SUBSTITUTE(SUBSTITUTE(SUBSTITUTE(SUBSTITUTE(SUBSTITUTE(LOWER(V204&amp;""),CHAR(10)," "),CHAR(13)," "),CHAR(9)," "),CHAR(160)," "),"."," "),","," "),"-"," "),"/"," "),"("," "),")"," "),":"," "),";"," "),"_"," "),"–"," "),"?"," "),"!"," "),"*"," "),"["," "),"]"," "),"'"," "),"#"," "),"+"," "),"&amp;"," "),"\"," "))&amp;" "</f>
        <v>  </v>
      </c>
      <c r="BD204" s="61" t="str">
        <f aca="false">" "&amp;TRIM(SUBSTITUTE(SUBSTITUTE(SUBSTITUTE(SUBSTITUTE(SUBSTITUTE(SUBSTITUTE(SUBSTITUTE(SUBSTITUTE(SUBSTITUTE(SUBSTITUTE(SUBSTITUTE(SUBSTITUTE(SUBSTITUTE(SUBSTITUTE(SUBSTITUTE(SUBSTITUTE(SUBSTITUTE(SUBSTITUTE(SUBSTITUTE(SUBSTITUTE(SUBSTITUTE(SUBSTITUTE(SUBSTITUTE(SUBSTITUTE(LOWER(Z204&amp;""),CHAR(10)," "),CHAR(13)," "),CHAR(9)," "),CHAR(160)," "),"."," "),","," "),"-"," "),"/"," "),"("," "),")"," "),":"," "),";"," "),"_"," "),"–"," "),"?"," "),"!"," "),"*"," "),"["," "),"]"," "),"'"," "),"#"," "),"+"," "),"&amp;"," "),"\"," "))&amp;" "</f>
        <v>  </v>
      </c>
      <c r="BE204" s="61" t="str">
        <f aca="false">" "&amp;TRIM(SUBSTITUTE(SUBSTITUTE(SUBSTITUTE(SUBSTITUTE(SUBSTITUTE(SUBSTITUTE(SUBSTITUTE(SUBSTITUTE(SUBSTITUTE(SUBSTITUTE(SUBSTITUTE(SUBSTITUTE(SUBSTITUTE(SUBSTITUTE(SUBSTITUTE(SUBSTITUTE(SUBSTITUTE(SUBSTITUTE(SUBSTITUTE(SUBSTITUTE(SUBSTITUTE(SUBSTITUTE(SUBSTITUTE(SUBSTITUTE(LOWER(W204&amp;""),CHAR(10)," "),CHAR(13)," "),CHAR(9)," "),CHAR(160)," "),"."," "),","," "),"-"," "),"/"," "),"("," "),")"," "),":"," "),";"," "),"_"," "),"–"," "),"?"," "),"!"," "),"*"," "),"["," "),"]"," "),"'"," "),"#"," "),"+"," "),"&amp;"," "),"\"," "))&amp;" "</f>
        <v>  </v>
      </c>
      <c r="BF204" s="61" t="str">
        <f aca="false">" "&amp;TRIM(SUBSTITUTE(SUBSTITUTE(SUBSTITUTE(SUBSTITUTE(SUBSTITUTE(SUBSTITUTE(SUBSTITUTE(SUBSTITUTE(SUBSTITUTE(SUBSTITUTE(SUBSTITUTE(SUBSTITUTE(SUBSTITUTE(SUBSTITUTE(SUBSTITUTE(SUBSTITUTE(SUBSTITUTE(SUBSTITUTE(SUBSTITUTE(SUBSTITUTE(SUBSTITUTE(SUBSTITUTE(SUBSTITUTE(SUBSTITUTE(LOWER(AC204&amp;""),CHAR(10)," "),CHAR(13)," "),CHAR(9)," "),CHAR(160)," "),"."," "),","," "),"-"," "),"/"," "),"("," "),")"," "),":"," "),";"," "),"_"," "),"–"," "),"?"," "),"!"," "),"*"," "),"["," "),"]"," "),"'"," "),"#"," "),"+"," "),"&amp;"," "),"\"," "))&amp;" "</f>
        <v>  </v>
      </c>
      <c r="BG204" s="61" t="n">
        <f aca="false">IFERROR(IF(AND(TRIM(U204)="Pass",SUMPRODUCT((LEN(BC204)-LEN(SUBSTITUTE(BC204," "&amp;L_ResultBad&amp;" "," ")))/(LEN(L_ResultBad)+1))&gt;SUMPRODUCT((LEN(BC204)-LEN(SUBSTITUTE(BC204," "&amp;L_NegPhrase&amp;" "," ")))/(LEN(L_NegPhrase)+1))),1,0),0)</f>
        <v>0</v>
      </c>
      <c r="BH204" s="61" t="n">
        <f aca="false">IFERROR(IF(SUMPRODUCT((LEN(BC204)-LEN(SUBSTITUTE(BC204," "&amp;L_Pending&amp;" "," ")))/(LEN(L_Pending)+1))&gt;SUMPRODUCT((LEN(BC204)-LEN(SUBSTITUTE(BC204," "&amp;L_PendNeg&amp;" "," ")))/(LEN(L_PendNeg)+1)),1,0),1)</f>
        <v>0</v>
      </c>
      <c r="BI204" s="61" t="n">
        <f aca="false">IFERROR(IF(SUMPRODUCT((LEN(BD204)-LEN(SUBSTITUTE(BD204," "&amp;L_PendStrict&amp;" "," ")))/(LEN(L_PendStrict)+1))&gt;SUMPRODUCT((LEN(BD204)-LEN(SUBSTITUTE(BD204," "&amp;L_PendNeg&amp;" "," ")))/(LEN(L_PendNeg)+1)),1,0),1)</f>
        <v>0</v>
      </c>
      <c r="BJ204" s="61" t="n">
        <f aca="false">IFERROR(IF(SUMPRODUCT((LEN(BE204)-LEN(SUBSTITUTE(BE204," "&amp;L_Pending&amp;" "," ")))/(LEN(L_Pending)+1))&gt;SUMPRODUCT((LEN(BE204)-LEN(SUBSTITUTE(BE204," "&amp;L_PendNeg&amp;" "," ")))/(LEN(L_PendNeg)+1)),1,0),1)</f>
        <v>0</v>
      </c>
      <c r="BK204" s="61" t="n">
        <f aca="false">IFERROR(IF(SUMPRODUCT((LEN(BF204)-LEN(SUBSTITUTE(BF204," "&amp;L_PendStrict&amp;" "," ")))/(LEN(L_PendStrict)+1))&gt;SUMPRODUCT((LEN(BF204)-LEN(SUBSTITUTE(BF204," "&amp;L_PendNeg&amp;" "," ")))/(LEN(L_PendNeg)+1)),1,0),1)</f>
        <v>0</v>
      </c>
      <c r="BL204" s="61" t="n">
        <f aca="false">IF(ISNA(MATCH(TRIM(S204),L_EvidenceType,0)),0,BZ204)</f>
        <v>0</v>
      </c>
      <c r="BM204" s="61" t="str">
        <f aca="false">SUBSTITUTE(SUBSTITUTE(SUBSTITUTE(SUBSTITUTE(SUBSTITUTE(SUBSTITUTE(SUBSTITUTE(SUBSTITUTE(SUBSTITUTE(LOWER(Z204&amp;""),"1","0"),"2","0"),"3","0"),"4","0"),"5","0"),"6","0"),"7","0"),"8","0"),"9","0")</f>
        <v/>
      </c>
      <c r="BN204" s="61" t="str">
        <f aca="false">SUBSTITUTE(SUBSTITUTE(SUBSTITUTE(SUBSTITUTE(SUBSTITUTE(SUBSTITUTE(SUBSTITUTE(SUBSTITUTE(SUBSTITUTE(SUBSTITUTE(SUBSTITUTE(SUBSTITUTE(SUBSTITUTE(SUBSTITUTE(SUBSTITUTE(SUBSTITUTE(SUBSTITUTE(SUBSTITUTE(SUBSTITUTE(SUBSTITUTE(SUBSTITUTE(SUBSTITUTE(SUBSTITUTE(SUBSTITUTE(SUBSTITUTE(BM204,"b","a"),"c","a"),"d","a"),"e","a"),"f","a"),"g","a"),"h","a"),"i","a"),"j","a"),"k","a"),"l","a"),"m","a"),"n","a"),"o","a"),"p","a"),"q","a"),"r","a"),"s","a"),"t","a"),"u","a"),"v","a"),"w","a"),"x","a"),"y","a"),"z","a")</f>
        <v/>
      </c>
      <c r="BO204" s="61" t="str">
        <f aca="false">SUBSTITUTE(SUBSTITUTE(SUBSTITUTE(SUBSTITUTE(SUBSTITUTE(SUBSTITUTE(SUBSTITUTE(SUBSTITUTE(SUBSTITUTE(LOWER(W204&amp;""),"1","0"),"2","0"),"3","0"),"4","0"),"5","0"),"6","0"),"7","0"),"8","0"),"9","0")</f>
        <v/>
      </c>
      <c r="BP204" s="61" t="str">
        <f aca="false">SUBSTITUTE(SUBSTITUTE(SUBSTITUTE(SUBSTITUTE(SUBSTITUTE(SUBSTITUTE(SUBSTITUTE(SUBSTITUTE(SUBSTITUTE(SUBSTITUTE(SUBSTITUTE(SUBSTITUTE(SUBSTITUTE(SUBSTITUTE(SUBSTITUTE(SUBSTITUTE(SUBSTITUTE(SUBSTITUTE(SUBSTITUTE(SUBSTITUTE(SUBSTITUTE(SUBSTITUTE(SUBSTITUTE(SUBSTITUTE(SUBSTITUTE(BO204,"b","a"),"c","a"),"d","a"),"e","a"),"f","a"),"g","a"),"h","a"),"i","a"),"j","a"),"k","a"),"l","a"),"m","a"),"n","a"),"o","a"),"p","a"),"q","a"),"r","a"),"s","a"),"t","a"),"u","a"),"v","a"),"w","a"),"x","a"),"y","a"),"z","a")</f>
        <v/>
      </c>
      <c r="BQ204" s="61" t="n">
        <f aca="false">IFERROR(IF(AND(ISERROR(SEARCH(" mh"," "&amp;LOWER(W204))),ISNA(MATCH(LEFT(TRIM(BP204),255),{"0000a","000a","00a","0000aa","000aa","00aa","0aa","0000aaa","000aaa","00a00","0a00","0000-0000","00:00","a00","a0","00.00.0000","00/00/0000","00-00-0000","0000-00-00","0000/00/00","0000.00.00","00.00.00","00/00/00","00-00-00","0.00.0000","0/00/0000","0-00-0000"},0)),ISNA(MATCH(LEFT(TRIM(CA204),255),{"0000a","000a","00a","0000aa","000aa","00aa","0aa","0000aaa","000aaa","00a00","0a00","0000-0000","00:00","a00","a0","00.00.0000","00/00/0000","00-00-0000","0000-00-00","0000/00/00","0000.00.00","00.00.00","00/00/00","00-00-00","0.00.0000","0/00/0000","0-00-0000"},0)),LEN(CB204)&gt;=3,NOT(OR(SUBSTITUTE(CB204,"0","")="",AND(LEN(CB204)&gt;=4,CB204=REPT(LEFT(CB204),LEN(CB204))),ISNUMBER(MATCH(CB204,{"123","1234","12345","123456","1234567","12345678","0123","01234","012345","98765","987654","54321"},0)),AND(LEN(CB204)=8,LEFT(CB204,3)="202"))),OR(AND((LEN(CA204)-LEN(SUBSTITUTE(CA204,"a","")))&gt;=1,SUMPRODUCT(--ISNUMBER(SEARCH({"a0","a-0","a_0","a/0","a.0","a#0","0a","0-a","0_a","0/a"},BP204)))&gt;0),ISNUMBER(SEARCH("000000",BP204)))),1,0),0)</f>
        <v>0</v>
      </c>
      <c r="BR204" s="61" t="n">
        <f aca="false">IFERROR(LEN(SUBSTITUTE(CC204," ",""))-SUMPRODUCT((LEN(CC204)-LEN(SUBSTITUTE(CC204," "&amp;L_Role&amp;" "," ")))/(LEN(L_Role)+1)*LEN(L_Role)),0)</f>
        <v>0</v>
      </c>
      <c r="BS204" s="61" t="n">
        <f aca="false">IFERROR(LEN(SUBSTITUTE(CD204," ",""))-SUMPRODUCT((LEN(CD204)-LEN(SUBSTITUTE(CD204," "&amp;L_Role&amp;" "," ")))/(LEN(L_Role)+1)*LEN(L_Role)),0)</f>
        <v>0</v>
      </c>
      <c r="BT2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204,"revision",""),"version",""),"jan",""),"feb",""),"mar",""),"apr",""),"may",""),"jun",""),"jul",""),"aug",""),"sep",""),"oct",""),"nov",""),"dec",""),"utc",""),"gmt",""),"myt",""),"bst",""),"rev",""),"ver",""),"b","a"),"c","a"),"d","a"),"e","a"),"f","a"),"g","a"),"h","a"),"i","a"),"j","a"),"k","a"),"l","a"),"m","a"),"n","a"),"o","a"),"p","a"),"q","a"),"r","a"),"s","a"),"t","a"),"u","a"),"v","a"),"w","a"),"x","a"),"y","a"),"z","a")</f>
        <v/>
      </c>
      <c r="BU204" s="61" t="str">
        <f aca="false">SUBSTITUTE(SUBSTITUTE(SUBSTITUTE(SUBSTITUTE(SUBSTITUTE(SUBSTITUTE(SUBSTITUTE(SUBSTITUTE(SUBSTITUTE(SUBSTITUTE(LEFT(BM204,FIND("0",BM204&amp;"0")-1),"-",""),"_",""),"/",""),".",""),"#",""),"\\",""),":","")," ",""),"(",""),")","")</f>
        <v/>
      </c>
      <c r="BV204" s="61" t="n">
        <f aca="false">IFERROR(IF(OR(SUMPRODUCT((LEN(BC204)-LEN(SUBSTITUTE(BC204," "&amp;L_NotLoaded&amp;" "," ")))/(LEN(L_NotLoaded)+1))&gt;SUMPRODUCT((LEN(BC204)-LEN(SUBSTITUTE(BC204," "&amp;L_NotLoadedNeg&amp;" "," ")))/(LEN(L_NotLoadedNeg)+1)),SUMPRODUCT((LEN(BD204)-LEN(SUBSTITUTE(BD204," "&amp;L_NotLoaded&amp;" "," ")))/(LEN(L_NotLoaded)+1))&gt;SUMPRODUCT((LEN(BD204)-LEN(SUBSTITUTE(BD204," "&amp;L_NotLoadedNeg&amp;" "," ")))/(LEN(L_NotLoadedNeg)+1))),1,0),0)</f>
        <v>0</v>
      </c>
      <c r="BW2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204&amp;""),"a",""),"b",""),"c",""),"d",""),"e",""),"f",""),"g",""),"h",""),"i",""),"j",""),"k",""),"l",""),"m",""),"n",""),"o",""),"p",""),"q",""),"r",""),"s",""),"t",""),"u",""),"v",""),"w",""),"x",""),"y",""),"z",""),"-",""),"_",""),"/",""),".",""),"#",""),"\\",""),":","")," ",""),"(",""),")","")</f>
        <v/>
      </c>
      <c r="BX204" s="61" t="str">
        <f aca="false">SUBSTITUTE(SUBSTITUTE(SUBSTITUTE(SUBSTITUTE(SUBSTITUTE(SUBSTITUTE(SUBSTITUTE(SUBSTITUTE(SUBSTITUTE(SUBSTITUTE(SUBSTITUTE(BM204,"0",""),"-",""),"_",""),"/",""),".",""),"#",""),"\\",""),":","")," ",""),"(",""),")","")</f>
        <v/>
      </c>
      <c r="BY204" s="62" t="n">
        <f aca="false">IF(ISNUMBER(Flights!$AZ$10),MAX(Q204-UpliftWindowH/24,Flights!$AZ$10),Q204-UpliftWindowH/24)</f>
        <v>46310.3888888889</v>
      </c>
      <c r="BZ204" s="61" t="n">
        <f aca="false">IFERROR(IF(IF(TRIM(S204)="Link / file path",AND(LEN(TRIM(Z204))&gt;=5,SUMPRODUCT(--ISNUMBER(SEARCH({"http","www.","\\",":\",".pdf",".jpg",".jpeg",".png",".heic",".xls",".doc",".msg",".eml",".ppt",".txt",".zip"},Z204)))&gt;0),AND(ISERROR(FIND(" ",TRIM(Z204))),NOT(OR(SUMPRODUCT(--ISNUMBER(FIND({",",";","&amp;","+"},Z204)))&gt;0,SUMPRODUCT(--ISNUMBER(SEARCH({"0/aa","0\\aa"},BN204)))&gt;0)),NOT(SUMPRODUCT(--ISNUMBER(SEARCH({"http","www.","\\",":\",".pdf",".jpg",".jpeg",".png",".heic",".xls",".doc",".msg",".eml",".ppt",".txt",".zip"},Z204)))&gt;0),NOT(LOWER(TRIM(Z204))=LOWER(Flights!$F$10)),ISNA(MATCH(BU204,{"mh","rev","revision","ver","version","v","r","a","b","seat","tray","row","gate","bay","stand","page","pg","item","line","no","cart","galley","flight","flt","table","box","bag","oven","etd","eta","std","sta","atd","ata","qty","pax","x","time","tel","ph","mob","day","wk","week","utc","gmt","myt","lt"},0)),NOT(OR(ISNUMBER(MATCH(LEFT(BN204,255),{"0000a","000a","00a","0000aa","000aa","00aa","0aa","0000aaa","000aaa","00a00","0a00","0000-0000","00:00","a00","a0","00.00.0000","00/00/0000","00-00-0000","0000-00-00","0000/00/00","0000.00.00","00.00.00","00/00/00","00-00-00","0.00.0000","0/00/0000","0-00-0000"},0)),ISNUMBER(MATCH(LEFT(BT204,255),{"0000a","000a","00a","0000aa","000aa","00aa","0aa","0000aaa","000aaa","00a00","0a00","0000-0000","00:00","a00","a0","00.00.0000","00/00/0000","00-00-0000","0000-00-00","0000/00/00","0000.00.00","00.00.00","00/00/00","00-00-00","0.00.0000","0/00/0000","0-00-0000"},0)))),NOT(OR(AND(BW204&lt;&gt;"",SUBSTITUTE(BW204,"0","")=""),AND(LEN(BW204)&gt;=4,BW204=REPT(LEFT(BW204),LEN(BW204))),ISNUMBER(MATCH(BW204,{"123","1234","12345","123456","1234567","12345678","0123","01234","012345","98765","987654","54321"},0)),ISNUMBER(MATCH(BX204,{"x","xx","xxx","xxxx","xxxxx","abc","abcd","nil","na","nan","test","tbc","tba","tbd","dummy","sample","example","eg","zz","zzz","none","null","xyz","qwe","asd","id","ref"},0)),AND(LEN(BW204)=8,BX204="",OR(LEFT(BW204,3)="202",ISNUMBER(MATCH(RIGHT(BW204,4),{"2025","2026","2027"},0)))))),OR(AND((LEN(BT204)-LEN(SUBSTITUTE(BT204,"a","")))&gt;=1,(LEN(BN204)-LEN(SUBSTITUTE(BN204,"0","")))&gt;=2,SUMPRODUCT(--ISNUMBER(SEARCH({"a0","a-0","a_0","a/0","a.0","a#0","0a","0-a","0_a","0/a"},BN204)))&gt;0),AND((LEN(BN204)-LEN(SUBSTITUTE(BN204,"a","")))=0,(LEN(BN204)-LEN(SUBSTITUTE(BN204,"0","")))&gt;=5)))),1,0),0)</f>
        <v>0</v>
      </c>
      <c r="CA2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204,"revision",""),"version",""),"jan",""),"feb",""),"mar",""),"apr",""),"may",""),"jun",""),"jul",""),"aug",""),"sep",""),"oct",""),"nov",""),"dec",""),"utc",""),"gmt",""),"myt",""),"bst",""),"rev",""),"ver",""),"b","a"),"c","a"),"d","a"),"e","a"),"f","a"),"g","a"),"h","a"),"i","a"),"j","a"),"k","a"),"l","a"),"m","a"),"n","a"),"o","a"),"p","a"),"q","a"),"r","a"),"s","a"),"t","a"),"u","a"),"v","a"),"w","a"),"x","a"),"y","a"),"z","a")</f>
        <v/>
      </c>
      <c r="CB2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204&amp;""),"a",""),"b",""),"c",""),"d",""),"e",""),"f",""),"g",""),"h",""),"i",""),"j",""),"k",""),"l",""),"m",""),"n",""),"o",""),"p",""),"q",""),"r",""),"s",""),"t",""),"u",""),"v",""),"w",""),"x",""),"y",""),"z",""),"-",""),"_",""),"/",""),".",""),"#",""),"\\",""),":","")," ",""),"(",""),")","")</f>
        <v/>
      </c>
      <c r="CC204" s="0" t="str">
        <f aca="false">" "&amp;TRIM(SUBSTITUTE(SUBSTITUTE(SUBSTITUTE(SUBSTITUTE(SUBSTITUTE(SUBSTITUTE(SUBSTITUTE(SUBSTITUTE(SUBSTITUTE(SUBSTITUTE(SUBSTITUTE(SUBSTITUTE(SUBSTITUTE(SUBSTITUTE(SUBSTITUTE(SUBSTITUTE(SUBSTITUTE(SUBSTITUTE(SUBSTITUTE(SUBSTITUTE(SUBSTITUTE(SUBSTITUTE(SUBSTITUTE(SUBSTITUTE(LOWER(T204&amp;""),CHAR(10)," "),CHAR(13)," "),CHAR(9)," "),CHAR(160)," "),"."," "),","," "),"-"," "),"/"," "),"("," "),")"," "),":"," "),";"," "),"_"," "),"–"," "),"?"," "),"!"," "),"*"," "),"["," "),"]"," "),"'"," "),"#"," "),"+"," "),"&amp;"," "),"\"," "))&amp;" "</f>
        <v>  </v>
      </c>
      <c r="CD204" s="0" t="str">
        <f aca="false">" "&amp;TRIM(SUBSTITUTE(SUBSTITUTE(SUBSTITUTE(SUBSTITUTE(SUBSTITUTE(SUBSTITUTE(SUBSTITUTE(SUBSTITUTE(SUBSTITUTE(SUBSTITUTE(SUBSTITUTE(SUBSTITUTE(SUBSTITUTE(SUBSTITUTE(SUBSTITUTE(SUBSTITUTE(SUBSTITUTE(SUBSTITUTE(SUBSTITUTE(SUBSTITUTE(SUBSTITUTE(SUBSTITUTE(SUBSTITUTE(SUBSTITUTE(LOWER(AE204&amp;""),CHAR(10)," "),CHAR(13)," "),CHAR(9)," "),CHAR(160)," "),"."," "),","," "),"-"," "),"/"," "),"("," "),")"," "),":"," "),";"," "),"_"," "),"–"," "),"?"," "),"!"," "),"*"," "),"["," "),"]"," "),"'"," "),"#"," "),"+"," "),"&amp;"," "),"\"," "))&amp;" "</f>
        <v>  </v>
      </c>
      <c r="CE204" s="68" t="n">
        <f aca="false">IFERROR(IF(AND(LEN(AU204)&gt;0,LEN(AU204)=LEN(AX204),OR(TRIM(MID(SUBSTITUTE(TRIM(CC204)," ",REPT(" ",60)),1,60))="",ISNUMBER(SEARCH(" "&amp;TRIM(MID(SUBSTITUTE(TRIM(CC204)," ",REPT(" ",60)),1,60))&amp;" ",CD204))),OR(TRIM(MID(SUBSTITUTE(TRIM(CC204)," ",REPT(" ",60)),61,60))="",ISNUMBER(SEARCH(" "&amp;TRIM(MID(SUBSTITUTE(TRIM(CC204)," ",REPT(" ",60)),61,60))&amp;" ",CD204))),OR(TRIM(MID(SUBSTITUTE(TRIM(CC204)," ",REPT(" ",60)),121,60))="",ISNUMBER(SEARCH(" "&amp;TRIM(MID(SUBSTITUTE(TRIM(CC204)," ",REPT(" ",60)),121,60))&amp;" ",CD204)))),1,0),0)</f>
        <v>0</v>
      </c>
      <c r="CG204" s="68" t="n">
        <f aca="false">IFERROR(LEN(SUBSTITUTE(BF204," ",""))-SUMPRODUCT((LEN(BF204)-LEN(SUBSTITUTE(BF204," "&amp;L_NAFiller&amp;" "," ")))/(LEN(L_NAFiller)+1)*LEN(L_NAFiller)),0)</f>
        <v>0</v>
      </c>
    </row>
    <row r="205" customFormat="false" ht="39.75" hidden="false" customHeight="true" outlineLevel="0" collapsed="false">
      <c r="A205" s="57" t="s">
        <v>766</v>
      </c>
      <c r="B205" s="57" t="s">
        <v>231</v>
      </c>
      <c r="C205" s="57" t="str">
        <f aca="false">Flights!$F$10</f>
        <v>MH0002</v>
      </c>
      <c r="D205" s="58" t="n">
        <f aca="false">Flights!$D$10</f>
        <v>46310</v>
      </c>
      <c r="E205" s="57" t="str">
        <f aca="false">Flights!$G$10&amp;"-"&amp;Flights!$H$10</f>
        <v>KUL-LHR</v>
      </c>
      <c r="F205" s="57" t="str">
        <f aca="false">Flights!$K$10</f>
        <v>BC</v>
      </c>
      <c r="G205" s="57" t="s">
        <v>459</v>
      </c>
      <c r="H205" s="57" t="s">
        <v>460</v>
      </c>
      <c r="I205" s="57" t="s">
        <v>499</v>
      </c>
      <c r="J205" s="57" t="s">
        <v>543</v>
      </c>
      <c r="K205" s="67" t="s">
        <v>501</v>
      </c>
      <c r="L205" s="67" t="s">
        <v>742</v>
      </c>
      <c r="M205" s="67" t="s">
        <v>451</v>
      </c>
      <c r="N205" s="67" t="s">
        <v>383</v>
      </c>
      <c r="O205" s="67"/>
      <c r="P205" s="57" t="s">
        <v>187</v>
      </c>
      <c r="Q205" s="59" t="n">
        <f aca="false">ROUND((Flights!$AF$10)*1440,0)/1440</f>
        <v>46310.6388888889</v>
      </c>
      <c r="R205" s="59" t="n">
        <f aca="false">Q205+(IF(AND(INDEX(TZ_DSTS,MATCH(P205,TZ_STN,0))&lt;&gt;"",Q205&gt;=INDEX(TZ_DSTS,MATCH(P205,TZ_STN,0)),Q205&lt;INDEX(TZ_DSTE,MATCH(P205,TZ_STN,0))),INDEX(TZ_DST,MATCH(P205,TZ_STN,0)),INDEX(TZ_STD,MATCH(P205,TZ_STN,0))))/24</f>
        <v>46310.9722222222</v>
      </c>
      <c r="S205" s="60"/>
      <c r="T205" s="60"/>
      <c r="U205" s="60"/>
      <c r="V205" s="60"/>
      <c r="W205" s="61"/>
      <c r="X205" s="60"/>
      <c r="Y205" s="60"/>
      <c r="Z205" s="60"/>
      <c r="AA205" s="60"/>
      <c r="AB205" s="60"/>
      <c r="AC205" s="60"/>
      <c r="AD205" s="66"/>
      <c r="AE205" s="60"/>
      <c r="AF205" s="61" t="str">
        <f aca="false">IF(AND(ISNUMBER(X205),ISNUMBER(Y205)),Y205-X205,"")</f>
        <v/>
      </c>
      <c r="AG205" s="62" t="str">
        <f aca="false">IF(ISNUMBER(AD205),AD205-(IF(AND(INDEX(TZ_DSTS,MATCH(P205,TZ_STN,0))&lt;&gt;"",(AD205-INDEX(TZ_STD,MATCH(P205,TZ_STN,0))/24)&gt;=INDEX(TZ_DSTS,MATCH(P205,TZ_STN,0)),(AD205-INDEX(TZ_STD,MATCH(P205,TZ_STN,0))/24)&lt;INDEX(TZ_DSTE,MATCH(P205,TZ_STN,0))),INDEX(TZ_DST,MATCH(P205,TZ_STN,0)),INDEX(TZ_STD,MATCH(P205,TZ_STN,0))))/24,"")</f>
        <v/>
      </c>
      <c r="AH205" s="65" t="str">
        <f aca="false">IFERROR(IF(N205="N/A – rule",IF(OR(TRIM(U205)="",TRIM(U205)="N/A",TRIM(U205)="Not started"),"N/A – RULE","INVALID – this check does not apply to this aircraft: clear the status (or correct the fleet on Flights)"),IF(TRIM(U205)="N/A",IF(AT205=0,"INVALID – N/A not permitted for this check",IF(AND(TRIM(AB205)&lt;&gt;"",TRIM(AB205)&lt;&gt;"Closed"),"INVALID – corrective action still open",IF(AND(NOT(OR(LEN(AZ205)&lt;15,ISNUMBER(MATCH(AZ205,L_Placeholder,0)))),BK205=0,CG205&gt;=8,NOT(OR(LEN(AU205)&lt;2,ISNUMBER(MATCH(AU205,L_Placeholder,0)))),BR205&gt;=3,NOT(OR(LEN(AX205)&lt;2,ISNUMBER(MATCH(AX205,L_Placeholder,0)))),BS205&gt;=3,TRIM(AE205)&lt;&gt;TRIM(T205),AX205&lt;&gt;AU205,CE205=0),"N/A – JUSTIFIED","INVALID – N/A needs a real, settled reason (not 'not applicable' / 'as above' / TBC), a named PIC and a different named verifier"))),IF(OR(TRIM(U205)="Pass",TRIM(U205)="Pass after CA"),IF(NOT(ISNUMBER(AD205)),"INVALID – completion time missing",IF(OR(OR(LEN(AU205)&lt;2,ISNUMBER(MATCH(AU205,L_Placeholder,0))),BR205&lt;3),"INVALID – PIC missing or not a named person (a role such as QA / CSM is not a name)",IF(OR(LEN(AV205)&lt;2,ISNUMBER(MATCH(AV205,L_Placeholder,0))),"INVALID – result / assessment missing",IF(OR(OR(LEN(AW205)&lt;3,ISNUMBER(MATCH(AW205,L_Placeholder,0))),SUMPRODUCT(--ISNUMBER(SEARCH(" "&amp;L_EvidencePhrase&amp;" ",BD205)))&gt;0,BI205=1),"INVALID – evidence missing, placeholder or not yet on file",IF(ISNA(MATCH(TRIM(S205),L_EvidenceType,0)),"INVALID – choose the evidence type from the list (column S)",IF(BL205=0,"INVALID – evidence ID must be the record's own ID only (e.g. SF-2210, IMG_2231, 1045521); a link / file name needs type 'Link / file path'",IF(OR(OR(LEN(AX205)&lt;2,ISNUMBER(MATCH(AX205,L_Placeholder,0))),BS205&lt;3),"INVALID – verifier missing or not a named person (a role such as QA / CSM is not a name)",IF(OR(AX205=AU205,CE205=1,AND(LEN(AU205)&gt;=4,ISNUMBER(SEARCH(AU205,AX205))),AND(LEN(AX205)&gt;=4,ISNUMBER(SEARCH(AX205,AU205)))),"INVALID – verifier must be a different, named person (not the PIC or a role)",IF(BH205=1,"INVALID – result not yet available (awaiting / TBC)",IF(BG205=1,"INVALID – result describes a problem: record Fail, then Pass after CA (or reword if it is not a problem)",IF(BV205=1,"INVALID – wording says not on board: an on-board confirmation needs the item loaded",IF(AND(AQ205=1,OR(OR(LEN(AY205)&lt;3,ISNUMBER(MATCH(AY205,L_Placeholder,0))),BJ205=1,BQ205=0)),"INVALID – batch ID missing, placeholder or not an ID (e.g. PASB-261008-BC-017)",IF(AND(AR205=1,OR(NOT(ISNUMBER(X205)),NOT(ISNUMBER(Y205)))),"INVALID – expected/actual qty missing",IF(AND(AR205=1,OR(X205&lt;=0,Y205&lt;0)),"INVALID – expected qty must be above 0 and actual not negative",IF(AH189="N/A – JUSTIFIED","INVALID – preparation row F06-T12-14 is N/A",IF(AND(AR205=1,ISNUMBER(X189),X205&lt;&gt;X189,TRIM(U205)&lt;&gt;"Pass after CA"),"INVALID – expected qty differs from preparation check F06-T12-14: record the load change as a corrective action (Pass after CA)",IF(BB205&lt;&gt;"",BB205,IF(AND(AS205=1,Documents!$J$10&lt;&gt;"ON FILE"),"INVALID – GLD not on file (Documents sheet)",IF(AND(AS205=2,Documents!$O$10&lt;&gt;"ON FILE"),"INVALID – menu checklist not on file (Documents sheet)",IF(AND(AS205=3,NOT(ISNUMBER(Flights!$AX$10))),"INVALID – enter carrying flight KUL departure (Flights AX)",IF(AND(AS205=3,OR(Flights!$AZ$10&gt;Flights!$AA$10,Flights!$AX$10&lt;Flights!$AA$10-3)),"INVALID – carrying flight (Flights AX) cannot arrive before this leg's STD, or is over 3 days early",IF(AG205&gt;AsOfUTC,"INVALID – completion time is in the future",IF(AND(ISNUMBER(BY205),AG205&lt;BY205),IF(H205="Physical uplift","INVALID – before uplift window (cannot confirm loading)","INVALID – before valid window"),IF(AG205&gt;Flights!$AA$10,"INVALID – completed after departure (cannot establish readiness)",IF(AND(H205="Preparation",AG205&gt;=IF(ISNUMBER(Flights!$BA$10),MIN(Flights!$BA$10,Flights!$AA$10),Flights!$AA$10)),"INVALID – completed after loading / departure (cannot establish readiness)",IF(AND(H205="Physical uplift",AG205&gt;Q205),"INVALID – recorded after the loading flight departed",IF(AG205&gt;Q205,"COMPLETE – LATE","COMPLETE"))))))))))))))))))))))))))),IF(TRIM(U205)="Fail","FAIL – DISCREPANCY",IF(AND(TRIM(U205)&lt;&gt;"",TRIM(U205)&lt;&gt;"Not started",TRIM(U205)&lt;&gt;"In progress"),"INVALID – unrecognised status (use the list)",IF(AsOfUTC&gt;Q205,"OVERDUE",IF(N205="Clarification required","OPEN – CLARIFICATION","OPEN"))))))),"INVALID – error value in an input cell")</f>
        <v>OPEN</v>
      </c>
      <c r="AI205" s="61" t="n">
        <f aca="false">IF(OR(AH205="N/A – RULE",AH205="N/A – JUSTIFIED"),0,1)</f>
        <v>1</v>
      </c>
      <c r="AJ205" s="61" t="n">
        <f aca="false">IF(LEFT(AH205,8)="COMPLETE",1,0)</f>
        <v>0</v>
      </c>
      <c r="AK205" s="61" t="n">
        <f aca="false">IF(AND(AI205=1,AJ205=0,AsOfUTC&gt;Q205),1,0)</f>
        <v>0</v>
      </c>
      <c r="AL205" s="61" t="n">
        <f aca="false">IFERROR(IF(AND(AI205=1,OR(TRIM(U205)="Fail",AND(TRIM(AB205)&lt;&gt;"",TRIM(AB205)&lt;&gt;"Closed"),AND(ISNUMBER(AF205),AF205&lt;&gt;0,TRIM(U205)&lt;&gt;"Pass after CA"))),1,0),1)</f>
        <v>0</v>
      </c>
      <c r="AM205" s="61" t="n">
        <f aca="false">IF(LEFT(AH205,7)="INVALID",1,0)</f>
        <v>0</v>
      </c>
      <c r="AN205" s="61" t="n">
        <f aca="false">IF(AND(N205="Clarification required",AI205=1,AJ205=0),1,0)</f>
        <v>0</v>
      </c>
      <c r="AO205" s="61" t="str">
        <f aca="false">IF(AK205=1,SUM(AK$5:AK205),"")</f>
        <v/>
      </c>
      <c r="AP205" s="61" t="str">
        <f aca="false">IF(AL205=1,SUM(AL$5:AL205),"")</f>
        <v/>
      </c>
      <c r="AQ205" s="61" t="n">
        <v>0</v>
      </c>
      <c r="AR205" s="61" t="n">
        <v>0</v>
      </c>
      <c r="AS205" s="61" t="n">
        <v>0</v>
      </c>
      <c r="AT205" s="61" t="n">
        <v>0</v>
      </c>
      <c r="AU205" s="61" t="str">
        <f aca="false">SUBSTITUTE(SUBSTITUTE(SUBSTITUTE(SUBSTITUTE(SUBSTITUTE(SUBSTITUTE(SUBSTITUTE(SUBSTITUTE(SUBSTITUTE(SUBSTITUTE(SUBSTITUTE(SUBSTITUTE(SUBSTITUTE(SUBSTITUTE(SUBSTITUTE(SUBSTITUTE(LOWER(T205&amp;""),CHAR(10),""),CHAR(13),""),CHAR(9),""),CHAR(160),"")," ",""),".",""),"-",""),"/",""),"?",""),"_",""),",",""),"[",""),"]",""),"(",""),")",""),"*","")</f>
        <v/>
      </c>
      <c r="AV205" s="61" t="str">
        <f aca="false">SUBSTITUTE(SUBSTITUTE(SUBSTITUTE(SUBSTITUTE(SUBSTITUTE(SUBSTITUTE(SUBSTITUTE(SUBSTITUTE(SUBSTITUTE(SUBSTITUTE(SUBSTITUTE(SUBSTITUTE(SUBSTITUTE(SUBSTITUTE(SUBSTITUTE(SUBSTITUTE(LOWER(V205&amp;""),CHAR(10),""),CHAR(13),""),CHAR(9),""),CHAR(160),"")," ",""),".",""),"-",""),"/",""),"?",""),"_",""),",",""),"[",""),"]",""),"(",""),")",""),"*","")</f>
        <v/>
      </c>
      <c r="AW205" s="61" t="str">
        <f aca="false">SUBSTITUTE(SUBSTITUTE(SUBSTITUTE(SUBSTITUTE(SUBSTITUTE(SUBSTITUTE(SUBSTITUTE(SUBSTITUTE(SUBSTITUTE(SUBSTITUTE(SUBSTITUTE(SUBSTITUTE(SUBSTITUTE(SUBSTITUTE(SUBSTITUTE(SUBSTITUTE(LOWER(Z205&amp;""),CHAR(10),""),CHAR(13),""),CHAR(9),""),CHAR(160),"")," ",""),".",""),"-",""),"/",""),"?",""),"_",""),",",""),"[",""),"]",""),"(",""),")",""),"*","")</f>
        <v/>
      </c>
      <c r="AX205" s="61" t="str">
        <f aca="false">SUBSTITUTE(SUBSTITUTE(SUBSTITUTE(SUBSTITUTE(SUBSTITUTE(SUBSTITUTE(SUBSTITUTE(SUBSTITUTE(SUBSTITUTE(SUBSTITUTE(SUBSTITUTE(SUBSTITUTE(SUBSTITUTE(SUBSTITUTE(SUBSTITUTE(SUBSTITUTE(LOWER(AE205&amp;""),CHAR(10),""),CHAR(13),""),CHAR(9),""),CHAR(160),"")," ",""),".",""),"-",""),"/",""),"?",""),"_",""),",",""),"[",""),"]",""),"(",""),")",""),"*","")</f>
        <v/>
      </c>
      <c r="AY205" s="61" t="str">
        <f aca="false">SUBSTITUTE(SUBSTITUTE(SUBSTITUTE(SUBSTITUTE(SUBSTITUTE(SUBSTITUTE(SUBSTITUTE(SUBSTITUTE(SUBSTITUTE(SUBSTITUTE(SUBSTITUTE(SUBSTITUTE(SUBSTITUTE(SUBSTITUTE(SUBSTITUTE(SUBSTITUTE(LOWER(W205&amp;""),CHAR(10),""),CHAR(13),""),CHAR(9),""),CHAR(160),"")," ",""),".",""),"-",""),"/",""),"?",""),"_",""),",",""),"[",""),"]",""),"(",""),")",""),"*","")</f>
        <v/>
      </c>
      <c r="AZ205" s="61" t="str">
        <f aca="false">SUBSTITUTE(SUBSTITUTE(SUBSTITUTE(SUBSTITUTE(SUBSTITUTE(SUBSTITUTE(SUBSTITUTE(SUBSTITUTE(SUBSTITUTE(SUBSTITUTE(SUBSTITUTE(SUBSTITUTE(SUBSTITUTE(SUBSTITUTE(SUBSTITUTE(SUBSTITUTE(LOWER(AC205&amp;""),CHAR(10),""),CHAR(13),""),CHAR(9),""),CHAR(160),"")," ",""),".",""),"-",""),"/",""),"?",""),"_",""),",",""),"[",""),"]",""),"(",""),")",""),"*","")</f>
        <v/>
      </c>
      <c r="BA205" s="61" t="str">
        <f aca="false">SUBSTITUTE(SUBSTITUTE(SUBSTITUTE(SUBSTITUTE(SUBSTITUTE(SUBSTITUTE(SUBSTITUTE(SUBSTITUTE(SUBSTITUTE(SUBSTITUTE(SUBSTITUTE(SUBSTITUTE(SUBSTITUTE(SUBSTITUTE(SUBSTITUTE(SUBSTITUTE(LOWER(AA205&amp;""),CHAR(10),""),CHAR(13),""),CHAR(9),""),CHAR(160),"")," ",""),".",""),"-",""),"/",""),"?",""),"_",""),",",""),"[",""),"]",""),"(",""),")",""),"*","")</f>
        <v/>
      </c>
      <c r="BB205" s="61" t="str">
        <f aca="false">IF(AND(TRIM(U205)="Pass",ISNUMBER(AF205)),IF(AF205&lt;&gt;0,"INVALID – qty variance: use Fail or Pass after CA",""),"")&amp;IF(AND(TRIM(U205)="Pass after CA",ISNUMBER(AF205)),IF(AF205&lt;&gt;0,"INVALID – after the corrective action the actual qty must equal expected (update Actual)",""),"")&amp;IF(AND(TRIM(U205)="Pass",TRIM(AB205)&lt;&gt;"",TRIM(AB205)&lt;&gt;"Closed"),"INVALID – corrective action not closed: use Fail, then Pass after CA","")&amp;IF(AND(LEN(BA205)&gt;=2,ISNA(MATCH(LEFT(BA205,255),L_Placeholder,0)),TRIM(AB205)=""),"INVALID – CA status missing for the recorded corrective action","")&amp;IF(AND(TRIM(U205)="Pass after CA",OR(OR(LEN(BA205)&lt;5,ISNUMBER(MATCH(BA205,L_Placeholder,0))),TRIM(AB205)&lt;&gt;"Closed")),"INVALID – corrective action not recorded/closed","")</f>
        <v/>
      </c>
      <c r="BC205" s="61" t="str">
        <f aca="false">" "&amp;TRIM(SUBSTITUTE(SUBSTITUTE(SUBSTITUTE(SUBSTITUTE(SUBSTITUTE(SUBSTITUTE(SUBSTITUTE(SUBSTITUTE(SUBSTITUTE(SUBSTITUTE(SUBSTITUTE(SUBSTITUTE(SUBSTITUTE(SUBSTITUTE(SUBSTITUTE(SUBSTITUTE(SUBSTITUTE(SUBSTITUTE(SUBSTITUTE(SUBSTITUTE(SUBSTITUTE(SUBSTITUTE(SUBSTITUTE(SUBSTITUTE(LOWER(V205&amp;""),CHAR(10)," "),CHAR(13)," "),CHAR(9)," "),CHAR(160)," "),"."," "),","," "),"-"," "),"/"," "),"("," "),")"," "),":"," "),";"," "),"_"," "),"–"," "),"?"," "),"!"," "),"*"," "),"["," "),"]"," "),"'"," "),"#"," "),"+"," "),"&amp;"," "),"\"," "))&amp;" "</f>
        <v>  </v>
      </c>
      <c r="BD205" s="61" t="str">
        <f aca="false">" "&amp;TRIM(SUBSTITUTE(SUBSTITUTE(SUBSTITUTE(SUBSTITUTE(SUBSTITUTE(SUBSTITUTE(SUBSTITUTE(SUBSTITUTE(SUBSTITUTE(SUBSTITUTE(SUBSTITUTE(SUBSTITUTE(SUBSTITUTE(SUBSTITUTE(SUBSTITUTE(SUBSTITUTE(SUBSTITUTE(SUBSTITUTE(SUBSTITUTE(SUBSTITUTE(SUBSTITUTE(SUBSTITUTE(SUBSTITUTE(SUBSTITUTE(LOWER(Z205&amp;""),CHAR(10)," "),CHAR(13)," "),CHAR(9)," "),CHAR(160)," "),"."," "),","," "),"-"," "),"/"," "),"("," "),")"," "),":"," "),";"," "),"_"," "),"–"," "),"?"," "),"!"," "),"*"," "),"["," "),"]"," "),"'"," "),"#"," "),"+"," "),"&amp;"," "),"\"," "))&amp;" "</f>
        <v>  </v>
      </c>
      <c r="BE205" s="61" t="str">
        <f aca="false">" "&amp;TRIM(SUBSTITUTE(SUBSTITUTE(SUBSTITUTE(SUBSTITUTE(SUBSTITUTE(SUBSTITUTE(SUBSTITUTE(SUBSTITUTE(SUBSTITUTE(SUBSTITUTE(SUBSTITUTE(SUBSTITUTE(SUBSTITUTE(SUBSTITUTE(SUBSTITUTE(SUBSTITUTE(SUBSTITUTE(SUBSTITUTE(SUBSTITUTE(SUBSTITUTE(SUBSTITUTE(SUBSTITUTE(SUBSTITUTE(SUBSTITUTE(LOWER(W205&amp;""),CHAR(10)," "),CHAR(13)," "),CHAR(9)," "),CHAR(160)," "),"."," "),","," "),"-"," "),"/"," "),"("," "),")"," "),":"," "),";"," "),"_"," "),"–"," "),"?"," "),"!"," "),"*"," "),"["," "),"]"," "),"'"," "),"#"," "),"+"," "),"&amp;"," "),"\"," "))&amp;" "</f>
        <v>  </v>
      </c>
      <c r="BF205" s="61" t="str">
        <f aca="false">" "&amp;TRIM(SUBSTITUTE(SUBSTITUTE(SUBSTITUTE(SUBSTITUTE(SUBSTITUTE(SUBSTITUTE(SUBSTITUTE(SUBSTITUTE(SUBSTITUTE(SUBSTITUTE(SUBSTITUTE(SUBSTITUTE(SUBSTITUTE(SUBSTITUTE(SUBSTITUTE(SUBSTITUTE(SUBSTITUTE(SUBSTITUTE(SUBSTITUTE(SUBSTITUTE(SUBSTITUTE(SUBSTITUTE(SUBSTITUTE(SUBSTITUTE(LOWER(AC205&amp;""),CHAR(10)," "),CHAR(13)," "),CHAR(9)," "),CHAR(160)," "),"."," "),","," "),"-"," "),"/"," "),"("," "),")"," "),":"," "),";"," "),"_"," "),"–"," "),"?"," "),"!"," "),"*"," "),"["," "),"]"," "),"'"," "),"#"," "),"+"," "),"&amp;"," "),"\"," "))&amp;" "</f>
        <v>  </v>
      </c>
      <c r="BG205" s="61" t="n">
        <f aca="false">IFERROR(IF(AND(TRIM(U205)="Pass",SUMPRODUCT((LEN(BC205)-LEN(SUBSTITUTE(BC205," "&amp;L_ResultBad&amp;" "," ")))/(LEN(L_ResultBad)+1))&gt;SUMPRODUCT((LEN(BC205)-LEN(SUBSTITUTE(BC205," "&amp;L_NegPhrase&amp;" "," ")))/(LEN(L_NegPhrase)+1))),1,0),0)</f>
        <v>0</v>
      </c>
      <c r="BH205" s="61" t="n">
        <f aca="false">IFERROR(IF(SUMPRODUCT((LEN(BC205)-LEN(SUBSTITUTE(BC205," "&amp;L_Pending&amp;" "," ")))/(LEN(L_Pending)+1))&gt;SUMPRODUCT((LEN(BC205)-LEN(SUBSTITUTE(BC205," "&amp;L_PendNeg&amp;" "," ")))/(LEN(L_PendNeg)+1)),1,0),1)</f>
        <v>0</v>
      </c>
      <c r="BI205" s="61" t="n">
        <f aca="false">IFERROR(IF(SUMPRODUCT((LEN(BD205)-LEN(SUBSTITUTE(BD205," "&amp;L_PendStrict&amp;" "," ")))/(LEN(L_PendStrict)+1))&gt;SUMPRODUCT((LEN(BD205)-LEN(SUBSTITUTE(BD205," "&amp;L_PendNeg&amp;" "," ")))/(LEN(L_PendNeg)+1)),1,0),1)</f>
        <v>0</v>
      </c>
      <c r="BJ205" s="61" t="n">
        <f aca="false">IFERROR(IF(SUMPRODUCT((LEN(BE205)-LEN(SUBSTITUTE(BE205," "&amp;L_Pending&amp;" "," ")))/(LEN(L_Pending)+1))&gt;SUMPRODUCT((LEN(BE205)-LEN(SUBSTITUTE(BE205," "&amp;L_PendNeg&amp;" "," ")))/(LEN(L_PendNeg)+1)),1,0),1)</f>
        <v>0</v>
      </c>
      <c r="BK205" s="61" t="n">
        <f aca="false">IFERROR(IF(SUMPRODUCT((LEN(BF205)-LEN(SUBSTITUTE(BF205," "&amp;L_PendStrict&amp;" "," ")))/(LEN(L_PendStrict)+1))&gt;SUMPRODUCT((LEN(BF205)-LEN(SUBSTITUTE(BF205," "&amp;L_PendNeg&amp;" "," ")))/(LEN(L_PendNeg)+1)),1,0),1)</f>
        <v>0</v>
      </c>
      <c r="BL205" s="61" t="n">
        <f aca="false">IF(ISNA(MATCH(TRIM(S205),L_EvidenceType,0)),0,BZ205)</f>
        <v>0</v>
      </c>
      <c r="BM205" s="61" t="str">
        <f aca="false">SUBSTITUTE(SUBSTITUTE(SUBSTITUTE(SUBSTITUTE(SUBSTITUTE(SUBSTITUTE(SUBSTITUTE(SUBSTITUTE(SUBSTITUTE(LOWER(Z205&amp;""),"1","0"),"2","0"),"3","0"),"4","0"),"5","0"),"6","0"),"7","0"),"8","0"),"9","0")</f>
        <v/>
      </c>
      <c r="BN205" s="61" t="str">
        <f aca="false">SUBSTITUTE(SUBSTITUTE(SUBSTITUTE(SUBSTITUTE(SUBSTITUTE(SUBSTITUTE(SUBSTITUTE(SUBSTITUTE(SUBSTITUTE(SUBSTITUTE(SUBSTITUTE(SUBSTITUTE(SUBSTITUTE(SUBSTITUTE(SUBSTITUTE(SUBSTITUTE(SUBSTITUTE(SUBSTITUTE(SUBSTITUTE(SUBSTITUTE(SUBSTITUTE(SUBSTITUTE(SUBSTITUTE(SUBSTITUTE(SUBSTITUTE(BM205,"b","a"),"c","a"),"d","a"),"e","a"),"f","a"),"g","a"),"h","a"),"i","a"),"j","a"),"k","a"),"l","a"),"m","a"),"n","a"),"o","a"),"p","a"),"q","a"),"r","a"),"s","a"),"t","a"),"u","a"),"v","a"),"w","a"),"x","a"),"y","a"),"z","a")</f>
        <v/>
      </c>
      <c r="BO205" s="61" t="str">
        <f aca="false">SUBSTITUTE(SUBSTITUTE(SUBSTITUTE(SUBSTITUTE(SUBSTITUTE(SUBSTITUTE(SUBSTITUTE(SUBSTITUTE(SUBSTITUTE(LOWER(W205&amp;""),"1","0"),"2","0"),"3","0"),"4","0"),"5","0"),"6","0"),"7","0"),"8","0"),"9","0")</f>
        <v/>
      </c>
      <c r="BP205" s="61" t="str">
        <f aca="false">SUBSTITUTE(SUBSTITUTE(SUBSTITUTE(SUBSTITUTE(SUBSTITUTE(SUBSTITUTE(SUBSTITUTE(SUBSTITUTE(SUBSTITUTE(SUBSTITUTE(SUBSTITUTE(SUBSTITUTE(SUBSTITUTE(SUBSTITUTE(SUBSTITUTE(SUBSTITUTE(SUBSTITUTE(SUBSTITUTE(SUBSTITUTE(SUBSTITUTE(SUBSTITUTE(SUBSTITUTE(SUBSTITUTE(SUBSTITUTE(SUBSTITUTE(BO205,"b","a"),"c","a"),"d","a"),"e","a"),"f","a"),"g","a"),"h","a"),"i","a"),"j","a"),"k","a"),"l","a"),"m","a"),"n","a"),"o","a"),"p","a"),"q","a"),"r","a"),"s","a"),"t","a"),"u","a"),"v","a"),"w","a"),"x","a"),"y","a"),"z","a")</f>
        <v/>
      </c>
      <c r="BQ205" s="61" t="n">
        <f aca="false">IFERROR(IF(AND(ISERROR(SEARCH(" mh"," "&amp;LOWER(W205))),ISNA(MATCH(LEFT(TRIM(BP205),255),{"0000a","000a","00a","0000aa","000aa","00aa","0aa","0000aaa","000aaa","00a00","0a00","0000-0000","00:00","a00","a0","00.00.0000","00/00/0000","00-00-0000","0000-00-00","0000/00/00","0000.00.00","00.00.00","00/00/00","00-00-00","0.00.0000","0/00/0000","0-00-0000"},0)),ISNA(MATCH(LEFT(TRIM(CA205),255),{"0000a","000a","00a","0000aa","000aa","00aa","0aa","0000aaa","000aaa","00a00","0a00","0000-0000","00:00","a00","a0","00.00.0000","00/00/0000","00-00-0000","0000-00-00","0000/00/00","0000.00.00","00.00.00","00/00/00","00-00-00","0.00.0000","0/00/0000","0-00-0000"},0)),LEN(CB205)&gt;=3,NOT(OR(SUBSTITUTE(CB205,"0","")="",AND(LEN(CB205)&gt;=4,CB205=REPT(LEFT(CB205),LEN(CB205))),ISNUMBER(MATCH(CB205,{"123","1234","12345","123456","1234567","12345678","0123","01234","012345","98765","987654","54321"},0)),AND(LEN(CB205)=8,LEFT(CB205,3)="202"))),OR(AND((LEN(CA205)-LEN(SUBSTITUTE(CA205,"a","")))&gt;=1,SUMPRODUCT(--ISNUMBER(SEARCH({"a0","a-0","a_0","a/0","a.0","a#0","0a","0-a","0_a","0/a"},BP205)))&gt;0),ISNUMBER(SEARCH("000000",BP205)))),1,0),0)</f>
        <v>0</v>
      </c>
      <c r="BR205" s="61" t="n">
        <f aca="false">IFERROR(LEN(SUBSTITUTE(CC205," ",""))-SUMPRODUCT((LEN(CC205)-LEN(SUBSTITUTE(CC205," "&amp;L_Role&amp;" "," ")))/(LEN(L_Role)+1)*LEN(L_Role)),0)</f>
        <v>0</v>
      </c>
      <c r="BS205" s="61" t="n">
        <f aca="false">IFERROR(LEN(SUBSTITUTE(CD205," ",""))-SUMPRODUCT((LEN(CD205)-LEN(SUBSTITUTE(CD205," "&amp;L_Role&amp;" "," ")))/(LEN(L_Role)+1)*LEN(L_Role)),0)</f>
        <v>0</v>
      </c>
      <c r="BT2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205,"revision",""),"version",""),"jan",""),"feb",""),"mar",""),"apr",""),"may",""),"jun",""),"jul",""),"aug",""),"sep",""),"oct",""),"nov",""),"dec",""),"utc",""),"gmt",""),"myt",""),"bst",""),"rev",""),"ver",""),"b","a"),"c","a"),"d","a"),"e","a"),"f","a"),"g","a"),"h","a"),"i","a"),"j","a"),"k","a"),"l","a"),"m","a"),"n","a"),"o","a"),"p","a"),"q","a"),"r","a"),"s","a"),"t","a"),"u","a"),"v","a"),"w","a"),"x","a"),"y","a"),"z","a")</f>
        <v/>
      </c>
      <c r="BU205" s="61" t="str">
        <f aca="false">SUBSTITUTE(SUBSTITUTE(SUBSTITUTE(SUBSTITUTE(SUBSTITUTE(SUBSTITUTE(SUBSTITUTE(SUBSTITUTE(SUBSTITUTE(SUBSTITUTE(LEFT(BM205,FIND("0",BM205&amp;"0")-1),"-",""),"_",""),"/",""),".",""),"#",""),"\\",""),":","")," ",""),"(",""),")","")</f>
        <v/>
      </c>
      <c r="BV205" s="61" t="n">
        <f aca="false">IFERROR(IF(OR(SUMPRODUCT((LEN(BC205)-LEN(SUBSTITUTE(BC205," "&amp;L_NotLoaded&amp;" "," ")))/(LEN(L_NotLoaded)+1))&gt;SUMPRODUCT((LEN(BC205)-LEN(SUBSTITUTE(BC205," "&amp;L_NotLoadedNeg&amp;" "," ")))/(LEN(L_NotLoadedNeg)+1)),SUMPRODUCT((LEN(BD205)-LEN(SUBSTITUTE(BD205," "&amp;L_NotLoaded&amp;" "," ")))/(LEN(L_NotLoaded)+1))&gt;SUMPRODUCT((LEN(BD205)-LEN(SUBSTITUTE(BD205," "&amp;L_NotLoadedNeg&amp;" "," ")))/(LEN(L_NotLoadedNeg)+1))),1,0),0)</f>
        <v>0</v>
      </c>
      <c r="BW2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205&amp;""),"a",""),"b",""),"c",""),"d",""),"e",""),"f",""),"g",""),"h",""),"i",""),"j",""),"k",""),"l",""),"m",""),"n",""),"o",""),"p",""),"q",""),"r",""),"s",""),"t",""),"u",""),"v",""),"w",""),"x",""),"y",""),"z",""),"-",""),"_",""),"/",""),".",""),"#",""),"\\",""),":","")," ",""),"(",""),")","")</f>
        <v/>
      </c>
      <c r="BX205" s="61" t="str">
        <f aca="false">SUBSTITUTE(SUBSTITUTE(SUBSTITUTE(SUBSTITUTE(SUBSTITUTE(SUBSTITUTE(SUBSTITUTE(SUBSTITUTE(SUBSTITUTE(SUBSTITUTE(SUBSTITUTE(BM205,"0",""),"-",""),"_",""),"/",""),".",""),"#",""),"\\",""),":","")," ",""),"(",""),")","")</f>
        <v/>
      </c>
      <c r="BY205" s="62" t="n">
        <f aca="false">IF(ISNUMBER(Flights!$AZ$10),MAX(Q205-UpliftWindowH/24,Flights!$AZ$10),Q205-UpliftWindowH/24)</f>
        <v>46310.3888888889</v>
      </c>
      <c r="BZ205" s="61" t="n">
        <f aca="false">IFERROR(IF(IF(TRIM(S205)="Link / file path",AND(LEN(TRIM(Z205))&gt;=5,SUMPRODUCT(--ISNUMBER(SEARCH({"http","www.","\\",":\",".pdf",".jpg",".jpeg",".png",".heic",".xls",".doc",".msg",".eml",".ppt",".txt",".zip"},Z205)))&gt;0),AND(ISERROR(FIND(" ",TRIM(Z205))),NOT(OR(SUMPRODUCT(--ISNUMBER(FIND({",",";","&amp;","+"},Z205)))&gt;0,SUMPRODUCT(--ISNUMBER(SEARCH({"0/aa","0\\aa"},BN205)))&gt;0)),NOT(SUMPRODUCT(--ISNUMBER(SEARCH({"http","www.","\\",":\",".pdf",".jpg",".jpeg",".png",".heic",".xls",".doc",".msg",".eml",".ppt",".txt",".zip"},Z205)))&gt;0),NOT(LOWER(TRIM(Z205))=LOWER(Flights!$F$10)),ISNA(MATCH(BU205,{"mh","rev","revision","ver","version","v","r","a","b","seat","tray","row","gate","bay","stand","page","pg","item","line","no","cart","galley","flight","flt","table","box","bag","oven","etd","eta","std","sta","atd","ata","qty","pax","x","time","tel","ph","mob","day","wk","week","utc","gmt","myt","lt"},0)),NOT(OR(ISNUMBER(MATCH(LEFT(BN205,255),{"0000a","000a","00a","0000aa","000aa","00aa","0aa","0000aaa","000aaa","00a00","0a00","0000-0000","00:00","a00","a0","00.00.0000","00/00/0000","00-00-0000","0000-00-00","0000/00/00","0000.00.00","00.00.00","00/00/00","00-00-00","0.00.0000","0/00/0000","0-00-0000"},0)),ISNUMBER(MATCH(LEFT(BT205,255),{"0000a","000a","00a","0000aa","000aa","00aa","0aa","0000aaa","000aaa","00a00","0a00","0000-0000","00:00","a00","a0","00.00.0000","00/00/0000","00-00-0000","0000-00-00","0000/00/00","0000.00.00","00.00.00","00/00/00","00-00-00","0.00.0000","0/00/0000","0-00-0000"},0)))),NOT(OR(AND(BW205&lt;&gt;"",SUBSTITUTE(BW205,"0","")=""),AND(LEN(BW205)&gt;=4,BW205=REPT(LEFT(BW205),LEN(BW205))),ISNUMBER(MATCH(BW205,{"123","1234","12345","123456","1234567","12345678","0123","01234","012345","98765","987654","54321"},0)),ISNUMBER(MATCH(BX205,{"x","xx","xxx","xxxx","xxxxx","abc","abcd","nil","na","nan","test","tbc","tba","tbd","dummy","sample","example","eg","zz","zzz","none","null","xyz","qwe","asd","id","ref"},0)),AND(LEN(BW205)=8,BX205="",OR(LEFT(BW205,3)="202",ISNUMBER(MATCH(RIGHT(BW205,4),{"2025","2026","2027"},0)))))),OR(AND((LEN(BT205)-LEN(SUBSTITUTE(BT205,"a","")))&gt;=1,(LEN(BN205)-LEN(SUBSTITUTE(BN205,"0","")))&gt;=2,SUMPRODUCT(--ISNUMBER(SEARCH({"a0","a-0","a_0","a/0","a.0","a#0","0a","0-a","0_a","0/a"},BN205)))&gt;0),AND((LEN(BN205)-LEN(SUBSTITUTE(BN205,"a","")))=0,(LEN(BN205)-LEN(SUBSTITUTE(BN205,"0","")))&gt;=5)))),1,0),0)</f>
        <v>0</v>
      </c>
      <c r="CA2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205,"revision",""),"version",""),"jan",""),"feb",""),"mar",""),"apr",""),"may",""),"jun",""),"jul",""),"aug",""),"sep",""),"oct",""),"nov",""),"dec",""),"utc",""),"gmt",""),"myt",""),"bst",""),"rev",""),"ver",""),"b","a"),"c","a"),"d","a"),"e","a"),"f","a"),"g","a"),"h","a"),"i","a"),"j","a"),"k","a"),"l","a"),"m","a"),"n","a"),"o","a"),"p","a"),"q","a"),"r","a"),"s","a"),"t","a"),"u","a"),"v","a"),"w","a"),"x","a"),"y","a"),"z","a")</f>
        <v/>
      </c>
      <c r="CB2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205&amp;""),"a",""),"b",""),"c",""),"d",""),"e",""),"f",""),"g",""),"h",""),"i",""),"j",""),"k",""),"l",""),"m",""),"n",""),"o",""),"p",""),"q",""),"r",""),"s",""),"t",""),"u",""),"v",""),"w",""),"x",""),"y",""),"z",""),"-",""),"_",""),"/",""),".",""),"#",""),"\\",""),":","")," ",""),"(",""),")","")</f>
        <v/>
      </c>
      <c r="CC205" s="0" t="str">
        <f aca="false">" "&amp;TRIM(SUBSTITUTE(SUBSTITUTE(SUBSTITUTE(SUBSTITUTE(SUBSTITUTE(SUBSTITUTE(SUBSTITUTE(SUBSTITUTE(SUBSTITUTE(SUBSTITUTE(SUBSTITUTE(SUBSTITUTE(SUBSTITUTE(SUBSTITUTE(SUBSTITUTE(SUBSTITUTE(SUBSTITUTE(SUBSTITUTE(SUBSTITUTE(SUBSTITUTE(SUBSTITUTE(SUBSTITUTE(SUBSTITUTE(SUBSTITUTE(LOWER(T205&amp;""),CHAR(10)," "),CHAR(13)," "),CHAR(9)," "),CHAR(160)," "),"."," "),","," "),"-"," "),"/"," "),"("," "),")"," "),":"," "),";"," "),"_"," "),"–"," "),"?"," "),"!"," "),"*"," "),"["," "),"]"," "),"'"," "),"#"," "),"+"," "),"&amp;"," "),"\"," "))&amp;" "</f>
        <v>  </v>
      </c>
      <c r="CD205" s="0" t="str">
        <f aca="false">" "&amp;TRIM(SUBSTITUTE(SUBSTITUTE(SUBSTITUTE(SUBSTITUTE(SUBSTITUTE(SUBSTITUTE(SUBSTITUTE(SUBSTITUTE(SUBSTITUTE(SUBSTITUTE(SUBSTITUTE(SUBSTITUTE(SUBSTITUTE(SUBSTITUTE(SUBSTITUTE(SUBSTITUTE(SUBSTITUTE(SUBSTITUTE(SUBSTITUTE(SUBSTITUTE(SUBSTITUTE(SUBSTITUTE(SUBSTITUTE(SUBSTITUTE(LOWER(AE205&amp;""),CHAR(10)," "),CHAR(13)," "),CHAR(9)," "),CHAR(160)," "),"."," "),","," "),"-"," "),"/"," "),"("," "),")"," "),":"," "),";"," "),"_"," "),"–"," "),"?"," "),"!"," "),"*"," "),"["," "),"]"," "),"'"," "),"#"," "),"+"," "),"&amp;"," "),"\"," "))&amp;" "</f>
        <v>  </v>
      </c>
      <c r="CE205" s="68" t="n">
        <f aca="false">IFERROR(IF(AND(LEN(AU205)&gt;0,LEN(AU205)=LEN(AX205),OR(TRIM(MID(SUBSTITUTE(TRIM(CC205)," ",REPT(" ",60)),1,60))="",ISNUMBER(SEARCH(" "&amp;TRIM(MID(SUBSTITUTE(TRIM(CC205)," ",REPT(" ",60)),1,60))&amp;" ",CD205))),OR(TRIM(MID(SUBSTITUTE(TRIM(CC205)," ",REPT(" ",60)),61,60))="",ISNUMBER(SEARCH(" "&amp;TRIM(MID(SUBSTITUTE(TRIM(CC205)," ",REPT(" ",60)),61,60))&amp;" ",CD205))),OR(TRIM(MID(SUBSTITUTE(TRIM(CC205)," ",REPT(" ",60)),121,60))="",ISNUMBER(SEARCH(" "&amp;TRIM(MID(SUBSTITUTE(TRIM(CC205)," ",REPT(" ",60)),121,60))&amp;" ",CD205)))),1,0),0)</f>
        <v>0</v>
      </c>
      <c r="CG205" s="68" t="n">
        <f aca="false">IFERROR(LEN(SUBSTITUTE(BF205," ",""))-SUMPRODUCT((LEN(BF205)-LEN(SUBSTITUTE(BF205," "&amp;L_NAFiller&amp;" "," ")))/(LEN(L_NAFiller)+1)*LEN(L_NAFiller)),0)</f>
        <v>0</v>
      </c>
    </row>
    <row r="206" customFormat="false" ht="39.75" hidden="false" customHeight="true" outlineLevel="0" collapsed="false">
      <c r="A206" s="57" t="s">
        <v>767</v>
      </c>
      <c r="B206" s="57" t="s">
        <v>231</v>
      </c>
      <c r="C206" s="57" t="str">
        <f aca="false">Flights!$F$10</f>
        <v>MH0002</v>
      </c>
      <c r="D206" s="58" t="n">
        <f aca="false">Flights!$D$10</f>
        <v>46310</v>
      </c>
      <c r="E206" s="57" t="str">
        <f aca="false">Flights!$G$10&amp;"-"&amp;Flights!$H$10</f>
        <v>KUL-LHR</v>
      </c>
      <c r="F206" s="57" t="str">
        <f aca="false">Flights!$K$10</f>
        <v>BC</v>
      </c>
      <c r="G206" s="57" t="s">
        <v>459</v>
      </c>
      <c r="H206" s="57" t="s">
        <v>460</v>
      </c>
      <c r="I206" s="57" t="s">
        <v>499</v>
      </c>
      <c r="J206" s="57" t="s">
        <v>546</v>
      </c>
      <c r="K206" s="67" t="s">
        <v>501</v>
      </c>
      <c r="L206" s="67" t="s">
        <v>744</v>
      </c>
      <c r="M206" s="67" t="s">
        <v>451</v>
      </c>
      <c r="N206" s="67" t="s">
        <v>383</v>
      </c>
      <c r="O206" s="67"/>
      <c r="P206" s="57" t="s">
        <v>187</v>
      </c>
      <c r="Q206" s="59" t="n">
        <f aca="false">ROUND((Flights!$AF$10)*1440,0)/1440</f>
        <v>46310.6388888889</v>
      </c>
      <c r="R206" s="59" t="n">
        <f aca="false">Q206+(IF(AND(INDEX(TZ_DSTS,MATCH(P206,TZ_STN,0))&lt;&gt;"",Q206&gt;=INDEX(TZ_DSTS,MATCH(P206,TZ_STN,0)),Q206&lt;INDEX(TZ_DSTE,MATCH(P206,TZ_STN,0))),INDEX(TZ_DST,MATCH(P206,TZ_STN,0)),INDEX(TZ_STD,MATCH(P206,TZ_STN,0))))/24</f>
        <v>46310.9722222222</v>
      </c>
      <c r="S206" s="60"/>
      <c r="T206" s="60"/>
      <c r="U206" s="60"/>
      <c r="V206" s="60"/>
      <c r="W206" s="61"/>
      <c r="X206" s="60"/>
      <c r="Y206" s="60"/>
      <c r="Z206" s="60"/>
      <c r="AA206" s="60"/>
      <c r="AB206" s="60"/>
      <c r="AC206" s="60"/>
      <c r="AD206" s="66"/>
      <c r="AE206" s="60"/>
      <c r="AF206" s="61" t="str">
        <f aca="false">IF(AND(ISNUMBER(X206),ISNUMBER(Y206)),Y206-X206,"")</f>
        <v/>
      </c>
      <c r="AG206" s="62" t="str">
        <f aca="false">IF(ISNUMBER(AD206),AD206-(IF(AND(INDEX(TZ_DSTS,MATCH(P206,TZ_STN,0))&lt;&gt;"",(AD206-INDEX(TZ_STD,MATCH(P206,TZ_STN,0))/24)&gt;=INDEX(TZ_DSTS,MATCH(P206,TZ_STN,0)),(AD206-INDEX(TZ_STD,MATCH(P206,TZ_STN,0))/24)&lt;INDEX(TZ_DSTE,MATCH(P206,TZ_STN,0))),INDEX(TZ_DST,MATCH(P206,TZ_STN,0)),INDEX(TZ_STD,MATCH(P206,TZ_STN,0))))/24,"")</f>
        <v/>
      </c>
      <c r="AH206" s="65" t="str">
        <f aca="false">IFERROR(IF(N206="N/A – rule",IF(OR(TRIM(U206)="",TRIM(U206)="N/A",TRIM(U206)="Not started"),"N/A – RULE","INVALID – this check does not apply to this aircraft: clear the status (or correct the fleet on Flights)"),IF(TRIM(U206)="N/A",IF(AT206=0,"INVALID – N/A not permitted for this check",IF(AND(TRIM(AB206)&lt;&gt;"",TRIM(AB206)&lt;&gt;"Closed"),"INVALID – corrective action still open",IF(AND(NOT(OR(LEN(AZ206)&lt;15,ISNUMBER(MATCH(AZ206,L_Placeholder,0)))),BK206=0,CG206&gt;=8,NOT(OR(LEN(AU206)&lt;2,ISNUMBER(MATCH(AU206,L_Placeholder,0)))),BR206&gt;=3,NOT(OR(LEN(AX206)&lt;2,ISNUMBER(MATCH(AX206,L_Placeholder,0)))),BS206&gt;=3,TRIM(AE206)&lt;&gt;TRIM(T206),AX206&lt;&gt;AU206,CE206=0),"N/A – JUSTIFIED","INVALID – N/A needs a real, settled reason (not 'not applicable' / 'as above' / TBC), a named PIC and a different named verifier"))),IF(OR(TRIM(U206)="Pass",TRIM(U206)="Pass after CA"),IF(NOT(ISNUMBER(AD206)),"INVALID – completion time missing",IF(OR(OR(LEN(AU206)&lt;2,ISNUMBER(MATCH(AU206,L_Placeholder,0))),BR206&lt;3),"INVALID – PIC missing or not a named person (a role such as QA / CSM is not a name)",IF(OR(LEN(AV206)&lt;2,ISNUMBER(MATCH(AV206,L_Placeholder,0))),"INVALID – result / assessment missing",IF(OR(OR(LEN(AW206)&lt;3,ISNUMBER(MATCH(AW206,L_Placeholder,0))),SUMPRODUCT(--ISNUMBER(SEARCH(" "&amp;L_EvidencePhrase&amp;" ",BD206)))&gt;0,BI206=1),"INVALID – evidence missing, placeholder or not yet on file",IF(ISNA(MATCH(TRIM(S206),L_EvidenceType,0)),"INVALID – choose the evidence type from the list (column S)",IF(BL206=0,"INVALID – evidence ID must be the record's own ID only (e.g. SF-2210, IMG_2231, 1045521); a link / file name needs type 'Link / file path'",IF(OR(OR(LEN(AX206)&lt;2,ISNUMBER(MATCH(AX206,L_Placeholder,0))),BS206&lt;3),"INVALID – verifier missing or not a named person (a role such as QA / CSM is not a name)",IF(OR(AX206=AU206,CE206=1,AND(LEN(AU206)&gt;=4,ISNUMBER(SEARCH(AU206,AX206))),AND(LEN(AX206)&gt;=4,ISNUMBER(SEARCH(AX206,AU206)))),"INVALID – verifier must be a different, named person (not the PIC or a role)",IF(BH206=1,"INVALID – result not yet available (awaiting / TBC)",IF(BG206=1,"INVALID – result describes a problem: record Fail, then Pass after CA (or reword if it is not a problem)",IF(BV206=1,"INVALID – wording says not on board: an on-board confirmation needs the item loaded",IF(AND(AQ206=1,OR(OR(LEN(AY206)&lt;3,ISNUMBER(MATCH(AY206,L_Placeholder,0))),BJ206=1,BQ206=0)),"INVALID – batch ID missing, placeholder or not an ID (e.g. PASB-261008-BC-017)",IF(AND(AR206=1,OR(NOT(ISNUMBER(X206)),NOT(ISNUMBER(Y206)))),"INVALID – expected/actual qty missing",IF(AND(AR206=1,OR(X206&lt;=0,Y206&lt;0)),"INVALID – expected qty must be above 0 and actual not negative",IF(AH190="N/A – JUSTIFIED","INVALID – preparation row F06-T12-15 is N/A",IF(AND(AR206=1,ISNUMBER(X190),X206&lt;&gt;X190,TRIM(U206)&lt;&gt;"Pass after CA"),"INVALID – expected qty differs from preparation check F06-T12-15: record the load change as a corrective action (Pass after CA)",IF(BB206&lt;&gt;"",BB206,IF(AND(AS206=1,Documents!$J$10&lt;&gt;"ON FILE"),"INVALID – GLD not on file (Documents sheet)",IF(AND(AS206=2,Documents!$O$10&lt;&gt;"ON FILE"),"INVALID – menu checklist not on file (Documents sheet)",IF(AND(AS206=3,NOT(ISNUMBER(Flights!$AX$10))),"INVALID – enter carrying flight KUL departure (Flights AX)",IF(AND(AS206=3,OR(Flights!$AZ$10&gt;Flights!$AA$10,Flights!$AX$10&lt;Flights!$AA$10-3)),"INVALID – carrying flight (Flights AX) cannot arrive before this leg's STD, or is over 3 days early",IF(AG206&gt;AsOfUTC,"INVALID – completion time is in the future",IF(AND(ISNUMBER(BY206),AG206&lt;BY206),IF(H206="Physical uplift","INVALID – before uplift window (cannot confirm loading)","INVALID – before valid window"),IF(AG206&gt;Flights!$AA$10,"INVALID – completed after departure (cannot establish readiness)",IF(AND(H206="Preparation",AG206&gt;=IF(ISNUMBER(Flights!$BA$10),MIN(Flights!$BA$10,Flights!$AA$10),Flights!$AA$10)),"INVALID – completed after loading / departure (cannot establish readiness)",IF(AND(H206="Physical uplift",AG206&gt;Q206),"INVALID – recorded after the loading flight departed",IF(AG206&gt;Q206,"COMPLETE – LATE","COMPLETE"))))))))))))))))))))))))))),IF(TRIM(U206)="Fail","FAIL – DISCREPANCY",IF(AND(TRIM(U206)&lt;&gt;"",TRIM(U206)&lt;&gt;"Not started",TRIM(U206)&lt;&gt;"In progress"),"INVALID – unrecognised status (use the list)",IF(AsOfUTC&gt;Q206,"OVERDUE",IF(N206="Clarification required","OPEN – CLARIFICATION","OPEN"))))))),"INVALID – error value in an input cell")</f>
        <v>OPEN</v>
      </c>
      <c r="AI206" s="61" t="n">
        <f aca="false">IF(OR(AH206="N/A – RULE",AH206="N/A – JUSTIFIED"),0,1)</f>
        <v>1</v>
      </c>
      <c r="AJ206" s="61" t="n">
        <f aca="false">IF(LEFT(AH206,8)="COMPLETE",1,0)</f>
        <v>0</v>
      </c>
      <c r="AK206" s="61" t="n">
        <f aca="false">IF(AND(AI206=1,AJ206=0,AsOfUTC&gt;Q206),1,0)</f>
        <v>0</v>
      </c>
      <c r="AL206" s="61" t="n">
        <f aca="false">IFERROR(IF(AND(AI206=1,OR(TRIM(U206)="Fail",AND(TRIM(AB206)&lt;&gt;"",TRIM(AB206)&lt;&gt;"Closed"),AND(ISNUMBER(AF206),AF206&lt;&gt;0,TRIM(U206)&lt;&gt;"Pass after CA"))),1,0),1)</f>
        <v>0</v>
      </c>
      <c r="AM206" s="61" t="n">
        <f aca="false">IF(LEFT(AH206,7)="INVALID",1,0)</f>
        <v>0</v>
      </c>
      <c r="AN206" s="61" t="n">
        <f aca="false">IF(AND(N206="Clarification required",AI206=1,AJ206=0),1,0)</f>
        <v>0</v>
      </c>
      <c r="AO206" s="61" t="str">
        <f aca="false">IF(AK206=1,SUM(AK$5:AK206),"")</f>
        <v/>
      </c>
      <c r="AP206" s="61" t="str">
        <f aca="false">IF(AL206=1,SUM(AL$5:AL206),"")</f>
        <v/>
      </c>
      <c r="AQ206" s="61" t="n">
        <v>0</v>
      </c>
      <c r="AR206" s="61" t="n">
        <v>0</v>
      </c>
      <c r="AS206" s="61" t="n">
        <v>0</v>
      </c>
      <c r="AT206" s="61" t="n">
        <v>0</v>
      </c>
      <c r="AU206" s="61" t="str">
        <f aca="false">SUBSTITUTE(SUBSTITUTE(SUBSTITUTE(SUBSTITUTE(SUBSTITUTE(SUBSTITUTE(SUBSTITUTE(SUBSTITUTE(SUBSTITUTE(SUBSTITUTE(SUBSTITUTE(SUBSTITUTE(SUBSTITUTE(SUBSTITUTE(SUBSTITUTE(SUBSTITUTE(LOWER(T206&amp;""),CHAR(10),""),CHAR(13),""),CHAR(9),""),CHAR(160),"")," ",""),".",""),"-",""),"/",""),"?",""),"_",""),",",""),"[",""),"]",""),"(",""),")",""),"*","")</f>
        <v/>
      </c>
      <c r="AV206" s="61" t="str">
        <f aca="false">SUBSTITUTE(SUBSTITUTE(SUBSTITUTE(SUBSTITUTE(SUBSTITUTE(SUBSTITUTE(SUBSTITUTE(SUBSTITUTE(SUBSTITUTE(SUBSTITUTE(SUBSTITUTE(SUBSTITUTE(SUBSTITUTE(SUBSTITUTE(SUBSTITUTE(SUBSTITUTE(LOWER(V206&amp;""),CHAR(10),""),CHAR(13),""),CHAR(9),""),CHAR(160),"")," ",""),".",""),"-",""),"/",""),"?",""),"_",""),",",""),"[",""),"]",""),"(",""),")",""),"*","")</f>
        <v/>
      </c>
      <c r="AW206" s="61" t="str">
        <f aca="false">SUBSTITUTE(SUBSTITUTE(SUBSTITUTE(SUBSTITUTE(SUBSTITUTE(SUBSTITUTE(SUBSTITUTE(SUBSTITUTE(SUBSTITUTE(SUBSTITUTE(SUBSTITUTE(SUBSTITUTE(SUBSTITUTE(SUBSTITUTE(SUBSTITUTE(SUBSTITUTE(LOWER(Z206&amp;""),CHAR(10),""),CHAR(13),""),CHAR(9),""),CHAR(160),"")," ",""),".",""),"-",""),"/",""),"?",""),"_",""),",",""),"[",""),"]",""),"(",""),")",""),"*","")</f>
        <v/>
      </c>
      <c r="AX206" s="61" t="str">
        <f aca="false">SUBSTITUTE(SUBSTITUTE(SUBSTITUTE(SUBSTITUTE(SUBSTITUTE(SUBSTITUTE(SUBSTITUTE(SUBSTITUTE(SUBSTITUTE(SUBSTITUTE(SUBSTITUTE(SUBSTITUTE(SUBSTITUTE(SUBSTITUTE(SUBSTITUTE(SUBSTITUTE(LOWER(AE206&amp;""),CHAR(10),""),CHAR(13),""),CHAR(9),""),CHAR(160),"")," ",""),".",""),"-",""),"/",""),"?",""),"_",""),",",""),"[",""),"]",""),"(",""),")",""),"*","")</f>
        <v/>
      </c>
      <c r="AY206" s="61" t="str">
        <f aca="false">SUBSTITUTE(SUBSTITUTE(SUBSTITUTE(SUBSTITUTE(SUBSTITUTE(SUBSTITUTE(SUBSTITUTE(SUBSTITUTE(SUBSTITUTE(SUBSTITUTE(SUBSTITUTE(SUBSTITUTE(SUBSTITUTE(SUBSTITUTE(SUBSTITUTE(SUBSTITUTE(LOWER(W206&amp;""),CHAR(10),""),CHAR(13),""),CHAR(9),""),CHAR(160),"")," ",""),".",""),"-",""),"/",""),"?",""),"_",""),",",""),"[",""),"]",""),"(",""),")",""),"*","")</f>
        <v/>
      </c>
      <c r="AZ206" s="61" t="str">
        <f aca="false">SUBSTITUTE(SUBSTITUTE(SUBSTITUTE(SUBSTITUTE(SUBSTITUTE(SUBSTITUTE(SUBSTITUTE(SUBSTITUTE(SUBSTITUTE(SUBSTITUTE(SUBSTITUTE(SUBSTITUTE(SUBSTITUTE(SUBSTITUTE(SUBSTITUTE(SUBSTITUTE(LOWER(AC206&amp;""),CHAR(10),""),CHAR(13),""),CHAR(9),""),CHAR(160),"")," ",""),".",""),"-",""),"/",""),"?",""),"_",""),",",""),"[",""),"]",""),"(",""),")",""),"*","")</f>
        <v/>
      </c>
      <c r="BA206" s="61" t="str">
        <f aca="false">SUBSTITUTE(SUBSTITUTE(SUBSTITUTE(SUBSTITUTE(SUBSTITUTE(SUBSTITUTE(SUBSTITUTE(SUBSTITUTE(SUBSTITUTE(SUBSTITUTE(SUBSTITUTE(SUBSTITUTE(SUBSTITUTE(SUBSTITUTE(SUBSTITUTE(SUBSTITUTE(LOWER(AA206&amp;""),CHAR(10),""),CHAR(13),""),CHAR(9),""),CHAR(160),"")," ",""),".",""),"-",""),"/",""),"?",""),"_",""),",",""),"[",""),"]",""),"(",""),")",""),"*","")</f>
        <v/>
      </c>
      <c r="BB206" s="61" t="str">
        <f aca="false">IF(AND(TRIM(U206)="Pass",ISNUMBER(AF206)),IF(AF206&lt;&gt;0,"INVALID – qty variance: use Fail or Pass after CA",""),"")&amp;IF(AND(TRIM(U206)="Pass after CA",ISNUMBER(AF206)),IF(AF206&lt;&gt;0,"INVALID – after the corrective action the actual qty must equal expected (update Actual)",""),"")&amp;IF(AND(TRIM(U206)="Pass",TRIM(AB206)&lt;&gt;"",TRIM(AB206)&lt;&gt;"Closed"),"INVALID – corrective action not closed: use Fail, then Pass after CA","")&amp;IF(AND(LEN(BA206)&gt;=2,ISNA(MATCH(LEFT(BA206,255),L_Placeholder,0)),TRIM(AB206)=""),"INVALID – CA status missing for the recorded corrective action","")&amp;IF(AND(TRIM(U206)="Pass after CA",OR(OR(LEN(BA206)&lt;5,ISNUMBER(MATCH(BA206,L_Placeholder,0))),TRIM(AB206)&lt;&gt;"Closed")),"INVALID – corrective action not recorded/closed","")</f>
        <v/>
      </c>
      <c r="BC206" s="61" t="str">
        <f aca="false">" "&amp;TRIM(SUBSTITUTE(SUBSTITUTE(SUBSTITUTE(SUBSTITUTE(SUBSTITUTE(SUBSTITUTE(SUBSTITUTE(SUBSTITUTE(SUBSTITUTE(SUBSTITUTE(SUBSTITUTE(SUBSTITUTE(SUBSTITUTE(SUBSTITUTE(SUBSTITUTE(SUBSTITUTE(SUBSTITUTE(SUBSTITUTE(SUBSTITUTE(SUBSTITUTE(SUBSTITUTE(SUBSTITUTE(SUBSTITUTE(SUBSTITUTE(LOWER(V206&amp;""),CHAR(10)," "),CHAR(13)," "),CHAR(9)," "),CHAR(160)," "),"."," "),","," "),"-"," "),"/"," "),"("," "),")"," "),":"," "),";"," "),"_"," "),"–"," "),"?"," "),"!"," "),"*"," "),"["," "),"]"," "),"'"," "),"#"," "),"+"," "),"&amp;"," "),"\"," "))&amp;" "</f>
        <v>  </v>
      </c>
      <c r="BD206" s="61" t="str">
        <f aca="false">" "&amp;TRIM(SUBSTITUTE(SUBSTITUTE(SUBSTITUTE(SUBSTITUTE(SUBSTITUTE(SUBSTITUTE(SUBSTITUTE(SUBSTITUTE(SUBSTITUTE(SUBSTITUTE(SUBSTITUTE(SUBSTITUTE(SUBSTITUTE(SUBSTITUTE(SUBSTITUTE(SUBSTITUTE(SUBSTITUTE(SUBSTITUTE(SUBSTITUTE(SUBSTITUTE(SUBSTITUTE(SUBSTITUTE(SUBSTITUTE(SUBSTITUTE(LOWER(Z206&amp;""),CHAR(10)," "),CHAR(13)," "),CHAR(9)," "),CHAR(160)," "),"."," "),","," "),"-"," "),"/"," "),"("," "),")"," "),":"," "),";"," "),"_"," "),"–"," "),"?"," "),"!"," "),"*"," "),"["," "),"]"," "),"'"," "),"#"," "),"+"," "),"&amp;"," "),"\"," "))&amp;" "</f>
        <v>  </v>
      </c>
      <c r="BE206" s="61" t="str">
        <f aca="false">" "&amp;TRIM(SUBSTITUTE(SUBSTITUTE(SUBSTITUTE(SUBSTITUTE(SUBSTITUTE(SUBSTITUTE(SUBSTITUTE(SUBSTITUTE(SUBSTITUTE(SUBSTITUTE(SUBSTITUTE(SUBSTITUTE(SUBSTITUTE(SUBSTITUTE(SUBSTITUTE(SUBSTITUTE(SUBSTITUTE(SUBSTITUTE(SUBSTITUTE(SUBSTITUTE(SUBSTITUTE(SUBSTITUTE(SUBSTITUTE(SUBSTITUTE(LOWER(W206&amp;""),CHAR(10)," "),CHAR(13)," "),CHAR(9)," "),CHAR(160)," "),"."," "),","," "),"-"," "),"/"," "),"("," "),")"," "),":"," "),";"," "),"_"," "),"–"," "),"?"," "),"!"," "),"*"," "),"["," "),"]"," "),"'"," "),"#"," "),"+"," "),"&amp;"," "),"\"," "))&amp;" "</f>
        <v>  </v>
      </c>
      <c r="BF206" s="61" t="str">
        <f aca="false">" "&amp;TRIM(SUBSTITUTE(SUBSTITUTE(SUBSTITUTE(SUBSTITUTE(SUBSTITUTE(SUBSTITUTE(SUBSTITUTE(SUBSTITUTE(SUBSTITUTE(SUBSTITUTE(SUBSTITUTE(SUBSTITUTE(SUBSTITUTE(SUBSTITUTE(SUBSTITUTE(SUBSTITUTE(SUBSTITUTE(SUBSTITUTE(SUBSTITUTE(SUBSTITUTE(SUBSTITUTE(SUBSTITUTE(SUBSTITUTE(SUBSTITUTE(LOWER(AC206&amp;""),CHAR(10)," "),CHAR(13)," "),CHAR(9)," "),CHAR(160)," "),"."," "),","," "),"-"," "),"/"," "),"("," "),")"," "),":"," "),";"," "),"_"," "),"–"," "),"?"," "),"!"," "),"*"," "),"["," "),"]"," "),"'"," "),"#"," "),"+"," "),"&amp;"," "),"\"," "))&amp;" "</f>
        <v>  </v>
      </c>
      <c r="BG206" s="61" t="n">
        <f aca="false">IFERROR(IF(AND(TRIM(U206)="Pass",SUMPRODUCT((LEN(BC206)-LEN(SUBSTITUTE(BC206," "&amp;L_ResultBad&amp;" "," ")))/(LEN(L_ResultBad)+1))&gt;SUMPRODUCT((LEN(BC206)-LEN(SUBSTITUTE(BC206," "&amp;L_NegPhrase&amp;" "," ")))/(LEN(L_NegPhrase)+1))),1,0),0)</f>
        <v>0</v>
      </c>
      <c r="BH206" s="61" t="n">
        <f aca="false">IFERROR(IF(SUMPRODUCT((LEN(BC206)-LEN(SUBSTITUTE(BC206," "&amp;L_Pending&amp;" "," ")))/(LEN(L_Pending)+1))&gt;SUMPRODUCT((LEN(BC206)-LEN(SUBSTITUTE(BC206," "&amp;L_PendNeg&amp;" "," ")))/(LEN(L_PendNeg)+1)),1,0),1)</f>
        <v>0</v>
      </c>
      <c r="BI206" s="61" t="n">
        <f aca="false">IFERROR(IF(SUMPRODUCT((LEN(BD206)-LEN(SUBSTITUTE(BD206," "&amp;L_PendStrict&amp;" "," ")))/(LEN(L_PendStrict)+1))&gt;SUMPRODUCT((LEN(BD206)-LEN(SUBSTITUTE(BD206," "&amp;L_PendNeg&amp;" "," ")))/(LEN(L_PendNeg)+1)),1,0),1)</f>
        <v>0</v>
      </c>
      <c r="BJ206" s="61" t="n">
        <f aca="false">IFERROR(IF(SUMPRODUCT((LEN(BE206)-LEN(SUBSTITUTE(BE206," "&amp;L_Pending&amp;" "," ")))/(LEN(L_Pending)+1))&gt;SUMPRODUCT((LEN(BE206)-LEN(SUBSTITUTE(BE206," "&amp;L_PendNeg&amp;" "," ")))/(LEN(L_PendNeg)+1)),1,0),1)</f>
        <v>0</v>
      </c>
      <c r="BK206" s="61" t="n">
        <f aca="false">IFERROR(IF(SUMPRODUCT((LEN(BF206)-LEN(SUBSTITUTE(BF206," "&amp;L_PendStrict&amp;" "," ")))/(LEN(L_PendStrict)+1))&gt;SUMPRODUCT((LEN(BF206)-LEN(SUBSTITUTE(BF206," "&amp;L_PendNeg&amp;" "," ")))/(LEN(L_PendNeg)+1)),1,0),1)</f>
        <v>0</v>
      </c>
      <c r="BL206" s="61" t="n">
        <f aca="false">IF(ISNA(MATCH(TRIM(S206),L_EvidenceType,0)),0,BZ206)</f>
        <v>0</v>
      </c>
      <c r="BM206" s="61" t="str">
        <f aca="false">SUBSTITUTE(SUBSTITUTE(SUBSTITUTE(SUBSTITUTE(SUBSTITUTE(SUBSTITUTE(SUBSTITUTE(SUBSTITUTE(SUBSTITUTE(LOWER(Z206&amp;""),"1","0"),"2","0"),"3","0"),"4","0"),"5","0"),"6","0"),"7","0"),"8","0"),"9","0")</f>
        <v/>
      </c>
      <c r="BN206" s="61" t="str">
        <f aca="false">SUBSTITUTE(SUBSTITUTE(SUBSTITUTE(SUBSTITUTE(SUBSTITUTE(SUBSTITUTE(SUBSTITUTE(SUBSTITUTE(SUBSTITUTE(SUBSTITUTE(SUBSTITUTE(SUBSTITUTE(SUBSTITUTE(SUBSTITUTE(SUBSTITUTE(SUBSTITUTE(SUBSTITUTE(SUBSTITUTE(SUBSTITUTE(SUBSTITUTE(SUBSTITUTE(SUBSTITUTE(SUBSTITUTE(SUBSTITUTE(SUBSTITUTE(BM206,"b","a"),"c","a"),"d","a"),"e","a"),"f","a"),"g","a"),"h","a"),"i","a"),"j","a"),"k","a"),"l","a"),"m","a"),"n","a"),"o","a"),"p","a"),"q","a"),"r","a"),"s","a"),"t","a"),"u","a"),"v","a"),"w","a"),"x","a"),"y","a"),"z","a")</f>
        <v/>
      </c>
      <c r="BO206" s="61" t="str">
        <f aca="false">SUBSTITUTE(SUBSTITUTE(SUBSTITUTE(SUBSTITUTE(SUBSTITUTE(SUBSTITUTE(SUBSTITUTE(SUBSTITUTE(SUBSTITUTE(LOWER(W206&amp;""),"1","0"),"2","0"),"3","0"),"4","0"),"5","0"),"6","0"),"7","0"),"8","0"),"9","0")</f>
        <v/>
      </c>
      <c r="BP206" s="61" t="str">
        <f aca="false">SUBSTITUTE(SUBSTITUTE(SUBSTITUTE(SUBSTITUTE(SUBSTITUTE(SUBSTITUTE(SUBSTITUTE(SUBSTITUTE(SUBSTITUTE(SUBSTITUTE(SUBSTITUTE(SUBSTITUTE(SUBSTITUTE(SUBSTITUTE(SUBSTITUTE(SUBSTITUTE(SUBSTITUTE(SUBSTITUTE(SUBSTITUTE(SUBSTITUTE(SUBSTITUTE(SUBSTITUTE(SUBSTITUTE(SUBSTITUTE(SUBSTITUTE(BO206,"b","a"),"c","a"),"d","a"),"e","a"),"f","a"),"g","a"),"h","a"),"i","a"),"j","a"),"k","a"),"l","a"),"m","a"),"n","a"),"o","a"),"p","a"),"q","a"),"r","a"),"s","a"),"t","a"),"u","a"),"v","a"),"w","a"),"x","a"),"y","a"),"z","a")</f>
        <v/>
      </c>
      <c r="BQ206" s="61" t="n">
        <f aca="false">IFERROR(IF(AND(ISERROR(SEARCH(" mh"," "&amp;LOWER(W206))),ISNA(MATCH(LEFT(TRIM(BP206),255),{"0000a","000a","00a","0000aa","000aa","00aa","0aa","0000aaa","000aaa","00a00","0a00","0000-0000","00:00","a00","a0","00.00.0000","00/00/0000","00-00-0000","0000-00-00","0000/00/00","0000.00.00","00.00.00","00/00/00","00-00-00","0.00.0000","0/00/0000","0-00-0000"},0)),ISNA(MATCH(LEFT(TRIM(CA206),255),{"0000a","000a","00a","0000aa","000aa","00aa","0aa","0000aaa","000aaa","00a00","0a00","0000-0000","00:00","a00","a0","00.00.0000","00/00/0000","00-00-0000","0000-00-00","0000/00/00","0000.00.00","00.00.00","00/00/00","00-00-00","0.00.0000","0/00/0000","0-00-0000"},0)),LEN(CB206)&gt;=3,NOT(OR(SUBSTITUTE(CB206,"0","")="",AND(LEN(CB206)&gt;=4,CB206=REPT(LEFT(CB206),LEN(CB206))),ISNUMBER(MATCH(CB206,{"123","1234","12345","123456","1234567","12345678","0123","01234","012345","98765","987654","54321"},0)),AND(LEN(CB206)=8,LEFT(CB206,3)="202"))),OR(AND((LEN(CA206)-LEN(SUBSTITUTE(CA206,"a","")))&gt;=1,SUMPRODUCT(--ISNUMBER(SEARCH({"a0","a-0","a_0","a/0","a.0","a#0","0a","0-a","0_a","0/a"},BP206)))&gt;0),ISNUMBER(SEARCH("000000",BP206)))),1,0),0)</f>
        <v>0</v>
      </c>
      <c r="BR206" s="61" t="n">
        <f aca="false">IFERROR(LEN(SUBSTITUTE(CC206," ",""))-SUMPRODUCT((LEN(CC206)-LEN(SUBSTITUTE(CC206," "&amp;L_Role&amp;" "," ")))/(LEN(L_Role)+1)*LEN(L_Role)),0)</f>
        <v>0</v>
      </c>
      <c r="BS206" s="61" t="n">
        <f aca="false">IFERROR(LEN(SUBSTITUTE(CD206," ",""))-SUMPRODUCT((LEN(CD206)-LEN(SUBSTITUTE(CD206," "&amp;L_Role&amp;" "," ")))/(LEN(L_Role)+1)*LEN(L_Role)),0)</f>
        <v>0</v>
      </c>
      <c r="BT2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206,"revision",""),"version",""),"jan",""),"feb",""),"mar",""),"apr",""),"may",""),"jun",""),"jul",""),"aug",""),"sep",""),"oct",""),"nov",""),"dec",""),"utc",""),"gmt",""),"myt",""),"bst",""),"rev",""),"ver",""),"b","a"),"c","a"),"d","a"),"e","a"),"f","a"),"g","a"),"h","a"),"i","a"),"j","a"),"k","a"),"l","a"),"m","a"),"n","a"),"o","a"),"p","a"),"q","a"),"r","a"),"s","a"),"t","a"),"u","a"),"v","a"),"w","a"),"x","a"),"y","a"),"z","a")</f>
        <v/>
      </c>
      <c r="BU206" s="61" t="str">
        <f aca="false">SUBSTITUTE(SUBSTITUTE(SUBSTITUTE(SUBSTITUTE(SUBSTITUTE(SUBSTITUTE(SUBSTITUTE(SUBSTITUTE(SUBSTITUTE(SUBSTITUTE(LEFT(BM206,FIND("0",BM206&amp;"0")-1),"-",""),"_",""),"/",""),".",""),"#",""),"\\",""),":","")," ",""),"(",""),")","")</f>
        <v/>
      </c>
      <c r="BV206" s="61" t="n">
        <f aca="false">IFERROR(IF(OR(SUMPRODUCT((LEN(BC206)-LEN(SUBSTITUTE(BC206," "&amp;L_NotLoaded&amp;" "," ")))/(LEN(L_NotLoaded)+1))&gt;SUMPRODUCT((LEN(BC206)-LEN(SUBSTITUTE(BC206," "&amp;L_NotLoadedNeg&amp;" "," ")))/(LEN(L_NotLoadedNeg)+1)),SUMPRODUCT((LEN(BD206)-LEN(SUBSTITUTE(BD206," "&amp;L_NotLoaded&amp;" "," ")))/(LEN(L_NotLoaded)+1))&gt;SUMPRODUCT((LEN(BD206)-LEN(SUBSTITUTE(BD206," "&amp;L_NotLoadedNeg&amp;" "," ")))/(LEN(L_NotLoadedNeg)+1))),1,0),0)</f>
        <v>0</v>
      </c>
      <c r="BW2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206&amp;""),"a",""),"b",""),"c",""),"d",""),"e",""),"f",""),"g",""),"h",""),"i",""),"j",""),"k",""),"l",""),"m",""),"n",""),"o",""),"p",""),"q",""),"r",""),"s",""),"t",""),"u",""),"v",""),"w",""),"x",""),"y",""),"z",""),"-",""),"_",""),"/",""),".",""),"#",""),"\\",""),":","")," ",""),"(",""),")","")</f>
        <v/>
      </c>
      <c r="BX206" s="61" t="str">
        <f aca="false">SUBSTITUTE(SUBSTITUTE(SUBSTITUTE(SUBSTITUTE(SUBSTITUTE(SUBSTITUTE(SUBSTITUTE(SUBSTITUTE(SUBSTITUTE(SUBSTITUTE(SUBSTITUTE(BM206,"0",""),"-",""),"_",""),"/",""),".",""),"#",""),"\\",""),":","")," ",""),"(",""),")","")</f>
        <v/>
      </c>
      <c r="BY206" s="62" t="n">
        <f aca="false">IF(ISNUMBER(Flights!$AZ$10),MAX(Q206-UpliftWindowH/24,Flights!$AZ$10),Q206-UpliftWindowH/24)</f>
        <v>46310.3888888889</v>
      </c>
      <c r="BZ206" s="61" t="n">
        <f aca="false">IFERROR(IF(IF(TRIM(S206)="Link / file path",AND(LEN(TRIM(Z206))&gt;=5,SUMPRODUCT(--ISNUMBER(SEARCH({"http","www.","\\",":\",".pdf",".jpg",".jpeg",".png",".heic",".xls",".doc",".msg",".eml",".ppt",".txt",".zip"},Z206)))&gt;0),AND(ISERROR(FIND(" ",TRIM(Z206))),NOT(OR(SUMPRODUCT(--ISNUMBER(FIND({",",";","&amp;","+"},Z206)))&gt;0,SUMPRODUCT(--ISNUMBER(SEARCH({"0/aa","0\\aa"},BN206)))&gt;0)),NOT(SUMPRODUCT(--ISNUMBER(SEARCH({"http","www.","\\",":\",".pdf",".jpg",".jpeg",".png",".heic",".xls",".doc",".msg",".eml",".ppt",".txt",".zip"},Z206)))&gt;0),NOT(LOWER(TRIM(Z206))=LOWER(Flights!$F$10)),ISNA(MATCH(BU206,{"mh","rev","revision","ver","version","v","r","a","b","seat","tray","row","gate","bay","stand","page","pg","item","line","no","cart","galley","flight","flt","table","box","bag","oven","etd","eta","std","sta","atd","ata","qty","pax","x","time","tel","ph","mob","day","wk","week","utc","gmt","myt","lt"},0)),NOT(OR(ISNUMBER(MATCH(LEFT(BN206,255),{"0000a","000a","00a","0000aa","000aa","00aa","0aa","0000aaa","000aaa","00a00","0a00","0000-0000","00:00","a00","a0","00.00.0000","00/00/0000","00-00-0000","0000-00-00","0000/00/00","0000.00.00","00.00.00","00/00/00","00-00-00","0.00.0000","0/00/0000","0-00-0000"},0)),ISNUMBER(MATCH(LEFT(BT206,255),{"0000a","000a","00a","0000aa","000aa","00aa","0aa","0000aaa","000aaa","00a00","0a00","0000-0000","00:00","a00","a0","00.00.0000","00/00/0000","00-00-0000","0000-00-00","0000/00/00","0000.00.00","00.00.00","00/00/00","00-00-00","0.00.0000","0/00/0000","0-00-0000"},0)))),NOT(OR(AND(BW206&lt;&gt;"",SUBSTITUTE(BW206,"0","")=""),AND(LEN(BW206)&gt;=4,BW206=REPT(LEFT(BW206),LEN(BW206))),ISNUMBER(MATCH(BW206,{"123","1234","12345","123456","1234567","12345678","0123","01234","012345","98765","987654","54321"},0)),ISNUMBER(MATCH(BX206,{"x","xx","xxx","xxxx","xxxxx","abc","abcd","nil","na","nan","test","tbc","tba","tbd","dummy","sample","example","eg","zz","zzz","none","null","xyz","qwe","asd","id","ref"},0)),AND(LEN(BW206)=8,BX206="",OR(LEFT(BW206,3)="202",ISNUMBER(MATCH(RIGHT(BW206,4),{"2025","2026","2027"},0)))))),OR(AND((LEN(BT206)-LEN(SUBSTITUTE(BT206,"a","")))&gt;=1,(LEN(BN206)-LEN(SUBSTITUTE(BN206,"0","")))&gt;=2,SUMPRODUCT(--ISNUMBER(SEARCH({"a0","a-0","a_0","a/0","a.0","a#0","0a","0-a","0_a","0/a"},BN206)))&gt;0),AND((LEN(BN206)-LEN(SUBSTITUTE(BN206,"a","")))=0,(LEN(BN206)-LEN(SUBSTITUTE(BN206,"0","")))&gt;=5)))),1,0),0)</f>
        <v>0</v>
      </c>
      <c r="CA2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206,"revision",""),"version",""),"jan",""),"feb",""),"mar",""),"apr",""),"may",""),"jun",""),"jul",""),"aug",""),"sep",""),"oct",""),"nov",""),"dec",""),"utc",""),"gmt",""),"myt",""),"bst",""),"rev",""),"ver",""),"b","a"),"c","a"),"d","a"),"e","a"),"f","a"),"g","a"),"h","a"),"i","a"),"j","a"),"k","a"),"l","a"),"m","a"),"n","a"),"o","a"),"p","a"),"q","a"),"r","a"),"s","a"),"t","a"),"u","a"),"v","a"),"w","a"),"x","a"),"y","a"),"z","a")</f>
        <v/>
      </c>
      <c r="CB2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206&amp;""),"a",""),"b",""),"c",""),"d",""),"e",""),"f",""),"g",""),"h",""),"i",""),"j",""),"k",""),"l",""),"m",""),"n",""),"o",""),"p",""),"q",""),"r",""),"s",""),"t",""),"u",""),"v",""),"w",""),"x",""),"y",""),"z",""),"-",""),"_",""),"/",""),".",""),"#",""),"\\",""),":","")," ",""),"(",""),")","")</f>
        <v/>
      </c>
      <c r="CC206" s="0" t="str">
        <f aca="false">" "&amp;TRIM(SUBSTITUTE(SUBSTITUTE(SUBSTITUTE(SUBSTITUTE(SUBSTITUTE(SUBSTITUTE(SUBSTITUTE(SUBSTITUTE(SUBSTITUTE(SUBSTITUTE(SUBSTITUTE(SUBSTITUTE(SUBSTITUTE(SUBSTITUTE(SUBSTITUTE(SUBSTITUTE(SUBSTITUTE(SUBSTITUTE(SUBSTITUTE(SUBSTITUTE(SUBSTITUTE(SUBSTITUTE(SUBSTITUTE(SUBSTITUTE(LOWER(T206&amp;""),CHAR(10)," "),CHAR(13)," "),CHAR(9)," "),CHAR(160)," "),"."," "),","," "),"-"," "),"/"," "),"("," "),")"," "),":"," "),";"," "),"_"," "),"–"," "),"?"," "),"!"," "),"*"," "),"["," "),"]"," "),"'"," "),"#"," "),"+"," "),"&amp;"," "),"\"," "))&amp;" "</f>
        <v>  </v>
      </c>
      <c r="CD206" s="0" t="str">
        <f aca="false">" "&amp;TRIM(SUBSTITUTE(SUBSTITUTE(SUBSTITUTE(SUBSTITUTE(SUBSTITUTE(SUBSTITUTE(SUBSTITUTE(SUBSTITUTE(SUBSTITUTE(SUBSTITUTE(SUBSTITUTE(SUBSTITUTE(SUBSTITUTE(SUBSTITUTE(SUBSTITUTE(SUBSTITUTE(SUBSTITUTE(SUBSTITUTE(SUBSTITUTE(SUBSTITUTE(SUBSTITUTE(SUBSTITUTE(SUBSTITUTE(SUBSTITUTE(LOWER(AE206&amp;""),CHAR(10)," "),CHAR(13)," "),CHAR(9)," "),CHAR(160)," "),"."," "),","," "),"-"," "),"/"," "),"("," "),")"," "),":"," "),";"," "),"_"," "),"–"," "),"?"," "),"!"," "),"*"," "),"["," "),"]"," "),"'"," "),"#"," "),"+"," "),"&amp;"," "),"\"," "))&amp;" "</f>
        <v>  </v>
      </c>
      <c r="CE206" s="68" t="n">
        <f aca="false">IFERROR(IF(AND(LEN(AU206)&gt;0,LEN(AU206)=LEN(AX206),OR(TRIM(MID(SUBSTITUTE(TRIM(CC206)," ",REPT(" ",60)),1,60))="",ISNUMBER(SEARCH(" "&amp;TRIM(MID(SUBSTITUTE(TRIM(CC206)," ",REPT(" ",60)),1,60))&amp;" ",CD206))),OR(TRIM(MID(SUBSTITUTE(TRIM(CC206)," ",REPT(" ",60)),61,60))="",ISNUMBER(SEARCH(" "&amp;TRIM(MID(SUBSTITUTE(TRIM(CC206)," ",REPT(" ",60)),61,60))&amp;" ",CD206))),OR(TRIM(MID(SUBSTITUTE(TRIM(CC206)," ",REPT(" ",60)),121,60))="",ISNUMBER(SEARCH(" "&amp;TRIM(MID(SUBSTITUTE(TRIM(CC206)," ",REPT(" ",60)),121,60))&amp;" ",CD206)))),1,0),0)</f>
        <v>0</v>
      </c>
      <c r="CG206" s="68" t="n">
        <f aca="false">IFERROR(LEN(SUBSTITUTE(BF206," ",""))-SUMPRODUCT((LEN(BF206)-LEN(SUBSTITUTE(BF206," "&amp;L_NAFiller&amp;" "," ")))/(LEN(L_NAFiller)+1)*LEN(L_NAFiller)),0)</f>
        <v>0</v>
      </c>
    </row>
    <row r="207" customFormat="false" ht="39.75" hidden="false" customHeight="true" outlineLevel="0" collapsed="false">
      <c r="A207" s="57" t="s">
        <v>768</v>
      </c>
      <c r="B207" s="57" t="s">
        <v>231</v>
      </c>
      <c r="C207" s="57" t="str">
        <f aca="false">Flights!$F$10</f>
        <v>MH0002</v>
      </c>
      <c r="D207" s="58" t="n">
        <f aca="false">Flights!$D$10</f>
        <v>46310</v>
      </c>
      <c r="E207" s="57" t="str">
        <f aca="false">Flights!$G$10&amp;"-"&amp;Flights!$H$10</f>
        <v>KUL-LHR</v>
      </c>
      <c r="F207" s="57" t="str">
        <f aca="false">Flights!$K$10</f>
        <v>BC</v>
      </c>
      <c r="G207" s="57" t="s">
        <v>459</v>
      </c>
      <c r="H207" s="57" t="s">
        <v>460</v>
      </c>
      <c r="I207" s="57" t="s">
        <v>499</v>
      </c>
      <c r="J207" s="57" t="s">
        <v>548</v>
      </c>
      <c r="K207" s="67" t="s">
        <v>616</v>
      </c>
      <c r="L207" s="67" t="s">
        <v>746</v>
      </c>
      <c r="M207" s="67" t="s">
        <v>451</v>
      </c>
      <c r="N207" s="67" t="s">
        <v>383</v>
      </c>
      <c r="O207" s="67" t="s">
        <v>549</v>
      </c>
      <c r="P207" s="57" t="s">
        <v>187</v>
      </c>
      <c r="Q207" s="59" t="n">
        <f aca="false">ROUND((Flights!$AF$10)*1440,0)/1440</f>
        <v>46310.6388888889</v>
      </c>
      <c r="R207" s="59" t="n">
        <f aca="false">Q207+(IF(AND(INDEX(TZ_DSTS,MATCH(P207,TZ_STN,0))&lt;&gt;"",Q207&gt;=INDEX(TZ_DSTS,MATCH(P207,TZ_STN,0)),Q207&lt;INDEX(TZ_DSTE,MATCH(P207,TZ_STN,0))),INDEX(TZ_DST,MATCH(P207,TZ_STN,0)),INDEX(TZ_STD,MATCH(P207,TZ_STN,0))))/24</f>
        <v>46310.9722222222</v>
      </c>
      <c r="S207" s="60"/>
      <c r="T207" s="60"/>
      <c r="U207" s="60"/>
      <c r="V207" s="60"/>
      <c r="W207" s="61"/>
      <c r="X207" s="60"/>
      <c r="Y207" s="60"/>
      <c r="Z207" s="60"/>
      <c r="AA207" s="60"/>
      <c r="AB207" s="60"/>
      <c r="AC207" s="60"/>
      <c r="AD207" s="66"/>
      <c r="AE207" s="60"/>
      <c r="AF207" s="61" t="str">
        <f aca="false">IF(AND(ISNUMBER(X207),ISNUMBER(Y207)),Y207-X207,"")</f>
        <v/>
      </c>
      <c r="AG207" s="62" t="str">
        <f aca="false">IF(ISNUMBER(AD207),AD207-(IF(AND(INDEX(TZ_DSTS,MATCH(P207,TZ_STN,0))&lt;&gt;"",(AD207-INDEX(TZ_STD,MATCH(P207,TZ_STN,0))/24)&gt;=INDEX(TZ_DSTS,MATCH(P207,TZ_STN,0)),(AD207-INDEX(TZ_STD,MATCH(P207,TZ_STN,0))/24)&lt;INDEX(TZ_DSTE,MATCH(P207,TZ_STN,0))),INDEX(TZ_DST,MATCH(P207,TZ_STN,0)),INDEX(TZ_STD,MATCH(P207,TZ_STN,0))))/24,"")</f>
        <v/>
      </c>
      <c r="AH207" s="65" t="str">
        <f aca="false">IFERROR(IF(N207="N/A – rule",IF(OR(TRIM(U207)="",TRIM(U207)="N/A",TRIM(U207)="Not started"),"N/A – RULE","INVALID – this check does not apply to this aircraft: clear the status (or correct the fleet on Flights)"),IF(TRIM(U207)="N/A",IF(AT207=0,"INVALID – N/A not permitted for this check",IF(AND(TRIM(AB207)&lt;&gt;"",TRIM(AB207)&lt;&gt;"Closed"),"INVALID – corrective action still open",IF(AND(NOT(OR(LEN(AZ207)&lt;15,ISNUMBER(MATCH(AZ207,L_Placeholder,0)))),BK207=0,CG207&gt;=8,NOT(OR(LEN(AU207)&lt;2,ISNUMBER(MATCH(AU207,L_Placeholder,0)))),BR207&gt;=3,NOT(OR(LEN(AX207)&lt;2,ISNUMBER(MATCH(AX207,L_Placeholder,0)))),BS207&gt;=3,TRIM(AE207)&lt;&gt;TRIM(T207),AX207&lt;&gt;AU207,CE207=0),"N/A – JUSTIFIED","INVALID – N/A needs a real, settled reason (not 'not applicable' / 'as above' / TBC), a named PIC and a different named verifier"))),IF(OR(TRIM(U207)="Pass",TRIM(U207)="Pass after CA"),IF(NOT(ISNUMBER(AD207)),"INVALID – completion time missing",IF(OR(OR(LEN(AU207)&lt;2,ISNUMBER(MATCH(AU207,L_Placeholder,0))),BR207&lt;3),"INVALID – PIC missing or not a named person (a role such as QA / CSM is not a name)",IF(OR(LEN(AV207)&lt;2,ISNUMBER(MATCH(AV207,L_Placeholder,0))),"INVALID – result / assessment missing",IF(OR(OR(LEN(AW207)&lt;3,ISNUMBER(MATCH(AW207,L_Placeholder,0))),SUMPRODUCT(--ISNUMBER(SEARCH(" "&amp;L_EvidencePhrase&amp;" ",BD207)))&gt;0,BI207=1),"INVALID – evidence missing, placeholder or not yet on file",IF(ISNA(MATCH(TRIM(S207),L_EvidenceType,0)),"INVALID – choose the evidence type from the list (column S)",IF(BL207=0,"INVALID – evidence ID must be the record's own ID only (e.g. SF-2210, IMG_2231, 1045521); a link / file name needs type 'Link / file path'",IF(OR(OR(LEN(AX207)&lt;2,ISNUMBER(MATCH(AX207,L_Placeholder,0))),BS207&lt;3),"INVALID – verifier missing or not a named person (a role such as QA / CSM is not a name)",IF(OR(AX207=AU207,CE207=1,AND(LEN(AU207)&gt;=4,ISNUMBER(SEARCH(AU207,AX207))),AND(LEN(AX207)&gt;=4,ISNUMBER(SEARCH(AX207,AU207)))),"INVALID – verifier must be a different, named person (not the PIC or a role)",IF(BH207=1,"INVALID – result not yet available (awaiting / TBC)",IF(BG207=1,"INVALID – result describes a problem: record Fail, then Pass after CA (or reword if it is not a problem)",IF(BV207=1,"INVALID – wording says not on board: an on-board confirmation needs the item loaded",IF(AND(AQ207=1,OR(OR(LEN(AY207)&lt;3,ISNUMBER(MATCH(AY207,L_Placeholder,0))),BJ207=1,BQ207=0)),"INVALID – batch ID missing, placeholder or not an ID (e.g. PASB-261008-BC-017)",IF(AND(AR207=1,OR(NOT(ISNUMBER(X207)),NOT(ISNUMBER(Y207)))),"INVALID – expected/actual qty missing",IF(AND(AR207=1,OR(X207&lt;=0,Y207&lt;0)),"INVALID – expected qty must be above 0 and actual not negative",IF(AH191="N/A – JUSTIFIED","INVALID – preparation row F06-T12-16 is N/A",IF(AND(AR207=1,ISNUMBER(X191),X207&lt;&gt;X191,TRIM(U207)&lt;&gt;"Pass after CA"),"INVALID – expected qty differs from preparation check F06-T12-16: record the load change as a corrective action (Pass after CA)",IF(BB207&lt;&gt;"",BB207,IF(AND(AS207=1,Documents!$J$10&lt;&gt;"ON FILE"),"INVALID – GLD not on file (Documents sheet)",IF(AND(AS207=2,Documents!$O$10&lt;&gt;"ON FILE"),"INVALID – menu checklist not on file (Documents sheet)",IF(AND(AS207=3,NOT(ISNUMBER(Flights!$AX$10))),"INVALID – enter carrying flight KUL departure (Flights AX)",IF(AND(AS207=3,OR(Flights!$AZ$10&gt;Flights!$AA$10,Flights!$AX$10&lt;Flights!$AA$10-3)),"INVALID – carrying flight (Flights AX) cannot arrive before this leg's STD, or is over 3 days early",IF(AG207&gt;AsOfUTC,"INVALID – completion time is in the future",IF(AND(ISNUMBER(BY207),AG207&lt;BY207),IF(H207="Physical uplift","INVALID – before uplift window (cannot confirm loading)","INVALID – before valid window"),IF(AG207&gt;Flights!$AA$10,"INVALID – completed after departure (cannot establish readiness)",IF(AND(H207="Preparation",AG207&gt;=IF(ISNUMBER(Flights!$BA$10),MIN(Flights!$BA$10,Flights!$AA$10),Flights!$AA$10)),"INVALID – completed after loading / departure (cannot establish readiness)",IF(AND(H207="Physical uplift",AG207&gt;Q207),"INVALID – recorded after the loading flight departed",IF(AG207&gt;Q207,"COMPLETE – LATE","COMPLETE"))))))))))))))))))))))))))),IF(TRIM(U207)="Fail","FAIL – DISCREPANCY",IF(AND(TRIM(U207)&lt;&gt;"",TRIM(U207)&lt;&gt;"Not started",TRIM(U207)&lt;&gt;"In progress"),"INVALID – unrecognised status (use the list)",IF(AsOfUTC&gt;Q207,"OVERDUE",IF(N207="Clarification required","OPEN – CLARIFICATION","OPEN"))))))),"INVALID – error value in an input cell")</f>
        <v>OPEN</v>
      </c>
      <c r="AI207" s="61" t="n">
        <f aca="false">IF(OR(AH207="N/A – RULE",AH207="N/A – JUSTIFIED"),0,1)</f>
        <v>1</v>
      </c>
      <c r="AJ207" s="61" t="n">
        <f aca="false">IF(LEFT(AH207,8)="COMPLETE",1,0)</f>
        <v>0</v>
      </c>
      <c r="AK207" s="61" t="n">
        <f aca="false">IF(AND(AI207=1,AJ207=0,AsOfUTC&gt;Q207),1,0)</f>
        <v>0</v>
      </c>
      <c r="AL207" s="61" t="n">
        <f aca="false">IFERROR(IF(AND(AI207=1,OR(TRIM(U207)="Fail",AND(TRIM(AB207)&lt;&gt;"",TRIM(AB207)&lt;&gt;"Closed"),AND(ISNUMBER(AF207),AF207&lt;&gt;0,TRIM(U207)&lt;&gt;"Pass after CA"))),1,0),1)</f>
        <v>0</v>
      </c>
      <c r="AM207" s="61" t="n">
        <f aca="false">IF(LEFT(AH207,7)="INVALID",1,0)</f>
        <v>0</v>
      </c>
      <c r="AN207" s="61" t="n">
        <f aca="false">IF(AND(N207="Clarification required",AI207=1,AJ207=0),1,0)</f>
        <v>0</v>
      </c>
      <c r="AO207" s="61" t="str">
        <f aca="false">IF(AK207=1,SUM(AK$5:AK207),"")</f>
        <v/>
      </c>
      <c r="AP207" s="61" t="str">
        <f aca="false">IF(AL207=1,SUM(AL$5:AL207),"")</f>
        <v/>
      </c>
      <c r="AQ207" s="61" t="n">
        <v>0</v>
      </c>
      <c r="AR207" s="61" t="n">
        <v>0</v>
      </c>
      <c r="AS207" s="61" t="n">
        <v>0</v>
      </c>
      <c r="AT207" s="61" t="n">
        <v>0</v>
      </c>
      <c r="AU207" s="61" t="str">
        <f aca="false">SUBSTITUTE(SUBSTITUTE(SUBSTITUTE(SUBSTITUTE(SUBSTITUTE(SUBSTITUTE(SUBSTITUTE(SUBSTITUTE(SUBSTITUTE(SUBSTITUTE(SUBSTITUTE(SUBSTITUTE(SUBSTITUTE(SUBSTITUTE(SUBSTITUTE(SUBSTITUTE(LOWER(T207&amp;""),CHAR(10),""),CHAR(13),""),CHAR(9),""),CHAR(160),"")," ",""),".",""),"-",""),"/",""),"?",""),"_",""),",",""),"[",""),"]",""),"(",""),")",""),"*","")</f>
        <v/>
      </c>
      <c r="AV207" s="61" t="str">
        <f aca="false">SUBSTITUTE(SUBSTITUTE(SUBSTITUTE(SUBSTITUTE(SUBSTITUTE(SUBSTITUTE(SUBSTITUTE(SUBSTITUTE(SUBSTITUTE(SUBSTITUTE(SUBSTITUTE(SUBSTITUTE(SUBSTITUTE(SUBSTITUTE(SUBSTITUTE(SUBSTITUTE(LOWER(V207&amp;""),CHAR(10),""),CHAR(13),""),CHAR(9),""),CHAR(160),"")," ",""),".",""),"-",""),"/",""),"?",""),"_",""),",",""),"[",""),"]",""),"(",""),")",""),"*","")</f>
        <v/>
      </c>
      <c r="AW207" s="61" t="str">
        <f aca="false">SUBSTITUTE(SUBSTITUTE(SUBSTITUTE(SUBSTITUTE(SUBSTITUTE(SUBSTITUTE(SUBSTITUTE(SUBSTITUTE(SUBSTITUTE(SUBSTITUTE(SUBSTITUTE(SUBSTITUTE(SUBSTITUTE(SUBSTITUTE(SUBSTITUTE(SUBSTITUTE(LOWER(Z207&amp;""),CHAR(10),""),CHAR(13),""),CHAR(9),""),CHAR(160),"")," ",""),".",""),"-",""),"/",""),"?",""),"_",""),",",""),"[",""),"]",""),"(",""),")",""),"*","")</f>
        <v/>
      </c>
      <c r="AX207" s="61" t="str">
        <f aca="false">SUBSTITUTE(SUBSTITUTE(SUBSTITUTE(SUBSTITUTE(SUBSTITUTE(SUBSTITUTE(SUBSTITUTE(SUBSTITUTE(SUBSTITUTE(SUBSTITUTE(SUBSTITUTE(SUBSTITUTE(SUBSTITUTE(SUBSTITUTE(SUBSTITUTE(SUBSTITUTE(LOWER(AE207&amp;""),CHAR(10),""),CHAR(13),""),CHAR(9),""),CHAR(160),"")," ",""),".",""),"-",""),"/",""),"?",""),"_",""),",",""),"[",""),"]",""),"(",""),")",""),"*","")</f>
        <v/>
      </c>
      <c r="AY207" s="61" t="str">
        <f aca="false">SUBSTITUTE(SUBSTITUTE(SUBSTITUTE(SUBSTITUTE(SUBSTITUTE(SUBSTITUTE(SUBSTITUTE(SUBSTITUTE(SUBSTITUTE(SUBSTITUTE(SUBSTITUTE(SUBSTITUTE(SUBSTITUTE(SUBSTITUTE(SUBSTITUTE(SUBSTITUTE(LOWER(W207&amp;""),CHAR(10),""),CHAR(13),""),CHAR(9),""),CHAR(160),"")," ",""),".",""),"-",""),"/",""),"?",""),"_",""),",",""),"[",""),"]",""),"(",""),")",""),"*","")</f>
        <v/>
      </c>
      <c r="AZ207" s="61" t="str">
        <f aca="false">SUBSTITUTE(SUBSTITUTE(SUBSTITUTE(SUBSTITUTE(SUBSTITUTE(SUBSTITUTE(SUBSTITUTE(SUBSTITUTE(SUBSTITUTE(SUBSTITUTE(SUBSTITUTE(SUBSTITUTE(SUBSTITUTE(SUBSTITUTE(SUBSTITUTE(SUBSTITUTE(LOWER(AC207&amp;""),CHAR(10),""),CHAR(13),""),CHAR(9),""),CHAR(160),"")," ",""),".",""),"-",""),"/",""),"?",""),"_",""),",",""),"[",""),"]",""),"(",""),")",""),"*","")</f>
        <v/>
      </c>
      <c r="BA207" s="61" t="str">
        <f aca="false">SUBSTITUTE(SUBSTITUTE(SUBSTITUTE(SUBSTITUTE(SUBSTITUTE(SUBSTITUTE(SUBSTITUTE(SUBSTITUTE(SUBSTITUTE(SUBSTITUTE(SUBSTITUTE(SUBSTITUTE(SUBSTITUTE(SUBSTITUTE(SUBSTITUTE(SUBSTITUTE(LOWER(AA207&amp;""),CHAR(10),""),CHAR(13),""),CHAR(9),""),CHAR(160),"")," ",""),".",""),"-",""),"/",""),"?",""),"_",""),",",""),"[",""),"]",""),"(",""),")",""),"*","")</f>
        <v/>
      </c>
      <c r="BB207" s="61" t="str">
        <f aca="false">IF(AND(TRIM(U207)="Pass",ISNUMBER(AF207)),IF(AF207&lt;&gt;0,"INVALID – qty variance: use Fail or Pass after CA",""),"")&amp;IF(AND(TRIM(U207)="Pass after CA",ISNUMBER(AF207)),IF(AF207&lt;&gt;0,"INVALID – after the corrective action the actual qty must equal expected (update Actual)",""),"")&amp;IF(AND(TRIM(U207)="Pass",TRIM(AB207)&lt;&gt;"",TRIM(AB207)&lt;&gt;"Closed"),"INVALID – corrective action not closed: use Fail, then Pass after CA","")&amp;IF(AND(LEN(BA207)&gt;=2,ISNA(MATCH(LEFT(BA207,255),L_Placeholder,0)),TRIM(AB207)=""),"INVALID – CA status missing for the recorded corrective action","")&amp;IF(AND(TRIM(U207)="Pass after CA",OR(OR(LEN(BA207)&lt;5,ISNUMBER(MATCH(BA207,L_Placeholder,0))),TRIM(AB207)&lt;&gt;"Closed")),"INVALID – corrective action not recorded/closed","")</f>
        <v/>
      </c>
      <c r="BC207" s="61" t="str">
        <f aca="false">" "&amp;TRIM(SUBSTITUTE(SUBSTITUTE(SUBSTITUTE(SUBSTITUTE(SUBSTITUTE(SUBSTITUTE(SUBSTITUTE(SUBSTITUTE(SUBSTITUTE(SUBSTITUTE(SUBSTITUTE(SUBSTITUTE(SUBSTITUTE(SUBSTITUTE(SUBSTITUTE(SUBSTITUTE(SUBSTITUTE(SUBSTITUTE(SUBSTITUTE(SUBSTITUTE(SUBSTITUTE(SUBSTITUTE(SUBSTITUTE(SUBSTITUTE(LOWER(V207&amp;""),CHAR(10)," "),CHAR(13)," "),CHAR(9)," "),CHAR(160)," "),"."," "),","," "),"-"," "),"/"," "),"("," "),")"," "),":"," "),";"," "),"_"," "),"–"," "),"?"," "),"!"," "),"*"," "),"["," "),"]"," "),"'"," "),"#"," "),"+"," "),"&amp;"," "),"\"," "))&amp;" "</f>
        <v>  </v>
      </c>
      <c r="BD207" s="61" t="str">
        <f aca="false">" "&amp;TRIM(SUBSTITUTE(SUBSTITUTE(SUBSTITUTE(SUBSTITUTE(SUBSTITUTE(SUBSTITUTE(SUBSTITUTE(SUBSTITUTE(SUBSTITUTE(SUBSTITUTE(SUBSTITUTE(SUBSTITUTE(SUBSTITUTE(SUBSTITUTE(SUBSTITUTE(SUBSTITUTE(SUBSTITUTE(SUBSTITUTE(SUBSTITUTE(SUBSTITUTE(SUBSTITUTE(SUBSTITUTE(SUBSTITUTE(SUBSTITUTE(LOWER(Z207&amp;""),CHAR(10)," "),CHAR(13)," "),CHAR(9)," "),CHAR(160)," "),"."," "),","," "),"-"," "),"/"," "),"("," "),")"," "),":"," "),";"," "),"_"," "),"–"," "),"?"," "),"!"," "),"*"," "),"["," "),"]"," "),"'"," "),"#"," "),"+"," "),"&amp;"," "),"\"," "))&amp;" "</f>
        <v>  </v>
      </c>
      <c r="BE207" s="61" t="str">
        <f aca="false">" "&amp;TRIM(SUBSTITUTE(SUBSTITUTE(SUBSTITUTE(SUBSTITUTE(SUBSTITUTE(SUBSTITUTE(SUBSTITUTE(SUBSTITUTE(SUBSTITUTE(SUBSTITUTE(SUBSTITUTE(SUBSTITUTE(SUBSTITUTE(SUBSTITUTE(SUBSTITUTE(SUBSTITUTE(SUBSTITUTE(SUBSTITUTE(SUBSTITUTE(SUBSTITUTE(SUBSTITUTE(SUBSTITUTE(SUBSTITUTE(SUBSTITUTE(LOWER(W207&amp;""),CHAR(10)," "),CHAR(13)," "),CHAR(9)," "),CHAR(160)," "),"."," "),","," "),"-"," "),"/"," "),"("," "),")"," "),":"," "),";"," "),"_"," "),"–"," "),"?"," "),"!"," "),"*"," "),"["," "),"]"," "),"'"," "),"#"," "),"+"," "),"&amp;"," "),"\"," "))&amp;" "</f>
        <v>  </v>
      </c>
      <c r="BF207" s="61" t="str">
        <f aca="false">" "&amp;TRIM(SUBSTITUTE(SUBSTITUTE(SUBSTITUTE(SUBSTITUTE(SUBSTITUTE(SUBSTITUTE(SUBSTITUTE(SUBSTITUTE(SUBSTITUTE(SUBSTITUTE(SUBSTITUTE(SUBSTITUTE(SUBSTITUTE(SUBSTITUTE(SUBSTITUTE(SUBSTITUTE(SUBSTITUTE(SUBSTITUTE(SUBSTITUTE(SUBSTITUTE(SUBSTITUTE(SUBSTITUTE(SUBSTITUTE(SUBSTITUTE(LOWER(AC207&amp;""),CHAR(10)," "),CHAR(13)," "),CHAR(9)," "),CHAR(160)," "),"."," "),","," "),"-"," "),"/"," "),"("," "),")"," "),":"," "),";"," "),"_"," "),"–"," "),"?"," "),"!"," "),"*"," "),"["," "),"]"," "),"'"," "),"#"," "),"+"," "),"&amp;"," "),"\"," "))&amp;" "</f>
        <v>  </v>
      </c>
      <c r="BG207" s="61" t="n">
        <f aca="false">IFERROR(IF(AND(TRIM(U207)="Pass",SUMPRODUCT((LEN(BC207)-LEN(SUBSTITUTE(BC207," "&amp;L_ResultBad&amp;" "," ")))/(LEN(L_ResultBad)+1))&gt;SUMPRODUCT((LEN(BC207)-LEN(SUBSTITUTE(BC207," "&amp;L_NegPhrase&amp;" "," ")))/(LEN(L_NegPhrase)+1))),1,0),0)</f>
        <v>0</v>
      </c>
      <c r="BH207" s="61" t="n">
        <f aca="false">IFERROR(IF(SUMPRODUCT((LEN(BC207)-LEN(SUBSTITUTE(BC207," "&amp;L_Pending&amp;" "," ")))/(LEN(L_Pending)+1))&gt;SUMPRODUCT((LEN(BC207)-LEN(SUBSTITUTE(BC207," "&amp;L_PendNeg&amp;" "," ")))/(LEN(L_PendNeg)+1)),1,0),1)</f>
        <v>0</v>
      </c>
      <c r="BI207" s="61" t="n">
        <f aca="false">IFERROR(IF(SUMPRODUCT((LEN(BD207)-LEN(SUBSTITUTE(BD207," "&amp;L_PendStrict&amp;" "," ")))/(LEN(L_PendStrict)+1))&gt;SUMPRODUCT((LEN(BD207)-LEN(SUBSTITUTE(BD207," "&amp;L_PendNeg&amp;" "," ")))/(LEN(L_PendNeg)+1)),1,0),1)</f>
        <v>0</v>
      </c>
      <c r="BJ207" s="61" t="n">
        <f aca="false">IFERROR(IF(SUMPRODUCT((LEN(BE207)-LEN(SUBSTITUTE(BE207," "&amp;L_Pending&amp;" "," ")))/(LEN(L_Pending)+1))&gt;SUMPRODUCT((LEN(BE207)-LEN(SUBSTITUTE(BE207," "&amp;L_PendNeg&amp;" "," ")))/(LEN(L_PendNeg)+1)),1,0),1)</f>
        <v>0</v>
      </c>
      <c r="BK207" s="61" t="n">
        <f aca="false">IFERROR(IF(SUMPRODUCT((LEN(BF207)-LEN(SUBSTITUTE(BF207," "&amp;L_PendStrict&amp;" "," ")))/(LEN(L_PendStrict)+1))&gt;SUMPRODUCT((LEN(BF207)-LEN(SUBSTITUTE(BF207," "&amp;L_PendNeg&amp;" "," ")))/(LEN(L_PendNeg)+1)),1,0),1)</f>
        <v>0</v>
      </c>
      <c r="BL207" s="61" t="n">
        <f aca="false">IF(ISNA(MATCH(TRIM(S207),L_EvidenceType,0)),0,BZ207)</f>
        <v>0</v>
      </c>
      <c r="BM207" s="61" t="str">
        <f aca="false">SUBSTITUTE(SUBSTITUTE(SUBSTITUTE(SUBSTITUTE(SUBSTITUTE(SUBSTITUTE(SUBSTITUTE(SUBSTITUTE(SUBSTITUTE(LOWER(Z207&amp;""),"1","0"),"2","0"),"3","0"),"4","0"),"5","0"),"6","0"),"7","0"),"8","0"),"9","0")</f>
        <v/>
      </c>
      <c r="BN207" s="61" t="str">
        <f aca="false">SUBSTITUTE(SUBSTITUTE(SUBSTITUTE(SUBSTITUTE(SUBSTITUTE(SUBSTITUTE(SUBSTITUTE(SUBSTITUTE(SUBSTITUTE(SUBSTITUTE(SUBSTITUTE(SUBSTITUTE(SUBSTITUTE(SUBSTITUTE(SUBSTITUTE(SUBSTITUTE(SUBSTITUTE(SUBSTITUTE(SUBSTITUTE(SUBSTITUTE(SUBSTITUTE(SUBSTITUTE(SUBSTITUTE(SUBSTITUTE(SUBSTITUTE(BM207,"b","a"),"c","a"),"d","a"),"e","a"),"f","a"),"g","a"),"h","a"),"i","a"),"j","a"),"k","a"),"l","a"),"m","a"),"n","a"),"o","a"),"p","a"),"q","a"),"r","a"),"s","a"),"t","a"),"u","a"),"v","a"),"w","a"),"x","a"),"y","a"),"z","a")</f>
        <v/>
      </c>
      <c r="BO207" s="61" t="str">
        <f aca="false">SUBSTITUTE(SUBSTITUTE(SUBSTITUTE(SUBSTITUTE(SUBSTITUTE(SUBSTITUTE(SUBSTITUTE(SUBSTITUTE(SUBSTITUTE(LOWER(W207&amp;""),"1","0"),"2","0"),"3","0"),"4","0"),"5","0"),"6","0"),"7","0"),"8","0"),"9","0")</f>
        <v/>
      </c>
      <c r="BP207" s="61" t="str">
        <f aca="false">SUBSTITUTE(SUBSTITUTE(SUBSTITUTE(SUBSTITUTE(SUBSTITUTE(SUBSTITUTE(SUBSTITUTE(SUBSTITUTE(SUBSTITUTE(SUBSTITUTE(SUBSTITUTE(SUBSTITUTE(SUBSTITUTE(SUBSTITUTE(SUBSTITUTE(SUBSTITUTE(SUBSTITUTE(SUBSTITUTE(SUBSTITUTE(SUBSTITUTE(SUBSTITUTE(SUBSTITUTE(SUBSTITUTE(SUBSTITUTE(SUBSTITUTE(BO207,"b","a"),"c","a"),"d","a"),"e","a"),"f","a"),"g","a"),"h","a"),"i","a"),"j","a"),"k","a"),"l","a"),"m","a"),"n","a"),"o","a"),"p","a"),"q","a"),"r","a"),"s","a"),"t","a"),"u","a"),"v","a"),"w","a"),"x","a"),"y","a"),"z","a")</f>
        <v/>
      </c>
      <c r="BQ207" s="61" t="n">
        <f aca="false">IFERROR(IF(AND(ISERROR(SEARCH(" mh"," "&amp;LOWER(W207))),ISNA(MATCH(LEFT(TRIM(BP207),255),{"0000a","000a","00a","0000aa","000aa","00aa","0aa","0000aaa","000aaa","00a00","0a00","0000-0000","00:00","a00","a0","00.00.0000","00/00/0000","00-00-0000","0000-00-00","0000/00/00","0000.00.00","00.00.00","00/00/00","00-00-00","0.00.0000","0/00/0000","0-00-0000"},0)),ISNA(MATCH(LEFT(TRIM(CA207),255),{"0000a","000a","00a","0000aa","000aa","00aa","0aa","0000aaa","000aaa","00a00","0a00","0000-0000","00:00","a00","a0","00.00.0000","00/00/0000","00-00-0000","0000-00-00","0000/00/00","0000.00.00","00.00.00","00/00/00","00-00-00","0.00.0000","0/00/0000","0-00-0000"},0)),LEN(CB207)&gt;=3,NOT(OR(SUBSTITUTE(CB207,"0","")="",AND(LEN(CB207)&gt;=4,CB207=REPT(LEFT(CB207),LEN(CB207))),ISNUMBER(MATCH(CB207,{"123","1234","12345","123456","1234567","12345678","0123","01234","012345","98765","987654","54321"},0)),AND(LEN(CB207)=8,LEFT(CB207,3)="202"))),OR(AND((LEN(CA207)-LEN(SUBSTITUTE(CA207,"a","")))&gt;=1,SUMPRODUCT(--ISNUMBER(SEARCH({"a0","a-0","a_0","a/0","a.0","a#0","0a","0-a","0_a","0/a"},BP207)))&gt;0),ISNUMBER(SEARCH("000000",BP207)))),1,0),0)</f>
        <v>0</v>
      </c>
      <c r="BR207" s="61" t="n">
        <f aca="false">IFERROR(LEN(SUBSTITUTE(CC207," ",""))-SUMPRODUCT((LEN(CC207)-LEN(SUBSTITUTE(CC207," "&amp;L_Role&amp;" "," ")))/(LEN(L_Role)+1)*LEN(L_Role)),0)</f>
        <v>0</v>
      </c>
      <c r="BS207" s="61" t="n">
        <f aca="false">IFERROR(LEN(SUBSTITUTE(CD207," ",""))-SUMPRODUCT((LEN(CD207)-LEN(SUBSTITUTE(CD207," "&amp;L_Role&amp;" "," ")))/(LEN(L_Role)+1)*LEN(L_Role)),0)</f>
        <v>0</v>
      </c>
      <c r="BT2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207,"revision",""),"version",""),"jan",""),"feb",""),"mar",""),"apr",""),"may",""),"jun",""),"jul",""),"aug",""),"sep",""),"oct",""),"nov",""),"dec",""),"utc",""),"gmt",""),"myt",""),"bst",""),"rev",""),"ver",""),"b","a"),"c","a"),"d","a"),"e","a"),"f","a"),"g","a"),"h","a"),"i","a"),"j","a"),"k","a"),"l","a"),"m","a"),"n","a"),"o","a"),"p","a"),"q","a"),"r","a"),"s","a"),"t","a"),"u","a"),"v","a"),"w","a"),"x","a"),"y","a"),"z","a")</f>
        <v/>
      </c>
      <c r="BU207" s="61" t="str">
        <f aca="false">SUBSTITUTE(SUBSTITUTE(SUBSTITUTE(SUBSTITUTE(SUBSTITUTE(SUBSTITUTE(SUBSTITUTE(SUBSTITUTE(SUBSTITUTE(SUBSTITUTE(LEFT(BM207,FIND("0",BM207&amp;"0")-1),"-",""),"_",""),"/",""),".",""),"#",""),"\\",""),":","")," ",""),"(",""),")","")</f>
        <v/>
      </c>
      <c r="BV207" s="61" t="n">
        <f aca="false">IFERROR(IF(OR(SUMPRODUCT((LEN(BC207)-LEN(SUBSTITUTE(BC207," "&amp;L_NotLoaded&amp;" "," ")))/(LEN(L_NotLoaded)+1))&gt;SUMPRODUCT((LEN(BC207)-LEN(SUBSTITUTE(BC207," "&amp;L_NotLoadedNeg&amp;" "," ")))/(LEN(L_NotLoadedNeg)+1)),SUMPRODUCT((LEN(BD207)-LEN(SUBSTITUTE(BD207," "&amp;L_NotLoaded&amp;" "," ")))/(LEN(L_NotLoaded)+1))&gt;SUMPRODUCT((LEN(BD207)-LEN(SUBSTITUTE(BD207," "&amp;L_NotLoadedNeg&amp;" "," ")))/(LEN(L_NotLoadedNeg)+1))),1,0),0)</f>
        <v>0</v>
      </c>
      <c r="BW2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207&amp;""),"a",""),"b",""),"c",""),"d",""),"e",""),"f",""),"g",""),"h",""),"i",""),"j",""),"k",""),"l",""),"m",""),"n",""),"o",""),"p",""),"q",""),"r",""),"s",""),"t",""),"u",""),"v",""),"w",""),"x",""),"y",""),"z",""),"-",""),"_",""),"/",""),".",""),"#",""),"\\",""),":","")," ",""),"(",""),")","")</f>
        <v/>
      </c>
      <c r="BX207" s="61" t="str">
        <f aca="false">SUBSTITUTE(SUBSTITUTE(SUBSTITUTE(SUBSTITUTE(SUBSTITUTE(SUBSTITUTE(SUBSTITUTE(SUBSTITUTE(SUBSTITUTE(SUBSTITUTE(SUBSTITUTE(BM207,"0",""),"-",""),"_",""),"/",""),".",""),"#",""),"\\",""),":","")," ",""),"(",""),")","")</f>
        <v/>
      </c>
      <c r="BY207" s="62" t="n">
        <f aca="false">IF(ISNUMBER(Flights!$AZ$10),MAX(Q207-UpliftWindowH/24,Flights!$AZ$10),Q207-UpliftWindowH/24)</f>
        <v>46310.3888888889</v>
      </c>
      <c r="BZ207" s="61" t="n">
        <f aca="false">IFERROR(IF(IF(TRIM(S207)="Link / file path",AND(LEN(TRIM(Z207))&gt;=5,SUMPRODUCT(--ISNUMBER(SEARCH({"http","www.","\\",":\",".pdf",".jpg",".jpeg",".png",".heic",".xls",".doc",".msg",".eml",".ppt",".txt",".zip"},Z207)))&gt;0),AND(ISERROR(FIND(" ",TRIM(Z207))),NOT(OR(SUMPRODUCT(--ISNUMBER(FIND({",",";","&amp;","+"},Z207)))&gt;0,SUMPRODUCT(--ISNUMBER(SEARCH({"0/aa","0\\aa"},BN207)))&gt;0)),NOT(SUMPRODUCT(--ISNUMBER(SEARCH({"http","www.","\\",":\",".pdf",".jpg",".jpeg",".png",".heic",".xls",".doc",".msg",".eml",".ppt",".txt",".zip"},Z207)))&gt;0),NOT(LOWER(TRIM(Z207))=LOWER(Flights!$F$10)),ISNA(MATCH(BU207,{"mh","rev","revision","ver","version","v","r","a","b","seat","tray","row","gate","bay","stand","page","pg","item","line","no","cart","galley","flight","flt","table","box","bag","oven","etd","eta","std","sta","atd","ata","qty","pax","x","time","tel","ph","mob","day","wk","week","utc","gmt","myt","lt"},0)),NOT(OR(ISNUMBER(MATCH(LEFT(BN207,255),{"0000a","000a","00a","0000aa","000aa","00aa","0aa","0000aaa","000aaa","00a00","0a00","0000-0000","00:00","a00","a0","00.00.0000","00/00/0000","00-00-0000","0000-00-00","0000/00/00","0000.00.00","00.00.00","00/00/00","00-00-00","0.00.0000","0/00/0000","0-00-0000"},0)),ISNUMBER(MATCH(LEFT(BT207,255),{"0000a","000a","00a","0000aa","000aa","00aa","0aa","0000aaa","000aaa","00a00","0a00","0000-0000","00:00","a00","a0","00.00.0000","00/00/0000","00-00-0000","0000-00-00","0000/00/00","0000.00.00","00.00.00","00/00/00","00-00-00","0.00.0000","0/00/0000","0-00-0000"},0)))),NOT(OR(AND(BW207&lt;&gt;"",SUBSTITUTE(BW207,"0","")=""),AND(LEN(BW207)&gt;=4,BW207=REPT(LEFT(BW207),LEN(BW207))),ISNUMBER(MATCH(BW207,{"123","1234","12345","123456","1234567","12345678","0123","01234","012345","98765","987654","54321"},0)),ISNUMBER(MATCH(BX207,{"x","xx","xxx","xxxx","xxxxx","abc","abcd","nil","na","nan","test","tbc","tba","tbd","dummy","sample","example","eg","zz","zzz","none","null","xyz","qwe","asd","id","ref"},0)),AND(LEN(BW207)=8,BX207="",OR(LEFT(BW207,3)="202",ISNUMBER(MATCH(RIGHT(BW207,4),{"2025","2026","2027"},0)))))),OR(AND((LEN(BT207)-LEN(SUBSTITUTE(BT207,"a","")))&gt;=1,(LEN(BN207)-LEN(SUBSTITUTE(BN207,"0","")))&gt;=2,SUMPRODUCT(--ISNUMBER(SEARCH({"a0","a-0","a_0","a/0","a.0","a#0","0a","0-a","0_a","0/a"},BN207)))&gt;0),AND((LEN(BN207)-LEN(SUBSTITUTE(BN207,"a","")))=0,(LEN(BN207)-LEN(SUBSTITUTE(BN207,"0","")))&gt;=5)))),1,0),0)</f>
        <v>0</v>
      </c>
      <c r="CA2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207,"revision",""),"version",""),"jan",""),"feb",""),"mar",""),"apr",""),"may",""),"jun",""),"jul",""),"aug",""),"sep",""),"oct",""),"nov",""),"dec",""),"utc",""),"gmt",""),"myt",""),"bst",""),"rev",""),"ver",""),"b","a"),"c","a"),"d","a"),"e","a"),"f","a"),"g","a"),"h","a"),"i","a"),"j","a"),"k","a"),"l","a"),"m","a"),"n","a"),"o","a"),"p","a"),"q","a"),"r","a"),"s","a"),"t","a"),"u","a"),"v","a"),"w","a"),"x","a"),"y","a"),"z","a")</f>
        <v/>
      </c>
      <c r="CB2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207&amp;""),"a",""),"b",""),"c",""),"d",""),"e",""),"f",""),"g",""),"h",""),"i",""),"j",""),"k",""),"l",""),"m",""),"n",""),"o",""),"p",""),"q",""),"r",""),"s",""),"t",""),"u",""),"v",""),"w",""),"x",""),"y",""),"z",""),"-",""),"_",""),"/",""),".",""),"#",""),"\\",""),":","")," ",""),"(",""),")","")</f>
        <v/>
      </c>
      <c r="CC207" s="0" t="str">
        <f aca="false">" "&amp;TRIM(SUBSTITUTE(SUBSTITUTE(SUBSTITUTE(SUBSTITUTE(SUBSTITUTE(SUBSTITUTE(SUBSTITUTE(SUBSTITUTE(SUBSTITUTE(SUBSTITUTE(SUBSTITUTE(SUBSTITUTE(SUBSTITUTE(SUBSTITUTE(SUBSTITUTE(SUBSTITUTE(SUBSTITUTE(SUBSTITUTE(SUBSTITUTE(SUBSTITUTE(SUBSTITUTE(SUBSTITUTE(SUBSTITUTE(SUBSTITUTE(LOWER(T207&amp;""),CHAR(10)," "),CHAR(13)," "),CHAR(9)," "),CHAR(160)," "),"."," "),","," "),"-"," "),"/"," "),"("," "),")"," "),":"," "),";"," "),"_"," "),"–"," "),"?"," "),"!"," "),"*"," "),"["," "),"]"," "),"'"," "),"#"," "),"+"," "),"&amp;"," "),"\"," "))&amp;" "</f>
        <v>  </v>
      </c>
      <c r="CD207" s="0" t="str">
        <f aca="false">" "&amp;TRIM(SUBSTITUTE(SUBSTITUTE(SUBSTITUTE(SUBSTITUTE(SUBSTITUTE(SUBSTITUTE(SUBSTITUTE(SUBSTITUTE(SUBSTITUTE(SUBSTITUTE(SUBSTITUTE(SUBSTITUTE(SUBSTITUTE(SUBSTITUTE(SUBSTITUTE(SUBSTITUTE(SUBSTITUTE(SUBSTITUTE(SUBSTITUTE(SUBSTITUTE(SUBSTITUTE(SUBSTITUTE(SUBSTITUTE(SUBSTITUTE(LOWER(AE207&amp;""),CHAR(10)," "),CHAR(13)," "),CHAR(9)," "),CHAR(160)," "),"."," "),","," "),"-"," "),"/"," "),"("," "),")"," "),":"," "),";"," "),"_"," "),"–"," "),"?"," "),"!"," "),"*"," "),"["," "),"]"," "),"'"," "),"#"," "),"+"," "),"&amp;"," "),"\"," "))&amp;" "</f>
        <v>  </v>
      </c>
      <c r="CE207" s="68" t="n">
        <f aca="false">IFERROR(IF(AND(LEN(AU207)&gt;0,LEN(AU207)=LEN(AX207),OR(TRIM(MID(SUBSTITUTE(TRIM(CC207)," ",REPT(" ",60)),1,60))="",ISNUMBER(SEARCH(" "&amp;TRIM(MID(SUBSTITUTE(TRIM(CC207)," ",REPT(" ",60)),1,60))&amp;" ",CD207))),OR(TRIM(MID(SUBSTITUTE(TRIM(CC207)," ",REPT(" ",60)),61,60))="",ISNUMBER(SEARCH(" "&amp;TRIM(MID(SUBSTITUTE(TRIM(CC207)," ",REPT(" ",60)),61,60))&amp;" ",CD207))),OR(TRIM(MID(SUBSTITUTE(TRIM(CC207)," ",REPT(" ",60)),121,60))="",ISNUMBER(SEARCH(" "&amp;TRIM(MID(SUBSTITUTE(TRIM(CC207)," ",REPT(" ",60)),121,60))&amp;" ",CD207)))),1,0),0)</f>
        <v>0</v>
      </c>
      <c r="CG207" s="68" t="n">
        <f aca="false">IFERROR(LEN(SUBSTITUTE(BF207," ",""))-SUMPRODUCT((LEN(BF207)-LEN(SUBSTITUTE(BF207," "&amp;L_NAFiller&amp;" "," ")))/(LEN(L_NAFiller)+1)*LEN(L_NAFiller)),0)</f>
        <v>0</v>
      </c>
    </row>
    <row r="208" customFormat="false" ht="39.75" hidden="false" customHeight="true" outlineLevel="0" collapsed="false">
      <c r="A208" s="57" t="s">
        <v>769</v>
      </c>
      <c r="B208" s="57" t="s">
        <v>231</v>
      </c>
      <c r="C208" s="57" t="str">
        <f aca="false">Flights!$F$10</f>
        <v>MH0002</v>
      </c>
      <c r="D208" s="58" t="n">
        <f aca="false">Flights!$D$10</f>
        <v>46310</v>
      </c>
      <c r="E208" s="57" t="str">
        <f aca="false">Flights!$G$10&amp;"-"&amp;Flights!$H$10</f>
        <v>KUL-LHR</v>
      </c>
      <c r="F208" s="57" t="str">
        <f aca="false">Flights!$K$10</f>
        <v>BC</v>
      </c>
      <c r="G208" s="57" t="s">
        <v>459</v>
      </c>
      <c r="H208" s="57" t="s">
        <v>460</v>
      </c>
      <c r="I208" s="57" t="s">
        <v>499</v>
      </c>
      <c r="J208" s="57" t="s">
        <v>551</v>
      </c>
      <c r="K208" s="67" t="s">
        <v>501</v>
      </c>
      <c r="L208" s="67" t="s">
        <v>748</v>
      </c>
      <c r="M208" s="67" t="s">
        <v>451</v>
      </c>
      <c r="N208" s="67" t="s">
        <v>383</v>
      </c>
      <c r="O208" s="67"/>
      <c r="P208" s="57" t="s">
        <v>187</v>
      </c>
      <c r="Q208" s="59" t="n">
        <f aca="false">ROUND((Flights!$AF$10)*1440,0)/1440</f>
        <v>46310.6388888889</v>
      </c>
      <c r="R208" s="59" t="n">
        <f aca="false">Q208+(IF(AND(INDEX(TZ_DSTS,MATCH(P208,TZ_STN,0))&lt;&gt;"",Q208&gt;=INDEX(TZ_DSTS,MATCH(P208,TZ_STN,0)),Q208&lt;INDEX(TZ_DSTE,MATCH(P208,TZ_STN,0))),INDEX(TZ_DST,MATCH(P208,TZ_STN,0)),INDEX(TZ_STD,MATCH(P208,TZ_STN,0))))/24</f>
        <v>46310.9722222222</v>
      </c>
      <c r="S208" s="60"/>
      <c r="T208" s="60"/>
      <c r="U208" s="60"/>
      <c r="V208" s="60"/>
      <c r="W208" s="61"/>
      <c r="X208" s="60"/>
      <c r="Y208" s="60"/>
      <c r="Z208" s="60"/>
      <c r="AA208" s="60"/>
      <c r="AB208" s="60"/>
      <c r="AC208" s="60"/>
      <c r="AD208" s="66"/>
      <c r="AE208" s="60"/>
      <c r="AF208" s="61" t="str">
        <f aca="false">IF(AND(ISNUMBER(X208),ISNUMBER(Y208)),Y208-X208,"")</f>
        <v/>
      </c>
      <c r="AG208" s="62" t="str">
        <f aca="false">IF(ISNUMBER(AD208),AD208-(IF(AND(INDEX(TZ_DSTS,MATCH(P208,TZ_STN,0))&lt;&gt;"",(AD208-INDEX(TZ_STD,MATCH(P208,TZ_STN,0))/24)&gt;=INDEX(TZ_DSTS,MATCH(P208,TZ_STN,0)),(AD208-INDEX(TZ_STD,MATCH(P208,TZ_STN,0))/24)&lt;INDEX(TZ_DSTE,MATCH(P208,TZ_STN,0))),INDEX(TZ_DST,MATCH(P208,TZ_STN,0)),INDEX(TZ_STD,MATCH(P208,TZ_STN,0))))/24,"")</f>
        <v/>
      </c>
      <c r="AH208" s="65" t="str">
        <f aca="false">IFERROR(IF(N208="N/A – rule",IF(OR(TRIM(U208)="",TRIM(U208)="N/A",TRIM(U208)="Not started"),"N/A – RULE","INVALID – this check does not apply to this aircraft: clear the status (or correct the fleet on Flights)"),IF(TRIM(U208)="N/A",IF(AT208=0,"INVALID – N/A not permitted for this check",IF(AND(TRIM(AB208)&lt;&gt;"",TRIM(AB208)&lt;&gt;"Closed"),"INVALID – corrective action still open",IF(AND(NOT(OR(LEN(AZ208)&lt;15,ISNUMBER(MATCH(AZ208,L_Placeholder,0)))),BK208=0,CG208&gt;=8,NOT(OR(LEN(AU208)&lt;2,ISNUMBER(MATCH(AU208,L_Placeholder,0)))),BR208&gt;=3,NOT(OR(LEN(AX208)&lt;2,ISNUMBER(MATCH(AX208,L_Placeholder,0)))),BS208&gt;=3,TRIM(AE208)&lt;&gt;TRIM(T208),AX208&lt;&gt;AU208,CE208=0),"N/A – JUSTIFIED","INVALID – N/A needs a real, settled reason (not 'not applicable' / 'as above' / TBC), a named PIC and a different named verifier"))),IF(OR(TRIM(U208)="Pass",TRIM(U208)="Pass after CA"),IF(NOT(ISNUMBER(AD208)),"INVALID – completion time missing",IF(OR(OR(LEN(AU208)&lt;2,ISNUMBER(MATCH(AU208,L_Placeholder,0))),BR208&lt;3),"INVALID – PIC missing or not a named person (a role such as QA / CSM is not a name)",IF(OR(LEN(AV208)&lt;2,ISNUMBER(MATCH(AV208,L_Placeholder,0))),"INVALID – result / assessment missing",IF(OR(OR(LEN(AW208)&lt;3,ISNUMBER(MATCH(AW208,L_Placeholder,0))),SUMPRODUCT(--ISNUMBER(SEARCH(" "&amp;L_EvidencePhrase&amp;" ",BD208)))&gt;0,BI208=1),"INVALID – evidence missing, placeholder or not yet on file",IF(ISNA(MATCH(TRIM(S208),L_EvidenceType,0)),"INVALID – choose the evidence type from the list (column S)",IF(BL208=0,"INVALID – evidence ID must be the record's own ID only (e.g. SF-2210, IMG_2231, 1045521); a link / file name needs type 'Link / file path'",IF(OR(OR(LEN(AX208)&lt;2,ISNUMBER(MATCH(AX208,L_Placeholder,0))),BS208&lt;3),"INVALID – verifier missing or not a named person (a role such as QA / CSM is not a name)",IF(OR(AX208=AU208,CE208=1,AND(LEN(AU208)&gt;=4,ISNUMBER(SEARCH(AU208,AX208))),AND(LEN(AX208)&gt;=4,ISNUMBER(SEARCH(AX208,AU208)))),"INVALID – verifier must be a different, named person (not the PIC or a role)",IF(BH208=1,"INVALID – result not yet available (awaiting / TBC)",IF(BG208=1,"INVALID – result describes a problem: record Fail, then Pass after CA (or reword if it is not a problem)",IF(BV208=1,"INVALID – wording says not on board: an on-board confirmation needs the item loaded",IF(AND(AQ208=1,OR(OR(LEN(AY208)&lt;3,ISNUMBER(MATCH(AY208,L_Placeholder,0))),BJ208=1,BQ208=0)),"INVALID – batch ID missing, placeholder or not an ID (e.g. PASB-261008-BC-017)",IF(AND(AR208=1,OR(NOT(ISNUMBER(X208)),NOT(ISNUMBER(Y208)))),"INVALID – expected/actual qty missing",IF(AND(AR208=1,OR(X208&lt;=0,Y208&lt;0)),"INVALID – expected qty must be above 0 and actual not negative",IF(AH192="N/A – JUSTIFIED","INVALID – preparation row F06-T12-17 is N/A",IF(AND(AR208=1,ISNUMBER(X192),X208&lt;&gt;X192,TRIM(U208)&lt;&gt;"Pass after CA"),"INVALID – expected qty differs from preparation check F06-T12-17: record the load change as a corrective action (Pass after CA)",IF(BB208&lt;&gt;"",BB208,IF(AND(AS208=1,Documents!$J$10&lt;&gt;"ON FILE"),"INVALID – GLD not on file (Documents sheet)",IF(AND(AS208=2,Documents!$O$10&lt;&gt;"ON FILE"),"INVALID – menu checklist not on file (Documents sheet)",IF(AND(AS208=3,NOT(ISNUMBER(Flights!$AX$10))),"INVALID – enter carrying flight KUL departure (Flights AX)",IF(AND(AS208=3,OR(Flights!$AZ$10&gt;Flights!$AA$10,Flights!$AX$10&lt;Flights!$AA$10-3)),"INVALID – carrying flight (Flights AX) cannot arrive before this leg's STD, or is over 3 days early",IF(AG208&gt;AsOfUTC,"INVALID – completion time is in the future",IF(AND(ISNUMBER(BY208),AG208&lt;BY208),IF(H208="Physical uplift","INVALID – before uplift window (cannot confirm loading)","INVALID – before valid window"),IF(AG208&gt;Flights!$AA$10,"INVALID – completed after departure (cannot establish readiness)",IF(AND(H208="Preparation",AG208&gt;=IF(ISNUMBER(Flights!$BA$10),MIN(Flights!$BA$10,Flights!$AA$10),Flights!$AA$10)),"INVALID – completed after loading / departure (cannot establish readiness)",IF(AND(H208="Physical uplift",AG208&gt;Q208),"INVALID – recorded after the loading flight departed",IF(AG208&gt;Q208,"COMPLETE – LATE","COMPLETE"))))))))))))))))))))))))))),IF(TRIM(U208)="Fail","FAIL – DISCREPANCY",IF(AND(TRIM(U208)&lt;&gt;"",TRIM(U208)&lt;&gt;"Not started",TRIM(U208)&lt;&gt;"In progress"),"INVALID – unrecognised status (use the list)",IF(AsOfUTC&gt;Q208,"OVERDUE",IF(N208="Clarification required","OPEN – CLARIFICATION","OPEN"))))))),"INVALID – error value in an input cell")</f>
        <v>OPEN</v>
      </c>
      <c r="AI208" s="61" t="n">
        <f aca="false">IF(OR(AH208="N/A – RULE",AH208="N/A – JUSTIFIED"),0,1)</f>
        <v>1</v>
      </c>
      <c r="AJ208" s="61" t="n">
        <f aca="false">IF(LEFT(AH208,8)="COMPLETE",1,0)</f>
        <v>0</v>
      </c>
      <c r="AK208" s="61" t="n">
        <f aca="false">IF(AND(AI208=1,AJ208=0,AsOfUTC&gt;Q208),1,0)</f>
        <v>0</v>
      </c>
      <c r="AL208" s="61" t="n">
        <f aca="false">IFERROR(IF(AND(AI208=1,OR(TRIM(U208)="Fail",AND(TRIM(AB208)&lt;&gt;"",TRIM(AB208)&lt;&gt;"Closed"),AND(ISNUMBER(AF208),AF208&lt;&gt;0,TRIM(U208)&lt;&gt;"Pass after CA"))),1,0),1)</f>
        <v>0</v>
      </c>
      <c r="AM208" s="61" t="n">
        <f aca="false">IF(LEFT(AH208,7)="INVALID",1,0)</f>
        <v>0</v>
      </c>
      <c r="AN208" s="61" t="n">
        <f aca="false">IF(AND(N208="Clarification required",AI208=1,AJ208=0),1,0)</f>
        <v>0</v>
      </c>
      <c r="AO208" s="61" t="str">
        <f aca="false">IF(AK208=1,SUM(AK$5:AK208),"")</f>
        <v/>
      </c>
      <c r="AP208" s="61" t="str">
        <f aca="false">IF(AL208=1,SUM(AL$5:AL208),"")</f>
        <v/>
      </c>
      <c r="AQ208" s="61" t="n">
        <v>0</v>
      </c>
      <c r="AR208" s="61" t="n">
        <v>0</v>
      </c>
      <c r="AS208" s="61" t="n">
        <v>0</v>
      </c>
      <c r="AT208" s="61" t="n">
        <v>0</v>
      </c>
      <c r="AU208" s="61" t="str">
        <f aca="false">SUBSTITUTE(SUBSTITUTE(SUBSTITUTE(SUBSTITUTE(SUBSTITUTE(SUBSTITUTE(SUBSTITUTE(SUBSTITUTE(SUBSTITUTE(SUBSTITUTE(SUBSTITUTE(SUBSTITUTE(SUBSTITUTE(SUBSTITUTE(SUBSTITUTE(SUBSTITUTE(LOWER(T208&amp;""),CHAR(10),""),CHAR(13),""),CHAR(9),""),CHAR(160),"")," ",""),".",""),"-",""),"/",""),"?",""),"_",""),",",""),"[",""),"]",""),"(",""),")",""),"*","")</f>
        <v/>
      </c>
      <c r="AV208" s="61" t="str">
        <f aca="false">SUBSTITUTE(SUBSTITUTE(SUBSTITUTE(SUBSTITUTE(SUBSTITUTE(SUBSTITUTE(SUBSTITUTE(SUBSTITUTE(SUBSTITUTE(SUBSTITUTE(SUBSTITUTE(SUBSTITUTE(SUBSTITUTE(SUBSTITUTE(SUBSTITUTE(SUBSTITUTE(LOWER(V208&amp;""),CHAR(10),""),CHAR(13),""),CHAR(9),""),CHAR(160),"")," ",""),".",""),"-",""),"/",""),"?",""),"_",""),",",""),"[",""),"]",""),"(",""),")",""),"*","")</f>
        <v/>
      </c>
      <c r="AW208" s="61" t="str">
        <f aca="false">SUBSTITUTE(SUBSTITUTE(SUBSTITUTE(SUBSTITUTE(SUBSTITUTE(SUBSTITUTE(SUBSTITUTE(SUBSTITUTE(SUBSTITUTE(SUBSTITUTE(SUBSTITUTE(SUBSTITUTE(SUBSTITUTE(SUBSTITUTE(SUBSTITUTE(SUBSTITUTE(LOWER(Z208&amp;""),CHAR(10),""),CHAR(13),""),CHAR(9),""),CHAR(160),"")," ",""),".",""),"-",""),"/",""),"?",""),"_",""),",",""),"[",""),"]",""),"(",""),")",""),"*","")</f>
        <v/>
      </c>
      <c r="AX208" s="61" t="str">
        <f aca="false">SUBSTITUTE(SUBSTITUTE(SUBSTITUTE(SUBSTITUTE(SUBSTITUTE(SUBSTITUTE(SUBSTITUTE(SUBSTITUTE(SUBSTITUTE(SUBSTITUTE(SUBSTITUTE(SUBSTITUTE(SUBSTITUTE(SUBSTITUTE(SUBSTITUTE(SUBSTITUTE(LOWER(AE208&amp;""),CHAR(10),""),CHAR(13),""),CHAR(9),""),CHAR(160),"")," ",""),".",""),"-",""),"/",""),"?",""),"_",""),",",""),"[",""),"]",""),"(",""),")",""),"*","")</f>
        <v/>
      </c>
      <c r="AY208" s="61" t="str">
        <f aca="false">SUBSTITUTE(SUBSTITUTE(SUBSTITUTE(SUBSTITUTE(SUBSTITUTE(SUBSTITUTE(SUBSTITUTE(SUBSTITUTE(SUBSTITUTE(SUBSTITUTE(SUBSTITUTE(SUBSTITUTE(SUBSTITUTE(SUBSTITUTE(SUBSTITUTE(SUBSTITUTE(LOWER(W208&amp;""),CHAR(10),""),CHAR(13),""),CHAR(9),""),CHAR(160),"")," ",""),".",""),"-",""),"/",""),"?",""),"_",""),",",""),"[",""),"]",""),"(",""),")",""),"*","")</f>
        <v/>
      </c>
      <c r="AZ208" s="61" t="str">
        <f aca="false">SUBSTITUTE(SUBSTITUTE(SUBSTITUTE(SUBSTITUTE(SUBSTITUTE(SUBSTITUTE(SUBSTITUTE(SUBSTITUTE(SUBSTITUTE(SUBSTITUTE(SUBSTITUTE(SUBSTITUTE(SUBSTITUTE(SUBSTITUTE(SUBSTITUTE(SUBSTITUTE(LOWER(AC208&amp;""),CHAR(10),""),CHAR(13),""),CHAR(9),""),CHAR(160),"")," ",""),".",""),"-",""),"/",""),"?",""),"_",""),",",""),"[",""),"]",""),"(",""),")",""),"*","")</f>
        <v/>
      </c>
      <c r="BA208" s="61" t="str">
        <f aca="false">SUBSTITUTE(SUBSTITUTE(SUBSTITUTE(SUBSTITUTE(SUBSTITUTE(SUBSTITUTE(SUBSTITUTE(SUBSTITUTE(SUBSTITUTE(SUBSTITUTE(SUBSTITUTE(SUBSTITUTE(SUBSTITUTE(SUBSTITUTE(SUBSTITUTE(SUBSTITUTE(LOWER(AA208&amp;""),CHAR(10),""),CHAR(13),""),CHAR(9),""),CHAR(160),"")," ",""),".",""),"-",""),"/",""),"?",""),"_",""),",",""),"[",""),"]",""),"(",""),")",""),"*","")</f>
        <v/>
      </c>
      <c r="BB208" s="61" t="str">
        <f aca="false">IF(AND(TRIM(U208)="Pass",ISNUMBER(AF208)),IF(AF208&lt;&gt;0,"INVALID – qty variance: use Fail or Pass after CA",""),"")&amp;IF(AND(TRIM(U208)="Pass after CA",ISNUMBER(AF208)),IF(AF208&lt;&gt;0,"INVALID – after the corrective action the actual qty must equal expected (update Actual)",""),"")&amp;IF(AND(TRIM(U208)="Pass",TRIM(AB208)&lt;&gt;"",TRIM(AB208)&lt;&gt;"Closed"),"INVALID – corrective action not closed: use Fail, then Pass after CA","")&amp;IF(AND(LEN(BA208)&gt;=2,ISNA(MATCH(LEFT(BA208,255),L_Placeholder,0)),TRIM(AB208)=""),"INVALID – CA status missing for the recorded corrective action","")&amp;IF(AND(TRIM(U208)="Pass after CA",OR(OR(LEN(BA208)&lt;5,ISNUMBER(MATCH(BA208,L_Placeholder,0))),TRIM(AB208)&lt;&gt;"Closed")),"INVALID – corrective action not recorded/closed","")</f>
        <v/>
      </c>
      <c r="BC208" s="61" t="str">
        <f aca="false">" "&amp;TRIM(SUBSTITUTE(SUBSTITUTE(SUBSTITUTE(SUBSTITUTE(SUBSTITUTE(SUBSTITUTE(SUBSTITUTE(SUBSTITUTE(SUBSTITUTE(SUBSTITUTE(SUBSTITUTE(SUBSTITUTE(SUBSTITUTE(SUBSTITUTE(SUBSTITUTE(SUBSTITUTE(SUBSTITUTE(SUBSTITUTE(SUBSTITUTE(SUBSTITUTE(SUBSTITUTE(SUBSTITUTE(SUBSTITUTE(SUBSTITUTE(LOWER(V208&amp;""),CHAR(10)," "),CHAR(13)," "),CHAR(9)," "),CHAR(160)," "),"."," "),","," "),"-"," "),"/"," "),"("," "),")"," "),":"," "),";"," "),"_"," "),"–"," "),"?"," "),"!"," "),"*"," "),"["," "),"]"," "),"'"," "),"#"," "),"+"," "),"&amp;"," "),"\"," "))&amp;" "</f>
        <v>  </v>
      </c>
      <c r="BD208" s="61" t="str">
        <f aca="false">" "&amp;TRIM(SUBSTITUTE(SUBSTITUTE(SUBSTITUTE(SUBSTITUTE(SUBSTITUTE(SUBSTITUTE(SUBSTITUTE(SUBSTITUTE(SUBSTITUTE(SUBSTITUTE(SUBSTITUTE(SUBSTITUTE(SUBSTITUTE(SUBSTITUTE(SUBSTITUTE(SUBSTITUTE(SUBSTITUTE(SUBSTITUTE(SUBSTITUTE(SUBSTITUTE(SUBSTITUTE(SUBSTITUTE(SUBSTITUTE(SUBSTITUTE(LOWER(Z208&amp;""),CHAR(10)," "),CHAR(13)," "),CHAR(9)," "),CHAR(160)," "),"."," "),","," "),"-"," "),"/"," "),"("," "),")"," "),":"," "),";"," "),"_"," "),"–"," "),"?"," "),"!"," "),"*"," "),"["," "),"]"," "),"'"," "),"#"," "),"+"," "),"&amp;"," "),"\"," "))&amp;" "</f>
        <v>  </v>
      </c>
      <c r="BE208" s="61" t="str">
        <f aca="false">" "&amp;TRIM(SUBSTITUTE(SUBSTITUTE(SUBSTITUTE(SUBSTITUTE(SUBSTITUTE(SUBSTITUTE(SUBSTITUTE(SUBSTITUTE(SUBSTITUTE(SUBSTITUTE(SUBSTITUTE(SUBSTITUTE(SUBSTITUTE(SUBSTITUTE(SUBSTITUTE(SUBSTITUTE(SUBSTITUTE(SUBSTITUTE(SUBSTITUTE(SUBSTITUTE(SUBSTITUTE(SUBSTITUTE(SUBSTITUTE(SUBSTITUTE(LOWER(W208&amp;""),CHAR(10)," "),CHAR(13)," "),CHAR(9)," "),CHAR(160)," "),"."," "),","," "),"-"," "),"/"," "),"("," "),")"," "),":"," "),";"," "),"_"," "),"–"," "),"?"," "),"!"," "),"*"," "),"["," "),"]"," "),"'"," "),"#"," "),"+"," "),"&amp;"," "),"\"," "))&amp;" "</f>
        <v>  </v>
      </c>
      <c r="BF208" s="61" t="str">
        <f aca="false">" "&amp;TRIM(SUBSTITUTE(SUBSTITUTE(SUBSTITUTE(SUBSTITUTE(SUBSTITUTE(SUBSTITUTE(SUBSTITUTE(SUBSTITUTE(SUBSTITUTE(SUBSTITUTE(SUBSTITUTE(SUBSTITUTE(SUBSTITUTE(SUBSTITUTE(SUBSTITUTE(SUBSTITUTE(SUBSTITUTE(SUBSTITUTE(SUBSTITUTE(SUBSTITUTE(SUBSTITUTE(SUBSTITUTE(SUBSTITUTE(SUBSTITUTE(LOWER(AC208&amp;""),CHAR(10)," "),CHAR(13)," "),CHAR(9)," "),CHAR(160)," "),"."," "),","," "),"-"," "),"/"," "),"("," "),")"," "),":"," "),";"," "),"_"," "),"–"," "),"?"," "),"!"," "),"*"," "),"["," "),"]"," "),"'"," "),"#"," "),"+"," "),"&amp;"," "),"\"," "))&amp;" "</f>
        <v>  </v>
      </c>
      <c r="BG208" s="61" t="n">
        <f aca="false">IFERROR(IF(AND(TRIM(U208)="Pass",SUMPRODUCT((LEN(BC208)-LEN(SUBSTITUTE(BC208," "&amp;L_ResultBad&amp;" "," ")))/(LEN(L_ResultBad)+1))&gt;SUMPRODUCT((LEN(BC208)-LEN(SUBSTITUTE(BC208," "&amp;L_NegPhrase&amp;" "," ")))/(LEN(L_NegPhrase)+1))),1,0),0)</f>
        <v>0</v>
      </c>
      <c r="BH208" s="61" t="n">
        <f aca="false">IFERROR(IF(SUMPRODUCT((LEN(BC208)-LEN(SUBSTITUTE(BC208," "&amp;L_Pending&amp;" "," ")))/(LEN(L_Pending)+1))&gt;SUMPRODUCT((LEN(BC208)-LEN(SUBSTITUTE(BC208," "&amp;L_PendNeg&amp;" "," ")))/(LEN(L_PendNeg)+1)),1,0),1)</f>
        <v>0</v>
      </c>
      <c r="BI208" s="61" t="n">
        <f aca="false">IFERROR(IF(SUMPRODUCT((LEN(BD208)-LEN(SUBSTITUTE(BD208," "&amp;L_PendStrict&amp;" "," ")))/(LEN(L_PendStrict)+1))&gt;SUMPRODUCT((LEN(BD208)-LEN(SUBSTITUTE(BD208," "&amp;L_PendNeg&amp;" "," ")))/(LEN(L_PendNeg)+1)),1,0),1)</f>
        <v>0</v>
      </c>
      <c r="BJ208" s="61" t="n">
        <f aca="false">IFERROR(IF(SUMPRODUCT((LEN(BE208)-LEN(SUBSTITUTE(BE208," "&amp;L_Pending&amp;" "," ")))/(LEN(L_Pending)+1))&gt;SUMPRODUCT((LEN(BE208)-LEN(SUBSTITUTE(BE208," "&amp;L_PendNeg&amp;" "," ")))/(LEN(L_PendNeg)+1)),1,0),1)</f>
        <v>0</v>
      </c>
      <c r="BK208" s="61" t="n">
        <f aca="false">IFERROR(IF(SUMPRODUCT((LEN(BF208)-LEN(SUBSTITUTE(BF208," "&amp;L_PendStrict&amp;" "," ")))/(LEN(L_PendStrict)+1))&gt;SUMPRODUCT((LEN(BF208)-LEN(SUBSTITUTE(BF208," "&amp;L_PendNeg&amp;" "," ")))/(LEN(L_PendNeg)+1)),1,0),1)</f>
        <v>0</v>
      </c>
      <c r="BL208" s="61" t="n">
        <f aca="false">IF(ISNA(MATCH(TRIM(S208),L_EvidenceType,0)),0,BZ208)</f>
        <v>0</v>
      </c>
      <c r="BM208" s="61" t="str">
        <f aca="false">SUBSTITUTE(SUBSTITUTE(SUBSTITUTE(SUBSTITUTE(SUBSTITUTE(SUBSTITUTE(SUBSTITUTE(SUBSTITUTE(SUBSTITUTE(LOWER(Z208&amp;""),"1","0"),"2","0"),"3","0"),"4","0"),"5","0"),"6","0"),"7","0"),"8","0"),"9","0")</f>
        <v/>
      </c>
      <c r="BN208" s="61" t="str">
        <f aca="false">SUBSTITUTE(SUBSTITUTE(SUBSTITUTE(SUBSTITUTE(SUBSTITUTE(SUBSTITUTE(SUBSTITUTE(SUBSTITUTE(SUBSTITUTE(SUBSTITUTE(SUBSTITUTE(SUBSTITUTE(SUBSTITUTE(SUBSTITUTE(SUBSTITUTE(SUBSTITUTE(SUBSTITUTE(SUBSTITUTE(SUBSTITUTE(SUBSTITUTE(SUBSTITUTE(SUBSTITUTE(SUBSTITUTE(SUBSTITUTE(SUBSTITUTE(BM208,"b","a"),"c","a"),"d","a"),"e","a"),"f","a"),"g","a"),"h","a"),"i","a"),"j","a"),"k","a"),"l","a"),"m","a"),"n","a"),"o","a"),"p","a"),"q","a"),"r","a"),"s","a"),"t","a"),"u","a"),"v","a"),"w","a"),"x","a"),"y","a"),"z","a")</f>
        <v/>
      </c>
      <c r="BO208" s="61" t="str">
        <f aca="false">SUBSTITUTE(SUBSTITUTE(SUBSTITUTE(SUBSTITUTE(SUBSTITUTE(SUBSTITUTE(SUBSTITUTE(SUBSTITUTE(SUBSTITUTE(LOWER(W208&amp;""),"1","0"),"2","0"),"3","0"),"4","0"),"5","0"),"6","0"),"7","0"),"8","0"),"9","0")</f>
        <v/>
      </c>
      <c r="BP208" s="61" t="str">
        <f aca="false">SUBSTITUTE(SUBSTITUTE(SUBSTITUTE(SUBSTITUTE(SUBSTITUTE(SUBSTITUTE(SUBSTITUTE(SUBSTITUTE(SUBSTITUTE(SUBSTITUTE(SUBSTITUTE(SUBSTITUTE(SUBSTITUTE(SUBSTITUTE(SUBSTITUTE(SUBSTITUTE(SUBSTITUTE(SUBSTITUTE(SUBSTITUTE(SUBSTITUTE(SUBSTITUTE(SUBSTITUTE(SUBSTITUTE(SUBSTITUTE(SUBSTITUTE(BO208,"b","a"),"c","a"),"d","a"),"e","a"),"f","a"),"g","a"),"h","a"),"i","a"),"j","a"),"k","a"),"l","a"),"m","a"),"n","a"),"o","a"),"p","a"),"q","a"),"r","a"),"s","a"),"t","a"),"u","a"),"v","a"),"w","a"),"x","a"),"y","a"),"z","a")</f>
        <v/>
      </c>
      <c r="BQ208" s="61" t="n">
        <f aca="false">IFERROR(IF(AND(ISERROR(SEARCH(" mh"," "&amp;LOWER(W208))),ISNA(MATCH(LEFT(TRIM(BP208),255),{"0000a","000a","00a","0000aa","000aa","00aa","0aa","0000aaa","000aaa","00a00","0a00","0000-0000","00:00","a00","a0","00.00.0000","00/00/0000","00-00-0000","0000-00-00","0000/00/00","0000.00.00","00.00.00","00/00/00","00-00-00","0.00.0000","0/00/0000","0-00-0000"},0)),ISNA(MATCH(LEFT(TRIM(CA208),255),{"0000a","000a","00a","0000aa","000aa","00aa","0aa","0000aaa","000aaa","00a00","0a00","0000-0000","00:00","a00","a0","00.00.0000","00/00/0000","00-00-0000","0000-00-00","0000/00/00","0000.00.00","00.00.00","00/00/00","00-00-00","0.00.0000","0/00/0000","0-00-0000"},0)),LEN(CB208)&gt;=3,NOT(OR(SUBSTITUTE(CB208,"0","")="",AND(LEN(CB208)&gt;=4,CB208=REPT(LEFT(CB208),LEN(CB208))),ISNUMBER(MATCH(CB208,{"123","1234","12345","123456","1234567","12345678","0123","01234","012345","98765","987654","54321"},0)),AND(LEN(CB208)=8,LEFT(CB208,3)="202"))),OR(AND((LEN(CA208)-LEN(SUBSTITUTE(CA208,"a","")))&gt;=1,SUMPRODUCT(--ISNUMBER(SEARCH({"a0","a-0","a_0","a/0","a.0","a#0","0a","0-a","0_a","0/a"},BP208)))&gt;0),ISNUMBER(SEARCH("000000",BP208)))),1,0),0)</f>
        <v>0</v>
      </c>
      <c r="BR208" s="61" t="n">
        <f aca="false">IFERROR(LEN(SUBSTITUTE(CC208," ",""))-SUMPRODUCT((LEN(CC208)-LEN(SUBSTITUTE(CC208," "&amp;L_Role&amp;" "," ")))/(LEN(L_Role)+1)*LEN(L_Role)),0)</f>
        <v>0</v>
      </c>
      <c r="BS208" s="61" t="n">
        <f aca="false">IFERROR(LEN(SUBSTITUTE(CD208," ",""))-SUMPRODUCT((LEN(CD208)-LEN(SUBSTITUTE(CD208," "&amp;L_Role&amp;" "," ")))/(LEN(L_Role)+1)*LEN(L_Role)),0)</f>
        <v>0</v>
      </c>
      <c r="BT2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208,"revision",""),"version",""),"jan",""),"feb",""),"mar",""),"apr",""),"may",""),"jun",""),"jul",""),"aug",""),"sep",""),"oct",""),"nov",""),"dec",""),"utc",""),"gmt",""),"myt",""),"bst",""),"rev",""),"ver",""),"b","a"),"c","a"),"d","a"),"e","a"),"f","a"),"g","a"),"h","a"),"i","a"),"j","a"),"k","a"),"l","a"),"m","a"),"n","a"),"o","a"),"p","a"),"q","a"),"r","a"),"s","a"),"t","a"),"u","a"),"v","a"),"w","a"),"x","a"),"y","a"),"z","a")</f>
        <v/>
      </c>
      <c r="BU208" s="61" t="str">
        <f aca="false">SUBSTITUTE(SUBSTITUTE(SUBSTITUTE(SUBSTITUTE(SUBSTITUTE(SUBSTITUTE(SUBSTITUTE(SUBSTITUTE(SUBSTITUTE(SUBSTITUTE(LEFT(BM208,FIND("0",BM208&amp;"0")-1),"-",""),"_",""),"/",""),".",""),"#",""),"\\",""),":","")," ",""),"(",""),")","")</f>
        <v/>
      </c>
      <c r="BV208" s="61" t="n">
        <f aca="false">IFERROR(IF(OR(SUMPRODUCT((LEN(BC208)-LEN(SUBSTITUTE(BC208," "&amp;L_NotLoaded&amp;" "," ")))/(LEN(L_NotLoaded)+1))&gt;SUMPRODUCT((LEN(BC208)-LEN(SUBSTITUTE(BC208," "&amp;L_NotLoadedNeg&amp;" "," ")))/(LEN(L_NotLoadedNeg)+1)),SUMPRODUCT((LEN(BD208)-LEN(SUBSTITUTE(BD208," "&amp;L_NotLoaded&amp;" "," ")))/(LEN(L_NotLoaded)+1))&gt;SUMPRODUCT((LEN(BD208)-LEN(SUBSTITUTE(BD208," "&amp;L_NotLoadedNeg&amp;" "," ")))/(LEN(L_NotLoadedNeg)+1))),1,0),0)</f>
        <v>0</v>
      </c>
      <c r="BW2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208&amp;""),"a",""),"b",""),"c",""),"d",""),"e",""),"f",""),"g",""),"h",""),"i",""),"j",""),"k",""),"l",""),"m",""),"n",""),"o",""),"p",""),"q",""),"r",""),"s",""),"t",""),"u",""),"v",""),"w",""),"x",""),"y",""),"z",""),"-",""),"_",""),"/",""),".",""),"#",""),"\\",""),":","")," ",""),"(",""),")","")</f>
        <v/>
      </c>
      <c r="BX208" s="61" t="str">
        <f aca="false">SUBSTITUTE(SUBSTITUTE(SUBSTITUTE(SUBSTITUTE(SUBSTITUTE(SUBSTITUTE(SUBSTITUTE(SUBSTITUTE(SUBSTITUTE(SUBSTITUTE(SUBSTITUTE(BM208,"0",""),"-",""),"_",""),"/",""),".",""),"#",""),"\\",""),":","")," ",""),"(",""),")","")</f>
        <v/>
      </c>
      <c r="BY208" s="62" t="n">
        <f aca="false">IF(ISNUMBER(Flights!$AZ$10),MAX(Q208-UpliftWindowH/24,Flights!$AZ$10),Q208-UpliftWindowH/24)</f>
        <v>46310.3888888889</v>
      </c>
      <c r="BZ208" s="61" t="n">
        <f aca="false">IFERROR(IF(IF(TRIM(S208)="Link / file path",AND(LEN(TRIM(Z208))&gt;=5,SUMPRODUCT(--ISNUMBER(SEARCH({"http","www.","\\",":\",".pdf",".jpg",".jpeg",".png",".heic",".xls",".doc",".msg",".eml",".ppt",".txt",".zip"},Z208)))&gt;0),AND(ISERROR(FIND(" ",TRIM(Z208))),NOT(OR(SUMPRODUCT(--ISNUMBER(FIND({",",";","&amp;","+"},Z208)))&gt;0,SUMPRODUCT(--ISNUMBER(SEARCH({"0/aa","0\\aa"},BN208)))&gt;0)),NOT(SUMPRODUCT(--ISNUMBER(SEARCH({"http","www.","\\",":\",".pdf",".jpg",".jpeg",".png",".heic",".xls",".doc",".msg",".eml",".ppt",".txt",".zip"},Z208)))&gt;0),NOT(LOWER(TRIM(Z208))=LOWER(Flights!$F$10)),ISNA(MATCH(BU208,{"mh","rev","revision","ver","version","v","r","a","b","seat","tray","row","gate","bay","stand","page","pg","item","line","no","cart","galley","flight","flt","table","box","bag","oven","etd","eta","std","sta","atd","ata","qty","pax","x","time","tel","ph","mob","day","wk","week","utc","gmt","myt","lt"},0)),NOT(OR(ISNUMBER(MATCH(LEFT(BN208,255),{"0000a","000a","00a","0000aa","000aa","00aa","0aa","0000aaa","000aaa","00a00","0a00","0000-0000","00:00","a00","a0","00.00.0000","00/00/0000","00-00-0000","0000-00-00","0000/00/00","0000.00.00","00.00.00","00/00/00","00-00-00","0.00.0000","0/00/0000","0-00-0000"},0)),ISNUMBER(MATCH(LEFT(BT208,255),{"0000a","000a","00a","0000aa","000aa","00aa","0aa","0000aaa","000aaa","00a00","0a00","0000-0000","00:00","a00","a0","00.00.0000","00/00/0000","00-00-0000","0000-00-00","0000/00/00","0000.00.00","00.00.00","00/00/00","00-00-00","0.00.0000","0/00/0000","0-00-0000"},0)))),NOT(OR(AND(BW208&lt;&gt;"",SUBSTITUTE(BW208,"0","")=""),AND(LEN(BW208)&gt;=4,BW208=REPT(LEFT(BW208),LEN(BW208))),ISNUMBER(MATCH(BW208,{"123","1234","12345","123456","1234567","12345678","0123","01234","012345","98765","987654","54321"},0)),ISNUMBER(MATCH(BX208,{"x","xx","xxx","xxxx","xxxxx","abc","abcd","nil","na","nan","test","tbc","tba","tbd","dummy","sample","example","eg","zz","zzz","none","null","xyz","qwe","asd","id","ref"},0)),AND(LEN(BW208)=8,BX208="",OR(LEFT(BW208,3)="202",ISNUMBER(MATCH(RIGHT(BW208,4),{"2025","2026","2027"},0)))))),OR(AND((LEN(BT208)-LEN(SUBSTITUTE(BT208,"a","")))&gt;=1,(LEN(BN208)-LEN(SUBSTITUTE(BN208,"0","")))&gt;=2,SUMPRODUCT(--ISNUMBER(SEARCH({"a0","a-0","a_0","a/0","a.0","a#0","0a","0-a","0_a","0/a"},BN208)))&gt;0),AND((LEN(BN208)-LEN(SUBSTITUTE(BN208,"a","")))=0,(LEN(BN208)-LEN(SUBSTITUTE(BN208,"0","")))&gt;=5)))),1,0),0)</f>
        <v>0</v>
      </c>
      <c r="CA2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208,"revision",""),"version",""),"jan",""),"feb",""),"mar",""),"apr",""),"may",""),"jun",""),"jul",""),"aug",""),"sep",""),"oct",""),"nov",""),"dec",""),"utc",""),"gmt",""),"myt",""),"bst",""),"rev",""),"ver",""),"b","a"),"c","a"),"d","a"),"e","a"),"f","a"),"g","a"),"h","a"),"i","a"),"j","a"),"k","a"),"l","a"),"m","a"),"n","a"),"o","a"),"p","a"),"q","a"),"r","a"),"s","a"),"t","a"),"u","a"),"v","a"),"w","a"),"x","a"),"y","a"),"z","a")</f>
        <v/>
      </c>
      <c r="CB2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208&amp;""),"a",""),"b",""),"c",""),"d",""),"e",""),"f",""),"g",""),"h",""),"i",""),"j",""),"k",""),"l",""),"m",""),"n",""),"o",""),"p",""),"q",""),"r",""),"s",""),"t",""),"u",""),"v",""),"w",""),"x",""),"y",""),"z",""),"-",""),"_",""),"/",""),".",""),"#",""),"\\",""),":","")," ",""),"(",""),")","")</f>
        <v/>
      </c>
      <c r="CC208" s="0" t="str">
        <f aca="false">" "&amp;TRIM(SUBSTITUTE(SUBSTITUTE(SUBSTITUTE(SUBSTITUTE(SUBSTITUTE(SUBSTITUTE(SUBSTITUTE(SUBSTITUTE(SUBSTITUTE(SUBSTITUTE(SUBSTITUTE(SUBSTITUTE(SUBSTITUTE(SUBSTITUTE(SUBSTITUTE(SUBSTITUTE(SUBSTITUTE(SUBSTITUTE(SUBSTITUTE(SUBSTITUTE(SUBSTITUTE(SUBSTITUTE(SUBSTITUTE(SUBSTITUTE(LOWER(T208&amp;""),CHAR(10)," "),CHAR(13)," "),CHAR(9)," "),CHAR(160)," "),"."," "),","," "),"-"," "),"/"," "),"("," "),")"," "),":"," "),";"," "),"_"," "),"–"," "),"?"," "),"!"," "),"*"," "),"["," "),"]"," "),"'"," "),"#"," "),"+"," "),"&amp;"," "),"\"," "))&amp;" "</f>
        <v>  </v>
      </c>
      <c r="CD208" s="0" t="str">
        <f aca="false">" "&amp;TRIM(SUBSTITUTE(SUBSTITUTE(SUBSTITUTE(SUBSTITUTE(SUBSTITUTE(SUBSTITUTE(SUBSTITUTE(SUBSTITUTE(SUBSTITUTE(SUBSTITUTE(SUBSTITUTE(SUBSTITUTE(SUBSTITUTE(SUBSTITUTE(SUBSTITUTE(SUBSTITUTE(SUBSTITUTE(SUBSTITUTE(SUBSTITUTE(SUBSTITUTE(SUBSTITUTE(SUBSTITUTE(SUBSTITUTE(SUBSTITUTE(LOWER(AE208&amp;""),CHAR(10)," "),CHAR(13)," "),CHAR(9)," "),CHAR(160)," "),"."," "),","," "),"-"," "),"/"," "),"("," "),")"," "),":"," "),";"," "),"_"," "),"–"," "),"?"," "),"!"," "),"*"," "),"["," "),"]"," "),"'"," "),"#"," "),"+"," "),"&amp;"," "),"\"," "))&amp;" "</f>
        <v>  </v>
      </c>
      <c r="CE208" s="68" t="n">
        <f aca="false">IFERROR(IF(AND(LEN(AU208)&gt;0,LEN(AU208)=LEN(AX208),OR(TRIM(MID(SUBSTITUTE(TRIM(CC208)," ",REPT(" ",60)),1,60))="",ISNUMBER(SEARCH(" "&amp;TRIM(MID(SUBSTITUTE(TRIM(CC208)," ",REPT(" ",60)),1,60))&amp;" ",CD208))),OR(TRIM(MID(SUBSTITUTE(TRIM(CC208)," ",REPT(" ",60)),61,60))="",ISNUMBER(SEARCH(" "&amp;TRIM(MID(SUBSTITUTE(TRIM(CC208)," ",REPT(" ",60)),61,60))&amp;" ",CD208))),OR(TRIM(MID(SUBSTITUTE(TRIM(CC208)," ",REPT(" ",60)),121,60))="",ISNUMBER(SEARCH(" "&amp;TRIM(MID(SUBSTITUTE(TRIM(CC208)," ",REPT(" ",60)),121,60))&amp;" ",CD208)))),1,0),0)</f>
        <v>0</v>
      </c>
      <c r="CG208" s="68" t="n">
        <f aca="false">IFERROR(LEN(SUBSTITUTE(BF208," ",""))-SUMPRODUCT((LEN(BF208)-LEN(SUBSTITUTE(BF208," "&amp;L_NAFiller&amp;" "," ")))/(LEN(L_NAFiller)+1)*LEN(L_NAFiller)),0)</f>
        <v>0</v>
      </c>
    </row>
    <row r="209" customFormat="false" ht="39.75" hidden="false" customHeight="true" outlineLevel="0" collapsed="false">
      <c r="A209" s="57" t="s">
        <v>770</v>
      </c>
      <c r="B209" s="57" t="s">
        <v>231</v>
      </c>
      <c r="C209" s="57" t="str">
        <f aca="false">Flights!$F$10</f>
        <v>MH0002</v>
      </c>
      <c r="D209" s="58" t="n">
        <f aca="false">Flights!$D$10</f>
        <v>46310</v>
      </c>
      <c r="E209" s="57" t="str">
        <f aca="false">Flights!$G$10&amp;"-"&amp;Flights!$H$10</f>
        <v>KUL-LHR</v>
      </c>
      <c r="F209" s="57" t="str">
        <f aca="false">Flights!$K$10</f>
        <v>BC</v>
      </c>
      <c r="G209" s="57" t="s">
        <v>459</v>
      </c>
      <c r="H209" s="57" t="s">
        <v>460</v>
      </c>
      <c r="I209" s="57" t="s">
        <v>447</v>
      </c>
      <c r="J209" s="57" t="s">
        <v>553</v>
      </c>
      <c r="K209" s="67" t="s">
        <v>449</v>
      </c>
      <c r="L209" s="67" t="s">
        <v>750</v>
      </c>
      <c r="M209" s="67" t="s">
        <v>451</v>
      </c>
      <c r="N209" s="67" t="s">
        <v>383</v>
      </c>
      <c r="O209" s="67"/>
      <c r="P209" s="57" t="s">
        <v>187</v>
      </c>
      <c r="Q209" s="59" t="n">
        <f aca="false">ROUND((Flights!$AF$10)*1440,0)/1440</f>
        <v>46310.6388888889</v>
      </c>
      <c r="R209" s="59" t="n">
        <f aca="false">Q209+(IF(AND(INDEX(TZ_DSTS,MATCH(P209,TZ_STN,0))&lt;&gt;"",Q209&gt;=INDEX(TZ_DSTS,MATCH(P209,TZ_STN,0)),Q209&lt;INDEX(TZ_DSTE,MATCH(P209,TZ_STN,0))),INDEX(TZ_DST,MATCH(P209,TZ_STN,0)),INDEX(TZ_STD,MATCH(P209,TZ_STN,0))))/24</f>
        <v>46310.9722222222</v>
      </c>
      <c r="S209" s="60"/>
      <c r="T209" s="60"/>
      <c r="U209" s="60"/>
      <c r="V209" s="60"/>
      <c r="W209" s="61"/>
      <c r="X209" s="60"/>
      <c r="Y209" s="60"/>
      <c r="Z209" s="60"/>
      <c r="AA209" s="60"/>
      <c r="AB209" s="60"/>
      <c r="AC209" s="60"/>
      <c r="AD209" s="66"/>
      <c r="AE209" s="60"/>
      <c r="AF209" s="61" t="str">
        <f aca="false">IF(AND(ISNUMBER(X209),ISNUMBER(Y209)),Y209-X209,"")</f>
        <v/>
      </c>
      <c r="AG209" s="62" t="str">
        <f aca="false">IF(ISNUMBER(AD209),AD209-(IF(AND(INDEX(TZ_DSTS,MATCH(P209,TZ_STN,0))&lt;&gt;"",(AD209-INDEX(TZ_STD,MATCH(P209,TZ_STN,0))/24)&gt;=INDEX(TZ_DSTS,MATCH(P209,TZ_STN,0)),(AD209-INDEX(TZ_STD,MATCH(P209,TZ_STN,0))/24)&lt;INDEX(TZ_DSTE,MATCH(P209,TZ_STN,0))),INDEX(TZ_DST,MATCH(P209,TZ_STN,0)),INDEX(TZ_STD,MATCH(P209,TZ_STN,0))))/24,"")</f>
        <v/>
      </c>
      <c r="AH209" s="65" t="str">
        <f aca="false">IFERROR(IF(N209="N/A – rule",IF(OR(TRIM(U209)="",TRIM(U209)="N/A",TRIM(U209)="Not started"),"N/A – RULE","INVALID – this check does not apply to this aircraft: clear the status (or correct the fleet on Flights)"),IF(TRIM(U209)="N/A",IF(AT209=0,"INVALID – N/A not permitted for this check",IF(AND(TRIM(AB209)&lt;&gt;"",TRIM(AB209)&lt;&gt;"Closed"),"INVALID – corrective action still open",IF(AND(NOT(OR(LEN(AZ209)&lt;15,ISNUMBER(MATCH(AZ209,L_Placeholder,0)))),BK209=0,CG209&gt;=8,NOT(OR(LEN(AU209)&lt;2,ISNUMBER(MATCH(AU209,L_Placeholder,0)))),BR209&gt;=3,NOT(OR(LEN(AX209)&lt;2,ISNUMBER(MATCH(AX209,L_Placeholder,0)))),BS209&gt;=3,TRIM(AE209)&lt;&gt;TRIM(T209),AX209&lt;&gt;AU209,CE209=0),"N/A – JUSTIFIED","INVALID – N/A needs a real, settled reason (not 'not applicable' / 'as above' / TBC), a named PIC and a different named verifier"))),IF(OR(TRIM(U209)="Pass",TRIM(U209)="Pass after CA"),IF(NOT(ISNUMBER(AD209)),"INVALID – completion time missing",IF(OR(OR(LEN(AU209)&lt;2,ISNUMBER(MATCH(AU209,L_Placeholder,0))),BR209&lt;3),"INVALID – PIC missing or not a named person (a role such as QA / CSM is not a name)",IF(OR(LEN(AV209)&lt;2,ISNUMBER(MATCH(AV209,L_Placeholder,0))),"INVALID – result / assessment missing",IF(OR(OR(LEN(AW209)&lt;3,ISNUMBER(MATCH(AW209,L_Placeholder,0))),SUMPRODUCT(--ISNUMBER(SEARCH(" "&amp;L_EvidencePhrase&amp;" ",BD209)))&gt;0,BI209=1),"INVALID – evidence missing, placeholder or not yet on file",IF(ISNA(MATCH(TRIM(S209),L_EvidenceType,0)),"INVALID – choose the evidence type from the list (column S)",IF(BL209=0,"INVALID – evidence ID must be the record's own ID only (e.g. SF-2210, IMG_2231, 1045521); a link / file name needs type 'Link / file path'",IF(OR(OR(LEN(AX209)&lt;2,ISNUMBER(MATCH(AX209,L_Placeholder,0))),BS209&lt;3),"INVALID – verifier missing or not a named person (a role such as QA / CSM is not a name)",IF(OR(AX209=AU209,CE209=1,AND(LEN(AU209)&gt;=4,ISNUMBER(SEARCH(AU209,AX209))),AND(LEN(AX209)&gt;=4,ISNUMBER(SEARCH(AX209,AU209)))),"INVALID – verifier must be a different, named person (not the PIC or a role)",IF(BH209=1,"INVALID – result not yet available (awaiting / TBC)",IF(BG209=1,"INVALID – result describes a problem: record Fail, then Pass after CA (or reword if it is not a problem)",IF(BV209=1,"INVALID – wording says not on board: an on-board confirmation needs the item loaded",IF(AND(AQ209=1,OR(OR(LEN(AY209)&lt;3,ISNUMBER(MATCH(AY209,L_Placeholder,0))),BJ209=1,BQ209=0)),"INVALID – batch ID missing, placeholder or not an ID (e.g. PASB-261008-BC-017)",IF(AND(AR209=1,OR(NOT(ISNUMBER(X209)),NOT(ISNUMBER(Y209)))),"INVALID – expected/actual qty missing",IF(AND(AR209=1,OR(X209&lt;=0,Y209&lt;0)),"INVALID – expected qty must be above 0 and actual not negative",IF(AH193="N/A – JUSTIFIED","INVALID – preparation row F06-T12-18 is N/A",IF(AND(AR209=1,ISNUMBER(X193),X209&lt;&gt;X193,TRIM(U209)&lt;&gt;"Pass after CA"),"INVALID – expected qty differs from preparation check F06-T12-18: record the load change as a corrective action (Pass after CA)",IF(BB209&lt;&gt;"",BB209,IF(AND(AS209=1,Documents!$J$10&lt;&gt;"ON FILE"),"INVALID – GLD not on file (Documents sheet)",IF(AND(AS209=2,Documents!$O$10&lt;&gt;"ON FILE"),"INVALID – menu checklist not on file (Documents sheet)",IF(AND(AS209=3,NOT(ISNUMBER(Flights!$AX$10))),"INVALID – enter carrying flight KUL departure (Flights AX)",IF(AND(AS209=3,OR(Flights!$AZ$10&gt;Flights!$AA$10,Flights!$AX$10&lt;Flights!$AA$10-3)),"INVALID – carrying flight (Flights AX) cannot arrive before this leg's STD, or is over 3 days early",IF(AG209&gt;AsOfUTC,"INVALID – completion time is in the future",IF(AND(ISNUMBER(BY209),AG209&lt;BY209),IF(H209="Physical uplift","INVALID – before uplift window (cannot confirm loading)","INVALID – before valid window"),IF(AG209&gt;Flights!$AA$10,"INVALID – completed after departure (cannot establish readiness)",IF(AND(H209="Preparation",AG209&gt;=IF(ISNUMBER(Flights!$BA$10),MIN(Flights!$BA$10,Flights!$AA$10),Flights!$AA$10)),"INVALID – completed after loading / departure (cannot establish readiness)",IF(AND(H209="Physical uplift",AG209&gt;Q209),"INVALID – recorded after the loading flight departed",IF(AG209&gt;Q209,"COMPLETE – LATE","COMPLETE"))))))))))))))))))))))))))),IF(TRIM(U209)="Fail","FAIL – DISCREPANCY",IF(AND(TRIM(U209)&lt;&gt;"",TRIM(U209)&lt;&gt;"Not started",TRIM(U209)&lt;&gt;"In progress"),"INVALID – unrecognised status (use the list)",IF(AsOfUTC&gt;Q209,"OVERDUE",IF(N209="Clarification required","OPEN – CLARIFICATION","OPEN"))))))),"INVALID – error value in an input cell")</f>
        <v>OPEN</v>
      </c>
      <c r="AI209" s="61" t="n">
        <f aca="false">IF(OR(AH209="N/A – RULE",AH209="N/A – JUSTIFIED"),0,1)</f>
        <v>1</v>
      </c>
      <c r="AJ209" s="61" t="n">
        <f aca="false">IF(LEFT(AH209,8)="COMPLETE",1,0)</f>
        <v>0</v>
      </c>
      <c r="AK209" s="61" t="n">
        <f aca="false">IF(AND(AI209=1,AJ209=0,AsOfUTC&gt;Q209),1,0)</f>
        <v>0</v>
      </c>
      <c r="AL209" s="61" t="n">
        <f aca="false">IFERROR(IF(AND(AI209=1,OR(TRIM(U209)="Fail",AND(TRIM(AB209)&lt;&gt;"",TRIM(AB209)&lt;&gt;"Closed"),AND(ISNUMBER(AF209),AF209&lt;&gt;0,TRIM(U209)&lt;&gt;"Pass after CA"))),1,0),1)</f>
        <v>0</v>
      </c>
      <c r="AM209" s="61" t="n">
        <f aca="false">IF(LEFT(AH209,7)="INVALID",1,0)</f>
        <v>0</v>
      </c>
      <c r="AN209" s="61" t="n">
        <f aca="false">IF(AND(N209="Clarification required",AI209=1,AJ209=0),1,0)</f>
        <v>0</v>
      </c>
      <c r="AO209" s="61" t="str">
        <f aca="false">IF(AK209=1,SUM(AK$5:AK209),"")</f>
        <v/>
      </c>
      <c r="AP209" s="61" t="str">
        <f aca="false">IF(AL209=1,SUM(AL$5:AL209),"")</f>
        <v/>
      </c>
      <c r="AQ209" s="61" t="n">
        <v>0</v>
      </c>
      <c r="AR209" s="61" t="n">
        <v>0</v>
      </c>
      <c r="AS209" s="61" t="n">
        <v>0</v>
      </c>
      <c r="AT209" s="61" t="n">
        <v>0</v>
      </c>
      <c r="AU209" s="61" t="str">
        <f aca="false">SUBSTITUTE(SUBSTITUTE(SUBSTITUTE(SUBSTITUTE(SUBSTITUTE(SUBSTITUTE(SUBSTITUTE(SUBSTITUTE(SUBSTITUTE(SUBSTITUTE(SUBSTITUTE(SUBSTITUTE(SUBSTITUTE(SUBSTITUTE(SUBSTITUTE(SUBSTITUTE(LOWER(T209&amp;""),CHAR(10),""),CHAR(13),""),CHAR(9),""),CHAR(160),"")," ",""),".",""),"-",""),"/",""),"?",""),"_",""),",",""),"[",""),"]",""),"(",""),")",""),"*","")</f>
        <v/>
      </c>
      <c r="AV209" s="61" t="str">
        <f aca="false">SUBSTITUTE(SUBSTITUTE(SUBSTITUTE(SUBSTITUTE(SUBSTITUTE(SUBSTITUTE(SUBSTITUTE(SUBSTITUTE(SUBSTITUTE(SUBSTITUTE(SUBSTITUTE(SUBSTITUTE(SUBSTITUTE(SUBSTITUTE(SUBSTITUTE(SUBSTITUTE(LOWER(V209&amp;""),CHAR(10),""),CHAR(13),""),CHAR(9),""),CHAR(160),"")," ",""),".",""),"-",""),"/",""),"?",""),"_",""),",",""),"[",""),"]",""),"(",""),")",""),"*","")</f>
        <v/>
      </c>
      <c r="AW209" s="61" t="str">
        <f aca="false">SUBSTITUTE(SUBSTITUTE(SUBSTITUTE(SUBSTITUTE(SUBSTITUTE(SUBSTITUTE(SUBSTITUTE(SUBSTITUTE(SUBSTITUTE(SUBSTITUTE(SUBSTITUTE(SUBSTITUTE(SUBSTITUTE(SUBSTITUTE(SUBSTITUTE(SUBSTITUTE(LOWER(Z209&amp;""),CHAR(10),""),CHAR(13),""),CHAR(9),""),CHAR(160),"")," ",""),".",""),"-",""),"/",""),"?",""),"_",""),",",""),"[",""),"]",""),"(",""),")",""),"*","")</f>
        <v/>
      </c>
      <c r="AX209" s="61" t="str">
        <f aca="false">SUBSTITUTE(SUBSTITUTE(SUBSTITUTE(SUBSTITUTE(SUBSTITUTE(SUBSTITUTE(SUBSTITUTE(SUBSTITUTE(SUBSTITUTE(SUBSTITUTE(SUBSTITUTE(SUBSTITUTE(SUBSTITUTE(SUBSTITUTE(SUBSTITUTE(SUBSTITUTE(LOWER(AE209&amp;""),CHAR(10),""),CHAR(13),""),CHAR(9),""),CHAR(160),"")," ",""),".",""),"-",""),"/",""),"?",""),"_",""),",",""),"[",""),"]",""),"(",""),")",""),"*","")</f>
        <v/>
      </c>
      <c r="AY209" s="61" t="str">
        <f aca="false">SUBSTITUTE(SUBSTITUTE(SUBSTITUTE(SUBSTITUTE(SUBSTITUTE(SUBSTITUTE(SUBSTITUTE(SUBSTITUTE(SUBSTITUTE(SUBSTITUTE(SUBSTITUTE(SUBSTITUTE(SUBSTITUTE(SUBSTITUTE(SUBSTITUTE(SUBSTITUTE(LOWER(W209&amp;""),CHAR(10),""),CHAR(13),""),CHAR(9),""),CHAR(160),"")," ",""),".",""),"-",""),"/",""),"?",""),"_",""),",",""),"[",""),"]",""),"(",""),")",""),"*","")</f>
        <v/>
      </c>
      <c r="AZ209" s="61" t="str">
        <f aca="false">SUBSTITUTE(SUBSTITUTE(SUBSTITUTE(SUBSTITUTE(SUBSTITUTE(SUBSTITUTE(SUBSTITUTE(SUBSTITUTE(SUBSTITUTE(SUBSTITUTE(SUBSTITUTE(SUBSTITUTE(SUBSTITUTE(SUBSTITUTE(SUBSTITUTE(SUBSTITUTE(LOWER(AC209&amp;""),CHAR(10),""),CHAR(13),""),CHAR(9),""),CHAR(160),"")," ",""),".",""),"-",""),"/",""),"?",""),"_",""),",",""),"[",""),"]",""),"(",""),")",""),"*","")</f>
        <v/>
      </c>
      <c r="BA209" s="61" t="str">
        <f aca="false">SUBSTITUTE(SUBSTITUTE(SUBSTITUTE(SUBSTITUTE(SUBSTITUTE(SUBSTITUTE(SUBSTITUTE(SUBSTITUTE(SUBSTITUTE(SUBSTITUTE(SUBSTITUTE(SUBSTITUTE(SUBSTITUTE(SUBSTITUTE(SUBSTITUTE(SUBSTITUTE(LOWER(AA209&amp;""),CHAR(10),""),CHAR(13),""),CHAR(9),""),CHAR(160),"")," ",""),".",""),"-",""),"/",""),"?",""),"_",""),",",""),"[",""),"]",""),"(",""),")",""),"*","")</f>
        <v/>
      </c>
      <c r="BB209" s="61" t="str">
        <f aca="false">IF(AND(TRIM(U209)="Pass",ISNUMBER(AF209)),IF(AF209&lt;&gt;0,"INVALID – qty variance: use Fail or Pass after CA",""),"")&amp;IF(AND(TRIM(U209)="Pass after CA",ISNUMBER(AF209)),IF(AF209&lt;&gt;0,"INVALID – after the corrective action the actual qty must equal expected (update Actual)",""),"")&amp;IF(AND(TRIM(U209)="Pass",TRIM(AB209)&lt;&gt;"",TRIM(AB209)&lt;&gt;"Closed"),"INVALID – corrective action not closed: use Fail, then Pass after CA","")&amp;IF(AND(LEN(BA209)&gt;=2,ISNA(MATCH(LEFT(BA209,255),L_Placeholder,0)),TRIM(AB209)=""),"INVALID – CA status missing for the recorded corrective action","")&amp;IF(AND(TRIM(U209)="Pass after CA",OR(OR(LEN(BA209)&lt;5,ISNUMBER(MATCH(BA209,L_Placeholder,0))),TRIM(AB209)&lt;&gt;"Closed")),"INVALID – corrective action not recorded/closed","")</f>
        <v/>
      </c>
      <c r="BC209" s="61" t="str">
        <f aca="false">" "&amp;TRIM(SUBSTITUTE(SUBSTITUTE(SUBSTITUTE(SUBSTITUTE(SUBSTITUTE(SUBSTITUTE(SUBSTITUTE(SUBSTITUTE(SUBSTITUTE(SUBSTITUTE(SUBSTITUTE(SUBSTITUTE(SUBSTITUTE(SUBSTITUTE(SUBSTITUTE(SUBSTITUTE(SUBSTITUTE(SUBSTITUTE(SUBSTITUTE(SUBSTITUTE(SUBSTITUTE(SUBSTITUTE(SUBSTITUTE(SUBSTITUTE(LOWER(V209&amp;""),CHAR(10)," "),CHAR(13)," "),CHAR(9)," "),CHAR(160)," "),"."," "),","," "),"-"," "),"/"," "),"("," "),")"," "),":"," "),";"," "),"_"," "),"–"," "),"?"," "),"!"," "),"*"," "),"["," "),"]"," "),"'"," "),"#"," "),"+"," "),"&amp;"," "),"\"," "))&amp;" "</f>
        <v>  </v>
      </c>
      <c r="BD209" s="61" t="str">
        <f aca="false">" "&amp;TRIM(SUBSTITUTE(SUBSTITUTE(SUBSTITUTE(SUBSTITUTE(SUBSTITUTE(SUBSTITUTE(SUBSTITUTE(SUBSTITUTE(SUBSTITUTE(SUBSTITUTE(SUBSTITUTE(SUBSTITUTE(SUBSTITUTE(SUBSTITUTE(SUBSTITUTE(SUBSTITUTE(SUBSTITUTE(SUBSTITUTE(SUBSTITUTE(SUBSTITUTE(SUBSTITUTE(SUBSTITUTE(SUBSTITUTE(SUBSTITUTE(LOWER(Z209&amp;""),CHAR(10)," "),CHAR(13)," "),CHAR(9)," "),CHAR(160)," "),"."," "),","," "),"-"," "),"/"," "),"("," "),")"," "),":"," "),";"," "),"_"," "),"–"," "),"?"," "),"!"," "),"*"," "),"["," "),"]"," "),"'"," "),"#"," "),"+"," "),"&amp;"," "),"\"," "))&amp;" "</f>
        <v>  </v>
      </c>
      <c r="BE209" s="61" t="str">
        <f aca="false">" "&amp;TRIM(SUBSTITUTE(SUBSTITUTE(SUBSTITUTE(SUBSTITUTE(SUBSTITUTE(SUBSTITUTE(SUBSTITUTE(SUBSTITUTE(SUBSTITUTE(SUBSTITUTE(SUBSTITUTE(SUBSTITUTE(SUBSTITUTE(SUBSTITUTE(SUBSTITUTE(SUBSTITUTE(SUBSTITUTE(SUBSTITUTE(SUBSTITUTE(SUBSTITUTE(SUBSTITUTE(SUBSTITUTE(SUBSTITUTE(SUBSTITUTE(LOWER(W209&amp;""),CHAR(10)," "),CHAR(13)," "),CHAR(9)," "),CHAR(160)," "),"."," "),","," "),"-"," "),"/"," "),"("," "),")"," "),":"," "),";"," "),"_"," "),"–"," "),"?"," "),"!"," "),"*"," "),"["," "),"]"," "),"'"," "),"#"," "),"+"," "),"&amp;"," "),"\"," "))&amp;" "</f>
        <v>  </v>
      </c>
      <c r="BF209" s="61" t="str">
        <f aca="false">" "&amp;TRIM(SUBSTITUTE(SUBSTITUTE(SUBSTITUTE(SUBSTITUTE(SUBSTITUTE(SUBSTITUTE(SUBSTITUTE(SUBSTITUTE(SUBSTITUTE(SUBSTITUTE(SUBSTITUTE(SUBSTITUTE(SUBSTITUTE(SUBSTITUTE(SUBSTITUTE(SUBSTITUTE(SUBSTITUTE(SUBSTITUTE(SUBSTITUTE(SUBSTITUTE(SUBSTITUTE(SUBSTITUTE(SUBSTITUTE(SUBSTITUTE(LOWER(AC209&amp;""),CHAR(10)," "),CHAR(13)," "),CHAR(9)," "),CHAR(160)," "),"."," "),","," "),"-"," "),"/"," "),"("," "),")"," "),":"," "),";"," "),"_"," "),"–"," "),"?"," "),"!"," "),"*"," "),"["," "),"]"," "),"'"," "),"#"," "),"+"," "),"&amp;"," "),"\"," "))&amp;" "</f>
        <v>  </v>
      </c>
      <c r="BG209" s="61" t="n">
        <f aca="false">IFERROR(IF(AND(TRIM(U209)="Pass",SUMPRODUCT((LEN(BC209)-LEN(SUBSTITUTE(BC209," "&amp;L_ResultBad&amp;" "," ")))/(LEN(L_ResultBad)+1))&gt;SUMPRODUCT((LEN(BC209)-LEN(SUBSTITUTE(BC209," "&amp;L_NegPhrase&amp;" "," ")))/(LEN(L_NegPhrase)+1))),1,0),0)</f>
        <v>0</v>
      </c>
      <c r="BH209" s="61" t="n">
        <f aca="false">IFERROR(IF(SUMPRODUCT((LEN(BC209)-LEN(SUBSTITUTE(BC209," "&amp;L_Pending&amp;" "," ")))/(LEN(L_Pending)+1))&gt;SUMPRODUCT((LEN(BC209)-LEN(SUBSTITUTE(BC209," "&amp;L_PendNeg&amp;" "," ")))/(LEN(L_PendNeg)+1)),1,0),1)</f>
        <v>0</v>
      </c>
      <c r="BI209" s="61" t="n">
        <f aca="false">IFERROR(IF(SUMPRODUCT((LEN(BD209)-LEN(SUBSTITUTE(BD209," "&amp;L_PendStrict&amp;" "," ")))/(LEN(L_PendStrict)+1))&gt;SUMPRODUCT((LEN(BD209)-LEN(SUBSTITUTE(BD209," "&amp;L_PendNeg&amp;" "," ")))/(LEN(L_PendNeg)+1)),1,0),1)</f>
        <v>0</v>
      </c>
      <c r="BJ209" s="61" t="n">
        <f aca="false">IFERROR(IF(SUMPRODUCT((LEN(BE209)-LEN(SUBSTITUTE(BE209," "&amp;L_Pending&amp;" "," ")))/(LEN(L_Pending)+1))&gt;SUMPRODUCT((LEN(BE209)-LEN(SUBSTITUTE(BE209," "&amp;L_PendNeg&amp;" "," ")))/(LEN(L_PendNeg)+1)),1,0),1)</f>
        <v>0</v>
      </c>
      <c r="BK209" s="61" t="n">
        <f aca="false">IFERROR(IF(SUMPRODUCT((LEN(BF209)-LEN(SUBSTITUTE(BF209," "&amp;L_PendStrict&amp;" "," ")))/(LEN(L_PendStrict)+1))&gt;SUMPRODUCT((LEN(BF209)-LEN(SUBSTITUTE(BF209," "&amp;L_PendNeg&amp;" "," ")))/(LEN(L_PendNeg)+1)),1,0),1)</f>
        <v>0</v>
      </c>
      <c r="BL209" s="61" t="n">
        <f aca="false">IF(ISNA(MATCH(TRIM(S209),L_EvidenceType,0)),0,BZ209)</f>
        <v>0</v>
      </c>
      <c r="BM209" s="61" t="str">
        <f aca="false">SUBSTITUTE(SUBSTITUTE(SUBSTITUTE(SUBSTITUTE(SUBSTITUTE(SUBSTITUTE(SUBSTITUTE(SUBSTITUTE(SUBSTITUTE(LOWER(Z209&amp;""),"1","0"),"2","0"),"3","0"),"4","0"),"5","0"),"6","0"),"7","0"),"8","0"),"9","0")</f>
        <v/>
      </c>
      <c r="BN209" s="61" t="str">
        <f aca="false">SUBSTITUTE(SUBSTITUTE(SUBSTITUTE(SUBSTITUTE(SUBSTITUTE(SUBSTITUTE(SUBSTITUTE(SUBSTITUTE(SUBSTITUTE(SUBSTITUTE(SUBSTITUTE(SUBSTITUTE(SUBSTITUTE(SUBSTITUTE(SUBSTITUTE(SUBSTITUTE(SUBSTITUTE(SUBSTITUTE(SUBSTITUTE(SUBSTITUTE(SUBSTITUTE(SUBSTITUTE(SUBSTITUTE(SUBSTITUTE(SUBSTITUTE(BM209,"b","a"),"c","a"),"d","a"),"e","a"),"f","a"),"g","a"),"h","a"),"i","a"),"j","a"),"k","a"),"l","a"),"m","a"),"n","a"),"o","a"),"p","a"),"q","a"),"r","a"),"s","a"),"t","a"),"u","a"),"v","a"),"w","a"),"x","a"),"y","a"),"z","a")</f>
        <v/>
      </c>
      <c r="BO209" s="61" t="str">
        <f aca="false">SUBSTITUTE(SUBSTITUTE(SUBSTITUTE(SUBSTITUTE(SUBSTITUTE(SUBSTITUTE(SUBSTITUTE(SUBSTITUTE(SUBSTITUTE(LOWER(W209&amp;""),"1","0"),"2","0"),"3","0"),"4","0"),"5","0"),"6","0"),"7","0"),"8","0"),"9","0")</f>
        <v/>
      </c>
      <c r="BP209" s="61" t="str">
        <f aca="false">SUBSTITUTE(SUBSTITUTE(SUBSTITUTE(SUBSTITUTE(SUBSTITUTE(SUBSTITUTE(SUBSTITUTE(SUBSTITUTE(SUBSTITUTE(SUBSTITUTE(SUBSTITUTE(SUBSTITUTE(SUBSTITUTE(SUBSTITUTE(SUBSTITUTE(SUBSTITUTE(SUBSTITUTE(SUBSTITUTE(SUBSTITUTE(SUBSTITUTE(SUBSTITUTE(SUBSTITUTE(SUBSTITUTE(SUBSTITUTE(SUBSTITUTE(BO209,"b","a"),"c","a"),"d","a"),"e","a"),"f","a"),"g","a"),"h","a"),"i","a"),"j","a"),"k","a"),"l","a"),"m","a"),"n","a"),"o","a"),"p","a"),"q","a"),"r","a"),"s","a"),"t","a"),"u","a"),"v","a"),"w","a"),"x","a"),"y","a"),"z","a")</f>
        <v/>
      </c>
      <c r="BQ209" s="61" t="n">
        <f aca="false">IFERROR(IF(AND(ISERROR(SEARCH(" mh"," "&amp;LOWER(W209))),ISNA(MATCH(LEFT(TRIM(BP209),255),{"0000a","000a","00a","0000aa","000aa","00aa","0aa","0000aaa","000aaa","00a00","0a00","0000-0000","00:00","a00","a0","00.00.0000","00/00/0000","00-00-0000","0000-00-00","0000/00/00","0000.00.00","00.00.00","00/00/00","00-00-00","0.00.0000","0/00/0000","0-00-0000"},0)),ISNA(MATCH(LEFT(TRIM(CA209),255),{"0000a","000a","00a","0000aa","000aa","00aa","0aa","0000aaa","000aaa","00a00","0a00","0000-0000","00:00","a00","a0","00.00.0000","00/00/0000","00-00-0000","0000-00-00","0000/00/00","0000.00.00","00.00.00","00/00/00","00-00-00","0.00.0000","0/00/0000","0-00-0000"},0)),LEN(CB209)&gt;=3,NOT(OR(SUBSTITUTE(CB209,"0","")="",AND(LEN(CB209)&gt;=4,CB209=REPT(LEFT(CB209),LEN(CB209))),ISNUMBER(MATCH(CB209,{"123","1234","12345","123456","1234567","12345678","0123","01234","012345","98765","987654","54321"},0)),AND(LEN(CB209)=8,LEFT(CB209,3)="202"))),OR(AND((LEN(CA209)-LEN(SUBSTITUTE(CA209,"a","")))&gt;=1,SUMPRODUCT(--ISNUMBER(SEARCH({"a0","a-0","a_0","a/0","a.0","a#0","0a","0-a","0_a","0/a"},BP209)))&gt;0),ISNUMBER(SEARCH("000000",BP209)))),1,0),0)</f>
        <v>0</v>
      </c>
      <c r="BR209" s="61" t="n">
        <f aca="false">IFERROR(LEN(SUBSTITUTE(CC209," ",""))-SUMPRODUCT((LEN(CC209)-LEN(SUBSTITUTE(CC209," "&amp;L_Role&amp;" "," ")))/(LEN(L_Role)+1)*LEN(L_Role)),0)</f>
        <v>0</v>
      </c>
      <c r="BS209" s="61" t="n">
        <f aca="false">IFERROR(LEN(SUBSTITUTE(CD209," ",""))-SUMPRODUCT((LEN(CD209)-LEN(SUBSTITUTE(CD209," "&amp;L_Role&amp;" "," ")))/(LEN(L_Role)+1)*LEN(L_Role)),0)</f>
        <v>0</v>
      </c>
      <c r="BT2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209,"revision",""),"version",""),"jan",""),"feb",""),"mar",""),"apr",""),"may",""),"jun",""),"jul",""),"aug",""),"sep",""),"oct",""),"nov",""),"dec",""),"utc",""),"gmt",""),"myt",""),"bst",""),"rev",""),"ver",""),"b","a"),"c","a"),"d","a"),"e","a"),"f","a"),"g","a"),"h","a"),"i","a"),"j","a"),"k","a"),"l","a"),"m","a"),"n","a"),"o","a"),"p","a"),"q","a"),"r","a"),"s","a"),"t","a"),"u","a"),"v","a"),"w","a"),"x","a"),"y","a"),"z","a")</f>
        <v/>
      </c>
      <c r="BU209" s="61" t="str">
        <f aca="false">SUBSTITUTE(SUBSTITUTE(SUBSTITUTE(SUBSTITUTE(SUBSTITUTE(SUBSTITUTE(SUBSTITUTE(SUBSTITUTE(SUBSTITUTE(SUBSTITUTE(LEFT(BM209,FIND("0",BM209&amp;"0")-1),"-",""),"_",""),"/",""),".",""),"#",""),"\\",""),":","")," ",""),"(",""),")","")</f>
        <v/>
      </c>
      <c r="BV209" s="61" t="n">
        <f aca="false">IFERROR(IF(OR(SUMPRODUCT((LEN(BC209)-LEN(SUBSTITUTE(BC209," "&amp;L_NotLoaded&amp;" "," ")))/(LEN(L_NotLoaded)+1))&gt;SUMPRODUCT((LEN(BC209)-LEN(SUBSTITUTE(BC209," "&amp;L_NotLoadedNeg&amp;" "," ")))/(LEN(L_NotLoadedNeg)+1)),SUMPRODUCT((LEN(BD209)-LEN(SUBSTITUTE(BD209," "&amp;L_NotLoaded&amp;" "," ")))/(LEN(L_NotLoaded)+1))&gt;SUMPRODUCT((LEN(BD209)-LEN(SUBSTITUTE(BD209," "&amp;L_NotLoadedNeg&amp;" "," ")))/(LEN(L_NotLoadedNeg)+1))),1,0),0)</f>
        <v>0</v>
      </c>
      <c r="BW2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209&amp;""),"a",""),"b",""),"c",""),"d",""),"e",""),"f",""),"g",""),"h",""),"i",""),"j",""),"k",""),"l",""),"m",""),"n",""),"o",""),"p",""),"q",""),"r",""),"s",""),"t",""),"u",""),"v",""),"w",""),"x",""),"y",""),"z",""),"-",""),"_",""),"/",""),".",""),"#",""),"\\",""),":","")," ",""),"(",""),")","")</f>
        <v/>
      </c>
      <c r="BX209" s="61" t="str">
        <f aca="false">SUBSTITUTE(SUBSTITUTE(SUBSTITUTE(SUBSTITUTE(SUBSTITUTE(SUBSTITUTE(SUBSTITUTE(SUBSTITUTE(SUBSTITUTE(SUBSTITUTE(SUBSTITUTE(BM209,"0",""),"-",""),"_",""),"/",""),".",""),"#",""),"\\",""),":","")," ",""),"(",""),")","")</f>
        <v/>
      </c>
      <c r="BY209" s="62" t="n">
        <f aca="false">IF(ISNUMBER(Flights!$AZ$10),MAX(Q209-UpliftWindowH/24,Flights!$AZ$10),Q209-UpliftWindowH/24)</f>
        <v>46310.3888888889</v>
      </c>
      <c r="BZ209" s="61" t="n">
        <f aca="false">IFERROR(IF(IF(TRIM(S209)="Link / file path",AND(LEN(TRIM(Z209))&gt;=5,SUMPRODUCT(--ISNUMBER(SEARCH({"http","www.","\\",":\",".pdf",".jpg",".jpeg",".png",".heic",".xls",".doc",".msg",".eml",".ppt",".txt",".zip"},Z209)))&gt;0),AND(ISERROR(FIND(" ",TRIM(Z209))),NOT(OR(SUMPRODUCT(--ISNUMBER(FIND({",",";","&amp;","+"},Z209)))&gt;0,SUMPRODUCT(--ISNUMBER(SEARCH({"0/aa","0\\aa"},BN209)))&gt;0)),NOT(SUMPRODUCT(--ISNUMBER(SEARCH({"http","www.","\\",":\",".pdf",".jpg",".jpeg",".png",".heic",".xls",".doc",".msg",".eml",".ppt",".txt",".zip"},Z209)))&gt;0),NOT(LOWER(TRIM(Z209))=LOWER(Flights!$F$10)),ISNA(MATCH(BU209,{"mh","rev","revision","ver","version","v","r","a","b","seat","tray","row","gate","bay","stand","page","pg","item","line","no","cart","galley","flight","flt","table","box","bag","oven","etd","eta","std","sta","atd","ata","qty","pax","x","time","tel","ph","mob","day","wk","week","utc","gmt","myt","lt"},0)),NOT(OR(ISNUMBER(MATCH(LEFT(BN209,255),{"0000a","000a","00a","0000aa","000aa","00aa","0aa","0000aaa","000aaa","00a00","0a00","0000-0000","00:00","a00","a0","00.00.0000","00/00/0000","00-00-0000","0000-00-00","0000/00/00","0000.00.00","00.00.00","00/00/00","00-00-00","0.00.0000","0/00/0000","0-00-0000"},0)),ISNUMBER(MATCH(LEFT(BT209,255),{"0000a","000a","00a","0000aa","000aa","00aa","0aa","0000aaa","000aaa","00a00","0a00","0000-0000","00:00","a00","a0","00.00.0000","00/00/0000","00-00-0000","0000-00-00","0000/00/00","0000.00.00","00.00.00","00/00/00","00-00-00","0.00.0000","0/00/0000","0-00-0000"},0)))),NOT(OR(AND(BW209&lt;&gt;"",SUBSTITUTE(BW209,"0","")=""),AND(LEN(BW209)&gt;=4,BW209=REPT(LEFT(BW209),LEN(BW209))),ISNUMBER(MATCH(BW209,{"123","1234","12345","123456","1234567","12345678","0123","01234","012345","98765","987654","54321"},0)),ISNUMBER(MATCH(BX209,{"x","xx","xxx","xxxx","xxxxx","abc","abcd","nil","na","nan","test","tbc","tba","tbd","dummy","sample","example","eg","zz","zzz","none","null","xyz","qwe","asd","id","ref"},0)),AND(LEN(BW209)=8,BX209="",OR(LEFT(BW209,3)="202",ISNUMBER(MATCH(RIGHT(BW209,4),{"2025","2026","2027"},0)))))),OR(AND((LEN(BT209)-LEN(SUBSTITUTE(BT209,"a","")))&gt;=1,(LEN(BN209)-LEN(SUBSTITUTE(BN209,"0","")))&gt;=2,SUMPRODUCT(--ISNUMBER(SEARCH({"a0","a-0","a_0","a/0","a.0","a#0","0a","0-a","0_a","0/a"},BN209)))&gt;0),AND((LEN(BN209)-LEN(SUBSTITUTE(BN209,"a","")))=0,(LEN(BN209)-LEN(SUBSTITUTE(BN209,"0","")))&gt;=5)))),1,0),0)</f>
        <v>0</v>
      </c>
      <c r="CA2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209,"revision",""),"version",""),"jan",""),"feb",""),"mar",""),"apr",""),"may",""),"jun",""),"jul",""),"aug",""),"sep",""),"oct",""),"nov",""),"dec",""),"utc",""),"gmt",""),"myt",""),"bst",""),"rev",""),"ver",""),"b","a"),"c","a"),"d","a"),"e","a"),"f","a"),"g","a"),"h","a"),"i","a"),"j","a"),"k","a"),"l","a"),"m","a"),"n","a"),"o","a"),"p","a"),"q","a"),"r","a"),"s","a"),"t","a"),"u","a"),"v","a"),"w","a"),"x","a"),"y","a"),"z","a")</f>
        <v/>
      </c>
      <c r="CB2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209&amp;""),"a",""),"b",""),"c",""),"d",""),"e",""),"f",""),"g",""),"h",""),"i",""),"j",""),"k",""),"l",""),"m",""),"n",""),"o",""),"p",""),"q",""),"r",""),"s",""),"t",""),"u",""),"v",""),"w",""),"x",""),"y",""),"z",""),"-",""),"_",""),"/",""),".",""),"#",""),"\\",""),":","")," ",""),"(",""),")","")</f>
        <v/>
      </c>
      <c r="CC209" s="0" t="str">
        <f aca="false">" "&amp;TRIM(SUBSTITUTE(SUBSTITUTE(SUBSTITUTE(SUBSTITUTE(SUBSTITUTE(SUBSTITUTE(SUBSTITUTE(SUBSTITUTE(SUBSTITUTE(SUBSTITUTE(SUBSTITUTE(SUBSTITUTE(SUBSTITUTE(SUBSTITUTE(SUBSTITUTE(SUBSTITUTE(SUBSTITUTE(SUBSTITUTE(SUBSTITUTE(SUBSTITUTE(SUBSTITUTE(SUBSTITUTE(SUBSTITUTE(SUBSTITUTE(LOWER(T209&amp;""),CHAR(10)," "),CHAR(13)," "),CHAR(9)," "),CHAR(160)," "),"."," "),","," "),"-"," "),"/"," "),"("," "),")"," "),":"," "),";"," "),"_"," "),"–"," "),"?"," "),"!"," "),"*"," "),"["," "),"]"," "),"'"," "),"#"," "),"+"," "),"&amp;"," "),"\"," "))&amp;" "</f>
        <v>  </v>
      </c>
      <c r="CD209" s="0" t="str">
        <f aca="false">" "&amp;TRIM(SUBSTITUTE(SUBSTITUTE(SUBSTITUTE(SUBSTITUTE(SUBSTITUTE(SUBSTITUTE(SUBSTITUTE(SUBSTITUTE(SUBSTITUTE(SUBSTITUTE(SUBSTITUTE(SUBSTITUTE(SUBSTITUTE(SUBSTITUTE(SUBSTITUTE(SUBSTITUTE(SUBSTITUTE(SUBSTITUTE(SUBSTITUTE(SUBSTITUTE(SUBSTITUTE(SUBSTITUTE(SUBSTITUTE(SUBSTITUTE(LOWER(AE209&amp;""),CHAR(10)," "),CHAR(13)," "),CHAR(9)," "),CHAR(160)," "),"."," "),","," "),"-"," "),"/"," "),"("," "),")"," "),":"," "),";"," "),"_"," "),"–"," "),"?"," "),"!"," "),"*"," "),"["," "),"]"," "),"'"," "),"#"," "),"+"," "),"&amp;"," "),"\"," "))&amp;" "</f>
        <v>  </v>
      </c>
      <c r="CE209" s="68" t="n">
        <f aca="false">IFERROR(IF(AND(LEN(AU209)&gt;0,LEN(AU209)=LEN(AX209),OR(TRIM(MID(SUBSTITUTE(TRIM(CC209)," ",REPT(" ",60)),1,60))="",ISNUMBER(SEARCH(" "&amp;TRIM(MID(SUBSTITUTE(TRIM(CC209)," ",REPT(" ",60)),1,60))&amp;" ",CD209))),OR(TRIM(MID(SUBSTITUTE(TRIM(CC209)," ",REPT(" ",60)),61,60))="",ISNUMBER(SEARCH(" "&amp;TRIM(MID(SUBSTITUTE(TRIM(CC209)," ",REPT(" ",60)),61,60))&amp;" ",CD209))),OR(TRIM(MID(SUBSTITUTE(TRIM(CC209)," ",REPT(" ",60)),121,60))="",ISNUMBER(SEARCH(" "&amp;TRIM(MID(SUBSTITUTE(TRIM(CC209)," ",REPT(" ",60)),121,60))&amp;" ",CD209)))),1,0),0)</f>
        <v>0</v>
      </c>
      <c r="CG209" s="68" t="n">
        <f aca="false">IFERROR(LEN(SUBSTITUTE(BF209," ",""))-SUMPRODUCT((LEN(BF209)-LEN(SUBSTITUTE(BF209," "&amp;L_NAFiller&amp;" "," ")))/(LEN(L_NAFiller)+1)*LEN(L_NAFiller)),0)</f>
        <v>0</v>
      </c>
    </row>
    <row r="210" customFormat="false" ht="39.75" hidden="false" customHeight="true" outlineLevel="0" collapsed="false">
      <c r="A210" s="57" t="s">
        <v>771</v>
      </c>
      <c r="B210" s="57" t="s">
        <v>231</v>
      </c>
      <c r="C210" s="57" t="str">
        <f aca="false">Flights!$F$10</f>
        <v>MH0002</v>
      </c>
      <c r="D210" s="58" t="n">
        <f aca="false">Flights!$D$10</f>
        <v>46310</v>
      </c>
      <c r="E210" s="57" t="str">
        <f aca="false">Flights!$G$10&amp;"-"&amp;Flights!$H$10</f>
        <v>KUL-LHR</v>
      </c>
      <c r="F210" s="57" t="str">
        <f aca="false">Flights!$K$10</f>
        <v>BC</v>
      </c>
      <c r="G210" s="57" t="s">
        <v>459</v>
      </c>
      <c r="H210" s="57" t="s">
        <v>460</v>
      </c>
      <c r="I210" s="57" t="s">
        <v>447</v>
      </c>
      <c r="J210" s="57" t="s">
        <v>653</v>
      </c>
      <c r="K210" s="67" t="s">
        <v>449</v>
      </c>
      <c r="L210" s="67" t="s">
        <v>752</v>
      </c>
      <c r="M210" s="67" t="s">
        <v>451</v>
      </c>
      <c r="N210" s="67" t="s">
        <v>383</v>
      </c>
      <c r="O210" s="67"/>
      <c r="P210" s="57" t="s">
        <v>187</v>
      </c>
      <c r="Q210" s="59" t="n">
        <f aca="false">ROUND((Flights!$AF$10)*1440,0)/1440</f>
        <v>46310.6388888889</v>
      </c>
      <c r="R210" s="59" t="n">
        <f aca="false">Q210+(IF(AND(INDEX(TZ_DSTS,MATCH(P210,TZ_STN,0))&lt;&gt;"",Q210&gt;=INDEX(TZ_DSTS,MATCH(P210,TZ_STN,0)),Q210&lt;INDEX(TZ_DSTE,MATCH(P210,TZ_STN,0))),INDEX(TZ_DST,MATCH(P210,TZ_STN,0)),INDEX(TZ_STD,MATCH(P210,TZ_STN,0))))/24</f>
        <v>46310.9722222222</v>
      </c>
      <c r="S210" s="60"/>
      <c r="T210" s="60"/>
      <c r="U210" s="60"/>
      <c r="V210" s="60"/>
      <c r="W210" s="61"/>
      <c r="X210" s="60"/>
      <c r="Y210" s="60"/>
      <c r="Z210" s="60"/>
      <c r="AA210" s="60"/>
      <c r="AB210" s="60"/>
      <c r="AC210" s="60"/>
      <c r="AD210" s="66"/>
      <c r="AE210" s="60"/>
      <c r="AF210" s="61" t="str">
        <f aca="false">IF(AND(ISNUMBER(X210),ISNUMBER(Y210)),Y210-X210,"")</f>
        <v/>
      </c>
      <c r="AG210" s="62" t="str">
        <f aca="false">IF(ISNUMBER(AD210),AD210-(IF(AND(INDEX(TZ_DSTS,MATCH(P210,TZ_STN,0))&lt;&gt;"",(AD210-INDEX(TZ_STD,MATCH(P210,TZ_STN,0))/24)&gt;=INDEX(TZ_DSTS,MATCH(P210,TZ_STN,0)),(AD210-INDEX(TZ_STD,MATCH(P210,TZ_STN,0))/24)&lt;INDEX(TZ_DSTE,MATCH(P210,TZ_STN,0))),INDEX(TZ_DST,MATCH(P210,TZ_STN,0)),INDEX(TZ_STD,MATCH(P210,TZ_STN,0))))/24,"")</f>
        <v/>
      </c>
      <c r="AH210" s="65" t="str">
        <f aca="false">IFERROR(IF(N210="N/A – rule",IF(OR(TRIM(U210)="",TRIM(U210)="N/A",TRIM(U210)="Not started"),"N/A – RULE","INVALID – this check does not apply to this aircraft: clear the status (or correct the fleet on Flights)"),IF(TRIM(U210)="N/A",IF(AT210=0,"INVALID – N/A not permitted for this check",IF(AND(TRIM(AB210)&lt;&gt;"",TRIM(AB210)&lt;&gt;"Closed"),"INVALID – corrective action still open",IF(AND(NOT(OR(LEN(AZ210)&lt;15,ISNUMBER(MATCH(AZ210,L_Placeholder,0)))),BK210=0,CG210&gt;=8,NOT(OR(LEN(AU210)&lt;2,ISNUMBER(MATCH(AU210,L_Placeholder,0)))),BR210&gt;=3,NOT(OR(LEN(AX210)&lt;2,ISNUMBER(MATCH(AX210,L_Placeholder,0)))),BS210&gt;=3,TRIM(AE210)&lt;&gt;TRIM(T210),AX210&lt;&gt;AU210,CE210=0),"N/A – JUSTIFIED","INVALID – N/A needs a real, settled reason (not 'not applicable' / 'as above' / TBC), a named PIC and a different named verifier"))),IF(OR(TRIM(U210)="Pass",TRIM(U210)="Pass after CA"),IF(NOT(ISNUMBER(AD210)),"INVALID – completion time missing",IF(OR(OR(LEN(AU210)&lt;2,ISNUMBER(MATCH(AU210,L_Placeholder,0))),BR210&lt;3),"INVALID – PIC missing or not a named person (a role such as QA / CSM is not a name)",IF(OR(LEN(AV210)&lt;2,ISNUMBER(MATCH(AV210,L_Placeholder,0))),"INVALID – result / assessment missing",IF(OR(OR(LEN(AW210)&lt;3,ISNUMBER(MATCH(AW210,L_Placeholder,0))),SUMPRODUCT(--ISNUMBER(SEARCH(" "&amp;L_EvidencePhrase&amp;" ",BD210)))&gt;0,BI210=1),"INVALID – evidence missing, placeholder or not yet on file",IF(ISNA(MATCH(TRIM(S210),L_EvidenceType,0)),"INVALID – choose the evidence type from the list (column S)",IF(BL210=0,"INVALID – evidence ID must be the record's own ID only (e.g. SF-2210, IMG_2231, 1045521); a link / file name needs type 'Link / file path'",IF(OR(OR(LEN(AX210)&lt;2,ISNUMBER(MATCH(AX210,L_Placeholder,0))),BS210&lt;3),"INVALID – verifier missing or not a named person (a role such as QA / CSM is not a name)",IF(OR(AX210=AU210,CE210=1,AND(LEN(AU210)&gt;=4,ISNUMBER(SEARCH(AU210,AX210))),AND(LEN(AX210)&gt;=4,ISNUMBER(SEARCH(AX210,AU210)))),"INVALID – verifier must be a different, named person (not the PIC or a role)",IF(BH210=1,"INVALID – result not yet available (awaiting / TBC)",IF(BG210=1,"INVALID – result describes a problem: record Fail, then Pass after CA (or reword if it is not a problem)",IF(BV210=1,"INVALID – wording says not on board: an on-board confirmation needs the item loaded",IF(AND(AQ210=1,OR(OR(LEN(AY210)&lt;3,ISNUMBER(MATCH(AY210,L_Placeholder,0))),BJ210=1,BQ210=0)),"INVALID – batch ID missing, placeholder or not an ID (e.g. PASB-261008-BC-017)",IF(AND(AR210=1,OR(NOT(ISNUMBER(X210)),NOT(ISNUMBER(Y210)))),"INVALID – expected/actual qty missing",IF(AND(AR210=1,OR(X210&lt;=0,Y210&lt;0)),"INVALID – expected qty must be above 0 and actual not negative",IF(AH194="N/A – JUSTIFIED","INVALID – preparation row F06-T12-19 is N/A",IF(AND(AR210=1,ISNUMBER(X194),X210&lt;&gt;X194,TRIM(U210)&lt;&gt;"Pass after CA"),"INVALID – expected qty differs from preparation check F06-T12-19: record the load change as a corrective action (Pass after CA)",IF(BB210&lt;&gt;"",BB210,IF(AND(AS210=1,Documents!$J$10&lt;&gt;"ON FILE"),"INVALID – GLD not on file (Documents sheet)",IF(AND(AS210=2,Documents!$O$10&lt;&gt;"ON FILE"),"INVALID – menu checklist not on file (Documents sheet)",IF(AND(AS210=3,NOT(ISNUMBER(Flights!$AX$10))),"INVALID – enter carrying flight KUL departure (Flights AX)",IF(AND(AS210=3,OR(Flights!$AZ$10&gt;Flights!$AA$10,Flights!$AX$10&lt;Flights!$AA$10-3)),"INVALID – carrying flight (Flights AX) cannot arrive before this leg's STD, or is over 3 days early",IF(AG210&gt;AsOfUTC,"INVALID – completion time is in the future",IF(AND(ISNUMBER(BY210),AG210&lt;BY210),IF(H210="Physical uplift","INVALID – before uplift window (cannot confirm loading)","INVALID – before valid window"),IF(AG210&gt;Flights!$AA$10,"INVALID – completed after departure (cannot establish readiness)",IF(AND(H210="Preparation",AG210&gt;=IF(ISNUMBER(Flights!$BA$10),MIN(Flights!$BA$10,Flights!$AA$10),Flights!$AA$10)),"INVALID – completed after loading / departure (cannot establish readiness)",IF(AND(H210="Physical uplift",AG210&gt;Q210),"INVALID – recorded after the loading flight departed",IF(AG210&gt;Q210,"COMPLETE – LATE","COMPLETE"))))))))))))))))))))))))))),IF(TRIM(U210)="Fail","FAIL – DISCREPANCY",IF(AND(TRIM(U210)&lt;&gt;"",TRIM(U210)&lt;&gt;"Not started",TRIM(U210)&lt;&gt;"In progress"),"INVALID – unrecognised status (use the list)",IF(AsOfUTC&gt;Q210,"OVERDUE",IF(N210="Clarification required","OPEN – CLARIFICATION","OPEN"))))))),"INVALID – error value in an input cell")</f>
        <v>OPEN</v>
      </c>
      <c r="AI210" s="61" t="n">
        <f aca="false">IF(OR(AH210="N/A – RULE",AH210="N/A – JUSTIFIED"),0,1)</f>
        <v>1</v>
      </c>
      <c r="AJ210" s="61" t="n">
        <f aca="false">IF(LEFT(AH210,8)="COMPLETE",1,0)</f>
        <v>0</v>
      </c>
      <c r="AK210" s="61" t="n">
        <f aca="false">IF(AND(AI210=1,AJ210=0,AsOfUTC&gt;Q210),1,0)</f>
        <v>0</v>
      </c>
      <c r="AL210" s="61" t="n">
        <f aca="false">IFERROR(IF(AND(AI210=1,OR(TRIM(U210)="Fail",AND(TRIM(AB210)&lt;&gt;"",TRIM(AB210)&lt;&gt;"Closed"),AND(ISNUMBER(AF210),AF210&lt;&gt;0,TRIM(U210)&lt;&gt;"Pass after CA"))),1,0),1)</f>
        <v>0</v>
      </c>
      <c r="AM210" s="61" t="n">
        <f aca="false">IF(LEFT(AH210,7)="INVALID",1,0)</f>
        <v>0</v>
      </c>
      <c r="AN210" s="61" t="n">
        <f aca="false">IF(AND(N210="Clarification required",AI210=1,AJ210=0),1,0)</f>
        <v>0</v>
      </c>
      <c r="AO210" s="61" t="str">
        <f aca="false">IF(AK210=1,SUM(AK$5:AK210),"")</f>
        <v/>
      </c>
      <c r="AP210" s="61" t="str">
        <f aca="false">IF(AL210=1,SUM(AL$5:AL210),"")</f>
        <v/>
      </c>
      <c r="AQ210" s="61" t="n">
        <v>0</v>
      </c>
      <c r="AR210" s="61" t="n">
        <v>0</v>
      </c>
      <c r="AS210" s="61" t="n">
        <v>0</v>
      </c>
      <c r="AT210" s="61" t="n">
        <v>0</v>
      </c>
      <c r="AU210" s="61" t="str">
        <f aca="false">SUBSTITUTE(SUBSTITUTE(SUBSTITUTE(SUBSTITUTE(SUBSTITUTE(SUBSTITUTE(SUBSTITUTE(SUBSTITUTE(SUBSTITUTE(SUBSTITUTE(SUBSTITUTE(SUBSTITUTE(SUBSTITUTE(SUBSTITUTE(SUBSTITUTE(SUBSTITUTE(LOWER(T210&amp;""),CHAR(10),""),CHAR(13),""),CHAR(9),""),CHAR(160),"")," ",""),".",""),"-",""),"/",""),"?",""),"_",""),",",""),"[",""),"]",""),"(",""),")",""),"*","")</f>
        <v/>
      </c>
      <c r="AV210" s="61" t="str">
        <f aca="false">SUBSTITUTE(SUBSTITUTE(SUBSTITUTE(SUBSTITUTE(SUBSTITUTE(SUBSTITUTE(SUBSTITUTE(SUBSTITUTE(SUBSTITUTE(SUBSTITUTE(SUBSTITUTE(SUBSTITUTE(SUBSTITUTE(SUBSTITUTE(SUBSTITUTE(SUBSTITUTE(LOWER(V210&amp;""),CHAR(10),""),CHAR(13),""),CHAR(9),""),CHAR(160),"")," ",""),".",""),"-",""),"/",""),"?",""),"_",""),",",""),"[",""),"]",""),"(",""),")",""),"*","")</f>
        <v/>
      </c>
      <c r="AW210" s="61" t="str">
        <f aca="false">SUBSTITUTE(SUBSTITUTE(SUBSTITUTE(SUBSTITUTE(SUBSTITUTE(SUBSTITUTE(SUBSTITUTE(SUBSTITUTE(SUBSTITUTE(SUBSTITUTE(SUBSTITUTE(SUBSTITUTE(SUBSTITUTE(SUBSTITUTE(SUBSTITUTE(SUBSTITUTE(LOWER(Z210&amp;""),CHAR(10),""),CHAR(13),""),CHAR(9),""),CHAR(160),"")," ",""),".",""),"-",""),"/",""),"?",""),"_",""),",",""),"[",""),"]",""),"(",""),")",""),"*","")</f>
        <v/>
      </c>
      <c r="AX210" s="61" t="str">
        <f aca="false">SUBSTITUTE(SUBSTITUTE(SUBSTITUTE(SUBSTITUTE(SUBSTITUTE(SUBSTITUTE(SUBSTITUTE(SUBSTITUTE(SUBSTITUTE(SUBSTITUTE(SUBSTITUTE(SUBSTITUTE(SUBSTITUTE(SUBSTITUTE(SUBSTITUTE(SUBSTITUTE(LOWER(AE210&amp;""),CHAR(10),""),CHAR(13),""),CHAR(9),""),CHAR(160),"")," ",""),".",""),"-",""),"/",""),"?",""),"_",""),",",""),"[",""),"]",""),"(",""),")",""),"*","")</f>
        <v/>
      </c>
      <c r="AY210" s="61" t="str">
        <f aca="false">SUBSTITUTE(SUBSTITUTE(SUBSTITUTE(SUBSTITUTE(SUBSTITUTE(SUBSTITUTE(SUBSTITUTE(SUBSTITUTE(SUBSTITUTE(SUBSTITUTE(SUBSTITUTE(SUBSTITUTE(SUBSTITUTE(SUBSTITUTE(SUBSTITUTE(SUBSTITUTE(LOWER(W210&amp;""),CHAR(10),""),CHAR(13),""),CHAR(9),""),CHAR(160),"")," ",""),".",""),"-",""),"/",""),"?",""),"_",""),",",""),"[",""),"]",""),"(",""),")",""),"*","")</f>
        <v/>
      </c>
      <c r="AZ210" s="61" t="str">
        <f aca="false">SUBSTITUTE(SUBSTITUTE(SUBSTITUTE(SUBSTITUTE(SUBSTITUTE(SUBSTITUTE(SUBSTITUTE(SUBSTITUTE(SUBSTITUTE(SUBSTITUTE(SUBSTITUTE(SUBSTITUTE(SUBSTITUTE(SUBSTITUTE(SUBSTITUTE(SUBSTITUTE(LOWER(AC210&amp;""),CHAR(10),""),CHAR(13),""),CHAR(9),""),CHAR(160),"")," ",""),".",""),"-",""),"/",""),"?",""),"_",""),",",""),"[",""),"]",""),"(",""),")",""),"*","")</f>
        <v/>
      </c>
      <c r="BA210" s="61" t="str">
        <f aca="false">SUBSTITUTE(SUBSTITUTE(SUBSTITUTE(SUBSTITUTE(SUBSTITUTE(SUBSTITUTE(SUBSTITUTE(SUBSTITUTE(SUBSTITUTE(SUBSTITUTE(SUBSTITUTE(SUBSTITUTE(SUBSTITUTE(SUBSTITUTE(SUBSTITUTE(SUBSTITUTE(LOWER(AA210&amp;""),CHAR(10),""),CHAR(13),""),CHAR(9),""),CHAR(160),"")," ",""),".",""),"-",""),"/",""),"?",""),"_",""),",",""),"[",""),"]",""),"(",""),")",""),"*","")</f>
        <v/>
      </c>
      <c r="BB210" s="61" t="str">
        <f aca="false">IF(AND(TRIM(U210)="Pass",ISNUMBER(AF210)),IF(AF210&lt;&gt;0,"INVALID – qty variance: use Fail or Pass after CA",""),"")&amp;IF(AND(TRIM(U210)="Pass after CA",ISNUMBER(AF210)),IF(AF210&lt;&gt;0,"INVALID – after the corrective action the actual qty must equal expected (update Actual)",""),"")&amp;IF(AND(TRIM(U210)="Pass",TRIM(AB210)&lt;&gt;"",TRIM(AB210)&lt;&gt;"Closed"),"INVALID – corrective action not closed: use Fail, then Pass after CA","")&amp;IF(AND(LEN(BA210)&gt;=2,ISNA(MATCH(LEFT(BA210,255),L_Placeholder,0)),TRIM(AB210)=""),"INVALID – CA status missing for the recorded corrective action","")&amp;IF(AND(TRIM(U210)="Pass after CA",OR(OR(LEN(BA210)&lt;5,ISNUMBER(MATCH(BA210,L_Placeholder,0))),TRIM(AB210)&lt;&gt;"Closed")),"INVALID – corrective action not recorded/closed","")</f>
        <v/>
      </c>
      <c r="BC210" s="61" t="str">
        <f aca="false">" "&amp;TRIM(SUBSTITUTE(SUBSTITUTE(SUBSTITUTE(SUBSTITUTE(SUBSTITUTE(SUBSTITUTE(SUBSTITUTE(SUBSTITUTE(SUBSTITUTE(SUBSTITUTE(SUBSTITUTE(SUBSTITUTE(SUBSTITUTE(SUBSTITUTE(SUBSTITUTE(SUBSTITUTE(SUBSTITUTE(SUBSTITUTE(SUBSTITUTE(SUBSTITUTE(SUBSTITUTE(SUBSTITUTE(SUBSTITUTE(SUBSTITUTE(LOWER(V210&amp;""),CHAR(10)," "),CHAR(13)," "),CHAR(9)," "),CHAR(160)," "),"."," "),","," "),"-"," "),"/"," "),"("," "),")"," "),":"," "),";"," "),"_"," "),"–"," "),"?"," "),"!"," "),"*"," "),"["," "),"]"," "),"'"," "),"#"," "),"+"," "),"&amp;"," "),"\"," "))&amp;" "</f>
        <v>  </v>
      </c>
      <c r="BD210" s="61" t="str">
        <f aca="false">" "&amp;TRIM(SUBSTITUTE(SUBSTITUTE(SUBSTITUTE(SUBSTITUTE(SUBSTITUTE(SUBSTITUTE(SUBSTITUTE(SUBSTITUTE(SUBSTITUTE(SUBSTITUTE(SUBSTITUTE(SUBSTITUTE(SUBSTITUTE(SUBSTITUTE(SUBSTITUTE(SUBSTITUTE(SUBSTITUTE(SUBSTITUTE(SUBSTITUTE(SUBSTITUTE(SUBSTITUTE(SUBSTITUTE(SUBSTITUTE(SUBSTITUTE(LOWER(Z210&amp;""),CHAR(10)," "),CHAR(13)," "),CHAR(9)," "),CHAR(160)," "),"."," "),","," "),"-"," "),"/"," "),"("," "),")"," "),":"," "),";"," "),"_"," "),"–"," "),"?"," "),"!"," "),"*"," "),"["," "),"]"," "),"'"," "),"#"," "),"+"," "),"&amp;"," "),"\"," "))&amp;" "</f>
        <v>  </v>
      </c>
      <c r="BE210" s="61" t="str">
        <f aca="false">" "&amp;TRIM(SUBSTITUTE(SUBSTITUTE(SUBSTITUTE(SUBSTITUTE(SUBSTITUTE(SUBSTITUTE(SUBSTITUTE(SUBSTITUTE(SUBSTITUTE(SUBSTITUTE(SUBSTITUTE(SUBSTITUTE(SUBSTITUTE(SUBSTITUTE(SUBSTITUTE(SUBSTITUTE(SUBSTITUTE(SUBSTITUTE(SUBSTITUTE(SUBSTITUTE(SUBSTITUTE(SUBSTITUTE(SUBSTITUTE(SUBSTITUTE(LOWER(W210&amp;""),CHAR(10)," "),CHAR(13)," "),CHAR(9)," "),CHAR(160)," "),"."," "),","," "),"-"," "),"/"," "),"("," "),")"," "),":"," "),";"," "),"_"," "),"–"," "),"?"," "),"!"," "),"*"," "),"["," "),"]"," "),"'"," "),"#"," "),"+"," "),"&amp;"," "),"\"," "))&amp;" "</f>
        <v>  </v>
      </c>
      <c r="BF210" s="61" t="str">
        <f aca="false">" "&amp;TRIM(SUBSTITUTE(SUBSTITUTE(SUBSTITUTE(SUBSTITUTE(SUBSTITUTE(SUBSTITUTE(SUBSTITUTE(SUBSTITUTE(SUBSTITUTE(SUBSTITUTE(SUBSTITUTE(SUBSTITUTE(SUBSTITUTE(SUBSTITUTE(SUBSTITUTE(SUBSTITUTE(SUBSTITUTE(SUBSTITUTE(SUBSTITUTE(SUBSTITUTE(SUBSTITUTE(SUBSTITUTE(SUBSTITUTE(SUBSTITUTE(LOWER(AC210&amp;""),CHAR(10)," "),CHAR(13)," "),CHAR(9)," "),CHAR(160)," "),"."," "),","," "),"-"," "),"/"," "),"("," "),")"," "),":"," "),";"," "),"_"," "),"–"," "),"?"," "),"!"," "),"*"," "),"["," "),"]"," "),"'"," "),"#"," "),"+"," "),"&amp;"," "),"\"," "))&amp;" "</f>
        <v>  </v>
      </c>
      <c r="BG210" s="61" t="n">
        <f aca="false">IFERROR(IF(AND(TRIM(U210)="Pass",SUMPRODUCT((LEN(BC210)-LEN(SUBSTITUTE(BC210," "&amp;L_ResultBad&amp;" "," ")))/(LEN(L_ResultBad)+1))&gt;SUMPRODUCT((LEN(BC210)-LEN(SUBSTITUTE(BC210," "&amp;L_NegPhrase&amp;" "," ")))/(LEN(L_NegPhrase)+1))),1,0),0)</f>
        <v>0</v>
      </c>
      <c r="BH210" s="61" t="n">
        <f aca="false">IFERROR(IF(SUMPRODUCT((LEN(BC210)-LEN(SUBSTITUTE(BC210," "&amp;L_Pending&amp;" "," ")))/(LEN(L_Pending)+1))&gt;SUMPRODUCT((LEN(BC210)-LEN(SUBSTITUTE(BC210," "&amp;L_PendNeg&amp;" "," ")))/(LEN(L_PendNeg)+1)),1,0),1)</f>
        <v>0</v>
      </c>
      <c r="BI210" s="61" t="n">
        <f aca="false">IFERROR(IF(SUMPRODUCT((LEN(BD210)-LEN(SUBSTITUTE(BD210," "&amp;L_PendStrict&amp;" "," ")))/(LEN(L_PendStrict)+1))&gt;SUMPRODUCT((LEN(BD210)-LEN(SUBSTITUTE(BD210," "&amp;L_PendNeg&amp;" "," ")))/(LEN(L_PendNeg)+1)),1,0),1)</f>
        <v>0</v>
      </c>
      <c r="BJ210" s="61" t="n">
        <f aca="false">IFERROR(IF(SUMPRODUCT((LEN(BE210)-LEN(SUBSTITUTE(BE210," "&amp;L_Pending&amp;" "," ")))/(LEN(L_Pending)+1))&gt;SUMPRODUCT((LEN(BE210)-LEN(SUBSTITUTE(BE210," "&amp;L_PendNeg&amp;" "," ")))/(LEN(L_PendNeg)+1)),1,0),1)</f>
        <v>0</v>
      </c>
      <c r="BK210" s="61" t="n">
        <f aca="false">IFERROR(IF(SUMPRODUCT((LEN(BF210)-LEN(SUBSTITUTE(BF210," "&amp;L_PendStrict&amp;" "," ")))/(LEN(L_PendStrict)+1))&gt;SUMPRODUCT((LEN(BF210)-LEN(SUBSTITUTE(BF210," "&amp;L_PendNeg&amp;" "," ")))/(LEN(L_PendNeg)+1)),1,0),1)</f>
        <v>0</v>
      </c>
      <c r="BL210" s="61" t="n">
        <f aca="false">IF(ISNA(MATCH(TRIM(S210),L_EvidenceType,0)),0,BZ210)</f>
        <v>0</v>
      </c>
      <c r="BM210" s="61" t="str">
        <f aca="false">SUBSTITUTE(SUBSTITUTE(SUBSTITUTE(SUBSTITUTE(SUBSTITUTE(SUBSTITUTE(SUBSTITUTE(SUBSTITUTE(SUBSTITUTE(LOWER(Z210&amp;""),"1","0"),"2","0"),"3","0"),"4","0"),"5","0"),"6","0"),"7","0"),"8","0"),"9","0")</f>
        <v/>
      </c>
      <c r="BN210" s="61" t="str">
        <f aca="false">SUBSTITUTE(SUBSTITUTE(SUBSTITUTE(SUBSTITUTE(SUBSTITUTE(SUBSTITUTE(SUBSTITUTE(SUBSTITUTE(SUBSTITUTE(SUBSTITUTE(SUBSTITUTE(SUBSTITUTE(SUBSTITUTE(SUBSTITUTE(SUBSTITUTE(SUBSTITUTE(SUBSTITUTE(SUBSTITUTE(SUBSTITUTE(SUBSTITUTE(SUBSTITUTE(SUBSTITUTE(SUBSTITUTE(SUBSTITUTE(SUBSTITUTE(BM210,"b","a"),"c","a"),"d","a"),"e","a"),"f","a"),"g","a"),"h","a"),"i","a"),"j","a"),"k","a"),"l","a"),"m","a"),"n","a"),"o","a"),"p","a"),"q","a"),"r","a"),"s","a"),"t","a"),"u","a"),"v","a"),"w","a"),"x","a"),"y","a"),"z","a")</f>
        <v/>
      </c>
      <c r="BO210" s="61" t="str">
        <f aca="false">SUBSTITUTE(SUBSTITUTE(SUBSTITUTE(SUBSTITUTE(SUBSTITUTE(SUBSTITUTE(SUBSTITUTE(SUBSTITUTE(SUBSTITUTE(LOWER(W210&amp;""),"1","0"),"2","0"),"3","0"),"4","0"),"5","0"),"6","0"),"7","0"),"8","0"),"9","0")</f>
        <v/>
      </c>
      <c r="BP210" s="61" t="str">
        <f aca="false">SUBSTITUTE(SUBSTITUTE(SUBSTITUTE(SUBSTITUTE(SUBSTITUTE(SUBSTITUTE(SUBSTITUTE(SUBSTITUTE(SUBSTITUTE(SUBSTITUTE(SUBSTITUTE(SUBSTITUTE(SUBSTITUTE(SUBSTITUTE(SUBSTITUTE(SUBSTITUTE(SUBSTITUTE(SUBSTITUTE(SUBSTITUTE(SUBSTITUTE(SUBSTITUTE(SUBSTITUTE(SUBSTITUTE(SUBSTITUTE(SUBSTITUTE(BO210,"b","a"),"c","a"),"d","a"),"e","a"),"f","a"),"g","a"),"h","a"),"i","a"),"j","a"),"k","a"),"l","a"),"m","a"),"n","a"),"o","a"),"p","a"),"q","a"),"r","a"),"s","a"),"t","a"),"u","a"),"v","a"),"w","a"),"x","a"),"y","a"),"z","a")</f>
        <v/>
      </c>
      <c r="BQ210" s="61" t="n">
        <f aca="false">IFERROR(IF(AND(ISERROR(SEARCH(" mh"," "&amp;LOWER(W210))),ISNA(MATCH(LEFT(TRIM(BP210),255),{"0000a","000a","00a","0000aa","000aa","00aa","0aa","0000aaa","000aaa","00a00","0a00","0000-0000","00:00","a00","a0","00.00.0000","00/00/0000","00-00-0000","0000-00-00","0000/00/00","0000.00.00","00.00.00","00/00/00","00-00-00","0.00.0000","0/00/0000","0-00-0000"},0)),ISNA(MATCH(LEFT(TRIM(CA210),255),{"0000a","000a","00a","0000aa","000aa","00aa","0aa","0000aaa","000aaa","00a00","0a00","0000-0000","00:00","a00","a0","00.00.0000","00/00/0000","00-00-0000","0000-00-00","0000/00/00","0000.00.00","00.00.00","00/00/00","00-00-00","0.00.0000","0/00/0000","0-00-0000"},0)),LEN(CB210)&gt;=3,NOT(OR(SUBSTITUTE(CB210,"0","")="",AND(LEN(CB210)&gt;=4,CB210=REPT(LEFT(CB210),LEN(CB210))),ISNUMBER(MATCH(CB210,{"123","1234","12345","123456","1234567","12345678","0123","01234","012345","98765","987654","54321"},0)),AND(LEN(CB210)=8,LEFT(CB210,3)="202"))),OR(AND((LEN(CA210)-LEN(SUBSTITUTE(CA210,"a","")))&gt;=1,SUMPRODUCT(--ISNUMBER(SEARCH({"a0","a-0","a_0","a/0","a.0","a#0","0a","0-a","0_a","0/a"},BP210)))&gt;0),ISNUMBER(SEARCH("000000",BP210)))),1,0),0)</f>
        <v>0</v>
      </c>
      <c r="BR210" s="61" t="n">
        <f aca="false">IFERROR(LEN(SUBSTITUTE(CC210," ",""))-SUMPRODUCT((LEN(CC210)-LEN(SUBSTITUTE(CC210," "&amp;L_Role&amp;" "," ")))/(LEN(L_Role)+1)*LEN(L_Role)),0)</f>
        <v>0</v>
      </c>
      <c r="BS210" s="61" t="n">
        <f aca="false">IFERROR(LEN(SUBSTITUTE(CD210," ",""))-SUMPRODUCT((LEN(CD210)-LEN(SUBSTITUTE(CD210," "&amp;L_Role&amp;" "," ")))/(LEN(L_Role)+1)*LEN(L_Role)),0)</f>
        <v>0</v>
      </c>
      <c r="BT2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210,"revision",""),"version",""),"jan",""),"feb",""),"mar",""),"apr",""),"may",""),"jun",""),"jul",""),"aug",""),"sep",""),"oct",""),"nov",""),"dec",""),"utc",""),"gmt",""),"myt",""),"bst",""),"rev",""),"ver",""),"b","a"),"c","a"),"d","a"),"e","a"),"f","a"),"g","a"),"h","a"),"i","a"),"j","a"),"k","a"),"l","a"),"m","a"),"n","a"),"o","a"),"p","a"),"q","a"),"r","a"),"s","a"),"t","a"),"u","a"),"v","a"),"w","a"),"x","a"),"y","a"),"z","a")</f>
        <v/>
      </c>
      <c r="BU210" s="61" t="str">
        <f aca="false">SUBSTITUTE(SUBSTITUTE(SUBSTITUTE(SUBSTITUTE(SUBSTITUTE(SUBSTITUTE(SUBSTITUTE(SUBSTITUTE(SUBSTITUTE(SUBSTITUTE(LEFT(BM210,FIND("0",BM210&amp;"0")-1),"-",""),"_",""),"/",""),".",""),"#",""),"\\",""),":","")," ",""),"(",""),")","")</f>
        <v/>
      </c>
      <c r="BV210" s="61" t="n">
        <f aca="false">IFERROR(IF(OR(SUMPRODUCT((LEN(BC210)-LEN(SUBSTITUTE(BC210," "&amp;L_NotLoaded&amp;" "," ")))/(LEN(L_NotLoaded)+1))&gt;SUMPRODUCT((LEN(BC210)-LEN(SUBSTITUTE(BC210," "&amp;L_NotLoadedNeg&amp;" "," ")))/(LEN(L_NotLoadedNeg)+1)),SUMPRODUCT((LEN(BD210)-LEN(SUBSTITUTE(BD210," "&amp;L_NotLoaded&amp;" "," ")))/(LEN(L_NotLoaded)+1))&gt;SUMPRODUCT((LEN(BD210)-LEN(SUBSTITUTE(BD210," "&amp;L_NotLoadedNeg&amp;" "," ")))/(LEN(L_NotLoadedNeg)+1))),1,0),0)</f>
        <v>0</v>
      </c>
      <c r="BW2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210&amp;""),"a",""),"b",""),"c",""),"d",""),"e",""),"f",""),"g",""),"h",""),"i",""),"j",""),"k",""),"l",""),"m",""),"n",""),"o",""),"p",""),"q",""),"r",""),"s",""),"t",""),"u",""),"v",""),"w",""),"x",""),"y",""),"z",""),"-",""),"_",""),"/",""),".",""),"#",""),"\\",""),":","")," ",""),"(",""),")","")</f>
        <v/>
      </c>
      <c r="BX210" s="61" t="str">
        <f aca="false">SUBSTITUTE(SUBSTITUTE(SUBSTITUTE(SUBSTITUTE(SUBSTITUTE(SUBSTITUTE(SUBSTITUTE(SUBSTITUTE(SUBSTITUTE(SUBSTITUTE(SUBSTITUTE(BM210,"0",""),"-",""),"_",""),"/",""),".",""),"#",""),"\\",""),":","")," ",""),"(",""),")","")</f>
        <v/>
      </c>
      <c r="BY210" s="62" t="n">
        <f aca="false">IF(ISNUMBER(Flights!$AZ$10),MAX(Q210-UpliftWindowH/24,Flights!$AZ$10),Q210-UpliftWindowH/24)</f>
        <v>46310.3888888889</v>
      </c>
      <c r="BZ210" s="61" t="n">
        <f aca="false">IFERROR(IF(IF(TRIM(S210)="Link / file path",AND(LEN(TRIM(Z210))&gt;=5,SUMPRODUCT(--ISNUMBER(SEARCH({"http","www.","\\",":\",".pdf",".jpg",".jpeg",".png",".heic",".xls",".doc",".msg",".eml",".ppt",".txt",".zip"},Z210)))&gt;0),AND(ISERROR(FIND(" ",TRIM(Z210))),NOT(OR(SUMPRODUCT(--ISNUMBER(FIND({",",";","&amp;","+"},Z210)))&gt;0,SUMPRODUCT(--ISNUMBER(SEARCH({"0/aa","0\\aa"},BN210)))&gt;0)),NOT(SUMPRODUCT(--ISNUMBER(SEARCH({"http","www.","\\",":\",".pdf",".jpg",".jpeg",".png",".heic",".xls",".doc",".msg",".eml",".ppt",".txt",".zip"},Z210)))&gt;0),NOT(LOWER(TRIM(Z210))=LOWER(Flights!$F$10)),ISNA(MATCH(BU210,{"mh","rev","revision","ver","version","v","r","a","b","seat","tray","row","gate","bay","stand","page","pg","item","line","no","cart","galley","flight","flt","table","box","bag","oven","etd","eta","std","sta","atd","ata","qty","pax","x","time","tel","ph","mob","day","wk","week","utc","gmt","myt","lt"},0)),NOT(OR(ISNUMBER(MATCH(LEFT(BN210,255),{"0000a","000a","00a","0000aa","000aa","00aa","0aa","0000aaa","000aaa","00a00","0a00","0000-0000","00:00","a00","a0","00.00.0000","00/00/0000","00-00-0000","0000-00-00","0000/00/00","0000.00.00","00.00.00","00/00/00","00-00-00","0.00.0000","0/00/0000","0-00-0000"},0)),ISNUMBER(MATCH(LEFT(BT210,255),{"0000a","000a","00a","0000aa","000aa","00aa","0aa","0000aaa","000aaa","00a00","0a00","0000-0000","00:00","a00","a0","00.00.0000","00/00/0000","00-00-0000","0000-00-00","0000/00/00","0000.00.00","00.00.00","00/00/00","00-00-00","0.00.0000","0/00/0000","0-00-0000"},0)))),NOT(OR(AND(BW210&lt;&gt;"",SUBSTITUTE(BW210,"0","")=""),AND(LEN(BW210)&gt;=4,BW210=REPT(LEFT(BW210),LEN(BW210))),ISNUMBER(MATCH(BW210,{"123","1234","12345","123456","1234567","12345678","0123","01234","012345","98765","987654","54321"},0)),ISNUMBER(MATCH(BX210,{"x","xx","xxx","xxxx","xxxxx","abc","abcd","nil","na","nan","test","tbc","tba","tbd","dummy","sample","example","eg","zz","zzz","none","null","xyz","qwe","asd","id","ref"},0)),AND(LEN(BW210)=8,BX210="",OR(LEFT(BW210,3)="202",ISNUMBER(MATCH(RIGHT(BW210,4),{"2025","2026","2027"},0)))))),OR(AND((LEN(BT210)-LEN(SUBSTITUTE(BT210,"a","")))&gt;=1,(LEN(BN210)-LEN(SUBSTITUTE(BN210,"0","")))&gt;=2,SUMPRODUCT(--ISNUMBER(SEARCH({"a0","a-0","a_0","a/0","a.0","a#0","0a","0-a","0_a","0/a"},BN210)))&gt;0),AND((LEN(BN210)-LEN(SUBSTITUTE(BN210,"a","")))=0,(LEN(BN210)-LEN(SUBSTITUTE(BN210,"0","")))&gt;=5)))),1,0),0)</f>
        <v>0</v>
      </c>
      <c r="CA2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210,"revision",""),"version",""),"jan",""),"feb",""),"mar",""),"apr",""),"may",""),"jun",""),"jul",""),"aug",""),"sep",""),"oct",""),"nov",""),"dec",""),"utc",""),"gmt",""),"myt",""),"bst",""),"rev",""),"ver",""),"b","a"),"c","a"),"d","a"),"e","a"),"f","a"),"g","a"),"h","a"),"i","a"),"j","a"),"k","a"),"l","a"),"m","a"),"n","a"),"o","a"),"p","a"),"q","a"),"r","a"),"s","a"),"t","a"),"u","a"),"v","a"),"w","a"),"x","a"),"y","a"),"z","a")</f>
        <v/>
      </c>
      <c r="CB2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210&amp;""),"a",""),"b",""),"c",""),"d",""),"e",""),"f",""),"g",""),"h",""),"i",""),"j",""),"k",""),"l",""),"m",""),"n",""),"o",""),"p",""),"q",""),"r",""),"s",""),"t",""),"u",""),"v",""),"w",""),"x",""),"y",""),"z",""),"-",""),"_",""),"/",""),".",""),"#",""),"\\",""),":","")," ",""),"(",""),")","")</f>
        <v/>
      </c>
      <c r="CC210" s="0" t="str">
        <f aca="false">" "&amp;TRIM(SUBSTITUTE(SUBSTITUTE(SUBSTITUTE(SUBSTITUTE(SUBSTITUTE(SUBSTITUTE(SUBSTITUTE(SUBSTITUTE(SUBSTITUTE(SUBSTITUTE(SUBSTITUTE(SUBSTITUTE(SUBSTITUTE(SUBSTITUTE(SUBSTITUTE(SUBSTITUTE(SUBSTITUTE(SUBSTITUTE(SUBSTITUTE(SUBSTITUTE(SUBSTITUTE(SUBSTITUTE(SUBSTITUTE(SUBSTITUTE(LOWER(T210&amp;""),CHAR(10)," "),CHAR(13)," "),CHAR(9)," "),CHAR(160)," "),"."," "),","," "),"-"," "),"/"," "),"("," "),")"," "),":"," "),";"," "),"_"," "),"–"," "),"?"," "),"!"," "),"*"," "),"["," "),"]"," "),"'"," "),"#"," "),"+"," "),"&amp;"," "),"\"," "))&amp;" "</f>
        <v>  </v>
      </c>
      <c r="CD210" s="0" t="str">
        <f aca="false">" "&amp;TRIM(SUBSTITUTE(SUBSTITUTE(SUBSTITUTE(SUBSTITUTE(SUBSTITUTE(SUBSTITUTE(SUBSTITUTE(SUBSTITUTE(SUBSTITUTE(SUBSTITUTE(SUBSTITUTE(SUBSTITUTE(SUBSTITUTE(SUBSTITUTE(SUBSTITUTE(SUBSTITUTE(SUBSTITUTE(SUBSTITUTE(SUBSTITUTE(SUBSTITUTE(SUBSTITUTE(SUBSTITUTE(SUBSTITUTE(SUBSTITUTE(LOWER(AE210&amp;""),CHAR(10)," "),CHAR(13)," "),CHAR(9)," "),CHAR(160)," "),"."," "),","," "),"-"," "),"/"," "),"("," "),")"," "),":"," "),";"," "),"_"," "),"–"," "),"?"," "),"!"," "),"*"," "),"["," "),"]"," "),"'"," "),"#"," "),"+"," "),"&amp;"," "),"\"," "))&amp;" "</f>
        <v>  </v>
      </c>
      <c r="CE210" s="68" t="n">
        <f aca="false">IFERROR(IF(AND(LEN(AU210)&gt;0,LEN(AU210)=LEN(AX210),OR(TRIM(MID(SUBSTITUTE(TRIM(CC210)," ",REPT(" ",60)),1,60))="",ISNUMBER(SEARCH(" "&amp;TRIM(MID(SUBSTITUTE(TRIM(CC210)," ",REPT(" ",60)),1,60))&amp;" ",CD210))),OR(TRIM(MID(SUBSTITUTE(TRIM(CC210)," ",REPT(" ",60)),61,60))="",ISNUMBER(SEARCH(" "&amp;TRIM(MID(SUBSTITUTE(TRIM(CC210)," ",REPT(" ",60)),61,60))&amp;" ",CD210))),OR(TRIM(MID(SUBSTITUTE(TRIM(CC210)," ",REPT(" ",60)),121,60))="",ISNUMBER(SEARCH(" "&amp;TRIM(MID(SUBSTITUTE(TRIM(CC210)," ",REPT(" ",60)),121,60))&amp;" ",CD210)))),1,0),0)</f>
        <v>0</v>
      </c>
      <c r="CG210" s="68" t="n">
        <f aca="false">IFERROR(LEN(SUBSTITUTE(BF210," ",""))-SUMPRODUCT((LEN(BF210)-LEN(SUBSTITUTE(BF210," "&amp;L_NAFiller&amp;" "," ")))/(LEN(L_NAFiller)+1)*LEN(L_NAFiller)),0)</f>
        <v>0</v>
      </c>
    </row>
    <row r="211" customFormat="false" ht="39.75" hidden="false" customHeight="true" outlineLevel="0" collapsed="false">
      <c r="A211" s="57" t="s">
        <v>772</v>
      </c>
      <c r="B211" s="57" t="s">
        <v>231</v>
      </c>
      <c r="C211" s="57" t="str">
        <f aca="false">Flights!$F$10</f>
        <v>MH0002</v>
      </c>
      <c r="D211" s="58" t="n">
        <f aca="false">Flights!$D$10</f>
        <v>46310</v>
      </c>
      <c r="E211" s="57" t="str">
        <f aca="false">Flights!$G$10&amp;"-"&amp;Flights!$H$10</f>
        <v>KUL-LHR</v>
      </c>
      <c r="F211" s="57" t="str">
        <f aca="false">Flights!$K$10</f>
        <v>BC</v>
      </c>
      <c r="G211" s="57" t="s">
        <v>459</v>
      </c>
      <c r="H211" s="57" t="s">
        <v>460</v>
      </c>
      <c r="I211" s="57" t="s">
        <v>447</v>
      </c>
      <c r="J211" s="57" t="s">
        <v>655</v>
      </c>
      <c r="K211" s="67" t="s">
        <v>449</v>
      </c>
      <c r="L211" s="67" t="s">
        <v>754</v>
      </c>
      <c r="M211" s="67" t="s">
        <v>451</v>
      </c>
      <c r="N211" s="67" t="s">
        <v>383</v>
      </c>
      <c r="O211" s="67"/>
      <c r="P211" s="57" t="s">
        <v>187</v>
      </c>
      <c r="Q211" s="59" t="n">
        <f aca="false">ROUND((Flights!$AF$10)*1440,0)/1440</f>
        <v>46310.6388888889</v>
      </c>
      <c r="R211" s="59" t="n">
        <f aca="false">Q211+(IF(AND(INDEX(TZ_DSTS,MATCH(P211,TZ_STN,0))&lt;&gt;"",Q211&gt;=INDEX(TZ_DSTS,MATCH(P211,TZ_STN,0)),Q211&lt;INDEX(TZ_DSTE,MATCH(P211,TZ_STN,0))),INDEX(TZ_DST,MATCH(P211,TZ_STN,0)),INDEX(TZ_STD,MATCH(P211,TZ_STN,0))))/24</f>
        <v>46310.9722222222</v>
      </c>
      <c r="S211" s="60"/>
      <c r="T211" s="60"/>
      <c r="U211" s="60"/>
      <c r="V211" s="60"/>
      <c r="W211" s="61"/>
      <c r="X211" s="60"/>
      <c r="Y211" s="60"/>
      <c r="Z211" s="60"/>
      <c r="AA211" s="60"/>
      <c r="AB211" s="60"/>
      <c r="AC211" s="60"/>
      <c r="AD211" s="66"/>
      <c r="AE211" s="60"/>
      <c r="AF211" s="61" t="str">
        <f aca="false">IF(AND(ISNUMBER(X211),ISNUMBER(Y211)),Y211-X211,"")</f>
        <v/>
      </c>
      <c r="AG211" s="62" t="str">
        <f aca="false">IF(ISNUMBER(AD211),AD211-(IF(AND(INDEX(TZ_DSTS,MATCH(P211,TZ_STN,0))&lt;&gt;"",(AD211-INDEX(TZ_STD,MATCH(P211,TZ_STN,0))/24)&gt;=INDEX(TZ_DSTS,MATCH(P211,TZ_STN,0)),(AD211-INDEX(TZ_STD,MATCH(P211,TZ_STN,0))/24)&lt;INDEX(TZ_DSTE,MATCH(P211,TZ_STN,0))),INDEX(TZ_DST,MATCH(P211,TZ_STN,0)),INDEX(TZ_STD,MATCH(P211,TZ_STN,0))))/24,"")</f>
        <v/>
      </c>
      <c r="AH211" s="65" t="str">
        <f aca="false">IFERROR(IF(N211="N/A – rule",IF(OR(TRIM(U211)="",TRIM(U211)="N/A",TRIM(U211)="Not started"),"N/A – RULE","INVALID – this check does not apply to this aircraft: clear the status (or correct the fleet on Flights)"),IF(TRIM(U211)="N/A",IF(AT211=0,"INVALID – N/A not permitted for this check",IF(AND(TRIM(AB211)&lt;&gt;"",TRIM(AB211)&lt;&gt;"Closed"),"INVALID – corrective action still open",IF(AND(NOT(OR(LEN(AZ211)&lt;15,ISNUMBER(MATCH(AZ211,L_Placeholder,0)))),BK211=0,CG211&gt;=8,NOT(OR(LEN(AU211)&lt;2,ISNUMBER(MATCH(AU211,L_Placeholder,0)))),BR211&gt;=3,NOT(OR(LEN(AX211)&lt;2,ISNUMBER(MATCH(AX211,L_Placeholder,0)))),BS211&gt;=3,TRIM(AE211)&lt;&gt;TRIM(T211),AX211&lt;&gt;AU211,CE211=0),"N/A – JUSTIFIED","INVALID – N/A needs a real, settled reason (not 'not applicable' / 'as above' / TBC), a named PIC and a different named verifier"))),IF(OR(TRIM(U211)="Pass",TRIM(U211)="Pass after CA"),IF(NOT(ISNUMBER(AD211)),"INVALID – completion time missing",IF(OR(OR(LEN(AU211)&lt;2,ISNUMBER(MATCH(AU211,L_Placeholder,0))),BR211&lt;3),"INVALID – PIC missing or not a named person (a role such as QA / CSM is not a name)",IF(OR(LEN(AV211)&lt;2,ISNUMBER(MATCH(AV211,L_Placeholder,0))),"INVALID – result / assessment missing",IF(OR(OR(LEN(AW211)&lt;3,ISNUMBER(MATCH(AW211,L_Placeholder,0))),SUMPRODUCT(--ISNUMBER(SEARCH(" "&amp;L_EvidencePhrase&amp;" ",BD211)))&gt;0,BI211=1),"INVALID – evidence missing, placeholder or not yet on file",IF(ISNA(MATCH(TRIM(S211),L_EvidenceType,0)),"INVALID – choose the evidence type from the list (column S)",IF(BL211=0,"INVALID – evidence ID must be the record's own ID only (e.g. SF-2210, IMG_2231, 1045521); a link / file name needs type 'Link / file path'",IF(OR(OR(LEN(AX211)&lt;2,ISNUMBER(MATCH(AX211,L_Placeholder,0))),BS211&lt;3),"INVALID – verifier missing or not a named person (a role such as QA / CSM is not a name)",IF(OR(AX211=AU211,CE211=1,AND(LEN(AU211)&gt;=4,ISNUMBER(SEARCH(AU211,AX211))),AND(LEN(AX211)&gt;=4,ISNUMBER(SEARCH(AX211,AU211)))),"INVALID – verifier must be a different, named person (not the PIC or a role)",IF(BH211=1,"INVALID – result not yet available (awaiting / TBC)",IF(BG211=1,"INVALID – result describes a problem: record Fail, then Pass after CA (or reword if it is not a problem)",IF(BV211=1,"INVALID – wording says not on board: an on-board confirmation needs the item loaded",IF(AND(AQ211=1,OR(OR(LEN(AY211)&lt;3,ISNUMBER(MATCH(AY211,L_Placeholder,0))),BJ211=1,BQ211=0)),"INVALID – batch ID missing, placeholder or not an ID (e.g. PASB-261008-BC-017)",IF(AND(AR211=1,OR(NOT(ISNUMBER(X211)),NOT(ISNUMBER(Y211)))),"INVALID – expected/actual qty missing",IF(AND(AR211=1,OR(X211&lt;=0,Y211&lt;0)),"INVALID – expected qty must be above 0 and actual not negative",IF(AH195="N/A – JUSTIFIED","INVALID – preparation row F06-T12-20 is N/A",IF(AND(AR211=1,ISNUMBER(X195),X211&lt;&gt;X195,TRIM(U211)&lt;&gt;"Pass after CA"),"INVALID – expected qty differs from preparation check F06-T12-20: record the load change as a corrective action (Pass after CA)",IF(BB211&lt;&gt;"",BB211,IF(AND(AS211=1,Documents!$J$10&lt;&gt;"ON FILE"),"INVALID – GLD not on file (Documents sheet)",IF(AND(AS211=2,Documents!$O$10&lt;&gt;"ON FILE"),"INVALID – menu checklist not on file (Documents sheet)",IF(AND(AS211=3,NOT(ISNUMBER(Flights!$AX$10))),"INVALID – enter carrying flight KUL departure (Flights AX)",IF(AND(AS211=3,OR(Flights!$AZ$10&gt;Flights!$AA$10,Flights!$AX$10&lt;Flights!$AA$10-3)),"INVALID – carrying flight (Flights AX) cannot arrive before this leg's STD, or is over 3 days early",IF(AG211&gt;AsOfUTC,"INVALID – completion time is in the future",IF(AND(ISNUMBER(BY211),AG211&lt;BY211),IF(H211="Physical uplift","INVALID – before uplift window (cannot confirm loading)","INVALID – before valid window"),IF(AG211&gt;Flights!$AA$10,"INVALID – completed after departure (cannot establish readiness)",IF(AND(H211="Preparation",AG211&gt;=IF(ISNUMBER(Flights!$BA$10),MIN(Flights!$BA$10,Flights!$AA$10),Flights!$AA$10)),"INVALID – completed after loading / departure (cannot establish readiness)",IF(AND(H211="Physical uplift",AG211&gt;Q211),"INVALID – recorded after the loading flight departed",IF(AG211&gt;Q211,"COMPLETE – LATE","COMPLETE"))))))))))))))))))))))))))),IF(TRIM(U211)="Fail","FAIL – DISCREPANCY",IF(AND(TRIM(U211)&lt;&gt;"",TRIM(U211)&lt;&gt;"Not started",TRIM(U211)&lt;&gt;"In progress"),"INVALID – unrecognised status (use the list)",IF(AsOfUTC&gt;Q211,"OVERDUE",IF(N211="Clarification required","OPEN – CLARIFICATION","OPEN"))))))),"INVALID – error value in an input cell")</f>
        <v>OPEN</v>
      </c>
      <c r="AI211" s="61" t="n">
        <f aca="false">IF(OR(AH211="N/A – RULE",AH211="N/A – JUSTIFIED"),0,1)</f>
        <v>1</v>
      </c>
      <c r="AJ211" s="61" t="n">
        <f aca="false">IF(LEFT(AH211,8)="COMPLETE",1,0)</f>
        <v>0</v>
      </c>
      <c r="AK211" s="61" t="n">
        <f aca="false">IF(AND(AI211=1,AJ211=0,AsOfUTC&gt;Q211),1,0)</f>
        <v>0</v>
      </c>
      <c r="AL211" s="61" t="n">
        <f aca="false">IFERROR(IF(AND(AI211=1,OR(TRIM(U211)="Fail",AND(TRIM(AB211)&lt;&gt;"",TRIM(AB211)&lt;&gt;"Closed"),AND(ISNUMBER(AF211),AF211&lt;&gt;0,TRIM(U211)&lt;&gt;"Pass after CA"))),1,0),1)</f>
        <v>0</v>
      </c>
      <c r="AM211" s="61" t="n">
        <f aca="false">IF(LEFT(AH211,7)="INVALID",1,0)</f>
        <v>0</v>
      </c>
      <c r="AN211" s="61" t="n">
        <f aca="false">IF(AND(N211="Clarification required",AI211=1,AJ211=0),1,0)</f>
        <v>0</v>
      </c>
      <c r="AO211" s="61" t="str">
        <f aca="false">IF(AK211=1,SUM(AK$5:AK211),"")</f>
        <v/>
      </c>
      <c r="AP211" s="61" t="str">
        <f aca="false">IF(AL211=1,SUM(AL$5:AL211),"")</f>
        <v/>
      </c>
      <c r="AQ211" s="61" t="n">
        <v>0</v>
      </c>
      <c r="AR211" s="61" t="n">
        <v>0</v>
      </c>
      <c r="AS211" s="61" t="n">
        <v>0</v>
      </c>
      <c r="AT211" s="61" t="n">
        <v>0</v>
      </c>
      <c r="AU211" s="61" t="str">
        <f aca="false">SUBSTITUTE(SUBSTITUTE(SUBSTITUTE(SUBSTITUTE(SUBSTITUTE(SUBSTITUTE(SUBSTITUTE(SUBSTITUTE(SUBSTITUTE(SUBSTITUTE(SUBSTITUTE(SUBSTITUTE(SUBSTITUTE(SUBSTITUTE(SUBSTITUTE(SUBSTITUTE(LOWER(T211&amp;""),CHAR(10),""),CHAR(13),""),CHAR(9),""),CHAR(160),"")," ",""),".",""),"-",""),"/",""),"?",""),"_",""),",",""),"[",""),"]",""),"(",""),")",""),"*","")</f>
        <v/>
      </c>
      <c r="AV211" s="61" t="str">
        <f aca="false">SUBSTITUTE(SUBSTITUTE(SUBSTITUTE(SUBSTITUTE(SUBSTITUTE(SUBSTITUTE(SUBSTITUTE(SUBSTITUTE(SUBSTITUTE(SUBSTITUTE(SUBSTITUTE(SUBSTITUTE(SUBSTITUTE(SUBSTITUTE(SUBSTITUTE(SUBSTITUTE(LOWER(V211&amp;""),CHAR(10),""),CHAR(13),""),CHAR(9),""),CHAR(160),"")," ",""),".",""),"-",""),"/",""),"?",""),"_",""),",",""),"[",""),"]",""),"(",""),")",""),"*","")</f>
        <v/>
      </c>
      <c r="AW211" s="61" t="str">
        <f aca="false">SUBSTITUTE(SUBSTITUTE(SUBSTITUTE(SUBSTITUTE(SUBSTITUTE(SUBSTITUTE(SUBSTITUTE(SUBSTITUTE(SUBSTITUTE(SUBSTITUTE(SUBSTITUTE(SUBSTITUTE(SUBSTITUTE(SUBSTITUTE(SUBSTITUTE(SUBSTITUTE(LOWER(Z211&amp;""),CHAR(10),""),CHAR(13),""),CHAR(9),""),CHAR(160),"")," ",""),".",""),"-",""),"/",""),"?",""),"_",""),",",""),"[",""),"]",""),"(",""),")",""),"*","")</f>
        <v/>
      </c>
      <c r="AX211" s="61" t="str">
        <f aca="false">SUBSTITUTE(SUBSTITUTE(SUBSTITUTE(SUBSTITUTE(SUBSTITUTE(SUBSTITUTE(SUBSTITUTE(SUBSTITUTE(SUBSTITUTE(SUBSTITUTE(SUBSTITUTE(SUBSTITUTE(SUBSTITUTE(SUBSTITUTE(SUBSTITUTE(SUBSTITUTE(LOWER(AE211&amp;""),CHAR(10),""),CHAR(13),""),CHAR(9),""),CHAR(160),"")," ",""),".",""),"-",""),"/",""),"?",""),"_",""),",",""),"[",""),"]",""),"(",""),")",""),"*","")</f>
        <v/>
      </c>
      <c r="AY211" s="61" t="str">
        <f aca="false">SUBSTITUTE(SUBSTITUTE(SUBSTITUTE(SUBSTITUTE(SUBSTITUTE(SUBSTITUTE(SUBSTITUTE(SUBSTITUTE(SUBSTITUTE(SUBSTITUTE(SUBSTITUTE(SUBSTITUTE(SUBSTITUTE(SUBSTITUTE(SUBSTITUTE(SUBSTITUTE(LOWER(W211&amp;""),CHAR(10),""),CHAR(13),""),CHAR(9),""),CHAR(160),"")," ",""),".",""),"-",""),"/",""),"?",""),"_",""),",",""),"[",""),"]",""),"(",""),")",""),"*","")</f>
        <v/>
      </c>
      <c r="AZ211" s="61" t="str">
        <f aca="false">SUBSTITUTE(SUBSTITUTE(SUBSTITUTE(SUBSTITUTE(SUBSTITUTE(SUBSTITUTE(SUBSTITUTE(SUBSTITUTE(SUBSTITUTE(SUBSTITUTE(SUBSTITUTE(SUBSTITUTE(SUBSTITUTE(SUBSTITUTE(SUBSTITUTE(SUBSTITUTE(LOWER(AC211&amp;""),CHAR(10),""),CHAR(13),""),CHAR(9),""),CHAR(160),"")," ",""),".",""),"-",""),"/",""),"?",""),"_",""),",",""),"[",""),"]",""),"(",""),")",""),"*","")</f>
        <v/>
      </c>
      <c r="BA211" s="61" t="str">
        <f aca="false">SUBSTITUTE(SUBSTITUTE(SUBSTITUTE(SUBSTITUTE(SUBSTITUTE(SUBSTITUTE(SUBSTITUTE(SUBSTITUTE(SUBSTITUTE(SUBSTITUTE(SUBSTITUTE(SUBSTITUTE(SUBSTITUTE(SUBSTITUTE(SUBSTITUTE(SUBSTITUTE(LOWER(AA211&amp;""),CHAR(10),""),CHAR(13),""),CHAR(9),""),CHAR(160),"")," ",""),".",""),"-",""),"/",""),"?",""),"_",""),",",""),"[",""),"]",""),"(",""),")",""),"*","")</f>
        <v/>
      </c>
      <c r="BB211" s="61" t="str">
        <f aca="false">IF(AND(TRIM(U211)="Pass",ISNUMBER(AF211)),IF(AF211&lt;&gt;0,"INVALID – qty variance: use Fail or Pass after CA",""),"")&amp;IF(AND(TRIM(U211)="Pass after CA",ISNUMBER(AF211)),IF(AF211&lt;&gt;0,"INVALID – after the corrective action the actual qty must equal expected (update Actual)",""),"")&amp;IF(AND(TRIM(U211)="Pass",TRIM(AB211)&lt;&gt;"",TRIM(AB211)&lt;&gt;"Closed"),"INVALID – corrective action not closed: use Fail, then Pass after CA","")&amp;IF(AND(LEN(BA211)&gt;=2,ISNA(MATCH(LEFT(BA211,255),L_Placeholder,0)),TRIM(AB211)=""),"INVALID – CA status missing for the recorded corrective action","")&amp;IF(AND(TRIM(U211)="Pass after CA",OR(OR(LEN(BA211)&lt;5,ISNUMBER(MATCH(BA211,L_Placeholder,0))),TRIM(AB211)&lt;&gt;"Closed")),"INVALID – corrective action not recorded/closed","")</f>
        <v/>
      </c>
      <c r="BC211" s="61" t="str">
        <f aca="false">" "&amp;TRIM(SUBSTITUTE(SUBSTITUTE(SUBSTITUTE(SUBSTITUTE(SUBSTITUTE(SUBSTITUTE(SUBSTITUTE(SUBSTITUTE(SUBSTITUTE(SUBSTITUTE(SUBSTITUTE(SUBSTITUTE(SUBSTITUTE(SUBSTITUTE(SUBSTITUTE(SUBSTITUTE(SUBSTITUTE(SUBSTITUTE(SUBSTITUTE(SUBSTITUTE(SUBSTITUTE(SUBSTITUTE(SUBSTITUTE(SUBSTITUTE(LOWER(V211&amp;""),CHAR(10)," "),CHAR(13)," "),CHAR(9)," "),CHAR(160)," "),"."," "),","," "),"-"," "),"/"," "),"("," "),")"," "),":"," "),";"," "),"_"," "),"–"," "),"?"," "),"!"," "),"*"," "),"["," "),"]"," "),"'"," "),"#"," "),"+"," "),"&amp;"," "),"\"," "))&amp;" "</f>
        <v>  </v>
      </c>
      <c r="BD211" s="61" t="str">
        <f aca="false">" "&amp;TRIM(SUBSTITUTE(SUBSTITUTE(SUBSTITUTE(SUBSTITUTE(SUBSTITUTE(SUBSTITUTE(SUBSTITUTE(SUBSTITUTE(SUBSTITUTE(SUBSTITUTE(SUBSTITUTE(SUBSTITUTE(SUBSTITUTE(SUBSTITUTE(SUBSTITUTE(SUBSTITUTE(SUBSTITUTE(SUBSTITUTE(SUBSTITUTE(SUBSTITUTE(SUBSTITUTE(SUBSTITUTE(SUBSTITUTE(SUBSTITUTE(LOWER(Z211&amp;""),CHAR(10)," "),CHAR(13)," "),CHAR(9)," "),CHAR(160)," "),"."," "),","," "),"-"," "),"/"," "),"("," "),")"," "),":"," "),";"," "),"_"," "),"–"," "),"?"," "),"!"," "),"*"," "),"["," "),"]"," "),"'"," "),"#"," "),"+"," "),"&amp;"," "),"\"," "))&amp;" "</f>
        <v>  </v>
      </c>
      <c r="BE211" s="61" t="str">
        <f aca="false">" "&amp;TRIM(SUBSTITUTE(SUBSTITUTE(SUBSTITUTE(SUBSTITUTE(SUBSTITUTE(SUBSTITUTE(SUBSTITUTE(SUBSTITUTE(SUBSTITUTE(SUBSTITUTE(SUBSTITUTE(SUBSTITUTE(SUBSTITUTE(SUBSTITUTE(SUBSTITUTE(SUBSTITUTE(SUBSTITUTE(SUBSTITUTE(SUBSTITUTE(SUBSTITUTE(SUBSTITUTE(SUBSTITUTE(SUBSTITUTE(SUBSTITUTE(LOWER(W211&amp;""),CHAR(10)," "),CHAR(13)," "),CHAR(9)," "),CHAR(160)," "),"."," "),","," "),"-"," "),"/"," "),"("," "),")"," "),":"," "),";"," "),"_"," "),"–"," "),"?"," "),"!"," "),"*"," "),"["," "),"]"," "),"'"," "),"#"," "),"+"," "),"&amp;"," "),"\"," "))&amp;" "</f>
        <v>  </v>
      </c>
      <c r="BF211" s="61" t="str">
        <f aca="false">" "&amp;TRIM(SUBSTITUTE(SUBSTITUTE(SUBSTITUTE(SUBSTITUTE(SUBSTITUTE(SUBSTITUTE(SUBSTITUTE(SUBSTITUTE(SUBSTITUTE(SUBSTITUTE(SUBSTITUTE(SUBSTITUTE(SUBSTITUTE(SUBSTITUTE(SUBSTITUTE(SUBSTITUTE(SUBSTITUTE(SUBSTITUTE(SUBSTITUTE(SUBSTITUTE(SUBSTITUTE(SUBSTITUTE(SUBSTITUTE(SUBSTITUTE(LOWER(AC211&amp;""),CHAR(10)," "),CHAR(13)," "),CHAR(9)," "),CHAR(160)," "),"."," "),","," "),"-"," "),"/"," "),"("," "),")"," "),":"," "),";"," "),"_"," "),"–"," "),"?"," "),"!"," "),"*"," "),"["," "),"]"," "),"'"," "),"#"," "),"+"," "),"&amp;"," "),"\"," "))&amp;" "</f>
        <v>  </v>
      </c>
      <c r="BG211" s="61" t="n">
        <f aca="false">IFERROR(IF(AND(TRIM(U211)="Pass",SUMPRODUCT((LEN(BC211)-LEN(SUBSTITUTE(BC211," "&amp;L_ResultBad&amp;" "," ")))/(LEN(L_ResultBad)+1))&gt;SUMPRODUCT((LEN(BC211)-LEN(SUBSTITUTE(BC211," "&amp;L_NegPhrase&amp;" "," ")))/(LEN(L_NegPhrase)+1))),1,0),0)</f>
        <v>0</v>
      </c>
      <c r="BH211" s="61" t="n">
        <f aca="false">IFERROR(IF(SUMPRODUCT((LEN(BC211)-LEN(SUBSTITUTE(BC211," "&amp;L_Pending&amp;" "," ")))/(LEN(L_Pending)+1))&gt;SUMPRODUCT((LEN(BC211)-LEN(SUBSTITUTE(BC211," "&amp;L_PendNeg&amp;" "," ")))/(LEN(L_PendNeg)+1)),1,0),1)</f>
        <v>0</v>
      </c>
      <c r="BI211" s="61" t="n">
        <f aca="false">IFERROR(IF(SUMPRODUCT((LEN(BD211)-LEN(SUBSTITUTE(BD211," "&amp;L_PendStrict&amp;" "," ")))/(LEN(L_PendStrict)+1))&gt;SUMPRODUCT((LEN(BD211)-LEN(SUBSTITUTE(BD211," "&amp;L_PendNeg&amp;" "," ")))/(LEN(L_PendNeg)+1)),1,0),1)</f>
        <v>0</v>
      </c>
      <c r="BJ211" s="61" t="n">
        <f aca="false">IFERROR(IF(SUMPRODUCT((LEN(BE211)-LEN(SUBSTITUTE(BE211," "&amp;L_Pending&amp;" "," ")))/(LEN(L_Pending)+1))&gt;SUMPRODUCT((LEN(BE211)-LEN(SUBSTITUTE(BE211," "&amp;L_PendNeg&amp;" "," ")))/(LEN(L_PendNeg)+1)),1,0),1)</f>
        <v>0</v>
      </c>
      <c r="BK211" s="61" t="n">
        <f aca="false">IFERROR(IF(SUMPRODUCT((LEN(BF211)-LEN(SUBSTITUTE(BF211," "&amp;L_PendStrict&amp;" "," ")))/(LEN(L_PendStrict)+1))&gt;SUMPRODUCT((LEN(BF211)-LEN(SUBSTITUTE(BF211," "&amp;L_PendNeg&amp;" "," ")))/(LEN(L_PendNeg)+1)),1,0),1)</f>
        <v>0</v>
      </c>
      <c r="BL211" s="61" t="n">
        <f aca="false">IF(ISNA(MATCH(TRIM(S211),L_EvidenceType,0)),0,BZ211)</f>
        <v>0</v>
      </c>
      <c r="BM211" s="61" t="str">
        <f aca="false">SUBSTITUTE(SUBSTITUTE(SUBSTITUTE(SUBSTITUTE(SUBSTITUTE(SUBSTITUTE(SUBSTITUTE(SUBSTITUTE(SUBSTITUTE(LOWER(Z211&amp;""),"1","0"),"2","0"),"3","0"),"4","0"),"5","0"),"6","0"),"7","0"),"8","0"),"9","0")</f>
        <v/>
      </c>
      <c r="BN211" s="61" t="str">
        <f aca="false">SUBSTITUTE(SUBSTITUTE(SUBSTITUTE(SUBSTITUTE(SUBSTITUTE(SUBSTITUTE(SUBSTITUTE(SUBSTITUTE(SUBSTITUTE(SUBSTITUTE(SUBSTITUTE(SUBSTITUTE(SUBSTITUTE(SUBSTITUTE(SUBSTITUTE(SUBSTITUTE(SUBSTITUTE(SUBSTITUTE(SUBSTITUTE(SUBSTITUTE(SUBSTITUTE(SUBSTITUTE(SUBSTITUTE(SUBSTITUTE(SUBSTITUTE(BM211,"b","a"),"c","a"),"d","a"),"e","a"),"f","a"),"g","a"),"h","a"),"i","a"),"j","a"),"k","a"),"l","a"),"m","a"),"n","a"),"o","a"),"p","a"),"q","a"),"r","a"),"s","a"),"t","a"),"u","a"),"v","a"),"w","a"),"x","a"),"y","a"),"z","a")</f>
        <v/>
      </c>
      <c r="BO211" s="61" t="str">
        <f aca="false">SUBSTITUTE(SUBSTITUTE(SUBSTITUTE(SUBSTITUTE(SUBSTITUTE(SUBSTITUTE(SUBSTITUTE(SUBSTITUTE(SUBSTITUTE(LOWER(W211&amp;""),"1","0"),"2","0"),"3","0"),"4","0"),"5","0"),"6","0"),"7","0"),"8","0"),"9","0")</f>
        <v/>
      </c>
      <c r="BP211" s="61" t="str">
        <f aca="false">SUBSTITUTE(SUBSTITUTE(SUBSTITUTE(SUBSTITUTE(SUBSTITUTE(SUBSTITUTE(SUBSTITUTE(SUBSTITUTE(SUBSTITUTE(SUBSTITUTE(SUBSTITUTE(SUBSTITUTE(SUBSTITUTE(SUBSTITUTE(SUBSTITUTE(SUBSTITUTE(SUBSTITUTE(SUBSTITUTE(SUBSTITUTE(SUBSTITUTE(SUBSTITUTE(SUBSTITUTE(SUBSTITUTE(SUBSTITUTE(SUBSTITUTE(BO211,"b","a"),"c","a"),"d","a"),"e","a"),"f","a"),"g","a"),"h","a"),"i","a"),"j","a"),"k","a"),"l","a"),"m","a"),"n","a"),"o","a"),"p","a"),"q","a"),"r","a"),"s","a"),"t","a"),"u","a"),"v","a"),"w","a"),"x","a"),"y","a"),"z","a")</f>
        <v/>
      </c>
      <c r="BQ211" s="61" t="n">
        <f aca="false">IFERROR(IF(AND(ISERROR(SEARCH(" mh"," "&amp;LOWER(W211))),ISNA(MATCH(LEFT(TRIM(BP211),255),{"0000a","000a","00a","0000aa","000aa","00aa","0aa","0000aaa","000aaa","00a00","0a00","0000-0000","00:00","a00","a0","00.00.0000","00/00/0000","00-00-0000","0000-00-00","0000/00/00","0000.00.00","00.00.00","00/00/00","00-00-00","0.00.0000","0/00/0000","0-00-0000"},0)),ISNA(MATCH(LEFT(TRIM(CA211),255),{"0000a","000a","00a","0000aa","000aa","00aa","0aa","0000aaa","000aaa","00a00","0a00","0000-0000","00:00","a00","a0","00.00.0000","00/00/0000","00-00-0000","0000-00-00","0000/00/00","0000.00.00","00.00.00","00/00/00","00-00-00","0.00.0000","0/00/0000","0-00-0000"},0)),LEN(CB211)&gt;=3,NOT(OR(SUBSTITUTE(CB211,"0","")="",AND(LEN(CB211)&gt;=4,CB211=REPT(LEFT(CB211),LEN(CB211))),ISNUMBER(MATCH(CB211,{"123","1234","12345","123456","1234567","12345678","0123","01234","012345","98765","987654","54321"},0)),AND(LEN(CB211)=8,LEFT(CB211,3)="202"))),OR(AND((LEN(CA211)-LEN(SUBSTITUTE(CA211,"a","")))&gt;=1,SUMPRODUCT(--ISNUMBER(SEARCH({"a0","a-0","a_0","a/0","a.0","a#0","0a","0-a","0_a","0/a"},BP211)))&gt;0),ISNUMBER(SEARCH("000000",BP211)))),1,0),0)</f>
        <v>0</v>
      </c>
      <c r="BR211" s="61" t="n">
        <f aca="false">IFERROR(LEN(SUBSTITUTE(CC211," ",""))-SUMPRODUCT((LEN(CC211)-LEN(SUBSTITUTE(CC211," "&amp;L_Role&amp;" "," ")))/(LEN(L_Role)+1)*LEN(L_Role)),0)</f>
        <v>0</v>
      </c>
      <c r="BS211" s="61" t="n">
        <f aca="false">IFERROR(LEN(SUBSTITUTE(CD211," ",""))-SUMPRODUCT((LEN(CD211)-LEN(SUBSTITUTE(CD211," "&amp;L_Role&amp;" "," ")))/(LEN(L_Role)+1)*LEN(L_Role)),0)</f>
        <v>0</v>
      </c>
      <c r="BT2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211,"revision",""),"version",""),"jan",""),"feb",""),"mar",""),"apr",""),"may",""),"jun",""),"jul",""),"aug",""),"sep",""),"oct",""),"nov",""),"dec",""),"utc",""),"gmt",""),"myt",""),"bst",""),"rev",""),"ver",""),"b","a"),"c","a"),"d","a"),"e","a"),"f","a"),"g","a"),"h","a"),"i","a"),"j","a"),"k","a"),"l","a"),"m","a"),"n","a"),"o","a"),"p","a"),"q","a"),"r","a"),"s","a"),"t","a"),"u","a"),"v","a"),"w","a"),"x","a"),"y","a"),"z","a")</f>
        <v/>
      </c>
      <c r="BU211" s="61" t="str">
        <f aca="false">SUBSTITUTE(SUBSTITUTE(SUBSTITUTE(SUBSTITUTE(SUBSTITUTE(SUBSTITUTE(SUBSTITUTE(SUBSTITUTE(SUBSTITUTE(SUBSTITUTE(LEFT(BM211,FIND("0",BM211&amp;"0")-1),"-",""),"_",""),"/",""),".",""),"#",""),"\\",""),":","")," ",""),"(",""),")","")</f>
        <v/>
      </c>
      <c r="BV211" s="61" t="n">
        <f aca="false">IFERROR(IF(OR(SUMPRODUCT((LEN(BC211)-LEN(SUBSTITUTE(BC211," "&amp;L_NotLoaded&amp;" "," ")))/(LEN(L_NotLoaded)+1))&gt;SUMPRODUCT((LEN(BC211)-LEN(SUBSTITUTE(BC211," "&amp;L_NotLoadedNeg&amp;" "," ")))/(LEN(L_NotLoadedNeg)+1)),SUMPRODUCT((LEN(BD211)-LEN(SUBSTITUTE(BD211," "&amp;L_NotLoaded&amp;" "," ")))/(LEN(L_NotLoaded)+1))&gt;SUMPRODUCT((LEN(BD211)-LEN(SUBSTITUTE(BD211," "&amp;L_NotLoadedNeg&amp;" "," ")))/(LEN(L_NotLoadedNeg)+1))),1,0),0)</f>
        <v>0</v>
      </c>
      <c r="BW2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211&amp;""),"a",""),"b",""),"c",""),"d",""),"e",""),"f",""),"g",""),"h",""),"i",""),"j",""),"k",""),"l",""),"m",""),"n",""),"o",""),"p",""),"q",""),"r",""),"s",""),"t",""),"u",""),"v",""),"w",""),"x",""),"y",""),"z",""),"-",""),"_",""),"/",""),".",""),"#",""),"\\",""),":","")," ",""),"(",""),")","")</f>
        <v/>
      </c>
      <c r="BX211" s="61" t="str">
        <f aca="false">SUBSTITUTE(SUBSTITUTE(SUBSTITUTE(SUBSTITUTE(SUBSTITUTE(SUBSTITUTE(SUBSTITUTE(SUBSTITUTE(SUBSTITUTE(SUBSTITUTE(SUBSTITUTE(BM211,"0",""),"-",""),"_",""),"/",""),".",""),"#",""),"\\",""),":","")," ",""),"(",""),")","")</f>
        <v/>
      </c>
      <c r="BY211" s="62" t="n">
        <f aca="false">IF(ISNUMBER(Flights!$AZ$10),MAX(Q211-UpliftWindowH/24,Flights!$AZ$10),Q211-UpliftWindowH/24)</f>
        <v>46310.3888888889</v>
      </c>
      <c r="BZ211" s="61" t="n">
        <f aca="false">IFERROR(IF(IF(TRIM(S211)="Link / file path",AND(LEN(TRIM(Z211))&gt;=5,SUMPRODUCT(--ISNUMBER(SEARCH({"http","www.","\\",":\",".pdf",".jpg",".jpeg",".png",".heic",".xls",".doc",".msg",".eml",".ppt",".txt",".zip"},Z211)))&gt;0),AND(ISERROR(FIND(" ",TRIM(Z211))),NOT(OR(SUMPRODUCT(--ISNUMBER(FIND({",",";","&amp;","+"},Z211)))&gt;0,SUMPRODUCT(--ISNUMBER(SEARCH({"0/aa","0\\aa"},BN211)))&gt;0)),NOT(SUMPRODUCT(--ISNUMBER(SEARCH({"http","www.","\\",":\",".pdf",".jpg",".jpeg",".png",".heic",".xls",".doc",".msg",".eml",".ppt",".txt",".zip"},Z211)))&gt;0),NOT(LOWER(TRIM(Z211))=LOWER(Flights!$F$10)),ISNA(MATCH(BU211,{"mh","rev","revision","ver","version","v","r","a","b","seat","tray","row","gate","bay","stand","page","pg","item","line","no","cart","galley","flight","flt","table","box","bag","oven","etd","eta","std","sta","atd","ata","qty","pax","x","time","tel","ph","mob","day","wk","week","utc","gmt","myt","lt"},0)),NOT(OR(ISNUMBER(MATCH(LEFT(BN211,255),{"0000a","000a","00a","0000aa","000aa","00aa","0aa","0000aaa","000aaa","00a00","0a00","0000-0000","00:00","a00","a0","00.00.0000","00/00/0000","00-00-0000","0000-00-00","0000/00/00","0000.00.00","00.00.00","00/00/00","00-00-00","0.00.0000","0/00/0000","0-00-0000"},0)),ISNUMBER(MATCH(LEFT(BT211,255),{"0000a","000a","00a","0000aa","000aa","00aa","0aa","0000aaa","000aaa","00a00","0a00","0000-0000","00:00","a00","a0","00.00.0000","00/00/0000","00-00-0000","0000-00-00","0000/00/00","0000.00.00","00.00.00","00/00/00","00-00-00","0.00.0000","0/00/0000","0-00-0000"},0)))),NOT(OR(AND(BW211&lt;&gt;"",SUBSTITUTE(BW211,"0","")=""),AND(LEN(BW211)&gt;=4,BW211=REPT(LEFT(BW211),LEN(BW211))),ISNUMBER(MATCH(BW211,{"123","1234","12345","123456","1234567","12345678","0123","01234","012345","98765","987654","54321"},0)),ISNUMBER(MATCH(BX211,{"x","xx","xxx","xxxx","xxxxx","abc","abcd","nil","na","nan","test","tbc","tba","tbd","dummy","sample","example","eg","zz","zzz","none","null","xyz","qwe","asd","id","ref"},0)),AND(LEN(BW211)=8,BX211="",OR(LEFT(BW211,3)="202",ISNUMBER(MATCH(RIGHT(BW211,4),{"2025","2026","2027"},0)))))),OR(AND((LEN(BT211)-LEN(SUBSTITUTE(BT211,"a","")))&gt;=1,(LEN(BN211)-LEN(SUBSTITUTE(BN211,"0","")))&gt;=2,SUMPRODUCT(--ISNUMBER(SEARCH({"a0","a-0","a_0","a/0","a.0","a#0","0a","0-a","0_a","0/a"},BN211)))&gt;0),AND((LEN(BN211)-LEN(SUBSTITUTE(BN211,"a","")))=0,(LEN(BN211)-LEN(SUBSTITUTE(BN211,"0","")))&gt;=5)))),1,0),0)</f>
        <v>0</v>
      </c>
      <c r="CA2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211,"revision",""),"version",""),"jan",""),"feb",""),"mar",""),"apr",""),"may",""),"jun",""),"jul",""),"aug",""),"sep",""),"oct",""),"nov",""),"dec",""),"utc",""),"gmt",""),"myt",""),"bst",""),"rev",""),"ver",""),"b","a"),"c","a"),"d","a"),"e","a"),"f","a"),"g","a"),"h","a"),"i","a"),"j","a"),"k","a"),"l","a"),"m","a"),"n","a"),"o","a"),"p","a"),"q","a"),"r","a"),"s","a"),"t","a"),"u","a"),"v","a"),"w","a"),"x","a"),"y","a"),"z","a")</f>
        <v/>
      </c>
      <c r="CB2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211&amp;""),"a",""),"b",""),"c",""),"d",""),"e",""),"f",""),"g",""),"h",""),"i",""),"j",""),"k",""),"l",""),"m",""),"n",""),"o",""),"p",""),"q",""),"r",""),"s",""),"t",""),"u",""),"v",""),"w",""),"x",""),"y",""),"z",""),"-",""),"_",""),"/",""),".",""),"#",""),"\\",""),":","")," ",""),"(",""),")","")</f>
        <v/>
      </c>
      <c r="CC211" s="0" t="str">
        <f aca="false">" "&amp;TRIM(SUBSTITUTE(SUBSTITUTE(SUBSTITUTE(SUBSTITUTE(SUBSTITUTE(SUBSTITUTE(SUBSTITUTE(SUBSTITUTE(SUBSTITUTE(SUBSTITUTE(SUBSTITUTE(SUBSTITUTE(SUBSTITUTE(SUBSTITUTE(SUBSTITUTE(SUBSTITUTE(SUBSTITUTE(SUBSTITUTE(SUBSTITUTE(SUBSTITUTE(SUBSTITUTE(SUBSTITUTE(SUBSTITUTE(SUBSTITUTE(LOWER(T211&amp;""),CHAR(10)," "),CHAR(13)," "),CHAR(9)," "),CHAR(160)," "),"."," "),","," "),"-"," "),"/"," "),"("," "),")"," "),":"," "),";"," "),"_"," "),"–"," "),"?"," "),"!"," "),"*"," "),"["," "),"]"," "),"'"," "),"#"," "),"+"," "),"&amp;"," "),"\"," "))&amp;" "</f>
        <v>  </v>
      </c>
      <c r="CD211" s="0" t="str">
        <f aca="false">" "&amp;TRIM(SUBSTITUTE(SUBSTITUTE(SUBSTITUTE(SUBSTITUTE(SUBSTITUTE(SUBSTITUTE(SUBSTITUTE(SUBSTITUTE(SUBSTITUTE(SUBSTITUTE(SUBSTITUTE(SUBSTITUTE(SUBSTITUTE(SUBSTITUTE(SUBSTITUTE(SUBSTITUTE(SUBSTITUTE(SUBSTITUTE(SUBSTITUTE(SUBSTITUTE(SUBSTITUTE(SUBSTITUTE(SUBSTITUTE(SUBSTITUTE(LOWER(AE211&amp;""),CHAR(10)," "),CHAR(13)," "),CHAR(9)," "),CHAR(160)," "),"."," "),","," "),"-"," "),"/"," "),"("," "),")"," "),":"," "),";"," "),"_"," "),"–"," "),"?"," "),"!"," "),"*"," "),"["," "),"]"," "),"'"," "),"#"," "),"+"," "),"&amp;"," "),"\"," "))&amp;" "</f>
        <v>  </v>
      </c>
      <c r="CE211" s="68" t="n">
        <f aca="false">IFERROR(IF(AND(LEN(AU211)&gt;0,LEN(AU211)=LEN(AX211),OR(TRIM(MID(SUBSTITUTE(TRIM(CC211)," ",REPT(" ",60)),1,60))="",ISNUMBER(SEARCH(" "&amp;TRIM(MID(SUBSTITUTE(TRIM(CC211)," ",REPT(" ",60)),1,60))&amp;" ",CD211))),OR(TRIM(MID(SUBSTITUTE(TRIM(CC211)," ",REPT(" ",60)),61,60))="",ISNUMBER(SEARCH(" "&amp;TRIM(MID(SUBSTITUTE(TRIM(CC211)," ",REPT(" ",60)),61,60))&amp;" ",CD211))),OR(TRIM(MID(SUBSTITUTE(TRIM(CC211)," ",REPT(" ",60)),121,60))="",ISNUMBER(SEARCH(" "&amp;TRIM(MID(SUBSTITUTE(TRIM(CC211)," ",REPT(" ",60)),121,60))&amp;" ",CD211)))),1,0),0)</f>
        <v>0</v>
      </c>
      <c r="CG211" s="68" t="n">
        <f aca="false">IFERROR(LEN(SUBSTITUTE(BF211," ",""))-SUMPRODUCT((LEN(BF211)-LEN(SUBSTITUTE(BF211," "&amp;L_NAFiller&amp;" "," ")))/(LEN(L_NAFiller)+1)*LEN(L_NAFiller)),0)</f>
        <v>0</v>
      </c>
    </row>
    <row r="212" customFormat="false" ht="39.75" hidden="false" customHeight="true" outlineLevel="0" collapsed="false">
      <c r="A212" s="57" t="s">
        <v>773</v>
      </c>
      <c r="B212" s="57" t="s">
        <v>231</v>
      </c>
      <c r="C212" s="57" t="str">
        <f aca="false">Flights!$F$10</f>
        <v>MH0002</v>
      </c>
      <c r="D212" s="58" t="n">
        <f aca="false">Flights!$D$10</f>
        <v>46310</v>
      </c>
      <c r="E212" s="57" t="str">
        <f aca="false">Flights!$G$10&amp;"-"&amp;Flights!$H$10</f>
        <v>KUL-LHR</v>
      </c>
      <c r="F212" s="57" t="str">
        <f aca="false">Flights!$K$10</f>
        <v>BC</v>
      </c>
      <c r="G212" s="57" t="s">
        <v>459</v>
      </c>
      <c r="H212" s="57" t="s">
        <v>460</v>
      </c>
      <c r="I212" s="57" t="s">
        <v>629</v>
      </c>
      <c r="J212" s="57" t="s">
        <v>657</v>
      </c>
      <c r="K212" s="67" t="s">
        <v>501</v>
      </c>
      <c r="L212" s="67" t="s">
        <v>756</v>
      </c>
      <c r="M212" s="67" t="s">
        <v>187</v>
      </c>
      <c r="N212" s="67" t="s">
        <v>383</v>
      </c>
      <c r="O212" s="67" t="s">
        <v>632</v>
      </c>
      <c r="P212" s="57" t="s">
        <v>187</v>
      </c>
      <c r="Q212" s="59" t="n">
        <f aca="false">ROUND((Flights!$AF$10)*1440,0)/1440</f>
        <v>46310.6388888889</v>
      </c>
      <c r="R212" s="59" t="n">
        <f aca="false">Q212+(IF(AND(INDEX(TZ_DSTS,MATCH(P212,TZ_STN,0))&lt;&gt;"",Q212&gt;=INDEX(TZ_DSTS,MATCH(P212,TZ_STN,0)),Q212&lt;INDEX(TZ_DSTE,MATCH(P212,TZ_STN,0))),INDEX(TZ_DST,MATCH(P212,TZ_STN,0)),INDEX(TZ_STD,MATCH(P212,TZ_STN,0))))/24</f>
        <v>46310.9722222222</v>
      </c>
      <c r="S212" s="60"/>
      <c r="T212" s="60"/>
      <c r="U212" s="60"/>
      <c r="V212" s="60"/>
      <c r="W212" s="61"/>
      <c r="X212" s="60"/>
      <c r="Y212" s="60"/>
      <c r="Z212" s="60"/>
      <c r="AA212" s="60"/>
      <c r="AB212" s="60"/>
      <c r="AC212" s="60"/>
      <c r="AD212" s="66"/>
      <c r="AE212" s="60"/>
      <c r="AF212" s="61" t="str">
        <f aca="false">IF(AND(ISNUMBER(X212),ISNUMBER(Y212)),Y212-X212,"")</f>
        <v/>
      </c>
      <c r="AG212" s="62" t="str">
        <f aca="false">IF(ISNUMBER(AD212),AD212-(IF(AND(INDEX(TZ_DSTS,MATCH(P212,TZ_STN,0))&lt;&gt;"",(AD212-INDEX(TZ_STD,MATCH(P212,TZ_STN,0))/24)&gt;=INDEX(TZ_DSTS,MATCH(P212,TZ_STN,0)),(AD212-INDEX(TZ_STD,MATCH(P212,TZ_STN,0))/24)&lt;INDEX(TZ_DSTE,MATCH(P212,TZ_STN,0))),INDEX(TZ_DST,MATCH(P212,TZ_STN,0)),INDEX(TZ_STD,MATCH(P212,TZ_STN,0))))/24,"")</f>
        <v/>
      </c>
      <c r="AH212" s="65" t="str">
        <f aca="false">IFERROR(IF(N212="N/A – rule",IF(OR(TRIM(U212)="",TRIM(U212)="N/A",TRIM(U212)="Not started"),"N/A – RULE","INVALID – this check does not apply to this aircraft: clear the status (or correct the fleet on Flights)"),IF(TRIM(U212)="N/A",IF(AT212=0,"INVALID – N/A not permitted for this check",IF(AND(TRIM(AB212)&lt;&gt;"",TRIM(AB212)&lt;&gt;"Closed"),"INVALID – corrective action still open",IF(AND(NOT(OR(LEN(AZ212)&lt;15,ISNUMBER(MATCH(AZ212,L_Placeholder,0)))),BK212=0,CG212&gt;=8,NOT(OR(LEN(AU212)&lt;2,ISNUMBER(MATCH(AU212,L_Placeholder,0)))),BR212&gt;=3,NOT(OR(LEN(AX212)&lt;2,ISNUMBER(MATCH(AX212,L_Placeholder,0)))),BS212&gt;=3,TRIM(AE212)&lt;&gt;TRIM(T212),AX212&lt;&gt;AU212,CE212=0),"N/A – JUSTIFIED","INVALID – N/A needs a real, settled reason (not 'not applicable' / 'as above' / TBC), a named PIC and a different named verifier"))),IF(OR(TRIM(U212)="Pass",TRIM(U212)="Pass after CA"),IF(NOT(ISNUMBER(AD212)),"INVALID – completion time missing",IF(OR(OR(LEN(AU212)&lt;2,ISNUMBER(MATCH(AU212,L_Placeholder,0))),BR212&lt;3),"INVALID – PIC missing or not a named person (a role such as QA / CSM is not a name)",IF(OR(LEN(AV212)&lt;2,ISNUMBER(MATCH(AV212,L_Placeholder,0))),"INVALID – result / assessment missing",IF(OR(OR(LEN(AW212)&lt;3,ISNUMBER(MATCH(AW212,L_Placeholder,0))),SUMPRODUCT(--ISNUMBER(SEARCH(" "&amp;L_EvidencePhrase&amp;" ",BD212)))&gt;0,BI212=1),"INVALID – evidence missing, placeholder or not yet on file",IF(ISNA(MATCH(TRIM(S212),L_EvidenceType,0)),"INVALID – choose the evidence type from the list (column S)",IF(BL212=0,"INVALID – evidence ID must be the record's own ID only (e.g. SF-2210, IMG_2231, 1045521); a link / file name needs type 'Link / file path'",IF(OR(OR(LEN(AX212)&lt;2,ISNUMBER(MATCH(AX212,L_Placeholder,0))),BS212&lt;3),"INVALID – verifier missing or not a named person (a role such as QA / CSM is not a name)",IF(OR(AX212=AU212,CE212=1,AND(LEN(AU212)&gt;=4,ISNUMBER(SEARCH(AU212,AX212))),AND(LEN(AX212)&gt;=4,ISNUMBER(SEARCH(AX212,AU212)))),"INVALID – verifier must be a different, named person (not the PIC or a role)",IF(BH212=1,"INVALID – result not yet available (awaiting / TBC)",IF(BG212=1,"INVALID – result describes a problem: record Fail, then Pass after CA (or reword if it is not a problem)",IF(BV212=1,"INVALID – wording says not on board: an on-board confirmation needs the item loaded",IF(AND(AQ212=1,OR(OR(LEN(AY212)&lt;3,ISNUMBER(MATCH(AY212,L_Placeholder,0))),BJ212=1,BQ212=0)),"INVALID – batch ID missing, placeholder or not an ID (e.g. PASB-261008-BC-017)",IF(AND(AR212=1,OR(NOT(ISNUMBER(X212)),NOT(ISNUMBER(Y212)))),"INVALID – expected/actual qty missing",IF(AND(AR212=1,OR(X212&lt;=0,Y212&lt;0)),"INVALID – expected qty must be above 0 and actual not negative",IF(AH196="N/A – JUSTIFIED","INVALID – preparation row F06-T12-21 is N/A",IF(AND(AR212=1,ISNUMBER(X196),X212&lt;&gt;X196,TRIM(U212)&lt;&gt;"Pass after CA"),"INVALID – expected qty differs from preparation check F06-T12-21: record the load change as a corrective action (Pass after CA)",IF(BB212&lt;&gt;"",BB212,IF(AND(AS212=1,Documents!$J$10&lt;&gt;"ON FILE"),"INVALID – GLD not on file (Documents sheet)",IF(AND(AS212=2,Documents!$O$10&lt;&gt;"ON FILE"),"INVALID – menu checklist not on file (Documents sheet)",IF(AND(AS212=3,NOT(ISNUMBER(Flights!$AX$10))),"INVALID – enter carrying flight KUL departure (Flights AX)",IF(AND(AS212=3,OR(Flights!$AZ$10&gt;Flights!$AA$10,Flights!$AX$10&lt;Flights!$AA$10-3)),"INVALID – carrying flight (Flights AX) cannot arrive before this leg's STD, or is over 3 days early",IF(AG212&gt;AsOfUTC,"INVALID – completion time is in the future",IF(AND(ISNUMBER(BY212),AG212&lt;BY212),IF(H212="Physical uplift","INVALID – before uplift window (cannot confirm loading)","INVALID – before valid window"),IF(AG212&gt;Flights!$AA$10,"INVALID – completed after departure (cannot establish readiness)",IF(AND(H212="Preparation",AG212&gt;=IF(ISNUMBER(Flights!$BA$10),MIN(Flights!$BA$10,Flights!$AA$10),Flights!$AA$10)),"INVALID – completed after loading / departure (cannot establish readiness)",IF(AND(H212="Physical uplift",AG212&gt;Q212),"INVALID – recorded after the loading flight departed",IF(AG212&gt;Q212,"COMPLETE – LATE","COMPLETE"))))))))))))))))))))))))))),IF(TRIM(U212)="Fail","FAIL – DISCREPANCY",IF(AND(TRIM(U212)&lt;&gt;"",TRIM(U212)&lt;&gt;"Not started",TRIM(U212)&lt;&gt;"In progress"),"INVALID – unrecognised status (use the list)",IF(AsOfUTC&gt;Q212,"OVERDUE",IF(N212="Clarification required","OPEN – CLARIFICATION","OPEN"))))))),"INVALID – error value in an input cell")</f>
        <v>OPEN</v>
      </c>
      <c r="AI212" s="61" t="n">
        <f aca="false">IF(OR(AH212="N/A – RULE",AH212="N/A – JUSTIFIED"),0,1)</f>
        <v>1</v>
      </c>
      <c r="AJ212" s="61" t="n">
        <f aca="false">IF(LEFT(AH212,8)="COMPLETE",1,0)</f>
        <v>0</v>
      </c>
      <c r="AK212" s="61" t="n">
        <f aca="false">IF(AND(AI212=1,AJ212=0,AsOfUTC&gt;Q212),1,0)</f>
        <v>0</v>
      </c>
      <c r="AL212" s="61" t="n">
        <f aca="false">IFERROR(IF(AND(AI212=1,OR(TRIM(U212)="Fail",AND(TRIM(AB212)&lt;&gt;"",TRIM(AB212)&lt;&gt;"Closed"),AND(ISNUMBER(AF212),AF212&lt;&gt;0,TRIM(U212)&lt;&gt;"Pass after CA"))),1,0),1)</f>
        <v>0</v>
      </c>
      <c r="AM212" s="61" t="n">
        <f aca="false">IF(LEFT(AH212,7)="INVALID",1,0)</f>
        <v>0</v>
      </c>
      <c r="AN212" s="61" t="n">
        <f aca="false">IF(AND(N212="Clarification required",AI212=1,AJ212=0),1,0)</f>
        <v>0</v>
      </c>
      <c r="AO212" s="61" t="str">
        <f aca="false">IF(AK212=1,SUM(AK$5:AK212),"")</f>
        <v/>
      </c>
      <c r="AP212" s="61" t="str">
        <f aca="false">IF(AL212=1,SUM(AL$5:AL212),"")</f>
        <v/>
      </c>
      <c r="AQ212" s="61" t="n">
        <v>0</v>
      </c>
      <c r="AR212" s="61" t="n">
        <v>0</v>
      </c>
      <c r="AS212" s="61" t="n">
        <v>0</v>
      </c>
      <c r="AT212" s="61" t="n">
        <v>0</v>
      </c>
      <c r="AU212" s="61" t="str">
        <f aca="false">SUBSTITUTE(SUBSTITUTE(SUBSTITUTE(SUBSTITUTE(SUBSTITUTE(SUBSTITUTE(SUBSTITUTE(SUBSTITUTE(SUBSTITUTE(SUBSTITUTE(SUBSTITUTE(SUBSTITUTE(SUBSTITUTE(SUBSTITUTE(SUBSTITUTE(SUBSTITUTE(LOWER(T212&amp;""),CHAR(10),""),CHAR(13),""),CHAR(9),""),CHAR(160),"")," ",""),".",""),"-",""),"/",""),"?",""),"_",""),",",""),"[",""),"]",""),"(",""),")",""),"*","")</f>
        <v/>
      </c>
      <c r="AV212" s="61" t="str">
        <f aca="false">SUBSTITUTE(SUBSTITUTE(SUBSTITUTE(SUBSTITUTE(SUBSTITUTE(SUBSTITUTE(SUBSTITUTE(SUBSTITUTE(SUBSTITUTE(SUBSTITUTE(SUBSTITUTE(SUBSTITUTE(SUBSTITUTE(SUBSTITUTE(SUBSTITUTE(SUBSTITUTE(LOWER(V212&amp;""),CHAR(10),""),CHAR(13),""),CHAR(9),""),CHAR(160),"")," ",""),".",""),"-",""),"/",""),"?",""),"_",""),",",""),"[",""),"]",""),"(",""),")",""),"*","")</f>
        <v/>
      </c>
      <c r="AW212" s="61" t="str">
        <f aca="false">SUBSTITUTE(SUBSTITUTE(SUBSTITUTE(SUBSTITUTE(SUBSTITUTE(SUBSTITUTE(SUBSTITUTE(SUBSTITUTE(SUBSTITUTE(SUBSTITUTE(SUBSTITUTE(SUBSTITUTE(SUBSTITUTE(SUBSTITUTE(SUBSTITUTE(SUBSTITUTE(LOWER(Z212&amp;""),CHAR(10),""),CHAR(13),""),CHAR(9),""),CHAR(160),"")," ",""),".",""),"-",""),"/",""),"?",""),"_",""),",",""),"[",""),"]",""),"(",""),")",""),"*","")</f>
        <v/>
      </c>
      <c r="AX212" s="61" t="str">
        <f aca="false">SUBSTITUTE(SUBSTITUTE(SUBSTITUTE(SUBSTITUTE(SUBSTITUTE(SUBSTITUTE(SUBSTITUTE(SUBSTITUTE(SUBSTITUTE(SUBSTITUTE(SUBSTITUTE(SUBSTITUTE(SUBSTITUTE(SUBSTITUTE(SUBSTITUTE(SUBSTITUTE(LOWER(AE212&amp;""),CHAR(10),""),CHAR(13),""),CHAR(9),""),CHAR(160),"")," ",""),".",""),"-",""),"/",""),"?",""),"_",""),",",""),"[",""),"]",""),"(",""),")",""),"*","")</f>
        <v/>
      </c>
      <c r="AY212" s="61" t="str">
        <f aca="false">SUBSTITUTE(SUBSTITUTE(SUBSTITUTE(SUBSTITUTE(SUBSTITUTE(SUBSTITUTE(SUBSTITUTE(SUBSTITUTE(SUBSTITUTE(SUBSTITUTE(SUBSTITUTE(SUBSTITUTE(SUBSTITUTE(SUBSTITUTE(SUBSTITUTE(SUBSTITUTE(LOWER(W212&amp;""),CHAR(10),""),CHAR(13),""),CHAR(9),""),CHAR(160),"")," ",""),".",""),"-",""),"/",""),"?",""),"_",""),",",""),"[",""),"]",""),"(",""),")",""),"*","")</f>
        <v/>
      </c>
      <c r="AZ212" s="61" t="str">
        <f aca="false">SUBSTITUTE(SUBSTITUTE(SUBSTITUTE(SUBSTITUTE(SUBSTITUTE(SUBSTITUTE(SUBSTITUTE(SUBSTITUTE(SUBSTITUTE(SUBSTITUTE(SUBSTITUTE(SUBSTITUTE(SUBSTITUTE(SUBSTITUTE(SUBSTITUTE(SUBSTITUTE(LOWER(AC212&amp;""),CHAR(10),""),CHAR(13),""),CHAR(9),""),CHAR(160),"")," ",""),".",""),"-",""),"/",""),"?",""),"_",""),",",""),"[",""),"]",""),"(",""),")",""),"*","")</f>
        <v/>
      </c>
      <c r="BA212" s="61" t="str">
        <f aca="false">SUBSTITUTE(SUBSTITUTE(SUBSTITUTE(SUBSTITUTE(SUBSTITUTE(SUBSTITUTE(SUBSTITUTE(SUBSTITUTE(SUBSTITUTE(SUBSTITUTE(SUBSTITUTE(SUBSTITUTE(SUBSTITUTE(SUBSTITUTE(SUBSTITUTE(SUBSTITUTE(LOWER(AA212&amp;""),CHAR(10),""),CHAR(13),""),CHAR(9),""),CHAR(160),"")," ",""),".",""),"-",""),"/",""),"?",""),"_",""),",",""),"[",""),"]",""),"(",""),")",""),"*","")</f>
        <v/>
      </c>
      <c r="BB212" s="61" t="str">
        <f aca="false">IF(AND(TRIM(U212)="Pass",ISNUMBER(AF212)),IF(AF212&lt;&gt;0,"INVALID – qty variance: use Fail or Pass after CA",""),"")&amp;IF(AND(TRIM(U212)="Pass after CA",ISNUMBER(AF212)),IF(AF212&lt;&gt;0,"INVALID – after the corrective action the actual qty must equal expected (update Actual)",""),"")&amp;IF(AND(TRIM(U212)="Pass",TRIM(AB212)&lt;&gt;"",TRIM(AB212)&lt;&gt;"Closed"),"INVALID – corrective action not closed: use Fail, then Pass after CA","")&amp;IF(AND(LEN(BA212)&gt;=2,ISNA(MATCH(LEFT(BA212,255),L_Placeholder,0)),TRIM(AB212)=""),"INVALID – CA status missing for the recorded corrective action","")&amp;IF(AND(TRIM(U212)="Pass after CA",OR(OR(LEN(BA212)&lt;5,ISNUMBER(MATCH(BA212,L_Placeholder,0))),TRIM(AB212)&lt;&gt;"Closed")),"INVALID – corrective action not recorded/closed","")</f>
        <v/>
      </c>
      <c r="BC212" s="61" t="str">
        <f aca="false">" "&amp;TRIM(SUBSTITUTE(SUBSTITUTE(SUBSTITUTE(SUBSTITUTE(SUBSTITUTE(SUBSTITUTE(SUBSTITUTE(SUBSTITUTE(SUBSTITUTE(SUBSTITUTE(SUBSTITUTE(SUBSTITUTE(SUBSTITUTE(SUBSTITUTE(SUBSTITUTE(SUBSTITUTE(SUBSTITUTE(SUBSTITUTE(SUBSTITUTE(SUBSTITUTE(SUBSTITUTE(SUBSTITUTE(SUBSTITUTE(SUBSTITUTE(LOWER(V212&amp;""),CHAR(10)," "),CHAR(13)," "),CHAR(9)," "),CHAR(160)," "),"."," "),","," "),"-"," "),"/"," "),"("," "),")"," "),":"," "),";"," "),"_"," "),"–"," "),"?"," "),"!"," "),"*"," "),"["," "),"]"," "),"'"," "),"#"," "),"+"," "),"&amp;"," "),"\"," "))&amp;" "</f>
        <v>  </v>
      </c>
      <c r="BD212" s="61" t="str">
        <f aca="false">" "&amp;TRIM(SUBSTITUTE(SUBSTITUTE(SUBSTITUTE(SUBSTITUTE(SUBSTITUTE(SUBSTITUTE(SUBSTITUTE(SUBSTITUTE(SUBSTITUTE(SUBSTITUTE(SUBSTITUTE(SUBSTITUTE(SUBSTITUTE(SUBSTITUTE(SUBSTITUTE(SUBSTITUTE(SUBSTITUTE(SUBSTITUTE(SUBSTITUTE(SUBSTITUTE(SUBSTITUTE(SUBSTITUTE(SUBSTITUTE(SUBSTITUTE(LOWER(Z212&amp;""),CHAR(10)," "),CHAR(13)," "),CHAR(9)," "),CHAR(160)," "),"."," "),","," "),"-"," "),"/"," "),"("," "),")"," "),":"," "),";"," "),"_"," "),"–"," "),"?"," "),"!"," "),"*"," "),"["," "),"]"," "),"'"," "),"#"," "),"+"," "),"&amp;"," "),"\"," "))&amp;" "</f>
        <v>  </v>
      </c>
      <c r="BE212" s="61" t="str">
        <f aca="false">" "&amp;TRIM(SUBSTITUTE(SUBSTITUTE(SUBSTITUTE(SUBSTITUTE(SUBSTITUTE(SUBSTITUTE(SUBSTITUTE(SUBSTITUTE(SUBSTITUTE(SUBSTITUTE(SUBSTITUTE(SUBSTITUTE(SUBSTITUTE(SUBSTITUTE(SUBSTITUTE(SUBSTITUTE(SUBSTITUTE(SUBSTITUTE(SUBSTITUTE(SUBSTITUTE(SUBSTITUTE(SUBSTITUTE(SUBSTITUTE(SUBSTITUTE(LOWER(W212&amp;""),CHAR(10)," "),CHAR(13)," "),CHAR(9)," "),CHAR(160)," "),"."," "),","," "),"-"," "),"/"," "),"("," "),")"," "),":"," "),";"," "),"_"," "),"–"," "),"?"," "),"!"," "),"*"," "),"["," "),"]"," "),"'"," "),"#"," "),"+"," "),"&amp;"," "),"\"," "))&amp;" "</f>
        <v>  </v>
      </c>
      <c r="BF212" s="61" t="str">
        <f aca="false">" "&amp;TRIM(SUBSTITUTE(SUBSTITUTE(SUBSTITUTE(SUBSTITUTE(SUBSTITUTE(SUBSTITUTE(SUBSTITUTE(SUBSTITUTE(SUBSTITUTE(SUBSTITUTE(SUBSTITUTE(SUBSTITUTE(SUBSTITUTE(SUBSTITUTE(SUBSTITUTE(SUBSTITUTE(SUBSTITUTE(SUBSTITUTE(SUBSTITUTE(SUBSTITUTE(SUBSTITUTE(SUBSTITUTE(SUBSTITUTE(SUBSTITUTE(LOWER(AC212&amp;""),CHAR(10)," "),CHAR(13)," "),CHAR(9)," "),CHAR(160)," "),"."," "),","," "),"-"," "),"/"," "),"("," "),")"," "),":"," "),";"," "),"_"," "),"–"," "),"?"," "),"!"," "),"*"," "),"["," "),"]"," "),"'"," "),"#"," "),"+"," "),"&amp;"," "),"\"," "))&amp;" "</f>
        <v>  </v>
      </c>
      <c r="BG212" s="61" t="n">
        <f aca="false">IFERROR(IF(AND(TRIM(U212)="Pass",SUMPRODUCT((LEN(BC212)-LEN(SUBSTITUTE(BC212," "&amp;L_ResultBad&amp;" "," ")))/(LEN(L_ResultBad)+1))&gt;SUMPRODUCT((LEN(BC212)-LEN(SUBSTITUTE(BC212," "&amp;L_NegPhrase&amp;" "," ")))/(LEN(L_NegPhrase)+1))),1,0),0)</f>
        <v>0</v>
      </c>
      <c r="BH212" s="61" t="n">
        <f aca="false">IFERROR(IF(SUMPRODUCT((LEN(BC212)-LEN(SUBSTITUTE(BC212," "&amp;L_Pending&amp;" "," ")))/(LEN(L_Pending)+1))&gt;SUMPRODUCT((LEN(BC212)-LEN(SUBSTITUTE(BC212," "&amp;L_PendNeg&amp;" "," ")))/(LEN(L_PendNeg)+1)),1,0),1)</f>
        <v>0</v>
      </c>
      <c r="BI212" s="61" t="n">
        <f aca="false">IFERROR(IF(SUMPRODUCT((LEN(BD212)-LEN(SUBSTITUTE(BD212," "&amp;L_PendStrict&amp;" "," ")))/(LEN(L_PendStrict)+1))&gt;SUMPRODUCT((LEN(BD212)-LEN(SUBSTITUTE(BD212," "&amp;L_PendNeg&amp;" "," ")))/(LEN(L_PendNeg)+1)),1,0),1)</f>
        <v>0</v>
      </c>
      <c r="BJ212" s="61" t="n">
        <f aca="false">IFERROR(IF(SUMPRODUCT((LEN(BE212)-LEN(SUBSTITUTE(BE212," "&amp;L_Pending&amp;" "," ")))/(LEN(L_Pending)+1))&gt;SUMPRODUCT((LEN(BE212)-LEN(SUBSTITUTE(BE212," "&amp;L_PendNeg&amp;" "," ")))/(LEN(L_PendNeg)+1)),1,0),1)</f>
        <v>0</v>
      </c>
      <c r="BK212" s="61" t="n">
        <f aca="false">IFERROR(IF(SUMPRODUCT((LEN(BF212)-LEN(SUBSTITUTE(BF212," "&amp;L_PendStrict&amp;" "," ")))/(LEN(L_PendStrict)+1))&gt;SUMPRODUCT((LEN(BF212)-LEN(SUBSTITUTE(BF212," "&amp;L_PendNeg&amp;" "," ")))/(LEN(L_PendNeg)+1)),1,0),1)</f>
        <v>0</v>
      </c>
      <c r="BL212" s="61" t="n">
        <f aca="false">IF(ISNA(MATCH(TRIM(S212),L_EvidenceType,0)),0,BZ212)</f>
        <v>0</v>
      </c>
      <c r="BM212" s="61" t="str">
        <f aca="false">SUBSTITUTE(SUBSTITUTE(SUBSTITUTE(SUBSTITUTE(SUBSTITUTE(SUBSTITUTE(SUBSTITUTE(SUBSTITUTE(SUBSTITUTE(LOWER(Z212&amp;""),"1","0"),"2","0"),"3","0"),"4","0"),"5","0"),"6","0"),"7","0"),"8","0"),"9","0")</f>
        <v/>
      </c>
      <c r="BN212" s="61" t="str">
        <f aca="false">SUBSTITUTE(SUBSTITUTE(SUBSTITUTE(SUBSTITUTE(SUBSTITUTE(SUBSTITUTE(SUBSTITUTE(SUBSTITUTE(SUBSTITUTE(SUBSTITUTE(SUBSTITUTE(SUBSTITUTE(SUBSTITUTE(SUBSTITUTE(SUBSTITUTE(SUBSTITUTE(SUBSTITUTE(SUBSTITUTE(SUBSTITUTE(SUBSTITUTE(SUBSTITUTE(SUBSTITUTE(SUBSTITUTE(SUBSTITUTE(SUBSTITUTE(BM212,"b","a"),"c","a"),"d","a"),"e","a"),"f","a"),"g","a"),"h","a"),"i","a"),"j","a"),"k","a"),"l","a"),"m","a"),"n","a"),"o","a"),"p","a"),"q","a"),"r","a"),"s","a"),"t","a"),"u","a"),"v","a"),"w","a"),"x","a"),"y","a"),"z","a")</f>
        <v/>
      </c>
      <c r="BO212" s="61" t="str">
        <f aca="false">SUBSTITUTE(SUBSTITUTE(SUBSTITUTE(SUBSTITUTE(SUBSTITUTE(SUBSTITUTE(SUBSTITUTE(SUBSTITUTE(SUBSTITUTE(LOWER(W212&amp;""),"1","0"),"2","0"),"3","0"),"4","0"),"5","0"),"6","0"),"7","0"),"8","0"),"9","0")</f>
        <v/>
      </c>
      <c r="BP212" s="61" t="str">
        <f aca="false">SUBSTITUTE(SUBSTITUTE(SUBSTITUTE(SUBSTITUTE(SUBSTITUTE(SUBSTITUTE(SUBSTITUTE(SUBSTITUTE(SUBSTITUTE(SUBSTITUTE(SUBSTITUTE(SUBSTITUTE(SUBSTITUTE(SUBSTITUTE(SUBSTITUTE(SUBSTITUTE(SUBSTITUTE(SUBSTITUTE(SUBSTITUTE(SUBSTITUTE(SUBSTITUTE(SUBSTITUTE(SUBSTITUTE(SUBSTITUTE(SUBSTITUTE(BO212,"b","a"),"c","a"),"d","a"),"e","a"),"f","a"),"g","a"),"h","a"),"i","a"),"j","a"),"k","a"),"l","a"),"m","a"),"n","a"),"o","a"),"p","a"),"q","a"),"r","a"),"s","a"),"t","a"),"u","a"),"v","a"),"w","a"),"x","a"),"y","a"),"z","a")</f>
        <v/>
      </c>
      <c r="BQ212" s="61" t="n">
        <f aca="false">IFERROR(IF(AND(ISERROR(SEARCH(" mh"," "&amp;LOWER(W212))),ISNA(MATCH(LEFT(TRIM(BP212),255),{"0000a","000a","00a","0000aa","000aa","00aa","0aa","0000aaa","000aaa","00a00","0a00","0000-0000","00:00","a00","a0","00.00.0000","00/00/0000","00-00-0000","0000-00-00","0000/00/00","0000.00.00","00.00.00","00/00/00","00-00-00","0.00.0000","0/00/0000","0-00-0000"},0)),ISNA(MATCH(LEFT(TRIM(CA212),255),{"0000a","000a","00a","0000aa","000aa","00aa","0aa","0000aaa","000aaa","00a00","0a00","0000-0000","00:00","a00","a0","00.00.0000","00/00/0000","00-00-0000","0000-00-00","0000/00/00","0000.00.00","00.00.00","00/00/00","00-00-00","0.00.0000","0/00/0000","0-00-0000"},0)),LEN(CB212)&gt;=3,NOT(OR(SUBSTITUTE(CB212,"0","")="",AND(LEN(CB212)&gt;=4,CB212=REPT(LEFT(CB212),LEN(CB212))),ISNUMBER(MATCH(CB212,{"123","1234","12345","123456","1234567","12345678","0123","01234","012345","98765","987654","54321"},0)),AND(LEN(CB212)=8,LEFT(CB212,3)="202"))),OR(AND((LEN(CA212)-LEN(SUBSTITUTE(CA212,"a","")))&gt;=1,SUMPRODUCT(--ISNUMBER(SEARCH({"a0","a-0","a_0","a/0","a.0","a#0","0a","0-a","0_a","0/a"},BP212)))&gt;0),ISNUMBER(SEARCH("000000",BP212)))),1,0),0)</f>
        <v>0</v>
      </c>
      <c r="BR212" s="61" t="n">
        <f aca="false">IFERROR(LEN(SUBSTITUTE(CC212," ",""))-SUMPRODUCT((LEN(CC212)-LEN(SUBSTITUTE(CC212," "&amp;L_Role&amp;" "," ")))/(LEN(L_Role)+1)*LEN(L_Role)),0)</f>
        <v>0</v>
      </c>
      <c r="BS212" s="61" t="n">
        <f aca="false">IFERROR(LEN(SUBSTITUTE(CD212," ",""))-SUMPRODUCT((LEN(CD212)-LEN(SUBSTITUTE(CD212," "&amp;L_Role&amp;" "," ")))/(LEN(L_Role)+1)*LEN(L_Role)),0)</f>
        <v>0</v>
      </c>
      <c r="BT2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212,"revision",""),"version",""),"jan",""),"feb",""),"mar",""),"apr",""),"may",""),"jun",""),"jul",""),"aug",""),"sep",""),"oct",""),"nov",""),"dec",""),"utc",""),"gmt",""),"myt",""),"bst",""),"rev",""),"ver",""),"b","a"),"c","a"),"d","a"),"e","a"),"f","a"),"g","a"),"h","a"),"i","a"),"j","a"),"k","a"),"l","a"),"m","a"),"n","a"),"o","a"),"p","a"),"q","a"),"r","a"),"s","a"),"t","a"),"u","a"),"v","a"),"w","a"),"x","a"),"y","a"),"z","a")</f>
        <v/>
      </c>
      <c r="BU212" s="61" t="str">
        <f aca="false">SUBSTITUTE(SUBSTITUTE(SUBSTITUTE(SUBSTITUTE(SUBSTITUTE(SUBSTITUTE(SUBSTITUTE(SUBSTITUTE(SUBSTITUTE(SUBSTITUTE(LEFT(BM212,FIND("0",BM212&amp;"0")-1),"-",""),"_",""),"/",""),".",""),"#",""),"\\",""),":","")," ",""),"(",""),")","")</f>
        <v/>
      </c>
      <c r="BV212" s="61" t="n">
        <f aca="false">IFERROR(IF(OR(SUMPRODUCT((LEN(BC212)-LEN(SUBSTITUTE(BC212," "&amp;L_NotLoaded&amp;" "," ")))/(LEN(L_NotLoaded)+1))&gt;SUMPRODUCT((LEN(BC212)-LEN(SUBSTITUTE(BC212," "&amp;L_NotLoadedNeg&amp;" "," ")))/(LEN(L_NotLoadedNeg)+1)),SUMPRODUCT((LEN(BD212)-LEN(SUBSTITUTE(BD212," "&amp;L_NotLoaded&amp;" "," ")))/(LEN(L_NotLoaded)+1))&gt;SUMPRODUCT((LEN(BD212)-LEN(SUBSTITUTE(BD212," "&amp;L_NotLoadedNeg&amp;" "," ")))/(LEN(L_NotLoadedNeg)+1))),1,0),0)</f>
        <v>0</v>
      </c>
      <c r="BW2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212&amp;""),"a",""),"b",""),"c",""),"d",""),"e",""),"f",""),"g",""),"h",""),"i",""),"j",""),"k",""),"l",""),"m",""),"n",""),"o",""),"p",""),"q",""),"r",""),"s",""),"t",""),"u",""),"v",""),"w",""),"x",""),"y",""),"z",""),"-",""),"_",""),"/",""),".",""),"#",""),"\\",""),":","")," ",""),"(",""),")","")</f>
        <v/>
      </c>
      <c r="BX212" s="61" t="str">
        <f aca="false">SUBSTITUTE(SUBSTITUTE(SUBSTITUTE(SUBSTITUTE(SUBSTITUTE(SUBSTITUTE(SUBSTITUTE(SUBSTITUTE(SUBSTITUTE(SUBSTITUTE(SUBSTITUTE(BM212,"0",""),"-",""),"_",""),"/",""),".",""),"#",""),"\\",""),":","")," ",""),"(",""),")","")</f>
        <v/>
      </c>
      <c r="BY212" s="62" t="n">
        <f aca="false">IF(ISNUMBER(Flights!$AZ$10),MAX(Q212-UpliftWindowH/24,Flights!$AZ$10),Q212-UpliftWindowH/24)</f>
        <v>46310.3888888889</v>
      </c>
      <c r="BZ212" s="61" t="n">
        <f aca="false">IFERROR(IF(IF(TRIM(S212)="Link / file path",AND(LEN(TRIM(Z212))&gt;=5,SUMPRODUCT(--ISNUMBER(SEARCH({"http","www.","\\",":\",".pdf",".jpg",".jpeg",".png",".heic",".xls",".doc",".msg",".eml",".ppt",".txt",".zip"},Z212)))&gt;0),AND(ISERROR(FIND(" ",TRIM(Z212))),NOT(OR(SUMPRODUCT(--ISNUMBER(FIND({",",";","&amp;","+"},Z212)))&gt;0,SUMPRODUCT(--ISNUMBER(SEARCH({"0/aa","0\\aa"},BN212)))&gt;0)),NOT(SUMPRODUCT(--ISNUMBER(SEARCH({"http","www.","\\",":\",".pdf",".jpg",".jpeg",".png",".heic",".xls",".doc",".msg",".eml",".ppt",".txt",".zip"},Z212)))&gt;0),NOT(LOWER(TRIM(Z212))=LOWER(Flights!$F$10)),ISNA(MATCH(BU212,{"mh","rev","revision","ver","version","v","r","a","b","seat","tray","row","gate","bay","stand","page","pg","item","line","no","cart","galley","flight","flt","table","box","bag","oven","etd","eta","std","sta","atd","ata","qty","pax","x","time","tel","ph","mob","day","wk","week","utc","gmt","myt","lt"},0)),NOT(OR(ISNUMBER(MATCH(LEFT(BN212,255),{"0000a","000a","00a","0000aa","000aa","00aa","0aa","0000aaa","000aaa","00a00","0a00","0000-0000","00:00","a00","a0","00.00.0000","00/00/0000","00-00-0000","0000-00-00","0000/00/00","0000.00.00","00.00.00","00/00/00","00-00-00","0.00.0000","0/00/0000","0-00-0000"},0)),ISNUMBER(MATCH(LEFT(BT212,255),{"0000a","000a","00a","0000aa","000aa","00aa","0aa","0000aaa","000aaa","00a00","0a00","0000-0000","00:00","a00","a0","00.00.0000","00/00/0000","00-00-0000","0000-00-00","0000/00/00","0000.00.00","00.00.00","00/00/00","00-00-00","0.00.0000","0/00/0000","0-00-0000"},0)))),NOT(OR(AND(BW212&lt;&gt;"",SUBSTITUTE(BW212,"0","")=""),AND(LEN(BW212)&gt;=4,BW212=REPT(LEFT(BW212),LEN(BW212))),ISNUMBER(MATCH(BW212,{"123","1234","12345","123456","1234567","12345678","0123","01234","012345","98765","987654","54321"},0)),ISNUMBER(MATCH(BX212,{"x","xx","xxx","xxxx","xxxxx","abc","abcd","nil","na","nan","test","tbc","tba","tbd","dummy","sample","example","eg","zz","zzz","none","null","xyz","qwe","asd","id","ref"},0)),AND(LEN(BW212)=8,BX212="",OR(LEFT(BW212,3)="202",ISNUMBER(MATCH(RIGHT(BW212,4),{"2025","2026","2027"},0)))))),OR(AND((LEN(BT212)-LEN(SUBSTITUTE(BT212,"a","")))&gt;=1,(LEN(BN212)-LEN(SUBSTITUTE(BN212,"0","")))&gt;=2,SUMPRODUCT(--ISNUMBER(SEARCH({"a0","a-0","a_0","a/0","a.0","a#0","0a","0-a","0_a","0/a"},BN212)))&gt;0),AND((LEN(BN212)-LEN(SUBSTITUTE(BN212,"a","")))=0,(LEN(BN212)-LEN(SUBSTITUTE(BN212,"0","")))&gt;=5)))),1,0),0)</f>
        <v>0</v>
      </c>
      <c r="CA2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212,"revision",""),"version",""),"jan",""),"feb",""),"mar",""),"apr",""),"may",""),"jun",""),"jul",""),"aug",""),"sep",""),"oct",""),"nov",""),"dec",""),"utc",""),"gmt",""),"myt",""),"bst",""),"rev",""),"ver",""),"b","a"),"c","a"),"d","a"),"e","a"),"f","a"),"g","a"),"h","a"),"i","a"),"j","a"),"k","a"),"l","a"),"m","a"),"n","a"),"o","a"),"p","a"),"q","a"),"r","a"),"s","a"),"t","a"),"u","a"),"v","a"),"w","a"),"x","a"),"y","a"),"z","a")</f>
        <v/>
      </c>
      <c r="CB2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212&amp;""),"a",""),"b",""),"c",""),"d",""),"e",""),"f",""),"g",""),"h",""),"i",""),"j",""),"k",""),"l",""),"m",""),"n",""),"o",""),"p",""),"q",""),"r",""),"s",""),"t",""),"u",""),"v",""),"w",""),"x",""),"y",""),"z",""),"-",""),"_",""),"/",""),".",""),"#",""),"\\",""),":","")," ",""),"(",""),")","")</f>
        <v/>
      </c>
      <c r="CC212" s="0" t="str">
        <f aca="false">" "&amp;TRIM(SUBSTITUTE(SUBSTITUTE(SUBSTITUTE(SUBSTITUTE(SUBSTITUTE(SUBSTITUTE(SUBSTITUTE(SUBSTITUTE(SUBSTITUTE(SUBSTITUTE(SUBSTITUTE(SUBSTITUTE(SUBSTITUTE(SUBSTITUTE(SUBSTITUTE(SUBSTITUTE(SUBSTITUTE(SUBSTITUTE(SUBSTITUTE(SUBSTITUTE(SUBSTITUTE(SUBSTITUTE(SUBSTITUTE(SUBSTITUTE(LOWER(T212&amp;""),CHAR(10)," "),CHAR(13)," "),CHAR(9)," "),CHAR(160)," "),"."," "),","," "),"-"," "),"/"," "),"("," "),")"," "),":"," "),";"," "),"_"," "),"–"," "),"?"," "),"!"," "),"*"," "),"["," "),"]"," "),"'"," "),"#"," "),"+"," "),"&amp;"," "),"\"," "))&amp;" "</f>
        <v>  </v>
      </c>
      <c r="CD212" s="0" t="str">
        <f aca="false">" "&amp;TRIM(SUBSTITUTE(SUBSTITUTE(SUBSTITUTE(SUBSTITUTE(SUBSTITUTE(SUBSTITUTE(SUBSTITUTE(SUBSTITUTE(SUBSTITUTE(SUBSTITUTE(SUBSTITUTE(SUBSTITUTE(SUBSTITUTE(SUBSTITUTE(SUBSTITUTE(SUBSTITUTE(SUBSTITUTE(SUBSTITUTE(SUBSTITUTE(SUBSTITUTE(SUBSTITUTE(SUBSTITUTE(SUBSTITUTE(SUBSTITUTE(LOWER(AE212&amp;""),CHAR(10)," "),CHAR(13)," "),CHAR(9)," "),CHAR(160)," "),"."," "),","," "),"-"," "),"/"," "),"("," "),")"," "),":"," "),";"," "),"_"," "),"–"," "),"?"," "),"!"," "),"*"," "),"["," "),"]"," "),"'"," "),"#"," "),"+"," "),"&amp;"," "),"\"," "))&amp;" "</f>
        <v>  </v>
      </c>
      <c r="CE212" s="68" t="n">
        <f aca="false">IFERROR(IF(AND(LEN(AU212)&gt;0,LEN(AU212)=LEN(AX212),OR(TRIM(MID(SUBSTITUTE(TRIM(CC212)," ",REPT(" ",60)),1,60))="",ISNUMBER(SEARCH(" "&amp;TRIM(MID(SUBSTITUTE(TRIM(CC212)," ",REPT(" ",60)),1,60))&amp;" ",CD212))),OR(TRIM(MID(SUBSTITUTE(TRIM(CC212)," ",REPT(" ",60)),61,60))="",ISNUMBER(SEARCH(" "&amp;TRIM(MID(SUBSTITUTE(TRIM(CC212)," ",REPT(" ",60)),61,60))&amp;" ",CD212))),OR(TRIM(MID(SUBSTITUTE(TRIM(CC212)," ",REPT(" ",60)),121,60))="",ISNUMBER(SEARCH(" "&amp;TRIM(MID(SUBSTITUTE(TRIM(CC212)," ",REPT(" ",60)),121,60))&amp;" ",CD212)))),1,0),0)</f>
        <v>0</v>
      </c>
      <c r="CG212" s="68" t="n">
        <f aca="false">IFERROR(LEN(SUBSTITUTE(BF212," ",""))-SUMPRODUCT((LEN(BF212)-LEN(SUBSTITUTE(BF212," "&amp;L_NAFiller&amp;" "," ")))/(LEN(L_NAFiller)+1)*LEN(L_NAFiller)),0)</f>
        <v>0</v>
      </c>
    </row>
    <row r="213" customFormat="false" ht="39.75" hidden="false" customHeight="true" outlineLevel="0" collapsed="false">
      <c r="A213" s="57" t="s">
        <v>774</v>
      </c>
      <c r="B213" s="57" t="s">
        <v>235</v>
      </c>
      <c r="C213" s="57" t="str">
        <f aca="false">Flights!$F$11</f>
        <v>MH0003</v>
      </c>
      <c r="D213" s="58" t="n">
        <f aca="false">Flights!$D$11</f>
        <v>46304</v>
      </c>
      <c r="E213" s="57" t="str">
        <f aca="false">Flights!$G$11&amp;"-"&amp;Flights!$H$11</f>
        <v>LHR-KUL</v>
      </c>
      <c r="F213" s="57" t="str">
        <f aca="false">Flights!$K$11</f>
        <v>BC</v>
      </c>
      <c r="G213" s="57" t="s">
        <v>81</v>
      </c>
      <c r="H213" s="57" t="s">
        <v>378</v>
      </c>
      <c r="I213" s="57" t="s">
        <v>379</v>
      </c>
      <c r="J213" s="57" t="s">
        <v>380</v>
      </c>
      <c r="K213" s="67" t="s">
        <v>381</v>
      </c>
      <c r="L213" s="67" t="s">
        <v>382</v>
      </c>
      <c r="M213" s="67"/>
      <c r="N213" s="67" t="s">
        <v>383</v>
      </c>
      <c r="O213" s="67"/>
      <c r="P213" s="57" t="s">
        <v>186</v>
      </c>
      <c r="Q213" s="59" t="n">
        <f aca="false">ROUND((Flights!$AC$11)*1440,0)/1440</f>
        <v>46297.4166666667</v>
      </c>
      <c r="R213" s="59" t="n">
        <f aca="false">Q213+(IF(AND(INDEX(TZ_DSTS,MATCH(P213,TZ_STN,0))&lt;&gt;"",Q213&gt;=INDEX(TZ_DSTS,MATCH(P213,TZ_STN,0)),Q213&lt;INDEX(TZ_DSTE,MATCH(P213,TZ_STN,0))),INDEX(TZ_DST,MATCH(P213,TZ_STN,0)),INDEX(TZ_STD,MATCH(P213,TZ_STN,0))))/24</f>
        <v>46297.4583333333</v>
      </c>
      <c r="S213" s="60"/>
      <c r="T213" s="60"/>
      <c r="U213" s="60"/>
      <c r="V213" s="60"/>
      <c r="W213" s="61"/>
      <c r="X213" s="60"/>
      <c r="Y213" s="60"/>
      <c r="Z213" s="60"/>
      <c r="AA213" s="60"/>
      <c r="AB213" s="60"/>
      <c r="AC213" s="60"/>
      <c r="AD213" s="66"/>
      <c r="AE213" s="60"/>
      <c r="AF213" s="61" t="str">
        <f aca="false">IF(AND(ISNUMBER(X213),ISNUMBER(Y213)),Y213-X213,"")</f>
        <v/>
      </c>
      <c r="AG213" s="62" t="str">
        <f aca="false">IF(ISNUMBER(AD213),AD213-(IF(AND(INDEX(TZ_DSTS,MATCH(P213,TZ_STN,0))&lt;&gt;"",(AD213-INDEX(TZ_STD,MATCH(P213,TZ_STN,0))/24)&gt;=INDEX(TZ_DSTS,MATCH(P213,TZ_STN,0)),(AD213-INDEX(TZ_STD,MATCH(P213,TZ_STN,0))/24)&lt;INDEX(TZ_DSTE,MATCH(P213,TZ_STN,0))),INDEX(TZ_DST,MATCH(P213,TZ_STN,0)),INDEX(TZ_STD,MATCH(P213,TZ_STN,0))))/24,"")</f>
        <v/>
      </c>
      <c r="AH213" s="65" t="str">
        <f aca="false">IFERROR(IF(N213="N/A – rule",IF(OR(TRIM(U213)="",TRIM(U213)="N/A",TRIM(U213)="Not started"),"N/A – RULE","INVALID – this check does not apply to this aircraft: clear the status (or correct the fleet on Flights)"),IF(TRIM(U213)="N/A",IF(AT213=0,"INVALID – N/A not permitted for this check",IF(AND(TRIM(AB213)&lt;&gt;"",TRIM(AB213)&lt;&gt;"Closed"),"INVALID – corrective action still open",IF(AND(NOT(OR(LEN(AZ213)&lt;15,ISNUMBER(MATCH(AZ213,L_Placeholder,0)))),BK213=0,CG213&gt;=8,NOT(OR(LEN(AU213)&lt;2,ISNUMBER(MATCH(AU213,L_Placeholder,0)))),BR213&gt;=3,NOT(OR(LEN(AX213)&lt;2,ISNUMBER(MATCH(AX213,L_Placeholder,0)))),BS213&gt;=3,TRIM(AE213)&lt;&gt;TRIM(T213),AX213&lt;&gt;AU213,CE213=0),"N/A – JUSTIFIED","INVALID – N/A needs a real, settled reason (not 'not applicable' / 'as above' / TBC), a named PIC and a different named verifier"))),IF(OR(TRIM(U213)="Pass",TRIM(U213)="Pass after CA"),IF(NOT(ISNUMBER(AD213)),"INVALID – completion time missing",IF(OR(OR(LEN(AU213)&lt;2,ISNUMBER(MATCH(AU213,L_Placeholder,0))),BR213&lt;3),"INVALID – PIC missing or not a named person (a role such as QA / CSM is not a name)",IF(OR(LEN(AV213)&lt;2,ISNUMBER(MATCH(AV213,L_Placeholder,0))),"INVALID – result / assessment missing",IF(OR(OR(LEN(AW213)&lt;3,ISNUMBER(MATCH(AW213,L_Placeholder,0))),SUMPRODUCT(--ISNUMBER(SEARCH(" "&amp;L_EvidencePhrase&amp;" ",BD213)))&gt;0,BI213=1),"INVALID – evidence missing, placeholder or not yet on file",IF(ISNA(MATCH(TRIM(S213),L_EvidenceType,0)),"INVALID – choose the evidence type from the list (column S)",IF(BL213=0,"INVALID – evidence ID must be the record's own ID only (e.g. SF-2210, IMG_2231, 1045521); a link / file name needs type 'Link / file path'",IF(OR(OR(LEN(AX213)&lt;2,ISNUMBER(MATCH(AX213,L_Placeholder,0))),BS213&lt;3),"INVALID – verifier missing or not a named person (a role such as QA / CSM is not a name)",IF(OR(AX213=AU213,CE213=1,AND(LEN(AU213)&gt;=4,ISNUMBER(SEARCH(AU213,AX213))),AND(LEN(AX213)&gt;=4,ISNUMBER(SEARCH(AX213,AU213)))),"INVALID – verifier must be a different, named person (not the PIC or a role)",IF(BH213=1,"INVALID – result not yet available (awaiting / TBC)",IF(BG213=1,"INVALID – result describes a problem: record Fail, then Pass after CA (or reword if it is not a problem)",IF(BV213=1,"INVALID – wording says not on board: an on-board confirmation needs the item loaded",IF(AND(AQ213=1,OR(OR(LEN(AY213)&lt;3,ISNUMBER(MATCH(AY213,L_Placeholder,0))),BJ213=1,BQ213=0)),"INVALID – batch ID missing, placeholder or not an ID (e.g. PASB-261008-BC-017)",IF(AND(AR213=1,OR(NOT(ISNUMBER(X213)),NOT(ISNUMBER(Y213)))),"INVALID – expected/actual qty missing",IF(AND(AR213=1,OR(X213&lt;=0,Y213&lt;0)),"INVALID – expected qty must be above 0 and actual not negative",IF(BB213&lt;&gt;"",BB213,IF(AND(AS213=1,Documents!$J$11&lt;&gt;"ON FILE"),"INVALID – GLD not on file (Documents sheet)",IF(AND(AS213=2,Documents!$O$11&lt;&gt;"ON FILE"),"INVALID – menu checklist not on file (Documents sheet)",IF(AND(AS213=3,NOT(ISNUMBER(Flights!$AX$11))),"INVALID – enter carrying flight KUL departure (Flights AX)",IF(AND(AS213=3,OR(Flights!$AZ$11&gt;Flights!$AA$11,Flights!$AX$11&lt;Flights!$AA$11-3)),"INVALID – carrying flight (Flights AX) cannot arrive before this leg's STD, or is over 3 days early",IF(AG213&gt;AsOfUTC,"INVALID – completion time is in the future",IF(AND(ISNUMBER(BY213),AG213&lt;BY213),IF(H213="Physical uplift","INVALID – before uplift window (cannot confirm loading)","INVALID – before valid window"),IF(AG213&gt;Flights!$AA$11,"INVALID – completed after departure (cannot establish readiness)",IF(AND(H213="Preparation",AG213&gt;=IF(ISNUMBER(Flights!$BA$11),MIN(Flights!$BA$11,Flights!$AA$11),Flights!$AA$11)),"INVALID – completed after loading / departure (cannot establish readiness)",IF(AND(H213="Physical uplift",AG213&gt;Q213),"INVALID – recorded after the loading flight departed",IF(AG213&gt;Q213,"COMPLETE – LATE","COMPLETE"))))))))))))))))))))))))),IF(TRIM(U213)="Fail","FAIL – DISCREPANCY",IF(AND(TRIM(U213)&lt;&gt;"",TRIM(U213)&lt;&gt;"Not started",TRIM(U213)&lt;&gt;"In progress"),"INVALID – unrecognised status (use the list)",IF(AsOfUTC&gt;Q213,"OVERDUE",IF(N213="Clarification required","OPEN – CLARIFICATION","OPEN"))))))),"INVALID – error value in an input cell")</f>
        <v>OPEN</v>
      </c>
      <c r="AI213" s="61" t="n">
        <f aca="false">IF(OR(AH213="N/A – RULE",AH213="N/A – JUSTIFIED"),0,1)</f>
        <v>1</v>
      </c>
      <c r="AJ213" s="61" t="n">
        <f aca="false">IF(LEFT(AH213,8)="COMPLETE",1,0)</f>
        <v>0</v>
      </c>
      <c r="AK213" s="61" t="n">
        <f aca="false">IF(AND(AI213=1,AJ213=0,AsOfUTC&gt;Q213),1,0)</f>
        <v>0</v>
      </c>
      <c r="AL213" s="61" t="n">
        <f aca="false">IFERROR(IF(AND(AI213=1,OR(TRIM(U213)="Fail",AND(TRIM(AB213)&lt;&gt;"",TRIM(AB213)&lt;&gt;"Closed"),AND(ISNUMBER(AF213),AF213&lt;&gt;0,TRIM(U213)&lt;&gt;"Pass after CA"))),1,0),1)</f>
        <v>0</v>
      </c>
      <c r="AM213" s="61" t="n">
        <f aca="false">IF(LEFT(AH213,7)="INVALID",1,0)</f>
        <v>0</v>
      </c>
      <c r="AN213" s="61" t="n">
        <f aca="false">IF(AND(N213="Clarification required",AI213=1,AJ213=0),1,0)</f>
        <v>0</v>
      </c>
      <c r="AO213" s="61" t="str">
        <f aca="false">IF(AK213=1,SUM(AK$5:AK213),"")</f>
        <v/>
      </c>
      <c r="AP213" s="61" t="str">
        <f aca="false">IF(AL213=1,SUM(AL$5:AL213),"")</f>
        <v/>
      </c>
      <c r="AQ213" s="61" t="n">
        <v>0</v>
      </c>
      <c r="AR213" s="61" t="n">
        <v>0</v>
      </c>
      <c r="AS213" s="61" t="n">
        <v>0</v>
      </c>
      <c r="AT213" s="61" t="n">
        <v>0</v>
      </c>
      <c r="AU213" s="61" t="str">
        <f aca="false">SUBSTITUTE(SUBSTITUTE(SUBSTITUTE(SUBSTITUTE(SUBSTITUTE(SUBSTITUTE(SUBSTITUTE(SUBSTITUTE(SUBSTITUTE(SUBSTITUTE(SUBSTITUTE(SUBSTITUTE(SUBSTITUTE(SUBSTITUTE(SUBSTITUTE(SUBSTITUTE(LOWER(T213&amp;""),CHAR(10),""),CHAR(13),""),CHAR(9),""),CHAR(160),"")," ",""),".",""),"-",""),"/",""),"?",""),"_",""),",",""),"[",""),"]",""),"(",""),")",""),"*","")</f>
        <v/>
      </c>
      <c r="AV213" s="61" t="str">
        <f aca="false">SUBSTITUTE(SUBSTITUTE(SUBSTITUTE(SUBSTITUTE(SUBSTITUTE(SUBSTITUTE(SUBSTITUTE(SUBSTITUTE(SUBSTITUTE(SUBSTITUTE(SUBSTITUTE(SUBSTITUTE(SUBSTITUTE(SUBSTITUTE(SUBSTITUTE(SUBSTITUTE(LOWER(V213&amp;""),CHAR(10),""),CHAR(13),""),CHAR(9),""),CHAR(160),"")," ",""),".",""),"-",""),"/",""),"?",""),"_",""),",",""),"[",""),"]",""),"(",""),")",""),"*","")</f>
        <v/>
      </c>
      <c r="AW213" s="61" t="str">
        <f aca="false">SUBSTITUTE(SUBSTITUTE(SUBSTITUTE(SUBSTITUTE(SUBSTITUTE(SUBSTITUTE(SUBSTITUTE(SUBSTITUTE(SUBSTITUTE(SUBSTITUTE(SUBSTITUTE(SUBSTITUTE(SUBSTITUTE(SUBSTITUTE(SUBSTITUTE(SUBSTITUTE(LOWER(Z213&amp;""),CHAR(10),""),CHAR(13),""),CHAR(9),""),CHAR(160),"")," ",""),".",""),"-",""),"/",""),"?",""),"_",""),",",""),"[",""),"]",""),"(",""),")",""),"*","")</f>
        <v/>
      </c>
      <c r="AX213" s="61" t="str">
        <f aca="false">SUBSTITUTE(SUBSTITUTE(SUBSTITUTE(SUBSTITUTE(SUBSTITUTE(SUBSTITUTE(SUBSTITUTE(SUBSTITUTE(SUBSTITUTE(SUBSTITUTE(SUBSTITUTE(SUBSTITUTE(SUBSTITUTE(SUBSTITUTE(SUBSTITUTE(SUBSTITUTE(LOWER(AE213&amp;""),CHAR(10),""),CHAR(13),""),CHAR(9),""),CHAR(160),"")," ",""),".",""),"-",""),"/",""),"?",""),"_",""),",",""),"[",""),"]",""),"(",""),")",""),"*","")</f>
        <v/>
      </c>
      <c r="AY213" s="61" t="str">
        <f aca="false">SUBSTITUTE(SUBSTITUTE(SUBSTITUTE(SUBSTITUTE(SUBSTITUTE(SUBSTITUTE(SUBSTITUTE(SUBSTITUTE(SUBSTITUTE(SUBSTITUTE(SUBSTITUTE(SUBSTITUTE(SUBSTITUTE(SUBSTITUTE(SUBSTITUTE(SUBSTITUTE(LOWER(W213&amp;""),CHAR(10),""),CHAR(13),""),CHAR(9),""),CHAR(160),"")," ",""),".",""),"-",""),"/",""),"?",""),"_",""),",",""),"[",""),"]",""),"(",""),")",""),"*","")</f>
        <v/>
      </c>
      <c r="AZ213" s="61" t="str">
        <f aca="false">SUBSTITUTE(SUBSTITUTE(SUBSTITUTE(SUBSTITUTE(SUBSTITUTE(SUBSTITUTE(SUBSTITUTE(SUBSTITUTE(SUBSTITUTE(SUBSTITUTE(SUBSTITUTE(SUBSTITUTE(SUBSTITUTE(SUBSTITUTE(SUBSTITUTE(SUBSTITUTE(LOWER(AC213&amp;""),CHAR(10),""),CHAR(13),""),CHAR(9),""),CHAR(160),"")," ",""),".",""),"-",""),"/",""),"?",""),"_",""),",",""),"[",""),"]",""),"(",""),")",""),"*","")</f>
        <v/>
      </c>
      <c r="BA213" s="61" t="str">
        <f aca="false">SUBSTITUTE(SUBSTITUTE(SUBSTITUTE(SUBSTITUTE(SUBSTITUTE(SUBSTITUTE(SUBSTITUTE(SUBSTITUTE(SUBSTITUTE(SUBSTITUTE(SUBSTITUTE(SUBSTITUTE(SUBSTITUTE(SUBSTITUTE(SUBSTITUTE(SUBSTITUTE(LOWER(AA213&amp;""),CHAR(10),""),CHAR(13),""),CHAR(9),""),CHAR(160),"")," ",""),".",""),"-",""),"/",""),"?",""),"_",""),",",""),"[",""),"]",""),"(",""),")",""),"*","")</f>
        <v/>
      </c>
      <c r="BB213" s="61" t="str">
        <f aca="false">IF(AND(TRIM(U213)="Pass",ISNUMBER(AF213)),IF(AF213&lt;&gt;0,"INVALID – qty variance: use Fail or Pass after CA",""),"")&amp;IF(AND(TRIM(U213)="Pass after CA",ISNUMBER(AF213)),IF(AF213&lt;&gt;0,"INVALID – after the corrective action the actual qty must equal expected (update Actual)",""),"")&amp;IF(AND(TRIM(U213)="Pass",TRIM(AB213)&lt;&gt;"",TRIM(AB213)&lt;&gt;"Closed"),"INVALID – corrective action not closed: use Fail, then Pass after CA","")&amp;IF(AND(LEN(BA213)&gt;=2,ISNA(MATCH(LEFT(BA213,255),L_Placeholder,0)),TRIM(AB213)=""),"INVALID – CA status missing for the recorded corrective action","")&amp;IF(AND(TRIM(U213)="Pass after CA",OR(OR(LEN(BA213)&lt;5,ISNUMBER(MATCH(BA213,L_Placeholder,0))),TRIM(AB213)&lt;&gt;"Closed")),"INVALID – corrective action not recorded/closed","")</f>
        <v/>
      </c>
      <c r="BC213" s="61" t="str">
        <f aca="false">" "&amp;TRIM(SUBSTITUTE(SUBSTITUTE(SUBSTITUTE(SUBSTITUTE(SUBSTITUTE(SUBSTITUTE(SUBSTITUTE(SUBSTITUTE(SUBSTITUTE(SUBSTITUTE(SUBSTITUTE(SUBSTITUTE(SUBSTITUTE(SUBSTITUTE(SUBSTITUTE(SUBSTITUTE(SUBSTITUTE(SUBSTITUTE(SUBSTITUTE(SUBSTITUTE(SUBSTITUTE(SUBSTITUTE(SUBSTITUTE(SUBSTITUTE(LOWER(V213&amp;""),CHAR(10)," "),CHAR(13)," "),CHAR(9)," "),CHAR(160)," "),"."," "),","," "),"-"," "),"/"," "),"("," "),")"," "),":"," "),";"," "),"_"," "),"–"," "),"?"," "),"!"," "),"*"," "),"["," "),"]"," "),"'"," "),"#"," "),"+"," "),"&amp;"," "),"\"," "))&amp;" "</f>
        <v>  </v>
      </c>
      <c r="BD213" s="61" t="str">
        <f aca="false">" "&amp;TRIM(SUBSTITUTE(SUBSTITUTE(SUBSTITUTE(SUBSTITUTE(SUBSTITUTE(SUBSTITUTE(SUBSTITUTE(SUBSTITUTE(SUBSTITUTE(SUBSTITUTE(SUBSTITUTE(SUBSTITUTE(SUBSTITUTE(SUBSTITUTE(SUBSTITUTE(SUBSTITUTE(SUBSTITUTE(SUBSTITUTE(SUBSTITUTE(SUBSTITUTE(SUBSTITUTE(SUBSTITUTE(SUBSTITUTE(SUBSTITUTE(LOWER(Z213&amp;""),CHAR(10)," "),CHAR(13)," "),CHAR(9)," "),CHAR(160)," "),"."," "),","," "),"-"," "),"/"," "),"("," "),")"," "),":"," "),";"," "),"_"," "),"–"," "),"?"," "),"!"," "),"*"," "),"["," "),"]"," "),"'"," "),"#"," "),"+"," "),"&amp;"," "),"\"," "))&amp;" "</f>
        <v>  </v>
      </c>
      <c r="BE213" s="61" t="str">
        <f aca="false">" "&amp;TRIM(SUBSTITUTE(SUBSTITUTE(SUBSTITUTE(SUBSTITUTE(SUBSTITUTE(SUBSTITUTE(SUBSTITUTE(SUBSTITUTE(SUBSTITUTE(SUBSTITUTE(SUBSTITUTE(SUBSTITUTE(SUBSTITUTE(SUBSTITUTE(SUBSTITUTE(SUBSTITUTE(SUBSTITUTE(SUBSTITUTE(SUBSTITUTE(SUBSTITUTE(SUBSTITUTE(SUBSTITUTE(SUBSTITUTE(SUBSTITUTE(LOWER(W213&amp;""),CHAR(10)," "),CHAR(13)," "),CHAR(9)," "),CHAR(160)," "),"."," "),","," "),"-"," "),"/"," "),"("," "),")"," "),":"," "),";"," "),"_"," "),"–"," "),"?"," "),"!"," "),"*"," "),"["," "),"]"," "),"'"," "),"#"," "),"+"," "),"&amp;"," "),"\"," "))&amp;" "</f>
        <v>  </v>
      </c>
      <c r="BF213" s="61" t="str">
        <f aca="false">" "&amp;TRIM(SUBSTITUTE(SUBSTITUTE(SUBSTITUTE(SUBSTITUTE(SUBSTITUTE(SUBSTITUTE(SUBSTITUTE(SUBSTITUTE(SUBSTITUTE(SUBSTITUTE(SUBSTITUTE(SUBSTITUTE(SUBSTITUTE(SUBSTITUTE(SUBSTITUTE(SUBSTITUTE(SUBSTITUTE(SUBSTITUTE(SUBSTITUTE(SUBSTITUTE(SUBSTITUTE(SUBSTITUTE(SUBSTITUTE(SUBSTITUTE(LOWER(AC213&amp;""),CHAR(10)," "),CHAR(13)," "),CHAR(9)," "),CHAR(160)," "),"."," "),","," "),"-"," "),"/"," "),"("," "),")"," "),":"," "),";"," "),"_"," "),"–"," "),"?"," "),"!"," "),"*"," "),"["," "),"]"," "),"'"," "),"#"," "),"+"," "),"&amp;"," "),"\"," "))&amp;" "</f>
        <v>  </v>
      </c>
      <c r="BG213" s="61" t="n">
        <f aca="false">IFERROR(IF(AND(TRIM(U213)="Pass",SUMPRODUCT((LEN(BC213)-LEN(SUBSTITUTE(BC213," "&amp;L_ResultBad&amp;" "," ")))/(LEN(L_ResultBad)+1))&gt;SUMPRODUCT((LEN(BC213)-LEN(SUBSTITUTE(BC213," "&amp;L_NegPhrase&amp;" "," ")))/(LEN(L_NegPhrase)+1))),1,0),0)</f>
        <v>0</v>
      </c>
      <c r="BH213" s="61" t="n">
        <f aca="false">IFERROR(IF(SUMPRODUCT((LEN(BC213)-LEN(SUBSTITUTE(BC213," "&amp;L_Pending&amp;" "," ")))/(LEN(L_Pending)+1))&gt;SUMPRODUCT((LEN(BC213)-LEN(SUBSTITUTE(BC213," "&amp;L_PendNeg&amp;" "," ")))/(LEN(L_PendNeg)+1))+SUMPRODUCT((LEN(BC213)-LEN(SUBSTITUTE(BC213," "&amp;L_PendPrep&amp;" "," ")))/(LEN(L_PendPrep)+1)),1,0),1)</f>
        <v>0</v>
      </c>
      <c r="BI213" s="61" t="n">
        <f aca="false">IFERROR(IF(SUMPRODUCT((LEN(BD213)-LEN(SUBSTITUTE(BD213," "&amp;L_PendStrict&amp;" "," ")))/(LEN(L_PendStrict)+1))&gt;SUMPRODUCT((LEN(BD213)-LEN(SUBSTITUTE(BD213," "&amp;L_PendNeg&amp;" "," ")))/(LEN(L_PendNeg)+1)),1,0),1)</f>
        <v>0</v>
      </c>
      <c r="BJ213" s="61" t="n">
        <f aca="false">IFERROR(IF(SUMPRODUCT((LEN(BE213)-LEN(SUBSTITUTE(BE213," "&amp;L_Pending&amp;" "," ")))/(LEN(L_Pending)+1))&gt;SUMPRODUCT((LEN(BE213)-LEN(SUBSTITUTE(BE213," "&amp;L_PendNeg&amp;" "," ")))/(LEN(L_PendNeg)+1))+SUMPRODUCT((LEN(BE213)-LEN(SUBSTITUTE(BE213," "&amp;L_PendPrep&amp;" "," ")))/(LEN(L_PendPrep)+1)),1,0),1)</f>
        <v>0</v>
      </c>
      <c r="BK213" s="61" t="n">
        <f aca="false">IFERROR(IF(SUMPRODUCT((LEN(BF213)-LEN(SUBSTITUTE(BF213," "&amp;L_PendStrict&amp;" "," ")))/(LEN(L_PendStrict)+1))&gt;SUMPRODUCT((LEN(BF213)-LEN(SUBSTITUTE(BF213," "&amp;L_PendNeg&amp;" "," ")))/(LEN(L_PendNeg)+1)),1,0),1)</f>
        <v>0</v>
      </c>
      <c r="BL213" s="61" t="n">
        <f aca="false">IF(ISNA(MATCH(TRIM(S213),L_EvidenceType,0)),0,BZ213)</f>
        <v>0</v>
      </c>
      <c r="BM213" s="61" t="str">
        <f aca="false">SUBSTITUTE(SUBSTITUTE(SUBSTITUTE(SUBSTITUTE(SUBSTITUTE(SUBSTITUTE(SUBSTITUTE(SUBSTITUTE(SUBSTITUTE(LOWER(Z213&amp;""),"1","0"),"2","0"),"3","0"),"4","0"),"5","0"),"6","0"),"7","0"),"8","0"),"9","0")</f>
        <v/>
      </c>
      <c r="BN213" s="61" t="str">
        <f aca="false">SUBSTITUTE(SUBSTITUTE(SUBSTITUTE(SUBSTITUTE(SUBSTITUTE(SUBSTITUTE(SUBSTITUTE(SUBSTITUTE(SUBSTITUTE(SUBSTITUTE(SUBSTITUTE(SUBSTITUTE(SUBSTITUTE(SUBSTITUTE(SUBSTITUTE(SUBSTITUTE(SUBSTITUTE(SUBSTITUTE(SUBSTITUTE(SUBSTITUTE(SUBSTITUTE(SUBSTITUTE(SUBSTITUTE(SUBSTITUTE(SUBSTITUTE(BM213,"b","a"),"c","a"),"d","a"),"e","a"),"f","a"),"g","a"),"h","a"),"i","a"),"j","a"),"k","a"),"l","a"),"m","a"),"n","a"),"o","a"),"p","a"),"q","a"),"r","a"),"s","a"),"t","a"),"u","a"),"v","a"),"w","a"),"x","a"),"y","a"),"z","a")</f>
        <v/>
      </c>
      <c r="BO213" s="61" t="str">
        <f aca="false">SUBSTITUTE(SUBSTITUTE(SUBSTITUTE(SUBSTITUTE(SUBSTITUTE(SUBSTITUTE(SUBSTITUTE(SUBSTITUTE(SUBSTITUTE(LOWER(W213&amp;""),"1","0"),"2","0"),"3","0"),"4","0"),"5","0"),"6","0"),"7","0"),"8","0"),"9","0")</f>
        <v/>
      </c>
      <c r="BP213" s="61" t="str">
        <f aca="false">SUBSTITUTE(SUBSTITUTE(SUBSTITUTE(SUBSTITUTE(SUBSTITUTE(SUBSTITUTE(SUBSTITUTE(SUBSTITUTE(SUBSTITUTE(SUBSTITUTE(SUBSTITUTE(SUBSTITUTE(SUBSTITUTE(SUBSTITUTE(SUBSTITUTE(SUBSTITUTE(SUBSTITUTE(SUBSTITUTE(SUBSTITUTE(SUBSTITUTE(SUBSTITUTE(SUBSTITUTE(SUBSTITUTE(SUBSTITUTE(SUBSTITUTE(BO213,"b","a"),"c","a"),"d","a"),"e","a"),"f","a"),"g","a"),"h","a"),"i","a"),"j","a"),"k","a"),"l","a"),"m","a"),"n","a"),"o","a"),"p","a"),"q","a"),"r","a"),"s","a"),"t","a"),"u","a"),"v","a"),"w","a"),"x","a"),"y","a"),"z","a")</f>
        <v/>
      </c>
      <c r="BQ213" s="61" t="n">
        <f aca="false">IFERROR(IF(AND(ISERROR(SEARCH(" mh"," "&amp;LOWER(W213))),ISNA(MATCH(LEFT(TRIM(BP213),255),{"0000a","000a","00a","0000aa","000aa","00aa","0aa","0000aaa","000aaa","00a00","0a00","0000-0000","00:00","a00","a0","00.00.0000","00/00/0000","00-00-0000","0000-00-00","0000/00/00","0000.00.00","00.00.00","00/00/00","00-00-00","0.00.0000","0/00/0000","0-00-0000"},0)),ISNA(MATCH(LEFT(TRIM(CA213),255),{"0000a","000a","00a","0000aa","000aa","00aa","0aa","0000aaa","000aaa","00a00","0a00","0000-0000","00:00","a00","a0","00.00.0000","00/00/0000","00-00-0000","0000-00-00","0000/00/00","0000.00.00","00.00.00","00/00/00","00-00-00","0.00.0000","0/00/0000","0-00-0000"},0)),LEN(CB213)&gt;=3,NOT(OR(SUBSTITUTE(CB213,"0","")="",AND(LEN(CB213)&gt;=4,CB213=REPT(LEFT(CB213),LEN(CB213))),ISNUMBER(MATCH(CB213,{"123","1234","12345","123456","1234567","12345678","0123","01234","012345","98765","987654","54321"},0)),AND(LEN(CB213)=8,LEFT(CB213,3)="202"))),OR(AND((LEN(CA213)-LEN(SUBSTITUTE(CA213,"a","")))&gt;=1,SUMPRODUCT(--ISNUMBER(SEARCH({"a0","a-0","a_0","a/0","a.0","a#0","0a","0-a","0_a","0/a"},BP213)))&gt;0),ISNUMBER(SEARCH("000000",BP213)))),1,0),0)</f>
        <v>0</v>
      </c>
      <c r="BR213" s="61" t="n">
        <f aca="false">IFERROR(LEN(SUBSTITUTE(CC213," ",""))-SUMPRODUCT((LEN(CC213)-LEN(SUBSTITUTE(CC213," "&amp;L_Role&amp;" "," ")))/(LEN(L_Role)+1)*LEN(L_Role)),0)</f>
        <v>0</v>
      </c>
      <c r="BS213" s="61" t="n">
        <f aca="false">IFERROR(LEN(SUBSTITUTE(CD213," ",""))-SUMPRODUCT((LEN(CD213)-LEN(SUBSTITUTE(CD213," "&amp;L_Role&amp;" "," ")))/(LEN(L_Role)+1)*LEN(L_Role)),0)</f>
        <v>0</v>
      </c>
      <c r="BT2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213,"revision",""),"version",""),"jan",""),"feb",""),"mar",""),"apr",""),"may",""),"jun",""),"jul",""),"aug",""),"sep",""),"oct",""),"nov",""),"dec",""),"utc",""),"gmt",""),"myt",""),"bst",""),"rev",""),"ver",""),"b","a"),"c","a"),"d","a"),"e","a"),"f","a"),"g","a"),"h","a"),"i","a"),"j","a"),"k","a"),"l","a"),"m","a"),"n","a"),"o","a"),"p","a"),"q","a"),"r","a"),"s","a"),"t","a"),"u","a"),"v","a"),"w","a"),"x","a"),"y","a"),"z","a")</f>
        <v/>
      </c>
      <c r="BU213" s="61" t="str">
        <f aca="false">SUBSTITUTE(SUBSTITUTE(SUBSTITUTE(SUBSTITUTE(SUBSTITUTE(SUBSTITUTE(SUBSTITUTE(SUBSTITUTE(SUBSTITUTE(SUBSTITUTE(LEFT(BM213,FIND("0",BM213&amp;"0")-1),"-",""),"_",""),"/",""),".",""),"#",""),"\\",""),":","")," ",""),"(",""),")","")</f>
        <v/>
      </c>
      <c r="BV213" s="61" t="n">
        <f aca="false">0</f>
        <v>0</v>
      </c>
      <c r="BW2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213&amp;""),"a",""),"b",""),"c",""),"d",""),"e",""),"f",""),"g",""),"h",""),"i",""),"j",""),"k",""),"l",""),"m",""),"n",""),"o",""),"p",""),"q",""),"r",""),"s",""),"t",""),"u",""),"v",""),"w",""),"x",""),"y",""),"z",""),"-",""),"_",""),"/",""),".",""),"#",""),"\\",""),":","")," ",""),"(",""),")","")</f>
        <v/>
      </c>
      <c r="BX213" s="61" t="str">
        <f aca="false">SUBSTITUTE(SUBSTITUTE(SUBSTITUTE(SUBSTITUTE(SUBSTITUTE(SUBSTITUTE(SUBSTITUTE(SUBSTITUTE(SUBSTITUTE(SUBSTITUTE(SUBSTITUTE(BM213,"0",""),"-",""),"_",""),"/",""),".",""),"#",""),"\\",""),":","")," ",""),"(",""),")","")</f>
        <v/>
      </c>
      <c r="BY213" s="62" t="n">
        <f aca="false">Q213-T7EarlyD*24/24</f>
        <v>46283.4166666667</v>
      </c>
      <c r="BZ213" s="61" t="n">
        <f aca="false">IFERROR(IF(IF(TRIM(S213)="Link / file path",AND(LEN(TRIM(Z213))&gt;=5,SUMPRODUCT(--ISNUMBER(SEARCH({"http","www.","\\",":\",".pdf",".jpg",".jpeg",".png",".heic",".xls",".doc",".msg",".eml",".ppt",".txt",".zip"},Z213)))&gt;0),AND(ISERROR(FIND(" ",TRIM(Z213))),NOT(OR(SUMPRODUCT(--ISNUMBER(FIND({",",";","&amp;","+"},Z213)))&gt;0,SUMPRODUCT(--ISNUMBER(SEARCH({"0/aa","0\\aa"},BN213)))&gt;0)),NOT(SUMPRODUCT(--ISNUMBER(SEARCH({"http","www.","\\",":\",".pdf",".jpg",".jpeg",".png",".heic",".xls",".doc",".msg",".eml",".ppt",".txt",".zip"},Z213)))&gt;0),NOT(LOWER(TRIM(Z213))=LOWER(Flights!$F$11)),ISNA(MATCH(BU213,{"mh","rev","revision","ver","version","v","r","a","b","seat","tray","row","gate","bay","stand","page","pg","item","line","no","cart","galley","flight","flt","table","box","bag","oven","etd","eta","std","sta","atd","ata","qty","pax","x","time","tel","ph","mob","day","wk","week","utc","gmt","myt","lt"},0)),NOT(OR(ISNUMBER(MATCH(LEFT(BN213,255),{"0000a","000a","00a","0000aa","000aa","00aa","0aa","0000aaa","000aaa","00a00","0a00","0000-0000","00:00","a00","a0","00.00.0000","00/00/0000","00-00-0000","0000-00-00","0000/00/00","0000.00.00","00.00.00","00/00/00","00-00-00","0.00.0000","0/00/0000","0-00-0000"},0)),ISNUMBER(MATCH(LEFT(BT213,255),{"0000a","000a","00a","0000aa","000aa","00aa","0aa","0000aaa","000aaa","00a00","0a00","0000-0000","00:00","a00","a0","00.00.0000","00/00/0000","00-00-0000","0000-00-00","0000/00/00","0000.00.00","00.00.00","00/00/00","00-00-00","0.00.0000","0/00/0000","0-00-0000"},0)))),NOT(OR(AND(BW213&lt;&gt;"",SUBSTITUTE(BW213,"0","")=""),AND(LEN(BW213)&gt;=4,BW213=REPT(LEFT(BW213),LEN(BW213))),ISNUMBER(MATCH(BW213,{"123","1234","12345","123456","1234567","12345678","0123","01234","012345","98765","987654","54321"},0)),ISNUMBER(MATCH(BX213,{"x","xx","xxx","xxxx","xxxxx","abc","abcd","nil","na","nan","test","tbc","tba","tbd","dummy","sample","example","eg","zz","zzz","none","null","xyz","qwe","asd","id","ref"},0)),AND(LEN(BW213)=8,BX213="",OR(LEFT(BW213,3)="202",ISNUMBER(MATCH(RIGHT(BW213,4),{"2025","2026","2027"},0)))))),OR(AND((LEN(BT213)-LEN(SUBSTITUTE(BT213,"a","")))&gt;=1,(LEN(BN213)-LEN(SUBSTITUTE(BN213,"0","")))&gt;=2,SUMPRODUCT(--ISNUMBER(SEARCH({"a0","a-0","a_0","a/0","a.0","a#0","0a","0-a","0_a","0/a"},BN213)))&gt;0),AND((LEN(BN213)-LEN(SUBSTITUTE(BN213,"a","")))=0,(LEN(BN213)-LEN(SUBSTITUTE(BN213,"0","")))&gt;=5)))),1,0),0)</f>
        <v>0</v>
      </c>
      <c r="CA2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213,"revision",""),"version",""),"jan",""),"feb",""),"mar",""),"apr",""),"may",""),"jun",""),"jul",""),"aug",""),"sep",""),"oct",""),"nov",""),"dec",""),"utc",""),"gmt",""),"myt",""),"bst",""),"rev",""),"ver",""),"b","a"),"c","a"),"d","a"),"e","a"),"f","a"),"g","a"),"h","a"),"i","a"),"j","a"),"k","a"),"l","a"),"m","a"),"n","a"),"o","a"),"p","a"),"q","a"),"r","a"),"s","a"),"t","a"),"u","a"),"v","a"),"w","a"),"x","a"),"y","a"),"z","a")</f>
        <v/>
      </c>
      <c r="CB2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213&amp;""),"a",""),"b",""),"c",""),"d",""),"e",""),"f",""),"g",""),"h",""),"i",""),"j",""),"k",""),"l",""),"m",""),"n",""),"o",""),"p",""),"q",""),"r",""),"s",""),"t",""),"u",""),"v",""),"w",""),"x",""),"y",""),"z",""),"-",""),"_",""),"/",""),".",""),"#",""),"\\",""),":","")," ",""),"(",""),")","")</f>
        <v/>
      </c>
      <c r="CC213" s="0" t="str">
        <f aca="false">" "&amp;TRIM(SUBSTITUTE(SUBSTITUTE(SUBSTITUTE(SUBSTITUTE(SUBSTITUTE(SUBSTITUTE(SUBSTITUTE(SUBSTITUTE(SUBSTITUTE(SUBSTITUTE(SUBSTITUTE(SUBSTITUTE(SUBSTITUTE(SUBSTITUTE(SUBSTITUTE(SUBSTITUTE(SUBSTITUTE(SUBSTITUTE(SUBSTITUTE(SUBSTITUTE(SUBSTITUTE(SUBSTITUTE(SUBSTITUTE(SUBSTITUTE(LOWER(T213&amp;""),CHAR(10)," "),CHAR(13)," "),CHAR(9)," "),CHAR(160)," "),"."," "),","," "),"-"," "),"/"," "),"("," "),")"," "),":"," "),";"," "),"_"," "),"–"," "),"?"," "),"!"," "),"*"," "),"["," "),"]"," "),"'"," "),"#"," "),"+"," "),"&amp;"," "),"\"," "))&amp;" "</f>
        <v>  </v>
      </c>
      <c r="CD213" s="0" t="str">
        <f aca="false">" "&amp;TRIM(SUBSTITUTE(SUBSTITUTE(SUBSTITUTE(SUBSTITUTE(SUBSTITUTE(SUBSTITUTE(SUBSTITUTE(SUBSTITUTE(SUBSTITUTE(SUBSTITUTE(SUBSTITUTE(SUBSTITUTE(SUBSTITUTE(SUBSTITUTE(SUBSTITUTE(SUBSTITUTE(SUBSTITUTE(SUBSTITUTE(SUBSTITUTE(SUBSTITUTE(SUBSTITUTE(SUBSTITUTE(SUBSTITUTE(SUBSTITUTE(LOWER(AE213&amp;""),CHAR(10)," "),CHAR(13)," "),CHAR(9)," "),CHAR(160)," "),"."," "),","," "),"-"," "),"/"," "),"("," "),")"," "),":"," "),";"," "),"_"," "),"–"," "),"?"," "),"!"," "),"*"," "),"["," "),"]"," "),"'"," "),"#"," "),"+"," "),"&amp;"," "),"\"," "))&amp;" "</f>
        <v>  </v>
      </c>
      <c r="CE213" s="68" t="n">
        <f aca="false">IFERROR(IF(AND(LEN(AU213)&gt;0,LEN(AU213)=LEN(AX213),OR(TRIM(MID(SUBSTITUTE(TRIM(CC213)," ",REPT(" ",60)),1,60))="",ISNUMBER(SEARCH(" "&amp;TRIM(MID(SUBSTITUTE(TRIM(CC213)," ",REPT(" ",60)),1,60))&amp;" ",CD213))),OR(TRIM(MID(SUBSTITUTE(TRIM(CC213)," ",REPT(" ",60)),61,60))="",ISNUMBER(SEARCH(" "&amp;TRIM(MID(SUBSTITUTE(TRIM(CC213)," ",REPT(" ",60)),61,60))&amp;" ",CD213))),OR(TRIM(MID(SUBSTITUTE(TRIM(CC213)," ",REPT(" ",60)),121,60))="",ISNUMBER(SEARCH(" "&amp;TRIM(MID(SUBSTITUTE(TRIM(CC213)," ",REPT(" ",60)),121,60))&amp;" ",CD213)))),1,0),0)</f>
        <v>0</v>
      </c>
      <c r="CG213" s="68" t="n">
        <f aca="false">IFERROR(LEN(SUBSTITUTE(BF213," ",""))-SUMPRODUCT((LEN(BF213)-LEN(SUBSTITUTE(BF213," "&amp;L_NAFiller&amp;" "," ")))/(LEN(L_NAFiller)+1)*LEN(L_NAFiller)),0)</f>
        <v>0</v>
      </c>
    </row>
    <row r="214" customFormat="false" ht="39.75" hidden="false" customHeight="true" outlineLevel="0" collapsed="false">
      <c r="A214" s="57" t="s">
        <v>775</v>
      </c>
      <c r="B214" s="57" t="s">
        <v>235</v>
      </c>
      <c r="C214" s="57" t="str">
        <f aca="false">Flights!$F$11</f>
        <v>MH0003</v>
      </c>
      <c r="D214" s="58" t="n">
        <f aca="false">Flights!$D$11</f>
        <v>46304</v>
      </c>
      <c r="E214" s="57" t="str">
        <f aca="false">Flights!$G$11&amp;"-"&amp;Flights!$H$11</f>
        <v>LHR-KUL</v>
      </c>
      <c r="F214" s="57" t="str">
        <f aca="false">Flights!$K$11</f>
        <v>BC</v>
      </c>
      <c r="G214" s="57" t="s">
        <v>81</v>
      </c>
      <c r="H214" s="57" t="s">
        <v>378</v>
      </c>
      <c r="I214" s="57" t="s">
        <v>385</v>
      </c>
      <c r="J214" s="57" t="s">
        <v>386</v>
      </c>
      <c r="K214" s="67" t="s">
        <v>387</v>
      </c>
      <c r="L214" s="67" t="s">
        <v>382</v>
      </c>
      <c r="M214" s="67"/>
      <c r="N214" s="67" t="s">
        <v>383</v>
      </c>
      <c r="O214" s="67"/>
      <c r="P214" s="57" t="s">
        <v>186</v>
      </c>
      <c r="Q214" s="59" t="n">
        <f aca="false">ROUND((Flights!$AC$11)*1440,0)/1440</f>
        <v>46297.4166666667</v>
      </c>
      <c r="R214" s="59" t="n">
        <f aca="false">Q214+(IF(AND(INDEX(TZ_DSTS,MATCH(P214,TZ_STN,0))&lt;&gt;"",Q214&gt;=INDEX(TZ_DSTS,MATCH(P214,TZ_STN,0)),Q214&lt;INDEX(TZ_DSTE,MATCH(P214,TZ_STN,0))),INDEX(TZ_DST,MATCH(P214,TZ_STN,0)),INDEX(TZ_STD,MATCH(P214,TZ_STN,0))))/24</f>
        <v>46297.4583333333</v>
      </c>
      <c r="S214" s="60"/>
      <c r="T214" s="60"/>
      <c r="U214" s="60"/>
      <c r="V214" s="60"/>
      <c r="W214" s="61"/>
      <c r="X214" s="60"/>
      <c r="Y214" s="60"/>
      <c r="Z214" s="60"/>
      <c r="AA214" s="60"/>
      <c r="AB214" s="60"/>
      <c r="AC214" s="60"/>
      <c r="AD214" s="66"/>
      <c r="AE214" s="60"/>
      <c r="AF214" s="61" t="str">
        <f aca="false">IF(AND(ISNUMBER(X214),ISNUMBER(Y214)),Y214-X214,"")</f>
        <v/>
      </c>
      <c r="AG214" s="62" t="str">
        <f aca="false">IF(ISNUMBER(AD214),AD214-(IF(AND(INDEX(TZ_DSTS,MATCH(P214,TZ_STN,0))&lt;&gt;"",(AD214-INDEX(TZ_STD,MATCH(P214,TZ_STN,0))/24)&gt;=INDEX(TZ_DSTS,MATCH(P214,TZ_STN,0)),(AD214-INDEX(TZ_STD,MATCH(P214,TZ_STN,0))/24)&lt;INDEX(TZ_DSTE,MATCH(P214,TZ_STN,0))),INDEX(TZ_DST,MATCH(P214,TZ_STN,0)),INDEX(TZ_STD,MATCH(P214,TZ_STN,0))))/24,"")</f>
        <v/>
      </c>
      <c r="AH214" s="65" t="str">
        <f aca="false">IFERROR(IF(N214="N/A – rule",IF(OR(TRIM(U214)="",TRIM(U214)="N/A",TRIM(U214)="Not started"),"N/A – RULE","INVALID – this check does not apply to this aircraft: clear the status (or correct the fleet on Flights)"),IF(TRIM(U214)="N/A",IF(AT214=0,"INVALID – N/A not permitted for this check",IF(AND(TRIM(AB214)&lt;&gt;"",TRIM(AB214)&lt;&gt;"Closed"),"INVALID – corrective action still open",IF(AND(NOT(OR(LEN(AZ214)&lt;15,ISNUMBER(MATCH(AZ214,L_Placeholder,0)))),BK214=0,CG214&gt;=8,NOT(OR(LEN(AU214)&lt;2,ISNUMBER(MATCH(AU214,L_Placeholder,0)))),BR214&gt;=3,NOT(OR(LEN(AX214)&lt;2,ISNUMBER(MATCH(AX214,L_Placeholder,0)))),BS214&gt;=3,TRIM(AE214)&lt;&gt;TRIM(T214),AX214&lt;&gt;AU214,CE214=0),"N/A – JUSTIFIED","INVALID – N/A needs a real, settled reason (not 'not applicable' / 'as above' / TBC), a named PIC and a different named verifier"))),IF(OR(TRIM(U214)="Pass",TRIM(U214)="Pass after CA"),IF(NOT(ISNUMBER(AD214)),"INVALID – completion time missing",IF(OR(OR(LEN(AU214)&lt;2,ISNUMBER(MATCH(AU214,L_Placeholder,0))),BR214&lt;3),"INVALID – PIC missing or not a named person (a role such as QA / CSM is not a name)",IF(OR(LEN(AV214)&lt;2,ISNUMBER(MATCH(AV214,L_Placeholder,0))),"INVALID – result / assessment missing",IF(OR(OR(LEN(AW214)&lt;3,ISNUMBER(MATCH(AW214,L_Placeholder,0))),SUMPRODUCT(--ISNUMBER(SEARCH(" "&amp;L_EvidencePhrase&amp;" ",BD214)))&gt;0,BI214=1),"INVALID – evidence missing, placeholder or not yet on file",IF(ISNA(MATCH(TRIM(S214),L_EvidenceType,0)),"INVALID – choose the evidence type from the list (column S)",IF(BL214=0,"INVALID – evidence ID must be the record's own ID only (e.g. SF-2210, IMG_2231, 1045521); a link / file name needs type 'Link / file path'",IF(OR(OR(LEN(AX214)&lt;2,ISNUMBER(MATCH(AX214,L_Placeholder,0))),BS214&lt;3),"INVALID – verifier missing or not a named person (a role such as QA / CSM is not a name)",IF(OR(AX214=AU214,CE214=1,AND(LEN(AU214)&gt;=4,ISNUMBER(SEARCH(AU214,AX214))),AND(LEN(AX214)&gt;=4,ISNUMBER(SEARCH(AX214,AU214)))),"INVALID – verifier must be a different, named person (not the PIC or a role)",IF(BH214=1,"INVALID – result not yet available (awaiting / TBC)",IF(BG214=1,"INVALID – result describes a problem: record Fail, then Pass after CA (or reword if it is not a problem)",IF(BV214=1,"INVALID – wording says not on board: an on-board confirmation needs the item loaded",IF(AND(AQ214=1,OR(OR(LEN(AY214)&lt;3,ISNUMBER(MATCH(AY214,L_Placeholder,0))),BJ214=1,BQ214=0)),"INVALID – batch ID missing, placeholder or not an ID (e.g. PASB-261008-BC-017)",IF(AND(AR214=1,OR(NOT(ISNUMBER(X214)),NOT(ISNUMBER(Y214)))),"INVALID – expected/actual qty missing",IF(AND(AR214=1,OR(X214&lt;=0,Y214&lt;0)),"INVALID – expected qty must be above 0 and actual not negative",IF(BB214&lt;&gt;"",BB214,IF(AND(AS214=1,Documents!$J$11&lt;&gt;"ON FILE"),"INVALID – GLD not on file (Documents sheet)",IF(AND(AS214=2,Documents!$O$11&lt;&gt;"ON FILE"),"INVALID – menu checklist not on file (Documents sheet)",IF(AND(AS214=3,NOT(ISNUMBER(Flights!$AX$11))),"INVALID – enter carrying flight KUL departure (Flights AX)",IF(AND(AS214=3,OR(Flights!$AZ$11&gt;Flights!$AA$11,Flights!$AX$11&lt;Flights!$AA$11-3)),"INVALID – carrying flight (Flights AX) cannot arrive before this leg's STD, or is over 3 days early",IF(AG214&gt;AsOfUTC,"INVALID – completion time is in the future",IF(AND(ISNUMBER(BY214),AG214&lt;BY214),IF(H214="Physical uplift","INVALID – before uplift window (cannot confirm loading)","INVALID – before valid window"),IF(AG214&gt;Flights!$AA$11,"INVALID – completed after departure (cannot establish readiness)",IF(AND(H214="Preparation",AG214&gt;=IF(ISNUMBER(Flights!$BA$11),MIN(Flights!$BA$11,Flights!$AA$11),Flights!$AA$11)),"INVALID – completed after loading / departure (cannot establish readiness)",IF(AND(H214="Physical uplift",AG214&gt;Q214),"INVALID – recorded after the loading flight departed",IF(AG214&gt;Q214,"COMPLETE – LATE","COMPLETE"))))))))))))))))))))))))),IF(TRIM(U214)="Fail","FAIL – DISCREPANCY",IF(AND(TRIM(U214)&lt;&gt;"",TRIM(U214)&lt;&gt;"Not started",TRIM(U214)&lt;&gt;"In progress"),"INVALID – unrecognised status (use the list)",IF(AsOfUTC&gt;Q214,"OVERDUE",IF(N214="Clarification required","OPEN – CLARIFICATION","OPEN"))))))),"INVALID – error value in an input cell")</f>
        <v>OPEN</v>
      </c>
      <c r="AI214" s="61" t="n">
        <f aca="false">IF(OR(AH214="N/A – RULE",AH214="N/A – JUSTIFIED"),0,1)</f>
        <v>1</v>
      </c>
      <c r="AJ214" s="61" t="n">
        <f aca="false">IF(LEFT(AH214,8)="COMPLETE",1,0)</f>
        <v>0</v>
      </c>
      <c r="AK214" s="61" t="n">
        <f aca="false">IF(AND(AI214=1,AJ214=0,AsOfUTC&gt;Q214),1,0)</f>
        <v>0</v>
      </c>
      <c r="AL214" s="61" t="n">
        <f aca="false">IFERROR(IF(AND(AI214=1,OR(TRIM(U214)="Fail",AND(TRIM(AB214)&lt;&gt;"",TRIM(AB214)&lt;&gt;"Closed"),AND(ISNUMBER(AF214),AF214&lt;&gt;0,TRIM(U214)&lt;&gt;"Pass after CA"))),1,0),1)</f>
        <v>0</v>
      </c>
      <c r="AM214" s="61" t="n">
        <f aca="false">IF(LEFT(AH214,7)="INVALID",1,0)</f>
        <v>0</v>
      </c>
      <c r="AN214" s="61" t="n">
        <f aca="false">IF(AND(N214="Clarification required",AI214=1,AJ214=0),1,0)</f>
        <v>0</v>
      </c>
      <c r="AO214" s="61" t="str">
        <f aca="false">IF(AK214=1,SUM(AK$5:AK214),"")</f>
        <v/>
      </c>
      <c r="AP214" s="61" t="str">
        <f aca="false">IF(AL214=1,SUM(AL$5:AL214),"")</f>
        <v/>
      </c>
      <c r="AQ214" s="61" t="n">
        <v>0</v>
      </c>
      <c r="AR214" s="61" t="n">
        <v>0</v>
      </c>
      <c r="AS214" s="61" t="n">
        <v>0</v>
      </c>
      <c r="AT214" s="61" t="n">
        <v>0</v>
      </c>
      <c r="AU214" s="61" t="str">
        <f aca="false">SUBSTITUTE(SUBSTITUTE(SUBSTITUTE(SUBSTITUTE(SUBSTITUTE(SUBSTITUTE(SUBSTITUTE(SUBSTITUTE(SUBSTITUTE(SUBSTITUTE(SUBSTITUTE(SUBSTITUTE(SUBSTITUTE(SUBSTITUTE(SUBSTITUTE(SUBSTITUTE(LOWER(T214&amp;""),CHAR(10),""),CHAR(13),""),CHAR(9),""),CHAR(160),"")," ",""),".",""),"-",""),"/",""),"?",""),"_",""),",",""),"[",""),"]",""),"(",""),")",""),"*","")</f>
        <v/>
      </c>
      <c r="AV214" s="61" t="str">
        <f aca="false">SUBSTITUTE(SUBSTITUTE(SUBSTITUTE(SUBSTITUTE(SUBSTITUTE(SUBSTITUTE(SUBSTITUTE(SUBSTITUTE(SUBSTITUTE(SUBSTITUTE(SUBSTITUTE(SUBSTITUTE(SUBSTITUTE(SUBSTITUTE(SUBSTITUTE(SUBSTITUTE(LOWER(V214&amp;""),CHAR(10),""),CHAR(13),""),CHAR(9),""),CHAR(160),"")," ",""),".",""),"-",""),"/",""),"?",""),"_",""),",",""),"[",""),"]",""),"(",""),")",""),"*","")</f>
        <v/>
      </c>
      <c r="AW214" s="61" t="str">
        <f aca="false">SUBSTITUTE(SUBSTITUTE(SUBSTITUTE(SUBSTITUTE(SUBSTITUTE(SUBSTITUTE(SUBSTITUTE(SUBSTITUTE(SUBSTITUTE(SUBSTITUTE(SUBSTITUTE(SUBSTITUTE(SUBSTITUTE(SUBSTITUTE(SUBSTITUTE(SUBSTITUTE(LOWER(Z214&amp;""),CHAR(10),""),CHAR(13),""),CHAR(9),""),CHAR(160),"")," ",""),".",""),"-",""),"/",""),"?",""),"_",""),",",""),"[",""),"]",""),"(",""),")",""),"*","")</f>
        <v/>
      </c>
      <c r="AX214" s="61" t="str">
        <f aca="false">SUBSTITUTE(SUBSTITUTE(SUBSTITUTE(SUBSTITUTE(SUBSTITUTE(SUBSTITUTE(SUBSTITUTE(SUBSTITUTE(SUBSTITUTE(SUBSTITUTE(SUBSTITUTE(SUBSTITUTE(SUBSTITUTE(SUBSTITUTE(SUBSTITUTE(SUBSTITUTE(LOWER(AE214&amp;""),CHAR(10),""),CHAR(13),""),CHAR(9),""),CHAR(160),"")," ",""),".",""),"-",""),"/",""),"?",""),"_",""),",",""),"[",""),"]",""),"(",""),")",""),"*","")</f>
        <v/>
      </c>
      <c r="AY214" s="61" t="str">
        <f aca="false">SUBSTITUTE(SUBSTITUTE(SUBSTITUTE(SUBSTITUTE(SUBSTITUTE(SUBSTITUTE(SUBSTITUTE(SUBSTITUTE(SUBSTITUTE(SUBSTITUTE(SUBSTITUTE(SUBSTITUTE(SUBSTITUTE(SUBSTITUTE(SUBSTITUTE(SUBSTITUTE(LOWER(W214&amp;""),CHAR(10),""),CHAR(13),""),CHAR(9),""),CHAR(160),"")," ",""),".",""),"-",""),"/",""),"?",""),"_",""),",",""),"[",""),"]",""),"(",""),")",""),"*","")</f>
        <v/>
      </c>
      <c r="AZ214" s="61" t="str">
        <f aca="false">SUBSTITUTE(SUBSTITUTE(SUBSTITUTE(SUBSTITUTE(SUBSTITUTE(SUBSTITUTE(SUBSTITUTE(SUBSTITUTE(SUBSTITUTE(SUBSTITUTE(SUBSTITUTE(SUBSTITUTE(SUBSTITUTE(SUBSTITUTE(SUBSTITUTE(SUBSTITUTE(LOWER(AC214&amp;""),CHAR(10),""),CHAR(13),""),CHAR(9),""),CHAR(160),"")," ",""),".",""),"-",""),"/",""),"?",""),"_",""),",",""),"[",""),"]",""),"(",""),")",""),"*","")</f>
        <v/>
      </c>
      <c r="BA214" s="61" t="str">
        <f aca="false">SUBSTITUTE(SUBSTITUTE(SUBSTITUTE(SUBSTITUTE(SUBSTITUTE(SUBSTITUTE(SUBSTITUTE(SUBSTITUTE(SUBSTITUTE(SUBSTITUTE(SUBSTITUTE(SUBSTITUTE(SUBSTITUTE(SUBSTITUTE(SUBSTITUTE(SUBSTITUTE(LOWER(AA214&amp;""),CHAR(10),""),CHAR(13),""),CHAR(9),""),CHAR(160),"")," ",""),".",""),"-",""),"/",""),"?",""),"_",""),",",""),"[",""),"]",""),"(",""),")",""),"*","")</f>
        <v/>
      </c>
      <c r="BB214" s="61" t="str">
        <f aca="false">IF(AND(TRIM(U214)="Pass",ISNUMBER(AF214)),IF(AF214&lt;&gt;0,"INVALID – qty variance: use Fail or Pass after CA",""),"")&amp;IF(AND(TRIM(U214)="Pass after CA",ISNUMBER(AF214)),IF(AF214&lt;&gt;0,"INVALID – after the corrective action the actual qty must equal expected (update Actual)",""),"")&amp;IF(AND(TRIM(U214)="Pass",TRIM(AB214)&lt;&gt;"",TRIM(AB214)&lt;&gt;"Closed"),"INVALID – corrective action not closed: use Fail, then Pass after CA","")&amp;IF(AND(LEN(BA214)&gt;=2,ISNA(MATCH(LEFT(BA214,255),L_Placeholder,0)),TRIM(AB214)=""),"INVALID – CA status missing for the recorded corrective action","")&amp;IF(AND(TRIM(U214)="Pass after CA",OR(OR(LEN(BA214)&lt;5,ISNUMBER(MATCH(BA214,L_Placeholder,0))),TRIM(AB214)&lt;&gt;"Closed")),"INVALID – corrective action not recorded/closed","")</f>
        <v/>
      </c>
      <c r="BC214" s="61" t="str">
        <f aca="false">" "&amp;TRIM(SUBSTITUTE(SUBSTITUTE(SUBSTITUTE(SUBSTITUTE(SUBSTITUTE(SUBSTITUTE(SUBSTITUTE(SUBSTITUTE(SUBSTITUTE(SUBSTITUTE(SUBSTITUTE(SUBSTITUTE(SUBSTITUTE(SUBSTITUTE(SUBSTITUTE(SUBSTITUTE(SUBSTITUTE(SUBSTITUTE(SUBSTITUTE(SUBSTITUTE(SUBSTITUTE(SUBSTITUTE(SUBSTITUTE(SUBSTITUTE(LOWER(V214&amp;""),CHAR(10)," "),CHAR(13)," "),CHAR(9)," "),CHAR(160)," "),"."," "),","," "),"-"," "),"/"," "),"("," "),")"," "),":"," "),";"," "),"_"," "),"–"," "),"?"," "),"!"," "),"*"," "),"["," "),"]"," "),"'"," "),"#"," "),"+"," "),"&amp;"," "),"\"," "))&amp;" "</f>
        <v>  </v>
      </c>
      <c r="BD214" s="61" t="str">
        <f aca="false">" "&amp;TRIM(SUBSTITUTE(SUBSTITUTE(SUBSTITUTE(SUBSTITUTE(SUBSTITUTE(SUBSTITUTE(SUBSTITUTE(SUBSTITUTE(SUBSTITUTE(SUBSTITUTE(SUBSTITUTE(SUBSTITUTE(SUBSTITUTE(SUBSTITUTE(SUBSTITUTE(SUBSTITUTE(SUBSTITUTE(SUBSTITUTE(SUBSTITUTE(SUBSTITUTE(SUBSTITUTE(SUBSTITUTE(SUBSTITUTE(SUBSTITUTE(LOWER(Z214&amp;""),CHAR(10)," "),CHAR(13)," "),CHAR(9)," "),CHAR(160)," "),"."," "),","," "),"-"," "),"/"," "),"("," "),")"," "),":"," "),";"," "),"_"," "),"–"," "),"?"," "),"!"," "),"*"," "),"["," "),"]"," "),"'"," "),"#"," "),"+"," "),"&amp;"," "),"\"," "))&amp;" "</f>
        <v>  </v>
      </c>
      <c r="BE214" s="61" t="str">
        <f aca="false">" "&amp;TRIM(SUBSTITUTE(SUBSTITUTE(SUBSTITUTE(SUBSTITUTE(SUBSTITUTE(SUBSTITUTE(SUBSTITUTE(SUBSTITUTE(SUBSTITUTE(SUBSTITUTE(SUBSTITUTE(SUBSTITUTE(SUBSTITUTE(SUBSTITUTE(SUBSTITUTE(SUBSTITUTE(SUBSTITUTE(SUBSTITUTE(SUBSTITUTE(SUBSTITUTE(SUBSTITUTE(SUBSTITUTE(SUBSTITUTE(SUBSTITUTE(LOWER(W214&amp;""),CHAR(10)," "),CHAR(13)," "),CHAR(9)," "),CHAR(160)," "),"."," "),","," "),"-"," "),"/"," "),"("," "),")"," "),":"," "),";"," "),"_"," "),"–"," "),"?"," "),"!"," "),"*"," "),"["," "),"]"," "),"'"," "),"#"," "),"+"," "),"&amp;"," "),"\"," "))&amp;" "</f>
        <v>  </v>
      </c>
      <c r="BF214" s="61" t="str">
        <f aca="false">" "&amp;TRIM(SUBSTITUTE(SUBSTITUTE(SUBSTITUTE(SUBSTITUTE(SUBSTITUTE(SUBSTITUTE(SUBSTITUTE(SUBSTITUTE(SUBSTITUTE(SUBSTITUTE(SUBSTITUTE(SUBSTITUTE(SUBSTITUTE(SUBSTITUTE(SUBSTITUTE(SUBSTITUTE(SUBSTITUTE(SUBSTITUTE(SUBSTITUTE(SUBSTITUTE(SUBSTITUTE(SUBSTITUTE(SUBSTITUTE(SUBSTITUTE(LOWER(AC214&amp;""),CHAR(10)," "),CHAR(13)," "),CHAR(9)," "),CHAR(160)," "),"."," "),","," "),"-"," "),"/"," "),"("," "),")"," "),":"," "),";"," "),"_"," "),"–"," "),"?"," "),"!"," "),"*"," "),"["," "),"]"," "),"'"," "),"#"," "),"+"," "),"&amp;"," "),"\"," "))&amp;" "</f>
        <v>  </v>
      </c>
      <c r="BG214" s="61" t="n">
        <f aca="false">IFERROR(IF(AND(TRIM(U214)="Pass",SUMPRODUCT((LEN(BC214)-LEN(SUBSTITUTE(BC214," "&amp;L_ResultBad&amp;" "," ")))/(LEN(L_ResultBad)+1))&gt;SUMPRODUCT((LEN(BC214)-LEN(SUBSTITUTE(BC214," "&amp;L_NegPhrase&amp;" "," ")))/(LEN(L_NegPhrase)+1))),1,0),0)</f>
        <v>0</v>
      </c>
      <c r="BH214" s="61" t="n">
        <f aca="false">IFERROR(IF(SUMPRODUCT((LEN(BC214)-LEN(SUBSTITUTE(BC214," "&amp;L_Pending&amp;" "," ")))/(LEN(L_Pending)+1))&gt;SUMPRODUCT((LEN(BC214)-LEN(SUBSTITUTE(BC214," "&amp;L_PendNeg&amp;" "," ")))/(LEN(L_PendNeg)+1))+SUMPRODUCT((LEN(BC214)-LEN(SUBSTITUTE(BC214," "&amp;L_PendPrep&amp;" "," ")))/(LEN(L_PendPrep)+1)),1,0),1)</f>
        <v>0</v>
      </c>
      <c r="BI214" s="61" t="n">
        <f aca="false">IFERROR(IF(SUMPRODUCT((LEN(BD214)-LEN(SUBSTITUTE(BD214," "&amp;L_PendStrict&amp;" "," ")))/(LEN(L_PendStrict)+1))&gt;SUMPRODUCT((LEN(BD214)-LEN(SUBSTITUTE(BD214," "&amp;L_PendNeg&amp;" "," ")))/(LEN(L_PendNeg)+1)),1,0),1)</f>
        <v>0</v>
      </c>
      <c r="BJ214" s="61" t="n">
        <f aca="false">IFERROR(IF(SUMPRODUCT((LEN(BE214)-LEN(SUBSTITUTE(BE214," "&amp;L_Pending&amp;" "," ")))/(LEN(L_Pending)+1))&gt;SUMPRODUCT((LEN(BE214)-LEN(SUBSTITUTE(BE214," "&amp;L_PendNeg&amp;" "," ")))/(LEN(L_PendNeg)+1))+SUMPRODUCT((LEN(BE214)-LEN(SUBSTITUTE(BE214," "&amp;L_PendPrep&amp;" "," ")))/(LEN(L_PendPrep)+1)),1,0),1)</f>
        <v>0</v>
      </c>
      <c r="BK214" s="61" t="n">
        <f aca="false">IFERROR(IF(SUMPRODUCT((LEN(BF214)-LEN(SUBSTITUTE(BF214," "&amp;L_PendStrict&amp;" "," ")))/(LEN(L_PendStrict)+1))&gt;SUMPRODUCT((LEN(BF214)-LEN(SUBSTITUTE(BF214," "&amp;L_PendNeg&amp;" "," ")))/(LEN(L_PendNeg)+1)),1,0),1)</f>
        <v>0</v>
      </c>
      <c r="BL214" s="61" t="n">
        <f aca="false">IF(ISNA(MATCH(TRIM(S214),L_EvidenceType,0)),0,BZ214)</f>
        <v>0</v>
      </c>
      <c r="BM214" s="61" t="str">
        <f aca="false">SUBSTITUTE(SUBSTITUTE(SUBSTITUTE(SUBSTITUTE(SUBSTITUTE(SUBSTITUTE(SUBSTITUTE(SUBSTITUTE(SUBSTITUTE(LOWER(Z214&amp;""),"1","0"),"2","0"),"3","0"),"4","0"),"5","0"),"6","0"),"7","0"),"8","0"),"9","0")</f>
        <v/>
      </c>
      <c r="BN214" s="61" t="str">
        <f aca="false">SUBSTITUTE(SUBSTITUTE(SUBSTITUTE(SUBSTITUTE(SUBSTITUTE(SUBSTITUTE(SUBSTITUTE(SUBSTITUTE(SUBSTITUTE(SUBSTITUTE(SUBSTITUTE(SUBSTITUTE(SUBSTITUTE(SUBSTITUTE(SUBSTITUTE(SUBSTITUTE(SUBSTITUTE(SUBSTITUTE(SUBSTITUTE(SUBSTITUTE(SUBSTITUTE(SUBSTITUTE(SUBSTITUTE(SUBSTITUTE(SUBSTITUTE(BM214,"b","a"),"c","a"),"d","a"),"e","a"),"f","a"),"g","a"),"h","a"),"i","a"),"j","a"),"k","a"),"l","a"),"m","a"),"n","a"),"o","a"),"p","a"),"q","a"),"r","a"),"s","a"),"t","a"),"u","a"),"v","a"),"w","a"),"x","a"),"y","a"),"z","a")</f>
        <v/>
      </c>
      <c r="BO214" s="61" t="str">
        <f aca="false">SUBSTITUTE(SUBSTITUTE(SUBSTITUTE(SUBSTITUTE(SUBSTITUTE(SUBSTITUTE(SUBSTITUTE(SUBSTITUTE(SUBSTITUTE(LOWER(W214&amp;""),"1","0"),"2","0"),"3","0"),"4","0"),"5","0"),"6","0"),"7","0"),"8","0"),"9","0")</f>
        <v/>
      </c>
      <c r="BP214" s="61" t="str">
        <f aca="false">SUBSTITUTE(SUBSTITUTE(SUBSTITUTE(SUBSTITUTE(SUBSTITUTE(SUBSTITUTE(SUBSTITUTE(SUBSTITUTE(SUBSTITUTE(SUBSTITUTE(SUBSTITUTE(SUBSTITUTE(SUBSTITUTE(SUBSTITUTE(SUBSTITUTE(SUBSTITUTE(SUBSTITUTE(SUBSTITUTE(SUBSTITUTE(SUBSTITUTE(SUBSTITUTE(SUBSTITUTE(SUBSTITUTE(SUBSTITUTE(SUBSTITUTE(BO214,"b","a"),"c","a"),"d","a"),"e","a"),"f","a"),"g","a"),"h","a"),"i","a"),"j","a"),"k","a"),"l","a"),"m","a"),"n","a"),"o","a"),"p","a"),"q","a"),"r","a"),"s","a"),"t","a"),"u","a"),"v","a"),"w","a"),"x","a"),"y","a"),"z","a")</f>
        <v/>
      </c>
      <c r="BQ214" s="61" t="n">
        <f aca="false">IFERROR(IF(AND(ISERROR(SEARCH(" mh"," "&amp;LOWER(W214))),ISNA(MATCH(LEFT(TRIM(BP214),255),{"0000a","000a","00a","0000aa","000aa","00aa","0aa","0000aaa","000aaa","00a00","0a00","0000-0000","00:00","a00","a0","00.00.0000","00/00/0000","00-00-0000","0000-00-00","0000/00/00","0000.00.00","00.00.00","00/00/00","00-00-00","0.00.0000","0/00/0000","0-00-0000"},0)),ISNA(MATCH(LEFT(TRIM(CA214),255),{"0000a","000a","00a","0000aa","000aa","00aa","0aa","0000aaa","000aaa","00a00","0a00","0000-0000","00:00","a00","a0","00.00.0000","00/00/0000","00-00-0000","0000-00-00","0000/00/00","0000.00.00","00.00.00","00/00/00","00-00-00","0.00.0000","0/00/0000","0-00-0000"},0)),LEN(CB214)&gt;=3,NOT(OR(SUBSTITUTE(CB214,"0","")="",AND(LEN(CB214)&gt;=4,CB214=REPT(LEFT(CB214),LEN(CB214))),ISNUMBER(MATCH(CB214,{"123","1234","12345","123456","1234567","12345678","0123","01234","012345","98765","987654","54321"},0)),AND(LEN(CB214)=8,LEFT(CB214,3)="202"))),OR(AND((LEN(CA214)-LEN(SUBSTITUTE(CA214,"a","")))&gt;=1,SUMPRODUCT(--ISNUMBER(SEARCH({"a0","a-0","a_0","a/0","a.0","a#0","0a","0-a","0_a","0/a"},BP214)))&gt;0),ISNUMBER(SEARCH("000000",BP214)))),1,0),0)</f>
        <v>0</v>
      </c>
      <c r="BR214" s="61" t="n">
        <f aca="false">IFERROR(LEN(SUBSTITUTE(CC214," ",""))-SUMPRODUCT((LEN(CC214)-LEN(SUBSTITUTE(CC214," "&amp;L_Role&amp;" "," ")))/(LEN(L_Role)+1)*LEN(L_Role)),0)</f>
        <v>0</v>
      </c>
      <c r="BS214" s="61" t="n">
        <f aca="false">IFERROR(LEN(SUBSTITUTE(CD214," ",""))-SUMPRODUCT((LEN(CD214)-LEN(SUBSTITUTE(CD214," "&amp;L_Role&amp;" "," ")))/(LEN(L_Role)+1)*LEN(L_Role)),0)</f>
        <v>0</v>
      </c>
      <c r="BT2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214,"revision",""),"version",""),"jan",""),"feb",""),"mar",""),"apr",""),"may",""),"jun",""),"jul",""),"aug",""),"sep",""),"oct",""),"nov",""),"dec",""),"utc",""),"gmt",""),"myt",""),"bst",""),"rev",""),"ver",""),"b","a"),"c","a"),"d","a"),"e","a"),"f","a"),"g","a"),"h","a"),"i","a"),"j","a"),"k","a"),"l","a"),"m","a"),"n","a"),"o","a"),"p","a"),"q","a"),"r","a"),"s","a"),"t","a"),"u","a"),"v","a"),"w","a"),"x","a"),"y","a"),"z","a")</f>
        <v/>
      </c>
      <c r="BU214" s="61" t="str">
        <f aca="false">SUBSTITUTE(SUBSTITUTE(SUBSTITUTE(SUBSTITUTE(SUBSTITUTE(SUBSTITUTE(SUBSTITUTE(SUBSTITUTE(SUBSTITUTE(SUBSTITUTE(LEFT(BM214,FIND("0",BM214&amp;"0")-1),"-",""),"_",""),"/",""),".",""),"#",""),"\\",""),":","")," ",""),"(",""),")","")</f>
        <v/>
      </c>
      <c r="BV214" s="61" t="n">
        <f aca="false">0</f>
        <v>0</v>
      </c>
      <c r="BW2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214&amp;""),"a",""),"b",""),"c",""),"d",""),"e",""),"f",""),"g",""),"h",""),"i",""),"j",""),"k",""),"l",""),"m",""),"n",""),"o",""),"p",""),"q",""),"r",""),"s",""),"t",""),"u",""),"v",""),"w",""),"x",""),"y",""),"z",""),"-",""),"_",""),"/",""),".",""),"#",""),"\\",""),":","")," ",""),"(",""),")","")</f>
        <v/>
      </c>
      <c r="BX214" s="61" t="str">
        <f aca="false">SUBSTITUTE(SUBSTITUTE(SUBSTITUTE(SUBSTITUTE(SUBSTITUTE(SUBSTITUTE(SUBSTITUTE(SUBSTITUTE(SUBSTITUTE(SUBSTITUTE(SUBSTITUTE(BM214,"0",""),"-",""),"_",""),"/",""),".",""),"#",""),"\\",""),":","")," ",""),"(",""),")","")</f>
        <v/>
      </c>
      <c r="BY214" s="62" t="n">
        <f aca="false">Q214-T7EarlyD*24/24</f>
        <v>46283.4166666667</v>
      </c>
      <c r="BZ214" s="61" t="n">
        <f aca="false">IFERROR(IF(IF(TRIM(S214)="Link / file path",AND(LEN(TRIM(Z214))&gt;=5,SUMPRODUCT(--ISNUMBER(SEARCH({"http","www.","\\",":\",".pdf",".jpg",".jpeg",".png",".heic",".xls",".doc",".msg",".eml",".ppt",".txt",".zip"},Z214)))&gt;0),AND(ISERROR(FIND(" ",TRIM(Z214))),NOT(OR(SUMPRODUCT(--ISNUMBER(FIND({",",";","&amp;","+"},Z214)))&gt;0,SUMPRODUCT(--ISNUMBER(SEARCH({"0/aa","0\\aa"},BN214)))&gt;0)),NOT(SUMPRODUCT(--ISNUMBER(SEARCH({"http","www.","\\",":\",".pdf",".jpg",".jpeg",".png",".heic",".xls",".doc",".msg",".eml",".ppt",".txt",".zip"},Z214)))&gt;0),NOT(LOWER(TRIM(Z214))=LOWER(Flights!$F$11)),ISNA(MATCH(BU214,{"mh","rev","revision","ver","version","v","r","a","b","seat","tray","row","gate","bay","stand","page","pg","item","line","no","cart","galley","flight","flt","table","box","bag","oven","etd","eta","std","sta","atd","ata","qty","pax","x","time","tel","ph","mob","day","wk","week","utc","gmt","myt","lt"},0)),NOT(OR(ISNUMBER(MATCH(LEFT(BN214,255),{"0000a","000a","00a","0000aa","000aa","00aa","0aa","0000aaa","000aaa","00a00","0a00","0000-0000","00:00","a00","a0","00.00.0000","00/00/0000","00-00-0000","0000-00-00","0000/00/00","0000.00.00","00.00.00","00/00/00","00-00-00","0.00.0000","0/00/0000","0-00-0000"},0)),ISNUMBER(MATCH(LEFT(BT214,255),{"0000a","000a","00a","0000aa","000aa","00aa","0aa","0000aaa","000aaa","00a00","0a00","0000-0000","00:00","a00","a0","00.00.0000","00/00/0000","00-00-0000","0000-00-00","0000/00/00","0000.00.00","00.00.00","00/00/00","00-00-00","0.00.0000","0/00/0000","0-00-0000"},0)))),NOT(OR(AND(BW214&lt;&gt;"",SUBSTITUTE(BW214,"0","")=""),AND(LEN(BW214)&gt;=4,BW214=REPT(LEFT(BW214),LEN(BW214))),ISNUMBER(MATCH(BW214,{"123","1234","12345","123456","1234567","12345678","0123","01234","012345","98765","987654","54321"},0)),ISNUMBER(MATCH(BX214,{"x","xx","xxx","xxxx","xxxxx","abc","abcd","nil","na","nan","test","tbc","tba","tbd","dummy","sample","example","eg","zz","zzz","none","null","xyz","qwe","asd","id","ref"},0)),AND(LEN(BW214)=8,BX214="",OR(LEFT(BW214,3)="202",ISNUMBER(MATCH(RIGHT(BW214,4),{"2025","2026","2027"},0)))))),OR(AND((LEN(BT214)-LEN(SUBSTITUTE(BT214,"a","")))&gt;=1,(LEN(BN214)-LEN(SUBSTITUTE(BN214,"0","")))&gt;=2,SUMPRODUCT(--ISNUMBER(SEARCH({"a0","a-0","a_0","a/0","a.0","a#0","0a","0-a","0_a","0/a"},BN214)))&gt;0),AND((LEN(BN214)-LEN(SUBSTITUTE(BN214,"a","")))=0,(LEN(BN214)-LEN(SUBSTITUTE(BN214,"0","")))&gt;=5)))),1,0),0)</f>
        <v>0</v>
      </c>
      <c r="CA2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214,"revision",""),"version",""),"jan",""),"feb",""),"mar",""),"apr",""),"may",""),"jun",""),"jul",""),"aug",""),"sep",""),"oct",""),"nov",""),"dec",""),"utc",""),"gmt",""),"myt",""),"bst",""),"rev",""),"ver",""),"b","a"),"c","a"),"d","a"),"e","a"),"f","a"),"g","a"),"h","a"),"i","a"),"j","a"),"k","a"),"l","a"),"m","a"),"n","a"),"o","a"),"p","a"),"q","a"),"r","a"),"s","a"),"t","a"),"u","a"),"v","a"),"w","a"),"x","a"),"y","a"),"z","a")</f>
        <v/>
      </c>
      <c r="CB2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214&amp;""),"a",""),"b",""),"c",""),"d",""),"e",""),"f",""),"g",""),"h",""),"i",""),"j",""),"k",""),"l",""),"m",""),"n",""),"o",""),"p",""),"q",""),"r",""),"s",""),"t",""),"u",""),"v",""),"w",""),"x",""),"y",""),"z",""),"-",""),"_",""),"/",""),".",""),"#",""),"\\",""),":","")," ",""),"(",""),")","")</f>
        <v/>
      </c>
      <c r="CC214" s="0" t="str">
        <f aca="false">" "&amp;TRIM(SUBSTITUTE(SUBSTITUTE(SUBSTITUTE(SUBSTITUTE(SUBSTITUTE(SUBSTITUTE(SUBSTITUTE(SUBSTITUTE(SUBSTITUTE(SUBSTITUTE(SUBSTITUTE(SUBSTITUTE(SUBSTITUTE(SUBSTITUTE(SUBSTITUTE(SUBSTITUTE(SUBSTITUTE(SUBSTITUTE(SUBSTITUTE(SUBSTITUTE(SUBSTITUTE(SUBSTITUTE(SUBSTITUTE(SUBSTITUTE(LOWER(T214&amp;""),CHAR(10)," "),CHAR(13)," "),CHAR(9)," "),CHAR(160)," "),"."," "),","," "),"-"," "),"/"," "),"("," "),")"," "),":"," "),";"," "),"_"," "),"–"," "),"?"," "),"!"," "),"*"," "),"["," "),"]"," "),"'"," "),"#"," "),"+"," "),"&amp;"," "),"\"," "))&amp;" "</f>
        <v>  </v>
      </c>
      <c r="CD214" s="0" t="str">
        <f aca="false">" "&amp;TRIM(SUBSTITUTE(SUBSTITUTE(SUBSTITUTE(SUBSTITUTE(SUBSTITUTE(SUBSTITUTE(SUBSTITUTE(SUBSTITUTE(SUBSTITUTE(SUBSTITUTE(SUBSTITUTE(SUBSTITUTE(SUBSTITUTE(SUBSTITUTE(SUBSTITUTE(SUBSTITUTE(SUBSTITUTE(SUBSTITUTE(SUBSTITUTE(SUBSTITUTE(SUBSTITUTE(SUBSTITUTE(SUBSTITUTE(SUBSTITUTE(LOWER(AE214&amp;""),CHAR(10)," "),CHAR(13)," "),CHAR(9)," "),CHAR(160)," "),"."," "),","," "),"-"," "),"/"," "),"("," "),")"," "),":"," "),";"," "),"_"," "),"–"," "),"?"," "),"!"," "),"*"," "),"["," "),"]"," "),"'"," "),"#"," "),"+"," "),"&amp;"," "),"\"," "))&amp;" "</f>
        <v>  </v>
      </c>
      <c r="CE214" s="68" t="n">
        <f aca="false">IFERROR(IF(AND(LEN(AU214)&gt;0,LEN(AU214)=LEN(AX214),OR(TRIM(MID(SUBSTITUTE(TRIM(CC214)," ",REPT(" ",60)),1,60))="",ISNUMBER(SEARCH(" "&amp;TRIM(MID(SUBSTITUTE(TRIM(CC214)," ",REPT(" ",60)),1,60))&amp;" ",CD214))),OR(TRIM(MID(SUBSTITUTE(TRIM(CC214)," ",REPT(" ",60)),61,60))="",ISNUMBER(SEARCH(" "&amp;TRIM(MID(SUBSTITUTE(TRIM(CC214)," ",REPT(" ",60)),61,60))&amp;" ",CD214))),OR(TRIM(MID(SUBSTITUTE(TRIM(CC214)," ",REPT(" ",60)),121,60))="",ISNUMBER(SEARCH(" "&amp;TRIM(MID(SUBSTITUTE(TRIM(CC214)," ",REPT(" ",60)),121,60))&amp;" ",CD214)))),1,0),0)</f>
        <v>0</v>
      </c>
      <c r="CG214" s="68" t="n">
        <f aca="false">IFERROR(LEN(SUBSTITUTE(BF214," ",""))-SUMPRODUCT((LEN(BF214)-LEN(SUBSTITUTE(BF214," "&amp;L_NAFiller&amp;" "," ")))/(LEN(L_NAFiller)+1)*LEN(L_NAFiller)),0)</f>
        <v>0</v>
      </c>
    </row>
    <row r="215" customFormat="false" ht="41.25" hidden="false" customHeight="true" outlineLevel="0" collapsed="false">
      <c r="A215" s="57" t="s">
        <v>776</v>
      </c>
      <c r="B215" s="57" t="s">
        <v>235</v>
      </c>
      <c r="C215" s="57" t="str">
        <f aca="false">Flights!$F$11</f>
        <v>MH0003</v>
      </c>
      <c r="D215" s="58" t="n">
        <f aca="false">Flights!$D$11</f>
        <v>46304</v>
      </c>
      <c r="E215" s="57" t="str">
        <f aca="false">Flights!$G$11&amp;"-"&amp;Flights!$H$11</f>
        <v>LHR-KUL</v>
      </c>
      <c r="F215" s="57" t="str">
        <f aca="false">Flights!$K$11</f>
        <v>BC</v>
      </c>
      <c r="G215" s="57" t="s">
        <v>81</v>
      </c>
      <c r="H215" s="57" t="s">
        <v>378</v>
      </c>
      <c r="I215" s="57" t="s">
        <v>389</v>
      </c>
      <c r="J215" s="57" t="s">
        <v>390</v>
      </c>
      <c r="K215" s="67" t="s">
        <v>391</v>
      </c>
      <c r="L215" s="67" t="s">
        <v>382</v>
      </c>
      <c r="M215" s="67"/>
      <c r="N215" s="67" t="str">
        <f aca="false">IF(TRIM(Flights!$L$11)="A339","Required","N/A – rule")</f>
        <v>N/A – rule</v>
      </c>
      <c r="O215" s="67" t="s">
        <v>392</v>
      </c>
      <c r="P215" s="57" t="s">
        <v>186</v>
      </c>
      <c r="Q215" s="59" t="n">
        <f aca="false">ROUND((Flights!$AC$11)*1440,0)/1440</f>
        <v>46297.4166666667</v>
      </c>
      <c r="R215" s="59" t="n">
        <f aca="false">Q215+(IF(AND(INDEX(TZ_DSTS,MATCH(P215,TZ_STN,0))&lt;&gt;"",Q215&gt;=INDEX(TZ_DSTS,MATCH(P215,TZ_STN,0)),Q215&lt;INDEX(TZ_DSTE,MATCH(P215,TZ_STN,0))),INDEX(TZ_DST,MATCH(P215,TZ_STN,0)),INDEX(TZ_STD,MATCH(P215,TZ_STN,0))))/24</f>
        <v>46297.4583333333</v>
      </c>
      <c r="S215" s="60"/>
      <c r="T215" s="60"/>
      <c r="U215" s="60"/>
      <c r="V215" s="60"/>
      <c r="W215" s="61"/>
      <c r="X215" s="60"/>
      <c r="Y215" s="60"/>
      <c r="Z215" s="60"/>
      <c r="AA215" s="60"/>
      <c r="AB215" s="60"/>
      <c r="AC215" s="60"/>
      <c r="AD215" s="66"/>
      <c r="AE215" s="60"/>
      <c r="AF215" s="61" t="str">
        <f aca="false">IF(AND(ISNUMBER(X215),ISNUMBER(Y215)),Y215-X215,"")</f>
        <v/>
      </c>
      <c r="AG215" s="62" t="str">
        <f aca="false">IF(ISNUMBER(AD215),AD215-(IF(AND(INDEX(TZ_DSTS,MATCH(P215,TZ_STN,0))&lt;&gt;"",(AD215-INDEX(TZ_STD,MATCH(P215,TZ_STN,0))/24)&gt;=INDEX(TZ_DSTS,MATCH(P215,TZ_STN,0)),(AD215-INDEX(TZ_STD,MATCH(P215,TZ_STN,0))/24)&lt;INDEX(TZ_DSTE,MATCH(P215,TZ_STN,0))),INDEX(TZ_DST,MATCH(P215,TZ_STN,0)),INDEX(TZ_STD,MATCH(P215,TZ_STN,0))))/24,"")</f>
        <v/>
      </c>
      <c r="AH215" s="65" t="str">
        <f aca="false">IFERROR(IF(N215="N/A – rule",IF(OR(TRIM(U215)="",TRIM(U215)="N/A",TRIM(U215)="Not started"),"N/A – RULE","INVALID – this check does not apply to this aircraft: clear the status (or correct the fleet on Flights)"),IF(TRIM(U215)="N/A",IF(AT215=0,"INVALID – N/A not permitted for this check",IF(AND(TRIM(AB215)&lt;&gt;"",TRIM(AB215)&lt;&gt;"Closed"),"INVALID – corrective action still open",IF(AND(NOT(OR(LEN(AZ215)&lt;15,ISNUMBER(MATCH(AZ215,L_Placeholder,0)))),BK215=0,CG215&gt;=8,NOT(OR(LEN(AU215)&lt;2,ISNUMBER(MATCH(AU215,L_Placeholder,0)))),BR215&gt;=3,NOT(OR(LEN(AX215)&lt;2,ISNUMBER(MATCH(AX215,L_Placeholder,0)))),BS215&gt;=3,TRIM(AE215)&lt;&gt;TRIM(T215),AX215&lt;&gt;AU215,CE215=0),"N/A – JUSTIFIED","INVALID – N/A needs a real, settled reason (not 'not applicable' / 'as above' / TBC), a named PIC and a different named verifier"))),IF(OR(TRIM(U215)="Pass",TRIM(U215)="Pass after CA"),IF(NOT(ISNUMBER(AD215)),"INVALID – completion time missing",IF(OR(OR(LEN(AU215)&lt;2,ISNUMBER(MATCH(AU215,L_Placeholder,0))),BR215&lt;3),"INVALID – PIC missing or not a named person (a role such as QA / CSM is not a name)",IF(OR(LEN(AV215)&lt;2,ISNUMBER(MATCH(AV215,L_Placeholder,0))),"INVALID – result / assessment missing",IF(OR(OR(LEN(AW215)&lt;3,ISNUMBER(MATCH(AW215,L_Placeholder,0))),SUMPRODUCT(--ISNUMBER(SEARCH(" "&amp;L_EvidencePhrase&amp;" ",BD215)))&gt;0,BI215=1),"INVALID – evidence missing, placeholder or not yet on file",IF(ISNA(MATCH(TRIM(S215),L_EvidenceType,0)),"INVALID – choose the evidence type from the list (column S)",IF(BL215=0,"INVALID – evidence ID must be the record's own ID only (e.g. SF-2210, IMG_2231, 1045521); a link / file name needs type 'Link / file path'",IF(OR(OR(LEN(AX215)&lt;2,ISNUMBER(MATCH(AX215,L_Placeholder,0))),BS215&lt;3),"INVALID – verifier missing or not a named person (a role such as QA / CSM is not a name)",IF(OR(AX215=AU215,CE215=1,AND(LEN(AU215)&gt;=4,ISNUMBER(SEARCH(AU215,AX215))),AND(LEN(AX215)&gt;=4,ISNUMBER(SEARCH(AX215,AU215)))),"INVALID – verifier must be a different, named person (not the PIC or a role)",IF(BH215=1,"INVALID – result not yet available (awaiting / TBC)",IF(BG215=1,"INVALID – result describes a problem: record Fail, then Pass after CA (or reword if it is not a problem)",IF(BV215=1,"INVALID – wording says not on board: an on-board confirmation needs the item loaded",IF(AND(AQ215=1,OR(OR(LEN(AY215)&lt;3,ISNUMBER(MATCH(AY215,L_Placeholder,0))),BJ215=1,BQ215=0)),"INVALID – batch ID missing, placeholder or not an ID (e.g. PASB-261008-BC-017)",IF(AND(AR215=1,OR(NOT(ISNUMBER(X215)),NOT(ISNUMBER(Y215)))),"INVALID – expected/actual qty missing",IF(AND(AR215=1,OR(X215&lt;=0,Y215&lt;0)),"INVALID – expected qty must be above 0 and actual not negative",IF(BB215&lt;&gt;"",BB215,IF(AND(AS215=1,Documents!$J$11&lt;&gt;"ON FILE"),"INVALID – GLD not on file (Documents sheet)",IF(AND(AS215=2,Documents!$O$11&lt;&gt;"ON FILE"),"INVALID – menu checklist not on file (Documents sheet)",IF(AND(AS215=3,NOT(ISNUMBER(Flights!$AX$11))),"INVALID – enter carrying flight KUL departure (Flights AX)",IF(AND(AS215=3,OR(Flights!$AZ$11&gt;Flights!$AA$11,Flights!$AX$11&lt;Flights!$AA$11-3)),"INVALID – carrying flight (Flights AX) cannot arrive before this leg's STD, or is over 3 days early",IF(AG215&gt;AsOfUTC,"INVALID – completion time is in the future",IF(AND(ISNUMBER(BY215),AG215&lt;BY215),IF(H215="Physical uplift","INVALID – before uplift window (cannot confirm loading)","INVALID – before valid window"),IF(AG215&gt;Flights!$AA$11,"INVALID – completed after departure (cannot establish readiness)",IF(AND(H215="Preparation",AG215&gt;=IF(ISNUMBER(Flights!$BA$11),MIN(Flights!$BA$11,Flights!$AA$11),Flights!$AA$11)),"INVALID – completed after loading / departure (cannot establish readiness)",IF(AND(H215="Physical uplift",AG215&gt;Q215),"INVALID – recorded after the loading flight departed",IF(AG215&gt;Q215,"COMPLETE – LATE","COMPLETE"))))))))))))))))))))))))),IF(TRIM(U215)="Fail","FAIL – DISCREPANCY",IF(AND(TRIM(U215)&lt;&gt;"",TRIM(U215)&lt;&gt;"Not started",TRIM(U215)&lt;&gt;"In progress"),"INVALID – unrecognised status (use the list)",IF(AsOfUTC&gt;Q215,"OVERDUE",IF(N215="Clarification required","OPEN – CLARIFICATION","OPEN"))))))),"INVALID – error value in an input cell")</f>
        <v>N/A – RULE</v>
      </c>
      <c r="AI215" s="61" t="n">
        <f aca="false">IF(OR(AH215="N/A – RULE",AH215="N/A – JUSTIFIED"),0,1)</f>
        <v>0</v>
      </c>
      <c r="AJ215" s="61" t="n">
        <f aca="false">IF(LEFT(AH215,8)="COMPLETE",1,0)</f>
        <v>0</v>
      </c>
      <c r="AK215" s="61" t="n">
        <f aca="false">IF(AND(AI215=1,AJ215=0,AsOfUTC&gt;Q215),1,0)</f>
        <v>0</v>
      </c>
      <c r="AL215" s="61" t="n">
        <f aca="false">IFERROR(IF(AND(AI215=1,OR(TRIM(U215)="Fail",AND(TRIM(AB215)&lt;&gt;"",TRIM(AB215)&lt;&gt;"Closed"),AND(ISNUMBER(AF215),AF215&lt;&gt;0,TRIM(U215)&lt;&gt;"Pass after CA"))),1,0),1)</f>
        <v>0</v>
      </c>
      <c r="AM215" s="61" t="n">
        <f aca="false">IF(LEFT(AH215,7)="INVALID",1,0)</f>
        <v>0</v>
      </c>
      <c r="AN215" s="61" t="n">
        <f aca="false">IF(AND(N215="Clarification required",AI215=1,AJ215=0),1,0)</f>
        <v>0</v>
      </c>
      <c r="AO215" s="61" t="str">
        <f aca="false">IF(AK215=1,SUM(AK$5:AK215),"")</f>
        <v/>
      </c>
      <c r="AP215" s="61" t="str">
        <f aca="false">IF(AL215=1,SUM(AL$5:AL215),"")</f>
        <v/>
      </c>
      <c r="AQ215" s="61" t="n">
        <v>0</v>
      </c>
      <c r="AR215" s="61" t="n">
        <v>0</v>
      </c>
      <c r="AS215" s="61" t="n">
        <v>0</v>
      </c>
      <c r="AT215" s="61" t="n">
        <v>0</v>
      </c>
      <c r="AU215" s="61" t="str">
        <f aca="false">SUBSTITUTE(SUBSTITUTE(SUBSTITUTE(SUBSTITUTE(SUBSTITUTE(SUBSTITUTE(SUBSTITUTE(SUBSTITUTE(SUBSTITUTE(SUBSTITUTE(SUBSTITUTE(SUBSTITUTE(SUBSTITUTE(SUBSTITUTE(SUBSTITUTE(SUBSTITUTE(LOWER(T215&amp;""),CHAR(10),""),CHAR(13),""),CHAR(9),""),CHAR(160),"")," ",""),".",""),"-",""),"/",""),"?",""),"_",""),",",""),"[",""),"]",""),"(",""),")",""),"*","")</f>
        <v/>
      </c>
      <c r="AV215" s="61" t="str">
        <f aca="false">SUBSTITUTE(SUBSTITUTE(SUBSTITUTE(SUBSTITUTE(SUBSTITUTE(SUBSTITUTE(SUBSTITUTE(SUBSTITUTE(SUBSTITUTE(SUBSTITUTE(SUBSTITUTE(SUBSTITUTE(SUBSTITUTE(SUBSTITUTE(SUBSTITUTE(SUBSTITUTE(LOWER(V215&amp;""),CHAR(10),""),CHAR(13),""),CHAR(9),""),CHAR(160),"")," ",""),".",""),"-",""),"/",""),"?",""),"_",""),",",""),"[",""),"]",""),"(",""),")",""),"*","")</f>
        <v/>
      </c>
      <c r="AW215" s="61" t="str">
        <f aca="false">SUBSTITUTE(SUBSTITUTE(SUBSTITUTE(SUBSTITUTE(SUBSTITUTE(SUBSTITUTE(SUBSTITUTE(SUBSTITUTE(SUBSTITUTE(SUBSTITUTE(SUBSTITUTE(SUBSTITUTE(SUBSTITUTE(SUBSTITUTE(SUBSTITUTE(SUBSTITUTE(LOWER(Z215&amp;""),CHAR(10),""),CHAR(13),""),CHAR(9),""),CHAR(160),"")," ",""),".",""),"-",""),"/",""),"?",""),"_",""),",",""),"[",""),"]",""),"(",""),")",""),"*","")</f>
        <v/>
      </c>
      <c r="AX215" s="61" t="str">
        <f aca="false">SUBSTITUTE(SUBSTITUTE(SUBSTITUTE(SUBSTITUTE(SUBSTITUTE(SUBSTITUTE(SUBSTITUTE(SUBSTITUTE(SUBSTITUTE(SUBSTITUTE(SUBSTITUTE(SUBSTITUTE(SUBSTITUTE(SUBSTITUTE(SUBSTITUTE(SUBSTITUTE(LOWER(AE215&amp;""),CHAR(10),""),CHAR(13),""),CHAR(9),""),CHAR(160),"")," ",""),".",""),"-",""),"/",""),"?",""),"_",""),",",""),"[",""),"]",""),"(",""),")",""),"*","")</f>
        <v/>
      </c>
      <c r="AY215" s="61" t="str">
        <f aca="false">SUBSTITUTE(SUBSTITUTE(SUBSTITUTE(SUBSTITUTE(SUBSTITUTE(SUBSTITUTE(SUBSTITUTE(SUBSTITUTE(SUBSTITUTE(SUBSTITUTE(SUBSTITUTE(SUBSTITUTE(SUBSTITUTE(SUBSTITUTE(SUBSTITUTE(SUBSTITUTE(LOWER(W215&amp;""),CHAR(10),""),CHAR(13),""),CHAR(9),""),CHAR(160),"")," ",""),".",""),"-",""),"/",""),"?",""),"_",""),",",""),"[",""),"]",""),"(",""),")",""),"*","")</f>
        <v/>
      </c>
      <c r="AZ215" s="61" t="str">
        <f aca="false">SUBSTITUTE(SUBSTITUTE(SUBSTITUTE(SUBSTITUTE(SUBSTITUTE(SUBSTITUTE(SUBSTITUTE(SUBSTITUTE(SUBSTITUTE(SUBSTITUTE(SUBSTITUTE(SUBSTITUTE(SUBSTITUTE(SUBSTITUTE(SUBSTITUTE(SUBSTITUTE(LOWER(AC215&amp;""),CHAR(10),""),CHAR(13),""),CHAR(9),""),CHAR(160),"")," ",""),".",""),"-",""),"/",""),"?",""),"_",""),",",""),"[",""),"]",""),"(",""),")",""),"*","")</f>
        <v/>
      </c>
      <c r="BA215" s="61" t="str">
        <f aca="false">SUBSTITUTE(SUBSTITUTE(SUBSTITUTE(SUBSTITUTE(SUBSTITUTE(SUBSTITUTE(SUBSTITUTE(SUBSTITUTE(SUBSTITUTE(SUBSTITUTE(SUBSTITUTE(SUBSTITUTE(SUBSTITUTE(SUBSTITUTE(SUBSTITUTE(SUBSTITUTE(LOWER(AA215&amp;""),CHAR(10),""),CHAR(13),""),CHAR(9),""),CHAR(160),"")," ",""),".",""),"-",""),"/",""),"?",""),"_",""),",",""),"[",""),"]",""),"(",""),")",""),"*","")</f>
        <v/>
      </c>
      <c r="BB215" s="61" t="str">
        <f aca="false">IF(AND(TRIM(U215)="Pass",ISNUMBER(AF215)),IF(AF215&lt;&gt;0,"INVALID – qty variance: use Fail or Pass after CA",""),"")&amp;IF(AND(TRIM(U215)="Pass after CA",ISNUMBER(AF215)),IF(AF215&lt;&gt;0,"INVALID – after the corrective action the actual qty must equal expected (update Actual)",""),"")&amp;IF(AND(TRIM(U215)="Pass",TRIM(AB215)&lt;&gt;"",TRIM(AB215)&lt;&gt;"Closed"),"INVALID – corrective action not closed: use Fail, then Pass after CA","")&amp;IF(AND(LEN(BA215)&gt;=2,ISNA(MATCH(LEFT(BA215,255),L_Placeholder,0)),TRIM(AB215)=""),"INVALID – CA status missing for the recorded corrective action","")&amp;IF(AND(TRIM(U215)="Pass after CA",OR(OR(LEN(BA215)&lt;5,ISNUMBER(MATCH(BA215,L_Placeholder,0))),TRIM(AB215)&lt;&gt;"Closed")),"INVALID – corrective action not recorded/closed","")</f>
        <v/>
      </c>
      <c r="BC215" s="61" t="str">
        <f aca="false">" "&amp;TRIM(SUBSTITUTE(SUBSTITUTE(SUBSTITUTE(SUBSTITUTE(SUBSTITUTE(SUBSTITUTE(SUBSTITUTE(SUBSTITUTE(SUBSTITUTE(SUBSTITUTE(SUBSTITUTE(SUBSTITUTE(SUBSTITUTE(SUBSTITUTE(SUBSTITUTE(SUBSTITUTE(SUBSTITUTE(SUBSTITUTE(SUBSTITUTE(SUBSTITUTE(SUBSTITUTE(SUBSTITUTE(SUBSTITUTE(SUBSTITUTE(LOWER(V215&amp;""),CHAR(10)," "),CHAR(13)," "),CHAR(9)," "),CHAR(160)," "),"."," "),","," "),"-"," "),"/"," "),"("," "),")"," "),":"," "),";"," "),"_"," "),"–"," "),"?"," "),"!"," "),"*"," "),"["," "),"]"," "),"'"," "),"#"," "),"+"," "),"&amp;"," "),"\"," "))&amp;" "</f>
        <v>  </v>
      </c>
      <c r="BD215" s="61" t="str">
        <f aca="false">" "&amp;TRIM(SUBSTITUTE(SUBSTITUTE(SUBSTITUTE(SUBSTITUTE(SUBSTITUTE(SUBSTITUTE(SUBSTITUTE(SUBSTITUTE(SUBSTITUTE(SUBSTITUTE(SUBSTITUTE(SUBSTITUTE(SUBSTITUTE(SUBSTITUTE(SUBSTITUTE(SUBSTITUTE(SUBSTITUTE(SUBSTITUTE(SUBSTITUTE(SUBSTITUTE(SUBSTITUTE(SUBSTITUTE(SUBSTITUTE(SUBSTITUTE(LOWER(Z215&amp;""),CHAR(10)," "),CHAR(13)," "),CHAR(9)," "),CHAR(160)," "),"."," "),","," "),"-"," "),"/"," "),"("," "),")"," "),":"," "),";"," "),"_"," "),"–"," "),"?"," "),"!"," "),"*"," "),"["," "),"]"," "),"'"," "),"#"," "),"+"," "),"&amp;"," "),"\"," "))&amp;" "</f>
        <v>  </v>
      </c>
      <c r="BE215" s="61" t="str">
        <f aca="false">" "&amp;TRIM(SUBSTITUTE(SUBSTITUTE(SUBSTITUTE(SUBSTITUTE(SUBSTITUTE(SUBSTITUTE(SUBSTITUTE(SUBSTITUTE(SUBSTITUTE(SUBSTITUTE(SUBSTITUTE(SUBSTITUTE(SUBSTITUTE(SUBSTITUTE(SUBSTITUTE(SUBSTITUTE(SUBSTITUTE(SUBSTITUTE(SUBSTITUTE(SUBSTITUTE(SUBSTITUTE(SUBSTITUTE(SUBSTITUTE(SUBSTITUTE(LOWER(W215&amp;""),CHAR(10)," "),CHAR(13)," "),CHAR(9)," "),CHAR(160)," "),"."," "),","," "),"-"," "),"/"," "),"("," "),")"," "),":"," "),";"," "),"_"," "),"–"," "),"?"," "),"!"," "),"*"," "),"["," "),"]"," "),"'"," "),"#"," "),"+"," "),"&amp;"," "),"\"," "))&amp;" "</f>
        <v>  </v>
      </c>
      <c r="BF215" s="61" t="str">
        <f aca="false">" "&amp;TRIM(SUBSTITUTE(SUBSTITUTE(SUBSTITUTE(SUBSTITUTE(SUBSTITUTE(SUBSTITUTE(SUBSTITUTE(SUBSTITUTE(SUBSTITUTE(SUBSTITUTE(SUBSTITUTE(SUBSTITUTE(SUBSTITUTE(SUBSTITUTE(SUBSTITUTE(SUBSTITUTE(SUBSTITUTE(SUBSTITUTE(SUBSTITUTE(SUBSTITUTE(SUBSTITUTE(SUBSTITUTE(SUBSTITUTE(SUBSTITUTE(LOWER(AC215&amp;""),CHAR(10)," "),CHAR(13)," "),CHAR(9)," "),CHAR(160)," "),"."," "),","," "),"-"," "),"/"," "),"("," "),")"," "),":"," "),";"," "),"_"," "),"–"," "),"?"," "),"!"," "),"*"," "),"["," "),"]"," "),"'"," "),"#"," "),"+"," "),"&amp;"," "),"\"," "))&amp;" "</f>
        <v>  </v>
      </c>
      <c r="BG215" s="61" t="n">
        <f aca="false">IFERROR(IF(AND(TRIM(U215)="Pass",SUMPRODUCT((LEN(BC215)-LEN(SUBSTITUTE(BC215," "&amp;L_ResultBad&amp;" "," ")))/(LEN(L_ResultBad)+1))&gt;SUMPRODUCT((LEN(BC215)-LEN(SUBSTITUTE(BC215," "&amp;L_NegPhrase&amp;" "," ")))/(LEN(L_NegPhrase)+1))),1,0),0)</f>
        <v>0</v>
      </c>
      <c r="BH215" s="61" t="n">
        <f aca="false">IFERROR(IF(SUMPRODUCT((LEN(BC215)-LEN(SUBSTITUTE(BC215," "&amp;L_Pending&amp;" "," ")))/(LEN(L_Pending)+1))&gt;SUMPRODUCT((LEN(BC215)-LEN(SUBSTITUTE(BC215," "&amp;L_PendNeg&amp;" "," ")))/(LEN(L_PendNeg)+1))+SUMPRODUCT((LEN(BC215)-LEN(SUBSTITUTE(BC215," "&amp;L_PendPrep&amp;" "," ")))/(LEN(L_PendPrep)+1)),1,0),1)</f>
        <v>0</v>
      </c>
      <c r="BI215" s="61" t="n">
        <f aca="false">IFERROR(IF(SUMPRODUCT((LEN(BD215)-LEN(SUBSTITUTE(BD215," "&amp;L_PendStrict&amp;" "," ")))/(LEN(L_PendStrict)+1))&gt;SUMPRODUCT((LEN(BD215)-LEN(SUBSTITUTE(BD215," "&amp;L_PendNeg&amp;" "," ")))/(LEN(L_PendNeg)+1)),1,0),1)</f>
        <v>0</v>
      </c>
      <c r="BJ215" s="61" t="n">
        <f aca="false">IFERROR(IF(SUMPRODUCT((LEN(BE215)-LEN(SUBSTITUTE(BE215," "&amp;L_Pending&amp;" "," ")))/(LEN(L_Pending)+1))&gt;SUMPRODUCT((LEN(BE215)-LEN(SUBSTITUTE(BE215," "&amp;L_PendNeg&amp;" "," ")))/(LEN(L_PendNeg)+1))+SUMPRODUCT((LEN(BE215)-LEN(SUBSTITUTE(BE215," "&amp;L_PendPrep&amp;" "," ")))/(LEN(L_PendPrep)+1)),1,0),1)</f>
        <v>0</v>
      </c>
      <c r="BK215" s="61" t="n">
        <f aca="false">IFERROR(IF(SUMPRODUCT((LEN(BF215)-LEN(SUBSTITUTE(BF215," "&amp;L_PendStrict&amp;" "," ")))/(LEN(L_PendStrict)+1))&gt;SUMPRODUCT((LEN(BF215)-LEN(SUBSTITUTE(BF215," "&amp;L_PendNeg&amp;" "," ")))/(LEN(L_PendNeg)+1)),1,0),1)</f>
        <v>0</v>
      </c>
      <c r="BL215" s="61" t="n">
        <f aca="false">IF(ISNA(MATCH(TRIM(S215),L_EvidenceType,0)),0,BZ215)</f>
        <v>0</v>
      </c>
      <c r="BM215" s="61" t="str">
        <f aca="false">SUBSTITUTE(SUBSTITUTE(SUBSTITUTE(SUBSTITUTE(SUBSTITUTE(SUBSTITUTE(SUBSTITUTE(SUBSTITUTE(SUBSTITUTE(LOWER(Z215&amp;""),"1","0"),"2","0"),"3","0"),"4","0"),"5","0"),"6","0"),"7","0"),"8","0"),"9","0")</f>
        <v/>
      </c>
      <c r="BN215" s="61" t="str">
        <f aca="false">SUBSTITUTE(SUBSTITUTE(SUBSTITUTE(SUBSTITUTE(SUBSTITUTE(SUBSTITUTE(SUBSTITUTE(SUBSTITUTE(SUBSTITUTE(SUBSTITUTE(SUBSTITUTE(SUBSTITUTE(SUBSTITUTE(SUBSTITUTE(SUBSTITUTE(SUBSTITUTE(SUBSTITUTE(SUBSTITUTE(SUBSTITUTE(SUBSTITUTE(SUBSTITUTE(SUBSTITUTE(SUBSTITUTE(SUBSTITUTE(SUBSTITUTE(BM215,"b","a"),"c","a"),"d","a"),"e","a"),"f","a"),"g","a"),"h","a"),"i","a"),"j","a"),"k","a"),"l","a"),"m","a"),"n","a"),"o","a"),"p","a"),"q","a"),"r","a"),"s","a"),"t","a"),"u","a"),"v","a"),"w","a"),"x","a"),"y","a"),"z","a")</f>
        <v/>
      </c>
      <c r="BO215" s="61" t="str">
        <f aca="false">SUBSTITUTE(SUBSTITUTE(SUBSTITUTE(SUBSTITUTE(SUBSTITUTE(SUBSTITUTE(SUBSTITUTE(SUBSTITUTE(SUBSTITUTE(LOWER(W215&amp;""),"1","0"),"2","0"),"3","0"),"4","0"),"5","0"),"6","0"),"7","0"),"8","0"),"9","0")</f>
        <v/>
      </c>
      <c r="BP215" s="61" t="str">
        <f aca="false">SUBSTITUTE(SUBSTITUTE(SUBSTITUTE(SUBSTITUTE(SUBSTITUTE(SUBSTITUTE(SUBSTITUTE(SUBSTITUTE(SUBSTITUTE(SUBSTITUTE(SUBSTITUTE(SUBSTITUTE(SUBSTITUTE(SUBSTITUTE(SUBSTITUTE(SUBSTITUTE(SUBSTITUTE(SUBSTITUTE(SUBSTITUTE(SUBSTITUTE(SUBSTITUTE(SUBSTITUTE(SUBSTITUTE(SUBSTITUTE(SUBSTITUTE(BO215,"b","a"),"c","a"),"d","a"),"e","a"),"f","a"),"g","a"),"h","a"),"i","a"),"j","a"),"k","a"),"l","a"),"m","a"),"n","a"),"o","a"),"p","a"),"q","a"),"r","a"),"s","a"),"t","a"),"u","a"),"v","a"),"w","a"),"x","a"),"y","a"),"z","a")</f>
        <v/>
      </c>
      <c r="BQ215" s="61" t="n">
        <f aca="false">IFERROR(IF(AND(ISERROR(SEARCH(" mh"," "&amp;LOWER(W215))),ISNA(MATCH(LEFT(TRIM(BP215),255),{"0000a","000a","00a","0000aa","000aa","00aa","0aa","0000aaa","000aaa","00a00","0a00","0000-0000","00:00","a00","a0","00.00.0000","00/00/0000","00-00-0000","0000-00-00","0000/00/00","0000.00.00","00.00.00","00/00/00","00-00-00","0.00.0000","0/00/0000","0-00-0000"},0)),ISNA(MATCH(LEFT(TRIM(CA215),255),{"0000a","000a","00a","0000aa","000aa","00aa","0aa","0000aaa","000aaa","00a00","0a00","0000-0000","00:00","a00","a0","00.00.0000","00/00/0000","00-00-0000","0000-00-00","0000/00/00","0000.00.00","00.00.00","00/00/00","00-00-00","0.00.0000","0/00/0000","0-00-0000"},0)),LEN(CB215)&gt;=3,NOT(OR(SUBSTITUTE(CB215,"0","")="",AND(LEN(CB215)&gt;=4,CB215=REPT(LEFT(CB215),LEN(CB215))),ISNUMBER(MATCH(CB215,{"123","1234","12345","123456","1234567","12345678","0123","01234","012345","98765","987654","54321"},0)),AND(LEN(CB215)=8,LEFT(CB215,3)="202"))),OR(AND((LEN(CA215)-LEN(SUBSTITUTE(CA215,"a","")))&gt;=1,SUMPRODUCT(--ISNUMBER(SEARCH({"a0","a-0","a_0","a/0","a.0","a#0","0a","0-a","0_a","0/a"},BP215)))&gt;0),ISNUMBER(SEARCH("000000",BP215)))),1,0),0)</f>
        <v>0</v>
      </c>
      <c r="BR215" s="61" t="n">
        <f aca="false">IFERROR(LEN(SUBSTITUTE(CC215," ",""))-SUMPRODUCT((LEN(CC215)-LEN(SUBSTITUTE(CC215," "&amp;L_Role&amp;" "," ")))/(LEN(L_Role)+1)*LEN(L_Role)),0)</f>
        <v>0</v>
      </c>
      <c r="BS215" s="61" t="n">
        <f aca="false">IFERROR(LEN(SUBSTITUTE(CD215," ",""))-SUMPRODUCT((LEN(CD215)-LEN(SUBSTITUTE(CD215," "&amp;L_Role&amp;" "," ")))/(LEN(L_Role)+1)*LEN(L_Role)),0)</f>
        <v>0</v>
      </c>
      <c r="BT2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215,"revision",""),"version",""),"jan",""),"feb",""),"mar",""),"apr",""),"may",""),"jun",""),"jul",""),"aug",""),"sep",""),"oct",""),"nov",""),"dec",""),"utc",""),"gmt",""),"myt",""),"bst",""),"rev",""),"ver",""),"b","a"),"c","a"),"d","a"),"e","a"),"f","a"),"g","a"),"h","a"),"i","a"),"j","a"),"k","a"),"l","a"),"m","a"),"n","a"),"o","a"),"p","a"),"q","a"),"r","a"),"s","a"),"t","a"),"u","a"),"v","a"),"w","a"),"x","a"),"y","a"),"z","a")</f>
        <v/>
      </c>
      <c r="BU215" s="61" t="str">
        <f aca="false">SUBSTITUTE(SUBSTITUTE(SUBSTITUTE(SUBSTITUTE(SUBSTITUTE(SUBSTITUTE(SUBSTITUTE(SUBSTITUTE(SUBSTITUTE(SUBSTITUTE(LEFT(BM215,FIND("0",BM215&amp;"0")-1),"-",""),"_",""),"/",""),".",""),"#",""),"\\",""),":","")," ",""),"(",""),")","")</f>
        <v/>
      </c>
      <c r="BV215" s="61" t="n">
        <f aca="false">0</f>
        <v>0</v>
      </c>
      <c r="BW2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215&amp;""),"a",""),"b",""),"c",""),"d",""),"e",""),"f",""),"g",""),"h",""),"i",""),"j",""),"k",""),"l",""),"m",""),"n",""),"o",""),"p",""),"q",""),"r",""),"s",""),"t",""),"u",""),"v",""),"w",""),"x",""),"y",""),"z",""),"-",""),"_",""),"/",""),".",""),"#",""),"\\",""),":","")," ",""),"(",""),")","")</f>
        <v/>
      </c>
      <c r="BX215" s="61" t="str">
        <f aca="false">SUBSTITUTE(SUBSTITUTE(SUBSTITUTE(SUBSTITUTE(SUBSTITUTE(SUBSTITUTE(SUBSTITUTE(SUBSTITUTE(SUBSTITUTE(SUBSTITUTE(SUBSTITUTE(BM215,"0",""),"-",""),"_",""),"/",""),".",""),"#",""),"\\",""),":","")," ",""),"(",""),")","")</f>
        <v/>
      </c>
      <c r="BY215" s="62" t="n">
        <f aca="false">Q215-T7EarlyD*24/24</f>
        <v>46283.4166666667</v>
      </c>
      <c r="BZ215" s="61" t="n">
        <f aca="false">IFERROR(IF(IF(TRIM(S215)="Link / file path",AND(LEN(TRIM(Z215))&gt;=5,SUMPRODUCT(--ISNUMBER(SEARCH({"http","www.","\\",":\",".pdf",".jpg",".jpeg",".png",".heic",".xls",".doc",".msg",".eml",".ppt",".txt",".zip"},Z215)))&gt;0),AND(ISERROR(FIND(" ",TRIM(Z215))),NOT(OR(SUMPRODUCT(--ISNUMBER(FIND({",",";","&amp;","+"},Z215)))&gt;0,SUMPRODUCT(--ISNUMBER(SEARCH({"0/aa","0\\aa"},BN215)))&gt;0)),NOT(SUMPRODUCT(--ISNUMBER(SEARCH({"http","www.","\\",":\",".pdf",".jpg",".jpeg",".png",".heic",".xls",".doc",".msg",".eml",".ppt",".txt",".zip"},Z215)))&gt;0),NOT(LOWER(TRIM(Z215))=LOWER(Flights!$F$11)),ISNA(MATCH(BU215,{"mh","rev","revision","ver","version","v","r","a","b","seat","tray","row","gate","bay","stand","page","pg","item","line","no","cart","galley","flight","flt","table","box","bag","oven","etd","eta","std","sta","atd","ata","qty","pax","x","time","tel","ph","mob","day","wk","week","utc","gmt","myt","lt"},0)),NOT(OR(ISNUMBER(MATCH(LEFT(BN215,255),{"0000a","000a","00a","0000aa","000aa","00aa","0aa","0000aaa","000aaa","00a00","0a00","0000-0000","00:00","a00","a0","00.00.0000","00/00/0000","00-00-0000","0000-00-00","0000/00/00","0000.00.00","00.00.00","00/00/00","00-00-00","0.00.0000","0/00/0000","0-00-0000"},0)),ISNUMBER(MATCH(LEFT(BT215,255),{"0000a","000a","00a","0000aa","000aa","00aa","0aa","0000aaa","000aaa","00a00","0a00","0000-0000","00:00","a00","a0","00.00.0000","00/00/0000","00-00-0000","0000-00-00","0000/00/00","0000.00.00","00.00.00","00/00/00","00-00-00","0.00.0000","0/00/0000","0-00-0000"},0)))),NOT(OR(AND(BW215&lt;&gt;"",SUBSTITUTE(BW215,"0","")=""),AND(LEN(BW215)&gt;=4,BW215=REPT(LEFT(BW215),LEN(BW215))),ISNUMBER(MATCH(BW215,{"123","1234","12345","123456","1234567","12345678","0123","01234","012345","98765","987654","54321"},0)),ISNUMBER(MATCH(BX215,{"x","xx","xxx","xxxx","xxxxx","abc","abcd","nil","na","nan","test","tbc","tba","tbd","dummy","sample","example","eg","zz","zzz","none","null","xyz","qwe","asd","id","ref"},0)),AND(LEN(BW215)=8,BX215="",OR(LEFT(BW215,3)="202",ISNUMBER(MATCH(RIGHT(BW215,4),{"2025","2026","2027"},0)))))),OR(AND((LEN(BT215)-LEN(SUBSTITUTE(BT215,"a","")))&gt;=1,(LEN(BN215)-LEN(SUBSTITUTE(BN215,"0","")))&gt;=2,SUMPRODUCT(--ISNUMBER(SEARCH({"a0","a-0","a_0","a/0","a.0","a#0","0a","0-a","0_a","0/a"},BN215)))&gt;0),AND((LEN(BN215)-LEN(SUBSTITUTE(BN215,"a","")))=0,(LEN(BN215)-LEN(SUBSTITUTE(BN215,"0","")))&gt;=5)))),1,0),0)</f>
        <v>0</v>
      </c>
      <c r="CA2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215,"revision",""),"version",""),"jan",""),"feb",""),"mar",""),"apr",""),"may",""),"jun",""),"jul",""),"aug",""),"sep",""),"oct",""),"nov",""),"dec",""),"utc",""),"gmt",""),"myt",""),"bst",""),"rev",""),"ver",""),"b","a"),"c","a"),"d","a"),"e","a"),"f","a"),"g","a"),"h","a"),"i","a"),"j","a"),"k","a"),"l","a"),"m","a"),"n","a"),"o","a"),"p","a"),"q","a"),"r","a"),"s","a"),"t","a"),"u","a"),"v","a"),"w","a"),"x","a"),"y","a"),"z","a")</f>
        <v/>
      </c>
      <c r="CB2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215&amp;""),"a",""),"b",""),"c",""),"d",""),"e",""),"f",""),"g",""),"h",""),"i",""),"j",""),"k",""),"l",""),"m",""),"n",""),"o",""),"p",""),"q",""),"r",""),"s",""),"t",""),"u",""),"v",""),"w",""),"x",""),"y",""),"z",""),"-",""),"_",""),"/",""),".",""),"#",""),"\\",""),":","")," ",""),"(",""),")","")</f>
        <v/>
      </c>
      <c r="CC215" s="0" t="str">
        <f aca="false">" "&amp;TRIM(SUBSTITUTE(SUBSTITUTE(SUBSTITUTE(SUBSTITUTE(SUBSTITUTE(SUBSTITUTE(SUBSTITUTE(SUBSTITUTE(SUBSTITUTE(SUBSTITUTE(SUBSTITUTE(SUBSTITUTE(SUBSTITUTE(SUBSTITUTE(SUBSTITUTE(SUBSTITUTE(SUBSTITUTE(SUBSTITUTE(SUBSTITUTE(SUBSTITUTE(SUBSTITUTE(SUBSTITUTE(SUBSTITUTE(SUBSTITUTE(LOWER(T215&amp;""),CHAR(10)," "),CHAR(13)," "),CHAR(9)," "),CHAR(160)," "),"."," "),","," "),"-"," "),"/"," "),"("," "),")"," "),":"," "),";"," "),"_"," "),"–"," "),"?"," "),"!"," "),"*"," "),"["," "),"]"," "),"'"," "),"#"," "),"+"," "),"&amp;"," "),"\"," "))&amp;" "</f>
        <v>  </v>
      </c>
      <c r="CD215" s="0" t="str">
        <f aca="false">" "&amp;TRIM(SUBSTITUTE(SUBSTITUTE(SUBSTITUTE(SUBSTITUTE(SUBSTITUTE(SUBSTITUTE(SUBSTITUTE(SUBSTITUTE(SUBSTITUTE(SUBSTITUTE(SUBSTITUTE(SUBSTITUTE(SUBSTITUTE(SUBSTITUTE(SUBSTITUTE(SUBSTITUTE(SUBSTITUTE(SUBSTITUTE(SUBSTITUTE(SUBSTITUTE(SUBSTITUTE(SUBSTITUTE(SUBSTITUTE(SUBSTITUTE(LOWER(AE215&amp;""),CHAR(10)," "),CHAR(13)," "),CHAR(9)," "),CHAR(160)," "),"."," "),","," "),"-"," "),"/"," "),"("," "),")"," "),":"," "),";"," "),"_"," "),"–"," "),"?"," "),"!"," "),"*"," "),"["," "),"]"," "),"'"," "),"#"," "),"+"," "),"&amp;"," "),"\"," "))&amp;" "</f>
        <v>  </v>
      </c>
      <c r="CE215" s="68" t="n">
        <f aca="false">IFERROR(IF(AND(LEN(AU215)&gt;0,LEN(AU215)=LEN(AX215),OR(TRIM(MID(SUBSTITUTE(TRIM(CC215)," ",REPT(" ",60)),1,60))="",ISNUMBER(SEARCH(" "&amp;TRIM(MID(SUBSTITUTE(TRIM(CC215)," ",REPT(" ",60)),1,60))&amp;" ",CD215))),OR(TRIM(MID(SUBSTITUTE(TRIM(CC215)," ",REPT(" ",60)),61,60))="",ISNUMBER(SEARCH(" "&amp;TRIM(MID(SUBSTITUTE(TRIM(CC215)," ",REPT(" ",60)),61,60))&amp;" ",CD215))),OR(TRIM(MID(SUBSTITUTE(TRIM(CC215)," ",REPT(" ",60)),121,60))="",ISNUMBER(SEARCH(" "&amp;TRIM(MID(SUBSTITUTE(TRIM(CC215)," ",REPT(" ",60)),121,60))&amp;" ",CD215)))),1,0),0)</f>
        <v>0</v>
      </c>
      <c r="CG215" s="68" t="n">
        <f aca="false">IFERROR(LEN(SUBSTITUTE(BF215," ",""))-SUMPRODUCT((LEN(BF215)-LEN(SUBSTITUTE(BF215," "&amp;L_NAFiller&amp;" "," ")))/(LEN(L_NAFiller)+1)*LEN(L_NAFiller)),0)</f>
        <v>0</v>
      </c>
    </row>
    <row r="216" customFormat="false" ht="39.75" hidden="false" customHeight="true" outlineLevel="0" collapsed="false">
      <c r="A216" s="57" t="s">
        <v>777</v>
      </c>
      <c r="B216" s="57" t="s">
        <v>235</v>
      </c>
      <c r="C216" s="57" t="str">
        <f aca="false">Flights!$F$11</f>
        <v>MH0003</v>
      </c>
      <c r="D216" s="58" t="n">
        <f aca="false">Flights!$D$11</f>
        <v>46304</v>
      </c>
      <c r="E216" s="57" t="str">
        <f aca="false">Flights!$G$11&amp;"-"&amp;Flights!$H$11</f>
        <v>LHR-KUL</v>
      </c>
      <c r="F216" s="57" t="str">
        <f aca="false">Flights!$K$11</f>
        <v>BC</v>
      </c>
      <c r="G216" s="57" t="s">
        <v>81</v>
      </c>
      <c r="H216" s="57" t="s">
        <v>378</v>
      </c>
      <c r="I216" s="57" t="s">
        <v>394</v>
      </c>
      <c r="J216" s="57" t="s">
        <v>395</v>
      </c>
      <c r="K216" s="67" t="s">
        <v>396</v>
      </c>
      <c r="L216" s="67" t="s">
        <v>382</v>
      </c>
      <c r="M216" s="67"/>
      <c r="N216" s="67" t="s">
        <v>383</v>
      </c>
      <c r="O216" s="67"/>
      <c r="P216" s="57" t="s">
        <v>186</v>
      </c>
      <c r="Q216" s="59" t="n">
        <f aca="false">ROUND((Flights!$AC$11)*1440,0)/1440</f>
        <v>46297.4166666667</v>
      </c>
      <c r="R216" s="59" t="n">
        <f aca="false">Q216+(IF(AND(INDEX(TZ_DSTS,MATCH(P216,TZ_STN,0))&lt;&gt;"",Q216&gt;=INDEX(TZ_DSTS,MATCH(P216,TZ_STN,0)),Q216&lt;INDEX(TZ_DSTE,MATCH(P216,TZ_STN,0))),INDEX(TZ_DST,MATCH(P216,TZ_STN,0)),INDEX(TZ_STD,MATCH(P216,TZ_STN,0))))/24</f>
        <v>46297.4583333333</v>
      </c>
      <c r="S216" s="60"/>
      <c r="T216" s="60"/>
      <c r="U216" s="60"/>
      <c r="V216" s="60"/>
      <c r="W216" s="61"/>
      <c r="X216" s="60"/>
      <c r="Y216" s="60"/>
      <c r="Z216" s="60"/>
      <c r="AA216" s="60"/>
      <c r="AB216" s="60"/>
      <c r="AC216" s="60"/>
      <c r="AD216" s="66"/>
      <c r="AE216" s="60"/>
      <c r="AF216" s="61" t="str">
        <f aca="false">IF(AND(ISNUMBER(X216),ISNUMBER(Y216)),Y216-X216,"")</f>
        <v/>
      </c>
      <c r="AG216" s="62" t="str">
        <f aca="false">IF(ISNUMBER(AD216),AD216-(IF(AND(INDEX(TZ_DSTS,MATCH(P216,TZ_STN,0))&lt;&gt;"",(AD216-INDEX(TZ_STD,MATCH(P216,TZ_STN,0))/24)&gt;=INDEX(TZ_DSTS,MATCH(P216,TZ_STN,0)),(AD216-INDEX(TZ_STD,MATCH(P216,TZ_STN,0))/24)&lt;INDEX(TZ_DSTE,MATCH(P216,TZ_STN,0))),INDEX(TZ_DST,MATCH(P216,TZ_STN,0)),INDEX(TZ_STD,MATCH(P216,TZ_STN,0))))/24,"")</f>
        <v/>
      </c>
      <c r="AH216" s="65" t="str">
        <f aca="false">IFERROR(IF(N216="N/A – rule",IF(OR(TRIM(U216)="",TRIM(U216)="N/A",TRIM(U216)="Not started"),"N/A – RULE","INVALID – this check does not apply to this aircraft: clear the status (or correct the fleet on Flights)"),IF(TRIM(U216)="N/A",IF(AT216=0,"INVALID – N/A not permitted for this check",IF(AND(TRIM(AB216)&lt;&gt;"",TRIM(AB216)&lt;&gt;"Closed"),"INVALID – corrective action still open",IF(AND(NOT(OR(LEN(AZ216)&lt;15,ISNUMBER(MATCH(AZ216,L_Placeholder,0)))),BK216=0,CG216&gt;=8,NOT(OR(LEN(AU216)&lt;2,ISNUMBER(MATCH(AU216,L_Placeholder,0)))),BR216&gt;=3,NOT(OR(LEN(AX216)&lt;2,ISNUMBER(MATCH(AX216,L_Placeholder,0)))),BS216&gt;=3,TRIM(AE216)&lt;&gt;TRIM(T216),AX216&lt;&gt;AU216,CE216=0),"N/A – JUSTIFIED","INVALID – N/A needs a real, settled reason (not 'not applicable' / 'as above' / TBC), a named PIC and a different named verifier"))),IF(OR(TRIM(U216)="Pass",TRIM(U216)="Pass after CA"),IF(NOT(ISNUMBER(AD216)),"INVALID – completion time missing",IF(OR(OR(LEN(AU216)&lt;2,ISNUMBER(MATCH(AU216,L_Placeholder,0))),BR216&lt;3),"INVALID – PIC missing or not a named person (a role such as QA / CSM is not a name)",IF(OR(LEN(AV216)&lt;2,ISNUMBER(MATCH(AV216,L_Placeholder,0))),"INVALID – result / assessment missing",IF(OR(OR(LEN(AW216)&lt;3,ISNUMBER(MATCH(AW216,L_Placeholder,0))),SUMPRODUCT(--ISNUMBER(SEARCH(" "&amp;L_EvidencePhrase&amp;" ",BD216)))&gt;0,BI216=1),"INVALID – evidence missing, placeholder or not yet on file",IF(ISNA(MATCH(TRIM(S216),L_EvidenceType,0)),"INVALID – choose the evidence type from the list (column S)",IF(BL216=0,"INVALID – evidence ID must be the record's own ID only (e.g. SF-2210, IMG_2231, 1045521); a link / file name needs type 'Link / file path'",IF(OR(OR(LEN(AX216)&lt;2,ISNUMBER(MATCH(AX216,L_Placeholder,0))),BS216&lt;3),"INVALID – verifier missing or not a named person (a role such as QA / CSM is not a name)",IF(OR(AX216=AU216,CE216=1,AND(LEN(AU216)&gt;=4,ISNUMBER(SEARCH(AU216,AX216))),AND(LEN(AX216)&gt;=4,ISNUMBER(SEARCH(AX216,AU216)))),"INVALID – verifier must be a different, named person (not the PIC or a role)",IF(BH216=1,"INVALID – result not yet available (awaiting / TBC)",IF(BG216=1,"INVALID – result describes a problem: record Fail, then Pass after CA (or reword if it is not a problem)",IF(BV216=1,"INVALID – wording says not on board: an on-board confirmation needs the item loaded",IF(AND(AQ216=1,OR(OR(LEN(AY216)&lt;3,ISNUMBER(MATCH(AY216,L_Placeholder,0))),BJ216=1,BQ216=0)),"INVALID – batch ID missing, placeholder or not an ID (e.g. PASB-261008-BC-017)",IF(AND(AR216=1,OR(NOT(ISNUMBER(X216)),NOT(ISNUMBER(Y216)))),"INVALID – expected/actual qty missing",IF(AND(AR216=1,OR(X216&lt;=0,Y216&lt;0)),"INVALID – expected qty must be above 0 and actual not negative",IF(BB216&lt;&gt;"",BB216,IF(AND(AS216=1,Documents!$J$11&lt;&gt;"ON FILE"),"INVALID – GLD not on file (Documents sheet)",IF(AND(AS216=2,Documents!$O$11&lt;&gt;"ON FILE"),"INVALID – menu checklist not on file (Documents sheet)",IF(AND(AS216=3,NOT(ISNUMBER(Flights!$AX$11))),"INVALID – enter carrying flight KUL departure (Flights AX)",IF(AND(AS216=3,OR(Flights!$AZ$11&gt;Flights!$AA$11,Flights!$AX$11&lt;Flights!$AA$11-3)),"INVALID – carrying flight (Flights AX) cannot arrive before this leg's STD, or is over 3 days early",IF(AG216&gt;AsOfUTC,"INVALID – completion time is in the future",IF(AND(ISNUMBER(BY216),AG216&lt;BY216),IF(H216="Physical uplift","INVALID – before uplift window (cannot confirm loading)","INVALID – before valid window"),IF(AG216&gt;Flights!$AA$11,"INVALID – completed after departure (cannot establish readiness)",IF(AND(H216="Preparation",AG216&gt;=IF(ISNUMBER(Flights!$BA$11),MIN(Flights!$BA$11,Flights!$AA$11),Flights!$AA$11)),"INVALID – completed after loading / departure (cannot establish readiness)",IF(AND(H216="Physical uplift",AG216&gt;Q216),"INVALID – recorded after the loading flight departed",IF(AG216&gt;Q216,"COMPLETE – LATE","COMPLETE"))))))))))))))))))))))))),IF(TRIM(U216)="Fail","FAIL – DISCREPANCY",IF(AND(TRIM(U216)&lt;&gt;"",TRIM(U216)&lt;&gt;"Not started",TRIM(U216)&lt;&gt;"In progress"),"INVALID – unrecognised status (use the list)",IF(AsOfUTC&gt;Q216,"OVERDUE",IF(N216="Clarification required","OPEN – CLARIFICATION","OPEN"))))))),"INVALID – error value in an input cell")</f>
        <v>OPEN</v>
      </c>
      <c r="AI216" s="61" t="n">
        <f aca="false">IF(OR(AH216="N/A – RULE",AH216="N/A – JUSTIFIED"),0,1)</f>
        <v>1</v>
      </c>
      <c r="AJ216" s="61" t="n">
        <f aca="false">IF(LEFT(AH216,8)="COMPLETE",1,0)</f>
        <v>0</v>
      </c>
      <c r="AK216" s="61" t="n">
        <f aca="false">IF(AND(AI216=1,AJ216=0,AsOfUTC&gt;Q216),1,0)</f>
        <v>0</v>
      </c>
      <c r="AL216" s="61" t="n">
        <f aca="false">IFERROR(IF(AND(AI216=1,OR(TRIM(U216)="Fail",AND(TRIM(AB216)&lt;&gt;"",TRIM(AB216)&lt;&gt;"Closed"),AND(ISNUMBER(AF216),AF216&lt;&gt;0,TRIM(U216)&lt;&gt;"Pass after CA"))),1,0),1)</f>
        <v>0</v>
      </c>
      <c r="AM216" s="61" t="n">
        <f aca="false">IF(LEFT(AH216,7)="INVALID",1,0)</f>
        <v>0</v>
      </c>
      <c r="AN216" s="61" t="n">
        <f aca="false">IF(AND(N216="Clarification required",AI216=1,AJ216=0),1,0)</f>
        <v>0</v>
      </c>
      <c r="AO216" s="61" t="str">
        <f aca="false">IF(AK216=1,SUM(AK$5:AK216),"")</f>
        <v/>
      </c>
      <c r="AP216" s="61" t="str">
        <f aca="false">IF(AL216=1,SUM(AL$5:AL216),"")</f>
        <v/>
      </c>
      <c r="AQ216" s="61" t="n">
        <v>0</v>
      </c>
      <c r="AR216" s="61" t="n">
        <v>0</v>
      </c>
      <c r="AS216" s="61" t="n">
        <v>0</v>
      </c>
      <c r="AT216" s="61" t="n">
        <v>0</v>
      </c>
      <c r="AU216" s="61" t="str">
        <f aca="false">SUBSTITUTE(SUBSTITUTE(SUBSTITUTE(SUBSTITUTE(SUBSTITUTE(SUBSTITUTE(SUBSTITUTE(SUBSTITUTE(SUBSTITUTE(SUBSTITUTE(SUBSTITUTE(SUBSTITUTE(SUBSTITUTE(SUBSTITUTE(SUBSTITUTE(SUBSTITUTE(LOWER(T216&amp;""),CHAR(10),""),CHAR(13),""),CHAR(9),""),CHAR(160),"")," ",""),".",""),"-",""),"/",""),"?",""),"_",""),",",""),"[",""),"]",""),"(",""),")",""),"*","")</f>
        <v/>
      </c>
      <c r="AV216" s="61" t="str">
        <f aca="false">SUBSTITUTE(SUBSTITUTE(SUBSTITUTE(SUBSTITUTE(SUBSTITUTE(SUBSTITUTE(SUBSTITUTE(SUBSTITUTE(SUBSTITUTE(SUBSTITUTE(SUBSTITUTE(SUBSTITUTE(SUBSTITUTE(SUBSTITUTE(SUBSTITUTE(SUBSTITUTE(LOWER(V216&amp;""),CHAR(10),""),CHAR(13),""),CHAR(9),""),CHAR(160),"")," ",""),".",""),"-",""),"/",""),"?",""),"_",""),",",""),"[",""),"]",""),"(",""),")",""),"*","")</f>
        <v/>
      </c>
      <c r="AW216" s="61" t="str">
        <f aca="false">SUBSTITUTE(SUBSTITUTE(SUBSTITUTE(SUBSTITUTE(SUBSTITUTE(SUBSTITUTE(SUBSTITUTE(SUBSTITUTE(SUBSTITUTE(SUBSTITUTE(SUBSTITUTE(SUBSTITUTE(SUBSTITUTE(SUBSTITUTE(SUBSTITUTE(SUBSTITUTE(LOWER(Z216&amp;""),CHAR(10),""),CHAR(13),""),CHAR(9),""),CHAR(160),"")," ",""),".",""),"-",""),"/",""),"?",""),"_",""),",",""),"[",""),"]",""),"(",""),")",""),"*","")</f>
        <v/>
      </c>
      <c r="AX216" s="61" t="str">
        <f aca="false">SUBSTITUTE(SUBSTITUTE(SUBSTITUTE(SUBSTITUTE(SUBSTITUTE(SUBSTITUTE(SUBSTITUTE(SUBSTITUTE(SUBSTITUTE(SUBSTITUTE(SUBSTITUTE(SUBSTITUTE(SUBSTITUTE(SUBSTITUTE(SUBSTITUTE(SUBSTITUTE(LOWER(AE216&amp;""),CHAR(10),""),CHAR(13),""),CHAR(9),""),CHAR(160),"")," ",""),".",""),"-",""),"/",""),"?",""),"_",""),",",""),"[",""),"]",""),"(",""),")",""),"*","")</f>
        <v/>
      </c>
      <c r="AY216" s="61" t="str">
        <f aca="false">SUBSTITUTE(SUBSTITUTE(SUBSTITUTE(SUBSTITUTE(SUBSTITUTE(SUBSTITUTE(SUBSTITUTE(SUBSTITUTE(SUBSTITUTE(SUBSTITUTE(SUBSTITUTE(SUBSTITUTE(SUBSTITUTE(SUBSTITUTE(SUBSTITUTE(SUBSTITUTE(LOWER(W216&amp;""),CHAR(10),""),CHAR(13),""),CHAR(9),""),CHAR(160),"")," ",""),".",""),"-",""),"/",""),"?",""),"_",""),",",""),"[",""),"]",""),"(",""),")",""),"*","")</f>
        <v/>
      </c>
      <c r="AZ216" s="61" t="str">
        <f aca="false">SUBSTITUTE(SUBSTITUTE(SUBSTITUTE(SUBSTITUTE(SUBSTITUTE(SUBSTITUTE(SUBSTITUTE(SUBSTITUTE(SUBSTITUTE(SUBSTITUTE(SUBSTITUTE(SUBSTITUTE(SUBSTITUTE(SUBSTITUTE(SUBSTITUTE(SUBSTITUTE(LOWER(AC216&amp;""),CHAR(10),""),CHAR(13),""),CHAR(9),""),CHAR(160),"")," ",""),".",""),"-",""),"/",""),"?",""),"_",""),",",""),"[",""),"]",""),"(",""),")",""),"*","")</f>
        <v/>
      </c>
      <c r="BA216" s="61" t="str">
        <f aca="false">SUBSTITUTE(SUBSTITUTE(SUBSTITUTE(SUBSTITUTE(SUBSTITUTE(SUBSTITUTE(SUBSTITUTE(SUBSTITUTE(SUBSTITUTE(SUBSTITUTE(SUBSTITUTE(SUBSTITUTE(SUBSTITUTE(SUBSTITUTE(SUBSTITUTE(SUBSTITUTE(LOWER(AA216&amp;""),CHAR(10),""),CHAR(13),""),CHAR(9),""),CHAR(160),"")," ",""),".",""),"-",""),"/",""),"?",""),"_",""),",",""),"[",""),"]",""),"(",""),")",""),"*","")</f>
        <v/>
      </c>
      <c r="BB216" s="61" t="str">
        <f aca="false">IF(AND(TRIM(U216)="Pass",ISNUMBER(AF216)),IF(AF216&lt;&gt;0,"INVALID – qty variance: use Fail or Pass after CA",""),"")&amp;IF(AND(TRIM(U216)="Pass after CA",ISNUMBER(AF216)),IF(AF216&lt;&gt;0,"INVALID – after the corrective action the actual qty must equal expected (update Actual)",""),"")&amp;IF(AND(TRIM(U216)="Pass",TRIM(AB216)&lt;&gt;"",TRIM(AB216)&lt;&gt;"Closed"),"INVALID – corrective action not closed: use Fail, then Pass after CA","")&amp;IF(AND(LEN(BA216)&gt;=2,ISNA(MATCH(LEFT(BA216,255),L_Placeholder,0)),TRIM(AB216)=""),"INVALID – CA status missing for the recorded corrective action","")&amp;IF(AND(TRIM(U216)="Pass after CA",OR(OR(LEN(BA216)&lt;5,ISNUMBER(MATCH(BA216,L_Placeholder,0))),TRIM(AB216)&lt;&gt;"Closed")),"INVALID – corrective action not recorded/closed","")</f>
        <v/>
      </c>
      <c r="BC216" s="61" t="str">
        <f aca="false">" "&amp;TRIM(SUBSTITUTE(SUBSTITUTE(SUBSTITUTE(SUBSTITUTE(SUBSTITUTE(SUBSTITUTE(SUBSTITUTE(SUBSTITUTE(SUBSTITUTE(SUBSTITUTE(SUBSTITUTE(SUBSTITUTE(SUBSTITUTE(SUBSTITUTE(SUBSTITUTE(SUBSTITUTE(SUBSTITUTE(SUBSTITUTE(SUBSTITUTE(SUBSTITUTE(SUBSTITUTE(SUBSTITUTE(SUBSTITUTE(SUBSTITUTE(LOWER(V216&amp;""),CHAR(10)," "),CHAR(13)," "),CHAR(9)," "),CHAR(160)," "),"."," "),","," "),"-"," "),"/"," "),"("," "),")"," "),":"," "),";"," "),"_"," "),"–"," "),"?"," "),"!"," "),"*"," "),"["," "),"]"," "),"'"," "),"#"," "),"+"," "),"&amp;"," "),"\"," "))&amp;" "</f>
        <v>  </v>
      </c>
      <c r="BD216" s="61" t="str">
        <f aca="false">" "&amp;TRIM(SUBSTITUTE(SUBSTITUTE(SUBSTITUTE(SUBSTITUTE(SUBSTITUTE(SUBSTITUTE(SUBSTITUTE(SUBSTITUTE(SUBSTITUTE(SUBSTITUTE(SUBSTITUTE(SUBSTITUTE(SUBSTITUTE(SUBSTITUTE(SUBSTITUTE(SUBSTITUTE(SUBSTITUTE(SUBSTITUTE(SUBSTITUTE(SUBSTITUTE(SUBSTITUTE(SUBSTITUTE(SUBSTITUTE(SUBSTITUTE(LOWER(Z216&amp;""),CHAR(10)," "),CHAR(13)," "),CHAR(9)," "),CHAR(160)," "),"."," "),","," "),"-"," "),"/"," "),"("," "),")"," "),":"," "),";"," "),"_"," "),"–"," "),"?"," "),"!"," "),"*"," "),"["," "),"]"," "),"'"," "),"#"," "),"+"," "),"&amp;"," "),"\"," "))&amp;" "</f>
        <v>  </v>
      </c>
      <c r="BE216" s="61" t="str">
        <f aca="false">" "&amp;TRIM(SUBSTITUTE(SUBSTITUTE(SUBSTITUTE(SUBSTITUTE(SUBSTITUTE(SUBSTITUTE(SUBSTITUTE(SUBSTITUTE(SUBSTITUTE(SUBSTITUTE(SUBSTITUTE(SUBSTITUTE(SUBSTITUTE(SUBSTITUTE(SUBSTITUTE(SUBSTITUTE(SUBSTITUTE(SUBSTITUTE(SUBSTITUTE(SUBSTITUTE(SUBSTITUTE(SUBSTITUTE(SUBSTITUTE(SUBSTITUTE(LOWER(W216&amp;""),CHAR(10)," "),CHAR(13)," "),CHAR(9)," "),CHAR(160)," "),"."," "),","," "),"-"," "),"/"," "),"("," "),")"," "),":"," "),";"," "),"_"," "),"–"," "),"?"," "),"!"," "),"*"," "),"["," "),"]"," "),"'"," "),"#"," "),"+"," "),"&amp;"," "),"\"," "))&amp;" "</f>
        <v>  </v>
      </c>
      <c r="BF216" s="61" t="str">
        <f aca="false">" "&amp;TRIM(SUBSTITUTE(SUBSTITUTE(SUBSTITUTE(SUBSTITUTE(SUBSTITUTE(SUBSTITUTE(SUBSTITUTE(SUBSTITUTE(SUBSTITUTE(SUBSTITUTE(SUBSTITUTE(SUBSTITUTE(SUBSTITUTE(SUBSTITUTE(SUBSTITUTE(SUBSTITUTE(SUBSTITUTE(SUBSTITUTE(SUBSTITUTE(SUBSTITUTE(SUBSTITUTE(SUBSTITUTE(SUBSTITUTE(SUBSTITUTE(LOWER(AC216&amp;""),CHAR(10)," "),CHAR(13)," "),CHAR(9)," "),CHAR(160)," "),"."," "),","," "),"-"," "),"/"," "),"("," "),")"," "),":"," "),";"," "),"_"," "),"–"," "),"?"," "),"!"," "),"*"," "),"["," "),"]"," "),"'"," "),"#"," "),"+"," "),"&amp;"," "),"\"," "))&amp;" "</f>
        <v>  </v>
      </c>
      <c r="BG216" s="61" t="n">
        <f aca="false">IFERROR(IF(AND(TRIM(U216)="Pass",SUMPRODUCT((LEN(BC216)-LEN(SUBSTITUTE(BC216," "&amp;L_ResultBad&amp;" "," ")))/(LEN(L_ResultBad)+1))&gt;SUMPRODUCT((LEN(BC216)-LEN(SUBSTITUTE(BC216," "&amp;L_NegPhrase&amp;" "," ")))/(LEN(L_NegPhrase)+1))),1,0),0)</f>
        <v>0</v>
      </c>
      <c r="BH216" s="61" t="n">
        <f aca="false">IFERROR(IF(SUMPRODUCT((LEN(BC216)-LEN(SUBSTITUTE(BC216," "&amp;L_Pending&amp;" "," ")))/(LEN(L_Pending)+1))&gt;SUMPRODUCT((LEN(BC216)-LEN(SUBSTITUTE(BC216," "&amp;L_PendNeg&amp;" "," ")))/(LEN(L_PendNeg)+1))+SUMPRODUCT((LEN(BC216)-LEN(SUBSTITUTE(BC216," "&amp;L_PendPrep&amp;" "," ")))/(LEN(L_PendPrep)+1)),1,0),1)</f>
        <v>0</v>
      </c>
      <c r="BI216" s="61" t="n">
        <f aca="false">IFERROR(IF(SUMPRODUCT((LEN(BD216)-LEN(SUBSTITUTE(BD216," "&amp;L_PendStrict&amp;" "," ")))/(LEN(L_PendStrict)+1))&gt;SUMPRODUCT((LEN(BD216)-LEN(SUBSTITUTE(BD216," "&amp;L_PendNeg&amp;" "," ")))/(LEN(L_PendNeg)+1)),1,0),1)</f>
        <v>0</v>
      </c>
      <c r="BJ216" s="61" t="n">
        <f aca="false">IFERROR(IF(SUMPRODUCT((LEN(BE216)-LEN(SUBSTITUTE(BE216," "&amp;L_Pending&amp;" "," ")))/(LEN(L_Pending)+1))&gt;SUMPRODUCT((LEN(BE216)-LEN(SUBSTITUTE(BE216," "&amp;L_PendNeg&amp;" "," ")))/(LEN(L_PendNeg)+1))+SUMPRODUCT((LEN(BE216)-LEN(SUBSTITUTE(BE216," "&amp;L_PendPrep&amp;" "," ")))/(LEN(L_PendPrep)+1)),1,0),1)</f>
        <v>0</v>
      </c>
      <c r="BK216" s="61" t="n">
        <f aca="false">IFERROR(IF(SUMPRODUCT((LEN(BF216)-LEN(SUBSTITUTE(BF216," "&amp;L_PendStrict&amp;" "," ")))/(LEN(L_PendStrict)+1))&gt;SUMPRODUCT((LEN(BF216)-LEN(SUBSTITUTE(BF216," "&amp;L_PendNeg&amp;" "," ")))/(LEN(L_PendNeg)+1)),1,0),1)</f>
        <v>0</v>
      </c>
      <c r="BL216" s="61" t="n">
        <f aca="false">IF(ISNA(MATCH(TRIM(S216),L_EvidenceType,0)),0,BZ216)</f>
        <v>0</v>
      </c>
      <c r="BM216" s="61" t="str">
        <f aca="false">SUBSTITUTE(SUBSTITUTE(SUBSTITUTE(SUBSTITUTE(SUBSTITUTE(SUBSTITUTE(SUBSTITUTE(SUBSTITUTE(SUBSTITUTE(LOWER(Z216&amp;""),"1","0"),"2","0"),"3","0"),"4","0"),"5","0"),"6","0"),"7","0"),"8","0"),"9","0")</f>
        <v/>
      </c>
      <c r="BN216" s="61" t="str">
        <f aca="false">SUBSTITUTE(SUBSTITUTE(SUBSTITUTE(SUBSTITUTE(SUBSTITUTE(SUBSTITUTE(SUBSTITUTE(SUBSTITUTE(SUBSTITUTE(SUBSTITUTE(SUBSTITUTE(SUBSTITUTE(SUBSTITUTE(SUBSTITUTE(SUBSTITUTE(SUBSTITUTE(SUBSTITUTE(SUBSTITUTE(SUBSTITUTE(SUBSTITUTE(SUBSTITUTE(SUBSTITUTE(SUBSTITUTE(SUBSTITUTE(SUBSTITUTE(BM216,"b","a"),"c","a"),"d","a"),"e","a"),"f","a"),"g","a"),"h","a"),"i","a"),"j","a"),"k","a"),"l","a"),"m","a"),"n","a"),"o","a"),"p","a"),"q","a"),"r","a"),"s","a"),"t","a"),"u","a"),"v","a"),"w","a"),"x","a"),"y","a"),"z","a")</f>
        <v/>
      </c>
      <c r="BO216" s="61" t="str">
        <f aca="false">SUBSTITUTE(SUBSTITUTE(SUBSTITUTE(SUBSTITUTE(SUBSTITUTE(SUBSTITUTE(SUBSTITUTE(SUBSTITUTE(SUBSTITUTE(LOWER(W216&amp;""),"1","0"),"2","0"),"3","0"),"4","0"),"5","0"),"6","0"),"7","0"),"8","0"),"9","0")</f>
        <v/>
      </c>
      <c r="BP216" s="61" t="str">
        <f aca="false">SUBSTITUTE(SUBSTITUTE(SUBSTITUTE(SUBSTITUTE(SUBSTITUTE(SUBSTITUTE(SUBSTITUTE(SUBSTITUTE(SUBSTITUTE(SUBSTITUTE(SUBSTITUTE(SUBSTITUTE(SUBSTITUTE(SUBSTITUTE(SUBSTITUTE(SUBSTITUTE(SUBSTITUTE(SUBSTITUTE(SUBSTITUTE(SUBSTITUTE(SUBSTITUTE(SUBSTITUTE(SUBSTITUTE(SUBSTITUTE(SUBSTITUTE(BO216,"b","a"),"c","a"),"d","a"),"e","a"),"f","a"),"g","a"),"h","a"),"i","a"),"j","a"),"k","a"),"l","a"),"m","a"),"n","a"),"o","a"),"p","a"),"q","a"),"r","a"),"s","a"),"t","a"),"u","a"),"v","a"),"w","a"),"x","a"),"y","a"),"z","a")</f>
        <v/>
      </c>
      <c r="BQ216" s="61" t="n">
        <f aca="false">IFERROR(IF(AND(ISERROR(SEARCH(" mh"," "&amp;LOWER(W216))),ISNA(MATCH(LEFT(TRIM(BP216),255),{"0000a","000a","00a","0000aa","000aa","00aa","0aa","0000aaa","000aaa","00a00","0a00","0000-0000","00:00","a00","a0","00.00.0000","00/00/0000","00-00-0000","0000-00-00","0000/00/00","0000.00.00","00.00.00","00/00/00","00-00-00","0.00.0000","0/00/0000","0-00-0000"},0)),ISNA(MATCH(LEFT(TRIM(CA216),255),{"0000a","000a","00a","0000aa","000aa","00aa","0aa","0000aaa","000aaa","00a00","0a00","0000-0000","00:00","a00","a0","00.00.0000","00/00/0000","00-00-0000","0000-00-00","0000/00/00","0000.00.00","00.00.00","00/00/00","00-00-00","0.00.0000","0/00/0000","0-00-0000"},0)),LEN(CB216)&gt;=3,NOT(OR(SUBSTITUTE(CB216,"0","")="",AND(LEN(CB216)&gt;=4,CB216=REPT(LEFT(CB216),LEN(CB216))),ISNUMBER(MATCH(CB216,{"123","1234","12345","123456","1234567","12345678","0123","01234","012345","98765","987654","54321"},0)),AND(LEN(CB216)=8,LEFT(CB216,3)="202"))),OR(AND((LEN(CA216)-LEN(SUBSTITUTE(CA216,"a","")))&gt;=1,SUMPRODUCT(--ISNUMBER(SEARCH({"a0","a-0","a_0","a/0","a.0","a#0","0a","0-a","0_a","0/a"},BP216)))&gt;0),ISNUMBER(SEARCH("000000",BP216)))),1,0),0)</f>
        <v>0</v>
      </c>
      <c r="BR216" s="61" t="n">
        <f aca="false">IFERROR(LEN(SUBSTITUTE(CC216," ",""))-SUMPRODUCT((LEN(CC216)-LEN(SUBSTITUTE(CC216," "&amp;L_Role&amp;" "," ")))/(LEN(L_Role)+1)*LEN(L_Role)),0)</f>
        <v>0</v>
      </c>
      <c r="BS216" s="61" t="n">
        <f aca="false">IFERROR(LEN(SUBSTITUTE(CD216," ",""))-SUMPRODUCT((LEN(CD216)-LEN(SUBSTITUTE(CD216," "&amp;L_Role&amp;" "," ")))/(LEN(L_Role)+1)*LEN(L_Role)),0)</f>
        <v>0</v>
      </c>
      <c r="BT2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216,"revision",""),"version",""),"jan",""),"feb",""),"mar",""),"apr",""),"may",""),"jun",""),"jul",""),"aug",""),"sep",""),"oct",""),"nov",""),"dec",""),"utc",""),"gmt",""),"myt",""),"bst",""),"rev",""),"ver",""),"b","a"),"c","a"),"d","a"),"e","a"),"f","a"),"g","a"),"h","a"),"i","a"),"j","a"),"k","a"),"l","a"),"m","a"),"n","a"),"o","a"),"p","a"),"q","a"),"r","a"),"s","a"),"t","a"),"u","a"),"v","a"),"w","a"),"x","a"),"y","a"),"z","a")</f>
        <v/>
      </c>
      <c r="BU216" s="61" t="str">
        <f aca="false">SUBSTITUTE(SUBSTITUTE(SUBSTITUTE(SUBSTITUTE(SUBSTITUTE(SUBSTITUTE(SUBSTITUTE(SUBSTITUTE(SUBSTITUTE(SUBSTITUTE(LEFT(BM216,FIND("0",BM216&amp;"0")-1),"-",""),"_",""),"/",""),".",""),"#",""),"\\",""),":","")," ",""),"(",""),")","")</f>
        <v/>
      </c>
      <c r="BV216" s="61" t="n">
        <f aca="false">0</f>
        <v>0</v>
      </c>
      <c r="BW2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216&amp;""),"a",""),"b",""),"c",""),"d",""),"e",""),"f",""),"g",""),"h",""),"i",""),"j",""),"k",""),"l",""),"m",""),"n",""),"o",""),"p",""),"q",""),"r",""),"s",""),"t",""),"u",""),"v",""),"w",""),"x",""),"y",""),"z",""),"-",""),"_",""),"/",""),".",""),"#",""),"\\",""),":","")," ",""),"(",""),")","")</f>
        <v/>
      </c>
      <c r="BX216" s="61" t="str">
        <f aca="false">SUBSTITUTE(SUBSTITUTE(SUBSTITUTE(SUBSTITUTE(SUBSTITUTE(SUBSTITUTE(SUBSTITUTE(SUBSTITUTE(SUBSTITUTE(SUBSTITUTE(SUBSTITUTE(BM216,"0",""),"-",""),"_",""),"/",""),".",""),"#",""),"\\",""),":","")," ",""),"(",""),")","")</f>
        <v/>
      </c>
      <c r="BY216" s="62" t="n">
        <f aca="false">Q216-T7EarlyD*24/24</f>
        <v>46283.4166666667</v>
      </c>
      <c r="BZ216" s="61" t="n">
        <f aca="false">IFERROR(IF(IF(TRIM(S216)="Link / file path",AND(LEN(TRIM(Z216))&gt;=5,SUMPRODUCT(--ISNUMBER(SEARCH({"http","www.","\\",":\",".pdf",".jpg",".jpeg",".png",".heic",".xls",".doc",".msg",".eml",".ppt",".txt",".zip"},Z216)))&gt;0),AND(ISERROR(FIND(" ",TRIM(Z216))),NOT(OR(SUMPRODUCT(--ISNUMBER(FIND({",",";","&amp;","+"},Z216)))&gt;0,SUMPRODUCT(--ISNUMBER(SEARCH({"0/aa","0\\aa"},BN216)))&gt;0)),NOT(SUMPRODUCT(--ISNUMBER(SEARCH({"http","www.","\\",":\",".pdf",".jpg",".jpeg",".png",".heic",".xls",".doc",".msg",".eml",".ppt",".txt",".zip"},Z216)))&gt;0),NOT(LOWER(TRIM(Z216))=LOWER(Flights!$F$11)),ISNA(MATCH(BU216,{"mh","rev","revision","ver","version","v","r","a","b","seat","tray","row","gate","bay","stand","page","pg","item","line","no","cart","galley","flight","flt","table","box","bag","oven","etd","eta","std","sta","atd","ata","qty","pax","x","time","tel","ph","mob","day","wk","week","utc","gmt","myt","lt"},0)),NOT(OR(ISNUMBER(MATCH(LEFT(BN216,255),{"0000a","000a","00a","0000aa","000aa","00aa","0aa","0000aaa","000aaa","00a00","0a00","0000-0000","00:00","a00","a0","00.00.0000","00/00/0000","00-00-0000","0000-00-00","0000/00/00","0000.00.00","00.00.00","00/00/00","00-00-00","0.00.0000","0/00/0000","0-00-0000"},0)),ISNUMBER(MATCH(LEFT(BT216,255),{"0000a","000a","00a","0000aa","000aa","00aa","0aa","0000aaa","000aaa","00a00","0a00","0000-0000","00:00","a00","a0","00.00.0000","00/00/0000","00-00-0000","0000-00-00","0000/00/00","0000.00.00","00.00.00","00/00/00","00-00-00","0.00.0000","0/00/0000","0-00-0000"},0)))),NOT(OR(AND(BW216&lt;&gt;"",SUBSTITUTE(BW216,"0","")=""),AND(LEN(BW216)&gt;=4,BW216=REPT(LEFT(BW216),LEN(BW216))),ISNUMBER(MATCH(BW216,{"123","1234","12345","123456","1234567","12345678","0123","01234","012345","98765","987654","54321"},0)),ISNUMBER(MATCH(BX216,{"x","xx","xxx","xxxx","xxxxx","abc","abcd","nil","na","nan","test","tbc","tba","tbd","dummy","sample","example","eg","zz","zzz","none","null","xyz","qwe","asd","id","ref"},0)),AND(LEN(BW216)=8,BX216="",OR(LEFT(BW216,3)="202",ISNUMBER(MATCH(RIGHT(BW216,4),{"2025","2026","2027"},0)))))),OR(AND((LEN(BT216)-LEN(SUBSTITUTE(BT216,"a","")))&gt;=1,(LEN(BN216)-LEN(SUBSTITUTE(BN216,"0","")))&gt;=2,SUMPRODUCT(--ISNUMBER(SEARCH({"a0","a-0","a_0","a/0","a.0","a#0","0a","0-a","0_a","0/a"},BN216)))&gt;0),AND((LEN(BN216)-LEN(SUBSTITUTE(BN216,"a","")))=0,(LEN(BN216)-LEN(SUBSTITUTE(BN216,"0","")))&gt;=5)))),1,0),0)</f>
        <v>0</v>
      </c>
      <c r="CA2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216,"revision",""),"version",""),"jan",""),"feb",""),"mar",""),"apr",""),"may",""),"jun",""),"jul",""),"aug",""),"sep",""),"oct",""),"nov",""),"dec",""),"utc",""),"gmt",""),"myt",""),"bst",""),"rev",""),"ver",""),"b","a"),"c","a"),"d","a"),"e","a"),"f","a"),"g","a"),"h","a"),"i","a"),"j","a"),"k","a"),"l","a"),"m","a"),"n","a"),"o","a"),"p","a"),"q","a"),"r","a"),"s","a"),"t","a"),"u","a"),"v","a"),"w","a"),"x","a"),"y","a"),"z","a")</f>
        <v/>
      </c>
      <c r="CB2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216&amp;""),"a",""),"b",""),"c",""),"d",""),"e",""),"f",""),"g",""),"h",""),"i",""),"j",""),"k",""),"l",""),"m",""),"n",""),"o",""),"p",""),"q",""),"r",""),"s",""),"t",""),"u",""),"v",""),"w",""),"x",""),"y",""),"z",""),"-",""),"_",""),"/",""),".",""),"#",""),"\\",""),":","")," ",""),"(",""),")","")</f>
        <v/>
      </c>
      <c r="CC216" s="0" t="str">
        <f aca="false">" "&amp;TRIM(SUBSTITUTE(SUBSTITUTE(SUBSTITUTE(SUBSTITUTE(SUBSTITUTE(SUBSTITUTE(SUBSTITUTE(SUBSTITUTE(SUBSTITUTE(SUBSTITUTE(SUBSTITUTE(SUBSTITUTE(SUBSTITUTE(SUBSTITUTE(SUBSTITUTE(SUBSTITUTE(SUBSTITUTE(SUBSTITUTE(SUBSTITUTE(SUBSTITUTE(SUBSTITUTE(SUBSTITUTE(SUBSTITUTE(SUBSTITUTE(LOWER(T216&amp;""),CHAR(10)," "),CHAR(13)," "),CHAR(9)," "),CHAR(160)," "),"."," "),","," "),"-"," "),"/"," "),"("," "),")"," "),":"," "),";"," "),"_"," "),"–"," "),"?"," "),"!"," "),"*"," "),"["," "),"]"," "),"'"," "),"#"," "),"+"," "),"&amp;"," "),"\"," "))&amp;" "</f>
        <v>  </v>
      </c>
      <c r="CD216" s="0" t="str">
        <f aca="false">" "&amp;TRIM(SUBSTITUTE(SUBSTITUTE(SUBSTITUTE(SUBSTITUTE(SUBSTITUTE(SUBSTITUTE(SUBSTITUTE(SUBSTITUTE(SUBSTITUTE(SUBSTITUTE(SUBSTITUTE(SUBSTITUTE(SUBSTITUTE(SUBSTITUTE(SUBSTITUTE(SUBSTITUTE(SUBSTITUTE(SUBSTITUTE(SUBSTITUTE(SUBSTITUTE(SUBSTITUTE(SUBSTITUTE(SUBSTITUTE(SUBSTITUTE(LOWER(AE216&amp;""),CHAR(10)," "),CHAR(13)," "),CHAR(9)," "),CHAR(160)," "),"."," "),","," "),"-"," "),"/"," "),"("," "),")"," "),":"," "),";"," "),"_"," "),"–"," "),"?"," "),"!"," "),"*"," "),"["," "),"]"," "),"'"," "),"#"," "),"+"," "),"&amp;"," "),"\"," "))&amp;" "</f>
        <v>  </v>
      </c>
      <c r="CE216" s="68" t="n">
        <f aca="false">IFERROR(IF(AND(LEN(AU216)&gt;0,LEN(AU216)=LEN(AX216),OR(TRIM(MID(SUBSTITUTE(TRIM(CC216)," ",REPT(" ",60)),1,60))="",ISNUMBER(SEARCH(" "&amp;TRIM(MID(SUBSTITUTE(TRIM(CC216)," ",REPT(" ",60)),1,60))&amp;" ",CD216))),OR(TRIM(MID(SUBSTITUTE(TRIM(CC216)," ",REPT(" ",60)),61,60))="",ISNUMBER(SEARCH(" "&amp;TRIM(MID(SUBSTITUTE(TRIM(CC216)," ",REPT(" ",60)),61,60))&amp;" ",CD216))),OR(TRIM(MID(SUBSTITUTE(TRIM(CC216)," ",REPT(" ",60)),121,60))="",ISNUMBER(SEARCH(" "&amp;TRIM(MID(SUBSTITUTE(TRIM(CC216)," ",REPT(" ",60)),121,60))&amp;" ",CD216)))),1,0),0)</f>
        <v>0</v>
      </c>
      <c r="CG216" s="68" t="n">
        <f aca="false">IFERROR(LEN(SUBSTITUTE(BF216," ",""))-SUMPRODUCT((LEN(BF216)-LEN(SUBSTITUTE(BF216," "&amp;L_NAFiller&amp;" "," ")))/(LEN(L_NAFiller)+1)*LEN(L_NAFiller)),0)</f>
        <v>0</v>
      </c>
    </row>
    <row r="217" customFormat="false" ht="39.75" hidden="false" customHeight="true" outlineLevel="0" collapsed="false">
      <c r="A217" s="57" t="s">
        <v>778</v>
      </c>
      <c r="B217" s="57" t="s">
        <v>235</v>
      </c>
      <c r="C217" s="57" t="str">
        <f aca="false">Flights!$F$11</f>
        <v>MH0003</v>
      </c>
      <c r="D217" s="58" t="n">
        <f aca="false">Flights!$D$11</f>
        <v>46304</v>
      </c>
      <c r="E217" s="57" t="str">
        <f aca="false">Flights!$G$11&amp;"-"&amp;Flights!$H$11</f>
        <v>LHR-KUL</v>
      </c>
      <c r="F217" s="57" t="str">
        <f aca="false">Flights!$K$11</f>
        <v>BC</v>
      </c>
      <c r="G217" s="57" t="s">
        <v>81</v>
      </c>
      <c r="H217" s="57" t="s">
        <v>378</v>
      </c>
      <c r="I217" s="57" t="s">
        <v>398</v>
      </c>
      <c r="J217" s="57" t="s">
        <v>399</v>
      </c>
      <c r="K217" s="67" t="s">
        <v>400</v>
      </c>
      <c r="L217" s="67" t="s">
        <v>382</v>
      </c>
      <c r="M217" s="67"/>
      <c r="N217" s="67" t="s">
        <v>383</v>
      </c>
      <c r="O217" s="67"/>
      <c r="P217" s="57" t="s">
        <v>186</v>
      </c>
      <c r="Q217" s="59" t="n">
        <f aca="false">ROUND((Flights!$AC$11)*1440,0)/1440</f>
        <v>46297.4166666667</v>
      </c>
      <c r="R217" s="59" t="n">
        <f aca="false">Q217+(IF(AND(INDEX(TZ_DSTS,MATCH(P217,TZ_STN,0))&lt;&gt;"",Q217&gt;=INDEX(TZ_DSTS,MATCH(P217,TZ_STN,0)),Q217&lt;INDEX(TZ_DSTE,MATCH(P217,TZ_STN,0))),INDEX(TZ_DST,MATCH(P217,TZ_STN,0)),INDEX(TZ_STD,MATCH(P217,TZ_STN,0))))/24</f>
        <v>46297.4583333333</v>
      </c>
      <c r="S217" s="60"/>
      <c r="T217" s="60"/>
      <c r="U217" s="60"/>
      <c r="V217" s="60"/>
      <c r="W217" s="61"/>
      <c r="X217" s="60"/>
      <c r="Y217" s="60"/>
      <c r="Z217" s="60"/>
      <c r="AA217" s="60"/>
      <c r="AB217" s="60"/>
      <c r="AC217" s="60"/>
      <c r="AD217" s="66"/>
      <c r="AE217" s="60"/>
      <c r="AF217" s="61" t="str">
        <f aca="false">IF(AND(ISNUMBER(X217),ISNUMBER(Y217)),Y217-X217,"")</f>
        <v/>
      </c>
      <c r="AG217" s="62" t="str">
        <f aca="false">IF(ISNUMBER(AD217),AD217-(IF(AND(INDEX(TZ_DSTS,MATCH(P217,TZ_STN,0))&lt;&gt;"",(AD217-INDEX(TZ_STD,MATCH(P217,TZ_STN,0))/24)&gt;=INDEX(TZ_DSTS,MATCH(P217,TZ_STN,0)),(AD217-INDEX(TZ_STD,MATCH(P217,TZ_STN,0))/24)&lt;INDEX(TZ_DSTE,MATCH(P217,TZ_STN,0))),INDEX(TZ_DST,MATCH(P217,TZ_STN,0)),INDEX(TZ_STD,MATCH(P217,TZ_STN,0))))/24,"")</f>
        <v/>
      </c>
      <c r="AH217" s="65" t="str">
        <f aca="false">IFERROR(IF(N217="N/A – rule",IF(OR(TRIM(U217)="",TRIM(U217)="N/A",TRIM(U217)="Not started"),"N/A – RULE","INVALID – this check does not apply to this aircraft: clear the status (or correct the fleet on Flights)"),IF(TRIM(U217)="N/A",IF(AT217=0,"INVALID – N/A not permitted for this check",IF(AND(TRIM(AB217)&lt;&gt;"",TRIM(AB217)&lt;&gt;"Closed"),"INVALID – corrective action still open",IF(AND(NOT(OR(LEN(AZ217)&lt;15,ISNUMBER(MATCH(AZ217,L_Placeholder,0)))),BK217=0,CG217&gt;=8,NOT(OR(LEN(AU217)&lt;2,ISNUMBER(MATCH(AU217,L_Placeholder,0)))),BR217&gt;=3,NOT(OR(LEN(AX217)&lt;2,ISNUMBER(MATCH(AX217,L_Placeholder,0)))),BS217&gt;=3,TRIM(AE217)&lt;&gt;TRIM(T217),AX217&lt;&gt;AU217,CE217=0),"N/A – JUSTIFIED","INVALID – N/A needs a real, settled reason (not 'not applicable' / 'as above' / TBC), a named PIC and a different named verifier"))),IF(OR(TRIM(U217)="Pass",TRIM(U217)="Pass after CA"),IF(NOT(ISNUMBER(AD217)),"INVALID – completion time missing",IF(OR(OR(LEN(AU217)&lt;2,ISNUMBER(MATCH(AU217,L_Placeholder,0))),BR217&lt;3),"INVALID – PIC missing or not a named person (a role such as QA / CSM is not a name)",IF(OR(LEN(AV217)&lt;2,ISNUMBER(MATCH(AV217,L_Placeholder,0))),"INVALID – result / assessment missing",IF(OR(OR(LEN(AW217)&lt;3,ISNUMBER(MATCH(AW217,L_Placeholder,0))),SUMPRODUCT(--ISNUMBER(SEARCH(" "&amp;L_EvidencePhrase&amp;" ",BD217)))&gt;0,BI217=1),"INVALID – evidence missing, placeholder or not yet on file",IF(ISNA(MATCH(TRIM(S217),L_EvidenceType,0)),"INVALID – choose the evidence type from the list (column S)",IF(BL217=0,"INVALID – evidence ID must be the record's own ID only (e.g. SF-2210, IMG_2231, 1045521); a link / file name needs type 'Link / file path'",IF(OR(OR(LEN(AX217)&lt;2,ISNUMBER(MATCH(AX217,L_Placeholder,0))),BS217&lt;3),"INVALID – verifier missing or not a named person (a role such as QA / CSM is not a name)",IF(OR(AX217=AU217,CE217=1,AND(LEN(AU217)&gt;=4,ISNUMBER(SEARCH(AU217,AX217))),AND(LEN(AX217)&gt;=4,ISNUMBER(SEARCH(AX217,AU217)))),"INVALID – verifier must be a different, named person (not the PIC or a role)",IF(BH217=1,"INVALID – result not yet available (awaiting / TBC)",IF(BG217=1,"INVALID – result describes a problem: record Fail, then Pass after CA (or reword if it is not a problem)",IF(BV217=1,"INVALID – wording says not on board: an on-board confirmation needs the item loaded",IF(AND(AQ217=1,OR(OR(LEN(AY217)&lt;3,ISNUMBER(MATCH(AY217,L_Placeholder,0))),BJ217=1,BQ217=0)),"INVALID – batch ID missing, placeholder or not an ID (e.g. PASB-261008-BC-017)",IF(AND(AR217=1,OR(NOT(ISNUMBER(X217)),NOT(ISNUMBER(Y217)))),"INVALID – expected/actual qty missing",IF(AND(AR217=1,OR(X217&lt;=0,Y217&lt;0)),"INVALID – expected qty must be above 0 and actual not negative",IF(BB217&lt;&gt;"",BB217,IF(AND(AS217=1,Documents!$J$11&lt;&gt;"ON FILE"),"INVALID – GLD not on file (Documents sheet)",IF(AND(AS217=2,Documents!$O$11&lt;&gt;"ON FILE"),"INVALID – menu checklist not on file (Documents sheet)",IF(AND(AS217=3,NOT(ISNUMBER(Flights!$AX$11))),"INVALID – enter carrying flight KUL departure (Flights AX)",IF(AND(AS217=3,OR(Flights!$AZ$11&gt;Flights!$AA$11,Flights!$AX$11&lt;Flights!$AA$11-3)),"INVALID – carrying flight (Flights AX) cannot arrive before this leg's STD, or is over 3 days early",IF(AG217&gt;AsOfUTC,"INVALID – completion time is in the future",IF(AND(ISNUMBER(BY217),AG217&lt;BY217),IF(H217="Physical uplift","INVALID – before uplift window (cannot confirm loading)","INVALID – before valid window"),IF(AG217&gt;Flights!$AA$11,"INVALID – completed after departure (cannot establish readiness)",IF(AND(H217="Preparation",AG217&gt;=IF(ISNUMBER(Flights!$BA$11),MIN(Flights!$BA$11,Flights!$AA$11),Flights!$AA$11)),"INVALID – completed after loading / departure (cannot establish readiness)",IF(AND(H217="Physical uplift",AG217&gt;Q217),"INVALID – recorded after the loading flight departed",IF(AG217&gt;Q217,"COMPLETE – LATE","COMPLETE"))))))))))))))))))))))))),IF(TRIM(U217)="Fail","FAIL – DISCREPANCY",IF(AND(TRIM(U217)&lt;&gt;"",TRIM(U217)&lt;&gt;"Not started",TRIM(U217)&lt;&gt;"In progress"),"INVALID – unrecognised status (use the list)",IF(AsOfUTC&gt;Q217,"OVERDUE",IF(N217="Clarification required","OPEN – CLARIFICATION","OPEN"))))))),"INVALID – error value in an input cell")</f>
        <v>OPEN</v>
      </c>
      <c r="AI217" s="61" t="n">
        <f aca="false">IF(OR(AH217="N/A – RULE",AH217="N/A – JUSTIFIED"),0,1)</f>
        <v>1</v>
      </c>
      <c r="AJ217" s="61" t="n">
        <f aca="false">IF(LEFT(AH217,8)="COMPLETE",1,0)</f>
        <v>0</v>
      </c>
      <c r="AK217" s="61" t="n">
        <f aca="false">IF(AND(AI217=1,AJ217=0,AsOfUTC&gt;Q217),1,0)</f>
        <v>0</v>
      </c>
      <c r="AL217" s="61" t="n">
        <f aca="false">IFERROR(IF(AND(AI217=1,OR(TRIM(U217)="Fail",AND(TRIM(AB217)&lt;&gt;"",TRIM(AB217)&lt;&gt;"Closed"),AND(ISNUMBER(AF217),AF217&lt;&gt;0,TRIM(U217)&lt;&gt;"Pass after CA"))),1,0),1)</f>
        <v>0</v>
      </c>
      <c r="AM217" s="61" t="n">
        <f aca="false">IF(LEFT(AH217,7)="INVALID",1,0)</f>
        <v>0</v>
      </c>
      <c r="AN217" s="61" t="n">
        <f aca="false">IF(AND(N217="Clarification required",AI217=1,AJ217=0),1,0)</f>
        <v>0</v>
      </c>
      <c r="AO217" s="61" t="str">
        <f aca="false">IF(AK217=1,SUM(AK$5:AK217),"")</f>
        <v/>
      </c>
      <c r="AP217" s="61" t="str">
        <f aca="false">IF(AL217=1,SUM(AL$5:AL217),"")</f>
        <v/>
      </c>
      <c r="AQ217" s="61" t="n">
        <v>0</v>
      </c>
      <c r="AR217" s="61" t="n">
        <v>0</v>
      </c>
      <c r="AS217" s="61" t="n">
        <v>0</v>
      </c>
      <c r="AT217" s="61" t="n">
        <v>0</v>
      </c>
      <c r="AU217" s="61" t="str">
        <f aca="false">SUBSTITUTE(SUBSTITUTE(SUBSTITUTE(SUBSTITUTE(SUBSTITUTE(SUBSTITUTE(SUBSTITUTE(SUBSTITUTE(SUBSTITUTE(SUBSTITUTE(SUBSTITUTE(SUBSTITUTE(SUBSTITUTE(SUBSTITUTE(SUBSTITUTE(SUBSTITUTE(LOWER(T217&amp;""),CHAR(10),""),CHAR(13),""),CHAR(9),""),CHAR(160),"")," ",""),".",""),"-",""),"/",""),"?",""),"_",""),",",""),"[",""),"]",""),"(",""),")",""),"*","")</f>
        <v/>
      </c>
      <c r="AV217" s="61" t="str">
        <f aca="false">SUBSTITUTE(SUBSTITUTE(SUBSTITUTE(SUBSTITUTE(SUBSTITUTE(SUBSTITUTE(SUBSTITUTE(SUBSTITUTE(SUBSTITUTE(SUBSTITUTE(SUBSTITUTE(SUBSTITUTE(SUBSTITUTE(SUBSTITUTE(SUBSTITUTE(SUBSTITUTE(LOWER(V217&amp;""),CHAR(10),""),CHAR(13),""),CHAR(9),""),CHAR(160),"")," ",""),".",""),"-",""),"/",""),"?",""),"_",""),",",""),"[",""),"]",""),"(",""),")",""),"*","")</f>
        <v/>
      </c>
      <c r="AW217" s="61" t="str">
        <f aca="false">SUBSTITUTE(SUBSTITUTE(SUBSTITUTE(SUBSTITUTE(SUBSTITUTE(SUBSTITUTE(SUBSTITUTE(SUBSTITUTE(SUBSTITUTE(SUBSTITUTE(SUBSTITUTE(SUBSTITUTE(SUBSTITUTE(SUBSTITUTE(SUBSTITUTE(SUBSTITUTE(LOWER(Z217&amp;""),CHAR(10),""),CHAR(13),""),CHAR(9),""),CHAR(160),"")," ",""),".",""),"-",""),"/",""),"?",""),"_",""),",",""),"[",""),"]",""),"(",""),")",""),"*","")</f>
        <v/>
      </c>
      <c r="AX217" s="61" t="str">
        <f aca="false">SUBSTITUTE(SUBSTITUTE(SUBSTITUTE(SUBSTITUTE(SUBSTITUTE(SUBSTITUTE(SUBSTITUTE(SUBSTITUTE(SUBSTITUTE(SUBSTITUTE(SUBSTITUTE(SUBSTITUTE(SUBSTITUTE(SUBSTITUTE(SUBSTITUTE(SUBSTITUTE(LOWER(AE217&amp;""),CHAR(10),""),CHAR(13),""),CHAR(9),""),CHAR(160),"")," ",""),".",""),"-",""),"/",""),"?",""),"_",""),",",""),"[",""),"]",""),"(",""),")",""),"*","")</f>
        <v/>
      </c>
      <c r="AY217" s="61" t="str">
        <f aca="false">SUBSTITUTE(SUBSTITUTE(SUBSTITUTE(SUBSTITUTE(SUBSTITUTE(SUBSTITUTE(SUBSTITUTE(SUBSTITUTE(SUBSTITUTE(SUBSTITUTE(SUBSTITUTE(SUBSTITUTE(SUBSTITUTE(SUBSTITUTE(SUBSTITUTE(SUBSTITUTE(LOWER(W217&amp;""),CHAR(10),""),CHAR(13),""),CHAR(9),""),CHAR(160),"")," ",""),".",""),"-",""),"/",""),"?",""),"_",""),",",""),"[",""),"]",""),"(",""),")",""),"*","")</f>
        <v/>
      </c>
      <c r="AZ217" s="61" t="str">
        <f aca="false">SUBSTITUTE(SUBSTITUTE(SUBSTITUTE(SUBSTITUTE(SUBSTITUTE(SUBSTITUTE(SUBSTITUTE(SUBSTITUTE(SUBSTITUTE(SUBSTITUTE(SUBSTITUTE(SUBSTITUTE(SUBSTITUTE(SUBSTITUTE(SUBSTITUTE(SUBSTITUTE(LOWER(AC217&amp;""),CHAR(10),""),CHAR(13),""),CHAR(9),""),CHAR(160),"")," ",""),".",""),"-",""),"/",""),"?",""),"_",""),",",""),"[",""),"]",""),"(",""),")",""),"*","")</f>
        <v/>
      </c>
      <c r="BA217" s="61" t="str">
        <f aca="false">SUBSTITUTE(SUBSTITUTE(SUBSTITUTE(SUBSTITUTE(SUBSTITUTE(SUBSTITUTE(SUBSTITUTE(SUBSTITUTE(SUBSTITUTE(SUBSTITUTE(SUBSTITUTE(SUBSTITUTE(SUBSTITUTE(SUBSTITUTE(SUBSTITUTE(SUBSTITUTE(LOWER(AA217&amp;""),CHAR(10),""),CHAR(13),""),CHAR(9),""),CHAR(160),"")," ",""),".",""),"-",""),"/",""),"?",""),"_",""),",",""),"[",""),"]",""),"(",""),")",""),"*","")</f>
        <v/>
      </c>
      <c r="BB217" s="61" t="str">
        <f aca="false">IF(AND(TRIM(U217)="Pass",ISNUMBER(AF217)),IF(AF217&lt;&gt;0,"INVALID – qty variance: use Fail or Pass after CA",""),"")&amp;IF(AND(TRIM(U217)="Pass after CA",ISNUMBER(AF217)),IF(AF217&lt;&gt;0,"INVALID – after the corrective action the actual qty must equal expected (update Actual)",""),"")&amp;IF(AND(TRIM(U217)="Pass",TRIM(AB217)&lt;&gt;"",TRIM(AB217)&lt;&gt;"Closed"),"INVALID – corrective action not closed: use Fail, then Pass after CA","")&amp;IF(AND(LEN(BA217)&gt;=2,ISNA(MATCH(LEFT(BA217,255),L_Placeholder,0)),TRIM(AB217)=""),"INVALID – CA status missing for the recorded corrective action","")&amp;IF(AND(TRIM(U217)="Pass after CA",OR(OR(LEN(BA217)&lt;5,ISNUMBER(MATCH(BA217,L_Placeholder,0))),TRIM(AB217)&lt;&gt;"Closed")),"INVALID – corrective action not recorded/closed","")</f>
        <v/>
      </c>
      <c r="BC217" s="61" t="str">
        <f aca="false">" "&amp;TRIM(SUBSTITUTE(SUBSTITUTE(SUBSTITUTE(SUBSTITUTE(SUBSTITUTE(SUBSTITUTE(SUBSTITUTE(SUBSTITUTE(SUBSTITUTE(SUBSTITUTE(SUBSTITUTE(SUBSTITUTE(SUBSTITUTE(SUBSTITUTE(SUBSTITUTE(SUBSTITUTE(SUBSTITUTE(SUBSTITUTE(SUBSTITUTE(SUBSTITUTE(SUBSTITUTE(SUBSTITUTE(SUBSTITUTE(SUBSTITUTE(LOWER(V217&amp;""),CHAR(10)," "),CHAR(13)," "),CHAR(9)," "),CHAR(160)," "),"."," "),","," "),"-"," "),"/"," "),"("," "),")"," "),":"," "),";"," "),"_"," "),"–"," "),"?"," "),"!"," "),"*"," "),"["," "),"]"," "),"'"," "),"#"," "),"+"," "),"&amp;"," "),"\"," "))&amp;" "</f>
        <v>  </v>
      </c>
      <c r="BD217" s="61" t="str">
        <f aca="false">" "&amp;TRIM(SUBSTITUTE(SUBSTITUTE(SUBSTITUTE(SUBSTITUTE(SUBSTITUTE(SUBSTITUTE(SUBSTITUTE(SUBSTITUTE(SUBSTITUTE(SUBSTITUTE(SUBSTITUTE(SUBSTITUTE(SUBSTITUTE(SUBSTITUTE(SUBSTITUTE(SUBSTITUTE(SUBSTITUTE(SUBSTITUTE(SUBSTITUTE(SUBSTITUTE(SUBSTITUTE(SUBSTITUTE(SUBSTITUTE(SUBSTITUTE(LOWER(Z217&amp;""),CHAR(10)," "),CHAR(13)," "),CHAR(9)," "),CHAR(160)," "),"."," "),","," "),"-"," "),"/"," "),"("," "),")"," "),":"," "),";"," "),"_"," "),"–"," "),"?"," "),"!"," "),"*"," "),"["," "),"]"," "),"'"," "),"#"," "),"+"," "),"&amp;"," "),"\"," "))&amp;" "</f>
        <v>  </v>
      </c>
      <c r="BE217" s="61" t="str">
        <f aca="false">" "&amp;TRIM(SUBSTITUTE(SUBSTITUTE(SUBSTITUTE(SUBSTITUTE(SUBSTITUTE(SUBSTITUTE(SUBSTITUTE(SUBSTITUTE(SUBSTITUTE(SUBSTITUTE(SUBSTITUTE(SUBSTITUTE(SUBSTITUTE(SUBSTITUTE(SUBSTITUTE(SUBSTITUTE(SUBSTITUTE(SUBSTITUTE(SUBSTITUTE(SUBSTITUTE(SUBSTITUTE(SUBSTITUTE(SUBSTITUTE(SUBSTITUTE(LOWER(W217&amp;""),CHAR(10)," "),CHAR(13)," "),CHAR(9)," "),CHAR(160)," "),"."," "),","," "),"-"," "),"/"," "),"("," "),")"," "),":"," "),";"," "),"_"," "),"–"," "),"?"," "),"!"," "),"*"," "),"["," "),"]"," "),"'"," "),"#"," "),"+"," "),"&amp;"," "),"\"," "))&amp;" "</f>
        <v>  </v>
      </c>
      <c r="BF217" s="61" t="str">
        <f aca="false">" "&amp;TRIM(SUBSTITUTE(SUBSTITUTE(SUBSTITUTE(SUBSTITUTE(SUBSTITUTE(SUBSTITUTE(SUBSTITUTE(SUBSTITUTE(SUBSTITUTE(SUBSTITUTE(SUBSTITUTE(SUBSTITUTE(SUBSTITUTE(SUBSTITUTE(SUBSTITUTE(SUBSTITUTE(SUBSTITUTE(SUBSTITUTE(SUBSTITUTE(SUBSTITUTE(SUBSTITUTE(SUBSTITUTE(SUBSTITUTE(SUBSTITUTE(LOWER(AC217&amp;""),CHAR(10)," "),CHAR(13)," "),CHAR(9)," "),CHAR(160)," "),"."," "),","," "),"-"," "),"/"," "),"("," "),")"," "),":"," "),";"," "),"_"," "),"–"," "),"?"," "),"!"," "),"*"," "),"["," "),"]"," "),"'"," "),"#"," "),"+"," "),"&amp;"," "),"\"," "))&amp;" "</f>
        <v>  </v>
      </c>
      <c r="BG217" s="61" t="n">
        <f aca="false">IFERROR(IF(AND(TRIM(U217)="Pass",SUMPRODUCT((LEN(BC217)-LEN(SUBSTITUTE(BC217," "&amp;L_ResultBad&amp;" "," ")))/(LEN(L_ResultBad)+1))&gt;SUMPRODUCT((LEN(BC217)-LEN(SUBSTITUTE(BC217," "&amp;L_NegPhrase&amp;" "," ")))/(LEN(L_NegPhrase)+1))),1,0),0)</f>
        <v>0</v>
      </c>
      <c r="BH217" s="61" t="n">
        <f aca="false">IFERROR(IF(SUMPRODUCT((LEN(BC217)-LEN(SUBSTITUTE(BC217," "&amp;L_Pending&amp;" "," ")))/(LEN(L_Pending)+1))&gt;SUMPRODUCT((LEN(BC217)-LEN(SUBSTITUTE(BC217," "&amp;L_PendNeg&amp;" "," ")))/(LEN(L_PendNeg)+1))+SUMPRODUCT((LEN(BC217)-LEN(SUBSTITUTE(BC217," "&amp;L_PendPrep&amp;" "," ")))/(LEN(L_PendPrep)+1)),1,0),1)</f>
        <v>0</v>
      </c>
      <c r="BI217" s="61" t="n">
        <f aca="false">IFERROR(IF(SUMPRODUCT((LEN(BD217)-LEN(SUBSTITUTE(BD217," "&amp;L_PendStrict&amp;" "," ")))/(LEN(L_PendStrict)+1))&gt;SUMPRODUCT((LEN(BD217)-LEN(SUBSTITUTE(BD217," "&amp;L_PendNeg&amp;" "," ")))/(LEN(L_PendNeg)+1)),1,0),1)</f>
        <v>0</v>
      </c>
      <c r="BJ217" s="61" t="n">
        <f aca="false">IFERROR(IF(SUMPRODUCT((LEN(BE217)-LEN(SUBSTITUTE(BE217," "&amp;L_Pending&amp;" "," ")))/(LEN(L_Pending)+1))&gt;SUMPRODUCT((LEN(BE217)-LEN(SUBSTITUTE(BE217," "&amp;L_PendNeg&amp;" "," ")))/(LEN(L_PendNeg)+1))+SUMPRODUCT((LEN(BE217)-LEN(SUBSTITUTE(BE217," "&amp;L_PendPrep&amp;" "," ")))/(LEN(L_PendPrep)+1)),1,0),1)</f>
        <v>0</v>
      </c>
      <c r="BK217" s="61" t="n">
        <f aca="false">IFERROR(IF(SUMPRODUCT((LEN(BF217)-LEN(SUBSTITUTE(BF217," "&amp;L_PendStrict&amp;" "," ")))/(LEN(L_PendStrict)+1))&gt;SUMPRODUCT((LEN(BF217)-LEN(SUBSTITUTE(BF217," "&amp;L_PendNeg&amp;" "," ")))/(LEN(L_PendNeg)+1)),1,0),1)</f>
        <v>0</v>
      </c>
      <c r="BL217" s="61" t="n">
        <f aca="false">IF(ISNA(MATCH(TRIM(S217),L_EvidenceType,0)),0,BZ217)</f>
        <v>0</v>
      </c>
      <c r="BM217" s="61" t="str">
        <f aca="false">SUBSTITUTE(SUBSTITUTE(SUBSTITUTE(SUBSTITUTE(SUBSTITUTE(SUBSTITUTE(SUBSTITUTE(SUBSTITUTE(SUBSTITUTE(LOWER(Z217&amp;""),"1","0"),"2","0"),"3","0"),"4","0"),"5","0"),"6","0"),"7","0"),"8","0"),"9","0")</f>
        <v/>
      </c>
      <c r="BN217" s="61" t="str">
        <f aca="false">SUBSTITUTE(SUBSTITUTE(SUBSTITUTE(SUBSTITUTE(SUBSTITUTE(SUBSTITUTE(SUBSTITUTE(SUBSTITUTE(SUBSTITUTE(SUBSTITUTE(SUBSTITUTE(SUBSTITUTE(SUBSTITUTE(SUBSTITUTE(SUBSTITUTE(SUBSTITUTE(SUBSTITUTE(SUBSTITUTE(SUBSTITUTE(SUBSTITUTE(SUBSTITUTE(SUBSTITUTE(SUBSTITUTE(SUBSTITUTE(SUBSTITUTE(BM217,"b","a"),"c","a"),"d","a"),"e","a"),"f","a"),"g","a"),"h","a"),"i","a"),"j","a"),"k","a"),"l","a"),"m","a"),"n","a"),"o","a"),"p","a"),"q","a"),"r","a"),"s","a"),"t","a"),"u","a"),"v","a"),"w","a"),"x","a"),"y","a"),"z","a")</f>
        <v/>
      </c>
      <c r="BO217" s="61" t="str">
        <f aca="false">SUBSTITUTE(SUBSTITUTE(SUBSTITUTE(SUBSTITUTE(SUBSTITUTE(SUBSTITUTE(SUBSTITUTE(SUBSTITUTE(SUBSTITUTE(LOWER(W217&amp;""),"1","0"),"2","0"),"3","0"),"4","0"),"5","0"),"6","0"),"7","0"),"8","0"),"9","0")</f>
        <v/>
      </c>
      <c r="BP217" s="61" t="str">
        <f aca="false">SUBSTITUTE(SUBSTITUTE(SUBSTITUTE(SUBSTITUTE(SUBSTITUTE(SUBSTITUTE(SUBSTITUTE(SUBSTITUTE(SUBSTITUTE(SUBSTITUTE(SUBSTITUTE(SUBSTITUTE(SUBSTITUTE(SUBSTITUTE(SUBSTITUTE(SUBSTITUTE(SUBSTITUTE(SUBSTITUTE(SUBSTITUTE(SUBSTITUTE(SUBSTITUTE(SUBSTITUTE(SUBSTITUTE(SUBSTITUTE(SUBSTITUTE(BO217,"b","a"),"c","a"),"d","a"),"e","a"),"f","a"),"g","a"),"h","a"),"i","a"),"j","a"),"k","a"),"l","a"),"m","a"),"n","a"),"o","a"),"p","a"),"q","a"),"r","a"),"s","a"),"t","a"),"u","a"),"v","a"),"w","a"),"x","a"),"y","a"),"z","a")</f>
        <v/>
      </c>
      <c r="BQ217" s="61" t="n">
        <f aca="false">IFERROR(IF(AND(ISERROR(SEARCH(" mh"," "&amp;LOWER(W217))),ISNA(MATCH(LEFT(TRIM(BP217),255),{"0000a","000a","00a","0000aa","000aa","00aa","0aa","0000aaa","000aaa","00a00","0a00","0000-0000","00:00","a00","a0","00.00.0000","00/00/0000","00-00-0000","0000-00-00","0000/00/00","0000.00.00","00.00.00","00/00/00","00-00-00","0.00.0000","0/00/0000","0-00-0000"},0)),ISNA(MATCH(LEFT(TRIM(CA217),255),{"0000a","000a","00a","0000aa","000aa","00aa","0aa","0000aaa","000aaa","00a00","0a00","0000-0000","00:00","a00","a0","00.00.0000","00/00/0000","00-00-0000","0000-00-00","0000/00/00","0000.00.00","00.00.00","00/00/00","00-00-00","0.00.0000","0/00/0000","0-00-0000"},0)),LEN(CB217)&gt;=3,NOT(OR(SUBSTITUTE(CB217,"0","")="",AND(LEN(CB217)&gt;=4,CB217=REPT(LEFT(CB217),LEN(CB217))),ISNUMBER(MATCH(CB217,{"123","1234","12345","123456","1234567","12345678","0123","01234","012345","98765","987654","54321"},0)),AND(LEN(CB217)=8,LEFT(CB217,3)="202"))),OR(AND((LEN(CA217)-LEN(SUBSTITUTE(CA217,"a","")))&gt;=1,SUMPRODUCT(--ISNUMBER(SEARCH({"a0","a-0","a_0","a/0","a.0","a#0","0a","0-a","0_a","0/a"},BP217)))&gt;0),ISNUMBER(SEARCH("000000",BP217)))),1,0),0)</f>
        <v>0</v>
      </c>
      <c r="BR217" s="61" t="n">
        <f aca="false">IFERROR(LEN(SUBSTITUTE(CC217," ",""))-SUMPRODUCT((LEN(CC217)-LEN(SUBSTITUTE(CC217," "&amp;L_Role&amp;" "," ")))/(LEN(L_Role)+1)*LEN(L_Role)),0)</f>
        <v>0</v>
      </c>
      <c r="BS217" s="61" t="n">
        <f aca="false">IFERROR(LEN(SUBSTITUTE(CD217," ",""))-SUMPRODUCT((LEN(CD217)-LEN(SUBSTITUTE(CD217," "&amp;L_Role&amp;" "," ")))/(LEN(L_Role)+1)*LEN(L_Role)),0)</f>
        <v>0</v>
      </c>
      <c r="BT2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217,"revision",""),"version",""),"jan",""),"feb",""),"mar",""),"apr",""),"may",""),"jun",""),"jul",""),"aug",""),"sep",""),"oct",""),"nov",""),"dec",""),"utc",""),"gmt",""),"myt",""),"bst",""),"rev",""),"ver",""),"b","a"),"c","a"),"d","a"),"e","a"),"f","a"),"g","a"),"h","a"),"i","a"),"j","a"),"k","a"),"l","a"),"m","a"),"n","a"),"o","a"),"p","a"),"q","a"),"r","a"),"s","a"),"t","a"),"u","a"),"v","a"),"w","a"),"x","a"),"y","a"),"z","a")</f>
        <v/>
      </c>
      <c r="BU217" s="61" t="str">
        <f aca="false">SUBSTITUTE(SUBSTITUTE(SUBSTITUTE(SUBSTITUTE(SUBSTITUTE(SUBSTITUTE(SUBSTITUTE(SUBSTITUTE(SUBSTITUTE(SUBSTITUTE(LEFT(BM217,FIND("0",BM217&amp;"0")-1),"-",""),"_",""),"/",""),".",""),"#",""),"\\",""),":","")," ",""),"(",""),")","")</f>
        <v/>
      </c>
      <c r="BV217" s="61" t="n">
        <f aca="false">0</f>
        <v>0</v>
      </c>
      <c r="BW2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217&amp;""),"a",""),"b",""),"c",""),"d",""),"e",""),"f",""),"g",""),"h",""),"i",""),"j",""),"k",""),"l",""),"m",""),"n",""),"o",""),"p",""),"q",""),"r",""),"s",""),"t",""),"u",""),"v",""),"w",""),"x",""),"y",""),"z",""),"-",""),"_",""),"/",""),".",""),"#",""),"\\",""),":","")," ",""),"(",""),")","")</f>
        <v/>
      </c>
      <c r="BX217" s="61" t="str">
        <f aca="false">SUBSTITUTE(SUBSTITUTE(SUBSTITUTE(SUBSTITUTE(SUBSTITUTE(SUBSTITUTE(SUBSTITUTE(SUBSTITUTE(SUBSTITUTE(SUBSTITUTE(SUBSTITUTE(BM217,"0",""),"-",""),"_",""),"/",""),".",""),"#",""),"\\",""),":","")," ",""),"(",""),")","")</f>
        <v/>
      </c>
      <c r="BY217" s="62" t="n">
        <f aca="false">Q217-T7EarlyD*24/24</f>
        <v>46283.4166666667</v>
      </c>
      <c r="BZ217" s="61" t="n">
        <f aca="false">IFERROR(IF(IF(TRIM(S217)="Link / file path",AND(LEN(TRIM(Z217))&gt;=5,SUMPRODUCT(--ISNUMBER(SEARCH({"http","www.","\\",":\",".pdf",".jpg",".jpeg",".png",".heic",".xls",".doc",".msg",".eml",".ppt",".txt",".zip"},Z217)))&gt;0),AND(ISERROR(FIND(" ",TRIM(Z217))),NOT(OR(SUMPRODUCT(--ISNUMBER(FIND({",",";","&amp;","+"},Z217)))&gt;0,SUMPRODUCT(--ISNUMBER(SEARCH({"0/aa","0\\aa"},BN217)))&gt;0)),NOT(SUMPRODUCT(--ISNUMBER(SEARCH({"http","www.","\\",":\",".pdf",".jpg",".jpeg",".png",".heic",".xls",".doc",".msg",".eml",".ppt",".txt",".zip"},Z217)))&gt;0),NOT(LOWER(TRIM(Z217))=LOWER(Flights!$F$11)),ISNA(MATCH(BU217,{"mh","rev","revision","ver","version","v","r","a","b","seat","tray","row","gate","bay","stand","page","pg","item","line","no","cart","galley","flight","flt","table","box","bag","oven","etd","eta","std","sta","atd","ata","qty","pax","x","time","tel","ph","mob","day","wk","week","utc","gmt","myt","lt"},0)),NOT(OR(ISNUMBER(MATCH(LEFT(BN217,255),{"0000a","000a","00a","0000aa","000aa","00aa","0aa","0000aaa","000aaa","00a00","0a00","0000-0000","00:00","a00","a0","00.00.0000","00/00/0000","00-00-0000","0000-00-00","0000/00/00","0000.00.00","00.00.00","00/00/00","00-00-00","0.00.0000","0/00/0000","0-00-0000"},0)),ISNUMBER(MATCH(LEFT(BT217,255),{"0000a","000a","00a","0000aa","000aa","00aa","0aa","0000aaa","000aaa","00a00","0a00","0000-0000","00:00","a00","a0","00.00.0000","00/00/0000","00-00-0000","0000-00-00","0000/00/00","0000.00.00","00.00.00","00/00/00","00-00-00","0.00.0000","0/00/0000","0-00-0000"},0)))),NOT(OR(AND(BW217&lt;&gt;"",SUBSTITUTE(BW217,"0","")=""),AND(LEN(BW217)&gt;=4,BW217=REPT(LEFT(BW217),LEN(BW217))),ISNUMBER(MATCH(BW217,{"123","1234","12345","123456","1234567","12345678","0123","01234","012345","98765","987654","54321"},0)),ISNUMBER(MATCH(BX217,{"x","xx","xxx","xxxx","xxxxx","abc","abcd","nil","na","nan","test","tbc","tba","tbd","dummy","sample","example","eg","zz","zzz","none","null","xyz","qwe","asd","id","ref"},0)),AND(LEN(BW217)=8,BX217="",OR(LEFT(BW217,3)="202",ISNUMBER(MATCH(RIGHT(BW217,4),{"2025","2026","2027"},0)))))),OR(AND((LEN(BT217)-LEN(SUBSTITUTE(BT217,"a","")))&gt;=1,(LEN(BN217)-LEN(SUBSTITUTE(BN217,"0","")))&gt;=2,SUMPRODUCT(--ISNUMBER(SEARCH({"a0","a-0","a_0","a/0","a.0","a#0","0a","0-a","0_a","0/a"},BN217)))&gt;0),AND((LEN(BN217)-LEN(SUBSTITUTE(BN217,"a","")))=0,(LEN(BN217)-LEN(SUBSTITUTE(BN217,"0","")))&gt;=5)))),1,0),0)</f>
        <v>0</v>
      </c>
      <c r="CA2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217,"revision",""),"version",""),"jan",""),"feb",""),"mar",""),"apr",""),"may",""),"jun",""),"jul",""),"aug",""),"sep",""),"oct",""),"nov",""),"dec",""),"utc",""),"gmt",""),"myt",""),"bst",""),"rev",""),"ver",""),"b","a"),"c","a"),"d","a"),"e","a"),"f","a"),"g","a"),"h","a"),"i","a"),"j","a"),"k","a"),"l","a"),"m","a"),"n","a"),"o","a"),"p","a"),"q","a"),"r","a"),"s","a"),"t","a"),"u","a"),"v","a"),"w","a"),"x","a"),"y","a"),"z","a")</f>
        <v/>
      </c>
      <c r="CB2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217&amp;""),"a",""),"b",""),"c",""),"d",""),"e",""),"f",""),"g",""),"h",""),"i",""),"j",""),"k",""),"l",""),"m",""),"n",""),"o",""),"p",""),"q",""),"r",""),"s",""),"t",""),"u",""),"v",""),"w",""),"x",""),"y",""),"z",""),"-",""),"_",""),"/",""),".",""),"#",""),"\\",""),":","")," ",""),"(",""),")","")</f>
        <v/>
      </c>
      <c r="CC217" s="0" t="str">
        <f aca="false">" "&amp;TRIM(SUBSTITUTE(SUBSTITUTE(SUBSTITUTE(SUBSTITUTE(SUBSTITUTE(SUBSTITUTE(SUBSTITUTE(SUBSTITUTE(SUBSTITUTE(SUBSTITUTE(SUBSTITUTE(SUBSTITUTE(SUBSTITUTE(SUBSTITUTE(SUBSTITUTE(SUBSTITUTE(SUBSTITUTE(SUBSTITUTE(SUBSTITUTE(SUBSTITUTE(SUBSTITUTE(SUBSTITUTE(SUBSTITUTE(SUBSTITUTE(LOWER(T217&amp;""),CHAR(10)," "),CHAR(13)," "),CHAR(9)," "),CHAR(160)," "),"."," "),","," "),"-"," "),"/"," "),"("," "),")"," "),":"," "),";"," "),"_"," "),"–"," "),"?"," "),"!"," "),"*"," "),"["," "),"]"," "),"'"," "),"#"," "),"+"," "),"&amp;"," "),"\"," "))&amp;" "</f>
        <v>  </v>
      </c>
      <c r="CD217" s="0" t="str">
        <f aca="false">" "&amp;TRIM(SUBSTITUTE(SUBSTITUTE(SUBSTITUTE(SUBSTITUTE(SUBSTITUTE(SUBSTITUTE(SUBSTITUTE(SUBSTITUTE(SUBSTITUTE(SUBSTITUTE(SUBSTITUTE(SUBSTITUTE(SUBSTITUTE(SUBSTITUTE(SUBSTITUTE(SUBSTITUTE(SUBSTITUTE(SUBSTITUTE(SUBSTITUTE(SUBSTITUTE(SUBSTITUTE(SUBSTITUTE(SUBSTITUTE(SUBSTITUTE(LOWER(AE217&amp;""),CHAR(10)," "),CHAR(13)," "),CHAR(9)," "),CHAR(160)," "),"."," "),","," "),"-"," "),"/"," "),"("," "),")"," "),":"," "),";"," "),"_"," "),"–"," "),"?"," "),"!"," "),"*"," "),"["," "),"]"," "),"'"," "),"#"," "),"+"," "),"&amp;"," "),"\"," "))&amp;" "</f>
        <v>  </v>
      </c>
      <c r="CE217" s="68" t="n">
        <f aca="false">IFERROR(IF(AND(LEN(AU217)&gt;0,LEN(AU217)=LEN(AX217),OR(TRIM(MID(SUBSTITUTE(TRIM(CC217)," ",REPT(" ",60)),1,60))="",ISNUMBER(SEARCH(" "&amp;TRIM(MID(SUBSTITUTE(TRIM(CC217)," ",REPT(" ",60)),1,60))&amp;" ",CD217))),OR(TRIM(MID(SUBSTITUTE(TRIM(CC217)," ",REPT(" ",60)),61,60))="",ISNUMBER(SEARCH(" "&amp;TRIM(MID(SUBSTITUTE(TRIM(CC217)," ",REPT(" ",60)),61,60))&amp;" ",CD217))),OR(TRIM(MID(SUBSTITUTE(TRIM(CC217)," ",REPT(" ",60)),121,60))="",ISNUMBER(SEARCH(" "&amp;TRIM(MID(SUBSTITUTE(TRIM(CC217)," ",REPT(" ",60)),121,60))&amp;" ",CD217)))),1,0),0)</f>
        <v>0</v>
      </c>
      <c r="CG217" s="68" t="n">
        <f aca="false">IFERROR(LEN(SUBSTITUTE(BF217," ",""))-SUMPRODUCT((LEN(BF217)-LEN(SUBSTITUTE(BF217," "&amp;L_NAFiller&amp;" "," ")))/(LEN(L_NAFiller)+1)*LEN(L_NAFiller)),0)</f>
        <v>0</v>
      </c>
    </row>
    <row r="218" customFormat="false" ht="39.75" hidden="false" customHeight="true" outlineLevel="0" collapsed="false">
      <c r="A218" s="57" t="s">
        <v>779</v>
      </c>
      <c r="B218" s="57" t="s">
        <v>235</v>
      </c>
      <c r="C218" s="57" t="str">
        <f aca="false">Flights!$F$11</f>
        <v>MH0003</v>
      </c>
      <c r="D218" s="58" t="n">
        <f aca="false">Flights!$D$11</f>
        <v>46304</v>
      </c>
      <c r="E218" s="57" t="str">
        <f aca="false">Flights!$G$11&amp;"-"&amp;Flights!$H$11</f>
        <v>LHR-KUL</v>
      </c>
      <c r="F218" s="57" t="str">
        <f aca="false">Flights!$K$11</f>
        <v>BC</v>
      </c>
      <c r="G218" s="57" t="s">
        <v>81</v>
      </c>
      <c r="H218" s="57" t="s">
        <v>378</v>
      </c>
      <c r="I218" s="57" t="s">
        <v>398</v>
      </c>
      <c r="J218" s="57" t="s">
        <v>402</v>
      </c>
      <c r="K218" s="67" t="s">
        <v>403</v>
      </c>
      <c r="L218" s="67" t="s">
        <v>382</v>
      </c>
      <c r="M218" s="67"/>
      <c r="N218" s="67" t="s">
        <v>383</v>
      </c>
      <c r="O218" s="67"/>
      <c r="P218" s="57" t="s">
        <v>186</v>
      </c>
      <c r="Q218" s="59" t="n">
        <f aca="false">ROUND((Flights!$AC$11)*1440,0)/1440</f>
        <v>46297.4166666667</v>
      </c>
      <c r="R218" s="59" t="n">
        <f aca="false">Q218+(IF(AND(INDEX(TZ_DSTS,MATCH(P218,TZ_STN,0))&lt;&gt;"",Q218&gt;=INDEX(TZ_DSTS,MATCH(P218,TZ_STN,0)),Q218&lt;INDEX(TZ_DSTE,MATCH(P218,TZ_STN,0))),INDEX(TZ_DST,MATCH(P218,TZ_STN,0)),INDEX(TZ_STD,MATCH(P218,TZ_STN,0))))/24</f>
        <v>46297.4583333333</v>
      </c>
      <c r="S218" s="60"/>
      <c r="T218" s="60"/>
      <c r="U218" s="60"/>
      <c r="V218" s="60"/>
      <c r="W218" s="61"/>
      <c r="X218" s="60"/>
      <c r="Y218" s="60"/>
      <c r="Z218" s="60"/>
      <c r="AA218" s="60"/>
      <c r="AB218" s="60"/>
      <c r="AC218" s="60"/>
      <c r="AD218" s="66"/>
      <c r="AE218" s="60"/>
      <c r="AF218" s="61" t="str">
        <f aca="false">IF(AND(ISNUMBER(X218),ISNUMBER(Y218)),Y218-X218,"")</f>
        <v/>
      </c>
      <c r="AG218" s="62" t="str">
        <f aca="false">IF(ISNUMBER(AD218),AD218-(IF(AND(INDEX(TZ_DSTS,MATCH(P218,TZ_STN,0))&lt;&gt;"",(AD218-INDEX(TZ_STD,MATCH(P218,TZ_STN,0))/24)&gt;=INDEX(TZ_DSTS,MATCH(P218,TZ_STN,0)),(AD218-INDEX(TZ_STD,MATCH(P218,TZ_STN,0))/24)&lt;INDEX(TZ_DSTE,MATCH(P218,TZ_STN,0))),INDEX(TZ_DST,MATCH(P218,TZ_STN,0)),INDEX(TZ_STD,MATCH(P218,TZ_STN,0))))/24,"")</f>
        <v/>
      </c>
      <c r="AH218" s="65" t="str">
        <f aca="false">IFERROR(IF(N218="N/A – rule",IF(OR(TRIM(U218)="",TRIM(U218)="N/A",TRIM(U218)="Not started"),"N/A – RULE","INVALID – this check does not apply to this aircraft: clear the status (or correct the fleet on Flights)"),IF(TRIM(U218)="N/A",IF(AT218=0,"INVALID – N/A not permitted for this check",IF(AND(TRIM(AB218)&lt;&gt;"",TRIM(AB218)&lt;&gt;"Closed"),"INVALID – corrective action still open",IF(AND(NOT(OR(LEN(AZ218)&lt;15,ISNUMBER(MATCH(AZ218,L_Placeholder,0)))),BK218=0,CG218&gt;=8,NOT(OR(LEN(AU218)&lt;2,ISNUMBER(MATCH(AU218,L_Placeholder,0)))),BR218&gt;=3,NOT(OR(LEN(AX218)&lt;2,ISNUMBER(MATCH(AX218,L_Placeholder,0)))),BS218&gt;=3,TRIM(AE218)&lt;&gt;TRIM(T218),AX218&lt;&gt;AU218,CE218=0),"N/A – JUSTIFIED","INVALID – N/A needs a real, settled reason (not 'not applicable' / 'as above' / TBC), a named PIC and a different named verifier"))),IF(OR(TRIM(U218)="Pass",TRIM(U218)="Pass after CA"),IF(NOT(ISNUMBER(AD218)),"INVALID – completion time missing",IF(OR(OR(LEN(AU218)&lt;2,ISNUMBER(MATCH(AU218,L_Placeholder,0))),BR218&lt;3),"INVALID – PIC missing or not a named person (a role such as QA / CSM is not a name)",IF(OR(LEN(AV218)&lt;2,ISNUMBER(MATCH(AV218,L_Placeholder,0))),"INVALID – result / assessment missing",IF(OR(OR(LEN(AW218)&lt;3,ISNUMBER(MATCH(AW218,L_Placeholder,0))),SUMPRODUCT(--ISNUMBER(SEARCH(" "&amp;L_EvidencePhrase&amp;" ",BD218)))&gt;0,BI218=1),"INVALID – evidence missing, placeholder or not yet on file",IF(ISNA(MATCH(TRIM(S218),L_EvidenceType,0)),"INVALID – choose the evidence type from the list (column S)",IF(BL218=0,"INVALID – evidence ID must be the record's own ID only (e.g. SF-2210, IMG_2231, 1045521); a link / file name needs type 'Link / file path'",IF(OR(OR(LEN(AX218)&lt;2,ISNUMBER(MATCH(AX218,L_Placeholder,0))),BS218&lt;3),"INVALID – verifier missing or not a named person (a role such as QA / CSM is not a name)",IF(OR(AX218=AU218,CE218=1,AND(LEN(AU218)&gt;=4,ISNUMBER(SEARCH(AU218,AX218))),AND(LEN(AX218)&gt;=4,ISNUMBER(SEARCH(AX218,AU218)))),"INVALID – verifier must be a different, named person (not the PIC or a role)",IF(BH218=1,"INVALID – result not yet available (awaiting / TBC)",IF(BG218=1,"INVALID – result describes a problem: record Fail, then Pass after CA (or reword if it is not a problem)",IF(BV218=1,"INVALID – wording says not on board: an on-board confirmation needs the item loaded",IF(AND(AQ218=1,OR(OR(LEN(AY218)&lt;3,ISNUMBER(MATCH(AY218,L_Placeholder,0))),BJ218=1,BQ218=0)),"INVALID – batch ID missing, placeholder or not an ID (e.g. PASB-261008-BC-017)",IF(AND(AR218=1,OR(NOT(ISNUMBER(X218)),NOT(ISNUMBER(Y218)))),"INVALID – expected/actual qty missing",IF(AND(AR218=1,OR(X218&lt;=0,Y218&lt;0)),"INVALID – expected qty must be above 0 and actual not negative",IF(BB218&lt;&gt;"",BB218,IF(AND(AS218=1,Documents!$J$11&lt;&gt;"ON FILE"),"INVALID – GLD not on file (Documents sheet)",IF(AND(AS218=2,Documents!$O$11&lt;&gt;"ON FILE"),"INVALID – menu checklist not on file (Documents sheet)",IF(AND(AS218=3,NOT(ISNUMBER(Flights!$AX$11))),"INVALID – enter carrying flight KUL departure (Flights AX)",IF(AND(AS218=3,OR(Flights!$AZ$11&gt;Flights!$AA$11,Flights!$AX$11&lt;Flights!$AA$11-3)),"INVALID – carrying flight (Flights AX) cannot arrive before this leg's STD, or is over 3 days early",IF(AG218&gt;AsOfUTC,"INVALID – completion time is in the future",IF(AND(ISNUMBER(BY218),AG218&lt;BY218),IF(H218="Physical uplift","INVALID – before uplift window (cannot confirm loading)","INVALID – before valid window"),IF(AG218&gt;Flights!$AA$11,"INVALID – completed after departure (cannot establish readiness)",IF(AND(H218="Preparation",AG218&gt;=IF(ISNUMBER(Flights!$BA$11),MIN(Flights!$BA$11,Flights!$AA$11),Flights!$AA$11)),"INVALID – completed after loading / departure (cannot establish readiness)",IF(AND(H218="Physical uplift",AG218&gt;Q218),"INVALID – recorded after the loading flight departed",IF(AG218&gt;Q218,"COMPLETE – LATE","COMPLETE"))))))))))))))))))))))))),IF(TRIM(U218)="Fail","FAIL – DISCREPANCY",IF(AND(TRIM(U218)&lt;&gt;"",TRIM(U218)&lt;&gt;"Not started",TRIM(U218)&lt;&gt;"In progress"),"INVALID – unrecognised status (use the list)",IF(AsOfUTC&gt;Q218,"OVERDUE",IF(N218="Clarification required","OPEN – CLARIFICATION","OPEN"))))))),"INVALID – error value in an input cell")</f>
        <v>OPEN</v>
      </c>
      <c r="AI218" s="61" t="n">
        <f aca="false">IF(OR(AH218="N/A – RULE",AH218="N/A – JUSTIFIED"),0,1)</f>
        <v>1</v>
      </c>
      <c r="AJ218" s="61" t="n">
        <f aca="false">IF(LEFT(AH218,8)="COMPLETE",1,0)</f>
        <v>0</v>
      </c>
      <c r="AK218" s="61" t="n">
        <f aca="false">IF(AND(AI218=1,AJ218=0,AsOfUTC&gt;Q218),1,0)</f>
        <v>0</v>
      </c>
      <c r="AL218" s="61" t="n">
        <f aca="false">IFERROR(IF(AND(AI218=1,OR(TRIM(U218)="Fail",AND(TRIM(AB218)&lt;&gt;"",TRIM(AB218)&lt;&gt;"Closed"),AND(ISNUMBER(AF218),AF218&lt;&gt;0,TRIM(U218)&lt;&gt;"Pass after CA"))),1,0),1)</f>
        <v>0</v>
      </c>
      <c r="AM218" s="61" t="n">
        <f aca="false">IF(LEFT(AH218,7)="INVALID",1,0)</f>
        <v>0</v>
      </c>
      <c r="AN218" s="61" t="n">
        <f aca="false">IF(AND(N218="Clarification required",AI218=1,AJ218=0),1,0)</f>
        <v>0</v>
      </c>
      <c r="AO218" s="61" t="str">
        <f aca="false">IF(AK218=1,SUM(AK$5:AK218),"")</f>
        <v/>
      </c>
      <c r="AP218" s="61" t="str">
        <f aca="false">IF(AL218=1,SUM(AL$5:AL218),"")</f>
        <v/>
      </c>
      <c r="AQ218" s="61" t="n">
        <v>0</v>
      </c>
      <c r="AR218" s="61" t="n">
        <v>0</v>
      </c>
      <c r="AS218" s="61" t="n">
        <v>0</v>
      </c>
      <c r="AT218" s="61" t="n">
        <v>0</v>
      </c>
      <c r="AU218" s="61" t="str">
        <f aca="false">SUBSTITUTE(SUBSTITUTE(SUBSTITUTE(SUBSTITUTE(SUBSTITUTE(SUBSTITUTE(SUBSTITUTE(SUBSTITUTE(SUBSTITUTE(SUBSTITUTE(SUBSTITUTE(SUBSTITUTE(SUBSTITUTE(SUBSTITUTE(SUBSTITUTE(SUBSTITUTE(LOWER(T218&amp;""),CHAR(10),""),CHAR(13),""),CHAR(9),""),CHAR(160),"")," ",""),".",""),"-",""),"/",""),"?",""),"_",""),",",""),"[",""),"]",""),"(",""),")",""),"*","")</f>
        <v/>
      </c>
      <c r="AV218" s="61" t="str">
        <f aca="false">SUBSTITUTE(SUBSTITUTE(SUBSTITUTE(SUBSTITUTE(SUBSTITUTE(SUBSTITUTE(SUBSTITUTE(SUBSTITUTE(SUBSTITUTE(SUBSTITUTE(SUBSTITUTE(SUBSTITUTE(SUBSTITUTE(SUBSTITUTE(SUBSTITUTE(SUBSTITUTE(LOWER(V218&amp;""),CHAR(10),""),CHAR(13),""),CHAR(9),""),CHAR(160),"")," ",""),".",""),"-",""),"/",""),"?",""),"_",""),",",""),"[",""),"]",""),"(",""),")",""),"*","")</f>
        <v/>
      </c>
      <c r="AW218" s="61" t="str">
        <f aca="false">SUBSTITUTE(SUBSTITUTE(SUBSTITUTE(SUBSTITUTE(SUBSTITUTE(SUBSTITUTE(SUBSTITUTE(SUBSTITUTE(SUBSTITUTE(SUBSTITUTE(SUBSTITUTE(SUBSTITUTE(SUBSTITUTE(SUBSTITUTE(SUBSTITUTE(SUBSTITUTE(LOWER(Z218&amp;""),CHAR(10),""),CHAR(13),""),CHAR(9),""),CHAR(160),"")," ",""),".",""),"-",""),"/",""),"?",""),"_",""),",",""),"[",""),"]",""),"(",""),")",""),"*","")</f>
        <v/>
      </c>
      <c r="AX218" s="61" t="str">
        <f aca="false">SUBSTITUTE(SUBSTITUTE(SUBSTITUTE(SUBSTITUTE(SUBSTITUTE(SUBSTITUTE(SUBSTITUTE(SUBSTITUTE(SUBSTITUTE(SUBSTITUTE(SUBSTITUTE(SUBSTITUTE(SUBSTITUTE(SUBSTITUTE(SUBSTITUTE(SUBSTITUTE(LOWER(AE218&amp;""),CHAR(10),""),CHAR(13),""),CHAR(9),""),CHAR(160),"")," ",""),".",""),"-",""),"/",""),"?",""),"_",""),",",""),"[",""),"]",""),"(",""),")",""),"*","")</f>
        <v/>
      </c>
      <c r="AY218" s="61" t="str">
        <f aca="false">SUBSTITUTE(SUBSTITUTE(SUBSTITUTE(SUBSTITUTE(SUBSTITUTE(SUBSTITUTE(SUBSTITUTE(SUBSTITUTE(SUBSTITUTE(SUBSTITUTE(SUBSTITUTE(SUBSTITUTE(SUBSTITUTE(SUBSTITUTE(SUBSTITUTE(SUBSTITUTE(LOWER(W218&amp;""),CHAR(10),""),CHAR(13),""),CHAR(9),""),CHAR(160),"")," ",""),".",""),"-",""),"/",""),"?",""),"_",""),",",""),"[",""),"]",""),"(",""),")",""),"*","")</f>
        <v/>
      </c>
      <c r="AZ218" s="61" t="str">
        <f aca="false">SUBSTITUTE(SUBSTITUTE(SUBSTITUTE(SUBSTITUTE(SUBSTITUTE(SUBSTITUTE(SUBSTITUTE(SUBSTITUTE(SUBSTITUTE(SUBSTITUTE(SUBSTITUTE(SUBSTITUTE(SUBSTITUTE(SUBSTITUTE(SUBSTITUTE(SUBSTITUTE(LOWER(AC218&amp;""),CHAR(10),""),CHAR(13),""),CHAR(9),""),CHAR(160),"")," ",""),".",""),"-",""),"/",""),"?",""),"_",""),",",""),"[",""),"]",""),"(",""),")",""),"*","")</f>
        <v/>
      </c>
      <c r="BA218" s="61" t="str">
        <f aca="false">SUBSTITUTE(SUBSTITUTE(SUBSTITUTE(SUBSTITUTE(SUBSTITUTE(SUBSTITUTE(SUBSTITUTE(SUBSTITUTE(SUBSTITUTE(SUBSTITUTE(SUBSTITUTE(SUBSTITUTE(SUBSTITUTE(SUBSTITUTE(SUBSTITUTE(SUBSTITUTE(LOWER(AA218&amp;""),CHAR(10),""),CHAR(13),""),CHAR(9),""),CHAR(160),"")," ",""),".",""),"-",""),"/",""),"?",""),"_",""),",",""),"[",""),"]",""),"(",""),")",""),"*","")</f>
        <v/>
      </c>
      <c r="BB218" s="61" t="str">
        <f aca="false">IF(AND(TRIM(U218)="Pass",ISNUMBER(AF218)),IF(AF218&lt;&gt;0,"INVALID – qty variance: use Fail or Pass after CA",""),"")&amp;IF(AND(TRIM(U218)="Pass after CA",ISNUMBER(AF218)),IF(AF218&lt;&gt;0,"INVALID – after the corrective action the actual qty must equal expected (update Actual)",""),"")&amp;IF(AND(TRIM(U218)="Pass",TRIM(AB218)&lt;&gt;"",TRIM(AB218)&lt;&gt;"Closed"),"INVALID – corrective action not closed: use Fail, then Pass after CA","")&amp;IF(AND(LEN(BA218)&gt;=2,ISNA(MATCH(LEFT(BA218,255),L_Placeholder,0)),TRIM(AB218)=""),"INVALID – CA status missing for the recorded corrective action","")&amp;IF(AND(TRIM(U218)="Pass after CA",OR(OR(LEN(BA218)&lt;5,ISNUMBER(MATCH(BA218,L_Placeholder,0))),TRIM(AB218)&lt;&gt;"Closed")),"INVALID – corrective action not recorded/closed","")</f>
        <v/>
      </c>
      <c r="BC218" s="61" t="str">
        <f aca="false">" "&amp;TRIM(SUBSTITUTE(SUBSTITUTE(SUBSTITUTE(SUBSTITUTE(SUBSTITUTE(SUBSTITUTE(SUBSTITUTE(SUBSTITUTE(SUBSTITUTE(SUBSTITUTE(SUBSTITUTE(SUBSTITUTE(SUBSTITUTE(SUBSTITUTE(SUBSTITUTE(SUBSTITUTE(SUBSTITUTE(SUBSTITUTE(SUBSTITUTE(SUBSTITUTE(SUBSTITUTE(SUBSTITUTE(SUBSTITUTE(SUBSTITUTE(LOWER(V218&amp;""),CHAR(10)," "),CHAR(13)," "),CHAR(9)," "),CHAR(160)," "),"."," "),","," "),"-"," "),"/"," "),"("," "),")"," "),":"," "),";"," "),"_"," "),"–"," "),"?"," "),"!"," "),"*"," "),"["," "),"]"," "),"'"," "),"#"," "),"+"," "),"&amp;"," "),"\"," "))&amp;" "</f>
        <v>  </v>
      </c>
      <c r="BD218" s="61" t="str">
        <f aca="false">" "&amp;TRIM(SUBSTITUTE(SUBSTITUTE(SUBSTITUTE(SUBSTITUTE(SUBSTITUTE(SUBSTITUTE(SUBSTITUTE(SUBSTITUTE(SUBSTITUTE(SUBSTITUTE(SUBSTITUTE(SUBSTITUTE(SUBSTITUTE(SUBSTITUTE(SUBSTITUTE(SUBSTITUTE(SUBSTITUTE(SUBSTITUTE(SUBSTITUTE(SUBSTITUTE(SUBSTITUTE(SUBSTITUTE(SUBSTITUTE(SUBSTITUTE(LOWER(Z218&amp;""),CHAR(10)," "),CHAR(13)," "),CHAR(9)," "),CHAR(160)," "),"."," "),","," "),"-"," "),"/"," "),"("," "),")"," "),":"," "),";"," "),"_"," "),"–"," "),"?"," "),"!"," "),"*"," "),"["," "),"]"," "),"'"," "),"#"," "),"+"," "),"&amp;"," "),"\"," "))&amp;" "</f>
        <v>  </v>
      </c>
      <c r="BE218" s="61" t="str">
        <f aca="false">" "&amp;TRIM(SUBSTITUTE(SUBSTITUTE(SUBSTITUTE(SUBSTITUTE(SUBSTITUTE(SUBSTITUTE(SUBSTITUTE(SUBSTITUTE(SUBSTITUTE(SUBSTITUTE(SUBSTITUTE(SUBSTITUTE(SUBSTITUTE(SUBSTITUTE(SUBSTITUTE(SUBSTITUTE(SUBSTITUTE(SUBSTITUTE(SUBSTITUTE(SUBSTITUTE(SUBSTITUTE(SUBSTITUTE(SUBSTITUTE(SUBSTITUTE(LOWER(W218&amp;""),CHAR(10)," "),CHAR(13)," "),CHAR(9)," "),CHAR(160)," "),"."," "),","," "),"-"," "),"/"," "),"("," "),")"," "),":"," "),";"," "),"_"," "),"–"," "),"?"," "),"!"," "),"*"," "),"["," "),"]"," "),"'"," "),"#"," "),"+"," "),"&amp;"," "),"\"," "))&amp;" "</f>
        <v>  </v>
      </c>
      <c r="BF218" s="61" t="str">
        <f aca="false">" "&amp;TRIM(SUBSTITUTE(SUBSTITUTE(SUBSTITUTE(SUBSTITUTE(SUBSTITUTE(SUBSTITUTE(SUBSTITUTE(SUBSTITUTE(SUBSTITUTE(SUBSTITUTE(SUBSTITUTE(SUBSTITUTE(SUBSTITUTE(SUBSTITUTE(SUBSTITUTE(SUBSTITUTE(SUBSTITUTE(SUBSTITUTE(SUBSTITUTE(SUBSTITUTE(SUBSTITUTE(SUBSTITUTE(SUBSTITUTE(SUBSTITUTE(LOWER(AC218&amp;""),CHAR(10)," "),CHAR(13)," "),CHAR(9)," "),CHAR(160)," "),"."," "),","," "),"-"," "),"/"," "),"("," "),")"," "),":"," "),";"," "),"_"," "),"–"," "),"?"," "),"!"," "),"*"," "),"["," "),"]"," "),"'"," "),"#"," "),"+"," "),"&amp;"," "),"\"," "))&amp;" "</f>
        <v>  </v>
      </c>
      <c r="BG218" s="61" t="n">
        <f aca="false">IFERROR(IF(AND(TRIM(U218)="Pass",SUMPRODUCT((LEN(BC218)-LEN(SUBSTITUTE(BC218," "&amp;L_ResultBad&amp;" "," ")))/(LEN(L_ResultBad)+1))&gt;SUMPRODUCT((LEN(BC218)-LEN(SUBSTITUTE(BC218," "&amp;L_NegPhrase&amp;" "," ")))/(LEN(L_NegPhrase)+1))),1,0),0)</f>
        <v>0</v>
      </c>
      <c r="BH218" s="61" t="n">
        <f aca="false">IFERROR(IF(SUMPRODUCT((LEN(BC218)-LEN(SUBSTITUTE(BC218," "&amp;L_Pending&amp;" "," ")))/(LEN(L_Pending)+1))&gt;SUMPRODUCT((LEN(BC218)-LEN(SUBSTITUTE(BC218," "&amp;L_PendNeg&amp;" "," ")))/(LEN(L_PendNeg)+1))+SUMPRODUCT((LEN(BC218)-LEN(SUBSTITUTE(BC218," "&amp;L_PendPrep&amp;" "," ")))/(LEN(L_PendPrep)+1)),1,0),1)</f>
        <v>0</v>
      </c>
      <c r="BI218" s="61" t="n">
        <f aca="false">IFERROR(IF(SUMPRODUCT((LEN(BD218)-LEN(SUBSTITUTE(BD218," "&amp;L_PendStrict&amp;" "," ")))/(LEN(L_PendStrict)+1))&gt;SUMPRODUCT((LEN(BD218)-LEN(SUBSTITUTE(BD218," "&amp;L_PendNeg&amp;" "," ")))/(LEN(L_PendNeg)+1)),1,0),1)</f>
        <v>0</v>
      </c>
      <c r="BJ218" s="61" t="n">
        <f aca="false">IFERROR(IF(SUMPRODUCT((LEN(BE218)-LEN(SUBSTITUTE(BE218," "&amp;L_Pending&amp;" "," ")))/(LEN(L_Pending)+1))&gt;SUMPRODUCT((LEN(BE218)-LEN(SUBSTITUTE(BE218," "&amp;L_PendNeg&amp;" "," ")))/(LEN(L_PendNeg)+1))+SUMPRODUCT((LEN(BE218)-LEN(SUBSTITUTE(BE218," "&amp;L_PendPrep&amp;" "," ")))/(LEN(L_PendPrep)+1)),1,0),1)</f>
        <v>0</v>
      </c>
      <c r="BK218" s="61" t="n">
        <f aca="false">IFERROR(IF(SUMPRODUCT((LEN(BF218)-LEN(SUBSTITUTE(BF218," "&amp;L_PendStrict&amp;" "," ")))/(LEN(L_PendStrict)+1))&gt;SUMPRODUCT((LEN(BF218)-LEN(SUBSTITUTE(BF218," "&amp;L_PendNeg&amp;" "," ")))/(LEN(L_PendNeg)+1)),1,0),1)</f>
        <v>0</v>
      </c>
      <c r="BL218" s="61" t="n">
        <f aca="false">IF(ISNA(MATCH(TRIM(S218),L_EvidenceType,0)),0,BZ218)</f>
        <v>0</v>
      </c>
      <c r="BM218" s="61" t="str">
        <f aca="false">SUBSTITUTE(SUBSTITUTE(SUBSTITUTE(SUBSTITUTE(SUBSTITUTE(SUBSTITUTE(SUBSTITUTE(SUBSTITUTE(SUBSTITUTE(LOWER(Z218&amp;""),"1","0"),"2","0"),"3","0"),"4","0"),"5","0"),"6","0"),"7","0"),"8","0"),"9","0")</f>
        <v/>
      </c>
      <c r="BN218" s="61" t="str">
        <f aca="false">SUBSTITUTE(SUBSTITUTE(SUBSTITUTE(SUBSTITUTE(SUBSTITUTE(SUBSTITUTE(SUBSTITUTE(SUBSTITUTE(SUBSTITUTE(SUBSTITUTE(SUBSTITUTE(SUBSTITUTE(SUBSTITUTE(SUBSTITUTE(SUBSTITUTE(SUBSTITUTE(SUBSTITUTE(SUBSTITUTE(SUBSTITUTE(SUBSTITUTE(SUBSTITUTE(SUBSTITUTE(SUBSTITUTE(SUBSTITUTE(SUBSTITUTE(BM218,"b","a"),"c","a"),"d","a"),"e","a"),"f","a"),"g","a"),"h","a"),"i","a"),"j","a"),"k","a"),"l","a"),"m","a"),"n","a"),"o","a"),"p","a"),"q","a"),"r","a"),"s","a"),"t","a"),"u","a"),"v","a"),"w","a"),"x","a"),"y","a"),"z","a")</f>
        <v/>
      </c>
      <c r="BO218" s="61" t="str">
        <f aca="false">SUBSTITUTE(SUBSTITUTE(SUBSTITUTE(SUBSTITUTE(SUBSTITUTE(SUBSTITUTE(SUBSTITUTE(SUBSTITUTE(SUBSTITUTE(LOWER(W218&amp;""),"1","0"),"2","0"),"3","0"),"4","0"),"5","0"),"6","0"),"7","0"),"8","0"),"9","0")</f>
        <v/>
      </c>
      <c r="BP218" s="61" t="str">
        <f aca="false">SUBSTITUTE(SUBSTITUTE(SUBSTITUTE(SUBSTITUTE(SUBSTITUTE(SUBSTITUTE(SUBSTITUTE(SUBSTITUTE(SUBSTITUTE(SUBSTITUTE(SUBSTITUTE(SUBSTITUTE(SUBSTITUTE(SUBSTITUTE(SUBSTITUTE(SUBSTITUTE(SUBSTITUTE(SUBSTITUTE(SUBSTITUTE(SUBSTITUTE(SUBSTITUTE(SUBSTITUTE(SUBSTITUTE(SUBSTITUTE(SUBSTITUTE(BO218,"b","a"),"c","a"),"d","a"),"e","a"),"f","a"),"g","a"),"h","a"),"i","a"),"j","a"),"k","a"),"l","a"),"m","a"),"n","a"),"o","a"),"p","a"),"q","a"),"r","a"),"s","a"),"t","a"),"u","a"),"v","a"),"w","a"),"x","a"),"y","a"),"z","a")</f>
        <v/>
      </c>
      <c r="BQ218" s="61" t="n">
        <f aca="false">IFERROR(IF(AND(ISERROR(SEARCH(" mh"," "&amp;LOWER(W218))),ISNA(MATCH(LEFT(TRIM(BP218),255),{"0000a","000a","00a","0000aa","000aa","00aa","0aa","0000aaa","000aaa","00a00","0a00","0000-0000","00:00","a00","a0","00.00.0000","00/00/0000","00-00-0000","0000-00-00","0000/00/00","0000.00.00","00.00.00","00/00/00","00-00-00","0.00.0000","0/00/0000","0-00-0000"},0)),ISNA(MATCH(LEFT(TRIM(CA218),255),{"0000a","000a","00a","0000aa","000aa","00aa","0aa","0000aaa","000aaa","00a00","0a00","0000-0000","00:00","a00","a0","00.00.0000","00/00/0000","00-00-0000","0000-00-00","0000/00/00","0000.00.00","00.00.00","00/00/00","00-00-00","0.00.0000","0/00/0000","0-00-0000"},0)),LEN(CB218)&gt;=3,NOT(OR(SUBSTITUTE(CB218,"0","")="",AND(LEN(CB218)&gt;=4,CB218=REPT(LEFT(CB218),LEN(CB218))),ISNUMBER(MATCH(CB218,{"123","1234","12345","123456","1234567","12345678","0123","01234","012345","98765","987654","54321"},0)),AND(LEN(CB218)=8,LEFT(CB218,3)="202"))),OR(AND((LEN(CA218)-LEN(SUBSTITUTE(CA218,"a","")))&gt;=1,SUMPRODUCT(--ISNUMBER(SEARCH({"a0","a-0","a_0","a/0","a.0","a#0","0a","0-a","0_a","0/a"},BP218)))&gt;0),ISNUMBER(SEARCH("000000",BP218)))),1,0),0)</f>
        <v>0</v>
      </c>
      <c r="BR218" s="61" t="n">
        <f aca="false">IFERROR(LEN(SUBSTITUTE(CC218," ",""))-SUMPRODUCT((LEN(CC218)-LEN(SUBSTITUTE(CC218," "&amp;L_Role&amp;" "," ")))/(LEN(L_Role)+1)*LEN(L_Role)),0)</f>
        <v>0</v>
      </c>
      <c r="BS218" s="61" t="n">
        <f aca="false">IFERROR(LEN(SUBSTITUTE(CD218," ",""))-SUMPRODUCT((LEN(CD218)-LEN(SUBSTITUTE(CD218," "&amp;L_Role&amp;" "," ")))/(LEN(L_Role)+1)*LEN(L_Role)),0)</f>
        <v>0</v>
      </c>
      <c r="BT2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218,"revision",""),"version",""),"jan",""),"feb",""),"mar",""),"apr",""),"may",""),"jun",""),"jul",""),"aug",""),"sep",""),"oct",""),"nov",""),"dec",""),"utc",""),"gmt",""),"myt",""),"bst",""),"rev",""),"ver",""),"b","a"),"c","a"),"d","a"),"e","a"),"f","a"),"g","a"),"h","a"),"i","a"),"j","a"),"k","a"),"l","a"),"m","a"),"n","a"),"o","a"),"p","a"),"q","a"),"r","a"),"s","a"),"t","a"),"u","a"),"v","a"),"w","a"),"x","a"),"y","a"),"z","a")</f>
        <v/>
      </c>
      <c r="BU218" s="61" t="str">
        <f aca="false">SUBSTITUTE(SUBSTITUTE(SUBSTITUTE(SUBSTITUTE(SUBSTITUTE(SUBSTITUTE(SUBSTITUTE(SUBSTITUTE(SUBSTITUTE(SUBSTITUTE(LEFT(BM218,FIND("0",BM218&amp;"0")-1),"-",""),"_",""),"/",""),".",""),"#",""),"\\",""),":","")," ",""),"(",""),")","")</f>
        <v/>
      </c>
      <c r="BV218" s="61" t="n">
        <f aca="false">0</f>
        <v>0</v>
      </c>
      <c r="BW2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218&amp;""),"a",""),"b",""),"c",""),"d",""),"e",""),"f",""),"g",""),"h",""),"i",""),"j",""),"k",""),"l",""),"m",""),"n",""),"o",""),"p",""),"q",""),"r",""),"s",""),"t",""),"u",""),"v",""),"w",""),"x",""),"y",""),"z",""),"-",""),"_",""),"/",""),".",""),"#",""),"\\",""),":","")," ",""),"(",""),")","")</f>
        <v/>
      </c>
      <c r="BX218" s="61" t="str">
        <f aca="false">SUBSTITUTE(SUBSTITUTE(SUBSTITUTE(SUBSTITUTE(SUBSTITUTE(SUBSTITUTE(SUBSTITUTE(SUBSTITUTE(SUBSTITUTE(SUBSTITUTE(SUBSTITUTE(BM218,"0",""),"-",""),"_",""),"/",""),".",""),"#",""),"\\",""),":","")," ",""),"(",""),")","")</f>
        <v/>
      </c>
      <c r="BY218" s="62" t="n">
        <f aca="false">Q218-T7EarlyD*24/24</f>
        <v>46283.4166666667</v>
      </c>
      <c r="BZ218" s="61" t="n">
        <f aca="false">IFERROR(IF(IF(TRIM(S218)="Link / file path",AND(LEN(TRIM(Z218))&gt;=5,SUMPRODUCT(--ISNUMBER(SEARCH({"http","www.","\\",":\",".pdf",".jpg",".jpeg",".png",".heic",".xls",".doc",".msg",".eml",".ppt",".txt",".zip"},Z218)))&gt;0),AND(ISERROR(FIND(" ",TRIM(Z218))),NOT(OR(SUMPRODUCT(--ISNUMBER(FIND({",",";","&amp;","+"},Z218)))&gt;0,SUMPRODUCT(--ISNUMBER(SEARCH({"0/aa","0\\aa"},BN218)))&gt;0)),NOT(SUMPRODUCT(--ISNUMBER(SEARCH({"http","www.","\\",":\",".pdf",".jpg",".jpeg",".png",".heic",".xls",".doc",".msg",".eml",".ppt",".txt",".zip"},Z218)))&gt;0),NOT(LOWER(TRIM(Z218))=LOWER(Flights!$F$11)),ISNA(MATCH(BU218,{"mh","rev","revision","ver","version","v","r","a","b","seat","tray","row","gate","bay","stand","page","pg","item","line","no","cart","galley","flight","flt","table","box","bag","oven","etd","eta","std","sta","atd","ata","qty","pax","x","time","tel","ph","mob","day","wk","week","utc","gmt","myt","lt"},0)),NOT(OR(ISNUMBER(MATCH(LEFT(BN218,255),{"0000a","000a","00a","0000aa","000aa","00aa","0aa","0000aaa","000aaa","00a00","0a00","0000-0000","00:00","a00","a0","00.00.0000","00/00/0000","00-00-0000","0000-00-00","0000/00/00","0000.00.00","00.00.00","00/00/00","00-00-00","0.00.0000","0/00/0000","0-00-0000"},0)),ISNUMBER(MATCH(LEFT(BT218,255),{"0000a","000a","00a","0000aa","000aa","00aa","0aa","0000aaa","000aaa","00a00","0a00","0000-0000","00:00","a00","a0","00.00.0000","00/00/0000","00-00-0000","0000-00-00","0000/00/00","0000.00.00","00.00.00","00/00/00","00-00-00","0.00.0000","0/00/0000","0-00-0000"},0)))),NOT(OR(AND(BW218&lt;&gt;"",SUBSTITUTE(BW218,"0","")=""),AND(LEN(BW218)&gt;=4,BW218=REPT(LEFT(BW218),LEN(BW218))),ISNUMBER(MATCH(BW218,{"123","1234","12345","123456","1234567","12345678","0123","01234","012345","98765","987654","54321"},0)),ISNUMBER(MATCH(BX218,{"x","xx","xxx","xxxx","xxxxx","abc","abcd","nil","na","nan","test","tbc","tba","tbd","dummy","sample","example","eg","zz","zzz","none","null","xyz","qwe","asd","id","ref"},0)),AND(LEN(BW218)=8,BX218="",OR(LEFT(BW218,3)="202",ISNUMBER(MATCH(RIGHT(BW218,4),{"2025","2026","2027"},0)))))),OR(AND((LEN(BT218)-LEN(SUBSTITUTE(BT218,"a","")))&gt;=1,(LEN(BN218)-LEN(SUBSTITUTE(BN218,"0","")))&gt;=2,SUMPRODUCT(--ISNUMBER(SEARCH({"a0","a-0","a_0","a/0","a.0","a#0","0a","0-a","0_a","0/a"},BN218)))&gt;0),AND((LEN(BN218)-LEN(SUBSTITUTE(BN218,"a","")))=0,(LEN(BN218)-LEN(SUBSTITUTE(BN218,"0","")))&gt;=5)))),1,0),0)</f>
        <v>0</v>
      </c>
      <c r="CA2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218,"revision",""),"version",""),"jan",""),"feb",""),"mar",""),"apr",""),"may",""),"jun",""),"jul",""),"aug",""),"sep",""),"oct",""),"nov",""),"dec",""),"utc",""),"gmt",""),"myt",""),"bst",""),"rev",""),"ver",""),"b","a"),"c","a"),"d","a"),"e","a"),"f","a"),"g","a"),"h","a"),"i","a"),"j","a"),"k","a"),"l","a"),"m","a"),"n","a"),"o","a"),"p","a"),"q","a"),"r","a"),"s","a"),"t","a"),"u","a"),"v","a"),"w","a"),"x","a"),"y","a"),"z","a")</f>
        <v/>
      </c>
      <c r="CB2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218&amp;""),"a",""),"b",""),"c",""),"d",""),"e",""),"f",""),"g",""),"h",""),"i",""),"j",""),"k",""),"l",""),"m",""),"n",""),"o",""),"p",""),"q",""),"r",""),"s",""),"t",""),"u",""),"v",""),"w",""),"x",""),"y",""),"z",""),"-",""),"_",""),"/",""),".",""),"#",""),"\\",""),":","")," ",""),"(",""),")","")</f>
        <v/>
      </c>
      <c r="CC218" s="0" t="str">
        <f aca="false">" "&amp;TRIM(SUBSTITUTE(SUBSTITUTE(SUBSTITUTE(SUBSTITUTE(SUBSTITUTE(SUBSTITUTE(SUBSTITUTE(SUBSTITUTE(SUBSTITUTE(SUBSTITUTE(SUBSTITUTE(SUBSTITUTE(SUBSTITUTE(SUBSTITUTE(SUBSTITUTE(SUBSTITUTE(SUBSTITUTE(SUBSTITUTE(SUBSTITUTE(SUBSTITUTE(SUBSTITUTE(SUBSTITUTE(SUBSTITUTE(SUBSTITUTE(LOWER(T218&amp;""),CHAR(10)," "),CHAR(13)," "),CHAR(9)," "),CHAR(160)," "),"."," "),","," "),"-"," "),"/"," "),"("," "),")"," "),":"," "),";"," "),"_"," "),"–"," "),"?"," "),"!"," "),"*"," "),"["," "),"]"," "),"'"," "),"#"," "),"+"," "),"&amp;"," "),"\"," "))&amp;" "</f>
        <v>  </v>
      </c>
      <c r="CD218" s="0" t="str">
        <f aca="false">" "&amp;TRIM(SUBSTITUTE(SUBSTITUTE(SUBSTITUTE(SUBSTITUTE(SUBSTITUTE(SUBSTITUTE(SUBSTITUTE(SUBSTITUTE(SUBSTITUTE(SUBSTITUTE(SUBSTITUTE(SUBSTITUTE(SUBSTITUTE(SUBSTITUTE(SUBSTITUTE(SUBSTITUTE(SUBSTITUTE(SUBSTITUTE(SUBSTITUTE(SUBSTITUTE(SUBSTITUTE(SUBSTITUTE(SUBSTITUTE(SUBSTITUTE(LOWER(AE218&amp;""),CHAR(10)," "),CHAR(13)," "),CHAR(9)," "),CHAR(160)," "),"."," "),","," "),"-"," "),"/"," "),"("," "),")"," "),":"," "),";"," "),"_"," "),"–"," "),"?"," "),"!"," "),"*"," "),"["," "),"]"," "),"'"," "),"#"," "),"+"," "),"&amp;"," "),"\"," "))&amp;" "</f>
        <v>  </v>
      </c>
      <c r="CE218" s="68" t="n">
        <f aca="false">IFERROR(IF(AND(LEN(AU218)&gt;0,LEN(AU218)=LEN(AX218),OR(TRIM(MID(SUBSTITUTE(TRIM(CC218)," ",REPT(" ",60)),1,60))="",ISNUMBER(SEARCH(" "&amp;TRIM(MID(SUBSTITUTE(TRIM(CC218)," ",REPT(" ",60)),1,60))&amp;" ",CD218))),OR(TRIM(MID(SUBSTITUTE(TRIM(CC218)," ",REPT(" ",60)),61,60))="",ISNUMBER(SEARCH(" "&amp;TRIM(MID(SUBSTITUTE(TRIM(CC218)," ",REPT(" ",60)),61,60))&amp;" ",CD218))),OR(TRIM(MID(SUBSTITUTE(TRIM(CC218)," ",REPT(" ",60)),121,60))="",ISNUMBER(SEARCH(" "&amp;TRIM(MID(SUBSTITUTE(TRIM(CC218)," ",REPT(" ",60)),121,60))&amp;" ",CD218)))),1,0),0)</f>
        <v>0</v>
      </c>
      <c r="CG218" s="68" t="n">
        <f aca="false">IFERROR(LEN(SUBSTITUTE(BF218," ",""))-SUMPRODUCT((LEN(BF218)-LEN(SUBSTITUTE(BF218," "&amp;L_NAFiller&amp;" "," ")))/(LEN(L_NAFiller)+1)*LEN(L_NAFiller)),0)</f>
        <v>0</v>
      </c>
    </row>
    <row r="219" customFormat="false" ht="39.75" hidden="false" customHeight="true" outlineLevel="0" collapsed="false">
      <c r="A219" s="57" t="s">
        <v>780</v>
      </c>
      <c r="B219" s="57" t="s">
        <v>235</v>
      </c>
      <c r="C219" s="57" t="str">
        <f aca="false">Flights!$F$11</f>
        <v>MH0003</v>
      </c>
      <c r="D219" s="58" t="n">
        <f aca="false">Flights!$D$11</f>
        <v>46304</v>
      </c>
      <c r="E219" s="57" t="str">
        <f aca="false">Flights!$G$11&amp;"-"&amp;Flights!$H$11</f>
        <v>LHR-KUL</v>
      </c>
      <c r="F219" s="57" t="str">
        <f aca="false">Flights!$K$11</f>
        <v>BC</v>
      </c>
      <c r="G219" s="57" t="s">
        <v>81</v>
      </c>
      <c r="H219" s="57" t="s">
        <v>378</v>
      </c>
      <c r="I219" s="57" t="s">
        <v>405</v>
      </c>
      <c r="J219" s="57" t="s">
        <v>406</v>
      </c>
      <c r="K219" s="67" t="s">
        <v>407</v>
      </c>
      <c r="L219" s="67" t="s">
        <v>382</v>
      </c>
      <c r="M219" s="67"/>
      <c r="N219" s="67" t="s">
        <v>383</v>
      </c>
      <c r="O219" s="67"/>
      <c r="P219" s="57" t="s">
        <v>186</v>
      </c>
      <c r="Q219" s="59" t="n">
        <f aca="false">ROUND((Flights!$AC$11)*1440,0)/1440</f>
        <v>46297.4166666667</v>
      </c>
      <c r="R219" s="59" t="n">
        <f aca="false">Q219+(IF(AND(INDEX(TZ_DSTS,MATCH(P219,TZ_STN,0))&lt;&gt;"",Q219&gt;=INDEX(TZ_DSTS,MATCH(P219,TZ_STN,0)),Q219&lt;INDEX(TZ_DSTE,MATCH(P219,TZ_STN,0))),INDEX(TZ_DST,MATCH(P219,TZ_STN,0)),INDEX(TZ_STD,MATCH(P219,TZ_STN,0))))/24</f>
        <v>46297.4583333333</v>
      </c>
      <c r="S219" s="60"/>
      <c r="T219" s="60"/>
      <c r="U219" s="60"/>
      <c r="V219" s="60"/>
      <c r="W219" s="61"/>
      <c r="X219" s="60"/>
      <c r="Y219" s="60"/>
      <c r="Z219" s="60"/>
      <c r="AA219" s="60"/>
      <c r="AB219" s="60"/>
      <c r="AC219" s="60"/>
      <c r="AD219" s="66"/>
      <c r="AE219" s="60"/>
      <c r="AF219" s="61" t="str">
        <f aca="false">IF(AND(ISNUMBER(X219),ISNUMBER(Y219)),Y219-X219,"")</f>
        <v/>
      </c>
      <c r="AG219" s="62" t="str">
        <f aca="false">IF(ISNUMBER(AD219),AD219-(IF(AND(INDEX(TZ_DSTS,MATCH(P219,TZ_STN,0))&lt;&gt;"",(AD219-INDEX(TZ_STD,MATCH(P219,TZ_STN,0))/24)&gt;=INDEX(TZ_DSTS,MATCH(P219,TZ_STN,0)),(AD219-INDEX(TZ_STD,MATCH(P219,TZ_STN,0))/24)&lt;INDEX(TZ_DSTE,MATCH(P219,TZ_STN,0))),INDEX(TZ_DST,MATCH(P219,TZ_STN,0)),INDEX(TZ_STD,MATCH(P219,TZ_STN,0))))/24,"")</f>
        <v/>
      </c>
      <c r="AH219" s="65" t="str">
        <f aca="false">IFERROR(IF(N219="N/A – rule",IF(OR(TRIM(U219)="",TRIM(U219)="N/A",TRIM(U219)="Not started"),"N/A – RULE","INVALID – this check does not apply to this aircraft: clear the status (or correct the fleet on Flights)"),IF(TRIM(U219)="N/A",IF(AT219=0,"INVALID – N/A not permitted for this check",IF(AND(TRIM(AB219)&lt;&gt;"",TRIM(AB219)&lt;&gt;"Closed"),"INVALID – corrective action still open",IF(AND(NOT(OR(LEN(AZ219)&lt;15,ISNUMBER(MATCH(AZ219,L_Placeholder,0)))),BK219=0,CG219&gt;=8,NOT(OR(LEN(AU219)&lt;2,ISNUMBER(MATCH(AU219,L_Placeholder,0)))),BR219&gt;=3,NOT(OR(LEN(AX219)&lt;2,ISNUMBER(MATCH(AX219,L_Placeholder,0)))),BS219&gt;=3,TRIM(AE219)&lt;&gt;TRIM(T219),AX219&lt;&gt;AU219,CE219=0),"N/A – JUSTIFIED","INVALID – N/A needs a real, settled reason (not 'not applicable' / 'as above' / TBC), a named PIC and a different named verifier"))),IF(OR(TRIM(U219)="Pass",TRIM(U219)="Pass after CA"),IF(NOT(ISNUMBER(AD219)),"INVALID – completion time missing",IF(OR(OR(LEN(AU219)&lt;2,ISNUMBER(MATCH(AU219,L_Placeholder,0))),BR219&lt;3),"INVALID – PIC missing or not a named person (a role such as QA / CSM is not a name)",IF(OR(LEN(AV219)&lt;2,ISNUMBER(MATCH(AV219,L_Placeholder,0))),"INVALID – result / assessment missing",IF(OR(OR(LEN(AW219)&lt;3,ISNUMBER(MATCH(AW219,L_Placeholder,0))),SUMPRODUCT(--ISNUMBER(SEARCH(" "&amp;L_EvidencePhrase&amp;" ",BD219)))&gt;0,BI219=1),"INVALID – evidence missing, placeholder or not yet on file",IF(ISNA(MATCH(TRIM(S219),L_EvidenceType,0)),"INVALID – choose the evidence type from the list (column S)",IF(BL219=0,"INVALID – evidence ID must be the record's own ID only (e.g. SF-2210, IMG_2231, 1045521); a link / file name needs type 'Link / file path'",IF(OR(OR(LEN(AX219)&lt;2,ISNUMBER(MATCH(AX219,L_Placeholder,0))),BS219&lt;3),"INVALID – verifier missing or not a named person (a role such as QA / CSM is not a name)",IF(OR(AX219=AU219,CE219=1,AND(LEN(AU219)&gt;=4,ISNUMBER(SEARCH(AU219,AX219))),AND(LEN(AX219)&gt;=4,ISNUMBER(SEARCH(AX219,AU219)))),"INVALID – verifier must be a different, named person (not the PIC or a role)",IF(BH219=1,"INVALID – result not yet available (awaiting / TBC)",IF(BG219=1,"INVALID – result describes a problem: record Fail, then Pass after CA (or reword if it is not a problem)",IF(BV219=1,"INVALID – wording says not on board: an on-board confirmation needs the item loaded",IF(AND(AQ219=1,OR(OR(LEN(AY219)&lt;3,ISNUMBER(MATCH(AY219,L_Placeholder,0))),BJ219=1,BQ219=0)),"INVALID – batch ID missing, placeholder or not an ID (e.g. PASB-261008-BC-017)",IF(AND(AR219=1,OR(NOT(ISNUMBER(X219)),NOT(ISNUMBER(Y219)))),"INVALID – expected/actual qty missing",IF(AND(AR219=1,OR(X219&lt;=0,Y219&lt;0)),"INVALID – expected qty must be above 0 and actual not negative",IF(BB219&lt;&gt;"",BB219,IF(AND(AS219=1,Documents!$J$11&lt;&gt;"ON FILE"),"INVALID – GLD not on file (Documents sheet)",IF(AND(AS219=2,Documents!$O$11&lt;&gt;"ON FILE"),"INVALID – menu checklist not on file (Documents sheet)",IF(AND(AS219=3,NOT(ISNUMBER(Flights!$AX$11))),"INVALID – enter carrying flight KUL departure (Flights AX)",IF(AND(AS219=3,OR(Flights!$AZ$11&gt;Flights!$AA$11,Flights!$AX$11&lt;Flights!$AA$11-3)),"INVALID – carrying flight (Flights AX) cannot arrive before this leg's STD, or is over 3 days early",IF(AG219&gt;AsOfUTC,"INVALID – completion time is in the future",IF(AND(ISNUMBER(BY219),AG219&lt;BY219),IF(H219="Physical uplift","INVALID – before uplift window (cannot confirm loading)","INVALID – before valid window"),IF(AG219&gt;Flights!$AA$11,"INVALID – completed after departure (cannot establish readiness)",IF(AND(H219="Preparation",AG219&gt;=IF(ISNUMBER(Flights!$BA$11),MIN(Flights!$BA$11,Flights!$AA$11),Flights!$AA$11)),"INVALID – completed after loading / departure (cannot establish readiness)",IF(AND(H219="Physical uplift",AG219&gt;Q219),"INVALID – recorded after the loading flight departed",IF(AG219&gt;Q219,"COMPLETE – LATE","COMPLETE"))))))))))))))))))))))))),IF(TRIM(U219)="Fail","FAIL – DISCREPANCY",IF(AND(TRIM(U219)&lt;&gt;"",TRIM(U219)&lt;&gt;"Not started",TRIM(U219)&lt;&gt;"In progress"),"INVALID – unrecognised status (use the list)",IF(AsOfUTC&gt;Q219,"OVERDUE",IF(N219="Clarification required","OPEN – CLARIFICATION","OPEN"))))))),"INVALID – error value in an input cell")</f>
        <v>OPEN</v>
      </c>
      <c r="AI219" s="61" t="n">
        <f aca="false">IF(OR(AH219="N/A – RULE",AH219="N/A – JUSTIFIED"),0,1)</f>
        <v>1</v>
      </c>
      <c r="AJ219" s="61" t="n">
        <f aca="false">IF(LEFT(AH219,8)="COMPLETE",1,0)</f>
        <v>0</v>
      </c>
      <c r="AK219" s="61" t="n">
        <f aca="false">IF(AND(AI219=1,AJ219=0,AsOfUTC&gt;Q219),1,0)</f>
        <v>0</v>
      </c>
      <c r="AL219" s="61" t="n">
        <f aca="false">IFERROR(IF(AND(AI219=1,OR(TRIM(U219)="Fail",AND(TRIM(AB219)&lt;&gt;"",TRIM(AB219)&lt;&gt;"Closed"),AND(ISNUMBER(AF219),AF219&lt;&gt;0,TRIM(U219)&lt;&gt;"Pass after CA"))),1,0),1)</f>
        <v>0</v>
      </c>
      <c r="AM219" s="61" t="n">
        <f aca="false">IF(LEFT(AH219,7)="INVALID",1,0)</f>
        <v>0</v>
      </c>
      <c r="AN219" s="61" t="n">
        <f aca="false">IF(AND(N219="Clarification required",AI219=1,AJ219=0),1,0)</f>
        <v>0</v>
      </c>
      <c r="AO219" s="61" t="str">
        <f aca="false">IF(AK219=1,SUM(AK$5:AK219),"")</f>
        <v/>
      </c>
      <c r="AP219" s="61" t="str">
        <f aca="false">IF(AL219=1,SUM(AL$5:AL219),"")</f>
        <v/>
      </c>
      <c r="AQ219" s="61" t="n">
        <v>0</v>
      </c>
      <c r="AR219" s="61" t="n">
        <v>0</v>
      </c>
      <c r="AS219" s="61" t="n">
        <v>1</v>
      </c>
      <c r="AT219" s="61" t="n">
        <v>0</v>
      </c>
      <c r="AU219" s="61" t="str">
        <f aca="false">SUBSTITUTE(SUBSTITUTE(SUBSTITUTE(SUBSTITUTE(SUBSTITUTE(SUBSTITUTE(SUBSTITUTE(SUBSTITUTE(SUBSTITUTE(SUBSTITUTE(SUBSTITUTE(SUBSTITUTE(SUBSTITUTE(SUBSTITUTE(SUBSTITUTE(SUBSTITUTE(LOWER(T219&amp;""),CHAR(10),""),CHAR(13),""),CHAR(9),""),CHAR(160),"")," ",""),".",""),"-",""),"/",""),"?",""),"_",""),",",""),"[",""),"]",""),"(",""),")",""),"*","")</f>
        <v/>
      </c>
      <c r="AV219" s="61" t="str">
        <f aca="false">SUBSTITUTE(SUBSTITUTE(SUBSTITUTE(SUBSTITUTE(SUBSTITUTE(SUBSTITUTE(SUBSTITUTE(SUBSTITUTE(SUBSTITUTE(SUBSTITUTE(SUBSTITUTE(SUBSTITUTE(SUBSTITUTE(SUBSTITUTE(SUBSTITUTE(SUBSTITUTE(LOWER(V219&amp;""),CHAR(10),""),CHAR(13),""),CHAR(9),""),CHAR(160),"")," ",""),".",""),"-",""),"/",""),"?",""),"_",""),",",""),"[",""),"]",""),"(",""),")",""),"*","")</f>
        <v/>
      </c>
      <c r="AW219" s="61" t="str">
        <f aca="false">SUBSTITUTE(SUBSTITUTE(SUBSTITUTE(SUBSTITUTE(SUBSTITUTE(SUBSTITUTE(SUBSTITUTE(SUBSTITUTE(SUBSTITUTE(SUBSTITUTE(SUBSTITUTE(SUBSTITUTE(SUBSTITUTE(SUBSTITUTE(SUBSTITUTE(SUBSTITUTE(LOWER(Z219&amp;""),CHAR(10),""),CHAR(13),""),CHAR(9),""),CHAR(160),"")," ",""),".",""),"-",""),"/",""),"?",""),"_",""),",",""),"[",""),"]",""),"(",""),")",""),"*","")</f>
        <v/>
      </c>
      <c r="AX219" s="61" t="str">
        <f aca="false">SUBSTITUTE(SUBSTITUTE(SUBSTITUTE(SUBSTITUTE(SUBSTITUTE(SUBSTITUTE(SUBSTITUTE(SUBSTITUTE(SUBSTITUTE(SUBSTITUTE(SUBSTITUTE(SUBSTITUTE(SUBSTITUTE(SUBSTITUTE(SUBSTITUTE(SUBSTITUTE(LOWER(AE219&amp;""),CHAR(10),""),CHAR(13),""),CHAR(9),""),CHAR(160),"")," ",""),".",""),"-",""),"/",""),"?",""),"_",""),",",""),"[",""),"]",""),"(",""),")",""),"*","")</f>
        <v/>
      </c>
      <c r="AY219" s="61" t="str">
        <f aca="false">SUBSTITUTE(SUBSTITUTE(SUBSTITUTE(SUBSTITUTE(SUBSTITUTE(SUBSTITUTE(SUBSTITUTE(SUBSTITUTE(SUBSTITUTE(SUBSTITUTE(SUBSTITUTE(SUBSTITUTE(SUBSTITUTE(SUBSTITUTE(SUBSTITUTE(SUBSTITUTE(LOWER(W219&amp;""),CHAR(10),""),CHAR(13),""),CHAR(9),""),CHAR(160),"")," ",""),".",""),"-",""),"/",""),"?",""),"_",""),",",""),"[",""),"]",""),"(",""),")",""),"*","")</f>
        <v/>
      </c>
      <c r="AZ219" s="61" t="str">
        <f aca="false">SUBSTITUTE(SUBSTITUTE(SUBSTITUTE(SUBSTITUTE(SUBSTITUTE(SUBSTITUTE(SUBSTITUTE(SUBSTITUTE(SUBSTITUTE(SUBSTITUTE(SUBSTITUTE(SUBSTITUTE(SUBSTITUTE(SUBSTITUTE(SUBSTITUTE(SUBSTITUTE(LOWER(AC219&amp;""),CHAR(10),""),CHAR(13),""),CHAR(9),""),CHAR(160),"")," ",""),".",""),"-",""),"/",""),"?",""),"_",""),",",""),"[",""),"]",""),"(",""),")",""),"*","")</f>
        <v/>
      </c>
      <c r="BA219" s="61" t="str">
        <f aca="false">SUBSTITUTE(SUBSTITUTE(SUBSTITUTE(SUBSTITUTE(SUBSTITUTE(SUBSTITUTE(SUBSTITUTE(SUBSTITUTE(SUBSTITUTE(SUBSTITUTE(SUBSTITUTE(SUBSTITUTE(SUBSTITUTE(SUBSTITUTE(SUBSTITUTE(SUBSTITUTE(LOWER(AA219&amp;""),CHAR(10),""),CHAR(13),""),CHAR(9),""),CHAR(160),"")," ",""),".",""),"-",""),"/",""),"?",""),"_",""),",",""),"[",""),"]",""),"(",""),")",""),"*","")</f>
        <v/>
      </c>
      <c r="BB219" s="61" t="str">
        <f aca="false">IF(AND(TRIM(U219)="Pass",ISNUMBER(AF219)),IF(AF219&lt;&gt;0,"INVALID – qty variance: use Fail or Pass after CA",""),"")&amp;IF(AND(TRIM(U219)="Pass after CA",ISNUMBER(AF219)),IF(AF219&lt;&gt;0,"INVALID – after the corrective action the actual qty must equal expected (update Actual)",""),"")&amp;IF(AND(TRIM(U219)="Pass",TRIM(AB219)&lt;&gt;"",TRIM(AB219)&lt;&gt;"Closed"),"INVALID – corrective action not closed: use Fail, then Pass after CA","")&amp;IF(AND(LEN(BA219)&gt;=2,ISNA(MATCH(LEFT(BA219,255),L_Placeholder,0)),TRIM(AB219)=""),"INVALID – CA status missing for the recorded corrective action","")&amp;IF(AND(TRIM(U219)="Pass after CA",OR(OR(LEN(BA219)&lt;5,ISNUMBER(MATCH(BA219,L_Placeholder,0))),TRIM(AB219)&lt;&gt;"Closed")),"INVALID – corrective action not recorded/closed","")</f>
        <v/>
      </c>
      <c r="BC219" s="61" t="str">
        <f aca="false">" "&amp;TRIM(SUBSTITUTE(SUBSTITUTE(SUBSTITUTE(SUBSTITUTE(SUBSTITUTE(SUBSTITUTE(SUBSTITUTE(SUBSTITUTE(SUBSTITUTE(SUBSTITUTE(SUBSTITUTE(SUBSTITUTE(SUBSTITUTE(SUBSTITUTE(SUBSTITUTE(SUBSTITUTE(SUBSTITUTE(SUBSTITUTE(SUBSTITUTE(SUBSTITUTE(SUBSTITUTE(SUBSTITUTE(SUBSTITUTE(SUBSTITUTE(LOWER(V219&amp;""),CHAR(10)," "),CHAR(13)," "),CHAR(9)," "),CHAR(160)," "),"."," "),","," "),"-"," "),"/"," "),"("," "),")"," "),":"," "),";"," "),"_"," "),"–"," "),"?"," "),"!"," "),"*"," "),"["," "),"]"," "),"'"," "),"#"," "),"+"," "),"&amp;"," "),"\"," "))&amp;" "</f>
        <v>  </v>
      </c>
      <c r="BD219" s="61" t="str">
        <f aca="false">" "&amp;TRIM(SUBSTITUTE(SUBSTITUTE(SUBSTITUTE(SUBSTITUTE(SUBSTITUTE(SUBSTITUTE(SUBSTITUTE(SUBSTITUTE(SUBSTITUTE(SUBSTITUTE(SUBSTITUTE(SUBSTITUTE(SUBSTITUTE(SUBSTITUTE(SUBSTITUTE(SUBSTITUTE(SUBSTITUTE(SUBSTITUTE(SUBSTITUTE(SUBSTITUTE(SUBSTITUTE(SUBSTITUTE(SUBSTITUTE(SUBSTITUTE(LOWER(Z219&amp;""),CHAR(10)," "),CHAR(13)," "),CHAR(9)," "),CHAR(160)," "),"."," "),","," "),"-"," "),"/"," "),"("," "),")"," "),":"," "),";"," "),"_"," "),"–"," "),"?"," "),"!"," "),"*"," "),"["," "),"]"," "),"'"," "),"#"," "),"+"," "),"&amp;"," "),"\"," "))&amp;" "</f>
        <v>  </v>
      </c>
      <c r="BE219" s="61" t="str">
        <f aca="false">" "&amp;TRIM(SUBSTITUTE(SUBSTITUTE(SUBSTITUTE(SUBSTITUTE(SUBSTITUTE(SUBSTITUTE(SUBSTITUTE(SUBSTITUTE(SUBSTITUTE(SUBSTITUTE(SUBSTITUTE(SUBSTITUTE(SUBSTITUTE(SUBSTITUTE(SUBSTITUTE(SUBSTITUTE(SUBSTITUTE(SUBSTITUTE(SUBSTITUTE(SUBSTITUTE(SUBSTITUTE(SUBSTITUTE(SUBSTITUTE(SUBSTITUTE(LOWER(W219&amp;""),CHAR(10)," "),CHAR(13)," "),CHAR(9)," "),CHAR(160)," "),"."," "),","," "),"-"," "),"/"," "),"("," "),")"," "),":"," "),";"," "),"_"," "),"–"," "),"?"," "),"!"," "),"*"," "),"["," "),"]"," "),"'"," "),"#"," "),"+"," "),"&amp;"," "),"\"," "))&amp;" "</f>
        <v>  </v>
      </c>
      <c r="BF219" s="61" t="str">
        <f aca="false">" "&amp;TRIM(SUBSTITUTE(SUBSTITUTE(SUBSTITUTE(SUBSTITUTE(SUBSTITUTE(SUBSTITUTE(SUBSTITUTE(SUBSTITUTE(SUBSTITUTE(SUBSTITUTE(SUBSTITUTE(SUBSTITUTE(SUBSTITUTE(SUBSTITUTE(SUBSTITUTE(SUBSTITUTE(SUBSTITUTE(SUBSTITUTE(SUBSTITUTE(SUBSTITUTE(SUBSTITUTE(SUBSTITUTE(SUBSTITUTE(SUBSTITUTE(LOWER(AC219&amp;""),CHAR(10)," "),CHAR(13)," "),CHAR(9)," "),CHAR(160)," "),"."," "),","," "),"-"," "),"/"," "),"("," "),")"," "),":"," "),";"," "),"_"," "),"–"," "),"?"," "),"!"," "),"*"," "),"["," "),"]"," "),"'"," "),"#"," "),"+"," "),"&amp;"," "),"\"," "))&amp;" "</f>
        <v>  </v>
      </c>
      <c r="BG219" s="61" t="n">
        <f aca="false">IFERROR(IF(AND(TRIM(U219)="Pass",SUMPRODUCT((LEN(BC219)-LEN(SUBSTITUTE(BC219," "&amp;L_ResultBad&amp;" "," ")))/(LEN(L_ResultBad)+1))&gt;SUMPRODUCT((LEN(BC219)-LEN(SUBSTITUTE(BC219," "&amp;L_NegPhrase&amp;" "," ")))/(LEN(L_NegPhrase)+1))),1,0),0)</f>
        <v>0</v>
      </c>
      <c r="BH219" s="61" t="n">
        <f aca="false">IFERROR(IF(SUMPRODUCT((LEN(BC219)-LEN(SUBSTITUTE(BC219," "&amp;L_Pending&amp;" "," ")))/(LEN(L_Pending)+1))&gt;SUMPRODUCT((LEN(BC219)-LEN(SUBSTITUTE(BC219," "&amp;L_PendNeg&amp;" "," ")))/(LEN(L_PendNeg)+1))+SUMPRODUCT((LEN(BC219)-LEN(SUBSTITUTE(BC219," "&amp;L_PendPrep&amp;" "," ")))/(LEN(L_PendPrep)+1)),1,0),1)</f>
        <v>0</v>
      </c>
      <c r="BI219" s="61" t="n">
        <f aca="false">IFERROR(IF(SUMPRODUCT((LEN(BD219)-LEN(SUBSTITUTE(BD219," "&amp;L_PendStrict&amp;" "," ")))/(LEN(L_PendStrict)+1))&gt;SUMPRODUCT((LEN(BD219)-LEN(SUBSTITUTE(BD219," "&amp;L_PendNeg&amp;" "," ")))/(LEN(L_PendNeg)+1)),1,0),1)</f>
        <v>0</v>
      </c>
      <c r="BJ219" s="61" t="n">
        <f aca="false">IFERROR(IF(SUMPRODUCT((LEN(BE219)-LEN(SUBSTITUTE(BE219," "&amp;L_Pending&amp;" "," ")))/(LEN(L_Pending)+1))&gt;SUMPRODUCT((LEN(BE219)-LEN(SUBSTITUTE(BE219," "&amp;L_PendNeg&amp;" "," ")))/(LEN(L_PendNeg)+1))+SUMPRODUCT((LEN(BE219)-LEN(SUBSTITUTE(BE219," "&amp;L_PendPrep&amp;" "," ")))/(LEN(L_PendPrep)+1)),1,0),1)</f>
        <v>0</v>
      </c>
      <c r="BK219" s="61" t="n">
        <f aca="false">IFERROR(IF(SUMPRODUCT((LEN(BF219)-LEN(SUBSTITUTE(BF219," "&amp;L_PendStrict&amp;" "," ")))/(LEN(L_PendStrict)+1))&gt;SUMPRODUCT((LEN(BF219)-LEN(SUBSTITUTE(BF219," "&amp;L_PendNeg&amp;" "," ")))/(LEN(L_PendNeg)+1)),1,0),1)</f>
        <v>0</v>
      </c>
      <c r="BL219" s="61" t="n">
        <f aca="false">IF(ISNA(MATCH(TRIM(S219),L_EvidenceType,0)),0,BZ219)</f>
        <v>0</v>
      </c>
      <c r="BM219" s="61" t="str">
        <f aca="false">SUBSTITUTE(SUBSTITUTE(SUBSTITUTE(SUBSTITUTE(SUBSTITUTE(SUBSTITUTE(SUBSTITUTE(SUBSTITUTE(SUBSTITUTE(LOWER(Z219&amp;""),"1","0"),"2","0"),"3","0"),"4","0"),"5","0"),"6","0"),"7","0"),"8","0"),"9","0")</f>
        <v/>
      </c>
      <c r="BN219" s="61" t="str">
        <f aca="false">SUBSTITUTE(SUBSTITUTE(SUBSTITUTE(SUBSTITUTE(SUBSTITUTE(SUBSTITUTE(SUBSTITUTE(SUBSTITUTE(SUBSTITUTE(SUBSTITUTE(SUBSTITUTE(SUBSTITUTE(SUBSTITUTE(SUBSTITUTE(SUBSTITUTE(SUBSTITUTE(SUBSTITUTE(SUBSTITUTE(SUBSTITUTE(SUBSTITUTE(SUBSTITUTE(SUBSTITUTE(SUBSTITUTE(SUBSTITUTE(SUBSTITUTE(BM219,"b","a"),"c","a"),"d","a"),"e","a"),"f","a"),"g","a"),"h","a"),"i","a"),"j","a"),"k","a"),"l","a"),"m","a"),"n","a"),"o","a"),"p","a"),"q","a"),"r","a"),"s","a"),"t","a"),"u","a"),"v","a"),"w","a"),"x","a"),"y","a"),"z","a")</f>
        <v/>
      </c>
      <c r="BO219" s="61" t="str">
        <f aca="false">SUBSTITUTE(SUBSTITUTE(SUBSTITUTE(SUBSTITUTE(SUBSTITUTE(SUBSTITUTE(SUBSTITUTE(SUBSTITUTE(SUBSTITUTE(LOWER(W219&amp;""),"1","0"),"2","0"),"3","0"),"4","0"),"5","0"),"6","0"),"7","0"),"8","0"),"9","0")</f>
        <v/>
      </c>
      <c r="BP219" s="61" t="str">
        <f aca="false">SUBSTITUTE(SUBSTITUTE(SUBSTITUTE(SUBSTITUTE(SUBSTITUTE(SUBSTITUTE(SUBSTITUTE(SUBSTITUTE(SUBSTITUTE(SUBSTITUTE(SUBSTITUTE(SUBSTITUTE(SUBSTITUTE(SUBSTITUTE(SUBSTITUTE(SUBSTITUTE(SUBSTITUTE(SUBSTITUTE(SUBSTITUTE(SUBSTITUTE(SUBSTITUTE(SUBSTITUTE(SUBSTITUTE(SUBSTITUTE(SUBSTITUTE(BO219,"b","a"),"c","a"),"d","a"),"e","a"),"f","a"),"g","a"),"h","a"),"i","a"),"j","a"),"k","a"),"l","a"),"m","a"),"n","a"),"o","a"),"p","a"),"q","a"),"r","a"),"s","a"),"t","a"),"u","a"),"v","a"),"w","a"),"x","a"),"y","a"),"z","a")</f>
        <v/>
      </c>
      <c r="BQ219" s="61" t="n">
        <f aca="false">IFERROR(IF(AND(ISERROR(SEARCH(" mh"," "&amp;LOWER(W219))),ISNA(MATCH(LEFT(TRIM(BP219),255),{"0000a","000a","00a","0000aa","000aa","00aa","0aa","0000aaa","000aaa","00a00","0a00","0000-0000","00:00","a00","a0","00.00.0000","00/00/0000","00-00-0000","0000-00-00","0000/00/00","0000.00.00","00.00.00","00/00/00","00-00-00","0.00.0000","0/00/0000","0-00-0000"},0)),ISNA(MATCH(LEFT(TRIM(CA219),255),{"0000a","000a","00a","0000aa","000aa","00aa","0aa","0000aaa","000aaa","00a00","0a00","0000-0000","00:00","a00","a0","00.00.0000","00/00/0000","00-00-0000","0000-00-00","0000/00/00","0000.00.00","00.00.00","00/00/00","00-00-00","0.00.0000","0/00/0000","0-00-0000"},0)),LEN(CB219)&gt;=3,NOT(OR(SUBSTITUTE(CB219,"0","")="",AND(LEN(CB219)&gt;=4,CB219=REPT(LEFT(CB219),LEN(CB219))),ISNUMBER(MATCH(CB219,{"123","1234","12345","123456","1234567","12345678","0123","01234","012345","98765","987654","54321"},0)),AND(LEN(CB219)=8,LEFT(CB219,3)="202"))),OR(AND((LEN(CA219)-LEN(SUBSTITUTE(CA219,"a","")))&gt;=1,SUMPRODUCT(--ISNUMBER(SEARCH({"a0","a-0","a_0","a/0","a.0","a#0","0a","0-a","0_a","0/a"},BP219)))&gt;0),ISNUMBER(SEARCH("000000",BP219)))),1,0),0)</f>
        <v>0</v>
      </c>
      <c r="BR219" s="61" t="n">
        <f aca="false">IFERROR(LEN(SUBSTITUTE(CC219," ",""))-SUMPRODUCT((LEN(CC219)-LEN(SUBSTITUTE(CC219," "&amp;L_Role&amp;" "," ")))/(LEN(L_Role)+1)*LEN(L_Role)),0)</f>
        <v>0</v>
      </c>
      <c r="BS219" s="61" t="n">
        <f aca="false">IFERROR(LEN(SUBSTITUTE(CD219," ",""))-SUMPRODUCT((LEN(CD219)-LEN(SUBSTITUTE(CD219," "&amp;L_Role&amp;" "," ")))/(LEN(L_Role)+1)*LEN(L_Role)),0)</f>
        <v>0</v>
      </c>
      <c r="BT2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219,"revision",""),"version",""),"jan",""),"feb",""),"mar",""),"apr",""),"may",""),"jun",""),"jul",""),"aug",""),"sep",""),"oct",""),"nov",""),"dec",""),"utc",""),"gmt",""),"myt",""),"bst",""),"rev",""),"ver",""),"b","a"),"c","a"),"d","a"),"e","a"),"f","a"),"g","a"),"h","a"),"i","a"),"j","a"),"k","a"),"l","a"),"m","a"),"n","a"),"o","a"),"p","a"),"q","a"),"r","a"),"s","a"),"t","a"),"u","a"),"v","a"),"w","a"),"x","a"),"y","a"),"z","a")</f>
        <v/>
      </c>
      <c r="BU219" s="61" t="str">
        <f aca="false">SUBSTITUTE(SUBSTITUTE(SUBSTITUTE(SUBSTITUTE(SUBSTITUTE(SUBSTITUTE(SUBSTITUTE(SUBSTITUTE(SUBSTITUTE(SUBSTITUTE(LEFT(BM219,FIND("0",BM219&amp;"0")-1),"-",""),"_",""),"/",""),".",""),"#",""),"\\",""),":","")," ",""),"(",""),")","")</f>
        <v/>
      </c>
      <c r="BV219" s="61" t="n">
        <f aca="false">0</f>
        <v>0</v>
      </c>
      <c r="BW2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219&amp;""),"a",""),"b",""),"c",""),"d",""),"e",""),"f",""),"g",""),"h",""),"i",""),"j",""),"k",""),"l",""),"m",""),"n",""),"o",""),"p",""),"q",""),"r",""),"s",""),"t",""),"u",""),"v",""),"w",""),"x",""),"y",""),"z",""),"-",""),"_",""),"/",""),".",""),"#",""),"\\",""),":","")," ",""),"(",""),")","")</f>
        <v/>
      </c>
      <c r="BX219" s="61" t="str">
        <f aca="false">SUBSTITUTE(SUBSTITUTE(SUBSTITUTE(SUBSTITUTE(SUBSTITUTE(SUBSTITUTE(SUBSTITUTE(SUBSTITUTE(SUBSTITUTE(SUBSTITUTE(SUBSTITUTE(BM219,"0",""),"-",""),"_",""),"/",""),".",""),"#",""),"\\",""),":","")," ",""),"(",""),")","")</f>
        <v/>
      </c>
      <c r="BY219" s="62" t="n">
        <f aca="false">Q219-T7EarlyD*24/24</f>
        <v>46283.4166666667</v>
      </c>
      <c r="BZ219" s="61" t="n">
        <f aca="false">IFERROR(IF(IF(TRIM(S219)="Link / file path",AND(LEN(TRIM(Z219))&gt;=5,SUMPRODUCT(--ISNUMBER(SEARCH({"http","www.","\\",":\",".pdf",".jpg",".jpeg",".png",".heic",".xls",".doc",".msg",".eml",".ppt",".txt",".zip"},Z219)))&gt;0),AND(ISERROR(FIND(" ",TRIM(Z219))),NOT(OR(SUMPRODUCT(--ISNUMBER(FIND({",",";","&amp;","+"},Z219)))&gt;0,SUMPRODUCT(--ISNUMBER(SEARCH({"0/aa","0\\aa"},BN219)))&gt;0)),NOT(SUMPRODUCT(--ISNUMBER(SEARCH({"http","www.","\\",":\",".pdf",".jpg",".jpeg",".png",".heic",".xls",".doc",".msg",".eml",".ppt",".txt",".zip"},Z219)))&gt;0),NOT(LOWER(TRIM(Z219))=LOWER(Flights!$F$11)),ISNA(MATCH(BU219,{"mh","rev","revision","ver","version","v","r","a","b","seat","tray","row","gate","bay","stand","page","pg","item","line","no","cart","galley","flight","flt","table","box","bag","oven","etd","eta","std","sta","atd","ata","qty","pax","x","time","tel","ph","mob","day","wk","week","utc","gmt","myt","lt"},0)),NOT(OR(ISNUMBER(MATCH(LEFT(BN219,255),{"0000a","000a","00a","0000aa","000aa","00aa","0aa","0000aaa","000aaa","00a00","0a00","0000-0000","00:00","a00","a0","00.00.0000","00/00/0000","00-00-0000","0000-00-00","0000/00/00","0000.00.00","00.00.00","00/00/00","00-00-00","0.00.0000","0/00/0000","0-00-0000"},0)),ISNUMBER(MATCH(LEFT(BT219,255),{"0000a","000a","00a","0000aa","000aa","00aa","0aa","0000aaa","000aaa","00a00","0a00","0000-0000","00:00","a00","a0","00.00.0000","00/00/0000","00-00-0000","0000-00-00","0000/00/00","0000.00.00","00.00.00","00/00/00","00-00-00","0.00.0000","0/00/0000","0-00-0000"},0)))),NOT(OR(AND(BW219&lt;&gt;"",SUBSTITUTE(BW219,"0","")=""),AND(LEN(BW219)&gt;=4,BW219=REPT(LEFT(BW219),LEN(BW219))),ISNUMBER(MATCH(BW219,{"123","1234","12345","123456","1234567","12345678","0123","01234","012345","98765","987654","54321"},0)),ISNUMBER(MATCH(BX219,{"x","xx","xxx","xxxx","xxxxx","abc","abcd","nil","na","nan","test","tbc","tba","tbd","dummy","sample","example","eg","zz","zzz","none","null","xyz","qwe","asd","id","ref"},0)),AND(LEN(BW219)=8,BX219="",OR(LEFT(BW219,3)="202",ISNUMBER(MATCH(RIGHT(BW219,4),{"2025","2026","2027"},0)))))),OR(AND((LEN(BT219)-LEN(SUBSTITUTE(BT219,"a","")))&gt;=1,(LEN(BN219)-LEN(SUBSTITUTE(BN219,"0","")))&gt;=2,SUMPRODUCT(--ISNUMBER(SEARCH({"a0","a-0","a_0","a/0","a.0","a#0","0a","0-a","0_a","0/a"},BN219)))&gt;0),AND((LEN(BN219)-LEN(SUBSTITUTE(BN219,"a","")))=0,(LEN(BN219)-LEN(SUBSTITUTE(BN219,"0","")))&gt;=5)))),1,0),0)</f>
        <v>0</v>
      </c>
      <c r="CA2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219,"revision",""),"version",""),"jan",""),"feb",""),"mar",""),"apr",""),"may",""),"jun",""),"jul",""),"aug",""),"sep",""),"oct",""),"nov",""),"dec",""),"utc",""),"gmt",""),"myt",""),"bst",""),"rev",""),"ver",""),"b","a"),"c","a"),"d","a"),"e","a"),"f","a"),"g","a"),"h","a"),"i","a"),"j","a"),"k","a"),"l","a"),"m","a"),"n","a"),"o","a"),"p","a"),"q","a"),"r","a"),"s","a"),"t","a"),"u","a"),"v","a"),"w","a"),"x","a"),"y","a"),"z","a")</f>
        <v/>
      </c>
      <c r="CB2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219&amp;""),"a",""),"b",""),"c",""),"d",""),"e",""),"f",""),"g",""),"h",""),"i",""),"j",""),"k",""),"l",""),"m",""),"n",""),"o",""),"p",""),"q",""),"r",""),"s",""),"t",""),"u",""),"v",""),"w",""),"x",""),"y",""),"z",""),"-",""),"_",""),"/",""),".",""),"#",""),"\\",""),":","")," ",""),"(",""),")","")</f>
        <v/>
      </c>
      <c r="CC219" s="0" t="str">
        <f aca="false">" "&amp;TRIM(SUBSTITUTE(SUBSTITUTE(SUBSTITUTE(SUBSTITUTE(SUBSTITUTE(SUBSTITUTE(SUBSTITUTE(SUBSTITUTE(SUBSTITUTE(SUBSTITUTE(SUBSTITUTE(SUBSTITUTE(SUBSTITUTE(SUBSTITUTE(SUBSTITUTE(SUBSTITUTE(SUBSTITUTE(SUBSTITUTE(SUBSTITUTE(SUBSTITUTE(SUBSTITUTE(SUBSTITUTE(SUBSTITUTE(SUBSTITUTE(LOWER(T219&amp;""),CHAR(10)," "),CHAR(13)," "),CHAR(9)," "),CHAR(160)," "),"."," "),","," "),"-"," "),"/"," "),"("," "),")"," "),":"," "),";"," "),"_"," "),"–"," "),"?"," "),"!"," "),"*"," "),"["," "),"]"," "),"'"," "),"#"," "),"+"," "),"&amp;"," "),"\"," "))&amp;" "</f>
        <v>  </v>
      </c>
      <c r="CD219" s="0" t="str">
        <f aca="false">" "&amp;TRIM(SUBSTITUTE(SUBSTITUTE(SUBSTITUTE(SUBSTITUTE(SUBSTITUTE(SUBSTITUTE(SUBSTITUTE(SUBSTITUTE(SUBSTITUTE(SUBSTITUTE(SUBSTITUTE(SUBSTITUTE(SUBSTITUTE(SUBSTITUTE(SUBSTITUTE(SUBSTITUTE(SUBSTITUTE(SUBSTITUTE(SUBSTITUTE(SUBSTITUTE(SUBSTITUTE(SUBSTITUTE(SUBSTITUTE(SUBSTITUTE(LOWER(AE219&amp;""),CHAR(10)," "),CHAR(13)," "),CHAR(9)," "),CHAR(160)," "),"."," "),","," "),"-"," "),"/"," "),"("," "),")"," "),":"," "),";"," "),"_"," "),"–"," "),"?"," "),"!"," "),"*"," "),"["," "),"]"," "),"'"," "),"#"," "),"+"," "),"&amp;"," "),"\"," "))&amp;" "</f>
        <v>  </v>
      </c>
      <c r="CE219" s="68" t="n">
        <f aca="false">IFERROR(IF(AND(LEN(AU219)&gt;0,LEN(AU219)=LEN(AX219),OR(TRIM(MID(SUBSTITUTE(TRIM(CC219)," ",REPT(" ",60)),1,60))="",ISNUMBER(SEARCH(" "&amp;TRIM(MID(SUBSTITUTE(TRIM(CC219)," ",REPT(" ",60)),1,60))&amp;" ",CD219))),OR(TRIM(MID(SUBSTITUTE(TRIM(CC219)," ",REPT(" ",60)),61,60))="",ISNUMBER(SEARCH(" "&amp;TRIM(MID(SUBSTITUTE(TRIM(CC219)," ",REPT(" ",60)),61,60))&amp;" ",CD219))),OR(TRIM(MID(SUBSTITUTE(TRIM(CC219)," ",REPT(" ",60)),121,60))="",ISNUMBER(SEARCH(" "&amp;TRIM(MID(SUBSTITUTE(TRIM(CC219)," ",REPT(" ",60)),121,60))&amp;" ",CD219)))),1,0),0)</f>
        <v>0</v>
      </c>
      <c r="CG219" s="68" t="n">
        <f aca="false">IFERROR(LEN(SUBSTITUTE(BF219," ",""))-SUMPRODUCT((LEN(BF219)-LEN(SUBSTITUTE(BF219," "&amp;L_NAFiller&amp;" "," ")))/(LEN(L_NAFiller)+1)*LEN(L_NAFiller)),0)</f>
        <v>0</v>
      </c>
    </row>
    <row r="220" customFormat="false" ht="39.75" hidden="false" customHeight="true" outlineLevel="0" collapsed="false">
      <c r="A220" s="57" t="s">
        <v>781</v>
      </c>
      <c r="B220" s="57" t="s">
        <v>235</v>
      </c>
      <c r="C220" s="57" t="str">
        <f aca="false">Flights!$F$11</f>
        <v>MH0003</v>
      </c>
      <c r="D220" s="58" t="n">
        <f aca="false">Flights!$D$11</f>
        <v>46304</v>
      </c>
      <c r="E220" s="57" t="str">
        <f aca="false">Flights!$G$11&amp;"-"&amp;Flights!$H$11</f>
        <v>LHR-KUL</v>
      </c>
      <c r="F220" s="57" t="str">
        <f aca="false">Flights!$K$11</f>
        <v>BC</v>
      </c>
      <c r="G220" s="57" t="s">
        <v>81</v>
      </c>
      <c r="H220" s="57" t="s">
        <v>378</v>
      </c>
      <c r="I220" s="57" t="s">
        <v>405</v>
      </c>
      <c r="J220" s="57" t="s">
        <v>409</v>
      </c>
      <c r="K220" s="67" t="s">
        <v>407</v>
      </c>
      <c r="L220" s="67" t="s">
        <v>382</v>
      </c>
      <c r="M220" s="67"/>
      <c r="N220" s="67" t="s">
        <v>383</v>
      </c>
      <c r="O220" s="67"/>
      <c r="P220" s="57" t="s">
        <v>186</v>
      </c>
      <c r="Q220" s="59" t="n">
        <f aca="false">ROUND((Flights!$AC$11)*1440,0)/1440</f>
        <v>46297.4166666667</v>
      </c>
      <c r="R220" s="59" t="n">
        <f aca="false">Q220+(IF(AND(INDEX(TZ_DSTS,MATCH(P220,TZ_STN,0))&lt;&gt;"",Q220&gt;=INDEX(TZ_DSTS,MATCH(P220,TZ_STN,0)),Q220&lt;INDEX(TZ_DSTE,MATCH(P220,TZ_STN,0))),INDEX(TZ_DST,MATCH(P220,TZ_STN,0)),INDEX(TZ_STD,MATCH(P220,TZ_STN,0))))/24</f>
        <v>46297.4583333333</v>
      </c>
      <c r="S220" s="60"/>
      <c r="T220" s="60"/>
      <c r="U220" s="60"/>
      <c r="V220" s="60"/>
      <c r="W220" s="61"/>
      <c r="X220" s="60"/>
      <c r="Y220" s="60"/>
      <c r="Z220" s="60"/>
      <c r="AA220" s="60"/>
      <c r="AB220" s="60"/>
      <c r="AC220" s="60"/>
      <c r="AD220" s="66"/>
      <c r="AE220" s="60"/>
      <c r="AF220" s="61" t="str">
        <f aca="false">IF(AND(ISNUMBER(X220),ISNUMBER(Y220)),Y220-X220,"")</f>
        <v/>
      </c>
      <c r="AG220" s="62" t="str">
        <f aca="false">IF(ISNUMBER(AD220),AD220-(IF(AND(INDEX(TZ_DSTS,MATCH(P220,TZ_STN,0))&lt;&gt;"",(AD220-INDEX(TZ_STD,MATCH(P220,TZ_STN,0))/24)&gt;=INDEX(TZ_DSTS,MATCH(P220,TZ_STN,0)),(AD220-INDEX(TZ_STD,MATCH(P220,TZ_STN,0))/24)&lt;INDEX(TZ_DSTE,MATCH(P220,TZ_STN,0))),INDEX(TZ_DST,MATCH(P220,TZ_STN,0)),INDEX(TZ_STD,MATCH(P220,TZ_STN,0))))/24,"")</f>
        <v/>
      </c>
      <c r="AH220" s="65" t="str">
        <f aca="false">IFERROR(IF(N220="N/A – rule",IF(OR(TRIM(U220)="",TRIM(U220)="N/A",TRIM(U220)="Not started"),"N/A – RULE","INVALID – this check does not apply to this aircraft: clear the status (or correct the fleet on Flights)"),IF(TRIM(U220)="N/A",IF(AT220=0,"INVALID – N/A not permitted for this check",IF(AND(TRIM(AB220)&lt;&gt;"",TRIM(AB220)&lt;&gt;"Closed"),"INVALID – corrective action still open",IF(AND(NOT(OR(LEN(AZ220)&lt;15,ISNUMBER(MATCH(AZ220,L_Placeholder,0)))),BK220=0,CG220&gt;=8,NOT(OR(LEN(AU220)&lt;2,ISNUMBER(MATCH(AU220,L_Placeholder,0)))),BR220&gt;=3,NOT(OR(LEN(AX220)&lt;2,ISNUMBER(MATCH(AX220,L_Placeholder,0)))),BS220&gt;=3,TRIM(AE220)&lt;&gt;TRIM(T220),AX220&lt;&gt;AU220,CE220=0),"N/A – JUSTIFIED","INVALID – N/A needs a real, settled reason (not 'not applicable' / 'as above' / TBC), a named PIC and a different named verifier"))),IF(OR(TRIM(U220)="Pass",TRIM(U220)="Pass after CA"),IF(NOT(ISNUMBER(AD220)),"INVALID – completion time missing",IF(OR(OR(LEN(AU220)&lt;2,ISNUMBER(MATCH(AU220,L_Placeholder,0))),BR220&lt;3),"INVALID – PIC missing or not a named person (a role such as QA / CSM is not a name)",IF(OR(LEN(AV220)&lt;2,ISNUMBER(MATCH(AV220,L_Placeholder,0))),"INVALID – result / assessment missing",IF(OR(OR(LEN(AW220)&lt;3,ISNUMBER(MATCH(AW220,L_Placeholder,0))),SUMPRODUCT(--ISNUMBER(SEARCH(" "&amp;L_EvidencePhrase&amp;" ",BD220)))&gt;0,BI220=1),"INVALID – evidence missing, placeholder or not yet on file",IF(ISNA(MATCH(TRIM(S220),L_EvidenceType,0)),"INVALID – choose the evidence type from the list (column S)",IF(BL220=0,"INVALID – evidence ID must be the record's own ID only (e.g. SF-2210, IMG_2231, 1045521); a link / file name needs type 'Link / file path'",IF(OR(OR(LEN(AX220)&lt;2,ISNUMBER(MATCH(AX220,L_Placeholder,0))),BS220&lt;3),"INVALID – verifier missing or not a named person (a role such as QA / CSM is not a name)",IF(OR(AX220=AU220,CE220=1,AND(LEN(AU220)&gt;=4,ISNUMBER(SEARCH(AU220,AX220))),AND(LEN(AX220)&gt;=4,ISNUMBER(SEARCH(AX220,AU220)))),"INVALID – verifier must be a different, named person (not the PIC or a role)",IF(BH220=1,"INVALID – result not yet available (awaiting / TBC)",IF(BG220=1,"INVALID – result describes a problem: record Fail, then Pass after CA (or reword if it is not a problem)",IF(BV220=1,"INVALID – wording says not on board: an on-board confirmation needs the item loaded",IF(AND(AQ220=1,OR(OR(LEN(AY220)&lt;3,ISNUMBER(MATCH(AY220,L_Placeholder,0))),BJ220=1,BQ220=0)),"INVALID – batch ID missing, placeholder or not an ID (e.g. PASB-261008-BC-017)",IF(AND(AR220=1,OR(NOT(ISNUMBER(X220)),NOT(ISNUMBER(Y220)))),"INVALID – expected/actual qty missing",IF(AND(AR220=1,OR(X220&lt;=0,Y220&lt;0)),"INVALID – expected qty must be above 0 and actual not negative",IF(BB220&lt;&gt;"",BB220,IF(AND(AS220=1,Documents!$J$11&lt;&gt;"ON FILE"),"INVALID – GLD not on file (Documents sheet)",IF(AND(AS220=2,Documents!$O$11&lt;&gt;"ON FILE"),"INVALID – menu checklist not on file (Documents sheet)",IF(AND(AS220=3,NOT(ISNUMBER(Flights!$AX$11))),"INVALID – enter carrying flight KUL departure (Flights AX)",IF(AND(AS220=3,OR(Flights!$AZ$11&gt;Flights!$AA$11,Flights!$AX$11&lt;Flights!$AA$11-3)),"INVALID – carrying flight (Flights AX) cannot arrive before this leg's STD, or is over 3 days early",IF(AG220&gt;AsOfUTC,"INVALID – completion time is in the future",IF(AND(ISNUMBER(BY220),AG220&lt;BY220),IF(H220="Physical uplift","INVALID – before uplift window (cannot confirm loading)","INVALID – before valid window"),IF(AG220&gt;Flights!$AA$11,"INVALID – completed after departure (cannot establish readiness)",IF(AND(H220="Preparation",AG220&gt;=IF(ISNUMBER(Flights!$BA$11),MIN(Flights!$BA$11,Flights!$AA$11),Flights!$AA$11)),"INVALID – completed after loading / departure (cannot establish readiness)",IF(AND(H220="Physical uplift",AG220&gt;Q220),"INVALID – recorded after the loading flight departed",IF(AG220&gt;Q220,"COMPLETE – LATE","COMPLETE"))))))))))))))))))))))))),IF(TRIM(U220)="Fail","FAIL – DISCREPANCY",IF(AND(TRIM(U220)&lt;&gt;"",TRIM(U220)&lt;&gt;"Not started",TRIM(U220)&lt;&gt;"In progress"),"INVALID – unrecognised status (use the list)",IF(AsOfUTC&gt;Q220,"OVERDUE",IF(N220="Clarification required","OPEN – CLARIFICATION","OPEN"))))))),"INVALID – error value in an input cell")</f>
        <v>OPEN</v>
      </c>
      <c r="AI220" s="61" t="n">
        <f aca="false">IF(OR(AH220="N/A – RULE",AH220="N/A – JUSTIFIED"),0,1)</f>
        <v>1</v>
      </c>
      <c r="AJ220" s="61" t="n">
        <f aca="false">IF(LEFT(AH220,8)="COMPLETE",1,0)</f>
        <v>0</v>
      </c>
      <c r="AK220" s="61" t="n">
        <f aca="false">IF(AND(AI220=1,AJ220=0,AsOfUTC&gt;Q220),1,0)</f>
        <v>0</v>
      </c>
      <c r="AL220" s="61" t="n">
        <f aca="false">IFERROR(IF(AND(AI220=1,OR(TRIM(U220)="Fail",AND(TRIM(AB220)&lt;&gt;"",TRIM(AB220)&lt;&gt;"Closed"),AND(ISNUMBER(AF220),AF220&lt;&gt;0,TRIM(U220)&lt;&gt;"Pass after CA"))),1,0),1)</f>
        <v>0</v>
      </c>
      <c r="AM220" s="61" t="n">
        <f aca="false">IF(LEFT(AH220,7)="INVALID",1,0)</f>
        <v>0</v>
      </c>
      <c r="AN220" s="61" t="n">
        <f aca="false">IF(AND(N220="Clarification required",AI220=1,AJ220=0),1,0)</f>
        <v>0</v>
      </c>
      <c r="AO220" s="61" t="str">
        <f aca="false">IF(AK220=1,SUM(AK$5:AK220),"")</f>
        <v/>
      </c>
      <c r="AP220" s="61" t="str">
        <f aca="false">IF(AL220=1,SUM(AL$5:AL220),"")</f>
        <v/>
      </c>
      <c r="AQ220" s="61" t="n">
        <v>0</v>
      </c>
      <c r="AR220" s="61" t="n">
        <v>0</v>
      </c>
      <c r="AS220" s="61" t="n">
        <v>2</v>
      </c>
      <c r="AT220" s="61" t="n">
        <v>0</v>
      </c>
      <c r="AU220" s="61" t="str">
        <f aca="false">SUBSTITUTE(SUBSTITUTE(SUBSTITUTE(SUBSTITUTE(SUBSTITUTE(SUBSTITUTE(SUBSTITUTE(SUBSTITUTE(SUBSTITUTE(SUBSTITUTE(SUBSTITUTE(SUBSTITUTE(SUBSTITUTE(SUBSTITUTE(SUBSTITUTE(SUBSTITUTE(LOWER(T220&amp;""),CHAR(10),""),CHAR(13),""),CHAR(9),""),CHAR(160),"")," ",""),".",""),"-",""),"/",""),"?",""),"_",""),",",""),"[",""),"]",""),"(",""),")",""),"*","")</f>
        <v/>
      </c>
      <c r="AV220" s="61" t="str">
        <f aca="false">SUBSTITUTE(SUBSTITUTE(SUBSTITUTE(SUBSTITUTE(SUBSTITUTE(SUBSTITUTE(SUBSTITUTE(SUBSTITUTE(SUBSTITUTE(SUBSTITUTE(SUBSTITUTE(SUBSTITUTE(SUBSTITUTE(SUBSTITUTE(SUBSTITUTE(SUBSTITUTE(LOWER(V220&amp;""),CHAR(10),""),CHAR(13),""),CHAR(9),""),CHAR(160),"")," ",""),".",""),"-",""),"/",""),"?",""),"_",""),",",""),"[",""),"]",""),"(",""),")",""),"*","")</f>
        <v/>
      </c>
      <c r="AW220" s="61" t="str">
        <f aca="false">SUBSTITUTE(SUBSTITUTE(SUBSTITUTE(SUBSTITUTE(SUBSTITUTE(SUBSTITUTE(SUBSTITUTE(SUBSTITUTE(SUBSTITUTE(SUBSTITUTE(SUBSTITUTE(SUBSTITUTE(SUBSTITUTE(SUBSTITUTE(SUBSTITUTE(SUBSTITUTE(LOWER(Z220&amp;""),CHAR(10),""),CHAR(13),""),CHAR(9),""),CHAR(160),"")," ",""),".",""),"-",""),"/",""),"?",""),"_",""),",",""),"[",""),"]",""),"(",""),")",""),"*","")</f>
        <v/>
      </c>
      <c r="AX220" s="61" t="str">
        <f aca="false">SUBSTITUTE(SUBSTITUTE(SUBSTITUTE(SUBSTITUTE(SUBSTITUTE(SUBSTITUTE(SUBSTITUTE(SUBSTITUTE(SUBSTITUTE(SUBSTITUTE(SUBSTITUTE(SUBSTITUTE(SUBSTITUTE(SUBSTITUTE(SUBSTITUTE(SUBSTITUTE(LOWER(AE220&amp;""),CHAR(10),""),CHAR(13),""),CHAR(9),""),CHAR(160),"")," ",""),".",""),"-",""),"/",""),"?",""),"_",""),",",""),"[",""),"]",""),"(",""),")",""),"*","")</f>
        <v/>
      </c>
      <c r="AY220" s="61" t="str">
        <f aca="false">SUBSTITUTE(SUBSTITUTE(SUBSTITUTE(SUBSTITUTE(SUBSTITUTE(SUBSTITUTE(SUBSTITUTE(SUBSTITUTE(SUBSTITUTE(SUBSTITUTE(SUBSTITUTE(SUBSTITUTE(SUBSTITUTE(SUBSTITUTE(SUBSTITUTE(SUBSTITUTE(LOWER(W220&amp;""),CHAR(10),""),CHAR(13),""),CHAR(9),""),CHAR(160),"")," ",""),".",""),"-",""),"/",""),"?",""),"_",""),",",""),"[",""),"]",""),"(",""),")",""),"*","")</f>
        <v/>
      </c>
      <c r="AZ220" s="61" t="str">
        <f aca="false">SUBSTITUTE(SUBSTITUTE(SUBSTITUTE(SUBSTITUTE(SUBSTITUTE(SUBSTITUTE(SUBSTITUTE(SUBSTITUTE(SUBSTITUTE(SUBSTITUTE(SUBSTITUTE(SUBSTITUTE(SUBSTITUTE(SUBSTITUTE(SUBSTITUTE(SUBSTITUTE(LOWER(AC220&amp;""),CHAR(10),""),CHAR(13),""),CHAR(9),""),CHAR(160),"")," ",""),".",""),"-",""),"/",""),"?",""),"_",""),",",""),"[",""),"]",""),"(",""),")",""),"*","")</f>
        <v/>
      </c>
      <c r="BA220" s="61" t="str">
        <f aca="false">SUBSTITUTE(SUBSTITUTE(SUBSTITUTE(SUBSTITUTE(SUBSTITUTE(SUBSTITUTE(SUBSTITUTE(SUBSTITUTE(SUBSTITUTE(SUBSTITUTE(SUBSTITUTE(SUBSTITUTE(SUBSTITUTE(SUBSTITUTE(SUBSTITUTE(SUBSTITUTE(LOWER(AA220&amp;""),CHAR(10),""),CHAR(13),""),CHAR(9),""),CHAR(160),"")," ",""),".",""),"-",""),"/",""),"?",""),"_",""),",",""),"[",""),"]",""),"(",""),")",""),"*","")</f>
        <v/>
      </c>
      <c r="BB220" s="61" t="str">
        <f aca="false">IF(AND(TRIM(U220)="Pass",ISNUMBER(AF220)),IF(AF220&lt;&gt;0,"INVALID – qty variance: use Fail or Pass after CA",""),"")&amp;IF(AND(TRIM(U220)="Pass after CA",ISNUMBER(AF220)),IF(AF220&lt;&gt;0,"INVALID – after the corrective action the actual qty must equal expected (update Actual)",""),"")&amp;IF(AND(TRIM(U220)="Pass",TRIM(AB220)&lt;&gt;"",TRIM(AB220)&lt;&gt;"Closed"),"INVALID – corrective action not closed: use Fail, then Pass after CA","")&amp;IF(AND(LEN(BA220)&gt;=2,ISNA(MATCH(LEFT(BA220,255),L_Placeholder,0)),TRIM(AB220)=""),"INVALID – CA status missing for the recorded corrective action","")&amp;IF(AND(TRIM(U220)="Pass after CA",OR(OR(LEN(BA220)&lt;5,ISNUMBER(MATCH(BA220,L_Placeholder,0))),TRIM(AB220)&lt;&gt;"Closed")),"INVALID – corrective action not recorded/closed","")</f>
        <v/>
      </c>
      <c r="BC220" s="61" t="str">
        <f aca="false">" "&amp;TRIM(SUBSTITUTE(SUBSTITUTE(SUBSTITUTE(SUBSTITUTE(SUBSTITUTE(SUBSTITUTE(SUBSTITUTE(SUBSTITUTE(SUBSTITUTE(SUBSTITUTE(SUBSTITUTE(SUBSTITUTE(SUBSTITUTE(SUBSTITUTE(SUBSTITUTE(SUBSTITUTE(SUBSTITUTE(SUBSTITUTE(SUBSTITUTE(SUBSTITUTE(SUBSTITUTE(SUBSTITUTE(SUBSTITUTE(SUBSTITUTE(LOWER(V220&amp;""),CHAR(10)," "),CHAR(13)," "),CHAR(9)," "),CHAR(160)," "),"."," "),","," "),"-"," "),"/"," "),"("," "),")"," "),":"," "),";"," "),"_"," "),"–"," "),"?"," "),"!"," "),"*"," "),"["," "),"]"," "),"'"," "),"#"," "),"+"," "),"&amp;"," "),"\"," "))&amp;" "</f>
        <v>  </v>
      </c>
      <c r="BD220" s="61" t="str">
        <f aca="false">" "&amp;TRIM(SUBSTITUTE(SUBSTITUTE(SUBSTITUTE(SUBSTITUTE(SUBSTITUTE(SUBSTITUTE(SUBSTITUTE(SUBSTITUTE(SUBSTITUTE(SUBSTITUTE(SUBSTITUTE(SUBSTITUTE(SUBSTITUTE(SUBSTITUTE(SUBSTITUTE(SUBSTITUTE(SUBSTITUTE(SUBSTITUTE(SUBSTITUTE(SUBSTITUTE(SUBSTITUTE(SUBSTITUTE(SUBSTITUTE(SUBSTITUTE(LOWER(Z220&amp;""),CHAR(10)," "),CHAR(13)," "),CHAR(9)," "),CHAR(160)," "),"."," "),","," "),"-"," "),"/"," "),"("," "),")"," "),":"," "),";"," "),"_"," "),"–"," "),"?"," "),"!"," "),"*"," "),"["," "),"]"," "),"'"," "),"#"," "),"+"," "),"&amp;"," "),"\"," "))&amp;" "</f>
        <v>  </v>
      </c>
      <c r="BE220" s="61" t="str">
        <f aca="false">" "&amp;TRIM(SUBSTITUTE(SUBSTITUTE(SUBSTITUTE(SUBSTITUTE(SUBSTITUTE(SUBSTITUTE(SUBSTITUTE(SUBSTITUTE(SUBSTITUTE(SUBSTITUTE(SUBSTITUTE(SUBSTITUTE(SUBSTITUTE(SUBSTITUTE(SUBSTITUTE(SUBSTITUTE(SUBSTITUTE(SUBSTITUTE(SUBSTITUTE(SUBSTITUTE(SUBSTITUTE(SUBSTITUTE(SUBSTITUTE(SUBSTITUTE(LOWER(W220&amp;""),CHAR(10)," "),CHAR(13)," "),CHAR(9)," "),CHAR(160)," "),"."," "),","," "),"-"," "),"/"," "),"("," "),")"," "),":"," "),";"," "),"_"," "),"–"," "),"?"," "),"!"," "),"*"," "),"["," "),"]"," "),"'"," "),"#"," "),"+"," "),"&amp;"," "),"\"," "))&amp;" "</f>
        <v>  </v>
      </c>
      <c r="BF220" s="61" t="str">
        <f aca="false">" "&amp;TRIM(SUBSTITUTE(SUBSTITUTE(SUBSTITUTE(SUBSTITUTE(SUBSTITUTE(SUBSTITUTE(SUBSTITUTE(SUBSTITUTE(SUBSTITUTE(SUBSTITUTE(SUBSTITUTE(SUBSTITUTE(SUBSTITUTE(SUBSTITUTE(SUBSTITUTE(SUBSTITUTE(SUBSTITUTE(SUBSTITUTE(SUBSTITUTE(SUBSTITUTE(SUBSTITUTE(SUBSTITUTE(SUBSTITUTE(SUBSTITUTE(LOWER(AC220&amp;""),CHAR(10)," "),CHAR(13)," "),CHAR(9)," "),CHAR(160)," "),"."," "),","," "),"-"," "),"/"," "),"("," "),")"," "),":"," "),";"," "),"_"," "),"–"," "),"?"," "),"!"," "),"*"," "),"["," "),"]"," "),"'"," "),"#"," "),"+"," "),"&amp;"," "),"\"," "))&amp;" "</f>
        <v>  </v>
      </c>
      <c r="BG220" s="61" t="n">
        <f aca="false">IFERROR(IF(AND(TRIM(U220)="Pass",SUMPRODUCT((LEN(BC220)-LEN(SUBSTITUTE(BC220," "&amp;L_ResultBad&amp;" "," ")))/(LEN(L_ResultBad)+1))&gt;SUMPRODUCT((LEN(BC220)-LEN(SUBSTITUTE(BC220," "&amp;L_NegPhrase&amp;" "," ")))/(LEN(L_NegPhrase)+1))),1,0),0)</f>
        <v>0</v>
      </c>
      <c r="BH220" s="61" t="n">
        <f aca="false">IFERROR(IF(SUMPRODUCT((LEN(BC220)-LEN(SUBSTITUTE(BC220," "&amp;L_Pending&amp;" "," ")))/(LEN(L_Pending)+1))&gt;SUMPRODUCT((LEN(BC220)-LEN(SUBSTITUTE(BC220," "&amp;L_PendNeg&amp;" "," ")))/(LEN(L_PendNeg)+1))+SUMPRODUCT((LEN(BC220)-LEN(SUBSTITUTE(BC220," "&amp;L_PendPrep&amp;" "," ")))/(LEN(L_PendPrep)+1)),1,0),1)</f>
        <v>0</v>
      </c>
      <c r="BI220" s="61" t="n">
        <f aca="false">IFERROR(IF(SUMPRODUCT((LEN(BD220)-LEN(SUBSTITUTE(BD220," "&amp;L_PendStrict&amp;" "," ")))/(LEN(L_PendStrict)+1))&gt;SUMPRODUCT((LEN(BD220)-LEN(SUBSTITUTE(BD220," "&amp;L_PendNeg&amp;" "," ")))/(LEN(L_PendNeg)+1)),1,0),1)</f>
        <v>0</v>
      </c>
      <c r="BJ220" s="61" t="n">
        <f aca="false">IFERROR(IF(SUMPRODUCT((LEN(BE220)-LEN(SUBSTITUTE(BE220," "&amp;L_Pending&amp;" "," ")))/(LEN(L_Pending)+1))&gt;SUMPRODUCT((LEN(BE220)-LEN(SUBSTITUTE(BE220," "&amp;L_PendNeg&amp;" "," ")))/(LEN(L_PendNeg)+1))+SUMPRODUCT((LEN(BE220)-LEN(SUBSTITUTE(BE220," "&amp;L_PendPrep&amp;" "," ")))/(LEN(L_PendPrep)+1)),1,0),1)</f>
        <v>0</v>
      </c>
      <c r="BK220" s="61" t="n">
        <f aca="false">IFERROR(IF(SUMPRODUCT((LEN(BF220)-LEN(SUBSTITUTE(BF220," "&amp;L_PendStrict&amp;" "," ")))/(LEN(L_PendStrict)+1))&gt;SUMPRODUCT((LEN(BF220)-LEN(SUBSTITUTE(BF220," "&amp;L_PendNeg&amp;" "," ")))/(LEN(L_PendNeg)+1)),1,0),1)</f>
        <v>0</v>
      </c>
      <c r="BL220" s="61" t="n">
        <f aca="false">IF(ISNA(MATCH(TRIM(S220),L_EvidenceType,0)),0,BZ220)</f>
        <v>0</v>
      </c>
      <c r="BM220" s="61" t="str">
        <f aca="false">SUBSTITUTE(SUBSTITUTE(SUBSTITUTE(SUBSTITUTE(SUBSTITUTE(SUBSTITUTE(SUBSTITUTE(SUBSTITUTE(SUBSTITUTE(LOWER(Z220&amp;""),"1","0"),"2","0"),"3","0"),"4","0"),"5","0"),"6","0"),"7","0"),"8","0"),"9","0")</f>
        <v/>
      </c>
      <c r="BN220" s="61" t="str">
        <f aca="false">SUBSTITUTE(SUBSTITUTE(SUBSTITUTE(SUBSTITUTE(SUBSTITUTE(SUBSTITUTE(SUBSTITUTE(SUBSTITUTE(SUBSTITUTE(SUBSTITUTE(SUBSTITUTE(SUBSTITUTE(SUBSTITUTE(SUBSTITUTE(SUBSTITUTE(SUBSTITUTE(SUBSTITUTE(SUBSTITUTE(SUBSTITUTE(SUBSTITUTE(SUBSTITUTE(SUBSTITUTE(SUBSTITUTE(SUBSTITUTE(SUBSTITUTE(BM220,"b","a"),"c","a"),"d","a"),"e","a"),"f","a"),"g","a"),"h","a"),"i","a"),"j","a"),"k","a"),"l","a"),"m","a"),"n","a"),"o","a"),"p","a"),"q","a"),"r","a"),"s","a"),"t","a"),"u","a"),"v","a"),"w","a"),"x","a"),"y","a"),"z","a")</f>
        <v/>
      </c>
      <c r="BO220" s="61" t="str">
        <f aca="false">SUBSTITUTE(SUBSTITUTE(SUBSTITUTE(SUBSTITUTE(SUBSTITUTE(SUBSTITUTE(SUBSTITUTE(SUBSTITUTE(SUBSTITUTE(LOWER(W220&amp;""),"1","0"),"2","0"),"3","0"),"4","0"),"5","0"),"6","0"),"7","0"),"8","0"),"9","0")</f>
        <v/>
      </c>
      <c r="BP220" s="61" t="str">
        <f aca="false">SUBSTITUTE(SUBSTITUTE(SUBSTITUTE(SUBSTITUTE(SUBSTITUTE(SUBSTITUTE(SUBSTITUTE(SUBSTITUTE(SUBSTITUTE(SUBSTITUTE(SUBSTITUTE(SUBSTITUTE(SUBSTITUTE(SUBSTITUTE(SUBSTITUTE(SUBSTITUTE(SUBSTITUTE(SUBSTITUTE(SUBSTITUTE(SUBSTITUTE(SUBSTITUTE(SUBSTITUTE(SUBSTITUTE(SUBSTITUTE(SUBSTITUTE(BO220,"b","a"),"c","a"),"d","a"),"e","a"),"f","a"),"g","a"),"h","a"),"i","a"),"j","a"),"k","a"),"l","a"),"m","a"),"n","a"),"o","a"),"p","a"),"q","a"),"r","a"),"s","a"),"t","a"),"u","a"),"v","a"),"w","a"),"x","a"),"y","a"),"z","a")</f>
        <v/>
      </c>
      <c r="BQ220" s="61" t="n">
        <f aca="false">IFERROR(IF(AND(ISERROR(SEARCH(" mh"," "&amp;LOWER(W220))),ISNA(MATCH(LEFT(TRIM(BP220),255),{"0000a","000a","00a","0000aa","000aa","00aa","0aa","0000aaa","000aaa","00a00","0a00","0000-0000","00:00","a00","a0","00.00.0000","00/00/0000","00-00-0000","0000-00-00","0000/00/00","0000.00.00","00.00.00","00/00/00","00-00-00","0.00.0000","0/00/0000","0-00-0000"},0)),ISNA(MATCH(LEFT(TRIM(CA220),255),{"0000a","000a","00a","0000aa","000aa","00aa","0aa","0000aaa","000aaa","00a00","0a00","0000-0000","00:00","a00","a0","00.00.0000","00/00/0000","00-00-0000","0000-00-00","0000/00/00","0000.00.00","00.00.00","00/00/00","00-00-00","0.00.0000","0/00/0000","0-00-0000"},0)),LEN(CB220)&gt;=3,NOT(OR(SUBSTITUTE(CB220,"0","")="",AND(LEN(CB220)&gt;=4,CB220=REPT(LEFT(CB220),LEN(CB220))),ISNUMBER(MATCH(CB220,{"123","1234","12345","123456","1234567","12345678","0123","01234","012345","98765","987654","54321"},0)),AND(LEN(CB220)=8,LEFT(CB220,3)="202"))),OR(AND((LEN(CA220)-LEN(SUBSTITUTE(CA220,"a","")))&gt;=1,SUMPRODUCT(--ISNUMBER(SEARCH({"a0","a-0","a_0","a/0","a.0","a#0","0a","0-a","0_a","0/a"},BP220)))&gt;0),ISNUMBER(SEARCH("000000",BP220)))),1,0),0)</f>
        <v>0</v>
      </c>
      <c r="BR220" s="61" t="n">
        <f aca="false">IFERROR(LEN(SUBSTITUTE(CC220," ",""))-SUMPRODUCT((LEN(CC220)-LEN(SUBSTITUTE(CC220," "&amp;L_Role&amp;" "," ")))/(LEN(L_Role)+1)*LEN(L_Role)),0)</f>
        <v>0</v>
      </c>
      <c r="BS220" s="61" t="n">
        <f aca="false">IFERROR(LEN(SUBSTITUTE(CD220," ",""))-SUMPRODUCT((LEN(CD220)-LEN(SUBSTITUTE(CD220," "&amp;L_Role&amp;" "," ")))/(LEN(L_Role)+1)*LEN(L_Role)),0)</f>
        <v>0</v>
      </c>
      <c r="BT2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220,"revision",""),"version",""),"jan",""),"feb",""),"mar",""),"apr",""),"may",""),"jun",""),"jul",""),"aug",""),"sep",""),"oct",""),"nov",""),"dec",""),"utc",""),"gmt",""),"myt",""),"bst",""),"rev",""),"ver",""),"b","a"),"c","a"),"d","a"),"e","a"),"f","a"),"g","a"),"h","a"),"i","a"),"j","a"),"k","a"),"l","a"),"m","a"),"n","a"),"o","a"),"p","a"),"q","a"),"r","a"),"s","a"),"t","a"),"u","a"),"v","a"),"w","a"),"x","a"),"y","a"),"z","a")</f>
        <v/>
      </c>
      <c r="BU220" s="61" t="str">
        <f aca="false">SUBSTITUTE(SUBSTITUTE(SUBSTITUTE(SUBSTITUTE(SUBSTITUTE(SUBSTITUTE(SUBSTITUTE(SUBSTITUTE(SUBSTITUTE(SUBSTITUTE(LEFT(BM220,FIND("0",BM220&amp;"0")-1),"-",""),"_",""),"/",""),".",""),"#",""),"\\",""),":","")," ",""),"(",""),")","")</f>
        <v/>
      </c>
      <c r="BV220" s="61" t="n">
        <f aca="false">0</f>
        <v>0</v>
      </c>
      <c r="BW2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220&amp;""),"a",""),"b",""),"c",""),"d",""),"e",""),"f",""),"g",""),"h",""),"i",""),"j",""),"k",""),"l",""),"m",""),"n",""),"o",""),"p",""),"q",""),"r",""),"s",""),"t",""),"u",""),"v",""),"w",""),"x",""),"y",""),"z",""),"-",""),"_",""),"/",""),".",""),"#",""),"\\",""),":","")," ",""),"(",""),")","")</f>
        <v/>
      </c>
      <c r="BX220" s="61" t="str">
        <f aca="false">SUBSTITUTE(SUBSTITUTE(SUBSTITUTE(SUBSTITUTE(SUBSTITUTE(SUBSTITUTE(SUBSTITUTE(SUBSTITUTE(SUBSTITUTE(SUBSTITUTE(SUBSTITUTE(BM220,"0",""),"-",""),"_",""),"/",""),".",""),"#",""),"\\",""),":","")," ",""),"(",""),")","")</f>
        <v/>
      </c>
      <c r="BY220" s="62" t="n">
        <f aca="false">Q220-T7EarlyD*24/24</f>
        <v>46283.4166666667</v>
      </c>
      <c r="BZ220" s="61" t="n">
        <f aca="false">IFERROR(IF(IF(TRIM(S220)="Link / file path",AND(LEN(TRIM(Z220))&gt;=5,SUMPRODUCT(--ISNUMBER(SEARCH({"http","www.","\\",":\",".pdf",".jpg",".jpeg",".png",".heic",".xls",".doc",".msg",".eml",".ppt",".txt",".zip"},Z220)))&gt;0),AND(ISERROR(FIND(" ",TRIM(Z220))),NOT(OR(SUMPRODUCT(--ISNUMBER(FIND({",",";","&amp;","+"},Z220)))&gt;0,SUMPRODUCT(--ISNUMBER(SEARCH({"0/aa","0\\aa"},BN220)))&gt;0)),NOT(SUMPRODUCT(--ISNUMBER(SEARCH({"http","www.","\\",":\",".pdf",".jpg",".jpeg",".png",".heic",".xls",".doc",".msg",".eml",".ppt",".txt",".zip"},Z220)))&gt;0),NOT(LOWER(TRIM(Z220))=LOWER(Flights!$F$11)),ISNA(MATCH(BU220,{"mh","rev","revision","ver","version","v","r","a","b","seat","tray","row","gate","bay","stand","page","pg","item","line","no","cart","galley","flight","flt","table","box","bag","oven","etd","eta","std","sta","atd","ata","qty","pax","x","time","tel","ph","mob","day","wk","week","utc","gmt","myt","lt"},0)),NOT(OR(ISNUMBER(MATCH(LEFT(BN220,255),{"0000a","000a","00a","0000aa","000aa","00aa","0aa","0000aaa","000aaa","00a00","0a00","0000-0000","00:00","a00","a0","00.00.0000","00/00/0000","00-00-0000","0000-00-00","0000/00/00","0000.00.00","00.00.00","00/00/00","00-00-00","0.00.0000","0/00/0000","0-00-0000"},0)),ISNUMBER(MATCH(LEFT(BT220,255),{"0000a","000a","00a","0000aa","000aa","00aa","0aa","0000aaa","000aaa","00a00","0a00","0000-0000","00:00","a00","a0","00.00.0000","00/00/0000","00-00-0000","0000-00-00","0000/00/00","0000.00.00","00.00.00","00/00/00","00-00-00","0.00.0000","0/00/0000","0-00-0000"},0)))),NOT(OR(AND(BW220&lt;&gt;"",SUBSTITUTE(BW220,"0","")=""),AND(LEN(BW220)&gt;=4,BW220=REPT(LEFT(BW220),LEN(BW220))),ISNUMBER(MATCH(BW220,{"123","1234","12345","123456","1234567","12345678","0123","01234","012345","98765","987654","54321"},0)),ISNUMBER(MATCH(BX220,{"x","xx","xxx","xxxx","xxxxx","abc","abcd","nil","na","nan","test","tbc","tba","tbd","dummy","sample","example","eg","zz","zzz","none","null","xyz","qwe","asd","id","ref"},0)),AND(LEN(BW220)=8,BX220="",OR(LEFT(BW220,3)="202",ISNUMBER(MATCH(RIGHT(BW220,4),{"2025","2026","2027"},0)))))),OR(AND((LEN(BT220)-LEN(SUBSTITUTE(BT220,"a","")))&gt;=1,(LEN(BN220)-LEN(SUBSTITUTE(BN220,"0","")))&gt;=2,SUMPRODUCT(--ISNUMBER(SEARCH({"a0","a-0","a_0","a/0","a.0","a#0","0a","0-a","0_a","0/a"},BN220)))&gt;0),AND((LEN(BN220)-LEN(SUBSTITUTE(BN220,"a","")))=0,(LEN(BN220)-LEN(SUBSTITUTE(BN220,"0","")))&gt;=5)))),1,0),0)</f>
        <v>0</v>
      </c>
      <c r="CA2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220,"revision",""),"version",""),"jan",""),"feb",""),"mar",""),"apr",""),"may",""),"jun",""),"jul",""),"aug",""),"sep",""),"oct",""),"nov",""),"dec",""),"utc",""),"gmt",""),"myt",""),"bst",""),"rev",""),"ver",""),"b","a"),"c","a"),"d","a"),"e","a"),"f","a"),"g","a"),"h","a"),"i","a"),"j","a"),"k","a"),"l","a"),"m","a"),"n","a"),"o","a"),"p","a"),"q","a"),"r","a"),"s","a"),"t","a"),"u","a"),"v","a"),"w","a"),"x","a"),"y","a"),"z","a")</f>
        <v/>
      </c>
      <c r="CB2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220&amp;""),"a",""),"b",""),"c",""),"d",""),"e",""),"f",""),"g",""),"h",""),"i",""),"j",""),"k",""),"l",""),"m",""),"n",""),"o",""),"p",""),"q",""),"r",""),"s",""),"t",""),"u",""),"v",""),"w",""),"x",""),"y",""),"z",""),"-",""),"_",""),"/",""),".",""),"#",""),"\\",""),":","")," ",""),"(",""),")","")</f>
        <v/>
      </c>
      <c r="CC220" s="0" t="str">
        <f aca="false">" "&amp;TRIM(SUBSTITUTE(SUBSTITUTE(SUBSTITUTE(SUBSTITUTE(SUBSTITUTE(SUBSTITUTE(SUBSTITUTE(SUBSTITUTE(SUBSTITUTE(SUBSTITUTE(SUBSTITUTE(SUBSTITUTE(SUBSTITUTE(SUBSTITUTE(SUBSTITUTE(SUBSTITUTE(SUBSTITUTE(SUBSTITUTE(SUBSTITUTE(SUBSTITUTE(SUBSTITUTE(SUBSTITUTE(SUBSTITUTE(SUBSTITUTE(LOWER(T220&amp;""),CHAR(10)," "),CHAR(13)," "),CHAR(9)," "),CHAR(160)," "),"."," "),","," "),"-"," "),"/"," "),"("," "),")"," "),":"," "),";"," "),"_"," "),"–"," "),"?"," "),"!"," "),"*"," "),"["," "),"]"," "),"'"," "),"#"," "),"+"," "),"&amp;"," "),"\"," "))&amp;" "</f>
        <v>  </v>
      </c>
      <c r="CD220" s="0" t="str">
        <f aca="false">" "&amp;TRIM(SUBSTITUTE(SUBSTITUTE(SUBSTITUTE(SUBSTITUTE(SUBSTITUTE(SUBSTITUTE(SUBSTITUTE(SUBSTITUTE(SUBSTITUTE(SUBSTITUTE(SUBSTITUTE(SUBSTITUTE(SUBSTITUTE(SUBSTITUTE(SUBSTITUTE(SUBSTITUTE(SUBSTITUTE(SUBSTITUTE(SUBSTITUTE(SUBSTITUTE(SUBSTITUTE(SUBSTITUTE(SUBSTITUTE(SUBSTITUTE(LOWER(AE220&amp;""),CHAR(10)," "),CHAR(13)," "),CHAR(9)," "),CHAR(160)," "),"."," "),","," "),"-"," "),"/"," "),"("," "),")"," "),":"," "),";"," "),"_"," "),"–"," "),"?"," "),"!"," "),"*"," "),"["," "),"]"," "),"'"," "),"#"," "),"+"," "),"&amp;"," "),"\"," "))&amp;" "</f>
        <v>  </v>
      </c>
      <c r="CE220" s="68" t="n">
        <f aca="false">IFERROR(IF(AND(LEN(AU220)&gt;0,LEN(AU220)=LEN(AX220),OR(TRIM(MID(SUBSTITUTE(TRIM(CC220)," ",REPT(" ",60)),1,60))="",ISNUMBER(SEARCH(" "&amp;TRIM(MID(SUBSTITUTE(TRIM(CC220)," ",REPT(" ",60)),1,60))&amp;" ",CD220))),OR(TRIM(MID(SUBSTITUTE(TRIM(CC220)," ",REPT(" ",60)),61,60))="",ISNUMBER(SEARCH(" "&amp;TRIM(MID(SUBSTITUTE(TRIM(CC220)," ",REPT(" ",60)),61,60))&amp;" ",CD220))),OR(TRIM(MID(SUBSTITUTE(TRIM(CC220)," ",REPT(" ",60)),121,60))="",ISNUMBER(SEARCH(" "&amp;TRIM(MID(SUBSTITUTE(TRIM(CC220)," ",REPT(" ",60)),121,60))&amp;" ",CD220)))),1,0),0)</f>
        <v>0</v>
      </c>
      <c r="CG220" s="68" t="n">
        <f aca="false">IFERROR(LEN(SUBSTITUTE(BF220," ",""))-SUMPRODUCT((LEN(BF220)-LEN(SUBSTITUTE(BF220," "&amp;L_NAFiller&amp;" "," ")))/(LEN(L_NAFiller)+1)*LEN(L_NAFiller)),0)</f>
        <v>0</v>
      </c>
    </row>
    <row r="221" customFormat="false" ht="39.75" hidden="false" customHeight="true" outlineLevel="0" collapsed="false">
      <c r="A221" s="57" t="s">
        <v>782</v>
      </c>
      <c r="B221" s="57" t="s">
        <v>235</v>
      </c>
      <c r="C221" s="57" t="str">
        <f aca="false">Flights!$F$11</f>
        <v>MH0003</v>
      </c>
      <c r="D221" s="58" t="n">
        <f aca="false">Flights!$D$11</f>
        <v>46304</v>
      </c>
      <c r="E221" s="57" t="str">
        <f aca="false">Flights!$G$11&amp;"-"&amp;Flights!$H$11</f>
        <v>LHR-KUL</v>
      </c>
      <c r="F221" s="57" t="str">
        <f aca="false">Flights!$K$11</f>
        <v>BC</v>
      </c>
      <c r="G221" s="57" t="s">
        <v>81</v>
      </c>
      <c r="H221" s="57" t="s">
        <v>378</v>
      </c>
      <c r="I221" s="57" t="s">
        <v>411</v>
      </c>
      <c r="J221" s="57" t="s">
        <v>412</v>
      </c>
      <c r="K221" s="67" t="s">
        <v>413</v>
      </c>
      <c r="L221" s="67" t="s">
        <v>414</v>
      </c>
      <c r="M221" s="67"/>
      <c r="N221" s="67" t="s">
        <v>383</v>
      </c>
      <c r="O221" s="67"/>
      <c r="P221" s="57" t="s">
        <v>186</v>
      </c>
      <c r="Q221" s="59" t="n">
        <f aca="false">ROUND((Flights!$AC$11)*1440,0)/1440</f>
        <v>46297.4166666667</v>
      </c>
      <c r="R221" s="59" t="n">
        <f aca="false">Q221+(IF(AND(INDEX(TZ_DSTS,MATCH(P221,TZ_STN,0))&lt;&gt;"",Q221&gt;=INDEX(TZ_DSTS,MATCH(P221,TZ_STN,0)),Q221&lt;INDEX(TZ_DSTE,MATCH(P221,TZ_STN,0))),INDEX(TZ_DST,MATCH(P221,TZ_STN,0)),INDEX(TZ_STD,MATCH(P221,TZ_STN,0))))/24</f>
        <v>46297.4583333333</v>
      </c>
      <c r="S221" s="60"/>
      <c r="T221" s="60"/>
      <c r="U221" s="60"/>
      <c r="V221" s="60"/>
      <c r="W221" s="61"/>
      <c r="X221" s="60"/>
      <c r="Y221" s="60"/>
      <c r="Z221" s="60"/>
      <c r="AA221" s="60"/>
      <c r="AB221" s="60"/>
      <c r="AC221" s="60"/>
      <c r="AD221" s="66"/>
      <c r="AE221" s="60"/>
      <c r="AF221" s="61" t="str">
        <f aca="false">IF(AND(ISNUMBER(X221),ISNUMBER(Y221)),Y221-X221,"")</f>
        <v/>
      </c>
      <c r="AG221" s="62" t="str">
        <f aca="false">IF(ISNUMBER(AD221),AD221-(IF(AND(INDEX(TZ_DSTS,MATCH(P221,TZ_STN,0))&lt;&gt;"",(AD221-INDEX(TZ_STD,MATCH(P221,TZ_STN,0))/24)&gt;=INDEX(TZ_DSTS,MATCH(P221,TZ_STN,0)),(AD221-INDEX(TZ_STD,MATCH(P221,TZ_STN,0))/24)&lt;INDEX(TZ_DSTE,MATCH(P221,TZ_STN,0))),INDEX(TZ_DST,MATCH(P221,TZ_STN,0)),INDEX(TZ_STD,MATCH(P221,TZ_STN,0))))/24,"")</f>
        <v/>
      </c>
      <c r="AH221" s="65" t="str">
        <f aca="false">IFERROR(IF(N221="N/A – rule",IF(OR(TRIM(U221)="",TRIM(U221)="N/A",TRIM(U221)="Not started"),"N/A – RULE","INVALID – this check does not apply to this aircraft: clear the status (or correct the fleet on Flights)"),IF(TRIM(U221)="N/A",IF(AT221=0,"INVALID – N/A not permitted for this check",IF(AND(TRIM(AB221)&lt;&gt;"",TRIM(AB221)&lt;&gt;"Closed"),"INVALID – corrective action still open",IF(AND(NOT(OR(LEN(AZ221)&lt;15,ISNUMBER(MATCH(AZ221,L_Placeholder,0)))),BK221=0,CG221&gt;=8,NOT(OR(LEN(AU221)&lt;2,ISNUMBER(MATCH(AU221,L_Placeholder,0)))),BR221&gt;=3,NOT(OR(LEN(AX221)&lt;2,ISNUMBER(MATCH(AX221,L_Placeholder,0)))),BS221&gt;=3,TRIM(AE221)&lt;&gt;TRIM(T221),AX221&lt;&gt;AU221,CE221=0),"N/A – JUSTIFIED","INVALID – N/A needs a real, settled reason (not 'not applicable' / 'as above' / TBC), a named PIC and a different named verifier"))),IF(OR(TRIM(U221)="Pass",TRIM(U221)="Pass after CA"),IF(NOT(ISNUMBER(AD221)),"INVALID – completion time missing",IF(OR(OR(LEN(AU221)&lt;2,ISNUMBER(MATCH(AU221,L_Placeholder,0))),BR221&lt;3),"INVALID – PIC missing or not a named person (a role such as QA / CSM is not a name)",IF(OR(LEN(AV221)&lt;2,ISNUMBER(MATCH(AV221,L_Placeholder,0))),"INVALID – result / assessment missing",IF(OR(OR(LEN(AW221)&lt;3,ISNUMBER(MATCH(AW221,L_Placeholder,0))),SUMPRODUCT(--ISNUMBER(SEARCH(" "&amp;L_EvidencePhrase&amp;" ",BD221)))&gt;0,BI221=1),"INVALID – evidence missing, placeholder or not yet on file",IF(ISNA(MATCH(TRIM(S221),L_EvidenceType,0)),"INVALID – choose the evidence type from the list (column S)",IF(BL221=0,"INVALID – evidence ID must be the record's own ID only (e.g. SF-2210, IMG_2231, 1045521); a link / file name needs type 'Link / file path'",IF(OR(OR(LEN(AX221)&lt;2,ISNUMBER(MATCH(AX221,L_Placeholder,0))),BS221&lt;3),"INVALID – verifier missing or not a named person (a role such as QA / CSM is not a name)",IF(OR(AX221=AU221,CE221=1,AND(LEN(AU221)&gt;=4,ISNUMBER(SEARCH(AU221,AX221))),AND(LEN(AX221)&gt;=4,ISNUMBER(SEARCH(AX221,AU221)))),"INVALID – verifier must be a different, named person (not the PIC or a role)",IF(BH221=1,"INVALID – result not yet available (awaiting / TBC)",IF(BG221=1,"INVALID – result describes a problem: record Fail, then Pass after CA (or reword if it is not a problem)",IF(BV221=1,"INVALID – wording says not on board: an on-board confirmation needs the item loaded",IF(AND(AQ221=1,OR(OR(LEN(AY221)&lt;3,ISNUMBER(MATCH(AY221,L_Placeholder,0))),BJ221=1,BQ221=0)),"INVALID – batch ID missing, placeholder or not an ID (e.g. PASB-261008-BC-017)",IF(AND(AR221=1,OR(NOT(ISNUMBER(X221)),NOT(ISNUMBER(Y221)))),"INVALID – expected/actual qty missing",IF(AND(AR221=1,OR(X221&lt;=0,Y221&lt;0)),"INVALID – expected qty must be above 0 and actual not negative",IF(BB221&lt;&gt;"",BB221,IF(AND(AS221=1,Documents!$J$11&lt;&gt;"ON FILE"),"INVALID – GLD not on file (Documents sheet)",IF(AND(AS221=2,Documents!$O$11&lt;&gt;"ON FILE"),"INVALID – menu checklist not on file (Documents sheet)",IF(AND(AS221=3,NOT(ISNUMBER(Flights!$AX$11))),"INVALID – enter carrying flight KUL departure (Flights AX)",IF(AND(AS221=3,OR(Flights!$AZ$11&gt;Flights!$AA$11,Flights!$AX$11&lt;Flights!$AA$11-3)),"INVALID – carrying flight (Flights AX) cannot arrive before this leg's STD, or is over 3 days early",IF(AG221&gt;AsOfUTC,"INVALID – completion time is in the future",IF(AND(ISNUMBER(BY221),AG221&lt;BY221),IF(H221="Physical uplift","INVALID – before uplift window (cannot confirm loading)","INVALID – before valid window"),IF(AG221&gt;Flights!$AA$11,"INVALID – completed after departure (cannot establish readiness)",IF(AND(H221="Preparation",AG221&gt;=IF(ISNUMBER(Flights!$BA$11),MIN(Flights!$BA$11,Flights!$AA$11),Flights!$AA$11)),"INVALID – completed after loading / departure (cannot establish readiness)",IF(AND(H221="Physical uplift",AG221&gt;Q221),"INVALID – recorded after the loading flight departed",IF(AG221&gt;Q221,"COMPLETE – LATE","COMPLETE"))))))))))))))))))))))))),IF(TRIM(U221)="Fail","FAIL – DISCREPANCY",IF(AND(TRIM(U221)&lt;&gt;"",TRIM(U221)&lt;&gt;"Not started",TRIM(U221)&lt;&gt;"In progress"),"INVALID – unrecognised status (use the list)",IF(AsOfUTC&gt;Q221,"OVERDUE",IF(N221="Clarification required","OPEN – CLARIFICATION","OPEN"))))))),"INVALID – error value in an input cell")</f>
        <v>OPEN</v>
      </c>
      <c r="AI221" s="61" t="n">
        <f aca="false">IF(OR(AH221="N/A – RULE",AH221="N/A – JUSTIFIED"),0,1)</f>
        <v>1</v>
      </c>
      <c r="AJ221" s="61" t="n">
        <f aca="false">IF(LEFT(AH221,8)="COMPLETE",1,0)</f>
        <v>0</v>
      </c>
      <c r="AK221" s="61" t="n">
        <f aca="false">IF(AND(AI221=1,AJ221=0,AsOfUTC&gt;Q221),1,0)</f>
        <v>0</v>
      </c>
      <c r="AL221" s="61" t="n">
        <f aca="false">IFERROR(IF(AND(AI221=1,OR(TRIM(U221)="Fail",AND(TRIM(AB221)&lt;&gt;"",TRIM(AB221)&lt;&gt;"Closed"),AND(ISNUMBER(AF221),AF221&lt;&gt;0,TRIM(U221)&lt;&gt;"Pass after CA"))),1,0),1)</f>
        <v>0</v>
      </c>
      <c r="AM221" s="61" t="n">
        <f aca="false">IF(LEFT(AH221,7)="INVALID",1,0)</f>
        <v>0</v>
      </c>
      <c r="AN221" s="61" t="n">
        <f aca="false">IF(AND(N221="Clarification required",AI221=1,AJ221=0),1,0)</f>
        <v>0</v>
      </c>
      <c r="AO221" s="61" t="str">
        <f aca="false">IF(AK221=1,SUM(AK$5:AK221),"")</f>
        <v/>
      </c>
      <c r="AP221" s="61" t="str">
        <f aca="false">IF(AL221=1,SUM(AL$5:AL221),"")</f>
        <v/>
      </c>
      <c r="AQ221" s="61" t="n">
        <v>0</v>
      </c>
      <c r="AR221" s="61" t="n">
        <v>0</v>
      </c>
      <c r="AS221" s="61" t="n">
        <v>0</v>
      </c>
      <c r="AT221" s="61" t="n">
        <v>0</v>
      </c>
      <c r="AU221" s="61" t="str">
        <f aca="false">SUBSTITUTE(SUBSTITUTE(SUBSTITUTE(SUBSTITUTE(SUBSTITUTE(SUBSTITUTE(SUBSTITUTE(SUBSTITUTE(SUBSTITUTE(SUBSTITUTE(SUBSTITUTE(SUBSTITUTE(SUBSTITUTE(SUBSTITUTE(SUBSTITUTE(SUBSTITUTE(LOWER(T221&amp;""),CHAR(10),""),CHAR(13),""),CHAR(9),""),CHAR(160),"")," ",""),".",""),"-",""),"/",""),"?",""),"_",""),",",""),"[",""),"]",""),"(",""),")",""),"*","")</f>
        <v/>
      </c>
      <c r="AV221" s="61" t="str">
        <f aca="false">SUBSTITUTE(SUBSTITUTE(SUBSTITUTE(SUBSTITUTE(SUBSTITUTE(SUBSTITUTE(SUBSTITUTE(SUBSTITUTE(SUBSTITUTE(SUBSTITUTE(SUBSTITUTE(SUBSTITUTE(SUBSTITUTE(SUBSTITUTE(SUBSTITUTE(SUBSTITUTE(LOWER(V221&amp;""),CHAR(10),""),CHAR(13),""),CHAR(9),""),CHAR(160),"")," ",""),".",""),"-",""),"/",""),"?",""),"_",""),",",""),"[",""),"]",""),"(",""),")",""),"*","")</f>
        <v/>
      </c>
      <c r="AW221" s="61" t="str">
        <f aca="false">SUBSTITUTE(SUBSTITUTE(SUBSTITUTE(SUBSTITUTE(SUBSTITUTE(SUBSTITUTE(SUBSTITUTE(SUBSTITUTE(SUBSTITUTE(SUBSTITUTE(SUBSTITUTE(SUBSTITUTE(SUBSTITUTE(SUBSTITUTE(SUBSTITUTE(SUBSTITUTE(LOWER(Z221&amp;""),CHAR(10),""),CHAR(13),""),CHAR(9),""),CHAR(160),"")," ",""),".",""),"-",""),"/",""),"?",""),"_",""),",",""),"[",""),"]",""),"(",""),")",""),"*","")</f>
        <v/>
      </c>
      <c r="AX221" s="61" t="str">
        <f aca="false">SUBSTITUTE(SUBSTITUTE(SUBSTITUTE(SUBSTITUTE(SUBSTITUTE(SUBSTITUTE(SUBSTITUTE(SUBSTITUTE(SUBSTITUTE(SUBSTITUTE(SUBSTITUTE(SUBSTITUTE(SUBSTITUTE(SUBSTITUTE(SUBSTITUTE(SUBSTITUTE(LOWER(AE221&amp;""),CHAR(10),""),CHAR(13),""),CHAR(9),""),CHAR(160),"")," ",""),".",""),"-",""),"/",""),"?",""),"_",""),",",""),"[",""),"]",""),"(",""),")",""),"*","")</f>
        <v/>
      </c>
      <c r="AY221" s="61" t="str">
        <f aca="false">SUBSTITUTE(SUBSTITUTE(SUBSTITUTE(SUBSTITUTE(SUBSTITUTE(SUBSTITUTE(SUBSTITUTE(SUBSTITUTE(SUBSTITUTE(SUBSTITUTE(SUBSTITUTE(SUBSTITUTE(SUBSTITUTE(SUBSTITUTE(SUBSTITUTE(SUBSTITUTE(LOWER(W221&amp;""),CHAR(10),""),CHAR(13),""),CHAR(9),""),CHAR(160),"")," ",""),".",""),"-",""),"/",""),"?",""),"_",""),",",""),"[",""),"]",""),"(",""),")",""),"*","")</f>
        <v/>
      </c>
      <c r="AZ221" s="61" t="str">
        <f aca="false">SUBSTITUTE(SUBSTITUTE(SUBSTITUTE(SUBSTITUTE(SUBSTITUTE(SUBSTITUTE(SUBSTITUTE(SUBSTITUTE(SUBSTITUTE(SUBSTITUTE(SUBSTITUTE(SUBSTITUTE(SUBSTITUTE(SUBSTITUTE(SUBSTITUTE(SUBSTITUTE(LOWER(AC221&amp;""),CHAR(10),""),CHAR(13),""),CHAR(9),""),CHAR(160),"")," ",""),".",""),"-",""),"/",""),"?",""),"_",""),",",""),"[",""),"]",""),"(",""),")",""),"*","")</f>
        <v/>
      </c>
      <c r="BA221" s="61" t="str">
        <f aca="false">SUBSTITUTE(SUBSTITUTE(SUBSTITUTE(SUBSTITUTE(SUBSTITUTE(SUBSTITUTE(SUBSTITUTE(SUBSTITUTE(SUBSTITUTE(SUBSTITUTE(SUBSTITUTE(SUBSTITUTE(SUBSTITUTE(SUBSTITUTE(SUBSTITUTE(SUBSTITUTE(LOWER(AA221&amp;""),CHAR(10),""),CHAR(13),""),CHAR(9),""),CHAR(160),"")," ",""),".",""),"-",""),"/",""),"?",""),"_",""),",",""),"[",""),"]",""),"(",""),")",""),"*","")</f>
        <v/>
      </c>
      <c r="BB221" s="61" t="str">
        <f aca="false">IF(AND(TRIM(U221)="Pass",ISNUMBER(AF221)),IF(AF221&lt;&gt;0,"INVALID – qty variance: use Fail or Pass after CA",""),"")&amp;IF(AND(TRIM(U221)="Pass after CA",ISNUMBER(AF221)),IF(AF221&lt;&gt;0,"INVALID – after the corrective action the actual qty must equal expected (update Actual)",""),"")&amp;IF(AND(TRIM(U221)="Pass",TRIM(AB221)&lt;&gt;"",TRIM(AB221)&lt;&gt;"Closed"),"INVALID – corrective action not closed: use Fail, then Pass after CA","")&amp;IF(AND(LEN(BA221)&gt;=2,ISNA(MATCH(LEFT(BA221,255),L_Placeholder,0)),TRIM(AB221)=""),"INVALID – CA status missing for the recorded corrective action","")&amp;IF(AND(TRIM(U221)="Pass after CA",OR(OR(LEN(BA221)&lt;5,ISNUMBER(MATCH(BA221,L_Placeholder,0))),TRIM(AB221)&lt;&gt;"Closed")),"INVALID – corrective action not recorded/closed","")</f>
        <v/>
      </c>
      <c r="BC221" s="61" t="str">
        <f aca="false">" "&amp;TRIM(SUBSTITUTE(SUBSTITUTE(SUBSTITUTE(SUBSTITUTE(SUBSTITUTE(SUBSTITUTE(SUBSTITUTE(SUBSTITUTE(SUBSTITUTE(SUBSTITUTE(SUBSTITUTE(SUBSTITUTE(SUBSTITUTE(SUBSTITUTE(SUBSTITUTE(SUBSTITUTE(SUBSTITUTE(SUBSTITUTE(SUBSTITUTE(SUBSTITUTE(SUBSTITUTE(SUBSTITUTE(SUBSTITUTE(SUBSTITUTE(LOWER(V221&amp;""),CHAR(10)," "),CHAR(13)," "),CHAR(9)," "),CHAR(160)," "),"."," "),","," "),"-"," "),"/"," "),"("," "),")"," "),":"," "),";"," "),"_"," "),"–"," "),"?"," "),"!"," "),"*"," "),"["," "),"]"," "),"'"," "),"#"," "),"+"," "),"&amp;"," "),"\"," "))&amp;" "</f>
        <v>  </v>
      </c>
      <c r="BD221" s="61" t="str">
        <f aca="false">" "&amp;TRIM(SUBSTITUTE(SUBSTITUTE(SUBSTITUTE(SUBSTITUTE(SUBSTITUTE(SUBSTITUTE(SUBSTITUTE(SUBSTITUTE(SUBSTITUTE(SUBSTITUTE(SUBSTITUTE(SUBSTITUTE(SUBSTITUTE(SUBSTITUTE(SUBSTITUTE(SUBSTITUTE(SUBSTITUTE(SUBSTITUTE(SUBSTITUTE(SUBSTITUTE(SUBSTITUTE(SUBSTITUTE(SUBSTITUTE(SUBSTITUTE(LOWER(Z221&amp;""),CHAR(10)," "),CHAR(13)," "),CHAR(9)," "),CHAR(160)," "),"."," "),","," "),"-"," "),"/"," "),"("," "),")"," "),":"," "),";"," "),"_"," "),"–"," "),"?"," "),"!"," "),"*"," "),"["," "),"]"," "),"'"," "),"#"," "),"+"," "),"&amp;"," "),"\"," "))&amp;" "</f>
        <v>  </v>
      </c>
      <c r="BE221" s="61" t="str">
        <f aca="false">" "&amp;TRIM(SUBSTITUTE(SUBSTITUTE(SUBSTITUTE(SUBSTITUTE(SUBSTITUTE(SUBSTITUTE(SUBSTITUTE(SUBSTITUTE(SUBSTITUTE(SUBSTITUTE(SUBSTITUTE(SUBSTITUTE(SUBSTITUTE(SUBSTITUTE(SUBSTITUTE(SUBSTITUTE(SUBSTITUTE(SUBSTITUTE(SUBSTITUTE(SUBSTITUTE(SUBSTITUTE(SUBSTITUTE(SUBSTITUTE(SUBSTITUTE(LOWER(W221&amp;""),CHAR(10)," "),CHAR(13)," "),CHAR(9)," "),CHAR(160)," "),"."," "),","," "),"-"," "),"/"," "),"("," "),")"," "),":"," "),";"," "),"_"," "),"–"," "),"?"," "),"!"," "),"*"," "),"["," "),"]"," "),"'"," "),"#"," "),"+"," "),"&amp;"," "),"\"," "))&amp;" "</f>
        <v>  </v>
      </c>
      <c r="BF221" s="61" t="str">
        <f aca="false">" "&amp;TRIM(SUBSTITUTE(SUBSTITUTE(SUBSTITUTE(SUBSTITUTE(SUBSTITUTE(SUBSTITUTE(SUBSTITUTE(SUBSTITUTE(SUBSTITUTE(SUBSTITUTE(SUBSTITUTE(SUBSTITUTE(SUBSTITUTE(SUBSTITUTE(SUBSTITUTE(SUBSTITUTE(SUBSTITUTE(SUBSTITUTE(SUBSTITUTE(SUBSTITUTE(SUBSTITUTE(SUBSTITUTE(SUBSTITUTE(SUBSTITUTE(LOWER(AC221&amp;""),CHAR(10)," "),CHAR(13)," "),CHAR(9)," "),CHAR(160)," "),"."," "),","," "),"-"," "),"/"," "),"("," "),")"," "),":"," "),";"," "),"_"," "),"–"," "),"?"," "),"!"," "),"*"," "),"["," "),"]"," "),"'"," "),"#"," "),"+"," "),"&amp;"," "),"\"," "))&amp;" "</f>
        <v>  </v>
      </c>
      <c r="BG221" s="61" t="n">
        <f aca="false">IFERROR(IF(AND(TRIM(U221)="Pass",SUMPRODUCT((LEN(BC221)-LEN(SUBSTITUTE(BC221," "&amp;L_ResultBad&amp;" "," ")))/(LEN(L_ResultBad)+1))&gt;SUMPRODUCT((LEN(BC221)-LEN(SUBSTITUTE(BC221," "&amp;L_NegPhrase&amp;" "," ")))/(LEN(L_NegPhrase)+1))),1,0),0)</f>
        <v>0</v>
      </c>
      <c r="BH221" s="61" t="n">
        <f aca="false">IFERROR(IF(SUMPRODUCT((LEN(BC221)-LEN(SUBSTITUTE(BC221," "&amp;L_Pending&amp;" "," ")))/(LEN(L_Pending)+1))&gt;SUMPRODUCT((LEN(BC221)-LEN(SUBSTITUTE(BC221," "&amp;L_PendNeg&amp;" "," ")))/(LEN(L_PendNeg)+1))+SUMPRODUCT((LEN(BC221)-LEN(SUBSTITUTE(BC221," "&amp;L_PendPrep&amp;" "," ")))/(LEN(L_PendPrep)+1)),1,0),1)</f>
        <v>0</v>
      </c>
      <c r="BI221" s="61" t="n">
        <f aca="false">IFERROR(IF(SUMPRODUCT((LEN(BD221)-LEN(SUBSTITUTE(BD221," "&amp;L_PendStrict&amp;" "," ")))/(LEN(L_PendStrict)+1))&gt;SUMPRODUCT((LEN(BD221)-LEN(SUBSTITUTE(BD221," "&amp;L_PendNeg&amp;" "," ")))/(LEN(L_PendNeg)+1)),1,0),1)</f>
        <v>0</v>
      </c>
      <c r="BJ221" s="61" t="n">
        <f aca="false">IFERROR(IF(SUMPRODUCT((LEN(BE221)-LEN(SUBSTITUTE(BE221," "&amp;L_Pending&amp;" "," ")))/(LEN(L_Pending)+1))&gt;SUMPRODUCT((LEN(BE221)-LEN(SUBSTITUTE(BE221," "&amp;L_PendNeg&amp;" "," ")))/(LEN(L_PendNeg)+1))+SUMPRODUCT((LEN(BE221)-LEN(SUBSTITUTE(BE221," "&amp;L_PendPrep&amp;" "," ")))/(LEN(L_PendPrep)+1)),1,0),1)</f>
        <v>0</v>
      </c>
      <c r="BK221" s="61" t="n">
        <f aca="false">IFERROR(IF(SUMPRODUCT((LEN(BF221)-LEN(SUBSTITUTE(BF221," "&amp;L_PendStrict&amp;" "," ")))/(LEN(L_PendStrict)+1))&gt;SUMPRODUCT((LEN(BF221)-LEN(SUBSTITUTE(BF221," "&amp;L_PendNeg&amp;" "," ")))/(LEN(L_PendNeg)+1)),1,0),1)</f>
        <v>0</v>
      </c>
      <c r="BL221" s="61" t="n">
        <f aca="false">IF(ISNA(MATCH(TRIM(S221),L_EvidenceType,0)),0,BZ221)</f>
        <v>0</v>
      </c>
      <c r="BM221" s="61" t="str">
        <f aca="false">SUBSTITUTE(SUBSTITUTE(SUBSTITUTE(SUBSTITUTE(SUBSTITUTE(SUBSTITUTE(SUBSTITUTE(SUBSTITUTE(SUBSTITUTE(LOWER(Z221&amp;""),"1","0"),"2","0"),"3","0"),"4","0"),"5","0"),"6","0"),"7","0"),"8","0"),"9","0")</f>
        <v/>
      </c>
      <c r="BN221" s="61" t="str">
        <f aca="false">SUBSTITUTE(SUBSTITUTE(SUBSTITUTE(SUBSTITUTE(SUBSTITUTE(SUBSTITUTE(SUBSTITUTE(SUBSTITUTE(SUBSTITUTE(SUBSTITUTE(SUBSTITUTE(SUBSTITUTE(SUBSTITUTE(SUBSTITUTE(SUBSTITUTE(SUBSTITUTE(SUBSTITUTE(SUBSTITUTE(SUBSTITUTE(SUBSTITUTE(SUBSTITUTE(SUBSTITUTE(SUBSTITUTE(SUBSTITUTE(SUBSTITUTE(BM221,"b","a"),"c","a"),"d","a"),"e","a"),"f","a"),"g","a"),"h","a"),"i","a"),"j","a"),"k","a"),"l","a"),"m","a"),"n","a"),"o","a"),"p","a"),"q","a"),"r","a"),"s","a"),"t","a"),"u","a"),"v","a"),"w","a"),"x","a"),"y","a"),"z","a")</f>
        <v/>
      </c>
      <c r="BO221" s="61" t="str">
        <f aca="false">SUBSTITUTE(SUBSTITUTE(SUBSTITUTE(SUBSTITUTE(SUBSTITUTE(SUBSTITUTE(SUBSTITUTE(SUBSTITUTE(SUBSTITUTE(LOWER(W221&amp;""),"1","0"),"2","0"),"3","0"),"4","0"),"5","0"),"6","0"),"7","0"),"8","0"),"9","0")</f>
        <v/>
      </c>
      <c r="BP221" s="61" t="str">
        <f aca="false">SUBSTITUTE(SUBSTITUTE(SUBSTITUTE(SUBSTITUTE(SUBSTITUTE(SUBSTITUTE(SUBSTITUTE(SUBSTITUTE(SUBSTITUTE(SUBSTITUTE(SUBSTITUTE(SUBSTITUTE(SUBSTITUTE(SUBSTITUTE(SUBSTITUTE(SUBSTITUTE(SUBSTITUTE(SUBSTITUTE(SUBSTITUTE(SUBSTITUTE(SUBSTITUTE(SUBSTITUTE(SUBSTITUTE(SUBSTITUTE(SUBSTITUTE(BO221,"b","a"),"c","a"),"d","a"),"e","a"),"f","a"),"g","a"),"h","a"),"i","a"),"j","a"),"k","a"),"l","a"),"m","a"),"n","a"),"o","a"),"p","a"),"q","a"),"r","a"),"s","a"),"t","a"),"u","a"),"v","a"),"w","a"),"x","a"),"y","a"),"z","a")</f>
        <v/>
      </c>
      <c r="BQ221" s="61" t="n">
        <f aca="false">IFERROR(IF(AND(ISERROR(SEARCH(" mh"," "&amp;LOWER(W221))),ISNA(MATCH(LEFT(TRIM(BP221),255),{"0000a","000a","00a","0000aa","000aa","00aa","0aa","0000aaa","000aaa","00a00","0a00","0000-0000","00:00","a00","a0","00.00.0000","00/00/0000","00-00-0000","0000-00-00","0000/00/00","0000.00.00","00.00.00","00/00/00","00-00-00","0.00.0000","0/00/0000","0-00-0000"},0)),ISNA(MATCH(LEFT(TRIM(CA221),255),{"0000a","000a","00a","0000aa","000aa","00aa","0aa","0000aaa","000aaa","00a00","0a00","0000-0000","00:00","a00","a0","00.00.0000","00/00/0000","00-00-0000","0000-00-00","0000/00/00","0000.00.00","00.00.00","00/00/00","00-00-00","0.00.0000","0/00/0000","0-00-0000"},0)),LEN(CB221)&gt;=3,NOT(OR(SUBSTITUTE(CB221,"0","")="",AND(LEN(CB221)&gt;=4,CB221=REPT(LEFT(CB221),LEN(CB221))),ISNUMBER(MATCH(CB221,{"123","1234","12345","123456","1234567","12345678","0123","01234","012345","98765","987654","54321"},0)),AND(LEN(CB221)=8,LEFT(CB221,3)="202"))),OR(AND((LEN(CA221)-LEN(SUBSTITUTE(CA221,"a","")))&gt;=1,SUMPRODUCT(--ISNUMBER(SEARCH({"a0","a-0","a_0","a/0","a.0","a#0","0a","0-a","0_a","0/a"},BP221)))&gt;0),ISNUMBER(SEARCH("000000",BP221)))),1,0),0)</f>
        <v>0</v>
      </c>
      <c r="BR221" s="61" t="n">
        <f aca="false">IFERROR(LEN(SUBSTITUTE(CC221," ",""))-SUMPRODUCT((LEN(CC221)-LEN(SUBSTITUTE(CC221," "&amp;L_Role&amp;" "," ")))/(LEN(L_Role)+1)*LEN(L_Role)),0)</f>
        <v>0</v>
      </c>
      <c r="BS221" s="61" t="n">
        <f aca="false">IFERROR(LEN(SUBSTITUTE(CD221," ",""))-SUMPRODUCT((LEN(CD221)-LEN(SUBSTITUTE(CD221," "&amp;L_Role&amp;" "," ")))/(LEN(L_Role)+1)*LEN(L_Role)),0)</f>
        <v>0</v>
      </c>
      <c r="BT2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221,"revision",""),"version",""),"jan",""),"feb",""),"mar",""),"apr",""),"may",""),"jun",""),"jul",""),"aug",""),"sep",""),"oct",""),"nov",""),"dec",""),"utc",""),"gmt",""),"myt",""),"bst",""),"rev",""),"ver",""),"b","a"),"c","a"),"d","a"),"e","a"),"f","a"),"g","a"),"h","a"),"i","a"),"j","a"),"k","a"),"l","a"),"m","a"),"n","a"),"o","a"),"p","a"),"q","a"),"r","a"),"s","a"),"t","a"),"u","a"),"v","a"),"w","a"),"x","a"),"y","a"),"z","a")</f>
        <v/>
      </c>
      <c r="BU221" s="61" t="str">
        <f aca="false">SUBSTITUTE(SUBSTITUTE(SUBSTITUTE(SUBSTITUTE(SUBSTITUTE(SUBSTITUTE(SUBSTITUTE(SUBSTITUTE(SUBSTITUTE(SUBSTITUTE(LEFT(BM221,FIND("0",BM221&amp;"0")-1),"-",""),"_",""),"/",""),".",""),"#",""),"\\",""),":","")," ",""),"(",""),")","")</f>
        <v/>
      </c>
      <c r="BV221" s="61" t="n">
        <f aca="false">0</f>
        <v>0</v>
      </c>
      <c r="BW2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221&amp;""),"a",""),"b",""),"c",""),"d",""),"e",""),"f",""),"g",""),"h",""),"i",""),"j",""),"k",""),"l",""),"m",""),"n",""),"o",""),"p",""),"q",""),"r",""),"s",""),"t",""),"u",""),"v",""),"w",""),"x",""),"y",""),"z",""),"-",""),"_",""),"/",""),".",""),"#",""),"\\",""),":","")," ",""),"(",""),")","")</f>
        <v/>
      </c>
      <c r="BX221" s="61" t="str">
        <f aca="false">SUBSTITUTE(SUBSTITUTE(SUBSTITUTE(SUBSTITUTE(SUBSTITUTE(SUBSTITUTE(SUBSTITUTE(SUBSTITUTE(SUBSTITUTE(SUBSTITUTE(SUBSTITUTE(BM221,"0",""),"-",""),"_",""),"/",""),".",""),"#",""),"\\",""),":","")," ",""),"(",""),")","")</f>
        <v/>
      </c>
      <c r="BY221" s="62" t="n">
        <f aca="false">Q221-T7EarlyD*24/24</f>
        <v>46283.4166666667</v>
      </c>
      <c r="BZ221" s="61" t="n">
        <f aca="false">IFERROR(IF(IF(TRIM(S221)="Link / file path",AND(LEN(TRIM(Z221))&gt;=5,SUMPRODUCT(--ISNUMBER(SEARCH({"http","www.","\\",":\",".pdf",".jpg",".jpeg",".png",".heic",".xls",".doc",".msg",".eml",".ppt",".txt",".zip"},Z221)))&gt;0),AND(ISERROR(FIND(" ",TRIM(Z221))),NOT(OR(SUMPRODUCT(--ISNUMBER(FIND({",",";","&amp;","+"},Z221)))&gt;0,SUMPRODUCT(--ISNUMBER(SEARCH({"0/aa","0\\aa"},BN221)))&gt;0)),NOT(SUMPRODUCT(--ISNUMBER(SEARCH({"http","www.","\\",":\",".pdf",".jpg",".jpeg",".png",".heic",".xls",".doc",".msg",".eml",".ppt",".txt",".zip"},Z221)))&gt;0),NOT(LOWER(TRIM(Z221))=LOWER(Flights!$F$11)),ISNA(MATCH(BU221,{"mh","rev","revision","ver","version","v","r","a","b","seat","tray","row","gate","bay","stand","page","pg","item","line","no","cart","galley","flight","flt","table","box","bag","oven","etd","eta","std","sta","atd","ata","qty","pax","x","time","tel","ph","mob","day","wk","week","utc","gmt","myt","lt"},0)),NOT(OR(ISNUMBER(MATCH(LEFT(BN221,255),{"0000a","000a","00a","0000aa","000aa","00aa","0aa","0000aaa","000aaa","00a00","0a00","0000-0000","00:00","a00","a0","00.00.0000","00/00/0000","00-00-0000","0000-00-00","0000/00/00","0000.00.00","00.00.00","00/00/00","00-00-00","0.00.0000","0/00/0000","0-00-0000"},0)),ISNUMBER(MATCH(LEFT(BT221,255),{"0000a","000a","00a","0000aa","000aa","00aa","0aa","0000aaa","000aaa","00a00","0a00","0000-0000","00:00","a00","a0","00.00.0000","00/00/0000","00-00-0000","0000-00-00","0000/00/00","0000.00.00","00.00.00","00/00/00","00-00-00","0.00.0000","0/00/0000","0-00-0000"},0)))),NOT(OR(AND(BW221&lt;&gt;"",SUBSTITUTE(BW221,"0","")=""),AND(LEN(BW221)&gt;=4,BW221=REPT(LEFT(BW221),LEN(BW221))),ISNUMBER(MATCH(BW221,{"123","1234","12345","123456","1234567","12345678","0123","01234","012345","98765","987654","54321"},0)),ISNUMBER(MATCH(BX221,{"x","xx","xxx","xxxx","xxxxx","abc","abcd","nil","na","nan","test","tbc","tba","tbd","dummy","sample","example","eg","zz","zzz","none","null","xyz","qwe","asd","id","ref"},0)),AND(LEN(BW221)=8,BX221="",OR(LEFT(BW221,3)="202",ISNUMBER(MATCH(RIGHT(BW221,4),{"2025","2026","2027"},0)))))),OR(AND((LEN(BT221)-LEN(SUBSTITUTE(BT221,"a","")))&gt;=1,(LEN(BN221)-LEN(SUBSTITUTE(BN221,"0","")))&gt;=2,SUMPRODUCT(--ISNUMBER(SEARCH({"a0","a-0","a_0","a/0","a.0","a#0","0a","0-a","0_a","0/a"},BN221)))&gt;0),AND((LEN(BN221)-LEN(SUBSTITUTE(BN221,"a","")))=0,(LEN(BN221)-LEN(SUBSTITUTE(BN221,"0","")))&gt;=5)))),1,0),0)</f>
        <v>0</v>
      </c>
      <c r="CA2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221,"revision",""),"version",""),"jan",""),"feb",""),"mar",""),"apr",""),"may",""),"jun",""),"jul",""),"aug",""),"sep",""),"oct",""),"nov",""),"dec",""),"utc",""),"gmt",""),"myt",""),"bst",""),"rev",""),"ver",""),"b","a"),"c","a"),"d","a"),"e","a"),"f","a"),"g","a"),"h","a"),"i","a"),"j","a"),"k","a"),"l","a"),"m","a"),"n","a"),"o","a"),"p","a"),"q","a"),"r","a"),"s","a"),"t","a"),"u","a"),"v","a"),"w","a"),"x","a"),"y","a"),"z","a")</f>
        <v/>
      </c>
      <c r="CB2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221&amp;""),"a",""),"b",""),"c",""),"d",""),"e",""),"f",""),"g",""),"h",""),"i",""),"j",""),"k",""),"l",""),"m",""),"n",""),"o",""),"p",""),"q",""),"r",""),"s",""),"t",""),"u",""),"v",""),"w",""),"x",""),"y",""),"z",""),"-",""),"_",""),"/",""),".",""),"#",""),"\\",""),":","")," ",""),"(",""),")","")</f>
        <v/>
      </c>
      <c r="CC221" s="0" t="str">
        <f aca="false">" "&amp;TRIM(SUBSTITUTE(SUBSTITUTE(SUBSTITUTE(SUBSTITUTE(SUBSTITUTE(SUBSTITUTE(SUBSTITUTE(SUBSTITUTE(SUBSTITUTE(SUBSTITUTE(SUBSTITUTE(SUBSTITUTE(SUBSTITUTE(SUBSTITUTE(SUBSTITUTE(SUBSTITUTE(SUBSTITUTE(SUBSTITUTE(SUBSTITUTE(SUBSTITUTE(SUBSTITUTE(SUBSTITUTE(SUBSTITUTE(SUBSTITUTE(LOWER(T221&amp;""),CHAR(10)," "),CHAR(13)," "),CHAR(9)," "),CHAR(160)," "),"."," "),","," "),"-"," "),"/"," "),"("," "),")"," "),":"," "),";"," "),"_"," "),"–"," "),"?"," "),"!"," "),"*"," "),"["," "),"]"," "),"'"," "),"#"," "),"+"," "),"&amp;"," "),"\"," "))&amp;" "</f>
        <v>  </v>
      </c>
      <c r="CD221" s="0" t="str">
        <f aca="false">" "&amp;TRIM(SUBSTITUTE(SUBSTITUTE(SUBSTITUTE(SUBSTITUTE(SUBSTITUTE(SUBSTITUTE(SUBSTITUTE(SUBSTITUTE(SUBSTITUTE(SUBSTITUTE(SUBSTITUTE(SUBSTITUTE(SUBSTITUTE(SUBSTITUTE(SUBSTITUTE(SUBSTITUTE(SUBSTITUTE(SUBSTITUTE(SUBSTITUTE(SUBSTITUTE(SUBSTITUTE(SUBSTITUTE(SUBSTITUTE(SUBSTITUTE(LOWER(AE221&amp;""),CHAR(10)," "),CHAR(13)," "),CHAR(9)," "),CHAR(160)," "),"."," "),","," "),"-"," "),"/"," "),"("," "),")"," "),":"," "),";"," "),"_"," "),"–"," "),"?"," "),"!"," "),"*"," "),"["," "),"]"," "),"'"," "),"#"," "),"+"," "),"&amp;"," "),"\"," "))&amp;" "</f>
        <v>  </v>
      </c>
      <c r="CE221" s="68" t="n">
        <f aca="false">IFERROR(IF(AND(LEN(AU221)&gt;0,LEN(AU221)=LEN(AX221),OR(TRIM(MID(SUBSTITUTE(TRIM(CC221)," ",REPT(" ",60)),1,60))="",ISNUMBER(SEARCH(" "&amp;TRIM(MID(SUBSTITUTE(TRIM(CC221)," ",REPT(" ",60)),1,60))&amp;" ",CD221))),OR(TRIM(MID(SUBSTITUTE(TRIM(CC221)," ",REPT(" ",60)),61,60))="",ISNUMBER(SEARCH(" "&amp;TRIM(MID(SUBSTITUTE(TRIM(CC221)," ",REPT(" ",60)),61,60))&amp;" ",CD221))),OR(TRIM(MID(SUBSTITUTE(TRIM(CC221)," ",REPT(" ",60)),121,60))="",ISNUMBER(SEARCH(" "&amp;TRIM(MID(SUBSTITUTE(TRIM(CC221)," ",REPT(" ",60)),121,60))&amp;" ",CD221)))),1,0),0)</f>
        <v>0</v>
      </c>
      <c r="CG221" s="68" t="n">
        <f aca="false">IFERROR(LEN(SUBSTITUTE(BF221," ",""))-SUMPRODUCT((LEN(BF221)-LEN(SUBSTITUTE(BF221," "&amp;L_NAFiller&amp;" "," ")))/(LEN(L_NAFiller)+1)*LEN(L_NAFiller)),0)</f>
        <v>0</v>
      </c>
    </row>
    <row r="222" customFormat="false" ht="91.5" hidden="false" customHeight="true" outlineLevel="0" collapsed="false">
      <c r="A222" s="57" t="s">
        <v>783</v>
      </c>
      <c r="B222" s="57" t="s">
        <v>235</v>
      </c>
      <c r="C222" s="57" t="str">
        <f aca="false">Flights!$F$11</f>
        <v>MH0003</v>
      </c>
      <c r="D222" s="58" t="n">
        <f aca="false">Flights!$D$11</f>
        <v>46304</v>
      </c>
      <c r="E222" s="57" t="str">
        <f aca="false">Flights!$G$11&amp;"-"&amp;Flights!$H$11</f>
        <v>LHR-KUL</v>
      </c>
      <c r="F222" s="57" t="str">
        <f aca="false">Flights!$K$11</f>
        <v>BC</v>
      </c>
      <c r="G222" s="57" t="s">
        <v>81</v>
      </c>
      <c r="H222" s="57" t="s">
        <v>378</v>
      </c>
      <c r="I222" s="57" t="s">
        <v>411</v>
      </c>
      <c r="J222" s="57" t="s">
        <v>784</v>
      </c>
      <c r="K222" s="67" t="s">
        <v>785</v>
      </c>
      <c r="L222" s="67" t="s">
        <v>674</v>
      </c>
      <c r="M222" s="67"/>
      <c r="N222" s="67" t="s">
        <v>444</v>
      </c>
      <c r="O222" s="67" t="s">
        <v>786</v>
      </c>
      <c r="P222" s="57" t="s">
        <v>187</v>
      </c>
      <c r="Q222" s="59" t="n">
        <f aca="false">ROUND((Flights!$AC$11)*1440,0)/1440</f>
        <v>46297.4166666667</v>
      </c>
      <c r="R222" s="59" t="n">
        <f aca="false">Q222+(IF(AND(INDEX(TZ_DSTS,MATCH(P222,TZ_STN,0))&lt;&gt;"",Q222&gt;=INDEX(TZ_DSTS,MATCH(P222,TZ_STN,0)),Q222&lt;INDEX(TZ_DSTE,MATCH(P222,TZ_STN,0))),INDEX(TZ_DST,MATCH(P222,TZ_STN,0)),INDEX(TZ_STD,MATCH(P222,TZ_STN,0))))/24</f>
        <v>46297.75</v>
      </c>
      <c r="S222" s="60"/>
      <c r="T222" s="60"/>
      <c r="U222" s="60"/>
      <c r="V222" s="60"/>
      <c r="W222" s="61"/>
      <c r="X222" s="60"/>
      <c r="Y222" s="60"/>
      <c r="Z222" s="60"/>
      <c r="AA222" s="60"/>
      <c r="AB222" s="60"/>
      <c r="AC222" s="60"/>
      <c r="AD222" s="66"/>
      <c r="AE222" s="60"/>
      <c r="AF222" s="61" t="str">
        <f aca="false">IF(AND(ISNUMBER(X222),ISNUMBER(Y222)),Y222-X222,"")</f>
        <v/>
      </c>
      <c r="AG222" s="62" t="str">
        <f aca="false">IF(ISNUMBER(AD222),AD222-(IF(AND(INDEX(TZ_DSTS,MATCH(P222,TZ_STN,0))&lt;&gt;"",(AD222-INDEX(TZ_STD,MATCH(P222,TZ_STN,0))/24)&gt;=INDEX(TZ_DSTS,MATCH(P222,TZ_STN,0)),(AD222-INDEX(TZ_STD,MATCH(P222,TZ_STN,0))/24)&lt;INDEX(TZ_DSTE,MATCH(P222,TZ_STN,0))),INDEX(TZ_DST,MATCH(P222,TZ_STN,0)),INDEX(TZ_STD,MATCH(P222,TZ_STN,0))))/24,"")</f>
        <v/>
      </c>
      <c r="AH222" s="65" t="str">
        <f aca="false">IFERROR(IF(N222="N/A – rule",IF(OR(TRIM(U222)="",TRIM(U222)="N/A",TRIM(U222)="Not started"),"N/A – RULE","INVALID – this check does not apply to this aircraft: clear the status (or correct the fleet on Flights)"),IF(TRIM(U222)="N/A",IF(AT222=0,"INVALID – N/A not permitted for this check",IF(AND(TRIM(AB222)&lt;&gt;"",TRIM(AB222)&lt;&gt;"Closed"),"INVALID – corrective action still open",IF(AND(NOT(OR(LEN(AZ222)&lt;15,ISNUMBER(MATCH(AZ222,L_Placeholder,0)))),BK222=0,CG222&gt;=8,NOT(OR(LEN(AU222)&lt;2,ISNUMBER(MATCH(AU222,L_Placeholder,0)))),BR222&gt;=3,NOT(OR(LEN(AX222)&lt;2,ISNUMBER(MATCH(AX222,L_Placeholder,0)))),BS222&gt;=3,TRIM(AE222)&lt;&gt;TRIM(T222),AX222&lt;&gt;AU222,CE222=0),"N/A – JUSTIFIED","INVALID – N/A needs a real, settled reason (not 'not applicable' / 'as above' / TBC), a named PIC and a different named verifier"))),IF(OR(TRIM(U222)="Pass",TRIM(U222)="Pass after CA"),IF(NOT(ISNUMBER(AD222)),"INVALID – completion time missing",IF(OR(OR(LEN(AU222)&lt;2,ISNUMBER(MATCH(AU222,L_Placeholder,0))),BR222&lt;3),"INVALID – PIC missing or not a named person (a role such as QA / CSM is not a name)",IF(OR(LEN(AV222)&lt;2,ISNUMBER(MATCH(AV222,L_Placeholder,0))),"INVALID – result / assessment missing",IF(OR(OR(LEN(AW222)&lt;3,ISNUMBER(MATCH(AW222,L_Placeholder,0))),SUMPRODUCT(--ISNUMBER(SEARCH(" "&amp;L_EvidencePhrase&amp;" ",BD222)))&gt;0,BI222=1),"INVALID – evidence missing, placeholder or not yet on file",IF(ISNA(MATCH(TRIM(S222),L_EvidenceType,0)),"INVALID – choose the evidence type from the list (column S)",IF(BL222=0,"INVALID – evidence ID must be the record's own ID only (e.g. SF-2210, IMG_2231, 1045521); a link / file name needs type 'Link / file path'",IF(OR(OR(LEN(AX222)&lt;2,ISNUMBER(MATCH(AX222,L_Placeholder,0))),BS222&lt;3),"INVALID – verifier missing or not a named person (a role such as QA / CSM is not a name)",IF(OR(AX222=AU222,CE222=1,AND(LEN(AU222)&gt;=4,ISNUMBER(SEARCH(AU222,AX222))),AND(LEN(AX222)&gt;=4,ISNUMBER(SEARCH(AX222,AU222)))),"INVALID – verifier must be a different, named person (not the PIC or a role)",IF(BH222=1,"INVALID – result not yet available (awaiting / TBC)",IF(BG222=1,"INVALID – result describes a problem: record Fail, then Pass after CA (or reword if it is not a problem)",IF(BV222=1,"INVALID – wording says not on board: an on-board confirmation needs the item loaded",IF(AND(AQ222=1,OR(OR(LEN(AY222)&lt;3,ISNUMBER(MATCH(AY222,L_Placeholder,0))),BJ222=1,BQ222=0)),"INVALID – batch ID missing, placeholder or not an ID (e.g. PASB-261008-BC-017)",IF(AND(AR222=1,OR(NOT(ISNUMBER(X222)),NOT(ISNUMBER(Y222)))),"INVALID – expected/actual qty missing",IF(AND(AR222=1,OR(X222&lt;=0,Y222&lt;0)),"INVALID – expected qty must be above 0 and actual not negative",IF(BB222&lt;&gt;"",BB222,IF(AND(AS222=1,Documents!$J$11&lt;&gt;"ON FILE"),"INVALID – GLD not on file (Documents sheet)",IF(AND(AS222=2,Documents!$O$11&lt;&gt;"ON FILE"),"INVALID – menu checklist not on file (Documents sheet)",IF(AND(AS222=3,NOT(ISNUMBER(Flights!$AX$11))),"INVALID – enter carrying flight KUL departure (Flights AX)",IF(AND(AS222=3,OR(Flights!$AZ$11&gt;Flights!$AA$11,Flights!$AX$11&lt;Flights!$AA$11-3)),"INVALID – carrying flight (Flights AX) cannot arrive before this leg's STD, or is over 3 days early",IF(AG222&gt;AsOfUTC,"INVALID – completion time is in the future",IF(AND(ISNUMBER(BY222),AG222&lt;BY222),IF(H222="Physical uplift","INVALID – before uplift window (cannot confirm loading)","INVALID – before valid window"),IF(AG222&gt;Flights!$AA$11,"INVALID – completed after departure (cannot establish readiness)",IF(AND(H222="Preparation",AG222&gt;=IF(ISNUMBER(Flights!$BA$11),MIN(Flights!$BA$11,Flights!$AA$11),Flights!$AA$11)),"INVALID – completed after loading / departure (cannot establish readiness)",IF(AND(H222="Physical uplift",AG222&gt;Q222),"INVALID – recorded after the loading flight departed",IF(AG222&gt;Q222,"COMPLETE – LATE","COMPLETE"))))))))))))))))))))))))),IF(TRIM(U222)="Fail","FAIL – DISCREPANCY",IF(AND(TRIM(U222)&lt;&gt;"",TRIM(U222)&lt;&gt;"Not started",TRIM(U222)&lt;&gt;"In progress"),"INVALID – unrecognised status (use the list)",IF(AsOfUTC&gt;Q222,"OVERDUE",IF(N222="Clarification required","OPEN – CLARIFICATION","OPEN"))))))),"INVALID – error value in an input cell")</f>
        <v>OPEN – CLARIFICATION</v>
      </c>
      <c r="AI222" s="61" t="n">
        <f aca="false">IF(OR(AH222="N/A – RULE",AH222="N/A – JUSTIFIED"),0,1)</f>
        <v>1</v>
      </c>
      <c r="AJ222" s="61" t="n">
        <f aca="false">IF(LEFT(AH222,8)="COMPLETE",1,0)</f>
        <v>0</v>
      </c>
      <c r="AK222" s="61" t="n">
        <f aca="false">IF(AND(AI222=1,AJ222=0,AsOfUTC&gt;Q222),1,0)</f>
        <v>0</v>
      </c>
      <c r="AL222" s="61" t="n">
        <f aca="false">IFERROR(IF(AND(AI222=1,OR(TRIM(U222)="Fail",AND(TRIM(AB222)&lt;&gt;"",TRIM(AB222)&lt;&gt;"Closed"),AND(ISNUMBER(AF222),AF222&lt;&gt;0,TRIM(U222)&lt;&gt;"Pass after CA"))),1,0),1)</f>
        <v>0</v>
      </c>
      <c r="AM222" s="61" t="n">
        <f aca="false">IF(LEFT(AH222,7)="INVALID",1,0)</f>
        <v>0</v>
      </c>
      <c r="AN222" s="61" t="n">
        <f aca="false">IF(AND(N222="Clarification required",AI222=1,AJ222=0),1,0)</f>
        <v>1</v>
      </c>
      <c r="AO222" s="61" t="str">
        <f aca="false">IF(AK222=1,SUM(AK$5:AK222),"")</f>
        <v/>
      </c>
      <c r="AP222" s="61" t="str">
        <f aca="false">IF(AL222=1,SUM(AL$5:AL222),"")</f>
        <v/>
      </c>
      <c r="AQ222" s="61" t="n">
        <v>0</v>
      </c>
      <c r="AR222" s="61" t="n">
        <v>0</v>
      </c>
      <c r="AS222" s="61" t="n">
        <v>3</v>
      </c>
      <c r="AT222" s="61" t="n">
        <v>0</v>
      </c>
      <c r="AU222" s="61" t="str">
        <f aca="false">SUBSTITUTE(SUBSTITUTE(SUBSTITUTE(SUBSTITUTE(SUBSTITUTE(SUBSTITUTE(SUBSTITUTE(SUBSTITUTE(SUBSTITUTE(SUBSTITUTE(SUBSTITUTE(SUBSTITUTE(SUBSTITUTE(SUBSTITUTE(SUBSTITUTE(SUBSTITUTE(LOWER(T222&amp;""),CHAR(10),""),CHAR(13),""),CHAR(9),""),CHAR(160),"")," ",""),".",""),"-",""),"/",""),"?",""),"_",""),",",""),"[",""),"]",""),"(",""),")",""),"*","")</f>
        <v/>
      </c>
      <c r="AV222" s="61" t="str">
        <f aca="false">SUBSTITUTE(SUBSTITUTE(SUBSTITUTE(SUBSTITUTE(SUBSTITUTE(SUBSTITUTE(SUBSTITUTE(SUBSTITUTE(SUBSTITUTE(SUBSTITUTE(SUBSTITUTE(SUBSTITUTE(SUBSTITUTE(SUBSTITUTE(SUBSTITUTE(SUBSTITUTE(LOWER(V222&amp;""),CHAR(10),""),CHAR(13),""),CHAR(9),""),CHAR(160),"")," ",""),".",""),"-",""),"/",""),"?",""),"_",""),",",""),"[",""),"]",""),"(",""),")",""),"*","")</f>
        <v/>
      </c>
      <c r="AW222" s="61" t="str">
        <f aca="false">SUBSTITUTE(SUBSTITUTE(SUBSTITUTE(SUBSTITUTE(SUBSTITUTE(SUBSTITUTE(SUBSTITUTE(SUBSTITUTE(SUBSTITUTE(SUBSTITUTE(SUBSTITUTE(SUBSTITUTE(SUBSTITUTE(SUBSTITUTE(SUBSTITUTE(SUBSTITUTE(LOWER(Z222&amp;""),CHAR(10),""),CHAR(13),""),CHAR(9),""),CHAR(160),"")," ",""),".",""),"-",""),"/",""),"?",""),"_",""),",",""),"[",""),"]",""),"(",""),")",""),"*","")</f>
        <v/>
      </c>
      <c r="AX222" s="61" t="str">
        <f aca="false">SUBSTITUTE(SUBSTITUTE(SUBSTITUTE(SUBSTITUTE(SUBSTITUTE(SUBSTITUTE(SUBSTITUTE(SUBSTITUTE(SUBSTITUTE(SUBSTITUTE(SUBSTITUTE(SUBSTITUTE(SUBSTITUTE(SUBSTITUTE(SUBSTITUTE(SUBSTITUTE(LOWER(AE222&amp;""),CHAR(10),""),CHAR(13),""),CHAR(9),""),CHAR(160),"")," ",""),".",""),"-",""),"/",""),"?",""),"_",""),",",""),"[",""),"]",""),"(",""),")",""),"*","")</f>
        <v/>
      </c>
      <c r="AY222" s="61" t="str">
        <f aca="false">SUBSTITUTE(SUBSTITUTE(SUBSTITUTE(SUBSTITUTE(SUBSTITUTE(SUBSTITUTE(SUBSTITUTE(SUBSTITUTE(SUBSTITUTE(SUBSTITUTE(SUBSTITUTE(SUBSTITUTE(SUBSTITUTE(SUBSTITUTE(SUBSTITUTE(SUBSTITUTE(LOWER(W222&amp;""),CHAR(10),""),CHAR(13),""),CHAR(9),""),CHAR(160),"")," ",""),".",""),"-",""),"/",""),"?",""),"_",""),",",""),"[",""),"]",""),"(",""),")",""),"*","")</f>
        <v/>
      </c>
      <c r="AZ222" s="61" t="str">
        <f aca="false">SUBSTITUTE(SUBSTITUTE(SUBSTITUTE(SUBSTITUTE(SUBSTITUTE(SUBSTITUTE(SUBSTITUTE(SUBSTITUTE(SUBSTITUTE(SUBSTITUTE(SUBSTITUTE(SUBSTITUTE(SUBSTITUTE(SUBSTITUTE(SUBSTITUTE(SUBSTITUTE(LOWER(AC222&amp;""),CHAR(10),""),CHAR(13),""),CHAR(9),""),CHAR(160),"")," ",""),".",""),"-",""),"/",""),"?",""),"_",""),",",""),"[",""),"]",""),"(",""),")",""),"*","")</f>
        <v/>
      </c>
      <c r="BA222" s="61" t="str">
        <f aca="false">SUBSTITUTE(SUBSTITUTE(SUBSTITUTE(SUBSTITUTE(SUBSTITUTE(SUBSTITUTE(SUBSTITUTE(SUBSTITUTE(SUBSTITUTE(SUBSTITUTE(SUBSTITUTE(SUBSTITUTE(SUBSTITUTE(SUBSTITUTE(SUBSTITUTE(SUBSTITUTE(LOWER(AA222&amp;""),CHAR(10),""),CHAR(13),""),CHAR(9),""),CHAR(160),"")," ",""),".",""),"-",""),"/",""),"?",""),"_",""),",",""),"[",""),"]",""),"(",""),")",""),"*","")</f>
        <v/>
      </c>
      <c r="BB222" s="61" t="str">
        <f aca="false">IF(AND(TRIM(U222)="Pass",ISNUMBER(AF222)),IF(AF222&lt;&gt;0,"INVALID – qty variance: use Fail or Pass after CA",""),"")&amp;IF(AND(TRIM(U222)="Pass after CA",ISNUMBER(AF222)),IF(AF222&lt;&gt;0,"INVALID – after the corrective action the actual qty must equal expected (update Actual)",""),"")&amp;IF(AND(TRIM(U222)="Pass",TRIM(AB222)&lt;&gt;"",TRIM(AB222)&lt;&gt;"Closed"),"INVALID – corrective action not closed: use Fail, then Pass after CA","")&amp;IF(AND(LEN(BA222)&gt;=2,ISNA(MATCH(LEFT(BA222,255),L_Placeholder,0)),TRIM(AB222)=""),"INVALID – CA status missing for the recorded corrective action","")&amp;IF(AND(TRIM(U222)="Pass after CA",OR(OR(LEN(BA222)&lt;5,ISNUMBER(MATCH(BA222,L_Placeholder,0))),TRIM(AB222)&lt;&gt;"Closed")),"INVALID – corrective action not recorded/closed","")</f>
        <v/>
      </c>
      <c r="BC222" s="61" t="str">
        <f aca="false">" "&amp;TRIM(SUBSTITUTE(SUBSTITUTE(SUBSTITUTE(SUBSTITUTE(SUBSTITUTE(SUBSTITUTE(SUBSTITUTE(SUBSTITUTE(SUBSTITUTE(SUBSTITUTE(SUBSTITUTE(SUBSTITUTE(SUBSTITUTE(SUBSTITUTE(SUBSTITUTE(SUBSTITUTE(SUBSTITUTE(SUBSTITUTE(SUBSTITUTE(SUBSTITUTE(SUBSTITUTE(SUBSTITUTE(SUBSTITUTE(SUBSTITUTE(LOWER(V222&amp;""),CHAR(10)," "),CHAR(13)," "),CHAR(9)," "),CHAR(160)," "),"."," "),","," "),"-"," "),"/"," "),"("," "),")"," "),":"," "),";"," "),"_"," "),"–"," "),"?"," "),"!"," "),"*"," "),"["," "),"]"," "),"'"," "),"#"," "),"+"," "),"&amp;"," "),"\"," "))&amp;" "</f>
        <v>  </v>
      </c>
      <c r="BD222" s="61" t="str">
        <f aca="false">" "&amp;TRIM(SUBSTITUTE(SUBSTITUTE(SUBSTITUTE(SUBSTITUTE(SUBSTITUTE(SUBSTITUTE(SUBSTITUTE(SUBSTITUTE(SUBSTITUTE(SUBSTITUTE(SUBSTITUTE(SUBSTITUTE(SUBSTITUTE(SUBSTITUTE(SUBSTITUTE(SUBSTITUTE(SUBSTITUTE(SUBSTITUTE(SUBSTITUTE(SUBSTITUTE(SUBSTITUTE(SUBSTITUTE(SUBSTITUTE(SUBSTITUTE(LOWER(Z222&amp;""),CHAR(10)," "),CHAR(13)," "),CHAR(9)," "),CHAR(160)," "),"."," "),","," "),"-"," "),"/"," "),"("," "),")"," "),":"," "),";"," "),"_"," "),"–"," "),"?"," "),"!"," "),"*"," "),"["," "),"]"," "),"'"," "),"#"," "),"+"," "),"&amp;"," "),"\"," "))&amp;" "</f>
        <v>  </v>
      </c>
      <c r="BE222" s="61" t="str">
        <f aca="false">" "&amp;TRIM(SUBSTITUTE(SUBSTITUTE(SUBSTITUTE(SUBSTITUTE(SUBSTITUTE(SUBSTITUTE(SUBSTITUTE(SUBSTITUTE(SUBSTITUTE(SUBSTITUTE(SUBSTITUTE(SUBSTITUTE(SUBSTITUTE(SUBSTITUTE(SUBSTITUTE(SUBSTITUTE(SUBSTITUTE(SUBSTITUTE(SUBSTITUTE(SUBSTITUTE(SUBSTITUTE(SUBSTITUTE(SUBSTITUTE(SUBSTITUTE(LOWER(W222&amp;""),CHAR(10)," "),CHAR(13)," "),CHAR(9)," "),CHAR(160)," "),"."," "),","," "),"-"," "),"/"," "),"("," "),")"," "),":"," "),";"," "),"_"," "),"–"," "),"?"," "),"!"," "),"*"," "),"["," "),"]"," "),"'"," "),"#"," "),"+"," "),"&amp;"," "),"\"," "))&amp;" "</f>
        <v>  </v>
      </c>
      <c r="BF222" s="61" t="str">
        <f aca="false">" "&amp;TRIM(SUBSTITUTE(SUBSTITUTE(SUBSTITUTE(SUBSTITUTE(SUBSTITUTE(SUBSTITUTE(SUBSTITUTE(SUBSTITUTE(SUBSTITUTE(SUBSTITUTE(SUBSTITUTE(SUBSTITUTE(SUBSTITUTE(SUBSTITUTE(SUBSTITUTE(SUBSTITUTE(SUBSTITUTE(SUBSTITUTE(SUBSTITUTE(SUBSTITUTE(SUBSTITUTE(SUBSTITUTE(SUBSTITUTE(SUBSTITUTE(LOWER(AC222&amp;""),CHAR(10)," "),CHAR(13)," "),CHAR(9)," "),CHAR(160)," "),"."," "),","," "),"-"," "),"/"," "),"("," "),")"," "),":"," "),";"," "),"_"," "),"–"," "),"?"," "),"!"," "),"*"," "),"["," "),"]"," "),"'"," "),"#"," "),"+"," "),"&amp;"," "),"\"," "))&amp;" "</f>
        <v>  </v>
      </c>
      <c r="BG222" s="61" t="n">
        <f aca="false">IFERROR(IF(AND(TRIM(U222)="Pass",SUMPRODUCT((LEN(BC222)-LEN(SUBSTITUTE(BC222," "&amp;L_ResultBad&amp;" "," ")))/(LEN(L_ResultBad)+1))&gt;SUMPRODUCT((LEN(BC222)-LEN(SUBSTITUTE(BC222," "&amp;L_NegPhrase&amp;" "," ")))/(LEN(L_NegPhrase)+1))),1,0),0)</f>
        <v>0</v>
      </c>
      <c r="BH222" s="61" t="n">
        <f aca="false">IFERROR(IF(SUMPRODUCT((LEN(BC222)-LEN(SUBSTITUTE(BC222," "&amp;L_Pending&amp;" "," ")))/(LEN(L_Pending)+1))&gt;SUMPRODUCT((LEN(BC222)-LEN(SUBSTITUTE(BC222," "&amp;L_PendNeg&amp;" "," ")))/(LEN(L_PendNeg)+1))+SUMPRODUCT((LEN(BC222)-LEN(SUBSTITUTE(BC222," "&amp;L_PendPrep&amp;" "," ")))/(LEN(L_PendPrep)+1)),1,0),1)</f>
        <v>0</v>
      </c>
      <c r="BI222" s="61" t="n">
        <f aca="false">IFERROR(IF(SUMPRODUCT((LEN(BD222)-LEN(SUBSTITUTE(BD222," "&amp;L_PendStrict&amp;" "," ")))/(LEN(L_PendStrict)+1))&gt;SUMPRODUCT((LEN(BD222)-LEN(SUBSTITUTE(BD222," "&amp;L_PendNeg&amp;" "," ")))/(LEN(L_PendNeg)+1)),1,0),1)</f>
        <v>0</v>
      </c>
      <c r="BJ222" s="61" t="n">
        <f aca="false">IFERROR(IF(SUMPRODUCT((LEN(BE222)-LEN(SUBSTITUTE(BE222," "&amp;L_Pending&amp;" "," ")))/(LEN(L_Pending)+1))&gt;SUMPRODUCT((LEN(BE222)-LEN(SUBSTITUTE(BE222," "&amp;L_PendNeg&amp;" "," ")))/(LEN(L_PendNeg)+1))+SUMPRODUCT((LEN(BE222)-LEN(SUBSTITUTE(BE222," "&amp;L_PendPrep&amp;" "," ")))/(LEN(L_PendPrep)+1)),1,0),1)</f>
        <v>0</v>
      </c>
      <c r="BK222" s="61" t="n">
        <f aca="false">IFERROR(IF(SUMPRODUCT((LEN(BF222)-LEN(SUBSTITUTE(BF222," "&amp;L_PendStrict&amp;" "," ")))/(LEN(L_PendStrict)+1))&gt;SUMPRODUCT((LEN(BF222)-LEN(SUBSTITUTE(BF222," "&amp;L_PendNeg&amp;" "," ")))/(LEN(L_PendNeg)+1)),1,0),1)</f>
        <v>0</v>
      </c>
      <c r="BL222" s="61" t="n">
        <f aca="false">IF(ISNA(MATCH(TRIM(S222),L_EvidenceType,0)),0,BZ222)</f>
        <v>0</v>
      </c>
      <c r="BM222" s="61" t="str">
        <f aca="false">SUBSTITUTE(SUBSTITUTE(SUBSTITUTE(SUBSTITUTE(SUBSTITUTE(SUBSTITUTE(SUBSTITUTE(SUBSTITUTE(SUBSTITUTE(LOWER(Z222&amp;""),"1","0"),"2","0"),"3","0"),"4","0"),"5","0"),"6","0"),"7","0"),"8","0"),"9","0")</f>
        <v/>
      </c>
      <c r="BN222" s="61" t="str">
        <f aca="false">SUBSTITUTE(SUBSTITUTE(SUBSTITUTE(SUBSTITUTE(SUBSTITUTE(SUBSTITUTE(SUBSTITUTE(SUBSTITUTE(SUBSTITUTE(SUBSTITUTE(SUBSTITUTE(SUBSTITUTE(SUBSTITUTE(SUBSTITUTE(SUBSTITUTE(SUBSTITUTE(SUBSTITUTE(SUBSTITUTE(SUBSTITUTE(SUBSTITUTE(SUBSTITUTE(SUBSTITUTE(SUBSTITUTE(SUBSTITUTE(SUBSTITUTE(BM222,"b","a"),"c","a"),"d","a"),"e","a"),"f","a"),"g","a"),"h","a"),"i","a"),"j","a"),"k","a"),"l","a"),"m","a"),"n","a"),"o","a"),"p","a"),"q","a"),"r","a"),"s","a"),"t","a"),"u","a"),"v","a"),"w","a"),"x","a"),"y","a"),"z","a")</f>
        <v/>
      </c>
      <c r="BO222" s="61" t="str">
        <f aca="false">SUBSTITUTE(SUBSTITUTE(SUBSTITUTE(SUBSTITUTE(SUBSTITUTE(SUBSTITUTE(SUBSTITUTE(SUBSTITUTE(SUBSTITUTE(LOWER(W222&amp;""),"1","0"),"2","0"),"3","0"),"4","0"),"5","0"),"6","0"),"7","0"),"8","0"),"9","0")</f>
        <v/>
      </c>
      <c r="BP222" s="61" t="str">
        <f aca="false">SUBSTITUTE(SUBSTITUTE(SUBSTITUTE(SUBSTITUTE(SUBSTITUTE(SUBSTITUTE(SUBSTITUTE(SUBSTITUTE(SUBSTITUTE(SUBSTITUTE(SUBSTITUTE(SUBSTITUTE(SUBSTITUTE(SUBSTITUTE(SUBSTITUTE(SUBSTITUTE(SUBSTITUTE(SUBSTITUTE(SUBSTITUTE(SUBSTITUTE(SUBSTITUTE(SUBSTITUTE(SUBSTITUTE(SUBSTITUTE(SUBSTITUTE(BO222,"b","a"),"c","a"),"d","a"),"e","a"),"f","a"),"g","a"),"h","a"),"i","a"),"j","a"),"k","a"),"l","a"),"m","a"),"n","a"),"o","a"),"p","a"),"q","a"),"r","a"),"s","a"),"t","a"),"u","a"),"v","a"),"w","a"),"x","a"),"y","a"),"z","a")</f>
        <v/>
      </c>
      <c r="BQ222" s="61" t="n">
        <f aca="false">IFERROR(IF(AND(ISERROR(SEARCH(" mh"," "&amp;LOWER(W222))),ISNA(MATCH(LEFT(TRIM(BP222),255),{"0000a","000a","00a","0000aa","000aa","00aa","0aa","0000aaa","000aaa","00a00","0a00","0000-0000","00:00","a00","a0","00.00.0000","00/00/0000","00-00-0000","0000-00-00","0000/00/00","0000.00.00","00.00.00","00/00/00","00-00-00","0.00.0000","0/00/0000","0-00-0000"},0)),ISNA(MATCH(LEFT(TRIM(CA222),255),{"0000a","000a","00a","0000aa","000aa","00aa","0aa","0000aaa","000aaa","00a00","0a00","0000-0000","00:00","a00","a0","00.00.0000","00/00/0000","00-00-0000","0000-00-00","0000/00/00","0000.00.00","00.00.00","00/00/00","00-00-00","0.00.0000","0/00/0000","0-00-0000"},0)),LEN(CB222)&gt;=3,NOT(OR(SUBSTITUTE(CB222,"0","")="",AND(LEN(CB222)&gt;=4,CB222=REPT(LEFT(CB222),LEN(CB222))),ISNUMBER(MATCH(CB222,{"123","1234","12345","123456","1234567","12345678","0123","01234","012345","98765","987654","54321"},0)),AND(LEN(CB222)=8,LEFT(CB222,3)="202"))),OR(AND((LEN(CA222)-LEN(SUBSTITUTE(CA222,"a","")))&gt;=1,SUMPRODUCT(--ISNUMBER(SEARCH({"a0","a-0","a_0","a/0","a.0","a#0","0a","0-a","0_a","0/a"},BP222)))&gt;0),ISNUMBER(SEARCH("000000",BP222)))),1,0),0)</f>
        <v>0</v>
      </c>
      <c r="BR222" s="61" t="n">
        <f aca="false">IFERROR(LEN(SUBSTITUTE(CC222," ",""))-SUMPRODUCT((LEN(CC222)-LEN(SUBSTITUTE(CC222," "&amp;L_Role&amp;" "," ")))/(LEN(L_Role)+1)*LEN(L_Role)),0)</f>
        <v>0</v>
      </c>
      <c r="BS222" s="61" t="n">
        <f aca="false">IFERROR(LEN(SUBSTITUTE(CD222," ",""))-SUMPRODUCT((LEN(CD222)-LEN(SUBSTITUTE(CD222," "&amp;L_Role&amp;" "," ")))/(LEN(L_Role)+1)*LEN(L_Role)),0)</f>
        <v>0</v>
      </c>
      <c r="BT2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222,"revision",""),"version",""),"jan",""),"feb",""),"mar",""),"apr",""),"may",""),"jun",""),"jul",""),"aug",""),"sep",""),"oct",""),"nov",""),"dec",""),"utc",""),"gmt",""),"myt",""),"bst",""),"rev",""),"ver",""),"b","a"),"c","a"),"d","a"),"e","a"),"f","a"),"g","a"),"h","a"),"i","a"),"j","a"),"k","a"),"l","a"),"m","a"),"n","a"),"o","a"),"p","a"),"q","a"),"r","a"),"s","a"),"t","a"),"u","a"),"v","a"),"w","a"),"x","a"),"y","a"),"z","a")</f>
        <v/>
      </c>
      <c r="BU222" s="61" t="str">
        <f aca="false">SUBSTITUTE(SUBSTITUTE(SUBSTITUTE(SUBSTITUTE(SUBSTITUTE(SUBSTITUTE(SUBSTITUTE(SUBSTITUTE(SUBSTITUTE(SUBSTITUTE(LEFT(BM222,FIND("0",BM222&amp;"0")-1),"-",""),"_",""),"/",""),".",""),"#",""),"\\",""),":","")," ",""),"(",""),")","")</f>
        <v/>
      </c>
      <c r="BV222" s="61" t="n">
        <f aca="false">0</f>
        <v>0</v>
      </c>
      <c r="BW2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222&amp;""),"a",""),"b",""),"c",""),"d",""),"e",""),"f",""),"g",""),"h",""),"i",""),"j",""),"k",""),"l",""),"m",""),"n",""),"o",""),"p",""),"q",""),"r",""),"s",""),"t",""),"u",""),"v",""),"w",""),"x",""),"y",""),"z",""),"-",""),"_",""),"/",""),".",""),"#",""),"\\",""),":","")," ",""),"(",""),")","")</f>
        <v/>
      </c>
      <c r="BX222" s="61" t="str">
        <f aca="false">SUBSTITUTE(SUBSTITUTE(SUBSTITUTE(SUBSTITUTE(SUBSTITUTE(SUBSTITUTE(SUBSTITUTE(SUBSTITUTE(SUBSTITUTE(SUBSTITUTE(SUBSTITUTE(BM222,"0",""),"-",""),"_",""),"/",""),".",""),"#",""),"\\",""),":","")," ",""),"(",""),")","")</f>
        <v/>
      </c>
      <c r="BY222" s="62" t="n">
        <f aca="false">Q222-T7EarlyD*24/24</f>
        <v>46283.4166666667</v>
      </c>
      <c r="BZ222" s="61" t="n">
        <f aca="false">IFERROR(IF(IF(TRIM(S222)="Link / file path",AND(LEN(TRIM(Z222))&gt;=5,SUMPRODUCT(--ISNUMBER(SEARCH({"http","www.","\\",":\",".pdf",".jpg",".jpeg",".png",".heic",".xls",".doc",".msg",".eml",".ppt",".txt",".zip"},Z222)))&gt;0),AND(ISERROR(FIND(" ",TRIM(Z222))),NOT(OR(SUMPRODUCT(--ISNUMBER(FIND({",",";","&amp;","+"},Z222)))&gt;0,SUMPRODUCT(--ISNUMBER(SEARCH({"0/aa","0\\aa"},BN222)))&gt;0)),NOT(SUMPRODUCT(--ISNUMBER(SEARCH({"http","www.","\\",":\",".pdf",".jpg",".jpeg",".png",".heic",".xls",".doc",".msg",".eml",".ppt",".txt",".zip"},Z222)))&gt;0),NOT(LOWER(TRIM(Z222))=LOWER(Flights!$F$11)),ISNA(MATCH(BU222,{"mh","rev","revision","ver","version","v","r","a","b","seat","tray","row","gate","bay","stand","page","pg","item","line","no","cart","galley","flight","flt","table","box","bag","oven","etd","eta","std","sta","atd","ata","qty","pax","x","time","tel","ph","mob","day","wk","week","utc","gmt","myt","lt"},0)),NOT(OR(ISNUMBER(MATCH(LEFT(BN222,255),{"0000a","000a","00a","0000aa","000aa","00aa","0aa","0000aaa","000aaa","00a00","0a00","0000-0000","00:00","a00","a0","00.00.0000","00/00/0000","00-00-0000","0000-00-00","0000/00/00","0000.00.00","00.00.00","00/00/00","00-00-00","0.00.0000","0/00/0000","0-00-0000"},0)),ISNUMBER(MATCH(LEFT(BT222,255),{"0000a","000a","00a","0000aa","000aa","00aa","0aa","0000aaa","000aaa","00a00","0a00","0000-0000","00:00","a00","a0","00.00.0000","00/00/0000","00-00-0000","0000-00-00","0000/00/00","0000.00.00","00.00.00","00/00/00","00-00-00","0.00.0000","0/00/0000","0-00-0000"},0)))),NOT(OR(AND(BW222&lt;&gt;"",SUBSTITUTE(BW222,"0","")=""),AND(LEN(BW222)&gt;=4,BW222=REPT(LEFT(BW222),LEN(BW222))),ISNUMBER(MATCH(BW222,{"123","1234","12345","123456","1234567","12345678","0123","01234","012345","98765","987654","54321"},0)),ISNUMBER(MATCH(BX222,{"x","xx","xxx","xxxx","xxxxx","abc","abcd","nil","na","nan","test","tbc","tba","tbd","dummy","sample","example","eg","zz","zzz","none","null","xyz","qwe","asd","id","ref"},0)),AND(LEN(BW222)=8,BX222="",OR(LEFT(BW222,3)="202",ISNUMBER(MATCH(RIGHT(BW222,4),{"2025","2026","2027"},0)))))),OR(AND((LEN(BT222)-LEN(SUBSTITUTE(BT222,"a","")))&gt;=1,(LEN(BN222)-LEN(SUBSTITUTE(BN222,"0","")))&gt;=2,SUMPRODUCT(--ISNUMBER(SEARCH({"a0","a-0","a_0","a/0","a.0","a#0","0a","0-a","0_a","0/a"},BN222)))&gt;0),AND((LEN(BN222)-LEN(SUBSTITUTE(BN222,"a","")))=0,(LEN(BN222)-LEN(SUBSTITUTE(BN222,"0","")))&gt;=5)))),1,0),0)</f>
        <v>0</v>
      </c>
      <c r="CA2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222,"revision",""),"version",""),"jan",""),"feb",""),"mar",""),"apr",""),"may",""),"jun",""),"jul",""),"aug",""),"sep",""),"oct",""),"nov",""),"dec",""),"utc",""),"gmt",""),"myt",""),"bst",""),"rev",""),"ver",""),"b","a"),"c","a"),"d","a"),"e","a"),"f","a"),"g","a"),"h","a"),"i","a"),"j","a"),"k","a"),"l","a"),"m","a"),"n","a"),"o","a"),"p","a"),"q","a"),"r","a"),"s","a"),"t","a"),"u","a"),"v","a"),"w","a"),"x","a"),"y","a"),"z","a")</f>
        <v/>
      </c>
      <c r="CB2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222&amp;""),"a",""),"b",""),"c",""),"d",""),"e",""),"f",""),"g",""),"h",""),"i",""),"j",""),"k",""),"l",""),"m",""),"n",""),"o",""),"p",""),"q",""),"r",""),"s",""),"t",""),"u",""),"v",""),"w",""),"x",""),"y",""),"z",""),"-",""),"_",""),"/",""),".",""),"#",""),"\\",""),":","")," ",""),"(",""),")","")</f>
        <v/>
      </c>
      <c r="CC222" s="0" t="str">
        <f aca="false">" "&amp;TRIM(SUBSTITUTE(SUBSTITUTE(SUBSTITUTE(SUBSTITUTE(SUBSTITUTE(SUBSTITUTE(SUBSTITUTE(SUBSTITUTE(SUBSTITUTE(SUBSTITUTE(SUBSTITUTE(SUBSTITUTE(SUBSTITUTE(SUBSTITUTE(SUBSTITUTE(SUBSTITUTE(SUBSTITUTE(SUBSTITUTE(SUBSTITUTE(SUBSTITUTE(SUBSTITUTE(SUBSTITUTE(SUBSTITUTE(SUBSTITUTE(LOWER(T222&amp;""),CHAR(10)," "),CHAR(13)," "),CHAR(9)," "),CHAR(160)," "),"."," "),","," "),"-"," "),"/"," "),"("," "),")"," "),":"," "),";"," "),"_"," "),"–"," "),"?"," "),"!"," "),"*"," "),"["," "),"]"," "),"'"," "),"#"," "),"+"," "),"&amp;"," "),"\"," "))&amp;" "</f>
        <v>  </v>
      </c>
      <c r="CD222" s="0" t="str">
        <f aca="false">" "&amp;TRIM(SUBSTITUTE(SUBSTITUTE(SUBSTITUTE(SUBSTITUTE(SUBSTITUTE(SUBSTITUTE(SUBSTITUTE(SUBSTITUTE(SUBSTITUTE(SUBSTITUTE(SUBSTITUTE(SUBSTITUTE(SUBSTITUTE(SUBSTITUTE(SUBSTITUTE(SUBSTITUTE(SUBSTITUTE(SUBSTITUTE(SUBSTITUTE(SUBSTITUTE(SUBSTITUTE(SUBSTITUTE(SUBSTITUTE(SUBSTITUTE(LOWER(AE222&amp;""),CHAR(10)," "),CHAR(13)," "),CHAR(9)," "),CHAR(160)," "),"."," "),","," "),"-"," "),"/"," "),"("," "),")"," "),":"," "),";"," "),"_"," "),"–"," "),"?"," "),"!"," "),"*"," "),"["," "),"]"," "),"'"," "),"#"," "),"+"," "),"&amp;"," "),"\"," "))&amp;" "</f>
        <v>  </v>
      </c>
      <c r="CE222" s="68" t="n">
        <f aca="false">IFERROR(IF(AND(LEN(AU222)&gt;0,LEN(AU222)=LEN(AX222),OR(TRIM(MID(SUBSTITUTE(TRIM(CC222)," ",REPT(" ",60)),1,60))="",ISNUMBER(SEARCH(" "&amp;TRIM(MID(SUBSTITUTE(TRIM(CC222)," ",REPT(" ",60)),1,60))&amp;" ",CD222))),OR(TRIM(MID(SUBSTITUTE(TRIM(CC222)," ",REPT(" ",60)),61,60))="",ISNUMBER(SEARCH(" "&amp;TRIM(MID(SUBSTITUTE(TRIM(CC222)," ",REPT(" ",60)),61,60))&amp;" ",CD222))),OR(TRIM(MID(SUBSTITUTE(TRIM(CC222)," ",REPT(" ",60)),121,60))="",ISNUMBER(SEARCH(" "&amp;TRIM(MID(SUBSTITUTE(TRIM(CC222)," ",REPT(" ",60)),121,60))&amp;" ",CD222)))),1,0),0)</f>
        <v>0</v>
      </c>
      <c r="CG222" s="68" t="n">
        <f aca="false">IFERROR(LEN(SUBSTITUTE(BF222," ",""))-SUMPRODUCT((LEN(BF222)-LEN(SUBSTITUTE(BF222," "&amp;L_NAFiller&amp;" "," ")))/(LEN(L_NAFiller)+1)*LEN(L_NAFiller)),0)</f>
        <v>0</v>
      </c>
    </row>
    <row r="223" customFormat="false" ht="39.75" hidden="false" customHeight="true" outlineLevel="0" collapsed="false">
      <c r="A223" s="57" t="s">
        <v>787</v>
      </c>
      <c r="B223" s="57" t="s">
        <v>235</v>
      </c>
      <c r="C223" s="57" t="str">
        <f aca="false">Flights!$F$11</f>
        <v>MH0003</v>
      </c>
      <c r="D223" s="58" t="n">
        <f aca="false">Flights!$D$11</f>
        <v>46304</v>
      </c>
      <c r="E223" s="57" t="str">
        <f aca="false">Flights!$G$11&amp;"-"&amp;Flights!$H$11</f>
        <v>LHR-KUL</v>
      </c>
      <c r="F223" s="57" t="str">
        <f aca="false">Flights!$K$11</f>
        <v>BC</v>
      </c>
      <c r="G223" s="57" t="s">
        <v>83</v>
      </c>
      <c r="H223" s="57" t="s">
        <v>378</v>
      </c>
      <c r="I223" s="57" t="s">
        <v>379</v>
      </c>
      <c r="J223" s="57" t="s">
        <v>416</v>
      </c>
      <c r="K223" s="67" t="s">
        <v>417</v>
      </c>
      <c r="L223" s="67" t="s">
        <v>418</v>
      </c>
      <c r="M223" s="67"/>
      <c r="N223" s="67" t="s">
        <v>383</v>
      </c>
      <c r="O223" s="67"/>
      <c r="P223" s="57" t="s">
        <v>186</v>
      </c>
      <c r="Q223" s="59" t="n">
        <f aca="false">ROUND((Flights!$AD$11)*1440,0)/1440</f>
        <v>46303.4166666667</v>
      </c>
      <c r="R223" s="59" t="n">
        <f aca="false">Q223+(IF(AND(INDEX(TZ_DSTS,MATCH(P223,TZ_STN,0))&lt;&gt;"",Q223&gt;=INDEX(TZ_DSTS,MATCH(P223,TZ_STN,0)),Q223&lt;INDEX(TZ_DSTE,MATCH(P223,TZ_STN,0))),INDEX(TZ_DST,MATCH(P223,TZ_STN,0)),INDEX(TZ_STD,MATCH(P223,TZ_STN,0))))/24</f>
        <v>46303.4583333333</v>
      </c>
      <c r="S223" s="60"/>
      <c r="T223" s="60"/>
      <c r="U223" s="60"/>
      <c r="V223" s="60"/>
      <c r="W223" s="60"/>
      <c r="X223" s="60"/>
      <c r="Y223" s="60"/>
      <c r="Z223" s="60"/>
      <c r="AA223" s="60"/>
      <c r="AB223" s="60"/>
      <c r="AC223" s="60"/>
      <c r="AD223" s="66"/>
      <c r="AE223" s="60"/>
      <c r="AF223" s="61" t="str">
        <f aca="false">IF(AND(ISNUMBER(X223),ISNUMBER(Y223)),Y223-X223,"")</f>
        <v/>
      </c>
      <c r="AG223" s="62" t="str">
        <f aca="false">IF(ISNUMBER(AD223),AD223-(IF(AND(INDEX(TZ_DSTS,MATCH(P223,TZ_STN,0))&lt;&gt;"",(AD223-INDEX(TZ_STD,MATCH(P223,TZ_STN,0))/24)&gt;=INDEX(TZ_DSTS,MATCH(P223,TZ_STN,0)),(AD223-INDEX(TZ_STD,MATCH(P223,TZ_STN,0))/24)&lt;INDEX(TZ_DSTE,MATCH(P223,TZ_STN,0))),INDEX(TZ_DST,MATCH(P223,TZ_STN,0)),INDEX(TZ_STD,MATCH(P223,TZ_STN,0))))/24,"")</f>
        <v/>
      </c>
      <c r="AH223" s="65" t="str">
        <f aca="false">IFERROR(IF(N223="N/A – rule",IF(OR(TRIM(U223)="",TRIM(U223)="N/A",TRIM(U223)="Not started"),"N/A – RULE","INVALID – this check does not apply to this aircraft: clear the status (or correct the fleet on Flights)"),IF(TRIM(U223)="N/A",IF(AT223=0,"INVALID – N/A not permitted for this check",IF(AND(TRIM(AB223)&lt;&gt;"",TRIM(AB223)&lt;&gt;"Closed"),"INVALID – corrective action still open",IF(AND(NOT(OR(LEN(AZ223)&lt;15,ISNUMBER(MATCH(AZ223,L_Placeholder,0)))),BK223=0,CG223&gt;=8,NOT(OR(LEN(AU223)&lt;2,ISNUMBER(MATCH(AU223,L_Placeholder,0)))),BR223&gt;=3,NOT(OR(LEN(AX223)&lt;2,ISNUMBER(MATCH(AX223,L_Placeholder,0)))),BS223&gt;=3,TRIM(AE223)&lt;&gt;TRIM(T223),AX223&lt;&gt;AU223,CE223=0),"N/A – JUSTIFIED","INVALID – N/A needs a real, settled reason (not 'not applicable' / 'as above' / TBC), a named PIC and a different named verifier"))),IF(OR(TRIM(U223)="Pass",TRIM(U223)="Pass after CA"),IF(NOT(ISNUMBER(AD223)),"INVALID – completion time missing",IF(OR(OR(LEN(AU223)&lt;2,ISNUMBER(MATCH(AU223,L_Placeholder,0))),BR223&lt;3),"INVALID – PIC missing or not a named person (a role such as QA / CSM is not a name)",IF(OR(LEN(AV223)&lt;2,ISNUMBER(MATCH(AV223,L_Placeholder,0))),"INVALID – result / assessment missing",IF(OR(OR(LEN(AW223)&lt;3,ISNUMBER(MATCH(AW223,L_Placeholder,0))),SUMPRODUCT(--ISNUMBER(SEARCH(" "&amp;L_EvidencePhrase&amp;" ",BD223)))&gt;0,BI223=1),"INVALID – evidence missing, placeholder or not yet on file",IF(ISNA(MATCH(TRIM(S223),L_EvidenceType,0)),"INVALID – choose the evidence type from the list (column S)",IF(BL223=0,"INVALID – evidence ID must be the record's own ID only (e.g. SF-2210, IMG_2231, 1045521); a link / file name needs type 'Link / file path'",IF(OR(OR(LEN(AX223)&lt;2,ISNUMBER(MATCH(AX223,L_Placeholder,0))),BS223&lt;3),"INVALID – verifier missing or not a named person (a role such as QA / CSM is not a name)",IF(OR(AX223=AU223,CE223=1,AND(LEN(AU223)&gt;=4,ISNUMBER(SEARCH(AU223,AX223))),AND(LEN(AX223)&gt;=4,ISNUMBER(SEARCH(AX223,AU223)))),"INVALID – verifier must be a different, named person (not the PIC or a role)",IF(BH223=1,"INVALID – result not yet available (awaiting / TBC)",IF(BG223=1,"INVALID – result describes a problem: record Fail, then Pass after CA (or reword if it is not a problem)",IF(BV223=1,"INVALID – wording says not on board: an on-board confirmation needs the item loaded",IF(AND(AQ223=1,OR(OR(LEN(AY223)&lt;3,ISNUMBER(MATCH(AY223,L_Placeholder,0))),BJ223=1,BQ223=0)),"INVALID – batch ID missing, placeholder or not an ID (e.g. PASB-261008-BC-017)",IF(AND(AR223=1,OR(NOT(ISNUMBER(X223)),NOT(ISNUMBER(Y223)))),"INVALID – expected/actual qty missing",IF(AND(AR223=1,OR(X223&lt;=0,Y223&lt;0)),"INVALID – expected qty must be above 0 and actual not negative",IF(BB223&lt;&gt;"",BB223,IF(AND(AS223=1,Documents!$J$11&lt;&gt;"ON FILE"),"INVALID – GLD not on file (Documents sheet)",IF(AND(AS223=2,Documents!$O$11&lt;&gt;"ON FILE"),"INVALID – menu checklist not on file (Documents sheet)",IF(AND(AS223=3,NOT(ISNUMBER(Flights!$AX$11))),"INVALID – enter carrying flight KUL departure (Flights AX)",IF(AND(AS223=3,OR(Flights!$AZ$11&gt;Flights!$AA$11,Flights!$AX$11&lt;Flights!$AA$11-3)),"INVALID – carrying flight (Flights AX) cannot arrive before this leg's STD, or is over 3 days early",IF(AG223&gt;AsOfUTC,"INVALID – completion time is in the future",IF(AND(ISNUMBER(BY223),AG223&lt;BY223),IF(H223="Physical uplift","INVALID – before uplift window (cannot confirm loading)","INVALID – before valid window"),IF(AG223&gt;Flights!$AA$11,"INVALID – completed after departure (cannot establish readiness)",IF(AND(H223="Preparation",AG223&gt;=IF(ISNUMBER(Flights!$BA$11),MIN(Flights!$BA$11,Flights!$AA$11),Flights!$AA$11)),"INVALID – completed after loading / departure (cannot establish readiness)",IF(AND(H223="Physical uplift",AG223&gt;Q223),"INVALID – recorded after the loading flight departed",IF(AG223&gt;Q223,"COMPLETE – LATE","COMPLETE"))))))))))))))))))))))))),IF(TRIM(U223)="Fail","FAIL – DISCREPANCY",IF(AND(TRIM(U223)&lt;&gt;"",TRIM(U223)&lt;&gt;"Not started",TRIM(U223)&lt;&gt;"In progress"),"INVALID – unrecognised status (use the list)",IF(AsOfUTC&gt;Q223,"OVERDUE",IF(N223="Clarification required","OPEN – CLARIFICATION","OPEN"))))))),"INVALID – error value in an input cell")</f>
        <v>OPEN</v>
      </c>
      <c r="AI223" s="61" t="n">
        <f aca="false">IF(OR(AH223="N/A – RULE",AH223="N/A – JUSTIFIED"),0,1)</f>
        <v>1</v>
      </c>
      <c r="AJ223" s="61" t="n">
        <f aca="false">IF(LEFT(AH223,8)="COMPLETE",1,0)</f>
        <v>0</v>
      </c>
      <c r="AK223" s="61" t="n">
        <f aca="false">IF(AND(AI223=1,AJ223=0,AsOfUTC&gt;Q223),1,0)</f>
        <v>0</v>
      </c>
      <c r="AL223" s="61" t="n">
        <f aca="false">IFERROR(IF(AND(AI223=1,OR(TRIM(U223)="Fail",AND(TRIM(AB223)&lt;&gt;"",TRIM(AB223)&lt;&gt;"Closed"),AND(ISNUMBER(AF223),AF223&lt;&gt;0,TRIM(U223)&lt;&gt;"Pass after CA"))),1,0),1)</f>
        <v>0</v>
      </c>
      <c r="AM223" s="61" t="n">
        <f aca="false">IF(LEFT(AH223,7)="INVALID",1,0)</f>
        <v>0</v>
      </c>
      <c r="AN223" s="61" t="n">
        <f aca="false">IF(AND(N223="Clarification required",AI223=1,AJ223=0),1,0)</f>
        <v>0</v>
      </c>
      <c r="AO223" s="61" t="str">
        <f aca="false">IF(AK223=1,SUM(AK$5:AK223),"")</f>
        <v/>
      </c>
      <c r="AP223" s="61" t="str">
        <f aca="false">IF(AL223=1,SUM(AL$5:AL223),"")</f>
        <v/>
      </c>
      <c r="AQ223" s="61" t="n">
        <v>1</v>
      </c>
      <c r="AR223" s="61" t="n">
        <v>0</v>
      </c>
      <c r="AS223" s="61" t="n">
        <v>0</v>
      </c>
      <c r="AT223" s="61" t="n">
        <v>0</v>
      </c>
      <c r="AU223" s="61" t="str">
        <f aca="false">SUBSTITUTE(SUBSTITUTE(SUBSTITUTE(SUBSTITUTE(SUBSTITUTE(SUBSTITUTE(SUBSTITUTE(SUBSTITUTE(SUBSTITUTE(SUBSTITUTE(SUBSTITUTE(SUBSTITUTE(SUBSTITUTE(SUBSTITUTE(SUBSTITUTE(SUBSTITUTE(LOWER(T223&amp;""),CHAR(10),""),CHAR(13),""),CHAR(9),""),CHAR(160),"")," ",""),".",""),"-",""),"/",""),"?",""),"_",""),",",""),"[",""),"]",""),"(",""),")",""),"*","")</f>
        <v/>
      </c>
      <c r="AV223" s="61" t="str">
        <f aca="false">SUBSTITUTE(SUBSTITUTE(SUBSTITUTE(SUBSTITUTE(SUBSTITUTE(SUBSTITUTE(SUBSTITUTE(SUBSTITUTE(SUBSTITUTE(SUBSTITUTE(SUBSTITUTE(SUBSTITUTE(SUBSTITUTE(SUBSTITUTE(SUBSTITUTE(SUBSTITUTE(LOWER(V223&amp;""),CHAR(10),""),CHAR(13),""),CHAR(9),""),CHAR(160),"")," ",""),".",""),"-",""),"/",""),"?",""),"_",""),",",""),"[",""),"]",""),"(",""),")",""),"*","")</f>
        <v/>
      </c>
      <c r="AW223" s="61" t="str">
        <f aca="false">SUBSTITUTE(SUBSTITUTE(SUBSTITUTE(SUBSTITUTE(SUBSTITUTE(SUBSTITUTE(SUBSTITUTE(SUBSTITUTE(SUBSTITUTE(SUBSTITUTE(SUBSTITUTE(SUBSTITUTE(SUBSTITUTE(SUBSTITUTE(SUBSTITUTE(SUBSTITUTE(LOWER(Z223&amp;""),CHAR(10),""),CHAR(13),""),CHAR(9),""),CHAR(160),"")," ",""),".",""),"-",""),"/",""),"?",""),"_",""),",",""),"[",""),"]",""),"(",""),")",""),"*","")</f>
        <v/>
      </c>
      <c r="AX223" s="61" t="str">
        <f aca="false">SUBSTITUTE(SUBSTITUTE(SUBSTITUTE(SUBSTITUTE(SUBSTITUTE(SUBSTITUTE(SUBSTITUTE(SUBSTITUTE(SUBSTITUTE(SUBSTITUTE(SUBSTITUTE(SUBSTITUTE(SUBSTITUTE(SUBSTITUTE(SUBSTITUTE(SUBSTITUTE(LOWER(AE223&amp;""),CHAR(10),""),CHAR(13),""),CHAR(9),""),CHAR(160),"")," ",""),".",""),"-",""),"/",""),"?",""),"_",""),",",""),"[",""),"]",""),"(",""),")",""),"*","")</f>
        <v/>
      </c>
      <c r="AY223" s="61" t="str">
        <f aca="false">SUBSTITUTE(SUBSTITUTE(SUBSTITUTE(SUBSTITUTE(SUBSTITUTE(SUBSTITUTE(SUBSTITUTE(SUBSTITUTE(SUBSTITUTE(SUBSTITUTE(SUBSTITUTE(SUBSTITUTE(SUBSTITUTE(SUBSTITUTE(SUBSTITUTE(SUBSTITUTE(LOWER(W223&amp;""),CHAR(10),""),CHAR(13),""),CHAR(9),""),CHAR(160),"")," ",""),".",""),"-",""),"/",""),"?",""),"_",""),",",""),"[",""),"]",""),"(",""),")",""),"*","")</f>
        <v/>
      </c>
      <c r="AZ223" s="61" t="str">
        <f aca="false">SUBSTITUTE(SUBSTITUTE(SUBSTITUTE(SUBSTITUTE(SUBSTITUTE(SUBSTITUTE(SUBSTITUTE(SUBSTITUTE(SUBSTITUTE(SUBSTITUTE(SUBSTITUTE(SUBSTITUTE(SUBSTITUTE(SUBSTITUTE(SUBSTITUTE(SUBSTITUTE(LOWER(AC223&amp;""),CHAR(10),""),CHAR(13),""),CHAR(9),""),CHAR(160),"")," ",""),".",""),"-",""),"/",""),"?",""),"_",""),",",""),"[",""),"]",""),"(",""),")",""),"*","")</f>
        <v/>
      </c>
      <c r="BA223" s="61" t="str">
        <f aca="false">SUBSTITUTE(SUBSTITUTE(SUBSTITUTE(SUBSTITUTE(SUBSTITUTE(SUBSTITUTE(SUBSTITUTE(SUBSTITUTE(SUBSTITUTE(SUBSTITUTE(SUBSTITUTE(SUBSTITUTE(SUBSTITUTE(SUBSTITUTE(SUBSTITUTE(SUBSTITUTE(LOWER(AA223&amp;""),CHAR(10),""),CHAR(13),""),CHAR(9),""),CHAR(160),"")," ",""),".",""),"-",""),"/",""),"?",""),"_",""),",",""),"[",""),"]",""),"(",""),")",""),"*","")</f>
        <v/>
      </c>
      <c r="BB223" s="61" t="str">
        <f aca="false">IF(AND(TRIM(U223)="Pass",ISNUMBER(AF223)),IF(AF223&lt;&gt;0,"INVALID – qty variance: use Fail or Pass after CA",""),"")&amp;IF(AND(TRIM(U223)="Pass after CA",ISNUMBER(AF223)),IF(AF223&lt;&gt;0,"INVALID – after the corrective action the actual qty must equal expected (update Actual)",""),"")&amp;IF(AND(TRIM(U223)="Pass",TRIM(AB223)&lt;&gt;"",TRIM(AB223)&lt;&gt;"Closed"),"INVALID – corrective action not closed: use Fail, then Pass after CA","")&amp;IF(AND(LEN(BA223)&gt;=2,ISNA(MATCH(LEFT(BA223,255),L_Placeholder,0)),TRIM(AB223)=""),"INVALID – CA status missing for the recorded corrective action","")&amp;IF(AND(TRIM(U223)="Pass after CA",OR(OR(LEN(BA223)&lt;5,ISNUMBER(MATCH(BA223,L_Placeholder,0))),TRIM(AB223)&lt;&gt;"Closed")),"INVALID – corrective action not recorded/closed","")</f>
        <v/>
      </c>
      <c r="BC223" s="61" t="str">
        <f aca="false">" "&amp;TRIM(SUBSTITUTE(SUBSTITUTE(SUBSTITUTE(SUBSTITUTE(SUBSTITUTE(SUBSTITUTE(SUBSTITUTE(SUBSTITUTE(SUBSTITUTE(SUBSTITUTE(SUBSTITUTE(SUBSTITUTE(SUBSTITUTE(SUBSTITUTE(SUBSTITUTE(SUBSTITUTE(SUBSTITUTE(SUBSTITUTE(SUBSTITUTE(SUBSTITUTE(SUBSTITUTE(SUBSTITUTE(SUBSTITUTE(SUBSTITUTE(LOWER(V223&amp;""),CHAR(10)," "),CHAR(13)," "),CHAR(9)," "),CHAR(160)," "),"."," "),","," "),"-"," "),"/"," "),"("," "),")"," "),":"," "),";"," "),"_"," "),"–"," "),"?"," "),"!"," "),"*"," "),"["," "),"]"," "),"'"," "),"#"," "),"+"," "),"&amp;"," "),"\"," "))&amp;" "</f>
        <v>  </v>
      </c>
      <c r="BD223" s="61" t="str">
        <f aca="false">" "&amp;TRIM(SUBSTITUTE(SUBSTITUTE(SUBSTITUTE(SUBSTITUTE(SUBSTITUTE(SUBSTITUTE(SUBSTITUTE(SUBSTITUTE(SUBSTITUTE(SUBSTITUTE(SUBSTITUTE(SUBSTITUTE(SUBSTITUTE(SUBSTITUTE(SUBSTITUTE(SUBSTITUTE(SUBSTITUTE(SUBSTITUTE(SUBSTITUTE(SUBSTITUTE(SUBSTITUTE(SUBSTITUTE(SUBSTITUTE(SUBSTITUTE(LOWER(Z223&amp;""),CHAR(10)," "),CHAR(13)," "),CHAR(9)," "),CHAR(160)," "),"."," "),","," "),"-"," "),"/"," "),"("," "),")"," "),":"," "),";"," "),"_"," "),"–"," "),"?"," "),"!"," "),"*"," "),"["," "),"]"," "),"'"," "),"#"," "),"+"," "),"&amp;"," "),"\"," "))&amp;" "</f>
        <v>  </v>
      </c>
      <c r="BE223" s="61" t="str">
        <f aca="false">" "&amp;TRIM(SUBSTITUTE(SUBSTITUTE(SUBSTITUTE(SUBSTITUTE(SUBSTITUTE(SUBSTITUTE(SUBSTITUTE(SUBSTITUTE(SUBSTITUTE(SUBSTITUTE(SUBSTITUTE(SUBSTITUTE(SUBSTITUTE(SUBSTITUTE(SUBSTITUTE(SUBSTITUTE(SUBSTITUTE(SUBSTITUTE(SUBSTITUTE(SUBSTITUTE(SUBSTITUTE(SUBSTITUTE(SUBSTITUTE(SUBSTITUTE(LOWER(W223&amp;""),CHAR(10)," "),CHAR(13)," "),CHAR(9)," "),CHAR(160)," "),"."," "),","," "),"-"," "),"/"," "),"("," "),")"," "),":"," "),";"," "),"_"," "),"–"," "),"?"," "),"!"," "),"*"," "),"["," "),"]"," "),"'"," "),"#"," "),"+"," "),"&amp;"," "),"\"," "))&amp;" "</f>
        <v>  </v>
      </c>
      <c r="BF223" s="61" t="str">
        <f aca="false">" "&amp;TRIM(SUBSTITUTE(SUBSTITUTE(SUBSTITUTE(SUBSTITUTE(SUBSTITUTE(SUBSTITUTE(SUBSTITUTE(SUBSTITUTE(SUBSTITUTE(SUBSTITUTE(SUBSTITUTE(SUBSTITUTE(SUBSTITUTE(SUBSTITUTE(SUBSTITUTE(SUBSTITUTE(SUBSTITUTE(SUBSTITUTE(SUBSTITUTE(SUBSTITUTE(SUBSTITUTE(SUBSTITUTE(SUBSTITUTE(SUBSTITUTE(LOWER(AC223&amp;""),CHAR(10)," "),CHAR(13)," "),CHAR(9)," "),CHAR(160)," "),"."," "),","," "),"-"," "),"/"," "),"("," "),")"," "),":"," "),";"," "),"_"," "),"–"," "),"?"," "),"!"," "),"*"," "),"["," "),"]"," "),"'"," "),"#"," "),"+"," "),"&amp;"," "),"\"," "))&amp;" "</f>
        <v>  </v>
      </c>
      <c r="BG223" s="61" t="n">
        <f aca="false">IFERROR(IF(AND(TRIM(U223)="Pass",SUMPRODUCT((LEN(BC223)-LEN(SUBSTITUTE(BC223," "&amp;L_ResultBad&amp;" "," ")))/(LEN(L_ResultBad)+1))&gt;SUMPRODUCT((LEN(BC223)-LEN(SUBSTITUTE(BC223," "&amp;L_NegPhrase&amp;" "," ")))/(LEN(L_NegPhrase)+1))),1,0),0)</f>
        <v>0</v>
      </c>
      <c r="BH223" s="61" t="n">
        <f aca="false">IFERROR(IF(SUMPRODUCT((LEN(BC223)-LEN(SUBSTITUTE(BC223," "&amp;L_Pending&amp;" "," ")))/(LEN(L_Pending)+1))&gt;SUMPRODUCT((LEN(BC223)-LEN(SUBSTITUTE(BC223," "&amp;L_PendNeg&amp;" "," ")))/(LEN(L_PendNeg)+1))+SUMPRODUCT((LEN(BC223)-LEN(SUBSTITUTE(BC223," "&amp;L_PendPrep&amp;" "," ")))/(LEN(L_PendPrep)+1)),1,0),1)</f>
        <v>0</v>
      </c>
      <c r="BI223" s="61" t="n">
        <f aca="false">IFERROR(IF(SUMPRODUCT((LEN(BD223)-LEN(SUBSTITUTE(BD223," "&amp;L_PendStrict&amp;" "," ")))/(LEN(L_PendStrict)+1))&gt;SUMPRODUCT((LEN(BD223)-LEN(SUBSTITUTE(BD223," "&amp;L_PendNeg&amp;" "," ")))/(LEN(L_PendNeg)+1)),1,0),1)</f>
        <v>0</v>
      </c>
      <c r="BJ223" s="61" t="n">
        <f aca="false">IFERROR(IF(SUMPRODUCT((LEN(BE223)-LEN(SUBSTITUTE(BE223," "&amp;L_Pending&amp;" "," ")))/(LEN(L_Pending)+1))&gt;SUMPRODUCT((LEN(BE223)-LEN(SUBSTITUTE(BE223," "&amp;L_PendNeg&amp;" "," ")))/(LEN(L_PendNeg)+1))+SUMPRODUCT((LEN(BE223)-LEN(SUBSTITUTE(BE223," "&amp;L_PendPrep&amp;" "," ")))/(LEN(L_PendPrep)+1)),1,0),1)</f>
        <v>0</v>
      </c>
      <c r="BK223" s="61" t="n">
        <f aca="false">IFERROR(IF(SUMPRODUCT((LEN(BF223)-LEN(SUBSTITUTE(BF223," "&amp;L_PendStrict&amp;" "," ")))/(LEN(L_PendStrict)+1))&gt;SUMPRODUCT((LEN(BF223)-LEN(SUBSTITUTE(BF223," "&amp;L_PendNeg&amp;" "," ")))/(LEN(L_PendNeg)+1)),1,0),1)</f>
        <v>0</v>
      </c>
      <c r="BL223" s="61" t="n">
        <f aca="false">IF(ISNA(MATCH(TRIM(S223),L_EvidenceType,0)),0,BZ223)</f>
        <v>0</v>
      </c>
      <c r="BM223" s="61" t="str">
        <f aca="false">SUBSTITUTE(SUBSTITUTE(SUBSTITUTE(SUBSTITUTE(SUBSTITUTE(SUBSTITUTE(SUBSTITUTE(SUBSTITUTE(SUBSTITUTE(LOWER(Z223&amp;""),"1","0"),"2","0"),"3","0"),"4","0"),"5","0"),"6","0"),"7","0"),"8","0"),"9","0")</f>
        <v/>
      </c>
      <c r="BN223" s="61" t="str">
        <f aca="false">SUBSTITUTE(SUBSTITUTE(SUBSTITUTE(SUBSTITUTE(SUBSTITUTE(SUBSTITUTE(SUBSTITUTE(SUBSTITUTE(SUBSTITUTE(SUBSTITUTE(SUBSTITUTE(SUBSTITUTE(SUBSTITUTE(SUBSTITUTE(SUBSTITUTE(SUBSTITUTE(SUBSTITUTE(SUBSTITUTE(SUBSTITUTE(SUBSTITUTE(SUBSTITUTE(SUBSTITUTE(SUBSTITUTE(SUBSTITUTE(SUBSTITUTE(BM223,"b","a"),"c","a"),"d","a"),"e","a"),"f","a"),"g","a"),"h","a"),"i","a"),"j","a"),"k","a"),"l","a"),"m","a"),"n","a"),"o","a"),"p","a"),"q","a"),"r","a"),"s","a"),"t","a"),"u","a"),"v","a"),"w","a"),"x","a"),"y","a"),"z","a")</f>
        <v/>
      </c>
      <c r="BO223" s="61" t="str">
        <f aca="false">SUBSTITUTE(SUBSTITUTE(SUBSTITUTE(SUBSTITUTE(SUBSTITUTE(SUBSTITUTE(SUBSTITUTE(SUBSTITUTE(SUBSTITUTE(LOWER(W223&amp;""),"1","0"),"2","0"),"3","0"),"4","0"),"5","0"),"6","0"),"7","0"),"8","0"),"9","0")</f>
        <v/>
      </c>
      <c r="BP223" s="61" t="str">
        <f aca="false">SUBSTITUTE(SUBSTITUTE(SUBSTITUTE(SUBSTITUTE(SUBSTITUTE(SUBSTITUTE(SUBSTITUTE(SUBSTITUTE(SUBSTITUTE(SUBSTITUTE(SUBSTITUTE(SUBSTITUTE(SUBSTITUTE(SUBSTITUTE(SUBSTITUTE(SUBSTITUTE(SUBSTITUTE(SUBSTITUTE(SUBSTITUTE(SUBSTITUTE(SUBSTITUTE(SUBSTITUTE(SUBSTITUTE(SUBSTITUTE(SUBSTITUTE(BO223,"b","a"),"c","a"),"d","a"),"e","a"),"f","a"),"g","a"),"h","a"),"i","a"),"j","a"),"k","a"),"l","a"),"m","a"),"n","a"),"o","a"),"p","a"),"q","a"),"r","a"),"s","a"),"t","a"),"u","a"),"v","a"),"w","a"),"x","a"),"y","a"),"z","a")</f>
        <v/>
      </c>
      <c r="BQ223" s="61" t="n">
        <f aca="false">IFERROR(IF(AND(ISERROR(SEARCH(" mh"," "&amp;LOWER(W223))),ISNA(MATCH(LEFT(TRIM(BP223),255),{"0000a","000a","00a","0000aa","000aa","00aa","0aa","0000aaa","000aaa","00a00","0a00","0000-0000","00:00","a00","a0","00.00.0000","00/00/0000","00-00-0000","0000-00-00","0000/00/00","0000.00.00","00.00.00","00/00/00","00-00-00","0.00.0000","0/00/0000","0-00-0000"},0)),ISNA(MATCH(LEFT(TRIM(CA223),255),{"0000a","000a","00a","0000aa","000aa","00aa","0aa","0000aaa","000aaa","00a00","0a00","0000-0000","00:00","a00","a0","00.00.0000","00/00/0000","00-00-0000","0000-00-00","0000/00/00","0000.00.00","00.00.00","00/00/00","00-00-00","0.00.0000","0/00/0000","0-00-0000"},0)),LEN(CB223)&gt;=3,NOT(OR(SUBSTITUTE(CB223,"0","")="",AND(LEN(CB223)&gt;=4,CB223=REPT(LEFT(CB223),LEN(CB223))),ISNUMBER(MATCH(CB223,{"123","1234","12345","123456","1234567","12345678","0123","01234","012345","98765","987654","54321"},0)),AND(LEN(CB223)=8,LEFT(CB223,3)="202"))),OR(AND((LEN(CA223)-LEN(SUBSTITUTE(CA223,"a","")))&gt;=1,SUMPRODUCT(--ISNUMBER(SEARCH({"a0","a-0","a_0","a/0","a.0","a#0","0a","0-a","0_a","0/a"},BP223)))&gt;0),ISNUMBER(SEARCH("000000",BP223)))),1,0),0)</f>
        <v>0</v>
      </c>
      <c r="BR223" s="61" t="n">
        <f aca="false">IFERROR(LEN(SUBSTITUTE(CC223," ",""))-SUMPRODUCT((LEN(CC223)-LEN(SUBSTITUTE(CC223," "&amp;L_Role&amp;" "," ")))/(LEN(L_Role)+1)*LEN(L_Role)),0)</f>
        <v>0</v>
      </c>
      <c r="BS223" s="61" t="n">
        <f aca="false">IFERROR(LEN(SUBSTITUTE(CD223," ",""))-SUMPRODUCT((LEN(CD223)-LEN(SUBSTITUTE(CD223," "&amp;L_Role&amp;" "," ")))/(LEN(L_Role)+1)*LEN(L_Role)),0)</f>
        <v>0</v>
      </c>
      <c r="BT2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223,"revision",""),"version",""),"jan",""),"feb",""),"mar",""),"apr",""),"may",""),"jun",""),"jul",""),"aug",""),"sep",""),"oct",""),"nov",""),"dec",""),"utc",""),"gmt",""),"myt",""),"bst",""),"rev",""),"ver",""),"b","a"),"c","a"),"d","a"),"e","a"),"f","a"),"g","a"),"h","a"),"i","a"),"j","a"),"k","a"),"l","a"),"m","a"),"n","a"),"o","a"),"p","a"),"q","a"),"r","a"),"s","a"),"t","a"),"u","a"),"v","a"),"w","a"),"x","a"),"y","a"),"z","a")</f>
        <v/>
      </c>
      <c r="BU223" s="61" t="str">
        <f aca="false">SUBSTITUTE(SUBSTITUTE(SUBSTITUTE(SUBSTITUTE(SUBSTITUTE(SUBSTITUTE(SUBSTITUTE(SUBSTITUTE(SUBSTITUTE(SUBSTITUTE(LEFT(BM223,FIND("0",BM223&amp;"0")-1),"-",""),"_",""),"/",""),".",""),"#",""),"\\",""),":","")," ",""),"(",""),")","")</f>
        <v/>
      </c>
      <c r="BV223" s="61" t="n">
        <f aca="false">0</f>
        <v>0</v>
      </c>
      <c r="BW2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223&amp;""),"a",""),"b",""),"c",""),"d",""),"e",""),"f",""),"g",""),"h",""),"i",""),"j",""),"k",""),"l",""),"m",""),"n",""),"o",""),"p",""),"q",""),"r",""),"s",""),"t",""),"u",""),"v",""),"w",""),"x",""),"y",""),"z",""),"-",""),"_",""),"/",""),".",""),"#",""),"\\",""),":","")," ",""),"(",""),")","")</f>
        <v/>
      </c>
      <c r="BX223" s="61" t="str">
        <f aca="false">SUBSTITUTE(SUBSTITUTE(SUBSTITUTE(SUBSTITUTE(SUBSTITUTE(SUBSTITUTE(SUBSTITUTE(SUBSTITUTE(SUBSTITUTE(SUBSTITUTE(SUBSTITUTE(BM223,"0",""),"-",""),"_",""),"/",""),".",""),"#",""),"\\",""),":","")," ",""),"(",""),")","")</f>
        <v/>
      </c>
      <c r="BY223" s="62" t="n">
        <f aca="false">Q223-T24EarlyH/24</f>
        <v>46302.4166666667</v>
      </c>
      <c r="BZ223" s="61" t="n">
        <f aca="false">IFERROR(IF(IF(TRIM(S223)="Link / file path",AND(LEN(TRIM(Z223))&gt;=5,SUMPRODUCT(--ISNUMBER(SEARCH({"http","www.","\\",":\",".pdf",".jpg",".jpeg",".png",".heic",".xls",".doc",".msg",".eml",".ppt",".txt",".zip"},Z223)))&gt;0),AND(ISERROR(FIND(" ",TRIM(Z223))),NOT(OR(SUMPRODUCT(--ISNUMBER(FIND({",",";","&amp;","+"},Z223)))&gt;0,SUMPRODUCT(--ISNUMBER(SEARCH({"0/aa","0\\aa"},BN223)))&gt;0)),NOT(SUMPRODUCT(--ISNUMBER(SEARCH({"http","www.","\\",":\",".pdf",".jpg",".jpeg",".png",".heic",".xls",".doc",".msg",".eml",".ppt",".txt",".zip"},Z223)))&gt;0),NOT(LOWER(TRIM(Z223))=LOWER(Flights!$F$11)),ISNA(MATCH(BU223,{"mh","rev","revision","ver","version","v","r","a","b","seat","tray","row","gate","bay","stand","page","pg","item","line","no","cart","galley","flight","flt","table","box","bag","oven","etd","eta","std","sta","atd","ata","qty","pax","x","time","tel","ph","mob","day","wk","week","utc","gmt","myt","lt"},0)),NOT(OR(ISNUMBER(MATCH(LEFT(BN223,255),{"0000a","000a","00a","0000aa","000aa","00aa","0aa","0000aaa","000aaa","00a00","0a00","0000-0000","00:00","a00","a0","00.00.0000","00/00/0000","00-00-0000","0000-00-00","0000/00/00","0000.00.00","00.00.00","00/00/00","00-00-00","0.00.0000","0/00/0000","0-00-0000"},0)),ISNUMBER(MATCH(LEFT(BT223,255),{"0000a","000a","00a","0000aa","000aa","00aa","0aa","0000aaa","000aaa","00a00","0a00","0000-0000","00:00","a00","a0","00.00.0000","00/00/0000","00-00-0000","0000-00-00","0000/00/00","0000.00.00","00.00.00","00/00/00","00-00-00","0.00.0000","0/00/0000","0-00-0000"},0)))),NOT(OR(AND(BW223&lt;&gt;"",SUBSTITUTE(BW223,"0","")=""),AND(LEN(BW223)&gt;=4,BW223=REPT(LEFT(BW223),LEN(BW223))),ISNUMBER(MATCH(BW223,{"123","1234","12345","123456","1234567","12345678","0123","01234","012345","98765","987654","54321"},0)),ISNUMBER(MATCH(BX223,{"x","xx","xxx","xxxx","xxxxx","abc","abcd","nil","na","nan","test","tbc","tba","tbd","dummy","sample","example","eg","zz","zzz","none","null","xyz","qwe","asd","id","ref"},0)),AND(LEN(BW223)=8,BX223="",OR(LEFT(BW223,3)="202",ISNUMBER(MATCH(RIGHT(BW223,4),{"2025","2026","2027"},0)))))),OR(AND((LEN(BT223)-LEN(SUBSTITUTE(BT223,"a","")))&gt;=1,(LEN(BN223)-LEN(SUBSTITUTE(BN223,"0","")))&gt;=2,SUMPRODUCT(--ISNUMBER(SEARCH({"a0","a-0","a_0","a/0","a.0","a#0","0a","0-a","0_a","0/a"},BN223)))&gt;0),AND((LEN(BN223)-LEN(SUBSTITUTE(BN223,"a","")))=0,(LEN(BN223)-LEN(SUBSTITUTE(BN223,"0","")))&gt;=5)))),1,0),0)</f>
        <v>0</v>
      </c>
      <c r="CA2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223,"revision",""),"version",""),"jan",""),"feb",""),"mar",""),"apr",""),"may",""),"jun",""),"jul",""),"aug",""),"sep",""),"oct",""),"nov",""),"dec",""),"utc",""),"gmt",""),"myt",""),"bst",""),"rev",""),"ver",""),"b","a"),"c","a"),"d","a"),"e","a"),"f","a"),"g","a"),"h","a"),"i","a"),"j","a"),"k","a"),"l","a"),"m","a"),"n","a"),"o","a"),"p","a"),"q","a"),"r","a"),"s","a"),"t","a"),"u","a"),"v","a"),"w","a"),"x","a"),"y","a"),"z","a")</f>
        <v/>
      </c>
      <c r="CB2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223&amp;""),"a",""),"b",""),"c",""),"d",""),"e",""),"f",""),"g",""),"h",""),"i",""),"j",""),"k",""),"l",""),"m",""),"n",""),"o",""),"p",""),"q",""),"r",""),"s",""),"t",""),"u",""),"v",""),"w",""),"x",""),"y",""),"z",""),"-",""),"_",""),"/",""),".",""),"#",""),"\\",""),":","")," ",""),"(",""),")","")</f>
        <v/>
      </c>
      <c r="CC223" s="0" t="str">
        <f aca="false">" "&amp;TRIM(SUBSTITUTE(SUBSTITUTE(SUBSTITUTE(SUBSTITUTE(SUBSTITUTE(SUBSTITUTE(SUBSTITUTE(SUBSTITUTE(SUBSTITUTE(SUBSTITUTE(SUBSTITUTE(SUBSTITUTE(SUBSTITUTE(SUBSTITUTE(SUBSTITUTE(SUBSTITUTE(SUBSTITUTE(SUBSTITUTE(SUBSTITUTE(SUBSTITUTE(SUBSTITUTE(SUBSTITUTE(SUBSTITUTE(SUBSTITUTE(LOWER(T223&amp;""),CHAR(10)," "),CHAR(13)," "),CHAR(9)," "),CHAR(160)," "),"."," "),","," "),"-"," "),"/"," "),"("," "),")"," "),":"," "),";"," "),"_"," "),"–"," "),"?"," "),"!"," "),"*"," "),"["," "),"]"," "),"'"," "),"#"," "),"+"," "),"&amp;"," "),"\"," "))&amp;" "</f>
        <v>  </v>
      </c>
      <c r="CD223" s="0" t="str">
        <f aca="false">" "&amp;TRIM(SUBSTITUTE(SUBSTITUTE(SUBSTITUTE(SUBSTITUTE(SUBSTITUTE(SUBSTITUTE(SUBSTITUTE(SUBSTITUTE(SUBSTITUTE(SUBSTITUTE(SUBSTITUTE(SUBSTITUTE(SUBSTITUTE(SUBSTITUTE(SUBSTITUTE(SUBSTITUTE(SUBSTITUTE(SUBSTITUTE(SUBSTITUTE(SUBSTITUTE(SUBSTITUTE(SUBSTITUTE(SUBSTITUTE(SUBSTITUTE(LOWER(AE223&amp;""),CHAR(10)," "),CHAR(13)," "),CHAR(9)," "),CHAR(160)," "),"."," "),","," "),"-"," "),"/"," "),"("," "),")"," "),":"," "),";"," "),"_"," "),"–"," "),"?"," "),"!"," "),"*"," "),"["," "),"]"," "),"'"," "),"#"," "),"+"," "),"&amp;"," "),"\"," "))&amp;" "</f>
        <v>  </v>
      </c>
      <c r="CE223" s="68" t="n">
        <f aca="false">IFERROR(IF(AND(LEN(AU223)&gt;0,LEN(AU223)=LEN(AX223),OR(TRIM(MID(SUBSTITUTE(TRIM(CC223)," ",REPT(" ",60)),1,60))="",ISNUMBER(SEARCH(" "&amp;TRIM(MID(SUBSTITUTE(TRIM(CC223)," ",REPT(" ",60)),1,60))&amp;" ",CD223))),OR(TRIM(MID(SUBSTITUTE(TRIM(CC223)," ",REPT(" ",60)),61,60))="",ISNUMBER(SEARCH(" "&amp;TRIM(MID(SUBSTITUTE(TRIM(CC223)," ",REPT(" ",60)),61,60))&amp;" ",CD223))),OR(TRIM(MID(SUBSTITUTE(TRIM(CC223)," ",REPT(" ",60)),121,60))="",ISNUMBER(SEARCH(" "&amp;TRIM(MID(SUBSTITUTE(TRIM(CC223)," ",REPT(" ",60)),121,60))&amp;" ",CD223)))),1,0),0)</f>
        <v>0</v>
      </c>
      <c r="CG223" s="68" t="n">
        <f aca="false">IFERROR(LEN(SUBSTITUTE(BF223," ",""))-SUMPRODUCT((LEN(BF223)-LEN(SUBSTITUTE(BF223," "&amp;L_NAFiller&amp;" "," ")))/(LEN(L_NAFiller)+1)*LEN(L_NAFiller)),0)</f>
        <v>0</v>
      </c>
    </row>
    <row r="224" customFormat="false" ht="39.75" hidden="false" customHeight="true" outlineLevel="0" collapsed="false">
      <c r="A224" s="57" t="s">
        <v>788</v>
      </c>
      <c r="B224" s="57" t="s">
        <v>235</v>
      </c>
      <c r="C224" s="57" t="str">
        <f aca="false">Flights!$F$11</f>
        <v>MH0003</v>
      </c>
      <c r="D224" s="58" t="n">
        <f aca="false">Flights!$D$11</f>
        <v>46304</v>
      </c>
      <c r="E224" s="57" t="str">
        <f aca="false">Flights!$G$11&amp;"-"&amp;Flights!$H$11</f>
        <v>LHR-KUL</v>
      </c>
      <c r="F224" s="57" t="str">
        <f aca="false">Flights!$K$11</f>
        <v>BC</v>
      </c>
      <c r="G224" s="57" t="s">
        <v>420</v>
      </c>
      <c r="H224" s="57" t="s">
        <v>378</v>
      </c>
      <c r="I224" s="57" t="s">
        <v>379</v>
      </c>
      <c r="J224" s="57" t="s">
        <v>421</v>
      </c>
      <c r="K224" s="67"/>
      <c r="L224" s="67" t="s">
        <v>422</v>
      </c>
      <c r="M224" s="67"/>
      <c r="N224" s="67" t="s">
        <v>383</v>
      </c>
      <c r="O224" s="67" t="s">
        <v>423</v>
      </c>
      <c r="P224" s="57" t="s">
        <v>186</v>
      </c>
      <c r="Q224" s="59" t="n">
        <f aca="false">ROUND((Flights!$AE$11)*1440,0)/1440</f>
        <v>46303.9166666667</v>
      </c>
      <c r="R224" s="59" t="n">
        <f aca="false">Q224+(IF(AND(INDEX(TZ_DSTS,MATCH(P224,TZ_STN,0))&lt;&gt;"",Q224&gt;=INDEX(TZ_DSTS,MATCH(P224,TZ_STN,0)),Q224&lt;INDEX(TZ_DSTE,MATCH(P224,TZ_STN,0))),INDEX(TZ_DST,MATCH(P224,TZ_STN,0)),INDEX(TZ_STD,MATCH(P224,TZ_STN,0))))/24</f>
        <v>46303.9583333333</v>
      </c>
      <c r="S224" s="60"/>
      <c r="T224" s="60"/>
      <c r="U224" s="60"/>
      <c r="V224" s="60"/>
      <c r="W224" s="61"/>
      <c r="X224" s="60"/>
      <c r="Y224" s="60"/>
      <c r="Z224" s="60"/>
      <c r="AA224" s="60"/>
      <c r="AB224" s="60"/>
      <c r="AC224" s="60"/>
      <c r="AD224" s="66"/>
      <c r="AE224" s="60"/>
      <c r="AF224" s="61" t="str">
        <f aca="false">IF(AND(ISNUMBER(X224),ISNUMBER(Y224)),Y224-X224,"")</f>
        <v/>
      </c>
      <c r="AG224" s="62" t="str">
        <f aca="false">IF(ISNUMBER(AD224),AD224-(IF(AND(INDEX(TZ_DSTS,MATCH(P224,TZ_STN,0))&lt;&gt;"",(AD224-INDEX(TZ_STD,MATCH(P224,TZ_STN,0))/24)&gt;=INDEX(TZ_DSTS,MATCH(P224,TZ_STN,0)),(AD224-INDEX(TZ_STD,MATCH(P224,TZ_STN,0))/24)&lt;INDEX(TZ_DSTE,MATCH(P224,TZ_STN,0))),INDEX(TZ_DST,MATCH(P224,TZ_STN,0)),INDEX(TZ_STD,MATCH(P224,TZ_STN,0))))/24,"")</f>
        <v/>
      </c>
      <c r="AH224" s="65" t="str">
        <f aca="false">IFERROR(IF(N224="N/A – rule",IF(OR(TRIM(U224)="",TRIM(U224)="N/A",TRIM(U224)="Not started"),"N/A – RULE","INVALID – this check does not apply to this aircraft: clear the status (or correct the fleet on Flights)"),IF(TRIM(U224)="N/A",IF(AT224=0,"INVALID – N/A not permitted for this check",IF(AND(TRIM(AB224)&lt;&gt;"",TRIM(AB224)&lt;&gt;"Closed"),"INVALID – corrective action still open",IF(AND(NOT(OR(LEN(AZ224)&lt;15,ISNUMBER(MATCH(AZ224,L_Placeholder,0)))),BK224=0,CG224&gt;=8,NOT(OR(LEN(AU224)&lt;2,ISNUMBER(MATCH(AU224,L_Placeholder,0)))),BR224&gt;=3,NOT(OR(LEN(AX224)&lt;2,ISNUMBER(MATCH(AX224,L_Placeholder,0)))),BS224&gt;=3,TRIM(AE224)&lt;&gt;TRIM(T224),AX224&lt;&gt;AU224,CE224=0),"N/A – JUSTIFIED","INVALID – N/A needs a real, settled reason (not 'not applicable' / 'as above' / TBC), a named PIC and a different named verifier"))),IF(OR(TRIM(U224)="Pass",TRIM(U224)="Pass after CA"),IF(NOT(ISNUMBER(AD224)),"INVALID – completion time missing",IF(OR(OR(LEN(AU224)&lt;2,ISNUMBER(MATCH(AU224,L_Placeholder,0))),BR224&lt;3),"INVALID – PIC missing or not a named person (a role such as QA / CSM is not a name)",IF(OR(LEN(AV224)&lt;2,ISNUMBER(MATCH(AV224,L_Placeholder,0))),"INVALID – result / assessment missing",IF(OR(OR(LEN(AW224)&lt;3,ISNUMBER(MATCH(AW224,L_Placeholder,0))),SUMPRODUCT(--ISNUMBER(SEARCH(" "&amp;L_EvidencePhrase&amp;" ",BD224)))&gt;0,BI224=1),"INVALID – evidence missing, placeholder or not yet on file",IF(ISNA(MATCH(TRIM(S224),L_EvidenceType,0)),"INVALID – choose the evidence type from the list (column S)",IF(BL224=0,"INVALID – evidence ID must be the record's own ID only (e.g. SF-2210, IMG_2231, 1045521); a link / file name needs type 'Link / file path'",IF(OR(OR(LEN(AX224)&lt;2,ISNUMBER(MATCH(AX224,L_Placeholder,0))),BS224&lt;3),"INVALID – verifier missing or not a named person (a role such as QA / CSM is not a name)",IF(OR(AX224=AU224,CE224=1,AND(LEN(AU224)&gt;=4,ISNUMBER(SEARCH(AU224,AX224))),AND(LEN(AX224)&gt;=4,ISNUMBER(SEARCH(AX224,AU224)))),"INVALID – verifier must be a different, named person (not the PIC or a role)",IF(BH224=1,"INVALID – result not yet available (awaiting / TBC)",IF(BG224=1,"INVALID – result describes a problem: record Fail, then Pass after CA (or reword if it is not a problem)",IF(BV224=1,"INVALID – wording says not on board: an on-board confirmation needs the item loaded",IF(AND(AQ224=1,OR(OR(LEN(AY224)&lt;3,ISNUMBER(MATCH(AY224,L_Placeholder,0))),BJ224=1,BQ224=0)),"INVALID – batch ID missing, placeholder or not an ID (e.g. PASB-261008-BC-017)",IF(AND(AR224=1,OR(NOT(ISNUMBER(X224)),NOT(ISNUMBER(Y224)))),"INVALID – expected/actual qty missing",IF(AND(AR224=1,OR(X224&lt;=0,Y224&lt;0)),"INVALID – expected qty must be above 0 and actual not negative",IF(BB224&lt;&gt;"",BB224,IF(AND(AS224=1,Documents!$J$11&lt;&gt;"ON FILE"),"INVALID – GLD not on file (Documents sheet)",IF(AND(AS224=2,Documents!$O$11&lt;&gt;"ON FILE"),"INVALID – menu checklist not on file (Documents sheet)",IF(AND(AS224=3,NOT(ISNUMBER(Flights!$AX$11))),"INVALID – enter carrying flight KUL departure (Flights AX)",IF(AND(AS224=3,OR(Flights!$AZ$11&gt;Flights!$AA$11,Flights!$AX$11&lt;Flights!$AA$11-3)),"INVALID – carrying flight (Flights AX) cannot arrive before this leg's STD, or is over 3 days early",IF(AG224&gt;AsOfUTC,"INVALID – completion time is in the future",IF(AND(ISNUMBER(BY224),AG224&lt;BY224),IF(H224="Physical uplift","INVALID – before uplift window (cannot confirm loading)","INVALID – before valid window"),IF(AG224&gt;Flights!$AA$11,"INVALID – completed after departure (cannot establish readiness)",IF(AND(H224="Preparation",AG224&gt;=IF(ISNUMBER(Flights!$BA$11),MIN(Flights!$BA$11,Flights!$AA$11),Flights!$AA$11)),"INVALID – completed after loading / departure (cannot establish readiness)",IF(AND(H224="Physical uplift",AG224&gt;Q224),"INVALID – recorded after the loading flight departed",IF(AG224&gt;Q224,"COMPLETE – LATE","COMPLETE"))))))))))))))))))))))))),IF(TRIM(U224)="Fail","FAIL – DISCREPANCY",IF(AND(TRIM(U224)&lt;&gt;"",TRIM(U224)&lt;&gt;"Not started",TRIM(U224)&lt;&gt;"In progress"),"INVALID – unrecognised status (use the list)",IF(AsOfUTC&gt;Q224,"OVERDUE",IF(N224="Clarification required","OPEN – CLARIFICATION","OPEN"))))))),"INVALID – error value in an input cell")</f>
        <v>OPEN</v>
      </c>
      <c r="AI224" s="61" t="n">
        <f aca="false">IF(OR(AH224="N/A – RULE",AH224="N/A – JUSTIFIED"),0,1)</f>
        <v>1</v>
      </c>
      <c r="AJ224" s="61" t="n">
        <f aca="false">IF(LEFT(AH224,8)="COMPLETE",1,0)</f>
        <v>0</v>
      </c>
      <c r="AK224" s="61" t="n">
        <f aca="false">IF(AND(AI224=1,AJ224=0,AsOfUTC&gt;Q224),1,0)</f>
        <v>0</v>
      </c>
      <c r="AL224" s="61" t="n">
        <f aca="false">IFERROR(IF(AND(AI224=1,OR(TRIM(U224)="Fail",AND(TRIM(AB224)&lt;&gt;"",TRIM(AB224)&lt;&gt;"Closed"),AND(ISNUMBER(AF224),AF224&lt;&gt;0,TRIM(U224)&lt;&gt;"Pass after CA"))),1,0),1)</f>
        <v>0</v>
      </c>
      <c r="AM224" s="61" t="n">
        <f aca="false">IF(LEFT(AH224,7)="INVALID",1,0)</f>
        <v>0</v>
      </c>
      <c r="AN224" s="61" t="n">
        <f aca="false">IF(AND(N224="Clarification required",AI224=1,AJ224=0),1,0)</f>
        <v>0</v>
      </c>
      <c r="AO224" s="61" t="str">
        <f aca="false">IF(AK224=1,SUM(AK$5:AK224),"")</f>
        <v/>
      </c>
      <c r="AP224" s="61" t="str">
        <f aca="false">IF(AL224=1,SUM(AL$5:AL224),"")</f>
        <v/>
      </c>
      <c r="AQ224" s="61" t="n">
        <v>0</v>
      </c>
      <c r="AR224" s="61" t="n">
        <v>0</v>
      </c>
      <c r="AS224" s="61" t="n">
        <v>0</v>
      </c>
      <c r="AT224" s="61" t="n">
        <v>0</v>
      </c>
      <c r="AU224" s="61" t="str">
        <f aca="false">SUBSTITUTE(SUBSTITUTE(SUBSTITUTE(SUBSTITUTE(SUBSTITUTE(SUBSTITUTE(SUBSTITUTE(SUBSTITUTE(SUBSTITUTE(SUBSTITUTE(SUBSTITUTE(SUBSTITUTE(SUBSTITUTE(SUBSTITUTE(SUBSTITUTE(SUBSTITUTE(LOWER(T224&amp;""),CHAR(10),""),CHAR(13),""),CHAR(9),""),CHAR(160),"")," ",""),".",""),"-",""),"/",""),"?",""),"_",""),",",""),"[",""),"]",""),"(",""),")",""),"*","")</f>
        <v/>
      </c>
      <c r="AV224" s="61" t="str">
        <f aca="false">SUBSTITUTE(SUBSTITUTE(SUBSTITUTE(SUBSTITUTE(SUBSTITUTE(SUBSTITUTE(SUBSTITUTE(SUBSTITUTE(SUBSTITUTE(SUBSTITUTE(SUBSTITUTE(SUBSTITUTE(SUBSTITUTE(SUBSTITUTE(SUBSTITUTE(SUBSTITUTE(LOWER(V224&amp;""),CHAR(10),""),CHAR(13),""),CHAR(9),""),CHAR(160),"")," ",""),".",""),"-",""),"/",""),"?",""),"_",""),",",""),"[",""),"]",""),"(",""),")",""),"*","")</f>
        <v/>
      </c>
      <c r="AW224" s="61" t="str">
        <f aca="false">SUBSTITUTE(SUBSTITUTE(SUBSTITUTE(SUBSTITUTE(SUBSTITUTE(SUBSTITUTE(SUBSTITUTE(SUBSTITUTE(SUBSTITUTE(SUBSTITUTE(SUBSTITUTE(SUBSTITUTE(SUBSTITUTE(SUBSTITUTE(SUBSTITUTE(SUBSTITUTE(LOWER(Z224&amp;""),CHAR(10),""),CHAR(13),""),CHAR(9),""),CHAR(160),"")," ",""),".",""),"-",""),"/",""),"?",""),"_",""),",",""),"[",""),"]",""),"(",""),")",""),"*","")</f>
        <v/>
      </c>
      <c r="AX224" s="61" t="str">
        <f aca="false">SUBSTITUTE(SUBSTITUTE(SUBSTITUTE(SUBSTITUTE(SUBSTITUTE(SUBSTITUTE(SUBSTITUTE(SUBSTITUTE(SUBSTITUTE(SUBSTITUTE(SUBSTITUTE(SUBSTITUTE(SUBSTITUTE(SUBSTITUTE(SUBSTITUTE(SUBSTITUTE(LOWER(AE224&amp;""),CHAR(10),""),CHAR(13),""),CHAR(9),""),CHAR(160),"")," ",""),".",""),"-",""),"/",""),"?",""),"_",""),",",""),"[",""),"]",""),"(",""),")",""),"*","")</f>
        <v/>
      </c>
      <c r="AY224" s="61" t="str">
        <f aca="false">SUBSTITUTE(SUBSTITUTE(SUBSTITUTE(SUBSTITUTE(SUBSTITUTE(SUBSTITUTE(SUBSTITUTE(SUBSTITUTE(SUBSTITUTE(SUBSTITUTE(SUBSTITUTE(SUBSTITUTE(SUBSTITUTE(SUBSTITUTE(SUBSTITUTE(SUBSTITUTE(LOWER(W224&amp;""),CHAR(10),""),CHAR(13),""),CHAR(9),""),CHAR(160),"")," ",""),".",""),"-",""),"/",""),"?",""),"_",""),",",""),"[",""),"]",""),"(",""),")",""),"*","")</f>
        <v/>
      </c>
      <c r="AZ224" s="61" t="str">
        <f aca="false">SUBSTITUTE(SUBSTITUTE(SUBSTITUTE(SUBSTITUTE(SUBSTITUTE(SUBSTITUTE(SUBSTITUTE(SUBSTITUTE(SUBSTITUTE(SUBSTITUTE(SUBSTITUTE(SUBSTITUTE(SUBSTITUTE(SUBSTITUTE(SUBSTITUTE(SUBSTITUTE(LOWER(AC224&amp;""),CHAR(10),""),CHAR(13),""),CHAR(9),""),CHAR(160),"")," ",""),".",""),"-",""),"/",""),"?",""),"_",""),",",""),"[",""),"]",""),"(",""),")",""),"*","")</f>
        <v/>
      </c>
      <c r="BA224" s="61" t="str">
        <f aca="false">SUBSTITUTE(SUBSTITUTE(SUBSTITUTE(SUBSTITUTE(SUBSTITUTE(SUBSTITUTE(SUBSTITUTE(SUBSTITUTE(SUBSTITUTE(SUBSTITUTE(SUBSTITUTE(SUBSTITUTE(SUBSTITUTE(SUBSTITUTE(SUBSTITUTE(SUBSTITUTE(LOWER(AA224&amp;""),CHAR(10),""),CHAR(13),""),CHAR(9),""),CHAR(160),"")," ",""),".",""),"-",""),"/",""),"?",""),"_",""),",",""),"[",""),"]",""),"(",""),")",""),"*","")</f>
        <v/>
      </c>
      <c r="BB224" s="61" t="str">
        <f aca="false">IF(AND(TRIM(U224)="Pass",ISNUMBER(AF224)),IF(AF224&lt;&gt;0,"INVALID – qty variance: use Fail or Pass after CA",""),"")&amp;IF(AND(TRIM(U224)="Pass after CA",ISNUMBER(AF224)),IF(AF224&lt;&gt;0,"INVALID – after the corrective action the actual qty must equal expected (update Actual)",""),"")&amp;IF(AND(TRIM(U224)="Pass",TRIM(AB224)&lt;&gt;"",TRIM(AB224)&lt;&gt;"Closed"),"INVALID – corrective action not closed: use Fail, then Pass after CA","")&amp;IF(AND(LEN(BA224)&gt;=2,ISNA(MATCH(LEFT(BA224,255),L_Placeholder,0)),TRIM(AB224)=""),"INVALID – CA status missing for the recorded corrective action","")&amp;IF(AND(TRIM(U224)="Pass after CA",OR(OR(LEN(BA224)&lt;5,ISNUMBER(MATCH(BA224,L_Placeholder,0))),TRIM(AB224)&lt;&gt;"Closed")),"INVALID – corrective action not recorded/closed","")</f>
        <v/>
      </c>
      <c r="BC224" s="61" t="str">
        <f aca="false">" "&amp;TRIM(SUBSTITUTE(SUBSTITUTE(SUBSTITUTE(SUBSTITUTE(SUBSTITUTE(SUBSTITUTE(SUBSTITUTE(SUBSTITUTE(SUBSTITUTE(SUBSTITUTE(SUBSTITUTE(SUBSTITUTE(SUBSTITUTE(SUBSTITUTE(SUBSTITUTE(SUBSTITUTE(SUBSTITUTE(SUBSTITUTE(SUBSTITUTE(SUBSTITUTE(SUBSTITUTE(SUBSTITUTE(SUBSTITUTE(SUBSTITUTE(LOWER(V224&amp;""),CHAR(10)," "),CHAR(13)," "),CHAR(9)," "),CHAR(160)," "),"."," "),","," "),"-"," "),"/"," "),"("," "),")"," "),":"," "),";"," "),"_"," "),"–"," "),"?"," "),"!"," "),"*"," "),"["," "),"]"," "),"'"," "),"#"," "),"+"," "),"&amp;"," "),"\"," "))&amp;" "</f>
        <v>  </v>
      </c>
      <c r="BD224" s="61" t="str">
        <f aca="false">" "&amp;TRIM(SUBSTITUTE(SUBSTITUTE(SUBSTITUTE(SUBSTITUTE(SUBSTITUTE(SUBSTITUTE(SUBSTITUTE(SUBSTITUTE(SUBSTITUTE(SUBSTITUTE(SUBSTITUTE(SUBSTITUTE(SUBSTITUTE(SUBSTITUTE(SUBSTITUTE(SUBSTITUTE(SUBSTITUTE(SUBSTITUTE(SUBSTITUTE(SUBSTITUTE(SUBSTITUTE(SUBSTITUTE(SUBSTITUTE(SUBSTITUTE(LOWER(Z224&amp;""),CHAR(10)," "),CHAR(13)," "),CHAR(9)," "),CHAR(160)," "),"."," "),","," "),"-"," "),"/"," "),"("," "),")"," "),":"," "),";"," "),"_"," "),"–"," "),"?"," "),"!"," "),"*"," "),"["," "),"]"," "),"'"," "),"#"," "),"+"," "),"&amp;"," "),"\"," "))&amp;" "</f>
        <v>  </v>
      </c>
      <c r="BE224" s="61" t="str">
        <f aca="false">" "&amp;TRIM(SUBSTITUTE(SUBSTITUTE(SUBSTITUTE(SUBSTITUTE(SUBSTITUTE(SUBSTITUTE(SUBSTITUTE(SUBSTITUTE(SUBSTITUTE(SUBSTITUTE(SUBSTITUTE(SUBSTITUTE(SUBSTITUTE(SUBSTITUTE(SUBSTITUTE(SUBSTITUTE(SUBSTITUTE(SUBSTITUTE(SUBSTITUTE(SUBSTITUTE(SUBSTITUTE(SUBSTITUTE(SUBSTITUTE(SUBSTITUTE(LOWER(W224&amp;""),CHAR(10)," "),CHAR(13)," "),CHAR(9)," "),CHAR(160)," "),"."," "),","," "),"-"," "),"/"," "),"("," "),")"," "),":"," "),";"," "),"_"," "),"–"," "),"?"," "),"!"," "),"*"," "),"["," "),"]"," "),"'"," "),"#"," "),"+"," "),"&amp;"," "),"\"," "))&amp;" "</f>
        <v>  </v>
      </c>
      <c r="BF224" s="61" t="str">
        <f aca="false">" "&amp;TRIM(SUBSTITUTE(SUBSTITUTE(SUBSTITUTE(SUBSTITUTE(SUBSTITUTE(SUBSTITUTE(SUBSTITUTE(SUBSTITUTE(SUBSTITUTE(SUBSTITUTE(SUBSTITUTE(SUBSTITUTE(SUBSTITUTE(SUBSTITUTE(SUBSTITUTE(SUBSTITUTE(SUBSTITUTE(SUBSTITUTE(SUBSTITUTE(SUBSTITUTE(SUBSTITUTE(SUBSTITUTE(SUBSTITUTE(SUBSTITUTE(LOWER(AC224&amp;""),CHAR(10)," "),CHAR(13)," "),CHAR(9)," "),CHAR(160)," "),"."," "),","," "),"-"," "),"/"," "),"("," "),")"," "),":"," "),";"," "),"_"," "),"–"," "),"?"," "),"!"," "),"*"," "),"["," "),"]"," "),"'"," "),"#"," "),"+"," "),"&amp;"," "),"\"," "))&amp;" "</f>
        <v>  </v>
      </c>
      <c r="BG224" s="61" t="n">
        <f aca="false">IFERROR(IF(AND(TRIM(U224)="Pass",SUMPRODUCT((LEN(BC224)-LEN(SUBSTITUTE(BC224," "&amp;L_ResultBad&amp;" "," ")))/(LEN(L_ResultBad)+1))&gt;SUMPRODUCT((LEN(BC224)-LEN(SUBSTITUTE(BC224," "&amp;L_NegPhrase&amp;" "," ")))/(LEN(L_NegPhrase)+1))),1,0),0)</f>
        <v>0</v>
      </c>
      <c r="BH224" s="61" t="n">
        <f aca="false">IFERROR(IF(SUMPRODUCT((LEN(BC224)-LEN(SUBSTITUTE(BC224," "&amp;L_Pending&amp;" "," ")))/(LEN(L_Pending)+1))&gt;SUMPRODUCT((LEN(BC224)-LEN(SUBSTITUTE(BC224," "&amp;L_PendNeg&amp;" "," ")))/(LEN(L_PendNeg)+1))+SUMPRODUCT((LEN(BC224)-LEN(SUBSTITUTE(BC224," "&amp;L_PendPrep&amp;" "," ")))/(LEN(L_PendPrep)+1)),1,0),1)</f>
        <v>0</v>
      </c>
      <c r="BI224" s="61" t="n">
        <f aca="false">IFERROR(IF(SUMPRODUCT((LEN(BD224)-LEN(SUBSTITUTE(BD224," "&amp;L_PendStrict&amp;" "," ")))/(LEN(L_PendStrict)+1))&gt;SUMPRODUCT((LEN(BD224)-LEN(SUBSTITUTE(BD224," "&amp;L_PendNeg&amp;" "," ")))/(LEN(L_PendNeg)+1)),1,0),1)</f>
        <v>0</v>
      </c>
      <c r="BJ224" s="61" t="n">
        <f aca="false">IFERROR(IF(SUMPRODUCT((LEN(BE224)-LEN(SUBSTITUTE(BE224," "&amp;L_Pending&amp;" "," ")))/(LEN(L_Pending)+1))&gt;SUMPRODUCT((LEN(BE224)-LEN(SUBSTITUTE(BE224," "&amp;L_PendNeg&amp;" "," ")))/(LEN(L_PendNeg)+1))+SUMPRODUCT((LEN(BE224)-LEN(SUBSTITUTE(BE224," "&amp;L_PendPrep&amp;" "," ")))/(LEN(L_PendPrep)+1)),1,0),1)</f>
        <v>0</v>
      </c>
      <c r="BK224" s="61" t="n">
        <f aca="false">IFERROR(IF(SUMPRODUCT((LEN(BF224)-LEN(SUBSTITUTE(BF224," "&amp;L_PendStrict&amp;" "," ")))/(LEN(L_PendStrict)+1))&gt;SUMPRODUCT((LEN(BF224)-LEN(SUBSTITUTE(BF224," "&amp;L_PendNeg&amp;" "," ")))/(LEN(L_PendNeg)+1)),1,0),1)</f>
        <v>0</v>
      </c>
      <c r="BL224" s="61" t="n">
        <f aca="false">IF(ISNA(MATCH(TRIM(S224),L_EvidenceType,0)),0,BZ224)</f>
        <v>0</v>
      </c>
      <c r="BM224" s="61" t="str">
        <f aca="false">SUBSTITUTE(SUBSTITUTE(SUBSTITUTE(SUBSTITUTE(SUBSTITUTE(SUBSTITUTE(SUBSTITUTE(SUBSTITUTE(SUBSTITUTE(LOWER(Z224&amp;""),"1","0"),"2","0"),"3","0"),"4","0"),"5","0"),"6","0"),"7","0"),"8","0"),"9","0")</f>
        <v/>
      </c>
      <c r="BN224" s="61" t="str">
        <f aca="false">SUBSTITUTE(SUBSTITUTE(SUBSTITUTE(SUBSTITUTE(SUBSTITUTE(SUBSTITUTE(SUBSTITUTE(SUBSTITUTE(SUBSTITUTE(SUBSTITUTE(SUBSTITUTE(SUBSTITUTE(SUBSTITUTE(SUBSTITUTE(SUBSTITUTE(SUBSTITUTE(SUBSTITUTE(SUBSTITUTE(SUBSTITUTE(SUBSTITUTE(SUBSTITUTE(SUBSTITUTE(SUBSTITUTE(SUBSTITUTE(SUBSTITUTE(BM224,"b","a"),"c","a"),"d","a"),"e","a"),"f","a"),"g","a"),"h","a"),"i","a"),"j","a"),"k","a"),"l","a"),"m","a"),"n","a"),"o","a"),"p","a"),"q","a"),"r","a"),"s","a"),"t","a"),"u","a"),"v","a"),"w","a"),"x","a"),"y","a"),"z","a")</f>
        <v/>
      </c>
      <c r="BO224" s="61" t="str">
        <f aca="false">SUBSTITUTE(SUBSTITUTE(SUBSTITUTE(SUBSTITUTE(SUBSTITUTE(SUBSTITUTE(SUBSTITUTE(SUBSTITUTE(SUBSTITUTE(LOWER(W224&amp;""),"1","0"),"2","0"),"3","0"),"4","0"),"5","0"),"6","0"),"7","0"),"8","0"),"9","0")</f>
        <v/>
      </c>
      <c r="BP224" s="61" t="str">
        <f aca="false">SUBSTITUTE(SUBSTITUTE(SUBSTITUTE(SUBSTITUTE(SUBSTITUTE(SUBSTITUTE(SUBSTITUTE(SUBSTITUTE(SUBSTITUTE(SUBSTITUTE(SUBSTITUTE(SUBSTITUTE(SUBSTITUTE(SUBSTITUTE(SUBSTITUTE(SUBSTITUTE(SUBSTITUTE(SUBSTITUTE(SUBSTITUTE(SUBSTITUTE(SUBSTITUTE(SUBSTITUTE(SUBSTITUTE(SUBSTITUTE(SUBSTITUTE(BO224,"b","a"),"c","a"),"d","a"),"e","a"),"f","a"),"g","a"),"h","a"),"i","a"),"j","a"),"k","a"),"l","a"),"m","a"),"n","a"),"o","a"),"p","a"),"q","a"),"r","a"),"s","a"),"t","a"),"u","a"),"v","a"),"w","a"),"x","a"),"y","a"),"z","a")</f>
        <v/>
      </c>
      <c r="BQ224" s="61" t="n">
        <f aca="false">IFERROR(IF(AND(ISERROR(SEARCH(" mh"," "&amp;LOWER(W224))),ISNA(MATCH(LEFT(TRIM(BP224),255),{"0000a","000a","00a","0000aa","000aa","00aa","0aa","0000aaa","000aaa","00a00","0a00","0000-0000","00:00","a00","a0","00.00.0000","00/00/0000","00-00-0000","0000-00-00","0000/00/00","0000.00.00","00.00.00","00/00/00","00-00-00","0.00.0000","0/00/0000","0-00-0000"},0)),ISNA(MATCH(LEFT(TRIM(CA224),255),{"0000a","000a","00a","0000aa","000aa","00aa","0aa","0000aaa","000aaa","00a00","0a00","0000-0000","00:00","a00","a0","00.00.0000","00/00/0000","00-00-0000","0000-00-00","0000/00/00","0000.00.00","00.00.00","00/00/00","00-00-00","0.00.0000","0/00/0000","0-00-0000"},0)),LEN(CB224)&gt;=3,NOT(OR(SUBSTITUTE(CB224,"0","")="",AND(LEN(CB224)&gt;=4,CB224=REPT(LEFT(CB224),LEN(CB224))),ISNUMBER(MATCH(CB224,{"123","1234","12345","123456","1234567","12345678","0123","01234","012345","98765","987654","54321"},0)),AND(LEN(CB224)=8,LEFT(CB224,3)="202"))),OR(AND((LEN(CA224)-LEN(SUBSTITUTE(CA224,"a","")))&gt;=1,SUMPRODUCT(--ISNUMBER(SEARCH({"a0","a-0","a_0","a/0","a.0","a#0","0a","0-a","0_a","0/a"},BP224)))&gt;0),ISNUMBER(SEARCH("000000",BP224)))),1,0),0)</f>
        <v>0</v>
      </c>
      <c r="BR224" s="61" t="n">
        <f aca="false">IFERROR(LEN(SUBSTITUTE(CC224," ",""))-SUMPRODUCT((LEN(CC224)-LEN(SUBSTITUTE(CC224," "&amp;L_Role&amp;" "," ")))/(LEN(L_Role)+1)*LEN(L_Role)),0)</f>
        <v>0</v>
      </c>
      <c r="BS224" s="61" t="n">
        <f aca="false">IFERROR(LEN(SUBSTITUTE(CD224," ",""))-SUMPRODUCT((LEN(CD224)-LEN(SUBSTITUTE(CD224," "&amp;L_Role&amp;" "," ")))/(LEN(L_Role)+1)*LEN(L_Role)),0)</f>
        <v>0</v>
      </c>
      <c r="BT2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224,"revision",""),"version",""),"jan",""),"feb",""),"mar",""),"apr",""),"may",""),"jun",""),"jul",""),"aug",""),"sep",""),"oct",""),"nov",""),"dec",""),"utc",""),"gmt",""),"myt",""),"bst",""),"rev",""),"ver",""),"b","a"),"c","a"),"d","a"),"e","a"),"f","a"),"g","a"),"h","a"),"i","a"),"j","a"),"k","a"),"l","a"),"m","a"),"n","a"),"o","a"),"p","a"),"q","a"),"r","a"),"s","a"),"t","a"),"u","a"),"v","a"),"w","a"),"x","a"),"y","a"),"z","a")</f>
        <v/>
      </c>
      <c r="BU224" s="61" t="str">
        <f aca="false">SUBSTITUTE(SUBSTITUTE(SUBSTITUTE(SUBSTITUTE(SUBSTITUTE(SUBSTITUTE(SUBSTITUTE(SUBSTITUTE(SUBSTITUTE(SUBSTITUTE(LEFT(BM224,FIND("0",BM224&amp;"0")-1),"-",""),"_",""),"/",""),".",""),"#",""),"\\",""),":","")," ",""),"(",""),")","")</f>
        <v/>
      </c>
      <c r="BV224" s="61" t="n">
        <f aca="false">0</f>
        <v>0</v>
      </c>
      <c r="BW2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224&amp;""),"a",""),"b",""),"c",""),"d",""),"e",""),"f",""),"g",""),"h",""),"i",""),"j",""),"k",""),"l",""),"m",""),"n",""),"o",""),"p",""),"q",""),"r",""),"s",""),"t",""),"u",""),"v",""),"w",""),"x",""),"y",""),"z",""),"-",""),"_",""),"/",""),".",""),"#",""),"\\",""),":","")," ",""),"(",""),")","")</f>
        <v/>
      </c>
      <c r="BX224" s="61" t="str">
        <f aca="false">SUBSTITUTE(SUBSTITUTE(SUBSTITUTE(SUBSTITUTE(SUBSTITUTE(SUBSTITUTE(SUBSTITUTE(SUBSTITUTE(SUBSTITUTE(SUBSTITUTE(SUBSTITUTE(BM224,"0",""),"-",""),"_",""),"/",""),".",""),"#",""),"\\",""),":","")," ",""),"(",""),")","")</f>
        <v/>
      </c>
      <c r="BY224" s="62" t="n">
        <f aca="false">Q224-T12EarlyH/24</f>
        <v>46303.4166666667</v>
      </c>
      <c r="BZ224" s="61" t="n">
        <f aca="false">IFERROR(IF(IF(TRIM(S224)="Link / file path",AND(LEN(TRIM(Z224))&gt;=5,SUMPRODUCT(--ISNUMBER(SEARCH({"http","www.","\\",":\",".pdf",".jpg",".jpeg",".png",".heic",".xls",".doc",".msg",".eml",".ppt",".txt",".zip"},Z224)))&gt;0),AND(ISERROR(FIND(" ",TRIM(Z224))),NOT(OR(SUMPRODUCT(--ISNUMBER(FIND({",",";","&amp;","+"},Z224)))&gt;0,SUMPRODUCT(--ISNUMBER(SEARCH({"0/aa","0\\aa"},BN224)))&gt;0)),NOT(SUMPRODUCT(--ISNUMBER(SEARCH({"http","www.","\\",":\",".pdf",".jpg",".jpeg",".png",".heic",".xls",".doc",".msg",".eml",".ppt",".txt",".zip"},Z224)))&gt;0),NOT(LOWER(TRIM(Z224))=LOWER(Flights!$F$11)),ISNA(MATCH(BU224,{"mh","rev","revision","ver","version","v","r","a","b","seat","tray","row","gate","bay","stand","page","pg","item","line","no","cart","galley","flight","flt","table","box","bag","oven","etd","eta","std","sta","atd","ata","qty","pax","x","time","tel","ph","mob","day","wk","week","utc","gmt","myt","lt"},0)),NOT(OR(ISNUMBER(MATCH(LEFT(BN224,255),{"0000a","000a","00a","0000aa","000aa","00aa","0aa","0000aaa","000aaa","00a00","0a00","0000-0000","00:00","a00","a0","00.00.0000","00/00/0000","00-00-0000","0000-00-00","0000/00/00","0000.00.00","00.00.00","00/00/00","00-00-00","0.00.0000","0/00/0000","0-00-0000"},0)),ISNUMBER(MATCH(LEFT(BT224,255),{"0000a","000a","00a","0000aa","000aa","00aa","0aa","0000aaa","000aaa","00a00","0a00","0000-0000","00:00","a00","a0","00.00.0000","00/00/0000","00-00-0000","0000-00-00","0000/00/00","0000.00.00","00.00.00","00/00/00","00-00-00","0.00.0000","0/00/0000","0-00-0000"},0)))),NOT(OR(AND(BW224&lt;&gt;"",SUBSTITUTE(BW224,"0","")=""),AND(LEN(BW224)&gt;=4,BW224=REPT(LEFT(BW224),LEN(BW224))),ISNUMBER(MATCH(BW224,{"123","1234","12345","123456","1234567","12345678","0123","01234","012345","98765","987654","54321"},0)),ISNUMBER(MATCH(BX224,{"x","xx","xxx","xxxx","xxxxx","abc","abcd","nil","na","nan","test","tbc","tba","tbd","dummy","sample","example","eg","zz","zzz","none","null","xyz","qwe","asd","id","ref"},0)),AND(LEN(BW224)=8,BX224="",OR(LEFT(BW224,3)="202",ISNUMBER(MATCH(RIGHT(BW224,4),{"2025","2026","2027"},0)))))),OR(AND((LEN(BT224)-LEN(SUBSTITUTE(BT224,"a","")))&gt;=1,(LEN(BN224)-LEN(SUBSTITUTE(BN224,"0","")))&gt;=2,SUMPRODUCT(--ISNUMBER(SEARCH({"a0","a-0","a_0","a/0","a.0","a#0","0a","0-a","0_a","0/a"},BN224)))&gt;0),AND((LEN(BN224)-LEN(SUBSTITUTE(BN224,"a","")))=0,(LEN(BN224)-LEN(SUBSTITUTE(BN224,"0","")))&gt;=5)))),1,0),0)</f>
        <v>0</v>
      </c>
      <c r="CA2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224,"revision",""),"version",""),"jan",""),"feb",""),"mar",""),"apr",""),"may",""),"jun",""),"jul",""),"aug",""),"sep",""),"oct",""),"nov",""),"dec",""),"utc",""),"gmt",""),"myt",""),"bst",""),"rev",""),"ver",""),"b","a"),"c","a"),"d","a"),"e","a"),"f","a"),"g","a"),"h","a"),"i","a"),"j","a"),"k","a"),"l","a"),"m","a"),"n","a"),"o","a"),"p","a"),"q","a"),"r","a"),"s","a"),"t","a"),"u","a"),"v","a"),"w","a"),"x","a"),"y","a"),"z","a")</f>
        <v/>
      </c>
      <c r="CB2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224&amp;""),"a",""),"b",""),"c",""),"d",""),"e",""),"f",""),"g",""),"h",""),"i",""),"j",""),"k",""),"l",""),"m",""),"n",""),"o",""),"p",""),"q",""),"r",""),"s",""),"t",""),"u",""),"v",""),"w",""),"x",""),"y",""),"z",""),"-",""),"_",""),"/",""),".",""),"#",""),"\\",""),":","")," ",""),"(",""),")","")</f>
        <v/>
      </c>
      <c r="CC224" s="0" t="str">
        <f aca="false">" "&amp;TRIM(SUBSTITUTE(SUBSTITUTE(SUBSTITUTE(SUBSTITUTE(SUBSTITUTE(SUBSTITUTE(SUBSTITUTE(SUBSTITUTE(SUBSTITUTE(SUBSTITUTE(SUBSTITUTE(SUBSTITUTE(SUBSTITUTE(SUBSTITUTE(SUBSTITUTE(SUBSTITUTE(SUBSTITUTE(SUBSTITUTE(SUBSTITUTE(SUBSTITUTE(SUBSTITUTE(SUBSTITUTE(SUBSTITUTE(SUBSTITUTE(LOWER(T224&amp;""),CHAR(10)," "),CHAR(13)," "),CHAR(9)," "),CHAR(160)," "),"."," "),","," "),"-"," "),"/"," "),"("," "),")"," "),":"," "),";"," "),"_"," "),"–"," "),"?"," "),"!"," "),"*"," "),"["," "),"]"," "),"'"," "),"#"," "),"+"," "),"&amp;"," "),"\"," "))&amp;" "</f>
        <v>  </v>
      </c>
      <c r="CD224" s="0" t="str">
        <f aca="false">" "&amp;TRIM(SUBSTITUTE(SUBSTITUTE(SUBSTITUTE(SUBSTITUTE(SUBSTITUTE(SUBSTITUTE(SUBSTITUTE(SUBSTITUTE(SUBSTITUTE(SUBSTITUTE(SUBSTITUTE(SUBSTITUTE(SUBSTITUTE(SUBSTITUTE(SUBSTITUTE(SUBSTITUTE(SUBSTITUTE(SUBSTITUTE(SUBSTITUTE(SUBSTITUTE(SUBSTITUTE(SUBSTITUTE(SUBSTITUTE(SUBSTITUTE(LOWER(AE224&amp;""),CHAR(10)," "),CHAR(13)," "),CHAR(9)," "),CHAR(160)," "),"."," "),","," "),"-"," "),"/"," "),"("," "),")"," "),":"," "),";"," "),"_"," "),"–"," "),"?"," "),"!"," "),"*"," "),"["," "),"]"," "),"'"," "),"#"," "),"+"," "),"&amp;"," "),"\"," "))&amp;" "</f>
        <v>  </v>
      </c>
      <c r="CE224" s="68" t="n">
        <f aca="false">IFERROR(IF(AND(LEN(AU224)&gt;0,LEN(AU224)=LEN(AX224),OR(TRIM(MID(SUBSTITUTE(TRIM(CC224)," ",REPT(" ",60)),1,60))="",ISNUMBER(SEARCH(" "&amp;TRIM(MID(SUBSTITUTE(TRIM(CC224)," ",REPT(" ",60)),1,60))&amp;" ",CD224))),OR(TRIM(MID(SUBSTITUTE(TRIM(CC224)," ",REPT(" ",60)),61,60))="",ISNUMBER(SEARCH(" "&amp;TRIM(MID(SUBSTITUTE(TRIM(CC224)," ",REPT(" ",60)),61,60))&amp;" ",CD224))),OR(TRIM(MID(SUBSTITUTE(TRIM(CC224)," ",REPT(" ",60)),121,60))="",ISNUMBER(SEARCH(" "&amp;TRIM(MID(SUBSTITUTE(TRIM(CC224)," ",REPT(" ",60)),121,60))&amp;" ",CD224)))),1,0),0)</f>
        <v>0</v>
      </c>
      <c r="CG224" s="68" t="n">
        <f aca="false">IFERROR(LEN(SUBSTITUTE(BF224," ",""))-SUMPRODUCT((LEN(BF224)-LEN(SUBSTITUTE(BF224," "&amp;L_NAFiller&amp;" "," ")))/(LEN(L_NAFiller)+1)*LEN(L_NAFiller)),0)</f>
        <v>0</v>
      </c>
    </row>
    <row r="225" customFormat="false" ht="39.75" hidden="false" customHeight="true" outlineLevel="0" collapsed="false">
      <c r="A225" s="57" t="s">
        <v>789</v>
      </c>
      <c r="B225" s="57" t="s">
        <v>235</v>
      </c>
      <c r="C225" s="57" t="str">
        <f aca="false">Flights!$F$11</f>
        <v>MH0003</v>
      </c>
      <c r="D225" s="58" t="n">
        <f aca="false">Flights!$D$11</f>
        <v>46304</v>
      </c>
      <c r="E225" s="57" t="str">
        <f aca="false">Flights!$G$11&amp;"-"&amp;Flights!$H$11</f>
        <v>LHR-KUL</v>
      </c>
      <c r="F225" s="57" t="str">
        <f aca="false">Flights!$K$11</f>
        <v>BC</v>
      </c>
      <c r="G225" s="57" t="s">
        <v>420</v>
      </c>
      <c r="H225" s="57" t="s">
        <v>378</v>
      </c>
      <c r="I225" s="57" t="s">
        <v>379</v>
      </c>
      <c r="J225" s="57" t="s">
        <v>425</v>
      </c>
      <c r="K225" s="67" t="s">
        <v>426</v>
      </c>
      <c r="L225" s="67" t="s">
        <v>422</v>
      </c>
      <c r="M225" s="67"/>
      <c r="N225" s="67" t="s">
        <v>383</v>
      </c>
      <c r="O225" s="67" t="s">
        <v>423</v>
      </c>
      <c r="P225" s="57" t="s">
        <v>186</v>
      </c>
      <c r="Q225" s="59" t="n">
        <f aca="false">ROUND((Flights!$AE$11)*1440,0)/1440</f>
        <v>46303.9166666667</v>
      </c>
      <c r="R225" s="59" t="n">
        <f aca="false">Q225+(IF(AND(INDEX(TZ_DSTS,MATCH(P225,TZ_STN,0))&lt;&gt;"",Q225&gt;=INDEX(TZ_DSTS,MATCH(P225,TZ_STN,0)),Q225&lt;INDEX(TZ_DSTE,MATCH(P225,TZ_STN,0))),INDEX(TZ_DST,MATCH(P225,TZ_STN,0)),INDEX(TZ_STD,MATCH(P225,TZ_STN,0))))/24</f>
        <v>46303.9583333333</v>
      </c>
      <c r="S225" s="60"/>
      <c r="T225" s="60"/>
      <c r="U225" s="60"/>
      <c r="V225" s="60"/>
      <c r="W225" s="61"/>
      <c r="X225" s="60"/>
      <c r="Y225" s="60"/>
      <c r="Z225" s="60"/>
      <c r="AA225" s="60"/>
      <c r="AB225" s="60"/>
      <c r="AC225" s="60"/>
      <c r="AD225" s="66"/>
      <c r="AE225" s="60"/>
      <c r="AF225" s="61" t="str">
        <f aca="false">IF(AND(ISNUMBER(X225),ISNUMBER(Y225)),Y225-X225,"")</f>
        <v/>
      </c>
      <c r="AG225" s="62" t="str">
        <f aca="false">IF(ISNUMBER(AD225),AD225-(IF(AND(INDEX(TZ_DSTS,MATCH(P225,TZ_STN,0))&lt;&gt;"",(AD225-INDEX(TZ_STD,MATCH(P225,TZ_STN,0))/24)&gt;=INDEX(TZ_DSTS,MATCH(P225,TZ_STN,0)),(AD225-INDEX(TZ_STD,MATCH(P225,TZ_STN,0))/24)&lt;INDEX(TZ_DSTE,MATCH(P225,TZ_STN,0))),INDEX(TZ_DST,MATCH(P225,TZ_STN,0)),INDEX(TZ_STD,MATCH(P225,TZ_STN,0))))/24,"")</f>
        <v/>
      </c>
      <c r="AH225" s="65" t="str">
        <f aca="false">IFERROR(IF(N225="N/A – rule",IF(OR(TRIM(U225)="",TRIM(U225)="N/A",TRIM(U225)="Not started"),"N/A – RULE","INVALID – this check does not apply to this aircraft: clear the status (or correct the fleet on Flights)"),IF(TRIM(U225)="N/A",IF(AT225=0,"INVALID – N/A not permitted for this check",IF(AND(TRIM(AB225)&lt;&gt;"",TRIM(AB225)&lt;&gt;"Closed"),"INVALID – corrective action still open",IF(AND(NOT(OR(LEN(AZ225)&lt;15,ISNUMBER(MATCH(AZ225,L_Placeholder,0)))),BK225=0,CG225&gt;=8,NOT(OR(LEN(AU225)&lt;2,ISNUMBER(MATCH(AU225,L_Placeholder,0)))),BR225&gt;=3,NOT(OR(LEN(AX225)&lt;2,ISNUMBER(MATCH(AX225,L_Placeholder,0)))),BS225&gt;=3,TRIM(AE225)&lt;&gt;TRIM(T225),AX225&lt;&gt;AU225,CE225=0),"N/A – JUSTIFIED","INVALID – N/A needs a real, settled reason (not 'not applicable' / 'as above' / TBC), a named PIC and a different named verifier"))),IF(OR(TRIM(U225)="Pass",TRIM(U225)="Pass after CA"),IF(NOT(ISNUMBER(AD225)),"INVALID – completion time missing",IF(OR(OR(LEN(AU225)&lt;2,ISNUMBER(MATCH(AU225,L_Placeholder,0))),BR225&lt;3),"INVALID – PIC missing or not a named person (a role such as QA / CSM is not a name)",IF(OR(LEN(AV225)&lt;2,ISNUMBER(MATCH(AV225,L_Placeholder,0))),"INVALID – result / assessment missing",IF(OR(OR(LEN(AW225)&lt;3,ISNUMBER(MATCH(AW225,L_Placeholder,0))),SUMPRODUCT(--ISNUMBER(SEARCH(" "&amp;L_EvidencePhrase&amp;" ",BD225)))&gt;0,BI225=1),"INVALID – evidence missing, placeholder or not yet on file",IF(ISNA(MATCH(TRIM(S225),L_EvidenceType,0)),"INVALID – choose the evidence type from the list (column S)",IF(BL225=0,"INVALID – evidence ID must be the record's own ID only (e.g. SF-2210, IMG_2231, 1045521); a link / file name needs type 'Link / file path'",IF(OR(OR(LEN(AX225)&lt;2,ISNUMBER(MATCH(AX225,L_Placeholder,0))),BS225&lt;3),"INVALID – verifier missing or not a named person (a role such as QA / CSM is not a name)",IF(OR(AX225=AU225,CE225=1,AND(LEN(AU225)&gt;=4,ISNUMBER(SEARCH(AU225,AX225))),AND(LEN(AX225)&gt;=4,ISNUMBER(SEARCH(AX225,AU225)))),"INVALID – verifier must be a different, named person (not the PIC or a role)",IF(BH225=1,"INVALID – result not yet available (awaiting / TBC)",IF(BG225=1,"INVALID – result describes a problem: record Fail, then Pass after CA (or reword if it is not a problem)",IF(BV225=1,"INVALID – wording says not on board: an on-board confirmation needs the item loaded",IF(AND(AQ225=1,OR(OR(LEN(AY225)&lt;3,ISNUMBER(MATCH(AY225,L_Placeholder,0))),BJ225=1,BQ225=0)),"INVALID – batch ID missing, placeholder or not an ID (e.g. PASB-261008-BC-017)",IF(AND(AR225=1,OR(NOT(ISNUMBER(X225)),NOT(ISNUMBER(Y225)))),"INVALID – expected/actual qty missing",IF(AND(AR225=1,OR(X225&lt;=0,Y225&lt;0)),"INVALID – expected qty must be above 0 and actual not negative",IF(BB225&lt;&gt;"",BB225,IF(AND(AS225=1,Documents!$J$11&lt;&gt;"ON FILE"),"INVALID – GLD not on file (Documents sheet)",IF(AND(AS225=2,Documents!$O$11&lt;&gt;"ON FILE"),"INVALID – menu checklist not on file (Documents sheet)",IF(AND(AS225=3,NOT(ISNUMBER(Flights!$AX$11))),"INVALID – enter carrying flight KUL departure (Flights AX)",IF(AND(AS225=3,OR(Flights!$AZ$11&gt;Flights!$AA$11,Flights!$AX$11&lt;Flights!$AA$11-3)),"INVALID – carrying flight (Flights AX) cannot arrive before this leg's STD, or is over 3 days early",IF(AG225&gt;AsOfUTC,"INVALID – completion time is in the future",IF(AND(ISNUMBER(BY225),AG225&lt;BY225),IF(H225="Physical uplift","INVALID – before uplift window (cannot confirm loading)","INVALID – before valid window"),IF(AG225&gt;Flights!$AA$11,"INVALID – completed after departure (cannot establish readiness)",IF(AND(H225="Preparation",AG225&gt;=IF(ISNUMBER(Flights!$BA$11),MIN(Flights!$BA$11,Flights!$AA$11),Flights!$AA$11)),"INVALID – completed after loading / departure (cannot establish readiness)",IF(AND(H225="Physical uplift",AG225&gt;Q225),"INVALID – recorded after the loading flight departed",IF(AG225&gt;Q225,"COMPLETE – LATE","COMPLETE"))))))))))))))))))))))))),IF(TRIM(U225)="Fail","FAIL – DISCREPANCY",IF(AND(TRIM(U225)&lt;&gt;"",TRIM(U225)&lt;&gt;"Not started",TRIM(U225)&lt;&gt;"In progress"),"INVALID – unrecognised status (use the list)",IF(AsOfUTC&gt;Q225,"OVERDUE",IF(N225="Clarification required","OPEN – CLARIFICATION","OPEN"))))))),"INVALID – error value in an input cell")</f>
        <v>OPEN</v>
      </c>
      <c r="AI225" s="61" t="n">
        <f aca="false">IF(OR(AH225="N/A – RULE",AH225="N/A – JUSTIFIED"),0,1)</f>
        <v>1</v>
      </c>
      <c r="AJ225" s="61" t="n">
        <f aca="false">IF(LEFT(AH225,8)="COMPLETE",1,0)</f>
        <v>0</v>
      </c>
      <c r="AK225" s="61" t="n">
        <f aca="false">IF(AND(AI225=1,AJ225=0,AsOfUTC&gt;Q225),1,0)</f>
        <v>0</v>
      </c>
      <c r="AL225" s="61" t="n">
        <f aca="false">IFERROR(IF(AND(AI225=1,OR(TRIM(U225)="Fail",AND(TRIM(AB225)&lt;&gt;"",TRIM(AB225)&lt;&gt;"Closed"),AND(ISNUMBER(AF225),AF225&lt;&gt;0,TRIM(U225)&lt;&gt;"Pass after CA"))),1,0),1)</f>
        <v>0</v>
      </c>
      <c r="AM225" s="61" t="n">
        <f aca="false">IF(LEFT(AH225,7)="INVALID",1,0)</f>
        <v>0</v>
      </c>
      <c r="AN225" s="61" t="n">
        <f aca="false">IF(AND(N225="Clarification required",AI225=1,AJ225=0),1,0)</f>
        <v>0</v>
      </c>
      <c r="AO225" s="61" t="str">
        <f aca="false">IF(AK225=1,SUM(AK$5:AK225),"")</f>
        <v/>
      </c>
      <c r="AP225" s="61" t="str">
        <f aca="false">IF(AL225=1,SUM(AL$5:AL225),"")</f>
        <v/>
      </c>
      <c r="AQ225" s="61" t="n">
        <v>0</v>
      </c>
      <c r="AR225" s="61" t="n">
        <v>1</v>
      </c>
      <c r="AS225" s="61" t="n">
        <v>0</v>
      </c>
      <c r="AT225" s="61" t="n">
        <v>0</v>
      </c>
      <c r="AU225" s="61" t="str">
        <f aca="false">SUBSTITUTE(SUBSTITUTE(SUBSTITUTE(SUBSTITUTE(SUBSTITUTE(SUBSTITUTE(SUBSTITUTE(SUBSTITUTE(SUBSTITUTE(SUBSTITUTE(SUBSTITUTE(SUBSTITUTE(SUBSTITUTE(SUBSTITUTE(SUBSTITUTE(SUBSTITUTE(LOWER(T225&amp;""),CHAR(10),""),CHAR(13),""),CHAR(9),""),CHAR(160),"")," ",""),".",""),"-",""),"/",""),"?",""),"_",""),",",""),"[",""),"]",""),"(",""),")",""),"*","")</f>
        <v/>
      </c>
      <c r="AV225" s="61" t="str">
        <f aca="false">SUBSTITUTE(SUBSTITUTE(SUBSTITUTE(SUBSTITUTE(SUBSTITUTE(SUBSTITUTE(SUBSTITUTE(SUBSTITUTE(SUBSTITUTE(SUBSTITUTE(SUBSTITUTE(SUBSTITUTE(SUBSTITUTE(SUBSTITUTE(SUBSTITUTE(SUBSTITUTE(LOWER(V225&amp;""),CHAR(10),""),CHAR(13),""),CHAR(9),""),CHAR(160),"")," ",""),".",""),"-",""),"/",""),"?",""),"_",""),",",""),"[",""),"]",""),"(",""),")",""),"*","")</f>
        <v/>
      </c>
      <c r="AW225" s="61" t="str">
        <f aca="false">SUBSTITUTE(SUBSTITUTE(SUBSTITUTE(SUBSTITUTE(SUBSTITUTE(SUBSTITUTE(SUBSTITUTE(SUBSTITUTE(SUBSTITUTE(SUBSTITUTE(SUBSTITUTE(SUBSTITUTE(SUBSTITUTE(SUBSTITUTE(SUBSTITUTE(SUBSTITUTE(LOWER(Z225&amp;""),CHAR(10),""),CHAR(13),""),CHAR(9),""),CHAR(160),"")," ",""),".",""),"-",""),"/",""),"?",""),"_",""),",",""),"[",""),"]",""),"(",""),")",""),"*","")</f>
        <v/>
      </c>
      <c r="AX225" s="61" t="str">
        <f aca="false">SUBSTITUTE(SUBSTITUTE(SUBSTITUTE(SUBSTITUTE(SUBSTITUTE(SUBSTITUTE(SUBSTITUTE(SUBSTITUTE(SUBSTITUTE(SUBSTITUTE(SUBSTITUTE(SUBSTITUTE(SUBSTITUTE(SUBSTITUTE(SUBSTITUTE(SUBSTITUTE(LOWER(AE225&amp;""),CHAR(10),""),CHAR(13),""),CHAR(9),""),CHAR(160),"")," ",""),".",""),"-",""),"/",""),"?",""),"_",""),",",""),"[",""),"]",""),"(",""),")",""),"*","")</f>
        <v/>
      </c>
      <c r="AY225" s="61" t="str">
        <f aca="false">SUBSTITUTE(SUBSTITUTE(SUBSTITUTE(SUBSTITUTE(SUBSTITUTE(SUBSTITUTE(SUBSTITUTE(SUBSTITUTE(SUBSTITUTE(SUBSTITUTE(SUBSTITUTE(SUBSTITUTE(SUBSTITUTE(SUBSTITUTE(SUBSTITUTE(SUBSTITUTE(LOWER(W225&amp;""),CHAR(10),""),CHAR(13),""),CHAR(9),""),CHAR(160),"")," ",""),".",""),"-",""),"/",""),"?",""),"_",""),",",""),"[",""),"]",""),"(",""),")",""),"*","")</f>
        <v/>
      </c>
      <c r="AZ225" s="61" t="str">
        <f aca="false">SUBSTITUTE(SUBSTITUTE(SUBSTITUTE(SUBSTITUTE(SUBSTITUTE(SUBSTITUTE(SUBSTITUTE(SUBSTITUTE(SUBSTITUTE(SUBSTITUTE(SUBSTITUTE(SUBSTITUTE(SUBSTITUTE(SUBSTITUTE(SUBSTITUTE(SUBSTITUTE(LOWER(AC225&amp;""),CHAR(10),""),CHAR(13),""),CHAR(9),""),CHAR(160),"")," ",""),".",""),"-",""),"/",""),"?",""),"_",""),",",""),"[",""),"]",""),"(",""),")",""),"*","")</f>
        <v/>
      </c>
      <c r="BA225" s="61" t="str">
        <f aca="false">SUBSTITUTE(SUBSTITUTE(SUBSTITUTE(SUBSTITUTE(SUBSTITUTE(SUBSTITUTE(SUBSTITUTE(SUBSTITUTE(SUBSTITUTE(SUBSTITUTE(SUBSTITUTE(SUBSTITUTE(SUBSTITUTE(SUBSTITUTE(SUBSTITUTE(SUBSTITUTE(LOWER(AA225&amp;""),CHAR(10),""),CHAR(13),""),CHAR(9),""),CHAR(160),"")," ",""),".",""),"-",""),"/",""),"?",""),"_",""),",",""),"[",""),"]",""),"(",""),")",""),"*","")</f>
        <v/>
      </c>
      <c r="BB225" s="61" t="str">
        <f aca="false">IF(AND(TRIM(U225)="Pass",ISNUMBER(AF225)),IF(AF225&lt;&gt;0,"INVALID – qty variance: use Fail or Pass after CA",""),"")&amp;IF(AND(TRIM(U225)="Pass after CA",ISNUMBER(AF225)),IF(AF225&lt;&gt;0,"INVALID – after the corrective action the actual qty must equal expected (update Actual)",""),"")&amp;IF(AND(TRIM(U225)="Pass",TRIM(AB225)&lt;&gt;"",TRIM(AB225)&lt;&gt;"Closed"),"INVALID – corrective action not closed: use Fail, then Pass after CA","")&amp;IF(AND(LEN(BA225)&gt;=2,ISNA(MATCH(LEFT(BA225,255),L_Placeholder,0)),TRIM(AB225)=""),"INVALID – CA status missing for the recorded corrective action","")&amp;IF(AND(TRIM(U225)="Pass after CA",OR(OR(LEN(BA225)&lt;5,ISNUMBER(MATCH(BA225,L_Placeholder,0))),TRIM(AB225)&lt;&gt;"Closed")),"INVALID – corrective action not recorded/closed","")</f>
        <v/>
      </c>
      <c r="BC225" s="61" t="str">
        <f aca="false">" "&amp;TRIM(SUBSTITUTE(SUBSTITUTE(SUBSTITUTE(SUBSTITUTE(SUBSTITUTE(SUBSTITUTE(SUBSTITUTE(SUBSTITUTE(SUBSTITUTE(SUBSTITUTE(SUBSTITUTE(SUBSTITUTE(SUBSTITUTE(SUBSTITUTE(SUBSTITUTE(SUBSTITUTE(SUBSTITUTE(SUBSTITUTE(SUBSTITUTE(SUBSTITUTE(SUBSTITUTE(SUBSTITUTE(SUBSTITUTE(SUBSTITUTE(LOWER(V225&amp;""),CHAR(10)," "),CHAR(13)," "),CHAR(9)," "),CHAR(160)," "),"."," "),","," "),"-"," "),"/"," "),"("," "),")"," "),":"," "),";"," "),"_"," "),"–"," "),"?"," "),"!"," "),"*"," "),"["," "),"]"," "),"'"," "),"#"," "),"+"," "),"&amp;"," "),"\"," "))&amp;" "</f>
        <v>  </v>
      </c>
      <c r="BD225" s="61" t="str">
        <f aca="false">" "&amp;TRIM(SUBSTITUTE(SUBSTITUTE(SUBSTITUTE(SUBSTITUTE(SUBSTITUTE(SUBSTITUTE(SUBSTITUTE(SUBSTITUTE(SUBSTITUTE(SUBSTITUTE(SUBSTITUTE(SUBSTITUTE(SUBSTITUTE(SUBSTITUTE(SUBSTITUTE(SUBSTITUTE(SUBSTITUTE(SUBSTITUTE(SUBSTITUTE(SUBSTITUTE(SUBSTITUTE(SUBSTITUTE(SUBSTITUTE(SUBSTITUTE(LOWER(Z225&amp;""),CHAR(10)," "),CHAR(13)," "),CHAR(9)," "),CHAR(160)," "),"."," "),","," "),"-"," "),"/"," "),"("," "),")"," "),":"," "),";"," "),"_"," "),"–"," "),"?"," "),"!"," "),"*"," "),"["," "),"]"," "),"'"," "),"#"," "),"+"," "),"&amp;"," "),"\"," "))&amp;" "</f>
        <v>  </v>
      </c>
      <c r="BE225" s="61" t="str">
        <f aca="false">" "&amp;TRIM(SUBSTITUTE(SUBSTITUTE(SUBSTITUTE(SUBSTITUTE(SUBSTITUTE(SUBSTITUTE(SUBSTITUTE(SUBSTITUTE(SUBSTITUTE(SUBSTITUTE(SUBSTITUTE(SUBSTITUTE(SUBSTITUTE(SUBSTITUTE(SUBSTITUTE(SUBSTITUTE(SUBSTITUTE(SUBSTITUTE(SUBSTITUTE(SUBSTITUTE(SUBSTITUTE(SUBSTITUTE(SUBSTITUTE(SUBSTITUTE(LOWER(W225&amp;""),CHAR(10)," "),CHAR(13)," "),CHAR(9)," "),CHAR(160)," "),"."," "),","," "),"-"," "),"/"," "),"("," "),")"," "),":"," "),";"," "),"_"," "),"–"," "),"?"," "),"!"," "),"*"," "),"["," "),"]"," "),"'"," "),"#"," "),"+"," "),"&amp;"," "),"\"," "))&amp;" "</f>
        <v>  </v>
      </c>
      <c r="BF225" s="61" t="str">
        <f aca="false">" "&amp;TRIM(SUBSTITUTE(SUBSTITUTE(SUBSTITUTE(SUBSTITUTE(SUBSTITUTE(SUBSTITUTE(SUBSTITUTE(SUBSTITUTE(SUBSTITUTE(SUBSTITUTE(SUBSTITUTE(SUBSTITUTE(SUBSTITUTE(SUBSTITUTE(SUBSTITUTE(SUBSTITUTE(SUBSTITUTE(SUBSTITUTE(SUBSTITUTE(SUBSTITUTE(SUBSTITUTE(SUBSTITUTE(SUBSTITUTE(SUBSTITUTE(LOWER(AC225&amp;""),CHAR(10)," "),CHAR(13)," "),CHAR(9)," "),CHAR(160)," "),"."," "),","," "),"-"," "),"/"," "),"("," "),")"," "),":"," "),";"," "),"_"," "),"–"," "),"?"," "),"!"," "),"*"," "),"["," "),"]"," "),"'"," "),"#"," "),"+"," "),"&amp;"," "),"\"," "))&amp;" "</f>
        <v>  </v>
      </c>
      <c r="BG225" s="61" t="n">
        <f aca="false">IFERROR(IF(AND(TRIM(U225)="Pass",SUMPRODUCT((LEN(BC225)-LEN(SUBSTITUTE(BC225," "&amp;L_ResultBad&amp;" "," ")))/(LEN(L_ResultBad)+1))&gt;SUMPRODUCT((LEN(BC225)-LEN(SUBSTITUTE(BC225," "&amp;L_NegPhrase&amp;" "," ")))/(LEN(L_NegPhrase)+1))),1,0),0)</f>
        <v>0</v>
      </c>
      <c r="BH225" s="61" t="n">
        <f aca="false">IFERROR(IF(SUMPRODUCT((LEN(BC225)-LEN(SUBSTITUTE(BC225," "&amp;L_Pending&amp;" "," ")))/(LEN(L_Pending)+1))&gt;SUMPRODUCT((LEN(BC225)-LEN(SUBSTITUTE(BC225," "&amp;L_PendNeg&amp;" "," ")))/(LEN(L_PendNeg)+1))+SUMPRODUCT((LEN(BC225)-LEN(SUBSTITUTE(BC225," "&amp;L_PendPrep&amp;" "," ")))/(LEN(L_PendPrep)+1)),1,0),1)</f>
        <v>0</v>
      </c>
      <c r="BI225" s="61" t="n">
        <f aca="false">IFERROR(IF(SUMPRODUCT((LEN(BD225)-LEN(SUBSTITUTE(BD225," "&amp;L_PendStrict&amp;" "," ")))/(LEN(L_PendStrict)+1))&gt;SUMPRODUCT((LEN(BD225)-LEN(SUBSTITUTE(BD225," "&amp;L_PendNeg&amp;" "," ")))/(LEN(L_PendNeg)+1)),1,0),1)</f>
        <v>0</v>
      </c>
      <c r="BJ225" s="61" t="n">
        <f aca="false">IFERROR(IF(SUMPRODUCT((LEN(BE225)-LEN(SUBSTITUTE(BE225," "&amp;L_Pending&amp;" "," ")))/(LEN(L_Pending)+1))&gt;SUMPRODUCT((LEN(BE225)-LEN(SUBSTITUTE(BE225," "&amp;L_PendNeg&amp;" "," ")))/(LEN(L_PendNeg)+1))+SUMPRODUCT((LEN(BE225)-LEN(SUBSTITUTE(BE225," "&amp;L_PendPrep&amp;" "," ")))/(LEN(L_PendPrep)+1)),1,0),1)</f>
        <v>0</v>
      </c>
      <c r="BK225" s="61" t="n">
        <f aca="false">IFERROR(IF(SUMPRODUCT((LEN(BF225)-LEN(SUBSTITUTE(BF225," "&amp;L_PendStrict&amp;" "," ")))/(LEN(L_PendStrict)+1))&gt;SUMPRODUCT((LEN(BF225)-LEN(SUBSTITUTE(BF225," "&amp;L_PendNeg&amp;" "," ")))/(LEN(L_PendNeg)+1)),1,0),1)</f>
        <v>0</v>
      </c>
      <c r="BL225" s="61" t="n">
        <f aca="false">IF(ISNA(MATCH(TRIM(S225),L_EvidenceType,0)),0,BZ225)</f>
        <v>0</v>
      </c>
      <c r="BM225" s="61" t="str">
        <f aca="false">SUBSTITUTE(SUBSTITUTE(SUBSTITUTE(SUBSTITUTE(SUBSTITUTE(SUBSTITUTE(SUBSTITUTE(SUBSTITUTE(SUBSTITUTE(LOWER(Z225&amp;""),"1","0"),"2","0"),"3","0"),"4","0"),"5","0"),"6","0"),"7","0"),"8","0"),"9","0")</f>
        <v/>
      </c>
      <c r="BN225" s="61" t="str">
        <f aca="false">SUBSTITUTE(SUBSTITUTE(SUBSTITUTE(SUBSTITUTE(SUBSTITUTE(SUBSTITUTE(SUBSTITUTE(SUBSTITUTE(SUBSTITUTE(SUBSTITUTE(SUBSTITUTE(SUBSTITUTE(SUBSTITUTE(SUBSTITUTE(SUBSTITUTE(SUBSTITUTE(SUBSTITUTE(SUBSTITUTE(SUBSTITUTE(SUBSTITUTE(SUBSTITUTE(SUBSTITUTE(SUBSTITUTE(SUBSTITUTE(SUBSTITUTE(BM225,"b","a"),"c","a"),"d","a"),"e","a"),"f","a"),"g","a"),"h","a"),"i","a"),"j","a"),"k","a"),"l","a"),"m","a"),"n","a"),"o","a"),"p","a"),"q","a"),"r","a"),"s","a"),"t","a"),"u","a"),"v","a"),"w","a"),"x","a"),"y","a"),"z","a")</f>
        <v/>
      </c>
      <c r="BO225" s="61" t="str">
        <f aca="false">SUBSTITUTE(SUBSTITUTE(SUBSTITUTE(SUBSTITUTE(SUBSTITUTE(SUBSTITUTE(SUBSTITUTE(SUBSTITUTE(SUBSTITUTE(LOWER(W225&amp;""),"1","0"),"2","0"),"3","0"),"4","0"),"5","0"),"6","0"),"7","0"),"8","0"),"9","0")</f>
        <v/>
      </c>
      <c r="BP225" s="61" t="str">
        <f aca="false">SUBSTITUTE(SUBSTITUTE(SUBSTITUTE(SUBSTITUTE(SUBSTITUTE(SUBSTITUTE(SUBSTITUTE(SUBSTITUTE(SUBSTITUTE(SUBSTITUTE(SUBSTITUTE(SUBSTITUTE(SUBSTITUTE(SUBSTITUTE(SUBSTITUTE(SUBSTITUTE(SUBSTITUTE(SUBSTITUTE(SUBSTITUTE(SUBSTITUTE(SUBSTITUTE(SUBSTITUTE(SUBSTITUTE(SUBSTITUTE(SUBSTITUTE(BO225,"b","a"),"c","a"),"d","a"),"e","a"),"f","a"),"g","a"),"h","a"),"i","a"),"j","a"),"k","a"),"l","a"),"m","a"),"n","a"),"o","a"),"p","a"),"q","a"),"r","a"),"s","a"),"t","a"),"u","a"),"v","a"),"w","a"),"x","a"),"y","a"),"z","a")</f>
        <v/>
      </c>
      <c r="BQ225" s="61" t="n">
        <f aca="false">IFERROR(IF(AND(ISERROR(SEARCH(" mh"," "&amp;LOWER(W225))),ISNA(MATCH(LEFT(TRIM(BP225),255),{"0000a","000a","00a","0000aa","000aa","00aa","0aa","0000aaa","000aaa","00a00","0a00","0000-0000","00:00","a00","a0","00.00.0000","00/00/0000","00-00-0000","0000-00-00","0000/00/00","0000.00.00","00.00.00","00/00/00","00-00-00","0.00.0000","0/00/0000","0-00-0000"},0)),ISNA(MATCH(LEFT(TRIM(CA225),255),{"0000a","000a","00a","0000aa","000aa","00aa","0aa","0000aaa","000aaa","00a00","0a00","0000-0000","00:00","a00","a0","00.00.0000","00/00/0000","00-00-0000","0000-00-00","0000/00/00","0000.00.00","00.00.00","00/00/00","00-00-00","0.00.0000","0/00/0000","0-00-0000"},0)),LEN(CB225)&gt;=3,NOT(OR(SUBSTITUTE(CB225,"0","")="",AND(LEN(CB225)&gt;=4,CB225=REPT(LEFT(CB225),LEN(CB225))),ISNUMBER(MATCH(CB225,{"123","1234","12345","123456","1234567","12345678","0123","01234","012345","98765","987654","54321"},0)),AND(LEN(CB225)=8,LEFT(CB225,3)="202"))),OR(AND((LEN(CA225)-LEN(SUBSTITUTE(CA225,"a","")))&gt;=1,SUMPRODUCT(--ISNUMBER(SEARCH({"a0","a-0","a_0","a/0","a.0","a#0","0a","0-a","0_a","0/a"},BP225)))&gt;0),ISNUMBER(SEARCH("000000",BP225)))),1,0),0)</f>
        <v>0</v>
      </c>
      <c r="BR225" s="61" t="n">
        <f aca="false">IFERROR(LEN(SUBSTITUTE(CC225," ",""))-SUMPRODUCT((LEN(CC225)-LEN(SUBSTITUTE(CC225," "&amp;L_Role&amp;" "," ")))/(LEN(L_Role)+1)*LEN(L_Role)),0)</f>
        <v>0</v>
      </c>
      <c r="BS225" s="61" t="n">
        <f aca="false">IFERROR(LEN(SUBSTITUTE(CD225," ",""))-SUMPRODUCT((LEN(CD225)-LEN(SUBSTITUTE(CD225," "&amp;L_Role&amp;" "," ")))/(LEN(L_Role)+1)*LEN(L_Role)),0)</f>
        <v>0</v>
      </c>
      <c r="BT2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225,"revision",""),"version",""),"jan",""),"feb",""),"mar",""),"apr",""),"may",""),"jun",""),"jul",""),"aug",""),"sep",""),"oct",""),"nov",""),"dec",""),"utc",""),"gmt",""),"myt",""),"bst",""),"rev",""),"ver",""),"b","a"),"c","a"),"d","a"),"e","a"),"f","a"),"g","a"),"h","a"),"i","a"),"j","a"),"k","a"),"l","a"),"m","a"),"n","a"),"o","a"),"p","a"),"q","a"),"r","a"),"s","a"),"t","a"),"u","a"),"v","a"),"w","a"),"x","a"),"y","a"),"z","a")</f>
        <v/>
      </c>
      <c r="BU225" s="61" t="str">
        <f aca="false">SUBSTITUTE(SUBSTITUTE(SUBSTITUTE(SUBSTITUTE(SUBSTITUTE(SUBSTITUTE(SUBSTITUTE(SUBSTITUTE(SUBSTITUTE(SUBSTITUTE(LEFT(BM225,FIND("0",BM225&amp;"0")-1),"-",""),"_",""),"/",""),".",""),"#",""),"\\",""),":","")," ",""),"(",""),")","")</f>
        <v/>
      </c>
      <c r="BV225" s="61" t="n">
        <f aca="false">0</f>
        <v>0</v>
      </c>
      <c r="BW2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225&amp;""),"a",""),"b",""),"c",""),"d",""),"e",""),"f",""),"g",""),"h",""),"i",""),"j",""),"k",""),"l",""),"m",""),"n",""),"o",""),"p",""),"q",""),"r",""),"s",""),"t",""),"u",""),"v",""),"w",""),"x",""),"y",""),"z",""),"-",""),"_",""),"/",""),".",""),"#",""),"\\",""),":","")," ",""),"(",""),")","")</f>
        <v/>
      </c>
      <c r="BX225" s="61" t="str">
        <f aca="false">SUBSTITUTE(SUBSTITUTE(SUBSTITUTE(SUBSTITUTE(SUBSTITUTE(SUBSTITUTE(SUBSTITUTE(SUBSTITUTE(SUBSTITUTE(SUBSTITUTE(SUBSTITUTE(BM225,"0",""),"-",""),"_",""),"/",""),".",""),"#",""),"\\",""),":","")," ",""),"(",""),")","")</f>
        <v/>
      </c>
      <c r="BY225" s="62" t="n">
        <f aca="false">Q225-T12EarlyH/24</f>
        <v>46303.4166666667</v>
      </c>
      <c r="BZ225" s="61" t="n">
        <f aca="false">IFERROR(IF(IF(TRIM(S225)="Link / file path",AND(LEN(TRIM(Z225))&gt;=5,SUMPRODUCT(--ISNUMBER(SEARCH({"http","www.","\\",":\",".pdf",".jpg",".jpeg",".png",".heic",".xls",".doc",".msg",".eml",".ppt",".txt",".zip"},Z225)))&gt;0),AND(ISERROR(FIND(" ",TRIM(Z225))),NOT(OR(SUMPRODUCT(--ISNUMBER(FIND({",",";","&amp;","+"},Z225)))&gt;0,SUMPRODUCT(--ISNUMBER(SEARCH({"0/aa","0\\aa"},BN225)))&gt;0)),NOT(SUMPRODUCT(--ISNUMBER(SEARCH({"http","www.","\\",":\",".pdf",".jpg",".jpeg",".png",".heic",".xls",".doc",".msg",".eml",".ppt",".txt",".zip"},Z225)))&gt;0),NOT(LOWER(TRIM(Z225))=LOWER(Flights!$F$11)),ISNA(MATCH(BU225,{"mh","rev","revision","ver","version","v","r","a","b","seat","tray","row","gate","bay","stand","page","pg","item","line","no","cart","galley","flight","flt","table","box","bag","oven","etd","eta","std","sta","atd","ata","qty","pax","x","time","tel","ph","mob","day","wk","week","utc","gmt","myt","lt"},0)),NOT(OR(ISNUMBER(MATCH(LEFT(BN225,255),{"0000a","000a","00a","0000aa","000aa","00aa","0aa","0000aaa","000aaa","00a00","0a00","0000-0000","00:00","a00","a0","00.00.0000","00/00/0000","00-00-0000","0000-00-00","0000/00/00","0000.00.00","00.00.00","00/00/00","00-00-00","0.00.0000","0/00/0000","0-00-0000"},0)),ISNUMBER(MATCH(LEFT(BT225,255),{"0000a","000a","00a","0000aa","000aa","00aa","0aa","0000aaa","000aaa","00a00","0a00","0000-0000","00:00","a00","a0","00.00.0000","00/00/0000","00-00-0000","0000-00-00","0000/00/00","0000.00.00","00.00.00","00/00/00","00-00-00","0.00.0000","0/00/0000","0-00-0000"},0)))),NOT(OR(AND(BW225&lt;&gt;"",SUBSTITUTE(BW225,"0","")=""),AND(LEN(BW225)&gt;=4,BW225=REPT(LEFT(BW225),LEN(BW225))),ISNUMBER(MATCH(BW225,{"123","1234","12345","123456","1234567","12345678","0123","01234","012345","98765","987654","54321"},0)),ISNUMBER(MATCH(BX225,{"x","xx","xxx","xxxx","xxxxx","abc","abcd","nil","na","nan","test","tbc","tba","tbd","dummy","sample","example","eg","zz","zzz","none","null","xyz","qwe","asd","id","ref"},0)),AND(LEN(BW225)=8,BX225="",OR(LEFT(BW225,3)="202",ISNUMBER(MATCH(RIGHT(BW225,4),{"2025","2026","2027"},0)))))),OR(AND((LEN(BT225)-LEN(SUBSTITUTE(BT225,"a","")))&gt;=1,(LEN(BN225)-LEN(SUBSTITUTE(BN225,"0","")))&gt;=2,SUMPRODUCT(--ISNUMBER(SEARCH({"a0","a-0","a_0","a/0","a.0","a#0","0a","0-a","0_a","0/a"},BN225)))&gt;0),AND((LEN(BN225)-LEN(SUBSTITUTE(BN225,"a","")))=0,(LEN(BN225)-LEN(SUBSTITUTE(BN225,"0","")))&gt;=5)))),1,0),0)</f>
        <v>0</v>
      </c>
      <c r="CA2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225,"revision",""),"version",""),"jan",""),"feb",""),"mar",""),"apr",""),"may",""),"jun",""),"jul",""),"aug",""),"sep",""),"oct",""),"nov",""),"dec",""),"utc",""),"gmt",""),"myt",""),"bst",""),"rev",""),"ver",""),"b","a"),"c","a"),"d","a"),"e","a"),"f","a"),"g","a"),"h","a"),"i","a"),"j","a"),"k","a"),"l","a"),"m","a"),"n","a"),"o","a"),"p","a"),"q","a"),"r","a"),"s","a"),"t","a"),"u","a"),"v","a"),"w","a"),"x","a"),"y","a"),"z","a")</f>
        <v/>
      </c>
      <c r="CB2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225&amp;""),"a",""),"b",""),"c",""),"d",""),"e",""),"f",""),"g",""),"h",""),"i",""),"j",""),"k",""),"l",""),"m",""),"n",""),"o",""),"p",""),"q",""),"r",""),"s",""),"t",""),"u",""),"v",""),"w",""),"x",""),"y",""),"z",""),"-",""),"_",""),"/",""),".",""),"#",""),"\\",""),":","")," ",""),"(",""),")","")</f>
        <v/>
      </c>
      <c r="CC225" s="0" t="str">
        <f aca="false">" "&amp;TRIM(SUBSTITUTE(SUBSTITUTE(SUBSTITUTE(SUBSTITUTE(SUBSTITUTE(SUBSTITUTE(SUBSTITUTE(SUBSTITUTE(SUBSTITUTE(SUBSTITUTE(SUBSTITUTE(SUBSTITUTE(SUBSTITUTE(SUBSTITUTE(SUBSTITUTE(SUBSTITUTE(SUBSTITUTE(SUBSTITUTE(SUBSTITUTE(SUBSTITUTE(SUBSTITUTE(SUBSTITUTE(SUBSTITUTE(SUBSTITUTE(LOWER(T225&amp;""),CHAR(10)," "),CHAR(13)," "),CHAR(9)," "),CHAR(160)," "),"."," "),","," "),"-"," "),"/"," "),"("," "),")"," "),":"," "),";"," "),"_"," "),"–"," "),"?"," "),"!"," "),"*"," "),"["," "),"]"," "),"'"," "),"#"," "),"+"," "),"&amp;"," "),"\"," "))&amp;" "</f>
        <v>  </v>
      </c>
      <c r="CD225" s="0" t="str">
        <f aca="false">" "&amp;TRIM(SUBSTITUTE(SUBSTITUTE(SUBSTITUTE(SUBSTITUTE(SUBSTITUTE(SUBSTITUTE(SUBSTITUTE(SUBSTITUTE(SUBSTITUTE(SUBSTITUTE(SUBSTITUTE(SUBSTITUTE(SUBSTITUTE(SUBSTITUTE(SUBSTITUTE(SUBSTITUTE(SUBSTITUTE(SUBSTITUTE(SUBSTITUTE(SUBSTITUTE(SUBSTITUTE(SUBSTITUTE(SUBSTITUTE(SUBSTITUTE(LOWER(AE225&amp;""),CHAR(10)," "),CHAR(13)," "),CHAR(9)," "),CHAR(160)," "),"."," "),","," "),"-"," "),"/"," "),"("," "),")"," "),":"," "),";"," "),"_"," "),"–"," "),"?"," "),"!"," "),"*"," "),"["," "),"]"," "),"'"," "),"#"," "),"+"," "),"&amp;"," "),"\"," "))&amp;" "</f>
        <v>  </v>
      </c>
      <c r="CE225" s="68" t="n">
        <f aca="false">IFERROR(IF(AND(LEN(AU225)&gt;0,LEN(AU225)=LEN(AX225),OR(TRIM(MID(SUBSTITUTE(TRIM(CC225)," ",REPT(" ",60)),1,60))="",ISNUMBER(SEARCH(" "&amp;TRIM(MID(SUBSTITUTE(TRIM(CC225)," ",REPT(" ",60)),1,60))&amp;" ",CD225))),OR(TRIM(MID(SUBSTITUTE(TRIM(CC225)," ",REPT(" ",60)),61,60))="",ISNUMBER(SEARCH(" "&amp;TRIM(MID(SUBSTITUTE(TRIM(CC225)," ",REPT(" ",60)),61,60))&amp;" ",CD225))),OR(TRIM(MID(SUBSTITUTE(TRIM(CC225)," ",REPT(" ",60)),121,60))="",ISNUMBER(SEARCH(" "&amp;TRIM(MID(SUBSTITUTE(TRIM(CC225)," ",REPT(" ",60)),121,60))&amp;" ",CD225)))),1,0),0)</f>
        <v>0</v>
      </c>
      <c r="CG225" s="68" t="n">
        <f aca="false">IFERROR(LEN(SUBSTITUTE(BF225," ",""))-SUMPRODUCT((LEN(BF225)-LEN(SUBSTITUTE(BF225," "&amp;L_NAFiller&amp;" "," ")))/(LEN(L_NAFiller)+1)*LEN(L_NAFiller)),0)</f>
        <v>0</v>
      </c>
    </row>
    <row r="226" customFormat="false" ht="39.75" hidden="false" customHeight="true" outlineLevel="0" collapsed="false">
      <c r="A226" s="57" t="s">
        <v>790</v>
      </c>
      <c r="B226" s="57" t="s">
        <v>235</v>
      </c>
      <c r="C226" s="57" t="str">
        <f aca="false">Flights!$F$11</f>
        <v>MH0003</v>
      </c>
      <c r="D226" s="58" t="n">
        <f aca="false">Flights!$D$11</f>
        <v>46304</v>
      </c>
      <c r="E226" s="57" t="str">
        <f aca="false">Flights!$G$11&amp;"-"&amp;Flights!$H$11</f>
        <v>LHR-KUL</v>
      </c>
      <c r="F226" s="57" t="str">
        <f aca="false">Flights!$K$11</f>
        <v>BC</v>
      </c>
      <c r="G226" s="57" t="s">
        <v>420</v>
      </c>
      <c r="H226" s="57" t="s">
        <v>378</v>
      </c>
      <c r="I226" s="57" t="s">
        <v>428</v>
      </c>
      <c r="J226" s="57" t="s">
        <v>429</v>
      </c>
      <c r="K226" s="67"/>
      <c r="L226" s="67" t="s">
        <v>422</v>
      </c>
      <c r="M226" s="67"/>
      <c r="N226" s="67" t="s">
        <v>383</v>
      </c>
      <c r="O226" s="67" t="s">
        <v>423</v>
      </c>
      <c r="P226" s="57" t="s">
        <v>186</v>
      </c>
      <c r="Q226" s="59" t="n">
        <f aca="false">ROUND((Flights!$AE$11)*1440,0)/1440</f>
        <v>46303.9166666667</v>
      </c>
      <c r="R226" s="59" t="n">
        <f aca="false">Q226+(IF(AND(INDEX(TZ_DSTS,MATCH(P226,TZ_STN,0))&lt;&gt;"",Q226&gt;=INDEX(TZ_DSTS,MATCH(P226,TZ_STN,0)),Q226&lt;INDEX(TZ_DSTE,MATCH(P226,TZ_STN,0))),INDEX(TZ_DST,MATCH(P226,TZ_STN,0)),INDEX(TZ_STD,MATCH(P226,TZ_STN,0))))/24</f>
        <v>46303.9583333333</v>
      </c>
      <c r="S226" s="60"/>
      <c r="T226" s="60"/>
      <c r="U226" s="60"/>
      <c r="V226" s="60"/>
      <c r="W226" s="61"/>
      <c r="X226" s="60"/>
      <c r="Y226" s="60"/>
      <c r="Z226" s="60"/>
      <c r="AA226" s="60"/>
      <c r="AB226" s="60"/>
      <c r="AC226" s="60"/>
      <c r="AD226" s="66"/>
      <c r="AE226" s="60"/>
      <c r="AF226" s="61" t="str">
        <f aca="false">IF(AND(ISNUMBER(X226),ISNUMBER(Y226)),Y226-X226,"")</f>
        <v/>
      </c>
      <c r="AG226" s="62" t="str">
        <f aca="false">IF(ISNUMBER(AD226),AD226-(IF(AND(INDEX(TZ_DSTS,MATCH(P226,TZ_STN,0))&lt;&gt;"",(AD226-INDEX(TZ_STD,MATCH(P226,TZ_STN,0))/24)&gt;=INDEX(TZ_DSTS,MATCH(P226,TZ_STN,0)),(AD226-INDEX(TZ_STD,MATCH(P226,TZ_STN,0))/24)&lt;INDEX(TZ_DSTE,MATCH(P226,TZ_STN,0))),INDEX(TZ_DST,MATCH(P226,TZ_STN,0)),INDEX(TZ_STD,MATCH(P226,TZ_STN,0))))/24,"")</f>
        <v/>
      </c>
      <c r="AH226" s="65" t="str">
        <f aca="false">IFERROR(IF(N226="N/A – rule",IF(OR(TRIM(U226)="",TRIM(U226)="N/A",TRIM(U226)="Not started"),"N/A – RULE","INVALID – this check does not apply to this aircraft: clear the status (or correct the fleet on Flights)"),IF(TRIM(U226)="N/A",IF(AT226=0,"INVALID – N/A not permitted for this check",IF(AND(TRIM(AB226)&lt;&gt;"",TRIM(AB226)&lt;&gt;"Closed"),"INVALID – corrective action still open",IF(AND(NOT(OR(LEN(AZ226)&lt;15,ISNUMBER(MATCH(AZ226,L_Placeholder,0)))),BK226=0,CG226&gt;=8,NOT(OR(LEN(AU226)&lt;2,ISNUMBER(MATCH(AU226,L_Placeholder,0)))),BR226&gt;=3,NOT(OR(LEN(AX226)&lt;2,ISNUMBER(MATCH(AX226,L_Placeholder,0)))),BS226&gt;=3,TRIM(AE226)&lt;&gt;TRIM(T226),AX226&lt;&gt;AU226,CE226=0),"N/A – JUSTIFIED","INVALID – N/A needs a real, settled reason (not 'not applicable' / 'as above' / TBC), a named PIC and a different named verifier"))),IF(OR(TRIM(U226)="Pass",TRIM(U226)="Pass after CA"),IF(NOT(ISNUMBER(AD226)),"INVALID – completion time missing",IF(OR(OR(LEN(AU226)&lt;2,ISNUMBER(MATCH(AU226,L_Placeholder,0))),BR226&lt;3),"INVALID – PIC missing or not a named person (a role such as QA / CSM is not a name)",IF(OR(LEN(AV226)&lt;2,ISNUMBER(MATCH(AV226,L_Placeholder,0))),"INVALID – result / assessment missing",IF(OR(OR(LEN(AW226)&lt;3,ISNUMBER(MATCH(AW226,L_Placeholder,0))),SUMPRODUCT(--ISNUMBER(SEARCH(" "&amp;L_EvidencePhrase&amp;" ",BD226)))&gt;0,BI226=1),"INVALID – evidence missing, placeholder or not yet on file",IF(ISNA(MATCH(TRIM(S226),L_EvidenceType,0)),"INVALID – choose the evidence type from the list (column S)",IF(BL226=0,"INVALID – evidence ID must be the record's own ID only (e.g. SF-2210, IMG_2231, 1045521); a link / file name needs type 'Link / file path'",IF(OR(OR(LEN(AX226)&lt;2,ISNUMBER(MATCH(AX226,L_Placeholder,0))),BS226&lt;3),"INVALID – verifier missing or not a named person (a role such as QA / CSM is not a name)",IF(OR(AX226=AU226,CE226=1,AND(LEN(AU226)&gt;=4,ISNUMBER(SEARCH(AU226,AX226))),AND(LEN(AX226)&gt;=4,ISNUMBER(SEARCH(AX226,AU226)))),"INVALID – verifier must be a different, named person (not the PIC or a role)",IF(BH226=1,"INVALID – result not yet available (awaiting / TBC)",IF(BG226=1,"INVALID – result describes a problem: record Fail, then Pass after CA (or reword if it is not a problem)",IF(BV226=1,"INVALID – wording says not on board: an on-board confirmation needs the item loaded",IF(AND(AQ226=1,OR(OR(LEN(AY226)&lt;3,ISNUMBER(MATCH(AY226,L_Placeholder,0))),BJ226=1,BQ226=0)),"INVALID – batch ID missing, placeholder or not an ID (e.g. PASB-261008-BC-017)",IF(AND(AR226=1,OR(NOT(ISNUMBER(X226)),NOT(ISNUMBER(Y226)))),"INVALID – expected/actual qty missing",IF(AND(AR226=1,OR(X226&lt;=0,Y226&lt;0)),"INVALID – expected qty must be above 0 and actual not negative",IF(BB226&lt;&gt;"",BB226,IF(AND(AS226=1,Documents!$J$11&lt;&gt;"ON FILE"),"INVALID – GLD not on file (Documents sheet)",IF(AND(AS226=2,Documents!$O$11&lt;&gt;"ON FILE"),"INVALID – menu checklist not on file (Documents sheet)",IF(AND(AS226=3,NOT(ISNUMBER(Flights!$AX$11))),"INVALID – enter carrying flight KUL departure (Flights AX)",IF(AND(AS226=3,OR(Flights!$AZ$11&gt;Flights!$AA$11,Flights!$AX$11&lt;Flights!$AA$11-3)),"INVALID – carrying flight (Flights AX) cannot arrive before this leg's STD, or is over 3 days early",IF(AG226&gt;AsOfUTC,"INVALID – completion time is in the future",IF(AND(ISNUMBER(BY226),AG226&lt;BY226),IF(H226="Physical uplift","INVALID – before uplift window (cannot confirm loading)","INVALID – before valid window"),IF(AG226&gt;Flights!$AA$11,"INVALID – completed after departure (cannot establish readiness)",IF(AND(H226="Preparation",AG226&gt;=IF(ISNUMBER(Flights!$BA$11),MIN(Flights!$BA$11,Flights!$AA$11),Flights!$AA$11)),"INVALID – completed after loading / departure (cannot establish readiness)",IF(AND(H226="Physical uplift",AG226&gt;Q226),"INVALID – recorded after the loading flight departed",IF(AG226&gt;Q226,"COMPLETE – LATE","COMPLETE"))))))))))))))))))))))))),IF(TRIM(U226)="Fail","FAIL – DISCREPANCY",IF(AND(TRIM(U226)&lt;&gt;"",TRIM(U226)&lt;&gt;"Not started",TRIM(U226)&lt;&gt;"In progress"),"INVALID – unrecognised status (use the list)",IF(AsOfUTC&gt;Q226,"OVERDUE",IF(N226="Clarification required","OPEN – CLARIFICATION","OPEN"))))))),"INVALID – error value in an input cell")</f>
        <v>OPEN</v>
      </c>
      <c r="AI226" s="61" t="n">
        <f aca="false">IF(OR(AH226="N/A – RULE",AH226="N/A – JUSTIFIED"),0,1)</f>
        <v>1</v>
      </c>
      <c r="AJ226" s="61" t="n">
        <f aca="false">IF(LEFT(AH226,8)="COMPLETE",1,0)</f>
        <v>0</v>
      </c>
      <c r="AK226" s="61" t="n">
        <f aca="false">IF(AND(AI226=1,AJ226=0,AsOfUTC&gt;Q226),1,0)</f>
        <v>0</v>
      </c>
      <c r="AL226" s="61" t="n">
        <f aca="false">IFERROR(IF(AND(AI226=1,OR(TRIM(U226)="Fail",AND(TRIM(AB226)&lt;&gt;"",TRIM(AB226)&lt;&gt;"Closed"),AND(ISNUMBER(AF226),AF226&lt;&gt;0,TRIM(U226)&lt;&gt;"Pass after CA"))),1,0),1)</f>
        <v>0</v>
      </c>
      <c r="AM226" s="61" t="n">
        <f aca="false">IF(LEFT(AH226,7)="INVALID",1,0)</f>
        <v>0</v>
      </c>
      <c r="AN226" s="61" t="n">
        <f aca="false">IF(AND(N226="Clarification required",AI226=1,AJ226=0),1,0)</f>
        <v>0</v>
      </c>
      <c r="AO226" s="61" t="str">
        <f aca="false">IF(AK226=1,SUM(AK$5:AK226),"")</f>
        <v/>
      </c>
      <c r="AP226" s="61" t="str">
        <f aca="false">IF(AL226=1,SUM(AL$5:AL226),"")</f>
        <v/>
      </c>
      <c r="AQ226" s="61" t="n">
        <v>0</v>
      </c>
      <c r="AR226" s="61" t="n">
        <v>0</v>
      </c>
      <c r="AS226" s="61" t="n">
        <v>0</v>
      </c>
      <c r="AT226" s="61" t="n">
        <v>0</v>
      </c>
      <c r="AU226" s="61" t="str">
        <f aca="false">SUBSTITUTE(SUBSTITUTE(SUBSTITUTE(SUBSTITUTE(SUBSTITUTE(SUBSTITUTE(SUBSTITUTE(SUBSTITUTE(SUBSTITUTE(SUBSTITUTE(SUBSTITUTE(SUBSTITUTE(SUBSTITUTE(SUBSTITUTE(SUBSTITUTE(SUBSTITUTE(LOWER(T226&amp;""),CHAR(10),""),CHAR(13),""),CHAR(9),""),CHAR(160),"")," ",""),".",""),"-",""),"/",""),"?",""),"_",""),",",""),"[",""),"]",""),"(",""),")",""),"*","")</f>
        <v/>
      </c>
      <c r="AV226" s="61" t="str">
        <f aca="false">SUBSTITUTE(SUBSTITUTE(SUBSTITUTE(SUBSTITUTE(SUBSTITUTE(SUBSTITUTE(SUBSTITUTE(SUBSTITUTE(SUBSTITUTE(SUBSTITUTE(SUBSTITUTE(SUBSTITUTE(SUBSTITUTE(SUBSTITUTE(SUBSTITUTE(SUBSTITUTE(LOWER(V226&amp;""),CHAR(10),""),CHAR(13),""),CHAR(9),""),CHAR(160),"")," ",""),".",""),"-",""),"/",""),"?",""),"_",""),",",""),"[",""),"]",""),"(",""),")",""),"*","")</f>
        <v/>
      </c>
      <c r="AW226" s="61" t="str">
        <f aca="false">SUBSTITUTE(SUBSTITUTE(SUBSTITUTE(SUBSTITUTE(SUBSTITUTE(SUBSTITUTE(SUBSTITUTE(SUBSTITUTE(SUBSTITUTE(SUBSTITUTE(SUBSTITUTE(SUBSTITUTE(SUBSTITUTE(SUBSTITUTE(SUBSTITUTE(SUBSTITUTE(LOWER(Z226&amp;""),CHAR(10),""),CHAR(13),""),CHAR(9),""),CHAR(160),"")," ",""),".",""),"-",""),"/",""),"?",""),"_",""),",",""),"[",""),"]",""),"(",""),")",""),"*","")</f>
        <v/>
      </c>
      <c r="AX226" s="61" t="str">
        <f aca="false">SUBSTITUTE(SUBSTITUTE(SUBSTITUTE(SUBSTITUTE(SUBSTITUTE(SUBSTITUTE(SUBSTITUTE(SUBSTITUTE(SUBSTITUTE(SUBSTITUTE(SUBSTITUTE(SUBSTITUTE(SUBSTITUTE(SUBSTITUTE(SUBSTITUTE(SUBSTITUTE(LOWER(AE226&amp;""),CHAR(10),""),CHAR(13),""),CHAR(9),""),CHAR(160),"")," ",""),".",""),"-",""),"/",""),"?",""),"_",""),",",""),"[",""),"]",""),"(",""),")",""),"*","")</f>
        <v/>
      </c>
      <c r="AY226" s="61" t="str">
        <f aca="false">SUBSTITUTE(SUBSTITUTE(SUBSTITUTE(SUBSTITUTE(SUBSTITUTE(SUBSTITUTE(SUBSTITUTE(SUBSTITUTE(SUBSTITUTE(SUBSTITUTE(SUBSTITUTE(SUBSTITUTE(SUBSTITUTE(SUBSTITUTE(SUBSTITUTE(SUBSTITUTE(LOWER(W226&amp;""),CHAR(10),""),CHAR(13),""),CHAR(9),""),CHAR(160),"")," ",""),".",""),"-",""),"/",""),"?",""),"_",""),",",""),"[",""),"]",""),"(",""),")",""),"*","")</f>
        <v/>
      </c>
      <c r="AZ226" s="61" t="str">
        <f aca="false">SUBSTITUTE(SUBSTITUTE(SUBSTITUTE(SUBSTITUTE(SUBSTITUTE(SUBSTITUTE(SUBSTITUTE(SUBSTITUTE(SUBSTITUTE(SUBSTITUTE(SUBSTITUTE(SUBSTITUTE(SUBSTITUTE(SUBSTITUTE(SUBSTITUTE(SUBSTITUTE(LOWER(AC226&amp;""),CHAR(10),""),CHAR(13),""),CHAR(9),""),CHAR(160),"")," ",""),".",""),"-",""),"/",""),"?",""),"_",""),",",""),"[",""),"]",""),"(",""),")",""),"*","")</f>
        <v/>
      </c>
      <c r="BA226" s="61" t="str">
        <f aca="false">SUBSTITUTE(SUBSTITUTE(SUBSTITUTE(SUBSTITUTE(SUBSTITUTE(SUBSTITUTE(SUBSTITUTE(SUBSTITUTE(SUBSTITUTE(SUBSTITUTE(SUBSTITUTE(SUBSTITUTE(SUBSTITUTE(SUBSTITUTE(SUBSTITUTE(SUBSTITUTE(LOWER(AA226&amp;""),CHAR(10),""),CHAR(13),""),CHAR(9),""),CHAR(160),"")," ",""),".",""),"-",""),"/",""),"?",""),"_",""),",",""),"[",""),"]",""),"(",""),")",""),"*","")</f>
        <v/>
      </c>
      <c r="BB226" s="61" t="str">
        <f aca="false">IF(AND(TRIM(U226)="Pass",ISNUMBER(AF226)),IF(AF226&lt;&gt;0,"INVALID – qty variance: use Fail or Pass after CA",""),"")&amp;IF(AND(TRIM(U226)="Pass after CA",ISNUMBER(AF226)),IF(AF226&lt;&gt;0,"INVALID – after the corrective action the actual qty must equal expected (update Actual)",""),"")&amp;IF(AND(TRIM(U226)="Pass",TRIM(AB226)&lt;&gt;"",TRIM(AB226)&lt;&gt;"Closed"),"INVALID – corrective action not closed: use Fail, then Pass after CA","")&amp;IF(AND(LEN(BA226)&gt;=2,ISNA(MATCH(LEFT(BA226,255),L_Placeholder,0)),TRIM(AB226)=""),"INVALID – CA status missing for the recorded corrective action","")&amp;IF(AND(TRIM(U226)="Pass after CA",OR(OR(LEN(BA226)&lt;5,ISNUMBER(MATCH(BA226,L_Placeholder,0))),TRIM(AB226)&lt;&gt;"Closed")),"INVALID – corrective action not recorded/closed","")</f>
        <v/>
      </c>
      <c r="BC226" s="61" t="str">
        <f aca="false">" "&amp;TRIM(SUBSTITUTE(SUBSTITUTE(SUBSTITUTE(SUBSTITUTE(SUBSTITUTE(SUBSTITUTE(SUBSTITUTE(SUBSTITUTE(SUBSTITUTE(SUBSTITUTE(SUBSTITUTE(SUBSTITUTE(SUBSTITUTE(SUBSTITUTE(SUBSTITUTE(SUBSTITUTE(SUBSTITUTE(SUBSTITUTE(SUBSTITUTE(SUBSTITUTE(SUBSTITUTE(SUBSTITUTE(SUBSTITUTE(SUBSTITUTE(LOWER(V226&amp;""),CHAR(10)," "),CHAR(13)," "),CHAR(9)," "),CHAR(160)," "),"."," "),","," "),"-"," "),"/"," "),"("," "),")"," "),":"," "),";"," "),"_"," "),"–"," "),"?"," "),"!"," "),"*"," "),"["," "),"]"," "),"'"," "),"#"," "),"+"," "),"&amp;"," "),"\"," "))&amp;" "</f>
        <v>  </v>
      </c>
      <c r="BD226" s="61" t="str">
        <f aca="false">" "&amp;TRIM(SUBSTITUTE(SUBSTITUTE(SUBSTITUTE(SUBSTITUTE(SUBSTITUTE(SUBSTITUTE(SUBSTITUTE(SUBSTITUTE(SUBSTITUTE(SUBSTITUTE(SUBSTITUTE(SUBSTITUTE(SUBSTITUTE(SUBSTITUTE(SUBSTITUTE(SUBSTITUTE(SUBSTITUTE(SUBSTITUTE(SUBSTITUTE(SUBSTITUTE(SUBSTITUTE(SUBSTITUTE(SUBSTITUTE(SUBSTITUTE(LOWER(Z226&amp;""),CHAR(10)," "),CHAR(13)," "),CHAR(9)," "),CHAR(160)," "),"."," "),","," "),"-"," "),"/"," "),"("," "),")"," "),":"," "),";"," "),"_"," "),"–"," "),"?"," "),"!"," "),"*"," "),"["," "),"]"," "),"'"," "),"#"," "),"+"," "),"&amp;"," "),"\"," "))&amp;" "</f>
        <v>  </v>
      </c>
      <c r="BE226" s="61" t="str">
        <f aca="false">" "&amp;TRIM(SUBSTITUTE(SUBSTITUTE(SUBSTITUTE(SUBSTITUTE(SUBSTITUTE(SUBSTITUTE(SUBSTITUTE(SUBSTITUTE(SUBSTITUTE(SUBSTITUTE(SUBSTITUTE(SUBSTITUTE(SUBSTITUTE(SUBSTITUTE(SUBSTITUTE(SUBSTITUTE(SUBSTITUTE(SUBSTITUTE(SUBSTITUTE(SUBSTITUTE(SUBSTITUTE(SUBSTITUTE(SUBSTITUTE(SUBSTITUTE(LOWER(W226&amp;""),CHAR(10)," "),CHAR(13)," "),CHAR(9)," "),CHAR(160)," "),"."," "),","," "),"-"," "),"/"," "),"("," "),")"," "),":"," "),";"," "),"_"," "),"–"," "),"?"," "),"!"," "),"*"," "),"["," "),"]"," "),"'"," "),"#"," "),"+"," "),"&amp;"," "),"\"," "))&amp;" "</f>
        <v>  </v>
      </c>
      <c r="BF226" s="61" t="str">
        <f aca="false">" "&amp;TRIM(SUBSTITUTE(SUBSTITUTE(SUBSTITUTE(SUBSTITUTE(SUBSTITUTE(SUBSTITUTE(SUBSTITUTE(SUBSTITUTE(SUBSTITUTE(SUBSTITUTE(SUBSTITUTE(SUBSTITUTE(SUBSTITUTE(SUBSTITUTE(SUBSTITUTE(SUBSTITUTE(SUBSTITUTE(SUBSTITUTE(SUBSTITUTE(SUBSTITUTE(SUBSTITUTE(SUBSTITUTE(SUBSTITUTE(SUBSTITUTE(LOWER(AC226&amp;""),CHAR(10)," "),CHAR(13)," "),CHAR(9)," "),CHAR(160)," "),"."," "),","," "),"-"," "),"/"," "),"("," "),")"," "),":"," "),";"," "),"_"," "),"–"," "),"?"," "),"!"," "),"*"," "),"["," "),"]"," "),"'"," "),"#"," "),"+"," "),"&amp;"," "),"\"," "))&amp;" "</f>
        <v>  </v>
      </c>
      <c r="BG226" s="61" t="n">
        <f aca="false">IFERROR(IF(AND(TRIM(U226)="Pass",SUMPRODUCT((LEN(BC226)-LEN(SUBSTITUTE(BC226," "&amp;L_ResultBad&amp;" "," ")))/(LEN(L_ResultBad)+1))&gt;SUMPRODUCT((LEN(BC226)-LEN(SUBSTITUTE(BC226," "&amp;L_NegPhrase&amp;" "," ")))/(LEN(L_NegPhrase)+1))),1,0),0)</f>
        <v>0</v>
      </c>
      <c r="BH226" s="61" t="n">
        <f aca="false">IFERROR(IF(SUMPRODUCT((LEN(BC226)-LEN(SUBSTITUTE(BC226," "&amp;L_Pending&amp;" "," ")))/(LEN(L_Pending)+1))&gt;SUMPRODUCT((LEN(BC226)-LEN(SUBSTITUTE(BC226," "&amp;L_PendNeg&amp;" "," ")))/(LEN(L_PendNeg)+1))+SUMPRODUCT((LEN(BC226)-LEN(SUBSTITUTE(BC226," "&amp;L_PendPrep&amp;" "," ")))/(LEN(L_PendPrep)+1)),1,0),1)</f>
        <v>0</v>
      </c>
      <c r="BI226" s="61" t="n">
        <f aca="false">IFERROR(IF(SUMPRODUCT((LEN(BD226)-LEN(SUBSTITUTE(BD226," "&amp;L_PendStrict&amp;" "," ")))/(LEN(L_PendStrict)+1))&gt;SUMPRODUCT((LEN(BD226)-LEN(SUBSTITUTE(BD226," "&amp;L_PendNeg&amp;" "," ")))/(LEN(L_PendNeg)+1)),1,0),1)</f>
        <v>0</v>
      </c>
      <c r="BJ226" s="61" t="n">
        <f aca="false">IFERROR(IF(SUMPRODUCT((LEN(BE226)-LEN(SUBSTITUTE(BE226," "&amp;L_Pending&amp;" "," ")))/(LEN(L_Pending)+1))&gt;SUMPRODUCT((LEN(BE226)-LEN(SUBSTITUTE(BE226," "&amp;L_PendNeg&amp;" "," ")))/(LEN(L_PendNeg)+1))+SUMPRODUCT((LEN(BE226)-LEN(SUBSTITUTE(BE226," "&amp;L_PendPrep&amp;" "," ")))/(LEN(L_PendPrep)+1)),1,0),1)</f>
        <v>0</v>
      </c>
      <c r="BK226" s="61" t="n">
        <f aca="false">IFERROR(IF(SUMPRODUCT((LEN(BF226)-LEN(SUBSTITUTE(BF226," "&amp;L_PendStrict&amp;" "," ")))/(LEN(L_PendStrict)+1))&gt;SUMPRODUCT((LEN(BF226)-LEN(SUBSTITUTE(BF226," "&amp;L_PendNeg&amp;" "," ")))/(LEN(L_PendNeg)+1)),1,0),1)</f>
        <v>0</v>
      </c>
      <c r="BL226" s="61" t="n">
        <f aca="false">IF(ISNA(MATCH(TRIM(S226),L_EvidenceType,0)),0,BZ226)</f>
        <v>0</v>
      </c>
      <c r="BM226" s="61" t="str">
        <f aca="false">SUBSTITUTE(SUBSTITUTE(SUBSTITUTE(SUBSTITUTE(SUBSTITUTE(SUBSTITUTE(SUBSTITUTE(SUBSTITUTE(SUBSTITUTE(LOWER(Z226&amp;""),"1","0"),"2","0"),"3","0"),"4","0"),"5","0"),"6","0"),"7","0"),"8","0"),"9","0")</f>
        <v/>
      </c>
      <c r="BN226" s="61" t="str">
        <f aca="false">SUBSTITUTE(SUBSTITUTE(SUBSTITUTE(SUBSTITUTE(SUBSTITUTE(SUBSTITUTE(SUBSTITUTE(SUBSTITUTE(SUBSTITUTE(SUBSTITUTE(SUBSTITUTE(SUBSTITUTE(SUBSTITUTE(SUBSTITUTE(SUBSTITUTE(SUBSTITUTE(SUBSTITUTE(SUBSTITUTE(SUBSTITUTE(SUBSTITUTE(SUBSTITUTE(SUBSTITUTE(SUBSTITUTE(SUBSTITUTE(SUBSTITUTE(BM226,"b","a"),"c","a"),"d","a"),"e","a"),"f","a"),"g","a"),"h","a"),"i","a"),"j","a"),"k","a"),"l","a"),"m","a"),"n","a"),"o","a"),"p","a"),"q","a"),"r","a"),"s","a"),"t","a"),"u","a"),"v","a"),"w","a"),"x","a"),"y","a"),"z","a")</f>
        <v/>
      </c>
      <c r="BO226" s="61" t="str">
        <f aca="false">SUBSTITUTE(SUBSTITUTE(SUBSTITUTE(SUBSTITUTE(SUBSTITUTE(SUBSTITUTE(SUBSTITUTE(SUBSTITUTE(SUBSTITUTE(LOWER(W226&amp;""),"1","0"),"2","0"),"3","0"),"4","0"),"5","0"),"6","0"),"7","0"),"8","0"),"9","0")</f>
        <v/>
      </c>
      <c r="BP226" s="61" t="str">
        <f aca="false">SUBSTITUTE(SUBSTITUTE(SUBSTITUTE(SUBSTITUTE(SUBSTITUTE(SUBSTITUTE(SUBSTITUTE(SUBSTITUTE(SUBSTITUTE(SUBSTITUTE(SUBSTITUTE(SUBSTITUTE(SUBSTITUTE(SUBSTITUTE(SUBSTITUTE(SUBSTITUTE(SUBSTITUTE(SUBSTITUTE(SUBSTITUTE(SUBSTITUTE(SUBSTITUTE(SUBSTITUTE(SUBSTITUTE(SUBSTITUTE(SUBSTITUTE(BO226,"b","a"),"c","a"),"d","a"),"e","a"),"f","a"),"g","a"),"h","a"),"i","a"),"j","a"),"k","a"),"l","a"),"m","a"),"n","a"),"o","a"),"p","a"),"q","a"),"r","a"),"s","a"),"t","a"),"u","a"),"v","a"),"w","a"),"x","a"),"y","a"),"z","a")</f>
        <v/>
      </c>
      <c r="BQ226" s="61" t="n">
        <f aca="false">IFERROR(IF(AND(ISERROR(SEARCH(" mh"," "&amp;LOWER(W226))),ISNA(MATCH(LEFT(TRIM(BP226),255),{"0000a","000a","00a","0000aa","000aa","00aa","0aa","0000aaa","000aaa","00a00","0a00","0000-0000","00:00","a00","a0","00.00.0000","00/00/0000","00-00-0000","0000-00-00","0000/00/00","0000.00.00","00.00.00","00/00/00","00-00-00","0.00.0000","0/00/0000","0-00-0000"},0)),ISNA(MATCH(LEFT(TRIM(CA226),255),{"0000a","000a","00a","0000aa","000aa","00aa","0aa","0000aaa","000aaa","00a00","0a00","0000-0000","00:00","a00","a0","00.00.0000","00/00/0000","00-00-0000","0000-00-00","0000/00/00","0000.00.00","00.00.00","00/00/00","00-00-00","0.00.0000","0/00/0000","0-00-0000"},0)),LEN(CB226)&gt;=3,NOT(OR(SUBSTITUTE(CB226,"0","")="",AND(LEN(CB226)&gt;=4,CB226=REPT(LEFT(CB226),LEN(CB226))),ISNUMBER(MATCH(CB226,{"123","1234","12345","123456","1234567","12345678","0123","01234","012345","98765","987654","54321"},0)),AND(LEN(CB226)=8,LEFT(CB226,3)="202"))),OR(AND((LEN(CA226)-LEN(SUBSTITUTE(CA226,"a","")))&gt;=1,SUMPRODUCT(--ISNUMBER(SEARCH({"a0","a-0","a_0","a/0","a.0","a#0","0a","0-a","0_a","0/a"},BP226)))&gt;0),ISNUMBER(SEARCH("000000",BP226)))),1,0),0)</f>
        <v>0</v>
      </c>
      <c r="BR226" s="61" t="n">
        <f aca="false">IFERROR(LEN(SUBSTITUTE(CC226," ",""))-SUMPRODUCT((LEN(CC226)-LEN(SUBSTITUTE(CC226," "&amp;L_Role&amp;" "," ")))/(LEN(L_Role)+1)*LEN(L_Role)),0)</f>
        <v>0</v>
      </c>
      <c r="BS226" s="61" t="n">
        <f aca="false">IFERROR(LEN(SUBSTITUTE(CD226," ",""))-SUMPRODUCT((LEN(CD226)-LEN(SUBSTITUTE(CD226," "&amp;L_Role&amp;" "," ")))/(LEN(L_Role)+1)*LEN(L_Role)),0)</f>
        <v>0</v>
      </c>
      <c r="BT2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226,"revision",""),"version",""),"jan",""),"feb",""),"mar",""),"apr",""),"may",""),"jun",""),"jul",""),"aug",""),"sep",""),"oct",""),"nov",""),"dec",""),"utc",""),"gmt",""),"myt",""),"bst",""),"rev",""),"ver",""),"b","a"),"c","a"),"d","a"),"e","a"),"f","a"),"g","a"),"h","a"),"i","a"),"j","a"),"k","a"),"l","a"),"m","a"),"n","a"),"o","a"),"p","a"),"q","a"),"r","a"),"s","a"),"t","a"),"u","a"),"v","a"),"w","a"),"x","a"),"y","a"),"z","a")</f>
        <v/>
      </c>
      <c r="BU226" s="61" t="str">
        <f aca="false">SUBSTITUTE(SUBSTITUTE(SUBSTITUTE(SUBSTITUTE(SUBSTITUTE(SUBSTITUTE(SUBSTITUTE(SUBSTITUTE(SUBSTITUTE(SUBSTITUTE(LEFT(BM226,FIND("0",BM226&amp;"0")-1),"-",""),"_",""),"/",""),".",""),"#",""),"\\",""),":","")," ",""),"(",""),")","")</f>
        <v/>
      </c>
      <c r="BV226" s="61" t="n">
        <f aca="false">0</f>
        <v>0</v>
      </c>
      <c r="BW2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226&amp;""),"a",""),"b",""),"c",""),"d",""),"e",""),"f",""),"g",""),"h",""),"i",""),"j",""),"k",""),"l",""),"m",""),"n",""),"o",""),"p",""),"q",""),"r",""),"s",""),"t",""),"u",""),"v",""),"w",""),"x",""),"y",""),"z",""),"-",""),"_",""),"/",""),".",""),"#",""),"\\",""),":","")," ",""),"(",""),")","")</f>
        <v/>
      </c>
      <c r="BX226" s="61" t="str">
        <f aca="false">SUBSTITUTE(SUBSTITUTE(SUBSTITUTE(SUBSTITUTE(SUBSTITUTE(SUBSTITUTE(SUBSTITUTE(SUBSTITUTE(SUBSTITUTE(SUBSTITUTE(SUBSTITUTE(BM226,"0",""),"-",""),"_",""),"/",""),".",""),"#",""),"\\",""),":","")," ",""),"(",""),")","")</f>
        <v/>
      </c>
      <c r="BY226" s="62" t="n">
        <f aca="false">Q226-T12EarlyH/24</f>
        <v>46303.4166666667</v>
      </c>
      <c r="BZ226" s="61" t="n">
        <f aca="false">IFERROR(IF(IF(TRIM(S226)="Link / file path",AND(LEN(TRIM(Z226))&gt;=5,SUMPRODUCT(--ISNUMBER(SEARCH({"http","www.","\\",":\",".pdf",".jpg",".jpeg",".png",".heic",".xls",".doc",".msg",".eml",".ppt",".txt",".zip"},Z226)))&gt;0),AND(ISERROR(FIND(" ",TRIM(Z226))),NOT(OR(SUMPRODUCT(--ISNUMBER(FIND({",",";","&amp;","+"},Z226)))&gt;0,SUMPRODUCT(--ISNUMBER(SEARCH({"0/aa","0\\aa"},BN226)))&gt;0)),NOT(SUMPRODUCT(--ISNUMBER(SEARCH({"http","www.","\\",":\",".pdf",".jpg",".jpeg",".png",".heic",".xls",".doc",".msg",".eml",".ppt",".txt",".zip"},Z226)))&gt;0),NOT(LOWER(TRIM(Z226))=LOWER(Flights!$F$11)),ISNA(MATCH(BU226,{"mh","rev","revision","ver","version","v","r","a","b","seat","tray","row","gate","bay","stand","page","pg","item","line","no","cart","galley","flight","flt","table","box","bag","oven","etd","eta","std","sta","atd","ata","qty","pax","x","time","tel","ph","mob","day","wk","week","utc","gmt","myt","lt"},0)),NOT(OR(ISNUMBER(MATCH(LEFT(BN226,255),{"0000a","000a","00a","0000aa","000aa","00aa","0aa","0000aaa","000aaa","00a00","0a00","0000-0000","00:00","a00","a0","00.00.0000","00/00/0000","00-00-0000","0000-00-00","0000/00/00","0000.00.00","00.00.00","00/00/00","00-00-00","0.00.0000","0/00/0000","0-00-0000"},0)),ISNUMBER(MATCH(LEFT(BT226,255),{"0000a","000a","00a","0000aa","000aa","00aa","0aa","0000aaa","000aaa","00a00","0a00","0000-0000","00:00","a00","a0","00.00.0000","00/00/0000","00-00-0000","0000-00-00","0000/00/00","0000.00.00","00.00.00","00/00/00","00-00-00","0.00.0000","0/00/0000","0-00-0000"},0)))),NOT(OR(AND(BW226&lt;&gt;"",SUBSTITUTE(BW226,"0","")=""),AND(LEN(BW226)&gt;=4,BW226=REPT(LEFT(BW226),LEN(BW226))),ISNUMBER(MATCH(BW226,{"123","1234","12345","123456","1234567","12345678","0123","01234","012345","98765","987654","54321"},0)),ISNUMBER(MATCH(BX226,{"x","xx","xxx","xxxx","xxxxx","abc","abcd","nil","na","nan","test","tbc","tba","tbd","dummy","sample","example","eg","zz","zzz","none","null","xyz","qwe","asd","id","ref"},0)),AND(LEN(BW226)=8,BX226="",OR(LEFT(BW226,3)="202",ISNUMBER(MATCH(RIGHT(BW226,4),{"2025","2026","2027"},0)))))),OR(AND((LEN(BT226)-LEN(SUBSTITUTE(BT226,"a","")))&gt;=1,(LEN(BN226)-LEN(SUBSTITUTE(BN226,"0","")))&gt;=2,SUMPRODUCT(--ISNUMBER(SEARCH({"a0","a-0","a_0","a/0","a.0","a#0","0a","0-a","0_a","0/a"},BN226)))&gt;0),AND((LEN(BN226)-LEN(SUBSTITUTE(BN226,"a","")))=0,(LEN(BN226)-LEN(SUBSTITUTE(BN226,"0","")))&gt;=5)))),1,0),0)</f>
        <v>0</v>
      </c>
      <c r="CA2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226,"revision",""),"version",""),"jan",""),"feb",""),"mar",""),"apr",""),"may",""),"jun",""),"jul",""),"aug",""),"sep",""),"oct",""),"nov",""),"dec",""),"utc",""),"gmt",""),"myt",""),"bst",""),"rev",""),"ver",""),"b","a"),"c","a"),"d","a"),"e","a"),"f","a"),"g","a"),"h","a"),"i","a"),"j","a"),"k","a"),"l","a"),"m","a"),"n","a"),"o","a"),"p","a"),"q","a"),"r","a"),"s","a"),"t","a"),"u","a"),"v","a"),"w","a"),"x","a"),"y","a"),"z","a")</f>
        <v/>
      </c>
      <c r="CB2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226&amp;""),"a",""),"b",""),"c",""),"d",""),"e",""),"f",""),"g",""),"h",""),"i",""),"j",""),"k",""),"l",""),"m",""),"n",""),"o",""),"p",""),"q",""),"r",""),"s",""),"t",""),"u",""),"v",""),"w",""),"x",""),"y",""),"z",""),"-",""),"_",""),"/",""),".",""),"#",""),"\\",""),":","")," ",""),"(",""),")","")</f>
        <v/>
      </c>
      <c r="CC226" s="0" t="str">
        <f aca="false">" "&amp;TRIM(SUBSTITUTE(SUBSTITUTE(SUBSTITUTE(SUBSTITUTE(SUBSTITUTE(SUBSTITUTE(SUBSTITUTE(SUBSTITUTE(SUBSTITUTE(SUBSTITUTE(SUBSTITUTE(SUBSTITUTE(SUBSTITUTE(SUBSTITUTE(SUBSTITUTE(SUBSTITUTE(SUBSTITUTE(SUBSTITUTE(SUBSTITUTE(SUBSTITUTE(SUBSTITUTE(SUBSTITUTE(SUBSTITUTE(SUBSTITUTE(LOWER(T226&amp;""),CHAR(10)," "),CHAR(13)," "),CHAR(9)," "),CHAR(160)," "),"."," "),","," "),"-"," "),"/"," "),"("," "),")"," "),":"," "),";"," "),"_"," "),"–"," "),"?"," "),"!"," "),"*"," "),"["," "),"]"," "),"'"," "),"#"," "),"+"," "),"&amp;"," "),"\"," "))&amp;" "</f>
        <v>  </v>
      </c>
      <c r="CD226" s="0" t="str">
        <f aca="false">" "&amp;TRIM(SUBSTITUTE(SUBSTITUTE(SUBSTITUTE(SUBSTITUTE(SUBSTITUTE(SUBSTITUTE(SUBSTITUTE(SUBSTITUTE(SUBSTITUTE(SUBSTITUTE(SUBSTITUTE(SUBSTITUTE(SUBSTITUTE(SUBSTITUTE(SUBSTITUTE(SUBSTITUTE(SUBSTITUTE(SUBSTITUTE(SUBSTITUTE(SUBSTITUTE(SUBSTITUTE(SUBSTITUTE(SUBSTITUTE(SUBSTITUTE(LOWER(AE226&amp;""),CHAR(10)," "),CHAR(13)," "),CHAR(9)," "),CHAR(160)," "),"."," "),","," "),"-"," "),"/"," "),"("," "),")"," "),":"," "),";"," "),"_"," "),"–"," "),"?"," "),"!"," "),"*"," "),"["," "),"]"," "),"'"," "),"#"," "),"+"," "),"&amp;"," "),"\"," "))&amp;" "</f>
        <v>  </v>
      </c>
      <c r="CE226" s="68" t="n">
        <f aca="false">IFERROR(IF(AND(LEN(AU226)&gt;0,LEN(AU226)=LEN(AX226),OR(TRIM(MID(SUBSTITUTE(TRIM(CC226)," ",REPT(" ",60)),1,60))="",ISNUMBER(SEARCH(" "&amp;TRIM(MID(SUBSTITUTE(TRIM(CC226)," ",REPT(" ",60)),1,60))&amp;" ",CD226))),OR(TRIM(MID(SUBSTITUTE(TRIM(CC226)," ",REPT(" ",60)),61,60))="",ISNUMBER(SEARCH(" "&amp;TRIM(MID(SUBSTITUTE(TRIM(CC226)," ",REPT(" ",60)),61,60))&amp;" ",CD226))),OR(TRIM(MID(SUBSTITUTE(TRIM(CC226)," ",REPT(" ",60)),121,60))="",ISNUMBER(SEARCH(" "&amp;TRIM(MID(SUBSTITUTE(TRIM(CC226)," ",REPT(" ",60)),121,60))&amp;" ",CD226)))),1,0),0)</f>
        <v>0</v>
      </c>
      <c r="CG226" s="68" t="n">
        <f aca="false">IFERROR(LEN(SUBSTITUTE(BF226," ",""))-SUMPRODUCT((LEN(BF226)-LEN(SUBSTITUTE(BF226," "&amp;L_NAFiller&amp;" "," ")))/(LEN(L_NAFiller)+1)*LEN(L_NAFiller)),0)</f>
        <v>0</v>
      </c>
    </row>
    <row r="227" customFormat="false" ht="39.75" hidden="false" customHeight="true" outlineLevel="0" collapsed="false">
      <c r="A227" s="57" t="s">
        <v>791</v>
      </c>
      <c r="B227" s="57" t="s">
        <v>235</v>
      </c>
      <c r="C227" s="57" t="str">
        <f aca="false">Flights!$F$11</f>
        <v>MH0003</v>
      </c>
      <c r="D227" s="58" t="n">
        <f aca="false">Flights!$D$11</f>
        <v>46304</v>
      </c>
      <c r="E227" s="57" t="str">
        <f aca="false">Flights!$G$11&amp;"-"&amp;Flights!$H$11</f>
        <v>LHR-KUL</v>
      </c>
      <c r="F227" s="57" t="str">
        <f aca="false">Flights!$K$11</f>
        <v>BC</v>
      </c>
      <c r="G227" s="57" t="s">
        <v>420</v>
      </c>
      <c r="H227" s="57" t="s">
        <v>378</v>
      </c>
      <c r="I227" s="57" t="s">
        <v>428</v>
      </c>
      <c r="J227" s="57" t="s">
        <v>431</v>
      </c>
      <c r="K227" s="67"/>
      <c r="L227" s="67" t="s">
        <v>422</v>
      </c>
      <c r="M227" s="67"/>
      <c r="N227" s="67" t="s">
        <v>383</v>
      </c>
      <c r="O227" s="67" t="s">
        <v>423</v>
      </c>
      <c r="P227" s="57" t="s">
        <v>186</v>
      </c>
      <c r="Q227" s="59" t="n">
        <f aca="false">ROUND((Flights!$AE$11)*1440,0)/1440</f>
        <v>46303.9166666667</v>
      </c>
      <c r="R227" s="59" t="n">
        <f aca="false">Q227+(IF(AND(INDEX(TZ_DSTS,MATCH(P227,TZ_STN,0))&lt;&gt;"",Q227&gt;=INDEX(TZ_DSTS,MATCH(P227,TZ_STN,0)),Q227&lt;INDEX(TZ_DSTE,MATCH(P227,TZ_STN,0))),INDEX(TZ_DST,MATCH(P227,TZ_STN,0)),INDEX(TZ_STD,MATCH(P227,TZ_STN,0))))/24</f>
        <v>46303.9583333333</v>
      </c>
      <c r="S227" s="60"/>
      <c r="T227" s="60"/>
      <c r="U227" s="60"/>
      <c r="V227" s="60"/>
      <c r="W227" s="61"/>
      <c r="X227" s="60"/>
      <c r="Y227" s="60"/>
      <c r="Z227" s="60"/>
      <c r="AA227" s="60"/>
      <c r="AB227" s="60"/>
      <c r="AC227" s="60"/>
      <c r="AD227" s="66"/>
      <c r="AE227" s="60"/>
      <c r="AF227" s="61" t="str">
        <f aca="false">IF(AND(ISNUMBER(X227),ISNUMBER(Y227)),Y227-X227,"")</f>
        <v/>
      </c>
      <c r="AG227" s="62" t="str">
        <f aca="false">IF(ISNUMBER(AD227),AD227-(IF(AND(INDEX(TZ_DSTS,MATCH(P227,TZ_STN,0))&lt;&gt;"",(AD227-INDEX(TZ_STD,MATCH(P227,TZ_STN,0))/24)&gt;=INDEX(TZ_DSTS,MATCH(P227,TZ_STN,0)),(AD227-INDEX(TZ_STD,MATCH(P227,TZ_STN,0))/24)&lt;INDEX(TZ_DSTE,MATCH(P227,TZ_STN,0))),INDEX(TZ_DST,MATCH(P227,TZ_STN,0)),INDEX(TZ_STD,MATCH(P227,TZ_STN,0))))/24,"")</f>
        <v/>
      </c>
      <c r="AH227" s="65" t="str">
        <f aca="false">IFERROR(IF(N227="N/A – rule",IF(OR(TRIM(U227)="",TRIM(U227)="N/A",TRIM(U227)="Not started"),"N/A – RULE","INVALID – this check does not apply to this aircraft: clear the status (or correct the fleet on Flights)"),IF(TRIM(U227)="N/A",IF(AT227=0,"INVALID – N/A not permitted for this check",IF(AND(TRIM(AB227)&lt;&gt;"",TRIM(AB227)&lt;&gt;"Closed"),"INVALID – corrective action still open",IF(AND(NOT(OR(LEN(AZ227)&lt;15,ISNUMBER(MATCH(AZ227,L_Placeholder,0)))),BK227=0,CG227&gt;=8,NOT(OR(LEN(AU227)&lt;2,ISNUMBER(MATCH(AU227,L_Placeholder,0)))),BR227&gt;=3,NOT(OR(LEN(AX227)&lt;2,ISNUMBER(MATCH(AX227,L_Placeholder,0)))),BS227&gt;=3,TRIM(AE227)&lt;&gt;TRIM(T227),AX227&lt;&gt;AU227,CE227=0),"N/A – JUSTIFIED","INVALID – N/A needs a real, settled reason (not 'not applicable' / 'as above' / TBC), a named PIC and a different named verifier"))),IF(OR(TRIM(U227)="Pass",TRIM(U227)="Pass after CA"),IF(NOT(ISNUMBER(AD227)),"INVALID – completion time missing",IF(OR(OR(LEN(AU227)&lt;2,ISNUMBER(MATCH(AU227,L_Placeholder,0))),BR227&lt;3),"INVALID – PIC missing or not a named person (a role such as QA / CSM is not a name)",IF(OR(LEN(AV227)&lt;2,ISNUMBER(MATCH(AV227,L_Placeholder,0))),"INVALID – result / assessment missing",IF(OR(OR(LEN(AW227)&lt;3,ISNUMBER(MATCH(AW227,L_Placeholder,0))),SUMPRODUCT(--ISNUMBER(SEARCH(" "&amp;L_EvidencePhrase&amp;" ",BD227)))&gt;0,BI227=1),"INVALID – evidence missing, placeholder or not yet on file",IF(ISNA(MATCH(TRIM(S227),L_EvidenceType,0)),"INVALID – choose the evidence type from the list (column S)",IF(BL227=0,"INVALID – evidence ID must be the record's own ID only (e.g. SF-2210, IMG_2231, 1045521); a link / file name needs type 'Link / file path'",IF(OR(OR(LEN(AX227)&lt;2,ISNUMBER(MATCH(AX227,L_Placeholder,0))),BS227&lt;3),"INVALID – verifier missing or not a named person (a role such as QA / CSM is not a name)",IF(OR(AX227=AU227,CE227=1,AND(LEN(AU227)&gt;=4,ISNUMBER(SEARCH(AU227,AX227))),AND(LEN(AX227)&gt;=4,ISNUMBER(SEARCH(AX227,AU227)))),"INVALID – verifier must be a different, named person (not the PIC or a role)",IF(BH227=1,"INVALID – result not yet available (awaiting / TBC)",IF(BG227=1,"INVALID – result describes a problem: record Fail, then Pass after CA (or reword if it is not a problem)",IF(BV227=1,"INVALID – wording says not on board: an on-board confirmation needs the item loaded",IF(AND(AQ227=1,OR(OR(LEN(AY227)&lt;3,ISNUMBER(MATCH(AY227,L_Placeholder,0))),BJ227=1,BQ227=0)),"INVALID – batch ID missing, placeholder or not an ID (e.g. PASB-261008-BC-017)",IF(AND(AR227=1,OR(NOT(ISNUMBER(X227)),NOT(ISNUMBER(Y227)))),"INVALID – expected/actual qty missing",IF(AND(AR227=1,OR(X227&lt;=0,Y227&lt;0)),"INVALID – expected qty must be above 0 and actual not negative",IF(BB227&lt;&gt;"",BB227,IF(AND(AS227=1,Documents!$J$11&lt;&gt;"ON FILE"),"INVALID – GLD not on file (Documents sheet)",IF(AND(AS227=2,Documents!$O$11&lt;&gt;"ON FILE"),"INVALID – menu checklist not on file (Documents sheet)",IF(AND(AS227=3,NOT(ISNUMBER(Flights!$AX$11))),"INVALID – enter carrying flight KUL departure (Flights AX)",IF(AND(AS227=3,OR(Flights!$AZ$11&gt;Flights!$AA$11,Flights!$AX$11&lt;Flights!$AA$11-3)),"INVALID – carrying flight (Flights AX) cannot arrive before this leg's STD, or is over 3 days early",IF(AG227&gt;AsOfUTC,"INVALID – completion time is in the future",IF(AND(ISNUMBER(BY227),AG227&lt;BY227),IF(H227="Physical uplift","INVALID – before uplift window (cannot confirm loading)","INVALID – before valid window"),IF(AG227&gt;Flights!$AA$11,"INVALID – completed after departure (cannot establish readiness)",IF(AND(H227="Preparation",AG227&gt;=IF(ISNUMBER(Flights!$BA$11),MIN(Flights!$BA$11,Flights!$AA$11),Flights!$AA$11)),"INVALID – completed after loading / departure (cannot establish readiness)",IF(AND(H227="Physical uplift",AG227&gt;Q227),"INVALID – recorded after the loading flight departed",IF(AG227&gt;Q227,"COMPLETE – LATE","COMPLETE"))))))))))))))))))))))))),IF(TRIM(U227)="Fail","FAIL – DISCREPANCY",IF(AND(TRIM(U227)&lt;&gt;"",TRIM(U227)&lt;&gt;"Not started",TRIM(U227)&lt;&gt;"In progress"),"INVALID – unrecognised status (use the list)",IF(AsOfUTC&gt;Q227,"OVERDUE",IF(N227="Clarification required","OPEN – CLARIFICATION","OPEN"))))))),"INVALID – error value in an input cell")</f>
        <v>OPEN</v>
      </c>
      <c r="AI227" s="61" t="n">
        <f aca="false">IF(OR(AH227="N/A – RULE",AH227="N/A – JUSTIFIED"),0,1)</f>
        <v>1</v>
      </c>
      <c r="AJ227" s="61" t="n">
        <f aca="false">IF(LEFT(AH227,8)="COMPLETE",1,0)</f>
        <v>0</v>
      </c>
      <c r="AK227" s="61" t="n">
        <f aca="false">IF(AND(AI227=1,AJ227=0,AsOfUTC&gt;Q227),1,0)</f>
        <v>0</v>
      </c>
      <c r="AL227" s="61" t="n">
        <f aca="false">IFERROR(IF(AND(AI227=1,OR(TRIM(U227)="Fail",AND(TRIM(AB227)&lt;&gt;"",TRIM(AB227)&lt;&gt;"Closed"),AND(ISNUMBER(AF227),AF227&lt;&gt;0,TRIM(U227)&lt;&gt;"Pass after CA"))),1,0),1)</f>
        <v>0</v>
      </c>
      <c r="AM227" s="61" t="n">
        <f aca="false">IF(LEFT(AH227,7)="INVALID",1,0)</f>
        <v>0</v>
      </c>
      <c r="AN227" s="61" t="n">
        <f aca="false">IF(AND(N227="Clarification required",AI227=1,AJ227=0),1,0)</f>
        <v>0</v>
      </c>
      <c r="AO227" s="61" t="str">
        <f aca="false">IF(AK227=1,SUM(AK$5:AK227),"")</f>
        <v/>
      </c>
      <c r="AP227" s="61" t="str">
        <f aca="false">IF(AL227=1,SUM(AL$5:AL227),"")</f>
        <v/>
      </c>
      <c r="AQ227" s="61" t="n">
        <v>0</v>
      </c>
      <c r="AR227" s="61" t="n">
        <v>0</v>
      </c>
      <c r="AS227" s="61" t="n">
        <v>0</v>
      </c>
      <c r="AT227" s="61" t="n">
        <v>0</v>
      </c>
      <c r="AU227" s="61" t="str">
        <f aca="false">SUBSTITUTE(SUBSTITUTE(SUBSTITUTE(SUBSTITUTE(SUBSTITUTE(SUBSTITUTE(SUBSTITUTE(SUBSTITUTE(SUBSTITUTE(SUBSTITUTE(SUBSTITUTE(SUBSTITUTE(SUBSTITUTE(SUBSTITUTE(SUBSTITUTE(SUBSTITUTE(LOWER(T227&amp;""),CHAR(10),""),CHAR(13),""),CHAR(9),""),CHAR(160),"")," ",""),".",""),"-",""),"/",""),"?",""),"_",""),",",""),"[",""),"]",""),"(",""),")",""),"*","")</f>
        <v/>
      </c>
      <c r="AV227" s="61" t="str">
        <f aca="false">SUBSTITUTE(SUBSTITUTE(SUBSTITUTE(SUBSTITUTE(SUBSTITUTE(SUBSTITUTE(SUBSTITUTE(SUBSTITUTE(SUBSTITUTE(SUBSTITUTE(SUBSTITUTE(SUBSTITUTE(SUBSTITUTE(SUBSTITUTE(SUBSTITUTE(SUBSTITUTE(LOWER(V227&amp;""),CHAR(10),""),CHAR(13),""),CHAR(9),""),CHAR(160),"")," ",""),".",""),"-",""),"/",""),"?",""),"_",""),",",""),"[",""),"]",""),"(",""),")",""),"*","")</f>
        <v/>
      </c>
      <c r="AW227" s="61" t="str">
        <f aca="false">SUBSTITUTE(SUBSTITUTE(SUBSTITUTE(SUBSTITUTE(SUBSTITUTE(SUBSTITUTE(SUBSTITUTE(SUBSTITUTE(SUBSTITUTE(SUBSTITUTE(SUBSTITUTE(SUBSTITUTE(SUBSTITUTE(SUBSTITUTE(SUBSTITUTE(SUBSTITUTE(LOWER(Z227&amp;""),CHAR(10),""),CHAR(13),""),CHAR(9),""),CHAR(160),"")," ",""),".",""),"-",""),"/",""),"?",""),"_",""),",",""),"[",""),"]",""),"(",""),")",""),"*","")</f>
        <v/>
      </c>
      <c r="AX227" s="61" t="str">
        <f aca="false">SUBSTITUTE(SUBSTITUTE(SUBSTITUTE(SUBSTITUTE(SUBSTITUTE(SUBSTITUTE(SUBSTITUTE(SUBSTITUTE(SUBSTITUTE(SUBSTITUTE(SUBSTITUTE(SUBSTITUTE(SUBSTITUTE(SUBSTITUTE(SUBSTITUTE(SUBSTITUTE(LOWER(AE227&amp;""),CHAR(10),""),CHAR(13),""),CHAR(9),""),CHAR(160),"")," ",""),".",""),"-",""),"/",""),"?",""),"_",""),",",""),"[",""),"]",""),"(",""),")",""),"*","")</f>
        <v/>
      </c>
      <c r="AY227" s="61" t="str">
        <f aca="false">SUBSTITUTE(SUBSTITUTE(SUBSTITUTE(SUBSTITUTE(SUBSTITUTE(SUBSTITUTE(SUBSTITUTE(SUBSTITUTE(SUBSTITUTE(SUBSTITUTE(SUBSTITUTE(SUBSTITUTE(SUBSTITUTE(SUBSTITUTE(SUBSTITUTE(SUBSTITUTE(LOWER(W227&amp;""),CHAR(10),""),CHAR(13),""),CHAR(9),""),CHAR(160),"")," ",""),".",""),"-",""),"/",""),"?",""),"_",""),",",""),"[",""),"]",""),"(",""),")",""),"*","")</f>
        <v/>
      </c>
      <c r="AZ227" s="61" t="str">
        <f aca="false">SUBSTITUTE(SUBSTITUTE(SUBSTITUTE(SUBSTITUTE(SUBSTITUTE(SUBSTITUTE(SUBSTITUTE(SUBSTITUTE(SUBSTITUTE(SUBSTITUTE(SUBSTITUTE(SUBSTITUTE(SUBSTITUTE(SUBSTITUTE(SUBSTITUTE(SUBSTITUTE(LOWER(AC227&amp;""),CHAR(10),""),CHAR(13),""),CHAR(9),""),CHAR(160),"")," ",""),".",""),"-",""),"/",""),"?",""),"_",""),",",""),"[",""),"]",""),"(",""),")",""),"*","")</f>
        <v/>
      </c>
      <c r="BA227" s="61" t="str">
        <f aca="false">SUBSTITUTE(SUBSTITUTE(SUBSTITUTE(SUBSTITUTE(SUBSTITUTE(SUBSTITUTE(SUBSTITUTE(SUBSTITUTE(SUBSTITUTE(SUBSTITUTE(SUBSTITUTE(SUBSTITUTE(SUBSTITUTE(SUBSTITUTE(SUBSTITUTE(SUBSTITUTE(LOWER(AA227&amp;""),CHAR(10),""),CHAR(13),""),CHAR(9),""),CHAR(160),"")," ",""),".",""),"-",""),"/",""),"?",""),"_",""),",",""),"[",""),"]",""),"(",""),")",""),"*","")</f>
        <v/>
      </c>
      <c r="BB227" s="61" t="str">
        <f aca="false">IF(AND(TRIM(U227)="Pass",ISNUMBER(AF227)),IF(AF227&lt;&gt;0,"INVALID – qty variance: use Fail or Pass after CA",""),"")&amp;IF(AND(TRIM(U227)="Pass after CA",ISNUMBER(AF227)),IF(AF227&lt;&gt;0,"INVALID – after the corrective action the actual qty must equal expected (update Actual)",""),"")&amp;IF(AND(TRIM(U227)="Pass",TRIM(AB227)&lt;&gt;"",TRIM(AB227)&lt;&gt;"Closed"),"INVALID – corrective action not closed: use Fail, then Pass after CA","")&amp;IF(AND(LEN(BA227)&gt;=2,ISNA(MATCH(LEFT(BA227,255),L_Placeholder,0)),TRIM(AB227)=""),"INVALID – CA status missing for the recorded corrective action","")&amp;IF(AND(TRIM(U227)="Pass after CA",OR(OR(LEN(BA227)&lt;5,ISNUMBER(MATCH(BA227,L_Placeholder,0))),TRIM(AB227)&lt;&gt;"Closed")),"INVALID – corrective action not recorded/closed","")</f>
        <v/>
      </c>
      <c r="BC227" s="61" t="str">
        <f aca="false">" "&amp;TRIM(SUBSTITUTE(SUBSTITUTE(SUBSTITUTE(SUBSTITUTE(SUBSTITUTE(SUBSTITUTE(SUBSTITUTE(SUBSTITUTE(SUBSTITUTE(SUBSTITUTE(SUBSTITUTE(SUBSTITUTE(SUBSTITUTE(SUBSTITUTE(SUBSTITUTE(SUBSTITUTE(SUBSTITUTE(SUBSTITUTE(SUBSTITUTE(SUBSTITUTE(SUBSTITUTE(SUBSTITUTE(SUBSTITUTE(SUBSTITUTE(LOWER(V227&amp;""),CHAR(10)," "),CHAR(13)," "),CHAR(9)," "),CHAR(160)," "),"."," "),","," "),"-"," "),"/"," "),"("," "),")"," "),":"," "),";"," "),"_"," "),"–"," "),"?"," "),"!"," "),"*"," "),"["," "),"]"," "),"'"," "),"#"," "),"+"," "),"&amp;"," "),"\"," "))&amp;" "</f>
        <v>  </v>
      </c>
      <c r="BD227" s="61" t="str">
        <f aca="false">" "&amp;TRIM(SUBSTITUTE(SUBSTITUTE(SUBSTITUTE(SUBSTITUTE(SUBSTITUTE(SUBSTITUTE(SUBSTITUTE(SUBSTITUTE(SUBSTITUTE(SUBSTITUTE(SUBSTITUTE(SUBSTITUTE(SUBSTITUTE(SUBSTITUTE(SUBSTITUTE(SUBSTITUTE(SUBSTITUTE(SUBSTITUTE(SUBSTITUTE(SUBSTITUTE(SUBSTITUTE(SUBSTITUTE(SUBSTITUTE(SUBSTITUTE(LOWER(Z227&amp;""),CHAR(10)," "),CHAR(13)," "),CHAR(9)," "),CHAR(160)," "),"."," "),","," "),"-"," "),"/"," "),"("," "),")"," "),":"," "),";"," "),"_"," "),"–"," "),"?"," "),"!"," "),"*"," "),"["," "),"]"," "),"'"," "),"#"," "),"+"," "),"&amp;"," "),"\"," "))&amp;" "</f>
        <v>  </v>
      </c>
      <c r="BE227" s="61" t="str">
        <f aca="false">" "&amp;TRIM(SUBSTITUTE(SUBSTITUTE(SUBSTITUTE(SUBSTITUTE(SUBSTITUTE(SUBSTITUTE(SUBSTITUTE(SUBSTITUTE(SUBSTITUTE(SUBSTITUTE(SUBSTITUTE(SUBSTITUTE(SUBSTITUTE(SUBSTITUTE(SUBSTITUTE(SUBSTITUTE(SUBSTITUTE(SUBSTITUTE(SUBSTITUTE(SUBSTITUTE(SUBSTITUTE(SUBSTITUTE(SUBSTITUTE(SUBSTITUTE(LOWER(W227&amp;""),CHAR(10)," "),CHAR(13)," "),CHAR(9)," "),CHAR(160)," "),"."," "),","," "),"-"," "),"/"," "),"("," "),")"," "),":"," "),";"," "),"_"," "),"–"," "),"?"," "),"!"," "),"*"," "),"["," "),"]"," "),"'"," "),"#"," "),"+"," "),"&amp;"," "),"\"," "))&amp;" "</f>
        <v>  </v>
      </c>
      <c r="BF227" s="61" t="str">
        <f aca="false">" "&amp;TRIM(SUBSTITUTE(SUBSTITUTE(SUBSTITUTE(SUBSTITUTE(SUBSTITUTE(SUBSTITUTE(SUBSTITUTE(SUBSTITUTE(SUBSTITUTE(SUBSTITUTE(SUBSTITUTE(SUBSTITUTE(SUBSTITUTE(SUBSTITUTE(SUBSTITUTE(SUBSTITUTE(SUBSTITUTE(SUBSTITUTE(SUBSTITUTE(SUBSTITUTE(SUBSTITUTE(SUBSTITUTE(SUBSTITUTE(SUBSTITUTE(LOWER(AC227&amp;""),CHAR(10)," "),CHAR(13)," "),CHAR(9)," "),CHAR(160)," "),"."," "),","," "),"-"," "),"/"," "),"("," "),")"," "),":"," "),";"," "),"_"," "),"–"," "),"?"," "),"!"," "),"*"," "),"["," "),"]"," "),"'"," "),"#"," "),"+"," "),"&amp;"," "),"\"," "))&amp;" "</f>
        <v>  </v>
      </c>
      <c r="BG227" s="61" t="n">
        <f aca="false">IFERROR(IF(AND(TRIM(U227)="Pass",SUMPRODUCT((LEN(BC227)-LEN(SUBSTITUTE(BC227," "&amp;L_ResultBad&amp;" "," ")))/(LEN(L_ResultBad)+1))&gt;SUMPRODUCT((LEN(BC227)-LEN(SUBSTITUTE(BC227," "&amp;L_NegPhrase&amp;" "," ")))/(LEN(L_NegPhrase)+1))),1,0),0)</f>
        <v>0</v>
      </c>
      <c r="BH227" s="61" t="n">
        <f aca="false">IFERROR(IF(SUMPRODUCT((LEN(BC227)-LEN(SUBSTITUTE(BC227," "&amp;L_Pending&amp;" "," ")))/(LEN(L_Pending)+1))&gt;SUMPRODUCT((LEN(BC227)-LEN(SUBSTITUTE(BC227," "&amp;L_PendNeg&amp;" "," ")))/(LEN(L_PendNeg)+1))+SUMPRODUCT((LEN(BC227)-LEN(SUBSTITUTE(BC227," "&amp;L_PendPrep&amp;" "," ")))/(LEN(L_PendPrep)+1)),1,0),1)</f>
        <v>0</v>
      </c>
      <c r="BI227" s="61" t="n">
        <f aca="false">IFERROR(IF(SUMPRODUCT((LEN(BD227)-LEN(SUBSTITUTE(BD227," "&amp;L_PendStrict&amp;" "," ")))/(LEN(L_PendStrict)+1))&gt;SUMPRODUCT((LEN(BD227)-LEN(SUBSTITUTE(BD227," "&amp;L_PendNeg&amp;" "," ")))/(LEN(L_PendNeg)+1)),1,0),1)</f>
        <v>0</v>
      </c>
      <c r="BJ227" s="61" t="n">
        <f aca="false">IFERROR(IF(SUMPRODUCT((LEN(BE227)-LEN(SUBSTITUTE(BE227," "&amp;L_Pending&amp;" "," ")))/(LEN(L_Pending)+1))&gt;SUMPRODUCT((LEN(BE227)-LEN(SUBSTITUTE(BE227," "&amp;L_PendNeg&amp;" "," ")))/(LEN(L_PendNeg)+1))+SUMPRODUCT((LEN(BE227)-LEN(SUBSTITUTE(BE227," "&amp;L_PendPrep&amp;" "," ")))/(LEN(L_PendPrep)+1)),1,0),1)</f>
        <v>0</v>
      </c>
      <c r="BK227" s="61" t="n">
        <f aca="false">IFERROR(IF(SUMPRODUCT((LEN(BF227)-LEN(SUBSTITUTE(BF227," "&amp;L_PendStrict&amp;" "," ")))/(LEN(L_PendStrict)+1))&gt;SUMPRODUCT((LEN(BF227)-LEN(SUBSTITUTE(BF227," "&amp;L_PendNeg&amp;" "," ")))/(LEN(L_PendNeg)+1)),1,0),1)</f>
        <v>0</v>
      </c>
      <c r="BL227" s="61" t="n">
        <f aca="false">IF(ISNA(MATCH(TRIM(S227),L_EvidenceType,0)),0,BZ227)</f>
        <v>0</v>
      </c>
      <c r="BM227" s="61" t="str">
        <f aca="false">SUBSTITUTE(SUBSTITUTE(SUBSTITUTE(SUBSTITUTE(SUBSTITUTE(SUBSTITUTE(SUBSTITUTE(SUBSTITUTE(SUBSTITUTE(LOWER(Z227&amp;""),"1","0"),"2","0"),"3","0"),"4","0"),"5","0"),"6","0"),"7","0"),"8","0"),"9","0")</f>
        <v/>
      </c>
      <c r="BN227" s="61" t="str">
        <f aca="false">SUBSTITUTE(SUBSTITUTE(SUBSTITUTE(SUBSTITUTE(SUBSTITUTE(SUBSTITUTE(SUBSTITUTE(SUBSTITUTE(SUBSTITUTE(SUBSTITUTE(SUBSTITUTE(SUBSTITUTE(SUBSTITUTE(SUBSTITUTE(SUBSTITUTE(SUBSTITUTE(SUBSTITUTE(SUBSTITUTE(SUBSTITUTE(SUBSTITUTE(SUBSTITUTE(SUBSTITUTE(SUBSTITUTE(SUBSTITUTE(SUBSTITUTE(BM227,"b","a"),"c","a"),"d","a"),"e","a"),"f","a"),"g","a"),"h","a"),"i","a"),"j","a"),"k","a"),"l","a"),"m","a"),"n","a"),"o","a"),"p","a"),"q","a"),"r","a"),"s","a"),"t","a"),"u","a"),"v","a"),"w","a"),"x","a"),"y","a"),"z","a")</f>
        <v/>
      </c>
      <c r="BO227" s="61" t="str">
        <f aca="false">SUBSTITUTE(SUBSTITUTE(SUBSTITUTE(SUBSTITUTE(SUBSTITUTE(SUBSTITUTE(SUBSTITUTE(SUBSTITUTE(SUBSTITUTE(LOWER(W227&amp;""),"1","0"),"2","0"),"3","0"),"4","0"),"5","0"),"6","0"),"7","0"),"8","0"),"9","0")</f>
        <v/>
      </c>
      <c r="BP227" s="61" t="str">
        <f aca="false">SUBSTITUTE(SUBSTITUTE(SUBSTITUTE(SUBSTITUTE(SUBSTITUTE(SUBSTITUTE(SUBSTITUTE(SUBSTITUTE(SUBSTITUTE(SUBSTITUTE(SUBSTITUTE(SUBSTITUTE(SUBSTITUTE(SUBSTITUTE(SUBSTITUTE(SUBSTITUTE(SUBSTITUTE(SUBSTITUTE(SUBSTITUTE(SUBSTITUTE(SUBSTITUTE(SUBSTITUTE(SUBSTITUTE(SUBSTITUTE(SUBSTITUTE(BO227,"b","a"),"c","a"),"d","a"),"e","a"),"f","a"),"g","a"),"h","a"),"i","a"),"j","a"),"k","a"),"l","a"),"m","a"),"n","a"),"o","a"),"p","a"),"q","a"),"r","a"),"s","a"),"t","a"),"u","a"),"v","a"),"w","a"),"x","a"),"y","a"),"z","a")</f>
        <v/>
      </c>
      <c r="BQ227" s="61" t="n">
        <f aca="false">IFERROR(IF(AND(ISERROR(SEARCH(" mh"," "&amp;LOWER(W227))),ISNA(MATCH(LEFT(TRIM(BP227),255),{"0000a","000a","00a","0000aa","000aa","00aa","0aa","0000aaa","000aaa","00a00","0a00","0000-0000","00:00","a00","a0","00.00.0000","00/00/0000","00-00-0000","0000-00-00","0000/00/00","0000.00.00","00.00.00","00/00/00","00-00-00","0.00.0000","0/00/0000","0-00-0000"},0)),ISNA(MATCH(LEFT(TRIM(CA227),255),{"0000a","000a","00a","0000aa","000aa","00aa","0aa","0000aaa","000aaa","00a00","0a00","0000-0000","00:00","a00","a0","00.00.0000","00/00/0000","00-00-0000","0000-00-00","0000/00/00","0000.00.00","00.00.00","00/00/00","00-00-00","0.00.0000","0/00/0000","0-00-0000"},0)),LEN(CB227)&gt;=3,NOT(OR(SUBSTITUTE(CB227,"0","")="",AND(LEN(CB227)&gt;=4,CB227=REPT(LEFT(CB227),LEN(CB227))),ISNUMBER(MATCH(CB227,{"123","1234","12345","123456","1234567","12345678","0123","01234","012345","98765","987654","54321"},0)),AND(LEN(CB227)=8,LEFT(CB227,3)="202"))),OR(AND((LEN(CA227)-LEN(SUBSTITUTE(CA227,"a","")))&gt;=1,SUMPRODUCT(--ISNUMBER(SEARCH({"a0","a-0","a_0","a/0","a.0","a#0","0a","0-a","0_a","0/a"},BP227)))&gt;0),ISNUMBER(SEARCH("000000",BP227)))),1,0),0)</f>
        <v>0</v>
      </c>
      <c r="BR227" s="61" t="n">
        <f aca="false">IFERROR(LEN(SUBSTITUTE(CC227," ",""))-SUMPRODUCT((LEN(CC227)-LEN(SUBSTITUTE(CC227," "&amp;L_Role&amp;" "," ")))/(LEN(L_Role)+1)*LEN(L_Role)),0)</f>
        <v>0</v>
      </c>
      <c r="BS227" s="61" t="n">
        <f aca="false">IFERROR(LEN(SUBSTITUTE(CD227," ",""))-SUMPRODUCT((LEN(CD227)-LEN(SUBSTITUTE(CD227," "&amp;L_Role&amp;" "," ")))/(LEN(L_Role)+1)*LEN(L_Role)),0)</f>
        <v>0</v>
      </c>
      <c r="BT2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227,"revision",""),"version",""),"jan",""),"feb",""),"mar",""),"apr",""),"may",""),"jun",""),"jul",""),"aug",""),"sep",""),"oct",""),"nov",""),"dec",""),"utc",""),"gmt",""),"myt",""),"bst",""),"rev",""),"ver",""),"b","a"),"c","a"),"d","a"),"e","a"),"f","a"),"g","a"),"h","a"),"i","a"),"j","a"),"k","a"),"l","a"),"m","a"),"n","a"),"o","a"),"p","a"),"q","a"),"r","a"),"s","a"),"t","a"),"u","a"),"v","a"),"w","a"),"x","a"),"y","a"),"z","a")</f>
        <v/>
      </c>
      <c r="BU227" s="61" t="str">
        <f aca="false">SUBSTITUTE(SUBSTITUTE(SUBSTITUTE(SUBSTITUTE(SUBSTITUTE(SUBSTITUTE(SUBSTITUTE(SUBSTITUTE(SUBSTITUTE(SUBSTITUTE(LEFT(BM227,FIND("0",BM227&amp;"0")-1),"-",""),"_",""),"/",""),".",""),"#",""),"\\",""),":","")," ",""),"(",""),")","")</f>
        <v/>
      </c>
      <c r="BV227" s="61" t="n">
        <f aca="false">0</f>
        <v>0</v>
      </c>
      <c r="BW2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227&amp;""),"a",""),"b",""),"c",""),"d",""),"e",""),"f",""),"g",""),"h",""),"i",""),"j",""),"k",""),"l",""),"m",""),"n",""),"o",""),"p",""),"q",""),"r",""),"s",""),"t",""),"u",""),"v",""),"w",""),"x",""),"y",""),"z",""),"-",""),"_",""),"/",""),".",""),"#",""),"\\",""),":","")," ",""),"(",""),")","")</f>
        <v/>
      </c>
      <c r="BX227" s="61" t="str">
        <f aca="false">SUBSTITUTE(SUBSTITUTE(SUBSTITUTE(SUBSTITUTE(SUBSTITUTE(SUBSTITUTE(SUBSTITUTE(SUBSTITUTE(SUBSTITUTE(SUBSTITUTE(SUBSTITUTE(BM227,"0",""),"-",""),"_",""),"/",""),".",""),"#",""),"\\",""),":","")," ",""),"(",""),")","")</f>
        <v/>
      </c>
      <c r="BY227" s="62" t="n">
        <f aca="false">Q227-T12EarlyH/24</f>
        <v>46303.4166666667</v>
      </c>
      <c r="BZ227" s="61" t="n">
        <f aca="false">IFERROR(IF(IF(TRIM(S227)="Link / file path",AND(LEN(TRIM(Z227))&gt;=5,SUMPRODUCT(--ISNUMBER(SEARCH({"http","www.","\\",":\",".pdf",".jpg",".jpeg",".png",".heic",".xls",".doc",".msg",".eml",".ppt",".txt",".zip"},Z227)))&gt;0),AND(ISERROR(FIND(" ",TRIM(Z227))),NOT(OR(SUMPRODUCT(--ISNUMBER(FIND({",",";","&amp;","+"},Z227)))&gt;0,SUMPRODUCT(--ISNUMBER(SEARCH({"0/aa","0\\aa"},BN227)))&gt;0)),NOT(SUMPRODUCT(--ISNUMBER(SEARCH({"http","www.","\\",":\",".pdf",".jpg",".jpeg",".png",".heic",".xls",".doc",".msg",".eml",".ppt",".txt",".zip"},Z227)))&gt;0),NOT(LOWER(TRIM(Z227))=LOWER(Flights!$F$11)),ISNA(MATCH(BU227,{"mh","rev","revision","ver","version","v","r","a","b","seat","tray","row","gate","bay","stand","page","pg","item","line","no","cart","galley","flight","flt","table","box","bag","oven","etd","eta","std","sta","atd","ata","qty","pax","x","time","tel","ph","mob","day","wk","week","utc","gmt","myt","lt"},0)),NOT(OR(ISNUMBER(MATCH(LEFT(BN227,255),{"0000a","000a","00a","0000aa","000aa","00aa","0aa","0000aaa","000aaa","00a00","0a00","0000-0000","00:00","a00","a0","00.00.0000","00/00/0000","00-00-0000","0000-00-00","0000/00/00","0000.00.00","00.00.00","00/00/00","00-00-00","0.00.0000","0/00/0000","0-00-0000"},0)),ISNUMBER(MATCH(LEFT(BT227,255),{"0000a","000a","00a","0000aa","000aa","00aa","0aa","0000aaa","000aaa","00a00","0a00","0000-0000","00:00","a00","a0","00.00.0000","00/00/0000","00-00-0000","0000-00-00","0000/00/00","0000.00.00","00.00.00","00/00/00","00-00-00","0.00.0000","0/00/0000","0-00-0000"},0)))),NOT(OR(AND(BW227&lt;&gt;"",SUBSTITUTE(BW227,"0","")=""),AND(LEN(BW227)&gt;=4,BW227=REPT(LEFT(BW227),LEN(BW227))),ISNUMBER(MATCH(BW227,{"123","1234","12345","123456","1234567","12345678","0123","01234","012345","98765","987654","54321"},0)),ISNUMBER(MATCH(BX227,{"x","xx","xxx","xxxx","xxxxx","abc","abcd","nil","na","nan","test","tbc","tba","tbd","dummy","sample","example","eg","zz","zzz","none","null","xyz","qwe","asd","id","ref"},0)),AND(LEN(BW227)=8,BX227="",OR(LEFT(BW227,3)="202",ISNUMBER(MATCH(RIGHT(BW227,4),{"2025","2026","2027"},0)))))),OR(AND((LEN(BT227)-LEN(SUBSTITUTE(BT227,"a","")))&gt;=1,(LEN(BN227)-LEN(SUBSTITUTE(BN227,"0","")))&gt;=2,SUMPRODUCT(--ISNUMBER(SEARCH({"a0","a-0","a_0","a/0","a.0","a#0","0a","0-a","0_a","0/a"},BN227)))&gt;0),AND((LEN(BN227)-LEN(SUBSTITUTE(BN227,"a","")))=0,(LEN(BN227)-LEN(SUBSTITUTE(BN227,"0","")))&gt;=5)))),1,0),0)</f>
        <v>0</v>
      </c>
      <c r="CA2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227,"revision",""),"version",""),"jan",""),"feb",""),"mar",""),"apr",""),"may",""),"jun",""),"jul",""),"aug",""),"sep",""),"oct",""),"nov",""),"dec",""),"utc",""),"gmt",""),"myt",""),"bst",""),"rev",""),"ver",""),"b","a"),"c","a"),"d","a"),"e","a"),"f","a"),"g","a"),"h","a"),"i","a"),"j","a"),"k","a"),"l","a"),"m","a"),"n","a"),"o","a"),"p","a"),"q","a"),"r","a"),"s","a"),"t","a"),"u","a"),"v","a"),"w","a"),"x","a"),"y","a"),"z","a")</f>
        <v/>
      </c>
      <c r="CB2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227&amp;""),"a",""),"b",""),"c",""),"d",""),"e",""),"f",""),"g",""),"h",""),"i",""),"j",""),"k",""),"l",""),"m",""),"n",""),"o",""),"p",""),"q",""),"r",""),"s",""),"t",""),"u",""),"v",""),"w",""),"x",""),"y",""),"z",""),"-",""),"_",""),"/",""),".",""),"#",""),"\\",""),":","")," ",""),"(",""),")","")</f>
        <v/>
      </c>
      <c r="CC227" s="0" t="str">
        <f aca="false">" "&amp;TRIM(SUBSTITUTE(SUBSTITUTE(SUBSTITUTE(SUBSTITUTE(SUBSTITUTE(SUBSTITUTE(SUBSTITUTE(SUBSTITUTE(SUBSTITUTE(SUBSTITUTE(SUBSTITUTE(SUBSTITUTE(SUBSTITUTE(SUBSTITUTE(SUBSTITUTE(SUBSTITUTE(SUBSTITUTE(SUBSTITUTE(SUBSTITUTE(SUBSTITUTE(SUBSTITUTE(SUBSTITUTE(SUBSTITUTE(SUBSTITUTE(LOWER(T227&amp;""),CHAR(10)," "),CHAR(13)," "),CHAR(9)," "),CHAR(160)," "),"."," "),","," "),"-"," "),"/"," "),"("," "),")"," "),":"," "),";"," "),"_"," "),"–"," "),"?"," "),"!"," "),"*"," "),"["," "),"]"," "),"'"," "),"#"," "),"+"," "),"&amp;"," "),"\"," "))&amp;" "</f>
        <v>  </v>
      </c>
      <c r="CD227" s="0" t="str">
        <f aca="false">" "&amp;TRIM(SUBSTITUTE(SUBSTITUTE(SUBSTITUTE(SUBSTITUTE(SUBSTITUTE(SUBSTITUTE(SUBSTITUTE(SUBSTITUTE(SUBSTITUTE(SUBSTITUTE(SUBSTITUTE(SUBSTITUTE(SUBSTITUTE(SUBSTITUTE(SUBSTITUTE(SUBSTITUTE(SUBSTITUTE(SUBSTITUTE(SUBSTITUTE(SUBSTITUTE(SUBSTITUTE(SUBSTITUTE(SUBSTITUTE(SUBSTITUTE(LOWER(AE227&amp;""),CHAR(10)," "),CHAR(13)," "),CHAR(9)," "),CHAR(160)," "),"."," "),","," "),"-"," "),"/"," "),"("," "),")"," "),":"," "),";"," "),"_"," "),"–"," "),"?"," "),"!"," "),"*"," "),"["," "),"]"," "),"'"," "),"#"," "),"+"," "),"&amp;"," "),"\"," "))&amp;" "</f>
        <v>  </v>
      </c>
      <c r="CE227" s="68" t="n">
        <f aca="false">IFERROR(IF(AND(LEN(AU227)&gt;0,LEN(AU227)=LEN(AX227),OR(TRIM(MID(SUBSTITUTE(TRIM(CC227)," ",REPT(" ",60)),1,60))="",ISNUMBER(SEARCH(" "&amp;TRIM(MID(SUBSTITUTE(TRIM(CC227)," ",REPT(" ",60)),1,60))&amp;" ",CD227))),OR(TRIM(MID(SUBSTITUTE(TRIM(CC227)," ",REPT(" ",60)),61,60))="",ISNUMBER(SEARCH(" "&amp;TRIM(MID(SUBSTITUTE(TRIM(CC227)," ",REPT(" ",60)),61,60))&amp;" ",CD227))),OR(TRIM(MID(SUBSTITUTE(TRIM(CC227)," ",REPT(" ",60)),121,60))="",ISNUMBER(SEARCH(" "&amp;TRIM(MID(SUBSTITUTE(TRIM(CC227)," ",REPT(" ",60)),121,60))&amp;" ",CD227)))),1,0),0)</f>
        <v>0</v>
      </c>
      <c r="CG227" s="68" t="n">
        <f aca="false">IFERROR(LEN(SUBSTITUTE(BF227," ",""))-SUMPRODUCT((LEN(BF227)-LEN(SUBSTITUTE(BF227," "&amp;L_NAFiller&amp;" "," ")))/(LEN(L_NAFiller)+1)*LEN(L_NAFiller)),0)</f>
        <v>0</v>
      </c>
    </row>
    <row r="228" customFormat="false" ht="39.75" hidden="false" customHeight="true" outlineLevel="0" collapsed="false">
      <c r="A228" s="57" t="s">
        <v>792</v>
      </c>
      <c r="B228" s="57" t="s">
        <v>235</v>
      </c>
      <c r="C228" s="57" t="str">
        <f aca="false">Flights!$F$11</f>
        <v>MH0003</v>
      </c>
      <c r="D228" s="58" t="n">
        <f aca="false">Flights!$D$11</f>
        <v>46304</v>
      </c>
      <c r="E228" s="57" t="str">
        <f aca="false">Flights!$G$11&amp;"-"&amp;Flights!$H$11</f>
        <v>LHR-KUL</v>
      </c>
      <c r="F228" s="57" t="str">
        <f aca="false">Flights!$K$11</f>
        <v>BC</v>
      </c>
      <c r="G228" s="57" t="s">
        <v>420</v>
      </c>
      <c r="H228" s="57" t="s">
        <v>378</v>
      </c>
      <c r="I228" s="57" t="s">
        <v>428</v>
      </c>
      <c r="J228" s="57" t="s">
        <v>433</v>
      </c>
      <c r="K228" s="67"/>
      <c r="L228" s="67" t="s">
        <v>422</v>
      </c>
      <c r="M228" s="67"/>
      <c r="N228" s="67" t="s">
        <v>383</v>
      </c>
      <c r="O228" s="67" t="s">
        <v>423</v>
      </c>
      <c r="P228" s="57" t="s">
        <v>186</v>
      </c>
      <c r="Q228" s="59" t="n">
        <f aca="false">ROUND((Flights!$AE$11)*1440,0)/1440</f>
        <v>46303.9166666667</v>
      </c>
      <c r="R228" s="59" t="n">
        <f aca="false">Q228+(IF(AND(INDEX(TZ_DSTS,MATCH(P228,TZ_STN,0))&lt;&gt;"",Q228&gt;=INDEX(TZ_DSTS,MATCH(P228,TZ_STN,0)),Q228&lt;INDEX(TZ_DSTE,MATCH(P228,TZ_STN,0))),INDEX(TZ_DST,MATCH(P228,TZ_STN,0)),INDEX(TZ_STD,MATCH(P228,TZ_STN,0))))/24</f>
        <v>46303.9583333333</v>
      </c>
      <c r="S228" s="60"/>
      <c r="T228" s="60"/>
      <c r="U228" s="60"/>
      <c r="V228" s="60"/>
      <c r="W228" s="61"/>
      <c r="X228" s="60"/>
      <c r="Y228" s="60"/>
      <c r="Z228" s="60"/>
      <c r="AA228" s="60"/>
      <c r="AB228" s="60"/>
      <c r="AC228" s="60"/>
      <c r="AD228" s="66"/>
      <c r="AE228" s="60"/>
      <c r="AF228" s="61" t="str">
        <f aca="false">IF(AND(ISNUMBER(X228),ISNUMBER(Y228)),Y228-X228,"")</f>
        <v/>
      </c>
      <c r="AG228" s="62" t="str">
        <f aca="false">IF(ISNUMBER(AD228),AD228-(IF(AND(INDEX(TZ_DSTS,MATCH(P228,TZ_STN,0))&lt;&gt;"",(AD228-INDEX(TZ_STD,MATCH(P228,TZ_STN,0))/24)&gt;=INDEX(TZ_DSTS,MATCH(P228,TZ_STN,0)),(AD228-INDEX(TZ_STD,MATCH(P228,TZ_STN,0))/24)&lt;INDEX(TZ_DSTE,MATCH(P228,TZ_STN,0))),INDEX(TZ_DST,MATCH(P228,TZ_STN,0)),INDEX(TZ_STD,MATCH(P228,TZ_STN,0))))/24,"")</f>
        <v/>
      </c>
      <c r="AH228" s="65" t="str">
        <f aca="false">IFERROR(IF(N228="N/A – rule",IF(OR(TRIM(U228)="",TRIM(U228)="N/A",TRIM(U228)="Not started"),"N/A – RULE","INVALID – this check does not apply to this aircraft: clear the status (or correct the fleet on Flights)"),IF(TRIM(U228)="N/A",IF(AT228=0,"INVALID – N/A not permitted for this check",IF(AND(TRIM(AB228)&lt;&gt;"",TRIM(AB228)&lt;&gt;"Closed"),"INVALID – corrective action still open",IF(AND(NOT(OR(LEN(AZ228)&lt;15,ISNUMBER(MATCH(AZ228,L_Placeholder,0)))),BK228=0,CG228&gt;=8,NOT(OR(LEN(AU228)&lt;2,ISNUMBER(MATCH(AU228,L_Placeholder,0)))),BR228&gt;=3,NOT(OR(LEN(AX228)&lt;2,ISNUMBER(MATCH(AX228,L_Placeholder,0)))),BS228&gt;=3,TRIM(AE228)&lt;&gt;TRIM(T228),AX228&lt;&gt;AU228,CE228=0),"N/A – JUSTIFIED","INVALID – N/A needs a real, settled reason (not 'not applicable' / 'as above' / TBC), a named PIC and a different named verifier"))),IF(OR(TRIM(U228)="Pass",TRIM(U228)="Pass after CA"),IF(NOT(ISNUMBER(AD228)),"INVALID – completion time missing",IF(OR(OR(LEN(AU228)&lt;2,ISNUMBER(MATCH(AU228,L_Placeholder,0))),BR228&lt;3),"INVALID – PIC missing or not a named person (a role such as QA / CSM is not a name)",IF(OR(LEN(AV228)&lt;2,ISNUMBER(MATCH(AV228,L_Placeholder,0))),"INVALID – result / assessment missing",IF(OR(OR(LEN(AW228)&lt;3,ISNUMBER(MATCH(AW228,L_Placeholder,0))),SUMPRODUCT(--ISNUMBER(SEARCH(" "&amp;L_EvidencePhrase&amp;" ",BD228)))&gt;0,BI228=1),"INVALID – evidence missing, placeholder or not yet on file",IF(ISNA(MATCH(TRIM(S228),L_EvidenceType,0)),"INVALID – choose the evidence type from the list (column S)",IF(BL228=0,"INVALID – evidence ID must be the record's own ID only (e.g. SF-2210, IMG_2231, 1045521); a link / file name needs type 'Link / file path'",IF(OR(OR(LEN(AX228)&lt;2,ISNUMBER(MATCH(AX228,L_Placeholder,0))),BS228&lt;3),"INVALID – verifier missing or not a named person (a role such as QA / CSM is not a name)",IF(OR(AX228=AU228,CE228=1,AND(LEN(AU228)&gt;=4,ISNUMBER(SEARCH(AU228,AX228))),AND(LEN(AX228)&gt;=4,ISNUMBER(SEARCH(AX228,AU228)))),"INVALID – verifier must be a different, named person (not the PIC or a role)",IF(BH228=1,"INVALID – result not yet available (awaiting / TBC)",IF(BG228=1,"INVALID – result describes a problem: record Fail, then Pass after CA (or reword if it is not a problem)",IF(BV228=1,"INVALID – wording says not on board: an on-board confirmation needs the item loaded",IF(AND(AQ228=1,OR(OR(LEN(AY228)&lt;3,ISNUMBER(MATCH(AY228,L_Placeholder,0))),BJ228=1,BQ228=0)),"INVALID – batch ID missing, placeholder or not an ID (e.g. PASB-261008-BC-017)",IF(AND(AR228=1,OR(NOT(ISNUMBER(X228)),NOT(ISNUMBER(Y228)))),"INVALID – expected/actual qty missing",IF(AND(AR228=1,OR(X228&lt;=0,Y228&lt;0)),"INVALID – expected qty must be above 0 and actual not negative",IF(BB228&lt;&gt;"",BB228,IF(AND(AS228=1,Documents!$J$11&lt;&gt;"ON FILE"),"INVALID – GLD not on file (Documents sheet)",IF(AND(AS228=2,Documents!$O$11&lt;&gt;"ON FILE"),"INVALID – menu checklist not on file (Documents sheet)",IF(AND(AS228=3,NOT(ISNUMBER(Flights!$AX$11))),"INVALID – enter carrying flight KUL departure (Flights AX)",IF(AND(AS228=3,OR(Flights!$AZ$11&gt;Flights!$AA$11,Flights!$AX$11&lt;Flights!$AA$11-3)),"INVALID – carrying flight (Flights AX) cannot arrive before this leg's STD, or is over 3 days early",IF(AG228&gt;AsOfUTC,"INVALID – completion time is in the future",IF(AND(ISNUMBER(BY228),AG228&lt;BY228),IF(H228="Physical uplift","INVALID – before uplift window (cannot confirm loading)","INVALID – before valid window"),IF(AG228&gt;Flights!$AA$11,"INVALID – completed after departure (cannot establish readiness)",IF(AND(H228="Preparation",AG228&gt;=IF(ISNUMBER(Flights!$BA$11),MIN(Flights!$BA$11,Flights!$AA$11),Flights!$AA$11)),"INVALID – completed after loading / departure (cannot establish readiness)",IF(AND(H228="Physical uplift",AG228&gt;Q228),"INVALID – recorded after the loading flight departed",IF(AG228&gt;Q228,"COMPLETE – LATE","COMPLETE"))))))))))))))))))))))))),IF(TRIM(U228)="Fail","FAIL – DISCREPANCY",IF(AND(TRIM(U228)&lt;&gt;"",TRIM(U228)&lt;&gt;"Not started",TRIM(U228)&lt;&gt;"In progress"),"INVALID – unrecognised status (use the list)",IF(AsOfUTC&gt;Q228,"OVERDUE",IF(N228="Clarification required","OPEN – CLARIFICATION","OPEN"))))))),"INVALID – error value in an input cell")</f>
        <v>OPEN</v>
      </c>
      <c r="AI228" s="61" t="n">
        <f aca="false">IF(OR(AH228="N/A – RULE",AH228="N/A – JUSTIFIED"),0,1)</f>
        <v>1</v>
      </c>
      <c r="AJ228" s="61" t="n">
        <f aca="false">IF(LEFT(AH228,8)="COMPLETE",1,0)</f>
        <v>0</v>
      </c>
      <c r="AK228" s="61" t="n">
        <f aca="false">IF(AND(AI228=1,AJ228=0,AsOfUTC&gt;Q228),1,0)</f>
        <v>0</v>
      </c>
      <c r="AL228" s="61" t="n">
        <f aca="false">IFERROR(IF(AND(AI228=1,OR(TRIM(U228)="Fail",AND(TRIM(AB228)&lt;&gt;"",TRIM(AB228)&lt;&gt;"Closed"),AND(ISNUMBER(AF228),AF228&lt;&gt;0,TRIM(U228)&lt;&gt;"Pass after CA"))),1,0),1)</f>
        <v>0</v>
      </c>
      <c r="AM228" s="61" t="n">
        <f aca="false">IF(LEFT(AH228,7)="INVALID",1,0)</f>
        <v>0</v>
      </c>
      <c r="AN228" s="61" t="n">
        <f aca="false">IF(AND(N228="Clarification required",AI228=1,AJ228=0),1,0)</f>
        <v>0</v>
      </c>
      <c r="AO228" s="61" t="str">
        <f aca="false">IF(AK228=1,SUM(AK$5:AK228),"")</f>
        <v/>
      </c>
      <c r="AP228" s="61" t="str">
        <f aca="false">IF(AL228=1,SUM(AL$5:AL228),"")</f>
        <v/>
      </c>
      <c r="AQ228" s="61" t="n">
        <v>0</v>
      </c>
      <c r="AR228" s="61" t="n">
        <v>0</v>
      </c>
      <c r="AS228" s="61" t="n">
        <v>0</v>
      </c>
      <c r="AT228" s="61" t="n">
        <v>0</v>
      </c>
      <c r="AU228" s="61" t="str">
        <f aca="false">SUBSTITUTE(SUBSTITUTE(SUBSTITUTE(SUBSTITUTE(SUBSTITUTE(SUBSTITUTE(SUBSTITUTE(SUBSTITUTE(SUBSTITUTE(SUBSTITUTE(SUBSTITUTE(SUBSTITUTE(SUBSTITUTE(SUBSTITUTE(SUBSTITUTE(SUBSTITUTE(LOWER(T228&amp;""),CHAR(10),""),CHAR(13),""),CHAR(9),""),CHAR(160),"")," ",""),".",""),"-",""),"/",""),"?",""),"_",""),",",""),"[",""),"]",""),"(",""),")",""),"*","")</f>
        <v/>
      </c>
      <c r="AV228" s="61" t="str">
        <f aca="false">SUBSTITUTE(SUBSTITUTE(SUBSTITUTE(SUBSTITUTE(SUBSTITUTE(SUBSTITUTE(SUBSTITUTE(SUBSTITUTE(SUBSTITUTE(SUBSTITUTE(SUBSTITUTE(SUBSTITUTE(SUBSTITUTE(SUBSTITUTE(SUBSTITUTE(SUBSTITUTE(LOWER(V228&amp;""),CHAR(10),""),CHAR(13),""),CHAR(9),""),CHAR(160),"")," ",""),".",""),"-",""),"/",""),"?",""),"_",""),",",""),"[",""),"]",""),"(",""),")",""),"*","")</f>
        <v/>
      </c>
      <c r="AW228" s="61" t="str">
        <f aca="false">SUBSTITUTE(SUBSTITUTE(SUBSTITUTE(SUBSTITUTE(SUBSTITUTE(SUBSTITUTE(SUBSTITUTE(SUBSTITUTE(SUBSTITUTE(SUBSTITUTE(SUBSTITUTE(SUBSTITUTE(SUBSTITUTE(SUBSTITUTE(SUBSTITUTE(SUBSTITUTE(LOWER(Z228&amp;""),CHAR(10),""),CHAR(13),""),CHAR(9),""),CHAR(160),"")," ",""),".",""),"-",""),"/",""),"?",""),"_",""),",",""),"[",""),"]",""),"(",""),")",""),"*","")</f>
        <v/>
      </c>
      <c r="AX228" s="61" t="str">
        <f aca="false">SUBSTITUTE(SUBSTITUTE(SUBSTITUTE(SUBSTITUTE(SUBSTITUTE(SUBSTITUTE(SUBSTITUTE(SUBSTITUTE(SUBSTITUTE(SUBSTITUTE(SUBSTITUTE(SUBSTITUTE(SUBSTITUTE(SUBSTITUTE(SUBSTITUTE(SUBSTITUTE(LOWER(AE228&amp;""),CHAR(10),""),CHAR(13),""),CHAR(9),""),CHAR(160),"")," ",""),".",""),"-",""),"/",""),"?",""),"_",""),",",""),"[",""),"]",""),"(",""),")",""),"*","")</f>
        <v/>
      </c>
      <c r="AY228" s="61" t="str">
        <f aca="false">SUBSTITUTE(SUBSTITUTE(SUBSTITUTE(SUBSTITUTE(SUBSTITUTE(SUBSTITUTE(SUBSTITUTE(SUBSTITUTE(SUBSTITUTE(SUBSTITUTE(SUBSTITUTE(SUBSTITUTE(SUBSTITUTE(SUBSTITUTE(SUBSTITUTE(SUBSTITUTE(LOWER(W228&amp;""),CHAR(10),""),CHAR(13),""),CHAR(9),""),CHAR(160),"")," ",""),".",""),"-",""),"/",""),"?",""),"_",""),",",""),"[",""),"]",""),"(",""),")",""),"*","")</f>
        <v/>
      </c>
      <c r="AZ228" s="61" t="str">
        <f aca="false">SUBSTITUTE(SUBSTITUTE(SUBSTITUTE(SUBSTITUTE(SUBSTITUTE(SUBSTITUTE(SUBSTITUTE(SUBSTITUTE(SUBSTITUTE(SUBSTITUTE(SUBSTITUTE(SUBSTITUTE(SUBSTITUTE(SUBSTITUTE(SUBSTITUTE(SUBSTITUTE(LOWER(AC228&amp;""),CHAR(10),""),CHAR(13),""),CHAR(9),""),CHAR(160),"")," ",""),".",""),"-",""),"/",""),"?",""),"_",""),",",""),"[",""),"]",""),"(",""),")",""),"*","")</f>
        <v/>
      </c>
      <c r="BA228" s="61" t="str">
        <f aca="false">SUBSTITUTE(SUBSTITUTE(SUBSTITUTE(SUBSTITUTE(SUBSTITUTE(SUBSTITUTE(SUBSTITUTE(SUBSTITUTE(SUBSTITUTE(SUBSTITUTE(SUBSTITUTE(SUBSTITUTE(SUBSTITUTE(SUBSTITUTE(SUBSTITUTE(SUBSTITUTE(LOWER(AA228&amp;""),CHAR(10),""),CHAR(13),""),CHAR(9),""),CHAR(160),"")," ",""),".",""),"-",""),"/",""),"?",""),"_",""),",",""),"[",""),"]",""),"(",""),")",""),"*","")</f>
        <v/>
      </c>
      <c r="BB228" s="61" t="str">
        <f aca="false">IF(AND(TRIM(U228)="Pass",ISNUMBER(AF228)),IF(AF228&lt;&gt;0,"INVALID – qty variance: use Fail or Pass after CA",""),"")&amp;IF(AND(TRIM(U228)="Pass after CA",ISNUMBER(AF228)),IF(AF228&lt;&gt;0,"INVALID – after the corrective action the actual qty must equal expected (update Actual)",""),"")&amp;IF(AND(TRIM(U228)="Pass",TRIM(AB228)&lt;&gt;"",TRIM(AB228)&lt;&gt;"Closed"),"INVALID – corrective action not closed: use Fail, then Pass after CA","")&amp;IF(AND(LEN(BA228)&gt;=2,ISNA(MATCH(LEFT(BA228,255),L_Placeholder,0)),TRIM(AB228)=""),"INVALID – CA status missing for the recorded corrective action","")&amp;IF(AND(TRIM(U228)="Pass after CA",OR(OR(LEN(BA228)&lt;5,ISNUMBER(MATCH(BA228,L_Placeholder,0))),TRIM(AB228)&lt;&gt;"Closed")),"INVALID – corrective action not recorded/closed","")</f>
        <v/>
      </c>
      <c r="BC228" s="61" t="str">
        <f aca="false">" "&amp;TRIM(SUBSTITUTE(SUBSTITUTE(SUBSTITUTE(SUBSTITUTE(SUBSTITUTE(SUBSTITUTE(SUBSTITUTE(SUBSTITUTE(SUBSTITUTE(SUBSTITUTE(SUBSTITUTE(SUBSTITUTE(SUBSTITUTE(SUBSTITUTE(SUBSTITUTE(SUBSTITUTE(SUBSTITUTE(SUBSTITUTE(SUBSTITUTE(SUBSTITUTE(SUBSTITUTE(SUBSTITUTE(SUBSTITUTE(SUBSTITUTE(LOWER(V228&amp;""),CHAR(10)," "),CHAR(13)," "),CHAR(9)," "),CHAR(160)," "),"."," "),","," "),"-"," "),"/"," "),"("," "),")"," "),":"," "),";"," "),"_"," "),"–"," "),"?"," "),"!"," "),"*"," "),"["," "),"]"," "),"'"," "),"#"," "),"+"," "),"&amp;"," "),"\"," "))&amp;" "</f>
        <v>  </v>
      </c>
      <c r="BD228" s="61" t="str">
        <f aca="false">" "&amp;TRIM(SUBSTITUTE(SUBSTITUTE(SUBSTITUTE(SUBSTITUTE(SUBSTITUTE(SUBSTITUTE(SUBSTITUTE(SUBSTITUTE(SUBSTITUTE(SUBSTITUTE(SUBSTITUTE(SUBSTITUTE(SUBSTITUTE(SUBSTITUTE(SUBSTITUTE(SUBSTITUTE(SUBSTITUTE(SUBSTITUTE(SUBSTITUTE(SUBSTITUTE(SUBSTITUTE(SUBSTITUTE(SUBSTITUTE(SUBSTITUTE(LOWER(Z228&amp;""),CHAR(10)," "),CHAR(13)," "),CHAR(9)," "),CHAR(160)," "),"."," "),","," "),"-"," "),"/"," "),"("," "),")"," "),":"," "),";"," "),"_"," "),"–"," "),"?"," "),"!"," "),"*"," "),"["," "),"]"," "),"'"," "),"#"," "),"+"," "),"&amp;"," "),"\"," "))&amp;" "</f>
        <v>  </v>
      </c>
      <c r="BE228" s="61" t="str">
        <f aca="false">" "&amp;TRIM(SUBSTITUTE(SUBSTITUTE(SUBSTITUTE(SUBSTITUTE(SUBSTITUTE(SUBSTITUTE(SUBSTITUTE(SUBSTITUTE(SUBSTITUTE(SUBSTITUTE(SUBSTITUTE(SUBSTITUTE(SUBSTITUTE(SUBSTITUTE(SUBSTITUTE(SUBSTITUTE(SUBSTITUTE(SUBSTITUTE(SUBSTITUTE(SUBSTITUTE(SUBSTITUTE(SUBSTITUTE(SUBSTITUTE(SUBSTITUTE(LOWER(W228&amp;""),CHAR(10)," "),CHAR(13)," "),CHAR(9)," "),CHAR(160)," "),"."," "),","," "),"-"," "),"/"," "),"("," "),")"," "),":"," "),";"," "),"_"," "),"–"," "),"?"," "),"!"," "),"*"," "),"["," "),"]"," "),"'"," "),"#"," "),"+"," "),"&amp;"," "),"\"," "))&amp;" "</f>
        <v>  </v>
      </c>
      <c r="BF228" s="61" t="str">
        <f aca="false">" "&amp;TRIM(SUBSTITUTE(SUBSTITUTE(SUBSTITUTE(SUBSTITUTE(SUBSTITUTE(SUBSTITUTE(SUBSTITUTE(SUBSTITUTE(SUBSTITUTE(SUBSTITUTE(SUBSTITUTE(SUBSTITUTE(SUBSTITUTE(SUBSTITUTE(SUBSTITUTE(SUBSTITUTE(SUBSTITUTE(SUBSTITUTE(SUBSTITUTE(SUBSTITUTE(SUBSTITUTE(SUBSTITUTE(SUBSTITUTE(SUBSTITUTE(LOWER(AC228&amp;""),CHAR(10)," "),CHAR(13)," "),CHAR(9)," "),CHAR(160)," "),"."," "),","," "),"-"," "),"/"," "),"("," "),")"," "),":"," "),";"," "),"_"," "),"–"," "),"?"," "),"!"," "),"*"," "),"["," "),"]"," "),"'"," "),"#"," "),"+"," "),"&amp;"," "),"\"," "))&amp;" "</f>
        <v>  </v>
      </c>
      <c r="BG228" s="61" t="n">
        <f aca="false">IFERROR(IF(AND(TRIM(U228)="Pass",SUMPRODUCT((LEN(BC228)-LEN(SUBSTITUTE(BC228," "&amp;L_ResultBad&amp;" "," ")))/(LEN(L_ResultBad)+1))&gt;SUMPRODUCT((LEN(BC228)-LEN(SUBSTITUTE(BC228," "&amp;L_NegPhrase&amp;" "," ")))/(LEN(L_NegPhrase)+1))),1,0),0)</f>
        <v>0</v>
      </c>
      <c r="BH228" s="61" t="n">
        <f aca="false">IFERROR(IF(SUMPRODUCT((LEN(BC228)-LEN(SUBSTITUTE(BC228," "&amp;L_Pending&amp;" "," ")))/(LEN(L_Pending)+1))&gt;SUMPRODUCT((LEN(BC228)-LEN(SUBSTITUTE(BC228," "&amp;L_PendNeg&amp;" "," ")))/(LEN(L_PendNeg)+1))+SUMPRODUCT((LEN(BC228)-LEN(SUBSTITUTE(BC228," "&amp;L_PendPrep&amp;" "," ")))/(LEN(L_PendPrep)+1)),1,0),1)</f>
        <v>0</v>
      </c>
      <c r="BI228" s="61" t="n">
        <f aca="false">IFERROR(IF(SUMPRODUCT((LEN(BD228)-LEN(SUBSTITUTE(BD228," "&amp;L_PendStrict&amp;" "," ")))/(LEN(L_PendStrict)+1))&gt;SUMPRODUCT((LEN(BD228)-LEN(SUBSTITUTE(BD228," "&amp;L_PendNeg&amp;" "," ")))/(LEN(L_PendNeg)+1)),1,0),1)</f>
        <v>0</v>
      </c>
      <c r="BJ228" s="61" t="n">
        <f aca="false">IFERROR(IF(SUMPRODUCT((LEN(BE228)-LEN(SUBSTITUTE(BE228," "&amp;L_Pending&amp;" "," ")))/(LEN(L_Pending)+1))&gt;SUMPRODUCT((LEN(BE228)-LEN(SUBSTITUTE(BE228," "&amp;L_PendNeg&amp;" "," ")))/(LEN(L_PendNeg)+1))+SUMPRODUCT((LEN(BE228)-LEN(SUBSTITUTE(BE228," "&amp;L_PendPrep&amp;" "," ")))/(LEN(L_PendPrep)+1)),1,0),1)</f>
        <v>0</v>
      </c>
      <c r="BK228" s="61" t="n">
        <f aca="false">IFERROR(IF(SUMPRODUCT((LEN(BF228)-LEN(SUBSTITUTE(BF228," "&amp;L_PendStrict&amp;" "," ")))/(LEN(L_PendStrict)+1))&gt;SUMPRODUCT((LEN(BF228)-LEN(SUBSTITUTE(BF228," "&amp;L_PendNeg&amp;" "," ")))/(LEN(L_PendNeg)+1)),1,0),1)</f>
        <v>0</v>
      </c>
      <c r="BL228" s="61" t="n">
        <f aca="false">IF(ISNA(MATCH(TRIM(S228),L_EvidenceType,0)),0,BZ228)</f>
        <v>0</v>
      </c>
      <c r="BM228" s="61" t="str">
        <f aca="false">SUBSTITUTE(SUBSTITUTE(SUBSTITUTE(SUBSTITUTE(SUBSTITUTE(SUBSTITUTE(SUBSTITUTE(SUBSTITUTE(SUBSTITUTE(LOWER(Z228&amp;""),"1","0"),"2","0"),"3","0"),"4","0"),"5","0"),"6","0"),"7","0"),"8","0"),"9","0")</f>
        <v/>
      </c>
      <c r="BN228" s="61" t="str">
        <f aca="false">SUBSTITUTE(SUBSTITUTE(SUBSTITUTE(SUBSTITUTE(SUBSTITUTE(SUBSTITUTE(SUBSTITUTE(SUBSTITUTE(SUBSTITUTE(SUBSTITUTE(SUBSTITUTE(SUBSTITUTE(SUBSTITUTE(SUBSTITUTE(SUBSTITUTE(SUBSTITUTE(SUBSTITUTE(SUBSTITUTE(SUBSTITUTE(SUBSTITUTE(SUBSTITUTE(SUBSTITUTE(SUBSTITUTE(SUBSTITUTE(SUBSTITUTE(BM228,"b","a"),"c","a"),"d","a"),"e","a"),"f","a"),"g","a"),"h","a"),"i","a"),"j","a"),"k","a"),"l","a"),"m","a"),"n","a"),"o","a"),"p","a"),"q","a"),"r","a"),"s","a"),"t","a"),"u","a"),"v","a"),"w","a"),"x","a"),"y","a"),"z","a")</f>
        <v/>
      </c>
      <c r="BO228" s="61" t="str">
        <f aca="false">SUBSTITUTE(SUBSTITUTE(SUBSTITUTE(SUBSTITUTE(SUBSTITUTE(SUBSTITUTE(SUBSTITUTE(SUBSTITUTE(SUBSTITUTE(LOWER(W228&amp;""),"1","0"),"2","0"),"3","0"),"4","0"),"5","0"),"6","0"),"7","0"),"8","0"),"9","0")</f>
        <v/>
      </c>
      <c r="BP228" s="61" t="str">
        <f aca="false">SUBSTITUTE(SUBSTITUTE(SUBSTITUTE(SUBSTITUTE(SUBSTITUTE(SUBSTITUTE(SUBSTITUTE(SUBSTITUTE(SUBSTITUTE(SUBSTITUTE(SUBSTITUTE(SUBSTITUTE(SUBSTITUTE(SUBSTITUTE(SUBSTITUTE(SUBSTITUTE(SUBSTITUTE(SUBSTITUTE(SUBSTITUTE(SUBSTITUTE(SUBSTITUTE(SUBSTITUTE(SUBSTITUTE(SUBSTITUTE(SUBSTITUTE(BO228,"b","a"),"c","a"),"d","a"),"e","a"),"f","a"),"g","a"),"h","a"),"i","a"),"j","a"),"k","a"),"l","a"),"m","a"),"n","a"),"o","a"),"p","a"),"q","a"),"r","a"),"s","a"),"t","a"),"u","a"),"v","a"),"w","a"),"x","a"),"y","a"),"z","a")</f>
        <v/>
      </c>
      <c r="BQ228" s="61" t="n">
        <f aca="false">IFERROR(IF(AND(ISERROR(SEARCH(" mh"," "&amp;LOWER(W228))),ISNA(MATCH(LEFT(TRIM(BP228),255),{"0000a","000a","00a","0000aa","000aa","00aa","0aa","0000aaa","000aaa","00a00","0a00","0000-0000","00:00","a00","a0","00.00.0000","00/00/0000","00-00-0000","0000-00-00","0000/00/00","0000.00.00","00.00.00","00/00/00","00-00-00","0.00.0000","0/00/0000","0-00-0000"},0)),ISNA(MATCH(LEFT(TRIM(CA228),255),{"0000a","000a","00a","0000aa","000aa","00aa","0aa","0000aaa","000aaa","00a00","0a00","0000-0000","00:00","a00","a0","00.00.0000","00/00/0000","00-00-0000","0000-00-00","0000/00/00","0000.00.00","00.00.00","00/00/00","00-00-00","0.00.0000","0/00/0000","0-00-0000"},0)),LEN(CB228)&gt;=3,NOT(OR(SUBSTITUTE(CB228,"0","")="",AND(LEN(CB228)&gt;=4,CB228=REPT(LEFT(CB228),LEN(CB228))),ISNUMBER(MATCH(CB228,{"123","1234","12345","123456","1234567","12345678","0123","01234","012345","98765","987654","54321"},0)),AND(LEN(CB228)=8,LEFT(CB228,3)="202"))),OR(AND((LEN(CA228)-LEN(SUBSTITUTE(CA228,"a","")))&gt;=1,SUMPRODUCT(--ISNUMBER(SEARCH({"a0","a-0","a_0","a/0","a.0","a#0","0a","0-a","0_a","0/a"},BP228)))&gt;0),ISNUMBER(SEARCH("000000",BP228)))),1,0),0)</f>
        <v>0</v>
      </c>
      <c r="BR228" s="61" t="n">
        <f aca="false">IFERROR(LEN(SUBSTITUTE(CC228," ",""))-SUMPRODUCT((LEN(CC228)-LEN(SUBSTITUTE(CC228," "&amp;L_Role&amp;" "," ")))/(LEN(L_Role)+1)*LEN(L_Role)),0)</f>
        <v>0</v>
      </c>
      <c r="BS228" s="61" t="n">
        <f aca="false">IFERROR(LEN(SUBSTITUTE(CD228," ",""))-SUMPRODUCT((LEN(CD228)-LEN(SUBSTITUTE(CD228," "&amp;L_Role&amp;" "," ")))/(LEN(L_Role)+1)*LEN(L_Role)),0)</f>
        <v>0</v>
      </c>
      <c r="BT2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228,"revision",""),"version",""),"jan",""),"feb",""),"mar",""),"apr",""),"may",""),"jun",""),"jul",""),"aug",""),"sep",""),"oct",""),"nov",""),"dec",""),"utc",""),"gmt",""),"myt",""),"bst",""),"rev",""),"ver",""),"b","a"),"c","a"),"d","a"),"e","a"),"f","a"),"g","a"),"h","a"),"i","a"),"j","a"),"k","a"),"l","a"),"m","a"),"n","a"),"o","a"),"p","a"),"q","a"),"r","a"),"s","a"),"t","a"),"u","a"),"v","a"),"w","a"),"x","a"),"y","a"),"z","a")</f>
        <v/>
      </c>
      <c r="BU228" s="61" t="str">
        <f aca="false">SUBSTITUTE(SUBSTITUTE(SUBSTITUTE(SUBSTITUTE(SUBSTITUTE(SUBSTITUTE(SUBSTITUTE(SUBSTITUTE(SUBSTITUTE(SUBSTITUTE(LEFT(BM228,FIND("0",BM228&amp;"0")-1),"-",""),"_",""),"/",""),".",""),"#",""),"\\",""),":","")," ",""),"(",""),")","")</f>
        <v/>
      </c>
      <c r="BV228" s="61" t="n">
        <f aca="false">0</f>
        <v>0</v>
      </c>
      <c r="BW2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228&amp;""),"a",""),"b",""),"c",""),"d",""),"e",""),"f",""),"g",""),"h",""),"i",""),"j",""),"k",""),"l",""),"m",""),"n",""),"o",""),"p",""),"q",""),"r",""),"s",""),"t",""),"u",""),"v",""),"w",""),"x",""),"y",""),"z",""),"-",""),"_",""),"/",""),".",""),"#",""),"\\",""),":","")," ",""),"(",""),")","")</f>
        <v/>
      </c>
      <c r="BX228" s="61" t="str">
        <f aca="false">SUBSTITUTE(SUBSTITUTE(SUBSTITUTE(SUBSTITUTE(SUBSTITUTE(SUBSTITUTE(SUBSTITUTE(SUBSTITUTE(SUBSTITUTE(SUBSTITUTE(SUBSTITUTE(BM228,"0",""),"-",""),"_",""),"/",""),".",""),"#",""),"\\",""),":","")," ",""),"(",""),")","")</f>
        <v/>
      </c>
      <c r="BY228" s="62" t="n">
        <f aca="false">Q228-T12EarlyH/24</f>
        <v>46303.4166666667</v>
      </c>
      <c r="BZ228" s="61" t="n">
        <f aca="false">IFERROR(IF(IF(TRIM(S228)="Link / file path",AND(LEN(TRIM(Z228))&gt;=5,SUMPRODUCT(--ISNUMBER(SEARCH({"http","www.","\\",":\",".pdf",".jpg",".jpeg",".png",".heic",".xls",".doc",".msg",".eml",".ppt",".txt",".zip"},Z228)))&gt;0),AND(ISERROR(FIND(" ",TRIM(Z228))),NOT(OR(SUMPRODUCT(--ISNUMBER(FIND({",",";","&amp;","+"},Z228)))&gt;0,SUMPRODUCT(--ISNUMBER(SEARCH({"0/aa","0\\aa"},BN228)))&gt;0)),NOT(SUMPRODUCT(--ISNUMBER(SEARCH({"http","www.","\\",":\",".pdf",".jpg",".jpeg",".png",".heic",".xls",".doc",".msg",".eml",".ppt",".txt",".zip"},Z228)))&gt;0),NOT(LOWER(TRIM(Z228))=LOWER(Flights!$F$11)),ISNA(MATCH(BU228,{"mh","rev","revision","ver","version","v","r","a","b","seat","tray","row","gate","bay","stand","page","pg","item","line","no","cart","galley","flight","flt","table","box","bag","oven","etd","eta","std","sta","atd","ata","qty","pax","x","time","tel","ph","mob","day","wk","week","utc","gmt","myt","lt"},0)),NOT(OR(ISNUMBER(MATCH(LEFT(BN228,255),{"0000a","000a","00a","0000aa","000aa","00aa","0aa","0000aaa","000aaa","00a00","0a00","0000-0000","00:00","a00","a0","00.00.0000","00/00/0000","00-00-0000","0000-00-00","0000/00/00","0000.00.00","00.00.00","00/00/00","00-00-00","0.00.0000","0/00/0000","0-00-0000"},0)),ISNUMBER(MATCH(LEFT(BT228,255),{"0000a","000a","00a","0000aa","000aa","00aa","0aa","0000aaa","000aaa","00a00","0a00","0000-0000","00:00","a00","a0","00.00.0000","00/00/0000","00-00-0000","0000-00-00","0000/00/00","0000.00.00","00.00.00","00/00/00","00-00-00","0.00.0000","0/00/0000","0-00-0000"},0)))),NOT(OR(AND(BW228&lt;&gt;"",SUBSTITUTE(BW228,"0","")=""),AND(LEN(BW228)&gt;=4,BW228=REPT(LEFT(BW228),LEN(BW228))),ISNUMBER(MATCH(BW228,{"123","1234","12345","123456","1234567","12345678","0123","01234","012345","98765","987654","54321"},0)),ISNUMBER(MATCH(BX228,{"x","xx","xxx","xxxx","xxxxx","abc","abcd","nil","na","nan","test","tbc","tba","tbd","dummy","sample","example","eg","zz","zzz","none","null","xyz","qwe","asd","id","ref"},0)),AND(LEN(BW228)=8,BX228="",OR(LEFT(BW228,3)="202",ISNUMBER(MATCH(RIGHT(BW228,4),{"2025","2026","2027"},0)))))),OR(AND((LEN(BT228)-LEN(SUBSTITUTE(BT228,"a","")))&gt;=1,(LEN(BN228)-LEN(SUBSTITUTE(BN228,"0","")))&gt;=2,SUMPRODUCT(--ISNUMBER(SEARCH({"a0","a-0","a_0","a/0","a.0","a#0","0a","0-a","0_a","0/a"},BN228)))&gt;0),AND((LEN(BN228)-LEN(SUBSTITUTE(BN228,"a","")))=0,(LEN(BN228)-LEN(SUBSTITUTE(BN228,"0","")))&gt;=5)))),1,0),0)</f>
        <v>0</v>
      </c>
      <c r="CA2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228,"revision",""),"version",""),"jan",""),"feb",""),"mar",""),"apr",""),"may",""),"jun",""),"jul",""),"aug",""),"sep",""),"oct",""),"nov",""),"dec",""),"utc",""),"gmt",""),"myt",""),"bst",""),"rev",""),"ver",""),"b","a"),"c","a"),"d","a"),"e","a"),"f","a"),"g","a"),"h","a"),"i","a"),"j","a"),"k","a"),"l","a"),"m","a"),"n","a"),"o","a"),"p","a"),"q","a"),"r","a"),"s","a"),"t","a"),"u","a"),"v","a"),"w","a"),"x","a"),"y","a"),"z","a")</f>
        <v/>
      </c>
      <c r="CB2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228&amp;""),"a",""),"b",""),"c",""),"d",""),"e",""),"f",""),"g",""),"h",""),"i",""),"j",""),"k",""),"l",""),"m",""),"n",""),"o",""),"p",""),"q",""),"r",""),"s",""),"t",""),"u",""),"v",""),"w",""),"x",""),"y",""),"z",""),"-",""),"_",""),"/",""),".",""),"#",""),"\\",""),":","")," ",""),"(",""),")","")</f>
        <v/>
      </c>
      <c r="CC228" s="0" t="str">
        <f aca="false">" "&amp;TRIM(SUBSTITUTE(SUBSTITUTE(SUBSTITUTE(SUBSTITUTE(SUBSTITUTE(SUBSTITUTE(SUBSTITUTE(SUBSTITUTE(SUBSTITUTE(SUBSTITUTE(SUBSTITUTE(SUBSTITUTE(SUBSTITUTE(SUBSTITUTE(SUBSTITUTE(SUBSTITUTE(SUBSTITUTE(SUBSTITUTE(SUBSTITUTE(SUBSTITUTE(SUBSTITUTE(SUBSTITUTE(SUBSTITUTE(SUBSTITUTE(LOWER(T228&amp;""),CHAR(10)," "),CHAR(13)," "),CHAR(9)," "),CHAR(160)," "),"."," "),","," "),"-"," "),"/"," "),"("," "),")"," "),":"," "),";"," "),"_"," "),"–"," "),"?"," "),"!"," "),"*"," "),"["," "),"]"," "),"'"," "),"#"," "),"+"," "),"&amp;"," "),"\"," "))&amp;" "</f>
        <v>  </v>
      </c>
      <c r="CD228" s="0" t="str">
        <f aca="false">" "&amp;TRIM(SUBSTITUTE(SUBSTITUTE(SUBSTITUTE(SUBSTITUTE(SUBSTITUTE(SUBSTITUTE(SUBSTITUTE(SUBSTITUTE(SUBSTITUTE(SUBSTITUTE(SUBSTITUTE(SUBSTITUTE(SUBSTITUTE(SUBSTITUTE(SUBSTITUTE(SUBSTITUTE(SUBSTITUTE(SUBSTITUTE(SUBSTITUTE(SUBSTITUTE(SUBSTITUTE(SUBSTITUTE(SUBSTITUTE(SUBSTITUTE(LOWER(AE228&amp;""),CHAR(10)," "),CHAR(13)," "),CHAR(9)," "),CHAR(160)," "),"."," "),","," "),"-"," "),"/"," "),"("," "),")"," "),":"," "),";"," "),"_"," "),"–"," "),"?"," "),"!"," "),"*"," "),"["," "),"]"," "),"'"," "),"#"," "),"+"," "),"&amp;"," "),"\"," "))&amp;" "</f>
        <v>  </v>
      </c>
      <c r="CE228" s="68" t="n">
        <f aca="false">IFERROR(IF(AND(LEN(AU228)&gt;0,LEN(AU228)=LEN(AX228),OR(TRIM(MID(SUBSTITUTE(TRIM(CC228)," ",REPT(" ",60)),1,60))="",ISNUMBER(SEARCH(" "&amp;TRIM(MID(SUBSTITUTE(TRIM(CC228)," ",REPT(" ",60)),1,60))&amp;" ",CD228))),OR(TRIM(MID(SUBSTITUTE(TRIM(CC228)," ",REPT(" ",60)),61,60))="",ISNUMBER(SEARCH(" "&amp;TRIM(MID(SUBSTITUTE(TRIM(CC228)," ",REPT(" ",60)),61,60))&amp;" ",CD228))),OR(TRIM(MID(SUBSTITUTE(TRIM(CC228)," ",REPT(" ",60)),121,60))="",ISNUMBER(SEARCH(" "&amp;TRIM(MID(SUBSTITUTE(TRIM(CC228)," ",REPT(" ",60)),121,60))&amp;" ",CD228)))),1,0),0)</f>
        <v>0</v>
      </c>
      <c r="CG228" s="68" t="n">
        <f aca="false">IFERROR(LEN(SUBSTITUTE(BF228," ",""))-SUMPRODUCT((LEN(BF228)-LEN(SUBSTITUTE(BF228," "&amp;L_NAFiller&amp;" "," ")))/(LEN(L_NAFiller)+1)*LEN(L_NAFiller)),0)</f>
        <v>0</v>
      </c>
    </row>
    <row r="229" customFormat="false" ht="141" hidden="false" customHeight="true" outlineLevel="0" collapsed="false">
      <c r="A229" s="57" t="s">
        <v>793</v>
      </c>
      <c r="B229" s="57" t="s">
        <v>235</v>
      </c>
      <c r="C229" s="57" t="str">
        <f aca="false">Flights!$F$11</f>
        <v>MH0003</v>
      </c>
      <c r="D229" s="58" t="n">
        <f aca="false">Flights!$D$11</f>
        <v>46304</v>
      </c>
      <c r="E229" s="57" t="str">
        <f aca="false">Flights!$G$11&amp;"-"&amp;Flights!$H$11</f>
        <v>LHR-KUL</v>
      </c>
      <c r="F229" s="57" t="str">
        <f aca="false">Flights!$K$11</f>
        <v>BC</v>
      </c>
      <c r="G229" s="57" t="s">
        <v>420</v>
      </c>
      <c r="H229" s="57" t="s">
        <v>378</v>
      </c>
      <c r="I229" s="57" t="s">
        <v>428</v>
      </c>
      <c r="J229" s="57" t="s">
        <v>435</v>
      </c>
      <c r="K229" s="67" t="s">
        <v>436</v>
      </c>
      <c r="L229" s="67" t="s">
        <v>422</v>
      </c>
      <c r="M229" s="67"/>
      <c r="N229" s="67" t="s">
        <v>383</v>
      </c>
      <c r="O229" s="67" t="s">
        <v>423</v>
      </c>
      <c r="P229" s="57" t="s">
        <v>186</v>
      </c>
      <c r="Q229" s="59" t="n">
        <f aca="false">ROUND((Flights!$AE$11)*1440,0)/1440</f>
        <v>46303.9166666667</v>
      </c>
      <c r="R229" s="59" t="n">
        <f aca="false">Q229+(IF(AND(INDEX(TZ_DSTS,MATCH(P229,TZ_STN,0))&lt;&gt;"",Q229&gt;=INDEX(TZ_DSTS,MATCH(P229,TZ_STN,0)),Q229&lt;INDEX(TZ_DSTE,MATCH(P229,TZ_STN,0))),INDEX(TZ_DST,MATCH(P229,TZ_STN,0)),INDEX(TZ_STD,MATCH(P229,TZ_STN,0))))/24</f>
        <v>46303.9583333333</v>
      </c>
      <c r="S229" s="60"/>
      <c r="T229" s="60"/>
      <c r="U229" s="60"/>
      <c r="V229" s="60"/>
      <c r="W229" s="61"/>
      <c r="X229" s="60"/>
      <c r="Y229" s="60"/>
      <c r="Z229" s="60"/>
      <c r="AA229" s="60"/>
      <c r="AB229" s="60"/>
      <c r="AC229" s="60"/>
      <c r="AD229" s="66"/>
      <c r="AE229" s="60"/>
      <c r="AF229" s="61" t="str">
        <f aca="false">IF(AND(ISNUMBER(X229),ISNUMBER(Y229)),Y229-X229,"")</f>
        <v/>
      </c>
      <c r="AG229" s="62" t="str">
        <f aca="false">IF(ISNUMBER(AD229),AD229-(IF(AND(INDEX(TZ_DSTS,MATCH(P229,TZ_STN,0))&lt;&gt;"",(AD229-INDEX(TZ_STD,MATCH(P229,TZ_STN,0))/24)&gt;=INDEX(TZ_DSTS,MATCH(P229,TZ_STN,0)),(AD229-INDEX(TZ_STD,MATCH(P229,TZ_STN,0))/24)&lt;INDEX(TZ_DSTE,MATCH(P229,TZ_STN,0))),INDEX(TZ_DST,MATCH(P229,TZ_STN,0)),INDEX(TZ_STD,MATCH(P229,TZ_STN,0))))/24,"")</f>
        <v/>
      </c>
      <c r="AH229" s="65" t="str">
        <f aca="false">IFERROR(IF(N229="N/A – rule",IF(OR(TRIM(U229)="",TRIM(U229)="N/A",TRIM(U229)="Not started"),"N/A – RULE","INVALID – this check does not apply to this aircraft: clear the status (or correct the fleet on Flights)"),IF(TRIM(U229)="N/A",IF(AT229=0,"INVALID – N/A not permitted for this check",IF(AND(TRIM(AB229)&lt;&gt;"",TRIM(AB229)&lt;&gt;"Closed"),"INVALID – corrective action still open",IF(AND(NOT(OR(LEN(AZ229)&lt;15,ISNUMBER(MATCH(AZ229,L_Placeholder,0)))),BK229=0,CG229&gt;=8,NOT(OR(LEN(AU229)&lt;2,ISNUMBER(MATCH(AU229,L_Placeholder,0)))),BR229&gt;=3,NOT(OR(LEN(AX229)&lt;2,ISNUMBER(MATCH(AX229,L_Placeholder,0)))),BS229&gt;=3,TRIM(AE229)&lt;&gt;TRIM(T229),AX229&lt;&gt;AU229,CE229=0),"N/A – JUSTIFIED","INVALID – N/A needs a real, settled reason (not 'not applicable' / 'as above' / TBC), a named PIC and a different named verifier"))),IF(OR(TRIM(U229)="Pass",TRIM(U229)="Pass after CA"),IF(NOT(ISNUMBER(AD229)),"INVALID – completion time missing",IF(OR(OR(LEN(AU229)&lt;2,ISNUMBER(MATCH(AU229,L_Placeholder,0))),BR229&lt;3),"INVALID – PIC missing or not a named person (a role such as QA / CSM is not a name)",IF(OR(LEN(AV229)&lt;2,ISNUMBER(MATCH(AV229,L_Placeholder,0))),"INVALID – result / assessment missing",IF(OR(OR(LEN(AW229)&lt;3,ISNUMBER(MATCH(AW229,L_Placeholder,0))),SUMPRODUCT(--ISNUMBER(SEARCH(" "&amp;L_EvidencePhrase&amp;" ",BD229)))&gt;0,BI229=1),"INVALID – evidence missing, placeholder or not yet on file",IF(ISNA(MATCH(TRIM(S229),L_EvidenceType,0)),"INVALID – choose the evidence type from the list (column S)",IF(BL229=0,"INVALID – evidence ID must be the record's own ID only (e.g. SF-2210, IMG_2231, 1045521); a link / file name needs type 'Link / file path'",IF(OR(OR(LEN(AX229)&lt;2,ISNUMBER(MATCH(AX229,L_Placeholder,0))),BS229&lt;3),"INVALID – verifier missing or not a named person (a role such as QA / CSM is not a name)",IF(OR(AX229=AU229,CE229=1,AND(LEN(AU229)&gt;=4,ISNUMBER(SEARCH(AU229,AX229))),AND(LEN(AX229)&gt;=4,ISNUMBER(SEARCH(AX229,AU229)))),"INVALID – verifier must be a different, named person (not the PIC or a role)",IF(BH229=1,"INVALID – result not yet available (awaiting / TBC)",IF(BG229=1,"INVALID – result describes a problem: record Fail, then Pass after CA (or reword if it is not a problem)",IF(BV229=1,"INVALID – wording says not on board: an on-board confirmation needs the item loaded",IF(AND(AQ229=1,OR(OR(LEN(AY229)&lt;3,ISNUMBER(MATCH(AY229,L_Placeholder,0))),BJ229=1,BQ229=0)),"INVALID – batch ID missing, placeholder or not an ID (e.g. PASB-261008-BC-017)",IF(AND(AR229=1,OR(NOT(ISNUMBER(X229)),NOT(ISNUMBER(Y229)))),"INVALID – expected/actual qty missing",IF(AND(AR229=1,OR(X229&lt;=0,Y229&lt;0)),"INVALID – expected qty must be above 0 and actual not negative",IF(BB229&lt;&gt;"",BB229,IF(AND(AS229=1,Documents!$J$11&lt;&gt;"ON FILE"),"INVALID – GLD not on file (Documents sheet)",IF(AND(AS229=2,Documents!$O$11&lt;&gt;"ON FILE"),"INVALID – menu checklist not on file (Documents sheet)",IF(AND(AS229=3,NOT(ISNUMBER(Flights!$AX$11))),"INVALID – enter carrying flight KUL departure (Flights AX)",IF(AND(AS229=3,OR(Flights!$AZ$11&gt;Flights!$AA$11,Flights!$AX$11&lt;Flights!$AA$11-3)),"INVALID – carrying flight (Flights AX) cannot arrive before this leg's STD, or is over 3 days early",IF(AG229&gt;AsOfUTC,"INVALID – completion time is in the future",IF(AND(ISNUMBER(BY229),AG229&lt;BY229),IF(H229="Physical uplift","INVALID – before uplift window (cannot confirm loading)","INVALID – before valid window"),IF(AG229&gt;Flights!$AA$11,"INVALID – completed after departure (cannot establish readiness)",IF(AND(H229="Preparation",AG229&gt;=IF(ISNUMBER(Flights!$BA$11),MIN(Flights!$BA$11,Flights!$AA$11),Flights!$AA$11)),"INVALID – completed after loading / departure (cannot establish readiness)",IF(AND(H229="Physical uplift",AG229&gt;Q229),"INVALID – recorded after the loading flight departed",IF(AG229&gt;Q229,"COMPLETE – LATE","COMPLETE"))))))))))))))))))))))))),IF(TRIM(U229)="Fail","FAIL – DISCREPANCY",IF(AND(TRIM(U229)&lt;&gt;"",TRIM(U229)&lt;&gt;"Not started",TRIM(U229)&lt;&gt;"In progress"),"INVALID – unrecognised status (use the list)",IF(AsOfUTC&gt;Q229,"OVERDUE",IF(N229="Clarification required","OPEN – CLARIFICATION","OPEN"))))))),"INVALID – error value in an input cell")</f>
        <v>OPEN</v>
      </c>
      <c r="AI229" s="61" t="n">
        <f aca="false">IF(OR(AH229="N/A – RULE",AH229="N/A – JUSTIFIED"),0,1)</f>
        <v>1</v>
      </c>
      <c r="AJ229" s="61" t="n">
        <f aca="false">IF(LEFT(AH229,8)="COMPLETE",1,0)</f>
        <v>0</v>
      </c>
      <c r="AK229" s="61" t="n">
        <f aca="false">IF(AND(AI229=1,AJ229=0,AsOfUTC&gt;Q229),1,0)</f>
        <v>0</v>
      </c>
      <c r="AL229" s="61" t="n">
        <f aca="false">IFERROR(IF(AND(AI229=1,OR(TRIM(U229)="Fail",AND(TRIM(AB229)&lt;&gt;"",TRIM(AB229)&lt;&gt;"Closed"),AND(ISNUMBER(AF229),AF229&lt;&gt;0,TRIM(U229)&lt;&gt;"Pass after CA"))),1,0),1)</f>
        <v>0</v>
      </c>
      <c r="AM229" s="61" t="n">
        <f aca="false">IF(LEFT(AH229,7)="INVALID",1,0)</f>
        <v>0</v>
      </c>
      <c r="AN229" s="61" t="n">
        <f aca="false">IF(AND(N229="Clarification required",AI229=1,AJ229=0),1,0)</f>
        <v>0</v>
      </c>
      <c r="AO229" s="61" t="str">
        <f aca="false">IF(AK229=1,SUM(AK$5:AK229),"")</f>
        <v/>
      </c>
      <c r="AP229" s="61" t="str">
        <f aca="false">IF(AL229=1,SUM(AL$5:AL229),"")</f>
        <v/>
      </c>
      <c r="AQ229" s="61" t="n">
        <v>0</v>
      </c>
      <c r="AR229" s="61" t="n">
        <v>1</v>
      </c>
      <c r="AS229" s="61" t="n">
        <v>0</v>
      </c>
      <c r="AT229" s="61" t="n">
        <v>0</v>
      </c>
      <c r="AU229" s="61" t="str">
        <f aca="false">SUBSTITUTE(SUBSTITUTE(SUBSTITUTE(SUBSTITUTE(SUBSTITUTE(SUBSTITUTE(SUBSTITUTE(SUBSTITUTE(SUBSTITUTE(SUBSTITUTE(SUBSTITUTE(SUBSTITUTE(SUBSTITUTE(SUBSTITUTE(SUBSTITUTE(SUBSTITUTE(LOWER(T229&amp;""),CHAR(10),""),CHAR(13),""),CHAR(9),""),CHAR(160),"")," ",""),".",""),"-",""),"/",""),"?",""),"_",""),",",""),"[",""),"]",""),"(",""),")",""),"*","")</f>
        <v/>
      </c>
      <c r="AV229" s="61" t="str">
        <f aca="false">SUBSTITUTE(SUBSTITUTE(SUBSTITUTE(SUBSTITUTE(SUBSTITUTE(SUBSTITUTE(SUBSTITUTE(SUBSTITUTE(SUBSTITUTE(SUBSTITUTE(SUBSTITUTE(SUBSTITUTE(SUBSTITUTE(SUBSTITUTE(SUBSTITUTE(SUBSTITUTE(LOWER(V229&amp;""),CHAR(10),""),CHAR(13),""),CHAR(9),""),CHAR(160),"")," ",""),".",""),"-",""),"/",""),"?",""),"_",""),",",""),"[",""),"]",""),"(",""),")",""),"*","")</f>
        <v/>
      </c>
      <c r="AW229" s="61" t="str">
        <f aca="false">SUBSTITUTE(SUBSTITUTE(SUBSTITUTE(SUBSTITUTE(SUBSTITUTE(SUBSTITUTE(SUBSTITUTE(SUBSTITUTE(SUBSTITUTE(SUBSTITUTE(SUBSTITUTE(SUBSTITUTE(SUBSTITUTE(SUBSTITUTE(SUBSTITUTE(SUBSTITUTE(LOWER(Z229&amp;""),CHAR(10),""),CHAR(13),""),CHAR(9),""),CHAR(160),"")," ",""),".",""),"-",""),"/",""),"?",""),"_",""),",",""),"[",""),"]",""),"(",""),")",""),"*","")</f>
        <v/>
      </c>
      <c r="AX229" s="61" t="str">
        <f aca="false">SUBSTITUTE(SUBSTITUTE(SUBSTITUTE(SUBSTITUTE(SUBSTITUTE(SUBSTITUTE(SUBSTITUTE(SUBSTITUTE(SUBSTITUTE(SUBSTITUTE(SUBSTITUTE(SUBSTITUTE(SUBSTITUTE(SUBSTITUTE(SUBSTITUTE(SUBSTITUTE(LOWER(AE229&amp;""),CHAR(10),""),CHAR(13),""),CHAR(9),""),CHAR(160),"")," ",""),".",""),"-",""),"/",""),"?",""),"_",""),",",""),"[",""),"]",""),"(",""),")",""),"*","")</f>
        <v/>
      </c>
      <c r="AY229" s="61" t="str">
        <f aca="false">SUBSTITUTE(SUBSTITUTE(SUBSTITUTE(SUBSTITUTE(SUBSTITUTE(SUBSTITUTE(SUBSTITUTE(SUBSTITUTE(SUBSTITUTE(SUBSTITUTE(SUBSTITUTE(SUBSTITUTE(SUBSTITUTE(SUBSTITUTE(SUBSTITUTE(SUBSTITUTE(LOWER(W229&amp;""),CHAR(10),""),CHAR(13),""),CHAR(9),""),CHAR(160),"")," ",""),".",""),"-",""),"/",""),"?",""),"_",""),",",""),"[",""),"]",""),"(",""),")",""),"*","")</f>
        <v/>
      </c>
      <c r="AZ229" s="61" t="str">
        <f aca="false">SUBSTITUTE(SUBSTITUTE(SUBSTITUTE(SUBSTITUTE(SUBSTITUTE(SUBSTITUTE(SUBSTITUTE(SUBSTITUTE(SUBSTITUTE(SUBSTITUTE(SUBSTITUTE(SUBSTITUTE(SUBSTITUTE(SUBSTITUTE(SUBSTITUTE(SUBSTITUTE(LOWER(AC229&amp;""),CHAR(10),""),CHAR(13),""),CHAR(9),""),CHAR(160),"")," ",""),".",""),"-",""),"/",""),"?",""),"_",""),",",""),"[",""),"]",""),"(",""),")",""),"*","")</f>
        <v/>
      </c>
      <c r="BA229" s="61" t="str">
        <f aca="false">SUBSTITUTE(SUBSTITUTE(SUBSTITUTE(SUBSTITUTE(SUBSTITUTE(SUBSTITUTE(SUBSTITUTE(SUBSTITUTE(SUBSTITUTE(SUBSTITUTE(SUBSTITUTE(SUBSTITUTE(SUBSTITUTE(SUBSTITUTE(SUBSTITUTE(SUBSTITUTE(LOWER(AA229&amp;""),CHAR(10),""),CHAR(13),""),CHAR(9),""),CHAR(160),"")," ",""),".",""),"-",""),"/",""),"?",""),"_",""),",",""),"[",""),"]",""),"(",""),")",""),"*","")</f>
        <v/>
      </c>
      <c r="BB229" s="61" t="str">
        <f aca="false">IF(AND(TRIM(U229)="Pass",ISNUMBER(AF229)),IF(AF229&lt;&gt;0,"INVALID – qty variance: use Fail or Pass after CA",""),"")&amp;IF(AND(TRIM(U229)="Pass after CA",ISNUMBER(AF229)),IF(AF229&lt;&gt;0,"INVALID – after the corrective action the actual qty must equal expected (update Actual)",""),"")&amp;IF(AND(TRIM(U229)="Pass",TRIM(AB229)&lt;&gt;"",TRIM(AB229)&lt;&gt;"Closed"),"INVALID – corrective action not closed: use Fail, then Pass after CA","")&amp;IF(AND(LEN(BA229)&gt;=2,ISNA(MATCH(LEFT(BA229,255),L_Placeholder,0)),TRIM(AB229)=""),"INVALID – CA status missing for the recorded corrective action","")&amp;IF(AND(TRIM(U229)="Pass after CA",OR(OR(LEN(BA229)&lt;5,ISNUMBER(MATCH(BA229,L_Placeholder,0))),TRIM(AB229)&lt;&gt;"Closed")),"INVALID – corrective action not recorded/closed","")</f>
        <v/>
      </c>
      <c r="BC229" s="61" t="str">
        <f aca="false">" "&amp;TRIM(SUBSTITUTE(SUBSTITUTE(SUBSTITUTE(SUBSTITUTE(SUBSTITUTE(SUBSTITUTE(SUBSTITUTE(SUBSTITUTE(SUBSTITUTE(SUBSTITUTE(SUBSTITUTE(SUBSTITUTE(SUBSTITUTE(SUBSTITUTE(SUBSTITUTE(SUBSTITUTE(SUBSTITUTE(SUBSTITUTE(SUBSTITUTE(SUBSTITUTE(SUBSTITUTE(SUBSTITUTE(SUBSTITUTE(SUBSTITUTE(LOWER(V229&amp;""),CHAR(10)," "),CHAR(13)," "),CHAR(9)," "),CHAR(160)," "),"."," "),","," "),"-"," "),"/"," "),"("," "),")"," "),":"," "),";"," "),"_"," "),"–"," "),"?"," "),"!"," "),"*"," "),"["," "),"]"," "),"'"," "),"#"," "),"+"," "),"&amp;"," "),"\"," "))&amp;" "</f>
        <v>  </v>
      </c>
      <c r="BD229" s="61" t="str">
        <f aca="false">" "&amp;TRIM(SUBSTITUTE(SUBSTITUTE(SUBSTITUTE(SUBSTITUTE(SUBSTITUTE(SUBSTITUTE(SUBSTITUTE(SUBSTITUTE(SUBSTITUTE(SUBSTITUTE(SUBSTITUTE(SUBSTITUTE(SUBSTITUTE(SUBSTITUTE(SUBSTITUTE(SUBSTITUTE(SUBSTITUTE(SUBSTITUTE(SUBSTITUTE(SUBSTITUTE(SUBSTITUTE(SUBSTITUTE(SUBSTITUTE(SUBSTITUTE(LOWER(Z229&amp;""),CHAR(10)," "),CHAR(13)," "),CHAR(9)," "),CHAR(160)," "),"."," "),","," "),"-"," "),"/"," "),"("," "),")"," "),":"," "),";"," "),"_"," "),"–"," "),"?"," "),"!"," "),"*"," "),"["," "),"]"," "),"'"," "),"#"," "),"+"," "),"&amp;"," "),"\"," "))&amp;" "</f>
        <v>  </v>
      </c>
      <c r="BE229" s="61" t="str">
        <f aca="false">" "&amp;TRIM(SUBSTITUTE(SUBSTITUTE(SUBSTITUTE(SUBSTITUTE(SUBSTITUTE(SUBSTITUTE(SUBSTITUTE(SUBSTITUTE(SUBSTITUTE(SUBSTITUTE(SUBSTITUTE(SUBSTITUTE(SUBSTITUTE(SUBSTITUTE(SUBSTITUTE(SUBSTITUTE(SUBSTITUTE(SUBSTITUTE(SUBSTITUTE(SUBSTITUTE(SUBSTITUTE(SUBSTITUTE(SUBSTITUTE(SUBSTITUTE(LOWER(W229&amp;""),CHAR(10)," "),CHAR(13)," "),CHAR(9)," "),CHAR(160)," "),"."," "),","," "),"-"," "),"/"," "),"("," "),")"," "),":"," "),";"," "),"_"," "),"–"," "),"?"," "),"!"," "),"*"," "),"["," "),"]"," "),"'"," "),"#"," "),"+"," "),"&amp;"," "),"\"," "))&amp;" "</f>
        <v>  </v>
      </c>
      <c r="BF229" s="61" t="str">
        <f aca="false">" "&amp;TRIM(SUBSTITUTE(SUBSTITUTE(SUBSTITUTE(SUBSTITUTE(SUBSTITUTE(SUBSTITUTE(SUBSTITUTE(SUBSTITUTE(SUBSTITUTE(SUBSTITUTE(SUBSTITUTE(SUBSTITUTE(SUBSTITUTE(SUBSTITUTE(SUBSTITUTE(SUBSTITUTE(SUBSTITUTE(SUBSTITUTE(SUBSTITUTE(SUBSTITUTE(SUBSTITUTE(SUBSTITUTE(SUBSTITUTE(SUBSTITUTE(LOWER(AC229&amp;""),CHAR(10)," "),CHAR(13)," "),CHAR(9)," "),CHAR(160)," "),"."," "),","," "),"-"," "),"/"," "),"("," "),")"," "),":"," "),";"," "),"_"," "),"–"," "),"?"," "),"!"," "),"*"," "),"["," "),"]"," "),"'"," "),"#"," "),"+"," "),"&amp;"," "),"\"," "))&amp;" "</f>
        <v>  </v>
      </c>
      <c r="BG229" s="61" t="n">
        <f aca="false">IFERROR(IF(AND(TRIM(U229)="Pass",SUMPRODUCT((LEN(BC229)-LEN(SUBSTITUTE(BC229," "&amp;L_ResultBad&amp;" "," ")))/(LEN(L_ResultBad)+1))&gt;SUMPRODUCT((LEN(BC229)-LEN(SUBSTITUTE(BC229," "&amp;L_NegPhrase&amp;" "," ")))/(LEN(L_NegPhrase)+1))),1,0),0)</f>
        <v>0</v>
      </c>
      <c r="BH229" s="61" t="n">
        <f aca="false">IFERROR(IF(SUMPRODUCT((LEN(BC229)-LEN(SUBSTITUTE(BC229," "&amp;L_Pending&amp;" "," ")))/(LEN(L_Pending)+1))&gt;SUMPRODUCT((LEN(BC229)-LEN(SUBSTITUTE(BC229," "&amp;L_PendNeg&amp;" "," ")))/(LEN(L_PendNeg)+1))+SUMPRODUCT((LEN(BC229)-LEN(SUBSTITUTE(BC229," "&amp;L_PendPrep&amp;" "," ")))/(LEN(L_PendPrep)+1)),1,0),1)</f>
        <v>0</v>
      </c>
      <c r="BI229" s="61" t="n">
        <f aca="false">IFERROR(IF(SUMPRODUCT((LEN(BD229)-LEN(SUBSTITUTE(BD229," "&amp;L_PendStrict&amp;" "," ")))/(LEN(L_PendStrict)+1))&gt;SUMPRODUCT((LEN(BD229)-LEN(SUBSTITUTE(BD229," "&amp;L_PendNeg&amp;" "," ")))/(LEN(L_PendNeg)+1)),1,0),1)</f>
        <v>0</v>
      </c>
      <c r="BJ229" s="61" t="n">
        <f aca="false">IFERROR(IF(SUMPRODUCT((LEN(BE229)-LEN(SUBSTITUTE(BE229," "&amp;L_Pending&amp;" "," ")))/(LEN(L_Pending)+1))&gt;SUMPRODUCT((LEN(BE229)-LEN(SUBSTITUTE(BE229," "&amp;L_PendNeg&amp;" "," ")))/(LEN(L_PendNeg)+1))+SUMPRODUCT((LEN(BE229)-LEN(SUBSTITUTE(BE229," "&amp;L_PendPrep&amp;" "," ")))/(LEN(L_PendPrep)+1)),1,0),1)</f>
        <v>0</v>
      </c>
      <c r="BK229" s="61" t="n">
        <f aca="false">IFERROR(IF(SUMPRODUCT((LEN(BF229)-LEN(SUBSTITUTE(BF229," "&amp;L_PendStrict&amp;" "," ")))/(LEN(L_PendStrict)+1))&gt;SUMPRODUCT((LEN(BF229)-LEN(SUBSTITUTE(BF229," "&amp;L_PendNeg&amp;" "," ")))/(LEN(L_PendNeg)+1)),1,0),1)</f>
        <v>0</v>
      </c>
      <c r="BL229" s="61" t="n">
        <f aca="false">IF(ISNA(MATCH(TRIM(S229),L_EvidenceType,0)),0,BZ229)</f>
        <v>0</v>
      </c>
      <c r="BM229" s="61" t="str">
        <f aca="false">SUBSTITUTE(SUBSTITUTE(SUBSTITUTE(SUBSTITUTE(SUBSTITUTE(SUBSTITUTE(SUBSTITUTE(SUBSTITUTE(SUBSTITUTE(LOWER(Z229&amp;""),"1","0"),"2","0"),"3","0"),"4","0"),"5","0"),"6","0"),"7","0"),"8","0"),"9","0")</f>
        <v/>
      </c>
      <c r="BN229" s="61" t="str">
        <f aca="false">SUBSTITUTE(SUBSTITUTE(SUBSTITUTE(SUBSTITUTE(SUBSTITUTE(SUBSTITUTE(SUBSTITUTE(SUBSTITUTE(SUBSTITUTE(SUBSTITUTE(SUBSTITUTE(SUBSTITUTE(SUBSTITUTE(SUBSTITUTE(SUBSTITUTE(SUBSTITUTE(SUBSTITUTE(SUBSTITUTE(SUBSTITUTE(SUBSTITUTE(SUBSTITUTE(SUBSTITUTE(SUBSTITUTE(SUBSTITUTE(SUBSTITUTE(BM229,"b","a"),"c","a"),"d","a"),"e","a"),"f","a"),"g","a"),"h","a"),"i","a"),"j","a"),"k","a"),"l","a"),"m","a"),"n","a"),"o","a"),"p","a"),"q","a"),"r","a"),"s","a"),"t","a"),"u","a"),"v","a"),"w","a"),"x","a"),"y","a"),"z","a")</f>
        <v/>
      </c>
      <c r="BO229" s="61" t="str">
        <f aca="false">SUBSTITUTE(SUBSTITUTE(SUBSTITUTE(SUBSTITUTE(SUBSTITUTE(SUBSTITUTE(SUBSTITUTE(SUBSTITUTE(SUBSTITUTE(LOWER(W229&amp;""),"1","0"),"2","0"),"3","0"),"4","0"),"5","0"),"6","0"),"7","0"),"8","0"),"9","0")</f>
        <v/>
      </c>
      <c r="BP229" s="61" t="str">
        <f aca="false">SUBSTITUTE(SUBSTITUTE(SUBSTITUTE(SUBSTITUTE(SUBSTITUTE(SUBSTITUTE(SUBSTITUTE(SUBSTITUTE(SUBSTITUTE(SUBSTITUTE(SUBSTITUTE(SUBSTITUTE(SUBSTITUTE(SUBSTITUTE(SUBSTITUTE(SUBSTITUTE(SUBSTITUTE(SUBSTITUTE(SUBSTITUTE(SUBSTITUTE(SUBSTITUTE(SUBSTITUTE(SUBSTITUTE(SUBSTITUTE(SUBSTITUTE(BO229,"b","a"),"c","a"),"d","a"),"e","a"),"f","a"),"g","a"),"h","a"),"i","a"),"j","a"),"k","a"),"l","a"),"m","a"),"n","a"),"o","a"),"p","a"),"q","a"),"r","a"),"s","a"),"t","a"),"u","a"),"v","a"),"w","a"),"x","a"),"y","a"),"z","a")</f>
        <v/>
      </c>
      <c r="BQ229" s="61" t="n">
        <f aca="false">IFERROR(IF(AND(ISERROR(SEARCH(" mh"," "&amp;LOWER(W229))),ISNA(MATCH(LEFT(TRIM(BP229),255),{"0000a","000a","00a","0000aa","000aa","00aa","0aa","0000aaa","000aaa","00a00","0a00","0000-0000","00:00","a00","a0","00.00.0000","00/00/0000","00-00-0000","0000-00-00","0000/00/00","0000.00.00","00.00.00","00/00/00","00-00-00","0.00.0000","0/00/0000","0-00-0000"},0)),ISNA(MATCH(LEFT(TRIM(CA229),255),{"0000a","000a","00a","0000aa","000aa","00aa","0aa","0000aaa","000aaa","00a00","0a00","0000-0000","00:00","a00","a0","00.00.0000","00/00/0000","00-00-0000","0000-00-00","0000/00/00","0000.00.00","00.00.00","00/00/00","00-00-00","0.00.0000","0/00/0000","0-00-0000"},0)),LEN(CB229)&gt;=3,NOT(OR(SUBSTITUTE(CB229,"0","")="",AND(LEN(CB229)&gt;=4,CB229=REPT(LEFT(CB229),LEN(CB229))),ISNUMBER(MATCH(CB229,{"123","1234","12345","123456","1234567","12345678","0123","01234","012345","98765","987654","54321"},0)),AND(LEN(CB229)=8,LEFT(CB229,3)="202"))),OR(AND((LEN(CA229)-LEN(SUBSTITUTE(CA229,"a","")))&gt;=1,SUMPRODUCT(--ISNUMBER(SEARCH({"a0","a-0","a_0","a/0","a.0","a#0","0a","0-a","0_a","0/a"},BP229)))&gt;0),ISNUMBER(SEARCH("000000",BP229)))),1,0),0)</f>
        <v>0</v>
      </c>
      <c r="BR229" s="61" t="n">
        <f aca="false">IFERROR(LEN(SUBSTITUTE(CC229," ",""))-SUMPRODUCT((LEN(CC229)-LEN(SUBSTITUTE(CC229," "&amp;L_Role&amp;" "," ")))/(LEN(L_Role)+1)*LEN(L_Role)),0)</f>
        <v>0</v>
      </c>
      <c r="BS229" s="61" t="n">
        <f aca="false">IFERROR(LEN(SUBSTITUTE(CD229," ",""))-SUMPRODUCT((LEN(CD229)-LEN(SUBSTITUTE(CD229," "&amp;L_Role&amp;" "," ")))/(LEN(L_Role)+1)*LEN(L_Role)),0)</f>
        <v>0</v>
      </c>
      <c r="BT2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229,"revision",""),"version",""),"jan",""),"feb",""),"mar",""),"apr",""),"may",""),"jun",""),"jul",""),"aug",""),"sep",""),"oct",""),"nov",""),"dec",""),"utc",""),"gmt",""),"myt",""),"bst",""),"rev",""),"ver",""),"b","a"),"c","a"),"d","a"),"e","a"),"f","a"),"g","a"),"h","a"),"i","a"),"j","a"),"k","a"),"l","a"),"m","a"),"n","a"),"o","a"),"p","a"),"q","a"),"r","a"),"s","a"),"t","a"),"u","a"),"v","a"),"w","a"),"x","a"),"y","a"),"z","a")</f>
        <v/>
      </c>
      <c r="BU229" s="61" t="str">
        <f aca="false">SUBSTITUTE(SUBSTITUTE(SUBSTITUTE(SUBSTITUTE(SUBSTITUTE(SUBSTITUTE(SUBSTITUTE(SUBSTITUTE(SUBSTITUTE(SUBSTITUTE(LEFT(BM229,FIND("0",BM229&amp;"0")-1),"-",""),"_",""),"/",""),".",""),"#",""),"\\",""),":","")," ",""),"(",""),")","")</f>
        <v/>
      </c>
      <c r="BV229" s="61" t="n">
        <f aca="false">0</f>
        <v>0</v>
      </c>
      <c r="BW2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229&amp;""),"a",""),"b",""),"c",""),"d",""),"e",""),"f",""),"g",""),"h",""),"i",""),"j",""),"k",""),"l",""),"m",""),"n",""),"o",""),"p",""),"q",""),"r",""),"s",""),"t",""),"u",""),"v",""),"w",""),"x",""),"y",""),"z",""),"-",""),"_",""),"/",""),".",""),"#",""),"\\",""),":","")," ",""),"(",""),")","")</f>
        <v/>
      </c>
      <c r="BX229" s="61" t="str">
        <f aca="false">SUBSTITUTE(SUBSTITUTE(SUBSTITUTE(SUBSTITUTE(SUBSTITUTE(SUBSTITUTE(SUBSTITUTE(SUBSTITUTE(SUBSTITUTE(SUBSTITUTE(SUBSTITUTE(BM229,"0",""),"-",""),"_",""),"/",""),".",""),"#",""),"\\",""),":","")," ",""),"(",""),")","")</f>
        <v/>
      </c>
      <c r="BY229" s="62" t="n">
        <f aca="false">Q229-T12EarlyH/24</f>
        <v>46303.4166666667</v>
      </c>
      <c r="BZ229" s="61" t="n">
        <f aca="false">IFERROR(IF(IF(TRIM(S229)="Link / file path",AND(LEN(TRIM(Z229))&gt;=5,SUMPRODUCT(--ISNUMBER(SEARCH({"http","www.","\\",":\",".pdf",".jpg",".jpeg",".png",".heic",".xls",".doc",".msg",".eml",".ppt",".txt",".zip"},Z229)))&gt;0),AND(ISERROR(FIND(" ",TRIM(Z229))),NOT(OR(SUMPRODUCT(--ISNUMBER(FIND({",",";","&amp;","+"},Z229)))&gt;0,SUMPRODUCT(--ISNUMBER(SEARCH({"0/aa","0\\aa"},BN229)))&gt;0)),NOT(SUMPRODUCT(--ISNUMBER(SEARCH({"http","www.","\\",":\",".pdf",".jpg",".jpeg",".png",".heic",".xls",".doc",".msg",".eml",".ppt",".txt",".zip"},Z229)))&gt;0),NOT(LOWER(TRIM(Z229))=LOWER(Flights!$F$11)),ISNA(MATCH(BU229,{"mh","rev","revision","ver","version","v","r","a","b","seat","tray","row","gate","bay","stand","page","pg","item","line","no","cart","galley","flight","flt","table","box","bag","oven","etd","eta","std","sta","atd","ata","qty","pax","x","time","tel","ph","mob","day","wk","week","utc","gmt","myt","lt"},0)),NOT(OR(ISNUMBER(MATCH(LEFT(BN229,255),{"0000a","000a","00a","0000aa","000aa","00aa","0aa","0000aaa","000aaa","00a00","0a00","0000-0000","00:00","a00","a0","00.00.0000","00/00/0000","00-00-0000","0000-00-00","0000/00/00","0000.00.00","00.00.00","00/00/00","00-00-00","0.00.0000","0/00/0000","0-00-0000"},0)),ISNUMBER(MATCH(LEFT(BT229,255),{"0000a","000a","00a","0000aa","000aa","00aa","0aa","0000aaa","000aaa","00a00","0a00","0000-0000","00:00","a00","a0","00.00.0000","00/00/0000","00-00-0000","0000-00-00","0000/00/00","0000.00.00","00.00.00","00/00/00","00-00-00","0.00.0000","0/00/0000","0-00-0000"},0)))),NOT(OR(AND(BW229&lt;&gt;"",SUBSTITUTE(BW229,"0","")=""),AND(LEN(BW229)&gt;=4,BW229=REPT(LEFT(BW229),LEN(BW229))),ISNUMBER(MATCH(BW229,{"123","1234","12345","123456","1234567","12345678","0123","01234","012345","98765","987654","54321"},0)),ISNUMBER(MATCH(BX229,{"x","xx","xxx","xxxx","xxxxx","abc","abcd","nil","na","nan","test","tbc","tba","tbd","dummy","sample","example","eg","zz","zzz","none","null","xyz","qwe","asd","id","ref"},0)),AND(LEN(BW229)=8,BX229="",OR(LEFT(BW229,3)="202",ISNUMBER(MATCH(RIGHT(BW229,4),{"2025","2026","2027"},0)))))),OR(AND((LEN(BT229)-LEN(SUBSTITUTE(BT229,"a","")))&gt;=1,(LEN(BN229)-LEN(SUBSTITUTE(BN229,"0","")))&gt;=2,SUMPRODUCT(--ISNUMBER(SEARCH({"a0","a-0","a_0","a/0","a.0","a#0","0a","0-a","0_a","0/a"},BN229)))&gt;0),AND((LEN(BN229)-LEN(SUBSTITUTE(BN229,"a","")))=0,(LEN(BN229)-LEN(SUBSTITUTE(BN229,"0","")))&gt;=5)))),1,0),0)</f>
        <v>0</v>
      </c>
      <c r="CA2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229,"revision",""),"version",""),"jan",""),"feb",""),"mar",""),"apr",""),"may",""),"jun",""),"jul",""),"aug",""),"sep",""),"oct",""),"nov",""),"dec",""),"utc",""),"gmt",""),"myt",""),"bst",""),"rev",""),"ver",""),"b","a"),"c","a"),"d","a"),"e","a"),"f","a"),"g","a"),"h","a"),"i","a"),"j","a"),"k","a"),"l","a"),"m","a"),"n","a"),"o","a"),"p","a"),"q","a"),"r","a"),"s","a"),"t","a"),"u","a"),"v","a"),"w","a"),"x","a"),"y","a"),"z","a")</f>
        <v/>
      </c>
      <c r="CB2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229&amp;""),"a",""),"b",""),"c",""),"d",""),"e",""),"f",""),"g",""),"h",""),"i",""),"j",""),"k",""),"l",""),"m",""),"n",""),"o",""),"p",""),"q",""),"r",""),"s",""),"t",""),"u",""),"v",""),"w",""),"x",""),"y",""),"z",""),"-",""),"_",""),"/",""),".",""),"#",""),"\\",""),":","")," ",""),"(",""),")","")</f>
        <v/>
      </c>
      <c r="CC229" s="0" t="str">
        <f aca="false">" "&amp;TRIM(SUBSTITUTE(SUBSTITUTE(SUBSTITUTE(SUBSTITUTE(SUBSTITUTE(SUBSTITUTE(SUBSTITUTE(SUBSTITUTE(SUBSTITUTE(SUBSTITUTE(SUBSTITUTE(SUBSTITUTE(SUBSTITUTE(SUBSTITUTE(SUBSTITUTE(SUBSTITUTE(SUBSTITUTE(SUBSTITUTE(SUBSTITUTE(SUBSTITUTE(SUBSTITUTE(SUBSTITUTE(SUBSTITUTE(SUBSTITUTE(LOWER(T229&amp;""),CHAR(10)," "),CHAR(13)," "),CHAR(9)," "),CHAR(160)," "),"."," "),","," "),"-"," "),"/"," "),"("," "),")"," "),":"," "),";"," "),"_"," "),"–"," "),"?"," "),"!"," "),"*"," "),"["," "),"]"," "),"'"," "),"#"," "),"+"," "),"&amp;"," "),"\"," "))&amp;" "</f>
        <v>  </v>
      </c>
      <c r="CD229" s="0" t="str">
        <f aca="false">" "&amp;TRIM(SUBSTITUTE(SUBSTITUTE(SUBSTITUTE(SUBSTITUTE(SUBSTITUTE(SUBSTITUTE(SUBSTITUTE(SUBSTITUTE(SUBSTITUTE(SUBSTITUTE(SUBSTITUTE(SUBSTITUTE(SUBSTITUTE(SUBSTITUTE(SUBSTITUTE(SUBSTITUTE(SUBSTITUTE(SUBSTITUTE(SUBSTITUTE(SUBSTITUTE(SUBSTITUTE(SUBSTITUTE(SUBSTITUTE(SUBSTITUTE(LOWER(AE229&amp;""),CHAR(10)," "),CHAR(13)," "),CHAR(9)," "),CHAR(160)," "),"."," "),","," "),"-"," "),"/"," "),"("," "),")"," "),":"," "),";"," "),"_"," "),"–"," "),"?"," "),"!"," "),"*"," "),"["," "),"]"," "),"'"," "),"#"," "),"+"," "),"&amp;"," "),"\"," "))&amp;" "</f>
        <v>  </v>
      </c>
      <c r="CE229" s="68" t="n">
        <f aca="false">IFERROR(IF(AND(LEN(AU229)&gt;0,LEN(AU229)=LEN(AX229),OR(TRIM(MID(SUBSTITUTE(TRIM(CC229)," ",REPT(" ",60)),1,60))="",ISNUMBER(SEARCH(" "&amp;TRIM(MID(SUBSTITUTE(TRIM(CC229)," ",REPT(" ",60)),1,60))&amp;" ",CD229))),OR(TRIM(MID(SUBSTITUTE(TRIM(CC229)," ",REPT(" ",60)),61,60))="",ISNUMBER(SEARCH(" "&amp;TRIM(MID(SUBSTITUTE(TRIM(CC229)," ",REPT(" ",60)),61,60))&amp;" ",CD229))),OR(TRIM(MID(SUBSTITUTE(TRIM(CC229)," ",REPT(" ",60)),121,60))="",ISNUMBER(SEARCH(" "&amp;TRIM(MID(SUBSTITUTE(TRIM(CC229)," ",REPT(" ",60)),121,60))&amp;" ",CD229)))),1,0),0)</f>
        <v>0</v>
      </c>
      <c r="CG229" s="68" t="n">
        <f aca="false">IFERROR(LEN(SUBSTITUTE(BF229," ",""))-SUMPRODUCT((LEN(BF229)-LEN(SUBSTITUTE(BF229," "&amp;L_NAFiller&amp;" "," ")))/(LEN(L_NAFiller)+1)*LEN(L_NAFiller)),0)</f>
        <v>0</v>
      </c>
    </row>
    <row r="230" customFormat="false" ht="39.75" hidden="false" customHeight="true" outlineLevel="0" collapsed="false">
      <c r="A230" s="57" t="s">
        <v>794</v>
      </c>
      <c r="B230" s="57" t="s">
        <v>235</v>
      </c>
      <c r="C230" s="57" t="str">
        <f aca="false">Flights!$F$11</f>
        <v>MH0003</v>
      </c>
      <c r="D230" s="58" t="n">
        <f aca="false">Flights!$D$11</f>
        <v>46304</v>
      </c>
      <c r="E230" s="57" t="str">
        <f aca="false">Flights!$G$11&amp;"-"&amp;Flights!$H$11</f>
        <v>LHR-KUL</v>
      </c>
      <c r="F230" s="57" t="str">
        <f aca="false">Flights!$K$11</f>
        <v>BC</v>
      </c>
      <c r="G230" s="57" t="s">
        <v>420</v>
      </c>
      <c r="H230" s="57" t="s">
        <v>378</v>
      </c>
      <c r="I230" s="57" t="s">
        <v>428</v>
      </c>
      <c r="J230" s="57" t="s">
        <v>438</v>
      </c>
      <c r="K230" s="67"/>
      <c r="L230" s="67" t="s">
        <v>422</v>
      </c>
      <c r="M230" s="67"/>
      <c r="N230" s="67" t="s">
        <v>383</v>
      </c>
      <c r="O230" s="67" t="s">
        <v>423</v>
      </c>
      <c r="P230" s="57" t="s">
        <v>186</v>
      </c>
      <c r="Q230" s="59" t="n">
        <f aca="false">ROUND((Flights!$AE$11)*1440,0)/1440</f>
        <v>46303.9166666667</v>
      </c>
      <c r="R230" s="59" t="n">
        <f aca="false">Q230+(IF(AND(INDEX(TZ_DSTS,MATCH(P230,TZ_STN,0))&lt;&gt;"",Q230&gt;=INDEX(TZ_DSTS,MATCH(P230,TZ_STN,0)),Q230&lt;INDEX(TZ_DSTE,MATCH(P230,TZ_STN,0))),INDEX(TZ_DST,MATCH(P230,TZ_STN,0)),INDEX(TZ_STD,MATCH(P230,TZ_STN,0))))/24</f>
        <v>46303.9583333333</v>
      </c>
      <c r="S230" s="60"/>
      <c r="T230" s="60"/>
      <c r="U230" s="60"/>
      <c r="V230" s="60"/>
      <c r="W230" s="61"/>
      <c r="X230" s="60"/>
      <c r="Y230" s="60"/>
      <c r="Z230" s="60"/>
      <c r="AA230" s="60"/>
      <c r="AB230" s="60"/>
      <c r="AC230" s="60"/>
      <c r="AD230" s="66"/>
      <c r="AE230" s="60"/>
      <c r="AF230" s="61" t="str">
        <f aca="false">IF(AND(ISNUMBER(X230),ISNUMBER(Y230)),Y230-X230,"")</f>
        <v/>
      </c>
      <c r="AG230" s="62" t="str">
        <f aca="false">IF(ISNUMBER(AD230),AD230-(IF(AND(INDEX(TZ_DSTS,MATCH(P230,TZ_STN,0))&lt;&gt;"",(AD230-INDEX(TZ_STD,MATCH(P230,TZ_STN,0))/24)&gt;=INDEX(TZ_DSTS,MATCH(P230,TZ_STN,0)),(AD230-INDEX(TZ_STD,MATCH(P230,TZ_STN,0))/24)&lt;INDEX(TZ_DSTE,MATCH(P230,TZ_STN,0))),INDEX(TZ_DST,MATCH(P230,TZ_STN,0)),INDEX(TZ_STD,MATCH(P230,TZ_STN,0))))/24,"")</f>
        <v/>
      </c>
      <c r="AH230" s="65" t="str">
        <f aca="false">IFERROR(IF(N230="N/A – rule",IF(OR(TRIM(U230)="",TRIM(U230)="N/A",TRIM(U230)="Not started"),"N/A – RULE","INVALID – this check does not apply to this aircraft: clear the status (or correct the fleet on Flights)"),IF(TRIM(U230)="N/A",IF(AT230=0,"INVALID – N/A not permitted for this check",IF(AND(TRIM(AB230)&lt;&gt;"",TRIM(AB230)&lt;&gt;"Closed"),"INVALID – corrective action still open",IF(AND(NOT(OR(LEN(AZ230)&lt;15,ISNUMBER(MATCH(AZ230,L_Placeholder,0)))),BK230=0,CG230&gt;=8,NOT(OR(LEN(AU230)&lt;2,ISNUMBER(MATCH(AU230,L_Placeholder,0)))),BR230&gt;=3,NOT(OR(LEN(AX230)&lt;2,ISNUMBER(MATCH(AX230,L_Placeholder,0)))),BS230&gt;=3,TRIM(AE230)&lt;&gt;TRIM(T230),AX230&lt;&gt;AU230,CE230=0),"N/A – JUSTIFIED","INVALID – N/A needs a real, settled reason (not 'not applicable' / 'as above' / TBC), a named PIC and a different named verifier"))),IF(OR(TRIM(U230)="Pass",TRIM(U230)="Pass after CA"),IF(NOT(ISNUMBER(AD230)),"INVALID – completion time missing",IF(OR(OR(LEN(AU230)&lt;2,ISNUMBER(MATCH(AU230,L_Placeholder,0))),BR230&lt;3),"INVALID – PIC missing or not a named person (a role such as QA / CSM is not a name)",IF(OR(LEN(AV230)&lt;2,ISNUMBER(MATCH(AV230,L_Placeholder,0))),"INVALID – result / assessment missing",IF(OR(OR(LEN(AW230)&lt;3,ISNUMBER(MATCH(AW230,L_Placeholder,0))),SUMPRODUCT(--ISNUMBER(SEARCH(" "&amp;L_EvidencePhrase&amp;" ",BD230)))&gt;0,BI230=1),"INVALID – evidence missing, placeholder or not yet on file",IF(ISNA(MATCH(TRIM(S230),L_EvidenceType,0)),"INVALID – choose the evidence type from the list (column S)",IF(BL230=0,"INVALID – evidence ID must be the record's own ID only (e.g. SF-2210, IMG_2231, 1045521); a link / file name needs type 'Link / file path'",IF(OR(OR(LEN(AX230)&lt;2,ISNUMBER(MATCH(AX230,L_Placeholder,0))),BS230&lt;3),"INVALID – verifier missing or not a named person (a role such as QA / CSM is not a name)",IF(OR(AX230=AU230,CE230=1,AND(LEN(AU230)&gt;=4,ISNUMBER(SEARCH(AU230,AX230))),AND(LEN(AX230)&gt;=4,ISNUMBER(SEARCH(AX230,AU230)))),"INVALID – verifier must be a different, named person (not the PIC or a role)",IF(BH230=1,"INVALID – result not yet available (awaiting / TBC)",IF(BG230=1,"INVALID – result describes a problem: record Fail, then Pass after CA (or reword if it is not a problem)",IF(BV230=1,"INVALID – wording says not on board: an on-board confirmation needs the item loaded",IF(AND(AQ230=1,OR(OR(LEN(AY230)&lt;3,ISNUMBER(MATCH(AY230,L_Placeholder,0))),BJ230=1,BQ230=0)),"INVALID – batch ID missing, placeholder or not an ID (e.g. PASB-261008-BC-017)",IF(AND(AR230=1,OR(NOT(ISNUMBER(X230)),NOT(ISNUMBER(Y230)))),"INVALID – expected/actual qty missing",IF(AND(AR230=1,OR(X230&lt;=0,Y230&lt;0)),"INVALID – expected qty must be above 0 and actual not negative",IF(BB230&lt;&gt;"",BB230,IF(AND(AS230=1,Documents!$J$11&lt;&gt;"ON FILE"),"INVALID – GLD not on file (Documents sheet)",IF(AND(AS230=2,Documents!$O$11&lt;&gt;"ON FILE"),"INVALID – menu checklist not on file (Documents sheet)",IF(AND(AS230=3,NOT(ISNUMBER(Flights!$AX$11))),"INVALID – enter carrying flight KUL departure (Flights AX)",IF(AND(AS230=3,OR(Flights!$AZ$11&gt;Flights!$AA$11,Flights!$AX$11&lt;Flights!$AA$11-3)),"INVALID – carrying flight (Flights AX) cannot arrive before this leg's STD, or is over 3 days early",IF(AG230&gt;AsOfUTC,"INVALID – completion time is in the future",IF(AND(ISNUMBER(BY230),AG230&lt;BY230),IF(H230="Physical uplift","INVALID – before uplift window (cannot confirm loading)","INVALID – before valid window"),IF(AG230&gt;Flights!$AA$11,"INVALID – completed after departure (cannot establish readiness)",IF(AND(H230="Preparation",AG230&gt;=IF(ISNUMBER(Flights!$BA$11),MIN(Flights!$BA$11,Flights!$AA$11),Flights!$AA$11)),"INVALID – completed after loading / departure (cannot establish readiness)",IF(AND(H230="Physical uplift",AG230&gt;Q230),"INVALID – recorded after the loading flight departed",IF(AG230&gt;Q230,"COMPLETE – LATE","COMPLETE"))))))))))))))))))))))))),IF(TRIM(U230)="Fail","FAIL – DISCREPANCY",IF(AND(TRIM(U230)&lt;&gt;"",TRIM(U230)&lt;&gt;"Not started",TRIM(U230)&lt;&gt;"In progress"),"INVALID – unrecognised status (use the list)",IF(AsOfUTC&gt;Q230,"OVERDUE",IF(N230="Clarification required","OPEN – CLARIFICATION","OPEN"))))))),"INVALID – error value in an input cell")</f>
        <v>OPEN</v>
      </c>
      <c r="AI230" s="61" t="n">
        <f aca="false">IF(OR(AH230="N/A – RULE",AH230="N/A – JUSTIFIED"),0,1)</f>
        <v>1</v>
      </c>
      <c r="AJ230" s="61" t="n">
        <f aca="false">IF(LEFT(AH230,8)="COMPLETE",1,0)</f>
        <v>0</v>
      </c>
      <c r="AK230" s="61" t="n">
        <f aca="false">IF(AND(AI230=1,AJ230=0,AsOfUTC&gt;Q230),1,0)</f>
        <v>0</v>
      </c>
      <c r="AL230" s="61" t="n">
        <f aca="false">IFERROR(IF(AND(AI230=1,OR(TRIM(U230)="Fail",AND(TRIM(AB230)&lt;&gt;"",TRIM(AB230)&lt;&gt;"Closed"),AND(ISNUMBER(AF230),AF230&lt;&gt;0,TRIM(U230)&lt;&gt;"Pass after CA"))),1,0),1)</f>
        <v>0</v>
      </c>
      <c r="AM230" s="61" t="n">
        <f aca="false">IF(LEFT(AH230,7)="INVALID",1,0)</f>
        <v>0</v>
      </c>
      <c r="AN230" s="61" t="n">
        <f aca="false">IF(AND(N230="Clarification required",AI230=1,AJ230=0),1,0)</f>
        <v>0</v>
      </c>
      <c r="AO230" s="61" t="str">
        <f aca="false">IF(AK230=1,SUM(AK$5:AK230),"")</f>
        <v/>
      </c>
      <c r="AP230" s="61" t="str">
        <f aca="false">IF(AL230=1,SUM(AL$5:AL230),"")</f>
        <v/>
      </c>
      <c r="AQ230" s="61" t="n">
        <v>0</v>
      </c>
      <c r="AR230" s="61" t="n">
        <v>0</v>
      </c>
      <c r="AS230" s="61" t="n">
        <v>0</v>
      </c>
      <c r="AT230" s="61" t="n">
        <v>0</v>
      </c>
      <c r="AU230" s="61" t="str">
        <f aca="false">SUBSTITUTE(SUBSTITUTE(SUBSTITUTE(SUBSTITUTE(SUBSTITUTE(SUBSTITUTE(SUBSTITUTE(SUBSTITUTE(SUBSTITUTE(SUBSTITUTE(SUBSTITUTE(SUBSTITUTE(SUBSTITUTE(SUBSTITUTE(SUBSTITUTE(SUBSTITUTE(LOWER(T230&amp;""),CHAR(10),""),CHAR(13),""),CHAR(9),""),CHAR(160),"")," ",""),".",""),"-",""),"/",""),"?",""),"_",""),",",""),"[",""),"]",""),"(",""),")",""),"*","")</f>
        <v/>
      </c>
      <c r="AV230" s="61" t="str">
        <f aca="false">SUBSTITUTE(SUBSTITUTE(SUBSTITUTE(SUBSTITUTE(SUBSTITUTE(SUBSTITUTE(SUBSTITUTE(SUBSTITUTE(SUBSTITUTE(SUBSTITUTE(SUBSTITUTE(SUBSTITUTE(SUBSTITUTE(SUBSTITUTE(SUBSTITUTE(SUBSTITUTE(LOWER(V230&amp;""),CHAR(10),""),CHAR(13),""),CHAR(9),""),CHAR(160),"")," ",""),".",""),"-",""),"/",""),"?",""),"_",""),",",""),"[",""),"]",""),"(",""),")",""),"*","")</f>
        <v/>
      </c>
      <c r="AW230" s="61" t="str">
        <f aca="false">SUBSTITUTE(SUBSTITUTE(SUBSTITUTE(SUBSTITUTE(SUBSTITUTE(SUBSTITUTE(SUBSTITUTE(SUBSTITUTE(SUBSTITUTE(SUBSTITUTE(SUBSTITUTE(SUBSTITUTE(SUBSTITUTE(SUBSTITUTE(SUBSTITUTE(SUBSTITUTE(LOWER(Z230&amp;""),CHAR(10),""),CHAR(13),""),CHAR(9),""),CHAR(160),"")," ",""),".",""),"-",""),"/",""),"?",""),"_",""),",",""),"[",""),"]",""),"(",""),")",""),"*","")</f>
        <v/>
      </c>
      <c r="AX230" s="61" t="str">
        <f aca="false">SUBSTITUTE(SUBSTITUTE(SUBSTITUTE(SUBSTITUTE(SUBSTITUTE(SUBSTITUTE(SUBSTITUTE(SUBSTITUTE(SUBSTITUTE(SUBSTITUTE(SUBSTITUTE(SUBSTITUTE(SUBSTITUTE(SUBSTITUTE(SUBSTITUTE(SUBSTITUTE(LOWER(AE230&amp;""),CHAR(10),""),CHAR(13),""),CHAR(9),""),CHAR(160),"")," ",""),".",""),"-",""),"/",""),"?",""),"_",""),",",""),"[",""),"]",""),"(",""),")",""),"*","")</f>
        <v/>
      </c>
      <c r="AY230" s="61" t="str">
        <f aca="false">SUBSTITUTE(SUBSTITUTE(SUBSTITUTE(SUBSTITUTE(SUBSTITUTE(SUBSTITUTE(SUBSTITUTE(SUBSTITUTE(SUBSTITUTE(SUBSTITUTE(SUBSTITUTE(SUBSTITUTE(SUBSTITUTE(SUBSTITUTE(SUBSTITUTE(SUBSTITUTE(LOWER(W230&amp;""),CHAR(10),""),CHAR(13),""),CHAR(9),""),CHAR(160),"")," ",""),".",""),"-",""),"/",""),"?",""),"_",""),",",""),"[",""),"]",""),"(",""),")",""),"*","")</f>
        <v/>
      </c>
      <c r="AZ230" s="61" t="str">
        <f aca="false">SUBSTITUTE(SUBSTITUTE(SUBSTITUTE(SUBSTITUTE(SUBSTITUTE(SUBSTITUTE(SUBSTITUTE(SUBSTITUTE(SUBSTITUTE(SUBSTITUTE(SUBSTITUTE(SUBSTITUTE(SUBSTITUTE(SUBSTITUTE(SUBSTITUTE(SUBSTITUTE(LOWER(AC230&amp;""),CHAR(10),""),CHAR(13),""),CHAR(9),""),CHAR(160),"")," ",""),".",""),"-",""),"/",""),"?",""),"_",""),",",""),"[",""),"]",""),"(",""),")",""),"*","")</f>
        <v/>
      </c>
      <c r="BA230" s="61" t="str">
        <f aca="false">SUBSTITUTE(SUBSTITUTE(SUBSTITUTE(SUBSTITUTE(SUBSTITUTE(SUBSTITUTE(SUBSTITUTE(SUBSTITUTE(SUBSTITUTE(SUBSTITUTE(SUBSTITUTE(SUBSTITUTE(SUBSTITUTE(SUBSTITUTE(SUBSTITUTE(SUBSTITUTE(LOWER(AA230&amp;""),CHAR(10),""),CHAR(13),""),CHAR(9),""),CHAR(160),"")," ",""),".",""),"-",""),"/",""),"?",""),"_",""),",",""),"[",""),"]",""),"(",""),")",""),"*","")</f>
        <v/>
      </c>
      <c r="BB230" s="61" t="str">
        <f aca="false">IF(AND(TRIM(U230)="Pass",ISNUMBER(AF230)),IF(AF230&lt;&gt;0,"INVALID – qty variance: use Fail or Pass after CA",""),"")&amp;IF(AND(TRIM(U230)="Pass after CA",ISNUMBER(AF230)),IF(AF230&lt;&gt;0,"INVALID – after the corrective action the actual qty must equal expected (update Actual)",""),"")&amp;IF(AND(TRIM(U230)="Pass",TRIM(AB230)&lt;&gt;"",TRIM(AB230)&lt;&gt;"Closed"),"INVALID – corrective action not closed: use Fail, then Pass after CA","")&amp;IF(AND(LEN(BA230)&gt;=2,ISNA(MATCH(LEFT(BA230,255),L_Placeholder,0)),TRIM(AB230)=""),"INVALID – CA status missing for the recorded corrective action","")&amp;IF(AND(TRIM(U230)="Pass after CA",OR(OR(LEN(BA230)&lt;5,ISNUMBER(MATCH(BA230,L_Placeholder,0))),TRIM(AB230)&lt;&gt;"Closed")),"INVALID – corrective action not recorded/closed","")</f>
        <v/>
      </c>
      <c r="BC230" s="61" t="str">
        <f aca="false">" "&amp;TRIM(SUBSTITUTE(SUBSTITUTE(SUBSTITUTE(SUBSTITUTE(SUBSTITUTE(SUBSTITUTE(SUBSTITUTE(SUBSTITUTE(SUBSTITUTE(SUBSTITUTE(SUBSTITUTE(SUBSTITUTE(SUBSTITUTE(SUBSTITUTE(SUBSTITUTE(SUBSTITUTE(SUBSTITUTE(SUBSTITUTE(SUBSTITUTE(SUBSTITUTE(SUBSTITUTE(SUBSTITUTE(SUBSTITUTE(SUBSTITUTE(LOWER(V230&amp;""),CHAR(10)," "),CHAR(13)," "),CHAR(9)," "),CHAR(160)," "),"."," "),","," "),"-"," "),"/"," "),"("," "),")"," "),":"," "),";"," "),"_"," "),"–"," "),"?"," "),"!"," "),"*"," "),"["," "),"]"," "),"'"," "),"#"," "),"+"," "),"&amp;"," "),"\"," "))&amp;" "</f>
        <v>  </v>
      </c>
      <c r="BD230" s="61" t="str">
        <f aca="false">" "&amp;TRIM(SUBSTITUTE(SUBSTITUTE(SUBSTITUTE(SUBSTITUTE(SUBSTITUTE(SUBSTITUTE(SUBSTITUTE(SUBSTITUTE(SUBSTITUTE(SUBSTITUTE(SUBSTITUTE(SUBSTITUTE(SUBSTITUTE(SUBSTITUTE(SUBSTITUTE(SUBSTITUTE(SUBSTITUTE(SUBSTITUTE(SUBSTITUTE(SUBSTITUTE(SUBSTITUTE(SUBSTITUTE(SUBSTITUTE(SUBSTITUTE(LOWER(Z230&amp;""),CHAR(10)," "),CHAR(13)," "),CHAR(9)," "),CHAR(160)," "),"."," "),","," "),"-"," "),"/"," "),"("," "),")"," "),":"," "),";"," "),"_"," "),"–"," "),"?"," "),"!"," "),"*"," "),"["," "),"]"," "),"'"," "),"#"," "),"+"," "),"&amp;"," "),"\"," "))&amp;" "</f>
        <v>  </v>
      </c>
      <c r="BE230" s="61" t="str">
        <f aca="false">" "&amp;TRIM(SUBSTITUTE(SUBSTITUTE(SUBSTITUTE(SUBSTITUTE(SUBSTITUTE(SUBSTITUTE(SUBSTITUTE(SUBSTITUTE(SUBSTITUTE(SUBSTITUTE(SUBSTITUTE(SUBSTITUTE(SUBSTITUTE(SUBSTITUTE(SUBSTITUTE(SUBSTITUTE(SUBSTITUTE(SUBSTITUTE(SUBSTITUTE(SUBSTITUTE(SUBSTITUTE(SUBSTITUTE(SUBSTITUTE(SUBSTITUTE(LOWER(W230&amp;""),CHAR(10)," "),CHAR(13)," "),CHAR(9)," "),CHAR(160)," "),"."," "),","," "),"-"," "),"/"," "),"("," "),")"," "),":"," "),";"," "),"_"," "),"–"," "),"?"," "),"!"," "),"*"," "),"["," "),"]"," "),"'"," "),"#"," "),"+"," "),"&amp;"," "),"\"," "))&amp;" "</f>
        <v>  </v>
      </c>
      <c r="BF230" s="61" t="str">
        <f aca="false">" "&amp;TRIM(SUBSTITUTE(SUBSTITUTE(SUBSTITUTE(SUBSTITUTE(SUBSTITUTE(SUBSTITUTE(SUBSTITUTE(SUBSTITUTE(SUBSTITUTE(SUBSTITUTE(SUBSTITUTE(SUBSTITUTE(SUBSTITUTE(SUBSTITUTE(SUBSTITUTE(SUBSTITUTE(SUBSTITUTE(SUBSTITUTE(SUBSTITUTE(SUBSTITUTE(SUBSTITUTE(SUBSTITUTE(SUBSTITUTE(SUBSTITUTE(LOWER(AC230&amp;""),CHAR(10)," "),CHAR(13)," "),CHAR(9)," "),CHAR(160)," "),"."," "),","," "),"-"," "),"/"," "),"("," "),")"," "),":"," "),";"," "),"_"," "),"–"," "),"?"," "),"!"," "),"*"," "),"["," "),"]"," "),"'"," "),"#"," "),"+"," "),"&amp;"," "),"\"," "))&amp;" "</f>
        <v>  </v>
      </c>
      <c r="BG230" s="61" t="n">
        <f aca="false">IFERROR(IF(AND(TRIM(U230)="Pass",SUMPRODUCT((LEN(BC230)-LEN(SUBSTITUTE(BC230," "&amp;L_ResultBad&amp;" "," ")))/(LEN(L_ResultBad)+1))&gt;SUMPRODUCT((LEN(BC230)-LEN(SUBSTITUTE(BC230," "&amp;L_NegPhrase&amp;" "," ")))/(LEN(L_NegPhrase)+1))),1,0),0)</f>
        <v>0</v>
      </c>
      <c r="BH230" s="61" t="n">
        <f aca="false">IFERROR(IF(SUMPRODUCT((LEN(BC230)-LEN(SUBSTITUTE(BC230," "&amp;L_Pending&amp;" "," ")))/(LEN(L_Pending)+1))&gt;SUMPRODUCT((LEN(BC230)-LEN(SUBSTITUTE(BC230," "&amp;L_PendNeg&amp;" "," ")))/(LEN(L_PendNeg)+1))+SUMPRODUCT((LEN(BC230)-LEN(SUBSTITUTE(BC230," "&amp;L_PendPrep&amp;" "," ")))/(LEN(L_PendPrep)+1)),1,0),1)</f>
        <v>0</v>
      </c>
      <c r="BI230" s="61" t="n">
        <f aca="false">IFERROR(IF(SUMPRODUCT((LEN(BD230)-LEN(SUBSTITUTE(BD230," "&amp;L_PendStrict&amp;" "," ")))/(LEN(L_PendStrict)+1))&gt;SUMPRODUCT((LEN(BD230)-LEN(SUBSTITUTE(BD230," "&amp;L_PendNeg&amp;" "," ")))/(LEN(L_PendNeg)+1)),1,0),1)</f>
        <v>0</v>
      </c>
      <c r="BJ230" s="61" t="n">
        <f aca="false">IFERROR(IF(SUMPRODUCT((LEN(BE230)-LEN(SUBSTITUTE(BE230," "&amp;L_Pending&amp;" "," ")))/(LEN(L_Pending)+1))&gt;SUMPRODUCT((LEN(BE230)-LEN(SUBSTITUTE(BE230," "&amp;L_PendNeg&amp;" "," ")))/(LEN(L_PendNeg)+1))+SUMPRODUCT((LEN(BE230)-LEN(SUBSTITUTE(BE230," "&amp;L_PendPrep&amp;" "," ")))/(LEN(L_PendPrep)+1)),1,0),1)</f>
        <v>0</v>
      </c>
      <c r="BK230" s="61" t="n">
        <f aca="false">IFERROR(IF(SUMPRODUCT((LEN(BF230)-LEN(SUBSTITUTE(BF230," "&amp;L_PendStrict&amp;" "," ")))/(LEN(L_PendStrict)+1))&gt;SUMPRODUCT((LEN(BF230)-LEN(SUBSTITUTE(BF230," "&amp;L_PendNeg&amp;" "," ")))/(LEN(L_PendNeg)+1)),1,0),1)</f>
        <v>0</v>
      </c>
      <c r="BL230" s="61" t="n">
        <f aca="false">IF(ISNA(MATCH(TRIM(S230),L_EvidenceType,0)),0,BZ230)</f>
        <v>0</v>
      </c>
      <c r="BM230" s="61" t="str">
        <f aca="false">SUBSTITUTE(SUBSTITUTE(SUBSTITUTE(SUBSTITUTE(SUBSTITUTE(SUBSTITUTE(SUBSTITUTE(SUBSTITUTE(SUBSTITUTE(LOWER(Z230&amp;""),"1","0"),"2","0"),"3","0"),"4","0"),"5","0"),"6","0"),"7","0"),"8","0"),"9","0")</f>
        <v/>
      </c>
      <c r="BN230" s="61" t="str">
        <f aca="false">SUBSTITUTE(SUBSTITUTE(SUBSTITUTE(SUBSTITUTE(SUBSTITUTE(SUBSTITUTE(SUBSTITUTE(SUBSTITUTE(SUBSTITUTE(SUBSTITUTE(SUBSTITUTE(SUBSTITUTE(SUBSTITUTE(SUBSTITUTE(SUBSTITUTE(SUBSTITUTE(SUBSTITUTE(SUBSTITUTE(SUBSTITUTE(SUBSTITUTE(SUBSTITUTE(SUBSTITUTE(SUBSTITUTE(SUBSTITUTE(SUBSTITUTE(BM230,"b","a"),"c","a"),"d","a"),"e","a"),"f","a"),"g","a"),"h","a"),"i","a"),"j","a"),"k","a"),"l","a"),"m","a"),"n","a"),"o","a"),"p","a"),"q","a"),"r","a"),"s","a"),"t","a"),"u","a"),"v","a"),"w","a"),"x","a"),"y","a"),"z","a")</f>
        <v/>
      </c>
      <c r="BO230" s="61" t="str">
        <f aca="false">SUBSTITUTE(SUBSTITUTE(SUBSTITUTE(SUBSTITUTE(SUBSTITUTE(SUBSTITUTE(SUBSTITUTE(SUBSTITUTE(SUBSTITUTE(LOWER(W230&amp;""),"1","0"),"2","0"),"3","0"),"4","0"),"5","0"),"6","0"),"7","0"),"8","0"),"9","0")</f>
        <v/>
      </c>
      <c r="BP230" s="61" t="str">
        <f aca="false">SUBSTITUTE(SUBSTITUTE(SUBSTITUTE(SUBSTITUTE(SUBSTITUTE(SUBSTITUTE(SUBSTITUTE(SUBSTITUTE(SUBSTITUTE(SUBSTITUTE(SUBSTITUTE(SUBSTITUTE(SUBSTITUTE(SUBSTITUTE(SUBSTITUTE(SUBSTITUTE(SUBSTITUTE(SUBSTITUTE(SUBSTITUTE(SUBSTITUTE(SUBSTITUTE(SUBSTITUTE(SUBSTITUTE(SUBSTITUTE(SUBSTITUTE(BO230,"b","a"),"c","a"),"d","a"),"e","a"),"f","a"),"g","a"),"h","a"),"i","a"),"j","a"),"k","a"),"l","a"),"m","a"),"n","a"),"o","a"),"p","a"),"q","a"),"r","a"),"s","a"),"t","a"),"u","a"),"v","a"),"w","a"),"x","a"),"y","a"),"z","a")</f>
        <v/>
      </c>
      <c r="BQ230" s="61" t="n">
        <f aca="false">IFERROR(IF(AND(ISERROR(SEARCH(" mh"," "&amp;LOWER(W230))),ISNA(MATCH(LEFT(TRIM(BP230),255),{"0000a","000a","00a","0000aa","000aa","00aa","0aa","0000aaa","000aaa","00a00","0a00","0000-0000","00:00","a00","a0","00.00.0000","00/00/0000","00-00-0000","0000-00-00","0000/00/00","0000.00.00","00.00.00","00/00/00","00-00-00","0.00.0000","0/00/0000","0-00-0000"},0)),ISNA(MATCH(LEFT(TRIM(CA230),255),{"0000a","000a","00a","0000aa","000aa","00aa","0aa","0000aaa","000aaa","00a00","0a00","0000-0000","00:00","a00","a0","00.00.0000","00/00/0000","00-00-0000","0000-00-00","0000/00/00","0000.00.00","00.00.00","00/00/00","00-00-00","0.00.0000","0/00/0000","0-00-0000"},0)),LEN(CB230)&gt;=3,NOT(OR(SUBSTITUTE(CB230,"0","")="",AND(LEN(CB230)&gt;=4,CB230=REPT(LEFT(CB230),LEN(CB230))),ISNUMBER(MATCH(CB230,{"123","1234","12345","123456","1234567","12345678","0123","01234","012345","98765","987654","54321"},0)),AND(LEN(CB230)=8,LEFT(CB230,3)="202"))),OR(AND((LEN(CA230)-LEN(SUBSTITUTE(CA230,"a","")))&gt;=1,SUMPRODUCT(--ISNUMBER(SEARCH({"a0","a-0","a_0","a/0","a.0","a#0","0a","0-a","0_a","0/a"},BP230)))&gt;0),ISNUMBER(SEARCH("000000",BP230)))),1,0),0)</f>
        <v>0</v>
      </c>
      <c r="BR230" s="61" t="n">
        <f aca="false">IFERROR(LEN(SUBSTITUTE(CC230," ",""))-SUMPRODUCT((LEN(CC230)-LEN(SUBSTITUTE(CC230," "&amp;L_Role&amp;" "," ")))/(LEN(L_Role)+1)*LEN(L_Role)),0)</f>
        <v>0</v>
      </c>
      <c r="BS230" s="61" t="n">
        <f aca="false">IFERROR(LEN(SUBSTITUTE(CD230," ",""))-SUMPRODUCT((LEN(CD230)-LEN(SUBSTITUTE(CD230," "&amp;L_Role&amp;" "," ")))/(LEN(L_Role)+1)*LEN(L_Role)),0)</f>
        <v>0</v>
      </c>
      <c r="BT2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230,"revision",""),"version",""),"jan",""),"feb",""),"mar",""),"apr",""),"may",""),"jun",""),"jul",""),"aug",""),"sep",""),"oct",""),"nov",""),"dec",""),"utc",""),"gmt",""),"myt",""),"bst",""),"rev",""),"ver",""),"b","a"),"c","a"),"d","a"),"e","a"),"f","a"),"g","a"),"h","a"),"i","a"),"j","a"),"k","a"),"l","a"),"m","a"),"n","a"),"o","a"),"p","a"),"q","a"),"r","a"),"s","a"),"t","a"),"u","a"),"v","a"),"w","a"),"x","a"),"y","a"),"z","a")</f>
        <v/>
      </c>
      <c r="BU230" s="61" t="str">
        <f aca="false">SUBSTITUTE(SUBSTITUTE(SUBSTITUTE(SUBSTITUTE(SUBSTITUTE(SUBSTITUTE(SUBSTITUTE(SUBSTITUTE(SUBSTITUTE(SUBSTITUTE(LEFT(BM230,FIND("0",BM230&amp;"0")-1),"-",""),"_",""),"/",""),".",""),"#",""),"\\",""),":","")," ",""),"(",""),")","")</f>
        <v/>
      </c>
      <c r="BV230" s="61" t="n">
        <f aca="false">0</f>
        <v>0</v>
      </c>
      <c r="BW2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230&amp;""),"a",""),"b",""),"c",""),"d",""),"e",""),"f",""),"g",""),"h",""),"i",""),"j",""),"k",""),"l",""),"m",""),"n",""),"o",""),"p",""),"q",""),"r",""),"s",""),"t",""),"u",""),"v",""),"w",""),"x",""),"y",""),"z",""),"-",""),"_",""),"/",""),".",""),"#",""),"\\",""),":","")," ",""),"(",""),")","")</f>
        <v/>
      </c>
      <c r="BX230" s="61" t="str">
        <f aca="false">SUBSTITUTE(SUBSTITUTE(SUBSTITUTE(SUBSTITUTE(SUBSTITUTE(SUBSTITUTE(SUBSTITUTE(SUBSTITUTE(SUBSTITUTE(SUBSTITUTE(SUBSTITUTE(BM230,"0",""),"-",""),"_",""),"/",""),".",""),"#",""),"\\",""),":","")," ",""),"(",""),")","")</f>
        <v/>
      </c>
      <c r="BY230" s="62" t="n">
        <f aca="false">Q230-T12EarlyH/24</f>
        <v>46303.4166666667</v>
      </c>
      <c r="BZ230" s="61" t="n">
        <f aca="false">IFERROR(IF(IF(TRIM(S230)="Link / file path",AND(LEN(TRIM(Z230))&gt;=5,SUMPRODUCT(--ISNUMBER(SEARCH({"http","www.","\\",":\",".pdf",".jpg",".jpeg",".png",".heic",".xls",".doc",".msg",".eml",".ppt",".txt",".zip"},Z230)))&gt;0),AND(ISERROR(FIND(" ",TRIM(Z230))),NOT(OR(SUMPRODUCT(--ISNUMBER(FIND({",",";","&amp;","+"},Z230)))&gt;0,SUMPRODUCT(--ISNUMBER(SEARCH({"0/aa","0\\aa"},BN230)))&gt;0)),NOT(SUMPRODUCT(--ISNUMBER(SEARCH({"http","www.","\\",":\",".pdf",".jpg",".jpeg",".png",".heic",".xls",".doc",".msg",".eml",".ppt",".txt",".zip"},Z230)))&gt;0),NOT(LOWER(TRIM(Z230))=LOWER(Flights!$F$11)),ISNA(MATCH(BU230,{"mh","rev","revision","ver","version","v","r","a","b","seat","tray","row","gate","bay","stand","page","pg","item","line","no","cart","galley","flight","flt","table","box","bag","oven","etd","eta","std","sta","atd","ata","qty","pax","x","time","tel","ph","mob","day","wk","week","utc","gmt","myt","lt"},0)),NOT(OR(ISNUMBER(MATCH(LEFT(BN230,255),{"0000a","000a","00a","0000aa","000aa","00aa","0aa","0000aaa","000aaa","00a00","0a00","0000-0000","00:00","a00","a0","00.00.0000","00/00/0000","00-00-0000","0000-00-00","0000/00/00","0000.00.00","00.00.00","00/00/00","00-00-00","0.00.0000","0/00/0000","0-00-0000"},0)),ISNUMBER(MATCH(LEFT(BT230,255),{"0000a","000a","00a","0000aa","000aa","00aa","0aa","0000aaa","000aaa","00a00","0a00","0000-0000","00:00","a00","a0","00.00.0000","00/00/0000","00-00-0000","0000-00-00","0000/00/00","0000.00.00","00.00.00","00/00/00","00-00-00","0.00.0000","0/00/0000","0-00-0000"},0)))),NOT(OR(AND(BW230&lt;&gt;"",SUBSTITUTE(BW230,"0","")=""),AND(LEN(BW230)&gt;=4,BW230=REPT(LEFT(BW230),LEN(BW230))),ISNUMBER(MATCH(BW230,{"123","1234","12345","123456","1234567","12345678","0123","01234","012345","98765","987654","54321"},0)),ISNUMBER(MATCH(BX230,{"x","xx","xxx","xxxx","xxxxx","abc","abcd","nil","na","nan","test","tbc","tba","tbd","dummy","sample","example","eg","zz","zzz","none","null","xyz","qwe","asd","id","ref"},0)),AND(LEN(BW230)=8,BX230="",OR(LEFT(BW230,3)="202",ISNUMBER(MATCH(RIGHT(BW230,4),{"2025","2026","2027"},0)))))),OR(AND((LEN(BT230)-LEN(SUBSTITUTE(BT230,"a","")))&gt;=1,(LEN(BN230)-LEN(SUBSTITUTE(BN230,"0","")))&gt;=2,SUMPRODUCT(--ISNUMBER(SEARCH({"a0","a-0","a_0","a/0","a.0","a#0","0a","0-a","0_a","0/a"},BN230)))&gt;0),AND((LEN(BN230)-LEN(SUBSTITUTE(BN230,"a","")))=0,(LEN(BN230)-LEN(SUBSTITUTE(BN230,"0","")))&gt;=5)))),1,0),0)</f>
        <v>0</v>
      </c>
      <c r="CA2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230,"revision",""),"version",""),"jan",""),"feb",""),"mar",""),"apr",""),"may",""),"jun",""),"jul",""),"aug",""),"sep",""),"oct",""),"nov",""),"dec",""),"utc",""),"gmt",""),"myt",""),"bst",""),"rev",""),"ver",""),"b","a"),"c","a"),"d","a"),"e","a"),"f","a"),"g","a"),"h","a"),"i","a"),"j","a"),"k","a"),"l","a"),"m","a"),"n","a"),"o","a"),"p","a"),"q","a"),"r","a"),"s","a"),"t","a"),"u","a"),"v","a"),"w","a"),"x","a"),"y","a"),"z","a")</f>
        <v/>
      </c>
      <c r="CB2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230&amp;""),"a",""),"b",""),"c",""),"d",""),"e",""),"f",""),"g",""),"h",""),"i",""),"j",""),"k",""),"l",""),"m",""),"n",""),"o",""),"p",""),"q",""),"r",""),"s",""),"t",""),"u",""),"v",""),"w",""),"x",""),"y",""),"z",""),"-",""),"_",""),"/",""),".",""),"#",""),"\\",""),":","")," ",""),"(",""),")","")</f>
        <v/>
      </c>
      <c r="CC230" s="0" t="str">
        <f aca="false">" "&amp;TRIM(SUBSTITUTE(SUBSTITUTE(SUBSTITUTE(SUBSTITUTE(SUBSTITUTE(SUBSTITUTE(SUBSTITUTE(SUBSTITUTE(SUBSTITUTE(SUBSTITUTE(SUBSTITUTE(SUBSTITUTE(SUBSTITUTE(SUBSTITUTE(SUBSTITUTE(SUBSTITUTE(SUBSTITUTE(SUBSTITUTE(SUBSTITUTE(SUBSTITUTE(SUBSTITUTE(SUBSTITUTE(SUBSTITUTE(SUBSTITUTE(LOWER(T230&amp;""),CHAR(10)," "),CHAR(13)," "),CHAR(9)," "),CHAR(160)," "),"."," "),","," "),"-"," "),"/"," "),"("," "),")"," "),":"," "),";"," "),"_"," "),"–"," "),"?"," "),"!"," "),"*"," "),"["," "),"]"," "),"'"," "),"#"," "),"+"," "),"&amp;"," "),"\"," "))&amp;" "</f>
        <v>  </v>
      </c>
      <c r="CD230" s="0" t="str">
        <f aca="false">" "&amp;TRIM(SUBSTITUTE(SUBSTITUTE(SUBSTITUTE(SUBSTITUTE(SUBSTITUTE(SUBSTITUTE(SUBSTITUTE(SUBSTITUTE(SUBSTITUTE(SUBSTITUTE(SUBSTITUTE(SUBSTITUTE(SUBSTITUTE(SUBSTITUTE(SUBSTITUTE(SUBSTITUTE(SUBSTITUTE(SUBSTITUTE(SUBSTITUTE(SUBSTITUTE(SUBSTITUTE(SUBSTITUTE(SUBSTITUTE(SUBSTITUTE(LOWER(AE230&amp;""),CHAR(10)," "),CHAR(13)," "),CHAR(9)," "),CHAR(160)," "),"."," "),","," "),"-"," "),"/"," "),"("," "),")"," "),":"," "),";"," "),"_"," "),"–"," "),"?"," "),"!"," "),"*"," "),"["," "),"]"," "),"'"," "),"#"," "),"+"," "),"&amp;"," "),"\"," "))&amp;" "</f>
        <v>  </v>
      </c>
      <c r="CE230" s="68" t="n">
        <f aca="false">IFERROR(IF(AND(LEN(AU230)&gt;0,LEN(AU230)=LEN(AX230),OR(TRIM(MID(SUBSTITUTE(TRIM(CC230)," ",REPT(" ",60)),1,60))="",ISNUMBER(SEARCH(" "&amp;TRIM(MID(SUBSTITUTE(TRIM(CC230)," ",REPT(" ",60)),1,60))&amp;" ",CD230))),OR(TRIM(MID(SUBSTITUTE(TRIM(CC230)," ",REPT(" ",60)),61,60))="",ISNUMBER(SEARCH(" "&amp;TRIM(MID(SUBSTITUTE(TRIM(CC230)," ",REPT(" ",60)),61,60))&amp;" ",CD230))),OR(TRIM(MID(SUBSTITUTE(TRIM(CC230)," ",REPT(" ",60)),121,60))="",ISNUMBER(SEARCH(" "&amp;TRIM(MID(SUBSTITUTE(TRIM(CC230)," ",REPT(" ",60)),121,60))&amp;" ",CD230)))),1,0),0)</f>
        <v>0</v>
      </c>
      <c r="CG230" s="68" t="n">
        <f aca="false">IFERROR(LEN(SUBSTITUTE(BF230," ",""))-SUMPRODUCT((LEN(BF230)-LEN(SUBSTITUTE(BF230," "&amp;L_NAFiller&amp;" "," ")))/(LEN(L_NAFiller)+1)*LEN(L_NAFiller)),0)</f>
        <v>0</v>
      </c>
    </row>
    <row r="231" customFormat="false" ht="39.75" hidden="false" customHeight="true" outlineLevel="0" collapsed="false">
      <c r="A231" s="57" t="s">
        <v>795</v>
      </c>
      <c r="B231" s="57" t="s">
        <v>235</v>
      </c>
      <c r="C231" s="57" t="str">
        <f aca="false">Flights!$F$11</f>
        <v>MH0003</v>
      </c>
      <c r="D231" s="58" t="n">
        <f aca="false">Flights!$D$11</f>
        <v>46304</v>
      </c>
      <c r="E231" s="57" t="str">
        <f aca="false">Flights!$G$11&amp;"-"&amp;Flights!$H$11</f>
        <v>LHR-KUL</v>
      </c>
      <c r="F231" s="57" t="str">
        <f aca="false">Flights!$K$11</f>
        <v>BC</v>
      </c>
      <c r="G231" s="57" t="s">
        <v>420</v>
      </c>
      <c r="H231" s="57" t="s">
        <v>378</v>
      </c>
      <c r="I231" s="57" t="s">
        <v>440</v>
      </c>
      <c r="J231" s="57" t="s">
        <v>441</v>
      </c>
      <c r="K231" s="67" t="s">
        <v>501</v>
      </c>
      <c r="L231" s="67" t="s">
        <v>443</v>
      </c>
      <c r="M231" s="67" t="s">
        <v>186</v>
      </c>
      <c r="N231" s="67" t="s">
        <v>383</v>
      </c>
      <c r="O231" s="67"/>
      <c r="P231" s="57" t="s">
        <v>186</v>
      </c>
      <c r="Q231" s="59" t="n">
        <f aca="false">ROUND((Flights!$AE$11)*1440,0)/1440</f>
        <v>46303.9166666667</v>
      </c>
      <c r="R231" s="59" t="n">
        <f aca="false">Q231+(IF(AND(INDEX(TZ_DSTS,MATCH(P231,TZ_STN,0))&lt;&gt;"",Q231&gt;=INDEX(TZ_DSTS,MATCH(P231,TZ_STN,0)),Q231&lt;INDEX(TZ_DSTE,MATCH(P231,TZ_STN,0))),INDEX(TZ_DST,MATCH(P231,TZ_STN,0)),INDEX(TZ_STD,MATCH(P231,TZ_STN,0))))/24</f>
        <v>46303.9583333333</v>
      </c>
      <c r="S231" s="60"/>
      <c r="T231" s="60"/>
      <c r="U231" s="60"/>
      <c r="V231" s="60"/>
      <c r="W231" s="61"/>
      <c r="X231" s="60"/>
      <c r="Y231" s="60"/>
      <c r="Z231" s="60"/>
      <c r="AA231" s="60"/>
      <c r="AB231" s="60"/>
      <c r="AC231" s="60"/>
      <c r="AD231" s="66"/>
      <c r="AE231" s="60"/>
      <c r="AF231" s="61" t="str">
        <f aca="false">IF(AND(ISNUMBER(X231),ISNUMBER(Y231)),Y231-X231,"")</f>
        <v/>
      </c>
      <c r="AG231" s="62" t="str">
        <f aca="false">IF(ISNUMBER(AD231),AD231-(IF(AND(INDEX(TZ_DSTS,MATCH(P231,TZ_STN,0))&lt;&gt;"",(AD231-INDEX(TZ_STD,MATCH(P231,TZ_STN,0))/24)&gt;=INDEX(TZ_DSTS,MATCH(P231,TZ_STN,0)),(AD231-INDEX(TZ_STD,MATCH(P231,TZ_STN,0))/24)&lt;INDEX(TZ_DSTE,MATCH(P231,TZ_STN,0))),INDEX(TZ_DST,MATCH(P231,TZ_STN,0)),INDEX(TZ_STD,MATCH(P231,TZ_STN,0))))/24,"")</f>
        <v/>
      </c>
      <c r="AH231" s="65" t="str">
        <f aca="false">IFERROR(IF(N231="N/A – rule",IF(OR(TRIM(U231)="",TRIM(U231)="N/A",TRIM(U231)="Not started"),"N/A – RULE","INVALID – this check does not apply to this aircraft: clear the status (or correct the fleet on Flights)"),IF(TRIM(U231)="N/A",IF(AT231=0,"INVALID – N/A not permitted for this check",IF(AND(TRIM(AB231)&lt;&gt;"",TRIM(AB231)&lt;&gt;"Closed"),"INVALID – corrective action still open",IF(AND(NOT(OR(LEN(AZ231)&lt;15,ISNUMBER(MATCH(AZ231,L_Placeholder,0)))),BK231=0,CG231&gt;=8,NOT(OR(LEN(AU231)&lt;2,ISNUMBER(MATCH(AU231,L_Placeholder,0)))),BR231&gt;=3,NOT(OR(LEN(AX231)&lt;2,ISNUMBER(MATCH(AX231,L_Placeholder,0)))),BS231&gt;=3,TRIM(AE231)&lt;&gt;TRIM(T231),AX231&lt;&gt;AU231,CE231=0),"N/A – JUSTIFIED","INVALID – N/A needs a real, settled reason (not 'not applicable' / 'as above' / TBC), a named PIC and a different named verifier"))),IF(OR(TRIM(U231)="Pass",TRIM(U231)="Pass after CA"),IF(NOT(ISNUMBER(AD231)),"INVALID – completion time missing",IF(OR(OR(LEN(AU231)&lt;2,ISNUMBER(MATCH(AU231,L_Placeholder,0))),BR231&lt;3),"INVALID – PIC missing or not a named person (a role such as QA / CSM is not a name)",IF(OR(LEN(AV231)&lt;2,ISNUMBER(MATCH(AV231,L_Placeholder,0))),"INVALID – result / assessment missing",IF(OR(OR(LEN(AW231)&lt;3,ISNUMBER(MATCH(AW231,L_Placeholder,0))),SUMPRODUCT(--ISNUMBER(SEARCH(" "&amp;L_EvidencePhrase&amp;" ",BD231)))&gt;0,BI231=1),"INVALID – evidence missing, placeholder or not yet on file",IF(ISNA(MATCH(TRIM(S231),L_EvidenceType,0)),"INVALID – choose the evidence type from the list (column S)",IF(BL231=0,"INVALID – evidence ID must be the record's own ID only (e.g. SF-2210, IMG_2231, 1045521); a link / file name needs type 'Link / file path'",IF(OR(OR(LEN(AX231)&lt;2,ISNUMBER(MATCH(AX231,L_Placeholder,0))),BS231&lt;3),"INVALID – verifier missing or not a named person (a role such as QA / CSM is not a name)",IF(OR(AX231=AU231,CE231=1,AND(LEN(AU231)&gt;=4,ISNUMBER(SEARCH(AU231,AX231))),AND(LEN(AX231)&gt;=4,ISNUMBER(SEARCH(AX231,AU231)))),"INVALID – verifier must be a different, named person (not the PIC or a role)",IF(BH231=1,"INVALID – result not yet available (awaiting / TBC)",IF(BG231=1,"INVALID – result describes a problem: record Fail, then Pass after CA (or reword if it is not a problem)",IF(BV231=1,"INVALID – wording says not on board: an on-board confirmation needs the item loaded",IF(AND(AQ231=1,OR(OR(LEN(AY231)&lt;3,ISNUMBER(MATCH(AY231,L_Placeholder,0))),BJ231=1,BQ231=0)),"INVALID – batch ID missing, placeholder or not an ID (e.g. PASB-261008-BC-017)",IF(AND(AR231=1,OR(NOT(ISNUMBER(X231)),NOT(ISNUMBER(Y231)))),"INVALID – expected/actual qty missing",IF(AND(AR231=1,OR(X231&lt;=0,Y231&lt;0)),"INVALID – expected qty must be above 0 and actual not negative",IF(BB231&lt;&gt;"",BB231,IF(AND(AS231=1,Documents!$J$11&lt;&gt;"ON FILE"),"INVALID – GLD not on file (Documents sheet)",IF(AND(AS231=2,Documents!$O$11&lt;&gt;"ON FILE"),"INVALID – menu checklist not on file (Documents sheet)",IF(AND(AS231=3,NOT(ISNUMBER(Flights!$AX$11))),"INVALID – enter carrying flight KUL departure (Flights AX)",IF(AND(AS231=3,OR(Flights!$AZ$11&gt;Flights!$AA$11,Flights!$AX$11&lt;Flights!$AA$11-3)),"INVALID – carrying flight (Flights AX) cannot arrive before this leg's STD, or is over 3 days early",IF(AG231&gt;AsOfUTC,"INVALID – completion time is in the future",IF(AND(ISNUMBER(BY231),AG231&lt;BY231),IF(H231="Physical uplift","INVALID – before uplift window (cannot confirm loading)","INVALID – before valid window"),IF(AG231&gt;Flights!$AA$11,"INVALID – completed after departure (cannot establish readiness)",IF(AND(H231="Preparation",AG231&gt;=IF(ISNUMBER(Flights!$BA$11),MIN(Flights!$BA$11,Flights!$AA$11),Flights!$AA$11)),"INVALID – completed after loading / departure (cannot establish readiness)",IF(AND(H231="Physical uplift",AG231&gt;Q231),"INVALID – recorded after the loading flight departed",IF(AG231&gt;Q231,"COMPLETE – LATE","COMPLETE"))))))))))))))))))))))))),IF(TRIM(U231)="Fail","FAIL – DISCREPANCY",IF(AND(TRIM(U231)&lt;&gt;"",TRIM(U231)&lt;&gt;"Not started",TRIM(U231)&lt;&gt;"In progress"),"INVALID – unrecognised status (use the list)",IF(AsOfUTC&gt;Q231,"OVERDUE",IF(N231="Clarification required","OPEN – CLARIFICATION","OPEN"))))))),"INVALID – error value in an input cell")</f>
        <v>OPEN</v>
      </c>
      <c r="AI231" s="61" t="n">
        <f aca="false">IF(OR(AH231="N/A – RULE",AH231="N/A – JUSTIFIED"),0,1)</f>
        <v>1</v>
      </c>
      <c r="AJ231" s="61" t="n">
        <f aca="false">IF(LEFT(AH231,8)="COMPLETE",1,0)</f>
        <v>0</v>
      </c>
      <c r="AK231" s="61" t="n">
        <f aca="false">IF(AND(AI231=1,AJ231=0,AsOfUTC&gt;Q231),1,0)</f>
        <v>0</v>
      </c>
      <c r="AL231" s="61" t="n">
        <f aca="false">IFERROR(IF(AND(AI231=1,OR(TRIM(U231)="Fail",AND(TRIM(AB231)&lt;&gt;"",TRIM(AB231)&lt;&gt;"Closed"),AND(ISNUMBER(AF231),AF231&lt;&gt;0,TRIM(U231)&lt;&gt;"Pass after CA"))),1,0),1)</f>
        <v>0</v>
      </c>
      <c r="AM231" s="61" t="n">
        <f aca="false">IF(LEFT(AH231,7)="INVALID",1,0)</f>
        <v>0</v>
      </c>
      <c r="AN231" s="61" t="n">
        <f aca="false">IF(AND(N231="Clarification required",AI231=1,AJ231=0),1,0)</f>
        <v>0</v>
      </c>
      <c r="AO231" s="61" t="str">
        <f aca="false">IF(AK231=1,SUM(AK$5:AK231),"")</f>
        <v/>
      </c>
      <c r="AP231" s="61" t="str">
        <f aca="false">IF(AL231=1,SUM(AL$5:AL231),"")</f>
        <v/>
      </c>
      <c r="AQ231" s="61" t="n">
        <v>0</v>
      </c>
      <c r="AR231" s="61" t="n">
        <v>0</v>
      </c>
      <c r="AS231" s="61" t="n">
        <v>0</v>
      </c>
      <c r="AT231" s="61" t="n">
        <v>0</v>
      </c>
      <c r="AU231" s="61" t="str">
        <f aca="false">SUBSTITUTE(SUBSTITUTE(SUBSTITUTE(SUBSTITUTE(SUBSTITUTE(SUBSTITUTE(SUBSTITUTE(SUBSTITUTE(SUBSTITUTE(SUBSTITUTE(SUBSTITUTE(SUBSTITUTE(SUBSTITUTE(SUBSTITUTE(SUBSTITUTE(SUBSTITUTE(LOWER(T231&amp;""),CHAR(10),""),CHAR(13),""),CHAR(9),""),CHAR(160),"")," ",""),".",""),"-",""),"/",""),"?",""),"_",""),",",""),"[",""),"]",""),"(",""),")",""),"*","")</f>
        <v/>
      </c>
      <c r="AV231" s="61" t="str">
        <f aca="false">SUBSTITUTE(SUBSTITUTE(SUBSTITUTE(SUBSTITUTE(SUBSTITUTE(SUBSTITUTE(SUBSTITUTE(SUBSTITUTE(SUBSTITUTE(SUBSTITUTE(SUBSTITUTE(SUBSTITUTE(SUBSTITUTE(SUBSTITUTE(SUBSTITUTE(SUBSTITUTE(LOWER(V231&amp;""),CHAR(10),""),CHAR(13),""),CHAR(9),""),CHAR(160),"")," ",""),".",""),"-",""),"/",""),"?",""),"_",""),",",""),"[",""),"]",""),"(",""),")",""),"*","")</f>
        <v/>
      </c>
      <c r="AW231" s="61" t="str">
        <f aca="false">SUBSTITUTE(SUBSTITUTE(SUBSTITUTE(SUBSTITUTE(SUBSTITUTE(SUBSTITUTE(SUBSTITUTE(SUBSTITUTE(SUBSTITUTE(SUBSTITUTE(SUBSTITUTE(SUBSTITUTE(SUBSTITUTE(SUBSTITUTE(SUBSTITUTE(SUBSTITUTE(LOWER(Z231&amp;""),CHAR(10),""),CHAR(13),""),CHAR(9),""),CHAR(160),"")," ",""),".",""),"-",""),"/",""),"?",""),"_",""),",",""),"[",""),"]",""),"(",""),")",""),"*","")</f>
        <v/>
      </c>
      <c r="AX231" s="61" t="str">
        <f aca="false">SUBSTITUTE(SUBSTITUTE(SUBSTITUTE(SUBSTITUTE(SUBSTITUTE(SUBSTITUTE(SUBSTITUTE(SUBSTITUTE(SUBSTITUTE(SUBSTITUTE(SUBSTITUTE(SUBSTITUTE(SUBSTITUTE(SUBSTITUTE(SUBSTITUTE(SUBSTITUTE(LOWER(AE231&amp;""),CHAR(10),""),CHAR(13),""),CHAR(9),""),CHAR(160),"")," ",""),".",""),"-",""),"/",""),"?",""),"_",""),",",""),"[",""),"]",""),"(",""),")",""),"*","")</f>
        <v/>
      </c>
      <c r="AY231" s="61" t="str">
        <f aca="false">SUBSTITUTE(SUBSTITUTE(SUBSTITUTE(SUBSTITUTE(SUBSTITUTE(SUBSTITUTE(SUBSTITUTE(SUBSTITUTE(SUBSTITUTE(SUBSTITUTE(SUBSTITUTE(SUBSTITUTE(SUBSTITUTE(SUBSTITUTE(SUBSTITUTE(SUBSTITUTE(LOWER(W231&amp;""),CHAR(10),""),CHAR(13),""),CHAR(9),""),CHAR(160),"")," ",""),".",""),"-",""),"/",""),"?",""),"_",""),",",""),"[",""),"]",""),"(",""),")",""),"*","")</f>
        <v/>
      </c>
      <c r="AZ231" s="61" t="str">
        <f aca="false">SUBSTITUTE(SUBSTITUTE(SUBSTITUTE(SUBSTITUTE(SUBSTITUTE(SUBSTITUTE(SUBSTITUTE(SUBSTITUTE(SUBSTITUTE(SUBSTITUTE(SUBSTITUTE(SUBSTITUTE(SUBSTITUTE(SUBSTITUTE(SUBSTITUTE(SUBSTITUTE(LOWER(AC231&amp;""),CHAR(10),""),CHAR(13),""),CHAR(9),""),CHAR(160),"")," ",""),".",""),"-",""),"/",""),"?",""),"_",""),",",""),"[",""),"]",""),"(",""),")",""),"*","")</f>
        <v/>
      </c>
      <c r="BA231" s="61" t="str">
        <f aca="false">SUBSTITUTE(SUBSTITUTE(SUBSTITUTE(SUBSTITUTE(SUBSTITUTE(SUBSTITUTE(SUBSTITUTE(SUBSTITUTE(SUBSTITUTE(SUBSTITUTE(SUBSTITUTE(SUBSTITUTE(SUBSTITUTE(SUBSTITUTE(SUBSTITUTE(SUBSTITUTE(LOWER(AA231&amp;""),CHAR(10),""),CHAR(13),""),CHAR(9),""),CHAR(160),"")," ",""),".",""),"-",""),"/",""),"?",""),"_",""),",",""),"[",""),"]",""),"(",""),")",""),"*","")</f>
        <v/>
      </c>
      <c r="BB231" s="61" t="str">
        <f aca="false">IF(AND(TRIM(U231)="Pass",ISNUMBER(AF231)),IF(AF231&lt;&gt;0,"INVALID – qty variance: use Fail or Pass after CA",""),"")&amp;IF(AND(TRIM(U231)="Pass after CA",ISNUMBER(AF231)),IF(AF231&lt;&gt;0,"INVALID – after the corrective action the actual qty must equal expected (update Actual)",""),"")&amp;IF(AND(TRIM(U231)="Pass",TRIM(AB231)&lt;&gt;"",TRIM(AB231)&lt;&gt;"Closed"),"INVALID – corrective action not closed: use Fail, then Pass after CA","")&amp;IF(AND(LEN(BA231)&gt;=2,ISNA(MATCH(LEFT(BA231,255),L_Placeholder,0)),TRIM(AB231)=""),"INVALID – CA status missing for the recorded corrective action","")&amp;IF(AND(TRIM(U231)="Pass after CA",OR(OR(LEN(BA231)&lt;5,ISNUMBER(MATCH(BA231,L_Placeholder,0))),TRIM(AB231)&lt;&gt;"Closed")),"INVALID – corrective action not recorded/closed","")</f>
        <v/>
      </c>
      <c r="BC231" s="61" t="str">
        <f aca="false">" "&amp;TRIM(SUBSTITUTE(SUBSTITUTE(SUBSTITUTE(SUBSTITUTE(SUBSTITUTE(SUBSTITUTE(SUBSTITUTE(SUBSTITUTE(SUBSTITUTE(SUBSTITUTE(SUBSTITUTE(SUBSTITUTE(SUBSTITUTE(SUBSTITUTE(SUBSTITUTE(SUBSTITUTE(SUBSTITUTE(SUBSTITUTE(SUBSTITUTE(SUBSTITUTE(SUBSTITUTE(SUBSTITUTE(SUBSTITUTE(SUBSTITUTE(LOWER(V231&amp;""),CHAR(10)," "),CHAR(13)," "),CHAR(9)," "),CHAR(160)," "),"."," "),","," "),"-"," "),"/"," "),"("," "),")"," "),":"," "),";"," "),"_"," "),"–"," "),"?"," "),"!"," "),"*"," "),"["," "),"]"," "),"'"," "),"#"," "),"+"," "),"&amp;"," "),"\"," "))&amp;" "</f>
        <v>  </v>
      </c>
      <c r="BD231" s="61" t="str">
        <f aca="false">" "&amp;TRIM(SUBSTITUTE(SUBSTITUTE(SUBSTITUTE(SUBSTITUTE(SUBSTITUTE(SUBSTITUTE(SUBSTITUTE(SUBSTITUTE(SUBSTITUTE(SUBSTITUTE(SUBSTITUTE(SUBSTITUTE(SUBSTITUTE(SUBSTITUTE(SUBSTITUTE(SUBSTITUTE(SUBSTITUTE(SUBSTITUTE(SUBSTITUTE(SUBSTITUTE(SUBSTITUTE(SUBSTITUTE(SUBSTITUTE(SUBSTITUTE(LOWER(Z231&amp;""),CHAR(10)," "),CHAR(13)," "),CHAR(9)," "),CHAR(160)," "),"."," "),","," "),"-"," "),"/"," "),"("," "),")"," "),":"," "),";"," "),"_"," "),"–"," "),"?"," "),"!"," "),"*"," "),"["," "),"]"," "),"'"," "),"#"," "),"+"," "),"&amp;"," "),"\"," "))&amp;" "</f>
        <v>  </v>
      </c>
      <c r="BE231" s="61" t="str">
        <f aca="false">" "&amp;TRIM(SUBSTITUTE(SUBSTITUTE(SUBSTITUTE(SUBSTITUTE(SUBSTITUTE(SUBSTITUTE(SUBSTITUTE(SUBSTITUTE(SUBSTITUTE(SUBSTITUTE(SUBSTITUTE(SUBSTITUTE(SUBSTITUTE(SUBSTITUTE(SUBSTITUTE(SUBSTITUTE(SUBSTITUTE(SUBSTITUTE(SUBSTITUTE(SUBSTITUTE(SUBSTITUTE(SUBSTITUTE(SUBSTITUTE(SUBSTITUTE(LOWER(W231&amp;""),CHAR(10)," "),CHAR(13)," "),CHAR(9)," "),CHAR(160)," "),"."," "),","," "),"-"," "),"/"," "),"("," "),")"," "),":"," "),";"," "),"_"," "),"–"," "),"?"," "),"!"," "),"*"," "),"["," "),"]"," "),"'"," "),"#"," "),"+"," "),"&amp;"," "),"\"," "))&amp;" "</f>
        <v>  </v>
      </c>
      <c r="BF231" s="61" t="str">
        <f aca="false">" "&amp;TRIM(SUBSTITUTE(SUBSTITUTE(SUBSTITUTE(SUBSTITUTE(SUBSTITUTE(SUBSTITUTE(SUBSTITUTE(SUBSTITUTE(SUBSTITUTE(SUBSTITUTE(SUBSTITUTE(SUBSTITUTE(SUBSTITUTE(SUBSTITUTE(SUBSTITUTE(SUBSTITUTE(SUBSTITUTE(SUBSTITUTE(SUBSTITUTE(SUBSTITUTE(SUBSTITUTE(SUBSTITUTE(SUBSTITUTE(SUBSTITUTE(LOWER(AC231&amp;""),CHAR(10)," "),CHAR(13)," "),CHAR(9)," "),CHAR(160)," "),"."," "),","," "),"-"," "),"/"," "),"("," "),")"," "),":"," "),";"," "),"_"," "),"–"," "),"?"," "),"!"," "),"*"," "),"["," "),"]"," "),"'"," "),"#"," "),"+"," "),"&amp;"," "),"\"," "))&amp;" "</f>
        <v>  </v>
      </c>
      <c r="BG231" s="61" t="n">
        <f aca="false">IFERROR(IF(AND(TRIM(U231)="Pass",SUMPRODUCT((LEN(BC231)-LEN(SUBSTITUTE(BC231," "&amp;L_ResultBad&amp;" "," ")))/(LEN(L_ResultBad)+1))&gt;SUMPRODUCT((LEN(BC231)-LEN(SUBSTITUTE(BC231," "&amp;L_NegPhrase&amp;" "," ")))/(LEN(L_NegPhrase)+1))),1,0),0)</f>
        <v>0</v>
      </c>
      <c r="BH231" s="61" t="n">
        <f aca="false">IFERROR(IF(SUMPRODUCT((LEN(BC231)-LEN(SUBSTITUTE(BC231," "&amp;L_Pending&amp;" "," ")))/(LEN(L_Pending)+1))&gt;SUMPRODUCT((LEN(BC231)-LEN(SUBSTITUTE(BC231," "&amp;L_PendNeg&amp;" "," ")))/(LEN(L_PendNeg)+1))+SUMPRODUCT((LEN(BC231)-LEN(SUBSTITUTE(BC231," "&amp;L_PendPrep&amp;" "," ")))/(LEN(L_PendPrep)+1)),1,0),1)</f>
        <v>0</v>
      </c>
      <c r="BI231" s="61" t="n">
        <f aca="false">IFERROR(IF(SUMPRODUCT((LEN(BD231)-LEN(SUBSTITUTE(BD231," "&amp;L_PendStrict&amp;" "," ")))/(LEN(L_PendStrict)+1))&gt;SUMPRODUCT((LEN(BD231)-LEN(SUBSTITUTE(BD231," "&amp;L_PendNeg&amp;" "," ")))/(LEN(L_PendNeg)+1)),1,0),1)</f>
        <v>0</v>
      </c>
      <c r="BJ231" s="61" t="n">
        <f aca="false">IFERROR(IF(SUMPRODUCT((LEN(BE231)-LEN(SUBSTITUTE(BE231," "&amp;L_Pending&amp;" "," ")))/(LEN(L_Pending)+1))&gt;SUMPRODUCT((LEN(BE231)-LEN(SUBSTITUTE(BE231," "&amp;L_PendNeg&amp;" "," ")))/(LEN(L_PendNeg)+1))+SUMPRODUCT((LEN(BE231)-LEN(SUBSTITUTE(BE231," "&amp;L_PendPrep&amp;" "," ")))/(LEN(L_PendPrep)+1)),1,0),1)</f>
        <v>0</v>
      </c>
      <c r="BK231" s="61" t="n">
        <f aca="false">IFERROR(IF(SUMPRODUCT((LEN(BF231)-LEN(SUBSTITUTE(BF231," "&amp;L_PendStrict&amp;" "," ")))/(LEN(L_PendStrict)+1))&gt;SUMPRODUCT((LEN(BF231)-LEN(SUBSTITUTE(BF231," "&amp;L_PendNeg&amp;" "," ")))/(LEN(L_PendNeg)+1)),1,0),1)</f>
        <v>0</v>
      </c>
      <c r="BL231" s="61" t="n">
        <f aca="false">IF(ISNA(MATCH(TRIM(S231),L_EvidenceType,0)),0,BZ231)</f>
        <v>0</v>
      </c>
      <c r="BM231" s="61" t="str">
        <f aca="false">SUBSTITUTE(SUBSTITUTE(SUBSTITUTE(SUBSTITUTE(SUBSTITUTE(SUBSTITUTE(SUBSTITUTE(SUBSTITUTE(SUBSTITUTE(LOWER(Z231&amp;""),"1","0"),"2","0"),"3","0"),"4","0"),"5","0"),"6","0"),"7","0"),"8","0"),"9","0")</f>
        <v/>
      </c>
      <c r="BN231" s="61" t="str">
        <f aca="false">SUBSTITUTE(SUBSTITUTE(SUBSTITUTE(SUBSTITUTE(SUBSTITUTE(SUBSTITUTE(SUBSTITUTE(SUBSTITUTE(SUBSTITUTE(SUBSTITUTE(SUBSTITUTE(SUBSTITUTE(SUBSTITUTE(SUBSTITUTE(SUBSTITUTE(SUBSTITUTE(SUBSTITUTE(SUBSTITUTE(SUBSTITUTE(SUBSTITUTE(SUBSTITUTE(SUBSTITUTE(SUBSTITUTE(SUBSTITUTE(SUBSTITUTE(BM231,"b","a"),"c","a"),"d","a"),"e","a"),"f","a"),"g","a"),"h","a"),"i","a"),"j","a"),"k","a"),"l","a"),"m","a"),"n","a"),"o","a"),"p","a"),"q","a"),"r","a"),"s","a"),"t","a"),"u","a"),"v","a"),"w","a"),"x","a"),"y","a"),"z","a")</f>
        <v/>
      </c>
      <c r="BO231" s="61" t="str">
        <f aca="false">SUBSTITUTE(SUBSTITUTE(SUBSTITUTE(SUBSTITUTE(SUBSTITUTE(SUBSTITUTE(SUBSTITUTE(SUBSTITUTE(SUBSTITUTE(LOWER(W231&amp;""),"1","0"),"2","0"),"3","0"),"4","0"),"5","0"),"6","0"),"7","0"),"8","0"),"9","0")</f>
        <v/>
      </c>
      <c r="BP231" s="61" t="str">
        <f aca="false">SUBSTITUTE(SUBSTITUTE(SUBSTITUTE(SUBSTITUTE(SUBSTITUTE(SUBSTITUTE(SUBSTITUTE(SUBSTITUTE(SUBSTITUTE(SUBSTITUTE(SUBSTITUTE(SUBSTITUTE(SUBSTITUTE(SUBSTITUTE(SUBSTITUTE(SUBSTITUTE(SUBSTITUTE(SUBSTITUTE(SUBSTITUTE(SUBSTITUTE(SUBSTITUTE(SUBSTITUTE(SUBSTITUTE(SUBSTITUTE(SUBSTITUTE(BO231,"b","a"),"c","a"),"d","a"),"e","a"),"f","a"),"g","a"),"h","a"),"i","a"),"j","a"),"k","a"),"l","a"),"m","a"),"n","a"),"o","a"),"p","a"),"q","a"),"r","a"),"s","a"),"t","a"),"u","a"),"v","a"),"w","a"),"x","a"),"y","a"),"z","a")</f>
        <v/>
      </c>
      <c r="BQ231" s="61" t="n">
        <f aca="false">IFERROR(IF(AND(ISERROR(SEARCH(" mh"," "&amp;LOWER(W231))),ISNA(MATCH(LEFT(TRIM(BP231),255),{"0000a","000a","00a","0000aa","000aa","00aa","0aa","0000aaa","000aaa","00a00","0a00","0000-0000","00:00","a00","a0","00.00.0000","00/00/0000","00-00-0000","0000-00-00","0000/00/00","0000.00.00","00.00.00","00/00/00","00-00-00","0.00.0000","0/00/0000","0-00-0000"},0)),ISNA(MATCH(LEFT(TRIM(CA231),255),{"0000a","000a","00a","0000aa","000aa","00aa","0aa","0000aaa","000aaa","00a00","0a00","0000-0000","00:00","a00","a0","00.00.0000","00/00/0000","00-00-0000","0000-00-00","0000/00/00","0000.00.00","00.00.00","00/00/00","00-00-00","0.00.0000","0/00/0000","0-00-0000"},0)),LEN(CB231)&gt;=3,NOT(OR(SUBSTITUTE(CB231,"0","")="",AND(LEN(CB231)&gt;=4,CB231=REPT(LEFT(CB231),LEN(CB231))),ISNUMBER(MATCH(CB231,{"123","1234","12345","123456","1234567","12345678","0123","01234","012345","98765","987654","54321"},0)),AND(LEN(CB231)=8,LEFT(CB231,3)="202"))),OR(AND((LEN(CA231)-LEN(SUBSTITUTE(CA231,"a","")))&gt;=1,SUMPRODUCT(--ISNUMBER(SEARCH({"a0","a-0","a_0","a/0","a.0","a#0","0a","0-a","0_a","0/a"},BP231)))&gt;0),ISNUMBER(SEARCH("000000",BP231)))),1,0),0)</f>
        <v>0</v>
      </c>
      <c r="BR231" s="61" t="n">
        <f aca="false">IFERROR(LEN(SUBSTITUTE(CC231," ",""))-SUMPRODUCT((LEN(CC231)-LEN(SUBSTITUTE(CC231," "&amp;L_Role&amp;" "," ")))/(LEN(L_Role)+1)*LEN(L_Role)),0)</f>
        <v>0</v>
      </c>
      <c r="BS231" s="61" t="n">
        <f aca="false">IFERROR(LEN(SUBSTITUTE(CD231," ",""))-SUMPRODUCT((LEN(CD231)-LEN(SUBSTITUTE(CD231," "&amp;L_Role&amp;" "," ")))/(LEN(L_Role)+1)*LEN(L_Role)),0)</f>
        <v>0</v>
      </c>
      <c r="BT2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231,"revision",""),"version",""),"jan",""),"feb",""),"mar",""),"apr",""),"may",""),"jun",""),"jul",""),"aug",""),"sep",""),"oct",""),"nov",""),"dec",""),"utc",""),"gmt",""),"myt",""),"bst",""),"rev",""),"ver",""),"b","a"),"c","a"),"d","a"),"e","a"),"f","a"),"g","a"),"h","a"),"i","a"),"j","a"),"k","a"),"l","a"),"m","a"),"n","a"),"o","a"),"p","a"),"q","a"),"r","a"),"s","a"),"t","a"),"u","a"),"v","a"),"w","a"),"x","a"),"y","a"),"z","a")</f>
        <v/>
      </c>
      <c r="BU231" s="61" t="str">
        <f aca="false">SUBSTITUTE(SUBSTITUTE(SUBSTITUTE(SUBSTITUTE(SUBSTITUTE(SUBSTITUTE(SUBSTITUTE(SUBSTITUTE(SUBSTITUTE(SUBSTITUTE(LEFT(BM231,FIND("0",BM231&amp;"0")-1),"-",""),"_",""),"/",""),".",""),"#",""),"\\",""),":","")," ",""),"(",""),")","")</f>
        <v/>
      </c>
      <c r="BV231" s="61" t="n">
        <f aca="false">0</f>
        <v>0</v>
      </c>
      <c r="BW2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231&amp;""),"a",""),"b",""),"c",""),"d",""),"e",""),"f",""),"g",""),"h",""),"i",""),"j",""),"k",""),"l",""),"m",""),"n",""),"o",""),"p",""),"q",""),"r",""),"s",""),"t",""),"u",""),"v",""),"w",""),"x",""),"y",""),"z",""),"-",""),"_",""),"/",""),".",""),"#",""),"\\",""),":","")," ",""),"(",""),")","")</f>
        <v/>
      </c>
      <c r="BX231" s="61" t="str">
        <f aca="false">SUBSTITUTE(SUBSTITUTE(SUBSTITUTE(SUBSTITUTE(SUBSTITUTE(SUBSTITUTE(SUBSTITUTE(SUBSTITUTE(SUBSTITUTE(SUBSTITUTE(SUBSTITUTE(BM231,"0",""),"-",""),"_",""),"/",""),".",""),"#",""),"\\",""),":","")," ",""),"(",""),")","")</f>
        <v/>
      </c>
      <c r="BY231" s="62" t="n">
        <f aca="false">Q231-T12EarlyH/24</f>
        <v>46303.4166666667</v>
      </c>
      <c r="BZ231" s="61" t="n">
        <f aca="false">IFERROR(IF(IF(TRIM(S231)="Link / file path",AND(LEN(TRIM(Z231))&gt;=5,SUMPRODUCT(--ISNUMBER(SEARCH({"http","www.","\\",":\",".pdf",".jpg",".jpeg",".png",".heic",".xls",".doc",".msg",".eml",".ppt",".txt",".zip"},Z231)))&gt;0),AND(ISERROR(FIND(" ",TRIM(Z231))),NOT(OR(SUMPRODUCT(--ISNUMBER(FIND({",",";","&amp;","+"},Z231)))&gt;0,SUMPRODUCT(--ISNUMBER(SEARCH({"0/aa","0\\aa"},BN231)))&gt;0)),NOT(SUMPRODUCT(--ISNUMBER(SEARCH({"http","www.","\\",":\",".pdf",".jpg",".jpeg",".png",".heic",".xls",".doc",".msg",".eml",".ppt",".txt",".zip"},Z231)))&gt;0),NOT(LOWER(TRIM(Z231))=LOWER(Flights!$F$11)),ISNA(MATCH(BU231,{"mh","rev","revision","ver","version","v","r","a","b","seat","tray","row","gate","bay","stand","page","pg","item","line","no","cart","galley","flight","flt","table","box","bag","oven","etd","eta","std","sta","atd","ata","qty","pax","x","time","tel","ph","mob","day","wk","week","utc","gmt","myt","lt"},0)),NOT(OR(ISNUMBER(MATCH(LEFT(BN231,255),{"0000a","000a","00a","0000aa","000aa","00aa","0aa","0000aaa","000aaa","00a00","0a00","0000-0000","00:00","a00","a0","00.00.0000","00/00/0000","00-00-0000","0000-00-00","0000/00/00","0000.00.00","00.00.00","00/00/00","00-00-00","0.00.0000","0/00/0000","0-00-0000"},0)),ISNUMBER(MATCH(LEFT(BT231,255),{"0000a","000a","00a","0000aa","000aa","00aa","0aa","0000aaa","000aaa","00a00","0a00","0000-0000","00:00","a00","a0","00.00.0000","00/00/0000","00-00-0000","0000-00-00","0000/00/00","0000.00.00","00.00.00","00/00/00","00-00-00","0.00.0000","0/00/0000","0-00-0000"},0)))),NOT(OR(AND(BW231&lt;&gt;"",SUBSTITUTE(BW231,"0","")=""),AND(LEN(BW231)&gt;=4,BW231=REPT(LEFT(BW231),LEN(BW231))),ISNUMBER(MATCH(BW231,{"123","1234","12345","123456","1234567","12345678","0123","01234","012345","98765","987654","54321"},0)),ISNUMBER(MATCH(BX231,{"x","xx","xxx","xxxx","xxxxx","abc","abcd","nil","na","nan","test","tbc","tba","tbd","dummy","sample","example","eg","zz","zzz","none","null","xyz","qwe","asd","id","ref"},0)),AND(LEN(BW231)=8,BX231="",OR(LEFT(BW231,3)="202",ISNUMBER(MATCH(RIGHT(BW231,4),{"2025","2026","2027"},0)))))),OR(AND((LEN(BT231)-LEN(SUBSTITUTE(BT231,"a","")))&gt;=1,(LEN(BN231)-LEN(SUBSTITUTE(BN231,"0","")))&gt;=2,SUMPRODUCT(--ISNUMBER(SEARCH({"a0","a-0","a_0","a/0","a.0","a#0","0a","0-a","0_a","0/a"},BN231)))&gt;0),AND((LEN(BN231)-LEN(SUBSTITUTE(BN231,"a","")))=0,(LEN(BN231)-LEN(SUBSTITUTE(BN231,"0","")))&gt;=5)))),1,0),0)</f>
        <v>0</v>
      </c>
      <c r="CA2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231,"revision",""),"version",""),"jan",""),"feb",""),"mar",""),"apr",""),"may",""),"jun",""),"jul",""),"aug",""),"sep",""),"oct",""),"nov",""),"dec",""),"utc",""),"gmt",""),"myt",""),"bst",""),"rev",""),"ver",""),"b","a"),"c","a"),"d","a"),"e","a"),"f","a"),"g","a"),"h","a"),"i","a"),"j","a"),"k","a"),"l","a"),"m","a"),"n","a"),"o","a"),"p","a"),"q","a"),"r","a"),"s","a"),"t","a"),"u","a"),"v","a"),"w","a"),"x","a"),"y","a"),"z","a")</f>
        <v/>
      </c>
      <c r="CB2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231&amp;""),"a",""),"b",""),"c",""),"d",""),"e",""),"f",""),"g",""),"h",""),"i",""),"j",""),"k",""),"l",""),"m",""),"n",""),"o",""),"p",""),"q",""),"r",""),"s",""),"t",""),"u",""),"v",""),"w",""),"x",""),"y",""),"z",""),"-",""),"_",""),"/",""),".",""),"#",""),"\\",""),":","")," ",""),"(",""),")","")</f>
        <v/>
      </c>
      <c r="CC231" s="0" t="str">
        <f aca="false">" "&amp;TRIM(SUBSTITUTE(SUBSTITUTE(SUBSTITUTE(SUBSTITUTE(SUBSTITUTE(SUBSTITUTE(SUBSTITUTE(SUBSTITUTE(SUBSTITUTE(SUBSTITUTE(SUBSTITUTE(SUBSTITUTE(SUBSTITUTE(SUBSTITUTE(SUBSTITUTE(SUBSTITUTE(SUBSTITUTE(SUBSTITUTE(SUBSTITUTE(SUBSTITUTE(SUBSTITUTE(SUBSTITUTE(SUBSTITUTE(SUBSTITUTE(LOWER(T231&amp;""),CHAR(10)," "),CHAR(13)," "),CHAR(9)," "),CHAR(160)," "),"."," "),","," "),"-"," "),"/"," "),"("," "),")"," "),":"," "),";"," "),"_"," "),"–"," "),"?"," "),"!"," "),"*"," "),"["," "),"]"," "),"'"," "),"#"," "),"+"," "),"&amp;"," "),"\"," "))&amp;" "</f>
        <v>  </v>
      </c>
      <c r="CD231" s="0" t="str">
        <f aca="false">" "&amp;TRIM(SUBSTITUTE(SUBSTITUTE(SUBSTITUTE(SUBSTITUTE(SUBSTITUTE(SUBSTITUTE(SUBSTITUTE(SUBSTITUTE(SUBSTITUTE(SUBSTITUTE(SUBSTITUTE(SUBSTITUTE(SUBSTITUTE(SUBSTITUTE(SUBSTITUTE(SUBSTITUTE(SUBSTITUTE(SUBSTITUTE(SUBSTITUTE(SUBSTITUTE(SUBSTITUTE(SUBSTITUTE(SUBSTITUTE(SUBSTITUTE(LOWER(AE231&amp;""),CHAR(10)," "),CHAR(13)," "),CHAR(9)," "),CHAR(160)," "),"."," "),","," "),"-"," "),"/"," "),"("," "),")"," "),":"," "),";"," "),"_"," "),"–"," "),"?"," "),"!"," "),"*"," "),"["," "),"]"," "),"'"," "),"#"," "),"+"," "),"&amp;"," "),"\"," "))&amp;" "</f>
        <v>  </v>
      </c>
      <c r="CE231" s="68" t="n">
        <f aca="false">IFERROR(IF(AND(LEN(AU231)&gt;0,LEN(AU231)=LEN(AX231),OR(TRIM(MID(SUBSTITUTE(TRIM(CC231)," ",REPT(" ",60)),1,60))="",ISNUMBER(SEARCH(" "&amp;TRIM(MID(SUBSTITUTE(TRIM(CC231)," ",REPT(" ",60)),1,60))&amp;" ",CD231))),OR(TRIM(MID(SUBSTITUTE(TRIM(CC231)," ",REPT(" ",60)),61,60))="",ISNUMBER(SEARCH(" "&amp;TRIM(MID(SUBSTITUTE(TRIM(CC231)," ",REPT(" ",60)),61,60))&amp;" ",CD231))),OR(TRIM(MID(SUBSTITUTE(TRIM(CC231)," ",REPT(" ",60)),121,60))="",ISNUMBER(SEARCH(" "&amp;TRIM(MID(SUBSTITUTE(TRIM(CC231)," ",REPT(" ",60)),121,60))&amp;" ",CD231)))),1,0),0)</f>
        <v>0</v>
      </c>
      <c r="CG231" s="68" t="n">
        <f aca="false">IFERROR(LEN(SUBSTITUTE(BF231," ",""))-SUMPRODUCT((LEN(BF231)-LEN(SUBSTITUTE(BF231," "&amp;L_NAFiller&amp;" "," ")))/(LEN(L_NAFiller)+1)*LEN(L_NAFiller)),0)</f>
        <v>0</v>
      </c>
    </row>
    <row r="232" customFormat="false" ht="78.75" hidden="false" customHeight="true" outlineLevel="0" collapsed="false">
      <c r="A232" s="57" t="s">
        <v>796</v>
      </c>
      <c r="B232" s="57" t="s">
        <v>235</v>
      </c>
      <c r="C232" s="57" t="str">
        <f aca="false">Flights!$F$11</f>
        <v>MH0003</v>
      </c>
      <c r="D232" s="58" t="n">
        <f aca="false">Flights!$D$11</f>
        <v>46304</v>
      </c>
      <c r="E232" s="57" t="str">
        <f aca="false">Flights!$G$11&amp;"-"&amp;Flights!$H$11</f>
        <v>LHR-KUL</v>
      </c>
      <c r="F232" s="57" t="str">
        <f aca="false">Flights!$K$11</f>
        <v>BC</v>
      </c>
      <c r="G232" s="57" t="s">
        <v>420</v>
      </c>
      <c r="H232" s="57" t="s">
        <v>378</v>
      </c>
      <c r="I232" s="57" t="s">
        <v>440</v>
      </c>
      <c r="J232" s="57" t="s">
        <v>729</v>
      </c>
      <c r="K232" s="67" t="s">
        <v>730</v>
      </c>
      <c r="L232" s="67" t="s">
        <v>731</v>
      </c>
      <c r="M232" s="67" t="s">
        <v>187</v>
      </c>
      <c r="N232" s="67" t="s">
        <v>444</v>
      </c>
      <c r="O232" s="67" t="s">
        <v>797</v>
      </c>
      <c r="P232" s="57" t="s">
        <v>187</v>
      </c>
      <c r="Q232" s="59" t="n">
        <f aca="false">ROUND((MIN(Flights!$AE$11,Flights!$AY$11))*1440,0)/1440</f>
        <v>46303.6006944444</v>
      </c>
      <c r="R232" s="59" t="n">
        <f aca="false">Q232+(IF(AND(INDEX(TZ_DSTS,MATCH(P232,TZ_STN,0))&lt;&gt;"",Q232&gt;=INDEX(TZ_DSTS,MATCH(P232,TZ_STN,0)),Q232&lt;INDEX(TZ_DSTE,MATCH(P232,TZ_STN,0))),INDEX(TZ_DST,MATCH(P232,TZ_STN,0)),INDEX(TZ_STD,MATCH(P232,TZ_STN,0))))/24</f>
        <v>46303.9340277778</v>
      </c>
      <c r="S232" s="60"/>
      <c r="T232" s="60"/>
      <c r="U232" s="60"/>
      <c r="V232" s="60"/>
      <c r="W232" s="61"/>
      <c r="X232" s="60"/>
      <c r="Y232" s="60"/>
      <c r="Z232" s="60"/>
      <c r="AA232" s="60"/>
      <c r="AB232" s="60"/>
      <c r="AC232" s="60"/>
      <c r="AD232" s="66"/>
      <c r="AE232" s="60"/>
      <c r="AF232" s="61" t="str">
        <f aca="false">IF(AND(ISNUMBER(X232),ISNUMBER(Y232)),Y232-X232,"")</f>
        <v/>
      </c>
      <c r="AG232" s="62" t="str">
        <f aca="false">IF(ISNUMBER(AD232),AD232-(IF(AND(INDEX(TZ_DSTS,MATCH(P232,TZ_STN,0))&lt;&gt;"",(AD232-INDEX(TZ_STD,MATCH(P232,TZ_STN,0))/24)&gt;=INDEX(TZ_DSTS,MATCH(P232,TZ_STN,0)),(AD232-INDEX(TZ_STD,MATCH(P232,TZ_STN,0))/24)&lt;INDEX(TZ_DSTE,MATCH(P232,TZ_STN,0))),INDEX(TZ_DST,MATCH(P232,TZ_STN,0)),INDEX(TZ_STD,MATCH(P232,TZ_STN,0))))/24,"")</f>
        <v/>
      </c>
      <c r="AH232" s="65" t="str">
        <f aca="false">IFERROR(IF(N232="N/A – rule",IF(OR(TRIM(U232)="",TRIM(U232)="N/A",TRIM(U232)="Not started"),"N/A – RULE","INVALID – this check does not apply to this aircraft: clear the status (or correct the fleet on Flights)"),IF(TRIM(U232)="N/A",IF(AT232=0,"INVALID – N/A not permitted for this check",IF(AND(TRIM(AB232)&lt;&gt;"",TRIM(AB232)&lt;&gt;"Closed"),"INVALID – corrective action still open",IF(AND(NOT(OR(LEN(AZ232)&lt;15,ISNUMBER(MATCH(AZ232,L_Placeholder,0)))),BK232=0,CG232&gt;=8,NOT(OR(LEN(AU232)&lt;2,ISNUMBER(MATCH(AU232,L_Placeholder,0)))),BR232&gt;=3,NOT(OR(LEN(AX232)&lt;2,ISNUMBER(MATCH(AX232,L_Placeholder,0)))),BS232&gt;=3,TRIM(AE232)&lt;&gt;TRIM(T232),AX232&lt;&gt;AU232,CE232=0),"N/A – JUSTIFIED","INVALID – N/A needs a real, settled reason (not 'not applicable' / 'as above' / TBC), a named PIC and a different named verifier"))),IF(OR(TRIM(U232)="Pass",TRIM(U232)="Pass after CA"),IF(NOT(ISNUMBER(AD232)),"INVALID – completion time missing",IF(OR(OR(LEN(AU232)&lt;2,ISNUMBER(MATCH(AU232,L_Placeholder,0))),BR232&lt;3),"INVALID – PIC missing or not a named person (a role such as QA / CSM is not a name)",IF(OR(LEN(AV232)&lt;2,ISNUMBER(MATCH(AV232,L_Placeholder,0))),"INVALID – result / assessment missing",IF(OR(OR(LEN(AW232)&lt;3,ISNUMBER(MATCH(AW232,L_Placeholder,0))),SUMPRODUCT(--ISNUMBER(SEARCH(" "&amp;L_EvidencePhrase&amp;" ",BD232)))&gt;0,BI232=1),"INVALID – evidence missing, placeholder or not yet on file",IF(ISNA(MATCH(TRIM(S232),L_EvidenceType,0)),"INVALID – choose the evidence type from the list (column S)",IF(BL232=0,"INVALID – evidence ID must be the record's own ID only (e.g. SF-2210, IMG_2231, 1045521); a link / file name needs type 'Link / file path'",IF(OR(OR(LEN(AX232)&lt;2,ISNUMBER(MATCH(AX232,L_Placeholder,0))),BS232&lt;3),"INVALID – verifier missing or not a named person (a role such as QA / CSM is not a name)",IF(OR(AX232=AU232,CE232=1,AND(LEN(AU232)&gt;=4,ISNUMBER(SEARCH(AU232,AX232))),AND(LEN(AX232)&gt;=4,ISNUMBER(SEARCH(AX232,AU232)))),"INVALID – verifier must be a different, named person (not the PIC or a role)",IF(BH232=1,"INVALID – result not yet available (awaiting / TBC)",IF(BG232=1,"INVALID – result describes a problem: record Fail, then Pass after CA (or reword if it is not a problem)",IF(BV232=1,"INVALID – wording says not on board: an on-board confirmation needs the item loaded",IF(AND(AQ232=1,OR(OR(LEN(AY232)&lt;3,ISNUMBER(MATCH(AY232,L_Placeholder,0))),BJ232=1,BQ232=0)),"INVALID – batch ID missing, placeholder or not an ID (e.g. PASB-261008-BC-017)",IF(AND(AR232=1,OR(NOT(ISNUMBER(X232)),NOT(ISNUMBER(Y232)))),"INVALID – expected/actual qty missing",IF(AND(AR232=1,OR(X232&lt;=0,Y232&lt;0)),"INVALID – expected qty must be above 0 and actual not negative",IF(BB232&lt;&gt;"",BB232,IF(AND(AS232=1,Documents!$J$11&lt;&gt;"ON FILE"),"INVALID – GLD not on file (Documents sheet)",IF(AND(AS232=2,Documents!$O$11&lt;&gt;"ON FILE"),"INVALID – menu checklist not on file (Documents sheet)",IF(AND(AS232=3,NOT(ISNUMBER(Flights!$AX$11))),"INVALID – enter carrying flight KUL departure (Flights AX)",IF(AND(AS232=3,OR(Flights!$AZ$11&gt;Flights!$AA$11,Flights!$AX$11&lt;Flights!$AA$11-3)),"INVALID – carrying flight (Flights AX) cannot arrive before this leg's STD, or is over 3 days early",IF(AG232&gt;AsOfUTC,"INVALID – completion time is in the future",IF(AND(ISNUMBER(BY232),AG232&lt;BY232),IF(H232="Physical uplift","INVALID – before uplift window (cannot confirm loading)","INVALID – before valid window"),IF(AG232&gt;Flights!$AA$11,"INVALID – completed after departure (cannot establish readiness)",IF(AND(H232="Preparation",AG232&gt;=Flights!$AY$11+UpliftWindowH/24),"INVALID – completed after the carrying flight left KUL",IF(AND(H232="Physical uplift",AG232&gt;Q232),"INVALID – recorded after the loading flight departed",IF(AG232&gt;Q232,"COMPLETE – LATE","COMPLETE"))))))))))))))))))))))))),IF(TRIM(U232)="Fail","FAIL – DISCREPANCY",IF(AND(TRIM(U232)&lt;&gt;"",TRIM(U232)&lt;&gt;"Not started",TRIM(U232)&lt;&gt;"In progress"),"INVALID – unrecognised status (use the list)",IF(AsOfUTC&gt;Q232,"OVERDUE",IF(N232="Clarification required","OPEN – CLARIFICATION","OPEN"))))))),"INVALID – error value in an input cell")</f>
        <v>OPEN – CLARIFICATION</v>
      </c>
      <c r="AI232" s="61" t="n">
        <f aca="false">IF(OR(AH232="N/A – RULE",AH232="N/A – JUSTIFIED"),0,1)</f>
        <v>1</v>
      </c>
      <c r="AJ232" s="61" t="n">
        <f aca="false">IF(LEFT(AH232,8)="COMPLETE",1,0)</f>
        <v>0</v>
      </c>
      <c r="AK232" s="61" t="n">
        <f aca="false">IF(AND(AI232=1,AJ232=0,AsOfUTC&gt;Q232),1,0)</f>
        <v>0</v>
      </c>
      <c r="AL232" s="61" t="n">
        <f aca="false">IFERROR(IF(AND(AI232=1,OR(TRIM(U232)="Fail",AND(TRIM(AB232)&lt;&gt;"",TRIM(AB232)&lt;&gt;"Closed"),AND(ISNUMBER(AF232),AF232&lt;&gt;0,TRIM(U232)&lt;&gt;"Pass after CA"))),1,0),1)</f>
        <v>0</v>
      </c>
      <c r="AM232" s="61" t="n">
        <f aca="false">IF(LEFT(AH232,7)="INVALID",1,0)</f>
        <v>0</v>
      </c>
      <c r="AN232" s="61" t="n">
        <f aca="false">IF(AND(N232="Clarification required",AI232=1,AJ232=0),1,0)</f>
        <v>1</v>
      </c>
      <c r="AO232" s="61" t="str">
        <f aca="false">IF(AK232=1,SUM(AK$5:AK232),"")</f>
        <v/>
      </c>
      <c r="AP232" s="61" t="str">
        <f aca="false">IF(AL232=1,SUM(AL$5:AL232),"")</f>
        <v/>
      </c>
      <c r="AQ232" s="61" t="n">
        <v>0</v>
      </c>
      <c r="AR232" s="61" t="n">
        <v>0</v>
      </c>
      <c r="AS232" s="61" t="n">
        <v>0</v>
      </c>
      <c r="AT232" s="61" t="n">
        <v>1</v>
      </c>
      <c r="AU232" s="61" t="str">
        <f aca="false">SUBSTITUTE(SUBSTITUTE(SUBSTITUTE(SUBSTITUTE(SUBSTITUTE(SUBSTITUTE(SUBSTITUTE(SUBSTITUTE(SUBSTITUTE(SUBSTITUTE(SUBSTITUTE(SUBSTITUTE(SUBSTITUTE(SUBSTITUTE(SUBSTITUTE(SUBSTITUTE(LOWER(T232&amp;""),CHAR(10),""),CHAR(13),""),CHAR(9),""),CHAR(160),"")," ",""),".",""),"-",""),"/",""),"?",""),"_",""),",",""),"[",""),"]",""),"(",""),")",""),"*","")</f>
        <v/>
      </c>
      <c r="AV232" s="61" t="str">
        <f aca="false">SUBSTITUTE(SUBSTITUTE(SUBSTITUTE(SUBSTITUTE(SUBSTITUTE(SUBSTITUTE(SUBSTITUTE(SUBSTITUTE(SUBSTITUTE(SUBSTITUTE(SUBSTITUTE(SUBSTITUTE(SUBSTITUTE(SUBSTITUTE(SUBSTITUTE(SUBSTITUTE(LOWER(V232&amp;""),CHAR(10),""),CHAR(13),""),CHAR(9),""),CHAR(160),"")," ",""),".",""),"-",""),"/",""),"?",""),"_",""),",",""),"[",""),"]",""),"(",""),")",""),"*","")</f>
        <v/>
      </c>
      <c r="AW232" s="61" t="str">
        <f aca="false">SUBSTITUTE(SUBSTITUTE(SUBSTITUTE(SUBSTITUTE(SUBSTITUTE(SUBSTITUTE(SUBSTITUTE(SUBSTITUTE(SUBSTITUTE(SUBSTITUTE(SUBSTITUTE(SUBSTITUTE(SUBSTITUTE(SUBSTITUTE(SUBSTITUTE(SUBSTITUTE(LOWER(Z232&amp;""),CHAR(10),""),CHAR(13),""),CHAR(9),""),CHAR(160),"")," ",""),".",""),"-",""),"/",""),"?",""),"_",""),",",""),"[",""),"]",""),"(",""),")",""),"*","")</f>
        <v/>
      </c>
      <c r="AX232" s="61" t="str">
        <f aca="false">SUBSTITUTE(SUBSTITUTE(SUBSTITUTE(SUBSTITUTE(SUBSTITUTE(SUBSTITUTE(SUBSTITUTE(SUBSTITUTE(SUBSTITUTE(SUBSTITUTE(SUBSTITUTE(SUBSTITUTE(SUBSTITUTE(SUBSTITUTE(SUBSTITUTE(SUBSTITUTE(LOWER(AE232&amp;""),CHAR(10),""),CHAR(13),""),CHAR(9),""),CHAR(160),"")," ",""),".",""),"-",""),"/",""),"?",""),"_",""),",",""),"[",""),"]",""),"(",""),")",""),"*","")</f>
        <v/>
      </c>
      <c r="AY232" s="61" t="str">
        <f aca="false">SUBSTITUTE(SUBSTITUTE(SUBSTITUTE(SUBSTITUTE(SUBSTITUTE(SUBSTITUTE(SUBSTITUTE(SUBSTITUTE(SUBSTITUTE(SUBSTITUTE(SUBSTITUTE(SUBSTITUTE(SUBSTITUTE(SUBSTITUTE(SUBSTITUTE(SUBSTITUTE(LOWER(W232&amp;""),CHAR(10),""),CHAR(13),""),CHAR(9),""),CHAR(160),"")," ",""),".",""),"-",""),"/",""),"?",""),"_",""),",",""),"[",""),"]",""),"(",""),")",""),"*","")</f>
        <v/>
      </c>
      <c r="AZ232" s="61" t="str">
        <f aca="false">SUBSTITUTE(SUBSTITUTE(SUBSTITUTE(SUBSTITUTE(SUBSTITUTE(SUBSTITUTE(SUBSTITUTE(SUBSTITUTE(SUBSTITUTE(SUBSTITUTE(SUBSTITUTE(SUBSTITUTE(SUBSTITUTE(SUBSTITUTE(SUBSTITUTE(SUBSTITUTE(LOWER(AC232&amp;""),CHAR(10),""),CHAR(13),""),CHAR(9),""),CHAR(160),"")," ",""),".",""),"-",""),"/",""),"?",""),"_",""),",",""),"[",""),"]",""),"(",""),")",""),"*","")</f>
        <v/>
      </c>
      <c r="BA232" s="61" t="str">
        <f aca="false">SUBSTITUTE(SUBSTITUTE(SUBSTITUTE(SUBSTITUTE(SUBSTITUTE(SUBSTITUTE(SUBSTITUTE(SUBSTITUTE(SUBSTITUTE(SUBSTITUTE(SUBSTITUTE(SUBSTITUTE(SUBSTITUTE(SUBSTITUTE(SUBSTITUTE(SUBSTITUTE(LOWER(AA232&amp;""),CHAR(10),""),CHAR(13),""),CHAR(9),""),CHAR(160),"")," ",""),".",""),"-",""),"/",""),"?",""),"_",""),",",""),"[",""),"]",""),"(",""),")",""),"*","")</f>
        <v/>
      </c>
      <c r="BB232" s="61" t="str">
        <f aca="false">IF(AND(TRIM(U232)="Pass",ISNUMBER(AF232)),IF(AF232&lt;&gt;0,"INVALID – qty variance: use Fail or Pass after CA",""),"")&amp;IF(AND(TRIM(U232)="Pass after CA",ISNUMBER(AF232)),IF(AF232&lt;&gt;0,"INVALID – after the corrective action the actual qty must equal expected (update Actual)",""),"")&amp;IF(AND(TRIM(U232)="Pass",TRIM(AB232)&lt;&gt;"",TRIM(AB232)&lt;&gt;"Closed"),"INVALID – corrective action not closed: use Fail, then Pass after CA","")&amp;IF(AND(LEN(BA232)&gt;=2,ISNA(MATCH(LEFT(BA232,255),L_Placeholder,0)),TRIM(AB232)=""),"INVALID – CA status missing for the recorded corrective action","")&amp;IF(AND(TRIM(U232)="Pass after CA",OR(OR(LEN(BA232)&lt;5,ISNUMBER(MATCH(BA232,L_Placeholder,0))),TRIM(AB232)&lt;&gt;"Closed")),"INVALID – corrective action not recorded/closed","")</f>
        <v/>
      </c>
      <c r="BC232" s="61" t="str">
        <f aca="false">" "&amp;TRIM(SUBSTITUTE(SUBSTITUTE(SUBSTITUTE(SUBSTITUTE(SUBSTITUTE(SUBSTITUTE(SUBSTITUTE(SUBSTITUTE(SUBSTITUTE(SUBSTITUTE(SUBSTITUTE(SUBSTITUTE(SUBSTITUTE(SUBSTITUTE(SUBSTITUTE(SUBSTITUTE(SUBSTITUTE(SUBSTITUTE(SUBSTITUTE(SUBSTITUTE(SUBSTITUTE(SUBSTITUTE(SUBSTITUTE(SUBSTITUTE(LOWER(V232&amp;""),CHAR(10)," "),CHAR(13)," "),CHAR(9)," "),CHAR(160)," "),"."," "),","," "),"-"," "),"/"," "),"("," "),")"," "),":"," "),";"," "),"_"," "),"–"," "),"?"," "),"!"," "),"*"," "),"["," "),"]"," "),"'"," "),"#"," "),"+"," "),"&amp;"," "),"\"," "))&amp;" "</f>
        <v>  </v>
      </c>
      <c r="BD232" s="61" t="str">
        <f aca="false">" "&amp;TRIM(SUBSTITUTE(SUBSTITUTE(SUBSTITUTE(SUBSTITUTE(SUBSTITUTE(SUBSTITUTE(SUBSTITUTE(SUBSTITUTE(SUBSTITUTE(SUBSTITUTE(SUBSTITUTE(SUBSTITUTE(SUBSTITUTE(SUBSTITUTE(SUBSTITUTE(SUBSTITUTE(SUBSTITUTE(SUBSTITUTE(SUBSTITUTE(SUBSTITUTE(SUBSTITUTE(SUBSTITUTE(SUBSTITUTE(SUBSTITUTE(LOWER(Z232&amp;""),CHAR(10)," "),CHAR(13)," "),CHAR(9)," "),CHAR(160)," "),"."," "),","," "),"-"," "),"/"," "),"("," "),")"," "),":"," "),";"," "),"_"," "),"–"," "),"?"," "),"!"," "),"*"," "),"["," "),"]"," "),"'"," "),"#"," "),"+"," "),"&amp;"," "),"\"," "))&amp;" "</f>
        <v>  </v>
      </c>
      <c r="BE232" s="61" t="str">
        <f aca="false">" "&amp;TRIM(SUBSTITUTE(SUBSTITUTE(SUBSTITUTE(SUBSTITUTE(SUBSTITUTE(SUBSTITUTE(SUBSTITUTE(SUBSTITUTE(SUBSTITUTE(SUBSTITUTE(SUBSTITUTE(SUBSTITUTE(SUBSTITUTE(SUBSTITUTE(SUBSTITUTE(SUBSTITUTE(SUBSTITUTE(SUBSTITUTE(SUBSTITUTE(SUBSTITUTE(SUBSTITUTE(SUBSTITUTE(SUBSTITUTE(SUBSTITUTE(LOWER(W232&amp;""),CHAR(10)," "),CHAR(13)," "),CHAR(9)," "),CHAR(160)," "),"."," "),","," "),"-"," "),"/"," "),"("," "),")"," "),":"," "),";"," "),"_"," "),"–"," "),"?"," "),"!"," "),"*"," "),"["," "),"]"," "),"'"," "),"#"," "),"+"," "),"&amp;"," "),"\"," "))&amp;" "</f>
        <v>  </v>
      </c>
      <c r="BF232" s="61" t="str">
        <f aca="false">" "&amp;TRIM(SUBSTITUTE(SUBSTITUTE(SUBSTITUTE(SUBSTITUTE(SUBSTITUTE(SUBSTITUTE(SUBSTITUTE(SUBSTITUTE(SUBSTITUTE(SUBSTITUTE(SUBSTITUTE(SUBSTITUTE(SUBSTITUTE(SUBSTITUTE(SUBSTITUTE(SUBSTITUTE(SUBSTITUTE(SUBSTITUTE(SUBSTITUTE(SUBSTITUTE(SUBSTITUTE(SUBSTITUTE(SUBSTITUTE(SUBSTITUTE(LOWER(AC232&amp;""),CHAR(10)," "),CHAR(13)," "),CHAR(9)," "),CHAR(160)," "),"."," "),","," "),"-"," "),"/"," "),"("," "),")"," "),":"," "),";"," "),"_"," "),"–"," "),"?"," "),"!"," "),"*"," "),"["," "),"]"," "),"'"," "),"#"," "),"+"," "),"&amp;"," "),"\"," "))&amp;" "</f>
        <v>  </v>
      </c>
      <c r="BG232" s="61" t="n">
        <f aca="false">IFERROR(IF(AND(TRIM(U232)="Pass",SUMPRODUCT((LEN(BC232)-LEN(SUBSTITUTE(BC232," "&amp;L_ResultBad&amp;" "," ")))/(LEN(L_ResultBad)+1))&gt;SUMPRODUCT((LEN(BC232)-LEN(SUBSTITUTE(BC232," "&amp;L_NegPhrase&amp;" "," ")))/(LEN(L_NegPhrase)+1))),1,0),0)</f>
        <v>0</v>
      </c>
      <c r="BH232" s="61" t="n">
        <f aca="false">IFERROR(IF(SUMPRODUCT((LEN(BC232)-LEN(SUBSTITUTE(BC232," "&amp;L_Pending&amp;" "," ")))/(LEN(L_Pending)+1))&gt;SUMPRODUCT((LEN(BC232)-LEN(SUBSTITUTE(BC232," "&amp;L_PendNeg&amp;" "," ")))/(LEN(L_PendNeg)+1))+SUMPRODUCT((LEN(BC232)-LEN(SUBSTITUTE(BC232," "&amp;L_PendPrep&amp;" "," ")))/(LEN(L_PendPrep)+1)),1,0),1)</f>
        <v>0</v>
      </c>
      <c r="BI232" s="61" t="n">
        <f aca="false">IFERROR(IF(SUMPRODUCT((LEN(BD232)-LEN(SUBSTITUTE(BD232," "&amp;L_PendStrict&amp;" "," ")))/(LEN(L_PendStrict)+1))&gt;SUMPRODUCT((LEN(BD232)-LEN(SUBSTITUTE(BD232," "&amp;L_PendNeg&amp;" "," ")))/(LEN(L_PendNeg)+1)),1,0),1)</f>
        <v>0</v>
      </c>
      <c r="BJ232" s="61" t="n">
        <f aca="false">IFERROR(IF(SUMPRODUCT((LEN(BE232)-LEN(SUBSTITUTE(BE232," "&amp;L_Pending&amp;" "," ")))/(LEN(L_Pending)+1))&gt;SUMPRODUCT((LEN(BE232)-LEN(SUBSTITUTE(BE232," "&amp;L_PendNeg&amp;" "," ")))/(LEN(L_PendNeg)+1))+SUMPRODUCT((LEN(BE232)-LEN(SUBSTITUTE(BE232," "&amp;L_PendPrep&amp;" "," ")))/(LEN(L_PendPrep)+1)),1,0),1)</f>
        <v>0</v>
      </c>
      <c r="BK232" s="61" t="n">
        <f aca="false">IFERROR(IF(SUMPRODUCT((LEN(BF232)-LEN(SUBSTITUTE(BF232," "&amp;L_PendStrict&amp;" "," ")))/(LEN(L_PendStrict)+1))&gt;SUMPRODUCT((LEN(BF232)-LEN(SUBSTITUTE(BF232," "&amp;L_PendNeg&amp;" "," ")))/(LEN(L_PendNeg)+1)),1,0),1)</f>
        <v>0</v>
      </c>
      <c r="BL232" s="61" t="n">
        <f aca="false">IF(ISNA(MATCH(TRIM(S232),L_EvidenceType,0)),0,BZ232)</f>
        <v>0</v>
      </c>
      <c r="BM232" s="61" t="str">
        <f aca="false">SUBSTITUTE(SUBSTITUTE(SUBSTITUTE(SUBSTITUTE(SUBSTITUTE(SUBSTITUTE(SUBSTITUTE(SUBSTITUTE(SUBSTITUTE(LOWER(Z232&amp;""),"1","0"),"2","0"),"3","0"),"4","0"),"5","0"),"6","0"),"7","0"),"8","0"),"9","0")</f>
        <v/>
      </c>
      <c r="BN232" s="61" t="str">
        <f aca="false">SUBSTITUTE(SUBSTITUTE(SUBSTITUTE(SUBSTITUTE(SUBSTITUTE(SUBSTITUTE(SUBSTITUTE(SUBSTITUTE(SUBSTITUTE(SUBSTITUTE(SUBSTITUTE(SUBSTITUTE(SUBSTITUTE(SUBSTITUTE(SUBSTITUTE(SUBSTITUTE(SUBSTITUTE(SUBSTITUTE(SUBSTITUTE(SUBSTITUTE(SUBSTITUTE(SUBSTITUTE(SUBSTITUTE(SUBSTITUTE(SUBSTITUTE(BM232,"b","a"),"c","a"),"d","a"),"e","a"),"f","a"),"g","a"),"h","a"),"i","a"),"j","a"),"k","a"),"l","a"),"m","a"),"n","a"),"o","a"),"p","a"),"q","a"),"r","a"),"s","a"),"t","a"),"u","a"),"v","a"),"w","a"),"x","a"),"y","a"),"z","a")</f>
        <v/>
      </c>
      <c r="BO232" s="61" t="str">
        <f aca="false">SUBSTITUTE(SUBSTITUTE(SUBSTITUTE(SUBSTITUTE(SUBSTITUTE(SUBSTITUTE(SUBSTITUTE(SUBSTITUTE(SUBSTITUTE(LOWER(W232&amp;""),"1","0"),"2","0"),"3","0"),"4","0"),"5","0"),"6","0"),"7","0"),"8","0"),"9","0")</f>
        <v/>
      </c>
      <c r="BP232" s="61" t="str">
        <f aca="false">SUBSTITUTE(SUBSTITUTE(SUBSTITUTE(SUBSTITUTE(SUBSTITUTE(SUBSTITUTE(SUBSTITUTE(SUBSTITUTE(SUBSTITUTE(SUBSTITUTE(SUBSTITUTE(SUBSTITUTE(SUBSTITUTE(SUBSTITUTE(SUBSTITUTE(SUBSTITUTE(SUBSTITUTE(SUBSTITUTE(SUBSTITUTE(SUBSTITUTE(SUBSTITUTE(SUBSTITUTE(SUBSTITUTE(SUBSTITUTE(SUBSTITUTE(BO232,"b","a"),"c","a"),"d","a"),"e","a"),"f","a"),"g","a"),"h","a"),"i","a"),"j","a"),"k","a"),"l","a"),"m","a"),"n","a"),"o","a"),"p","a"),"q","a"),"r","a"),"s","a"),"t","a"),"u","a"),"v","a"),"w","a"),"x","a"),"y","a"),"z","a")</f>
        <v/>
      </c>
      <c r="BQ232" s="61" t="n">
        <f aca="false">IFERROR(IF(AND(ISERROR(SEARCH(" mh"," "&amp;LOWER(W232))),ISNA(MATCH(LEFT(TRIM(BP232),255),{"0000a","000a","00a","0000aa","000aa","00aa","0aa","0000aaa","000aaa","00a00","0a00","0000-0000","00:00","a00","a0","00.00.0000","00/00/0000","00-00-0000","0000-00-00","0000/00/00","0000.00.00","00.00.00","00/00/00","00-00-00","0.00.0000","0/00/0000","0-00-0000"},0)),ISNA(MATCH(LEFT(TRIM(CA232),255),{"0000a","000a","00a","0000aa","000aa","00aa","0aa","0000aaa","000aaa","00a00","0a00","0000-0000","00:00","a00","a0","00.00.0000","00/00/0000","00-00-0000","0000-00-00","0000/00/00","0000.00.00","00.00.00","00/00/00","00-00-00","0.00.0000","0/00/0000","0-00-0000"},0)),LEN(CB232)&gt;=3,NOT(OR(SUBSTITUTE(CB232,"0","")="",AND(LEN(CB232)&gt;=4,CB232=REPT(LEFT(CB232),LEN(CB232))),ISNUMBER(MATCH(CB232,{"123","1234","12345","123456","1234567","12345678","0123","01234","012345","98765","987654","54321"},0)),AND(LEN(CB232)=8,LEFT(CB232,3)="202"))),OR(AND((LEN(CA232)-LEN(SUBSTITUTE(CA232,"a","")))&gt;=1,SUMPRODUCT(--ISNUMBER(SEARCH({"a0","a-0","a_0","a/0","a.0","a#0","0a","0-a","0_a","0/a"},BP232)))&gt;0),ISNUMBER(SEARCH("000000",BP232)))),1,0),0)</f>
        <v>0</v>
      </c>
      <c r="BR232" s="61" t="n">
        <f aca="false">IFERROR(LEN(SUBSTITUTE(CC232," ",""))-SUMPRODUCT((LEN(CC232)-LEN(SUBSTITUTE(CC232," "&amp;L_Role&amp;" "," ")))/(LEN(L_Role)+1)*LEN(L_Role)),0)</f>
        <v>0</v>
      </c>
      <c r="BS232" s="61" t="n">
        <f aca="false">IFERROR(LEN(SUBSTITUTE(CD232," ",""))-SUMPRODUCT((LEN(CD232)-LEN(SUBSTITUTE(CD232," "&amp;L_Role&amp;" "," ")))/(LEN(L_Role)+1)*LEN(L_Role)),0)</f>
        <v>0</v>
      </c>
      <c r="BT2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232,"revision",""),"version",""),"jan",""),"feb",""),"mar",""),"apr",""),"may",""),"jun",""),"jul",""),"aug",""),"sep",""),"oct",""),"nov",""),"dec",""),"utc",""),"gmt",""),"myt",""),"bst",""),"rev",""),"ver",""),"b","a"),"c","a"),"d","a"),"e","a"),"f","a"),"g","a"),"h","a"),"i","a"),"j","a"),"k","a"),"l","a"),"m","a"),"n","a"),"o","a"),"p","a"),"q","a"),"r","a"),"s","a"),"t","a"),"u","a"),"v","a"),"w","a"),"x","a"),"y","a"),"z","a")</f>
        <v/>
      </c>
      <c r="BU232" s="61" t="str">
        <f aca="false">SUBSTITUTE(SUBSTITUTE(SUBSTITUTE(SUBSTITUTE(SUBSTITUTE(SUBSTITUTE(SUBSTITUTE(SUBSTITUTE(SUBSTITUTE(SUBSTITUTE(LEFT(BM232,FIND("0",BM232&amp;"0")-1),"-",""),"_",""),"/",""),".",""),"#",""),"\\",""),":","")," ",""),"(",""),")","")</f>
        <v/>
      </c>
      <c r="BV232" s="61" t="n">
        <f aca="false">0</f>
        <v>0</v>
      </c>
      <c r="BW2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232&amp;""),"a",""),"b",""),"c",""),"d",""),"e",""),"f",""),"g",""),"h",""),"i",""),"j",""),"k",""),"l",""),"m",""),"n",""),"o",""),"p",""),"q",""),"r",""),"s",""),"t",""),"u",""),"v",""),"w",""),"x",""),"y",""),"z",""),"-",""),"_",""),"/",""),".",""),"#",""),"\\",""),":","")," ",""),"(",""),")","")</f>
        <v/>
      </c>
      <c r="BX232" s="61" t="str">
        <f aca="false">SUBSTITUTE(SUBSTITUTE(SUBSTITUTE(SUBSTITUTE(SUBSTITUTE(SUBSTITUTE(SUBSTITUTE(SUBSTITUTE(SUBSTITUTE(SUBSTITUTE(SUBSTITUTE(BM232,"0",""),"-",""),"_",""),"/",""),".",""),"#",""),"\\",""),":","")," ",""),"(",""),")","")</f>
        <v/>
      </c>
      <c r="BY232" s="62" t="n">
        <f aca="false">Q232-T12EarlyH/24</f>
        <v>46303.1006944444</v>
      </c>
      <c r="BZ232" s="61" t="n">
        <f aca="false">IFERROR(IF(IF(TRIM(S232)="Link / file path",AND(LEN(TRIM(Z232))&gt;=5,SUMPRODUCT(--ISNUMBER(SEARCH({"http","www.","\\",":\",".pdf",".jpg",".jpeg",".png",".heic",".xls",".doc",".msg",".eml",".ppt",".txt",".zip"},Z232)))&gt;0),AND(ISERROR(FIND(" ",TRIM(Z232))),NOT(OR(SUMPRODUCT(--ISNUMBER(FIND({",",";","&amp;","+"},Z232)))&gt;0,SUMPRODUCT(--ISNUMBER(SEARCH({"0/aa","0\\aa"},BN232)))&gt;0)),NOT(SUMPRODUCT(--ISNUMBER(SEARCH({"http","www.","\\",":\",".pdf",".jpg",".jpeg",".png",".heic",".xls",".doc",".msg",".eml",".ppt",".txt",".zip"},Z232)))&gt;0),NOT(LOWER(TRIM(Z232))=LOWER(Flights!$F$11)),ISNA(MATCH(BU232,{"mh","rev","revision","ver","version","v","r","a","b","seat","tray","row","gate","bay","stand","page","pg","item","line","no","cart","galley","flight","flt","table","box","bag","oven","etd","eta","std","sta","atd","ata","qty","pax","x","time","tel","ph","mob","day","wk","week","utc","gmt","myt","lt"},0)),NOT(OR(ISNUMBER(MATCH(LEFT(BN232,255),{"0000a","000a","00a","0000aa","000aa","00aa","0aa","0000aaa","000aaa","00a00","0a00","0000-0000","00:00","a00","a0","00.00.0000","00/00/0000","00-00-0000","0000-00-00","0000/00/00","0000.00.00","00.00.00","00/00/00","00-00-00","0.00.0000","0/00/0000","0-00-0000"},0)),ISNUMBER(MATCH(LEFT(BT232,255),{"0000a","000a","00a","0000aa","000aa","00aa","0aa","0000aaa","000aaa","00a00","0a00","0000-0000","00:00","a00","a0","00.00.0000","00/00/0000","00-00-0000","0000-00-00","0000/00/00","0000.00.00","00.00.00","00/00/00","00-00-00","0.00.0000","0/00/0000","0-00-0000"},0)))),NOT(OR(AND(BW232&lt;&gt;"",SUBSTITUTE(BW232,"0","")=""),AND(LEN(BW232)&gt;=4,BW232=REPT(LEFT(BW232),LEN(BW232))),ISNUMBER(MATCH(BW232,{"123","1234","12345","123456","1234567","12345678","0123","01234","012345","98765","987654","54321"},0)),ISNUMBER(MATCH(BX232,{"x","xx","xxx","xxxx","xxxxx","abc","abcd","nil","na","nan","test","tbc","tba","tbd","dummy","sample","example","eg","zz","zzz","none","null","xyz","qwe","asd","id","ref"},0)),AND(LEN(BW232)=8,BX232="",OR(LEFT(BW232,3)="202",ISNUMBER(MATCH(RIGHT(BW232,4),{"2025","2026","2027"},0)))))),OR(AND((LEN(BT232)-LEN(SUBSTITUTE(BT232,"a","")))&gt;=1,(LEN(BN232)-LEN(SUBSTITUTE(BN232,"0","")))&gt;=2,SUMPRODUCT(--ISNUMBER(SEARCH({"a0","a-0","a_0","a/0","a.0","a#0","0a","0-a","0_a","0/a"},BN232)))&gt;0),AND((LEN(BN232)-LEN(SUBSTITUTE(BN232,"a","")))=0,(LEN(BN232)-LEN(SUBSTITUTE(BN232,"0","")))&gt;=5)))),1,0),0)</f>
        <v>0</v>
      </c>
      <c r="CA2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232,"revision",""),"version",""),"jan",""),"feb",""),"mar",""),"apr",""),"may",""),"jun",""),"jul",""),"aug",""),"sep",""),"oct",""),"nov",""),"dec",""),"utc",""),"gmt",""),"myt",""),"bst",""),"rev",""),"ver",""),"b","a"),"c","a"),"d","a"),"e","a"),"f","a"),"g","a"),"h","a"),"i","a"),"j","a"),"k","a"),"l","a"),"m","a"),"n","a"),"o","a"),"p","a"),"q","a"),"r","a"),"s","a"),"t","a"),"u","a"),"v","a"),"w","a"),"x","a"),"y","a"),"z","a")</f>
        <v/>
      </c>
      <c r="CB2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232&amp;""),"a",""),"b",""),"c",""),"d",""),"e",""),"f",""),"g",""),"h",""),"i",""),"j",""),"k",""),"l",""),"m",""),"n",""),"o",""),"p",""),"q",""),"r",""),"s",""),"t",""),"u",""),"v",""),"w",""),"x",""),"y",""),"z",""),"-",""),"_",""),"/",""),".",""),"#",""),"\\",""),":","")," ",""),"(",""),")","")</f>
        <v/>
      </c>
      <c r="CC232" s="0" t="str">
        <f aca="false">" "&amp;TRIM(SUBSTITUTE(SUBSTITUTE(SUBSTITUTE(SUBSTITUTE(SUBSTITUTE(SUBSTITUTE(SUBSTITUTE(SUBSTITUTE(SUBSTITUTE(SUBSTITUTE(SUBSTITUTE(SUBSTITUTE(SUBSTITUTE(SUBSTITUTE(SUBSTITUTE(SUBSTITUTE(SUBSTITUTE(SUBSTITUTE(SUBSTITUTE(SUBSTITUTE(SUBSTITUTE(SUBSTITUTE(SUBSTITUTE(SUBSTITUTE(LOWER(T232&amp;""),CHAR(10)," "),CHAR(13)," "),CHAR(9)," "),CHAR(160)," "),"."," "),","," "),"-"," "),"/"," "),"("," "),")"," "),":"," "),";"," "),"_"," "),"–"," "),"?"," "),"!"," "),"*"," "),"["," "),"]"," "),"'"," "),"#"," "),"+"," "),"&amp;"," "),"\"," "))&amp;" "</f>
        <v>  </v>
      </c>
      <c r="CD232" s="0" t="str">
        <f aca="false">" "&amp;TRIM(SUBSTITUTE(SUBSTITUTE(SUBSTITUTE(SUBSTITUTE(SUBSTITUTE(SUBSTITUTE(SUBSTITUTE(SUBSTITUTE(SUBSTITUTE(SUBSTITUTE(SUBSTITUTE(SUBSTITUTE(SUBSTITUTE(SUBSTITUTE(SUBSTITUTE(SUBSTITUTE(SUBSTITUTE(SUBSTITUTE(SUBSTITUTE(SUBSTITUTE(SUBSTITUTE(SUBSTITUTE(SUBSTITUTE(SUBSTITUTE(LOWER(AE232&amp;""),CHAR(10)," "),CHAR(13)," "),CHAR(9)," "),CHAR(160)," "),"."," "),","," "),"-"," "),"/"," "),"("," "),")"," "),":"," "),";"," "),"_"," "),"–"," "),"?"," "),"!"," "),"*"," "),"["," "),"]"," "),"'"," "),"#"," "),"+"," "),"&amp;"," "),"\"," "))&amp;" "</f>
        <v>  </v>
      </c>
      <c r="CE232" s="68" t="n">
        <f aca="false">IFERROR(IF(AND(LEN(AU232)&gt;0,LEN(AU232)=LEN(AX232),OR(TRIM(MID(SUBSTITUTE(TRIM(CC232)," ",REPT(" ",60)),1,60))="",ISNUMBER(SEARCH(" "&amp;TRIM(MID(SUBSTITUTE(TRIM(CC232)," ",REPT(" ",60)),1,60))&amp;" ",CD232))),OR(TRIM(MID(SUBSTITUTE(TRIM(CC232)," ",REPT(" ",60)),61,60))="",ISNUMBER(SEARCH(" "&amp;TRIM(MID(SUBSTITUTE(TRIM(CC232)," ",REPT(" ",60)),61,60))&amp;" ",CD232))),OR(TRIM(MID(SUBSTITUTE(TRIM(CC232)," ",REPT(" ",60)),121,60))="",ISNUMBER(SEARCH(" "&amp;TRIM(MID(SUBSTITUTE(TRIM(CC232)," ",REPT(" ",60)),121,60))&amp;" ",CD232)))),1,0),0)</f>
        <v>0</v>
      </c>
      <c r="CG232" s="68" t="n">
        <f aca="false">IFERROR(LEN(SUBSTITUTE(BF232," ",""))-SUMPRODUCT((LEN(BF232)-LEN(SUBSTITUTE(BF232," "&amp;L_NAFiller&amp;" "," ")))/(LEN(L_NAFiller)+1)*LEN(L_NAFiller)),0)</f>
        <v>0</v>
      </c>
    </row>
    <row r="233" customFormat="false" ht="41.25" hidden="false" customHeight="true" outlineLevel="0" collapsed="false">
      <c r="A233" s="57" t="s">
        <v>798</v>
      </c>
      <c r="B233" s="57" t="s">
        <v>235</v>
      </c>
      <c r="C233" s="57" t="str">
        <f aca="false">Flights!$F$11</f>
        <v>MH0003</v>
      </c>
      <c r="D233" s="58" t="n">
        <f aca="false">Flights!$D$11</f>
        <v>46304</v>
      </c>
      <c r="E233" s="57" t="str">
        <f aca="false">Flights!$G$11&amp;"-"&amp;Flights!$H$11</f>
        <v>LHR-KUL</v>
      </c>
      <c r="F233" s="57" t="str">
        <f aca="false">Flights!$K$11</f>
        <v>BC</v>
      </c>
      <c r="G233" s="57" t="s">
        <v>420</v>
      </c>
      <c r="H233" s="57" t="s">
        <v>378</v>
      </c>
      <c r="I233" s="57" t="s">
        <v>440</v>
      </c>
      <c r="J233" s="57" t="s">
        <v>603</v>
      </c>
      <c r="K233" s="67" t="s">
        <v>501</v>
      </c>
      <c r="L233" s="67" t="s">
        <v>734</v>
      </c>
      <c r="M233" s="67" t="s">
        <v>187</v>
      </c>
      <c r="N233" s="67" t="s">
        <v>383</v>
      </c>
      <c r="O233" s="67" t="s">
        <v>799</v>
      </c>
      <c r="P233" s="57" t="s">
        <v>187</v>
      </c>
      <c r="Q233" s="59" t="n">
        <f aca="false">ROUND((MIN(Flights!$AE$11,Flights!$AY$11))*1440,0)/1440</f>
        <v>46303.6006944444</v>
      </c>
      <c r="R233" s="59" t="n">
        <f aca="false">Q233+(IF(AND(INDEX(TZ_DSTS,MATCH(P233,TZ_STN,0))&lt;&gt;"",Q233&gt;=INDEX(TZ_DSTS,MATCH(P233,TZ_STN,0)),Q233&lt;INDEX(TZ_DSTE,MATCH(P233,TZ_STN,0))),INDEX(TZ_DST,MATCH(P233,TZ_STN,0)),INDEX(TZ_STD,MATCH(P233,TZ_STN,0))))/24</f>
        <v>46303.9340277778</v>
      </c>
      <c r="S233" s="60"/>
      <c r="T233" s="60"/>
      <c r="U233" s="60"/>
      <c r="V233" s="60"/>
      <c r="W233" s="61"/>
      <c r="X233" s="60"/>
      <c r="Y233" s="60"/>
      <c r="Z233" s="60"/>
      <c r="AA233" s="60"/>
      <c r="AB233" s="60"/>
      <c r="AC233" s="60"/>
      <c r="AD233" s="66"/>
      <c r="AE233" s="60"/>
      <c r="AF233" s="61" t="str">
        <f aca="false">IF(AND(ISNUMBER(X233),ISNUMBER(Y233)),Y233-X233,"")</f>
        <v/>
      </c>
      <c r="AG233" s="62" t="str">
        <f aca="false">IF(ISNUMBER(AD233),AD233-(IF(AND(INDEX(TZ_DSTS,MATCH(P233,TZ_STN,0))&lt;&gt;"",(AD233-INDEX(TZ_STD,MATCH(P233,TZ_STN,0))/24)&gt;=INDEX(TZ_DSTS,MATCH(P233,TZ_STN,0)),(AD233-INDEX(TZ_STD,MATCH(P233,TZ_STN,0))/24)&lt;INDEX(TZ_DSTE,MATCH(P233,TZ_STN,0))),INDEX(TZ_DST,MATCH(P233,TZ_STN,0)),INDEX(TZ_STD,MATCH(P233,TZ_STN,0))))/24,"")</f>
        <v/>
      </c>
      <c r="AH233" s="65" t="str">
        <f aca="false">IFERROR(IF(N233="N/A – rule",IF(OR(TRIM(U233)="",TRIM(U233)="N/A",TRIM(U233)="Not started"),"N/A – RULE","INVALID – this check does not apply to this aircraft: clear the status (or correct the fleet on Flights)"),IF(TRIM(U233)="N/A",IF(AT233=0,"INVALID – N/A not permitted for this check",IF(AND(TRIM(AB233)&lt;&gt;"",TRIM(AB233)&lt;&gt;"Closed"),"INVALID – corrective action still open",IF(AND(NOT(OR(LEN(AZ233)&lt;15,ISNUMBER(MATCH(AZ233,L_Placeholder,0)))),BK233=0,CG233&gt;=8,NOT(OR(LEN(AU233)&lt;2,ISNUMBER(MATCH(AU233,L_Placeholder,0)))),BR233&gt;=3,NOT(OR(LEN(AX233)&lt;2,ISNUMBER(MATCH(AX233,L_Placeholder,0)))),BS233&gt;=3,TRIM(AE233)&lt;&gt;TRIM(T233),AX233&lt;&gt;AU233,CE233=0),"N/A – JUSTIFIED","INVALID – N/A needs a real, settled reason (not 'not applicable' / 'as above' / TBC), a named PIC and a different named verifier"))),IF(OR(TRIM(U233)="Pass",TRIM(U233)="Pass after CA"),IF(NOT(ISNUMBER(AD233)),"INVALID – completion time missing",IF(OR(OR(LEN(AU233)&lt;2,ISNUMBER(MATCH(AU233,L_Placeholder,0))),BR233&lt;3),"INVALID – PIC missing or not a named person (a role such as QA / CSM is not a name)",IF(OR(LEN(AV233)&lt;2,ISNUMBER(MATCH(AV233,L_Placeholder,0))),"INVALID – result / assessment missing",IF(OR(OR(LEN(AW233)&lt;3,ISNUMBER(MATCH(AW233,L_Placeholder,0))),SUMPRODUCT(--ISNUMBER(SEARCH(" "&amp;L_EvidencePhrase&amp;" ",BD233)))&gt;0,BI233=1),"INVALID – evidence missing, placeholder or not yet on file",IF(ISNA(MATCH(TRIM(S233),L_EvidenceType,0)),"INVALID – choose the evidence type from the list (column S)",IF(BL233=0,"INVALID – evidence ID must be the record's own ID only (e.g. SF-2210, IMG_2231, 1045521); a link / file name needs type 'Link / file path'",IF(OR(OR(LEN(AX233)&lt;2,ISNUMBER(MATCH(AX233,L_Placeholder,0))),BS233&lt;3),"INVALID – verifier missing or not a named person (a role such as QA / CSM is not a name)",IF(OR(AX233=AU233,CE233=1,AND(LEN(AU233)&gt;=4,ISNUMBER(SEARCH(AU233,AX233))),AND(LEN(AX233)&gt;=4,ISNUMBER(SEARCH(AX233,AU233)))),"INVALID – verifier must be a different, named person (not the PIC or a role)",IF(BH233=1,"INVALID – result not yet available (awaiting / TBC)",IF(BG233=1,"INVALID – result describes a problem: record Fail, then Pass after CA (or reword if it is not a problem)",IF(BV233=1,"INVALID – wording says not on board: an on-board confirmation needs the item loaded",IF(AND(AQ233=1,OR(OR(LEN(AY233)&lt;3,ISNUMBER(MATCH(AY233,L_Placeholder,0))),BJ233=1,BQ233=0)),"INVALID – batch ID missing, placeholder or not an ID (e.g. PASB-261008-BC-017)",IF(AND(AR233=1,OR(NOT(ISNUMBER(X233)),NOT(ISNUMBER(Y233)))),"INVALID – expected/actual qty missing",IF(AND(AR233=1,OR(X233&lt;=0,Y233&lt;0)),"INVALID – expected qty must be above 0 and actual not negative",IF(BB233&lt;&gt;"",BB233,IF(AND(AS233=1,Documents!$J$11&lt;&gt;"ON FILE"),"INVALID – GLD not on file (Documents sheet)",IF(AND(AS233=2,Documents!$O$11&lt;&gt;"ON FILE"),"INVALID – menu checklist not on file (Documents sheet)",IF(AND(AS233=3,NOT(ISNUMBER(Flights!$AX$11))),"INVALID – enter carrying flight KUL departure (Flights AX)",IF(AND(AS233=3,OR(Flights!$AZ$11&gt;Flights!$AA$11,Flights!$AX$11&lt;Flights!$AA$11-3)),"INVALID – carrying flight (Flights AX) cannot arrive before this leg's STD, or is over 3 days early",IF(AG233&gt;AsOfUTC,"INVALID – completion time is in the future",IF(AND(ISNUMBER(BY233),AG233&lt;BY233),IF(H233="Physical uplift","INVALID – before uplift window (cannot confirm loading)","INVALID – before valid window"),IF(AG233&gt;Flights!$AA$11,"INVALID – completed after departure (cannot establish readiness)",IF(AND(H233="Preparation",AG233&gt;=Flights!$AY$11+UpliftWindowH/24),"INVALID – completed after the carrying flight left KUL",IF(AND(H233="Physical uplift",AG233&gt;Q233),"INVALID – recorded after the loading flight departed",IF(AG233&gt;Q233,"COMPLETE – LATE","COMPLETE"))))))))))))))))))))))))),IF(TRIM(U233)="Fail","FAIL – DISCREPANCY",IF(AND(TRIM(U233)&lt;&gt;"",TRIM(U233)&lt;&gt;"Not started",TRIM(U233)&lt;&gt;"In progress"),"INVALID – unrecognised status (use the list)",IF(AsOfUTC&gt;Q233,"OVERDUE",IF(N233="Clarification required","OPEN – CLARIFICATION","OPEN"))))))),"INVALID – error value in an input cell")</f>
        <v>OPEN</v>
      </c>
      <c r="AI233" s="61" t="n">
        <f aca="false">IF(OR(AH233="N/A – RULE",AH233="N/A – JUSTIFIED"),0,1)</f>
        <v>1</v>
      </c>
      <c r="AJ233" s="61" t="n">
        <f aca="false">IF(LEFT(AH233,8)="COMPLETE",1,0)</f>
        <v>0</v>
      </c>
      <c r="AK233" s="61" t="n">
        <f aca="false">IF(AND(AI233=1,AJ233=0,AsOfUTC&gt;Q233),1,0)</f>
        <v>0</v>
      </c>
      <c r="AL233" s="61" t="n">
        <f aca="false">IFERROR(IF(AND(AI233=1,OR(TRIM(U233)="Fail",AND(TRIM(AB233)&lt;&gt;"",TRIM(AB233)&lt;&gt;"Closed"),AND(ISNUMBER(AF233),AF233&lt;&gt;0,TRIM(U233)&lt;&gt;"Pass after CA"))),1,0),1)</f>
        <v>0</v>
      </c>
      <c r="AM233" s="61" t="n">
        <f aca="false">IF(LEFT(AH233,7)="INVALID",1,0)</f>
        <v>0</v>
      </c>
      <c r="AN233" s="61" t="n">
        <f aca="false">IF(AND(N233="Clarification required",AI233=1,AJ233=0),1,0)</f>
        <v>0</v>
      </c>
      <c r="AO233" s="61" t="str">
        <f aca="false">IF(AK233=1,SUM(AK$5:AK233),"")</f>
        <v/>
      </c>
      <c r="AP233" s="61" t="str">
        <f aca="false">IF(AL233=1,SUM(AL$5:AL233),"")</f>
        <v/>
      </c>
      <c r="AQ233" s="61" t="n">
        <v>0</v>
      </c>
      <c r="AR233" s="61" t="n">
        <v>0</v>
      </c>
      <c r="AS233" s="61" t="n">
        <v>0</v>
      </c>
      <c r="AT233" s="61" t="n">
        <v>0</v>
      </c>
      <c r="AU233" s="61" t="str">
        <f aca="false">SUBSTITUTE(SUBSTITUTE(SUBSTITUTE(SUBSTITUTE(SUBSTITUTE(SUBSTITUTE(SUBSTITUTE(SUBSTITUTE(SUBSTITUTE(SUBSTITUTE(SUBSTITUTE(SUBSTITUTE(SUBSTITUTE(SUBSTITUTE(SUBSTITUTE(SUBSTITUTE(LOWER(T233&amp;""),CHAR(10),""),CHAR(13),""),CHAR(9),""),CHAR(160),"")," ",""),".",""),"-",""),"/",""),"?",""),"_",""),",",""),"[",""),"]",""),"(",""),")",""),"*","")</f>
        <v/>
      </c>
      <c r="AV233" s="61" t="str">
        <f aca="false">SUBSTITUTE(SUBSTITUTE(SUBSTITUTE(SUBSTITUTE(SUBSTITUTE(SUBSTITUTE(SUBSTITUTE(SUBSTITUTE(SUBSTITUTE(SUBSTITUTE(SUBSTITUTE(SUBSTITUTE(SUBSTITUTE(SUBSTITUTE(SUBSTITUTE(SUBSTITUTE(LOWER(V233&amp;""),CHAR(10),""),CHAR(13),""),CHAR(9),""),CHAR(160),"")," ",""),".",""),"-",""),"/",""),"?",""),"_",""),",",""),"[",""),"]",""),"(",""),")",""),"*","")</f>
        <v/>
      </c>
      <c r="AW233" s="61" t="str">
        <f aca="false">SUBSTITUTE(SUBSTITUTE(SUBSTITUTE(SUBSTITUTE(SUBSTITUTE(SUBSTITUTE(SUBSTITUTE(SUBSTITUTE(SUBSTITUTE(SUBSTITUTE(SUBSTITUTE(SUBSTITUTE(SUBSTITUTE(SUBSTITUTE(SUBSTITUTE(SUBSTITUTE(LOWER(Z233&amp;""),CHAR(10),""),CHAR(13),""),CHAR(9),""),CHAR(160),"")," ",""),".",""),"-",""),"/",""),"?",""),"_",""),",",""),"[",""),"]",""),"(",""),")",""),"*","")</f>
        <v/>
      </c>
      <c r="AX233" s="61" t="str">
        <f aca="false">SUBSTITUTE(SUBSTITUTE(SUBSTITUTE(SUBSTITUTE(SUBSTITUTE(SUBSTITUTE(SUBSTITUTE(SUBSTITUTE(SUBSTITUTE(SUBSTITUTE(SUBSTITUTE(SUBSTITUTE(SUBSTITUTE(SUBSTITUTE(SUBSTITUTE(SUBSTITUTE(LOWER(AE233&amp;""),CHAR(10),""),CHAR(13),""),CHAR(9),""),CHAR(160),"")," ",""),".",""),"-",""),"/",""),"?",""),"_",""),",",""),"[",""),"]",""),"(",""),")",""),"*","")</f>
        <v/>
      </c>
      <c r="AY233" s="61" t="str">
        <f aca="false">SUBSTITUTE(SUBSTITUTE(SUBSTITUTE(SUBSTITUTE(SUBSTITUTE(SUBSTITUTE(SUBSTITUTE(SUBSTITUTE(SUBSTITUTE(SUBSTITUTE(SUBSTITUTE(SUBSTITUTE(SUBSTITUTE(SUBSTITUTE(SUBSTITUTE(SUBSTITUTE(LOWER(W233&amp;""),CHAR(10),""),CHAR(13),""),CHAR(9),""),CHAR(160),"")," ",""),".",""),"-",""),"/",""),"?",""),"_",""),",",""),"[",""),"]",""),"(",""),")",""),"*","")</f>
        <v/>
      </c>
      <c r="AZ233" s="61" t="str">
        <f aca="false">SUBSTITUTE(SUBSTITUTE(SUBSTITUTE(SUBSTITUTE(SUBSTITUTE(SUBSTITUTE(SUBSTITUTE(SUBSTITUTE(SUBSTITUTE(SUBSTITUTE(SUBSTITUTE(SUBSTITUTE(SUBSTITUTE(SUBSTITUTE(SUBSTITUTE(SUBSTITUTE(LOWER(AC233&amp;""),CHAR(10),""),CHAR(13),""),CHAR(9),""),CHAR(160),"")," ",""),".",""),"-",""),"/",""),"?",""),"_",""),",",""),"[",""),"]",""),"(",""),")",""),"*","")</f>
        <v/>
      </c>
      <c r="BA233" s="61" t="str">
        <f aca="false">SUBSTITUTE(SUBSTITUTE(SUBSTITUTE(SUBSTITUTE(SUBSTITUTE(SUBSTITUTE(SUBSTITUTE(SUBSTITUTE(SUBSTITUTE(SUBSTITUTE(SUBSTITUTE(SUBSTITUTE(SUBSTITUTE(SUBSTITUTE(SUBSTITUTE(SUBSTITUTE(LOWER(AA233&amp;""),CHAR(10),""),CHAR(13),""),CHAR(9),""),CHAR(160),"")," ",""),".",""),"-",""),"/",""),"?",""),"_",""),",",""),"[",""),"]",""),"(",""),")",""),"*","")</f>
        <v/>
      </c>
      <c r="BB233" s="61" t="str">
        <f aca="false">IF(AND(TRIM(U233)="Pass",ISNUMBER(AF233)),IF(AF233&lt;&gt;0,"INVALID – qty variance: use Fail or Pass after CA",""),"")&amp;IF(AND(TRIM(U233)="Pass after CA",ISNUMBER(AF233)),IF(AF233&lt;&gt;0,"INVALID – after the corrective action the actual qty must equal expected (update Actual)",""),"")&amp;IF(AND(TRIM(U233)="Pass",TRIM(AB233)&lt;&gt;"",TRIM(AB233)&lt;&gt;"Closed"),"INVALID – corrective action not closed: use Fail, then Pass after CA","")&amp;IF(AND(LEN(BA233)&gt;=2,ISNA(MATCH(LEFT(BA233,255),L_Placeholder,0)),TRIM(AB233)=""),"INVALID – CA status missing for the recorded corrective action","")&amp;IF(AND(TRIM(U233)="Pass after CA",OR(OR(LEN(BA233)&lt;5,ISNUMBER(MATCH(BA233,L_Placeholder,0))),TRIM(AB233)&lt;&gt;"Closed")),"INVALID – corrective action not recorded/closed","")</f>
        <v/>
      </c>
      <c r="BC233" s="61" t="str">
        <f aca="false">" "&amp;TRIM(SUBSTITUTE(SUBSTITUTE(SUBSTITUTE(SUBSTITUTE(SUBSTITUTE(SUBSTITUTE(SUBSTITUTE(SUBSTITUTE(SUBSTITUTE(SUBSTITUTE(SUBSTITUTE(SUBSTITUTE(SUBSTITUTE(SUBSTITUTE(SUBSTITUTE(SUBSTITUTE(SUBSTITUTE(SUBSTITUTE(SUBSTITUTE(SUBSTITUTE(SUBSTITUTE(SUBSTITUTE(SUBSTITUTE(SUBSTITUTE(LOWER(V233&amp;""),CHAR(10)," "),CHAR(13)," "),CHAR(9)," "),CHAR(160)," "),"."," "),","," "),"-"," "),"/"," "),"("," "),")"," "),":"," "),";"," "),"_"," "),"–"," "),"?"," "),"!"," "),"*"," "),"["," "),"]"," "),"'"," "),"#"," "),"+"," "),"&amp;"," "),"\"," "))&amp;" "</f>
        <v>  </v>
      </c>
      <c r="BD233" s="61" t="str">
        <f aca="false">" "&amp;TRIM(SUBSTITUTE(SUBSTITUTE(SUBSTITUTE(SUBSTITUTE(SUBSTITUTE(SUBSTITUTE(SUBSTITUTE(SUBSTITUTE(SUBSTITUTE(SUBSTITUTE(SUBSTITUTE(SUBSTITUTE(SUBSTITUTE(SUBSTITUTE(SUBSTITUTE(SUBSTITUTE(SUBSTITUTE(SUBSTITUTE(SUBSTITUTE(SUBSTITUTE(SUBSTITUTE(SUBSTITUTE(SUBSTITUTE(SUBSTITUTE(LOWER(Z233&amp;""),CHAR(10)," "),CHAR(13)," "),CHAR(9)," "),CHAR(160)," "),"."," "),","," "),"-"," "),"/"," "),"("," "),")"," "),":"," "),";"," "),"_"," "),"–"," "),"?"," "),"!"," "),"*"," "),"["," "),"]"," "),"'"," "),"#"," "),"+"," "),"&amp;"," "),"\"," "))&amp;" "</f>
        <v>  </v>
      </c>
      <c r="BE233" s="61" t="str">
        <f aca="false">" "&amp;TRIM(SUBSTITUTE(SUBSTITUTE(SUBSTITUTE(SUBSTITUTE(SUBSTITUTE(SUBSTITUTE(SUBSTITUTE(SUBSTITUTE(SUBSTITUTE(SUBSTITUTE(SUBSTITUTE(SUBSTITUTE(SUBSTITUTE(SUBSTITUTE(SUBSTITUTE(SUBSTITUTE(SUBSTITUTE(SUBSTITUTE(SUBSTITUTE(SUBSTITUTE(SUBSTITUTE(SUBSTITUTE(SUBSTITUTE(SUBSTITUTE(LOWER(W233&amp;""),CHAR(10)," "),CHAR(13)," "),CHAR(9)," "),CHAR(160)," "),"."," "),","," "),"-"," "),"/"," "),"("," "),")"," "),":"," "),";"," "),"_"," "),"–"," "),"?"," "),"!"," "),"*"," "),"["," "),"]"," "),"'"," "),"#"," "),"+"," "),"&amp;"," "),"\"," "))&amp;" "</f>
        <v>  </v>
      </c>
      <c r="BF233" s="61" t="str">
        <f aca="false">" "&amp;TRIM(SUBSTITUTE(SUBSTITUTE(SUBSTITUTE(SUBSTITUTE(SUBSTITUTE(SUBSTITUTE(SUBSTITUTE(SUBSTITUTE(SUBSTITUTE(SUBSTITUTE(SUBSTITUTE(SUBSTITUTE(SUBSTITUTE(SUBSTITUTE(SUBSTITUTE(SUBSTITUTE(SUBSTITUTE(SUBSTITUTE(SUBSTITUTE(SUBSTITUTE(SUBSTITUTE(SUBSTITUTE(SUBSTITUTE(SUBSTITUTE(LOWER(AC233&amp;""),CHAR(10)," "),CHAR(13)," "),CHAR(9)," "),CHAR(160)," "),"."," "),","," "),"-"," "),"/"," "),"("," "),")"," "),":"," "),";"," "),"_"," "),"–"," "),"?"," "),"!"," "),"*"," "),"["," "),"]"," "),"'"," "),"#"," "),"+"," "),"&amp;"," "),"\"," "))&amp;" "</f>
        <v>  </v>
      </c>
      <c r="BG233" s="61" t="n">
        <f aca="false">IFERROR(IF(AND(TRIM(U233)="Pass",SUMPRODUCT((LEN(BC233)-LEN(SUBSTITUTE(BC233," "&amp;L_ResultBad&amp;" "," ")))/(LEN(L_ResultBad)+1))&gt;SUMPRODUCT((LEN(BC233)-LEN(SUBSTITUTE(BC233," "&amp;L_NegPhrase&amp;" "," ")))/(LEN(L_NegPhrase)+1))),1,0),0)</f>
        <v>0</v>
      </c>
      <c r="BH233" s="61" t="n">
        <f aca="false">IFERROR(IF(SUMPRODUCT((LEN(BC233)-LEN(SUBSTITUTE(BC233," "&amp;L_Pending&amp;" "," ")))/(LEN(L_Pending)+1))&gt;SUMPRODUCT((LEN(BC233)-LEN(SUBSTITUTE(BC233," "&amp;L_PendNeg&amp;" "," ")))/(LEN(L_PendNeg)+1))+SUMPRODUCT((LEN(BC233)-LEN(SUBSTITUTE(BC233," "&amp;L_PendPrep&amp;" "," ")))/(LEN(L_PendPrep)+1)),1,0),1)</f>
        <v>0</v>
      </c>
      <c r="BI233" s="61" t="n">
        <f aca="false">IFERROR(IF(SUMPRODUCT((LEN(BD233)-LEN(SUBSTITUTE(BD233," "&amp;L_PendStrict&amp;" "," ")))/(LEN(L_PendStrict)+1))&gt;SUMPRODUCT((LEN(BD233)-LEN(SUBSTITUTE(BD233," "&amp;L_PendNeg&amp;" "," ")))/(LEN(L_PendNeg)+1)),1,0),1)</f>
        <v>0</v>
      </c>
      <c r="BJ233" s="61" t="n">
        <f aca="false">IFERROR(IF(SUMPRODUCT((LEN(BE233)-LEN(SUBSTITUTE(BE233," "&amp;L_Pending&amp;" "," ")))/(LEN(L_Pending)+1))&gt;SUMPRODUCT((LEN(BE233)-LEN(SUBSTITUTE(BE233," "&amp;L_PendNeg&amp;" "," ")))/(LEN(L_PendNeg)+1))+SUMPRODUCT((LEN(BE233)-LEN(SUBSTITUTE(BE233," "&amp;L_PendPrep&amp;" "," ")))/(LEN(L_PendPrep)+1)),1,0),1)</f>
        <v>0</v>
      </c>
      <c r="BK233" s="61" t="n">
        <f aca="false">IFERROR(IF(SUMPRODUCT((LEN(BF233)-LEN(SUBSTITUTE(BF233," "&amp;L_PendStrict&amp;" "," ")))/(LEN(L_PendStrict)+1))&gt;SUMPRODUCT((LEN(BF233)-LEN(SUBSTITUTE(BF233," "&amp;L_PendNeg&amp;" "," ")))/(LEN(L_PendNeg)+1)),1,0),1)</f>
        <v>0</v>
      </c>
      <c r="BL233" s="61" t="n">
        <f aca="false">IF(ISNA(MATCH(TRIM(S233),L_EvidenceType,0)),0,BZ233)</f>
        <v>0</v>
      </c>
      <c r="BM233" s="61" t="str">
        <f aca="false">SUBSTITUTE(SUBSTITUTE(SUBSTITUTE(SUBSTITUTE(SUBSTITUTE(SUBSTITUTE(SUBSTITUTE(SUBSTITUTE(SUBSTITUTE(LOWER(Z233&amp;""),"1","0"),"2","0"),"3","0"),"4","0"),"5","0"),"6","0"),"7","0"),"8","0"),"9","0")</f>
        <v/>
      </c>
      <c r="BN233" s="61" t="str">
        <f aca="false">SUBSTITUTE(SUBSTITUTE(SUBSTITUTE(SUBSTITUTE(SUBSTITUTE(SUBSTITUTE(SUBSTITUTE(SUBSTITUTE(SUBSTITUTE(SUBSTITUTE(SUBSTITUTE(SUBSTITUTE(SUBSTITUTE(SUBSTITUTE(SUBSTITUTE(SUBSTITUTE(SUBSTITUTE(SUBSTITUTE(SUBSTITUTE(SUBSTITUTE(SUBSTITUTE(SUBSTITUTE(SUBSTITUTE(SUBSTITUTE(SUBSTITUTE(BM233,"b","a"),"c","a"),"d","a"),"e","a"),"f","a"),"g","a"),"h","a"),"i","a"),"j","a"),"k","a"),"l","a"),"m","a"),"n","a"),"o","a"),"p","a"),"q","a"),"r","a"),"s","a"),"t","a"),"u","a"),"v","a"),"w","a"),"x","a"),"y","a"),"z","a")</f>
        <v/>
      </c>
      <c r="BO233" s="61" t="str">
        <f aca="false">SUBSTITUTE(SUBSTITUTE(SUBSTITUTE(SUBSTITUTE(SUBSTITUTE(SUBSTITUTE(SUBSTITUTE(SUBSTITUTE(SUBSTITUTE(LOWER(W233&amp;""),"1","0"),"2","0"),"3","0"),"4","0"),"5","0"),"6","0"),"7","0"),"8","0"),"9","0")</f>
        <v/>
      </c>
      <c r="BP233" s="61" t="str">
        <f aca="false">SUBSTITUTE(SUBSTITUTE(SUBSTITUTE(SUBSTITUTE(SUBSTITUTE(SUBSTITUTE(SUBSTITUTE(SUBSTITUTE(SUBSTITUTE(SUBSTITUTE(SUBSTITUTE(SUBSTITUTE(SUBSTITUTE(SUBSTITUTE(SUBSTITUTE(SUBSTITUTE(SUBSTITUTE(SUBSTITUTE(SUBSTITUTE(SUBSTITUTE(SUBSTITUTE(SUBSTITUTE(SUBSTITUTE(SUBSTITUTE(SUBSTITUTE(BO233,"b","a"),"c","a"),"d","a"),"e","a"),"f","a"),"g","a"),"h","a"),"i","a"),"j","a"),"k","a"),"l","a"),"m","a"),"n","a"),"o","a"),"p","a"),"q","a"),"r","a"),"s","a"),"t","a"),"u","a"),"v","a"),"w","a"),"x","a"),"y","a"),"z","a")</f>
        <v/>
      </c>
      <c r="BQ233" s="61" t="n">
        <f aca="false">IFERROR(IF(AND(ISERROR(SEARCH(" mh"," "&amp;LOWER(W233))),ISNA(MATCH(LEFT(TRIM(BP233),255),{"0000a","000a","00a","0000aa","000aa","00aa","0aa","0000aaa","000aaa","00a00","0a00","0000-0000","00:00","a00","a0","00.00.0000","00/00/0000","00-00-0000","0000-00-00","0000/00/00","0000.00.00","00.00.00","00/00/00","00-00-00","0.00.0000","0/00/0000","0-00-0000"},0)),ISNA(MATCH(LEFT(TRIM(CA233),255),{"0000a","000a","00a","0000aa","000aa","00aa","0aa","0000aaa","000aaa","00a00","0a00","0000-0000","00:00","a00","a0","00.00.0000","00/00/0000","00-00-0000","0000-00-00","0000/00/00","0000.00.00","00.00.00","00/00/00","00-00-00","0.00.0000","0/00/0000","0-00-0000"},0)),LEN(CB233)&gt;=3,NOT(OR(SUBSTITUTE(CB233,"0","")="",AND(LEN(CB233)&gt;=4,CB233=REPT(LEFT(CB233),LEN(CB233))),ISNUMBER(MATCH(CB233,{"123","1234","12345","123456","1234567","12345678","0123","01234","012345","98765","987654","54321"},0)),AND(LEN(CB233)=8,LEFT(CB233,3)="202"))),OR(AND((LEN(CA233)-LEN(SUBSTITUTE(CA233,"a","")))&gt;=1,SUMPRODUCT(--ISNUMBER(SEARCH({"a0","a-0","a_0","a/0","a.0","a#0","0a","0-a","0_a","0/a"},BP233)))&gt;0),ISNUMBER(SEARCH("000000",BP233)))),1,0),0)</f>
        <v>0</v>
      </c>
      <c r="BR233" s="61" t="n">
        <f aca="false">IFERROR(LEN(SUBSTITUTE(CC233," ",""))-SUMPRODUCT((LEN(CC233)-LEN(SUBSTITUTE(CC233," "&amp;L_Role&amp;" "," ")))/(LEN(L_Role)+1)*LEN(L_Role)),0)</f>
        <v>0</v>
      </c>
      <c r="BS233" s="61" t="n">
        <f aca="false">IFERROR(LEN(SUBSTITUTE(CD233," ",""))-SUMPRODUCT((LEN(CD233)-LEN(SUBSTITUTE(CD233," "&amp;L_Role&amp;" "," ")))/(LEN(L_Role)+1)*LEN(L_Role)),0)</f>
        <v>0</v>
      </c>
      <c r="BT2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233,"revision",""),"version",""),"jan",""),"feb",""),"mar",""),"apr",""),"may",""),"jun",""),"jul",""),"aug",""),"sep",""),"oct",""),"nov",""),"dec",""),"utc",""),"gmt",""),"myt",""),"bst",""),"rev",""),"ver",""),"b","a"),"c","a"),"d","a"),"e","a"),"f","a"),"g","a"),"h","a"),"i","a"),"j","a"),"k","a"),"l","a"),"m","a"),"n","a"),"o","a"),"p","a"),"q","a"),"r","a"),"s","a"),"t","a"),"u","a"),"v","a"),"w","a"),"x","a"),"y","a"),"z","a")</f>
        <v/>
      </c>
      <c r="BU233" s="61" t="str">
        <f aca="false">SUBSTITUTE(SUBSTITUTE(SUBSTITUTE(SUBSTITUTE(SUBSTITUTE(SUBSTITUTE(SUBSTITUTE(SUBSTITUTE(SUBSTITUTE(SUBSTITUTE(LEFT(BM233,FIND("0",BM233&amp;"0")-1),"-",""),"_",""),"/",""),".",""),"#",""),"\\",""),":","")," ",""),"(",""),")","")</f>
        <v/>
      </c>
      <c r="BV233" s="61" t="n">
        <f aca="false">0</f>
        <v>0</v>
      </c>
      <c r="BW2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233&amp;""),"a",""),"b",""),"c",""),"d",""),"e",""),"f",""),"g",""),"h",""),"i",""),"j",""),"k",""),"l",""),"m",""),"n",""),"o",""),"p",""),"q",""),"r",""),"s",""),"t",""),"u",""),"v",""),"w",""),"x",""),"y",""),"z",""),"-",""),"_",""),"/",""),".",""),"#",""),"\\",""),":","")," ",""),"(",""),")","")</f>
        <v/>
      </c>
      <c r="BX233" s="61" t="str">
        <f aca="false">SUBSTITUTE(SUBSTITUTE(SUBSTITUTE(SUBSTITUTE(SUBSTITUTE(SUBSTITUTE(SUBSTITUTE(SUBSTITUTE(SUBSTITUTE(SUBSTITUTE(SUBSTITUTE(BM233,"0",""),"-",""),"_",""),"/",""),".",""),"#",""),"\\",""),":","")," ",""),"(",""),")","")</f>
        <v/>
      </c>
      <c r="BY233" s="62" t="n">
        <f aca="false">Q233-T12EarlyH/24</f>
        <v>46303.1006944444</v>
      </c>
      <c r="BZ233" s="61" t="n">
        <f aca="false">IFERROR(IF(IF(TRIM(S233)="Link / file path",AND(LEN(TRIM(Z233))&gt;=5,SUMPRODUCT(--ISNUMBER(SEARCH({"http","www.","\\",":\",".pdf",".jpg",".jpeg",".png",".heic",".xls",".doc",".msg",".eml",".ppt",".txt",".zip"},Z233)))&gt;0),AND(ISERROR(FIND(" ",TRIM(Z233))),NOT(OR(SUMPRODUCT(--ISNUMBER(FIND({",",";","&amp;","+"},Z233)))&gt;0,SUMPRODUCT(--ISNUMBER(SEARCH({"0/aa","0\\aa"},BN233)))&gt;0)),NOT(SUMPRODUCT(--ISNUMBER(SEARCH({"http","www.","\\",":\",".pdf",".jpg",".jpeg",".png",".heic",".xls",".doc",".msg",".eml",".ppt",".txt",".zip"},Z233)))&gt;0),NOT(LOWER(TRIM(Z233))=LOWER(Flights!$F$11)),ISNA(MATCH(BU233,{"mh","rev","revision","ver","version","v","r","a","b","seat","tray","row","gate","bay","stand","page","pg","item","line","no","cart","galley","flight","flt","table","box","bag","oven","etd","eta","std","sta","atd","ata","qty","pax","x","time","tel","ph","mob","day","wk","week","utc","gmt","myt","lt"},0)),NOT(OR(ISNUMBER(MATCH(LEFT(BN233,255),{"0000a","000a","00a","0000aa","000aa","00aa","0aa","0000aaa","000aaa","00a00","0a00","0000-0000","00:00","a00","a0","00.00.0000","00/00/0000","00-00-0000","0000-00-00","0000/00/00","0000.00.00","00.00.00","00/00/00","00-00-00","0.00.0000","0/00/0000","0-00-0000"},0)),ISNUMBER(MATCH(LEFT(BT233,255),{"0000a","000a","00a","0000aa","000aa","00aa","0aa","0000aaa","000aaa","00a00","0a00","0000-0000","00:00","a00","a0","00.00.0000","00/00/0000","00-00-0000","0000-00-00","0000/00/00","0000.00.00","00.00.00","00/00/00","00-00-00","0.00.0000","0/00/0000","0-00-0000"},0)))),NOT(OR(AND(BW233&lt;&gt;"",SUBSTITUTE(BW233,"0","")=""),AND(LEN(BW233)&gt;=4,BW233=REPT(LEFT(BW233),LEN(BW233))),ISNUMBER(MATCH(BW233,{"123","1234","12345","123456","1234567","12345678","0123","01234","012345","98765","987654","54321"},0)),ISNUMBER(MATCH(BX233,{"x","xx","xxx","xxxx","xxxxx","abc","abcd","nil","na","nan","test","tbc","tba","tbd","dummy","sample","example","eg","zz","zzz","none","null","xyz","qwe","asd","id","ref"},0)),AND(LEN(BW233)=8,BX233="",OR(LEFT(BW233,3)="202",ISNUMBER(MATCH(RIGHT(BW233,4),{"2025","2026","2027"},0)))))),OR(AND((LEN(BT233)-LEN(SUBSTITUTE(BT233,"a","")))&gt;=1,(LEN(BN233)-LEN(SUBSTITUTE(BN233,"0","")))&gt;=2,SUMPRODUCT(--ISNUMBER(SEARCH({"a0","a-0","a_0","a/0","a.0","a#0","0a","0-a","0_a","0/a"},BN233)))&gt;0),AND((LEN(BN233)-LEN(SUBSTITUTE(BN233,"a","")))=0,(LEN(BN233)-LEN(SUBSTITUTE(BN233,"0","")))&gt;=5)))),1,0),0)</f>
        <v>0</v>
      </c>
      <c r="CA2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233,"revision",""),"version",""),"jan",""),"feb",""),"mar",""),"apr",""),"may",""),"jun",""),"jul",""),"aug",""),"sep",""),"oct",""),"nov",""),"dec",""),"utc",""),"gmt",""),"myt",""),"bst",""),"rev",""),"ver",""),"b","a"),"c","a"),"d","a"),"e","a"),"f","a"),"g","a"),"h","a"),"i","a"),"j","a"),"k","a"),"l","a"),"m","a"),"n","a"),"o","a"),"p","a"),"q","a"),"r","a"),"s","a"),"t","a"),"u","a"),"v","a"),"w","a"),"x","a"),"y","a"),"z","a")</f>
        <v/>
      </c>
      <c r="CB2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233&amp;""),"a",""),"b",""),"c",""),"d",""),"e",""),"f",""),"g",""),"h",""),"i",""),"j",""),"k",""),"l",""),"m",""),"n",""),"o",""),"p",""),"q",""),"r",""),"s",""),"t",""),"u",""),"v",""),"w",""),"x",""),"y",""),"z",""),"-",""),"_",""),"/",""),".",""),"#",""),"\\",""),":","")," ",""),"(",""),")","")</f>
        <v/>
      </c>
      <c r="CC233" s="0" t="str">
        <f aca="false">" "&amp;TRIM(SUBSTITUTE(SUBSTITUTE(SUBSTITUTE(SUBSTITUTE(SUBSTITUTE(SUBSTITUTE(SUBSTITUTE(SUBSTITUTE(SUBSTITUTE(SUBSTITUTE(SUBSTITUTE(SUBSTITUTE(SUBSTITUTE(SUBSTITUTE(SUBSTITUTE(SUBSTITUTE(SUBSTITUTE(SUBSTITUTE(SUBSTITUTE(SUBSTITUTE(SUBSTITUTE(SUBSTITUTE(SUBSTITUTE(SUBSTITUTE(LOWER(T233&amp;""),CHAR(10)," "),CHAR(13)," "),CHAR(9)," "),CHAR(160)," "),"."," "),","," "),"-"," "),"/"," "),"("," "),")"," "),":"," "),";"," "),"_"," "),"–"," "),"?"," "),"!"," "),"*"," "),"["," "),"]"," "),"'"," "),"#"," "),"+"," "),"&amp;"," "),"\"," "))&amp;" "</f>
        <v>  </v>
      </c>
      <c r="CD233" s="0" t="str">
        <f aca="false">" "&amp;TRIM(SUBSTITUTE(SUBSTITUTE(SUBSTITUTE(SUBSTITUTE(SUBSTITUTE(SUBSTITUTE(SUBSTITUTE(SUBSTITUTE(SUBSTITUTE(SUBSTITUTE(SUBSTITUTE(SUBSTITUTE(SUBSTITUTE(SUBSTITUTE(SUBSTITUTE(SUBSTITUTE(SUBSTITUTE(SUBSTITUTE(SUBSTITUTE(SUBSTITUTE(SUBSTITUTE(SUBSTITUTE(SUBSTITUTE(SUBSTITUTE(LOWER(AE233&amp;""),CHAR(10)," "),CHAR(13)," "),CHAR(9)," "),CHAR(160)," "),"."," "),","," "),"-"," "),"/"," "),"("," "),")"," "),":"," "),";"," "),"_"," "),"–"," "),"?"," "),"!"," "),"*"," "),"["," "),"]"," "),"'"," "),"#"," "),"+"," "),"&amp;"," "),"\"," "))&amp;" "</f>
        <v>  </v>
      </c>
      <c r="CE233" s="68" t="n">
        <f aca="false">IFERROR(IF(AND(LEN(AU233)&gt;0,LEN(AU233)=LEN(AX233),OR(TRIM(MID(SUBSTITUTE(TRIM(CC233)," ",REPT(" ",60)),1,60))="",ISNUMBER(SEARCH(" "&amp;TRIM(MID(SUBSTITUTE(TRIM(CC233)," ",REPT(" ",60)),1,60))&amp;" ",CD233))),OR(TRIM(MID(SUBSTITUTE(TRIM(CC233)," ",REPT(" ",60)),61,60))="",ISNUMBER(SEARCH(" "&amp;TRIM(MID(SUBSTITUTE(TRIM(CC233)," ",REPT(" ",60)),61,60))&amp;" ",CD233))),OR(TRIM(MID(SUBSTITUTE(TRIM(CC233)," ",REPT(" ",60)),121,60))="",ISNUMBER(SEARCH(" "&amp;TRIM(MID(SUBSTITUTE(TRIM(CC233)," ",REPT(" ",60)),121,60))&amp;" ",CD233)))),1,0),0)</f>
        <v>0</v>
      </c>
      <c r="CG233" s="68" t="n">
        <f aca="false">IFERROR(LEN(SUBSTITUTE(BF233," ",""))-SUMPRODUCT((LEN(BF233)-LEN(SUBSTITUTE(BF233," "&amp;L_NAFiller&amp;" "," ")))/(LEN(L_NAFiller)+1)*LEN(L_NAFiller)),0)</f>
        <v>0</v>
      </c>
    </row>
    <row r="234" customFormat="false" ht="41.25" hidden="false" customHeight="true" outlineLevel="0" collapsed="false">
      <c r="A234" s="57" t="s">
        <v>800</v>
      </c>
      <c r="B234" s="57" t="s">
        <v>235</v>
      </c>
      <c r="C234" s="57" t="str">
        <f aca="false">Flights!$F$11</f>
        <v>MH0003</v>
      </c>
      <c r="D234" s="58" t="n">
        <f aca="false">Flights!$D$11</f>
        <v>46304</v>
      </c>
      <c r="E234" s="57" t="str">
        <f aca="false">Flights!$G$11&amp;"-"&amp;Flights!$H$11</f>
        <v>LHR-KUL</v>
      </c>
      <c r="F234" s="57" t="str">
        <f aca="false">Flights!$K$11</f>
        <v>BC</v>
      </c>
      <c r="G234" s="57" t="s">
        <v>420</v>
      </c>
      <c r="H234" s="57" t="s">
        <v>378</v>
      </c>
      <c r="I234" s="57" t="s">
        <v>499</v>
      </c>
      <c r="J234" s="57" t="s">
        <v>500</v>
      </c>
      <c r="K234" s="67" t="s">
        <v>501</v>
      </c>
      <c r="L234" s="67" t="s">
        <v>736</v>
      </c>
      <c r="M234" s="67" t="s">
        <v>451</v>
      </c>
      <c r="N234" s="67" t="s">
        <v>383</v>
      </c>
      <c r="O234" s="67" t="s">
        <v>452</v>
      </c>
      <c r="P234" s="57" t="s">
        <v>186</v>
      </c>
      <c r="Q234" s="59" t="n">
        <f aca="false">ROUND((Flights!$AE$11)*1440,0)/1440</f>
        <v>46303.9166666667</v>
      </c>
      <c r="R234" s="59" t="n">
        <f aca="false">Q234+(IF(AND(INDEX(TZ_DSTS,MATCH(P234,TZ_STN,0))&lt;&gt;"",Q234&gt;=INDEX(TZ_DSTS,MATCH(P234,TZ_STN,0)),Q234&lt;INDEX(TZ_DSTE,MATCH(P234,TZ_STN,0))),INDEX(TZ_DST,MATCH(P234,TZ_STN,0)),INDEX(TZ_STD,MATCH(P234,TZ_STN,0))))/24</f>
        <v>46303.9583333333</v>
      </c>
      <c r="S234" s="60"/>
      <c r="T234" s="60"/>
      <c r="U234" s="60"/>
      <c r="V234" s="60"/>
      <c r="W234" s="61"/>
      <c r="X234" s="60"/>
      <c r="Y234" s="60"/>
      <c r="Z234" s="60"/>
      <c r="AA234" s="60"/>
      <c r="AB234" s="60"/>
      <c r="AC234" s="60"/>
      <c r="AD234" s="66"/>
      <c r="AE234" s="60"/>
      <c r="AF234" s="61" t="str">
        <f aca="false">IF(AND(ISNUMBER(X234),ISNUMBER(Y234)),Y234-X234,"")</f>
        <v/>
      </c>
      <c r="AG234" s="62" t="str">
        <f aca="false">IF(ISNUMBER(AD234),AD234-(IF(AND(INDEX(TZ_DSTS,MATCH(P234,TZ_STN,0))&lt;&gt;"",(AD234-INDEX(TZ_STD,MATCH(P234,TZ_STN,0))/24)&gt;=INDEX(TZ_DSTS,MATCH(P234,TZ_STN,0)),(AD234-INDEX(TZ_STD,MATCH(P234,TZ_STN,0))/24)&lt;INDEX(TZ_DSTE,MATCH(P234,TZ_STN,0))),INDEX(TZ_DST,MATCH(P234,TZ_STN,0)),INDEX(TZ_STD,MATCH(P234,TZ_STN,0))))/24,"")</f>
        <v/>
      </c>
      <c r="AH234" s="65" t="str">
        <f aca="false">IFERROR(IF(N234="N/A – rule",IF(OR(TRIM(U234)="",TRIM(U234)="N/A",TRIM(U234)="Not started"),"N/A – RULE","INVALID – this check does not apply to this aircraft: clear the status (or correct the fleet on Flights)"),IF(TRIM(U234)="N/A",IF(AT234=0,"INVALID – N/A not permitted for this check",IF(AND(TRIM(AB234)&lt;&gt;"",TRIM(AB234)&lt;&gt;"Closed"),"INVALID – corrective action still open",IF(AND(NOT(OR(LEN(AZ234)&lt;15,ISNUMBER(MATCH(AZ234,L_Placeholder,0)))),BK234=0,CG234&gt;=8,NOT(OR(LEN(AU234)&lt;2,ISNUMBER(MATCH(AU234,L_Placeholder,0)))),BR234&gt;=3,NOT(OR(LEN(AX234)&lt;2,ISNUMBER(MATCH(AX234,L_Placeholder,0)))),BS234&gt;=3,TRIM(AE234)&lt;&gt;TRIM(T234),AX234&lt;&gt;AU234,CE234=0),"N/A – JUSTIFIED","INVALID – N/A needs a real, settled reason (not 'not applicable' / 'as above' / TBC), a named PIC and a different named verifier"))),IF(OR(TRIM(U234)="Pass",TRIM(U234)="Pass after CA"),IF(NOT(ISNUMBER(AD234)),"INVALID – completion time missing",IF(OR(OR(LEN(AU234)&lt;2,ISNUMBER(MATCH(AU234,L_Placeholder,0))),BR234&lt;3),"INVALID – PIC missing or not a named person (a role such as QA / CSM is not a name)",IF(OR(LEN(AV234)&lt;2,ISNUMBER(MATCH(AV234,L_Placeholder,0))),"INVALID – result / assessment missing",IF(OR(OR(LEN(AW234)&lt;3,ISNUMBER(MATCH(AW234,L_Placeholder,0))),SUMPRODUCT(--ISNUMBER(SEARCH(" "&amp;L_EvidencePhrase&amp;" ",BD234)))&gt;0,BI234=1),"INVALID – evidence missing, placeholder or not yet on file",IF(ISNA(MATCH(TRIM(S234),L_EvidenceType,0)),"INVALID – choose the evidence type from the list (column S)",IF(BL234=0,"INVALID – evidence ID must be the record's own ID only (e.g. SF-2210, IMG_2231, 1045521); a link / file name needs type 'Link / file path'",IF(OR(OR(LEN(AX234)&lt;2,ISNUMBER(MATCH(AX234,L_Placeholder,0))),BS234&lt;3),"INVALID – verifier missing or not a named person (a role such as QA / CSM is not a name)",IF(OR(AX234=AU234,CE234=1,AND(LEN(AU234)&gt;=4,ISNUMBER(SEARCH(AU234,AX234))),AND(LEN(AX234)&gt;=4,ISNUMBER(SEARCH(AX234,AU234)))),"INVALID – verifier must be a different, named person (not the PIC or a role)",IF(BH234=1,"INVALID – result not yet available (awaiting / TBC)",IF(BG234=1,"INVALID – result describes a problem: record Fail, then Pass after CA (or reword if it is not a problem)",IF(BV234=1,"INVALID – wording says not on board: an on-board confirmation needs the item loaded",IF(AND(AQ234=1,OR(OR(LEN(AY234)&lt;3,ISNUMBER(MATCH(AY234,L_Placeholder,0))),BJ234=1,BQ234=0)),"INVALID – batch ID missing, placeholder or not an ID (e.g. PASB-261008-BC-017)",IF(AND(AR234=1,OR(NOT(ISNUMBER(X234)),NOT(ISNUMBER(Y234)))),"INVALID – expected/actual qty missing",IF(AND(AR234=1,OR(X234&lt;=0,Y234&lt;0)),"INVALID – expected qty must be above 0 and actual not negative",IF(BB234&lt;&gt;"",BB234,IF(AND(AS234=1,Documents!$J$11&lt;&gt;"ON FILE"),"INVALID – GLD not on file (Documents sheet)",IF(AND(AS234=2,Documents!$O$11&lt;&gt;"ON FILE"),"INVALID – menu checklist not on file (Documents sheet)",IF(AND(AS234=3,NOT(ISNUMBER(Flights!$AX$11))),"INVALID – enter carrying flight KUL departure (Flights AX)",IF(AND(AS234=3,OR(Flights!$AZ$11&gt;Flights!$AA$11,Flights!$AX$11&lt;Flights!$AA$11-3)),"INVALID – carrying flight (Flights AX) cannot arrive before this leg's STD, or is over 3 days early",IF(AG234&gt;AsOfUTC,"INVALID – completion time is in the future",IF(AND(ISNUMBER(BY234),AG234&lt;BY234),IF(H234="Physical uplift","INVALID – before uplift window (cannot confirm loading)","INVALID – before valid window"),IF(AG234&gt;Flights!$AA$11,"INVALID – completed after departure (cannot establish readiness)",IF(AND(H234="Preparation",AG234&gt;=IF(ISNUMBER(Flights!$BA$11),MIN(Flights!$BA$11,Flights!$AA$11),Flights!$AA$11)),"INVALID – completed after loading / departure (cannot establish readiness)",IF(AND(H234="Physical uplift",AG234&gt;Q234),"INVALID – recorded after the loading flight departed",IF(AG234&gt;Q234,"COMPLETE – LATE","COMPLETE"))))))))))))))))))))))))),IF(TRIM(U234)="Fail","FAIL – DISCREPANCY",IF(AND(TRIM(U234)&lt;&gt;"",TRIM(U234)&lt;&gt;"Not started",TRIM(U234)&lt;&gt;"In progress"),"INVALID – unrecognised status (use the list)",IF(AsOfUTC&gt;Q234,"OVERDUE",IF(N234="Clarification required","OPEN – CLARIFICATION","OPEN"))))))),"INVALID – error value in an input cell")</f>
        <v>OPEN</v>
      </c>
      <c r="AI234" s="61" t="n">
        <f aca="false">IF(OR(AH234="N/A – RULE",AH234="N/A – JUSTIFIED"),0,1)</f>
        <v>1</v>
      </c>
      <c r="AJ234" s="61" t="n">
        <f aca="false">IF(LEFT(AH234,8)="COMPLETE",1,0)</f>
        <v>0</v>
      </c>
      <c r="AK234" s="61" t="n">
        <f aca="false">IF(AND(AI234=1,AJ234=0,AsOfUTC&gt;Q234),1,0)</f>
        <v>0</v>
      </c>
      <c r="AL234" s="61" t="n">
        <f aca="false">IFERROR(IF(AND(AI234=1,OR(TRIM(U234)="Fail",AND(TRIM(AB234)&lt;&gt;"",TRIM(AB234)&lt;&gt;"Closed"),AND(ISNUMBER(AF234),AF234&lt;&gt;0,TRIM(U234)&lt;&gt;"Pass after CA"))),1,0),1)</f>
        <v>0</v>
      </c>
      <c r="AM234" s="61" t="n">
        <f aca="false">IF(LEFT(AH234,7)="INVALID",1,0)</f>
        <v>0</v>
      </c>
      <c r="AN234" s="61" t="n">
        <f aca="false">IF(AND(N234="Clarification required",AI234=1,AJ234=0),1,0)</f>
        <v>0</v>
      </c>
      <c r="AO234" s="61" t="str">
        <f aca="false">IF(AK234=1,SUM(AK$5:AK234),"")</f>
        <v/>
      </c>
      <c r="AP234" s="61" t="str">
        <f aca="false">IF(AL234=1,SUM(AL$5:AL234),"")</f>
        <v/>
      </c>
      <c r="AQ234" s="61" t="n">
        <v>0</v>
      </c>
      <c r="AR234" s="61" t="n">
        <v>0</v>
      </c>
      <c r="AS234" s="61" t="n">
        <v>0</v>
      </c>
      <c r="AT234" s="61" t="n">
        <v>0</v>
      </c>
      <c r="AU234" s="61" t="str">
        <f aca="false">SUBSTITUTE(SUBSTITUTE(SUBSTITUTE(SUBSTITUTE(SUBSTITUTE(SUBSTITUTE(SUBSTITUTE(SUBSTITUTE(SUBSTITUTE(SUBSTITUTE(SUBSTITUTE(SUBSTITUTE(SUBSTITUTE(SUBSTITUTE(SUBSTITUTE(SUBSTITUTE(LOWER(T234&amp;""),CHAR(10),""),CHAR(13),""),CHAR(9),""),CHAR(160),"")," ",""),".",""),"-",""),"/",""),"?",""),"_",""),",",""),"[",""),"]",""),"(",""),")",""),"*","")</f>
        <v/>
      </c>
      <c r="AV234" s="61" t="str">
        <f aca="false">SUBSTITUTE(SUBSTITUTE(SUBSTITUTE(SUBSTITUTE(SUBSTITUTE(SUBSTITUTE(SUBSTITUTE(SUBSTITUTE(SUBSTITUTE(SUBSTITUTE(SUBSTITUTE(SUBSTITUTE(SUBSTITUTE(SUBSTITUTE(SUBSTITUTE(SUBSTITUTE(LOWER(V234&amp;""),CHAR(10),""),CHAR(13),""),CHAR(9),""),CHAR(160),"")," ",""),".",""),"-",""),"/",""),"?",""),"_",""),",",""),"[",""),"]",""),"(",""),")",""),"*","")</f>
        <v/>
      </c>
      <c r="AW234" s="61" t="str">
        <f aca="false">SUBSTITUTE(SUBSTITUTE(SUBSTITUTE(SUBSTITUTE(SUBSTITUTE(SUBSTITUTE(SUBSTITUTE(SUBSTITUTE(SUBSTITUTE(SUBSTITUTE(SUBSTITUTE(SUBSTITUTE(SUBSTITUTE(SUBSTITUTE(SUBSTITUTE(SUBSTITUTE(LOWER(Z234&amp;""),CHAR(10),""),CHAR(13),""),CHAR(9),""),CHAR(160),"")," ",""),".",""),"-",""),"/",""),"?",""),"_",""),",",""),"[",""),"]",""),"(",""),")",""),"*","")</f>
        <v/>
      </c>
      <c r="AX234" s="61" t="str">
        <f aca="false">SUBSTITUTE(SUBSTITUTE(SUBSTITUTE(SUBSTITUTE(SUBSTITUTE(SUBSTITUTE(SUBSTITUTE(SUBSTITUTE(SUBSTITUTE(SUBSTITUTE(SUBSTITUTE(SUBSTITUTE(SUBSTITUTE(SUBSTITUTE(SUBSTITUTE(SUBSTITUTE(LOWER(AE234&amp;""),CHAR(10),""),CHAR(13),""),CHAR(9),""),CHAR(160),"")," ",""),".",""),"-",""),"/",""),"?",""),"_",""),",",""),"[",""),"]",""),"(",""),")",""),"*","")</f>
        <v/>
      </c>
      <c r="AY234" s="61" t="str">
        <f aca="false">SUBSTITUTE(SUBSTITUTE(SUBSTITUTE(SUBSTITUTE(SUBSTITUTE(SUBSTITUTE(SUBSTITUTE(SUBSTITUTE(SUBSTITUTE(SUBSTITUTE(SUBSTITUTE(SUBSTITUTE(SUBSTITUTE(SUBSTITUTE(SUBSTITUTE(SUBSTITUTE(LOWER(W234&amp;""),CHAR(10),""),CHAR(13),""),CHAR(9),""),CHAR(160),"")," ",""),".",""),"-",""),"/",""),"?",""),"_",""),",",""),"[",""),"]",""),"(",""),")",""),"*","")</f>
        <v/>
      </c>
      <c r="AZ234" s="61" t="str">
        <f aca="false">SUBSTITUTE(SUBSTITUTE(SUBSTITUTE(SUBSTITUTE(SUBSTITUTE(SUBSTITUTE(SUBSTITUTE(SUBSTITUTE(SUBSTITUTE(SUBSTITUTE(SUBSTITUTE(SUBSTITUTE(SUBSTITUTE(SUBSTITUTE(SUBSTITUTE(SUBSTITUTE(LOWER(AC234&amp;""),CHAR(10),""),CHAR(13),""),CHAR(9),""),CHAR(160),"")," ",""),".",""),"-",""),"/",""),"?",""),"_",""),",",""),"[",""),"]",""),"(",""),")",""),"*","")</f>
        <v/>
      </c>
      <c r="BA234" s="61" t="str">
        <f aca="false">SUBSTITUTE(SUBSTITUTE(SUBSTITUTE(SUBSTITUTE(SUBSTITUTE(SUBSTITUTE(SUBSTITUTE(SUBSTITUTE(SUBSTITUTE(SUBSTITUTE(SUBSTITUTE(SUBSTITUTE(SUBSTITUTE(SUBSTITUTE(SUBSTITUTE(SUBSTITUTE(LOWER(AA234&amp;""),CHAR(10),""),CHAR(13),""),CHAR(9),""),CHAR(160),"")," ",""),".",""),"-",""),"/",""),"?",""),"_",""),",",""),"[",""),"]",""),"(",""),")",""),"*","")</f>
        <v/>
      </c>
      <c r="BB234" s="61" t="str">
        <f aca="false">IF(AND(TRIM(U234)="Pass",ISNUMBER(AF234)),IF(AF234&lt;&gt;0,"INVALID – qty variance: use Fail or Pass after CA",""),"")&amp;IF(AND(TRIM(U234)="Pass after CA",ISNUMBER(AF234)),IF(AF234&lt;&gt;0,"INVALID – after the corrective action the actual qty must equal expected (update Actual)",""),"")&amp;IF(AND(TRIM(U234)="Pass",TRIM(AB234)&lt;&gt;"",TRIM(AB234)&lt;&gt;"Closed"),"INVALID – corrective action not closed: use Fail, then Pass after CA","")&amp;IF(AND(LEN(BA234)&gt;=2,ISNA(MATCH(LEFT(BA234,255),L_Placeholder,0)),TRIM(AB234)=""),"INVALID – CA status missing for the recorded corrective action","")&amp;IF(AND(TRIM(U234)="Pass after CA",OR(OR(LEN(BA234)&lt;5,ISNUMBER(MATCH(BA234,L_Placeholder,0))),TRIM(AB234)&lt;&gt;"Closed")),"INVALID – corrective action not recorded/closed","")</f>
        <v/>
      </c>
      <c r="BC234" s="61" t="str">
        <f aca="false">" "&amp;TRIM(SUBSTITUTE(SUBSTITUTE(SUBSTITUTE(SUBSTITUTE(SUBSTITUTE(SUBSTITUTE(SUBSTITUTE(SUBSTITUTE(SUBSTITUTE(SUBSTITUTE(SUBSTITUTE(SUBSTITUTE(SUBSTITUTE(SUBSTITUTE(SUBSTITUTE(SUBSTITUTE(SUBSTITUTE(SUBSTITUTE(SUBSTITUTE(SUBSTITUTE(SUBSTITUTE(SUBSTITUTE(SUBSTITUTE(SUBSTITUTE(LOWER(V234&amp;""),CHAR(10)," "),CHAR(13)," "),CHAR(9)," "),CHAR(160)," "),"."," "),","," "),"-"," "),"/"," "),"("," "),")"," "),":"," "),";"," "),"_"," "),"–"," "),"?"," "),"!"," "),"*"," "),"["," "),"]"," "),"'"," "),"#"," "),"+"," "),"&amp;"," "),"\"," "))&amp;" "</f>
        <v>  </v>
      </c>
      <c r="BD234" s="61" t="str">
        <f aca="false">" "&amp;TRIM(SUBSTITUTE(SUBSTITUTE(SUBSTITUTE(SUBSTITUTE(SUBSTITUTE(SUBSTITUTE(SUBSTITUTE(SUBSTITUTE(SUBSTITUTE(SUBSTITUTE(SUBSTITUTE(SUBSTITUTE(SUBSTITUTE(SUBSTITUTE(SUBSTITUTE(SUBSTITUTE(SUBSTITUTE(SUBSTITUTE(SUBSTITUTE(SUBSTITUTE(SUBSTITUTE(SUBSTITUTE(SUBSTITUTE(SUBSTITUTE(LOWER(Z234&amp;""),CHAR(10)," "),CHAR(13)," "),CHAR(9)," "),CHAR(160)," "),"."," "),","," "),"-"," "),"/"," "),"("," "),")"," "),":"," "),";"," "),"_"," "),"–"," "),"?"," "),"!"," "),"*"," "),"["," "),"]"," "),"'"," "),"#"," "),"+"," "),"&amp;"," "),"\"," "))&amp;" "</f>
        <v>  </v>
      </c>
      <c r="BE234" s="61" t="str">
        <f aca="false">" "&amp;TRIM(SUBSTITUTE(SUBSTITUTE(SUBSTITUTE(SUBSTITUTE(SUBSTITUTE(SUBSTITUTE(SUBSTITUTE(SUBSTITUTE(SUBSTITUTE(SUBSTITUTE(SUBSTITUTE(SUBSTITUTE(SUBSTITUTE(SUBSTITUTE(SUBSTITUTE(SUBSTITUTE(SUBSTITUTE(SUBSTITUTE(SUBSTITUTE(SUBSTITUTE(SUBSTITUTE(SUBSTITUTE(SUBSTITUTE(SUBSTITUTE(LOWER(W234&amp;""),CHAR(10)," "),CHAR(13)," "),CHAR(9)," "),CHAR(160)," "),"."," "),","," "),"-"," "),"/"," "),"("," "),")"," "),":"," "),";"," "),"_"," "),"–"," "),"?"," "),"!"," "),"*"," "),"["," "),"]"," "),"'"," "),"#"," "),"+"," "),"&amp;"," "),"\"," "))&amp;" "</f>
        <v>  </v>
      </c>
      <c r="BF234" s="61" t="str">
        <f aca="false">" "&amp;TRIM(SUBSTITUTE(SUBSTITUTE(SUBSTITUTE(SUBSTITUTE(SUBSTITUTE(SUBSTITUTE(SUBSTITUTE(SUBSTITUTE(SUBSTITUTE(SUBSTITUTE(SUBSTITUTE(SUBSTITUTE(SUBSTITUTE(SUBSTITUTE(SUBSTITUTE(SUBSTITUTE(SUBSTITUTE(SUBSTITUTE(SUBSTITUTE(SUBSTITUTE(SUBSTITUTE(SUBSTITUTE(SUBSTITUTE(SUBSTITUTE(LOWER(AC234&amp;""),CHAR(10)," "),CHAR(13)," "),CHAR(9)," "),CHAR(160)," "),"."," "),","," "),"-"," "),"/"," "),"("," "),")"," "),":"," "),";"," "),"_"," "),"–"," "),"?"," "),"!"," "),"*"," "),"["," "),"]"," "),"'"," "),"#"," "),"+"," "),"&amp;"," "),"\"," "))&amp;" "</f>
        <v>  </v>
      </c>
      <c r="BG234" s="61" t="n">
        <f aca="false">IFERROR(IF(AND(TRIM(U234)="Pass",SUMPRODUCT((LEN(BC234)-LEN(SUBSTITUTE(BC234," "&amp;L_ResultBad&amp;" "," ")))/(LEN(L_ResultBad)+1))&gt;SUMPRODUCT((LEN(BC234)-LEN(SUBSTITUTE(BC234," "&amp;L_NegPhrase&amp;" "," ")))/(LEN(L_NegPhrase)+1))),1,0),0)</f>
        <v>0</v>
      </c>
      <c r="BH234" s="61" t="n">
        <f aca="false">IFERROR(IF(SUMPRODUCT((LEN(BC234)-LEN(SUBSTITUTE(BC234," "&amp;L_Pending&amp;" "," ")))/(LEN(L_Pending)+1))&gt;SUMPRODUCT((LEN(BC234)-LEN(SUBSTITUTE(BC234," "&amp;L_PendNeg&amp;" "," ")))/(LEN(L_PendNeg)+1))+SUMPRODUCT((LEN(BC234)-LEN(SUBSTITUTE(BC234," "&amp;L_PendPrep&amp;" "," ")))/(LEN(L_PendPrep)+1)),1,0),1)</f>
        <v>0</v>
      </c>
      <c r="BI234" s="61" t="n">
        <f aca="false">IFERROR(IF(SUMPRODUCT((LEN(BD234)-LEN(SUBSTITUTE(BD234," "&amp;L_PendStrict&amp;" "," ")))/(LEN(L_PendStrict)+1))&gt;SUMPRODUCT((LEN(BD234)-LEN(SUBSTITUTE(BD234," "&amp;L_PendNeg&amp;" "," ")))/(LEN(L_PendNeg)+1)),1,0),1)</f>
        <v>0</v>
      </c>
      <c r="BJ234" s="61" t="n">
        <f aca="false">IFERROR(IF(SUMPRODUCT((LEN(BE234)-LEN(SUBSTITUTE(BE234," "&amp;L_Pending&amp;" "," ")))/(LEN(L_Pending)+1))&gt;SUMPRODUCT((LEN(BE234)-LEN(SUBSTITUTE(BE234," "&amp;L_PendNeg&amp;" "," ")))/(LEN(L_PendNeg)+1))+SUMPRODUCT((LEN(BE234)-LEN(SUBSTITUTE(BE234," "&amp;L_PendPrep&amp;" "," ")))/(LEN(L_PendPrep)+1)),1,0),1)</f>
        <v>0</v>
      </c>
      <c r="BK234" s="61" t="n">
        <f aca="false">IFERROR(IF(SUMPRODUCT((LEN(BF234)-LEN(SUBSTITUTE(BF234," "&amp;L_PendStrict&amp;" "," ")))/(LEN(L_PendStrict)+1))&gt;SUMPRODUCT((LEN(BF234)-LEN(SUBSTITUTE(BF234," "&amp;L_PendNeg&amp;" "," ")))/(LEN(L_PendNeg)+1)),1,0),1)</f>
        <v>0</v>
      </c>
      <c r="BL234" s="61" t="n">
        <f aca="false">IF(ISNA(MATCH(TRIM(S234),L_EvidenceType,0)),0,BZ234)</f>
        <v>0</v>
      </c>
      <c r="BM234" s="61" t="str">
        <f aca="false">SUBSTITUTE(SUBSTITUTE(SUBSTITUTE(SUBSTITUTE(SUBSTITUTE(SUBSTITUTE(SUBSTITUTE(SUBSTITUTE(SUBSTITUTE(LOWER(Z234&amp;""),"1","0"),"2","0"),"3","0"),"4","0"),"5","0"),"6","0"),"7","0"),"8","0"),"9","0")</f>
        <v/>
      </c>
      <c r="BN234" s="61" t="str">
        <f aca="false">SUBSTITUTE(SUBSTITUTE(SUBSTITUTE(SUBSTITUTE(SUBSTITUTE(SUBSTITUTE(SUBSTITUTE(SUBSTITUTE(SUBSTITUTE(SUBSTITUTE(SUBSTITUTE(SUBSTITUTE(SUBSTITUTE(SUBSTITUTE(SUBSTITUTE(SUBSTITUTE(SUBSTITUTE(SUBSTITUTE(SUBSTITUTE(SUBSTITUTE(SUBSTITUTE(SUBSTITUTE(SUBSTITUTE(SUBSTITUTE(SUBSTITUTE(BM234,"b","a"),"c","a"),"d","a"),"e","a"),"f","a"),"g","a"),"h","a"),"i","a"),"j","a"),"k","a"),"l","a"),"m","a"),"n","a"),"o","a"),"p","a"),"q","a"),"r","a"),"s","a"),"t","a"),"u","a"),"v","a"),"w","a"),"x","a"),"y","a"),"z","a")</f>
        <v/>
      </c>
      <c r="BO234" s="61" t="str">
        <f aca="false">SUBSTITUTE(SUBSTITUTE(SUBSTITUTE(SUBSTITUTE(SUBSTITUTE(SUBSTITUTE(SUBSTITUTE(SUBSTITUTE(SUBSTITUTE(LOWER(W234&amp;""),"1","0"),"2","0"),"3","0"),"4","0"),"5","0"),"6","0"),"7","0"),"8","0"),"9","0")</f>
        <v/>
      </c>
      <c r="BP234" s="61" t="str">
        <f aca="false">SUBSTITUTE(SUBSTITUTE(SUBSTITUTE(SUBSTITUTE(SUBSTITUTE(SUBSTITUTE(SUBSTITUTE(SUBSTITUTE(SUBSTITUTE(SUBSTITUTE(SUBSTITUTE(SUBSTITUTE(SUBSTITUTE(SUBSTITUTE(SUBSTITUTE(SUBSTITUTE(SUBSTITUTE(SUBSTITUTE(SUBSTITUTE(SUBSTITUTE(SUBSTITUTE(SUBSTITUTE(SUBSTITUTE(SUBSTITUTE(SUBSTITUTE(BO234,"b","a"),"c","a"),"d","a"),"e","a"),"f","a"),"g","a"),"h","a"),"i","a"),"j","a"),"k","a"),"l","a"),"m","a"),"n","a"),"o","a"),"p","a"),"q","a"),"r","a"),"s","a"),"t","a"),"u","a"),"v","a"),"w","a"),"x","a"),"y","a"),"z","a")</f>
        <v/>
      </c>
      <c r="BQ234" s="61" t="n">
        <f aca="false">IFERROR(IF(AND(ISERROR(SEARCH(" mh"," "&amp;LOWER(W234))),ISNA(MATCH(LEFT(TRIM(BP234),255),{"0000a","000a","00a","0000aa","000aa","00aa","0aa","0000aaa","000aaa","00a00","0a00","0000-0000","00:00","a00","a0","00.00.0000","00/00/0000","00-00-0000","0000-00-00","0000/00/00","0000.00.00","00.00.00","00/00/00","00-00-00","0.00.0000","0/00/0000","0-00-0000"},0)),ISNA(MATCH(LEFT(TRIM(CA234),255),{"0000a","000a","00a","0000aa","000aa","00aa","0aa","0000aaa","000aaa","00a00","0a00","0000-0000","00:00","a00","a0","00.00.0000","00/00/0000","00-00-0000","0000-00-00","0000/00/00","0000.00.00","00.00.00","00/00/00","00-00-00","0.00.0000","0/00/0000","0-00-0000"},0)),LEN(CB234)&gt;=3,NOT(OR(SUBSTITUTE(CB234,"0","")="",AND(LEN(CB234)&gt;=4,CB234=REPT(LEFT(CB234),LEN(CB234))),ISNUMBER(MATCH(CB234,{"123","1234","12345","123456","1234567","12345678","0123","01234","012345","98765","987654","54321"},0)),AND(LEN(CB234)=8,LEFT(CB234,3)="202"))),OR(AND((LEN(CA234)-LEN(SUBSTITUTE(CA234,"a","")))&gt;=1,SUMPRODUCT(--ISNUMBER(SEARCH({"a0","a-0","a_0","a/0","a.0","a#0","0a","0-a","0_a","0/a"},BP234)))&gt;0),ISNUMBER(SEARCH("000000",BP234)))),1,0),0)</f>
        <v>0</v>
      </c>
      <c r="BR234" s="61" t="n">
        <f aca="false">IFERROR(LEN(SUBSTITUTE(CC234," ",""))-SUMPRODUCT((LEN(CC234)-LEN(SUBSTITUTE(CC234," "&amp;L_Role&amp;" "," ")))/(LEN(L_Role)+1)*LEN(L_Role)),0)</f>
        <v>0</v>
      </c>
      <c r="BS234" s="61" t="n">
        <f aca="false">IFERROR(LEN(SUBSTITUTE(CD234," ",""))-SUMPRODUCT((LEN(CD234)-LEN(SUBSTITUTE(CD234," "&amp;L_Role&amp;" "," ")))/(LEN(L_Role)+1)*LEN(L_Role)),0)</f>
        <v>0</v>
      </c>
      <c r="BT2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234,"revision",""),"version",""),"jan",""),"feb",""),"mar",""),"apr",""),"may",""),"jun",""),"jul",""),"aug",""),"sep",""),"oct",""),"nov",""),"dec",""),"utc",""),"gmt",""),"myt",""),"bst",""),"rev",""),"ver",""),"b","a"),"c","a"),"d","a"),"e","a"),"f","a"),"g","a"),"h","a"),"i","a"),"j","a"),"k","a"),"l","a"),"m","a"),"n","a"),"o","a"),"p","a"),"q","a"),"r","a"),"s","a"),"t","a"),"u","a"),"v","a"),"w","a"),"x","a"),"y","a"),"z","a")</f>
        <v/>
      </c>
      <c r="BU234" s="61" t="str">
        <f aca="false">SUBSTITUTE(SUBSTITUTE(SUBSTITUTE(SUBSTITUTE(SUBSTITUTE(SUBSTITUTE(SUBSTITUTE(SUBSTITUTE(SUBSTITUTE(SUBSTITUTE(LEFT(BM234,FIND("0",BM234&amp;"0")-1),"-",""),"_",""),"/",""),".",""),"#",""),"\\",""),":","")," ",""),"(",""),")","")</f>
        <v/>
      </c>
      <c r="BV234" s="61" t="n">
        <f aca="false">0</f>
        <v>0</v>
      </c>
      <c r="BW2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234&amp;""),"a",""),"b",""),"c",""),"d",""),"e",""),"f",""),"g",""),"h",""),"i",""),"j",""),"k",""),"l",""),"m",""),"n",""),"o",""),"p",""),"q",""),"r",""),"s",""),"t",""),"u",""),"v",""),"w",""),"x",""),"y",""),"z",""),"-",""),"_",""),"/",""),".",""),"#",""),"\\",""),":","")," ",""),"(",""),")","")</f>
        <v/>
      </c>
      <c r="BX234" s="61" t="str">
        <f aca="false">SUBSTITUTE(SUBSTITUTE(SUBSTITUTE(SUBSTITUTE(SUBSTITUTE(SUBSTITUTE(SUBSTITUTE(SUBSTITUTE(SUBSTITUTE(SUBSTITUTE(SUBSTITUTE(BM234,"0",""),"-",""),"_",""),"/",""),".",""),"#",""),"\\",""),":","")," ",""),"(",""),")","")</f>
        <v/>
      </c>
      <c r="BY234" s="62" t="n">
        <f aca="false">Q234-T12EarlyH/24</f>
        <v>46303.4166666667</v>
      </c>
      <c r="BZ234" s="61" t="n">
        <f aca="false">IFERROR(IF(IF(TRIM(S234)="Link / file path",AND(LEN(TRIM(Z234))&gt;=5,SUMPRODUCT(--ISNUMBER(SEARCH({"http","www.","\\",":\",".pdf",".jpg",".jpeg",".png",".heic",".xls",".doc",".msg",".eml",".ppt",".txt",".zip"},Z234)))&gt;0),AND(ISERROR(FIND(" ",TRIM(Z234))),NOT(OR(SUMPRODUCT(--ISNUMBER(FIND({",",";","&amp;","+"},Z234)))&gt;0,SUMPRODUCT(--ISNUMBER(SEARCH({"0/aa","0\\aa"},BN234)))&gt;0)),NOT(SUMPRODUCT(--ISNUMBER(SEARCH({"http","www.","\\",":\",".pdf",".jpg",".jpeg",".png",".heic",".xls",".doc",".msg",".eml",".ppt",".txt",".zip"},Z234)))&gt;0),NOT(LOWER(TRIM(Z234))=LOWER(Flights!$F$11)),ISNA(MATCH(BU234,{"mh","rev","revision","ver","version","v","r","a","b","seat","tray","row","gate","bay","stand","page","pg","item","line","no","cart","galley","flight","flt","table","box","bag","oven","etd","eta","std","sta","atd","ata","qty","pax","x","time","tel","ph","mob","day","wk","week","utc","gmt","myt","lt"},0)),NOT(OR(ISNUMBER(MATCH(LEFT(BN234,255),{"0000a","000a","00a","0000aa","000aa","00aa","0aa","0000aaa","000aaa","00a00","0a00","0000-0000","00:00","a00","a0","00.00.0000","00/00/0000","00-00-0000","0000-00-00","0000/00/00","0000.00.00","00.00.00","00/00/00","00-00-00","0.00.0000","0/00/0000","0-00-0000"},0)),ISNUMBER(MATCH(LEFT(BT234,255),{"0000a","000a","00a","0000aa","000aa","00aa","0aa","0000aaa","000aaa","00a00","0a00","0000-0000","00:00","a00","a0","00.00.0000","00/00/0000","00-00-0000","0000-00-00","0000/00/00","0000.00.00","00.00.00","00/00/00","00-00-00","0.00.0000","0/00/0000","0-00-0000"},0)))),NOT(OR(AND(BW234&lt;&gt;"",SUBSTITUTE(BW234,"0","")=""),AND(LEN(BW234)&gt;=4,BW234=REPT(LEFT(BW234),LEN(BW234))),ISNUMBER(MATCH(BW234,{"123","1234","12345","123456","1234567","12345678","0123","01234","012345","98765","987654","54321"},0)),ISNUMBER(MATCH(BX234,{"x","xx","xxx","xxxx","xxxxx","abc","abcd","nil","na","nan","test","tbc","tba","tbd","dummy","sample","example","eg","zz","zzz","none","null","xyz","qwe","asd","id","ref"},0)),AND(LEN(BW234)=8,BX234="",OR(LEFT(BW234,3)="202",ISNUMBER(MATCH(RIGHT(BW234,4),{"2025","2026","2027"},0)))))),OR(AND((LEN(BT234)-LEN(SUBSTITUTE(BT234,"a","")))&gt;=1,(LEN(BN234)-LEN(SUBSTITUTE(BN234,"0","")))&gt;=2,SUMPRODUCT(--ISNUMBER(SEARCH({"a0","a-0","a_0","a/0","a.0","a#0","0a","0-a","0_a","0/a"},BN234)))&gt;0),AND((LEN(BN234)-LEN(SUBSTITUTE(BN234,"a","")))=0,(LEN(BN234)-LEN(SUBSTITUTE(BN234,"0","")))&gt;=5)))),1,0),0)</f>
        <v>0</v>
      </c>
      <c r="CA2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234,"revision",""),"version",""),"jan",""),"feb",""),"mar",""),"apr",""),"may",""),"jun",""),"jul",""),"aug",""),"sep",""),"oct",""),"nov",""),"dec",""),"utc",""),"gmt",""),"myt",""),"bst",""),"rev",""),"ver",""),"b","a"),"c","a"),"d","a"),"e","a"),"f","a"),"g","a"),"h","a"),"i","a"),"j","a"),"k","a"),"l","a"),"m","a"),"n","a"),"o","a"),"p","a"),"q","a"),"r","a"),"s","a"),"t","a"),"u","a"),"v","a"),"w","a"),"x","a"),"y","a"),"z","a")</f>
        <v/>
      </c>
      <c r="CB2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234&amp;""),"a",""),"b",""),"c",""),"d",""),"e",""),"f",""),"g",""),"h",""),"i",""),"j",""),"k",""),"l",""),"m",""),"n",""),"o",""),"p",""),"q",""),"r",""),"s",""),"t",""),"u",""),"v",""),"w",""),"x",""),"y",""),"z",""),"-",""),"_",""),"/",""),".",""),"#",""),"\\",""),":","")," ",""),"(",""),")","")</f>
        <v/>
      </c>
      <c r="CC234" s="0" t="str">
        <f aca="false">" "&amp;TRIM(SUBSTITUTE(SUBSTITUTE(SUBSTITUTE(SUBSTITUTE(SUBSTITUTE(SUBSTITUTE(SUBSTITUTE(SUBSTITUTE(SUBSTITUTE(SUBSTITUTE(SUBSTITUTE(SUBSTITUTE(SUBSTITUTE(SUBSTITUTE(SUBSTITUTE(SUBSTITUTE(SUBSTITUTE(SUBSTITUTE(SUBSTITUTE(SUBSTITUTE(SUBSTITUTE(SUBSTITUTE(SUBSTITUTE(SUBSTITUTE(LOWER(T234&amp;""),CHAR(10)," "),CHAR(13)," "),CHAR(9)," "),CHAR(160)," "),"."," "),","," "),"-"," "),"/"," "),"("," "),")"," "),":"," "),";"," "),"_"," "),"–"," "),"?"," "),"!"," "),"*"," "),"["," "),"]"," "),"'"," "),"#"," "),"+"," "),"&amp;"," "),"\"," "))&amp;" "</f>
        <v>  </v>
      </c>
      <c r="CD234" s="0" t="str">
        <f aca="false">" "&amp;TRIM(SUBSTITUTE(SUBSTITUTE(SUBSTITUTE(SUBSTITUTE(SUBSTITUTE(SUBSTITUTE(SUBSTITUTE(SUBSTITUTE(SUBSTITUTE(SUBSTITUTE(SUBSTITUTE(SUBSTITUTE(SUBSTITUTE(SUBSTITUTE(SUBSTITUTE(SUBSTITUTE(SUBSTITUTE(SUBSTITUTE(SUBSTITUTE(SUBSTITUTE(SUBSTITUTE(SUBSTITUTE(SUBSTITUTE(SUBSTITUTE(LOWER(AE234&amp;""),CHAR(10)," "),CHAR(13)," "),CHAR(9)," "),CHAR(160)," "),"."," "),","," "),"-"," "),"/"," "),"("," "),")"," "),":"," "),";"," "),"_"," "),"–"," "),"?"," "),"!"," "),"*"," "),"["," "),"]"," "),"'"," "),"#"," "),"+"," "),"&amp;"," "),"\"," "))&amp;" "</f>
        <v>  </v>
      </c>
      <c r="CE234" s="68" t="n">
        <f aca="false">IFERROR(IF(AND(LEN(AU234)&gt;0,LEN(AU234)=LEN(AX234),OR(TRIM(MID(SUBSTITUTE(TRIM(CC234)," ",REPT(" ",60)),1,60))="",ISNUMBER(SEARCH(" "&amp;TRIM(MID(SUBSTITUTE(TRIM(CC234)," ",REPT(" ",60)),1,60))&amp;" ",CD234))),OR(TRIM(MID(SUBSTITUTE(TRIM(CC234)," ",REPT(" ",60)),61,60))="",ISNUMBER(SEARCH(" "&amp;TRIM(MID(SUBSTITUTE(TRIM(CC234)," ",REPT(" ",60)),61,60))&amp;" ",CD234))),OR(TRIM(MID(SUBSTITUTE(TRIM(CC234)," ",REPT(" ",60)),121,60))="",ISNUMBER(SEARCH(" "&amp;TRIM(MID(SUBSTITUTE(TRIM(CC234)," ",REPT(" ",60)),121,60))&amp;" ",CD234)))),1,0),0)</f>
        <v>0</v>
      </c>
      <c r="CG234" s="68" t="n">
        <f aca="false">IFERROR(LEN(SUBSTITUTE(BF234," ",""))-SUMPRODUCT((LEN(BF234)-LEN(SUBSTITUTE(BF234," "&amp;L_NAFiller&amp;" "," ")))/(LEN(L_NAFiller)+1)*LEN(L_NAFiller)),0)</f>
        <v>0</v>
      </c>
    </row>
    <row r="235" customFormat="false" ht="41.25" hidden="false" customHeight="true" outlineLevel="0" collapsed="false">
      <c r="A235" s="57" t="s">
        <v>801</v>
      </c>
      <c r="B235" s="57" t="s">
        <v>235</v>
      </c>
      <c r="C235" s="57" t="str">
        <f aca="false">Flights!$F$11</f>
        <v>MH0003</v>
      </c>
      <c r="D235" s="58" t="n">
        <f aca="false">Flights!$D$11</f>
        <v>46304</v>
      </c>
      <c r="E235" s="57" t="str">
        <f aca="false">Flights!$G$11&amp;"-"&amp;Flights!$H$11</f>
        <v>LHR-KUL</v>
      </c>
      <c r="F235" s="57" t="str">
        <f aca="false">Flights!$K$11</f>
        <v>BC</v>
      </c>
      <c r="G235" s="57" t="s">
        <v>420</v>
      </c>
      <c r="H235" s="57" t="s">
        <v>378</v>
      </c>
      <c r="I235" s="57" t="s">
        <v>499</v>
      </c>
      <c r="J235" s="57" t="s">
        <v>505</v>
      </c>
      <c r="K235" s="67" t="s">
        <v>501</v>
      </c>
      <c r="L235" s="67" t="s">
        <v>738</v>
      </c>
      <c r="M235" s="67" t="s">
        <v>451</v>
      </c>
      <c r="N235" s="67" t="s">
        <v>383</v>
      </c>
      <c r="O235" s="67" t="s">
        <v>452</v>
      </c>
      <c r="P235" s="57" t="s">
        <v>186</v>
      </c>
      <c r="Q235" s="59" t="n">
        <f aca="false">ROUND((Flights!$AE$11)*1440,0)/1440</f>
        <v>46303.9166666667</v>
      </c>
      <c r="R235" s="59" t="n">
        <f aca="false">Q235+(IF(AND(INDEX(TZ_DSTS,MATCH(P235,TZ_STN,0))&lt;&gt;"",Q235&gt;=INDEX(TZ_DSTS,MATCH(P235,TZ_STN,0)),Q235&lt;INDEX(TZ_DSTE,MATCH(P235,TZ_STN,0))),INDEX(TZ_DST,MATCH(P235,TZ_STN,0)),INDEX(TZ_STD,MATCH(P235,TZ_STN,0))))/24</f>
        <v>46303.9583333333</v>
      </c>
      <c r="S235" s="60"/>
      <c r="T235" s="60"/>
      <c r="U235" s="60"/>
      <c r="V235" s="60"/>
      <c r="W235" s="61"/>
      <c r="X235" s="60"/>
      <c r="Y235" s="60"/>
      <c r="Z235" s="60"/>
      <c r="AA235" s="60"/>
      <c r="AB235" s="60"/>
      <c r="AC235" s="60"/>
      <c r="AD235" s="66"/>
      <c r="AE235" s="60"/>
      <c r="AF235" s="61" t="str">
        <f aca="false">IF(AND(ISNUMBER(X235),ISNUMBER(Y235)),Y235-X235,"")</f>
        <v/>
      </c>
      <c r="AG235" s="62" t="str">
        <f aca="false">IF(ISNUMBER(AD235),AD235-(IF(AND(INDEX(TZ_DSTS,MATCH(P235,TZ_STN,0))&lt;&gt;"",(AD235-INDEX(TZ_STD,MATCH(P235,TZ_STN,0))/24)&gt;=INDEX(TZ_DSTS,MATCH(P235,TZ_STN,0)),(AD235-INDEX(TZ_STD,MATCH(P235,TZ_STN,0))/24)&lt;INDEX(TZ_DSTE,MATCH(P235,TZ_STN,0))),INDEX(TZ_DST,MATCH(P235,TZ_STN,0)),INDEX(TZ_STD,MATCH(P235,TZ_STN,0))))/24,"")</f>
        <v/>
      </c>
      <c r="AH235" s="65" t="str">
        <f aca="false">IFERROR(IF(N235="N/A – rule",IF(OR(TRIM(U235)="",TRIM(U235)="N/A",TRIM(U235)="Not started"),"N/A – RULE","INVALID – this check does not apply to this aircraft: clear the status (or correct the fleet on Flights)"),IF(TRIM(U235)="N/A",IF(AT235=0,"INVALID – N/A not permitted for this check",IF(AND(TRIM(AB235)&lt;&gt;"",TRIM(AB235)&lt;&gt;"Closed"),"INVALID – corrective action still open",IF(AND(NOT(OR(LEN(AZ235)&lt;15,ISNUMBER(MATCH(AZ235,L_Placeholder,0)))),BK235=0,CG235&gt;=8,NOT(OR(LEN(AU235)&lt;2,ISNUMBER(MATCH(AU235,L_Placeholder,0)))),BR235&gt;=3,NOT(OR(LEN(AX235)&lt;2,ISNUMBER(MATCH(AX235,L_Placeholder,0)))),BS235&gt;=3,TRIM(AE235)&lt;&gt;TRIM(T235),AX235&lt;&gt;AU235,CE235=0),"N/A – JUSTIFIED","INVALID – N/A needs a real, settled reason (not 'not applicable' / 'as above' / TBC), a named PIC and a different named verifier"))),IF(OR(TRIM(U235)="Pass",TRIM(U235)="Pass after CA"),IF(NOT(ISNUMBER(AD235)),"INVALID – completion time missing",IF(OR(OR(LEN(AU235)&lt;2,ISNUMBER(MATCH(AU235,L_Placeholder,0))),BR235&lt;3),"INVALID – PIC missing or not a named person (a role such as QA / CSM is not a name)",IF(OR(LEN(AV235)&lt;2,ISNUMBER(MATCH(AV235,L_Placeholder,0))),"INVALID – result / assessment missing",IF(OR(OR(LEN(AW235)&lt;3,ISNUMBER(MATCH(AW235,L_Placeholder,0))),SUMPRODUCT(--ISNUMBER(SEARCH(" "&amp;L_EvidencePhrase&amp;" ",BD235)))&gt;0,BI235=1),"INVALID – evidence missing, placeholder or not yet on file",IF(ISNA(MATCH(TRIM(S235),L_EvidenceType,0)),"INVALID – choose the evidence type from the list (column S)",IF(BL235=0,"INVALID – evidence ID must be the record's own ID only (e.g. SF-2210, IMG_2231, 1045521); a link / file name needs type 'Link / file path'",IF(OR(OR(LEN(AX235)&lt;2,ISNUMBER(MATCH(AX235,L_Placeholder,0))),BS235&lt;3),"INVALID – verifier missing or not a named person (a role such as QA / CSM is not a name)",IF(OR(AX235=AU235,CE235=1,AND(LEN(AU235)&gt;=4,ISNUMBER(SEARCH(AU235,AX235))),AND(LEN(AX235)&gt;=4,ISNUMBER(SEARCH(AX235,AU235)))),"INVALID – verifier must be a different, named person (not the PIC or a role)",IF(BH235=1,"INVALID – result not yet available (awaiting / TBC)",IF(BG235=1,"INVALID – result describes a problem: record Fail, then Pass after CA (or reword if it is not a problem)",IF(BV235=1,"INVALID – wording says not on board: an on-board confirmation needs the item loaded",IF(AND(AQ235=1,OR(OR(LEN(AY235)&lt;3,ISNUMBER(MATCH(AY235,L_Placeholder,0))),BJ235=1,BQ235=0)),"INVALID – batch ID missing, placeholder or not an ID (e.g. PASB-261008-BC-017)",IF(AND(AR235=1,OR(NOT(ISNUMBER(X235)),NOT(ISNUMBER(Y235)))),"INVALID – expected/actual qty missing",IF(AND(AR235=1,OR(X235&lt;=0,Y235&lt;0)),"INVALID – expected qty must be above 0 and actual not negative",IF(BB235&lt;&gt;"",BB235,IF(AND(AS235=1,Documents!$J$11&lt;&gt;"ON FILE"),"INVALID – GLD not on file (Documents sheet)",IF(AND(AS235=2,Documents!$O$11&lt;&gt;"ON FILE"),"INVALID – menu checklist not on file (Documents sheet)",IF(AND(AS235=3,NOT(ISNUMBER(Flights!$AX$11))),"INVALID – enter carrying flight KUL departure (Flights AX)",IF(AND(AS235=3,OR(Flights!$AZ$11&gt;Flights!$AA$11,Flights!$AX$11&lt;Flights!$AA$11-3)),"INVALID – carrying flight (Flights AX) cannot arrive before this leg's STD, or is over 3 days early",IF(AG235&gt;AsOfUTC,"INVALID – completion time is in the future",IF(AND(ISNUMBER(BY235),AG235&lt;BY235),IF(H235="Physical uplift","INVALID – before uplift window (cannot confirm loading)","INVALID – before valid window"),IF(AG235&gt;Flights!$AA$11,"INVALID – completed after departure (cannot establish readiness)",IF(AND(H235="Preparation",AG235&gt;=IF(ISNUMBER(Flights!$BA$11),MIN(Flights!$BA$11,Flights!$AA$11),Flights!$AA$11)),"INVALID – completed after loading / departure (cannot establish readiness)",IF(AND(H235="Physical uplift",AG235&gt;Q235),"INVALID – recorded after the loading flight departed",IF(AG235&gt;Q235,"COMPLETE – LATE","COMPLETE"))))))))))))))))))))))))),IF(TRIM(U235)="Fail","FAIL – DISCREPANCY",IF(AND(TRIM(U235)&lt;&gt;"",TRIM(U235)&lt;&gt;"Not started",TRIM(U235)&lt;&gt;"In progress"),"INVALID – unrecognised status (use the list)",IF(AsOfUTC&gt;Q235,"OVERDUE",IF(N235="Clarification required","OPEN – CLARIFICATION","OPEN"))))))),"INVALID – error value in an input cell")</f>
        <v>OPEN</v>
      </c>
      <c r="AI235" s="61" t="n">
        <f aca="false">IF(OR(AH235="N/A – RULE",AH235="N/A – JUSTIFIED"),0,1)</f>
        <v>1</v>
      </c>
      <c r="AJ235" s="61" t="n">
        <f aca="false">IF(LEFT(AH235,8)="COMPLETE",1,0)</f>
        <v>0</v>
      </c>
      <c r="AK235" s="61" t="n">
        <f aca="false">IF(AND(AI235=1,AJ235=0,AsOfUTC&gt;Q235),1,0)</f>
        <v>0</v>
      </c>
      <c r="AL235" s="61" t="n">
        <f aca="false">IFERROR(IF(AND(AI235=1,OR(TRIM(U235)="Fail",AND(TRIM(AB235)&lt;&gt;"",TRIM(AB235)&lt;&gt;"Closed"),AND(ISNUMBER(AF235),AF235&lt;&gt;0,TRIM(U235)&lt;&gt;"Pass after CA"))),1,0),1)</f>
        <v>0</v>
      </c>
      <c r="AM235" s="61" t="n">
        <f aca="false">IF(LEFT(AH235,7)="INVALID",1,0)</f>
        <v>0</v>
      </c>
      <c r="AN235" s="61" t="n">
        <f aca="false">IF(AND(N235="Clarification required",AI235=1,AJ235=0),1,0)</f>
        <v>0</v>
      </c>
      <c r="AO235" s="61" t="str">
        <f aca="false">IF(AK235=1,SUM(AK$5:AK235),"")</f>
        <v/>
      </c>
      <c r="AP235" s="61" t="str">
        <f aca="false">IF(AL235=1,SUM(AL$5:AL235),"")</f>
        <v/>
      </c>
      <c r="AQ235" s="61" t="n">
        <v>0</v>
      </c>
      <c r="AR235" s="61" t="n">
        <v>0</v>
      </c>
      <c r="AS235" s="61" t="n">
        <v>0</v>
      </c>
      <c r="AT235" s="61" t="n">
        <v>0</v>
      </c>
      <c r="AU235" s="61" t="str">
        <f aca="false">SUBSTITUTE(SUBSTITUTE(SUBSTITUTE(SUBSTITUTE(SUBSTITUTE(SUBSTITUTE(SUBSTITUTE(SUBSTITUTE(SUBSTITUTE(SUBSTITUTE(SUBSTITUTE(SUBSTITUTE(SUBSTITUTE(SUBSTITUTE(SUBSTITUTE(SUBSTITUTE(LOWER(T235&amp;""),CHAR(10),""),CHAR(13),""),CHAR(9),""),CHAR(160),"")," ",""),".",""),"-",""),"/",""),"?",""),"_",""),",",""),"[",""),"]",""),"(",""),")",""),"*","")</f>
        <v/>
      </c>
      <c r="AV235" s="61" t="str">
        <f aca="false">SUBSTITUTE(SUBSTITUTE(SUBSTITUTE(SUBSTITUTE(SUBSTITUTE(SUBSTITUTE(SUBSTITUTE(SUBSTITUTE(SUBSTITUTE(SUBSTITUTE(SUBSTITUTE(SUBSTITUTE(SUBSTITUTE(SUBSTITUTE(SUBSTITUTE(SUBSTITUTE(LOWER(V235&amp;""),CHAR(10),""),CHAR(13),""),CHAR(9),""),CHAR(160),"")," ",""),".",""),"-",""),"/",""),"?",""),"_",""),",",""),"[",""),"]",""),"(",""),")",""),"*","")</f>
        <v/>
      </c>
      <c r="AW235" s="61" t="str">
        <f aca="false">SUBSTITUTE(SUBSTITUTE(SUBSTITUTE(SUBSTITUTE(SUBSTITUTE(SUBSTITUTE(SUBSTITUTE(SUBSTITUTE(SUBSTITUTE(SUBSTITUTE(SUBSTITUTE(SUBSTITUTE(SUBSTITUTE(SUBSTITUTE(SUBSTITUTE(SUBSTITUTE(LOWER(Z235&amp;""),CHAR(10),""),CHAR(13),""),CHAR(9),""),CHAR(160),"")," ",""),".",""),"-",""),"/",""),"?",""),"_",""),",",""),"[",""),"]",""),"(",""),")",""),"*","")</f>
        <v/>
      </c>
      <c r="AX235" s="61" t="str">
        <f aca="false">SUBSTITUTE(SUBSTITUTE(SUBSTITUTE(SUBSTITUTE(SUBSTITUTE(SUBSTITUTE(SUBSTITUTE(SUBSTITUTE(SUBSTITUTE(SUBSTITUTE(SUBSTITUTE(SUBSTITUTE(SUBSTITUTE(SUBSTITUTE(SUBSTITUTE(SUBSTITUTE(LOWER(AE235&amp;""),CHAR(10),""),CHAR(13),""),CHAR(9),""),CHAR(160),"")," ",""),".",""),"-",""),"/",""),"?",""),"_",""),",",""),"[",""),"]",""),"(",""),")",""),"*","")</f>
        <v/>
      </c>
      <c r="AY235" s="61" t="str">
        <f aca="false">SUBSTITUTE(SUBSTITUTE(SUBSTITUTE(SUBSTITUTE(SUBSTITUTE(SUBSTITUTE(SUBSTITUTE(SUBSTITUTE(SUBSTITUTE(SUBSTITUTE(SUBSTITUTE(SUBSTITUTE(SUBSTITUTE(SUBSTITUTE(SUBSTITUTE(SUBSTITUTE(LOWER(W235&amp;""),CHAR(10),""),CHAR(13),""),CHAR(9),""),CHAR(160),"")," ",""),".",""),"-",""),"/",""),"?",""),"_",""),",",""),"[",""),"]",""),"(",""),")",""),"*","")</f>
        <v/>
      </c>
      <c r="AZ235" s="61" t="str">
        <f aca="false">SUBSTITUTE(SUBSTITUTE(SUBSTITUTE(SUBSTITUTE(SUBSTITUTE(SUBSTITUTE(SUBSTITUTE(SUBSTITUTE(SUBSTITUTE(SUBSTITUTE(SUBSTITUTE(SUBSTITUTE(SUBSTITUTE(SUBSTITUTE(SUBSTITUTE(SUBSTITUTE(LOWER(AC235&amp;""),CHAR(10),""),CHAR(13),""),CHAR(9),""),CHAR(160),"")," ",""),".",""),"-",""),"/",""),"?",""),"_",""),",",""),"[",""),"]",""),"(",""),")",""),"*","")</f>
        <v/>
      </c>
      <c r="BA235" s="61" t="str">
        <f aca="false">SUBSTITUTE(SUBSTITUTE(SUBSTITUTE(SUBSTITUTE(SUBSTITUTE(SUBSTITUTE(SUBSTITUTE(SUBSTITUTE(SUBSTITUTE(SUBSTITUTE(SUBSTITUTE(SUBSTITUTE(SUBSTITUTE(SUBSTITUTE(SUBSTITUTE(SUBSTITUTE(LOWER(AA235&amp;""),CHAR(10),""),CHAR(13),""),CHAR(9),""),CHAR(160),"")," ",""),".",""),"-",""),"/",""),"?",""),"_",""),",",""),"[",""),"]",""),"(",""),")",""),"*","")</f>
        <v/>
      </c>
      <c r="BB235" s="61" t="str">
        <f aca="false">IF(AND(TRIM(U235)="Pass",ISNUMBER(AF235)),IF(AF235&lt;&gt;0,"INVALID – qty variance: use Fail or Pass after CA",""),"")&amp;IF(AND(TRIM(U235)="Pass after CA",ISNUMBER(AF235)),IF(AF235&lt;&gt;0,"INVALID – after the corrective action the actual qty must equal expected (update Actual)",""),"")&amp;IF(AND(TRIM(U235)="Pass",TRIM(AB235)&lt;&gt;"",TRIM(AB235)&lt;&gt;"Closed"),"INVALID – corrective action not closed: use Fail, then Pass after CA","")&amp;IF(AND(LEN(BA235)&gt;=2,ISNA(MATCH(LEFT(BA235,255),L_Placeholder,0)),TRIM(AB235)=""),"INVALID – CA status missing for the recorded corrective action","")&amp;IF(AND(TRIM(U235)="Pass after CA",OR(OR(LEN(BA235)&lt;5,ISNUMBER(MATCH(BA235,L_Placeholder,0))),TRIM(AB235)&lt;&gt;"Closed")),"INVALID – corrective action not recorded/closed","")</f>
        <v/>
      </c>
      <c r="BC235" s="61" t="str">
        <f aca="false">" "&amp;TRIM(SUBSTITUTE(SUBSTITUTE(SUBSTITUTE(SUBSTITUTE(SUBSTITUTE(SUBSTITUTE(SUBSTITUTE(SUBSTITUTE(SUBSTITUTE(SUBSTITUTE(SUBSTITUTE(SUBSTITUTE(SUBSTITUTE(SUBSTITUTE(SUBSTITUTE(SUBSTITUTE(SUBSTITUTE(SUBSTITUTE(SUBSTITUTE(SUBSTITUTE(SUBSTITUTE(SUBSTITUTE(SUBSTITUTE(SUBSTITUTE(LOWER(V235&amp;""),CHAR(10)," "),CHAR(13)," "),CHAR(9)," "),CHAR(160)," "),"."," "),","," "),"-"," "),"/"," "),"("," "),")"," "),":"," "),";"," "),"_"," "),"–"," "),"?"," "),"!"," "),"*"," "),"["," "),"]"," "),"'"," "),"#"," "),"+"," "),"&amp;"," "),"\"," "))&amp;" "</f>
        <v>  </v>
      </c>
      <c r="BD235" s="61" t="str">
        <f aca="false">" "&amp;TRIM(SUBSTITUTE(SUBSTITUTE(SUBSTITUTE(SUBSTITUTE(SUBSTITUTE(SUBSTITUTE(SUBSTITUTE(SUBSTITUTE(SUBSTITUTE(SUBSTITUTE(SUBSTITUTE(SUBSTITUTE(SUBSTITUTE(SUBSTITUTE(SUBSTITUTE(SUBSTITUTE(SUBSTITUTE(SUBSTITUTE(SUBSTITUTE(SUBSTITUTE(SUBSTITUTE(SUBSTITUTE(SUBSTITUTE(SUBSTITUTE(LOWER(Z235&amp;""),CHAR(10)," "),CHAR(13)," "),CHAR(9)," "),CHAR(160)," "),"."," "),","," "),"-"," "),"/"," "),"("," "),")"," "),":"," "),";"," "),"_"," "),"–"," "),"?"," "),"!"," "),"*"," "),"["," "),"]"," "),"'"," "),"#"," "),"+"," "),"&amp;"," "),"\"," "))&amp;" "</f>
        <v>  </v>
      </c>
      <c r="BE235" s="61" t="str">
        <f aca="false">" "&amp;TRIM(SUBSTITUTE(SUBSTITUTE(SUBSTITUTE(SUBSTITUTE(SUBSTITUTE(SUBSTITUTE(SUBSTITUTE(SUBSTITUTE(SUBSTITUTE(SUBSTITUTE(SUBSTITUTE(SUBSTITUTE(SUBSTITUTE(SUBSTITUTE(SUBSTITUTE(SUBSTITUTE(SUBSTITUTE(SUBSTITUTE(SUBSTITUTE(SUBSTITUTE(SUBSTITUTE(SUBSTITUTE(SUBSTITUTE(SUBSTITUTE(LOWER(W235&amp;""),CHAR(10)," "),CHAR(13)," "),CHAR(9)," "),CHAR(160)," "),"."," "),","," "),"-"," "),"/"," "),"("," "),")"," "),":"," "),";"," "),"_"," "),"–"," "),"?"," "),"!"," "),"*"," "),"["," "),"]"," "),"'"," "),"#"," "),"+"," "),"&amp;"," "),"\"," "))&amp;" "</f>
        <v>  </v>
      </c>
      <c r="BF235" s="61" t="str">
        <f aca="false">" "&amp;TRIM(SUBSTITUTE(SUBSTITUTE(SUBSTITUTE(SUBSTITUTE(SUBSTITUTE(SUBSTITUTE(SUBSTITUTE(SUBSTITUTE(SUBSTITUTE(SUBSTITUTE(SUBSTITUTE(SUBSTITUTE(SUBSTITUTE(SUBSTITUTE(SUBSTITUTE(SUBSTITUTE(SUBSTITUTE(SUBSTITUTE(SUBSTITUTE(SUBSTITUTE(SUBSTITUTE(SUBSTITUTE(SUBSTITUTE(SUBSTITUTE(LOWER(AC235&amp;""),CHAR(10)," "),CHAR(13)," "),CHAR(9)," "),CHAR(160)," "),"."," "),","," "),"-"," "),"/"," "),"("," "),")"," "),":"," "),";"," "),"_"," "),"–"," "),"?"," "),"!"," "),"*"," "),"["," "),"]"," "),"'"," "),"#"," "),"+"," "),"&amp;"," "),"\"," "))&amp;" "</f>
        <v>  </v>
      </c>
      <c r="BG235" s="61" t="n">
        <f aca="false">IFERROR(IF(AND(TRIM(U235)="Pass",SUMPRODUCT((LEN(BC235)-LEN(SUBSTITUTE(BC235," "&amp;L_ResultBad&amp;" "," ")))/(LEN(L_ResultBad)+1))&gt;SUMPRODUCT((LEN(BC235)-LEN(SUBSTITUTE(BC235," "&amp;L_NegPhrase&amp;" "," ")))/(LEN(L_NegPhrase)+1))),1,0),0)</f>
        <v>0</v>
      </c>
      <c r="BH235" s="61" t="n">
        <f aca="false">IFERROR(IF(SUMPRODUCT((LEN(BC235)-LEN(SUBSTITUTE(BC235," "&amp;L_Pending&amp;" "," ")))/(LEN(L_Pending)+1))&gt;SUMPRODUCT((LEN(BC235)-LEN(SUBSTITUTE(BC235," "&amp;L_PendNeg&amp;" "," ")))/(LEN(L_PendNeg)+1))+SUMPRODUCT((LEN(BC235)-LEN(SUBSTITUTE(BC235," "&amp;L_PendPrep&amp;" "," ")))/(LEN(L_PendPrep)+1)),1,0),1)</f>
        <v>0</v>
      </c>
      <c r="BI235" s="61" t="n">
        <f aca="false">IFERROR(IF(SUMPRODUCT((LEN(BD235)-LEN(SUBSTITUTE(BD235," "&amp;L_PendStrict&amp;" "," ")))/(LEN(L_PendStrict)+1))&gt;SUMPRODUCT((LEN(BD235)-LEN(SUBSTITUTE(BD235," "&amp;L_PendNeg&amp;" "," ")))/(LEN(L_PendNeg)+1)),1,0),1)</f>
        <v>0</v>
      </c>
      <c r="BJ235" s="61" t="n">
        <f aca="false">IFERROR(IF(SUMPRODUCT((LEN(BE235)-LEN(SUBSTITUTE(BE235," "&amp;L_Pending&amp;" "," ")))/(LEN(L_Pending)+1))&gt;SUMPRODUCT((LEN(BE235)-LEN(SUBSTITUTE(BE235," "&amp;L_PendNeg&amp;" "," ")))/(LEN(L_PendNeg)+1))+SUMPRODUCT((LEN(BE235)-LEN(SUBSTITUTE(BE235," "&amp;L_PendPrep&amp;" "," ")))/(LEN(L_PendPrep)+1)),1,0),1)</f>
        <v>0</v>
      </c>
      <c r="BK235" s="61" t="n">
        <f aca="false">IFERROR(IF(SUMPRODUCT((LEN(BF235)-LEN(SUBSTITUTE(BF235," "&amp;L_PendStrict&amp;" "," ")))/(LEN(L_PendStrict)+1))&gt;SUMPRODUCT((LEN(BF235)-LEN(SUBSTITUTE(BF235," "&amp;L_PendNeg&amp;" "," ")))/(LEN(L_PendNeg)+1)),1,0),1)</f>
        <v>0</v>
      </c>
      <c r="BL235" s="61" t="n">
        <f aca="false">IF(ISNA(MATCH(TRIM(S235),L_EvidenceType,0)),0,BZ235)</f>
        <v>0</v>
      </c>
      <c r="BM235" s="61" t="str">
        <f aca="false">SUBSTITUTE(SUBSTITUTE(SUBSTITUTE(SUBSTITUTE(SUBSTITUTE(SUBSTITUTE(SUBSTITUTE(SUBSTITUTE(SUBSTITUTE(LOWER(Z235&amp;""),"1","0"),"2","0"),"3","0"),"4","0"),"5","0"),"6","0"),"7","0"),"8","0"),"9","0")</f>
        <v/>
      </c>
      <c r="BN235" s="61" t="str">
        <f aca="false">SUBSTITUTE(SUBSTITUTE(SUBSTITUTE(SUBSTITUTE(SUBSTITUTE(SUBSTITUTE(SUBSTITUTE(SUBSTITUTE(SUBSTITUTE(SUBSTITUTE(SUBSTITUTE(SUBSTITUTE(SUBSTITUTE(SUBSTITUTE(SUBSTITUTE(SUBSTITUTE(SUBSTITUTE(SUBSTITUTE(SUBSTITUTE(SUBSTITUTE(SUBSTITUTE(SUBSTITUTE(SUBSTITUTE(SUBSTITUTE(SUBSTITUTE(BM235,"b","a"),"c","a"),"d","a"),"e","a"),"f","a"),"g","a"),"h","a"),"i","a"),"j","a"),"k","a"),"l","a"),"m","a"),"n","a"),"o","a"),"p","a"),"q","a"),"r","a"),"s","a"),"t","a"),"u","a"),"v","a"),"w","a"),"x","a"),"y","a"),"z","a")</f>
        <v/>
      </c>
      <c r="BO235" s="61" t="str">
        <f aca="false">SUBSTITUTE(SUBSTITUTE(SUBSTITUTE(SUBSTITUTE(SUBSTITUTE(SUBSTITUTE(SUBSTITUTE(SUBSTITUTE(SUBSTITUTE(LOWER(W235&amp;""),"1","0"),"2","0"),"3","0"),"4","0"),"5","0"),"6","0"),"7","0"),"8","0"),"9","0")</f>
        <v/>
      </c>
      <c r="BP235" s="61" t="str">
        <f aca="false">SUBSTITUTE(SUBSTITUTE(SUBSTITUTE(SUBSTITUTE(SUBSTITUTE(SUBSTITUTE(SUBSTITUTE(SUBSTITUTE(SUBSTITUTE(SUBSTITUTE(SUBSTITUTE(SUBSTITUTE(SUBSTITUTE(SUBSTITUTE(SUBSTITUTE(SUBSTITUTE(SUBSTITUTE(SUBSTITUTE(SUBSTITUTE(SUBSTITUTE(SUBSTITUTE(SUBSTITUTE(SUBSTITUTE(SUBSTITUTE(SUBSTITUTE(BO235,"b","a"),"c","a"),"d","a"),"e","a"),"f","a"),"g","a"),"h","a"),"i","a"),"j","a"),"k","a"),"l","a"),"m","a"),"n","a"),"o","a"),"p","a"),"q","a"),"r","a"),"s","a"),"t","a"),"u","a"),"v","a"),"w","a"),"x","a"),"y","a"),"z","a")</f>
        <v/>
      </c>
      <c r="BQ235" s="61" t="n">
        <f aca="false">IFERROR(IF(AND(ISERROR(SEARCH(" mh"," "&amp;LOWER(W235))),ISNA(MATCH(LEFT(TRIM(BP235),255),{"0000a","000a","00a","0000aa","000aa","00aa","0aa","0000aaa","000aaa","00a00","0a00","0000-0000","00:00","a00","a0","00.00.0000","00/00/0000","00-00-0000","0000-00-00","0000/00/00","0000.00.00","00.00.00","00/00/00","00-00-00","0.00.0000","0/00/0000","0-00-0000"},0)),ISNA(MATCH(LEFT(TRIM(CA235),255),{"0000a","000a","00a","0000aa","000aa","00aa","0aa","0000aaa","000aaa","00a00","0a00","0000-0000","00:00","a00","a0","00.00.0000","00/00/0000","00-00-0000","0000-00-00","0000/00/00","0000.00.00","00.00.00","00/00/00","00-00-00","0.00.0000","0/00/0000","0-00-0000"},0)),LEN(CB235)&gt;=3,NOT(OR(SUBSTITUTE(CB235,"0","")="",AND(LEN(CB235)&gt;=4,CB235=REPT(LEFT(CB235),LEN(CB235))),ISNUMBER(MATCH(CB235,{"123","1234","12345","123456","1234567","12345678","0123","01234","012345","98765","987654","54321"},0)),AND(LEN(CB235)=8,LEFT(CB235,3)="202"))),OR(AND((LEN(CA235)-LEN(SUBSTITUTE(CA235,"a","")))&gt;=1,SUMPRODUCT(--ISNUMBER(SEARCH({"a0","a-0","a_0","a/0","a.0","a#0","0a","0-a","0_a","0/a"},BP235)))&gt;0),ISNUMBER(SEARCH("000000",BP235)))),1,0),0)</f>
        <v>0</v>
      </c>
      <c r="BR235" s="61" t="n">
        <f aca="false">IFERROR(LEN(SUBSTITUTE(CC235," ",""))-SUMPRODUCT((LEN(CC235)-LEN(SUBSTITUTE(CC235," "&amp;L_Role&amp;" "," ")))/(LEN(L_Role)+1)*LEN(L_Role)),0)</f>
        <v>0</v>
      </c>
      <c r="BS235" s="61" t="n">
        <f aca="false">IFERROR(LEN(SUBSTITUTE(CD235," ",""))-SUMPRODUCT((LEN(CD235)-LEN(SUBSTITUTE(CD235," "&amp;L_Role&amp;" "," ")))/(LEN(L_Role)+1)*LEN(L_Role)),0)</f>
        <v>0</v>
      </c>
      <c r="BT2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235,"revision",""),"version",""),"jan",""),"feb",""),"mar",""),"apr",""),"may",""),"jun",""),"jul",""),"aug",""),"sep",""),"oct",""),"nov",""),"dec",""),"utc",""),"gmt",""),"myt",""),"bst",""),"rev",""),"ver",""),"b","a"),"c","a"),"d","a"),"e","a"),"f","a"),"g","a"),"h","a"),"i","a"),"j","a"),"k","a"),"l","a"),"m","a"),"n","a"),"o","a"),"p","a"),"q","a"),"r","a"),"s","a"),"t","a"),"u","a"),"v","a"),"w","a"),"x","a"),"y","a"),"z","a")</f>
        <v/>
      </c>
      <c r="BU235" s="61" t="str">
        <f aca="false">SUBSTITUTE(SUBSTITUTE(SUBSTITUTE(SUBSTITUTE(SUBSTITUTE(SUBSTITUTE(SUBSTITUTE(SUBSTITUTE(SUBSTITUTE(SUBSTITUTE(LEFT(BM235,FIND("0",BM235&amp;"0")-1),"-",""),"_",""),"/",""),".",""),"#",""),"\\",""),":","")," ",""),"(",""),")","")</f>
        <v/>
      </c>
      <c r="BV235" s="61" t="n">
        <f aca="false">0</f>
        <v>0</v>
      </c>
      <c r="BW2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235&amp;""),"a",""),"b",""),"c",""),"d",""),"e",""),"f",""),"g",""),"h",""),"i",""),"j",""),"k",""),"l",""),"m",""),"n",""),"o",""),"p",""),"q",""),"r",""),"s",""),"t",""),"u",""),"v",""),"w",""),"x",""),"y",""),"z",""),"-",""),"_",""),"/",""),".",""),"#",""),"\\",""),":","")," ",""),"(",""),")","")</f>
        <v/>
      </c>
      <c r="BX235" s="61" t="str">
        <f aca="false">SUBSTITUTE(SUBSTITUTE(SUBSTITUTE(SUBSTITUTE(SUBSTITUTE(SUBSTITUTE(SUBSTITUTE(SUBSTITUTE(SUBSTITUTE(SUBSTITUTE(SUBSTITUTE(BM235,"0",""),"-",""),"_",""),"/",""),".",""),"#",""),"\\",""),":","")," ",""),"(",""),")","")</f>
        <v/>
      </c>
      <c r="BY235" s="62" t="n">
        <f aca="false">Q235-T12EarlyH/24</f>
        <v>46303.4166666667</v>
      </c>
      <c r="BZ235" s="61" t="n">
        <f aca="false">IFERROR(IF(IF(TRIM(S235)="Link / file path",AND(LEN(TRIM(Z235))&gt;=5,SUMPRODUCT(--ISNUMBER(SEARCH({"http","www.","\\",":\",".pdf",".jpg",".jpeg",".png",".heic",".xls",".doc",".msg",".eml",".ppt",".txt",".zip"},Z235)))&gt;0),AND(ISERROR(FIND(" ",TRIM(Z235))),NOT(OR(SUMPRODUCT(--ISNUMBER(FIND({",",";","&amp;","+"},Z235)))&gt;0,SUMPRODUCT(--ISNUMBER(SEARCH({"0/aa","0\\aa"},BN235)))&gt;0)),NOT(SUMPRODUCT(--ISNUMBER(SEARCH({"http","www.","\\",":\",".pdf",".jpg",".jpeg",".png",".heic",".xls",".doc",".msg",".eml",".ppt",".txt",".zip"},Z235)))&gt;0),NOT(LOWER(TRIM(Z235))=LOWER(Flights!$F$11)),ISNA(MATCH(BU235,{"mh","rev","revision","ver","version","v","r","a","b","seat","tray","row","gate","bay","stand","page","pg","item","line","no","cart","galley","flight","flt","table","box","bag","oven","etd","eta","std","sta","atd","ata","qty","pax","x","time","tel","ph","mob","day","wk","week","utc","gmt","myt","lt"},0)),NOT(OR(ISNUMBER(MATCH(LEFT(BN235,255),{"0000a","000a","00a","0000aa","000aa","00aa","0aa","0000aaa","000aaa","00a00","0a00","0000-0000","00:00","a00","a0","00.00.0000","00/00/0000","00-00-0000","0000-00-00","0000/00/00","0000.00.00","00.00.00","00/00/00","00-00-00","0.00.0000","0/00/0000","0-00-0000"},0)),ISNUMBER(MATCH(LEFT(BT235,255),{"0000a","000a","00a","0000aa","000aa","00aa","0aa","0000aaa","000aaa","00a00","0a00","0000-0000","00:00","a00","a0","00.00.0000","00/00/0000","00-00-0000","0000-00-00","0000/00/00","0000.00.00","00.00.00","00/00/00","00-00-00","0.00.0000","0/00/0000","0-00-0000"},0)))),NOT(OR(AND(BW235&lt;&gt;"",SUBSTITUTE(BW235,"0","")=""),AND(LEN(BW235)&gt;=4,BW235=REPT(LEFT(BW235),LEN(BW235))),ISNUMBER(MATCH(BW235,{"123","1234","12345","123456","1234567","12345678","0123","01234","012345","98765","987654","54321"},0)),ISNUMBER(MATCH(BX235,{"x","xx","xxx","xxxx","xxxxx","abc","abcd","nil","na","nan","test","tbc","tba","tbd","dummy","sample","example","eg","zz","zzz","none","null","xyz","qwe","asd","id","ref"},0)),AND(LEN(BW235)=8,BX235="",OR(LEFT(BW235,3)="202",ISNUMBER(MATCH(RIGHT(BW235,4),{"2025","2026","2027"},0)))))),OR(AND((LEN(BT235)-LEN(SUBSTITUTE(BT235,"a","")))&gt;=1,(LEN(BN235)-LEN(SUBSTITUTE(BN235,"0","")))&gt;=2,SUMPRODUCT(--ISNUMBER(SEARCH({"a0","a-0","a_0","a/0","a.0","a#0","0a","0-a","0_a","0/a"},BN235)))&gt;0),AND((LEN(BN235)-LEN(SUBSTITUTE(BN235,"a","")))=0,(LEN(BN235)-LEN(SUBSTITUTE(BN235,"0","")))&gt;=5)))),1,0),0)</f>
        <v>0</v>
      </c>
      <c r="CA2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235,"revision",""),"version",""),"jan",""),"feb",""),"mar",""),"apr",""),"may",""),"jun",""),"jul",""),"aug",""),"sep",""),"oct",""),"nov",""),"dec",""),"utc",""),"gmt",""),"myt",""),"bst",""),"rev",""),"ver",""),"b","a"),"c","a"),"d","a"),"e","a"),"f","a"),"g","a"),"h","a"),"i","a"),"j","a"),"k","a"),"l","a"),"m","a"),"n","a"),"o","a"),"p","a"),"q","a"),"r","a"),"s","a"),"t","a"),"u","a"),"v","a"),"w","a"),"x","a"),"y","a"),"z","a")</f>
        <v/>
      </c>
      <c r="CB2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235&amp;""),"a",""),"b",""),"c",""),"d",""),"e",""),"f",""),"g",""),"h",""),"i",""),"j",""),"k",""),"l",""),"m",""),"n",""),"o",""),"p",""),"q",""),"r",""),"s",""),"t",""),"u",""),"v",""),"w",""),"x",""),"y",""),"z",""),"-",""),"_",""),"/",""),".",""),"#",""),"\\",""),":","")," ",""),"(",""),")","")</f>
        <v/>
      </c>
      <c r="CC235" s="0" t="str">
        <f aca="false">" "&amp;TRIM(SUBSTITUTE(SUBSTITUTE(SUBSTITUTE(SUBSTITUTE(SUBSTITUTE(SUBSTITUTE(SUBSTITUTE(SUBSTITUTE(SUBSTITUTE(SUBSTITUTE(SUBSTITUTE(SUBSTITUTE(SUBSTITUTE(SUBSTITUTE(SUBSTITUTE(SUBSTITUTE(SUBSTITUTE(SUBSTITUTE(SUBSTITUTE(SUBSTITUTE(SUBSTITUTE(SUBSTITUTE(SUBSTITUTE(SUBSTITUTE(LOWER(T235&amp;""),CHAR(10)," "),CHAR(13)," "),CHAR(9)," "),CHAR(160)," "),"."," "),","," "),"-"," "),"/"," "),"("," "),")"," "),":"," "),";"," "),"_"," "),"–"," "),"?"," "),"!"," "),"*"," "),"["," "),"]"," "),"'"," "),"#"," "),"+"," "),"&amp;"," "),"\"," "))&amp;" "</f>
        <v>  </v>
      </c>
      <c r="CD235" s="0" t="str">
        <f aca="false">" "&amp;TRIM(SUBSTITUTE(SUBSTITUTE(SUBSTITUTE(SUBSTITUTE(SUBSTITUTE(SUBSTITUTE(SUBSTITUTE(SUBSTITUTE(SUBSTITUTE(SUBSTITUTE(SUBSTITUTE(SUBSTITUTE(SUBSTITUTE(SUBSTITUTE(SUBSTITUTE(SUBSTITUTE(SUBSTITUTE(SUBSTITUTE(SUBSTITUTE(SUBSTITUTE(SUBSTITUTE(SUBSTITUTE(SUBSTITUTE(SUBSTITUTE(LOWER(AE235&amp;""),CHAR(10)," "),CHAR(13)," "),CHAR(9)," "),CHAR(160)," "),"."," "),","," "),"-"," "),"/"," "),"("," "),")"," "),":"," "),";"," "),"_"," "),"–"," "),"?"," "),"!"," "),"*"," "),"["," "),"]"," "),"'"," "),"#"," "),"+"," "),"&amp;"," "),"\"," "))&amp;" "</f>
        <v>  </v>
      </c>
      <c r="CE235" s="68" t="n">
        <f aca="false">IFERROR(IF(AND(LEN(AU235)&gt;0,LEN(AU235)=LEN(AX235),OR(TRIM(MID(SUBSTITUTE(TRIM(CC235)," ",REPT(" ",60)),1,60))="",ISNUMBER(SEARCH(" "&amp;TRIM(MID(SUBSTITUTE(TRIM(CC235)," ",REPT(" ",60)),1,60))&amp;" ",CD235))),OR(TRIM(MID(SUBSTITUTE(TRIM(CC235)," ",REPT(" ",60)),61,60))="",ISNUMBER(SEARCH(" "&amp;TRIM(MID(SUBSTITUTE(TRIM(CC235)," ",REPT(" ",60)),61,60))&amp;" ",CD235))),OR(TRIM(MID(SUBSTITUTE(TRIM(CC235)," ",REPT(" ",60)),121,60))="",ISNUMBER(SEARCH(" "&amp;TRIM(MID(SUBSTITUTE(TRIM(CC235)," ",REPT(" ",60)),121,60))&amp;" ",CD235)))),1,0),0)</f>
        <v>0</v>
      </c>
      <c r="CG235" s="68" t="n">
        <f aca="false">IFERROR(LEN(SUBSTITUTE(BF235," ",""))-SUMPRODUCT((LEN(BF235)-LEN(SUBSTITUTE(BF235," "&amp;L_NAFiller&amp;" "," ")))/(LEN(L_NAFiller)+1)*LEN(L_NAFiller)),0)</f>
        <v>0</v>
      </c>
    </row>
    <row r="236" customFormat="false" ht="41.25" hidden="false" customHeight="true" outlineLevel="0" collapsed="false">
      <c r="A236" s="57" t="s">
        <v>802</v>
      </c>
      <c r="B236" s="57" t="s">
        <v>235</v>
      </c>
      <c r="C236" s="57" t="str">
        <f aca="false">Flights!$F$11</f>
        <v>MH0003</v>
      </c>
      <c r="D236" s="58" t="n">
        <f aca="false">Flights!$D$11</f>
        <v>46304</v>
      </c>
      <c r="E236" s="57" t="str">
        <f aca="false">Flights!$G$11&amp;"-"&amp;Flights!$H$11</f>
        <v>LHR-KUL</v>
      </c>
      <c r="F236" s="57" t="str">
        <f aca="false">Flights!$K$11</f>
        <v>BC</v>
      </c>
      <c r="G236" s="57" t="s">
        <v>420</v>
      </c>
      <c r="H236" s="57" t="s">
        <v>378</v>
      </c>
      <c r="I236" s="57" t="s">
        <v>499</v>
      </c>
      <c r="J236" s="57" t="s">
        <v>508</v>
      </c>
      <c r="K236" s="67" t="s">
        <v>501</v>
      </c>
      <c r="L236" s="67" t="s">
        <v>740</v>
      </c>
      <c r="M236" s="67" t="s">
        <v>451</v>
      </c>
      <c r="N236" s="67" t="s">
        <v>383</v>
      </c>
      <c r="O236" s="67" t="s">
        <v>452</v>
      </c>
      <c r="P236" s="57" t="s">
        <v>186</v>
      </c>
      <c r="Q236" s="59" t="n">
        <f aca="false">ROUND((Flights!$AE$11)*1440,0)/1440</f>
        <v>46303.9166666667</v>
      </c>
      <c r="R236" s="59" t="n">
        <f aca="false">Q236+(IF(AND(INDEX(TZ_DSTS,MATCH(P236,TZ_STN,0))&lt;&gt;"",Q236&gt;=INDEX(TZ_DSTS,MATCH(P236,TZ_STN,0)),Q236&lt;INDEX(TZ_DSTE,MATCH(P236,TZ_STN,0))),INDEX(TZ_DST,MATCH(P236,TZ_STN,0)),INDEX(TZ_STD,MATCH(P236,TZ_STN,0))))/24</f>
        <v>46303.9583333333</v>
      </c>
      <c r="S236" s="60"/>
      <c r="T236" s="60"/>
      <c r="U236" s="60"/>
      <c r="V236" s="60"/>
      <c r="W236" s="61"/>
      <c r="X236" s="60"/>
      <c r="Y236" s="60"/>
      <c r="Z236" s="60"/>
      <c r="AA236" s="60"/>
      <c r="AB236" s="60"/>
      <c r="AC236" s="60"/>
      <c r="AD236" s="66"/>
      <c r="AE236" s="60"/>
      <c r="AF236" s="61" t="str">
        <f aca="false">IF(AND(ISNUMBER(X236),ISNUMBER(Y236)),Y236-X236,"")</f>
        <v/>
      </c>
      <c r="AG236" s="62" t="str">
        <f aca="false">IF(ISNUMBER(AD236),AD236-(IF(AND(INDEX(TZ_DSTS,MATCH(P236,TZ_STN,0))&lt;&gt;"",(AD236-INDEX(TZ_STD,MATCH(P236,TZ_STN,0))/24)&gt;=INDEX(TZ_DSTS,MATCH(P236,TZ_STN,0)),(AD236-INDEX(TZ_STD,MATCH(P236,TZ_STN,0))/24)&lt;INDEX(TZ_DSTE,MATCH(P236,TZ_STN,0))),INDEX(TZ_DST,MATCH(P236,TZ_STN,0)),INDEX(TZ_STD,MATCH(P236,TZ_STN,0))))/24,"")</f>
        <v/>
      </c>
      <c r="AH236" s="65" t="str">
        <f aca="false">IFERROR(IF(N236="N/A – rule",IF(OR(TRIM(U236)="",TRIM(U236)="N/A",TRIM(U236)="Not started"),"N/A – RULE","INVALID – this check does not apply to this aircraft: clear the status (or correct the fleet on Flights)"),IF(TRIM(U236)="N/A",IF(AT236=0,"INVALID – N/A not permitted for this check",IF(AND(TRIM(AB236)&lt;&gt;"",TRIM(AB236)&lt;&gt;"Closed"),"INVALID – corrective action still open",IF(AND(NOT(OR(LEN(AZ236)&lt;15,ISNUMBER(MATCH(AZ236,L_Placeholder,0)))),BK236=0,CG236&gt;=8,NOT(OR(LEN(AU236)&lt;2,ISNUMBER(MATCH(AU236,L_Placeholder,0)))),BR236&gt;=3,NOT(OR(LEN(AX236)&lt;2,ISNUMBER(MATCH(AX236,L_Placeholder,0)))),BS236&gt;=3,TRIM(AE236)&lt;&gt;TRIM(T236),AX236&lt;&gt;AU236,CE236=0),"N/A – JUSTIFIED","INVALID – N/A needs a real, settled reason (not 'not applicable' / 'as above' / TBC), a named PIC and a different named verifier"))),IF(OR(TRIM(U236)="Pass",TRIM(U236)="Pass after CA"),IF(NOT(ISNUMBER(AD236)),"INVALID – completion time missing",IF(OR(OR(LEN(AU236)&lt;2,ISNUMBER(MATCH(AU236,L_Placeholder,0))),BR236&lt;3),"INVALID – PIC missing or not a named person (a role such as QA / CSM is not a name)",IF(OR(LEN(AV236)&lt;2,ISNUMBER(MATCH(AV236,L_Placeholder,0))),"INVALID – result / assessment missing",IF(OR(OR(LEN(AW236)&lt;3,ISNUMBER(MATCH(AW236,L_Placeholder,0))),SUMPRODUCT(--ISNUMBER(SEARCH(" "&amp;L_EvidencePhrase&amp;" ",BD236)))&gt;0,BI236=1),"INVALID – evidence missing, placeholder or not yet on file",IF(ISNA(MATCH(TRIM(S236),L_EvidenceType,0)),"INVALID – choose the evidence type from the list (column S)",IF(BL236=0,"INVALID – evidence ID must be the record's own ID only (e.g. SF-2210, IMG_2231, 1045521); a link / file name needs type 'Link / file path'",IF(OR(OR(LEN(AX236)&lt;2,ISNUMBER(MATCH(AX236,L_Placeholder,0))),BS236&lt;3),"INVALID – verifier missing or not a named person (a role such as QA / CSM is not a name)",IF(OR(AX236=AU236,CE236=1,AND(LEN(AU236)&gt;=4,ISNUMBER(SEARCH(AU236,AX236))),AND(LEN(AX236)&gt;=4,ISNUMBER(SEARCH(AX236,AU236)))),"INVALID – verifier must be a different, named person (not the PIC or a role)",IF(BH236=1,"INVALID – result not yet available (awaiting / TBC)",IF(BG236=1,"INVALID – result describes a problem: record Fail, then Pass after CA (or reword if it is not a problem)",IF(BV236=1,"INVALID – wording says not on board: an on-board confirmation needs the item loaded",IF(AND(AQ236=1,OR(OR(LEN(AY236)&lt;3,ISNUMBER(MATCH(AY236,L_Placeholder,0))),BJ236=1,BQ236=0)),"INVALID – batch ID missing, placeholder or not an ID (e.g. PASB-261008-BC-017)",IF(AND(AR236=1,OR(NOT(ISNUMBER(X236)),NOT(ISNUMBER(Y236)))),"INVALID – expected/actual qty missing",IF(AND(AR236=1,OR(X236&lt;=0,Y236&lt;0)),"INVALID – expected qty must be above 0 and actual not negative",IF(BB236&lt;&gt;"",BB236,IF(AND(AS236=1,Documents!$J$11&lt;&gt;"ON FILE"),"INVALID – GLD not on file (Documents sheet)",IF(AND(AS236=2,Documents!$O$11&lt;&gt;"ON FILE"),"INVALID – menu checklist not on file (Documents sheet)",IF(AND(AS236=3,NOT(ISNUMBER(Flights!$AX$11))),"INVALID – enter carrying flight KUL departure (Flights AX)",IF(AND(AS236=3,OR(Flights!$AZ$11&gt;Flights!$AA$11,Flights!$AX$11&lt;Flights!$AA$11-3)),"INVALID – carrying flight (Flights AX) cannot arrive before this leg's STD, or is over 3 days early",IF(AG236&gt;AsOfUTC,"INVALID – completion time is in the future",IF(AND(ISNUMBER(BY236),AG236&lt;BY236),IF(H236="Physical uplift","INVALID – before uplift window (cannot confirm loading)","INVALID – before valid window"),IF(AG236&gt;Flights!$AA$11,"INVALID – completed after departure (cannot establish readiness)",IF(AND(H236="Preparation",AG236&gt;=IF(ISNUMBER(Flights!$BA$11),MIN(Flights!$BA$11,Flights!$AA$11),Flights!$AA$11)),"INVALID – completed after loading / departure (cannot establish readiness)",IF(AND(H236="Physical uplift",AG236&gt;Q236),"INVALID – recorded after the loading flight departed",IF(AG236&gt;Q236,"COMPLETE – LATE","COMPLETE"))))))))))))))))))))))))),IF(TRIM(U236)="Fail","FAIL – DISCREPANCY",IF(AND(TRIM(U236)&lt;&gt;"",TRIM(U236)&lt;&gt;"Not started",TRIM(U236)&lt;&gt;"In progress"),"INVALID – unrecognised status (use the list)",IF(AsOfUTC&gt;Q236,"OVERDUE",IF(N236="Clarification required","OPEN – CLARIFICATION","OPEN"))))))),"INVALID – error value in an input cell")</f>
        <v>OPEN</v>
      </c>
      <c r="AI236" s="61" t="n">
        <f aca="false">IF(OR(AH236="N/A – RULE",AH236="N/A – JUSTIFIED"),0,1)</f>
        <v>1</v>
      </c>
      <c r="AJ236" s="61" t="n">
        <f aca="false">IF(LEFT(AH236,8)="COMPLETE",1,0)</f>
        <v>0</v>
      </c>
      <c r="AK236" s="61" t="n">
        <f aca="false">IF(AND(AI236=1,AJ236=0,AsOfUTC&gt;Q236),1,0)</f>
        <v>0</v>
      </c>
      <c r="AL236" s="61" t="n">
        <f aca="false">IFERROR(IF(AND(AI236=1,OR(TRIM(U236)="Fail",AND(TRIM(AB236)&lt;&gt;"",TRIM(AB236)&lt;&gt;"Closed"),AND(ISNUMBER(AF236),AF236&lt;&gt;0,TRIM(U236)&lt;&gt;"Pass after CA"))),1,0),1)</f>
        <v>0</v>
      </c>
      <c r="AM236" s="61" t="n">
        <f aca="false">IF(LEFT(AH236,7)="INVALID",1,0)</f>
        <v>0</v>
      </c>
      <c r="AN236" s="61" t="n">
        <f aca="false">IF(AND(N236="Clarification required",AI236=1,AJ236=0),1,0)</f>
        <v>0</v>
      </c>
      <c r="AO236" s="61" t="str">
        <f aca="false">IF(AK236=1,SUM(AK$5:AK236),"")</f>
        <v/>
      </c>
      <c r="AP236" s="61" t="str">
        <f aca="false">IF(AL236=1,SUM(AL$5:AL236),"")</f>
        <v/>
      </c>
      <c r="AQ236" s="61" t="n">
        <v>0</v>
      </c>
      <c r="AR236" s="61" t="n">
        <v>0</v>
      </c>
      <c r="AS236" s="61" t="n">
        <v>0</v>
      </c>
      <c r="AT236" s="61" t="n">
        <v>0</v>
      </c>
      <c r="AU236" s="61" t="str">
        <f aca="false">SUBSTITUTE(SUBSTITUTE(SUBSTITUTE(SUBSTITUTE(SUBSTITUTE(SUBSTITUTE(SUBSTITUTE(SUBSTITUTE(SUBSTITUTE(SUBSTITUTE(SUBSTITUTE(SUBSTITUTE(SUBSTITUTE(SUBSTITUTE(SUBSTITUTE(SUBSTITUTE(LOWER(T236&amp;""),CHAR(10),""),CHAR(13),""),CHAR(9),""),CHAR(160),"")," ",""),".",""),"-",""),"/",""),"?",""),"_",""),",",""),"[",""),"]",""),"(",""),")",""),"*","")</f>
        <v/>
      </c>
      <c r="AV236" s="61" t="str">
        <f aca="false">SUBSTITUTE(SUBSTITUTE(SUBSTITUTE(SUBSTITUTE(SUBSTITUTE(SUBSTITUTE(SUBSTITUTE(SUBSTITUTE(SUBSTITUTE(SUBSTITUTE(SUBSTITUTE(SUBSTITUTE(SUBSTITUTE(SUBSTITUTE(SUBSTITUTE(SUBSTITUTE(LOWER(V236&amp;""),CHAR(10),""),CHAR(13),""),CHAR(9),""),CHAR(160),"")," ",""),".",""),"-",""),"/",""),"?",""),"_",""),",",""),"[",""),"]",""),"(",""),")",""),"*","")</f>
        <v/>
      </c>
      <c r="AW236" s="61" t="str">
        <f aca="false">SUBSTITUTE(SUBSTITUTE(SUBSTITUTE(SUBSTITUTE(SUBSTITUTE(SUBSTITUTE(SUBSTITUTE(SUBSTITUTE(SUBSTITUTE(SUBSTITUTE(SUBSTITUTE(SUBSTITUTE(SUBSTITUTE(SUBSTITUTE(SUBSTITUTE(SUBSTITUTE(LOWER(Z236&amp;""),CHAR(10),""),CHAR(13),""),CHAR(9),""),CHAR(160),"")," ",""),".",""),"-",""),"/",""),"?",""),"_",""),",",""),"[",""),"]",""),"(",""),")",""),"*","")</f>
        <v/>
      </c>
      <c r="AX236" s="61" t="str">
        <f aca="false">SUBSTITUTE(SUBSTITUTE(SUBSTITUTE(SUBSTITUTE(SUBSTITUTE(SUBSTITUTE(SUBSTITUTE(SUBSTITUTE(SUBSTITUTE(SUBSTITUTE(SUBSTITUTE(SUBSTITUTE(SUBSTITUTE(SUBSTITUTE(SUBSTITUTE(SUBSTITUTE(LOWER(AE236&amp;""),CHAR(10),""),CHAR(13),""),CHAR(9),""),CHAR(160),"")," ",""),".",""),"-",""),"/",""),"?",""),"_",""),",",""),"[",""),"]",""),"(",""),")",""),"*","")</f>
        <v/>
      </c>
      <c r="AY236" s="61" t="str">
        <f aca="false">SUBSTITUTE(SUBSTITUTE(SUBSTITUTE(SUBSTITUTE(SUBSTITUTE(SUBSTITUTE(SUBSTITUTE(SUBSTITUTE(SUBSTITUTE(SUBSTITUTE(SUBSTITUTE(SUBSTITUTE(SUBSTITUTE(SUBSTITUTE(SUBSTITUTE(SUBSTITUTE(LOWER(W236&amp;""),CHAR(10),""),CHAR(13),""),CHAR(9),""),CHAR(160),"")," ",""),".",""),"-",""),"/",""),"?",""),"_",""),",",""),"[",""),"]",""),"(",""),")",""),"*","")</f>
        <v/>
      </c>
      <c r="AZ236" s="61" t="str">
        <f aca="false">SUBSTITUTE(SUBSTITUTE(SUBSTITUTE(SUBSTITUTE(SUBSTITUTE(SUBSTITUTE(SUBSTITUTE(SUBSTITUTE(SUBSTITUTE(SUBSTITUTE(SUBSTITUTE(SUBSTITUTE(SUBSTITUTE(SUBSTITUTE(SUBSTITUTE(SUBSTITUTE(LOWER(AC236&amp;""),CHAR(10),""),CHAR(13),""),CHAR(9),""),CHAR(160),"")," ",""),".",""),"-",""),"/",""),"?",""),"_",""),",",""),"[",""),"]",""),"(",""),")",""),"*","")</f>
        <v/>
      </c>
      <c r="BA236" s="61" t="str">
        <f aca="false">SUBSTITUTE(SUBSTITUTE(SUBSTITUTE(SUBSTITUTE(SUBSTITUTE(SUBSTITUTE(SUBSTITUTE(SUBSTITUTE(SUBSTITUTE(SUBSTITUTE(SUBSTITUTE(SUBSTITUTE(SUBSTITUTE(SUBSTITUTE(SUBSTITUTE(SUBSTITUTE(LOWER(AA236&amp;""),CHAR(10),""),CHAR(13),""),CHAR(9),""),CHAR(160),"")," ",""),".",""),"-",""),"/",""),"?",""),"_",""),",",""),"[",""),"]",""),"(",""),")",""),"*","")</f>
        <v/>
      </c>
      <c r="BB236" s="61" t="str">
        <f aca="false">IF(AND(TRIM(U236)="Pass",ISNUMBER(AF236)),IF(AF236&lt;&gt;0,"INVALID – qty variance: use Fail or Pass after CA",""),"")&amp;IF(AND(TRIM(U236)="Pass after CA",ISNUMBER(AF236)),IF(AF236&lt;&gt;0,"INVALID – after the corrective action the actual qty must equal expected (update Actual)",""),"")&amp;IF(AND(TRIM(U236)="Pass",TRIM(AB236)&lt;&gt;"",TRIM(AB236)&lt;&gt;"Closed"),"INVALID – corrective action not closed: use Fail, then Pass after CA","")&amp;IF(AND(LEN(BA236)&gt;=2,ISNA(MATCH(LEFT(BA236,255),L_Placeholder,0)),TRIM(AB236)=""),"INVALID – CA status missing for the recorded corrective action","")&amp;IF(AND(TRIM(U236)="Pass after CA",OR(OR(LEN(BA236)&lt;5,ISNUMBER(MATCH(BA236,L_Placeholder,0))),TRIM(AB236)&lt;&gt;"Closed")),"INVALID – corrective action not recorded/closed","")</f>
        <v/>
      </c>
      <c r="BC236" s="61" t="str">
        <f aca="false">" "&amp;TRIM(SUBSTITUTE(SUBSTITUTE(SUBSTITUTE(SUBSTITUTE(SUBSTITUTE(SUBSTITUTE(SUBSTITUTE(SUBSTITUTE(SUBSTITUTE(SUBSTITUTE(SUBSTITUTE(SUBSTITUTE(SUBSTITUTE(SUBSTITUTE(SUBSTITUTE(SUBSTITUTE(SUBSTITUTE(SUBSTITUTE(SUBSTITUTE(SUBSTITUTE(SUBSTITUTE(SUBSTITUTE(SUBSTITUTE(SUBSTITUTE(LOWER(V236&amp;""),CHAR(10)," "),CHAR(13)," "),CHAR(9)," "),CHAR(160)," "),"."," "),","," "),"-"," "),"/"," "),"("," "),")"," "),":"," "),";"," "),"_"," "),"–"," "),"?"," "),"!"," "),"*"," "),"["," "),"]"," "),"'"," "),"#"," "),"+"," "),"&amp;"," "),"\"," "))&amp;" "</f>
        <v>  </v>
      </c>
      <c r="BD236" s="61" t="str">
        <f aca="false">" "&amp;TRIM(SUBSTITUTE(SUBSTITUTE(SUBSTITUTE(SUBSTITUTE(SUBSTITUTE(SUBSTITUTE(SUBSTITUTE(SUBSTITUTE(SUBSTITUTE(SUBSTITUTE(SUBSTITUTE(SUBSTITUTE(SUBSTITUTE(SUBSTITUTE(SUBSTITUTE(SUBSTITUTE(SUBSTITUTE(SUBSTITUTE(SUBSTITUTE(SUBSTITUTE(SUBSTITUTE(SUBSTITUTE(SUBSTITUTE(SUBSTITUTE(LOWER(Z236&amp;""),CHAR(10)," "),CHAR(13)," "),CHAR(9)," "),CHAR(160)," "),"."," "),","," "),"-"," "),"/"," "),"("," "),")"," "),":"," "),";"," "),"_"," "),"–"," "),"?"," "),"!"," "),"*"," "),"["," "),"]"," "),"'"," "),"#"," "),"+"," "),"&amp;"," "),"\"," "))&amp;" "</f>
        <v>  </v>
      </c>
      <c r="BE236" s="61" t="str">
        <f aca="false">" "&amp;TRIM(SUBSTITUTE(SUBSTITUTE(SUBSTITUTE(SUBSTITUTE(SUBSTITUTE(SUBSTITUTE(SUBSTITUTE(SUBSTITUTE(SUBSTITUTE(SUBSTITUTE(SUBSTITUTE(SUBSTITUTE(SUBSTITUTE(SUBSTITUTE(SUBSTITUTE(SUBSTITUTE(SUBSTITUTE(SUBSTITUTE(SUBSTITUTE(SUBSTITUTE(SUBSTITUTE(SUBSTITUTE(SUBSTITUTE(SUBSTITUTE(LOWER(W236&amp;""),CHAR(10)," "),CHAR(13)," "),CHAR(9)," "),CHAR(160)," "),"."," "),","," "),"-"," "),"/"," "),"("," "),")"," "),":"," "),";"," "),"_"," "),"–"," "),"?"," "),"!"," "),"*"," "),"["," "),"]"," "),"'"," "),"#"," "),"+"," "),"&amp;"," "),"\"," "))&amp;" "</f>
        <v>  </v>
      </c>
      <c r="BF236" s="61" t="str">
        <f aca="false">" "&amp;TRIM(SUBSTITUTE(SUBSTITUTE(SUBSTITUTE(SUBSTITUTE(SUBSTITUTE(SUBSTITUTE(SUBSTITUTE(SUBSTITUTE(SUBSTITUTE(SUBSTITUTE(SUBSTITUTE(SUBSTITUTE(SUBSTITUTE(SUBSTITUTE(SUBSTITUTE(SUBSTITUTE(SUBSTITUTE(SUBSTITUTE(SUBSTITUTE(SUBSTITUTE(SUBSTITUTE(SUBSTITUTE(SUBSTITUTE(SUBSTITUTE(LOWER(AC236&amp;""),CHAR(10)," "),CHAR(13)," "),CHAR(9)," "),CHAR(160)," "),"."," "),","," "),"-"," "),"/"," "),"("," "),")"," "),":"," "),";"," "),"_"," "),"–"," "),"?"," "),"!"," "),"*"," "),"["," "),"]"," "),"'"," "),"#"," "),"+"," "),"&amp;"," "),"\"," "))&amp;" "</f>
        <v>  </v>
      </c>
      <c r="BG236" s="61" t="n">
        <f aca="false">IFERROR(IF(AND(TRIM(U236)="Pass",SUMPRODUCT((LEN(BC236)-LEN(SUBSTITUTE(BC236," "&amp;L_ResultBad&amp;" "," ")))/(LEN(L_ResultBad)+1))&gt;SUMPRODUCT((LEN(BC236)-LEN(SUBSTITUTE(BC236," "&amp;L_NegPhrase&amp;" "," ")))/(LEN(L_NegPhrase)+1))),1,0),0)</f>
        <v>0</v>
      </c>
      <c r="BH236" s="61" t="n">
        <f aca="false">IFERROR(IF(SUMPRODUCT((LEN(BC236)-LEN(SUBSTITUTE(BC236," "&amp;L_Pending&amp;" "," ")))/(LEN(L_Pending)+1))&gt;SUMPRODUCT((LEN(BC236)-LEN(SUBSTITUTE(BC236," "&amp;L_PendNeg&amp;" "," ")))/(LEN(L_PendNeg)+1))+SUMPRODUCT((LEN(BC236)-LEN(SUBSTITUTE(BC236," "&amp;L_PendPrep&amp;" "," ")))/(LEN(L_PendPrep)+1)),1,0),1)</f>
        <v>0</v>
      </c>
      <c r="BI236" s="61" t="n">
        <f aca="false">IFERROR(IF(SUMPRODUCT((LEN(BD236)-LEN(SUBSTITUTE(BD236," "&amp;L_PendStrict&amp;" "," ")))/(LEN(L_PendStrict)+1))&gt;SUMPRODUCT((LEN(BD236)-LEN(SUBSTITUTE(BD236," "&amp;L_PendNeg&amp;" "," ")))/(LEN(L_PendNeg)+1)),1,0),1)</f>
        <v>0</v>
      </c>
      <c r="BJ236" s="61" t="n">
        <f aca="false">IFERROR(IF(SUMPRODUCT((LEN(BE236)-LEN(SUBSTITUTE(BE236," "&amp;L_Pending&amp;" "," ")))/(LEN(L_Pending)+1))&gt;SUMPRODUCT((LEN(BE236)-LEN(SUBSTITUTE(BE236," "&amp;L_PendNeg&amp;" "," ")))/(LEN(L_PendNeg)+1))+SUMPRODUCT((LEN(BE236)-LEN(SUBSTITUTE(BE236," "&amp;L_PendPrep&amp;" "," ")))/(LEN(L_PendPrep)+1)),1,0),1)</f>
        <v>0</v>
      </c>
      <c r="BK236" s="61" t="n">
        <f aca="false">IFERROR(IF(SUMPRODUCT((LEN(BF236)-LEN(SUBSTITUTE(BF236," "&amp;L_PendStrict&amp;" "," ")))/(LEN(L_PendStrict)+1))&gt;SUMPRODUCT((LEN(BF236)-LEN(SUBSTITUTE(BF236," "&amp;L_PendNeg&amp;" "," ")))/(LEN(L_PendNeg)+1)),1,0),1)</f>
        <v>0</v>
      </c>
      <c r="BL236" s="61" t="n">
        <f aca="false">IF(ISNA(MATCH(TRIM(S236),L_EvidenceType,0)),0,BZ236)</f>
        <v>0</v>
      </c>
      <c r="BM236" s="61" t="str">
        <f aca="false">SUBSTITUTE(SUBSTITUTE(SUBSTITUTE(SUBSTITUTE(SUBSTITUTE(SUBSTITUTE(SUBSTITUTE(SUBSTITUTE(SUBSTITUTE(LOWER(Z236&amp;""),"1","0"),"2","0"),"3","0"),"4","0"),"5","0"),"6","0"),"7","0"),"8","0"),"9","0")</f>
        <v/>
      </c>
      <c r="BN236" s="61" t="str">
        <f aca="false">SUBSTITUTE(SUBSTITUTE(SUBSTITUTE(SUBSTITUTE(SUBSTITUTE(SUBSTITUTE(SUBSTITUTE(SUBSTITUTE(SUBSTITUTE(SUBSTITUTE(SUBSTITUTE(SUBSTITUTE(SUBSTITUTE(SUBSTITUTE(SUBSTITUTE(SUBSTITUTE(SUBSTITUTE(SUBSTITUTE(SUBSTITUTE(SUBSTITUTE(SUBSTITUTE(SUBSTITUTE(SUBSTITUTE(SUBSTITUTE(SUBSTITUTE(BM236,"b","a"),"c","a"),"d","a"),"e","a"),"f","a"),"g","a"),"h","a"),"i","a"),"j","a"),"k","a"),"l","a"),"m","a"),"n","a"),"o","a"),"p","a"),"q","a"),"r","a"),"s","a"),"t","a"),"u","a"),"v","a"),"w","a"),"x","a"),"y","a"),"z","a")</f>
        <v/>
      </c>
      <c r="BO236" s="61" t="str">
        <f aca="false">SUBSTITUTE(SUBSTITUTE(SUBSTITUTE(SUBSTITUTE(SUBSTITUTE(SUBSTITUTE(SUBSTITUTE(SUBSTITUTE(SUBSTITUTE(LOWER(W236&amp;""),"1","0"),"2","0"),"3","0"),"4","0"),"5","0"),"6","0"),"7","0"),"8","0"),"9","0")</f>
        <v/>
      </c>
      <c r="BP236" s="61" t="str">
        <f aca="false">SUBSTITUTE(SUBSTITUTE(SUBSTITUTE(SUBSTITUTE(SUBSTITUTE(SUBSTITUTE(SUBSTITUTE(SUBSTITUTE(SUBSTITUTE(SUBSTITUTE(SUBSTITUTE(SUBSTITUTE(SUBSTITUTE(SUBSTITUTE(SUBSTITUTE(SUBSTITUTE(SUBSTITUTE(SUBSTITUTE(SUBSTITUTE(SUBSTITUTE(SUBSTITUTE(SUBSTITUTE(SUBSTITUTE(SUBSTITUTE(SUBSTITUTE(BO236,"b","a"),"c","a"),"d","a"),"e","a"),"f","a"),"g","a"),"h","a"),"i","a"),"j","a"),"k","a"),"l","a"),"m","a"),"n","a"),"o","a"),"p","a"),"q","a"),"r","a"),"s","a"),"t","a"),"u","a"),"v","a"),"w","a"),"x","a"),"y","a"),"z","a")</f>
        <v/>
      </c>
      <c r="BQ236" s="61" t="n">
        <f aca="false">IFERROR(IF(AND(ISERROR(SEARCH(" mh"," "&amp;LOWER(W236))),ISNA(MATCH(LEFT(TRIM(BP236),255),{"0000a","000a","00a","0000aa","000aa","00aa","0aa","0000aaa","000aaa","00a00","0a00","0000-0000","00:00","a00","a0","00.00.0000","00/00/0000","00-00-0000","0000-00-00","0000/00/00","0000.00.00","00.00.00","00/00/00","00-00-00","0.00.0000","0/00/0000","0-00-0000"},0)),ISNA(MATCH(LEFT(TRIM(CA236),255),{"0000a","000a","00a","0000aa","000aa","00aa","0aa","0000aaa","000aaa","00a00","0a00","0000-0000","00:00","a00","a0","00.00.0000","00/00/0000","00-00-0000","0000-00-00","0000/00/00","0000.00.00","00.00.00","00/00/00","00-00-00","0.00.0000","0/00/0000","0-00-0000"},0)),LEN(CB236)&gt;=3,NOT(OR(SUBSTITUTE(CB236,"0","")="",AND(LEN(CB236)&gt;=4,CB236=REPT(LEFT(CB236),LEN(CB236))),ISNUMBER(MATCH(CB236,{"123","1234","12345","123456","1234567","12345678","0123","01234","012345","98765","987654","54321"},0)),AND(LEN(CB236)=8,LEFT(CB236,3)="202"))),OR(AND((LEN(CA236)-LEN(SUBSTITUTE(CA236,"a","")))&gt;=1,SUMPRODUCT(--ISNUMBER(SEARCH({"a0","a-0","a_0","a/0","a.0","a#0","0a","0-a","0_a","0/a"},BP236)))&gt;0),ISNUMBER(SEARCH("000000",BP236)))),1,0),0)</f>
        <v>0</v>
      </c>
      <c r="BR236" s="61" t="n">
        <f aca="false">IFERROR(LEN(SUBSTITUTE(CC236," ",""))-SUMPRODUCT((LEN(CC236)-LEN(SUBSTITUTE(CC236," "&amp;L_Role&amp;" "," ")))/(LEN(L_Role)+1)*LEN(L_Role)),0)</f>
        <v>0</v>
      </c>
      <c r="BS236" s="61" t="n">
        <f aca="false">IFERROR(LEN(SUBSTITUTE(CD236," ",""))-SUMPRODUCT((LEN(CD236)-LEN(SUBSTITUTE(CD236," "&amp;L_Role&amp;" "," ")))/(LEN(L_Role)+1)*LEN(L_Role)),0)</f>
        <v>0</v>
      </c>
      <c r="BT2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236,"revision",""),"version",""),"jan",""),"feb",""),"mar",""),"apr",""),"may",""),"jun",""),"jul",""),"aug",""),"sep",""),"oct",""),"nov",""),"dec",""),"utc",""),"gmt",""),"myt",""),"bst",""),"rev",""),"ver",""),"b","a"),"c","a"),"d","a"),"e","a"),"f","a"),"g","a"),"h","a"),"i","a"),"j","a"),"k","a"),"l","a"),"m","a"),"n","a"),"o","a"),"p","a"),"q","a"),"r","a"),"s","a"),"t","a"),"u","a"),"v","a"),"w","a"),"x","a"),"y","a"),"z","a")</f>
        <v/>
      </c>
      <c r="BU236" s="61" t="str">
        <f aca="false">SUBSTITUTE(SUBSTITUTE(SUBSTITUTE(SUBSTITUTE(SUBSTITUTE(SUBSTITUTE(SUBSTITUTE(SUBSTITUTE(SUBSTITUTE(SUBSTITUTE(LEFT(BM236,FIND("0",BM236&amp;"0")-1),"-",""),"_",""),"/",""),".",""),"#",""),"\\",""),":","")," ",""),"(",""),")","")</f>
        <v/>
      </c>
      <c r="BV236" s="61" t="n">
        <f aca="false">0</f>
        <v>0</v>
      </c>
      <c r="BW2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236&amp;""),"a",""),"b",""),"c",""),"d",""),"e",""),"f",""),"g",""),"h",""),"i",""),"j",""),"k",""),"l",""),"m",""),"n",""),"o",""),"p",""),"q",""),"r",""),"s",""),"t",""),"u",""),"v",""),"w",""),"x",""),"y",""),"z",""),"-",""),"_",""),"/",""),".",""),"#",""),"\\",""),":","")," ",""),"(",""),")","")</f>
        <v/>
      </c>
      <c r="BX236" s="61" t="str">
        <f aca="false">SUBSTITUTE(SUBSTITUTE(SUBSTITUTE(SUBSTITUTE(SUBSTITUTE(SUBSTITUTE(SUBSTITUTE(SUBSTITUTE(SUBSTITUTE(SUBSTITUTE(SUBSTITUTE(BM236,"0",""),"-",""),"_",""),"/",""),".",""),"#",""),"\\",""),":","")," ",""),"(",""),")","")</f>
        <v/>
      </c>
      <c r="BY236" s="62" t="n">
        <f aca="false">Q236-T12EarlyH/24</f>
        <v>46303.4166666667</v>
      </c>
      <c r="BZ236" s="61" t="n">
        <f aca="false">IFERROR(IF(IF(TRIM(S236)="Link / file path",AND(LEN(TRIM(Z236))&gt;=5,SUMPRODUCT(--ISNUMBER(SEARCH({"http","www.","\\",":\",".pdf",".jpg",".jpeg",".png",".heic",".xls",".doc",".msg",".eml",".ppt",".txt",".zip"},Z236)))&gt;0),AND(ISERROR(FIND(" ",TRIM(Z236))),NOT(OR(SUMPRODUCT(--ISNUMBER(FIND({",",";","&amp;","+"},Z236)))&gt;0,SUMPRODUCT(--ISNUMBER(SEARCH({"0/aa","0\\aa"},BN236)))&gt;0)),NOT(SUMPRODUCT(--ISNUMBER(SEARCH({"http","www.","\\",":\",".pdf",".jpg",".jpeg",".png",".heic",".xls",".doc",".msg",".eml",".ppt",".txt",".zip"},Z236)))&gt;0),NOT(LOWER(TRIM(Z236))=LOWER(Flights!$F$11)),ISNA(MATCH(BU236,{"mh","rev","revision","ver","version","v","r","a","b","seat","tray","row","gate","bay","stand","page","pg","item","line","no","cart","galley","flight","flt","table","box","bag","oven","etd","eta","std","sta","atd","ata","qty","pax","x","time","tel","ph","mob","day","wk","week","utc","gmt","myt","lt"},0)),NOT(OR(ISNUMBER(MATCH(LEFT(BN236,255),{"0000a","000a","00a","0000aa","000aa","00aa","0aa","0000aaa","000aaa","00a00","0a00","0000-0000","00:00","a00","a0","00.00.0000","00/00/0000","00-00-0000","0000-00-00","0000/00/00","0000.00.00","00.00.00","00/00/00","00-00-00","0.00.0000","0/00/0000","0-00-0000"},0)),ISNUMBER(MATCH(LEFT(BT236,255),{"0000a","000a","00a","0000aa","000aa","00aa","0aa","0000aaa","000aaa","00a00","0a00","0000-0000","00:00","a00","a0","00.00.0000","00/00/0000","00-00-0000","0000-00-00","0000/00/00","0000.00.00","00.00.00","00/00/00","00-00-00","0.00.0000","0/00/0000","0-00-0000"},0)))),NOT(OR(AND(BW236&lt;&gt;"",SUBSTITUTE(BW236,"0","")=""),AND(LEN(BW236)&gt;=4,BW236=REPT(LEFT(BW236),LEN(BW236))),ISNUMBER(MATCH(BW236,{"123","1234","12345","123456","1234567","12345678","0123","01234","012345","98765","987654","54321"},0)),ISNUMBER(MATCH(BX236,{"x","xx","xxx","xxxx","xxxxx","abc","abcd","nil","na","nan","test","tbc","tba","tbd","dummy","sample","example","eg","zz","zzz","none","null","xyz","qwe","asd","id","ref"},0)),AND(LEN(BW236)=8,BX236="",OR(LEFT(BW236,3)="202",ISNUMBER(MATCH(RIGHT(BW236,4),{"2025","2026","2027"},0)))))),OR(AND((LEN(BT236)-LEN(SUBSTITUTE(BT236,"a","")))&gt;=1,(LEN(BN236)-LEN(SUBSTITUTE(BN236,"0","")))&gt;=2,SUMPRODUCT(--ISNUMBER(SEARCH({"a0","a-0","a_0","a/0","a.0","a#0","0a","0-a","0_a","0/a"},BN236)))&gt;0),AND((LEN(BN236)-LEN(SUBSTITUTE(BN236,"a","")))=0,(LEN(BN236)-LEN(SUBSTITUTE(BN236,"0","")))&gt;=5)))),1,0),0)</f>
        <v>0</v>
      </c>
      <c r="CA2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236,"revision",""),"version",""),"jan",""),"feb",""),"mar",""),"apr",""),"may",""),"jun",""),"jul",""),"aug",""),"sep",""),"oct",""),"nov",""),"dec",""),"utc",""),"gmt",""),"myt",""),"bst",""),"rev",""),"ver",""),"b","a"),"c","a"),"d","a"),"e","a"),"f","a"),"g","a"),"h","a"),"i","a"),"j","a"),"k","a"),"l","a"),"m","a"),"n","a"),"o","a"),"p","a"),"q","a"),"r","a"),"s","a"),"t","a"),"u","a"),"v","a"),"w","a"),"x","a"),"y","a"),"z","a")</f>
        <v/>
      </c>
      <c r="CB2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236&amp;""),"a",""),"b",""),"c",""),"d",""),"e",""),"f",""),"g",""),"h",""),"i",""),"j",""),"k",""),"l",""),"m",""),"n",""),"o",""),"p",""),"q",""),"r",""),"s",""),"t",""),"u",""),"v",""),"w",""),"x",""),"y",""),"z",""),"-",""),"_",""),"/",""),".",""),"#",""),"\\",""),":","")," ",""),"(",""),")","")</f>
        <v/>
      </c>
      <c r="CC236" s="0" t="str">
        <f aca="false">" "&amp;TRIM(SUBSTITUTE(SUBSTITUTE(SUBSTITUTE(SUBSTITUTE(SUBSTITUTE(SUBSTITUTE(SUBSTITUTE(SUBSTITUTE(SUBSTITUTE(SUBSTITUTE(SUBSTITUTE(SUBSTITUTE(SUBSTITUTE(SUBSTITUTE(SUBSTITUTE(SUBSTITUTE(SUBSTITUTE(SUBSTITUTE(SUBSTITUTE(SUBSTITUTE(SUBSTITUTE(SUBSTITUTE(SUBSTITUTE(SUBSTITUTE(LOWER(T236&amp;""),CHAR(10)," "),CHAR(13)," "),CHAR(9)," "),CHAR(160)," "),"."," "),","," "),"-"," "),"/"," "),"("," "),")"," "),":"," "),";"," "),"_"," "),"–"," "),"?"," "),"!"," "),"*"," "),"["," "),"]"," "),"'"," "),"#"," "),"+"," "),"&amp;"," "),"\"," "))&amp;" "</f>
        <v>  </v>
      </c>
      <c r="CD236" s="0" t="str">
        <f aca="false">" "&amp;TRIM(SUBSTITUTE(SUBSTITUTE(SUBSTITUTE(SUBSTITUTE(SUBSTITUTE(SUBSTITUTE(SUBSTITUTE(SUBSTITUTE(SUBSTITUTE(SUBSTITUTE(SUBSTITUTE(SUBSTITUTE(SUBSTITUTE(SUBSTITUTE(SUBSTITUTE(SUBSTITUTE(SUBSTITUTE(SUBSTITUTE(SUBSTITUTE(SUBSTITUTE(SUBSTITUTE(SUBSTITUTE(SUBSTITUTE(SUBSTITUTE(LOWER(AE236&amp;""),CHAR(10)," "),CHAR(13)," "),CHAR(9)," "),CHAR(160)," "),"."," "),","," "),"-"," "),"/"," "),"("," "),")"," "),":"," "),";"," "),"_"," "),"–"," "),"?"," "),"!"," "),"*"," "),"["," "),"]"," "),"'"," "),"#"," "),"+"," "),"&amp;"," "),"\"," "))&amp;" "</f>
        <v>  </v>
      </c>
      <c r="CE236" s="68" t="n">
        <f aca="false">IFERROR(IF(AND(LEN(AU236)&gt;0,LEN(AU236)=LEN(AX236),OR(TRIM(MID(SUBSTITUTE(TRIM(CC236)," ",REPT(" ",60)),1,60))="",ISNUMBER(SEARCH(" "&amp;TRIM(MID(SUBSTITUTE(TRIM(CC236)," ",REPT(" ",60)),1,60))&amp;" ",CD236))),OR(TRIM(MID(SUBSTITUTE(TRIM(CC236)," ",REPT(" ",60)),61,60))="",ISNUMBER(SEARCH(" "&amp;TRIM(MID(SUBSTITUTE(TRIM(CC236)," ",REPT(" ",60)),61,60))&amp;" ",CD236))),OR(TRIM(MID(SUBSTITUTE(TRIM(CC236)," ",REPT(" ",60)),121,60))="",ISNUMBER(SEARCH(" "&amp;TRIM(MID(SUBSTITUTE(TRIM(CC236)," ",REPT(" ",60)),121,60))&amp;" ",CD236)))),1,0),0)</f>
        <v>0</v>
      </c>
      <c r="CG236" s="68" t="n">
        <f aca="false">IFERROR(LEN(SUBSTITUTE(BF236," ",""))-SUMPRODUCT((LEN(BF236)-LEN(SUBSTITUTE(BF236," "&amp;L_NAFiller&amp;" "," ")))/(LEN(L_NAFiller)+1)*LEN(L_NAFiller)),0)</f>
        <v>0</v>
      </c>
    </row>
    <row r="237" customFormat="false" ht="41.25" hidden="false" customHeight="true" outlineLevel="0" collapsed="false">
      <c r="A237" s="57" t="s">
        <v>803</v>
      </c>
      <c r="B237" s="57" t="s">
        <v>235</v>
      </c>
      <c r="C237" s="57" t="str">
        <f aca="false">Flights!$F$11</f>
        <v>MH0003</v>
      </c>
      <c r="D237" s="58" t="n">
        <f aca="false">Flights!$D$11</f>
        <v>46304</v>
      </c>
      <c r="E237" s="57" t="str">
        <f aca="false">Flights!$G$11&amp;"-"&amp;Flights!$H$11</f>
        <v>LHR-KUL</v>
      </c>
      <c r="F237" s="57" t="str">
        <f aca="false">Flights!$K$11</f>
        <v>BC</v>
      </c>
      <c r="G237" s="57" t="s">
        <v>420</v>
      </c>
      <c r="H237" s="57" t="s">
        <v>378</v>
      </c>
      <c r="I237" s="57" t="s">
        <v>499</v>
      </c>
      <c r="J237" s="57" t="s">
        <v>511</v>
      </c>
      <c r="K237" s="67" t="s">
        <v>501</v>
      </c>
      <c r="L237" s="67" t="s">
        <v>742</v>
      </c>
      <c r="M237" s="67" t="s">
        <v>451</v>
      </c>
      <c r="N237" s="67" t="s">
        <v>383</v>
      </c>
      <c r="O237" s="67" t="s">
        <v>452</v>
      </c>
      <c r="P237" s="57" t="s">
        <v>186</v>
      </c>
      <c r="Q237" s="59" t="n">
        <f aca="false">ROUND((Flights!$AE$11)*1440,0)/1440</f>
        <v>46303.9166666667</v>
      </c>
      <c r="R237" s="59" t="n">
        <f aca="false">Q237+(IF(AND(INDEX(TZ_DSTS,MATCH(P237,TZ_STN,0))&lt;&gt;"",Q237&gt;=INDEX(TZ_DSTS,MATCH(P237,TZ_STN,0)),Q237&lt;INDEX(TZ_DSTE,MATCH(P237,TZ_STN,0))),INDEX(TZ_DST,MATCH(P237,TZ_STN,0)),INDEX(TZ_STD,MATCH(P237,TZ_STN,0))))/24</f>
        <v>46303.9583333333</v>
      </c>
      <c r="S237" s="60"/>
      <c r="T237" s="60"/>
      <c r="U237" s="60"/>
      <c r="V237" s="60"/>
      <c r="W237" s="61"/>
      <c r="X237" s="60"/>
      <c r="Y237" s="60"/>
      <c r="Z237" s="60"/>
      <c r="AA237" s="60"/>
      <c r="AB237" s="60"/>
      <c r="AC237" s="60"/>
      <c r="AD237" s="66"/>
      <c r="AE237" s="60"/>
      <c r="AF237" s="61" t="str">
        <f aca="false">IF(AND(ISNUMBER(X237),ISNUMBER(Y237)),Y237-X237,"")</f>
        <v/>
      </c>
      <c r="AG237" s="62" t="str">
        <f aca="false">IF(ISNUMBER(AD237),AD237-(IF(AND(INDEX(TZ_DSTS,MATCH(P237,TZ_STN,0))&lt;&gt;"",(AD237-INDEX(TZ_STD,MATCH(P237,TZ_STN,0))/24)&gt;=INDEX(TZ_DSTS,MATCH(P237,TZ_STN,0)),(AD237-INDEX(TZ_STD,MATCH(P237,TZ_STN,0))/24)&lt;INDEX(TZ_DSTE,MATCH(P237,TZ_STN,0))),INDEX(TZ_DST,MATCH(P237,TZ_STN,0)),INDEX(TZ_STD,MATCH(P237,TZ_STN,0))))/24,"")</f>
        <v/>
      </c>
      <c r="AH237" s="65" t="str">
        <f aca="false">IFERROR(IF(N237="N/A – rule",IF(OR(TRIM(U237)="",TRIM(U237)="N/A",TRIM(U237)="Not started"),"N/A – RULE","INVALID – this check does not apply to this aircraft: clear the status (or correct the fleet on Flights)"),IF(TRIM(U237)="N/A",IF(AT237=0,"INVALID – N/A not permitted for this check",IF(AND(TRIM(AB237)&lt;&gt;"",TRIM(AB237)&lt;&gt;"Closed"),"INVALID – corrective action still open",IF(AND(NOT(OR(LEN(AZ237)&lt;15,ISNUMBER(MATCH(AZ237,L_Placeholder,0)))),BK237=0,CG237&gt;=8,NOT(OR(LEN(AU237)&lt;2,ISNUMBER(MATCH(AU237,L_Placeholder,0)))),BR237&gt;=3,NOT(OR(LEN(AX237)&lt;2,ISNUMBER(MATCH(AX237,L_Placeholder,0)))),BS237&gt;=3,TRIM(AE237)&lt;&gt;TRIM(T237),AX237&lt;&gt;AU237,CE237=0),"N/A – JUSTIFIED","INVALID – N/A needs a real, settled reason (not 'not applicable' / 'as above' / TBC), a named PIC and a different named verifier"))),IF(OR(TRIM(U237)="Pass",TRIM(U237)="Pass after CA"),IF(NOT(ISNUMBER(AD237)),"INVALID – completion time missing",IF(OR(OR(LEN(AU237)&lt;2,ISNUMBER(MATCH(AU237,L_Placeholder,0))),BR237&lt;3),"INVALID – PIC missing or not a named person (a role such as QA / CSM is not a name)",IF(OR(LEN(AV237)&lt;2,ISNUMBER(MATCH(AV237,L_Placeholder,0))),"INVALID – result / assessment missing",IF(OR(OR(LEN(AW237)&lt;3,ISNUMBER(MATCH(AW237,L_Placeholder,0))),SUMPRODUCT(--ISNUMBER(SEARCH(" "&amp;L_EvidencePhrase&amp;" ",BD237)))&gt;0,BI237=1),"INVALID – evidence missing, placeholder or not yet on file",IF(ISNA(MATCH(TRIM(S237),L_EvidenceType,0)),"INVALID – choose the evidence type from the list (column S)",IF(BL237=0,"INVALID – evidence ID must be the record's own ID only (e.g. SF-2210, IMG_2231, 1045521); a link / file name needs type 'Link / file path'",IF(OR(OR(LEN(AX237)&lt;2,ISNUMBER(MATCH(AX237,L_Placeholder,0))),BS237&lt;3),"INVALID – verifier missing or not a named person (a role such as QA / CSM is not a name)",IF(OR(AX237=AU237,CE237=1,AND(LEN(AU237)&gt;=4,ISNUMBER(SEARCH(AU237,AX237))),AND(LEN(AX237)&gt;=4,ISNUMBER(SEARCH(AX237,AU237)))),"INVALID – verifier must be a different, named person (not the PIC or a role)",IF(BH237=1,"INVALID – result not yet available (awaiting / TBC)",IF(BG237=1,"INVALID – result describes a problem: record Fail, then Pass after CA (or reword if it is not a problem)",IF(BV237=1,"INVALID – wording says not on board: an on-board confirmation needs the item loaded",IF(AND(AQ237=1,OR(OR(LEN(AY237)&lt;3,ISNUMBER(MATCH(AY237,L_Placeholder,0))),BJ237=1,BQ237=0)),"INVALID – batch ID missing, placeholder or not an ID (e.g. PASB-261008-BC-017)",IF(AND(AR237=1,OR(NOT(ISNUMBER(X237)),NOT(ISNUMBER(Y237)))),"INVALID – expected/actual qty missing",IF(AND(AR237=1,OR(X237&lt;=0,Y237&lt;0)),"INVALID – expected qty must be above 0 and actual not negative",IF(BB237&lt;&gt;"",BB237,IF(AND(AS237=1,Documents!$J$11&lt;&gt;"ON FILE"),"INVALID – GLD not on file (Documents sheet)",IF(AND(AS237=2,Documents!$O$11&lt;&gt;"ON FILE"),"INVALID – menu checklist not on file (Documents sheet)",IF(AND(AS237=3,NOT(ISNUMBER(Flights!$AX$11))),"INVALID – enter carrying flight KUL departure (Flights AX)",IF(AND(AS237=3,OR(Flights!$AZ$11&gt;Flights!$AA$11,Flights!$AX$11&lt;Flights!$AA$11-3)),"INVALID – carrying flight (Flights AX) cannot arrive before this leg's STD, or is over 3 days early",IF(AG237&gt;AsOfUTC,"INVALID – completion time is in the future",IF(AND(ISNUMBER(BY237),AG237&lt;BY237),IF(H237="Physical uplift","INVALID – before uplift window (cannot confirm loading)","INVALID – before valid window"),IF(AG237&gt;Flights!$AA$11,"INVALID – completed after departure (cannot establish readiness)",IF(AND(H237="Preparation",AG237&gt;=IF(ISNUMBER(Flights!$BA$11),MIN(Flights!$BA$11,Flights!$AA$11),Flights!$AA$11)),"INVALID – completed after loading / departure (cannot establish readiness)",IF(AND(H237="Physical uplift",AG237&gt;Q237),"INVALID – recorded after the loading flight departed",IF(AG237&gt;Q237,"COMPLETE – LATE","COMPLETE"))))))))))))))))))))))))),IF(TRIM(U237)="Fail","FAIL – DISCREPANCY",IF(AND(TRIM(U237)&lt;&gt;"",TRIM(U237)&lt;&gt;"Not started",TRIM(U237)&lt;&gt;"In progress"),"INVALID – unrecognised status (use the list)",IF(AsOfUTC&gt;Q237,"OVERDUE",IF(N237="Clarification required","OPEN – CLARIFICATION","OPEN"))))))),"INVALID – error value in an input cell")</f>
        <v>OPEN</v>
      </c>
      <c r="AI237" s="61" t="n">
        <f aca="false">IF(OR(AH237="N/A – RULE",AH237="N/A – JUSTIFIED"),0,1)</f>
        <v>1</v>
      </c>
      <c r="AJ237" s="61" t="n">
        <f aca="false">IF(LEFT(AH237,8)="COMPLETE",1,0)</f>
        <v>0</v>
      </c>
      <c r="AK237" s="61" t="n">
        <f aca="false">IF(AND(AI237=1,AJ237=0,AsOfUTC&gt;Q237),1,0)</f>
        <v>0</v>
      </c>
      <c r="AL237" s="61" t="n">
        <f aca="false">IFERROR(IF(AND(AI237=1,OR(TRIM(U237)="Fail",AND(TRIM(AB237)&lt;&gt;"",TRIM(AB237)&lt;&gt;"Closed"),AND(ISNUMBER(AF237),AF237&lt;&gt;0,TRIM(U237)&lt;&gt;"Pass after CA"))),1,0),1)</f>
        <v>0</v>
      </c>
      <c r="AM237" s="61" t="n">
        <f aca="false">IF(LEFT(AH237,7)="INVALID",1,0)</f>
        <v>0</v>
      </c>
      <c r="AN237" s="61" t="n">
        <f aca="false">IF(AND(N237="Clarification required",AI237=1,AJ237=0),1,0)</f>
        <v>0</v>
      </c>
      <c r="AO237" s="61" t="str">
        <f aca="false">IF(AK237=1,SUM(AK$5:AK237),"")</f>
        <v/>
      </c>
      <c r="AP237" s="61" t="str">
        <f aca="false">IF(AL237=1,SUM(AL$5:AL237),"")</f>
        <v/>
      </c>
      <c r="AQ237" s="61" t="n">
        <v>0</v>
      </c>
      <c r="AR237" s="61" t="n">
        <v>0</v>
      </c>
      <c r="AS237" s="61" t="n">
        <v>0</v>
      </c>
      <c r="AT237" s="61" t="n">
        <v>0</v>
      </c>
      <c r="AU237" s="61" t="str">
        <f aca="false">SUBSTITUTE(SUBSTITUTE(SUBSTITUTE(SUBSTITUTE(SUBSTITUTE(SUBSTITUTE(SUBSTITUTE(SUBSTITUTE(SUBSTITUTE(SUBSTITUTE(SUBSTITUTE(SUBSTITUTE(SUBSTITUTE(SUBSTITUTE(SUBSTITUTE(SUBSTITUTE(LOWER(T237&amp;""),CHAR(10),""),CHAR(13),""),CHAR(9),""),CHAR(160),"")," ",""),".",""),"-",""),"/",""),"?",""),"_",""),",",""),"[",""),"]",""),"(",""),")",""),"*","")</f>
        <v/>
      </c>
      <c r="AV237" s="61" t="str">
        <f aca="false">SUBSTITUTE(SUBSTITUTE(SUBSTITUTE(SUBSTITUTE(SUBSTITUTE(SUBSTITUTE(SUBSTITUTE(SUBSTITUTE(SUBSTITUTE(SUBSTITUTE(SUBSTITUTE(SUBSTITUTE(SUBSTITUTE(SUBSTITUTE(SUBSTITUTE(SUBSTITUTE(LOWER(V237&amp;""),CHAR(10),""),CHAR(13),""),CHAR(9),""),CHAR(160),"")," ",""),".",""),"-",""),"/",""),"?",""),"_",""),",",""),"[",""),"]",""),"(",""),")",""),"*","")</f>
        <v/>
      </c>
      <c r="AW237" s="61" t="str">
        <f aca="false">SUBSTITUTE(SUBSTITUTE(SUBSTITUTE(SUBSTITUTE(SUBSTITUTE(SUBSTITUTE(SUBSTITUTE(SUBSTITUTE(SUBSTITUTE(SUBSTITUTE(SUBSTITUTE(SUBSTITUTE(SUBSTITUTE(SUBSTITUTE(SUBSTITUTE(SUBSTITUTE(LOWER(Z237&amp;""),CHAR(10),""),CHAR(13),""),CHAR(9),""),CHAR(160),"")," ",""),".",""),"-",""),"/",""),"?",""),"_",""),",",""),"[",""),"]",""),"(",""),")",""),"*","")</f>
        <v/>
      </c>
      <c r="AX237" s="61" t="str">
        <f aca="false">SUBSTITUTE(SUBSTITUTE(SUBSTITUTE(SUBSTITUTE(SUBSTITUTE(SUBSTITUTE(SUBSTITUTE(SUBSTITUTE(SUBSTITUTE(SUBSTITUTE(SUBSTITUTE(SUBSTITUTE(SUBSTITUTE(SUBSTITUTE(SUBSTITUTE(SUBSTITUTE(LOWER(AE237&amp;""),CHAR(10),""),CHAR(13),""),CHAR(9),""),CHAR(160),"")," ",""),".",""),"-",""),"/",""),"?",""),"_",""),",",""),"[",""),"]",""),"(",""),")",""),"*","")</f>
        <v/>
      </c>
      <c r="AY237" s="61" t="str">
        <f aca="false">SUBSTITUTE(SUBSTITUTE(SUBSTITUTE(SUBSTITUTE(SUBSTITUTE(SUBSTITUTE(SUBSTITUTE(SUBSTITUTE(SUBSTITUTE(SUBSTITUTE(SUBSTITUTE(SUBSTITUTE(SUBSTITUTE(SUBSTITUTE(SUBSTITUTE(SUBSTITUTE(LOWER(W237&amp;""),CHAR(10),""),CHAR(13),""),CHAR(9),""),CHAR(160),"")," ",""),".",""),"-",""),"/",""),"?",""),"_",""),",",""),"[",""),"]",""),"(",""),")",""),"*","")</f>
        <v/>
      </c>
      <c r="AZ237" s="61" t="str">
        <f aca="false">SUBSTITUTE(SUBSTITUTE(SUBSTITUTE(SUBSTITUTE(SUBSTITUTE(SUBSTITUTE(SUBSTITUTE(SUBSTITUTE(SUBSTITUTE(SUBSTITUTE(SUBSTITUTE(SUBSTITUTE(SUBSTITUTE(SUBSTITUTE(SUBSTITUTE(SUBSTITUTE(LOWER(AC237&amp;""),CHAR(10),""),CHAR(13),""),CHAR(9),""),CHAR(160),"")," ",""),".",""),"-",""),"/",""),"?",""),"_",""),",",""),"[",""),"]",""),"(",""),")",""),"*","")</f>
        <v/>
      </c>
      <c r="BA237" s="61" t="str">
        <f aca="false">SUBSTITUTE(SUBSTITUTE(SUBSTITUTE(SUBSTITUTE(SUBSTITUTE(SUBSTITUTE(SUBSTITUTE(SUBSTITUTE(SUBSTITUTE(SUBSTITUTE(SUBSTITUTE(SUBSTITUTE(SUBSTITUTE(SUBSTITUTE(SUBSTITUTE(SUBSTITUTE(LOWER(AA237&amp;""),CHAR(10),""),CHAR(13),""),CHAR(9),""),CHAR(160),"")," ",""),".",""),"-",""),"/",""),"?",""),"_",""),",",""),"[",""),"]",""),"(",""),")",""),"*","")</f>
        <v/>
      </c>
      <c r="BB237" s="61" t="str">
        <f aca="false">IF(AND(TRIM(U237)="Pass",ISNUMBER(AF237)),IF(AF237&lt;&gt;0,"INVALID – qty variance: use Fail or Pass after CA",""),"")&amp;IF(AND(TRIM(U237)="Pass after CA",ISNUMBER(AF237)),IF(AF237&lt;&gt;0,"INVALID – after the corrective action the actual qty must equal expected (update Actual)",""),"")&amp;IF(AND(TRIM(U237)="Pass",TRIM(AB237)&lt;&gt;"",TRIM(AB237)&lt;&gt;"Closed"),"INVALID – corrective action not closed: use Fail, then Pass after CA","")&amp;IF(AND(LEN(BA237)&gt;=2,ISNA(MATCH(LEFT(BA237,255),L_Placeholder,0)),TRIM(AB237)=""),"INVALID – CA status missing for the recorded corrective action","")&amp;IF(AND(TRIM(U237)="Pass after CA",OR(OR(LEN(BA237)&lt;5,ISNUMBER(MATCH(BA237,L_Placeholder,0))),TRIM(AB237)&lt;&gt;"Closed")),"INVALID – corrective action not recorded/closed","")</f>
        <v/>
      </c>
      <c r="BC237" s="61" t="str">
        <f aca="false">" "&amp;TRIM(SUBSTITUTE(SUBSTITUTE(SUBSTITUTE(SUBSTITUTE(SUBSTITUTE(SUBSTITUTE(SUBSTITUTE(SUBSTITUTE(SUBSTITUTE(SUBSTITUTE(SUBSTITUTE(SUBSTITUTE(SUBSTITUTE(SUBSTITUTE(SUBSTITUTE(SUBSTITUTE(SUBSTITUTE(SUBSTITUTE(SUBSTITUTE(SUBSTITUTE(SUBSTITUTE(SUBSTITUTE(SUBSTITUTE(SUBSTITUTE(LOWER(V237&amp;""),CHAR(10)," "),CHAR(13)," "),CHAR(9)," "),CHAR(160)," "),"."," "),","," "),"-"," "),"/"," "),"("," "),")"," "),":"," "),";"," "),"_"," "),"–"," "),"?"," "),"!"," "),"*"," "),"["," "),"]"," "),"'"," "),"#"," "),"+"," "),"&amp;"," "),"\"," "))&amp;" "</f>
        <v>  </v>
      </c>
      <c r="BD237" s="61" t="str">
        <f aca="false">" "&amp;TRIM(SUBSTITUTE(SUBSTITUTE(SUBSTITUTE(SUBSTITUTE(SUBSTITUTE(SUBSTITUTE(SUBSTITUTE(SUBSTITUTE(SUBSTITUTE(SUBSTITUTE(SUBSTITUTE(SUBSTITUTE(SUBSTITUTE(SUBSTITUTE(SUBSTITUTE(SUBSTITUTE(SUBSTITUTE(SUBSTITUTE(SUBSTITUTE(SUBSTITUTE(SUBSTITUTE(SUBSTITUTE(SUBSTITUTE(SUBSTITUTE(LOWER(Z237&amp;""),CHAR(10)," "),CHAR(13)," "),CHAR(9)," "),CHAR(160)," "),"."," "),","," "),"-"," "),"/"," "),"("," "),")"," "),":"," "),";"," "),"_"," "),"–"," "),"?"," "),"!"," "),"*"," "),"["," "),"]"," "),"'"," "),"#"," "),"+"," "),"&amp;"," "),"\"," "))&amp;" "</f>
        <v>  </v>
      </c>
      <c r="BE237" s="61" t="str">
        <f aca="false">" "&amp;TRIM(SUBSTITUTE(SUBSTITUTE(SUBSTITUTE(SUBSTITUTE(SUBSTITUTE(SUBSTITUTE(SUBSTITUTE(SUBSTITUTE(SUBSTITUTE(SUBSTITUTE(SUBSTITUTE(SUBSTITUTE(SUBSTITUTE(SUBSTITUTE(SUBSTITUTE(SUBSTITUTE(SUBSTITUTE(SUBSTITUTE(SUBSTITUTE(SUBSTITUTE(SUBSTITUTE(SUBSTITUTE(SUBSTITUTE(SUBSTITUTE(LOWER(W237&amp;""),CHAR(10)," "),CHAR(13)," "),CHAR(9)," "),CHAR(160)," "),"."," "),","," "),"-"," "),"/"," "),"("," "),")"," "),":"," "),";"," "),"_"," "),"–"," "),"?"," "),"!"," "),"*"," "),"["," "),"]"," "),"'"," "),"#"," "),"+"," "),"&amp;"," "),"\"," "))&amp;" "</f>
        <v>  </v>
      </c>
      <c r="BF237" s="61" t="str">
        <f aca="false">" "&amp;TRIM(SUBSTITUTE(SUBSTITUTE(SUBSTITUTE(SUBSTITUTE(SUBSTITUTE(SUBSTITUTE(SUBSTITUTE(SUBSTITUTE(SUBSTITUTE(SUBSTITUTE(SUBSTITUTE(SUBSTITUTE(SUBSTITUTE(SUBSTITUTE(SUBSTITUTE(SUBSTITUTE(SUBSTITUTE(SUBSTITUTE(SUBSTITUTE(SUBSTITUTE(SUBSTITUTE(SUBSTITUTE(SUBSTITUTE(SUBSTITUTE(LOWER(AC237&amp;""),CHAR(10)," "),CHAR(13)," "),CHAR(9)," "),CHAR(160)," "),"."," "),","," "),"-"," "),"/"," "),"("," "),")"," "),":"," "),";"," "),"_"," "),"–"," "),"?"," "),"!"," "),"*"," "),"["," "),"]"," "),"'"," "),"#"," "),"+"," "),"&amp;"," "),"\"," "))&amp;" "</f>
        <v>  </v>
      </c>
      <c r="BG237" s="61" t="n">
        <f aca="false">IFERROR(IF(AND(TRIM(U237)="Pass",SUMPRODUCT((LEN(BC237)-LEN(SUBSTITUTE(BC237," "&amp;L_ResultBad&amp;" "," ")))/(LEN(L_ResultBad)+1))&gt;SUMPRODUCT((LEN(BC237)-LEN(SUBSTITUTE(BC237," "&amp;L_NegPhrase&amp;" "," ")))/(LEN(L_NegPhrase)+1))),1,0),0)</f>
        <v>0</v>
      </c>
      <c r="BH237" s="61" t="n">
        <f aca="false">IFERROR(IF(SUMPRODUCT((LEN(BC237)-LEN(SUBSTITUTE(BC237," "&amp;L_Pending&amp;" "," ")))/(LEN(L_Pending)+1))&gt;SUMPRODUCT((LEN(BC237)-LEN(SUBSTITUTE(BC237," "&amp;L_PendNeg&amp;" "," ")))/(LEN(L_PendNeg)+1))+SUMPRODUCT((LEN(BC237)-LEN(SUBSTITUTE(BC237," "&amp;L_PendPrep&amp;" "," ")))/(LEN(L_PendPrep)+1)),1,0),1)</f>
        <v>0</v>
      </c>
      <c r="BI237" s="61" t="n">
        <f aca="false">IFERROR(IF(SUMPRODUCT((LEN(BD237)-LEN(SUBSTITUTE(BD237," "&amp;L_PendStrict&amp;" "," ")))/(LEN(L_PendStrict)+1))&gt;SUMPRODUCT((LEN(BD237)-LEN(SUBSTITUTE(BD237," "&amp;L_PendNeg&amp;" "," ")))/(LEN(L_PendNeg)+1)),1,0),1)</f>
        <v>0</v>
      </c>
      <c r="BJ237" s="61" t="n">
        <f aca="false">IFERROR(IF(SUMPRODUCT((LEN(BE237)-LEN(SUBSTITUTE(BE237," "&amp;L_Pending&amp;" "," ")))/(LEN(L_Pending)+1))&gt;SUMPRODUCT((LEN(BE237)-LEN(SUBSTITUTE(BE237," "&amp;L_PendNeg&amp;" "," ")))/(LEN(L_PendNeg)+1))+SUMPRODUCT((LEN(BE237)-LEN(SUBSTITUTE(BE237," "&amp;L_PendPrep&amp;" "," ")))/(LEN(L_PendPrep)+1)),1,0),1)</f>
        <v>0</v>
      </c>
      <c r="BK237" s="61" t="n">
        <f aca="false">IFERROR(IF(SUMPRODUCT((LEN(BF237)-LEN(SUBSTITUTE(BF237," "&amp;L_PendStrict&amp;" "," ")))/(LEN(L_PendStrict)+1))&gt;SUMPRODUCT((LEN(BF237)-LEN(SUBSTITUTE(BF237," "&amp;L_PendNeg&amp;" "," ")))/(LEN(L_PendNeg)+1)),1,0),1)</f>
        <v>0</v>
      </c>
      <c r="BL237" s="61" t="n">
        <f aca="false">IF(ISNA(MATCH(TRIM(S237),L_EvidenceType,0)),0,BZ237)</f>
        <v>0</v>
      </c>
      <c r="BM237" s="61" t="str">
        <f aca="false">SUBSTITUTE(SUBSTITUTE(SUBSTITUTE(SUBSTITUTE(SUBSTITUTE(SUBSTITUTE(SUBSTITUTE(SUBSTITUTE(SUBSTITUTE(LOWER(Z237&amp;""),"1","0"),"2","0"),"3","0"),"4","0"),"5","0"),"6","0"),"7","0"),"8","0"),"9","0")</f>
        <v/>
      </c>
      <c r="BN237" s="61" t="str">
        <f aca="false">SUBSTITUTE(SUBSTITUTE(SUBSTITUTE(SUBSTITUTE(SUBSTITUTE(SUBSTITUTE(SUBSTITUTE(SUBSTITUTE(SUBSTITUTE(SUBSTITUTE(SUBSTITUTE(SUBSTITUTE(SUBSTITUTE(SUBSTITUTE(SUBSTITUTE(SUBSTITUTE(SUBSTITUTE(SUBSTITUTE(SUBSTITUTE(SUBSTITUTE(SUBSTITUTE(SUBSTITUTE(SUBSTITUTE(SUBSTITUTE(SUBSTITUTE(BM237,"b","a"),"c","a"),"d","a"),"e","a"),"f","a"),"g","a"),"h","a"),"i","a"),"j","a"),"k","a"),"l","a"),"m","a"),"n","a"),"o","a"),"p","a"),"q","a"),"r","a"),"s","a"),"t","a"),"u","a"),"v","a"),"w","a"),"x","a"),"y","a"),"z","a")</f>
        <v/>
      </c>
      <c r="BO237" s="61" t="str">
        <f aca="false">SUBSTITUTE(SUBSTITUTE(SUBSTITUTE(SUBSTITUTE(SUBSTITUTE(SUBSTITUTE(SUBSTITUTE(SUBSTITUTE(SUBSTITUTE(LOWER(W237&amp;""),"1","0"),"2","0"),"3","0"),"4","0"),"5","0"),"6","0"),"7","0"),"8","0"),"9","0")</f>
        <v/>
      </c>
      <c r="BP237" s="61" t="str">
        <f aca="false">SUBSTITUTE(SUBSTITUTE(SUBSTITUTE(SUBSTITUTE(SUBSTITUTE(SUBSTITUTE(SUBSTITUTE(SUBSTITUTE(SUBSTITUTE(SUBSTITUTE(SUBSTITUTE(SUBSTITUTE(SUBSTITUTE(SUBSTITUTE(SUBSTITUTE(SUBSTITUTE(SUBSTITUTE(SUBSTITUTE(SUBSTITUTE(SUBSTITUTE(SUBSTITUTE(SUBSTITUTE(SUBSTITUTE(SUBSTITUTE(SUBSTITUTE(BO237,"b","a"),"c","a"),"d","a"),"e","a"),"f","a"),"g","a"),"h","a"),"i","a"),"j","a"),"k","a"),"l","a"),"m","a"),"n","a"),"o","a"),"p","a"),"q","a"),"r","a"),"s","a"),"t","a"),"u","a"),"v","a"),"w","a"),"x","a"),"y","a"),"z","a")</f>
        <v/>
      </c>
      <c r="BQ237" s="61" t="n">
        <f aca="false">IFERROR(IF(AND(ISERROR(SEARCH(" mh"," "&amp;LOWER(W237))),ISNA(MATCH(LEFT(TRIM(BP237),255),{"0000a","000a","00a","0000aa","000aa","00aa","0aa","0000aaa","000aaa","00a00","0a00","0000-0000","00:00","a00","a0","00.00.0000","00/00/0000","00-00-0000","0000-00-00","0000/00/00","0000.00.00","00.00.00","00/00/00","00-00-00","0.00.0000","0/00/0000","0-00-0000"},0)),ISNA(MATCH(LEFT(TRIM(CA237),255),{"0000a","000a","00a","0000aa","000aa","00aa","0aa","0000aaa","000aaa","00a00","0a00","0000-0000","00:00","a00","a0","00.00.0000","00/00/0000","00-00-0000","0000-00-00","0000/00/00","0000.00.00","00.00.00","00/00/00","00-00-00","0.00.0000","0/00/0000","0-00-0000"},0)),LEN(CB237)&gt;=3,NOT(OR(SUBSTITUTE(CB237,"0","")="",AND(LEN(CB237)&gt;=4,CB237=REPT(LEFT(CB237),LEN(CB237))),ISNUMBER(MATCH(CB237,{"123","1234","12345","123456","1234567","12345678","0123","01234","012345","98765","987654","54321"},0)),AND(LEN(CB237)=8,LEFT(CB237,3)="202"))),OR(AND((LEN(CA237)-LEN(SUBSTITUTE(CA237,"a","")))&gt;=1,SUMPRODUCT(--ISNUMBER(SEARCH({"a0","a-0","a_0","a/0","a.0","a#0","0a","0-a","0_a","0/a"},BP237)))&gt;0),ISNUMBER(SEARCH("000000",BP237)))),1,0),0)</f>
        <v>0</v>
      </c>
      <c r="BR237" s="61" t="n">
        <f aca="false">IFERROR(LEN(SUBSTITUTE(CC237," ",""))-SUMPRODUCT((LEN(CC237)-LEN(SUBSTITUTE(CC237," "&amp;L_Role&amp;" "," ")))/(LEN(L_Role)+1)*LEN(L_Role)),0)</f>
        <v>0</v>
      </c>
      <c r="BS237" s="61" t="n">
        <f aca="false">IFERROR(LEN(SUBSTITUTE(CD237," ",""))-SUMPRODUCT((LEN(CD237)-LEN(SUBSTITUTE(CD237," "&amp;L_Role&amp;" "," ")))/(LEN(L_Role)+1)*LEN(L_Role)),0)</f>
        <v>0</v>
      </c>
      <c r="BT2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237,"revision",""),"version",""),"jan",""),"feb",""),"mar",""),"apr",""),"may",""),"jun",""),"jul",""),"aug",""),"sep",""),"oct",""),"nov",""),"dec",""),"utc",""),"gmt",""),"myt",""),"bst",""),"rev",""),"ver",""),"b","a"),"c","a"),"d","a"),"e","a"),"f","a"),"g","a"),"h","a"),"i","a"),"j","a"),"k","a"),"l","a"),"m","a"),"n","a"),"o","a"),"p","a"),"q","a"),"r","a"),"s","a"),"t","a"),"u","a"),"v","a"),"w","a"),"x","a"),"y","a"),"z","a")</f>
        <v/>
      </c>
      <c r="BU237" s="61" t="str">
        <f aca="false">SUBSTITUTE(SUBSTITUTE(SUBSTITUTE(SUBSTITUTE(SUBSTITUTE(SUBSTITUTE(SUBSTITUTE(SUBSTITUTE(SUBSTITUTE(SUBSTITUTE(LEFT(BM237,FIND("0",BM237&amp;"0")-1),"-",""),"_",""),"/",""),".",""),"#",""),"\\",""),":","")," ",""),"(",""),")","")</f>
        <v/>
      </c>
      <c r="BV237" s="61" t="n">
        <f aca="false">0</f>
        <v>0</v>
      </c>
      <c r="BW2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237&amp;""),"a",""),"b",""),"c",""),"d",""),"e",""),"f",""),"g",""),"h",""),"i",""),"j",""),"k",""),"l",""),"m",""),"n",""),"o",""),"p",""),"q",""),"r",""),"s",""),"t",""),"u",""),"v",""),"w",""),"x",""),"y",""),"z",""),"-",""),"_",""),"/",""),".",""),"#",""),"\\",""),":","")," ",""),"(",""),")","")</f>
        <v/>
      </c>
      <c r="BX237" s="61" t="str">
        <f aca="false">SUBSTITUTE(SUBSTITUTE(SUBSTITUTE(SUBSTITUTE(SUBSTITUTE(SUBSTITUTE(SUBSTITUTE(SUBSTITUTE(SUBSTITUTE(SUBSTITUTE(SUBSTITUTE(BM237,"0",""),"-",""),"_",""),"/",""),".",""),"#",""),"\\",""),":","")," ",""),"(",""),")","")</f>
        <v/>
      </c>
      <c r="BY237" s="62" t="n">
        <f aca="false">Q237-T12EarlyH/24</f>
        <v>46303.4166666667</v>
      </c>
      <c r="BZ237" s="61" t="n">
        <f aca="false">IFERROR(IF(IF(TRIM(S237)="Link / file path",AND(LEN(TRIM(Z237))&gt;=5,SUMPRODUCT(--ISNUMBER(SEARCH({"http","www.","\\",":\",".pdf",".jpg",".jpeg",".png",".heic",".xls",".doc",".msg",".eml",".ppt",".txt",".zip"},Z237)))&gt;0),AND(ISERROR(FIND(" ",TRIM(Z237))),NOT(OR(SUMPRODUCT(--ISNUMBER(FIND({",",";","&amp;","+"},Z237)))&gt;0,SUMPRODUCT(--ISNUMBER(SEARCH({"0/aa","0\\aa"},BN237)))&gt;0)),NOT(SUMPRODUCT(--ISNUMBER(SEARCH({"http","www.","\\",":\",".pdf",".jpg",".jpeg",".png",".heic",".xls",".doc",".msg",".eml",".ppt",".txt",".zip"},Z237)))&gt;0),NOT(LOWER(TRIM(Z237))=LOWER(Flights!$F$11)),ISNA(MATCH(BU237,{"mh","rev","revision","ver","version","v","r","a","b","seat","tray","row","gate","bay","stand","page","pg","item","line","no","cart","galley","flight","flt","table","box","bag","oven","etd","eta","std","sta","atd","ata","qty","pax","x","time","tel","ph","mob","day","wk","week","utc","gmt","myt","lt"},0)),NOT(OR(ISNUMBER(MATCH(LEFT(BN237,255),{"0000a","000a","00a","0000aa","000aa","00aa","0aa","0000aaa","000aaa","00a00","0a00","0000-0000","00:00","a00","a0","00.00.0000","00/00/0000","00-00-0000","0000-00-00","0000/00/00","0000.00.00","00.00.00","00/00/00","00-00-00","0.00.0000","0/00/0000","0-00-0000"},0)),ISNUMBER(MATCH(LEFT(BT237,255),{"0000a","000a","00a","0000aa","000aa","00aa","0aa","0000aaa","000aaa","00a00","0a00","0000-0000","00:00","a00","a0","00.00.0000","00/00/0000","00-00-0000","0000-00-00","0000/00/00","0000.00.00","00.00.00","00/00/00","00-00-00","0.00.0000","0/00/0000","0-00-0000"},0)))),NOT(OR(AND(BW237&lt;&gt;"",SUBSTITUTE(BW237,"0","")=""),AND(LEN(BW237)&gt;=4,BW237=REPT(LEFT(BW237),LEN(BW237))),ISNUMBER(MATCH(BW237,{"123","1234","12345","123456","1234567","12345678","0123","01234","012345","98765","987654","54321"},0)),ISNUMBER(MATCH(BX237,{"x","xx","xxx","xxxx","xxxxx","abc","abcd","nil","na","nan","test","tbc","tba","tbd","dummy","sample","example","eg","zz","zzz","none","null","xyz","qwe","asd","id","ref"},0)),AND(LEN(BW237)=8,BX237="",OR(LEFT(BW237,3)="202",ISNUMBER(MATCH(RIGHT(BW237,4),{"2025","2026","2027"},0)))))),OR(AND((LEN(BT237)-LEN(SUBSTITUTE(BT237,"a","")))&gt;=1,(LEN(BN237)-LEN(SUBSTITUTE(BN237,"0","")))&gt;=2,SUMPRODUCT(--ISNUMBER(SEARCH({"a0","a-0","a_0","a/0","a.0","a#0","0a","0-a","0_a","0/a"},BN237)))&gt;0),AND((LEN(BN237)-LEN(SUBSTITUTE(BN237,"a","")))=0,(LEN(BN237)-LEN(SUBSTITUTE(BN237,"0","")))&gt;=5)))),1,0),0)</f>
        <v>0</v>
      </c>
      <c r="CA2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237,"revision",""),"version",""),"jan",""),"feb",""),"mar",""),"apr",""),"may",""),"jun",""),"jul",""),"aug",""),"sep",""),"oct",""),"nov",""),"dec",""),"utc",""),"gmt",""),"myt",""),"bst",""),"rev",""),"ver",""),"b","a"),"c","a"),"d","a"),"e","a"),"f","a"),"g","a"),"h","a"),"i","a"),"j","a"),"k","a"),"l","a"),"m","a"),"n","a"),"o","a"),"p","a"),"q","a"),"r","a"),"s","a"),"t","a"),"u","a"),"v","a"),"w","a"),"x","a"),"y","a"),"z","a")</f>
        <v/>
      </c>
      <c r="CB2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237&amp;""),"a",""),"b",""),"c",""),"d",""),"e",""),"f",""),"g",""),"h",""),"i",""),"j",""),"k",""),"l",""),"m",""),"n",""),"o",""),"p",""),"q",""),"r",""),"s",""),"t",""),"u",""),"v",""),"w",""),"x",""),"y",""),"z",""),"-",""),"_",""),"/",""),".",""),"#",""),"\\",""),":","")," ",""),"(",""),")","")</f>
        <v/>
      </c>
      <c r="CC237" s="0" t="str">
        <f aca="false">" "&amp;TRIM(SUBSTITUTE(SUBSTITUTE(SUBSTITUTE(SUBSTITUTE(SUBSTITUTE(SUBSTITUTE(SUBSTITUTE(SUBSTITUTE(SUBSTITUTE(SUBSTITUTE(SUBSTITUTE(SUBSTITUTE(SUBSTITUTE(SUBSTITUTE(SUBSTITUTE(SUBSTITUTE(SUBSTITUTE(SUBSTITUTE(SUBSTITUTE(SUBSTITUTE(SUBSTITUTE(SUBSTITUTE(SUBSTITUTE(SUBSTITUTE(LOWER(T237&amp;""),CHAR(10)," "),CHAR(13)," "),CHAR(9)," "),CHAR(160)," "),"."," "),","," "),"-"," "),"/"," "),"("," "),")"," "),":"," "),";"," "),"_"," "),"–"," "),"?"," "),"!"," "),"*"," "),"["," "),"]"," "),"'"," "),"#"," "),"+"," "),"&amp;"," "),"\"," "))&amp;" "</f>
        <v>  </v>
      </c>
      <c r="CD237" s="0" t="str">
        <f aca="false">" "&amp;TRIM(SUBSTITUTE(SUBSTITUTE(SUBSTITUTE(SUBSTITUTE(SUBSTITUTE(SUBSTITUTE(SUBSTITUTE(SUBSTITUTE(SUBSTITUTE(SUBSTITUTE(SUBSTITUTE(SUBSTITUTE(SUBSTITUTE(SUBSTITUTE(SUBSTITUTE(SUBSTITUTE(SUBSTITUTE(SUBSTITUTE(SUBSTITUTE(SUBSTITUTE(SUBSTITUTE(SUBSTITUTE(SUBSTITUTE(SUBSTITUTE(LOWER(AE237&amp;""),CHAR(10)," "),CHAR(13)," "),CHAR(9)," "),CHAR(160)," "),"."," "),","," "),"-"," "),"/"," "),"("," "),")"," "),":"," "),";"," "),"_"," "),"–"," "),"?"," "),"!"," "),"*"," "),"["," "),"]"," "),"'"," "),"#"," "),"+"," "),"&amp;"," "),"\"," "))&amp;" "</f>
        <v>  </v>
      </c>
      <c r="CE237" s="68" t="n">
        <f aca="false">IFERROR(IF(AND(LEN(AU237)&gt;0,LEN(AU237)=LEN(AX237),OR(TRIM(MID(SUBSTITUTE(TRIM(CC237)," ",REPT(" ",60)),1,60))="",ISNUMBER(SEARCH(" "&amp;TRIM(MID(SUBSTITUTE(TRIM(CC237)," ",REPT(" ",60)),1,60))&amp;" ",CD237))),OR(TRIM(MID(SUBSTITUTE(TRIM(CC237)," ",REPT(" ",60)),61,60))="",ISNUMBER(SEARCH(" "&amp;TRIM(MID(SUBSTITUTE(TRIM(CC237)," ",REPT(" ",60)),61,60))&amp;" ",CD237))),OR(TRIM(MID(SUBSTITUTE(TRIM(CC237)," ",REPT(" ",60)),121,60))="",ISNUMBER(SEARCH(" "&amp;TRIM(MID(SUBSTITUTE(TRIM(CC237)," ",REPT(" ",60)),121,60))&amp;" ",CD237)))),1,0),0)</f>
        <v>0</v>
      </c>
      <c r="CG237" s="68" t="n">
        <f aca="false">IFERROR(LEN(SUBSTITUTE(BF237," ",""))-SUMPRODUCT((LEN(BF237)-LEN(SUBSTITUTE(BF237," "&amp;L_NAFiller&amp;" "," ")))/(LEN(L_NAFiller)+1)*LEN(L_NAFiller)),0)</f>
        <v>0</v>
      </c>
    </row>
    <row r="238" customFormat="false" ht="41.25" hidden="false" customHeight="true" outlineLevel="0" collapsed="false">
      <c r="A238" s="57" t="s">
        <v>804</v>
      </c>
      <c r="B238" s="57" t="s">
        <v>235</v>
      </c>
      <c r="C238" s="57" t="str">
        <f aca="false">Flights!$F$11</f>
        <v>MH0003</v>
      </c>
      <c r="D238" s="58" t="n">
        <f aca="false">Flights!$D$11</f>
        <v>46304</v>
      </c>
      <c r="E238" s="57" t="str">
        <f aca="false">Flights!$G$11&amp;"-"&amp;Flights!$H$11</f>
        <v>LHR-KUL</v>
      </c>
      <c r="F238" s="57" t="str">
        <f aca="false">Flights!$K$11</f>
        <v>BC</v>
      </c>
      <c r="G238" s="57" t="s">
        <v>420</v>
      </c>
      <c r="H238" s="57" t="s">
        <v>378</v>
      </c>
      <c r="I238" s="57" t="s">
        <v>499</v>
      </c>
      <c r="J238" s="57" t="s">
        <v>515</v>
      </c>
      <c r="K238" s="67" t="s">
        <v>501</v>
      </c>
      <c r="L238" s="67" t="s">
        <v>744</v>
      </c>
      <c r="M238" s="67" t="s">
        <v>451</v>
      </c>
      <c r="N238" s="67" t="s">
        <v>383</v>
      </c>
      <c r="O238" s="67" t="s">
        <v>452</v>
      </c>
      <c r="P238" s="57" t="s">
        <v>186</v>
      </c>
      <c r="Q238" s="59" t="n">
        <f aca="false">ROUND((Flights!$AE$11)*1440,0)/1440</f>
        <v>46303.9166666667</v>
      </c>
      <c r="R238" s="59" t="n">
        <f aca="false">Q238+(IF(AND(INDEX(TZ_DSTS,MATCH(P238,TZ_STN,0))&lt;&gt;"",Q238&gt;=INDEX(TZ_DSTS,MATCH(P238,TZ_STN,0)),Q238&lt;INDEX(TZ_DSTE,MATCH(P238,TZ_STN,0))),INDEX(TZ_DST,MATCH(P238,TZ_STN,0)),INDEX(TZ_STD,MATCH(P238,TZ_STN,0))))/24</f>
        <v>46303.9583333333</v>
      </c>
      <c r="S238" s="60"/>
      <c r="T238" s="60"/>
      <c r="U238" s="60"/>
      <c r="V238" s="60"/>
      <c r="W238" s="61"/>
      <c r="X238" s="60"/>
      <c r="Y238" s="60"/>
      <c r="Z238" s="60"/>
      <c r="AA238" s="60"/>
      <c r="AB238" s="60"/>
      <c r="AC238" s="60"/>
      <c r="AD238" s="66"/>
      <c r="AE238" s="60"/>
      <c r="AF238" s="61" t="str">
        <f aca="false">IF(AND(ISNUMBER(X238),ISNUMBER(Y238)),Y238-X238,"")</f>
        <v/>
      </c>
      <c r="AG238" s="62" t="str">
        <f aca="false">IF(ISNUMBER(AD238),AD238-(IF(AND(INDEX(TZ_DSTS,MATCH(P238,TZ_STN,0))&lt;&gt;"",(AD238-INDEX(TZ_STD,MATCH(P238,TZ_STN,0))/24)&gt;=INDEX(TZ_DSTS,MATCH(P238,TZ_STN,0)),(AD238-INDEX(TZ_STD,MATCH(P238,TZ_STN,0))/24)&lt;INDEX(TZ_DSTE,MATCH(P238,TZ_STN,0))),INDEX(TZ_DST,MATCH(P238,TZ_STN,0)),INDEX(TZ_STD,MATCH(P238,TZ_STN,0))))/24,"")</f>
        <v/>
      </c>
      <c r="AH238" s="65" t="str">
        <f aca="false">IFERROR(IF(N238="N/A – rule",IF(OR(TRIM(U238)="",TRIM(U238)="N/A",TRIM(U238)="Not started"),"N/A – RULE","INVALID – this check does not apply to this aircraft: clear the status (or correct the fleet on Flights)"),IF(TRIM(U238)="N/A",IF(AT238=0,"INVALID – N/A not permitted for this check",IF(AND(TRIM(AB238)&lt;&gt;"",TRIM(AB238)&lt;&gt;"Closed"),"INVALID – corrective action still open",IF(AND(NOT(OR(LEN(AZ238)&lt;15,ISNUMBER(MATCH(AZ238,L_Placeholder,0)))),BK238=0,CG238&gt;=8,NOT(OR(LEN(AU238)&lt;2,ISNUMBER(MATCH(AU238,L_Placeholder,0)))),BR238&gt;=3,NOT(OR(LEN(AX238)&lt;2,ISNUMBER(MATCH(AX238,L_Placeholder,0)))),BS238&gt;=3,TRIM(AE238)&lt;&gt;TRIM(T238),AX238&lt;&gt;AU238,CE238=0),"N/A – JUSTIFIED","INVALID – N/A needs a real, settled reason (not 'not applicable' / 'as above' / TBC), a named PIC and a different named verifier"))),IF(OR(TRIM(U238)="Pass",TRIM(U238)="Pass after CA"),IF(NOT(ISNUMBER(AD238)),"INVALID – completion time missing",IF(OR(OR(LEN(AU238)&lt;2,ISNUMBER(MATCH(AU238,L_Placeholder,0))),BR238&lt;3),"INVALID – PIC missing or not a named person (a role such as QA / CSM is not a name)",IF(OR(LEN(AV238)&lt;2,ISNUMBER(MATCH(AV238,L_Placeholder,0))),"INVALID – result / assessment missing",IF(OR(OR(LEN(AW238)&lt;3,ISNUMBER(MATCH(AW238,L_Placeholder,0))),SUMPRODUCT(--ISNUMBER(SEARCH(" "&amp;L_EvidencePhrase&amp;" ",BD238)))&gt;0,BI238=1),"INVALID – evidence missing, placeholder or not yet on file",IF(ISNA(MATCH(TRIM(S238),L_EvidenceType,0)),"INVALID – choose the evidence type from the list (column S)",IF(BL238=0,"INVALID – evidence ID must be the record's own ID only (e.g. SF-2210, IMG_2231, 1045521); a link / file name needs type 'Link / file path'",IF(OR(OR(LEN(AX238)&lt;2,ISNUMBER(MATCH(AX238,L_Placeholder,0))),BS238&lt;3),"INVALID – verifier missing or not a named person (a role such as QA / CSM is not a name)",IF(OR(AX238=AU238,CE238=1,AND(LEN(AU238)&gt;=4,ISNUMBER(SEARCH(AU238,AX238))),AND(LEN(AX238)&gt;=4,ISNUMBER(SEARCH(AX238,AU238)))),"INVALID – verifier must be a different, named person (not the PIC or a role)",IF(BH238=1,"INVALID – result not yet available (awaiting / TBC)",IF(BG238=1,"INVALID – result describes a problem: record Fail, then Pass after CA (or reword if it is not a problem)",IF(BV238=1,"INVALID – wording says not on board: an on-board confirmation needs the item loaded",IF(AND(AQ238=1,OR(OR(LEN(AY238)&lt;3,ISNUMBER(MATCH(AY238,L_Placeholder,0))),BJ238=1,BQ238=0)),"INVALID – batch ID missing, placeholder or not an ID (e.g. PASB-261008-BC-017)",IF(AND(AR238=1,OR(NOT(ISNUMBER(X238)),NOT(ISNUMBER(Y238)))),"INVALID – expected/actual qty missing",IF(AND(AR238=1,OR(X238&lt;=0,Y238&lt;0)),"INVALID – expected qty must be above 0 and actual not negative",IF(BB238&lt;&gt;"",BB238,IF(AND(AS238=1,Documents!$J$11&lt;&gt;"ON FILE"),"INVALID – GLD not on file (Documents sheet)",IF(AND(AS238=2,Documents!$O$11&lt;&gt;"ON FILE"),"INVALID – menu checklist not on file (Documents sheet)",IF(AND(AS238=3,NOT(ISNUMBER(Flights!$AX$11))),"INVALID – enter carrying flight KUL departure (Flights AX)",IF(AND(AS238=3,OR(Flights!$AZ$11&gt;Flights!$AA$11,Flights!$AX$11&lt;Flights!$AA$11-3)),"INVALID – carrying flight (Flights AX) cannot arrive before this leg's STD, or is over 3 days early",IF(AG238&gt;AsOfUTC,"INVALID – completion time is in the future",IF(AND(ISNUMBER(BY238),AG238&lt;BY238),IF(H238="Physical uplift","INVALID – before uplift window (cannot confirm loading)","INVALID – before valid window"),IF(AG238&gt;Flights!$AA$11,"INVALID – completed after departure (cannot establish readiness)",IF(AND(H238="Preparation",AG238&gt;=IF(ISNUMBER(Flights!$BA$11),MIN(Flights!$BA$11,Flights!$AA$11),Flights!$AA$11)),"INVALID – completed after loading / departure (cannot establish readiness)",IF(AND(H238="Physical uplift",AG238&gt;Q238),"INVALID – recorded after the loading flight departed",IF(AG238&gt;Q238,"COMPLETE – LATE","COMPLETE"))))))))))))))))))))))))),IF(TRIM(U238)="Fail","FAIL – DISCREPANCY",IF(AND(TRIM(U238)&lt;&gt;"",TRIM(U238)&lt;&gt;"Not started",TRIM(U238)&lt;&gt;"In progress"),"INVALID – unrecognised status (use the list)",IF(AsOfUTC&gt;Q238,"OVERDUE",IF(N238="Clarification required","OPEN – CLARIFICATION","OPEN"))))))),"INVALID – error value in an input cell")</f>
        <v>OPEN</v>
      </c>
      <c r="AI238" s="61" t="n">
        <f aca="false">IF(OR(AH238="N/A – RULE",AH238="N/A – JUSTIFIED"),0,1)</f>
        <v>1</v>
      </c>
      <c r="AJ238" s="61" t="n">
        <f aca="false">IF(LEFT(AH238,8)="COMPLETE",1,0)</f>
        <v>0</v>
      </c>
      <c r="AK238" s="61" t="n">
        <f aca="false">IF(AND(AI238=1,AJ238=0,AsOfUTC&gt;Q238),1,0)</f>
        <v>0</v>
      </c>
      <c r="AL238" s="61" t="n">
        <f aca="false">IFERROR(IF(AND(AI238=1,OR(TRIM(U238)="Fail",AND(TRIM(AB238)&lt;&gt;"",TRIM(AB238)&lt;&gt;"Closed"),AND(ISNUMBER(AF238),AF238&lt;&gt;0,TRIM(U238)&lt;&gt;"Pass after CA"))),1,0),1)</f>
        <v>0</v>
      </c>
      <c r="AM238" s="61" t="n">
        <f aca="false">IF(LEFT(AH238,7)="INVALID",1,0)</f>
        <v>0</v>
      </c>
      <c r="AN238" s="61" t="n">
        <f aca="false">IF(AND(N238="Clarification required",AI238=1,AJ238=0),1,0)</f>
        <v>0</v>
      </c>
      <c r="AO238" s="61" t="str">
        <f aca="false">IF(AK238=1,SUM(AK$5:AK238),"")</f>
        <v/>
      </c>
      <c r="AP238" s="61" t="str">
        <f aca="false">IF(AL238=1,SUM(AL$5:AL238),"")</f>
        <v/>
      </c>
      <c r="AQ238" s="61" t="n">
        <v>0</v>
      </c>
      <c r="AR238" s="61" t="n">
        <v>0</v>
      </c>
      <c r="AS238" s="61" t="n">
        <v>0</v>
      </c>
      <c r="AT238" s="61" t="n">
        <v>0</v>
      </c>
      <c r="AU238" s="61" t="str">
        <f aca="false">SUBSTITUTE(SUBSTITUTE(SUBSTITUTE(SUBSTITUTE(SUBSTITUTE(SUBSTITUTE(SUBSTITUTE(SUBSTITUTE(SUBSTITUTE(SUBSTITUTE(SUBSTITUTE(SUBSTITUTE(SUBSTITUTE(SUBSTITUTE(SUBSTITUTE(SUBSTITUTE(LOWER(T238&amp;""),CHAR(10),""),CHAR(13),""),CHAR(9),""),CHAR(160),"")," ",""),".",""),"-",""),"/",""),"?",""),"_",""),",",""),"[",""),"]",""),"(",""),")",""),"*","")</f>
        <v/>
      </c>
      <c r="AV238" s="61" t="str">
        <f aca="false">SUBSTITUTE(SUBSTITUTE(SUBSTITUTE(SUBSTITUTE(SUBSTITUTE(SUBSTITUTE(SUBSTITUTE(SUBSTITUTE(SUBSTITUTE(SUBSTITUTE(SUBSTITUTE(SUBSTITUTE(SUBSTITUTE(SUBSTITUTE(SUBSTITUTE(SUBSTITUTE(LOWER(V238&amp;""),CHAR(10),""),CHAR(13),""),CHAR(9),""),CHAR(160),"")," ",""),".",""),"-",""),"/",""),"?",""),"_",""),",",""),"[",""),"]",""),"(",""),")",""),"*","")</f>
        <v/>
      </c>
      <c r="AW238" s="61" t="str">
        <f aca="false">SUBSTITUTE(SUBSTITUTE(SUBSTITUTE(SUBSTITUTE(SUBSTITUTE(SUBSTITUTE(SUBSTITUTE(SUBSTITUTE(SUBSTITUTE(SUBSTITUTE(SUBSTITUTE(SUBSTITUTE(SUBSTITUTE(SUBSTITUTE(SUBSTITUTE(SUBSTITUTE(LOWER(Z238&amp;""),CHAR(10),""),CHAR(13),""),CHAR(9),""),CHAR(160),"")," ",""),".",""),"-",""),"/",""),"?",""),"_",""),",",""),"[",""),"]",""),"(",""),")",""),"*","")</f>
        <v/>
      </c>
      <c r="AX238" s="61" t="str">
        <f aca="false">SUBSTITUTE(SUBSTITUTE(SUBSTITUTE(SUBSTITUTE(SUBSTITUTE(SUBSTITUTE(SUBSTITUTE(SUBSTITUTE(SUBSTITUTE(SUBSTITUTE(SUBSTITUTE(SUBSTITUTE(SUBSTITUTE(SUBSTITUTE(SUBSTITUTE(SUBSTITUTE(LOWER(AE238&amp;""),CHAR(10),""),CHAR(13),""),CHAR(9),""),CHAR(160),"")," ",""),".",""),"-",""),"/",""),"?",""),"_",""),",",""),"[",""),"]",""),"(",""),")",""),"*","")</f>
        <v/>
      </c>
      <c r="AY238" s="61" t="str">
        <f aca="false">SUBSTITUTE(SUBSTITUTE(SUBSTITUTE(SUBSTITUTE(SUBSTITUTE(SUBSTITUTE(SUBSTITUTE(SUBSTITUTE(SUBSTITUTE(SUBSTITUTE(SUBSTITUTE(SUBSTITUTE(SUBSTITUTE(SUBSTITUTE(SUBSTITUTE(SUBSTITUTE(LOWER(W238&amp;""),CHAR(10),""),CHAR(13),""),CHAR(9),""),CHAR(160),"")," ",""),".",""),"-",""),"/",""),"?",""),"_",""),",",""),"[",""),"]",""),"(",""),")",""),"*","")</f>
        <v/>
      </c>
      <c r="AZ238" s="61" t="str">
        <f aca="false">SUBSTITUTE(SUBSTITUTE(SUBSTITUTE(SUBSTITUTE(SUBSTITUTE(SUBSTITUTE(SUBSTITUTE(SUBSTITUTE(SUBSTITUTE(SUBSTITUTE(SUBSTITUTE(SUBSTITUTE(SUBSTITUTE(SUBSTITUTE(SUBSTITUTE(SUBSTITUTE(LOWER(AC238&amp;""),CHAR(10),""),CHAR(13),""),CHAR(9),""),CHAR(160),"")," ",""),".",""),"-",""),"/",""),"?",""),"_",""),",",""),"[",""),"]",""),"(",""),")",""),"*","")</f>
        <v/>
      </c>
      <c r="BA238" s="61" t="str">
        <f aca="false">SUBSTITUTE(SUBSTITUTE(SUBSTITUTE(SUBSTITUTE(SUBSTITUTE(SUBSTITUTE(SUBSTITUTE(SUBSTITUTE(SUBSTITUTE(SUBSTITUTE(SUBSTITUTE(SUBSTITUTE(SUBSTITUTE(SUBSTITUTE(SUBSTITUTE(SUBSTITUTE(LOWER(AA238&amp;""),CHAR(10),""),CHAR(13),""),CHAR(9),""),CHAR(160),"")," ",""),".",""),"-",""),"/",""),"?",""),"_",""),",",""),"[",""),"]",""),"(",""),")",""),"*","")</f>
        <v/>
      </c>
      <c r="BB238" s="61" t="str">
        <f aca="false">IF(AND(TRIM(U238)="Pass",ISNUMBER(AF238)),IF(AF238&lt;&gt;0,"INVALID – qty variance: use Fail or Pass after CA",""),"")&amp;IF(AND(TRIM(U238)="Pass after CA",ISNUMBER(AF238)),IF(AF238&lt;&gt;0,"INVALID – after the corrective action the actual qty must equal expected (update Actual)",""),"")&amp;IF(AND(TRIM(U238)="Pass",TRIM(AB238)&lt;&gt;"",TRIM(AB238)&lt;&gt;"Closed"),"INVALID – corrective action not closed: use Fail, then Pass after CA","")&amp;IF(AND(LEN(BA238)&gt;=2,ISNA(MATCH(LEFT(BA238,255),L_Placeholder,0)),TRIM(AB238)=""),"INVALID – CA status missing for the recorded corrective action","")&amp;IF(AND(TRIM(U238)="Pass after CA",OR(OR(LEN(BA238)&lt;5,ISNUMBER(MATCH(BA238,L_Placeholder,0))),TRIM(AB238)&lt;&gt;"Closed")),"INVALID – corrective action not recorded/closed","")</f>
        <v/>
      </c>
      <c r="BC238" s="61" t="str">
        <f aca="false">" "&amp;TRIM(SUBSTITUTE(SUBSTITUTE(SUBSTITUTE(SUBSTITUTE(SUBSTITUTE(SUBSTITUTE(SUBSTITUTE(SUBSTITUTE(SUBSTITUTE(SUBSTITUTE(SUBSTITUTE(SUBSTITUTE(SUBSTITUTE(SUBSTITUTE(SUBSTITUTE(SUBSTITUTE(SUBSTITUTE(SUBSTITUTE(SUBSTITUTE(SUBSTITUTE(SUBSTITUTE(SUBSTITUTE(SUBSTITUTE(SUBSTITUTE(LOWER(V238&amp;""),CHAR(10)," "),CHAR(13)," "),CHAR(9)," "),CHAR(160)," "),"."," "),","," "),"-"," "),"/"," "),"("," "),")"," "),":"," "),";"," "),"_"," "),"–"," "),"?"," "),"!"," "),"*"," "),"["," "),"]"," "),"'"," "),"#"," "),"+"," "),"&amp;"," "),"\"," "))&amp;" "</f>
        <v>  </v>
      </c>
      <c r="BD238" s="61" t="str">
        <f aca="false">" "&amp;TRIM(SUBSTITUTE(SUBSTITUTE(SUBSTITUTE(SUBSTITUTE(SUBSTITUTE(SUBSTITUTE(SUBSTITUTE(SUBSTITUTE(SUBSTITUTE(SUBSTITUTE(SUBSTITUTE(SUBSTITUTE(SUBSTITUTE(SUBSTITUTE(SUBSTITUTE(SUBSTITUTE(SUBSTITUTE(SUBSTITUTE(SUBSTITUTE(SUBSTITUTE(SUBSTITUTE(SUBSTITUTE(SUBSTITUTE(SUBSTITUTE(LOWER(Z238&amp;""),CHAR(10)," "),CHAR(13)," "),CHAR(9)," "),CHAR(160)," "),"."," "),","," "),"-"," "),"/"," "),"("," "),")"," "),":"," "),";"," "),"_"," "),"–"," "),"?"," "),"!"," "),"*"," "),"["," "),"]"," "),"'"," "),"#"," "),"+"," "),"&amp;"," "),"\"," "))&amp;" "</f>
        <v>  </v>
      </c>
      <c r="BE238" s="61" t="str">
        <f aca="false">" "&amp;TRIM(SUBSTITUTE(SUBSTITUTE(SUBSTITUTE(SUBSTITUTE(SUBSTITUTE(SUBSTITUTE(SUBSTITUTE(SUBSTITUTE(SUBSTITUTE(SUBSTITUTE(SUBSTITUTE(SUBSTITUTE(SUBSTITUTE(SUBSTITUTE(SUBSTITUTE(SUBSTITUTE(SUBSTITUTE(SUBSTITUTE(SUBSTITUTE(SUBSTITUTE(SUBSTITUTE(SUBSTITUTE(SUBSTITUTE(SUBSTITUTE(LOWER(W238&amp;""),CHAR(10)," "),CHAR(13)," "),CHAR(9)," "),CHAR(160)," "),"."," "),","," "),"-"," "),"/"," "),"("," "),")"," "),":"," "),";"," "),"_"," "),"–"," "),"?"," "),"!"," "),"*"," "),"["," "),"]"," "),"'"," "),"#"," "),"+"," "),"&amp;"," "),"\"," "))&amp;" "</f>
        <v>  </v>
      </c>
      <c r="BF238" s="61" t="str">
        <f aca="false">" "&amp;TRIM(SUBSTITUTE(SUBSTITUTE(SUBSTITUTE(SUBSTITUTE(SUBSTITUTE(SUBSTITUTE(SUBSTITUTE(SUBSTITUTE(SUBSTITUTE(SUBSTITUTE(SUBSTITUTE(SUBSTITUTE(SUBSTITUTE(SUBSTITUTE(SUBSTITUTE(SUBSTITUTE(SUBSTITUTE(SUBSTITUTE(SUBSTITUTE(SUBSTITUTE(SUBSTITUTE(SUBSTITUTE(SUBSTITUTE(SUBSTITUTE(LOWER(AC238&amp;""),CHAR(10)," "),CHAR(13)," "),CHAR(9)," "),CHAR(160)," "),"."," "),","," "),"-"," "),"/"," "),"("," "),")"," "),":"," "),";"," "),"_"," "),"–"," "),"?"," "),"!"," "),"*"," "),"["," "),"]"," "),"'"," "),"#"," "),"+"," "),"&amp;"," "),"\"," "))&amp;" "</f>
        <v>  </v>
      </c>
      <c r="BG238" s="61" t="n">
        <f aca="false">IFERROR(IF(AND(TRIM(U238)="Pass",SUMPRODUCT((LEN(BC238)-LEN(SUBSTITUTE(BC238," "&amp;L_ResultBad&amp;" "," ")))/(LEN(L_ResultBad)+1))&gt;SUMPRODUCT((LEN(BC238)-LEN(SUBSTITUTE(BC238," "&amp;L_NegPhrase&amp;" "," ")))/(LEN(L_NegPhrase)+1))),1,0),0)</f>
        <v>0</v>
      </c>
      <c r="BH238" s="61" t="n">
        <f aca="false">IFERROR(IF(SUMPRODUCT((LEN(BC238)-LEN(SUBSTITUTE(BC238," "&amp;L_Pending&amp;" "," ")))/(LEN(L_Pending)+1))&gt;SUMPRODUCT((LEN(BC238)-LEN(SUBSTITUTE(BC238," "&amp;L_PendNeg&amp;" "," ")))/(LEN(L_PendNeg)+1))+SUMPRODUCT((LEN(BC238)-LEN(SUBSTITUTE(BC238," "&amp;L_PendPrep&amp;" "," ")))/(LEN(L_PendPrep)+1)),1,0),1)</f>
        <v>0</v>
      </c>
      <c r="BI238" s="61" t="n">
        <f aca="false">IFERROR(IF(SUMPRODUCT((LEN(BD238)-LEN(SUBSTITUTE(BD238," "&amp;L_PendStrict&amp;" "," ")))/(LEN(L_PendStrict)+1))&gt;SUMPRODUCT((LEN(BD238)-LEN(SUBSTITUTE(BD238," "&amp;L_PendNeg&amp;" "," ")))/(LEN(L_PendNeg)+1)),1,0),1)</f>
        <v>0</v>
      </c>
      <c r="BJ238" s="61" t="n">
        <f aca="false">IFERROR(IF(SUMPRODUCT((LEN(BE238)-LEN(SUBSTITUTE(BE238," "&amp;L_Pending&amp;" "," ")))/(LEN(L_Pending)+1))&gt;SUMPRODUCT((LEN(BE238)-LEN(SUBSTITUTE(BE238," "&amp;L_PendNeg&amp;" "," ")))/(LEN(L_PendNeg)+1))+SUMPRODUCT((LEN(BE238)-LEN(SUBSTITUTE(BE238," "&amp;L_PendPrep&amp;" "," ")))/(LEN(L_PendPrep)+1)),1,0),1)</f>
        <v>0</v>
      </c>
      <c r="BK238" s="61" t="n">
        <f aca="false">IFERROR(IF(SUMPRODUCT((LEN(BF238)-LEN(SUBSTITUTE(BF238," "&amp;L_PendStrict&amp;" "," ")))/(LEN(L_PendStrict)+1))&gt;SUMPRODUCT((LEN(BF238)-LEN(SUBSTITUTE(BF238," "&amp;L_PendNeg&amp;" "," ")))/(LEN(L_PendNeg)+1)),1,0),1)</f>
        <v>0</v>
      </c>
      <c r="BL238" s="61" t="n">
        <f aca="false">IF(ISNA(MATCH(TRIM(S238),L_EvidenceType,0)),0,BZ238)</f>
        <v>0</v>
      </c>
      <c r="BM238" s="61" t="str">
        <f aca="false">SUBSTITUTE(SUBSTITUTE(SUBSTITUTE(SUBSTITUTE(SUBSTITUTE(SUBSTITUTE(SUBSTITUTE(SUBSTITUTE(SUBSTITUTE(LOWER(Z238&amp;""),"1","0"),"2","0"),"3","0"),"4","0"),"5","0"),"6","0"),"7","0"),"8","0"),"9","0")</f>
        <v/>
      </c>
      <c r="BN238" s="61" t="str">
        <f aca="false">SUBSTITUTE(SUBSTITUTE(SUBSTITUTE(SUBSTITUTE(SUBSTITUTE(SUBSTITUTE(SUBSTITUTE(SUBSTITUTE(SUBSTITUTE(SUBSTITUTE(SUBSTITUTE(SUBSTITUTE(SUBSTITUTE(SUBSTITUTE(SUBSTITUTE(SUBSTITUTE(SUBSTITUTE(SUBSTITUTE(SUBSTITUTE(SUBSTITUTE(SUBSTITUTE(SUBSTITUTE(SUBSTITUTE(SUBSTITUTE(SUBSTITUTE(BM238,"b","a"),"c","a"),"d","a"),"e","a"),"f","a"),"g","a"),"h","a"),"i","a"),"j","a"),"k","a"),"l","a"),"m","a"),"n","a"),"o","a"),"p","a"),"q","a"),"r","a"),"s","a"),"t","a"),"u","a"),"v","a"),"w","a"),"x","a"),"y","a"),"z","a")</f>
        <v/>
      </c>
      <c r="BO238" s="61" t="str">
        <f aca="false">SUBSTITUTE(SUBSTITUTE(SUBSTITUTE(SUBSTITUTE(SUBSTITUTE(SUBSTITUTE(SUBSTITUTE(SUBSTITUTE(SUBSTITUTE(LOWER(W238&amp;""),"1","0"),"2","0"),"3","0"),"4","0"),"5","0"),"6","0"),"7","0"),"8","0"),"9","0")</f>
        <v/>
      </c>
      <c r="BP238" s="61" t="str">
        <f aca="false">SUBSTITUTE(SUBSTITUTE(SUBSTITUTE(SUBSTITUTE(SUBSTITUTE(SUBSTITUTE(SUBSTITUTE(SUBSTITUTE(SUBSTITUTE(SUBSTITUTE(SUBSTITUTE(SUBSTITUTE(SUBSTITUTE(SUBSTITUTE(SUBSTITUTE(SUBSTITUTE(SUBSTITUTE(SUBSTITUTE(SUBSTITUTE(SUBSTITUTE(SUBSTITUTE(SUBSTITUTE(SUBSTITUTE(SUBSTITUTE(SUBSTITUTE(BO238,"b","a"),"c","a"),"d","a"),"e","a"),"f","a"),"g","a"),"h","a"),"i","a"),"j","a"),"k","a"),"l","a"),"m","a"),"n","a"),"o","a"),"p","a"),"q","a"),"r","a"),"s","a"),"t","a"),"u","a"),"v","a"),"w","a"),"x","a"),"y","a"),"z","a")</f>
        <v/>
      </c>
      <c r="BQ238" s="61" t="n">
        <f aca="false">IFERROR(IF(AND(ISERROR(SEARCH(" mh"," "&amp;LOWER(W238))),ISNA(MATCH(LEFT(TRIM(BP238),255),{"0000a","000a","00a","0000aa","000aa","00aa","0aa","0000aaa","000aaa","00a00","0a00","0000-0000","00:00","a00","a0","00.00.0000","00/00/0000","00-00-0000","0000-00-00","0000/00/00","0000.00.00","00.00.00","00/00/00","00-00-00","0.00.0000","0/00/0000","0-00-0000"},0)),ISNA(MATCH(LEFT(TRIM(CA238),255),{"0000a","000a","00a","0000aa","000aa","00aa","0aa","0000aaa","000aaa","00a00","0a00","0000-0000","00:00","a00","a0","00.00.0000","00/00/0000","00-00-0000","0000-00-00","0000/00/00","0000.00.00","00.00.00","00/00/00","00-00-00","0.00.0000","0/00/0000","0-00-0000"},0)),LEN(CB238)&gt;=3,NOT(OR(SUBSTITUTE(CB238,"0","")="",AND(LEN(CB238)&gt;=4,CB238=REPT(LEFT(CB238),LEN(CB238))),ISNUMBER(MATCH(CB238,{"123","1234","12345","123456","1234567","12345678","0123","01234","012345","98765","987654","54321"},0)),AND(LEN(CB238)=8,LEFT(CB238,3)="202"))),OR(AND((LEN(CA238)-LEN(SUBSTITUTE(CA238,"a","")))&gt;=1,SUMPRODUCT(--ISNUMBER(SEARCH({"a0","a-0","a_0","a/0","a.0","a#0","0a","0-a","0_a","0/a"},BP238)))&gt;0),ISNUMBER(SEARCH("000000",BP238)))),1,0),0)</f>
        <v>0</v>
      </c>
      <c r="BR238" s="61" t="n">
        <f aca="false">IFERROR(LEN(SUBSTITUTE(CC238," ",""))-SUMPRODUCT((LEN(CC238)-LEN(SUBSTITUTE(CC238," "&amp;L_Role&amp;" "," ")))/(LEN(L_Role)+1)*LEN(L_Role)),0)</f>
        <v>0</v>
      </c>
      <c r="BS238" s="61" t="n">
        <f aca="false">IFERROR(LEN(SUBSTITUTE(CD238," ",""))-SUMPRODUCT((LEN(CD238)-LEN(SUBSTITUTE(CD238," "&amp;L_Role&amp;" "," ")))/(LEN(L_Role)+1)*LEN(L_Role)),0)</f>
        <v>0</v>
      </c>
      <c r="BT2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238,"revision",""),"version",""),"jan",""),"feb",""),"mar",""),"apr",""),"may",""),"jun",""),"jul",""),"aug",""),"sep",""),"oct",""),"nov",""),"dec",""),"utc",""),"gmt",""),"myt",""),"bst",""),"rev",""),"ver",""),"b","a"),"c","a"),"d","a"),"e","a"),"f","a"),"g","a"),"h","a"),"i","a"),"j","a"),"k","a"),"l","a"),"m","a"),"n","a"),"o","a"),"p","a"),"q","a"),"r","a"),"s","a"),"t","a"),"u","a"),"v","a"),"w","a"),"x","a"),"y","a"),"z","a")</f>
        <v/>
      </c>
      <c r="BU238" s="61" t="str">
        <f aca="false">SUBSTITUTE(SUBSTITUTE(SUBSTITUTE(SUBSTITUTE(SUBSTITUTE(SUBSTITUTE(SUBSTITUTE(SUBSTITUTE(SUBSTITUTE(SUBSTITUTE(LEFT(BM238,FIND("0",BM238&amp;"0")-1),"-",""),"_",""),"/",""),".",""),"#",""),"\\",""),":","")," ",""),"(",""),")","")</f>
        <v/>
      </c>
      <c r="BV238" s="61" t="n">
        <f aca="false">0</f>
        <v>0</v>
      </c>
      <c r="BW2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238&amp;""),"a",""),"b",""),"c",""),"d",""),"e",""),"f",""),"g",""),"h",""),"i",""),"j",""),"k",""),"l",""),"m",""),"n",""),"o",""),"p",""),"q",""),"r",""),"s",""),"t",""),"u",""),"v",""),"w",""),"x",""),"y",""),"z",""),"-",""),"_",""),"/",""),".",""),"#",""),"\\",""),":","")," ",""),"(",""),")","")</f>
        <v/>
      </c>
      <c r="BX238" s="61" t="str">
        <f aca="false">SUBSTITUTE(SUBSTITUTE(SUBSTITUTE(SUBSTITUTE(SUBSTITUTE(SUBSTITUTE(SUBSTITUTE(SUBSTITUTE(SUBSTITUTE(SUBSTITUTE(SUBSTITUTE(BM238,"0",""),"-",""),"_",""),"/",""),".",""),"#",""),"\\",""),":","")," ",""),"(",""),")","")</f>
        <v/>
      </c>
      <c r="BY238" s="62" t="n">
        <f aca="false">Q238-T12EarlyH/24</f>
        <v>46303.4166666667</v>
      </c>
      <c r="BZ238" s="61" t="n">
        <f aca="false">IFERROR(IF(IF(TRIM(S238)="Link / file path",AND(LEN(TRIM(Z238))&gt;=5,SUMPRODUCT(--ISNUMBER(SEARCH({"http","www.","\\",":\",".pdf",".jpg",".jpeg",".png",".heic",".xls",".doc",".msg",".eml",".ppt",".txt",".zip"},Z238)))&gt;0),AND(ISERROR(FIND(" ",TRIM(Z238))),NOT(OR(SUMPRODUCT(--ISNUMBER(FIND({",",";","&amp;","+"},Z238)))&gt;0,SUMPRODUCT(--ISNUMBER(SEARCH({"0/aa","0\\aa"},BN238)))&gt;0)),NOT(SUMPRODUCT(--ISNUMBER(SEARCH({"http","www.","\\",":\",".pdf",".jpg",".jpeg",".png",".heic",".xls",".doc",".msg",".eml",".ppt",".txt",".zip"},Z238)))&gt;0),NOT(LOWER(TRIM(Z238))=LOWER(Flights!$F$11)),ISNA(MATCH(BU238,{"mh","rev","revision","ver","version","v","r","a","b","seat","tray","row","gate","bay","stand","page","pg","item","line","no","cart","galley","flight","flt","table","box","bag","oven","etd","eta","std","sta","atd","ata","qty","pax","x","time","tel","ph","mob","day","wk","week","utc","gmt","myt","lt"},0)),NOT(OR(ISNUMBER(MATCH(LEFT(BN238,255),{"0000a","000a","00a","0000aa","000aa","00aa","0aa","0000aaa","000aaa","00a00","0a00","0000-0000","00:00","a00","a0","00.00.0000","00/00/0000","00-00-0000","0000-00-00","0000/00/00","0000.00.00","00.00.00","00/00/00","00-00-00","0.00.0000","0/00/0000","0-00-0000"},0)),ISNUMBER(MATCH(LEFT(BT238,255),{"0000a","000a","00a","0000aa","000aa","00aa","0aa","0000aaa","000aaa","00a00","0a00","0000-0000","00:00","a00","a0","00.00.0000","00/00/0000","00-00-0000","0000-00-00","0000/00/00","0000.00.00","00.00.00","00/00/00","00-00-00","0.00.0000","0/00/0000","0-00-0000"},0)))),NOT(OR(AND(BW238&lt;&gt;"",SUBSTITUTE(BW238,"0","")=""),AND(LEN(BW238)&gt;=4,BW238=REPT(LEFT(BW238),LEN(BW238))),ISNUMBER(MATCH(BW238,{"123","1234","12345","123456","1234567","12345678","0123","01234","012345","98765","987654","54321"},0)),ISNUMBER(MATCH(BX238,{"x","xx","xxx","xxxx","xxxxx","abc","abcd","nil","na","nan","test","tbc","tba","tbd","dummy","sample","example","eg","zz","zzz","none","null","xyz","qwe","asd","id","ref"},0)),AND(LEN(BW238)=8,BX238="",OR(LEFT(BW238,3)="202",ISNUMBER(MATCH(RIGHT(BW238,4),{"2025","2026","2027"},0)))))),OR(AND((LEN(BT238)-LEN(SUBSTITUTE(BT238,"a","")))&gt;=1,(LEN(BN238)-LEN(SUBSTITUTE(BN238,"0","")))&gt;=2,SUMPRODUCT(--ISNUMBER(SEARCH({"a0","a-0","a_0","a/0","a.0","a#0","0a","0-a","0_a","0/a"},BN238)))&gt;0),AND((LEN(BN238)-LEN(SUBSTITUTE(BN238,"a","")))=0,(LEN(BN238)-LEN(SUBSTITUTE(BN238,"0","")))&gt;=5)))),1,0),0)</f>
        <v>0</v>
      </c>
      <c r="CA2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238,"revision",""),"version",""),"jan",""),"feb",""),"mar",""),"apr",""),"may",""),"jun",""),"jul",""),"aug",""),"sep",""),"oct",""),"nov",""),"dec",""),"utc",""),"gmt",""),"myt",""),"bst",""),"rev",""),"ver",""),"b","a"),"c","a"),"d","a"),"e","a"),"f","a"),"g","a"),"h","a"),"i","a"),"j","a"),"k","a"),"l","a"),"m","a"),"n","a"),"o","a"),"p","a"),"q","a"),"r","a"),"s","a"),"t","a"),"u","a"),"v","a"),"w","a"),"x","a"),"y","a"),"z","a")</f>
        <v/>
      </c>
      <c r="CB2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238&amp;""),"a",""),"b",""),"c",""),"d",""),"e",""),"f",""),"g",""),"h",""),"i",""),"j",""),"k",""),"l",""),"m",""),"n",""),"o",""),"p",""),"q",""),"r",""),"s",""),"t",""),"u",""),"v",""),"w",""),"x",""),"y",""),"z",""),"-",""),"_",""),"/",""),".",""),"#",""),"\\",""),":","")," ",""),"(",""),")","")</f>
        <v/>
      </c>
      <c r="CC238" s="0" t="str">
        <f aca="false">" "&amp;TRIM(SUBSTITUTE(SUBSTITUTE(SUBSTITUTE(SUBSTITUTE(SUBSTITUTE(SUBSTITUTE(SUBSTITUTE(SUBSTITUTE(SUBSTITUTE(SUBSTITUTE(SUBSTITUTE(SUBSTITUTE(SUBSTITUTE(SUBSTITUTE(SUBSTITUTE(SUBSTITUTE(SUBSTITUTE(SUBSTITUTE(SUBSTITUTE(SUBSTITUTE(SUBSTITUTE(SUBSTITUTE(SUBSTITUTE(SUBSTITUTE(LOWER(T238&amp;""),CHAR(10)," "),CHAR(13)," "),CHAR(9)," "),CHAR(160)," "),"."," "),","," "),"-"," "),"/"," "),"("," "),")"," "),":"," "),";"," "),"_"," "),"–"," "),"?"," "),"!"," "),"*"," "),"["," "),"]"," "),"'"," "),"#"," "),"+"," "),"&amp;"," "),"\"," "))&amp;" "</f>
        <v>  </v>
      </c>
      <c r="CD238" s="0" t="str">
        <f aca="false">" "&amp;TRIM(SUBSTITUTE(SUBSTITUTE(SUBSTITUTE(SUBSTITUTE(SUBSTITUTE(SUBSTITUTE(SUBSTITUTE(SUBSTITUTE(SUBSTITUTE(SUBSTITUTE(SUBSTITUTE(SUBSTITUTE(SUBSTITUTE(SUBSTITUTE(SUBSTITUTE(SUBSTITUTE(SUBSTITUTE(SUBSTITUTE(SUBSTITUTE(SUBSTITUTE(SUBSTITUTE(SUBSTITUTE(SUBSTITUTE(SUBSTITUTE(LOWER(AE238&amp;""),CHAR(10)," "),CHAR(13)," "),CHAR(9)," "),CHAR(160)," "),"."," "),","," "),"-"," "),"/"," "),"("," "),")"," "),":"," "),";"," "),"_"," "),"–"," "),"?"," "),"!"," "),"*"," "),"["," "),"]"," "),"'"," "),"#"," "),"+"," "),"&amp;"," "),"\"," "))&amp;" "</f>
        <v>  </v>
      </c>
      <c r="CE238" s="68" t="n">
        <f aca="false">IFERROR(IF(AND(LEN(AU238)&gt;0,LEN(AU238)=LEN(AX238),OR(TRIM(MID(SUBSTITUTE(TRIM(CC238)," ",REPT(" ",60)),1,60))="",ISNUMBER(SEARCH(" "&amp;TRIM(MID(SUBSTITUTE(TRIM(CC238)," ",REPT(" ",60)),1,60))&amp;" ",CD238))),OR(TRIM(MID(SUBSTITUTE(TRIM(CC238)," ",REPT(" ",60)),61,60))="",ISNUMBER(SEARCH(" "&amp;TRIM(MID(SUBSTITUTE(TRIM(CC238)," ",REPT(" ",60)),61,60))&amp;" ",CD238))),OR(TRIM(MID(SUBSTITUTE(TRIM(CC238)," ",REPT(" ",60)),121,60))="",ISNUMBER(SEARCH(" "&amp;TRIM(MID(SUBSTITUTE(TRIM(CC238)," ",REPT(" ",60)),121,60))&amp;" ",CD238)))),1,0),0)</f>
        <v>0</v>
      </c>
      <c r="CG238" s="68" t="n">
        <f aca="false">IFERROR(LEN(SUBSTITUTE(BF238," ",""))-SUMPRODUCT((LEN(BF238)-LEN(SUBSTITUTE(BF238," "&amp;L_NAFiller&amp;" "," ")))/(LEN(L_NAFiller)+1)*LEN(L_NAFiller)),0)</f>
        <v>0</v>
      </c>
    </row>
    <row r="239" customFormat="false" ht="54" hidden="false" customHeight="true" outlineLevel="0" collapsed="false">
      <c r="A239" s="57" t="s">
        <v>805</v>
      </c>
      <c r="B239" s="57" t="s">
        <v>235</v>
      </c>
      <c r="C239" s="57" t="str">
        <f aca="false">Flights!$F$11</f>
        <v>MH0003</v>
      </c>
      <c r="D239" s="58" t="n">
        <f aca="false">Flights!$D$11</f>
        <v>46304</v>
      </c>
      <c r="E239" s="57" t="str">
        <f aca="false">Flights!$G$11&amp;"-"&amp;Flights!$H$11</f>
        <v>LHR-KUL</v>
      </c>
      <c r="F239" s="57" t="str">
        <f aca="false">Flights!$K$11</f>
        <v>BC</v>
      </c>
      <c r="G239" s="57" t="s">
        <v>420</v>
      </c>
      <c r="H239" s="57" t="s">
        <v>378</v>
      </c>
      <c r="I239" s="57" t="s">
        <v>499</v>
      </c>
      <c r="J239" s="57" t="s">
        <v>518</v>
      </c>
      <c r="K239" s="67" t="s">
        <v>616</v>
      </c>
      <c r="L239" s="67" t="s">
        <v>746</v>
      </c>
      <c r="M239" s="67" t="s">
        <v>451</v>
      </c>
      <c r="N239" s="67" t="s">
        <v>383</v>
      </c>
      <c r="O239" s="67" t="s">
        <v>806</v>
      </c>
      <c r="P239" s="57" t="s">
        <v>186</v>
      </c>
      <c r="Q239" s="59" t="n">
        <f aca="false">ROUND((Flights!$AE$11)*1440,0)/1440</f>
        <v>46303.9166666667</v>
      </c>
      <c r="R239" s="59" t="n">
        <f aca="false">Q239+(IF(AND(INDEX(TZ_DSTS,MATCH(P239,TZ_STN,0))&lt;&gt;"",Q239&gt;=INDEX(TZ_DSTS,MATCH(P239,TZ_STN,0)),Q239&lt;INDEX(TZ_DSTE,MATCH(P239,TZ_STN,0))),INDEX(TZ_DST,MATCH(P239,TZ_STN,0)),INDEX(TZ_STD,MATCH(P239,TZ_STN,0))))/24</f>
        <v>46303.9583333333</v>
      </c>
      <c r="S239" s="60"/>
      <c r="T239" s="60"/>
      <c r="U239" s="60"/>
      <c r="V239" s="60"/>
      <c r="W239" s="61"/>
      <c r="X239" s="60"/>
      <c r="Y239" s="60"/>
      <c r="Z239" s="60"/>
      <c r="AA239" s="60"/>
      <c r="AB239" s="60"/>
      <c r="AC239" s="60"/>
      <c r="AD239" s="66"/>
      <c r="AE239" s="60"/>
      <c r="AF239" s="61" t="str">
        <f aca="false">IF(AND(ISNUMBER(X239),ISNUMBER(Y239)),Y239-X239,"")</f>
        <v/>
      </c>
      <c r="AG239" s="62" t="str">
        <f aca="false">IF(ISNUMBER(AD239),AD239-(IF(AND(INDEX(TZ_DSTS,MATCH(P239,TZ_STN,0))&lt;&gt;"",(AD239-INDEX(TZ_STD,MATCH(P239,TZ_STN,0))/24)&gt;=INDEX(TZ_DSTS,MATCH(P239,TZ_STN,0)),(AD239-INDEX(TZ_STD,MATCH(P239,TZ_STN,0))/24)&lt;INDEX(TZ_DSTE,MATCH(P239,TZ_STN,0))),INDEX(TZ_DST,MATCH(P239,TZ_STN,0)),INDEX(TZ_STD,MATCH(P239,TZ_STN,0))))/24,"")</f>
        <v/>
      </c>
      <c r="AH239" s="65" t="str">
        <f aca="false">IFERROR(IF(N239="N/A – rule",IF(OR(TRIM(U239)="",TRIM(U239)="N/A",TRIM(U239)="Not started"),"N/A – RULE","INVALID – this check does not apply to this aircraft: clear the status (or correct the fleet on Flights)"),IF(TRIM(U239)="N/A",IF(AT239=0,"INVALID – N/A not permitted for this check",IF(AND(TRIM(AB239)&lt;&gt;"",TRIM(AB239)&lt;&gt;"Closed"),"INVALID – corrective action still open",IF(AND(NOT(OR(LEN(AZ239)&lt;15,ISNUMBER(MATCH(AZ239,L_Placeholder,0)))),BK239=0,CG239&gt;=8,NOT(OR(LEN(AU239)&lt;2,ISNUMBER(MATCH(AU239,L_Placeholder,0)))),BR239&gt;=3,NOT(OR(LEN(AX239)&lt;2,ISNUMBER(MATCH(AX239,L_Placeholder,0)))),BS239&gt;=3,TRIM(AE239)&lt;&gt;TRIM(T239),AX239&lt;&gt;AU239,CE239=0),"N/A – JUSTIFIED","INVALID – N/A needs a real, settled reason (not 'not applicable' / 'as above' / TBC), a named PIC and a different named verifier"))),IF(OR(TRIM(U239)="Pass",TRIM(U239)="Pass after CA"),IF(NOT(ISNUMBER(AD239)),"INVALID – completion time missing",IF(OR(OR(LEN(AU239)&lt;2,ISNUMBER(MATCH(AU239,L_Placeholder,0))),BR239&lt;3),"INVALID – PIC missing or not a named person (a role such as QA / CSM is not a name)",IF(OR(LEN(AV239)&lt;2,ISNUMBER(MATCH(AV239,L_Placeholder,0))),"INVALID – result / assessment missing",IF(OR(OR(LEN(AW239)&lt;3,ISNUMBER(MATCH(AW239,L_Placeholder,0))),SUMPRODUCT(--ISNUMBER(SEARCH(" "&amp;L_EvidencePhrase&amp;" ",BD239)))&gt;0,BI239=1),"INVALID – evidence missing, placeholder or not yet on file",IF(ISNA(MATCH(TRIM(S239),L_EvidenceType,0)),"INVALID – choose the evidence type from the list (column S)",IF(BL239=0,"INVALID – evidence ID must be the record's own ID only (e.g. SF-2210, IMG_2231, 1045521); a link / file name needs type 'Link / file path'",IF(OR(OR(LEN(AX239)&lt;2,ISNUMBER(MATCH(AX239,L_Placeholder,0))),BS239&lt;3),"INVALID – verifier missing or not a named person (a role such as QA / CSM is not a name)",IF(OR(AX239=AU239,CE239=1,AND(LEN(AU239)&gt;=4,ISNUMBER(SEARCH(AU239,AX239))),AND(LEN(AX239)&gt;=4,ISNUMBER(SEARCH(AX239,AU239)))),"INVALID – verifier must be a different, named person (not the PIC or a role)",IF(BH239=1,"INVALID – result not yet available (awaiting / TBC)",IF(BG239=1,"INVALID – result describes a problem: record Fail, then Pass after CA (or reword if it is not a problem)",IF(BV239=1,"INVALID – wording says not on board: an on-board confirmation needs the item loaded",IF(AND(AQ239=1,OR(OR(LEN(AY239)&lt;3,ISNUMBER(MATCH(AY239,L_Placeholder,0))),BJ239=1,BQ239=0)),"INVALID – batch ID missing, placeholder or not an ID (e.g. PASB-261008-BC-017)",IF(AND(AR239=1,OR(NOT(ISNUMBER(X239)),NOT(ISNUMBER(Y239)))),"INVALID – expected/actual qty missing",IF(AND(AR239=1,OR(X239&lt;=0,Y239&lt;0)),"INVALID – expected qty must be above 0 and actual not negative",IF(BB239&lt;&gt;"",BB239,IF(AND(AS239=1,Documents!$J$11&lt;&gt;"ON FILE"),"INVALID – GLD not on file (Documents sheet)",IF(AND(AS239=2,Documents!$O$11&lt;&gt;"ON FILE"),"INVALID – menu checklist not on file (Documents sheet)",IF(AND(AS239=3,NOT(ISNUMBER(Flights!$AX$11))),"INVALID – enter carrying flight KUL departure (Flights AX)",IF(AND(AS239=3,OR(Flights!$AZ$11&gt;Flights!$AA$11,Flights!$AX$11&lt;Flights!$AA$11-3)),"INVALID – carrying flight (Flights AX) cannot arrive before this leg's STD, or is over 3 days early",IF(AG239&gt;AsOfUTC,"INVALID – completion time is in the future",IF(AND(ISNUMBER(BY239),AG239&lt;BY239),IF(H239="Physical uplift","INVALID – before uplift window (cannot confirm loading)","INVALID – before valid window"),IF(AG239&gt;Flights!$AA$11,"INVALID – completed after departure (cannot establish readiness)",IF(AND(H239="Preparation",AG239&gt;=IF(ISNUMBER(Flights!$BA$11),MIN(Flights!$BA$11,Flights!$AA$11),Flights!$AA$11)),"INVALID – completed after loading / departure (cannot establish readiness)",IF(AND(H239="Physical uplift",AG239&gt;Q239),"INVALID – recorded after the loading flight departed",IF(AG239&gt;Q239,"COMPLETE – LATE","COMPLETE"))))))))))))))))))))))))),IF(TRIM(U239)="Fail","FAIL – DISCREPANCY",IF(AND(TRIM(U239)&lt;&gt;"",TRIM(U239)&lt;&gt;"Not started",TRIM(U239)&lt;&gt;"In progress"),"INVALID – unrecognised status (use the list)",IF(AsOfUTC&gt;Q239,"OVERDUE",IF(N239="Clarification required","OPEN – CLARIFICATION","OPEN"))))))),"INVALID – error value in an input cell")</f>
        <v>OPEN</v>
      </c>
      <c r="AI239" s="61" t="n">
        <f aca="false">IF(OR(AH239="N/A – RULE",AH239="N/A – JUSTIFIED"),0,1)</f>
        <v>1</v>
      </c>
      <c r="AJ239" s="61" t="n">
        <f aca="false">IF(LEFT(AH239,8)="COMPLETE",1,0)</f>
        <v>0</v>
      </c>
      <c r="AK239" s="61" t="n">
        <f aca="false">IF(AND(AI239=1,AJ239=0,AsOfUTC&gt;Q239),1,0)</f>
        <v>0</v>
      </c>
      <c r="AL239" s="61" t="n">
        <f aca="false">IFERROR(IF(AND(AI239=1,OR(TRIM(U239)="Fail",AND(TRIM(AB239)&lt;&gt;"",TRIM(AB239)&lt;&gt;"Closed"),AND(ISNUMBER(AF239),AF239&lt;&gt;0,TRIM(U239)&lt;&gt;"Pass after CA"))),1,0),1)</f>
        <v>0</v>
      </c>
      <c r="AM239" s="61" t="n">
        <f aca="false">IF(LEFT(AH239,7)="INVALID",1,0)</f>
        <v>0</v>
      </c>
      <c r="AN239" s="61" t="n">
        <f aca="false">IF(AND(N239="Clarification required",AI239=1,AJ239=0),1,0)</f>
        <v>0</v>
      </c>
      <c r="AO239" s="61" t="str">
        <f aca="false">IF(AK239=1,SUM(AK$5:AK239),"")</f>
        <v/>
      </c>
      <c r="AP239" s="61" t="str">
        <f aca="false">IF(AL239=1,SUM(AL$5:AL239),"")</f>
        <v/>
      </c>
      <c r="AQ239" s="61" t="n">
        <v>0</v>
      </c>
      <c r="AR239" s="61" t="n">
        <v>0</v>
      </c>
      <c r="AS239" s="61" t="n">
        <v>0</v>
      </c>
      <c r="AT239" s="61" t="n">
        <v>0</v>
      </c>
      <c r="AU239" s="61" t="str">
        <f aca="false">SUBSTITUTE(SUBSTITUTE(SUBSTITUTE(SUBSTITUTE(SUBSTITUTE(SUBSTITUTE(SUBSTITUTE(SUBSTITUTE(SUBSTITUTE(SUBSTITUTE(SUBSTITUTE(SUBSTITUTE(SUBSTITUTE(SUBSTITUTE(SUBSTITUTE(SUBSTITUTE(LOWER(T239&amp;""),CHAR(10),""),CHAR(13),""),CHAR(9),""),CHAR(160),"")," ",""),".",""),"-",""),"/",""),"?",""),"_",""),",",""),"[",""),"]",""),"(",""),")",""),"*","")</f>
        <v/>
      </c>
      <c r="AV239" s="61" t="str">
        <f aca="false">SUBSTITUTE(SUBSTITUTE(SUBSTITUTE(SUBSTITUTE(SUBSTITUTE(SUBSTITUTE(SUBSTITUTE(SUBSTITUTE(SUBSTITUTE(SUBSTITUTE(SUBSTITUTE(SUBSTITUTE(SUBSTITUTE(SUBSTITUTE(SUBSTITUTE(SUBSTITUTE(LOWER(V239&amp;""),CHAR(10),""),CHAR(13),""),CHAR(9),""),CHAR(160),"")," ",""),".",""),"-",""),"/",""),"?",""),"_",""),",",""),"[",""),"]",""),"(",""),")",""),"*","")</f>
        <v/>
      </c>
      <c r="AW239" s="61" t="str">
        <f aca="false">SUBSTITUTE(SUBSTITUTE(SUBSTITUTE(SUBSTITUTE(SUBSTITUTE(SUBSTITUTE(SUBSTITUTE(SUBSTITUTE(SUBSTITUTE(SUBSTITUTE(SUBSTITUTE(SUBSTITUTE(SUBSTITUTE(SUBSTITUTE(SUBSTITUTE(SUBSTITUTE(LOWER(Z239&amp;""),CHAR(10),""),CHAR(13),""),CHAR(9),""),CHAR(160),"")," ",""),".",""),"-",""),"/",""),"?",""),"_",""),",",""),"[",""),"]",""),"(",""),")",""),"*","")</f>
        <v/>
      </c>
      <c r="AX239" s="61" t="str">
        <f aca="false">SUBSTITUTE(SUBSTITUTE(SUBSTITUTE(SUBSTITUTE(SUBSTITUTE(SUBSTITUTE(SUBSTITUTE(SUBSTITUTE(SUBSTITUTE(SUBSTITUTE(SUBSTITUTE(SUBSTITUTE(SUBSTITUTE(SUBSTITUTE(SUBSTITUTE(SUBSTITUTE(LOWER(AE239&amp;""),CHAR(10),""),CHAR(13),""),CHAR(9),""),CHAR(160),"")," ",""),".",""),"-",""),"/",""),"?",""),"_",""),",",""),"[",""),"]",""),"(",""),")",""),"*","")</f>
        <v/>
      </c>
      <c r="AY239" s="61" t="str">
        <f aca="false">SUBSTITUTE(SUBSTITUTE(SUBSTITUTE(SUBSTITUTE(SUBSTITUTE(SUBSTITUTE(SUBSTITUTE(SUBSTITUTE(SUBSTITUTE(SUBSTITUTE(SUBSTITUTE(SUBSTITUTE(SUBSTITUTE(SUBSTITUTE(SUBSTITUTE(SUBSTITUTE(LOWER(W239&amp;""),CHAR(10),""),CHAR(13),""),CHAR(9),""),CHAR(160),"")," ",""),".",""),"-",""),"/",""),"?",""),"_",""),",",""),"[",""),"]",""),"(",""),")",""),"*","")</f>
        <v/>
      </c>
      <c r="AZ239" s="61" t="str">
        <f aca="false">SUBSTITUTE(SUBSTITUTE(SUBSTITUTE(SUBSTITUTE(SUBSTITUTE(SUBSTITUTE(SUBSTITUTE(SUBSTITUTE(SUBSTITUTE(SUBSTITUTE(SUBSTITUTE(SUBSTITUTE(SUBSTITUTE(SUBSTITUTE(SUBSTITUTE(SUBSTITUTE(LOWER(AC239&amp;""),CHAR(10),""),CHAR(13),""),CHAR(9),""),CHAR(160),"")," ",""),".",""),"-",""),"/",""),"?",""),"_",""),",",""),"[",""),"]",""),"(",""),")",""),"*","")</f>
        <v/>
      </c>
      <c r="BA239" s="61" t="str">
        <f aca="false">SUBSTITUTE(SUBSTITUTE(SUBSTITUTE(SUBSTITUTE(SUBSTITUTE(SUBSTITUTE(SUBSTITUTE(SUBSTITUTE(SUBSTITUTE(SUBSTITUTE(SUBSTITUTE(SUBSTITUTE(SUBSTITUTE(SUBSTITUTE(SUBSTITUTE(SUBSTITUTE(LOWER(AA239&amp;""),CHAR(10),""),CHAR(13),""),CHAR(9),""),CHAR(160),"")," ",""),".",""),"-",""),"/",""),"?",""),"_",""),",",""),"[",""),"]",""),"(",""),")",""),"*","")</f>
        <v/>
      </c>
      <c r="BB239" s="61" t="str">
        <f aca="false">IF(AND(TRIM(U239)="Pass",ISNUMBER(AF239)),IF(AF239&lt;&gt;0,"INVALID – qty variance: use Fail or Pass after CA",""),"")&amp;IF(AND(TRIM(U239)="Pass after CA",ISNUMBER(AF239)),IF(AF239&lt;&gt;0,"INVALID – after the corrective action the actual qty must equal expected (update Actual)",""),"")&amp;IF(AND(TRIM(U239)="Pass",TRIM(AB239)&lt;&gt;"",TRIM(AB239)&lt;&gt;"Closed"),"INVALID – corrective action not closed: use Fail, then Pass after CA","")&amp;IF(AND(LEN(BA239)&gt;=2,ISNA(MATCH(LEFT(BA239,255),L_Placeholder,0)),TRIM(AB239)=""),"INVALID – CA status missing for the recorded corrective action","")&amp;IF(AND(TRIM(U239)="Pass after CA",OR(OR(LEN(BA239)&lt;5,ISNUMBER(MATCH(BA239,L_Placeholder,0))),TRIM(AB239)&lt;&gt;"Closed")),"INVALID – corrective action not recorded/closed","")</f>
        <v/>
      </c>
      <c r="BC239" s="61" t="str">
        <f aca="false">" "&amp;TRIM(SUBSTITUTE(SUBSTITUTE(SUBSTITUTE(SUBSTITUTE(SUBSTITUTE(SUBSTITUTE(SUBSTITUTE(SUBSTITUTE(SUBSTITUTE(SUBSTITUTE(SUBSTITUTE(SUBSTITUTE(SUBSTITUTE(SUBSTITUTE(SUBSTITUTE(SUBSTITUTE(SUBSTITUTE(SUBSTITUTE(SUBSTITUTE(SUBSTITUTE(SUBSTITUTE(SUBSTITUTE(SUBSTITUTE(SUBSTITUTE(LOWER(V239&amp;""),CHAR(10)," "),CHAR(13)," "),CHAR(9)," "),CHAR(160)," "),"."," "),","," "),"-"," "),"/"," "),"("," "),")"," "),":"," "),";"," "),"_"," "),"–"," "),"?"," "),"!"," "),"*"," "),"["," "),"]"," "),"'"," "),"#"," "),"+"," "),"&amp;"," "),"\"," "))&amp;" "</f>
        <v>  </v>
      </c>
      <c r="BD239" s="61" t="str">
        <f aca="false">" "&amp;TRIM(SUBSTITUTE(SUBSTITUTE(SUBSTITUTE(SUBSTITUTE(SUBSTITUTE(SUBSTITUTE(SUBSTITUTE(SUBSTITUTE(SUBSTITUTE(SUBSTITUTE(SUBSTITUTE(SUBSTITUTE(SUBSTITUTE(SUBSTITUTE(SUBSTITUTE(SUBSTITUTE(SUBSTITUTE(SUBSTITUTE(SUBSTITUTE(SUBSTITUTE(SUBSTITUTE(SUBSTITUTE(SUBSTITUTE(SUBSTITUTE(LOWER(Z239&amp;""),CHAR(10)," "),CHAR(13)," "),CHAR(9)," "),CHAR(160)," "),"."," "),","," "),"-"," "),"/"," "),"("," "),")"," "),":"," "),";"," "),"_"," "),"–"," "),"?"," "),"!"," "),"*"," "),"["," "),"]"," "),"'"," "),"#"," "),"+"," "),"&amp;"," "),"\"," "))&amp;" "</f>
        <v>  </v>
      </c>
      <c r="BE239" s="61" t="str">
        <f aca="false">" "&amp;TRIM(SUBSTITUTE(SUBSTITUTE(SUBSTITUTE(SUBSTITUTE(SUBSTITUTE(SUBSTITUTE(SUBSTITUTE(SUBSTITUTE(SUBSTITUTE(SUBSTITUTE(SUBSTITUTE(SUBSTITUTE(SUBSTITUTE(SUBSTITUTE(SUBSTITUTE(SUBSTITUTE(SUBSTITUTE(SUBSTITUTE(SUBSTITUTE(SUBSTITUTE(SUBSTITUTE(SUBSTITUTE(SUBSTITUTE(SUBSTITUTE(LOWER(W239&amp;""),CHAR(10)," "),CHAR(13)," "),CHAR(9)," "),CHAR(160)," "),"."," "),","," "),"-"," "),"/"," "),"("," "),")"," "),":"," "),";"," "),"_"," "),"–"," "),"?"," "),"!"," "),"*"," "),"["," "),"]"," "),"'"," "),"#"," "),"+"," "),"&amp;"," "),"\"," "))&amp;" "</f>
        <v>  </v>
      </c>
      <c r="BF239" s="61" t="str">
        <f aca="false">" "&amp;TRIM(SUBSTITUTE(SUBSTITUTE(SUBSTITUTE(SUBSTITUTE(SUBSTITUTE(SUBSTITUTE(SUBSTITUTE(SUBSTITUTE(SUBSTITUTE(SUBSTITUTE(SUBSTITUTE(SUBSTITUTE(SUBSTITUTE(SUBSTITUTE(SUBSTITUTE(SUBSTITUTE(SUBSTITUTE(SUBSTITUTE(SUBSTITUTE(SUBSTITUTE(SUBSTITUTE(SUBSTITUTE(SUBSTITUTE(SUBSTITUTE(LOWER(AC239&amp;""),CHAR(10)," "),CHAR(13)," "),CHAR(9)," "),CHAR(160)," "),"."," "),","," "),"-"," "),"/"," "),"("," "),")"," "),":"," "),";"," "),"_"," "),"–"," "),"?"," "),"!"," "),"*"," "),"["," "),"]"," "),"'"," "),"#"," "),"+"," "),"&amp;"," "),"\"," "))&amp;" "</f>
        <v>  </v>
      </c>
      <c r="BG239" s="61" t="n">
        <f aca="false">IFERROR(IF(AND(TRIM(U239)="Pass",SUMPRODUCT((LEN(BC239)-LEN(SUBSTITUTE(BC239," "&amp;L_ResultBad&amp;" "," ")))/(LEN(L_ResultBad)+1))&gt;SUMPRODUCT((LEN(BC239)-LEN(SUBSTITUTE(BC239," "&amp;L_NegPhrase&amp;" "," ")))/(LEN(L_NegPhrase)+1))),1,0),0)</f>
        <v>0</v>
      </c>
      <c r="BH239" s="61" t="n">
        <f aca="false">IFERROR(IF(SUMPRODUCT((LEN(BC239)-LEN(SUBSTITUTE(BC239," "&amp;L_Pending&amp;" "," ")))/(LEN(L_Pending)+1))&gt;SUMPRODUCT((LEN(BC239)-LEN(SUBSTITUTE(BC239," "&amp;L_PendNeg&amp;" "," ")))/(LEN(L_PendNeg)+1))+SUMPRODUCT((LEN(BC239)-LEN(SUBSTITUTE(BC239," "&amp;L_PendPrep&amp;" "," ")))/(LEN(L_PendPrep)+1)),1,0),1)</f>
        <v>0</v>
      </c>
      <c r="BI239" s="61" t="n">
        <f aca="false">IFERROR(IF(SUMPRODUCT((LEN(BD239)-LEN(SUBSTITUTE(BD239," "&amp;L_PendStrict&amp;" "," ")))/(LEN(L_PendStrict)+1))&gt;SUMPRODUCT((LEN(BD239)-LEN(SUBSTITUTE(BD239," "&amp;L_PendNeg&amp;" "," ")))/(LEN(L_PendNeg)+1)),1,0),1)</f>
        <v>0</v>
      </c>
      <c r="BJ239" s="61" t="n">
        <f aca="false">IFERROR(IF(SUMPRODUCT((LEN(BE239)-LEN(SUBSTITUTE(BE239," "&amp;L_Pending&amp;" "," ")))/(LEN(L_Pending)+1))&gt;SUMPRODUCT((LEN(BE239)-LEN(SUBSTITUTE(BE239," "&amp;L_PendNeg&amp;" "," ")))/(LEN(L_PendNeg)+1))+SUMPRODUCT((LEN(BE239)-LEN(SUBSTITUTE(BE239," "&amp;L_PendPrep&amp;" "," ")))/(LEN(L_PendPrep)+1)),1,0),1)</f>
        <v>0</v>
      </c>
      <c r="BK239" s="61" t="n">
        <f aca="false">IFERROR(IF(SUMPRODUCT((LEN(BF239)-LEN(SUBSTITUTE(BF239," "&amp;L_PendStrict&amp;" "," ")))/(LEN(L_PendStrict)+1))&gt;SUMPRODUCT((LEN(BF239)-LEN(SUBSTITUTE(BF239," "&amp;L_PendNeg&amp;" "," ")))/(LEN(L_PendNeg)+1)),1,0),1)</f>
        <v>0</v>
      </c>
      <c r="BL239" s="61" t="n">
        <f aca="false">IF(ISNA(MATCH(TRIM(S239),L_EvidenceType,0)),0,BZ239)</f>
        <v>0</v>
      </c>
      <c r="BM239" s="61" t="str">
        <f aca="false">SUBSTITUTE(SUBSTITUTE(SUBSTITUTE(SUBSTITUTE(SUBSTITUTE(SUBSTITUTE(SUBSTITUTE(SUBSTITUTE(SUBSTITUTE(LOWER(Z239&amp;""),"1","0"),"2","0"),"3","0"),"4","0"),"5","0"),"6","0"),"7","0"),"8","0"),"9","0")</f>
        <v/>
      </c>
      <c r="BN239" s="61" t="str">
        <f aca="false">SUBSTITUTE(SUBSTITUTE(SUBSTITUTE(SUBSTITUTE(SUBSTITUTE(SUBSTITUTE(SUBSTITUTE(SUBSTITUTE(SUBSTITUTE(SUBSTITUTE(SUBSTITUTE(SUBSTITUTE(SUBSTITUTE(SUBSTITUTE(SUBSTITUTE(SUBSTITUTE(SUBSTITUTE(SUBSTITUTE(SUBSTITUTE(SUBSTITUTE(SUBSTITUTE(SUBSTITUTE(SUBSTITUTE(SUBSTITUTE(SUBSTITUTE(BM239,"b","a"),"c","a"),"d","a"),"e","a"),"f","a"),"g","a"),"h","a"),"i","a"),"j","a"),"k","a"),"l","a"),"m","a"),"n","a"),"o","a"),"p","a"),"q","a"),"r","a"),"s","a"),"t","a"),"u","a"),"v","a"),"w","a"),"x","a"),"y","a"),"z","a")</f>
        <v/>
      </c>
      <c r="BO239" s="61" t="str">
        <f aca="false">SUBSTITUTE(SUBSTITUTE(SUBSTITUTE(SUBSTITUTE(SUBSTITUTE(SUBSTITUTE(SUBSTITUTE(SUBSTITUTE(SUBSTITUTE(LOWER(W239&amp;""),"1","0"),"2","0"),"3","0"),"4","0"),"5","0"),"6","0"),"7","0"),"8","0"),"9","0")</f>
        <v/>
      </c>
      <c r="BP239" s="61" t="str">
        <f aca="false">SUBSTITUTE(SUBSTITUTE(SUBSTITUTE(SUBSTITUTE(SUBSTITUTE(SUBSTITUTE(SUBSTITUTE(SUBSTITUTE(SUBSTITUTE(SUBSTITUTE(SUBSTITUTE(SUBSTITUTE(SUBSTITUTE(SUBSTITUTE(SUBSTITUTE(SUBSTITUTE(SUBSTITUTE(SUBSTITUTE(SUBSTITUTE(SUBSTITUTE(SUBSTITUTE(SUBSTITUTE(SUBSTITUTE(SUBSTITUTE(SUBSTITUTE(BO239,"b","a"),"c","a"),"d","a"),"e","a"),"f","a"),"g","a"),"h","a"),"i","a"),"j","a"),"k","a"),"l","a"),"m","a"),"n","a"),"o","a"),"p","a"),"q","a"),"r","a"),"s","a"),"t","a"),"u","a"),"v","a"),"w","a"),"x","a"),"y","a"),"z","a")</f>
        <v/>
      </c>
      <c r="BQ239" s="61" t="n">
        <f aca="false">IFERROR(IF(AND(ISERROR(SEARCH(" mh"," "&amp;LOWER(W239))),ISNA(MATCH(LEFT(TRIM(BP239),255),{"0000a","000a","00a","0000aa","000aa","00aa","0aa","0000aaa","000aaa","00a00","0a00","0000-0000","00:00","a00","a0","00.00.0000","00/00/0000","00-00-0000","0000-00-00","0000/00/00","0000.00.00","00.00.00","00/00/00","00-00-00","0.00.0000","0/00/0000","0-00-0000"},0)),ISNA(MATCH(LEFT(TRIM(CA239),255),{"0000a","000a","00a","0000aa","000aa","00aa","0aa","0000aaa","000aaa","00a00","0a00","0000-0000","00:00","a00","a0","00.00.0000","00/00/0000","00-00-0000","0000-00-00","0000/00/00","0000.00.00","00.00.00","00/00/00","00-00-00","0.00.0000","0/00/0000","0-00-0000"},0)),LEN(CB239)&gt;=3,NOT(OR(SUBSTITUTE(CB239,"0","")="",AND(LEN(CB239)&gt;=4,CB239=REPT(LEFT(CB239),LEN(CB239))),ISNUMBER(MATCH(CB239,{"123","1234","12345","123456","1234567","12345678","0123","01234","012345","98765","987654","54321"},0)),AND(LEN(CB239)=8,LEFT(CB239,3)="202"))),OR(AND((LEN(CA239)-LEN(SUBSTITUTE(CA239,"a","")))&gt;=1,SUMPRODUCT(--ISNUMBER(SEARCH({"a0","a-0","a_0","a/0","a.0","a#0","0a","0-a","0_a","0/a"},BP239)))&gt;0),ISNUMBER(SEARCH("000000",BP239)))),1,0),0)</f>
        <v>0</v>
      </c>
      <c r="BR239" s="61" t="n">
        <f aca="false">IFERROR(LEN(SUBSTITUTE(CC239," ",""))-SUMPRODUCT((LEN(CC239)-LEN(SUBSTITUTE(CC239," "&amp;L_Role&amp;" "," ")))/(LEN(L_Role)+1)*LEN(L_Role)),0)</f>
        <v>0</v>
      </c>
      <c r="BS239" s="61" t="n">
        <f aca="false">IFERROR(LEN(SUBSTITUTE(CD239," ",""))-SUMPRODUCT((LEN(CD239)-LEN(SUBSTITUTE(CD239," "&amp;L_Role&amp;" "," ")))/(LEN(L_Role)+1)*LEN(L_Role)),0)</f>
        <v>0</v>
      </c>
      <c r="BT2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239,"revision",""),"version",""),"jan",""),"feb",""),"mar",""),"apr",""),"may",""),"jun",""),"jul",""),"aug",""),"sep",""),"oct",""),"nov",""),"dec",""),"utc",""),"gmt",""),"myt",""),"bst",""),"rev",""),"ver",""),"b","a"),"c","a"),"d","a"),"e","a"),"f","a"),"g","a"),"h","a"),"i","a"),"j","a"),"k","a"),"l","a"),"m","a"),"n","a"),"o","a"),"p","a"),"q","a"),"r","a"),"s","a"),"t","a"),"u","a"),"v","a"),"w","a"),"x","a"),"y","a"),"z","a")</f>
        <v/>
      </c>
      <c r="BU239" s="61" t="str">
        <f aca="false">SUBSTITUTE(SUBSTITUTE(SUBSTITUTE(SUBSTITUTE(SUBSTITUTE(SUBSTITUTE(SUBSTITUTE(SUBSTITUTE(SUBSTITUTE(SUBSTITUTE(LEFT(BM239,FIND("0",BM239&amp;"0")-1),"-",""),"_",""),"/",""),".",""),"#",""),"\\",""),":","")," ",""),"(",""),")","")</f>
        <v/>
      </c>
      <c r="BV239" s="61" t="n">
        <f aca="false">0</f>
        <v>0</v>
      </c>
      <c r="BW2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239&amp;""),"a",""),"b",""),"c",""),"d",""),"e",""),"f",""),"g",""),"h",""),"i",""),"j",""),"k",""),"l",""),"m",""),"n",""),"o",""),"p",""),"q",""),"r",""),"s",""),"t",""),"u",""),"v",""),"w",""),"x",""),"y",""),"z",""),"-",""),"_",""),"/",""),".",""),"#",""),"\\",""),":","")," ",""),"(",""),")","")</f>
        <v/>
      </c>
      <c r="BX239" s="61" t="str">
        <f aca="false">SUBSTITUTE(SUBSTITUTE(SUBSTITUTE(SUBSTITUTE(SUBSTITUTE(SUBSTITUTE(SUBSTITUTE(SUBSTITUTE(SUBSTITUTE(SUBSTITUTE(SUBSTITUTE(BM239,"0",""),"-",""),"_",""),"/",""),".",""),"#",""),"\\",""),":","")," ",""),"(",""),")","")</f>
        <v/>
      </c>
      <c r="BY239" s="62" t="n">
        <f aca="false">Q239-T12EarlyH/24</f>
        <v>46303.4166666667</v>
      </c>
      <c r="BZ239" s="61" t="n">
        <f aca="false">IFERROR(IF(IF(TRIM(S239)="Link / file path",AND(LEN(TRIM(Z239))&gt;=5,SUMPRODUCT(--ISNUMBER(SEARCH({"http","www.","\\",":\",".pdf",".jpg",".jpeg",".png",".heic",".xls",".doc",".msg",".eml",".ppt",".txt",".zip"},Z239)))&gt;0),AND(ISERROR(FIND(" ",TRIM(Z239))),NOT(OR(SUMPRODUCT(--ISNUMBER(FIND({",",";","&amp;","+"},Z239)))&gt;0,SUMPRODUCT(--ISNUMBER(SEARCH({"0/aa","0\\aa"},BN239)))&gt;0)),NOT(SUMPRODUCT(--ISNUMBER(SEARCH({"http","www.","\\",":\",".pdf",".jpg",".jpeg",".png",".heic",".xls",".doc",".msg",".eml",".ppt",".txt",".zip"},Z239)))&gt;0),NOT(LOWER(TRIM(Z239))=LOWER(Flights!$F$11)),ISNA(MATCH(BU239,{"mh","rev","revision","ver","version","v","r","a","b","seat","tray","row","gate","bay","stand","page","pg","item","line","no","cart","galley","flight","flt","table","box","bag","oven","etd","eta","std","sta","atd","ata","qty","pax","x","time","tel","ph","mob","day","wk","week","utc","gmt","myt","lt"},0)),NOT(OR(ISNUMBER(MATCH(LEFT(BN239,255),{"0000a","000a","00a","0000aa","000aa","00aa","0aa","0000aaa","000aaa","00a00","0a00","0000-0000","00:00","a00","a0","00.00.0000","00/00/0000","00-00-0000","0000-00-00","0000/00/00","0000.00.00","00.00.00","00/00/00","00-00-00","0.00.0000","0/00/0000","0-00-0000"},0)),ISNUMBER(MATCH(LEFT(BT239,255),{"0000a","000a","00a","0000aa","000aa","00aa","0aa","0000aaa","000aaa","00a00","0a00","0000-0000","00:00","a00","a0","00.00.0000","00/00/0000","00-00-0000","0000-00-00","0000/00/00","0000.00.00","00.00.00","00/00/00","00-00-00","0.00.0000","0/00/0000","0-00-0000"},0)))),NOT(OR(AND(BW239&lt;&gt;"",SUBSTITUTE(BW239,"0","")=""),AND(LEN(BW239)&gt;=4,BW239=REPT(LEFT(BW239),LEN(BW239))),ISNUMBER(MATCH(BW239,{"123","1234","12345","123456","1234567","12345678","0123","01234","012345","98765","987654","54321"},0)),ISNUMBER(MATCH(BX239,{"x","xx","xxx","xxxx","xxxxx","abc","abcd","nil","na","nan","test","tbc","tba","tbd","dummy","sample","example","eg","zz","zzz","none","null","xyz","qwe","asd","id","ref"},0)),AND(LEN(BW239)=8,BX239="",OR(LEFT(BW239,3)="202",ISNUMBER(MATCH(RIGHT(BW239,4),{"2025","2026","2027"},0)))))),OR(AND((LEN(BT239)-LEN(SUBSTITUTE(BT239,"a","")))&gt;=1,(LEN(BN239)-LEN(SUBSTITUTE(BN239,"0","")))&gt;=2,SUMPRODUCT(--ISNUMBER(SEARCH({"a0","a-0","a_0","a/0","a.0","a#0","0a","0-a","0_a","0/a"},BN239)))&gt;0),AND((LEN(BN239)-LEN(SUBSTITUTE(BN239,"a","")))=0,(LEN(BN239)-LEN(SUBSTITUTE(BN239,"0","")))&gt;=5)))),1,0),0)</f>
        <v>0</v>
      </c>
      <c r="CA2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239,"revision",""),"version",""),"jan",""),"feb",""),"mar",""),"apr",""),"may",""),"jun",""),"jul",""),"aug",""),"sep",""),"oct",""),"nov",""),"dec",""),"utc",""),"gmt",""),"myt",""),"bst",""),"rev",""),"ver",""),"b","a"),"c","a"),"d","a"),"e","a"),"f","a"),"g","a"),"h","a"),"i","a"),"j","a"),"k","a"),"l","a"),"m","a"),"n","a"),"o","a"),"p","a"),"q","a"),"r","a"),"s","a"),"t","a"),"u","a"),"v","a"),"w","a"),"x","a"),"y","a"),"z","a")</f>
        <v/>
      </c>
      <c r="CB2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239&amp;""),"a",""),"b",""),"c",""),"d",""),"e",""),"f",""),"g",""),"h",""),"i",""),"j",""),"k",""),"l",""),"m",""),"n",""),"o",""),"p",""),"q",""),"r",""),"s",""),"t",""),"u",""),"v",""),"w",""),"x",""),"y",""),"z",""),"-",""),"_",""),"/",""),".",""),"#",""),"\\",""),":","")," ",""),"(",""),")","")</f>
        <v/>
      </c>
      <c r="CC239" s="0" t="str">
        <f aca="false">" "&amp;TRIM(SUBSTITUTE(SUBSTITUTE(SUBSTITUTE(SUBSTITUTE(SUBSTITUTE(SUBSTITUTE(SUBSTITUTE(SUBSTITUTE(SUBSTITUTE(SUBSTITUTE(SUBSTITUTE(SUBSTITUTE(SUBSTITUTE(SUBSTITUTE(SUBSTITUTE(SUBSTITUTE(SUBSTITUTE(SUBSTITUTE(SUBSTITUTE(SUBSTITUTE(SUBSTITUTE(SUBSTITUTE(SUBSTITUTE(SUBSTITUTE(LOWER(T239&amp;""),CHAR(10)," "),CHAR(13)," "),CHAR(9)," "),CHAR(160)," "),"."," "),","," "),"-"," "),"/"," "),"("," "),")"," "),":"," "),";"," "),"_"," "),"–"," "),"?"," "),"!"," "),"*"," "),"["," "),"]"," "),"'"," "),"#"," "),"+"," "),"&amp;"," "),"\"," "))&amp;" "</f>
        <v>  </v>
      </c>
      <c r="CD239" s="0" t="str">
        <f aca="false">" "&amp;TRIM(SUBSTITUTE(SUBSTITUTE(SUBSTITUTE(SUBSTITUTE(SUBSTITUTE(SUBSTITUTE(SUBSTITUTE(SUBSTITUTE(SUBSTITUTE(SUBSTITUTE(SUBSTITUTE(SUBSTITUTE(SUBSTITUTE(SUBSTITUTE(SUBSTITUTE(SUBSTITUTE(SUBSTITUTE(SUBSTITUTE(SUBSTITUTE(SUBSTITUTE(SUBSTITUTE(SUBSTITUTE(SUBSTITUTE(SUBSTITUTE(LOWER(AE239&amp;""),CHAR(10)," "),CHAR(13)," "),CHAR(9)," "),CHAR(160)," "),"."," "),","," "),"-"," "),"/"," "),"("," "),")"," "),":"," "),";"," "),"_"," "),"–"," "),"?"," "),"!"," "),"*"," "),"["," "),"]"," "),"'"," "),"#"," "),"+"," "),"&amp;"," "),"\"," "))&amp;" "</f>
        <v>  </v>
      </c>
      <c r="CE239" s="68" t="n">
        <f aca="false">IFERROR(IF(AND(LEN(AU239)&gt;0,LEN(AU239)=LEN(AX239),OR(TRIM(MID(SUBSTITUTE(TRIM(CC239)," ",REPT(" ",60)),1,60))="",ISNUMBER(SEARCH(" "&amp;TRIM(MID(SUBSTITUTE(TRIM(CC239)," ",REPT(" ",60)),1,60))&amp;" ",CD239))),OR(TRIM(MID(SUBSTITUTE(TRIM(CC239)," ",REPT(" ",60)),61,60))="",ISNUMBER(SEARCH(" "&amp;TRIM(MID(SUBSTITUTE(TRIM(CC239)," ",REPT(" ",60)),61,60))&amp;" ",CD239))),OR(TRIM(MID(SUBSTITUTE(TRIM(CC239)," ",REPT(" ",60)),121,60))="",ISNUMBER(SEARCH(" "&amp;TRIM(MID(SUBSTITUTE(TRIM(CC239)," ",REPT(" ",60)),121,60))&amp;" ",CD239)))),1,0),0)</f>
        <v>0</v>
      </c>
      <c r="CG239" s="68" t="n">
        <f aca="false">IFERROR(LEN(SUBSTITUTE(BF239," ",""))-SUMPRODUCT((LEN(BF239)-LEN(SUBSTITUTE(BF239," "&amp;L_NAFiller&amp;" "," ")))/(LEN(L_NAFiller)+1)*LEN(L_NAFiller)),0)</f>
        <v>0</v>
      </c>
    </row>
    <row r="240" customFormat="false" ht="41.25" hidden="false" customHeight="true" outlineLevel="0" collapsed="false">
      <c r="A240" s="57" t="s">
        <v>807</v>
      </c>
      <c r="B240" s="57" t="s">
        <v>235</v>
      </c>
      <c r="C240" s="57" t="str">
        <f aca="false">Flights!$F$11</f>
        <v>MH0003</v>
      </c>
      <c r="D240" s="58" t="n">
        <f aca="false">Flights!$D$11</f>
        <v>46304</v>
      </c>
      <c r="E240" s="57" t="str">
        <f aca="false">Flights!$G$11&amp;"-"&amp;Flights!$H$11</f>
        <v>LHR-KUL</v>
      </c>
      <c r="F240" s="57" t="str">
        <f aca="false">Flights!$K$11</f>
        <v>BC</v>
      </c>
      <c r="G240" s="57" t="s">
        <v>420</v>
      </c>
      <c r="H240" s="57" t="s">
        <v>378</v>
      </c>
      <c r="I240" s="57" t="s">
        <v>499</v>
      </c>
      <c r="J240" s="57" t="s">
        <v>523</v>
      </c>
      <c r="K240" s="67" t="s">
        <v>501</v>
      </c>
      <c r="L240" s="67" t="s">
        <v>748</v>
      </c>
      <c r="M240" s="67" t="s">
        <v>451</v>
      </c>
      <c r="N240" s="67" t="s">
        <v>383</v>
      </c>
      <c r="O240" s="67" t="s">
        <v>452</v>
      </c>
      <c r="P240" s="57" t="s">
        <v>186</v>
      </c>
      <c r="Q240" s="59" t="n">
        <f aca="false">ROUND((Flights!$AE$11)*1440,0)/1440</f>
        <v>46303.9166666667</v>
      </c>
      <c r="R240" s="59" t="n">
        <f aca="false">Q240+(IF(AND(INDEX(TZ_DSTS,MATCH(P240,TZ_STN,0))&lt;&gt;"",Q240&gt;=INDEX(TZ_DSTS,MATCH(P240,TZ_STN,0)),Q240&lt;INDEX(TZ_DSTE,MATCH(P240,TZ_STN,0))),INDEX(TZ_DST,MATCH(P240,TZ_STN,0)),INDEX(TZ_STD,MATCH(P240,TZ_STN,0))))/24</f>
        <v>46303.9583333333</v>
      </c>
      <c r="S240" s="60"/>
      <c r="T240" s="60"/>
      <c r="U240" s="60"/>
      <c r="V240" s="60"/>
      <c r="W240" s="61"/>
      <c r="X240" s="60"/>
      <c r="Y240" s="60"/>
      <c r="Z240" s="60"/>
      <c r="AA240" s="60"/>
      <c r="AB240" s="60"/>
      <c r="AC240" s="60"/>
      <c r="AD240" s="66"/>
      <c r="AE240" s="60"/>
      <c r="AF240" s="61" t="str">
        <f aca="false">IF(AND(ISNUMBER(X240),ISNUMBER(Y240)),Y240-X240,"")</f>
        <v/>
      </c>
      <c r="AG240" s="62" t="str">
        <f aca="false">IF(ISNUMBER(AD240),AD240-(IF(AND(INDEX(TZ_DSTS,MATCH(P240,TZ_STN,0))&lt;&gt;"",(AD240-INDEX(TZ_STD,MATCH(P240,TZ_STN,0))/24)&gt;=INDEX(TZ_DSTS,MATCH(P240,TZ_STN,0)),(AD240-INDEX(TZ_STD,MATCH(P240,TZ_STN,0))/24)&lt;INDEX(TZ_DSTE,MATCH(P240,TZ_STN,0))),INDEX(TZ_DST,MATCH(P240,TZ_STN,0)),INDEX(TZ_STD,MATCH(P240,TZ_STN,0))))/24,"")</f>
        <v/>
      </c>
      <c r="AH240" s="65" t="str">
        <f aca="false">IFERROR(IF(N240="N/A – rule",IF(OR(TRIM(U240)="",TRIM(U240)="N/A",TRIM(U240)="Not started"),"N/A – RULE","INVALID – this check does not apply to this aircraft: clear the status (or correct the fleet on Flights)"),IF(TRIM(U240)="N/A",IF(AT240=0,"INVALID – N/A not permitted for this check",IF(AND(TRIM(AB240)&lt;&gt;"",TRIM(AB240)&lt;&gt;"Closed"),"INVALID – corrective action still open",IF(AND(NOT(OR(LEN(AZ240)&lt;15,ISNUMBER(MATCH(AZ240,L_Placeholder,0)))),BK240=0,CG240&gt;=8,NOT(OR(LEN(AU240)&lt;2,ISNUMBER(MATCH(AU240,L_Placeholder,0)))),BR240&gt;=3,NOT(OR(LEN(AX240)&lt;2,ISNUMBER(MATCH(AX240,L_Placeholder,0)))),BS240&gt;=3,TRIM(AE240)&lt;&gt;TRIM(T240),AX240&lt;&gt;AU240,CE240=0),"N/A – JUSTIFIED","INVALID – N/A needs a real, settled reason (not 'not applicable' / 'as above' / TBC), a named PIC and a different named verifier"))),IF(OR(TRIM(U240)="Pass",TRIM(U240)="Pass after CA"),IF(NOT(ISNUMBER(AD240)),"INVALID – completion time missing",IF(OR(OR(LEN(AU240)&lt;2,ISNUMBER(MATCH(AU240,L_Placeholder,0))),BR240&lt;3),"INVALID – PIC missing or not a named person (a role such as QA / CSM is not a name)",IF(OR(LEN(AV240)&lt;2,ISNUMBER(MATCH(AV240,L_Placeholder,0))),"INVALID – result / assessment missing",IF(OR(OR(LEN(AW240)&lt;3,ISNUMBER(MATCH(AW240,L_Placeholder,0))),SUMPRODUCT(--ISNUMBER(SEARCH(" "&amp;L_EvidencePhrase&amp;" ",BD240)))&gt;0,BI240=1),"INVALID – evidence missing, placeholder or not yet on file",IF(ISNA(MATCH(TRIM(S240),L_EvidenceType,0)),"INVALID – choose the evidence type from the list (column S)",IF(BL240=0,"INVALID – evidence ID must be the record's own ID only (e.g. SF-2210, IMG_2231, 1045521); a link / file name needs type 'Link / file path'",IF(OR(OR(LEN(AX240)&lt;2,ISNUMBER(MATCH(AX240,L_Placeholder,0))),BS240&lt;3),"INVALID – verifier missing or not a named person (a role such as QA / CSM is not a name)",IF(OR(AX240=AU240,CE240=1,AND(LEN(AU240)&gt;=4,ISNUMBER(SEARCH(AU240,AX240))),AND(LEN(AX240)&gt;=4,ISNUMBER(SEARCH(AX240,AU240)))),"INVALID – verifier must be a different, named person (not the PIC or a role)",IF(BH240=1,"INVALID – result not yet available (awaiting / TBC)",IF(BG240=1,"INVALID – result describes a problem: record Fail, then Pass after CA (or reword if it is not a problem)",IF(BV240=1,"INVALID – wording says not on board: an on-board confirmation needs the item loaded",IF(AND(AQ240=1,OR(OR(LEN(AY240)&lt;3,ISNUMBER(MATCH(AY240,L_Placeholder,0))),BJ240=1,BQ240=0)),"INVALID – batch ID missing, placeholder or not an ID (e.g. PASB-261008-BC-017)",IF(AND(AR240=1,OR(NOT(ISNUMBER(X240)),NOT(ISNUMBER(Y240)))),"INVALID – expected/actual qty missing",IF(AND(AR240=1,OR(X240&lt;=0,Y240&lt;0)),"INVALID – expected qty must be above 0 and actual not negative",IF(BB240&lt;&gt;"",BB240,IF(AND(AS240=1,Documents!$J$11&lt;&gt;"ON FILE"),"INVALID – GLD not on file (Documents sheet)",IF(AND(AS240=2,Documents!$O$11&lt;&gt;"ON FILE"),"INVALID – menu checklist not on file (Documents sheet)",IF(AND(AS240=3,NOT(ISNUMBER(Flights!$AX$11))),"INVALID – enter carrying flight KUL departure (Flights AX)",IF(AND(AS240=3,OR(Flights!$AZ$11&gt;Flights!$AA$11,Flights!$AX$11&lt;Flights!$AA$11-3)),"INVALID – carrying flight (Flights AX) cannot arrive before this leg's STD, or is over 3 days early",IF(AG240&gt;AsOfUTC,"INVALID – completion time is in the future",IF(AND(ISNUMBER(BY240),AG240&lt;BY240),IF(H240="Physical uplift","INVALID – before uplift window (cannot confirm loading)","INVALID – before valid window"),IF(AG240&gt;Flights!$AA$11,"INVALID – completed after departure (cannot establish readiness)",IF(AND(H240="Preparation",AG240&gt;=IF(ISNUMBER(Flights!$BA$11),MIN(Flights!$BA$11,Flights!$AA$11),Flights!$AA$11)),"INVALID – completed after loading / departure (cannot establish readiness)",IF(AND(H240="Physical uplift",AG240&gt;Q240),"INVALID – recorded after the loading flight departed",IF(AG240&gt;Q240,"COMPLETE – LATE","COMPLETE"))))))))))))))))))))))))),IF(TRIM(U240)="Fail","FAIL – DISCREPANCY",IF(AND(TRIM(U240)&lt;&gt;"",TRIM(U240)&lt;&gt;"Not started",TRIM(U240)&lt;&gt;"In progress"),"INVALID – unrecognised status (use the list)",IF(AsOfUTC&gt;Q240,"OVERDUE",IF(N240="Clarification required","OPEN – CLARIFICATION","OPEN"))))))),"INVALID – error value in an input cell")</f>
        <v>OPEN</v>
      </c>
      <c r="AI240" s="61" t="n">
        <f aca="false">IF(OR(AH240="N/A – RULE",AH240="N/A – JUSTIFIED"),0,1)</f>
        <v>1</v>
      </c>
      <c r="AJ240" s="61" t="n">
        <f aca="false">IF(LEFT(AH240,8)="COMPLETE",1,0)</f>
        <v>0</v>
      </c>
      <c r="AK240" s="61" t="n">
        <f aca="false">IF(AND(AI240=1,AJ240=0,AsOfUTC&gt;Q240),1,0)</f>
        <v>0</v>
      </c>
      <c r="AL240" s="61" t="n">
        <f aca="false">IFERROR(IF(AND(AI240=1,OR(TRIM(U240)="Fail",AND(TRIM(AB240)&lt;&gt;"",TRIM(AB240)&lt;&gt;"Closed"),AND(ISNUMBER(AF240),AF240&lt;&gt;0,TRIM(U240)&lt;&gt;"Pass after CA"))),1,0),1)</f>
        <v>0</v>
      </c>
      <c r="AM240" s="61" t="n">
        <f aca="false">IF(LEFT(AH240,7)="INVALID",1,0)</f>
        <v>0</v>
      </c>
      <c r="AN240" s="61" t="n">
        <f aca="false">IF(AND(N240="Clarification required",AI240=1,AJ240=0),1,0)</f>
        <v>0</v>
      </c>
      <c r="AO240" s="61" t="str">
        <f aca="false">IF(AK240=1,SUM(AK$5:AK240),"")</f>
        <v/>
      </c>
      <c r="AP240" s="61" t="str">
        <f aca="false">IF(AL240=1,SUM(AL$5:AL240),"")</f>
        <v/>
      </c>
      <c r="AQ240" s="61" t="n">
        <v>0</v>
      </c>
      <c r="AR240" s="61" t="n">
        <v>0</v>
      </c>
      <c r="AS240" s="61" t="n">
        <v>0</v>
      </c>
      <c r="AT240" s="61" t="n">
        <v>0</v>
      </c>
      <c r="AU240" s="61" t="str">
        <f aca="false">SUBSTITUTE(SUBSTITUTE(SUBSTITUTE(SUBSTITUTE(SUBSTITUTE(SUBSTITUTE(SUBSTITUTE(SUBSTITUTE(SUBSTITUTE(SUBSTITUTE(SUBSTITUTE(SUBSTITUTE(SUBSTITUTE(SUBSTITUTE(SUBSTITUTE(SUBSTITUTE(LOWER(T240&amp;""),CHAR(10),""),CHAR(13),""),CHAR(9),""),CHAR(160),"")," ",""),".",""),"-",""),"/",""),"?",""),"_",""),",",""),"[",""),"]",""),"(",""),")",""),"*","")</f>
        <v/>
      </c>
      <c r="AV240" s="61" t="str">
        <f aca="false">SUBSTITUTE(SUBSTITUTE(SUBSTITUTE(SUBSTITUTE(SUBSTITUTE(SUBSTITUTE(SUBSTITUTE(SUBSTITUTE(SUBSTITUTE(SUBSTITUTE(SUBSTITUTE(SUBSTITUTE(SUBSTITUTE(SUBSTITUTE(SUBSTITUTE(SUBSTITUTE(LOWER(V240&amp;""),CHAR(10),""),CHAR(13),""),CHAR(9),""),CHAR(160),"")," ",""),".",""),"-",""),"/",""),"?",""),"_",""),",",""),"[",""),"]",""),"(",""),")",""),"*","")</f>
        <v/>
      </c>
      <c r="AW240" s="61" t="str">
        <f aca="false">SUBSTITUTE(SUBSTITUTE(SUBSTITUTE(SUBSTITUTE(SUBSTITUTE(SUBSTITUTE(SUBSTITUTE(SUBSTITUTE(SUBSTITUTE(SUBSTITUTE(SUBSTITUTE(SUBSTITUTE(SUBSTITUTE(SUBSTITUTE(SUBSTITUTE(SUBSTITUTE(LOWER(Z240&amp;""),CHAR(10),""),CHAR(13),""),CHAR(9),""),CHAR(160),"")," ",""),".",""),"-",""),"/",""),"?",""),"_",""),",",""),"[",""),"]",""),"(",""),")",""),"*","")</f>
        <v/>
      </c>
      <c r="AX240" s="61" t="str">
        <f aca="false">SUBSTITUTE(SUBSTITUTE(SUBSTITUTE(SUBSTITUTE(SUBSTITUTE(SUBSTITUTE(SUBSTITUTE(SUBSTITUTE(SUBSTITUTE(SUBSTITUTE(SUBSTITUTE(SUBSTITUTE(SUBSTITUTE(SUBSTITUTE(SUBSTITUTE(SUBSTITUTE(LOWER(AE240&amp;""),CHAR(10),""),CHAR(13),""),CHAR(9),""),CHAR(160),"")," ",""),".",""),"-",""),"/",""),"?",""),"_",""),",",""),"[",""),"]",""),"(",""),")",""),"*","")</f>
        <v/>
      </c>
      <c r="AY240" s="61" t="str">
        <f aca="false">SUBSTITUTE(SUBSTITUTE(SUBSTITUTE(SUBSTITUTE(SUBSTITUTE(SUBSTITUTE(SUBSTITUTE(SUBSTITUTE(SUBSTITUTE(SUBSTITUTE(SUBSTITUTE(SUBSTITUTE(SUBSTITUTE(SUBSTITUTE(SUBSTITUTE(SUBSTITUTE(LOWER(W240&amp;""),CHAR(10),""),CHAR(13),""),CHAR(9),""),CHAR(160),"")," ",""),".",""),"-",""),"/",""),"?",""),"_",""),",",""),"[",""),"]",""),"(",""),")",""),"*","")</f>
        <v/>
      </c>
      <c r="AZ240" s="61" t="str">
        <f aca="false">SUBSTITUTE(SUBSTITUTE(SUBSTITUTE(SUBSTITUTE(SUBSTITUTE(SUBSTITUTE(SUBSTITUTE(SUBSTITUTE(SUBSTITUTE(SUBSTITUTE(SUBSTITUTE(SUBSTITUTE(SUBSTITUTE(SUBSTITUTE(SUBSTITUTE(SUBSTITUTE(LOWER(AC240&amp;""),CHAR(10),""),CHAR(13),""),CHAR(9),""),CHAR(160),"")," ",""),".",""),"-",""),"/",""),"?",""),"_",""),",",""),"[",""),"]",""),"(",""),")",""),"*","")</f>
        <v/>
      </c>
      <c r="BA240" s="61" t="str">
        <f aca="false">SUBSTITUTE(SUBSTITUTE(SUBSTITUTE(SUBSTITUTE(SUBSTITUTE(SUBSTITUTE(SUBSTITUTE(SUBSTITUTE(SUBSTITUTE(SUBSTITUTE(SUBSTITUTE(SUBSTITUTE(SUBSTITUTE(SUBSTITUTE(SUBSTITUTE(SUBSTITUTE(LOWER(AA240&amp;""),CHAR(10),""),CHAR(13),""),CHAR(9),""),CHAR(160),"")," ",""),".",""),"-",""),"/",""),"?",""),"_",""),",",""),"[",""),"]",""),"(",""),")",""),"*","")</f>
        <v/>
      </c>
      <c r="BB240" s="61" t="str">
        <f aca="false">IF(AND(TRIM(U240)="Pass",ISNUMBER(AF240)),IF(AF240&lt;&gt;0,"INVALID – qty variance: use Fail or Pass after CA",""),"")&amp;IF(AND(TRIM(U240)="Pass after CA",ISNUMBER(AF240)),IF(AF240&lt;&gt;0,"INVALID – after the corrective action the actual qty must equal expected (update Actual)",""),"")&amp;IF(AND(TRIM(U240)="Pass",TRIM(AB240)&lt;&gt;"",TRIM(AB240)&lt;&gt;"Closed"),"INVALID – corrective action not closed: use Fail, then Pass after CA","")&amp;IF(AND(LEN(BA240)&gt;=2,ISNA(MATCH(LEFT(BA240,255),L_Placeholder,0)),TRIM(AB240)=""),"INVALID – CA status missing for the recorded corrective action","")&amp;IF(AND(TRIM(U240)="Pass after CA",OR(OR(LEN(BA240)&lt;5,ISNUMBER(MATCH(BA240,L_Placeholder,0))),TRIM(AB240)&lt;&gt;"Closed")),"INVALID – corrective action not recorded/closed","")</f>
        <v/>
      </c>
      <c r="BC240" s="61" t="str">
        <f aca="false">" "&amp;TRIM(SUBSTITUTE(SUBSTITUTE(SUBSTITUTE(SUBSTITUTE(SUBSTITUTE(SUBSTITUTE(SUBSTITUTE(SUBSTITUTE(SUBSTITUTE(SUBSTITUTE(SUBSTITUTE(SUBSTITUTE(SUBSTITUTE(SUBSTITUTE(SUBSTITUTE(SUBSTITUTE(SUBSTITUTE(SUBSTITUTE(SUBSTITUTE(SUBSTITUTE(SUBSTITUTE(SUBSTITUTE(SUBSTITUTE(SUBSTITUTE(LOWER(V240&amp;""),CHAR(10)," "),CHAR(13)," "),CHAR(9)," "),CHAR(160)," "),"."," "),","," "),"-"," "),"/"," "),"("," "),")"," "),":"," "),";"," "),"_"," "),"–"," "),"?"," "),"!"," "),"*"," "),"["," "),"]"," "),"'"," "),"#"," "),"+"," "),"&amp;"," "),"\"," "))&amp;" "</f>
        <v>  </v>
      </c>
      <c r="BD240" s="61" t="str">
        <f aca="false">" "&amp;TRIM(SUBSTITUTE(SUBSTITUTE(SUBSTITUTE(SUBSTITUTE(SUBSTITUTE(SUBSTITUTE(SUBSTITUTE(SUBSTITUTE(SUBSTITUTE(SUBSTITUTE(SUBSTITUTE(SUBSTITUTE(SUBSTITUTE(SUBSTITUTE(SUBSTITUTE(SUBSTITUTE(SUBSTITUTE(SUBSTITUTE(SUBSTITUTE(SUBSTITUTE(SUBSTITUTE(SUBSTITUTE(SUBSTITUTE(SUBSTITUTE(LOWER(Z240&amp;""),CHAR(10)," "),CHAR(13)," "),CHAR(9)," "),CHAR(160)," "),"."," "),","," "),"-"," "),"/"," "),"("," "),")"," "),":"," "),";"," "),"_"," "),"–"," "),"?"," "),"!"," "),"*"," "),"["," "),"]"," "),"'"," "),"#"," "),"+"," "),"&amp;"," "),"\"," "))&amp;" "</f>
        <v>  </v>
      </c>
      <c r="BE240" s="61" t="str">
        <f aca="false">" "&amp;TRIM(SUBSTITUTE(SUBSTITUTE(SUBSTITUTE(SUBSTITUTE(SUBSTITUTE(SUBSTITUTE(SUBSTITUTE(SUBSTITUTE(SUBSTITUTE(SUBSTITUTE(SUBSTITUTE(SUBSTITUTE(SUBSTITUTE(SUBSTITUTE(SUBSTITUTE(SUBSTITUTE(SUBSTITUTE(SUBSTITUTE(SUBSTITUTE(SUBSTITUTE(SUBSTITUTE(SUBSTITUTE(SUBSTITUTE(SUBSTITUTE(LOWER(W240&amp;""),CHAR(10)," "),CHAR(13)," "),CHAR(9)," "),CHAR(160)," "),"."," "),","," "),"-"," "),"/"," "),"("," "),")"," "),":"," "),";"," "),"_"," "),"–"," "),"?"," "),"!"," "),"*"," "),"["," "),"]"," "),"'"," "),"#"," "),"+"," "),"&amp;"," "),"\"," "))&amp;" "</f>
        <v>  </v>
      </c>
      <c r="BF240" s="61" t="str">
        <f aca="false">" "&amp;TRIM(SUBSTITUTE(SUBSTITUTE(SUBSTITUTE(SUBSTITUTE(SUBSTITUTE(SUBSTITUTE(SUBSTITUTE(SUBSTITUTE(SUBSTITUTE(SUBSTITUTE(SUBSTITUTE(SUBSTITUTE(SUBSTITUTE(SUBSTITUTE(SUBSTITUTE(SUBSTITUTE(SUBSTITUTE(SUBSTITUTE(SUBSTITUTE(SUBSTITUTE(SUBSTITUTE(SUBSTITUTE(SUBSTITUTE(SUBSTITUTE(LOWER(AC240&amp;""),CHAR(10)," "),CHAR(13)," "),CHAR(9)," "),CHAR(160)," "),"."," "),","," "),"-"," "),"/"," "),"("," "),")"," "),":"," "),";"," "),"_"," "),"–"," "),"?"," "),"!"," "),"*"," "),"["," "),"]"," "),"'"," "),"#"," "),"+"," "),"&amp;"," "),"\"," "))&amp;" "</f>
        <v>  </v>
      </c>
      <c r="BG240" s="61" t="n">
        <f aca="false">IFERROR(IF(AND(TRIM(U240)="Pass",SUMPRODUCT((LEN(BC240)-LEN(SUBSTITUTE(BC240," "&amp;L_ResultBad&amp;" "," ")))/(LEN(L_ResultBad)+1))&gt;SUMPRODUCT((LEN(BC240)-LEN(SUBSTITUTE(BC240," "&amp;L_NegPhrase&amp;" "," ")))/(LEN(L_NegPhrase)+1))),1,0),0)</f>
        <v>0</v>
      </c>
      <c r="BH240" s="61" t="n">
        <f aca="false">IFERROR(IF(SUMPRODUCT((LEN(BC240)-LEN(SUBSTITUTE(BC240," "&amp;L_Pending&amp;" "," ")))/(LEN(L_Pending)+1))&gt;SUMPRODUCT((LEN(BC240)-LEN(SUBSTITUTE(BC240," "&amp;L_PendNeg&amp;" "," ")))/(LEN(L_PendNeg)+1))+SUMPRODUCT((LEN(BC240)-LEN(SUBSTITUTE(BC240," "&amp;L_PendPrep&amp;" "," ")))/(LEN(L_PendPrep)+1)),1,0),1)</f>
        <v>0</v>
      </c>
      <c r="BI240" s="61" t="n">
        <f aca="false">IFERROR(IF(SUMPRODUCT((LEN(BD240)-LEN(SUBSTITUTE(BD240," "&amp;L_PendStrict&amp;" "," ")))/(LEN(L_PendStrict)+1))&gt;SUMPRODUCT((LEN(BD240)-LEN(SUBSTITUTE(BD240," "&amp;L_PendNeg&amp;" "," ")))/(LEN(L_PendNeg)+1)),1,0),1)</f>
        <v>0</v>
      </c>
      <c r="BJ240" s="61" t="n">
        <f aca="false">IFERROR(IF(SUMPRODUCT((LEN(BE240)-LEN(SUBSTITUTE(BE240," "&amp;L_Pending&amp;" "," ")))/(LEN(L_Pending)+1))&gt;SUMPRODUCT((LEN(BE240)-LEN(SUBSTITUTE(BE240," "&amp;L_PendNeg&amp;" "," ")))/(LEN(L_PendNeg)+1))+SUMPRODUCT((LEN(BE240)-LEN(SUBSTITUTE(BE240," "&amp;L_PendPrep&amp;" "," ")))/(LEN(L_PendPrep)+1)),1,0),1)</f>
        <v>0</v>
      </c>
      <c r="BK240" s="61" t="n">
        <f aca="false">IFERROR(IF(SUMPRODUCT((LEN(BF240)-LEN(SUBSTITUTE(BF240," "&amp;L_PendStrict&amp;" "," ")))/(LEN(L_PendStrict)+1))&gt;SUMPRODUCT((LEN(BF240)-LEN(SUBSTITUTE(BF240," "&amp;L_PendNeg&amp;" "," ")))/(LEN(L_PendNeg)+1)),1,0),1)</f>
        <v>0</v>
      </c>
      <c r="BL240" s="61" t="n">
        <f aca="false">IF(ISNA(MATCH(TRIM(S240),L_EvidenceType,0)),0,BZ240)</f>
        <v>0</v>
      </c>
      <c r="BM240" s="61" t="str">
        <f aca="false">SUBSTITUTE(SUBSTITUTE(SUBSTITUTE(SUBSTITUTE(SUBSTITUTE(SUBSTITUTE(SUBSTITUTE(SUBSTITUTE(SUBSTITUTE(LOWER(Z240&amp;""),"1","0"),"2","0"),"3","0"),"4","0"),"5","0"),"6","0"),"7","0"),"8","0"),"9","0")</f>
        <v/>
      </c>
      <c r="BN240" s="61" t="str">
        <f aca="false">SUBSTITUTE(SUBSTITUTE(SUBSTITUTE(SUBSTITUTE(SUBSTITUTE(SUBSTITUTE(SUBSTITUTE(SUBSTITUTE(SUBSTITUTE(SUBSTITUTE(SUBSTITUTE(SUBSTITUTE(SUBSTITUTE(SUBSTITUTE(SUBSTITUTE(SUBSTITUTE(SUBSTITUTE(SUBSTITUTE(SUBSTITUTE(SUBSTITUTE(SUBSTITUTE(SUBSTITUTE(SUBSTITUTE(SUBSTITUTE(SUBSTITUTE(BM240,"b","a"),"c","a"),"d","a"),"e","a"),"f","a"),"g","a"),"h","a"),"i","a"),"j","a"),"k","a"),"l","a"),"m","a"),"n","a"),"o","a"),"p","a"),"q","a"),"r","a"),"s","a"),"t","a"),"u","a"),"v","a"),"w","a"),"x","a"),"y","a"),"z","a")</f>
        <v/>
      </c>
      <c r="BO240" s="61" t="str">
        <f aca="false">SUBSTITUTE(SUBSTITUTE(SUBSTITUTE(SUBSTITUTE(SUBSTITUTE(SUBSTITUTE(SUBSTITUTE(SUBSTITUTE(SUBSTITUTE(LOWER(W240&amp;""),"1","0"),"2","0"),"3","0"),"4","0"),"5","0"),"6","0"),"7","0"),"8","0"),"9","0")</f>
        <v/>
      </c>
      <c r="BP240" s="61" t="str">
        <f aca="false">SUBSTITUTE(SUBSTITUTE(SUBSTITUTE(SUBSTITUTE(SUBSTITUTE(SUBSTITUTE(SUBSTITUTE(SUBSTITUTE(SUBSTITUTE(SUBSTITUTE(SUBSTITUTE(SUBSTITUTE(SUBSTITUTE(SUBSTITUTE(SUBSTITUTE(SUBSTITUTE(SUBSTITUTE(SUBSTITUTE(SUBSTITUTE(SUBSTITUTE(SUBSTITUTE(SUBSTITUTE(SUBSTITUTE(SUBSTITUTE(SUBSTITUTE(BO240,"b","a"),"c","a"),"d","a"),"e","a"),"f","a"),"g","a"),"h","a"),"i","a"),"j","a"),"k","a"),"l","a"),"m","a"),"n","a"),"o","a"),"p","a"),"q","a"),"r","a"),"s","a"),"t","a"),"u","a"),"v","a"),"w","a"),"x","a"),"y","a"),"z","a")</f>
        <v/>
      </c>
      <c r="BQ240" s="61" t="n">
        <f aca="false">IFERROR(IF(AND(ISERROR(SEARCH(" mh"," "&amp;LOWER(W240))),ISNA(MATCH(LEFT(TRIM(BP240),255),{"0000a","000a","00a","0000aa","000aa","00aa","0aa","0000aaa","000aaa","00a00","0a00","0000-0000","00:00","a00","a0","00.00.0000","00/00/0000","00-00-0000","0000-00-00","0000/00/00","0000.00.00","00.00.00","00/00/00","00-00-00","0.00.0000","0/00/0000","0-00-0000"},0)),ISNA(MATCH(LEFT(TRIM(CA240),255),{"0000a","000a","00a","0000aa","000aa","00aa","0aa","0000aaa","000aaa","00a00","0a00","0000-0000","00:00","a00","a0","00.00.0000","00/00/0000","00-00-0000","0000-00-00","0000/00/00","0000.00.00","00.00.00","00/00/00","00-00-00","0.00.0000","0/00/0000","0-00-0000"},0)),LEN(CB240)&gt;=3,NOT(OR(SUBSTITUTE(CB240,"0","")="",AND(LEN(CB240)&gt;=4,CB240=REPT(LEFT(CB240),LEN(CB240))),ISNUMBER(MATCH(CB240,{"123","1234","12345","123456","1234567","12345678","0123","01234","012345","98765","987654","54321"},0)),AND(LEN(CB240)=8,LEFT(CB240,3)="202"))),OR(AND((LEN(CA240)-LEN(SUBSTITUTE(CA240,"a","")))&gt;=1,SUMPRODUCT(--ISNUMBER(SEARCH({"a0","a-0","a_0","a/0","a.0","a#0","0a","0-a","0_a","0/a"},BP240)))&gt;0),ISNUMBER(SEARCH("000000",BP240)))),1,0),0)</f>
        <v>0</v>
      </c>
      <c r="BR240" s="61" t="n">
        <f aca="false">IFERROR(LEN(SUBSTITUTE(CC240," ",""))-SUMPRODUCT((LEN(CC240)-LEN(SUBSTITUTE(CC240," "&amp;L_Role&amp;" "," ")))/(LEN(L_Role)+1)*LEN(L_Role)),0)</f>
        <v>0</v>
      </c>
      <c r="BS240" s="61" t="n">
        <f aca="false">IFERROR(LEN(SUBSTITUTE(CD240," ",""))-SUMPRODUCT((LEN(CD240)-LEN(SUBSTITUTE(CD240," "&amp;L_Role&amp;" "," ")))/(LEN(L_Role)+1)*LEN(L_Role)),0)</f>
        <v>0</v>
      </c>
      <c r="BT2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240,"revision",""),"version",""),"jan",""),"feb",""),"mar",""),"apr",""),"may",""),"jun",""),"jul",""),"aug",""),"sep",""),"oct",""),"nov",""),"dec",""),"utc",""),"gmt",""),"myt",""),"bst",""),"rev",""),"ver",""),"b","a"),"c","a"),"d","a"),"e","a"),"f","a"),"g","a"),"h","a"),"i","a"),"j","a"),"k","a"),"l","a"),"m","a"),"n","a"),"o","a"),"p","a"),"q","a"),"r","a"),"s","a"),"t","a"),"u","a"),"v","a"),"w","a"),"x","a"),"y","a"),"z","a")</f>
        <v/>
      </c>
      <c r="BU240" s="61" t="str">
        <f aca="false">SUBSTITUTE(SUBSTITUTE(SUBSTITUTE(SUBSTITUTE(SUBSTITUTE(SUBSTITUTE(SUBSTITUTE(SUBSTITUTE(SUBSTITUTE(SUBSTITUTE(LEFT(BM240,FIND("0",BM240&amp;"0")-1),"-",""),"_",""),"/",""),".",""),"#",""),"\\",""),":","")," ",""),"(",""),")","")</f>
        <v/>
      </c>
      <c r="BV240" s="61" t="n">
        <f aca="false">0</f>
        <v>0</v>
      </c>
      <c r="BW2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240&amp;""),"a",""),"b",""),"c",""),"d",""),"e",""),"f",""),"g",""),"h",""),"i",""),"j",""),"k",""),"l",""),"m",""),"n",""),"o",""),"p",""),"q",""),"r",""),"s",""),"t",""),"u",""),"v",""),"w",""),"x",""),"y",""),"z",""),"-",""),"_",""),"/",""),".",""),"#",""),"\\",""),":","")," ",""),"(",""),")","")</f>
        <v/>
      </c>
      <c r="BX240" s="61" t="str">
        <f aca="false">SUBSTITUTE(SUBSTITUTE(SUBSTITUTE(SUBSTITUTE(SUBSTITUTE(SUBSTITUTE(SUBSTITUTE(SUBSTITUTE(SUBSTITUTE(SUBSTITUTE(SUBSTITUTE(BM240,"0",""),"-",""),"_",""),"/",""),".",""),"#",""),"\\",""),":","")," ",""),"(",""),")","")</f>
        <v/>
      </c>
      <c r="BY240" s="62" t="n">
        <f aca="false">Q240-T12EarlyH/24</f>
        <v>46303.4166666667</v>
      </c>
      <c r="BZ240" s="61" t="n">
        <f aca="false">IFERROR(IF(IF(TRIM(S240)="Link / file path",AND(LEN(TRIM(Z240))&gt;=5,SUMPRODUCT(--ISNUMBER(SEARCH({"http","www.","\\",":\",".pdf",".jpg",".jpeg",".png",".heic",".xls",".doc",".msg",".eml",".ppt",".txt",".zip"},Z240)))&gt;0),AND(ISERROR(FIND(" ",TRIM(Z240))),NOT(OR(SUMPRODUCT(--ISNUMBER(FIND({",",";","&amp;","+"},Z240)))&gt;0,SUMPRODUCT(--ISNUMBER(SEARCH({"0/aa","0\\aa"},BN240)))&gt;0)),NOT(SUMPRODUCT(--ISNUMBER(SEARCH({"http","www.","\\",":\",".pdf",".jpg",".jpeg",".png",".heic",".xls",".doc",".msg",".eml",".ppt",".txt",".zip"},Z240)))&gt;0),NOT(LOWER(TRIM(Z240))=LOWER(Flights!$F$11)),ISNA(MATCH(BU240,{"mh","rev","revision","ver","version","v","r","a","b","seat","tray","row","gate","bay","stand","page","pg","item","line","no","cart","galley","flight","flt","table","box","bag","oven","etd","eta","std","sta","atd","ata","qty","pax","x","time","tel","ph","mob","day","wk","week","utc","gmt","myt","lt"},0)),NOT(OR(ISNUMBER(MATCH(LEFT(BN240,255),{"0000a","000a","00a","0000aa","000aa","00aa","0aa","0000aaa","000aaa","00a00","0a00","0000-0000","00:00","a00","a0","00.00.0000","00/00/0000","00-00-0000","0000-00-00","0000/00/00","0000.00.00","00.00.00","00/00/00","00-00-00","0.00.0000","0/00/0000","0-00-0000"},0)),ISNUMBER(MATCH(LEFT(BT240,255),{"0000a","000a","00a","0000aa","000aa","00aa","0aa","0000aaa","000aaa","00a00","0a00","0000-0000","00:00","a00","a0","00.00.0000","00/00/0000","00-00-0000","0000-00-00","0000/00/00","0000.00.00","00.00.00","00/00/00","00-00-00","0.00.0000","0/00/0000","0-00-0000"},0)))),NOT(OR(AND(BW240&lt;&gt;"",SUBSTITUTE(BW240,"0","")=""),AND(LEN(BW240)&gt;=4,BW240=REPT(LEFT(BW240),LEN(BW240))),ISNUMBER(MATCH(BW240,{"123","1234","12345","123456","1234567","12345678","0123","01234","012345","98765","987654","54321"},0)),ISNUMBER(MATCH(BX240,{"x","xx","xxx","xxxx","xxxxx","abc","abcd","nil","na","nan","test","tbc","tba","tbd","dummy","sample","example","eg","zz","zzz","none","null","xyz","qwe","asd","id","ref"},0)),AND(LEN(BW240)=8,BX240="",OR(LEFT(BW240,3)="202",ISNUMBER(MATCH(RIGHT(BW240,4),{"2025","2026","2027"},0)))))),OR(AND((LEN(BT240)-LEN(SUBSTITUTE(BT240,"a","")))&gt;=1,(LEN(BN240)-LEN(SUBSTITUTE(BN240,"0","")))&gt;=2,SUMPRODUCT(--ISNUMBER(SEARCH({"a0","a-0","a_0","a/0","a.0","a#0","0a","0-a","0_a","0/a"},BN240)))&gt;0),AND((LEN(BN240)-LEN(SUBSTITUTE(BN240,"a","")))=0,(LEN(BN240)-LEN(SUBSTITUTE(BN240,"0","")))&gt;=5)))),1,0),0)</f>
        <v>0</v>
      </c>
      <c r="CA2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240,"revision",""),"version",""),"jan",""),"feb",""),"mar",""),"apr",""),"may",""),"jun",""),"jul",""),"aug",""),"sep",""),"oct",""),"nov",""),"dec",""),"utc",""),"gmt",""),"myt",""),"bst",""),"rev",""),"ver",""),"b","a"),"c","a"),"d","a"),"e","a"),"f","a"),"g","a"),"h","a"),"i","a"),"j","a"),"k","a"),"l","a"),"m","a"),"n","a"),"o","a"),"p","a"),"q","a"),"r","a"),"s","a"),"t","a"),"u","a"),"v","a"),"w","a"),"x","a"),"y","a"),"z","a")</f>
        <v/>
      </c>
      <c r="CB2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240&amp;""),"a",""),"b",""),"c",""),"d",""),"e",""),"f",""),"g",""),"h",""),"i",""),"j",""),"k",""),"l",""),"m",""),"n",""),"o",""),"p",""),"q",""),"r",""),"s",""),"t",""),"u",""),"v",""),"w",""),"x",""),"y",""),"z",""),"-",""),"_",""),"/",""),".",""),"#",""),"\\",""),":","")," ",""),"(",""),")","")</f>
        <v/>
      </c>
      <c r="CC240" s="0" t="str">
        <f aca="false">" "&amp;TRIM(SUBSTITUTE(SUBSTITUTE(SUBSTITUTE(SUBSTITUTE(SUBSTITUTE(SUBSTITUTE(SUBSTITUTE(SUBSTITUTE(SUBSTITUTE(SUBSTITUTE(SUBSTITUTE(SUBSTITUTE(SUBSTITUTE(SUBSTITUTE(SUBSTITUTE(SUBSTITUTE(SUBSTITUTE(SUBSTITUTE(SUBSTITUTE(SUBSTITUTE(SUBSTITUTE(SUBSTITUTE(SUBSTITUTE(SUBSTITUTE(LOWER(T240&amp;""),CHAR(10)," "),CHAR(13)," "),CHAR(9)," "),CHAR(160)," "),"."," "),","," "),"-"," "),"/"," "),"("," "),")"," "),":"," "),";"," "),"_"," "),"–"," "),"?"," "),"!"," "),"*"," "),"["," "),"]"," "),"'"," "),"#"," "),"+"," "),"&amp;"," "),"\"," "))&amp;" "</f>
        <v>  </v>
      </c>
      <c r="CD240" s="0" t="str">
        <f aca="false">" "&amp;TRIM(SUBSTITUTE(SUBSTITUTE(SUBSTITUTE(SUBSTITUTE(SUBSTITUTE(SUBSTITUTE(SUBSTITUTE(SUBSTITUTE(SUBSTITUTE(SUBSTITUTE(SUBSTITUTE(SUBSTITUTE(SUBSTITUTE(SUBSTITUTE(SUBSTITUTE(SUBSTITUTE(SUBSTITUTE(SUBSTITUTE(SUBSTITUTE(SUBSTITUTE(SUBSTITUTE(SUBSTITUTE(SUBSTITUTE(SUBSTITUTE(LOWER(AE240&amp;""),CHAR(10)," "),CHAR(13)," "),CHAR(9)," "),CHAR(160)," "),"."," "),","," "),"-"," "),"/"," "),"("," "),")"," "),":"," "),";"," "),"_"," "),"–"," "),"?"," "),"!"," "),"*"," "),"["," "),"]"," "),"'"," "),"#"," "),"+"," "),"&amp;"," "),"\"," "))&amp;" "</f>
        <v>  </v>
      </c>
      <c r="CE240" s="68" t="n">
        <f aca="false">IFERROR(IF(AND(LEN(AU240)&gt;0,LEN(AU240)=LEN(AX240),OR(TRIM(MID(SUBSTITUTE(TRIM(CC240)," ",REPT(" ",60)),1,60))="",ISNUMBER(SEARCH(" "&amp;TRIM(MID(SUBSTITUTE(TRIM(CC240)," ",REPT(" ",60)),1,60))&amp;" ",CD240))),OR(TRIM(MID(SUBSTITUTE(TRIM(CC240)," ",REPT(" ",60)),61,60))="",ISNUMBER(SEARCH(" "&amp;TRIM(MID(SUBSTITUTE(TRIM(CC240)," ",REPT(" ",60)),61,60))&amp;" ",CD240))),OR(TRIM(MID(SUBSTITUTE(TRIM(CC240)," ",REPT(" ",60)),121,60))="",ISNUMBER(SEARCH(" "&amp;TRIM(MID(SUBSTITUTE(TRIM(CC240)," ",REPT(" ",60)),121,60))&amp;" ",CD240)))),1,0),0)</f>
        <v>0</v>
      </c>
      <c r="CG240" s="68" t="n">
        <f aca="false">IFERROR(LEN(SUBSTITUTE(BF240," ",""))-SUMPRODUCT((LEN(BF240)-LEN(SUBSTITUTE(BF240," "&amp;L_NAFiller&amp;" "," ")))/(LEN(L_NAFiller)+1)*LEN(L_NAFiller)),0)</f>
        <v>0</v>
      </c>
    </row>
    <row r="241" customFormat="false" ht="41.25" hidden="false" customHeight="true" outlineLevel="0" collapsed="false">
      <c r="A241" s="57" t="s">
        <v>808</v>
      </c>
      <c r="B241" s="57" t="s">
        <v>235</v>
      </c>
      <c r="C241" s="57" t="str">
        <f aca="false">Flights!$F$11</f>
        <v>MH0003</v>
      </c>
      <c r="D241" s="58" t="n">
        <f aca="false">Flights!$D$11</f>
        <v>46304</v>
      </c>
      <c r="E241" s="57" t="str">
        <f aca="false">Flights!$G$11&amp;"-"&amp;Flights!$H$11</f>
        <v>LHR-KUL</v>
      </c>
      <c r="F241" s="57" t="str">
        <f aca="false">Flights!$K$11</f>
        <v>BC</v>
      </c>
      <c r="G241" s="57" t="s">
        <v>420</v>
      </c>
      <c r="H241" s="57" t="s">
        <v>378</v>
      </c>
      <c r="I241" s="57" t="s">
        <v>447</v>
      </c>
      <c r="J241" s="57" t="s">
        <v>526</v>
      </c>
      <c r="K241" s="67" t="s">
        <v>449</v>
      </c>
      <c r="L241" s="67" t="s">
        <v>750</v>
      </c>
      <c r="M241" s="67" t="s">
        <v>451</v>
      </c>
      <c r="N241" s="67" t="s">
        <v>383</v>
      </c>
      <c r="O241" s="67" t="s">
        <v>452</v>
      </c>
      <c r="P241" s="57" t="s">
        <v>186</v>
      </c>
      <c r="Q241" s="59" t="n">
        <f aca="false">ROUND((Flights!$AE$11)*1440,0)/1440</f>
        <v>46303.9166666667</v>
      </c>
      <c r="R241" s="59" t="n">
        <f aca="false">Q241+(IF(AND(INDEX(TZ_DSTS,MATCH(P241,TZ_STN,0))&lt;&gt;"",Q241&gt;=INDEX(TZ_DSTS,MATCH(P241,TZ_STN,0)),Q241&lt;INDEX(TZ_DSTE,MATCH(P241,TZ_STN,0))),INDEX(TZ_DST,MATCH(P241,TZ_STN,0)),INDEX(TZ_STD,MATCH(P241,TZ_STN,0))))/24</f>
        <v>46303.9583333333</v>
      </c>
      <c r="S241" s="60"/>
      <c r="T241" s="60"/>
      <c r="U241" s="60"/>
      <c r="V241" s="60"/>
      <c r="W241" s="61"/>
      <c r="X241" s="60"/>
      <c r="Y241" s="60"/>
      <c r="Z241" s="60"/>
      <c r="AA241" s="60"/>
      <c r="AB241" s="60"/>
      <c r="AC241" s="60"/>
      <c r="AD241" s="66"/>
      <c r="AE241" s="60"/>
      <c r="AF241" s="61" t="str">
        <f aca="false">IF(AND(ISNUMBER(X241),ISNUMBER(Y241)),Y241-X241,"")</f>
        <v/>
      </c>
      <c r="AG241" s="62" t="str">
        <f aca="false">IF(ISNUMBER(AD241),AD241-(IF(AND(INDEX(TZ_DSTS,MATCH(P241,TZ_STN,0))&lt;&gt;"",(AD241-INDEX(TZ_STD,MATCH(P241,TZ_STN,0))/24)&gt;=INDEX(TZ_DSTS,MATCH(P241,TZ_STN,0)),(AD241-INDEX(TZ_STD,MATCH(P241,TZ_STN,0))/24)&lt;INDEX(TZ_DSTE,MATCH(P241,TZ_STN,0))),INDEX(TZ_DST,MATCH(P241,TZ_STN,0)),INDEX(TZ_STD,MATCH(P241,TZ_STN,0))))/24,"")</f>
        <v/>
      </c>
      <c r="AH241" s="65" t="str">
        <f aca="false">IFERROR(IF(N241="N/A – rule",IF(OR(TRIM(U241)="",TRIM(U241)="N/A",TRIM(U241)="Not started"),"N/A – RULE","INVALID – this check does not apply to this aircraft: clear the status (or correct the fleet on Flights)"),IF(TRIM(U241)="N/A",IF(AT241=0,"INVALID – N/A not permitted for this check",IF(AND(TRIM(AB241)&lt;&gt;"",TRIM(AB241)&lt;&gt;"Closed"),"INVALID – corrective action still open",IF(AND(NOT(OR(LEN(AZ241)&lt;15,ISNUMBER(MATCH(AZ241,L_Placeholder,0)))),BK241=0,CG241&gt;=8,NOT(OR(LEN(AU241)&lt;2,ISNUMBER(MATCH(AU241,L_Placeholder,0)))),BR241&gt;=3,NOT(OR(LEN(AX241)&lt;2,ISNUMBER(MATCH(AX241,L_Placeholder,0)))),BS241&gt;=3,TRIM(AE241)&lt;&gt;TRIM(T241),AX241&lt;&gt;AU241,CE241=0),"N/A – JUSTIFIED","INVALID – N/A needs a real, settled reason (not 'not applicable' / 'as above' / TBC), a named PIC and a different named verifier"))),IF(OR(TRIM(U241)="Pass",TRIM(U241)="Pass after CA"),IF(NOT(ISNUMBER(AD241)),"INVALID – completion time missing",IF(OR(OR(LEN(AU241)&lt;2,ISNUMBER(MATCH(AU241,L_Placeholder,0))),BR241&lt;3),"INVALID – PIC missing or not a named person (a role such as QA / CSM is not a name)",IF(OR(LEN(AV241)&lt;2,ISNUMBER(MATCH(AV241,L_Placeholder,0))),"INVALID – result / assessment missing",IF(OR(OR(LEN(AW241)&lt;3,ISNUMBER(MATCH(AW241,L_Placeholder,0))),SUMPRODUCT(--ISNUMBER(SEARCH(" "&amp;L_EvidencePhrase&amp;" ",BD241)))&gt;0,BI241=1),"INVALID – evidence missing, placeholder or not yet on file",IF(ISNA(MATCH(TRIM(S241),L_EvidenceType,0)),"INVALID – choose the evidence type from the list (column S)",IF(BL241=0,"INVALID – evidence ID must be the record's own ID only (e.g. SF-2210, IMG_2231, 1045521); a link / file name needs type 'Link / file path'",IF(OR(OR(LEN(AX241)&lt;2,ISNUMBER(MATCH(AX241,L_Placeholder,0))),BS241&lt;3),"INVALID – verifier missing or not a named person (a role such as QA / CSM is not a name)",IF(OR(AX241=AU241,CE241=1,AND(LEN(AU241)&gt;=4,ISNUMBER(SEARCH(AU241,AX241))),AND(LEN(AX241)&gt;=4,ISNUMBER(SEARCH(AX241,AU241)))),"INVALID – verifier must be a different, named person (not the PIC or a role)",IF(BH241=1,"INVALID – result not yet available (awaiting / TBC)",IF(BG241=1,"INVALID – result describes a problem: record Fail, then Pass after CA (or reword if it is not a problem)",IF(BV241=1,"INVALID – wording says not on board: an on-board confirmation needs the item loaded",IF(AND(AQ241=1,OR(OR(LEN(AY241)&lt;3,ISNUMBER(MATCH(AY241,L_Placeholder,0))),BJ241=1,BQ241=0)),"INVALID – batch ID missing, placeholder or not an ID (e.g. PASB-261008-BC-017)",IF(AND(AR241=1,OR(NOT(ISNUMBER(X241)),NOT(ISNUMBER(Y241)))),"INVALID – expected/actual qty missing",IF(AND(AR241=1,OR(X241&lt;=0,Y241&lt;0)),"INVALID – expected qty must be above 0 and actual not negative",IF(BB241&lt;&gt;"",BB241,IF(AND(AS241=1,Documents!$J$11&lt;&gt;"ON FILE"),"INVALID – GLD not on file (Documents sheet)",IF(AND(AS241=2,Documents!$O$11&lt;&gt;"ON FILE"),"INVALID – menu checklist not on file (Documents sheet)",IF(AND(AS241=3,NOT(ISNUMBER(Flights!$AX$11))),"INVALID – enter carrying flight KUL departure (Flights AX)",IF(AND(AS241=3,OR(Flights!$AZ$11&gt;Flights!$AA$11,Flights!$AX$11&lt;Flights!$AA$11-3)),"INVALID – carrying flight (Flights AX) cannot arrive before this leg's STD, or is over 3 days early",IF(AG241&gt;AsOfUTC,"INVALID – completion time is in the future",IF(AND(ISNUMBER(BY241),AG241&lt;BY241),IF(H241="Physical uplift","INVALID – before uplift window (cannot confirm loading)","INVALID – before valid window"),IF(AG241&gt;Flights!$AA$11,"INVALID – completed after departure (cannot establish readiness)",IF(AND(H241="Preparation",AG241&gt;=IF(ISNUMBER(Flights!$BA$11),MIN(Flights!$BA$11,Flights!$AA$11),Flights!$AA$11)),"INVALID – completed after loading / departure (cannot establish readiness)",IF(AND(H241="Physical uplift",AG241&gt;Q241),"INVALID – recorded after the loading flight departed",IF(AG241&gt;Q241,"COMPLETE – LATE","COMPLETE"))))))))))))))))))))))))),IF(TRIM(U241)="Fail","FAIL – DISCREPANCY",IF(AND(TRIM(U241)&lt;&gt;"",TRIM(U241)&lt;&gt;"Not started",TRIM(U241)&lt;&gt;"In progress"),"INVALID – unrecognised status (use the list)",IF(AsOfUTC&gt;Q241,"OVERDUE",IF(N241="Clarification required","OPEN – CLARIFICATION","OPEN"))))))),"INVALID – error value in an input cell")</f>
        <v>OPEN</v>
      </c>
      <c r="AI241" s="61" t="n">
        <f aca="false">IF(OR(AH241="N/A – RULE",AH241="N/A – JUSTIFIED"),0,1)</f>
        <v>1</v>
      </c>
      <c r="AJ241" s="61" t="n">
        <f aca="false">IF(LEFT(AH241,8)="COMPLETE",1,0)</f>
        <v>0</v>
      </c>
      <c r="AK241" s="61" t="n">
        <f aca="false">IF(AND(AI241=1,AJ241=0,AsOfUTC&gt;Q241),1,0)</f>
        <v>0</v>
      </c>
      <c r="AL241" s="61" t="n">
        <f aca="false">IFERROR(IF(AND(AI241=1,OR(TRIM(U241)="Fail",AND(TRIM(AB241)&lt;&gt;"",TRIM(AB241)&lt;&gt;"Closed"),AND(ISNUMBER(AF241),AF241&lt;&gt;0,TRIM(U241)&lt;&gt;"Pass after CA"))),1,0),1)</f>
        <v>0</v>
      </c>
      <c r="AM241" s="61" t="n">
        <f aca="false">IF(LEFT(AH241,7)="INVALID",1,0)</f>
        <v>0</v>
      </c>
      <c r="AN241" s="61" t="n">
        <f aca="false">IF(AND(N241="Clarification required",AI241=1,AJ241=0),1,0)</f>
        <v>0</v>
      </c>
      <c r="AO241" s="61" t="str">
        <f aca="false">IF(AK241=1,SUM(AK$5:AK241),"")</f>
        <v/>
      </c>
      <c r="AP241" s="61" t="str">
        <f aca="false">IF(AL241=1,SUM(AL$5:AL241),"")</f>
        <v/>
      </c>
      <c r="AQ241" s="61" t="n">
        <v>0</v>
      </c>
      <c r="AR241" s="61" t="n">
        <v>0</v>
      </c>
      <c r="AS241" s="61" t="n">
        <v>0</v>
      </c>
      <c r="AT241" s="61" t="n">
        <v>0</v>
      </c>
      <c r="AU241" s="61" t="str">
        <f aca="false">SUBSTITUTE(SUBSTITUTE(SUBSTITUTE(SUBSTITUTE(SUBSTITUTE(SUBSTITUTE(SUBSTITUTE(SUBSTITUTE(SUBSTITUTE(SUBSTITUTE(SUBSTITUTE(SUBSTITUTE(SUBSTITUTE(SUBSTITUTE(SUBSTITUTE(SUBSTITUTE(LOWER(T241&amp;""),CHAR(10),""),CHAR(13),""),CHAR(9),""),CHAR(160),"")," ",""),".",""),"-",""),"/",""),"?",""),"_",""),",",""),"[",""),"]",""),"(",""),")",""),"*","")</f>
        <v/>
      </c>
      <c r="AV241" s="61" t="str">
        <f aca="false">SUBSTITUTE(SUBSTITUTE(SUBSTITUTE(SUBSTITUTE(SUBSTITUTE(SUBSTITUTE(SUBSTITUTE(SUBSTITUTE(SUBSTITUTE(SUBSTITUTE(SUBSTITUTE(SUBSTITUTE(SUBSTITUTE(SUBSTITUTE(SUBSTITUTE(SUBSTITUTE(LOWER(V241&amp;""),CHAR(10),""),CHAR(13),""),CHAR(9),""),CHAR(160),"")," ",""),".",""),"-",""),"/",""),"?",""),"_",""),",",""),"[",""),"]",""),"(",""),")",""),"*","")</f>
        <v/>
      </c>
      <c r="AW241" s="61" t="str">
        <f aca="false">SUBSTITUTE(SUBSTITUTE(SUBSTITUTE(SUBSTITUTE(SUBSTITUTE(SUBSTITUTE(SUBSTITUTE(SUBSTITUTE(SUBSTITUTE(SUBSTITUTE(SUBSTITUTE(SUBSTITUTE(SUBSTITUTE(SUBSTITUTE(SUBSTITUTE(SUBSTITUTE(LOWER(Z241&amp;""),CHAR(10),""),CHAR(13),""),CHAR(9),""),CHAR(160),"")," ",""),".",""),"-",""),"/",""),"?",""),"_",""),",",""),"[",""),"]",""),"(",""),")",""),"*","")</f>
        <v/>
      </c>
      <c r="AX241" s="61" t="str">
        <f aca="false">SUBSTITUTE(SUBSTITUTE(SUBSTITUTE(SUBSTITUTE(SUBSTITUTE(SUBSTITUTE(SUBSTITUTE(SUBSTITUTE(SUBSTITUTE(SUBSTITUTE(SUBSTITUTE(SUBSTITUTE(SUBSTITUTE(SUBSTITUTE(SUBSTITUTE(SUBSTITUTE(LOWER(AE241&amp;""),CHAR(10),""),CHAR(13),""),CHAR(9),""),CHAR(160),"")," ",""),".",""),"-",""),"/",""),"?",""),"_",""),",",""),"[",""),"]",""),"(",""),")",""),"*","")</f>
        <v/>
      </c>
      <c r="AY241" s="61" t="str">
        <f aca="false">SUBSTITUTE(SUBSTITUTE(SUBSTITUTE(SUBSTITUTE(SUBSTITUTE(SUBSTITUTE(SUBSTITUTE(SUBSTITUTE(SUBSTITUTE(SUBSTITUTE(SUBSTITUTE(SUBSTITUTE(SUBSTITUTE(SUBSTITUTE(SUBSTITUTE(SUBSTITUTE(LOWER(W241&amp;""),CHAR(10),""),CHAR(13),""),CHAR(9),""),CHAR(160),"")," ",""),".",""),"-",""),"/",""),"?",""),"_",""),",",""),"[",""),"]",""),"(",""),")",""),"*","")</f>
        <v/>
      </c>
      <c r="AZ241" s="61" t="str">
        <f aca="false">SUBSTITUTE(SUBSTITUTE(SUBSTITUTE(SUBSTITUTE(SUBSTITUTE(SUBSTITUTE(SUBSTITUTE(SUBSTITUTE(SUBSTITUTE(SUBSTITUTE(SUBSTITUTE(SUBSTITUTE(SUBSTITUTE(SUBSTITUTE(SUBSTITUTE(SUBSTITUTE(LOWER(AC241&amp;""),CHAR(10),""),CHAR(13),""),CHAR(9),""),CHAR(160),"")," ",""),".",""),"-",""),"/",""),"?",""),"_",""),",",""),"[",""),"]",""),"(",""),")",""),"*","")</f>
        <v/>
      </c>
      <c r="BA241" s="61" t="str">
        <f aca="false">SUBSTITUTE(SUBSTITUTE(SUBSTITUTE(SUBSTITUTE(SUBSTITUTE(SUBSTITUTE(SUBSTITUTE(SUBSTITUTE(SUBSTITUTE(SUBSTITUTE(SUBSTITUTE(SUBSTITUTE(SUBSTITUTE(SUBSTITUTE(SUBSTITUTE(SUBSTITUTE(LOWER(AA241&amp;""),CHAR(10),""),CHAR(13),""),CHAR(9),""),CHAR(160),"")," ",""),".",""),"-",""),"/",""),"?",""),"_",""),",",""),"[",""),"]",""),"(",""),")",""),"*","")</f>
        <v/>
      </c>
      <c r="BB241" s="61" t="str">
        <f aca="false">IF(AND(TRIM(U241)="Pass",ISNUMBER(AF241)),IF(AF241&lt;&gt;0,"INVALID – qty variance: use Fail or Pass after CA",""),"")&amp;IF(AND(TRIM(U241)="Pass after CA",ISNUMBER(AF241)),IF(AF241&lt;&gt;0,"INVALID – after the corrective action the actual qty must equal expected (update Actual)",""),"")&amp;IF(AND(TRIM(U241)="Pass",TRIM(AB241)&lt;&gt;"",TRIM(AB241)&lt;&gt;"Closed"),"INVALID – corrective action not closed: use Fail, then Pass after CA","")&amp;IF(AND(LEN(BA241)&gt;=2,ISNA(MATCH(LEFT(BA241,255),L_Placeholder,0)),TRIM(AB241)=""),"INVALID – CA status missing for the recorded corrective action","")&amp;IF(AND(TRIM(U241)="Pass after CA",OR(OR(LEN(BA241)&lt;5,ISNUMBER(MATCH(BA241,L_Placeholder,0))),TRIM(AB241)&lt;&gt;"Closed")),"INVALID – corrective action not recorded/closed","")</f>
        <v/>
      </c>
      <c r="BC241" s="61" t="str">
        <f aca="false">" "&amp;TRIM(SUBSTITUTE(SUBSTITUTE(SUBSTITUTE(SUBSTITUTE(SUBSTITUTE(SUBSTITUTE(SUBSTITUTE(SUBSTITUTE(SUBSTITUTE(SUBSTITUTE(SUBSTITUTE(SUBSTITUTE(SUBSTITUTE(SUBSTITUTE(SUBSTITUTE(SUBSTITUTE(SUBSTITUTE(SUBSTITUTE(SUBSTITUTE(SUBSTITUTE(SUBSTITUTE(SUBSTITUTE(SUBSTITUTE(SUBSTITUTE(LOWER(V241&amp;""),CHAR(10)," "),CHAR(13)," "),CHAR(9)," "),CHAR(160)," "),"."," "),","," "),"-"," "),"/"," "),"("," "),")"," "),":"," "),";"," "),"_"," "),"–"," "),"?"," "),"!"," "),"*"," "),"["," "),"]"," "),"'"," "),"#"," "),"+"," "),"&amp;"," "),"\"," "))&amp;" "</f>
        <v>  </v>
      </c>
      <c r="BD241" s="61" t="str">
        <f aca="false">" "&amp;TRIM(SUBSTITUTE(SUBSTITUTE(SUBSTITUTE(SUBSTITUTE(SUBSTITUTE(SUBSTITUTE(SUBSTITUTE(SUBSTITUTE(SUBSTITUTE(SUBSTITUTE(SUBSTITUTE(SUBSTITUTE(SUBSTITUTE(SUBSTITUTE(SUBSTITUTE(SUBSTITUTE(SUBSTITUTE(SUBSTITUTE(SUBSTITUTE(SUBSTITUTE(SUBSTITUTE(SUBSTITUTE(SUBSTITUTE(SUBSTITUTE(LOWER(Z241&amp;""),CHAR(10)," "),CHAR(13)," "),CHAR(9)," "),CHAR(160)," "),"."," "),","," "),"-"," "),"/"," "),"("," "),")"," "),":"," "),";"," "),"_"," "),"–"," "),"?"," "),"!"," "),"*"," "),"["," "),"]"," "),"'"," "),"#"," "),"+"," "),"&amp;"," "),"\"," "))&amp;" "</f>
        <v>  </v>
      </c>
      <c r="BE241" s="61" t="str">
        <f aca="false">" "&amp;TRIM(SUBSTITUTE(SUBSTITUTE(SUBSTITUTE(SUBSTITUTE(SUBSTITUTE(SUBSTITUTE(SUBSTITUTE(SUBSTITUTE(SUBSTITUTE(SUBSTITUTE(SUBSTITUTE(SUBSTITUTE(SUBSTITUTE(SUBSTITUTE(SUBSTITUTE(SUBSTITUTE(SUBSTITUTE(SUBSTITUTE(SUBSTITUTE(SUBSTITUTE(SUBSTITUTE(SUBSTITUTE(SUBSTITUTE(SUBSTITUTE(LOWER(W241&amp;""),CHAR(10)," "),CHAR(13)," "),CHAR(9)," "),CHAR(160)," "),"."," "),","," "),"-"," "),"/"," "),"("," "),")"," "),":"," "),";"," "),"_"," "),"–"," "),"?"," "),"!"," "),"*"," "),"["," "),"]"," "),"'"," "),"#"," "),"+"," "),"&amp;"," "),"\"," "))&amp;" "</f>
        <v>  </v>
      </c>
      <c r="BF241" s="61" t="str">
        <f aca="false">" "&amp;TRIM(SUBSTITUTE(SUBSTITUTE(SUBSTITUTE(SUBSTITUTE(SUBSTITUTE(SUBSTITUTE(SUBSTITUTE(SUBSTITUTE(SUBSTITUTE(SUBSTITUTE(SUBSTITUTE(SUBSTITUTE(SUBSTITUTE(SUBSTITUTE(SUBSTITUTE(SUBSTITUTE(SUBSTITUTE(SUBSTITUTE(SUBSTITUTE(SUBSTITUTE(SUBSTITUTE(SUBSTITUTE(SUBSTITUTE(SUBSTITUTE(LOWER(AC241&amp;""),CHAR(10)," "),CHAR(13)," "),CHAR(9)," "),CHAR(160)," "),"."," "),","," "),"-"," "),"/"," "),"("," "),")"," "),":"," "),";"," "),"_"," "),"–"," "),"?"," "),"!"," "),"*"," "),"["," "),"]"," "),"'"," "),"#"," "),"+"," "),"&amp;"," "),"\"," "))&amp;" "</f>
        <v>  </v>
      </c>
      <c r="BG241" s="61" t="n">
        <f aca="false">IFERROR(IF(AND(TRIM(U241)="Pass",SUMPRODUCT((LEN(BC241)-LEN(SUBSTITUTE(BC241," "&amp;L_ResultBad&amp;" "," ")))/(LEN(L_ResultBad)+1))&gt;SUMPRODUCT((LEN(BC241)-LEN(SUBSTITUTE(BC241," "&amp;L_NegPhrase&amp;" "," ")))/(LEN(L_NegPhrase)+1))),1,0),0)</f>
        <v>0</v>
      </c>
      <c r="BH241" s="61" t="n">
        <f aca="false">IFERROR(IF(SUMPRODUCT((LEN(BC241)-LEN(SUBSTITUTE(BC241," "&amp;L_Pending&amp;" "," ")))/(LEN(L_Pending)+1))&gt;SUMPRODUCT((LEN(BC241)-LEN(SUBSTITUTE(BC241," "&amp;L_PendNeg&amp;" "," ")))/(LEN(L_PendNeg)+1))+SUMPRODUCT((LEN(BC241)-LEN(SUBSTITUTE(BC241," "&amp;L_PendPrep&amp;" "," ")))/(LEN(L_PendPrep)+1)),1,0),1)</f>
        <v>0</v>
      </c>
      <c r="BI241" s="61" t="n">
        <f aca="false">IFERROR(IF(SUMPRODUCT((LEN(BD241)-LEN(SUBSTITUTE(BD241," "&amp;L_PendStrict&amp;" "," ")))/(LEN(L_PendStrict)+1))&gt;SUMPRODUCT((LEN(BD241)-LEN(SUBSTITUTE(BD241," "&amp;L_PendNeg&amp;" "," ")))/(LEN(L_PendNeg)+1)),1,0),1)</f>
        <v>0</v>
      </c>
      <c r="BJ241" s="61" t="n">
        <f aca="false">IFERROR(IF(SUMPRODUCT((LEN(BE241)-LEN(SUBSTITUTE(BE241," "&amp;L_Pending&amp;" "," ")))/(LEN(L_Pending)+1))&gt;SUMPRODUCT((LEN(BE241)-LEN(SUBSTITUTE(BE241," "&amp;L_PendNeg&amp;" "," ")))/(LEN(L_PendNeg)+1))+SUMPRODUCT((LEN(BE241)-LEN(SUBSTITUTE(BE241," "&amp;L_PendPrep&amp;" "," ")))/(LEN(L_PendPrep)+1)),1,0),1)</f>
        <v>0</v>
      </c>
      <c r="BK241" s="61" t="n">
        <f aca="false">IFERROR(IF(SUMPRODUCT((LEN(BF241)-LEN(SUBSTITUTE(BF241," "&amp;L_PendStrict&amp;" "," ")))/(LEN(L_PendStrict)+1))&gt;SUMPRODUCT((LEN(BF241)-LEN(SUBSTITUTE(BF241," "&amp;L_PendNeg&amp;" "," ")))/(LEN(L_PendNeg)+1)),1,0),1)</f>
        <v>0</v>
      </c>
      <c r="BL241" s="61" t="n">
        <f aca="false">IF(ISNA(MATCH(TRIM(S241),L_EvidenceType,0)),0,BZ241)</f>
        <v>0</v>
      </c>
      <c r="BM241" s="61" t="str">
        <f aca="false">SUBSTITUTE(SUBSTITUTE(SUBSTITUTE(SUBSTITUTE(SUBSTITUTE(SUBSTITUTE(SUBSTITUTE(SUBSTITUTE(SUBSTITUTE(LOWER(Z241&amp;""),"1","0"),"2","0"),"3","0"),"4","0"),"5","0"),"6","0"),"7","0"),"8","0"),"9","0")</f>
        <v/>
      </c>
      <c r="BN241" s="61" t="str">
        <f aca="false">SUBSTITUTE(SUBSTITUTE(SUBSTITUTE(SUBSTITUTE(SUBSTITUTE(SUBSTITUTE(SUBSTITUTE(SUBSTITUTE(SUBSTITUTE(SUBSTITUTE(SUBSTITUTE(SUBSTITUTE(SUBSTITUTE(SUBSTITUTE(SUBSTITUTE(SUBSTITUTE(SUBSTITUTE(SUBSTITUTE(SUBSTITUTE(SUBSTITUTE(SUBSTITUTE(SUBSTITUTE(SUBSTITUTE(SUBSTITUTE(SUBSTITUTE(BM241,"b","a"),"c","a"),"d","a"),"e","a"),"f","a"),"g","a"),"h","a"),"i","a"),"j","a"),"k","a"),"l","a"),"m","a"),"n","a"),"o","a"),"p","a"),"q","a"),"r","a"),"s","a"),"t","a"),"u","a"),"v","a"),"w","a"),"x","a"),"y","a"),"z","a")</f>
        <v/>
      </c>
      <c r="BO241" s="61" t="str">
        <f aca="false">SUBSTITUTE(SUBSTITUTE(SUBSTITUTE(SUBSTITUTE(SUBSTITUTE(SUBSTITUTE(SUBSTITUTE(SUBSTITUTE(SUBSTITUTE(LOWER(W241&amp;""),"1","0"),"2","0"),"3","0"),"4","0"),"5","0"),"6","0"),"7","0"),"8","0"),"9","0")</f>
        <v/>
      </c>
      <c r="BP241" s="61" t="str">
        <f aca="false">SUBSTITUTE(SUBSTITUTE(SUBSTITUTE(SUBSTITUTE(SUBSTITUTE(SUBSTITUTE(SUBSTITUTE(SUBSTITUTE(SUBSTITUTE(SUBSTITUTE(SUBSTITUTE(SUBSTITUTE(SUBSTITUTE(SUBSTITUTE(SUBSTITUTE(SUBSTITUTE(SUBSTITUTE(SUBSTITUTE(SUBSTITUTE(SUBSTITUTE(SUBSTITUTE(SUBSTITUTE(SUBSTITUTE(SUBSTITUTE(SUBSTITUTE(BO241,"b","a"),"c","a"),"d","a"),"e","a"),"f","a"),"g","a"),"h","a"),"i","a"),"j","a"),"k","a"),"l","a"),"m","a"),"n","a"),"o","a"),"p","a"),"q","a"),"r","a"),"s","a"),"t","a"),"u","a"),"v","a"),"w","a"),"x","a"),"y","a"),"z","a")</f>
        <v/>
      </c>
      <c r="BQ241" s="61" t="n">
        <f aca="false">IFERROR(IF(AND(ISERROR(SEARCH(" mh"," "&amp;LOWER(W241))),ISNA(MATCH(LEFT(TRIM(BP241),255),{"0000a","000a","00a","0000aa","000aa","00aa","0aa","0000aaa","000aaa","00a00","0a00","0000-0000","00:00","a00","a0","00.00.0000","00/00/0000","00-00-0000","0000-00-00","0000/00/00","0000.00.00","00.00.00","00/00/00","00-00-00","0.00.0000","0/00/0000","0-00-0000"},0)),ISNA(MATCH(LEFT(TRIM(CA241),255),{"0000a","000a","00a","0000aa","000aa","00aa","0aa","0000aaa","000aaa","00a00","0a00","0000-0000","00:00","a00","a0","00.00.0000","00/00/0000","00-00-0000","0000-00-00","0000/00/00","0000.00.00","00.00.00","00/00/00","00-00-00","0.00.0000","0/00/0000","0-00-0000"},0)),LEN(CB241)&gt;=3,NOT(OR(SUBSTITUTE(CB241,"0","")="",AND(LEN(CB241)&gt;=4,CB241=REPT(LEFT(CB241),LEN(CB241))),ISNUMBER(MATCH(CB241,{"123","1234","12345","123456","1234567","12345678","0123","01234","012345","98765","987654","54321"},0)),AND(LEN(CB241)=8,LEFT(CB241,3)="202"))),OR(AND((LEN(CA241)-LEN(SUBSTITUTE(CA241,"a","")))&gt;=1,SUMPRODUCT(--ISNUMBER(SEARCH({"a0","a-0","a_0","a/0","a.0","a#0","0a","0-a","0_a","0/a"},BP241)))&gt;0),ISNUMBER(SEARCH("000000",BP241)))),1,0),0)</f>
        <v>0</v>
      </c>
      <c r="BR241" s="61" t="n">
        <f aca="false">IFERROR(LEN(SUBSTITUTE(CC241," ",""))-SUMPRODUCT((LEN(CC241)-LEN(SUBSTITUTE(CC241," "&amp;L_Role&amp;" "," ")))/(LEN(L_Role)+1)*LEN(L_Role)),0)</f>
        <v>0</v>
      </c>
      <c r="BS241" s="61" t="n">
        <f aca="false">IFERROR(LEN(SUBSTITUTE(CD241," ",""))-SUMPRODUCT((LEN(CD241)-LEN(SUBSTITUTE(CD241," "&amp;L_Role&amp;" "," ")))/(LEN(L_Role)+1)*LEN(L_Role)),0)</f>
        <v>0</v>
      </c>
      <c r="BT2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241,"revision",""),"version",""),"jan",""),"feb",""),"mar",""),"apr",""),"may",""),"jun",""),"jul",""),"aug",""),"sep",""),"oct",""),"nov",""),"dec",""),"utc",""),"gmt",""),"myt",""),"bst",""),"rev",""),"ver",""),"b","a"),"c","a"),"d","a"),"e","a"),"f","a"),"g","a"),"h","a"),"i","a"),"j","a"),"k","a"),"l","a"),"m","a"),"n","a"),"o","a"),"p","a"),"q","a"),"r","a"),"s","a"),"t","a"),"u","a"),"v","a"),"w","a"),"x","a"),"y","a"),"z","a")</f>
        <v/>
      </c>
      <c r="BU241" s="61" t="str">
        <f aca="false">SUBSTITUTE(SUBSTITUTE(SUBSTITUTE(SUBSTITUTE(SUBSTITUTE(SUBSTITUTE(SUBSTITUTE(SUBSTITUTE(SUBSTITUTE(SUBSTITUTE(LEFT(BM241,FIND("0",BM241&amp;"0")-1),"-",""),"_",""),"/",""),".",""),"#",""),"\\",""),":","")," ",""),"(",""),")","")</f>
        <v/>
      </c>
      <c r="BV241" s="61" t="n">
        <f aca="false">0</f>
        <v>0</v>
      </c>
      <c r="BW2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241&amp;""),"a",""),"b",""),"c",""),"d",""),"e",""),"f",""),"g",""),"h",""),"i",""),"j",""),"k",""),"l",""),"m",""),"n",""),"o",""),"p",""),"q",""),"r",""),"s",""),"t",""),"u",""),"v",""),"w",""),"x",""),"y",""),"z",""),"-",""),"_",""),"/",""),".",""),"#",""),"\\",""),":","")," ",""),"(",""),")","")</f>
        <v/>
      </c>
      <c r="BX241" s="61" t="str">
        <f aca="false">SUBSTITUTE(SUBSTITUTE(SUBSTITUTE(SUBSTITUTE(SUBSTITUTE(SUBSTITUTE(SUBSTITUTE(SUBSTITUTE(SUBSTITUTE(SUBSTITUTE(SUBSTITUTE(BM241,"0",""),"-",""),"_",""),"/",""),".",""),"#",""),"\\",""),":","")," ",""),"(",""),")","")</f>
        <v/>
      </c>
      <c r="BY241" s="62" t="n">
        <f aca="false">Q241-T12EarlyH/24</f>
        <v>46303.4166666667</v>
      </c>
      <c r="BZ241" s="61" t="n">
        <f aca="false">IFERROR(IF(IF(TRIM(S241)="Link / file path",AND(LEN(TRIM(Z241))&gt;=5,SUMPRODUCT(--ISNUMBER(SEARCH({"http","www.","\\",":\",".pdf",".jpg",".jpeg",".png",".heic",".xls",".doc",".msg",".eml",".ppt",".txt",".zip"},Z241)))&gt;0),AND(ISERROR(FIND(" ",TRIM(Z241))),NOT(OR(SUMPRODUCT(--ISNUMBER(FIND({",",";","&amp;","+"},Z241)))&gt;0,SUMPRODUCT(--ISNUMBER(SEARCH({"0/aa","0\\aa"},BN241)))&gt;0)),NOT(SUMPRODUCT(--ISNUMBER(SEARCH({"http","www.","\\",":\",".pdf",".jpg",".jpeg",".png",".heic",".xls",".doc",".msg",".eml",".ppt",".txt",".zip"},Z241)))&gt;0),NOT(LOWER(TRIM(Z241))=LOWER(Flights!$F$11)),ISNA(MATCH(BU241,{"mh","rev","revision","ver","version","v","r","a","b","seat","tray","row","gate","bay","stand","page","pg","item","line","no","cart","galley","flight","flt","table","box","bag","oven","etd","eta","std","sta","atd","ata","qty","pax","x","time","tel","ph","mob","day","wk","week","utc","gmt","myt","lt"},0)),NOT(OR(ISNUMBER(MATCH(LEFT(BN241,255),{"0000a","000a","00a","0000aa","000aa","00aa","0aa","0000aaa","000aaa","00a00","0a00","0000-0000","00:00","a00","a0","00.00.0000","00/00/0000","00-00-0000","0000-00-00","0000/00/00","0000.00.00","00.00.00","00/00/00","00-00-00","0.00.0000","0/00/0000","0-00-0000"},0)),ISNUMBER(MATCH(LEFT(BT241,255),{"0000a","000a","00a","0000aa","000aa","00aa","0aa","0000aaa","000aaa","00a00","0a00","0000-0000","00:00","a00","a0","00.00.0000","00/00/0000","00-00-0000","0000-00-00","0000/00/00","0000.00.00","00.00.00","00/00/00","00-00-00","0.00.0000","0/00/0000","0-00-0000"},0)))),NOT(OR(AND(BW241&lt;&gt;"",SUBSTITUTE(BW241,"0","")=""),AND(LEN(BW241)&gt;=4,BW241=REPT(LEFT(BW241),LEN(BW241))),ISNUMBER(MATCH(BW241,{"123","1234","12345","123456","1234567","12345678","0123","01234","012345","98765","987654","54321"},0)),ISNUMBER(MATCH(BX241,{"x","xx","xxx","xxxx","xxxxx","abc","abcd","nil","na","nan","test","tbc","tba","tbd","dummy","sample","example","eg","zz","zzz","none","null","xyz","qwe","asd","id","ref"},0)),AND(LEN(BW241)=8,BX241="",OR(LEFT(BW241,3)="202",ISNUMBER(MATCH(RIGHT(BW241,4),{"2025","2026","2027"},0)))))),OR(AND((LEN(BT241)-LEN(SUBSTITUTE(BT241,"a","")))&gt;=1,(LEN(BN241)-LEN(SUBSTITUTE(BN241,"0","")))&gt;=2,SUMPRODUCT(--ISNUMBER(SEARCH({"a0","a-0","a_0","a/0","a.0","a#0","0a","0-a","0_a","0/a"},BN241)))&gt;0),AND((LEN(BN241)-LEN(SUBSTITUTE(BN241,"a","")))=0,(LEN(BN241)-LEN(SUBSTITUTE(BN241,"0","")))&gt;=5)))),1,0),0)</f>
        <v>0</v>
      </c>
      <c r="CA2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241,"revision",""),"version",""),"jan",""),"feb",""),"mar",""),"apr",""),"may",""),"jun",""),"jul",""),"aug",""),"sep",""),"oct",""),"nov",""),"dec",""),"utc",""),"gmt",""),"myt",""),"bst",""),"rev",""),"ver",""),"b","a"),"c","a"),"d","a"),"e","a"),"f","a"),"g","a"),"h","a"),"i","a"),"j","a"),"k","a"),"l","a"),"m","a"),"n","a"),"o","a"),"p","a"),"q","a"),"r","a"),"s","a"),"t","a"),"u","a"),"v","a"),"w","a"),"x","a"),"y","a"),"z","a")</f>
        <v/>
      </c>
      <c r="CB2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241&amp;""),"a",""),"b",""),"c",""),"d",""),"e",""),"f",""),"g",""),"h",""),"i",""),"j",""),"k",""),"l",""),"m",""),"n",""),"o",""),"p",""),"q",""),"r",""),"s",""),"t",""),"u",""),"v",""),"w",""),"x",""),"y",""),"z",""),"-",""),"_",""),"/",""),".",""),"#",""),"\\",""),":","")," ",""),"(",""),")","")</f>
        <v/>
      </c>
      <c r="CC241" s="0" t="str">
        <f aca="false">" "&amp;TRIM(SUBSTITUTE(SUBSTITUTE(SUBSTITUTE(SUBSTITUTE(SUBSTITUTE(SUBSTITUTE(SUBSTITUTE(SUBSTITUTE(SUBSTITUTE(SUBSTITUTE(SUBSTITUTE(SUBSTITUTE(SUBSTITUTE(SUBSTITUTE(SUBSTITUTE(SUBSTITUTE(SUBSTITUTE(SUBSTITUTE(SUBSTITUTE(SUBSTITUTE(SUBSTITUTE(SUBSTITUTE(SUBSTITUTE(SUBSTITUTE(LOWER(T241&amp;""),CHAR(10)," "),CHAR(13)," "),CHAR(9)," "),CHAR(160)," "),"."," "),","," "),"-"," "),"/"," "),"("," "),")"," "),":"," "),";"," "),"_"," "),"–"," "),"?"," "),"!"," "),"*"," "),"["," "),"]"," "),"'"," "),"#"," "),"+"," "),"&amp;"," "),"\"," "))&amp;" "</f>
        <v>  </v>
      </c>
      <c r="CD241" s="0" t="str">
        <f aca="false">" "&amp;TRIM(SUBSTITUTE(SUBSTITUTE(SUBSTITUTE(SUBSTITUTE(SUBSTITUTE(SUBSTITUTE(SUBSTITUTE(SUBSTITUTE(SUBSTITUTE(SUBSTITUTE(SUBSTITUTE(SUBSTITUTE(SUBSTITUTE(SUBSTITUTE(SUBSTITUTE(SUBSTITUTE(SUBSTITUTE(SUBSTITUTE(SUBSTITUTE(SUBSTITUTE(SUBSTITUTE(SUBSTITUTE(SUBSTITUTE(SUBSTITUTE(LOWER(AE241&amp;""),CHAR(10)," "),CHAR(13)," "),CHAR(9)," "),CHAR(160)," "),"."," "),","," "),"-"," "),"/"," "),"("," "),")"," "),":"," "),";"," "),"_"," "),"–"," "),"?"," "),"!"," "),"*"," "),"["," "),"]"," "),"'"," "),"#"," "),"+"," "),"&amp;"," "),"\"," "))&amp;" "</f>
        <v>  </v>
      </c>
      <c r="CE241" s="68" t="n">
        <f aca="false">IFERROR(IF(AND(LEN(AU241)&gt;0,LEN(AU241)=LEN(AX241),OR(TRIM(MID(SUBSTITUTE(TRIM(CC241)," ",REPT(" ",60)),1,60))="",ISNUMBER(SEARCH(" "&amp;TRIM(MID(SUBSTITUTE(TRIM(CC241)," ",REPT(" ",60)),1,60))&amp;" ",CD241))),OR(TRIM(MID(SUBSTITUTE(TRIM(CC241)," ",REPT(" ",60)),61,60))="",ISNUMBER(SEARCH(" "&amp;TRIM(MID(SUBSTITUTE(TRIM(CC241)," ",REPT(" ",60)),61,60))&amp;" ",CD241))),OR(TRIM(MID(SUBSTITUTE(TRIM(CC241)," ",REPT(" ",60)),121,60))="",ISNUMBER(SEARCH(" "&amp;TRIM(MID(SUBSTITUTE(TRIM(CC241)," ",REPT(" ",60)),121,60))&amp;" ",CD241)))),1,0),0)</f>
        <v>0</v>
      </c>
      <c r="CG241" s="68" t="n">
        <f aca="false">IFERROR(LEN(SUBSTITUTE(BF241," ",""))-SUMPRODUCT((LEN(BF241)-LEN(SUBSTITUTE(BF241," "&amp;L_NAFiller&amp;" "," ")))/(LEN(L_NAFiller)+1)*LEN(L_NAFiller)),0)</f>
        <v>0</v>
      </c>
    </row>
    <row r="242" customFormat="false" ht="41.25" hidden="false" customHeight="true" outlineLevel="0" collapsed="false">
      <c r="A242" s="57" t="s">
        <v>809</v>
      </c>
      <c r="B242" s="57" t="s">
        <v>235</v>
      </c>
      <c r="C242" s="57" t="str">
        <f aca="false">Flights!$F$11</f>
        <v>MH0003</v>
      </c>
      <c r="D242" s="58" t="n">
        <f aca="false">Flights!$D$11</f>
        <v>46304</v>
      </c>
      <c r="E242" s="57" t="str">
        <f aca="false">Flights!$G$11&amp;"-"&amp;Flights!$H$11</f>
        <v>LHR-KUL</v>
      </c>
      <c r="F242" s="57" t="str">
        <f aca="false">Flights!$K$11</f>
        <v>BC</v>
      </c>
      <c r="G242" s="57" t="s">
        <v>420</v>
      </c>
      <c r="H242" s="57" t="s">
        <v>378</v>
      </c>
      <c r="I242" s="57" t="s">
        <v>447</v>
      </c>
      <c r="J242" s="57" t="s">
        <v>623</v>
      </c>
      <c r="K242" s="67" t="s">
        <v>449</v>
      </c>
      <c r="L242" s="67" t="s">
        <v>752</v>
      </c>
      <c r="M242" s="67" t="s">
        <v>451</v>
      </c>
      <c r="N242" s="67" t="s">
        <v>383</v>
      </c>
      <c r="O242" s="67" t="s">
        <v>452</v>
      </c>
      <c r="P242" s="57" t="s">
        <v>186</v>
      </c>
      <c r="Q242" s="59" t="n">
        <f aca="false">ROUND((Flights!$AE$11)*1440,0)/1440</f>
        <v>46303.9166666667</v>
      </c>
      <c r="R242" s="59" t="n">
        <f aca="false">Q242+(IF(AND(INDEX(TZ_DSTS,MATCH(P242,TZ_STN,0))&lt;&gt;"",Q242&gt;=INDEX(TZ_DSTS,MATCH(P242,TZ_STN,0)),Q242&lt;INDEX(TZ_DSTE,MATCH(P242,TZ_STN,0))),INDEX(TZ_DST,MATCH(P242,TZ_STN,0)),INDEX(TZ_STD,MATCH(P242,TZ_STN,0))))/24</f>
        <v>46303.9583333333</v>
      </c>
      <c r="S242" s="60"/>
      <c r="T242" s="60"/>
      <c r="U242" s="60"/>
      <c r="V242" s="60"/>
      <c r="W242" s="61"/>
      <c r="X242" s="60"/>
      <c r="Y242" s="60"/>
      <c r="Z242" s="60"/>
      <c r="AA242" s="60"/>
      <c r="AB242" s="60"/>
      <c r="AC242" s="60"/>
      <c r="AD242" s="66"/>
      <c r="AE242" s="60"/>
      <c r="AF242" s="61" t="str">
        <f aca="false">IF(AND(ISNUMBER(X242),ISNUMBER(Y242)),Y242-X242,"")</f>
        <v/>
      </c>
      <c r="AG242" s="62" t="str">
        <f aca="false">IF(ISNUMBER(AD242),AD242-(IF(AND(INDEX(TZ_DSTS,MATCH(P242,TZ_STN,0))&lt;&gt;"",(AD242-INDEX(TZ_STD,MATCH(P242,TZ_STN,0))/24)&gt;=INDEX(TZ_DSTS,MATCH(P242,TZ_STN,0)),(AD242-INDEX(TZ_STD,MATCH(P242,TZ_STN,0))/24)&lt;INDEX(TZ_DSTE,MATCH(P242,TZ_STN,0))),INDEX(TZ_DST,MATCH(P242,TZ_STN,0)),INDEX(TZ_STD,MATCH(P242,TZ_STN,0))))/24,"")</f>
        <v/>
      </c>
      <c r="AH242" s="65" t="str">
        <f aca="false">IFERROR(IF(N242="N/A – rule",IF(OR(TRIM(U242)="",TRIM(U242)="N/A",TRIM(U242)="Not started"),"N/A – RULE","INVALID – this check does not apply to this aircraft: clear the status (or correct the fleet on Flights)"),IF(TRIM(U242)="N/A",IF(AT242=0,"INVALID – N/A not permitted for this check",IF(AND(TRIM(AB242)&lt;&gt;"",TRIM(AB242)&lt;&gt;"Closed"),"INVALID – corrective action still open",IF(AND(NOT(OR(LEN(AZ242)&lt;15,ISNUMBER(MATCH(AZ242,L_Placeholder,0)))),BK242=0,CG242&gt;=8,NOT(OR(LEN(AU242)&lt;2,ISNUMBER(MATCH(AU242,L_Placeholder,0)))),BR242&gt;=3,NOT(OR(LEN(AX242)&lt;2,ISNUMBER(MATCH(AX242,L_Placeholder,0)))),BS242&gt;=3,TRIM(AE242)&lt;&gt;TRIM(T242),AX242&lt;&gt;AU242,CE242=0),"N/A – JUSTIFIED","INVALID – N/A needs a real, settled reason (not 'not applicable' / 'as above' / TBC), a named PIC and a different named verifier"))),IF(OR(TRIM(U242)="Pass",TRIM(U242)="Pass after CA"),IF(NOT(ISNUMBER(AD242)),"INVALID – completion time missing",IF(OR(OR(LEN(AU242)&lt;2,ISNUMBER(MATCH(AU242,L_Placeholder,0))),BR242&lt;3),"INVALID – PIC missing or not a named person (a role such as QA / CSM is not a name)",IF(OR(LEN(AV242)&lt;2,ISNUMBER(MATCH(AV242,L_Placeholder,0))),"INVALID – result / assessment missing",IF(OR(OR(LEN(AW242)&lt;3,ISNUMBER(MATCH(AW242,L_Placeholder,0))),SUMPRODUCT(--ISNUMBER(SEARCH(" "&amp;L_EvidencePhrase&amp;" ",BD242)))&gt;0,BI242=1),"INVALID – evidence missing, placeholder or not yet on file",IF(ISNA(MATCH(TRIM(S242),L_EvidenceType,0)),"INVALID – choose the evidence type from the list (column S)",IF(BL242=0,"INVALID – evidence ID must be the record's own ID only (e.g. SF-2210, IMG_2231, 1045521); a link / file name needs type 'Link / file path'",IF(OR(OR(LEN(AX242)&lt;2,ISNUMBER(MATCH(AX242,L_Placeholder,0))),BS242&lt;3),"INVALID – verifier missing or not a named person (a role such as QA / CSM is not a name)",IF(OR(AX242=AU242,CE242=1,AND(LEN(AU242)&gt;=4,ISNUMBER(SEARCH(AU242,AX242))),AND(LEN(AX242)&gt;=4,ISNUMBER(SEARCH(AX242,AU242)))),"INVALID – verifier must be a different, named person (not the PIC or a role)",IF(BH242=1,"INVALID – result not yet available (awaiting / TBC)",IF(BG242=1,"INVALID – result describes a problem: record Fail, then Pass after CA (or reword if it is not a problem)",IF(BV242=1,"INVALID – wording says not on board: an on-board confirmation needs the item loaded",IF(AND(AQ242=1,OR(OR(LEN(AY242)&lt;3,ISNUMBER(MATCH(AY242,L_Placeholder,0))),BJ242=1,BQ242=0)),"INVALID – batch ID missing, placeholder or not an ID (e.g. PASB-261008-BC-017)",IF(AND(AR242=1,OR(NOT(ISNUMBER(X242)),NOT(ISNUMBER(Y242)))),"INVALID – expected/actual qty missing",IF(AND(AR242=1,OR(X242&lt;=0,Y242&lt;0)),"INVALID – expected qty must be above 0 and actual not negative",IF(BB242&lt;&gt;"",BB242,IF(AND(AS242=1,Documents!$J$11&lt;&gt;"ON FILE"),"INVALID – GLD not on file (Documents sheet)",IF(AND(AS242=2,Documents!$O$11&lt;&gt;"ON FILE"),"INVALID – menu checklist not on file (Documents sheet)",IF(AND(AS242=3,NOT(ISNUMBER(Flights!$AX$11))),"INVALID – enter carrying flight KUL departure (Flights AX)",IF(AND(AS242=3,OR(Flights!$AZ$11&gt;Flights!$AA$11,Flights!$AX$11&lt;Flights!$AA$11-3)),"INVALID – carrying flight (Flights AX) cannot arrive before this leg's STD, or is over 3 days early",IF(AG242&gt;AsOfUTC,"INVALID – completion time is in the future",IF(AND(ISNUMBER(BY242),AG242&lt;BY242),IF(H242="Physical uplift","INVALID – before uplift window (cannot confirm loading)","INVALID – before valid window"),IF(AG242&gt;Flights!$AA$11,"INVALID – completed after departure (cannot establish readiness)",IF(AND(H242="Preparation",AG242&gt;=IF(ISNUMBER(Flights!$BA$11),MIN(Flights!$BA$11,Flights!$AA$11),Flights!$AA$11)),"INVALID – completed after loading / departure (cannot establish readiness)",IF(AND(H242="Physical uplift",AG242&gt;Q242),"INVALID – recorded after the loading flight departed",IF(AG242&gt;Q242,"COMPLETE – LATE","COMPLETE"))))))))))))))))))))))))),IF(TRIM(U242)="Fail","FAIL – DISCREPANCY",IF(AND(TRIM(U242)&lt;&gt;"",TRIM(U242)&lt;&gt;"Not started",TRIM(U242)&lt;&gt;"In progress"),"INVALID – unrecognised status (use the list)",IF(AsOfUTC&gt;Q242,"OVERDUE",IF(N242="Clarification required","OPEN – CLARIFICATION","OPEN"))))))),"INVALID – error value in an input cell")</f>
        <v>OPEN</v>
      </c>
      <c r="AI242" s="61" t="n">
        <f aca="false">IF(OR(AH242="N/A – RULE",AH242="N/A – JUSTIFIED"),0,1)</f>
        <v>1</v>
      </c>
      <c r="AJ242" s="61" t="n">
        <f aca="false">IF(LEFT(AH242,8)="COMPLETE",1,0)</f>
        <v>0</v>
      </c>
      <c r="AK242" s="61" t="n">
        <f aca="false">IF(AND(AI242=1,AJ242=0,AsOfUTC&gt;Q242),1,0)</f>
        <v>0</v>
      </c>
      <c r="AL242" s="61" t="n">
        <f aca="false">IFERROR(IF(AND(AI242=1,OR(TRIM(U242)="Fail",AND(TRIM(AB242)&lt;&gt;"",TRIM(AB242)&lt;&gt;"Closed"),AND(ISNUMBER(AF242),AF242&lt;&gt;0,TRIM(U242)&lt;&gt;"Pass after CA"))),1,0),1)</f>
        <v>0</v>
      </c>
      <c r="AM242" s="61" t="n">
        <f aca="false">IF(LEFT(AH242,7)="INVALID",1,0)</f>
        <v>0</v>
      </c>
      <c r="AN242" s="61" t="n">
        <f aca="false">IF(AND(N242="Clarification required",AI242=1,AJ242=0),1,0)</f>
        <v>0</v>
      </c>
      <c r="AO242" s="61" t="str">
        <f aca="false">IF(AK242=1,SUM(AK$5:AK242),"")</f>
        <v/>
      </c>
      <c r="AP242" s="61" t="str">
        <f aca="false">IF(AL242=1,SUM(AL$5:AL242),"")</f>
        <v/>
      </c>
      <c r="AQ242" s="61" t="n">
        <v>0</v>
      </c>
      <c r="AR242" s="61" t="n">
        <v>0</v>
      </c>
      <c r="AS242" s="61" t="n">
        <v>0</v>
      </c>
      <c r="AT242" s="61" t="n">
        <v>0</v>
      </c>
      <c r="AU242" s="61" t="str">
        <f aca="false">SUBSTITUTE(SUBSTITUTE(SUBSTITUTE(SUBSTITUTE(SUBSTITUTE(SUBSTITUTE(SUBSTITUTE(SUBSTITUTE(SUBSTITUTE(SUBSTITUTE(SUBSTITUTE(SUBSTITUTE(SUBSTITUTE(SUBSTITUTE(SUBSTITUTE(SUBSTITUTE(LOWER(T242&amp;""),CHAR(10),""),CHAR(13),""),CHAR(9),""),CHAR(160),"")," ",""),".",""),"-",""),"/",""),"?",""),"_",""),",",""),"[",""),"]",""),"(",""),")",""),"*","")</f>
        <v/>
      </c>
      <c r="AV242" s="61" t="str">
        <f aca="false">SUBSTITUTE(SUBSTITUTE(SUBSTITUTE(SUBSTITUTE(SUBSTITUTE(SUBSTITUTE(SUBSTITUTE(SUBSTITUTE(SUBSTITUTE(SUBSTITUTE(SUBSTITUTE(SUBSTITUTE(SUBSTITUTE(SUBSTITUTE(SUBSTITUTE(SUBSTITUTE(LOWER(V242&amp;""),CHAR(10),""),CHAR(13),""),CHAR(9),""),CHAR(160),"")," ",""),".",""),"-",""),"/",""),"?",""),"_",""),",",""),"[",""),"]",""),"(",""),")",""),"*","")</f>
        <v/>
      </c>
      <c r="AW242" s="61" t="str">
        <f aca="false">SUBSTITUTE(SUBSTITUTE(SUBSTITUTE(SUBSTITUTE(SUBSTITUTE(SUBSTITUTE(SUBSTITUTE(SUBSTITUTE(SUBSTITUTE(SUBSTITUTE(SUBSTITUTE(SUBSTITUTE(SUBSTITUTE(SUBSTITUTE(SUBSTITUTE(SUBSTITUTE(LOWER(Z242&amp;""),CHAR(10),""),CHAR(13),""),CHAR(9),""),CHAR(160),"")," ",""),".",""),"-",""),"/",""),"?",""),"_",""),",",""),"[",""),"]",""),"(",""),")",""),"*","")</f>
        <v/>
      </c>
      <c r="AX242" s="61" t="str">
        <f aca="false">SUBSTITUTE(SUBSTITUTE(SUBSTITUTE(SUBSTITUTE(SUBSTITUTE(SUBSTITUTE(SUBSTITUTE(SUBSTITUTE(SUBSTITUTE(SUBSTITUTE(SUBSTITUTE(SUBSTITUTE(SUBSTITUTE(SUBSTITUTE(SUBSTITUTE(SUBSTITUTE(LOWER(AE242&amp;""),CHAR(10),""),CHAR(13),""),CHAR(9),""),CHAR(160),"")," ",""),".",""),"-",""),"/",""),"?",""),"_",""),",",""),"[",""),"]",""),"(",""),")",""),"*","")</f>
        <v/>
      </c>
      <c r="AY242" s="61" t="str">
        <f aca="false">SUBSTITUTE(SUBSTITUTE(SUBSTITUTE(SUBSTITUTE(SUBSTITUTE(SUBSTITUTE(SUBSTITUTE(SUBSTITUTE(SUBSTITUTE(SUBSTITUTE(SUBSTITUTE(SUBSTITUTE(SUBSTITUTE(SUBSTITUTE(SUBSTITUTE(SUBSTITUTE(LOWER(W242&amp;""),CHAR(10),""),CHAR(13),""),CHAR(9),""),CHAR(160),"")," ",""),".",""),"-",""),"/",""),"?",""),"_",""),",",""),"[",""),"]",""),"(",""),")",""),"*","")</f>
        <v/>
      </c>
      <c r="AZ242" s="61" t="str">
        <f aca="false">SUBSTITUTE(SUBSTITUTE(SUBSTITUTE(SUBSTITUTE(SUBSTITUTE(SUBSTITUTE(SUBSTITUTE(SUBSTITUTE(SUBSTITUTE(SUBSTITUTE(SUBSTITUTE(SUBSTITUTE(SUBSTITUTE(SUBSTITUTE(SUBSTITUTE(SUBSTITUTE(LOWER(AC242&amp;""),CHAR(10),""),CHAR(13),""),CHAR(9),""),CHAR(160),"")," ",""),".",""),"-",""),"/",""),"?",""),"_",""),",",""),"[",""),"]",""),"(",""),")",""),"*","")</f>
        <v/>
      </c>
      <c r="BA242" s="61" t="str">
        <f aca="false">SUBSTITUTE(SUBSTITUTE(SUBSTITUTE(SUBSTITUTE(SUBSTITUTE(SUBSTITUTE(SUBSTITUTE(SUBSTITUTE(SUBSTITUTE(SUBSTITUTE(SUBSTITUTE(SUBSTITUTE(SUBSTITUTE(SUBSTITUTE(SUBSTITUTE(SUBSTITUTE(LOWER(AA242&amp;""),CHAR(10),""),CHAR(13),""),CHAR(9),""),CHAR(160),"")," ",""),".",""),"-",""),"/",""),"?",""),"_",""),",",""),"[",""),"]",""),"(",""),")",""),"*","")</f>
        <v/>
      </c>
      <c r="BB242" s="61" t="str">
        <f aca="false">IF(AND(TRIM(U242)="Pass",ISNUMBER(AF242)),IF(AF242&lt;&gt;0,"INVALID – qty variance: use Fail or Pass after CA",""),"")&amp;IF(AND(TRIM(U242)="Pass after CA",ISNUMBER(AF242)),IF(AF242&lt;&gt;0,"INVALID – after the corrective action the actual qty must equal expected (update Actual)",""),"")&amp;IF(AND(TRIM(U242)="Pass",TRIM(AB242)&lt;&gt;"",TRIM(AB242)&lt;&gt;"Closed"),"INVALID – corrective action not closed: use Fail, then Pass after CA","")&amp;IF(AND(LEN(BA242)&gt;=2,ISNA(MATCH(LEFT(BA242,255),L_Placeholder,0)),TRIM(AB242)=""),"INVALID – CA status missing for the recorded corrective action","")&amp;IF(AND(TRIM(U242)="Pass after CA",OR(OR(LEN(BA242)&lt;5,ISNUMBER(MATCH(BA242,L_Placeholder,0))),TRIM(AB242)&lt;&gt;"Closed")),"INVALID – corrective action not recorded/closed","")</f>
        <v/>
      </c>
      <c r="BC242" s="61" t="str">
        <f aca="false">" "&amp;TRIM(SUBSTITUTE(SUBSTITUTE(SUBSTITUTE(SUBSTITUTE(SUBSTITUTE(SUBSTITUTE(SUBSTITUTE(SUBSTITUTE(SUBSTITUTE(SUBSTITUTE(SUBSTITUTE(SUBSTITUTE(SUBSTITUTE(SUBSTITUTE(SUBSTITUTE(SUBSTITUTE(SUBSTITUTE(SUBSTITUTE(SUBSTITUTE(SUBSTITUTE(SUBSTITUTE(SUBSTITUTE(SUBSTITUTE(SUBSTITUTE(LOWER(V242&amp;""),CHAR(10)," "),CHAR(13)," "),CHAR(9)," "),CHAR(160)," "),"."," "),","," "),"-"," "),"/"," "),"("," "),")"," "),":"," "),";"," "),"_"," "),"–"," "),"?"," "),"!"," "),"*"," "),"["," "),"]"," "),"'"," "),"#"," "),"+"," "),"&amp;"," "),"\"," "))&amp;" "</f>
        <v>  </v>
      </c>
      <c r="BD242" s="61" t="str">
        <f aca="false">" "&amp;TRIM(SUBSTITUTE(SUBSTITUTE(SUBSTITUTE(SUBSTITUTE(SUBSTITUTE(SUBSTITUTE(SUBSTITUTE(SUBSTITUTE(SUBSTITUTE(SUBSTITUTE(SUBSTITUTE(SUBSTITUTE(SUBSTITUTE(SUBSTITUTE(SUBSTITUTE(SUBSTITUTE(SUBSTITUTE(SUBSTITUTE(SUBSTITUTE(SUBSTITUTE(SUBSTITUTE(SUBSTITUTE(SUBSTITUTE(SUBSTITUTE(LOWER(Z242&amp;""),CHAR(10)," "),CHAR(13)," "),CHAR(9)," "),CHAR(160)," "),"."," "),","," "),"-"," "),"/"," "),"("," "),")"," "),":"," "),";"," "),"_"," "),"–"," "),"?"," "),"!"," "),"*"," "),"["," "),"]"," "),"'"," "),"#"," "),"+"," "),"&amp;"," "),"\"," "))&amp;" "</f>
        <v>  </v>
      </c>
      <c r="BE242" s="61" t="str">
        <f aca="false">" "&amp;TRIM(SUBSTITUTE(SUBSTITUTE(SUBSTITUTE(SUBSTITUTE(SUBSTITUTE(SUBSTITUTE(SUBSTITUTE(SUBSTITUTE(SUBSTITUTE(SUBSTITUTE(SUBSTITUTE(SUBSTITUTE(SUBSTITUTE(SUBSTITUTE(SUBSTITUTE(SUBSTITUTE(SUBSTITUTE(SUBSTITUTE(SUBSTITUTE(SUBSTITUTE(SUBSTITUTE(SUBSTITUTE(SUBSTITUTE(SUBSTITUTE(LOWER(W242&amp;""),CHAR(10)," "),CHAR(13)," "),CHAR(9)," "),CHAR(160)," "),"."," "),","," "),"-"," "),"/"," "),"("," "),")"," "),":"," "),";"," "),"_"," "),"–"," "),"?"," "),"!"," "),"*"," "),"["," "),"]"," "),"'"," "),"#"," "),"+"," "),"&amp;"," "),"\"," "))&amp;" "</f>
        <v>  </v>
      </c>
      <c r="BF242" s="61" t="str">
        <f aca="false">" "&amp;TRIM(SUBSTITUTE(SUBSTITUTE(SUBSTITUTE(SUBSTITUTE(SUBSTITUTE(SUBSTITUTE(SUBSTITUTE(SUBSTITUTE(SUBSTITUTE(SUBSTITUTE(SUBSTITUTE(SUBSTITUTE(SUBSTITUTE(SUBSTITUTE(SUBSTITUTE(SUBSTITUTE(SUBSTITUTE(SUBSTITUTE(SUBSTITUTE(SUBSTITUTE(SUBSTITUTE(SUBSTITUTE(SUBSTITUTE(SUBSTITUTE(LOWER(AC242&amp;""),CHAR(10)," "),CHAR(13)," "),CHAR(9)," "),CHAR(160)," "),"."," "),","," "),"-"," "),"/"," "),"("," "),")"," "),":"," "),";"," "),"_"," "),"–"," "),"?"," "),"!"," "),"*"," "),"["," "),"]"," "),"'"," "),"#"," "),"+"," "),"&amp;"," "),"\"," "))&amp;" "</f>
        <v>  </v>
      </c>
      <c r="BG242" s="61" t="n">
        <f aca="false">IFERROR(IF(AND(TRIM(U242)="Pass",SUMPRODUCT((LEN(BC242)-LEN(SUBSTITUTE(BC242," "&amp;L_ResultBad&amp;" "," ")))/(LEN(L_ResultBad)+1))&gt;SUMPRODUCT((LEN(BC242)-LEN(SUBSTITUTE(BC242," "&amp;L_NegPhrase&amp;" "," ")))/(LEN(L_NegPhrase)+1))),1,0),0)</f>
        <v>0</v>
      </c>
      <c r="BH242" s="61" t="n">
        <f aca="false">IFERROR(IF(SUMPRODUCT((LEN(BC242)-LEN(SUBSTITUTE(BC242," "&amp;L_Pending&amp;" "," ")))/(LEN(L_Pending)+1))&gt;SUMPRODUCT((LEN(BC242)-LEN(SUBSTITUTE(BC242," "&amp;L_PendNeg&amp;" "," ")))/(LEN(L_PendNeg)+1))+SUMPRODUCT((LEN(BC242)-LEN(SUBSTITUTE(BC242," "&amp;L_PendPrep&amp;" "," ")))/(LEN(L_PendPrep)+1)),1,0),1)</f>
        <v>0</v>
      </c>
      <c r="BI242" s="61" t="n">
        <f aca="false">IFERROR(IF(SUMPRODUCT((LEN(BD242)-LEN(SUBSTITUTE(BD242," "&amp;L_PendStrict&amp;" "," ")))/(LEN(L_PendStrict)+1))&gt;SUMPRODUCT((LEN(BD242)-LEN(SUBSTITUTE(BD242," "&amp;L_PendNeg&amp;" "," ")))/(LEN(L_PendNeg)+1)),1,0),1)</f>
        <v>0</v>
      </c>
      <c r="BJ242" s="61" t="n">
        <f aca="false">IFERROR(IF(SUMPRODUCT((LEN(BE242)-LEN(SUBSTITUTE(BE242," "&amp;L_Pending&amp;" "," ")))/(LEN(L_Pending)+1))&gt;SUMPRODUCT((LEN(BE242)-LEN(SUBSTITUTE(BE242," "&amp;L_PendNeg&amp;" "," ")))/(LEN(L_PendNeg)+1))+SUMPRODUCT((LEN(BE242)-LEN(SUBSTITUTE(BE242," "&amp;L_PendPrep&amp;" "," ")))/(LEN(L_PendPrep)+1)),1,0),1)</f>
        <v>0</v>
      </c>
      <c r="BK242" s="61" t="n">
        <f aca="false">IFERROR(IF(SUMPRODUCT((LEN(BF242)-LEN(SUBSTITUTE(BF242," "&amp;L_PendStrict&amp;" "," ")))/(LEN(L_PendStrict)+1))&gt;SUMPRODUCT((LEN(BF242)-LEN(SUBSTITUTE(BF242," "&amp;L_PendNeg&amp;" "," ")))/(LEN(L_PendNeg)+1)),1,0),1)</f>
        <v>0</v>
      </c>
      <c r="BL242" s="61" t="n">
        <f aca="false">IF(ISNA(MATCH(TRIM(S242),L_EvidenceType,0)),0,BZ242)</f>
        <v>0</v>
      </c>
      <c r="BM242" s="61" t="str">
        <f aca="false">SUBSTITUTE(SUBSTITUTE(SUBSTITUTE(SUBSTITUTE(SUBSTITUTE(SUBSTITUTE(SUBSTITUTE(SUBSTITUTE(SUBSTITUTE(LOWER(Z242&amp;""),"1","0"),"2","0"),"3","0"),"4","0"),"5","0"),"6","0"),"7","0"),"8","0"),"9","0")</f>
        <v/>
      </c>
      <c r="BN242" s="61" t="str">
        <f aca="false">SUBSTITUTE(SUBSTITUTE(SUBSTITUTE(SUBSTITUTE(SUBSTITUTE(SUBSTITUTE(SUBSTITUTE(SUBSTITUTE(SUBSTITUTE(SUBSTITUTE(SUBSTITUTE(SUBSTITUTE(SUBSTITUTE(SUBSTITUTE(SUBSTITUTE(SUBSTITUTE(SUBSTITUTE(SUBSTITUTE(SUBSTITUTE(SUBSTITUTE(SUBSTITUTE(SUBSTITUTE(SUBSTITUTE(SUBSTITUTE(SUBSTITUTE(BM242,"b","a"),"c","a"),"d","a"),"e","a"),"f","a"),"g","a"),"h","a"),"i","a"),"j","a"),"k","a"),"l","a"),"m","a"),"n","a"),"o","a"),"p","a"),"q","a"),"r","a"),"s","a"),"t","a"),"u","a"),"v","a"),"w","a"),"x","a"),"y","a"),"z","a")</f>
        <v/>
      </c>
      <c r="BO242" s="61" t="str">
        <f aca="false">SUBSTITUTE(SUBSTITUTE(SUBSTITUTE(SUBSTITUTE(SUBSTITUTE(SUBSTITUTE(SUBSTITUTE(SUBSTITUTE(SUBSTITUTE(LOWER(W242&amp;""),"1","0"),"2","0"),"3","0"),"4","0"),"5","0"),"6","0"),"7","0"),"8","0"),"9","0")</f>
        <v/>
      </c>
      <c r="BP242" s="61" t="str">
        <f aca="false">SUBSTITUTE(SUBSTITUTE(SUBSTITUTE(SUBSTITUTE(SUBSTITUTE(SUBSTITUTE(SUBSTITUTE(SUBSTITUTE(SUBSTITUTE(SUBSTITUTE(SUBSTITUTE(SUBSTITUTE(SUBSTITUTE(SUBSTITUTE(SUBSTITUTE(SUBSTITUTE(SUBSTITUTE(SUBSTITUTE(SUBSTITUTE(SUBSTITUTE(SUBSTITUTE(SUBSTITUTE(SUBSTITUTE(SUBSTITUTE(SUBSTITUTE(BO242,"b","a"),"c","a"),"d","a"),"e","a"),"f","a"),"g","a"),"h","a"),"i","a"),"j","a"),"k","a"),"l","a"),"m","a"),"n","a"),"o","a"),"p","a"),"q","a"),"r","a"),"s","a"),"t","a"),"u","a"),"v","a"),"w","a"),"x","a"),"y","a"),"z","a")</f>
        <v/>
      </c>
      <c r="BQ242" s="61" t="n">
        <f aca="false">IFERROR(IF(AND(ISERROR(SEARCH(" mh"," "&amp;LOWER(W242))),ISNA(MATCH(LEFT(TRIM(BP242),255),{"0000a","000a","00a","0000aa","000aa","00aa","0aa","0000aaa","000aaa","00a00","0a00","0000-0000","00:00","a00","a0","00.00.0000","00/00/0000","00-00-0000","0000-00-00","0000/00/00","0000.00.00","00.00.00","00/00/00","00-00-00","0.00.0000","0/00/0000","0-00-0000"},0)),ISNA(MATCH(LEFT(TRIM(CA242),255),{"0000a","000a","00a","0000aa","000aa","00aa","0aa","0000aaa","000aaa","00a00","0a00","0000-0000","00:00","a00","a0","00.00.0000","00/00/0000","00-00-0000","0000-00-00","0000/00/00","0000.00.00","00.00.00","00/00/00","00-00-00","0.00.0000","0/00/0000","0-00-0000"},0)),LEN(CB242)&gt;=3,NOT(OR(SUBSTITUTE(CB242,"0","")="",AND(LEN(CB242)&gt;=4,CB242=REPT(LEFT(CB242),LEN(CB242))),ISNUMBER(MATCH(CB242,{"123","1234","12345","123456","1234567","12345678","0123","01234","012345","98765","987654","54321"},0)),AND(LEN(CB242)=8,LEFT(CB242,3)="202"))),OR(AND((LEN(CA242)-LEN(SUBSTITUTE(CA242,"a","")))&gt;=1,SUMPRODUCT(--ISNUMBER(SEARCH({"a0","a-0","a_0","a/0","a.0","a#0","0a","0-a","0_a","0/a"},BP242)))&gt;0),ISNUMBER(SEARCH("000000",BP242)))),1,0),0)</f>
        <v>0</v>
      </c>
      <c r="BR242" s="61" t="n">
        <f aca="false">IFERROR(LEN(SUBSTITUTE(CC242," ",""))-SUMPRODUCT((LEN(CC242)-LEN(SUBSTITUTE(CC242," "&amp;L_Role&amp;" "," ")))/(LEN(L_Role)+1)*LEN(L_Role)),0)</f>
        <v>0</v>
      </c>
      <c r="BS242" s="61" t="n">
        <f aca="false">IFERROR(LEN(SUBSTITUTE(CD242," ",""))-SUMPRODUCT((LEN(CD242)-LEN(SUBSTITUTE(CD242," "&amp;L_Role&amp;" "," ")))/(LEN(L_Role)+1)*LEN(L_Role)),0)</f>
        <v>0</v>
      </c>
      <c r="BT2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242,"revision",""),"version",""),"jan",""),"feb",""),"mar",""),"apr",""),"may",""),"jun",""),"jul",""),"aug",""),"sep",""),"oct",""),"nov",""),"dec",""),"utc",""),"gmt",""),"myt",""),"bst",""),"rev",""),"ver",""),"b","a"),"c","a"),"d","a"),"e","a"),"f","a"),"g","a"),"h","a"),"i","a"),"j","a"),"k","a"),"l","a"),"m","a"),"n","a"),"o","a"),"p","a"),"q","a"),"r","a"),"s","a"),"t","a"),"u","a"),"v","a"),"w","a"),"x","a"),"y","a"),"z","a")</f>
        <v/>
      </c>
      <c r="BU242" s="61" t="str">
        <f aca="false">SUBSTITUTE(SUBSTITUTE(SUBSTITUTE(SUBSTITUTE(SUBSTITUTE(SUBSTITUTE(SUBSTITUTE(SUBSTITUTE(SUBSTITUTE(SUBSTITUTE(LEFT(BM242,FIND("0",BM242&amp;"0")-1),"-",""),"_",""),"/",""),".",""),"#",""),"\\",""),":","")," ",""),"(",""),")","")</f>
        <v/>
      </c>
      <c r="BV242" s="61" t="n">
        <f aca="false">0</f>
        <v>0</v>
      </c>
      <c r="BW2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242&amp;""),"a",""),"b",""),"c",""),"d",""),"e",""),"f",""),"g",""),"h",""),"i",""),"j",""),"k",""),"l",""),"m",""),"n",""),"o",""),"p",""),"q",""),"r",""),"s",""),"t",""),"u",""),"v",""),"w",""),"x",""),"y",""),"z",""),"-",""),"_",""),"/",""),".",""),"#",""),"\\",""),":","")," ",""),"(",""),")","")</f>
        <v/>
      </c>
      <c r="BX242" s="61" t="str">
        <f aca="false">SUBSTITUTE(SUBSTITUTE(SUBSTITUTE(SUBSTITUTE(SUBSTITUTE(SUBSTITUTE(SUBSTITUTE(SUBSTITUTE(SUBSTITUTE(SUBSTITUTE(SUBSTITUTE(BM242,"0",""),"-",""),"_",""),"/",""),".",""),"#",""),"\\",""),":","")," ",""),"(",""),")","")</f>
        <v/>
      </c>
      <c r="BY242" s="62" t="n">
        <f aca="false">Q242-T12EarlyH/24</f>
        <v>46303.4166666667</v>
      </c>
      <c r="BZ242" s="61" t="n">
        <f aca="false">IFERROR(IF(IF(TRIM(S242)="Link / file path",AND(LEN(TRIM(Z242))&gt;=5,SUMPRODUCT(--ISNUMBER(SEARCH({"http","www.","\\",":\",".pdf",".jpg",".jpeg",".png",".heic",".xls",".doc",".msg",".eml",".ppt",".txt",".zip"},Z242)))&gt;0),AND(ISERROR(FIND(" ",TRIM(Z242))),NOT(OR(SUMPRODUCT(--ISNUMBER(FIND({",",";","&amp;","+"},Z242)))&gt;0,SUMPRODUCT(--ISNUMBER(SEARCH({"0/aa","0\\aa"},BN242)))&gt;0)),NOT(SUMPRODUCT(--ISNUMBER(SEARCH({"http","www.","\\",":\",".pdf",".jpg",".jpeg",".png",".heic",".xls",".doc",".msg",".eml",".ppt",".txt",".zip"},Z242)))&gt;0),NOT(LOWER(TRIM(Z242))=LOWER(Flights!$F$11)),ISNA(MATCH(BU242,{"mh","rev","revision","ver","version","v","r","a","b","seat","tray","row","gate","bay","stand","page","pg","item","line","no","cart","galley","flight","flt","table","box","bag","oven","etd","eta","std","sta","atd","ata","qty","pax","x","time","tel","ph","mob","day","wk","week","utc","gmt","myt","lt"},0)),NOT(OR(ISNUMBER(MATCH(LEFT(BN242,255),{"0000a","000a","00a","0000aa","000aa","00aa","0aa","0000aaa","000aaa","00a00","0a00","0000-0000","00:00","a00","a0","00.00.0000","00/00/0000","00-00-0000","0000-00-00","0000/00/00","0000.00.00","00.00.00","00/00/00","00-00-00","0.00.0000","0/00/0000","0-00-0000"},0)),ISNUMBER(MATCH(LEFT(BT242,255),{"0000a","000a","00a","0000aa","000aa","00aa","0aa","0000aaa","000aaa","00a00","0a00","0000-0000","00:00","a00","a0","00.00.0000","00/00/0000","00-00-0000","0000-00-00","0000/00/00","0000.00.00","00.00.00","00/00/00","00-00-00","0.00.0000","0/00/0000","0-00-0000"},0)))),NOT(OR(AND(BW242&lt;&gt;"",SUBSTITUTE(BW242,"0","")=""),AND(LEN(BW242)&gt;=4,BW242=REPT(LEFT(BW242),LEN(BW242))),ISNUMBER(MATCH(BW242,{"123","1234","12345","123456","1234567","12345678","0123","01234","012345","98765","987654","54321"},0)),ISNUMBER(MATCH(BX242,{"x","xx","xxx","xxxx","xxxxx","abc","abcd","nil","na","nan","test","tbc","tba","tbd","dummy","sample","example","eg","zz","zzz","none","null","xyz","qwe","asd","id","ref"},0)),AND(LEN(BW242)=8,BX242="",OR(LEFT(BW242,3)="202",ISNUMBER(MATCH(RIGHT(BW242,4),{"2025","2026","2027"},0)))))),OR(AND((LEN(BT242)-LEN(SUBSTITUTE(BT242,"a","")))&gt;=1,(LEN(BN242)-LEN(SUBSTITUTE(BN242,"0","")))&gt;=2,SUMPRODUCT(--ISNUMBER(SEARCH({"a0","a-0","a_0","a/0","a.0","a#0","0a","0-a","0_a","0/a"},BN242)))&gt;0),AND((LEN(BN242)-LEN(SUBSTITUTE(BN242,"a","")))=0,(LEN(BN242)-LEN(SUBSTITUTE(BN242,"0","")))&gt;=5)))),1,0),0)</f>
        <v>0</v>
      </c>
      <c r="CA2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242,"revision",""),"version",""),"jan",""),"feb",""),"mar",""),"apr",""),"may",""),"jun",""),"jul",""),"aug",""),"sep",""),"oct",""),"nov",""),"dec",""),"utc",""),"gmt",""),"myt",""),"bst",""),"rev",""),"ver",""),"b","a"),"c","a"),"d","a"),"e","a"),"f","a"),"g","a"),"h","a"),"i","a"),"j","a"),"k","a"),"l","a"),"m","a"),"n","a"),"o","a"),"p","a"),"q","a"),"r","a"),"s","a"),"t","a"),"u","a"),"v","a"),"w","a"),"x","a"),"y","a"),"z","a")</f>
        <v/>
      </c>
      <c r="CB2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242&amp;""),"a",""),"b",""),"c",""),"d",""),"e",""),"f",""),"g",""),"h",""),"i",""),"j",""),"k",""),"l",""),"m",""),"n",""),"o",""),"p",""),"q",""),"r",""),"s",""),"t",""),"u",""),"v",""),"w",""),"x",""),"y",""),"z",""),"-",""),"_",""),"/",""),".",""),"#",""),"\\",""),":","")," ",""),"(",""),")","")</f>
        <v/>
      </c>
      <c r="CC242" s="0" t="str">
        <f aca="false">" "&amp;TRIM(SUBSTITUTE(SUBSTITUTE(SUBSTITUTE(SUBSTITUTE(SUBSTITUTE(SUBSTITUTE(SUBSTITUTE(SUBSTITUTE(SUBSTITUTE(SUBSTITUTE(SUBSTITUTE(SUBSTITUTE(SUBSTITUTE(SUBSTITUTE(SUBSTITUTE(SUBSTITUTE(SUBSTITUTE(SUBSTITUTE(SUBSTITUTE(SUBSTITUTE(SUBSTITUTE(SUBSTITUTE(SUBSTITUTE(SUBSTITUTE(LOWER(T242&amp;""),CHAR(10)," "),CHAR(13)," "),CHAR(9)," "),CHAR(160)," "),"."," "),","," "),"-"," "),"/"," "),"("," "),")"," "),":"," "),";"," "),"_"," "),"–"," "),"?"," "),"!"," "),"*"," "),"["," "),"]"," "),"'"," "),"#"," "),"+"," "),"&amp;"," "),"\"," "))&amp;" "</f>
        <v>  </v>
      </c>
      <c r="CD242" s="0" t="str">
        <f aca="false">" "&amp;TRIM(SUBSTITUTE(SUBSTITUTE(SUBSTITUTE(SUBSTITUTE(SUBSTITUTE(SUBSTITUTE(SUBSTITUTE(SUBSTITUTE(SUBSTITUTE(SUBSTITUTE(SUBSTITUTE(SUBSTITUTE(SUBSTITUTE(SUBSTITUTE(SUBSTITUTE(SUBSTITUTE(SUBSTITUTE(SUBSTITUTE(SUBSTITUTE(SUBSTITUTE(SUBSTITUTE(SUBSTITUTE(SUBSTITUTE(SUBSTITUTE(LOWER(AE242&amp;""),CHAR(10)," "),CHAR(13)," "),CHAR(9)," "),CHAR(160)," "),"."," "),","," "),"-"," "),"/"," "),"("," "),")"," "),":"," "),";"," "),"_"," "),"–"," "),"?"," "),"!"," "),"*"," "),"["," "),"]"," "),"'"," "),"#"," "),"+"," "),"&amp;"," "),"\"," "))&amp;" "</f>
        <v>  </v>
      </c>
      <c r="CE242" s="68" t="n">
        <f aca="false">IFERROR(IF(AND(LEN(AU242)&gt;0,LEN(AU242)=LEN(AX242),OR(TRIM(MID(SUBSTITUTE(TRIM(CC242)," ",REPT(" ",60)),1,60))="",ISNUMBER(SEARCH(" "&amp;TRIM(MID(SUBSTITUTE(TRIM(CC242)," ",REPT(" ",60)),1,60))&amp;" ",CD242))),OR(TRIM(MID(SUBSTITUTE(TRIM(CC242)," ",REPT(" ",60)),61,60))="",ISNUMBER(SEARCH(" "&amp;TRIM(MID(SUBSTITUTE(TRIM(CC242)," ",REPT(" ",60)),61,60))&amp;" ",CD242))),OR(TRIM(MID(SUBSTITUTE(TRIM(CC242)," ",REPT(" ",60)),121,60))="",ISNUMBER(SEARCH(" "&amp;TRIM(MID(SUBSTITUTE(TRIM(CC242)," ",REPT(" ",60)),121,60))&amp;" ",CD242)))),1,0),0)</f>
        <v>0</v>
      </c>
      <c r="CG242" s="68" t="n">
        <f aca="false">IFERROR(LEN(SUBSTITUTE(BF242," ",""))-SUMPRODUCT((LEN(BF242)-LEN(SUBSTITUTE(BF242," "&amp;L_NAFiller&amp;" "," ")))/(LEN(L_NAFiller)+1)*LEN(L_NAFiller)),0)</f>
        <v>0</v>
      </c>
    </row>
    <row r="243" customFormat="false" ht="41.25" hidden="false" customHeight="true" outlineLevel="0" collapsed="false">
      <c r="A243" s="57" t="s">
        <v>810</v>
      </c>
      <c r="B243" s="57" t="s">
        <v>235</v>
      </c>
      <c r="C243" s="57" t="str">
        <f aca="false">Flights!$F$11</f>
        <v>MH0003</v>
      </c>
      <c r="D243" s="58" t="n">
        <f aca="false">Flights!$D$11</f>
        <v>46304</v>
      </c>
      <c r="E243" s="57" t="str">
        <f aca="false">Flights!$G$11&amp;"-"&amp;Flights!$H$11</f>
        <v>LHR-KUL</v>
      </c>
      <c r="F243" s="57" t="str">
        <f aca="false">Flights!$K$11</f>
        <v>BC</v>
      </c>
      <c r="G243" s="57" t="s">
        <v>420</v>
      </c>
      <c r="H243" s="57" t="s">
        <v>378</v>
      </c>
      <c r="I243" s="57" t="s">
        <v>447</v>
      </c>
      <c r="J243" s="57" t="s">
        <v>626</v>
      </c>
      <c r="K243" s="67" t="s">
        <v>449</v>
      </c>
      <c r="L243" s="67" t="s">
        <v>754</v>
      </c>
      <c r="M243" s="67" t="s">
        <v>451</v>
      </c>
      <c r="N243" s="67" t="s">
        <v>383</v>
      </c>
      <c r="O243" s="67" t="s">
        <v>452</v>
      </c>
      <c r="P243" s="57" t="s">
        <v>186</v>
      </c>
      <c r="Q243" s="59" t="n">
        <f aca="false">ROUND((Flights!$AE$11)*1440,0)/1440</f>
        <v>46303.9166666667</v>
      </c>
      <c r="R243" s="59" t="n">
        <f aca="false">Q243+(IF(AND(INDEX(TZ_DSTS,MATCH(P243,TZ_STN,0))&lt;&gt;"",Q243&gt;=INDEX(TZ_DSTS,MATCH(P243,TZ_STN,0)),Q243&lt;INDEX(TZ_DSTE,MATCH(P243,TZ_STN,0))),INDEX(TZ_DST,MATCH(P243,TZ_STN,0)),INDEX(TZ_STD,MATCH(P243,TZ_STN,0))))/24</f>
        <v>46303.9583333333</v>
      </c>
      <c r="S243" s="60"/>
      <c r="T243" s="60"/>
      <c r="U243" s="60"/>
      <c r="V243" s="60"/>
      <c r="W243" s="61"/>
      <c r="X243" s="60"/>
      <c r="Y243" s="60"/>
      <c r="Z243" s="60"/>
      <c r="AA243" s="60"/>
      <c r="AB243" s="60"/>
      <c r="AC243" s="60"/>
      <c r="AD243" s="66"/>
      <c r="AE243" s="60"/>
      <c r="AF243" s="61" t="str">
        <f aca="false">IF(AND(ISNUMBER(X243),ISNUMBER(Y243)),Y243-X243,"")</f>
        <v/>
      </c>
      <c r="AG243" s="62" t="str">
        <f aca="false">IF(ISNUMBER(AD243),AD243-(IF(AND(INDEX(TZ_DSTS,MATCH(P243,TZ_STN,0))&lt;&gt;"",(AD243-INDEX(TZ_STD,MATCH(P243,TZ_STN,0))/24)&gt;=INDEX(TZ_DSTS,MATCH(P243,TZ_STN,0)),(AD243-INDEX(TZ_STD,MATCH(P243,TZ_STN,0))/24)&lt;INDEX(TZ_DSTE,MATCH(P243,TZ_STN,0))),INDEX(TZ_DST,MATCH(P243,TZ_STN,0)),INDEX(TZ_STD,MATCH(P243,TZ_STN,0))))/24,"")</f>
        <v/>
      </c>
      <c r="AH243" s="65" t="str">
        <f aca="false">IFERROR(IF(N243="N/A – rule",IF(OR(TRIM(U243)="",TRIM(U243)="N/A",TRIM(U243)="Not started"),"N/A – RULE","INVALID – this check does not apply to this aircraft: clear the status (or correct the fleet on Flights)"),IF(TRIM(U243)="N/A",IF(AT243=0,"INVALID – N/A not permitted for this check",IF(AND(TRIM(AB243)&lt;&gt;"",TRIM(AB243)&lt;&gt;"Closed"),"INVALID – corrective action still open",IF(AND(NOT(OR(LEN(AZ243)&lt;15,ISNUMBER(MATCH(AZ243,L_Placeholder,0)))),BK243=0,CG243&gt;=8,NOT(OR(LEN(AU243)&lt;2,ISNUMBER(MATCH(AU243,L_Placeholder,0)))),BR243&gt;=3,NOT(OR(LEN(AX243)&lt;2,ISNUMBER(MATCH(AX243,L_Placeholder,0)))),BS243&gt;=3,TRIM(AE243)&lt;&gt;TRIM(T243),AX243&lt;&gt;AU243,CE243=0),"N/A – JUSTIFIED","INVALID – N/A needs a real, settled reason (not 'not applicable' / 'as above' / TBC), a named PIC and a different named verifier"))),IF(OR(TRIM(U243)="Pass",TRIM(U243)="Pass after CA"),IF(NOT(ISNUMBER(AD243)),"INVALID – completion time missing",IF(OR(OR(LEN(AU243)&lt;2,ISNUMBER(MATCH(AU243,L_Placeholder,0))),BR243&lt;3),"INVALID – PIC missing or not a named person (a role such as QA / CSM is not a name)",IF(OR(LEN(AV243)&lt;2,ISNUMBER(MATCH(AV243,L_Placeholder,0))),"INVALID – result / assessment missing",IF(OR(OR(LEN(AW243)&lt;3,ISNUMBER(MATCH(AW243,L_Placeholder,0))),SUMPRODUCT(--ISNUMBER(SEARCH(" "&amp;L_EvidencePhrase&amp;" ",BD243)))&gt;0,BI243=1),"INVALID – evidence missing, placeholder or not yet on file",IF(ISNA(MATCH(TRIM(S243),L_EvidenceType,0)),"INVALID – choose the evidence type from the list (column S)",IF(BL243=0,"INVALID – evidence ID must be the record's own ID only (e.g. SF-2210, IMG_2231, 1045521); a link / file name needs type 'Link / file path'",IF(OR(OR(LEN(AX243)&lt;2,ISNUMBER(MATCH(AX243,L_Placeholder,0))),BS243&lt;3),"INVALID – verifier missing or not a named person (a role such as QA / CSM is not a name)",IF(OR(AX243=AU243,CE243=1,AND(LEN(AU243)&gt;=4,ISNUMBER(SEARCH(AU243,AX243))),AND(LEN(AX243)&gt;=4,ISNUMBER(SEARCH(AX243,AU243)))),"INVALID – verifier must be a different, named person (not the PIC or a role)",IF(BH243=1,"INVALID – result not yet available (awaiting / TBC)",IF(BG243=1,"INVALID – result describes a problem: record Fail, then Pass after CA (or reword if it is not a problem)",IF(BV243=1,"INVALID – wording says not on board: an on-board confirmation needs the item loaded",IF(AND(AQ243=1,OR(OR(LEN(AY243)&lt;3,ISNUMBER(MATCH(AY243,L_Placeholder,0))),BJ243=1,BQ243=0)),"INVALID – batch ID missing, placeholder or not an ID (e.g. PASB-261008-BC-017)",IF(AND(AR243=1,OR(NOT(ISNUMBER(X243)),NOT(ISNUMBER(Y243)))),"INVALID – expected/actual qty missing",IF(AND(AR243=1,OR(X243&lt;=0,Y243&lt;0)),"INVALID – expected qty must be above 0 and actual not negative",IF(BB243&lt;&gt;"",BB243,IF(AND(AS243=1,Documents!$J$11&lt;&gt;"ON FILE"),"INVALID – GLD not on file (Documents sheet)",IF(AND(AS243=2,Documents!$O$11&lt;&gt;"ON FILE"),"INVALID – menu checklist not on file (Documents sheet)",IF(AND(AS243=3,NOT(ISNUMBER(Flights!$AX$11))),"INVALID – enter carrying flight KUL departure (Flights AX)",IF(AND(AS243=3,OR(Flights!$AZ$11&gt;Flights!$AA$11,Flights!$AX$11&lt;Flights!$AA$11-3)),"INVALID – carrying flight (Flights AX) cannot arrive before this leg's STD, or is over 3 days early",IF(AG243&gt;AsOfUTC,"INVALID – completion time is in the future",IF(AND(ISNUMBER(BY243),AG243&lt;BY243),IF(H243="Physical uplift","INVALID – before uplift window (cannot confirm loading)","INVALID – before valid window"),IF(AG243&gt;Flights!$AA$11,"INVALID – completed after departure (cannot establish readiness)",IF(AND(H243="Preparation",AG243&gt;=IF(ISNUMBER(Flights!$BA$11),MIN(Flights!$BA$11,Flights!$AA$11),Flights!$AA$11)),"INVALID – completed after loading / departure (cannot establish readiness)",IF(AND(H243="Physical uplift",AG243&gt;Q243),"INVALID – recorded after the loading flight departed",IF(AG243&gt;Q243,"COMPLETE – LATE","COMPLETE"))))))))))))))))))))))))),IF(TRIM(U243)="Fail","FAIL – DISCREPANCY",IF(AND(TRIM(U243)&lt;&gt;"",TRIM(U243)&lt;&gt;"Not started",TRIM(U243)&lt;&gt;"In progress"),"INVALID – unrecognised status (use the list)",IF(AsOfUTC&gt;Q243,"OVERDUE",IF(N243="Clarification required","OPEN – CLARIFICATION","OPEN"))))))),"INVALID – error value in an input cell")</f>
        <v>OPEN</v>
      </c>
      <c r="AI243" s="61" t="n">
        <f aca="false">IF(OR(AH243="N/A – RULE",AH243="N/A – JUSTIFIED"),0,1)</f>
        <v>1</v>
      </c>
      <c r="AJ243" s="61" t="n">
        <f aca="false">IF(LEFT(AH243,8)="COMPLETE",1,0)</f>
        <v>0</v>
      </c>
      <c r="AK243" s="61" t="n">
        <f aca="false">IF(AND(AI243=1,AJ243=0,AsOfUTC&gt;Q243),1,0)</f>
        <v>0</v>
      </c>
      <c r="AL243" s="61" t="n">
        <f aca="false">IFERROR(IF(AND(AI243=1,OR(TRIM(U243)="Fail",AND(TRIM(AB243)&lt;&gt;"",TRIM(AB243)&lt;&gt;"Closed"),AND(ISNUMBER(AF243),AF243&lt;&gt;0,TRIM(U243)&lt;&gt;"Pass after CA"))),1,0),1)</f>
        <v>0</v>
      </c>
      <c r="AM243" s="61" t="n">
        <f aca="false">IF(LEFT(AH243,7)="INVALID",1,0)</f>
        <v>0</v>
      </c>
      <c r="AN243" s="61" t="n">
        <f aca="false">IF(AND(N243="Clarification required",AI243=1,AJ243=0),1,0)</f>
        <v>0</v>
      </c>
      <c r="AO243" s="61" t="str">
        <f aca="false">IF(AK243=1,SUM(AK$5:AK243),"")</f>
        <v/>
      </c>
      <c r="AP243" s="61" t="str">
        <f aca="false">IF(AL243=1,SUM(AL$5:AL243),"")</f>
        <v/>
      </c>
      <c r="AQ243" s="61" t="n">
        <v>0</v>
      </c>
      <c r="AR243" s="61" t="n">
        <v>0</v>
      </c>
      <c r="AS243" s="61" t="n">
        <v>0</v>
      </c>
      <c r="AT243" s="61" t="n">
        <v>0</v>
      </c>
      <c r="AU243" s="61" t="str">
        <f aca="false">SUBSTITUTE(SUBSTITUTE(SUBSTITUTE(SUBSTITUTE(SUBSTITUTE(SUBSTITUTE(SUBSTITUTE(SUBSTITUTE(SUBSTITUTE(SUBSTITUTE(SUBSTITUTE(SUBSTITUTE(SUBSTITUTE(SUBSTITUTE(SUBSTITUTE(SUBSTITUTE(LOWER(T243&amp;""),CHAR(10),""),CHAR(13),""),CHAR(9),""),CHAR(160),"")," ",""),".",""),"-",""),"/",""),"?",""),"_",""),",",""),"[",""),"]",""),"(",""),")",""),"*","")</f>
        <v/>
      </c>
      <c r="AV243" s="61" t="str">
        <f aca="false">SUBSTITUTE(SUBSTITUTE(SUBSTITUTE(SUBSTITUTE(SUBSTITUTE(SUBSTITUTE(SUBSTITUTE(SUBSTITUTE(SUBSTITUTE(SUBSTITUTE(SUBSTITUTE(SUBSTITUTE(SUBSTITUTE(SUBSTITUTE(SUBSTITUTE(SUBSTITUTE(LOWER(V243&amp;""),CHAR(10),""),CHAR(13),""),CHAR(9),""),CHAR(160),"")," ",""),".",""),"-",""),"/",""),"?",""),"_",""),",",""),"[",""),"]",""),"(",""),")",""),"*","")</f>
        <v/>
      </c>
      <c r="AW243" s="61" t="str">
        <f aca="false">SUBSTITUTE(SUBSTITUTE(SUBSTITUTE(SUBSTITUTE(SUBSTITUTE(SUBSTITUTE(SUBSTITUTE(SUBSTITUTE(SUBSTITUTE(SUBSTITUTE(SUBSTITUTE(SUBSTITUTE(SUBSTITUTE(SUBSTITUTE(SUBSTITUTE(SUBSTITUTE(LOWER(Z243&amp;""),CHAR(10),""),CHAR(13),""),CHAR(9),""),CHAR(160),"")," ",""),".",""),"-",""),"/",""),"?",""),"_",""),",",""),"[",""),"]",""),"(",""),")",""),"*","")</f>
        <v/>
      </c>
      <c r="AX243" s="61" t="str">
        <f aca="false">SUBSTITUTE(SUBSTITUTE(SUBSTITUTE(SUBSTITUTE(SUBSTITUTE(SUBSTITUTE(SUBSTITUTE(SUBSTITUTE(SUBSTITUTE(SUBSTITUTE(SUBSTITUTE(SUBSTITUTE(SUBSTITUTE(SUBSTITUTE(SUBSTITUTE(SUBSTITUTE(LOWER(AE243&amp;""),CHAR(10),""),CHAR(13),""),CHAR(9),""),CHAR(160),"")," ",""),".",""),"-",""),"/",""),"?",""),"_",""),",",""),"[",""),"]",""),"(",""),")",""),"*","")</f>
        <v/>
      </c>
      <c r="AY243" s="61" t="str">
        <f aca="false">SUBSTITUTE(SUBSTITUTE(SUBSTITUTE(SUBSTITUTE(SUBSTITUTE(SUBSTITUTE(SUBSTITUTE(SUBSTITUTE(SUBSTITUTE(SUBSTITUTE(SUBSTITUTE(SUBSTITUTE(SUBSTITUTE(SUBSTITUTE(SUBSTITUTE(SUBSTITUTE(LOWER(W243&amp;""),CHAR(10),""),CHAR(13),""),CHAR(9),""),CHAR(160),"")," ",""),".",""),"-",""),"/",""),"?",""),"_",""),",",""),"[",""),"]",""),"(",""),")",""),"*","")</f>
        <v/>
      </c>
      <c r="AZ243" s="61" t="str">
        <f aca="false">SUBSTITUTE(SUBSTITUTE(SUBSTITUTE(SUBSTITUTE(SUBSTITUTE(SUBSTITUTE(SUBSTITUTE(SUBSTITUTE(SUBSTITUTE(SUBSTITUTE(SUBSTITUTE(SUBSTITUTE(SUBSTITUTE(SUBSTITUTE(SUBSTITUTE(SUBSTITUTE(LOWER(AC243&amp;""),CHAR(10),""),CHAR(13),""),CHAR(9),""),CHAR(160),"")," ",""),".",""),"-",""),"/",""),"?",""),"_",""),",",""),"[",""),"]",""),"(",""),")",""),"*","")</f>
        <v/>
      </c>
      <c r="BA243" s="61" t="str">
        <f aca="false">SUBSTITUTE(SUBSTITUTE(SUBSTITUTE(SUBSTITUTE(SUBSTITUTE(SUBSTITUTE(SUBSTITUTE(SUBSTITUTE(SUBSTITUTE(SUBSTITUTE(SUBSTITUTE(SUBSTITUTE(SUBSTITUTE(SUBSTITUTE(SUBSTITUTE(SUBSTITUTE(LOWER(AA243&amp;""),CHAR(10),""),CHAR(13),""),CHAR(9),""),CHAR(160),"")," ",""),".",""),"-",""),"/",""),"?",""),"_",""),",",""),"[",""),"]",""),"(",""),")",""),"*","")</f>
        <v/>
      </c>
      <c r="BB243" s="61" t="str">
        <f aca="false">IF(AND(TRIM(U243)="Pass",ISNUMBER(AF243)),IF(AF243&lt;&gt;0,"INVALID – qty variance: use Fail or Pass after CA",""),"")&amp;IF(AND(TRIM(U243)="Pass after CA",ISNUMBER(AF243)),IF(AF243&lt;&gt;0,"INVALID – after the corrective action the actual qty must equal expected (update Actual)",""),"")&amp;IF(AND(TRIM(U243)="Pass",TRIM(AB243)&lt;&gt;"",TRIM(AB243)&lt;&gt;"Closed"),"INVALID – corrective action not closed: use Fail, then Pass after CA","")&amp;IF(AND(LEN(BA243)&gt;=2,ISNA(MATCH(LEFT(BA243,255),L_Placeholder,0)),TRIM(AB243)=""),"INVALID – CA status missing for the recorded corrective action","")&amp;IF(AND(TRIM(U243)="Pass after CA",OR(OR(LEN(BA243)&lt;5,ISNUMBER(MATCH(BA243,L_Placeholder,0))),TRIM(AB243)&lt;&gt;"Closed")),"INVALID – corrective action not recorded/closed","")</f>
        <v/>
      </c>
      <c r="BC243" s="61" t="str">
        <f aca="false">" "&amp;TRIM(SUBSTITUTE(SUBSTITUTE(SUBSTITUTE(SUBSTITUTE(SUBSTITUTE(SUBSTITUTE(SUBSTITUTE(SUBSTITUTE(SUBSTITUTE(SUBSTITUTE(SUBSTITUTE(SUBSTITUTE(SUBSTITUTE(SUBSTITUTE(SUBSTITUTE(SUBSTITUTE(SUBSTITUTE(SUBSTITUTE(SUBSTITUTE(SUBSTITUTE(SUBSTITUTE(SUBSTITUTE(SUBSTITUTE(SUBSTITUTE(LOWER(V243&amp;""),CHAR(10)," "),CHAR(13)," "),CHAR(9)," "),CHAR(160)," "),"."," "),","," "),"-"," "),"/"," "),"("," "),")"," "),":"," "),";"," "),"_"," "),"–"," "),"?"," "),"!"," "),"*"," "),"["," "),"]"," "),"'"," "),"#"," "),"+"," "),"&amp;"," "),"\"," "))&amp;" "</f>
        <v>  </v>
      </c>
      <c r="BD243" s="61" t="str">
        <f aca="false">" "&amp;TRIM(SUBSTITUTE(SUBSTITUTE(SUBSTITUTE(SUBSTITUTE(SUBSTITUTE(SUBSTITUTE(SUBSTITUTE(SUBSTITUTE(SUBSTITUTE(SUBSTITUTE(SUBSTITUTE(SUBSTITUTE(SUBSTITUTE(SUBSTITUTE(SUBSTITUTE(SUBSTITUTE(SUBSTITUTE(SUBSTITUTE(SUBSTITUTE(SUBSTITUTE(SUBSTITUTE(SUBSTITUTE(SUBSTITUTE(SUBSTITUTE(LOWER(Z243&amp;""),CHAR(10)," "),CHAR(13)," "),CHAR(9)," "),CHAR(160)," "),"."," "),","," "),"-"," "),"/"," "),"("," "),")"," "),":"," "),";"," "),"_"," "),"–"," "),"?"," "),"!"," "),"*"," "),"["," "),"]"," "),"'"," "),"#"," "),"+"," "),"&amp;"," "),"\"," "))&amp;" "</f>
        <v>  </v>
      </c>
      <c r="BE243" s="61" t="str">
        <f aca="false">" "&amp;TRIM(SUBSTITUTE(SUBSTITUTE(SUBSTITUTE(SUBSTITUTE(SUBSTITUTE(SUBSTITUTE(SUBSTITUTE(SUBSTITUTE(SUBSTITUTE(SUBSTITUTE(SUBSTITUTE(SUBSTITUTE(SUBSTITUTE(SUBSTITUTE(SUBSTITUTE(SUBSTITUTE(SUBSTITUTE(SUBSTITUTE(SUBSTITUTE(SUBSTITUTE(SUBSTITUTE(SUBSTITUTE(SUBSTITUTE(SUBSTITUTE(LOWER(W243&amp;""),CHAR(10)," "),CHAR(13)," "),CHAR(9)," "),CHAR(160)," "),"."," "),","," "),"-"," "),"/"," "),"("," "),")"," "),":"," "),";"," "),"_"," "),"–"," "),"?"," "),"!"," "),"*"," "),"["," "),"]"," "),"'"," "),"#"," "),"+"," "),"&amp;"," "),"\"," "))&amp;" "</f>
        <v>  </v>
      </c>
      <c r="BF243" s="61" t="str">
        <f aca="false">" "&amp;TRIM(SUBSTITUTE(SUBSTITUTE(SUBSTITUTE(SUBSTITUTE(SUBSTITUTE(SUBSTITUTE(SUBSTITUTE(SUBSTITUTE(SUBSTITUTE(SUBSTITUTE(SUBSTITUTE(SUBSTITUTE(SUBSTITUTE(SUBSTITUTE(SUBSTITUTE(SUBSTITUTE(SUBSTITUTE(SUBSTITUTE(SUBSTITUTE(SUBSTITUTE(SUBSTITUTE(SUBSTITUTE(SUBSTITUTE(SUBSTITUTE(LOWER(AC243&amp;""),CHAR(10)," "),CHAR(13)," "),CHAR(9)," "),CHAR(160)," "),"."," "),","," "),"-"," "),"/"," "),"("," "),")"," "),":"," "),";"," "),"_"," "),"–"," "),"?"," "),"!"," "),"*"," "),"["," "),"]"," "),"'"," "),"#"," "),"+"," "),"&amp;"," "),"\"," "))&amp;" "</f>
        <v>  </v>
      </c>
      <c r="BG243" s="61" t="n">
        <f aca="false">IFERROR(IF(AND(TRIM(U243)="Pass",SUMPRODUCT((LEN(BC243)-LEN(SUBSTITUTE(BC243," "&amp;L_ResultBad&amp;" "," ")))/(LEN(L_ResultBad)+1))&gt;SUMPRODUCT((LEN(BC243)-LEN(SUBSTITUTE(BC243," "&amp;L_NegPhrase&amp;" "," ")))/(LEN(L_NegPhrase)+1))),1,0),0)</f>
        <v>0</v>
      </c>
      <c r="BH243" s="61" t="n">
        <f aca="false">IFERROR(IF(SUMPRODUCT((LEN(BC243)-LEN(SUBSTITUTE(BC243," "&amp;L_Pending&amp;" "," ")))/(LEN(L_Pending)+1))&gt;SUMPRODUCT((LEN(BC243)-LEN(SUBSTITUTE(BC243," "&amp;L_PendNeg&amp;" "," ")))/(LEN(L_PendNeg)+1))+SUMPRODUCT((LEN(BC243)-LEN(SUBSTITUTE(BC243," "&amp;L_PendPrep&amp;" "," ")))/(LEN(L_PendPrep)+1)),1,0),1)</f>
        <v>0</v>
      </c>
      <c r="BI243" s="61" t="n">
        <f aca="false">IFERROR(IF(SUMPRODUCT((LEN(BD243)-LEN(SUBSTITUTE(BD243," "&amp;L_PendStrict&amp;" "," ")))/(LEN(L_PendStrict)+1))&gt;SUMPRODUCT((LEN(BD243)-LEN(SUBSTITUTE(BD243," "&amp;L_PendNeg&amp;" "," ")))/(LEN(L_PendNeg)+1)),1,0),1)</f>
        <v>0</v>
      </c>
      <c r="BJ243" s="61" t="n">
        <f aca="false">IFERROR(IF(SUMPRODUCT((LEN(BE243)-LEN(SUBSTITUTE(BE243," "&amp;L_Pending&amp;" "," ")))/(LEN(L_Pending)+1))&gt;SUMPRODUCT((LEN(BE243)-LEN(SUBSTITUTE(BE243," "&amp;L_PendNeg&amp;" "," ")))/(LEN(L_PendNeg)+1))+SUMPRODUCT((LEN(BE243)-LEN(SUBSTITUTE(BE243," "&amp;L_PendPrep&amp;" "," ")))/(LEN(L_PendPrep)+1)),1,0),1)</f>
        <v>0</v>
      </c>
      <c r="BK243" s="61" t="n">
        <f aca="false">IFERROR(IF(SUMPRODUCT((LEN(BF243)-LEN(SUBSTITUTE(BF243," "&amp;L_PendStrict&amp;" "," ")))/(LEN(L_PendStrict)+1))&gt;SUMPRODUCT((LEN(BF243)-LEN(SUBSTITUTE(BF243," "&amp;L_PendNeg&amp;" "," ")))/(LEN(L_PendNeg)+1)),1,0),1)</f>
        <v>0</v>
      </c>
      <c r="BL243" s="61" t="n">
        <f aca="false">IF(ISNA(MATCH(TRIM(S243),L_EvidenceType,0)),0,BZ243)</f>
        <v>0</v>
      </c>
      <c r="BM243" s="61" t="str">
        <f aca="false">SUBSTITUTE(SUBSTITUTE(SUBSTITUTE(SUBSTITUTE(SUBSTITUTE(SUBSTITUTE(SUBSTITUTE(SUBSTITUTE(SUBSTITUTE(LOWER(Z243&amp;""),"1","0"),"2","0"),"3","0"),"4","0"),"5","0"),"6","0"),"7","0"),"8","0"),"9","0")</f>
        <v/>
      </c>
      <c r="BN243" s="61" t="str">
        <f aca="false">SUBSTITUTE(SUBSTITUTE(SUBSTITUTE(SUBSTITUTE(SUBSTITUTE(SUBSTITUTE(SUBSTITUTE(SUBSTITUTE(SUBSTITUTE(SUBSTITUTE(SUBSTITUTE(SUBSTITUTE(SUBSTITUTE(SUBSTITUTE(SUBSTITUTE(SUBSTITUTE(SUBSTITUTE(SUBSTITUTE(SUBSTITUTE(SUBSTITUTE(SUBSTITUTE(SUBSTITUTE(SUBSTITUTE(SUBSTITUTE(SUBSTITUTE(BM243,"b","a"),"c","a"),"d","a"),"e","a"),"f","a"),"g","a"),"h","a"),"i","a"),"j","a"),"k","a"),"l","a"),"m","a"),"n","a"),"o","a"),"p","a"),"q","a"),"r","a"),"s","a"),"t","a"),"u","a"),"v","a"),"w","a"),"x","a"),"y","a"),"z","a")</f>
        <v/>
      </c>
      <c r="BO243" s="61" t="str">
        <f aca="false">SUBSTITUTE(SUBSTITUTE(SUBSTITUTE(SUBSTITUTE(SUBSTITUTE(SUBSTITUTE(SUBSTITUTE(SUBSTITUTE(SUBSTITUTE(LOWER(W243&amp;""),"1","0"),"2","0"),"3","0"),"4","0"),"5","0"),"6","0"),"7","0"),"8","0"),"9","0")</f>
        <v/>
      </c>
      <c r="BP243" s="61" t="str">
        <f aca="false">SUBSTITUTE(SUBSTITUTE(SUBSTITUTE(SUBSTITUTE(SUBSTITUTE(SUBSTITUTE(SUBSTITUTE(SUBSTITUTE(SUBSTITUTE(SUBSTITUTE(SUBSTITUTE(SUBSTITUTE(SUBSTITUTE(SUBSTITUTE(SUBSTITUTE(SUBSTITUTE(SUBSTITUTE(SUBSTITUTE(SUBSTITUTE(SUBSTITUTE(SUBSTITUTE(SUBSTITUTE(SUBSTITUTE(SUBSTITUTE(SUBSTITUTE(BO243,"b","a"),"c","a"),"d","a"),"e","a"),"f","a"),"g","a"),"h","a"),"i","a"),"j","a"),"k","a"),"l","a"),"m","a"),"n","a"),"o","a"),"p","a"),"q","a"),"r","a"),"s","a"),"t","a"),"u","a"),"v","a"),"w","a"),"x","a"),"y","a"),"z","a")</f>
        <v/>
      </c>
      <c r="BQ243" s="61" t="n">
        <f aca="false">IFERROR(IF(AND(ISERROR(SEARCH(" mh"," "&amp;LOWER(W243))),ISNA(MATCH(LEFT(TRIM(BP243),255),{"0000a","000a","00a","0000aa","000aa","00aa","0aa","0000aaa","000aaa","00a00","0a00","0000-0000","00:00","a00","a0","00.00.0000","00/00/0000","00-00-0000","0000-00-00","0000/00/00","0000.00.00","00.00.00","00/00/00","00-00-00","0.00.0000","0/00/0000","0-00-0000"},0)),ISNA(MATCH(LEFT(TRIM(CA243),255),{"0000a","000a","00a","0000aa","000aa","00aa","0aa","0000aaa","000aaa","00a00","0a00","0000-0000","00:00","a00","a0","00.00.0000","00/00/0000","00-00-0000","0000-00-00","0000/00/00","0000.00.00","00.00.00","00/00/00","00-00-00","0.00.0000","0/00/0000","0-00-0000"},0)),LEN(CB243)&gt;=3,NOT(OR(SUBSTITUTE(CB243,"0","")="",AND(LEN(CB243)&gt;=4,CB243=REPT(LEFT(CB243),LEN(CB243))),ISNUMBER(MATCH(CB243,{"123","1234","12345","123456","1234567","12345678","0123","01234","012345","98765","987654","54321"},0)),AND(LEN(CB243)=8,LEFT(CB243,3)="202"))),OR(AND((LEN(CA243)-LEN(SUBSTITUTE(CA243,"a","")))&gt;=1,SUMPRODUCT(--ISNUMBER(SEARCH({"a0","a-0","a_0","a/0","a.0","a#0","0a","0-a","0_a","0/a"},BP243)))&gt;0),ISNUMBER(SEARCH("000000",BP243)))),1,0),0)</f>
        <v>0</v>
      </c>
      <c r="BR243" s="61" t="n">
        <f aca="false">IFERROR(LEN(SUBSTITUTE(CC243," ",""))-SUMPRODUCT((LEN(CC243)-LEN(SUBSTITUTE(CC243," "&amp;L_Role&amp;" "," ")))/(LEN(L_Role)+1)*LEN(L_Role)),0)</f>
        <v>0</v>
      </c>
      <c r="BS243" s="61" t="n">
        <f aca="false">IFERROR(LEN(SUBSTITUTE(CD243," ",""))-SUMPRODUCT((LEN(CD243)-LEN(SUBSTITUTE(CD243," "&amp;L_Role&amp;" "," ")))/(LEN(L_Role)+1)*LEN(L_Role)),0)</f>
        <v>0</v>
      </c>
      <c r="BT2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243,"revision",""),"version",""),"jan",""),"feb",""),"mar",""),"apr",""),"may",""),"jun",""),"jul",""),"aug",""),"sep",""),"oct",""),"nov",""),"dec",""),"utc",""),"gmt",""),"myt",""),"bst",""),"rev",""),"ver",""),"b","a"),"c","a"),"d","a"),"e","a"),"f","a"),"g","a"),"h","a"),"i","a"),"j","a"),"k","a"),"l","a"),"m","a"),"n","a"),"o","a"),"p","a"),"q","a"),"r","a"),"s","a"),"t","a"),"u","a"),"v","a"),"w","a"),"x","a"),"y","a"),"z","a")</f>
        <v/>
      </c>
      <c r="BU243" s="61" t="str">
        <f aca="false">SUBSTITUTE(SUBSTITUTE(SUBSTITUTE(SUBSTITUTE(SUBSTITUTE(SUBSTITUTE(SUBSTITUTE(SUBSTITUTE(SUBSTITUTE(SUBSTITUTE(LEFT(BM243,FIND("0",BM243&amp;"0")-1),"-",""),"_",""),"/",""),".",""),"#",""),"\\",""),":","")," ",""),"(",""),")","")</f>
        <v/>
      </c>
      <c r="BV243" s="61" t="n">
        <f aca="false">0</f>
        <v>0</v>
      </c>
      <c r="BW2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243&amp;""),"a",""),"b",""),"c",""),"d",""),"e",""),"f",""),"g",""),"h",""),"i",""),"j",""),"k",""),"l",""),"m",""),"n",""),"o",""),"p",""),"q",""),"r",""),"s",""),"t",""),"u",""),"v",""),"w",""),"x",""),"y",""),"z",""),"-",""),"_",""),"/",""),".",""),"#",""),"\\",""),":","")," ",""),"(",""),")","")</f>
        <v/>
      </c>
      <c r="BX243" s="61" t="str">
        <f aca="false">SUBSTITUTE(SUBSTITUTE(SUBSTITUTE(SUBSTITUTE(SUBSTITUTE(SUBSTITUTE(SUBSTITUTE(SUBSTITUTE(SUBSTITUTE(SUBSTITUTE(SUBSTITUTE(BM243,"0",""),"-",""),"_",""),"/",""),".",""),"#",""),"\\",""),":","")," ",""),"(",""),")","")</f>
        <v/>
      </c>
      <c r="BY243" s="62" t="n">
        <f aca="false">Q243-T12EarlyH/24</f>
        <v>46303.4166666667</v>
      </c>
      <c r="BZ243" s="61" t="n">
        <f aca="false">IFERROR(IF(IF(TRIM(S243)="Link / file path",AND(LEN(TRIM(Z243))&gt;=5,SUMPRODUCT(--ISNUMBER(SEARCH({"http","www.","\\",":\",".pdf",".jpg",".jpeg",".png",".heic",".xls",".doc",".msg",".eml",".ppt",".txt",".zip"},Z243)))&gt;0),AND(ISERROR(FIND(" ",TRIM(Z243))),NOT(OR(SUMPRODUCT(--ISNUMBER(FIND({",",";","&amp;","+"},Z243)))&gt;0,SUMPRODUCT(--ISNUMBER(SEARCH({"0/aa","0\\aa"},BN243)))&gt;0)),NOT(SUMPRODUCT(--ISNUMBER(SEARCH({"http","www.","\\",":\",".pdf",".jpg",".jpeg",".png",".heic",".xls",".doc",".msg",".eml",".ppt",".txt",".zip"},Z243)))&gt;0),NOT(LOWER(TRIM(Z243))=LOWER(Flights!$F$11)),ISNA(MATCH(BU243,{"mh","rev","revision","ver","version","v","r","a","b","seat","tray","row","gate","bay","stand","page","pg","item","line","no","cart","galley","flight","flt","table","box","bag","oven","etd","eta","std","sta","atd","ata","qty","pax","x","time","tel","ph","mob","day","wk","week","utc","gmt","myt","lt"},0)),NOT(OR(ISNUMBER(MATCH(LEFT(BN243,255),{"0000a","000a","00a","0000aa","000aa","00aa","0aa","0000aaa","000aaa","00a00","0a00","0000-0000","00:00","a00","a0","00.00.0000","00/00/0000","00-00-0000","0000-00-00","0000/00/00","0000.00.00","00.00.00","00/00/00","00-00-00","0.00.0000","0/00/0000","0-00-0000"},0)),ISNUMBER(MATCH(LEFT(BT243,255),{"0000a","000a","00a","0000aa","000aa","00aa","0aa","0000aaa","000aaa","00a00","0a00","0000-0000","00:00","a00","a0","00.00.0000","00/00/0000","00-00-0000","0000-00-00","0000/00/00","0000.00.00","00.00.00","00/00/00","00-00-00","0.00.0000","0/00/0000","0-00-0000"},0)))),NOT(OR(AND(BW243&lt;&gt;"",SUBSTITUTE(BW243,"0","")=""),AND(LEN(BW243)&gt;=4,BW243=REPT(LEFT(BW243),LEN(BW243))),ISNUMBER(MATCH(BW243,{"123","1234","12345","123456","1234567","12345678","0123","01234","012345","98765","987654","54321"},0)),ISNUMBER(MATCH(BX243,{"x","xx","xxx","xxxx","xxxxx","abc","abcd","nil","na","nan","test","tbc","tba","tbd","dummy","sample","example","eg","zz","zzz","none","null","xyz","qwe","asd","id","ref"},0)),AND(LEN(BW243)=8,BX243="",OR(LEFT(BW243,3)="202",ISNUMBER(MATCH(RIGHT(BW243,4),{"2025","2026","2027"},0)))))),OR(AND((LEN(BT243)-LEN(SUBSTITUTE(BT243,"a","")))&gt;=1,(LEN(BN243)-LEN(SUBSTITUTE(BN243,"0","")))&gt;=2,SUMPRODUCT(--ISNUMBER(SEARCH({"a0","a-0","a_0","a/0","a.0","a#0","0a","0-a","0_a","0/a"},BN243)))&gt;0),AND((LEN(BN243)-LEN(SUBSTITUTE(BN243,"a","")))=0,(LEN(BN243)-LEN(SUBSTITUTE(BN243,"0","")))&gt;=5)))),1,0),0)</f>
        <v>0</v>
      </c>
      <c r="CA2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243,"revision",""),"version",""),"jan",""),"feb",""),"mar",""),"apr",""),"may",""),"jun",""),"jul",""),"aug",""),"sep",""),"oct",""),"nov",""),"dec",""),"utc",""),"gmt",""),"myt",""),"bst",""),"rev",""),"ver",""),"b","a"),"c","a"),"d","a"),"e","a"),"f","a"),"g","a"),"h","a"),"i","a"),"j","a"),"k","a"),"l","a"),"m","a"),"n","a"),"o","a"),"p","a"),"q","a"),"r","a"),"s","a"),"t","a"),"u","a"),"v","a"),"w","a"),"x","a"),"y","a"),"z","a")</f>
        <v/>
      </c>
      <c r="CB2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243&amp;""),"a",""),"b",""),"c",""),"d",""),"e",""),"f",""),"g",""),"h",""),"i",""),"j",""),"k",""),"l",""),"m",""),"n",""),"o",""),"p",""),"q",""),"r",""),"s",""),"t",""),"u",""),"v",""),"w",""),"x",""),"y",""),"z",""),"-",""),"_",""),"/",""),".",""),"#",""),"\\",""),":","")," ",""),"(",""),")","")</f>
        <v/>
      </c>
      <c r="CC243" s="0" t="str">
        <f aca="false">" "&amp;TRIM(SUBSTITUTE(SUBSTITUTE(SUBSTITUTE(SUBSTITUTE(SUBSTITUTE(SUBSTITUTE(SUBSTITUTE(SUBSTITUTE(SUBSTITUTE(SUBSTITUTE(SUBSTITUTE(SUBSTITUTE(SUBSTITUTE(SUBSTITUTE(SUBSTITUTE(SUBSTITUTE(SUBSTITUTE(SUBSTITUTE(SUBSTITUTE(SUBSTITUTE(SUBSTITUTE(SUBSTITUTE(SUBSTITUTE(SUBSTITUTE(LOWER(T243&amp;""),CHAR(10)," "),CHAR(13)," "),CHAR(9)," "),CHAR(160)," "),"."," "),","," "),"-"," "),"/"," "),"("," "),")"," "),":"," "),";"," "),"_"," "),"–"," "),"?"," "),"!"," "),"*"," "),"["," "),"]"," "),"'"," "),"#"," "),"+"," "),"&amp;"," "),"\"," "))&amp;" "</f>
        <v>  </v>
      </c>
      <c r="CD243" s="0" t="str">
        <f aca="false">" "&amp;TRIM(SUBSTITUTE(SUBSTITUTE(SUBSTITUTE(SUBSTITUTE(SUBSTITUTE(SUBSTITUTE(SUBSTITUTE(SUBSTITUTE(SUBSTITUTE(SUBSTITUTE(SUBSTITUTE(SUBSTITUTE(SUBSTITUTE(SUBSTITUTE(SUBSTITUTE(SUBSTITUTE(SUBSTITUTE(SUBSTITUTE(SUBSTITUTE(SUBSTITUTE(SUBSTITUTE(SUBSTITUTE(SUBSTITUTE(SUBSTITUTE(LOWER(AE243&amp;""),CHAR(10)," "),CHAR(13)," "),CHAR(9)," "),CHAR(160)," "),"."," "),","," "),"-"," "),"/"," "),"("," "),")"," "),":"," "),";"," "),"_"," "),"–"," "),"?"," "),"!"," "),"*"," "),"["," "),"]"," "),"'"," "),"#"," "),"+"," "),"&amp;"," "),"\"," "))&amp;" "</f>
        <v>  </v>
      </c>
      <c r="CE243" s="68" t="n">
        <f aca="false">IFERROR(IF(AND(LEN(AU243)&gt;0,LEN(AU243)=LEN(AX243),OR(TRIM(MID(SUBSTITUTE(TRIM(CC243)," ",REPT(" ",60)),1,60))="",ISNUMBER(SEARCH(" "&amp;TRIM(MID(SUBSTITUTE(TRIM(CC243)," ",REPT(" ",60)),1,60))&amp;" ",CD243))),OR(TRIM(MID(SUBSTITUTE(TRIM(CC243)," ",REPT(" ",60)),61,60))="",ISNUMBER(SEARCH(" "&amp;TRIM(MID(SUBSTITUTE(TRIM(CC243)," ",REPT(" ",60)),61,60))&amp;" ",CD243))),OR(TRIM(MID(SUBSTITUTE(TRIM(CC243)," ",REPT(" ",60)),121,60))="",ISNUMBER(SEARCH(" "&amp;TRIM(MID(SUBSTITUTE(TRIM(CC243)," ",REPT(" ",60)),121,60))&amp;" ",CD243)))),1,0),0)</f>
        <v>0</v>
      </c>
      <c r="CG243" s="68" t="n">
        <f aca="false">IFERROR(LEN(SUBSTITUTE(BF243," ",""))-SUMPRODUCT((LEN(BF243)-LEN(SUBSTITUTE(BF243," "&amp;L_NAFiller&amp;" "," ")))/(LEN(L_NAFiller)+1)*LEN(L_NAFiller)),0)</f>
        <v>0</v>
      </c>
    </row>
    <row r="244" customFormat="false" ht="54" hidden="false" customHeight="true" outlineLevel="0" collapsed="false">
      <c r="A244" s="57" t="s">
        <v>811</v>
      </c>
      <c r="B244" s="57" t="s">
        <v>235</v>
      </c>
      <c r="C244" s="57" t="str">
        <f aca="false">Flights!$F$11</f>
        <v>MH0003</v>
      </c>
      <c r="D244" s="58" t="n">
        <f aca="false">Flights!$D$11</f>
        <v>46304</v>
      </c>
      <c r="E244" s="57" t="str">
        <f aca="false">Flights!$G$11&amp;"-"&amp;Flights!$H$11</f>
        <v>LHR-KUL</v>
      </c>
      <c r="F244" s="57" t="str">
        <f aca="false">Flights!$K$11</f>
        <v>BC</v>
      </c>
      <c r="G244" s="57" t="s">
        <v>420</v>
      </c>
      <c r="H244" s="57" t="s">
        <v>378</v>
      </c>
      <c r="I244" s="57" t="s">
        <v>629</v>
      </c>
      <c r="J244" s="57" t="s">
        <v>630</v>
      </c>
      <c r="K244" s="67" t="s">
        <v>501</v>
      </c>
      <c r="L244" s="67" t="s">
        <v>756</v>
      </c>
      <c r="M244" s="67" t="s">
        <v>187</v>
      </c>
      <c r="N244" s="67" t="s">
        <v>383</v>
      </c>
      <c r="O244" s="67" t="s">
        <v>812</v>
      </c>
      <c r="P244" s="57" t="s">
        <v>187</v>
      </c>
      <c r="Q244" s="59" t="n">
        <f aca="false">ROUND((MIN(Flights!$AE$11,Flights!$AY$11))*1440,0)/1440</f>
        <v>46303.6006944444</v>
      </c>
      <c r="R244" s="59" t="n">
        <f aca="false">Q244+(IF(AND(INDEX(TZ_DSTS,MATCH(P244,TZ_STN,0))&lt;&gt;"",Q244&gt;=INDEX(TZ_DSTS,MATCH(P244,TZ_STN,0)),Q244&lt;INDEX(TZ_DSTE,MATCH(P244,TZ_STN,0))),INDEX(TZ_DST,MATCH(P244,TZ_STN,0)),INDEX(TZ_STD,MATCH(P244,TZ_STN,0))))/24</f>
        <v>46303.9340277778</v>
      </c>
      <c r="S244" s="60"/>
      <c r="T244" s="60"/>
      <c r="U244" s="60"/>
      <c r="V244" s="60"/>
      <c r="W244" s="61"/>
      <c r="X244" s="60"/>
      <c r="Y244" s="60"/>
      <c r="Z244" s="60"/>
      <c r="AA244" s="60"/>
      <c r="AB244" s="60"/>
      <c r="AC244" s="60"/>
      <c r="AD244" s="66"/>
      <c r="AE244" s="60"/>
      <c r="AF244" s="61" t="str">
        <f aca="false">IF(AND(ISNUMBER(X244),ISNUMBER(Y244)),Y244-X244,"")</f>
        <v/>
      </c>
      <c r="AG244" s="62" t="str">
        <f aca="false">IF(ISNUMBER(AD244),AD244-(IF(AND(INDEX(TZ_DSTS,MATCH(P244,TZ_STN,0))&lt;&gt;"",(AD244-INDEX(TZ_STD,MATCH(P244,TZ_STN,0))/24)&gt;=INDEX(TZ_DSTS,MATCH(P244,TZ_STN,0)),(AD244-INDEX(TZ_STD,MATCH(P244,TZ_STN,0))/24)&lt;INDEX(TZ_DSTE,MATCH(P244,TZ_STN,0))),INDEX(TZ_DST,MATCH(P244,TZ_STN,0)),INDEX(TZ_STD,MATCH(P244,TZ_STN,0))))/24,"")</f>
        <v/>
      </c>
      <c r="AH244" s="65" t="str">
        <f aca="false">IFERROR(IF(N244="N/A – rule",IF(OR(TRIM(U244)="",TRIM(U244)="N/A",TRIM(U244)="Not started"),"N/A – RULE","INVALID – this check does not apply to this aircraft: clear the status (or correct the fleet on Flights)"),IF(TRIM(U244)="N/A",IF(AT244=0,"INVALID – N/A not permitted for this check",IF(AND(TRIM(AB244)&lt;&gt;"",TRIM(AB244)&lt;&gt;"Closed"),"INVALID – corrective action still open",IF(AND(NOT(OR(LEN(AZ244)&lt;15,ISNUMBER(MATCH(AZ244,L_Placeholder,0)))),BK244=0,CG244&gt;=8,NOT(OR(LEN(AU244)&lt;2,ISNUMBER(MATCH(AU244,L_Placeholder,0)))),BR244&gt;=3,NOT(OR(LEN(AX244)&lt;2,ISNUMBER(MATCH(AX244,L_Placeholder,0)))),BS244&gt;=3,TRIM(AE244)&lt;&gt;TRIM(T244),AX244&lt;&gt;AU244,CE244=0),"N/A – JUSTIFIED","INVALID – N/A needs a real, settled reason (not 'not applicable' / 'as above' / TBC), a named PIC and a different named verifier"))),IF(OR(TRIM(U244)="Pass",TRIM(U244)="Pass after CA"),IF(NOT(ISNUMBER(AD244)),"INVALID – completion time missing",IF(OR(OR(LEN(AU244)&lt;2,ISNUMBER(MATCH(AU244,L_Placeholder,0))),BR244&lt;3),"INVALID – PIC missing or not a named person (a role such as QA / CSM is not a name)",IF(OR(LEN(AV244)&lt;2,ISNUMBER(MATCH(AV244,L_Placeholder,0))),"INVALID – result / assessment missing",IF(OR(OR(LEN(AW244)&lt;3,ISNUMBER(MATCH(AW244,L_Placeholder,0))),SUMPRODUCT(--ISNUMBER(SEARCH(" "&amp;L_EvidencePhrase&amp;" ",BD244)))&gt;0,BI244=1),"INVALID – evidence missing, placeholder or not yet on file",IF(ISNA(MATCH(TRIM(S244),L_EvidenceType,0)),"INVALID – choose the evidence type from the list (column S)",IF(BL244=0,"INVALID – evidence ID must be the record's own ID only (e.g. SF-2210, IMG_2231, 1045521); a link / file name needs type 'Link / file path'",IF(OR(OR(LEN(AX244)&lt;2,ISNUMBER(MATCH(AX244,L_Placeholder,0))),BS244&lt;3),"INVALID – verifier missing or not a named person (a role such as QA / CSM is not a name)",IF(OR(AX244=AU244,CE244=1,AND(LEN(AU244)&gt;=4,ISNUMBER(SEARCH(AU244,AX244))),AND(LEN(AX244)&gt;=4,ISNUMBER(SEARCH(AX244,AU244)))),"INVALID – verifier must be a different, named person (not the PIC or a role)",IF(BH244=1,"INVALID – result not yet available (awaiting / TBC)",IF(BG244=1,"INVALID – result describes a problem: record Fail, then Pass after CA (or reword if it is not a problem)",IF(BV244=1,"INVALID – wording says not on board: an on-board confirmation needs the item loaded",IF(AND(AQ244=1,OR(OR(LEN(AY244)&lt;3,ISNUMBER(MATCH(AY244,L_Placeholder,0))),BJ244=1,BQ244=0)),"INVALID – batch ID missing, placeholder or not an ID (e.g. PASB-261008-BC-017)",IF(AND(AR244=1,OR(NOT(ISNUMBER(X244)),NOT(ISNUMBER(Y244)))),"INVALID – expected/actual qty missing",IF(AND(AR244=1,OR(X244&lt;=0,Y244&lt;0)),"INVALID – expected qty must be above 0 and actual not negative",IF(BB244&lt;&gt;"",BB244,IF(AND(AS244=1,Documents!$J$11&lt;&gt;"ON FILE"),"INVALID – GLD not on file (Documents sheet)",IF(AND(AS244=2,Documents!$O$11&lt;&gt;"ON FILE"),"INVALID – menu checklist not on file (Documents sheet)",IF(AND(AS244=3,NOT(ISNUMBER(Flights!$AX$11))),"INVALID – enter carrying flight KUL departure (Flights AX)",IF(AND(AS244=3,OR(Flights!$AZ$11&gt;Flights!$AA$11,Flights!$AX$11&lt;Flights!$AA$11-3)),"INVALID – carrying flight (Flights AX) cannot arrive before this leg's STD, or is over 3 days early",IF(AG244&gt;AsOfUTC,"INVALID – completion time is in the future",IF(AND(ISNUMBER(BY244),AG244&lt;BY244),IF(H244="Physical uplift","INVALID – before uplift window (cannot confirm loading)","INVALID – before valid window"),IF(AG244&gt;Flights!$AA$11,"INVALID – completed after departure (cannot establish readiness)",IF(AND(H244="Preparation",AG244&gt;=Flights!$AY$11+UpliftWindowH/24),"INVALID – completed after the carrying flight left KUL",IF(AND(H244="Physical uplift",AG244&gt;Q244),"INVALID – recorded after the loading flight departed",IF(AG244&gt;Q244,"COMPLETE – LATE","COMPLETE"))))))))))))))))))))))))),IF(TRIM(U244)="Fail","FAIL – DISCREPANCY",IF(AND(TRIM(U244)&lt;&gt;"",TRIM(U244)&lt;&gt;"Not started",TRIM(U244)&lt;&gt;"In progress"),"INVALID – unrecognised status (use the list)",IF(AsOfUTC&gt;Q244,"OVERDUE",IF(N244="Clarification required","OPEN – CLARIFICATION","OPEN"))))))),"INVALID – error value in an input cell")</f>
        <v>OPEN</v>
      </c>
      <c r="AI244" s="61" t="n">
        <f aca="false">IF(OR(AH244="N/A – RULE",AH244="N/A – JUSTIFIED"),0,1)</f>
        <v>1</v>
      </c>
      <c r="AJ244" s="61" t="n">
        <f aca="false">IF(LEFT(AH244,8)="COMPLETE",1,0)</f>
        <v>0</v>
      </c>
      <c r="AK244" s="61" t="n">
        <f aca="false">IF(AND(AI244=1,AJ244=0,AsOfUTC&gt;Q244),1,0)</f>
        <v>0</v>
      </c>
      <c r="AL244" s="61" t="n">
        <f aca="false">IFERROR(IF(AND(AI244=1,OR(TRIM(U244)="Fail",AND(TRIM(AB244)&lt;&gt;"",TRIM(AB244)&lt;&gt;"Closed"),AND(ISNUMBER(AF244),AF244&lt;&gt;0,TRIM(U244)&lt;&gt;"Pass after CA"))),1,0),1)</f>
        <v>0</v>
      </c>
      <c r="AM244" s="61" t="n">
        <f aca="false">IF(LEFT(AH244,7)="INVALID",1,0)</f>
        <v>0</v>
      </c>
      <c r="AN244" s="61" t="n">
        <f aca="false">IF(AND(N244="Clarification required",AI244=1,AJ244=0),1,0)</f>
        <v>0</v>
      </c>
      <c r="AO244" s="61" t="str">
        <f aca="false">IF(AK244=1,SUM(AK$5:AK244),"")</f>
        <v/>
      </c>
      <c r="AP244" s="61" t="str">
        <f aca="false">IF(AL244=1,SUM(AL$5:AL244),"")</f>
        <v/>
      </c>
      <c r="AQ244" s="61" t="n">
        <v>0</v>
      </c>
      <c r="AR244" s="61" t="n">
        <v>0</v>
      </c>
      <c r="AS244" s="61" t="n">
        <v>0</v>
      </c>
      <c r="AT244" s="61" t="n">
        <v>0</v>
      </c>
      <c r="AU244" s="61" t="str">
        <f aca="false">SUBSTITUTE(SUBSTITUTE(SUBSTITUTE(SUBSTITUTE(SUBSTITUTE(SUBSTITUTE(SUBSTITUTE(SUBSTITUTE(SUBSTITUTE(SUBSTITUTE(SUBSTITUTE(SUBSTITUTE(SUBSTITUTE(SUBSTITUTE(SUBSTITUTE(SUBSTITUTE(LOWER(T244&amp;""),CHAR(10),""),CHAR(13),""),CHAR(9),""),CHAR(160),"")," ",""),".",""),"-",""),"/",""),"?",""),"_",""),",",""),"[",""),"]",""),"(",""),")",""),"*","")</f>
        <v/>
      </c>
      <c r="AV244" s="61" t="str">
        <f aca="false">SUBSTITUTE(SUBSTITUTE(SUBSTITUTE(SUBSTITUTE(SUBSTITUTE(SUBSTITUTE(SUBSTITUTE(SUBSTITUTE(SUBSTITUTE(SUBSTITUTE(SUBSTITUTE(SUBSTITUTE(SUBSTITUTE(SUBSTITUTE(SUBSTITUTE(SUBSTITUTE(LOWER(V244&amp;""),CHAR(10),""),CHAR(13),""),CHAR(9),""),CHAR(160),"")," ",""),".",""),"-",""),"/",""),"?",""),"_",""),",",""),"[",""),"]",""),"(",""),")",""),"*","")</f>
        <v/>
      </c>
      <c r="AW244" s="61" t="str">
        <f aca="false">SUBSTITUTE(SUBSTITUTE(SUBSTITUTE(SUBSTITUTE(SUBSTITUTE(SUBSTITUTE(SUBSTITUTE(SUBSTITUTE(SUBSTITUTE(SUBSTITUTE(SUBSTITUTE(SUBSTITUTE(SUBSTITUTE(SUBSTITUTE(SUBSTITUTE(SUBSTITUTE(LOWER(Z244&amp;""),CHAR(10),""),CHAR(13),""),CHAR(9),""),CHAR(160),"")," ",""),".",""),"-",""),"/",""),"?",""),"_",""),",",""),"[",""),"]",""),"(",""),")",""),"*","")</f>
        <v/>
      </c>
      <c r="AX244" s="61" t="str">
        <f aca="false">SUBSTITUTE(SUBSTITUTE(SUBSTITUTE(SUBSTITUTE(SUBSTITUTE(SUBSTITUTE(SUBSTITUTE(SUBSTITUTE(SUBSTITUTE(SUBSTITUTE(SUBSTITUTE(SUBSTITUTE(SUBSTITUTE(SUBSTITUTE(SUBSTITUTE(SUBSTITUTE(LOWER(AE244&amp;""),CHAR(10),""),CHAR(13),""),CHAR(9),""),CHAR(160),"")," ",""),".",""),"-",""),"/",""),"?",""),"_",""),",",""),"[",""),"]",""),"(",""),")",""),"*","")</f>
        <v/>
      </c>
      <c r="AY244" s="61" t="str">
        <f aca="false">SUBSTITUTE(SUBSTITUTE(SUBSTITUTE(SUBSTITUTE(SUBSTITUTE(SUBSTITUTE(SUBSTITUTE(SUBSTITUTE(SUBSTITUTE(SUBSTITUTE(SUBSTITUTE(SUBSTITUTE(SUBSTITUTE(SUBSTITUTE(SUBSTITUTE(SUBSTITUTE(LOWER(W244&amp;""),CHAR(10),""),CHAR(13),""),CHAR(9),""),CHAR(160),"")," ",""),".",""),"-",""),"/",""),"?",""),"_",""),",",""),"[",""),"]",""),"(",""),")",""),"*","")</f>
        <v/>
      </c>
      <c r="AZ244" s="61" t="str">
        <f aca="false">SUBSTITUTE(SUBSTITUTE(SUBSTITUTE(SUBSTITUTE(SUBSTITUTE(SUBSTITUTE(SUBSTITUTE(SUBSTITUTE(SUBSTITUTE(SUBSTITUTE(SUBSTITUTE(SUBSTITUTE(SUBSTITUTE(SUBSTITUTE(SUBSTITUTE(SUBSTITUTE(LOWER(AC244&amp;""),CHAR(10),""),CHAR(13),""),CHAR(9),""),CHAR(160),"")," ",""),".",""),"-",""),"/",""),"?",""),"_",""),",",""),"[",""),"]",""),"(",""),")",""),"*","")</f>
        <v/>
      </c>
      <c r="BA244" s="61" t="str">
        <f aca="false">SUBSTITUTE(SUBSTITUTE(SUBSTITUTE(SUBSTITUTE(SUBSTITUTE(SUBSTITUTE(SUBSTITUTE(SUBSTITUTE(SUBSTITUTE(SUBSTITUTE(SUBSTITUTE(SUBSTITUTE(SUBSTITUTE(SUBSTITUTE(SUBSTITUTE(SUBSTITUTE(LOWER(AA244&amp;""),CHAR(10),""),CHAR(13),""),CHAR(9),""),CHAR(160),"")," ",""),".",""),"-",""),"/",""),"?",""),"_",""),",",""),"[",""),"]",""),"(",""),")",""),"*","")</f>
        <v/>
      </c>
      <c r="BB244" s="61" t="str">
        <f aca="false">IF(AND(TRIM(U244)="Pass",ISNUMBER(AF244)),IF(AF244&lt;&gt;0,"INVALID – qty variance: use Fail or Pass after CA",""),"")&amp;IF(AND(TRIM(U244)="Pass after CA",ISNUMBER(AF244)),IF(AF244&lt;&gt;0,"INVALID – after the corrective action the actual qty must equal expected (update Actual)",""),"")&amp;IF(AND(TRIM(U244)="Pass",TRIM(AB244)&lt;&gt;"",TRIM(AB244)&lt;&gt;"Closed"),"INVALID – corrective action not closed: use Fail, then Pass after CA","")&amp;IF(AND(LEN(BA244)&gt;=2,ISNA(MATCH(LEFT(BA244,255),L_Placeholder,0)),TRIM(AB244)=""),"INVALID – CA status missing for the recorded corrective action","")&amp;IF(AND(TRIM(U244)="Pass after CA",OR(OR(LEN(BA244)&lt;5,ISNUMBER(MATCH(BA244,L_Placeholder,0))),TRIM(AB244)&lt;&gt;"Closed")),"INVALID – corrective action not recorded/closed","")</f>
        <v/>
      </c>
      <c r="BC244" s="61" t="str">
        <f aca="false">" "&amp;TRIM(SUBSTITUTE(SUBSTITUTE(SUBSTITUTE(SUBSTITUTE(SUBSTITUTE(SUBSTITUTE(SUBSTITUTE(SUBSTITUTE(SUBSTITUTE(SUBSTITUTE(SUBSTITUTE(SUBSTITUTE(SUBSTITUTE(SUBSTITUTE(SUBSTITUTE(SUBSTITUTE(SUBSTITUTE(SUBSTITUTE(SUBSTITUTE(SUBSTITUTE(SUBSTITUTE(SUBSTITUTE(SUBSTITUTE(SUBSTITUTE(LOWER(V244&amp;""),CHAR(10)," "),CHAR(13)," "),CHAR(9)," "),CHAR(160)," "),"."," "),","," "),"-"," "),"/"," "),"("," "),")"," "),":"," "),";"," "),"_"," "),"–"," "),"?"," "),"!"," "),"*"," "),"["," "),"]"," "),"'"," "),"#"," "),"+"," "),"&amp;"," "),"\"," "))&amp;" "</f>
        <v>  </v>
      </c>
      <c r="BD244" s="61" t="str">
        <f aca="false">" "&amp;TRIM(SUBSTITUTE(SUBSTITUTE(SUBSTITUTE(SUBSTITUTE(SUBSTITUTE(SUBSTITUTE(SUBSTITUTE(SUBSTITUTE(SUBSTITUTE(SUBSTITUTE(SUBSTITUTE(SUBSTITUTE(SUBSTITUTE(SUBSTITUTE(SUBSTITUTE(SUBSTITUTE(SUBSTITUTE(SUBSTITUTE(SUBSTITUTE(SUBSTITUTE(SUBSTITUTE(SUBSTITUTE(SUBSTITUTE(SUBSTITUTE(LOWER(Z244&amp;""),CHAR(10)," "),CHAR(13)," "),CHAR(9)," "),CHAR(160)," "),"."," "),","," "),"-"," "),"/"," "),"("," "),")"," "),":"," "),";"," "),"_"," "),"–"," "),"?"," "),"!"," "),"*"," "),"["," "),"]"," "),"'"," "),"#"," "),"+"," "),"&amp;"," "),"\"," "))&amp;" "</f>
        <v>  </v>
      </c>
      <c r="BE244" s="61" t="str">
        <f aca="false">" "&amp;TRIM(SUBSTITUTE(SUBSTITUTE(SUBSTITUTE(SUBSTITUTE(SUBSTITUTE(SUBSTITUTE(SUBSTITUTE(SUBSTITUTE(SUBSTITUTE(SUBSTITUTE(SUBSTITUTE(SUBSTITUTE(SUBSTITUTE(SUBSTITUTE(SUBSTITUTE(SUBSTITUTE(SUBSTITUTE(SUBSTITUTE(SUBSTITUTE(SUBSTITUTE(SUBSTITUTE(SUBSTITUTE(SUBSTITUTE(SUBSTITUTE(LOWER(W244&amp;""),CHAR(10)," "),CHAR(13)," "),CHAR(9)," "),CHAR(160)," "),"."," "),","," "),"-"," "),"/"," "),"("," "),")"," "),":"," "),";"," "),"_"," "),"–"," "),"?"," "),"!"," "),"*"," "),"["," "),"]"," "),"'"," "),"#"," "),"+"," "),"&amp;"," "),"\"," "))&amp;" "</f>
        <v>  </v>
      </c>
      <c r="BF244" s="61" t="str">
        <f aca="false">" "&amp;TRIM(SUBSTITUTE(SUBSTITUTE(SUBSTITUTE(SUBSTITUTE(SUBSTITUTE(SUBSTITUTE(SUBSTITUTE(SUBSTITUTE(SUBSTITUTE(SUBSTITUTE(SUBSTITUTE(SUBSTITUTE(SUBSTITUTE(SUBSTITUTE(SUBSTITUTE(SUBSTITUTE(SUBSTITUTE(SUBSTITUTE(SUBSTITUTE(SUBSTITUTE(SUBSTITUTE(SUBSTITUTE(SUBSTITUTE(SUBSTITUTE(LOWER(AC244&amp;""),CHAR(10)," "),CHAR(13)," "),CHAR(9)," "),CHAR(160)," "),"."," "),","," "),"-"," "),"/"," "),"("," "),")"," "),":"," "),";"," "),"_"," "),"–"," "),"?"," "),"!"," "),"*"," "),"["," "),"]"," "),"'"," "),"#"," "),"+"," "),"&amp;"," "),"\"," "))&amp;" "</f>
        <v>  </v>
      </c>
      <c r="BG244" s="61" t="n">
        <f aca="false">IFERROR(IF(AND(TRIM(U244)="Pass",SUMPRODUCT((LEN(BC244)-LEN(SUBSTITUTE(BC244," "&amp;L_ResultBad&amp;" "," ")))/(LEN(L_ResultBad)+1))&gt;SUMPRODUCT((LEN(BC244)-LEN(SUBSTITUTE(BC244," "&amp;L_NegPhrase&amp;" "," ")))/(LEN(L_NegPhrase)+1))),1,0),0)</f>
        <v>0</v>
      </c>
      <c r="BH244" s="61" t="n">
        <f aca="false">IFERROR(IF(SUMPRODUCT((LEN(BC244)-LEN(SUBSTITUTE(BC244," "&amp;L_Pending&amp;" "," ")))/(LEN(L_Pending)+1))&gt;SUMPRODUCT((LEN(BC244)-LEN(SUBSTITUTE(BC244," "&amp;L_PendNeg&amp;" "," ")))/(LEN(L_PendNeg)+1))+SUMPRODUCT((LEN(BC244)-LEN(SUBSTITUTE(BC244," "&amp;L_PendPrep&amp;" "," ")))/(LEN(L_PendPrep)+1)),1,0),1)</f>
        <v>0</v>
      </c>
      <c r="BI244" s="61" t="n">
        <f aca="false">IFERROR(IF(SUMPRODUCT((LEN(BD244)-LEN(SUBSTITUTE(BD244," "&amp;L_PendStrict&amp;" "," ")))/(LEN(L_PendStrict)+1))&gt;SUMPRODUCT((LEN(BD244)-LEN(SUBSTITUTE(BD244," "&amp;L_PendNeg&amp;" "," ")))/(LEN(L_PendNeg)+1)),1,0),1)</f>
        <v>0</v>
      </c>
      <c r="BJ244" s="61" t="n">
        <f aca="false">IFERROR(IF(SUMPRODUCT((LEN(BE244)-LEN(SUBSTITUTE(BE244," "&amp;L_Pending&amp;" "," ")))/(LEN(L_Pending)+1))&gt;SUMPRODUCT((LEN(BE244)-LEN(SUBSTITUTE(BE244," "&amp;L_PendNeg&amp;" "," ")))/(LEN(L_PendNeg)+1))+SUMPRODUCT((LEN(BE244)-LEN(SUBSTITUTE(BE244," "&amp;L_PendPrep&amp;" "," ")))/(LEN(L_PendPrep)+1)),1,0),1)</f>
        <v>0</v>
      </c>
      <c r="BK244" s="61" t="n">
        <f aca="false">IFERROR(IF(SUMPRODUCT((LEN(BF244)-LEN(SUBSTITUTE(BF244," "&amp;L_PendStrict&amp;" "," ")))/(LEN(L_PendStrict)+1))&gt;SUMPRODUCT((LEN(BF244)-LEN(SUBSTITUTE(BF244," "&amp;L_PendNeg&amp;" "," ")))/(LEN(L_PendNeg)+1)),1,0),1)</f>
        <v>0</v>
      </c>
      <c r="BL244" s="61" t="n">
        <f aca="false">IF(ISNA(MATCH(TRIM(S244),L_EvidenceType,0)),0,BZ244)</f>
        <v>0</v>
      </c>
      <c r="BM244" s="61" t="str">
        <f aca="false">SUBSTITUTE(SUBSTITUTE(SUBSTITUTE(SUBSTITUTE(SUBSTITUTE(SUBSTITUTE(SUBSTITUTE(SUBSTITUTE(SUBSTITUTE(LOWER(Z244&amp;""),"1","0"),"2","0"),"3","0"),"4","0"),"5","0"),"6","0"),"7","0"),"8","0"),"9","0")</f>
        <v/>
      </c>
      <c r="BN244" s="61" t="str">
        <f aca="false">SUBSTITUTE(SUBSTITUTE(SUBSTITUTE(SUBSTITUTE(SUBSTITUTE(SUBSTITUTE(SUBSTITUTE(SUBSTITUTE(SUBSTITUTE(SUBSTITUTE(SUBSTITUTE(SUBSTITUTE(SUBSTITUTE(SUBSTITUTE(SUBSTITUTE(SUBSTITUTE(SUBSTITUTE(SUBSTITUTE(SUBSTITUTE(SUBSTITUTE(SUBSTITUTE(SUBSTITUTE(SUBSTITUTE(SUBSTITUTE(SUBSTITUTE(BM244,"b","a"),"c","a"),"d","a"),"e","a"),"f","a"),"g","a"),"h","a"),"i","a"),"j","a"),"k","a"),"l","a"),"m","a"),"n","a"),"o","a"),"p","a"),"q","a"),"r","a"),"s","a"),"t","a"),"u","a"),"v","a"),"w","a"),"x","a"),"y","a"),"z","a")</f>
        <v/>
      </c>
      <c r="BO244" s="61" t="str">
        <f aca="false">SUBSTITUTE(SUBSTITUTE(SUBSTITUTE(SUBSTITUTE(SUBSTITUTE(SUBSTITUTE(SUBSTITUTE(SUBSTITUTE(SUBSTITUTE(LOWER(W244&amp;""),"1","0"),"2","0"),"3","0"),"4","0"),"5","0"),"6","0"),"7","0"),"8","0"),"9","0")</f>
        <v/>
      </c>
      <c r="BP244" s="61" t="str">
        <f aca="false">SUBSTITUTE(SUBSTITUTE(SUBSTITUTE(SUBSTITUTE(SUBSTITUTE(SUBSTITUTE(SUBSTITUTE(SUBSTITUTE(SUBSTITUTE(SUBSTITUTE(SUBSTITUTE(SUBSTITUTE(SUBSTITUTE(SUBSTITUTE(SUBSTITUTE(SUBSTITUTE(SUBSTITUTE(SUBSTITUTE(SUBSTITUTE(SUBSTITUTE(SUBSTITUTE(SUBSTITUTE(SUBSTITUTE(SUBSTITUTE(SUBSTITUTE(BO244,"b","a"),"c","a"),"d","a"),"e","a"),"f","a"),"g","a"),"h","a"),"i","a"),"j","a"),"k","a"),"l","a"),"m","a"),"n","a"),"o","a"),"p","a"),"q","a"),"r","a"),"s","a"),"t","a"),"u","a"),"v","a"),"w","a"),"x","a"),"y","a"),"z","a")</f>
        <v/>
      </c>
      <c r="BQ244" s="61" t="n">
        <f aca="false">IFERROR(IF(AND(ISERROR(SEARCH(" mh"," "&amp;LOWER(W244))),ISNA(MATCH(LEFT(TRIM(BP244),255),{"0000a","000a","00a","0000aa","000aa","00aa","0aa","0000aaa","000aaa","00a00","0a00","0000-0000","00:00","a00","a0","00.00.0000","00/00/0000","00-00-0000","0000-00-00","0000/00/00","0000.00.00","00.00.00","00/00/00","00-00-00","0.00.0000","0/00/0000","0-00-0000"},0)),ISNA(MATCH(LEFT(TRIM(CA244),255),{"0000a","000a","00a","0000aa","000aa","00aa","0aa","0000aaa","000aaa","00a00","0a00","0000-0000","00:00","a00","a0","00.00.0000","00/00/0000","00-00-0000","0000-00-00","0000/00/00","0000.00.00","00.00.00","00/00/00","00-00-00","0.00.0000","0/00/0000","0-00-0000"},0)),LEN(CB244)&gt;=3,NOT(OR(SUBSTITUTE(CB244,"0","")="",AND(LEN(CB244)&gt;=4,CB244=REPT(LEFT(CB244),LEN(CB244))),ISNUMBER(MATCH(CB244,{"123","1234","12345","123456","1234567","12345678","0123","01234","012345","98765","987654","54321"},0)),AND(LEN(CB244)=8,LEFT(CB244,3)="202"))),OR(AND((LEN(CA244)-LEN(SUBSTITUTE(CA244,"a","")))&gt;=1,SUMPRODUCT(--ISNUMBER(SEARCH({"a0","a-0","a_0","a/0","a.0","a#0","0a","0-a","0_a","0/a"},BP244)))&gt;0),ISNUMBER(SEARCH("000000",BP244)))),1,0),0)</f>
        <v>0</v>
      </c>
      <c r="BR244" s="61" t="n">
        <f aca="false">IFERROR(LEN(SUBSTITUTE(CC244," ",""))-SUMPRODUCT((LEN(CC244)-LEN(SUBSTITUTE(CC244," "&amp;L_Role&amp;" "," ")))/(LEN(L_Role)+1)*LEN(L_Role)),0)</f>
        <v>0</v>
      </c>
      <c r="BS244" s="61" t="n">
        <f aca="false">IFERROR(LEN(SUBSTITUTE(CD244," ",""))-SUMPRODUCT((LEN(CD244)-LEN(SUBSTITUTE(CD244," "&amp;L_Role&amp;" "," ")))/(LEN(L_Role)+1)*LEN(L_Role)),0)</f>
        <v>0</v>
      </c>
      <c r="BT2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244,"revision",""),"version",""),"jan",""),"feb",""),"mar",""),"apr",""),"may",""),"jun",""),"jul",""),"aug",""),"sep",""),"oct",""),"nov",""),"dec",""),"utc",""),"gmt",""),"myt",""),"bst",""),"rev",""),"ver",""),"b","a"),"c","a"),"d","a"),"e","a"),"f","a"),"g","a"),"h","a"),"i","a"),"j","a"),"k","a"),"l","a"),"m","a"),"n","a"),"o","a"),"p","a"),"q","a"),"r","a"),"s","a"),"t","a"),"u","a"),"v","a"),"w","a"),"x","a"),"y","a"),"z","a")</f>
        <v/>
      </c>
      <c r="BU244" s="61" t="str">
        <f aca="false">SUBSTITUTE(SUBSTITUTE(SUBSTITUTE(SUBSTITUTE(SUBSTITUTE(SUBSTITUTE(SUBSTITUTE(SUBSTITUTE(SUBSTITUTE(SUBSTITUTE(LEFT(BM244,FIND("0",BM244&amp;"0")-1),"-",""),"_",""),"/",""),".",""),"#",""),"\\",""),":","")," ",""),"(",""),")","")</f>
        <v/>
      </c>
      <c r="BV244" s="61" t="n">
        <f aca="false">0</f>
        <v>0</v>
      </c>
      <c r="BW2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244&amp;""),"a",""),"b",""),"c",""),"d",""),"e",""),"f",""),"g",""),"h",""),"i",""),"j",""),"k",""),"l",""),"m",""),"n",""),"o",""),"p",""),"q",""),"r",""),"s",""),"t",""),"u",""),"v",""),"w",""),"x",""),"y",""),"z",""),"-",""),"_",""),"/",""),".",""),"#",""),"\\",""),":","")," ",""),"(",""),")","")</f>
        <v/>
      </c>
      <c r="BX244" s="61" t="str">
        <f aca="false">SUBSTITUTE(SUBSTITUTE(SUBSTITUTE(SUBSTITUTE(SUBSTITUTE(SUBSTITUTE(SUBSTITUTE(SUBSTITUTE(SUBSTITUTE(SUBSTITUTE(SUBSTITUTE(BM244,"0",""),"-",""),"_",""),"/",""),".",""),"#",""),"\\",""),":","")," ",""),"(",""),")","")</f>
        <v/>
      </c>
      <c r="BY244" s="62" t="n">
        <f aca="false">Q244-T12EarlyH/24</f>
        <v>46303.1006944444</v>
      </c>
      <c r="BZ244" s="61" t="n">
        <f aca="false">IFERROR(IF(IF(TRIM(S244)="Link / file path",AND(LEN(TRIM(Z244))&gt;=5,SUMPRODUCT(--ISNUMBER(SEARCH({"http","www.","\\",":\",".pdf",".jpg",".jpeg",".png",".heic",".xls",".doc",".msg",".eml",".ppt",".txt",".zip"},Z244)))&gt;0),AND(ISERROR(FIND(" ",TRIM(Z244))),NOT(OR(SUMPRODUCT(--ISNUMBER(FIND({",",";","&amp;","+"},Z244)))&gt;0,SUMPRODUCT(--ISNUMBER(SEARCH({"0/aa","0\\aa"},BN244)))&gt;0)),NOT(SUMPRODUCT(--ISNUMBER(SEARCH({"http","www.","\\",":\",".pdf",".jpg",".jpeg",".png",".heic",".xls",".doc",".msg",".eml",".ppt",".txt",".zip"},Z244)))&gt;0),NOT(LOWER(TRIM(Z244))=LOWER(Flights!$F$11)),ISNA(MATCH(BU244,{"mh","rev","revision","ver","version","v","r","a","b","seat","tray","row","gate","bay","stand","page","pg","item","line","no","cart","galley","flight","flt","table","box","bag","oven","etd","eta","std","sta","atd","ata","qty","pax","x","time","tel","ph","mob","day","wk","week","utc","gmt","myt","lt"},0)),NOT(OR(ISNUMBER(MATCH(LEFT(BN244,255),{"0000a","000a","00a","0000aa","000aa","00aa","0aa","0000aaa","000aaa","00a00","0a00","0000-0000","00:00","a00","a0","00.00.0000","00/00/0000","00-00-0000","0000-00-00","0000/00/00","0000.00.00","00.00.00","00/00/00","00-00-00","0.00.0000","0/00/0000","0-00-0000"},0)),ISNUMBER(MATCH(LEFT(BT244,255),{"0000a","000a","00a","0000aa","000aa","00aa","0aa","0000aaa","000aaa","00a00","0a00","0000-0000","00:00","a00","a0","00.00.0000","00/00/0000","00-00-0000","0000-00-00","0000/00/00","0000.00.00","00.00.00","00/00/00","00-00-00","0.00.0000","0/00/0000","0-00-0000"},0)))),NOT(OR(AND(BW244&lt;&gt;"",SUBSTITUTE(BW244,"0","")=""),AND(LEN(BW244)&gt;=4,BW244=REPT(LEFT(BW244),LEN(BW244))),ISNUMBER(MATCH(BW244,{"123","1234","12345","123456","1234567","12345678","0123","01234","012345","98765","987654","54321"},0)),ISNUMBER(MATCH(BX244,{"x","xx","xxx","xxxx","xxxxx","abc","abcd","nil","na","nan","test","tbc","tba","tbd","dummy","sample","example","eg","zz","zzz","none","null","xyz","qwe","asd","id","ref"},0)),AND(LEN(BW244)=8,BX244="",OR(LEFT(BW244,3)="202",ISNUMBER(MATCH(RIGHT(BW244,4),{"2025","2026","2027"},0)))))),OR(AND((LEN(BT244)-LEN(SUBSTITUTE(BT244,"a","")))&gt;=1,(LEN(BN244)-LEN(SUBSTITUTE(BN244,"0","")))&gt;=2,SUMPRODUCT(--ISNUMBER(SEARCH({"a0","a-0","a_0","a/0","a.0","a#0","0a","0-a","0_a","0/a"},BN244)))&gt;0),AND((LEN(BN244)-LEN(SUBSTITUTE(BN244,"a","")))=0,(LEN(BN244)-LEN(SUBSTITUTE(BN244,"0","")))&gt;=5)))),1,0),0)</f>
        <v>0</v>
      </c>
      <c r="CA2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244,"revision",""),"version",""),"jan",""),"feb",""),"mar",""),"apr",""),"may",""),"jun",""),"jul",""),"aug",""),"sep",""),"oct",""),"nov",""),"dec",""),"utc",""),"gmt",""),"myt",""),"bst",""),"rev",""),"ver",""),"b","a"),"c","a"),"d","a"),"e","a"),"f","a"),"g","a"),"h","a"),"i","a"),"j","a"),"k","a"),"l","a"),"m","a"),"n","a"),"o","a"),"p","a"),"q","a"),"r","a"),"s","a"),"t","a"),"u","a"),"v","a"),"w","a"),"x","a"),"y","a"),"z","a")</f>
        <v/>
      </c>
      <c r="CB2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244&amp;""),"a",""),"b",""),"c",""),"d",""),"e",""),"f",""),"g",""),"h",""),"i",""),"j",""),"k",""),"l",""),"m",""),"n",""),"o",""),"p",""),"q",""),"r",""),"s",""),"t",""),"u",""),"v",""),"w",""),"x",""),"y",""),"z",""),"-",""),"_",""),"/",""),".",""),"#",""),"\\",""),":","")," ",""),"(",""),")","")</f>
        <v/>
      </c>
      <c r="CC244" s="0" t="str">
        <f aca="false">" "&amp;TRIM(SUBSTITUTE(SUBSTITUTE(SUBSTITUTE(SUBSTITUTE(SUBSTITUTE(SUBSTITUTE(SUBSTITUTE(SUBSTITUTE(SUBSTITUTE(SUBSTITUTE(SUBSTITUTE(SUBSTITUTE(SUBSTITUTE(SUBSTITUTE(SUBSTITUTE(SUBSTITUTE(SUBSTITUTE(SUBSTITUTE(SUBSTITUTE(SUBSTITUTE(SUBSTITUTE(SUBSTITUTE(SUBSTITUTE(SUBSTITUTE(LOWER(T244&amp;""),CHAR(10)," "),CHAR(13)," "),CHAR(9)," "),CHAR(160)," "),"."," "),","," "),"-"," "),"/"," "),"("," "),")"," "),":"," "),";"," "),"_"," "),"–"," "),"?"," "),"!"," "),"*"," "),"["," "),"]"," "),"'"," "),"#"," "),"+"," "),"&amp;"," "),"\"," "))&amp;" "</f>
        <v>  </v>
      </c>
      <c r="CD244" s="0" t="str">
        <f aca="false">" "&amp;TRIM(SUBSTITUTE(SUBSTITUTE(SUBSTITUTE(SUBSTITUTE(SUBSTITUTE(SUBSTITUTE(SUBSTITUTE(SUBSTITUTE(SUBSTITUTE(SUBSTITUTE(SUBSTITUTE(SUBSTITUTE(SUBSTITUTE(SUBSTITUTE(SUBSTITUTE(SUBSTITUTE(SUBSTITUTE(SUBSTITUTE(SUBSTITUTE(SUBSTITUTE(SUBSTITUTE(SUBSTITUTE(SUBSTITUTE(SUBSTITUTE(LOWER(AE244&amp;""),CHAR(10)," "),CHAR(13)," "),CHAR(9)," "),CHAR(160)," "),"."," "),","," "),"-"," "),"/"," "),"("," "),")"," "),":"," "),";"," "),"_"," "),"–"," "),"?"," "),"!"," "),"*"," "),"["," "),"]"," "),"'"," "),"#"," "),"+"," "),"&amp;"," "),"\"," "))&amp;" "</f>
        <v>  </v>
      </c>
      <c r="CE244" s="68" t="n">
        <f aca="false">IFERROR(IF(AND(LEN(AU244)&gt;0,LEN(AU244)=LEN(AX244),OR(TRIM(MID(SUBSTITUTE(TRIM(CC244)," ",REPT(" ",60)),1,60))="",ISNUMBER(SEARCH(" "&amp;TRIM(MID(SUBSTITUTE(TRIM(CC244)," ",REPT(" ",60)),1,60))&amp;" ",CD244))),OR(TRIM(MID(SUBSTITUTE(TRIM(CC244)," ",REPT(" ",60)),61,60))="",ISNUMBER(SEARCH(" "&amp;TRIM(MID(SUBSTITUTE(TRIM(CC244)," ",REPT(" ",60)),61,60))&amp;" ",CD244))),OR(TRIM(MID(SUBSTITUTE(TRIM(CC244)," ",REPT(" ",60)),121,60))="",ISNUMBER(SEARCH(" "&amp;TRIM(MID(SUBSTITUTE(TRIM(CC244)," ",REPT(" ",60)),121,60))&amp;" ",CD244)))),1,0),0)</f>
        <v>0</v>
      </c>
      <c r="CG244" s="68" t="n">
        <f aca="false">IFERROR(LEN(SUBSTITUTE(BF244," ",""))-SUMPRODUCT((LEN(BF244)-LEN(SUBSTITUTE(BF244," "&amp;L_NAFiller&amp;" "," ")))/(LEN(L_NAFiller)+1)*LEN(L_NAFiller)),0)</f>
        <v>0</v>
      </c>
    </row>
    <row r="245" customFormat="false" ht="39.75" hidden="false" customHeight="true" outlineLevel="0" collapsed="false">
      <c r="A245" s="57" t="s">
        <v>813</v>
      </c>
      <c r="B245" s="57" t="s">
        <v>235</v>
      </c>
      <c r="C245" s="57" t="str">
        <f aca="false">Flights!$F$11</f>
        <v>MH0003</v>
      </c>
      <c r="D245" s="58" t="n">
        <f aca="false">Flights!$D$11</f>
        <v>46304</v>
      </c>
      <c r="E245" s="57" t="str">
        <f aca="false">Flights!$G$11&amp;"-"&amp;Flights!$H$11</f>
        <v>LHR-KUL</v>
      </c>
      <c r="F245" s="57" t="str">
        <f aca="false">Flights!$K$11</f>
        <v>BC</v>
      </c>
      <c r="G245" s="57" t="s">
        <v>459</v>
      </c>
      <c r="H245" s="57" t="s">
        <v>460</v>
      </c>
      <c r="I245" s="57" t="s">
        <v>379</v>
      </c>
      <c r="J245" s="57" t="s">
        <v>461</v>
      </c>
      <c r="K245" s="67" t="s">
        <v>426</v>
      </c>
      <c r="L245" s="67" t="s">
        <v>462</v>
      </c>
      <c r="M245" s="67"/>
      <c r="N245" s="67" t="s">
        <v>383</v>
      </c>
      <c r="O245" s="67" t="s">
        <v>463</v>
      </c>
      <c r="P245" s="57" t="s">
        <v>186</v>
      </c>
      <c r="Q245" s="59" t="n">
        <f aca="false">ROUND((Flights!$AF$11)*1440,0)/1440</f>
        <v>46304.4166666667</v>
      </c>
      <c r="R245" s="59" t="n">
        <f aca="false">Q245+(IF(AND(INDEX(TZ_DSTS,MATCH(P245,TZ_STN,0))&lt;&gt;"",Q245&gt;=INDEX(TZ_DSTS,MATCH(P245,TZ_STN,0)),Q245&lt;INDEX(TZ_DSTE,MATCH(P245,TZ_STN,0))),INDEX(TZ_DST,MATCH(P245,TZ_STN,0)),INDEX(TZ_STD,MATCH(P245,TZ_STN,0))))/24</f>
        <v>46304.4583333333</v>
      </c>
      <c r="S245" s="60"/>
      <c r="T245" s="60"/>
      <c r="U245" s="60"/>
      <c r="V245" s="60"/>
      <c r="W245" s="61"/>
      <c r="X245" s="60"/>
      <c r="Y245" s="60"/>
      <c r="Z245" s="60"/>
      <c r="AA245" s="60"/>
      <c r="AB245" s="60"/>
      <c r="AC245" s="60"/>
      <c r="AD245" s="66"/>
      <c r="AE245" s="60"/>
      <c r="AF245" s="61" t="str">
        <f aca="false">IF(AND(ISNUMBER(X245),ISNUMBER(Y245)),Y245-X245,"")</f>
        <v/>
      </c>
      <c r="AG245" s="62" t="str">
        <f aca="false">IF(ISNUMBER(AD245),AD245-(IF(AND(INDEX(TZ_DSTS,MATCH(P245,TZ_STN,0))&lt;&gt;"",(AD245-INDEX(TZ_STD,MATCH(P245,TZ_STN,0))/24)&gt;=INDEX(TZ_DSTS,MATCH(P245,TZ_STN,0)),(AD245-INDEX(TZ_STD,MATCH(P245,TZ_STN,0))/24)&lt;INDEX(TZ_DSTE,MATCH(P245,TZ_STN,0))),INDEX(TZ_DST,MATCH(P245,TZ_STN,0)),INDEX(TZ_STD,MATCH(P245,TZ_STN,0))))/24,"")</f>
        <v/>
      </c>
      <c r="AH245" s="65" t="str">
        <f aca="false">IFERROR(IF(N245="N/A – rule",IF(OR(TRIM(U245)="",TRIM(U245)="N/A",TRIM(U245)="Not started"),"N/A – RULE","INVALID – this check does not apply to this aircraft: clear the status (or correct the fleet on Flights)"),IF(TRIM(U245)="N/A",IF(AT245=0,"INVALID – N/A not permitted for this check",IF(AND(TRIM(AB245)&lt;&gt;"",TRIM(AB245)&lt;&gt;"Closed"),"INVALID – corrective action still open",IF(AND(NOT(OR(LEN(AZ245)&lt;15,ISNUMBER(MATCH(AZ245,L_Placeholder,0)))),BK245=0,CG245&gt;=8,NOT(OR(LEN(AU245)&lt;2,ISNUMBER(MATCH(AU245,L_Placeholder,0)))),BR245&gt;=3,NOT(OR(LEN(AX245)&lt;2,ISNUMBER(MATCH(AX245,L_Placeholder,0)))),BS245&gt;=3,TRIM(AE245)&lt;&gt;TRIM(T245),AX245&lt;&gt;AU245,CE245=0),"N/A – JUSTIFIED","INVALID – N/A needs a real, settled reason (not 'not applicable' / 'as above' / TBC), a named PIC and a different named verifier"))),IF(OR(TRIM(U245)="Pass",TRIM(U245)="Pass after CA"),IF(NOT(ISNUMBER(AD245)),"INVALID – completion time missing",IF(OR(OR(LEN(AU245)&lt;2,ISNUMBER(MATCH(AU245,L_Placeholder,0))),BR245&lt;3),"INVALID – PIC missing or not a named person (a role such as QA / CSM is not a name)",IF(OR(LEN(AV245)&lt;2,ISNUMBER(MATCH(AV245,L_Placeholder,0))),"INVALID – result / assessment missing",IF(OR(OR(LEN(AW245)&lt;3,ISNUMBER(MATCH(AW245,L_Placeholder,0))),SUMPRODUCT(--ISNUMBER(SEARCH(" "&amp;L_EvidencePhrase&amp;" ",BD245)))&gt;0,BI245=1),"INVALID – evidence missing, placeholder or not yet on file",IF(ISNA(MATCH(TRIM(S245),L_EvidenceType,0)),"INVALID – choose the evidence type from the list (column S)",IF(BL245=0,"INVALID – evidence ID must be the record's own ID only (e.g. SF-2210, IMG_2231, 1045521); a link / file name needs type 'Link / file path'",IF(OR(OR(LEN(AX245)&lt;2,ISNUMBER(MATCH(AX245,L_Placeholder,0))),BS245&lt;3),"INVALID – verifier missing or not a named person (a role such as QA / CSM is not a name)",IF(OR(AX245=AU245,CE245=1,AND(LEN(AU245)&gt;=4,ISNUMBER(SEARCH(AU245,AX245))),AND(LEN(AX245)&gt;=4,ISNUMBER(SEARCH(AX245,AU245)))),"INVALID – verifier must be a different, named person (not the PIC or a role)",IF(BH245=1,"INVALID – result not yet available (awaiting / TBC)",IF(BG245=1,"INVALID – result describes a problem: record Fail, then Pass after CA (or reword if it is not a problem)",IF(BV245=1,"INVALID – wording says not on board: an on-board confirmation needs the item loaded",IF(AND(AQ245=1,OR(OR(LEN(AY245)&lt;3,ISNUMBER(MATCH(AY245,L_Placeholder,0))),BJ245=1,BQ245=0)),"INVALID – batch ID missing, placeholder or not an ID (e.g. PASB-261008-BC-017)",IF(AND(AR245=1,OR(NOT(ISNUMBER(X245)),NOT(ISNUMBER(Y245)))),"INVALID – expected/actual qty missing",IF(AND(AR245=1,OR(X245&lt;=0,Y245&lt;0)),"INVALID – expected qty must be above 0 and actual not negative",IF(AH225="N/A – JUSTIFIED","INVALID – preparation row F07-T12-02 is N/A",IF(AND(AR245=1,ISNUMBER(X225),X245&lt;&gt;X225,TRIM(U245)&lt;&gt;"Pass after CA"),"INVALID – expected qty differs from preparation check F07-T12-02: record the load change as a corrective action (Pass after CA)",IF(BB245&lt;&gt;"",BB245,IF(AND(AS245=1,Documents!$J$11&lt;&gt;"ON FILE"),"INVALID – GLD not on file (Documents sheet)",IF(AND(AS245=2,Documents!$O$11&lt;&gt;"ON FILE"),"INVALID – menu checklist not on file (Documents sheet)",IF(AND(AS245=3,NOT(ISNUMBER(Flights!$AX$11))),"INVALID – enter carrying flight KUL departure (Flights AX)",IF(AND(AS245=3,OR(Flights!$AZ$11&gt;Flights!$AA$11,Flights!$AX$11&lt;Flights!$AA$11-3)),"INVALID – carrying flight (Flights AX) cannot arrive before this leg's STD, or is over 3 days early",IF(AG245&gt;AsOfUTC,"INVALID – completion time is in the future",IF(AND(ISNUMBER(BY245),AG245&lt;BY245),IF(H245="Physical uplift","INVALID – before uplift window (cannot confirm loading)","INVALID – before valid window"),IF(AG245&gt;Flights!$AA$11,"INVALID – completed after departure (cannot establish readiness)",IF(AND(H245="Preparation",AG245&gt;=IF(ISNUMBER(Flights!$BA$11),MIN(Flights!$BA$11,Flights!$AA$11),Flights!$AA$11)),"INVALID – completed after loading / departure (cannot establish readiness)",IF(AND(H245="Physical uplift",AG245&gt;Q245),"INVALID – recorded after the loading flight departed",IF(AG245&gt;Q245,"COMPLETE – LATE","COMPLETE"))))))))))))))))))))))))))),IF(TRIM(U245)="Fail","FAIL – DISCREPANCY",IF(AND(TRIM(U245)&lt;&gt;"",TRIM(U245)&lt;&gt;"Not started",TRIM(U245)&lt;&gt;"In progress"),"INVALID – unrecognised status (use the list)",IF(AsOfUTC&gt;Q245,"OVERDUE",IF(N245="Clarification required","OPEN – CLARIFICATION","OPEN"))))))),"INVALID – error value in an input cell")</f>
        <v>OPEN</v>
      </c>
      <c r="AI245" s="61" t="n">
        <f aca="false">IF(OR(AH245="N/A – RULE",AH245="N/A – JUSTIFIED"),0,1)</f>
        <v>1</v>
      </c>
      <c r="AJ245" s="61" t="n">
        <f aca="false">IF(LEFT(AH245,8)="COMPLETE",1,0)</f>
        <v>0</v>
      </c>
      <c r="AK245" s="61" t="n">
        <f aca="false">IF(AND(AI245=1,AJ245=0,AsOfUTC&gt;Q245),1,0)</f>
        <v>0</v>
      </c>
      <c r="AL245" s="61" t="n">
        <f aca="false">IFERROR(IF(AND(AI245=1,OR(TRIM(U245)="Fail",AND(TRIM(AB245)&lt;&gt;"",TRIM(AB245)&lt;&gt;"Closed"),AND(ISNUMBER(AF245),AF245&lt;&gt;0,TRIM(U245)&lt;&gt;"Pass after CA"))),1,0),1)</f>
        <v>0</v>
      </c>
      <c r="AM245" s="61" t="n">
        <f aca="false">IF(LEFT(AH245,7)="INVALID",1,0)</f>
        <v>0</v>
      </c>
      <c r="AN245" s="61" t="n">
        <f aca="false">IF(AND(N245="Clarification required",AI245=1,AJ245=0),1,0)</f>
        <v>0</v>
      </c>
      <c r="AO245" s="61" t="str">
        <f aca="false">IF(AK245=1,SUM(AK$5:AK245),"")</f>
        <v/>
      </c>
      <c r="AP245" s="61" t="str">
        <f aca="false">IF(AL245=1,SUM(AL$5:AL245),"")</f>
        <v/>
      </c>
      <c r="AQ245" s="61" t="n">
        <v>0</v>
      </c>
      <c r="AR245" s="61" t="n">
        <v>1</v>
      </c>
      <c r="AS245" s="61" t="n">
        <v>0</v>
      </c>
      <c r="AT245" s="61" t="n">
        <v>0</v>
      </c>
      <c r="AU245" s="61" t="str">
        <f aca="false">SUBSTITUTE(SUBSTITUTE(SUBSTITUTE(SUBSTITUTE(SUBSTITUTE(SUBSTITUTE(SUBSTITUTE(SUBSTITUTE(SUBSTITUTE(SUBSTITUTE(SUBSTITUTE(SUBSTITUTE(SUBSTITUTE(SUBSTITUTE(SUBSTITUTE(SUBSTITUTE(LOWER(T245&amp;""),CHAR(10),""),CHAR(13),""),CHAR(9),""),CHAR(160),"")," ",""),".",""),"-",""),"/",""),"?",""),"_",""),",",""),"[",""),"]",""),"(",""),")",""),"*","")</f>
        <v/>
      </c>
      <c r="AV245" s="61" t="str">
        <f aca="false">SUBSTITUTE(SUBSTITUTE(SUBSTITUTE(SUBSTITUTE(SUBSTITUTE(SUBSTITUTE(SUBSTITUTE(SUBSTITUTE(SUBSTITUTE(SUBSTITUTE(SUBSTITUTE(SUBSTITUTE(SUBSTITUTE(SUBSTITUTE(SUBSTITUTE(SUBSTITUTE(LOWER(V245&amp;""),CHAR(10),""),CHAR(13),""),CHAR(9),""),CHAR(160),"")," ",""),".",""),"-",""),"/",""),"?",""),"_",""),",",""),"[",""),"]",""),"(",""),")",""),"*","")</f>
        <v/>
      </c>
      <c r="AW245" s="61" t="str">
        <f aca="false">SUBSTITUTE(SUBSTITUTE(SUBSTITUTE(SUBSTITUTE(SUBSTITUTE(SUBSTITUTE(SUBSTITUTE(SUBSTITUTE(SUBSTITUTE(SUBSTITUTE(SUBSTITUTE(SUBSTITUTE(SUBSTITUTE(SUBSTITUTE(SUBSTITUTE(SUBSTITUTE(LOWER(Z245&amp;""),CHAR(10),""),CHAR(13),""),CHAR(9),""),CHAR(160),"")," ",""),".",""),"-",""),"/",""),"?",""),"_",""),",",""),"[",""),"]",""),"(",""),")",""),"*","")</f>
        <v/>
      </c>
      <c r="AX245" s="61" t="str">
        <f aca="false">SUBSTITUTE(SUBSTITUTE(SUBSTITUTE(SUBSTITUTE(SUBSTITUTE(SUBSTITUTE(SUBSTITUTE(SUBSTITUTE(SUBSTITUTE(SUBSTITUTE(SUBSTITUTE(SUBSTITUTE(SUBSTITUTE(SUBSTITUTE(SUBSTITUTE(SUBSTITUTE(LOWER(AE245&amp;""),CHAR(10),""),CHAR(13),""),CHAR(9),""),CHAR(160),"")," ",""),".",""),"-",""),"/",""),"?",""),"_",""),",",""),"[",""),"]",""),"(",""),")",""),"*","")</f>
        <v/>
      </c>
      <c r="AY245" s="61" t="str">
        <f aca="false">SUBSTITUTE(SUBSTITUTE(SUBSTITUTE(SUBSTITUTE(SUBSTITUTE(SUBSTITUTE(SUBSTITUTE(SUBSTITUTE(SUBSTITUTE(SUBSTITUTE(SUBSTITUTE(SUBSTITUTE(SUBSTITUTE(SUBSTITUTE(SUBSTITUTE(SUBSTITUTE(LOWER(W245&amp;""),CHAR(10),""),CHAR(13),""),CHAR(9),""),CHAR(160),"")," ",""),".",""),"-",""),"/",""),"?",""),"_",""),",",""),"[",""),"]",""),"(",""),")",""),"*","")</f>
        <v/>
      </c>
      <c r="AZ245" s="61" t="str">
        <f aca="false">SUBSTITUTE(SUBSTITUTE(SUBSTITUTE(SUBSTITUTE(SUBSTITUTE(SUBSTITUTE(SUBSTITUTE(SUBSTITUTE(SUBSTITUTE(SUBSTITUTE(SUBSTITUTE(SUBSTITUTE(SUBSTITUTE(SUBSTITUTE(SUBSTITUTE(SUBSTITUTE(LOWER(AC245&amp;""),CHAR(10),""),CHAR(13),""),CHAR(9),""),CHAR(160),"")," ",""),".",""),"-",""),"/",""),"?",""),"_",""),",",""),"[",""),"]",""),"(",""),")",""),"*","")</f>
        <v/>
      </c>
      <c r="BA245" s="61" t="str">
        <f aca="false">SUBSTITUTE(SUBSTITUTE(SUBSTITUTE(SUBSTITUTE(SUBSTITUTE(SUBSTITUTE(SUBSTITUTE(SUBSTITUTE(SUBSTITUTE(SUBSTITUTE(SUBSTITUTE(SUBSTITUTE(SUBSTITUTE(SUBSTITUTE(SUBSTITUTE(SUBSTITUTE(LOWER(AA245&amp;""),CHAR(10),""),CHAR(13),""),CHAR(9),""),CHAR(160),"")," ",""),".",""),"-",""),"/",""),"?",""),"_",""),",",""),"[",""),"]",""),"(",""),")",""),"*","")</f>
        <v/>
      </c>
      <c r="BB245" s="61" t="str">
        <f aca="false">IF(AND(TRIM(U245)="Pass",ISNUMBER(AF245)),IF(AF245&lt;&gt;0,"INVALID – qty variance: use Fail or Pass after CA",""),"")&amp;IF(AND(TRIM(U245)="Pass after CA",ISNUMBER(AF245)),IF(AF245&lt;&gt;0,"INVALID – after the corrective action the actual qty must equal expected (update Actual)",""),"")&amp;IF(AND(TRIM(U245)="Pass",TRIM(AB245)&lt;&gt;"",TRIM(AB245)&lt;&gt;"Closed"),"INVALID – corrective action not closed: use Fail, then Pass after CA","")&amp;IF(AND(LEN(BA245)&gt;=2,ISNA(MATCH(LEFT(BA245,255),L_Placeholder,0)),TRIM(AB245)=""),"INVALID – CA status missing for the recorded corrective action","")&amp;IF(AND(TRIM(U245)="Pass after CA",OR(OR(LEN(BA245)&lt;5,ISNUMBER(MATCH(BA245,L_Placeholder,0))),TRIM(AB245)&lt;&gt;"Closed")),"INVALID – corrective action not recorded/closed","")</f>
        <v/>
      </c>
      <c r="BC245" s="61" t="str">
        <f aca="false">" "&amp;TRIM(SUBSTITUTE(SUBSTITUTE(SUBSTITUTE(SUBSTITUTE(SUBSTITUTE(SUBSTITUTE(SUBSTITUTE(SUBSTITUTE(SUBSTITUTE(SUBSTITUTE(SUBSTITUTE(SUBSTITUTE(SUBSTITUTE(SUBSTITUTE(SUBSTITUTE(SUBSTITUTE(SUBSTITUTE(SUBSTITUTE(SUBSTITUTE(SUBSTITUTE(SUBSTITUTE(SUBSTITUTE(SUBSTITUTE(SUBSTITUTE(LOWER(V245&amp;""),CHAR(10)," "),CHAR(13)," "),CHAR(9)," "),CHAR(160)," "),"."," "),","," "),"-"," "),"/"," "),"("," "),")"," "),":"," "),";"," "),"_"," "),"–"," "),"?"," "),"!"," "),"*"," "),"["," "),"]"," "),"'"," "),"#"," "),"+"," "),"&amp;"," "),"\"," "))&amp;" "</f>
        <v>  </v>
      </c>
      <c r="BD245" s="61" t="str">
        <f aca="false">" "&amp;TRIM(SUBSTITUTE(SUBSTITUTE(SUBSTITUTE(SUBSTITUTE(SUBSTITUTE(SUBSTITUTE(SUBSTITUTE(SUBSTITUTE(SUBSTITUTE(SUBSTITUTE(SUBSTITUTE(SUBSTITUTE(SUBSTITUTE(SUBSTITUTE(SUBSTITUTE(SUBSTITUTE(SUBSTITUTE(SUBSTITUTE(SUBSTITUTE(SUBSTITUTE(SUBSTITUTE(SUBSTITUTE(SUBSTITUTE(SUBSTITUTE(LOWER(Z245&amp;""),CHAR(10)," "),CHAR(13)," "),CHAR(9)," "),CHAR(160)," "),"."," "),","," "),"-"," "),"/"," "),"("," "),")"," "),":"," "),";"," "),"_"," "),"–"," "),"?"," "),"!"," "),"*"," "),"["," "),"]"," "),"'"," "),"#"," "),"+"," "),"&amp;"," "),"\"," "))&amp;" "</f>
        <v>  </v>
      </c>
      <c r="BE245" s="61" t="str">
        <f aca="false">" "&amp;TRIM(SUBSTITUTE(SUBSTITUTE(SUBSTITUTE(SUBSTITUTE(SUBSTITUTE(SUBSTITUTE(SUBSTITUTE(SUBSTITUTE(SUBSTITUTE(SUBSTITUTE(SUBSTITUTE(SUBSTITUTE(SUBSTITUTE(SUBSTITUTE(SUBSTITUTE(SUBSTITUTE(SUBSTITUTE(SUBSTITUTE(SUBSTITUTE(SUBSTITUTE(SUBSTITUTE(SUBSTITUTE(SUBSTITUTE(SUBSTITUTE(LOWER(W245&amp;""),CHAR(10)," "),CHAR(13)," "),CHAR(9)," "),CHAR(160)," "),"."," "),","," "),"-"," "),"/"," "),"("," "),")"," "),":"," "),";"," "),"_"," "),"–"," "),"?"," "),"!"," "),"*"," "),"["," "),"]"," "),"'"," "),"#"," "),"+"," "),"&amp;"," "),"\"," "))&amp;" "</f>
        <v>  </v>
      </c>
      <c r="BF245" s="61" t="str">
        <f aca="false">" "&amp;TRIM(SUBSTITUTE(SUBSTITUTE(SUBSTITUTE(SUBSTITUTE(SUBSTITUTE(SUBSTITUTE(SUBSTITUTE(SUBSTITUTE(SUBSTITUTE(SUBSTITUTE(SUBSTITUTE(SUBSTITUTE(SUBSTITUTE(SUBSTITUTE(SUBSTITUTE(SUBSTITUTE(SUBSTITUTE(SUBSTITUTE(SUBSTITUTE(SUBSTITUTE(SUBSTITUTE(SUBSTITUTE(SUBSTITUTE(SUBSTITUTE(LOWER(AC245&amp;""),CHAR(10)," "),CHAR(13)," "),CHAR(9)," "),CHAR(160)," "),"."," "),","," "),"-"," "),"/"," "),"("," "),")"," "),":"," "),";"," "),"_"," "),"–"," "),"?"," "),"!"," "),"*"," "),"["," "),"]"," "),"'"," "),"#"," "),"+"," "),"&amp;"," "),"\"," "))&amp;" "</f>
        <v>  </v>
      </c>
      <c r="BG245" s="61" t="n">
        <f aca="false">IFERROR(IF(AND(TRIM(U245)="Pass",SUMPRODUCT((LEN(BC245)-LEN(SUBSTITUTE(BC245," "&amp;L_ResultBad&amp;" "," ")))/(LEN(L_ResultBad)+1))&gt;SUMPRODUCT((LEN(BC245)-LEN(SUBSTITUTE(BC245," "&amp;L_NegPhrase&amp;" "," ")))/(LEN(L_NegPhrase)+1))),1,0),0)</f>
        <v>0</v>
      </c>
      <c r="BH245" s="61" t="n">
        <f aca="false">IFERROR(IF(SUMPRODUCT((LEN(BC245)-LEN(SUBSTITUTE(BC245," "&amp;L_Pending&amp;" "," ")))/(LEN(L_Pending)+1))&gt;SUMPRODUCT((LEN(BC245)-LEN(SUBSTITUTE(BC245," "&amp;L_PendNeg&amp;" "," ")))/(LEN(L_PendNeg)+1)),1,0),1)</f>
        <v>0</v>
      </c>
      <c r="BI245" s="61" t="n">
        <f aca="false">IFERROR(IF(SUMPRODUCT((LEN(BD245)-LEN(SUBSTITUTE(BD245," "&amp;L_PendStrict&amp;" "," ")))/(LEN(L_PendStrict)+1))&gt;SUMPRODUCT((LEN(BD245)-LEN(SUBSTITUTE(BD245," "&amp;L_PendNeg&amp;" "," ")))/(LEN(L_PendNeg)+1)),1,0),1)</f>
        <v>0</v>
      </c>
      <c r="BJ245" s="61" t="n">
        <f aca="false">IFERROR(IF(SUMPRODUCT((LEN(BE245)-LEN(SUBSTITUTE(BE245," "&amp;L_Pending&amp;" "," ")))/(LEN(L_Pending)+1))&gt;SUMPRODUCT((LEN(BE245)-LEN(SUBSTITUTE(BE245," "&amp;L_PendNeg&amp;" "," ")))/(LEN(L_PendNeg)+1)),1,0),1)</f>
        <v>0</v>
      </c>
      <c r="BK245" s="61" t="n">
        <f aca="false">IFERROR(IF(SUMPRODUCT((LEN(BF245)-LEN(SUBSTITUTE(BF245," "&amp;L_PendStrict&amp;" "," ")))/(LEN(L_PendStrict)+1))&gt;SUMPRODUCT((LEN(BF245)-LEN(SUBSTITUTE(BF245," "&amp;L_PendNeg&amp;" "," ")))/(LEN(L_PendNeg)+1)),1,0),1)</f>
        <v>0</v>
      </c>
      <c r="BL245" s="61" t="n">
        <f aca="false">IF(ISNA(MATCH(TRIM(S245),L_EvidenceType,0)),0,BZ245)</f>
        <v>0</v>
      </c>
      <c r="BM245" s="61" t="str">
        <f aca="false">SUBSTITUTE(SUBSTITUTE(SUBSTITUTE(SUBSTITUTE(SUBSTITUTE(SUBSTITUTE(SUBSTITUTE(SUBSTITUTE(SUBSTITUTE(LOWER(Z245&amp;""),"1","0"),"2","0"),"3","0"),"4","0"),"5","0"),"6","0"),"7","0"),"8","0"),"9","0")</f>
        <v/>
      </c>
      <c r="BN245" s="61" t="str">
        <f aca="false">SUBSTITUTE(SUBSTITUTE(SUBSTITUTE(SUBSTITUTE(SUBSTITUTE(SUBSTITUTE(SUBSTITUTE(SUBSTITUTE(SUBSTITUTE(SUBSTITUTE(SUBSTITUTE(SUBSTITUTE(SUBSTITUTE(SUBSTITUTE(SUBSTITUTE(SUBSTITUTE(SUBSTITUTE(SUBSTITUTE(SUBSTITUTE(SUBSTITUTE(SUBSTITUTE(SUBSTITUTE(SUBSTITUTE(SUBSTITUTE(SUBSTITUTE(BM245,"b","a"),"c","a"),"d","a"),"e","a"),"f","a"),"g","a"),"h","a"),"i","a"),"j","a"),"k","a"),"l","a"),"m","a"),"n","a"),"o","a"),"p","a"),"q","a"),"r","a"),"s","a"),"t","a"),"u","a"),"v","a"),"w","a"),"x","a"),"y","a"),"z","a")</f>
        <v/>
      </c>
      <c r="BO245" s="61" t="str">
        <f aca="false">SUBSTITUTE(SUBSTITUTE(SUBSTITUTE(SUBSTITUTE(SUBSTITUTE(SUBSTITUTE(SUBSTITUTE(SUBSTITUTE(SUBSTITUTE(LOWER(W245&amp;""),"1","0"),"2","0"),"3","0"),"4","0"),"5","0"),"6","0"),"7","0"),"8","0"),"9","0")</f>
        <v/>
      </c>
      <c r="BP245" s="61" t="str">
        <f aca="false">SUBSTITUTE(SUBSTITUTE(SUBSTITUTE(SUBSTITUTE(SUBSTITUTE(SUBSTITUTE(SUBSTITUTE(SUBSTITUTE(SUBSTITUTE(SUBSTITUTE(SUBSTITUTE(SUBSTITUTE(SUBSTITUTE(SUBSTITUTE(SUBSTITUTE(SUBSTITUTE(SUBSTITUTE(SUBSTITUTE(SUBSTITUTE(SUBSTITUTE(SUBSTITUTE(SUBSTITUTE(SUBSTITUTE(SUBSTITUTE(SUBSTITUTE(BO245,"b","a"),"c","a"),"d","a"),"e","a"),"f","a"),"g","a"),"h","a"),"i","a"),"j","a"),"k","a"),"l","a"),"m","a"),"n","a"),"o","a"),"p","a"),"q","a"),"r","a"),"s","a"),"t","a"),"u","a"),"v","a"),"w","a"),"x","a"),"y","a"),"z","a")</f>
        <v/>
      </c>
      <c r="BQ245" s="61" t="n">
        <f aca="false">IFERROR(IF(AND(ISERROR(SEARCH(" mh"," "&amp;LOWER(W245))),ISNA(MATCH(LEFT(TRIM(BP245),255),{"0000a","000a","00a","0000aa","000aa","00aa","0aa","0000aaa","000aaa","00a00","0a00","0000-0000","00:00","a00","a0","00.00.0000","00/00/0000","00-00-0000","0000-00-00","0000/00/00","0000.00.00","00.00.00","00/00/00","00-00-00","0.00.0000","0/00/0000","0-00-0000"},0)),ISNA(MATCH(LEFT(TRIM(CA245),255),{"0000a","000a","00a","0000aa","000aa","00aa","0aa","0000aaa","000aaa","00a00","0a00","0000-0000","00:00","a00","a0","00.00.0000","00/00/0000","00-00-0000","0000-00-00","0000/00/00","0000.00.00","00.00.00","00/00/00","00-00-00","0.00.0000","0/00/0000","0-00-0000"},0)),LEN(CB245)&gt;=3,NOT(OR(SUBSTITUTE(CB245,"0","")="",AND(LEN(CB245)&gt;=4,CB245=REPT(LEFT(CB245),LEN(CB245))),ISNUMBER(MATCH(CB245,{"123","1234","12345","123456","1234567","12345678","0123","01234","012345","98765","987654","54321"},0)),AND(LEN(CB245)=8,LEFT(CB245,3)="202"))),OR(AND((LEN(CA245)-LEN(SUBSTITUTE(CA245,"a","")))&gt;=1,SUMPRODUCT(--ISNUMBER(SEARCH({"a0","a-0","a_0","a/0","a.0","a#0","0a","0-a","0_a","0/a"},BP245)))&gt;0),ISNUMBER(SEARCH("000000",BP245)))),1,0),0)</f>
        <v>0</v>
      </c>
      <c r="BR245" s="61" t="n">
        <f aca="false">IFERROR(LEN(SUBSTITUTE(CC245," ",""))-SUMPRODUCT((LEN(CC245)-LEN(SUBSTITUTE(CC245," "&amp;L_Role&amp;" "," ")))/(LEN(L_Role)+1)*LEN(L_Role)),0)</f>
        <v>0</v>
      </c>
      <c r="BS245" s="61" t="n">
        <f aca="false">IFERROR(LEN(SUBSTITUTE(CD245," ",""))-SUMPRODUCT((LEN(CD245)-LEN(SUBSTITUTE(CD245," "&amp;L_Role&amp;" "," ")))/(LEN(L_Role)+1)*LEN(L_Role)),0)</f>
        <v>0</v>
      </c>
      <c r="BT2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245,"revision",""),"version",""),"jan",""),"feb",""),"mar",""),"apr",""),"may",""),"jun",""),"jul",""),"aug",""),"sep",""),"oct",""),"nov",""),"dec",""),"utc",""),"gmt",""),"myt",""),"bst",""),"rev",""),"ver",""),"b","a"),"c","a"),"d","a"),"e","a"),"f","a"),"g","a"),"h","a"),"i","a"),"j","a"),"k","a"),"l","a"),"m","a"),"n","a"),"o","a"),"p","a"),"q","a"),"r","a"),"s","a"),"t","a"),"u","a"),"v","a"),"w","a"),"x","a"),"y","a"),"z","a")</f>
        <v/>
      </c>
      <c r="BU245" s="61" t="str">
        <f aca="false">SUBSTITUTE(SUBSTITUTE(SUBSTITUTE(SUBSTITUTE(SUBSTITUTE(SUBSTITUTE(SUBSTITUTE(SUBSTITUTE(SUBSTITUTE(SUBSTITUTE(LEFT(BM245,FIND("0",BM245&amp;"0")-1),"-",""),"_",""),"/",""),".",""),"#",""),"\\",""),":","")," ",""),"(",""),")","")</f>
        <v/>
      </c>
      <c r="BV245" s="61" t="n">
        <f aca="false">IFERROR(IF(OR(SUMPRODUCT((LEN(BC245)-LEN(SUBSTITUTE(BC245," "&amp;L_NotLoaded&amp;" "," ")))/(LEN(L_NotLoaded)+1))&gt;SUMPRODUCT((LEN(BC245)-LEN(SUBSTITUTE(BC245," "&amp;L_NotLoadedNeg&amp;" "," ")))/(LEN(L_NotLoadedNeg)+1)),SUMPRODUCT((LEN(BD245)-LEN(SUBSTITUTE(BD245," "&amp;L_NotLoaded&amp;" "," ")))/(LEN(L_NotLoaded)+1))&gt;SUMPRODUCT((LEN(BD245)-LEN(SUBSTITUTE(BD245," "&amp;L_NotLoadedNeg&amp;" "," ")))/(LEN(L_NotLoadedNeg)+1))),1,0),0)</f>
        <v>0</v>
      </c>
      <c r="BW2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245&amp;""),"a",""),"b",""),"c",""),"d",""),"e",""),"f",""),"g",""),"h",""),"i",""),"j",""),"k",""),"l",""),"m",""),"n",""),"o",""),"p",""),"q",""),"r",""),"s",""),"t",""),"u",""),"v",""),"w",""),"x",""),"y",""),"z",""),"-",""),"_",""),"/",""),".",""),"#",""),"\\",""),":","")," ",""),"(",""),")","")</f>
        <v/>
      </c>
      <c r="BX245" s="61" t="str">
        <f aca="false">SUBSTITUTE(SUBSTITUTE(SUBSTITUTE(SUBSTITUTE(SUBSTITUTE(SUBSTITUTE(SUBSTITUTE(SUBSTITUTE(SUBSTITUTE(SUBSTITUTE(SUBSTITUTE(BM245,"0",""),"-",""),"_",""),"/",""),".",""),"#",""),"\\",""),":","")," ",""),"(",""),")","")</f>
        <v/>
      </c>
      <c r="BY245" s="62" t="n">
        <f aca="false">IF(ISNUMBER(Flights!$AZ$11),MAX(Q245-UpliftWindowH/24,Flights!$AZ$11),Q245-UpliftWindowH/24)</f>
        <v>46304.4166666667</v>
      </c>
      <c r="BZ245" s="61" t="n">
        <f aca="false">IFERROR(IF(IF(TRIM(S245)="Link / file path",AND(LEN(TRIM(Z245))&gt;=5,SUMPRODUCT(--ISNUMBER(SEARCH({"http","www.","\\",":\",".pdf",".jpg",".jpeg",".png",".heic",".xls",".doc",".msg",".eml",".ppt",".txt",".zip"},Z245)))&gt;0),AND(ISERROR(FIND(" ",TRIM(Z245))),NOT(OR(SUMPRODUCT(--ISNUMBER(FIND({",",";","&amp;","+"},Z245)))&gt;0,SUMPRODUCT(--ISNUMBER(SEARCH({"0/aa","0\\aa"},BN245)))&gt;0)),NOT(SUMPRODUCT(--ISNUMBER(SEARCH({"http","www.","\\",":\",".pdf",".jpg",".jpeg",".png",".heic",".xls",".doc",".msg",".eml",".ppt",".txt",".zip"},Z245)))&gt;0),NOT(LOWER(TRIM(Z245))=LOWER(Flights!$F$11)),ISNA(MATCH(BU245,{"mh","rev","revision","ver","version","v","r","a","b","seat","tray","row","gate","bay","stand","page","pg","item","line","no","cart","galley","flight","flt","table","box","bag","oven","etd","eta","std","sta","atd","ata","qty","pax","x","time","tel","ph","mob","day","wk","week","utc","gmt","myt","lt"},0)),NOT(OR(ISNUMBER(MATCH(LEFT(BN245,255),{"0000a","000a","00a","0000aa","000aa","00aa","0aa","0000aaa","000aaa","00a00","0a00","0000-0000","00:00","a00","a0","00.00.0000","00/00/0000","00-00-0000","0000-00-00","0000/00/00","0000.00.00","00.00.00","00/00/00","00-00-00","0.00.0000","0/00/0000","0-00-0000"},0)),ISNUMBER(MATCH(LEFT(BT245,255),{"0000a","000a","00a","0000aa","000aa","00aa","0aa","0000aaa","000aaa","00a00","0a00","0000-0000","00:00","a00","a0","00.00.0000","00/00/0000","00-00-0000","0000-00-00","0000/00/00","0000.00.00","00.00.00","00/00/00","00-00-00","0.00.0000","0/00/0000","0-00-0000"},0)))),NOT(OR(AND(BW245&lt;&gt;"",SUBSTITUTE(BW245,"0","")=""),AND(LEN(BW245)&gt;=4,BW245=REPT(LEFT(BW245),LEN(BW245))),ISNUMBER(MATCH(BW245,{"123","1234","12345","123456","1234567","12345678","0123","01234","012345","98765","987654","54321"},0)),ISNUMBER(MATCH(BX245,{"x","xx","xxx","xxxx","xxxxx","abc","abcd","nil","na","nan","test","tbc","tba","tbd","dummy","sample","example","eg","zz","zzz","none","null","xyz","qwe","asd","id","ref"},0)),AND(LEN(BW245)=8,BX245="",OR(LEFT(BW245,3)="202",ISNUMBER(MATCH(RIGHT(BW245,4),{"2025","2026","2027"},0)))))),OR(AND((LEN(BT245)-LEN(SUBSTITUTE(BT245,"a","")))&gt;=1,(LEN(BN245)-LEN(SUBSTITUTE(BN245,"0","")))&gt;=2,SUMPRODUCT(--ISNUMBER(SEARCH({"a0","a-0","a_0","a/0","a.0","a#0","0a","0-a","0_a","0/a"},BN245)))&gt;0),AND((LEN(BN245)-LEN(SUBSTITUTE(BN245,"a","")))=0,(LEN(BN245)-LEN(SUBSTITUTE(BN245,"0","")))&gt;=5)))),1,0),0)</f>
        <v>0</v>
      </c>
      <c r="CA2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245,"revision",""),"version",""),"jan",""),"feb",""),"mar",""),"apr",""),"may",""),"jun",""),"jul",""),"aug",""),"sep",""),"oct",""),"nov",""),"dec",""),"utc",""),"gmt",""),"myt",""),"bst",""),"rev",""),"ver",""),"b","a"),"c","a"),"d","a"),"e","a"),"f","a"),"g","a"),"h","a"),"i","a"),"j","a"),"k","a"),"l","a"),"m","a"),"n","a"),"o","a"),"p","a"),"q","a"),"r","a"),"s","a"),"t","a"),"u","a"),"v","a"),"w","a"),"x","a"),"y","a"),"z","a")</f>
        <v/>
      </c>
      <c r="CB2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245&amp;""),"a",""),"b",""),"c",""),"d",""),"e",""),"f",""),"g",""),"h",""),"i",""),"j",""),"k",""),"l",""),"m",""),"n",""),"o",""),"p",""),"q",""),"r",""),"s",""),"t",""),"u",""),"v",""),"w",""),"x",""),"y",""),"z",""),"-",""),"_",""),"/",""),".",""),"#",""),"\\",""),":","")," ",""),"(",""),")","")</f>
        <v/>
      </c>
      <c r="CC245" s="0" t="str">
        <f aca="false">" "&amp;TRIM(SUBSTITUTE(SUBSTITUTE(SUBSTITUTE(SUBSTITUTE(SUBSTITUTE(SUBSTITUTE(SUBSTITUTE(SUBSTITUTE(SUBSTITUTE(SUBSTITUTE(SUBSTITUTE(SUBSTITUTE(SUBSTITUTE(SUBSTITUTE(SUBSTITUTE(SUBSTITUTE(SUBSTITUTE(SUBSTITUTE(SUBSTITUTE(SUBSTITUTE(SUBSTITUTE(SUBSTITUTE(SUBSTITUTE(SUBSTITUTE(LOWER(T245&amp;""),CHAR(10)," "),CHAR(13)," "),CHAR(9)," "),CHAR(160)," "),"."," "),","," "),"-"," "),"/"," "),"("," "),")"," "),":"," "),";"," "),"_"," "),"–"," "),"?"," "),"!"," "),"*"," "),"["," "),"]"," "),"'"," "),"#"," "),"+"," "),"&amp;"," "),"\"," "))&amp;" "</f>
        <v>  </v>
      </c>
      <c r="CD245" s="0" t="str">
        <f aca="false">" "&amp;TRIM(SUBSTITUTE(SUBSTITUTE(SUBSTITUTE(SUBSTITUTE(SUBSTITUTE(SUBSTITUTE(SUBSTITUTE(SUBSTITUTE(SUBSTITUTE(SUBSTITUTE(SUBSTITUTE(SUBSTITUTE(SUBSTITUTE(SUBSTITUTE(SUBSTITUTE(SUBSTITUTE(SUBSTITUTE(SUBSTITUTE(SUBSTITUTE(SUBSTITUTE(SUBSTITUTE(SUBSTITUTE(SUBSTITUTE(SUBSTITUTE(LOWER(AE245&amp;""),CHAR(10)," "),CHAR(13)," "),CHAR(9)," "),CHAR(160)," "),"."," "),","," "),"-"," "),"/"," "),"("," "),")"," "),":"," "),";"," "),"_"," "),"–"," "),"?"," "),"!"," "),"*"," "),"["," "),"]"," "),"'"," "),"#"," "),"+"," "),"&amp;"," "),"\"," "))&amp;" "</f>
        <v>  </v>
      </c>
      <c r="CE245" s="68" t="n">
        <f aca="false">IFERROR(IF(AND(LEN(AU245)&gt;0,LEN(AU245)=LEN(AX245),OR(TRIM(MID(SUBSTITUTE(TRIM(CC245)," ",REPT(" ",60)),1,60))="",ISNUMBER(SEARCH(" "&amp;TRIM(MID(SUBSTITUTE(TRIM(CC245)," ",REPT(" ",60)),1,60))&amp;" ",CD245))),OR(TRIM(MID(SUBSTITUTE(TRIM(CC245)," ",REPT(" ",60)),61,60))="",ISNUMBER(SEARCH(" "&amp;TRIM(MID(SUBSTITUTE(TRIM(CC245)," ",REPT(" ",60)),61,60))&amp;" ",CD245))),OR(TRIM(MID(SUBSTITUTE(TRIM(CC245)," ",REPT(" ",60)),121,60))="",ISNUMBER(SEARCH(" "&amp;TRIM(MID(SUBSTITUTE(TRIM(CC245)," ",REPT(" ",60)),121,60))&amp;" ",CD245)))),1,0),0)</f>
        <v>0</v>
      </c>
      <c r="CG245" s="68" t="n">
        <f aca="false">IFERROR(LEN(SUBSTITUTE(BF245," ",""))-SUMPRODUCT((LEN(BF245)-LEN(SUBSTITUTE(BF245," "&amp;L_NAFiller&amp;" "," ")))/(LEN(L_NAFiller)+1)*LEN(L_NAFiller)),0)</f>
        <v>0</v>
      </c>
    </row>
    <row r="246" customFormat="false" ht="39.75" hidden="false" customHeight="true" outlineLevel="0" collapsed="false">
      <c r="A246" s="57" t="s">
        <v>814</v>
      </c>
      <c r="B246" s="57" t="s">
        <v>235</v>
      </c>
      <c r="C246" s="57" t="str">
        <f aca="false">Flights!$F$11</f>
        <v>MH0003</v>
      </c>
      <c r="D246" s="58" t="n">
        <f aca="false">Flights!$D$11</f>
        <v>46304</v>
      </c>
      <c r="E246" s="57" t="str">
        <f aca="false">Flights!$G$11&amp;"-"&amp;Flights!$H$11</f>
        <v>LHR-KUL</v>
      </c>
      <c r="F246" s="57" t="str">
        <f aca="false">Flights!$K$11</f>
        <v>BC</v>
      </c>
      <c r="G246" s="57" t="s">
        <v>459</v>
      </c>
      <c r="H246" s="57" t="s">
        <v>460</v>
      </c>
      <c r="I246" s="57" t="s">
        <v>428</v>
      </c>
      <c r="J246" s="57" t="s">
        <v>465</v>
      </c>
      <c r="K246" s="67" t="s">
        <v>426</v>
      </c>
      <c r="L246" s="67" t="s">
        <v>462</v>
      </c>
      <c r="M246" s="67"/>
      <c r="N246" s="67" t="s">
        <v>383</v>
      </c>
      <c r="O246" s="67" t="s">
        <v>463</v>
      </c>
      <c r="P246" s="57" t="s">
        <v>186</v>
      </c>
      <c r="Q246" s="59" t="n">
        <f aca="false">ROUND((Flights!$AF$11)*1440,0)/1440</f>
        <v>46304.4166666667</v>
      </c>
      <c r="R246" s="59" t="n">
        <f aca="false">Q246+(IF(AND(INDEX(TZ_DSTS,MATCH(P246,TZ_STN,0))&lt;&gt;"",Q246&gt;=INDEX(TZ_DSTS,MATCH(P246,TZ_STN,0)),Q246&lt;INDEX(TZ_DSTE,MATCH(P246,TZ_STN,0))),INDEX(TZ_DST,MATCH(P246,TZ_STN,0)),INDEX(TZ_STD,MATCH(P246,TZ_STN,0))))/24</f>
        <v>46304.4583333333</v>
      </c>
      <c r="S246" s="60"/>
      <c r="T246" s="60"/>
      <c r="U246" s="60"/>
      <c r="V246" s="60"/>
      <c r="W246" s="61"/>
      <c r="X246" s="60"/>
      <c r="Y246" s="60"/>
      <c r="Z246" s="60"/>
      <c r="AA246" s="60"/>
      <c r="AB246" s="60"/>
      <c r="AC246" s="60"/>
      <c r="AD246" s="66"/>
      <c r="AE246" s="60"/>
      <c r="AF246" s="61" t="str">
        <f aca="false">IF(AND(ISNUMBER(X246),ISNUMBER(Y246)),Y246-X246,"")</f>
        <v/>
      </c>
      <c r="AG246" s="62" t="str">
        <f aca="false">IF(ISNUMBER(AD246),AD246-(IF(AND(INDEX(TZ_DSTS,MATCH(P246,TZ_STN,0))&lt;&gt;"",(AD246-INDEX(TZ_STD,MATCH(P246,TZ_STN,0))/24)&gt;=INDEX(TZ_DSTS,MATCH(P246,TZ_STN,0)),(AD246-INDEX(TZ_STD,MATCH(P246,TZ_STN,0))/24)&lt;INDEX(TZ_DSTE,MATCH(P246,TZ_STN,0))),INDEX(TZ_DST,MATCH(P246,TZ_STN,0)),INDEX(TZ_STD,MATCH(P246,TZ_STN,0))))/24,"")</f>
        <v/>
      </c>
      <c r="AH246" s="65" t="str">
        <f aca="false">IFERROR(IF(N246="N/A – rule",IF(OR(TRIM(U246)="",TRIM(U246)="N/A",TRIM(U246)="Not started"),"N/A – RULE","INVALID – this check does not apply to this aircraft: clear the status (or correct the fleet on Flights)"),IF(TRIM(U246)="N/A",IF(AT246=0,"INVALID – N/A not permitted for this check",IF(AND(TRIM(AB246)&lt;&gt;"",TRIM(AB246)&lt;&gt;"Closed"),"INVALID – corrective action still open",IF(AND(NOT(OR(LEN(AZ246)&lt;15,ISNUMBER(MATCH(AZ246,L_Placeholder,0)))),BK246=0,CG246&gt;=8,NOT(OR(LEN(AU246)&lt;2,ISNUMBER(MATCH(AU246,L_Placeholder,0)))),BR246&gt;=3,NOT(OR(LEN(AX246)&lt;2,ISNUMBER(MATCH(AX246,L_Placeholder,0)))),BS246&gt;=3,TRIM(AE246)&lt;&gt;TRIM(T246),AX246&lt;&gt;AU246,CE246=0),"N/A – JUSTIFIED","INVALID – N/A needs a real, settled reason (not 'not applicable' / 'as above' / TBC), a named PIC and a different named verifier"))),IF(OR(TRIM(U246)="Pass",TRIM(U246)="Pass after CA"),IF(NOT(ISNUMBER(AD246)),"INVALID – completion time missing",IF(OR(OR(LEN(AU246)&lt;2,ISNUMBER(MATCH(AU246,L_Placeholder,0))),BR246&lt;3),"INVALID – PIC missing or not a named person (a role such as QA / CSM is not a name)",IF(OR(LEN(AV246)&lt;2,ISNUMBER(MATCH(AV246,L_Placeholder,0))),"INVALID – result / assessment missing",IF(OR(OR(LEN(AW246)&lt;3,ISNUMBER(MATCH(AW246,L_Placeholder,0))),SUMPRODUCT(--ISNUMBER(SEARCH(" "&amp;L_EvidencePhrase&amp;" ",BD246)))&gt;0,BI246=1),"INVALID – evidence missing, placeholder or not yet on file",IF(ISNA(MATCH(TRIM(S246),L_EvidenceType,0)),"INVALID – choose the evidence type from the list (column S)",IF(BL246=0,"INVALID – evidence ID must be the record's own ID only (e.g. SF-2210, IMG_2231, 1045521); a link / file name needs type 'Link / file path'",IF(OR(OR(LEN(AX246)&lt;2,ISNUMBER(MATCH(AX246,L_Placeholder,0))),BS246&lt;3),"INVALID – verifier missing or not a named person (a role such as QA / CSM is not a name)",IF(OR(AX246=AU246,CE246=1,AND(LEN(AU246)&gt;=4,ISNUMBER(SEARCH(AU246,AX246))),AND(LEN(AX246)&gt;=4,ISNUMBER(SEARCH(AX246,AU246)))),"INVALID – verifier must be a different, named person (not the PIC or a role)",IF(BH246=1,"INVALID – result not yet available (awaiting / TBC)",IF(BG246=1,"INVALID – result describes a problem: record Fail, then Pass after CA (or reword if it is not a problem)",IF(BV246=1,"INVALID – wording says not on board: an on-board confirmation needs the item loaded",IF(AND(AQ246=1,OR(OR(LEN(AY246)&lt;3,ISNUMBER(MATCH(AY246,L_Placeholder,0))),BJ246=1,BQ246=0)),"INVALID – batch ID missing, placeholder or not an ID (e.g. PASB-261008-BC-017)",IF(AND(AR246=1,OR(NOT(ISNUMBER(X246)),NOT(ISNUMBER(Y246)))),"INVALID – expected/actual qty missing",IF(AND(AR246=1,OR(X246&lt;=0,Y246&lt;0)),"INVALID – expected qty must be above 0 and actual not negative",IF(AH229="N/A – JUSTIFIED","INVALID – preparation row F07-T12-06 is N/A",IF(AND(AR246=1,ISNUMBER(X229),X246&lt;&gt;X229,TRIM(U246)&lt;&gt;"Pass after CA"),"INVALID – expected qty differs from preparation check F07-T12-06: record the load change as a corrective action (Pass after CA)",IF(BB246&lt;&gt;"",BB246,IF(AND(AS246=1,Documents!$J$11&lt;&gt;"ON FILE"),"INVALID – GLD not on file (Documents sheet)",IF(AND(AS246=2,Documents!$O$11&lt;&gt;"ON FILE"),"INVALID – menu checklist not on file (Documents sheet)",IF(AND(AS246=3,NOT(ISNUMBER(Flights!$AX$11))),"INVALID – enter carrying flight KUL departure (Flights AX)",IF(AND(AS246=3,OR(Flights!$AZ$11&gt;Flights!$AA$11,Flights!$AX$11&lt;Flights!$AA$11-3)),"INVALID – carrying flight (Flights AX) cannot arrive before this leg's STD, or is over 3 days early",IF(AG246&gt;AsOfUTC,"INVALID – completion time is in the future",IF(AND(ISNUMBER(BY246),AG246&lt;BY246),IF(H246="Physical uplift","INVALID – before uplift window (cannot confirm loading)","INVALID – before valid window"),IF(AG246&gt;Flights!$AA$11,"INVALID – completed after departure (cannot establish readiness)",IF(AND(H246="Preparation",AG246&gt;=IF(ISNUMBER(Flights!$BA$11),MIN(Flights!$BA$11,Flights!$AA$11),Flights!$AA$11)),"INVALID – completed after loading / departure (cannot establish readiness)",IF(AND(H246="Physical uplift",AG246&gt;Q246),"INVALID – recorded after the loading flight departed",IF(AG246&gt;Q246,"COMPLETE – LATE","COMPLETE"))))))))))))))))))))))))))),IF(TRIM(U246)="Fail","FAIL – DISCREPANCY",IF(AND(TRIM(U246)&lt;&gt;"",TRIM(U246)&lt;&gt;"Not started",TRIM(U246)&lt;&gt;"In progress"),"INVALID – unrecognised status (use the list)",IF(AsOfUTC&gt;Q246,"OVERDUE",IF(N246="Clarification required","OPEN – CLARIFICATION","OPEN"))))))),"INVALID – error value in an input cell")</f>
        <v>OPEN</v>
      </c>
      <c r="AI246" s="61" t="n">
        <f aca="false">IF(OR(AH246="N/A – RULE",AH246="N/A – JUSTIFIED"),0,1)</f>
        <v>1</v>
      </c>
      <c r="AJ246" s="61" t="n">
        <f aca="false">IF(LEFT(AH246,8)="COMPLETE",1,0)</f>
        <v>0</v>
      </c>
      <c r="AK246" s="61" t="n">
        <f aca="false">IF(AND(AI246=1,AJ246=0,AsOfUTC&gt;Q246),1,0)</f>
        <v>0</v>
      </c>
      <c r="AL246" s="61" t="n">
        <f aca="false">IFERROR(IF(AND(AI246=1,OR(TRIM(U246)="Fail",AND(TRIM(AB246)&lt;&gt;"",TRIM(AB246)&lt;&gt;"Closed"),AND(ISNUMBER(AF246),AF246&lt;&gt;0,TRIM(U246)&lt;&gt;"Pass after CA"))),1,0),1)</f>
        <v>0</v>
      </c>
      <c r="AM246" s="61" t="n">
        <f aca="false">IF(LEFT(AH246,7)="INVALID",1,0)</f>
        <v>0</v>
      </c>
      <c r="AN246" s="61" t="n">
        <f aca="false">IF(AND(N246="Clarification required",AI246=1,AJ246=0),1,0)</f>
        <v>0</v>
      </c>
      <c r="AO246" s="61" t="str">
        <f aca="false">IF(AK246=1,SUM(AK$5:AK246),"")</f>
        <v/>
      </c>
      <c r="AP246" s="61" t="str">
        <f aca="false">IF(AL246=1,SUM(AL$5:AL246),"")</f>
        <v/>
      </c>
      <c r="AQ246" s="61" t="n">
        <v>0</v>
      </c>
      <c r="AR246" s="61" t="n">
        <v>1</v>
      </c>
      <c r="AS246" s="61" t="n">
        <v>0</v>
      </c>
      <c r="AT246" s="61" t="n">
        <v>0</v>
      </c>
      <c r="AU246" s="61" t="str">
        <f aca="false">SUBSTITUTE(SUBSTITUTE(SUBSTITUTE(SUBSTITUTE(SUBSTITUTE(SUBSTITUTE(SUBSTITUTE(SUBSTITUTE(SUBSTITUTE(SUBSTITUTE(SUBSTITUTE(SUBSTITUTE(SUBSTITUTE(SUBSTITUTE(SUBSTITUTE(SUBSTITUTE(LOWER(T246&amp;""),CHAR(10),""),CHAR(13),""),CHAR(9),""),CHAR(160),"")," ",""),".",""),"-",""),"/",""),"?",""),"_",""),",",""),"[",""),"]",""),"(",""),")",""),"*","")</f>
        <v/>
      </c>
      <c r="AV246" s="61" t="str">
        <f aca="false">SUBSTITUTE(SUBSTITUTE(SUBSTITUTE(SUBSTITUTE(SUBSTITUTE(SUBSTITUTE(SUBSTITUTE(SUBSTITUTE(SUBSTITUTE(SUBSTITUTE(SUBSTITUTE(SUBSTITUTE(SUBSTITUTE(SUBSTITUTE(SUBSTITUTE(SUBSTITUTE(LOWER(V246&amp;""),CHAR(10),""),CHAR(13),""),CHAR(9),""),CHAR(160),"")," ",""),".",""),"-",""),"/",""),"?",""),"_",""),",",""),"[",""),"]",""),"(",""),")",""),"*","")</f>
        <v/>
      </c>
      <c r="AW246" s="61" t="str">
        <f aca="false">SUBSTITUTE(SUBSTITUTE(SUBSTITUTE(SUBSTITUTE(SUBSTITUTE(SUBSTITUTE(SUBSTITUTE(SUBSTITUTE(SUBSTITUTE(SUBSTITUTE(SUBSTITUTE(SUBSTITUTE(SUBSTITUTE(SUBSTITUTE(SUBSTITUTE(SUBSTITUTE(LOWER(Z246&amp;""),CHAR(10),""),CHAR(13),""),CHAR(9),""),CHAR(160),"")," ",""),".",""),"-",""),"/",""),"?",""),"_",""),",",""),"[",""),"]",""),"(",""),")",""),"*","")</f>
        <v/>
      </c>
      <c r="AX246" s="61" t="str">
        <f aca="false">SUBSTITUTE(SUBSTITUTE(SUBSTITUTE(SUBSTITUTE(SUBSTITUTE(SUBSTITUTE(SUBSTITUTE(SUBSTITUTE(SUBSTITUTE(SUBSTITUTE(SUBSTITUTE(SUBSTITUTE(SUBSTITUTE(SUBSTITUTE(SUBSTITUTE(SUBSTITUTE(LOWER(AE246&amp;""),CHAR(10),""),CHAR(13),""),CHAR(9),""),CHAR(160),"")," ",""),".",""),"-",""),"/",""),"?",""),"_",""),",",""),"[",""),"]",""),"(",""),")",""),"*","")</f>
        <v/>
      </c>
      <c r="AY246" s="61" t="str">
        <f aca="false">SUBSTITUTE(SUBSTITUTE(SUBSTITUTE(SUBSTITUTE(SUBSTITUTE(SUBSTITUTE(SUBSTITUTE(SUBSTITUTE(SUBSTITUTE(SUBSTITUTE(SUBSTITUTE(SUBSTITUTE(SUBSTITUTE(SUBSTITUTE(SUBSTITUTE(SUBSTITUTE(LOWER(W246&amp;""),CHAR(10),""),CHAR(13),""),CHAR(9),""),CHAR(160),"")," ",""),".",""),"-",""),"/",""),"?",""),"_",""),",",""),"[",""),"]",""),"(",""),")",""),"*","")</f>
        <v/>
      </c>
      <c r="AZ246" s="61" t="str">
        <f aca="false">SUBSTITUTE(SUBSTITUTE(SUBSTITUTE(SUBSTITUTE(SUBSTITUTE(SUBSTITUTE(SUBSTITUTE(SUBSTITUTE(SUBSTITUTE(SUBSTITUTE(SUBSTITUTE(SUBSTITUTE(SUBSTITUTE(SUBSTITUTE(SUBSTITUTE(SUBSTITUTE(LOWER(AC246&amp;""),CHAR(10),""),CHAR(13),""),CHAR(9),""),CHAR(160),"")," ",""),".",""),"-",""),"/",""),"?",""),"_",""),",",""),"[",""),"]",""),"(",""),")",""),"*","")</f>
        <v/>
      </c>
      <c r="BA246" s="61" t="str">
        <f aca="false">SUBSTITUTE(SUBSTITUTE(SUBSTITUTE(SUBSTITUTE(SUBSTITUTE(SUBSTITUTE(SUBSTITUTE(SUBSTITUTE(SUBSTITUTE(SUBSTITUTE(SUBSTITUTE(SUBSTITUTE(SUBSTITUTE(SUBSTITUTE(SUBSTITUTE(SUBSTITUTE(LOWER(AA246&amp;""),CHAR(10),""),CHAR(13),""),CHAR(9),""),CHAR(160),"")," ",""),".",""),"-",""),"/",""),"?",""),"_",""),",",""),"[",""),"]",""),"(",""),")",""),"*","")</f>
        <v/>
      </c>
      <c r="BB246" s="61" t="str">
        <f aca="false">IF(AND(TRIM(U246)="Pass",ISNUMBER(AF246)),IF(AF246&lt;&gt;0,"INVALID – qty variance: use Fail or Pass after CA",""),"")&amp;IF(AND(TRIM(U246)="Pass after CA",ISNUMBER(AF246)),IF(AF246&lt;&gt;0,"INVALID – after the corrective action the actual qty must equal expected (update Actual)",""),"")&amp;IF(AND(TRIM(U246)="Pass",TRIM(AB246)&lt;&gt;"",TRIM(AB246)&lt;&gt;"Closed"),"INVALID – corrective action not closed: use Fail, then Pass after CA","")&amp;IF(AND(LEN(BA246)&gt;=2,ISNA(MATCH(LEFT(BA246,255),L_Placeholder,0)),TRIM(AB246)=""),"INVALID – CA status missing for the recorded corrective action","")&amp;IF(AND(TRIM(U246)="Pass after CA",OR(OR(LEN(BA246)&lt;5,ISNUMBER(MATCH(BA246,L_Placeholder,0))),TRIM(AB246)&lt;&gt;"Closed")),"INVALID – corrective action not recorded/closed","")</f>
        <v/>
      </c>
      <c r="BC246" s="61" t="str">
        <f aca="false">" "&amp;TRIM(SUBSTITUTE(SUBSTITUTE(SUBSTITUTE(SUBSTITUTE(SUBSTITUTE(SUBSTITUTE(SUBSTITUTE(SUBSTITUTE(SUBSTITUTE(SUBSTITUTE(SUBSTITUTE(SUBSTITUTE(SUBSTITUTE(SUBSTITUTE(SUBSTITUTE(SUBSTITUTE(SUBSTITUTE(SUBSTITUTE(SUBSTITUTE(SUBSTITUTE(SUBSTITUTE(SUBSTITUTE(SUBSTITUTE(SUBSTITUTE(LOWER(V246&amp;""),CHAR(10)," "),CHAR(13)," "),CHAR(9)," "),CHAR(160)," "),"."," "),","," "),"-"," "),"/"," "),"("," "),")"," "),":"," "),";"," "),"_"," "),"–"," "),"?"," "),"!"," "),"*"," "),"["," "),"]"," "),"'"," "),"#"," "),"+"," "),"&amp;"," "),"\"," "))&amp;" "</f>
        <v>  </v>
      </c>
      <c r="BD246" s="61" t="str">
        <f aca="false">" "&amp;TRIM(SUBSTITUTE(SUBSTITUTE(SUBSTITUTE(SUBSTITUTE(SUBSTITUTE(SUBSTITUTE(SUBSTITUTE(SUBSTITUTE(SUBSTITUTE(SUBSTITUTE(SUBSTITUTE(SUBSTITUTE(SUBSTITUTE(SUBSTITUTE(SUBSTITUTE(SUBSTITUTE(SUBSTITUTE(SUBSTITUTE(SUBSTITUTE(SUBSTITUTE(SUBSTITUTE(SUBSTITUTE(SUBSTITUTE(SUBSTITUTE(LOWER(Z246&amp;""),CHAR(10)," "),CHAR(13)," "),CHAR(9)," "),CHAR(160)," "),"."," "),","," "),"-"," "),"/"," "),"("," "),")"," "),":"," "),";"," "),"_"," "),"–"," "),"?"," "),"!"," "),"*"," "),"["," "),"]"," "),"'"," "),"#"," "),"+"," "),"&amp;"," "),"\"," "))&amp;" "</f>
        <v>  </v>
      </c>
      <c r="BE246" s="61" t="str">
        <f aca="false">" "&amp;TRIM(SUBSTITUTE(SUBSTITUTE(SUBSTITUTE(SUBSTITUTE(SUBSTITUTE(SUBSTITUTE(SUBSTITUTE(SUBSTITUTE(SUBSTITUTE(SUBSTITUTE(SUBSTITUTE(SUBSTITUTE(SUBSTITUTE(SUBSTITUTE(SUBSTITUTE(SUBSTITUTE(SUBSTITUTE(SUBSTITUTE(SUBSTITUTE(SUBSTITUTE(SUBSTITUTE(SUBSTITUTE(SUBSTITUTE(SUBSTITUTE(LOWER(W246&amp;""),CHAR(10)," "),CHAR(13)," "),CHAR(9)," "),CHAR(160)," "),"."," "),","," "),"-"," "),"/"," "),"("," "),")"," "),":"," "),";"," "),"_"," "),"–"," "),"?"," "),"!"," "),"*"," "),"["," "),"]"," "),"'"," "),"#"," "),"+"," "),"&amp;"," "),"\"," "))&amp;" "</f>
        <v>  </v>
      </c>
      <c r="BF246" s="61" t="str">
        <f aca="false">" "&amp;TRIM(SUBSTITUTE(SUBSTITUTE(SUBSTITUTE(SUBSTITUTE(SUBSTITUTE(SUBSTITUTE(SUBSTITUTE(SUBSTITUTE(SUBSTITUTE(SUBSTITUTE(SUBSTITUTE(SUBSTITUTE(SUBSTITUTE(SUBSTITUTE(SUBSTITUTE(SUBSTITUTE(SUBSTITUTE(SUBSTITUTE(SUBSTITUTE(SUBSTITUTE(SUBSTITUTE(SUBSTITUTE(SUBSTITUTE(SUBSTITUTE(LOWER(AC246&amp;""),CHAR(10)," "),CHAR(13)," "),CHAR(9)," "),CHAR(160)," "),"."," "),","," "),"-"," "),"/"," "),"("," "),")"," "),":"," "),";"," "),"_"," "),"–"," "),"?"," "),"!"," "),"*"," "),"["," "),"]"," "),"'"," "),"#"," "),"+"," "),"&amp;"," "),"\"," "))&amp;" "</f>
        <v>  </v>
      </c>
      <c r="BG246" s="61" t="n">
        <f aca="false">IFERROR(IF(AND(TRIM(U246)="Pass",SUMPRODUCT((LEN(BC246)-LEN(SUBSTITUTE(BC246," "&amp;L_ResultBad&amp;" "," ")))/(LEN(L_ResultBad)+1))&gt;SUMPRODUCT((LEN(BC246)-LEN(SUBSTITUTE(BC246," "&amp;L_NegPhrase&amp;" "," ")))/(LEN(L_NegPhrase)+1))),1,0),0)</f>
        <v>0</v>
      </c>
      <c r="BH246" s="61" t="n">
        <f aca="false">IFERROR(IF(SUMPRODUCT((LEN(BC246)-LEN(SUBSTITUTE(BC246," "&amp;L_Pending&amp;" "," ")))/(LEN(L_Pending)+1))&gt;SUMPRODUCT((LEN(BC246)-LEN(SUBSTITUTE(BC246," "&amp;L_PendNeg&amp;" "," ")))/(LEN(L_PendNeg)+1)),1,0),1)</f>
        <v>0</v>
      </c>
      <c r="BI246" s="61" t="n">
        <f aca="false">IFERROR(IF(SUMPRODUCT((LEN(BD246)-LEN(SUBSTITUTE(BD246," "&amp;L_PendStrict&amp;" "," ")))/(LEN(L_PendStrict)+1))&gt;SUMPRODUCT((LEN(BD246)-LEN(SUBSTITUTE(BD246," "&amp;L_PendNeg&amp;" "," ")))/(LEN(L_PendNeg)+1)),1,0),1)</f>
        <v>0</v>
      </c>
      <c r="BJ246" s="61" t="n">
        <f aca="false">IFERROR(IF(SUMPRODUCT((LEN(BE246)-LEN(SUBSTITUTE(BE246," "&amp;L_Pending&amp;" "," ")))/(LEN(L_Pending)+1))&gt;SUMPRODUCT((LEN(BE246)-LEN(SUBSTITUTE(BE246," "&amp;L_PendNeg&amp;" "," ")))/(LEN(L_PendNeg)+1)),1,0),1)</f>
        <v>0</v>
      </c>
      <c r="BK246" s="61" t="n">
        <f aca="false">IFERROR(IF(SUMPRODUCT((LEN(BF246)-LEN(SUBSTITUTE(BF246," "&amp;L_PendStrict&amp;" "," ")))/(LEN(L_PendStrict)+1))&gt;SUMPRODUCT((LEN(BF246)-LEN(SUBSTITUTE(BF246," "&amp;L_PendNeg&amp;" "," ")))/(LEN(L_PendNeg)+1)),1,0),1)</f>
        <v>0</v>
      </c>
      <c r="BL246" s="61" t="n">
        <f aca="false">IF(ISNA(MATCH(TRIM(S246),L_EvidenceType,0)),0,BZ246)</f>
        <v>0</v>
      </c>
      <c r="BM246" s="61" t="str">
        <f aca="false">SUBSTITUTE(SUBSTITUTE(SUBSTITUTE(SUBSTITUTE(SUBSTITUTE(SUBSTITUTE(SUBSTITUTE(SUBSTITUTE(SUBSTITUTE(LOWER(Z246&amp;""),"1","0"),"2","0"),"3","0"),"4","0"),"5","0"),"6","0"),"7","0"),"8","0"),"9","0")</f>
        <v/>
      </c>
      <c r="BN246" s="61" t="str">
        <f aca="false">SUBSTITUTE(SUBSTITUTE(SUBSTITUTE(SUBSTITUTE(SUBSTITUTE(SUBSTITUTE(SUBSTITUTE(SUBSTITUTE(SUBSTITUTE(SUBSTITUTE(SUBSTITUTE(SUBSTITUTE(SUBSTITUTE(SUBSTITUTE(SUBSTITUTE(SUBSTITUTE(SUBSTITUTE(SUBSTITUTE(SUBSTITUTE(SUBSTITUTE(SUBSTITUTE(SUBSTITUTE(SUBSTITUTE(SUBSTITUTE(SUBSTITUTE(BM246,"b","a"),"c","a"),"d","a"),"e","a"),"f","a"),"g","a"),"h","a"),"i","a"),"j","a"),"k","a"),"l","a"),"m","a"),"n","a"),"o","a"),"p","a"),"q","a"),"r","a"),"s","a"),"t","a"),"u","a"),"v","a"),"w","a"),"x","a"),"y","a"),"z","a")</f>
        <v/>
      </c>
      <c r="BO246" s="61" t="str">
        <f aca="false">SUBSTITUTE(SUBSTITUTE(SUBSTITUTE(SUBSTITUTE(SUBSTITUTE(SUBSTITUTE(SUBSTITUTE(SUBSTITUTE(SUBSTITUTE(LOWER(W246&amp;""),"1","0"),"2","0"),"3","0"),"4","0"),"5","0"),"6","0"),"7","0"),"8","0"),"9","0")</f>
        <v/>
      </c>
      <c r="BP246" s="61" t="str">
        <f aca="false">SUBSTITUTE(SUBSTITUTE(SUBSTITUTE(SUBSTITUTE(SUBSTITUTE(SUBSTITUTE(SUBSTITUTE(SUBSTITUTE(SUBSTITUTE(SUBSTITUTE(SUBSTITUTE(SUBSTITUTE(SUBSTITUTE(SUBSTITUTE(SUBSTITUTE(SUBSTITUTE(SUBSTITUTE(SUBSTITUTE(SUBSTITUTE(SUBSTITUTE(SUBSTITUTE(SUBSTITUTE(SUBSTITUTE(SUBSTITUTE(SUBSTITUTE(BO246,"b","a"),"c","a"),"d","a"),"e","a"),"f","a"),"g","a"),"h","a"),"i","a"),"j","a"),"k","a"),"l","a"),"m","a"),"n","a"),"o","a"),"p","a"),"q","a"),"r","a"),"s","a"),"t","a"),"u","a"),"v","a"),"w","a"),"x","a"),"y","a"),"z","a")</f>
        <v/>
      </c>
      <c r="BQ246" s="61" t="n">
        <f aca="false">IFERROR(IF(AND(ISERROR(SEARCH(" mh"," "&amp;LOWER(W246))),ISNA(MATCH(LEFT(TRIM(BP246),255),{"0000a","000a","00a","0000aa","000aa","00aa","0aa","0000aaa","000aaa","00a00","0a00","0000-0000","00:00","a00","a0","00.00.0000","00/00/0000","00-00-0000","0000-00-00","0000/00/00","0000.00.00","00.00.00","00/00/00","00-00-00","0.00.0000","0/00/0000","0-00-0000"},0)),ISNA(MATCH(LEFT(TRIM(CA246),255),{"0000a","000a","00a","0000aa","000aa","00aa","0aa","0000aaa","000aaa","00a00","0a00","0000-0000","00:00","a00","a0","00.00.0000","00/00/0000","00-00-0000","0000-00-00","0000/00/00","0000.00.00","00.00.00","00/00/00","00-00-00","0.00.0000","0/00/0000","0-00-0000"},0)),LEN(CB246)&gt;=3,NOT(OR(SUBSTITUTE(CB246,"0","")="",AND(LEN(CB246)&gt;=4,CB246=REPT(LEFT(CB246),LEN(CB246))),ISNUMBER(MATCH(CB246,{"123","1234","12345","123456","1234567","12345678","0123","01234","012345","98765","987654","54321"},0)),AND(LEN(CB246)=8,LEFT(CB246,3)="202"))),OR(AND((LEN(CA246)-LEN(SUBSTITUTE(CA246,"a","")))&gt;=1,SUMPRODUCT(--ISNUMBER(SEARCH({"a0","a-0","a_0","a/0","a.0","a#0","0a","0-a","0_a","0/a"},BP246)))&gt;0),ISNUMBER(SEARCH("000000",BP246)))),1,0),0)</f>
        <v>0</v>
      </c>
      <c r="BR246" s="61" t="n">
        <f aca="false">IFERROR(LEN(SUBSTITUTE(CC246," ",""))-SUMPRODUCT((LEN(CC246)-LEN(SUBSTITUTE(CC246," "&amp;L_Role&amp;" "," ")))/(LEN(L_Role)+1)*LEN(L_Role)),0)</f>
        <v>0</v>
      </c>
      <c r="BS246" s="61" t="n">
        <f aca="false">IFERROR(LEN(SUBSTITUTE(CD246," ",""))-SUMPRODUCT((LEN(CD246)-LEN(SUBSTITUTE(CD246," "&amp;L_Role&amp;" "," ")))/(LEN(L_Role)+1)*LEN(L_Role)),0)</f>
        <v>0</v>
      </c>
      <c r="BT2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246,"revision",""),"version",""),"jan",""),"feb",""),"mar",""),"apr",""),"may",""),"jun",""),"jul",""),"aug",""),"sep",""),"oct",""),"nov",""),"dec",""),"utc",""),"gmt",""),"myt",""),"bst",""),"rev",""),"ver",""),"b","a"),"c","a"),"d","a"),"e","a"),"f","a"),"g","a"),"h","a"),"i","a"),"j","a"),"k","a"),"l","a"),"m","a"),"n","a"),"o","a"),"p","a"),"q","a"),"r","a"),"s","a"),"t","a"),"u","a"),"v","a"),"w","a"),"x","a"),"y","a"),"z","a")</f>
        <v/>
      </c>
      <c r="BU246" s="61" t="str">
        <f aca="false">SUBSTITUTE(SUBSTITUTE(SUBSTITUTE(SUBSTITUTE(SUBSTITUTE(SUBSTITUTE(SUBSTITUTE(SUBSTITUTE(SUBSTITUTE(SUBSTITUTE(LEFT(BM246,FIND("0",BM246&amp;"0")-1),"-",""),"_",""),"/",""),".",""),"#",""),"\\",""),":","")," ",""),"(",""),")","")</f>
        <v/>
      </c>
      <c r="BV246" s="61" t="n">
        <f aca="false">IFERROR(IF(OR(SUMPRODUCT((LEN(BC246)-LEN(SUBSTITUTE(BC246," "&amp;L_NotLoaded&amp;" "," ")))/(LEN(L_NotLoaded)+1))&gt;SUMPRODUCT((LEN(BC246)-LEN(SUBSTITUTE(BC246," "&amp;L_NotLoadedNeg&amp;" "," ")))/(LEN(L_NotLoadedNeg)+1)),SUMPRODUCT((LEN(BD246)-LEN(SUBSTITUTE(BD246," "&amp;L_NotLoaded&amp;" "," ")))/(LEN(L_NotLoaded)+1))&gt;SUMPRODUCT((LEN(BD246)-LEN(SUBSTITUTE(BD246," "&amp;L_NotLoadedNeg&amp;" "," ")))/(LEN(L_NotLoadedNeg)+1))),1,0),0)</f>
        <v>0</v>
      </c>
      <c r="BW2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246&amp;""),"a",""),"b",""),"c",""),"d",""),"e",""),"f",""),"g",""),"h",""),"i",""),"j",""),"k",""),"l",""),"m",""),"n",""),"o",""),"p",""),"q",""),"r",""),"s",""),"t",""),"u",""),"v",""),"w",""),"x",""),"y",""),"z",""),"-",""),"_",""),"/",""),".",""),"#",""),"\\",""),":","")," ",""),"(",""),")","")</f>
        <v/>
      </c>
      <c r="BX246" s="61" t="str">
        <f aca="false">SUBSTITUTE(SUBSTITUTE(SUBSTITUTE(SUBSTITUTE(SUBSTITUTE(SUBSTITUTE(SUBSTITUTE(SUBSTITUTE(SUBSTITUTE(SUBSTITUTE(SUBSTITUTE(BM246,"0",""),"-",""),"_",""),"/",""),".",""),"#",""),"\\",""),":","")," ",""),"(",""),")","")</f>
        <v/>
      </c>
      <c r="BY246" s="62" t="n">
        <f aca="false">IF(ISNUMBER(Flights!$AZ$11),MAX(Q246-UpliftWindowH/24,Flights!$AZ$11),Q246-UpliftWindowH/24)</f>
        <v>46304.4166666667</v>
      </c>
      <c r="BZ246" s="61" t="n">
        <f aca="false">IFERROR(IF(IF(TRIM(S246)="Link / file path",AND(LEN(TRIM(Z246))&gt;=5,SUMPRODUCT(--ISNUMBER(SEARCH({"http","www.","\\",":\",".pdf",".jpg",".jpeg",".png",".heic",".xls",".doc",".msg",".eml",".ppt",".txt",".zip"},Z246)))&gt;0),AND(ISERROR(FIND(" ",TRIM(Z246))),NOT(OR(SUMPRODUCT(--ISNUMBER(FIND({",",";","&amp;","+"},Z246)))&gt;0,SUMPRODUCT(--ISNUMBER(SEARCH({"0/aa","0\\aa"},BN246)))&gt;0)),NOT(SUMPRODUCT(--ISNUMBER(SEARCH({"http","www.","\\",":\",".pdf",".jpg",".jpeg",".png",".heic",".xls",".doc",".msg",".eml",".ppt",".txt",".zip"},Z246)))&gt;0),NOT(LOWER(TRIM(Z246))=LOWER(Flights!$F$11)),ISNA(MATCH(BU246,{"mh","rev","revision","ver","version","v","r","a","b","seat","tray","row","gate","bay","stand","page","pg","item","line","no","cart","galley","flight","flt","table","box","bag","oven","etd","eta","std","sta","atd","ata","qty","pax","x","time","tel","ph","mob","day","wk","week","utc","gmt","myt","lt"},0)),NOT(OR(ISNUMBER(MATCH(LEFT(BN246,255),{"0000a","000a","00a","0000aa","000aa","00aa","0aa","0000aaa","000aaa","00a00","0a00","0000-0000","00:00","a00","a0","00.00.0000","00/00/0000","00-00-0000","0000-00-00","0000/00/00","0000.00.00","00.00.00","00/00/00","00-00-00","0.00.0000","0/00/0000","0-00-0000"},0)),ISNUMBER(MATCH(LEFT(BT246,255),{"0000a","000a","00a","0000aa","000aa","00aa","0aa","0000aaa","000aaa","00a00","0a00","0000-0000","00:00","a00","a0","00.00.0000","00/00/0000","00-00-0000","0000-00-00","0000/00/00","0000.00.00","00.00.00","00/00/00","00-00-00","0.00.0000","0/00/0000","0-00-0000"},0)))),NOT(OR(AND(BW246&lt;&gt;"",SUBSTITUTE(BW246,"0","")=""),AND(LEN(BW246)&gt;=4,BW246=REPT(LEFT(BW246),LEN(BW246))),ISNUMBER(MATCH(BW246,{"123","1234","12345","123456","1234567","12345678","0123","01234","012345","98765","987654","54321"},0)),ISNUMBER(MATCH(BX246,{"x","xx","xxx","xxxx","xxxxx","abc","abcd","nil","na","nan","test","tbc","tba","tbd","dummy","sample","example","eg","zz","zzz","none","null","xyz","qwe","asd","id","ref"},0)),AND(LEN(BW246)=8,BX246="",OR(LEFT(BW246,3)="202",ISNUMBER(MATCH(RIGHT(BW246,4),{"2025","2026","2027"},0)))))),OR(AND((LEN(BT246)-LEN(SUBSTITUTE(BT246,"a","")))&gt;=1,(LEN(BN246)-LEN(SUBSTITUTE(BN246,"0","")))&gt;=2,SUMPRODUCT(--ISNUMBER(SEARCH({"a0","a-0","a_0","a/0","a.0","a#0","0a","0-a","0_a","0/a"},BN246)))&gt;0),AND((LEN(BN246)-LEN(SUBSTITUTE(BN246,"a","")))=0,(LEN(BN246)-LEN(SUBSTITUTE(BN246,"0","")))&gt;=5)))),1,0),0)</f>
        <v>0</v>
      </c>
      <c r="CA2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246,"revision",""),"version",""),"jan",""),"feb",""),"mar",""),"apr",""),"may",""),"jun",""),"jul",""),"aug",""),"sep",""),"oct",""),"nov",""),"dec",""),"utc",""),"gmt",""),"myt",""),"bst",""),"rev",""),"ver",""),"b","a"),"c","a"),"d","a"),"e","a"),"f","a"),"g","a"),"h","a"),"i","a"),"j","a"),"k","a"),"l","a"),"m","a"),"n","a"),"o","a"),"p","a"),"q","a"),"r","a"),"s","a"),"t","a"),"u","a"),"v","a"),"w","a"),"x","a"),"y","a"),"z","a")</f>
        <v/>
      </c>
      <c r="CB2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246&amp;""),"a",""),"b",""),"c",""),"d",""),"e",""),"f",""),"g",""),"h",""),"i",""),"j",""),"k",""),"l",""),"m",""),"n",""),"o",""),"p",""),"q",""),"r",""),"s",""),"t",""),"u",""),"v",""),"w",""),"x",""),"y",""),"z",""),"-",""),"_",""),"/",""),".",""),"#",""),"\\",""),":","")," ",""),"(",""),")","")</f>
        <v/>
      </c>
      <c r="CC246" s="0" t="str">
        <f aca="false">" "&amp;TRIM(SUBSTITUTE(SUBSTITUTE(SUBSTITUTE(SUBSTITUTE(SUBSTITUTE(SUBSTITUTE(SUBSTITUTE(SUBSTITUTE(SUBSTITUTE(SUBSTITUTE(SUBSTITUTE(SUBSTITUTE(SUBSTITUTE(SUBSTITUTE(SUBSTITUTE(SUBSTITUTE(SUBSTITUTE(SUBSTITUTE(SUBSTITUTE(SUBSTITUTE(SUBSTITUTE(SUBSTITUTE(SUBSTITUTE(SUBSTITUTE(LOWER(T246&amp;""),CHAR(10)," "),CHAR(13)," "),CHAR(9)," "),CHAR(160)," "),"."," "),","," "),"-"," "),"/"," "),"("," "),")"," "),":"," "),";"," "),"_"," "),"–"," "),"?"," "),"!"," "),"*"," "),"["," "),"]"," "),"'"," "),"#"," "),"+"," "),"&amp;"," "),"\"," "))&amp;" "</f>
        <v>  </v>
      </c>
      <c r="CD246" s="0" t="str">
        <f aca="false">" "&amp;TRIM(SUBSTITUTE(SUBSTITUTE(SUBSTITUTE(SUBSTITUTE(SUBSTITUTE(SUBSTITUTE(SUBSTITUTE(SUBSTITUTE(SUBSTITUTE(SUBSTITUTE(SUBSTITUTE(SUBSTITUTE(SUBSTITUTE(SUBSTITUTE(SUBSTITUTE(SUBSTITUTE(SUBSTITUTE(SUBSTITUTE(SUBSTITUTE(SUBSTITUTE(SUBSTITUTE(SUBSTITUTE(SUBSTITUTE(SUBSTITUTE(LOWER(AE246&amp;""),CHAR(10)," "),CHAR(13)," "),CHAR(9)," "),CHAR(160)," "),"."," "),","," "),"-"," "),"/"," "),"("," "),")"," "),":"," "),";"," "),"_"," "),"–"," "),"?"," "),"!"," "),"*"," "),"["," "),"]"," "),"'"," "),"#"," "),"+"," "),"&amp;"," "),"\"," "))&amp;" "</f>
        <v>  </v>
      </c>
      <c r="CE246" s="68" t="n">
        <f aca="false">IFERROR(IF(AND(LEN(AU246)&gt;0,LEN(AU246)=LEN(AX246),OR(TRIM(MID(SUBSTITUTE(TRIM(CC246)," ",REPT(" ",60)),1,60))="",ISNUMBER(SEARCH(" "&amp;TRIM(MID(SUBSTITUTE(TRIM(CC246)," ",REPT(" ",60)),1,60))&amp;" ",CD246))),OR(TRIM(MID(SUBSTITUTE(TRIM(CC246)," ",REPT(" ",60)),61,60))="",ISNUMBER(SEARCH(" "&amp;TRIM(MID(SUBSTITUTE(TRIM(CC246)," ",REPT(" ",60)),61,60))&amp;" ",CD246))),OR(TRIM(MID(SUBSTITUTE(TRIM(CC246)," ",REPT(" ",60)),121,60))="",ISNUMBER(SEARCH(" "&amp;TRIM(MID(SUBSTITUTE(TRIM(CC246)," ",REPT(" ",60)),121,60))&amp;" ",CD246)))),1,0),0)</f>
        <v>0</v>
      </c>
      <c r="CG246" s="68" t="n">
        <f aca="false">IFERROR(LEN(SUBSTITUTE(BF246," ",""))-SUMPRODUCT((LEN(BF246)-LEN(SUBSTITUTE(BF246," "&amp;L_NAFiller&amp;" "," ")))/(LEN(L_NAFiller)+1)*LEN(L_NAFiller)),0)</f>
        <v>0</v>
      </c>
    </row>
    <row r="247" customFormat="false" ht="41.25" hidden="false" customHeight="true" outlineLevel="0" collapsed="false">
      <c r="A247" s="57" t="s">
        <v>815</v>
      </c>
      <c r="B247" s="57" t="s">
        <v>235</v>
      </c>
      <c r="C247" s="57" t="str">
        <f aca="false">Flights!$F$11</f>
        <v>MH0003</v>
      </c>
      <c r="D247" s="58" t="n">
        <f aca="false">Flights!$D$11</f>
        <v>46304</v>
      </c>
      <c r="E247" s="57" t="str">
        <f aca="false">Flights!$G$11&amp;"-"&amp;Flights!$H$11</f>
        <v>LHR-KUL</v>
      </c>
      <c r="F247" s="57" t="str">
        <f aca="false">Flights!$K$11</f>
        <v>BC</v>
      </c>
      <c r="G247" s="57" t="s">
        <v>459</v>
      </c>
      <c r="H247" s="57" t="s">
        <v>460</v>
      </c>
      <c r="I247" s="57" t="s">
        <v>411</v>
      </c>
      <c r="J247" s="57" t="s">
        <v>816</v>
      </c>
      <c r="K247" s="67" t="s">
        <v>817</v>
      </c>
      <c r="L247" s="67" t="s">
        <v>699</v>
      </c>
      <c r="M247" s="67"/>
      <c r="N247" s="67" t="s">
        <v>383</v>
      </c>
      <c r="O247" s="67" t="s">
        <v>700</v>
      </c>
      <c r="P247" s="57" t="s">
        <v>187</v>
      </c>
      <c r="Q247" s="59" t="n">
        <f aca="false">ROUND((Flights!$AY$11+UpliftWindowH/24)*1440,0)/1440</f>
        <v>46303.8506944444</v>
      </c>
      <c r="R247" s="59" t="n">
        <f aca="false">Q247+(IF(AND(INDEX(TZ_DSTS,MATCH(P247,TZ_STN,0))&lt;&gt;"",Q247&gt;=INDEX(TZ_DSTS,MATCH(P247,TZ_STN,0)),Q247&lt;INDEX(TZ_DSTE,MATCH(P247,TZ_STN,0))),INDEX(TZ_DST,MATCH(P247,TZ_STN,0)),INDEX(TZ_STD,MATCH(P247,TZ_STN,0))))/24</f>
        <v>46304.1840277778</v>
      </c>
      <c r="S247" s="60"/>
      <c r="T247" s="60"/>
      <c r="U247" s="60"/>
      <c r="V247" s="60"/>
      <c r="W247" s="61"/>
      <c r="X247" s="60"/>
      <c r="Y247" s="60"/>
      <c r="Z247" s="60"/>
      <c r="AA247" s="60"/>
      <c r="AB247" s="60"/>
      <c r="AC247" s="60"/>
      <c r="AD247" s="66"/>
      <c r="AE247" s="60"/>
      <c r="AF247" s="61" t="str">
        <f aca="false">IF(AND(ISNUMBER(X247),ISNUMBER(Y247)),Y247-X247,"")</f>
        <v/>
      </c>
      <c r="AG247" s="62" t="str">
        <f aca="false">IF(ISNUMBER(AD247),AD247-(IF(AND(INDEX(TZ_DSTS,MATCH(P247,TZ_STN,0))&lt;&gt;"",(AD247-INDEX(TZ_STD,MATCH(P247,TZ_STN,0))/24)&gt;=INDEX(TZ_DSTS,MATCH(P247,TZ_STN,0)),(AD247-INDEX(TZ_STD,MATCH(P247,TZ_STN,0))/24)&lt;INDEX(TZ_DSTE,MATCH(P247,TZ_STN,0))),INDEX(TZ_DST,MATCH(P247,TZ_STN,0)),INDEX(TZ_STD,MATCH(P247,TZ_STN,0))))/24,"")</f>
        <v/>
      </c>
      <c r="AH247" s="65" t="str">
        <f aca="false">IFERROR(IF(N247="N/A – rule",IF(OR(TRIM(U247)="",TRIM(U247)="N/A",TRIM(U247)="Not started"),"N/A – RULE","INVALID – this check does not apply to this aircraft: clear the status (or correct the fleet on Flights)"),IF(TRIM(U247)="N/A",IF(AT247=0,"INVALID – N/A not permitted for this check",IF(AND(TRIM(AB247)&lt;&gt;"",TRIM(AB247)&lt;&gt;"Closed"),"INVALID – corrective action still open",IF(AND(NOT(OR(LEN(AZ247)&lt;15,ISNUMBER(MATCH(AZ247,L_Placeholder,0)))),BK247=0,CG247&gt;=8,NOT(OR(LEN(AU247)&lt;2,ISNUMBER(MATCH(AU247,L_Placeholder,0)))),BR247&gt;=3,NOT(OR(LEN(AX247)&lt;2,ISNUMBER(MATCH(AX247,L_Placeholder,0)))),BS247&gt;=3,TRIM(AE247)&lt;&gt;TRIM(T247),AX247&lt;&gt;AU247,CE247=0),"N/A – JUSTIFIED","INVALID – N/A needs a real, settled reason (not 'not applicable' / 'as above' / TBC), a named PIC and a different named verifier"))),IF(OR(TRIM(U247)="Pass",TRIM(U247)="Pass after CA"),IF(NOT(ISNUMBER(AD247)),"INVALID – completion time missing",IF(OR(OR(LEN(AU247)&lt;2,ISNUMBER(MATCH(AU247,L_Placeholder,0))),BR247&lt;3),"INVALID – PIC missing or not a named person (a role such as QA / CSM is not a name)",IF(OR(LEN(AV247)&lt;2,ISNUMBER(MATCH(AV247,L_Placeholder,0))),"INVALID – result / assessment missing",IF(OR(OR(LEN(AW247)&lt;3,ISNUMBER(MATCH(AW247,L_Placeholder,0))),SUMPRODUCT(--ISNUMBER(SEARCH(" "&amp;L_EvidencePhrase&amp;" ",BD247)))&gt;0,BI247=1),"INVALID – evidence missing, placeholder or not yet on file",IF(ISNA(MATCH(TRIM(S247),L_EvidenceType,0)),"INVALID – choose the evidence type from the list (column S)",IF(BL247=0,"INVALID – evidence ID must be the record's own ID only (e.g. SF-2210, IMG_2231, 1045521); a link / file name needs type 'Link / file path'",IF(OR(OR(LEN(AX247)&lt;2,ISNUMBER(MATCH(AX247,L_Placeholder,0))),BS247&lt;3),"INVALID – verifier missing or not a named person (a role such as QA / CSM is not a name)",IF(OR(AX247=AU247,CE247=1,AND(LEN(AU247)&gt;=4,ISNUMBER(SEARCH(AU247,AX247))),AND(LEN(AX247)&gt;=4,ISNUMBER(SEARCH(AX247,AU247)))),"INVALID – verifier must be a different, named person (not the PIC or a role)",IF(BH247=1,"INVALID – result not yet available (awaiting / TBC)",IF(BG247=1,"INVALID – result describes a problem: record Fail, then Pass after CA (or reword if it is not a problem)",IF(BV247=1,"INVALID – wording says not on board: an on-board confirmation needs the item loaded",IF(AND(AQ247=1,OR(OR(LEN(AY247)&lt;3,ISNUMBER(MATCH(AY247,L_Placeholder,0))),BJ247=1,BQ247=0)),"INVALID – batch ID missing, placeholder or not an ID (e.g. PASB-261008-BC-017)",IF(AND(AR247=1,OR(NOT(ISNUMBER(X247)),NOT(ISNUMBER(Y247)))),"INVALID – expected/actual qty missing",IF(AND(AR247=1,OR(X247&lt;=0,Y247&lt;0)),"INVALID – expected qty must be above 0 and actual not negative",IF(BB247&lt;&gt;"",BB247,IF(AND(AS247=1,Documents!$J$11&lt;&gt;"ON FILE"),"INVALID – GLD not on file (Documents sheet)",IF(AND(AS247=2,Documents!$O$11&lt;&gt;"ON FILE"),"INVALID – menu checklist not on file (Documents sheet)",IF(AND(AS247=3,NOT(ISNUMBER(Flights!$AX$11))),"INVALID – enter carrying flight KUL departure (Flights AX)",IF(AND(AS247=3,OR(Flights!$AZ$11&gt;Flights!$AA$11,Flights!$AX$11&lt;Flights!$AA$11-3)),"INVALID – carrying flight (Flights AX) cannot arrive before this leg's STD, or is over 3 days early",IF(AG247&gt;AsOfUTC,"INVALID – completion time is in the future",IF(AND(ISNUMBER(BY247),AG247&lt;BY247),IF(H247="Physical uplift","INVALID – before uplift window (cannot confirm loading)","INVALID – before valid window"),IF(AG247&gt;Flights!$AA$11,"INVALID – completed after departure (cannot establish readiness)",IF(AND(H247="Preparation",AG247&gt;=Flights!$AY$11+UpliftWindowH/24),"INVALID – completed after the carrying flight left KUL",IF(AND(H247="Physical uplift",AG247&gt;Q247),"INVALID – recorded after the loading flight departed",IF(AG247&gt;Q247,"COMPLETE – LATE","COMPLETE"))))))))))))))))))))))))),IF(TRIM(U247)="Fail","FAIL – DISCREPANCY",IF(AND(TRIM(U247)&lt;&gt;"",TRIM(U247)&lt;&gt;"Not started",TRIM(U247)&lt;&gt;"In progress"),"INVALID – unrecognised status (use the list)",IF(AsOfUTC&gt;Q247,"OVERDUE",IF(N247="Clarification required","OPEN – CLARIFICATION","OPEN"))))))),"INVALID – error value in an input cell")</f>
        <v>OPEN</v>
      </c>
      <c r="AI247" s="61" t="n">
        <f aca="false">IF(OR(AH247="N/A – RULE",AH247="N/A – JUSTIFIED"),0,1)</f>
        <v>1</v>
      </c>
      <c r="AJ247" s="61" t="n">
        <f aca="false">IF(LEFT(AH247,8)="COMPLETE",1,0)</f>
        <v>0</v>
      </c>
      <c r="AK247" s="61" t="n">
        <f aca="false">IF(AND(AI247=1,AJ247=0,AsOfUTC&gt;Q247),1,0)</f>
        <v>0</v>
      </c>
      <c r="AL247" s="61" t="n">
        <f aca="false">IFERROR(IF(AND(AI247=1,OR(TRIM(U247)="Fail",AND(TRIM(AB247)&lt;&gt;"",TRIM(AB247)&lt;&gt;"Closed"),AND(ISNUMBER(AF247),AF247&lt;&gt;0,TRIM(U247)&lt;&gt;"Pass after CA"))),1,0),1)</f>
        <v>0</v>
      </c>
      <c r="AM247" s="61" t="n">
        <f aca="false">IF(LEFT(AH247,7)="INVALID",1,0)</f>
        <v>0</v>
      </c>
      <c r="AN247" s="61" t="n">
        <f aca="false">IF(AND(N247="Clarification required",AI247=1,AJ247=0),1,0)</f>
        <v>0</v>
      </c>
      <c r="AO247" s="61" t="str">
        <f aca="false">IF(AK247=1,SUM(AK$5:AK247),"")</f>
        <v/>
      </c>
      <c r="AP247" s="61" t="str">
        <f aca="false">IF(AL247=1,SUM(AL$5:AL247),"")</f>
        <v/>
      </c>
      <c r="AQ247" s="61" t="n">
        <v>0</v>
      </c>
      <c r="AR247" s="61" t="n">
        <v>0</v>
      </c>
      <c r="AS247" s="61" t="n">
        <v>0</v>
      </c>
      <c r="AT247" s="61" t="n">
        <v>0</v>
      </c>
      <c r="AU247" s="61" t="str">
        <f aca="false">SUBSTITUTE(SUBSTITUTE(SUBSTITUTE(SUBSTITUTE(SUBSTITUTE(SUBSTITUTE(SUBSTITUTE(SUBSTITUTE(SUBSTITUTE(SUBSTITUTE(SUBSTITUTE(SUBSTITUTE(SUBSTITUTE(SUBSTITUTE(SUBSTITUTE(SUBSTITUTE(LOWER(T247&amp;""),CHAR(10),""),CHAR(13),""),CHAR(9),""),CHAR(160),"")," ",""),".",""),"-",""),"/",""),"?",""),"_",""),",",""),"[",""),"]",""),"(",""),")",""),"*","")</f>
        <v/>
      </c>
      <c r="AV247" s="61" t="str">
        <f aca="false">SUBSTITUTE(SUBSTITUTE(SUBSTITUTE(SUBSTITUTE(SUBSTITUTE(SUBSTITUTE(SUBSTITUTE(SUBSTITUTE(SUBSTITUTE(SUBSTITUTE(SUBSTITUTE(SUBSTITUTE(SUBSTITUTE(SUBSTITUTE(SUBSTITUTE(SUBSTITUTE(LOWER(V247&amp;""),CHAR(10),""),CHAR(13),""),CHAR(9),""),CHAR(160),"")," ",""),".",""),"-",""),"/",""),"?",""),"_",""),",",""),"[",""),"]",""),"(",""),")",""),"*","")</f>
        <v/>
      </c>
      <c r="AW247" s="61" t="str">
        <f aca="false">SUBSTITUTE(SUBSTITUTE(SUBSTITUTE(SUBSTITUTE(SUBSTITUTE(SUBSTITUTE(SUBSTITUTE(SUBSTITUTE(SUBSTITUTE(SUBSTITUTE(SUBSTITUTE(SUBSTITUTE(SUBSTITUTE(SUBSTITUTE(SUBSTITUTE(SUBSTITUTE(LOWER(Z247&amp;""),CHAR(10),""),CHAR(13),""),CHAR(9),""),CHAR(160),"")," ",""),".",""),"-",""),"/",""),"?",""),"_",""),",",""),"[",""),"]",""),"(",""),")",""),"*","")</f>
        <v/>
      </c>
      <c r="AX247" s="61" t="str">
        <f aca="false">SUBSTITUTE(SUBSTITUTE(SUBSTITUTE(SUBSTITUTE(SUBSTITUTE(SUBSTITUTE(SUBSTITUTE(SUBSTITUTE(SUBSTITUTE(SUBSTITUTE(SUBSTITUTE(SUBSTITUTE(SUBSTITUTE(SUBSTITUTE(SUBSTITUTE(SUBSTITUTE(LOWER(AE247&amp;""),CHAR(10),""),CHAR(13),""),CHAR(9),""),CHAR(160),"")," ",""),".",""),"-",""),"/",""),"?",""),"_",""),",",""),"[",""),"]",""),"(",""),")",""),"*","")</f>
        <v/>
      </c>
      <c r="AY247" s="61" t="str">
        <f aca="false">SUBSTITUTE(SUBSTITUTE(SUBSTITUTE(SUBSTITUTE(SUBSTITUTE(SUBSTITUTE(SUBSTITUTE(SUBSTITUTE(SUBSTITUTE(SUBSTITUTE(SUBSTITUTE(SUBSTITUTE(SUBSTITUTE(SUBSTITUTE(SUBSTITUTE(SUBSTITUTE(LOWER(W247&amp;""),CHAR(10),""),CHAR(13),""),CHAR(9),""),CHAR(160),"")," ",""),".",""),"-",""),"/",""),"?",""),"_",""),",",""),"[",""),"]",""),"(",""),")",""),"*","")</f>
        <v/>
      </c>
      <c r="AZ247" s="61" t="str">
        <f aca="false">SUBSTITUTE(SUBSTITUTE(SUBSTITUTE(SUBSTITUTE(SUBSTITUTE(SUBSTITUTE(SUBSTITUTE(SUBSTITUTE(SUBSTITUTE(SUBSTITUTE(SUBSTITUTE(SUBSTITUTE(SUBSTITUTE(SUBSTITUTE(SUBSTITUTE(SUBSTITUTE(LOWER(AC247&amp;""),CHAR(10),""),CHAR(13),""),CHAR(9),""),CHAR(160),"")," ",""),".",""),"-",""),"/",""),"?",""),"_",""),",",""),"[",""),"]",""),"(",""),")",""),"*","")</f>
        <v/>
      </c>
      <c r="BA247" s="61" t="str">
        <f aca="false">SUBSTITUTE(SUBSTITUTE(SUBSTITUTE(SUBSTITUTE(SUBSTITUTE(SUBSTITUTE(SUBSTITUTE(SUBSTITUTE(SUBSTITUTE(SUBSTITUTE(SUBSTITUTE(SUBSTITUTE(SUBSTITUTE(SUBSTITUTE(SUBSTITUTE(SUBSTITUTE(LOWER(AA247&amp;""),CHAR(10),""),CHAR(13),""),CHAR(9),""),CHAR(160),"")," ",""),".",""),"-",""),"/",""),"?",""),"_",""),",",""),"[",""),"]",""),"(",""),")",""),"*","")</f>
        <v/>
      </c>
      <c r="BB247" s="61" t="str">
        <f aca="false">IF(AND(TRIM(U247)="Pass",ISNUMBER(AF247)),IF(AF247&lt;&gt;0,"INVALID – qty variance: use Fail or Pass after CA",""),"")&amp;IF(AND(TRIM(U247)="Pass after CA",ISNUMBER(AF247)),IF(AF247&lt;&gt;0,"INVALID – after the corrective action the actual qty must equal expected (update Actual)",""),"")&amp;IF(AND(TRIM(U247)="Pass",TRIM(AB247)&lt;&gt;"",TRIM(AB247)&lt;&gt;"Closed"),"INVALID – corrective action not closed: use Fail, then Pass after CA","")&amp;IF(AND(LEN(BA247)&gt;=2,ISNA(MATCH(LEFT(BA247,255),L_Placeholder,0)),TRIM(AB247)=""),"INVALID – CA status missing for the recorded corrective action","")&amp;IF(AND(TRIM(U247)="Pass after CA",OR(OR(LEN(BA247)&lt;5,ISNUMBER(MATCH(BA247,L_Placeholder,0))),TRIM(AB247)&lt;&gt;"Closed")),"INVALID – corrective action not recorded/closed","")</f>
        <v/>
      </c>
      <c r="BC247" s="61" t="str">
        <f aca="false">" "&amp;TRIM(SUBSTITUTE(SUBSTITUTE(SUBSTITUTE(SUBSTITUTE(SUBSTITUTE(SUBSTITUTE(SUBSTITUTE(SUBSTITUTE(SUBSTITUTE(SUBSTITUTE(SUBSTITUTE(SUBSTITUTE(SUBSTITUTE(SUBSTITUTE(SUBSTITUTE(SUBSTITUTE(SUBSTITUTE(SUBSTITUTE(SUBSTITUTE(SUBSTITUTE(SUBSTITUTE(SUBSTITUTE(SUBSTITUTE(SUBSTITUTE(LOWER(V247&amp;""),CHAR(10)," "),CHAR(13)," "),CHAR(9)," "),CHAR(160)," "),"."," "),","," "),"-"," "),"/"," "),"("," "),")"," "),":"," "),";"," "),"_"," "),"–"," "),"?"," "),"!"," "),"*"," "),"["," "),"]"," "),"'"," "),"#"," "),"+"," "),"&amp;"," "),"\"," "))&amp;" "</f>
        <v>  </v>
      </c>
      <c r="BD247" s="61" t="str">
        <f aca="false">" "&amp;TRIM(SUBSTITUTE(SUBSTITUTE(SUBSTITUTE(SUBSTITUTE(SUBSTITUTE(SUBSTITUTE(SUBSTITUTE(SUBSTITUTE(SUBSTITUTE(SUBSTITUTE(SUBSTITUTE(SUBSTITUTE(SUBSTITUTE(SUBSTITUTE(SUBSTITUTE(SUBSTITUTE(SUBSTITUTE(SUBSTITUTE(SUBSTITUTE(SUBSTITUTE(SUBSTITUTE(SUBSTITUTE(SUBSTITUTE(SUBSTITUTE(LOWER(Z247&amp;""),CHAR(10)," "),CHAR(13)," "),CHAR(9)," "),CHAR(160)," "),"."," "),","," "),"-"," "),"/"," "),"("," "),")"," "),":"," "),";"," "),"_"," "),"–"," "),"?"," "),"!"," "),"*"," "),"["," "),"]"," "),"'"," "),"#"," "),"+"," "),"&amp;"," "),"\"," "))&amp;" "</f>
        <v>  </v>
      </c>
      <c r="BE247" s="61" t="str">
        <f aca="false">" "&amp;TRIM(SUBSTITUTE(SUBSTITUTE(SUBSTITUTE(SUBSTITUTE(SUBSTITUTE(SUBSTITUTE(SUBSTITUTE(SUBSTITUTE(SUBSTITUTE(SUBSTITUTE(SUBSTITUTE(SUBSTITUTE(SUBSTITUTE(SUBSTITUTE(SUBSTITUTE(SUBSTITUTE(SUBSTITUTE(SUBSTITUTE(SUBSTITUTE(SUBSTITUTE(SUBSTITUTE(SUBSTITUTE(SUBSTITUTE(SUBSTITUTE(LOWER(W247&amp;""),CHAR(10)," "),CHAR(13)," "),CHAR(9)," "),CHAR(160)," "),"."," "),","," "),"-"," "),"/"," "),"("," "),")"," "),":"," "),";"," "),"_"," "),"–"," "),"?"," "),"!"," "),"*"," "),"["," "),"]"," "),"'"," "),"#"," "),"+"," "),"&amp;"," "),"\"," "))&amp;" "</f>
        <v>  </v>
      </c>
      <c r="BF247" s="61" t="str">
        <f aca="false">" "&amp;TRIM(SUBSTITUTE(SUBSTITUTE(SUBSTITUTE(SUBSTITUTE(SUBSTITUTE(SUBSTITUTE(SUBSTITUTE(SUBSTITUTE(SUBSTITUTE(SUBSTITUTE(SUBSTITUTE(SUBSTITUTE(SUBSTITUTE(SUBSTITUTE(SUBSTITUTE(SUBSTITUTE(SUBSTITUTE(SUBSTITUTE(SUBSTITUTE(SUBSTITUTE(SUBSTITUTE(SUBSTITUTE(SUBSTITUTE(SUBSTITUTE(LOWER(AC247&amp;""),CHAR(10)," "),CHAR(13)," "),CHAR(9)," "),CHAR(160)," "),"."," "),","," "),"-"," "),"/"," "),"("," "),")"," "),":"," "),";"," "),"_"," "),"–"," "),"?"," "),"!"," "),"*"," "),"["," "),"]"," "),"'"," "),"#"," "),"+"," "),"&amp;"," "),"\"," "))&amp;" "</f>
        <v>  </v>
      </c>
      <c r="BG247" s="61" t="n">
        <f aca="false">IFERROR(IF(AND(TRIM(U247)="Pass",SUMPRODUCT((LEN(BC247)-LEN(SUBSTITUTE(BC247," "&amp;L_ResultBad&amp;" "," ")))/(LEN(L_ResultBad)+1))&gt;SUMPRODUCT((LEN(BC247)-LEN(SUBSTITUTE(BC247," "&amp;L_NegPhrase&amp;" "," ")))/(LEN(L_NegPhrase)+1))),1,0),0)</f>
        <v>0</v>
      </c>
      <c r="BH247" s="61" t="n">
        <f aca="false">IFERROR(IF(SUMPRODUCT((LEN(BC247)-LEN(SUBSTITUTE(BC247," "&amp;L_Pending&amp;" "," ")))/(LEN(L_Pending)+1))&gt;SUMPRODUCT((LEN(BC247)-LEN(SUBSTITUTE(BC247," "&amp;L_PendNeg&amp;" "," ")))/(LEN(L_PendNeg)+1)),1,0),1)</f>
        <v>0</v>
      </c>
      <c r="BI247" s="61" t="n">
        <f aca="false">IFERROR(IF(SUMPRODUCT((LEN(BD247)-LEN(SUBSTITUTE(BD247," "&amp;L_PendStrict&amp;" "," ")))/(LEN(L_PendStrict)+1))&gt;SUMPRODUCT((LEN(BD247)-LEN(SUBSTITUTE(BD247," "&amp;L_PendNeg&amp;" "," ")))/(LEN(L_PendNeg)+1)),1,0),1)</f>
        <v>0</v>
      </c>
      <c r="BJ247" s="61" t="n">
        <f aca="false">IFERROR(IF(SUMPRODUCT((LEN(BE247)-LEN(SUBSTITUTE(BE247," "&amp;L_Pending&amp;" "," ")))/(LEN(L_Pending)+1))&gt;SUMPRODUCT((LEN(BE247)-LEN(SUBSTITUTE(BE247," "&amp;L_PendNeg&amp;" "," ")))/(LEN(L_PendNeg)+1)),1,0),1)</f>
        <v>0</v>
      </c>
      <c r="BK247" s="61" t="n">
        <f aca="false">IFERROR(IF(SUMPRODUCT((LEN(BF247)-LEN(SUBSTITUTE(BF247," "&amp;L_PendStrict&amp;" "," ")))/(LEN(L_PendStrict)+1))&gt;SUMPRODUCT((LEN(BF247)-LEN(SUBSTITUTE(BF247," "&amp;L_PendNeg&amp;" "," ")))/(LEN(L_PendNeg)+1)),1,0),1)</f>
        <v>0</v>
      </c>
      <c r="BL247" s="61" t="n">
        <f aca="false">IF(ISNA(MATCH(TRIM(S247),L_EvidenceType,0)),0,BZ247)</f>
        <v>0</v>
      </c>
      <c r="BM247" s="61" t="str">
        <f aca="false">SUBSTITUTE(SUBSTITUTE(SUBSTITUTE(SUBSTITUTE(SUBSTITUTE(SUBSTITUTE(SUBSTITUTE(SUBSTITUTE(SUBSTITUTE(LOWER(Z247&amp;""),"1","0"),"2","0"),"3","0"),"4","0"),"5","0"),"6","0"),"7","0"),"8","0"),"9","0")</f>
        <v/>
      </c>
      <c r="BN247" s="61" t="str">
        <f aca="false">SUBSTITUTE(SUBSTITUTE(SUBSTITUTE(SUBSTITUTE(SUBSTITUTE(SUBSTITUTE(SUBSTITUTE(SUBSTITUTE(SUBSTITUTE(SUBSTITUTE(SUBSTITUTE(SUBSTITUTE(SUBSTITUTE(SUBSTITUTE(SUBSTITUTE(SUBSTITUTE(SUBSTITUTE(SUBSTITUTE(SUBSTITUTE(SUBSTITUTE(SUBSTITUTE(SUBSTITUTE(SUBSTITUTE(SUBSTITUTE(SUBSTITUTE(BM247,"b","a"),"c","a"),"d","a"),"e","a"),"f","a"),"g","a"),"h","a"),"i","a"),"j","a"),"k","a"),"l","a"),"m","a"),"n","a"),"o","a"),"p","a"),"q","a"),"r","a"),"s","a"),"t","a"),"u","a"),"v","a"),"w","a"),"x","a"),"y","a"),"z","a")</f>
        <v/>
      </c>
      <c r="BO247" s="61" t="str">
        <f aca="false">SUBSTITUTE(SUBSTITUTE(SUBSTITUTE(SUBSTITUTE(SUBSTITUTE(SUBSTITUTE(SUBSTITUTE(SUBSTITUTE(SUBSTITUTE(LOWER(W247&amp;""),"1","0"),"2","0"),"3","0"),"4","0"),"5","0"),"6","0"),"7","0"),"8","0"),"9","0")</f>
        <v/>
      </c>
      <c r="BP247" s="61" t="str">
        <f aca="false">SUBSTITUTE(SUBSTITUTE(SUBSTITUTE(SUBSTITUTE(SUBSTITUTE(SUBSTITUTE(SUBSTITUTE(SUBSTITUTE(SUBSTITUTE(SUBSTITUTE(SUBSTITUTE(SUBSTITUTE(SUBSTITUTE(SUBSTITUTE(SUBSTITUTE(SUBSTITUTE(SUBSTITUTE(SUBSTITUTE(SUBSTITUTE(SUBSTITUTE(SUBSTITUTE(SUBSTITUTE(SUBSTITUTE(SUBSTITUTE(SUBSTITUTE(BO247,"b","a"),"c","a"),"d","a"),"e","a"),"f","a"),"g","a"),"h","a"),"i","a"),"j","a"),"k","a"),"l","a"),"m","a"),"n","a"),"o","a"),"p","a"),"q","a"),"r","a"),"s","a"),"t","a"),"u","a"),"v","a"),"w","a"),"x","a"),"y","a"),"z","a")</f>
        <v/>
      </c>
      <c r="BQ247" s="61" t="n">
        <f aca="false">IFERROR(IF(AND(ISERROR(SEARCH(" mh"," "&amp;LOWER(W247))),ISNA(MATCH(LEFT(TRIM(BP247),255),{"0000a","000a","00a","0000aa","000aa","00aa","0aa","0000aaa","000aaa","00a00","0a00","0000-0000","00:00","a00","a0","00.00.0000","00/00/0000","00-00-0000","0000-00-00","0000/00/00","0000.00.00","00.00.00","00/00/00","00-00-00","0.00.0000","0/00/0000","0-00-0000"},0)),ISNA(MATCH(LEFT(TRIM(CA247),255),{"0000a","000a","00a","0000aa","000aa","00aa","0aa","0000aaa","000aaa","00a00","0a00","0000-0000","00:00","a00","a0","00.00.0000","00/00/0000","00-00-0000","0000-00-00","0000/00/00","0000.00.00","00.00.00","00/00/00","00-00-00","0.00.0000","0/00/0000","0-00-0000"},0)),LEN(CB247)&gt;=3,NOT(OR(SUBSTITUTE(CB247,"0","")="",AND(LEN(CB247)&gt;=4,CB247=REPT(LEFT(CB247),LEN(CB247))),ISNUMBER(MATCH(CB247,{"123","1234","12345","123456","1234567","12345678","0123","01234","012345","98765","987654","54321"},0)),AND(LEN(CB247)=8,LEFT(CB247,3)="202"))),OR(AND((LEN(CA247)-LEN(SUBSTITUTE(CA247,"a","")))&gt;=1,SUMPRODUCT(--ISNUMBER(SEARCH({"a0","a-0","a_0","a/0","a.0","a#0","0a","0-a","0_a","0/a"},BP247)))&gt;0),ISNUMBER(SEARCH("000000",BP247)))),1,0),0)</f>
        <v>0</v>
      </c>
      <c r="BR247" s="61" t="n">
        <f aca="false">IFERROR(LEN(SUBSTITUTE(CC247," ",""))-SUMPRODUCT((LEN(CC247)-LEN(SUBSTITUTE(CC247," "&amp;L_Role&amp;" "," ")))/(LEN(L_Role)+1)*LEN(L_Role)),0)</f>
        <v>0</v>
      </c>
      <c r="BS247" s="61" t="n">
        <f aca="false">IFERROR(LEN(SUBSTITUTE(CD247," ",""))-SUMPRODUCT((LEN(CD247)-LEN(SUBSTITUTE(CD247," "&amp;L_Role&amp;" "," ")))/(LEN(L_Role)+1)*LEN(L_Role)),0)</f>
        <v>0</v>
      </c>
      <c r="BT2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247,"revision",""),"version",""),"jan",""),"feb",""),"mar",""),"apr",""),"may",""),"jun",""),"jul",""),"aug",""),"sep",""),"oct",""),"nov",""),"dec",""),"utc",""),"gmt",""),"myt",""),"bst",""),"rev",""),"ver",""),"b","a"),"c","a"),"d","a"),"e","a"),"f","a"),"g","a"),"h","a"),"i","a"),"j","a"),"k","a"),"l","a"),"m","a"),"n","a"),"o","a"),"p","a"),"q","a"),"r","a"),"s","a"),"t","a"),"u","a"),"v","a"),"w","a"),"x","a"),"y","a"),"z","a")</f>
        <v/>
      </c>
      <c r="BU247" s="61" t="str">
        <f aca="false">SUBSTITUTE(SUBSTITUTE(SUBSTITUTE(SUBSTITUTE(SUBSTITUTE(SUBSTITUTE(SUBSTITUTE(SUBSTITUTE(SUBSTITUTE(SUBSTITUTE(LEFT(BM247,FIND("0",BM247&amp;"0")-1),"-",""),"_",""),"/",""),".",""),"#",""),"\\",""),":","")," ",""),"(",""),")","")</f>
        <v/>
      </c>
      <c r="BV247" s="61" t="n">
        <f aca="false">IFERROR(IF(OR(SUMPRODUCT((LEN(BC247)-LEN(SUBSTITUTE(BC247," "&amp;L_NotLoaded&amp;" "," ")))/(LEN(L_NotLoaded)+1))&gt;SUMPRODUCT((LEN(BC247)-LEN(SUBSTITUTE(BC247," "&amp;L_NotLoadedNeg&amp;" "," ")))/(LEN(L_NotLoadedNeg)+1)),SUMPRODUCT((LEN(BD247)-LEN(SUBSTITUTE(BD247," "&amp;L_NotLoaded&amp;" "," ")))/(LEN(L_NotLoaded)+1))&gt;SUMPRODUCT((LEN(BD247)-LEN(SUBSTITUTE(BD247," "&amp;L_NotLoadedNeg&amp;" "," ")))/(LEN(L_NotLoadedNeg)+1))),1,0),0)</f>
        <v>0</v>
      </c>
      <c r="BW2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247&amp;""),"a",""),"b",""),"c",""),"d",""),"e",""),"f",""),"g",""),"h",""),"i",""),"j",""),"k",""),"l",""),"m",""),"n",""),"o",""),"p",""),"q",""),"r",""),"s",""),"t",""),"u",""),"v",""),"w",""),"x",""),"y",""),"z",""),"-",""),"_",""),"/",""),".",""),"#",""),"\\",""),":","")," ",""),"(",""),")","")</f>
        <v/>
      </c>
      <c r="BX247" s="61" t="str">
        <f aca="false">SUBSTITUTE(SUBSTITUTE(SUBSTITUTE(SUBSTITUTE(SUBSTITUTE(SUBSTITUTE(SUBSTITUTE(SUBSTITUTE(SUBSTITUTE(SUBSTITUTE(SUBSTITUTE(BM247,"0",""),"-",""),"_",""),"/",""),".",""),"#",""),"\\",""),":","")," ",""),"(",""),")","")</f>
        <v/>
      </c>
      <c r="BY247" s="62" t="n">
        <f aca="false">Q247-UpliftWindowH/24</f>
        <v>46303.6006944444</v>
      </c>
      <c r="BZ247" s="61" t="n">
        <f aca="false">IFERROR(IF(IF(TRIM(S247)="Link / file path",AND(LEN(TRIM(Z247))&gt;=5,SUMPRODUCT(--ISNUMBER(SEARCH({"http","www.","\\",":\",".pdf",".jpg",".jpeg",".png",".heic",".xls",".doc",".msg",".eml",".ppt",".txt",".zip"},Z247)))&gt;0),AND(ISERROR(FIND(" ",TRIM(Z247))),NOT(OR(SUMPRODUCT(--ISNUMBER(FIND({",",";","&amp;","+"},Z247)))&gt;0,SUMPRODUCT(--ISNUMBER(SEARCH({"0/aa","0\\aa"},BN247)))&gt;0)),NOT(SUMPRODUCT(--ISNUMBER(SEARCH({"http","www.","\\",":\",".pdf",".jpg",".jpeg",".png",".heic",".xls",".doc",".msg",".eml",".ppt",".txt",".zip"},Z247)))&gt;0),NOT(LOWER(TRIM(Z247))=LOWER(Flights!$F$11)),ISNA(MATCH(BU247,{"mh","rev","revision","ver","version","v","r","a","b","seat","tray","row","gate","bay","stand","page","pg","item","line","no","cart","galley","flight","flt","table","box","bag","oven","etd","eta","std","sta","atd","ata","qty","pax","x","time","tel","ph","mob","day","wk","week","utc","gmt","myt","lt"},0)),NOT(OR(ISNUMBER(MATCH(LEFT(BN247,255),{"0000a","000a","00a","0000aa","000aa","00aa","0aa","0000aaa","000aaa","00a00","0a00","0000-0000","00:00","a00","a0","00.00.0000","00/00/0000","00-00-0000","0000-00-00","0000/00/00","0000.00.00","00.00.00","00/00/00","00-00-00","0.00.0000","0/00/0000","0-00-0000"},0)),ISNUMBER(MATCH(LEFT(BT247,255),{"0000a","000a","00a","0000aa","000aa","00aa","0aa","0000aaa","000aaa","00a00","0a00","0000-0000","00:00","a00","a0","00.00.0000","00/00/0000","00-00-0000","0000-00-00","0000/00/00","0000.00.00","00.00.00","00/00/00","00-00-00","0.00.0000","0/00/0000","0-00-0000"},0)))),NOT(OR(AND(BW247&lt;&gt;"",SUBSTITUTE(BW247,"0","")=""),AND(LEN(BW247)&gt;=4,BW247=REPT(LEFT(BW247),LEN(BW247))),ISNUMBER(MATCH(BW247,{"123","1234","12345","123456","1234567","12345678","0123","01234","012345","98765","987654","54321"},0)),ISNUMBER(MATCH(BX247,{"x","xx","xxx","xxxx","xxxxx","abc","abcd","nil","na","nan","test","tbc","tba","tbd","dummy","sample","example","eg","zz","zzz","none","null","xyz","qwe","asd","id","ref"},0)),AND(LEN(BW247)=8,BX247="",OR(LEFT(BW247,3)="202",ISNUMBER(MATCH(RIGHT(BW247,4),{"2025","2026","2027"},0)))))),OR(AND((LEN(BT247)-LEN(SUBSTITUTE(BT247,"a","")))&gt;=1,(LEN(BN247)-LEN(SUBSTITUTE(BN247,"0","")))&gt;=2,SUMPRODUCT(--ISNUMBER(SEARCH({"a0","a-0","a_0","a/0","a.0","a#0","0a","0-a","0_a","0/a"},BN247)))&gt;0),AND((LEN(BN247)-LEN(SUBSTITUTE(BN247,"a","")))=0,(LEN(BN247)-LEN(SUBSTITUTE(BN247,"0","")))&gt;=5)))),1,0),0)</f>
        <v>0</v>
      </c>
      <c r="CA2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247,"revision",""),"version",""),"jan",""),"feb",""),"mar",""),"apr",""),"may",""),"jun",""),"jul",""),"aug",""),"sep",""),"oct",""),"nov",""),"dec",""),"utc",""),"gmt",""),"myt",""),"bst",""),"rev",""),"ver",""),"b","a"),"c","a"),"d","a"),"e","a"),"f","a"),"g","a"),"h","a"),"i","a"),"j","a"),"k","a"),"l","a"),"m","a"),"n","a"),"o","a"),"p","a"),"q","a"),"r","a"),"s","a"),"t","a"),"u","a"),"v","a"),"w","a"),"x","a"),"y","a"),"z","a")</f>
        <v/>
      </c>
      <c r="CB2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247&amp;""),"a",""),"b",""),"c",""),"d",""),"e",""),"f",""),"g",""),"h",""),"i",""),"j",""),"k",""),"l",""),"m",""),"n",""),"o",""),"p",""),"q",""),"r",""),"s",""),"t",""),"u",""),"v",""),"w",""),"x",""),"y",""),"z",""),"-",""),"_",""),"/",""),".",""),"#",""),"\\",""),":","")," ",""),"(",""),")","")</f>
        <v/>
      </c>
      <c r="CC247" s="0" t="str">
        <f aca="false">" "&amp;TRIM(SUBSTITUTE(SUBSTITUTE(SUBSTITUTE(SUBSTITUTE(SUBSTITUTE(SUBSTITUTE(SUBSTITUTE(SUBSTITUTE(SUBSTITUTE(SUBSTITUTE(SUBSTITUTE(SUBSTITUTE(SUBSTITUTE(SUBSTITUTE(SUBSTITUTE(SUBSTITUTE(SUBSTITUTE(SUBSTITUTE(SUBSTITUTE(SUBSTITUTE(SUBSTITUTE(SUBSTITUTE(SUBSTITUTE(SUBSTITUTE(LOWER(T247&amp;""),CHAR(10)," "),CHAR(13)," "),CHAR(9)," "),CHAR(160)," "),"."," "),","," "),"-"," "),"/"," "),"("," "),")"," "),":"," "),";"," "),"_"," "),"–"," "),"?"," "),"!"," "),"*"," "),"["," "),"]"," "),"'"," "),"#"," "),"+"," "),"&amp;"," "),"\"," "))&amp;" "</f>
        <v>  </v>
      </c>
      <c r="CD247" s="0" t="str">
        <f aca="false">" "&amp;TRIM(SUBSTITUTE(SUBSTITUTE(SUBSTITUTE(SUBSTITUTE(SUBSTITUTE(SUBSTITUTE(SUBSTITUTE(SUBSTITUTE(SUBSTITUTE(SUBSTITUTE(SUBSTITUTE(SUBSTITUTE(SUBSTITUTE(SUBSTITUTE(SUBSTITUTE(SUBSTITUTE(SUBSTITUTE(SUBSTITUTE(SUBSTITUTE(SUBSTITUTE(SUBSTITUTE(SUBSTITUTE(SUBSTITUTE(SUBSTITUTE(LOWER(AE247&amp;""),CHAR(10)," "),CHAR(13)," "),CHAR(9)," "),CHAR(160)," "),"."," "),","," "),"-"," "),"/"," "),"("," "),")"," "),":"," "),";"," "),"_"," "),"–"," "),"?"," "),"!"," "),"*"," "),"["," "),"]"," "),"'"," "),"#"," "),"+"," "),"&amp;"," "),"\"," "))&amp;" "</f>
        <v>  </v>
      </c>
      <c r="CE247" s="68" t="n">
        <f aca="false">IFERROR(IF(AND(LEN(AU247)&gt;0,LEN(AU247)=LEN(AX247),OR(TRIM(MID(SUBSTITUTE(TRIM(CC247)," ",REPT(" ",60)),1,60))="",ISNUMBER(SEARCH(" "&amp;TRIM(MID(SUBSTITUTE(TRIM(CC247)," ",REPT(" ",60)),1,60))&amp;" ",CD247))),OR(TRIM(MID(SUBSTITUTE(TRIM(CC247)," ",REPT(" ",60)),61,60))="",ISNUMBER(SEARCH(" "&amp;TRIM(MID(SUBSTITUTE(TRIM(CC247)," ",REPT(" ",60)),61,60))&amp;" ",CD247))),OR(TRIM(MID(SUBSTITUTE(TRIM(CC247)," ",REPT(" ",60)),121,60))="",ISNUMBER(SEARCH(" "&amp;TRIM(MID(SUBSTITUTE(TRIM(CC247)," ",REPT(" ",60)),121,60))&amp;" ",CD247)))),1,0),0)</f>
        <v>0</v>
      </c>
      <c r="CG247" s="68" t="n">
        <f aca="false">IFERROR(LEN(SUBSTITUTE(BF247," ",""))-SUMPRODUCT((LEN(BF247)-LEN(SUBSTITUTE(BF247," "&amp;L_NAFiller&amp;" "," ")))/(LEN(L_NAFiller)+1)*LEN(L_NAFiller)),0)</f>
        <v>0</v>
      </c>
    </row>
    <row r="248" customFormat="false" ht="39.75" hidden="false" customHeight="true" outlineLevel="0" collapsed="false">
      <c r="A248" s="57" t="s">
        <v>818</v>
      </c>
      <c r="B248" s="57" t="s">
        <v>235</v>
      </c>
      <c r="C248" s="57" t="str">
        <f aca="false">Flights!$F$11</f>
        <v>MH0003</v>
      </c>
      <c r="D248" s="58" t="n">
        <f aca="false">Flights!$D$11</f>
        <v>46304</v>
      </c>
      <c r="E248" s="57" t="str">
        <f aca="false">Flights!$G$11&amp;"-"&amp;Flights!$H$11</f>
        <v>LHR-KUL</v>
      </c>
      <c r="F248" s="57" t="str">
        <f aca="false">Flights!$K$11</f>
        <v>BC</v>
      </c>
      <c r="G248" s="57" t="s">
        <v>459</v>
      </c>
      <c r="H248" s="57" t="s">
        <v>460</v>
      </c>
      <c r="I248" s="57" t="s">
        <v>440</v>
      </c>
      <c r="J248" s="57" t="s">
        <v>467</v>
      </c>
      <c r="K248" s="67" t="s">
        <v>501</v>
      </c>
      <c r="L248" s="67" t="s">
        <v>443</v>
      </c>
      <c r="M248" s="67" t="s">
        <v>186</v>
      </c>
      <c r="N248" s="67" t="s">
        <v>383</v>
      </c>
      <c r="O248" s="67"/>
      <c r="P248" s="57" t="s">
        <v>186</v>
      </c>
      <c r="Q248" s="59" t="n">
        <f aca="false">ROUND((Flights!$AF$11)*1440,0)/1440</f>
        <v>46304.4166666667</v>
      </c>
      <c r="R248" s="59" t="n">
        <f aca="false">Q248+(IF(AND(INDEX(TZ_DSTS,MATCH(P248,TZ_STN,0))&lt;&gt;"",Q248&gt;=INDEX(TZ_DSTS,MATCH(P248,TZ_STN,0)),Q248&lt;INDEX(TZ_DSTE,MATCH(P248,TZ_STN,0))),INDEX(TZ_DST,MATCH(P248,TZ_STN,0)),INDEX(TZ_STD,MATCH(P248,TZ_STN,0))))/24</f>
        <v>46304.4583333333</v>
      </c>
      <c r="S248" s="60"/>
      <c r="T248" s="60"/>
      <c r="U248" s="60"/>
      <c r="V248" s="60"/>
      <c r="W248" s="61"/>
      <c r="X248" s="60"/>
      <c r="Y248" s="60"/>
      <c r="Z248" s="60"/>
      <c r="AA248" s="60"/>
      <c r="AB248" s="60"/>
      <c r="AC248" s="60"/>
      <c r="AD248" s="66"/>
      <c r="AE248" s="60"/>
      <c r="AF248" s="61" t="str">
        <f aca="false">IF(AND(ISNUMBER(X248),ISNUMBER(Y248)),Y248-X248,"")</f>
        <v/>
      </c>
      <c r="AG248" s="62" t="str">
        <f aca="false">IF(ISNUMBER(AD248),AD248-(IF(AND(INDEX(TZ_DSTS,MATCH(P248,TZ_STN,0))&lt;&gt;"",(AD248-INDEX(TZ_STD,MATCH(P248,TZ_STN,0))/24)&gt;=INDEX(TZ_DSTS,MATCH(P248,TZ_STN,0)),(AD248-INDEX(TZ_STD,MATCH(P248,TZ_STN,0))/24)&lt;INDEX(TZ_DSTE,MATCH(P248,TZ_STN,0))),INDEX(TZ_DST,MATCH(P248,TZ_STN,0)),INDEX(TZ_STD,MATCH(P248,TZ_STN,0))))/24,"")</f>
        <v/>
      </c>
      <c r="AH248" s="65" t="str">
        <f aca="false">IFERROR(IF(N248="N/A – rule",IF(OR(TRIM(U248)="",TRIM(U248)="N/A",TRIM(U248)="Not started"),"N/A – RULE","INVALID – this check does not apply to this aircraft: clear the status (or correct the fleet on Flights)"),IF(TRIM(U248)="N/A",IF(AT248=0,"INVALID – N/A not permitted for this check",IF(AND(TRIM(AB248)&lt;&gt;"",TRIM(AB248)&lt;&gt;"Closed"),"INVALID – corrective action still open",IF(AND(NOT(OR(LEN(AZ248)&lt;15,ISNUMBER(MATCH(AZ248,L_Placeholder,0)))),BK248=0,CG248&gt;=8,NOT(OR(LEN(AU248)&lt;2,ISNUMBER(MATCH(AU248,L_Placeholder,0)))),BR248&gt;=3,NOT(OR(LEN(AX248)&lt;2,ISNUMBER(MATCH(AX248,L_Placeholder,0)))),BS248&gt;=3,TRIM(AE248)&lt;&gt;TRIM(T248),AX248&lt;&gt;AU248,CE248=0),"N/A – JUSTIFIED","INVALID – N/A needs a real, settled reason (not 'not applicable' / 'as above' / TBC), a named PIC and a different named verifier"))),IF(OR(TRIM(U248)="Pass",TRIM(U248)="Pass after CA"),IF(NOT(ISNUMBER(AD248)),"INVALID – completion time missing",IF(OR(OR(LEN(AU248)&lt;2,ISNUMBER(MATCH(AU248,L_Placeholder,0))),BR248&lt;3),"INVALID – PIC missing or not a named person (a role such as QA / CSM is not a name)",IF(OR(LEN(AV248)&lt;2,ISNUMBER(MATCH(AV248,L_Placeholder,0))),"INVALID – result / assessment missing",IF(OR(OR(LEN(AW248)&lt;3,ISNUMBER(MATCH(AW248,L_Placeholder,0))),SUMPRODUCT(--ISNUMBER(SEARCH(" "&amp;L_EvidencePhrase&amp;" ",BD248)))&gt;0,BI248=1),"INVALID – evidence missing, placeholder or not yet on file",IF(ISNA(MATCH(TRIM(S248),L_EvidenceType,0)),"INVALID – choose the evidence type from the list (column S)",IF(BL248=0,"INVALID – evidence ID must be the record's own ID only (e.g. SF-2210, IMG_2231, 1045521); a link / file name needs type 'Link / file path'",IF(OR(OR(LEN(AX248)&lt;2,ISNUMBER(MATCH(AX248,L_Placeholder,0))),BS248&lt;3),"INVALID – verifier missing or not a named person (a role such as QA / CSM is not a name)",IF(OR(AX248=AU248,CE248=1,AND(LEN(AU248)&gt;=4,ISNUMBER(SEARCH(AU248,AX248))),AND(LEN(AX248)&gt;=4,ISNUMBER(SEARCH(AX248,AU248)))),"INVALID – verifier must be a different, named person (not the PIC or a role)",IF(BH248=1,"INVALID – result not yet available (awaiting / TBC)",IF(BG248=1,"INVALID – result describes a problem: record Fail, then Pass after CA (or reword if it is not a problem)",IF(BV248=1,"INVALID – wording says not on board: an on-board confirmation needs the item loaded",IF(AND(AQ248=1,OR(OR(LEN(AY248)&lt;3,ISNUMBER(MATCH(AY248,L_Placeholder,0))),BJ248=1,BQ248=0)),"INVALID – batch ID missing, placeholder or not an ID (e.g. PASB-261008-BC-017)",IF(AND(AR248=1,OR(NOT(ISNUMBER(X248)),NOT(ISNUMBER(Y248)))),"INVALID – expected/actual qty missing",IF(AND(AR248=1,OR(X248&lt;=0,Y248&lt;0)),"INVALID – expected qty must be above 0 and actual not negative",IF(AH231="N/A – JUSTIFIED","INVALID – preparation row F07-T12-08 is N/A",IF(AND(AR248=1,ISNUMBER(X231),X248&lt;&gt;X231,TRIM(U248)&lt;&gt;"Pass after CA"),"INVALID – expected qty differs from preparation check F07-T12-08: record the load change as a corrective action (Pass after CA)",IF(BB248&lt;&gt;"",BB248,IF(AND(AS248=1,Documents!$J$11&lt;&gt;"ON FILE"),"INVALID – GLD not on file (Documents sheet)",IF(AND(AS248=2,Documents!$O$11&lt;&gt;"ON FILE"),"INVALID – menu checklist not on file (Documents sheet)",IF(AND(AS248=3,NOT(ISNUMBER(Flights!$AX$11))),"INVALID – enter carrying flight KUL departure (Flights AX)",IF(AND(AS248=3,OR(Flights!$AZ$11&gt;Flights!$AA$11,Flights!$AX$11&lt;Flights!$AA$11-3)),"INVALID – carrying flight (Flights AX) cannot arrive before this leg's STD, or is over 3 days early",IF(AG248&gt;AsOfUTC,"INVALID – completion time is in the future",IF(AND(ISNUMBER(BY248),AG248&lt;BY248),IF(H248="Physical uplift","INVALID – before uplift window (cannot confirm loading)","INVALID – before valid window"),IF(AG248&gt;Flights!$AA$11,"INVALID – completed after departure (cannot establish readiness)",IF(AND(H248="Preparation",AG248&gt;=IF(ISNUMBER(Flights!$BA$11),MIN(Flights!$BA$11,Flights!$AA$11),Flights!$AA$11)),"INVALID – completed after loading / departure (cannot establish readiness)",IF(AND(H248="Physical uplift",AG248&gt;Q248),"INVALID – recorded after the loading flight departed",IF(AG248&gt;Q248,"COMPLETE – LATE","COMPLETE"))))))))))))))))))))))))))),IF(TRIM(U248)="Fail","FAIL – DISCREPANCY",IF(AND(TRIM(U248)&lt;&gt;"",TRIM(U248)&lt;&gt;"Not started",TRIM(U248)&lt;&gt;"In progress"),"INVALID – unrecognised status (use the list)",IF(AsOfUTC&gt;Q248,"OVERDUE",IF(N248="Clarification required","OPEN – CLARIFICATION","OPEN"))))))),"INVALID – error value in an input cell")</f>
        <v>OPEN</v>
      </c>
      <c r="AI248" s="61" t="n">
        <f aca="false">IF(OR(AH248="N/A – RULE",AH248="N/A – JUSTIFIED"),0,1)</f>
        <v>1</v>
      </c>
      <c r="AJ248" s="61" t="n">
        <f aca="false">IF(LEFT(AH248,8)="COMPLETE",1,0)</f>
        <v>0</v>
      </c>
      <c r="AK248" s="61" t="n">
        <f aca="false">IF(AND(AI248=1,AJ248=0,AsOfUTC&gt;Q248),1,0)</f>
        <v>0</v>
      </c>
      <c r="AL248" s="61" t="n">
        <f aca="false">IFERROR(IF(AND(AI248=1,OR(TRIM(U248)="Fail",AND(TRIM(AB248)&lt;&gt;"",TRIM(AB248)&lt;&gt;"Closed"),AND(ISNUMBER(AF248),AF248&lt;&gt;0,TRIM(U248)&lt;&gt;"Pass after CA"))),1,0),1)</f>
        <v>0</v>
      </c>
      <c r="AM248" s="61" t="n">
        <f aca="false">IF(LEFT(AH248,7)="INVALID",1,0)</f>
        <v>0</v>
      </c>
      <c r="AN248" s="61" t="n">
        <f aca="false">IF(AND(N248="Clarification required",AI248=1,AJ248=0),1,0)</f>
        <v>0</v>
      </c>
      <c r="AO248" s="61" t="str">
        <f aca="false">IF(AK248=1,SUM(AK$5:AK248),"")</f>
        <v/>
      </c>
      <c r="AP248" s="61" t="str">
        <f aca="false">IF(AL248=1,SUM(AL$5:AL248),"")</f>
        <v/>
      </c>
      <c r="AQ248" s="61" t="n">
        <v>0</v>
      </c>
      <c r="AR248" s="61" t="n">
        <v>0</v>
      </c>
      <c r="AS248" s="61" t="n">
        <v>0</v>
      </c>
      <c r="AT248" s="61" t="n">
        <v>0</v>
      </c>
      <c r="AU248" s="61" t="str">
        <f aca="false">SUBSTITUTE(SUBSTITUTE(SUBSTITUTE(SUBSTITUTE(SUBSTITUTE(SUBSTITUTE(SUBSTITUTE(SUBSTITUTE(SUBSTITUTE(SUBSTITUTE(SUBSTITUTE(SUBSTITUTE(SUBSTITUTE(SUBSTITUTE(SUBSTITUTE(SUBSTITUTE(LOWER(T248&amp;""),CHAR(10),""),CHAR(13),""),CHAR(9),""),CHAR(160),"")," ",""),".",""),"-",""),"/",""),"?",""),"_",""),",",""),"[",""),"]",""),"(",""),")",""),"*","")</f>
        <v/>
      </c>
      <c r="AV248" s="61" t="str">
        <f aca="false">SUBSTITUTE(SUBSTITUTE(SUBSTITUTE(SUBSTITUTE(SUBSTITUTE(SUBSTITUTE(SUBSTITUTE(SUBSTITUTE(SUBSTITUTE(SUBSTITUTE(SUBSTITUTE(SUBSTITUTE(SUBSTITUTE(SUBSTITUTE(SUBSTITUTE(SUBSTITUTE(LOWER(V248&amp;""),CHAR(10),""),CHAR(13),""),CHAR(9),""),CHAR(160),"")," ",""),".",""),"-",""),"/",""),"?",""),"_",""),",",""),"[",""),"]",""),"(",""),")",""),"*","")</f>
        <v/>
      </c>
      <c r="AW248" s="61" t="str">
        <f aca="false">SUBSTITUTE(SUBSTITUTE(SUBSTITUTE(SUBSTITUTE(SUBSTITUTE(SUBSTITUTE(SUBSTITUTE(SUBSTITUTE(SUBSTITUTE(SUBSTITUTE(SUBSTITUTE(SUBSTITUTE(SUBSTITUTE(SUBSTITUTE(SUBSTITUTE(SUBSTITUTE(LOWER(Z248&amp;""),CHAR(10),""),CHAR(13),""),CHAR(9),""),CHAR(160),"")," ",""),".",""),"-",""),"/",""),"?",""),"_",""),",",""),"[",""),"]",""),"(",""),")",""),"*","")</f>
        <v/>
      </c>
      <c r="AX248" s="61" t="str">
        <f aca="false">SUBSTITUTE(SUBSTITUTE(SUBSTITUTE(SUBSTITUTE(SUBSTITUTE(SUBSTITUTE(SUBSTITUTE(SUBSTITUTE(SUBSTITUTE(SUBSTITUTE(SUBSTITUTE(SUBSTITUTE(SUBSTITUTE(SUBSTITUTE(SUBSTITUTE(SUBSTITUTE(LOWER(AE248&amp;""),CHAR(10),""),CHAR(13),""),CHAR(9),""),CHAR(160),"")," ",""),".",""),"-",""),"/",""),"?",""),"_",""),",",""),"[",""),"]",""),"(",""),")",""),"*","")</f>
        <v/>
      </c>
      <c r="AY248" s="61" t="str">
        <f aca="false">SUBSTITUTE(SUBSTITUTE(SUBSTITUTE(SUBSTITUTE(SUBSTITUTE(SUBSTITUTE(SUBSTITUTE(SUBSTITUTE(SUBSTITUTE(SUBSTITUTE(SUBSTITUTE(SUBSTITUTE(SUBSTITUTE(SUBSTITUTE(SUBSTITUTE(SUBSTITUTE(LOWER(W248&amp;""),CHAR(10),""),CHAR(13),""),CHAR(9),""),CHAR(160),"")," ",""),".",""),"-",""),"/",""),"?",""),"_",""),",",""),"[",""),"]",""),"(",""),")",""),"*","")</f>
        <v/>
      </c>
      <c r="AZ248" s="61" t="str">
        <f aca="false">SUBSTITUTE(SUBSTITUTE(SUBSTITUTE(SUBSTITUTE(SUBSTITUTE(SUBSTITUTE(SUBSTITUTE(SUBSTITUTE(SUBSTITUTE(SUBSTITUTE(SUBSTITUTE(SUBSTITUTE(SUBSTITUTE(SUBSTITUTE(SUBSTITUTE(SUBSTITUTE(LOWER(AC248&amp;""),CHAR(10),""),CHAR(13),""),CHAR(9),""),CHAR(160),"")," ",""),".",""),"-",""),"/",""),"?",""),"_",""),",",""),"[",""),"]",""),"(",""),")",""),"*","")</f>
        <v/>
      </c>
      <c r="BA248" s="61" t="str">
        <f aca="false">SUBSTITUTE(SUBSTITUTE(SUBSTITUTE(SUBSTITUTE(SUBSTITUTE(SUBSTITUTE(SUBSTITUTE(SUBSTITUTE(SUBSTITUTE(SUBSTITUTE(SUBSTITUTE(SUBSTITUTE(SUBSTITUTE(SUBSTITUTE(SUBSTITUTE(SUBSTITUTE(LOWER(AA248&amp;""),CHAR(10),""),CHAR(13),""),CHAR(9),""),CHAR(160),"")," ",""),".",""),"-",""),"/",""),"?",""),"_",""),",",""),"[",""),"]",""),"(",""),")",""),"*","")</f>
        <v/>
      </c>
      <c r="BB248" s="61" t="str">
        <f aca="false">IF(AND(TRIM(U248)="Pass",ISNUMBER(AF248)),IF(AF248&lt;&gt;0,"INVALID – qty variance: use Fail or Pass after CA",""),"")&amp;IF(AND(TRIM(U248)="Pass after CA",ISNUMBER(AF248)),IF(AF248&lt;&gt;0,"INVALID – after the corrective action the actual qty must equal expected (update Actual)",""),"")&amp;IF(AND(TRIM(U248)="Pass",TRIM(AB248)&lt;&gt;"",TRIM(AB248)&lt;&gt;"Closed"),"INVALID – corrective action not closed: use Fail, then Pass after CA","")&amp;IF(AND(LEN(BA248)&gt;=2,ISNA(MATCH(LEFT(BA248,255),L_Placeholder,0)),TRIM(AB248)=""),"INVALID – CA status missing for the recorded corrective action","")&amp;IF(AND(TRIM(U248)="Pass after CA",OR(OR(LEN(BA248)&lt;5,ISNUMBER(MATCH(BA248,L_Placeholder,0))),TRIM(AB248)&lt;&gt;"Closed")),"INVALID – corrective action not recorded/closed","")</f>
        <v/>
      </c>
      <c r="BC248" s="61" t="str">
        <f aca="false">" "&amp;TRIM(SUBSTITUTE(SUBSTITUTE(SUBSTITUTE(SUBSTITUTE(SUBSTITUTE(SUBSTITUTE(SUBSTITUTE(SUBSTITUTE(SUBSTITUTE(SUBSTITUTE(SUBSTITUTE(SUBSTITUTE(SUBSTITUTE(SUBSTITUTE(SUBSTITUTE(SUBSTITUTE(SUBSTITUTE(SUBSTITUTE(SUBSTITUTE(SUBSTITUTE(SUBSTITUTE(SUBSTITUTE(SUBSTITUTE(SUBSTITUTE(LOWER(V248&amp;""),CHAR(10)," "),CHAR(13)," "),CHAR(9)," "),CHAR(160)," "),"."," "),","," "),"-"," "),"/"," "),"("," "),")"," "),":"," "),";"," "),"_"," "),"–"," "),"?"," "),"!"," "),"*"," "),"["," "),"]"," "),"'"," "),"#"," "),"+"," "),"&amp;"," "),"\"," "))&amp;" "</f>
        <v>  </v>
      </c>
      <c r="BD248" s="61" t="str">
        <f aca="false">" "&amp;TRIM(SUBSTITUTE(SUBSTITUTE(SUBSTITUTE(SUBSTITUTE(SUBSTITUTE(SUBSTITUTE(SUBSTITUTE(SUBSTITUTE(SUBSTITUTE(SUBSTITUTE(SUBSTITUTE(SUBSTITUTE(SUBSTITUTE(SUBSTITUTE(SUBSTITUTE(SUBSTITUTE(SUBSTITUTE(SUBSTITUTE(SUBSTITUTE(SUBSTITUTE(SUBSTITUTE(SUBSTITUTE(SUBSTITUTE(SUBSTITUTE(LOWER(Z248&amp;""),CHAR(10)," "),CHAR(13)," "),CHAR(9)," "),CHAR(160)," "),"."," "),","," "),"-"," "),"/"," "),"("," "),")"," "),":"," "),";"," "),"_"," "),"–"," "),"?"," "),"!"," "),"*"," "),"["," "),"]"," "),"'"," "),"#"," "),"+"," "),"&amp;"," "),"\"," "))&amp;" "</f>
        <v>  </v>
      </c>
      <c r="BE248" s="61" t="str">
        <f aca="false">" "&amp;TRIM(SUBSTITUTE(SUBSTITUTE(SUBSTITUTE(SUBSTITUTE(SUBSTITUTE(SUBSTITUTE(SUBSTITUTE(SUBSTITUTE(SUBSTITUTE(SUBSTITUTE(SUBSTITUTE(SUBSTITUTE(SUBSTITUTE(SUBSTITUTE(SUBSTITUTE(SUBSTITUTE(SUBSTITUTE(SUBSTITUTE(SUBSTITUTE(SUBSTITUTE(SUBSTITUTE(SUBSTITUTE(SUBSTITUTE(SUBSTITUTE(LOWER(W248&amp;""),CHAR(10)," "),CHAR(13)," "),CHAR(9)," "),CHAR(160)," "),"."," "),","," "),"-"," "),"/"," "),"("," "),")"," "),":"," "),";"," "),"_"," "),"–"," "),"?"," "),"!"," "),"*"," "),"["," "),"]"," "),"'"," "),"#"," "),"+"," "),"&amp;"," "),"\"," "))&amp;" "</f>
        <v>  </v>
      </c>
      <c r="BF248" s="61" t="str">
        <f aca="false">" "&amp;TRIM(SUBSTITUTE(SUBSTITUTE(SUBSTITUTE(SUBSTITUTE(SUBSTITUTE(SUBSTITUTE(SUBSTITUTE(SUBSTITUTE(SUBSTITUTE(SUBSTITUTE(SUBSTITUTE(SUBSTITUTE(SUBSTITUTE(SUBSTITUTE(SUBSTITUTE(SUBSTITUTE(SUBSTITUTE(SUBSTITUTE(SUBSTITUTE(SUBSTITUTE(SUBSTITUTE(SUBSTITUTE(SUBSTITUTE(SUBSTITUTE(LOWER(AC248&amp;""),CHAR(10)," "),CHAR(13)," "),CHAR(9)," "),CHAR(160)," "),"."," "),","," "),"-"," "),"/"," "),"("," "),")"," "),":"," "),";"," "),"_"," "),"–"," "),"?"," "),"!"," "),"*"," "),"["," "),"]"," "),"'"," "),"#"," "),"+"," "),"&amp;"," "),"\"," "))&amp;" "</f>
        <v>  </v>
      </c>
      <c r="BG248" s="61" t="n">
        <f aca="false">IFERROR(IF(AND(TRIM(U248)="Pass",SUMPRODUCT((LEN(BC248)-LEN(SUBSTITUTE(BC248," "&amp;L_ResultBad&amp;" "," ")))/(LEN(L_ResultBad)+1))&gt;SUMPRODUCT((LEN(BC248)-LEN(SUBSTITUTE(BC248," "&amp;L_NegPhrase&amp;" "," ")))/(LEN(L_NegPhrase)+1))),1,0),0)</f>
        <v>0</v>
      </c>
      <c r="BH248" s="61" t="n">
        <f aca="false">IFERROR(IF(SUMPRODUCT((LEN(BC248)-LEN(SUBSTITUTE(BC248," "&amp;L_Pending&amp;" "," ")))/(LEN(L_Pending)+1))&gt;SUMPRODUCT((LEN(BC248)-LEN(SUBSTITUTE(BC248," "&amp;L_PendNeg&amp;" "," ")))/(LEN(L_PendNeg)+1)),1,0),1)</f>
        <v>0</v>
      </c>
      <c r="BI248" s="61" t="n">
        <f aca="false">IFERROR(IF(SUMPRODUCT((LEN(BD248)-LEN(SUBSTITUTE(BD248," "&amp;L_PendStrict&amp;" "," ")))/(LEN(L_PendStrict)+1))&gt;SUMPRODUCT((LEN(BD248)-LEN(SUBSTITUTE(BD248," "&amp;L_PendNeg&amp;" "," ")))/(LEN(L_PendNeg)+1)),1,0),1)</f>
        <v>0</v>
      </c>
      <c r="BJ248" s="61" t="n">
        <f aca="false">IFERROR(IF(SUMPRODUCT((LEN(BE248)-LEN(SUBSTITUTE(BE248," "&amp;L_Pending&amp;" "," ")))/(LEN(L_Pending)+1))&gt;SUMPRODUCT((LEN(BE248)-LEN(SUBSTITUTE(BE248," "&amp;L_PendNeg&amp;" "," ")))/(LEN(L_PendNeg)+1)),1,0),1)</f>
        <v>0</v>
      </c>
      <c r="BK248" s="61" t="n">
        <f aca="false">IFERROR(IF(SUMPRODUCT((LEN(BF248)-LEN(SUBSTITUTE(BF248," "&amp;L_PendStrict&amp;" "," ")))/(LEN(L_PendStrict)+1))&gt;SUMPRODUCT((LEN(BF248)-LEN(SUBSTITUTE(BF248," "&amp;L_PendNeg&amp;" "," ")))/(LEN(L_PendNeg)+1)),1,0),1)</f>
        <v>0</v>
      </c>
      <c r="BL248" s="61" t="n">
        <f aca="false">IF(ISNA(MATCH(TRIM(S248),L_EvidenceType,0)),0,BZ248)</f>
        <v>0</v>
      </c>
      <c r="BM248" s="61" t="str">
        <f aca="false">SUBSTITUTE(SUBSTITUTE(SUBSTITUTE(SUBSTITUTE(SUBSTITUTE(SUBSTITUTE(SUBSTITUTE(SUBSTITUTE(SUBSTITUTE(LOWER(Z248&amp;""),"1","0"),"2","0"),"3","0"),"4","0"),"5","0"),"6","0"),"7","0"),"8","0"),"9","0")</f>
        <v/>
      </c>
      <c r="BN248" s="61" t="str">
        <f aca="false">SUBSTITUTE(SUBSTITUTE(SUBSTITUTE(SUBSTITUTE(SUBSTITUTE(SUBSTITUTE(SUBSTITUTE(SUBSTITUTE(SUBSTITUTE(SUBSTITUTE(SUBSTITUTE(SUBSTITUTE(SUBSTITUTE(SUBSTITUTE(SUBSTITUTE(SUBSTITUTE(SUBSTITUTE(SUBSTITUTE(SUBSTITUTE(SUBSTITUTE(SUBSTITUTE(SUBSTITUTE(SUBSTITUTE(SUBSTITUTE(SUBSTITUTE(BM248,"b","a"),"c","a"),"d","a"),"e","a"),"f","a"),"g","a"),"h","a"),"i","a"),"j","a"),"k","a"),"l","a"),"m","a"),"n","a"),"o","a"),"p","a"),"q","a"),"r","a"),"s","a"),"t","a"),"u","a"),"v","a"),"w","a"),"x","a"),"y","a"),"z","a")</f>
        <v/>
      </c>
      <c r="BO248" s="61" t="str">
        <f aca="false">SUBSTITUTE(SUBSTITUTE(SUBSTITUTE(SUBSTITUTE(SUBSTITUTE(SUBSTITUTE(SUBSTITUTE(SUBSTITUTE(SUBSTITUTE(LOWER(W248&amp;""),"1","0"),"2","0"),"3","0"),"4","0"),"5","0"),"6","0"),"7","0"),"8","0"),"9","0")</f>
        <v/>
      </c>
      <c r="BP248" s="61" t="str">
        <f aca="false">SUBSTITUTE(SUBSTITUTE(SUBSTITUTE(SUBSTITUTE(SUBSTITUTE(SUBSTITUTE(SUBSTITUTE(SUBSTITUTE(SUBSTITUTE(SUBSTITUTE(SUBSTITUTE(SUBSTITUTE(SUBSTITUTE(SUBSTITUTE(SUBSTITUTE(SUBSTITUTE(SUBSTITUTE(SUBSTITUTE(SUBSTITUTE(SUBSTITUTE(SUBSTITUTE(SUBSTITUTE(SUBSTITUTE(SUBSTITUTE(SUBSTITUTE(BO248,"b","a"),"c","a"),"d","a"),"e","a"),"f","a"),"g","a"),"h","a"),"i","a"),"j","a"),"k","a"),"l","a"),"m","a"),"n","a"),"o","a"),"p","a"),"q","a"),"r","a"),"s","a"),"t","a"),"u","a"),"v","a"),"w","a"),"x","a"),"y","a"),"z","a")</f>
        <v/>
      </c>
      <c r="BQ248" s="61" t="n">
        <f aca="false">IFERROR(IF(AND(ISERROR(SEARCH(" mh"," "&amp;LOWER(W248))),ISNA(MATCH(LEFT(TRIM(BP248),255),{"0000a","000a","00a","0000aa","000aa","00aa","0aa","0000aaa","000aaa","00a00","0a00","0000-0000","00:00","a00","a0","00.00.0000","00/00/0000","00-00-0000","0000-00-00","0000/00/00","0000.00.00","00.00.00","00/00/00","00-00-00","0.00.0000","0/00/0000","0-00-0000"},0)),ISNA(MATCH(LEFT(TRIM(CA248),255),{"0000a","000a","00a","0000aa","000aa","00aa","0aa","0000aaa","000aaa","00a00","0a00","0000-0000","00:00","a00","a0","00.00.0000","00/00/0000","00-00-0000","0000-00-00","0000/00/00","0000.00.00","00.00.00","00/00/00","00-00-00","0.00.0000","0/00/0000","0-00-0000"},0)),LEN(CB248)&gt;=3,NOT(OR(SUBSTITUTE(CB248,"0","")="",AND(LEN(CB248)&gt;=4,CB248=REPT(LEFT(CB248),LEN(CB248))),ISNUMBER(MATCH(CB248,{"123","1234","12345","123456","1234567","12345678","0123","01234","012345","98765","987654","54321"},0)),AND(LEN(CB248)=8,LEFT(CB248,3)="202"))),OR(AND((LEN(CA248)-LEN(SUBSTITUTE(CA248,"a","")))&gt;=1,SUMPRODUCT(--ISNUMBER(SEARCH({"a0","a-0","a_0","a/0","a.0","a#0","0a","0-a","0_a","0/a"},BP248)))&gt;0),ISNUMBER(SEARCH("000000",BP248)))),1,0),0)</f>
        <v>0</v>
      </c>
      <c r="BR248" s="61" t="n">
        <f aca="false">IFERROR(LEN(SUBSTITUTE(CC248," ",""))-SUMPRODUCT((LEN(CC248)-LEN(SUBSTITUTE(CC248," "&amp;L_Role&amp;" "," ")))/(LEN(L_Role)+1)*LEN(L_Role)),0)</f>
        <v>0</v>
      </c>
      <c r="BS248" s="61" t="n">
        <f aca="false">IFERROR(LEN(SUBSTITUTE(CD248," ",""))-SUMPRODUCT((LEN(CD248)-LEN(SUBSTITUTE(CD248," "&amp;L_Role&amp;" "," ")))/(LEN(L_Role)+1)*LEN(L_Role)),0)</f>
        <v>0</v>
      </c>
      <c r="BT2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248,"revision",""),"version",""),"jan",""),"feb",""),"mar",""),"apr",""),"may",""),"jun",""),"jul",""),"aug",""),"sep",""),"oct",""),"nov",""),"dec",""),"utc",""),"gmt",""),"myt",""),"bst",""),"rev",""),"ver",""),"b","a"),"c","a"),"d","a"),"e","a"),"f","a"),"g","a"),"h","a"),"i","a"),"j","a"),"k","a"),"l","a"),"m","a"),"n","a"),"o","a"),"p","a"),"q","a"),"r","a"),"s","a"),"t","a"),"u","a"),"v","a"),"w","a"),"x","a"),"y","a"),"z","a")</f>
        <v/>
      </c>
      <c r="BU248" s="61" t="str">
        <f aca="false">SUBSTITUTE(SUBSTITUTE(SUBSTITUTE(SUBSTITUTE(SUBSTITUTE(SUBSTITUTE(SUBSTITUTE(SUBSTITUTE(SUBSTITUTE(SUBSTITUTE(LEFT(BM248,FIND("0",BM248&amp;"0")-1),"-",""),"_",""),"/",""),".",""),"#",""),"\\",""),":","")," ",""),"(",""),")","")</f>
        <v/>
      </c>
      <c r="BV248" s="61" t="n">
        <f aca="false">IFERROR(IF(OR(SUMPRODUCT((LEN(BC248)-LEN(SUBSTITUTE(BC248," "&amp;L_NotLoaded&amp;" "," ")))/(LEN(L_NotLoaded)+1))&gt;SUMPRODUCT((LEN(BC248)-LEN(SUBSTITUTE(BC248," "&amp;L_NotLoadedNeg&amp;" "," ")))/(LEN(L_NotLoadedNeg)+1)),SUMPRODUCT((LEN(BD248)-LEN(SUBSTITUTE(BD248," "&amp;L_NotLoaded&amp;" "," ")))/(LEN(L_NotLoaded)+1))&gt;SUMPRODUCT((LEN(BD248)-LEN(SUBSTITUTE(BD248," "&amp;L_NotLoadedNeg&amp;" "," ")))/(LEN(L_NotLoadedNeg)+1))),1,0),0)</f>
        <v>0</v>
      </c>
      <c r="BW2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248&amp;""),"a",""),"b",""),"c",""),"d",""),"e",""),"f",""),"g",""),"h",""),"i",""),"j",""),"k",""),"l",""),"m",""),"n",""),"o",""),"p",""),"q",""),"r",""),"s",""),"t",""),"u",""),"v",""),"w",""),"x",""),"y",""),"z",""),"-",""),"_",""),"/",""),".",""),"#",""),"\\",""),":","")," ",""),"(",""),")","")</f>
        <v/>
      </c>
      <c r="BX248" s="61" t="str">
        <f aca="false">SUBSTITUTE(SUBSTITUTE(SUBSTITUTE(SUBSTITUTE(SUBSTITUTE(SUBSTITUTE(SUBSTITUTE(SUBSTITUTE(SUBSTITUTE(SUBSTITUTE(SUBSTITUTE(BM248,"0",""),"-",""),"_",""),"/",""),".",""),"#",""),"\\",""),":","")," ",""),"(",""),")","")</f>
        <v/>
      </c>
      <c r="BY248" s="62" t="n">
        <f aca="false">IF(ISNUMBER(Flights!$AZ$11),MAX(Q248-UpliftWindowH/24,Flights!$AZ$11),Q248-UpliftWindowH/24)</f>
        <v>46304.4166666667</v>
      </c>
      <c r="BZ248" s="61" t="n">
        <f aca="false">IFERROR(IF(IF(TRIM(S248)="Link / file path",AND(LEN(TRIM(Z248))&gt;=5,SUMPRODUCT(--ISNUMBER(SEARCH({"http","www.","\\",":\",".pdf",".jpg",".jpeg",".png",".heic",".xls",".doc",".msg",".eml",".ppt",".txt",".zip"},Z248)))&gt;0),AND(ISERROR(FIND(" ",TRIM(Z248))),NOT(OR(SUMPRODUCT(--ISNUMBER(FIND({",",";","&amp;","+"},Z248)))&gt;0,SUMPRODUCT(--ISNUMBER(SEARCH({"0/aa","0\\aa"},BN248)))&gt;0)),NOT(SUMPRODUCT(--ISNUMBER(SEARCH({"http","www.","\\",":\",".pdf",".jpg",".jpeg",".png",".heic",".xls",".doc",".msg",".eml",".ppt",".txt",".zip"},Z248)))&gt;0),NOT(LOWER(TRIM(Z248))=LOWER(Flights!$F$11)),ISNA(MATCH(BU248,{"mh","rev","revision","ver","version","v","r","a","b","seat","tray","row","gate","bay","stand","page","pg","item","line","no","cart","galley","flight","flt","table","box","bag","oven","etd","eta","std","sta","atd","ata","qty","pax","x","time","tel","ph","mob","day","wk","week","utc","gmt","myt","lt"},0)),NOT(OR(ISNUMBER(MATCH(LEFT(BN248,255),{"0000a","000a","00a","0000aa","000aa","00aa","0aa","0000aaa","000aaa","00a00","0a00","0000-0000","00:00","a00","a0","00.00.0000","00/00/0000","00-00-0000","0000-00-00","0000/00/00","0000.00.00","00.00.00","00/00/00","00-00-00","0.00.0000","0/00/0000","0-00-0000"},0)),ISNUMBER(MATCH(LEFT(BT248,255),{"0000a","000a","00a","0000aa","000aa","00aa","0aa","0000aaa","000aaa","00a00","0a00","0000-0000","00:00","a00","a0","00.00.0000","00/00/0000","00-00-0000","0000-00-00","0000/00/00","0000.00.00","00.00.00","00/00/00","00-00-00","0.00.0000","0/00/0000","0-00-0000"},0)))),NOT(OR(AND(BW248&lt;&gt;"",SUBSTITUTE(BW248,"0","")=""),AND(LEN(BW248)&gt;=4,BW248=REPT(LEFT(BW248),LEN(BW248))),ISNUMBER(MATCH(BW248,{"123","1234","12345","123456","1234567","12345678","0123","01234","012345","98765","987654","54321"},0)),ISNUMBER(MATCH(BX248,{"x","xx","xxx","xxxx","xxxxx","abc","abcd","nil","na","nan","test","tbc","tba","tbd","dummy","sample","example","eg","zz","zzz","none","null","xyz","qwe","asd","id","ref"},0)),AND(LEN(BW248)=8,BX248="",OR(LEFT(BW248,3)="202",ISNUMBER(MATCH(RIGHT(BW248,4),{"2025","2026","2027"},0)))))),OR(AND((LEN(BT248)-LEN(SUBSTITUTE(BT248,"a","")))&gt;=1,(LEN(BN248)-LEN(SUBSTITUTE(BN248,"0","")))&gt;=2,SUMPRODUCT(--ISNUMBER(SEARCH({"a0","a-0","a_0","a/0","a.0","a#0","0a","0-a","0_a","0/a"},BN248)))&gt;0),AND((LEN(BN248)-LEN(SUBSTITUTE(BN248,"a","")))=0,(LEN(BN248)-LEN(SUBSTITUTE(BN248,"0","")))&gt;=5)))),1,0),0)</f>
        <v>0</v>
      </c>
      <c r="CA2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248,"revision",""),"version",""),"jan",""),"feb",""),"mar",""),"apr",""),"may",""),"jun",""),"jul",""),"aug",""),"sep",""),"oct",""),"nov",""),"dec",""),"utc",""),"gmt",""),"myt",""),"bst",""),"rev",""),"ver",""),"b","a"),"c","a"),"d","a"),"e","a"),"f","a"),"g","a"),"h","a"),"i","a"),"j","a"),"k","a"),"l","a"),"m","a"),"n","a"),"o","a"),"p","a"),"q","a"),"r","a"),"s","a"),"t","a"),"u","a"),"v","a"),"w","a"),"x","a"),"y","a"),"z","a")</f>
        <v/>
      </c>
      <c r="CB2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248&amp;""),"a",""),"b",""),"c",""),"d",""),"e",""),"f",""),"g",""),"h",""),"i",""),"j",""),"k",""),"l",""),"m",""),"n",""),"o",""),"p",""),"q",""),"r",""),"s",""),"t",""),"u",""),"v",""),"w",""),"x",""),"y",""),"z",""),"-",""),"_",""),"/",""),".",""),"#",""),"\\",""),":","")," ",""),"(",""),")","")</f>
        <v/>
      </c>
      <c r="CC248" s="0" t="str">
        <f aca="false">" "&amp;TRIM(SUBSTITUTE(SUBSTITUTE(SUBSTITUTE(SUBSTITUTE(SUBSTITUTE(SUBSTITUTE(SUBSTITUTE(SUBSTITUTE(SUBSTITUTE(SUBSTITUTE(SUBSTITUTE(SUBSTITUTE(SUBSTITUTE(SUBSTITUTE(SUBSTITUTE(SUBSTITUTE(SUBSTITUTE(SUBSTITUTE(SUBSTITUTE(SUBSTITUTE(SUBSTITUTE(SUBSTITUTE(SUBSTITUTE(SUBSTITUTE(LOWER(T248&amp;""),CHAR(10)," "),CHAR(13)," "),CHAR(9)," "),CHAR(160)," "),"."," "),","," "),"-"," "),"/"," "),"("," "),")"," "),":"," "),";"," "),"_"," "),"–"," "),"?"," "),"!"," "),"*"," "),"["," "),"]"," "),"'"," "),"#"," "),"+"," "),"&amp;"," "),"\"," "))&amp;" "</f>
        <v>  </v>
      </c>
      <c r="CD248" s="0" t="str">
        <f aca="false">" "&amp;TRIM(SUBSTITUTE(SUBSTITUTE(SUBSTITUTE(SUBSTITUTE(SUBSTITUTE(SUBSTITUTE(SUBSTITUTE(SUBSTITUTE(SUBSTITUTE(SUBSTITUTE(SUBSTITUTE(SUBSTITUTE(SUBSTITUTE(SUBSTITUTE(SUBSTITUTE(SUBSTITUTE(SUBSTITUTE(SUBSTITUTE(SUBSTITUTE(SUBSTITUTE(SUBSTITUTE(SUBSTITUTE(SUBSTITUTE(SUBSTITUTE(LOWER(AE248&amp;""),CHAR(10)," "),CHAR(13)," "),CHAR(9)," "),CHAR(160)," "),"."," "),","," "),"-"," "),"/"," "),"("," "),")"," "),":"," "),";"," "),"_"," "),"–"," "),"?"," "),"!"," "),"*"," "),"["," "),"]"," "),"'"," "),"#"," "),"+"," "),"&amp;"," "),"\"," "))&amp;" "</f>
        <v>  </v>
      </c>
      <c r="CE248" s="68" t="n">
        <f aca="false">IFERROR(IF(AND(LEN(AU248)&gt;0,LEN(AU248)=LEN(AX248),OR(TRIM(MID(SUBSTITUTE(TRIM(CC248)," ",REPT(" ",60)),1,60))="",ISNUMBER(SEARCH(" "&amp;TRIM(MID(SUBSTITUTE(TRIM(CC248)," ",REPT(" ",60)),1,60))&amp;" ",CD248))),OR(TRIM(MID(SUBSTITUTE(TRIM(CC248)," ",REPT(" ",60)),61,60))="",ISNUMBER(SEARCH(" "&amp;TRIM(MID(SUBSTITUTE(TRIM(CC248)," ",REPT(" ",60)),61,60))&amp;" ",CD248))),OR(TRIM(MID(SUBSTITUTE(TRIM(CC248)," ",REPT(" ",60)),121,60))="",ISNUMBER(SEARCH(" "&amp;TRIM(MID(SUBSTITUTE(TRIM(CC248)," ",REPT(" ",60)),121,60))&amp;" ",CD248)))),1,0),0)</f>
        <v>0</v>
      </c>
      <c r="CG248" s="68" t="n">
        <f aca="false">IFERROR(LEN(SUBSTITUTE(BF248," ",""))-SUMPRODUCT((LEN(BF248)-LEN(SUBSTITUTE(BF248," "&amp;L_NAFiller&amp;" "," ")))/(LEN(L_NAFiller)+1)*LEN(L_NAFiller)),0)</f>
        <v>0</v>
      </c>
    </row>
    <row r="249" customFormat="false" ht="41.25" hidden="false" customHeight="true" outlineLevel="0" collapsed="false">
      <c r="A249" s="57" t="s">
        <v>819</v>
      </c>
      <c r="B249" s="57" t="s">
        <v>235</v>
      </c>
      <c r="C249" s="57" t="str">
        <f aca="false">Flights!$F$11</f>
        <v>MH0003</v>
      </c>
      <c r="D249" s="58" t="n">
        <f aca="false">Flights!$D$11</f>
        <v>46304</v>
      </c>
      <c r="E249" s="57" t="str">
        <f aca="false">Flights!$G$11&amp;"-"&amp;Flights!$H$11</f>
        <v>LHR-KUL</v>
      </c>
      <c r="F249" s="57" t="str">
        <f aca="false">Flights!$K$11</f>
        <v>BC</v>
      </c>
      <c r="G249" s="57" t="s">
        <v>459</v>
      </c>
      <c r="H249" s="57" t="s">
        <v>460</v>
      </c>
      <c r="I249" s="57" t="s">
        <v>440</v>
      </c>
      <c r="J249" s="57" t="s">
        <v>761</v>
      </c>
      <c r="K249" s="67" t="s">
        <v>730</v>
      </c>
      <c r="L249" s="67" t="s">
        <v>731</v>
      </c>
      <c r="M249" s="67" t="s">
        <v>187</v>
      </c>
      <c r="N249" s="67" t="s">
        <v>444</v>
      </c>
      <c r="O249" s="67" t="s">
        <v>820</v>
      </c>
      <c r="P249" s="57" t="s">
        <v>186</v>
      </c>
      <c r="Q249" s="59" t="n">
        <f aca="false">ROUND((Flights!$AF$11)*1440,0)/1440</f>
        <v>46304.4166666667</v>
      </c>
      <c r="R249" s="59" t="n">
        <f aca="false">Q249+(IF(AND(INDEX(TZ_DSTS,MATCH(P249,TZ_STN,0))&lt;&gt;"",Q249&gt;=INDEX(TZ_DSTS,MATCH(P249,TZ_STN,0)),Q249&lt;INDEX(TZ_DSTE,MATCH(P249,TZ_STN,0))),INDEX(TZ_DST,MATCH(P249,TZ_STN,0)),INDEX(TZ_STD,MATCH(P249,TZ_STN,0))))/24</f>
        <v>46304.4583333333</v>
      </c>
      <c r="S249" s="60"/>
      <c r="T249" s="60"/>
      <c r="U249" s="60"/>
      <c r="V249" s="60"/>
      <c r="W249" s="61"/>
      <c r="X249" s="60"/>
      <c r="Y249" s="60"/>
      <c r="Z249" s="60"/>
      <c r="AA249" s="60"/>
      <c r="AB249" s="60"/>
      <c r="AC249" s="60"/>
      <c r="AD249" s="66"/>
      <c r="AE249" s="60"/>
      <c r="AF249" s="61" t="str">
        <f aca="false">IF(AND(ISNUMBER(X249),ISNUMBER(Y249)),Y249-X249,"")</f>
        <v/>
      </c>
      <c r="AG249" s="62" t="str">
        <f aca="false">IF(ISNUMBER(AD249),AD249-(IF(AND(INDEX(TZ_DSTS,MATCH(P249,TZ_STN,0))&lt;&gt;"",(AD249-INDEX(TZ_STD,MATCH(P249,TZ_STN,0))/24)&gt;=INDEX(TZ_DSTS,MATCH(P249,TZ_STN,0)),(AD249-INDEX(TZ_STD,MATCH(P249,TZ_STN,0))/24)&lt;INDEX(TZ_DSTE,MATCH(P249,TZ_STN,0))),INDEX(TZ_DST,MATCH(P249,TZ_STN,0)),INDEX(TZ_STD,MATCH(P249,TZ_STN,0))))/24,"")</f>
        <v/>
      </c>
      <c r="AH249" s="65" t="str">
        <f aca="false">IFERROR(IF(N249="N/A – rule",IF(OR(TRIM(U249)="",TRIM(U249)="N/A",TRIM(U249)="Not started"),"N/A – RULE","INVALID – this check does not apply to this aircraft: clear the status (or correct the fleet on Flights)"),IF(TRIM(U249)="N/A",IF(AT249=0,"INVALID – N/A not permitted for this check",IF(AND(TRIM(AB249)&lt;&gt;"",TRIM(AB249)&lt;&gt;"Closed"),"INVALID – corrective action still open",IF(AND(NOT(OR(LEN(AZ249)&lt;15,ISNUMBER(MATCH(AZ249,L_Placeholder,0)))),BK249=0,CG249&gt;=8,NOT(OR(LEN(AU249)&lt;2,ISNUMBER(MATCH(AU249,L_Placeholder,0)))),BR249&gt;=3,NOT(OR(LEN(AX249)&lt;2,ISNUMBER(MATCH(AX249,L_Placeholder,0)))),BS249&gt;=3,TRIM(AE249)&lt;&gt;TRIM(T249),AX249&lt;&gt;AU249,CE249=0),"N/A – JUSTIFIED","INVALID – N/A needs a real, settled reason (not 'not applicable' / 'as above' / TBC), a named PIC and a different named verifier"))),IF(OR(TRIM(U249)="Pass",TRIM(U249)="Pass after CA"),IF(NOT(ISNUMBER(AD249)),"INVALID – completion time missing",IF(OR(OR(LEN(AU249)&lt;2,ISNUMBER(MATCH(AU249,L_Placeholder,0))),BR249&lt;3),"INVALID – PIC missing or not a named person (a role such as QA / CSM is not a name)",IF(OR(LEN(AV249)&lt;2,ISNUMBER(MATCH(AV249,L_Placeholder,0))),"INVALID – result / assessment missing",IF(OR(OR(LEN(AW249)&lt;3,ISNUMBER(MATCH(AW249,L_Placeholder,0))),SUMPRODUCT(--ISNUMBER(SEARCH(" "&amp;L_EvidencePhrase&amp;" ",BD249)))&gt;0,BI249=1),"INVALID – evidence missing, placeholder or not yet on file",IF(ISNA(MATCH(TRIM(S249),L_EvidenceType,0)),"INVALID – choose the evidence type from the list (column S)",IF(BL249=0,"INVALID – evidence ID must be the record's own ID only (e.g. SF-2210, IMG_2231, 1045521); a link / file name needs type 'Link / file path'",IF(OR(OR(LEN(AX249)&lt;2,ISNUMBER(MATCH(AX249,L_Placeholder,0))),BS249&lt;3),"INVALID – verifier missing or not a named person (a role such as QA / CSM is not a name)",IF(OR(AX249=AU249,CE249=1,AND(LEN(AU249)&gt;=4,ISNUMBER(SEARCH(AU249,AX249))),AND(LEN(AX249)&gt;=4,ISNUMBER(SEARCH(AX249,AU249)))),"INVALID – verifier must be a different, named person (not the PIC or a role)",IF(BH249=1,"INVALID – result not yet available (awaiting / TBC)",IF(BG249=1,"INVALID – result describes a problem: record Fail, then Pass after CA (or reword if it is not a problem)",IF(BV249=1,"INVALID – wording says not on board: an on-board confirmation needs the item loaded",IF(AND(AQ249=1,OR(OR(LEN(AY249)&lt;3,ISNUMBER(MATCH(AY249,L_Placeholder,0))),BJ249=1,BQ249=0)),"INVALID – batch ID missing, placeholder or not an ID (e.g. PASB-261008-BC-017)",IF(AND(AR249=1,OR(NOT(ISNUMBER(X249)),NOT(ISNUMBER(Y249)))),"INVALID – expected/actual qty missing",IF(AND(AR249=1,OR(X249&lt;=0,Y249&lt;0)),"INVALID – expected qty must be above 0 and actual not negative",IF(AH232="N/A – JUSTIFIED","INVALID – preparation row F07-T12-09 is N/A",IF(AND(AR249=1,ISNUMBER(X232),X249&lt;&gt;X232,TRIM(U249)&lt;&gt;"Pass after CA"),"INVALID – expected qty differs from preparation check F07-T12-09: record the load change as a corrective action (Pass after CA)",IF(BB249&lt;&gt;"",BB249,IF(AND(AS249=1,Documents!$J$11&lt;&gt;"ON FILE"),"INVALID – GLD not on file (Documents sheet)",IF(AND(AS249=2,Documents!$O$11&lt;&gt;"ON FILE"),"INVALID – menu checklist not on file (Documents sheet)",IF(AND(AS249=3,NOT(ISNUMBER(Flights!$AX$11))),"INVALID – enter carrying flight KUL departure (Flights AX)",IF(AND(AS249=3,OR(Flights!$AZ$11&gt;Flights!$AA$11,Flights!$AX$11&lt;Flights!$AA$11-3)),"INVALID – carrying flight (Flights AX) cannot arrive before this leg's STD, or is over 3 days early",IF(AG249&gt;AsOfUTC,"INVALID – completion time is in the future",IF(AND(ISNUMBER(BY249),AG249&lt;BY249),IF(H249="Physical uplift","INVALID – before uplift window (cannot confirm loading)","INVALID – before valid window"),IF(AG249&gt;Flights!$AA$11,"INVALID – completed after departure (cannot establish readiness)",IF(AND(H249="Preparation",AG249&gt;=IF(ISNUMBER(Flights!$BA$11),MIN(Flights!$BA$11,Flights!$AA$11),Flights!$AA$11)),"INVALID – completed after loading / departure (cannot establish readiness)",IF(AND(H249="Physical uplift",AG249&gt;Q249),"INVALID – recorded after the loading flight departed",IF(AG249&gt;Q249,"COMPLETE – LATE","COMPLETE"))))))))))))))))))))))))))),IF(TRIM(U249)="Fail","FAIL – DISCREPANCY",IF(AND(TRIM(U249)&lt;&gt;"",TRIM(U249)&lt;&gt;"Not started",TRIM(U249)&lt;&gt;"In progress"),"INVALID – unrecognised status (use the list)",IF(AsOfUTC&gt;Q249,"OVERDUE",IF(N249="Clarification required","OPEN – CLARIFICATION","OPEN"))))))),"INVALID – error value in an input cell")</f>
        <v>OPEN – CLARIFICATION</v>
      </c>
      <c r="AI249" s="61" t="n">
        <f aca="false">IF(OR(AH249="N/A – RULE",AH249="N/A – JUSTIFIED"),0,1)</f>
        <v>1</v>
      </c>
      <c r="AJ249" s="61" t="n">
        <f aca="false">IF(LEFT(AH249,8)="COMPLETE",1,0)</f>
        <v>0</v>
      </c>
      <c r="AK249" s="61" t="n">
        <f aca="false">IF(AND(AI249=1,AJ249=0,AsOfUTC&gt;Q249),1,0)</f>
        <v>0</v>
      </c>
      <c r="AL249" s="61" t="n">
        <f aca="false">IFERROR(IF(AND(AI249=1,OR(TRIM(U249)="Fail",AND(TRIM(AB249)&lt;&gt;"",TRIM(AB249)&lt;&gt;"Closed"),AND(ISNUMBER(AF249),AF249&lt;&gt;0,TRIM(U249)&lt;&gt;"Pass after CA"))),1,0),1)</f>
        <v>0</v>
      </c>
      <c r="AM249" s="61" t="n">
        <f aca="false">IF(LEFT(AH249,7)="INVALID",1,0)</f>
        <v>0</v>
      </c>
      <c r="AN249" s="61" t="n">
        <f aca="false">IF(AND(N249="Clarification required",AI249=1,AJ249=0),1,0)</f>
        <v>1</v>
      </c>
      <c r="AO249" s="61" t="str">
        <f aca="false">IF(AK249=1,SUM(AK$5:AK249),"")</f>
        <v/>
      </c>
      <c r="AP249" s="61" t="str">
        <f aca="false">IF(AL249=1,SUM(AL$5:AL249),"")</f>
        <v/>
      </c>
      <c r="AQ249" s="61" t="n">
        <v>0</v>
      </c>
      <c r="AR249" s="61" t="n">
        <v>0</v>
      </c>
      <c r="AS249" s="61" t="n">
        <v>0</v>
      </c>
      <c r="AT249" s="61" t="n">
        <v>1</v>
      </c>
      <c r="AU249" s="61" t="str">
        <f aca="false">SUBSTITUTE(SUBSTITUTE(SUBSTITUTE(SUBSTITUTE(SUBSTITUTE(SUBSTITUTE(SUBSTITUTE(SUBSTITUTE(SUBSTITUTE(SUBSTITUTE(SUBSTITUTE(SUBSTITUTE(SUBSTITUTE(SUBSTITUTE(SUBSTITUTE(SUBSTITUTE(LOWER(T249&amp;""),CHAR(10),""),CHAR(13),""),CHAR(9),""),CHAR(160),"")," ",""),".",""),"-",""),"/",""),"?",""),"_",""),",",""),"[",""),"]",""),"(",""),")",""),"*","")</f>
        <v/>
      </c>
      <c r="AV249" s="61" t="str">
        <f aca="false">SUBSTITUTE(SUBSTITUTE(SUBSTITUTE(SUBSTITUTE(SUBSTITUTE(SUBSTITUTE(SUBSTITUTE(SUBSTITUTE(SUBSTITUTE(SUBSTITUTE(SUBSTITUTE(SUBSTITUTE(SUBSTITUTE(SUBSTITUTE(SUBSTITUTE(SUBSTITUTE(LOWER(V249&amp;""),CHAR(10),""),CHAR(13),""),CHAR(9),""),CHAR(160),"")," ",""),".",""),"-",""),"/",""),"?",""),"_",""),",",""),"[",""),"]",""),"(",""),")",""),"*","")</f>
        <v/>
      </c>
      <c r="AW249" s="61" t="str">
        <f aca="false">SUBSTITUTE(SUBSTITUTE(SUBSTITUTE(SUBSTITUTE(SUBSTITUTE(SUBSTITUTE(SUBSTITUTE(SUBSTITUTE(SUBSTITUTE(SUBSTITUTE(SUBSTITUTE(SUBSTITUTE(SUBSTITUTE(SUBSTITUTE(SUBSTITUTE(SUBSTITUTE(LOWER(Z249&amp;""),CHAR(10),""),CHAR(13),""),CHAR(9),""),CHAR(160),"")," ",""),".",""),"-",""),"/",""),"?",""),"_",""),",",""),"[",""),"]",""),"(",""),")",""),"*","")</f>
        <v/>
      </c>
      <c r="AX249" s="61" t="str">
        <f aca="false">SUBSTITUTE(SUBSTITUTE(SUBSTITUTE(SUBSTITUTE(SUBSTITUTE(SUBSTITUTE(SUBSTITUTE(SUBSTITUTE(SUBSTITUTE(SUBSTITUTE(SUBSTITUTE(SUBSTITUTE(SUBSTITUTE(SUBSTITUTE(SUBSTITUTE(SUBSTITUTE(LOWER(AE249&amp;""),CHAR(10),""),CHAR(13),""),CHAR(9),""),CHAR(160),"")," ",""),".",""),"-",""),"/",""),"?",""),"_",""),",",""),"[",""),"]",""),"(",""),")",""),"*","")</f>
        <v/>
      </c>
      <c r="AY249" s="61" t="str">
        <f aca="false">SUBSTITUTE(SUBSTITUTE(SUBSTITUTE(SUBSTITUTE(SUBSTITUTE(SUBSTITUTE(SUBSTITUTE(SUBSTITUTE(SUBSTITUTE(SUBSTITUTE(SUBSTITUTE(SUBSTITUTE(SUBSTITUTE(SUBSTITUTE(SUBSTITUTE(SUBSTITUTE(LOWER(W249&amp;""),CHAR(10),""),CHAR(13),""),CHAR(9),""),CHAR(160),"")," ",""),".",""),"-",""),"/",""),"?",""),"_",""),",",""),"[",""),"]",""),"(",""),")",""),"*","")</f>
        <v/>
      </c>
      <c r="AZ249" s="61" t="str">
        <f aca="false">SUBSTITUTE(SUBSTITUTE(SUBSTITUTE(SUBSTITUTE(SUBSTITUTE(SUBSTITUTE(SUBSTITUTE(SUBSTITUTE(SUBSTITUTE(SUBSTITUTE(SUBSTITUTE(SUBSTITUTE(SUBSTITUTE(SUBSTITUTE(SUBSTITUTE(SUBSTITUTE(LOWER(AC249&amp;""),CHAR(10),""),CHAR(13),""),CHAR(9),""),CHAR(160),"")," ",""),".",""),"-",""),"/",""),"?",""),"_",""),",",""),"[",""),"]",""),"(",""),")",""),"*","")</f>
        <v/>
      </c>
      <c r="BA249" s="61" t="str">
        <f aca="false">SUBSTITUTE(SUBSTITUTE(SUBSTITUTE(SUBSTITUTE(SUBSTITUTE(SUBSTITUTE(SUBSTITUTE(SUBSTITUTE(SUBSTITUTE(SUBSTITUTE(SUBSTITUTE(SUBSTITUTE(SUBSTITUTE(SUBSTITUTE(SUBSTITUTE(SUBSTITUTE(LOWER(AA249&amp;""),CHAR(10),""),CHAR(13),""),CHAR(9),""),CHAR(160),"")," ",""),".",""),"-",""),"/",""),"?",""),"_",""),",",""),"[",""),"]",""),"(",""),")",""),"*","")</f>
        <v/>
      </c>
      <c r="BB249" s="61" t="str">
        <f aca="false">IF(AND(TRIM(U249)="Pass",ISNUMBER(AF249)),IF(AF249&lt;&gt;0,"INVALID – qty variance: use Fail or Pass after CA",""),"")&amp;IF(AND(TRIM(U249)="Pass after CA",ISNUMBER(AF249)),IF(AF249&lt;&gt;0,"INVALID – after the corrective action the actual qty must equal expected (update Actual)",""),"")&amp;IF(AND(TRIM(U249)="Pass",TRIM(AB249)&lt;&gt;"",TRIM(AB249)&lt;&gt;"Closed"),"INVALID – corrective action not closed: use Fail, then Pass after CA","")&amp;IF(AND(LEN(BA249)&gt;=2,ISNA(MATCH(LEFT(BA249,255),L_Placeholder,0)),TRIM(AB249)=""),"INVALID – CA status missing for the recorded corrective action","")&amp;IF(AND(TRIM(U249)="Pass after CA",OR(OR(LEN(BA249)&lt;5,ISNUMBER(MATCH(BA249,L_Placeholder,0))),TRIM(AB249)&lt;&gt;"Closed")),"INVALID – corrective action not recorded/closed","")</f>
        <v/>
      </c>
      <c r="BC249" s="61" t="str">
        <f aca="false">" "&amp;TRIM(SUBSTITUTE(SUBSTITUTE(SUBSTITUTE(SUBSTITUTE(SUBSTITUTE(SUBSTITUTE(SUBSTITUTE(SUBSTITUTE(SUBSTITUTE(SUBSTITUTE(SUBSTITUTE(SUBSTITUTE(SUBSTITUTE(SUBSTITUTE(SUBSTITUTE(SUBSTITUTE(SUBSTITUTE(SUBSTITUTE(SUBSTITUTE(SUBSTITUTE(SUBSTITUTE(SUBSTITUTE(SUBSTITUTE(SUBSTITUTE(LOWER(V249&amp;""),CHAR(10)," "),CHAR(13)," "),CHAR(9)," "),CHAR(160)," "),"."," "),","," "),"-"," "),"/"," "),"("," "),")"," "),":"," "),";"," "),"_"," "),"–"," "),"?"," "),"!"," "),"*"," "),"["," "),"]"," "),"'"," "),"#"," "),"+"," "),"&amp;"," "),"\"," "))&amp;" "</f>
        <v>  </v>
      </c>
      <c r="BD249" s="61" t="str">
        <f aca="false">" "&amp;TRIM(SUBSTITUTE(SUBSTITUTE(SUBSTITUTE(SUBSTITUTE(SUBSTITUTE(SUBSTITUTE(SUBSTITUTE(SUBSTITUTE(SUBSTITUTE(SUBSTITUTE(SUBSTITUTE(SUBSTITUTE(SUBSTITUTE(SUBSTITUTE(SUBSTITUTE(SUBSTITUTE(SUBSTITUTE(SUBSTITUTE(SUBSTITUTE(SUBSTITUTE(SUBSTITUTE(SUBSTITUTE(SUBSTITUTE(SUBSTITUTE(LOWER(Z249&amp;""),CHAR(10)," "),CHAR(13)," "),CHAR(9)," "),CHAR(160)," "),"."," "),","," "),"-"," "),"/"," "),"("," "),")"," "),":"," "),";"," "),"_"," "),"–"," "),"?"," "),"!"," "),"*"," "),"["," "),"]"," "),"'"," "),"#"," "),"+"," "),"&amp;"," "),"\"," "))&amp;" "</f>
        <v>  </v>
      </c>
      <c r="BE249" s="61" t="str">
        <f aca="false">" "&amp;TRIM(SUBSTITUTE(SUBSTITUTE(SUBSTITUTE(SUBSTITUTE(SUBSTITUTE(SUBSTITUTE(SUBSTITUTE(SUBSTITUTE(SUBSTITUTE(SUBSTITUTE(SUBSTITUTE(SUBSTITUTE(SUBSTITUTE(SUBSTITUTE(SUBSTITUTE(SUBSTITUTE(SUBSTITUTE(SUBSTITUTE(SUBSTITUTE(SUBSTITUTE(SUBSTITUTE(SUBSTITUTE(SUBSTITUTE(SUBSTITUTE(LOWER(W249&amp;""),CHAR(10)," "),CHAR(13)," "),CHAR(9)," "),CHAR(160)," "),"."," "),","," "),"-"," "),"/"," "),"("," "),")"," "),":"," "),";"," "),"_"," "),"–"," "),"?"," "),"!"," "),"*"," "),"["," "),"]"," "),"'"," "),"#"," "),"+"," "),"&amp;"," "),"\"," "))&amp;" "</f>
        <v>  </v>
      </c>
      <c r="BF249" s="61" t="str">
        <f aca="false">" "&amp;TRIM(SUBSTITUTE(SUBSTITUTE(SUBSTITUTE(SUBSTITUTE(SUBSTITUTE(SUBSTITUTE(SUBSTITUTE(SUBSTITUTE(SUBSTITUTE(SUBSTITUTE(SUBSTITUTE(SUBSTITUTE(SUBSTITUTE(SUBSTITUTE(SUBSTITUTE(SUBSTITUTE(SUBSTITUTE(SUBSTITUTE(SUBSTITUTE(SUBSTITUTE(SUBSTITUTE(SUBSTITUTE(SUBSTITUTE(SUBSTITUTE(LOWER(AC249&amp;""),CHAR(10)," "),CHAR(13)," "),CHAR(9)," "),CHAR(160)," "),"."," "),","," "),"-"," "),"/"," "),"("," "),")"," "),":"," "),";"," "),"_"," "),"–"," "),"?"," "),"!"," "),"*"," "),"["," "),"]"," "),"'"," "),"#"," "),"+"," "),"&amp;"," "),"\"," "))&amp;" "</f>
        <v>  </v>
      </c>
      <c r="BG249" s="61" t="n">
        <f aca="false">IFERROR(IF(AND(TRIM(U249)="Pass",SUMPRODUCT((LEN(BC249)-LEN(SUBSTITUTE(BC249," "&amp;L_ResultBad&amp;" "," ")))/(LEN(L_ResultBad)+1))&gt;SUMPRODUCT((LEN(BC249)-LEN(SUBSTITUTE(BC249," "&amp;L_NegPhrase&amp;" "," ")))/(LEN(L_NegPhrase)+1))),1,0),0)</f>
        <v>0</v>
      </c>
      <c r="BH249" s="61" t="n">
        <f aca="false">IFERROR(IF(SUMPRODUCT((LEN(BC249)-LEN(SUBSTITUTE(BC249," "&amp;L_Pending&amp;" "," ")))/(LEN(L_Pending)+1))&gt;SUMPRODUCT((LEN(BC249)-LEN(SUBSTITUTE(BC249," "&amp;L_PendNeg&amp;" "," ")))/(LEN(L_PendNeg)+1)),1,0),1)</f>
        <v>0</v>
      </c>
      <c r="BI249" s="61" t="n">
        <f aca="false">IFERROR(IF(SUMPRODUCT((LEN(BD249)-LEN(SUBSTITUTE(BD249," "&amp;L_PendStrict&amp;" "," ")))/(LEN(L_PendStrict)+1))&gt;SUMPRODUCT((LEN(BD249)-LEN(SUBSTITUTE(BD249," "&amp;L_PendNeg&amp;" "," ")))/(LEN(L_PendNeg)+1)),1,0),1)</f>
        <v>0</v>
      </c>
      <c r="BJ249" s="61" t="n">
        <f aca="false">IFERROR(IF(SUMPRODUCT((LEN(BE249)-LEN(SUBSTITUTE(BE249," "&amp;L_Pending&amp;" "," ")))/(LEN(L_Pending)+1))&gt;SUMPRODUCT((LEN(BE249)-LEN(SUBSTITUTE(BE249," "&amp;L_PendNeg&amp;" "," ")))/(LEN(L_PendNeg)+1)),1,0),1)</f>
        <v>0</v>
      </c>
      <c r="BK249" s="61" t="n">
        <f aca="false">IFERROR(IF(SUMPRODUCT((LEN(BF249)-LEN(SUBSTITUTE(BF249," "&amp;L_PendStrict&amp;" "," ")))/(LEN(L_PendStrict)+1))&gt;SUMPRODUCT((LEN(BF249)-LEN(SUBSTITUTE(BF249," "&amp;L_PendNeg&amp;" "," ")))/(LEN(L_PendNeg)+1)),1,0),1)</f>
        <v>0</v>
      </c>
      <c r="BL249" s="61" t="n">
        <f aca="false">IF(ISNA(MATCH(TRIM(S249),L_EvidenceType,0)),0,BZ249)</f>
        <v>0</v>
      </c>
      <c r="BM249" s="61" t="str">
        <f aca="false">SUBSTITUTE(SUBSTITUTE(SUBSTITUTE(SUBSTITUTE(SUBSTITUTE(SUBSTITUTE(SUBSTITUTE(SUBSTITUTE(SUBSTITUTE(LOWER(Z249&amp;""),"1","0"),"2","0"),"3","0"),"4","0"),"5","0"),"6","0"),"7","0"),"8","0"),"9","0")</f>
        <v/>
      </c>
      <c r="BN249" s="61" t="str">
        <f aca="false">SUBSTITUTE(SUBSTITUTE(SUBSTITUTE(SUBSTITUTE(SUBSTITUTE(SUBSTITUTE(SUBSTITUTE(SUBSTITUTE(SUBSTITUTE(SUBSTITUTE(SUBSTITUTE(SUBSTITUTE(SUBSTITUTE(SUBSTITUTE(SUBSTITUTE(SUBSTITUTE(SUBSTITUTE(SUBSTITUTE(SUBSTITUTE(SUBSTITUTE(SUBSTITUTE(SUBSTITUTE(SUBSTITUTE(SUBSTITUTE(SUBSTITUTE(BM249,"b","a"),"c","a"),"d","a"),"e","a"),"f","a"),"g","a"),"h","a"),"i","a"),"j","a"),"k","a"),"l","a"),"m","a"),"n","a"),"o","a"),"p","a"),"q","a"),"r","a"),"s","a"),"t","a"),"u","a"),"v","a"),"w","a"),"x","a"),"y","a"),"z","a")</f>
        <v/>
      </c>
      <c r="BO249" s="61" t="str">
        <f aca="false">SUBSTITUTE(SUBSTITUTE(SUBSTITUTE(SUBSTITUTE(SUBSTITUTE(SUBSTITUTE(SUBSTITUTE(SUBSTITUTE(SUBSTITUTE(LOWER(W249&amp;""),"1","0"),"2","0"),"3","0"),"4","0"),"5","0"),"6","0"),"7","0"),"8","0"),"9","0")</f>
        <v/>
      </c>
      <c r="BP249" s="61" t="str">
        <f aca="false">SUBSTITUTE(SUBSTITUTE(SUBSTITUTE(SUBSTITUTE(SUBSTITUTE(SUBSTITUTE(SUBSTITUTE(SUBSTITUTE(SUBSTITUTE(SUBSTITUTE(SUBSTITUTE(SUBSTITUTE(SUBSTITUTE(SUBSTITUTE(SUBSTITUTE(SUBSTITUTE(SUBSTITUTE(SUBSTITUTE(SUBSTITUTE(SUBSTITUTE(SUBSTITUTE(SUBSTITUTE(SUBSTITUTE(SUBSTITUTE(SUBSTITUTE(BO249,"b","a"),"c","a"),"d","a"),"e","a"),"f","a"),"g","a"),"h","a"),"i","a"),"j","a"),"k","a"),"l","a"),"m","a"),"n","a"),"o","a"),"p","a"),"q","a"),"r","a"),"s","a"),"t","a"),"u","a"),"v","a"),"w","a"),"x","a"),"y","a"),"z","a")</f>
        <v/>
      </c>
      <c r="BQ249" s="61" t="n">
        <f aca="false">IFERROR(IF(AND(ISERROR(SEARCH(" mh"," "&amp;LOWER(W249))),ISNA(MATCH(LEFT(TRIM(BP249),255),{"0000a","000a","00a","0000aa","000aa","00aa","0aa","0000aaa","000aaa","00a00","0a00","0000-0000","00:00","a00","a0","00.00.0000","00/00/0000","00-00-0000","0000-00-00","0000/00/00","0000.00.00","00.00.00","00/00/00","00-00-00","0.00.0000","0/00/0000","0-00-0000"},0)),ISNA(MATCH(LEFT(TRIM(CA249),255),{"0000a","000a","00a","0000aa","000aa","00aa","0aa","0000aaa","000aaa","00a00","0a00","0000-0000","00:00","a00","a0","00.00.0000","00/00/0000","00-00-0000","0000-00-00","0000/00/00","0000.00.00","00.00.00","00/00/00","00-00-00","0.00.0000","0/00/0000","0-00-0000"},0)),LEN(CB249)&gt;=3,NOT(OR(SUBSTITUTE(CB249,"0","")="",AND(LEN(CB249)&gt;=4,CB249=REPT(LEFT(CB249),LEN(CB249))),ISNUMBER(MATCH(CB249,{"123","1234","12345","123456","1234567","12345678","0123","01234","012345","98765","987654","54321"},0)),AND(LEN(CB249)=8,LEFT(CB249,3)="202"))),OR(AND((LEN(CA249)-LEN(SUBSTITUTE(CA249,"a","")))&gt;=1,SUMPRODUCT(--ISNUMBER(SEARCH({"a0","a-0","a_0","a/0","a.0","a#0","0a","0-a","0_a","0/a"},BP249)))&gt;0),ISNUMBER(SEARCH("000000",BP249)))),1,0),0)</f>
        <v>0</v>
      </c>
      <c r="BR249" s="61" t="n">
        <f aca="false">IFERROR(LEN(SUBSTITUTE(CC249," ",""))-SUMPRODUCT((LEN(CC249)-LEN(SUBSTITUTE(CC249," "&amp;L_Role&amp;" "," ")))/(LEN(L_Role)+1)*LEN(L_Role)),0)</f>
        <v>0</v>
      </c>
      <c r="BS249" s="61" t="n">
        <f aca="false">IFERROR(LEN(SUBSTITUTE(CD249," ",""))-SUMPRODUCT((LEN(CD249)-LEN(SUBSTITUTE(CD249," "&amp;L_Role&amp;" "," ")))/(LEN(L_Role)+1)*LEN(L_Role)),0)</f>
        <v>0</v>
      </c>
      <c r="BT2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249,"revision",""),"version",""),"jan",""),"feb",""),"mar",""),"apr",""),"may",""),"jun",""),"jul",""),"aug",""),"sep",""),"oct",""),"nov",""),"dec",""),"utc",""),"gmt",""),"myt",""),"bst",""),"rev",""),"ver",""),"b","a"),"c","a"),"d","a"),"e","a"),"f","a"),"g","a"),"h","a"),"i","a"),"j","a"),"k","a"),"l","a"),"m","a"),"n","a"),"o","a"),"p","a"),"q","a"),"r","a"),"s","a"),"t","a"),"u","a"),"v","a"),"w","a"),"x","a"),"y","a"),"z","a")</f>
        <v/>
      </c>
      <c r="BU249" s="61" t="str">
        <f aca="false">SUBSTITUTE(SUBSTITUTE(SUBSTITUTE(SUBSTITUTE(SUBSTITUTE(SUBSTITUTE(SUBSTITUTE(SUBSTITUTE(SUBSTITUTE(SUBSTITUTE(LEFT(BM249,FIND("0",BM249&amp;"0")-1),"-",""),"_",""),"/",""),".",""),"#",""),"\\",""),":","")," ",""),"(",""),")","")</f>
        <v/>
      </c>
      <c r="BV249" s="61" t="n">
        <f aca="false">IFERROR(IF(OR(SUMPRODUCT((LEN(BC249)-LEN(SUBSTITUTE(BC249," "&amp;L_NotLoaded&amp;" "," ")))/(LEN(L_NotLoaded)+1))&gt;SUMPRODUCT((LEN(BC249)-LEN(SUBSTITUTE(BC249," "&amp;L_NotLoadedNeg&amp;" "," ")))/(LEN(L_NotLoadedNeg)+1)),SUMPRODUCT((LEN(BD249)-LEN(SUBSTITUTE(BD249," "&amp;L_NotLoaded&amp;" "," ")))/(LEN(L_NotLoaded)+1))&gt;SUMPRODUCT((LEN(BD249)-LEN(SUBSTITUTE(BD249," "&amp;L_NotLoadedNeg&amp;" "," ")))/(LEN(L_NotLoadedNeg)+1))),1,0),0)</f>
        <v>0</v>
      </c>
      <c r="BW2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249&amp;""),"a",""),"b",""),"c",""),"d",""),"e",""),"f",""),"g",""),"h",""),"i",""),"j",""),"k",""),"l",""),"m",""),"n",""),"o",""),"p",""),"q",""),"r",""),"s",""),"t",""),"u",""),"v",""),"w",""),"x",""),"y",""),"z",""),"-",""),"_",""),"/",""),".",""),"#",""),"\\",""),":","")," ",""),"(",""),")","")</f>
        <v/>
      </c>
      <c r="BX249" s="61" t="str">
        <f aca="false">SUBSTITUTE(SUBSTITUTE(SUBSTITUTE(SUBSTITUTE(SUBSTITUTE(SUBSTITUTE(SUBSTITUTE(SUBSTITUTE(SUBSTITUTE(SUBSTITUTE(SUBSTITUTE(BM249,"0",""),"-",""),"_",""),"/",""),".",""),"#",""),"\\",""),":","")," ",""),"(",""),")","")</f>
        <v/>
      </c>
      <c r="BY249" s="62" t="n">
        <f aca="false">IF(ISNUMBER(Flights!$AZ$11),MAX(Q249-UpliftWindowH/24,Flights!$AZ$11),Q249-UpliftWindowH/24)</f>
        <v>46304.4166666667</v>
      </c>
      <c r="BZ249" s="61" t="n">
        <f aca="false">IFERROR(IF(IF(TRIM(S249)="Link / file path",AND(LEN(TRIM(Z249))&gt;=5,SUMPRODUCT(--ISNUMBER(SEARCH({"http","www.","\\",":\",".pdf",".jpg",".jpeg",".png",".heic",".xls",".doc",".msg",".eml",".ppt",".txt",".zip"},Z249)))&gt;0),AND(ISERROR(FIND(" ",TRIM(Z249))),NOT(OR(SUMPRODUCT(--ISNUMBER(FIND({",",";","&amp;","+"},Z249)))&gt;0,SUMPRODUCT(--ISNUMBER(SEARCH({"0/aa","0\\aa"},BN249)))&gt;0)),NOT(SUMPRODUCT(--ISNUMBER(SEARCH({"http","www.","\\",":\",".pdf",".jpg",".jpeg",".png",".heic",".xls",".doc",".msg",".eml",".ppt",".txt",".zip"},Z249)))&gt;0),NOT(LOWER(TRIM(Z249))=LOWER(Flights!$F$11)),ISNA(MATCH(BU249,{"mh","rev","revision","ver","version","v","r","a","b","seat","tray","row","gate","bay","stand","page","pg","item","line","no","cart","galley","flight","flt","table","box","bag","oven","etd","eta","std","sta","atd","ata","qty","pax","x","time","tel","ph","mob","day","wk","week","utc","gmt","myt","lt"},0)),NOT(OR(ISNUMBER(MATCH(LEFT(BN249,255),{"0000a","000a","00a","0000aa","000aa","00aa","0aa","0000aaa","000aaa","00a00","0a00","0000-0000","00:00","a00","a0","00.00.0000","00/00/0000","00-00-0000","0000-00-00","0000/00/00","0000.00.00","00.00.00","00/00/00","00-00-00","0.00.0000","0/00/0000","0-00-0000"},0)),ISNUMBER(MATCH(LEFT(BT249,255),{"0000a","000a","00a","0000aa","000aa","00aa","0aa","0000aaa","000aaa","00a00","0a00","0000-0000","00:00","a00","a0","00.00.0000","00/00/0000","00-00-0000","0000-00-00","0000/00/00","0000.00.00","00.00.00","00/00/00","00-00-00","0.00.0000","0/00/0000","0-00-0000"},0)))),NOT(OR(AND(BW249&lt;&gt;"",SUBSTITUTE(BW249,"0","")=""),AND(LEN(BW249)&gt;=4,BW249=REPT(LEFT(BW249),LEN(BW249))),ISNUMBER(MATCH(BW249,{"123","1234","12345","123456","1234567","12345678","0123","01234","012345","98765","987654","54321"},0)),ISNUMBER(MATCH(BX249,{"x","xx","xxx","xxxx","xxxxx","abc","abcd","nil","na","nan","test","tbc","tba","tbd","dummy","sample","example","eg","zz","zzz","none","null","xyz","qwe","asd","id","ref"},0)),AND(LEN(BW249)=8,BX249="",OR(LEFT(BW249,3)="202",ISNUMBER(MATCH(RIGHT(BW249,4),{"2025","2026","2027"},0)))))),OR(AND((LEN(BT249)-LEN(SUBSTITUTE(BT249,"a","")))&gt;=1,(LEN(BN249)-LEN(SUBSTITUTE(BN249,"0","")))&gt;=2,SUMPRODUCT(--ISNUMBER(SEARCH({"a0","a-0","a_0","a/0","a.0","a#0","0a","0-a","0_a","0/a"},BN249)))&gt;0),AND((LEN(BN249)-LEN(SUBSTITUTE(BN249,"a","")))=0,(LEN(BN249)-LEN(SUBSTITUTE(BN249,"0","")))&gt;=5)))),1,0),0)</f>
        <v>0</v>
      </c>
      <c r="CA2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249,"revision",""),"version",""),"jan",""),"feb",""),"mar",""),"apr",""),"may",""),"jun",""),"jul",""),"aug",""),"sep",""),"oct",""),"nov",""),"dec",""),"utc",""),"gmt",""),"myt",""),"bst",""),"rev",""),"ver",""),"b","a"),"c","a"),"d","a"),"e","a"),"f","a"),"g","a"),"h","a"),"i","a"),"j","a"),"k","a"),"l","a"),"m","a"),"n","a"),"o","a"),"p","a"),"q","a"),"r","a"),"s","a"),"t","a"),"u","a"),"v","a"),"w","a"),"x","a"),"y","a"),"z","a")</f>
        <v/>
      </c>
      <c r="CB2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249&amp;""),"a",""),"b",""),"c",""),"d",""),"e",""),"f",""),"g",""),"h",""),"i",""),"j",""),"k",""),"l",""),"m",""),"n",""),"o",""),"p",""),"q",""),"r",""),"s",""),"t",""),"u",""),"v",""),"w",""),"x",""),"y",""),"z",""),"-",""),"_",""),"/",""),".",""),"#",""),"\\",""),":","")," ",""),"(",""),")","")</f>
        <v/>
      </c>
      <c r="CC249" s="0" t="str">
        <f aca="false">" "&amp;TRIM(SUBSTITUTE(SUBSTITUTE(SUBSTITUTE(SUBSTITUTE(SUBSTITUTE(SUBSTITUTE(SUBSTITUTE(SUBSTITUTE(SUBSTITUTE(SUBSTITUTE(SUBSTITUTE(SUBSTITUTE(SUBSTITUTE(SUBSTITUTE(SUBSTITUTE(SUBSTITUTE(SUBSTITUTE(SUBSTITUTE(SUBSTITUTE(SUBSTITUTE(SUBSTITUTE(SUBSTITUTE(SUBSTITUTE(SUBSTITUTE(LOWER(T249&amp;""),CHAR(10)," "),CHAR(13)," "),CHAR(9)," "),CHAR(160)," "),"."," "),","," "),"-"," "),"/"," "),"("," "),")"," "),":"," "),";"," "),"_"," "),"–"," "),"?"," "),"!"," "),"*"," "),"["," "),"]"," "),"'"," "),"#"," "),"+"," "),"&amp;"," "),"\"," "))&amp;" "</f>
        <v>  </v>
      </c>
      <c r="CD249" s="0" t="str">
        <f aca="false">" "&amp;TRIM(SUBSTITUTE(SUBSTITUTE(SUBSTITUTE(SUBSTITUTE(SUBSTITUTE(SUBSTITUTE(SUBSTITUTE(SUBSTITUTE(SUBSTITUTE(SUBSTITUTE(SUBSTITUTE(SUBSTITUTE(SUBSTITUTE(SUBSTITUTE(SUBSTITUTE(SUBSTITUTE(SUBSTITUTE(SUBSTITUTE(SUBSTITUTE(SUBSTITUTE(SUBSTITUTE(SUBSTITUTE(SUBSTITUTE(SUBSTITUTE(LOWER(AE249&amp;""),CHAR(10)," "),CHAR(13)," "),CHAR(9)," "),CHAR(160)," "),"."," "),","," "),"-"," "),"/"," "),"("," "),")"," "),":"," "),";"," "),"_"," "),"–"," "),"?"," "),"!"," "),"*"," "),"["," "),"]"," "),"'"," "),"#"," "),"+"," "),"&amp;"," "),"\"," "))&amp;" "</f>
        <v>  </v>
      </c>
      <c r="CE249" s="68" t="n">
        <f aca="false">IFERROR(IF(AND(LEN(AU249)&gt;0,LEN(AU249)=LEN(AX249),OR(TRIM(MID(SUBSTITUTE(TRIM(CC249)," ",REPT(" ",60)),1,60))="",ISNUMBER(SEARCH(" "&amp;TRIM(MID(SUBSTITUTE(TRIM(CC249)," ",REPT(" ",60)),1,60))&amp;" ",CD249))),OR(TRIM(MID(SUBSTITUTE(TRIM(CC249)," ",REPT(" ",60)),61,60))="",ISNUMBER(SEARCH(" "&amp;TRIM(MID(SUBSTITUTE(TRIM(CC249)," ",REPT(" ",60)),61,60))&amp;" ",CD249))),OR(TRIM(MID(SUBSTITUTE(TRIM(CC249)," ",REPT(" ",60)),121,60))="",ISNUMBER(SEARCH(" "&amp;TRIM(MID(SUBSTITUTE(TRIM(CC249)," ",REPT(" ",60)),121,60))&amp;" ",CD249)))),1,0),0)</f>
        <v>0</v>
      </c>
      <c r="CG249" s="68" t="n">
        <f aca="false">IFERROR(LEN(SUBSTITUTE(BF249," ",""))-SUMPRODUCT((LEN(BF249)-LEN(SUBSTITUTE(BF249," "&amp;L_NAFiller&amp;" "," ")))/(LEN(L_NAFiller)+1)*LEN(L_NAFiller)),0)</f>
        <v>0</v>
      </c>
    </row>
    <row r="250" customFormat="false" ht="39.75" hidden="false" customHeight="true" outlineLevel="0" collapsed="false">
      <c r="A250" s="57" t="s">
        <v>821</v>
      </c>
      <c r="B250" s="57" t="s">
        <v>235</v>
      </c>
      <c r="C250" s="57" t="str">
        <f aca="false">Flights!$F$11</f>
        <v>MH0003</v>
      </c>
      <c r="D250" s="58" t="n">
        <f aca="false">Flights!$D$11</f>
        <v>46304</v>
      </c>
      <c r="E250" s="57" t="str">
        <f aca="false">Flights!$G$11&amp;"-"&amp;Flights!$H$11</f>
        <v>LHR-KUL</v>
      </c>
      <c r="F250" s="57" t="str">
        <f aca="false">Flights!$K$11</f>
        <v>BC</v>
      </c>
      <c r="G250" s="57" t="s">
        <v>459</v>
      </c>
      <c r="H250" s="57" t="s">
        <v>460</v>
      </c>
      <c r="I250" s="57" t="s">
        <v>440</v>
      </c>
      <c r="J250" s="57" t="s">
        <v>643</v>
      </c>
      <c r="K250" s="67" t="s">
        <v>501</v>
      </c>
      <c r="L250" s="67" t="s">
        <v>734</v>
      </c>
      <c r="M250" s="67" t="s">
        <v>187</v>
      </c>
      <c r="N250" s="67" t="s">
        <v>383</v>
      </c>
      <c r="O250" s="67"/>
      <c r="P250" s="57" t="s">
        <v>186</v>
      </c>
      <c r="Q250" s="59" t="n">
        <f aca="false">ROUND((Flights!$AF$11)*1440,0)/1440</f>
        <v>46304.4166666667</v>
      </c>
      <c r="R250" s="59" t="n">
        <f aca="false">Q250+(IF(AND(INDEX(TZ_DSTS,MATCH(P250,TZ_STN,0))&lt;&gt;"",Q250&gt;=INDEX(TZ_DSTS,MATCH(P250,TZ_STN,0)),Q250&lt;INDEX(TZ_DSTE,MATCH(P250,TZ_STN,0))),INDEX(TZ_DST,MATCH(P250,TZ_STN,0)),INDEX(TZ_STD,MATCH(P250,TZ_STN,0))))/24</f>
        <v>46304.4583333333</v>
      </c>
      <c r="S250" s="60"/>
      <c r="T250" s="60"/>
      <c r="U250" s="60"/>
      <c r="V250" s="60"/>
      <c r="W250" s="61"/>
      <c r="X250" s="60"/>
      <c r="Y250" s="60"/>
      <c r="Z250" s="60"/>
      <c r="AA250" s="60"/>
      <c r="AB250" s="60"/>
      <c r="AC250" s="60"/>
      <c r="AD250" s="66"/>
      <c r="AE250" s="60"/>
      <c r="AF250" s="61" t="str">
        <f aca="false">IF(AND(ISNUMBER(X250),ISNUMBER(Y250)),Y250-X250,"")</f>
        <v/>
      </c>
      <c r="AG250" s="62" t="str">
        <f aca="false">IF(ISNUMBER(AD250),AD250-(IF(AND(INDEX(TZ_DSTS,MATCH(P250,TZ_STN,0))&lt;&gt;"",(AD250-INDEX(TZ_STD,MATCH(P250,TZ_STN,0))/24)&gt;=INDEX(TZ_DSTS,MATCH(P250,TZ_STN,0)),(AD250-INDEX(TZ_STD,MATCH(P250,TZ_STN,0))/24)&lt;INDEX(TZ_DSTE,MATCH(P250,TZ_STN,0))),INDEX(TZ_DST,MATCH(P250,TZ_STN,0)),INDEX(TZ_STD,MATCH(P250,TZ_STN,0))))/24,"")</f>
        <v/>
      </c>
      <c r="AH250" s="65" t="str">
        <f aca="false">IFERROR(IF(N250="N/A – rule",IF(OR(TRIM(U250)="",TRIM(U250)="N/A",TRIM(U250)="Not started"),"N/A – RULE","INVALID – this check does not apply to this aircraft: clear the status (or correct the fleet on Flights)"),IF(TRIM(U250)="N/A",IF(AT250=0,"INVALID – N/A not permitted for this check",IF(AND(TRIM(AB250)&lt;&gt;"",TRIM(AB250)&lt;&gt;"Closed"),"INVALID – corrective action still open",IF(AND(NOT(OR(LEN(AZ250)&lt;15,ISNUMBER(MATCH(AZ250,L_Placeholder,0)))),BK250=0,CG250&gt;=8,NOT(OR(LEN(AU250)&lt;2,ISNUMBER(MATCH(AU250,L_Placeholder,0)))),BR250&gt;=3,NOT(OR(LEN(AX250)&lt;2,ISNUMBER(MATCH(AX250,L_Placeholder,0)))),BS250&gt;=3,TRIM(AE250)&lt;&gt;TRIM(T250),AX250&lt;&gt;AU250,CE250=0),"N/A – JUSTIFIED","INVALID – N/A needs a real, settled reason (not 'not applicable' / 'as above' / TBC), a named PIC and a different named verifier"))),IF(OR(TRIM(U250)="Pass",TRIM(U250)="Pass after CA"),IF(NOT(ISNUMBER(AD250)),"INVALID – completion time missing",IF(OR(OR(LEN(AU250)&lt;2,ISNUMBER(MATCH(AU250,L_Placeholder,0))),BR250&lt;3),"INVALID – PIC missing or not a named person (a role such as QA / CSM is not a name)",IF(OR(LEN(AV250)&lt;2,ISNUMBER(MATCH(AV250,L_Placeholder,0))),"INVALID – result / assessment missing",IF(OR(OR(LEN(AW250)&lt;3,ISNUMBER(MATCH(AW250,L_Placeholder,0))),SUMPRODUCT(--ISNUMBER(SEARCH(" "&amp;L_EvidencePhrase&amp;" ",BD250)))&gt;0,BI250=1),"INVALID – evidence missing, placeholder or not yet on file",IF(ISNA(MATCH(TRIM(S250),L_EvidenceType,0)),"INVALID – choose the evidence type from the list (column S)",IF(BL250=0,"INVALID – evidence ID must be the record's own ID only (e.g. SF-2210, IMG_2231, 1045521); a link / file name needs type 'Link / file path'",IF(OR(OR(LEN(AX250)&lt;2,ISNUMBER(MATCH(AX250,L_Placeholder,0))),BS250&lt;3),"INVALID – verifier missing or not a named person (a role such as QA / CSM is not a name)",IF(OR(AX250=AU250,CE250=1,AND(LEN(AU250)&gt;=4,ISNUMBER(SEARCH(AU250,AX250))),AND(LEN(AX250)&gt;=4,ISNUMBER(SEARCH(AX250,AU250)))),"INVALID – verifier must be a different, named person (not the PIC or a role)",IF(BH250=1,"INVALID – result not yet available (awaiting / TBC)",IF(BG250=1,"INVALID – result describes a problem: record Fail, then Pass after CA (or reword if it is not a problem)",IF(BV250=1,"INVALID – wording says not on board: an on-board confirmation needs the item loaded",IF(AND(AQ250=1,OR(OR(LEN(AY250)&lt;3,ISNUMBER(MATCH(AY250,L_Placeholder,0))),BJ250=1,BQ250=0)),"INVALID – batch ID missing, placeholder or not an ID (e.g. PASB-261008-BC-017)",IF(AND(AR250=1,OR(NOT(ISNUMBER(X250)),NOT(ISNUMBER(Y250)))),"INVALID – expected/actual qty missing",IF(AND(AR250=1,OR(X250&lt;=0,Y250&lt;0)),"INVALID – expected qty must be above 0 and actual not negative",IF(AH233="N/A – JUSTIFIED","INVALID – preparation row F07-T12-10 is N/A",IF(AND(AR250=1,ISNUMBER(X233),X250&lt;&gt;X233,TRIM(U250)&lt;&gt;"Pass after CA"),"INVALID – expected qty differs from preparation check F07-T12-10: record the load change as a corrective action (Pass after CA)",IF(BB250&lt;&gt;"",BB250,IF(AND(AS250=1,Documents!$J$11&lt;&gt;"ON FILE"),"INVALID – GLD not on file (Documents sheet)",IF(AND(AS250=2,Documents!$O$11&lt;&gt;"ON FILE"),"INVALID – menu checklist not on file (Documents sheet)",IF(AND(AS250=3,NOT(ISNUMBER(Flights!$AX$11))),"INVALID – enter carrying flight KUL departure (Flights AX)",IF(AND(AS250=3,OR(Flights!$AZ$11&gt;Flights!$AA$11,Flights!$AX$11&lt;Flights!$AA$11-3)),"INVALID – carrying flight (Flights AX) cannot arrive before this leg's STD, or is over 3 days early",IF(AG250&gt;AsOfUTC,"INVALID – completion time is in the future",IF(AND(ISNUMBER(BY250),AG250&lt;BY250),IF(H250="Physical uplift","INVALID – before uplift window (cannot confirm loading)","INVALID – before valid window"),IF(AG250&gt;Flights!$AA$11,"INVALID – completed after departure (cannot establish readiness)",IF(AND(H250="Preparation",AG250&gt;=IF(ISNUMBER(Flights!$BA$11),MIN(Flights!$BA$11,Flights!$AA$11),Flights!$AA$11)),"INVALID – completed after loading / departure (cannot establish readiness)",IF(AND(H250="Physical uplift",AG250&gt;Q250),"INVALID – recorded after the loading flight departed",IF(AG250&gt;Q250,"COMPLETE – LATE","COMPLETE"))))))))))))))))))))))))))),IF(TRIM(U250)="Fail","FAIL – DISCREPANCY",IF(AND(TRIM(U250)&lt;&gt;"",TRIM(U250)&lt;&gt;"Not started",TRIM(U250)&lt;&gt;"In progress"),"INVALID – unrecognised status (use the list)",IF(AsOfUTC&gt;Q250,"OVERDUE",IF(N250="Clarification required","OPEN – CLARIFICATION","OPEN"))))))),"INVALID – error value in an input cell")</f>
        <v>OPEN</v>
      </c>
      <c r="AI250" s="61" t="n">
        <f aca="false">IF(OR(AH250="N/A – RULE",AH250="N/A – JUSTIFIED"),0,1)</f>
        <v>1</v>
      </c>
      <c r="AJ250" s="61" t="n">
        <f aca="false">IF(LEFT(AH250,8)="COMPLETE",1,0)</f>
        <v>0</v>
      </c>
      <c r="AK250" s="61" t="n">
        <f aca="false">IF(AND(AI250=1,AJ250=0,AsOfUTC&gt;Q250),1,0)</f>
        <v>0</v>
      </c>
      <c r="AL250" s="61" t="n">
        <f aca="false">IFERROR(IF(AND(AI250=1,OR(TRIM(U250)="Fail",AND(TRIM(AB250)&lt;&gt;"",TRIM(AB250)&lt;&gt;"Closed"),AND(ISNUMBER(AF250),AF250&lt;&gt;0,TRIM(U250)&lt;&gt;"Pass after CA"))),1,0),1)</f>
        <v>0</v>
      </c>
      <c r="AM250" s="61" t="n">
        <f aca="false">IF(LEFT(AH250,7)="INVALID",1,0)</f>
        <v>0</v>
      </c>
      <c r="AN250" s="61" t="n">
        <f aca="false">IF(AND(N250="Clarification required",AI250=1,AJ250=0),1,0)</f>
        <v>0</v>
      </c>
      <c r="AO250" s="61" t="str">
        <f aca="false">IF(AK250=1,SUM(AK$5:AK250),"")</f>
        <v/>
      </c>
      <c r="AP250" s="61" t="str">
        <f aca="false">IF(AL250=1,SUM(AL$5:AL250),"")</f>
        <v/>
      </c>
      <c r="AQ250" s="61" t="n">
        <v>0</v>
      </c>
      <c r="AR250" s="61" t="n">
        <v>0</v>
      </c>
      <c r="AS250" s="61" t="n">
        <v>0</v>
      </c>
      <c r="AT250" s="61" t="n">
        <v>0</v>
      </c>
      <c r="AU250" s="61" t="str">
        <f aca="false">SUBSTITUTE(SUBSTITUTE(SUBSTITUTE(SUBSTITUTE(SUBSTITUTE(SUBSTITUTE(SUBSTITUTE(SUBSTITUTE(SUBSTITUTE(SUBSTITUTE(SUBSTITUTE(SUBSTITUTE(SUBSTITUTE(SUBSTITUTE(SUBSTITUTE(SUBSTITUTE(LOWER(T250&amp;""),CHAR(10),""),CHAR(13),""),CHAR(9),""),CHAR(160),"")," ",""),".",""),"-",""),"/",""),"?",""),"_",""),",",""),"[",""),"]",""),"(",""),")",""),"*","")</f>
        <v/>
      </c>
      <c r="AV250" s="61" t="str">
        <f aca="false">SUBSTITUTE(SUBSTITUTE(SUBSTITUTE(SUBSTITUTE(SUBSTITUTE(SUBSTITUTE(SUBSTITUTE(SUBSTITUTE(SUBSTITUTE(SUBSTITUTE(SUBSTITUTE(SUBSTITUTE(SUBSTITUTE(SUBSTITUTE(SUBSTITUTE(SUBSTITUTE(LOWER(V250&amp;""),CHAR(10),""),CHAR(13),""),CHAR(9),""),CHAR(160),"")," ",""),".",""),"-",""),"/",""),"?",""),"_",""),",",""),"[",""),"]",""),"(",""),")",""),"*","")</f>
        <v/>
      </c>
      <c r="AW250" s="61" t="str">
        <f aca="false">SUBSTITUTE(SUBSTITUTE(SUBSTITUTE(SUBSTITUTE(SUBSTITUTE(SUBSTITUTE(SUBSTITUTE(SUBSTITUTE(SUBSTITUTE(SUBSTITUTE(SUBSTITUTE(SUBSTITUTE(SUBSTITUTE(SUBSTITUTE(SUBSTITUTE(SUBSTITUTE(LOWER(Z250&amp;""),CHAR(10),""),CHAR(13),""),CHAR(9),""),CHAR(160),"")," ",""),".",""),"-",""),"/",""),"?",""),"_",""),",",""),"[",""),"]",""),"(",""),")",""),"*","")</f>
        <v/>
      </c>
      <c r="AX250" s="61" t="str">
        <f aca="false">SUBSTITUTE(SUBSTITUTE(SUBSTITUTE(SUBSTITUTE(SUBSTITUTE(SUBSTITUTE(SUBSTITUTE(SUBSTITUTE(SUBSTITUTE(SUBSTITUTE(SUBSTITUTE(SUBSTITUTE(SUBSTITUTE(SUBSTITUTE(SUBSTITUTE(SUBSTITUTE(LOWER(AE250&amp;""),CHAR(10),""),CHAR(13),""),CHAR(9),""),CHAR(160),"")," ",""),".",""),"-",""),"/",""),"?",""),"_",""),",",""),"[",""),"]",""),"(",""),")",""),"*","")</f>
        <v/>
      </c>
      <c r="AY250" s="61" t="str">
        <f aca="false">SUBSTITUTE(SUBSTITUTE(SUBSTITUTE(SUBSTITUTE(SUBSTITUTE(SUBSTITUTE(SUBSTITUTE(SUBSTITUTE(SUBSTITUTE(SUBSTITUTE(SUBSTITUTE(SUBSTITUTE(SUBSTITUTE(SUBSTITUTE(SUBSTITUTE(SUBSTITUTE(LOWER(W250&amp;""),CHAR(10),""),CHAR(13),""),CHAR(9),""),CHAR(160),"")," ",""),".",""),"-",""),"/",""),"?",""),"_",""),",",""),"[",""),"]",""),"(",""),")",""),"*","")</f>
        <v/>
      </c>
      <c r="AZ250" s="61" t="str">
        <f aca="false">SUBSTITUTE(SUBSTITUTE(SUBSTITUTE(SUBSTITUTE(SUBSTITUTE(SUBSTITUTE(SUBSTITUTE(SUBSTITUTE(SUBSTITUTE(SUBSTITUTE(SUBSTITUTE(SUBSTITUTE(SUBSTITUTE(SUBSTITUTE(SUBSTITUTE(SUBSTITUTE(LOWER(AC250&amp;""),CHAR(10),""),CHAR(13),""),CHAR(9),""),CHAR(160),"")," ",""),".",""),"-",""),"/",""),"?",""),"_",""),",",""),"[",""),"]",""),"(",""),")",""),"*","")</f>
        <v/>
      </c>
      <c r="BA250" s="61" t="str">
        <f aca="false">SUBSTITUTE(SUBSTITUTE(SUBSTITUTE(SUBSTITUTE(SUBSTITUTE(SUBSTITUTE(SUBSTITUTE(SUBSTITUTE(SUBSTITUTE(SUBSTITUTE(SUBSTITUTE(SUBSTITUTE(SUBSTITUTE(SUBSTITUTE(SUBSTITUTE(SUBSTITUTE(LOWER(AA250&amp;""),CHAR(10),""),CHAR(13),""),CHAR(9),""),CHAR(160),"")," ",""),".",""),"-",""),"/",""),"?",""),"_",""),",",""),"[",""),"]",""),"(",""),")",""),"*","")</f>
        <v/>
      </c>
      <c r="BB250" s="61" t="str">
        <f aca="false">IF(AND(TRIM(U250)="Pass",ISNUMBER(AF250)),IF(AF250&lt;&gt;0,"INVALID – qty variance: use Fail or Pass after CA",""),"")&amp;IF(AND(TRIM(U250)="Pass after CA",ISNUMBER(AF250)),IF(AF250&lt;&gt;0,"INVALID – after the corrective action the actual qty must equal expected (update Actual)",""),"")&amp;IF(AND(TRIM(U250)="Pass",TRIM(AB250)&lt;&gt;"",TRIM(AB250)&lt;&gt;"Closed"),"INVALID – corrective action not closed: use Fail, then Pass after CA","")&amp;IF(AND(LEN(BA250)&gt;=2,ISNA(MATCH(LEFT(BA250,255),L_Placeholder,0)),TRIM(AB250)=""),"INVALID – CA status missing for the recorded corrective action","")&amp;IF(AND(TRIM(U250)="Pass after CA",OR(OR(LEN(BA250)&lt;5,ISNUMBER(MATCH(BA250,L_Placeholder,0))),TRIM(AB250)&lt;&gt;"Closed")),"INVALID – corrective action not recorded/closed","")</f>
        <v/>
      </c>
      <c r="BC250" s="61" t="str">
        <f aca="false">" "&amp;TRIM(SUBSTITUTE(SUBSTITUTE(SUBSTITUTE(SUBSTITUTE(SUBSTITUTE(SUBSTITUTE(SUBSTITUTE(SUBSTITUTE(SUBSTITUTE(SUBSTITUTE(SUBSTITUTE(SUBSTITUTE(SUBSTITUTE(SUBSTITUTE(SUBSTITUTE(SUBSTITUTE(SUBSTITUTE(SUBSTITUTE(SUBSTITUTE(SUBSTITUTE(SUBSTITUTE(SUBSTITUTE(SUBSTITUTE(SUBSTITUTE(LOWER(V250&amp;""),CHAR(10)," "),CHAR(13)," "),CHAR(9)," "),CHAR(160)," "),"."," "),","," "),"-"," "),"/"," "),"("," "),")"," "),":"," "),";"," "),"_"," "),"–"," "),"?"," "),"!"," "),"*"," "),"["," "),"]"," "),"'"," "),"#"," "),"+"," "),"&amp;"," "),"\"," "))&amp;" "</f>
        <v>  </v>
      </c>
      <c r="BD250" s="61" t="str">
        <f aca="false">" "&amp;TRIM(SUBSTITUTE(SUBSTITUTE(SUBSTITUTE(SUBSTITUTE(SUBSTITUTE(SUBSTITUTE(SUBSTITUTE(SUBSTITUTE(SUBSTITUTE(SUBSTITUTE(SUBSTITUTE(SUBSTITUTE(SUBSTITUTE(SUBSTITUTE(SUBSTITUTE(SUBSTITUTE(SUBSTITUTE(SUBSTITUTE(SUBSTITUTE(SUBSTITUTE(SUBSTITUTE(SUBSTITUTE(SUBSTITUTE(SUBSTITUTE(LOWER(Z250&amp;""),CHAR(10)," "),CHAR(13)," "),CHAR(9)," "),CHAR(160)," "),"."," "),","," "),"-"," "),"/"," "),"("," "),")"," "),":"," "),";"," "),"_"," "),"–"," "),"?"," "),"!"," "),"*"," "),"["," "),"]"," "),"'"," "),"#"," "),"+"," "),"&amp;"," "),"\"," "))&amp;" "</f>
        <v>  </v>
      </c>
      <c r="BE250" s="61" t="str">
        <f aca="false">" "&amp;TRIM(SUBSTITUTE(SUBSTITUTE(SUBSTITUTE(SUBSTITUTE(SUBSTITUTE(SUBSTITUTE(SUBSTITUTE(SUBSTITUTE(SUBSTITUTE(SUBSTITUTE(SUBSTITUTE(SUBSTITUTE(SUBSTITUTE(SUBSTITUTE(SUBSTITUTE(SUBSTITUTE(SUBSTITUTE(SUBSTITUTE(SUBSTITUTE(SUBSTITUTE(SUBSTITUTE(SUBSTITUTE(SUBSTITUTE(SUBSTITUTE(LOWER(W250&amp;""),CHAR(10)," "),CHAR(13)," "),CHAR(9)," "),CHAR(160)," "),"."," "),","," "),"-"," "),"/"," "),"("," "),")"," "),":"," "),";"," "),"_"," "),"–"," "),"?"," "),"!"," "),"*"," "),"["," "),"]"," "),"'"," "),"#"," "),"+"," "),"&amp;"," "),"\"," "))&amp;" "</f>
        <v>  </v>
      </c>
      <c r="BF250" s="61" t="str">
        <f aca="false">" "&amp;TRIM(SUBSTITUTE(SUBSTITUTE(SUBSTITUTE(SUBSTITUTE(SUBSTITUTE(SUBSTITUTE(SUBSTITUTE(SUBSTITUTE(SUBSTITUTE(SUBSTITUTE(SUBSTITUTE(SUBSTITUTE(SUBSTITUTE(SUBSTITUTE(SUBSTITUTE(SUBSTITUTE(SUBSTITUTE(SUBSTITUTE(SUBSTITUTE(SUBSTITUTE(SUBSTITUTE(SUBSTITUTE(SUBSTITUTE(SUBSTITUTE(LOWER(AC250&amp;""),CHAR(10)," "),CHAR(13)," "),CHAR(9)," "),CHAR(160)," "),"."," "),","," "),"-"," "),"/"," "),"("," "),")"," "),":"," "),";"," "),"_"," "),"–"," "),"?"," "),"!"," "),"*"," "),"["," "),"]"," "),"'"," "),"#"," "),"+"," "),"&amp;"," "),"\"," "))&amp;" "</f>
        <v>  </v>
      </c>
      <c r="BG250" s="61" t="n">
        <f aca="false">IFERROR(IF(AND(TRIM(U250)="Pass",SUMPRODUCT((LEN(BC250)-LEN(SUBSTITUTE(BC250," "&amp;L_ResultBad&amp;" "," ")))/(LEN(L_ResultBad)+1))&gt;SUMPRODUCT((LEN(BC250)-LEN(SUBSTITUTE(BC250," "&amp;L_NegPhrase&amp;" "," ")))/(LEN(L_NegPhrase)+1))),1,0),0)</f>
        <v>0</v>
      </c>
      <c r="BH250" s="61" t="n">
        <f aca="false">IFERROR(IF(SUMPRODUCT((LEN(BC250)-LEN(SUBSTITUTE(BC250," "&amp;L_Pending&amp;" "," ")))/(LEN(L_Pending)+1))&gt;SUMPRODUCT((LEN(BC250)-LEN(SUBSTITUTE(BC250," "&amp;L_PendNeg&amp;" "," ")))/(LEN(L_PendNeg)+1)),1,0),1)</f>
        <v>0</v>
      </c>
      <c r="BI250" s="61" t="n">
        <f aca="false">IFERROR(IF(SUMPRODUCT((LEN(BD250)-LEN(SUBSTITUTE(BD250," "&amp;L_PendStrict&amp;" "," ")))/(LEN(L_PendStrict)+1))&gt;SUMPRODUCT((LEN(BD250)-LEN(SUBSTITUTE(BD250," "&amp;L_PendNeg&amp;" "," ")))/(LEN(L_PendNeg)+1)),1,0),1)</f>
        <v>0</v>
      </c>
      <c r="BJ250" s="61" t="n">
        <f aca="false">IFERROR(IF(SUMPRODUCT((LEN(BE250)-LEN(SUBSTITUTE(BE250," "&amp;L_Pending&amp;" "," ")))/(LEN(L_Pending)+1))&gt;SUMPRODUCT((LEN(BE250)-LEN(SUBSTITUTE(BE250," "&amp;L_PendNeg&amp;" "," ")))/(LEN(L_PendNeg)+1)),1,0),1)</f>
        <v>0</v>
      </c>
      <c r="BK250" s="61" t="n">
        <f aca="false">IFERROR(IF(SUMPRODUCT((LEN(BF250)-LEN(SUBSTITUTE(BF250," "&amp;L_PendStrict&amp;" "," ")))/(LEN(L_PendStrict)+1))&gt;SUMPRODUCT((LEN(BF250)-LEN(SUBSTITUTE(BF250," "&amp;L_PendNeg&amp;" "," ")))/(LEN(L_PendNeg)+1)),1,0),1)</f>
        <v>0</v>
      </c>
      <c r="BL250" s="61" t="n">
        <f aca="false">IF(ISNA(MATCH(TRIM(S250),L_EvidenceType,0)),0,BZ250)</f>
        <v>0</v>
      </c>
      <c r="BM250" s="61" t="str">
        <f aca="false">SUBSTITUTE(SUBSTITUTE(SUBSTITUTE(SUBSTITUTE(SUBSTITUTE(SUBSTITUTE(SUBSTITUTE(SUBSTITUTE(SUBSTITUTE(LOWER(Z250&amp;""),"1","0"),"2","0"),"3","0"),"4","0"),"5","0"),"6","0"),"7","0"),"8","0"),"9","0")</f>
        <v/>
      </c>
      <c r="BN250" s="61" t="str">
        <f aca="false">SUBSTITUTE(SUBSTITUTE(SUBSTITUTE(SUBSTITUTE(SUBSTITUTE(SUBSTITUTE(SUBSTITUTE(SUBSTITUTE(SUBSTITUTE(SUBSTITUTE(SUBSTITUTE(SUBSTITUTE(SUBSTITUTE(SUBSTITUTE(SUBSTITUTE(SUBSTITUTE(SUBSTITUTE(SUBSTITUTE(SUBSTITUTE(SUBSTITUTE(SUBSTITUTE(SUBSTITUTE(SUBSTITUTE(SUBSTITUTE(SUBSTITUTE(BM250,"b","a"),"c","a"),"d","a"),"e","a"),"f","a"),"g","a"),"h","a"),"i","a"),"j","a"),"k","a"),"l","a"),"m","a"),"n","a"),"o","a"),"p","a"),"q","a"),"r","a"),"s","a"),"t","a"),"u","a"),"v","a"),"w","a"),"x","a"),"y","a"),"z","a")</f>
        <v/>
      </c>
      <c r="BO250" s="61" t="str">
        <f aca="false">SUBSTITUTE(SUBSTITUTE(SUBSTITUTE(SUBSTITUTE(SUBSTITUTE(SUBSTITUTE(SUBSTITUTE(SUBSTITUTE(SUBSTITUTE(LOWER(W250&amp;""),"1","0"),"2","0"),"3","0"),"4","0"),"5","0"),"6","0"),"7","0"),"8","0"),"9","0")</f>
        <v/>
      </c>
      <c r="BP250" s="61" t="str">
        <f aca="false">SUBSTITUTE(SUBSTITUTE(SUBSTITUTE(SUBSTITUTE(SUBSTITUTE(SUBSTITUTE(SUBSTITUTE(SUBSTITUTE(SUBSTITUTE(SUBSTITUTE(SUBSTITUTE(SUBSTITUTE(SUBSTITUTE(SUBSTITUTE(SUBSTITUTE(SUBSTITUTE(SUBSTITUTE(SUBSTITUTE(SUBSTITUTE(SUBSTITUTE(SUBSTITUTE(SUBSTITUTE(SUBSTITUTE(SUBSTITUTE(SUBSTITUTE(BO250,"b","a"),"c","a"),"d","a"),"e","a"),"f","a"),"g","a"),"h","a"),"i","a"),"j","a"),"k","a"),"l","a"),"m","a"),"n","a"),"o","a"),"p","a"),"q","a"),"r","a"),"s","a"),"t","a"),"u","a"),"v","a"),"w","a"),"x","a"),"y","a"),"z","a")</f>
        <v/>
      </c>
      <c r="BQ250" s="61" t="n">
        <f aca="false">IFERROR(IF(AND(ISERROR(SEARCH(" mh"," "&amp;LOWER(W250))),ISNA(MATCH(LEFT(TRIM(BP250),255),{"0000a","000a","00a","0000aa","000aa","00aa","0aa","0000aaa","000aaa","00a00","0a00","0000-0000","00:00","a00","a0","00.00.0000","00/00/0000","00-00-0000","0000-00-00","0000/00/00","0000.00.00","00.00.00","00/00/00","00-00-00","0.00.0000","0/00/0000","0-00-0000"},0)),ISNA(MATCH(LEFT(TRIM(CA250),255),{"0000a","000a","00a","0000aa","000aa","00aa","0aa","0000aaa","000aaa","00a00","0a00","0000-0000","00:00","a00","a0","00.00.0000","00/00/0000","00-00-0000","0000-00-00","0000/00/00","0000.00.00","00.00.00","00/00/00","00-00-00","0.00.0000","0/00/0000","0-00-0000"},0)),LEN(CB250)&gt;=3,NOT(OR(SUBSTITUTE(CB250,"0","")="",AND(LEN(CB250)&gt;=4,CB250=REPT(LEFT(CB250),LEN(CB250))),ISNUMBER(MATCH(CB250,{"123","1234","12345","123456","1234567","12345678","0123","01234","012345","98765","987654","54321"},0)),AND(LEN(CB250)=8,LEFT(CB250,3)="202"))),OR(AND((LEN(CA250)-LEN(SUBSTITUTE(CA250,"a","")))&gt;=1,SUMPRODUCT(--ISNUMBER(SEARCH({"a0","a-0","a_0","a/0","a.0","a#0","0a","0-a","0_a","0/a"},BP250)))&gt;0),ISNUMBER(SEARCH("000000",BP250)))),1,0),0)</f>
        <v>0</v>
      </c>
      <c r="BR250" s="61" t="n">
        <f aca="false">IFERROR(LEN(SUBSTITUTE(CC250," ",""))-SUMPRODUCT((LEN(CC250)-LEN(SUBSTITUTE(CC250," "&amp;L_Role&amp;" "," ")))/(LEN(L_Role)+1)*LEN(L_Role)),0)</f>
        <v>0</v>
      </c>
      <c r="BS250" s="61" t="n">
        <f aca="false">IFERROR(LEN(SUBSTITUTE(CD250," ",""))-SUMPRODUCT((LEN(CD250)-LEN(SUBSTITUTE(CD250," "&amp;L_Role&amp;" "," ")))/(LEN(L_Role)+1)*LEN(L_Role)),0)</f>
        <v>0</v>
      </c>
      <c r="BT2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250,"revision",""),"version",""),"jan",""),"feb",""),"mar",""),"apr",""),"may",""),"jun",""),"jul",""),"aug",""),"sep",""),"oct",""),"nov",""),"dec",""),"utc",""),"gmt",""),"myt",""),"bst",""),"rev",""),"ver",""),"b","a"),"c","a"),"d","a"),"e","a"),"f","a"),"g","a"),"h","a"),"i","a"),"j","a"),"k","a"),"l","a"),"m","a"),"n","a"),"o","a"),"p","a"),"q","a"),"r","a"),"s","a"),"t","a"),"u","a"),"v","a"),"w","a"),"x","a"),"y","a"),"z","a")</f>
        <v/>
      </c>
      <c r="BU250" s="61" t="str">
        <f aca="false">SUBSTITUTE(SUBSTITUTE(SUBSTITUTE(SUBSTITUTE(SUBSTITUTE(SUBSTITUTE(SUBSTITUTE(SUBSTITUTE(SUBSTITUTE(SUBSTITUTE(LEFT(BM250,FIND("0",BM250&amp;"0")-1),"-",""),"_",""),"/",""),".",""),"#",""),"\\",""),":","")," ",""),"(",""),")","")</f>
        <v/>
      </c>
      <c r="BV250" s="61" t="n">
        <f aca="false">IFERROR(IF(OR(SUMPRODUCT((LEN(BC250)-LEN(SUBSTITUTE(BC250," "&amp;L_NotLoaded&amp;" "," ")))/(LEN(L_NotLoaded)+1))&gt;SUMPRODUCT((LEN(BC250)-LEN(SUBSTITUTE(BC250," "&amp;L_NotLoadedNeg&amp;" "," ")))/(LEN(L_NotLoadedNeg)+1)),SUMPRODUCT((LEN(BD250)-LEN(SUBSTITUTE(BD250," "&amp;L_NotLoaded&amp;" "," ")))/(LEN(L_NotLoaded)+1))&gt;SUMPRODUCT((LEN(BD250)-LEN(SUBSTITUTE(BD250," "&amp;L_NotLoadedNeg&amp;" "," ")))/(LEN(L_NotLoadedNeg)+1))),1,0),0)</f>
        <v>0</v>
      </c>
      <c r="BW2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250&amp;""),"a",""),"b",""),"c",""),"d",""),"e",""),"f",""),"g",""),"h",""),"i",""),"j",""),"k",""),"l",""),"m",""),"n",""),"o",""),"p",""),"q",""),"r",""),"s",""),"t",""),"u",""),"v",""),"w",""),"x",""),"y",""),"z",""),"-",""),"_",""),"/",""),".",""),"#",""),"\\",""),":","")," ",""),"(",""),")","")</f>
        <v/>
      </c>
      <c r="BX250" s="61" t="str">
        <f aca="false">SUBSTITUTE(SUBSTITUTE(SUBSTITUTE(SUBSTITUTE(SUBSTITUTE(SUBSTITUTE(SUBSTITUTE(SUBSTITUTE(SUBSTITUTE(SUBSTITUTE(SUBSTITUTE(BM250,"0",""),"-",""),"_",""),"/",""),".",""),"#",""),"\\",""),":","")," ",""),"(",""),")","")</f>
        <v/>
      </c>
      <c r="BY250" s="62" t="n">
        <f aca="false">IF(ISNUMBER(Flights!$AZ$11),MAX(Q250-UpliftWindowH/24,Flights!$AZ$11),Q250-UpliftWindowH/24)</f>
        <v>46304.4166666667</v>
      </c>
      <c r="BZ250" s="61" t="n">
        <f aca="false">IFERROR(IF(IF(TRIM(S250)="Link / file path",AND(LEN(TRIM(Z250))&gt;=5,SUMPRODUCT(--ISNUMBER(SEARCH({"http","www.","\\",":\",".pdf",".jpg",".jpeg",".png",".heic",".xls",".doc",".msg",".eml",".ppt",".txt",".zip"},Z250)))&gt;0),AND(ISERROR(FIND(" ",TRIM(Z250))),NOT(OR(SUMPRODUCT(--ISNUMBER(FIND({",",";","&amp;","+"},Z250)))&gt;0,SUMPRODUCT(--ISNUMBER(SEARCH({"0/aa","0\\aa"},BN250)))&gt;0)),NOT(SUMPRODUCT(--ISNUMBER(SEARCH({"http","www.","\\",":\",".pdf",".jpg",".jpeg",".png",".heic",".xls",".doc",".msg",".eml",".ppt",".txt",".zip"},Z250)))&gt;0),NOT(LOWER(TRIM(Z250))=LOWER(Flights!$F$11)),ISNA(MATCH(BU250,{"mh","rev","revision","ver","version","v","r","a","b","seat","tray","row","gate","bay","stand","page","pg","item","line","no","cart","galley","flight","flt","table","box","bag","oven","etd","eta","std","sta","atd","ata","qty","pax","x","time","tel","ph","mob","day","wk","week","utc","gmt","myt","lt"},0)),NOT(OR(ISNUMBER(MATCH(LEFT(BN250,255),{"0000a","000a","00a","0000aa","000aa","00aa","0aa","0000aaa","000aaa","00a00","0a00","0000-0000","00:00","a00","a0","00.00.0000","00/00/0000","00-00-0000","0000-00-00","0000/00/00","0000.00.00","00.00.00","00/00/00","00-00-00","0.00.0000","0/00/0000","0-00-0000"},0)),ISNUMBER(MATCH(LEFT(BT250,255),{"0000a","000a","00a","0000aa","000aa","00aa","0aa","0000aaa","000aaa","00a00","0a00","0000-0000","00:00","a00","a0","00.00.0000","00/00/0000","00-00-0000","0000-00-00","0000/00/00","0000.00.00","00.00.00","00/00/00","00-00-00","0.00.0000","0/00/0000","0-00-0000"},0)))),NOT(OR(AND(BW250&lt;&gt;"",SUBSTITUTE(BW250,"0","")=""),AND(LEN(BW250)&gt;=4,BW250=REPT(LEFT(BW250),LEN(BW250))),ISNUMBER(MATCH(BW250,{"123","1234","12345","123456","1234567","12345678","0123","01234","012345","98765","987654","54321"},0)),ISNUMBER(MATCH(BX250,{"x","xx","xxx","xxxx","xxxxx","abc","abcd","nil","na","nan","test","tbc","tba","tbd","dummy","sample","example","eg","zz","zzz","none","null","xyz","qwe","asd","id","ref"},0)),AND(LEN(BW250)=8,BX250="",OR(LEFT(BW250,3)="202",ISNUMBER(MATCH(RIGHT(BW250,4),{"2025","2026","2027"},0)))))),OR(AND((LEN(BT250)-LEN(SUBSTITUTE(BT250,"a","")))&gt;=1,(LEN(BN250)-LEN(SUBSTITUTE(BN250,"0","")))&gt;=2,SUMPRODUCT(--ISNUMBER(SEARCH({"a0","a-0","a_0","a/0","a.0","a#0","0a","0-a","0_a","0/a"},BN250)))&gt;0),AND((LEN(BN250)-LEN(SUBSTITUTE(BN250,"a","")))=0,(LEN(BN250)-LEN(SUBSTITUTE(BN250,"0","")))&gt;=5)))),1,0),0)</f>
        <v>0</v>
      </c>
      <c r="CA2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250,"revision",""),"version",""),"jan",""),"feb",""),"mar",""),"apr",""),"may",""),"jun",""),"jul",""),"aug",""),"sep",""),"oct",""),"nov",""),"dec",""),"utc",""),"gmt",""),"myt",""),"bst",""),"rev",""),"ver",""),"b","a"),"c","a"),"d","a"),"e","a"),"f","a"),"g","a"),"h","a"),"i","a"),"j","a"),"k","a"),"l","a"),"m","a"),"n","a"),"o","a"),"p","a"),"q","a"),"r","a"),"s","a"),"t","a"),"u","a"),"v","a"),"w","a"),"x","a"),"y","a"),"z","a")</f>
        <v/>
      </c>
      <c r="CB2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250&amp;""),"a",""),"b",""),"c",""),"d",""),"e",""),"f",""),"g",""),"h",""),"i",""),"j",""),"k",""),"l",""),"m",""),"n",""),"o",""),"p",""),"q",""),"r",""),"s",""),"t",""),"u",""),"v",""),"w",""),"x",""),"y",""),"z",""),"-",""),"_",""),"/",""),".",""),"#",""),"\\",""),":","")," ",""),"(",""),")","")</f>
        <v/>
      </c>
      <c r="CC250" s="0" t="str">
        <f aca="false">" "&amp;TRIM(SUBSTITUTE(SUBSTITUTE(SUBSTITUTE(SUBSTITUTE(SUBSTITUTE(SUBSTITUTE(SUBSTITUTE(SUBSTITUTE(SUBSTITUTE(SUBSTITUTE(SUBSTITUTE(SUBSTITUTE(SUBSTITUTE(SUBSTITUTE(SUBSTITUTE(SUBSTITUTE(SUBSTITUTE(SUBSTITUTE(SUBSTITUTE(SUBSTITUTE(SUBSTITUTE(SUBSTITUTE(SUBSTITUTE(SUBSTITUTE(LOWER(T250&amp;""),CHAR(10)," "),CHAR(13)," "),CHAR(9)," "),CHAR(160)," "),"."," "),","," "),"-"," "),"/"," "),"("," "),")"," "),":"," "),";"," "),"_"," "),"–"," "),"?"," "),"!"," "),"*"," "),"["," "),"]"," "),"'"," "),"#"," "),"+"," "),"&amp;"," "),"\"," "))&amp;" "</f>
        <v>  </v>
      </c>
      <c r="CD250" s="0" t="str">
        <f aca="false">" "&amp;TRIM(SUBSTITUTE(SUBSTITUTE(SUBSTITUTE(SUBSTITUTE(SUBSTITUTE(SUBSTITUTE(SUBSTITUTE(SUBSTITUTE(SUBSTITUTE(SUBSTITUTE(SUBSTITUTE(SUBSTITUTE(SUBSTITUTE(SUBSTITUTE(SUBSTITUTE(SUBSTITUTE(SUBSTITUTE(SUBSTITUTE(SUBSTITUTE(SUBSTITUTE(SUBSTITUTE(SUBSTITUTE(SUBSTITUTE(SUBSTITUTE(LOWER(AE250&amp;""),CHAR(10)," "),CHAR(13)," "),CHAR(9)," "),CHAR(160)," "),"."," "),","," "),"-"," "),"/"," "),"("," "),")"," "),":"," "),";"," "),"_"," "),"–"," "),"?"," "),"!"," "),"*"," "),"["," "),"]"," "),"'"," "),"#"," "),"+"," "),"&amp;"," "),"\"," "))&amp;" "</f>
        <v>  </v>
      </c>
      <c r="CE250" s="68" t="n">
        <f aca="false">IFERROR(IF(AND(LEN(AU250)&gt;0,LEN(AU250)=LEN(AX250),OR(TRIM(MID(SUBSTITUTE(TRIM(CC250)," ",REPT(" ",60)),1,60))="",ISNUMBER(SEARCH(" "&amp;TRIM(MID(SUBSTITUTE(TRIM(CC250)," ",REPT(" ",60)),1,60))&amp;" ",CD250))),OR(TRIM(MID(SUBSTITUTE(TRIM(CC250)," ",REPT(" ",60)),61,60))="",ISNUMBER(SEARCH(" "&amp;TRIM(MID(SUBSTITUTE(TRIM(CC250)," ",REPT(" ",60)),61,60))&amp;" ",CD250))),OR(TRIM(MID(SUBSTITUTE(TRIM(CC250)," ",REPT(" ",60)),121,60))="",ISNUMBER(SEARCH(" "&amp;TRIM(MID(SUBSTITUTE(TRIM(CC250)," ",REPT(" ",60)),121,60))&amp;" ",CD250)))),1,0),0)</f>
        <v>0</v>
      </c>
      <c r="CG250" s="68" t="n">
        <f aca="false">IFERROR(LEN(SUBSTITUTE(BF250," ",""))-SUMPRODUCT((LEN(BF250)-LEN(SUBSTITUTE(BF250," "&amp;L_NAFiller&amp;" "," ")))/(LEN(L_NAFiller)+1)*LEN(L_NAFiller)),0)</f>
        <v>0</v>
      </c>
    </row>
    <row r="251" customFormat="false" ht="39.75" hidden="false" customHeight="true" outlineLevel="0" collapsed="false">
      <c r="A251" s="57" t="s">
        <v>822</v>
      </c>
      <c r="B251" s="57" t="s">
        <v>235</v>
      </c>
      <c r="C251" s="57" t="str">
        <f aca="false">Flights!$F$11</f>
        <v>MH0003</v>
      </c>
      <c r="D251" s="58" t="n">
        <f aca="false">Flights!$D$11</f>
        <v>46304</v>
      </c>
      <c r="E251" s="57" t="str">
        <f aca="false">Flights!$G$11&amp;"-"&amp;Flights!$H$11</f>
        <v>LHR-KUL</v>
      </c>
      <c r="F251" s="57" t="str">
        <f aca="false">Flights!$K$11</f>
        <v>BC</v>
      </c>
      <c r="G251" s="57" t="s">
        <v>459</v>
      </c>
      <c r="H251" s="57" t="s">
        <v>460</v>
      </c>
      <c r="I251" s="57" t="s">
        <v>499</v>
      </c>
      <c r="J251" s="57" t="s">
        <v>537</v>
      </c>
      <c r="K251" s="67" t="s">
        <v>501</v>
      </c>
      <c r="L251" s="67" t="s">
        <v>736</v>
      </c>
      <c r="M251" s="67" t="s">
        <v>451</v>
      </c>
      <c r="N251" s="67" t="s">
        <v>383</v>
      </c>
      <c r="O251" s="67"/>
      <c r="P251" s="57" t="s">
        <v>186</v>
      </c>
      <c r="Q251" s="59" t="n">
        <f aca="false">ROUND((Flights!$AF$11)*1440,0)/1440</f>
        <v>46304.4166666667</v>
      </c>
      <c r="R251" s="59" t="n">
        <f aca="false">Q251+(IF(AND(INDEX(TZ_DSTS,MATCH(P251,TZ_STN,0))&lt;&gt;"",Q251&gt;=INDEX(TZ_DSTS,MATCH(P251,TZ_STN,0)),Q251&lt;INDEX(TZ_DSTE,MATCH(P251,TZ_STN,0))),INDEX(TZ_DST,MATCH(P251,TZ_STN,0)),INDEX(TZ_STD,MATCH(P251,TZ_STN,0))))/24</f>
        <v>46304.4583333333</v>
      </c>
      <c r="S251" s="60"/>
      <c r="T251" s="60"/>
      <c r="U251" s="60"/>
      <c r="V251" s="60"/>
      <c r="W251" s="61"/>
      <c r="X251" s="60"/>
      <c r="Y251" s="60"/>
      <c r="Z251" s="60"/>
      <c r="AA251" s="60"/>
      <c r="AB251" s="60"/>
      <c r="AC251" s="60"/>
      <c r="AD251" s="66"/>
      <c r="AE251" s="60"/>
      <c r="AF251" s="61" t="str">
        <f aca="false">IF(AND(ISNUMBER(X251),ISNUMBER(Y251)),Y251-X251,"")</f>
        <v/>
      </c>
      <c r="AG251" s="62" t="str">
        <f aca="false">IF(ISNUMBER(AD251),AD251-(IF(AND(INDEX(TZ_DSTS,MATCH(P251,TZ_STN,0))&lt;&gt;"",(AD251-INDEX(TZ_STD,MATCH(P251,TZ_STN,0))/24)&gt;=INDEX(TZ_DSTS,MATCH(P251,TZ_STN,0)),(AD251-INDEX(TZ_STD,MATCH(P251,TZ_STN,0))/24)&lt;INDEX(TZ_DSTE,MATCH(P251,TZ_STN,0))),INDEX(TZ_DST,MATCH(P251,TZ_STN,0)),INDEX(TZ_STD,MATCH(P251,TZ_STN,0))))/24,"")</f>
        <v/>
      </c>
      <c r="AH251" s="65" t="str">
        <f aca="false">IFERROR(IF(N251="N/A – rule",IF(OR(TRIM(U251)="",TRIM(U251)="N/A",TRIM(U251)="Not started"),"N/A – RULE","INVALID – this check does not apply to this aircraft: clear the status (or correct the fleet on Flights)"),IF(TRIM(U251)="N/A",IF(AT251=0,"INVALID – N/A not permitted for this check",IF(AND(TRIM(AB251)&lt;&gt;"",TRIM(AB251)&lt;&gt;"Closed"),"INVALID – corrective action still open",IF(AND(NOT(OR(LEN(AZ251)&lt;15,ISNUMBER(MATCH(AZ251,L_Placeholder,0)))),BK251=0,CG251&gt;=8,NOT(OR(LEN(AU251)&lt;2,ISNUMBER(MATCH(AU251,L_Placeholder,0)))),BR251&gt;=3,NOT(OR(LEN(AX251)&lt;2,ISNUMBER(MATCH(AX251,L_Placeholder,0)))),BS251&gt;=3,TRIM(AE251)&lt;&gt;TRIM(T251),AX251&lt;&gt;AU251,CE251=0),"N/A – JUSTIFIED","INVALID – N/A needs a real, settled reason (not 'not applicable' / 'as above' / TBC), a named PIC and a different named verifier"))),IF(OR(TRIM(U251)="Pass",TRIM(U251)="Pass after CA"),IF(NOT(ISNUMBER(AD251)),"INVALID – completion time missing",IF(OR(OR(LEN(AU251)&lt;2,ISNUMBER(MATCH(AU251,L_Placeholder,0))),BR251&lt;3),"INVALID – PIC missing or not a named person (a role such as QA / CSM is not a name)",IF(OR(LEN(AV251)&lt;2,ISNUMBER(MATCH(AV251,L_Placeholder,0))),"INVALID – result / assessment missing",IF(OR(OR(LEN(AW251)&lt;3,ISNUMBER(MATCH(AW251,L_Placeholder,0))),SUMPRODUCT(--ISNUMBER(SEARCH(" "&amp;L_EvidencePhrase&amp;" ",BD251)))&gt;0,BI251=1),"INVALID – evidence missing, placeholder or not yet on file",IF(ISNA(MATCH(TRIM(S251),L_EvidenceType,0)),"INVALID – choose the evidence type from the list (column S)",IF(BL251=0,"INVALID – evidence ID must be the record's own ID only (e.g. SF-2210, IMG_2231, 1045521); a link / file name needs type 'Link / file path'",IF(OR(OR(LEN(AX251)&lt;2,ISNUMBER(MATCH(AX251,L_Placeholder,0))),BS251&lt;3),"INVALID – verifier missing or not a named person (a role such as QA / CSM is not a name)",IF(OR(AX251=AU251,CE251=1,AND(LEN(AU251)&gt;=4,ISNUMBER(SEARCH(AU251,AX251))),AND(LEN(AX251)&gt;=4,ISNUMBER(SEARCH(AX251,AU251)))),"INVALID – verifier must be a different, named person (not the PIC or a role)",IF(BH251=1,"INVALID – result not yet available (awaiting / TBC)",IF(BG251=1,"INVALID – result describes a problem: record Fail, then Pass after CA (or reword if it is not a problem)",IF(BV251=1,"INVALID – wording says not on board: an on-board confirmation needs the item loaded",IF(AND(AQ251=1,OR(OR(LEN(AY251)&lt;3,ISNUMBER(MATCH(AY251,L_Placeholder,0))),BJ251=1,BQ251=0)),"INVALID – batch ID missing, placeholder or not an ID (e.g. PASB-261008-BC-017)",IF(AND(AR251=1,OR(NOT(ISNUMBER(X251)),NOT(ISNUMBER(Y251)))),"INVALID – expected/actual qty missing",IF(AND(AR251=1,OR(X251&lt;=0,Y251&lt;0)),"INVALID – expected qty must be above 0 and actual not negative",IF(AH234="N/A – JUSTIFIED","INVALID – preparation row F07-T12-11 is N/A",IF(AND(AR251=1,ISNUMBER(X234),X251&lt;&gt;X234,TRIM(U251)&lt;&gt;"Pass after CA"),"INVALID – expected qty differs from preparation check F07-T12-11: record the load change as a corrective action (Pass after CA)",IF(BB251&lt;&gt;"",BB251,IF(AND(AS251=1,Documents!$J$11&lt;&gt;"ON FILE"),"INVALID – GLD not on file (Documents sheet)",IF(AND(AS251=2,Documents!$O$11&lt;&gt;"ON FILE"),"INVALID – menu checklist not on file (Documents sheet)",IF(AND(AS251=3,NOT(ISNUMBER(Flights!$AX$11))),"INVALID – enter carrying flight KUL departure (Flights AX)",IF(AND(AS251=3,OR(Flights!$AZ$11&gt;Flights!$AA$11,Flights!$AX$11&lt;Flights!$AA$11-3)),"INVALID – carrying flight (Flights AX) cannot arrive before this leg's STD, or is over 3 days early",IF(AG251&gt;AsOfUTC,"INVALID – completion time is in the future",IF(AND(ISNUMBER(BY251),AG251&lt;BY251),IF(H251="Physical uplift","INVALID – before uplift window (cannot confirm loading)","INVALID – before valid window"),IF(AG251&gt;Flights!$AA$11,"INVALID – completed after departure (cannot establish readiness)",IF(AND(H251="Preparation",AG251&gt;=IF(ISNUMBER(Flights!$BA$11),MIN(Flights!$BA$11,Flights!$AA$11),Flights!$AA$11)),"INVALID – completed after loading / departure (cannot establish readiness)",IF(AND(H251="Physical uplift",AG251&gt;Q251),"INVALID – recorded after the loading flight departed",IF(AG251&gt;Q251,"COMPLETE – LATE","COMPLETE"))))))))))))))))))))))))))),IF(TRIM(U251)="Fail","FAIL – DISCREPANCY",IF(AND(TRIM(U251)&lt;&gt;"",TRIM(U251)&lt;&gt;"Not started",TRIM(U251)&lt;&gt;"In progress"),"INVALID – unrecognised status (use the list)",IF(AsOfUTC&gt;Q251,"OVERDUE",IF(N251="Clarification required","OPEN – CLARIFICATION","OPEN"))))))),"INVALID – error value in an input cell")</f>
        <v>OPEN</v>
      </c>
      <c r="AI251" s="61" t="n">
        <f aca="false">IF(OR(AH251="N/A – RULE",AH251="N/A – JUSTIFIED"),0,1)</f>
        <v>1</v>
      </c>
      <c r="AJ251" s="61" t="n">
        <f aca="false">IF(LEFT(AH251,8)="COMPLETE",1,0)</f>
        <v>0</v>
      </c>
      <c r="AK251" s="61" t="n">
        <f aca="false">IF(AND(AI251=1,AJ251=0,AsOfUTC&gt;Q251),1,0)</f>
        <v>0</v>
      </c>
      <c r="AL251" s="61" t="n">
        <f aca="false">IFERROR(IF(AND(AI251=1,OR(TRIM(U251)="Fail",AND(TRIM(AB251)&lt;&gt;"",TRIM(AB251)&lt;&gt;"Closed"),AND(ISNUMBER(AF251),AF251&lt;&gt;0,TRIM(U251)&lt;&gt;"Pass after CA"))),1,0),1)</f>
        <v>0</v>
      </c>
      <c r="AM251" s="61" t="n">
        <f aca="false">IF(LEFT(AH251,7)="INVALID",1,0)</f>
        <v>0</v>
      </c>
      <c r="AN251" s="61" t="n">
        <f aca="false">IF(AND(N251="Clarification required",AI251=1,AJ251=0),1,0)</f>
        <v>0</v>
      </c>
      <c r="AO251" s="61" t="str">
        <f aca="false">IF(AK251=1,SUM(AK$5:AK251),"")</f>
        <v/>
      </c>
      <c r="AP251" s="61" t="str">
        <f aca="false">IF(AL251=1,SUM(AL$5:AL251),"")</f>
        <v/>
      </c>
      <c r="AQ251" s="61" t="n">
        <v>0</v>
      </c>
      <c r="AR251" s="61" t="n">
        <v>0</v>
      </c>
      <c r="AS251" s="61" t="n">
        <v>0</v>
      </c>
      <c r="AT251" s="61" t="n">
        <v>0</v>
      </c>
      <c r="AU251" s="61" t="str">
        <f aca="false">SUBSTITUTE(SUBSTITUTE(SUBSTITUTE(SUBSTITUTE(SUBSTITUTE(SUBSTITUTE(SUBSTITUTE(SUBSTITUTE(SUBSTITUTE(SUBSTITUTE(SUBSTITUTE(SUBSTITUTE(SUBSTITUTE(SUBSTITUTE(SUBSTITUTE(SUBSTITUTE(LOWER(T251&amp;""),CHAR(10),""),CHAR(13),""),CHAR(9),""),CHAR(160),"")," ",""),".",""),"-",""),"/",""),"?",""),"_",""),",",""),"[",""),"]",""),"(",""),")",""),"*","")</f>
        <v/>
      </c>
      <c r="AV251" s="61" t="str">
        <f aca="false">SUBSTITUTE(SUBSTITUTE(SUBSTITUTE(SUBSTITUTE(SUBSTITUTE(SUBSTITUTE(SUBSTITUTE(SUBSTITUTE(SUBSTITUTE(SUBSTITUTE(SUBSTITUTE(SUBSTITUTE(SUBSTITUTE(SUBSTITUTE(SUBSTITUTE(SUBSTITUTE(LOWER(V251&amp;""),CHAR(10),""),CHAR(13),""),CHAR(9),""),CHAR(160),"")," ",""),".",""),"-",""),"/",""),"?",""),"_",""),",",""),"[",""),"]",""),"(",""),")",""),"*","")</f>
        <v/>
      </c>
      <c r="AW251" s="61" t="str">
        <f aca="false">SUBSTITUTE(SUBSTITUTE(SUBSTITUTE(SUBSTITUTE(SUBSTITUTE(SUBSTITUTE(SUBSTITUTE(SUBSTITUTE(SUBSTITUTE(SUBSTITUTE(SUBSTITUTE(SUBSTITUTE(SUBSTITUTE(SUBSTITUTE(SUBSTITUTE(SUBSTITUTE(LOWER(Z251&amp;""),CHAR(10),""),CHAR(13),""),CHAR(9),""),CHAR(160),"")," ",""),".",""),"-",""),"/",""),"?",""),"_",""),",",""),"[",""),"]",""),"(",""),")",""),"*","")</f>
        <v/>
      </c>
      <c r="AX251" s="61" t="str">
        <f aca="false">SUBSTITUTE(SUBSTITUTE(SUBSTITUTE(SUBSTITUTE(SUBSTITUTE(SUBSTITUTE(SUBSTITUTE(SUBSTITUTE(SUBSTITUTE(SUBSTITUTE(SUBSTITUTE(SUBSTITUTE(SUBSTITUTE(SUBSTITUTE(SUBSTITUTE(SUBSTITUTE(LOWER(AE251&amp;""),CHAR(10),""),CHAR(13),""),CHAR(9),""),CHAR(160),"")," ",""),".",""),"-",""),"/",""),"?",""),"_",""),",",""),"[",""),"]",""),"(",""),")",""),"*","")</f>
        <v/>
      </c>
      <c r="AY251" s="61" t="str">
        <f aca="false">SUBSTITUTE(SUBSTITUTE(SUBSTITUTE(SUBSTITUTE(SUBSTITUTE(SUBSTITUTE(SUBSTITUTE(SUBSTITUTE(SUBSTITUTE(SUBSTITUTE(SUBSTITUTE(SUBSTITUTE(SUBSTITUTE(SUBSTITUTE(SUBSTITUTE(SUBSTITUTE(LOWER(W251&amp;""),CHAR(10),""),CHAR(13),""),CHAR(9),""),CHAR(160),"")," ",""),".",""),"-",""),"/",""),"?",""),"_",""),",",""),"[",""),"]",""),"(",""),")",""),"*","")</f>
        <v/>
      </c>
      <c r="AZ251" s="61" t="str">
        <f aca="false">SUBSTITUTE(SUBSTITUTE(SUBSTITUTE(SUBSTITUTE(SUBSTITUTE(SUBSTITUTE(SUBSTITUTE(SUBSTITUTE(SUBSTITUTE(SUBSTITUTE(SUBSTITUTE(SUBSTITUTE(SUBSTITUTE(SUBSTITUTE(SUBSTITUTE(SUBSTITUTE(LOWER(AC251&amp;""),CHAR(10),""),CHAR(13),""),CHAR(9),""),CHAR(160),"")," ",""),".",""),"-",""),"/",""),"?",""),"_",""),",",""),"[",""),"]",""),"(",""),")",""),"*","")</f>
        <v/>
      </c>
      <c r="BA251" s="61" t="str">
        <f aca="false">SUBSTITUTE(SUBSTITUTE(SUBSTITUTE(SUBSTITUTE(SUBSTITUTE(SUBSTITUTE(SUBSTITUTE(SUBSTITUTE(SUBSTITUTE(SUBSTITUTE(SUBSTITUTE(SUBSTITUTE(SUBSTITUTE(SUBSTITUTE(SUBSTITUTE(SUBSTITUTE(LOWER(AA251&amp;""),CHAR(10),""),CHAR(13),""),CHAR(9),""),CHAR(160),"")," ",""),".",""),"-",""),"/",""),"?",""),"_",""),",",""),"[",""),"]",""),"(",""),")",""),"*","")</f>
        <v/>
      </c>
      <c r="BB251" s="61" t="str">
        <f aca="false">IF(AND(TRIM(U251)="Pass",ISNUMBER(AF251)),IF(AF251&lt;&gt;0,"INVALID – qty variance: use Fail or Pass after CA",""),"")&amp;IF(AND(TRIM(U251)="Pass after CA",ISNUMBER(AF251)),IF(AF251&lt;&gt;0,"INVALID – after the corrective action the actual qty must equal expected (update Actual)",""),"")&amp;IF(AND(TRIM(U251)="Pass",TRIM(AB251)&lt;&gt;"",TRIM(AB251)&lt;&gt;"Closed"),"INVALID – corrective action not closed: use Fail, then Pass after CA","")&amp;IF(AND(LEN(BA251)&gt;=2,ISNA(MATCH(LEFT(BA251,255),L_Placeholder,0)),TRIM(AB251)=""),"INVALID – CA status missing for the recorded corrective action","")&amp;IF(AND(TRIM(U251)="Pass after CA",OR(OR(LEN(BA251)&lt;5,ISNUMBER(MATCH(BA251,L_Placeholder,0))),TRIM(AB251)&lt;&gt;"Closed")),"INVALID – corrective action not recorded/closed","")</f>
        <v/>
      </c>
      <c r="BC251" s="61" t="str">
        <f aca="false">" "&amp;TRIM(SUBSTITUTE(SUBSTITUTE(SUBSTITUTE(SUBSTITUTE(SUBSTITUTE(SUBSTITUTE(SUBSTITUTE(SUBSTITUTE(SUBSTITUTE(SUBSTITUTE(SUBSTITUTE(SUBSTITUTE(SUBSTITUTE(SUBSTITUTE(SUBSTITUTE(SUBSTITUTE(SUBSTITUTE(SUBSTITUTE(SUBSTITUTE(SUBSTITUTE(SUBSTITUTE(SUBSTITUTE(SUBSTITUTE(SUBSTITUTE(LOWER(V251&amp;""),CHAR(10)," "),CHAR(13)," "),CHAR(9)," "),CHAR(160)," "),"."," "),","," "),"-"," "),"/"," "),"("," "),")"," "),":"," "),";"," "),"_"," "),"–"," "),"?"," "),"!"," "),"*"," "),"["," "),"]"," "),"'"," "),"#"," "),"+"," "),"&amp;"," "),"\"," "))&amp;" "</f>
        <v>  </v>
      </c>
      <c r="BD251" s="61" t="str">
        <f aca="false">" "&amp;TRIM(SUBSTITUTE(SUBSTITUTE(SUBSTITUTE(SUBSTITUTE(SUBSTITUTE(SUBSTITUTE(SUBSTITUTE(SUBSTITUTE(SUBSTITUTE(SUBSTITUTE(SUBSTITUTE(SUBSTITUTE(SUBSTITUTE(SUBSTITUTE(SUBSTITUTE(SUBSTITUTE(SUBSTITUTE(SUBSTITUTE(SUBSTITUTE(SUBSTITUTE(SUBSTITUTE(SUBSTITUTE(SUBSTITUTE(SUBSTITUTE(LOWER(Z251&amp;""),CHAR(10)," "),CHAR(13)," "),CHAR(9)," "),CHAR(160)," "),"."," "),","," "),"-"," "),"/"," "),"("," "),")"," "),":"," "),";"," "),"_"," "),"–"," "),"?"," "),"!"," "),"*"," "),"["," "),"]"," "),"'"," "),"#"," "),"+"," "),"&amp;"," "),"\"," "))&amp;" "</f>
        <v>  </v>
      </c>
      <c r="BE251" s="61" t="str">
        <f aca="false">" "&amp;TRIM(SUBSTITUTE(SUBSTITUTE(SUBSTITUTE(SUBSTITUTE(SUBSTITUTE(SUBSTITUTE(SUBSTITUTE(SUBSTITUTE(SUBSTITUTE(SUBSTITUTE(SUBSTITUTE(SUBSTITUTE(SUBSTITUTE(SUBSTITUTE(SUBSTITUTE(SUBSTITUTE(SUBSTITUTE(SUBSTITUTE(SUBSTITUTE(SUBSTITUTE(SUBSTITUTE(SUBSTITUTE(SUBSTITUTE(SUBSTITUTE(LOWER(W251&amp;""),CHAR(10)," "),CHAR(13)," "),CHAR(9)," "),CHAR(160)," "),"."," "),","," "),"-"," "),"/"," "),"("," "),")"," "),":"," "),";"," "),"_"," "),"–"," "),"?"," "),"!"," "),"*"," "),"["," "),"]"," "),"'"," "),"#"," "),"+"," "),"&amp;"," "),"\"," "))&amp;" "</f>
        <v>  </v>
      </c>
      <c r="BF251" s="61" t="str">
        <f aca="false">" "&amp;TRIM(SUBSTITUTE(SUBSTITUTE(SUBSTITUTE(SUBSTITUTE(SUBSTITUTE(SUBSTITUTE(SUBSTITUTE(SUBSTITUTE(SUBSTITUTE(SUBSTITUTE(SUBSTITUTE(SUBSTITUTE(SUBSTITUTE(SUBSTITUTE(SUBSTITUTE(SUBSTITUTE(SUBSTITUTE(SUBSTITUTE(SUBSTITUTE(SUBSTITUTE(SUBSTITUTE(SUBSTITUTE(SUBSTITUTE(SUBSTITUTE(LOWER(AC251&amp;""),CHAR(10)," "),CHAR(13)," "),CHAR(9)," "),CHAR(160)," "),"."," "),","," "),"-"," "),"/"," "),"("," "),")"," "),":"," "),";"," "),"_"," "),"–"," "),"?"," "),"!"," "),"*"," "),"["," "),"]"," "),"'"," "),"#"," "),"+"," "),"&amp;"," "),"\"," "))&amp;" "</f>
        <v>  </v>
      </c>
      <c r="BG251" s="61" t="n">
        <f aca="false">IFERROR(IF(AND(TRIM(U251)="Pass",SUMPRODUCT((LEN(BC251)-LEN(SUBSTITUTE(BC251," "&amp;L_ResultBad&amp;" "," ")))/(LEN(L_ResultBad)+1))&gt;SUMPRODUCT((LEN(BC251)-LEN(SUBSTITUTE(BC251," "&amp;L_NegPhrase&amp;" "," ")))/(LEN(L_NegPhrase)+1))),1,0),0)</f>
        <v>0</v>
      </c>
      <c r="BH251" s="61" t="n">
        <f aca="false">IFERROR(IF(SUMPRODUCT((LEN(BC251)-LEN(SUBSTITUTE(BC251," "&amp;L_Pending&amp;" "," ")))/(LEN(L_Pending)+1))&gt;SUMPRODUCT((LEN(BC251)-LEN(SUBSTITUTE(BC251," "&amp;L_PendNeg&amp;" "," ")))/(LEN(L_PendNeg)+1)),1,0),1)</f>
        <v>0</v>
      </c>
      <c r="BI251" s="61" t="n">
        <f aca="false">IFERROR(IF(SUMPRODUCT((LEN(BD251)-LEN(SUBSTITUTE(BD251," "&amp;L_PendStrict&amp;" "," ")))/(LEN(L_PendStrict)+1))&gt;SUMPRODUCT((LEN(BD251)-LEN(SUBSTITUTE(BD251," "&amp;L_PendNeg&amp;" "," ")))/(LEN(L_PendNeg)+1)),1,0),1)</f>
        <v>0</v>
      </c>
      <c r="BJ251" s="61" t="n">
        <f aca="false">IFERROR(IF(SUMPRODUCT((LEN(BE251)-LEN(SUBSTITUTE(BE251," "&amp;L_Pending&amp;" "," ")))/(LEN(L_Pending)+1))&gt;SUMPRODUCT((LEN(BE251)-LEN(SUBSTITUTE(BE251," "&amp;L_PendNeg&amp;" "," ")))/(LEN(L_PendNeg)+1)),1,0),1)</f>
        <v>0</v>
      </c>
      <c r="BK251" s="61" t="n">
        <f aca="false">IFERROR(IF(SUMPRODUCT((LEN(BF251)-LEN(SUBSTITUTE(BF251," "&amp;L_PendStrict&amp;" "," ")))/(LEN(L_PendStrict)+1))&gt;SUMPRODUCT((LEN(BF251)-LEN(SUBSTITUTE(BF251," "&amp;L_PendNeg&amp;" "," ")))/(LEN(L_PendNeg)+1)),1,0),1)</f>
        <v>0</v>
      </c>
      <c r="BL251" s="61" t="n">
        <f aca="false">IF(ISNA(MATCH(TRIM(S251),L_EvidenceType,0)),0,BZ251)</f>
        <v>0</v>
      </c>
      <c r="BM251" s="61" t="str">
        <f aca="false">SUBSTITUTE(SUBSTITUTE(SUBSTITUTE(SUBSTITUTE(SUBSTITUTE(SUBSTITUTE(SUBSTITUTE(SUBSTITUTE(SUBSTITUTE(LOWER(Z251&amp;""),"1","0"),"2","0"),"3","0"),"4","0"),"5","0"),"6","0"),"7","0"),"8","0"),"9","0")</f>
        <v/>
      </c>
      <c r="BN251" s="61" t="str">
        <f aca="false">SUBSTITUTE(SUBSTITUTE(SUBSTITUTE(SUBSTITUTE(SUBSTITUTE(SUBSTITUTE(SUBSTITUTE(SUBSTITUTE(SUBSTITUTE(SUBSTITUTE(SUBSTITUTE(SUBSTITUTE(SUBSTITUTE(SUBSTITUTE(SUBSTITUTE(SUBSTITUTE(SUBSTITUTE(SUBSTITUTE(SUBSTITUTE(SUBSTITUTE(SUBSTITUTE(SUBSTITUTE(SUBSTITUTE(SUBSTITUTE(SUBSTITUTE(BM251,"b","a"),"c","a"),"d","a"),"e","a"),"f","a"),"g","a"),"h","a"),"i","a"),"j","a"),"k","a"),"l","a"),"m","a"),"n","a"),"o","a"),"p","a"),"q","a"),"r","a"),"s","a"),"t","a"),"u","a"),"v","a"),"w","a"),"x","a"),"y","a"),"z","a")</f>
        <v/>
      </c>
      <c r="BO251" s="61" t="str">
        <f aca="false">SUBSTITUTE(SUBSTITUTE(SUBSTITUTE(SUBSTITUTE(SUBSTITUTE(SUBSTITUTE(SUBSTITUTE(SUBSTITUTE(SUBSTITUTE(LOWER(W251&amp;""),"1","0"),"2","0"),"3","0"),"4","0"),"5","0"),"6","0"),"7","0"),"8","0"),"9","0")</f>
        <v/>
      </c>
      <c r="BP251" s="61" t="str">
        <f aca="false">SUBSTITUTE(SUBSTITUTE(SUBSTITUTE(SUBSTITUTE(SUBSTITUTE(SUBSTITUTE(SUBSTITUTE(SUBSTITUTE(SUBSTITUTE(SUBSTITUTE(SUBSTITUTE(SUBSTITUTE(SUBSTITUTE(SUBSTITUTE(SUBSTITUTE(SUBSTITUTE(SUBSTITUTE(SUBSTITUTE(SUBSTITUTE(SUBSTITUTE(SUBSTITUTE(SUBSTITUTE(SUBSTITUTE(SUBSTITUTE(SUBSTITUTE(BO251,"b","a"),"c","a"),"d","a"),"e","a"),"f","a"),"g","a"),"h","a"),"i","a"),"j","a"),"k","a"),"l","a"),"m","a"),"n","a"),"o","a"),"p","a"),"q","a"),"r","a"),"s","a"),"t","a"),"u","a"),"v","a"),"w","a"),"x","a"),"y","a"),"z","a")</f>
        <v/>
      </c>
      <c r="BQ251" s="61" t="n">
        <f aca="false">IFERROR(IF(AND(ISERROR(SEARCH(" mh"," "&amp;LOWER(W251))),ISNA(MATCH(LEFT(TRIM(BP251),255),{"0000a","000a","00a","0000aa","000aa","00aa","0aa","0000aaa","000aaa","00a00","0a00","0000-0000","00:00","a00","a0","00.00.0000","00/00/0000","00-00-0000","0000-00-00","0000/00/00","0000.00.00","00.00.00","00/00/00","00-00-00","0.00.0000","0/00/0000","0-00-0000"},0)),ISNA(MATCH(LEFT(TRIM(CA251),255),{"0000a","000a","00a","0000aa","000aa","00aa","0aa","0000aaa","000aaa","00a00","0a00","0000-0000","00:00","a00","a0","00.00.0000","00/00/0000","00-00-0000","0000-00-00","0000/00/00","0000.00.00","00.00.00","00/00/00","00-00-00","0.00.0000","0/00/0000","0-00-0000"},0)),LEN(CB251)&gt;=3,NOT(OR(SUBSTITUTE(CB251,"0","")="",AND(LEN(CB251)&gt;=4,CB251=REPT(LEFT(CB251),LEN(CB251))),ISNUMBER(MATCH(CB251,{"123","1234","12345","123456","1234567","12345678","0123","01234","012345","98765","987654","54321"},0)),AND(LEN(CB251)=8,LEFT(CB251,3)="202"))),OR(AND((LEN(CA251)-LEN(SUBSTITUTE(CA251,"a","")))&gt;=1,SUMPRODUCT(--ISNUMBER(SEARCH({"a0","a-0","a_0","a/0","a.0","a#0","0a","0-a","0_a","0/a"},BP251)))&gt;0),ISNUMBER(SEARCH("000000",BP251)))),1,0),0)</f>
        <v>0</v>
      </c>
      <c r="BR251" s="61" t="n">
        <f aca="false">IFERROR(LEN(SUBSTITUTE(CC251," ",""))-SUMPRODUCT((LEN(CC251)-LEN(SUBSTITUTE(CC251," "&amp;L_Role&amp;" "," ")))/(LEN(L_Role)+1)*LEN(L_Role)),0)</f>
        <v>0</v>
      </c>
      <c r="BS251" s="61" t="n">
        <f aca="false">IFERROR(LEN(SUBSTITUTE(CD251," ",""))-SUMPRODUCT((LEN(CD251)-LEN(SUBSTITUTE(CD251," "&amp;L_Role&amp;" "," ")))/(LEN(L_Role)+1)*LEN(L_Role)),0)</f>
        <v>0</v>
      </c>
      <c r="BT2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251,"revision",""),"version",""),"jan",""),"feb",""),"mar",""),"apr",""),"may",""),"jun",""),"jul",""),"aug",""),"sep",""),"oct",""),"nov",""),"dec",""),"utc",""),"gmt",""),"myt",""),"bst",""),"rev",""),"ver",""),"b","a"),"c","a"),"d","a"),"e","a"),"f","a"),"g","a"),"h","a"),"i","a"),"j","a"),"k","a"),"l","a"),"m","a"),"n","a"),"o","a"),"p","a"),"q","a"),"r","a"),"s","a"),"t","a"),"u","a"),"v","a"),"w","a"),"x","a"),"y","a"),"z","a")</f>
        <v/>
      </c>
      <c r="BU251" s="61" t="str">
        <f aca="false">SUBSTITUTE(SUBSTITUTE(SUBSTITUTE(SUBSTITUTE(SUBSTITUTE(SUBSTITUTE(SUBSTITUTE(SUBSTITUTE(SUBSTITUTE(SUBSTITUTE(LEFT(BM251,FIND("0",BM251&amp;"0")-1),"-",""),"_",""),"/",""),".",""),"#",""),"\\",""),":","")," ",""),"(",""),")","")</f>
        <v/>
      </c>
      <c r="BV251" s="61" t="n">
        <f aca="false">IFERROR(IF(OR(SUMPRODUCT((LEN(BC251)-LEN(SUBSTITUTE(BC251," "&amp;L_NotLoaded&amp;" "," ")))/(LEN(L_NotLoaded)+1))&gt;SUMPRODUCT((LEN(BC251)-LEN(SUBSTITUTE(BC251," "&amp;L_NotLoadedNeg&amp;" "," ")))/(LEN(L_NotLoadedNeg)+1)),SUMPRODUCT((LEN(BD251)-LEN(SUBSTITUTE(BD251," "&amp;L_NotLoaded&amp;" "," ")))/(LEN(L_NotLoaded)+1))&gt;SUMPRODUCT((LEN(BD251)-LEN(SUBSTITUTE(BD251," "&amp;L_NotLoadedNeg&amp;" "," ")))/(LEN(L_NotLoadedNeg)+1))),1,0),0)</f>
        <v>0</v>
      </c>
      <c r="BW2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251&amp;""),"a",""),"b",""),"c",""),"d",""),"e",""),"f",""),"g",""),"h",""),"i",""),"j",""),"k",""),"l",""),"m",""),"n",""),"o",""),"p",""),"q",""),"r",""),"s",""),"t",""),"u",""),"v",""),"w",""),"x",""),"y",""),"z",""),"-",""),"_",""),"/",""),".",""),"#",""),"\\",""),":","")," ",""),"(",""),")","")</f>
        <v/>
      </c>
      <c r="BX251" s="61" t="str">
        <f aca="false">SUBSTITUTE(SUBSTITUTE(SUBSTITUTE(SUBSTITUTE(SUBSTITUTE(SUBSTITUTE(SUBSTITUTE(SUBSTITUTE(SUBSTITUTE(SUBSTITUTE(SUBSTITUTE(BM251,"0",""),"-",""),"_",""),"/",""),".",""),"#",""),"\\",""),":","")," ",""),"(",""),")","")</f>
        <v/>
      </c>
      <c r="BY251" s="62" t="n">
        <f aca="false">IF(ISNUMBER(Flights!$AZ$11),MAX(Q251-UpliftWindowH/24,Flights!$AZ$11),Q251-UpliftWindowH/24)</f>
        <v>46304.4166666667</v>
      </c>
      <c r="BZ251" s="61" t="n">
        <f aca="false">IFERROR(IF(IF(TRIM(S251)="Link / file path",AND(LEN(TRIM(Z251))&gt;=5,SUMPRODUCT(--ISNUMBER(SEARCH({"http","www.","\\",":\",".pdf",".jpg",".jpeg",".png",".heic",".xls",".doc",".msg",".eml",".ppt",".txt",".zip"},Z251)))&gt;0),AND(ISERROR(FIND(" ",TRIM(Z251))),NOT(OR(SUMPRODUCT(--ISNUMBER(FIND({",",";","&amp;","+"},Z251)))&gt;0,SUMPRODUCT(--ISNUMBER(SEARCH({"0/aa","0\\aa"},BN251)))&gt;0)),NOT(SUMPRODUCT(--ISNUMBER(SEARCH({"http","www.","\\",":\",".pdf",".jpg",".jpeg",".png",".heic",".xls",".doc",".msg",".eml",".ppt",".txt",".zip"},Z251)))&gt;0),NOT(LOWER(TRIM(Z251))=LOWER(Flights!$F$11)),ISNA(MATCH(BU251,{"mh","rev","revision","ver","version","v","r","a","b","seat","tray","row","gate","bay","stand","page","pg","item","line","no","cart","galley","flight","flt","table","box","bag","oven","etd","eta","std","sta","atd","ata","qty","pax","x","time","tel","ph","mob","day","wk","week","utc","gmt","myt","lt"},0)),NOT(OR(ISNUMBER(MATCH(LEFT(BN251,255),{"0000a","000a","00a","0000aa","000aa","00aa","0aa","0000aaa","000aaa","00a00","0a00","0000-0000","00:00","a00","a0","00.00.0000","00/00/0000","00-00-0000","0000-00-00","0000/00/00","0000.00.00","00.00.00","00/00/00","00-00-00","0.00.0000","0/00/0000","0-00-0000"},0)),ISNUMBER(MATCH(LEFT(BT251,255),{"0000a","000a","00a","0000aa","000aa","00aa","0aa","0000aaa","000aaa","00a00","0a00","0000-0000","00:00","a00","a0","00.00.0000","00/00/0000","00-00-0000","0000-00-00","0000/00/00","0000.00.00","00.00.00","00/00/00","00-00-00","0.00.0000","0/00/0000","0-00-0000"},0)))),NOT(OR(AND(BW251&lt;&gt;"",SUBSTITUTE(BW251,"0","")=""),AND(LEN(BW251)&gt;=4,BW251=REPT(LEFT(BW251),LEN(BW251))),ISNUMBER(MATCH(BW251,{"123","1234","12345","123456","1234567","12345678","0123","01234","012345","98765","987654","54321"},0)),ISNUMBER(MATCH(BX251,{"x","xx","xxx","xxxx","xxxxx","abc","abcd","nil","na","nan","test","tbc","tba","tbd","dummy","sample","example","eg","zz","zzz","none","null","xyz","qwe","asd","id","ref"},0)),AND(LEN(BW251)=8,BX251="",OR(LEFT(BW251,3)="202",ISNUMBER(MATCH(RIGHT(BW251,4),{"2025","2026","2027"},0)))))),OR(AND((LEN(BT251)-LEN(SUBSTITUTE(BT251,"a","")))&gt;=1,(LEN(BN251)-LEN(SUBSTITUTE(BN251,"0","")))&gt;=2,SUMPRODUCT(--ISNUMBER(SEARCH({"a0","a-0","a_0","a/0","a.0","a#0","0a","0-a","0_a","0/a"},BN251)))&gt;0),AND((LEN(BN251)-LEN(SUBSTITUTE(BN251,"a","")))=0,(LEN(BN251)-LEN(SUBSTITUTE(BN251,"0","")))&gt;=5)))),1,0),0)</f>
        <v>0</v>
      </c>
      <c r="CA2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251,"revision",""),"version",""),"jan",""),"feb",""),"mar",""),"apr",""),"may",""),"jun",""),"jul",""),"aug",""),"sep",""),"oct",""),"nov",""),"dec",""),"utc",""),"gmt",""),"myt",""),"bst",""),"rev",""),"ver",""),"b","a"),"c","a"),"d","a"),"e","a"),"f","a"),"g","a"),"h","a"),"i","a"),"j","a"),"k","a"),"l","a"),"m","a"),"n","a"),"o","a"),"p","a"),"q","a"),"r","a"),"s","a"),"t","a"),"u","a"),"v","a"),"w","a"),"x","a"),"y","a"),"z","a")</f>
        <v/>
      </c>
      <c r="CB2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251&amp;""),"a",""),"b",""),"c",""),"d",""),"e",""),"f",""),"g",""),"h",""),"i",""),"j",""),"k",""),"l",""),"m",""),"n",""),"o",""),"p",""),"q",""),"r",""),"s",""),"t",""),"u",""),"v",""),"w",""),"x",""),"y",""),"z",""),"-",""),"_",""),"/",""),".",""),"#",""),"\\",""),":","")," ",""),"(",""),")","")</f>
        <v/>
      </c>
      <c r="CC251" s="0" t="str">
        <f aca="false">" "&amp;TRIM(SUBSTITUTE(SUBSTITUTE(SUBSTITUTE(SUBSTITUTE(SUBSTITUTE(SUBSTITUTE(SUBSTITUTE(SUBSTITUTE(SUBSTITUTE(SUBSTITUTE(SUBSTITUTE(SUBSTITUTE(SUBSTITUTE(SUBSTITUTE(SUBSTITUTE(SUBSTITUTE(SUBSTITUTE(SUBSTITUTE(SUBSTITUTE(SUBSTITUTE(SUBSTITUTE(SUBSTITUTE(SUBSTITUTE(SUBSTITUTE(LOWER(T251&amp;""),CHAR(10)," "),CHAR(13)," "),CHAR(9)," "),CHAR(160)," "),"."," "),","," "),"-"," "),"/"," "),"("," "),")"," "),":"," "),";"," "),"_"," "),"–"," "),"?"," "),"!"," "),"*"," "),"["," "),"]"," "),"'"," "),"#"," "),"+"," "),"&amp;"," "),"\"," "))&amp;" "</f>
        <v>  </v>
      </c>
      <c r="CD251" s="0" t="str">
        <f aca="false">" "&amp;TRIM(SUBSTITUTE(SUBSTITUTE(SUBSTITUTE(SUBSTITUTE(SUBSTITUTE(SUBSTITUTE(SUBSTITUTE(SUBSTITUTE(SUBSTITUTE(SUBSTITUTE(SUBSTITUTE(SUBSTITUTE(SUBSTITUTE(SUBSTITUTE(SUBSTITUTE(SUBSTITUTE(SUBSTITUTE(SUBSTITUTE(SUBSTITUTE(SUBSTITUTE(SUBSTITUTE(SUBSTITUTE(SUBSTITUTE(SUBSTITUTE(LOWER(AE251&amp;""),CHAR(10)," "),CHAR(13)," "),CHAR(9)," "),CHAR(160)," "),"."," "),","," "),"-"," "),"/"," "),"("," "),")"," "),":"," "),";"," "),"_"," "),"–"," "),"?"," "),"!"," "),"*"," "),"["," "),"]"," "),"'"," "),"#"," "),"+"," "),"&amp;"," "),"\"," "))&amp;" "</f>
        <v>  </v>
      </c>
      <c r="CE251" s="68" t="n">
        <f aca="false">IFERROR(IF(AND(LEN(AU251)&gt;0,LEN(AU251)=LEN(AX251),OR(TRIM(MID(SUBSTITUTE(TRIM(CC251)," ",REPT(" ",60)),1,60))="",ISNUMBER(SEARCH(" "&amp;TRIM(MID(SUBSTITUTE(TRIM(CC251)," ",REPT(" ",60)),1,60))&amp;" ",CD251))),OR(TRIM(MID(SUBSTITUTE(TRIM(CC251)," ",REPT(" ",60)),61,60))="",ISNUMBER(SEARCH(" "&amp;TRIM(MID(SUBSTITUTE(TRIM(CC251)," ",REPT(" ",60)),61,60))&amp;" ",CD251))),OR(TRIM(MID(SUBSTITUTE(TRIM(CC251)," ",REPT(" ",60)),121,60))="",ISNUMBER(SEARCH(" "&amp;TRIM(MID(SUBSTITUTE(TRIM(CC251)," ",REPT(" ",60)),121,60))&amp;" ",CD251)))),1,0),0)</f>
        <v>0</v>
      </c>
      <c r="CG251" s="68" t="n">
        <f aca="false">IFERROR(LEN(SUBSTITUTE(BF251," ",""))-SUMPRODUCT((LEN(BF251)-LEN(SUBSTITUTE(BF251," "&amp;L_NAFiller&amp;" "," ")))/(LEN(L_NAFiller)+1)*LEN(L_NAFiller)),0)</f>
        <v>0</v>
      </c>
    </row>
    <row r="252" customFormat="false" ht="39.75" hidden="false" customHeight="true" outlineLevel="0" collapsed="false">
      <c r="A252" s="57" t="s">
        <v>823</v>
      </c>
      <c r="B252" s="57" t="s">
        <v>235</v>
      </c>
      <c r="C252" s="57" t="str">
        <f aca="false">Flights!$F$11</f>
        <v>MH0003</v>
      </c>
      <c r="D252" s="58" t="n">
        <f aca="false">Flights!$D$11</f>
        <v>46304</v>
      </c>
      <c r="E252" s="57" t="str">
        <f aca="false">Flights!$G$11&amp;"-"&amp;Flights!$H$11</f>
        <v>LHR-KUL</v>
      </c>
      <c r="F252" s="57" t="str">
        <f aca="false">Flights!$K$11</f>
        <v>BC</v>
      </c>
      <c r="G252" s="57" t="s">
        <v>459</v>
      </c>
      <c r="H252" s="57" t="s">
        <v>460</v>
      </c>
      <c r="I252" s="57" t="s">
        <v>499</v>
      </c>
      <c r="J252" s="57" t="s">
        <v>539</v>
      </c>
      <c r="K252" s="67" t="s">
        <v>501</v>
      </c>
      <c r="L252" s="67" t="s">
        <v>738</v>
      </c>
      <c r="M252" s="67" t="s">
        <v>451</v>
      </c>
      <c r="N252" s="67" t="s">
        <v>383</v>
      </c>
      <c r="O252" s="67"/>
      <c r="P252" s="57" t="s">
        <v>186</v>
      </c>
      <c r="Q252" s="59" t="n">
        <f aca="false">ROUND((Flights!$AF$11)*1440,0)/1440</f>
        <v>46304.4166666667</v>
      </c>
      <c r="R252" s="59" t="n">
        <f aca="false">Q252+(IF(AND(INDEX(TZ_DSTS,MATCH(P252,TZ_STN,0))&lt;&gt;"",Q252&gt;=INDEX(TZ_DSTS,MATCH(P252,TZ_STN,0)),Q252&lt;INDEX(TZ_DSTE,MATCH(P252,TZ_STN,0))),INDEX(TZ_DST,MATCH(P252,TZ_STN,0)),INDEX(TZ_STD,MATCH(P252,TZ_STN,0))))/24</f>
        <v>46304.4583333333</v>
      </c>
      <c r="S252" s="60"/>
      <c r="T252" s="60"/>
      <c r="U252" s="60"/>
      <c r="V252" s="60"/>
      <c r="W252" s="61"/>
      <c r="X252" s="60"/>
      <c r="Y252" s="60"/>
      <c r="Z252" s="60"/>
      <c r="AA252" s="60"/>
      <c r="AB252" s="60"/>
      <c r="AC252" s="60"/>
      <c r="AD252" s="66"/>
      <c r="AE252" s="60"/>
      <c r="AF252" s="61" t="str">
        <f aca="false">IF(AND(ISNUMBER(X252),ISNUMBER(Y252)),Y252-X252,"")</f>
        <v/>
      </c>
      <c r="AG252" s="62" t="str">
        <f aca="false">IF(ISNUMBER(AD252),AD252-(IF(AND(INDEX(TZ_DSTS,MATCH(P252,TZ_STN,0))&lt;&gt;"",(AD252-INDEX(TZ_STD,MATCH(P252,TZ_STN,0))/24)&gt;=INDEX(TZ_DSTS,MATCH(P252,TZ_STN,0)),(AD252-INDEX(TZ_STD,MATCH(P252,TZ_STN,0))/24)&lt;INDEX(TZ_DSTE,MATCH(P252,TZ_STN,0))),INDEX(TZ_DST,MATCH(P252,TZ_STN,0)),INDEX(TZ_STD,MATCH(P252,TZ_STN,0))))/24,"")</f>
        <v/>
      </c>
      <c r="AH252" s="65" t="str">
        <f aca="false">IFERROR(IF(N252="N/A – rule",IF(OR(TRIM(U252)="",TRIM(U252)="N/A",TRIM(U252)="Not started"),"N/A – RULE","INVALID – this check does not apply to this aircraft: clear the status (or correct the fleet on Flights)"),IF(TRIM(U252)="N/A",IF(AT252=0,"INVALID – N/A not permitted for this check",IF(AND(TRIM(AB252)&lt;&gt;"",TRIM(AB252)&lt;&gt;"Closed"),"INVALID – corrective action still open",IF(AND(NOT(OR(LEN(AZ252)&lt;15,ISNUMBER(MATCH(AZ252,L_Placeholder,0)))),BK252=0,CG252&gt;=8,NOT(OR(LEN(AU252)&lt;2,ISNUMBER(MATCH(AU252,L_Placeholder,0)))),BR252&gt;=3,NOT(OR(LEN(AX252)&lt;2,ISNUMBER(MATCH(AX252,L_Placeholder,0)))),BS252&gt;=3,TRIM(AE252)&lt;&gt;TRIM(T252),AX252&lt;&gt;AU252,CE252=0),"N/A – JUSTIFIED","INVALID – N/A needs a real, settled reason (not 'not applicable' / 'as above' / TBC), a named PIC and a different named verifier"))),IF(OR(TRIM(U252)="Pass",TRIM(U252)="Pass after CA"),IF(NOT(ISNUMBER(AD252)),"INVALID – completion time missing",IF(OR(OR(LEN(AU252)&lt;2,ISNUMBER(MATCH(AU252,L_Placeholder,0))),BR252&lt;3),"INVALID – PIC missing or not a named person (a role such as QA / CSM is not a name)",IF(OR(LEN(AV252)&lt;2,ISNUMBER(MATCH(AV252,L_Placeholder,0))),"INVALID – result / assessment missing",IF(OR(OR(LEN(AW252)&lt;3,ISNUMBER(MATCH(AW252,L_Placeholder,0))),SUMPRODUCT(--ISNUMBER(SEARCH(" "&amp;L_EvidencePhrase&amp;" ",BD252)))&gt;0,BI252=1),"INVALID – evidence missing, placeholder or not yet on file",IF(ISNA(MATCH(TRIM(S252),L_EvidenceType,0)),"INVALID – choose the evidence type from the list (column S)",IF(BL252=0,"INVALID – evidence ID must be the record's own ID only (e.g. SF-2210, IMG_2231, 1045521); a link / file name needs type 'Link / file path'",IF(OR(OR(LEN(AX252)&lt;2,ISNUMBER(MATCH(AX252,L_Placeholder,0))),BS252&lt;3),"INVALID – verifier missing or not a named person (a role such as QA / CSM is not a name)",IF(OR(AX252=AU252,CE252=1,AND(LEN(AU252)&gt;=4,ISNUMBER(SEARCH(AU252,AX252))),AND(LEN(AX252)&gt;=4,ISNUMBER(SEARCH(AX252,AU252)))),"INVALID – verifier must be a different, named person (not the PIC or a role)",IF(BH252=1,"INVALID – result not yet available (awaiting / TBC)",IF(BG252=1,"INVALID – result describes a problem: record Fail, then Pass after CA (or reword if it is not a problem)",IF(BV252=1,"INVALID – wording says not on board: an on-board confirmation needs the item loaded",IF(AND(AQ252=1,OR(OR(LEN(AY252)&lt;3,ISNUMBER(MATCH(AY252,L_Placeholder,0))),BJ252=1,BQ252=0)),"INVALID – batch ID missing, placeholder or not an ID (e.g. PASB-261008-BC-017)",IF(AND(AR252=1,OR(NOT(ISNUMBER(X252)),NOT(ISNUMBER(Y252)))),"INVALID – expected/actual qty missing",IF(AND(AR252=1,OR(X252&lt;=0,Y252&lt;0)),"INVALID – expected qty must be above 0 and actual not negative",IF(AH235="N/A – JUSTIFIED","INVALID – preparation row F07-T12-12 is N/A",IF(AND(AR252=1,ISNUMBER(X235),X252&lt;&gt;X235,TRIM(U252)&lt;&gt;"Pass after CA"),"INVALID – expected qty differs from preparation check F07-T12-12: record the load change as a corrective action (Pass after CA)",IF(BB252&lt;&gt;"",BB252,IF(AND(AS252=1,Documents!$J$11&lt;&gt;"ON FILE"),"INVALID – GLD not on file (Documents sheet)",IF(AND(AS252=2,Documents!$O$11&lt;&gt;"ON FILE"),"INVALID – menu checklist not on file (Documents sheet)",IF(AND(AS252=3,NOT(ISNUMBER(Flights!$AX$11))),"INVALID – enter carrying flight KUL departure (Flights AX)",IF(AND(AS252=3,OR(Flights!$AZ$11&gt;Flights!$AA$11,Flights!$AX$11&lt;Flights!$AA$11-3)),"INVALID – carrying flight (Flights AX) cannot arrive before this leg's STD, or is over 3 days early",IF(AG252&gt;AsOfUTC,"INVALID – completion time is in the future",IF(AND(ISNUMBER(BY252),AG252&lt;BY252),IF(H252="Physical uplift","INVALID – before uplift window (cannot confirm loading)","INVALID – before valid window"),IF(AG252&gt;Flights!$AA$11,"INVALID – completed after departure (cannot establish readiness)",IF(AND(H252="Preparation",AG252&gt;=IF(ISNUMBER(Flights!$BA$11),MIN(Flights!$BA$11,Flights!$AA$11),Flights!$AA$11)),"INVALID – completed after loading / departure (cannot establish readiness)",IF(AND(H252="Physical uplift",AG252&gt;Q252),"INVALID – recorded after the loading flight departed",IF(AG252&gt;Q252,"COMPLETE – LATE","COMPLETE"))))))))))))))))))))))))))),IF(TRIM(U252)="Fail","FAIL – DISCREPANCY",IF(AND(TRIM(U252)&lt;&gt;"",TRIM(U252)&lt;&gt;"Not started",TRIM(U252)&lt;&gt;"In progress"),"INVALID – unrecognised status (use the list)",IF(AsOfUTC&gt;Q252,"OVERDUE",IF(N252="Clarification required","OPEN – CLARIFICATION","OPEN"))))))),"INVALID – error value in an input cell")</f>
        <v>OPEN</v>
      </c>
      <c r="AI252" s="61" t="n">
        <f aca="false">IF(OR(AH252="N/A – RULE",AH252="N/A – JUSTIFIED"),0,1)</f>
        <v>1</v>
      </c>
      <c r="AJ252" s="61" t="n">
        <f aca="false">IF(LEFT(AH252,8)="COMPLETE",1,0)</f>
        <v>0</v>
      </c>
      <c r="AK252" s="61" t="n">
        <f aca="false">IF(AND(AI252=1,AJ252=0,AsOfUTC&gt;Q252),1,0)</f>
        <v>0</v>
      </c>
      <c r="AL252" s="61" t="n">
        <f aca="false">IFERROR(IF(AND(AI252=1,OR(TRIM(U252)="Fail",AND(TRIM(AB252)&lt;&gt;"",TRIM(AB252)&lt;&gt;"Closed"),AND(ISNUMBER(AF252),AF252&lt;&gt;0,TRIM(U252)&lt;&gt;"Pass after CA"))),1,0),1)</f>
        <v>0</v>
      </c>
      <c r="AM252" s="61" t="n">
        <f aca="false">IF(LEFT(AH252,7)="INVALID",1,0)</f>
        <v>0</v>
      </c>
      <c r="AN252" s="61" t="n">
        <f aca="false">IF(AND(N252="Clarification required",AI252=1,AJ252=0),1,0)</f>
        <v>0</v>
      </c>
      <c r="AO252" s="61" t="str">
        <f aca="false">IF(AK252=1,SUM(AK$5:AK252),"")</f>
        <v/>
      </c>
      <c r="AP252" s="61" t="str">
        <f aca="false">IF(AL252=1,SUM(AL$5:AL252),"")</f>
        <v/>
      </c>
      <c r="AQ252" s="61" t="n">
        <v>0</v>
      </c>
      <c r="AR252" s="61" t="n">
        <v>0</v>
      </c>
      <c r="AS252" s="61" t="n">
        <v>0</v>
      </c>
      <c r="AT252" s="61" t="n">
        <v>0</v>
      </c>
      <c r="AU252" s="61" t="str">
        <f aca="false">SUBSTITUTE(SUBSTITUTE(SUBSTITUTE(SUBSTITUTE(SUBSTITUTE(SUBSTITUTE(SUBSTITUTE(SUBSTITUTE(SUBSTITUTE(SUBSTITUTE(SUBSTITUTE(SUBSTITUTE(SUBSTITUTE(SUBSTITUTE(SUBSTITUTE(SUBSTITUTE(LOWER(T252&amp;""),CHAR(10),""),CHAR(13),""),CHAR(9),""),CHAR(160),"")," ",""),".",""),"-",""),"/",""),"?",""),"_",""),",",""),"[",""),"]",""),"(",""),")",""),"*","")</f>
        <v/>
      </c>
      <c r="AV252" s="61" t="str">
        <f aca="false">SUBSTITUTE(SUBSTITUTE(SUBSTITUTE(SUBSTITUTE(SUBSTITUTE(SUBSTITUTE(SUBSTITUTE(SUBSTITUTE(SUBSTITUTE(SUBSTITUTE(SUBSTITUTE(SUBSTITUTE(SUBSTITUTE(SUBSTITUTE(SUBSTITUTE(SUBSTITUTE(LOWER(V252&amp;""),CHAR(10),""),CHAR(13),""),CHAR(9),""),CHAR(160),"")," ",""),".",""),"-",""),"/",""),"?",""),"_",""),",",""),"[",""),"]",""),"(",""),")",""),"*","")</f>
        <v/>
      </c>
      <c r="AW252" s="61" t="str">
        <f aca="false">SUBSTITUTE(SUBSTITUTE(SUBSTITUTE(SUBSTITUTE(SUBSTITUTE(SUBSTITUTE(SUBSTITUTE(SUBSTITUTE(SUBSTITUTE(SUBSTITUTE(SUBSTITUTE(SUBSTITUTE(SUBSTITUTE(SUBSTITUTE(SUBSTITUTE(SUBSTITUTE(LOWER(Z252&amp;""),CHAR(10),""),CHAR(13),""),CHAR(9),""),CHAR(160),"")," ",""),".",""),"-",""),"/",""),"?",""),"_",""),",",""),"[",""),"]",""),"(",""),")",""),"*","")</f>
        <v/>
      </c>
      <c r="AX252" s="61" t="str">
        <f aca="false">SUBSTITUTE(SUBSTITUTE(SUBSTITUTE(SUBSTITUTE(SUBSTITUTE(SUBSTITUTE(SUBSTITUTE(SUBSTITUTE(SUBSTITUTE(SUBSTITUTE(SUBSTITUTE(SUBSTITUTE(SUBSTITUTE(SUBSTITUTE(SUBSTITUTE(SUBSTITUTE(LOWER(AE252&amp;""),CHAR(10),""),CHAR(13),""),CHAR(9),""),CHAR(160),"")," ",""),".",""),"-",""),"/",""),"?",""),"_",""),",",""),"[",""),"]",""),"(",""),")",""),"*","")</f>
        <v/>
      </c>
      <c r="AY252" s="61" t="str">
        <f aca="false">SUBSTITUTE(SUBSTITUTE(SUBSTITUTE(SUBSTITUTE(SUBSTITUTE(SUBSTITUTE(SUBSTITUTE(SUBSTITUTE(SUBSTITUTE(SUBSTITUTE(SUBSTITUTE(SUBSTITUTE(SUBSTITUTE(SUBSTITUTE(SUBSTITUTE(SUBSTITUTE(LOWER(W252&amp;""),CHAR(10),""),CHAR(13),""),CHAR(9),""),CHAR(160),"")," ",""),".",""),"-",""),"/",""),"?",""),"_",""),",",""),"[",""),"]",""),"(",""),")",""),"*","")</f>
        <v/>
      </c>
      <c r="AZ252" s="61" t="str">
        <f aca="false">SUBSTITUTE(SUBSTITUTE(SUBSTITUTE(SUBSTITUTE(SUBSTITUTE(SUBSTITUTE(SUBSTITUTE(SUBSTITUTE(SUBSTITUTE(SUBSTITUTE(SUBSTITUTE(SUBSTITUTE(SUBSTITUTE(SUBSTITUTE(SUBSTITUTE(SUBSTITUTE(LOWER(AC252&amp;""),CHAR(10),""),CHAR(13),""),CHAR(9),""),CHAR(160),"")," ",""),".",""),"-",""),"/",""),"?",""),"_",""),",",""),"[",""),"]",""),"(",""),")",""),"*","")</f>
        <v/>
      </c>
      <c r="BA252" s="61" t="str">
        <f aca="false">SUBSTITUTE(SUBSTITUTE(SUBSTITUTE(SUBSTITUTE(SUBSTITUTE(SUBSTITUTE(SUBSTITUTE(SUBSTITUTE(SUBSTITUTE(SUBSTITUTE(SUBSTITUTE(SUBSTITUTE(SUBSTITUTE(SUBSTITUTE(SUBSTITUTE(SUBSTITUTE(LOWER(AA252&amp;""),CHAR(10),""),CHAR(13),""),CHAR(9),""),CHAR(160),"")," ",""),".",""),"-",""),"/",""),"?",""),"_",""),",",""),"[",""),"]",""),"(",""),")",""),"*","")</f>
        <v/>
      </c>
      <c r="BB252" s="61" t="str">
        <f aca="false">IF(AND(TRIM(U252)="Pass",ISNUMBER(AF252)),IF(AF252&lt;&gt;0,"INVALID – qty variance: use Fail or Pass after CA",""),"")&amp;IF(AND(TRIM(U252)="Pass after CA",ISNUMBER(AF252)),IF(AF252&lt;&gt;0,"INVALID – after the corrective action the actual qty must equal expected (update Actual)",""),"")&amp;IF(AND(TRIM(U252)="Pass",TRIM(AB252)&lt;&gt;"",TRIM(AB252)&lt;&gt;"Closed"),"INVALID – corrective action not closed: use Fail, then Pass after CA","")&amp;IF(AND(LEN(BA252)&gt;=2,ISNA(MATCH(LEFT(BA252,255),L_Placeholder,0)),TRIM(AB252)=""),"INVALID – CA status missing for the recorded corrective action","")&amp;IF(AND(TRIM(U252)="Pass after CA",OR(OR(LEN(BA252)&lt;5,ISNUMBER(MATCH(BA252,L_Placeholder,0))),TRIM(AB252)&lt;&gt;"Closed")),"INVALID – corrective action not recorded/closed","")</f>
        <v/>
      </c>
      <c r="BC252" s="61" t="str">
        <f aca="false">" "&amp;TRIM(SUBSTITUTE(SUBSTITUTE(SUBSTITUTE(SUBSTITUTE(SUBSTITUTE(SUBSTITUTE(SUBSTITUTE(SUBSTITUTE(SUBSTITUTE(SUBSTITUTE(SUBSTITUTE(SUBSTITUTE(SUBSTITUTE(SUBSTITUTE(SUBSTITUTE(SUBSTITUTE(SUBSTITUTE(SUBSTITUTE(SUBSTITUTE(SUBSTITUTE(SUBSTITUTE(SUBSTITUTE(SUBSTITUTE(SUBSTITUTE(LOWER(V252&amp;""),CHAR(10)," "),CHAR(13)," "),CHAR(9)," "),CHAR(160)," "),"."," "),","," "),"-"," "),"/"," "),"("," "),")"," "),":"," "),";"," "),"_"," "),"–"," "),"?"," "),"!"," "),"*"," "),"["," "),"]"," "),"'"," "),"#"," "),"+"," "),"&amp;"," "),"\"," "))&amp;" "</f>
        <v>  </v>
      </c>
      <c r="BD252" s="61" t="str">
        <f aca="false">" "&amp;TRIM(SUBSTITUTE(SUBSTITUTE(SUBSTITUTE(SUBSTITUTE(SUBSTITUTE(SUBSTITUTE(SUBSTITUTE(SUBSTITUTE(SUBSTITUTE(SUBSTITUTE(SUBSTITUTE(SUBSTITUTE(SUBSTITUTE(SUBSTITUTE(SUBSTITUTE(SUBSTITUTE(SUBSTITUTE(SUBSTITUTE(SUBSTITUTE(SUBSTITUTE(SUBSTITUTE(SUBSTITUTE(SUBSTITUTE(SUBSTITUTE(LOWER(Z252&amp;""),CHAR(10)," "),CHAR(13)," "),CHAR(9)," "),CHAR(160)," "),"."," "),","," "),"-"," "),"/"," "),"("," "),")"," "),":"," "),";"," "),"_"," "),"–"," "),"?"," "),"!"," "),"*"," "),"["," "),"]"," "),"'"," "),"#"," "),"+"," "),"&amp;"," "),"\"," "))&amp;" "</f>
        <v>  </v>
      </c>
      <c r="BE252" s="61" t="str">
        <f aca="false">" "&amp;TRIM(SUBSTITUTE(SUBSTITUTE(SUBSTITUTE(SUBSTITUTE(SUBSTITUTE(SUBSTITUTE(SUBSTITUTE(SUBSTITUTE(SUBSTITUTE(SUBSTITUTE(SUBSTITUTE(SUBSTITUTE(SUBSTITUTE(SUBSTITUTE(SUBSTITUTE(SUBSTITUTE(SUBSTITUTE(SUBSTITUTE(SUBSTITUTE(SUBSTITUTE(SUBSTITUTE(SUBSTITUTE(SUBSTITUTE(SUBSTITUTE(LOWER(W252&amp;""),CHAR(10)," "),CHAR(13)," "),CHAR(9)," "),CHAR(160)," "),"."," "),","," "),"-"," "),"/"," "),"("," "),")"," "),":"," "),";"," "),"_"," "),"–"," "),"?"," "),"!"," "),"*"," "),"["," "),"]"," "),"'"," "),"#"," "),"+"," "),"&amp;"," "),"\"," "))&amp;" "</f>
        <v>  </v>
      </c>
      <c r="BF252" s="61" t="str">
        <f aca="false">" "&amp;TRIM(SUBSTITUTE(SUBSTITUTE(SUBSTITUTE(SUBSTITUTE(SUBSTITUTE(SUBSTITUTE(SUBSTITUTE(SUBSTITUTE(SUBSTITUTE(SUBSTITUTE(SUBSTITUTE(SUBSTITUTE(SUBSTITUTE(SUBSTITUTE(SUBSTITUTE(SUBSTITUTE(SUBSTITUTE(SUBSTITUTE(SUBSTITUTE(SUBSTITUTE(SUBSTITUTE(SUBSTITUTE(SUBSTITUTE(SUBSTITUTE(LOWER(AC252&amp;""),CHAR(10)," "),CHAR(13)," "),CHAR(9)," "),CHAR(160)," "),"."," "),","," "),"-"," "),"/"," "),"("," "),")"," "),":"," "),";"," "),"_"," "),"–"," "),"?"," "),"!"," "),"*"," "),"["," "),"]"," "),"'"," "),"#"," "),"+"," "),"&amp;"," "),"\"," "))&amp;" "</f>
        <v>  </v>
      </c>
      <c r="BG252" s="61" t="n">
        <f aca="false">IFERROR(IF(AND(TRIM(U252)="Pass",SUMPRODUCT((LEN(BC252)-LEN(SUBSTITUTE(BC252," "&amp;L_ResultBad&amp;" "," ")))/(LEN(L_ResultBad)+1))&gt;SUMPRODUCT((LEN(BC252)-LEN(SUBSTITUTE(BC252," "&amp;L_NegPhrase&amp;" "," ")))/(LEN(L_NegPhrase)+1))),1,0),0)</f>
        <v>0</v>
      </c>
      <c r="BH252" s="61" t="n">
        <f aca="false">IFERROR(IF(SUMPRODUCT((LEN(BC252)-LEN(SUBSTITUTE(BC252," "&amp;L_Pending&amp;" "," ")))/(LEN(L_Pending)+1))&gt;SUMPRODUCT((LEN(BC252)-LEN(SUBSTITUTE(BC252," "&amp;L_PendNeg&amp;" "," ")))/(LEN(L_PendNeg)+1)),1,0),1)</f>
        <v>0</v>
      </c>
      <c r="BI252" s="61" t="n">
        <f aca="false">IFERROR(IF(SUMPRODUCT((LEN(BD252)-LEN(SUBSTITUTE(BD252," "&amp;L_PendStrict&amp;" "," ")))/(LEN(L_PendStrict)+1))&gt;SUMPRODUCT((LEN(BD252)-LEN(SUBSTITUTE(BD252," "&amp;L_PendNeg&amp;" "," ")))/(LEN(L_PendNeg)+1)),1,0),1)</f>
        <v>0</v>
      </c>
      <c r="BJ252" s="61" t="n">
        <f aca="false">IFERROR(IF(SUMPRODUCT((LEN(BE252)-LEN(SUBSTITUTE(BE252," "&amp;L_Pending&amp;" "," ")))/(LEN(L_Pending)+1))&gt;SUMPRODUCT((LEN(BE252)-LEN(SUBSTITUTE(BE252," "&amp;L_PendNeg&amp;" "," ")))/(LEN(L_PendNeg)+1)),1,0),1)</f>
        <v>0</v>
      </c>
      <c r="BK252" s="61" t="n">
        <f aca="false">IFERROR(IF(SUMPRODUCT((LEN(BF252)-LEN(SUBSTITUTE(BF252," "&amp;L_PendStrict&amp;" "," ")))/(LEN(L_PendStrict)+1))&gt;SUMPRODUCT((LEN(BF252)-LEN(SUBSTITUTE(BF252," "&amp;L_PendNeg&amp;" "," ")))/(LEN(L_PendNeg)+1)),1,0),1)</f>
        <v>0</v>
      </c>
      <c r="BL252" s="61" t="n">
        <f aca="false">IF(ISNA(MATCH(TRIM(S252),L_EvidenceType,0)),0,BZ252)</f>
        <v>0</v>
      </c>
      <c r="BM252" s="61" t="str">
        <f aca="false">SUBSTITUTE(SUBSTITUTE(SUBSTITUTE(SUBSTITUTE(SUBSTITUTE(SUBSTITUTE(SUBSTITUTE(SUBSTITUTE(SUBSTITUTE(LOWER(Z252&amp;""),"1","0"),"2","0"),"3","0"),"4","0"),"5","0"),"6","0"),"7","0"),"8","0"),"9","0")</f>
        <v/>
      </c>
      <c r="BN252" s="61" t="str">
        <f aca="false">SUBSTITUTE(SUBSTITUTE(SUBSTITUTE(SUBSTITUTE(SUBSTITUTE(SUBSTITUTE(SUBSTITUTE(SUBSTITUTE(SUBSTITUTE(SUBSTITUTE(SUBSTITUTE(SUBSTITUTE(SUBSTITUTE(SUBSTITUTE(SUBSTITUTE(SUBSTITUTE(SUBSTITUTE(SUBSTITUTE(SUBSTITUTE(SUBSTITUTE(SUBSTITUTE(SUBSTITUTE(SUBSTITUTE(SUBSTITUTE(SUBSTITUTE(BM252,"b","a"),"c","a"),"d","a"),"e","a"),"f","a"),"g","a"),"h","a"),"i","a"),"j","a"),"k","a"),"l","a"),"m","a"),"n","a"),"o","a"),"p","a"),"q","a"),"r","a"),"s","a"),"t","a"),"u","a"),"v","a"),"w","a"),"x","a"),"y","a"),"z","a")</f>
        <v/>
      </c>
      <c r="BO252" s="61" t="str">
        <f aca="false">SUBSTITUTE(SUBSTITUTE(SUBSTITUTE(SUBSTITUTE(SUBSTITUTE(SUBSTITUTE(SUBSTITUTE(SUBSTITUTE(SUBSTITUTE(LOWER(W252&amp;""),"1","0"),"2","0"),"3","0"),"4","0"),"5","0"),"6","0"),"7","0"),"8","0"),"9","0")</f>
        <v/>
      </c>
      <c r="BP252" s="61" t="str">
        <f aca="false">SUBSTITUTE(SUBSTITUTE(SUBSTITUTE(SUBSTITUTE(SUBSTITUTE(SUBSTITUTE(SUBSTITUTE(SUBSTITUTE(SUBSTITUTE(SUBSTITUTE(SUBSTITUTE(SUBSTITUTE(SUBSTITUTE(SUBSTITUTE(SUBSTITUTE(SUBSTITUTE(SUBSTITUTE(SUBSTITUTE(SUBSTITUTE(SUBSTITUTE(SUBSTITUTE(SUBSTITUTE(SUBSTITUTE(SUBSTITUTE(SUBSTITUTE(BO252,"b","a"),"c","a"),"d","a"),"e","a"),"f","a"),"g","a"),"h","a"),"i","a"),"j","a"),"k","a"),"l","a"),"m","a"),"n","a"),"o","a"),"p","a"),"q","a"),"r","a"),"s","a"),"t","a"),"u","a"),"v","a"),"w","a"),"x","a"),"y","a"),"z","a")</f>
        <v/>
      </c>
      <c r="BQ252" s="61" t="n">
        <f aca="false">IFERROR(IF(AND(ISERROR(SEARCH(" mh"," "&amp;LOWER(W252))),ISNA(MATCH(LEFT(TRIM(BP252),255),{"0000a","000a","00a","0000aa","000aa","00aa","0aa","0000aaa","000aaa","00a00","0a00","0000-0000","00:00","a00","a0","00.00.0000","00/00/0000","00-00-0000","0000-00-00","0000/00/00","0000.00.00","00.00.00","00/00/00","00-00-00","0.00.0000","0/00/0000","0-00-0000"},0)),ISNA(MATCH(LEFT(TRIM(CA252),255),{"0000a","000a","00a","0000aa","000aa","00aa","0aa","0000aaa","000aaa","00a00","0a00","0000-0000","00:00","a00","a0","00.00.0000","00/00/0000","00-00-0000","0000-00-00","0000/00/00","0000.00.00","00.00.00","00/00/00","00-00-00","0.00.0000","0/00/0000","0-00-0000"},0)),LEN(CB252)&gt;=3,NOT(OR(SUBSTITUTE(CB252,"0","")="",AND(LEN(CB252)&gt;=4,CB252=REPT(LEFT(CB252),LEN(CB252))),ISNUMBER(MATCH(CB252,{"123","1234","12345","123456","1234567","12345678","0123","01234","012345","98765","987654","54321"},0)),AND(LEN(CB252)=8,LEFT(CB252,3)="202"))),OR(AND((LEN(CA252)-LEN(SUBSTITUTE(CA252,"a","")))&gt;=1,SUMPRODUCT(--ISNUMBER(SEARCH({"a0","a-0","a_0","a/0","a.0","a#0","0a","0-a","0_a","0/a"},BP252)))&gt;0),ISNUMBER(SEARCH("000000",BP252)))),1,0),0)</f>
        <v>0</v>
      </c>
      <c r="BR252" s="61" t="n">
        <f aca="false">IFERROR(LEN(SUBSTITUTE(CC252," ",""))-SUMPRODUCT((LEN(CC252)-LEN(SUBSTITUTE(CC252," "&amp;L_Role&amp;" "," ")))/(LEN(L_Role)+1)*LEN(L_Role)),0)</f>
        <v>0</v>
      </c>
      <c r="BS252" s="61" t="n">
        <f aca="false">IFERROR(LEN(SUBSTITUTE(CD252," ",""))-SUMPRODUCT((LEN(CD252)-LEN(SUBSTITUTE(CD252," "&amp;L_Role&amp;" "," ")))/(LEN(L_Role)+1)*LEN(L_Role)),0)</f>
        <v>0</v>
      </c>
      <c r="BT2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252,"revision",""),"version",""),"jan",""),"feb",""),"mar",""),"apr",""),"may",""),"jun",""),"jul",""),"aug",""),"sep",""),"oct",""),"nov",""),"dec",""),"utc",""),"gmt",""),"myt",""),"bst",""),"rev",""),"ver",""),"b","a"),"c","a"),"d","a"),"e","a"),"f","a"),"g","a"),"h","a"),"i","a"),"j","a"),"k","a"),"l","a"),"m","a"),"n","a"),"o","a"),"p","a"),"q","a"),"r","a"),"s","a"),"t","a"),"u","a"),"v","a"),"w","a"),"x","a"),"y","a"),"z","a")</f>
        <v/>
      </c>
      <c r="BU252" s="61" t="str">
        <f aca="false">SUBSTITUTE(SUBSTITUTE(SUBSTITUTE(SUBSTITUTE(SUBSTITUTE(SUBSTITUTE(SUBSTITUTE(SUBSTITUTE(SUBSTITUTE(SUBSTITUTE(LEFT(BM252,FIND("0",BM252&amp;"0")-1),"-",""),"_",""),"/",""),".",""),"#",""),"\\",""),":","")," ",""),"(",""),")","")</f>
        <v/>
      </c>
      <c r="BV252" s="61" t="n">
        <f aca="false">IFERROR(IF(OR(SUMPRODUCT((LEN(BC252)-LEN(SUBSTITUTE(BC252," "&amp;L_NotLoaded&amp;" "," ")))/(LEN(L_NotLoaded)+1))&gt;SUMPRODUCT((LEN(BC252)-LEN(SUBSTITUTE(BC252," "&amp;L_NotLoadedNeg&amp;" "," ")))/(LEN(L_NotLoadedNeg)+1)),SUMPRODUCT((LEN(BD252)-LEN(SUBSTITUTE(BD252," "&amp;L_NotLoaded&amp;" "," ")))/(LEN(L_NotLoaded)+1))&gt;SUMPRODUCT((LEN(BD252)-LEN(SUBSTITUTE(BD252," "&amp;L_NotLoadedNeg&amp;" "," ")))/(LEN(L_NotLoadedNeg)+1))),1,0),0)</f>
        <v>0</v>
      </c>
      <c r="BW2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252&amp;""),"a",""),"b",""),"c",""),"d",""),"e",""),"f",""),"g",""),"h",""),"i",""),"j",""),"k",""),"l",""),"m",""),"n",""),"o",""),"p",""),"q",""),"r",""),"s",""),"t",""),"u",""),"v",""),"w",""),"x",""),"y",""),"z",""),"-",""),"_",""),"/",""),".",""),"#",""),"\\",""),":","")," ",""),"(",""),")","")</f>
        <v/>
      </c>
      <c r="BX252" s="61" t="str">
        <f aca="false">SUBSTITUTE(SUBSTITUTE(SUBSTITUTE(SUBSTITUTE(SUBSTITUTE(SUBSTITUTE(SUBSTITUTE(SUBSTITUTE(SUBSTITUTE(SUBSTITUTE(SUBSTITUTE(BM252,"0",""),"-",""),"_",""),"/",""),".",""),"#",""),"\\",""),":","")," ",""),"(",""),")","")</f>
        <v/>
      </c>
      <c r="BY252" s="62" t="n">
        <f aca="false">IF(ISNUMBER(Flights!$AZ$11),MAX(Q252-UpliftWindowH/24,Flights!$AZ$11),Q252-UpliftWindowH/24)</f>
        <v>46304.4166666667</v>
      </c>
      <c r="BZ252" s="61" t="n">
        <f aca="false">IFERROR(IF(IF(TRIM(S252)="Link / file path",AND(LEN(TRIM(Z252))&gt;=5,SUMPRODUCT(--ISNUMBER(SEARCH({"http","www.","\\",":\",".pdf",".jpg",".jpeg",".png",".heic",".xls",".doc",".msg",".eml",".ppt",".txt",".zip"},Z252)))&gt;0),AND(ISERROR(FIND(" ",TRIM(Z252))),NOT(OR(SUMPRODUCT(--ISNUMBER(FIND({",",";","&amp;","+"},Z252)))&gt;0,SUMPRODUCT(--ISNUMBER(SEARCH({"0/aa","0\\aa"},BN252)))&gt;0)),NOT(SUMPRODUCT(--ISNUMBER(SEARCH({"http","www.","\\",":\",".pdf",".jpg",".jpeg",".png",".heic",".xls",".doc",".msg",".eml",".ppt",".txt",".zip"},Z252)))&gt;0),NOT(LOWER(TRIM(Z252))=LOWER(Flights!$F$11)),ISNA(MATCH(BU252,{"mh","rev","revision","ver","version","v","r","a","b","seat","tray","row","gate","bay","stand","page","pg","item","line","no","cart","galley","flight","flt","table","box","bag","oven","etd","eta","std","sta","atd","ata","qty","pax","x","time","tel","ph","mob","day","wk","week","utc","gmt","myt","lt"},0)),NOT(OR(ISNUMBER(MATCH(LEFT(BN252,255),{"0000a","000a","00a","0000aa","000aa","00aa","0aa","0000aaa","000aaa","00a00","0a00","0000-0000","00:00","a00","a0","00.00.0000","00/00/0000","00-00-0000","0000-00-00","0000/00/00","0000.00.00","00.00.00","00/00/00","00-00-00","0.00.0000","0/00/0000","0-00-0000"},0)),ISNUMBER(MATCH(LEFT(BT252,255),{"0000a","000a","00a","0000aa","000aa","00aa","0aa","0000aaa","000aaa","00a00","0a00","0000-0000","00:00","a00","a0","00.00.0000","00/00/0000","00-00-0000","0000-00-00","0000/00/00","0000.00.00","00.00.00","00/00/00","00-00-00","0.00.0000","0/00/0000","0-00-0000"},0)))),NOT(OR(AND(BW252&lt;&gt;"",SUBSTITUTE(BW252,"0","")=""),AND(LEN(BW252)&gt;=4,BW252=REPT(LEFT(BW252),LEN(BW252))),ISNUMBER(MATCH(BW252,{"123","1234","12345","123456","1234567","12345678","0123","01234","012345","98765","987654","54321"},0)),ISNUMBER(MATCH(BX252,{"x","xx","xxx","xxxx","xxxxx","abc","abcd","nil","na","nan","test","tbc","tba","tbd","dummy","sample","example","eg","zz","zzz","none","null","xyz","qwe","asd","id","ref"},0)),AND(LEN(BW252)=8,BX252="",OR(LEFT(BW252,3)="202",ISNUMBER(MATCH(RIGHT(BW252,4),{"2025","2026","2027"},0)))))),OR(AND((LEN(BT252)-LEN(SUBSTITUTE(BT252,"a","")))&gt;=1,(LEN(BN252)-LEN(SUBSTITUTE(BN252,"0","")))&gt;=2,SUMPRODUCT(--ISNUMBER(SEARCH({"a0","a-0","a_0","a/0","a.0","a#0","0a","0-a","0_a","0/a"},BN252)))&gt;0),AND((LEN(BN252)-LEN(SUBSTITUTE(BN252,"a","")))=0,(LEN(BN252)-LEN(SUBSTITUTE(BN252,"0","")))&gt;=5)))),1,0),0)</f>
        <v>0</v>
      </c>
      <c r="CA2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252,"revision",""),"version",""),"jan",""),"feb",""),"mar",""),"apr",""),"may",""),"jun",""),"jul",""),"aug",""),"sep",""),"oct",""),"nov",""),"dec",""),"utc",""),"gmt",""),"myt",""),"bst",""),"rev",""),"ver",""),"b","a"),"c","a"),"d","a"),"e","a"),"f","a"),"g","a"),"h","a"),"i","a"),"j","a"),"k","a"),"l","a"),"m","a"),"n","a"),"o","a"),"p","a"),"q","a"),"r","a"),"s","a"),"t","a"),"u","a"),"v","a"),"w","a"),"x","a"),"y","a"),"z","a")</f>
        <v/>
      </c>
      <c r="CB2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252&amp;""),"a",""),"b",""),"c",""),"d",""),"e",""),"f",""),"g",""),"h",""),"i",""),"j",""),"k",""),"l",""),"m",""),"n",""),"o",""),"p",""),"q",""),"r",""),"s",""),"t",""),"u",""),"v",""),"w",""),"x",""),"y",""),"z",""),"-",""),"_",""),"/",""),".",""),"#",""),"\\",""),":","")," ",""),"(",""),")","")</f>
        <v/>
      </c>
      <c r="CC252" s="0" t="str">
        <f aca="false">" "&amp;TRIM(SUBSTITUTE(SUBSTITUTE(SUBSTITUTE(SUBSTITUTE(SUBSTITUTE(SUBSTITUTE(SUBSTITUTE(SUBSTITUTE(SUBSTITUTE(SUBSTITUTE(SUBSTITUTE(SUBSTITUTE(SUBSTITUTE(SUBSTITUTE(SUBSTITUTE(SUBSTITUTE(SUBSTITUTE(SUBSTITUTE(SUBSTITUTE(SUBSTITUTE(SUBSTITUTE(SUBSTITUTE(SUBSTITUTE(SUBSTITUTE(LOWER(T252&amp;""),CHAR(10)," "),CHAR(13)," "),CHAR(9)," "),CHAR(160)," "),"."," "),","," "),"-"," "),"/"," "),"("," "),")"," "),":"," "),";"," "),"_"," "),"–"," "),"?"," "),"!"," "),"*"," "),"["," "),"]"," "),"'"," "),"#"," "),"+"," "),"&amp;"," "),"\"," "))&amp;" "</f>
        <v>  </v>
      </c>
      <c r="CD252" s="0" t="str">
        <f aca="false">" "&amp;TRIM(SUBSTITUTE(SUBSTITUTE(SUBSTITUTE(SUBSTITUTE(SUBSTITUTE(SUBSTITUTE(SUBSTITUTE(SUBSTITUTE(SUBSTITUTE(SUBSTITUTE(SUBSTITUTE(SUBSTITUTE(SUBSTITUTE(SUBSTITUTE(SUBSTITUTE(SUBSTITUTE(SUBSTITUTE(SUBSTITUTE(SUBSTITUTE(SUBSTITUTE(SUBSTITUTE(SUBSTITUTE(SUBSTITUTE(SUBSTITUTE(LOWER(AE252&amp;""),CHAR(10)," "),CHAR(13)," "),CHAR(9)," "),CHAR(160)," "),"."," "),","," "),"-"," "),"/"," "),"("," "),")"," "),":"," "),";"," "),"_"," "),"–"," "),"?"," "),"!"," "),"*"," "),"["," "),"]"," "),"'"," "),"#"," "),"+"," "),"&amp;"," "),"\"," "))&amp;" "</f>
        <v>  </v>
      </c>
      <c r="CE252" s="68" t="n">
        <f aca="false">IFERROR(IF(AND(LEN(AU252)&gt;0,LEN(AU252)=LEN(AX252),OR(TRIM(MID(SUBSTITUTE(TRIM(CC252)," ",REPT(" ",60)),1,60))="",ISNUMBER(SEARCH(" "&amp;TRIM(MID(SUBSTITUTE(TRIM(CC252)," ",REPT(" ",60)),1,60))&amp;" ",CD252))),OR(TRIM(MID(SUBSTITUTE(TRIM(CC252)," ",REPT(" ",60)),61,60))="",ISNUMBER(SEARCH(" "&amp;TRIM(MID(SUBSTITUTE(TRIM(CC252)," ",REPT(" ",60)),61,60))&amp;" ",CD252))),OR(TRIM(MID(SUBSTITUTE(TRIM(CC252)," ",REPT(" ",60)),121,60))="",ISNUMBER(SEARCH(" "&amp;TRIM(MID(SUBSTITUTE(TRIM(CC252)," ",REPT(" ",60)),121,60))&amp;" ",CD252)))),1,0),0)</f>
        <v>0</v>
      </c>
      <c r="CG252" s="68" t="n">
        <f aca="false">IFERROR(LEN(SUBSTITUTE(BF252," ",""))-SUMPRODUCT((LEN(BF252)-LEN(SUBSTITUTE(BF252," "&amp;L_NAFiller&amp;" "," ")))/(LEN(L_NAFiller)+1)*LEN(L_NAFiller)),0)</f>
        <v>0</v>
      </c>
    </row>
    <row r="253" customFormat="false" ht="39.75" hidden="false" customHeight="true" outlineLevel="0" collapsed="false">
      <c r="A253" s="57" t="s">
        <v>824</v>
      </c>
      <c r="B253" s="57" t="s">
        <v>235</v>
      </c>
      <c r="C253" s="57" t="str">
        <f aca="false">Flights!$F$11</f>
        <v>MH0003</v>
      </c>
      <c r="D253" s="58" t="n">
        <f aca="false">Flights!$D$11</f>
        <v>46304</v>
      </c>
      <c r="E253" s="57" t="str">
        <f aca="false">Flights!$G$11&amp;"-"&amp;Flights!$H$11</f>
        <v>LHR-KUL</v>
      </c>
      <c r="F253" s="57" t="str">
        <f aca="false">Flights!$K$11</f>
        <v>BC</v>
      </c>
      <c r="G253" s="57" t="s">
        <v>459</v>
      </c>
      <c r="H253" s="57" t="s">
        <v>460</v>
      </c>
      <c r="I253" s="57" t="s">
        <v>499</v>
      </c>
      <c r="J253" s="57" t="s">
        <v>541</v>
      </c>
      <c r="K253" s="67" t="s">
        <v>501</v>
      </c>
      <c r="L253" s="67" t="s">
        <v>740</v>
      </c>
      <c r="M253" s="67" t="s">
        <v>451</v>
      </c>
      <c r="N253" s="67" t="s">
        <v>383</v>
      </c>
      <c r="O253" s="67"/>
      <c r="P253" s="57" t="s">
        <v>186</v>
      </c>
      <c r="Q253" s="59" t="n">
        <f aca="false">ROUND((Flights!$AF$11)*1440,0)/1440</f>
        <v>46304.4166666667</v>
      </c>
      <c r="R253" s="59" t="n">
        <f aca="false">Q253+(IF(AND(INDEX(TZ_DSTS,MATCH(P253,TZ_STN,0))&lt;&gt;"",Q253&gt;=INDEX(TZ_DSTS,MATCH(P253,TZ_STN,0)),Q253&lt;INDEX(TZ_DSTE,MATCH(P253,TZ_STN,0))),INDEX(TZ_DST,MATCH(P253,TZ_STN,0)),INDEX(TZ_STD,MATCH(P253,TZ_STN,0))))/24</f>
        <v>46304.4583333333</v>
      </c>
      <c r="S253" s="60"/>
      <c r="T253" s="60"/>
      <c r="U253" s="60"/>
      <c r="V253" s="60"/>
      <c r="W253" s="61"/>
      <c r="X253" s="60"/>
      <c r="Y253" s="60"/>
      <c r="Z253" s="60"/>
      <c r="AA253" s="60"/>
      <c r="AB253" s="60"/>
      <c r="AC253" s="60"/>
      <c r="AD253" s="66"/>
      <c r="AE253" s="60"/>
      <c r="AF253" s="61" t="str">
        <f aca="false">IF(AND(ISNUMBER(X253),ISNUMBER(Y253)),Y253-X253,"")</f>
        <v/>
      </c>
      <c r="AG253" s="62" t="str">
        <f aca="false">IF(ISNUMBER(AD253),AD253-(IF(AND(INDEX(TZ_DSTS,MATCH(P253,TZ_STN,0))&lt;&gt;"",(AD253-INDEX(TZ_STD,MATCH(P253,TZ_STN,0))/24)&gt;=INDEX(TZ_DSTS,MATCH(P253,TZ_STN,0)),(AD253-INDEX(TZ_STD,MATCH(P253,TZ_STN,0))/24)&lt;INDEX(TZ_DSTE,MATCH(P253,TZ_STN,0))),INDEX(TZ_DST,MATCH(P253,TZ_STN,0)),INDEX(TZ_STD,MATCH(P253,TZ_STN,0))))/24,"")</f>
        <v/>
      </c>
      <c r="AH253" s="65" t="str">
        <f aca="false">IFERROR(IF(N253="N/A – rule",IF(OR(TRIM(U253)="",TRIM(U253)="N/A",TRIM(U253)="Not started"),"N/A – RULE","INVALID – this check does not apply to this aircraft: clear the status (or correct the fleet on Flights)"),IF(TRIM(U253)="N/A",IF(AT253=0,"INVALID – N/A not permitted for this check",IF(AND(TRIM(AB253)&lt;&gt;"",TRIM(AB253)&lt;&gt;"Closed"),"INVALID – corrective action still open",IF(AND(NOT(OR(LEN(AZ253)&lt;15,ISNUMBER(MATCH(AZ253,L_Placeholder,0)))),BK253=0,CG253&gt;=8,NOT(OR(LEN(AU253)&lt;2,ISNUMBER(MATCH(AU253,L_Placeholder,0)))),BR253&gt;=3,NOT(OR(LEN(AX253)&lt;2,ISNUMBER(MATCH(AX253,L_Placeholder,0)))),BS253&gt;=3,TRIM(AE253)&lt;&gt;TRIM(T253),AX253&lt;&gt;AU253,CE253=0),"N/A – JUSTIFIED","INVALID – N/A needs a real, settled reason (not 'not applicable' / 'as above' / TBC), a named PIC and a different named verifier"))),IF(OR(TRIM(U253)="Pass",TRIM(U253)="Pass after CA"),IF(NOT(ISNUMBER(AD253)),"INVALID – completion time missing",IF(OR(OR(LEN(AU253)&lt;2,ISNUMBER(MATCH(AU253,L_Placeholder,0))),BR253&lt;3),"INVALID – PIC missing or not a named person (a role such as QA / CSM is not a name)",IF(OR(LEN(AV253)&lt;2,ISNUMBER(MATCH(AV253,L_Placeholder,0))),"INVALID – result / assessment missing",IF(OR(OR(LEN(AW253)&lt;3,ISNUMBER(MATCH(AW253,L_Placeholder,0))),SUMPRODUCT(--ISNUMBER(SEARCH(" "&amp;L_EvidencePhrase&amp;" ",BD253)))&gt;0,BI253=1),"INVALID – evidence missing, placeholder or not yet on file",IF(ISNA(MATCH(TRIM(S253),L_EvidenceType,0)),"INVALID – choose the evidence type from the list (column S)",IF(BL253=0,"INVALID – evidence ID must be the record's own ID only (e.g. SF-2210, IMG_2231, 1045521); a link / file name needs type 'Link / file path'",IF(OR(OR(LEN(AX253)&lt;2,ISNUMBER(MATCH(AX253,L_Placeholder,0))),BS253&lt;3),"INVALID – verifier missing or not a named person (a role such as QA / CSM is not a name)",IF(OR(AX253=AU253,CE253=1,AND(LEN(AU253)&gt;=4,ISNUMBER(SEARCH(AU253,AX253))),AND(LEN(AX253)&gt;=4,ISNUMBER(SEARCH(AX253,AU253)))),"INVALID – verifier must be a different, named person (not the PIC or a role)",IF(BH253=1,"INVALID – result not yet available (awaiting / TBC)",IF(BG253=1,"INVALID – result describes a problem: record Fail, then Pass after CA (or reword if it is not a problem)",IF(BV253=1,"INVALID – wording says not on board: an on-board confirmation needs the item loaded",IF(AND(AQ253=1,OR(OR(LEN(AY253)&lt;3,ISNUMBER(MATCH(AY253,L_Placeholder,0))),BJ253=1,BQ253=0)),"INVALID – batch ID missing, placeholder or not an ID (e.g. PASB-261008-BC-017)",IF(AND(AR253=1,OR(NOT(ISNUMBER(X253)),NOT(ISNUMBER(Y253)))),"INVALID – expected/actual qty missing",IF(AND(AR253=1,OR(X253&lt;=0,Y253&lt;0)),"INVALID – expected qty must be above 0 and actual not negative",IF(AH236="N/A – JUSTIFIED","INVALID – preparation row F07-T12-13 is N/A",IF(AND(AR253=1,ISNUMBER(X236),X253&lt;&gt;X236,TRIM(U253)&lt;&gt;"Pass after CA"),"INVALID – expected qty differs from preparation check F07-T12-13: record the load change as a corrective action (Pass after CA)",IF(BB253&lt;&gt;"",BB253,IF(AND(AS253=1,Documents!$J$11&lt;&gt;"ON FILE"),"INVALID – GLD not on file (Documents sheet)",IF(AND(AS253=2,Documents!$O$11&lt;&gt;"ON FILE"),"INVALID – menu checklist not on file (Documents sheet)",IF(AND(AS253=3,NOT(ISNUMBER(Flights!$AX$11))),"INVALID – enter carrying flight KUL departure (Flights AX)",IF(AND(AS253=3,OR(Flights!$AZ$11&gt;Flights!$AA$11,Flights!$AX$11&lt;Flights!$AA$11-3)),"INVALID – carrying flight (Flights AX) cannot arrive before this leg's STD, or is over 3 days early",IF(AG253&gt;AsOfUTC,"INVALID – completion time is in the future",IF(AND(ISNUMBER(BY253),AG253&lt;BY253),IF(H253="Physical uplift","INVALID – before uplift window (cannot confirm loading)","INVALID – before valid window"),IF(AG253&gt;Flights!$AA$11,"INVALID – completed after departure (cannot establish readiness)",IF(AND(H253="Preparation",AG253&gt;=IF(ISNUMBER(Flights!$BA$11),MIN(Flights!$BA$11,Flights!$AA$11),Flights!$AA$11)),"INVALID – completed after loading / departure (cannot establish readiness)",IF(AND(H253="Physical uplift",AG253&gt;Q253),"INVALID – recorded after the loading flight departed",IF(AG253&gt;Q253,"COMPLETE – LATE","COMPLETE"))))))))))))))))))))))))))),IF(TRIM(U253)="Fail","FAIL – DISCREPANCY",IF(AND(TRIM(U253)&lt;&gt;"",TRIM(U253)&lt;&gt;"Not started",TRIM(U253)&lt;&gt;"In progress"),"INVALID – unrecognised status (use the list)",IF(AsOfUTC&gt;Q253,"OVERDUE",IF(N253="Clarification required","OPEN – CLARIFICATION","OPEN"))))))),"INVALID – error value in an input cell")</f>
        <v>OPEN</v>
      </c>
      <c r="AI253" s="61" t="n">
        <f aca="false">IF(OR(AH253="N/A – RULE",AH253="N/A – JUSTIFIED"),0,1)</f>
        <v>1</v>
      </c>
      <c r="AJ253" s="61" t="n">
        <f aca="false">IF(LEFT(AH253,8)="COMPLETE",1,0)</f>
        <v>0</v>
      </c>
      <c r="AK253" s="61" t="n">
        <f aca="false">IF(AND(AI253=1,AJ253=0,AsOfUTC&gt;Q253),1,0)</f>
        <v>0</v>
      </c>
      <c r="AL253" s="61" t="n">
        <f aca="false">IFERROR(IF(AND(AI253=1,OR(TRIM(U253)="Fail",AND(TRIM(AB253)&lt;&gt;"",TRIM(AB253)&lt;&gt;"Closed"),AND(ISNUMBER(AF253),AF253&lt;&gt;0,TRIM(U253)&lt;&gt;"Pass after CA"))),1,0),1)</f>
        <v>0</v>
      </c>
      <c r="AM253" s="61" t="n">
        <f aca="false">IF(LEFT(AH253,7)="INVALID",1,0)</f>
        <v>0</v>
      </c>
      <c r="AN253" s="61" t="n">
        <f aca="false">IF(AND(N253="Clarification required",AI253=1,AJ253=0),1,0)</f>
        <v>0</v>
      </c>
      <c r="AO253" s="61" t="str">
        <f aca="false">IF(AK253=1,SUM(AK$5:AK253),"")</f>
        <v/>
      </c>
      <c r="AP253" s="61" t="str">
        <f aca="false">IF(AL253=1,SUM(AL$5:AL253),"")</f>
        <v/>
      </c>
      <c r="AQ253" s="61" t="n">
        <v>0</v>
      </c>
      <c r="AR253" s="61" t="n">
        <v>0</v>
      </c>
      <c r="AS253" s="61" t="n">
        <v>0</v>
      </c>
      <c r="AT253" s="61" t="n">
        <v>0</v>
      </c>
      <c r="AU253" s="61" t="str">
        <f aca="false">SUBSTITUTE(SUBSTITUTE(SUBSTITUTE(SUBSTITUTE(SUBSTITUTE(SUBSTITUTE(SUBSTITUTE(SUBSTITUTE(SUBSTITUTE(SUBSTITUTE(SUBSTITUTE(SUBSTITUTE(SUBSTITUTE(SUBSTITUTE(SUBSTITUTE(SUBSTITUTE(LOWER(T253&amp;""),CHAR(10),""),CHAR(13),""),CHAR(9),""),CHAR(160),"")," ",""),".",""),"-",""),"/",""),"?",""),"_",""),",",""),"[",""),"]",""),"(",""),")",""),"*","")</f>
        <v/>
      </c>
      <c r="AV253" s="61" t="str">
        <f aca="false">SUBSTITUTE(SUBSTITUTE(SUBSTITUTE(SUBSTITUTE(SUBSTITUTE(SUBSTITUTE(SUBSTITUTE(SUBSTITUTE(SUBSTITUTE(SUBSTITUTE(SUBSTITUTE(SUBSTITUTE(SUBSTITUTE(SUBSTITUTE(SUBSTITUTE(SUBSTITUTE(LOWER(V253&amp;""),CHAR(10),""),CHAR(13),""),CHAR(9),""),CHAR(160),"")," ",""),".",""),"-",""),"/",""),"?",""),"_",""),",",""),"[",""),"]",""),"(",""),")",""),"*","")</f>
        <v/>
      </c>
      <c r="AW253" s="61" t="str">
        <f aca="false">SUBSTITUTE(SUBSTITUTE(SUBSTITUTE(SUBSTITUTE(SUBSTITUTE(SUBSTITUTE(SUBSTITUTE(SUBSTITUTE(SUBSTITUTE(SUBSTITUTE(SUBSTITUTE(SUBSTITUTE(SUBSTITUTE(SUBSTITUTE(SUBSTITUTE(SUBSTITUTE(LOWER(Z253&amp;""),CHAR(10),""),CHAR(13),""),CHAR(9),""),CHAR(160),"")," ",""),".",""),"-",""),"/",""),"?",""),"_",""),",",""),"[",""),"]",""),"(",""),")",""),"*","")</f>
        <v/>
      </c>
      <c r="AX253" s="61" t="str">
        <f aca="false">SUBSTITUTE(SUBSTITUTE(SUBSTITUTE(SUBSTITUTE(SUBSTITUTE(SUBSTITUTE(SUBSTITUTE(SUBSTITUTE(SUBSTITUTE(SUBSTITUTE(SUBSTITUTE(SUBSTITUTE(SUBSTITUTE(SUBSTITUTE(SUBSTITUTE(SUBSTITUTE(LOWER(AE253&amp;""),CHAR(10),""),CHAR(13),""),CHAR(9),""),CHAR(160),"")," ",""),".",""),"-",""),"/",""),"?",""),"_",""),",",""),"[",""),"]",""),"(",""),")",""),"*","")</f>
        <v/>
      </c>
      <c r="AY253" s="61" t="str">
        <f aca="false">SUBSTITUTE(SUBSTITUTE(SUBSTITUTE(SUBSTITUTE(SUBSTITUTE(SUBSTITUTE(SUBSTITUTE(SUBSTITUTE(SUBSTITUTE(SUBSTITUTE(SUBSTITUTE(SUBSTITUTE(SUBSTITUTE(SUBSTITUTE(SUBSTITUTE(SUBSTITUTE(LOWER(W253&amp;""),CHAR(10),""),CHAR(13),""),CHAR(9),""),CHAR(160),"")," ",""),".",""),"-",""),"/",""),"?",""),"_",""),",",""),"[",""),"]",""),"(",""),")",""),"*","")</f>
        <v/>
      </c>
      <c r="AZ253" s="61" t="str">
        <f aca="false">SUBSTITUTE(SUBSTITUTE(SUBSTITUTE(SUBSTITUTE(SUBSTITUTE(SUBSTITUTE(SUBSTITUTE(SUBSTITUTE(SUBSTITUTE(SUBSTITUTE(SUBSTITUTE(SUBSTITUTE(SUBSTITUTE(SUBSTITUTE(SUBSTITUTE(SUBSTITUTE(LOWER(AC253&amp;""),CHAR(10),""),CHAR(13),""),CHAR(9),""),CHAR(160),"")," ",""),".",""),"-",""),"/",""),"?",""),"_",""),",",""),"[",""),"]",""),"(",""),")",""),"*","")</f>
        <v/>
      </c>
      <c r="BA253" s="61" t="str">
        <f aca="false">SUBSTITUTE(SUBSTITUTE(SUBSTITUTE(SUBSTITUTE(SUBSTITUTE(SUBSTITUTE(SUBSTITUTE(SUBSTITUTE(SUBSTITUTE(SUBSTITUTE(SUBSTITUTE(SUBSTITUTE(SUBSTITUTE(SUBSTITUTE(SUBSTITUTE(SUBSTITUTE(LOWER(AA253&amp;""),CHAR(10),""),CHAR(13),""),CHAR(9),""),CHAR(160),"")," ",""),".",""),"-",""),"/",""),"?",""),"_",""),",",""),"[",""),"]",""),"(",""),")",""),"*","")</f>
        <v/>
      </c>
      <c r="BB253" s="61" t="str">
        <f aca="false">IF(AND(TRIM(U253)="Pass",ISNUMBER(AF253)),IF(AF253&lt;&gt;0,"INVALID – qty variance: use Fail or Pass after CA",""),"")&amp;IF(AND(TRIM(U253)="Pass after CA",ISNUMBER(AF253)),IF(AF253&lt;&gt;0,"INVALID – after the corrective action the actual qty must equal expected (update Actual)",""),"")&amp;IF(AND(TRIM(U253)="Pass",TRIM(AB253)&lt;&gt;"",TRIM(AB253)&lt;&gt;"Closed"),"INVALID – corrective action not closed: use Fail, then Pass after CA","")&amp;IF(AND(LEN(BA253)&gt;=2,ISNA(MATCH(LEFT(BA253,255),L_Placeholder,0)),TRIM(AB253)=""),"INVALID – CA status missing for the recorded corrective action","")&amp;IF(AND(TRIM(U253)="Pass after CA",OR(OR(LEN(BA253)&lt;5,ISNUMBER(MATCH(BA253,L_Placeholder,0))),TRIM(AB253)&lt;&gt;"Closed")),"INVALID – corrective action not recorded/closed","")</f>
        <v/>
      </c>
      <c r="BC253" s="61" t="str">
        <f aca="false">" "&amp;TRIM(SUBSTITUTE(SUBSTITUTE(SUBSTITUTE(SUBSTITUTE(SUBSTITUTE(SUBSTITUTE(SUBSTITUTE(SUBSTITUTE(SUBSTITUTE(SUBSTITUTE(SUBSTITUTE(SUBSTITUTE(SUBSTITUTE(SUBSTITUTE(SUBSTITUTE(SUBSTITUTE(SUBSTITUTE(SUBSTITUTE(SUBSTITUTE(SUBSTITUTE(SUBSTITUTE(SUBSTITUTE(SUBSTITUTE(SUBSTITUTE(LOWER(V253&amp;""),CHAR(10)," "),CHAR(13)," "),CHAR(9)," "),CHAR(160)," "),"."," "),","," "),"-"," "),"/"," "),"("," "),")"," "),":"," "),";"," "),"_"," "),"–"," "),"?"," "),"!"," "),"*"," "),"["," "),"]"," "),"'"," "),"#"," "),"+"," "),"&amp;"," "),"\"," "))&amp;" "</f>
        <v>  </v>
      </c>
      <c r="BD253" s="61" t="str">
        <f aca="false">" "&amp;TRIM(SUBSTITUTE(SUBSTITUTE(SUBSTITUTE(SUBSTITUTE(SUBSTITUTE(SUBSTITUTE(SUBSTITUTE(SUBSTITUTE(SUBSTITUTE(SUBSTITUTE(SUBSTITUTE(SUBSTITUTE(SUBSTITUTE(SUBSTITUTE(SUBSTITUTE(SUBSTITUTE(SUBSTITUTE(SUBSTITUTE(SUBSTITUTE(SUBSTITUTE(SUBSTITUTE(SUBSTITUTE(SUBSTITUTE(SUBSTITUTE(LOWER(Z253&amp;""),CHAR(10)," "),CHAR(13)," "),CHAR(9)," "),CHAR(160)," "),"."," "),","," "),"-"," "),"/"," "),"("," "),")"," "),":"," "),";"," "),"_"," "),"–"," "),"?"," "),"!"," "),"*"," "),"["," "),"]"," "),"'"," "),"#"," "),"+"," "),"&amp;"," "),"\"," "))&amp;" "</f>
        <v>  </v>
      </c>
      <c r="BE253" s="61" t="str">
        <f aca="false">" "&amp;TRIM(SUBSTITUTE(SUBSTITUTE(SUBSTITUTE(SUBSTITUTE(SUBSTITUTE(SUBSTITUTE(SUBSTITUTE(SUBSTITUTE(SUBSTITUTE(SUBSTITUTE(SUBSTITUTE(SUBSTITUTE(SUBSTITUTE(SUBSTITUTE(SUBSTITUTE(SUBSTITUTE(SUBSTITUTE(SUBSTITUTE(SUBSTITUTE(SUBSTITUTE(SUBSTITUTE(SUBSTITUTE(SUBSTITUTE(SUBSTITUTE(LOWER(W253&amp;""),CHAR(10)," "),CHAR(13)," "),CHAR(9)," "),CHAR(160)," "),"."," "),","," "),"-"," "),"/"," "),"("," "),")"," "),":"," "),";"," "),"_"," "),"–"," "),"?"," "),"!"," "),"*"," "),"["," "),"]"," "),"'"," "),"#"," "),"+"," "),"&amp;"," "),"\"," "))&amp;" "</f>
        <v>  </v>
      </c>
      <c r="BF253" s="61" t="str">
        <f aca="false">" "&amp;TRIM(SUBSTITUTE(SUBSTITUTE(SUBSTITUTE(SUBSTITUTE(SUBSTITUTE(SUBSTITUTE(SUBSTITUTE(SUBSTITUTE(SUBSTITUTE(SUBSTITUTE(SUBSTITUTE(SUBSTITUTE(SUBSTITUTE(SUBSTITUTE(SUBSTITUTE(SUBSTITUTE(SUBSTITUTE(SUBSTITUTE(SUBSTITUTE(SUBSTITUTE(SUBSTITUTE(SUBSTITUTE(SUBSTITUTE(SUBSTITUTE(LOWER(AC253&amp;""),CHAR(10)," "),CHAR(13)," "),CHAR(9)," "),CHAR(160)," "),"."," "),","," "),"-"," "),"/"," "),"("," "),")"," "),":"," "),";"," "),"_"," "),"–"," "),"?"," "),"!"," "),"*"," "),"["," "),"]"," "),"'"," "),"#"," "),"+"," "),"&amp;"," "),"\"," "))&amp;" "</f>
        <v>  </v>
      </c>
      <c r="BG253" s="61" t="n">
        <f aca="false">IFERROR(IF(AND(TRIM(U253)="Pass",SUMPRODUCT((LEN(BC253)-LEN(SUBSTITUTE(BC253," "&amp;L_ResultBad&amp;" "," ")))/(LEN(L_ResultBad)+1))&gt;SUMPRODUCT((LEN(BC253)-LEN(SUBSTITUTE(BC253," "&amp;L_NegPhrase&amp;" "," ")))/(LEN(L_NegPhrase)+1))),1,0),0)</f>
        <v>0</v>
      </c>
      <c r="BH253" s="61" t="n">
        <f aca="false">IFERROR(IF(SUMPRODUCT((LEN(BC253)-LEN(SUBSTITUTE(BC253," "&amp;L_Pending&amp;" "," ")))/(LEN(L_Pending)+1))&gt;SUMPRODUCT((LEN(BC253)-LEN(SUBSTITUTE(BC253," "&amp;L_PendNeg&amp;" "," ")))/(LEN(L_PendNeg)+1)),1,0),1)</f>
        <v>0</v>
      </c>
      <c r="BI253" s="61" t="n">
        <f aca="false">IFERROR(IF(SUMPRODUCT((LEN(BD253)-LEN(SUBSTITUTE(BD253," "&amp;L_PendStrict&amp;" "," ")))/(LEN(L_PendStrict)+1))&gt;SUMPRODUCT((LEN(BD253)-LEN(SUBSTITUTE(BD253," "&amp;L_PendNeg&amp;" "," ")))/(LEN(L_PendNeg)+1)),1,0),1)</f>
        <v>0</v>
      </c>
      <c r="BJ253" s="61" t="n">
        <f aca="false">IFERROR(IF(SUMPRODUCT((LEN(BE253)-LEN(SUBSTITUTE(BE253," "&amp;L_Pending&amp;" "," ")))/(LEN(L_Pending)+1))&gt;SUMPRODUCT((LEN(BE253)-LEN(SUBSTITUTE(BE253," "&amp;L_PendNeg&amp;" "," ")))/(LEN(L_PendNeg)+1)),1,0),1)</f>
        <v>0</v>
      </c>
      <c r="BK253" s="61" t="n">
        <f aca="false">IFERROR(IF(SUMPRODUCT((LEN(BF253)-LEN(SUBSTITUTE(BF253," "&amp;L_PendStrict&amp;" "," ")))/(LEN(L_PendStrict)+1))&gt;SUMPRODUCT((LEN(BF253)-LEN(SUBSTITUTE(BF253," "&amp;L_PendNeg&amp;" "," ")))/(LEN(L_PendNeg)+1)),1,0),1)</f>
        <v>0</v>
      </c>
      <c r="BL253" s="61" t="n">
        <f aca="false">IF(ISNA(MATCH(TRIM(S253),L_EvidenceType,0)),0,BZ253)</f>
        <v>0</v>
      </c>
      <c r="BM253" s="61" t="str">
        <f aca="false">SUBSTITUTE(SUBSTITUTE(SUBSTITUTE(SUBSTITUTE(SUBSTITUTE(SUBSTITUTE(SUBSTITUTE(SUBSTITUTE(SUBSTITUTE(LOWER(Z253&amp;""),"1","0"),"2","0"),"3","0"),"4","0"),"5","0"),"6","0"),"7","0"),"8","0"),"9","0")</f>
        <v/>
      </c>
      <c r="BN253" s="61" t="str">
        <f aca="false">SUBSTITUTE(SUBSTITUTE(SUBSTITUTE(SUBSTITUTE(SUBSTITUTE(SUBSTITUTE(SUBSTITUTE(SUBSTITUTE(SUBSTITUTE(SUBSTITUTE(SUBSTITUTE(SUBSTITUTE(SUBSTITUTE(SUBSTITUTE(SUBSTITUTE(SUBSTITUTE(SUBSTITUTE(SUBSTITUTE(SUBSTITUTE(SUBSTITUTE(SUBSTITUTE(SUBSTITUTE(SUBSTITUTE(SUBSTITUTE(SUBSTITUTE(BM253,"b","a"),"c","a"),"d","a"),"e","a"),"f","a"),"g","a"),"h","a"),"i","a"),"j","a"),"k","a"),"l","a"),"m","a"),"n","a"),"o","a"),"p","a"),"q","a"),"r","a"),"s","a"),"t","a"),"u","a"),"v","a"),"w","a"),"x","a"),"y","a"),"z","a")</f>
        <v/>
      </c>
      <c r="BO253" s="61" t="str">
        <f aca="false">SUBSTITUTE(SUBSTITUTE(SUBSTITUTE(SUBSTITUTE(SUBSTITUTE(SUBSTITUTE(SUBSTITUTE(SUBSTITUTE(SUBSTITUTE(LOWER(W253&amp;""),"1","0"),"2","0"),"3","0"),"4","0"),"5","0"),"6","0"),"7","0"),"8","0"),"9","0")</f>
        <v/>
      </c>
      <c r="BP253" s="61" t="str">
        <f aca="false">SUBSTITUTE(SUBSTITUTE(SUBSTITUTE(SUBSTITUTE(SUBSTITUTE(SUBSTITUTE(SUBSTITUTE(SUBSTITUTE(SUBSTITUTE(SUBSTITUTE(SUBSTITUTE(SUBSTITUTE(SUBSTITUTE(SUBSTITUTE(SUBSTITUTE(SUBSTITUTE(SUBSTITUTE(SUBSTITUTE(SUBSTITUTE(SUBSTITUTE(SUBSTITUTE(SUBSTITUTE(SUBSTITUTE(SUBSTITUTE(SUBSTITUTE(BO253,"b","a"),"c","a"),"d","a"),"e","a"),"f","a"),"g","a"),"h","a"),"i","a"),"j","a"),"k","a"),"l","a"),"m","a"),"n","a"),"o","a"),"p","a"),"q","a"),"r","a"),"s","a"),"t","a"),"u","a"),"v","a"),"w","a"),"x","a"),"y","a"),"z","a")</f>
        <v/>
      </c>
      <c r="BQ253" s="61" t="n">
        <f aca="false">IFERROR(IF(AND(ISERROR(SEARCH(" mh"," "&amp;LOWER(W253))),ISNA(MATCH(LEFT(TRIM(BP253),255),{"0000a","000a","00a","0000aa","000aa","00aa","0aa","0000aaa","000aaa","00a00","0a00","0000-0000","00:00","a00","a0","00.00.0000","00/00/0000","00-00-0000","0000-00-00","0000/00/00","0000.00.00","00.00.00","00/00/00","00-00-00","0.00.0000","0/00/0000","0-00-0000"},0)),ISNA(MATCH(LEFT(TRIM(CA253),255),{"0000a","000a","00a","0000aa","000aa","00aa","0aa","0000aaa","000aaa","00a00","0a00","0000-0000","00:00","a00","a0","00.00.0000","00/00/0000","00-00-0000","0000-00-00","0000/00/00","0000.00.00","00.00.00","00/00/00","00-00-00","0.00.0000","0/00/0000","0-00-0000"},0)),LEN(CB253)&gt;=3,NOT(OR(SUBSTITUTE(CB253,"0","")="",AND(LEN(CB253)&gt;=4,CB253=REPT(LEFT(CB253),LEN(CB253))),ISNUMBER(MATCH(CB253,{"123","1234","12345","123456","1234567","12345678","0123","01234","012345","98765","987654","54321"},0)),AND(LEN(CB253)=8,LEFT(CB253,3)="202"))),OR(AND((LEN(CA253)-LEN(SUBSTITUTE(CA253,"a","")))&gt;=1,SUMPRODUCT(--ISNUMBER(SEARCH({"a0","a-0","a_0","a/0","a.0","a#0","0a","0-a","0_a","0/a"},BP253)))&gt;0),ISNUMBER(SEARCH("000000",BP253)))),1,0),0)</f>
        <v>0</v>
      </c>
      <c r="BR253" s="61" t="n">
        <f aca="false">IFERROR(LEN(SUBSTITUTE(CC253," ",""))-SUMPRODUCT((LEN(CC253)-LEN(SUBSTITUTE(CC253," "&amp;L_Role&amp;" "," ")))/(LEN(L_Role)+1)*LEN(L_Role)),0)</f>
        <v>0</v>
      </c>
      <c r="BS253" s="61" t="n">
        <f aca="false">IFERROR(LEN(SUBSTITUTE(CD253," ",""))-SUMPRODUCT((LEN(CD253)-LEN(SUBSTITUTE(CD253," "&amp;L_Role&amp;" "," ")))/(LEN(L_Role)+1)*LEN(L_Role)),0)</f>
        <v>0</v>
      </c>
      <c r="BT2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253,"revision",""),"version",""),"jan",""),"feb",""),"mar",""),"apr",""),"may",""),"jun",""),"jul",""),"aug",""),"sep",""),"oct",""),"nov",""),"dec",""),"utc",""),"gmt",""),"myt",""),"bst",""),"rev",""),"ver",""),"b","a"),"c","a"),"d","a"),"e","a"),"f","a"),"g","a"),"h","a"),"i","a"),"j","a"),"k","a"),"l","a"),"m","a"),"n","a"),"o","a"),"p","a"),"q","a"),"r","a"),"s","a"),"t","a"),"u","a"),"v","a"),"w","a"),"x","a"),"y","a"),"z","a")</f>
        <v/>
      </c>
      <c r="BU253" s="61" t="str">
        <f aca="false">SUBSTITUTE(SUBSTITUTE(SUBSTITUTE(SUBSTITUTE(SUBSTITUTE(SUBSTITUTE(SUBSTITUTE(SUBSTITUTE(SUBSTITUTE(SUBSTITUTE(LEFT(BM253,FIND("0",BM253&amp;"0")-1),"-",""),"_",""),"/",""),".",""),"#",""),"\\",""),":","")," ",""),"(",""),")","")</f>
        <v/>
      </c>
      <c r="BV253" s="61" t="n">
        <f aca="false">IFERROR(IF(OR(SUMPRODUCT((LEN(BC253)-LEN(SUBSTITUTE(BC253," "&amp;L_NotLoaded&amp;" "," ")))/(LEN(L_NotLoaded)+1))&gt;SUMPRODUCT((LEN(BC253)-LEN(SUBSTITUTE(BC253," "&amp;L_NotLoadedNeg&amp;" "," ")))/(LEN(L_NotLoadedNeg)+1)),SUMPRODUCT((LEN(BD253)-LEN(SUBSTITUTE(BD253," "&amp;L_NotLoaded&amp;" "," ")))/(LEN(L_NotLoaded)+1))&gt;SUMPRODUCT((LEN(BD253)-LEN(SUBSTITUTE(BD253," "&amp;L_NotLoadedNeg&amp;" "," ")))/(LEN(L_NotLoadedNeg)+1))),1,0),0)</f>
        <v>0</v>
      </c>
      <c r="BW2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253&amp;""),"a",""),"b",""),"c",""),"d",""),"e",""),"f",""),"g",""),"h",""),"i",""),"j",""),"k",""),"l",""),"m",""),"n",""),"o",""),"p",""),"q",""),"r",""),"s",""),"t",""),"u",""),"v",""),"w",""),"x",""),"y",""),"z",""),"-",""),"_",""),"/",""),".",""),"#",""),"\\",""),":","")," ",""),"(",""),")","")</f>
        <v/>
      </c>
      <c r="BX253" s="61" t="str">
        <f aca="false">SUBSTITUTE(SUBSTITUTE(SUBSTITUTE(SUBSTITUTE(SUBSTITUTE(SUBSTITUTE(SUBSTITUTE(SUBSTITUTE(SUBSTITUTE(SUBSTITUTE(SUBSTITUTE(BM253,"0",""),"-",""),"_",""),"/",""),".",""),"#",""),"\\",""),":","")," ",""),"(",""),")","")</f>
        <v/>
      </c>
      <c r="BY253" s="62" t="n">
        <f aca="false">IF(ISNUMBER(Flights!$AZ$11),MAX(Q253-UpliftWindowH/24,Flights!$AZ$11),Q253-UpliftWindowH/24)</f>
        <v>46304.4166666667</v>
      </c>
      <c r="BZ253" s="61" t="n">
        <f aca="false">IFERROR(IF(IF(TRIM(S253)="Link / file path",AND(LEN(TRIM(Z253))&gt;=5,SUMPRODUCT(--ISNUMBER(SEARCH({"http","www.","\\",":\",".pdf",".jpg",".jpeg",".png",".heic",".xls",".doc",".msg",".eml",".ppt",".txt",".zip"},Z253)))&gt;0),AND(ISERROR(FIND(" ",TRIM(Z253))),NOT(OR(SUMPRODUCT(--ISNUMBER(FIND({",",";","&amp;","+"},Z253)))&gt;0,SUMPRODUCT(--ISNUMBER(SEARCH({"0/aa","0\\aa"},BN253)))&gt;0)),NOT(SUMPRODUCT(--ISNUMBER(SEARCH({"http","www.","\\",":\",".pdf",".jpg",".jpeg",".png",".heic",".xls",".doc",".msg",".eml",".ppt",".txt",".zip"},Z253)))&gt;0),NOT(LOWER(TRIM(Z253))=LOWER(Flights!$F$11)),ISNA(MATCH(BU253,{"mh","rev","revision","ver","version","v","r","a","b","seat","tray","row","gate","bay","stand","page","pg","item","line","no","cart","galley","flight","flt","table","box","bag","oven","etd","eta","std","sta","atd","ata","qty","pax","x","time","tel","ph","mob","day","wk","week","utc","gmt","myt","lt"},0)),NOT(OR(ISNUMBER(MATCH(LEFT(BN253,255),{"0000a","000a","00a","0000aa","000aa","00aa","0aa","0000aaa","000aaa","00a00","0a00","0000-0000","00:00","a00","a0","00.00.0000","00/00/0000","00-00-0000","0000-00-00","0000/00/00","0000.00.00","00.00.00","00/00/00","00-00-00","0.00.0000","0/00/0000","0-00-0000"},0)),ISNUMBER(MATCH(LEFT(BT253,255),{"0000a","000a","00a","0000aa","000aa","00aa","0aa","0000aaa","000aaa","00a00","0a00","0000-0000","00:00","a00","a0","00.00.0000","00/00/0000","00-00-0000","0000-00-00","0000/00/00","0000.00.00","00.00.00","00/00/00","00-00-00","0.00.0000","0/00/0000","0-00-0000"},0)))),NOT(OR(AND(BW253&lt;&gt;"",SUBSTITUTE(BW253,"0","")=""),AND(LEN(BW253)&gt;=4,BW253=REPT(LEFT(BW253),LEN(BW253))),ISNUMBER(MATCH(BW253,{"123","1234","12345","123456","1234567","12345678","0123","01234","012345","98765","987654","54321"},0)),ISNUMBER(MATCH(BX253,{"x","xx","xxx","xxxx","xxxxx","abc","abcd","nil","na","nan","test","tbc","tba","tbd","dummy","sample","example","eg","zz","zzz","none","null","xyz","qwe","asd","id","ref"},0)),AND(LEN(BW253)=8,BX253="",OR(LEFT(BW253,3)="202",ISNUMBER(MATCH(RIGHT(BW253,4),{"2025","2026","2027"},0)))))),OR(AND((LEN(BT253)-LEN(SUBSTITUTE(BT253,"a","")))&gt;=1,(LEN(BN253)-LEN(SUBSTITUTE(BN253,"0","")))&gt;=2,SUMPRODUCT(--ISNUMBER(SEARCH({"a0","a-0","a_0","a/0","a.0","a#0","0a","0-a","0_a","0/a"},BN253)))&gt;0),AND((LEN(BN253)-LEN(SUBSTITUTE(BN253,"a","")))=0,(LEN(BN253)-LEN(SUBSTITUTE(BN253,"0","")))&gt;=5)))),1,0),0)</f>
        <v>0</v>
      </c>
      <c r="CA2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253,"revision",""),"version",""),"jan",""),"feb",""),"mar",""),"apr",""),"may",""),"jun",""),"jul",""),"aug",""),"sep",""),"oct",""),"nov",""),"dec",""),"utc",""),"gmt",""),"myt",""),"bst",""),"rev",""),"ver",""),"b","a"),"c","a"),"d","a"),"e","a"),"f","a"),"g","a"),"h","a"),"i","a"),"j","a"),"k","a"),"l","a"),"m","a"),"n","a"),"o","a"),"p","a"),"q","a"),"r","a"),"s","a"),"t","a"),"u","a"),"v","a"),"w","a"),"x","a"),"y","a"),"z","a")</f>
        <v/>
      </c>
      <c r="CB2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253&amp;""),"a",""),"b",""),"c",""),"d",""),"e",""),"f",""),"g",""),"h",""),"i",""),"j",""),"k",""),"l",""),"m",""),"n",""),"o",""),"p",""),"q",""),"r",""),"s",""),"t",""),"u",""),"v",""),"w",""),"x",""),"y",""),"z",""),"-",""),"_",""),"/",""),".",""),"#",""),"\\",""),":","")," ",""),"(",""),")","")</f>
        <v/>
      </c>
      <c r="CC253" s="0" t="str">
        <f aca="false">" "&amp;TRIM(SUBSTITUTE(SUBSTITUTE(SUBSTITUTE(SUBSTITUTE(SUBSTITUTE(SUBSTITUTE(SUBSTITUTE(SUBSTITUTE(SUBSTITUTE(SUBSTITUTE(SUBSTITUTE(SUBSTITUTE(SUBSTITUTE(SUBSTITUTE(SUBSTITUTE(SUBSTITUTE(SUBSTITUTE(SUBSTITUTE(SUBSTITUTE(SUBSTITUTE(SUBSTITUTE(SUBSTITUTE(SUBSTITUTE(SUBSTITUTE(LOWER(T253&amp;""),CHAR(10)," "),CHAR(13)," "),CHAR(9)," "),CHAR(160)," "),"."," "),","," "),"-"," "),"/"," "),"("," "),")"," "),":"," "),";"," "),"_"," "),"–"," "),"?"," "),"!"," "),"*"," "),"["," "),"]"," "),"'"," "),"#"," "),"+"," "),"&amp;"," "),"\"," "))&amp;" "</f>
        <v>  </v>
      </c>
      <c r="CD253" s="0" t="str">
        <f aca="false">" "&amp;TRIM(SUBSTITUTE(SUBSTITUTE(SUBSTITUTE(SUBSTITUTE(SUBSTITUTE(SUBSTITUTE(SUBSTITUTE(SUBSTITUTE(SUBSTITUTE(SUBSTITUTE(SUBSTITUTE(SUBSTITUTE(SUBSTITUTE(SUBSTITUTE(SUBSTITUTE(SUBSTITUTE(SUBSTITUTE(SUBSTITUTE(SUBSTITUTE(SUBSTITUTE(SUBSTITUTE(SUBSTITUTE(SUBSTITUTE(SUBSTITUTE(LOWER(AE253&amp;""),CHAR(10)," "),CHAR(13)," "),CHAR(9)," "),CHAR(160)," "),"."," "),","," "),"-"," "),"/"," "),"("," "),")"," "),":"," "),";"," "),"_"," "),"–"," "),"?"," "),"!"," "),"*"," "),"["," "),"]"," "),"'"," "),"#"," "),"+"," "),"&amp;"," "),"\"," "))&amp;" "</f>
        <v>  </v>
      </c>
      <c r="CE253" s="68" t="n">
        <f aca="false">IFERROR(IF(AND(LEN(AU253)&gt;0,LEN(AU253)=LEN(AX253),OR(TRIM(MID(SUBSTITUTE(TRIM(CC253)," ",REPT(" ",60)),1,60))="",ISNUMBER(SEARCH(" "&amp;TRIM(MID(SUBSTITUTE(TRIM(CC253)," ",REPT(" ",60)),1,60))&amp;" ",CD253))),OR(TRIM(MID(SUBSTITUTE(TRIM(CC253)," ",REPT(" ",60)),61,60))="",ISNUMBER(SEARCH(" "&amp;TRIM(MID(SUBSTITUTE(TRIM(CC253)," ",REPT(" ",60)),61,60))&amp;" ",CD253))),OR(TRIM(MID(SUBSTITUTE(TRIM(CC253)," ",REPT(" ",60)),121,60))="",ISNUMBER(SEARCH(" "&amp;TRIM(MID(SUBSTITUTE(TRIM(CC253)," ",REPT(" ",60)),121,60))&amp;" ",CD253)))),1,0),0)</f>
        <v>0</v>
      </c>
      <c r="CG253" s="68" t="n">
        <f aca="false">IFERROR(LEN(SUBSTITUTE(BF253," ",""))-SUMPRODUCT((LEN(BF253)-LEN(SUBSTITUTE(BF253," "&amp;L_NAFiller&amp;" "," ")))/(LEN(L_NAFiller)+1)*LEN(L_NAFiller)),0)</f>
        <v>0</v>
      </c>
    </row>
    <row r="254" customFormat="false" ht="39.75" hidden="false" customHeight="true" outlineLevel="0" collapsed="false">
      <c r="A254" s="57" t="s">
        <v>825</v>
      </c>
      <c r="B254" s="57" t="s">
        <v>235</v>
      </c>
      <c r="C254" s="57" t="str">
        <f aca="false">Flights!$F$11</f>
        <v>MH0003</v>
      </c>
      <c r="D254" s="58" t="n">
        <f aca="false">Flights!$D$11</f>
        <v>46304</v>
      </c>
      <c r="E254" s="57" t="str">
        <f aca="false">Flights!$G$11&amp;"-"&amp;Flights!$H$11</f>
        <v>LHR-KUL</v>
      </c>
      <c r="F254" s="57" t="str">
        <f aca="false">Flights!$K$11</f>
        <v>BC</v>
      </c>
      <c r="G254" s="57" t="s">
        <v>459</v>
      </c>
      <c r="H254" s="57" t="s">
        <v>460</v>
      </c>
      <c r="I254" s="57" t="s">
        <v>499</v>
      </c>
      <c r="J254" s="57" t="s">
        <v>543</v>
      </c>
      <c r="K254" s="67" t="s">
        <v>501</v>
      </c>
      <c r="L254" s="67" t="s">
        <v>742</v>
      </c>
      <c r="M254" s="67" t="s">
        <v>451</v>
      </c>
      <c r="N254" s="67" t="s">
        <v>383</v>
      </c>
      <c r="O254" s="67"/>
      <c r="P254" s="57" t="s">
        <v>186</v>
      </c>
      <c r="Q254" s="59" t="n">
        <f aca="false">ROUND((Flights!$AF$11)*1440,0)/1440</f>
        <v>46304.4166666667</v>
      </c>
      <c r="R254" s="59" t="n">
        <f aca="false">Q254+(IF(AND(INDEX(TZ_DSTS,MATCH(P254,TZ_STN,0))&lt;&gt;"",Q254&gt;=INDEX(TZ_DSTS,MATCH(P254,TZ_STN,0)),Q254&lt;INDEX(TZ_DSTE,MATCH(P254,TZ_STN,0))),INDEX(TZ_DST,MATCH(P254,TZ_STN,0)),INDEX(TZ_STD,MATCH(P254,TZ_STN,0))))/24</f>
        <v>46304.4583333333</v>
      </c>
      <c r="S254" s="60"/>
      <c r="T254" s="60"/>
      <c r="U254" s="60"/>
      <c r="V254" s="60"/>
      <c r="W254" s="61"/>
      <c r="X254" s="60"/>
      <c r="Y254" s="60"/>
      <c r="Z254" s="60"/>
      <c r="AA254" s="60"/>
      <c r="AB254" s="60"/>
      <c r="AC254" s="60"/>
      <c r="AD254" s="66"/>
      <c r="AE254" s="60"/>
      <c r="AF254" s="61" t="str">
        <f aca="false">IF(AND(ISNUMBER(X254),ISNUMBER(Y254)),Y254-X254,"")</f>
        <v/>
      </c>
      <c r="AG254" s="62" t="str">
        <f aca="false">IF(ISNUMBER(AD254),AD254-(IF(AND(INDEX(TZ_DSTS,MATCH(P254,TZ_STN,0))&lt;&gt;"",(AD254-INDEX(TZ_STD,MATCH(P254,TZ_STN,0))/24)&gt;=INDEX(TZ_DSTS,MATCH(P254,TZ_STN,0)),(AD254-INDEX(TZ_STD,MATCH(P254,TZ_STN,0))/24)&lt;INDEX(TZ_DSTE,MATCH(P254,TZ_STN,0))),INDEX(TZ_DST,MATCH(P254,TZ_STN,0)),INDEX(TZ_STD,MATCH(P254,TZ_STN,0))))/24,"")</f>
        <v/>
      </c>
      <c r="AH254" s="65" t="str">
        <f aca="false">IFERROR(IF(N254="N/A – rule",IF(OR(TRIM(U254)="",TRIM(U254)="N/A",TRIM(U254)="Not started"),"N/A – RULE","INVALID – this check does not apply to this aircraft: clear the status (or correct the fleet on Flights)"),IF(TRIM(U254)="N/A",IF(AT254=0,"INVALID – N/A not permitted for this check",IF(AND(TRIM(AB254)&lt;&gt;"",TRIM(AB254)&lt;&gt;"Closed"),"INVALID – corrective action still open",IF(AND(NOT(OR(LEN(AZ254)&lt;15,ISNUMBER(MATCH(AZ254,L_Placeholder,0)))),BK254=0,CG254&gt;=8,NOT(OR(LEN(AU254)&lt;2,ISNUMBER(MATCH(AU254,L_Placeholder,0)))),BR254&gt;=3,NOT(OR(LEN(AX254)&lt;2,ISNUMBER(MATCH(AX254,L_Placeholder,0)))),BS254&gt;=3,TRIM(AE254)&lt;&gt;TRIM(T254),AX254&lt;&gt;AU254,CE254=0),"N/A – JUSTIFIED","INVALID – N/A needs a real, settled reason (not 'not applicable' / 'as above' / TBC), a named PIC and a different named verifier"))),IF(OR(TRIM(U254)="Pass",TRIM(U254)="Pass after CA"),IF(NOT(ISNUMBER(AD254)),"INVALID – completion time missing",IF(OR(OR(LEN(AU254)&lt;2,ISNUMBER(MATCH(AU254,L_Placeholder,0))),BR254&lt;3),"INVALID – PIC missing or not a named person (a role such as QA / CSM is not a name)",IF(OR(LEN(AV254)&lt;2,ISNUMBER(MATCH(AV254,L_Placeholder,0))),"INVALID – result / assessment missing",IF(OR(OR(LEN(AW254)&lt;3,ISNUMBER(MATCH(AW254,L_Placeholder,0))),SUMPRODUCT(--ISNUMBER(SEARCH(" "&amp;L_EvidencePhrase&amp;" ",BD254)))&gt;0,BI254=1),"INVALID – evidence missing, placeholder or not yet on file",IF(ISNA(MATCH(TRIM(S254),L_EvidenceType,0)),"INVALID – choose the evidence type from the list (column S)",IF(BL254=0,"INVALID – evidence ID must be the record's own ID only (e.g. SF-2210, IMG_2231, 1045521); a link / file name needs type 'Link / file path'",IF(OR(OR(LEN(AX254)&lt;2,ISNUMBER(MATCH(AX254,L_Placeholder,0))),BS254&lt;3),"INVALID – verifier missing or not a named person (a role such as QA / CSM is not a name)",IF(OR(AX254=AU254,CE254=1,AND(LEN(AU254)&gt;=4,ISNUMBER(SEARCH(AU254,AX254))),AND(LEN(AX254)&gt;=4,ISNUMBER(SEARCH(AX254,AU254)))),"INVALID – verifier must be a different, named person (not the PIC or a role)",IF(BH254=1,"INVALID – result not yet available (awaiting / TBC)",IF(BG254=1,"INVALID – result describes a problem: record Fail, then Pass after CA (or reword if it is not a problem)",IF(BV254=1,"INVALID – wording says not on board: an on-board confirmation needs the item loaded",IF(AND(AQ254=1,OR(OR(LEN(AY254)&lt;3,ISNUMBER(MATCH(AY254,L_Placeholder,0))),BJ254=1,BQ254=0)),"INVALID – batch ID missing, placeholder or not an ID (e.g. PASB-261008-BC-017)",IF(AND(AR254=1,OR(NOT(ISNUMBER(X254)),NOT(ISNUMBER(Y254)))),"INVALID – expected/actual qty missing",IF(AND(AR254=1,OR(X254&lt;=0,Y254&lt;0)),"INVALID – expected qty must be above 0 and actual not negative",IF(AH237="N/A – JUSTIFIED","INVALID – preparation row F07-T12-14 is N/A",IF(AND(AR254=1,ISNUMBER(X237),X254&lt;&gt;X237,TRIM(U254)&lt;&gt;"Pass after CA"),"INVALID – expected qty differs from preparation check F07-T12-14: record the load change as a corrective action (Pass after CA)",IF(BB254&lt;&gt;"",BB254,IF(AND(AS254=1,Documents!$J$11&lt;&gt;"ON FILE"),"INVALID – GLD not on file (Documents sheet)",IF(AND(AS254=2,Documents!$O$11&lt;&gt;"ON FILE"),"INVALID – menu checklist not on file (Documents sheet)",IF(AND(AS254=3,NOT(ISNUMBER(Flights!$AX$11))),"INVALID – enter carrying flight KUL departure (Flights AX)",IF(AND(AS254=3,OR(Flights!$AZ$11&gt;Flights!$AA$11,Flights!$AX$11&lt;Flights!$AA$11-3)),"INVALID – carrying flight (Flights AX) cannot arrive before this leg's STD, or is over 3 days early",IF(AG254&gt;AsOfUTC,"INVALID – completion time is in the future",IF(AND(ISNUMBER(BY254),AG254&lt;BY254),IF(H254="Physical uplift","INVALID – before uplift window (cannot confirm loading)","INVALID – before valid window"),IF(AG254&gt;Flights!$AA$11,"INVALID – completed after departure (cannot establish readiness)",IF(AND(H254="Preparation",AG254&gt;=IF(ISNUMBER(Flights!$BA$11),MIN(Flights!$BA$11,Flights!$AA$11),Flights!$AA$11)),"INVALID – completed after loading / departure (cannot establish readiness)",IF(AND(H254="Physical uplift",AG254&gt;Q254),"INVALID – recorded after the loading flight departed",IF(AG254&gt;Q254,"COMPLETE – LATE","COMPLETE"))))))))))))))))))))))))))),IF(TRIM(U254)="Fail","FAIL – DISCREPANCY",IF(AND(TRIM(U254)&lt;&gt;"",TRIM(U254)&lt;&gt;"Not started",TRIM(U254)&lt;&gt;"In progress"),"INVALID – unrecognised status (use the list)",IF(AsOfUTC&gt;Q254,"OVERDUE",IF(N254="Clarification required","OPEN – CLARIFICATION","OPEN"))))))),"INVALID – error value in an input cell")</f>
        <v>OPEN</v>
      </c>
      <c r="AI254" s="61" t="n">
        <f aca="false">IF(OR(AH254="N/A – RULE",AH254="N/A – JUSTIFIED"),0,1)</f>
        <v>1</v>
      </c>
      <c r="AJ254" s="61" t="n">
        <f aca="false">IF(LEFT(AH254,8)="COMPLETE",1,0)</f>
        <v>0</v>
      </c>
      <c r="AK254" s="61" t="n">
        <f aca="false">IF(AND(AI254=1,AJ254=0,AsOfUTC&gt;Q254),1,0)</f>
        <v>0</v>
      </c>
      <c r="AL254" s="61" t="n">
        <f aca="false">IFERROR(IF(AND(AI254=1,OR(TRIM(U254)="Fail",AND(TRIM(AB254)&lt;&gt;"",TRIM(AB254)&lt;&gt;"Closed"),AND(ISNUMBER(AF254),AF254&lt;&gt;0,TRIM(U254)&lt;&gt;"Pass after CA"))),1,0),1)</f>
        <v>0</v>
      </c>
      <c r="AM254" s="61" t="n">
        <f aca="false">IF(LEFT(AH254,7)="INVALID",1,0)</f>
        <v>0</v>
      </c>
      <c r="AN254" s="61" t="n">
        <f aca="false">IF(AND(N254="Clarification required",AI254=1,AJ254=0),1,0)</f>
        <v>0</v>
      </c>
      <c r="AO254" s="61" t="str">
        <f aca="false">IF(AK254=1,SUM(AK$5:AK254),"")</f>
        <v/>
      </c>
      <c r="AP254" s="61" t="str">
        <f aca="false">IF(AL254=1,SUM(AL$5:AL254),"")</f>
        <v/>
      </c>
      <c r="AQ254" s="61" t="n">
        <v>0</v>
      </c>
      <c r="AR254" s="61" t="n">
        <v>0</v>
      </c>
      <c r="AS254" s="61" t="n">
        <v>0</v>
      </c>
      <c r="AT254" s="61" t="n">
        <v>0</v>
      </c>
      <c r="AU254" s="61" t="str">
        <f aca="false">SUBSTITUTE(SUBSTITUTE(SUBSTITUTE(SUBSTITUTE(SUBSTITUTE(SUBSTITUTE(SUBSTITUTE(SUBSTITUTE(SUBSTITUTE(SUBSTITUTE(SUBSTITUTE(SUBSTITUTE(SUBSTITUTE(SUBSTITUTE(SUBSTITUTE(SUBSTITUTE(LOWER(T254&amp;""),CHAR(10),""),CHAR(13),""),CHAR(9),""),CHAR(160),"")," ",""),".",""),"-",""),"/",""),"?",""),"_",""),",",""),"[",""),"]",""),"(",""),")",""),"*","")</f>
        <v/>
      </c>
      <c r="AV254" s="61" t="str">
        <f aca="false">SUBSTITUTE(SUBSTITUTE(SUBSTITUTE(SUBSTITUTE(SUBSTITUTE(SUBSTITUTE(SUBSTITUTE(SUBSTITUTE(SUBSTITUTE(SUBSTITUTE(SUBSTITUTE(SUBSTITUTE(SUBSTITUTE(SUBSTITUTE(SUBSTITUTE(SUBSTITUTE(LOWER(V254&amp;""),CHAR(10),""),CHAR(13),""),CHAR(9),""),CHAR(160),"")," ",""),".",""),"-",""),"/",""),"?",""),"_",""),",",""),"[",""),"]",""),"(",""),")",""),"*","")</f>
        <v/>
      </c>
      <c r="AW254" s="61" t="str">
        <f aca="false">SUBSTITUTE(SUBSTITUTE(SUBSTITUTE(SUBSTITUTE(SUBSTITUTE(SUBSTITUTE(SUBSTITUTE(SUBSTITUTE(SUBSTITUTE(SUBSTITUTE(SUBSTITUTE(SUBSTITUTE(SUBSTITUTE(SUBSTITUTE(SUBSTITUTE(SUBSTITUTE(LOWER(Z254&amp;""),CHAR(10),""),CHAR(13),""),CHAR(9),""),CHAR(160),"")," ",""),".",""),"-",""),"/",""),"?",""),"_",""),",",""),"[",""),"]",""),"(",""),")",""),"*","")</f>
        <v/>
      </c>
      <c r="AX254" s="61" t="str">
        <f aca="false">SUBSTITUTE(SUBSTITUTE(SUBSTITUTE(SUBSTITUTE(SUBSTITUTE(SUBSTITUTE(SUBSTITUTE(SUBSTITUTE(SUBSTITUTE(SUBSTITUTE(SUBSTITUTE(SUBSTITUTE(SUBSTITUTE(SUBSTITUTE(SUBSTITUTE(SUBSTITUTE(LOWER(AE254&amp;""),CHAR(10),""),CHAR(13),""),CHAR(9),""),CHAR(160),"")," ",""),".",""),"-",""),"/",""),"?",""),"_",""),",",""),"[",""),"]",""),"(",""),")",""),"*","")</f>
        <v/>
      </c>
      <c r="AY254" s="61" t="str">
        <f aca="false">SUBSTITUTE(SUBSTITUTE(SUBSTITUTE(SUBSTITUTE(SUBSTITUTE(SUBSTITUTE(SUBSTITUTE(SUBSTITUTE(SUBSTITUTE(SUBSTITUTE(SUBSTITUTE(SUBSTITUTE(SUBSTITUTE(SUBSTITUTE(SUBSTITUTE(SUBSTITUTE(LOWER(W254&amp;""),CHAR(10),""),CHAR(13),""),CHAR(9),""),CHAR(160),"")," ",""),".",""),"-",""),"/",""),"?",""),"_",""),",",""),"[",""),"]",""),"(",""),")",""),"*","")</f>
        <v/>
      </c>
      <c r="AZ254" s="61" t="str">
        <f aca="false">SUBSTITUTE(SUBSTITUTE(SUBSTITUTE(SUBSTITUTE(SUBSTITUTE(SUBSTITUTE(SUBSTITUTE(SUBSTITUTE(SUBSTITUTE(SUBSTITUTE(SUBSTITUTE(SUBSTITUTE(SUBSTITUTE(SUBSTITUTE(SUBSTITUTE(SUBSTITUTE(LOWER(AC254&amp;""),CHAR(10),""),CHAR(13),""),CHAR(9),""),CHAR(160),"")," ",""),".",""),"-",""),"/",""),"?",""),"_",""),",",""),"[",""),"]",""),"(",""),")",""),"*","")</f>
        <v/>
      </c>
      <c r="BA254" s="61" t="str">
        <f aca="false">SUBSTITUTE(SUBSTITUTE(SUBSTITUTE(SUBSTITUTE(SUBSTITUTE(SUBSTITUTE(SUBSTITUTE(SUBSTITUTE(SUBSTITUTE(SUBSTITUTE(SUBSTITUTE(SUBSTITUTE(SUBSTITUTE(SUBSTITUTE(SUBSTITUTE(SUBSTITUTE(LOWER(AA254&amp;""),CHAR(10),""),CHAR(13),""),CHAR(9),""),CHAR(160),"")," ",""),".",""),"-",""),"/",""),"?",""),"_",""),",",""),"[",""),"]",""),"(",""),")",""),"*","")</f>
        <v/>
      </c>
      <c r="BB254" s="61" t="str">
        <f aca="false">IF(AND(TRIM(U254)="Pass",ISNUMBER(AF254)),IF(AF254&lt;&gt;0,"INVALID – qty variance: use Fail or Pass after CA",""),"")&amp;IF(AND(TRIM(U254)="Pass after CA",ISNUMBER(AF254)),IF(AF254&lt;&gt;0,"INVALID – after the corrective action the actual qty must equal expected (update Actual)",""),"")&amp;IF(AND(TRIM(U254)="Pass",TRIM(AB254)&lt;&gt;"",TRIM(AB254)&lt;&gt;"Closed"),"INVALID – corrective action not closed: use Fail, then Pass after CA","")&amp;IF(AND(LEN(BA254)&gt;=2,ISNA(MATCH(LEFT(BA254,255),L_Placeholder,0)),TRIM(AB254)=""),"INVALID – CA status missing for the recorded corrective action","")&amp;IF(AND(TRIM(U254)="Pass after CA",OR(OR(LEN(BA254)&lt;5,ISNUMBER(MATCH(BA254,L_Placeholder,0))),TRIM(AB254)&lt;&gt;"Closed")),"INVALID – corrective action not recorded/closed","")</f>
        <v/>
      </c>
      <c r="BC254" s="61" t="str">
        <f aca="false">" "&amp;TRIM(SUBSTITUTE(SUBSTITUTE(SUBSTITUTE(SUBSTITUTE(SUBSTITUTE(SUBSTITUTE(SUBSTITUTE(SUBSTITUTE(SUBSTITUTE(SUBSTITUTE(SUBSTITUTE(SUBSTITUTE(SUBSTITUTE(SUBSTITUTE(SUBSTITUTE(SUBSTITUTE(SUBSTITUTE(SUBSTITUTE(SUBSTITUTE(SUBSTITUTE(SUBSTITUTE(SUBSTITUTE(SUBSTITUTE(SUBSTITUTE(LOWER(V254&amp;""),CHAR(10)," "),CHAR(13)," "),CHAR(9)," "),CHAR(160)," "),"."," "),","," "),"-"," "),"/"," "),"("," "),")"," "),":"," "),";"," "),"_"," "),"–"," "),"?"," "),"!"," "),"*"," "),"["," "),"]"," "),"'"," "),"#"," "),"+"," "),"&amp;"," "),"\"," "))&amp;" "</f>
        <v>  </v>
      </c>
      <c r="BD254" s="61" t="str">
        <f aca="false">" "&amp;TRIM(SUBSTITUTE(SUBSTITUTE(SUBSTITUTE(SUBSTITUTE(SUBSTITUTE(SUBSTITUTE(SUBSTITUTE(SUBSTITUTE(SUBSTITUTE(SUBSTITUTE(SUBSTITUTE(SUBSTITUTE(SUBSTITUTE(SUBSTITUTE(SUBSTITUTE(SUBSTITUTE(SUBSTITUTE(SUBSTITUTE(SUBSTITUTE(SUBSTITUTE(SUBSTITUTE(SUBSTITUTE(SUBSTITUTE(SUBSTITUTE(LOWER(Z254&amp;""),CHAR(10)," "),CHAR(13)," "),CHAR(9)," "),CHAR(160)," "),"."," "),","," "),"-"," "),"/"," "),"("," "),")"," "),":"," "),";"," "),"_"," "),"–"," "),"?"," "),"!"," "),"*"," "),"["," "),"]"," "),"'"," "),"#"," "),"+"," "),"&amp;"," "),"\"," "))&amp;" "</f>
        <v>  </v>
      </c>
      <c r="BE254" s="61" t="str">
        <f aca="false">" "&amp;TRIM(SUBSTITUTE(SUBSTITUTE(SUBSTITUTE(SUBSTITUTE(SUBSTITUTE(SUBSTITUTE(SUBSTITUTE(SUBSTITUTE(SUBSTITUTE(SUBSTITUTE(SUBSTITUTE(SUBSTITUTE(SUBSTITUTE(SUBSTITUTE(SUBSTITUTE(SUBSTITUTE(SUBSTITUTE(SUBSTITUTE(SUBSTITUTE(SUBSTITUTE(SUBSTITUTE(SUBSTITUTE(SUBSTITUTE(SUBSTITUTE(LOWER(W254&amp;""),CHAR(10)," "),CHAR(13)," "),CHAR(9)," "),CHAR(160)," "),"."," "),","," "),"-"," "),"/"," "),"("," "),")"," "),":"," "),";"," "),"_"," "),"–"," "),"?"," "),"!"," "),"*"," "),"["," "),"]"," "),"'"," "),"#"," "),"+"," "),"&amp;"," "),"\"," "))&amp;" "</f>
        <v>  </v>
      </c>
      <c r="BF254" s="61" t="str">
        <f aca="false">" "&amp;TRIM(SUBSTITUTE(SUBSTITUTE(SUBSTITUTE(SUBSTITUTE(SUBSTITUTE(SUBSTITUTE(SUBSTITUTE(SUBSTITUTE(SUBSTITUTE(SUBSTITUTE(SUBSTITUTE(SUBSTITUTE(SUBSTITUTE(SUBSTITUTE(SUBSTITUTE(SUBSTITUTE(SUBSTITUTE(SUBSTITUTE(SUBSTITUTE(SUBSTITUTE(SUBSTITUTE(SUBSTITUTE(SUBSTITUTE(SUBSTITUTE(LOWER(AC254&amp;""),CHAR(10)," "),CHAR(13)," "),CHAR(9)," "),CHAR(160)," "),"."," "),","," "),"-"," "),"/"," "),"("," "),")"," "),":"," "),";"," "),"_"," "),"–"," "),"?"," "),"!"," "),"*"," "),"["," "),"]"," "),"'"," "),"#"," "),"+"," "),"&amp;"," "),"\"," "))&amp;" "</f>
        <v>  </v>
      </c>
      <c r="BG254" s="61" t="n">
        <f aca="false">IFERROR(IF(AND(TRIM(U254)="Pass",SUMPRODUCT((LEN(BC254)-LEN(SUBSTITUTE(BC254," "&amp;L_ResultBad&amp;" "," ")))/(LEN(L_ResultBad)+1))&gt;SUMPRODUCT((LEN(BC254)-LEN(SUBSTITUTE(BC254," "&amp;L_NegPhrase&amp;" "," ")))/(LEN(L_NegPhrase)+1))),1,0),0)</f>
        <v>0</v>
      </c>
      <c r="BH254" s="61" t="n">
        <f aca="false">IFERROR(IF(SUMPRODUCT((LEN(BC254)-LEN(SUBSTITUTE(BC254," "&amp;L_Pending&amp;" "," ")))/(LEN(L_Pending)+1))&gt;SUMPRODUCT((LEN(BC254)-LEN(SUBSTITUTE(BC254," "&amp;L_PendNeg&amp;" "," ")))/(LEN(L_PendNeg)+1)),1,0),1)</f>
        <v>0</v>
      </c>
      <c r="BI254" s="61" t="n">
        <f aca="false">IFERROR(IF(SUMPRODUCT((LEN(BD254)-LEN(SUBSTITUTE(BD254," "&amp;L_PendStrict&amp;" "," ")))/(LEN(L_PendStrict)+1))&gt;SUMPRODUCT((LEN(BD254)-LEN(SUBSTITUTE(BD254," "&amp;L_PendNeg&amp;" "," ")))/(LEN(L_PendNeg)+1)),1,0),1)</f>
        <v>0</v>
      </c>
      <c r="BJ254" s="61" t="n">
        <f aca="false">IFERROR(IF(SUMPRODUCT((LEN(BE254)-LEN(SUBSTITUTE(BE254," "&amp;L_Pending&amp;" "," ")))/(LEN(L_Pending)+1))&gt;SUMPRODUCT((LEN(BE254)-LEN(SUBSTITUTE(BE254," "&amp;L_PendNeg&amp;" "," ")))/(LEN(L_PendNeg)+1)),1,0),1)</f>
        <v>0</v>
      </c>
      <c r="BK254" s="61" t="n">
        <f aca="false">IFERROR(IF(SUMPRODUCT((LEN(BF254)-LEN(SUBSTITUTE(BF254," "&amp;L_PendStrict&amp;" "," ")))/(LEN(L_PendStrict)+1))&gt;SUMPRODUCT((LEN(BF254)-LEN(SUBSTITUTE(BF254," "&amp;L_PendNeg&amp;" "," ")))/(LEN(L_PendNeg)+1)),1,0),1)</f>
        <v>0</v>
      </c>
      <c r="BL254" s="61" t="n">
        <f aca="false">IF(ISNA(MATCH(TRIM(S254),L_EvidenceType,0)),0,BZ254)</f>
        <v>0</v>
      </c>
      <c r="BM254" s="61" t="str">
        <f aca="false">SUBSTITUTE(SUBSTITUTE(SUBSTITUTE(SUBSTITUTE(SUBSTITUTE(SUBSTITUTE(SUBSTITUTE(SUBSTITUTE(SUBSTITUTE(LOWER(Z254&amp;""),"1","0"),"2","0"),"3","0"),"4","0"),"5","0"),"6","0"),"7","0"),"8","0"),"9","0")</f>
        <v/>
      </c>
      <c r="BN254" s="61" t="str">
        <f aca="false">SUBSTITUTE(SUBSTITUTE(SUBSTITUTE(SUBSTITUTE(SUBSTITUTE(SUBSTITUTE(SUBSTITUTE(SUBSTITUTE(SUBSTITUTE(SUBSTITUTE(SUBSTITUTE(SUBSTITUTE(SUBSTITUTE(SUBSTITUTE(SUBSTITUTE(SUBSTITUTE(SUBSTITUTE(SUBSTITUTE(SUBSTITUTE(SUBSTITUTE(SUBSTITUTE(SUBSTITUTE(SUBSTITUTE(SUBSTITUTE(SUBSTITUTE(BM254,"b","a"),"c","a"),"d","a"),"e","a"),"f","a"),"g","a"),"h","a"),"i","a"),"j","a"),"k","a"),"l","a"),"m","a"),"n","a"),"o","a"),"p","a"),"q","a"),"r","a"),"s","a"),"t","a"),"u","a"),"v","a"),"w","a"),"x","a"),"y","a"),"z","a")</f>
        <v/>
      </c>
      <c r="BO254" s="61" t="str">
        <f aca="false">SUBSTITUTE(SUBSTITUTE(SUBSTITUTE(SUBSTITUTE(SUBSTITUTE(SUBSTITUTE(SUBSTITUTE(SUBSTITUTE(SUBSTITUTE(LOWER(W254&amp;""),"1","0"),"2","0"),"3","0"),"4","0"),"5","0"),"6","0"),"7","0"),"8","0"),"9","0")</f>
        <v/>
      </c>
      <c r="BP254" s="61" t="str">
        <f aca="false">SUBSTITUTE(SUBSTITUTE(SUBSTITUTE(SUBSTITUTE(SUBSTITUTE(SUBSTITUTE(SUBSTITUTE(SUBSTITUTE(SUBSTITUTE(SUBSTITUTE(SUBSTITUTE(SUBSTITUTE(SUBSTITUTE(SUBSTITUTE(SUBSTITUTE(SUBSTITUTE(SUBSTITUTE(SUBSTITUTE(SUBSTITUTE(SUBSTITUTE(SUBSTITUTE(SUBSTITUTE(SUBSTITUTE(SUBSTITUTE(SUBSTITUTE(BO254,"b","a"),"c","a"),"d","a"),"e","a"),"f","a"),"g","a"),"h","a"),"i","a"),"j","a"),"k","a"),"l","a"),"m","a"),"n","a"),"o","a"),"p","a"),"q","a"),"r","a"),"s","a"),"t","a"),"u","a"),"v","a"),"w","a"),"x","a"),"y","a"),"z","a")</f>
        <v/>
      </c>
      <c r="BQ254" s="61" t="n">
        <f aca="false">IFERROR(IF(AND(ISERROR(SEARCH(" mh"," "&amp;LOWER(W254))),ISNA(MATCH(LEFT(TRIM(BP254),255),{"0000a","000a","00a","0000aa","000aa","00aa","0aa","0000aaa","000aaa","00a00","0a00","0000-0000","00:00","a00","a0","00.00.0000","00/00/0000","00-00-0000","0000-00-00","0000/00/00","0000.00.00","00.00.00","00/00/00","00-00-00","0.00.0000","0/00/0000","0-00-0000"},0)),ISNA(MATCH(LEFT(TRIM(CA254),255),{"0000a","000a","00a","0000aa","000aa","00aa","0aa","0000aaa","000aaa","00a00","0a00","0000-0000","00:00","a00","a0","00.00.0000","00/00/0000","00-00-0000","0000-00-00","0000/00/00","0000.00.00","00.00.00","00/00/00","00-00-00","0.00.0000","0/00/0000","0-00-0000"},0)),LEN(CB254)&gt;=3,NOT(OR(SUBSTITUTE(CB254,"0","")="",AND(LEN(CB254)&gt;=4,CB254=REPT(LEFT(CB254),LEN(CB254))),ISNUMBER(MATCH(CB254,{"123","1234","12345","123456","1234567","12345678","0123","01234","012345","98765","987654","54321"},0)),AND(LEN(CB254)=8,LEFT(CB254,3)="202"))),OR(AND((LEN(CA254)-LEN(SUBSTITUTE(CA254,"a","")))&gt;=1,SUMPRODUCT(--ISNUMBER(SEARCH({"a0","a-0","a_0","a/0","a.0","a#0","0a","0-a","0_a","0/a"},BP254)))&gt;0),ISNUMBER(SEARCH("000000",BP254)))),1,0),0)</f>
        <v>0</v>
      </c>
      <c r="BR254" s="61" t="n">
        <f aca="false">IFERROR(LEN(SUBSTITUTE(CC254," ",""))-SUMPRODUCT((LEN(CC254)-LEN(SUBSTITUTE(CC254," "&amp;L_Role&amp;" "," ")))/(LEN(L_Role)+1)*LEN(L_Role)),0)</f>
        <v>0</v>
      </c>
      <c r="BS254" s="61" t="n">
        <f aca="false">IFERROR(LEN(SUBSTITUTE(CD254," ",""))-SUMPRODUCT((LEN(CD254)-LEN(SUBSTITUTE(CD254," "&amp;L_Role&amp;" "," ")))/(LEN(L_Role)+1)*LEN(L_Role)),0)</f>
        <v>0</v>
      </c>
      <c r="BT2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254,"revision",""),"version",""),"jan",""),"feb",""),"mar",""),"apr",""),"may",""),"jun",""),"jul",""),"aug",""),"sep",""),"oct",""),"nov",""),"dec",""),"utc",""),"gmt",""),"myt",""),"bst",""),"rev",""),"ver",""),"b","a"),"c","a"),"d","a"),"e","a"),"f","a"),"g","a"),"h","a"),"i","a"),"j","a"),"k","a"),"l","a"),"m","a"),"n","a"),"o","a"),"p","a"),"q","a"),"r","a"),"s","a"),"t","a"),"u","a"),"v","a"),"w","a"),"x","a"),"y","a"),"z","a")</f>
        <v/>
      </c>
      <c r="BU254" s="61" t="str">
        <f aca="false">SUBSTITUTE(SUBSTITUTE(SUBSTITUTE(SUBSTITUTE(SUBSTITUTE(SUBSTITUTE(SUBSTITUTE(SUBSTITUTE(SUBSTITUTE(SUBSTITUTE(LEFT(BM254,FIND("0",BM254&amp;"0")-1),"-",""),"_",""),"/",""),".",""),"#",""),"\\",""),":","")," ",""),"(",""),")","")</f>
        <v/>
      </c>
      <c r="BV254" s="61" t="n">
        <f aca="false">IFERROR(IF(OR(SUMPRODUCT((LEN(BC254)-LEN(SUBSTITUTE(BC254," "&amp;L_NotLoaded&amp;" "," ")))/(LEN(L_NotLoaded)+1))&gt;SUMPRODUCT((LEN(BC254)-LEN(SUBSTITUTE(BC254," "&amp;L_NotLoadedNeg&amp;" "," ")))/(LEN(L_NotLoadedNeg)+1)),SUMPRODUCT((LEN(BD254)-LEN(SUBSTITUTE(BD254," "&amp;L_NotLoaded&amp;" "," ")))/(LEN(L_NotLoaded)+1))&gt;SUMPRODUCT((LEN(BD254)-LEN(SUBSTITUTE(BD254," "&amp;L_NotLoadedNeg&amp;" "," ")))/(LEN(L_NotLoadedNeg)+1))),1,0),0)</f>
        <v>0</v>
      </c>
      <c r="BW2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254&amp;""),"a",""),"b",""),"c",""),"d",""),"e",""),"f",""),"g",""),"h",""),"i",""),"j",""),"k",""),"l",""),"m",""),"n",""),"o",""),"p",""),"q",""),"r",""),"s",""),"t",""),"u",""),"v",""),"w",""),"x",""),"y",""),"z",""),"-",""),"_",""),"/",""),".",""),"#",""),"\\",""),":","")," ",""),"(",""),")","")</f>
        <v/>
      </c>
      <c r="BX254" s="61" t="str">
        <f aca="false">SUBSTITUTE(SUBSTITUTE(SUBSTITUTE(SUBSTITUTE(SUBSTITUTE(SUBSTITUTE(SUBSTITUTE(SUBSTITUTE(SUBSTITUTE(SUBSTITUTE(SUBSTITUTE(BM254,"0",""),"-",""),"_",""),"/",""),".",""),"#",""),"\\",""),":","")," ",""),"(",""),")","")</f>
        <v/>
      </c>
      <c r="BY254" s="62" t="n">
        <f aca="false">IF(ISNUMBER(Flights!$AZ$11),MAX(Q254-UpliftWindowH/24,Flights!$AZ$11),Q254-UpliftWindowH/24)</f>
        <v>46304.4166666667</v>
      </c>
      <c r="BZ254" s="61" t="n">
        <f aca="false">IFERROR(IF(IF(TRIM(S254)="Link / file path",AND(LEN(TRIM(Z254))&gt;=5,SUMPRODUCT(--ISNUMBER(SEARCH({"http","www.","\\",":\",".pdf",".jpg",".jpeg",".png",".heic",".xls",".doc",".msg",".eml",".ppt",".txt",".zip"},Z254)))&gt;0),AND(ISERROR(FIND(" ",TRIM(Z254))),NOT(OR(SUMPRODUCT(--ISNUMBER(FIND({",",";","&amp;","+"},Z254)))&gt;0,SUMPRODUCT(--ISNUMBER(SEARCH({"0/aa","0\\aa"},BN254)))&gt;0)),NOT(SUMPRODUCT(--ISNUMBER(SEARCH({"http","www.","\\",":\",".pdf",".jpg",".jpeg",".png",".heic",".xls",".doc",".msg",".eml",".ppt",".txt",".zip"},Z254)))&gt;0),NOT(LOWER(TRIM(Z254))=LOWER(Flights!$F$11)),ISNA(MATCH(BU254,{"mh","rev","revision","ver","version","v","r","a","b","seat","tray","row","gate","bay","stand","page","pg","item","line","no","cart","galley","flight","flt","table","box","bag","oven","etd","eta","std","sta","atd","ata","qty","pax","x","time","tel","ph","mob","day","wk","week","utc","gmt","myt","lt"},0)),NOT(OR(ISNUMBER(MATCH(LEFT(BN254,255),{"0000a","000a","00a","0000aa","000aa","00aa","0aa","0000aaa","000aaa","00a00","0a00","0000-0000","00:00","a00","a0","00.00.0000","00/00/0000","00-00-0000","0000-00-00","0000/00/00","0000.00.00","00.00.00","00/00/00","00-00-00","0.00.0000","0/00/0000","0-00-0000"},0)),ISNUMBER(MATCH(LEFT(BT254,255),{"0000a","000a","00a","0000aa","000aa","00aa","0aa","0000aaa","000aaa","00a00","0a00","0000-0000","00:00","a00","a0","00.00.0000","00/00/0000","00-00-0000","0000-00-00","0000/00/00","0000.00.00","00.00.00","00/00/00","00-00-00","0.00.0000","0/00/0000","0-00-0000"},0)))),NOT(OR(AND(BW254&lt;&gt;"",SUBSTITUTE(BW254,"0","")=""),AND(LEN(BW254)&gt;=4,BW254=REPT(LEFT(BW254),LEN(BW254))),ISNUMBER(MATCH(BW254,{"123","1234","12345","123456","1234567","12345678","0123","01234","012345","98765","987654","54321"},0)),ISNUMBER(MATCH(BX254,{"x","xx","xxx","xxxx","xxxxx","abc","abcd","nil","na","nan","test","tbc","tba","tbd","dummy","sample","example","eg","zz","zzz","none","null","xyz","qwe","asd","id","ref"},0)),AND(LEN(BW254)=8,BX254="",OR(LEFT(BW254,3)="202",ISNUMBER(MATCH(RIGHT(BW254,4),{"2025","2026","2027"},0)))))),OR(AND((LEN(BT254)-LEN(SUBSTITUTE(BT254,"a","")))&gt;=1,(LEN(BN254)-LEN(SUBSTITUTE(BN254,"0","")))&gt;=2,SUMPRODUCT(--ISNUMBER(SEARCH({"a0","a-0","a_0","a/0","a.0","a#0","0a","0-a","0_a","0/a"},BN254)))&gt;0),AND((LEN(BN254)-LEN(SUBSTITUTE(BN254,"a","")))=0,(LEN(BN254)-LEN(SUBSTITUTE(BN254,"0","")))&gt;=5)))),1,0),0)</f>
        <v>0</v>
      </c>
      <c r="CA2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254,"revision",""),"version",""),"jan",""),"feb",""),"mar",""),"apr",""),"may",""),"jun",""),"jul",""),"aug",""),"sep",""),"oct",""),"nov",""),"dec",""),"utc",""),"gmt",""),"myt",""),"bst",""),"rev",""),"ver",""),"b","a"),"c","a"),"d","a"),"e","a"),"f","a"),"g","a"),"h","a"),"i","a"),"j","a"),"k","a"),"l","a"),"m","a"),"n","a"),"o","a"),"p","a"),"q","a"),"r","a"),"s","a"),"t","a"),"u","a"),"v","a"),"w","a"),"x","a"),"y","a"),"z","a")</f>
        <v/>
      </c>
      <c r="CB2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254&amp;""),"a",""),"b",""),"c",""),"d",""),"e",""),"f",""),"g",""),"h",""),"i",""),"j",""),"k",""),"l",""),"m",""),"n",""),"o",""),"p",""),"q",""),"r",""),"s",""),"t",""),"u",""),"v",""),"w",""),"x",""),"y",""),"z",""),"-",""),"_",""),"/",""),".",""),"#",""),"\\",""),":","")," ",""),"(",""),")","")</f>
        <v/>
      </c>
      <c r="CC254" s="0" t="str">
        <f aca="false">" "&amp;TRIM(SUBSTITUTE(SUBSTITUTE(SUBSTITUTE(SUBSTITUTE(SUBSTITUTE(SUBSTITUTE(SUBSTITUTE(SUBSTITUTE(SUBSTITUTE(SUBSTITUTE(SUBSTITUTE(SUBSTITUTE(SUBSTITUTE(SUBSTITUTE(SUBSTITUTE(SUBSTITUTE(SUBSTITUTE(SUBSTITUTE(SUBSTITUTE(SUBSTITUTE(SUBSTITUTE(SUBSTITUTE(SUBSTITUTE(SUBSTITUTE(LOWER(T254&amp;""),CHAR(10)," "),CHAR(13)," "),CHAR(9)," "),CHAR(160)," "),"."," "),","," "),"-"," "),"/"," "),"("," "),")"," "),":"," "),";"," "),"_"," "),"–"," "),"?"," "),"!"," "),"*"," "),"["," "),"]"," "),"'"," "),"#"," "),"+"," "),"&amp;"," "),"\"," "))&amp;" "</f>
        <v>  </v>
      </c>
      <c r="CD254" s="0" t="str">
        <f aca="false">" "&amp;TRIM(SUBSTITUTE(SUBSTITUTE(SUBSTITUTE(SUBSTITUTE(SUBSTITUTE(SUBSTITUTE(SUBSTITUTE(SUBSTITUTE(SUBSTITUTE(SUBSTITUTE(SUBSTITUTE(SUBSTITUTE(SUBSTITUTE(SUBSTITUTE(SUBSTITUTE(SUBSTITUTE(SUBSTITUTE(SUBSTITUTE(SUBSTITUTE(SUBSTITUTE(SUBSTITUTE(SUBSTITUTE(SUBSTITUTE(SUBSTITUTE(LOWER(AE254&amp;""),CHAR(10)," "),CHAR(13)," "),CHAR(9)," "),CHAR(160)," "),"."," "),","," "),"-"," "),"/"," "),"("," "),")"," "),":"," "),";"," "),"_"," "),"–"," "),"?"," "),"!"," "),"*"," "),"["," "),"]"," "),"'"," "),"#"," "),"+"," "),"&amp;"," "),"\"," "))&amp;" "</f>
        <v>  </v>
      </c>
      <c r="CE254" s="68" t="n">
        <f aca="false">IFERROR(IF(AND(LEN(AU254)&gt;0,LEN(AU254)=LEN(AX254),OR(TRIM(MID(SUBSTITUTE(TRIM(CC254)," ",REPT(" ",60)),1,60))="",ISNUMBER(SEARCH(" "&amp;TRIM(MID(SUBSTITUTE(TRIM(CC254)," ",REPT(" ",60)),1,60))&amp;" ",CD254))),OR(TRIM(MID(SUBSTITUTE(TRIM(CC254)," ",REPT(" ",60)),61,60))="",ISNUMBER(SEARCH(" "&amp;TRIM(MID(SUBSTITUTE(TRIM(CC254)," ",REPT(" ",60)),61,60))&amp;" ",CD254))),OR(TRIM(MID(SUBSTITUTE(TRIM(CC254)," ",REPT(" ",60)),121,60))="",ISNUMBER(SEARCH(" "&amp;TRIM(MID(SUBSTITUTE(TRIM(CC254)," ",REPT(" ",60)),121,60))&amp;" ",CD254)))),1,0),0)</f>
        <v>0</v>
      </c>
      <c r="CG254" s="68" t="n">
        <f aca="false">IFERROR(LEN(SUBSTITUTE(BF254," ",""))-SUMPRODUCT((LEN(BF254)-LEN(SUBSTITUTE(BF254," "&amp;L_NAFiller&amp;" "," ")))/(LEN(L_NAFiller)+1)*LEN(L_NAFiller)),0)</f>
        <v>0</v>
      </c>
    </row>
    <row r="255" customFormat="false" ht="39.75" hidden="false" customHeight="true" outlineLevel="0" collapsed="false">
      <c r="A255" s="57" t="s">
        <v>826</v>
      </c>
      <c r="B255" s="57" t="s">
        <v>235</v>
      </c>
      <c r="C255" s="57" t="str">
        <f aca="false">Flights!$F$11</f>
        <v>MH0003</v>
      </c>
      <c r="D255" s="58" t="n">
        <f aca="false">Flights!$D$11</f>
        <v>46304</v>
      </c>
      <c r="E255" s="57" t="str">
        <f aca="false">Flights!$G$11&amp;"-"&amp;Flights!$H$11</f>
        <v>LHR-KUL</v>
      </c>
      <c r="F255" s="57" t="str">
        <f aca="false">Flights!$K$11</f>
        <v>BC</v>
      </c>
      <c r="G255" s="57" t="s">
        <v>459</v>
      </c>
      <c r="H255" s="57" t="s">
        <v>460</v>
      </c>
      <c r="I255" s="57" t="s">
        <v>499</v>
      </c>
      <c r="J255" s="57" t="s">
        <v>546</v>
      </c>
      <c r="K255" s="67" t="s">
        <v>501</v>
      </c>
      <c r="L255" s="67" t="s">
        <v>744</v>
      </c>
      <c r="M255" s="67" t="s">
        <v>451</v>
      </c>
      <c r="N255" s="67" t="s">
        <v>383</v>
      </c>
      <c r="O255" s="67"/>
      <c r="P255" s="57" t="s">
        <v>186</v>
      </c>
      <c r="Q255" s="59" t="n">
        <f aca="false">ROUND((Flights!$AF$11)*1440,0)/1440</f>
        <v>46304.4166666667</v>
      </c>
      <c r="R255" s="59" t="n">
        <f aca="false">Q255+(IF(AND(INDEX(TZ_DSTS,MATCH(P255,TZ_STN,0))&lt;&gt;"",Q255&gt;=INDEX(TZ_DSTS,MATCH(P255,TZ_STN,0)),Q255&lt;INDEX(TZ_DSTE,MATCH(P255,TZ_STN,0))),INDEX(TZ_DST,MATCH(P255,TZ_STN,0)),INDEX(TZ_STD,MATCH(P255,TZ_STN,0))))/24</f>
        <v>46304.4583333333</v>
      </c>
      <c r="S255" s="60"/>
      <c r="T255" s="60"/>
      <c r="U255" s="60"/>
      <c r="V255" s="60"/>
      <c r="W255" s="61"/>
      <c r="X255" s="60"/>
      <c r="Y255" s="60"/>
      <c r="Z255" s="60"/>
      <c r="AA255" s="60"/>
      <c r="AB255" s="60"/>
      <c r="AC255" s="60"/>
      <c r="AD255" s="66"/>
      <c r="AE255" s="60"/>
      <c r="AF255" s="61" t="str">
        <f aca="false">IF(AND(ISNUMBER(X255),ISNUMBER(Y255)),Y255-X255,"")</f>
        <v/>
      </c>
      <c r="AG255" s="62" t="str">
        <f aca="false">IF(ISNUMBER(AD255),AD255-(IF(AND(INDEX(TZ_DSTS,MATCH(P255,TZ_STN,0))&lt;&gt;"",(AD255-INDEX(TZ_STD,MATCH(P255,TZ_STN,0))/24)&gt;=INDEX(TZ_DSTS,MATCH(P255,TZ_STN,0)),(AD255-INDEX(TZ_STD,MATCH(P255,TZ_STN,0))/24)&lt;INDEX(TZ_DSTE,MATCH(P255,TZ_STN,0))),INDEX(TZ_DST,MATCH(P255,TZ_STN,0)),INDEX(TZ_STD,MATCH(P255,TZ_STN,0))))/24,"")</f>
        <v/>
      </c>
      <c r="AH255" s="65" t="str">
        <f aca="false">IFERROR(IF(N255="N/A – rule",IF(OR(TRIM(U255)="",TRIM(U255)="N/A",TRIM(U255)="Not started"),"N/A – RULE","INVALID – this check does not apply to this aircraft: clear the status (or correct the fleet on Flights)"),IF(TRIM(U255)="N/A",IF(AT255=0,"INVALID – N/A not permitted for this check",IF(AND(TRIM(AB255)&lt;&gt;"",TRIM(AB255)&lt;&gt;"Closed"),"INVALID – corrective action still open",IF(AND(NOT(OR(LEN(AZ255)&lt;15,ISNUMBER(MATCH(AZ255,L_Placeholder,0)))),BK255=0,CG255&gt;=8,NOT(OR(LEN(AU255)&lt;2,ISNUMBER(MATCH(AU255,L_Placeholder,0)))),BR255&gt;=3,NOT(OR(LEN(AX255)&lt;2,ISNUMBER(MATCH(AX255,L_Placeholder,0)))),BS255&gt;=3,TRIM(AE255)&lt;&gt;TRIM(T255),AX255&lt;&gt;AU255,CE255=0),"N/A – JUSTIFIED","INVALID – N/A needs a real, settled reason (not 'not applicable' / 'as above' / TBC), a named PIC and a different named verifier"))),IF(OR(TRIM(U255)="Pass",TRIM(U255)="Pass after CA"),IF(NOT(ISNUMBER(AD255)),"INVALID – completion time missing",IF(OR(OR(LEN(AU255)&lt;2,ISNUMBER(MATCH(AU255,L_Placeholder,0))),BR255&lt;3),"INVALID – PIC missing or not a named person (a role such as QA / CSM is not a name)",IF(OR(LEN(AV255)&lt;2,ISNUMBER(MATCH(AV255,L_Placeholder,0))),"INVALID – result / assessment missing",IF(OR(OR(LEN(AW255)&lt;3,ISNUMBER(MATCH(AW255,L_Placeholder,0))),SUMPRODUCT(--ISNUMBER(SEARCH(" "&amp;L_EvidencePhrase&amp;" ",BD255)))&gt;0,BI255=1),"INVALID – evidence missing, placeholder or not yet on file",IF(ISNA(MATCH(TRIM(S255),L_EvidenceType,0)),"INVALID – choose the evidence type from the list (column S)",IF(BL255=0,"INVALID – evidence ID must be the record's own ID only (e.g. SF-2210, IMG_2231, 1045521); a link / file name needs type 'Link / file path'",IF(OR(OR(LEN(AX255)&lt;2,ISNUMBER(MATCH(AX255,L_Placeholder,0))),BS255&lt;3),"INVALID – verifier missing or not a named person (a role such as QA / CSM is not a name)",IF(OR(AX255=AU255,CE255=1,AND(LEN(AU255)&gt;=4,ISNUMBER(SEARCH(AU255,AX255))),AND(LEN(AX255)&gt;=4,ISNUMBER(SEARCH(AX255,AU255)))),"INVALID – verifier must be a different, named person (not the PIC or a role)",IF(BH255=1,"INVALID – result not yet available (awaiting / TBC)",IF(BG255=1,"INVALID – result describes a problem: record Fail, then Pass after CA (or reword if it is not a problem)",IF(BV255=1,"INVALID – wording says not on board: an on-board confirmation needs the item loaded",IF(AND(AQ255=1,OR(OR(LEN(AY255)&lt;3,ISNUMBER(MATCH(AY255,L_Placeholder,0))),BJ255=1,BQ255=0)),"INVALID – batch ID missing, placeholder or not an ID (e.g. PASB-261008-BC-017)",IF(AND(AR255=1,OR(NOT(ISNUMBER(X255)),NOT(ISNUMBER(Y255)))),"INVALID – expected/actual qty missing",IF(AND(AR255=1,OR(X255&lt;=0,Y255&lt;0)),"INVALID – expected qty must be above 0 and actual not negative",IF(AH238="N/A – JUSTIFIED","INVALID – preparation row F07-T12-15 is N/A",IF(AND(AR255=1,ISNUMBER(X238),X255&lt;&gt;X238,TRIM(U255)&lt;&gt;"Pass after CA"),"INVALID – expected qty differs from preparation check F07-T12-15: record the load change as a corrective action (Pass after CA)",IF(BB255&lt;&gt;"",BB255,IF(AND(AS255=1,Documents!$J$11&lt;&gt;"ON FILE"),"INVALID – GLD not on file (Documents sheet)",IF(AND(AS255=2,Documents!$O$11&lt;&gt;"ON FILE"),"INVALID – menu checklist not on file (Documents sheet)",IF(AND(AS255=3,NOT(ISNUMBER(Flights!$AX$11))),"INVALID – enter carrying flight KUL departure (Flights AX)",IF(AND(AS255=3,OR(Flights!$AZ$11&gt;Flights!$AA$11,Flights!$AX$11&lt;Flights!$AA$11-3)),"INVALID – carrying flight (Flights AX) cannot arrive before this leg's STD, or is over 3 days early",IF(AG255&gt;AsOfUTC,"INVALID – completion time is in the future",IF(AND(ISNUMBER(BY255),AG255&lt;BY255),IF(H255="Physical uplift","INVALID – before uplift window (cannot confirm loading)","INVALID – before valid window"),IF(AG255&gt;Flights!$AA$11,"INVALID – completed after departure (cannot establish readiness)",IF(AND(H255="Preparation",AG255&gt;=IF(ISNUMBER(Flights!$BA$11),MIN(Flights!$BA$11,Flights!$AA$11),Flights!$AA$11)),"INVALID – completed after loading / departure (cannot establish readiness)",IF(AND(H255="Physical uplift",AG255&gt;Q255),"INVALID – recorded after the loading flight departed",IF(AG255&gt;Q255,"COMPLETE – LATE","COMPLETE"))))))))))))))))))))))))))),IF(TRIM(U255)="Fail","FAIL – DISCREPANCY",IF(AND(TRIM(U255)&lt;&gt;"",TRIM(U255)&lt;&gt;"Not started",TRIM(U255)&lt;&gt;"In progress"),"INVALID – unrecognised status (use the list)",IF(AsOfUTC&gt;Q255,"OVERDUE",IF(N255="Clarification required","OPEN – CLARIFICATION","OPEN"))))))),"INVALID – error value in an input cell")</f>
        <v>OPEN</v>
      </c>
      <c r="AI255" s="61" t="n">
        <f aca="false">IF(OR(AH255="N/A – RULE",AH255="N/A – JUSTIFIED"),0,1)</f>
        <v>1</v>
      </c>
      <c r="AJ255" s="61" t="n">
        <f aca="false">IF(LEFT(AH255,8)="COMPLETE",1,0)</f>
        <v>0</v>
      </c>
      <c r="AK255" s="61" t="n">
        <f aca="false">IF(AND(AI255=1,AJ255=0,AsOfUTC&gt;Q255),1,0)</f>
        <v>0</v>
      </c>
      <c r="AL255" s="61" t="n">
        <f aca="false">IFERROR(IF(AND(AI255=1,OR(TRIM(U255)="Fail",AND(TRIM(AB255)&lt;&gt;"",TRIM(AB255)&lt;&gt;"Closed"),AND(ISNUMBER(AF255),AF255&lt;&gt;0,TRIM(U255)&lt;&gt;"Pass after CA"))),1,0),1)</f>
        <v>0</v>
      </c>
      <c r="AM255" s="61" t="n">
        <f aca="false">IF(LEFT(AH255,7)="INVALID",1,0)</f>
        <v>0</v>
      </c>
      <c r="AN255" s="61" t="n">
        <f aca="false">IF(AND(N255="Clarification required",AI255=1,AJ255=0),1,0)</f>
        <v>0</v>
      </c>
      <c r="AO255" s="61" t="str">
        <f aca="false">IF(AK255=1,SUM(AK$5:AK255),"")</f>
        <v/>
      </c>
      <c r="AP255" s="61" t="str">
        <f aca="false">IF(AL255=1,SUM(AL$5:AL255),"")</f>
        <v/>
      </c>
      <c r="AQ255" s="61" t="n">
        <v>0</v>
      </c>
      <c r="AR255" s="61" t="n">
        <v>0</v>
      </c>
      <c r="AS255" s="61" t="n">
        <v>0</v>
      </c>
      <c r="AT255" s="61" t="n">
        <v>0</v>
      </c>
      <c r="AU255" s="61" t="str">
        <f aca="false">SUBSTITUTE(SUBSTITUTE(SUBSTITUTE(SUBSTITUTE(SUBSTITUTE(SUBSTITUTE(SUBSTITUTE(SUBSTITUTE(SUBSTITUTE(SUBSTITUTE(SUBSTITUTE(SUBSTITUTE(SUBSTITUTE(SUBSTITUTE(SUBSTITUTE(SUBSTITUTE(LOWER(T255&amp;""),CHAR(10),""),CHAR(13),""),CHAR(9),""),CHAR(160),"")," ",""),".",""),"-",""),"/",""),"?",""),"_",""),",",""),"[",""),"]",""),"(",""),")",""),"*","")</f>
        <v/>
      </c>
      <c r="AV255" s="61" t="str">
        <f aca="false">SUBSTITUTE(SUBSTITUTE(SUBSTITUTE(SUBSTITUTE(SUBSTITUTE(SUBSTITUTE(SUBSTITUTE(SUBSTITUTE(SUBSTITUTE(SUBSTITUTE(SUBSTITUTE(SUBSTITUTE(SUBSTITUTE(SUBSTITUTE(SUBSTITUTE(SUBSTITUTE(LOWER(V255&amp;""),CHAR(10),""),CHAR(13),""),CHAR(9),""),CHAR(160),"")," ",""),".",""),"-",""),"/",""),"?",""),"_",""),",",""),"[",""),"]",""),"(",""),")",""),"*","")</f>
        <v/>
      </c>
      <c r="AW255" s="61" t="str">
        <f aca="false">SUBSTITUTE(SUBSTITUTE(SUBSTITUTE(SUBSTITUTE(SUBSTITUTE(SUBSTITUTE(SUBSTITUTE(SUBSTITUTE(SUBSTITUTE(SUBSTITUTE(SUBSTITUTE(SUBSTITUTE(SUBSTITUTE(SUBSTITUTE(SUBSTITUTE(SUBSTITUTE(LOWER(Z255&amp;""),CHAR(10),""),CHAR(13),""),CHAR(9),""),CHAR(160),"")," ",""),".",""),"-",""),"/",""),"?",""),"_",""),",",""),"[",""),"]",""),"(",""),")",""),"*","")</f>
        <v/>
      </c>
      <c r="AX255" s="61" t="str">
        <f aca="false">SUBSTITUTE(SUBSTITUTE(SUBSTITUTE(SUBSTITUTE(SUBSTITUTE(SUBSTITUTE(SUBSTITUTE(SUBSTITUTE(SUBSTITUTE(SUBSTITUTE(SUBSTITUTE(SUBSTITUTE(SUBSTITUTE(SUBSTITUTE(SUBSTITUTE(SUBSTITUTE(LOWER(AE255&amp;""),CHAR(10),""),CHAR(13),""),CHAR(9),""),CHAR(160),"")," ",""),".",""),"-",""),"/",""),"?",""),"_",""),",",""),"[",""),"]",""),"(",""),")",""),"*","")</f>
        <v/>
      </c>
      <c r="AY255" s="61" t="str">
        <f aca="false">SUBSTITUTE(SUBSTITUTE(SUBSTITUTE(SUBSTITUTE(SUBSTITUTE(SUBSTITUTE(SUBSTITUTE(SUBSTITUTE(SUBSTITUTE(SUBSTITUTE(SUBSTITUTE(SUBSTITUTE(SUBSTITUTE(SUBSTITUTE(SUBSTITUTE(SUBSTITUTE(LOWER(W255&amp;""),CHAR(10),""),CHAR(13),""),CHAR(9),""),CHAR(160),"")," ",""),".",""),"-",""),"/",""),"?",""),"_",""),",",""),"[",""),"]",""),"(",""),")",""),"*","")</f>
        <v/>
      </c>
      <c r="AZ255" s="61" t="str">
        <f aca="false">SUBSTITUTE(SUBSTITUTE(SUBSTITUTE(SUBSTITUTE(SUBSTITUTE(SUBSTITUTE(SUBSTITUTE(SUBSTITUTE(SUBSTITUTE(SUBSTITUTE(SUBSTITUTE(SUBSTITUTE(SUBSTITUTE(SUBSTITUTE(SUBSTITUTE(SUBSTITUTE(LOWER(AC255&amp;""),CHAR(10),""),CHAR(13),""),CHAR(9),""),CHAR(160),"")," ",""),".",""),"-",""),"/",""),"?",""),"_",""),",",""),"[",""),"]",""),"(",""),")",""),"*","")</f>
        <v/>
      </c>
      <c r="BA255" s="61" t="str">
        <f aca="false">SUBSTITUTE(SUBSTITUTE(SUBSTITUTE(SUBSTITUTE(SUBSTITUTE(SUBSTITUTE(SUBSTITUTE(SUBSTITUTE(SUBSTITUTE(SUBSTITUTE(SUBSTITUTE(SUBSTITUTE(SUBSTITUTE(SUBSTITUTE(SUBSTITUTE(SUBSTITUTE(LOWER(AA255&amp;""),CHAR(10),""),CHAR(13),""),CHAR(9),""),CHAR(160),"")," ",""),".",""),"-",""),"/",""),"?",""),"_",""),",",""),"[",""),"]",""),"(",""),")",""),"*","")</f>
        <v/>
      </c>
      <c r="BB255" s="61" t="str">
        <f aca="false">IF(AND(TRIM(U255)="Pass",ISNUMBER(AF255)),IF(AF255&lt;&gt;0,"INVALID – qty variance: use Fail or Pass after CA",""),"")&amp;IF(AND(TRIM(U255)="Pass after CA",ISNUMBER(AF255)),IF(AF255&lt;&gt;0,"INVALID – after the corrective action the actual qty must equal expected (update Actual)",""),"")&amp;IF(AND(TRIM(U255)="Pass",TRIM(AB255)&lt;&gt;"",TRIM(AB255)&lt;&gt;"Closed"),"INVALID – corrective action not closed: use Fail, then Pass after CA","")&amp;IF(AND(LEN(BA255)&gt;=2,ISNA(MATCH(LEFT(BA255,255),L_Placeholder,0)),TRIM(AB255)=""),"INVALID – CA status missing for the recorded corrective action","")&amp;IF(AND(TRIM(U255)="Pass after CA",OR(OR(LEN(BA255)&lt;5,ISNUMBER(MATCH(BA255,L_Placeholder,0))),TRIM(AB255)&lt;&gt;"Closed")),"INVALID – corrective action not recorded/closed","")</f>
        <v/>
      </c>
      <c r="BC255" s="61" t="str">
        <f aca="false">" "&amp;TRIM(SUBSTITUTE(SUBSTITUTE(SUBSTITUTE(SUBSTITUTE(SUBSTITUTE(SUBSTITUTE(SUBSTITUTE(SUBSTITUTE(SUBSTITUTE(SUBSTITUTE(SUBSTITUTE(SUBSTITUTE(SUBSTITUTE(SUBSTITUTE(SUBSTITUTE(SUBSTITUTE(SUBSTITUTE(SUBSTITUTE(SUBSTITUTE(SUBSTITUTE(SUBSTITUTE(SUBSTITUTE(SUBSTITUTE(SUBSTITUTE(LOWER(V255&amp;""),CHAR(10)," "),CHAR(13)," "),CHAR(9)," "),CHAR(160)," "),"."," "),","," "),"-"," "),"/"," "),"("," "),")"," "),":"," "),";"," "),"_"," "),"–"," "),"?"," "),"!"," "),"*"," "),"["," "),"]"," "),"'"," "),"#"," "),"+"," "),"&amp;"," "),"\"," "))&amp;" "</f>
        <v>  </v>
      </c>
      <c r="BD255" s="61" t="str">
        <f aca="false">" "&amp;TRIM(SUBSTITUTE(SUBSTITUTE(SUBSTITUTE(SUBSTITUTE(SUBSTITUTE(SUBSTITUTE(SUBSTITUTE(SUBSTITUTE(SUBSTITUTE(SUBSTITUTE(SUBSTITUTE(SUBSTITUTE(SUBSTITUTE(SUBSTITUTE(SUBSTITUTE(SUBSTITUTE(SUBSTITUTE(SUBSTITUTE(SUBSTITUTE(SUBSTITUTE(SUBSTITUTE(SUBSTITUTE(SUBSTITUTE(SUBSTITUTE(LOWER(Z255&amp;""),CHAR(10)," "),CHAR(13)," "),CHAR(9)," "),CHAR(160)," "),"."," "),","," "),"-"," "),"/"," "),"("," "),")"," "),":"," "),";"," "),"_"," "),"–"," "),"?"," "),"!"," "),"*"," "),"["," "),"]"," "),"'"," "),"#"," "),"+"," "),"&amp;"," "),"\"," "))&amp;" "</f>
        <v>  </v>
      </c>
      <c r="BE255" s="61" t="str">
        <f aca="false">" "&amp;TRIM(SUBSTITUTE(SUBSTITUTE(SUBSTITUTE(SUBSTITUTE(SUBSTITUTE(SUBSTITUTE(SUBSTITUTE(SUBSTITUTE(SUBSTITUTE(SUBSTITUTE(SUBSTITUTE(SUBSTITUTE(SUBSTITUTE(SUBSTITUTE(SUBSTITUTE(SUBSTITUTE(SUBSTITUTE(SUBSTITUTE(SUBSTITUTE(SUBSTITUTE(SUBSTITUTE(SUBSTITUTE(SUBSTITUTE(SUBSTITUTE(LOWER(W255&amp;""),CHAR(10)," "),CHAR(13)," "),CHAR(9)," "),CHAR(160)," "),"."," "),","," "),"-"," "),"/"," "),"("," "),")"," "),":"," "),";"," "),"_"," "),"–"," "),"?"," "),"!"," "),"*"," "),"["," "),"]"," "),"'"," "),"#"," "),"+"," "),"&amp;"," "),"\"," "))&amp;" "</f>
        <v>  </v>
      </c>
      <c r="BF255" s="61" t="str">
        <f aca="false">" "&amp;TRIM(SUBSTITUTE(SUBSTITUTE(SUBSTITUTE(SUBSTITUTE(SUBSTITUTE(SUBSTITUTE(SUBSTITUTE(SUBSTITUTE(SUBSTITUTE(SUBSTITUTE(SUBSTITUTE(SUBSTITUTE(SUBSTITUTE(SUBSTITUTE(SUBSTITUTE(SUBSTITUTE(SUBSTITUTE(SUBSTITUTE(SUBSTITUTE(SUBSTITUTE(SUBSTITUTE(SUBSTITUTE(SUBSTITUTE(SUBSTITUTE(LOWER(AC255&amp;""),CHAR(10)," "),CHAR(13)," "),CHAR(9)," "),CHAR(160)," "),"."," "),","," "),"-"," "),"/"," "),"("," "),")"," "),":"," "),";"," "),"_"," "),"–"," "),"?"," "),"!"," "),"*"," "),"["," "),"]"," "),"'"," "),"#"," "),"+"," "),"&amp;"," "),"\"," "))&amp;" "</f>
        <v>  </v>
      </c>
      <c r="BG255" s="61" t="n">
        <f aca="false">IFERROR(IF(AND(TRIM(U255)="Pass",SUMPRODUCT((LEN(BC255)-LEN(SUBSTITUTE(BC255," "&amp;L_ResultBad&amp;" "," ")))/(LEN(L_ResultBad)+1))&gt;SUMPRODUCT((LEN(BC255)-LEN(SUBSTITUTE(BC255," "&amp;L_NegPhrase&amp;" "," ")))/(LEN(L_NegPhrase)+1))),1,0),0)</f>
        <v>0</v>
      </c>
      <c r="BH255" s="61" t="n">
        <f aca="false">IFERROR(IF(SUMPRODUCT((LEN(BC255)-LEN(SUBSTITUTE(BC255," "&amp;L_Pending&amp;" "," ")))/(LEN(L_Pending)+1))&gt;SUMPRODUCT((LEN(BC255)-LEN(SUBSTITUTE(BC255," "&amp;L_PendNeg&amp;" "," ")))/(LEN(L_PendNeg)+1)),1,0),1)</f>
        <v>0</v>
      </c>
      <c r="BI255" s="61" t="n">
        <f aca="false">IFERROR(IF(SUMPRODUCT((LEN(BD255)-LEN(SUBSTITUTE(BD255," "&amp;L_PendStrict&amp;" "," ")))/(LEN(L_PendStrict)+1))&gt;SUMPRODUCT((LEN(BD255)-LEN(SUBSTITUTE(BD255," "&amp;L_PendNeg&amp;" "," ")))/(LEN(L_PendNeg)+1)),1,0),1)</f>
        <v>0</v>
      </c>
      <c r="BJ255" s="61" t="n">
        <f aca="false">IFERROR(IF(SUMPRODUCT((LEN(BE255)-LEN(SUBSTITUTE(BE255," "&amp;L_Pending&amp;" "," ")))/(LEN(L_Pending)+1))&gt;SUMPRODUCT((LEN(BE255)-LEN(SUBSTITUTE(BE255," "&amp;L_PendNeg&amp;" "," ")))/(LEN(L_PendNeg)+1)),1,0),1)</f>
        <v>0</v>
      </c>
      <c r="BK255" s="61" t="n">
        <f aca="false">IFERROR(IF(SUMPRODUCT((LEN(BF255)-LEN(SUBSTITUTE(BF255," "&amp;L_PendStrict&amp;" "," ")))/(LEN(L_PendStrict)+1))&gt;SUMPRODUCT((LEN(BF255)-LEN(SUBSTITUTE(BF255," "&amp;L_PendNeg&amp;" "," ")))/(LEN(L_PendNeg)+1)),1,0),1)</f>
        <v>0</v>
      </c>
      <c r="BL255" s="61" t="n">
        <f aca="false">IF(ISNA(MATCH(TRIM(S255),L_EvidenceType,0)),0,BZ255)</f>
        <v>0</v>
      </c>
      <c r="BM255" s="61" t="str">
        <f aca="false">SUBSTITUTE(SUBSTITUTE(SUBSTITUTE(SUBSTITUTE(SUBSTITUTE(SUBSTITUTE(SUBSTITUTE(SUBSTITUTE(SUBSTITUTE(LOWER(Z255&amp;""),"1","0"),"2","0"),"3","0"),"4","0"),"5","0"),"6","0"),"7","0"),"8","0"),"9","0")</f>
        <v/>
      </c>
      <c r="BN255" s="61" t="str">
        <f aca="false">SUBSTITUTE(SUBSTITUTE(SUBSTITUTE(SUBSTITUTE(SUBSTITUTE(SUBSTITUTE(SUBSTITUTE(SUBSTITUTE(SUBSTITUTE(SUBSTITUTE(SUBSTITUTE(SUBSTITUTE(SUBSTITUTE(SUBSTITUTE(SUBSTITUTE(SUBSTITUTE(SUBSTITUTE(SUBSTITUTE(SUBSTITUTE(SUBSTITUTE(SUBSTITUTE(SUBSTITUTE(SUBSTITUTE(SUBSTITUTE(SUBSTITUTE(BM255,"b","a"),"c","a"),"d","a"),"e","a"),"f","a"),"g","a"),"h","a"),"i","a"),"j","a"),"k","a"),"l","a"),"m","a"),"n","a"),"o","a"),"p","a"),"q","a"),"r","a"),"s","a"),"t","a"),"u","a"),"v","a"),"w","a"),"x","a"),"y","a"),"z","a")</f>
        <v/>
      </c>
      <c r="BO255" s="61" t="str">
        <f aca="false">SUBSTITUTE(SUBSTITUTE(SUBSTITUTE(SUBSTITUTE(SUBSTITUTE(SUBSTITUTE(SUBSTITUTE(SUBSTITUTE(SUBSTITUTE(LOWER(W255&amp;""),"1","0"),"2","0"),"3","0"),"4","0"),"5","0"),"6","0"),"7","0"),"8","0"),"9","0")</f>
        <v/>
      </c>
      <c r="BP255" s="61" t="str">
        <f aca="false">SUBSTITUTE(SUBSTITUTE(SUBSTITUTE(SUBSTITUTE(SUBSTITUTE(SUBSTITUTE(SUBSTITUTE(SUBSTITUTE(SUBSTITUTE(SUBSTITUTE(SUBSTITUTE(SUBSTITUTE(SUBSTITUTE(SUBSTITUTE(SUBSTITUTE(SUBSTITUTE(SUBSTITUTE(SUBSTITUTE(SUBSTITUTE(SUBSTITUTE(SUBSTITUTE(SUBSTITUTE(SUBSTITUTE(SUBSTITUTE(SUBSTITUTE(BO255,"b","a"),"c","a"),"d","a"),"e","a"),"f","a"),"g","a"),"h","a"),"i","a"),"j","a"),"k","a"),"l","a"),"m","a"),"n","a"),"o","a"),"p","a"),"q","a"),"r","a"),"s","a"),"t","a"),"u","a"),"v","a"),"w","a"),"x","a"),"y","a"),"z","a")</f>
        <v/>
      </c>
      <c r="BQ255" s="61" t="n">
        <f aca="false">IFERROR(IF(AND(ISERROR(SEARCH(" mh"," "&amp;LOWER(W255))),ISNA(MATCH(LEFT(TRIM(BP255),255),{"0000a","000a","00a","0000aa","000aa","00aa","0aa","0000aaa","000aaa","00a00","0a00","0000-0000","00:00","a00","a0","00.00.0000","00/00/0000","00-00-0000","0000-00-00","0000/00/00","0000.00.00","00.00.00","00/00/00","00-00-00","0.00.0000","0/00/0000","0-00-0000"},0)),ISNA(MATCH(LEFT(TRIM(CA255),255),{"0000a","000a","00a","0000aa","000aa","00aa","0aa","0000aaa","000aaa","00a00","0a00","0000-0000","00:00","a00","a0","00.00.0000","00/00/0000","00-00-0000","0000-00-00","0000/00/00","0000.00.00","00.00.00","00/00/00","00-00-00","0.00.0000","0/00/0000","0-00-0000"},0)),LEN(CB255)&gt;=3,NOT(OR(SUBSTITUTE(CB255,"0","")="",AND(LEN(CB255)&gt;=4,CB255=REPT(LEFT(CB255),LEN(CB255))),ISNUMBER(MATCH(CB255,{"123","1234","12345","123456","1234567","12345678","0123","01234","012345","98765","987654","54321"},0)),AND(LEN(CB255)=8,LEFT(CB255,3)="202"))),OR(AND((LEN(CA255)-LEN(SUBSTITUTE(CA255,"a","")))&gt;=1,SUMPRODUCT(--ISNUMBER(SEARCH({"a0","a-0","a_0","a/0","a.0","a#0","0a","0-a","0_a","0/a"},BP255)))&gt;0),ISNUMBER(SEARCH("000000",BP255)))),1,0),0)</f>
        <v>0</v>
      </c>
      <c r="BR255" s="61" t="n">
        <f aca="false">IFERROR(LEN(SUBSTITUTE(CC255," ",""))-SUMPRODUCT((LEN(CC255)-LEN(SUBSTITUTE(CC255," "&amp;L_Role&amp;" "," ")))/(LEN(L_Role)+1)*LEN(L_Role)),0)</f>
        <v>0</v>
      </c>
      <c r="BS255" s="61" t="n">
        <f aca="false">IFERROR(LEN(SUBSTITUTE(CD255," ",""))-SUMPRODUCT((LEN(CD255)-LEN(SUBSTITUTE(CD255," "&amp;L_Role&amp;" "," ")))/(LEN(L_Role)+1)*LEN(L_Role)),0)</f>
        <v>0</v>
      </c>
      <c r="BT2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255,"revision",""),"version",""),"jan",""),"feb",""),"mar",""),"apr",""),"may",""),"jun",""),"jul",""),"aug",""),"sep",""),"oct",""),"nov",""),"dec",""),"utc",""),"gmt",""),"myt",""),"bst",""),"rev",""),"ver",""),"b","a"),"c","a"),"d","a"),"e","a"),"f","a"),"g","a"),"h","a"),"i","a"),"j","a"),"k","a"),"l","a"),"m","a"),"n","a"),"o","a"),"p","a"),"q","a"),"r","a"),"s","a"),"t","a"),"u","a"),"v","a"),"w","a"),"x","a"),"y","a"),"z","a")</f>
        <v/>
      </c>
      <c r="BU255" s="61" t="str">
        <f aca="false">SUBSTITUTE(SUBSTITUTE(SUBSTITUTE(SUBSTITUTE(SUBSTITUTE(SUBSTITUTE(SUBSTITUTE(SUBSTITUTE(SUBSTITUTE(SUBSTITUTE(LEFT(BM255,FIND("0",BM255&amp;"0")-1),"-",""),"_",""),"/",""),".",""),"#",""),"\\",""),":","")," ",""),"(",""),")","")</f>
        <v/>
      </c>
      <c r="BV255" s="61" t="n">
        <f aca="false">IFERROR(IF(OR(SUMPRODUCT((LEN(BC255)-LEN(SUBSTITUTE(BC255," "&amp;L_NotLoaded&amp;" "," ")))/(LEN(L_NotLoaded)+1))&gt;SUMPRODUCT((LEN(BC255)-LEN(SUBSTITUTE(BC255," "&amp;L_NotLoadedNeg&amp;" "," ")))/(LEN(L_NotLoadedNeg)+1)),SUMPRODUCT((LEN(BD255)-LEN(SUBSTITUTE(BD255," "&amp;L_NotLoaded&amp;" "," ")))/(LEN(L_NotLoaded)+1))&gt;SUMPRODUCT((LEN(BD255)-LEN(SUBSTITUTE(BD255," "&amp;L_NotLoadedNeg&amp;" "," ")))/(LEN(L_NotLoadedNeg)+1))),1,0),0)</f>
        <v>0</v>
      </c>
      <c r="BW2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255&amp;""),"a",""),"b",""),"c",""),"d",""),"e",""),"f",""),"g",""),"h",""),"i",""),"j",""),"k",""),"l",""),"m",""),"n",""),"o",""),"p",""),"q",""),"r",""),"s",""),"t",""),"u",""),"v",""),"w",""),"x",""),"y",""),"z",""),"-",""),"_",""),"/",""),".",""),"#",""),"\\",""),":","")," ",""),"(",""),")","")</f>
        <v/>
      </c>
      <c r="BX255" s="61" t="str">
        <f aca="false">SUBSTITUTE(SUBSTITUTE(SUBSTITUTE(SUBSTITUTE(SUBSTITUTE(SUBSTITUTE(SUBSTITUTE(SUBSTITUTE(SUBSTITUTE(SUBSTITUTE(SUBSTITUTE(BM255,"0",""),"-",""),"_",""),"/",""),".",""),"#",""),"\\",""),":","")," ",""),"(",""),")","")</f>
        <v/>
      </c>
      <c r="BY255" s="62" t="n">
        <f aca="false">IF(ISNUMBER(Flights!$AZ$11),MAX(Q255-UpliftWindowH/24,Flights!$AZ$11),Q255-UpliftWindowH/24)</f>
        <v>46304.4166666667</v>
      </c>
      <c r="BZ255" s="61" t="n">
        <f aca="false">IFERROR(IF(IF(TRIM(S255)="Link / file path",AND(LEN(TRIM(Z255))&gt;=5,SUMPRODUCT(--ISNUMBER(SEARCH({"http","www.","\\",":\",".pdf",".jpg",".jpeg",".png",".heic",".xls",".doc",".msg",".eml",".ppt",".txt",".zip"},Z255)))&gt;0),AND(ISERROR(FIND(" ",TRIM(Z255))),NOT(OR(SUMPRODUCT(--ISNUMBER(FIND({",",";","&amp;","+"},Z255)))&gt;0,SUMPRODUCT(--ISNUMBER(SEARCH({"0/aa","0\\aa"},BN255)))&gt;0)),NOT(SUMPRODUCT(--ISNUMBER(SEARCH({"http","www.","\\",":\",".pdf",".jpg",".jpeg",".png",".heic",".xls",".doc",".msg",".eml",".ppt",".txt",".zip"},Z255)))&gt;0),NOT(LOWER(TRIM(Z255))=LOWER(Flights!$F$11)),ISNA(MATCH(BU255,{"mh","rev","revision","ver","version","v","r","a","b","seat","tray","row","gate","bay","stand","page","pg","item","line","no","cart","galley","flight","flt","table","box","bag","oven","etd","eta","std","sta","atd","ata","qty","pax","x","time","tel","ph","mob","day","wk","week","utc","gmt","myt","lt"},0)),NOT(OR(ISNUMBER(MATCH(LEFT(BN255,255),{"0000a","000a","00a","0000aa","000aa","00aa","0aa","0000aaa","000aaa","00a00","0a00","0000-0000","00:00","a00","a0","00.00.0000","00/00/0000","00-00-0000","0000-00-00","0000/00/00","0000.00.00","00.00.00","00/00/00","00-00-00","0.00.0000","0/00/0000","0-00-0000"},0)),ISNUMBER(MATCH(LEFT(BT255,255),{"0000a","000a","00a","0000aa","000aa","00aa","0aa","0000aaa","000aaa","00a00","0a00","0000-0000","00:00","a00","a0","00.00.0000","00/00/0000","00-00-0000","0000-00-00","0000/00/00","0000.00.00","00.00.00","00/00/00","00-00-00","0.00.0000","0/00/0000","0-00-0000"},0)))),NOT(OR(AND(BW255&lt;&gt;"",SUBSTITUTE(BW255,"0","")=""),AND(LEN(BW255)&gt;=4,BW255=REPT(LEFT(BW255),LEN(BW255))),ISNUMBER(MATCH(BW255,{"123","1234","12345","123456","1234567","12345678","0123","01234","012345","98765","987654","54321"},0)),ISNUMBER(MATCH(BX255,{"x","xx","xxx","xxxx","xxxxx","abc","abcd","nil","na","nan","test","tbc","tba","tbd","dummy","sample","example","eg","zz","zzz","none","null","xyz","qwe","asd","id","ref"},0)),AND(LEN(BW255)=8,BX255="",OR(LEFT(BW255,3)="202",ISNUMBER(MATCH(RIGHT(BW255,4),{"2025","2026","2027"},0)))))),OR(AND((LEN(BT255)-LEN(SUBSTITUTE(BT255,"a","")))&gt;=1,(LEN(BN255)-LEN(SUBSTITUTE(BN255,"0","")))&gt;=2,SUMPRODUCT(--ISNUMBER(SEARCH({"a0","a-0","a_0","a/0","a.0","a#0","0a","0-a","0_a","0/a"},BN255)))&gt;0),AND((LEN(BN255)-LEN(SUBSTITUTE(BN255,"a","")))=0,(LEN(BN255)-LEN(SUBSTITUTE(BN255,"0","")))&gt;=5)))),1,0),0)</f>
        <v>0</v>
      </c>
      <c r="CA2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255,"revision",""),"version",""),"jan",""),"feb",""),"mar",""),"apr",""),"may",""),"jun",""),"jul",""),"aug",""),"sep",""),"oct",""),"nov",""),"dec",""),"utc",""),"gmt",""),"myt",""),"bst",""),"rev",""),"ver",""),"b","a"),"c","a"),"d","a"),"e","a"),"f","a"),"g","a"),"h","a"),"i","a"),"j","a"),"k","a"),"l","a"),"m","a"),"n","a"),"o","a"),"p","a"),"q","a"),"r","a"),"s","a"),"t","a"),"u","a"),"v","a"),"w","a"),"x","a"),"y","a"),"z","a")</f>
        <v/>
      </c>
      <c r="CB2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255&amp;""),"a",""),"b",""),"c",""),"d",""),"e",""),"f",""),"g",""),"h",""),"i",""),"j",""),"k",""),"l",""),"m",""),"n",""),"o",""),"p",""),"q",""),"r",""),"s",""),"t",""),"u",""),"v",""),"w",""),"x",""),"y",""),"z",""),"-",""),"_",""),"/",""),".",""),"#",""),"\\",""),":","")," ",""),"(",""),")","")</f>
        <v/>
      </c>
      <c r="CC255" s="0" t="str">
        <f aca="false">" "&amp;TRIM(SUBSTITUTE(SUBSTITUTE(SUBSTITUTE(SUBSTITUTE(SUBSTITUTE(SUBSTITUTE(SUBSTITUTE(SUBSTITUTE(SUBSTITUTE(SUBSTITUTE(SUBSTITUTE(SUBSTITUTE(SUBSTITUTE(SUBSTITUTE(SUBSTITUTE(SUBSTITUTE(SUBSTITUTE(SUBSTITUTE(SUBSTITUTE(SUBSTITUTE(SUBSTITUTE(SUBSTITUTE(SUBSTITUTE(SUBSTITUTE(LOWER(T255&amp;""),CHAR(10)," "),CHAR(13)," "),CHAR(9)," "),CHAR(160)," "),"."," "),","," "),"-"," "),"/"," "),"("," "),")"," "),":"," "),";"," "),"_"," "),"–"," "),"?"," "),"!"," "),"*"," "),"["," "),"]"," "),"'"," "),"#"," "),"+"," "),"&amp;"," "),"\"," "))&amp;" "</f>
        <v>  </v>
      </c>
      <c r="CD255" s="0" t="str">
        <f aca="false">" "&amp;TRIM(SUBSTITUTE(SUBSTITUTE(SUBSTITUTE(SUBSTITUTE(SUBSTITUTE(SUBSTITUTE(SUBSTITUTE(SUBSTITUTE(SUBSTITUTE(SUBSTITUTE(SUBSTITUTE(SUBSTITUTE(SUBSTITUTE(SUBSTITUTE(SUBSTITUTE(SUBSTITUTE(SUBSTITUTE(SUBSTITUTE(SUBSTITUTE(SUBSTITUTE(SUBSTITUTE(SUBSTITUTE(SUBSTITUTE(SUBSTITUTE(LOWER(AE255&amp;""),CHAR(10)," "),CHAR(13)," "),CHAR(9)," "),CHAR(160)," "),"."," "),","," "),"-"," "),"/"," "),"("," "),")"," "),":"," "),";"," "),"_"," "),"–"," "),"?"," "),"!"," "),"*"," "),"["," "),"]"," "),"'"," "),"#"," "),"+"," "),"&amp;"," "),"\"," "))&amp;" "</f>
        <v>  </v>
      </c>
      <c r="CE255" s="68" t="n">
        <f aca="false">IFERROR(IF(AND(LEN(AU255)&gt;0,LEN(AU255)=LEN(AX255),OR(TRIM(MID(SUBSTITUTE(TRIM(CC255)," ",REPT(" ",60)),1,60))="",ISNUMBER(SEARCH(" "&amp;TRIM(MID(SUBSTITUTE(TRIM(CC255)," ",REPT(" ",60)),1,60))&amp;" ",CD255))),OR(TRIM(MID(SUBSTITUTE(TRIM(CC255)," ",REPT(" ",60)),61,60))="",ISNUMBER(SEARCH(" "&amp;TRIM(MID(SUBSTITUTE(TRIM(CC255)," ",REPT(" ",60)),61,60))&amp;" ",CD255))),OR(TRIM(MID(SUBSTITUTE(TRIM(CC255)," ",REPT(" ",60)),121,60))="",ISNUMBER(SEARCH(" "&amp;TRIM(MID(SUBSTITUTE(TRIM(CC255)," ",REPT(" ",60)),121,60))&amp;" ",CD255)))),1,0),0)</f>
        <v>0</v>
      </c>
      <c r="CG255" s="68" t="n">
        <f aca="false">IFERROR(LEN(SUBSTITUTE(BF255," ",""))-SUMPRODUCT((LEN(BF255)-LEN(SUBSTITUTE(BF255," "&amp;L_NAFiller&amp;" "," ")))/(LEN(L_NAFiller)+1)*LEN(L_NAFiller)),0)</f>
        <v>0</v>
      </c>
    </row>
    <row r="256" customFormat="false" ht="39.75" hidden="false" customHeight="true" outlineLevel="0" collapsed="false">
      <c r="A256" s="57" t="s">
        <v>827</v>
      </c>
      <c r="B256" s="57" t="s">
        <v>235</v>
      </c>
      <c r="C256" s="57" t="str">
        <f aca="false">Flights!$F$11</f>
        <v>MH0003</v>
      </c>
      <c r="D256" s="58" t="n">
        <f aca="false">Flights!$D$11</f>
        <v>46304</v>
      </c>
      <c r="E256" s="57" t="str">
        <f aca="false">Flights!$G$11&amp;"-"&amp;Flights!$H$11</f>
        <v>LHR-KUL</v>
      </c>
      <c r="F256" s="57" t="str">
        <f aca="false">Flights!$K$11</f>
        <v>BC</v>
      </c>
      <c r="G256" s="57" t="s">
        <v>459</v>
      </c>
      <c r="H256" s="57" t="s">
        <v>460</v>
      </c>
      <c r="I256" s="57" t="s">
        <v>499</v>
      </c>
      <c r="J256" s="57" t="s">
        <v>548</v>
      </c>
      <c r="K256" s="67" t="s">
        <v>616</v>
      </c>
      <c r="L256" s="67" t="s">
        <v>746</v>
      </c>
      <c r="M256" s="67" t="s">
        <v>451</v>
      </c>
      <c r="N256" s="67" t="s">
        <v>383</v>
      </c>
      <c r="O256" s="67" t="s">
        <v>549</v>
      </c>
      <c r="P256" s="57" t="s">
        <v>186</v>
      </c>
      <c r="Q256" s="59" t="n">
        <f aca="false">ROUND((Flights!$AF$11)*1440,0)/1440</f>
        <v>46304.4166666667</v>
      </c>
      <c r="R256" s="59" t="n">
        <f aca="false">Q256+(IF(AND(INDEX(TZ_DSTS,MATCH(P256,TZ_STN,0))&lt;&gt;"",Q256&gt;=INDEX(TZ_DSTS,MATCH(P256,TZ_STN,0)),Q256&lt;INDEX(TZ_DSTE,MATCH(P256,TZ_STN,0))),INDEX(TZ_DST,MATCH(P256,TZ_STN,0)),INDEX(TZ_STD,MATCH(P256,TZ_STN,0))))/24</f>
        <v>46304.4583333333</v>
      </c>
      <c r="S256" s="60"/>
      <c r="T256" s="60"/>
      <c r="U256" s="60"/>
      <c r="V256" s="60"/>
      <c r="W256" s="61"/>
      <c r="X256" s="60"/>
      <c r="Y256" s="60"/>
      <c r="Z256" s="60"/>
      <c r="AA256" s="60"/>
      <c r="AB256" s="60"/>
      <c r="AC256" s="60"/>
      <c r="AD256" s="66"/>
      <c r="AE256" s="60"/>
      <c r="AF256" s="61" t="str">
        <f aca="false">IF(AND(ISNUMBER(X256),ISNUMBER(Y256)),Y256-X256,"")</f>
        <v/>
      </c>
      <c r="AG256" s="62" t="str">
        <f aca="false">IF(ISNUMBER(AD256),AD256-(IF(AND(INDEX(TZ_DSTS,MATCH(P256,TZ_STN,0))&lt;&gt;"",(AD256-INDEX(TZ_STD,MATCH(P256,TZ_STN,0))/24)&gt;=INDEX(TZ_DSTS,MATCH(P256,TZ_STN,0)),(AD256-INDEX(TZ_STD,MATCH(P256,TZ_STN,0))/24)&lt;INDEX(TZ_DSTE,MATCH(P256,TZ_STN,0))),INDEX(TZ_DST,MATCH(P256,TZ_STN,0)),INDEX(TZ_STD,MATCH(P256,TZ_STN,0))))/24,"")</f>
        <v/>
      </c>
      <c r="AH256" s="65" t="str">
        <f aca="false">IFERROR(IF(N256="N/A – rule",IF(OR(TRIM(U256)="",TRIM(U256)="N/A",TRIM(U256)="Not started"),"N/A – RULE","INVALID – this check does not apply to this aircraft: clear the status (or correct the fleet on Flights)"),IF(TRIM(U256)="N/A",IF(AT256=0,"INVALID – N/A not permitted for this check",IF(AND(TRIM(AB256)&lt;&gt;"",TRIM(AB256)&lt;&gt;"Closed"),"INVALID – corrective action still open",IF(AND(NOT(OR(LEN(AZ256)&lt;15,ISNUMBER(MATCH(AZ256,L_Placeholder,0)))),BK256=0,CG256&gt;=8,NOT(OR(LEN(AU256)&lt;2,ISNUMBER(MATCH(AU256,L_Placeholder,0)))),BR256&gt;=3,NOT(OR(LEN(AX256)&lt;2,ISNUMBER(MATCH(AX256,L_Placeholder,0)))),BS256&gt;=3,TRIM(AE256)&lt;&gt;TRIM(T256),AX256&lt;&gt;AU256,CE256=0),"N/A – JUSTIFIED","INVALID – N/A needs a real, settled reason (not 'not applicable' / 'as above' / TBC), a named PIC and a different named verifier"))),IF(OR(TRIM(U256)="Pass",TRIM(U256)="Pass after CA"),IF(NOT(ISNUMBER(AD256)),"INVALID – completion time missing",IF(OR(OR(LEN(AU256)&lt;2,ISNUMBER(MATCH(AU256,L_Placeholder,0))),BR256&lt;3),"INVALID – PIC missing or not a named person (a role such as QA / CSM is not a name)",IF(OR(LEN(AV256)&lt;2,ISNUMBER(MATCH(AV256,L_Placeholder,0))),"INVALID – result / assessment missing",IF(OR(OR(LEN(AW256)&lt;3,ISNUMBER(MATCH(AW256,L_Placeholder,0))),SUMPRODUCT(--ISNUMBER(SEARCH(" "&amp;L_EvidencePhrase&amp;" ",BD256)))&gt;0,BI256=1),"INVALID – evidence missing, placeholder or not yet on file",IF(ISNA(MATCH(TRIM(S256),L_EvidenceType,0)),"INVALID – choose the evidence type from the list (column S)",IF(BL256=0,"INVALID – evidence ID must be the record's own ID only (e.g. SF-2210, IMG_2231, 1045521); a link / file name needs type 'Link / file path'",IF(OR(OR(LEN(AX256)&lt;2,ISNUMBER(MATCH(AX256,L_Placeholder,0))),BS256&lt;3),"INVALID – verifier missing or not a named person (a role such as QA / CSM is not a name)",IF(OR(AX256=AU256,CE256=1,AND(LEN(AU256)&gt;=4,ISNUMBER(SEARCH(AU256,AX256))),AND(LEN(AX256)&gt;=4,ISNUMBER(SEARCH(AX256,AU256)))),"INVALID – verifier must be a different, named person (not the PIC or a role)",IF(BH256=1,"INVALID – result not yet available (awaiting / TBC)",IF(BG256=1,"INVALID – result describes a problem: record Fail, then Pass after CA (or reword if it is not a problem)",IF(BV256=1,"INVALID – wording says not on board: an on-board confirmation needs the item loaded",IF(AND(AQ256=1,OR(OR(LEN(AY256)&lt;3,ISNUMBER(MATCH(AY256,L_Placeholder,0))),BJ256=1,BQ256=0)),"INVALID – batch ID missing, placeholder or not an ID (e.g. PASB-261008-BC-017)",IF(AND(AR256=1,OR(NOT(ISNUMBER(X256)),NOT(ISNUMBER(Y256)))),"INVALID – expected/actual qty missing",IF(AND(AR256=1,OR(X256&lt;=0,Y256&lt;0)),"INVALID – expected qty must be above 0 and actual not negative",IF(AH239="N/A – JUSTIFIED","INVALID – preparation row F07-T12-16 is N/A",IF(AND(AR256=1,ISNUMBER(X239),X256&lt;&gt;X239,TRIM(U256)&lt;&gt;"Pass after CA"),"INVALID – expected qty differs from preparation check F07-T12-16: record the load change as a corrective action (Pass after CA)",IF(BB256&lt;&gt;"",BB256,IF(AND(AS256=1,Documents!$J$11&lt;&gt;"ON FILE"),"INVALID – GLD not on file (Documents sheet)",IF(AND(AS256=2,Documents!$O$11&lt;&gt;"ON FILE"),"INVALID – menu checklist not on file (Documents sheet)",IF(AND(AS256=3,NOT(ISNUMBER(Flights!$AX$11))),"INVALID – enter carrying flight KUL departure (Flights AX)",IF(AND(AS256=3,OR(Flights!$AZ$11&gt;Flights!$AA$11,Flights!$AX$11&lt;Flights!$AA$11-3)),"INVALID – carrying flight (Flights AX) cannot arrive before this leg's STD, or is over 3 days early",IF(AG256&gt;AsOfUTC,"INVALID – completion time is in the future",IF(AND(ISNUMBER(BY256),AG256&lt;BY256),IF(H256="Physical uplift","INVALID – before uplift window (cannot confirm loading)","INVALID – before valid window"),IF(AG256&gt;Flights!$AA$11,"INVALID – completed after departure (cannot establish readiness)",IF(AND(H256="Preparation",AG256&gt;=IF(ISNUMBER(Flights!$BA$11),MIN(Flights!$BA$11,Flights!$AA$11),Flights!$AA$11)),"INVALID – completed after loading / departure (cannot establish readiness)",IF(AND(H256="Physical uplift",AG256&gt;Q256),"INVALID – recorded after the loading flight departed",IF(AG256&gt;Q256,"COMPLETE – LATE","COMPLETE"))))))))))))))))))))))))))),IF(TRIM(U256)="Fail","FAIL – DISCREPANCY",IF(AND(TRIM(U256)&lt;&gt;"",TRIM(U256)&lt;&gt;"Not started",TRIM(U256)&lt;&gt;"In progress"),"INVALID – unrecognised status (use the list)",IF(AsOfUTC&gt;Q256,"OVERDUE",IF(N256="Clarification required","OPEN – CLARIFICATION","OPEN"))))))),"INVALID – error value in an input cell")</f>
        <v>OPEN</v>
      </c>
      <c r="AI256" s="61" t="n">
        <f aca="false">IF(OR(AH256="N/A – RULE",AH256="N/A – JUSTIFIED"),0,1)</f>
        <v>1</v>
      </c>
      <c r="AJ256" s="61" t="n">
        <f aca="false">IF(LEFT(AH256,8)="COMPLETE",1,0)</f>
        <v>0</v>
      </c>
      <c r="AK256" s="61" t="n">
        <f aca="false">IF(AND(AI256=1,AJ256=0,AsOfUTC&gt;Q256),1,0)</f>
        <v>0</v>
      </c>
      <c r="AL256" s="61" t="n">
        <f aca="false">IFERROR(IF(AND(AI256=1,OR(TRIM(U256)="Fail",AND(TRIM(AB256)&lt;&gt;"",TRIM(AB256)&lt;&gt;"Closed"),AND(ISNUMBER(AF256),AF256&lt;&gt;0,TRIM(U256)&lt;&gt;"Pass after CA"))),1,0),1)</f>
        <v>0</v>
      </c>
      <c r="AM256" s="61" t="n">
        <f aca="false">IF(LEFT(AH256,7)="INVALID",1,0)</f>
        <v>0</v>
      </c>
      <c r="AN256" s="61" t="n">
        <f aca="false">IF(AND(N256="Clarification required",AI256=1,AJ256=0),1,0)</f>
        <v>0</v>
      </c>
      <c r="AO256" s="61" t="str">
        <f aca="false">IF(AK256=1,SUM(AK$5:AK256),"")</f>
        <v/>
      </c>
      <c r="AP256" s="61" t="str">
        <f aca="false">IF(AL256=1,SUM(AL$5:AL256),"")</f>
        <v/>
      </c>
      <c r="AQ256" s="61" t="n">
        <v>0</v>
      </c>
      <c r="AR256" s="61" t="n">
        <v>0</v>
      </c>
      <c r="AS256" s="61" t="n">
        <v>0</v>
      </c>
      <c r="AT256" s="61" t="n">
        <v>0</v>
      </c>
      <c r="AU256" s="61" t="str">
        <f aca="false">SUBSTITUTE(SUBSTITUTE(SUBSTITUTE(SUBSTITUTE(SUBSTITUTE(SUBSTITUTE(SUBSTITUTE(SUBSTITUTE(SUBSTITUTE(SUBSTITUTE(SUBSTITUTE(SUBSTITUTE(SUBSTITUTE(SUBSTITUTE(SUBSTITUTE(SUBSTITUTE(LOWER(T256&amp;""),CHAR(10),""),CHAR(13),""),CHAR(9),""),CHAR(160),"")," ",""),".",""),"-",""),"/",""),"?",""),"_",""),",",""),"[",""),"]",""),"(",""),")",""),"*","")</f>
        <v/>
      </c>
      <c r="AV256" s="61" t="str">
        <f aca="false">SUBSTITUTE(SUBSTITUTE(SUBSTITUTE(SUBSTITUTE(SUBSTITUTE(SUBSTITUTE(SUBSTITUTE(SUBSTITUTE(SUBSTITUTE(SUBSTITUTE(SUBSTITUTE(SUBSTITUTE(SUBSTITUTE(SUBSTITUTE(SUBSTITUTE(SUBSTITUTE(LOWER(V256&amp;""),CHAR(10),""),CHAR(13),""),CHAR(9),""),CHAR(160),"")," ",""),".",""),"-",""),"/",""),"?",""),"_",""),",",""),"[",""),"]",""),"(",""),")",""),"*","")</f>
        <v/>
      </c>
      <c r="AW256" s="61" t="str">
        <f aca="false">SUBSTITUTE(SUBSTITUTE(SUBSTITUTE(SUBSTITUTE(SUBSTITUTE(SUBSTITUTE(SUBSTITUTE(SUBSTITUTE(SUBSTITUTE(SUBSTITUTE(SUBSTITUTE(SUBSTITUTE(SUBSTITUTE(SUBSTITUTE(SUBSTITUTE(SUBSTITUTE(LOWER(Z256&amp;""),CHAR(10),""),CHAR(13),""),CHAR(9),""),CHAR(160),"")," ",""),".",""),"-",""),"/",""),"?",""),"_",""),",",""),"[",""),"]",""),"(",""),")",""),"*","")</f>
        <v/>
      </c>
      <c r="AX256" s="61" t="str">
        <f aca="false">SUBSTITUTE(SUBSTITUTE(SUBSTITUTE(SUBSTITUTE(SUBSTITUTE(SUBSTITUTE(SUBSTITUTE(SUBSTITUTE(SUBSTITUTE(SUBSTITUTE(SUBSTITUTE(SUBSTITUTE(SUBSTITUTE(SUBSTITUTE(SUBSTITUTE(SUBSTITUTE(LOWER(AE256&amp;""),CHAR(10),""),CHAR(13),""),CHAR(9),""),CHAR(160),"")," ",""),".",""),"-",""),"/",""),"?",""),"_",""),",",""),"[",""),"]",""),"(",""),")",""),"*","")</f>
        <v/>
      </c>
      <c r="AY256" s="61" t="str">
        <f aca="false">SUBSTITUTE(SUBSTITUTE(SUBSTITUTE(SUBSTITUTE(SUBSTITUTE(SUBSTITUTE(SUBSTITUTE(SUBSTITUTE(SUBSTITUTE(SUBSTITUTE(SUBSTITUTE(SUBSTITUTE(SUBSTITUTE(SUBSTITUTE(SUBSTITUTE(SUBSTITUTE(LOWER(W256&amp;""),CHAR(10),""),CHAR(13),""),CHAR(9),""),CHAR(160),"")," ",""),".",""),"-",""),"/",""),"?",""),"_",""),",",""),"[",""),"]",""),"(",""),")",""),"*","")</f>
        <v/>
      </c>
      <c r="AZ256" s="61" t="str">
        <f aca="false">SUBSTITUTE(SUBSTITUTE(SUBSTITUTE(SUBSTITUTE(SUBSTITUTE(SUBSTITUTE(SUBSTITUTE(SUBSTITUTE(SUBSTITUTE(SUBSTITUTE(SUBSTITUTE(SUBSTITUTE(SUBSTITUTE(SUBSTITUTE(SUBSTITUTE(SUBSTITUTE(LOWER(AC256&amp;""),CHAR(10),""),CHAR(13),""),CHAR(9),""),CHAR(160),"")," ",""),".",""),"-",""),"/",""),"?",""),"_",""),",",""),"[",""),"]",""),"(",""),")",""),"*","")</f>
        <v/>
      </c>
      <c r="BA256" s="61" t="str">
        <f aca="false">SUBSTITUTE(SUBSTITUTE(SUBSTITUTE(SUBSTITUTE(SUBSTITUTE(SUBSTITUTE(SUBSTITUTE(SUBSTITUTE(SUBSTITUTE(SUBSTITUTE(SUBSTITUTE(SUBSTITUTE(SUBSTITUTE(SUBSTITUTE(SUBSTITUTE(SUBSTITUTE(LOWER(AA256&amp;""),CHAR(10),""),CHAR(13),""),CHAR(9),""),CHAR(160),"")," ",""),".",""),"-",""),"/",""),"?",""),"_",""),",",""),"[",""),"]",""),"(",""),")",""),"*","")</f>
        <v/>
      </c>
      <c r="BB256" s="61" t="str">
        <f aca="false">IF(AND(TRIM(U256)="Pass",ISNUMBER(AF256)),IF(AF256&lt;&gt;0,"INVALID – qty variance: use Fail or Pass after CA",""),"")&amp;IF(AND(TRIM(U256)="Pass after CA",ISNUMBER(AF256)),IF(AF256&lt;&gt;0,"INVALID – after the corrective action the actual qty must equal expected (update Actual)",""),"")&amp;IF(AND(TRIM(U256)="Pass",TRIM(AB256)&lt;&gt;"",TRIM(AB256)&lt;&gt;"Closed"),"INVALID – corrective action not closed: use Fail, then Pass after CA","")&amp;IF(AND(LEN(BA256)&gt;=2,ISNA(MATCH(LEFT(BA256,255),L_Placeholder,0)),TRIM(AB256)=""),"INVALID – CA status missing for the recorded corrective action","")&amp;IF(AND(TRIM(U256)="Pass after CA",OR(OR(LEN(BA256)&lt;5,ISNUMBER(MATCH(BA256,L_Placeholder,0))),TRIM(AB256)&lt;&gt;"Closed")),"INVALID – corrective action not recorded/closed","")</f>
        <v/>
      </c>
      <c r="BC256" s="61" t="str">
        <f aca="false">" "&amp;TRIM(SUBSTITUTE(SUBSTITUTE(SUBSTITUTE(SUBSTITUTE(SUBSTITUTE(SUBSTITUTE(SUBSTITUTE(SUBSTITUTE(SUBSTITUTE(SUBSTITUTE(SUBSTITUTE(SUBSTITUTE(SUBSTITUTE(SUBSTITUTE(SUBSTITUTE(SUBSTITUTE(SUBSTITUTE(SUBSTITUTE(SUBSTITUTE(SUBSTITUTE(SUBSTITUTE(SUBSTITUTE(SUBSTITUTE(SUBSTITUTE(LOWER(V256&amp;""),CHAR(10)," "),CHAR(13)," "),CHAR(9)," "),CHAR(160)," "),"."," "),","," "),"-"," "),"/"," "),"("," "),")"," "),":"," "),";"," "),"_"," "),"–"," "),"?"," "),"!"," "),"*"," "),"["," "),"]"," "),"'"," "),"#"," "),"+"," "),"&amp;"," "),"\"," "))&amp;" "</f>
        <v>  </v>
      </c>
      <c r="BD256" s="61" t="str">
        <f aca="false">" "&amp;TRIM(SUBSTITUTE(SUBSTITUTE(SUBSTITUTE(SUBSTITUTE(SUBSTITUTE(SUBSTITUTE(SUBSTITUTE(SUBSTITUTE(SUBSTITUTE(SUBSTITUTE(SUBSTITUTE(SUBSTITUTE(SUBSTITUTE(SUBSTITUTE(SUBSTITUTE(SUBSTITUTE(SUBSTITUTE(SUBSTITUTE(SUBSTITUTE(SUBSTITUTE(SUBSTITUTE(SUBSTITUTE(SUBSTITUTE(SUBSTITUTE(LOWER(Z256&amp;""),CHAR(10)," "),CHAR(13)," "),CHAR(9)," "),CHAR(160)," "),"."," "),","," "),"-"," "),"/"," "),"("," "),")"," "),":"," "),";"," "),"_"," "),"–"," "),"?"," "),"!"," "),"*"," "),"["," "),"]"," "),"'"," "),"#"," "),"+"," "),"&amp;"," "),"\"," "))&amp;" "</f>
        <v>  </v>
      </c>
      <c r="BE256" s="61" t="str">
        <f aca="false">" "&amp;TRIM(SUBSTITUTE(SUBSTITUTE(SUBSTITUTE(SUBSTITUTE(SUBSTITUTE(SUBSTITUTE(SUBSTITUTE(SUBSTITUTE(SUBSTITUTE(SUBSTITUTE(SUBSTITUTE(SUBSTITUTE(SUBSTITUTE(SUBSTITUTE(SUBSTITUTE(SUBSTITUTE(SUBSTITUTE(SUBSTITUTE(SUBSTITUTE(SUBSTITUTE(SUBSTITUTE(SUBSTITUTE(SUBSTITUTE(SUBSTITUTE(LOWER(W256&amp;""),CHAR(10)," "),CHAR(13)," "),CHAR(9)," "),CHAR(160)," "),"."," "),","," "),"-"," "),"/"," "),"("," "),")"," "),":"," "),";"," "),"_"," "),"–"," "),"?"," "),"!"," "),"*"," "),"["," "),"]"," "),"'"," "),"#"," "),"+"," "),"&amp;"," "),"\"," "))&amp;" "</f>
        <v>  </v>
      </c>
      <c r="BF256" s="61" t="str">
        <f aca="false">" "&amp;TRIM(SUBSTITUTE(SUBSTITUTE(SUBSTITUTE(SUBSTITUTE(SUBSTITUTE(SUBSTITUTE(SUBSTITUTE(SUBSTITUTE(SUBSTITUTE(SUBSTITUTE(SUBSTITUTE(SUBSTITUTE(SUBSTITUTE(SUBSTITUTE(SUBSTITUTE(SUBSTITUTE(SUBSTITUTE(SUBSTITUTE(SUBSTITUTE(SUBSTITUTE(SUBSTITUTE(SUBSTITUTE(SUBSTITUTE(SUBSTITUTE(LOWER(AC256&amp;""),CHAR(10)," "),CHAR(13)," "),CHAR(9)," "),CHAR(160)," "),"."," "),","," "),"-"," "),"/"," "),"("," "),")"," "),":"," "),";"," "),"_"," "),"–"," "),"?"," "),"!"," "),"*"," "),"["," "),"]"," "),"'"," "),"#"," "),"+"," "),"&amp;"," "),"\"," "))&amp;" "</f>
        <v>  </v>
      </c>
      <c r="BG256" s="61" t="n">
        <f aca="false">IFERROR(IF(AND(TRIM(U256)="Pass",SUMPRODUCT((LEN(BC256)-LEN(SUBSTITUTE(BC256," "&amp;L_ResultBad&amp;" "," ")))/(LEN(L_ResultBad)+1))&gt;SUMPRODUCT((LEN(BC256)-LEN(SUBSTITUTE(BC256," "&amp;L_NegPhrase&amp;" "," ")))/(LEN(L_NegPhrase)+1))),1,0),0)</f>
        <v>0</v>
      </c>
      <c r="BH256" s="61" t="n">
        <f aca="false">IFERROR(IF(SUMPRODUCT((LEN(BC256)-LEN(SUBSTITUTE(BC256," "&amp;L_Pending&amp;" "," ")))/(LEN(L_Pending)+1))&gt;SUMPRODUCT((LEN(BC256)-LEN(SUBSTITUTE(BC256," "&amp;L_PendNeg&amp;" "," ")))/(LEN(L_PendNeg)+1)),1,0),1)</f>
        <v>0</v>
      </c>
      <c r="BI256" s="61" t="n">
        <f aca="false">IFERROR(IF(SUMPRODUCT((LEN(BD256)-LEN(SUBSTITUTE(BD256," "&amp;L_PendStrict&amp;" "," ")))/(LEN(L_PendStrict)+1))&gt;SUMPRODUCT((LEN(BD256)-LEN(SUBSTITUTE(BD256," "&amp;L_PendNeg&amp;" "," ")))/(LEN(L_PendNeg)+1)),1,0),1)</f>
        <v>0</v>
      </c>
      <c r="BJ256" s="61" t="n">
        <f aca="false">IFERROR(IF(SUMPRODUCT((LEN(BE256)-LEN(SUBSTITUTE(BE256," "&amp;L_Pending&amp;" "," ")))/(LEN(L_Pending)+1))&gt;SUMPRODUCT((LEN(BE256)-LEN(SUBSTITUTE(BE256," "&amp;L_PendNeg&amp;" "," ")))/(LEN(L_PendNeg)+1)),1,0),1)</f>
        <v>0</v>
      </c>
      <c r="BK256" s="61" t="n">
        <f aca="false">IFERROR(IF(SUMPRODUCT((LEN(BF256)-LEN(SUBSTITUTE(BF256," "&amp;L_PendStrict&amp;" "," ")))/(LEN(L_PendStrict)+1))&gt;SUMPRODUCT((LEN(BF256)-LEN(SUBSTITUTE(BF256," "&amp;L_PendNeg&amp;" "," ")))/(LEN(L_PendNeg)+1)),1,0),1)</f>
        <v>0</v>
      </c>
      <c r="BL256" s="61" t="n">
        <f aca="false">IF(ISNA(MATCH(TRIM(S256),L_EvidenceType,0)),0,BZ256)</f>
        <v>0</v>
      </c>
      <c r="BM256" s="61" t="str">
        <f aca="false">SUBSTITUTE(SUBSTITUTE(SUBSTITUTE(SUBSTITUTE(SUBSTITUTE(SUBSTITUTE(SUBSTITUTE(SUBSTITUTE(SUBSTITUTE(LOWER(Z256&amp;""),"1","0"),"2","0"),"3","0"),"4","0"),"5","0"),"6","0"),"7","0"),"8","0"),"9","0")</f>
        <v/>
      </c>
      <c r="BN256" s="61" t="str">
        <f aca="false">SUBSTITUTE(SUBSTITUTE(SUBSTITUTE(SUBSTITUTE(SUBSTITUTE(SUBSTITUTE(SUBSTITUTE(SUBSTITUTE(SUBSTITUTE(SUBSTITUTE(SUBSTITUTE(SUBSTITUTE(SUBSTITUTE(SUBSTITUTE(SUBSTITUTE(SUBSTITUTE(SUBSTITUTE(SUBSTITUTE(SUBSTITUTE(SUBSTITUTE(SUBSTITUTE(SUBSTITUTE(SUBSTITUTE(SUBSTITUTE(SUBSTITUTE(BM256,"b","a"),"c","a"),"d","a"),"e","a"),"f","a"),"g","a"),"h","a"),"i","a"),"j","a"),"k","a"),"l","a"),"m","a"),"n","a"),"o","a"),"p","a"),"q","a"),"r","a"),"s","a"),"t","a"),"u","a"),"v","a"),"w","a"),"x","a"),"y","a"),"z","a")</f>
        <v/>
      </c>
      <c r="BO256" s="61" t="str">
        <f aca="false">SUBSTITUTE(SUBSTITUTE(SUBSTITUTE(SUBSTITUTE(SUBSTITUTE(SUBSTITUTE(SUBSTITUTE(SUBSTITUTE(SUBSTITUTE(LOWER(W256&amp;""),"1","0"),"2","0"),"3","0"),"4","0"),"5","0"),"6","0"),"7","0"),"8","0"),"9","0")</f>
        <v/>
      </c>
      <c r="BP256" s="61" t="str">
        <f aca="false">SUBSTITUTE(SUBSTITUTE(SUBSTITUTE(SUBSTITUTE(SUBSTITUTE(SUBSTITUTE(SUBSTITUTE(SUBSTITUTE(SUBSTITUTE(SUBSTITUTE(SUBSTITUTE(SUBSTITUTE(SUBSTITUTE(SUBSTITUTE(SUBSTITUTE(SUBSTITUTE(SUBSTITUTE(SUBSTITUTE(SUBSTITUTE(SUBSTITUTE(SUBSTITUTE(SUBSTITUTE(SUBSTITUTE(SUBSTITUTE(SUBSTITUTE(BO256,"b","a"),"c","a"),"d","a"),"e","a"),"f","a"),"g","a"),"h","a"),"i","a"),"j","a"),"k","a"),"l","a"),"m","a"),"n","a"),"o","a"),"p","a"),"q","a"),"r","a"),"s","a"),"t","a"),"u","a"),"v","a"),"w","a"),"x","a"),"y","a"),"z","a")</f>
        <v/>
      </c>
      <c r="BQ256" s="61" t="n">
        <f aca="false">IFERROR(IF(AND(ISERROR(SEARCH(" mh"," "&amp;LOWER(W256))),ISNA(MATCH(LEFT(TRIM(BP256),255),{"0000a","000a","00a","0000aa","000aa","00aa","0aa","0000aaa","000aaa","00a00","0a00","0000-0000","00:00","a00","a0","00.00.0000","00/00/0000","00-00-0000","0000-00-00","0000/00/00","0000.00.00","00.00.00","00/00/00","00-00-00","0.00.0000","0/00/0000","0-00-0000"},0)),ISNA(MATCH(LEFT(TRIM(CA256),255),{"0000a","000a","00a","0000aa","000aa","00aa","0aa","0000aaa","000aaa","00a00","0a00","0000-0000","00:00","a00","a0","00.00.0000","00/00/0000","00-00-0000","0000-00-00","0000/00/00","0000.00.00","00.00.00","00/00/00","00-00-00","0.00.0000","0/00/0000","0-00-0000"},0)),LEN(CB256)&gt;=3,NOT(OR(SUBSTITUTE(CB256,"0","")="",AND(LEN(CB256)&gt;=4,CB256=REPT(LEFT(CB256),LEN(CB256))),ISNUMBER(MATCH(CB256,{"123","1234","12345","123456","1234567","12345678","0123","01234","012345","98765","987654","54321"},0)),AND(LEN(CB256)=8,LEFT(CB256,3)="202"))),OR(AND((LEN(CA256)-LEN(SUBSTITUTE(CA256,"a","")))&gt;=1,SUMPRODUCT(--ISNUMBER(SEARCH({"a0","a-0","a_0","a/0","a.0","a#0","0a","0-a","0_a","0/a"},BP256)))&gt;0),ISNUMBER(SEARCH("000000",BP256)))),1,0),0)</f>
        <v>0</v>
      </c>
      <c r="BR256" s="61" t="n">
        <f aca="false">IFERROR(LEN(SUBSTITUTE(CC256," ",""))-SUMPRODUCT((LEN(CC256)-LEN(SUBSTITUTE(CC256," "&amp;L_Role&amp;" "," ")))/(LEN(L_Role)+1)*LEN(L_Role)),0)</f>
        <v>0</v>
      </c>
      <c r="BS256" s="61" t="n">
        <f aca="false">IFERROR(LEN(SUBSTITUTE(CD256," ",""))-SUMPRODUCT((LEN(CD256)-LEN(SUBSTITUTE(CD256," "&amp;L_Role&amp;" "," ")))/(LEN(L_Role)+1)*LEN(L_Role)),0)</f>
        <v>0</v>
      </c>
      <c r="BT2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256,"revision",""),"version",""),"jan",""),"feb",""),"mar",""),"apr",""),"may",""),"jun",""),"jul",""),"aug",""),"sep",""),"oct",""),"nov",""),"dec",""),"utc",""),"gmt",""),"myt",""),"bst",""),"rev",""),"ver",""),"b","a"),"c","a"),"d","a"),"e","a"),"f","a"),"g","a"),"h","a"),"i","a"),"j","a"),"k","a"),"l","a"),"m","a"),"n","a"),"o","a"),"p","a"),"q","a"),"r","a"),"s","a"),"t","a"),"u","a"),"v","a"),"w","a"),"x","a"),"y","a"),"z","a")</f>
        <v/>
      </c>
      <c r="BU256" s="61" t="str">
        <f aca="false">SUBSTITUTE(SUBSTITUTE(SUBSTITUTE(SUBSTITUTE(SUBSTITUTE(SUBSTITUTE(SUBSTITUTE(SUBSTITUTE(SUBSTITUTE(SUBSTITUTE(LEFT(BM256,FIND("0",BM256&amp;"0")-1),"-",""),"_",""),"/",""),".",""),"#",""),"\\",""),":","")," ",""),"(",""),")","")</f>
        <v/>
      </c>
      <c r="BV256" s="61" t="n">
        <f aca="false">IFERROR(IF(OR(SUMPRODUCT((LEN(BC256)-LEN(SUBSTITUTE(BC256," "&amp;L_NotLoaded&amp;" "," ")))/(LEN(L_NotLoaded)+1))&gt;SUMPRODUCT((LEN(BC256)-LEN(SUBSTITUTE(BC256," "&amp;L_NotLoadedNeg&amp;" "," ")))/(LEN(L_NotLoadedNeg)+1)),SUMPRODUCT((LEN(BD256)-LEN(SUBSTITUTE(BD256," "&amp;L_NotLoaded&amp;" "," ")))/(LEN(L_NotLoaded)+1))&gt;SUMPRODUCT((LEN(BD256)-LEN(SUBSTITUTE(BD256," "&amp;L_NotLoadedNeg&amp;" "," ")))/(LEN(L_NotLoadedNeg)+1))),1,0),0)</f>
        <v>0</v>
      </c>
      <c r="BW2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256&amp;""),"a",""),"b",""),"c",""),"d",""),"e",""),"f",""),"g",""),"h",""),"i",""),"j",""),"k",""),"l",""),"m",""),"n",""),"o",""),"p",""),"q",""),"r",""),"s",""),"t",""),"u",""),"v",""),"w",""),"x",""),"y",""),"z",""),"-",""),"_",""),"/",""),".",""),"#",""),"\\",""),":","")," ",""),"(",""),")","")</f>
        <v/>
      </c>
      <c r="BX256" s="61" t="str">
        <f aca="false">SUBSTITUTE(SUBSTITUTE(SUBSTITUTE(SUBSTITUTE(SUBSTITUTE(SUBSTITUTE(SUBSTITUTE(SUBSTITUTE(SUBSTITUTE(SUBSTITUTE(SUBSTITUTE(BM256,"0",""),"-",""),"_",""),"/",""),".",""),"#",""),"\\",""),":","")," ",""),"(",""),")","")</f>
        <v/>
      </c>
      <c r="BY256" s="62" t="n">
        <f aca="false">IF(ISNUMBER(Flights!$AZ$11),MAX(Q256-UpliftWindowH/24,Flights!$AZ$11),Q256-UpliftWindowH/24)</f>
        <v>46304.4166666667</v>
      </c>
      <c r="BZ256" s="61" t="n">
        <f aca="false">IFERROR(IF(IF(TRIM(S256)="Link / file path",AND(LEN(TRIM(Z256))&gt;=5,SUMPRODUCT(--ISNUMBER(SEARCH({"http","www.","\\",":\",".pdf",".jpg",".jpeg",".png",".heic",".xls",".doc",".msg",".eml",".ppt",".txt",".zip"},Z256)))&gt;0),AND(ISERROR(FIND(" ",TRIM(Z256))),NOT(OR(SUMPRODUCT(--ISNUMBER(FIND({",",";","&amp;","+"},Z256)))&gt;0,SUMPRODUCT(--ISNUMBER(SEARCH({"0/aa","0\\aa"},BN256)))&gt;0)),NOT(SUMPRODUCT(--ISNUMBER(SEARCH({"http","www.","\\",":\",".pdf",".jpg",".jpeg",".png",".heic",".xls",".doc",".msg",".eml",".ppt",".txt",".zip"},Z256)))&gt;0),NOT(LOWER(TRIM(Z256))=LOWER(Flights!$F$11)),ISNA(MATCH(BU256,{"mh","rev","revision","ver","version","v","r","a","b","seat","tray","row","gate","bay","stand","page","pg","item","line","no","cart","galley","flight","flt","table","box","bag","oven","etd","eta","std","sta","atd","ata","qty","pax","x","time","tel","ph","mob","day","wk","week","utc","gmt","myt","lt"},0)),NOT(OR(ISNUMBER(MATCH(LEFT(BN256,255),{"0000a","000a","00a","0000aa","000aa","00aa","0aa","0000aaa","000aaa","00a00","0a00","0000-0000","00:00","a00","a0","00.00.0000","00/00/0000","00-00-0000","0000-00-00","0000/00/00","0000.00.00","00.00.00","00/00/00","00-00-00","0.00.0000","0/00/0000","0-00-0000"},0)),ISNUMBER(MATCH(LEFT(BT256,255),{"0000a","000a","00a","0000aa","000aa","00aa","0aa","0000aaa","000aaa","00a00","0a00","0000-0000","00:00","a00","a0","00.00.0000","00/00/0000","00-00-0000","0000-00-00","0000/00/00","0000.00.00","00.00.00","00/00/00","00-00-00","0.00.0000","0/00/0000","0-00-0000"},0)))),NOT(OR(AND(BW256&lt;&gt;"",SUBSTITUTE(BW256,"0","")=""),AND(LEN(BW256)&gt;=4,BW256=REPT(LEFT(BW256),LEN(BW256))),ISNUMBER(MATCH(BW256,{"123","1234","12345","123456","1234567","12345678","0123","01234","012345","98765","987654","54321"},0)),ISNUMBER(MATCH(BX256,{"x","xx","xxx","xxxx","xxxxx","abc","abcd","nil","na","nan","test","tbc","tba","tbd","dummy","sample","example","eg","zz","zzz","none","null","xyz","qwe","asd","id","ref"},0)),AND(LEN(BW256)=8,BX256="",OR(LEFT(BW256,3)="202",ISNUMBER(MATCH(RIGHT(BW256,4),{"2025","2026","2027"},0)))))),OR(AND((LEN(BT256)-LEN(SUBSTITUTE(BT256,"a","")))&gt;=1,(LEN(BN256)-LEN(SUBSTITUTE(BN256,"0","")))&gt;=2,SUMPRODUCT(--ISNUMBER(SEARCH({"a0","a-0","a_0","a/0","a.0","a#0","0a","0-a","0_a","0/a"},BN256)))&gt;0),AND((LEN(BN256)-LEN(SUBSTITUTE(BN256,"a","")))=0,(LEN(BN256)-LEN(SUBSTITUTE(BN256,"0","")))&gt;=5)))),1,0),0)</f>
        <v>0</v>
      </c>
      <c r="CA2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256,"revision",""),"version",""),"jan",""),"feb",""),"mar",""),"apr",""),"may",""),"jun",""),"jul",""),"aug",""),"sep",""),"oct",""),"nov",""),"dec",""),"utc",""),"gmt",""),"myt",""),"bst",""),"rev",""),"ver",""),"b","a"),"c","a"),"d","a"),"e","a"),"f","a"),"g","a"),"h","a"),"i","a"),"j","a"),"k","a"),"l","a"),"m","a"),"n","a"),"o","a"),"p","a"),"q","a"),"r","a"),"s","a"),"t","a"),"u","a"),"v","a"),"w","a"),"x","a"),"y","a"),"z","a")</f>
        <v/>
      </c>
      <c r="CB2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256&amp;""),"a",""),"b",""),"c",""),"d",""),"e",""),"f",""),"g",""),"h",""),"i",""),"j",""),"k",""),"l",""),"m",""),"n",""),"o",""),"p",""),"q",""),"r",""),"s",""),"t",""),"u",""),"v",""),"w",""),"x",""),"y",""),"z",""),"-",""),"_",""),"/",""),".",""),"#",""),"\\",""),":","")," ",""),"(",""),")","")</f>
        <v/>
      </c>
      <c r="CC256" s="0" t="str">
        <f aca="false">" "&amp;TRIM(SUBSTITUTE(SUBSTITUTE(SUBSTITUTE(SUBSTITUTE(SUBSTITUTE(SUBSTITUTE(SUBSTITUTE(SUBSTITUTE(SUBSTITUTE(SUBSTITUTE(SUBSTITUTE(SUBSTITUTE(SUBSTITUTE(SUBSTITUTE(SUBSTITUTE(SUBSTITUTE(SUBSTITUTE(SUBSTITUTE(SUBSTITUTE(SUBSTITUTE(SUBSTITUTE(SUBSTITUTE(SUBSTITUTE(SUBSTITUTE(LOWER(T256&amp;""),CHAR(10)," "),CHAR(13)," "),CHAR(9)," "),CHAR(160)," "),"."," "),","," "),"-"," "),"/"," "),"("," "),")"," "),":"," "),";"," "),"_"," "),"–"," "),"?"," "),"!"," "),"*"," "),"["," "),"]"," "),"'"," "),"#"," "),"+"," "),"&amp;"," "),"\"," "))&amp;" "</f>
        <v>  </v>
      </c>
      <c r="CD256" s="0" t="str">
        <f aca="false">" "&amp;TRIM(SUBSTITUTE(SUBSTITUTE(SUBSTITUTE(SUBSTITUTE(SUBSTITUTE(SUBSTITUTE(SUBSTITUTE(SUBSTITUTE(SUBSTITUTE(SUBSTITUTE(SUBSTITUTE(SUBSTITUTE(SUBSTITUTE(SUBSTITUTE(SUBSTITUTE(SUBSTITUTE(SUBSTITUTE(SUBSTITUTE(SUBSTITUTE(SUBSTITUTE(SUBSTITUTE(SUBSTITUTE(SUBSTITUTE(SUBSTITUTE(LOWER(AE256&amp;""),CHAR(10)," "),CHAR(13)," "),CHAR(9)," "),CHAR(160)," "),"."," "),","," "),"-"," "),"/"," "),"("," "),")"," "),":"," "),";"," "),"_"," "),"–"," "),"?"," "),"!"," "),"*"," "),"["," "),"]"," "),"'"," "),"#"," "),"+"," "),"&amp;"," "),"\"," "))&amp;" "</f>
        <v>  </v>
      </c>
      <c r="CE256" s="68" t="n">
        <f aca="false">IFERROR(IF(AND(LEN(AU256)&gt;0,LEN(AU256)=LEN(AX256),OR(TRIM(MID(SUBSTITUTE(TRIM(CC256)," ",REPT(" ",60)),1,60))="",ISNUMBER(SEARCH(" "&amp;TRIM(MID(SUBSTITUTE(TRIM(CC256)," ",REPT(" ",60)),1,60))&amp;" ",CD256))),OR(TRIM(MID(SUBSTITUTE(TRIM(CC256)," ",REPT(" ",60)),61,60))="",ISNUMBER(SEARCH(" "&amp;TRIM(MID(SUBSTITUTE(TRIM(CC256)," ",REPT(" ",60)),61,60))&amp;" ",CD256))),OR(TRIM(MID(SUBSTITUTE(TRIM(CC256)," ",REPT(" ",60)),121,60))="",ISNUMBER(SEARCH(" "&amp;TRIM(MID(SUBSTITUTE(TRIM(CC256)," ",REPT(" ",60)),121,60))&amp;" ",CD256)))),1,0),0)</f>
        <v>0</v>
      </c>
      <c r="CG256" s="68" t="n">
        <f aca="false">IFERROR(LEN(SUBSTITUTE(BF256," ",""))-SUMPRODUCT((LEN(BF256)-LEN(SUBSTITUTE(BF256," "&amp;L_NAFiller&amp;" "," ")))/(LEN(L_NAFiller)+1)*LEN(L_NAFiller)),0)</f>
        <v>0</v>
      </c>
    </row>
    <row r="257" customFormat="false" ht="39.75" hidden="false" customHeight="true" outlineLevel="0" collapsed="false">
      <c r="A257" s="57" t="s">
        <v>828</v>
      </c>
      <c r="B257" s="57" t="s">
        <v>235</v>
      </c>
      <c r="C257" s="57" t="str">
        <f aca="false">Flights!$F$11</f>
        <v>MH0003</v>
      </c>
      <c r="D257" s="58" t="n">
        <f aca="false">Flights!$D$11</f>
        <v>46304</v>
      </c>
      <c r="E257" s="57" t="str">
        <f aca="false">Flights!$G$11&amp;"-"&amp;Flights!$H$11</f>
        <v>LHR-KUL</v>
      </c>
      <c r="F257" s="57" t="str">
        <f aca="false">Flights!$K$11</f>
        <v>BC</v>
      </c>
      <c r="G257" s="57" t="s">
        <v>459</v>
      </c>
      <c r="H257" s="57" t="s">
        <v>460</v>
      </c>
      <c r="I257" s="57" t="s">
        <v>499</v>
      </c>
      <c r="J257" s="57" t="s">
        <v>551</v>
      </c>
      <c r="K257" s="67" t="s">
        <v>501</v>
      </c>
      <c r="L257" s="67" t="s">
        <v>748</v>
      </c>
      <c r="M257" s="67" t="s">
        <v>451</v>
      </c>
      <c r="N257" s="67" t="s">
        <v>383</v>
      </c>
      <c r="O257" s="67"/>
      <c r="P257" s="57" t="s">
        <v>186</v>
      </c>
      <c r="Q257" s="59" t="n">
        <f aca="false">ROUND((Flights!$AF$11)*1440,0)/1440</f>
        <v>46304.4166666667</v>
      </c>
      <c r="R257" s="59" t="n">
        <f aca="false">Q257+(IF(AND(INDEX(TZ_DSTS,MATCH(P257,TZ_STN,0))&lt;&gt;"",Q257&gt;=INDEX(TZ_DSTS,MATCH(P257,TZ_STN,0)),Q257&lt;INDEX(TZ_DSTE,MATCH(P257,TZ_STN,0))),INDEX(TZ_DST,MATCH(P257,TZ_STN,0)),INDEX(TZ_STD,MATCH(P257,TZ_STN,0))))/24</f>
        <v>46304.4583333333</v>
      </c>
      <c r="S257" s="60"/>
      <c r="T257" s="60"/>
      <c r="U257" s="60"/>
      <c r="V257" s="60"/>
      <c r="W257" s="61"/>
      <c r="X257" s="60"/>
      <c r="Y257" s="60"/>
      <c r="Z257" s="60"/>
      <c r="AA257" s="60"/>
      <c r="AB257" s="60"/>
      <c r="AC257" s="60"/>
      <c r="AD257" s="66"/>
      <c r="AE257" s="60"/>
      <c r="AF257" s="61" t="str">
        <f aca="false">IF(AND(ISNUMBER(X257),ISNUMBER(Y257)),Y257-X257,"")</f>
        <v/>
      </c>
      <c r="AG257" s="62" t="str">
        <f aca="false">IF(ISNUMBER(AD257),AD257-(IF(AND(INDEX(TZ_DSTS,MATCH(P257,TZ_STN,0))&lt;&gt;"",(AD257-INDEX(TZ_STD,MATCH(P257,TZ_STN,0))/24)&gt;=INDEX(TZ_DSTS,MATCH(P257,TZ_STN,0)),(AD257-INDEX(TZ_STD,MATCH(P257,TZ_STN,0))/24)&lt;INDEX(TZ_DSTE,MATCH(P257,TZ_STN,0))),INDEX(TZ_DST,MATCH(P257,TZ_STN,0)),INDEX(TZ_STD,MATCH(P257,TZ_STN,0))))/24,"")</f>
        <v/>
      </c>
      <c r="AH257" s="65" t="str">
        <f aca="false">IFERROR(IF(N257="N/A – rule",IF(OR(TRIM(U257)="",TRIM(U257)="N/A",TRIM(U257)="Not started"),"N/A – RULE","INVALID – this check does not apply to this aircraft: clear the status (or correct the fleet on Flights)"),IF(TRIM(U257)="N/A",IF(AT257=0,"INVALID – N/A not permitted for this check",IF(AND(TRIM(AB257)&lt;&gt;"",TRIM(AB257)&lt;&gt;"Closed"),"INVALID – corrective action still open",IF(AND(NOT(OR(LEN(AZ257)&lt;15,ISNUMBER(MATCH(AZ257,L_Placeholder,0)))),BK257=0,CG257&gt;=8,NOT(OR(LEN(AU257)&lt;2,ISNUMBER(MATCH(AU257,L_Placeholder,0)))),BR257&gt;=3,NOT(OR(LEN(AX257)&lt;2,ISNUMBER(MATCH(AX257,L_Placeholder,0)))),BS257&gt;=3,TRIM(AE257)&lt;&gt;TRIM(T257),AX257&lt;&gt;AU257,CE257=0),"N/A – JUSTIFIED","INVALID – N/A needs a real, settled reason (not 'not applicable' / 'as above' / TBC), a named PIC and a different named verifier"))),IF(OR(TRIM(U257)="Pass",TRIM(U257)="Pass after CA"),IF(NOT(ISNUMBER(AD257)),"INVALID – completion time missing",IF(OR(OR(LEN(AU257)&lt;2,ISNUMBER(MATCH(AU257,L_Placeholder,0))),BR257&lt;3),"INVALID – PIC missing or not a named person (a role such as QA / CSM is not a name)",IF(OR(LEN(AV257)&lt;2,ISNUMBER(MATCH(AV257,L_Placeholder,0))),"INVALID – result / assessment missing",IF(OR(OR(LEN(AW257)&lt;3,ISNUMBER(MATCH(AW257,L_Placeholder,0))),SUMPRODUCT(--ISNUMBER(SEARCH(" "&amp;L_EvidencePhrase&amp;" ",BD257)))&gt;0,BI257=1),"INVALID – evidence missing, placeholder or not yet on file",IF(ISNA(MATCH(TRIM(S257),L_EvidenceType,0)),"INVALID – choose the evidence type from the list (column S)",IF(BL257=0,"INVALID – evidence ID must be the record's own ID only (e.g. SF-2210, IMG_2231, 1045521); a link / file name needs type 'Link / file path'",IF(OR(OR(LEN(AX257)&lt;2,ISNUMBER(MATCH(AX257,L_Placeholder,0))),BS257&lt;3),"INVALID – verifier missing or not a named person (a role such as QA / CSM is not a name)",IF(OR(AX257=AU257,CE257=1,AND(LEN(AU257)&gt;=4,ISNUMBER(SEARCH(AU257,AX257))),AND(LEN(AX257)&gt;=4,ISNUMBER(SEARCH(AX257,AU257)))),"INVALID – verifier must be a different, named person (not the PIC or a role)",IF(BH257=1,"INVALID – result not yet available (awaiting / TBC)",IF(BG257=1,"INVALID – result describes a problem: record Fail, then Pass after CA (or reword if it is not a problem)",IF(BV257=1,"INVALID – wording says not on board: an on-board confirmation needs the item loaded",IF(AND(AQ257=1,OR(OR(LEN(AY257)&lt;3,ISNUMBER(MATCH(AY257,L_Placeholder,0))),BJ257=1,BQ257=0)),"INVALID – batch ID missing, placeholder or not an ID (e.g. PASB-261008-BC-017)",IF(AND(AR257=1,OR(NOT(ISNUMBER(X257)),NOT(ISNUMBER(Y257)))),"INVALID – expected/actual qty missing",IF(AND(AR257=1,OR(X257&lt;=0,Y257&lt;0)),"INVALID – expected qty must be above 0 and actual not negative",IF(AH240="N/A – JUSTIFIED","INVALID – preparation row F07-T12-17 is N/A",IF(AND(AR257=1,ISNUMBER(X240),X257&lt;&gt;X240,TRIM(U257)&lt;&gt;"Pass after CA"),"INVALID – expected qty differs from preparation check F07-T12-17: record the load change as a corrective action (Pass after CA)",IF(BB257&lt;&gt;"",BB257,IF(AND(AS257=1,Documents!$J$11&lt;&gt;"ON FILE"),"INVALID – GLD not on file (Documents sheet)",IF(AND(AS257=2,Documents!$O$11&lt;&gt;"ON FILE"),"INVALID – menu checklist not on file (Documents sheet)",IF(AND(AS257=3,NOT(ISNUMBER(Flights!$AX$11))),"INVALID – enter carrying flight KUL departure (Flights AX)",IF(AND(AS257=3,OR(Flights!$AZ$11&gt;Flights!$AA$11,Flights!$AX$11&lt;Flights!$AA$11-3)),"INVALID – carrying flight (Flights AX) cannot arrive before this leg's STD, or is over 3 days early",IF(AG257&gt;AsOfUTC,"INVALID – completion time is in the future",IF(AND(ISNUMBER(BY257),AG257&lt;BY257),IF(H257="Physical uplift","INVALID – before uplift window (cannot confirm loading)","INVALID – before valid window"),IF(AG257&gt;Flights!$AA$11,"INVALID – completed after departure (cannot establish readiness)",IF(AND(H257="Preparation",AG257&gt;=IF(ISNUMBER(Flights!$BA$11),MIN(Flights!$BA$11,Flights!$AA$11),Flights!$AA$11)),"INVALID – completed after loading / departure (cannot establish readiness)",IF(AND(H257="Physical uplift",AG257&gt;Q257),"INVALID – recorded after the loading flight departed",IF(AG257&gt;Q257,"COMPLETE – LATE","COMPLETE"))))))))))))))))))))))))))),IF(TRIM(U257)="Fail","FAIL – DISCREPANCY",IF(AND(TRIM(U257)&lt;&gt;"",TRIM(U257)&lt;&gt;"Not started",TRIM(U257)&lt;&gt;"In progress"),"INVALID – unrecognised status (use the list)",IF(AsOfUTC&gt;Q257,"OVERDUE",IF(N257="Clarification required","OPEN – CLARIFICATION","OPEN"))))))),"INVALID – error value in an input cell")</f>
        <v>OPEN</v>
      </c>
      <c r="AI257" s="61" t="n">
        <f aca="false">IF(OR(AH257="N/A – RULE",AH257="N/A – JUSTIFIED"),0,1)</f>
        <v>1</v>
      </c>
      <c r="AJ257" s="61" t="n">
        <f aca="false">IF(LEFT(AH257,8)="COMPLETE",1,0)</f>
        <v>0</v>
      </c>
      <c r="AK257" s="61" t="n">
        <f aca="false">IF(AND(AI257=1,AJ257=0,AsOfUTC&gt;Q257),1,0)</f>
        <v>0</v>
      </c>
      <c r="AL257" s="61" t="n">
        <f aca="false">IFERROR(IF(AND(AI257=1,OR(TRIM(U257)="Fail",AND(TRIM(AB257)&lt;&gt;"",TRIM(AB257)&lt;&gt;"Closed"),AND(ISNUMBER(AF257),AF257&lt;&gt;0,TRIM(U257)&lt;&gt;"Pass after CA"))),1,0),1)</f>
        <v>0</v>
      </c>
      <c r="AM257" s="61" t="n">
        <f aca="false">IF(LEFT(AH257,7)="INVALID",1,0)</f>
        <v>0</v>
      </c>
      <c r="AN257" s="61" t="n">
        <f aca="false">IF(AND(N257="Clarification required",AI257=1,AJ257=0),1,0)</f>
        <v>0</v>
      </c>
      <c r="AO257" s="61" t="str">
        <f aca="false">IF(AK257=1,SUM(AK$5:AK257),"")</f>
        <v/>
      </c>
      <c r="AP257" s="61" t="str">
        <f aca="false">IF(AL257=1,SUM(AL$5:AL257),"")</f>
        <v/>
      </c>
      <c r="AQ257" s="61" t="n">
        <v>0</v>
      </c>
      <c r="AR257" s="61" t="n">
        <v>0</v>
      </c>
      <c r="AS257" s="61" t="n">
        <v>0</v>
      </c>
      <c r="AT257" s="61" t="n">
        <v>0</v>
      </c>
      <c r="AU257" s="61" t="str">
        <f aca="false">SUBSTITUTE(SUBSTITUTE(SUBSTITUTE(SUBSTITUTE(SUBSTITUTE(SUBSTITUTE(SUBSTITUTE(SUBSTITUTE(SUBSTITUTE(SUBSTITUTE(SUBSTITUTE(SUBSTITUTE(SUBSTITUTE(SUBSTITUTE(SUBSTITUTE(SUBSTITUTE(LOWER(T257&amp;""),CHAR(10),""),CHAR(13),""),CHAR(9),""),CHAR(160),"")," ",""),".",""),"-",""),"/",""),"?",""),"_",""),",",""),"[",""),"]",""),"(",""),")",""),"*","")</f>
        <v/>
      </c>
      <c r="AV257" s="61" t="str">
        <f aca="false">SUBSTITUTE(SUBSTITUTE(SUBSTITUTE(SUBSTITUTE(SUBSTITUTE(SUBSTITUTE(SUBSTITUTE(SUBSTITUTE(SUBSTITUTE(SUBSTITUTE(SUBSTITUTE(SUBSTITUTE(SUBSTITUTE(SUBSTITUTE(SUBSTITUTE(SUBSTITUTE(LOWER(V257&amp;""),CHAR(10),""),CHAR(13),""),CHAR(9),""),CHAR(160),"")," ",""),".",""),"-",""),"/",""),"?",""),"_",""),",",""),"[",""),"]",""),"(",""),")",""),"*","")</f>
        <v/>
      </c>
      <c r="AW257" s="61" t="str">
        <f aca="false">SUBSTITUTE(SUBSTITUTE(SUBSTITUTE(SUBSTITUTE(SUBSTITUTE(SUBSTITUTE(SUBSTITUTE(SUBSTITUTE(SUBSTITUTE(SUBSTITUTE(SUBSTITUTE(SUBSTITUTE(SUBSTITUTE(SUBSTITUTE(SUBSTITUTE(SUBSTITUTE(LOWER(Z257&amp;""),CHAR(10),""),CHAR(13),""),CHAR(9),""),CHAR(160),"")," ",""),".",""),"-",""),"/",""),"?",""),"_",""),",",""),"[",""),"]",""),"(",""),")",""),"*","")</f>
        <v/>
      </c>
      <c r="AX257" s="61" t="str">
        <f aca="false">SUBSTITUTE(SUBSTITUTE(SUBSTITUTE(SUBSTITUTE(SUBSTITUTE(SUBSTITUTE(SUBSTITUTE(SUBSTITUTE(SUBSTITUTE(SUBSTITUTE(SUBSTITUTE(SUBSTITUTE(SUBSTITUTE(SUBSTITUTE(SUBSTITUTE(SUBSTITUTE(LOWER(AE257&amp;""),CHAR(10),""),CHAR(13),""),CHAR(9),""),CHAR(160),"")," ",""),".",""),"-",""),"/",""),"?",""),"_",""),",",""),"[",""),"]",""),"(",""),")",""),"*","")</f>
        <v/>
      </c>
      <c r="AY257" s="61" t="str">
        <f aca="false">SUBSTITUTE(SUBSTITUTE(SUBSTITUTE(SUBSTITUTE(SUBSTITUTE(SUBSTITUTE(SUBSTITUTE(SUBSTITUTE(SUBSTITUTE(SUBSTITUTE(SUBSTITUTE(SUBSTITUTE(SUBSTITUTE(SUBSTITUTE(SUBSTITUTE(SUBSTITUTE(LOWER(W257&amp;""),CHAR(10),""),CHAR(13),""),CHAR(9),""),CHAR(160),"")," ",""),".",""),"-",""),"/",""),"?",""),"_",""),",",""),"[",""),"]",""),"(",""),")",""),"*","")</f>
        <v/>
      </c>
      <c r="AZ257" s="61" t="str">
        <f aca="false">SUBSTITUTE(SUBSTITUTE(SUBSTITUTE(SUBSTITUTE(SUBSTITUTE(SUBSTITUTE(SUBSTITUTE(SUBSTITUTE(SUBSTITUTE(SUBSTITUTE(SUBSTITUTE(SUBSTITUTE(SUBSTITUTE(SUBSTITUTE(SUBSTITUTE(SUBSTITUTE(LOWER(AC257&amp;""),CHAR(10),""),CHAR(13),""),CHAR(9),""),CHAR(160),"")," ",""),".",""),"-",""),"/",""),"?",""),"_",""),",",""),"[",""),"]",""),"(",""),")",""),"*","")</f>
        <v/>
      </c>
      <c r="BA257" s="61" t="str">
        <f aca="false">SUBSTITUTE(SUBSTITUTE(SUBSTITUTE(SUBSTITUTE(SUBSTITUTE(SUBSTITUTE(SUBSTITUTE(SUBSTITUTE(SUBSTITUTE(SUBSTITUTE(SUBSTITUTE(SUBSTITUTE(SUBSTITUTE(SUBSTITUTE(SUBSTITUTE(SUBSTITUTE(LOWER(AA257&amp;""),CHAR(10),""),CHAR(13),""),CHAR(9),""),CHAR(160),"")," ",""),".",""),"-",""),"/",""),"?",""),"_",""),",",""),"[",""),"]",""),"(",""),")",""),"*","")</f>
        <v/>
      </c>
      <c r="BB257" s="61" t="str">
        <f aca="false">IF(AND(TRIM(U257)="Pass",ISNUMBER(AF257)),IF(AF257&lt;&gt;0,"INVALID – qty variance: use Fail or Pass after CA",""),"")&amp;IF(AND(TRIM(U257)="Pass after CA",ISNUMBER(AF257)),IF(AF257&lt;&gt;0,"INVALID – after the corrective action the actual qty must equal expected (update Actual)",""),"")&amp;IF(AND(TRIM(U257)="Pass",TRIM(AB257)&lt;&gt;"",TRIM(AB257)&lt;&gt;"Closed"),"INVALID – corrective action not closed: use Fail, then Pass after CA","")&amp;IF(AND(LEN(BA257)&gt;=2,ISNA(MATCH(LEFT(BA257,255),L_Placeholder,0)),TRIM(AB257)=""),"INVALID – CA status missing for the recorded corrective action","")&amp;IF(AND(TRIM(U257)="Pass after CA",OR(OR(LEN(BA257)&lt;5,ISNUMBER(MATCH(BA257,L_Placeholder,0))),TRIM(AB257)&lt;&gt;"Closed")),"INVALID – corrective action not recorded/closed","")</f>
        <v/>
      </c>
      <c r="BC257" s="61" t="str">
        <f aca="false">" "&amp;TRIM(SUBSTITUTE(SUBSTITUTE(SUBSTITUTE(SUBSTITUTE(SUBSTITUTE(SUBSTITUTE(SUBSTITUTE(SUBSTITUTE(SUBSTITUTE(SUBSTITUTE(SUBSTITUTE(SUBSTITUTE(SUBSTITUTE(SUBSTITUTE(SUBSTITUTE(SUBSTITUTE(SUBSTITUTE(SUBSTITUTE(SUBSTITUTE(SUBSTITUTE(SUBSTITUTE(SUBSTITUTE(SUBSTITUTE(SUBSTITUTE(LOWER(V257&amp;""),CHAR(10)," "),CHAR(13)," "),CHAR(9)," "),CHAR(160)," "),"."," "),","," "),"-"," "),"/"," "),"("," "),")"," "),":"," "),";"," "),"_"," "),"–"," "),"?"," "),"!"," "),"*"," "),"["," "),"]"," "),"'"," "),"#"," "),"+"," "),"&amp;"," "),"\"," "))&amp;" "</f>
        <v>  </v>
      </c>
      <c r="BD257" s="61" t="str">
        <f aca="false">" "&amp;TRIM(SUBSTITUTE(SUBSTITUTE(SUBSTITUTE(SUBSTITUTE(SUBSTITUTE(SUBSTITUTE(SUBSTITUTE(SUBSTITUTE(SUBSTITUTE(SUBSTITUTE(SUBSTITUTE(SUBSTITUTE(SUBSTITUTE(SUBSTITUTE(SUBSTITUTE(SUBSTITUTE(SUBSTITUTE(SUBSTITUTE(SUBSTITUTE(SUBSTITUTE(SUBSTITUTE(SUBSTITUTE(SUBSTITUTE(SUBSTITUTE(LOWER(Z257&amp;""),CHAR(10)," "),CHAR(13)," "),CHAR(9)," "),CHAR(160)," "),"."," "),","," "),"-"," "),"/"," "),"("," "),")"," "),":"," "),";"," "),"_"," "),"–"," "),"?"," "),"!"," "),"*"," "),"["," "),"]"," "),"'"," "),"#"," "),"+"," "),"&amp;"," "),"\"," "))&amp;" "</f>
        <v>  </v>
      </c>
      <c r="BE257" s="61" t="str">
        <f aca="false">" "&amp;TRIM(SUBSTITUTE(SUBSTITUTE(SUBSTITUTE(SUBSTITUTE(SUBSTITUTE(SUBSTITUTE(SUBSTITUTE(SUBSTITUTE(SUBSTITUTE(SUBSTITUTE(SUBSTITUTE(SUBSTITUTE(SUBSTITUTE(SUBSTITUTE(SUBSTITUTE(SUBSTITUTE(SUBSTITUTE(SUBSTITUTE(SUBSTITUTE(SUBSTITUTE(SUBSTITUTE(SUBSTITUTE(SUBSTITUTE(SUBSTITUTE(LOWER(W257&amp;""),CHAR(10)," "),CHAR(13)," "),CHAR(9)," "),CHAR(160)," "),"."," "),","," "),"-"," "),"/"," "),"("," "),")"," "),":"," "),";"," "),"_"," "),"–"," "),"?"," "),"!"," "),"*"," "),"["," "),"]"," "),"'"," "),"#"," "),"+"," "),"&amp;"," "),"\"," "))&amp;" "</f>
        <v>  </v>
      </c>
      <c r="BF257" s="61" t="str">
        <f aca="false">" "&amp;TRIM(SUBSTITUTE(SUBSTITUTE(SUBSTITUTE(SUBSTITUTE(SUBSTITUTE(SUBSTITUTE(SUBSTITUTE(SUBSTITUTE(SUBSTITUTE(SUBSTITUTE(SUBSTITUTE(SUBSTITUTE(SUBSTITUTE(SUBSTITUTE(SUBSTITUTE(SUBSTITUTE(SUBSTITUTE(SUBSTITUTE(SUBSTITUTE(SUBSTITUTE(SUBSTITUTE(SUBSTITUTE(SUBSTITUTE(SUBSTITUTE(LOWER(AC257&amp;""),CHAR(10)," "),CHAR(13)," "),CHAR(9)," "),CHAR(160)," "),"."," "),","," "),"-"," "),"/"," "),"("," "),")"," "),":"," "),";"," "),"_"," "),"–"," "),"?"," "),"!"," "),"*"," "),"["," "),"]"," "),"'"," "),"#"," "),"+"," "),"&amp;"," "),"\"," "))&amp;" "</f>
        <v>  </v>
      </c>
      <c r="BG257" s="61" t="n">
        <f aca="false">IFERROR(IF(AND(TRIM(U257)="Pass",SUMPRODUCT((LEN(BC257)-LEN(SUBSTITUTE(BC257," "&amp;L_ResultBad&amp;" "," ")))/(LEN(L_ResultBad)+1))&gt;SUMPRODUCT((LEN(BC257)-LEN(SUBSTITUTE(BC257," "&amp;L_NegPhrase&amp;" "," ")))/(LEN(L_NegPhrase)+1))),1,0),0)</f>
        <v>0</v>
      </c>
      <c r="BH257" s="61" t="n">
        <f aca="false">IFERROR(IF(SUMPRODUCT((LEN(BC257)-LEN(SUBSTITUTE(BC257," "&amp;L_Pending&amp;" "," ")))/(LEN(L_Pending)+1))&gt;SUMPRODUCT((LEN(BC257)-LEN(SUBSTITUTE(BC257," "&amp;L_PendNeg&amp;" "," ")))/(LEN(L_PendNeg)+1)),1,0),1)</f>
        <v>0</v>
      </c>
      <c r="BI257" s="61" t="n">
        <f aca="false">IFERROR(IF(SUMPRODUCT((LEN(BD257)-LEN(SUBSTITUTE(BD257," "&amp;L_PendStrict&amp;" "," ")))/(LEN(L_PendStrict)+1))&gt;SUMPRODUCT((LEN(BD257)-LEN(SUBSTITUTE(BD257," "&amp;L_PendNeg&amp;" "," ")))/(LEN(L_PendNeg)+1)),1,0),1)</f>
        <v>0</v>
      </c>
      <c r="BJ257" s="61" t="n">
        <f aca="false">IFERROR(IF(SUMPRODUCT((LEN(BE257)-LEN(SUBSTITUTE(BE257," "&amp;L_Pending&amp;" "," ")))/(LEN(L_Pending)+1))&gt;SUMPRODUCT((LEN(BE257)-LEN(SUBSTITUTE(BE257," "&amp;L_PendNeg&amp;" "," ")))/(LEN(L_PendNeg)+1)),1,0),1)</f>
        <v>0</v>
      </c>
      <c r="BK257" s="61" t="n">
        <f aca="false">IFERROR(IF(SUMPRODUCT((LEN(BF257)-LEN(SUBSTITUTE(BF257," "&amp;L_PendStrict&amp;" "," ")))/(LEN(L_PendStrict)+1))&gt;SUMPRODUCT((LEN(BF257)-LEN(SUBSTITUTE(BF257," "&amp;L_PendNeg&amp;" "," ")))/(LEN(L_PendNeg)+1)),1,0),1)</f>
        <v>0</v>
      </c>
      <c r="BL257" s="61" t="n">
        <f aca="false">IF(ISNA(MATCH(TRIM(S257),L_EvidenceType,0)),0,BZ257)</f>
        <v>0</v>
      </c>
      <c r="BM257" s="61" t="str">
        <f aca="false">SUBSTITUTE(SUBSTITUTE(SUBSTITUTE(SUBSTITUTE(SUBSTITUTE(SUBSTITUTE(SUBSTITUTE(SUBSTITUTE(SUBSTITUTE(LOWER(Z257&amp;""),"1","0"),"2","0"),"3","0"),"4","0"),"5","0"),"6","0"),"7","0"),"8","0"),"9","0")</f>
        <v/>
      </c>
      <c r="BN257" s="61" t="str">
        <f aca="false">SUBSTITUTE(SUBSTITUTE(SUBSTITUTE(SUBSTITUTE(SUBSTITUTE(SUBSTITUTE(SUBSTITUTE(SUBSTITUTE(SUBSTITUTE(SUBSTITUTE(SUBSTITUTE(SUBSTITUTE(SUBSTITUTE(SUBSTITUTE(SUBSTITUTE(SUBSTITUTE(SUBSTITUTE(SUBSTITUTE(SUBSTITUTE(SUBSTITUTE(SUBSTITUTE(SUBSTITUTE(SUBSTITUTE(SUBSTITUTE(SUBSTITUTE(BM257,"b","a"),"c","a"),"d","a"),"e","a"),"f","a"),"g","a"),"h","a"),"i","a"),"j","a"),"k","a"),"l","a"),"m","a"),"n","a"),"o","a"),"p","a"),"q","a"),"r","a"),"s","a"),"t","a"),"u","a"),"v","a"),"w","a"),"x","a"),"y","a"),"z","a")</f>
        <v/>
      </c>
      <c r="BO257" s="61" t="str">
        <f aca="false">SUBSTITUTE(SUBSTITUTE(SUBSTITUTE(SUBSTITUTE(SUBSTITUTE(SUBSTITUTE(SUBSTITUTE(SUBSTITUTE(SUBSTITUTE(LOWER(W257&amp;""),"1","0"),"2","0"),"3","0"),"4","0"),"5","0"),"6","0"),"7","0"),"8","0"),"9","0")</f>
        <v/>
      </c>
      <c r="BP257" s="61" t="str">
        <f aca="false">SUBSTITUTE(SUBSTITUTE(SUBSTITUTE(SUBSTITUTE(SUBSTITUTE(SUBSTITUTE(SUBSTITUTE(SUBSTITUTE(SUBSTITUTE(SUBSTITUTE(SUBSTITUTE(SUBSTITUTE(SUBSTITUTE(SUBSTITUTE(SUBSTITUTE(SUBSTITUTE(SUBSTITUTE(SUBSTITUTE(SUBSTITUTE(SUBSTITUTE(SUBSTITUTE(SUBSTITUTE(SUBSTITUTE(SUBSTITUTE(SUBSTITUTE(BO257,"b","a"),"c","a"),"d","a"),"e","a"),"f","a"),"g","a"),"h","a"),"i","a"),"j","a"),"k","a"),"l","a"),"m","a"),"n","a"),"o","a"),"p","a"),"q","a"),"r","a"),"s","a"),"t","a"),"u","a"),"v","a"),"w","a"),"x","a"),"y","a"),"z","a")</f>
        <v/>
      </c>
      <c r="BQ257" s="61" t="n">
        <f aca="false">IFERROR(IF(AND(ISERROR(SEARCH(" mh"," "&amp;LOWER(W257))),ISNA(MATCH(LEFT(TRIM(BP257),255),{"0000a","000a","00a","0000aa","000aa","00aa","0aa","0000aaa","000aaa","00a00","0a00","0000-0000","00:00","a00","a0","00.00.0000","00/00/0000","00-00-0000","0000-00-00","0000/00/00","0000.00.00","00.00.00","00/00/00","00-00-00","0.00.0000","0/00/0000","0-00-0000"},0)),ISNA(MATCH(LEFT(TRIM(CA257),255),{"0000a","000a","00a","0000aa","000aa","00aa","0aa","0000aaa","000aaa","00a00","0a00","0000-0000","00:00","a00","a0","00.00.0000","00/00/0000","00-00-0000","0000-00-00","0000/00/00","0000.00.00","00.00.00","00/00/00","00-00-00","0.00.0000","0/00/0000","0-00-0000"},0)),LEN(CB257)&gt;=3,NOT(OR(SUBSTITUTE(CB257,"0","")="",AND(LEN(CB257)&gt;=4,CB257=REPT(LEFT(CB257),LEN(CB257))),ISNUMBER(MATCH(CB257,{"123","1234","12345","123456","1234567","12345678","0123","01234","012345","98765","987654","54321"},0)),AND(LEN(CB257)=8,LEFT(CB257,3)="202"))),OR(AND((LEN(CA257)-LEN(SUBSTITUTE(CA257,"a","")))&gt;=1,SUMPRODUCT(--ISNUMBER(SEARCH({"a0","a-0","a_0","a/0","a.0","a#0","0a","0-a","0_a","0/a"},BP257)))&gt;0),ISNUMBER(SEARCH("000000",BP257)))),1,0),0)</f>
        <v>0</v>
      </c>
      <c r="BR257" s="61" t="n">
        <f aca="false">IFERROR(LEN(SUBSTITUTE(CC257," ",""))-SUMPRODUCT((LEN(CC257)-LEN(SUBSTITUTE(CC257," "&amp;L_Role&amp;" "," ")))/(LEN(L_Role)+1)*LEN(L_Role)),0)</f>
        <v>0</v>
      </c>
      <c r="BS257" s="61" t="n">
        <f aca="false">IFERROR(LEN(SUBSTITUTE(CD257," ",""))-SUMPRODUCT((LEN(CD257)-LEN(SUBSTITUTE(CD257," "&amp;L_Role&amp;" "," ")))/(LEN(L_Role)+1)*LEN(L_Role)),0)</f>
        <v>0</v>
      </c>
      <c r="BT2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257,"revision",""),"version",""),"jan",""),"feb",""),"mar",""),"apr",""),"may",""),"jun",""),"jul",""),"aug",""),"sep",""),"oct",""),"nov",""),"dec",""),"utc",""),"gmt",""),"myt",""),"bst",""),"rev",""),"ver",""),"b","a"),"c","a"),"d","a"),"e","a"),"f","a"),"g","a"),"h","a"),"i","a"),"j","a"),"k","a"),"l","a"),"m","a"),"n","a"),"o","a"),"p","a"),"q","a"),"r","a"),"s","a"),"t","a"),"u","a"),"v","a"),"w","a"),"x","a"),"y","a"),"z","a")</f>
        <v/>
      </c>
      <c r="BU257" s="61" t="str">
        <f aca="false">SUBSTITUTE(SUBSTITUTE(SUBSTITUTE(SUBSTITUTE(SUBSTITUTE(SUBSTITUTE(SUBSTITUTE(SUBSTITUTE(SUBSTITUTE(SUBSTITUTE(LEFT(BM257,FIND("0",BM257&amp;"0")-1),"-",""),"_",""),"/",""),".",""),"#",""),"\\",""),":","")," ",""),"(",""),")","")</f>
        <v/>
      </c>
      <c r="BV257" s="61" t="n">
        <f aca="false">IFERROR(IF(OR(SUMPRODUCT((LEN(BC257)-LEN(SUBSTITUTE(BC257," "&amp;L_NotLoaded&amp;" "," ")))/(LEN(L_NotLoaded)+1))&gt;SUMPRODUCT((LEN(BC257)-LEN(SUBSTITUTE(BC257," "&amp;L_NotLoadedNeg&amp;" "," ")))/(LEN(L_NotLoadedNeg)+1)),SUMPRODUCT((LEN(BD257)-LEN(SUBSTITUTE(BD257," "&amp;L_NotLoaded&amp;" "," ")))/(LEN(L_NotLoaded)+1))&gt;SUMPRODUCT((LEN(BD257)-LEN(SUBSTITUTE(BD257," "&amp;L_NotLoadedNeg&amp;" "," ")))/(LEN(L_NotLoadedNeg)+1))),1,0),0)</f>
        <v>0</v>
      </c>
      <c r="BW2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257&amp;""),"a",""),"b",""),"c",""),"d",""),"e",""),"f",""),"g",""),"h",""),"i",""),"j",""),"k",""),"l",""),"m",""),"n",""),"o",""),"p",""),"q",""),"r",""),"s",""),"t",""),"u",""),"v",""),"w",""),"x",""),"y",""),"z",""),"-",""),"_",""),"/",""),".",""),"#",""),"\\",""),":","")," ",""),"(",""),")","")</f>
        <v/>
      </c>
      <c r="BX257" s="61" t="str">
        <f aca="false">SUBSTITUTE(SUBSTITUTE(SUBSTITUTE(SUBSTITUTE(SUBSTITUTE(SUBSTITUTE(SUBSTITUTE(SUBSTITUTE(SUBSTITUTE(SUBSTITUTE(SUBSTITUTE(BM257,"0",""),"-",""),"_",""),"/",""),".",""),"#",""),"\\",""),":","")," ",""),"(",""),")","")</f>
        <v/>
      </c>
      <c r="BY257" s="62" t="n">
        <f aca="false">IF(ISNUMBER(Flights!$AZ$11),MAX(Q257-UpliftWindowH/24,Flights!$AZ$11),Q257-UpliftWindowH/24)</f>
        <v>46304.4166666667</v>
      </c>
      <c r="BZ257" s="61" t="n">
        <f aca="false">IFERROR(IF(IF(TRIM(S257)="Link / file path",AND(LEN(TRIM(Z257))&gt;=5,SUMPRODUCT(--ISNUMBER(SEARCH({"http","www.","\\",":\",".pdf",".jpg",".jpeg",".png",".heic",".xls",".doc",".msg",".eml",".ppt",".txt",".zip"},Z257)))&gt;0),AND(ISERROR(FIND(" ",TRIM(Z257))),NOT(OR(SUMPRODUCT(--ISNUMBER(FIND({",",";","&amp;","+"},Z257)))&gt;0,SUMPRODUCT(--ISNUMBER(SEARCH({"0/aa","0\\aa"},BN257)))&gt;0)),NOT(SUMPRODUCT(--ISNUMBER(SEARCH({"http","www.","\\",":\",".pdf",".jpg",".jpeg",".png",".heic",".xls",".doc",".msg",".eml",".ppt",".txt",".zip"},Z257)))&gt;0),NOT(LOWER(TRIM(Z257))=LOWER(Flights!$F$11)),ISNA(MATCH(BU257,{"mh","rev","revision","ver","version","v","r","a","b","seat","tray","row","gate","bay","stand","page","pg","item","line","no","cart","galley","flight","flt","table","box","bag","oven","etd","eta","std","sta","atd","ata","qty","pax","x","time","tel","ph","mob","day","wk","week","utc","gmt","myt","lt"},0)),NOT(OR(ISNUMBER(MATCH(LEFT(BN257,255),{"0000a","000a","00a","0000aa","000aa","00aa","0aa","0000aaa","000aaa","00a00","0a00","0000-0000","00:00","a00","a0","00.00.0000","00/00/0000","00-00-0000","0000-00-00","0000/00/00","0000.00.00","00.00.00","00/00/00","00-00-00","0.00.0000","0/00/0000","0-00-0000"},0)),ISNUMBER(MATCH(LEFT(BT257,255),{"0000a","000a","00a","0000aa","000aa","00aa","0aa","0000aaa","000aaa","00a00","0a00","0000-0000","00:00","a00","a0","00.00.0000","00/00/0000","00-00-0000","0000-00-00","0000/00/00","0000.00.00","00.00.00","00/00/00","00-00-00","0.00.0000","0/00/0000","0-00-0000"},0)))),NOT(OR(AND(BW257&lt;&gt;"",SUBSTITUTE(BW257,"0","")=""),AND(LEN(BW257)&gt;=4,BW257=REPT(LEFT(BW257),LEN(BW257))),ISNUMBER(MATCH(BW257,{"123","1234","12345","123456","1234567","12345678","0123","01234","012345","98765","987654","54321"},0)),ISNUMBER(MATCH(BX257,{"x","xx","xxx","xxxx","xxxxx","abc","abcd","nil","na","nan","test","tbc","tba","tbd","dummy","sample","example","eg","zz","zzz","none","null","xyz","qwe","asd","id","ref"},0)),AND(LEN(BW257)=8,BX257="",OR(LEFT(BW257,3)="202",ISNUMBER(MATCH(RIGHT(BW257,4),{"2025","2026","2027"},0)))))),OR(AND((LEN(BT257)-LEN(SUBSTITUTE(BT257,"a","")))&gt;=1,(LEN(BN257)-LEN(SUBSTITUTE(BN257,"0","")))&gt;=2,SUMPRODUCT(--ISNUMBER(SEARCH({"a0","a-0","a_0","a/0","a.0","a#0","0a","0-a","0_a","0/a"},BN257)))&gt;0),AND((LEN(BN257)-LEN(SUBSTITUTE(BN257,"a","")))=0,(LEN(BN257)-LEN(SUBSTITUTE(BN257,"0","")))&gt;=5)))),1,0),0)</f>
        <v>0</v>
      </c>
      <c r="CA2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257,"revision",""),"version",""),"jan",""),"feb",""),"mar",""),"apr",""),"may",""),"jun",""),"jul",""),"aug",""),"sep",""),"oct",""),"nov",""),"dec",""),"utc",""),"gmt",""),"myt",""),"bst",""),"rev",""),"ver",""),"b","a"),"c","a"),"d","a"),"e","a"),"f","a"),"g","a"),"h","a"),"i","a"),"j","a"),"k","a"),"l","a"),"m","a"),"n","a"),"o","a"),"p","a"),"q","a"),"r","a"),"s","a"),"t","a"),"u","a"),"v","a"),"w","a"),"x","a"),"y","a"),"z","a")</f>
        <v/>
      </c>
      <c r="CB2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257&amp;""),"a",""),"b",""),"c",""),"d",""),"e",""),"f",""),"g",""),"h",""),"i",""),"j",""),"k",""),"l",""),"m",""),"n",""),"o",""),"p",""),"q",""),"r",""),"s",""),"t",""),"u",""),"v",""),"w",""),"x",""),"y",""),"z",""),"-",""),"_",""),"/",""),".",""),"#",""),"\\",""),":","")," ",""),"(",""),")","")</f>
        <v/>
      </c>
      <c r="CC257" s="0" t="str">
        <f aca="false">" "&amp;TRIM(SUBSTITUTE(SUBSTITUTE(SUBSTITUTE(SUBSTITUTE(SUBSTITUTE(SUBSTITUTE(SUBSTITUTE(SUBSTITUTE(SUBSTITUTE(SUBSTITUTE(SUBSTITUTE(SUBSTITUTE(SUBSTITUTE(SUBSTITUTE(SUBSTITUTE(SUBSTITUTE(SUBSTITUTE(SUBSTITUTE(SUBSTITUTE(SUBSTITUTE(SUBSTITUTE(SUBSTITUTE(SUBSTITUTE(SUBSTITUTE(LOWER(T257&amp;""),CHAR(10)," "),CHAR(13)," "),CHAR(9)," "),CHAR(160)," "),"."," "),","," "),"-"," "),"/"," "),"("," "),")"," "),":"," "),";"," "),"_"," "),"–"," "),"?"," "),"!"," "),"*"," "),"["," "),"]"," "),"'"," "),"#"," "),"+"," "),"&amp;"," "),"\"," "))&amp;" "</f>
        <v>  </v>
      </c>
      <c r="CD257" s="0" t="str">
        <f aca="false">" "&amp;TRIM(SUBSTITUTE(SUBSTITUTE(SUBSTITUTE(SUBSTITUTE(SUBSTITUTE(SUBSTITUTE(SUBSTITUTE(SUBSTITUTE(SUBSTITUTE(SUBSTITUTE(SUBSTITUTE(SUBSTITUTE(SUBSTITUTE(SUBSTITUTE(SUBSTITUTE(SUBSTITUTE(SUBSTITUTE(SUBSTITUTE(SUBSTITUTE(SUBSTITUTE(SUBSTITUTE(SUBSTITUTE(SUBSTITUTE(SUBSTITUTE(LOWER(AE257&amp;""),CHAR(10)," "),CHAR(13)," "),CHAR(9)," "),CHAR(160)," "),"."," "),","," "),"-"," "),"/"," "),"("," "),")"," "),":"," "),";"," "),"_"," "),"–"," "),"?"," "),"!"," "),"*"," "),"["," "),"]"," "),"'"," "),"#"," "),"+"," "),"&amp;"," "),"\"," "))&amp;" "</f>
        <v>  </v>
      </c>
      <c r="CE257" s="68" t="n">
        <f aca="false">IFERROR(IF(AND(LEN(AU257)&gt;0,LEN(AU257)=LEN(AX257),OR(TRIM(MID(SUBSTITUTE(TRIM(CC257)," ",REPT(" ",60)),1,60))="",ISNUMBER(SEARCH(" "&amp;TRIM(MID(SUBSTITUTE(TRIM(CC257)," ",REPT(" ",60)),1,60))&amp;" ",CD257))),OR(TRIM(MID(SUBSTITUTE(TRIM(CC257)," ",REPT(" ",60)),61,60))="",ISNUMBER(SEARCH(" "&amp;TRIM(MID(SUBSTITUTE(TRIM(CC257)," ",REPT(" ",60)),61,60))&amp;" ",CD257))),OR(TRIM(MID(SUBSTITUTE(TRIM(CC257)," ",REPT(" ",60)),121,60))="",ISNUMBER(SEARCH(" "&amp;TRIM(MID(SUBSTITUTE(TRIM(CC257)," ",REPT(" ",60)),121,60))&amp;" ",CD257)))),1,0),0)</f>
        <v>0</v>
      </c>
      <c r="CG257" s="68" t="n">
        <f aca="false">IFERROR(LEN(SUBSTITUTE(BF257," ",""))-SUMPRODUCT((LEN(BF257)-LEN(SUBSTITUTE(BF257," "&amp;L_NAFiller&amp;" "," ")))/(LEN(L_NAFiller)+1)*LEN(L_NAFiller)),0)</f>
        <v>0</v>
      </c>
    </row>
    <row r="258" customFormat="false" ht="39.75" hidden="false" customHeight="true" outlineLevel="0" collapsed="false">
      <c r="A258" s="57" t="s">
        <v>829</v>
      </c>
      <c r="B258" s="57" t="s">
        <v>235</v>
      </c>
      <c r="C258" s="57" t="str">
        <f aca="false">Flights!$F$11</f>
        <v>MH0003</v>
      </c>
      <c r="D258" s="58" t="n">
        <f aca="false">Flights!$D$11</f>
        <v>46304</v>
      </c>
      <c r="E258" s="57" t="str">
        <f aca="false">Flights!$G$11&amp;"-"&amp;Flights!$H$11</f>
        <v>LHR-KUL</v>
      </c>
      <c r="F258" s="57" t="str">
        <f aca="false">Flights!$K$11</f>
        <v>BC</v>
      </c>
      <c r="G258" s="57" t="s">
        <v>459</v>
      </c>
      <c r="H258" s="57" t="s">
        <v>460</v>
      </c>
      <c r="I258" s="57" t="s">
        <v>447</v>
      </c>
      <c r="J258" s="57" t="s">
        <v>553</v>
      </c>
      <c r="K258" s="67" t="s">
        <v>449</v>
      </c>
      <c r="L258" s="67" t="s">
        <v>750</v>
      </c>
      <c r="M258" s="67" t="s">
        <v>451</v>
      </c>
      <c r="N258" s="67" t="s">
        <v>383</v>
      </c>
      <c r="O258" s="67"/>
      <c r="P258" s="57" t="s">
        <v>186</v>
      </c>
      <c r="Q258" s="59" t="n">
        <f aca="false">ROUND((Flights!$AF$11)*1440,0)/1440</f>
        <v>46304.4166666667</v>
      </c>
      <c r="R258" s="59" t="n">
        <f aca="false">Q258+(IF(AND(INDEX(TZ_DSTS,MATCH(P258,TZ_STN,0))&lt;&gt;"",Q258&gt;=INDEX(TZ_DSTS,MATCH(P258,TZ_STN,0)),Q258&lt;INDEX(TZ_DSTE,MATCH(P258,TZ_STN,0))),INDEX(TZ_DST,MATCH(P258,TZ_STN,0)),INDEX(TZ_STD,MATCH(P258,TZ_STN,0))))/24</f>
        <v>46304.4583333333</v>
      </c>
      <c r="S258" s="60"/>
      <c r="T258" s="60"/>
      <c r="U258" s="60"/>
      <c r="V258" s="60"/>
      <c r="W258" s="61"/>
      <c r="X258" s="60"/>
      <c r="Y258" s="60"/>
      <c r="Z258" s="60"/>
      <c r="AA258" s="60"/>
      <c r="AB258" s="60"/>
      <c r="AC258" s="60"/>
      <c r="AD258" s="66"/>
      <c r="AE258" s="60"/>
      <c r="AF258" s="61" t="str">
        <f aca="false">IF(AND(ISNUMBER(X258),ISNUMBER(Y258)),Y258-X258,"")</f>
        <v/>
      </c>
      <c r="AG258" s="62" t="str">
        <f aca="false">IF(ISNUMBER(AD258),AD258-(IF(AND(INDEX(TZ_DSTS,MATCH(P258,TZ_STN,0))&lt;&gt;"",(AD258-INDEX(TZ_STD,MATCH(P258,TZ_STN,0))/24)&gt;=INDEX(TZ_DSTS,MATCH(P258,TZ_STN,0)),(AD258-INDEX(TZ_STD,MATCH(P258,TZ_STN,0))/24)&lt;INDEX(TZ_DSTE,MATCH(P258,TZ_STN,0))),INDEX(TZ_DST,MATCH(P258,TZ_STN,0)),INDEX(TZ_STD,MATCH(P258,TZ_STN,0))))/24,"")</f>
        <v/>
      </c>
      <c r="AH258" s="65" t="str">
        <f aca="false">IFERROR(IF(N258="N/A – rule",IF(OR(TRIM(U258)="",TRIM(U258)="N/A",TRIM(U258)="Not started"),"N/A – RULE","INVALID – this check does not apply to this aircraft: clear the status (or correct the fleet on Flights)"),IF(TRIM(U258)="N/A",IF(AT258=0,"INVALID – N/A not permitted for this check",IF(AND(TRIM(AB258)&lt;&gt;"",TRIM(AB258)&lt;&gt;"Closed"),"INVALID – corrective action still open",IF(AND(NOT(OR(LEN(AZ258)&lt;15,ISNUMBER(MATCH(AZ258,L_Placeholder,0)))),BK258=0,CG258&gt;=8,NOT(OR(LEN(AU258)&lt;2,ISNUMBER(MATCH(AU258,L_Placeholder,0)))),BR258&gt;=3,NOT(OR(LEN(AX258)&lt;2,ISNUMBER(MATCH(AX258,L_Placeholder,0)))),BS258&gt;=3,TRIM(AE258)&lt;&gt;TRIM(T258),AX258&lt;&gt;AU258,CE258=0),"N/A – JUSTIFIED","INVALID – N/A needs a real, settled reason (not 'not applicable' / 'as above' / TBC), a named PIC and a different named verifier"))),IF(OR(TRIM(U258)="Pass",TRIM(U258)="Pass after CA"),IF(NOT(ISNUMBER(AD258)),"INVALID – completion time missing",IF(OR(OR(LEN(AU258)&lt;2,ISNUMBER(MATCH(AU258,L_Placeholder,0))),BR258&lt;3),"INVALID – PIC missing or not a named person (a role such as QA / CSM is not a name)",IF(OR(LEN(AV258)&lt;2,ISNUMBER(MATCH(AV258,L_Placeholder,0))),"INVALID – result / assessment missing",IF(OR(OR(LEN(AW258)&lt;3,ISNUMBER(MATCH(AW258,L_Placeholder,0))),SUMPRODUCT(--ISNUMBER(SEARCH(" "&amp;L_EvidencePhrase&amp;" ",BD258)))&gt;0,BI258=1),"INVALID – evidence missing, placeholder or not yet on file",IF(ISNA(MATCH(TRIM(S258),L_EvidenceType,0)),"INVALID – choose the evidence type from the list (column S)",IF(BL258=0,"INVALID – evidence ID must be the record's own ID only (e.g. SF-2210, IMG_2231, 1045521); a link / file name needs type 'Link / file path'",IF(OR(OR(LEN(AX258)&lt;2,ISNUMBER(MATCH(AX258,L_Placeholder,0))),BS258&lt;3),"INVALID – verifier missing or not a named person (a role such as QA / CSM is not a name)",IF(OR(AX258=AU258,CE258=1,AND(LEN(AU258)&gt;=4,ISNUMBER(SEARCH(AU258,AX258))),AND(LEN(AX258)&gt;=4,ISNUMBER(SEARCH(AX258,AU258)))),"INVALID – verifier must be a different, named person (not the PIC or a role)",IF(BH258=1,"INVALID – result not yet available (awaiting / TBC)",IF(BG258=1,"INVALID – result describes a problem: record Fail, then Pass after CA (or reword if it is not a problem)",IF(BV258=1,"INVALID – wording says not on board: an on-board confirmation needs the item loaded",IF(AND(AQ258=1,OR(OR(LEN(AY258)&lt;3,ISNUMBER(MATCH(AY258,L_Placeholder,0))),BJ258=1,BQ258=0)),"INVALID – batch ID missing, placeholder or not an ID (e.g. PASB-261008-BC-017)",IF(AND(AR258=1,OR(NOT(ISNUMBER(X258)),NOT(ISNUMBER(Y258)))),"INVALID – expected/actual qty missing",IF(AND(AR258=1,OR(X258&lt;=0,Y258&lt;0)),"INVALID – expected qty must be above 0 and actual not negative",IF(AH241="N/A – JUSTIFIED","INVALID – preparation row F07-T12-18 is N/A",IF(AND(AR258=1,ISNUMBER(X241),X258&lt;&gt;X241,TRIM(U258)&lt;&gt;"Pass after CA"),"INVALID – expected qty differs from preparation check F07-T12-18: record the load change as a corrective action (Pass after CA)",IF(BB258&lt;&gt;"",BB258,IF(AND(AS258=1,Documents!$J$11&lt;&gt;"ON FILE"),"INVALID – GLD not on file (Documents sheet)",IF(AND(AS258=2,Documents!$O$11&lt;&gt;"ON FILE"),"INVALID – menu checklist not on file (Documents sheet)",IF(AND(AS258=3,NOT(ISNUMBER(Flights!$AX$11))),"INVALID – enter carrying flight KUL departure (Flights AX)",IF(AND(AS258=3,OR(Flights!$AZ$11&gt;Flights!$AA$11,Flights!$AX$11&lt;Flights!$AA$11-3)),"INVALID – carrying flight (Flights AX) cannot arrive before this leg's STD, or is over 3 days early",IF(AG258&gt;AsOfUTC,"INVALID – completion time is in the future",IF(AND(ISNUMBER(BY258),AG258&lt;BY258),IF(H258="Physical uplift","INVALID – before uplift window (cannot confirm loading)","INVALID – before valid window"),IF(AG258&gt;Flights!$AA$11,"INVALID – completed after departure (cannot establish readiness)",IF(AND(H258="Preparation",AG258&gt;=IF(ISNUMBER(Flights!$BA$11),MIN(Flights!$BA$11,Flights!$AA$11),Flights!$AA$11)),"INVALID – completed after loading / departure (cannot establish readiness)",IF(AND(H258="Physical uplift",AG258&gt;Q258),"INVALID – recorded after the loading flight departed",IF(AG258&gt;Q258,"COMPLETE – LATE","COMPLETE"))))))))))))))))))))))))))),IF(TRIM(U258)="Fail","FAIL – DISCREPANCY",IF(AND(TRIM(U258)&lt;&gt;"",TRIM(U258)&lt;&gt;"Not started",TRIM(U258)&lt;&gt;"In progress"),"INVALID – unrecognised status (use the list)",IF(AsOfUTC&gt;Q258,"OVERDUE",IF(N258="Clarification required","OPEN – CLARIFICATION","OPEN"))))))),"INVALID – error value in an input cell")</f>
        <v>OPEN</v>
      </c>
      <c r="AI258" s="61" t="n">
        <f aca="false">IF(OR(AH258="N/A – RULE",AH258="N/A – JUSTIFIED"),0,1)</f>
        <v>1</v>
      </c>
      <c r="AJ258" s="61" t="n">
        <f aca="false">IF(LEFT(AH258,8)="COMPLETE",1,0)</f>
        <v>0</v>
      </c>
      <c r="AK258" s="61" t="n">
        <f aca="false">IF(AND(AI258=1,AJ258=0,AsOfUTC&gt;Q258),1,0)</f>
        <v>0</v>
      </c>
      <c r="AL258" s="61" t="n">
        <f aca="false">IFERROR(IF(AND(AI258=1,OR(TRIM(U258)="Fail",AND(TRIM(AB258)&lt;&gt;"",TRIM(AB258)&lt;&gt;"Closed"),AND(ISNUMBER(AF258),AF258&lt;&gt;0,TRIM(U258)&lt;&gt;"Pass after CA"))),1,0),1)</f>
        <v>0</v>
      </c>
      <c r="AM258" s="61" t="n">
        <f aca="false">IF(LEFT(AH258,7)="INVALID",1,0)</f>
        <v>0</v>
      </c>
      <c r="AN258" s="61" t="n">
        <f aca="false">IF(AND(N258="Clarification required",AI258=1,AJ258=0),1,0)</f>
        <v>0</v>
      </c>
      <c r="AO258" s="61" t="str">
        <f aca="false">IF(AK258=1,SUM(AK$5:AK258),"")</f>
        <v/>
      </c>
      <c r="AP258" s="61" t="str">
        <f aca="false">IF(AL258=1,SUM(AL$5:AL258),"")</f>
        <v/>
      </c>
      <c r="AQ258" s="61" t="n">
        <v>0</v>
      </c>
      <c r="AR258" s="61" t="n">
        <v>0</v>
      </c>
      <c r="AS258" s="61" t="n">
        <v>0</v>
      </c>
      <c r="AT258" s="61" t="n">
        <v>0</v>
      </c>
      <c r="AU258" s="61" t="str">
        <f aca="false">SUBSTITUTE(SUBSTITUTE(SUBSTITUTE(SUBSTITUTE(SUBSTITUTE(SUBSTITUTE(SUBSTITUTE(SUBSTITUTE(SUBSTITUTE(SUBSTITUTE(SUBSTITUTE(SUBSTITUTE(SUBSTITUTE(SUBSTITUTE(SUBSTITUTE(SUBSTITUTE(LOWER(T258&amp;""),CHAR(10),""),CHAR(13),""),CHAR(9),""),CHAR(160),"")," ",""),".",""),"-",""),"/",""),"?",""),"_",""),",",""),"[",""),"]",""),"(",""),")",""),"*","")</f>
        <v/>
      </c>
      <c r="AV258" s="61" t="str">
        <f aca="false">SUBSTITUTE(SUBSTITUTE(SUBSTITUTE(SUBSTITUTE(SUBSTITUTE(SUBSTITUTE(SUBSTITUTE(SUBSTITUTE(SUBSTITUTE(SUBSTITUTE(SUBSTITUTE(SUBSTITUTE(SUBSTITUTE(SUBSTITUTE(SUBSTITUTE(SUBSTITUTE(LOWER(V258&amp;""),CHAR(10),""),CHAR(13),""),CHAR(9),""),CHAR(160),"")," ",""),".",""),"-",""),"/",""),"?",""),"_",""),",",""),"[",""),"]",""),"(",""),")",""),"*","")</f>
        <v/>
      </c>
      <c r="AW258" s="61" t="str">
        <f aca="false">SUBSTITUTE(SUBSTITUTE(SUBSTITUTE(SUBSTITUTE(SUBSTITUTE(SUBSTITUTE(SUBSTITUTE(SUBSTITUTE(SUBSTITUTE(SUBSTITUTE(SUBSTITUTE(SUBSTITUTE(SUBSTITUTE(SUBSTITUTE(SUBSTITUTE(SUBSTITUTE(LOWER(Z258&amp;""),CHAR(10),""),CHAR(13),""),CHAR(9),""),CHAR(160),"")," ",""),".",""),"-",""),"/",""),"?",""),"_",""),",",""),"[",""),"]",""),"(",""),")",""),"*","")</f>
        <v/>
      </c>
      <c r="AX258" s="61" t="str">
        <f aca="false">SUBSTITUTE(SUBSTITUTE(SUBSTITUTE(SUBSTITUTE(SUBSTITUTE(SUBSTITUTE(SUBSTITUTE(SUBSTITUTE(SUBSTITUTE(SUBSTITUTE(SUBSTITUTE(SUBSTITUTE(SUBSTITUTE(SUBSTITUTE(SUBSTITUTE(SUBSTITUTE(LOWER(AE258&amp;""),CHAR(10),""),CHAR(13),""),CHAR(9),""),CHAR(160),"")," ",""),".",""),"-",""),"/",""),"?",""),"_",""),",",""),"[",""),"]",""),"(",""),")",""),"*","")</f>
        <v/>
      </c>
      <c r="AY258" s="61" t="str">
        <f aca="false">SUBSTITUTE(SUBSTITUTE(SUBSTITUTE(SUBSTITUTE(SUBSTITUTE(SUBSTITUTE(SUBSTITUTE(SUBSTITUTE(SUBSTITUTE(SUBSTITUTE(SUBSTITUTE(SUBSTITUTE(SUBSTITUTE(SUBSTITUTE(SUBSTITUTE(SUBSTITUTE(LOWER(W258&amp;""),CHAR(10),""),CHAR(13),""),CHAR(9),""),CHAR(160),"")," ",""),".",""),"-",""),"/",""),"?",""),"_",""),",",""),"[",""),"]",""),"(",""),")",""),"*","")</f>
        <v/>
      </c>
      <c r="AZ258" s="61" t="str">
        <f aca="false">SUBSTITUTE(SUBSTITUTE(SUBSTITUTE(SUBSTITUTE(SUBSTITUTE(SUBSTITUTE(SUBSTITUTE(SUBSTITUTE(SUBSTITUTE(SUBSTITUTE(SUBSTITUTE(SUBSTITUTE(SUBSTITUTE(SUBSTITUTE(SUBSTITUTE(SUBSTITUTE(LOWER(AC258&amp;""),CHAR(10),""),CHAR(13),""),CHAR(9),""),CHAR(160),"")," ",""),".",""),"-",""),"/",""),"?",""),"_",""),",",""),"[",""),"]",""),"(",""),")",""),"*","")</f>
        <v/>
      </c>
      <c r="BA258" s="61" t="str">
        <f aca="false">SUBSTITUTE(SUBSTITUTE(SUBSTITUTE(SUBSTITUTE(SUBSTITUTE(SUBSTITUTE(SUBSTITUTE(SUBSTITUTE(SUBSTITUTE(SUBSTITUTE(SUBSTITUTE(SUBSTITUTE(SUBSTITUTE(SUBSTITUTE(SUBSTITUTE(SUBSTITUTE(LOWER(AA258&amp;""),CHAR(10),""),CHAR(13),""),CHAR(9),""),CHAR(160),"")," ",""),".",""),"-",""),"/",""),"?",""),"_",""),",",""),"[",""),"]",""),"(",""),")",""),"*","")</f>
        <v/>
      </c>
      <c r="BB258" s="61" t="str">
        <f aca="false">IF(AND(TRIM(U258)="Pass",ISNUMBER(AF258)),IF(AF258&lt;&gt;0,"INVALID – qty variance: use Fail or Pass after CA",""),"")&amp;IF(AND(TRIM(U258)="Pass after CA",ISNUMBER(AF258)),IF(AF258&lt;&gt;0,"INVALID – after the corrective action the actual qty must equal expected (update Actual)",""),"")&amp;IF(AND(TRIM(U258)="Pass",TRIM(AB258)&lt;&gt;"",TRIM(AB258)&lt;&gt;"Closed"),"INVALID – corrective action not closed: use Fail, then Pass after CA","")&amp;IF(AND(LEN(BA258)&gt;=2,ISNA(MATCH(LEFT(BA258,255),L_Placeholder,0)),TRIM(AB258)=""),"INVALID – CA status missing for the recorded corrective action","")&amp;IF(AND(TRIM(U258)="Pass after CA",OR(OR(LEN(BA258)&lt;5,ISNUMBER(MATCH(BA258,L_Placeholder,0))),TRIM(AB258)&lt;&gt;"Closed")),"INVALID – corrective action not recorded/closed","")</f>
        <v/>
      </c>
      <c r="BC258" s="61" t="str">
        <f aca="false">" "&amp;TRIM(SUBSTITUTE(SUBSTITUTE(SUBSTITUTE(SUBSTITUTE(SUBSTITUTE(SUBSTITUTE(SUBSTITUTE(SUBSTITUTE(SUBSTITUTE(SUBSTITUTE(SUBSTITUTE(SUBSTITUTE(SUBSTITUTE(SUBSTITUTE(SUBSTITUTE(SUBSTITUTE(SUBSTITUTE(SUBSTITUTE(SUBSTITUTE(SUBSTITUTE(SUBSTITUTE(SUBSTITUTE(SUBSTITUTE(SUBSTITUTE(LOWER(V258&amp;""),CHAR(10)," "),CHAR(13)," "),CHAR(9)," "),CHAR(160)," "),"."," "),","," "),"-"," "),"/"," "),"("," "),")"," "),":"," "),";"," "),"_"," "),"–"," "),"?"," "),"!"," "),"*"," "),"["," "),"]"," "),"'"," "),"#"," "),"+"," "),"&amp;"," "),"\"," "))&amp;" "</f>
        <v>  </v>
      </c>
      <c r="BD258" s="61" t="str">
        <f aca="false">" "&amp;TRIM(SUBSTITUTE(SUBSTITUTE(SUBSTITUTE(SUBSTITUTE(SUBSTITUTE(SUBSTITUTE(SUBSTITUTE(SUBSTITUTE(SUBSTITUTE(SUBSTITUTE(SUBSTITUTE(SUBSTITUTE(SUBSTITUTE(SUBSTITUTE(SUBSTITUTE(SUBSTITUTE(SUBSTITUTE(SUBSTITUTE(SUBSTITUTE(SUBSTITUTE(SUBSTITUTE(SUBSTITUTE(SUBSTITUTE(SUBSTITUTE(LOWER(Z258&amp;""),CHAR(10)," "),CHAR(13)," "),CHAR(9)," "),CHAR(160)," "),"."," "),","," "),"-"," "),"/"," "),"("," "),")"," "),":"," "),";"," "),"_"," "),"–"," "),"?"," "),"!"," "),"*"," "),"["," "),"]"," "),"'"," "),"#"," "),"+"," "),"&amp;"," "),"\"," "))&amp;" "</f>
        <v>  </v>
      </c>
      <c r="BE258" s="61" t="str">
        <f aca="false">" "&amp;TRIM(SUBSTITUTE(SUBSTITUTE(SUBSTITUTE(SUBSTITUTE(SUBSTITUTE(SUBSTITUTE(SUBSTITUTE(SUBSTITUTE(SUBSTITUTE(SUBSTITUTE(SUBSTITUTE(SUBSTITUTE(SUBSTITUTE(SUBSTITUTE(SUBSTITUTE(SUBSTITUTE(SUBSTITUTE(SUBSTITUTE(SUBSTITUTE(SUBSTITUTE(SUBSTITUTE(SUBSTITUTE(SUBSTITUTE(SUBSTITUTE(LOWER(W258&amp;""),CHAR(10)," "),CHAR(13)," "),CHAR(9)," "),CHAR(160)," "),"."," "),","," "),"-"," "),"/"," "),"("," "),")"," "),":"," "),";"," "),"_"," "),"–"," "),"?"," "),"!"," "),"*"," "),"["," "),"]"," "),"'"," "),"#"," "),"+"," "),"&amp;"," "),"\"," "))&amp;" "</f>
        <v>  </v>
      </c>
      <c r="BF258" s="61" t="str">
        <f aca="false">" "&amp;TRIM(SUBSTITUTE(SUBSTITUTE(SUBSTITUTE(SUBSTITUTE(SUBSTITUTE(SUBSTITUTE(SUBSTITUTE(SUBSTITUTE(SUBSTITUTE(SUBSTITUTE(SUBSTITUTE(SUBSTITUTE(SUBSTITUTE(SUBSTITUTE(SUBSTITUTE(SUBSTITUTE(SUBSTITUTE(SUBSTITUTE(SUBSTITUTE(SUBSTITUTE(SUBSTITUTE(SUBSTITUTE(SUBSTITUTE(SUBSTITUTE(LOWER(AC258&amp;""),CHAR(10)," "),CHAR(13)," "),CHAR(9)," "),CHAR(160)," "),"."," "),","," "),"-"," "),"/"," "),"("," "),")"," "),":"," "),";"," "),"_"," "),"–"," "),"?"," "),"!"," "),"*"," "),"["," "),"]"," "),"'"," "),"#"," "),"+"," "),"&amp;"," "),"\"," "))&amp;" "</f>
        <v>  </v>
      </c>
      <c r="BG258" s="61" t="n">
        <f aca="false">IFERROR(IF(AND(TRIM(U258)="Pass",SUMPRODUCT((LEN(BC258)-LEN(SUBSTITUTE(BC258," "&amp;L_ResultBad&amp;" "," ")))/(LEN(L_ResultBad)+1))&gt;SUMPRODUCT((LEN(BC258)-LEN(SUBSTITUTE(BC258," "&amp;L_NegPhrase&amp;" "," ")))/(LEN(L_NegPhrase)+1))),1,0),0)</f>
        <v>0</v>
      </c>
      <c r="BH258" s="61" t="n">
        <f aca="false">IFERROR(IF(SUMPRODUCT((LEN(BC258)-LEN(SUBSTITUTE(BC258," "&amp;L_Pending&amp;" "," ")))/(LEN(L_Pending)+1))&gt;SUMPRODUCT((LEN(BC258)-LEN(SUBSTITUTE(BC258," "&amp;L_PendNeg&amp;" "," ")))/(LEN(L_PendNeg)+1)),1,0),1)</f>
        <v>0</v>
      </c>
      <c r="BI258" s="61" t="n">
        <f aca="false">IFERROR(IF(SUMPRODUCT((LEN(BD258)-LEN(SUBSTITUTE(BD258," "&amp;L_PendStrict&amp;" "," ")))/(LEN(L_PendStrict)+1))&gt;SUMPRODUCT((LEN(BD258)-LEN(SUBSTITUTE(BD258," "&amp;L_PendNeg&amp;" "," ")))/(LEN(L_PendNeg)+1)),1,0),1)</f>
        <v>0</v>
      </c>
      <c r="BJ258" s="61" t="n">
        <f aca="false">IFERROR(IF(SUMPRODUCT((LEN(BE258)-LEN(SUBSTITUTE(BE258," "&amp;L_Pending&amp;" "," ")))/(LEN(L_Pending)+1))&gt;SUMPRODUCT((LEN(BE258)-LEN(SUBSTITUTE(BE258," "&amp;L_PendNeg&amp;" "," ")))/(LEN(L_PendNeg)+1)),1,0),1)</f>
        <v>0</v>
      </c>
      <c r="BK258" s="61" t="n">
        <f aca="false">IFERROR(IF(SUMPRODUCT((LEN(BF258)-LEN(SUBSTITUTE(BF258," "&amp;L_PendStrict&amp;" "," ")))/(LEN(L_PendStrict)+1))&gt;SUMPRODUCT((LEN(BF258)-LEN(SUBSTITUTE(BF258," "&amp;L_PendNeg&amp;" "," ")))/(LEN(L_PendNeg)+1)),1,0),1)</f>
        <v>0</v>
      </c>
      <c r="BL258" s="61" t="n">
        <f aca="false">IF(ISNA(MATCH(TRIM(S258),L_EvidenceType,0)),0,BZ258)</f>
        <v>0</v>
      </c>
      <c r="BM258" s="61" t="str">
        <f aca="false">SUBSTITUTE(SUBSTITUTE(SUBSTITUTE(SUBSTITUTE(SUBSTITUTE(SUBSTITUTE(SUBSTITUTE(SUBSTITUTE(SUBSTITUTE(LOWER(Z258&amp;""),"1","0"),"2","0"),"3","0"),"4","0"),"5","0"),"6","0"),"7","0"),"8","0"),"9","0")</f>
        <v/>
      </c>
      <c r="BN258" s="61" t="str">
        <f aca="false">SUBSTITUTE(SUBSTITUTE(SUBSTITUTE(SUBSTITUTE(SUBSTITUTE(SUBSTITUTE(SUBSTITUTE(SUBSTITUTE(SUBSTITUTE(SUBSTITUTE(SUBSTITUTE(SUBSTITUTE(SUBSTITUTE(SUBSTITUTE(SUBSTITUTE(SUBSTITUTE(SUBSTITUTE(SUBSTITUTE(SUBSTITUTE(SUBSTITUTE(SUBSTITUTE(SUBSTITUTE(SUBSTITUTE(SUBSTITUTE(SUBSTITUTE(BM258,"b","a"),"c","a"),"d","a"),"e","a"),"f","a"),"g","a"),"h","a"),"i","a"),"j","a"),"k","a"),"l","a"),"m","a"),"n","a"),"o","a"),"p","a"),"q","a"),"r","a"),"s","a"),"t","a"),"u","a"),"v","a"),"w","a"),"x","a"),"y","a"),"z","a")</f>
        <v/>
      </c>
      <c r="BO258" s="61" t="str">
        <f aca="false">SUBSTITUTE(SUBSTITUTE(SUBSTITUTE(SUBSTITUTE(SUBSTITUTE(SUBSTITUTE(SUBSTITUTE(SUBSTITUTE(SUBSTITUTE(LOWER(W258&amp;""),"1","0"),"2","0"),"3","0"),"4","0"),"5","0"),"6","0"),"7","0"),"8","0"),"9","0")</f>
        <v/>
      </c>
      <c r="BP258" s="61" t="str">
        <f aca="false">SUBSTITUTE(SUBSTITUTE(SUBSTITUTE(SUBSTITUTE(SUBSTITUTE(SUBSTITUTE(SUBSTITUTE(SUBSTITUTE(SUBSTITUTE(SUBSTITUTE(SUBSTITUTE(SUBSTITUTE(SUBSTITUTE(SUBSTITUTE(SUBSTITUTE(SUBSTITUTE(SUBSTITUTE(SUBSTITUTE(SUBSTITUTE(SUBSTITUTE(SUBSTITUTE(SUBSTITUTE(SUBSTITUTE(SUBSTITUTE(SUBSTITUTE(BO258,"b","a"),"c","a"),"d","a"),"e","a"),"f","a"),"g","a"),"h","a"),"i","a"),"j","a"),"k","a"),"l","a"),"m","a"),"n","a"),"o","a"),"p","a"),"q","a"),"r","a"),"s","a"),"t","a"),"u","a"),"v","a"),"w","a"),"x","a"),"y","a"),"z","a")</f>
        <v/>
      </c>
      <c r="BQ258" s="61" t="n">
        <f aca="false">IFERROR(IF(AND(ISERROR(SEARCH(" mh"," "&amp;LOWER(W258))),ISNA(MATCH(LEFT(TRIM(BP258),255),{"0000a","000a","00a","0000aa","000aa","00aa","0aa","0000aaa","000aaa","00a00","0a00","0000-0000","00:00","a00","a0","00.00.0000","00/00/0000","00-00-0000","0000-00-00","0000/00/00","0000.00.00","00.00.00","00/00/00","00-00-00","0.00.0000","0/00/0000","0-00-0000"},0)),ISNA(MATCH(LEFT(TRIM(CA258),255),{"0000a","000a","00a","0000aa","000aa","00aa","0aa","0000aaa","000aaa","00a00","0a00","0000-0000","00:00","a00","a0","00.00.0000","00/00/0000","00-00-0000","0000-00-00","0000/00/00","0000.00.00","00.00.00","00/00/00","00-00-00","0.00.0000","0/00/0000","0-00-0000"},0)),LEN(CB258)&gt;=3,NOT(OR(SUBSTITUTE(CB258,"0","")="",AND(LEN(CB258)&gt;=4,CB258=REPT(LEFT(CB258),LEN(CB258))),ISNUMBER(MATCH(CB258,{"123","1234","12345","123456","1234567","12345678","0123","01234","012345","98765","987654","54321"},0)),AND(LEN(CB258)=8,LEFT(CB258,3)="202"))),OR(AND((LEN(CA258)-LEN(SUBSTITUTE(CA258,"a","")))&gt;=1,SUMPRODUCT(--ISNUMBER(SEARCH({"a0","a-0","a_0","a/0","a.0","a#0","0a","0-a","0_a","0/a"},BP258)))&gt;0),ISNUMBER(SEARCH("000000",BP258)))),1,0),0)</f>
        <v>0</v>
      </c>
      <c r="BR258" s="61" t="n">
        <f aca="false">IFERROR(LEN(SUBSTITUTE(CC258," ",""))-SUMPRODUCT((LEN(CC258)-LEN(SUBSTITUTE(CC258," "&amp;L_Role&amp;" "," ")))/(LEN(L_Role)+1)*LEN(L_Role)),0)</f>
        <v>0</v>
      </c>
      <c r="BS258" s="61" t="n">
        <f aca="false">IFERROR(LEN(SUBSTITUTE(CD258," ",""))-SUMPRODUCT((LEN(CD258)-LEN(SUBSTITUTE(CD258," "&amp;L_Role&amp;" "," ")))/(LEN(L_Role)+1)*LEN(L_Role)),0)</f>
        <v>0</v>
      </c>
      <c r="BT2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258,"revision",""),"version",""),"jan",""),"feb",""),"mar",""),"apr",""),"may",""),"jun",""),"jul",""),"aug",""),"sep",""),"oct",""),"nov",""),"dec",""),"utc",""),"gmt",""),"myt",""),"bst",""),"rev",""),"ver",""),"b","a"),"c","a"),"d","a"),"e","a"),"f","a"),"g","a"),"h","a"),"i","a"),"j","a"),"k","a"),"l","a"),"m","a"),"n","a"),"o","a"),"p","a"),"q","a"),"r","a"),"s","a"),"t","a"),"u","a"),"v","a"),"w","a"),"x","a"),"y","a"),"z","a")</f>
        <v/>
      </c>
      <c r="BU258" s="61" t="str">
        <f aca="false">SUBSTITUTE(SUBSTITUTE(SUBSTITUTE(SUBSTITUTE(SUBSTITUTE(SUBSTITUTE(SUBSTITUTE(SUBSTITUTE(SUBSTITUTE(SUBSTITUTE(LEFT(BM258,FIND("0",BM258&amp;"0")-1),"-",""),"_",""),"/",""),".",""),"#",""),"\\",""),":","")," ",""),"(",""),")","")</f>
        <v/>
      </c>
      <c r="BV258" s="61" t="n">
        <f aca="false">IFERROR(IF(OR(SUMPRODUCT((LEN(BC258)-LEN(SUBSTITUTE(BC258," "&amp;L_NotLoaded&amp;" "," ")))/(LEN(L_NotLoaded)+1))&gt;SUMPRODUCT((LEN(BC258)-LEN(SUBSTITUTE(BC258," "&amp;L_NotLoadedNeg&amp;" "," ")))/(LEN(L_NotLoadedNeg)+1)),SUMPRODUCT((LEN(BD258)-LEN(SUBSTITUTE(BD258," "&amp;L_NotLoaded&amp;" "," ")))/(LEN(L_NotLoaded)+1))&gt;SUMPRODUCT((LEN(BD258)-LEN(SUBSTITUTE(BD258," "&amp;L_NotLoadedNeg&amp;" "," ")))/(LEN(L_NotLoadedNeg)+1))),1,0),0)</f>
        <v>0</v>
      </c>
      <c r="BW2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258&amp;""),"a",""),"b",""),"c",""),"d",""),"e",""),"f",""),"g",""),"h",""),"i",""),"j",""),"k",""),"l",""),"m",""),"n",""),"o",""),"p",""),"q",""),"r",""),"s",""),"t",""),"u",""),"v",""),"w",""),"x",""),"y",""),"z",""),"-",""),"_",""),"/",""),".",""),"#",""),"\\",""),":","")," ",""),"(",""),")","")</f>
        <v/>
      </c>
      <c r="BX258" s="61" t="str">
        <f aca="false">SUBSTITUTE(SUBSTITUTE(SUBSTITUTE(SUBSTITUTE(SUBSTITUTE(SUBSTITUTE(SUBSTITUTE(SUBSTITUTE(SUBSTITUTE(SUBSTITUTE(SUBSTITUTE(BM258,"0",""),"-",""),"_",""),"/",""),".",""),"#",""),"\\",""),":","")," ",""),"(",""),")","")</f>
        <v/>
      </c>
      <c r="BY258" s="62" t="n">
        <f aca="false">IF(ISNUMBER(Flights!$AZ$11),MAX(Q258-UpliftWindowH/24,Flights!$AZ$11),Q258-UpliftWindowH/24)</f>
        <v>46304.4166666667</v>
      </c>
      <c r="BZ258" s="61" t="n">
        <f aca="false">IFERROR(IF(IF(TRIM(S258)="Link / file path",AND(LEN(TRIM(Z258))&gt;=5,SUMPRODUCT(--ISNUMBER(SEARCH({"http","www.","\\",":\",".pdf",".jpg",".jpeg",".png",".heic",".xls",".doc",".msg",".eml",".ppt",".txt",".zip"},Z258)))&gt;0),AND(ISERROR(FIND(" ",TRIM(Z258))),NOT(OR(SUMPRODUCT(--ISNUMBER(FIND({",",";","&amp;","+"},Z258)))&gt;0,SUMPRODUCT(--ISNUMBER(SEARCH({"0/aa","0\\aa"},BN258)))&gt;0)),NOT(SUMPRODUCT(--ISNUMBER(SEARCH({"http","www.","\\",":\",".pdf",".jpg",".jpeg",".png",".heic",".xls",".doc",".msg",".eml",".ppt",".txt",".zip"},Z258)))&gt;0),NOT(LOWER(TRIM(Z258))=LOWER(Flights!$F$11)),ISNA(MATCH(BU258,{"mh","rev","revision","ver","version","v","r","a","b","seat","tray","row","gate","bay","stand","page","pg","item","line","no","cart","galley","flight","flt","table","box","bag","oven","etd","eta","std","sta","atd","ata","qty","pax","x","time","tel","ph","mob","day","wk","week","utc","gmt","myt","lt"},0)),NOT(OR(ISNUMBER(MATCH(LEFT(BN258,255),{"0000a","000a","00a","0000aa","000aa","00aa","0aa","0000aaa","000aaa","00a00","0a00","0000-0000","00:00","a00","a0","00.00.0000","00/00/0000","00-00-0000","0000-00-00","0000/00/00","0000.00.00","00.00.00","00/00/00","00-00-00","0.00.0000","0/00/0000","0-00-0000"},0)),ISNUMBER(MATCH(LEFT(BT258,255),{"0000a","000a","00a","0000aa","000aa","00aa","0aa","0000aaa","000aaa","00a00","0a00","0000-0000","00:00","a00","a0","00.00.0000","00/00/0000","00-00-0000","0000-00-00","0000/00/00","0000.00.00","00.00.00","00/00/00","00-00-00","0.00.0000","0/00/0000","0-00-0000"},0)))),NOT(OR(AND(BW258&lt;&gt;"",SUBSTITUTE(BW258,"0","")=""),AND(LEN(BW258)&gt;=4,BW258=REPT(LEFT(BW258),LEN(BW258))),ISNUMBER(MATCH(BW258,{"123","1234","12345","123456","1234567","12345678","0123","01234","012345","98765","987654","54321"},0)),ISNUMBER(MATCH(BX258,{"x","xx","xxx","xxxx","xxxxx","abc","abcd","nil","na","nan","test","tbc","tba","tbd","dummy","sample","example","eg","zz","zzz","none","null","xyz","qwe","asd","id","ref"},0)),AND(LEN(BW258)=8,BX258="",OR(LEFT(BW258,3)="202",ISNUMBER(MATCH(RIGHT(BW258,4),{"2025","2026","2027"},0)))))),OR(AND((LEN(BT258)-LEN(SUBSTITUTE(BT258,"a","")))&gt;=1,(LEN(BN258)-LEN(SUBSTITUTE(BN258,"0","")))&gt;=2,SUMPRODUCT(--ISNUMBER(SEARCH({"a0","a-0","a_0","a/0","a.0","a#0","0a","0-a","0_a","0/a"},BN258)))&gt;0),AND((LEN(BN258)-LEN(SUBSTITUTE(BN258,"a","")))=0,(LEN(BN258)-LEN(SUBSTITUTE(BN258,"0","")))&gt;=5)))),1,0),0)</f>
        <v>0</v>
      </c>
      <c r="CA2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258,"revision",""),"version",""),"jan",""),"feb",""),"mar",""),"apr",""),"may",""),"jun",""),"jul",""),"aug",""),"sep",""),"oct",""),"nov",""),"dec",""),"utc",""),"gmt",""),"myt",""),"bst",""),"rev",""),"ver",""),"b","a"),"c","a"),"d","a"),"e","a"),"f","a"),"g","a"),"h","a"),"i","a"),"j","a"),"k","a"),"l","a"),"m","a"),"n","a"),"o","a"),"p","a"),"q","a"),"r","a"),"s","a"),"t","a"),"u","a"),"v","a"),"w","a"),"x","a"),"y","a"),"z","a")</f>
        <v/>
      </c>
      <c r="CB2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258&amp;""),"a",""),"b",""),"c",""),"d",""),"e",""),"f",""),"g",""),"h",""),"i",""),"j",""),"k",""),"l",""),"m",""),"n",""),"o",""),"p",""),"q",""),"r",""),"s",""),"t",""),"u",""),"v",""),"w",""),"x",""),"y",""),"z",""),"-",""),"_",""),"/",""),".",""),"#",""),"\\",""),":","")," ",""),"(",""),")","")</f>
        <v/>
      </c>
      <c r="CC258" s="0" t="str">
        <f aca="false">" "&amp;TRIM(SUBSTITUTE(SUBSTITUTE(SUBSTITUTE(SUBSTITUTE(SUBSTITUTE(SUBSTITUTE(SUBSTITUTE(SUBSTITUTE(SUBSTITUTE(SUBSTITUTE(SUBSTITUTE(SUBSTITUTE(SUBSTITUTE(SUBSTITUTE(SUBSTITUTE(SUBSTITUTE(SUBSTITUTE(SUBSTITUTE(SUBSTITUTE(SUBSTITUTE(SUBSTITUTE(SUBSTITUTE(SUBSTITUTE(SUBSTITUTE(LOWER(T258&amp;""),CHAR(10)," "),CHAR(13)," "),CHAR(9)," "),CHAR(160)," "),"."," "),","," "),"-"," "),"/"," "),"("," "),")"," "),":"," "),";"," "),"_"," "),"–"," "),"?"," "),"!"," "),"*"," "),"["," "),"]"," "),"'"," "),"#"," "),"+"," "),"&amp;"," "),"\"," "))&amp;" "</f>
        <v>  </v>
      </c>
      <c r="CD258" s="0" t="str">
        <f aca="false">" "&amp;TRIM(SUBSTITUTE(SUBSTITUTE(SUBSTITUTE(SUBSTITUTE(SUBSTITUTE(SUBSTITUTE(SUBSTITUTE(SUBSTITUTE(SUBSTITUTE(SUBSTITUTE(SUBSTITUTE(SUBSTITUTE(SUBSTITUTE(SUBSTITUTE(SUBSTITUTE(SUBSTITUTE(SUBSTITUTE(SUBSTITUTE(SUBSTITUTE(SUBSTITUTE(SUBSTITUTE(SUBSTITUTE(SUBSTITUTE(SUBSTITUTE(LOWER(AE258&amp;""),CHAR(10)," "),CHAR(13)," "),CHAR(9)," "),CHAR(160)," "),"."," "),","," "),"-"," "),"/"," "),"("," "),")"," "),":"," "),";"," "),"_"," "),"–"," "),"?"," "),"!"," "),"*"," "),"["," "),"]"," "),"'"," "),"#"," "),"+"," "),"&amp;"," "),"\"," "))&amp;" "</f>
        <v>  </v>
      </c>
      <c r="CE258" s="68" t="n">
        <f aca="false">IFERROR(IF(AND(LEN(AU258)&gt;0,LEN(AU258)=LEN(AX258),OR(TRIM(MID(SUBSTITUTE(TRIM(CC258)," ",REPT(" ",60)),1,60))="",ISNUMBER(SEARCH(" "&amp;TRIM(MID(SUBSTITUTE(TRIM(CC258)," ",REPT(" ",60)),1,60))&amp;" ",CD258))),OR(TRIM(MID(SUBSTITUTE(TRIM(CC258)," ",REPT(" ",60)),61,60))="",ISNUMBER(SEARCH(" "&amp;TRIM(MID(SUBSTITUTE(TRIM(CC258)," ",REPT(" ",60)),61,60))&amp;" ",CD258))),OR(TRIM(MID(SUBSTITUTE(TRIM(CC258)," ",REPT(" ",60)),121,60))="",ISNUMBER(SEARCH(" "&amp;TRIM(MID(SUBSTITUTE(TRIM(CC258)," ",REPT(" ",60)),121,60))&amp;" ",CD258)))),1,0),0)</f>
        <v>0</v>
      </c>
      <c r="CG258" s="68" t="n">
        <f aca="false">IFERROR(LEN(SUBSTITUTE(BF258," ",""))-SUMPRODUCT((LEN(BF258)-LEN(SUBSTITUTE(BF258," "&amp;L_NAFiller&amp;" "," ")))/(LEN(L_NAFiller)+1)*LEN(L_NAFiller)),0)</f>
        <v>0</v>
      </c>
    </row>
    <row r="259" customFormat="false" ht="39.75" hidden="false" customHeight="true" outlineLevel="0" collapsed="false">
      <c r="A259" s="57" t="s">
        <v>830</v>
      </c>
      <c r="B259" s="57" t="s">
        <v>235</v>
      </c>
      <c r="C259" s="57" t="str">
        <f aca="false">Flights!$F$11</f>
        <v>MH0003</v>
      </c>
      <c r="D259" s="58" t="n">
        <f aca="false">Flights!$D$11</f>
        <v>46304</v>
      </c>
      <c r="E259" s="57" t="str">
        <f aca="false">Flights!$G$11&amp;"-"&amp;Flights!$H$11</f>
        <v>LHR-KUL</v>
      </c>
      <c r="F259" s="57" t="str">
        <f aca="false">Flights!$K$11</f>
        <v>BC</v>
      </c>
      <c r="G259" s="57" t="s">
        <v>459</v>
      </c>
      <c r="H259" s="57" t="s">
        <v>460</v>
      </c>
      <c r="I259" s="57" t="s">
        <v>447</v>
      </c>
      <c r="J259" s="57" t="s">
        <v>653</v>
      </c>
      <c r="K259" s="67" t="s">
        <v>449</v>
      </c>
      <c r="L259" s="67" t="s">
        <v>752</v>
      </c>
      <c r="M259" s="67" t="s">
        <v>451</v>
      </c>
      <c r="N259" s="67" t="s">
        <v>383</v>
      </c>
      <c r="O259" s="67"/>
      <c r="P259" s="57" t="s">
        <v>186</v>
      </c>
      <c r="Q259" s="59" t="n">
        <f aca="false">ROUND((Flights!$AF$11)*1440,0)/1440</f>
        <v>46304.4166666667</v>
      </c>
      <c r="R259" s="59" t="n">
        <f aca="false">Q259+(IF(AND(INDEX(TZ_DSTS,MATCH(P259,TZ_STN,0))&lt;&gt;"",Q259&gt;=INDEX(TZ_DSTS,MATCH(P259,TZ_STN,0)),Q259&lt;INDEX(TZ_DSTE,MATCH(P259,TZ_STN,0))),INDEX(TZ_DST,MATCH(P259,TZ_STN,0)),INDEX(TZ_STD,MATCH(P259,TZ_STN,0))))/24</f>
        <v>46304.4583333333</v>
      </c>
      <c r="S259" s="60"/>
      <c r="T259" s="60"/>
      <c r="U259" s="60"/>
      <c r="V259" s="60"/>
      <c r="W259" s="61"/>
      <c r="X259" s="60"/>
      <c r="Y259" s="60"/>
      <c r="Z259" s="60"/>
      <c r="AA259" s="60"/>
      <c r="AB259" s="60"/>
      <c r="AC259" s="60"/>
      <c r="AD259" s="66"/>
      <c r="AE259" s="60"/>
      <c r="AF259" s="61" t="str">
        <f aca="false">IF(AND(ISNUMBER(X259),ISNUMBER(Y259)),Y259-X259,"")</f>
        <v/>
      </c>
      <c r="AG259" s="62" t="str">
        <f aca="false">IF(ISNUMBER(AD259),AD259-(IF(AND(INDEX(TZ_DSTS,MATCH(P259,TZ_STN,0))&lt;&gt;"",(AD259-INDEX(TZ_STD,MATCH(P259,TZ_STN,0))/24)&gt;=INDEX(TZ_DSTS,MATCH(P259,TZ_STN,0)),(AD259-INDEX(TZ_STD,MATCH(P259,TZ_STN,0))/24)&lt;INDEX(TZ_DSTE,MATCH(P259,TZ_STN,0))),INDEX(TZ_DST,MATCH(P259,TZ_STN,0)),INDEX(TZ_STD,MATCH(P259,TZ_STN,0))))/24,"")</f>
        <v/>
      </c>
      <c r="AH259" s="65" t="str">
        <f aca="false">IFERROR(IF(N259="N/A – rule",IF(OR(TRIM(U259)="",TRIM(U259)="N/A",TRIM(U259)="Not started"),"N/A – RULE","INVALID – this check does not apply to this aircraft: clear the status (or correct the fleet on Flights)"),IF(TRIM(U259)="N/A",IF(AT259=0,"INVALID – N/A not permitted for this check",IF(AND(TRIM(AB259)&lt;&gt;"",TRIM(AB259)&lt;&gt;"Closed"),"INVALID – corrective action still open",IF(AND(NOT(OR(LEN(AZ259)&lt;15,ISNUMBER(MATCH(AZ259,L_Placeholder,0)))),BK259=0,CG259&gt;=8,NOT(OR(LEN(AU259)&lt;2,ISNUMBER(MATCH(AU259,L_Placeholder,0)))),BR259&gt;=3,NOT(OR(LEN(AX259)&lt;2,ISNUMBER(MATCH(AX259,L_Placeholder,0)))),BS259&gt;=3,TRIM(AE259)&lt;&gt;TRIM(T259),AX259&lt;&gt;AU259,CE259=0),"N/A – JUSTIFIED","INVALID – N/A needs a real, settled reason (not 'not applicable' / 'as above' / TBC), a named PIC and a different named verifier"))),IF(OR(TRIM(U259)="Pass",TRIM(U259)="Pass after CA"),IF(NOT(ISNUMBER(AD259)),"INVALID – completion time missing",IF(OR(OR(LEN(AU259)&lt;2,ISNUMBER(MATCH(AU259,L_Placeholder,0))),BR259&lt;3),"INVALID – PIC missing or not a named person (a role such as QA / CSM is not a name)",IF(OR(LEN(AV259)&lt;2,ISNUMBER(MATCH(AV259,L_Placeholder,0))),"INVALID – result / assessment missing",IF(OR(OR(LEN(AW259)&lt;3,ISNUMBER(MATCH(AW259,L_Placeholder,0))),SUMPRODUCT(--ISNUMBER(SEARCH(" "&amp;L_EvidencePhrase&amp;" ",BD259)))&gt;0,BI259=1),"INVALID – evidence missing, placeholder or not yet on file",IF(ISNA(MATCH(TRIM(S259),L_EvidenceType,0)),"INVALID – choose the evidence type from the list (column S)",IF(BL259=0,"INVALID – evidence ID must be the record's own ID only (e.g. SF-2210, IMG_2231, 1045521); a link / file name needs type 'Link / file path'",IF(OR(OR(LEN(AX259)&lt;2,ISNUMBER(MATCH(AX259,L_Placeholder,0))),BS259&lt;3),"INVALID – verifier missing or not a named person (a role such as QA / CSM is not a name)",IF(OR(AX259=AU259,CE259=1,AND(LEN(AU259)&gt;=4,ISNUMBER(SEARCH(AU259,AX259))),AND(LEN(AX259)&gt;=4,ISNUMBER(SEARCH(AX259,AU259)))),"INVALID – verifier must be a different, named person (not the PIC or a role)",IF(BH259=1,"INVALID – result not yet available (awaiting / TBC)",IF(BG259=1,"INVALID – result describes a problem: record Fail, then Pass after CA (or reword if it is not a problem)",IF(BV259=1,"INVALID – wording says not on board: an on-board confirmation needs the item loaded",IF(AND(AQ259=1,OR(OR(LEN(AY259)&lt;3,ISNUMBER(MATCH(AY259,L_Placeholder,0))),BJ259=1,BQ259=0)),"INVALID – batch ID missing, placeholder or not an ID (e.g. PASB-261008-BC-017)",IF(AND(AR259=1,OR(NOT(ISNUMBER(X259)),NOT(ISNUMBER(Y259)))),"INVALID – expected/actual qty missing",IF(AND(AR259=1,OR(X259&lt;=0,Y259&lt;0)),"INVALID – expected qty must be above 0 and actual not negative",IF(AH242="N/A – JUSTIFIED","INVALID – preparation row F07-T12-19 is N/A",IF(AND(AR259=1,ISNUMBER(X242),X259&lt;&gt;X242,TRIM(U259)&lt;&gt;"Pass after CA"),"INVALID – expected qty differs from preparation check F07-T12-19: record the load change as a corrective action (Pass after CA)",IF(BB259&lt;&gt;"",BB259,IF(AND(AS259=1,Documents!$J$11&lt;&gt;"ON FILE"),"INVALID – GLD not on file (Documents sheet)",IF(AND(AS259=2,Documents!$O$11&lt;&gt;"ON FILE"),"INVALID – menu checklist not on file (Documents sheet)",IF(AND(AS259=3,NOT(ISNUMBER(Flights!$AX$11))),"INVALID – enter carrying flight KUL departure (Flights AX)",IF(AND(AS259=3,OR(Flights!$AZ$11&gt;Flights!$AA$11,Flights!$AX$11&lt;Flights!$AA$11-3)),"INVALID – carrying flight (Flights AX) cannot arrive before this leg's STD, or is over 3 days early",IF(AG259&gt;AsOfUTC,"INVALID – completion time is in the future",IF(AND(ISNUMBER(BY259),AG259&lt;BY259),IF(H259="Physical uplift","INVALID – before uplift window (cannot confirm loading)","INVALID – before valid window"),IF(AG259&gt;Flights!$AA$11,"INVALID – completed after departure (cannot establish readiness)",IF(AND(H259="Preparation",AG259&gt;=IF(ISNUMBER(Flights!$BA$11),MIN(Flights!$BA$11,Flights!$AA$11),Flights!$AA$11)),"INVALID – completed after loading / departure (cannot establish readiness)",IF(AND(H259="Physical uplift",AG259&gt;Q259),"INVALID – recorded after the loading flight departed",IF(AG259&gt;Q259,"COMPLETE – LATE","COMPLETE"))))))))))))))))))))))))))),IF(TRIM(U259)="Fail","FAIL – DISCREPANCY",IF(AND(TRIM(U259)&lt;&gt;"",TRIM(U259)&lt;&gt;"Not started",TRIM(U259)&lt;&gt;"In progress"),"INVALID – unrecognised status (use the list)",IF(AsOfUTC&gt;Q259,"OVERDUE",IF(N259="Clarification required","OPEN – CLARIFICATION","OPEN"))))))),"INVALID – error value in an input cell")</f>
        <v>OPEN</v>
      </c>
      <c r="AI259" s="61" t="n">
        <f aca="false">IF(OR(AH259="N/A – RULE",AH259="N/A – JUSTIFIED"),0,1)</f>
        <v>1</v>
      </c>
      <c r="AJ259" s="61" t="n">
        <f aca="false">IF(LEFT(AH259,8)="COMPLETE",1,0)</f>
        <v>0</v>
      </c>
      <c r="AK259" s="61" t="n">
        <f aca="false">IF(AND(AI259=1,AJ259=0,AsOfUTC&gt;Q259),1,0)</f>
        <v>0</v>
      </c>
      <c r="AL259" s="61" t="n">
        <f aca="false">IFERROR(IF(AND(AI259=1,OR(TRIM(U259)="Fail",AND(TRIM(AB259)&lt;&gt;"",TRIM(AB259)&lt;&gt;"Closed"),AND(ISNUMBER(AF259),AF259&lt;&gt;0,TRIM(U259)&lt;&gt;"Pass after CA"))),1,0),1)</f>
        <v>0</v>
      </c>
      <c r="AM259" s="61" t="n">
        <f aca="false">IF(LEFT(AH259,7)="INVALID",1,0)</f>
        <v>0</v>
      </c>
      <c r="AN259" s="61" t="n">
        <f aca="false">IF(AND(N259="Clarification required",AI259=1,AJ259=0),1,0)</f>
        <v>0</v>
      </c>
      <c r="AO259" s="61" t="str">
        <f aca="false">IF(AK259=1,SUM(AK$5:AK259),"")</f>
        <v/>
      </c>
      <c r="AP259" s="61" t="str">
        <f aca="false">IF(AL259=1,SUM(AL$5:AL259),"")</f>
        <v/>
      </c>
      <c r="AQ259" s="61" t="n">
        <v>0</v>
      </c>
      <c r="AR259" s="61" t="n">
        <v>0</v>
      </c>
      <c r="AS259" s="61" t="n">
        <v>0</v>
      </c>
      <c r="AT259" s="61" t="n">
        <v>0</v>
      </c>
      <c r="AU259" s="61" t="str">
        <f aca="false">SUBSTITUTE(SUBSTITUTE(SUBSTITUTE(SUBSTITUTE(SUBSTITUTE(SUBSTITUTE(SUBSTITUTE(SUBSTITUTE(SUBSTITUTE(SUBSTITUTE(SUBSTITUTE(SUBSTITUTE(SUBSTITUTE(SUBSTITUTE(SUBSTITUTE(SUBSTITUTE(LOWER(T259&amp;""),CHAR(10),""),CHAR(13),""),CHAR(9),""),CHAR(160),"")," ",""),".",""),"-",""),"/",""),"?",""),"_",""),",",""),"[",""),"]",""),"(",""),")",""),"*","")</f>
        <v/>
      </c>
      <c r="AV259" s="61" t="str">
        <f aca="false">SUBSTITUTE(SUBSTITUTE(SUBSTITUTE(SUBSTITUTE(SUBSTITUTE(SUBSTITUTE(SUBSTITUTE(SUBSTITUTE(SUBSTITUTE(SUBSTITUTE(SUBSTITUTE(SUBSTITUTE(SUBSTITUTE(SUBSTITUTE(SUBSTITUTE(SUBSTITUTE(LOWER(V259&amp;""),CHAR(10),""),CHAR(13),""),CHAR(9),""),CHAR(160),"")," ",""),".",""),"-",""),"/",""),"?",""),"_",""),",",""),"[",""),"]",""),"(",""),")",""),"*","")</f>
        <v/>
      </c>
      <c r="AW259" s="61" t="str">
        <f aca="false">SUBSTITUTE(SUBSTITUTE(SUBSTITUTE(SUBSTITUTE(SUBSTITUTE(SUBSTITUTE(SUBSTITUTE(SUBSTITUTE(SUBSTITUTE(SUBSTITUTE(SUBSTITUTE(SUBSTITUTE(SUBSTITUTE(SUBSTITUTE(SUBSTITUTE(SUBSTITUTE(LOWER(Z259&amp;""),CHAR(10),""),CHAR(13),""),CHAR(9),""),CHAR(160),"")," ",""),".",""),"-",""),"/",""),"?",""),"_",""),",",""),"[",""),"]",""),"(",""),")",""),"*","")</f>
        <v/>
      </c>
      <c r="AX259" s="61" t="str">
        <f aca="false">SUBSTITUTE(SUBSTITUTE(SUBSTITUTE(SUBSTITUTE(SUBSTITUTE(SUBSTITUTE(SUBSTITUTE(SUBSTITUTE(SUBSTITUTE(SUBSTITUTE(SUBSTITUTE(SUBSTITUTE(SUBSTITUTE(SUBSTITUTE(SUBSTITUTE(SUBSTITUTE(LOWER(AE259&amp;""),CHAR(10),""),CHAR(13),""),CHAR(9),""),CHAR(160),"")," ",""),".",""),"-",""),"/",""),"?",""),"_",""),",",""),"[",""),"]",""),"(",""),")",""),"*","")</f>
        <v/>
      </c>
      <c r="AY259" s="61" t="str">
        <f aca="false">SUBSTITUTE(SUBSTITUTE(SUBSTITUTE(SUBSTITUTE(SUBSTITUTE(SUBSTITUTE(SUBSTITUTE(SUBSTITUTE(SUBSTITUTE(SUBSTITUTE(SUBSTITUTE(SUBSTITUTE(SUBSTITUTE(SUBSTITUTE(SUBSTITUTE(SUBSTITUTE(LOWER(W259&amp;""),CHAR(10),""),CHAR(13),""),CHAR(9),""),CHAR(160),"")," ",""),".",""),"-",""),"/",""),"?",""),"_",""),",",""),"[",""),"]",""),"(",""),")",""),"*","")</f>
        <v/>
      </c>
      <c r="AZ259" s="61" t="str">
        <f aca="false">SUBSTITUTE(SUBSTITUTE(SUBSTITUTE(SUBSTITUTE(SUBSTITUTE(SUBSTITUTE(SUBSTITUTE(SUBSTITUTE(SUBSTITUTE(SUBSTITUTE(SUBSTITUTE(SUBSTITUTE(SUBSTITUTE(SUBSTITUTE(SUBSTITUTE(SUBSTITUTE(LOWER(AC259&amp;""),CHAR(10),""),CHAR(13),""),CHAR(9),""),CHAR(160),"")," ",""),".",""),"-",""),"/",""),"?",""),"_",""),",",""),"[",""),"]",""),"(",""),")",""),"*","")</f>
        <v/>
      </c>
      <c r="BA259" s="61" t="str">
        <f aca="false">SUBSTITUTE(SUBSTITUTE(SUBSTITUTE(SUBSTITUTE(SUBSTITUTE(SUBSTITUTE(SUBSTITUTE(SUBSTITUTE(SUBSTITUTE(SUBSTITUTE(SUBSTITUTE(SUBSTITUTE(SUBSTITUTE(SUBSTITUTE(SUBSTITUTE(SUBSTITUTE(LOWER(AA259&amp;""),CHAR(10),""),CHAR(13),""),CHAR(9),""),CHAR(160),"")," ",""),".",""),"-",""),"/",""),"?",""),"_",""),",",""),"[",""),"]",""),"(",""),")",""),"*","")</f>
        <v/>
      </c>
      <c r="BB259" s="61" t="str">
        <f aca="false">IF(AND(TRIM(U259)="Pass",ISNUMBER(AF259)),IF(AF259&lt;&gt;0,"INVALID – qty variance: use Fail or Pass after CA",""),"")&amp;IF(AND(TRIM(U259)="Pass after CA",ISNUMBER(AF259)),IF(AF259&lt;&gt;0,"INVALID – after the corrective action the actual qty must equal expected (update Actual)",""),"")&amp;IF(AND(TRIM(U259)="Pass",TRIM(AB259)&lt;&gt;"",TRIM(AB259)&lt;&gt;"Closed"),"INVALID – corrective action not closed: use Fail, then Pass after CA","")&amp;IF(AND(LEN(BA259)&gt;=2,ISNA(MATCH(LEFT(BA259,255),L_Placeholder,0)),TRIM(AB259)=""),"INVALID – CA status missing for the recorded corrective action","")&amp;IF(AND(TRIM(U259)="Pass after CA",OR(OR(LEN(BA259)&lt;5,ISNUMBER(MATCH(BA259,L_Placeholder,0))),TRIM(AB259)&lt;&gt;"Closed")),"INVALID – corrective action not recorded/closed","")</f>
        <v/>
      </c>
      <c r="BC259" s="61" t="str">
        <f aca="false">" "&amp;TRIM(SUBSTITUTE(SUBSTITUTE(SUBSTITUTE(SUBSTITUTE(SUBSTITUTE(SUBSTITUTE(SUBSTITUTE(SUBSTITUTE(SUBSTITUTE(SUBSTITUTE(SUBSTITUTE(SUBSTITUTE(SUBSTITUTE(SUBSTITUTE(SUBSTITUTE(SUBSTITUTE(SUBSTITUTE(SUBSTITUTE(SUBSTITUTE(SUBSTITUTE(SUBSTITUTE(SUBSTITUTE(SUBSTITUTE(SUBSTITUTE(LOWER(V259&amp;""),CHAR(10)," "),CHAR(13)," "),CHAR(9)," "),CHAR(160)," "),"."," "),","," "),"-"," "),"/"," "),"("," "),")"," "),":"," "),";"," "),"_"," "),"–"," "),"?"," "),"!"," "),"*"," "),"["," "),"]"," "),"'"," "),"#"," "),"+"," "),"&amp;"," "),"\"," "))&amp;" "</f>
        <v>  </v>
      </c>
      <c r="BD259" s="61" t="str">
        <f aca="false">" "&amp;TRIM(SUBSTITUTE(SUBSTITUTE(SUBSTITUTE(SUBSTITUTE(SUBSTITUTE(SUBSTITUTE(SUBSTITUTE(SUBSTITUTE(SUBSTITUTE(SUBSTITUTE(SUBSTITUTE(SUBSTITUTE(SUBSTITUTE(SUBSTITUTE(SUBSTITUTE(SUBSTITUTE(SUBSTITUTE(SUBSTITUTE(SUBSTITUTE(SUBSTITUTE(SUBSTITUTE(SUBSTITUTE(SUBSTITUTE(SUBSTITUTE(LOWER(Z259&amp;""),CHAR(10)," "),CHAR(13)," "),CHAR(9)," "),CHAR(160)," "),"."," "),","," "),"-"," "),"/"," "),"("," "),")"," "),":"," "),";"," "),"_"," "),"–"," "),"?"," "),"!"," "),"*"," "),"["," "),"]"," "),"'"," "),"#"," "),"+"," "),"&amp;"," "),"\"," "))&amp;" "</f>
        <v>  </v>
      </c>
      <c r="BE259" s="61" t="str">
        <f aca="false">" "&amp;TRIM(SUBSTITUTE(SUBSTITUTE(SUBSTITUTE(SUBSTITUTE(SUBSTITUTE(SUBSTITUTE(SUBSTITUTE(SUBSTITUTE(SUBSTITUTE(SUBSTITUTE(SUBSTITUTE(SUBSTITUTE(SUBSTITUTE(SUBSTITUTE(SUBSTITUTE(SUBSTITUTE(SUBSTITUTE(SUBSTITUTE(SUBSTITUTE(SUBSTITUTE(SUBSTITUTE(SUBSTITUTE(SUBSTITUTE(SUBSTITUTE(LOWER(W259&amp;""),CHAR(10)," "),CHAR(13)," "),CHAR(9)," "),CHAR(160)," "),"."," "),","," "),"-"," "),"/"," "),"("," "),")"," "),":"," "),";"," "),"_"," "),"–"," "),"?"," "),"!"," "),"*"," "),"["," "),"]"," "),"'"," "),"#"," "),"+"," "),"&amp;"," "),"\"," "))&amp;" "</f>
        <v>  </v>
      </c>
      <c r="BF259" s="61" t="str">
        <f aca="false">" "&amp;TRIM(SUBSTITUTE(SUBSTITUTE(SUBSTITUTE(SUBSTITUTE(SUBSTITUTE(SUBSTITUTE(SUBSTITUTE(SUBSTITUTE(SUBSTITUTE(SUBSTITUTE(SUBSTITUTE(SUBSTITUTE(SUBSTITUTE(SUBSTITUTE(SUBSTITUTE(SUBSTITUTE(SUBSTITUTE(SUBSTITUTE(SUBSTITUTE(SUBSTITUTE(SUBSTITUTE(SUBSTITUTE(SUBSTITUTE(SUBSTITUTE(LOWER(AC259&amp;""),CHAR(10)," "),CHAR(13)," "),CHAR(9)," "),CHAR(160)," "),"."," "),","," "),"-"," "),"/"," "),"("," "),")"," "),":"," "),";"," "),"_"," "),"–"," "),"?"," "),"!"," "),"*"," "),"["," "),"]"," "),"'"," "),"#"," "),"+"," "),"&amp;"," "),"\"," "))&amp;" "</f>
        <v>  </v>
      </c>
      <c r="BG259" s="61" t="n">
        <f aca="false">IFERROR(IF(AND(TRIM(U259)="Pass",SUMPRODUCT((LEN(BC259)-LEN(SUBSTITUTE(BC259," "&amp;L_ResultBad&amp;" "," ")))/(LEN(L_ResultBad)+1))&gt;SUMPRODUCT((LEN(BC259)-LEN(SUBSTITUTE(BC259," "&amp;L_NegPhrase&amp;" "," ")))/(LEN(L_NegPhrase)+1))),1,0),0)</f>
        <v>0</v>
      </c>
      <c r="BH259" s="61" t="n">
        <f aca="false">IFERROR(IF(SUMPRODUCT((LEN(BC259)-LEN(SUBSTITUTE(BC259," "&amp;L_Pending&amp;" "," ")))/(LEN(L_Pending)+1))&gt;SUMPRODUCT((LEN(BC259)-LEN(SUBSTITUTE(BC259," "&amp;L_PendNeg&amp;" "," ")))/(LEN(L_PendNeg)+1)),1,0),1)</f>
        <v>0</v>
      </c>
      <c r="BI259" s="61" t="n">
        <f aca="false">IFERROR(IF(SUMPRODUCT((LEN(BD259)-LEN(SUBSTITUTE(BD259," "&amp;L_PendStrict&amp;" "," ")))/(LEN(L_PendStrict)+1))&gt;SUMPRODUCT((LEN(BD259)-LEN(SUBSTITUTE(BD259," "&amp;L_PendNeg&amp;" "," ")))/(LEN(L_PendNeg)+1)),1,0),1)</f>
        <v>0</v>
      </c>
      <c r="BJ259" s="61" t="n">
        <f aca="false">IFERROR(IF(SUMPRODUCT((LEN(BE259)-LEN(SUBSTITUTE(BE259," "&amp;L_Pending&amp;" "," ")))/(LEN(L_Pending)+1))&gt;SUMPRODUCT((LEN(BE259)-LEN(SUBSTITUTE(BE259," "&amp;L_PendNeg&amp;" "," ")))/(LEN(L_PendNeg)+1)),1,0),1)</f>
        <v>0</v>
      </c>
      <c r="BK259" s="61" t="n">
        <f aca="false">IFERROR(IF(SUMPRODUCT((LEN(BF259)-LEN(SUBSTITUTE(BF259," "&amp;L_PendStrict&amp;" "," ")))/(LEN(L_PendStrict)+1))&gt;SUMPRODUCT((LEN(BF259)-LEN(SUBSTITUTE(BF259," "&amp;L_PendNeg&amp;" "," ")))/(LEN(L_PendNeg)+1)),1,0),1)</f>
        <v>0</v>
      </c>
      <c r="BL259" s="61" t="n">
        <f aca="false">IF(ISNA(MATCH(TRIM(S259),L_EvidenceType,0)),0,BZ259)</f>
        <v>0</v>
      </c>
      <c r="BM259" s="61" t="str">
        <f aca="false">SUBSTITUTE(SUBSTITUTE(SUBSTITUTE(SUBSTITUTE(SUBSTITUTE(SUBSTITUTE(SUBSTITUTE(SUBSTITUTE(SUBSTITUTE(LOWER(Z259&amp;""),"1","0"),"2","0"),"3","0"),"4","0"),"5","0"),"6","0"),"7","0"),"8","0"),"9","0")</f>
        <v/>
      </c>
      <c r="BN259" s="61" t="str">
        <f aca="false">SUBSTITUTE(SUBSTITUTE(SUBSTITUTE(SUBSTITUTE(SUBSTITUTE(SUBSTITUTE(SUBSTITUTE(SUBSTITUTE(SUBSTITUTE(SUBSTITUTE(SUBSTITUTE(SUBSTITUTE(SUBSTITUTE(SUBSTITUTE(SUBSTITUTE(SUBSTITUTE(SUBSTITUTE(SUBSTITUTE(SUBSTITUTE(SUBSTITUTE(SUBSTITUTE(SUBSTITUTE(SUBSTITUTE(SUBSTITUTE(SUBSTITUTE(BM259,"b","a"),"c","a"),"d","a"),"e","a"),"f","a"),"g","a"),"h","a"),"i","a"),"j","a"),"k","a"),"l","a"),"m","a"),"n","a"),"o","a"),"p","a"),"q","a"),"r","a"),"s","a"),"t","a"),"u","a"),"v","a"),"w","a"),"x","a"),"y","a"),"z","a")</f>
        <v/>
      </c>
      <c r="BO259" s="61" t="str">
        <f aca="false">SUBSTITUTE(SUBSTITUTE(SUBSTITUTE(SUBSTITUTE(SUBSTITUTE(SUBSTITUTE(SUBSTITUTE(SUBSTITUTE(SUBSTITUTE(LOWER(W259&amp;""),"1","0"),"2","0"),"3","0"),"4","0"),"5","0"),"6","0"),"7","0"),"8","0"),"9","0")</f>
        <v/>
      </c>
      <c r="BP259" s="61" t="str">
        <f aca="false">SUBSTITUTE(SUBSTITUTE(SUBSTITUTE(SUBSTITUTE(SUBSTITUTE(SUBSTITUTE(SUBSTITUTE(SUBSTITUTE(SUBSTITUTE(SUBSTITUTE(SUBSTITUTE(SUBSTITUTE(SUBSTITUTE(SUBSTITUTE(SUBSTITUTE(SUBSTITUTE(SUBSTITUTE(SUBSTITUTE(SUBSTITUTE(SUBSTITUTE(SUBSTITUTE(SUBSTITUTE(SUBSTITUTE(SUBSTITUTE(SUBSTITUTE(BO259,"b","a"),"c","a"),"d","a"),"e","a"),"f","a"),"g","a"),"h","a"),"i","a"),"j","a"),"k","a"),"l","a"),"m","a"),"n","a"),"o","a"),"p","a"),"q","a"),"r","a"),"s","a"),"t","a"),"u","a"),"v","a"),"w","a"),"x","a"),"y","a"),"z","a")</f>
        <v/>
      </c>
      <c r="BQ259" s="61" t="n">
        <f aca="false">IFERROR(IF(AND(ISERROR(SEARCH(" mh"," "&amp;LOWER(W259))),ISNA(MATCH(LEFT(TRIM(BP259),255),{"0000a","000a","00a","0000aa","000aa","00aa","0aa","0000aaa","000aaa","00a00","0a00","0000-0000","00:00","a00","a0","00.00.0000","00/00/0000","00-00-0000","0000-00-00","0000/00/00","0000.00.00","00.00.00","00/00/00","00-00-00","0.00.0000","0/00/0000","0-00-0000"},0)),ISNA(MATCH(LEFT(TRIM(CA259),255),{"0000a","000a","00a","0000aa","000aa","00aa","0aa","0000aaa","000aaa","00a00","0a00","0000-0000","00:00","a00","a0","00.00.0000","00/00/0000","00-00-0000","0000-00-00","0000/00/00","0000.00.00","00.00.00","00/00/00","00-00-00","0.00.0000","0/00/0000","0-00-0000"},0)),LEN(CB259)&gt;=3,NOT(OR(SUBSTITUTE(CB259,"0","")="",AND(LEN(CB259)&gt;=4,CB259=REPT(LEFT(CB259),LEN(CB259))),ISNUMBER(MATCH(CB259,{"123","1234","12345","123456","1234567","12345678","0123","01234","012345","98765","987654","54321"},0)),AND(LEN(CB259)=8,LEFT(CB259,3)="202"))),OR(AND((LEN(CA259)-LEN(SUBSTITUTE(CA259,"a","")))&gt;=1,SUMPRODUCT(--ISNUMBER(SEARCH({"a0","a-0","a_0","a/0","a.0","a#0","0a","0-a","0_a","0/a"},BP259)))&gt;0),ISNUMBER(SEARCH("000000",BP259)))),1,0),0)</f>
        <v>0</v>
      </c>
      <c r="BR259" s="61" t="n">
        <f aca="false">IFERROR(LEN(SUBSTITUTE(CC259," ",""))-SUMPRODUCT((LEN(CC259)-LEN(SUBSTITUTE(CC259," "&amp;L_Role&amp;" "," ")))/(LEN(L_Role)+1)*LEN(L_Role)),0)</f>
        <v>0</v>
      </c>
      <c r="BS259" s="61" t="n">
        <f aca="false">IFERROR(LEN(SUBSTITUTE(CD259," ",""))-SUMPRODUCT((LEN(CD259)-LEN(SUBSTITUTE(CD259," "&amp;L_Role&amp;" "," ")))/(LEN(L_Role)+1)*LEN(L_Role)),0)</f>
        <v>0</v>
      </c>
      <c r="BT2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259,"revision",""),"version",""),"jan",""),"feb",""),"mar",""),"apr",""),"may",""),"jun",""),"jul",""),"aug",""),"sep",""),"oct",""),"nov",""),"dec",""),"utc",""),"gmt",""),"myt",""),"bst",""),"rev",""),"ver",""),"b","a"),"c","a"),"d","a"),"e","a"),"f","a"),"g","a"),"h","a"),"i","a"),"j","a"),"k","a"),"l","a"),"m","a"),"n","a"),"o","a"),"p","a"),"q","a"),"r","a"),"s","a"),"t","a"),"u","a"),"v","a"),"w","a"),"x","a"),"y","a"),"z","a")</f>
        <v/>
      </c>
      <c r="BU259" s="61" t="str">
        <f aca="false">SUBSTITUTE(SUBSTITUTE(SUBSTITUTE(SUBSTITUTE(SUBSTITUTE(SUBSTITUTE(SUBSTITUTE(SUBSTITUTE(SUBSTITUTE(SUBSTITUTE(LEFT(BM259,FIND("0",BM259&amp;"0")-1),"-",""),"_",""),"/",""),".",""),"#",""),"\\",""),":","")," ",""),"(",""),")","")</f>
        <v/>
      </c>
      <c r="BV259" s="61" t="n">
        <f aca="false">IFERROR(IF(OR(SUMPRODUCT((LEN(BC259)-LEN(SUBSTITUTE(BC259," "&amp;L_NotLoaded&amp;" "," ")))/(LEN(L_NotLoaded)+1))&gt;SUMPRODUCT((LEN(BC259)-LEN(SUBSTITUTE(BC259," "&amp;L_NotLoadedNeg&amp;" "," ")))/(LEN(L_NotLoadedNeg)+1)),SUMPRODUCT((LEN(BD259)-LEN(SUBSTITUTE(BD259," "&amp;L_NotLoaded&amp;" "," ")))/(LEN(L_NotLoaded)+1))&gt;SUMPRODUCT((LEN(BD259)-LEN(SUBSTITUTE(BD259," "&amp;L_NotLoadedNeg&amp;" "," ")))/(LEN(L_NotLoadedNeg)+1))),1,0),0)</f>
        <v>0</v>
      </c>
      <c r="BW2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259&amp;""),"a",""),"b",""),"c",""),"d",""),"e",""),"f",""),"g",""),"h",""),"i",""),"j",""),"k",""),"l",""),"m",""),"n",""),"o",""),"p",""),"q",""),"r",""),"s",""),"t",""),"u",""),"v",""),"w",""),"x",""),"y",""),"z",""),"-",""),"_",""),"/",""),".",""),"#",""),"\\",""),":","")," ",""),"(",""),")","")</f>
        <v/>
      </c>
      <c r="BX259" s="61" t="str">
        <f aca="false">SUBSTITUTE(SUBSTITUTE(SUBSTITUTE(SUBSTITUTE(SUBSTITUTE(SUBSTITUTE(SUBSTITUTE(SUBSTITUTE(SUBSTITUTE(SUBSTITUTE(SUBSTITUTE(BM259,"0",""),"-",""),"_",""),"/",""),".",""),"#",""),"\\",""),":","")," ",""),"(",""),")","")</f>
        <v/>
      </c>
      <c r="BY259" s="62" t="n">
        <f aca="false">IF(ISNUMBER(Flights!$AZ$11),MAX(Q259-UpliftWindowH/24,Flights!$AZ$11),Q259-UpliftWindowH/24)</f>
        <v>46304.4166666667</v>
      </c>
      <c r="BZ259" s="61" t="n">
        <f aca="false">IFERROR(IF(IF(TRIM(S259)="Link / file path",AND(LEN(TRIM(Z259))&gt;=5,SUMPRODUCT(--ISNUMBER(SEARCH({"http","www.","\\",":\",".pdf",".jpg",".jpeg",".png",".heic",".xls",".doc",".msg",".eml",".ppt",".txt",".zip"},Z259)))&gt;0),AND(ISERROR(FIND(" ",TRIM(Z259))),NOT(OR(SUMPRODUCT(--ISNUMBER(FIND({",",";","&amp;","+"},Z259)))&gt;0,SUMPRODUCT(--ISNUMBER(SEARCH({"0/aa","0\\aa"},BN259)))&gt;0)),NOT(SUMPRODUCT(--ISNUMBER(SEARCH({"http","www.","\\",":\",".pdf",".jpg",".jpeg",".png",".heic",".xls",".doc",".msg",".eml",".ppt",".txt",".zip"},Z259)))&gt;0),NOT(LOWER(TRIM(Z259))=LOWER(Flights!$F$11)),ISNA(MATCH(BU259,{"mh","rev","revision","ver","version","v","r","a","b","seat","tray","row","gate","bay","stand","page","pg","item","line","no","cart","galley","flight","flt","table","box","bag","oven","etd","eta","std","sta","atd","ata","qty","pax","x","time","tel","ph","mob","day","wk","week","utc","gmt","myt","lt"},0)),NOT(OR(ISNUMBER(MATCH(LEFT(BN259,255),{"0000a","000a","00a","0000aa","000aa","00aa","0aa","0000aaa","000aaa","00a00","0a00","0000-0000","00:00","a00","a0","00.00.0000","00/00/0000","00-00-0000","0000-00-00","0000/00/00","0000.00.00","00.00.00","00/00/00","00-00-00","0.00.0000","0/00/0000","0-00-0000"},0)),ISNUMBER(MATCH(LEFT(BT259,255),{"0000a","000a","00a","0000aa","000aa","00aa","0aa","0000aaa","000aaa","00a00","0a00","0000-0000","00:00","a00","a0","00.00.0000","00/00/0000","00-00-0000","0000-00-00","0000/00/00","0000.00.00","00.00.00","00/00/00","00-00-00","0.00.0000","0/00/0000","0-00-0000"},0)))),NOT(OR(AND(BW259&lt;&gt;"",SUBSTITUTE(BW259,"0","")=""),AND(LEN(BW259)&gt;=4,BW259=REPT(LEFT(BW259),LEN(BW259))),ISNUMBER(MATCH(BW259,{"123","1234","12345","123456","1234567","12345678","0123","01234","012345","98765","987654","54321"},0)),ISNUMBER(MATCH(BX259,{"x","xx","xxx","xxxx","xxxxx","abc","abcd","nil","na","nan","test","tbc","tba","tbd","dummy","sample","example","eg","zz","zzz","none","null","xyz","qwe","asd","id","ref"},0)),AND(LEN(BW259)=8,BX259="",OR(LEFT(BW259,3)="202",ISNUMBER(MATCH(RIGHT(BW259,4),{"2025","2026","2027"},0)))))),OR(AND((LEN(BT259)-LEN(SUBSTITUTE(BT259,"a","")))&gt;=1,(LEN(BN259)-LEN(SUBSTITUTE(BN259,"0","")))&gt;=2,SUMPRODUCT(--ISNUMBER(SEARCH({"a0","a-0","a_0","a/0","a.0","a#0","0a","0-a","0_a","0/a"},BN259)))&gt;0),AND((LEN(BN259)-LEN(SUBSTITUTE(BN259,"a","")))=0,(LEN(BN259)-LEN(SUBSTITUTE(BN259,"0","")))&gt;=5)))),1,0),0)</f>
        <v>0</v>
      </c>
      <c r="CA2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259,"revision",""),"version",""),"jan",""),"feb",""),"mar",""),"apr",""),"may",""),"jun",""),"jul",""),"aug",""),"sep",""),"oct",""),"nov",""),"dec",""),"utc",""),"gmt",""),"myt",""),"bst",""),"rev",""),"ver",""),"b","a"),"c","a"),"d","a"),"e","a"),"f","a"),"g","a"),"h","a"),"i","a"),"j","a"),"k","a"),"l","a"),"m","a"),"n","a"),"o","a"),"p","a"),"q","a"),"r","a"),"s","a"),"t","a"),"u","a"),"v","a"),"w","a"),"x","a"),"y","a"),"z","a")</f>
        <v/>
      </c>
      <c r="CB2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259&amp;""),"a",""),"b",""),"c",""),"d",""),"e",""),"f",""),"g",""),"h",""),"i",""),"j",""),"k",""),"l",""),"m",""),"n",""),"o",""),"p",""),"q",""),"r",""),"s",""),"t",""),"u",""),"v",""),"w",""),"x",""),"y",""),"z",""),"-",""),"_",""),"/",""),".",""),"#",""),"\\",""),":","")," ",""),"(",""),")","")</f>
        <v/>
      </c>
      <c r="CC259" s="0" t="str">
        <f aca="false">" "&amp;TRIM(SUBSTITUTE(SUBSTITUTE(SUBSTITUTE(SUBSTITUTE(SUBSTITUTE(SUBSTITUTE(SUBSTITUTE(SUBSTITUTE(SUBSTITUTE(SUBSTITUTE(SUBSTITUTE(SUBSTITUTE(SUBSTITUTE(SUBSTITUTE(SUBSTITUTE(SUBSTITUTE(SUBSTITUTE(SUBSTITUTE(SUBSTITUTE(SUBSTITUTE(SUBSTITUTE(SUBSTITUTE(SUBSTITUTE(SUBSTITUTE(LOWER(T259&amp;""),CHAR(10)," "),CHAR(13)," "),CHAR(9)," "),CHAR(160)," "),"."," "),","," "),"-"," "),"/"," "),"("," "),")"," "),":"," "),";"," "),"_"," "),"–"," "),"?"," "),"!"," "),"*"," "),"["," "),"]"," "),"'"," "),"#"," "),"+"," "),"&amp;"," "),"\"," "))&amp;" "</f>
        <v>  </v>
      </c>
      <c r="CD259" s="0" t="str">
        <f aca="false">" "&amp;TRIM(SUBSTITUTE(SUBSTITUTE(SUBSTITUTE(SUBSTITUTE(SUBSTITUTE(SUBSTITUTE(SUBSTITUTE(SUBSTITUTE(SUBSTITUTE(SUBSTITUTE(SUBSTITUTE(SUBSTITUTE(SUBSTITUTE(SUBSTITUTE(SUBSTITUTE(SUBSTITUTE(SUBSTITUTE(SUBSTITUTE(SUBSTITUTE(SUBSTITUTE(SUBSTITUTE(SUBSTITUTE(SUBSTITUTE(SUBSTITUTE(LOWER(AE259&amp;""),CHAR(10)," "),CHAR(13)," "),CHAR(9)," "),CHAR(160)," "),"."," "),","," "),"-"," "),"/"," "),"("," "),")"," "),":"," "),";"," "),"_"," "),"–"," "),"?"," "),"!"," "),"*"," "),"["," "),"]"," "),"'"," "),"#"," "),"+"," "),"&amp;"," "),"\"," "))&amp;" "</f>
        <v>  </v>
      </c>
      <c r="CE259" s="68" t="n">
        <f aca="false">IFERROR(IF(AND(LEN(AU259)&gt;0,LEN(AU259)=LEN(AX259),OR(TRIM(MID(SUBSTITUTE(TRIM(CC259)," ",REPT(" ",60)),1,60))="",ISNUMBER(SEARCH(" "&amp;TRIM(MID(SUBSTITUTE(TRIM(CC259)," ",REPT(" ",60)),1,60))&amp;" ",CD259))),OR(TRIM(MID(SUBSTITUTE(TRIM(CC259)," ",REPT(" ",60)),61,60))="",ISNUMBER(SEARCH(" "&amp;TRIM(MID(SUBSTITUTE(TRIM(CC259)," ",REPT(" ",60)),61,60))&amp;" ",CD259))),OR(TRIM(MID(SUBSTITUTE(TRIM(CC259)," ",REPT(" ",60)),121,60))="",ISNUMBER(SEARCH(" "&amp;TRIM(MID(SUBSTITUTE(TRIM(CC259)," ",REPT(" ",60)),121,60))&amp;" ",CD259)))),1,0),0)</f>
        <v>0</v>
      </c>
      <c r="CG259" s="68" t="n">
        <f aca="false">IFERROR(LEN(SUBSTITUTE(BF259," ",""))-SUMPRODUCT((LEN(BF259)-LEN(SUBSTITUTE(BF259," "&amp;L_NAFiller&amp;" "," ")))/(LEN(L_NAFiller)+1)*LEN(L_NAFiller)),0)</f>
        <v>0</v>
      </c>
    </row>
    <row r="260" customFormat="false" ht="39.75" hidden="false" customHeight="true" outlineLevel="0" collapsed="false">
      <c r="A260" s="57" t="s">
        <v>831</v>
      </c>
      <c r="B260" s="57" t="s">
        <v>235</v>
      </c>
      <c r="C260" s="57" t="str">
        <f aca="false">Flights!$F$11</f>
        <v>MH0003</v>
      </c>
      <c r="D260" s="58" t="n">
        <f aca="false">Flights!$D$11</f>
        <v>46304</v>
      </c>
      <c r="E260" s="57" t="str">
        <f aca="false">Flights!$G$11&amp;"-"&amp;Flights!$H$11</f>
        <v>LHR-KUL</v>
      </c>
      <c r="F260" s="57" t="str">
        <f aca="false">Flights!$K$11</f>
        <v>BC</v>
      </c>
      <c r="G260" s="57" t="s">
        <v>459</v>
      </c>
      <c r="H260" s="57" t="s">
        <v>460</v>
      </c>
      <c r="I260" s="57" t="s">
        <v>447</v>
      </c>
      <c r="J260" s="57" t="s">
        <v>655</v>
      </c>
      <c r="K260" s="67" t="s">
        <v>449</v>
      </c>
      <c r="L260" s="67" t="s">
        <v>754</v>
      </c>
      <c r="M260" s="67" t="s">
        <v>451</v>
      </c>
      <c r="N260" s="67" t="s">
        <v>383</v>
      </c>
      <c r="O260" s="67"/>
      <c r="P260" s="57" t="s">
        <v>186</v>
      </c>
      <c r="Q260" s="59" t="n">
        <f aca="false">ROUND((Flights!$AF$11)*1440,0)/1440</f>
        <v>46304.4166666667</v>
      </c>
      <c r="R260" s="59" t="n">
        <f aca="false">Q260+(IF(AND(INDEX(TZ_DSTS,MATCH(P260,TZ_STN,0))&lt;&gt;"",Q260&gt;=INDEX(TZ_DSTS,MATCH(P260,TZ_STN,0)),Q260&lt;INDEX(TZ_DSTE,MATCH(P260,TZ_STN,0))),INDEX(TZ_DST,MATCH(P260,TZ_STN,0)),INDEX(TZ_STD,MATCH(P260,TZ_STN,0))))/24</f>
        <v>46304.4583333333</v>
      </c>
      <c r="S260" s="60"/>
      <c r="T260" s="60"/>
      <c r="U260" s="60"/>
      <c r="V260" s="60"/>
      <c r="W260" s="61"/>
      <c r="X260" s="60"/>
      <c r="Y260" s="60"/>
      <c r="Z260" s="60"/>
      <c r="AA260" s="60"/>
      <c r="AB260" s="60"/>
      <c r="AC260" s="60"/>
      <c r="AD260" s="66"/>
      <c r="AE260" s="60"/>
      <c r="AF260" s="61" t="str">
        <f aca="false">IF(AND(ISNUMBER(X260),ISNUMBER(Y260)),Y260-X260,"")</f>
        <v/>
      </c>
      <c r="AG260" s="62" t="str">
        <f aca="false">IF(ISNUMBER(AD260),AD260-(IF(AND(INDEX(TZ_DSTS,MATCH(P260,TZ_STN,0))&lt;&gt;"",(AD260-INDEX(TZ_STD,MATCH(P260,TZ_STN,0))/24)&gt;=INDEX(TZ_DSTS,MATCH(P260,TZ_STN,0)),(AD260-INDEX(TZ_STD,MATCH(P260,TZ_STN,0))/24)&lt;INDEX(TZ_DSTE,MATCH(P260,TZ_STN,0))),INDEX(TZ_DST,MATCH(P260,TZ_STN,0)),INDEX(TZ_STD,MATCH(P260,TZ_STN,0))))/24,"")</f>
        <v/>
      </c>
      <c r="AH260" s="65" t="str">
        <f aca="false">IFERROR(IF(N260="N/A – rule",IF(OR(TRIM(U260)="",TRIM(U260)="N/A",TRIM(U260)="Not started"),"N/A – RULE","INVALID – this check does not apply to this aircraft: clear the status (or correct the fleet on Flights)"),IF(TRIM(U260)="N/A",IF(AT260=0,"INVALID – N/A not permitted for this check",IF(AND(TRIM(AB260)&lt;&gt;"",TRIM(AB260)&lt;&gt;"Closed"),"INVALID – corrective action still open",IF(AND(NOT(OR(LEN(AZ260)&lt;15,ISNUMBER(MATCH(AZ260,L_Placeholder,0)))),BK260=0,CG260&gt;=8,NOT(OR(LEN(AU260)&lt;2,ISNUMBER(MATCH(AU260,L_Placeholder,0)))),BR260&gt;=3,NOT(OR(LEN(AX260)&lt;2,ISNUMBER(MATCH(AX260,L_Placeholder,0)))),BS260&gt;=3,TRIM(AE260)&lt;&gt;TRIM(T260),AX260&lt;&gt;AU260,CE260=0),"N/A – JUSTIFIED","INVALID – N/A needs a real, settled reason (not 'not applicable' / 'as above' / TBC), a named PIC and a different named verifier"))),IF(OR(TRIM(U260)="Pass",TRIM(U260)="Pass after CA"),IF(NOT(ISNUMBER(AD260)),"INVALID – completion time missing",IF(OR(OR(LEN(AU260)&lt;2,ISNUMBER(MATCH(AU260,L_Placeholder,0))),BR260&lt;3),"INVALID – PIC missing or not a named person (a role such as QA / CSM is not a name)",IF(OR(LEN(AV260)&lt;2,ISNUMBER(MATCH(AV260,L_Placeholder,0))),"INVALID – result / assessment missing",IF(OR(OR(LEN(AW260)&lt;3,ISNUMBER(MATCH(AW260,L_Placeholder,0))),SUMPRODUCT(--ISNUMBER(SEARCH(" "&amp;L_EvidencePhrase&amp;" ",BD260)))&gt;0,BI260=1),"INVALID – evidence missing, placeholder or not yet on file",IF(ISNA(MATCH(TRIM(S260),L_EvidenceType,0)),"INVALID – choose the evidence type from the list (column S)",IF(BL260=0,"INVALID – evidence ID must be the record's own ID only (e.g. SF-2210, IMG_2231, 1045521); a link / file name needs type 'Link / file path'",IF(OR(OR(LEN(AX260)&lt;2,ISNUMBER(MATCH(AX260,L_Placeholder,0))),BS260&lt;3),"INVALID – verifier missing or not a named person (a role such as QA / CSM is not a name)",IF(OR(AX260=AU260,CE260=1,AND(LEN(AU260)&gt;=4,ISNUMBER(SEARCH(AU260,AX260))),AND(LEN(AX260)&gt;=4,ISNUMBER(SEARCH(AX260,AU260)))),"INVALID – verifier must be a different, named person (not the PIC or a role)",IF(BH260=1,"INVALID – result not yet available (awaiting / TBC)",IF(BG260=1,"INVALID – result describes a problem: record Fail, then Pass after CA (or reword if it is not a problem)",IF(BV260=1,"INVALID – wording says not on board: an on-board confirmation needs the item loaded",IF(AND(AQ260=1,OR(OR(LEN(AY260)&lt;3,ISNUMBER(MATCH(AY260,L_Placeholder,0))),BJ260=1,BQ260=0)),"INVALID – batch ID missing, placeholder or not an ID (e.g. PASB-261008-BC-017)",IF(AND(AR260=1,OR(NOT(ISNUMBER(X260)),NOT(ISNUMBER(Y260)))),"INVALID – expected/actual qty missing",IF(AND(AR260=1,OR(X260&lt;=0,Y260&lt;0)),"INVALID – expected qty must be above 0 and actual not negative",IF(AH243="N/A – JUSTIFIED","INVALID – preparation row F07-T12-20 is N/A",IF(AND(AR260=1,ISNUMBER(X243),X260&lt;&gt;X243,TRIM(U260)&lt;&gt;"Pass after CA"),"INVALID – expected qty differs from preparation check F07-T12-20: record the load change as a corrective action (Pass after CA)",IF(BB260&lt;&gt;"",BB260,IF(AND(AS260=1,Documents!$J$11&lt;&gt;"ON FILE"),"INVALID – GLD not on file (Documents sheet)",IF(AND(AS260=2,Documents!$O$11&lt;&gt;"ON FILE"),"INVALID – menu checklist not on file (Documents sheet)",IF(AND(AS260=3,NOT(ISNUMBER(Flights!$AX$11))),"INVALID – enter carrying flight KUL departure (Flights AX)",IF(AND(AS260=3,OR(Flights!$AZ$11&gt;Flights!$AA$11,Flights!$AX$11&lt;Flights!$AA$11-3)),"INVALID – carrying flight (Flights AX) cannot arrive before this leg's STD, or is over 3 days early",IF(AG260&gt;AsOfUTC,"INVALID – completion time is in the future",IF(AND(ISNUMBER(BY260),AG260&lt;BY260),IF(H260="Physical uplift","INVALID – before uplift window (cannot confirm loading)","INVALID – before valid window"),IF(AG260&gt;Flights!$AA$11,"INVALID – completed after departure (cannot establish readiness)",IF(AND(H260="Preparation",AG260&gt;=IF(ISNUMBER(Flights!$BA$11),MIN(Flights!$BA$11,Flights!$AA$11),Flights!$AA$11)),"INVALID – completed after loading / departure (cannot establish readiness)",IF(AND(H260="Physical uplift",AG260&gt;Q260),"INVALID – recorded after the loading flight departed",IF(AG260&gt;Q260,"COMPLETE – LATE","COMPLETE"))))))))))))))))))))))))))),IF(TRIM(U260)="Fail","FAIL – DISCREPANCY",IF(AND(TRIM(U260)&lt;&gt;"",TRIM(U260)&lt;&gt;"Not started",TRIM(U260)&lt;&gt;"In progress"),"INVALID – unrecognised status (use the list)",IF(AsOfUTC&gt;Q260,"OVERDUE",IF(N260="Clarification required","OPEN – CLARIFICATION","OPEN"))))))),"INVALID – error value in an input cell")</f>
        <v>OPEN</v>
      </c>
      <c r="AI260" s="61" t="n">
        <f aca="false">IF(OR(AH260="N/A – RULE",AH260="N/A – JUSTIFIED"),0,1)</f>
        <v>1</v>
      </c>
      <c r="AJ260" s="61" t="n">
        <f aca="false">IF(LEFT(AH260,8)="COMPLETE",1,0)</f>
        <v>0</v>
      </c>
      <c r="AK260" s="61" t="n">
        <f aca="false">IF(AND(AI260=1,AJ260=0,AsOfUTC&gt;Q260),1,0)</f>
        <v>0</v>
      </c>
      <c r="AL260" s="61" t="n">
        <f aca="false">IFERROR(IF(AND(AI260=1,OR(TRIM(U260)="Fail",AND(TRIM(AB260)&lt;&gt;"",TRIM(AB260)&lt;&gt;"Closed"),AND(ISNUMBER(AF260),AF260&lt;&gt;0,TRIM(U260)&lt;&gt;"Pass after CA"))),1,0),1)</f>
        <v>0</v>
      </c>
      <c r="AM260" s="61" t="n">
        <f aca="false">IF(LEFT(AH260,7)="INVALID",1,0)</f>
        <v>0</v>
      </c>
      <c r="AN260" s="61" t="n">
        <f aca="false">IF(AND(N260="Clarification required",AI260=1,AJ260=0),1,0)</f>
        <v>0</v>
      </c>
      <c r="AO260" s="61" t="str">
        <f aca="false">IF(AK260=1,SUM(AK$5:AK260),"")</f>
        <v/>
      </c>
      <c r="AP260" s="61" t="str">
        <f aca="false">IF(AL260=1,SUM(AL$5:AL260),"")</f>
        <v/>
      </c>
      <c r="AQ260" s="61" t="n">
        <v>0</v>
      </c>
      <c r="AR260" s="61" t="n">
        <v>0</v>
      </c>
      <c r="AS260" s="61" t="n">
        <v>0</v>
      </c>
      <c r="AT260" s="61" t="n">
        <v>0</v>
      </c>
      <c r="AU260" s="61" t="str">
        <f aca="false">SUBSTITUTE(SUBSTITUTE(SUBSTITUTE(SUBSTITUTE(SUBSTITUTE(SUBSTITUTE(SUBSTITUTE(SUBSTITUTE(SUBSTITUTE(SUBSTITUTE(SUBSTITUTE(SUBSTITUTE(SUBSTITUTE(SUBSTITUTE(SUBSTITUTE(SUBSTITUTE(LOWER(T260&amp;""),CHAR(10),""),CHAR(13),""),CHAR(9),""),CHAR(160),"")," ",""),".",""),"-",""),"/",""),"?",""),"_",""),",",""),"[",""),"]",""),"(",""),")",""),"*","")</f>
        <v/>
      </c>
      <c r="AV260" s="61" t="str">
        <f aca="false">SUBSTITUTE(SUBSTITUTE(SUBSTITUTE(SUBSTITUTE(SUBSTITUTE(SUBSTITUTE(SUBSTITUTE(SUBSTITUTE(SUBSTITUTE(SUBSTITUTE(SUBSTITUTE(SUBSTITUTE(SUBSTITUTE(SUBSTITUTE(SUBSTITUTE(SUBSTITUTE(LOWER(V260&amp;""),CHAR(10),""),CHAR(13),""),CHAR(9),""),CHAR(160),"")," ",""),".",""),"-",""),"/",""),"?",""),"_",""),",",""),"[",""),"]",""),"(",""),")",""),"*","")</f>
        <v/>
      </c>
      <c r="AW260" s="61" t="str">
        <f aca="false">SUBSTITUTE(SUBSTITUTE(SUBSTITUTE(SUBSTITUTE(SUBSTITUTE(SUBSTITUTE(SUBSTITUTE(SUBSTITUTE(SUBSTITUTE(SUBSTITUTE(SUBSTITUTE(SUBSTITUTE(SUBSTITUTE(SUBSTITUTE(SUBSTITUTE(SUBSTITUTE(LOWER(Z260&amp;""),CHAR(10),""),CHAR(13),""),CHAR(9),""),CHAR(160),"")," ",""),".",""),"-",""),"/",""),"?",""),"_",""),",",""),"[",""),"]",""),"(",""),")",""),"*","")</f>
        <v/>
      </c>
      <c r="AX260" s="61" t="str">
        <f aca="false">SUBSTITUTE(SUBSTITUTE(SUBSTITUTE(SUBSTITUTE(SUBSTITUTE(SUBSTITUTE(SUBSTITUTE(SUBSTITUTE(SUBSTITUTE(SUBSTITUTE(SUBSTITUTE(SUBSTITUTE(SUBSTITUTE(SUBSTITUTE(SUBSTITUTE(SUBSTITUTE(LOWER(AE260&amp;""),CHAR(10),""),CHAR(13),""),CHAR(9),""),CHAR(160),"")," ",""),".",""),"-",""),"/",""),"?",""),"_",""),",",""),"[",""),"]",""),"(",""),")",""),"*","")</f>
        <v/>
      </c>
      <c r="AY260" s="61" t="str">
        <f aca="false">SUBSTITUTE(SUBSTITUTE(SUBSTITUTE(SUBSTITUTE(SUBSTITUTE(SUBSTITUTE(SUBSTITUTE(SUBSTITUTE(SUBSTITUTE(SUBSTITUTE(SUBSTITUTE(SUBSTITUTE(SUBSTITUTE(SUBSTITUTE(SUBSTITUTE(SUBSTITUTE(LOWER(W260&amp;""),CHAR(10),""),CHAR(13),""),CHAR(9),""),CHAR(160),"")," ",""),".",""),"-",""),"/",""),"?",""),"_",""),",",""),"[",""),"]",""),"(",""),")",""),"*","")</f>
        <v/>
      </c>
      <c r="AZ260" s="61" t="str">
        <f aca="false">SUBSTITUTE(SUBSTITUTE(SUBSTITUTE(SUBSTITUTE(SUBSTITUTE(SUBSTITUTE(SUBSTITUTE(SUBSTITUTE(SUBSTITUTE(SUBSTITUTE(SUBSTITUTE(SUBSTITUTE(SUBSTITUTE(SUBSTITUTE(SUBSTITUTE(SUBSTITUTE(LOWER(AC260&amp;""),CHAR(10),""),CHAR(13),""),CHAR(9),""),CHAR(160),"")," ",""),".",""),"-",""),"/",""),"?",""),"_",""),",",""),"[",""),"]",""),"(",""),")",""),"*","")</f>
        <v/>
      </c>
      <c r="BA260" s="61" t="str">
        <f aca="false">SUBSTITUTE(SUBSTITUTE(SUBSTITUTE(SUBSTITUTE(SUBSTITUTE(SUBSTITUTE(SUBSTITUTE(SUBSTITUTE(SUBSTITUTE(SUBSTITUTE(SUBSTITUTE(SUBSTITUTE(SUBSTITUTE(SUBSTITUTE(SUBSTITUTE(SUBSTITUTE(LOWER(AA260&amp;""),CHAR(10),""),CHAR(13),""),CHAR(9),""),CHAR(160),"")," ",""),".",""),"-",""),"/",""),"?",""),"_",""),",",""),"[",""),"]",""),"(",""),")",""),"*","")</f>
        <v/>
      </c>
      <c r="BB260" s="61" t="str">
        <f aca="false">IF(AND(TRIM(U260)="Pass",ISNUMBER(AF260)),IF(AF260&lt;&gt;0,"INVALID – qty variance: use Fail or Pass after CA",""),"")&amp;IF(AND(TRIM(U260)="Pass after CA",ISNUMBER(AF260)),IF(AF260&lt;&gt;0,"INVALID – after the corrective action the actual qty must equal expected (update Actual)",""),"")&amp;IF(AND(TRIM(U260)="Pass",TRIM(AB260)&lt;&gt;"",TRIM(AB260)&lt;&gt;"Closed"),"INVALID – corrective action not closed: use Fail, then Pass after CA","")&amp;IF(AND(LEN(BA260)&gt;=2,ISNA(MATCH(LEFT(BA260,255),L_Placeholder,0)),TRIM(AB260)=""),"INVALID – CA status missing for the recorded corrective action","")&amp;IF(AND(TRIM(U260)="Pass after CA",OR(OR(LEN(BA260)&lt;5,ISNUMBER(MATCH(BA260,L_Placeholder,0))),TRIM(AB260)&lt;&gt;"Closed")),"INVALID – corrective action not recorded/closed","")</f>
        <v/>
      </c>
      <c r="BC260" s="61" t="str">
        <f aca="false">" "&amp;TRIM(SUBSTITUTE(SUBSTITUTE(SUBSTITUTE(SUBSTITUTE(SUBSTITUTE(SUBSTITUTE(SUBSTITUTE(SUBSTITUTE(SUBSTITUTE(SUBSTITUTE(SUBSTITUTE(SUBSTITUTE(SUBSTITUTE(SUBSTITUTE(SUBSTITUTE(SUBSTITUTE(SUBSTITUTE(SUBSTITUTE(SUBSTITUTE(SUBSTITUTE(SUBSTITUTE(SUBSTITUTE(SUBSTITUTE(SUBSTITUTE(LOWER(V260&amp;""),CHAR(10)," "),CHAR(13)," "),CHAR(9)," "),CHAR(160)," "),"."," "),","," "),"-"," "),"/"," "),"("," "),")"," "),":"," "),";"," "),"_"," "),"–"," "),"?"," "),"!"," "),"*"," "),"["," "),"]"," "),"'"," "),"#"," "),"+"," "),"&amp;"," "),"\"," "))&amp;" "</f>
        <v>  </v>
      </c>
      <c r="BD260" s="61" t="str">
        <f aca="false">" "&amp;TRIM(SUBSTITUTE(SUBSTITUTE(SUBSTITUTE(SUBSTITUTE(SUBSTITUTE(SUBSTITUTE(SUBSTITUTE(SUBSTITUTE(SUBSTITUTE(SUBSTITUTE(SUBSTITUTE(SUBSTITUTE(SUBSTITUTE(SUBSTITUTE(SUBSTITUTE(SUBSTITUTE(SUBSTITUTE(SUBSTITUTE(SUBSTITUTE(SUBSTITUTE(SUBSTITUTE(SUBSTITUTE(SUBSTITUTE(SUBSTITUTE(LOWER(Z260&amp;""),CHAR(10)," "),CHAR(13)," "),CHAR(9)," "),CHAR(160)," "),"."," "),","," "),"-"," "),"/"," "),"("," "),")"," "),":"," "),";"," "),"_"," "),"–"," "),"?"," "),"!"," "),"*"," "),"["," "),"]"," "),"'"," "),"#"," "),"+"," "),"&amp;"," "),"\"," "))&amp;" "</f>
        <v>  </v>
      </c>
      <c r="BE260" s="61" t="str">
        <f aca="false">" "&amp;TRIM(SUBSTITUTE(SUBSTITUTE(SUBSTITUTE(SUBSTITUTE(SUBSTITUTE(SUBSTITUTE(SUBSTITUTE(SUBSTITUTE(SUBSTITUTE(SUBSTITUTE(SUBSTITUTE(SUBSTITUTE(SUBSTITUTE(SUBSTITUTE(SUBSTITUTE(SUBSTITUTE(SUBSTITUTE(SUBSTITUTE(SUBSTITUTE(SUBSTITUTE(SUBSTITUTE(SUBSTITUTE(SUBSTITUTE(SUBSTITUTE(LOWER(W260&amp;""),CHAR(10)," "),CHAR(13)," "),CHAR(9)," "),CHAR(160)," "),"."," "),","," "),"-"," "),"/"," "),"("," "),")"," "),":"," "),";"," "),"_"," "),"–"," "),"?"," "),"!"," "),"*"," "),"["," "),"]"," "),"'"," "),"#"," "),"+"," "),"&amp;"," "),"\"," "))&amp;" "</f>
        <v>  </v>
      </c>
      <c r="BF260" s="61" t="str">
        <f aca="false">" "&amp;TRIM(SUBSTITUTE(SUBSTITUTE(SUBSTITUTE(SUBSTITUTE(SUBSTITUTE(SUBSTITUTE(SUBSTITUTE(SUBSTITUTE(SUBSTITUTE(SUBSTITUTE(SUBSTITUTE(SUBSTITUTE(SUBSTITUTE(SUBSTITUTE(SUBSTITUTE(SUBSTITUTE(SUBSTITUTE(SUBSTITUTE(SUBSTITUTE(SUBSTITUTE(SUBSTITUTE(SUBSTITUTE(SUBSTITUTE(SUBSTITUTE(LOWER(AC260&amp;""),CHAR(10)," "),CHAR(13)," "),CHAR(9)," "),CHAR(160)," "),"."," "),","," "),"-"," "),"/"," "),"("," "),")"," "),":"," "),";"," "),"_"," "),"–"," "),"?"," "),"!"," "),"*"," "),"["," "),"]"," "),"'"," "),"#"," "),"+"," "),"&amp;"," "),"\"," "))&amp;" "</f>
        <v>  </v>
      </c>
      <c r="BG260" s="61" t="n">
        <f aca="false">IFERROR(IF(AND(TRIM(U260)="Pass",SUMPRODUCT((LEN(BC260)-LEN(SUBSTITUTE(BC260," "&amp;L_ResultBad&amp;" "," ")))/(LEN(L_ResultBad)+1))&gt;SUMPRODUCT((LEN(BC260)-LEN(SUBSTITUTE(BC260," "&amp;L_NegPhrase&amp;" "," ")))/(LEN(L_NegPhrase)+1))),1,0),0)</f>
        <v>0</v>
      </c>
      <c r="BH260" s="61" t="n">
        <f aca="false">IFERROR(IF(SUMPRODUCT((LEN(BC260)-LEN(SUBSTITUTE(BC260," "&amp;L_Pending&amp;" "," ")))/(LEN(L_Pending)+1))&gt;SUMPRODUCT((LEN(BC260)-LEN(SUBSTITUTE(BC260," "&amp;L_PendNeg&amp;" "," ")))/(LEN(L_PendNeg)+1)),1,0),1)</f>
        <v>0</v>
      </c>
      <c r="BI260" s="61" t="n">
        <f aca="false">IFERROR(IF(SUMPRODUCT((LEN(BD260)-LEN(SUBSTITUTE(BD260," "&amp;L_PendStrict&amp;" "," ")))/(LEN(L_PendStrict)+1))&gt;SUMPRODUCT((LEN(BD260)-LEN(SUBSTITUTE(BD260," "&amp;L_PendNeg&amp;" "," ")))/(LEN(L_PendNeg)+1)),1,0),1)</f>
        <v>0</v>
      </c>
      <c r="BJ260" s="61" t="n">
        <f aca="false">IFERROR(IF(SUMPRODUCT((LEN(BE260)-LEN(SUBSTITUTE(BE260," "&amp;L_Pending&amp;" "," ")))/(LEN(L_Pending)+1))&gt;SUMPRODUCT((LEN(BE260)-LEN(SUBSTITUTE(BE260," "&amp;L_PendNeg&amp;" "," ")))/(LEN(L_PendNeg)+1)),1,0),1)</f>
        <v>0</v>
      </c>
      <c r="BK260" s="61" t="n">
        <f aca="false">IFERROR(IF(SUMPRODUCT((LEN(BF260)-LEN(SUBSTITUTE(BF260," "&amp;L_PendStrict&amp;" "," ")))/(LEN(L_PendStrict)+1))&gt;SUMPRODUCT((LEN(BF260)-LEN(SUBSTITUTE(BF260," "&amp;L_PendNeg&amp;" "," ")))/(LEN(L_PendNeg)+1)),1,0),1)</f>
        <v>0</v>
      </c>
      <c r="BL260" s="61" t="n">
        <f aca="false">IF(ISNA(MATCH(TRIM(S260),L_EvidenceType,0)),0,BZ260)</f>
        <v>0</v>
      </c>
      <c r="BM260" s="61" t="str">
        <f aca="false">SUBSTITUTE(SUBSTITUTE(SUBSTITUTE(SUBSTITUTE(SUBSTITUTE(SUBSTITUTE(SUBSTITUTE(SUBSTITUTE(SUBSTITUTE(LOWER(Z260&amp;""),"1","0"),"2","0"),"3","0"),"4","0"),"5","0"),"6","0"),"7","0"),"8","0"),"9","0")</f>
        <v/>
      </c>
      <c r="BN260" s="61" t="str">
        <f aca="false">SUBSTITUTE(SUBSTITUTE(SUBSTITUTE(SUBSTITUTE(SUBSTITUTE(SUBSTITUTE(SUBSTITUTE(SUBSTITUTE(SUBSTITUTE(SUBSTITUTE(SUBSTITUTE(SUBSTITUTE(SUBSTITUTE(SUBSTITUTE(SUBSTITUTE(SUBSTITUTE(SUBSTITUTE(SUBSTITUTE(SUBSTITUTE(SUBSTITUTE(SUBSTITUTE(SUBSTITUTE(SUBSTITUTE(SUBSTITUTE(SUBSTITUTE(BM260,"b","a"),"c","a"),"d","a"),"e","a"),"f","a"),"g","a"),"h","a"),"i","a"),"j","a"),"k","a"),"l","a"),"m","a"),"n","a"),"o","a"),"p","a"),"q","a"),"r","a"),"s","a"),"t","a"),"u","a"),"v","a"),"w","a"),"x","a"),"y","a"),"z","a")</f>
        <v/>
      </c>
      <c r="BO260" s="61" t="str">
        <f aca="false">SUBSTITUTE(SUBSTITUTE(SUBSTITUTE(SUBSTITUTE(SUBSTITUTE(SUBSTITUTE(SUBSTITUTE(SUBSTITUTE(SUBSTITUTE(LOWER(W260&amp;""),"1","0"),"2","0"),"3","0"),"4","0"),"5","0"),"6","0"),"7","0"),"8","0"),"9","0")</f>
        <v/>
      </c>
      <c r="BP260" s="61" t="str">
        <f aca="false">SUBSTITUTE(SUBSTITUTE(SUBSTITUTE(SUBSTITUTE(SUBSTITUTE(SUBSTITUTE(SUBSTITUTE(SUBSTITUTE(SUBSTITUTE(SUBSTITUTE(SUBSTITUTE(SUBSTITUTE(SUBSTITUTE(SUBSTITUTE(SUBSTITUTE(SUBSTITUTE(SUBSTITUTE(SUBSTITUTE(SUBSTITUTE(SUBSTITUTE(SUBSTITUTE(SUBSTITUTE(SUBSTITUTE(SUBSTITUTE(SUBSTITUTE(BO260,"b","a"),"c","a"),"d","a"),"e","a"),"f","a"),"g","a"),"h","a"),"i","a"),"j","a"),"k","a"),"l","a"),"m","a"),"n","a"),"o","a"),"p","a"),"q","a"),"r","a"),"s","a"),"t","a"),"u","a"),"v","a"),"w","a"),"x","a"),"y","a"),"z","a")</f>
        <v/>
      </c>
      <c r="BQ260" s="61" t="n">
        <f aca="false">IFERROR(IF(AND(ISERROR(SEARCH(" mh"," "&amp;LOWER(W260))),ISNA(MATCH(LEFT(TRIM(BP260),255),{"0000a","000a","00a","0000aa","000aa","00aa","0aa","0000aaa","000aaa","00a00","0a00","0000-0000","00:00","a00","a0","00.00.0000","00/00/0000","00-00-0000","0000-00-00","0000/00/00","0000.00.00","00.00.00","00/00/00","00-00-00","0.00.0000","0/00/0000","0-00-0000"},0)),ISNA(MATCH(LEFT(TRIM(CA260),255),{"0000a","000a","00a","0000aa","000aa","00aa","0aa","0000aaa","000aaa","00a00","0a00","0000-0000","00:00","a00","a0","00.00.0000","00/00/0000","00-00-0000","0000-00-00","0000/00/00","0000.00.00","00.00.00","00/00/00","00-00-00","0.00.0000","0/00/0000","0-00-0000"},0)),LEN(CB260)&gt;=3,NOT(OR(SUBSTITUTE(CB260,"0","")="",AND(LEN(CB260)&gt;=4,CB260=REPT(LEFT(CB260),LEN(CB260))),ISNUMBER(MATCH(CB260,{"123","1234","12345","123456","1234567","12345678","0123","01234","012345","98765","987654","54321"},0)),AND(LEN(CB260)=8,LEFT(CB260,3)="202"))),OR(AND((LEN(CA260)-LEN(SUBSTITUTE(CA260,"a","")))&gt;=1,SUMPRODUCT(--ISNUMBER(SEARCH({"a0","a-0","a_0","a/0","a.0","a#0","0a","0-a","0_a","0/a"},BP260)))&gt;0),ISNUMBER(SEARCH("000000",BP260)))),1,0),0)</f>
        <v>0</v>
      </c>
      <c r="BR260" s="61" t="n">
        <f aca="false">IFERROR(LEN(SUBSTITUTE(CC260," ",""))-SUMPRODUCT((LEN(CC260)-LEN(SUBSTITUTE(CC260," "&amp;L_Role&amp;" "," ")))/(LEN(L_Role)+1)*LEN(L_Role)),0)</f>
        <v>0</v>
      </c>
      <c r="BS260" s="61" t="n">
        <f aca="false">IFERROR(LEN(SUBSTITUTE(CD260," ",""))-SUMPRODUCT((LEN(CD260)-LEN(SUBSTITUTE(CD260," "&amp;L_Role&amp;" "," ")))/(LEN(L_Role)+1)*LEN(L_Role)),0)</f>
        <v>0</v>
      </c>
      <c r="BT2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260,"revision",""),"version",""),"jan",""),"feb",""),"mar",""),"apr",""),"may",""),"jun",""),"jul",""),"aug",""),"sep",""),"oct",""),"nov",""),"dec",""),"utc",""),"gmt",""),"myt",""),"bst",""),"rev",""),"ver",""),"b","a"),"c","a"),"d","a"),"e","a"),"f","a"),"g","a"),"h","a"),"i","a"),"j","a"),"k","a"),"l","a"),"m","a"),"n","a"),"o","a"),"p","a"),"q","a"),"r","a"),"s","a"),"t","a"),"u","a"),"v","a"),"w","a"),"x","a"),"y","a"),"z","a")</f>
        <v/>
      </c>
      <c r="BU260" s="61" t="str">
        <f aca="false">SUBSTITUTE(SUBSTITUTE(SUBSTITUTE(SUBSTITUTE(SUBSTITUTE(SUBSTITUTE(SUBSTITUTE(SUBSTITUTE(SUBSTITUTE(SUBSTITUTE(LEFT(BM260,FIND("0",BM260&amp;"0")-1),"-",""),"_",""),"/",""),".",""),"#",""),"\\",""),":","")," ",""),"(",""),")","")</f>
        <v/>
      </c>
      <c r="BV260" s="61" t="n">
        <f aca="false">IFERROR(IF(OR(SUMPRODUCT((LEN(BC260)-LEN(SUBSTITUTE(BC260," "&amp;L_NotLoaded&amp;" "," ")))/(LEN(L_NotLoaded)+1))&gt;SUMPRODUCT((LEN(BC260)-LEN(SUBSTITUTE(BC260," "&amp;L_NotLoadedNeg&amp;" "," ")))/(LEN(L_NotLoadedNeg)+1)),SUMPRODUCT((LEN(BD260)-LEN(SUBSTITUTE(BD260," "&amp;L_NotLoaded&amp;" "," ")))/(LEN(L_NotLoaded)+1))&gt;SUMPRODUCT((LEN(BD260)-LEN(SUBSTITUTE(BD260," "&amp;L_NotLoadedNeg&amp;" "," ")))/(LEN(L_NotLoadedNeg)+1))),1,0),0)</f>
        <v>0</v>
      </c>
      <c r="BW2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260&amp;""),"a",""),"b",""),"c",""),"d",""),"e",""),"f",""),"g",""),"h",""),"i",""),"j",""),"k",""),"l",""),"m",""),"n",""),"o",""),"p",""),"q",""),"r",""),"s",""),"t",""),"u",""),"v",""),"w",""),"x",""),"y",""),"z",""),"-",""),"_",""),"/",""),".",""),"#",""),"\\",""),":","")," ",""),"(",""),")","")</f>
        <v/>
      </c>
      <c r="BX260" s="61" t="str">
        <f aca="false">SUBSTITUTE(SUBSTITUTE(SUBSTITUTE(SUBSTITUTE(SUBSTITUTE(SUBSTITUTE(SUBSTITUTE(SUBSTITUTE(SUBSTITUTE(SUBSTITUTE(SUBSTITUTE(BM260,"0",""),"-",""),"_",""),"/",""),".",""),"#",""),"\\",""),":","")," ",""),"(",""),")","")</f>
        <v/>
      </c>
      <c r="BY260" s="62" t="n">
        <f aca="false">IF(ISNUMBER(Flights!$AZ$11),MAX(Q260-UpliftWindowH/24,Flights!$AZ$11),Q260-UpliftWindowH/24)</f>
        <v>46304.4166666667</v>
      </c>
      <c r="BZ260" s="61" t="n">
        <f aca="false">IFERROR(IF(IF(TRIM(S260)="Link / file path",AND(LEN(TRIM(Z260))&gt;=5,SUMPRODUCT(--ISNUMBER(SEARCH({"http","www.","\\",":\",".pdf",".jpg",".jpeg",".png",".heic",".xls",".doc",".msg",".eml",".ppt",".txt",".zip"},Z260)))&gt;0),AND(ISERROR(FIND(" ",TRIM(Z260))),NOT(OR(SUMPRODUCT(--ISNUMBER(FIND({",",";","&amp;","+"},Z260)))&gt;0,SUMPRODUCT(--ISNUMBER(SEARCH({"0/aa","0\\aa"},BN260)))&gt;0)),NOT(SUMPRODUCT(--ISNUMBER(SEARCH({"http","www.","\\",":\",".pdf",".jpg",".jpeg",".png",".heic",".xls",".doc",".msg",".eml",".ppt",".txt",".zip"},Z260)))&gt;0),NOT(LOWER(TRIM(Z260))=LOWER(Flights!$F$11)),ISNA(MATCH(BU260,{"mh","rev","revision","ver","version","v","r","a","b","seat","tray","row","gate","bay","stand","page","pg","item","line","no","cart","galley","flight","flt","table","box","bag","oven","etd","eta","std","sta","atd","ata","qty","pax","x","time","tel","ph","mob","day","wk","week","utc","gmt","myt","lt"},0)),NOT(OR(ISNUMBER(MATCH(LEFT(BN260,255),{"0000a","000a","00a","0000aa","000aa","00aa","0aa","0000aaa","000aaa","00a00","0a00","0000-0000","00:00","a00","a0","00.00.0000","00/00/0000","00-00-0000","0000-00-00","0000/00/00","0000.00.00","00.00.00","00/00/00","00-00-00","0.00.0000","0/00/0000","0-00-0000"},0)),ISNUMBER(MATCH(LEFT(BT260,255),{"0000a","000a","00a","0000aa","000aa","00aa","0aa","0000aaa","000aaa","00a00","0a00","0000-0000","00:00","a00","a0","00.00.0000","00/00/0000","00-00-0000","0000-00-00","0000/00/00","0000.00.00","00.00.00","00/00/00","00-00-00","0.00.0000","0/00/0000","0-00-0000"},0)))),NOT(OR(AND(BW260&lt;&gt;"",SUBSTITUTE(BW260,"0","")=""),AND(LEN(BW260)&gt;=4,BW260=REPT(LEFT(BW260),LEN(BW260))),ISNUMBER(MATCH(BW260,{"123","1234","12345","123456","1234567","12345678","0123","01234","012345","98765","987654","54321"},0)),ISNUMBER(MATCH(BX260,{"x","xx","xxx","xxxx","xxxxx","abc","abcd","nil","na","nan","test","tbc","tba","tbd","dummy","sample","example","eg","zz","zzz","none","null","xyz","qwe","asd","id","ref"},0)),AND(LEN(BW260)=8,BX260="",OR(LEFT(BW260,3)="202",ISNUMBER(MATCH(RIGHT(BW260,4),{"2025","2026","2027"},0)))))),OR(AND((LEN(BT260)-LEN(SUBSTITUTE(BT260,"a","")))&gt;=1,(LEN(BN260)-LEN(SUBSTITUTE(BN260,"0","")))&gt;=2,SUMPRODUCT(--ISNUMBER(SEARCH({"a0","a-0","a_0","a/0","a.0","a#0","0a","0-a","0_a","0/a"},BN260)))&gt;0),AND((LEN(BN260)-LEN(SUBSTITUTE(BN260,"a","")))=0,(LEN(BN260)-LEN(SUBSTITUTE(BN260,"0","")))&gt;=5)))),1,0),0)</f>
        <v>0</v>
      </c>
      <c r="CA2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260,"revision",""),"version",""),"jan",""),"feb",""),"mar",""),"apr",""),"may",""),"jun",""),"jul",""),"aug",""),"sep",""),"oct",""),"nov",""),"dec",""),"utc",""),"gmt",""),"myt",""),"bst",""),"rev",""),"ver",""),"b","a"),"c","a"),"d","a"),"e","a"),"f","a"),"g","a"),"h","a"),"i","a"),"j","a"),"k","a"),"l","a"),"m","a"),"n","a"),"o","a"),"p","a"),"q","a"),"r","a"),"s","a"),"t","a"),"u","a"),"v","a"),"w","a"),"x","a"),"y","a"),"z","a")</f>
        <v/>
      </c>
      <c r="CB2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260&amp;""),"a",""),"b",""),"c",""),"d",""),"e",""),"f",""),"g",""),"h",""),"i",""),"j",""),"k",""),"l",""),"m",""),"n",""),"o",""),"p",""),"q",""),"r",""),"s",""),"t",""),"u",""),"v",""),"w",""),"x",""),"y",""),"z",""),"-",""),"_",""),"/",""),".",""),"#",""),"\\",""),":","")," ",""),"(",""),")","")</f>
        <v/>
      </c>
      <c r="CC260" s="0" t="str">
        <f aca="false">" "&amp;TRIM(SUBSTITUTE(SUBSTITUTE(SUBSTITUTE(SUBSTITUTE(SUBSTITUTE(SUBSTITUTE(SUBSTITUTE(SUBSTITUTE(SUBSTITUTE(SUBSTITUTE(SUBSTITUTE(SUBSTITUTE(SUBSTITUTE(SUBSTITUTE(SUBSTITUTE(SUBSTITUTE(SUBSTITUTE(SUBSTITUTE(SUBSTITUTE(SUBSTITUTE(SUBSTITUTE(SUBSTITUTE(SUBSTITUTE(SUBSTITUTE(LOWER(T260&amp;""),CHAR(10)," "),CHAR(13)," "),CHAR(9)," "),CHAR(160)," "),"."," "),","," "),"-"," "),"/"," "),"("," "),")"," "),":"," "),";"," "),"_"," "),"–"," "),"?"," "),"!"," "),"*"," "),"["," "),"]"," "),"'"," "),"#"," "),"+"," "),"&amp;"," "),"\"," "))&amp;" "</f>
        <v>  </v>
      </c>
      <c r="CD260" s="0" t="str">
        <f aca="false">" "&amp;TRIM(SUBSTITUTE(SUBSTITUTE(SUBSTITUTE(SUBSTITUTE(SUBSTITUTE(SUBSTITUTE(SUBSTITUTE(SUBSTITUTE(SUBSTITUTE(SUBSTITUTE(SUBSTITUTE(SUBSTITUTE(SUBSTITUTE(SUBSTITUTE(SUBSTITUTE(SUBSTITUTE(SUBSTITUTE(SUBSTITUTE(SUBSTITUTE(SUBSTITUTE(SUBSTITUTE(SUBSTITUTE(SUBSTITUTE(SUBSTITUTE(LOWER(AE260&amp;""),CHAR(10)," "),CHAR(13)," "),CHAR(9)," "),CHAR(160)," "),"."," "),","," "),"-"," "),"/"," "),"("," "),")"," "),":"," "),";"," "),"_"," "),"–"," "),"?"," "),"!"," "),"*"," "),"["," "),"]"," "),"'"," "),"#"," "),"+"," "),"&amp;"," "),"\"," "))&amp;" "</f>
        <v>  </v>
      </c>
      <c r="CE260" s="68" t="n">
        <f aca="false">IFERROR(IF(AND(LEN(AU260)&gt;0,LEN(AU260)=LEN(AX260),OR(TRIM(MID(SUBSTITUTE(TRIM(CC260)," ",REPT(" ",60)),1,60))="",ISNUMBER(SEARCH(" "&amp;TRIM(MID(SUBSTITUTE(TRIM(CC260)," ",REPT(" ",60)),1,60))&amp;" ",CD260))),OR(TRIM(MID(SUBSTITUTE(TRIM(CC260)," ",REPT(" ",60)),61,60))="",ISNUMBER(SEARCH(" "&amp;TRIM(MID(SUBSTITUTE(TRIM(CC260)," ",REPT(" ",60)),61,60))&amp;" ",CD260))),OR(TRIM(MID(SUBSTITUTE(TRIM(CC260)," ",REPT(" ",60)),121,60))="",ISNUMBER(SEARCH(" "&amp;TRIM(MID(SUBSTITUTE(TRIM(CC260)," ",REPT(" ",60)),121,60))&amp;" ",CD260)))),1,0),0)</f>
        <v>0</v>
      </c>
      <c r="CG260" s="68" t="n">
        <f aca="false">IFERROR(LEN(SUBSTITUTE(BF260," ",""))-SUMPRODUCT((LEN(BF260)-LEN(SUBSTITUTE(BF260," "&amp;L_NAFiller&amp;" "," ")))/(LEN(L_NAFiller)+1)*LEN(L_NAFiller)),0)</f>
        <v>0</v>
      </c>
    </row>
    <row r="261" customFormat="false" ht="39.75" hidden="false" customHeight="true" outlineLevel="0" collapsed="false">
      <c r="A261" s="57" t="s">
        <v>832</v>
      </c>
      <c r="B261" s="57" t="s">
        <v>235</v>
      </c>
      <c r="C261" s="57" t="str">
        <f aca="false">Flights!$F$11</f>
        <v>MH0003</v>
      </c>
      <c r="D261" s="58" t="n">
        <f aca="false">Flights!$D$11</f>
        <v>46304</v>
      </c>
      <c r="E261" s="57" t="str">
        <f aca="false">Flights!$G$11&amp;"-"&amp;Flights!$H$11</f>
        <v>LHR-KUL</v>
      </c>
      <c r="F261" s="57" t="str">
        <f aca="false">Flights!$K$11</f>
        <v>BC</v>
      </c>
      <c r="G261" s="57" t="s">
        <v>459</v>
      </c>
      <c r="H261" s="57" t="s">
        <v>460</v>
      </c>
      <c r="I261" s="57" t="s">
        <v>629</v>
      </c>
      <c r="J261" s="57" t="s">
        <v>657</v>
      </c>
      <c r="K261" s="67" t="s">
        <v>501</v>
      </c>
      <c r="L261" s="67" t="s">
        <v>756</v>
      </c>
      <c r="M261" s="67" t="s">
        <v>187</v>
      </c>
      <c r="N261" s="67" t="s">
        <v>383</v>
      </c>
      <c r="O261" s="67" t="s">
        <v>632</v>
      </c>
      <c r="P261" s="57" t="s">
        <v>186</v>
      </c>
      <c r="Q261" s="59" t="n">
        <f aca="false">ROUND((Flights!$AF$11)*1440,0)/1440</f>
        <v>46304.4166666667</v>
      </c>
      <c r="R261" s="59" t="n">
        <f aca="false">Q261+(IF(AND(INDEX(TZ_DSTS,MATCH(P261,TZ_STN,0))&lt;&gt;"",Q261&gt;=INDEX(TZ_DSTS,MATCH(P261,TZ_STN,0)),Q261&lt;INDEX(TZ_DSTE,MATCH(P261,TZ_STN,0))),INDEX(TZ_DST,MATCH(P261,TZ_STN,0)),INDEX(TZ_STD,MATCH(P261,TZ_STN,0))))/24</f>
        <v>46304.4583333333</v>
      </c>
      <c r="S261" s="60"/>
      <c r="T261" s="60"/>
      <c r="U261" s="60"/>
      <c r="V261" s="60"/>
      <c r="W261" s="61"/>
      <c r="X261" s="60"/>
      <c r="Y261" s="60"/>
      <c r="Z261" s="60"/>
      <c r="AA261" s="60"/>
      <c r="AB261" s="60"/>
      <c r="AC261" s="60"/>
      <c r="AD261" s="66"/>
      <c r="AE261" s="60"/>
      <c r="AF261" s="61" t="str">
        <f aca="false">IF(AND(ISNUMBER(X261),ISNUMBER(Y261)),Y261-X261,"")</f>
        <v/>
      </c>
      <c r="AG261" s="62" t="str">
        <f aca="false">IF(ISNUMBER(AD261),AD261-(IF(AND(INDEX(TZ_DSTS,MATCH(P261,TZ_STN,0))&lt;&gt;"",(AD261-INDEX(TZ_STD,MATCH(P261,TZ_STN,0))/24)&gt;=INDEX(TZ_DSTS,MATCH(P261,TZ_STN,0)),(AD261-INDEX(TZ_STD,MATCH(P261,TZ_STN,0))/24)&lt;INDEX(TZ_DSTE,MATCH(P261,TZ_STN,0))),INDEX(TZ_DST,MATCH(P261,TZ_STN,0)),INDEX(TZ_STD,MATCH(P261,TZ_STN,0))))/24,"")</f>
        <v/>
      </c>
      <c r="AH261" s="65" t="str">
        <f aca="false">IFERROR(IF(N261="N/A – rule",IF(OR(TRIM(U261)="",TRIM(U261)="N/A",TRIM(U261)="Not started"),"N/A – RULE","INVALID – this check does not apply to this aircraft: clear the status (or correct the fleet on Flights)"),IF(TRIM(U261)="N/A",IF(AT261=0,"INVALID – N/A not permitted for this check",IF(AND(TRIM(AB261)&lt;&gt;"",TRIM(AB261)&lt;&gt;"Closed"),"INVALID – corrective action still open",IF(AND(NOT(OR(LEN(AZ261)&lt;15,ISNUMBER(MATCH(AZ261,L_Placeholder,0)))),BK261=0,CG261&gt;=8,NOT(OR(LEN(AU261)&lt;2,ISNUMBER(MATCH(AU261,L_Placeholder,0)))),BR261&gt;=3,NOT(OR(LEN(AX261)&lt;2,ISNUMBER(MATCH(AX261,L_Placeholder,0)))),BS261&gt;=3,TRIM(AE261)&lt;&gt;TRIM(T261),AX261&lt;&gt;AU261,CE261=0),"N/A – JUSTIFIED","INVALID – N/A needs a real, settled reason (not 'not applicable' / 'as above' / TBC), a named PIC and a different named verifier"))),IF(OR(TRIM(U261)="Pass",TRIM(U261)="Pass after CA"),IF(NOT(ISNUMBER(AD261)),"INVALID – completion time missing",IF(OR(OR(LEN(AU261)&lt;2,ISNUMBER(MATCH(AU261,L_Placeholder,0))),BR261&lt;3),"INVALID – PIC missing or not a named person (a role such as QA / CSM is not a name)",IF(OR(LEN(AV261)&lt;2,ISNUMBER(MATCH(AV261,L_Placeholder,0))),"INVALID – result / assessment missing",IF(OR(OR(LEN(AW261)&lt;3,ISNUMBER(MATCH(AW261,L_Placeholder,0))),SUMPRODUCT(--ISNUMBER(SEARCH(" "&amp;L_EvidencePhrase&amp;" ",BD261)))&gt;0,BI261=1),"INVALID – evidence missing, placeholder or not yet on file",IF(ISNA(MATCH(TRIM(S261),L_EvidenceType,0)),"INVALID – choose the evidence type from the list (column S)",IF(BL261=0,"INVALID – evidence ID must be the record's own ID only (e.g. SF-2210, IMG_2231, 1045521); a link / file name needs type 'Link / file path'",IF(OR(OR(LEN(AX261)&lt;2,ISNUMBER(MATCH(AX261,L_Placeholder,0))),BS261&lt;3),"INVALID – verifier missing or not a named person (a role such as QA / CSM is not a name)",IF(OR(AX261=AU261,CE261=1,AND(LEN(AU261)&gt;=4,ISNUMBER(SEARCH(AU261,AX261))),AND(LEN(AX261)&gt;=4,ISNUMBER(SEARCH(AX261,AU261)))),"INVALID – verifier must be a different, named person (not the PIC or a role)",IF(BH261=1,"INVALID – result not yet available (awaiting / TBC)",IF(BG261=1,"INVALID – result describes a problem: record Fail, then Pass after CA (or reword if it is not a problem)",IF(BV261=1,"INVALID – wording says not on board: an on-board confirmation needs the item loaded",IF(AND(AQ261=1,OR(OR(LEN(AY261)&lt;3,ISNUMBER(MATCH(AY261,L_Placeholder,0))),BJ261=1,BQ261=0)),"INVALID – batch ID missing, placeholder or not an ID (e.g. PASB-261008-BC-017)",IF(AND(AR261=1,OR(NOT(ISNUMBER(X261)),NOT(ISNUMBER(Y261)))),"INVALID – expected/actual qty missing",IF(AND(AR261=1,OR(X261&lt;=0,Y261&lt;0)),"INVALID – expected qty must be above 0 and actual not negative",IF(AH244="N/A – JUSTIFIED","INVALID – preparation row F07-T12-21 is N/A",IF(AND(AR261=1,ISNUMBER(X244),X261&lt;&gt;X244,TRIM(U261)&lt;&gt;"Pass after CA"),"INVALID – expected qty differs from preparation check F07-T12-21: record the load change as a corrective action (Pass after CA)",IF(BB261&lt;&gt;"",BB261,IF(AND(AS261=1,Documents!$J$11&lt;&gt;"ON FILE"),"INVALID – GLD not on file (Documents sheet)",IF(AND(AS261=2,Documents!$O$11&lt;&gt;"ON FILE"),"INVALID – menu checklist not on file (Documents sheet)",IF(AND(AS261=3,NOT(ISNUMBER(Flights!$AX$11))),"INVALID – enter carrying flight KUL departure (Flights AX)",IF(AND(AS261=3,OR(Flights!$AZ$11&gt;Flights!$AA$11,Flights!$AX$11&lt;Flights!$AA$11-3)),"INVALID – carrying flight (Flights AX) cannot arrive before this leg's STD, or is over 3 days early",IF(AG261&gt;AsOfUTC,"INVALID – completion time is in the future",IF(AND(ISNUMBER(BY261),AG261&lt;BY261),IF(H261="Physical uplift","INVALID – before uplift window (cannot confirm loading)","INVALID – before valid window"),IF(AG261&gt;Flights!$AA$11,"INVALID – completed after departure (cannot establish readiness)",IF(AND(H261="Preparation",AG261&gt;=IF(ISNUMBER(Flights!$BA$11),MIN(Flights!$BA$11,Flights!$AA$11),Flights!$AA$11)),"INVALID – completed after loading / departure (cannot establish readiness)",IF(AND(H261="Physical uplift",AG261&gt;Q261),"INVALID – recorded after the loading flight departed",IF(AG261&gt;Q261,"COMPLETE – LATE","COMPLETE"))))))))))))))))))))))))))),IF(TRIM(U261)="Fail","FAIL – DISCREPANCY",IF(AND(TRIM(U261)&lt;&gt;"",TRIM(U261)&lt;&gt;"Not started",TRIM(U261)&lt;&gt;"In progress"),"INVALID – unrecognised status (use the list)",IF(AsOfUTC&gt;Q261,"OVERDUE",IF(N261="Clarification required","OPEN – CLARIFICATION","OPEN"))))))),"INVALID – error value in an input cell")</f>
        <v>OPEN</v>
      </c>
      <c r="AI261" s="61" t="n">
        <f aca="false">IF(OR(AH261="N/A – RULE",AH261="N/A – JUSTIFIED"),0,1)</f>
        <v>1</v>
      </c>
      <c r="AJ261" s="61" t="n">
        <f aca="false">IF(LEFT(AH261,8)="COMPLETE",1,0)</f>
        <v>0</v>
      </c>
      <c r="AK261" s="61" t="n">
        <f aca="false">IF(AND(AI261=1,AJ261=0,AsOfUTC&gt;Q261),1,0)</f>
        <v>0</v>
      </c>
      <c r="AL261" s="61" t="n">
        <f aca="false">IFERROR(IF(AND(AI261=1,OR(TRIM(U261)="Fail",AND(TRIM(AB261)&lt;&gt;"",TRIM(AB261)&lt;&gt;"Closed"),AND(ISNUMBER(AF261),AF261&lt;&gt;0,TRIM(U261)&lt;&gt;"Pass after CA"))),1,0),1)</f>
        <v>0</v>
      </c>
      <c r="AM261" s="61" t="n">
        <f aca="false">IF(LEFT(AH261,7)="INVALID",1,0)</f>
        <v>0</v>
      </c>
      <c r="AN261" s="61" t="n">
        <f aca="false">IF(AND(N261="Clarification required",AI261=1,AJ261=0),1,0)</f>
        <v>0</v>
      </c>
      <c r="AO261" s="61" t="str">
        <f aca="false">IF(AK261=1,SUM(AK$5:AK261),"")</f>
        <v/>
      </c>
      <c r="AP261" s="61" t="str">
        <f aca="false">IF(AL261=1,SUM(AL$5:AL261),"")</f>
        <v/>
      </c>
      <c r="AQ261" s="61" t="n">
        <v>0</v>
      </c>
      <c r="AR261" s="61" t="n">
        <v>0</v>
      </c>
      <c r="AS261" s="61" t="n">
        <v>0</v>
      </c>
      <c r="AT261" s="61" t="n">
        <v>0</v>
      </c>
      <c r="AU261" s="61" t="str">
        <f aca="false">SUBSTITUTE(SUBSTITUTE(SUBSTITUTE(SUBSTITUTE(SUBSTITUTE(SUBSTITUTE(SUBSTITUTE(SUBSTITUTE(SUBSTITUTE(SUBSTITUTE(SUBSTITUTE(SUBSTITUTE(SUBSTITUTE(SUBSTITUTE(SUBSTITUTE(SUBSTITUTE(LOWER(T261&amp;""),CHAR(10),""),CHAR(13),""),CHAR(9),""),CHAR(160),"")," ",""),".",""),"-",""),"/",""),"?",""),"_",""),",",""),"[",""),"]",""),"(",""),")",""),"*","")</f>
        <v/>
      </c>
      <c r="AV261" s="61" t="str">
        <f aca="false">SUBSTITUTE(SUBSTITUTE(SUBSTITUTE(SUBSTITUTE(SUBSTITUTE(SUBSTITUTE(SUBSTITUTE(SUBSTITUTE(SUBSTITUTE(SUBSTITUTE(SUBSTITUTE(SUBSTITUTE(SUBSTITUTE(SUBSTITUTE(SUBSTITUTE(SUBSTITUTE(LOWER(V261&amp;""),CHAR(10),""),CHAR(13),""),CHAR(9),""),CHAR(160),"")," ",""),".",""),"-",""),"/",""),"?",""),"_",""),",",""),"[",""),"]",""),"(",""),")",""),"*","")</f>
        <v/>
      </c>
      <c r="AW261" s="61" t="str">
        <f aca="false">SUBSTITUTE(SUBSTITUTE(SUBSTITUTE(SUBSTITUTE(SUBSTITUTE(SUBSTITUTE(SUBSTITUTE(SUBSTITUTE(SUBSTITUTE(SUBSTITUTE(SUBSTITUTE(SUBSTITUTE(SUBSTITUTE(SUBSTITUTE(SUBSTITUTE(SUBSTITUTE(LOWER(Z261&amp;""),CHAR(10),""),CHAR(13),""),CHAR(9),""),CHAR(160),"")," ",""),".",""),"-",""),"/",""),"?",""),"_",""),",",""),"[",""),"]",""),"(",""),")",""),"*","")</f>
        <v/>
      </c>
      <c r="AX261" s="61" t="str">
        <f aca="false">SUBSTITUTE(SUBSTITUTE(SUBSTITUTE(SUBSTITUTE(SUBSTITUTE(SUBSTITUTE(SUBSTITUTE(SUBSTITUTE(SUBSTITUTE(SUBSTITUTE(SUBSTITUTE(SUBSTITUTE(SUBSTITUTE(SUBSTITUTE(SUBSTITUTE(SUBSTITUTE(LOWER(AE261&amp;""),CHAR(10),""),CHAR(13),""),CHAR(9),""),CHAR(160),"")," ",""),".",""),"-",""),"/",""),"?",""),"_",""),",",""),"[",""),"]",""),"(",""),")",""),"*","")</f>
        <v/>
      </c>
      <c r="AY261" s="61" t="str">
        <f aca="false">SUBSTITUTE(SUBSTITUTE(SUBSTITUTE(SUBSTITUTE(SUBSTITUTE(SUBSTITUTE(SUBSTITUTE(SUBSTITUTE(SUBSTITUTE(SUBSTITUTE(SUBSTITUTE(SUBSTITUTE(SUBSTITUTE(SUBSTITUTE(SUBSTITUTE(SUBSTITUTE(LOWER(W261&amp;""),CHAR(10),""),CHAR(13),""),CHAR(9),""),CHAR(160),"")," ",""),".",""),"-",""),"/",""),"?",""),"_",""),",",""),"[",""),"]",""),"(",""),")",""),"*","")</f>
        <v/>
      </c>
      <c r="AZ261" s="61" t="str">
        <f aca="false">SUBSTITUTE(SUBSTITUTE(SUBSTITUTE(SUBSTITUTE(SUBSTITUTE(SUBSTITUTE(SUBSTITUTE(SUBSTITUTE(SUBSTITUTE(SUBSTITUTE(SUBSTITUTE(SUBSTITUTE(SUBSTITUTE(SUBSTITUTE(SUBSTITUTE(SUBSTITUTE(LOWER(AC261&amp;""),CHAR(10),""),CHAR(13),""),CHAR(9),""),CHAR(160),"")," ",""),".",""),"-",""),"/",""),"?",""),"_",""),",",""),"[",""),"]",""),"(",""),")",""),"*","")</f>
        <v/>
      </c>
      <c r="BA261" s="61" t="str">
        <f aca="false">SUBSTITUTE(SUBSTITUTE(SUBSTITUTE(SUBSTITUTE(SUBSTITUTE(SUBSTITUTE(SUBSTITUTE(SUBSTITUTE(SUBSTITUTE(SUBSTITUTE(SUBSTITUTE(SUBSTITUTE(SUBSTITUTE(SUBSTITUTE(SUBSTITUTE(SUBSTITUTE(LOWER(AA261&amp;""),CHAR(10),""),CHAR(13),""),CHAR(9),""),CHAR(160),"")," ",""),".",""),"-",""),"/",""),"?",""),"_",""),",",""),"[",""),"]",""),"(",""),")",""),"*","")</f>
        <v/>
      </c>
      <c r="BB261" s="61" t="str">
        <f aca="false">IF(AND(TRIM(U261)="Pass",ISNUMBER(AF261)),IF(AF261&lt;&gt;0,"INVALID – qty variance: use Fail or Pass after CA",""),"")&amp;IF(AND(TRIM(U261)="Pass after CA",ISNUMBER(AF261)),IF(AF261&lt;&gt;0,"INVALID – after the corrective action the actual qty must equal expected (update Actual)",""),"")&amp;IF(AND(TRIM(U261)="Pass",TRIM(AB261)&lt;&gt;"",TRIM(AB261)&lt;&gt;"Closed"),"INVALID – corrective action not closed: use Fail, then Pass after CA","")&amp;IF(AND(LEN(BA261)&gt;=2,ISNA(MATCH(LEFT(BA261,255),L_Placeholder,0)),TRIM(AB261)=""),"INVALID – CA status missing for the recorded corrective action","")&amp;IF(AND(TRIM(U261)="Pass after CA",OR(OR(LEN(BA261)&lt;5,ISNUMBER(MATCH(BA261,L_Placeholder,0))),TRIM(AB261)&lt;&gt;"Closed")),"INVALID – corrective action not recorded/closed","")</f>
        <v/>
      </c>
      <c r="BC261" s="61" t="str">
        <f aca="false">" "&amp;TRIM(SUBSTITUTE(SUBSTITUTE(SUBSTITUTE(SUBSTITUTE(SUBSTITUTE(SUBSTITUTE(SUBSTITUTE(SUBSTITUTE(SUBSTITUTE(SUBSTITUTE(SUBSTITUTE(SUBSTITUTE(SUBSTITUTE(SUBSTITUTE(SUBSTITUTE(SUBSTITUTE(SUBSTITUTE(SUBSTITUTE(SUBSTITUTE(SUBSTITUTE(SUBSTITUTE(SUBSTITUTE(SUBSTITUTE(SUBSTITUTE(LOWER(V261&amp;""),CHAR(10)," "),CHAR(13)," "),CHAR(9)," "),CHAR(160)," "),"."," "),","," "),"-"," "),"/"," "),"("," "),")"," "),":"," "),";"," "),"_"," "),"–"," "),"?"," "),"!"," "),"*"," "),"["," "),"]"," "),"'"," "),"#"," "),"+"," "),"&amp;"," "),"\"," "))&amp;" "</f>
        <v>  </v>
      </c>
      <c r="BD261" s="61" t="str">
        <f aca="false">" "&amp;TRIM(SUBSTITUTE(SUBSTITUTE(SUBSTITUTE(SUBSTITUTE(SUBSTITUTE(SUBSTITUTE(SUBSTITUTE(SUBSTITUTE(SUBSTITUTE(SUBSTITUTE(SUBSTITUTE(SUBSTITUTE(SUBSTITUTE(SUBSTITUTE(SUBSTITUTE(SUBSTITUTE(SUBSTITUTE(SUBSTITUTE(SUBSTITUTE(SUBSTITUTE(SUBSTITUTE(SUBSTITUTE(SUBSTITUTE(SUBSTITUTE(LOWER(Z261&amp;""),CHAR(10)," "),CHAR(13)," "),CHAR(9)," "),CHAR(160)," "),"."," "),","," "),"-"," "),"/"," "),"("," "),")"," "),":"," "),";"," "),"_"," "),"–"," "),"?"," "),"!"," "),"*"," "),"["," "),"]"," "),"'"," "),"#"," "),"+"," "),"&amp;"," "),"\"," "))&amp;" "</f>
        <v>  </v>
      </c>
      <c r="BE261" s="61" t="str">
        <f aca="false">" "&amp;TRIM(SUBSTITUTE(SUBSTITUTE(SUBSTITUTE(SUBSTITUTE(SUBSTITUTE(SUBSTITUTE(SUBSTITUTE(SUBSTITUTE(SUBSTITUTE(SUBSTITUTE(SUBSTITUTE(SUBSTITUTE(SUBSTITUTE(SUBSTITUTE(SUBSTITUTE(SUBSTITUTE(SUBSTITUTE(SUBSTITUTE(SUBSTITUTE(SUBSTITUTE(SUBSTITUTE(SUBSTITUTE(SUBSTITUTE(SUBSTITUTE(LOWER(W261&amp;""),CHAR(10)," "),CHAR(13)," "),CHAR(9)," "),CHAR(160)," "),"."," "),","," "),"-"," "),"/"," "),"("," "),")"," "),":"," "),";"," "),"_"," "),"–"," "),"?"," "),"!"," "),"*"," "),"["," "),"]"," "),"'"," "),"#"," "),"+"," "),"&amp;"," "),"\"," "))&amp;" "</f>
        <v>  </v>
      </c>
      <c r="BF261" s="61" t="str">
        <f aca="false">" "&amp;TRIM(SUBSTITUTE(SUBSTITUTE(SUBSTITUTE(SUBSTITUTE(SUBSTITUTE(SUBSTITUTE(SUBSTITUTE(SUBSTITUTE(SUBSTITUTE(SUBSTITUTE(SUBSTITUTE(SUBSTITUTE(SUBSTITUTE(SUBSTITUTE(SUBSTITUTE(SUBSTITUTE(SUBSTITUTE(SUBSTITUTE(SUBSTITUTE(SUBSTITUTE(SUBSTITUTE(SUBSTITUTE(SUBSTITUTE(SUBSTITUTE(LOWER(AC261&amp;""),CHAR(10)," "),CHAR(13)," "),CHAR(9)," "),CHAR(160)," "),"."," "),","," "),"-"," "),"/"," "),"("," "),")"," "),":"," "),";"," "),"_"," "),"–"," "),"?"," "),"!"," "),"*"," "),"["," "),"]"," "),"'"," "),"#"," "),"+"," "),"&amp;"," "),"\"," "))&amp;" "</f>
        <v>  </v>
      </c>
      <c r="BG261" s="61" t="n">
        <f aca="false">IFERROR(IF(AND(TRIM(U261)="Pass",SUMPRODUCT((LEN(BC261)-LEN(SUBSTITUTE(BC261," "&amp;L_ResultBad&amp;" "," ")))/(LEN(L_ResultBad)+1))&gt;SUMPRODUCT((LEN(BC261)-LEN(SUBSTITUTE(BC261," "&amp;L_NegPhrase&amp;" "," ")))/(LEN(L_NegPhrase)+1))),1,0),0)</f>
        <v>0</v>
      </c>
      <c r="BH261" s="61" t="n">
        <f aca="false">IFERROR(IF(SUMPRODUCT((LEN(BC261)-LEN(SUBSTITUTE(BC261," "&amp;L_Pending&amp;" "," ")))/(LEN(L_Pending)+1))&gt;SUMPRODUCT((LEN(BC261)-LEN(SUBSTITUTE(BC261," "&amp;L_PendNeg&amp;" "," ")))/(LEN(L_PendNeg)+1)),1,0),1)</f>
        <v>0</v>
      </c>
      <c r="BI261" s="61" t="n">
        <f aca="false">IFERROR(IF(SUMPRODUCT((LEN(BD261)-LEN(SUBSTITUTE(BD261," "&amp;L_PendStrict&amp;" "," ")))/(LEN(L_PendStrict)+1))&gt;SUMPRODUCT((LEN(BD261)-LEN(SUBSTITUTE(BD261," "&amp;L_PendNeg&amp;" "," ")))/(LEN(L_PendNeg)+1)),1,0),1)</f>
        <v>0</v>
      </c>
      <c r="BJ261" s="61" t="n">
        <f aca="false">IFERROR(IF(SUMPRODUCT((LEN(BE261)-LEN(SUBSTITUTE(BE261," "&amp;L_Pending&amp;" "," ")))/(LEN(L_Pending)+1))&gt;SUMPRODUCT((LEN(BE261)-LEN(SUBSTITUTE(BE261," "&amp;L_PendNeg&amp;" "," ")))/(LEN(L_PendNeg)+1)),1,0),1)</f>
        <v>0</v>
      </c>
      <c r="BK261" s="61" t="n">
        <f aca="false">IFERROR(IF(SUMPRODUCT((LEN(BF261)-LEN(SUBSTITUTE(BF261," "&amp;L_PendStrict&amp;" "," ")))/(LEN(L_PendStrict)+1))&gt;SUMPRODUCT((LEN(BF261)-LEN(SUBSTITUTE(BF261," "&amp;L_PendNeg&amp;" "," ")))/(LEN(L_PendNeg)+1)),1,0),1)</f>
        <v>0</v>
      </c>
      <c r="BL261" s="61" t="n">
        <f aca="false">IF(ISNA(MATCH(TRIM(S261),L_EvidenceType,0)),0,BZ261)</f>
        <v>0</v>
      </c>
      <c r="BM261" s="61" t="str">
        <f aca="false">SUBSTITUTE(SUBSTITUTE(SUBSTITUTE(SUBSTITUTE(SUBSTITUTE(SUBSTITUTE(SUBSTITUTE(SUBSTITUTE(SUBSTITUTE(LOWER(Z261&amp;""),"1","0"),"2","0"),"3","0"),"4","0"),"5","0"),"6","0"),"7","0"),"8","0"),"9","0")</f>
        <v/>
      </c>
      <c r="BN261" s="61" t="str">
        <f aca="false">SUBSTITUTE(SUBSTITUTE(SUBSTITUTE(SUBSTITUTE(SUBSTITUTE(SUBSTITUTE(SUBSTITUTE(SUBSTITUTE(SUBSTITUTE(SUBSTITUTE(SUBSTITUTE(SUBSTITUTE(SUBSTITUTE(SUBSTITUTE(SUBSTITUTE(SUBSTITUTE(SUBSTITUTE(SUBSTITUTE(SUBSTITUTE(SUBSTITUTE(SUBSTITUTE(SUBSTITUTE(SUBSTITUTE(SUBSTITUTE(SUBSTITUTE(BM261,"b","a"),"c","a"),"d","a"),"e","a"),"f","a"),"g","a"),"h","a"),"i","a"),"j","a"),"k","a"),"l","a"),"m","a"),"n","a"),"o","a"),"p","a"),"q","a"),"r","a"),"s","a"),"t","a"),"u","a"),"v","a"),"w","a"),"x","a"),"y","a"),"z","a")</f>
        <v/>
      </c>
      <c r="BO261" s="61" t="str">
        <f aca="false">SUBSTITUTE(SUBSTITUTE(SUBSTITUTE(SUBSTITUTE(SUBSTITUTE(SUBSTITUTE(SUBSTITUTE(SUBSTITUTE(SUBSTITUTE(LOWER(W261&amp;""),"1","0"),"2","0"),"3","0"),"4","0"),"5","0"),"6","0"),"7","0"),"8","0"),"9","0")</f>
        <v/>
      </c>
      <c r="BP261" s="61" t="str">
        <f aca="false">SUBSTITUTE(SUBSTITUTE(SUBSTITUTE(SUBSTITUTE(SUBSTITUTE(SUBSTITUTE(SUBSTITUTE(SUBSTITUTE(SUBSTITUTE(SUBSTITUTE(SUBSTITUTE(SUBSTITUTE(SUBSTITUTE(SUBSTITUTE(SUBSTITUTE(SUBSTITUTE(SUBSTITUTE(SUBSTITUTE(SUBSTITUTE(SUBSTITUTE(SUBSTITUTE(SUBSTITUTE(SUBSTITUTE(SUBSTITUTE(SUBSTITUTE(BO261,"b","a"),"c","a"),"d","a"),"e","a"),"f","a"),"g","a"),"h","a"),"i","a"),"j","a"),"k","a"),"l","a"),"m","a"),"n","a"),"o","a"),"p","a"),"q","a"),"r","a"),"s","a"),"t","a"),"u","a"),"v","a"),"w","a"),"x","a"),"y","a"),"z","a")</f>
        <v/>
      </c>
      <c r="BQ261" s="61" t="n">
        <f aca="false">IFERROR(IF(AND(ISERROR(SEARCH(" mh"," "&amp;LOWER(W261))),ISNA(MATCH(LEFT(TRIM(BP261),255),{"0000a","000a","00a","0000aa","000aa","00aa","0aa","0000aaa","000aaa","00a00","0a00","0000-0000","00:00","a00","a0","00.00.0000","00/00/0000","00-00-0000","0000-00-00","0000/00/00","0000.00.00","00.00.00","00/00/00","00-00-00","0.00.0000","0/00/0000","0-00-0000"},0)),ISNA(MATCH(LEFT(TRIM(CA261),255),{"0000a","000a","00a","0000aa","000aa","00aa","0aa","0000aaa","000aaa","00a00","0a00","0000-0000","00:00","a00","a0","00.00.0000","00/00/0000","00-00-0000","0000-00-00","0000/00/00","0000.00.00","00.00.00","00/00/00","00-00-00","0.00.0000","0/00/0000","0-00-0000"},0)),LEN(CB261)&gt;=3,NOT(OR(SUBSTITUTE(CB261,"0","")="",AND(LEN(CB261)&gt;=4,CB261=REPT(LEFT(CB261),LEN(CB261))),ISNUMBER(MATCH(CB261,{"123","1234","12345","123456","1234567","12345678","0123","01234","012345","98765","987654","54321"},0)),AND(LEN(CB261)=8,LEFT(CB261,3)="202"))),OR(AND((LEN(CA261)-LEN(SUBSTITUTE(CA261,"a","")))&gt;=1,SUMPRODUCT(--ISNUMBER(SEARCH({"a0","a-0","a_0","a/0","a.0","a#0","0a","0-a","0_a","0/a"},BP261)))&gt;0),ISNUMBER(SEARCH("000000",BP261)))),1,0),0)</f>
        <v>0</v>
      </c>
      <c r="BR261" s="61" t="n">
        <f aca="false">IFERROR(LEN(SUBSTITUTE(CC261," ",""))-SUMPRODUCT((LEN(CC261)-LEN(SUBSTITUTE(CC261," "&amp;L_Role&amp;" "," ")))/(LEN(L_Role)+1)*LEN(L_Role)),0)</f>
        <v>0</v>
      </c>
      <c r="BS261" s="61" t="n">
        <f aca="false">IFERROR(LEN(SUBSTITUTE(CD261," ",""))-SUMPRODUCT((LEN(CD261)-LEN(SUBSTITUTE(CD261," "&amp;L_Role&amp;" "," ")))/(LEN(L_Role)+1)*LEN(L_Role)),0)</f>
        <v>0</v>
      </c>
      <c r="BT2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261,"revision",""),"version",""),"jan",""),"feb",""),"mar",""),"apr",""),"may",""),"jun",""),"jul",""),"aug",""),"sep",""),"oct",""),"nov",""),"dec",""),"utc",""),"gmt",""),"myt",""),"bst",""),"rev",""),"ver",""),"b","a"),"c","a"),"d","a"),"e","a"),"f","a"),"g","a"),"h","a"),"i","a"),"j","a"),"k","a"),"l","a"),"m","a"),"n","a"),"o","a"),"p","a"),"q","a"),"r","a"),"s","a"),"t","a"),"u","a"),"v","a"),"w","a"),"x","a"),"y","a"),"z","a")</f>
        <v/>
      </c>
      <c r="BU261" s="61" t="str">
        <f aca="false">SUBSTITUTE(SUBSTITUTE(SUBSTITUTE(SUBSTITUTE(SUBSTITUTE(SUBSTITUTE(SUBSTITUTE(SUBSTITUTE(SUBSTITUTE(SUBSTITUTE(LEFT(BM261,FIND("0",BM261&amp;"0")-1),"-",""),"_",""),"/",""),".",""),"#",""),"\\",""),":","")," ",""),"(",""),")","")</f>
        <v/>
      </c>
      <c r="BV261" s="61" t="n">
        <f aca="false">IFERROR(IF(OR(SUMPRODUCT((LEN(BC261)-LEN(SUBSTITUTE(BC261," "&amp;L_NotLoaded&amp;" "," ")))/(LEN(L_NotLoaded)+1))&gt;SUMPRODUCT((LEN(BC261)-LEN(SUBSTITUTE(BC261," "&amp;L_NotLoadedNeg&amp;" "," ")))/(LEN(L_NotLoadedNeg)+1)),SUMPRODUCT((LEN(BD261)-LEN(SUBSTITUTE(BD261," "&amp;L_NotLoaded&amp;" "," ")))/(LEN(L_NotLoaded)+1))&gt;SUMPRODUCT((LEN(BD261)-LEN(SUBSTITUTE(BD261," "&amp;L_NotLoadedNeg&amp;" "," ")))/(LEN(L_NotLoadedNeg)+1))),1,0),0)</f>
        <v>0</v>
      </c>
      <c r="BW2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261&amp;""),"a",""),"b",""),"c",""),"d",""),"e",""),"f",""),"g",""),"h",""),"i",""),"j",""),"k",""),"l",""),"m",""),"n",""),"o",""),"p",""),"q",""),"r",""),"s",""),"t",""),"u",""),"v",""),"w",""),"x",""),"y",""),"z",""),"-",""),"_",""),"/",""),".",""),"#",""),"\\",""),":","")," ",""),"(",""),")","")</f>
        <v/>
      </c>
      <c r="BX261" s="61" t="str">
        <f aca="false">SUBSTITUTE(SUBSTITUTE(SUBSTITUTE(SUBSTITUTE(SUBSTITUTE(SUBSTITUTE(SUBSTITUTE(SUBSTITUTE(SUBSTITUTE(SUBSTITUTE(SUBSTITUTE(BM261,"0",""),"-",""),"_",""),"/",""),".",""),"#",""),"\\",""),":","")," ",""),"(",""),")","")</f>
        <v/>
      </c>
      <c r="BY261" s="62" t="n">
        <f aca="false">IF(ISNUMBER(Flights!$AZ$11),MAX(Q261-UpliftWindowH/24,Flights!$AZ$11),Q261-UpliftWindowH/24)</f>
        <v>46304.4166666667</v>
      </c>
      <c r="BZ261" s="61" t="n">
        <f aca="false">IFERROR(IF(IF(TRIM(S261)="Link / file path",AND(LEN(TRIM(Z261))&gt;=5,SUMPRODUCT(--ISNUMBER(SEARCH({"http","www.","\\",":\",".pdf",".jpg",".jpeg",".png",".heic",".xls",".doc",".msg",".eml",".ppt",".txt",".zip"},Z261)))&gt;0),AND(ISERROR(FIND(" ",TRIM(Z261))),NOT(OR(SUMPRODUCT(--ISNUMBER(FIND({",",";","&amp;","+"},Z261)))&gt;0,SUMPRODUCT(--ISNUMBER(SEARCH({"0/aa","0\\aa"},BN261)))&gt;0)),NOT(SUMPRODUCT(--ISNUMBER(SEARCH({"http","www.","\\",":\",".pdf",".jpg",".jpeg",".png",".heic",".xls",".doc",".msg",".eml",".ppt",".txt",".zip"},Z261)))&gt;0),NOT(LOWER(TRIM(Z261))=LOWER(Flights!$F$11)),ISNA(MATCH(BU261,{"mh","rev","revision","ver","version","v","r","a","b","seat","tray","row","gate","bay","stand","page","pg","item","line","no","cart","galley","flight","flt","table","box","bag","oven","etd","eta","std","sta","atd","ata","qty","pax","x","time","tel","ph","mob","day","wk","week","utc","gmt","myt","lt"},0)),NOT(OR(ISNUMBER(MATCH(LEFT(BN261,255),{"0000a","000a","00a","0000aa","000aa","00aa","0aa","0000aaa","000aaa","00a00","0a00","0000-0000","00:00","a00","a0","00.00.0000","00/00/0000","00-00-0000","0000-00-00","0000/00/00","0000.00.00","00.00.00","00/00/00","00-00-00","0.00.0000","0/00/0000","0-00-0000"},0)),ISNUMBER(MATCH(LEFT(BT261,255),{"0000a","000a","00a","0000aa","000aa","00aa","0aa","0000aaa","000aaa","00a00","0a00","0000-0000","00:00","a00","a0","00.00.0000","00/00/0000","00-00-0000","0000-00-00","0000/00/00","0000.00.00","00.00.00","00/00/00","00-00-00","0.00.0000","0/00/0000","0-00-0000"},0)))),NOT(OR(AND(BW261&lt;&gt;"",SUBSTITUTE(BW261,"0","")=""),AND(LEN(BW261)&gt;=4,BW261=REPT(LEFT(BW261),LEN(BW261))),ISNUMBER(MATCH(BW261,{"123","1234","12345","123456","1234567","12345678","0123","01234","012345","98765","987654","54321"},0)),ISNUMBER(MATCH(BX261,{"x","xx","xxx","xxxx","xxxxx","abc","abcd","nil","na","nan","test","tbc","tba","tbd","dummy","sample","example","eg","zz","zzz","none","null","xyz","qwe","asd","id","ref"},0)),AND(LEN(BW261)=8,BX261="",OR(LEFT(BW261,3)="202",ISNUMBER(MATCH(RIGHT(BW261,4),{"2025","2026","2027"},0)))))),OR(AND((LEN(BT261)-LEN(SUBSTITUTE(BT261,"a","")))&gt;=1,(LEN(BN261)-LEN(SUBSTITUTE(BN261,"0","")))&gt;=2,SUMPRODUCT(--ISNUMBER(SEARCH({"a0","a-0","a_0","a/0","a.0","a#0","0a","0-a","0_a","0/a"},BN261)))&gt;0),AND((LEN(BN261)-LEN(SUBSTITUTE(BN261,"a","")))=0,(LEN(BN261)-LEN(SUBSTITUTE(BN261,"0","")))&gt;=5)))),1,0),0)</f>
        <v>0</v>
      </c>
      <c r="CA2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261,"revision",""),"version",""),"jan",""),"feb",""),"mar",""),"apr",""),"may",""),"jun",""),"jul",""),"aug",""),"sep",""),"oct",""),"nov",""),"dec",""),"utc",""),"gmt",""),"myt",""),"bst",""),"rev",""),"ver",""),"b","a"),"c","a"),"d","a"),"e","a"),"f","a"),"g","a"),"h","a"),"i","a"),"j","a"),"k","a"),"l","a"),"m","a"),"n","a"),"o","a"),"p","a"),"q","a"),"r","a"),"s","a"),"t","a"),"u","a"),"v","a"),"w","a"),"x","a"),"y","a"),"z","a")</f>
        <v/>
      </c>
      <c r="CB2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261&amp;""),"a",""),"b",""),"c",""),"d",""),"e",""),"f",""),"g",""),"h",""),"i",""),"j",""),"k",""),"l",""),"m",""),"n",""),"o",""),"p",""),"q",""),"r",""),"s",""),"t",""),"u",""),"v",""),"w",""),"x",""),"y",""),"z",""),"-",""),"_",""),"/",""),".",""),"#",""),"\\",""),":","")," ",""),"(",""),")","")</f>
        <v/>
      </c>
      <c r="CC261" s="0" t="str">
        <f aca="false">" "&amp;TRIM(SUBSTITUTE(SUBSTITUTE(SUBSTITUTE(SUBSTITUTE(SUBSTITUTE(SUBSTITUTE(SUBSTITUTE(SUBSTITUTE(SUBSTITUTE(SUBSTITUTE(SUBSTITUTE(SUBSTITUTE(SUBSTITUTE(SUBSTITUTE(SUBSTITUTE(SUBSTITUTE(SUBSTITUTE(SUBSTITUTE(SUBSTITUTE(SUBSTITUTE(SUBSTITUTE(SUBSTITUTE(SUBSTITUTE(SUBSTITUTE(LOWER(T261&amp;""),CHAR(10)," "),CHAR(13)," "),CHAR(9)," "),CHAR(160)," "),"."," "),","," "),"-"," "),"/"," "),"("," "),")"," "),":"," "),";"," "),"_"," "),"–"," "),"?"," "),"!"," "),"*"," "),"["," "),"]"," "),"'"," "),"#"," "),"+"," "),"&amp;"," "),"\"," "))&amp;" "</f>
        <v>  </v>
      </c>
      <c r="CD261" s="0" t="str">
        <f aca="false">" "&amp;TRIM(SUBSTITUTE(SUBSTITUTE(SUBSTITUTE(SUBSTITUTE(SUBSTITUTE(SUBSTITUTE(SUBSTITUTE(SUBSTITUTE(SUBSTITUTE(SUBSTITUTE(SUBSTITUTE(SUBSTITUTE(SUBSTITUTE(SUBSTITUTE(SUBSTITUTE(SUBSTITUTE(SUBSTITUTE(SUBSTITUTE(SUBSTITUTE(SUBSTITUTE(SUBSTITUTE(SUBSTITUTE(SUBSTITUTE(SUBSTITUTE(LOWER(AE261&amp;""),CHAR(10)," "),CHAR(13)," "),CHAR(9)," "),CHAR(160)," "),"."," "),","," "),"-"," "),"/"," "),"("," "),")"," "),":"," "),";"," "),"_"," "),"–"," "),"?"," "),"!"," "),"*"," "),"["," "),"]"," "),"'"," "),"#"," "),"+"," "),"&amp;"," "),"\"," "))&amp;" "</f>
        <v>  </v>
      </c>
      <c r="CE261" s="68" t="n">
        <f aca="false">IFERROR(IF(AND(LEN(AU261)&gt;0,LEN(AU261)=LEN(AX261),OR(TRIM(MID(SUBSTITUTE(TRIM(CC261)," ",REPT(" ",60)),1,60))="",ISNUMBER(SEARCH(" "&amp;TRIM(MID(SUBSTITUTE(TRIM(CC261)," ",REPT(" ",60)),1,60))&amp;" ",CD261))),OR(TRIM(MID(SUBSTITUTE(TRIM(CC261)," ",REPT(" ",60)),61,60))="",ISNUMBER(SEARCH(" "&amp;TRIM(MID(SUBSTITUTE(TRIM(CC261)," ",REPT(" ",60)),61,60))&amp;" ",CD261))),OR(TRIM(MID(SUBSTITUTE(TRIM(CC261)," ",REPT(" ",60)),121,60))="",ISNUMBER(SEARCH(" "&amp;TRIM(MID(SUBSTITUTE(TRIM(CC261)," ",REPT(" ",60)),121,60))&amp;" ",CD261)))),1,0),0)</f>
        <v>0</v>
      </c>
      <c r="CG261" s="68" t="n">
        <f aca="false">IFERROR(LEN(SUBSTITUTE(BF261," ",""))-SUMPRODUCT((LEN(BF261)-LEN(SUBSTITUTE(BF261," "&amp;L_NAFiller&amp;" "," ")))/(LEN(L_NAFiller)+1)*LEN(L_NAFiller)),0)</f>
        <v>0</v>
      </c>
    </row>
    <row r="262" customFormat="false" ht="39.75" hidden="false" customHeight="true" outlineLevel="0" collapsed="false">
      <c r="A262" s="57" t="s">
        <v>833</v>
      </c>
      <c r="B262" s="57" t="s">
        <v>238</v>
      </c>
      <c r="C262" s="57" t="str">
        <f aca="false">Flights!$F$12</f>
        <v>MH0752</v>
      </c>
      <c r="D262" s="58" t="n">
        <f aca="false">Flights!$D$12</f>
        <v>46305</v>
      </c>
      <c r="E262" s="57" t="str">
        <f aca="false">Flights!$G$12&amp;"-"&amp;Flights!$H$12</f>
        <v>KUL-HAN</v>
      </c>
      <c r="F262" s="57" t="str">
        <f aca="false">Flights!$K$12</f>
        <v>EY</v>
      </c>
      <c r="G262" s="57" t="s">
        <v>81</v>
      </c>
      <c r="H262" s="57" t="s">
        <v>378</v>
      </c>
      <c r="I262" s="57" t="s">
        <v>379</v>
      </c>
      <c r="J262" s="57" t="s">
        <v>380</v>
      </c>
      <c r="K262" s="67" t="s">
        <v>381</v>
      </c>
      <c r="L262" s="67" t="s">
        <v>382</v>
      </c>
      <c r="M262" s="67"/>
      <c r="N262" s="67" t="s">
        <v>383</v>
      </c>
      <c r="O262" s="67"/>
      <c r="P262" s="57" t="s">
        <v>187</v>
      </c>
      <c r="Q262" s="59" t="n">
        <f aca="false">ROUND((Flights!$AC$12)*1440,0)/1440</f>
        <v>46298.0659722222</v>
      </c>
      <c r="R262" s="59" t="n">
        <f aca="false">Q262+(IF(AND(INDEX(TZ_DSTS,MATCH(P262,TZ_STN,0))&lt;&gt;"",Q262&gt;=INDEX(TZ_DSTS,MATCH(P262,TZ_STN,0)),Q262&lt;INDEX(TZ_DSTE,MATCH(P262,TZ_STN,0))),INDEX(TZ_DST,MATCH(P262,TZ_STN,0)),INDEX(TZ_STD,MATCH(P262,TZ_STN,0))))/24</f>
        <v>46298.3993055556</v>
      </c>
      <c r="S262" s="60"/>
      <c r="T262" s="60"/>
      <c r="U262" s="60"/>
      <c r="V262" s="60"/>
      <c r="W262" s="61"/>
      <c r="X262" s="60"/>
      <c r="Y262" s="60"/>
      <c r="Z262" s="60"/>
      <c r="AA262" s="60"/>
      <c r="AB262" s="60"/>
      <c r="AC262" s="60"/>
      <c r="AD262" s="66"/>
      <c r="AE262" s="60"/>
      <c r="AF262" s="61" t="str">
        <f aca="false">IF(AND(ISNUMBER(X262),ISNUMBER(Y262)),Y262-X262,"")</f>
        <v/>
      </c>
      <c r="AG262" s="62" t="str">
        <f aca="false">IF(ISNUMBER(AD262),AD262-(IF(AND(INDEX(TZ_DSTS,MATCH(P262,TZ_STN,0))&lt;&gt;"",(AD262-INDEX(TZ_STD,MATCH(P262,TZ_STN,0))/24)&gt;=INDEX(TZ_DSTS,MATCH(P262,TZ_STN,0)),(AD262-INDEX(TZ_STD,MATCH(P262,TZ_STN,0))/24)&lt;INDEX(TZ_DSTE,MATCH(P262,TZ_STN,0))),INDEX(TZ_DST,MATCH(P262,TZ_STN,0)),INDEX(TZ_STD,MATCH(P262,TZ_STN,0))))/24,"")</f>
        <v/>
      </c>
      <c r="AH262" s="65" t="str">
        <f aca="false">IFERROR(IF(N262="N/A – rule",IF(OR(TRIM(U262)="",TRIM(U262)="N/A",TRIM(U262)="Not started"),"N/A – RULE","INVALID – this check does not apply to this aircraft: clear the status (or correct the fleet on Flights)"),IF(TRIM(U262)="N/A",IF(AT262=0,"INVALID – N/A not permitted for this check",IF(AND(TRIM(AB262)&lt;&gt;"",TRIM(AB262)&lt;&gt;"Closed"),"INVALID – corrective action still open",IF(AND(NOT(OR(LEN(AZ262)&lt;15,ISNUMBER(MATCH(AZ262,L_Placeholder,0)))),BK262=0,CG262&gt;=8,NOT(OR(LEN(AU262)&lt;2,ISNUMBER(MATCH(AU262,L_Placeholder,0)))),BR262&gt;=3,NOT(OR(LEN(AX262)&lt;2,ISNUMBER(MATCH(AX262,L_Placeholder,0)))),BS262&gt;=3,TRIM(AE262)&lt;&gt;TRIM(T262),AX262&lt;&gt;AU262,CE262=0),"N/A – JUSTIFIED","INVALID – N/A needs a real, settled reason (not 'not applicable' / 'as above' / TBC), a named PIC and a different named verifier"))),IF(OR(TRIM(U262)="Pass",TRIM(U262)="Pass after CA"),IF(NOT(ISNUMBER(AD262)),"INVALID – completion time missing",IF(OR(OR(LEN(AU262)&lt;2,ISNUMBER(MATCH(AU262,L_Placeholder,0))),BR262&lt;3),"INVALID – PIC missing or not a named person (a role such as QA / CSM is not a name)",IF(OR(LEN(AV262)&lt;2,ISNUMBER(MATCH(AV262,L_Placeholder,0))),"INVALID – result / assessment missing",IF(OR(OR(LEN(AW262)&lt;3,ISNUMBER(MATCH(AW262,L_Placeholder,0))),SUMPRODUCT(--ISNUMBER(SEARCH(" "&amp;L_EvidencePhrase&amp;" ",BD262)))&gt;0,BI262=1),"INVALID – evidence missing, placeholder or not yet on file",IF(ISNA(MATCH(TRIM(S262),L_EvidenceType,0)),"INVALID – choose the evidence type from the list (column S)",IF(BL262=0,"INVALID – evidence ID must be the record's own ID only (e.g. SF-2210, IMG_2231, 1045521); a link / file name needs type 'Link / file path'",IF(OR(OR(LEN(AX262)&lt;2,ISNUMBER(MATCH(AX262,L_Placeholder,0))),BS262&lt;3),"INVALID – verifier missing or not a named person (a role such as QA / CSM is not a name)",IF(OR(AX262=AU262,CE262=1,AND(LEN(AU262)&gt;=4,ISNUMBER(SEARCH(AU262,AX262))),AND(LEN(AX262)&gt;=4,ISNUMBER(SEARCH(AX262,AU262)))),"INVALID – verifier must be a different, named person (not the PIC or a role)",IF(BH262=1,"INVALID – result not yet available (awaiting / TBC)",IF(BG262=1,"INVALID – result describes a problem: record Fail, then Pass after CA (or reword if it is not a problem)",IF(BV262=1,"INVALID – wording says not on board: an on-board confirmation needs the item loaded",IF(AND(AQ262=1,OR(OR(LEN(AY262)&lt;3,ISNUMBER(MATCH(AY262,L_Placeholder,0))),BJ262=1,BQ262=0)),"INVALID – batch ID missing, placeholder or not an ID (e.g. PASB-261008-BC-017)",IF(AND(AR262=1,OR(NOT(ISNUMBER(X262)),NOT(ISNUMBER(Y262)))),"INVALID – expected/actual qty missing",IF(AND(AR262=1,OR(X262&lt;=0,Y262&lt;0)),"INVALID – expected qty must be above 0 and actual not negative",IF(BB262&lt;&gt;"",BB262,IF(AND(AS262=1,Documents!$J$12&lt;&gt;"ON FILE"),"INVALID – GLD not on file (Documents sheet)",IF(AND(AS262=2,Documents!$O$12&lt;&gt;"ON FILE"),"INVALID – menu checklist not on file (Documents sheet)",IF(AND(AS262=3,NOT(ISNUMBER(Flights!$AX$12))),"INVALID – enter carrying flight KUL departure (Flights AX)",IF(AND(AS262=3,OR(Flights!$AZ$12&gt;Flights!$AA$12,Flights!$AX$12&lt;Flights!$AA$12-3)),"INVALID – carrying flight (Flights AX) cannot arrive before this leg's STD, or is over 3 days early",IF(AG262&gt;AsOfUTC,"INVALID – completion time is in the future",IF(AND(ISNUMBER(BY262),AG262&lt;BY262),IF(H262="Physical uplift","INVALID – before uplift window (cannot confirm loading)","INVALID – before valid window"),IF(AG262&gt;Flights!$AA$12,"INVALID – completed after departure (cannot establish readiness)",IF(AND(H262="Preparation",AG262&gt;=IF(ISNUMBER(Flights!$BA$12),MIN(Flights!$BA$12,Flights!$AA$12),Flights!$AA$12)),"INVALID – completed after loading / departure (cannot establish readiness)",IF(AND(H262="Physical uplift",AG262&gt;Q262),"INVALID – recorded after the loading flight departed",IF(AG262&gt;Q262,"COMPLETE – LATE","COMPLETE"))))))))))))))))))))))))),IF(TRIM(U262)="Fail","FAIL – DISCREPANCY",IF(AND(TRIM(U262)&lt;&gt;"",TRIM(U262)&lt;&gt;"Not started",TRIM(U262)&lt;&gt;"In progress"),"INVALID – unrecognised status (use the list)",IF(AsOfUTC&gt;Q262,"OVERDUE",IF(N262="Clarification required","OPEN – CLARIFICATION","OPEN"))))))),"INVALID – error value in an input cell")</f>
        <v>OPEN</v>
      </c>
      <c r="AI262" s="61" t="n">
        <f aca="false">IF(OR(AH262="N/A – RULE",AH262="N/A – JUSTIFIED"),0,1)</f>
        <v>1</v>
      </c>
      <c r="AJ262" s="61" t="n">
        <f aca="false">IF(LEFT(AH262,8)="COMPLETE",1,0)</f>
        <v>0</v>
      </c>
      <c r="AK262" s="61" t="n">
        <f aca="false">IF(AND(AI262=1,AJ262=0,AsOfUTC&gt;Q262),1,0)</f>
        <v>0</v>
      </c>
      <c r="AL262" s="61" t="n">
        <f aca="false">IFERROR(IF(AND(AI262=1,OR(TRIM(U262)="Fail",AND(TRIM(AB262)&lt;&gt;"",TRIM(AB262)&lt;&gt;"Closed"),AND(ISNUMBER(AF262),AF262&lt;&gt;0,TRIM(U262)&lt;&gt;"Pass after CA"))),1,0),1)</f>
        <v>0</v>
      </c>
      <c r="AM262" s="61" t="n">
        <f aca="false">IF(LEFT(AH262,7)="INVALID",1,0)</f>
        <v>0</v>
      </c>
      <c r="AN262" s="61" t="n">
        <f aca="false">IF(AND(N262="Clarification required",AI262=1,AJ262=0),1,0)</f>
        <v>0</v>
      </c>
      <c r="AO262" s="61" t="str">
        <f aca="false">IF(AK262=1,SUM(AK$5:AK262),"")</f>
        <v/>
      </c>
      <c r="AP262" s="61" t="str">
        <f aca="false">IF(AL262=1,SUM(AL$5:AL262),"")</f>
        <v/>
      </c>
      <c r="AQ262" s="61" t="n">
        <v>0</v>
      </c>
      <c r="AR262" s="61" t="n">
        <v>0</v>
      </c>
      <c r="AS262" s="61" t="n">
        <v>0</v>
      </c>
      <c r="AT262" s="61" t="n">
        <v>0</v>
      </c>
      <c r="AU262" s="61" t="str">
        <f aca="false">SUBSTITUTE(SUBSTITUTE(SUBSTITUTE(SUBSTITUTE(SUBSTITUTE(SUBSTITUTE(SUBSTITUTE(SUBSTITUTE(SUBSTITUTE(SUBSTITUTE(SUBSTITUTE(SUBSTITUTE(SUBSTITUTE(SUBSTITUTE(SUBSTITUTE(SUBSTITUTE(LOWER(T262&amp;""),CHAR(10),""),CHAR(13),""),CHAR(9),""),CHAR(160),"")," ",""),".",""),"-",""),"/",""),"?",""),"_",""),",",""),"[",""),"]",""),"(",""),")",""),"*","")</f>
        <v/>
      </c>
      <c r="AV262" s="61" t="str">
        <f aca="false">SUBSTITUTE(SUBSTITUTE(SUBSTITUTE(SUBSTITUTE(SUBSTITUTE(SUBSTITUTE(SUBSTITUTE(SUBSTITUTE(SUBSTITUTE(SUBSTITUTE(SUBSTITUTE(SUBSTITUTE(SUBSTITUTE(SUBSTITUTE(SUBSTITUTE(SUBSTITUTE(LOWER(V262&amp;""),CHAR(10),""),CHAR(13),""),CHAR(9),""),CHAR(160),"")," ",""),".",""),"-",""),"/",""),"?",""),"_",""),",",""),"[",""),"]",""),"(",""),")",""),"*","")</f>
        <v/>
      </c>
      <c r="AW262" s="61" t="str">
        <f aca="false">SUBSTITUTE(SUBSTITUTE(SUBSTITUTE(SUBSTITUTE(SUBSTITUTE(SUBSTITUTE(SUBSTITUTE(SUBSTITUTE(SUBSTITUTE(SUBSTITUTE(SUBSTITUTE(SUBSTITUTE(SUBSTITUTE(SUBSTITUTE(SUBSTITUTE(SUBSTITUTE(LOWER(Z262&amp;""),CHAR(10),""),CHAR(13),""),CHAR(9),""),CHAR(160),"")," ",""),".",""),"-",""),"/",""),"?",""),"_",""),",",""),"[",""),"]",""),"(",""),")",""),"*","")</f>
        <v/>
      </c>
      <c r="AX262" s="61" t="str">
        <f aca="false">SUBSTITUTE(SUBSTITUTE(SUBSTITUTE(SUBSTITUTE(SUBSTITUTE(SUBSTITUTE(SUBSTITUTE(SUBSTITUTE(SUBSTITUTE(SUBSTITUTE(SUBSTITUTE(SUBSTITUTE(SUBSTITUTE(SUBSTITUTE(SUBSTITUTE(SUBSTITUTE(LOWER(AE262&amp;""),CHAR(10),""),CHAR(13),""),CHAR(9),""),CHAR(160),"")," ",""),".",""),"-",""),"/",""),"?",""),"_",""),",",""),"[",""),"]",""),"(",""),")",""),"*","")</f>
        <v/>
      </c>
      <c r="AY262" s="61" t="str">
        <f aca="false">SUBSTITUTE(SUBSTITUTE(SUBSTITUTE(SUBSTITUTE(SUBSTITUTE(SUBSTITUTE(SUBSTITUTE(SUBSTITUTE(SUBSTITUTE(SUBSTITUTE(SUBSTITUTE(SUBSTITUTE(SUBSTITUTE(SUBSTITUTE(SUBSTITUTE(SUBSTITUTE(LOWER(W262&amp;""),CHAR(10),""),CHAR(13),""),CHAR(9),""),CHAR(160),"")," ",""),".",""),"-",""),"/",""),"?",""),"_",""),",",""),"[",""),"]",""),"(",""),")",""),"*","")</f>
        <v/>
      </c>
      <c r="AZ262" s="61" t="str">
        <f aca="false">SUBSTITUTE(SUBSTITUTE(SUBSTITUTE(SUBSTITUTE(SUBSTITUTE(SUBSTITUTE(SUBSTITUTE(SUBSTITUTE(SUBSTITUTE(SUBSTITUTE(SUBSTITUTE(SUBSTITUTE(SUBSTITUTE(SUBSTITUTE(SUBSTITUTE(SUBSTITUTE(LOWER(AC262&amp;""),CHAR(10),""),CHAR(13),""),CHAR(9),""),CHAR(160),"")," ",""),".",""),"-",""),"/",""),"?",""),"_",""),",",""),"[",""),"]",""),"(",""),")",""),"*","")</f>
        <v/>
      </c>
      <c r="BA262" s="61" t="str">
        <f aca="false">SUBSTITUTE(SUBSTITUTE(SUBSTITUTE(SUBSTITUTE(SUBSTITUTE(SUBSTITUTE(SUBSTITUTE(SUBSTITUTE(SUBSTITUTE(SUBSTITUTE(SUBSTITUTE(SUBSTITUTE(SUBSTITUTE(SUBSTITUTE(SUBSTITUTE(SUBSTITUTE(LOWER(AA262&amp;""),CHAR(10),""),CHAR(13),""),CHAR(9),""),CHAR(160),"")," ",""),".",""),"-",""),"/",""),"?",""),"_",""),",",""),"[",""),"]",""),"(",""),")",""),"*","")</f>
        <v/>
      </c>
      <c r="BB262" s="61" t="str">
        <f aca="false">IF(AND(TRIM(U262)="Pass",ISNUMBER(AF262)),IF(AF262&lt;&gt;0,"INVALID – qty variance: use Fail or Pass after CA",""),"")&amp;IF(AND(TRIM(U262)="Pass after CA",ISNUMBER(AF262)),IF(AF262&lt;&gt;0,"INVALID – after the corrective action the actual qty must equal expected (update Actual)",""),"")&amp;IF(AND(TRIM(U262)="Pass",TRIM(AB262)&lt;&gt;"",TRIM(AB262)&lt;&gt;"Closed"),"INVALID – corrective action not closed: use Fail, then Pass after CA","")&amp;IF(AND(LEN(BA262)&gt;=2,ISNA(MATCH(LEFT(BA262,255),L_Placeholder,0)),TRIM(AB262)=""),"INVALID – CA status missing for the recorded corrective action","")&amp;IF(AND(TRIM(U262)="Pass after CA",OR(OR(LEN(BA262)&lt;5,ISNUMBER(MATCH(BA262,L_Placeholder,0))),TRIM(AB262)&lt;&gt;"Closed")),"INVALID – corrective action not recorded/closed","")</f>
        <v/>
      </c>
      <c r="BC262" s="61" t="str">
        <f aca="false">" "&amp;TRIM(SUBSTITUTE(SUBSTITUTE(SUBSTITUTE(SUBSTITUTE(SUBSTITUTE(SUBSTITUTE(SUBSTITUTE(SUBSTITUTE(SUBSTITUTE(SUBSTITUTE(SUBSTITUTE(SUBSTITUTE(SUBSTITUTE(SUBSTITUTE(SUBSTITUTE(SUBSTITUTE(SUBSTITUTE(SUBSTITUTE(SUBSTITUTE(SUBSTITUTE(SUBSTITUTE(SUBSTITUTE(SUBSTITUTE(SUBSTITUTE(LOWER(V262&amp;""),CHAR(10)," "),CHAR(13)," "),CHAR(9)," "),CHAR(160)," "),"."," "),","," "),"-"," "),"/"," "),"("," "),")"," "),":"," "),";"," "),"_"," "),"–"," "),"?"," "),"!"," "),"*"," "),"["," "),"]"," "),"'"," "),"#"," "),"+"," "),"&amp;"," "),"\"," "))&amp;" "</f>
        <v>  </v>
      </c>
      <c r="BD262" s="61" t="str">
        <f aca="false">" "&amp;TRIM(SUBSTITUTE(SUBSTITUTE(SUBSTITUTE(SUBSTITUTE(SUBSTITUTE(SUBSTITUTE(SUBSTITUTE(SUBSTITUTE(SUBSTITUTE(SUBSTITUTE(SUBSTITUTE(SUBSTITUTE(SUBSTITUTE(SUBSTITUTE(SUBSTITUTE(SUBSTITUTE(SUBSTITUTE(SUBSTITUTE(SUBSTITUTE(SUBSTITUTE(SUBSTITUTE(SUBSTITUTE(SUBSTITUTE(SUBSTITUTE(LOWER(Z262&amp;""),CHAR(10)," "),CHAR(13)," "),CHAR(9)," "),CHAR(160)," "),"."," "),","," "),"-"," "),"/"," "),"("," "),")"," "),":"," "),";"," "),"_"," "),"–"," "),"?"," "),"!"," "),"*"," "),"["," "),"]"," "),"'"," "),"#"," "),"+"," "),"&amp;"," "),"\"," "))&amp;" "</f>
        <v>  </v>
      </c>
      <c r="BE262" s="61" t="str">
        <f aca="false">" "&amp;TRIM(SUBSTITUTE(SUBSTITUTE(SUBSTITUTE(SUBSTITUTE(SUBSTITUTE(SUBSTITUTE(SUBSTITUTE(SUBSTITUTE(SUBSTITUTE(SUBSTITUTE(SUBSTITUTE(SUBSTITUTE(SUBSTITUTE(SUBSTITUTE(SUBSTITUTE(SUBSTITUTE(SUBSTITUTE(SUBSTITUTE(SUBSTITUTE(SUBSTITUTE(SUBSTITUTE(SUBSTITUTE(SUBSTITUTE(SUBSTITUTE(LOWER(W262&amp;""),CHAR(10)," "),CHAR(13)," "),CHAR(9)," "),CHAR(160)," "),"."," "),","," "),"-"," "),"/"," "),"("," "),")"," "),":"," "),";"," "),"_"," "),"–"," "),"?"," "),"!"," "),"*"," "),"["," "),"]"," "),"'"," "),"#"," "),"+"," "),"&amp;"," "),"\"," "))&amp;" "</f>
        <v>  </v>
      </c>
      <c r="BF262" s="61" t="str">
        <f aca="false">" "&amp;TRIM(SUBSTITUTE(SUBSTITUTE(SUBSTITUTE(SUBSTITUTE(SUBSTITUTE(SUBSTITUTE(SUBSTITUTE(SUBSTITUTE(SUBSTITUTE(SUBSTITUTE(SUBSTITUTE(SUBSTITUTE(SUBSTITUTE(SUBSTITUTE(SUBSTITUTE(SUBSTITUTE(SUBSTITUTE(SUBSTITUTE(SUBSTITUTE(SUBSTITUTE(SUBSTITUTE(SUBSTITUTE(SUBSTITUTE(SUBSTITUTE(LOWER(AC262&amp;""),CHAR(10)," "),CHAR(13)," "),CHAR(9)," "),CHAR(160)," "),"."," "),","," "),"-"," "),"/"," "),"("," "),")"," "),":"," "),";"," "),"_"," "),"–"," "),"?"," "),"!"," "),"*"," "),"["," "),"]"," "),"'"," "),"#"," "),"+"," "),"&amp;"," "),"\"," "))&amp;" "</f>
        <v>  </v>
      </c>
      <c r="BG262" s="61" t="n">
        <f aca="false">IFERROR(IF(AND(TRIM(U262)="Pass",SUMPRODUCT((LEN(BC262)-LEN(SUBSTITUTE(BC262," "&amp;L_ResultBad&amp;" "," ")))/(LEN(L_ResultBad)+1))&gt;SUMPRODUCT((LEN(BC262)-LEN(SUBSTITUTE(BC262," "&amp;L_NegPhrase&amp;" "," ")))/(LEN(L_NegPhrase)+1))),1,0),0)</f>
        <v>0</v>
      </c>
      <c r="BH262" s="61" t="n">
        <f aca="false">IFERROR(IF(SUMPRODUCT((LEN(BC262)-LEN(SUBSTITUTE(BC262," "&amp;L_Pending&amp;" "," ")))/(LEN(L_Pending)+1))&gt;SUMPRODUCT((LEN(BC262)-LEN(SUBSTITUTE(BC262," "&amp;L_PendNeg&amp;" "," ")))/(LEN(L_PendNeg)+1))+SUMPRODUCT((LEN(BC262)-LEN(SUBSTITUTE(BC262," "&amp;L_PendPrep&amp;" "," ")))/(LEN(L_PendPrep)+1)),1,0),1)</f>
        <v>0</v>
      </c>
      <c r="BI262" s="61" t="n">
        <f aca="false">IFERROR(IF(SUMPRODUCT((LEN(BD262)-LEN(SUBSTITUTE(BD262," "&amp;L_PendStrict&amp;" "," ")))/(LEN(L_PendStrict)+1))&gt;SUMPRODUCT((LEN(BD262)-LEN(SUBSTITUTE(BD262," "&amp;L_PendNeg&amp;" "," ")))/(LEN(L_PendNeg)+1)),1,0),1)</f>
        <v>0</v>
      </c>
      <c r="BJ262" s="61" t="n">
        <f aca="false">IFERROR(IF(SUMPRODUCT((LEN(BE262)-LEN(SUBSTITUTE(BE262," "&amp;L_Pending&amp;" "," ")))/(LEN(L_Pending)+1))&gt;SUMPRODUCT((LEN(BE262)-LEN(SUBSTITUTE(BE262," "&amp;L_PendNeg&amp;" "," ")))/(LEN(L_PendNeg)+1))+SUMPRODUCT((LEN(BE262)-LEN(SUBSTITUTE(BE262," "&amp;L_PendPrep&amp;" "," ")))/(LEN(L_PendPrep)+1)),1,0),1)</f>
        <v>0</v>
      </c>
      <c r="BK262" s="61" t="n">
        <f aca="false">IFERROR(IF(SUMPRODUCT((LEN(BF262)-LEN(SUBSTITUTE(BF262," "&amp;L_PendStrict&amp;" "," ")))/(LEN(L_PendStrict)+1))&gt;SUMPRODUCT((LEN(BF262)-LEN(SUBSTITUTE(BF262," "&amp;L_PendNeg&amp;" "," ")))/(LEN(L_PendNeg)+1)),1,0),1)</f>
        <v>0</v>
      </c>
      <c r="BL262" s="61" t="n">
        <f aca="false">IF(ISNA(MATCH(TRIM(S262),L_EvidenceType,0)),0,BZ262)</f>
        <v>0</v>
      </c>
      <c r="BM262" s="61" t="str">
        <f aca="false">SUBSTITUTE(SUBSTITUTE(SUBSTITUTE(SUBSTITUTE(SUBSTITUTE(SUBSTITUTE(SUBSTITUTE(SUBSTITUTE(SUBSTITUTE(LOWER(Z262&amp;""),"1","0"),"2","0"),"3","0"),"4","0"),"5","0"),"6","0"),"7","0"),"8","0"),"9","0")</f>
        <v/>
      </c>
      <c r="BN262" s="61" t="str">
        <f aca="false">SUBSTITUTE(SUBSTITUTE(SUBSTITUTE(SUBSTITUTE(SUBSTITUTE(SUBSTITUTE(SUBSTITUTE(SUBSTITUTE(SUBSTITUTE(SUBSTITUTE(SUBSTITUTE(SUBSTITUTE(SUBSTITUTE(SUBSTITUTE(SUBSTITUTE(SUBSTITUTE(SUBSTITUTE(SUBSTITUTE(SUBSTITUTE(SUBSTITUTE(SUBSTITUTE(SUBSTITUTE(SUBSTITUTE(SUBSTITUTE(SUBSTITUTE(BM262,"b","a"),"c","a"),"d","a"),"e","a"),"f","a"),"g","a"),"h","a"),"i","a"),"j","a"),"k","a"),"l","a"),"m","a"),"n","a"),"o","a"),"p","a"),"q","a"),"r","a"),"s","a"),"t","a"),"u","a"),"v","a"),"w","a"),"x","a"),"y","a"),"z","a")</f>
        <v/>
      </c>
      <c r="BO262" s="61" t="str">
        <f aca="false">SUBSTITUTE(SUBSTITUTE(SUBSTITUTE(SUBSTITUTE(SUBSTITUTE(SUBSTITUTE(SUBSTITUTE(SUBSTITUTE(SUBSTITUTE(LOWER(W262&amp;""),"1","0"),"2","0"),"3","0"),"4","0"),"5","0"),"6","0"),"7","0"),"8","0"),"9","0")</f>
        <v/>
      </c>
      <c r="BP262" s="61" t="str">
        <f aca="false">SUBSTITUTE(SUBSTITUTE(SUBSTITUTE(SUBSTITUTE(SUBSTITUTE(SUBSTITUTE(SUBSTITUTE(SUBSTITUTE(SUBSTITUTE(SUBSTITUTE(SUBSTITUTE(SUBSTITUTE(SUBSTITUTE(SUBSTITUTE(SUBSTITUTE(SUBSTITUTE(SUBSTITUTE(SUBSTITUTE(SUBSTITUTE(SUBSTITUTE(SUBSTITUTE(SUBSTITUTE(SUBSTITUTE(SUBSTITUTE(SUBSTITUTE(BO262,"b","a"),"c","a"),"d","a"),"e","a"),"f","a"),"g","a"),"h","a"),"i","a"),"j","a"),"k","a"),"l","a"),"m","a"),"n","a"),"o","a"),"p","a"),"q","a"),"r","a"),"s","a"),"t","a"),"u","a"),"v","a"),"w","a"),"x","a"),"y","a"),"z","a")</f>
        <v/>
      </c>
      <c r="BQ262" s="61" t="n">
        <f aca="false">IFERROR(IF(AND(ISERROR(SEARCH(" mh"," "&amp;LOWER(W262))),ISNA(MATCH(LEFT(TRIM(BP262),255),{"0000a","000a","00a","0000aa","000aa","00aa","0aa","0000aaa","000aaa","00a00","0a00","0000-0000","00:00","a00","a0","00.00.0000","00/00/0000","00-00-0000","0000-00-00","0000/00/00","0000.00.00","00.00.00","00/00/00","00-00-00","0.00.0000","0/00/0000","0-00-0000"},0)),ISNA(MATCH(LEFT(TRIM(CA262),255),{"0000a","000a","00a","0000aa","000aa","00aa","0aa","0000aaa","000aaa","00a00","0a00","0000-0000","00:00","a00","a0","00.00.0000","00/00/0000","00-00-0000","0000-00-00","0000/00/00","0000.00.00","00.00.00","00/00/00","00-00-00","0.00.0000","0/00/0000","0-00-0000"},0)),LEN(CB262)&gt;=3,NOT(OR(SUBSTITUTE(CB262,"0","")="",AND(LEN(CB262)&gt;=4,CB262=REPT(LEFT(CB262),LEN(CB262))),ISNUMBER(MATCH(CB262,{"123","1234","12345","123456","1234567","12345678","0123","01234","012345","98765","987654","54321"},0)),AND(LEN(CB262)=8,LEFT(CB262,3)="202"))),OR(AND((LEN(CA262)-LEN(SUBSTITUTE(CA262,"a","")))&gt;=1,SUMPRODUCT(--ISNUMBER(SEARCH({"a0","a-0","a_0","a/0","a.0","a#0","0a","0-a","0_a","0/a"},BP262)))&gt;0),ISNUMBER(SEARCH("000000",BP262)))),1,0),0)</f>
        <v>0</v>
      </c>
      <c r="BR262" s="61" t="n">
        <f aca="false">IFERROR(LEN(SUBSTITUTE(CC262," ",""))-SUMPRODUCT((LEN(CC262)-LEN(SUBSTITUTE(CC262," "&amp;L_Role&amp;" "," ")))/(LEN(L_Role)+1)*LEN(L_Role)),0)</f>
        <v>0</v>
      </c>
      <c r="BS262" s="61" t="n">
        <f aca="false">IFERROR(LEN(SUBSTITUTE(CD262," ",""))-SUMPRODUCT((LEN(CD262)-LEN(SUBSTITUTE(CD262," "&amp;L_Role&amp;" "," ")))/(LEN(L_Role)+1)*LEN(L_Role)),0)</f>
        <v>0</v>
      </c>
      <c r="BT2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262,"revision",""),"version",""),"jan",""),"feb",""),"mar",""),"apr",""),"may",""),"jun",""),"jul",""),"aug",""),"sep",""),"oct",""),"nov",""),"dec",""),"utc",""),"gmt",""),"myt",""),"bst",""),"rev",""),"ver",""),"b","a"),"c","a"),"d","a"),"e","a"),"f","a"),"g","a"),"h","a"),"i","a"),"j","a"),"k","a"),"l","a"),"m","a"),"n","a"),"o","a"),"p","a"),"q","a"),"r","a"),"s","a"),"t","a"),"u","a"),"v","a"),"w","a"),"x","a"),"y","a"),"z","a")</f>
        <v/>
      </c>
      <c r="BU262" s="61" t="str">
        <f aca="false">SUBSTITUTE(SUBSTITUTE(SUBSTITUTE(SUBSTITUTE(SUBSTITUTE(SUBSTITUTE(SUBSTITUTE(SUBSTITUTE(SUBSTITUTE(SUBSTITUTE(LEFT(BM262,FIND("0",BM262&amp;"0")-1),"-",""),"_",""),"/",""),".",""),"#",""),"\\",""),":","")," ",""),"(",""),")","")</f>
        <v/>
      </c>
      <c r="BV262" s="61" t="n">
        <f aca="false">0</f>
        <v>0</v>
      </c>
      <c r="BW2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262&amp;""),"a",""),"b",""),"c",""),"d",""),"e",""),"f",""),"g",""),"h",""),"i",""),"j",""),"k",""),"l",""),"m",""),"n",""),"o",""),"p",""),"q",""),"r",""),"s",""),"t",""),"u",""),"v",""),"w",""),"x",""),"y",""),"z",""),"-",""),"_",""),"/",""),".",""),"#",""),"\\",""),":","")," ",""),"(",""),")","")</f>
        <v/>
      </c>
      <c r="BX262" s="61" t="str">
        <f aca="false">SUBSTITUTE(SUBSTITUTE(SUBSTITUTE(SUBSTITUTE(SUBSTITUTE(SUBSTITUTE(SUBSTITUTE(SUBSTITUTE(SUBSTITUTE(SUBSTITUTE(SUBSTITUTE(BM262,"0",""),"-",""),"_",""),"/",""),".",""),"#",""),"\\",""),":","")," ",""),"(",""),")","")</f>
        <v/>
      </c>
      <c r="BY262" s="62" t="n">
        <f aca="false">Q262-T7EarlyD*24/24</f>
        <v>46284.0659722222</v>
      </c>
      <c r="BZ262" s="61" t="n">
        <f aca="false">IFERROR(IF(IF(TRIM(S262)="Link / file path",AND(LEN(TRIM(Z262))&gt;=5,SUMPRODUCT(--ISNUMBER(SEARCH({"http","www.","\\",":\",".pdf",".jpg",".jpeg",".png",".heic",".xls",".doc",".msg",".eml",".ppt",".txt",".zip"},Z262)))&gt;0),AND(ISERROR(FIND(" ",TRIM(Z262))),NOT(OR(SUMPRODUCT(--ISNUMBER(FIND({",",";","&amp;","+"},Z262)))&gt;0,SUMPRODUCT(--ISNUMBER(SEARCH({"0/aa","0\\aa"},BN262)))&gt;0)),NOT(SUMPRODUCT(--ISNUMBER(SEARCH({"http","www.","\\",":\",".pdf",".jpg",".jpeg",".png",".heic",".xls",".doc",".msg",".eml",".ppt",".txt",".zip"},Z262)))&gt;0),NOT(LOWER(TRIM(Z262))=LOWER(Flights!$F$12)),ISNA(MATCH(BU262,{"mh","rev","revision","ver","version","v","r","a","b","seat","tray","row","gate","bay","stand","page","pg","item","line","no","cart","galley","flight","flt","table","box","bag","oven","etd","eta","std","sta","atd","ata","qty","pax","x","time","tel","ph","mob","day","wk","week","utc","gmt","myt","lt"},0)),NOT(OR(ISNUMBER(MATCH(LEFT(BN262,255),{"0000a","000a","00a","0000aa","000aa","00aa","0aa","0000aaa","000aaa","00a00","0a00","0000-0000","00:00","a00","a0","00.00.0000","00/00/0000","00-00-0000","0000-00-00","0000/00/00","0000.00.00","00.00.00","00/00/00","00-00-00","0.00.0000","0/00/0000","0-00-0000"},0)),ISNUMBER(MATCH(LEFT(BT262,255),{"0000a","000a","00a","0000aa","000aa","00aa","0aa","0000aaa","000aaa","00a00","0a00","0000-0000","00:00","a00","a0","00.00.0000","00/00/0000","00-00-0000","0000-00-00","0000/00/00","0000.00.00","00.00.00","00/00/00","00-00-00","0.00.0000","0/00/0000","0-00-0000"},0)))),NOT(OR(AND(BW262&lt;&gt;"",SUBSTITUTE(BW262,"0","")=""),AND(LEN(BW262)&gt;=4,BW262=REPT(LEFT(BW262),LEN(BW262))),ISNUMBER(MATCH(BW262,{"123","1234","12345","123456","1234567","12345678","0123","01234","012345","98765","987654","54321"},0)),ISNUMBER(MATCH(BX262,{"x","xx","xxx","xxxx","xxxxx","abc","abcd","nil","na","nan","test","tbc","tba","tbd","dummy","sample","example","eg","zz","zzz","none","null","xyz","qwe","asd","id","ref"},0)),AND(LEN(BW262)=8,BX262="",OR(LEFT(BW262,3)="202",ISNUMBER(MATCH(RIGHT(BW262,4),{"2025","2026","2027"},0)))))),OR(AND((LEN(BT262)-LEN(SUBSTITUTE(BT262,"a","")))&gt;=1,(LEN(BN262)-LEN(SUBSTITUTE(BN262,"0","")))&gt;=2,SUMPRODUCT(--ISNUMBER(SEARCH({"a0","a-0","a_0","a/0","a.0","a#0","0a","0-a","0_a","0/a"},BN262)))&gt;0),AND((LEN(BN262)-LEN(SUBSTITUTE(BN262,"a","")))=0,(LEN(BN262)-LEN(SUBSTITUTE(BN262,"0","")))&gt;=5)))),1,0),0)</f>
        <v>0</v>
      </c>
      <c r="CA2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262,"revision",""),"version",""),"jan",""),"feb",""),"mar",""),"apr",""),"may",""),"jun",""),"jul",""),"aug",""),"sep",""),"oct",""),"nov",""),"dec",""),"utc",""),"gmt",""),"myt",""),"bst",""),"rev",""),"ver",""),"b","a"),"c","a"),"d","a"),"e","a"),"f","a"),"g","a"),"h","a"),"i","a"),"j","a"),"k","a"),"l","a"),"m","a"),"n","a"),"o","a"),"p","a"),"q","a"),"r","a"),"s","a"),"t","a"),"u","a"),"v","a"),"w","a"),"x","a"),"y","a"),"z","a")</f>
        <v/>
      </c>
      <c r="CB2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262&amp;""),"a",""),"b",""),"c",""),"d",""),"e",""),"f",""),"g",""),"h",""),"i",""),"j",""),"k",""),"l",""),"m",""),"n",""),"o",""),"p",""),"q",""),"r",""),"s",""),"t",""),"u",""),"v",""),"w",""),"x",""),"y",""),"z",""),"-",""),"_",""),"/",""),".",""),"#",""),"\\",""),":","")," ",""),"(",""),")","")</f>
        <v/>
      </c>
      <c r="CC262" s="0" t="str">
        <f aca="false">" "&amp;TRIM(SUBSTITUTE(SUBSTITUTE(SUBSTITUTE(SUBSTITUTE(SUBSTITUTE(SUBSTITUTE(SUBSTITUTE(SUBSTITUTE(SUBSTITUTE(SUBSTITUTE(SUBSTITUTE(SUBSTITUTE(SUBSTITUTE(SUBSTITUTE(SUBSTITUTE(SUBSTITUTE(SUBSTITUTE(SUBSTITUTE(SUBSTITUTE(SUBSTITUTE(SUBSTITUTE(SUBSTITUTE(SUBSTITUTE(SUBSTITUTE(LOWER(T262&amp;""),CHAR(10)," "),CHAR(13)," "),CHAR(9)," "),CHAR(160)," "),"."," "),","," "),"-"," "),"/"," "),"("," "),")"," "),":"," "),";"," "),"_"," "),"–"," "),"?"," "),"!"," "),"*"," "),"["," "),"]"," "),"'"," "),"#"," "),"+"," "),"&amp;"," "),"\"," "))&amp;" "</f>
        <v>  </v>
      </c>
      <c r="CD262" s="0" t="str">
        <f aca="false">" "&amp;TRIM(SUBSTITUTE(SUBSTITUTE(SUBSTITUTE(SUBSTITUTE(SUBSTITUTE(SUBSTITUTE(SUBSTITUTE(SUBSTITUTE(SUBSTITUTE(SUBSTITUTE(SUBSTITUTE(SUBSTITUTE(SUBSTITUTE(SUBSTITUTE(SUBSTITUTE(SUBSTITUTE(SUBSTITUTE(SUBSTITUTE(SUBSTITUTE(SUBSTITUTE(SUBSTITUTE(SUBSTITUTE(SUBSTITUTE(SUBSTITUTE(LOWER(AE262&amp;""),CHAR(10)," "),CHAR(13)," "),CHAR(9)," "),CHAR(160)," "),"."," "),","," "),"-"," "),"/"," "),"("," "),")"," "),":"," "),";"," "),"_"," "),"–"," "),"?"," "),"!"," "),"*"," "),"["," "),"]"," "),"'"," "),"#"," "),"+"," "),"&amp;"," "),"\"," "))&amp;" "</f>
        <v>  </v>
      </c>
      <c r="CE262" s="68" t="n">
        <f aca="false">IFERROR(IF(AND(LEN(AU262)&gt;0,LEN(AU262)=LEN(AX262),OR(TRIM(MID(SUBSTITUTE(TRIM(CC262)," ",REPT(" ",60)),1,60))="",ISNUMBER(SEARCH(" "&amp;TRIM(MID(SUBSTITUTE(TRIM(CC262)," ",REPT(" ",60)),1,60))&amp;" ",CD262))),OR(TRIM(MID(SUBSTITUTE(TRIM(CC262)," ",REPT(" ",60)),61,60))="",ISNUMBER(SEARCH(" "&amp;TRIM(MID(SUBSTITUTE(TRIM(CC262)," ",REPT(" ",60)),61,60))&amp;" ",CD262))),OR(TRIM(MID(SUBSTITUTE(TRIM(CC262)," ",REPT(" ",60)),121,60))="",ISNUMBER(SEARCH(" "&amp;TRIM(MID(SUBSTITUTE(TRIM(CC262)," ",REPT(" ",60)),121,60))&amp;" ",CD262)))),1,0),0)</f>
        <v>0</v>
      </c>
      <c r="CG262" s="68" t="n">
        <f aca="false">IFERROR(LEN(SUBSTITUTE(BF262," ",""))-SUMPRODUCT((LEN(BF262)-LEN(SUBSTITUTE(BF262," "&amp;L_NAFiller&amp;" "," ")))/(LEN(L_NAFiller)+1)*LEN(L_NAFiller)),0)</f>
        <v>0</v>
      </c>
    </row>
    <row r="263" customFormat="false" ht="39.75" hidden="false" customHeight="true" outlineLevel="0" collapsed="false">
      <c r="A263" s="57" t="s">
        <v>834</v>
      </c>
      <c r="B263" s="57" t="s">
        <v>238</v>
      </c>
      <c r="C263" s="57" t="str">
        <f aca="false">Flights!$F$12</f>
        <v>MH0752</v>
      </c>
      <c r="D263" s="58" t="n">
        <f aca="false">Flights!$D$12</f>
        <v>46305</v>
      </c>
      <c r="E263" s="57" t="str">
        <f aca="false">Flights!$G$12&amp;"-"&amp;Flights!$H$12</f>
        <v>KUL-HAN</v>
      </c>
      <c r="F263" s="57" t="str">
        <f aca="false">Flights!$K$12</f>
        <v>EY</v>
      </c>
      <c r="G263" s="57" t="s">
        <v>81</v>
      </c>
      <c r="H263" s="57" t="s">
        <v>378</v>
      </c>
      <c r="I263" s="57" t="s">
        <v>385</v>
      </c>
      <c r="J263" s="57" t="s">
        <v>386</v>
      </c>
      <c r="K263" s="67" t="s">
        <v>387</v>
      </c>
      <c r="L263" s="67" t="s">
        <v>382</v>
      </c>
      <c r="M263" s="67"/>
      <c r="N263" s="67" t="s">
        <v>383</v>
      </c>
      <c r="O263" s="67"/>
      <c r="P263" s="57" t="s">
        <v>187</v>
      </c>
      <c r="Q263" s="59" t="n">
        <f aca="false">ROUND((Flights!$AC$12)*1440,0)/1440</f>
        <v>46298.0659722222</v>
      </c>
      <c r="R263" s="59" t="n">
        <f aca="false">Q263+(IF(AND(INDEX(TZ_DSTS,MATCH(P263,TZ_STN,0))&lt;&gt;"",Q263&gt;=INDEX(TZ_DSTS,MATCH(P263,TZ_STN,0)),Q263&lt;INDEX(TZ_DSTE,MATCH(P263,TZ_STN,0))),INDEX(TZ_DST,MATCH(P263,TZ_STN,0)),INDEX(TZ_STD,MATCH(P263,TZ_STN,0))))/24</f>
        <v>46298.3993055556</v>
      </c>
      <c r="S263" s="60"/>
      <c r="T263" s="60"/>
      <c r="U263" s="60"/>
      <c r="V263" s="60"/>
      <c r="W263" s="61"/>
      <c r="X263" s="60"/>
      <c r="Y263" s="60"/>
      <c r="Z263" s="60"/>
      <c r="AA263" s="60"/>
      <c r="AB263" s="60"/>
      <c r="AC263" s="60"/>
      <c r="AD263" s="66"/>
      <c r="AE263" s="60"/>
      <c r="AF263" s="61" t="str">
        <f aca="false">IF(AND(ISNUMBER(X263),ISNUMBER(Y263)),Y263-X263,"")</f>
        <v/>
      </c>
      <c r="AG263" s="62" t="str">
        <f aca="false">IF(ISNUMBER(AD263),AD263-(IF(AND(INDEX(TZ_DSTS,MATCH(P263,TZ_STN,0))&lt;&gt;"",(AD263-INDEX(TZ_STD,MATCH(P263,TZ_STN,0))/24)&gt;=INDEX(TZ_DSTS,MATCH(P263,TZ_STN,0)),(AD263-INDEX(TZ_STD,MATCH(P263,TZ_STN,0))/24)&lt;INDEX(TZ_DSTE,MATCH(P263,TZ_STN,0))),INDEX(TZ_DST,MATCH(P263,TZ_STN,0)),INDEX(TZ_STD,MATCH(P263,TZ_STN,0))))/24,"")</f>
        <v/>
      </c>
      <c r="AH263" s="65" t="str">
        <f aca="false">IFERROR(IF(N263="N/A – rule",IF(OR(TRIM(U263)="",TRIM(U263)="N/A",TRIM(U263)="Not started"),"N/A – RULE","INVALID – this check does not apply to this aircraft: clear the status (or correct the fleet on Flights)"),IF(TRIM(U263)="N/A",IF(AT263=0,"INVALID – N/A not permitted for this check",IF(AND(TRIM(AB263)&lt;&gt;"",TRIM(AB263)&lt;&gt;"Closed"),"INVALID – corrective action still open",IF(AND(NOT(OR(LEN(AZ263)&lt;15,ISNUMBER(MATCH(AZ263,L_Placeholder,0)))),BK263=0,CG263&gt;=8,NOT(OR(LEN(AU263)&lt;2,ISNUMBER(MATCH(AU263,L_Placeholder,0)))),BR263&gt;=3,NOT(OR(LEN(AX263)&lt;2,ISNUMBER(MATCH(AX263,L_Placeholder,0)))),BS263&gt;=3,TRIM(AE263)&lt;&gt;TRIM(T263),AX263&lt;&gt;AU263,CE263=0),"N/A – JUSTIFIED","INVALID – N/A needs a real, settled reason (not 'not applicable' / 'as above' / TBC), a named PIC and a different named verifier"))),IF(OR(TRIM(U263)="Pass",TRIM(U263)="Pass after CA"),IF(NOT(ISNUMBER(AD263)),"INVALID – completion time missing",IF(OR(OR(LEN(AU263)&lt;2,ISNUMBER(MATCH(AU263,L_Placeholder,0))),BR263&lt;3),"INVALID – PIC missing or not a named person (a role such as QA / CSM is not a name)",IF(OR(LEN(AV263)&lt;2,ISNUMBER(MATCH(AV263,L_Placeholder,0))),"INVALID – result / assessment missing",IF(OR(OR(LEN(AW263)&lt;3,ISNUMBER(MATCH(AW263,L_Placeholder,0))),SUMPRODUCT(--ISNUMBER(SEARCH(" "&amp;L_EvidencePhrase&amp;" ",BD263)))&gt;0,BI263=1),"INVALID – evidence missing, placeholder or not yet on file",IF(ISNA(MATCH(TRIM(S263),L_EvidenceType,0)),"INVALID – choose the evidence type from the list (column S)",IF(BL263=0,"INVALID – evidence ID must be the record's own ID only (e.g. SF-2210, IMG_2231, 1045521); a link / file name needs type 'Link / file path'",IF(OR(OR(LEN(AX263)&lt;2,ISNUMBER(MATCH(AX263,L_Placeholder,0))),BS263&lt;3),"INVALID – verifier missing or not a named person (a role such as QA / CSM is not a name)",IF(OR(AX263=AU263,CE263=1,AND(LEN(AU263)&gt;=4,ISNUMBER(SEARCH(AU263,AX263))),AND(LEN(AX263)&gt;=4,ISNUMBER(SEARCH(AX263,AU263)))),"INVALID – verifier must be a different, named person (not the PIC or a role)",IF(BH263=1,"INVALID – result not yet available (awaiting / TBC)",IF(BG263=1,"INVALID – result describes a problem: record Fail, then Pass after CA (or reword if it is not a problem)",IF(BV263=1,"INVALID – wording says not on board: an on-board confirmation needs the item loaded",IF(AND(AQ263=1,OR(OR(LEN(AY263)&lt;3,ISNUMBER(MATCH(AY263,L_Placeholder,0))),BJ263=1,BQ263=0)),"INVALID – batch ID missing, placeholder or not an ID (e.g. PASB-261008-BC-017)",IF(AND(AR263=1,OR(NOT(ISNUMBER(X263)),NOT(ISNUMBER(Y263)))),"INVALID – expected/actual qty missing",IF(AND(AR263=1,OR(X263&lt;=0,Y263&lt;0)),"INVALID – expected qty must be above 0 and actual not negative",IF(BB263&lt;&gt;"",BB263,IF(AND(AS263=1,Documents!$J$12&lt;&gt;"ON FILE"),"INVALID – GLD not on file (Documents sheet)",IF(AND(AS263=2,Documents!$O$12&lt;&gt;"ON FILE"),"INVALID – menu checklist not on file (Documents sheet)",IF(AND(AS263=3,NOT(ISNUMBER(Flights!$AX$12))),"INVALID – enter carrying flight KUL departure (Flights AX)",IF(AND(AS263=3,OR(Flights!$AZ$12&gt;Flights!$AA$12,Flights!$AX$12&lt;Flights!$AA$12-3)),"INVALID – carrying flight (Flights AX) cannot arrive before this leg's STD, or is over 3 days early",IF(AG263&gt;AsOfUTC,"INVALID – completion time is in the future",IF(AND(ISNUMBER(BY263),AG263&lt;BY263),IF(H263="Physical uplift","INVALID – before uplift window (cannot confirm loading)","INVALID – before valid window"),IF(AG263&gt;Flights!$AA$12,"INVALID – completed after departure (cannot establish readiness)",IF(AND(H263="Preparation",AG263&gt;=IF(ISNUMBER(Flights!$BA$12),MIN(Flights!$BA$12,Flights!$AA$12),Flights!$AA$12)),"INVALID – completed after loading / departure (cannot establish readiness)",IF(AND(H263="Physical uplift",AG263&gt;Q263),"INVALID – recorded after the loading flight departed",IF(AG263&gt;Q263,"COMPLETE – LATE","COMPLETE"))))))))))))))))))))))))),IF(TRIM(U263)="Fail","FAIL – DISCREPANCY",IF(AND(TRIM(U263)&lt;&gt;"",TRIM(U263)&lt;&gt;"Not started",TRIM(U263)&lt;&gt;"In progress"),"INVALID – unrecognised status (use the list)",IF(AsOfUTC&gt;Q263,"OVERDUE",IF(N263="Clarification required","OPEN – CLARIFICATION","OPEN"))))))),"INVALID – error value in an input cell")</f>
        <v>OPEN</v>
      </c>
      <c r="AI263" s="61" t="n">
        <f aca="false">IF(OR(AH263="N/A – RULE",AH263="N/A – JUSTIFIED"),0,1)</f>
        <v>1</v>
      </c>
      <c r="AJ263" s="61" t="n">
        <f aca="false">IF(LEFT(AH263,8)="COMPLETE",1,0)</f>
        <v>0</v>
      </c>
      <c r="AK263" s="61" t="n">
        <f aca="false">IF(AND(AI263=1,AJ263=0,AsOfUTC&gt;Q263),1,0)</f>
        <v>0</v>
      </c>
      <c r="AL263" s="61" t="n">
        <f aca="false">IFERROR(IF(AND(AI263=1,OR(TRIM(U263)="Fail",AND(TRIM(AB263)&lt;&gt;"",TRIM(AB263)&lt;&gt;"Closed"),AND(ISNUMBER(AF263),AF263&lt;&gt;0,TRIM(U263)&lt;&gt;"Pass after CA"))),1,0),1)</f>
        <v>0</v>
      </c>
      <c r="AM263" s="61" t="n">
        <f aca="false">IF(LEFT(AH263,7)="INVALID",1,0)</f>
        <v>0</v>
      </c>
      <c r="AN263" s="61" t="n">
        <f aca="false">IF(AND(N263="Clarification required",AI263=1,AJ263=0),1,0)</f>
        <v>0</v>
      </c>
      <c r="AO263" s="61" t="str">
        <f aca="false">IF(AK263=1,SUM(AK$5:AK263),"")</f>
        <v/>
      </c>
      <c r="AP263" s="61" t="str">
        <f aca="false">IF(AL263=1,SUM(AL$5:AL263),"")</f>
        <v/>
      </c>
      <c r="AQ263" s="61" t="n">
        <v>0</v>
      </c>
      <c r="AR263" s="61" t="n">
        <v>0</v>
      </c>
      <c r="AS263" s="61" t="n">
        <v>0</v>
      </c>
      <c r="AT263" s="61" t="n">
        <v>0</v>
      </c>
      <c r="AU263" s="61" t="str">
        <f aca="false">SUBSTITUTE(SUBSTITUTE(SUBSTITUTE(SUBSTITUTE(SUBSTITUTE(SUBSTITUTE(SUBSTITUTE(SUBSTITUTE(SUBSTITUTE(SUBSTITUTE(SUBSTITUTE(SUBSTITUTE(SUBSTITUTE(SUBSTITUTE(SUBSTITUTE(SUBSTITUTE(LOWER(T263&amp;""),CHAR(10),""),CHAR(13),""),CHAR(9),""),CHAR(160),"")," ",""),".",""),"-",""),"/",""),"?",""),"_",""),",",""),"[",""),"]",""),"(",""),")",""),"*","")</f>
        <v/>
      </c>
      <c r="AV263" s="61" t="str">
        <f aca="false">SUBSTITUTE(SUBSTITUTE(SUBSTITUTE(SUBSTITUTE(SUBSTITUTE(SUBSTITUTE(SUBSTITUTE(SUBSTITUTE(SUBSTITUTE(SUBSTITUTE(SUBSTITUTE(SUBSTITUTE(SUBSTITUTE(SUBSTITUTE(SUBSTITUTE(SUBSTITUTE(LOWER(V263&amp;""),CHAR(10),""),CHAR(13),""),CHAR(9),""),CHAR(160),"")," ",""),".",""),"-",""),"/",""),"?",""),"_",""),",",""),"[",""),"]",""),"(",""),")",""),"*","")</f>
        <v/>
      </c>
      <c r="AW263" s="61" t="str">
        <f aca="false">SUBSTITUTE(SUBSTITUTE(SUBSTITUTE(SUBSTITUTE(SUBSTITUTE(SUBSTITUTE(SUBSTITUTE(SUBSTITUTE(SUBSTITUTE(SUBSTITUTE(SUBSTITUTE(SUBSTITUTE(SUBSTITUTE(SUBSTITUTE(SUBSTITUTE(SUBSTITUTE(LOWER(Z263&amp;""),CHAR(10),""),CHAR(13),""),CHAR(9),""),CHAR(160),"")," ",""),".",""),"-",""),"/",""),"?",""),"_",""),",",""),"[",""),"]",""),"(",""),")",""),"*","")</f>
        <v/>
      </c>
      <c r="AX263" s="61" t="str">
        <f aca="false">SUBSTITUTE(SUBSTITUTE(SUBSTITUTE(SUBSTITUTE(SUBSTITUTE(SUBSTITUTE(SUBSTITUTE(SUBSTITUTE(SUBSTITUTE(SUBSTITUTE(SUBSTITUTE(SUBSTITUTE(SUBSTITUTE(SUBSTITUTE(SUBSTITUTE(SUBSTITUTE(LOWER(AE263&amp;""),CHAR(10),""),CHAR(13),""),CHAR(9),""),CHAR(160),"")," ",""),".",""),"-",""),"/",""),"?",""),"_",""),",",""),"[",""),"]",""),"(",""),")",""),"*","")</f>
        <v/>
      </c>
      <c r="AY263" s="61" t="str">
        <f aca="false">SUBSTITUTE(SUBSTITUTE(SUBSTITUTE(SUBSTITUTE(SUBSTITUTE(SUBSTITUTE(SUBSTITUTE(SUBSTITUTE(SUBSTITUTE(SUBSTITUTE(SUBSTITUTE(SUBSTITUTE(SUBSTITUTE(SUBSTITUTE(SUBSTITUTE(SUBSTITUTE(LOWER(W263&amp;""),CHAR(10),""),CHAR(13),""),CHAR(9),""),CHAR(160),"")," ",""),".",""),"-",""),"/",""),"?",""),"_",""),",",""),"[",""),"]",""),"(",""),")",""),"*","")</f>
        <v/>
      </c>
      <c r="AZ263" s="61" t="str">
        <f aca="false">SUBSTITUTE(SUBSTITUTE(SUBSTITUTE(SUBSTITUTE(SUBSTITUTE(SUBSTITUTE(SUBSTITUTE(SUBSTITUTE(SUBSTITUTE(SUBSTITUTE(SUBSTITUTE(SUBSTITUTE(SUBSTITUTE(SUBSTITUTE(SUBSTITUTE(SUBSTITUTE(LOWER(AC263&amp;""),CHAR(10),""),CHAR(13),""),CHAR(9),""),CHAR(160),"")," ",""),".",""),"-",""),"/",""),"?",""),"_",""),",",""),"[",""),"]",""),"(",""),")",""),"*","")</f>
        <v/>
      </c>
      <c r="BA263" s="61" t="str">
        <f aca="false">SUBSTITUTE(SUBSTITUTE(SUBSTITUTE(SUBSTITUTE(SUBSTITUTE(SUBSTITUTE(SUBSTITUTE(SUBSTITUTE(SUBSTITUTE(SUBSTITUTE(SUBSTITUTE(SUBSTITUTE(SUBSTITUTE(SUBSTITUTE(SUBSTITUTE(SUBSTITUTE(LOWER(AA263&amp;""),CHAR(10),""),CHAR(13),""),CHAR(9),""),CHAR(160),"")," ",""),".",""),"-",""),"/",""),"?",""),"_",""),",",""),"[",""),"]",""),"(",""),")",""),"*","")</f>
        <v/>
      </c>
      <c r="BB263" s="61" t="str">
        <f aca="false">IF(AND(TRIM(U263)="Pass",ISNUMBER(AF263)),IF(AF263&lt;&gt;0,"INVALID – qty variance: use Fail or Pass after CA",""),"")&amp;IF(AND(TRIM(U263)="Pass after CA",ISNUMBER(AF263)),IF(AF263&lt;&gt;0,"INVALID – after the corrective action the actual qty must equal expected (update Actual)",""),"")&amp;IF(AND(TRIM(U263)="Pass",TRIM(AB263)&lt;&gt;"",TRIM(AB263)&lt;&gt;"Closed"),"INVALID – corrective action not closed: use Fail, then Pass after CA","")&amp;IF(AND(LEN(BA263)&gt;=2,ISNA(MATCH(LEFT(BA263,255),L_Placeholder,0)),TRIM(AB263)=""),"INVALID – CA status missing for the recorded corrective action","")&amp;IF(AND(TRIM(U263)="Pass after CA",OR(OR(LEN(BA263)&lt;5,ISNUMBER(MATCH(BA263,L_Placeholder,0))),TRIM(AB263)&lt;&gt;"Closed")),"INVALID – corrective action not recorded/closed","")</f>
        <v/>
      </c>
      <c r="BC263" s="61" t="str">
        <f aca="false">" "&amp;TRIM(SUBSTITUTE(SUBSTITUTE(SUBSTITUTE(SUBSTITUTE(SUBSTITUTE(SUBSTITUTE(SUBSTITUTE(SUBSTITUTE(SUBSTITUTE(SUBSTITUTE(SUBSTITUTE(SUBSTITUTE(SUBSTITUTE(SUBSTITUTE(SUBSTITUTE(SUBSTITUTE(SUBSTITUTE(SUBSTITUTE(SUBSTITUTE(SUBSTITUTE(SUBSTITUTE(SUBSTITUTE(SUBSTITUTE(SUBSTITUTE(LOWER(V263&amp;""),CHAR(10)," "),CHAR(13)," "),CHAR(9)," "),CHAR(160)," "),"."," "),","," "),"-"," "),"/"," "),"("," "),")"," "),":"," "),";"," "),"_"," "),"–"," "),"?"," "),"!"," "),"*"," "),"["," "),"]"," "),"'"," "),"#"," "),"+"," "),"&amp;"," "),"\"," "))&amp;" "</f>
        <v>  </v>
      </c>
      <c r="BD263" s="61" t="str">
        <f aca="false">" "&amp;TRIM(SUBSTITUTE(SUBSTITUTE(SUBSTITUTE(SUBSTITUTE(SUBSTITUTE(SUBSTITUTE(SUBSTITUTE(SUBSTITUTE(SUBSTITUTE(SUBSTITUTE(SUBSTITUTE(SUBSTITUTE(SUBSTITUTE(SUBSTITUTE(SUBSTITUTE(SUBSTITUTE(SUBSTITUTE(SUBSTITUTE(SUBSTITUTE(SUBSTITUTE(SUBSTITUTE(SUBSTITUTE(SUBSTITUTE(SUBSTITUTE(LOWER(Z263&amp;""),CHAR(10)," "),CHAR(13)," "),CHAR(9)," "),CHAR(160)," "),"."," "),","," "),"-"," "),"/"," "),"("," "),")"," "),":"," "),";"," "),"_"," "),"–"," "),"?"," "),"!"," "),"*"," "),"["," "),"]"," "),"'"," "),"#"," "),"+"," "),"&amp;"," "),"\"," "))&amp;" "</f>
        <v>  </v>
      </c>
      <c r="BE263" s="61" t="str">
        <f aca="false">" "&amp;TRIM(SUBSTITUTE(SUBSTITUTE(SUBSTITUTE(SUBSTITUTE(SUBSTITUTE(SUBSTITUTE(SUBSTITUTE(SUBSTITUTE(SUBSTITUTE(SUBSTITUTE(SUBSTITUTE(SUBSTITUTE(SUBSTITUTE(SUBSTITUTE(SUBSTITUTE(SUBSTITUTE(SUBSTITUTE(SUBSTITUTE(SUBSTITUTE(SUBSTITUTE(SUBSTITUTE(SUBSTITUTE(SUBSTITUTE(SUBSTITUTE(LOWER(W263&amp;""),CHAR(10)," "),CHAR(13)," "),CHAR(9)," "),CHAR(160)," "),"."," "),","," "),"-"," "),"/"," "),"("," "),")"," "),":"," "),";"," "),"_"," "),"–"," "),"?"," "),"!"," "),"*"," "),"["," "),"]"," "),"'"," "),"#"," "),"+"," "),"&amp;"," "),"\"," "))&amp;" "</f>
        <v>  </v>
      </c>
      <c r="BF263" s="61" t="str">
        <f aca="false">" "&amp;TRIM(SUBSTITUTE(SUBSTITUTE(SUBSTITUTE(SUBSTITUTE(SUBSTITUTE(SUBSTITUTE(SUBSTITUTE(SUBSTITUTE(SUBSTITUTE(SUBSTITUTE(SUBSTITUTE(SUBSTITUTE(SUBSTITUTE(SUBSTITUTE(SUBSTITUTE(SUBSTITUTE(SUBSTITUTE(SUBSTITUTE(SUBSTITUTE(SUBSTITUTE(SUBSTITUTE(SUBSTITUTE(SUBSTITUTE(SUBSTITUTE(LOWER(AC263&amp;""),CHAR(10)," "),CHAR(13)," "),CHAR(9)," "),CHAR(160)," "),"."," "),","," "),"-"," "),"/"," "),"("," "),")"," "),":"," "),";"," "),"_"," "),"–"," "),"?"," "),"!"," "),"*"," "),"["," "),"]"," "),"'"," "),"#"," "),"+"," "),"&amp;"," "),"\"," "))&amp;" "</f>
        <v>  </v>
      </c>
      <c r="BG263" s="61" t="n">
        <f aca="false">IFERROR(IF(AND(TRIM(U263)="Pass",SUMPRODUCT((LEN(BC263)-LEN(SUBSTITUTE(BC263," "&amp;L_ResultBad&amp;" "," ")))/(LEN(L_ResultBad)+1))&gt;SUMPRODUCT((LEN(BC263)-LEN(SUBSTITUTE(BC263," "&amp;L_NegPhrase&amp;" "," ")))/(LEN(L_NegPhrase)+1))),1,0),0)</f>
        <v>0</v>
      </c>
      <c r="BH263" s="61" t="n">
        <f aca="false">IFERROR(IF(SUMPRODUCT((LEN(BC263)-LEN(SUBSTITUTE(BC263," "&amp;L_Pending&amp;" "," ")))/(LEN(L_Pending)+1))&gt;SUMPRODUCT((LEN(BC263)-LEN(SUBSTITUTE(BC263," "&amp;L_PendNeg&amp;" "," ")))/(LEN(L_PendNeg)+1))+SUMPRODUCT((LEN(BC263)-LEN(SUBSTITUTE(BC263," "&amp;L_PendPrep&amp;" "," ")))/(LEN(L_PendPrep)+1)),1,0),1)</f>
        <v>0</v>
      </c>
      <c r="BI263" s="61" t="n">
        <f aca="false">IFERROR(IF(SUMPRODUCT((LEN(BD263)-LEN(SUBSTITUTE(BD263," "&amp;L_PendStrict&amp;" "," ")))/(LEN(L_PendStrict)+1))&gt;SUMPRODUCT((LEN(BD263)-LEN(SUBSTITUTE(BD263," "&amp;L_PendNeg&amp;" "," ")))/(LEN(L_PendNeg)+1)),1,0),1)</f>
        <v>0</v>
      </c>
      <c r="BJ263" s="61" t="n">
        <f aca="false">IFERROR(IF(SUMPRODUCT((LEN(BE263)-LEN(SUBSTITUTE(BE263," "&amp;L_Pending&amp;" "," ")))/(LEN(L_Pending)+1))&gt;SUMPRODUCT((LEN(BE263)-LEN(SUBSTITUTE(BE263," "&amp;L_PendNeg&amp;" "," ")))/(LEN(L_PendNeg)+1))+SUMPRODUCT((LEN(BE263)-LEN(SUBSTITUTE(BE263," "&amp;L_PendPrep&amp;" "," ")))/(LEN(L_PendPrep)+1)),1,0),1)</f>
        <v>0</v>
      </c>
      <c r="BK263" s="61" t="n">
        <f aca="false">IFERROR(IF(SUMPRODUCT((LEN(BF263)-LEN(SUBSTITUTE(BF263," "&amp;L_PendStrict&amp;" "," ")))/(LEN(L_PendStrict)+1))&gt;SUMPRODUCT((LEN(BF263)-LEN(SUBSTITUTE(BF263," "&amp;L_PendNeg&amp;" "," ")))/(LEN(L_PendNeg)+1)),1,0),1)</f>
        <v>0</v>
      </c>
      <c r="BL263" s="61" t="n">
        <f aca="false">IF(ISNA(MATCH(TRIM(S263),L_EvidenceType,0)),0,BZ263)</f>
        <v>0</v>
      </c>
      <c r="BM263" s="61" t="str">
        <f aca="false">SUBSTITUTE(SUBSTITUTE(SUBSTITUTE(SUBSTITUTE(SUBSTITUTE(SUBSTITUTE(SUBSTITUTE(SUBSTITUTE(SUBSTITUTE(LOWER(Z263&amp;""),"1","0"),"2","0"),"3","0"),"4","0"),"5","0"),"6","0"),"7","0"),"8","0"),"9","0")</f>
        <v/>
      </c>
      <c r="BN263" s="61" t="str">
        <f aca="false">SUBSTITUTE(SUBSTITUTE(SUBSTITUTE(SUBSTITUTE(SUBSTITUTE(SUBSTITUTE(SUBSTITUTE(SUBSTITUTE(SUBSTITUTE(SUBSTITUTE(SUBSTITUTE(SUBSTITUTE(SUBSTITUTE(SUBSTITUTE(SUBSTITUTE(SUBSTITUTE(SUBSTITUTE(SUBSTITUTE(SUBSTITUTE(SUBSTITUTE(SUBSTITUTE(SUBSTITUTE(SUBSTITUTE(SUBSTITUTE(SUBSTITUTE(BM263,"b","a"),"c","a"),"d","a"),"e","a"),"f","a"),"g","a"),"h","a"),"i","a"),"j","a"),"k","a"),"l","a"),"m","a"),"n","a"),"o","a"),"p","a"),"q","a"),"r","a"),"s","a"),"t","a"),"u","a"),"v","a"),"w","a"),"x","a"),"y","a"),"z","a")</f>
        <v/>
      </c>
      <c r="BO263" s="61" t="str">
        <f aca="false">SUBSTITUTE(SUBSTITUTE(SUBSTITUTE(SUBSTITUTE(SUBSTITUTE(SUBSTITUTE(SUBSTITUTE(SUBSTITUTE(SUBSTITUTE(LOWER(W263&amp;""),"1","0"),"2","0"),"3","0"),"4","0"),"5","0"),"6","0"),"7","0"),"8","0"),"9","0")</f>
        <v/>
      </c>
      <c r="BP263" s="61" t="str">
        <f aca="false">SUBSTITUTE(SUBSTITUTE(SUBSTITUTE(SUBSTITUTE(SUBSTITUTE(SUBSTITUTE(SUBSTITUTE(SUBSTITUTE(SUBSTITUTE(SUBSTITUTE(SUBSTITUTE(SUBSTITUTE(SUBSTITUTE(SUBSTITUTE(SUBSTITUTE(SUBSTITUTE(SUBSTITUTE(SUBSTITUTE(SUBSTITUTE(SUBSTITUTE(SUBSTITUTE(SUBSTITUTE(SUBSTITUTE(SUBSTITUTE(SUBSTITUTE(BO263,"b","a"),"c","a"),"d","a"),"e","a"),"f","a"),"g","a"),"h","a"),"i","a"),"j","a"),"k","a"),"l","a"),"m","a"),"n","a"),"o","a"),"p","a"),"q","a"),"r","a"),"s","a"),"t","a"),"u","a"),"v","a"),"w","a"),"x","a"),"y","a"),"z","a")</f>
        <v/>
      </c>
      <c r="BQ263" s="61" t="n">
        <f aca="false">IFERROR(IF(AND(ISERROR(SEARCH(" mh"," "&amp;LOWER(W263))),ISNA(MATCH(LEFT(TRIM(BP263),255),{"0000a","000a","00a","0000aa","000aa","00aa","0aa","0000aaa","000aaa","00a00","0a00","0000-0000","00:00","a00","a0","00.00.0000","00/00/0000","00-00-0000","0000-00-00","0000/00/00","0000.00.00","00.00.00","00/00/00","00-00-00","0.00.0000","0/00/0000","0-00-0000"},0)),ISNA(MATCH(LEFT(TRIM(CA263),255),{"0000a","000a","00a","0000aa","000aa","00aa","0aa","0000aaa","000aaa","00a00","0a00","0000-0000","00:00","a00","a0","00.00.0000","00/00/0000","00-00-0000","0000-00-00","0000/00/00","0000.00.00","00.00.00","00/00/00","00-00-00","0.00.0000","0/00/0000","0-00-0000"},0)),LEN(CB263)&gt;=3,NOT(OR(SUBSTITUTE(CB263,"0","")="",AND(LEN(CB263)&gt;=4,CB263=REPT(LEFT(CB263),LEN(CB263))),ISNUMBER(MATCH(CB263,{"123","1234","12345","123456","1234567","12345678","0123","01234","012345","98765","987654","54321"},0)),AND(LEN(CB263)=8,LEFT(CB263,3)="202"))),OR(AND((LEN(CA263)-LEN(SUBSTITUTE(CA263,"a","")))&gt;=1,SUMPRODUCT(--ISNUMBER(SEARCH({"a0","a-0","a_0","a/0","a.0","a#0","0a","0-a","0_a","0/a"},BP263)))&gt;0),ISNUMBER(SEARCH("000000",BP263)))),1,0),0)</f>
        <v>0</v>
      </c>
      <c r="BR263" s="61" t="n">
        <f aca="false">IFERROR(LEN(SUBSTITUTE(CC263," ",""))-SUMPRODUCT((LEN(CC263)-LEN(SUBSTITUTE(CC263," "&amp;L_Role&amp;" "," ")))/(LEN(L_Role)+1)*LEN(L_Role)),0)</f>
        <v>0</v>
      </c>
      <c r="BS263" s="61" t="n">
        <f aca="false">IFERROR(LEN(SUBSTITUTE(CD263," ",""))-SUMPRODUCT((LEN(CD263)-LEN(SUBSTITUTE(CD263," "&amp;L_Role&amp;" "," ")))/(LEN(L_Role)+1)*LEN(L_Role)),0)</f>
        <v>0</v>
      </c>
      <c r="BT2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263,"revision",""),"version",""),"jan",""),"feb",""),"mar",""),"apr",""),"may",""),"jun",""),"jul",""),"aug",""),"sep",""),"oct",""),"nov",""),"dec",""),"utc",""),"gmt",""),"myt",""),"bst",""),"rev",""),"ver",""),"b","a"),"c","a"),"d","a"),"e","a"),"f","a"),"g","a"),"h","a"),"i","a"),"j","a"),"k","a"),"l","a"),"m","a"),"n","a"),"o","a"),"p","a"),"q","a"),"r","a"),"s","a"),"t","a"),"u","a"),"v","a"),"w","a"),"x","a"),"y","a"),"z","a")</f>
        <v/>
      </c>
      <c r="BU263" s="61" t="str">
        <f aca="false">SUBSTITUTE(SUBSTITUTE(SUBSTITUTE(SUBSTITUTE(SUBSTITUTE(SUBSTITUTE(SUBSTITUTE(SUBSTITUTE(SUBSTITUTE(SUBSTITUTE(LEFT(BM263,FIND("0",BM263&amp;"0")-1),"-",""),"_",""),"/",""),".",""),"#",""),"\\",""),":","")," ",""),"(",""),")","")</f>
        <v/>
      </c>
      <c r="BV263" s="61" t="n">
        <f aca="false">0</f>
        <v>0</v>
      </c>
      <c r="BW2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263&amp;""),"a",""),"b",""),"c",""),"d",""),"e",""),"f",""),"g",""),"h",""),"i",""),"j",""),"k",""),"l",""),"m",""),"n",""),"o",""),"p",""),"q",""),"r",""),"s",""),"t",""),"u",""),"v",""),"w",""),"x",""),"y",""),"z",""),"-",""),"_",""),"/",""),".",""),"#",""),"\\",""),":","")," ",""),"(",""),")","")</f>
        <v/>
      </c>
      <c r="BX263" s="61" t="str">
        <f aca="false">SUBSTITUTE(SUBSTITUTE(SUBSTITUTE(SUBSTITUTE(SUBSTITUTE(SUBSTITUTE(SUBSTITUTE(SUBSTITUTE(SUBSTITUTE(SUBSTITUTE(SUBSTITUTE(BM263,"0",""),"-",""),"_",""),"/",""),".",""),"#",""),"\\",""),":","")," ",""),"(",""),")","")</f>
        <v/>
      </c>
      <c r="BY263" s="62" t="n">
        <f aca="false">Q263-T7EarlyD*24/24</f>
        <v>46284.0659722222</v>
      </c>
      <c r="BZ263" s="61" t="n">
        <f aca="false">IFERROR(IF(IF(TRIM(S263)="Link / file path",AND(LEN(TRIM(Z263))&gt;=5,SUMPRODUCT(--ISNUMBER(SEARCH({"http","www.","\\",":\",".pdf",".jpg",".jpeg",".png",".heic",".xls",".doc",".msg",".eml",".ppt",".txt",".zip"},Z263)))&gt;0),AND(ISERROR(FIND(" ",TRIM(Z263))),NOT(OR(SUMPRODUCT(--ISNUMBER(FIND({",",";","&amp;","+"},Z263)))&gt;0,SUMPRODUCT(--ISNUMBER(SEARCH({"0/aa","0\\aa"},BN263)))&gt;0)),NOT(SUMPRODUCT(--ISNUMBER(SEARCH({"http","www.","\\",":\",".pdf",".jpg",".jpeg",".png",".heic",".xls",".doc",".msg",".eml",".ppt",".txt",".zip"},Z263)))&gt;0),NOT(LOWER(TRIM(Z263))=LOWER(Flights!$F$12)),ISNA(MATCH(BU263,{"mh","rev","revision","ver","version","v","r","a","b","seat","tray","row","gate","bay","stand","page","pg","item","line","no","cart","galley","flight","flt","table","box","bag","oven","etd","eta","std","sta","atd","ata","qty","pax","x","time","tel","ph","mob","day","wk","week","utc","gmt","myt","lt"},0)),NOT(OR(ISNUMBER(MATCH(LEFT(BN263,255),{"0000a","000a","00a","0000aa","000aa","00aa","0aa","0000aaa","000aaa","00a00","0a00","0000-0000","00:00","a00","a0","00.00.0000","00/00/0000","00-00-0000","0000-00-00","0000/00/00","0000.00.00","00.00.00","00/00/00","00-00-00","0.00.0000","0/00/0000","0-00-0000"},0)),ISNUMBER(MATCH(LEFT(BT263,255),{"0000a","000a","00a","0000aa","000aa","00aa","0aa","0000aaa","000aaa","00a00","0a00","0000-0000","00:00","a00","a0","00.00.0000","00/00/0000","00-00-0000","0000-00-00","0000/00/00","0000.00.00","00.00.00","00/00/00","00-00-00","0.00.0000","0/00/0000","0-00-0000"},0)))),NOT(OR(AND(BW263&lt;&gt;"",SUBSTITUTE(BW263,"0","")=""),AND(LEN(BW263)&gt;=4,BW263=REPT(LEFT(BW263),LEN(BW263))),ISNUMBER(MATCH(BW263,{"123","1234","12345","123456","1234567","12345678","0123","01234","012345","98765","987654","54321"},0)),ISNUMBER(MATCH(BX263,{"x","xx","xxx","xxxx","xxxxx","abc","abcd","nil","na","nan","test","tbc","tba","tbd","dummy","sample","example","eg","zz","zzz","none","null","xyz","qwe","asd","id","ref"},0)),AND(LEN(BW263)=8,BX263="",OR(LEFT(BW263,3)="202",ISNUMBER(MATCH(RIGHT(BW263,4),{"2025","2026","2027"},0)))))),OR(AND((LEN(BT263)-LEN(SUBSTITUTE(BT263,"a","")))&gt;=1,(LEN(BN263)-LEN(SUBSTITUTE(BN263,"0","")))&gt;=2,SUMPRODUCT(--ISNUMBER(SEARCH({"a0","a-0","a_0","a/0","a.0","a#0","0a","0-a","0_a","0/a"},BN263)))&gt;0),AND((LEN(BN263)-LEN(SUBSTITUTE(BN263,"a","")))=0,(LEN(BN263)-LEN(SUBSTITUTE(BN263,"0","")))&gt;=5)))),1,0),0)</f>
        <v>0</v>
      </c>
      <c r="CA2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263,"revision",""),"version",""),"jan",""),"feb",""),"mar",""),"apr",""),"may",""),"jun",""),"jul",""),"aug",""),"sep",""),"oct",""),"nov",""),"dec",""),"utc",""),"gmt",""),"myt",""),"bst",""),"rev",""),"ver",""),"b","a"),"c","a"),"d","a"),"e","a"),"f","a"),"g","a"),"h","a"),"i","a"),"j","a"),"k","a"),"l","a"),"m","a"),"n","a"),"o","a"),"p","a"),"q","a"),"r","a"),"s","a"),"t","a"),"u","a"),"v","a"),"w","a"),"x","a"),"y","a"),"z","a")</f>
        <v/>
      </c>
      <c r="CB2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263&amp;""),"a",""),"b",""),"c",""),"d",""),"e",""),"f",""),"g",""),"h",""),"i",""),"j",""),"k",""),"l",""),"m",""),"n",""),"o",""),"p",""),"q",""),"r",""),"s",""),"t",""),"u",""),"v",""),"w",""),"x",""),"y",""),"z",""),"-",""),"_",""),"/",""),".",""),"#",""),"\\",""),":","")," ",""),"(",""),")","")</f>
        <v/>
      </c>
      <c r="CC263" s="0" t="str">
        <f aca="false">" "&amp;TRIM(SUBSTITUTE(SUBSTITUTE(SUBSTITUTE(SUBSTITUTE(SUBSTITUTE(SUBSTITUTE(SUBSTITUTE(SUBSTITUTE(SUBSTITUTE(SUBSTITUTE(SUBSTITUTE(SUBSTITUTE(SUBSTITUTE(SUBSTITUTE(SUBSTITUTE(SUBSTITUTE(SUBSTITUTE(SUBSTITUTE(SUBSTITUTE(SUBSTITUTE(SUBSTITUTE(SUBSTITUTE(SUBSTITUTE(SUBSTITUTE(LOWER(T263&amp;""),CHAR(10)," "),CHAR(13)," "),CHAR(9)," "),CHAR(160)," "),"."," "),","," "),"-"," "),"/"," "),"("," "),")"," "),":"," "),";"," "),"_"," "),"–"," "),"?"," "),"!"," "),"*"," "),"["," "),"]"," "),"'"," "),"#"," "),"+"," "),"&amp;"," "),"\"," "))&amp;" "</f>
        <v>  </v>
      </c>
      <c r="CD263" s="0" t="str">
        <f aca="false">" "&amp;TRIM(SUBSTITUTE(SUBSTITUTE(SUBSTITUTE(SUBSTITUTE(SUBSTITUTE(SUBSTITUTE(SUBSTITUTE(SUBSTITUTE(SUBSTITUTE(SUBSTITUTE(SUBSTITUTE(SUBSTITUTE(SUBSTITUTE(SUBSTITUTE(SUBSTITUTE(SUBSTITUTE(SUBSTITUTE(SUBSTITUTE(SUBSTITUTE(SUBSTITUTE(SUBSTITUTE(SUBSTITUTE(SUBSTITUTE(SUBSTITUTE(LOWER(AE263&amp;""),CHAR(10)," "),CHAR(13)," "),CHAR(9)," "),CHAR(160)," "),"."," "),","," "),"-"," "),"/"," "),"("," "),")"," "),":"," "),";"," "),"_"," "),"–"," "),"?"," "),"!"," "),"*"," "),"["," "),"]"," "),"'"," "),"#"," "),"+"," "),"&amp;"," "),"\"," "))&amp;" "</f>
        <v>  </v>
      </c>
      <c r="CE263" s="68" t="n">
        <f aca="false">IFERROR(IF(AND(LEN(AU263)&gt;0,LEN(AU263)=LEN(AX263),OR(TRIM(MID(SUBSTITUTE(TRIM(CC263)," ",REPT(" ",60)),1,60))="",ISNUMBER(SEARCH(" "&amp;TRIM(MID(SUBSTITUTE(TRIM(CC263)," ",REPT(" ",60)),1,60))&amp;" ",CD263))),OR(TRIM(MID(SUBSTITUTE(TRIM(CC263)," ",REPT(" ",60)),61,60))="",ISNUMBER(SEARCH(" "&amp;TRIM(MID(SUBSTITUTE(TRIM(CC263)," ",REPT(" ",60)),61,60))&amp;" ",CD263))),OR(TRIM(MID(SUBSTITUTE(TRIM(CC263)," ",REPT(" ",60)),121,60))="",ISNUMBER(SEARCH(" "&amp;TRIM(MID(SUBSTITUTE(TRIM(CC263)," ",REPT(" ",60)),121,60))&amp;" ",CD263)))),1,0),0)</f>
        <v>0</v>
      </c>
      <c r="CG263" s="68" t="n">
        <f aca="false">IFERROR(LEN(SUBSTITUTE(BF263," ",""))-SUMPRODUCT((LEN(BF263)-LEN(SUBSTITUTE(BF263," "&amp;L_NAFiller&amp;" "," ")))/(LEN(L_NAFiller)+1)*LEN(L_NAFiller)),0)</f>
        <v>0</v>
      </c>
    </row>
    <row r="264" customFormat="false" ht="41.25" hidden="false" customHeight="true" outlineLevel="0" collapsed="false">
      <c r="A264" s="57" t="s">
        <v>835</v>
      </c>
      <c r="B264" s="57" t="s">
        <v>238</v>
      </c>
      <c r="C264" s="57" t="str">
        <f aca="false">Flights!$F$12</f>
        <v>MH0752</v>
      </c>
      <c r="D264" s="58" t="n">
        <f aca="false">Flights!$D$12</f>
        <v>46305</v>
      </c>
      <c r="E264" s="57" t="str">
        <f aca="false">Flights!$G$12&amp;"-"&amp;Flights!$H$12</f>
        <v>KUL-HAN</v>
      </c>
      <c r="F264" s="57" t="str">
        <f aca="false">Flights!$K$12</f>
        <v>EY</v>
      </c>
      <c r="G264" s="57" t="s">
        <v>81</v>
      </c>
      <c r="H264" s="57" t="s">
        <v>378</v>
      </c>
      <c r="I264" s="57" t="s">
        <v>389</v>
      </c>
      <c r="J264" s="57" t="s">
        <v>390</v>
      </c>
      <c r="K264" s="67" t="s">
        <v>391</v>
      </c>
      <c r="L264" s="67" t="s">
        <v>382</v>
      </c>
      <c r="M264" s="67"/>
      <c r="N264" s="67" t="str">
        <f aca="false">IF(TRIM(Flights!$L$12)="A339","Required","N/A – rule")</f>
        <v>N/A – rule</v>
      </c>
      <c r="O264" s="67" t="s">
        <v>392</v>
      </c>
      <c r="P264" s="57" t="s">
        <v>187</v>
      </c>
      <c r="Q264" s="59" t="n">
        <f aca="false">ROUND((Flights!$AC$12)*1440,0)/1440</f>
        <v>46298.0659722222</v>
      </c>
      <c r="R264" s="59" t="n">
        <f aca="false">Q264+(IF(AND(INDEX(TZ_DSTS,MATCH(P264,TZ_STN,0))&lt;&gt;"",Q264&gt;=INDEX(TZ_DSTS,MATCH(P264,TZ_STN,0)),Q264&lt;INDEX(TZ_DSTE,MATCH(P264,TZ_STN,0))),INDEX(TZ_DST,MATCH(P264,TZ_STN,0)),INDEX(TZ_STD,MATCH(P264,TZ_STN,0))))/24</f>
        <v>46298.3993055556</v>
      </c>
      <c r="S264" s="60"/>
      <c r="T264" s="60"/>
      <c r="U264" s="60"/>
      <c r="V264" s="60"/>
      <c r="W264" s="61"/>
      <c r="X264" s="60"/>
      <c r="Y264" s="60"/>
      <c r="Z264" s="60"/>
      <c r="AA264" s="60"/>
      <c r="AB264" s="60"/>
      <c r="AC264" s="60"/>
      <c r="AD264" s="66"/>
      <c r="AE264" s="60"/>
      <c r="AF264" s="61" t="str">
        <f aca="false">IF(AND(ISNUMBER(X264),ISNUMBER(Y264)),Y264-X264,"")</f>
        <v/>
      </c>
      <c r="AG264" s="62" t="str">
        <f aca="false">IF(ISNUMBER(AD264),AD264-(IF(AND(INDEX(TZ_DSTS,MATCH(P264,TZ_STN,0))&lt;&gt;"",(AD264-INDEX(TZ_STD,MATCH(P264,TZ_STN,0))/24)&gt;=INDEX(TZ_DSTS,MATCH(P264,TZ_STN,0)),(AD264-INDEX(TZ_STD,MATCH(P264,TZ_STN,0))/24)&lt;INDEX(TZ_DSTE,MATCH(P264,TZ_STN,0))),INDEX(TZ_DST,MATCH(P264,TZ_STN,0)),INDEX(TZ_STD,MATCH(P264,TZ_STN,0))))/24,"")</f>
        <v/>
      </c>
      <c r="AH264" s="65" t="str">
        <f aca="false">IFERROR(IF(N264="N/A – rule",IF(OR(TRIM(U264)="",TRIM(U264)="N/A",TRIM(U264)="Not started"),"N/A – RULE","INVALID – this check does not apply to this aircraft: clear the status (or correct the fleet on Flights)"),IF(TRIM(U264)="N/A",IF(AT264=0,"INVALID – N/A not permitted for this check",IF(AND(TRIM(AB264)&lt;&gt;"",TRIM(AB264)&lt;&gt;"Closed"),"INVALID – corrective action still open",IF(AND(NOT(OR(LEN(AZ264)&lt;15,ISNUMBER(MATCH(AZ264,L_Placeholder,0)))),BK264=0,CG264&gt;=8,NOT(OR(LEN(AU264)&lt;2,ISNUMBER(MATCH(AU264,L_Placeholder,0)))),BR264&gt;=3,NOT(OR(LEN(AX264)&lt;2,ISNUMBER(MATCH(AX264,L_Placeholder,0)))),BS264&gt;=3,TRIM(AE264)&lt;&gt;TRIM(T264),AX264&lt;&gt;AU264,CE264=0),"N/A – JUSTIFIED","INVALID – N/A needs a real, settled reason (not 'not applicable' / 'as above' / TBC), a named PIC and a different named verifier"))),IF(OR(TRIM(U264)="Pass",TRIM(U264)="Pass after CA"),IF(NOT(ISNUMBER(AD264)),"INVALID – completion time missing",IF(OR(OR(LEN(AU264)&lt;2,ISNUMBER(MATCH(AU264,L_Placeholder,0))),BR264&lt;3),"INVALID – PIC missing or not a named person (a role such as QA / CSM is not a name)",IF(OR(LEN(AV264)&lt;2,ISNUMBER(MATCH(AV264,L_Placeholder,0))),"INVALID – result / assessment missing",IF(OR(OR(LEN(AW264)&lt;3,ISNUMBER(MATCH(AW264,L_Placeholder,0))),SUMPRODUCT(--ISNUMBER(SEARCH(" "&amp;L_EvidencePhrase&amp;" ",BD264)))&gt;0,BI264=1),"INVALID – evidence missing, placeholder or not yet on file",IF(ISNA(MATCH(TRIM(S264),L_EvidenceType,0)),"INVALID – choose the evidence type from the list (column S)",IF(BL264=0,"INVALID – evidence ID must be the record's own ID only (e.g. SF-2210, IMG_2231, 1045521); a link / file name needs type 'Link / file path'",IF(OR(OR(LEN(AX264)&lt;2,ISNUMBER(MATCH(AX264,L_Placeholder,0))),BS264&lt;3),"INVALID – verifier missing or not a named person (a role such as QA / CSM is not a name)",IF(OR(AX264=AU264,CE264=1,AND(LEN(AU264)&gt;=4,ISNUMBER(SEARCH(AU264,AX264))),AND(LEN(AX264)&gt;=4,ISNUMBER(SEARCH(AX264,AU264)))),"INVALID – verifier must be a different, named person (not the PIC or a role)",IF(BH264=1,"INVALID – result not yet available (awaiting / TBC)",IF(BG264=1,"INVALID – result describes a problem: record Fail, then Pass after CA (or reword if it is not a problem)",IF(BV264=1,"INVALID – wording says not on board: an on-board confirmation needs the item loaded",IF(AND(AQ264=1,OR(OR(LEN(AY264)&lt;3,ISNUMBER(MATCH(AY264,L_Placeholder,0))),BJ264=1,BQ264=0)),"INVALID – batch ID missing, placeholder or not an ID (e.g. PASB-261008-BC-017)",IF(AND(AR264=1,OR(NOT(ISNUMBER(X264)),NOT(ISNUMBER(Y264)))),"INVALID – expected/actual qty missing",IF(AND(AR264=1,OR(X264&lt;=0,Y264&lt;0)),"INVALID – expected qty must be above 0 and actual not negative",IF(BB264&lt;&gt;"",BB264,IF(AND(AS264=1,Documents!$J$12&lt;&gt;"ON FILE"),"INVALID – GLD not on file (Documents sheet)",IF(AND(AS264=2,Documents!$O$12&lt;&gt;"ON FILE"),"INVALID – menu checklist not on file (Documents sheet)",IF(AND(AS264=3,NOT(ISNUMBER(Flights!$AX$12))),"INVALID – enter carrying flight KUL departure (Flights AX)",IF(AND(AS264=3,OR(Flights!$AZ$12&gt;Flights!$AA$12,Flights!$AX$12&lt;Flights!$AA$12-3)),"INVALID – carrying flight (Flights AX) cannot arrive before this leg's STD, or is over 3 days early",IF(AG264&gt;AsOfUTC,"INVALID – completion time is in the future",IF(AND(ISNUMBER(BY264),AG264&lt;BY264),IF(H264="Physical uplift","INVALID – before uplift window (cannot confirm loading)","INVALID – before valid window"),IF(AG264&gt;Flights!$AA$12,"INVALID – completed after departure (cannot establish readiness)",IF(AND(H264="Preparation",AG264&gt;=IF(ISNUMBER(Flights!$BA$12),MIN(Flights!$BA$12,Flights!$AA$12),Flights!$AA$12)),"INVALID – completed after loading / departure (cannot establish readiness)",IF(AND(H264="Physical uplift",AG264&gt;Q264),"INVALID – recorded after the loading flight departed",IF(AG264&gt;Q264,"COMPLETE – LATE","COMPLETE"))))))))))))))))))))))))),IF(TRIM(U264)="Fail","FAIL – DISCREPANCY",IF(AND(TRIM(U264)&lt;&gt;"",TRIM(U264)&lt;&gt;"Not started",TRIM(U264)&lt;&gt;"In progress"),"INVALID – unrecognised status (use the list)",IF(AsOfUTC&gt;Q264,"OVERDUE",IF(N264="Clarification required","OPEN – CLARIFICATION","OPEN"))))))),"INVALID – error value in an input cell")</f>
        <v>N/A – RULE</v>
      </c>
      <c r="AI264" s="61" t="n">
        <f aca="false">IF(OR(AH264="N/A – RULE",AH264="N/A – JUSTIFIED"),0,1)</f>
        <v>0</v>
      </c>
      <c r="AJ264" s="61" t="n">
        <f aca="false">IF(LEFT(AH264,8)="COMPLETE",1,0)</f>
        <v>0</v>
      </c>
      <c r="AK264" s="61" t="n">
        <f aca="false">IF(AND(AI264=1,AJ264=0,AsOfUTC&gt;Q264),1,0)</f>
        <v>0</v>
      </c>
      <c r="AL264" s="61" t="n">
        <f aca="false">IFERROR(IF(AND(AI264=1,OR(TRIM(U264)="Fail",AND(TRIM(AB264)&lt;&gt;"",TRIM(AB264)&lt;&gt;"Closed"),AND(ISNUMBER(AF264),AF264&lt;&gt;0,TRIM(U264)&lt;&gt;"Pass after CA"))),1,0),1)</f>
        <v>0</v>
      </c>
      <c r="AM264" s="61" t="n">
        <f aca="false">IF(LEFT(AH264,7)="INVALID",1,0)</f>
        <v>0</v>
      </c>
      <c r="AN264" s="61" t="n">
        <f aca="false">IF(AND(N264="Clarification required",AI264=1,AJ264=0),1,0)</f>
        <v>0</v>
      </c>
      <c r="AO264" s="61" t="str">
        <f aca="false">IF(AK264=1,SUM(AK$5:AK264),"")</f>
        <v/>
      </c>
      <c r="AP264" s="61" t="str">
        <f aca="false">IF(AL264=1,SUM(AL$5:AL264),"")</f>
        <v/>
      </c>
      <c r="AQ264" s="61" t="n">
        <v>0</v>
      </c>
      <c r="AR264" s="61" t="n">
        <v>0</v>
      </c>
      <c r="AS264" s="61" t="n">
        <v>0</v>
      </c>
      <c r="AT264" s="61" t="n">
        <v>0</v>
      </c>
      <c r="AU264" s="61" t="str">
        <f aca="false">SUBSTITUTE(SUBSTITUTE(SUBSTITUTE(SUBSTITUTE(SUBSTITUTE(SUBSTITUTE(SUBSTITUTE(SUBSTITUTE(SUBSTITUTE(SUBSTITUTE(SUBSTITUTE(SUBSTITUTE(SUBSTITUTE(SUBSTITUTE(SUBSTITUTE(SUBSTITUTE(LOWER(T264&amp;""),CHAR(10),""),CHAR(13),""),CHAR(9),""),CHAR(160),"")," ",""),".",""),"-",""),"/",""),"?",""),"_",""),",",""),"[",""),"]",""),"(",""),")",""),"*","")</f>
        <v/>
      </c>
      <c r="AV264" s="61" t="str">
        <f aca="false">SUBSTITUTE(SUBSTITUTE(SUBSTITUTE(SUBSTITUTE(SUBSTITUTE(SUBSTITUTE(SUBSTITUTE(SUBSTITUTE(SUBSTITUTE(SUBSTITUTE(SUBSTITUTE(SUBSTITUTE(SUBSTITUTE(SUBSTITUTE(SUBSTITUTE(SUBSTITUTE(LOWER(V264&amp;""),CHAR(10),""),CHAR(13),""),CHAR(9),""),CHAR(160),"")," ",""),".",""),"-",""),"/",""),"?",""),"_",""),",",""),"[",""),"]",""),"(",""),")",""),"*","")</f>
        <v/>
      </c>
      <c r="AW264" s="61" t="str">
        <f aca="false">SUBSTITUTE(SUBSTITUTE(SUBSTITUTE(SUBSTITUTE(SUBSTITUTE(SUBSTITUTE(SUBSTITUTE(SUBSTITUTE(SUBSTITUTE(SUBSTITUTE(SUBSTITUTE(SUBSTITUTE(SUBSTITUTE(SUBSTITUTE(SUBSTITUTE(SUBSTITUTE(LOWER(Z264&amp;""),CHAR(10),""),CHAR(13),""),CHAR(9),""),CHAR(160),"")," ",""),".",""),"-",""),"/",""),"?",""),"_",""),",",""),"[",""),"]",""),"(",""),")",""),"*","")</f>
        <v/>
      </c>
      <c r="AX264" s="61" t="str">
        <f aca="false">SUBSTITUTE(SUBSTITUTE(SUBSTITUTE(SUBSTITUTE(SUBSTITUTE(SUBSTITUTE(SUBSTITUTE(SUBSTITUTE(SUBSTITUTE(SUBSTITUTE(SUBSTITUTE(SUBSTITUTE(SUBSTITUTE(SUBSTITUTE(SUBSTITUTE(SUBSTITUTE(LOWER(AE264&amp;""),CHAR(10),""),CHAR(13),""),CHAR(9),""),CHAR(160),"")," ",""),".",""),"-",""),"/",""),"?",""),"_",""),",",""),"[",""),"]",""),"(",""),")",""),"*","")</f>
        <v/>
      </c>
      <c r="AY264" s="61" t="str">
        <f aca="false">SUBSTITUTE(SUBSTITUTE(SUBSTITUTE(SUBSTITUTE(SUBSTITUTE(SUBSTITUTE(SUBSTITUTE(SUBSTITUTE(SUBSTITUTE(SUBSTITUTE(SUBSTITUTE(SUBSTITUTE(SUBSTITUTE(SUBSTITUTE(SUBSTITUTE(SUBSTITUTE(LOWER(W264&amp;""),CHAR(10),""),CHAR(13),""),CHAR(9),""),CHAR(160),"")," ",""),".",""),"-",""),"/",""),"?",""),"_",""),",",""),"[",""),"]",""),"(",""),")",""),"*","")</f>
        <v/>
      </c>
      <c r="AZ264" s="61" t="str">
        <f aca="false">SUBSTITUTE(SUBSTITUTE(SUBSTITUTE(SUBSTITUTE(SUBSTITUTE(SUBSTITUTE(SUBSTITUTE(SUBSTITUTE(SUBSTITUTE(SUBSTITUTE(SUBSTITUTE(SUBSTITUTE(SUBSTITUTE(SUBSTITUTE(SUBSTITUTE(SUBSTITUTE(LOWER(AC264&amp;""),CHAR(10),""),CHAR(13),""),CHAR(9),""),CHAR(160),"")," ",""),".",""),"-",""),"/",""),"?",""),"_",""),",",""),"[",""),"]",""),"(",""),")",""),"*","")</f>
        <v/>
      </c>
      <c r="BA264" s="61" t="str">
        <f aca="false">SUBSTITUTE(SUBSTITUTE(SUBSTITUTE(SUBSTITUTE(SUBSTITUTE(SUBSTITUTE(SUBSTITUTE(SUBSTITUTE(SUBSTITUTE(SUBSTITUTE(SUBSTITUTE(SUBSTITUTE(SUBSTITUTE(SUBSTITUTE(SUBSTITUTE(SUBSTITUTE(LOWER(AA264&amp;""),CHAR(10),""),CHAR(13),""),CHAR(9),""),CHAR(160),"")," ",""),".",""),"-",""),"/",""),"?",""),"_",""),",",""),"[",""),"]",""),"(",""),")",""),"*","")</f>
        <v/>
      </c>
      <c r="BB264" s="61" t="str">
        <f aca="false">IF(AND(TRIM(U264)="Pass",ISNUMBER(AF264)),IF(AF264&lt;&gt;0,"INVALID – qty variance: use Fail or Pass after CA",""),"")&amp;IF(AND(TRIM(U264)="Pass after CA",ISNUMBER(AF264)),IF(AF264&lt;&gt;0,"INVALID – after the corrective action the actual qty must equal expected (update Actual)",""),"")&amp;IF(AND(TRIM(U264)="Pass",TRIM(AB264)&lt;&gt;"",TRIM(AB264)&lt;&gt;"Closed"),"INVALID – corrective action not closed: use Fail, then Pass after CA","")&amp;IF(AND(LEN(BA264)&gt;=2,ISNA(MATCH(LEFT(BA264,255),L_Placeholder,0)),TRIM(AB264)=""),"INVALID – CA status missing for the recorded corrective action","")&amp;IF(AND(TRIM(U264)="Pass after CA",OR(OR(LEN(BA264)&lt;5,ISNUMBER(MATCH(BA264,L_Placeholder,0))),TRIM(AB264)&lt;&gt;"Closed")),"INVALID – corrective action not recorded/closed","")</f>
        <v/>
      </c>
      <c r="BC264" s="61" t="str">
        <f aca="false">" "&amp;TRIM(SUBSTITUTE(SUBSTITUTE(SUBSTITUTE(SUBSTITUTE(SUBSTITUTE(SUBSTITUTE(SUBSTITUTE(SUBSTITUTE(SUBSTITUTE(SUBSTITUTE(SUBSTITUTE(SUBSTITUTE(SUBSTITUTE(SUBSTITUTE(SUBSTITUTE(SUBSTITUTE(SUBSTITUTE(SUBSTITUTE(SUBSTITUTE(SUBSTITUTE(SUBSTITUTE(SUBSTITUTE(SUBSTITUTE(SUBSTITUTE(LOWER(V264&amp;""),CHAR(10)," "),CHAR(13)," "),CHAR(9)," "),CHAR(160)," "),"."," "),","," "),"-"," "),"/"," "),"("," "),")"," "),":"," "),";"," "),"_"," "),"–"," "),"?"," "),"!"," "),"*"," "),"["," "),"]"," "),"'"," "),"#"," "),"+"," "),"&amp;"," "),"\"," "))&amp;" "</f>
        <v>  </v>
      </c>
      <c r="BD264" s="61" t="str">
        <f aca="false">" "&amp;TRIM(SUBSTITUTE(SUBSTITUTE(SUBSTITUTE(SUBSTITUTE(SUBSTITUTE(SUBSTITUTE(SUBSTITUTE(SUBSTITUTE(SUBSTITUTE(SUBSTITUTE(SUBSTITUTE(SUBSTITUTE(SUBSTITUTE(SUBSTITUTE(SUBSTITUTE(SUBSTITUTE(SUBSTITUTE(SUBSTITUTE(SUBSTITUTE(SUBSTITUTE(SUBSTITUTE(SUBSTITUTE(SUBSTITUTE(SUBSTITUTE(LOWER(Z264&amp;""),CHAR(10)," "),CHAR(13)," "),CHAR(9)," "),CHAR(160)," "),"."," "),","," "),"-"," "),"/"," "),"("," "),")"," "),":"," "),";"," "),"_"," "),"–"," "),"?"," "),"!"," "),"*"," "),"["," "),"]"," "),"'"," "),"#"," "),"+"," "),"&amp;"," "),"\"," "))&amp;" "</f>
        <v>  </v>
      </c>
      <c r="BE264" s="61" t="str">
        <f aca="false">" "&amp;TRIM(SUBSTITUTE(SUBSTITUTE(SUBSTITUTE(SUBSTITUTE(SUBSTITUTE(SUBSTITUTE(SUBSTITUTE(SUBSTITUTE(SUBSTITUTE(SUBSTITUTE(SUBSTITUTE(SUBSTITUTE(SUBSTITUTE(SUBSTITUTE(SUBSTITUTE(SUBSTITUTE(SUBSTITUTE(SUBSTITUTE(SUBSTITUTE(SUBSTITUTE(SUBSTITUTE(SUBSTITUTE(SUBSTITUTE(SUBSTITUTE(LOWER(W264&amp;""),CHAR(10)," "),CHAR(13)," "),CHAR(9)," "),CHAR(160)," "),"."," "),","," "),"-"," "),"/"," "),"("," "),")"," "),":"," "),";"," "),"_"," "),"–"," "),"?"," "),"!"," "),"*"," "),"["," "),"]"," "),"'"," "),"#"," "),"+"," "),"&amp;"," "),"\"," "))&amp;" "</f>
        <v>  </v>
      </c>
      <c r="BF264" s="61" t="str">
        <f aca="false">" "&amp;TRIM(SUBSTITUTE(SUBSTITUTE(SUBSTITUTE(SUBSTITUTE(SUBSTITUTE(SUBSTITUTE(SUBSTITUTE(SUBSTITUTE(SUBSTITUTE(SUBSTITUTE(SUBSTITUTE(SUBSTITUTE(SUBSTITUTE(SUBSTITUTE(SUBSTITUTE(SUBSTITUTE(SUBSTITUTE(SUBSTITUTE(SUBSTITUTE(SUBSTITUTE(SUBSTITUTE(SUBSTITUTE(SUBSTITUTE(SUBSTITUTE(LOWER(AC264&amp;""),CHAR(10)," "),CHAR(13)," "),CHAR(9)," "),CHAR(160)," "),"."," "),","," "),"-"," "),"/"," "),"("," "),")"," "),":"," "),";"," "),"_"," "),"–"," "),"?"," "),"!"," "),"*"," "),"["," "),"]"," "),"'"," "),"#"," "),"+"," "),"&amp;"," "),"\"," "))&amp;" "</f>
        <v>  </v>
      </c>
      <c r="BG264" s="61" t="n">
        <f aca="false">IFERROR(IF(AND(TRIM(U264)="Pass",SUMPRODUCT((LEN(BC264)-LEN(SUBSTITUTE(BC264," "&amp;L_ResultBad&amp;" "," ")))/(LEN(L_ResultBad)+1))&gt;SUMPRODUCT((LEN(BC264)-LEN(SUBSTITUTE(BC264," "&amp;L_NegPhrase&amp;" "," ")))/(LEN(L_NegPhrase)+1))),1,0),0)</f>
        <v>0</v>
      </c>
      <c r="BH264" s="61" t="n">
        <f aca="false">IFERROR(IF(SUMPRODUCT((LEN(BC264)-LEN(SUBSTITUTE(BC264," "&amp;L_Pending&amp;" "," ")))/(LEN(L_Pending)+1))&gt;SUMPRODUCT((LEN(BC264)-LEN(SUBSTITUTE(BC264," "&amp;L_PendNeg&amp;" "," ")))/(LEN(L_PendNeg)+1))+SUMPRODUCT((LEN(BC264)-LEN(SUBSTITUTE(BC264," "&amp;L_PendPrep&amp;" "," ")))/(LEN(L_PendPrep)+1)),1,0),1)</f>
        <v>0</v>
      </c>
      <c r="BI264" s="61" t="n">
        <f aca="false">IFERROR(IF(SUMPRODUCT((LEN(BD264)-LEN(SUBSTITUTE(BD264," "&amp;L_PendStrict&amp;" "," ")))/(LEN(L_PendStrict)+1))&gt;SUMPRODUCT((LEN(BD264)-LEN(SUBSTITUTE(BD264," "&amp;L_PendNeg&amp;" "," ")))/(LEN(L_PendNeg)+1)),1,0),1)</f>
        <v>0</v>
      </c>
      <c r="BJ264" s="61" t="n">
        <f aca="false">IFERROR(IF(SUMPRODUCT((LEN(BE264)-LEN(SUBSTITUTE(BE264," "&amp;L_Pending&amp;" "," ")))/(LEN(L_Pending)+1))&gt;SUMPRODUCT((LEN(BE264)-LEN(SUBSTITUTE(BE264," "&amp;L_PendNeg&amp;" "," ")))/(LEN(L_PendNeg)+1))+SUMPRODUCT((LEN(BE264)-LEN(SUBSTITUTE(BE264," "&amp;L_PendPrep&amp;" "," ")))/(LEN(L_PendPrep)+1)),1,0),1)</f>
        <v>0</v>
      </c>
      <c r="BK264" s="61" t="n">
        <f aca="false">IFERROR(IF(SUMPRODUCT((LEN(BF264)-LEN(SUBSTITUTE(BF264," "&amp;L_PendStrict&amp;" "," ")))/(LEN(L_PendStrict)+1))&gt;SUMPRODUCT((LEN(BF264)-LEN(SUBSTITUTE(BF264," "&amp;L_PendNeg&amp;" "," ")))/(LEN(L_PendNeg)+1)),1,0),1)</f>
        <v>0</v>
      </c>
      <c r="BL264" s="61" t="n">
        <f aca="false">IF(ISNA(MATCH(TRIM(S264),L_EvidenceType,0)),0,BZ264)</f>
        <v>0</v>
      </c>
      <c r="BM264" s="61" t="str">
        <f aca="false">SUBSTITUTE(SUBSTITUTE(SUBSTITUTE(SUBSTITUTE(SUBSTITUTE(SUBSTITUTE(SUBSTITUTE(SUBSTITUTE(SUBSTITUTE(LOWER(Z264&amp;""),"1","0"),"2","0"),"3","0"),"4","0"),"5","0"),"6","0"),"7","0"),"8","0"),"9","0")</f>
        <v/>
      </c>
      <c r="BN264" s="61" t="str">
        <f aca="false">SUBSTITUTE(SUBSTITUTE(SUBSTITUTE(SUBSTITUTE(SUBSTITUTE(SUBSTITUTE(SUBSTITUTE(SUBSTITUTE(SUBSTITUTE(SUBSTITUTE(SUBSTITUTE(SUBSTITUTE(SUBSTITUTE(SUBSTITUTE(SUBSTITUTE(SUBSTITUTE(SUBSTITUTE(SUBSTITUTE(SUBSTITUTE(SUBSTITUTE(SUBSTITUTE(SUBSTITUTE(SUBSTITUTE(SUBSTITUTE(SUBSTITUTE(BM264,"b","a"),"c","a"),"d","a"),"e","a"),"f","a"),"g","a"),"h","a"),"i","a"),"j","a"),"k","a"),"l","a"),"m","a"),"n","a"),"o","a"),"p","a"),"q","a"),"r","a"),"s","a"),"t","a"),"u","a"),"v","a"),"w","a"),"x","a"),"y","a"),"z","a")</f>
        <v/>
      </c>
      <c r="BO264" s="61" t="str">
        <f aca="false">SUBSTITUTE(SUBSTITUTE(SUBSTITUTE(SUBSTITUTE(SUBSTITUTE(SUBSTITUTE(SUBSTITUTE(SUBSTITUTE(SUBSTITUTE(LOWER(W264&amp;""),"1","0"),"2","0"),"3","0"),"4","0"),"5","0"),"6","0"),"7","0"),"8","0"),"9","0")</f>
        <v/>
      </c>
      <c r="BP264" s="61" t="str">
        <f aca="false">SUBSTITUTE(SUBSTITUTE(SUBSTITUTE(SUBSTITUTE(SUBSTITUTE(SUBSTITUTE(SUBSTITUTE(SUBSTITUTE(SUBSTITUTE(SUBSTITUTE(SUBSTITUTE(SUBSTITUTE(SUBSTITUTE(SUBSTITUTE(SUBSTITUTE(SUBSTITUTE(SUBSTITUTE(SUBSTITUTE(SUBSTITUTE(SUBSTITUTE(SUBSTITUTE(SUBSTITUTE(SUBSTITUTE(SUBSTITUTE(SUBSTITUTE(BO264,"b","a"),"c","a"),"d","a"),"e","a"),"f","a"),"g","a"),"h","a"),"i","a"),"j","a"),"k","a"),"l","a"),"m","a"),"n","a"),"o","a"),"p","a"),"q","a"),"r","a"),"s","a"),"t","a"),"u","a"),"v","a"),"w","a"),"x","a"),"y","a"),"z","a")</f>
        <v/>
      </c>
      <c r="BQ264" s="61" t="n">
        <f aca="false">IFERROR(IF(AND(ISERROR(SEARCH(" mh"," "&amp;LOWER(W264))),ISNA(MATCH(LEFT(TRIM(BP264),255),{"0000a","000a","00a","0000aa","000aa","00aa","0aa","0000aaa","000aaa","00a00","0a00","0000-0000","00:00","a00","a0","00.00.0000","00/00/0000","00-00-0000","0000-00-00","0000/00/00","0000.00.00","00.00.00","00/00/00","00-00-00","0.00.0000","0/00/0000","0-00-0000"},0)),ISNA(MATCH(LEFT(TRIM(CA264),255),{"0000a","000a","00a","0000aa","000aa","00aa","0aa","0000aaa","000aaa","00a00","0a00","0000-0000","00:00","a00","a0","00.00.0000","00/00/0000","00-00-0000","0000-00-00","0000/00/00","0000.00.00","00.00.00","00/00/00","00-00-00","0.00.0000","0/00/0000","0-00-0000"},0)),LEN(CB264)&gt;=3,NOT(OR(SUBSTITUTE(CB264,"0","")="",AND(LEN(CB264)&gt;=4,CB264=REPT(LEFT(CB264),LEN(CB264))),ISNUMBER(MATCH(CB264,{"123","1234","12345","123456","1234567","12345678","0123","01234","012345","98765","987654","54321"},0)),AND(LEN(CB264)=8,LEFT(CB264,3)="202"))),OR(AND((LEN(CA264)-LEN(SUBSTITUTE(CA264,"a","")))&gt;=1,SUMPRODUCT(--ISNUMBER(SEARCH({"a0","a-0","a_0","a/0","a.0","a#0","0a","0-a","0_a","0/a"},BP264)))&gt;0),ISNUMBER(SEARCH("000000",BP264)))),1,0),0)</f>
        <v>0</v>
      </c>
      <c r="BR264" s="61" t="n">
        <f aca="false">IFERROR(LEN(SUBSTITUTE(CC264," ",""))-SUMPRODUCT((LEN(CC264)-LEN(SUBSTITUTE(CC264," "&amp;L_Role&amp;" "," ")))/(LEN(L_Role)+1)*LEN(L_Role)),0)</f>
        <v>0</v>
      </c>
      <c r="BS264" s="61" t="n">
        <f aca="false">IFERROR(LEN(SUBSTITUTE(CD264," ",""))-SUMPRODUCT((LEN(CD264)-LEN(SUBSTITUTE(CD264," "&amp;L_Role&amp;" "," ")))/(LEN(L_Role)+1)*LEN(L_Role)),0)</f>
        <v>0</v>
      </c>
      <c r="BT2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264,"revision",""),"version",""),"jan",""),"feb",""),"mar",""),"apr",""),"may",""),"jun",""),"jul",""),"aug",""),"sep",""),"oct",""),"nov",""),"dec",""),"utc",""),"gmt",""),"myt",""),"bst",""),"rev",""),"ver",""),"b","a"),"c","a"),"d","a"),"e","a"),"f","a"),"g","a"),"h","a"),"i","a"),"j","a"),"k","a"),"l","a"),"m","a"),"n","a"),"o","a"),"p","a"),"q","a"),"r","a"),"s","a"),"t","a"),"u","a"),"v","a"),"w","a"),"x","a"),"y","a"),"z","a")</f>
        <v/>
      </c>
      <c r="BU264" s="61" t="str">
        <f aca="false">SUBSTITUTE(SUBSTITUTE(SUBSTITUTE(SUBSTITUTE(SUBSTITUTE(SUBSTITUTE(SUBSTITUTE(SUBSTITUTE(SUBSTITUTE(SUBSTITUTE(LEFT(BM264,FIND("0",BM264&amp;"0")-1),"-",""),"_",""),"/",""),".",""),"#",""),"\\",""),":","")," ",""),"(",""),")","")</f>
        <v/>
      </c>
      <c r="BV264" s="61" t="n">
        <f aca="false">0</f>
        <v>0</v>
      </c>
      <c r="BW2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264&amp;""),"a",""),"b",""),"c",""),"d",""),"e",""),"f",""),"g",""),"h",""),"i",""),"j",""),"k",""),"l",""),"m",""),"n",""),"o",""),"p",""),"q",""),"r",""),"s",""),"t",""),"u",""),"v",""),"w",""),"x",""),"y",""),"z",""),"-",""),"_",""),"/",""),".",""),"#",""),"\\",""),":","")," ",""),"(",""),")","")</f>
        <v/>
      </c>
      <c r="BX264" s="61" t="str">
        <f aca="false">SUBSTITUTE(SUBSTITUTE(SUBSTITUTE(SUBSTITUTE(SUBSTITUTE(SUBSTITUTE(SUBSTITUTE(SUBSTITUTE(SUBSTITUTE(SUBSTITUTE(SUBSTITUTE(BM264,"0",""),"-",""),"_",""),"/",""),".",""),"#",""),"\\",""),":","")," ",""),"(",""),")","")</f>
        <v/>
      </c>
      <c r="BY264" s="62" t="n">
        <f aca="false">Q264-T7EarlyD*24/24</f>
        <v>46284.0659722222</v>
      </c>
      <c r="BZ264" s="61" t="n">
        <f aca="false">IFERROR(IF(IF(TRIM(S264)="Link / file path",AND(LEN(TRIM(Z264))&gt;=5,SUMPRODUCT(--ISNUMBER(SEARCH({"http","www.","\\",":\",".pdf",".jpg",".jpeg",".png",".heic",".xls",".doc",".msg",".eml",".ppt",".txt",".zip"},Z264)))&gt;0),AND(ISERROR(FIND(" ",TRIM(Z264))),NOT(OR(SUMPRODUCT(--ISNUMBER(FIND({",",";","&amp;","+"},Z264)))&gt;0,SUMPRODUCT(--ISNUMBER(SEARCH({"0/aa","0\\aa"},BN264)))&gt;0)),NOT(SUMPRODUCT(--ISNUMBER(SEARCH({"http","www.","\\",":\",".pdf",".jpg",".jpeg",".png",".heic",".xls",".doc",".msg",".eml",".ppt",".txt",".zip"},Z264)))&gt;0),NOT(LOWER(TRIM(Z264))=LOWER(Flights!$F$12)),ISNA(MATCH(BU264,{"mh","rev","revision","ver","version","v","r","a","b","seat","tray","row","gate","bay","stand","page","pg","item","line","no","cart","galley","flight","flt","table","box","bag","oven","etd","eta","std","sta","atd","ata","qty","pax","x","time","tel","ph","mob","day","wk","week","utc","gmt","myt","lt"},0)),NOT(OR(ISNUMBER(MATCH(LEFT(BN264,255),{"0000a","000a","00a","0000aa","000aa","00aa","0aa","0000aaa","000aaa","00a00","0a00","0000-0000","00:00","a00","a0","00.00.0000","00/00/0000","00-00-0000","0000-00-00","0000/00/00","0000.00.00","00.00.00","00/00/00","00-00-00","0.00.0000","0/00/0000","0-00-0000"},0)),ISNUMBER(MATCH(LEFT(BT264,255),{"0000a","000a","00a","0000aa","000aa","00aa","0aa","0000aaa","000aaa","00a00","0a00","0000-0000","00:00","a00","a0","00.00.0000","00/00/0000","00-00-0000","0000-00-00","0000/00/00","0000.00.00","00.00.00","00/00/00","00-00-00","0.00.0000","0/00/0000","0-00-0000"},0)))),NOT(OR(AND(BW264&lt;&gt;"",SUBSTITUTE(BW264,"0","")=""),AND(LEN(BW264)&gt;=4,BW264=REPT(LEFT(BW264),LEN(BW264))),ISNUMBER(MATCH(BW264,{"123","1234","12345","123456","1234567","12345678","0123","01234","012345","98765","987654","54321"},0)),ISNUMBER(MATCH(BX264,{"x","xx","xxx","xxxx","xxxxx","abc","abcd","nil","na","nan","test","tbc","tba","tbd","dummy","sample","example","eg","zz","zzz","none","null","xyz","qwe","asd","id","ref"},0)),AND(LEN(BW264)=8,BX264="",OR(LEFT(BW264,3)="202",ISNUMBER(MATCH(RIGHT(BW264,4),{"2025","2026","2027"},0)))))),OR(AND((LEN(BT264)-LEN(SUBSTITUTE(BT264,"a","")))&gt;=1,(LEN(BN264)-LEN(SUBSTITUTE(BN264,"0","")))&gt;=2,SUMPRODUCT(--ISNUMBER(SEARCH({"a0","a-0","a_0","a/0","a.0","a#0","0a","0-a","0_a","0/a"},BN264)))&gt;0),AND((LEN(BN264)-LEN(SUBSTITUTE(BN264,"a","")))=0,(LEN(BN264)-LEN(SUBSTITUTE(BN264,"0","")))&gt;=5)))),1,0),0)</f>
        <v>0</v>
      </c>
      <c r="CA2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264,"revision",""),"version",""),"jan",""),"feb",""),"mar",""),"apr",""),"may",""),"jun",""),"jul",""),"aug",""),"sep",""),"oct",""),"nov",""),"dec",""),"utc",""),"gmt",""),"myt",""),"bst",""),"rev",""),"ver",""),"b","a"),"c","a"),"d","a"),"e","a"),"f","a"),"g","a"),"h","a"),"i","a"),"j","a"),"k","a"),"l","a"),"m","a"),"n","a"),"o","a"),"p","a"),"q","a"),"r","a"),"s","a"),"t","a"),"u","a"),"v","a"),"w","a"),"x","a"),"y","a"),"z","a")</f>
        <v/>
      </c>
      <c r="CB2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264&amp;""),"a",""),"b",""),"c",""),"d",""),"e",""),"f",""),"g",""),"h",""),"i",""),"j",""),"k",""),"l",""),"m",""),"n",""),"o",""),"p",""),"q",""),"r",""),"s",""),"t",""),"u",""),"v",""),"w",""),"x",""),"y",""),"z",""),"-",""),"_",""),"/",""),".",""),"#",""),"\\",""),":","")," ",""),"(",""),")","")</f>
        <v/>
      </c>
      <c r="CC264" s="0" t="str">
        <f aca="false">" "&amp;TRIM(SUBSTITUTE(SUBSTITUTE(SUBSTITUTE(SUBSTITUTE(SUBSTITUTE(SUBSTITUTE(SUBSTITUTE(SUBSTITUTE(SUBSTITUTE(SUBSTITUTE(SUBSTITUTE(SUBSTITUTE(SUBSTITUTE(SUBSTITUTE(SUBSTITUTE(SUBSTITUTE(SUBSTITUTE(SUBSTITUTE(SUBSTITUTE(SUBSTITUTE(SUBSTITUTE(SUBSTITUTE(SUBSTITUTE(SUBSTITUTE(LOWER(T264&amp;""),CHAR(10)," "),CHAR(13)," "),CHAR(9)," "),CHAR(160)," "),"."," "),","," "),"-"," "),"/"," "),"("," "),")"," "),":"," "),";"," "),"_"," "),"–"," "),"?"," "),"!"," "),"*"," "),"["," "),"]"," "),"'"," "),"#"," "),"+"," "),"&amp;"," "),"\"," "))&amp;" "</f>
        <v>  </v>
      </c>
      <c r="CD264" s="0" t="str">
        <f aca="false">" "&amp;TRIM(SUBSTITUTE(SUBSTITUTE(SUBSTITUTE(SUBSTITUTE(SUBSTITUTE(SUBSTITUTE(SUBSTITUTE(SUBSTITUTE(SUBSTITUTE(SUBSTITUTE(SUBSTITUTE(SUBSTITUTE(SUBSTITUTE(SUBSTITUTE(SUBSTITUTE(SUBSTITUTE(SUBSTITUTE(SUBSTITUTE(SUBSTITUTE(SUBSTITUTE(SUBSTITUTE(SUBSTITUTE(SUBSTITUTE(SUBSTITUTE(LOWER(AE264&amp;""),CHAR(10)," "),CHAR(13)," "),CHAR(9)," "),CHAR(160)," "),"."," "),","," "),"-"," "),"/"," "),"("," "),")"," "),":"," "),";"," "),"_"," "),"–"," "),"?"," "),"!"," "),"*"," "),"["," "),"]"," "),"'"," "),"#"," "),"+"," "),"&amp;"," "),"\"," "))&amp;" "</f>
        <v>  </v>
      </c>
      <c r="CE264" s="68" t="n">
        <f aca="false">IFERROR(IF(AND(LEN(AU264)&gt;0,LEN(AU264)=LEN(AX264),OR(TRIM(MID(SUBSTITUTE(TRIM(CC264)," ",REPT(" ",60)),1,60))="",ISNUMBER(SEARCH(" "&amp;TRIM(MID(SUBSTITUTE(TRIM(CC264)," ",REPT(" ",60)),1,60))&amp;" ",CD264))),OR(TRIM(MID(SUBSTITUTE(TRIM(CC264)," ",REPT(" ",60)),61,60))="",ISNUMBER(SEARCH(" "&amp;TRIM(MID(SUBSTITUTE(TRIM(CC264)," ",REPT(" ",60)),61,60))&amp;" ",CD264))),OR(TRIM(MID(SUBSTITUTE(TRIM(CC264)," ",REPT(" ",60)),121,60))="",ISNUMBER(SEARCH(" "&amp;TRIM(MID(SUBSTITUTE(TRIM(CC264)," ",REPT(" ",60)),121,60))&amp;" ",CD264)))),1,0),0)</f>
        <v>0</v>
      </c>
      <c r="CG264" s="68" t="n">
        <f aca="false">IFERROR(LEN(SUBSTITUTE(BF264," ",""))-SUMPRODUCT((LEN(BF264)-LEN(SUBSTITUTE(BF264," "&amp;L_NAFiller&amp;" "," ")))/(LEN(L_NAFiller)+1)*LEN(L_NAFiller)),0)</f>
        <v>0</v>
      </c>
    </row>
    <row r="265" customFormat="false" ht="39.75" hidden="false" customHeight="true" outlineLevel="0" collapsed="false">
      <c r="A265" s="57" t="s">
        <v>836</v>
      </c>
      <c r="B265" s="57" t="s">
        <v>238</v>
      </c>
      <c r="C265" s="57" t="str">
        <f aca="false">Flights!$F$12</f>
        <v>MH0752</v>
      </c>
      <c r="D265" s="58" t="n">
        <f aca="false">Flights!$D$12</f>
        <v>46305</v>
      </c>
      <c r="E265" s="57" t="str">
        <f aca="false">Flights!$G$12&amp;"-"&amp;Flights!$H$12</f>
        <v>KUL-HAN</v>
      </c>
      <c r="F265" s="57" t="str">
        <f aca="false">Flights!$K$12</f>
        <v>EY</v>
      </c>
      <c r="G265" s="57" t="s">
        <v>81</v>
      </c>
      <c r="H265" s="57" t="s">
        <v>378</v>
      </c>
      <c r="I265" s="57" t="s">
        <v>394</v>
      </c>
      <c r="J265" s="57" t="s">
        <v>395</v>
      </c>
      <c r="K265" s="67" t="s">
        <v>396</v>
      </c>
      <c r="L265" s="67" t="s">
        <v>382</v>
      </c>
      <c r="M265" s="67"/>
      <c r="N265" s="67" t="s">
        <v>383</v>
      </c>
      <c r="O265" s="67"/>
      <c r="P265" s="57" t="s">
        <v>187</v>
      </c>
      <c r="Q265" s="59" t="n">
        <f aca="false">ROUND((Flights!$AC$12)*1440,0)/1440</f>
        <v>46298.0659722222</v>
      </c>
      <c r="R265" s="59" t="n">
        <f aca="false">Q265+(IF(AND(INDEX(TZ_DSTS,MATCH(P265,TZ_STN,0))&lt;&gt;"",Q265&gt;=INDEX(TZ_DSTS,MATCH(P265,TZ_STN,0)),Q265&lt;INDEX(TZ_DSTE,MATCH(P265,TZ_STN,0))),INDEX(TZ_DST,MATCH(P265,TZ_STN,0)),INDEX(TZ_STD,MATCH(P265,TZ_STN,0))))/24</f>
        <v>46298.3993055556</v>
      </c>
      <c r="S265" s="60"/>
      <c r="T265" s="60"/>
      <c r="U265" s="60"/>
      <c r="V265" s="60"/>
      <c r="W265" s="61"/>
      <c r="X265" s="60"/>
      <c r="Y265" s="60"/>
      <c r="Z265" s="60"/>
      <c r="AA265" s="60"/>
      <c r="AB265" s="60"/>
      <c r="AC265" s="60"/>
      <c r="AD265" s="66"/>
      <c r="AE265" s="60"/>
      <c r="AF265" s="61" t="str">
        <f aca="false">IF(AND(ISNUMBER(X265),ISNUMBER(Y265)),Y265-X265,"")</f>
        <v/>
      </c>
      <c r="AG265" s="62" t="str">
        <f aca="false">IF(ISNUMBER(AD265),AD265-(IF(AND(INDEX(TZ_DSTS,MATCH(P265,TZ_STN,0))&lt;&gt;"",(AD265-INDEX(TZ_STD,MATCH(P265,TZ_STN,0))/24)&gt;=INDEX(TZ_DSTS,MATCH(P265,TZ_STN,0)),(AD265-INDEX(TZ_STD,MATCH(P265,TZ_STN,0))/24)&lt;INDEX(TZ_DSTE,MATCH(P265,TZ_STN,0))),INDEX(TZ_DST,MATCH(P265,TZ_STN,0)),INDEX(TZ_STD,MATCH(P265,TZ_STN,0))))/24,"")</f>
        <v/>
      </c>
      <c r="AH265" s="65" t="str">
        <f aca="false">IFERROR(IF(N265="N/A – rule",IF(OR(TRIM(U265)="",TRIM(U265)="N/A",TRIM(U265)="Not started"),"N/A – RULE","INVALID – this check does not apply to this aircraft: clear the status (or correct the fleet on Flights)"),IF(TRIM(U265)="N/A",IF(AT265=0,"INVALID – N/A not permitted for this check",IF(AND(TRIM(AB265)&lt;&gt;"",TRIM(AB265)&lt;&gt;"Closed"),"INVALID – corrective action still open",IF(AND(NOT(OR(LEN(AZ265)&lt;15,ISNUMBER(MATCH(AZ265,L_Placeholder,0)))),BK265=0,CG265&gt;=8,NOT(OR(LEN(AU265)&lt;2,ISNUMBER(MATCH(AU265,L_Placeholder,0)))),BR265&gt;=3,NOT(OR(LEN(AX265)&lt;2,ISNUMBER(MATCH(AX265,L_Placeholder,0)))),BS265&gt;=3,TRIM(AE265)&lt;&gt;TRIM(T265),AX265&lt;&gt;AU265,CE265=0),"N/A – JUSTIFIED","INVALID – N/A needs a real, settled reason (not 'not applicable' / 'as above' / TBC), a named PIC and a different named verifier"))),IF(OR(TRIM(U265)="Pass",TRIM(U265)="Pass after CA"),IF(NOT(ISNUMBER(AD265)),"INVALID – completion time missing",IF(OR(OR(LEN(AU265)&lt;2,ISNUMBER(MATCH(AU265,L_Placeholder,0))),BR265&lt;3),"INVALID – PIC missing or not a named person (a role such as QA / CSM is not a name)",IF(OR(LEN(AV265)&lt;2,ISNUMBER(MATCH(AV265,L_Placeholder,0))),"INVALID – result / assessment missing",IF(OR(OR(LEN(AW265)&lt;3,ISNUMBER(MATCH(AW265,L_Placeholder,0))),SUMPRODUCT(--ISNUMBER(SEARCH(" "&amp;L_EvidencePhrase&amp;" ",BD265)))&gt;0,BI265=1),"INVALID – evidence missing, placeholder or not yet on file",IF(ISNA(MATCH(TRIM(S265),L_EvidenceType,0)),"INVALID – choose the evidence type from the list (column S)",IF(BL265=0,"INVALID – evidence ID must be the record's own ID only (e.g. SF-2210, IMG_2231, 1045521); a link / file name needs type 'Link / file path'",IF(OR(OR(LEN(AX265)&lt;2,ISNUMBER(MATCH(AX265,L_Placeholder,0))),BS265&lt;3),"INVALID – verifier missing or not a named person (a role such as QA / CSM is not a name)",IF(OR(AX265=AU265,CE265=1,AND(LEN(AU265)&gt;=4,ISNUMBER(SEARCH(AU265,AX265))),AND(LEN(AX265)&gt;=4,ISNUMBER(SEARCH(AX265,AU265)))),"INVALID – verifier must be a different, named person (not the PIC or a role)",IF(BH265=1,"INVALID – result not yet available (awaiting / TBC)",IF(BG265=1,"INVALID – result describes a problem: record Fail, then Pass after CA (or reword if it is not a problem)",IF(BV265=1,"INVALID – wording says not on board: an on-board confirmation needs the item loaded",IF(AND(AQ265=1,OR(OR(LEN(AY265)&lt;3,ISNUMBER(MATCH(AY265,L_Placeholder,0))),BJ265=1,BQ265=0)),"INVALID – batch ID missing, placeholder or not an ID (e.g. PASB-261008-BC-017)",IF(AND(AR265=1,OR(NOT(ISNUMBER(X265)),NOT(ISNUMBER(Y265)))),"INVALID – expected/actual qty missing",IF(AND(AR265=1,OR(X265&lt;=0,Y265&lt;0)),"INVALID – expected qty must be above 0 and actual not negative",IF(BB265&lt;&gt;"",BB265,IF(AND(AS265=1,Documents!$J$12&lt;&gt;"ON FILE"),"INVALID – GLD not on file (Documents sheet)",IF(AND(AS265=2,Documents!$O$12&lt;&gt;"ON FILE"),"INVALID – menu checklist not on file (Documents sheet)",IF(AND(AS265=3,NOT(ISNUMBER(Flights!$AX$12))),"INVALID – enter carrying flight KUL departure (Flights AX)",IF(AND(AS265=3,OR(Flights!$AZ$12&gt;Flights!$AA$12,Flights!$AX$12&lt;Flights!$AA$12-3)),"INVALID – carrying flight (Flights AX) cannot arrive before this leg's STD, or is over 3 days early",IF(AG265&gt;AsOfUTC,"INVALID – completion time is in the future",IF(AND(ISNUMBER(BY265),AG265&lt;BY265),IF(H265="Physical uplift","INVALID – before uplift window (cannot confirm loading)","INVALID – before valid window"),IF(AG265&gt;Flights!$AA$12,"INVALID – completed after departure (cannot establish readiness)",IF(AND(H265="Preparation",AG265&gt;=IF(ISNUMBER(Flights!$BA$12),MIN(Flights!$BA$12,Flights!$AA$12),Flights!$AA$12)),"INVALID – completed after loading / departure (cannot establish readiness)",IF(AND(H265="Physical uplift",AG265&gt;Q265),"INVALID – recorded after the loading flight departed",IF(AG265&gt;Q265,"COMPLETE – LATE","COMPLETE"))))))))))))))))))))))))),IF(TRIM(U265)="Fail","FAIL – DISCREPANCY",IF(AND(TRIM(U265)&lt;&gt;"",TRIM(U265)&lt;&gt;"Not started",TRIM(U265)&lt;&gt;"In progress"),"INVALID – unrecognised status (use the list)",IF(AsOfUTC&gt;Q265,"OVERDUE",IF(N265="Clarification required","OPEN – CLARIFICATION","OPEN"))))))),"INVALID – error value in an input cell")</f>
        <v>OPEN</v>
      </c>
      <c r="AI265" s="61" t="n">
        <f aca="false">IF(OR(AH265="N/A – RULE",AH265="N/A – JUSTIFIED"),0,1)</f>
        <v>1</v>
      </c>
      <c r="AJ265" s="61" t="n">
        <f aca="false">IF(LEFT(AH265,8)="COMPLETE",1,0)</f>
        <v>0</v>
      </c>
      <c r="AK265" s="61" t="n">
        <f aca="false">IF(AND(AI265=1,AJ265=0,AsOfUTC&gt;Q265),1,0)</f>
        <v>0</v>
      </c>
      <c r="AL265" s="61" t="n">
        <f aca="false">IFERROR(IF(AND(AI265=1,OR(TRIM(U265)="Fail",AND(TRIM(AB265)&lt;&gt;"",TRIM(AB265)&lt;&gt;"Closed"),AND(ISNUMBER(AF265),AF265&lt;&gt;0,TRIM(U265)&lt;&gt;"Pass after CA"))),1,0),1)</f>
        <v>0</v>
      </c>
      <c r="AM265" s="61" t="n">
        <f aca="false">IF(LEFT(AH265,7)="INVALID",1,0)</f>
        <v>0</v>
      </c>
      <c r="AN265" s="61" t="n">
        <f aca="false">IF(AND(N265="Clarification required",AI265=1,AJ265=0),1,0)</f>
        <v>0</v>
      </c>
      <c r="AO265" s="61" t="str">
        <f aca="false">IF(AK265=1,SUM(AK$5:AK265),"")</f>
        <v/>
      </c>
      <c r="AP265" s="61" t="str">
        <f aca="false">IF(AL265=1,SUM(AL$5:AL265),"")</f>
        <v/>
      </c>
      <c r="AQ265" s="61" t="n">
        <v>0</v>
      </c>
      <c r="AR265" s="61" t="n">
        <v>0</v>
      </c>
      <c r="AS265" s="61" t="n">
        <v>0</v>
      </c>
      <c r="AT265" s="61" t="n">
        <v>0</v>
      </c>
      <c r="AU265" s="61" t="str">
        <f aca="false">SUBSTITUTE(SUBSTITUTE(SUBSTITUTE(SUBSTITUTE(SUBSTITUTE(SUBSTITUTE(SUBSTITUTE(SUBSTITUTE(SUBSTITUTE(SUBSTITUTE(SUBSTITUTE(SUBSTITUTE(SUBSTITUTE(SUBSTITUTE(SUBSTITUTE(SUBSTITUTE(LOWER(T265&amp;""),CHAR(10),""),CHAR(13),""),CHAR(9),""),CHAR(160),"")," ",""),".",""),"-",""),"/",""),"?",""),"_",""),",",""),"[",""),"]",""),"(",""),")",""),"*","")</f>
        <v/>
      </c>
      <c r="AV265" s="61" t="str">
        <f aca="false">SUBSTITUTE(SUBSTITUTE(SUBSTITUTE(SUBSTITUTE(SUBSTITUTE(SUBSTITUTE(SUBSTITUTE(SUBSTITUTE(SUBSTITUTE(SUBSTITUTE(SUBSTITUTE(SUBSTITUTE(SUBSTITUTE(SUBSTITUTE(SUBSTITUTE(SUBSTITUTE(LOWER(V265&amp;""),CHAR(10),""),CHAR(13),""),CHAR(9),""),CHAR(160),"")," ",""),".",""),"-",""),"/",""),"?",""),"_",""),",",""),"[",""),"]",""),"(",""),")",""),"*","")</f>
        <v/>
      </c>
      <c r="AW265" s="61" t="str">
        <f aca="false">SUBSTITUTE(SUBSTITUTE(SUBSTITUTE(SUBSTITUTE(SUBSTITUTE(SUBSTITUTE(SUBSTITUTE(SUBSTITUTE(SUBSTITUTE(SUBSTITUTE(SUBSTITUTE(SUBSTITUTE(SUBSTITUTE(SUBSTITUTE(SUBSTITUTE(SUBSTITUTE(LOWER(Z265&amp;""),CHAR(10),""),CHAR(13),""),CHAR(9),""),CHAR(160),"")," ",""),".",""),"-",""),"/",""),"?",""),"_",""),",",""),"[",""),"]",""),"(",""),")",""),"*","")</f>
        <v/>
      </c>
      <c r="AX265" s="61" t="str">
        <f aca="false">SUBSTITUTE(SUBSTITUTE(SUBSTITUTE(SUBSTITUTE(SUBSTITUTE(SUBSTITUTE(SUBSTITUTE(SUBSTITUTE(SUBSTITUTE(SUBSTITUTE(SUBSTITUTE(SUBSTITUTE(SUBSTITUTE(SUBSTITUTE(SUBSTITUTE(SUBSTITUTE(LOWER(AE265&amp;""),CHAR(10),""),CHAR(13),""),CHAR(9),""),CHAR(160),"")," ",""),".",""),"-",""),"/",""),"?",""),"_",""),",",""),"[",""),"]",""),"(",""),")",""),"*","")</f>
        <v/>
      </c>
      <c r="AY265" s="61" t="str">
        <f aca="false">SUBSTITUTE(SUBSTITUTE(SUBSTITUTE(SUBSTITUTE(SUBSTITUTE(SUBSTITUTE(SUBSTITUTE(SUBSTITUTE(SUBSTITUTE(SUBSTITUTE(SUBSTITUTE(SUBSTITUTE(SUBSTITUTE(SUBSTITUTE(SUBSTITUTE(SUBSTITUTE(LOWER(W265&amp;""),CHAR(10),""),CHAR(13),""),CHAR(9),""),CHAR(160),"")," ",""),".",""),"-",""),"/",""),"?",""),"_",""),",",""),"[",""),"]",""),"(",""),")",""),"*","")</f>
        <v/>
      </c>
      <c r="AZ265" s="61" t="str">
        <f aca="false">SUBSTITUTE(SUBSTITUTE(SUBSTITUTE(SUBSTITUTE(SUBSTITUTE(SUBSTITUTE(SUBSTITUTE(SUBSTITUTE(SUBSTITUTE(SUBSTITUTE(SUBSTITUTE(SUBSTITUTE(SUBSTITUTE(SUBSTITUTE(SUBSTITUTE(SUBSTITUTE(LOWER(AC265&amp;""),CHAR(10),""),CHAR(13),""),CHAR(9),""),CHAR(160),"")," ",""),".",""),"-",""),"/",""),"?",""),"_",""),",",""),"[",""),"]",""),"(",""),")",""),"*","")</f>
        <v/>
      </c>
      <c r="BA265" s="61" t="str">
        <f aca="false">SUBSTITUTE(SUBSTITUTE(SUBSTITUTE(SUBSTITUTE(SUBSTITUTE(SUBSTITUTE(SUBSTITUTE(SUBSTITUTE(SUBSTITUTE(SUBSTITUTE(SUBSTITUTE(SUBSTITUTE(SUBSTITUTE(SUBSTITUTE(SUBSTITUTE(SUBSTITUTE(LOWER(AA265&amp;""),CHAR(10),""),CHAR(13),""),CHAR(9),""),CHAR(160),"")," ",""),".",""),"-",""),"/",""),"?",""),"_",""),",",""),"[",""),"]",""),"(",""),")",""),"*","")</f>
        <v/>
      </c>
      <c r="BB265" s="61" t="str">
        <f aca="false">IF(AND(TRIM(U265)="Pass",ISNUMBER(AF265)),IF(AF265&lt;&gt;0,"INVALID – qty variance: use Fail or Pass after CA",""),"")&amp;IF(AND(TRIM(U265)="Pass after CA",ISNUMBER(AF265)),IF(AF265&lt;&gt;0,"INVALID – after the corrective action the actual qty must equal expected (update Actual)",""),"")&amp;IF(AND(TRIM(U265)="Pass",TRIM(AB265)&lt;&gt;"",TRIM(AB265)&lt;&gt;"Closed"),"INVALID – corrective action not closed: use Fail, then Pass after CA","")&amp;IF(AND(LEN(BA265)&gt;=2,ISNA(MATCH(LEFT(BA265,255),L_Placeholder,0)),TRIM(AB265)=""),"INVALID – CA status missing for the recorded corrective action","")&amp;IF(AND(TRIM(U265)="Pass after CA",OR(OR(LEN(BA265)&lt;5,ISNUMBER(MATCH(BA265,L_Placeholder,0))),TRIM(AB265)&lt;&gt;"Closed")),"INVALID – corrective action not recorded/closed","")</f>
        <v/>
      </c>
      <c r="BC265" s="61" t="str">
        <f aca="false">" "&amp;TRIM(SUBSTITUTE(SUBSTITUTE(SUBSTITUTE(SUBSTITUTE(SUBSTITUTE(SUBSTITUTE(SUBSTITUTE(SUBSTITUTE(SUBSTITUTE(SUBSTITUTE(SUBSTITUTE(SUBSTITUTE(SUBSTITUTE(SUBSTITUTE(SUBSTITUTE(SUBSTITUTE(SUBSTITUTE(SUBSTITUTE(SUBSTITUTE(SUBSTITUTE(SUBSTITUTE(SUBSTITUTE(SUBSTITUTE(SUBSTITUTE(LOWER(V265&amp;""),CHAR(10)," "),CHAR(13)," "),CHAR(9)," "),CHAR(160)," "),"."," "),","," "),"-"," "),"/"," "),"("," "),")"," "),":"," "),";"," "),"_"," "),"–"," "),"?"," "),"!"," "),"*"," "),"["," "),"]"," "),"'"," "),"#"," "),"+"," "),"&amp;"," "),"\"," "))&amp;" "</f>
        <v>  </v>
      </c>
      <c r="BD265" s="61" t="str">
        <f aca="false">" "&amp;TRIM(SUBSTITUTE(SUBSTITUTE(SUBSTITUTE(SUBSTITUTE(SUBSTITUTE(SUBSTITUTE(SUBSTITUTE(SUBSTITUTE(SUBSTITUTE(SUBSTITUTE(SUBSTITUTE(SUBSTITUTE(SUBSTITUTE(SUBSTITUTE(SUBSTITUTE(SUBSTITUTE(SUBSTITUTE(SUBSTITUTE(SUBSTITUTE(SUBSTITUTE(SUBSTITUTE(SUBSTITUTE(SUBSTITUTE(SUBSTITUTE(LOWER(Z265&amp;""),CHAR(10)," "),CHAR(13)," "),CHAR(9)," "),CHAR(160)," "),"."," "),","," "),"-"," "),"/"," "),"("," "),")"," "),":"," "),";"," "),"_"," "),"–"," "),"?"," "),"!"," "),"*"," "),"["," "),"]"," "),"'"," "),"#"," "),"+"," "),"&amp;"," "),"\"," "))&amp;" "</f>
        <v>  </v>
      </c>
      <c r="BE265" s="61" t="str">
        <f aca="false">" "&amp;TRIM(SUBSTITUTE(SUBSTITUTE(SUBSTITUTE(SUBSTITUTE(SUBSTITUTE(SUBSTITUTE(SUBSTITUTE(SUBSTITUTE(SUBSTITUTE(SUBSTITUTE(SUBSTITUTE(SUBSTITUTE(SUBSTITUTE(SUBSTITUTE(SUBSTITUTE(SUBSTITUTE(SUBSTITUTE(SUBSTITUTE(SUBSTITUTE(SUBSTITUTE(SUBSTITUTE(SUBSTITUTE(SUBSTITUTE(SUBSTITUTE(LOWER(W265&amp;""),CHAR(10)," "),CHAR(13)," "),CHAR(9)," "),CHAR(160)," "),"."," "),","," "),"-"," "),"/"," "),"("," "),")"," "),":"," "),";"," "),"_"," "),"–"," "),"?"," "),"!"," "),"*"," "),"["," "),"]"," "),"'"," "),"#"," "),"+"," "),"&amp;"," "),"\"," "))&amp;" "</f>
        <v>  </v>
      </c>
      <c r="BF265" s="61" t="str">
        <f aca="false">" "&amp;TRIM(SUBSTITUTE(SUBSTITUTE(SUBSTITUTE(SUBSTITUTE(SUBSTITUTE(SUBSTITUTE(SUBSTITUTE(SUBSTITUTE(SUBSTITUTE(SUBSTITUTE(SUBSTITUTE(SUBSTITUTE(SUBSTITUTE(SUBSTITUTE(SUBSTITUTE(SUBSTITUTE(SUBSTITUTE(SUBSTITUTE(SUBSTITUTE(SUBSTITUTE(SUBSTITUTE(SUBSTITUTE(SUBSTITUTE(SUBSTITUTE(LOWER(AC265&amp;""),CHAR(10)," "),CHAR(13)," "),CHAR(9)," "),CHAR(160)," "),"."," "),","," "),"-"," "),"/"," "),"("," "),")"," "),":"," "),";"," "),"_"," "),"–"," "),"?"," "),"!"," "),"*"," "),"["," "),"]"," "),"'"," "),"#"," "),"+"," "),"&amp;"," "),"\"," "))&amp;" "</f>
        <v>  </v>
      </c>
      <c r="BG265" s="61" t="n">
        <f aca="false">IFERROR(IF(AND(TRIM(U265)="Pass",SUMPRODUCT((LEN(BC265)-LEN(SUBSTITUTE(BC265," "&amp;L_ResultBad&amp;" "," ")))/(LEN(L_ResultBad)+1))&gt;SUMPRODUCT((LEN(BC265)-LEN(SUBSTITUTE(BC265," "&amp;L_NegPhrase&amp;" "," ")))/(LEN(L_NegPhrase)+1))),1,0),0)</f>
        <v>0</v>
      </c>
      <c r="BH265" s="61" t="n">
        <f aca="false">IFERROR(IF(SUMPRODUCT((LEN(BC265)-LEN(SUBSTITUTE(BC265," "&amp;L_Pending&amp;" "," ")))/(LEN(L_Pending)+1))&gt;SUMPRODUCT((LEN(BC265)-LEN(SUBSTITUTE(BC265," "&amp;L_PendNeg&amp;" "," ")))/(LEN(L_PendNeg)+1))+SUMPRODUCT((LEN(BC265)-LEN(SUBSTITUTE(BC265," "&amp;L_PendPrep&amp;" "," ")))/(LEN(L_PendPrep)+1)),1,0),1)</f>
        <v>0</v>
      </c>
      <c r="BI265" s="61" t="n">
        <f aca="false">IFERROR(IF(SUMPRODUCT((LEN(BD265)-LEN(SUBSTITUTE(BD265," "&amp;L_PendStrict&amp;" "," ")))/(LEN(L_PendStrict)+1))&gt;SUMPRODUCT((LEN(BD265)-LEN(SUBSTITUTE(BD265," "&amp;L_PendNeg&amp;" "," ")))/(LEN(L_PendNeg)+1)),1,0),1)</f>
        <v>0</v>
      </c>
      <c r="BJ265" s="61" t="n">
        <f aca="false">IFERROR(IF(SUMPRODUCT((LEN(BE265)-LEN(SUBSTITUTE(BE265," "&amp;L_Pending&amp;" "," ")))/(LEN(L_Pending)+1))&gt;SUMPRODUCT((LEN(BE265)-LEN(SUBSTITUTE(BE265," "&amp;L_PendNeg&amp;" "," ")))/(LEN(L_PendNeg)+1))+SUMPRODUCT((LEN(BE265)-LEN(SUBSTITUTE(BE265," "&amp;L_PendPrep&amp;" "," ")))/(LEN(L_PendPrep)+1)),1,0),1)</f>
        <v>0</v>
      </c>
      <c r="BK265" s="61" t="n">
        <f aca="false">IFERROR(IF(SUMPRODUCT((LEN(BF265)-LEN(SUBSTITUTE(BF265," "&amp;L_PendStrict&amp;" "," ")))/(LEN(L_PendStrict)+1))&gt;SUMPRODUCT((LEN(BF265)-LEN(SUBSTITUTE(BF265," "&amp;L_PendNeg&amp;" "," ")))/(LEN(L_PendNeg)+1)),1,0),1)</f>
        <v>0</v>
      </c>
      <c r="BL265" s="61" t="n">
        <f aca="false">IF(ISNA(MATCH(TRIM(S265),L_EvidenceType,0)),0,BZ265)</f>
        <v>0</v>
      </c>
      <c r="BM265" s="61" t="str">
        <f aca="false">SUBSTITUTE(SUBSTITUTE(SUBSTITUTE(SUBSTITUTE(SUBSTITUTE(SUBSTITUTE(SUBSTITUTE(SUBSTITUTE(SUBSTITUTE(LOWER(Z265&amp;""),"1","0"),"2","0"),"3","0"),"4","0"),"5","0"),"6","0"),"7","0"),"8","0"),"9","0")</f>
        <v/>
      </c>
      <c r="BN265" s="61" t="str">
        <f aca="false">SUBSTITUTE(SUBSTITUTE(SUBSTITUTE(SUBSTITUTE(SUBSTITUTE(SUBSTITUTE(SUBSTITUTE(SUBSTITUTE(SUBSTITUTE(SUBSTITUTE(SUBSTITUTE(SUBSTITUTE(SUBSTITUTE(SUBSTITUTE(SUBSTITUTE(SUBSTITUTE(SUBSTITUTE(SUBSTITUTE(SUBSTITUTE(SUBSTITUTE(SUBSTITUTE(SUBSTITUTE(SUBSTITUTE(SUBSTITUTE(SUBSTITUTE(BM265,"b","a"),"c","a"),"d","a"),"e","a"),"f","a"),"g","a"),"h","a"),"i","a"),"j","a"),"k","a"),"l","a"),"m","a"),"n","a"),"o","a"),"p","a"),"q","a"),"r","a"),"s","a"),"t","a"),"u","a"),"v","a"),"w","a"),"x","a"),"y","a"),"z","a")</f>
        <v/>
      </c>
      <c r="BO265" s="61" t="str">
        <f aca="false">SUBSTITUTE(SUBSTITUTE(SUBSTITUTE(SUBSTITUTE(SUBSTITUTE(SUBSTITUTE(SUBSTITUTE(SUBSTITUTE(SUBSTITUTE(LOWER(W265&amp;""),"1","0"),"2","0"),"3","0"),"4","0"),"5","0"),"6","0"),"7","0"),"8","0"),"9","0")</f>
        <v/>
      </c>
      <c r="BP265" s="61" t="str">
        <f aca="false">SUBSTITUTE(SUBSTITUTE(SUBSTITUTE(SUBSTITUTE(SUBSTITUTE(SUBSTITUTE(SUBSTITUTE(SUBSTITUTE(SUBSTITUTE(SUBSTITUTE(SUBSTITUTE(SUBSTITUTE(SUBSTITUTE(SUBSTITUTE(SUBSTITUTE(SUBSTITUTE(SUBSTITUTE(SUBSTITUTE(SUBSTITUTE(SUBSTITUTE(SUBSTITUTE(SUBSTITUTE(SUBSTITUTE(SUBSTITUTE(SUBSTITUTE(BO265,"b","a"),"c","a"),"d","a"),"e","a"),"f","a"),"g","a"),"h","a"),"i","a"),"j","a"),"k","a"),"l","a"),"m","a"),"n","a"),"o","a"),"p","a"),"q","a"),"r","a"),"s","a"),"t","a"),"u","a"),"v","a"),"w","a"),"x","a"),"y","a"),"z","a")</f>
        <v/>
      </c>
      <c r="BQ265" s="61" t="n">
        <f aca="false">IFERROR(IF(AND(ISERROR(SEARCH(" mh"," "&amp;LOWER(W265))),ISNA(MATCH(LEFT(TRIM(BP265),255),{"0000a","000a","00a","0000aa","000aa","00aa","0aa","0000aaa","000aaa","00a00","0a00","0000-0000","00:00","a00","a0","00.00.0000","00/00/0000","00-00-0000","0000-00-00","0000/00/00","0000.00.00","00.00.00","00/00/00","00-00-00","0.00.0000","0/00/0000","0-00-0000"},0)),ISNA(MATCH(LEFT(TRIM(CA265),255),{"0000a","000a","00a","0000aa","000aa","00aa","0aa","0000aaa","000aaa","00a00","0a00","0000-0000","00:00","a00","a0","00.00.0000","00/00/0000","00-00-0000","0000-00-00","0000/00/00","0000.00.00","00.00.00","00/00/00","00-00-00","0.00.0000","0/00/0000","0-00-0000"},0)),LEN(CB265)&gt;=3,NOT(OR(SUBSTITUTE(CB265,"0","")="",AND(LEN(CB265)&gt;=4,CB265=REPT(LEFT(CB265),LEN(CB265))),ISNUMBER(MATCH(CB265,{"123","1234","12345","123456","1234567","12345678","0123","01234","012345","98765","987654","54321"},0)),AND(LEN(CB265)=8,LEFT(CB265,3)="202"))),OR(AND((LEN(CA265)-LEN(SUBSTITUTE(CA265,"a","")))&gt;=1,SUMPRODUCT(--ISNUMBER(SEARCH({"a0","a-0","a_0","a/0","a.0","a#0","0a","0-a","0_a","0/a"},BP265)))&gt;0),ISNUMBER(SEARCH("000000",BP265)))),1,0),0)</f>
        <v>0</v>
      </c>
      <c r="BR265" s="61" t="n">
        <f aca="false">IFERROR(LEN(SUBSTITUTE(CC265," ",""))-SUMPRODUCT((LEN(CC265)-LEN(SUBSTITUTE(CC265," "&amp;L_Role&amp;" "," ")))/(LEN(L_Role)+1)*LEN(L_Role)),0)</f>
        <v>0</v>
      </c>
      <c r="BS265" s="61" t="n">
        <f aca="false">IFERROR(LEN(SUBSTITUTE(CD265," ",""))-SUMPRODUCT((LEN(CD265)-LEN(SUBSTITUTE(CD265," "&amp;L_Role&amp;" "," ")))/(LEN(L_Role)+1)*LEN(L_Role)),0)</f>
        <v>0</v>
      </c>
      <c r="BT2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265,"revision",""),"version",""),"jan",""),"feb",""),"mar",""),"apr",""),"may",""),"jun",""),"jul",""),"aug",""),"sep",""),"oct",""),"nov",""),"dec",""),"utc",""),"gmt",""),"myt",""),"bst",""),"rev",""),"ver",""),"b","a"),"c","a"),"d","a"),"e","a"),"f","a"),"g","a"),"h","a"),"i","a"),"j","a"),"k","a"),"l","a"),"m","a"),"n","a"),"o","a"),"p","a"),"q","a"),"r","a"),"s","a"),"t","a"),"u","a"),"v","a"),"w","a"),"x","a"),"y","a"),"z","a")</f>
        <v/>
      </c>
      <c r="BU265" s="61" t="str">
        <f aca="false">SUBSTITUTE(SUBSTITUTE(SUBSTITUTE(SUBSTITUTE(SUBSTITUTE(SUBSTITUTE(SUBSTITUTE(SUBSTITUTE(SUBSTITUTE(SUBSTITUTE(LEFT(BM265,FIND("0",BM265&amp;"0")-1),"-",""),"_",""),"/",""),".",""),"#",""),"\\",""),":","")," ",""),"(",""),")","")</f>
        <v/>
      </c>
      <c r="BV265" s="61" t="n">
        <f aca="false">0</f>
        <v>0</v>
      </c>
      <c r="BW2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265&amp;""),"a",""),"b",""),"c",""),"d",""),"e",""),"f",""),"g",""),"h",""),"i",""),"j",""),"k",""),"l",""),"m",""),"n",""),"o",""),"p",""),"q",""),"r",""),"s",""),"t",""),"u",""),"v",""),"w",""),"x",""),"y",""),"z",""),"-",""),"_",""),"/",""),".",""),"#",""),"\\",""),":","")," ",""),"(",""),")","")</f>
        <v/>
      </c>
      <c r="BX265" s="61" t="str">
        <f aca="false">SUBSTITUTE(SUBSTITUTE(SUBSTITUTE(SUBSTITUTE(SUBSTITUTE(SUBSTITUTE(SUBSTITUTE(SUBSTITUTE(SUBSTITUTE(SUBSTITUTE(SUBSTITUTE(BM265,"0",""),"-",""),"_",""),"/",""),".",""),"#",""),"\\",""),":","")," ",""),"(",""),")","")</f>
        <v/>
      </c>
      <c r="BY265" s="62" t="n">
        <f aca="false">Q265-T7EarlyD*24/24</f>
        <v>46284.0659722222</v>
      </c>
      <c r="BZ265" s="61" t="n">
        <f aca="false">IFERROR(IF(IF(TRIM(S265)="Link / file path",AND(LEN(TRIM(Z265))&gt;=5,SUMPRODUCT(--ISNUMBER(SEARCH({"http","www.","\\",":\",".pdf",".jpg",".jpeg",".png",".heic",".xls",".doc",".msg",".eml",".ppt",".txt",".zip"},Z265)))&gt;0),AND(ISERROR(FIND(" ",TRIM(Z265))),NOT(OR(SUMPRODUCT(--ISNUMBER(FIND({",",";","&amp;","+"},Z265)))&gt;0,SUMPRODUCT(--ISNUMBER(SEARCH({"0/aa","0\\aa"},BN265)))&gt;0)),NOT(SUMPRODUCT(--ISNUMBER(SEARCH({"http","www.","\\",":\",".pdf",".jpg",".jpeg",".png",".heic",".xls",".doc",".msg",".eml",".ppt",".txt",".zip"},Z265)))&gt;0),NOT(LOWER(TRIM(Z265))=LOWER(Flights!$F$12)),ISNA(MATCH(BU265,{"mh","rev","revision","ver","version","v","r","a","b","seat","tray","row","gate","bay","stand","page","pg","item","line","no","cart","galley","flight","flt","table","box","bag","oven","etd","eta","std","sta","atd","ata","qty","pax","x","time","tel","ph","mob","day","wk","week","utc","gmt","myt","lt"},0)),NOT(OR(ISNUMBER(MATCH(LEFT(BN265,255),{"0000a","000a","00a","0000aa","000aa","00aa","0aa","0000aaa","000aaa","00a00","0a00","0000-0000","00:00","a00","a0","00.00.0000","00/00/0000","00-00-0000","0000-00-00","0000/00/00","0000.00.00","00.00.00","00/00/00","00-00-00","0.00.0000","0/00/0000","0-00-0000"},0)),ISNUMBER(MATCH(LEFT(BT265,255),{"0000a","000a","00a","0000aa","000aa","00aa","0aa","0000aaa","000aaa","00a00","0a00","0000-0000","00:00","a00","a0","00.00.0000","00/00/0000","00-00-0000","0000-00-00","0000/00/00","0000.00.00","00.00.00","00/00/00","00-00-00","0.00.0000","0/00/0000","0-00-0000"},0)))),NOT(OR(AND(BW265&lt;&gt;"",SUBSTITUTE(BW265,"0","")=""),AND(LEN(BW265)&gt;=4,BW265=REPT(LEFT(BW265),LEN(BW265))),ISNUMBER(MATCH(BW265,{"123","1234","12345","123456","1234567","12345678","0123","01234","012345","98765","987654","54321"},0)),ISNUMBER(MATCH(BX265,{"x","xx","xxx","xxxx","xxxxx","abc","abcd","nil","na","nan","test","tbc","tba","tbd","dummy","sample","example","eg","zz","zzz","none","null","xyz","qwe","asd","id","ref"},0)),AND(LEN(BW265)=8,BX265="",OR(LEFT(BW265,3)="202",ISNUMBER(MATCH(RIGHT(BW265,4),{"2025","2026","2027"},0)))))),OR(AND((LEN(BT265)-LEN(SUBSTITUTE(BT265,"a","")))&gt;=1,(LEN(BN265)-LEN(SUBSTITUTE(BN265,"0","")))&gt;=2,SUMPRODUCT(--ISNUMBER(SEARCH({"a0","a-0","a_0","a/0","a.0","a#0","0a","0-a","0_a","0/a"},BN265)))&gt;0),AND((LEN(BN265)-LEN(SUBSTITUTE(BN265,"a","")))=0,(LEN(BN265)-LEN(SUBSTITUTE(BN265,"0","")))&gt;=5)))),1,0),0)</f>
        <v>0</v>
      </c>
      <c r="CA2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265,"revision",""),"version",""),"jan",""),"feb",""),"mar",""),"apr",""),"may",""),"jun",""),"jul",""),"aug",""),"sep",""),"oct",""),"nov",""),"dec",""),"utc",""),"gmt",""),"myt",""),"bst",""),"rev",""),"ver",""),"b","a"),"c","a"),"d","a"),"e","a"),"f","a"),"g","a"),"h","a"),"i","a"),"j","a"),"k","a"),"l","a"),"m","a"),"n","a"),"o","a"),"p","a"),"q","a"),"r","a"),"s","a"),"t","a"),"u","a"),"v","a"),"w","a"),"x","a"),"y","a"),"z","a")</f>
        <v/>
      </c>
      <c r="CB2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265&amp;""),"a",""),"b",""),"c",""),"d",""),"e",""),"f",""),"g",""),"h",""),"i",""),"j",""),"k",""),"l",""),"m",""),"n",""),"o",""),"p",""),"q",""),"r",""),"s",""),"t",""),"u",""),"v",""),"w",""),"x",""),"y",""),"z",""),"-",""),"_",""),"/",""),".",""),"#",""),"\\",""),":","")," ",""),"(",""),")","")</f>
        <v/>
      </c>
      <c r="CC265" s="0" t="str">
        <f aca="false">" "&amp;TRIM(SUBSTITUTE(SUBSTITUTE(SUBSTITUTE(SUBSTITUTE(SUBSTITUTE(SUBSTITUTE(SUBSTITUTE(SUBSTITUTE(SUBSTITUTE(SUBSTITUTE(SUBSTITUTE(SUBSTITUTE(SUBSTITUTE(SUBSTITUTE(SUBSTITUTE(SUBSTITUTE(SUBSTITUTE(SUBSTITUTE(SUBSTITUTE(SUBSTITUTE(SUBSTITUTE(SUBSTITUTE(SUBSTITUTE(SUBSTITUTE(LOWER(T265&amp;""),CHAR(10)," "),CHAR(13)," "),CHAR(9)," "),CHAR(160)," "),"."," "),","," "),"-"," "),"/"," "),"("," "),")"," "),":"," "),";"," "),"_"," "),"–"," "),"?"," "),"!"," "),"*"," "),"["," "),"]"," "),"'"," "),"#"," "),"+"," "),"&amp;"," "),"\"," "))&amp;" "</f>
        <v>  </v>
      </c>
      <c r="CD265" s="0" t="str">
        <f aca="false">" "&amp;TRIM(SUBSTITUTE(SUBSTITUTE(SUBSTITUTE(SUBSTITUTE(SUBSTITUTE(SUBSTITUTE(SUBSTITUTE(SUBSTITUTE(SUBSTITUTE(SUBSTITUTE(SUBSTITUTE(SUBSTITUTE(SUBSTITUTE(SUBSTITUTE(SUBSTITUTE(SUBSTITUTE(SUBSTITUTE(SUBSTITUTE(SUBSTITUTE(SUBSTITUTE(SUBSTITUTE(SUBSTITUTE(SUBSTITUTE(SUBSTITUTE(LOWER(AE265&amp;""),CHAR(10)," "),CHAR(13)," "),CHAR(9)," "),CHAR(160)," "),"."," "),","," "),"-"," "),"/"," "),"("," "),")"," "),":"," "),";"," "),"_"," "),"–"," "),"?"," "),"!"," "),"*"," "),"["," "),"]"," "),"'"," "),"#"," "),"+"," "),"&amp;"," "),"\"," "))&amp;" "</f>
        <v>  </v>
      </c>
      <c r="CE265" s="68" t="n">
        <f aca="false">IFERROR(IF(AND(LEN(AU265)&gt;0,LEN(AU265)=LEN(AX265),OR(TRIM(MID(SUBSTITUTE(TRIM(CC265)," ",REPT(" ",60)),1,60))="",ISNUMBER(SEARCH(" "&amp;TRIM(MID(SUBSTITUTE(TRIM(CC265)," ",REPT(" ",60)),1,60))&amp;" ",CD265))),OR(TRIM(MID(SUBSTITUTE(TRIM(CC265)," ",REPT(" ",60)),61,60))="",ISNUMBER(SEARCH(" "&amp;TRIM(MID(SUBSTITUTE(TRIM(CC265)," ",REPT(" ",60)),61,60))&amp;" ",CD265))),OR(TRIM(MID(SUBSTITUTE(TRIM(CC265)," ",REPT(" ",60)),121,60))="",ISNUMBER(SEARCH(" "&amp;TRIM(MID(SUBSTITUTE(TRIM(CC265)," ",REPT(" ",60)),121,60))&amp;" ",CD265)))),1,0),0)</f>
        <v>0</v>
      </c>
      <c r="CG265" s="68" t="n">
        <f aca="false">IFERROR(LEN(SUBSTITUTE(BF265," ",""))-SUMPRODUCT((LEN(BF265)-LEN(SUBSTITUTE(BF265," "&amp;L_NAFiller&amp;" "," ")))/(LEN(L_NAFiller)+1)*LEN(L_NAFiller)),0)</f>
        <v>0</v>
      </c>
    </row>
    <row r="266" customFormat="false" ht="39.75" hidden="false" customHeight="true" outlineLevel="0" collapsed="false">
      <c r="A266" s="57" t="s">
        <v>837</v>
      </c>
      <c r="B266" s="57" t="s">
        <v>238</v>
      </c>
      <c r="C266" s="57" t="str">
        <f aca="false">Flights!$F$12</f>
        <v>MH0752</v>
      </c>
      <c r="D266" s="58" t="n">
        <f aca="false">Flights!$D$12</f>
        <v>46305</v>
      </c>
      <c r="E266" s="57" t="str">
        <f aca="false">Flights!$G$12&amp;"-"&amp;Flights!$H$12</f>
        <v>KUL-HAN</v>
      </c>
      <c r="F266" s="57" t="str">
        <f aca="false">Flights!$K$12</f>
        <v>EY</v>
      </c>
      <c r="G266" s="57" t="s">
        <v>81</v>
      </c>
      <c r="H266" s="57" t="s">
        <v>378</v>
      </c>
      <c r="I266" s="57" t="s">
        <v>398</v>
      </c>
      <c r="J266" s="57" t="s">
        <v>399</v>
      </c>
      <c r="K266" s="67" t="s">
        <v>400</v>
      </c>
      <c r="L266" s="67" t="s">
        <v>382</v>
      </c>
      <c r="M266" s="67"/>
      <c r="N266" s="67" t="s">
        <v>383</v>
      </c>
      <c r="O266" s="67"/>
      <c r="P266" s="57" t="s">
        <v>187</v>
      </c>
      <c r="Q266" s="59" t="n">
        <f aca="false">ROUND((Flights!$AC$12)*1440,0)/1440</f>
        <v>46298.0659722222</v>
      </c>
      <c r="R266" s="59" t="n">
        <f aca="false">Q266+(IF(AND(INDEX(TZ_DSTS,MATCH(P266,TZ_STN,0))&lt;&gt;"",Q266&gt;=INDEX(TZ_DSTS,MATCH(P266,TZ_STN,0)),Q266&lt;INDEX(TZ_DSTE,MATCH(P266,TZ_STN,0))),INDEX(TZ_DST,MATCH(P266,TZ_STN,0)),INDEX(TZ_STD,MATCH(P266,TZ_STN,0))))/24</f>
        <v>46298.3993055556</v>
      </c>
      <c r="S266" s="60"/>
      <c r="T266" s="60"/>
      <c r="U266" s="60"/>
      <c r="V266" s="60"/>
      <c r="W266" s="61"/>
      <c r="X266" s="60"/>
      <c r="Y266" s="60"/>
      <c r="Z266" s="60"/>
      <c r="AA266" s="60"/>
      <c r="AB266" s="60"/>
      <c r="AC266" s="60"/>
      <c r="AD266" s="66"/>
      <c r="AE266" s="60"/>
      <c r="AF266" s="61" t="str">
        <f aca="false">IF(AND(ISNUMBER(X266),ISNUMBER(Y266)),Y266-X266,"")</f>
        <v/>
      </c>
      <c r="AG266" s="62" t="str">
        <f aca="false">IF(ISNUMBER(AD266),AD266-(IF(AND(INDEX(TZ_DSTS,MATCH(P266,TZ_STN,0))&lt;&gt;"",(AD266-INDEX(TZ_STD,MATCH(P266,TZ_STN,0))/24)&gt;=INDEX(TZ_DSTS,MATCH(P266,TZ_STN,0)),(AD266-INDEX(TZ_STD,MATCH(P266,TZ_STN,0))/24)&lt;INDEX(TZ_DSTE,MATCH(P266,TZ_STN,0))),INDEX(TZ_DST,MATCH(P266,TZ_STN,0)),INDEX(TZ_STD,MATCH(P266,TZ_STN,0))))/24,"")</f>
        <v/>
      </c>
      <c r="AH266" s="65" t="str">
        <f aca="false">IFERROR(IF(N266="N/A – rule",IF(OR(TRIM(U266)="",TRIM(U266)="N/A",TRIM(U266)="Not started"),"N/A – RULE","INVALID – this check does not apply to this aircraft: clear the status (or correct the fleet on Flights)"),IF(TRIM(U266)="N/A",IF(AT266=0,"INVALID – N/A not permitted for this check",IF(AND(TRIM(AB266)&lt;&gt;"",TRIM(AB266)&lt;&gt;"Closed"),"INVALID – corrective action still open",IF(AND(NOT(OR(LEN(AZ266)&lt;15,ISNUMBER(MATCH(AZ266,L_Placeholder,0)))),BK266=0,CG266&gt;=8,NOT(OR(LEN(AU266)&lt;2,ISNUMBER(MATCH(AU266,L_Placeholder,0)))),BR266&gt;=3,NOT(OR(LEN(AX266)&lt;2,ISNUMBER(MATCH(AX266,L_Placeholder,0)))),BS266&gt;=3,TRIM(AE266)&lt;&gt;TRIM(T266),AX266&lt;&gt;AU266,CE266=0),"N/A – JUSTIFIED","INVALID – N/A needs a real, settled reason (not 'not applicable' / 'as above' / TBC), a named PIC and a different named verifier"))),IF(OR(TRIM(U266)="Pass",TRIM(U266)="Pass after CA"),IF(NOT(ISNUMBER(AD266)),"INVALID – completion time missing",IF(OR(OR(LEN(AU266)&lt;2,ISNUMBER(MATCH(AU266,L_Placeholder,0))),BR266&lt;3),"INVALID – PIC missing or not a named person (a role such as QA / CSM is not a name)",IF(OR(LEN(AV266)&lt;2,ISNUMBER(MATCH(AV266,L_Placeholder,0))),"INVALID – result / assessment missing",IF(OR(OR(LEN(AW266)&lt;3,ISNUMBER(MATCH(AW266,L_Placeholder,0))),SUMPRODUCT(--ISNUMBER(SEARCH(" "&amp;L_EvidencePhrase&amp;" ",BD266)))&gt;0,BI266=1),"INVALID – evidence missing, placeholder or not yet on file",IF(ISNA(MATCH(TRIM(S266),L_EvidenceType,0)),"INVALID – choose the evidence type from the list (column S)",IF(BL266=0,"INVALID – evidence ID must be the record's own ID only (e.g. SF-2210, IMG_2231, 1045521); a link / file name needs type 'Link / file path'",IF(OR(OR(LEN(AX266)&lt;2,ISNUMBER(MATCH(AX266,L_Placeholder,0))),BS266&lt;3),"INVALID – verifier missing or not a named person (a role such as QA / CSM is not a name)",IF(OR(AX266=AU266,CE266=1,AND(LEN(AU266)&gt;=4,ISNUMBER(SEARCH(AU266,AX266))),AND(LEN(AX266)&gt;=4,ISNUMBER(SEARCH(AX266,AU266)))),"INVALID – verifier must be a different, named person (not the PIC or a role)",IF(BH266=1,"INVALID – result not yet available (awaiting / TBC)",IF(BG266=1,"INVALID – result describes a problem: record Fail, then Pass after CA (or reword if it is not a problem)",IF(BV266=1,"INVALID – wording says not on board: an on-board confirmation needs the item loaded",IF(AND(AQ266=1,OR(OR(LEN(AY266)&lt;3,ISNUMBER(MATCH(AY266,L_Placeholder,0))),BJ266=1,BQ266=0)),"INVALID – batch ID missing, placeholder or not an ID (e.g. PASB-261008-BC-017)",IF(AND(AR266=1,OR(NOT(ISNUMBER(X266)),NOT(ISNUMBER(Y266)))),"INVALID – expected/actual qty missing",IF(AND(AR266=1,OR(X266&lt;=0,Y266&lt;0)),"INVALID – expected qty must be above 0 and actual not negative",IF(BB266&lt;&gt;"",BB266,IF(AND(AS266=1,Documents!$J$12&lt;&gt;"ON FILE"),"INVALID – GLD not on file (Documents sheet)",IF(AND(AS266=2,Documents!$O$12&lt;&gt;"ON FILE"),"INVALID – menu checklist not on file (Documents sheet)",IF(AND(AS266=3,NOT(ISNUMBER(Flights!$AX$12))),"INVALID – enter carrying flight KUL departure (Flights AX)",IF(AND(AS266=3,OR(Flights!$AZ$12&gt;Flights!$AA$12,Flights!$AX$12&lt;Flights!$AA$12-3)),"INVALID – carrying flight (Flights AX) cannot arrive before this leg's STD, or is over 3 days early",IF(AG266&gt;AsOfUTC,"INVALID – completion time is in the future",IF(AND(ISNUMBER(BY266),AG266&lt;BY266),IF(H266="Physical uplift","INVALID – before uplift window (cannot confirm loading)","INVALID – before valid window"),IF(AG266&gt;Flights!$AA$12,"INVALID – completed after departure (cannot establish readiness)",IF(AND(H266="Preparation",AG266&gt;=IF(ISNUMBER(Flights!$BA$12),MIN(Flights!$BA$12,Flights!$AA$12),Flights!$AA$12)),"INVALID – completed after loading / departure (cannot establish readiness)",IF(AND(H266="Physical uplift",AG266&gt;Q266),"INVALID – recorded after the loading flight departed",IF(AG266&gt;Q266,"COMPLETE – LATE","COMPLETE"))))))))))))))))))))))))),IF(TRIM(U266)="Fail","FAIL – DISCREPANCY",IF(AND(TRIM(U266)&lt;&gt;"",TRIM(U266)&lt;&gt;"Not started",TRIM(U266)&lt;&gt;"In progress"),"INVALID – unrecognised status (use the list)",IF(AsOfUTC&gt;Q266,"OVERDUE",IF(N266="Clarification required","OPEN – CLARIFICATION","OPEN"))))))),"INVALID – error value in an input cell")</f>
        <v>OPEN</v>
      </c>
      <c r="AI266" s="61" t="n">
        <f aca="false">IF(OR(AH266="N/A – RULE",AH266="N/A – JUSTIFIED"),0,1)</f>
        <v>1</v>
      </c>
      <c r="AJ266" s="61" t="n">
        <f aca="false">IF(LEFT(AH266,8)="COMPLETE",1,0)</f>
        <v>0</v>
      </c>
      <c r="AK266" s="61" t="n">
        <f aca="false">IF(AND(AI266=1,AJ266=0,AsOfUTC&gt;Q266),1,0)</f>
        <v>0</v>
      </c>
      <c r="AL266" s="61" t="n">
        <f aca="false">IFERROR(IF(AND(AI266=1,OR(TRIM(U266)="Fail",AND(TRIM(AB266)&lt;&gt;"",TRIM(AB266)&lt;&gt;"Closed"),AND(ISNUMBER(AF266),AF266&lt;&gt;0,TRIM(U266)&lt;&gt;"Pass after CA"))),1,0),1)</f>
        <v>0</v>
      </c>
      <c r="AM266" s="61" t="n">
        <f aca="false">IF(LEFT(AH266,7)="INVALID",1,0)</f>
        <v>0</v>
      </c>
      <c r="AN266" s="61" t="n">
        <f aca="false">IF(AND(N266="Clarification required",AI266=1,AJ266=0),1,0)</f>
        <v>0</v>
      </c>
      <c r="AO266" s="61" t="str">
        <f aca="false">IF(AK266=1,SUM(AK$5:AK266),"")</f>
        <v/>
      </c>
      <c r="AP266" s="61" t="str">
        <f aca="false">IF(AL266=1,SUM(AL$5:AL266),"")</f>
        <v/>
      </c>
      <c r="AQ266" s="61" t="n">
        <v>0</v>
      </c>
      <c r="AR266" s="61" t="n">
        <v>0</v>
      </c>
      <c r="AS266" s="61" t="n">
        <v>0</v>
      </c>
      <c r="AT266" s="61" t="n">
        <v>0</v>
      </c>
      <c r="AU266" s="61" t="str">
        <f aca="false">SUBSTITUTE(SUBSTITUTE(SUBSTITUTE(SUBSTITUTE(SUBSTITUTE(SUBSTITUTE(SUBSTITUTE(SUBSTITUTE(SUBSTITUTE(SUBSTITUTE(SUBSTITUTE(SUBSTITUTE(SUBSTITUTE(SUBSTITUTE(SUBSTITUTE(SUBSTITUTE(LOWER(T266&amp;""),CHAR(10),""),CHAR(13),""),CHAR(9),""),CHAR(160),"")," ",""),".",""),"-",""),"/",""),"?",""),"_",""),",",""),"[",""),"]",""),"(",""),")",""),"*","")</f>
        <v/>
      </c>
      <c r="AV266" s="61" t="str">
        <f aca="false">SUBSTITUTE(SUBSTITUTE(SUBSTITUTE(SUBSTITUTE(SUBSTITUTE(SUBSTITUTE(SUBSTITUTE(SUBSTITUTE(SUBSTITUTE(SUBSTITUTE(SUBSTITUTE(SUBSTITUTE(SUBSTITUTE(SUBSTITUTE(SUBSTITUTE(SUBSTITUTE(LOWER(V266&amp;""),CHAR(10),""),CHAR(13),""),CHAR(9),""),CHAR(160),"")," ",""),".",""),"-",""),"/",""),"?",""),"_",""),",",""),"[",""),"]",""),"(",""),")",""),"*","")</f>
        <v/>
      </c>
      <c r="AW266" s="61" t="str">
        <f aca="false">SUBSTITUTE(SUBSTITUTE(SUBSTITUTE(SUBSTITUTE(SUBSTITUTE(SUBSTITUTE(SUBSTITUTE(SUBSTITUTE(SUBSTITUTE(SUBSTITUTE(SUBSTITUTE(SUBSTITUTE(SUBSTITUTE(SUBSTITUTE(SUBSTITUTE(SUBSTITUTE(LOWER(Z266&amp;""),CHAR(10),""),CHAR(13),""),CHAR(9),""),CHAR(160),"")," ",""),".",""),"-",""),"/",""),"?",""),"_",""),",",""),"[",""),"]",""),"(",""),")",""),"*","")</f>
        <v/>
      </c>
      <c r="AX266" s="61" t="str">
        <f aca="false">SUBSTITUTE(SUBSTITUTE(SUBSTITUTE(SUBSTITUTE(SUBSTITUTE(SUBSTITUTE(SUBSTITUTE(SUBSTITUTE(SUBSTITUTE(SUBSTITUTE(SUBSTITUTE(SUBSTITUTE(SUBSTITUTE(SUBSTITUTE(SUBSTITUTE(SUBSTITUTE(LOWER(AE266&amp;""),CHAR(10),""),CHAR(13),""),CHAR(9),""),CHAR(160),"")," ",""),".",""),"-",""),"/",""),"?",""),"_",""),",",""),"[",""),"]",""),"(",""),")",""),"*","")</f>
        <v/>
      </c>
      <c r="AY266" s="61" t="str">
        <f aca="false">SUBSTITUTE(SUBSTITUTE(SUBSTITUTE(SUBSTITUTE(SUBSTITUTE(SUBSTITUTE(SUBSTITUTE(SUBSTITUTE(SUBSTITUTE(SUBSTITUTE(SUBSTITUTE(SUBSTITUTE(SUBSTITUTE(SUBSTITUTE(SUBSTITUTE(SUBSTITUTE(LOWER(W266&amp;""),CHAR(10),""),CHAR(13),""),CHAR(9),""),CHAR(160),"")," ",""),".",""),"-",""),"/",""),"?",""),"_",""),",",""),"[",""),"]",""),"(",""),")",""),"*","")</f>
        <v/>
      </c>
      <c r="AZ266" s="61" t="str">
        <f aca="false">SUBSTITUTE(SUBSTITUTE(SUBSTITUTE(SUBSTITUTE(SUBSTITUTE(SUBSTITUTE(SUBSTITUTE(SUBSTITUTE(SUBSTITUTE(SUBSTITUTE(SUBSTITUTE(SUBSTITUTE(SUBSTITUTE(SUBSTITUTE(SUBSTITUTE(SUBSTITUTE(LOWER(AC266&amp;""),CHAR(10),""),CHAR(13),""),CHAR(9),""),CHAR(160),"")," ",""),".",""),"-",""),"/",""),"?",""),"_",""),",",""),"[",""),"]",""),"(",""),")",""),"*","")</f>
        <v/>
      </c>
      <c r="BA266" s="61" t="str">
        <f aca="false">SUBSTITUTE(SUBSTITUTE(SUBSTITUTE(SUBSTITUTE(SUBSTITUTE(SUBSTITUTE(SUBSTITUTE(SUBSTITUTE(SUBSTITUTE(SUBSTITUTE(SUBSTITUTE(SUBSTITUTE(SUBSTITUTE(SUBSTITUTE(SUBSTITUTE(SUBSTITUTE(LOWER(AA266&amp;""),CHAR(10),""),CHAR(13),""),CHAR(9),""),CHAR(160),"")," ",""),".",""),"-",""),"/",""),"?",""),"_",""),",",""),"[",""),"]",""),"(",""),")",""),"*","")</f>
        <v/>
      </c>
      <c r="BB266" s="61" t="str">
        <f aca="false">IF(AND(TRIM(U266)="Pass",ISNUMBER(AF266)),IF(AF266&lt;&gt;0,"INVALID – qty variance: use Fail or Pass after CA",""),"")&amp;IF(AND(TRIM(U266)="Pass after CA",ISNUMBER(AF266)),IF(AF266&lt;&gt;0,"INVALID – after the corrective action the actual qty must equal expected (update Actual)",""),"")&amp;IF(AND(TRIM(U266)="Pass",TRIM(AB266)&lt;&gt;"",TRIM(AB266)&lt;&gt;"Closed"),"INVALID – corrective action not closed: use Fail, then Pass after CA","")&amp;IF(AND(LEN(BA266)&gt;=2,ISNA(MATCH(LEFT(BA266,255),L_Placeholder,0)),TRIM(AB266)=""),"INVALID – CA status missing for the recorded corrective action","")&amp;IF(AND(TRIM(U266)="Pass after CA",OR(OR(LEN(BA266)&lt;5,ISNUMBER(MATCH(BA266,L_Placeholder,0))),TRIM(AB266)&lt;&gt;"Closed")),"INVALID – corrective action not recorded/closed","")</f>
        <v/>
      </c>
      <c r="BC266" s="61" t="str">
        <f aca="false">" "&amp;TRIM(SUBSTITUTE(SUBSTITUTE(SUBSTITUTE(SUBSTITUTE(SUBSTITUTE(SUBSTITUTE(SUBSTITUTE(SUBSTITUTE(SUBSTITUTE(SUBSTITUTE(SUBSTITUTE(SUBSTITUTE(SUBSTITUTE(SUBSTITUTE(SUBSTITUTE(SUBSTITUTE(SUBSTITUTE(SUBSTITUTE(SUBSTITUTE(SUBSTITUTE(SUBSTITUTE(SUBSTITUTE(SUBSTITUTE(SUBSTITUTE(LOWER(V266&amp;""),CHAR(10)," "),CHAR(13)," "),CHAR(9)," "),CHAR(160)," "),"."," "),","," "),"-"," "),"/"," "),"("," "),")"," "),":"," "),";"," "),"_"," "),"–"," "),"?"," "),"!"," "),"*"," "),"["," "),"]"," "),"'"," "),"#"," "),"+"," "),"&amp;"," "),"\"," "))&amp;" "</f>
        <v>  </v>
      </c>
      <c r="BD266" s="61" t="str">
        <f aca="false">" "&amp;TRIM(SUBSTITUTE(SUBSTITUTE(SUBSTITUTE(SUBSTITUTE(SUBSTITUTE(SUBSTITUTE(SUBSTITUTE(SUBSTITUTE(SUBSTITUTE(SUBSTITUTE(SUBSTITUTE(SUBSTITUTE(SUBSTITUTE(SUBSTITUTE(SUBSTITUTE(SUBSTITUTE(SUBSTITUTE(SUBSTITUTE(SUBSTITUTE(SUBSTITUTE(SUBSTITUTE(SUBSTITUTE(SUBSTITUTE(SUBSTITUTE(LOWER(Z266&amp;""),CHAR(10)," "),CHAR(13)," "),CHAR(9)," "),CHAR(160)," "),"."," "),","," "),"-"," "),"/"," "),"("," "),")"," "),":"," "),";"," "),"_"," "),"–"," "),"?"," "),"!"," "),"*"," "),"["," "),"]"," "),"'"," "),"#"," "),"+"," "),"&amp;"," "),"\"," "))&amp;" "</f>
        <v>  </v>
      </c>
      <c r="BE266" s="61" t="str">
        <f aca="false">" "&amp;TRIM(SUBSTITUTE(SUBSTITUTE(SUBSTITUTE(SUBSTITUTE(SUBSTITUTE(SUBSTITUTE(SUBSTITUTE(SUBSTITUTE(SUBSTITUTE(SUBSTITUTE(SUBSTITUTE(SUBSTITUTE(SUBSTITUTE(SUBSTITUTE(SUBSTITUTE(SUBSTITUTE(SUBSTITUTE(SUBSTITUTE(SUBSTITUTE(SUBSTITUTE(SUBSTITUTE(SUBSTITUTE(SUBSTITUTE(SUBSTITUTE(LOWER(W266&amp;""),CHAR(10)," "),CHAR(13)," "),CHAR(9)," "),CHAR(160)," "),"."," "),","," "),"-"," "),"/"," "),"("," "),")"," "),":"," "),";"," "),"_"," "),"–"," "),"?"," "),"!"," "),"*"," "),"["," "),"]"," "),"'"," "),"#"," "),"+"," "),"&amp;"," "),"\"," "))&amp;" "</f>
        <v>  </v>
      </c>
      <c r="BF266" s="61" t="str">
        <f aca="false">" "&amp;TRIM(SUBSTITUTE(SUBSTITUTE(SUBSTITUTE(SUBSTITUTE(SUBSTITUTE(SUBSTITUTE(SUBSTITUTE(SUBSTITUTE(SUBSTITUTE(SUBSTITUTE(SUBSTITUTE(SUBSTITUTE(SUBSTITUTE(SUBSTITUTE(SUBSTITUTE(SUBSTITUTE(SUBSTITUTE(SUBSTITUTE(SUBSTITUTE(SUBSTITUTE(SUBSTITUTE(SUBSTITUTE(SUBSTITUTE(SUBSTITUTE(LOWER(AC266&amp;""),CHAR(10)," "),CHAR(13)," "),CHAR(9)," "),CHAR(160)," "),"."," "),","," "),"-"," "),"/"," "),"("," "),")"," "),":"," "),";"," "),"_"," "),"–"," "),"?"," "),"!"," "),"*"," "),"["," "),"]"," "),"'"," "),"#"," "),"+"," "),"&amp;"," "),"\"," "))&amp;" "</f>
        <v>  </v>
      </c>
      <c r="BG266" s="61" t="n">
        <f aca="false">IFERROR(IF(AND(TRIM(U266)="Pass",SUMPRODUCT((LEN(BC266)-LEN(SUBSTITUTE(BC266," "&amp;L_ResultBad&amp;" "," ")))/(LEN(L_ResultBad)+1))&gt;SUMPRODUCT((LEN(BC266)-LEN(SUBSTITUTE(BC266," "&amp;L_NegPhrase&amp;" "," ")))/(LEN(L_NegPhrase)+1))),1,0),0)</f>
        <v>0</v>
      </c>
      <c r="BH266" s="61" t="n">
        <f aca="false">IFERROR(IF(SUMPRODUCT((LEN(BC266)-LEN(SUBSTITUTE(BC266," "&amp;L_Pending&amp;" "," ")))/(LEN(L_Pending)+1))&gt;SUMPRODUCT((LEN(BC266)-LEN(SUBSTITUTE(BC266," "&amp;L_PendNeg&amp;" "," ")))/(LEN(L_PendNeg)+1))+SUMPRODUCT((LEN(BC266)-LEN(SUBSTITUTE(BC266," "&amp;L_PendPrep&amp;" "," ")))/(LEN(L_PendPrep)+1)),1,0),1)</f>
        <v>0</v>
      </c>
      <c r="BI266" s="61" t="n">
        <f aca="false">IFERROR(IF(SUMPRODUCT((LEN(BD266)-LEN(SUBSTITUTE(BD266," "&amp;L_PendStrict&amp;" "," ")))/(LEN(L_PendStrict)+1))&gt;SUMPRODUCT((LEN(BD266)-LEN(SUBSTITUTE(BD266," "&amp;L_PendNeg&amp;" "," ")))/(LEN(L_PendNeg)+1)),1,0),1)</f>
        <v>0</v>
      </c>
      <c r="BJ266" s="61" t="n">
        <f aca="false">IFERROR(IF(SUMPRODUCT((LEN(BE266)-LEN(SUBSTITUTE(BE266," "&amp;L_Pending&amp;" "," ")))/(LEN(L_Pending)+1))&gt;SUMPRODUCT((LEN(BE266)-LEN(SUBSTITUTE(BE266," "&amp;L_PendNeg&amp;" "," ")))/(LEN(L_PendNeg)+1))+SUMPRODUCT((LEN(BE266)-LEN(SUBSTITUTE(BE266," "&amp;L_PendPrep&amp;" "," ")))/(LEN(L_PendPrep)+1)),1,0),1)</f>
        <v>0</v>
      </c>
      <c r="BK266" s="61" t="n">
        <f aca="false">IFERROR(IF(SUMPRODUCT((LEN(BF266)-LEN(SUBSTITUTE(BF266," "&amp;L_PendStrict&amp;" "," ")))/(LEN(L_PendStrict)+1))&gt;SUMPRODUCT((LEN(BF266)-LEN(SUBSTITUTE(BF266," "&amp;L_PendNeg&amp;" "," ")))/(LEN(L_PendNeg)+1)),1,0),1)</f>
        <v>0</v>
      </c>
      <c r="BL266" s="61" t="n">
        <f aca="false">IF(ISNA(MATCH(TRIM(S266),L_EvidenceType,0)),0,BZ266)</f>
        <v>0</v>
      </c>
      <c r="BM266" s="61" t="str">
        <f aca="false">SUBSTITUTE(SUBSTITUTE(SUBSTITUTE(SUBSTITUTE(SUBSTITUTE(SUBSTITUTE(SUBSTITUTE(SUBSTITUTE(SUBSTITUTE(LOWER(Z266&amp;""),"1","0"),"2","0"),"3","0"),"4","0"),"5","0"),"6","0"),"7","0"),"8","0"),"9","0")</f>
        <v/>
      </c>
      <c r="BN266" s="61" t="str">
        <f aca="false">SUBSTITUTE(SUBSTITUTE(SUBSTITUTE(SUBSTITUTE(SUBSTITUTE(SUBSTITUTE(SUBSTITUTE(SUBSTITUTE(SUBSTITUTE(SUBSTITUTE(SUBSTITUTE(SUBSTITUTE(SUBSTITUTE(SUBSTITUTE(SUBSTITUTE(SUBSTITUTE(SUBSTITUTE(SUBSTITUTE(SUBSTITUTE(SUBSTITUTE(SUBSTITUTE(SUBSTITUTE(SUBSTITUTE(SUBSTITUTE(SUBSTITUTE(BM266,"b","a"),"c","a"),"d","a"),"e","a"),"f","a"),"g","a"),"h","a"),"i","a"),"j","a"),"k","a"),"l","a"),"m","a"),"n","a"),"o","a"),"p","a"),"q","a"),"r","a"),"s","a"),"t","a"),"u","a"),"v","a"),"w","a"),"x","a"),"y","a"),"z","a")</f>
        <v/>
      </c>
      <c r="BO266" s="61" t="str">
        <f aca="false">SUBSTITUTE(SUBSTITUTE(SUBSTITUTE(SUBSTITUTE(SUBSTITUTE(SUBSTITUTE(SUBSTITUTE(SUBSTITUTE(SUBSTITUTE(LOWER(W266&amp;""),"1","0"),"2","0"),"3","0"),"4","0"),"5","0"),"6","0"),"7","0"),"8","0"),"9","0")</f>
        <v/>
      </c>
      <c r="BP266" s="61" t="str">
        <f aca="false">SUBSTITUTE(SUBSTITUTE(SUBSTITUTE(SUBSTITUTE(SUBSTITUTE(SUBSTITUTE(SUBSTITUTE(SUBSTITUTE(SUBSTITUTE(SUBSTITUTE(SUBSTITUTE(SUBSTITUTE(SUBSTITUTE(SUBSTITUTE(SUBSTITUTE(SUBSTITUTE(SUBSTITUTE(SUBSTITUTE(SUBSTITUTE(SUBSTITUTE(SUBSTITUTE(SUBSTITUTE(SUBSTITUTE(SUBSTITUTE(SUBSTITUTE(BO266,"b","a"),"c","a"),"d","a"),"e","a"),"f","a"),"g","a"),"h","a"),"i","a"),"j","a"),"k","a"),"l","a"),"m","a"),"n","a"),"o","a"),"p","a"),"q","a"),"r","a"),"s","a"),"t","a"),"u","a"),"v","a"),"w","a"),"x","a"),"y","a"),"z","a")</f>
        <v/>
      </c>
      <c r="BQ266" s="61" t="n">
        <f aca="false">IFERROR(IF(AND(ISERROR(SEARCH(" mh"," "&amp;LOWER(W266))),ISNA(MATCH(LEFT(TRIM(BP266),255),{"0000a","000a","00a","0000aa","000aa","00aa","0aa","0000aaa","000aaa","00a00","0a00","0000-0000","00:00","a00","a0","00.00.0000","00/00/0000","00-00-0000","0000-00-00","0000/00/00","0000.00.00","00.00.00","00/00/00","00-00-00","0.00.0000","0/00/0000","0-00-0000"},0)),ISNA(MATCH(LEFT(TRIM(CA266),255),{"0000a","000a","00a","0000aa","000aa","00aa","0aa","0000aaa","000aaa","00a00","0a00","0000-0000","00:00","a00","a0","00.00.0000","00/00/0000","00-00-0000","0000-00-00","0000/00/00","0000.00.00","00.00.00","00/00/00","00-00-00","0.00.0000","0/00/0000","0-00-0000"},0)),LEN(CB266)&gt;=3,NOT(OR(SUBSTITUTE(CB266,"0","")="",AND(LEN(CB266)&gt;=4,CB266=REPT(LEFT(CB266),LEN(CB266))),ISNUMBER(MATCH(CB266,{"123","1234","12345","123456","1234567","12345678","0123","01234","012345","98765","987654","54321"},0)),AND(LEN(CB266)=8,LEFT(CB266,3)="202"))),OR(AND((LEN(CA266)-LEN(SUBSTITUTE(CA266,"a","")))&gt;=1,SUMPRODUCT(--ISNUMBER(SEARCH({"a0","a-0","a_0","a/0","a.0","a#0","0a","0-a","0_a","0/a"},BP266)))&gt;0),ISNUMBER(SEARCH("000000",BP266)))),1,0),0)</f>
        <v>0</v>
      </c>
      <c r="BR266" s="61" t="n">
        <f aca="false">IFERROR(LEN(SUBSTITUTE(CC266," ",""))-SUMPRODUCT((LEN(CC266)-LEN(SUBSTITUTE(CC266," "&amp;L_Role&amp;" "," ")))/(LEN(L_Role)+1)*LEN(L_Role)),0)</f>
        <v>0</v>
      </c>
      <c r="BS266" s="61" t="n">
        <f aca="false">IFERROR(LEN(SUBSTITUTE(CD266," ",""))-SUMPRODUCT((LEN(CD266)-LEN(SUBSTITUTE(CD266," "&amp;L_Role&amp;" "," ")))/(LEN(L_Role)+1)*LEN(L_Role)),0)</f>
        <v>0</v>
      </c>
      <c r="BT2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266,"revision",""),"version",""),"jan",""),"feb",""),"mar",""),"apr",""),"may",""),"jun",""),"jul",""),"aug",""),"sep",""),"oct",""),"nov",""),"dec",""),"utc",""),"gmt",""),"myt",""),"bst",""),"rev",""),"ver",""),"b","a"),"c","a"),"d","a"),"e","a"),"f","a"),"g","a"),"h","a"),"i","a"),"j","a"),"k","a"),"l","a"),"m","a"),"n","a"),"o","a"),"p","a"),"q","a"),"r","a"),"s","a"),"t","a"),"u","a"),"v","a"),"w","a"),"x","a"),"y","a"),"z","a")</f>
        <v/>
      </c>
      <c r="BU266" s="61" t="str">
        <f aca="false">SUBSTITUTE(SUBSTITUTE(SUBSTITUTE(SUBSTITUTE(SUBSTITUTE(SUBSTITUTE(SUBSTITUTE(SUBSTITUTE(SUBSTITUTE(SUBSTITUTE(LEFT(BM266,FIND("0",BM266&amp;"0")-1),"-",""),"_",""),"/",""),".",""),"#",""),"\\",""),":","")," ",""),"(",""),")","")</f>
        <v/>
      </c>
      <c r="BV266" s="61" t="n">
        <f aca="false">0</f>
        <v>0</v>
      </c>
      <c r="BW2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266&amp;""),"a",""),"b",""),"c",""),"d",""),"e",""),"f",""),"g",""),"h",""),"i",""),"j",""),"k",""),"l",""),"m",""),"n",""),"o",""),"p",""),"q",""),"r",""),"s",""),"t",""),"u",""),"v",""),"w",""),"x",""),"y",""),"z",""),"-",""),"_",""),"/",""),".",""),"#",""),"\\",""),":","")," ",""),"(",""),")","")</f>
        <v/>
      </c>
      <c r="BX266" s="61" t="str">
        <f aca="false">SUBSTITUTE(SUBSTITUTE(SUBSTITUTE(SUBSTITUTE(SUBSTITUTE(SUBSTITUTE(SUBSTITUTE(SUBSTITUTE(SUBSTITUTE(SUBSTITUTE(SUBSTITUTE(BM266,"0",""),"-",""),"_",""),"/",""),".",""),"#",""),"\\",""),":","")," ",""),"(",""),")","")</f>
        <v/>
      </c>
      <c r="BY266" s="62" t="n">
        <f aca="false">Q266-T7EarlyD*24/24</f>
        <v>46284.0659722222</v>
      </c>
      <c r="BZ266" s="61" t="n">
        <f aca="false">IFERROR(IF(IF(TRIM(S266)="Link / file path",AND(LEN(TRIM(Z266))&gt;=5,SUMPRODUCT(--ISNUMBER(SEARCH({"http","www.","\\",":\",".pdf",".jpg",".jpeg",".png",".heic",".xls",".doc",".msg",".eml",".ppt",".txt",".zip"},Z266)))&gt;0),AND(ISERROR(FIND(" ",TRIM(Z266))),NOT(OR(SUMPRODUCT(--ISNUMBER(FIND({",",";","&amp;","+"},Z266)))&gt;0,SUMPRODUCT(--ISNUMBER(SEARCH({"0/aa","0\\aa"},BN266)))&gt;0)),NOT(SUMPRODUCT(--ISNUMBER(SEARCH({"http","www.","\\",":\",".pdf",".jpg",".jpeg",".png",".heic",".xls",".doc",".msg",".eml",".ppt",".txt",".zip"},Z266)))&gt;0),NOT(LOWER(TRIM(Z266))=LOWER(Flights!$F$12)),ISNA(MATCH(BU266,{"mh","rev","revision","ver","version","v","r","a","b","seat","tray","row","gate","bay","stand","page","pg","item","line","no","cart","galley","flight","flt","table","box","bag","oven","etd","eta","std","sta","atd","ata","qty","pax","x","time","tel","ph","mob","day","wk","week","utc","gmt","myt","lt"},0)),NOT(OR(ISNUMBER(MATCH(LEFT(BN266,255),{"0000a","000a","00a","0000aa","000aa","00aa","0aa","0000aaa","000aaa","00a00","0a00","0000-0000","00:00","a00","a0","00.00.0000","00/00/0000","00-00-0000","0000-00-00","0000/00/00","0000.00.00","00.00.00","00/00/00","00-00-00","0.00.0000","0/00/0000","0-00-0000"},0)),ISNUMBER(MATCH(LEFT(BT266,255),{"0000a","000a","00a","0000aa","000aa","00aa","0aa","0000aaa","000aaa","00a00","0a00","0000-0000","00:00","a00","a0","00.00.0000","00/00/0000","00-00-0000","0000-00-00","0000/00/00","0000.00.00","00.00.00","00/00/00","00-00-00","0.00.0000","0/00/0000","0-00-0000"},0)))),NOT(OR(AND(BW266&lt;&gt;"",SUBSTITUTE(BW266,"0","")=""),AND(LEN(BW266)&gt;=4,BW266=REPT(LEFT(BW266),LEN(BW266))),ISNUMBER(MATCH(BW266,{"123","1234","12345","123456","1234567","12345678","0123","01234","012345","98765","987654","54321"},0)),ISNUMBER(MATCH(BX266,{"x","xx","xxx","xxxx","xxxxx","abc","abcd","nil","na","nan","test","tbc","tba","tbd","dummy","sample","example","eg","zz","zzz","none","null","xyz","qwe","asd","id","ref"},0)),AND(LEN(BW266)=8,BX266="",OR(LEFT(BW266,3)="202",ISNUMBER(MATCH(RIGHT(BW266,4),{"2025","2026","2027"},0)))))),OR(AND((LEN(BT266)-LEN(SUBSTITUTE(BT266,"a","")))&gt;=1,(LEN(BN266)-LEN(SUBSTITUTE(BN266,"0","")))&gt;=2,SUMPRODUCT(--ISNUMBER(SEARCH({"a0","a-0","a_0","a/0","a.0","a#0","0a","0-a","0_a","0/a"},BN266)))&gt;0),AND((LEN(BN266)-LEN(SUBSTITUTE(BN266,"a","")))=0,(LEN(BN266)-LEN(SUBSTITUTE(BN266,"0","")))&gt;=5)))),1,0),0)</f>
        <v>0</v>
      </c>
      <c r="CA2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266,"revision",""),"version",""),"jan",""),"feb",""),"mar",""),"apr",""),"may",""),"jun",""),"jul",""),"aug",""),"sep",""),"oct",""),"nov",""),"dec",""),"utc",""),"gmt",""),"myt",""),"bst",""),"rev",""),"ver",""),"b","a"),"c","a"),"d","a"),"e","a"),"f","a"),"g","a"),"h","a"),"i","a"),"j","a"),"k","a"),"l","a"),"m","a"),"n","a"),"o","a"),"p","a"),"q","a"),"r","a"),"s","a"),"t","a"),"u","a"),"v","a"),"w","a"),"x","a"),"y","a"),"z","a")</f>
        <v/>
      </c>
      <c r="CB2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266&amp;""),"a",""),"b",""),"c",""),"d",""),"e",""),"f",""),"g",""),"h",""),"i",""),"j",""),"k",""),"l",""),"m",""),"n",""),"o",""),"p",""),"q",""),"r",""),"s",""),"t",""),"u",""),"v",""),"w",""),"x",""),"y",""),"z",""),"-",""),"_",""),"/",""),".",""),"#",""),"\\",""),":","")," ",""),"(",""),")","")</f>
        <v/>
      </c>
      <c r="CC266" s="0" t="str">
        <f aca="false">" "&amp;TRIM(SUBSTITUTE(SUBSTITUTE(SUBSTITUTE(SUBSTITUTE(SUBSTITUTE(SUBSTITUTE(SUBSTITUTE(SUBSTITUTE(SUBSTITUTE(SUBSTITUTE(SUBSTITUTE(SUBSTITUTE(SUBSTITUTE(SUBSTITUTE(SUBSTITUTE(SUBSTITUTE(SUBSTITUTE(SUBSTITUTE(SUBSTITUTE(SUBSTITUTE(SUBSTITUTE(SUBSTITUTE(SUBSTITUTE(SUBSTITUTE(LOWER(T266&amp;""),CHAR(10)," "),CHAR(13)," "),CHAR(9)," "),CHAR(160)," "),"."," "),","," "),"-"," "),"/"," "),"("," "),")"," "),":"," "),";"," "),"_"," "),"–"," "),"?"," "),"!"," "),"*"," "),"["," "),"]"," "),"'"," "),"#"," "),"+"," "),"&amp;"," "),"\"," "))&amp;" "</f>
        <v>  </v>
      </c>
      <c r="CD266" s="0" t="str">
        <f aca="false">" "&amp;TRIM(SUBSTITUTE(SUBSTITUTE(SUBSTITUTE(SUBSTITUTE(SUBSTITUTE(SUBSTITUTE(SUBSTITUTE(SUBSTITUTE(SUBSTITUTE(SUBSTITUTE(SUBSTITUTE(SUBSTITUTE(SUBSTITUTE(SUBSTITUTE(SUBSTITUTE(SUBSTITUTE(SUBSTITUTE(SUBSTITUTE(SUBSTITUTE(SUBSTITUTE(SUBSTITUTE(SUBSTITUTE(SUBSTITUTE(SUBSTITUTE(LOWER(AE266&amp;""),CHAR(10)," "),CHAR(13)," "),CHAR(9)," "),CHAR(160)," "),"."," "),","," "),"-"," "),"/"," "),"("," "),")"," "),":"," "),";"," "),"_"," "),"–"," "),"?"," "),"!"," "),"*"," "),"["," "),"]"," "),"'"," "),"#"," "),"+"," "),"&amp;"," "),"\"," "))&amp;" "</f>
        <v>  </v>
      </c>
      <c r="CE266" s="68" t="n">
        <f aca="false">IFERROR(IF(AND(LEN(AU266)&gt;0,LEN(AU266)=LEN(AX266),OR(TRIM(MID(SUBSTITUTE(TRIM(CC266)," ",REPT(" ",60)),1,60))="",ISNUMBER(SEARCH(" "&amp;TRIM(MID(SUBSTITUTE(TRIM(CC266)," ",REPT(" ",60)),1,60))&amp;" ",CD266))),OR(TRIM(MID(SUBSTITUTE(TRIM(CC266)," ",REPT(" ",60)),61,60))="",ISNUMBER(SEARCH(" "&amp;TRIM(MID(SUBSTITUTE(TRIM(CC266)," ",REPT(" ",60)),61,60))&amp;" ",CD266))),OR(TRIM(MID(SUBSTITUTE(TRIM(CC266)," ",REPT(" ",60)),121,60))="",ISNUMBER(SEARCH(" "&amp;TRIM(MID(SUBSTITUTE(TRIM(CC266)," ",REPT(" ",60)),121,60))&amp;" ",CD266)))),1,0),0)</f>
        <v>0</v>
      </c>
      <c r="CG266" s="68" t="n">
        <f aca="false">IFERROR(LEN(SUBSTITUTE(BF266," ",""))-SUMPRODUCT((LEN(BF266)-LEN(SUBSTITUTE(BF266," "&amp;L_NAFiller&amp;" "," ")))/(LEN(L_NAFiller)+1)*LEN(L_NAFiller)),0)</f>
        <v>0</v>
      </c>
    </row>
    <row r="267" customFormat="false" ht="39.75" hidden="false" customHeight="true" outlineLevel="0" collapsed="false">
      <c r="A267" s="57" t="s">
        <v>838</v>
      </c>
      <c r="B267" s="57" t="s">
        <v>238</v>
      </c>
      <c r="C267" s="57" t="str">
        <f aca="false">Flights!$F$12</f>
        <v>MH0752</v>
      </c>
      <c r="D267" s="58" t="n">
        <f aca="false">Flights!$D$12</f>
        <v>46305</v>
      </c>
      <c r="E267" s="57" t="str">
        <f aca="false">Flights!$G$12&amp;"-"&amp;Flights!$H$12</f>
        <v>KUL-HAN</v>
      </c>
      <c r="F267" s="57" t="str">
        <f aca="false">Flights!$K$12</f>
        <v>EY</v>
      </c>
      <c r="G267" s="57" t="s">
        <v>81</v>
      </c>
      <c r="H267" s="57" t="s">
        <v>378</v>
      </c>
      <c r="I267" s="57" t="s">
        <v>398</v>
      </c>
      <c r="J267" s="57" t="s">
        <v>402</v>
      </c>
      <c r="K267" s="67" t="s">
        <v>403</v>
      </c>
      <c r="L267" s="67" t="s">
        <v>382</v>
      </c>
      <c r="M267" s="67"/>
      <c r="N267" s="67" t="s">
        <v>383</v>
      </c>
      <c r="O267" s="67"/>
      <c r="P267" s="57" t="s">
        <v>187</v>
      </c>
      <c r="Q267" s="59" t="n">
        <f aca="false">ROUND((Flights!$AC$12)*1440,0)/1440</f>
        <v>46298.0659722222</v>
      </c>
      <c r="R267" s="59" t="n">
        <f aca="false">Q267+(IF(AND(INDEX(TZ_DSTS,MATCH(P267,TZ_STN,0))&lt;&gt;"",Q267&gt;=INDEX(TZ_DSTS,MATCH(P267,TZ_STN,0)),Q267&lt;INDEX(TZ_DSTE,MATCH(P267,TZ_STN,0))),INDEX(TZ_DST,MATCH(P267,TZ_STN,0)),INDEX(TZ_STD,MATCH(P267,TZ_STN,0))))/24</f>
        <v>46298.3993055556</v>
      </c>
      <c r="S267" s="60"/>
      <c r="T267" s="60"/>
      <c r="U267" s="60"/>
      <c r="V267" s="60"/>
      <c r="W267" s="61"/>
      <c r="X267" s="60"/>
      <c r="Y267" s="60"/>
      <c r="Z267" s="60"/>
      <c r="AA267" s="60"/>
      <c r="AB267" s="60"/>
      <c r="AC267" s="60"/>
      <c r="AD267" s="66"/>
      <c r="AE267" s="60"/>
      <c r="AF267" s="61" t="str">
        <f aca="false">IF(AND(ISNUMBER(X267),ISNUMBER(Y267)),Y267-X267,"")</f>
        <v/>
      </c>
      <c r="AG267" s="62" t="str">
        <f aca="false">IF(ISNUMBER(AD267),AD267-(IF(AND(INDEX(TZ_DSTS,MATCH(P267,TZ_STN,0))&lt;&gt;"",(AD267-INDEX(TZ_STD,MATCH(P267,TZ_STN,0))/24)&gt;=INDEX(TZ_DSTS,MATCH(P267,TZ_STN,0)),(AD267-INDEX(TZ_STD,MATCH(P267,TZ_STN,0))/24)&lt;INDEX(TZ_DSTE,MATCH(P267,TZ_STN,0))),INDEX(TZ_DST,MATCH(P267,TZ_STN,0)),INDEX(TZ_STD,MATCH(P267,TZ_STN,0))))/24,"")</f>
        <v/>
      </c>
      <c r="AH267" s="65" t="str">
        <f aca="false">IFERROR(IF(N267="N/A – rule",IF(OR(TRIM(U267)="",TRIM(U267)="N/A",TRIM(U267)="Not started"),"N/A – RULE","INVALID – this check does not apply to this aircraft: clear the status (or correct the fleet on Flights)"),IF(TRIM(U267)="N/A",IF(AT267=0,"INVALID – N/A not permitted for this check",IF(AND(TRIM(AB267)&lt;&gt;"",TRIM(AB267)&lt;&gt;"Closed"),"INVALID – corrective action still open",IF(AND(NOT(OR(LEN(AZ267)&lt;15,ISNUMBER(MATCH(AZ267,L_Placeholder,0)))),BK267=0,CG267&gt;=8,NOT(OR(LEN(AU267)&lt;2,ISNUMBER(MATCH(AU267,L_Placeholder,0)))),BR267&gt;=3,NOT(OR(LEN(AX267)&lt;2,ISNUMBER(MATCH(AX267,L_Placeholder,0)))),BS267&gt;=3,TRIM(AE267)&lt;&gt;TRIM(T267),AX267&lt;&gt;AU267,CE267=0),"N/A – JUSTIFIED","INVALID – N/A needs a real, settled reason (not 'not applicable' / 'as above' / TBC), a named PIC and a different named verifier"))),IF(OR(TRIM(U267)="Pass",TRIM(U267)="Pass after CA"),IF(NOT(ISNUMBER(AD267)),"INVALID – completion time missing",IF(OR(OR(LEN(AU267)&lt;2,ISNUMBER(MATCH(AU267,L_Placeholder,0))),BR267&lt;3),"INVALID – PIC missing or not a named person (a role such as QA / CSM is not a name)",IF(OR(LEN(AV267)&lt;2,ISNUMBER(MATCH(AV267,L_Placeholder,0))),"INVALID – result / assessment missing",IF(OR(OR(LEN(AW267)&lt;3,ISNUMBER(MATCH(AW267,L_Placeholder,0))),SUMPRODUCT(--ISNUMBER(SEARCH(" "&amp;L_EvidencePhrase&amp;" ",BD267)))&gt;0,BI267=1),"INVALID – evidence missing, placeholder or not yet on file",IF(ISNA(MATCH(TRIM(S267),L_EvidenceType,0)),"INVALID – choose the evidence type from the list (column S)",IF(BL267=0,"INVALID – evidence ID must be the record's own ID only (e.g. SF-2210, IMG_2231, 1045521); a link / file name needs type 'Link / file path'",IF(OR(OR(LEN(AX267)&lt;2,ISNUMBER(MATCH(AX267,L_Placeholder,0))),BS267&lt;3),"INVALID – verifier missing or not a named person (a role such as QA / CSM is not a name)",IF(OR(AX267=AU267,CE267=1,AND(LEN(AU267)&gt;=4,ISNUMBER(SEARCH(AU267,AX267))),AND(LEN(AX267)&gt;=4,ISNUMBER(SEARCH(AX267,AU267)))),"INVALID – verifier must be a different, named person (not the PIC or a role)",IF(BH267=1,"INVALID – result not yet available (awaiting / TBC)",IF(BG267=1,"INVALID – result describes a problem: record Fail, then Pass after CA (or reword if it is not a problem)",IF(BV267=1,"INVALID – wording says not on board: an on-board confirmation needs the item loaded",IF(AND(AQ267=1,OR(OR(LEN(AY267)&lt;3,ISNUMBER(MATCH(AY267,L_Placeholder,0))),BJ267=1,BQ267=0)),"INVALID – batch ID missing, placeholder or not an ID (e.g. PASB-261008-BC-017)",IF(AND(AR267=1,OR(NOT(ISNUMBER(X267)),NOT(ISNUMBER(Y267)))),"INVALID – expected/actual qty missing",IF(AND(AR267=1,OR(X267&lt;=0,Y267&lt;0)),"INVALID – expected qty must be above 0 and actual not negative",IF(BB267&lt;&gt;"",BB267,IF(AND(AS267=1,Documents!$J$12&lt;&gt;"ON FILE"),"INVALID – GLD not on file (Documents sheet)",IF(AND(AS267=2,Documents!$O$12&lt;&gt;"ON FILE"),"INVALID – menu checklist not on file (Documents sheet)",IF(AND(AS267=3,NOT(ISNUMBER(Flights!$AX$12))),"INVALID – enter carrying flight KUL departure (Flights AX)",IF(AND(AS267=3,OR(Flights!$AZ$12&gt;Flights!$AA$12,Flights!$AX$12&lt;Flights!$AA$12-3)),"INVALID – carrying flight (Flights AX) cannot arrive before this leg's STD, or is over 3 days early",IF(AG267&gt;AsOfUTC,"INVALID – completion time is in the future",IF(AND(ISNUMBER(BY267),AG267&lt;BY267),IF(H267="Physical uplift","INVALID – before uplift window (cannot confirm loading)","INVALID – before valid window"),IF(AG267&gt;Flights!$AA$12,"INVALID – completed after departure (cannot establish readiness)",IF(AND(H267="Preparation",AG267&gt;=IF(ISNUMBER(Flights!$BA$12),MIN(Flights!$BA$12,Flights!$AA$12),Flights!$AA$12)),"INVALID – completed after loading / departure (cannot establish readiness)",IF(AND(H267="Physical uplift",AG267&gt;Q267),"INVALID – recorded after the loading flight departed",IF(AG267&gt;Q267,"COMPLETE – LATE","COMPLETE"))))))))))))))))))))))))),IF(TRIM(U267)="Fail","FAIL – DISCREPANCY",IF(AND(TRIM(U267)&lt;&gt;"",TRIM(U267)&lt;&gt;"Not started",TRIM(U267)&lt;&gt;"In progress"),"INVALID – unrecognised status (use the list)",IF(AsOfUTC&gt;Q267,"OVERDUE",IF(N267="Clarification required","OPEN – CLARIFICATION","OPEN"))))))),"INVALID – error value in an input cell")</f>
        <v>OPEN</v>
      </c>
      <c r="AI267" s="61" t="n">
        <f aca="false">IF(OR(AH267="N/A – RULE",AH267="N/A – JUSTIFIED"),0,1)</f>
        <v>1</v>
      </c>
      <c r="AJ267" s="61" t="n">
        <f aca="false">IF(LEFT(AH267,8)="COMPLETE",1,0)</f>
        <v>0</v>
      </c>
      <c r="AK267" s="61" t="n">
        <f aca="false">IF(AND(AI267=1,AJ267=0,AsOfUTC&gt;Q267),1,0)</f>
        <v>0</v>
      </c>
      <c r="AL267" s="61" t="n">
        <f aca="false">IFERROR(IF(AND(AI267=1,OR(TRIM(U267)="Fail",AND(TRIM(AB267)&lt;&gt;"",TRIM(AB267)&lt;&gt;"Closed"),AND(ISNUMBER(AF267),AF267&lt;&gt;0,TRIM(U267)&lt;&gt;"Pass after CA"))),1,0),1)</f>
        <v>0</v>
      </c>
      <c r="AM267" s="61" t="n">
        <f aca="false">IF(LEFT(AH267,7)="INVALID",1,0)</f>
        <v>0</v>
      </c>
      <c r="AN267" s="61" t="n">
        <f aca="false">IF(AND(N267="Clarification required",AI267=1,AJ267=0),1,0)</f>
        <v>0</v>
      </c>
      <c r="AO267" s="61" t="str">
        <f aca="false">IF(AK267=1,SUM(AK$5:AK267),"")</f>
        <v/>
      </c>
      <c r="AP267" s="61" t="str">
        <f aca="false">IF(AL267=1,SUM(AL$5:AL267),"")</f>
        <v/>
      </c>
      <c r="AQ267" s="61" t="n">
        <v>0</v>
      </c>
      <c r="AR267" s="61" t="n">
        <v>0</v>
      </c>
      <c r="AS267" s="61" t="n">
        <v>0</v>
      </c>
      <c r="AT267" s="61" t="n">
        <v>0</v>
      </c>
      <c r="AU267" s="61" t="str">
        <f aca="false">SUBSTITUTE(SUBSTITUTE(SUBSTITUTE(SUBSTITUTE(SUBSTITUTE(SUBSTITUTE(SUBSTITUTE(SUBSTITUTE(SUBSTITUTE(SUBSTITUTE(SUBSTITUTE(SUBSTITUTE(SUBSTITUTE(SUBSTITUTE(SUBSTITUTE(SUBSTITUTE(LOWER(T267&amp;""),CHAR(10),""),CHAR(13),""),CHAR(9),""),CHAR(160),"")," ",""),".",""),"-",""),"/",""),"?",""),"_",""),",",""),"[",""),"]",""),"(",""),")",""),"*","")</f>
        <v/>
      </c>
      <c r="AV267" s="61" t="str">
        <f aca="false">SUBSTITUTE(SUBSTITUTE(SUBSTITUTE(SUBSTITUTE(SUBSTITUTE(SUBSTITUTE(SUBSTITUTE(SUBSTITUTE(SUBSTITUTE(SUBSTITUTE(SUBSTITUTE(SUBSTITUTE(SUBSTITUTE(SUBSTITUTE(SUBSTITUTE(SUBSTITUTE(LOWER(V267&amp;""),CHAR(10),""),CHAR(13),""),CHAR(9),""),CHAR(160),"")," ",""),".",""),"-",""),"/",""),"?",""),"_",""),",",""),"[",""),"]",""),"(",""),")",""),"*","")</f>
        <v/>
      </c>
      <c r="AW267" s="61" t="str">
        <f aca="false">SUBSTITUTE(SUBSTITUTE(SUBSTITUTE(SUBSTITUTE(SUBSTITUTE(SUBSTITUTE(SUBSTITUTE(SUBSTITUTE(SUBSTITUTE(SUBSTITUTE(SUBSTITUTE(SUBSTITUTE(SUBSTITUTE(SUBSTITUTE(SUBSTITUTE(SUBSTITUTE(LOWER(Z267&amp;""),CHAR(10),""),CHAR(13),""),CHAR(9),""),CHAR(160),"")," ",""),".",""),"-",""),"/",""),"?",""),"_",""),",",""),"[",""),"]",""),"(",""),")",""),"*","")</f>
        <v/>
      </c>
      <c r="AX267" s="61" t="str">
        <f aca="false">SUBSTITUTE(SUBSTITUTE(SUBSTITUTE(SUBSTITUTE(SUBSTITUTE(SUBSTITUTE(SUBSTITUTE(SUBSTITUTE(SUBSTITUTE(SUBSTITUTE(SUBSTITUTE(SUBSTITUTE(SUBSTITUTE(SUBSTITUTE(SUBSTITUTE(SUBSTITUTE(LOWER(AE267&amp;""),CHAR(10),""),CHAR(13),""),CHAR(9),""),CHAR(160),"")," ",""),".",""),"-",""),"/",""),"?",""),"_",""),",",""),"[",""),"]",""),"(",""),")",""),"*","")</f>
        <v/>
      </c>
      <c r="AY267" s="61" t="str">
        <f aca="false">SUBSTITUTE(SUBSTITUTE(SUBSTITUTE(SUBSTITUTE(SUBSTITUTE(SUBSTITUTE(SUBSTITUTE(SUBSTITUTE(SUBSTITUTE(SUBSTITUTE(SUBSTITUTE(SUBSTITUTE(SUBSTITUTE(SUBSTITUTE(SUBSTITUTE(SUBSTITUTE(LOWER(W267&amp;""),CHAR(10),""),CHAR(13),""),CHAR(9),""),CHAR(160),"")," ",""),".",""),"-",""),"/",""),"?",""),"_",""),",",""),"[",""),"]",""),"(",""),")",""),"*","")</f>
        <v/>
      </c>
      <c r="AZ267" s="61" t="str">
        <f aca="false">SUBSTITUTE(SUBSTITUTE(SUBSTITUTE(SUBSTITUTE(SUBSTITUTE(SUBSTITUTE(SUBSTITUTE(SUBSTITUTE(SUBSTITUTE(SUBSTITUTE(SUBSTITUTE(SUBSTITUTE(SUBSTITUTE(SUBSTITUTE(SUBSTITUTE(SUBSTITUTE(LOWER(AC267&amp;""),CHAR(10),""),CHAR(13),""),CHAR(9),""),CHAR(160),"")," ",""),".",""),"-",""),"/",""),"?",""),"_",""),",",""),"[",""),"]",""),"(",""),")",""),"*","")</f>
        <v/>
      </c>
      <c r="BA267" s="61" t="str">
        <f aca="false">SUBSTITUTE(SUBSTITUTE(SUBSTITUTE(SUBSTITUTE(SUBSTITUTE(SUBSTITUTE(SUBSTITUTE(SUBSTITUTE(SUBSTITUTE(SUBSTITUTE(SUBSTITUTE(SUBSTITUTE(SUBSTITUTE(SUBSTITUTE(SUBSTITUTE(SUBSTITUTE(LOWER(AA267&amp;""),CHAR(10),""),CHAR(13),""),CHAR(9),""),CHAR(160),"")," ",""),".",""),"-",""),"/",""),"?",""),"_",""),",",""),"[",""),"]",""),"(",""),")",""),"*","")</f>
        <v/>
      </c>
      <c r="BB267" s="61" t="str">
        <f aca="false">IF(AND(TRIM(U267)="Pass",ISNUMBER(AF267)),IF(AF267&lt;&gt;0,"INVALID – qty variance: use Fail or Pass after CA",""),"")&amp;IF(AND(TRIM(U267)="Pass after CA",ISNUMBER(AF267)),IF(AF267&lt;&gt;0,"INVALID – after the corrective action the actual qty must equal expected (update Actual)",""),"")&amp;IF(AND(TRIM(U267)="Pass",TRIM(AB267)&lt;&gt;"",TRIM(AB267)&lt;&gt;"Closed"),"INVALID – corrective action not closed: use Fail, then Pass after CA","")&amp;IF(AND(LEN(BA267)&gt;=2,ISNA(MATCH(LEFT(BA267,255),L_Placeholder,0)),TRIM(AB267)=""),"INVALID – CA status missing for the recorded corrective action","")&amp;IF(AND(TRIM(U267)="Pass after CA",OR(OR(LEN(BA267)&lt;5,ISNUMBER(MATCH(BA267,L_Placeholder,0))),TRIM(AB267)&lt;&gt;"Closed")),"INVALID – corrective action not recorded/closed","")</f>
        <v/>
      </c>
      <c r="BC267" s="61" t="str">
        <f aca="false">" "&amp;TRIM(SUBSTITUTE(SUBSTITUTE(SUBSTITUTE(SUBSTITUTE(SUBSTITUTE(SUBSTITUTE(SUBSTITUTE(SUBSTITUTE(SUBSTITUTE(SUBSTITUTE(SUBSTITUTE(SUBSTITUTE(SUBSTITUTE(SUBSTITUTE(SUBSTITUTE(SUBSTITUTE(SUBSTITUTE(SUBSTITUTE(SUBSTITUTE(SUBSTITUTE(SUBSTITUTE(SUBSTITUTE(SUBSTITUTE(SUBSTITUTE(LOWER(V267&amp;""),CHAR(10)," "),CHAR(13)," "),CHAR(9)," "),CHAR(160)," "),"."," "),","," "),"-"," "),"/"," "),"("," "),")"," "),":"," "),";"," "),"_"," "),"–"," "),"?"," "),"!"," "),"*"," "),"["," "),"]"," "),"'"," "),"#"," "),"+"," "),"&amp;"," "),"\"," "))&amp;" "</f>
        <v>  </v>
      </c>
      <c r="BD267" s="61" t="str">
        <f aca="false">" "&amp;TRIM(SUBSTITUTE(SUBSTITUTE(SUBSTITUTE(SUBSTITUTE(SUBSTITUTE(SUBSTITUTE(SUBSTITUTE(SUBSTITUTE(SUBSTITUTE(SUBSTITUTE(SUBSTITUTE(SUBSTITUTE(SUBSTITUTE(SUBSTITUTE(SUBSTITUTE(SUBSTITUTE(SUBSTITUTE(SUBSTITUTE(SUBSTITUTE(SUBSTITUTE(SUBSTITUTE(SUBSTITUTE(SUBSTITUTE(SUBSTITUTE(LOWER(Z267&amp;""),CHAR(10)," "),CHAR(13)," "),CHAR(9)," "),CHAR(160)," "),"."," "),","," "),"-"," "),"/"," "),"("," "),")"," "),":"," "),";"," "),"_"," "),"–"," "),"?"," "),"!"," "),"*"," "),"["," "),"]"," "),"'"," "),"#"," "),"+"," "),"&amp;"," "),"\"," "))&amp;" "</f>
        <v>  </v>
      </c>
      <c r="BE267" s="61" t="str">
        <f aca="false">" "&amp;TRIM(SUBSTITUTE(SUBSTITUTE(SUBSTITUTE(SUBSTITUTE(SUBSTITUTE(SUBSTITUTE(SUBSTITUTE(SUBSTITUTE(SUBSTITUTE(SUBSTITUTE(SUBSTITUTE(SUBSTITUTE(SUBSTITUTE(SUBSTITUTE(SUBSTITUTE(SUBSTITUTE(SUBSTITUTE(SUBSTITUTE(SUBSTITUTE(SUBSTITUTE(SUBSTITUTE(SUBSTITUTE(SUBSTITUTE(SUBSTITUTE(LOWER(W267&amp;""),CHAR(10)," "),CHAR(13)," "),CHAR(9)," "),CHAR(160)," "),"."," "),","," "),"-"," "),"/"," "),"("," "),")"," "),":"," "),";"," "),"_"," "),"–"," "),"?"," "),"!"," "),"*"," "),"["," "),"]"," "),"'"," "),"#"," "),"+"," "),"&amp;"," "),"\"," "))&amp;" "</f>
        <v>  </v>
      </c>
      <c r="BF267" s="61" t="str">
        <f aca="false">" "&amp;TRIM(SUBSTITUTE(SUBSTITUTE(SUBSTITUTE(SUBSTITUTE(SUBSTITUTE(SUBSTITUTE(SUBSTITUTE(SUBSTITUTE(SUBSTITUTE(SUBSTITUTE(SUBSTITUTE(SUBSTITUTE(SUBSTITUTE(SUBSTITUTE(SUBSTITUTE(SUBSTITUTE(SUBSTITUTE(SUBSTITUTE(SUBSTITUTE(SUBSTITUTE(SUBSTITUTE(SUBSTITUTE(SUBSTITUTE(SUBSTITUTE(LOWER(AC267&amp;""),CHAR(10)," "),CHAR(13)," "),CHAR(9)," "),CHAR(160)," "),"."," "),","," "),"-"," "),"/"," "),"("," "),")"," "),":"," "),";"," "),"_"," "),"–"," "),"?"," "),"!"," "),"*"," "),"["," "),"]"," "),"'"," "),"#"," "),"+"," "),"&amp;"," "),"\"," "))&amp;" "</f>
        <v>  </v>
      </c>
      <c r="BG267" s="61" t="n">
        <f aca="false">IFERROR(IF(AND(TRIM(U267)="Pass",SUMPRODUCT((LEN(BC267)-LEN(SUBSTITUTE(BC267," "&amp;L_ResultBad&amp;" "," ")))/(LEN(L_ResultBad)+1))&gt;SUMPRODUCT((LEN(BC267)-LEN(SUBSTITUTE(BC267," "&amp;L_NegPhrase&amp;" "," ")))/(LEN(L_NegPhrase)+1))),1,0),0)</f>
        <v>0</v>
      </c>
      <c r="BH267" s="61" t="n">
        <f aca="false">IFERROR(IF(SUMPRODUCT((LEN(BC267)-LEN(SUBSTITUTE(BC267," "&amp;L_Pending&amp;" "," ")))/(LEN(L_Pending)+1))&gt;SUMPRODUCT((LEN(BC267)-LEN(SUBSTITUTE(BC267," "&amp;L_PendNeg&amp;" "," ")))/(LEN(L_PendNeg)+1))+SUMPRODUCT((LEN(BC267)-LEN(SUBSTITUTE(BC267," "&amp;L_PendPrep&amp;" "," ")))/(LEN(L_PendPrep)+1)),1,0),1)</f>
        <v>0</v>
      </c>
      <c r="BI267" s="61" t="n">
        <f aca="false">IFERROR(IF(SUMPRODUCT((LEN(BD267)-LEN(SUBSTITUTE(BD267," "&amp;L_PendStrict&amp;" "," ")))/(LEN(L_PendStrict)+1))&gt;SUMPRODUCT((LEN(BD267)-LEN(SUBSTITUTE(BD267," "&amp;L_PendNeg&amp;" "," ")))/(LEN(L_PendNeg)+1)),1,0),1)</f>
        <v>0</v>
      </c>
      <c r="BJ267" s="61" t="n">
        <f aca="false">IFERROR(IF(SUMPRODUCT((LEN(BE267)-LEN(SUBSTITUTE(BE267," "&amp;L_Pending&amp;" "," ")))/(LEN(L_Pending)+1))&gt;SUMPRODUCT((LEN(BE267)-LEN(SUBSTITUTE(BE267," "&amp;L_PendNeg&amp;" "," ")))/(LEN(L_PendNeg)+1))+SUMPRODUCT((LEN(BE267)-LEN(SUBSTITUTE(BE267," "&amp;L_PendPrep&amp;" "," ")))/(LEN(L_PendPrep)+1)),1,0),1)</f>
        <v>0</v>
      </c>
      <c r="BK267" s="61" t="n">
        <f aca="false">IFERROR(IF(SUMPRODUCT((LEN(BF267)-LEN(SUBSTITUTE(BF267," "&amp;L_PendStrict&amp;" "," ")))/(LEN(L_PendStrict)+1))&gt;SUMPRODUCT((LEN(BF267)-LEN(SUBSTITUTE(BF267," "&amp;L_PendNeg&amp;" "," ")))/(LEN(L_PendNeg)+1)),1,0),1)</f>
        <v>0</v>
      </c>
      <c r="BL267" s="61" t="n">
        <f aca="false">IF(ISNA(MATCH(TRIM(S267),L_EvidenceType,0)),0,BZ267)</f>
        <v>0</v>
      </c>
      <c r="BM267" s="61" t="str">
        <f aca="false">SUBSTITUTE(SUBSTITUTE(SUBSTITUTE(SUBSTITUTE(SUBSTITUTE(SUBSTITUTE(SUBSTITUTE(SUBSTITUTE(SUBSTITUTE(LOWER(Z267&amp;""),"1","0"),"2","0"),"3","0"),"4","0"),"5","0"),"6","0"),"7","0"),"8","0"),"9","0")</f>
        <v/>
      </c>
      <c r="BN267" s="61" t="str">
        <f aca="false">SUBSTITUTE(SUBSTITUTE(SUBSTITUTE(SUBSTITUTE(SUBSTITUTE(SUBSTITUTE(SUBSTITUTE(SUBSTITUTE(SUBSTITUTE(SUBSTITUTE(SUBSTITUTE(SUBSTITUTE(SUBSTITUTE(SUBSTITUTE(SUBSTITUTE(SUBSTITUTE(SUBSTITUTE(SUBSTITUTE(SUBSTITUTE(SUBSTITUTE(SUBSTITUTE(SUBSTITUTE(SUBSTITUTE(SUBSTITUTE(SUBSTITUTE(BM267,"b","a"),"c","a"),"d","a"),"e","a"),"f","a"),"g","a"),"h","a"),"i","a"),"j","a"),"k","a"),"l","a"),"m","a"),"n","a"),"o","a"),"p","a"),"q","a"),"r","a"),"s","a"),"t","a"),"u","a"),"v","a"),"w","a"),"x","a"),"y","a"),"z","a")</f>
        <v/>
      </c>
      <c r="BO267" s="61" t="str">
        <f aca="false">SUBSTITUTE(SUBSTITUTE(SUBSTITUTE(SUBSTITUTE(SUBSTITUTE(SUBSTITUTE(SUBSTITUTE(SUBSTITUTE(SUBSTITUTE(LOWER(W267&amp;""),"1","0"),"2","0"),"3","0"),"4","0"),"5","0"),"6","0"),"7","0"),"8","0"),"9","0")</f>
        <v/>
      </c>
      <c r="BP267" s="61" t="str">
        <f aca="false">SUBSTITUTE(SUBSTITUTE(SUBSTITUTE(SUBSTITUTE(SUBSTITUTE(SUBSTITUTE(SUBSTITUTE(SUBSTITUTE(SUBSTITUTE(SUBSTITUTE(SUBSTITUTE(SUBSTITUTE(SUBSTITUTE(SUBSTITUTE(SUBSTITUTE(SUBSTITUTE(SUBSTITUTE(SUBSTITUTE(SUBSTITUTE(SUBSTITUTE(SUBSTITUTE(SUBSTITUTE(SUBSTITUTE(SUBSTITUTE(SUBSTITUTE(BO267,"b","a"),"c","a"),"d","a"),"e","a"),"f","a"),"g","a"),"h","a"),"i","a"),"j","a"),"k","a"),"l","a"),"m","a"),"n","a"),"o","a"),"p","a"),"q","a"),"r","a"),"s","a"),"t","a"),"u","a"),"v","a"),"w","a"),"x","a"),"y","a"),"z","a")</f>
        <v/>
      </c>
      <c r="BQ267" s="61" t="n">
        <f aca="false">IFERROR(IF(AND(ISERROR(SEARCH(" mh"," "&amp;LOWER(W267))),ISNA(MATCH(LEFT(TRIM(BP267),255),{"0000a","000a","00a","0000aa","000aa","00aa","0aa","0000aaa","000aaa","00a00","0a00","0000-0000","00:00","a00","a0","00.00.0000","00/00/0000","00-00-0000","0000-00-00","0000/00/00","0000.00.00","00.00.00","00/00/00","00-00-00","0.00.0000","0/00/0000","0-00-0000"},0)),ISNA(MATCH(LEFT(TRIM(CA267),255),{"0000a","000a","00a","0000aa","000aa","00aa","0aa","0000aaa","000aaa","00a00","0a00","0000-0000","00:00","a00","a0","00.00.0000","00/00/0000","00-00-0000","0000-00-00","0000/00/00","0000.00.00","00.00.00","00/00/00","00-00-00","0.00.0000","0/00/0000","0-00-0000"},0)),LEN(CB267)&gt;=3,NOT(OR(SUBSTITUTE(CB267,"0","")="",AND(LEN(CB267)&gt;=4,CB267=REPT(LEFT(CB267),LEN(CB267))),ISNUMBER(MATCH(CB267,{"123","1234","12345","123456","1234567","12345678","0123","01234","012345","98765","987654","54321"},0)),AND(LEN(CB267)=8,LEFT(CB267,3)="202"))),OR(AND((LEN(CA267)-LEN(SUBSTITUTE(CA267,"a","")))&gt;=1,SUMPRODUCT(--ISNUMBER(SEARCH({"a0","a-0","a_0","a/0","a.0","a#0","0a","0-a","0_a","0/a"},BP267)))&gt;0),ISNUMBER(SEARCH("000000",BP267)))),1,0),0)</f>
        <v>0</v>
      </c>
      <c r="BR267" s="61" t="n">
        <f aca="false">IFERROR(LEN(SUBSTITUTE(CC267," ",""))-SUMPRODUCT((LEN(CC267)-LEN(SUBSTITUTE(CC267," "&amp;L_Role&amp;" "," ")))/(LEN(L_Role)+1)*LEN(L_Role)),0)</f>
        <v>0</v>
      </c>
      <c r="BS267" s="61" t="n">
        <f aca="false">IFERROR(LEN(SUBSTITUTE(CD267," ",""))-SUMPRODUCT((LEN(CD267)-LEN(SUBSTITUTE(CD267," "&amp;L_Role&amp;" "," ")))/(LEN(L_Role)+1)*LEN(L_Role)),0)</f>
        <v>0</v>
      </c>
      <c r="BT2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267,"revision",""),"version",""),"jan",""),"feb",""),"mar",""),"apr",""),"may",""),"jun",""),"jul",""),"aug",""),"sep",""),"oct",""),"nov",""),"dec",""),"utc",""),"gmt",""),"myt",""),"bst",""),"rev",""),"ver",""),"b","a"),"c","a"),"d","a"),"e","a"),"f","a"),"g","a"),"h","a"),"i","a"),"j","a"),"k","a"),"l","a"),"m","a"),"n","a"),"o","a"),"p","a"),"q","a"),"r","a"),"s","a"),"t","a"),"u","a"),"v","a"),"w","a"),"x","a"),"y","a"),"z","a")</f>
        <v/>
      </c>
      <c r="BU267" s="61" t="str">
        <f aca="false">SUBSTITUTE(SUBSTITUTE(SUBSTITUTE(SUBSTITUTE(SUBSTITUTE(SUBSTITUTE(SUBSTITUTE(SUBSTITUTE(SUBSTITUTE(SUBSTITUTE(LEFT(BM267,FIND("0",BM267&amp;"0")-1),"-",""),"_",""),"/",""),".",""),"#",""),"\\",""),":","")," ",""),"(",""),")","")</f>
        <v/>
      </c>
      <c r="BV267" s="61" t="n">
        <f aca="false">0</f>
        <v>0</v>
      </c>
      <c r="BW2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267&amp;""),"a",""),"b",""),"c",""),"d",""),"e",""),"f",""),"g",""),"h",""),"i",""),"j",""),"k",""),"l",""),"m",""),"n",""),"o",""),"p",""),"q",""),"r",""),"s",""),"t",""),"u",""),"v",""),"w",""),"x",""),"y",""),"z",""),"-",""),"_",""),"/",""),".",""),"#",""),"\\",""),":","")," ",""),"(",""),")","")</f>
        <v/>
      </c>
      <c r="BX267" s="61" t="str">
        <f aca="false">SUBSTITUTE(SUBSTITUTE(SUBSTITUTE(SUBSTITUTE(SUBSTITUTE(SUBSTITUTE(SUBSTITUTE(SUBSTITUTE(SUBSTITUTE(SUBSTITUTE(SUBSTITUTE(BM267,"0",""),"-",""),"_",""),"/",""),".",""),"#",""),"\\",""),":","")," ",""),"(",""),")","")</f>
        <v/>
      </c>
      <c r="BY267" s="62" t="n">
        <f aca="false">Q267-T7EarlyD*24/24</f>
        <v>46284.0659722222</v>
      </c>
      <c r="BZ267" s="61" t="n">
        <f aca="false">IFERROR(IF(IF(TRIM(S267)="Link / file path",AND(LEN(TRIM(Z267))&gt;=5,SUMPRODUCT(--ISNUMBER(SEARCH({"http","www.","\\",":\",".pdf",".jpg",".jpeg",".png",".heic",".xls",".doc",".msg",".eml",".ppt",".txt",".zip"},Z267)))&gt;0),AND(ISERROR(FIND(" ",TRIM(Z267))),NOT(OR(SUMPRODUCT(--ISNUMBER(FIND({",",";","&amp;","+"},Z267)))&gt;0,SUMPRODUCT(--ISNUMBER(SEARCH({"0/aa","0\\aa"},BN267)))&gt;0)),NOT(SUMPRODUCT(--ISNUMBER(SEARCH({"http","www.","\\",":\",".pdf",".jpg",".jpeg",".png",".heic",".xls",".doc",".msg",".eml",".ppt",".txt",".zip"},Z267)))&gt;0),NOT(LOWER(TRIM(Z267))=LOWER(Flights!$F$12)),ISNA(MATCH(BU267,{"mh","rev","revision","ver","version","v","r","a","b","seat","tray","row","gate","bay","stand","page","pg","item","line","no","cart","galley","flight","flt","table","box","bag","oven","etd","eta","std","sta","atd","ata","qty","pax","x","time","tel","ph","mob","day","wk","week","utc","gmt","myt","lt"},0)),NOT(OR(ISNUMBER(MATCH(LEFT(BN267,255),{"0000a","000a","00a","0000aa","000aa","00aa","0aa","0000aaa","000aaa","00a00","0a00","0000-0000","00:00","a00","a0","00.00.0000","00/00/0000","00-00-0000","0000-00-00","0000/00/00","0000.00.00","00.00.00","00/00/00","00-00-00","0.00.0000","0/00/0000","0-00-0000"},0)),ISNUMBER(MATCH(LEFT(BT267,255),{"0000a","000a","00a","0000aa","000aa","00aa","0aa","0000aaa","000aaa","00a00","0a00","0000-0000","00:00","a00","a0","00.00.0000","00/00/0000","00-00-0000","0000-00-00","0000/00/00","0000.00.00","00.00.00","00/00/00","00-00-00","0.00.0000","0/00/0000","0-00-0000"},0)))),NOT(OR(AND(BW267&lt;&gt;"",SUBSTITUTE(BW267,"0","")=""),AND(LEN(BW267)&gt;=4,BW267=REPT(LEFT(BW267),LEN(BW267))),ISNUMBER(MATCH(BW267,{"123","1234","12345","123456","1234567","12345678","0123","01234","012345","98765","987654","54321"},0)),ISNUMBER(MATCH(BX267,{"x","xx","xxx","xxxx","xxxxx","abc","abcd","nil","na","nan","test","tbc","tba","tbd","dummy","sample","example","eg","zz","zzz","none","null","xyz","qwe","asd","id","ref"},0)),AND(LEN(BW267)=8,BX267="",OR(LEFT(BW267,3)="202",ISNUMBER(MATCH(RIGHT(BW267,4),{"2025","2026","2027"},0)))))),OR(AND((LEN(BT267)-LEN(SUBSTITUTE(BT267,"a","")))&gt;=1,(LEN(BN267)-LEN(SUBSTITUTE(BN267,"0","")))&gt;=2,SUMPRODUCT(--ISNUMBER(SEARCH({"a0","a-0","a_0","a/0","a.0","a#0","0a","0-a","0_a","0/a"},BN267)))&gt;0),AND((LEN(BN267)-LEN(SUBSTITUTE(BN267,"a","")))=0,(LEN(BN267)-LEN(SUBSTITUTE(BN267,"0","")))&gt;=5)))),1,0),0)</f>
        <v>0</v>
      </c>
      <c r="CA2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267,"revision",""),"version",""),"jan",""),"feb",""),"mar",""),"apr",""),"may",""),"jun",""),"jul",""),"aug",""),"sep",""),"oct",""),"nov",""),"dec",""),"utc",""),"gmt",""),"myt",""),"bst",""),"rev",""),"ver",""),"b","a"),"c","a"),"d","a"),"e","a"),"f","a"),"g","a"),"h","a"),"i","a"),"j","a"),"k","a"),"l","a"),"m","a"),"n","a"),"o","a"),"p","a"),"q","a"),"r","a"),"s","a"),"t","a"),"u","a"),"v","a"),"w","a"),"x","a"),"y","a"),"z","a")</f>
        <v/>
      </c>
      <c r="CB2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267&amp;""),"a",""),"b",""),"c",""),"d",""),"e",""),"f",""),"g",""),"h",""),"i",""),"j",""),"k",""),"l",""),"m",""),"n",""),"o",""),"p",""),"q",""),"r",""),"s",""),"t",""),"u",""),"v",""),"w",""),"x",""),"y",""),"z",""),"-",""),"_",""),"/",""),".",""),"#",""),"\\",""),":","")," ",""),"(",""),")","")</f>
        <v/>
      </c>
      <c r="CC267" s="0" t="str">
        <f aca="false">" "&amp;TRIM(SUBSTITUTE(SUBSTITUTE(SUBSTITUTE(SUBSTITUTE(SUBSTITUTE(SUBSTITUTE(SUBSTITUTE(SUBSTITUTE(SUBSTITUTE(SUBSTITUTE(SUBSTITUTE(SUBSTITUTE(SUBSTITUTE(SUBSTITUTE(SUBSTITUTE(SUBSTITUTE(SUBSTITUTE(SUBSTITUTE(SUBSTITUTE(SUBSTITUTE(SUBSTITUTE(SUBSTITUTE(SUBSTITUTE(SUBSTITUTE(LOWER(T267&amp;""),CHAR(10)," "),CHAR(13)," "),CHAR(9)," "),CHAR(160)," "),"."," "),","," "),"-"," "),"/"," "),"("," "),")"," "),":"," "),";"," "),"_"," "),"–"," "),"?"," "),"!"," "),"*"," "),"["," "),"]"," "),"'"," "),"#"," "),"+"," "),"&amp;"," "),"\"," "))&amp;" "</f>
        <v>  </v>
      </c>
      <c r="CD267" s="0" t="str">
        <f aca="false">" "&amp;TRIM(SUBSTITUTE(SUBSTITUTE(SUBSTITUTE(SUBSTITUTE(SUBSTITUTE(SUBSTITUTE(SUBSTITUTE(SUBSTITUTE(SUBSTITUTE(SUBSTITUTE(SUBSTITUTE(SUBSTITUTE(SUBSTITUTE(SUBSTITUTE(SUBSTITUTE(SUBSTITUTE(SUBSTITUTE(SUBSTITUTE(SUBSTITUTE(SUBSTITUTE(SUBSTITUTE(SUBSTITUTE(SUBSTITUTE(SUBSTITUTE(LOWER(AE267&amp;""),CHAR(10)," "),CHAR(13)," "),CHAR(9)," "),CHAR(160)," "),"."," "),","," "),"-"," "),"/"," "),"("," "),")"," "),":"," "),";"," "),"_"," "),"–"," "),"?"," "),"!"," "),"*"," "),"["," "),"]"," "),"'"," "),"#"," "),"+"," "),"&amp;"," "),"\"," "))&amp;" "</f>
        <v>  </v>
      </c>
      <c r="CE267" s="68" t="n">
        <f aca="false">IFERROR(IF(AND(LEN(AU267)&gt;0,LEN(AU267)=LEN(AX267),OR(TRIM(MID(SUBSTITUTE(TRIM(CC267)," ",REPT(" ",60)),1,60))="",ISNUMBER(SEARCH(" "&amp;TRIM(MID(SUBSTITUTE(TRIM(CC267)," ",REPT(" ",60)),1,60))&amp;" ",CD267))),OR(TRIM(MID(SUBSTITUTE(TRIM(CC267)," ",REPT(" ",60)),61,60))="",ISNUMBER(SEARCH(" "&amp;TRIM(MID(SUBSTITUTE(TRIM(CC267)," ",REPT(" ",60)),61,60))&amp;" ",CD267))),OR(TRIM(MID(SUBSTITUTE(TRIM(CC267)," ",REPT(" ",60)),121,60))="",ISNUMBER(SEARCH(" "&amp;TRIM(MID(SUBSTITUTE(TRIM(CC267)," ",REPT(" ",60)),121,60))&amp;" ",CD267)))),1,0),0)</f>
        <v>0</v>
      </c>
      <c r="CG267" s="68" t="n">
        <f aca="false">IFERROR(LEN(SUBSTITUTE(BF267," ",""))-SUMPRODUCT((LEN(BF267)-LEN(SUBSTITUTE(BF267," "&amp;L_NAFiller&amp;" "," ")))/(LEN(L_NAFiller)+1)*LEN(L_NAFiller)),0)</f>
        <v>0</v>
      </c>
    </row>
    <row r="268" customFormat="false" ht="39.75" hidden="false" customHeight="true" outlineLevel="0" collapsed="false">
      <c r="A268" s="57" t="s">
        <v>839</v>
      </c>
      <c r="B268" s="57" t="s">
        <v>238</v>
      </c>
      <c r="C268" s="57" t="str">
        <f aca="false">Flights!$F$12</f>
        <v>MH0752</v>
      </c>
      <c r="D268" s="58" t="n">
        <f aca="false">Flights!$D$12</f>
        <v>46305</v>
      </c>
      <c r="E268" s="57" t="str">
        <f aca="false">Flights!$G$12&amp;"-"&amp;Flights!$H$12</f>
        <v>KUL-HAN</v>
      </c>
      <c r="F268" s="57" t="str">
        <f aca="false">Flights!$K$12</f>
        <v>EY</v>
      </c>
      <c r="G268" s="57" t="s">
        <v>81</v>
      </c>
      <c r="H268" s="57" t="s">
        <v>378</v>
      </c>
      <c r="I268" s="57" t="s">
        <v>405</v>
      </c>
      <c r="J268" s="57" t="s">
        <v>406</v>
      </c>
      <c r="K268" s="67" t="s">
        <v>407</v>
      </c>
      <c r="L268" s="67" t="s">
        <v>382</v>
      </c>
      <c r="M268" s="67"/>
      <c r="N268" s="67" t="s">
        <v>383</v>
      </c>
      <c r="O268" s="67"/>
      <c r="P268" s="57" t="s">
        <v>187</v>
      </c>
      <c r="Q268" s="59" t="n">
        <f aca="false">ROUND((Flights!$AC$12)*1440,0)/1440</f>
        <v>46298.0659722222</v>
      </c>
      <c r="R268" s="59" t="n">
        <f aca="false">Q268+(IF(AND(INDEX(TZ_DSTS,MATCH(P268,TZ_STN,0))&lt;&gt;"",Q268&gt;=INDEX(TZ_DSTS,MATCH(P268,TZ_STN,0)),Q268&lt;INDEX(TZ_DSTE,MATCH(P268,TZ_STN,0))),INDEX(TZ_DST,MATCH(P268,TZ_STN,0)),INDEX(TZ_STD,MATCH(P268,TZ_STN,0))))/24</f>
        <v>46298.3993055556</v>
      </c>
      <c r="S268" s="60"/>
      <c r="T268" s="60"/>
      <c r="U268" s="60"/>
      <c r="V268" s="60"/>
      <c r="W268" s="61"/>
      <c r="X268" s="60"/>
      <c r="Y268" s="60"/>
      <c r="Z268" s="60"/>
      <c r="AA268" s="60"/>
      <c r="AB268" s="60"/>
      <c r="AC268" s="60"/>
      <c r="AD268" s="66"/>
      <c r="AE268" s="60"/>
      <c r="AF268" s="61" t="str">
        <f aca="false">IF(AND(ISNUMBER(X268),ISNUMBER(Y268)),Y268-X268,"")</f>
        <v/>
      </c>
      <c r="AG268" s="62" t="str">
        <f aca="false">IF(ISNUMBER(AD268),AD268-(IF(AND(INDEX(TZ_DSTS,MATCH(P268,TZ_STN,0))&lt;&gt;"",(AD268-INDEX(TZ_STD,MATCH(P268,TZ_STN,0))/24)&gt;=INDEX(TZ_DSTS,MATCH(P268,TZ_STN,0)),(AD268-INDEX(TZ_STD,MATCH(P268,TZ_STN,0))/24)&lt;INDEX(TZ_DSTE,MATCH(P268,TZ_STN,0))),INDEX(TZ_DST,MATCH(P268,TZ_STN,0)),INDEX(TZ_STD,MATCH(P268,TZ_STN,0))))/24,"")</f>
        <v/>
      </c>
      <c r="AH268" s="65" t="str">
        <f aca="false">IFERROR(IF(N268="N/A – rule",IF(OR(TRIM(U268)="",TRIM(U268)="N/A",TRIM(U268)="Not started"),"N/A – RULE","INVALID – this check does not apply to this aircraft: clear the status (or correct the fleet on Flights)"),IF(TRIM(U268)="N/A",IF(AT268=0,"INVALID – N/A not permitted for this check",IF(AND(TRIM(AB268)&lt;&gt;"",TRIM(AB268)&lt;&gt;"Closed"),"INVALID – corrective action still open",IF(AND(NOT(OR(LEN(AZ268)&lt;15,ISNUMBER(MATCH(AZ268,L_Placeholder,0)))),BK268=0,CG268&gt;=8,NOT(OR(LEN(AU268)&lt;2,ISNUMBER(MATCH(AU268,L_Placeholder,0)))),BR268&gt;=3,NOT(OR(LEN(AX268)&lt;2,ISNUMBER(MATCH(AX268,L_Placeholder,0)))),BS268&gt;=3,TRIM(AE268)&lt;&gt;TRIM(T268),AX268&lt;&gt;AU268,CE268=0),"N/A – JUSTIFIED","INVALID – N/A needs a real, settled reason (not 'not applicable' / 'as above' / TBC), a named PIC and a different named verifier"))),IF(OR(TRIM(U268)="Pass",TRIM(U268)="Pass after CA"),IF(NOT(ISNUMBER(AD268)),"INVALID – completion time missing",IF(OR(OR(LEN(AU268)&lt;2,ISNUMBER(MATCH(AU268,L_Placeholder,0))),BR268&lt;3),"INVALID – PIC missing or not a named person (a role such as QA / CSM is not a name)",IF(OR(LEN(AV268)&lt;2,ISNUMBER(MATCH(AV268,L_Placeholder,0))),"INVALID – result / assessment missing",IF(OR(OR(LEN(AW268)&lt;3,ISNUMBER(MATCH(AW268,L_Placeholder,0))),SUMPRODUCT(--ISNUMBER(SEARCH(" "&amp;L_EvidencePhrase&amp;" ",BD268)))&gt;0,BI268=1),"INVALID – evidence missing, placeholder or not yet on file",IF(ISNA(MATCH(TRIM(S268),L_EvidenceType,0)),"INVALID – choose the evidence type from the list (column S)",IF(BL268=0,"INVALID – evidence ID must be the record's own ID only (e.g. SF-2210, IMG_2231, 1045521); a link / file name needs type 'Link / file path'",IF(OR(OR(LEN(AX268)&lt;2,ISNUMBER(MATCH(AX268,L_Placeholder,0))),BS268&lt;3),"INVALID – verifier missing or not a named person (a role such as QA / CSM is not a name)",IF(OR(AX268=AU268,CE268=1,AND(LEN(AU268)&gt;=4,ISNUMBER(SEARCH(AU268,AX268))),AND(LEN(AX268)&gt;=4,ISNUMBER(SEARCH(AX268,AU268)))),"INVALID – verifier must be a different, named person (not the PIC or a role)",IF(BH268=1,"INVALID – result not yet available (awaiting / TBC)",IF(BG268=1,"INVALID – result describes a problem: record Fail, then Pass after CA (or reword if it is not a problem)",IF(BV268=1,"INVALID – wording says not on board: an on-board confirmation needs the item loaded",IF(AND(AQ268=1,OR(OR(LEN(AY268)&lt;3,ISNUMBER(MATCH(AY268,L_Placeholder,0))),BJ268=1,BQ268=0)),"INVALID – batch ID missing, placeholder or not an ID (e.g. PASB-261008-BC-017)",IF(AND(AR268=1,OR(NOT(ISNUMBER(X268)),NOT(ISNUMBER(Y268)))),"INVALID – expected/actual qty missing",IF(AND(AR268=1,OR(X268&lt;=0,Y268&lt;0)),"INVALID – expected qty must be above 0 and actual not negative",IF(BB268&lt;&gt;"",BB268,IF(AND(AS268=1,Documents!$J$12&lt;&gt;"ON FILE"),"INVALID – GLD not on file (Documents sheet)",IF(AND(AS268=2,Documents!$O$12&lt;&gt;"ON FILE"),"INVALID – menu checklist not on file (Documents sheet)",IF(AND(AS268=3,NOT(ISNUMBER(Flights!$AX$12))),"INVALID – enter carrying flight KUL departure (Flights AX)",IF(AND(AS268=3,OR(Flights!$AZ$12&gt;Flights!$AA$12,Flights!$AX$12&lt;Flights!$AA$12-3)),"INVALID – carrying flight (Flights AX) cannot arrive before this leg's STD, or is over 3 days early",IF(AG268&gt;AsOfUTC,"INVALID – completion time is in the future",IF(AND(ISNUMBER(BY268),AG268&lt;BY268),IF(H268="Physical uplift","INVALID – before uplift window (cannot confirm loading)","INVALID – before valid window"),IF(AG268&gt;Flights!$AA$12,"INVALID – completed after departure (cannot establish readiness)",IF(AND(H268="Preparation",AG268&gt;=IF(ISNUMBER(Flights!$BA$12),MIN(Flights!$BA$12,Flights!$AA$12),Flights!$AA$12)),"INVALID – completed after loading / departure (cannot establish readiness)",IF(AND(H268="Physical uplift",AG268&gt;Q268),"INVALID – recorded after the loading flight departed",IF(AG268&gt;Q268,"COMPLETE – LATE","COMPLETE"))))))))))))))))))))))))),IF(TRIM(U268)="Fail","FAIL – DISCREPANCY",IF(AND(TRIM(U268)&lt;&gt;"",TRIM(U268)&lt;&gt;"Not started",TRIM(U268)&lt;&gt;"In progress"),"INVALID – unrecognised status (use the list)",IF(AsOfUTC&gt;Q268,"OVERDUE",IF(N268="Clarification required","OPEN – CLARIFICATION","OPEN"))))))),"INVALID – error value in an input cell")</f>
        <v>OPEN</v>
      </c>
      <c r="AI268" s="61" t="n">
        <f aca="false">IF(OR(AH268="N/A – RULE",AH268="N/A – JUSTIFIED"),0,1)</f>
        <v>1</v>
      </c>
      <c r="AJ268" s="61" t="n">
        <f aca="false">IF(LEFT(AH268,8)="COMPLETE",1,0)</f>
        <v>0</v>
      </c>
      <c r="AK268" s="61" t="n">
        <f aca="false">IF(AND(AI268=1,AJ268=0,AsOfUTC&gt;Q268),1,0)</f>
        <v>0</v>
      </c>
      <c r="AL268" s="61" t="n">
        <f aca="false">IFERROR(IF(AND(AI268=1,OR(TRIM(U268)="Fail",AND(TRIM(AB268)&lt;&gt;"",TRIM(AB268)&lt;&gt;"Closed"),AND(ISNUMBER(AF268),AF268&lt;&gt;0,TRIM(U268)&lt;&gt;"Pass after CA"))),1,0),1)</f>
        <v>0</v>
      </c>
      <c r="AM268" s="61" t="n">
        <f aca="false">IF(LEFT(AH268,7)="INVALID",1,0)</f>
        <v>0</v>
      </c>
      <c r="AN268" s="61" t="n">
        <f aca="false">IF(AND(N268="Clarification required",AI268=1,AJ268=0),1,0)</f>
        <v>0</v>
      </c>
      <c r="AO268" s="61" t="str">
        <f aca="false">IF(AK268=1,SUM(AK$5:AK268),"")</f>
        <v/>
      </c>
      <c r="AP268" s="61" t="str">
        <f aca="false">IF(AL268=1,SUM(AL$5:AL268),"")</f>
        <v/>
      </c>
      <c r="AQ268" s="61" t="n">
        <v>0</v>
      </c>
      <c r="AR268" s="61" t="n">
        <v>0</v>
      </c>
      <c r="AS268" s="61" t="n">
        <v>1</v>
      </c>
      <c r="AT268" s="61" t="n">
        <v>0</v>
      </c>
      <c r="AU268" s="61" t="str">
        <f aca="false">SUBSTITUTE(SUBSTITUTE(SUBSTITUTE(SUBSTITUTE(SUBSTITUTE(SUBSTITUTE(SUBSTITUTE(SUBSTITUTE(SUBSTITUTE(SUBSTITUTE(SUBSTITUTE(SUBSTITUTE(SUBSTITUTE(SUBSTITUTE(SUBSTITUTE(SUBSTITUTE(LOWER(T268&amp;""),CHAR(10),""),CHAR(13),""),CHAR(9),""),CHAR(160),"")," ",""),".",""),"-",""),"/",""),"?",""),"_",""),",",""),"[",""),"]",""),"(",""),")",""),"*","")</f>
        <v/>
      </c>
      <c r="AV268" s="61" t="str">
        <f aca="false">SUBSTITUTE(SUBSTITUTE(SUBSTITUTE(SUBSTITUTE(SUBSTITUTE(SUBSTITUTE(SUBSTITUTE(SUBSTITUTE(SUBSTITUTE(SUBSTITUTE(SUBSTITUTE(SUBSTITUTE(SUBSTITUTE(SUBSTITUTE(SUBSTITUTE(SUBSTITUTE(LOWER(V268&amp;""),CHAR(10),""),CHAR(13),""),CHAR(9),""),CHAR(160),"")," ",""),".",""),"-",""),"/",""),"?",""),"_",""),",",""),"[",""),"]",""),"(",""),")",""),"*","")</f>
        <v/>
      </c>
      <c r="AW268" s="61" t="str">
        <f aca="false">SUBSTITUTE(SUBSTITUTE(SUBSTITUTE(SUBSTITUTE(SUBSTITUTE(SUBSTITUTE(SUBSTITUTE(SUBSTITUTE(SUBSTITUTE(SUBSTITUTE(SUBSTITUTE(SUBSTITUTE(SUBSTITUTE(SUBSTITUTE(SUBSTITUTE(SUBSTITUTE(LOWER(Z268&amp;""),CHAR(10),""),CHAR(13),""),CHAR(9),""),CHAR(160),"")," ",""),".",""),"-",""),"/",""),"?",""),"_",""),",",""),"[",""),"]",""),"(",""),")",""),"*","")</f>
        <v/>
      </c>
      <c r="AX268" s="61" t="str">
        <f aca="false">SUBSTITUTE(SUBSTITUTE(SUBSTITUTE(SUBSTITUTE(SUBSTITUTE(SUBSTITUTE(SUBSTITUTE(SUBSTITUTE(SUBSTITUTE(SUBSTITUTE(SUBSTITUTE(SUBSTITUTE(SUBSTITUTE(SUBSTITUTE(SUBSTITUTE(SUBSTITUTE(LOWER(AE268&amp;""),CHAR(10),""),CHAR(13),""),CHAR(9),""),CHAR(160),"")," ",""),".",""),"-",""),"/",""),"?",""),"_",""),",",""),"[",""),"]",""),"(",""),")",""),"*","")</f>
        <v/>
      </c>
      <c r="AY268" s="61" t="str">
        <f aca="false">SUBSTITUTE(SUBSTITUTE(SUBSTITUTE(SUBSTITUTE(SUBSTITUTE(SUBSTITUTE(SUBSTITUTE(SUBSTITUTE(SUBSTITUTE(SUBSTITUTE(SUBSTITUTE(SUBSTITUTE(SUBSTITUTE(SUBSTITUTE(SUBSTITUTE(SUBSTITUTE(LOWER(W268&amp;""),CHAR(10),""),CHAR(13),""),CHAR(9),""),CHAR(160),"")," ",""),".",""),"-",""),"/",""),"?",""),"_",""),",",""),"[",""),"]",""),"(",""),")",""),"*","")</f>
        <v/>
      </c>
      <c r="AZ268" s="61" t="str">
        <f aca="false">SUBSTITUTE(SUBSTITUTE(SUBSTITUTE(SUBSTITUTE(SUBSTITUTE(SUBSTITUTE(SUBSTITUTE(SUBSTITUTE(SUBSTITUTE(SUBSTITUTE(SUBSTITUTE(SUBSTITUTE(SUBSTITUTE(SUBSTITUTE(SUBSTITUTE(SUBSTITUTE(LOWER(AC268&amp;""),CHAR(10),""),CHAR(13),""),CHAR(9),""),CHAR(160),"")," ",""),".",""),"-",""),"/",""),"?",""),"_",""),",",""),"[",""),"]",""),"(",""),")",""),"*","")</f>
        <v/>
      </c>
      <c r="BA268" s="61" t="str">
        <f aca="false">SUBSTITUTE(SUBSTITUTE(SUBSTITUTE(SUBSTITUTE(SUBSTITUTE(SUBSTITUTE(SUBSTITUTE(SUBSTITUTE(SUBSTITUTE(SUBSTITUTE(SUBSTITUTE(SUBSTITUTE(SUBSTITUTE(SUBSTITUTE(SUBSTITUTE(SUBSTITUTE(LOWER(AA268&amp;""),CHAR(10),""),CHAR(13),""),CHAR(9),""),CHAR(160),"")," ",""),".",""),"-",""),"/",""),"?",""),"_",""),",",""),"[",""),"]",""),"(",""),")",""),"*","")</f>
        <v/>
      </c>
      <c r="BB268" s="61" t="str">
        <f aca="false">IF(AND(TRIM(U268)="Pass",ISNUMBER(AF268)),IF(AF268&lt;&gt;0,"INVALID – qty variance: use Fail or Pass after CA",""),"")&amp;IF(AND(TRIM(U268)="Pass after CA",ISNUMBER(AF268)),IF(AF268&lt;&gt;0,"INVALID – after the corrective action the actual qty must equal expected (update Actual)",""),"")&amp;IF(AND(TRIM(U268)="Pass",TRIM(AB268)&lt;&gt;"",TRIM(AB268)&lt;&gt;"Closed"),"INVALID – corrective action not closed: use Fail, then Pass after CA","")&amp;IF(AND(LEN(BA268)&gt;=2,ISNA(MATCH(LEFT(BA268,255),L_Placeholder,0)),TRIM(AB268)=""),"INVALID – CA status missing for the recorded corrective action","")&amp;IF(AND(TRIM(U268)="Pass after CA",OR(OR(LEN(BA268)&lt;5,ISNUMBER(MATCH(BA268,L_Placeholder,0))),TRIM(AB268)&lt;&gt;"Closed")),"INVALID – corrective action not recorded/closed","")</f>
        <v/>
      </c>
      <c r="BC268" s="61" t="str">
        <f aca="false">" "&amp;TRIM(SUBSTITUTE(SUBSTITUTE(SUBSTITUTE(SUBSTITUTE(SUBSTITUTE(SUBSTITUTE(SUBSTITUTE(SUBSTITUTE(SUBSTITUTE(SUBSTITUTE(SUBSTITUTE(SUBSTITUTE(SUBSTITUTE(SUBSTITUTE(SUBSTITUTE(SUBSTITUTE(SUBSTITUTE(SUBSTITUTE(SUBSTITUTE(SUBSTITUTE(SUBSTITUTE(SUBSTITUTE(SUBSTITUTE(SUBSTITUTE(LOWER(V268&amp;""),CHAR(10)," "),CHAR(13)," "),CHAR(9)," "),CHAR(160)," "),"."," "),","," "),"-"," "),"/"," "),"("," "),")"," "),":"," "),";"," "),"_"," "),"–"," "),"?"," "),"!"," "),"*"," "),"["," "),"]"," "),"'"," "),"#"," "),"+"," "),"&amp;"," "),"\"," "))&amp;" "</f>
        <v>  </v>
      </c>
      <c r="BD268" s="61" t="str">
        <f aca="false">" "&amp;TRIM(SUBSTITUTE(SUBSTITUTE(SUBSTITUTE(SUBSTITUTE(SUBSTITUTE(SUBSTITUTE(SUBSTITUTE(SUBSTITUTE(SUBSTITUTE(SUBSTITUTE(SUBSTITUTE(SUBSTITUTE(SUBSTITUTE(SUBSTITUTE(SUBSTITUTE(SUBSTITUTE(SUBSTITUTE(SUBSTITUTE(SUBSTITUTE(SUBSTITUTE(SUBSTITUTE(SUBSTITUTE(SUBSTITUTE(SUBSTITUTE(LOWER(Z268&amp;""),CHAR(10)," "),CHAR(13)," "),CHAR(9)," "),CHAR(160)," "),"."," "),","," "),"-"," "),"/"," "),"("," "),")"," "),":"," "),";"," "),"_"," "),"–"," "),"?"," "),"!"," "),"*"," "),"["," "),"]"," "),"'"," "),"#"," "),"+"," "),"&amp;"," "),"\"," "))&amp;" "</f>
        <v>  </v>
      </c>
      <c r="BE268" s="61" t="str">
        <f aca="false">" "&amp;TRIM(SUBSTITUTE(SUBSTITUTE(SUBSTITUTE(SUBSTITUTE(SUBSTITUTE(SUBSTITUTE(SUBSTITUTE(SUBSTITUTE(SUBSTITUTE(SUBSTITUTE(SUBSTITUTE(SUBSTITUTE(SUBSTITUTE(SUBSTITUTE(SUBSTITUTE(SUBSTITUTE(SUBSTITUTE(SUBSTITUTE(SUBSTITUTE(SUBSTITUTE(SUBSTITUTE(SUBSTITUTE(SUBSTITUTE(SUBSTITUTE(LOWER(W268&amp;""),CHAR(10)," "),CHAR(13)," "),CHAR(9)," "),CHAR(160)," "),"."," "),","," "),"-"," "),"/"," "),"("," "),")"," "),":"," "),";"," "),"_"," "),"–"," "),"?"," "),"!"," "),"*"," "),"["," "),"]"," "),"'"," "),"#"," "),"+"," "),"&amp;"," "),"\"," "))&amp;" "</f>
        <v>  </v>
      </c>
      <c r="BF268" s="61" t="str">
        <f aca="false">" "&amp;TRIM(SUBSTITUTE(SUBSTITUTE(SUBSTITUTE(SUBSTITUTE(SUBSTITUTE(SUBSTITUTE(SUBSTITUTE(SUBSTITUTE(SUBSTITUTE(SUBSTITUTE(SUBSTITUTE(SUBSTITUTE(SUBSTITUTE(SUBSTITUTE(SUBSTITUTE(SUBSTITUTE(SUBSTITUTE(SUBSTITUTE(SUBSTITUTE(SUBSTITUTE(SUBSTITUTE(SUBSTITUTE(SUBSTITUTE(SUBSTITUTE(LOWER(AC268&amp;""),CHAR(10)," "),CHAR(13)," "),CHAR(9)," "),CHAR(160)," "),"."," "),","," "),"-"," "),"/"," "),"("," "),")"," "),":"," "),";"," "),"_"," "),"–"," "),"?"," "),"!"," "),"*"," "),"["," "),"]"," "),"'"," "),"#"," "),"+"," "),"&amp;"," "),"\"," "))&amp;" "</f>
        <v>  </v>
      </c>
      <c r="BG268" s="61" t="n">
        <f aca="false">IFERROR(IF(AND(TRIM(U268)="Pass",SUMPRODUCT((LEN(BC268)-LEN(SUBSTITUTE(BC268," "&amp;L_ResultBad&amp;" "," ")))/(LEN(L_ResultBad)+1))&gt;SUMPRODUCT((LEN(BC268)-LEN(SUBSTITUTE(BC268," "&amp;L_NegPhrase&amp;" "," ")))/(LEN(L_NegPhrase)+1))),1,0),0)</f>
        <v>0</v>
      </c>
      <c r="BH268" s="61" t="n">
        <f aca="false">IFERROR(IF(SUMPRODUCT((LEN(BC268)-LEN(SUBSTITUTE(BC268," "&amp;L_Pending&amp;" "," ")))/(LEN(L_Pending)+1))&gt;SUMPRODUCT((LEN(BC268)-LEN(SUBSTITUTE(BC268," "&amp;L_PendNeg&amp;" "," ")))/(LEN(L_PendNeg)+1))+SUMPRODUCT((LEN(BC268)-LEN(SUBSTITUTE(BC268," "&amp;L_PendPrep&amp;" "," ")))/(LEN(L_PendPrep)+1)),1,0),1)</f>
        <v>0</v>
      </c>
      <c r="BI268" s="61" t="n">
        <f aca="false">IFERROR(IF(SUMPRODUCT((LEN(BD268)-LEN(SUBSTITUTE(BD268," "&amp;L_PendStrict&amp;" "," ")))/(LEN(L_PendStrict)+1))&gt;SUMPRODUCT((LEN(BD268)-LEN(SUBSTITUTE(BD268," "&amp;L_PendNeg&amp;" "," ")))/(LEN(L_PendNeg)+1)),1,0),1)</f>
        <v>0</v>
      </c>
      <c r="BJ268" s="61" t="n">
        <f aca="false">IFERROR(IF(SUMPRODUCT((LEN(BE268)-LEN(SUBSTITUTE(BE268," "&amp;L_Pending&amp;" "," ")))/(LEN(L_Pending)+1))&gt;SUMPRODUCT((LEN(BE268)-LEN(SUBSTITUTE(BE268," "&amp;L_PendNeg&amp;" "," ")))/(LEN(L_PendNeg)+1))+SUMPRODUCT((LEN(BE268)-LEN(SUBSTITUTE(BE268," "&amp;L_PendPrep&amp;" "," ")))/(LEN(L_PendPrep)+1)),1,0),1)</f>
        <v>0</v>
      </c>
      <c r="BK268" s="61" t="n">
        <f aca="false">IFERROR(IF(SUMPRODUCT((LEN(BF268)-LEN(SUBSTITUTE(BF268," "&amp;L_PendStrict&amp;" "," ")))/(LEN(L_PendStrict)+1))&gt;SUMPRODUCT((LEN(BF268)-LEN(SUBSTITUTE(BF268," "&amp;L_PendNeg&amp;" "," ")))/(LEN(L_PendNeg)+1)),1,0),1)</f>
        <v>0</v>
      </c>
      <c r="BL268" s="61" t="n">
        <f aca="false">IF(ISNA(MATCH(TRIM(S268),L_EvidenceType,0)),0,BZ268)</f>
        <v>0</v>
      </c>
      <c r="BM268" s="61" t="str">
        <f aca="false">SUBSTITUTE(SUBSTITUTE(SUBSTITUTE(SUBSTITUTE(SUBSTITUTE(SUBSTITUTE(SUBSTITUTE(SUBSTITUTE(SUBSTITUTE(LOWER(Z268&amp;""),"1","0"),"2","0"),"3","0"),"4","0"),"5","0"),"6","0"),"7","0"),"8","0"),"9","0")</f>
        <v/>
      </c>
      <c r="BN268" s="61" t="str">
        <f aca="false">SUBSTITUTE(SUBSTITUTE(SUBSTITUTE(SUBSTITUTE(SUBSTITUTE(SUBSTITUTE(SUBSTITUTE(SUBSTITUTE(SUBSTITUTE(SUBSTITUTE(SUBSTITUTE(SUBSTITUTE(SUBSTITUTE(SUBSTITUTE(SUBSTITUTE(SUBSTITUTE(SUBSTITUTE(SUBSTITUTE(SUBSTITUTE(SUBSTITUTE(SUBSTITUTE(SUBSTITUTE(SUBSTITUTE(SUBSTITUTE(SUBSTITUTE(BM268,"b","a"),"c","a"),"d","a"),"e","a"),"f","a"),"g","a"),"h","a"),"i","a"),"j","a"),"k","a"),"l","a"),"m","a"),"n","a"),"o","a"),"p","a"),"q","a"),"r","a"),"s","a"),"t","a"),"u","a"),"v","a"),"w","a"),"x","a"),"y","a"),"z","a")</f>
        <v/>
      </c>
      <c r="BO268" s="61" t="str">
        <f aca="false">SUBSTITUTE(SUBSTITUTE(SUBSTITUTE(SUBSTITUTE(SUBSTITUTE(SUBSTITUTE(SUBSTITUTE(SUBSTITUTE(SUBSTITUTE(LOWER(W268&amp;""),"1","0"),"2","0"),"3","0"),"4","0"),"5","0"),"6","0"),"7","0"),"8","0"),"9","0")</f>
        <v/>
      </c>
      <c r="BP268" s="61" t="str">
        <f aca="false">SUBSTITUTE(SUBSTITUTE(SUBSTITUTE(SUBSTITUTE(SUBSTITUTE(SUBSTITUTE(SUBSTITUTE(SUBSTITUTE(SUBSTITUTE(SUBSTITUTE(SUBSTITUTE(SUBSTITUTE(SUBSTITUTE(SUBSTITUTE(SUBSTITUTE(SUBSTITUTE(SUBSTITUTE(SUBSTITUTE(SUBSTITUTE(SUBSTITUTE(SUBSTITUTE(SUBSTITUTE(SUBSTITUTE(SUBSTITUTE(SUBSTITUTE(BO268,"b","a"),"c","a"),"d","a"),"e","a"),"f","a"),"g","a"),"h","a"),"i","a"),"j","a"),"k","a"),"l","a"),"m","a"),"n","a"),"o","a"),"p","a"),"q","a"),"r","a"),"s","a"),"t","a"),"u","a"),"v","a"),"w","a"),"x","a"),"y","a"),"z","a")</f>
        <v/>
      </c>
      <c r="BQ268" s="61" t="n">
        <f aca="false">IFERROR(IF(AND(ISERROR(SEARCH(" mh"," "&amp;LOWER(W268))),ISNA(MATCH(LEFT(TRIM(BP268),255),{"0000a","000a","00a","0000aa","000aa","00aa","0aa","0000aaa","000aaa","00a00","0a00","0000-0000","00:00","a00","a0","00.00.0000","00/00/0000","00-00-0000","0000-00-00","0000/00/00","0000.00.00","00.00.00","00/00/00","00-00-00","0.00.0000","0/00/0000","0-00-0000"},0)),ISNA(MATCH(LEFT(TRIM(CA268),255),{"0000a","000a","00a","0000aa","000aa","00aa","0aa","0000aaa","000aaa","00a00","0a00","0000-0000","00:00","a00","a0","00.00.0000","00/00/0000","00-00-0000","0000-00-00","0000/00/00","0000.00.00","00.00.00","00/00/00","00-00-00","0.00.0000","0/00/0000","0-00-0000"},0)),LEN(CB268)&gt;=3,NOT(OR(SUBSTITUTE(CB268,"0","")="",AND(LEN(CB268)&gt;=4,CB268=REPT(LEFT(CB268),LEN(CB268))),ISNUMBER(MATCH(CB268,{"123","1234","12345","123456","1234567","12345678","0123","01234","012345","98765","987654","54321"},0)),AND(LEN(CB268)=8,LEFT(CB268,3)="202"))),OR(AND((LEN(CA268)-LEN(SUBSTITUTE(CA268,"a","")))&gt;=1,SUMPRODUCT(--ISNUMBER(SEARCH({"a0","a-0","a_0","a/0","a.0","a#0","0a","0-a","0_a","0/a"},BP268)))&gt;0),ISNUMBER(SEARCH("000000",BP268)))),1,0),0)</f>
        <v>0</v>
      </c>
      <c r="BR268" s="61" t="n">
        <f aca="false">IFERROR(LEN(SUBSTITUTE(CC268," ",""))-SUMPRODUCT((LEN(CC268)-LEN(SUBSTITUTE(CC268," "&amp;L_Role&amp;" "," ")))/(LEN(L_Role)+1)*LEN(L_Role)),0)</f>
        <v>0</v>
      </c>
      <c r="BS268" s="61" t="n">
        <f aca="false">IFERROR(LEN(SUBSTITUTE(CD268," ",""))-SUMPRODUCT((LEN(CD268)-LEN(SUBSTITUTE(CD268," "&amp;L_Role&amp;" "," ")))/(LEN(L_Role)+1)*LEN(L_Role)),0)</f>
        <v>0</v>
      </c>
      <c r="BT2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268,"revision",""),"version",""),"jan",""),"feb",""),"mar",""),"apr",""),"may",""),"jun",""),"jul",""),"aug",""),"sep",""),"oct",""),"nov",""),"dec",""),"utc",""),"gmt",""),"myt",""),"bst",""),"rev",""),"ver",""),"b","a"),"c","a"),"d","a"),"e","a"),"f","a"),"g","a"),"h","a"),"i","a"),"j","a"),"k","a"),"l","a"),"m","a"),"n","a"),"o","a"),"p","a"),"q","a"),"r","a"),"s","a"),"t","a"),"u","a"),"v","a"),"w","a"),"x","a"),"y","a"),"z","a")</f>
        <v/>
      </c>
      <c r="BU268" s="61" t="str">
        <f aca="false">SUBSTITUTE(SUBSTITUTE(SUBSTITUTE(SUBSTITUTE(SUBSTITUTE(SUBSTITUTE(SUBSTITUTE(SUBSTITUTE(SUBSTITUTE(SUBSTITUTE(LEFT(BM268,FIND("0",BM268&amp;"0")-1),"-",""),"_",""),"/",""),".",""),"#",""),"\\",""),":","")," ",""),"(",""),")","")</f>
        <v/>
      </c>
      <c r="BV268" s="61" t="n">
        <f aca="false">0</f>
        <v>0</v>
      </c>
      <c r="BW2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268&amp;""),"a",""),"b",""),"c",""),"d",""),"e",""),"f",""),"g",""),"h",""),"i",""),"j",""),"k",""),"l",""),"m",""),"n",""),"o",""),"p",""),"q",""),"r",""),"s",""),"t",""),"u",""),"v",""),"w",""),"x",""),"y",""),"z",""),"-",""),"_",""),"/",""),".",""),"#",""),"\\",""),":","")," ",""),"(",""),")","")</f>
        <v/>
      </c>
      <c r="BX268" s="61" t="str">
        <f aca="false">SUBSTITUTE(SUBSTITUTE(SUBSTITUTE(SUBSTITUTE(SUBSTITUTE(SUBSTITUTE(SUBSTITUTE(SUBSTITUTE(SUBSTITUTE(SUBSTITUTE(SUBSTITUTE(BM268,"0",""),"-",""),"_",""),"/",""),".",""),"#",""),"\\",""),":","")," ",""),"(",""),")","")</f>
        <v/>
      </c>
      <c r="BY268" s="62" t="n">
        <f aca="false">Q268-T7EarlyD*24/24</f>
        <v>46284.0659722222</v>
      </c>
      <c r="BZ268" s="61" t="n">
        <f aca="false">IFERROR(IF(IF(TRIM(S268)="Link / file path",AND(LEN(TRIM(Z268))&gt;=5,SUMPRODUCT(--ISNUMBER(SEARCH({"http","www.","\\",":\",".pdf",".jpg",".jpeg",".png",".heic",".xls",".doc",".msg",".eml",".ppt",".txt",".zip"},Z268)))&gt;0),AND(ISERROR(FIND(" ",TRIM(Z268))),NOT(OR(SUMPRODUCT(--ISNUMBER(FIND({",",";","&amp;","+"},Z268)))&gt;0,SUMPRODUCT(--ISNUMBER(SEARCH({"0/aa","0\\aa"},BN268)))&gt;0)),NOT(SUMPRODUCT(--ISNUMBER(SEARCH({"http","www.","\\",":\",".pdf",".jpg",".jpeg",".png",".heic",".xls",".doc",".msg",".eml",".ppt",".txt",".zip"},Z268)))&gt;0),NOT(LOWER(TRIM(Z268))=LOWER(Flights!$F$12)),ISNA(MATCH(BU268,{"mh","rev","revision","ver","version","v","r","a","b","seat","tray","row","gate","bay","stand","page","pg","item","line","no","cart","galley","flight","flt","table","box","bag","oven","etd","eta","std","sta","atd","ata","qty","pax","x","time","tel","ph","mob","day","wk","week","utc","gmt","myt","lt"},0)),NOT(OR(ISNUMBER(MATCH(LEFT(BN268,255),{"0000a","000a","00a","0000aa","000aa","00aa","0aa","0000aaa","000aaa","00a00","0a00","0000-0000","00:00","a00","a0","00.00.0000","00/00/0000","00-00-0000","0000-00-00","0000/00/00","0000.00.00","00.00.00","00/00/00","00-00-00","0.00.0000","0/00/0000","0-00-0000"},0)),ISNUMBER(MATCH(LEFT(BT268,255),{"0000a","000a","00a","0000aa","000aa","00aa","0aa","0000aaa","000aaa","00a00","0a00","0000-0000","00:00","a00","a0","00.00.0000","00/00/0000","00-00-0000","0000-00-00","0000/00/00","0000.00.00","00.00.00","00/00/00","00-00-00","0.00.0000","0/00/0000","0-00-0000"},0)))),NOT(OR(AND(BW268&lt;&gt;"",SUBSTITUTE(BW268,"0","")=""),AND(LEN(BW268)&gt;=4,BW268=REPT(LEFT(BW268),LEN(BW268))),ISNUMBER(MATCH(BW268,{"123","1234","12345","123456","1234567","12345678","0123","01234","012345","98765","987654","54321"},0)),ISNUMBER(MATCH(BX268,{"x","xx","xxx","xxxx","xxxxx","abc","abcd","nil","na","nan","test","tbc","tba","tbd","dummy","sample","example","eg","zz","zzz","none","null","xyz","qwe","asd","id","ref"},0)),AND(LEN(BW268)=8,BX268="",OR(LEFT(BW268,3)="202",ISNUMBER(MATCH(RIGHT(BW268,4),{"2025","2026","2027"},0)))))),OR(AND((LEN(BT268)-LEN(SUBSTITUTE(BT268,"a","")))&gt;=1,(LEN(BN268)-LEN(SUBSTITUTE(BN268,"0","")))&gt;=2,SUMPRODUCT(--ISNUMBER(SEARCH({"a0","a-0","a_0","a/0","a.0","a#0","0a","0-a","0_a","0/a"},BN268)))&gt;0),AND((LEN(BN268)-LEN(SUBSTITUTE(BN268,"a","")))=0,(LEN(BN268)-LEN(SUBSTITUTE(BN268,"0","")))&gt;=5)))),1,0),0)</f>
        <v>0</v>
      </c>
      <c r="CA2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268,"revision",""),"version",""),"jan",""),"feb",""),"mar",""),"apr",""),"may",""),"jun",""),"jul",""),"aug",""),"sep",""),"oct",""),"nov",""),"dec",""),"utc",""),"gmt",""),"myt",""),"bst",""),"rev",""),"ver",""),"b","a"),"c","a"),"d","a"),"e","a"),"f","a"),"g","a"),"h","a"),"i","a"),"j","a"),"k","a"),"l","a"),"m","a"),"n","a"),"o","a"),"p","a"),"q","a"),"r","a"),"s","a"),"t","a"),"u","a"),"v","a"),"w","a"),"x","a"),"y","a"),"z","a")</f>
        <v/>
      </c>
      <c r="CB2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268&amp;""),"a",""),"b",""),"c",""),"d",""),"e",""),"f",""),"g",""),"h",""),"i",""),"j",""),"k",""),"l",""),"m",""),"n",""),"o",""),"p",""),"q",""),"r",""),"s",""),"t",""),"u",""),"v",""),"w",""),"x",""),"y",""),"z",""),"-",""),"_",""),"/",""),".",""),"#",""),"\\",""),":","")," ",""),"(",""),")","")</f>
        <v/>
      </c>
      <c r="CC268" s="0" t="str">
        <f aca="false">" "&amp;TRIM(SUBSTITUTE(SUBSTITUTE(SUBSTITUTE(SUBSTITUTE(SUBSTITUTE(SUBSTITUTE(SUBSTITUTE(SUBSTITUTE(SUBSTITUTE(SUBSTITUTE(SUBSTITUTE(SUBSTITUTE(SUBSTITUTE(SUBSTITUTE(SUBSTITUTE(SUBSTITUTE(SUBSTITUTE(SUBSTITUTE(SUBSTITUTE(SUBSTITUTE(SUBSTITUTE(SUBSTITUTE(SUBSTITUTE(SUBSTITUTE(LOWER(T268&amp;""),CHAR(10)," "),CHAR(13)," "),CHAR(9)," "),CHAR(160)," "),"."," "),","," "),"-"," "),"/"," "),"("," "),")"," "),":"," "),";"," "),"_"," "),"–"," "),"?"," "),"!"," "),"*"," "),"["," "),"]"," "),"'"," "),"#"," "),"+"," "),"&amp;"," "),"\"," "))&amp;" "</f>
        <v>  </v>
      </c>
      <c r="CD268" s="0" t="str">
        <f aca="false">" "&amp;TRIM(SUBSTITUTE(SUBSTITUTE(SUBSTITUTE(SUBSTITUTE(SUBSTITUTE(SUBSTITUTE(SUBSTITUTE(SUBSTITUTE(SUBSTITUTE(SUBSTITUTE(SUBSTITUTE(SUBSTITUTE(SUBSTITUTE(SUBSTITUTE(SUBSTITUTE(SUBSTITUTE(SUBSTITUTE(SUBSTITUTE(SUBSTITUTE(SUBSTITUTE(SUBSTITUTE(SUBSTITUTE(SUBSTITUTE(SUBSTITUTE(LOWER(AE268&amp;""),CHAR(10)," "),CHAR(13)," "),CHAR(9)," "),CHAR(160)," "),"."," "),","," "),"-"," "),"/"," "),"("," "),")"," "),":"," "),";"," "),"_"," "),"–"," "),"?"," "),"!"," "),"*"," "),"["," "),"]"," "),"'"," "),"#"," "),"+"," "),"&amp;"," "),"\"," "))&amp;" "</f>
        <v>  </v>
      </c>
      <c r="CE268" s="68" t="n">
        <f aca="false">IFERROR(IF(AND(LEN(AU268)&gt;0,LEN(AU268)=LEN(AX268),OR(TRIM(MID(SUBSTITUTE(TRIM(CC268)," ",REPT(" ",60)),1,60))="",ISNUMBER(SEARCH(" "&amp;TRIM(MID(SUBSTITUTE(TRIM(CC268)," ",REPT(" ",60)),1,60))&amp;" ",CD268))),OR(TRIM(MID(SUBSTITUTE(TRIM(CC268)," ",REPT(" ",60)),61,60))="",ISNUMBER(SEARCH(" "&amp;TRIM(MID(SUBSTITUTE(TRIM(CC268)," ",REPT(" ",60)),61,60))&amp;" ",CD268))),OR(TRIM(MID(SUBSTITUTE(TRIM(CC268)," ",REPT(" ",60)),121,60))="",ISNUMBER(SEARCH(" "&amp;TRIM(MID(SUBSTITUTE(TRIM(CC268)," ",REPT(" ",60)),121,60))&amp;" ",CD268)))),1,0),0)</f>
        <v>0</v>
      </c>
      <c r="CG268" s="68" t="n">
        <f aca="false">IFERROR(LEN(SUBSTITUTE(BF268," ",""))-SUMPRODUCT((LEN(BF268)-LEN(SUBSTITUTE(BF268," "&amp;L_NAFiller&amp;" "," ")))/(LEN(L_NAFiller)+1)*LEN(L_NAFiller)),0)</f>
        <v>0</v>
      </c>
    </row>
    <row r="269" customFormat="false" ht="39.75" hidden="false" customHeight="true" outlineLevel="0" collapsed="false">
      <c r="A269" s="57" t="s">
        <v>840</v>
      </c>
      <c r="B269" s="57" t="s">
        <v>238</v>
      </c>
      <c r="C269" s="57" t="str">
        <f aca="false">Flights!$F$12</f>
        <v>MH0752</v>
      </c>
      <c r="D269" s="58" t="n">
        <f aca="false">Flights!$D$12</f>
        <v>46305</v>
      </c>
      <c r="E269" s="57" t="str">
        <f aca="false">Flights!$G$12&amp;"-"&amp;Flights!$H$12</f>
        <v>KUL-HAN</v>
      </c>
      <c r="F269" s="57" t="str">
        <f aca="false">Flights!$K$12</f>
        <v>EY</v>
      </c>
      <c r="G269" s="57" t="s">
        <v>81</v>
      </c>
      <c r="H269" s="57" t="s">
        <v>378</v>
      </c>
      <c r="I269" s="57" t="s">
        <v>405</v>
      </c>
      <c r="J269" s="57" t="s">
        <v>409</v>
      </c>
      <c r="K269" s="67" t="s">
        <v>407</v>
      </c>
      <c r="L269" s="67" t="s">
        <v>382</v>
      </c>
      <c r="M269" s="67"/>
      <c r="N269" s="67" t="s">
        <v>383</v>
      </c>
      <c r="O269" s="67"/>
      <c r="P269" s="57" t="s">
        <v>187</v>
      </c>
      <c r="Q269" s="59" t="n">
        <f aca="false">ROUND((Flights!$AC$12)*1440,0)/1440</f>
        <v>46298.0659722222</v>
      </c>
      <c r="R269" s="59" t="n">
        <f aca="false">Q269+(IF(AND(INDEX(TZ_DSTS,MATCH(P269,TZ_STN,0))&lt;&gt;"",Q269&gt;=INDEX(TZ_DSTS,MATCH(P269,TZ_STN,0)),Q269&lt;INDEX(TZ_DSTE,MATCH(P269,TZ_STN,0))),INDEX(TZ_DST,MATCH(P269,TZ_STN,0)),INDEX(TZ_STD,MATCH(P269,TZ_STN,0))))/24</f>
        <v>46298.3993055556</v>
      </c>
      <c r="S269" s="60"/>
      <c r="T269" s="60"/>
      <c r="U269" s="60"/>
      <c r="V269" s="60"/>
      <c r="W269" s="61"/>
      <c r="X269" s="60"/>
      <c r="Y269" s="60"/>
      <c r="Z269" s="60"/>
      <c r="AA269" s="60"/>
      <c r="AB269" s="60"/>
      <c r="AC269" s="60"/>
      <c r="AD269" s="66"/>
      <c r="AE269" s="60"/>
      <c r="AF269" s="61" t="str">
        <f aca="false">IF(AND(ISNUMBER(X269),ISNUMBER(Y269)),Y269-X269,"")</f>
        <v/>
      </c>
      <c r="AG269" s="62" t="str">
        <f aca="false">IF(ISNUMBER(AD269),AD269-(IF(AND(INDEX(TZ_DSTS,MATCH(P269,TZ_STN,0))&lt;&gt;"",(AD269-INDEX(TZ_STD,MATCH(P269,TZ_STN,0))/24)&gt;=INDEX(TZ_DSTS,MATCH(P269,TZ_STN,0)),(AD269-INDEX(TZ_STD,MATCH(P269,TZ_STN,0))/24)&lt;INDEX(TZ_DSTE,MATCH(P269,TZ_STN,0))),INDEX(TZ_DST,MATCH(P269,TZ_STN,0)),INDEX(TZ_STD,MATCH(P269,TZ_STN,0))))/24,"")</f>
        <v/>
      </c>
      <c r="AH269" s="65" t="str">
        <f aca="false">IFERROR(IF(N269="N/A – rule",IF(OR(TRIM(U269)="",TRIM(U269)="N/A",TRIM(U269)="Not started"),"N/A – RULE","INVALID – this check does not apply to this aircraft: clear the status (or correct the fleet on Flights)"),IF(TRIM(U269)="N/A",IF(AT269=0,"INVALID – N/A not permitted for this check",IF(AND(TRIM(AB269)&lt;&gt;"",TRIM(AB269)&lt;&gt;"Closed"),"INVALID – corrective action still open",IF(AND(NOT(OR(LEN(AZ269)&lt;15,ISNUMBER(MATCH(AZ269,L_Placeholder,0)))),BK269=0,CG269&gt;=8,NOT(OR(LEN(AU269)&lt;2,ISNUMBER(MATCH(AU269,L_Placeholder,0)))),BR269&gt;=3,NOT(OR(LEN(AX269)&lt;2,ISNUMBER(MATCH(AX269,L_Placeholder,0)))),BS269&gt;=3,TRIM(AE269)&lt;&gt;TRIM(T269),AX269&lt;&gt;AU269,CE269=0),"N/A – JUSTIFIED","INVALID – N/A needs a real, settled reason (not 'not applicable' / 'as above' / TBC), a named PIC and a different named verifier"))),IF(OR(TRIM(U269)="Pass",TRIM(U269)="Pass after CA"),IF(NOT(ISNUMBER(AD269)),"INVALID – completion time missing",IF(OR(OR(LEN(AU269)&lt;2,ISNUMBER(MATCH(AU269,L_Placeholder,0))),BR269&lt;3),"INVALID – PIC missing or not a named person (a role such as QA / CSM is not a name)",IF(OR(LEN(AV269)&lt;2,ISNUMBER(MATCH(AV269,L_Placeholder,0))),"INVALID – result / assessment missing",IF(OR(OR(LEN(AW269)&lt;3,ISNUMBER(MATCH(AW269,L_Placeholder,0))),SUMPRODUCT(--ISNUMBER(SEARCH(" "&amp;L_EvidencePhrase&amp;" ",BD269)))&gt;0,BI269=1),"INVALID – evidence missing, placeholder or not yet on file",IF(ISNA(MATCH(TRIM(S269),L_EvidenceType,0)),"INVALID – choose the evidence type from the list (column S)",IF(BL269=0,"INVALID – evidence ID must be the record's own ID only (e.g. SF-2210, IMG_2231, 1045521); a link / file name needs type 'Link / file path'",IF(OR(OR(LEN(AX269)&lt;2,ISNUMBER(MATCH(AX269,L_Placeholder,0))),BS269&lt;3),"INVALID – verifier missing or not a named person (a role such as QA / CSM is not a name)",IF(OR(AX269=AU269,CE269=1,AND(LEN(AU269)&gt;=4,ISNUMBER(SEARCH(AU269,AX269))),AND(LEN(AX269)&gt;=4,ISNUMBER(SEARCH(AX269,AU269)))),"INVALID – verifier must be a different, named person (not the PIC or a role)",IF(BH269=1,"INVALID – result not yet available (awaiting / TBC)",IF(BG269=1,"INVALID – result describes a problem: record Fail, then Pass after CA (or reword if it is not a problem)",IF(BV269=1,"INVALID – wording says not on board: an on-board confirmation needs the item loaded",IF(AND(AQ269=1,OR(OR(LEN(AY269)&lt;3,ISNUMBER(MATCH(AY269,L_Placeholder,0))),BJ269=1,BQ269=0)),"INVALID – batch ID missing, placeholder or not an ID (e.g. PASB-261008-BC-017)",IF(AND(AR269=1,OR(NOT(ISNUMBER(X269)),NOT(ISNUMBER(Y269)))),"INVALID – expected/actual qty missing",IF(AND(AR269=1,OR(X269&lt;=0,Y269&lt;0)),"INVALID – expected qty must be above 0 and actual not negative",IF(BB269&lt;&gt;"",BB269,IF(AND(AS269=1,Documents!$J$12&lt;&gt;"ON FILE"),"INVALID – GLD not on file (Documents sheet)",IF(AND(AS269=2,Documents!$O$12&lt;&gt;"ON FILE"),"INVALID – menu checklist not on file (Documents sheet)",IF(AND(AS269=3,NOT(ISNUMBER(Flights!$AX$12))),"INVALID – enter carrying flight KUL departure (Flights AX)",IF(AND(AS269=3,OR(Flights!$AZ$12&gt;Flights!$AA$12,Flights!$AX$12&lt;Flights!$AA$12-3)),"INVALID – carrying flight (Flights AX) cannot arrive before this leg's STD, or is over 3 days early",IF(AG269&gt;AsOfUTC,"INVALID – completion time is in the future",IF(AND(ISNUMBER(BY269),AG269&lt;BY269),IF(H269="Physical uplift","INVALID – before uplift window (cannot confirm loading)","INVALID – before valid window"),IF(AG269&gt;Flights!$AA$12,"INVALID – completed after departure (cannot establish readiness)",IF(AND(H269="Preparation",AG269&gt;=IF(ISNUMBER(Flights!$BA$12),MIN(Flights!$BA$12,Flights!$AA$12),Flights!$AA$12)),"INVALID – completed after loading / departure (cannot establish readiness)",IF(AND(H269="Physical uplift",AG269&gt;Q269),"INVALID – recorded after the loading flight departed",IF(AG269&gt;Q269,"COMPLETE – LATE","COMPLETE"))))))))))))))))))))))))),IF(TRIM(U269)="Fail","FAIL – DISCREPANCY",IF(AND(TRIM(U269)&lt;&gt;"",TRIM(U269)&lt;&gt;"Not started",TRIM(U269)&lt;&gt;"In progress"),"INVALID – unrecognised status (use the list)",IF(AsOfUTC&gt;Q269,"OVERDUE",IF(N269="Clarification required","OPEN – CLARIFICATION","OPEN"))))))),"INVALID – error value in an input cell")</f>
        <v>OPEN</v>
      </c>
      <c r="AI269" s="61" t="n">
        <f aca="false">IF(OR(AH269="N/A – RULE",AH269="N/A – JUSTIFIED"),0,1)</f>
        <v>1</v>
      </c>
      <c r="AJ269" s="61" t="n">
        <f aca="false">IF(LEFT(AH269,8)="COMPLETE",1,0)</f>
        <v>0</v>
      </c>
      <c r="AK269" s="61" t="n">
        <f aca="false">IF(AND(AI269=1,AJ269=0,AsOfUTC&gt;Q269),1,0)</f>
        <v>0</v>
      </c>
      <c r="AL269" s="61" t="n">
        <f aca="false">IFERROR(IF(AND(AI269=1,OR(TRIM(U269)="Fail",AND(TRIM(AB269)&lt;&gt;"",TRIM(AB269)&lt;&gt;"Closed"),AND(ISNUMBER(AF269),AF269&lt;&gt;0,TRIM(U269)&lt;&gt;"Pass after CA"))),1,0),1)</f>
        <v>0</v>
      </c>
      <c r="AM269" s="61" t="n">
        <f aca="false">IF(LEFT(AH269,7)="INVALID",1,0)</f>
        <v>0</v>
      </c>
      <c r="AN269" s="61" t="n">
        <f aca="false">IF(AND(N269="Clarification required",AI269=1,AJ269=0),1,0)</f>
        <v>0</v>
      </c>
      <c r="AO269" s="61" t="str">
        <f aca="false">IF(AK269=1,SUM(AK$5:AK269),"")</f>
        <v/>
      </c>
      <c r="AP269" s="61" t="str">
        <f aca="false">IF(AL269=1,SUM(AL$5:AL269),"")</f>
        <v/>
      </c>
      <c r="AQ269" s="61" t="n">
        <v>0</v>
      </c>
      <c r="AR269" s="61" t="n">
        <v>0</v>
      </c>
      <c r="AS269" s="61" t="n">
        <v>2</v>
      </c>
      <c r="AT269" s="61" t="n">
        <v>0</v>
      </c>
      <c r="AU269" s="61" t="str">
        <f aca="false">SUBSTITUTE(SUBSTITUTE(SUBSTITUTE(SUBSTITUTE(SUBSTITUTE(SUBSTITUTE(SUBSTITUTE(SUBSTITUTE(SUBSTITUTE(SUBSTITUTE(SUBSTITUTE(SUBSTITUTE(SUBSTITUTE(SUBSTITUTE(SUBSTITUTE(SUBSTITUTE(LOWER(T269&amp;""),CHAR(10),""),CHAR(13),""),CHAR(9),""),CHAR(160),"")," ",""),".",""),"-",""),"/",""),"?",""),"_",""),",",""),"[",""),"]",""),"(",""),")",""),"*","")</f>
        <v/>
      </c>
      <c r="AV269" s="61" t="str">
        <f aca="false">SUBSTITUTE(SUBSTITUTE(SUBSTITUTE(SUBSTITUTE(SUBSTITUTE(SUBSTITUTE(SUBSTITUTE(SUBSTITUTE(SUBSTITUTE(SUBSTITUTE(SUBSTITUTE(SUBSTITUTE(SUBSTITUTE(SUBSTITUTE(SUBSTITUTE(SUBSTITUTE(LOWER(V269&amp;""),CHAR(10),""),CHAR(13),""),CHAR(9),""),CHAR(160),"")," ",""),".",""),"-",""),"/",""),"?",""),"_",""),",",""),"[",""),"]",""),"(",""),")",""),"*","")</f>
        <v/>
      </c>
      <c r="AW269" s="61" t="str">
        <f aca="false">SUBSTITUTE(SUBSTITUTE(SUBSTITUTE(SUBSTITUTE(SUBSTITUTE(SUBSTITUTE(SUBSTITUTE(SUBSTITUTE(SUBSTITUTE(SUBSTITUTE(SUBSTITUTE(SUBSTITUTE(SUBSTITUTE(SUBSTITUTE(SUBSTITUTE(SUBSTITUTE(LOWER(Z269&amp;""),CHAR(10),""),CHAR(13),""),CHAR(9),""),CHAR(160),"")," ",""),".",""),"-",""),"/",""),"?",""),"_",""),",",""),"[",""),"]",""),"(",""),")",""),"*","")</f>
        <v/>
      </c>
      <c r="AX269" s="61" t="str">
        <f aca="false">SUBSTITUTE(SUBSTITUTE(SUBSTITUTE(SUBSTITUTE(SUBSTITUTE(SUBSTITUTE(SUBSTITUTE(SUBSTITUTE(SUBSTITUTE(SUBSTITUTE(SUBSTITUTE(SUBSTITUTE(SUBSTITUTE(SUBSTITUTE(SUBSTITUTE(SUBSTITUTE(LOWER(AE269&amp;""),CHAR(10),""),CHAR(13),""),CHAR(9),""),CHAR(160),"")," ",""),".",""),"-",""),"/",""),"?",""),"_",""),",",""),"[",""),"]",""),"(",""),")",""),"*","")</f>
        <v/>
      </c>
      <c r="AY269" s="61" t="str">
        <f aca="false">SUBSTITUTE(SUBSTITUTE(SUBSTITUTE(SUBSTITUTE(SUBSTITUTE(SUBSTITUTE(SUBSTITUTE(SUBSTITUTE(SUBSTITUTE(SUBSTITUTE(SUBSTITUTE(SUBSTITUTE(SUBSTITUTE(SUBSTITUTE(SUBSTITUTE(SUBSTITUTE(LOWER(W269&amp;""),CHAR(10),""),CHAR(13),""),CHAR(9),""),CHAR(160),"")," ",""),".",""),"-",""),"/",""),"?",""),"_",""),",",""),"[",""),"]",""),"(",""),")",""),"*","")</f>
        <v/>
      </c>
      <c r="AZ269" s="61" t="str">
        <f aca="false">SUBSTITUTE(SUBSTITUTE(SUBSTITUTE(SUBSTITUTE(SUBSTITUTE(SUBSTITUTE(SUBSTITUTE(SUBSTITUTE(SUBSTITUTE(SUBSTITUTE(SUBSTITUTE(SUBSTITUTE(SUBSTITUTE(SUBSTITUTE(SUBSTITUTE(SUBSTITUTE(LOWER(AC269&amp;""),CHAR(10),""),CHAR(13),""),CHAR(9),""),CHAR(160),"")," ",""),".",""),"-",""),"/",""),"?",""),"_",""),",",""),"[",""),"]",""),"(",""),")",""),"*","")</f>
        <v/>
      </c>
      <c r="BA269" s="61" t="str">
        <f aca="false">SUBSTITUTE(SUBSTITUTE(SUBSTITUTE(SUBSTITUTE(SUBSTITUTE(SUBSTITUTE(SUBSTITUTE(SUBSTITUTE(SUBSTITUTE(SUBSTITUTE(SUBSTITUTE(SUBSTITUTE(SUBSTITUTE(SUBSTITUTE(SUBSTITUTE(SUBSTITUTE(LOWER(AA269&amp;""),CHAR(10),""),CHAR(13),""),CHAR(9),""),CHAR(160),"")," ",""),".",""),"-",""),"/",""),"?",""),"_",""),",",""),"[",""),"]",""),"(",""),")",""),"*","")</f>
        <v/>
      </c>
      <c r="BB269" s="61" t="str">
        <f aca="false">IF(AND(TRIM(U269)="Pass",ISNUMBER(AF269)),IF(AF269&lt;&gt;0,"INVALID – qty variance: use Fail or Pass after CA",""),"")&amp;IF(AND(TRIM(U269)="Pass after CA",ISNUMBER(AF269)),IF(AF269&lt;&gt;0,"INVALID – after the corrective action the actual qty must equal expected (update Actual)",""),"")&amp;IF(AND(TRIM(U269)="Pass",TRIM(AB269)&lt;&gt;"",TRIM(AB269)&lt;&gt;"Closed"),"INVALID – corrective action not closed: use Fail, then Pass after CA","")&amp;IF(AND(LEN(BA269)&gt;=2,ISNA(MATCH(LEFT(BA269,255),L_Placeholder,0)),TRIM(AB269)=""),"INVALID – CA status missing for the recorded corrective action","")&amp;IF(AND(TRIM(U269)="Pass after CA",OR(OR(LEN(BA269)&lt;5,ISNUMBER(MATCH(BA269,L_Placeholder,0))),TRIM(AB269)&lt;&gt;"Closed")),"INVALID – corrective action not recorded/closed","")</f>
        <v/>
      </c>
      <c r="BC269" s="61" t="str">
        <f aca="false">" "&amp;TRIM(SUBSTITUTE(SUBSTITUTE(SUBSTITUTE(SUBSTITUTE(SUBSTITUTE(SUBSTITUTE(SUBSTITUTE(SUBSTITUTE(SUBSTITUTE(SUBSTITUTE(SUBSTITUTE(SUBSTITUTE(SUBSTITUTE(SUBSTITUTE(SUBSTITUTE(SUBSTITUTE(SUBSTITUTE(SUBSTITUTE(SUBSTITUTE(SUBSTITUTE(SUBSTITUTE(SUBSTITUTE(SUBSTITUTE(SUBSTITUTE(LOWER(V269&amp;""),CHAR(10)," "),CHAR(13)," "),CHAR(9)," "),CHAR(160)," "),"."," "),","," "),"-"," "),"/"," "),"("," "),")"," "),":"," "),";"," "),"_"," "),"–"," "),"?"," "),"!"," "),"*"," "),"["," "),"]"," "),"'"," "),"#"," "),"+"," "),"&amp;"," "),"\"," "))&amp;" "</f>
        <v>  </v>
      </c>
      <c r="BD269" s="61" t="str">
        <f aca="false">" "&amp;TRIM(SUBSTITUTE(SUBSTITUTE(SUBSTITUTE(SUBSTITUTE(SUBSTITUTE(SUBSTITUTE(SUBSTITUTE(SUBSTITUTE(SUBSTITUTE(SUBSTITUTE(SUBSTITUTE(SUBSTITUTE(SUBSTITUTE(SUBSTITUTE(SUBSTITUTE(SUBSTITUTE(SUBSTITUTE(SUBSTITUTE(SUBSTITUTE(SUBSTITUTE(SUBSTITUTE(SUBSTITUTE(SUBSTITUTE(SUBSTITUTE(LOWER(Z269&amp;""),CHAR(10)," "),CHAR(13)," "),CHAR(9)," "),CHAR(160)," "),"."," "),","," "),"-"," "),"/"," "),"("," "),")"," "),":"," "),";"," "),"_"," "),"–"," "),"?"," "),"!"," "),"*"," "),"["," "),"]"," "),"'"," "),"#"," "),"+"," "),"&amp;"," "),"\"," "))&amp;" "</f>
        <v>  </v>
      </c>
      <c r="BE269" s="61" t="str">
        <f aca="false">" "&amp;TRIM(SUBSTITUTE(SUBSTITUTE(SUBSTITUTE(SUBSTITUTE(SUBSTITUTE(SUBSTITUTE(SUBSTITUTE(SUBSTITUTE(SUBSTITUTE(SUBSTITUTE(SUBSTITUTE(SUBSTITUTE(SUBSTITUTE(SUBSTITUTE(SUBSTITUTE(SUBSTITUTE(SUBSTITUTE(SUBSTITUTE(SUBSTITUTE(SUBSTITUTE(SUBSTITUTE(SUBSTITUTE(SUBSTITUTE(SUBSTITUTE(LOWER(W269&amp;""),CHAR(10)," "),CHAR(13)," "),CHAR(9)," "),CHAR(160)," "),"."," "),","," "),"-"," "),"/"," "),"("," "),")"," "),":"," "),";"," "),"_"," "),"–"," "),"?"," "),"!"," "),"*"," "),"["," "),"]"," "),"'"," "),"#"," "),"+"," "),"&amp;"," "),"\"," "))&amp;" "</f>
        <v>  </v>
      </c>
      <c r="BF269" s="61" t="str">
        <f aca="false">" "&amp;TRIM(SUBSTITUTE(SUBSTITUTE(SUBSTITUTE(SUBSTITUTE(SUBSTITUTE(SUBSTITUTE(SUBSTITUTE(SUBSTITUTE(SUBSTITUTE(SUBSTITUTE(SUBSTITUTE(SUBSTITUTE(SUBSTITUTE(SUBSTITUTE(SUBSTITUTE(SUBSTITUTE(SUBSTITUTE(SUBSTITUTE(SUBSTITUTE(SUBSTITUTE(SUBSTITUTE(SUBSTITUTE(SUBSTITUTE(SUBSTITUTE(LOWER(AC269&amp;""),CHAR(10)," "),CHAR(13)," "),CHAR(9)," "),CHAR(160)," "),"."," "),","," "),"-"," "),"/"," "),"("," "),")"," "),":"," "),";"," "),"_"," "),"–"," "),"?"," "),"!"," "),"*"," "),"["," "),"]"," "),"'"," "),"#"," "),"+"," "),"&amp;"," "),"\"," "))&amp;" "</f>
        <v>  </v>
      </c>
      <c r="BG269" s="61" t="n">
        <f aca="false">IFERROR(IF(AND(TRIM(U269)="Pass",SUMPRODUCT((LEN(BC269)-LEN(SUBSTITUTE(BC269," "&amp;L_ResultBad&amp;" "," ")))/(LEN(L_ResultBad)+1))&gt;SUMPRODUCT((LEN(BC269)-LEN(SUBSTITUTE(BC269," "&amp;L_NegPhrase&amp;" "," ")))/(LEN(L_NegPhrase)+1))),1,0),0)</f>
        <v>0</v>
      </c>
      <c r="BH269" s="61" t="n">
        <f aca="false">IFERROR(IF(SUMPRODUCT((LEN(BC269)-LEN(SUBSTITUTE(BC269," "&amp;L_Pending&amp;" "," ")))/(LEN(L_Pending)+1))&gt;SUMPRODUCT((LEN(BC269)-LEN(SUBSTITUTE(BC269," "&amp;L_PendNeg&amp;" "," ")))/(LEN(L_PendNeg)+1))+SUMPRODUCT((LEN(BC269)-LEN(SUBSTITUTE(BC269," "&amp;L_PendPrep&amp;" "," ")))/(LEN(L_PendPrep)+1)),1,0),1)</f>
        <v>0</v>
      </c>
      <c r="BI269" s="61" t="n">
        <f aca="false">IFERROR(IF(SUMPRODUCT((LEN(BD269)-LEN(SUBSTITUTE(BD269," "&amp;L_PendStrict&amp;" "," ")))/(LEN(L_PendStrict)+1))&gt;SUMPRODUCT((LEN(BD269)-LEN(SUBSTITUTE(BD269," "&amp;L_PendNeg&amp;" "," ")))/(LEN(L_PendNeg)+1)),1,0),1)</f>
        <v>0</v>
      </c>
      <c r="BJ269" s="61" t="n">
        <f aca="false">IFERROR(IF(SUMPRODUCT((LEN(BE269)-LEN(SUBSTITUTE(BE269," "&amp;L_Pending&amp;" "," ")))/(LEN(L_Pending)+1))&gt;SUMPRODUCT((LEN(BE269)-LEN(SUBSTITUTE(BE269," "&amp;L_PendNeg&amp;" "," ")))/(LEN(L_PendNeg)+1))+SUMPRODUCT((LEN(BE269)-LEN(SUBSTITUTE(BE269," "&amp;L_PendPrep&amp;" "," ")))/(LEN(L_PendPrep)+1)),1,0),1)</f>
        <v>0</v>
      </c>
      <c r="BK269" s="61" t="n">
        <f aca="false">IFERROR(IF(SUMPRODUCT((LEN(BF269)-LEN(SUBSTITUTE(BF269," "&amp;L_PendStrict&amp;" "," ")))/(LEN(L_PendStrict)+1))&gt;SUMPRODUCT((LEN(BF269)-LEN(SUBSTITUTE(BF269," "&amp;L_PendNeg&amp;" "," ")))/(LEN(L_PendNeg)+1)),1,0),1)</f>
        <v>0</v>
      </c>
      <c r="BL269" s="61" t="n">
        <f aca="false">IF(ISNA(MATCH(TRIM(S269),L_EvidenceType,0)),0,BZ269)</f>
        <v>0</v>
      </c>
      <c r="BM269" s="61" t="str">
        <f aca="false">SUBSTITUTE(SUBSTITUTE(SUBSTITUTE(SUBSTITUTE(SUBSTITUTE(SUBSTITUTE(SUBSTITUTE(SUBSTITUTE(SUBSTITUTE(LOWER(Z269&amp;""),"1","0"),"2","0"),"3","0"),"4","0"),"5","0"),"6","0"),"7","0"),"8","0"),"9","0")</f>
        <v/>
      </c>
      <c r="BN269" s="61" t="str">
        <f aca="false">SUBSTITUTE(SUBSTITUTE(SUBSTITUTE(SUBSTITUTE(SUBSTITUTE(SUBSTITUTE(SUBSTITUTE(SUBSTITUTE(SUBSTITUTE(SUBSTITUTE(SUBSTITUTE(SUBSTITUTE(SUBSTITUTE(SUBSTITUTE(SUBSTITUTE(SUBSTITUTE(SUBSTITUTE(SUBSTITUTE(SUBSTITUTE(SUBSTITUTE(SUBSTITUTE(SUBSTITUTE(SUBSTITUTE(SUBSTITUTE(SUBSTITUTE(BM269,"b","a"),"c","a"),"d","a"),"e","a"),"f","a"),"g","a"),"h","a"),"i","a"),"j","a"),"k","a"),"l","a"),"m","a"),"n","a"),"o","a"),"p","a"),"q","a"),"r","a"),"s","a"),"t","a"),"u","a"),"v","a"),"w","a"),"x","a"),"y","a"),"z","a")</f>
        <v/>
      </c>
      <c r="BO269" s="61" t="str">
        <f aca="false">SUBSTITUTE(SUBSTITUTE(SUBSTITUTE(SUBSTITUTE(SUBSTITUTE(SUBSTITUTE(SUBSTITUTE(SUBSTITUTE(SUBSTITUTE(LOWER(W269&amp;""),"1","0"),"2","0"),"3","0"),"4","0"),"5","0"),"6","0"),"7","0"),"8","0"),"9","0")</f>
        <v/>
      </c>
      <c r="BP269" s="61" t="str">
        <f aca="false">SUBSTITUTE(SUBSTITUTE(SUBSTITUTE(SUBSTITUTE(SUBSTITUTE(SUBSTITUTE(SUBSTITUTE(SUBSTITUTE(SUBSTITUTE(SUBSTITUTE(SUBSTITUTE(SUBSTITUTE(SUBSTITUTE(SUBSTITUTE(SUBSTITUTE(SUBSTITUTE(SUBSTITUTE(SUBSTITUTE(SUBSTITUTE(SUBSTITUTE(SUBSTITUTE(SUBSTITUTE(SUBSTITUTE(SUBSTITUTE(SUBSTITUTE(BO269,"b","a"),"c","a"),"d","a"),"e","a"),"f","a"),"g","a"),"h","a"),"i","a"),"j","a"),"k","a"),"l","a"),"m","a"),"n","a"),"o","a"),"p","a"),"q","a"),"r","a"),"s","a"),"t","a"),"u","a"),"v","a"),"w","a"),"x","a"),"y","a"),"z","a")</f>
        <v/>
      </c>
      <c r="BQ269" s="61" t="n">
        <f aca="false">IFERROR(IF(AND(ISERROR(SEARCH(" mh"," "&amp;LOWER(W269))),ISNA(MATCH(LEFT(TRIM(BP269),255),{"0000a","000a","00a","0000aa","000aa","00aa","0aa","0000aaa","000aaa","00a00","0a00","0000-0000","00:00","a00","a0","00.00.0000","00/00/0000","00-00-0000","0000-00-00","0000/00/00","0000.00.00","00.00.00","00/00/00","00-00-00","0.00.0000","0/00/0000","0-00-0000"},0)),ISNA(MATCH(LEFT(TRIM(CA269),255),{"0000a","000a","00a","0000aa","000aa","00aa","0aa","0000aaa","000aaa","00a00","0a00","0000-0000","00:00","a00","a0","00.00.0000","00/00/0000","00-00-0000","0000-00-00","0000/00/00","0000.00.00","00.00.00","00/00/00","00-00-00","0.00.0000","0/00/0000","0-00-0000"},0)),LEN(CB269)&gt;=3,NOT(OR(SUBSTITUTE(CB269,"0","")="",AND(LEN(CB269)&gt;=4,CB269=REPT(LEFT(CB269),LEN(CB269))),ISNUMBER(MATCH(CB269,{"123","1234","12345","123456","1234567","12345678","0123","01234","012345","98765","987654","54321"},0)),AND(LEN(CB269)=8,LEFT(CB269,3)="202"))),OR(AND((LEN(CA269)-LEN(SUBSTITUTE(CA269,"a","")))&gt;=1,SUMPRODUCT(--ISNUMBER(SEARCH({"a0","a-0","a_0","a/0","a.0","a#0","0a","0-a","0_a","0/a"},BP269)))&gt;0),ISNUMBER(SEARCH("000000",BP269)))),1,0),0)</f>
        <v>0</v>
      </c>
      <c r="BR269" s="61" t="n">
        <f aca="false">IFERROR(LEN(SUBSTITUTE(CC269," ",""))-SUMPRODUCT((LEN(CC269)-LEN(SUBSTITUTE(CC269," "&amp;L_Role&amp;" "," ")))/(LEN(L_Role)+1)*LEN(L_Role)),0)</f>
        <v>0</v>
      </c>
      <c r="BS269" s="61" t="n">
        <f aca="false">IFERROR(LEN(SUBSTITUTE(CD269," ",""))-SUMPRODUCT((LEN(CD269)-LEN(SUBSTITUTE(CD269," "&amp;L_Role&amp;" "," ")))/(LEN(L_Role)+1)*LEN(L_Role)),0)</f>
        <v>0</v>
      </c>
      <c r="BT2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269,"revision",""),"version",""),"jan",""),"feb",""),"mar",""),"apr",""),"may",""),"jun",""),"jul",""),"aug",""),"sep",""),"oct",""),"nov",""),"dec",""),"utc",""),"gmt",""),"myt",""),"bst",""),"rev",""),"ver",""),"b","a"),"c","a"),"d","a"),"e","a"),"f","a"),"g","a"),"h","a"),"i","a"),"j","a"),"k","a"),"l","a"),"m","a"),"n","a"),"o","a"),"p","a"),"q","a"),"r","a"),"s","a"),"t","a"),"u","a"),"v","a"),"w","a"),"x","a"),"y","a"),"z","a")</f>
        <v/>
      </c>
      <c r="BU269" s="61" t="str">
        <f aca="false">SUBSTITUTE(SUBSTITUTE(SUBSTITUTE(SUBSTITUTE(SUBSTITUTE(SUBSTITUTE(SUBSTITUTE(SUBSTITUTE(SUBSTITUTE(SUBSTITUTE(LEFT(BM269,FIND("0",BM269&amp;"0")-1),"-",""),"_",""),"/",""),".",""),"#",""),"\\",""),":","")," ",""),"(",""),")","")</f>
        <v/>
      </c>
      <c r="BV269" s="61" t="n">
        <f aca="false">0</f>
        <v>0</v>
      </c>
      <c r="BW2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269&amp;""),"a",""),"b",""),"c",""),"d",""),"e",""),"f",""),"g",""),"h",""),"i",""),"j",""),"k",""),"l",""),"m",""),"n",""),"o",""),"p",""),"q",""),"r",""),"s",""),"t",""),"u",""),"v",""),"w",""),"x",""),"y",""),"z",""),"-",""),"_",""),"/",""),".",""),"#",""),"\\",""),":","")," ",""),"(",""),")","")</f>
        <v/>
      </c>
      <c r="BX269" s="61" t="str">
        <f aca="false">SUBSTITUTE(SUBSTITUTE(SUBSTITUTE(SUBSTITUTE(SUBSTITUTE(SUBSTITUTE(SUBSTITUTE(SUBSTITUTE(SUBSTITUTE(SUBSTITUTE(SUBSTITUTE(BM269,"0",""),"-",""),"_",""),"/",""),".",""),"#",""),"\\",""),":","")," ",""),"(",""),")","")</f>
        <v/>
      </c>
      <c r="BY269" s="62" t="n">
        <f aca="false">Q269-T7EarlyD*24/24</f>
        <v>46284.0659722222</v>
      </c>
      <c r="BZ269" s="61" t="n">
        <f aca="false">IFERROR(IF(IF(TRIM(S269)="Link / file path",AND(LEN(TRIM(Z269))&gt;=5,SUMPRODUCT(--ISNUMBER(SEARCH({"http","www.","\\",":\",".pdf",".jpg",".jpeg",".png",".heic",".xls",".doc",".msg",".eml",".ppt",".txt",".zip"},Z269)))&gt;0),AND(ISERROR(FIND(" ",TRIM(Z269))),NOT(OR(SUMPRODUCT(--ISNUMBER(FIND({",",";","&amp;","+"},Z269)))&gt;0,SUMPRODUCT(--ISNUMBER(SEARCH({"0/aa","0\\aa"},BN269)))&gt;0)),NOT(SUMPRODUCT(--ISNUMBER(SEARCH({"http","www.","\\",":\",".pdf",".jpg",".jpeg",".png",".heic",".xls",".doc",".msg",".eml",".ppt",".txt",".zip"},Z269)))&gt;0),NOT(LOWER(TRIM(Z269))=LOWER(Flights!$F$12)),ISNA(MATCH(BU269,{"mh","rev","revision","ver","version","v","r","a","b","seat","tray","row","gate","bay","stand","page","pg","item","line","no","cart","galley","flight","flt","table","box","bag","oven","etd","eta","std","sta","atd","ata","qty","pax","x","time","tel","ph","mob","day","wk","week","utc","gmt","myt","lt"},0)),NOT(OR(ISNUMBER(MATCH(LEFT(BN269,255),{"0000a","000a","00a","0000aa","000aa","00aa","0aa","0000aaa","000aaa","00a00","0a00","0000-0000","00:00","a00","a0","00.00.0000","00/00/0000","00-00-0000","0000-00-00","0000/00/00","0000.00.00","00.00.00","00/00/00","00-00-00","0.00.0000","0/00/0000","0-00-0000"},0)),ISNUMBER(MATCH(LEFT(BT269,255),{"0000a","000a","00a","0000aa","000aa","00aa","0aa","0000aaa","000aaa","00a00","0a00","0000-0000","00:00","a00","a0","00.00.0000","00/00/0000","00-00-0000","0000-00-00","0000/00/00","0000.00.00","00.00.00","00/00/00","00-00-00","0.00.0000","0/00/0000","0-00-0000"},0)))),NOT(OR(AND(BW269&lt;&gt;"",SUBSTITUTE(BW269,"0","")=""),AND(LEN(BW269)&gt;=4,BW269=REPT(LEFT(BW269),LEN(BW269))),ISNUMBER(MATCH(BW269,{"123","1234","12345","123456","1234567","12345678","0123","01234","012345","98765","987654","54321"},0)),ISNUMBER(MATCH(BX269,{"x","xx","xxx","xxxx","xxxxx","abc","abcd","nil","na","nan","test","tbc","tba","tbd","dummy","sample","example","eg","zz","zzz","none","null","xyz","qwe","asd","id","ref"},0)),AND(LEN(BW269)=8,BX269="",OR(LEFT(BW269,3)="202",ISNUMBER(MATCH(RIGHT(BW269,4),{"2025","2026","2027"},0)))))),OR(AND((LEN(BT269)-LEN(SUBSTITUTE(BT269,"a","")))&gt;=1,(LEN(BN269)-LEN(SUBSTITUTE(BN269,"0","")))&gt;=2,SUMPRODUCT(--ISNUMBER(SEARCH({"a0","a-0","a_0","a/0","a.0","a#0","0a","0-a","0_a","0/a"},BN269)))&gt;0),AND((LEN(BN269)-LEN(SUBSTITUTE(BN269,"a","")))=0,(LEN(BN269)-LEN(SUBSTITUTE(BN269,"0","")))&gt;=5)))),1,0),0)</f>
        <v>0</v>
      </c>
      <c r="CA2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269,"revision",""),"version",""),"jan",""),"feb",""),"mar",""),"apr",""),"may",""),"jun",""),"jul",""),"aug",""),"sep",""),"oct",""),"nov",""),"dec",""),"utc",""),"gmt",""),"myt",""),"bst",""),"rev",""),"ver",""),"b","a"),"c","a"),"d","a"),"e","a"),"f","a"),"g","a"),"h","a"),"i","a"),"j","a"),"k","a"),"l","a"),"m","a"),"n","a"),"o","a"),"p","a"),"q","a"),"r","a"),"s","a"),"t","a"),"u","a"),"v","a"),"w","a"),"x","a"),"y","a"),"z","a")</f>
        <v/>
      </c>
      <c r="CB2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269&amp;""),"a",""),"b",""),"c",""),"d",""),"e",""),"f",""),"g",""),"h",""),"i",""),"j",""),"k",""),"l",""),"m",""),"n",""),"o",""),"p",""),"q",""),"r",""),"s",""),"t",""),"u",""),"v",""),"w",""),"x",""),"y",""),"z",""),"-",""),"_",""),"/",""),".",""),"#",""),"\\",""),":","")," ",""),"(",""),")","")</f>
        <v/>
      </c>
      <c r="CC269" s="0" t="str">
        <f aca="false">" "&amp;TRIM(SUBSTITUTE(SUBSTITUTE(SUBSTITUTE(SUBSTITUTE(SUBSTITUTE(SUBSTITUTE(SUBSTITUTE(SUBSTITUTE(SUBSTITUTE(SUBSTITUTE(SUBSTITUTE(SUBSTITUTE(SUBSTITUTE(SUBSTITUTE(SUBSTITUTE(SUBSTITUTE(SUBSTITUTE(SUBSTITUTE(SUBSTITUTE(SUBSTITUTE(SUBSTITUTE(SUBSTITUTE(SUBSTITUTE(SUBSTITUTE(LOWER(T269&amp;""),CHAR(10)," "),CHAR(13)," "),CHAR(9)," "),CHAR(160)," "),"."," "),","," "),"-"," "),"/"," "),"("," "),")"," "),":"," "),";"," "),"_"," "),"–"," "),"?"," "),"!"," "),"*"," "),"["," "),"]"," "),"'"," "),"#"," "),"+"," "),"&amp;"," "),"\"," "))&amp;" "</f>
        <v>  </v>
      </c>
      <c r="CD269" s="0" t="str">
        <f aca="false">" "&amp;TRIM(SUBSTITUTE(SUBSTITUTE(SUBSTITUTE(SUBSTITUTE(SUBSTITUTE(SUBSTITUTE(SUBSTITUTE(SUBSTITUTE(SUBSTITUTE(SUBSTITUTE(SUBSTITUTE(SUBSTITUTE(SUBSTITUTE(SUBSTITUTE(SUBSTITUTE(SUBSTITUTE(SUBSTITUTE(SUBSTITUTE(SUBSTITUTE(SUBSTITUTE(SUBSTITUTE(SUBSTITUTE(SUBSTITUTE(SUBSTITUTE(LOWER(AE269&amp;""),CHAR(10)," "),CHAR(13)," "),CHAR(9)," "),CHAR(160)," "),"."," "),","," "),"-"," "),"/"," "),"("," "),")"," "),":"," "),";"," "),"_"," "),"–"," "),"?"," "),"!"," "),"*"," "),"["," "),"]"," "),"'"," "),"#"," "),"+"," "),"&amp;"," "),"\"," "))&amp;" "</f>
        <v>  </v>
      </c>
      <c r="CE269" s="68" t="n">
        <f aca="false">IFERROR(IF(AND(LEN(AU269)&gt;0,LEN(AU269)=LEN(AX269),OR(TRIM(MID(SUBSTITUTE(TRIM(CC269)," ",REPT(" ",60)),1,60))="",ISNUMBER(SEARCH(" "&amp;TRIM(MID(SUBSTITUTE(TRIM(CC269)," ",REPT(" ",60)),1,60))&amp;" ",CD269))),OR(TRIM(MID(SUBSTITUTE(TRIM(CC269)," ",REPT(" ",60)),61,60))="",ISNUMBER(SEARCH(" "&amp;TRIM(MID(SUBSTITUTE(TRIM(CC269)," ",REPT(" ",60)),61,60))&amp;" ",CD269))),OR(TRIM(MID(SUBSTITUTE(TRIM(CC269)," ",REPT(" ",60)),121,60))="",ISNUMBER(SEARCH(" "&amp;TRIM(MID(SUBSTITUTE(TRIM(CC269)," ",REPT(" ",60)),121,60))&amp;" ",CD269)))),1,0),0)</f>
        <v>0</v>
      </c>
      <c r="CG269" s="68" t="n">
        <f aca="false">IFERROR(LEN(SUBSTITUTE(BF269," ",""))-SUMPRODUCT((LEN(BF269)-LEN(SUBSTITUTE(BF269," "&amp;L_NAFiller&amp;" "," ")))/(LEN(L_NAFiller)+1)*LEN(L_NAFiller)),0)</f>
        <v>0</v>
      </c>
    </row>
    <row r="270" customFormat="false" ht="39.75" hidden="false" customHeight="true" outlineLevel="0" collapsed="false">
      <c r="A270" s="57" t="s">
        <v>841</v>
      </c>
      <c r="B270" s="57" t="s">
        <v>238</v>
      </c>
      <c r="C270" s="57" t="str">
        <f aca="false">Flights!$F$12</f>
        <v>MH0752</v>
      </c>
      <c r="D270" s="58" t="n">
        <f aca="false">Flights!$D$12</f>
        <v>46305</v>
      </c>
      <c r="E270" s="57" t="str">
        <f aca="false">Flights!$G$12&amp;"-"&amp;Flights!$H$12</f>
        <v>KUL-HAN</v>
      </c>
      <c r="F270" s="57" t="str">
        <f aca="false">Flights!$K$12</f>
        <v>EY</v>
      </c>
      <c r="G270" s="57" t="s">
        <v>81</v>
      </c>
      <c r="H270" s="57" t="s">
        <v>378</v>
      </c>
      <c r="I270" s="57" t="s">
        <v>411</v>
      </c>
      <c r="J270" s="57" t="s">
        <v>412</v>
      </c>
      <c r="K270" s="67" t="s">
        <v>842</v>
      </c>
      <c r="L270" s="67" t="s">
        <v>843</v>
      </c>
      <c r="M270" s="67"/>
      <c r="N270" s="67" t="s">
        <v>383</v>
      </c>
      <c r="O270" s="67"/>
      <c r="P270" s="57" t="s">
        <v>187</v>
      </c>
      <c r="Q270" s="59" t="n">
        <f aca="false">ROUND((Flights!$AC$12)*1440,0)/1440</f>
        <v>46298.0659722222</v>
      </c>
      <c r="R270" s="59" t="n">
        <f aca="false">Q270+(IF(AND(INDEX(TZ_DSTS,MATCH(P270,TZ_STN,0))&lt;&gt;"",Q270&gt;=INDEX(TZ_DSTS,MATCH(P270,TZ_STN,0)),Q270&lt;INDEX(TZ_DSTE,MATCH(P270,TZ_STN,0))),INDEX(TZ_DST,MATCH(P270,TZ_STN,0)),INDEX(TZ_STD,MATCH(P270,TZ_STN,0))))/24</f>
        <v>46298.3993055556</v>
      </c>
      <c r="S270" s="60"/>
      <c r="T270" s="60"/>
      <c r="U270" s="60"/>
      <c r="V270" s="60"/>
      <c r="W270" s="61"/>
      <c r="X270" s="60"/>
      <c r="Y270" s="60"/>
      <c r="Z270" s="60"/>
      <c r="AA270" s="60"/>
      <c r="AB270" s="60"/>
      <c r="AC270" s="60"/>
      <c r="AD270" s="66"/>
      <c r="AE270" s="60"/>
      <c r="AF270" s="61" t="str">
        <f aca="false">IF(AND(ISNUMBER(X270),ISNUMBER(Y270)),Y270-X270,"")</f>
        <v/>
      </c>
      <c r="AG270" s="62" t="str">
        <f aca="false">IF(ISNUMBER(AD270),AD270-(IF(AND(INDEX(TZ_DSTS,MATCH(P270,TZ_STN,0))&lt;&gt;"",(AD270-INDEX(TZ_STD,MATCH(P270,TZ_STN,0))/24)&gt;=INDEX(TZ_DSTS,MATCH(P270,TZ_STN,0)),(AD270-INDEX(TZ_STD,MATCH(P270,TZ_STN,0))/24)&lt;INDEX(TZ_DSTE,MATCH(P270,TZ_STN,0))),INDEX(TZ_DST,MATCH(P270,TZ_STN,0)),INDEX(TZ_STD,MATCH(P270,TZ_STN,0))))/24,"")</f>
        <v/>
      </c>
      <c r="AH270" s="65" t="str">
        <f aca="false">IFERROR(IF(N270="N/A – rule",IF(OR(TRIM(U270)="",TRIM(U270)="N/A",TRIM(U270)="Not started"),"N/A – RULE","INVALID – this check does not apply to this aircraft: clear the status (or correct the fleet on Flights)"),IF(TRIM(U270)="N/A",IF(AT270=0,"INVALID – N/A not permitted for this check",IF(AND(TRIM(AB270)&lt;&gt;"",TRIM(AB270)&lt;&gt;"Closed"),"INVALID – corrective action still open",IF(AND(NOT(OR(LEN(AZ270)&lt;15,ISNUMBER(MATCH(AZ270,L_Placeholder,0)))),BK270=0,CG270&gt;=8,NOT(OR(LEN(AU270)&lt;2,ISNUMBER(MATCH(AU270,L_Placeholder,0)))),BR270&gt;=3,NOT(OR(LEN(AX270)&lt;2,ISNUMBER(MATCH(AX270,L_Placeholder,0)))),BS270&gt;=3,TRIM(AE270)&lt;&gt;TRIM(T270),AX270&lt;&gt;AU270,CE270=0),"N/A – JUSTIFIED","INVALID – N/A needs a real, settled reason (not 'not applicable' / 'as above' / TBC), a named PIC and a different named verifier"))),IF(OR(TRIM(U270)="Pass",TRIM(U270)="Pass after CA"),IF(NOT(ISNUMBER(AD270)),"INVALID – completion time missing",IF(OR(OR(LEN(AU270)&lt;2,ISNUMBER(MATCH(AU270,L_Placeholder,0))),BR270&lt;3),"INVALID – PIC missing or not a named person (a role such as QA / CSM is not a name)",IF(OR(LEN(AV270)&lt;2,ISNUMBER(MATCH(AV270,L_Placeholder,0))),"INVALID – result / assessment missing",IF(OR(OR(LEN(AW270)&lt;3,ISNUMBER(MATCH(AW270,L_Placeholder,0))),SUMPRODUCT(--ISNUMBER(SEARCH(" "&amp;L_EvidencePhrase&amp;" ",BD270)))&gt;0,BI270=1),"INVALID – evidence missing, placeholder or not yet on file",IF(ISNA(MATCH(TRIM(S270),L_EvidenceType,0)),"INVALID – choose the evidence type from the list (column S)",IF(BL270=0,"INVALID – evidence ID must be the record's own ID only (e.g. SF-2210, IMG_2231, 1045521); a link / file name needs type 'Link / file path'",IF(OR(OR(LEN(AX270)&lt;2,ISNUMBER(MATCH(AX270,L_Placeholder,0))),BS270&lt;3),"INVALID – verifier missing or not a named person (a role such as QA / CSM is not a name)",IF(OR(AX270=AU270,CE270=1,AND(LEN(AU270)&gt;=4,ISNUMBER(SEARCH(AU270,AX270))),AND(LEN(AX270)&gt;=4,ISNUMBER(SEARCH(AX270,AU270)))),"INVALID – verifier must be a different, named person (not the PIC or a role)",IF(BH270=1,"INVALID – result not yet available (awaiting / TBC)",IF(BG270=1,"INVALID – result describes a problem: record Fail, then Pass after CA (or reword if it is not a problem)",IF(BV270=1,"INVALID – wording says not on board: an on-board confirmation needs the item loaded",IF(AND(AQ270=1,OR(OR(LEN(AY270)&lt;3,ISNUMBER(MATCH(AY270,L_Placeholder,0))),BJ270=1,BQ270=0)),"INVALID – batch ID missing, placeholder or not an ID (e.g. PASB-261008-BC-017)",IF(AND(AR270=1,OR(NOT(ISNUMBER(X270)),NOT(ISNUMBER(Y270)))),"INVALID – expected/actual qty missing",IF(AND(AR270=1,OR(X270&lt;=0,Y270&lt;0)),"INVALID – expected qty must be above 0 and actual not negative",IF(BB270&lt;&gt;"",BB270,IF(AND(AS270=1,Documents!$J$12&lt;&gt;"ON FILE"),"INVALID – GLD not on file (Documents sheet)",IF(AND(AS270=2,Documents!$O$12&lt;&gt;"ON FILE"),"INVALID – menu checklist not on file (Documents sheet)",IF(AND(AS270=3,NOT(ISNUMBER(Flights!$AX$12))),"INVALID – enter carrying flight KUL departure (Flights AX)",IF(AND(AS270=3,OR(Flights!$AZ$12&gt;Flights!$AA$12,Flights!$AX$12&lt;Flights!$AA$12-3)),"INVALID – carrying flight (Flights AX) cannot arrive before this leg's STD, or is over 3 days early",IF(AG270&gt;AsOfUTC,"INVALID – completion time is in the future",IF(AND(ISNUMBER(BY270),AG270&lt;BY270),IF(H270="Physical uplift","INVALID – before uplift window (cannot confirm loading)","INVALID – before valid window"),IF(AG270&gt;Flights!$AA$12,"INVALID – completed after departure (cannot establish readiness)",IF(AND(H270="Preparation",AG270&gt;=IF(ISNUMBER(Flights!$BA$12),MIN(Flights!$BA$12,Flights!$AA$12),Flights!$AA$12)),"INVALID – completed after loading / departure (cannot establish readiness)",IF(AND(H270="Physical uplift",AG270&gt;Q270),"INVALID – recorded after the loading flight departed",IF(AG270&gt;Q270,"COMPLETE – LATE","COMPLETE"))))))))))))))))))))))))),IF(TRIM(U270)="Fail","FAIL – DISCREPANCY",IF(AND(TRIM(U270)&lt;&gt;"",TRIM(U270)&lt;&gt;"Not started",TRIM(U270)&lt;&gt;"In progress"),"INVALID – unrecognised status (use the list)",IF(AsOfUTC&gt;Q270,"OVERDUE",IF(N270="Clarification required","OPEN – CLARIFICATION","OPEN"))))))),"INVALID – error value in an input cell")</f>
        <v>OPEN</v>
      </c>
      <c r="AI270" s="61" t="n">
        <f aca="false">IF(OR(AH270="N/A – RULE",AH270="N/A – JUSTIFIED"),0,1)</f>
        <v>1</v>
      </c>
      <c r="AJ270" s="61" t="n">
        <f aca="false">IF(LEFT(AH270,8)="COMPLETE",1,0)</f>
        <v>0</v>
      </c>
      <c r="AK270" s="61" t="n">
        <f aca="false">IF(AND(AI270=1,AJ270=0,AsOfUTC&gt;Q270),1,0)</f>
        <v>0</v>
      </c>
      <c r="AL270" s="61" t="n">
        <f aca="false">IFERROR(IF(AND(AI270=1,OR(TRIM(U270)="Fail",AND(TRIM(AB270)&lt;&gt;"",TRIM(AB270)&lt;&gt;"Closed"),AND(ISNUMBER(AF270),AF270&lt;&gt;0,TRIM(U270)&lt;&gt;"Pass after CA"))),1,0),1)</f>
        <v>0</v>
      </c>
      <c r="AM270" s="61" t="n">
        <f aca="false">IF(LEFT(AH270,7)="INVALID",1,0)</f>
        <v>0</v>
      </c>
      <c r="AN270" s="61" t="n">
        <f aca="false">IF(AND(N270="Clarification required",AI270=1,AJ270=0),1,0)</f>
        <v>0</v>
      </c>
      <c r="AO270" s="61" t="str">
        <f aca="false">IF(AK270=1,SUM(AK$5:AK270),"")</f>
        <v/>
      </c>
      <c r="AP270" s="61" t="str">
        <f aca="false">IF(AL270=1,SUM(AL$5:AL270),"")</f>
        <v/>
      </c>
      <c r="AQ270" s="61" t="n">
        <v>0</v>
      </c>
      <c r="AR270" s="61" t="n">
        <v>0</v>
      </c>
      <c r="AS270" s="61" t="n">
        <v>0</v>
      </c>
      <c r="AT270" s="61" t="n">
        <v>0</v>
      </c>
      <c r="AU270" s="61" t="str">
        <f aca="false">SUBSTITUTE(SUBSTITUTE(SUBSTITUTE(SUBSTITUTE(SUBSTITUTE(SUBSTITUTE(SUBSTITUTE(SUBSTITUTE(SUBSTITUTE(SUBSTITUTE(SUBSTITUTE(SUBSTITUTE(SUBSTITUTE(SUBSTITUTE(SUBSTITUTE(SUBSTITUTE(LOWER(T270&amp;""),CHAR(10),""),CHAR(13),""),CHAR(9),""),CHAR(160),"")," ",""),".",""),"-",""),"/",""),"?",""),"_",""),",",""),"[",""),"]",""),"(",""),")",""),"*","")</f>
        <v/>
      </c>
      <c r="AV270" s="61" t="str">
        <f aca="false">SUBSTITUTE(SUBSTITUTE(SUBSTITUTE(SUBSTITUTE(SUBSTITUTE(SUBSTITUTE(SUBSTITUTE(SUBSTITUTE(SUBSTITUTE(SUBSTITUTE(SUBSTITUTE(SUBSTITUTE(SUBSTITUTE(SUBSTITUTE(SUBSTITUTE(SUBSTITUTE(LOWER(V270&amp;""),CHAR(10),""),CHAR(13),""),CHAR(9),""),CHAR(160),"")," ",""),".",""),"-",""),"/",""),"?",""),"_",""),",",""),"[",""),"]",""),"(",""),")",""),"*","")</f>
        <v/>
      </c>
      <c r="AW270" s="61" t="str">
        <f aca="false">SUBSTITUTE(SUBSTITUTE(SUBSTITUTE(SUBSTITUTE(SUBSTITUTE(SUBSTITUTE(SUBSTITUTE(SUBSTITUTE(SUBSTITUTE(SUBSTITUTE(SUBSTITUTE(SUBSTITUTE(SUBSTITUTE(SUBSTITUTE(SUBSTITUTE(SUBSTITUTE(LOWER(Z270&amp;""),CHAR(10),""),CHAR(13),""),CHAR(9),""),CHAR(160),"")," ",""),".",""),"-",""),"/",""),"?",""),"_",""),",",""),"[",""),"]",""),"(",""),")",""),"*","")</f>
        <v/>
      </c>
      <c r="AX270" s="61" t="str">
        <f aca="false">SUBSTITUTE(SUBSTITUTE(SUBSTITUTE(SUBSTITUTE(SUBSTITUTE(SUBSTITUTE(SUBSTITUTE(SUBSTITUTE(SUBSTITUTE(SUBSTITUTE(SUBSTITUTE(SUBSTITUTE(SUBSTITUTE(SUBSTITUTE(SUBSTITUTE(SUBSTITUTE(LOWER(AE270&amp;""),CHAR(10),""),CHAR(13),""),CHAR(9),""),CHAR(160),"")," ",""),".",""),"-",""),"/",""),"?",""),"_",""),",",""),"[",""),"]",""),"(",""),")",""),"*","")</f>
        <v/>
      </c>
      <c r="AY270" s="61" t="str">
        <f aca="false">SUBSTITUTE(SUBSTITUTE(SUBSTITUTE(SUBSTITUTE(SUBSTITUTE(SUBSTITUTE(SUBSTITUTE(SUBSTITUTE(SUBSTITUTE(SUBSTITUTE(SUBSTITUTE(SUBSTITUTE(SUBSTITUTE(SUBSTITUTE(SUBSTITUTE(SUBSTITUTE(LOWER(W270&amp;""),CHAR(10),""),CHAR(13),""),CHAR(9),""),CHAR(160),"")," ",""),".",""),"-",""),"/",""),"?",""),"_",""),",",""),"[",""),"]",""),"(",""),")",""),"*","")</f>
        <v/>
      </c>
      <c r="AZ270" s="61" t="str">
        <f aca="false">SUBSTITUTE(SUBSTITUTE(SUBSTITUTE(SUBSTITUTE(SUBSTITUTE(SUBSTITUTE(SUBSTITUTE(SUBSTITUTE(SUBSTITUTE(SUBSTITUTE(SUBSTITUTE(SUBSTITUTE(SUBSTITUTE(SUBSTITUTE(SUBSTITUTE(SUBSTITUTE(LOWER(AC270&amp;""),CHAR(10),""),CHAR(13),""),CHAR(9),""),CHAR(160),"")," ",""),".",""),"-",""),"/",""),"?",""),"_",""),",",""),"[",""),"]",""),"(",""),")",""),"*","")</f>
        <v/>
      </c>
      <c r="BA270" s="61" t="str">
        <f aca="false">SUBSTITUTE(SUBSTITUTE(SUBSTITUTE(SUBSTITUTE(SUBSTITUTE(SUBSTITUTE(SUBSTITUTE(SUBSTITUTE(SUBSTITUTE(SUBSTITUTE(SUBSTITUTE(SUBSTITUTE(SUBSTITUTE(SUBSTITUTE(SUBSTITUTE(SUBSTITUTE(LOWER(AA270&amp;""),CHAR(10),""),CHAR(13),""),CHAR(9),""),CHAR(160),"")," ",""),".",""),"-",""),"/",""),"?",""),"_",""),",",""),"[",""),"]",""),"(",""),")",""),"*","")</f>
        <v/>
      </c>
      <c r="BB270" s="61" t="str">
        <f aca="false">IF(AND(TRIM(U270)="Pass",ISNUMBER(AF270)),IF(AF270&lt;&gt;0,"INVALID – qty variance: use Fail or Pass after CA",""),"")&amp;IF(AND(TRIM(U270)="Pass after CA",ISNUMBER(AF270)),IF(AF270&lt;&gt;0,"INVALID – after the corrective action the actual qty must equal expected (update Actual)",""),"")&amp;IF(AND(TRIM(U270)="Pass",TRIM(AB270)&lt;&gt;"",TRIM(AB270)&lt;&gt;"Closed"),"INVALID – corrective action not closed: use Fail, then Pass after CA","")&amp;IF(AND(LEN(BA270)&gt;=2,ISNA(MATCH(LEFT(BA270,255),L_Placeholder,0)),TRIM(AB270)=""),"INVALID – CA status missing for the recorded corrective action","")&amp;IF(AND(TRIM(U270)="Pass after CA",OR(OR(LEN(BA270)&lt;5,ISNUMBER(MATCH(BA270,L_Placeholder,0))),TRIM(AB270)&lt;&gt;"Closed")),"INVALID – corrective action not recorded/closed","")</f>
        <v/>
      </c>
      <c r="BC270" s="61" t="str">
        <f aca="false">" "&amp;TRIM(SUBSTITUTE(SUBSTITUTE(SUBSTITUTE(SUBSTITUTE(SUBSTITUTE(SUBSTITUTE(SUBSTITUTE(SUBSTITUTE(SUBSTITUTE(SUBSTITUTE(SUBSTITUTE(SUBSTITUTE(SUBSTITUTE(SUBSTITUTE(SUBSTITUTE(SUBSTITUTE(SUBSTITUTE(SUBSTITUTE(SUBSTITUTE(SUBSTITUTE(SUBSTITUTE(SUBSTITUTE(SUBSTITUTE(SUBSTITUTE(LOWER(V270&amp;""),CHAR(10)," "),CHAR(13)," "),CHAR(9)," "),CHAR(160)," "),"."," "),","," "),"-"," "),"/"," "),"("," "),")"," "),":"," "),";"," "),"_"," "),"–"," "),"?"," "),"!"," "),"*"," "),"["," "),"]"," "),"'"," "),"#"," "),"+"," "),"&amp;"," "),"\"," "))&amp;" "</f>
        <v>  </v>
      </c>
      <c r="BD270" s="61" t="str">
        <f aca="false">" "&amp;TRIM(SUBSTITUTE(SUBSTITUTE(SUBSTITUTE(SUBSTITUTE(SUBSTITUTE(SUBSTITUTE(SUBSTITUTE(SUBSTITUTE(SUBSTITUTE(SUBSTITUTE(SUBSTITUTE(SUBSTITUTE(SUBSTITUTE(SUBSTITUTE(SUBSTITUTE(SUBSTITUTE(SUBSTITUTE(SUBSTITUTE(SUBSTITUTE(SUBSTITUTE(SUBSTITUTE(SUBSTITUTE(SUBSTITUTE(SUBSTITUTE(LOWER(Z270&amp;""),CHAR(10)," "),CHAR(13)," "),CHAR(9)," "),CHAR(160)," "),"."," "),","," "),"-"," "),"/"," "),"("," "),")"," "),":"," "),";"," "),"_"," "),"–"," "),"?"," "),"!"," "),"*"," "),"["," "),"]"," "),"'"," "),"#"," "),"+"," "),"&amp;"," "),"\"," "))&amp;" "</f>
        <v>  </v>
      </c>
      <c r="BE270" s="61" t="str">
        <f aca="false">" "&amp;TRIM(SUBSTITUTE(SUBSTITUTE(SUBSTITUTE(SUBSTITUTE(SUBSTITUTE(SUBSTITUTE(SUBSTITUTE(SUBSTITUTE(SUBSTITUTE(SUBSTITUTE(SUBSTITUTE(SUBSTITUTE(SUBSTITUTE(SUBSTITUTE(SUBSTITUTE(SUBSTITUTE(SUBSTITUTE(SUBSTITUTE(SUBSTITUTE(SUBSTITUTE(SUBSTITUTE(SUBSTITUTE(SUBSTITUTE(SUBSTITUTE(LOWER(W270&amp;""),CHAR(10)," "),CHAR(13)," "),CHAR(9)," "),CHAR(160)," "),"."," "),","," "),"-"," "),"/"," "),"("," "),")"," "),":"," "),";"," "),"_"," "),"–"," "),"?"," "),"!"," "),"*"," "),"["," "),"]"," "),"'"," "),"#"," "),"+"," "),"&amp;"," "),"\"," "))&amp;" "</f>
        <v>  </v>
      </c>
      <c r="BF270" s="61" t="str">
        <f aca="false">" "&amp;TRIM(SUBSTITUTE(SUBSTITUTE(SUBSTITUTE(SUBSTITUTE(SUBSTITUTE(SUBSTITUTE(SUBSTITUTE(SUBSTITUTE(SUBSTITUTE(SUBSTITUTE(SUBSTITUTE(SUBSTITUTE(SUBSTITUTE(SUBSTITUTE(SUBSTITUTE(SUBSTITUTE(SUBSTITUTE(SUBSTITUTE(SUBSTITUTE(SUBSTITUTE(SUBSTITUTE(SUBSTITUTE(SUBSTITUTE(SUBSTITUTE(LOWER(AC270&amp;""),CHAR(10)," "),CHAR(13)," "),CHAR(9)," "),CHAR(160)," "),"."," "),","," "),"-"," "),"/"," "),"("," "),")"," "),":"," "),";"," "),"_"," "),"–"," "),"?"," "),"!"," "),"*"," "),"["," "),"]"," "),"'"," "),"#"," "),"+"," "),"&amp;"," "),"\"," "))&amp;" "</f>
        <v>  </v>
      </c>
      <c r="BG270" s="61" t="n">
        <f aca="false">IFERROR(IF(AND(TRIM(U270)="Pass",SUMPRODUCT((LEN(BC270)-LEN(SUBSTITUTE(BC270," "&amp;L_ResultBad&amp;" "," ")))/(LEN(L_ResultBad)+1))&gt;SUMPRODUCT((LEN(BC270)-LEN(SUBSTITUTE(BC270," "&amp;L_NegPhrase&amp;" "," ")))/(LEN(L_NegPhrase)+1))),1,0),0)</f>
        <v>0</v>
      </c>
      <c r="BH270" s="61" t="n">
        <f aca="false">IFERROR(IF(SUMPRODUCT((LEN(BC270)-LEN(SUBSTITUTE(BC270," "&amp;L_Pending&amp;" "," ")))/(LEN(L_Pending)+1))&gt;SUMPRODUCT((LEN(BC270)-LEN(SUBSTITUTE(BC270," "&amp;L_PendNeg&amp;" "," ")))/(LEN(L_PendNeg)+1))+SUMPRODUCT((LEN(BC270)-LEN(SUBSTITUTE(BC270," "&amp;L_PendPrep&amp;" "," ")))/(LEN(L_PendPrep)+1)),1,0),1)</f>
        <v>0</v>
      </c>
      <c r="BI270" s="61" t="n">
        <f aca="false">IFERROR(IF(SUMPRODUCT((LEN(BD270)-LEN(SUBSTITUTE(BD270," "&amp;L_PendStrict&amp;" "," ")))/(LEN(L_PendStrict)+1))&gt;SUMPRODUCT((LEN(BD270)-LEN(SUBSTITUTE(BD270," "&amp;L_PendNeg&amp;" "," ")))/(LEN(L_PendNeg)+1)),1,0),1)</f>
        <v>0</v>
      </c>
      <c r="BJ270" s="61" t="n">
        <f aca="false">IFERROR(IF(SUMPRODUCT((LEN(BE270)-LEN(SUBSTITUTE(BE270," "&amp;L_Pending&amp;" "," ")))/(LEN(L_Pending)+1))&gt;SUMPRODUCT((LEN(BE270)-LEN(SUBSTITUTE(BE270," "&amp;L_PendNeg&amp;" "," ")))/(LEN(L_PendNeg)+1))+SUMPRODUCT((LEN(BE270)-LEN(SUBSTITUTE(BE270," "&amp;L_PendPrep&amp;" "," ")))/(LEN(L_PendPrep)+1)),1,0),1)</f>
        <v>0</v>
      </c>
      <c r="BK270" s="61" t="n">
        <f aca="false">IFERROR(IF(SUMPRODUCT((LEN(BF270)-LEN(SUBSTITUTE(BF270," "&amp;L_PendStrict&amp;" "," ")))/(LEN(L_PendStrict)+1))&gt;SUMPRODUCT((LEN(BF270)-LEN(SUBSTITUTE(BF270," "&amp;L_PendNeg&amp;" "," ")))/(LEN(L_PendNeg)+1)),1,0),1)</f>
        <v>0</v>
      </c>
      <c r="BL270" s="61" t="n">
        <f aca="false">IF(ISNA(MATCH(TRIM(S270),L_EvidenceType,0)),0,BZ270)</f>
        <v>0</v>
      </c>
      <c r="BM270" s="61" t="str">
        <f aca="false">SUBSTITUTE(SUBSTITUTE(SUBSTITUTE(SUBSTITUTE(SUBSTITUTE(SUBSTITUTE(SUBSTITUTE(SUBSTITUTE(SUBSTITUTE(LOWER(Z270&amp;""),"1","0"),"2","0"),"3","0"),"4","0"),"5","0"),"6","0"),"7","0"),"8","0"),"9","0")</f>
        <v/>
      </c>
      <c r="BN270" s="61" t="str">
        <f aca="false">SUBSTITUTE(SUBSTITUTE(SUBSTITUTE(SUBSTITUTE(SUBSTITUTE(SUBSTITUTE(SUBSTITUTE(SUBSTITUTE(SUBSTITUTE(SUBSTITUTE(SUBSTITUTE(SUBSTITUTE(SUBSTITUTE(SUBSTITUTE(SUBSTITUTE(SUBSTITUTE(SUBSTITUTE(SUBSTITUTE(SUBSTITUTE(SUBSTITUTE(SUBSTITUTE(SUBSTITUTE(SUBSTITUTE(SUBSTITUTE(SUBSTITUTE(BM270,"b","a"),"c","a"),"d","a"),"e","a"),"f","a"),"g","a"),"h","a"),"i","a"),"j","a"),"k","a"),"l","a"),"m","a"),"n","a"),"o","a"),"p","a"),"q","a"),"r","a"),"s","a"),"t","a"),"u","a"),"v","a"),"w","a"),"x","a"),"y","a"),"z","a")</f>
        <v/>
      </c>
      <c r="BO270" s="61" t="str">
        <f aca="false">SUBSTITUTE(SUBSTITUTE(SUBSTITUTE(SUBSTITUTE(SUBSTITUTE(SUBSTITUTE(SUBSTITUTE(SUBSTITUTE(SUBSTITUTE(LOWER(W270&amp;""),"1","0"),"2","0"),"3","0"),"4","0"),"5","0"),"6","0"),"7","0"),"8","0"),"9","0")</f>
        <v/>
      </c>
      <c r="BP270" s="61" t="str">
        <f aca="false">SUBSTITUTE(SUBSTITUTE(SUBSTITUTE(SUBSTITUTE(SUBSTITUTE(SUBSTITUTE(SUBSTITUTE(SUBSTITUTE(SUBSTITUTE(SUBSTITUTE(SUBSTITUTE(SUBSTITUTE(SUBSTITUTE(SUBSTITUTE(SUBSTITUTE(SUBSTITUTE(SUBSTITUTE(SUBSTITUTE(SUBSTITUTE(SUBSTITUTE(SUBSTITUTE(SUBSTITUTE(SUBSTITUTE(SUBSTITUTE(SUBSTITUTE(BO270,"b","a"),"c","a"),"d","a"),"e","a"),"f","a"),"g","a"),"h","a"),"i","a"),"j","a"),"k","a"),"l","a"),"m","a"),"n","a"),"o","a"),"p","a"),"q","a"),"r","a"),"s","a"),"t","a"),"u","a"),"v","a"),"w","a"),"x","a"),"y","a"),"z","a")</f>
        <v/>
      </c>
      <c r="BQ270" s="61" t="n">
        <f aca="false">IFERROR(IF(AND(ISERROR(SEARCH(" mh"," "&amp;LOWER(W270))),ISNA(MATCH(LEFT(TRIM(BP270),255),{"0000a","000a","00a","0000aa","000aa","00aa","0aa","0000aaa","000aaa","00a00","0a00","0000-0000","00:00","a00","a0","00.00.0000","00/00/0000","00-00-0000","0000-00-00","0000/00/00","0000.00.00","00.00.00","00/00/00","00-00-00","0.00.0000","0/00/0000","0-00-0000"},0)),ISNA(MATCH(LEFT(TRIM(CA270),255),{"0000a","000a","00a","0000aa","000aa","00aa","0aa","0000aaa","000aaa","00a00","0a00","0000-0000","00:00","a00","a0","00.00.0000","00/00/0000","00-00-0000","0000-00-00","0000/00/00","0000.00.00","00.00.00","00/00/00","00-00-00","0.00.0000","0/00/0000","0-00-0000"},0)),LEN(CB270)&gt;=3,NOT(OR(SUBSTITUTE(CB270,"0","")="",AND(LEN(CB270)&gt;=4,CB270=REPT(LEFT(CB270),LEN(CB270))),ISNUMBER(MATCH(CB270,{"123","1234","12345","123456","1234567","12345678","0123","01234","012345","98765","987654","54321"},0)),AND(LEN(CB270)=8,LEFT(CB270,3)="202"))),OR(AND((LEN(CA270)-LEN(SUBSTITUTE(CA270,"a","")))&gt;=1,SUMPRODUCT(--ISNUMBER(SEARCH({"a0","a-0","a_0","a/0","a.0","a#0","0a","0-a","0_a","0/a"},BP270)))&gt;0),ISNUMBER(SEARCH("000000",BP270)))),1,0),0)</f>
        <v>0</v>
      </c>
      <c r="BR270" s="61" t="n">
        <f aca="false">IFERROR(LEN(SUBSTITUTE(CC270," ",""))-SUMPRODUCT((LEN(CC270)-LEN(SUBSTITUTE(CC270," "&amp;L_Role&amp;" "," ")))/(LEN(L_Role)+1)*LEN(L_Role)),0)</f>
        <v>0</v>
      </c>
      <c r="BS270" s="61" t="n">
        <f aca="false">IFERROR(LEN(SUBSTITUTE(CD270," ",""))-SUMPRODUCT((LEN(CD270)-LEN(SUBSTITUTE(CD270," "&amp;L_Role&amp;" "," ")))/(LEN(L_Role)+1)*LEN(L_Role)),0)</f>
        <v>0</v>
      </c>
      <c r="BT2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270,"revision",""),"version",""),"jan",""),"feb",""),"mar",""),"apr",""),"may",""),"jun",""),"jul",""),"aug",""),"sep",""),"oct",""),"nov",""),"dec",""),"utc",""),"gmt",""),"myt",""),"bst",""),"rev",""),"ver",""),"b","a"),"c","a"),"d","a"),"e","a"),"f","a"),"g","a"),"h","a"),"i","a"),"j","a"),"k","a"),"l","a"),"m","a"),"n","a"),"o","a"),"p","a"),"q","a"),"r","a"),"s","a"),"t","a"),"u","a"),"v","a"),"w","a"),"x","a"),"y","a"),"z","a")</f>
        <v/>
      </c>
      <c r="BU270" s="61" t="str">
        <f aca="false">SUBSTITUTE(SUBSTITUTE(SUBSTITUTE(SUBSTITUTE(SUBSTITUTE(SUBSTITUTE(SUBSTITUTE(SUBSTITUTE(SUBSTITUTE(SUBSTITUTE(LEFT(BM270,FIND("0",BM270&amp;"0")-1),"-",""),"_",""),"/",""),".",""),"#",""),"\\",""),":","")," ",""),"(",""),")","")</f>
        <v/>
      </c>
      <c r="BV270" s="61" t="n">
        <f aca="false">0</f>
        <v>0</v>
      </c>
      <c r="BW2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270&amp;""),"a",""),"b",""),"c",""),"d",""),"e",""),"f",""),"g",""),"h",""),"i",""),"j",""),"k",""),"l",""),"m",""),"n",""),"o",""),"p",""),"q",""),"r",""),"s",""),"t",""),"u",""),"v",""),"w",""),"x",""),"y",""),"z",""),"-",""),"_",""),"/",""),".",""),"#",""),"\\",""),":","")," ",""),"(",""),")","")</f>
        <v/>
      </c>
      <c r="BX270" s="61" t="str">
        <f aca="false">SUBSTITUTE(SUBSTITUTE(SUBSTITUTE(SUBSTITUTE(SUBSTITUTE(SUBSTITUTE(SUBSTITUTE(SUBSTITUTE(SUBSTITUTE(SUBSTITUTE(SUBSTITUTE(BM270,"0",""),"-",""),"_",""),"/",""),".",""),"#",""),"\\",""),":","")," ",""),"(",""),")","")</f>
        <v/>
      </c>
      <c r="BY270" s="62" t="n">
        <f aca="false">Q270-T7EarlyD*24/24</f>
        <v>46284.0659722222</v>
      </c>
      <c r="BZ270" s="61" t="n">
        <f aca="false">IFERROR(IF(IF(TRIM(S270)="Link / file path",AND(LEN(TRIM(Z270))&gt;=5,SUMPRODUCT(--ISNUMBER(SEARCH({"http","www.","\\",":\",".pdf",".jpg",".jpeg",".png",".heic",".xls",".doc",".msg",".eml",".ppt",".txt",".zip"},Z270)))&gt;0),AND(ISERROR(FIND(" ",TRIM(Z270))),NOT(OR(SUMPRODUCT(--ISNUMBER(FIND({",",";","&amp;","+"},Z270)))&gt;0,SUMPRODUCT(--ISNUMBER(SEARCH({"0/aa","0\\aa"},BN270)))&gt;0)),NOT(SUMPRODUCT(--ISNUMBER(SEARCH({"http","www.","\\",":\",".pdf",".jpg",".jpeg",".png",".heic",".xls",".doc",".msg",".eml",".ppt",".txt",".zip"},Z270)))&gt;0),NOT(LOWER(TRIM(Z270))=LOWER(Flights!$F$12)),ISNA(MATCH(BU270,{"mh","rev","revision","ver","version","v","r","a","b","seat","tray","row","gate","bay","stand","page","pg","item","line","no","cart","galley","flight","flt","table","box","bag","oven","etd","eta","std","sta","atd","ata","qty","pax","x","time","tel","ph","mob","day","wk","week","utc","gmt","myt","lt"},0)),NOT(OR(ISNUMBER(MATCH(LEFT(BN270,255),{"0000a","000a","00a","0000aa","000aa","00aa","0aa","0000aaa","000aaa","00a00","0a00","0000-0000","00:00","a00","a0","00.00.0000","00/00/0000","00-00-0000","0000-00-00","0000/00/00","0000.00.00","00.00.00","00/00/00","00-00-00","0.00.0000","0/00/0000","0-00-0000"},0)),ISNUMBER(MATCH(LEFT(BT270,255),{"0000a","000a","00a","0000aa","000aa","00aa","0aa","0000aaa","000aaa","00a00","0a00","0000-0000","00:00","a00","a0","00.00.0000","00/00/0000","00-00-0000","0000-00-00","0000/00/00","0000.00.00","00.00.00","00/00/00","00-00-00","0.00.0000","0/00/0000","0-00-0000"},0)))),NOT(OR(AND(BW270&lt;&gt;"",SUBSTITUTE(BW270,"0","")=""),AND(LEN(BW270)&gt;=4,BW270=REPT(LEFT(BW270),LEN(BW270))),ISNUMBER(MATCH(BW270,{"123","1234","12345","123456","1234567","12345678","0123","01234","012345","98765","987654","54321"},0)),ISNUMBER(MATCH(BX270,{"x","xx","xxx","xxxx","xxxxx","abc","abcd","nil","na","nan","test","tbc","tba","tbd","dummy","sample","example","eg","zz","zzz","none","null","xyz","qwe","asd","id","ref"},0)),AND(LEN(BW270)=8,BX270="",OR(LEFT(BW270,3)="202",ISNUMBER(MATCH(RIGHT(BW270,4),{"2025","2026","2027"},0)))))),OR(AND((LEN(BT270)-LEN(SUBSTITUTE(BT270,"a","")))&gt;=1,(LEN(BN270)-LEN(SUBSTITUTE(BN270,"0","")))&gt;=2,SUMPRODUCT(--ISNUMBER(SEARCH({"a0","a-0","a_0","a/0","a.0","a#0","0a","0-a","0_a","0/a"},BN270)))&gt;0),AND((LEN(BN270)-LEN(SUBSTITUTE(BN270,"a","")))=0,(LEN(BN270)-LEN(SUBSTITUTE(BN270,"0","")))&gt;=5)))),1,0),0)</f>
        <v>0</v>
      </c>
      <c r="CA2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270,"revision",""),"version",""),"jan",""),"feb",""),"mar",""),"apr",""),"may",""),"jun",""),"jul",""),"aug",""),"sep",""),"oct",""),"nov",""),"dec",""),"utc",""),"gmt",""),"myt",""),"bst",""),"rev",""),"ver",""),"b","a"),"c","a"),"d","a"),"e","a"),"f","a"),"g","a"),"h","a"),"i","a"),"j","a"),"k","a"),"l","a"),"m","a"),"n","a"),"o","a"),"p","a"),"q","a"),"r","a"),"s","a"),"t","a"),"u","a"),"v","a"),"w","a"),"x","a"),"y","a"),"z","a")</f>
        <v/>
      </c>
      <c r="CB2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270&amp;""),"a",""),"b",""),"c",""),"d",""),"e",""),"f",""),"g",""),"h",""),"i",""),"j",""),"k",""),"l",""),"m",""),"n",""),"o",""),"p",""),"q",""),"r",""),"s",""),"t",""),"u",""),"v",""),"w",""),"x",""),"y",""),"z",""),"-",""),"_",""),"/",""),".",""),"#",""),"\\",""),":","")," ",""),"(",""),")","")</f>
        <v/>
      </c>
      <c r="CC270" s="0" t="str">
        <f aca="false">" "&amp;TRIM(SUBSTITUTE(SUBSTITUTE(SUBSTITUTE(SUBSTITUTE(SUBSTITUTE(SUBSTITUTE(SUBSTITUTE(SUBSTITUTE(SUBSTITUTE(SUBSTITUTE(SUBSTITUTE(SUBSTITUTE(SUBSTITUTE(SUBSTITUTE(SUBSTITUTE(SUBSTITUTE(SUBSTITUTE(SUBSTITUTE(SUBSTITUTE(SUBSTITUTE(SUBSTITUTE(SUBSTITUTE(SUBSTITUTE(SUBSTITUTE(LOWER(T270&amp;""),CHAR(10)," "),CHAR(13)," "),CHAR(9)," "),CHAR(160)," "),"."," "),","," "),"-"," "),"/"," "),"("," "),")"," "),":"," "),";"," "),"_"," "),"–"," "),"?"," "),"!"," "),"*"," "),"["," "),"]"," "),"'"," "),"#"," "),"+"," "),"&amp;"," "),"\"," "))&amp;" "</f>
        <v>  </v>
      </c>
      <c r="CD270" s="0" t="str">
        <f aca="false">" "&amp;TRIM(SUBSTITUTE(SUBSTITUTE(SUBSTITUTE(SUBSTITUTE(SUBSTITUTE(SUBSTITUTE(SUBSTITUTE(SUBSTITUTE(SUBSTITUTE(SUBSTITUTE(SUBSTITUTE(SUBSTITUTE(SUBSTITUTE(SUBSTITUTE(SUBSTITUTE(SUBSTITUTE(SUBSTITUTE(SUBSTITUTE(SUBSTITUTE(SUBSTITUTE(SUBSTITUTE(SUBSTITUTE(SUBSTITUTE(SUBSTITUTE(LOWER(AE270&amp;""),CHAR(10)," "),CHAR(13)," "),CHAR(9)," "),CHAR(160)," "),"."," "),","," "),"-"," "),"/"," "),"("," "),")"," "),":"," "),";"," "),"_"," "),"–"," "),"?"," "),"!"," "),"*"," "),"["," "),"]"," "),"'"," "),"#"," "),"+"," "),"&amp;"," "),"\"," "))&amp;" "</f>
        <v>  </v>
      </c>
      <c r="CE270" s="68" t="n">
        <f aca="false">IFERROR(IF(AND(LEN(AU270)&gt;0,LEN(AU270)=LEN(AX270),OR(TRIM(MID(SUBSTITUTE(TRIM(CC270)," ",REPT(" ",60)),1,60))="",ISNUMBER(SEARCH(" "&amp;TRIM(MID(SUBSTITUTE(TRIM(CC270)," ",REPT(" ",60)),1,60))&amp;" ",CD270))),OR(TRIM(MID(SUBSTITUTE(TRIM(CC270)," ",REPT(" ",60)),61,60))="",ISNUMBER(SEARCH(" "&amp;TRIM(MID(SUBSTITUTE(TRIM(CC270)," ",REPT(" ",60)),61,60))&amp;" ",CD270))),OR(TRIM(MID(SUBSTITUTE(TRIM(CC270)," ",REPT(" ",60)),121,60))="",ISNUMBER(SEARCH(" "&amp;TRIM(MID(SUBSTITUTE(TRIM(CC270)," ",REPT(" ",60)),121,60))&amp;" ",CD270)))),1,0),0)</f>
        <v>0</v>
      </c>
      <c r="CG270" s="68" t="n">
        <f aca="false">IFERROR(LEN(SUBSTITUTE(BF270," ",""))-SUMPRODUCT((LEN(BF270)-LEN(SUBSTITUTE(BF270," "&amp;L_NAFiller&amp;" "," ")))/(LEN(L_NAFiller)+1)*LEN(L_NAFiller)),0)</f>
        <v>0</v>
      </c>
    </row>
    <row r="271" customFormat="false" ht="39.75" hidden="false" customHeight="true" outlineLevel="0" collapsed="false">
      <c r="A271" s="57" t="s">
        <v>844</v>
      </c>
      <c r="B271" s="57" t="s">
        <v>238</v>
      </c>
      <c r="C271" s="57" t="str">
        <f aca="false">Flights!$F$12</f>
        <v>MH0752</v>
      </c>
      <c r="D271" s="58" t="n">
        <f aca="false">Flights!$D$12</f>
        <v>46305</v>
      </c>
      <c r="E271" s="57" t="str">
        <f aca="false">Flights!$G$12&amp;"-"&amp;Flights!$H$12</f>
        <v>KUL-HAN</v>
      </c>
      <c r="F271" s="57" t="str">
        <f aca="false">Flights!$K$12</f>
        <v>EY</v>
      </c>
      <c r="G271" s="57" t="s">
        <v>83</v>
      </c>
      <c r="H271" s="57" t="s">
        <v>378</v>
      </c>
      <c r="I271" s="57" t="s">
        <v>379</v>
      </c>
      <c r="J271" s="57" t="s">
        <v>416</v>
      </c>
      <c r="K271" s="67" t="s">
        <v>417</v>
      </c>
      <c r="L271" s="67" t="s">
        <v>418</v>
      </c>
      <c r="M271" s="67"/>
      <c r="N271" s="67" t="s">
        <v>383</v>
      </c>
      <c r="O271" s="67"/>
      <c r="P271" s="57" t="s">
        <v>187</v>
      </c>
      <c r="Q271" s="59" t="n">
        <f aca="false">ROUND((Flights!$AD$12)*1440,0)/1440</f>
        <v>46304.0659722222</v>
      </c>
      <c r="R271" s="59" t="n">
        <f aca="false">Q271+(IF(AND(INDEX(TZ_DSTS,MATCH(P271,TZ_STN,0))&lt;&gt;"",Q271&gt;=INDEX(TZ_DSTS,MATCH(P271,TZ_STN,0)),Q271&lt;INDEX(TZ_DSTE,MATCH(P271,TZ_STN,0))),INDEX(TZ_DST,MATCH(P271,TZ_STN,0)),INDEX(TZ_STD,MATCH(P271,TZ_STN,0))))/24</f>
        <v>46304.3993055556</v>
      </c>
      <c r="S271" s="60"/>
      <c r="T271" s="60"/>
      <c r="U271" s="60"/>
      <c r="V271" s="60"/>
      <c r="W271" s="60"/>
      <c r="X271" s="60"/>
      <c r="Y271" s="60"/>
      <c r="Z271" s="60"/>
      <c r="AA271" s="60"/>
      <c r="AB271" s="60"/>
      <c r="AC271" s="60"/>
      <c r="AD271" s="66"/>
      <c r="AE271" s="60"/>
      <c r="AF271" s="61" t="str">
        <f aca="false">IF(AND(ISNUMBER(X271),ISNUMBER(Y271)),Y271-X271,"")</f>
        <v/>
      </c>
      <c r="AG271" s="62" t="str">
        <f aca="false">IF(ISNUMBER(AD271),AD271-(IF(AND(INDEX(TZ_DSTS,MATCH(P271,TZ_STN,0))&lt;&gt;"",(AD271-INDEX(TZ_STD,MATCH(P271,TZ_STN,0))/24)&gt;=INDEX(TZ_DSTS,MATCH(P271,TZ_STN,0)),(AD271-INDEX(TZ_STD,MATCH(P271,TZ_STN,0))/24)&lt;INDEX(TZ_DSTE,MATCH(P271,TZ_STN,0))),INDEX(TZ_DST,MATCH(P271,TZ_STN,0)),INDEX(TZ_STD,MATCH(P271,TZ_STN,0))))/24,"")</f>
        <v/>
      </c>
      <c r="AH271" s="65" t="str">
        <f aca="false">IFERROR(IF(N271="N/A – rule",IF(OR(TRIM(U271)="",TRIM(U271)="N/A",TRIM(U271)="Not started"),"N/A – RULE","INVALID – this check does not apply to this aircraft: clear the status (or correct the fleet on Flights)"),IF(TRIM(U271)="N/A",IF(AT271=0,"INVALID – N/A not permitted for this check",IF(AND(TRIM(AB271)&lt;&gt;"",TRIM(AB271)&lt;&gt;"Closed"),"INVALID – corrective action still open",IF(AND(NOT(OR(LEN(AZ271)&lt;15,ISNUMBER(MATCH(AZ271,L_Placeholder,0)))),BK271=0,CG271&gt;=8,NOT(OR(LEN(AU271)&lt;2,ISNUMBER(MATCH(AU271,L_Placeholder,0)))),BR271&gt;=3,NOT(OR(LEN(AX271)&lt;2,ISNUMBER(MATCH(AX271,L_Placeholder,0)))),BS271&gt;=3,TRIM(AE271)&lt;&gt;TRIM(T271),AX271&lt;&gt;AU271,CE271=0),"N/A – JUSTIFIED","INVALID – N/A needs a real, settled reason (not 'not applicable' / 'as above' / TBC), a named PIC and a different named verifier"))),IF(OR(TRIM(U271)="Pass",TRIM(U271)="Pass after CA"),IF(NOT(ISNUMBER(AD271)),"INVALID – completion time missing",IF(OR(OR(LEN(AU271)&lt;2,ISNUMBER(MATCH(AU271,L_Placeholder,0))),BR271&lt;3),"INVALID – PIC missing or not a named person (a role such as QA / CSM is not a name)",IF(OR(LEN(AV271)&lt;2,ISNUMBER(MATCH(AV271,L_Placeholder,0))),"INVALID – result / assessment missing",IF(OR(OR(LEN(AW271)&lt;3,ISNUMBER(MATCH(AW271,L_Placeholder,0))),SUMPRODUCT(--ISNUMBER(SEARCH(" "&amp;L_EvidencePhrase&amp;" ",BD271)))&gt;0,BI271=1),"INVALID – evidence missing, placeholder or not yet on file",IF(ISNA(MATCH(TRIM(S271),L_EvidenceType,0)),"INVALID – choose the evidence type from the list (column S)",IF(BL271=0,"INVALID – evidence ID must be the record's own ID only (e.g. SF-2210, IMG_2231, 1045521); a link / file name needs type 'Link / file path'",IF(OR(OR(LEN(AX271)&lt;2,ISNUMBER(MATCH(AX271,L_Placeholder,0))),BS271&lt;3),"INVALID – verifier missing or not a named person (a role such as QA / CSM is not a name)",IF(OR(AX271=AU271,CE271=1,AND(LEN(AU271)&gt;=4,ISNUMBER(SEARCH(AU271,AX271))),AND(LEN(AX271)&gt;=4,ISNUMBER(SEARCH(AX271,AU271)))),"INVALID – verifier must be a different, named person (not the PIC or a role)",IF(BH271=1,"INVALID – result not yet available (awaiting / TBC)",IF(BG271=1,"INVALID – result describes a problem: record Fail, then Pass after CA (or reword if it is not a problem)",IF(BV271=1,"INVALID – wording says not on board: an on-board confirmation needs the item loaded",IF(AND(AQ271=1,OR(OR(LEN(AY271)&lt;3,ISNUMBER(MATCH(AY271,L_Placeholder,0))),BJ271=1,BQ271=0)),"INVALID – batch ID missing, placeholder or not an ID (e.g. PASB-261008-BC-017)",IF(AND(AR271=1,OR(NOT(ISNUMBER(X271)),NOT(ISNUMBER(Y271)))),"INVALID – expected/actual qty missing",IF(AND(AR271=1,OR(X271&lt;=0,Y271&lt;0)),"INVALID – expected qty must be above 0 and actual not negative",IF(BB271&lt;&gt;"",BB271,IF(AND(AS271=1,Documents!$J$12&lt;&gt;"ON FILE"),"INVALID – GLD not on file (Documents sheet)",IF(AND(AS271=2,Documents!$O$12&lt;&gt;"ON FILE"),"INVALID – menu checklist not on file (Documents sheet)",IF(AND(AS271=3,NOT(ISNUMBER(Flights!$AX$12))),"INVALID – enter carrying flight KUL departure (Flights AX)",IF(AND(AS271=3,OR(Flights!$AZ$12&gt;Flights!$AA$12,Flights!$AX$12&lt;Flights!$AA$12-3)),"INVALID – carrying flight (Flights AX) cannot arrive before this leg's STD, or is over 3 days early",IF(AG271&gt;AsOfUTC,"INVALID – completion time is in the future",IF(AND(ISNUMBER(BY271),AG271&lt;BY271),IF(H271="Physical uplift","INVALID – before uplift window (cannot confirm loading)","INVALID – before valid window"),IF(AG271&gt;Flights!$AA$12,"INVALID – completed after departure (cannot establish readiness)",IF(AND(H271="Preparation",AG271&gt;=IF(ISNUMBER(Flights!$BA$12),MIN(Flights!$BA$12,Flights!$AA$12),Flights!$AA$12)),"INVALID – completed after loading / departure (cannot establish readiness)",IF(AND(H271="Physical uplift",AG271&gt;Q271),"INVALID – recorded after the loading flight departed",IF(AG271&gt;Q271,"COMPLETE – LATE","COMPLETE"))))))))))))))))))))))))),IF(TRIM(U271)="Fail","FAIL – DISCREPANCY",IF(AND(TRIM(U271)&lt;&gt;"",TRIM(U271)&lt;&gt;"Not started",TRIM(U271)&lt;&gt;"In progress"),"INVALID – unrecognised status (use the list)",IF(AsOfUTC&gt;Q271,"OVERDUE",IF(N271="Clarification required","OPEN – CLARIFICATION","OPEN"))))))),"INVALID – error value in an input cell")</f>
        <v>OPEN</v>
      </c>
      <c r="AI271" s="61" t="n">
        <f aca="false">IF(OR(AH271="N/A – RULE",AH271="N/A – JUSTIFIED"),0,1)</f>
        <v>1</v>
      </c>
      <c r="AJ271" s="61" t="n">
        <f aca="false">IF(LEFT(AH271,8)="COMPLETE",1,0)</f>
        <v>0</v>
      </c>
      <c r="AK271" s="61" t="n">
        <f aca="false">IF(AND(AI271=1,AJ271=0,AsOfUTC&gt;Q271),1,0)</f>
        <v>0</v>
      </c>
      <c r="AL271" s="61" t="n">
        <f aca="false">IFERROR(IF(AND(AI271=1,OR(TRIM(U271)="Fail",AND(TRIM(AB271)&lt;&gt;"",TRIM(AB271)&lt;&gt;"Closed"),AND(ISNUMBER(AF271),AF271&lt;&gt;0,TRIM(U271)&lt;&gt;"Pass after CA"))),1,0),1)</f>
        <v>0</v>
      </c>
      <c r="AM271" s="61" t="n">
        <f aca="false">IF(LEFT(AH271,7)="INVALID",1,0)</f>
        <v>0</v>
      </c>
      <c r="AN271" s="61" t="n">
        <f aca="false">IF(AND(N271="Clarification required",AI271=1,AJ271=0),1,0)</f>
        <v>0</v>
      </c>
      <c r="AO271" s="61" t="str">
        <f aca="false">IF(AK271=1,SUM(AK$5:AK271),"")</f>
        <v/>
      </c>
      <c r="AP271" s="61" t="str">
        <f aca="false">IF(AL271=1,SUM(AL$5:AL271),"")</f>
        <v/>
      </c>
      <c r="AQ271" s="61" t="n">
        <v>1</v>
      </c>
      <c r="AR271" s="61" t="n">
        <v>0</v>
      </c>
      <c r="AS271" s="61" t="n">
        <v>0</v>
      </c>
      <c r="AT271" s="61" t="n">
        <v>0</v>
      </c>
      <c r="AU271" s="61" t="str">
        <f aca="false">SUBSTITUTE(SUBSTITUTE(SUBSTITUTE(SUBSTITUTE(SUBSTITUTE(SUBSTITUTE(SUBSTITUTE(SUBSTITUTE(SUBSTITUTE(SUBSTITUTE(SUBSTITUTE(SUBSTITUTE(SUBSTITUTE(SUBSTITUTE(SUBSTITUTE(SUBSTITUTE(LOWER(T271&amp;""),CHAR(10),""),CHAR(13),""),CHAR(9),""),CHAR(160),"")," ",""),".",""),"-",""),"/",""),"?",""),"_",""),",",""),"[",""),"]",""),"(",""),")",""),"*","")</f>
        <v/>
      </c>
      <c r="AV271" s="61" t="str">
        <f aca="false">SUBSTITUTE(SUBSTITUTE(SUBSTITUTE(SUBSTITUTE(SUBSTITUTE(SUBSTITUTE(SUBSTITUTE(SUBSTITUTE(SUBSTITUTE(SUBSTITUTE(SUBSTITUTE(SUBSTITUTE(SUBSTITUTE(SUBSTITUTE(SUBSTITUTE(SUBSTITUTE(LOWER(V271&amp;""),CHAR(10),""),CHAR(13),""),CHAR(9),""),CHAR(160),"")," ",""),".",""),"-",""),"/",""),"?",""),"_",""),",",""),"[",""),"]",""),"(",""),")",""),"*","")</f>
        <v/>
      </c>
      <c r="AW271" s="61" t="str">
        <f aca="false">SUBSTITUTE(SUBSTITUTE(SUBSTITUTE(SUBSTITUTE(SUBSTITUTE(SUBSTITUTE(SUBSTITUTE(SUBSTITUTE(SUBSTITUTE(SUBSTITUTE(SUBSTITUTE(SUBSTITUTE(SUBSTITUTE(SUBSTITUTE(SUBSTITUTE(SUBSTITUTE(LOWER(Z271&amp;""),CHAR(10),""),CHAR(13),""),CHAR(9),""),CHAR(160),"")," ",""),".",""),"-",""),"/",""),"?",""),"_",""),",",""),"[",""),"]",""),"(",""),")",""),"*","")</f>
        <v/>
      </c>
      <c r="AX271" s="61" t="str">
        <f aca="false">SUBSTITUTE(SUBSTITUTE(SUBSTITUTE(SUBSTITUTE(SUBSTITUTE(SUBSTITUTE(SUBSTITUTE(SUBSTITUTE(SUBSTITUTE(SUBSTITUTE(SUBSTITUTE(SUBSTITUTE(SUBSTITUTE(SUBSTITUTE(SUBSTITUTE(SUBSTITUTE(LOWER(AE271&amp;""),CHAR(10),""),CHAR(13),""),CHAR(9),""),CHAR(160),"")," ",""),".",""),"-",""),"/",""),"?",""),"_",""),",",""),"[",""),"]",""),"(",""),")",""),"*","")</f>
        <v/>
      </c>
      <c r="AY271" s="61" t="str">
        <f aca="false">SUBSTITUTE(SUBSTITUTE(SUBSTITUTE(SUBSTITUTE(SUBSTITUTE(SUBSTITUTE(SUBSTITUTE(SUBSTITUTE(SUBSTITUTE(SUBSTITUTE(SUBSTITUTE(SUBSTITUTE(SUBSTITUTE(SUBSTITUTE(SUBSTITUTE(SUBSTITUTE(LOWER(W271&amp;""),CHAR(10),""),CHAR(13),""),CHAR(9),""),CHAR(160),"")," ",""),".",""),"-",""),"/",""),"?",""),"_",""),",",""),"[",""),"]",""),"(",""),")",""),"*","")</f>
        <v/>
      </c>
      <c r="AZ271" s="61" t="str">
        <f aca="false">SUBSTITUTE(SUBSTITUTE(SUBSTITUTE(SUBSTITUTE(SUBSTITUTE(SUBSTITUTE(SUBSTITUTE(SUBSTITUTE(SUBSTITUTE(SUBSTITUTE(SUBSTITUTE(SUBSTITUTE(SUBSTITUTE(SUBSTITUTE(SUBSTITUTE(SUBSTITUTE(LOWER(AC271&amp;""),CHAR(10),""),CHAR(13),""),CHAR(9),""),CHAR(160),"")," ",""),".",""),"-",""),"/",""),"?",""),"_",""),",",""),"[",""),"]",""),"(",""),")",""),"*","")</f>
        <v/>
      </c>
      <c r="BA271" s="61" t="str">
        <f aca="false">SUBSTITUTE(SUBSTITUTE(SUBSTITUTE(SUBSTITUTE(SUBSTITUTE(SUBSTITUTE(SUBSTITUTE(SUBSTITUTE(SUBSTITUTE(SUBSTITUTE(SUBSTITUTE(SUBSTITUTE(SUBSTITUTE(SUBSTITUTE(SUBSTITUTE(SUBSTITUTE(LOWER(AA271&amp;""),CHAR(10),""),CHAR(13),""),CHAR(9),""),CHAR(160),"")," ",""),".",""),"-",""),"/",""),"?",""),"_",""),",",""),"[",""),"]",""),"(",""),")",""),"*","")</f>
        <v/>
      </c>
      <c r="BB271" s="61" t="str">
        <f aca="false">IF(AND(TRIM(U271)="Pass",ISNUMBER(AF271)),IF(AF271&lt;&gt;0,"INVALID – qty variance: use Fail or Pass after CA",""),"")&amp;IF(AND(TRIM(U271)="Pass after CA",ISNUMBER(AF271)),IF(AF271&lt;&gt;0,"INVALID – after the corrective action the actual qty must equal expected (update Actual)",""),"")&amp;IF(AND(TRIM(U271)="Pass",TRIM(AB271)&lt;&gt;"",TRIM(AB271)&lt;&gt;"Closed"),"INVALID – corrective action not closed: use Fail, then Pass after CA","")&amp;IF(AND(LEN(BA271)&gt;=2,ISNA(MATCH(LEFT(BA271,255),L_Placeholder,0)),TRIM(AB271)=""),"INVALID – CA status missing for the recorded corrective action","")&amp;IF(AND(TRIM(U271)="Pass after CA",OR(OR(LEN(BA271)&lt;5,ISNUMBER(MATCH(BA271,L_Placeholder,0))),TRIM(AB271)&lt;&gt;"Closed")),"INVALID – corrective action not recorded/closed","")</f>
        <v/>
      </c>
      <c r="BC271" s="61" t="str">
        <f aca="false">" "&amp;TRIM(SUBSTITUTE(SUBSTITUTE(SUBSTITUTE(SUBSTITUTE(SUBSTITUTE(SUBSTITUTE(SUBSTITUTE(SUBSTITUTE(SUBSTITUTE(SUBSTITUTE(SUBSTITUTE(SUBSTITUTE(SUBSTITUTE(SUBSTITUTE(SUBSTITUTE(SUBSTITUTE(SUBSTITUTE(SUBSTITUTE(SUBSTITUTE(SUBSTITUTE(SUBSTITUTE(SUBSTITUTE(SUBSTITUTE(SUBSTITUTE(LOWER(V271&amp;""),CHAR(10)," "),CHAR(13)," "),CHAR(9)," "),CHAR(160)," "),"."," "),","," "),"-"," "),"/"," "),"("," "),")"," "),":"," "),";"," "),"_"," "),"–"," "),"?"," "),"!"," "),"*"," "),"["," "),"]"," "),"'"," "),"#"," "),"+"," "),"&amp;"," "),"\"," "))&amp;" "</f>
        <v>  </v>
      </c>
      <c r="BD271" s="61" t="str">
        <f aca="false">" "&amp;TRIM(SUBSTITUTE(SUBSTITUTE(SUBSTITUTE(SUBSTITUTE(SUBSTITUTE(SUBSTITUTE(SUBSTITUTE(SUBSTITUTE(SUBSTITUTE(SUBSTITUTE(SUBSTITUTE(SUBSTITUTE(SUBSTITUTE(SUBSTITUTE(SUBSTITUTE(SUBSTITUTE(SUBSTITUTE(SUBSTITUTE(SUBSTITUTE(SUBSTITUTE(SUBSTITUTE(SUBSTITUTE(SUBSTITUTE(SUBSTITUTE(LOWER(Z271&amp;""),CHAR(10)," "),CHAR(13)," "),CHAR(9)," "),CHAR(160)," "),"."," "),","," "),"-"," "),"/"," "),"("," "),")"," "),":"," "),";"," "),"_"," "),"–"," "),"?"," "),"!"," "),"*"," "),"["," "),"]"," "),"'"," "),"#"," "),"+"," "),"&amp;"," "),"\"," "))&amp;" "</f>
        <v>  </v>
      </c>
      <c r="BE271" s="61" t="str">
        <f aca="false">" "&amp;TRIM(SUBSTITUTE(SUBSTITUTE(SUBSTITUTE(SUBSTITUTE(SUBSTITUTE(SUBSTITUTE(SUBSTITUTE(SUBSTITUTE(SUBSTITUTE(SUBSTITUTE(SUBSTITUTE(SUBSTITUTE(SUBSTITUTE(SUBSTITUTE(SUBSTITUTE(SUBSTITUTE(SUBSTITUTE(SUBSTITUTE(SUBSTITUTE(SUBSTITUTE(SUBSTITUTE(SUBSTITUTE(SUBSTITUTE(SUBSTITUTE(LOWER(W271&amp;""),CHAR(10)," "),CHAR(13)," "),CHAR(9)," "),CHAR(160)," "),"."," "),","," "),"-"," "),"/"," "),"("," "),")"," "),":"," "),";"," "),"_"," "),"–"," "),"?"," "),"!"," "),"*"," "),"["," "),"]"," "),"'"," "),"#"," "),"+"," "),"&amp;"," "),"\"," "))&amp;" "</f>
        <v>  </v>
      </c>
      <c r="BF271" s="61" t="str">
        <f aca="false">" "&amp;TRIM(SUBSTITUTE(SUBSTITUTE(SUBSTITUTE(SUBSTITUTE(SUBSTITUTE(SUBSTITUTE(SUBSTITUTE(SUBSTITUTE(SUBSTITUTE(SUBSTITUTE(SUBSTITUTE(SUBSTITUTE(SUBSTITUTE(SUBSTITUTE(SUBSTITUTE(SUBSTITUTE(SUBSTITUTE(SUBSTITUTE(SUBSTITUTE(SUBSTITUTE(SUBSTITUTE(SUBSTITUTE(SUBSTITUTE(SUBSTITUTE(LOWER(AC271&amp;""),CHAR(10)," "),CHAR(13)," "),CHAR(9)," "),CHAR(160)," "),"."," "),","," "),"-"," "),"/"," "),"("," "),")"," "),":"," "),";"," "),"_"," "),"–"," "),"?"," "),"!"," "),"*"," "),"["," "),"]"," "),"'"," "),"#"," "),"+"," "),"&amp;"," "),"\"," "))&amp;" "</f>
        <v>  </v>
      </c>
      <c r="BG271" s="61" t="n">
        <f aca="false">IFERROR(IF(AND(TRIM(U271)="Pass",SUMPRODUCT((LEN(BC271)-LEN(SUBSTITUTE(BC271," "&amp;L_ResultBad&amp;" "," ")))/(LEN(L_ResultBad)+1))&gt;SUMPRODUCT((LEN(BC271)-LEN(SUBSTITUTE(BC271," "&amp;L_NegPhrase&amp;" "," ")))/(LEN(L_NegPhrase)+1))),1,0),0)</f>
        <v>0</v>
      </c>
      <c r="BH271" s="61" t="n">
        <f aca="false">IFERROR(IF(SUMPRODUCT((LEN(BC271)-LEN(SUBSTITUTE(BC271," "&amp;L_Pending&amp;" "," ")))/(LEN(L_Pending)+1))&gt;SUMPRODUCT((LEN(BC271)-LEN(SUBSTITUTE(BC271," "&amp;L_PendNeg&amp;" "," ")))/(LEN(L_PendNeg)+1))+SUMPRODUCT((LEN(BC271)-LEN(SUBSTITUTE(BC271," "&amp;L_PendPrep&amp;" "," ")))/(LEN(L_PendPrep)+1)),1,0),1)</f>
        <v>0</v>
      </c>
      <c r="BI271" s="61" t="n">
        <f aca="false">IFERROR(IF(SUMPRODUCT((LEN(BD271)-LEN(SUBSTITUTE(BD271," "&amp;L_PendStrict&amp;" "," ")))/(LEN(L_PendStrict)+1))&gt;SUMPRODUCT((LEN(BD271)-LEN(SUBSTITUTE(BD271," "&amp;L_PendNeg&amp;" "," ")))/(LEN(L_PendNeg)+1)),1,0),1)</f>
        <v>0</v>
      </c>
      <c r="BJ271" s="61" t="n">
        <f aca="false">IFERROR(IF(SUMPRODUCT((LEN(BE271)-LEN(SUBSTITUTE(BE271," "&amp;L_Pending&amp;" "," ")))/(LEN(L_Pending)+1))&gt;SUMPRODUCT((LEN(BE271)-LEN(SUBSTITUTE(BE271," "&amp;L_PendNeg&amp;" "," ")))/(LEN(L_PendNeg)+1))+SUMPRODUCT((LEN(BE271)-LEN(SUBSTITUTE(BE271," "&amp;L_PendPrep&amp;" "," ")))/(LEN(L_PendPrep)+1)),1,0),1)</f>
        <v>0</v>
      </c>
      <c r="BK271" s="61" t="n">
        <f aca="false">IFERROR(IF(SUMPRODUCT((LEN(BF271)-LEN(SUBSTITUTE(BF271," "&amp;L_PendStrict&amp;" "," ")))/(LEN(L_PendStrict)+1))&gt;SUMPRODUCT((LEN(BF271)-LEN(SUBSTITUTE(BF271," "&amp;L_PendNeg&amp;" "," ")))/(LEN(L_PendNeg)+1)),1,0),1)</f>
        <v>0</v>
      </c>
      <c r="BL271" s="61" t="n">
        <f aca="false">IF(ISNA(MATCH(TRIM(S271),L_EvidenceType,0)),0,BZ271)</f>
        <v>0</v>
      </c>
      <c r="BM271" s="61" t="str">
        <f aca="false">SUBSTITUTE(SUBSTITUTE(SUBSTITUTE(SUBSTITUTE(SUBSTITUTE(SUBSTITUTE(SUBSTITUTE(SUBSTITUTE(SUBSTITUTE(LOWER(Z271&amp;""),"1","0"),"2","0"),"3","0"),"4","0"),"5","0"),"6","0"),"7","0"),"8","0"),"9","0")</f>
        <v/>
      </c>
      <c r="BN271" s="61" t="str">
        <f aca="false">SUBSTITUTE(SUBSTITUTE(SUBSTITUTE(SUBSTITUTE(SUBSTITUTE(SUBSTITUTE(SUBSTITUTE(SUBSTITUTE(SUBSTITUTE(SUBSTITUTE(SUBSTITUTE(SUBSTITUTE(SUBSTITUTE(SUBSTITUTE(SUBSTITUTE(SUBSTITUTE(SUBSTITUTE(SUBSTITUTE(SUBSTITUTE(SUBSTITUTE(SUBSTITUTE(SUBSTITUTE(SUBSTITUTE(SUBSTITUTE(SUBSTITUTE(BM271,"b","a"),"c","a"),"d","a"),"e","a"),"f","a"),"g","a"),"h","a"),"i","a"),"j","a"),"k","a"),"l","a"),"m","a"),"n","a"),"o","a"),"p","a"),"q","a"),"r","a"),"s","a"),"t","a"),"u","a"),"v","a"),"w","a"),"x","a"),"y","a"),"z","a")</f>
        <v/>
      </c>
      <c r="BO271" s="61" t="str">
        <f aca="false">SUBSTITUTE(SUBSTITUTE(SUBSTITUTE(SUBSTITUTE(SUBSTITUTE(SUBSTITUTE(SUBSTITUTE(SUBSTITUTE(SUBSTITUTE(LOWER(W271&amp;""),"1","0"),"2","0"),"3","0"),"4","0"),"5","0"),"6","0"),"7","0"),"8","0"),"9","0")</f>
        <v/>
      </c>
      <c r="BP271" s="61" t="str">
        <f aca="false">SUBSTITUTE(SUBSTITUTE(SUBSTITUTE(SUBSTITUTE(SUBSTITUTE(SUBSTITUTE(SUBSTITUTE(SUBSTITUTE(SUBSTITUTE(SUBSTITUTE(SUBSTITUTE(SUBSTITUTE(SUBSTITUTE(SUBSTITUTE(SUBSTITUTE(SUBSTITUTE(SUBSTITUTE(SUBSTITUTE(SUBSTITUTE(SUBSTITUTE(SUBSTITUTE(SUBSTITUTE(SUBSTITUTE(SUBSTITUTE(SUBSTITUTE(BO271,"b","a"),"c","a"),"d","a"),"e","a"),"f","a"),"g","a"),"h","a"),"i","a"),"j","a"),"k","a"),"l","a"),"m","a"),"n","a"),"o","a"),"p","a"),"q","a"),"r","a"),"s","a"),"t","a"),"u","a"),"v","a"),"w","a"),"x","a"),"y","a"),"z","a")</f>
        <v/>
      </c>
      <c r="BQ271" s="61" t="n">
        <f aca="false">IFERROR(IF(AND(ISERROR(SEARCH(" mh"," "&amp;LOWER(W271))),ISNA(MATCH(LEFT(TRIM(BP271),255),{"0000a","000a","00a","0000aa","000aa","00aa","0aa","0000aaa","000aaa","00a00","0a00","0000-0000","00:00","a00","a0","00.00.0000","00/00/0000","00-00-0000","0000-00-00","0000/00/00","0000.00.00","00.00.00","00/00/00","00-00-00","0.00.0000","0/00/0000","0-00-0000"},0)),ISNA(MATCH(LEFT(TRIM(CA271),255),{"0000a","000a","00a","0000aa","000aa","00aa","0aa","0000aaa","000aaa","00a00","0a00","0000-0000","00:00","a00","a0","00.00.0000","00/00/0000","00-00-0000","0000-00-00","0000/00/00","0000.00.00","00.00.00","00/00/00","00-00-00","0.00.0000","0/00/0000","0-00-0000"},0)),LEN(CB271)&gt;=3,NOT(OR(SUBSTITUTE(CB271,"0","")="",AND(LEN(CB271)&gt;=4,CB271=REPT(LEFT(CB271),LEN(CB271))),ISNUMBER(MATCH(CB271,{"123","1234","12345","123456","1234567","12345678","0123","01234","012345","98765","987654","54321"},0)),AND(LEN(CB271)=8,LEFT(CB271,3)="202"))),OR(AND((LEN(CA271)-LEN(SUBSTITUTE(CA271,"a","")))&gt;=1,SUMPRODUCT(--ISNUMBER(SEARCH({"a0","a-0","a_0","a/0","a.0","a#0","0a","0-a","0_a","0/a"},BP271)))&gt;0),ISNUMBER(SEARCH("000000",BP271)))),1,0),0)</f>
        <v>0</v>
      </c>
      <c r="BR271" s="61" t="n">
        <f aca="false">IFERROR(LEN(SUBSTITUTE(CC271," ",""))-SUMPRODUCT((LEN(CC271)-LEN(SUBSTITUTE(CC271," "&amp;L_Role&amp;" "," ")))/(LEN(L_Role)+1)*LEN(L_Role)),0)</f>
        <v>0</v>
      </c>
      <c r="BS271" s="61" t="n">
        <f aca="false">IFERROR(LEN(SUBSTITUTE(CD271," ",""))-SUMPRODUCT((LEN(CD271)-LEN(SUBSTITUTE(CD271," "&amp;L_Role&amp;" "," ")))/(LEN(L_Role)+1)*LEN(L_Role)),0)</f>
        <v>0</v>
      </c>
      <c r="BT2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271,"revision",""),"version",""),"jan",""),"feb",""),"mar",""),"apr",""),"may",""),"jun",""),"jul",""),"aug",""),"sep",""),"oct",""),"nov",""),"dec",""),"utc",""),"gmt",""),"myt",""),"bst",""),"rev",""),"ver",""),"b","a"),"c","a"),"d","a"),"e","a"),"f","a"),"g","a"),"h","a"),"i","a"),"j","a"),"k","a"),"l","a"),"m","a"),"n","a"),"o","a"),"p","a"),"q","a"),"r","a"),"s","a"),"t","a"),"u","a"),"v","a"),"w","a"),"x","a"),"y","a"),"z","a")</f>
        <v/>
      </c>
      <c r="BU271" s="61" t="str">
        <f aca="false">SUBSTITUTE(SUBSTITUTE(SUBSTITUTE(SUBSTITUTE(SUBSTITUTE(SUBSTITUTE(SUBSTITUTE(SUBSTITUTE(SUBSTITUTE(SUBSTITUTE(LEFT(BM271,FIND("0",BM271&amp;"0")-1),"-",""),"_",""),"/",""),".",""),"#",""),"\\",""),":","")," ",""),"(",""),")","")</f>
        <v/>
      </c>
      <c r="BV271" s="61" t="n">
        <f aca="false">0</f>
        <v>0</v>
      </c>
      <c r="BW2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271&amp;""),"a",""),"b",""),"c",""),"d",""),"e",""),"f",""),"g",""),"h",""),"i",""),"j",""),"k",""),"l",""),"m",""),"n",""),"o",""),"p",""),"q",""),"r",""),"s",""),"t",""),"u",""),"v",""),"w",""),"x",""),"y",""),"z",""),"-",""),"_",""),"/",""),".",""),"#",""),"\\",""),":","")," ",""),"(",""),")","")</f>
        <v/>
      </c>
      <c r="BX271" s="61" t="str">
        <f aca="false">SUBSTITUTE(SUBSTITUTE(SUBSTITUTE(SUBSTITUTE(SUBSTITUTE(SUBSTITUTE(SUBSTITUTE(SUBSTITUTE(SUBSTITUTE(SUBSTITUTE(SUBSTITUTE(BM271,"0",""),"-",""),"_",""),"/",""),".",""),"#",""),"\\",""),":","")," ",""),"(",""),")","")</f>
        <v/>
      </c>
      <c r="BY271" s="62" t="n">
        <f aca="false">Q271-T24EarlyH/24</f>
        <v>46303.0659722222</v>
      </c>
      <c r="BZ271" s="61" t="n">
        <f aca="false">IFERROR(IF(IF(TRIM(S271)="Link / file path",AND(LEN(TRIM(Z271))&gt;=5,SUMPRODUCT(--ISNUMBER(SEARCH({"http","www.","\\",":\",".pdf",".jpg",".jpeg",".png",".heic",".xls",".doc",".msg",".eml",".ppt",".txt",".zip"},Z271)))&gt;0),AND(ISERROR(FIND(" ",TRIM(Z271))),NOT(OR(SUMPRODUCT(--ISNUMBER(FIND({",",";","&amp;","+"},Z271)))&gt;0,SUMPRODUCT(--ISNUMBER(SEARCH({"0/aa","0\\aa"},BN271)))&gt;0)),NOT(SUMPRODUCT(--ISNUMBER(SEARCH({"http","www.","\\",":\",".pdf",".jpg",".jpeg",".png",".heic",".xls",".doc",".msg",".eml",".ppt",".txt",".zip"},Z271)))&gt;0),NOT(LOWER(TRIM(Z271))=LOWER(Flights!$F$12)),ISNA(MATCH(BU271,{"mh","rev","revision","ver","version","v","r","a","b","seat","tray","row","gate","bay","stand","page","pg","item","line","no","cart","galley","flight","flt","table","box","bag","oven","etd","eta","std","sta","atd","ata","qty","pax","x","time","tel","ph","mob","day","wk","week","utc","gmt","myt","lt"},0)),NOT(OR(ISNUMBER(MATCH(LEFT(BN271,255),{"0000a","000a","00a","0000aa","000aa","00aa","0aa","0000aaa","000aaa","00a00","0a00","0000-0000","00:00","a00","a0","00.00.0000","00/00/0000","00-00-0000","0000-00-00","0000/00/00","0000.00.00","00.00.00","00/00/00","00-00-00","0.00.0000","0/00/0000","0-00-0000"},0)),ISNUMBER(MATCH(LEFT(BT271,255),{"0000a","000a","00a","0000aa","000aa","00aa","0aa","0000aaa","000aaa","00a00","0a00","0000-0000","00:00","a00","a0","00.00.0000","00/00/0000","00-00-0000","0000-00-00","0000/00/00","0000.00.00","00.00.00","00/00/00","00-00-00","0.00.0000","0/00/0000","0-00-0000"},0)))),NOT(OR(AND(BW271&lt;&gt;"",SUBSTITUTE(BW271,"0","")=""),AND(LEN(BW271)&gt;=4,BW271=REPT(LEFT(BW271),LEN(BW271))),ISNUMBER(MATCH(BW271,{"123","1234","12345","123456","1234567","12345678","0123","01234","012345","98765","987654","54321"},0)),ISNUMBER(MATCH(BX271,{"x","xx","xxx","xxxx","xxxxx","abc","abcd","nil","na","nan","test","tbc","tba","tbd","dummy","sample","example","eg","zz","zzz","none","null","xyz","qwe","asd","id","ref"},0)),AND(LEN(BW271)=8,BX271="",OR(LEFT(BW271,3)="202",ISNUMBER(MATCH(RIGHT(BW271,4),{"2025","2026","2027"},0)))))),OR(AND((LEN(BT271)-LEN(SUBSTITUTE(BT271,"a","")))&gt;=1,(LEN(BN271)-LEN(SUBSTITUTE(BN271,"0","")))&gt;=2,SUMPRODUCT(--ISNUMBER(SEARCH({"a0","a-0","a_0","a/0","a.0","a#0","0a","0-a","0_a","0/a"},BN271)))&gt;0),AND((LEN(BN271)-LEN(SUBSTITUTE(BN271,"a","")))=0,(LEN(BN271)-LEN(SUBSTITUTE(BN271,"0","")))&gt;=5)))),1,0),0)</f>
        <v>0</v>
      </c>
      <c r="CA2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271,"revision",""),"version",""),"jan",""),"feb",""),"mar",""),"apr",""),"may",""),"jun",""),"jul",""),"aug",""),"sep",""),"oct",""),"nov",""),"dec",""),"utc",""),"gmt",""),"myt",""),"bst",""),"rev",""),"ver",""),"b","a"),"c","a"),"d","a"),"e","a"),"f","a"),"g","a"),"h","a"),"i","a"),"j","a"),"k","a"),"l","a"),"m","a"),"n","a"),"o","a"),"p","a"),"q","a"),"r","a"),"s","a"),"t","a"),"u","a"),"v","a"),"w","a"),"x","a"),"y","a"),"z","a")</f>
        <v/>
      </c>
      <c r="CB2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271&amp;""),"a",""),"b",""),"c",""),"d",""),"e",""),"f",""),"g",""),"h",""),"i",""),"j",""),"k",""),"l",""),"m",""),"n",""),"o",""),"p",""),"q",""),"r",""),"s",""),"t",""),"u",""),"v",""),"w",""),"x",""),"y",""),"z",""),"-",""),"_",""),"/",""),".",""),"#",""),"\\",""),":","")," ",""),"(",""),")","")</f>
        <v/>
      </c>
      <c r="CC271" s="0" t="str">
        <f aca="false">" "&amp;TRIM(SUBSTITUTE(SUBSTITUTE(SUBSTITUTE(SUBSTITUTE(SUBSTITUTE(SUBSTITUTE(SUBSTITUTE(SUBSTITUTE(SUBSTITUTE(SUBSTITUTE(SUBSTITUTE(SUBSTITUTE(SUBSTITUTE(SUBSTITUTE(SUBSTITUTE(SUBSTITUTE(SUBSTITUTE(SUBSTITUTE(SUBSTITUTE(SUBSTITUTE(SUBSTITUTE(SUBSTITUTE(SUBSTITUTE(SUBSTITUTE(LOWER(T271&amp;""),CHAR(10)," "),CHAR(13)," "),CHAR(9)," "),CHAR(160)," "),"."," "),","," "),"-"," "),"/"," "),"("," "),")"," "),":"," "),";"," "),"_"," "),"–"," "),"?"," "),"!"," "),"*"," "),"["," "),"]"," "),"'"," "),"#"," "),"+"," "),"&amp;"," "),"\"," "))&amp;" "</f>
        <v>  </v>
      </c>
      <c r="CD271" s="0" t="str">
        <f aca="false">" "&amp;TRIM(SUBSTITUTE(SUBSTITUTE(SUBSTITUTE(SUBSTITUTE(SUBSTITUTE(SUBSTITUTE(SUBSTITUTE(SUBSTITUTE(SUBSTITUTE(SUBSTITUTE(SUBSTITUTE(SUBSTITUTE(SUBSTITUTE(SUBSTITUTE(SUBSTITUTE(SUBSTITUTE(SUBSTITUTE(SUBSTITUTE(SUBSTITUTE(SUBSTITUTE(SUBSTITUTE(SUBSTITUTE(SUBSTITUTE(SUBSTITUTE(LOWER(AE271&amp;""),CHAR(10)," "),CHAR(13)," "),CHAR(9)," "),CHAR(160)," "),"."," "),","," "),"-"," "),"/"," "),"("," "),")"," "),":"," "),";"," "),"_"," "),"–"," "),"?"," "),"!"," "),"*"," "),"["," "),"]"," "),"'"," "),"#"," "),"+"," "),"&amp;"," "),"\"," "))&amp;" "</f>
        <v>  </v>
      </c>
      <c r="CE271" s="68" t="n">
        <f aca="false">IFERROR(IF(AND(LEN(AU271)&gt;0,LEN(AU271)=LEN(AX271),OR(TRIM(MID(SUBSTITUTE(TRIM(CC271)," ",REPT(" ",60)),1,60))="",ISNUMBER(SEARCH(" "&amp;TRIM(MID(SUBSTITUTE(TRIM(CC271)," ",REPT(" ",60)),1,60))&amp;" ",CD271))),OR(TRIM(MID(SUBSTITUTE(TRIM(CC271)," ",REPT(" ",60)),61,60))="",ISNUMBER(SEARCH(" "&amp;TRIM(MID(SUBSTITUTE(TRIM(CC271)," ",REPT(" ",60)),61,60))&amp;" ",CD271))),OR(TRIM(MID(SUBSTITUTE(TRIM(CC271)," ",REPT(" ",60)),121,60))="",ISNUMBER(SEARCH(" "&amp;TRIM(MID(SUBSTITUTE(TRIM(CC271)," ",REPT(" ",60)),121,60))&amp;" ",CD271)))),1,0),0)</f>
        <v>0</v>
      </c>
      <c r="CG271" s="68" t="n">
        <f aca="false">IFERROR(LEN(SUBSTITUTE(BF271," ",""))-SUMPRODUCT((LEN(BF271)-LEN(SUBSTITUTE(BF271," "&amp;L_NAFiller&amp;" "," ")))/(LEN(L_NAFiller)+1)*LEN(L_NAFiller)),0)</f>
        <v>0</v>
      </c>
    </row>
    <row r="272" customFormat="false" ht="39.75" hidden="false" customHeight="true" outlineLevel="0" collapsed="false">
      <c r="A272" s="57" t="s">
        <v>845</v>
      </c>
      <c r="B272" s="57" t="s">
        <v>238</v>
      </c>
      <c r="C272" s="57" t="str">
        <f aca="false">Flights!$F$12</f>
        <v>MH0752</v>
      </c>
      <c r="D272" s="58" t="n">
        <f aca="false">Flights!$D$12</f>
        <v>46305</v>
      </c>
      <c r="E272" s="57" t="str">
        <f aca="false">Flights!$G$12&amp;"-"&amp;Flights!$H$12</f>
        <v>KUL-HAN</v>
      </c>
      <c r="F272" s="57" t="str">
        <f aca="false">Flights!$K$12</f>
        <v>EY</v>
      </c>
      <c r="G272" s="57" t="s">
        <v>420</v>
      </c>
      <c r="H272" s="57" t="s">
        <v>378</v>
      </c>
      <c r="I272" s="57" t="s">
        <v>379</v>
      </c>
      <c r="J272" s="57" t="s">
        <v>421</v>
      </c>
      <c r="K272" s="67"/>
      <c r="L272" s="67" t="s">
        <v>422</v>
      </c>
      <c r="M272" s="67"/>
      <c r="N272" s="67" t="s">
        <v>383</v>
      </c>
      <c r="O272" s="67" t="s">
        <v>423</v>
      </c>
      <c r="P272" s="57" t="s">
        <v>187</v>
      </c>
      <c r="Q272" s="59" t="n">
        <f aca="false">ROUND((Flights!$AE$12)*1440,0)/1440</f>
        <v>46304.5659722222</v>
      </c>
      <c r="R272" s="59" t="n">
        <f aca="false">Q272+(IF(AND(INDEX(TZ_DSTS,MATCH(P272,TZ_STN,0))&lt;&gt;"",Q272&gt;=INDEX(TZ_DSTS,MATCH(P272,TZ_STN,0)),Q272&lt;INDEX(TZ_DSTE,MATCH(P272,TZ_STN,0))),INDEX(TZ_DST,MATCH(P272,TZ_STN,0)),INDEX(TZ_STD,MATCH(P272,TZ_STN,0))))/24</f>
        <v>46304.8993055556</v>
      </c>
      <c r="S272" s="60"/>
      <c r="T272" s="60"/>
      <c r="U272" s="60"/>
      <c r="V272" s="60"/>
      <c r="W272" s="61"/>
      <c r="X272" s="60"/>
      <c r="Y272" s="60"/>
      <c r="Z272" s="60"/>
      <c r="AA272" s="60"/>
      <c r="AB272" s="60"/>
      <c r="AC272" s="60"/>
      <c r="AD272" s="66"/>
      <c r="AE272" s="60"/>
      <c r="AF272" s="61" t="str">
        <f aca="false">IF(AND(ISNUMBER(X272),ISNUMBER(Y272)),Y272-X272,"")</f>
        <v/>
      </c>
      <c r="AG272" s="62" t="str">
        <f aca="false">IF(ISNUMBER(AD272),AD272-(IF(AND(INDEX(TZ_DSTS,MATCH(P272,TZ_STN,0))&lt;&gt;"",(AD272-INDEX(TZ_STD,MATCH(P272,TZ_STN,0))/24)&gt;=INDEX(TZ_DSTS,MATCH(P272,TZ_STN,0)),(AD272-INDEX(TZ_STD,MATCH(P272,TZ_STN,0))/24)&lt;INDEX(TZ_DSTE,MATCH(P272,TZ_STN,0))),INDEX(TZ_DST,MATCH(P272,TZ_STN,0)),INDEX(TZ_STD,MATCH(P272,TZ_STN,0))))/24,"")</f>
        <v/>
      </c>
      <c r="AH272" s="65" t="str">
        <f aca="false">IFERROR(IF(N272="N/A – rule",IF(OR(TRIM(U272)="",TRIM(U272)="N/A",TRIM(U272)="Not started"),"N/A – RULE","INVALID – this check does not apply to this aircraft: clear the status (or correct the fleet on Flights)"),IF(TRIM(U272)="N/A",IF(AT272=0,"INVALID – N/A not permitted for this check",IF(AND(TRIM(AB272)&lt;&gt;"",TRIM(AB272)&lt;&gt;"Closed"),"INVALID – corrective action still open",IF(AND(NOT(OR(LEN(AZ272)&lt;15,ISNUMBER(MATCH(AZ272,L_Placeholder,0)))),BK272=0,CG272&gt;=8,NOT(OR(LEN(AU272)&lt;2,ISNUMBER(MATCH(AU272,L_Placeholder,0)))),BR272&gt;=3,NOT(OR(LEN(AX272)&lt;2,ISNUMBER(MATCH(AX272,L_Placeholder,0)))),BS272&gt;=3,TRIM(AE272)&lt;&gt;TRIM(T272),AX272&lt;&gt;AU272,CE272=0),"N/A – JUSTIFIED","INVALID – N/A needs a real, settled reason (not 'not applicable' / 'as above' / TBC), a named PIC and a different named verifier"))),IF(OR(TRIM(U272)="Pass",TRIM(U272)="Pass after CA"),IF(NOT(ISNUMBER(AD272)),"INVALID – completion time missing",IF(OR(OR(LEN(AU272)&lt;2,ISNUMBER(MATCH(AU272,L_Placeholder,0))),BR272&lt;3),"INVALID – PIC missing or not a named person (a role such as QA / CSM is not a name)",IF(OR(LEN(AV272)&lt;2,ISNUMBER(MATCH(AV272,L_Placeholder,0))),"INVALID – result / assessment missing",IF(OR(OR(LEN(AW272)&lt;3,ISNUMBER(MATCH(AW272,L_Placeholder,0))),SUMPRODUCT(--ISNUMBER(SEARCH(" "&amp;L_EvidencePhrase&amp;" ",BD272)))&gt;0,BI272=1),"INVALID – evidence missing, placeholder or not yet on file",IF(ISNA(MATCH(TRIM(S272),L_EvidenceType,0)),"INVALID – choose the evidence type from the list (column S)",IF(BL272=0,"INVALID – evidence ID must be the record's own ID only (e.g. SF-2210, IMG_2231, 1045521); a link / file name needs type 'Link / file path'",IF(OR(OR(LEN(AX272)&lt;2,ISNUMBER(MATCH(AX272,L_Placeholder,0))),BS272&lt;3),"INVALID – verifier missing or not a named person (a role such as QA / CSM is not a name)",IF(OR(AX272=AU272,CE272=1,AND(LEN(AU272)&gt;=4,ISNUMBER(SEARCH(AU272,AX272))),AND(LEN(AX272)&gt;=4,ISNUMBER(SEARCH(AX272,AU272)))),"INVALID – verifier must be a different, named person (not the PIC or a role)",IF(BH272=1,"INVALID – result not yet available (awaiting / TBC)",IF(BG272=1,"INVALID – result describes a problem: record Fail, then Pass after CA (or reword if it is not a problem)",IF(BV272=1,"INVALID – wording says not on board: an on-board confirmation needs the item loaded",IF(AND(AQ272=1,OR(OR(LEN(AY272)&lt;3,ISNUMBER(MATCH(AY272,L_Placeholder,0))),BJ272=1,BQ272=0)),"INVALID – batch ID missing, placeholder or not an ID (e.g. PASB-261008-BC-017)",IF(AND(AR272=1,OR(NOT(ISNUMBER(X272)),NOT(ISNUMBER(Y272)))),"INVALID – expected/actual qty missing",IF(AND(AR272=1,OR(X272&lt;=0,Y272&lt;0)),"INVALID – expected qty must be above 0 and actual not negative",IF(BB272&lt;&gt;"",BB272,IF(AND(AS272=1,Documents!$J$12&lt;&gt;"ON FILE"),"INVALID – GLD not on file (Documents sheet)",IF(AND(AS272=2,Documents!$O$12&lt;&gt;"ON FILE"),"INVALID – menu checklist not on file (Documents sheet)",IF(AND(AS272=3,NOT(ISNUMBER(Flights!$AX$12))),"INVALID – enter carrying flight KUL departure (Flights AX)",IF(AND(AS272=3,OR(Flights!$AZ$12&gt;Flights!$AA$12,Flights!$AX$12&lt;Flights!$AA$12-3)),"INVALID – carrying flight (Flights AX) cannot arrive before this leg's STD, or is over 3 days early",IF(AG272&gt;AsOfUTC,"INVALID – completion time is in the future",IF(AND(ISNUMBER(BY272),AG272&lt;BY272),IF(H272="Physical uplift","INVALID – before uplift window (cannot confirm loading)","INVALID – before valid window"),IF(AG272&gt;Flights!$AA$12,"INVALID – completed after departure (cannot establish readiness)",IF(AND(H272="Preparation",AG272&gt;=IF(ISNUMBER(Flights!$BA$12),MIN(Flights!$BA$12,Flights!$AA$12),Flights!$AA$12)),"INVALID – completed after loading / departure (cannot establish readiness)",IF(AND(H272="Physical uplift",AG272&gt;Q272),"INVALID – recorded after the loading flight departed",IF(AG272&gt;Q272,"COMPLETE – LATE","COMPLETE"))))))))))))))))))))))))),IF(TRIM(U272)="Fail","FAIL – DISCREPANCY",IF(AND(TRIM(U272)&lt;&gt;"",TRIM(U272)&lt;&gt;"Not started",TRIM(U272)&lt;&gt;"In progress"),"INVALID – unrecognised status (use the list)",IF(AsOfUTC&gt;Q272,"OVERDUE",IF(N272="Clarification required","OPEN – CLARIFICATION","OPEN"))))))),"INVALID – error value in an input cell")</f>
        <v>OPEN</v>
      </c>
      <c r="AI272" s="61" t="n">
        <f aca="false">IF(OR(AH272="N/A – RULE",AH272="N/A – JUSTIFIED"),0,1)</f>
        <v>1</v>
      </c>
      <c r="AJ272" s="61" t="n">
        <f aca="false">IF(LEFT(AH272,8)="COMPLETE",1,0)</f>
        <v>0</v>
      </c>
      <c r="AK272" s="61" t="n">
        <f aca="false">IF(AND(AI272=1,AJ272=0,AsOfUTC&gt;Q272),1,0)</f>
        <v>0</v>
      </c>
      <c r="AL272" s="61" t="n">
        <f aca="false">IFERROR(IF(AND(AI272=1,OR(TRIM(U272)="Fail",AND(TRIM(AB272)&lt;&gt;"",TRIM(AB272)&lt;&gt;"Closed"),AND(ISNUMBER(AF272),AF272&lt;&gt;0,TRIM(U272)&lt;&gt;"Pass after CA"))),1,0),1)</f>
        <v>0</v>
      </c>
      <c r="AM272" s="61" t="n">
        <f aca="false">IF(LEFT(AH272,7)="INVALID",1,0)</f>
        <v>0</v>
      </c>
      <c r="AN272" s="61" t="n">
        <f aca="false">IF(AND(N272="Clarification required",AI272=1,AJ272=0),1,0)</f>
        <v>0</v>
      </c>
      <c r="AO272" s="61" t="str">
        <f aca="false">IF(AK272=1,SUM(AK$5:AK272),"")</f>
        <v/>
      </c>
      <c r="AP272" s="61" t="str">
        <f aca="false">IF(AL272=1,SUM(AL$5:AL272),"")</f>
        <v/>
      </c>
      <c r="AQ272" s="61" t="n">
        <v>0</v>
      </c>
      <c r="AR272" s="61" t="n">
        <v>0</v>
      </c>
      <c r="AS272" s="61" t="n">
        <v>0</v>
      </c>
      <c r="AT272" s="61" t="n">
        <v>0</v>
      </c>
      <c r="AU272" s="61" t="str">
        <f aca="false">SUBSTITUTE(SUBSTITUTE(SUBSTITUTE(SUBSTITUTE(SUBSTITUTE(SUBSTITUTE(SUBSTITUTE(SUBSTITUTE(SUBSTITUTE(SUBSTITUTE(SUBSTITUTE(SUBSTITUTE(SUBSTITUTE(SUBSTITUTE(SUBSTITUTE(SUBSTITUTE(LOWER(T272&amp;""),CHAR(10),""),CHAR(13),""),CHAR(9),""),CHAR(160),"")," ",""),".",""),"-",""),"/",""),"?",""),"_",""),",",""),"[",""),"]",""),"(",""),")",""),"*","")</f>
        <v/>
      </c>
      <c r="AV272" s="61" t="str">
        <f aca="false">SUBSTITUTE(SUBSTITUTE(SUBSTITUTE(SUBSTITUTE(SUBSTITUTE(SUBSTITUTE(SUBSTITUTE(SUBSTITUTE(SUBSTITUTE(SUBSTITUTE(SUBSTITUTE(SUBSTITUTE(SUBSTITUTE(SUBSTITUTE(SUBSTITUTE(SUBSTITUTE(LOWER(V272&amp;""),CHAR(10),""),CHAR(13),""),CHAR(9),""),CHAR(160),"")," ",""),".",""),"-",""),"/",""),"?",""),"_",""),",",""),"[",""),"]",""),"(",""),")",""),"*","")</f>
        <v/>
      </c>
      <c r="AW272" s="61" t="str">
        <f aca="false">SUBSTITUTE(SUBSTITUTE(SUBSTITUTE(SUBSTITUTE(SUBSTITUTE(SUBSTITUTE(SUBSTITUTE(SUBSTITUTE(SUBSTITUTE(SUBSTITUTE(SUBSTITUTE(SUBSTITUTE(SUBSTITUTE(SUBSTITUTE(SUBSTITUTE(SUBSTITUTE(LOWER(Z272&amp;""),CHAR(10),""),CHAR(13),""),CHAR(9),""),CHAR(160),"")," ",""),".",""),"-",""),"/",""),"?",""),"_",""),",",""),"[",""),"]",""),"(",""),")",""),"*","")</f>
        <v/>
      </c>
      <c r="AX272" s="61" t="str">
        <f aca="false">SUBSTITUTE(SUBSTITUTE(SUBSTITUTE(SUBSTITUTE(SUBSTITUTE(SUBSTITUTE(SUBSTITUTE(SUBSTITUTE(SUBSTITUTE(SUBSTITUTE(SUBSTITUTE(SUBSTITUTE(SUBSTITUTE(SUBSTITUTE(SUBSTITUTE(SUBSTITUTE(LOWER(AE272&amp;""),CHAR(10),""),CHAR(13),""),CHAR(9),""),CHAR(160),"")," ",""),".",""),"-",""),"/",""),"?",""),"_",""),",",""),"[",""),"]",""),"(",""),")",""),"*","")</f>
        <v/>
      </c>
      <c r="AY272" s="61" t="str">
        <f aca="false">SUBSTITUTE(SUBSTITUTE(SUBSTITUTE(SUBSTITUTE(SUBSTITUTE(SUBSTITUTE(SUBSTITUTE(SUBSTITUTE(SUBSTITUTE(SUBSTITUTE(SUBSTITUTE(SUBSTITUTE(SUBSTITUTE(SUBSTITUTE(SUBSTITUTE(SUBSTITUTE(LOWER(W272&amp;""),CHAR(10),""),CHAR(13),""),CHAR(9),""),CHAR(160),"")," ",""),".",""),"-",""),"/",""),"?",""),"_",""),",",""),"[",""),"]",""),"(",""),")",""),"*","")</f>
        <v/>
      </c>
      <c r="AZ272" s="61" t="str">
        <f aca="false">SUBSTITUTE(SUBSTITUTE(SUBSTITUTE(SUBSTITUTE(SUBSTITUTE(SUBSTITUTE(SUBSTITUTE(SUBSTITUTE(SUBSTITUTE(SUBSTITUTE(SUBSTITUTE(SUBSTITUTE(SUBSTITUTE(SUBSTITUTE(SUBSTITUTE(SUBSTITUTE(LOWER(AC272&amp;""),CHAR(10),""),CHAR(13),""),CHAR(9),""),CHAR(160),"")," ",""),".",""),"-",""),"/",""),"?",""),"_",""),",",""),"[",""),"]",""),"(",""),")",""),"*","")</f>
        <v/>
      </c>
      <c r="BA272" s="61" t="str">
        <f aca="false">SUBSTITUTE(SUBSTITUTE(SUBSTITUTE(SUBSTITUTE(SUBSTITUTE(SUBSTITUTE(SUBSTITUTE(SUBSTITUTE(SUBSTITUTE(SUBSTITUTE(SUBSTITUTE(SUBSTITUTE(SUBSTITUTE(SUBSTITUTE(SUBSTITUTE(SUBSTITUTE(LOWER(AA272&amp;""),CHAR(10),""),CHAR(13),""),CHAR(9),""),CHAR(160),"")," ",""),".",""),"-",""),"/",""),"?",""),"_",""),",",""),"[",""),"]",""),"(",""),")",""),"*","")</f>
        <v/>
      </c>
      <c r="BB272" s="61" t="str">
        <f aca="false">IF(AND(TRIM(U272)="Pass",ISNUMBER(AF272)),IF(AF272&lt;&gt;0,"INVALID – qty variance: use Fail or Pass after CA",""),"")&amp;IF(AND(TRIM(U272)="Pass after CA",ISNUMBER(AF272)),IF(AF272&lt;&gt;0,"INVALID – after the corrective action the actual qty must equal expected (update Actual)",""),"")&amp;IF(AND(TRIM(U272)="Pass",TRIM(AB272)&lt;&gt;"",TRIM(AB272)&lt;&gt;"Closed"),"INVALID – corrective action not closed: use Fail, then Pass after CA","")&amp;IF(AND(LEN(BA272)&gt;=2,ISNA(MATCH(LEFT(BA272,255),L_Placeholder,0)),TRIM(AB272)=""),"INVALID – CA status missing for the recorded corrective action","")&amp;IF(AND(TRIM(U272)="Pass after CA",OR(OR(LEN(BA272)&lt;5,ISNUMBER(MATCH(BA272,L_Placeholder,0))),TRIM(AB272)&lt;&gt;"Closed")),"INVALID – corrective action not recorded/closed","")</f>
        <v/>
      </c>
      <c r="BC272" s="61" t="str">
        <f aca="false">" "&amp;TRIM(SUBSTITUTE(SUBSTITUTE(SUBSTITUTE(SUBSTITUTE(SUBSTITUTE(SUBSTITUTE(SUBSTITUTE(SUBSTITUTE(SUBSTITUTE(SUBSTITUTE(SUBSTITUTE(SUBSTITUTE(SUBSTITUTE(SUBSTITUTE(SUBSTITUTE(SUBSTITUTE(SUBSTITUTE(SUBSTITUTE(SUBSTITUTE(SUBSTITUTE(SUBSTITUTE(SUBSTITUTE(SUBSTITUTE(SUBSTITUTE(LOWER(V272&amp;""),CHAR(10)," "),CHAR(13)," "),CHAR(9)," "),CHAR(160)," "),"."," "),","," "),"-"," "),"/"," "),"("," "),")"," "),":"," "),";"," "),"_"," "),"–"," "),"?"," "),"!"," "),"*"," "),"["," "),"]"," "),"'"," "),"#"," "),"+"," "),"&amp;"," "),"\"," "))&amp;" "</f>
        <v>  </v>
      </c>
      <c r="BD272" s="61" t="str">
        <f aca="false">" "&amp;TRIM(SUBSTITUTE(SUBSTITUTE(SUBSTITUTE(SUBSTITUTE(SUBSTITUTE(SUBSTITUTE(SUBSTITUTE(SUBSTITUTE(SUBSTITUTE(SUBSTITUTE(SUBSTITUTE(SUBSTITUTE(SUBSTITUTE(SUBSTITUTE(SUBSTITUTE(SUBSTITUTE(SUBSTITUTE(SUBSTITUTE(SUBSTITUTE(SUBSTITUTE(SUBSTITUTE(SUBSTITUTE(SUBSTITUTE(SUBSTITUTE(LOWER(Z272&amp;""),CHAR(10)," "),CHAR(13)," "),CHAR(9)," "),CHAR(160)," "),"."," "),","," "),"-"," "),"/"," "),"("," "),")"," "),":"," "),";"," "),"_"," "),"–"," "),"?"," "),"!"," "),"*"," "),"["," "),"]"," "),"'"," "),"#"," "),"+"," "),"&amp;"," "),"\"," "))&amp;" "</f>
        <v>  </v>
      </c>
      <c r="BE272" s="61" t="str">
        <f aca="false">" "&amp;TRIM(SUBSTITUTE(SUBSTITUTE(SUBSTITUTE(SUBSTITUTE(SUBSTITUTE(SUBSTITUTE(SUBSTITUTE(SUBSTITUTE(SUBSTITUTE(SUBSTITUTE(SUBSTITUTE(SUBSTITUTE(SUBSTITUTE(SUBSTITUTE(SUBSTITUTE(SUBSTITUTE(SUBSTITUTE(SUBSTITUTE(SUBSTITUTE(SUBSTITUTE(SUBSTITUTE(SUBSTITUTE(SUBSTITUTE(SUBSTITUTE(LOWER(W272&amp;""),CHAR(10)," "),CHAR(13)," "),CHAR(9)," "),CHAR(160)," "),"."," "),","," "),"-"," "),"/"," "),"("," "),")"," "),":"," "),";"," "),"_"," "),"–"," "),"?"," "),"!"," "),"*"," "),"["," "),"]"," "),"'"," "),"#"," "),"+"," "),"&amp;"," "),"\"," "))&amp;" "</f>
        <v>  </v>
      </c>
      <c r="BF272" s="61" t="str">
        <f aca="false">" "&amp;TRIM(SUBSTITUTE(SUBSTITUTE(SUBSTITUTE(SUBSTITUTE(SUBSTITUTE(SUBSTITUTE(SUBSTITUTE(SUBSTITUTE(SUBSTITUTE(SUBSTITUTE(SUBSTITUTE(SUBSTITUTE(SUBSTITUTE(SUBSTITUTE(SUBSTITUTE(SUBSTITUTE(SUBSTITUTE(SUBSTITUTE(SUBSTITUTE(SUBSTITUTE(SUBSTITUTE(SUBSTITUTE(SUBSTITUTE(SUBSTITUTE(LOWER(AC272&amp;""),CHAR(10)," "),CHAR(13)," "),CHAR(9)," "),CHAR(160)," "),"."," "),","," "),"-"," "),"/"," "),"("," "),")"," "),":"," "),";"," "),"_"," "),"–"," "),"?"," "),"!"," "),"*"," "),"["," "),"]"," "),"'"," "),"#"," "),"+"," "),"&amp;"," "),"\"," "))&amp;" "</f>
        <v>  </v>
      </c>
      <c r="BG272" s="61" t="n">
        <f aca="false">IFERROR(IF(AND(TRIM(U272)="Pass",SUMPRODUCT((LEN(BC272)-LEN(SUBSTITUTE(BC272," "&amp;L_ResultBad&amp;" "," ")))/(LEN(L_ResultBad)+1))&gt;SUMPRODUCT((LEN(BC272)-LEN(SUBSTITUTE(BC272," "&amp;L_NegPhrase&amp;" "," ")))/(LEN(L_NegPhrase)+1))),1,0),0)</f>
        <v>0</v>
      </c>
      <c r="BH272" s="61" t="n">
        <f aca="false">IFERROR(IF(SUMPRODUCT((LEN(BC272)-LEN(SUBSTITUTE(BC272," "&amp;L_Pending&amp;" "," ")))/(LEN(L_Pending)+1))&gt;SUMPRODUCT((LEN(BC272)-LEN(SUBSTITUTE(BC272," "&amp;L_PendNeg&amp;" "," ")))/(LEN(L_PendNeg)+1))+SUMPRODUCT((LEN(BC272)-LEN(SUBSTITUTE(BC272," "&amp;L_PendPrep&amp;" "," ")))/(LEN(L_PendPrep)+1)),1,0),1)</f>
        <v>0</v>
      </c>
      <c r="BI272" s="61" t="n">
        <f aca="false">IFERROR(IF(SUMPRODUCT((LEN(BD272)-LEN(SUBSTITUTE(BD272," "&amp;L_PendStrict&amp;" "," ")))/(LEN(L_PendStrict)+1))&gt;SUMPRODUCT((LEN(BD272)-LEN(SUBSTITUTE(BD272," "&amp;L_PendNeg&amp;" "," ")))/(LEN(L_PendNeg)+1)),1,0),1)</f>
        <v>0</v>
      </c>
      <c r="BJ272" s="61" t="n">
        <f aca="false">IFERROR(IF(SUMPRODUCT((LEN(BE272)-LEN(SUBSTITUTE(BE272," "&amp;L_Pending&amp;" "," ")))/(LEN(L_Pending)+1))&gt;SUMPRODUCT((LEN(BE272)-LEN(SUBSTITUTE(BE272," "&amp;L_PendNeg&amp;" "," ")))/(LEN(L_PendNeg)+1))+SUMPRODUCT((LEN(BE272)-LEN(SUBSTITUTE(BE272," "&amp;L_PendPrep&amp;" "," ")))/(LEN(L_PendPrep)+1)),1,0),1)</f>
        <v>0</v>
      </c>
      <c r="BK272" s="61" t="n">
        <f aca="false">IFERROR(IF(SUMPRODUCT((LEN(BF272)-LEN(SUBSTITUTE(BF272," "&amp;L_PendStrict&amp;" "," ")))/(LEN(L_PendStrict)+1))&gt;SUMPRODUCT((LEN(BF272)-LEN(SUBSTITUTE(BF272," "&amp;L_PendNeg&amp;" "," ")))/(LEN(L_PendNeg)+1)),1,0),1)</f>
        <v>0</v>
      </c>
      <c r="BL272" s="61" t="n">
        <f aca="false">IF(ISNA(MATCH(TRIM(S272),L_EvidenceType,0)),0,BZ272)</f>
        <v>0</v>
      </c>
      <c r="BM272" s="61" t="str">
        <f aca="false">SUBSTITUTE(SUBSTITUTE(SUBSTITUTE(SUBSTITUTE(SUBSTITUTE(SUBSTITUTE(SUBSTITUTE(SUBSTITUTE(SUBSTITUTE(LOWER(Z272&amp;""),"1","0"),"2","0"),"3","0"),"4","0"),"5","0"),"6","0"),"7","0"),"8","0"),"9","0")</f>
        <v/>
      </c>
      <c r="BN272" s="61" t="str">
        <f aca="false">SUBSTITUTE(SUBSTITUTE(SUBSTITUTE(SUBSTITUTE(SUBSTITUTE(SUBSTITUTE(SUBSTITUTE(SUBSTITUTE(SUBSTITUTE(SUBSTITUTE(SUBSTITUTE(SUBSTITUTE(SUBSTITUTE(SUBSTITUTE(SUBSTITUTE(SUBSTITUTE(SUBSTITUTE(SUBSTITUTE(SUBSTITUTE(SUBSTITUTE(SUBSTITUTE(SUBSTITUTE(SUBSTITUTE(SUBSTITUTE(SUBSTITUTE(BM272,"b","a"),"c","a"),"d","a"),"e","a"),"f","a"),"g","a"),"h","a"),"i","a"),"j","a"),"k","a"),"l","a"),"m","a"),"n","a"),"o","a"),"p","a"),"q","a"),"r","a"),"s","a"),"t","a"),"u","a"),"v","a"),"w","a"),"x","a"),"y","a"),"z","a")</f>
        <v/>
      </c>
      <c r="BO272" s="61" t="str">
        <f aca="false">SUBSTITUTE(SUBSTITUTE(SUBSTITUTE(SUBSTITUTE(SUBSTITUTE(SUBSTITUTE(SUBSTITUTE(SUBSTITUTE(SUBSTITUTE(LOWER(W272&amp;""),"1","0"),"2","0"),"3","0"),"4","0"),"5","0"),"6","0"),"7","0"),"8","0"),"9","0")</f>
        <v/>
      </c>
      <c r="BP272" s="61" t="str">
        <f aca="false">SUBSTITUTE(SUBSTITUTE(SUBSTITUTE(SUBSTITUTE(SUBSTITUTE(SUBSTITUTE(SUBSTITUTE(SUBSTITUTE(SUBSTITUTE(SUBSTITUTE(SUBSTITUTE(SUBSTITUTE(SUBSTITUTE(SUBSTITUTE(SUBSTITUTE(SUBSTITUTE(SUBSTITUTE(SUBSTITUTE(SUBSTITUTE(SUBSTITUTE(SUBSTITUTE(SUBSTITUTE(SUBSTITUTE(SUBSTITUTE(SUBSTITUTE(BO272,"b","a"),"c","a"),"d","a"),"e","a"),"f","a"),"g","a"),"h","a"),"i","a"),"j","a"),"k","a"),"l","a"),"m","a"),"n","a"),"o","a"),"p","a"),"q","a"),"r","a"),"s","a"),"t","a"),"u","a"),"v","a"),"w","a"),"x","a"),"y","a"),"z","a")</f>
        <v/>
      </c>
      <c r="BQ272" s="61" t="n">
        <f aca="false">IFERROR(IF(AND(ISERROR(SEARCH(" mh"," "&amp;LOWER(W272))),ISNA(MATCH(LEFT(TRIM(BP272),255),{"0000a","000a","00a","0000aa","000aa","00aa","0aa","0000aaa","000aaa","00a00","0a00","0000-0000","00:00","a00","a0","00.00.0000","00/00/0000","00-00-0000","0000-00-00","0000/00/00","0000.00.00","00.00.00","00/00/00","00-00-00","0.00.0000","0/00/0000","0-00-0000"},0)),ISNA(MATCH(LEFT(TRIM(CA272),255),{"0000a","000a","00a","0000aa","000aa","00aa","0aa","0000aaa","000aaa","00a00","0a00","0000-0000","00:00","a00","a0","00.00.0000","00/00/0000","00-00-0000","0000-00-00","0000/00/00","0000.00.00","00.00.00","00/00/00","00-00-00","0.00.0000","0/00/0000","0-00-0000"},0)),LEN(CB272)&gt;=3,NOT(OR(SUBSTITUTE(CB272,"0","")="",AND(LEN(CB272)&gt;=4,CB272=REPT(LEFT(CB272),LEN(CB272))),ISNUMBER(MATCH(CB272,{"123","1234","12345","123456","1234567","12345678","0123","01234","012345","98765","987654","54321"},0)),AND(LEN(CB272)=8,LEFT(CB272,3)="202"))),OR(AND((LEN(CA272)-LEN(SUBSTITUTE(CA272,"a","")))&gt;=1,SUMPRODUCT(--ISNUMBER(SEARCH({"a0","a-0","a_0","a/0","a.0","a#0","0a","0-a","0_a","0/a"},BP272)))&gt;0),ISNUMBER(SEARCH("000000",BP272)))),1,0),0)</f>
        <v>0</v>
      </c>
      <c r="BR272" s="61" t="n">
        <f aca="false">IFERROR(LEN(SUBSTITUTE(CC272," ",""))-SUMPRODUCT((LEN(CC272)-LEN(SUBSTITUTE(CC272," "&amp;L_Role&amp;" "," ")))/(LEN(L_Role)+1)*LEN(L_Role)),0)</f>
        <v>0</v>
      </c>
      <c r="BS272" s="61" t="n">
        <f aca="false">IFERROR(LEN(SUBSTITUTE(CD272," ",""))-SUMPRODUCT((LEN(CD272)-LEN(SUBSTITUTE(CD272," "&amp;L_Role&amp;" "," ")))/(LEN(L_Role)+1)*LEN(L_Role)),0)</f>
        <v>0</v>
      </c>
      <c r="BT2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272,"revision",""),"version",""),"jan",""),"feb",""),"mar",""),"apr",""),"may",""),"jun",""),"jul",""),"aug",""),"sep",""),"oct",""),"nov",""),"dec",""),"utc",""),"gmt",""),"myt",""),"bst",""),"rev",""),"ver",""),"b","a"),"c","a"),"d","a"),"e","a"),"f","a"),"g","a"),"h","a"),"i","a"),"j","a"),"k","a"),"l","a"),"m","a"),"n","a"),"o","a"),"p","a"),"q","a"),"r","a"),"s","a"),"t","a"),"u","a"),"v","a"),"w","a"),"x","a"),"y","a"),"z","a")</f>
        <v/>
      </c>
      <c r="BU272" s="61" t="str">
        <f aca="false">SUBSTITUTE(SUBSTITUTE(SUBSTITUTE(SUBSTITUTE(SUBSTITUTE(SUBSTITUTE(SUBSTITUTE(SUBSTITUTE(SUBSTITUTE(SUBSTITUTE(LEFT(BM272,FIND("0",BM272&amp;"0")-1),"-",""),"_",""),"/",""),".",""),"#",""),"\\",""),":","")," ",""),"(",""),")","")</f>
        <v/>
      </c>
      <c r="BV272" s="61" t="n">
        <f aca="false">0</f>
        <v>0</v>
      </c>
      <c r="BW2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272&amp;""),"a",""),"b",""),"c",""),"d",""),"e",""),"f",""),"g",""),"h",""),"i",""),"j",""),"k",""),"l",""),"m",""),"n",""),"o",""),"p",""),"q",""),"r",""),"s",""),"t",""),"u",""),"v",""),"w",""),"x",""),"y",""),"z",""),"-",""),"_",""),"/",""),".",""),"#",""),"\\",""),":","")," ",""),"(",""),")","")</f>
        <v/>
      </c>
      <c r="BX272" s="61" t="str">
        <f aca="false">SUBSTITUTE(SUBSTITUTE(SUBSTITUTE(SUBSTITUTE(SUBSTITUTE(SUBSTITUTE(SUBSTITUTE(SUBSTITUTE(SUBSTITUTE(SUBSTITUTE(SUBSTITUTE(BM272,"0",""),"-",""),"_",""),"/",""),".",""),"#",""),"\\",""),":","")," ",""),"(",""),")","")</f>
        <v/>
      </c>
      <c r="BY272" s="62" t="n">
        <f aca="false">Q272-T12EarlyH/24</f>
        <v>46304.0659722222</v>
      </c>
      <c r="BZ272" s="61" t="n">
        <f aca="false">IFERROR(IF(IF(TRIM(S272)="Link / file path",AND(LEN(TRIM(Z272))&gt;=5,SUMPRODUCT(--ISNUMBER(SEARCH({"http","www.","\\",":\",".pdf",".jpg",".jpeg",".png",".heic",".xls",".doc",".msg",".eml",".ppt",".txt",".zip"},Z272)))&gt;0),AND(ISERROR(FIND(" ",TRIM(Z272))),NOT(OR(SUMPRODUCT(--ISNUMBER(FIND({",",";","&amp;","+"},Z272)))&gt;0,SUMPRODUCT(--ISNUMBER(SEARCH({"0/aa","0\\aa"},BN272)))&gt;0)),NOT(SUMPRODUCT(--ISNUMBER(SEARCH({"http","www.","\\",":\",".pdf",".jpg",".jpeg",".png",".heic",".xls",".doc",".msg",".eml",".ppt",".txt",".zip"},Z272)))&gt;0),NOT(LOWER(TRIM(Z272))=LOWER(Flights!$F$12)),ISNA(MATCH(BU272,{"mh","rev","revision","ver","version","v","r","a","b","seat","tray","row","gate","bay","stand","page","pg","item","line","no","cart","galley","flight","flt","table","box","bag","oven","etd","eta","std","sta","atd","ata","qty","pax","x","time","tel","ph","mob","day","wk","week","utc","gmt","myt","lt"},0)),NOT(OR(ISNUMBER(MATCH(LEFT(BN272,255),{"0000a","000a","00a","0000aa","000aa","00aa","0aa","0000aaa","000aaa","00a00","0a00","0000-0000","00:00","a00","a0","00.00.0000","00/00/0000","00-00-0000","0000-00-00","0000/00/00","0000.00.00","00.00.00","00/00/00","00-00-00","0.00.0000","0/00/0000","0-00-0000"},0)),ISNUMBER(MATCH(LEFT(BT272,255),{"0000a","000a","00a","0000aa","000aa","00aa","0aa","0000aaa","000aaa","00a00","0a00","0000-0000","00:00","a00","a0","00.00.0000","00/00/0000","00-00-0000","0000-00-00","0000/00/00","0000.00.00","00.00.00","00/00/00","00-00-00","0.00.0000","0/00/0000","0-00-0000"},0)))),NOT(OR(AND(BW272&lt;&gt;"",SUBSTITUTE(BW272,"0","")=""),AND(LEN(BW272)&gt;=4,BW272=REPT(LEFT(BW272),LEN(BW272))),ISNUMBER(MATCH(BW272,{"123","1234","12345","123456","1234567","12345678","0123","01234","012345","98765","987654","54321"},0)),ISNUMBER(MATCH(BX272,{"x","xx","xxx","xxxx","xxxxx","abc","abcd","nil","na","nan","test","tbc","tba","tbd","dummy","sample","example","eg","zz","zzz","none","null","xyz","qwe","asd","id","ref"},0)),AND(LEN(BW272)=8,BX272="",OR(LEFT(BW272,3)="202",ISNUMBER(MATCH(RIGHT(BW272,4),{"2025","2026","2027"},0)))))),OR(AND((LEN(BT272)-LEN(SUBSTITUTE(BT272,"a","")))&gt;=1,(LEN(BN272)-LEN(SUBSTITUTE(BN272,"0","")))&gt;=2,SUMPRODUCT(--ISNUMBER(SEARCH({"a0","a-0","a_0","a/0","a.0","a#0","0a","0-a","0_a","0/a"},BN272)))&gt;0),AND((LEN(BN272)-LEN(SUBSTITUTE(BN272,"a","")))=0,(LEN(BN272)-LEN(SUBSTITUTE(BN272,"0","")))&gt;=5)))),1,0),0)</f>
        <v>0</v>
      </c>
      <c r="CA2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272,"revision",""),"version",""),"jan",""),"feb",""),"mar",""),"apr",""),"may",""),"jun",""),"jul",""),"aug",""),"sep",""),"oct",""),"nov",""),"dec",""),"utc",""),"gmt",""),"myt",""),"bst",""),"rev",""),"ver",""),"b","a"),"c","a"),"d","a"),"e","a"),"f","a"),"g","a"),"h","a"),"i","a"),"j","a"),"k","a"),"l","a"),"m","a"),"n","a"),"o","a"),"p","a"),"q","a"),"r","a"),"s","a"),"t","a"),"u","a"),"v","a"),"w","a"),"x","a"),"y","a"),"z","a")</f>
        <v/>
      </c>
      <c r="CB2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272&amp;""),"a",""),"b",""),"c",""),"d",""),"e",""),"f",""),"g",""),"h",""),"i",""),"j",""),"k",""),"l",""),"m",""),"n",""),"o",""),"p",""),"q",""),"r",""),"s",""),"t",""),"u",""),"v",""),"w",""),"x",""),"y",""),"z",""),"-",""),"_",""),"/",""),".",""),"#",""),"\\",""),":","")," ",""),"(",""),")","")</f>
        <v/>
      </c>
      <c r="CC272" s="0" t="str">
        <f aca="false">" "&amp;TRIM(SUBSTITUTE(SUBSTITUTE(SUBSTITUTE(SUBSTITUTE(SUBSTITUTE(SUBSTITUTE(SUBSTITUTE(SUBSTITUTE(SUBSTITUTE(SUBSTITUTE(SUBSTITUTE(SUBSTITUTE(SUBSTITUTE(SUBSTITUTE(SUBSTITUTE(SUBSTITUTE(SUBSTITUTE(SUBSTITUTE(SUBSTITUTE(SUBSTITUTE(SUBSTITUTE(SUBSTITUTE(SUBSTITUTE(SUBSTITUTE(LOWER(T272&amp;""),CHAR(10)," "),CHAR(13)," "),CHAR(9)," "),CHAR(160)," "),"."," "),","," "),"-"," "),"/"," "),"("," "),")"," "),":"," "),";"," "),"_"," "),"–"," "),"?"," "),"!"," "),"*"," "),"["," "),"]"," "),"'"," "),"#"," "),"+"," "),"&amp;"," "),"\"," "))&amp;" "</f>
        <v>  </v>
      </c>
      <c r="CD272" s="0" t="str">
        <f aca="false">" "&amp;TRIM(SUBSTITUTE(SUBSTITUTE(SUBSTITUTE(SUBSTITUTE(SUBSTITUTE(SUBSTITUTE(SUBSTITUTE(SUBSTITUTE(SUBSTITUTE(SUBSTITUTE(SUBSTITUTE(SUBSTITUTE(SUBSTITUTE(SUBSTITUTE(SUBSTITUTE(SUBSTITUTE(SUBSTITUTE(SUBSTITUTE(SUBSTITUTE(SUBSTITUTE(SUBSTITUTE(SUBSTITUTE(SUBSTITUTE(SUBSTITUTE(LOWER(AE272&amp;""),CHAR(10)," "),CHAR(13)," "),CHAR(9)," "),CHAR(160)," "),"."," "),","," "),"-"," "),"/"," "),"("," "),")"," "),":"," "),";"," "),"_"," "),"–"," "),"?"," "),"!"," "),"*"," "),"["," "),"]"," "),"'"," "),"#"," "),"+"," "),"&amp;"," "),"\"," "))&amp;" "</f>
        <v>  </v>
      </c>
      <c r="CE272" s="68" t="n">
        <f aca="false">IFERROR(IF(AND(LEN(AU272)&gt;0,LEN(AU272)=LEN(AX272),OR(TRIM(MID(SUBSTITUTE(TRIM(CC272)," ",REPT(" ",60)),1,60))="",ISNUMBER(SEARCH(" "&amp;TRIM(MID(SUBSTITUTE(TRIM(CC272)," ",REPT(" ",60)),1,60))&amp;" ",CD272))),OR(TRIM(MID(SUBSTITUTE(TRIM(CC272)," ",REPT(" ",60)),61,60))="",ISNUMBER(SEARCH(" "&amp;TRIM(MID(SUBSTITUTE(TRIM(CC272)," ",REPT(" ",60)),61,60))&amp;" ",CD272))),OR(TRIM(MID(SUBSTITUTE(TRIM(CC272)," ",REPT(" ",60)),121,60))="",ISNUMBER(SEARCH(" "&amp;TRIM(MID(SUBSTITUTE(TRIM(CC272)," ",REPT(" ",60)),121,60))&amp;" ",CD272)))),1,0),0)</f>
        <v>0</v>
      </c>
      <c r="CG272" s="68" t="n">
        <f aca="false">IFERROR(LEN(SUBSTITUTE(BF272," ",""))-SUMPRODUCT((LEN(BF272)-LEN(SUBSTITUTE(BF272," "&amp;L_NAFiller&amp;" "," ")))/(LEN(L_NAFiller)+1)*LEN(L_NAFiller)),0)</f>
        <v>0</v>
      </c>
    </row>
    <row r="273" customFormat="false" ht="39.75" hidden="false" customHeight="true" outlineLevel="0" collapsed="false">
      <c r="A273" s="57" t="s">
        <v>846</v>
      </c>
      <c r="B273" s="57" t="s">
        <v>238</v>
      </c>
      <c r="C273" s="57" t="str">
        <f aca="false">Flights!$F$12</f>
        <v>MH0752</v>
      </c>
      <c r="D273" s="58" t="n">
        <f aca="false">Flights!$D$12</f>
        <v>46305</v>
      </c>
      <c r="E273" s="57" t="str">
        <f aca="false">Flights!$G$12&amp;"-"&amp;Flights!$H$12</f>
        <v>KUL-HAN</v>
      </c>
      <c r="F273" s="57" t="str">
        <f aca="false">Flights!$K$12</f>
        <v>EY</v>
      </c>
      <c r="G273" s="57" t="s">
        <v>420</v>
      </c>
      <c r="H273" s="57" t="s">
        <v>378</v>
      </c>
      <c r="I273" s="57" t="s">
        <v>379</v>
      </c>
      <c r="J273" s="57" t="s">
        <v>425</v>
      </c>
      <c r="K273" s="67" t="s">
        <v>426</v>
      </c>
      <c r="L273" s="67" t="s">
        <v>422</v>
      </c>
      <c r="M273" s="67"/>
      <c r="N273" s="67" t="s">
        <v>383</v>
      </c>
      <c r="O273" s="67" t="s">
        <v>423</v>
      </c>
      <c r="P273" s="57" t="s">
        <v>187</v>
      </c>
      <c r="Q273" s="59" t="n">
        <f aca="false">ROUND((Flights!$AE$12)*1440,0)/1440</f>
        <v>46304.5659722222</v>
      </c>
      <c r="R273" s="59" t="n">
        <f aca="false">Q273+(IF(AND(INDEX(TZ_DSTS,MATCH(P273,TZ_STN,0))&lt;&gt;"",Q273&gt;=INDEX(TZ_DSTS,MATCH(P273,TZ_STN,0)),Q273&lt;INDEX(TZ_DSTE,MATCH(P273,TZ_STN,0))),INDEX(TZ_DST,MATCH(P273,TZ_STN,0)),INDEX(TZ_STD,MATCH(P273,TZ_STN,0))))/24</f>
        <v>46304.8993055556</v>
      </c>
      <c r="S273" s="60"/>
      <c r="T273" s="60"/>
      <c r="U273" s="60"/>
      <c r="V273" s="60"/>
      <c r="W273" s="61"/>
      <c r="X273" s="60"/>
      <c r="Y273" s="60"/>
      <c r="Z273" s="60"/>
      <c r="AA273" s="60"/>
      <c r="AB273" s="60"/>
      <c r="AC273" s="60"/>
      <c r="AD273" s="66"/>
      <c r="AE273" s="60"/>
      <c r="AF273" s="61" t="str">
        <f aca="false">IF(AND(ISNUMBER(X273),ISNUMBER(Y273)),Y273-X273,"")</f>
        <v/>
      </c>
      <c r="AG273" s="62" t="str">
        <f aca="false">IF(ISNUMBER(AD273),AD273-(IF(AND(INDEX(TZ_DSTS,MATCH(P273,TZ_STN,0))&lt;&gt;"",(AD273-INDEX(TZ_STD,MATCH(P273,TZ_STN,0))/24)&gt;=INDEX(TZ_DSTS,MATCH(P273,TZ_STN,0)),(AD273-INDEX(TZ_STD,MATCH(P273,TZ_STN,0))/24)&lt;INDEX(TZ_DSTE,MATCH(P273,TZ_STN,0))),INDEX(TZ_DST,MATCH(P273,TZ_STN,0)),INDEX(TZ_STD,MATCH(P273,TZ_STN,0))))/24,"")</f>
        <v/>
      </c>
      <c r="AH273" s="65" t="str">
        <f aca="false">IFERROR(IF(N273="N/A – rule",IF(OR(TRIM(U273)="",TRIM(U273)="N/A",TRIM(U273)="Not started"),"N/A – RULE","INVALID – this check does not apply to this aircraft: clear the status (or correct the fleet on Flights)"),IF(TRIM(U273)="N/A",IF(AT273=0,"INVALID – N/A not permitted for this check",IF(AND(TRIM(AB273)&lt;&gt;"",TRIM(AB273)&lt;&gt;"Closed"),"INVALID – corrective action still open",IF(AND(NOT(OR(LEN(AZ273)&lt;15,ISNUMBER(MATCH(AZ273,L_Placeholder,0)))),BK273=0,CG273&gt;=8,NOT(OR(LEN(AU273)&lt;2,ISNUMBER(MATCH(AU273,L_Placeholder,0)))),BR273&gt;=3,NOT(OR(LEN(AX273)&lt;2,ISNUMBER(MATCH(AX273,L_Placeholder,0)))),BS273&gt;=3,TRIM(AE273)&lt;&gt;TRIM(T273),AX273&lt;&gt;AU273,CE273=0),"N/A – JUSTIFIED","INVALID – N/A needs a real, settled reason (not 'not applicable' / 'as above' / TBC), a named PIC and a different named verifier"))),IF(OR(TRIM(U273)="Pass",TRIM(U273)="Pass after CA"),IF(NOT(ISNUMBER(AD273)),"INVALID – completion time missing",IF(OR(OR(LEN(AU273)&lt;2,ISNUMBER(MATCH(AU273,L_Placeholder,0))),BR273&lt;3),"INVALID – PIC missing or not a named person (a role such as QA / CSM is not a name)",IF(OR(LEN(AV273)&lt;2,ISNUMBER(MATCH(AV273,L_Placeholder,0))),"INVALID – result / assessment missing",IF(OR(OR(LEN(AW273)&lt;3,ISNUMBER(MATCH(AW273,L_Placeholder,0))),SUMPRODUCT(--ISNUMBER(SEARCH(" "&amp;L_EvidencePhrase&amp;" ",BD273)))&gt;0,BI273=1),"INVALID – evidence missing, placeholder or not yet on file",IF(ISNA(MATCH(TRIM(S273),L_EvidenceType,0)),"INVALID – choose the evidence type from the list (column S)",IF(BL273=0,"INVALID – evidence ID must be the record's own ID only (e.g. SF-2210, IMG_2231, 1045521); a link / file name needs type 'Link / file path'",IF(OR(OR(LEN(AX273)&lt;2,ISNUMBER(MATCH(AX273,L_Placeholder,0))),BS273&lt;3),"INVALID – verifier missing or not a named person (a role such as QA / CSM is not a name)",IF(OR(AX273=AU273,CE273=1,AND(LEN(AU273)&gt;=4,ISNUMBER(SEARCH(AU273,AX273))),AND(LEN(AX273)&gt;=4,ISNUMBER(SEARCH(AX273,AU273)))),"INVALID – verifier must be a different, named person (not the PIC or a role)",IF(BH273=1,"INVALID – result not yet available (awaiting / TBC)",IF(BG273=1,"INVALID – result describes a problem: record Fail, then Pass after CA (or reword if it is not a problem)",IF(BV273=1,"INVALID – wording says not on board: an on-board confirmation needs the item loaded",IF(AND(AQ273=1,OR(OR(LEN(AY273)&lt;3,ISNUMBER(MATCH(AY273,L_Placeholder,0))),BJ273=1,BQ273=0)),"INVALID – batch ID missing, placeholder or not an ID (e.g. PASB-261008-BC-017)",IF(AND(AR273=1,OR(NOT(ISNUMBER(X273)),NOT(ISNUMBER(Y273)))),"INVALID – expected/actual qty missing",IF(AND(AR273=1,OR(X273&lt;=0,Y273&lt;0)),"INVALID – expected qty must be above 0 and actual not negative",IF(BB273&lt;&gt;"",BB273,IF(AND(AS273=1,Documents!$J$12&lt;&gt;"ON FILE"),"INVALID – GLD not on file (Documents sheet)",IF(AND(AS273=2,Documents!$O$12&lt;&gt;"ON FILE"),"INVALID – menu checklist not on file (Documents sheet)",IF(AND(AS273=3,NOT(ISNUMBER(Flights!$AX$12))),"INVALID – enter carrying flight KUL departure (Flights AX)",IF(AND(AS273=3,OR(Flights!$AZ$12&gt;Flights!$AA$12,Flights!$AX$12&lt;Flights!$AA$12-3)),"INVALID – carrying flight (Flights AX) cannot arrive before this leg's STD, or is over 3 days early",IF(AG273&gt;AsOfUTC,"INVALID – completion time is in the future",IF(AND(ISNUMBER(BY273),AG273&lt;BY273),IF(H273="Physical uplift","INVALID – before uplift window (cannot confirm loading)","INVALID – before valid window"),IF(AG273&gt;Flights!$AA$12,"INVALID – completed after departure (cannot establish readiness)",IF(AND(H273="Preparation",AG273&gt;=IF(ISNUMBER(Flights!$BA$12),MIN(Flights!$BA$12,Flights!$AA$12),Flights!$AA$12)),"INVALID – completed after loading / departure (cannot establish readiness)",IF(AND(H273="Physical uplift",AG273&gt;Q273),"INVALID – recorded after the loading flight departed",IF(AG273&gt;Q273,"COMPLETE – LATE","COMPLETE"))))))))))))))))))))))))),IF(TRIM(U273)="Fail","FAIL – DISCREPANCY",IF(AND(TRIM(U273)&lt;&gt;"",TRIM(U273)&lt;&gt;"Not started",TRIM(U273)&lt;&gt;"In progress"),"INVALID – unrecognised status (use the list)",IF(AsOfUTC&gt;Q273,"OVERDUE",IF(N273="Clarification required","OPEN – CLARIFICATION","OPEN"))))))),"INVALID – error value in an input cell")</f>
        <v>OPEN</v>
      </c>
      <c r="AI273" s="61" t="n">
        <f aca="false">IF(OR(AH273="N/A – RULE",AH273="N/A – JUSTIFIED"),0,1)</f>
        <v>1</v>
      </c>
      <c r="AJ273" s="61" t="n">
        <f aca="false">IF(LEFT(AH273,8)="COMPLETE",1,0)</f>
        <v>0</v>
      </c>
      <c r="AK273" s="61" t="n">
        <f aca="false">IF(AND(AI273=1,AJ273=0,AsOfUTC&gt;Q273),1,0)</f>
        <v>0</v>
      </c>
      <c r="AL273" s="61" t="n">
        <f aca="false">IFERROR(IF(AND(AI273=1,OR(TRIM(U273)="Fail",AND(TRIM(AB273)&lt;&gt;"",TRIM(AB273)&lt;&gt;"Closed"),AND(ISNUMBER(AF273),AF273&lt;&gt;0,TRIM(U273)&lt;&gt;"Pass after CA"))),1,0),1)</f>
        <v>0</v>
      </c>
      <c r="AM273" s="61" t="n">
        <f aca="false">IF(LEFT(AH273,7)="INVALID",1,0)</f>
        <v>0</v>
      </c>
      <c r="AN273" s="61" t="n">
        <f aca="false">IF(AND(N273="Clarification required",AI273=1,AJ273=0),1,0)</f>
        <v>0</v>
      </c>
      <c r="AO273" s="61" t="str">
        <f aca="false">IF(AK273=1,SUM(AK$5:AK273),"")</f>
        <v/>
      </c>
      <c r="AP273" s="61" t="str">
        <f aca="false">IF(AL273=1,SUM(AL$5:AL273),"")</f>
        <v/>
      </c>
      <c r="AQ273" s="61" t="n">
        <v>0</v>
      </c>
      <c r="AR273" s="61" t="n">
        <v>1</v>
      </c>
      <c r="AS273" s="61" t="n">
        <v>0</v>
      </c>
      <c r="AT273" s="61" t="n">
        <v>0</v>
      </c>
      <c r="AU273" s="61" t="str">
        <f aca="false">SUBSTITUTE(SUBSTITUTE(SUBSTITUTE(SUBSTITUTE(SUBSTITUTE(SUBSTITUTE(SUBSTITUTE(SUBSTITUTE(SUBSTITUTE(SUBSTITUTE(SUBSTITUTE(SUBSTITUTE(SUBSTITUTE(SUBSTITUTE(SUBSTITUTE(SUBSTITUTE(LOWER(T273&amp;""),CHAR(10),""),CHAR(13),""),CHAR(9),""),CHAR(160),"")," ",""),".",""),"-",""),"/",""),"?",""),"_",""),",",""),"[",""),"]",""),"(",""),")",""),"*","")</f>
        <v/>
      </c>
      <c r="AV273" s="61" t="str">
        <f aca="false">SUBSTITUTE(SUBSTITUTE(SUBSTITUTE(SUBSTITUTE(SUBSTITUTE(SUBSTITUTE(SUBSTITUTE(SUBSTITUTE(SUBSTITUTE(SUBSTITUTE(SUBSTITUTE(SUBSTITUTE(SUBSTITUTE(SUBSTITUTE(SUBSTITUTE(SUBSTITUTE(LOWER(V273&amp;""),CHAR(10),""),CHAR(13),""),CHAR(9),""),CHAR(160),"")," ",""),".",""),"-",""),"/",""),"?",""),"_",""),",",""),"[",""),"]",""),"(",""),")",""),"*","")</f>
        <v/>
      </c>
      <c r="AW273" s="61" t="str">
        <f aca="false">SUBSTITUTE(SUBSTITUTE(SUBSTITUTE(SUBSTITUTE(SUBSTITUTE(SUBSTITUTE(SUBSTITUTE(SUBSTITUTE(SUBSTITUTE(SUBSTITUTE(SUBSTITUTE(SUBSTITUTE(SUBSTITUTE(SUBSTITUTE(SUBSTITUTE(SUBSTITUTE(LOWER(Z273&amp;""),CHAR(10),""),CHAR(13),""),CHAR(9),""),CHAR(160),"")," ",""),".",""),"-",""),"/",""),"?",""),"_",""),",",""),"[",""),"]",""),"(",""),")",""),"*","")</f>
        <v/>
      </c>
      <c r="AX273" s="61" t="str">
        <f aca="false">SUBSTITUTE(SUBSTITUTE(SUBSTITUTE(SUBSTITUTE(SUBSTITUTE(SUBSTITUTE(SUBSTITUTE(SUBSTITUTE(SUBSTITUTE(SUBSTITUTE(SUBSTITUTE(SUBSTITUTE(SUBSTITUTE(SUBSTITUTE(SUBSTITUTE(SUBSTITUTE(LOWER(AE273&amp;""),CHAR(10),""),CHAR(13),""),CHAR(9),""),CHAR(160),"")," ",""),".",""),"-",""),"/",""),"?",""),"_",""),",",""),"[",""),"]",""),"(",""),")",""),"*","")</f>
        <v/>
      </c>
      <c r="AY273" s="61" t="str">
        <f aca="false">SUBSTITUTE(SUBSTITUTE(SUBSTITUTE(SUBSTITUTE(SUBSTITUTE(SUBSTITUTE(SUBSTITUTE(SUBSTITUTE(SUBSTITUTE(SUBSTITUTE(SUBSTITUTE(SUBSTITUTE(SUBSTITUTE(SUBSTITUTE(SUBSTITUTE(SUBSTITUTE(LOWER(W273&amp;""),CHAR(10),""),CHAR(13),""),CHAR(9),""),CHAR(160),"")," ",""),".",""),"-",""),"/",""),"?",""),"_",""),",",""),"[",""),"]",""),"(",""),")",""),"*","")</f>
        <v/>
      </c>
      <c r="AZ273" s="61" t="str">
        <f aca="false">SUBSTITUTE(SUBSTITUTE(SUBSTITUTE(SUBSTITUTE(SUBSTITUTE(SUBSTITUTE(SUBSTITUTE(SUBSTITUTE(SUBSTITUTE(SUBSTITUTE(SUBSTITUTE(SUBSTITUTE(SUBSTITUTE(SUBSTITUTE(SUBSTITUTE(SUBSTITUTE(LOWER(AC273&amp;""),CHAR(10),""),CHAR(13),""),CHAR(9),""),CHAR(160),"")," ",""),".",""),"-",""),"/",""),"?",""),"_",""),",",""),"[",""),"]",""),"(",""),")",""),"*","")</f>
        <v/>
      </c>
      <c r="BA273" s="61" t="str">
        <f aca="false">SUBSTITUTE(SUBSTITUTE(SUBSTITUTE(SUBSTITUTE(SUBSTITUTE(SUBSTITUTE(SUBSTITUTE(SUBSTITUTE(SUBSTITUTE(SUBSTITUTE(SUBSTITUTE(SUBSTITUTE(SUBSTITUTE(SUBSTITUTE(SUBSTITUTE(SUBSTITUTE(LOWER(AA273&amp;""),CHAR(10),""),CHAR(13),""),CHAR(9),""),CHAR(160),"")," ",""),".",""),"-",""),"/",""),"?",""),"_",""),",",""),"[",""),"]",""),"(",""),")",""),"*","")</f>
        <v/>
      </c>
      <c r="BB273" s="61" t="str">
        <f aca="false">IF(AND(TRIM(U273)="Pass",ISNUMBER(AF273)),IF(AF273&lt;&gt;0,"INVALID – qty variance: use Fail or Pass after CA",""),"")&amp;IF(AND(TRIM(U273)="Pass after CA",ISNUMBER(AF273)),IF(AF273&lt;&gt;0,"INVALID – after the corrective action the actual qty must equal expected (update Actual)",""),"")&amp;IF(AND(TRIM(U273)="Pass",TRIM(AB273)&lt;&gt;"",TRIM(AB273)&lt;&gt;"Closed"),"INVALID – corrective action not closed: use Fail, then Pass after CA","")&amp;IF(AND(LEN(BA273)&gt;=2,ISNA(MATCH(LEFT(BA273,255),L_Placeholder,0)),TRIM(AB273)=""),"INVALID – CA status missing for the recorded corrective action","")&amp;IF(AND(TRIM(U273)="Pass after CA",OR(OR(LEN(BA273)&lt;5,ISNUMBER(MATCH(BA273,L_Placeholder,0))),TRIM(AB273)&lt;&gt;"Closed")),"INVALID – corrective action not recorded/closed","")</f>
        <v/>
      </c>
      <c r="BC273" s="61" t="str">
        <f aca="false">" "&amp;TRIM(SUBSTITUTE(SUBSTITUTE(SUBSTITUTE(SUBSTITUTE(SUBSTITUTE(SUBSTITUTE(SUBSTITUTE(SUBSTITUTE(SUBSTITUTE(SUBSTITUTE(SUBSTITUTE(SUBSTITUTE(SUBSTITUTE(SUBSTITUTE(SUBSTITUTE(SUBSTITUTE(SUBSTITUTE(SUBSTITUTE(SUBSTITUTE(SUBSTITUTE(SUBSTITUTE(SUBSTITUTE(SUBSTITUTE(SUBSTITUTE(LOWER(V273&amp;""),CHAR(10)," "),CHAR(13)," "),CHAR(9)," "),CHAR(160)," "),"."," "),","," "),"-"," "),"/"," "),"("," "),")"," "),":"," "),";"," "),"_"," "),"–"," "),"?"," "),"!"," "),"*"," "),"["," "),"]"," "),"'"," "),"#"," "),"+"," "),"&amp;"," "),"\"," "))&amp;" "</f>
        <v>  </v>
      </c>
      <c r="BD273" s="61" t="str">
        <f aca="false">" "&amp;TRIM(SUBSTITUTE(SUBSTITUTE(SUBSTITUTE(SUBSTITUTE(SUBSTITUTE(SUBSTITUTE(SUBSTITUTE(SUBSTITUTE(SUBSTITUTE(SUBSTITUTE(SUBSTITUTE(SUBSTITUTE(SUBSTITUTE(SUBSTITUTE(SUBSTITUTE(SUBSTITUTE(SUBSTITUTE(SUBSTITUTE(SUBSTITUTE(SUBSTITUTE(SUBSTITUTE(SUBSTITUTE(SUBSTITUTE(SUBSTITUTE(LOWER(Z273&amp;""),CHAR(10)," "),CHAR(13)," "),CHAR(9)," "),CHAR(160)," "),"."," "),","," "),"-"," "),"/"," "),"("," "),")"," "),":"," "),";"," "),"_"," "),"–"," "),"?"," "),"!"," "),"*"," "),"["," "),"]"," "),"'"," "),"#"," "),"+"," "),"&amp;"," "),"\"," "))&amp;" "</f>
        <v>  </v>
      </c>
      <c r="BE273" s="61" t="str">
        <f aca="false">" "&amp;TRIM(SUBSTITUTE(SUBSTITUTE(SUBSTITUTE(SUBSTITUTE(SUBSTITUTE(SUBSTITUTE(SUBSTITUTE(SUBSTITUTE(SUBSTITUTE(SUBSTITUTE(SUBSTITUTE(SUBSTITUTE(SUBSTITUTE(SUBSTITUTE(SUBSTITUTE(SUBSTITUTE(SUBSTITUTE(SUBSTITUTE(SUBSTITUTE(SUBSTITUTE(SUBSTITUTE(SUBSTITUTE(SUBSTITUTE(SUBSTITUTE(LOWER(W273&amp;""),CHAR(10)," "),CHAR(13)," "),CHAR(9)," "),CHAR(160)," "),"."," "),","," "),"-"," "),"/"," "),"("," "),")"," "),":"," "),";"," "),"_"," "),"–"," "),"?"," "),"!"," "),"*"," "),"["," "),"]"," "),"'"," "),"#"," "),"+"," "),"&amp;"," "),"\"," "))&amp;" "</f>
        <v>  </v>
      </c>
      <c r="BF273" s="61" t="str">
        <f aca="false">" "&amp;TRIM(SUBSTITUTE(SUBSTITUTE(SUBSTITUTE(SUBSTITUTE(SUBSTITUTE(SUBSTITUTE(SUBSTITUTE(SUBSTITUTE(SUBSTITUTE(SUBSTITUTE(SUBSTITUTE(SUBSTITUTE(SUBSTITUTE(SUBSTITUTE(SUBSTITUTE(SUBSTITUTE(SUBSTITUTE(SUBSTITUTE(SUBSTITUTE(SUBSTITUTE(SUBSTITUTE(SUBSTITUTE(SUBSTITUTE(SUBSTITUTE(LOWER(AC273&amp;""),CHAR(10)," "),CHAR(13)," "),CHAR(9)," "),CHAR(160)," "),"."," "),","," "),"-"," "),"/"," "),"("," "),")"," "),":"," "),";"," "),"_"," "),"–"," "),"?"," "),"!"," "),"*"," "),"["," "),"]"," "),"'"," "),"#"," "),"+"," "),"&amp;"," "),"\"," "))&amp;" "</f>
        <v>  </v>
      </c>
      <c r="BG273" s="61" t="n">
        <f aca="false">IFERROR(IF(AND(TRIM(U273)="Pass",SUMPRODUCT((LEN(BC273)-LEN(SUBSTITUTE(BC273," "&amp;L_ResultBad&amp;" "," ")))/(LEN(L_ResultBad)+1))&gt;SUMPRODUCT((LEN(BC273)-LEN(SUBSTITUTE(BC273," "&amp;L_NegPhrase&amp;" "," ")))/(LEN(L_NegPhrase)+1))),1,0),0)</f>
        <v>0</v>
      </c>
      <c r="BH273" s="61" t="n">
        <f aca="false">IFERROR(IF(SUMPRODUCT((LEN(BC273)-LEN(SUBSTITUTE(BC273," "&amp;L_Pending&amp;" "," ")))/(LEN(L_Pending)+1))&gt;SUMPRODUCT((LEN(BC273)-LEN(SUBSTITUTE(BC273," "&amp;L_PendNeg&amp;" "," ")))/(LEN(L_PendNeg)+1))+SUMPRODUCT((LEN(BC273)-LEN(SUBSTITUTE(BC273," "&amp;L_PendPrep&amp;" "," ")))/(LEN(L_PendPrep)+1)),1,0),1)</f>
        <v>0</v>
      </c>
      <c r="BI273" s="61" t="n">
        <f aca="false">IFERROR(IF(SUMPRODUCT((LEN(BD273)-LEN(SUBSTITUTE(BD273," "&amp;L_PendStrict&amp;" "," ")))/(LEN(L_PendStrict)+1))&gt;SUMPRODUCT((LEN(BD273)-LEN(SUBSTITUTE(BD273," "&amp;L_PendNeg&amp;" "," ")))/(LEN(L_PendNeg)+1)),1,0),1)</f>
        <v>0</v>
      </c>
      <c r="BJ273" s="61" t="n">
        <f aca="false">IFERROR(IF(SUMPRODUCT((LEN(BE273)-LEN(SUBSTITUTE(BE273," "&amp;L_Pending&amp;" "," ")))/(LEN(L_Pending)+1))&gt;SUMPRODUCT((LEN(BE273)-LEN(SUBSTITUTE(BE273," "&amp;L_PendNeg&amp;" "," ")))/(LEN(L_PendNeg)+1))+SUMPRODUCT((LEN(BE273)-LEN(SUBSTITUTE(BE273," "&amp;L_PendPrep&amp;" "," ")))/(LEN(L_PendPrep)+1)),1,0),1)</f>
        <v>0</v>
      </c>
      <c r="BK273" s="61" t="n">
        <f aca="false">IFERROR(IF(SUMPRODUCT((LEN(BF273)-LEN(SUBSTITUTE(BF273," "&amp;L_PendStrict&amp;" "," ")))/(LEN(L_PendStrict)+1))&gt;SUMPRODUCT((LEN(BF273)-LEN(SUBSTITUTE(BF273," "&amp;L_PendNeg&amp;" "," ")))/(LEN(L_PendNeg)+1)),1,0),1)</f>
        <v>0</v>
      </c>
      <c r="BL273" s="61" t="n">
        <f aca="false">IF(ISNA(MATCH(TRIM(S273),L_EvidenceType,0)),0,BZ273)</f>
        <v>0</v>
      </c>
      <c r="BM273" s="61" t="str">
        <f aca="false">SUBSTITUTE(SUBSTITUTE(SUBSTITUTE(SUBSTITUTE(SUBSTITUTE(SUBSTITUTE(SUBSTITUTE(SUBSTITUTE(SUBSTITUTE(LOWER(Z273&amp;""),"1","0"),"2","0"),"3","0"),"4","0"),"5","0"),"6","0"),"7","0"),"8","0"),"9","0")</f>
        <v/>
      </c>
      <c r="BN273" s="61" t="str">
        <f aca="false">SUBSTITUTE(SUBSTITUTE(SUBSTITUTE(SUBSTITUTE(SUBSTITUTE(SUBSTITUTE(SUBSTITUTE(SUBSTITUTE(SUBSTITUTE(SUBSTITUTE(SUBSTITUTE(SUBSTITUTE(SUBSTITUTE(SUBSTITUTE(SUBSTITUTE(SUBSTITUTE(SUBSTITUTE(SUBSTITUTE(SUBSTITUTE(SUBSTITUTE(SUBSTITUTE(SUBSTITUTE(SUBSTITUTE(SUBSTITUTE(SUBSTITUTE(BM273,"b","a"),"c","a"),"d","a"),"e","a"),"f","a"),"g","a"),"h","a"),"i","a"),"j","a"),"k","a"),"l","a"),"m","a"),"n","a"),"o","a"),"p","a"),"q","a"),"r","a"),"s","a"),"t","a"),"u","a"),"v","a"),"w","a"),"x","a"),"y","a"),"z","a")</f>
        <v/>
      </c>
      <c r="BO273" s="61" t="str">
        <f aca="false">SUBSTITUTE(SUBSTITUTE(SUBSTITUTE(SUBSTITUTE(SUBSTITUTE(SUBSTITUTE(SUBSTITUTE(SUBSTITUTE(SUBSTITUTE(LOWER(W273&amp;""),"1","0"),"2","0"),"3","0"),"4","0"),"5","0"),"6","0"),"7","0"),"8","0"),"9","0")</f>
        <v/>
      </c>
      <c r="BP273" s="61" t="str">
        <f aca="false">SUBSTITUTE(SUBSTITUTE(SUBSTITUTE(SUBSTITUTE(SUBSTITUTE(SUBSTITUTE(SUBSTITUTE(SUBSTITUTE(SUBSTITUTE(SUBSTITUTE(SUBSTITUTE(SUBSTITUTE(SUBSTITUTE(SUBSTITUTE(SUBSTITUTE(SUBSTITUTE(SUBSTITUTE(SUBSTITUTE(SUBSTITUTE(SUBSTITUTE(SUBSTITUTE(SUBSTITUTE(SUBSTITUTE(SUBSTITUTE(SUBSTITUTE(BO273,"b","a"),"c","a"),"d","a"),"e","a"),"f","a"),"g","a"),"h","a"),"i","a"),"j","a"),"k","a"),"l","a"),"m","a"),"n","a"),"o","a"),"p","a"),"q","a"),"r","a"),"s","a"),"t","a"),"u","a"),"v","a"),"w","a"),"x","a"),"y","a"),"z","a")</f>
        <v/>
      </c>
      <c r="BQ273" s="61" t="n">
        <f aca="false">IFERROR(IF(AND(ISERROR(SEARCH(" mh"," "&amp;LOWER(W273))),ISNA(MATCH(LEFT(TRIM(BP273),255),{"0000a","000a","00a","0000aa","000aa","00aa","0aa","0000aaa","000aaa","00a00","0a00","0000-0000","00:00","a00","a0","00.00.0000","00/00/0000","00-00-0000","0000-00-00","0000/00/00","0000.00.00","00.00.00","00/00/00","00-00-00","0.00.0000","0/00/0000","0-00-0000"},0)),ISNA(MATCH(LEFT(TRIM(CA273),255),{"0000a","000a","00a","0000aa","000aa","00aa","0aa","0000aaa","000aaa","00a00","0a00","0000-0000","00:00","a00","a0","00.00.0000","00/00/0000","00-00-0000","0000-00-00","0000/00/00","0000.00.00","00.00.00","00/00/00","00-00-00","0.00.0000","0/00/0000","0-00-0000"},0)),LEN(CB273)&gt;=3,NOT(OR(SUBSTITUTE(CB273,"0","")="",AND(LEN(CB273)&gt;=4,CB273=REPT(LEFT(CB273),LEN(CB273))),ISNUMBER(MATCH(CB273,{"123","1234","12345","123456","1234567","12345678","0123","01234","012345","98765","987654","54321"},0)),AND(LEN(CB273)=8,LEFT(CB273,3)="202"))),OR(AND((LEN(CA273)-LEN(SUBSTITUTE(CA273,"a","")))&gt;=1,SUMPRODUCT(--ISNUMBER(SEARCH({"a0","a-0","a_0","a/0","a.0","a#0","0a","0-a","0_a","0/a"},BP273)))&gt;0),ISNUMBER(SEARCH("000000",BP273)))),1,0),0)</f>
        <v>0</v>
      </c>
      <c r="BR273" s="61" t="n">
        <f aca="false">IFERROR(LEN(SUBSTITUTE(CC273," ",""))-SUMPRODUCT((LEN(CC273)-LEN(SUBSTITUTE(CC273," "&amp;L_Role&amp;" "," ")))/(LEN(L_Role)+1)*LEN(L_Role)),0)</f>
        <v>0</v>
      </c>
      <c r="BS273" s="61" t="n">
        <f aca="false">IFERROR(LEN(SUBSTITUTE(CD273," ",""))-SUMPRODUCT((LEN(CD273)-LEN(SUBSTITUTE(CD273," "&amp;L_Role&amp;" "," ")))/(LEN(L_Role)+1)*LEN(L_Role)),0)</f>
        <v>0</v>
      </c>
      <c r="BT2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273,"revision",""),"version",""),"jan",""),"feb",""),"mar",""),"apr",""),"may",""),"jun",""),"jul",""),"aug",""),"sep",""),"oct",""),"nov",""),"dec",""),"utc",""),"gmt",""),"myt",""),"bst",""),"rev",""),"ver",""),"b","a"),"c","a"),"d","a"),"e","a"),"f","a"),"g","a"),"h","a"),"i","a"),"j","a"),"k","a"),"l","a"),"m","a"),"n","a"),"o","a"),"p","a"),"q","a"),"r","a"),"s","a"),"t","a"),"u","a"),"v","a"),"w","a"),"x","a"),"y","a"),"z","a")</f>
        <v/>
      </c>
      <c r="BU273" s="61" t="str">
        <f aca="false">SUBSTITUTE(SUBSTITUTE(SUBSTITUTE(SUBSTITUTE(SUBSTITUTE(SUBSTITUTE(SUBSTITUTE(SUBSTITUTE(SUBSTITUTE(SUBSTITUTE(LEFT(BM273,FIND("0",BM273&amp;"0")-1),"-",""),"_",""),"/",""),".",""),"#",""),"\\",""),":","")," ",""),"(",""),")","")</f>
        <v/>
      </c>
      <c r="BV273" s="61" t="n">
        <f aca="false">0</f>
        <v>0</v>
      </c>
      <c r="BW2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273&amp;""),"a",""),"b",""),"c",""),"d",""),"e",""),"f",""),"g",""),"h",""),"i",""),"j",""),"k",""),"l",""),"m",""),"n",""),"o",""),"p",""),"q",""),"r",""),"s",""),"t",""),"u",""),"v",""),"w",""),"x",""),"y",""),"z",""),"-",""),"_",""),"/",""),".",""),"#",""),"\\",""),":","")," ",""),"(",""),")","")</f>
        <v/>
      </c>
      <c r="BX273" s="61" t="str">
        <f aca="false">SUBSTITUTE(SUBSTITUTE(SUBSTITUTE(SUBSTITUTE(SUBSTITUTE(SUBSTITUTE(SUBSTITUTE(SUBSTITUTE(SUBSTITUTE(SUBSTITUTE(SUBSTITUTE(BM273,"0",""),"-",""),"_",""),"/",""),".",""),"#",""),"\\",""),":","")," ",""),"(",""),")","")</f>
        <v/>
      </c>
      <c r="BY273" s="62" t="n">
        <f aca="false">Q273-T12EarlyH/24</f>
        <v>46304.0659722222</v>
      </c>
      <c r="BZ273" s="61" t="n">
        <f aca="false">IFERROR(IF(IF(TRIM(S273)="Link / file path",AND(LEN(TRIM(Z273))&gt;=5,SUMPRODUCT(--ISNUMBER(SEARCH({"http","www.","\\",":\",".pdf",".jpg",".jpeg",".png",".heic",".xls",".doc",".msg",".eml",".ppt",".txt",".zip"},Z273)))&gt;0),AND(ISERROR(FIND(" ",TRIM(Z273))),NOT(OR(SUMPRODUCT(--ISNUMBER(FIND({",",";","&amp;","+"},Z273)))&gt;0,SUMPRODUCT(--ISNUMBER(SEARCH({"0/aa","0\\aa"},BN273)))&gt;0)),NOT(SUMPRODUCT(--ISNUMBER(SEARCH({"http","www.","\\",":\",".pdf",".jpg",".jpeg",".png",".heic",".xls",".doc",".msg",".eml",".ppt",".txt",".zip"},Z273)))&gt;0),NOT(LOWER(TRIM(Z273))=LOWER(Flights!$F$12)),ISNA(MATCH(BU273,{"mh","rev","revision","ver","version","v","r","a","b","seat","tray","row","gate","bay","stand","page","pg","item","line","no","cart","galley","flight","flt","table","box","bag","oven","etd","eta","std","sta","atd","ata","qty","pax","x","time","tel","ph","mob","day","wk","week","utc","gmt","myt","lt"},0)),NOT(OR(ISNUMBER(MATCH(LEFT(BN273,255),{"0000a","000a","00a","0000aa","000aa","00aa","0aa","0000aaa","000aaa","00a00","0a00","0000-0000","00:00","a00","a0","00.00.0000","00/00/0000","00-00-0000","0000-00-00","0000/00/00","0000.00.00","00.00.00","00/00/00","00-00-00","0.00.0000","0/00/0000","0-00-0000"},0)),ISNUMBER(MATCH(LEFT(BT273,255),{"0000a","000a","00a","0000aa","000aa","00aa","0aa","0000aaa","000aaa","00a00","0a00","0000-0000","00:00","a00","a0","00.00.0000","00/00/0000","00-00-0000","0000-00-00","0000/00/00","0000.00.00","00.00.00","00/00/00","00-00-00","0.00.0000","0/00/0000","0-00-0000"},0)))),NOT(OR(AND(BW273&lt;&gt;"",SUBSTITUTE(BW273,"0","")=""),AND(LEN(BW273)&gt;=4,BW273=REPT(LEFT(BW273),LEN(BW273))),ISNUMBER(MATCH(BW273,{"123","1234","12345","123456","1234567","12345678","0123","01234","012345","98765","987654","54321"},0)),ISNUMBER(MATCH(BX273,{"x","xx","xxx","xxxx","xxxxx","abc","abcd","nil","na","nan","test","tbc","tba","tbd","dummy","sample","example","eg","zz","zzz","none","null","xyz","qwe","asd","id","ref"},0)),AND(LEN(BW273)=8,BX273="",OR(LEFT(BW273,3)="202",ISNUMBER(MATCH(RIGHT(BW273,4),{"2025","2026","2027"},0)))))),OR(AND((LEN(BT273)-LEN(SUBSTITUTE(BT273,"a","")))&gt;=1,(LEN(BN273)-LEN(SUBSTITUTE(BN273,"0","")))&gt;=2,SUMPRODUCT(--ISNUMBER(SEARCH({"a0","a-0","a_0","a/0","a.0","a#0","0a","0-a","0_a","0/a"},BN273)))&gt;0),AND((LEN(BN273)-LEN(SUBSTITUTE(BN273,"a","")))=0,(LEN(BN273)-LEN(SUBSTITUTE(BN273,"0","")))&gt;=5)))),1,0),0)</f>
        <v>0</v>
      </c>
      <c r="CA2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273,"revision",""),"version",""),"jan",""),"feb",""),"mar",""),"apr",""),"may",""),"jun",""),"jul",""),"aug",""),"sep",""),"oct",""),"nov",""),"dec",""),"utc",""),"gmt",""),"myt",""),"bst",""),"rev",""),"ver",""),"b","a"),"c","a"),"d","a"),"e","a"),"f","a"),"g","a"),"h","a"),"i","a"),"j","a"),"k","a"),"l","a"),"m","a"),"n","a"),"o","a"),"p","a"),"q","a"),"r","a"),"s","a"),"t","a"),"u","a"),"v","a"),"w","a"),"x","a"),"y","a"),"z","a")</f>
        <v/>
      </c>
      <c r="CB2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273&amp;""),"a",""),"b",""),"c",""),"d",""),"e",""),"f",""),"g",""),"h",""),"i",""),"j",""),"k",""),"l",""),"m",""),"n",""),"o",""),"p",""),"q",""),"r",""),"s",""),"t",""),"u",""),"v",""),"w",""),"x",""),"y",""),"z",""),"-",""),"_",""),"/",""),".",""),"#",""),"\\",""),":","")," ",""),"(",""),")","")</f>
        <v/>
      </c>
      <c r="CC273" s="0" t="str">
        <f aca="false">" "&amp;TRIM(SUBSTITUTE(SUBSTITUTE(SUBSTITUTE(SUBSTITUTE(SUBSTITUTE(SUBSTITUTE(SUBSTITUTE(SUBSTITUTE(SUBSTITUTE(SUBSTITUTE(SUBSTITUTE(SUBSTITUTE(SUBSTITUTE(SUBSTITUTE(SUBSTITUTE(SUBSTITUTE(SUBSTITUTE(SUBSTITUTE(SUBSTITUTE(SUBSTITUTE(SUBSTITUTE(SUBSTITUTE(SUBSTITUTE(SUBSTITUTE(LOWER(T273&amp;""),CHAR(10)," "),CHAR(13)," "),CHAR(9)," "),CHAR(160)," "),"."," "),","," "),"-"," "),"/"," "),"("," "),")"," "),":"," "),";"," "),"_"," "),"–"," "),"?"," "),"!"," "),"*"," "),"["," "),"]"," "),"'"," "),"#"," "),"+"," "),"&amp;"," "),"\"," "))&amp;" "</f>
        <v>  </v>
      </c>
      <c r="CD273" s="0" t="str">
        <f aca="false">" "&amp;TRIM(SUBSTITUTE(SUBSTITUTE(SUBSTITUTE(SUBSTITUTE(SUBSTITUTE(SUBSTITUTE(SUBSTITUTE(SUBSTITUTE(SUBSTITUTE(SUBSTITUTE(SUBSTITUTE(SUBSTITUTE(SUBSTITUTE(SUBSTITUTE(SUBSTITUTE(SUBSTITUTE(SUBSTITUTE(SUBSTITUTE(SUBSTITUTE(SUBSTITUTE(SUBSTITUTE(SUBSTITUTE(SUBSTITUTE(SUBSTITUTE(LOWER(AE273&amp;""),CHAR(10)," "),CHAR(13)," "),CHAR(9)," "),CHAR(160)," "),"."," "),","," "),"-"," "),"/"," "),"("," "),")"," "),":"," "),";"," "),"_"," "),"–"," "),"?"," "),"!"," "),"*"," "),"["," "),"]"," "),"'"," "),"#"," "),"+"," "),"&amp;"," "),"\"," "))&amp;" "</f>
        <v>  </v>
      </c>
      <c r="CE273" s="68" t="n">
        <f aca="false">IFERROR(IF(AND(LEN(AU273)&gt;0,LEN(AU273)=LEN(AX273),OR(TRIM(MID(SUBSTITUTE(TRIM(CC273)," ",REPT(" ",60)),1,60))="",ISNUMBER(SEARCH(" "&amp;TRIM(MID(SUBSTITUTE(TRIM(CC273)," ",REPT(" ",60)),1,60))&amp;" ",CD273))),OR(TRIM(MID(SUBSTITUTE(TRIM(CC273)," ",REPT(" ",60)),61,60))="",ISNUMBER(SEARCH(" "&amp;TRIM(MID(SUBSTITUTE(TRIM(CC273)," ",REPT(" ",60)),61,60))&amp;" ",CD273))),OR(TRIM(MID(SUBSTITUTE(TRIM(CC273)," ",REPT(" ",60)),121,60))="",ISNUMBER(SEARCH(" "&amp;TRIM(MID(SUBSTITUTE(TRIM(CC273)," ",REPT(" ",60)),121,60))&amp;" ",CD273)))),1,0),0)</f>
        <v>0</v>
      </c>
      <c r="CG273" s="68" t="n">
        <f aca="false">IFERROR(LEN(SUBSTITUTE(BF273," ",""))-SUMPRODUCT((LEN(BF273)-LEN(SUBSTITUTE(BF273," "&amp;L_NAFiller&amp;" "," ")))/(LEN(L_NAFiller)+1)*LEN(L_NAFiller)),0)</f>
        <v>0</v>
      </c>
    </row>
    <row r="274" customFormat="false" ht="39.75" hidden="false" customHeight="true" outlineLevel="0" collapsed="false">
      <c r="A274" s="57" t="s">
        <v>847</v>
      </c>
      <c r="B274" s="57" t="s">
        <v>238</v>
      </c>
      <c r="C274" s="57" t="str">
        <f aca="false">Flights!$F$12</f>
        <v>MH0752</v>
      </c>
      <c r="D274" s="58" t="n">
        <f aca="false">Flights!$D$12</f>
        <v>46305</v>
      </c>
      <c r="E274" s="57" t="str">
        <f aca="false">Flights!$G$12&amp;"-"&amp;Flights!$H$12</f>
        <v>KUL-HAN</v>
      </c>
      <c r="F274" s="57" t="str">
        <f aca="false">Flights!$K$12</f>
        <v>EY</v>
      </c>
      <c r="G274" s="57" t="s">
        <v>420</v>
      </c>
      <c r="H274" s="57" t="s">
        <v>378</v>
      </c>
      <c r="I274" s="57" t="s">
        <v>428</v>
      </c>
      <c r="J274" s="57" t="s">
        <v>429</v>
      </c>
      <c r="K274" s="67"/>
      <c r="L274" s="67" t="s">
        <v>422</v>
      </c>
      <c r="M274" s="67"/>
      <c r="N274" s="67" t="s">
        <v>383</v>
      </c>
      <c r="O274" s="67" t="s">
        <v>423</v>
      </c>
      <c r="P274" s="57" t="s">
        <v>187</v>
      </c>
      <c r="Q274" s="59" t="n">
        <f aca="false">ROUND((Flights!$AE$12)*1440,0)/1440</f>
        <v>46304.5659722222</v>
      </c>
      <c r="R274" s="59" t="n">
        <f aca="false">Q274+(IF(AND(INDEX(TZ_DSTS,MATCH(P274,TZ_STN,0))&lt;&gt;"",Q274&gt;=INDEX(TZ_DSTS,MATCH(P274,TZ_STN,0)),Q274&lt;INDEX(TZ_DSTE,MATCH(P274,TZ_STN,0))),INDEX(TZ_DST,MATCH(P274,TZ_STN,0)),INDEX(TZ_STD,MATCH(P274,TZ_STN,0))))/24</f>
        <v>46304.8993055556</v>
      </c>
      <c r="S274" s="60"/>
      <c r="T274" s="60"/>
      <c r="U274" s="60"/>
      <c r="V274" s="60"/>
      <c r="W274" s="61"/>
      <c r="X274" s="60"/>
      <c r="Y274" s="60"/>
      <c r="Z274" s="60"/>
      <c r="AA274" s="60"/>
      <c r="AB274" s="60"/>
      <c r="AC274" s="60"/>
      <c r="AD274" s="66"/>
      <c r="AE274" s="60"/>
      <c r="AF274" s="61" t="str">
        <f aca="false">IF(AND(ISNUMBER(X274),ISNUMBER(Y274)),Y274-X274,"")</f>
        <v/>
      </c>
      <c r="AG274" s="62" t="str">
        <f aca="false">IF(ISNUMBER(AD274),AD274-(IF(AND(INDEX(TZ_DSTS,MATCH(P274,TZ_STN,0))&lt;&gt;"",(AD274-INDEX(TZ_STD,MATCH(P274,TZ_STN,0))/24)&gt;=INDEX(TZ_DSTS,MATCH(P274,TZ_STN,0)),(AD274-INDEX(TZ_STD,MATCH(P274,TZ_STN,0))/24)&lt;INDEX(TZ_DSTE,MATCH(P274,TZ_STN,0))),INDEX(TZ_DST,MATCH(P274,TZ_STN,0)),INDEX(TZ_STD,MATCH(P274,TZ_STN,0))))/24,"")</f>
        <v/>
      </c>
      <c r="AH274" s="65" t="str">
        <f aca="false">IFERROR(IF(N274="N/A – rule",IF(OR(TRIM(U274)="",TRIM(U274)="N/A",TRIM(U274)="Not started"),"N/A – RULE","INVALID – this check does not apply to this aircraft: clear the status (or correct the fleet on Flights)"),IF(TRIM(U274)="N/A",IF(AT274=0,"INVALID – N/A not permitted for this check",IF(AND(TRIM(AB274)&lt;&gt;"",TRIM(AB274)&lt;&gt;"Closed"),"INVALID – corrective action still open",IF(AND(NOT(OR(LEN(AZ274)&lt;15,ISNUMBER(MATCH(AZ274,L_Placeholder,0)))),BK274=0,CG274&gt;=8,NOT(OR(LEN(AU274)&lt;2,ISNUMBER(MATCH(AU274,L_Placeholder,0)))),BR274&gt;=3,NOT(OR(LEN(AX274)&lt;2,ISNUMBER(MATCH(AX274,L_Placeholder,0)))),BS274&gt;=3,TRIM(AE274)&lt;&gt;TRIM(T274),AX274&lt;&gt;AU274,CE274=0),"N/A – JUSTIFIED","INVALID – N/A needs a real, settled reason (not 'not applicable' / 'as above' / TBC), a named PIC and a different named verifier"))),IF(OR(TRIM(U274)="Pass",TRIM(U274)="Pass after CA"),IF(NOT(ISNUMBER(AD274)),"INVALID – completion time missing",IF(OR(OR(LEN(AU274)&lt;2,ISNUMBER(MATCH(AU274,L_Placeholder,0))),BR274&lt;3),"INVALID – PIC missing or not a named person (a role such as QA / CSM is not a name)",IF(OR(LEN(AV274)&lt;2,ISNUMBER(MATCH(AV274,L_Placeholder,0))),"INVALID – result / assessment missing",IF(OR(OR(LEN(AW274)&lt;3,ISNUMBER(MATCH(AW274,L_Placeholder,0))),SUMPRODUCT(--ISNUMBER(SEARCH(" "&amp;L_EvidencePhrase&amp;" ",BD274)))&gt;0,BI274=1),"INVALID – evidence missing, placeholder or not yet on file",IF(ISNA(MATCH(TRIM(S274),L_EvidenceType,0)),"INVALID – choose the evidence type from the list (column S)",IF(BL274=0,"INVALID – evidence ID must be the record's own ID only (e.g. SF-2210, IMG_2231, 1045521); a link / file name needs type 'Link / file path'",IF(OR(OR(LEN(AX274)&lt;2,ISNUMBER(MATCH(AX274,L_Placeholder,0))),BS274&lt;3),"INVALID – verifier missing or not a named person (a role such as QA / CSM is not a name)",IF(OR(AX274=AU274,CE274=1,AND(LEN(AU274)&gt;=4,ISNUMBER(SEARCH(AU274,AX274))),AND(LEN(AX274)&gt;=4,ISNUMBER(SEARCH(AX274,AU274)))),"INVALID – verifier must be a different, named person (not the PIC or a role)",IF(BH274=1,"INVALID – result not yet available (awaiting / TBC)",IF(BG274=1,"INVALID – result describes a problem: record Fail, then Pass after CA (or reword if it is not a problem)",IF(BV274=1,"INVALID – wording says not on board: an on-board confirmation needs the item loaded",IF(AND(AQ274=1,OR(OR(LEN(AY274)&lt;3,ISNUMBER(MATCH(AY274,L_Placeholder,0))),BJ274=1,BQ274=0)),"INVALID – batch ID missing, placeholder or not an ID (e.g. PASB-261008-BC-017)",IF(AND(AR274=1,OR(NOT(ISNUMBER(X274)),NOT(ISNUMBER(Y274)))),"INVALID – expected/actual qty missing",IF(AND(AR274=1,OR(X274&lt;=0,Y274&lt;0)),"INVALID – expected qty must be above 0 and actual not negative",IF(BB274&lt;&gt;"",BB274,IF(AND(AS274=1,Documents!$J$12&lt;&gt;"ON FILE"),"INVALID – GLD not on file (Documents sheet)",IF(AND(AS274=2,Documents!$O$12&lt;&gt;"ON FILE"),"INVALID – menu checklist not on file (Documents sheet)",IF(AND(AS274=3,NOT(ISNUMBER(Flights!$AX$12))),"INVALID – enter carrying flight KUL departure (Flights AX)",IF(AND(AS274=3,OR(Flights!$AZ$12&gt;Flights!$AA$12,Flights!$AX$12&lt;Flights!$AA$12-3)),"INVALID – carrying flight (Flights AX) cannot arrive before this leg's STD, or is over 3 days early",IF(AG274&gt;AsOfUTC,"INVALID – completion time is in the future",IF(AND(ISNUMBER(BY274),AG274&lt;BY274),IF(H274="Physical uplift","INVALID – before uplift window (cannot confirm loading)","INVALID – before valid window"),IF(AG274&gt;Flights!$AA$12,"INVALID – completed after departure (cannot establish readiness)",IF(AND(H274="Preparation",AG274&gt;=IF(ISNUMBER(Flights!$BA$12),MIN(Flights!$BA$12,Flights!$AA$12),Flights!$AA$12)),"INVALID – completed after loading / departure (cannot establish readiness)",IF(AND(H274="Physical uplift",AG274&gt;Q274),"INVALID – recorded after the loading flight departed",IF(AG274&gt;Q274,"COMPLETE – LATE","COMPLETE"))))))))))))))))))))))))),IF(TRIM(U274)="Fail","FAIL – DISCREPANCY",IF(AND(TRIM(U274)&lt;&gt;"",TRIM(U274)&lt;&gt;"Not started",TRIM(U274)&lt;&gt;"In progress"),"INVALID – unrecognised status (use the list)",IF(AsOfUTC&gt;Q274,"OVERDUE",IF(N274="Clarification required","OPEN – CLARIFICATION","OPEN"))))))),"INVALID – error value in an input cell")</f>
        <v>OPEN</v>
      </c>
      <c r="AI274" s="61" t="n">
        <f aca="false">IF(OR(AH274="N/A – RULE",AH274="N/A – JUSTIFIED"),0,1)</f>
        <v>1</v>
      </c>
      <c r="AJ274" s="61" t="n">
        <f aca="false">IF(LEFT(AH274,8)="COMPLETE",1,0)</f>
        <v>0</v>
      </c>
      <c r="AK274" s="61" t="n">
        <f aca="false">IF(AND(AI274=1,AJ274=0,AsOfUTC&gt;Q274),1,0)</f>
        <v>0</v>
      </c>
      <c r="AL274" s="61" t="n">
        <f aca="false">IFERROR(IF(AND(AI274=1,OR(TRIM(U274)="Fail",AND(TRIM(AB274)&lt;&gt;"",TRIM(AB274)&lt;&gt;"Closed"),AND(ISNUMBER(AF274),AF274&lt;&gt;0,TRIM(U274)&lt;&gt;"Pass after CA"))),1,0),1)</f>
        <v>0</v>
      </c>
      <c r="AM274" s="61" t="n">
        <f aca="false">IF(LEFT(AH274,7)="INVALID",1,0)</f>
        <v>0</v>
      </c>
      <c r="AN274" s="61" t="n">
        <f aca="false">IF(AND(N274="Clarification required",AI274=1,AJ274=0),1,0)</f>
        <v>0</v>
      </c>
      <c r="AO274" s="61" t="str">
        <f aca="false">IF(AK274=1,SUM(AK$5:AK274),"")</f>
        <v/>
      </c>
      <c r="AP274" s="61" t="str">
        <f aca="false">IF(AL274=1,SUM(AL$5:AL274),"")</f>
        <v/>
      </c>
      <c r="AQ274" s="61" t="n">
        <v>0</v>
      </c>
      <c r="AR274" s="61" t="n">
        <v>0</v>
      </c>
      <c r="AS274" s="61" t="n">
        <v>0</v>
      </c>
      <c r="AT274" s="61" t="n">
        <v>0</v>
      </c>
      <c r="AU274" s="61" t="str">
        <f aca="false">SUBSTITUTE(SUBSTITUTE(SUBSTITUTE(SUBSTITUTE(SUBSTITUTE(SUBSTITUTE(SUBSTITUTE(SUBSTITUTE(SUBSTITUTE(SUBSTITUTE(SUBSTITUTE(SUBSTITUTE(SUBSTITUTE(SUBSTITUTE(SUBSTITUTE(SUBSTITUTE(LOWER(T274&amp;""),CHAR(10),""),CHAR(13),""),CHAR(9),""),CHAR(160),"")," ",""),".",""),"-",""),"/",""),"?",""),"_",""),",",""),"[",""),"]",""),"(",""),")",""),"*","")</f>
        <v/>
      </c>
      <c r="AV274" s="61" t="str">
        <f aca="false">SUBSTITUTE(SUBSTITUTE(SUBSTITUTE(SUBSTITUTE(SUBSTITUTE(SUBSTITUTE(SUBSTITUTE(SUBSTITUTE(SUBSTITUTE(SUBSTITUTE(SUBSTITUTE(SUBSTITUTE(SUBSTITUTE(SUBSTITUTE(SUBSTITUTE(SUBSTITUTE(LOWER(V274&amp;""),CHAR(10),""),CHAR(13),""),CHAR(9),""),CHAR(160),"")," ",""),".",""),"-",""),"/",""),"?",""),"_",""),",",""),"[",""),"]",""),"(",""),")",""),"*","")</f>
        <v/>
      </c>
      <c r="AW274" s="61" t="str">
        <f aca="false">SUBSTITUTE(SUBSTITUTE(SUBSTITUTE(SUBSTITUTE(SUBSTITUTE(SUBSTITUTE(SUBSTITUTE(SUBSTITUTE(SUBSTITUTE(SUBSTITUTE(SUBSTITUTE(SUBSTITUTE(SUBSTITUTE(SUBSTITUTE(SUBSTITUTE(SUBSTITUTE(LOWER(Z274&amp;""),CHAR(10),""),CHAR(13),""),CHAR(9),""),CHAR(160),"")," ",""),".",""),"-",""),"/",""),"?",""),"_",""),",",""),"[",""),"]",""),"(",""),")",""),"*","")</f>
        <v/>
      </c>
      <c r="AX274" s="61" t="str">
        <f aca="false">SUBSTITUTE(SUBSTITUTE(SUBSTITUTE(SUBSTITUTE(SUBSTITUTE(SUBSTITUTE(SUBSTITUTE(SUBSTITUTE(SUBSTITUTE(SUBSTITUTE(SUBSTITUTE(SUBSTITUTE(SUBSTITUTE(SUBSTITUTE(SUBSTITUTE(SUBSTITUTE(LOWER(AE274&amp;""),CHAR(10),""),CHAR(13),""),CHAR(9),""),CHAR(160),"")," ",""),".",""),"-",""),"/",""),"?",""),"_",""),",",""),"[",""),"]",""),"(",""),")",""),"*","")</f>
        <v/>
      </c>
      <c r="AY274" s="61" t="str">
        <f aca="false">SUBSTITUTE(SUBSTITUTE(SUBSTITUTE(SUBSTITUTE(SUBSTITUTE(SUBSTITUTE(SUBSTITUTE(SUBSTITUTE(SUBSTITUTE(SUBSTITUTE(SUBSTITUTE(SUBSTITUTE(SUBSTITUTE(SUBSTITUTE(SUBSTITUTE(SUBSTITUTE(LOWER(W274&amp;""),CHAR(10),""),CHAR(13),""),CHAR(9),""),CHAR(160),"")," ",""),".",""),"-",""),"/",""),"?",""),"_",""),",",""),"[",""),"]",""),"(",""),")",""),"*","")</f>
        <v/>
      </c>
      <c r="AZ274" s="61" t="str">
        <f aca="false">SUBSTITUTE(SUBSTITUTE(SUBSTITUTE(SUBSTITUTE(SUBSTITUTE(SUBSTITUTE(SUBSTITUTE(SUBSTITUTE(SUBSTITUTE(SUBSTITUTE(SUBSTITUTE(SUBSTITUTE(SUBSTITUTE(SUBSTITUTE(SUBSTITUTE(SUBSTITUTE(LOWER(AC274&amp;""),CHAR(10),""),CHAR(13),""),CHAR(9),""),CHAR(160),"")," ",""),".",""),"-",""),"/",""),"?",""),"_",""),",",""),"[",""),"]",""),"(",""),")",""),"*","")</f>
        <v/>
      </c>
      <c r="BA274" s="61" t="str">
        <f aca="false">SUBSTITUTE(SUBSTITUTE(SUBSTITUTE(SUBSTITUTE(SUBSTITUTE(SUBSTITUTE(SUBSTITUTE(SUBSTITUTE(SUBSTITUTE(SUBSTITUTE(SUBSTITUTE(SUBSTITUTE(SUBSTITUTE(SUBSTITUTE(SUBSTITUTE(SUBSTITUTE(LOWER(AA274&amp;""),CHAR(10),""),CHAR(13),""),CHAR(9),""),CHAR(160),"")," ",""),".",""),"-",""),"/",""),"?",""),"_",""),",",""),"[",""),"]",""),"(",""),")",""),"*","")</f>
        <v/>
      </c>
      <c r="BB274" s="61" t="str">
        <f aca="false">IF(AND(TRIM(U274)="Pass",ISNUMBER(AF274)),IF(AF274&lt;&gt;0,"INVALID – qty variance: use Fail or Pass after CA",""),"")&amp;IF(AND(TRIM(U274)="Pass after CA",ISNUMBER(AF274)),IF(AF274&lt;&gt;0,"INVALID – after the corrective action the actual qty must equal expected (update Actual)",""),"")&amp;IF(AND(TRIM(U274)="Pass",TRIM(AB274)&lt;&gt;"",TRIM(AB274)&lt;&gt;"Closed"),"INVALID – corrective action not closed: use Fail, then Pass after CA","")&amp;IF(AND(LEN(BA274)&gt;=2,ISNA(MATCH(LEFT(BA274,255),L_Placeholder,0)),TRIM(AB274)=""),"INVALID – CA status missing for the recorded corrective action","")&amp;IF(AND(TRIM(U274)="Pass after CA",OR(OR(LEN(BA274)&lt;5,ISNUMBER(MATCH(BA274,L_Placeholder,0))),TRIM(AB274)&lt;&gt;"Closed")),"INVALID – corrective action not recorded/closed","")</f>
        <v/>
      </c>
      <c r="BC274" s="61" t="str">
        <f aca="false">" "&amp;TRIM(SUBSTITUTE(SUBSTITUTE(SUBSTITUTE(SUBSTITUTE(SUBSTITUTE(SUBSTITUTE(SUBSTITUTE(SUBSTITUTE(SUBSTITUTE(SUBSTITUTE(SUBSTITUTE(SUBSTITUTE(SUBSTITUTE(SUBSTITUTE(SUBSTITUTE(SUBSTITUTE(SUBSTITUTE(SUBSTITUTE(SUBSTITUTE(SUBSTITUTE(SUBSTITUTE(SUBSTITUTE(SUBSTITUTE(SUBSTITUTE(LOWER(V274&amp;""),CHAR(10)," "),CHAR(13)," "),CHAR(9)," "),CHAR(160)," "),"."," "),","," "),"-"," "),"/"," "),"("," "),")"," "),":"," "),";"," "),"_"," "),"–"," "),"?"," "),"!"," "),"*"," "),"["," "),"]"," "),"'"," "),"#"," "),"+"," "),"&amp;"," "),"\"," "))&amp;" "</f>
        <v>  </v>
      </c>
      <c r="BD274" s="61" t="str">
        <f aca="false">" "&amp;TRIM(SUBSTITUTE(SUBSTITUTE(SUBSTITUTE(SUBSTITUTE(SUBSTITUTE(SUBSTITUTE(SUBSTITUTE(SUBSTITUTE(SUBSTITUTE(SUBSTITUTE(SUBSTITUTE(SUBSTITUTE(SUBSTITUTE(SUBSTITUTE(SUBSTITUTE(SUBSTITUTE(SUBSTITUTE(SUBSTITUTE(SUBSTITUTE(SUBSTITUTE(SUBSTITUTE(SUBSTITUTE(SUBSTITUTE(SUBSTITUTE(LOWER(Z274&amp;""),CHAR(10)," "),CHAR(13)," "),CHAR(9)," "),CHAR(160)," "),"."," "),","," "),"-"," "),"/"," "),"("," "),")"," "),":"," "),";"," "),"_"," "),"–"," "),"?"," "),"!"," "),"*"," "),"["," "),"]"," "),"'"," "),"#"," "),"+"," "),"&amp;"," "),"\"," "))&amp;" "</f>
        <v>  </v>
      </c>
      <c r="BE274" s="61" t="str">
        <f aca="false">" "&amp;TRIM(SUBSTITUTE(SUBSTITUTE(SUBSTITUTE(SUBSTITUTE(SUBSTITUTE(SUBSTITUTE(SUBSTITUTE(SUBSTITUTE(SUBSTITUTE(SUBSTITUTE(SUBSTITUTE(SUBSTITUTE(SUBSTITUTE(SUBSTITUTE(SUBSTITUTE(SUBSTITUTE(SUBSTITUTE(SUBSTITUTE(SUBSTITUTE(SUBSTITUTE(SUBSTITUTE(SUBSTITUTE(SUBSTITUTE(SUBSTITUTE(LOWER(W274&amp;""),CHAR(10)," "),CHAR(13)," "),CHAR(9)," "),CHAR(160)," "),"."," "),","," "),"-"," "),"/"," "),"("," "),")"," "),":"," "),";"," "),"_"," "),"–"," "),"?"," "),"!"," "),"*"," "),"["," "),"]"," "),"'"," "),"#"," "),"+"," "),"&amp;"," "),"\"," "))&amp;" "</f>
        <v>  </v>
      </c>
      <c r="BF274" s="61" t="str">
        <f aca="false">" "&amp;TRIM(SUBSTITUTE(SUBSTITUTE(SUBSTITUTE(SUBSTITUTE(SUBSTITUTE(SUBSTITUTE(SUBSTITUTE(SUBSTITUTE(SUBSTITUTE(SUBSTITUTE(SUBSTITUTE(SUBSTITUTE(SUBSTITUTE(SUBSTITUTE(SUBSTITUTE(SUBSTITUTE(SUBSTITUTE(SUBSTITUTE(SUBSTITUTE(SUBSTITUTE(SUBSTITUTE(SUBSTITUTE(SUBSTITUTE(SUBSTITUTE(LOWER(AC274&amp;""),CHAR(10)," "),CHAR(13)," "),CHAR(9)," "),CHAR(160)," "),"."," "),","," "),"-"," "),"/"," "),"("," "),")"," "),":"," "),";"," "),"_"," "),"–"," "),"?"," "),"!"," "),"*"," "),"["," "),"]"," "),"'"," "),"#"," "),"+"," "),"&amp;"," "),"\"," "))&amp;" "</f>
        <v>  </v>
      </c>
      <c r="BG274" s="61" t="n">
        <f aca="false">IFERROR(IF(AND(TRIM(U274)="Pass",SUMPRODUCT((LEN(BC274)-LEN(SUBSTITUTE(BC274," "&amp;L_ResultBad&amp;" "," ")))/(LEN(L_ResultBad)+1))&gt;SUMPRODUCT((LEN(BC274)-LEN(SUBSTITUTE(BC274," "&amp;L_NegPhrase&amp;" "," ")))/(LEN(L_NegPhrase)+1))),1,0),0)</f>
        <v>0</v>
      </c>
      <c r="BH274" s="61" t="n">
        <f aca="false">IFERROR(IF(SUMPRODUCT((LEN(BC274)-LEN(SUBSTITUTE(BC274," "&amp;L_Pending&amp;" "," ")))/(LEN(L_Pending)+1))&gt;SUMPRODUCT((LEN(BC274)-LEN(SUBSTITUTE(BC274," "&amp;L_PendNeg&amp;" "," ")))/(LEN(L_PendNeg)+1))+SUMPRODUCT((LEN(BC274)-LEN(SUBSTITUTE(BC274," "&amp;L_PendPrep&amp;" "," ")))/(LEN(L_PendPrep)+1)),1,0),1)</f>
        <v>0</v>
      </c>
      <c r="BI274" s="61" t="n">
        <f aca="false">IFERROR(IF(SUMPRODUCT((LEN(BD274)-LEN(SUBSTITUTE(BD274," "&amp;L_PendStrict&amp;" "," ")))/(LEN(L_PendStrict)+1))&gt;SUMPRODUCT((LEN(BD274)-LEN(SUBSTITUTE(BD274," "&amp;L_PendNeg&amp;" "," ")))/(LEN(L_PendNeg)+1)),1,0),1)</f>
        <v>0</v>
      </c>
      <c r="BJ274" s="61" t="n">
        <f aca="false">IFERROR(IF(SUMPRODUCT((LEN(BE274)-LEN(SUBSTITUTE(BE274," "&amp;L_Pending&amp;" "," ")))/(LEN(L_Pending)+1))&gt;SUMPRODUCT((LEN(BE274)-LEN(SUBSTITUTE(BE274," "&amp;L_PendNeg&amp;" "," ")))/(LEN(L_PendNeg)+1))+SUMPRODUCT((LEN(BE274)-LEN(SUBSTITUTE(BE274," "&amp;L_PendPrep&amp;" "," ")))/(LEN(L_PendPrep)+1)),1,0),1)</f>
        <v>0</v>
      </c>
      <c r="BK274" s="61" t="n">
        <f aca="false">IFERROR(IF(SUMPRODUCT((LEN(BF274)-LEN(SUBSTITUTE(BF274," "&amp;L_PendStrict&amp;" "," ")))/(LEN(L_PendStrict)+1))&gt;SUMPRODUCT((LEN(BF274)-LEN(SUBSTITUTE(BF274," "&amp;L_PendNeg&amp;" "," ")))/(LEN(L_PendNeg)+1)),1,0),1)</f>
        <v>0</v>
      </c>
      <c r="BL274" s="61" t="n">
        <f aca="false">IF(ISNA(MATCH(TRIM(S274),L_EvidenceType,0)),0,BZ274)</f>
        <v>0</v>
      </c>
      <c r="BM274" s="61" t="str">
        <f aca="false">SUBSTITUTE(SUBSTITUTE(SUBSTITUTE(SUBSTITUTE(SUBSTITUTE(SUBSTITUTE(SUBSTITUTE(SUBSTITUTE(SUBSTITUTE(LOWER(Z274&amp;""),"1","0"),"2","0"),"3","0"),"4","0"),"5","0"),"6","0"),"7","0"),"8","0"),"9","0")</f>
        <v/>
      </c>
      <c r="BN274" s="61" t="str">
        <f aca="false">SUBSTITUTE(SUBSTITUTE(SUBSTITUTE(SUBSTITUTE(SUBSTITUTE(SUBSTITUTE(SUBSTITUTE(SUBSTITUTE(SUBSTITUTE(SUBSTITUTE(SUBSTITUTE(SUBSTITUTE(SUBSTITUTE(SUBSTITUTE(SUBSTITUTE(SUBSTITUTE(SUBSTITUTE(SUBSTITUTE(SUBSTITUTE(SUBSTITUTE(SUBSTITUTE(SUBSTITUTE(SUBSTITUTE(SUBSTITUTE(SUBSTITUTE(BM274,"b","a"),"c","a"),"d","a"),"e","a"),"f","a"),"g","a"),"h","a"),"i","a"),"j","a"),"k","a"),"l","a"),"m","a"),"n","a"),"o","a"),"p","a"),"q","a"),"r","a"),"s","a"),"t","a"),"u","a"),"v","a"),"w","a"),"x","a"),"y","a"),"z","a")</f>
        <v/>
      </c>
      <c r="BO274" s="61" t="str">
        <f aca="false">SUBSTITUTE(SUBSTITUTE(SUBSTITUTE(SUBSTITUTE(SUBSTITUTE(SUBSTITUTE(SUBSTITUTE(SUBSTITUTE(SUBSTITUTE(LOWER(W274&amp;""),"1","0"),"2","0"),"3","0"),"4","0"),"5","0"),"6","0"),"7","0"),"8","0"),"9","0")</f>
        <v/>
      </c>
      <c r="BP274" s="61" t="str">
        <f aca="false">SUBSTITUTE(SUBSTITUTE(SUBSTITUTE(SUBSTITUTE(SUBSTITUTE(SUBSTITUTE(SUBSTITUTE(SUBSTITUTE(SUBSTITUTE(SUBSTITUTE(SUBSTITUTE(SUBSTITUTE(SUBSTITUTE(SUBSTITUTE(SUBSTITUTE(SUBSTITUTE(SUBSTITUTE(SUBSTITUTE(SUBSTITUTE(SUBSTITUTE(SUBSTITUTE(SUBSTITUTE(SUBSTITUTE(SUBSTITUTE(SUBSTITUTE(BO274,"b","a"),"c","a"),"d","a"),"e","a"),"f","a"),"g","a"),"h","a"),"i","a"),"j","a"),"k","a"),"l","a"),"m","a"),"n","a"),"o","a"),"p","a"),"q","a"),"r","a"),"s","a"),"t","a"),"u","a"),"v","a"),"w","a"),"x","a"),"y","a"),"z","a")</f>
        <v/>
      </c>
      <c r="BQ274" s="61" t="n">
        <f aca="false">IFERROR(IF(AND(ISERROR(SEARCH(" mh"," "&amp;LOWER(W274))),ISNA(MATCH(LEFT(TRIM(BP274),255),{"0000a","000a","00a","0000aa","000aa","00aa","0aa","0000aaa","000aaa","00a00","0a00","0000-0000","00:00","a00","a0","00.00.0000","00/00/0000","00-00-0000","0000-00-00","0000/00/00","0000.00.00","00.00.00","00/00/00","00-00-00","0.00.0000","0/00/0000","0-00-0000"},0)),ISNA(MATCH(LEFT(TRIM(CA274),255),{"0000a","000a","00a","0000aa","000aa","00aa","0aa","0000aaa","000aaa","00a00","0a00","0000-0000","00:00","a00","a0","00.00.0000","00/00/0000","00-00-0000","0000-00-00","0000/00/00","0000.00.00","00.00.00","00/00/00","00-00-00","0.00.0000","0/00/0000","0-00-0000"},0)),LEN(CB274)&gt;=3,NOT(OR(SUBSTITUTE(CB274,"0","")="",AND(LEN(CB274)&gt;=4,CB274=REPT(LEFT(CB274),LEN(CB274))),ISNUMBER(MATCH(CB274,{"123","1234","12345","123456","1234567","12345678","0123","01234","012345","98765","987654","54321"},0)),AND(LEN(CB274)=8,LEFT(CB274,3)="202"))),OR(AND((LEN(CA274)-LEN(SUBSTITUTE(CA274,"a","")))&gt;=1,SUMPRODUCT(--ISNUMBER(SEARCH({"a0","a-0","a_0","a/0","a.0","a#0","0a","0-a","0_a","0/a"},BP274)))&gt;0),ISNUMBER(SEARCH("000000",BP274)))),1,0),0)</f>
        <v>0</v>
      </c>
      <c r="BR274" s="61" t="n">
        <f aca="false">IFERROR(LEN(SUBSTITUTE(CC274," ",""))-SUMPRODUCT((LEN(CC274)-LEN(SUBSTITUTE(CC274," "&amp;L_Role&amp;" "," ")))/(LEN(L_Role)+1)*LEN(L_Role)),0)</f>
        <v>0</v>
      </c>
      <c r="BS274" s="61" t="n">
        <f aca="false">IFERROR(LEN(SUBSTITUTE(CD274," ",""))-SUMPRODUCT((LEN(CD274)-LEN(SUBSTITUTE(CD274," "&amp;L_Role&amp;" "," ")))/(LEN(L_Role)+1)*LEN(L_Role)),0)</f>
        <v>0</v>
      </c>
      <c r="BT2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274,"revision",""),"version",""),"jan",""),"feb",""),"mar",""),"apr",""),"may",""),"jun",""),"jul",""),"aug",""),"sep",""),"oct",""),"nov",""),"dec",""),"utc",""),"gmt",""),"myt",""),"bst",""),"rev",""),"ver",""),"b","a"),"c","a"),"d","a"),"e","a"),"f","a"),"g","a"),"h","a"),"i","a"),"j","a"),"k","a"),"l","a"),"m","a"),"n","a"),"o","a"),"p","a"),"q","a"),"r","a"),"s","a"),"t","a"),"u","a"),"v","a"),"w","a"),"x","a"),"y","a"),"z","a")</f>
        <v/>
      </c>
      <c r="BU274" s="61" t="str">
        <f aca="false">SUBSTITUTE(SUBSTITUTE(SUBSTITUTE(SUBSTITUTE(SUBSTITUTE(SUBSTITUTE(SUBSTITUTE(SUBSTITUTE(SUBSTITUTE(SUBSTITUTE(LEFT(BM274,FIND("0",BM274&amp;"0")-1),"-",""),"_",""),"/",""),".",""),"#",""),"\\",""),":","")," ",""),"(",""),")","")</f>
        <v/>
      </c>
      <c r="BV274" s="61" t="n">
        <f aca="false">0</f>
        <v>0</v>
      </c>
      <c r="BW2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274&amp;""),"a",""),"b",""),"c",""),"d",""),"e",""),"f",""),"g",""),"h",""),"i",""),"j",""),"k",""),"l",""),"m",""),"n",""),"o",""),"p",""),"q",""),"r",""),"s",""),"t",""),"u",""),"v",""),"w",""),"x",""),"y",""),"z",""),"-",""),"_",""),"/",""),".",""),"#",""),"\\",""),":","")," ",""),"(",""),")","")</f>
        <v/>
      </c>
      <c r="BX274" s="61" t="str">
        <f aca="false">SUBSTITUTE(SUBSTITUTE(SUBSTITUTE(SUBSTITUTE(SUBSTITUTE(SUBSTITUTE(SUBSTITUTE(SUBSTITUTE(SUBSTITUTE(SUBSTITUTE(SUBSTITUTE(BM274,"0",""),"-",""),"_",""),"/",""),".",""),"#",""),"\\",""),":","")," ",""),"(",""),")","")</f>
        <v/>
      </c>
      <c r="BY274" s="62" t="n">
        <f aca="false">Q274-T12EarlyH/24</f>
        <v>46304.0659722222</v>
      </c>
      <c r="BZ274" s="61" t="n">
        <f aca="false">IFERROR(IF(IF(TRIM(S274)="Link / file path",AND(LEN(TRIM(Z274))&gt;=5,SUMPRODUCT(--ISNUMBER(SEARCH({"http","www.","\\",":\",".pdf",".jpg",".jpeg",".png",".heic",".xls",".doc",".msg",".eml",".ppt",".txt",".zip"},Z274)))&gt;0),AND(ISERROR(FIND(" ",TRIM(Z274))),NOT(OR(SUMPRODUCT(--ISNUMBER(FIND({",",";","&amp;","+"},Z274)))&gt;0,SUMPRODUCT(--ISNUMBER(SEARCH({"0/aa","0\\aa"},BN274)))&gt;0)),NOT(SUMPRODUCT(--ISNUMBER(SEARCH({"http","www.","\\",":\",".pdf",".jpg",".jpeg",".png",".heic",".xls",".doc",".msg",".eml",".ppt",".txt",".zip"},Z274)))&gt;0),NOT(LOWER(TRIM(Z274))=LOWER(Flights!$F$12)),ISNA(MATCH(BU274,{"mh","rev","revision","ver","version","v","r","a","b","seat","tray","row","gate","bay","stand","page","pg","item","line","no","cart","galley","flight","flt","table","box","bag","oven","etd","eta","std","sta","atd","ata","qty","pax","x","time","tel","ph","mob","day","wk","week","utc","gmt","myt","lt"},0)),NOT(OR(ISNUMBER(MATCH(LEFT(BN274,255),{"0000a","000a","00a","0000aa","000aa","00aa","0aa","0000aaa","000aaa","00a00","0a00","0000-0000","00:00","a00","a0","00.00.0000","00/00/0000","00-00-0000","0000-00-00","0000/00/00","0000.00.00","00.00.00","00/00/00","00-00-00","0.00.0000","0/00/0000","0-00-0000"},0)),ISNUMBER(MATCH(LEFT(BT274,255),{"0000a","000a","00a","0000aa","000aa","00aa","0aa","0000aaa","000aaa","00a00","0a00","0000-0000","00:00","a00","a0","00.00.0000","00/00/0000","00-00-0000","0000-00-00","0000/00/00","0000.00.00","00.00.00","00/00/00","00-00-00","0.00.0000","0/00/0000","0-00-0000"},0)))),NOT(OR(AND(BW274&lt;&gt;"",SUBSTITUTE(BW274,"0","")=""),AND(LEN(BW274)&gt;=4,BW274=REPT(LEFT(BW274),LEN(BW274))),ISNUMBER(MATCH(BW274,{"123","1234","12345","123456","1234567","12345678","0123","01234","012345","98765","987654","54321"},0)),ISNUMBER(MATCH(BX274,{"x","xx","xxx","xxxx","xxxxx","abc","abcd","nil","na","nan","test","tbc","tba","tbd","dummy","sample","example","eg","zz","zzz","none","null","xyz","qwe","asd","id","ref"},0)),AND(LEN(BW274)=8,BX274="",OR(LEFT(BW274,3)="202",ISNUMBER(MATCH(RIGHT(BW274,4),{"2025","2026","2027"},0)))))),OR(AND((LEN(BT274)-LEN(SUBSTITUTE(BT274,"a","")))&gt;=1,(LEN(BN274)-LEN(SUBSTITUTE(BN274,"0","")))&gt;=2,SUMPRODUCT(--ISNUMBER(SEARCH({"a0","a-0","a_0","a/0","a.0","a#0","0a","0-a","0_a","0/a"},BN274)))&gt;0),AND((LEN(BN274)-LEN(SUBSTITUTE(BN274,"a","")))=0,(LEN(BN274)-LEN(SUBSTITUTE(BN274,"0","")))&gt;=5)))),1,0),0)</f>
        <v>0</v>
      </c>
      <c r="CA2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274,"revision",""),"version",""),"jan",""),"feb",""),"mar",""),"apr",""),"may",""),"jun",""),"jul",""),"aug",""),"sep",""),"oct",""),"nov",""),"dec",""),"utc",""),"gmt",""),"myt",""),"bst",""),"rev",""),"ver",""),"b","a"),"c","a"),"d","a"),"e","a"),"f","a"),"g","a"),"h","a"),"i","a"),"j","a"),"k","a"),"l","a"),"m","a"),"n","a"),"o","a"),"p","a"),"q","a"),"r","a"),"s","a"),"t","a"),"u","a"),"v","a"),"w","a"),"x","a"),"y","a"),"z","a")</f>
        <v/>
      </c>
      <c r="CB2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274&amp;""),"a",""),"b",""),"c",""),"d",""),"e",""),"f",""),"g",""),"h",""),"i",""),"j",""),"k",""),"l",""),"m",""),"n",""),"o",""),"p",""),"q",""),"r",""),"s",""),"t",""),"u",""),"v",""),"w",""),"x",""),"y",""),"z",""),"-",""),"_",""),"/",""),".",""),"#",""),"\\",""),":","")," ",""),"(",""),")","")</f>
        <v/>
      </c>
      <c r="CC274" s="0" t="str">
        <f aca="false">" "&amp;TRIM(SUBSTITUTE(SUBSTITUTE(SUBSTITUTE(SUBSTITUTE(SUBSTITUTE(SUBSTITUTE(SUBSTITUTE(SUBSTITUTE(SUBSTITUTE(SUBSTITUTE(SUBSTITUTE(SUBSTITUTE(SUBSTITUTE(SUBSTITUTE(SUBSTITUTE(SUBSTITUTE(SUBSTITUTE(SUBSTITUTE(SUBSTITUTE(SUBSTITUTE(SUBSTITUTE(SUBSTITUTE(SUBSTITUTE(SUBSTITUTE(LOWER(T274&amp;""),CHAR(10)," "),CHAR(13)," "),CHAR(9)," "),CHAR(160)," "),"."," "),","," "),"-"," "),"/"," "),"("," "),")"," "),":"," "),";"," "),"_"," "),"–"," "),"?"," "),"!"," "),"*"," "),"["," "),"]"," "),"'"," "),"#"," "),"+"," "),"&amp;"," "),"\"," "))&amp;" "</f>
        <v>  </v>
      </c>
      <c r="CD274" s="0" t="str">
        <f aca="false">" "&amp;TRIM(SUBSTITUTE(SUBSTITUTE(SUBSTITUTE(SUBSTITUTE(SUBSTITUTE(SUBSTITUTE(SUBSTITUTE(SUBSTITUTE(SUBSTITUTE(SUBSTITUTE(SUBSTITUTE(SUBSTITUTE(SUBSTITUTE(SUBSTITUTE(SUBSTITUTE(SUBSTITUTE(SUBSTITUTE(SUBSTITUTE(SUBSTITUTE(SUBSTITUTE(SUBSTITUTE(SUBSTITUTE(SUBSTITUTE(SUBSTITUTE(LOWER(AE274&amp;""),CHAR(10)," "),CHAR(13)," "),CHAR(9)," "),CHAR(160)," "),"."," "),","," "),"-"," "),"/"," "),"("," "),")"," "),":"," "),";"," "),"_"," "),"–"," "),"?"," "),"!"," "),"*"," "),"["," "),"]"," "),"'"," "),"#"," "),"+"," "),"&amp;"," "),"\"," "))&amp;" "</f>
        <v>  </v>
      </c>
      <c r="CE274" s="68" t="n">
        <f aca="false">IFERROR(IF(AND(LEN(AU274)&gt;0,LEN(AU274)=LEN(AX274),OR(TRIM(MID(SUBSTITUTE(TRIM(CC274)," ",REPT(" ",60)),1,60))="",ISNUMBER(SEARCH(" "&amp;TRIM(MID(SUBSTITUTE(TRIM(CC274)," ",REPT(" ",60)),1,60))&amp;" ",CD274))),OR(TRIM(MID(SUBSTITUTE(TRIM(CC274)," ",REPT(" ",60)),61,60))="",ISNUMBER(SEARCH(" "&amp;TRIM(MID(SUBSTITUTE(TRIM(CC274)," ",REPT(" ",60)),61,60))&amp;" ",CD274))),OR(TRIM(MID(SUBSTITUTE(TRIM(CC274)," ",REPT(" ",60)),121,60))="",ISNUMBER(SEARCH(" "&amp;TRIM(MID(SUBSTITUTE(TRIM(CC274)," ",REPT(" ",60)),121,60))&amp;" ",CD274)))),1,0),0)</f>
        <v>0</v>
      </c>
      <c r="CG274" s="68" t="n">
        <f aca="false">IFERROR(LEN(SUBSTITUTE(BF274," ",""))-SUMPRODUCT((LEN(BF274)-LEN(SUBSTITUTE(BF274," "&amp;L_NAFiller&amp;" "," ")))/(LEN(L_NAFiller)+1)*LEN(L_NAFiller)),0)</f>
        <v>0</v>
      </c>
    </row>
    <row r="275" customFormat="false" ht="39.75" hidden="false" customHeight="true" outlineLevel="0" collapsed="false">
      <c r="A275" s="57" t="s">
        <v>848</v>
      </c>
      <c r="B275" s="57" t="s">
        <v>238</v>
      </c>
      <c r="C275" s="57" t="str">
        <f aca="false">Flights!$F$12</f>
        <v>MH0752</v>
      </c>
      <c r="D275" s="58" t="n">
        <f aca="false">Flights!$D$12</f>
        <v>46305</v>
      </c>
      <c r="E275" s="57" t="str">
        <f aca="false">Flights!$G$12&amp;"-"&amp;Flights!$H$12</f>
        <v>KUL-HAN</v>
      </c>
      <c r="F275" s="57" t="str">
        <f aca="false">Flights!$K$12</f>
        <v>EY</v>
      </c>
      <c r="G275" s="57" t="s">
        <v>420</v>
      </c>
      <c r="H275" s="57" t="s">
        <v>378</v>
      </c>
      <c r="I275" s="57" t="s">
        <v>428</v>
      </c>
      <c r="J275" s="57" t="s">
        <v>431</v>
      </c>
      <c r="K275" s="67"/>
      <c r="L275" s="67" t="s">
        <v>422</v>
      </c>
      <c r="M275" s="67"/>
      <c r="N275" s="67" t="s">
        <v>383</v>
      </c>
      <c r="O275" s="67" t="s">
        <v>423</v>
      </c>
      <c r="P275" s="57" t="s">
        <v>187</v>
      </c>
      <c r="Q275" s="59" t="n">
        <f aca="false">ROUND((Flights!$AE$12)*1440,0)/1440</f>
        <v>46304.5659722222</v>
      </c>
      <c r="R275" s="59" t="n">
        <f aca="false">Q275+(IF(AND(INDEX(TZ_DSTS,MATCH(P275,TZ_STN,0))&lt;&gt;"",Q275&gt;=INDEX(TZ_DSTS,MATCH(P275,TZ_STN,0)),Q275&lt;INDEX(TZ_DSTE,MATCH(P275,TZ_STN,0))),INDEX(TZ_DST,MATCH(P275,TZ_STN,0)),INDEX(TZ_STD,MATCH(P275,TZ_STN,0))))/24</f>
        <v>46304.8993055556</v>
      </c>
      <c r="S275" s="60"/>
      <c r="T275" s="60"/>
      <c r="U275" s="60"/>
      <c r="V275" s="60"/>
      <c r="W275" s="61"/>
      <c r="X275" s="60"/>
      <c r="Y275" s="60"/>
      <c r="Z275" s="60"/>
      <c r="AA275" s="60"/>
      <c r="AB275" s="60"/>
      <c r="AC275" s="60"/>
      <c r="AD275" s="66"/>
      <c r="AE275" s="60"/>
      <c r="AF275" s="61" t="str">
        <f aca="false">IF(AND(ISNUMBER(X275),ISNUMBER(Y275)),Y275-X275,"")</f>
        <v/>
      </c>
      <c r="AG275" s="62" t="str">
        <f aca="false">IF(ISNUMBER(AD275),AD275-(IF(AND(INDEX(TZ_DSTS,MATCH(P275,TZ_STN,0))&lt;&gt;"",(AD275-INDEX(TZ_STD,MATCH(P275,TZ_STN,0))/24)&gt;=INDEX(TZ_DSTS,MATCH(P275,TZ_STN,0)),(AD275-INDEX(TZ_STD,MATCH(P275,TZ_STN,0))/24)&lt;INDEX(TZ_DSTE,MATCH(P275,TZ_STN,0))),INDEX(TZ_DST,MATCH(P275,TZ_STN,0)),INDEX(TZ_STD,MATCH(P275,TZ_STN,0))))/24,"")</f>
        <v/>
      </c>
      <c r="AH275" s="65" t="str">
        <f aca="false">IFERROR(IF(N275="N/A – rule",IF(OR(TRIM(U275)="",TRIM(U275)="N/A",TRIM(U275)="Not started"),"N/A – RULE","INVALID – this check does not apply to this aircraft: clear the status (or correct the fleet on Flights)"),IF(TRIM(U275)="N/A",IF(AT275=0,"INVALID – N/A not permitted for this check",IF(AND(TRIM(AB275)&lt;&gt;"",TRIM(AB275)&lt;&gt;"Closed"),"INVALID – corrective action still open",IF(AND(NOT(OR(LEN(AZ275)&lt;15,ISNUMBER(MATCH(AZ275,L_Placeholder,0)))),BK275=0,CG275&gt;=8,NOT(OR(LEN(AU275)&lt;2,ISNUMBER(MATCH(AU275,L_Placeholder,0)))),BR275&gt;=3,NOT(OR(LEN(AX275)&lt;2,ISNUMBER(MATCH(AX275,L_Placeholder,0)))),BS275&gt;=3,TRIM(AE275)&lt;&gt;TRIM(T275),AX275&lt;&gt;AU275,CE275=0),"N/A – JUSTIFIED","INVALID – N/A needs a real, settled reason (not 'not applicable' / 'as above' / TBC), a named PIC and a different named verifier"))),IF(OR(TRIM(U275)="Pass",TRIM(U275)="Pass after CA"),IF(NOT(ISNUMBER(AD275)),"INVALID – completion time missing",IF(OR(OR(LEN(AU275)&lt;2,ISNUMBER(MATCH(AU275,L_Placeholder,0))),BR275&lt;3),"INVALID – PIC missing or not a named person (a role such as QA / CSM is not a name)",IF(OR(LEN(AV275)&lt;2,ISNUMBER(MATCH(AV275,L_Placeholder,0))),"INVALID – result / assessment missing",IF(OR(OR(LEN(AW275)&lt;3,ISNUMBER(MATCH(AW275,L_Placeholder,0))),SUMPRODUCT(--ISNUMBER(SEARCH(" "&amp;L_EvidencePhrase&amp;" ",BD275)))&gt;0,BI275=1),"INVALID – evidence missing, placeholder or not yet on file",IF(ISNA(MATCH(TRIM(S275),L_EvidenceType,0)),"INVALID – choose the evidence type from the list (column S)",IF(BL275=0,"INVALID – evidence ID must be the record's own ID only (e.g. SF-2210, IMG_2231, 1045521); a link / file name needs type 'Link / file path'",IF(OR(OR(LEN(AX275)&lt;2,ISNUMBER(MATCH(AX275,L_Placeholder,0))),BS275&lt;3),"INVALID – verifier missing or not a named person (a role such as QA / CSM is not a name)",IF(OR(AX275=AU275,CE275=1,AND(LEN(AU275)&gt;=4,ISNUMBER(SEARCH(AU275,AX275))),AND(LEN(AX275)&gt;=4,ISNUMBER(SEARCH(AX275,AU275)))),"INVALID – verifier must be a different, named person (not the PIC or a role)",IF(BH275=1,"INVALID – result not yet available (awaiting / TBC)",IF(BG275=1,"INVALID – result describes a problem: record Fail, then Pass after CA (or reword if it is not a problem)",IF(BV275=1,"INVALID – wording says not on board: an on-board confirmation needs the item loaded",IF(AND(AQ275=1,OR(OR(LEN(AY275)&lt;3,ISNUMBER(MATCH(AY275,L_Placeholder,0))),BJ275=1,BQ275=0)),"INVALID – batch ID missing, placeholder or not an ID (e.g. PASB-261008-BC-017)",IF(AND(AR275=1,OR(NOT(ISNUMBER(X275)),NOT(ISNUMBER(Y275)))),"INVALID – expected/actual qty missing",IF(AND(AR275=1,OR(X275&lt;=0,Y275&lt;0)),"INVALID – expected qty must be above 0 and actual not negative",IF(BB275&lt;&gt;"",BB275,IF(AND(AS275=1,Documents!$J$12&lt;&gt;"ON FILE"),"INVALID – GLD not on file (Documents sheet)",IF(AND(AS275=2,Documents!$O$12&lt;&gt;"ON FILE"),"INVALID – menu checklist not on file (Documents sheet)",IF(AND(AS275=3,NOT(ISNUMBER(Flights!$AX$12))),"INVALID – enter carrying flight KUL departure (Flights AX)",IF(AND(AS275=3,OR(Flights!$AZ$12&gt;Flights!$AA$12,Flights!$AX$12&lt;Flights!$AA$12-3)),"INVALID – carrying flight (Flights AX) cannot arrive before this leg's STD, or is over 3 days early",IF(AG275&gt;AsOfUTC,"INVALID – completion time is in the future",IF(AND(ISNUMBER(BY275),AG275&lt;BY275),IF(H275="Physical uplift","INVALID – before uplift window (cannot confirm loading)","INVALID – before valid window"),IF(AG275&gt;Flights!$AA$12,"INVALID – completed after departure (cannot establish readiness)",IF(AND(H275="Preparation",AG275&gt;=IF(ISNUMBER(Flights!$BA$12),MIN(Flights!$BA$12,Flights!$AA$12),Flights!$AA$12)),"INVALID – completed after loading / departure (cannot establish readiness)",IF(AND(H275="Physical uplift",AG275&gt;Q275),"INVALID – recorded after the loading flight departed",IF(AG275&gt;Q275,"COMPLETE – LATE","COMPLETE"))))))))))))))))))))))))),IF(TRIM(U275)="Fail","FAIL – DISCREPANCY",IF(AND(TRIM(U275)&lt;&gt;"",TRIM(U275)&lt;&gt;"Not started",TRIM(U275)&lt;&gt;"In progress"),"INVALID – unrecognised status (use the list)",IF(AsOfUTC&gt;Q275,"OVERDUE",IF(N275="Clarification required","OPEN – CLARIFICATION","OPEN"))))))),"INVALID – error value in an input cell")</f>
        <v>OPEN</v>
      </c>
      <c r="AI275" s="61" t="n">
        <f aca="false">IF(OR(AH275="N/A – RULE",AH275="N/A – JUSTIFIED"),0,1)</f>
        <v>1</v>
      </c>
      <c r="AJ275" s="61" t="n">
        <f aca="false">IF(LEFT(AH275,8)="COMPLETE",1,0)</f>
        <v>0</v>
      </c>
      <c r="AK275" s="61" t="n">
        <f aca="false">IF(AND(AI275=1,AJ275=0,AsOfUTC&gt;Q275),1,0)</f>
        <v>0</v>
      </c>
      <c r="AL275" s="61" t="n">
        <f aca="false">IFERROR(IF(AND(AI275=1,OR(TRIM(U275)="Fail",AND(TRIM(AB275)&lt;&gt;"",TRIM(AB275)&lt;&gt;"Closed"),AND(ISNUMBER(AF275),AF275&lt;&gt;0,TRIM(U275)&lt;&gt;"Pass after CA"))),1,0),1)</f>
        <v>0</v>
      </c>
      <c r="AM275" s="61" t="n">
        <f aca="false">IF(LEFT(AH275,7)="INVALID",1,0)</f>
        <v>0</v>
      </c>
      <c r="AN275" s="61" t="n">
        <f aca="false">IF(AND(N275="Clarification required",AI275=1,AJ275=0),1,0)</f>
        <v>0</v>
      </c>
      <c r="AO275" s="61" t="str">
        <f aca="false">IF(AK275=1,SUM(AK$5:AK275),"")</f>
        <v/>
      </c>
      <c r="AP275" s="61" t="str">
        <f aca="false">IF(AL275=1,SUM(AL$5:AL275),"")</f>
        <v/>
      </c>
      <c r="AQ275" s="61" t="n">
        <v>0</v>
      </c>
      <c r="AR275" s="61" t="n">
        <v>0</v>
      </c>
      <c r="AS275" s="61" t="n">
        <v>0</v>
      </c>
      <c r="AT275" s="61" t="n">
        <v>0</v>
      </c>
      <c r="AU275" s="61" t="str">
        <f aca="false">SUBSTITUTE(SUBSTITUTE(SUBSTITUTE(SUBSTITUTE(SUBSTITUTE(SUBSTITUTE(SUBSTITUTE(SUBSTITUTE(SUBSTITUTE(SUBSTITUTE(SUBSTITUTE(SUBSTITUTE(SUBSTITUTE(SUBSTITUTE(SUBSTITUTE(SUBSTITUTE(LOWER(T275&amp;""),CHAR(10),""),CHAR(13),""),CHAR(9),""),CHAR(160),"")," ",""),".",""),"-",""),"/",""),"?",""),"_",""),",",""),"[",""),"]",""),"(",""),")",""),"*","")</f>
        <v/>
      </c>
      <c r="AV275" s="61" t="str">
        <f aca="false">SUBSTITUTE(SUBSTITUTE(SUBSTITUTE(SUBSTITUTE(SUBSTITUTE(SUBSTITUTE(SUBSTITUTE(SUBSTITUTE(SUBSTITUTE(SUBSTITUTE(SUBSTITUTE(SUBSTITUTE(SUBSTITUTE(SUBSTITUTE(SUBSTITUTE(SUBSTITUTE(LOWER(V275&amp;""),CHAR(10),""),CHAR(13),""),CHAR(9),""),CHAR(160),"")," ",""),".",""),"-",""),"/",""),"?",""),"_",""),",",""),"[",""),"]",""),"(",""),")",""),"*","")</f>
        <v/>
      </c>
      <c r="AW275" s="61" t="str">
        <f aca="false">SUBSTITUTE(SUBSTITUTE(SUBSTITUTE(SUBSTITUTE(SUBSTITUTE(SUBSTITUTE(SUBSTITUTE(SUBSTITUTE(SUBSTITUTE(SUBSTITUTE(SUBSTITUTE(SUBSTITUTE(SUBSTITUTE(SUBSTITUTE(SUBSTITUTE(SUBSTITUTE(LOWER(Z275&amp;""),CHAR(10),""),CHAR(13),""),CHAR(9),""),CHAR(160),"")," ",""),".",""),"-",""),"/",""),"?",""),"_",""),",",""),"[",""),"]",""),"(",""),")",""),"*","")</f>
        <v/>
      </c>
      <c r="AX275" s="61" t="str">
        <f aca="false">SUBSTITUTE(SUBSTITUTE(SUBSTITUTE(SUBSTITUTE(SUBSTITUTE(SUBSTITUTE(SUBSTITUTE(SUBSTITUTE(SUBSTITUTE(SUBSTITUTE(SUBSTITUTE(SUBSTITUTE(SUBSTITUTE(SUBSTITUTE(SUBSTITUTE(SUBSTITUTE(LOWER(AE275&amp;""),CHAR(10),""),CHAR(13),""),CHAR(9),""),CHAR(160),"")," ",""),".",""),"-",""),"/",""),"?",""),"_",""),",",""),"[",""),"]",""),"(",""),")",""),"*","")</f>
        <v/>
      </c>
      <c r="AY275" s="61" t="str">
        <f aca="false">SUBSTITUTE(SUBSTITUTE(SUBSTITUTE(SUBSTITUTE(SUBSTITUTE(SUBSTITUTE(SUBSTITUTE(SUBSTITUTE(SUBSTITUTE(SUBSTITUTE(SUBSTITUTE(SUBSTITUTE(SUBSTITUTE(SUBSTITUTE(SUBSTITUTE(SUBSTITUTE(LOWER(W275&amp;""),CHAR(10),""),CHAR(13),""),CHAR(9),""),CHAR(160),"")," ",""),".",""),"-",""),"/",""),"?",""),"_",""),",",""),"[",""),"]",""),"(",""),")",""),"*","")</f>
        <v/>
      </c>
      <c r="AZ275" s="61" t="str">
        <f aca="false">SUBSTITUTE(SUBSTITUTE(SUBSTITUTE(SUBSTITUTE(SUBSTITUTE(SUBSTITUTE(SUBSTITUTE(SUBSTITUTE(SUBSTITUTE(SUBSTITUTE(SUBSTITUTE(SUBSTITUTE(SUBSTITUTE(SUBSTITUTE(SUBSTITUTE(SUBSTITUTE(LOWER(AC275&amp;""),CHAR(10),""),CHAR(13),""),CHAR(9),""),CHAR(160),"")," ",""),".",""),"-",""),"/",""),"?",""),"_",""),",",""),"[",""),"]",""),"(",""),")",""),"*","")</f>
        <v/>
      </c>
      <c r="BA275" s="61" t="str">
        <f aca="false">SUBSTITUTE(SUBSTITUTE(SUBSTITUTE(SUBSTITUTE(SUBSTITUTE(SUBSTITUTE(SUBSTITUTE(SUBSTITUTE(SUBSTITUTE(SUBSTITUTE(SUBSTITUTE(SUBSTITUTE(SUBSTITUTE(SUBSTITUTE(SUBSTITUTE(SUBSTITUTE(LOWER(AA275&amp;""),CHAR(10),""),CHAR(13),""),CHAR(9),""),CHAR(160),"")," ",""),".",""),"-",""),"/",""),"?",""),"_",""),",",""),"[",""),"]",""),"(",""),")",""),"*","")</f>
        <v/>
      </c>
      <c r="BB275" s="61" t="str">
        <f aca="false">IF(AND(TRIM(U275)="Pass",ISNUMBER(AF275)),IF(AF275&lt;&gt;0,"INVALID – qty variance: use Fail or Pass after CA",""),"")&amp;IF(AND(TRIM(U275)="Pass after CA",ISNUMBER(AF275)),IF(AF275&lt;&gt;0,"INVALID – after the corrective action the actual qty must equal expected (update Actual)",""),"")&amp;IF(AND(TRIM(U275)="Pass",TRIM(AB275)&lt;&gt;"",TRIM(AB275)&lt;&gt;"Closed"),"INVALID – corrective action not closed: use Fail, then Pass after CA","")&amp;IF(AND(LEN(BA275)&gt;=2,ISNA(MATCH(LEFT(BA275,255),L_Placeholder,0)),TRIM(AB275)=""),"INVALID – CA status missing for the recorded corrective action","")&amp;IF(AND(TRIM(U275)="Pass after CA",OR(OR(LEN(BA275)&lt;5,ISNUMBER(MATCH(BA275,L_Placeholder,0))),TRIM(AB275)&lt;&gt;"Closed")),"INVALID – corrective action not recorded/closed","")</f>
        <v/>
      </c>
      <c r="BC275" s="61" t="str">
        <f aca="false">" "&amp;TRIM(SUBSTITUTE(SUBSTITUTE(SUBSTITUTE(SUBSTITUTE(SUBSTITUTE(SUBSTITUTE(SUBSTITUTE(SUBSTITUTE(SUBSTITUTE(SUBSTITUTE(SUBSTITUTE(SUBSTITUTE(SUBSTITUTE(SUBSTITUTE(SUBSTITUTE(SUBSTITUTE(SUBSTITUTE(SUBSTITUTE(SUBSTITUTE(SUBSTITUTE(SUBSTITUTE(SUBSTITUTE(SUBSTITUTE(SUBSTITUTE(LOWER(V275&amp;""),CHAR(10)," "),CHAR(13)," "),CHAR(9)," "),CHAR(160)," "),"."," "),","," "),"-"," "),"/"," "),"("," "),")"," "),":"," "),";"," "),"_"," "),"–"," "),"?"," "),"!"," "),"*"," "),"["," "),"]"," "),"'"," "),"#"," "),"+"," "),"&amp;"," "),"\"," "))&amp;" "</f>
        <v>  </v>
      </c>
      <c r="BD275" s="61" t="str">
        <f aca="false">" "&amp;TRIM(SUBSTITUTE(SUBSTITUTE(SUBSTITUTE(SUBSTITUTE(SUBSTITUTE(SUBSTITUTE(SUBSTITUTE(SUBSTITUTE(SUBSTITUTE(SUBSTITUTE(SUBSTITUTE(SUBSTITUTE(SUBSTITUTE(SUBSTITUTE(SUBSTITUTE(SUBSTITUTE(SUBSTITUTE(SUBSTITUTE(SUBSTITUTE(SUBSTITUTE(SUBSTITUTE(SUBSTITUTE(SUBSTITUTE(SUBSTITUTE(LOWER(Z275&amp;""),CHAR(10)," "),CHAR(13)," "),CHAR(9)," "),CHAR(160)," "),"."," "),","," "),"-"," "),"/"," "),"("," "),")"," "),":"," "),";"," "),"_"," "),"–"," "),"?"," "),"!"," "),"*"," "),"["," "),"]"," "),"'"," "),"#"," "),"+"," "),"&amp;"," "),"\"," "))&amp;" "</f>
        <v>  </v>
      </c>
      <c r="BE275" s="61" t="str">
        <f aca="false">" "&amp;TRIM(SUBSTITUTE(SUBSTITUTE(SUBSTITUTE(SUBSTITUTE(SUBSTITUTE(SUBSTITUTE(SUBSTITUTE(SUBSTITUTE(SUBSTITUTE(SUBSTITUTE(SUBSTITUTE(SUBSTITUTE(SUBSTITUTE(SUBSTITUTE(SUBSTITUTE(SUBSTITUTE(SUBSTITUTE(SUBSTITUTE(SUBSTITUTE(SUBSTITUTE(SUBSTITUTE(SUBSTITUTE(SUBSTITUTE(SUBSTITUTE(LOWER(W275&amp;""),CHAR(10)," "),CHAR(13)," "),CHAR(9)," "),CHAR(160)," "),"."," "),","," "),"-"," "),"/"," "),"("," "),")"," "),":"," "),";"," "),"_"," "),"–"," "),"?"," "),"!"," "),"*"," "),"["," "),"]"," "),"'"," "),"#"," "),"+"," "),"&amp;"," "),"\"," "))&amp;" "</f>
        <v>  </v>
      </c>
      <c r="BF275" s="61" t="str">
        <f aca="false">" "&amp;TRIM(SUBSTITUTE(SUBSTITUTE(SUBSTITUTE(SUBSTITUTE(SUBSTITUTE(SUBSTITUTE(SUBSTITUTE(SUBSTITUTE(SUBSTITUTE(SUBSTITUTE(SUBSTITUTE(SUBSTITUTE(SUBSTITUTE(SUBSTITUTE(SUBSTITUTE(SUBSTITUTE(SUBSTITUTE(SUBSTITUTE(SUBSTITUTE(SUBSTITUTE(SUBSTITUTE(SUBSTITUTE(SUBSTITUTE(SUBSTITUTE(LOWER(AC275&amp;""),CHAR(10)," "),CHAR(13)," "),CHAR(9)," "),CHAR(160)," "),"."," "),","," "),"-"," "),"/"," "),"("," "),")"," "),":"," "),";"," "),"_"," "),"–"," "),"?"," "),"!"," "),"*"," "),"["," "),"]"," "),"'"," "),"#"," "),"+"," "),"&amp;"," "),"\"," "))&amp;" "</f>
        <v>  </v>
      </c>
      <c r="BG275" s="61" t="n">
        <f aca="false">IFERROR(IF(AND(TRIM(U275)="Pass",SUMPRODUCT((LEN(BC275)-LEN(SUBSTITUTE(BC275," "&amp;L_ResultBad&amp;" "," ")))/(LEN(L_ResultBad)+1))&gt;SUMPRODUCT((LEN(BC275)-LEN(SUBSTITUTE(BC275," "&amp;L_NegPhrase&amp;" "," ")))/(LEN(L_NegPhrase)+1))),1,0),0)</f>
        <v>0</v>
      </c>
      <c r="BH275" s="61" t="n">
        <f aca="false">IFERROR(IF(SUMPRODUCT((LEN(BC275)-LEN(SUBSTITUTE(BC275," "&amp;L_Pending&amp;" "," ")))/(LEN(L_Pending)+1))&gt;SUMPRODUCT((LEN(BC275)-LEN(SUBSTITUTE(BC275," "&amp;L_PendNeg&amp;" "," ")))/(LEN(L_PendNeg)+1))+SUMPRODUCT((LEN(BC275)-LEN(SUBSTITUTE(BC275," "&amp;L_PendPrep&amp;" "," ")))/(LEN(L_PendPrep)+1)),1,0),1)</f>
        <v>0</v>
      </c>
      <c r="BI275" s="61" t="n">
        <f aca="false">IFERROR(IF(SUMPRODUCT((LEN(BD275)-LEN(SUBSTITUTE(BD275," "&amp;L_PendStrict&amp;" "," ")))/(LEN(L_PendStrict)+1))&gt;SUMPRODUCT((LEN(BD275)-LEN(SUBSTITUTE(BD275," "&amp;L_PendNeg&amp;" "," ")))/(LEN(L_PendNeg)+1)),1,0),1)</f>
        <v>0</v>
      </c>
      <c r="BJ275" s="61" t="n">
        <f aca="false">IFERROR(IF(SUMPRODUCT((LEN(BE275)-LEN(SUBSTITUTE(BE275," "&amp;L_Pending&amp;" "," ")))/(LEN(L_Pending)+1))&gt;SUMPRODUCT((LEN(BE275)-LEN(SUBSTITUTE(BE275," "&amp;L_PendNeg&amp;" "," ")))/(LEN(L_PendNeg)+1))+SUMPRODUCT((LEN(BE275)-LEN(SUBSTITUTE(BE275," "&amp;L_PendPrep&amp;" "," ")))/(LEN(L_PendPrep)+1)),1,0),1)</f>
        <v>0</v>
      </c>
      <c r="BK275" s="61" t="n">
        <f aca="false">IFERROR(IF(SUMPRODUCT((LEN(BF275)-LEN(SUBSTITUTE(BF275," "&amp;L_PendStrict&amp;" "," ")))/(LEN(L_PendStrict)+1))&gt;SUMPRODUCT((LEN(BF275)-LEN(SUBSTITUTE(BF275," "&amp;L_PendNeg&amp;" "," ")))/(LEN(L_PendNeg)+1)),1,0),1)</f>
        <v>0</v>
      </c>
      <c r="BL275" s="61" t="n">
        <f aca="false">IF(ISNA(MATCH(TRIM(S275),L_EvidenceType,0)),0,BZ275)</f>
        <v>0</v>
      </c>
      <c r="BM275" s="61" t="str">
        <f aca="false">SUBSTITUTE(SUBSTITUTE(SUBSTITUTE(SUBSTITUTE(SUBSTITUTE(SUBSTITUTE(SUBSTITUTE(SUBSTITUTE(SUBSTITUTE(LOWER(Z275&amp;""),"1","0"),"2","0"),"3","0"),"4","0"),"5","0"),"6","0"),"7","0"),"8","0"),"9","0")</f>
        <v/>
      </c>
      <c r="BN275" s="61" t="str">
        <f aca="false">SUBSTITUTE(SUBSTITUTE(SUBSTITUTE(SUBSTITUTE(SUBSTITUTE(SUBSTITUTE(SUBSTITUTE(SUBSTITUTE(SUBSTITUTE(SUBSTITUTE(SUBSTITUTE(SUBSTITUTE(SUBSTITUTE(SUBSTITUTE(SUBSTITUTE(SUBSTITUTE(SUBSTITUTE(SUBSTITUTE(SUBSTITUTE(SUBSTITUTE(SUBSTITUTE(SUBSTITUTE(SUBSTITUTE(SUBSTITUTE(SUBSTITUTE(BM275,"b","a"),"c","a"),"d","a"),"e","a"),"f","a"),"g","a"),"h","a"),"i","a"),"j","a"),"k","a"),"l","a"),"m","a"),"n","a"),"o","a"),"p","a"),"q","a"),"r","a"),"s","a"),"t","a"),"u","a"),"v","a"),"w","a"),"x","a"),"y","a"),"z","a")</f>
        <v/>
      </c>
      <c r="BO275" s="61" t="str">
        <f aca="false">SUBSTITUTE(SUBSTITUTE(SUBSTITUTE(SUBSTITUTE(SUBSTITUTE(SUBSTITUTE(SUBSTITUTE(SUBSTITUTE(SUBSTITUTE(LOWER(W275&amp;""),"1","0"),"2","0"),"3","0"),"4","0"),"5","0"),"6","0"),"7","0"),"8","0"),"9","0")</f>
        <v/>
      </c>
      <c r="BP275" s="61" t="str">
        <f aca="false">SUBSTITUTE(SUBSTITUTE(SUBSTITUTE(SUBSTITUTE(SUBSTITUTE(SUBSTITUTE(SUBSTITUTE(SUBSTITUTE(SUBSTITUTE(SUBSTITUTE(SUBSTITUTE(SUBSTITUTE(SUBSTITUTE(SUBSTITUTE(SUBSTITUTE(SUBSTITUTE(SUBSTITUTE(SUBSTITUTE(SUBSTITUTE(SUBSTITUTE(SUBSTITUTE(SUBSTITUTE(SUBSTITUTE(SUBSTITUTE(SUBSTITUTE(BO275,"b","a"),"c","a"),"d","a"),"e","a"),"f","a"),"g","a"),"h","a"),"i","a"),"j","a"),"k","a"),"l","a"),"m","a"),"n","a"),"o","a"),"p","a"),"q","a"),"r","a"),"s","a"),"t","a"),"u","a"),"v","a"),"w","a"),"x","a"),"y","a"),"z","a")</f>
        <v/>
      </c>
      <c r="BQ275" s="61" t="n">
        <f aca="false">IFERROR(IF(AND(ISERROR(SEARCH(" mh"," "&amp;LOWER(W275))),ISNA(MATCH(LEFT(TRIM(BP275),255),{"0000a","000a","00a","0000aa","000aa","00aa","0aa","0000aaa","000aaa","00a00","0a00","0000-0000","00:00","a00","a0","00.00.0000","00/00/0000","00-00-0000","0000-00-00","0000/00/00","0000.00.00","00.00.00","00/00/00","00-00-00","0.00.0000","0/00/0000","0-00-0000"},0)),ISNA(MATCH(LEFT(TRIM(CA275),255),{"0000a","000a","00a","0000aa","000aa","00aa","0aa","0000aaa","000aaa","00a00","0a00","0000-0000","00:00","a00","a0","00.00.0000","00/00/0000","00-00-0000","0000-00-00","0000/00/00","0000.00.00","00.00.00","00/00/00","00-00-00","0.00.0000","0/00/0000","0-00-0000"},0)),LEN(CB275)&gt;=3,NOT(OR(SUBSTITUTE(CB275,"0","")="",AND(LEN(CB275)&gt;=4,CB275=REPT(LEFT(CB275),LEN(CB275))),ISNUMBER(MATCH(CB275,{"123","1234","12345","123456","1234567","12345678","0123","01234","012345","98765","987654","54321"},0)),AND(LEN(CB275)=8,LEFT(CB275,3)="202"))),OR(AND((LEN(CA275)-LEN(SUBSTITUTE(CA275,"a","")))&gt;=1,SUMPRODUCT(--ISNUMBER(SEARCH({"a0","a-0","a_0","a/0","a.0","a#0","0a","0-a","0_a","0/a"},BP275)))&gt;0),ISNUMBER(SEARCH("000000",BP275)))),1,0),0)</f>
        <v>0</v>
      </c>
      <c r="BR275" s="61" t="n">
        <f aca="false">IFERROR(LEN(SUBSTITUTE(CC275," ",""))-SUMPRODUCT((LEN(CC275)-LEN(SUBSTITUTE(CC275," "&amp;L_Role&amp;" "," ")))/(LEN(L_Role)+1)*LEN(L_Role)),0)</f>
        <v>0</v>
      </c>
      <c r="BS275" s="61" t="n">
        <f aca="false">IFERROR(LEN(SUBSTITUTE(CD275," ",""))-SUMPRODUCT((LEN(CD275)-LEN(SUBSTITUTE(CD275," "&amp;L_Role&amp;" "," ")))/(LEN(L_Role)+1)*LEN(L_Role)),0)</f>
        <v>0</v>
      </c>
      <c r="BT2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275,"revision",""),"version",""),"jan",""),"feb",""),"mar",""),"apr",""),"may",""),"jun",""),"jul",""),"aug",""),"sep",""),"oct",""),"nov",""),"dec",""),"utc",""),"gmt",""),"myt",""),"bst",""),"rev",""),"ver",""),"b","a"),"c","a"),"d","a"),"e","a"),"f","a"),"g","a"),"h","a"),"i","a"),"j","a"),"k","a"),"l","a"),"m","a"),"n","a"),"o","a"),"p","a"),"q","a"),"r","a"),"s","a"),"t","a"),"u","a"),"v","a"),"w","a"),"x","a"),"y","a"),"z","a")</f>
        <v/>
      </c>
      <c r="BU275" s="61" t="str">
        <f aca="false">SUBSTITUTE(SUBSTITUTE(SUBSTITUTE(SUBSTITUTE(SUBSTITUTE(SUBSTITUTE(SUBSTITUTE(SUBSTITUTE(SUBSTITUTE(SUBSTITUTE(LEFT(BM275,FIND("0",BM275&amp;"0")-1),"-",""),"_",""),"/",""),".",""),"#",""),"\\",""),":","")," ",""),"(",""),")","")</f>
        <v/>
      </c>
      <c r="BV275" s="61" t="n">
        <f aca="false">0</f>
        <v>0</v>
      </c>
      <c r="BW2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275&amp;""),"a",""),"b",""),"c",""),"d",""),"e",""),"f",""),"g",""),"h",""),"i",""),"j",""),"k",""),"l",""),"m",""),"n",""),"o",""),"p",""),"q",""),"r",""),"s",""),"t",""),"u",""),"v",""),"w",""),"x",""),"y",""),"z",""),"-",""),"_",""),"/",""),".",""),"#",""),"\\",""),":","")," ",""),"(",""),")","")</f>
        <v/>
      </c>
      <c r="BX275" s="61" t="str">
        <f aca="false">SUBSTITUTE(SUBSTITUTE(SUBSTITUTE(SUBSTITUTE(SUBSTITUTE(SUBSTITUTE(SUBSTITUTE(SUBSTITUTE(SUBSTITUTE(SUBSTITUTE(SUBSTITUTE(BM275,"0",""),"-",""),"_",""),"/",""),".",""),"#",""),"\\",""),":","")," ",""),"(",""),")","")</f>
        <v/>
      </c>
      <c r="BY275" s="62" t="n">
        <f aca="false">Q275-T12EarlyH/24</f>
        <v>46304.0659722222</v>
      </c>
      <c r="BZ275" s="61" t="n">
        <f aca="false">IFERROR(IF(IF(TRIM(S275)="Link / file path",AND(LEN(TRIM(Z275))&gt;=5,SUMPRODUCT(--ISNUMBER(SEARCH({"http","www.","\\",":\",".pdf",".jpg",".jpeg",".png",".heic",".xls",".doc",".msg",".eml",".ppt",".txt",".zip"},Z275)))&gt;0),AND(ISERROR(FIND(" ",TRIM(Z275))),NOT(OR(SUMPRODUCT(--ISNUMBER(FIND({",",";","&amp;","+"},Z275)))&gt;0,SUMPRODUCT(--ISNUMBER(SEARCH({"0/aa","0\\aa"},BN275)))&gt;0)),NOT(SUMPRODUCT(--ISNUMBER(SEARCH({"http","www.","\\",":\",".pdf",".jpg",".jpeg",".png",".heic",".xls",".doc",".msg",".eml",".ppt",".txt",".zip"},Z275)))&gt;0),NOT(LOWER(TRIM(Z275))=LOWER(Flights!$F$12)),ISNA(MATCH(BU275,{"mh","rev","revision","ver","version","v","r","a","b","seat","tray","row","gate","bay","stand","page","pg","item","line","no","cart","galley","flight","flt","table","box","bag","oven","etd","eta","std","sta","atd","ata","qty","pax","x","time","tel","ph","mob","day","wk","week","utc","gmt","myt","lt"},0)),NOT(OR(ISNUMBER(MATCH(LEFT(BN275,255),{"0000a","000a","00a","0000aa","000aa","00aa","0aa","0000aaa","000aaa","00a00","0a00","0000-0000","00:00","a00","a0","00.00.0000","00/00/0000","00-00-0000","0000-00-00","0000/00/00","0000.00.00","00.00.00","00/00/00","00-00-00","0.00.0000","0/00/0000","0-00-0000"},0)),ISNUMBER(MATCH(LEFT(BT275,255),{"0000a","000a","00a","0000aa","000aa","00aa","0aa","0000aaa","000aaa","00a00","0a00","0000-0000","00:00","a00","a0","00.00.0000","00/00/0000","00-00-0000","0000-00-00","0000/00/00","0000.00.00","00.00.00","00/00/00","00-00-00","0.00.0000","0/00/0000","0-00-0000"},0)))),NOT(OR(AND(BW275&lt;&gt;"",SUBSTITUTE(BW275,"0","")=""),AND(LEN(BW275)&gt;=4,BW275=REPT(LEFT(BW275),LEN(BW275))),ISNUMBER(MATCH(BW275,{"123","1234","12345","123456","1234567","12345678","0123","01234","012345","98765","987654","54321"},0)),ISNUMBER(MATCH(BX275,{"x","xx","xxx","xxxx","xxxxx","abc","abcd","nil","na","nan","test","tbc","tba","tbd","dummy","sample","example","eg","zz","zzz","none","null","xyz","qwe","asd","id","ref"},0)),AND(LEN(BW275)=8,BX275="",OR(LEFT(BW275,3)="202",ISNUMBER(MATCH(RIGHT(BW275,4),{"2025","2026","2027"},0)))))),OR(AND((LEN(BT275)-LEN(SUBSTITUTE(BT275,"a","")))&gt;=1,(LEN(BN275)-LEN(SUBSTITUTE(BN275,"0","")))&gt;=2,SUMPRODUCT(--ISNUMBER(SEARCH({"a0","a-0","a_0","a/0","a.0","a#0","0a","0-a","0_a","0/a"},BN275)))&gt;0),AND((LEN(BN275)-LEN(SUBSTITUTE(BN275,"a","")))=0,(LEN(BN275)-LEN(SUBSTITUTE(BN275,"0","")))&gt;=5)))),1,0),0)</f>
        <v>0</v>
      </c>
      <c r="CA2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275,"revision",""),"version",""),"jan",""),"feb",""),"mar",""),"apr",""),"may",""),"jun",""),"jul",""),"aug",""),"sep",""),"oct",""),"nov",""),"dec",""),"utc",""),"gmt",""),"myt",""),"bst",""),"rev",""),"ver",""),"b","a"),"c","a"),"d","a"),"e","a"),"f","a"),"g","a"),"h","a"),"i","a"),"j","a"),"k","a"),"l","a"),"m","a"),"n","a"),"o","a"),"p","a"),"q","a"),"r","a"),"s","a"),"t","a"),"u","a"),"v","a"),"w","a"),"x","a"),"y","a"),"z","a")</f>
        <v/>
      </c>
      <c r="CB2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275&amp;""),"a",""),"b",""),"c",""),"d",""),"e",""),"f",""),"g",""),"h",""),"i",""),"j",""),"k",""),"l",""),"m",""),"n",""),"o",""),"p",""),"q",""),"r",""),"s",""),"t",""),"u",""),"v",""),"w",""),"x",""),"y",""),"z",""),"-",""),"_",""),"/",""),".",""),"#",""),"\\",""),":","")," ",""),"(",""),")","")</f>
        <v/>
      </c>
      <c r="CC275" s="0" t="str">
        <f aca="false">" "&amp;TRIM(SUBSTITUTE(SUBSTITUTE(SUBSTITUTE(SUBSTITUTE(SUBSTITUTE(SUBSTITUTE(SUBSTITUTE(SUBSTITUTE(SUBSTITUTE(SUBSTITUTE(SUBSTITUTE(SUBSTITUTE(SUBSTITUTE(SUBSTITUTE(SUBSTITUTE(SUBSTITUTE(SUBSTITUTE(SUBSTITUTE(SUBSTITUTE(SUBSTITUTE(SUBSTITUTE(SUBSTITUTE(SUBSTITUTE(SUBSTITUTE(LOWER(T275&amp;""),CHAR(10)," "),CHAR(13)," "),CHAR(9)," "),CHAR(160)," "),"."," "),","," "),"-"," "),"/"," "),"("," "),")"," "),":"," "),";"," "),"_"," "),"–"," "),"?"," "),"!"," "),"*"," "),"["," "),"]"," "),"'"," "),"#"," "),"+"," "),"&amp;"," "),"\"," "))&amp;" "</f>
        <v>  </v>
      </c>
      <c r="CD275" s="0" t="str">
        <f aca="false">" "&amp;TRIM(SUBSTITUTE(SUBSTITUTE(SUBSTITUTE(SUBSTITUTE(SUBSTITUTE(SUBSTITUTE(SUBSTITUTE(SUBSTITUTE(SUBSTITUTE(SUBSTITUTE(SUBSTITUTE(SUBSTITUTE(SUBSTITUTE(SUBSTITUTE(SUBSTITUTE(SUBSTITUTE(SUBSTITUTE(SUBSTITUTE(SUBSTITUTE(SUBSTITUTE(SUBSTITUTE(SUBSTITUTE(SUBSTITUTE(SUBSTITUTE(LOWER(AE275&amp;""),CHAR(10)," "),CHAR(13)," "),CHAR(9)," "),CHAR(160)," "),"."," "),","," "),"-"," "),"/"," "),"("," "),")"," "),":"," "),";"," "),"_"," "),"–"," "),"?"," "),"!"," "),"*"," "),"["," "),"]"," "),"'"," "),"#"," "),"+"," "),"&amp;"," "),"\"," "))&amp;" "</f>
        <v>  </v>
      </c>
      <c r="CE275" s="68" t="n">
        <f aca="false">IFERROR(IF(AND(LEN(AU275)&gt;0,LEN(AU275)=LEN(AX275),OR(TRIM(MID(SUBSTITUTE(TRIM(CC275)," ",REPT(" ",60)),1,60))="",ISNUMBER(SEARCH(" "&amp;TRIM(MID(SUBSTITUTE(TRIM(CC275)," ",REPT(" ",60)),1,60))&amp;" ",CD275))),OR(TRIM(MID(SUBSTITUTE(TRIM(CC275)," ",REPT(" ",60)),61,60))="",ISNUMBER(SEARCH(" "&amp;TRIM(MID(SUBSTITUTE(TRIM(CC275)," ",REPT(" ",60)),61,60))&amp;" ",CD275))),OR(TRIM(MID(SUBSTITUTE(TRIM(CC275)," ",REPT(" ",60)),121,60))="",ISNUMBER(SEARCH(" "&amp;TRIM(MID(SUBSTITUTE(TRIM(CC275)," ",REPT(" ",60)),121,60))&amp;" ",CD275)))),1,0),0)</f>
        <v>0</v>
      </c>
      <c r="CG275" s="68" t="n">
        <f aca="false">IFERROR(LEN(SUBSTITUTE(BF275," ",""))-SUMPRODUCT((LEN(BF275)-LEN(SUBSTITUTE(BF275," "&amp;L_NAFiller&amp;" "," ")))/(LEN(L_NAFiller)+1)*LEN(L_NAFiller)),0)</f>
        <v>0</v>
      </c>
    </row>
    <row r="276" customFormat="false" ht="39.75" hidden="false" customHeight="true" outlineLevel="0" collapsed="false">
      <c r="A276" s="57" t="s">
        <v>849</v>
      </c>
      <c r="B276" s="57" t="s">
        <v>238</v>
      </c>
      <c r="C276" s="57" t="str">
        <f aca="false">Flights!$F$12</f>
        <v>MH0752</v>
      </c>
      <c r="D276" s="58" t="n">
        <f aca="false">Flights!$D$12</f>
        <v>46305</v>
      </c>
      <c r="E276" s="57" t="str">
        <f aca="false">Flights!$G$12&amp;"-"&amp;Flights!$H$12</f>
        <v>KUL-HAN</v>
      </c>
      <c r="F276" s="57" t="str">
        <f aca="false">Flights!$K$12</f>
        <v>EY</v>
      </c>
      <c r="G276" s="57" t="s">
        <v>420</v>
      </c>
      <c r="H276" s="57" t="s">
        <v>378</v>
      </c>
      <c r="I276" s="57" t="s">
        <v>428</v>
      </c>
      <c r="J276" s="57" t="s">
        <v>433</v>
      </c>
      <c r="K276" s="67"/>
      <c r="L276" s="67" t="s">
        <v>422</v>
      </c>
      <c r="M276" s="67"/>
      <c r="N276" s="67" t="s">
        <v>383</v>
      </c>
      <c r="O276" s="67" t="s">
        <v>423</v>
      </c>
      <c r="P276" s="57" t="s">
        <v>187</v>
      </c>
      <c r="Q276" s="59" t="n">
        <f aca="false">ROUND((Flights!$AE$12)*1440,0)/1440</f>
        <v>46304.5659722222</v>
      </c>
      <c r="R276" s="59" t="n">
        <f aca="false">Q276+(IF(AND(INDEX(TZ_DSTS,MATCH(P276,TZ_STN,0))&lt;&gt;"",Q276&gt;=INDEX(TZ_DSTS,MATCH(P276,TZ_STN,0)),Q276&lt;INDEX(TZ_DSTE,MATCH(P276,TZ_STN,0))),INDEX(TZ_DST,MATCH(P276,TZ_STN,0)),INDEX(TZ_STD,MATCH(P276,TZ_STN,0))))/24</f>
        <v>46304.8993055556</v>
      </c>
      <c r="S276" s="60"/>
      <c r="T276" s="60"/>
      <c r="U276" s="60"/>
      <c r="V276" s="60"/>
      <c r="W276" s="61"/>
      <c r="X276" s="60"/>
      <c r="Y276" s="60"/>
      <c r="Z276" s="60"/>
      <c r="AA276" s="60"/>
      <c r="AB276" s="60"/>
      <c r="AC276" s="60"/>
      <c r="AD276" s="66"/>
      <c r="AE276" s="60"/>
      <c r="AF276" s="61" t="str">
        <f aca="false">IF(AND(ISNUMBER(X276),ISNUMBER(Y276)),Y276-X276,"")</f>
        <v/>
      </c>
      <c r="AG276" s="62" t="str">
        <f aca="false">IF(ISNUMBER(AD276),AD276-(IF(AND(INDEX(TZ_DSTS,MATCH(P276,TZ_STN,0))&lt;&gt;"",(AD276-INDEX(TZ_STD,MATCH(P276,TZ_STN,0))/24)&gt;=INDEX(TZ_DSTS,MATCH(P276,TZ_STN,0)),(AD276-INDEX(TZ_STD,MATCH(P276,TZ_STN,0))/24)&lt;INDEX(TZ_DSTE,MATCH(P276,TZ_STN,0))),INDEX(TZ_DST,MATCH(P276,TZ_STN,0)),INDEX(TZ_STD,MATCH(P276,TZ_STN,0))))/24,"")</f>
        <v/>
      </c>
      <c r="AH276" s="65" t="str">
        <f aca="false">IFERROR(IF(N276="N/A – rule",IF(OR(TRIM(U276)="",TRIM(U276)="N/A",TRIM(U276)="Not started"),"N/A – RULE","INVALID – this check does not apply to this aircraft: clear the status (or correct the fleet on Flights)"),IF(TRIM(U276)="N/A",IF(AT276=0,"INVALID – N/A not permitted for this check",IF(AND(TRIM(AB276)&lt;&gt;"",TRIM(AB276)&lt;&gt;"Closed"),"INVALID – corrective action still open",IF(AND(NOT(OR(LEN(AZ276)&lt;15,ISNUMBER(MATCH(AZ276,L_Placeholder,0)))),BK276=0,CG276&gt;=8,NOT(OR(LEN(AU276)&lt;2,ISNUMBER(MATCH(AU276,L_Placeholder,0)))),BR276&gt;=3,NOT(OR(LEN(AX276)&lt;2,ISNUMBER(MATCH(AX276,L_Placeholder,0)))),BS276&gt;=3,TRIM(AE276)&lt;&gt;TRIM(T276),AX276&lt;&gt;AU276,CE276=0),"N/A – JUSTIFIED","INVALID – N/A needs a real, settled reason (not 'not applicable' / 'as above' / TBC), a named PIC and a different named verifier"))),IF(OR(TRIM(U276)="Pass",TRIM(U276)="Pass after CA"),IF(NOT(ISNUMBER(AD276)),"INVALID – completion time missing",IF(OR(OR(LEN(AU276)&lt;2,ISNUMBER(MATCH(AU276,L_Placeholder,0))),BR276&lt;3),"INVALID – PIC missing or not a named person (a role such as QA / CSM is not a name)",IF(OR(LEN(AV276)&lt;2,ISNUMBER(MATCH(AV276,L_Placeholder,0))),"INVALID – result / assessment missing",IF(OR(OR(LEN(AW276)&lt;3,ISNUMBER(MATCH(AW276,L_Placeholder,0))),SUMPRODUCT(--ISNUMBER(SEARCH(" "&amp;L_EvidencePhrase&amp;" ",BD276)))&gt;0,BI276=1),"INVALID – evidence missing, placeholder or not yet on file",IF(ISNA(MATCH(TRIM(S276),L_EvidenceType,0)),"INVALID – choose the evidence type from the list (column S)",IF(BL276=0,"INVALID – evidence ID must be the record's own ID only (e.g. SF-2210, IMG_2231, 1045521); a link / file name needs type 'Link / file path'",IF(OR(OR(LEN(AX276)&lt;2,ISNUMBER(MATCH(AX276,L_Placeholder,0))),BS276&lt;3),"INVALID – verifier missing or not a named person (a role such as QA / CSM is not a name)",IF(OR(AX276=AU276,CE276=1,AND(LEN(AU276)&gt;=4,ISNUMBER(SEARCH(AU276,AX276))),AND(LEN(AX276)&gt;=4,ISNUMBER(SEARCH(AX276,AU276)))),"INVALID – verifier must be a different, named person (not the PIC or a role)",IF(BH276=1,"INVALID – result not yet available (awaiting / TBC)",IF(BG276=1,"INVALID – result describes a problem: record Fail, then Pass after CA (or reword if it is not a problem)",IF(BV276=1,"INVALID – wording says not on board: an on-board confirmation needs the item loaded",IF(AND(AQ276=1,OR(OR(LEN(AY276)&lt;3,ISNUMBER(MATCH(AY276,L_Placeholder,0))),BJ276=1,BQ276=0)),"INVALID – batch ID missing, placeholder or not an ID (e.g. PASB-261008-BC-017)",IF(AND(AR276=1,OR(NOT(ISNUMBER(X276)),NOT(ISNUMBER(Y276)))),"INVALID – expected/actual qty missing",IF(AND(AR276=1,OR(X276&lt;=0,Y276&lt;0)),"INVALID – expected qty must be above 0 and actual not negative",IF(BB276&lt;&gt;"",BB276,IF(AND(AS276=1,Documents!$J$12&lt;&gt;"ON FILE"),"INVALID – GLD not on file (Documents sheet)",IF(AND(AS276=2,Documents!$O$12&lt;&gt;"ON FILE"),"INVALID – menu checklist not on file (Documents sheet)",IF(AND(AS276=3,NOT(ISNUMBER(Flights!$AX$12))),"INVALID – enter carrying flight KUL departure (Flights AX)",IF(AND(AS276=3,OR(Flights!$AZ$12&gt;Flights!$AA$12,Flights!$AX$12&lt;Flights!$AA$12-3)),"INVALID – carrying flight (Flights AX) cannot arrive before this leg's STD, or is over 3 days early",IF(AG276&gt;AsOfUTC,"INVALID – completion time is in the future",IF(AND(ISNUMBER(BY276),AG276&lt;BY276),IF(H276="Physical uplift","INVALID – before uplift window (cannot confirm loading)","INVALID – before valid window"),IF(AG276&gt;Flights!$AA$12,"INVALID – completed after departure (cannot establish readiness)",IF(AND(H276="Preparation",AG276&gt;=IF(ISNUMBER(Flights!$BA$12),MIN(Flights!$BA$12,Flights!$AA$12),Flights!$AA$12)),"INVALID – completed after loading / departure (cannot establish readiness)",IF(AND(H276="Physical uplift",AG276&gt;Q276),"INVALID – recorded after the loading flight departed",IF(AG276&gt;Q276,"COMPLETE – LATE","COMPLETE"))))))))))))))))))))))))),IF(TRIM(U276)="Fail","FAIL – DISCREPANCY",IF(AND(TRIM(U276)&lt;&gt;"",TRIM(U276)&lt;&gt;"Not started",TRIM(U276)&lt;&gt;"In progress"),"INVALID – unrecognised status (use the list)",IF(AsOfUTC&gt;Q276,"OVERDUE",IF(N276="Clarification required","OPEN – CLARIFICATION","OPEN"))))))),"INVALID – error value in an input cell")</f>
        <v>OPEN</v>
      </c>
      <c r="AI276" s="61" t="n">
        <f aca="false">IF(OR(AH276="N/A – RULE",AH276="N/A – JUSTIFIED"),0,1)</f>
        <v>1</v>
      </c>
      <c r="AJ276" s="61" t="n">
        <f aca="false">IF(LEFT(AH276,8)="COMPLETE",1,0)</f>
        <v>0</v>
      </c>
      <c r="AK276" s="61" t="n">
        <f aca="false">IF(AND(AI276=1,AJ276=0,AsOfUTC&gt;Q276),1,0)</f>
        <v>0</v>
      </c>
      <c r="AL276" s="61" t="n">
        <f aca="false">IFERROR(IF(AND(AI276=1,OR(TRIM(U276)="Fail",AND(TRIM(AB276)&lt;&gt;"",TRIM(AB276)&lt;&gt;"Closed"),AND(ISNUMBER(AF276),AF276&lt;&gt;0,TRIM(U276)&lt;&gt;"Pass after CA"))),1,0),1)</f>
        <v>0</v>
      </c>
      <c r="AM276" s="61" t="n">
        <f aca="false">IF(LEFT(AH276,7)="INVALID",1,0)</f>
        <v>0</v>
      </c>
      <c r="AN276" s="61" t="n">
        <f aca="false">IF(AND(N276="Clarification required",AI276=1,AJ276=0),1,0)</f>
        <v>0</v>
      </c>
      <c r="AO276" s="61" t="str">
        <f aca="false">IF(AK276=1,SUM(AK$5:AK276),"")</f>
        <v/>
      </c>
      <c r="AP276" s="61" t="str">
        <f aca="false">IF(AL276=1,SUM(AL$5:AL276),"")</f>
        <v/>
      </c>
      <c r="AQ276" s="61" t="n">
        <v>0</v>
      </c>
      <c r="AR276" s="61" t="n">
        <v>0</v>
      </c>
      <c r="AS276" s="61" t="n">
        <v>0</v>
      </c>
      <c r="AT276" s="61" t="n">
        <v>0</v>
      </c>
      <c r="AU276" s="61" t="str">
        <f aca="false">SUBSTITUTE(SUBSTITUTE(SUBSTITUTE(SUBSTITUTE(SUBSTITUTE(SUBSTITUTE(SUBSTITUTE(SUBSTITUTE(SUBSTITUTE(SUBSTITUTE(SUBSTITUTE(SUBSTITUTE(SUBSTITUTE(SUBSTITUTE(SUBSTITUTE(SUBSTITUTE(LOWER(T276&amp;""),CHAR(10),""),CHAR(13),""),CHAR(9),""),CHAR(160),"")," ",""),".",""),"-",""),"/",""),"?",""),"_",""),",",""),"[",""),"]",""),"(",""),")",""),"*","")</f>
        <v/>
      </c>
      <c r="AV276" s="61" t="str">
        <f aca="false">SUBSTITUTE(SUBSTITUTE(SUBSTITUTE(SUBSTITUTE(SUBSTITUTE(SUBSTITUTE(SUBSTITUTE(SUBSTITUTE(SUBSTITUTE(SUBSTITUTE(SUBSTITUTE(SUBSTITUTE(SUBSTITUTE(SUBSTITUTE(SUBSTITUTE(SUBSTITUTE(LOWER(V276&amp;""),CHAR(10),""),CHAR(13),""),CHAR(9),""),CHAR(160),"")," ",""),".",""),"-",""),"/",""),"?",""),"_",""),",",""),"[",""),"]",""),"(",""),")",""),"*","")</f>
        <v/>
      </c>
      <c r="AW276" s="61" t="str">
        <f aca="false">SUBSTITUTE(SUBSTITUTE(SUBSTITUTE(SUBSTITUTE(SUBSTITUTE(SUBSTITUTE(SUBSTITUTE(SUBSTITUTE(SUBSTITUTE(SUBSTITUTE(SUBSTITUTE(SUBSTITUTE(SUBSTITUTE(SUBSTITUTE(SUBSTITUTE(SUBSTITUTE(LOWER(Z276&amp;""),CHAR(10),""),CHAR(13),""),CHAR(9),""),CHAR(160),"")," ",""),".",""),"-",""),"/",""),"?",""),"_",""),",",""),"[",""),"]",""),"(",""),")",""),"*","")</f>
        <v/>
      </c>
      <c r="AX276" s="61" t="str">
        <f aca="false">SUBSTITUTE(SUBSTITUTE(SUBSTITUTE(SUBSTITUTE(SUBSTITUTE(SUBSTITUTE(SUBSTITUTE(SUBSTITUTE(SUBSTITUTE(SUBSTITUTE(SUBSTITUTE(SUBSTITUTE(SUBSTITUTE(SUBSTITUTE(SUBSTITUTE(SUBSTITUTE(LOWER(AE276&amp;""),CHAR(10),""),CHAR(13),""),CHAR(9),""),CHAR(160),"")," ",""),".",""),"-",""),"/",""),"?",""),"_",""),",",""),"[",""),"]",""),"(",""),")",""),"*","")</f>
        <v/>
      </c>
      <c r="AY276" s="61" t="str">
        <f aca="false">SUBSTITUTE(SUBSTITUTE(SUBSTITUTE(SUBSTITUTE(SUBSTITUTE(SUBSTITUTE(SUBSTITUTE(SUBSTITUTE(SUBSTITUTE(SUBSTITUTE(SUBSTITUTE(SUBSTITUTE(SUBSTITUTE(SUBSTITUTE(SUBSTITUTE(SUBSTITUTE(LOWER(W276&amp;""),CHAR(10),""),CHAR(13),""),CHAR(9),""),CHAR(160),"")," ",""),".",""),"-",""),"/",""),"?",""),"_",""),",",""),"[",""),"]",""),"(",""),")",""),"*","")</f>
        <v/>
      </c>
      <c r="AZ276" s="61" t="str">
        <f aca="false">SUBSTITUTE(SUBSTITUTE(SUBSTITUTE(SUBSTITUTE(SUBSTITUTE(SUBSTITUTE(SUBSTITUTE(SUBSTITUTE(SUBSTITUTE(SUBSTITUTE(SUBSTITUTE(SUBSTITUTE(SUBSTITUTE(SUBSTITUTE(SUBSTITUTE(SUBSTITUTE(LOWER(AC276&amp;""),CHAR(10),""),CHAR(13),""),CHAR(9),""),CHAR(160),"")," ",""),".",""),"-",""),"/",""),"?",""),"_",""),",",""),"[",""),"]",""),"(",""),")",""),"*","")</f>
        <v/>
      </c>
      <c r="BA276" s="61" t="str">
        <f aca="false">SUBSTITUTE(SUBSTITUTE(SUBSTITUTE(SUBSTITUTE(SUBSTITUTE(SUBSTITUTE(SUBSTITUTE(SUBSTITUTE(SUBSTITUTE(SUBSTITUTE(SUBSTITUTE(SUBSTITUTE(SUBSTITUTE(SUBSTITUTE(SUBSTITUTE(SUBSTITUTE(LOWER(AA276&amp;""),CHAR(10),""),CHAR(13),""),CHAR(9),""),CHAR(160),"")," ",""),".",""),"-",""),"/",""),"?",""),"_",""),",",""),"[",""),"]",""),"(",""),")",""),"*","")</f>
        <v/>
      </c>
      <c r="BB276" s="61" t="str">
        <f aca="false">IF(AND(TRIM(U276)="Pass",ISNUMBER(AF276)),IF(AF276&lt;&gt;0,"INVALID – qty variance: use Fail or Pass after CA",""),"")&amp;IF(AND(TRIM(U276)="Pass after CA",ISNUMBER(AF276)),IF(AF276&lt;&gt;0,"INVALID – after the corrective action the actual qty must equal expected (update Actual)",""),"")&amp;IF(AND(TRIM(U276)="Pass",TRIM(AB276)&lt;&gt;"",TRIM(AB276)&lt;&gt;"Closed"),"INVALID – corrective action not closed: use Fail, then Pass after CA","")&amp;IF(AND(LEN(BA276)&gt;=2,ISNA(MATCH(LEFT(BA276,255),L_Placeholder,0)),TRIM(AB276)=""),"INVALID – CA status missing for the recorded corrective action","")&amp;IF(AND(TRIM(U276)="Pass after CA",OR(OR(LEN(BA276)&lt;5,ISNUMBER(MATCH(BA276,L_Placeholder,0))),TRIM(AB276)&lt;&gt;"Closed")),"INVALID – corrective action not recorded/closed","")</f>
        <v/>
      </c>
      <c r="BC276" s="61" t="str">
        <f aca="false">" "&amp;TRIM(SUBSTITUTE(SUBSTITUTE(SUBSTITUTE(SUBSTITUTE(SUBSTITUTE(SUBSTITUTE(SUBSTITUTE(SUBSTITUTE(SUBSTITUTE(SUBSTITUTE(SUBSTITUTE(SUBSTITUTE(SUBSTITUTE(SUBSTITUTE(SUBSTITUTE(SUBSTITUTE(SUBSTITUTE(SUBSTITUTE(SUBSTITUTE(SUBSTITUTE(SUBSTITUTE(SUBSTITUTE(SUBSTITUTE(SUBSTITUTE(LOWER(V276&amp;""),CHAR(10)," "),CHAR(13)," "),CHAR(9)," "),CHAR(160)," "),"."," "),","," "),"-"," "),"/"," "),"("," "),")"," "),":"," "),";"," "),"_"," "),"–"," "),"?"," "),"!"," "),"*"," "),"["," "),"]"," "),"'"," "),"#"," "),"+"," "),"&amp;"," "),"\"," "))&amp;" "</f>
        <v>  </v>
      </c>
      <c r="BD276" s="61" t="str">
        <f aca="false">" "&amp;TRIM(SUBSTITUTE(SUBSTITUTE(SUBSTITUTE(SUBSTITUTE(SUBSTITUTE(SUBSTITUTE(SUBSTITUTE(SUBSTITUTE(SUBSTITUTE(SUBSTITUTE(SUBSTITUTE(SUBSTITUTE(SUBSTITUTE(SUBSTITUTE(SUBSTITUTE(SUBSTITUTE(SUBSTITUTE(SUBSTITUTE(SUBSTITUTE(SUBSTITUTE(SUBSTITUTE(SUBSTITUTE(SUBSTITUTE(SUBSTITUTE(LOWER(Z276&amp;""),CHAR(10)," "),CHAR(13)," "),CHAR(9)," "),CHAR(160)," "),"."," "),","," "),"-"," "),"/"," "),"("," "),")"," "),":"," "),";"," "),"_"," "),"–"," "),"?"," "),"!"," "),"*"," "),"["," "),"]"," "),"'"," "),"#"," "),"+"," "),"&amp;"," "),"\"," "))&amp;" "</f>
        <v>  </v>
      </c>
      <c r="BE276" s="61" t="str">
        <f aca="false">" "&amp;TRIM(SUBSTITUTE(SUBSTITUTE(SUBSTITUTE(SUBSTITUTE(SUBSTITUTE(SUBSTITUTE(SUBSTITUTE(SUBSTITUTE(SUBSTITUTE(SUBSTITUTE(SUBSTITUTE(SUBSTITUTE(SUBSTITUTE(SUBSTITUTE(SUBSTITUTE(SUBSTITUTE(SUBSTITUTE(SUBSTITUTE(SUBSTITUTE(SUBSTITUTE(SUBSTITUTE(SUBSTITUTE(SUBSTITUTE(SUBSTITUTE(LOWER(W276&amp;""),CHAR(10)," "),CHAR(13)," "),CHAR(9)," "),CHAR(160)," "),"."," "),","," "),"-"," "),"/"," "),"("," "),")"," "),":"," "),";"," "),"_"," "),"–"," "),"?"," "),"!"," "),"*"," "),"["," "),"]"," "),"'"," "),"#"," "),"+"," "),"&amp;"," "),"\"," "))&amp;" "</f>
        <v>  </v>
      </c>
      <c r="BF276" s="61" t="str">
        <f aca="false">" "&amp;TRIM(SUBSTITUTE(SUBSTITUTE(SUBSTITUTE(SUBSTITUTE(SUBSTITUTE(SUBSTITUTE(SUBSTITUTE(SUBSTITUTE(SUBSTITUTE(SUBSTITUTE(SUBSTITUTE(SUBSTITUTE(SUBSTITUTE(SUBSTITUTE(SUBSTITUTE(SUBSTITUTE(SUBSTITUTE(SUBSTITUTE(SUBSTITUTE(SUBSTITUTE(SUBSTITUTE(SUBSTITUTE(SUBSTITUTE(SUBSTITUTE(LOWER(AC276&amp;""),CHAR(10)," "),CHAR(13)," "),CHAR(9)," "),CHAR(160)," "),"."," "),","," "),"-"," "),"/"," "),"("," "),")"," "),":"," "),";"," "),"_"," "),"–"," "),"?"," "),"!"," "),"*"," "),"["," "),"]"," "),"'"," "),"#"," "),"+"," "),"&amp;"," "),"\"," "))&amp;" "</f>
        <v>  </v>
      </c>
      <c r="BG276" s="61" t="n">
        <f aca="false">IFERROR(IF(AND(TRIM(U276)="Pass",SUMPRODUCT((LEN(BC276)-LEN(SUBSTITUTE(BC276," "&amp;L_ResultBad&amp;" "," ")))/(LEN(L_ResultBad)+1))&gt;SUMPRODUCT((LEN(BC276)-LEN(SUBSTITUTE(BC276," "&amp;L_NegPhrase&amp;" "," ")))/(LEN(L_NegPhrase)+1))),1,0),0)</f>
        <v>0</v>
      </c>
      <c r="BH276" s="61" t="n">
        <f aca="false">IFERROR(IF(SUMPRODUCT((LEN(BC276)-LEN(SUBSTITUTE(BC276," "&amp;L_Pending&amp;" "," ")))/(LEN(L_Pending)+1))&gt;SUMPRODUCT((LEN(BC276)-LEN(SUBSTITUTE(BC276," "&amp;L_PendNeg&amp;" "," ")))/(LEN(L_PendNeg)+1))+SUMPRODUCT((LEN(BC276)-LEN(SUBSTITUTE(BC276," "&amp;L_PendPrep&amp;" "," ")))/(LEN(L_PendPrep)+1)),1,0),1)</f>
        <v>0</v>
      </c>
      <c r="BI276" s="61" t="n">
        <f aca="false">IFERROR(IF(SUMPRODUCT((LEN(BD276)-LEN(SUBSTITUTE(BD276," "&amp;L_PendStrict&amp;" "," ")))/(LEN(L_PendStrict)+1))&gt;SUMPRODUCT((LEN(BD276)-LEN(SUBSTITUTE(BD276," "&amp;L_PendNeg&amp;" "," ")))/(LEN(L_PendNeg)+1)),1,0),1)</f>
        <v>0</v>
      </c>
      <c r="BJ276" s="61" t="n">
        <f aca="false">IFERROR(IF(SUMPRODUCT((LEN(BE276)-LEN(SUBSTITUTE(BE276," "&amp;L_Pending&amp;" "," ")))/(LEN(L_Pending)+1))&gt;SUMPRODUCT((LEN(BE276)-LEN(SUBSTITUTE(BE276," "&amp;L_PendNeg&amp;" "," ")))/(LEN(L_PendNeg)+1))+SUMPRODUCT((LEN(BE276)-LEN(SUBSTITUTE(BE276," "&amp;L_PendPrep&amp;" "," ")))/(LEN(L_PendPrep)+1)),1,0),1)</f>
        <v>0</v>
      </c>
      <c r="BK276" s="61" t="n">
        <f aca="false">IFERROR(IF(SUMPRODUCT((LEN(BF276)-LEN(SUBSTITUTE(BF276," "&amp;L_PendStrict&amp;" "," ")))/(LEN(L_PendStrict)+1))&gt;SUMPRODUCT((LEN(BF276)-LEN(SUBSTITUTE(BF276," "&amp;L_PendNeg&amp;" "," ")))/(LEN(L_PendNeg)+1)),1,0),1)</f>
        <v>0</v>
      </c>
      <c r="BL276" s="61" t="n">
        <f aca="false">IF(ISNA(MATCH(TRIM(S276),L_EvidenceType,0)),0,BZ276)</f>
        <v>0</v>
      </c>
      <c r="BM276" s="61" t="str">
        <f aca="false">SUBSTITUTE(SUBSTITUTE(SUBSTITUTE(SUBSTITUTE(SUBSTITUTE(SUBSTITUTE(SUBSTITUTE(SUBSTITUTE(SUBSTITUTE(LOWER(Z276&amp;""),"1","0"),"2","0"),"3","0"),"4","0"),"5","0"),"6","0"),"7","0"),"8","0"),"9","0")</f>
        <v/>
      </c>
      <c r="BN276" s="61" t="str">
        <f aca="false">SUBSTITUTE(SUBSTITUTE(SUBSTITUTE(SUBSTITUTE(SUBSTITUTE(SUBSTITUTE(SUBSTITUTE(SUBSTITUTE(SUBSTITUTE(SUBSTITUTE(SUBSTITUTE(SUBSTITUTE(SUBSTITUTE(SUBSTITUTE(SUBSTITUTE(SUBSTITUTE(SUBSTITUTE(SUBSTITUTE(SUBSTITUTE(SUBSTITUTE(SUBSTITUTE(SUBSTITUTE(SUBSTITUTE(SUBSTITUTE(SUBSTITUTE(BM276,"b","a"),"c","a"),"d","a"),"e","a"),"f","a"),"g","a"),"h","a"),"i","a"),"j","a"),"k","a"),"l","a"),"m","a"),"n","a"),"o","a"),"p","a"),"q","a"),"r","a"),"s","a"),"t","a"),"u","a"),"v","a"),"w","a"),"x","a"),"y","a"),"z","a")</f>
        <v/>
      </c>
      <c r="BO276" s="61" t="str">
        <f aca="false">SUBSTITUTE(SUBSTITUTE(SUBSTITUTE(SUBSTITUTE(SUBSTITUTE(SUBSTITUTE(SUBSTITUTE(SUBSTITUTE(SUBSTITUTE(LOWER(W276&amp;""),"1","0"),"2","0"),"3","0"),"4","0"),"5","0"),"6","0"),"7","0"),"8","0"),"9","0")</f>
        <v/>
      </c>
      <c r="BP276" s="61" t="str">
        <f aca="false">SUBSTITUTE(SUBSTITUTE(SUBSTITUTE(SUBSTITUTE(SUBSTITUTE(SUBSTITUTE(SUBSTITUTE(SUBSTITUTE(SUBSTITUTE(SUBSTITUTE(SUBSTITUTE(SUBSTITUTE(SUBSTITUTE(SUBSTITUTE(SUBSTITUTE(SUBSTITUTE(SUBSTITUTE(SUBSTITUTE(SUBSTITUTE(SUBSTITUTE(SUBSTITUTE(SUBSTITUTE(SUBSTITUTE(SUBSTITUTE(SUBSTITUTE(BO276,"b","a"),"c","a"),"d","a"),"e","a"),"f","a"),"g","a"),"h","a"),"i","a"),"j","a"),"k","a"),"l","a"),"m","a"),"n","a"),"o","a"),"p","a"),"q","a"),"r","a"),"s","a"),"t","a"),"u","a"),"v","a"),"w","a"),"x","a"),"y","a"),"z","a")</f>
        <v/>
      </c>
      <c r="BQ276" s="61" t="n">
        <f aca="false">IFERROR(IF(AND(ISERROR(SEARCH(" mh"," "&amp;LOWER(W276))),ISNA(MATCH(LEFT(TRIM(BP276),255),{"0000a","000a","00a","0000aa","000aa","00aa","0aa","0000aaa","000aaa","00a00","0a00","0000-0000","00:00","a00","a0","00.00.0000","00/00/0000","00-00-0000","0000-00-00","0000/00/00","0000.00.00","00.00.00","00/00/00","00-00-00","0.00.0000","0/00/0000","0-00-0000"},0)),ISNA(MATCH(LEFT(TRIM(CA276),255),{"0000a","000a","00a","0000aa","000aa","00aa","0aa","0000aaa","000aaa","00a00","0a00","0000-0000","00:00","a00","a0","00.00.0000","00/00/0000","00-00-0000","0000-00-00","0000/00/00","0000.00.00","00.00.00","00/00/00","00-00-00","0.00.0000","0/00/0000","0-00-0000"},0)),LEN(CB276)&gt;=3,NOT(OR(SUBSTITUTE(CB276,"0","")="",AND(LEN(CB276)&gt;=4,CB276=REPT(LEFT(CB276),LEN(CB276))),ISNUMBER(MATCH(CB276,{"123","1234","12345","123456","1234567","12345678","0123","01234","012345","98765","987654","54321"},0)),AND(LEN(CB276)=8,LEFT(CB276,3)="202"))),OR(AND((LEN(CA276)-LEN(SUBSTITUTE(CA276,"a","")))&gt;=1,SUMPRODUCT(--ISNUMBER(SEARCH({"a0","a-0","a_0","a/0","a.0","a#0","0a","0-a","0_a","0/a"},BP276)))&gt;0),ISNUMBER(SEARCH("000000",BP276)))),1,0),0)</f>
        <v>0</v>
      </c>
      <c r="BR276" s="61" t="n">
        <f aca="false">IFERROR(LEN(SUBSTITUTE(CC276," ",""))-SUMPRODUCT((LEN(CC276)-LEN(SUBSTITUTE(CC276," "&amp;L_Role&amp;" "," ")))/(LEN(L_Role)+1)*LEN(L_Role)),0)</f>
        <v>0</v>
      </c>
      <c r="BS276" s="61" t="n">
        <f aca="false">IFERROR(LEN(SUBSTITUTE(CD276," ",""))-SUMPRODUCT((LEN(CD276)-LEN(SUBSTITUTE(CD276," "&amp;L_Role&amp;" "," ")))/(LEN(L_Role)+1)*LEN(L_Role)),0)</f>
        <v>0</v>
      </c>
      <c r="BT2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276,"revision",""),"version",""),"jan",""),"feb",""),"mar",""),"apr",""),"may",""),"jun",""),"jul",""),"aug",""),"sep",""),"oct",""),"nov",""),"dec",""),"utc",""),"gmt",""),"myt",""),"bst",""),"rev",""),"ver",""),"b","a"),"c","a"),"d","a"),"e","a"),"f","a"),"g","a"),"h","a"),"i","a"),"j","a"),"k","a"),"l","a"),"m","a"),"n","a"),"o","a"),"p","a"),"q","a"),"r","a"),"s","a"),"t","a"),"u","a"),"v","a"),"w","a"),"x","a"),"y","a"),"z","a")</f>
        <v/>
      </c>
      <c r="BU276" s="61" t="str">
        <f aca="false">SUBSTITUTE(SUBSTITUTE(SUBSTITUTE(SUBSTITUTE(SUBSTITUTE(SUBSTITUTE(SUBSTITUTE(SUBSTITUTE(SUBSTITUTE(SUBSTITUTE(LEFT(BM276,FIND("0",BM276&amp;"0")-1),"-",""),"_",""),"/",""),".",""),"#",""),"\\",""),":","")," ",""),"(",""),")","")</f>
        <v/>
      </c>
      <c r="BV276" s="61" t="n">
        <f aca="false">0</f>
        <v>0</v>
      </c>
      <c r="BW2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276&amp;""),"a",""),"b",""),"c",""),"d",""),"e",""),"f",""),"g",""),"h",""),"i",""),"j",""),"k",""),"l",""),"m",""),"n",""),"o",""),"p",""),"q",""),"r",""),"s",""),"t",""),"u",""),"v",""),"w",""),"x",""),"y",""),"z",""),"-",""),"_",""),"/",""),".",""),"#",""),"\\",""),":","")," ",""),"(",""),")","")</f>
        <v/>
      </c>
      <c r="BX276" s="61" t="str">
        <f aca="false">SUBSTITUTE(SUBSTITUTE(SUBSTITUTE(SUBSTITUTE(SUBSTITUTE(SUBSTITUTE(SUBSTITUTE(SUBSTITUTE(SUBSTITUTE(SUBSTITUTE(SUBSTITUTE(BM276,"0",""),"-",""),"_",""),"/",""),".",""),"#",""),"\\",""),":","")," ",""),"(",""),")","")</f>
        <v/>
      </c>
      <c r="BY276" s="62" t="n">
        <f aca="false">Q276-T12EarlyH/24</f>
        <v>46304.0659722222</v>
      </c>
      <c r="BZ276" s="61" t="n">
        <f aca="false">IFERROR(IF(IF(TRIM(S276)="Link / file path",AND(LEN(TRIM(Z276))&gt;=5,SUMPRODUCT(--ISNUMBER(SEARCH({"http","www.","\\",":\",".pdf",".jpg",".jpeg",".png",".heic",".xls",".doc",".msg",".eml",".ppt",".txt",".zip"},Z276)))&gt;0),AND(ISERROR(FIND(" ",TRIM(Z276))),NOT(OR(SUMPRODUCT(--ISNUMBER(FIND({",",";","&amp;","+"},Z276)))&gt;0,SUMPRODUCT(--ISNUMBER(SEARCH({"0/aa","0\\aa"},BN276)))&gt;0)),NOT(SUMPRODUCT(--ISNUMBER(SEARCH({"http","www.","\\",":\",".pdf",".jpg",".jpeg",".png",".heic",".xls",".doc",".msg",".eml",".ppt",".txt",".zip"},Z276)))&gt;0),NOT(LOWER(TRIM(Z276))=LOWER(Flights!$F$12)),ISNA(MATCH(BU276,{"mh","rev","revision","ver","version","v","r","a","b","seat","tray","row","gate","bay","stand","page","pg","item","line","no","cart","galley","flight","flt","table","box","bag","oven","etd","eta","std","sta","atd","ata","qty","pax","x","time","tel","ph","mob","day","wk","week","utc","gmt","myt","lt"},0)),NOT(OR(ISNUMBER(MATCH(LEFT(BN276,255),{"0000a","000a","00a","0000aa","000aa","00aa","0aa","0000aaa","000aaa","00a00","0a00","0000-0000","00:00","a00","a0","00.00.0000","00/00/0000","00-00-0000","0000-00-00","0000/00/00","0000.00.00","00.00.00","00/00/00","00-00-00","0.00.0000","0/00/0000","0-00-0000"},0)),ISNUMBER(MATCH(LEFT(BT276,255),{"0000a","000a","00a","0000aa","000aa","00aa","0aa","0000aaa","000aaa","00a00","0a00","0000-0000","00:00","a00","a0","00.00.0000","00/00/0000","00-00-0000","0000-00-00","0000/00/00","0000.00.00","00.00.00","00/00/00","00-00-00","0.00.0000","0/00/0000","0-00-0000"},0)))),NOT(OR(AND(BW276&lt;&gt;"",SUBSTITUTE(BW276,"0","")=""),AND(LEN(BW276)&gt;=4,BW276=REPT(LEFT(BW276),LEN(BW276))),ISNUMBER(MATCH(BW276,{"123","1234","12345","123456","1234567","12345678","0123","01234","012345","98765","987654","54321"},0)),ISNUMBER(MATCH(BX276,{"x","xx","xxx","xxxx","xxxxx","abc","abcd","nil","na","nan","test","tbc","tba","tbd","dummy","sample","example","eg","zz","zzz","none","null","xyz","qwe","asd","id","ref"},0)),AND(LEN(BW276)=8,BX276="",OR(LEFT(BW276,3)="202",ISNUMBER(MATCH(RIGHT(BW276,4),{"2025","2026","2027"},0)))))),OR(AND((LEN(BT276)-LEN(SUBSTITUTE(BT276,"a","")))&gt;=1,(LEN(BN276)-LEN(SUBSTITUTE(BN276,"0","")))&gt;=2,SUMPRODUCT(--ISNUMBER(SEARCH({"a0","a-0","a_0","a/0","a.0","a#0","0a","0-a","0_a","0/a"},BN276)))&gt;0),AND((LEN(BN276)-LEN(SUBSTITUTE(BN276,"a","")))=0,(LEN(BN276)-LEN(SUBSTITUTE(BN276,"0","")))&gt;=5)))),1,0),0)</f>
        <v>0</v>
      </c>
      <c r="CA2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276,"revision",""),"version",""),"jan",""),"feb",""),"mar",""),"apr",""),"may",""),"jun",""),"jul",""),"aug",""),"sep",""),"oct",""),"nov",""),"dec",""),"utc",""),"gmt",""),"myt",""),"bst",""),"rev",""),"ver",""),"b","a"),"c","a"),"d","a"),"e","a"),"f","a"),"g","a"),"h","a"),"i","a"),"j","a"),"k","a"),"l","a"),"m","a"),"n","a"),"o","a"),"p","a"),"q","a"),"r","a"),"s","a"),"t","a"),"u","a"),"v","a"),"w","a"),"x","a"),"y","a"),"z","a")</f>
        <v/>
      </c>
      <c r="CB2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276&amp;""),"a",""),"b",""),"c",""),"d",""),"e",""),"f",""),"g",""),"h",""),"i",""),"j",""),"k",""),"l",""),"m",""),"n",""),"o",""),"p",""),"q",""),"r",""),"s",""),"t",""),"u",""),"v",""),"w",""),"x",""),"y",""),"z",""),"-",""),"_",""),"/",""),".",""),"#",""),"\\",""),":","")," ",""),"(",""),")","")</f>
        <v/>
      </c>
      <c r="CC276" s="0" t="str">
        <f aca="false">" "&amp;TRIM(SUBSTITUTE(SUBSTITUTE(SUBSTITUTE(SUBSTITUTE(SUBSTITUTE(SUBSTITUTE(SUBSTITUTE(SUBSTITUTE(SUBSTITUTE(SUBSTITUTE(SUBSTITUTE(SUBSTITUTE(SUBSTITUTE(SUBSTITUTE(SUBSTITUTE(SUBSTITUTE(SUBSTITUTE(SUBSTITUTE(SUBSTITUTE(SUBSTITUTE(SUBSTITUTE(SUBSTITUTE(SUBSTITUTE(SUBSTITUTE(LOWER(T276&amp;""),CHAR(10)," "),CHAR(13)," "),CHAR(9)," "),CHAR(160)," "),"."," "),","," "),"-"," "),"/"," "),"("," "),")"," "),":"," "),";"," "),"_"," "),"–"," "),"?"," "),"!"," "),"*"," "),"["," "),"]"," "),"'"," "),"#"," "),"+"," "),"&amp;"," "),"\"," "))&amp;" "</f>
        <v>  </v>
      </c>
      <c r="CD276" s="0" t="str">
        <f aca="false">" "&amp;TRIM(SUBSTITUTE(SUBSTITUTE(SUBSTITUTE(SUBSTITUTE(SUBSTITUTE(SUBSTITUTE(SUBSTITUTE(SUBSTITUTE(SUBSTITUTE(SUBSTITUTE(SUBSTITUTE(SUBSTITUTE(SUBSTITUTE(SUBSTITUTE(SUBSTITUTE(SUBSTITUTE(SUBSTITUTE(SUBSTITUTE(SUBSTITUTE(SUBSTITUTE(SUBSTITUTE(SUBSTITUTE(SUBSTITUTE(SUBSTITUTE(LOWER(AE276&amp;""),CHAR(10)," "),CHAR(13)," "),CHAR(9)," "),CHAR(160)," "),"."," "),","," "),"-"," "),"/"," "),"("," "),")"," "),":"," "),";"," "),"_"," "),"–"," "),"?"," "),"!"," "),"*"," "),"["," "),"]"," "),"'"," "),"#"," "),"+"," "),"&amp;"," "),"\"," "))&amp;" "</f>
        <v>  </v>
      </c>
      <c r="CE276" s="68" t="n">
        <f aca="false">IFERROR(IF(AND(LEN(AU276)&gt;0,LEN(AU276)=LEN(AX276),OR(TRIM(MID(SUBSTITUTE(TRIM(CC276)," ",REPT(" ",60)),1,60))="",ISNUMBER(SEARCH(" "&amp;TRIM(MID(SUBSTITUTE(TRIM(CC276)," ",REPT(" ",60)),1,60))&amp;" ",CD276))),OR(TRIM(MID(SUBSTITUTE(TRIM(CC276)," ",REPT(" ",60)),61,60))="",ISNUMBER(SEARCH(" "&amp;TRIM(MID(SUBSTITUTE(TRIM(CC276)," ",REPT(" ",60)),61,60))&amp;" ",CD276))),OR(TRIM(MID(SUBSTITUTE(TRIM(CC276)," ",REPT(" ",60)),121,60))="",ISNUMBER(SEARCH(" "&amp;TRIM(MID(SUBSTITUTE(TRIM(CC276)," ",REPT(" ",60)),121,60))&amp;" ",CD276)))),1,0),0)</f>
        <v>0</v>
      </c>
      <c r="CG276" s="68" t="n">
        <f aca="false">IFERROR(LEN(SUBSTITUTE(BF276," ",""))-SUMPRODUCT((LEN(BF276)-LEN(SUBSTITUTE(BF276," "&amp;L_NAFiller&amp;" "," ")))/(LEN(L_NAFiller)+1)*LEN(L_NAFiller)),0)</f>
        <v>0</v>
      </c>
    </row>
    <row r="277" customFormat="false" ht="78.75" hidden="false" customHeight="true" outlineLevel="0" collapsed="false">
      <c r="A277" s="57" t="s">
        <v>850</v>
      </c>
      <c r="B277" s="57" t="s">
        <v>238</v>
      </c>
      <c r="C277" s="57" t="str">
        <f aca="false">Flights!$F$12</f>
        <v>MH0752</v>
      </c>
      <c r="D277" s="58" t="n">
        <f aca="false">Flights!$D$12</f>
        <v>46305</v>
      </c>
      <c r="E277" s="57" t="str">
        <f aca="false">Flights!$G$12&amp;"-"&amp;Flights!$H$12</f>
        <v>KUL-HAN</v>
      </c>
      <c r="F277" s="57" t="str">
        <f aca="false">Flights!$K$12</f>
        <v>EY</v>
      </c>
      <c r="G277" s="57" t="s">
        <v>420</v>
      </c>
      <c r="H277" s="57" t="s">
        <v>378</v>
      </c>
      <c r="I277" s="57" t="s">
        <v>428</v>
      </c>
      <c r="J277" s="57" t="s">
        <v>435</v>
      </c>
      <c r="K277" s="67" t="s">
        <v>491</v>
      </c>
      <c r="L277" s="67" t="s">
        <v>422</v>
      </c>
      <c r="M277" s="67"/>
      <c r="N277" s="67" t="s">
        <v>383</v>
      </c>
      <c r="O277" s="67" t="s">
        <v>423</v>
      </c>
      <c r="P277" s="57" t="s">
        <v>187</v>
      </c>
      <c r="Q277" s="59" t="n">
        <f aca="false">ROUND((Flights!$AE$12)*1440,0)/1440</f>
        <v>46304.5659722222</v>
      </c>
      <c r="R277" s="59" t="n">
        <f aca="false">Q277+(IF(AND(INDEX(TZ_DSTS,MATCH(P277,TZ_STN,0))&lt;&gt;"",Q277&gt;=INDEX(TZ_DSTS,MATCH(P277,TZ_STN,0)),Q277&lt;INDEX(TZ_DSTE,MATCH(P277,TZ_STN,0))),INDEX(TZ_DST,MATCH(P277,TZ_STN,0)),INDEX(TZ_STD,MATCH(P277,TZ_STN,0))))/24</f>
        <v>46304.8993055556</v>
      </c>
      <c r="S277" s="60"/>
      <c r="T277" s="60"/>
      <c r="U277" s="60"/>
      <c r="V277" s="60"/>
      <c r="W277" s="61"/>
      <c r="X277" s="60"/>
      <c r="Y277" s="60"/>
      <c r="Z277" s="60"/>
      <c r="AA277" s="60"/>
      <c r="AB277" s="60"/>
      <c r="AC277" s="60"/>
      <c r="AD277" s="66"/>
      <c r="AE277" s="60"/>
      <c r="AF277" s="61" t="str">
        <f aca="false">IF(AND(ISNUMBER(X277),ISNUMBER(Y277)),Y277-X277,"")</f>
        <v/>
      </c>
      <c r="AG277" s="62" t="str">
        <f aca="false">IF(ISNUMBER(AD277),AD277-(IF(AND(INDEX(TZ_DSTS,MATCH(P277,TZ_STN,0))&lt;&gt;"",(AD277-INDEX(TZ_STD,MATCH(P277,TZ_STN,0))/24)&gt;=INDEX(TZ_DSTS,MATCH(P277,TZ_STN,0)),(AD277-INDEX(TZ_STD,MATCH(P277,TZ_STN,0))/24)&lt;INDEX(TZ_DSTE,MATCH(P277,TZ_STN,0))),INDEX(TZ_DST,MATCH(P277,TZ_STN,0)),INDEX(TZ_STD,MATCH(P277,TZ_STN,0))))/24,"")</f>
        <v/>
      </c>
      <c r="AH277" s="65" t="str">
        <f aca="false">IFERROR(IF(N277="N/A – rule",IF(OR(TRIM(U277)="",TRIM(U277)="N/A",TRIM(U277)="Not started"),"N/A – RULE","INVALID – this check does not apply to this aircraft: clear the status (or correct the fleet on Flights)"),IF(TRIM(U277)="N/A",IF(AT277=0,"INVALID – N/A not permitted for this check",IF(AND(TRIM(AB277)&lt;&gt;"",TRIM(AB277)&lt;&gt;"Closed"),"INVALID – corrective action still open",IF(AND(NOT(OR(LEN(AZ277)&lt;15,ISNUMBER(MATCH(AZ277,L_Placeholder,0)))),BK277=0,CG277&gt;=8,NOT(OR(LEN(AU277)&lt;2,ISNUMBER(MATCH(AU277,L_Placeholder,0)))),BR277&gt;=3,NOT(OR(LEN(AX277)&lt;2,ISNUMBER(MATCH(AX277,L_Placeholder,0)))),BS277&gt;=3,TRIM(AE277)&lt;&gt;TRIM(T277),AX277&lt;&gt;AU277,CE277=0),"N/A – JUSTIFIED","INVALID – N/A needs a real, settled reason (not 'not applicable' / 'as above' / TBC), a named PIC and a different named verifier"))),IF(OR(TRIM(U277)="Pass",TRIM(U277)="Pass after CA"),IF(NOT(ISNUMBER(AD277)),"INVALID – completion time missing",IF(OR(OR(LEN(AU277)&lt;2,ISNUMBER(MATCH(AU277,L_Placeholder,0))),BR277&lt;3),"INVALID – PIC missing or not a named person (a role such as QA / CSM is not a name)",IF(OR(LEN(AV277)&lt;2,ISNUMBER(MATCH(AV277,L_Placeholder,0))),"INVALID – result / assessment missing",IF(OR(OR(LEN(AW277)&lt;3,ISNUMBER(MATCH(AW277,L_Placeholder,0))),SUMPRODUCT(--ISNUMBER(SEARCH(" "&amp;L_EvidencePhrase&amp;" ",BD277)))&gt;0,BI277=1),"INVALID – evidence missing, placeholder or not yet on file",IF(ISNA(MATCH(TRIM(S277),L_EvidenceType,0)),"INVALID – choose the evidence type from the list (column S)",IF(BL277=0,"INVALID – evidence ID must be the record's own ID only (e.g. SF-2210, IMG_2231, 1045521); a link / file name needs type 'Link / file path'",IF(OR(OR(LEN(AX277)&lt;2,ISNUMBER(MATCH(AX277,L_Placeholder,0))),BS277&lt;3),"INVALID – verifier missing or not a named person (a role such as QA / CSM is not a name)",IF(OR(AX277=AU277,CE277=1,AND(LEN(AU277)&gt;=4,ISNUMBER(SEARCH(AU277,AX277))),AND(LEN(AX277)&gt;=4,ISNUMBER(SEARCH(AX277,AU277)))),"INVALID – verifier must be a different, named person (not the PIC or a role)",IF(BH277=1,"INVALID – result not yet available (awaiting / TBC)",IF(BG277=1,"INVALID – result describes a problem: record Fail, then Pass after CA (or reword if it is not a problem)",IF(BV277=1,"INVALID – wording says not on board: an on-board confirmation needs the item loaded",IF(AND(AQ277=1,OR(OR(LEN(AY277)&lt;3,ISNUMBER(MATCH(AY277,L_Placeholder,0))),BJ277=1,BQ277=0)),"INVALID – batch ID missing, placeholder or not an ID (e.g. PASB-261008-BC-017)",IF(AND(AR277=1,OR(NOT(ISNUMBER(X277)),NOT(ISNUMBER(Y277)))),"INVALID – expected/actual qty missing",IF(AND(AR277=1,OR(X277&lt;=0,Y277&lt;0)),"INVALID – expected qty must be above 0 and actual not negative",IF(BB277&lt;&gt;"",BB277,IF(AND(AS277=1,Documents!$J$12&lt;&gt;"ON FILE"),"INVALID – GLD not on file (Documents sheet)",IF(AND(AS277=2,Documents!$O$12&lt;&gt;"ON FILE"),"INVALID – menu checklist not on file (Documents sheet)",IF(AND(AS277=3,NOT(ISNUMBER(Flights!$AX$12))),"INVALID – enter carrying flight KUL departure (Flights AX)",IF(AND(AS277=3,OR(Flights!$AZ$12&gt;Flights!$AA$12,Flights!$AX$12&lt;Flights!$AA$12-3)),"INVALID – carrying flight (Flights AX) cannot arrive before this leg's STD, or is over 3 days early",IF(AG277&gt;AsOfUTC,"INVALID – completion time is in the future",IF(AND(ISNUMBER(BY277),AG277&lt;BY277),IF(H277="Physical uplift","INVALID – before uplift window (cannot confirm loading)","INVALID – before valid window"),IF(AG277&gt;Flights!$AA$12,"INVALID – completed after departure (cannot establish readiness)",IF(AND(H277="Preparation",AG277&gt;=IF(ISNUMBER(Flights!$BA$12),MIN(Flights!$BA$12,Flights!$AA$12),Flights!$AA$12)),"INVALID – completed after loading / departure (cannot establish readiness)",IF(AND(H277="Physical uplift",AG277&gt;Q277),"INVALID – recorded after the loading flight departed",IF(AG277&gt;Q277,"COMPLETE – LATE","COMPLETE"))))))))))))))))))))))))),IF(TRIM(U277)="Fail","FAIL – DISCREPANCY",IF(AND(TRIM(U277)&lt;&gt;"",TRIM(U277)&lt;&gt;"Not started",TRIM(U277)&lt;&gt;"In progress"),"INVALID – unrecognised status (use the list)",IF(AsOfUTC&gt;Q277,"OVERDUE",IF(N277="Clarification required","OPEN – CLARIFICATION","OPEN"))))))),"INVALID – error value in an input cell")</f>
        <v>OPEN</v>
      </c>
      <c r="AI277" s="61" t="n">
        <f aca="false">IF(OR(AH277="N/A – RULE",AH277="N/A – JUSTIFIED"),0,1)</f>
        <v>1</v>
      </c>
      <c r="AJ277" s="61" t="n">
        <f aca="false">IF(LEFT(AH277,8)="COMPLETE",1,0)</f>
        <v>0</v>
      </c>
      <c r="AK277" s="61" t="n">
        <f aca="false">IF(AND(AI277=1,AJ277=0,AsOfUTC&gt;Q277),1,0)</f>
        <v>0</v>
      </c>
      <c r="AL277" s="61" t="n">
        <f aca="false">IFERROR(IF(AND(AI277=1,OR(TRIM(U277)="Fail",AND(TRIM(AB277)&lt;&gt;"",TRIM(AB277)&lt;&gt;"Closed"),AND(ISNUMBER(AF277),AF277&lt;&gt;0,TRIM(U277)&lt;&gt;"Pass after CA"))),1,0),1)</f>
        <v>0</v>
      </c>
      <c r="AM277" s="61" t="n">
        <f aca="false">IF(LEFT(AH277,7)="INVALID",1,0)</f>
        <v>0</v>
      </c>
      <c r="AN277" s="61" t="n">
        <f aca="false">IF(AND(N277="Clarification required",AI277=1,AJ277=0),1,0)</f>
        <v>0</v>
      </c>
      <c r="AO277" s="61" t="str">
        <f aca="false">IF(AK277=1,SUM(AK$5:AK277),"")</f>
        <v/>
      </c>
      <c r="AP277" s="61" t="str">
        <f aca="false">IF(AL277=1,SUM(AL$5:AL277),"")</f>
        <v/>
      </c>
      <c r="AQ277" s="61" t="n">
        <v>0</v>
      </c>
      <c r="AR277" s="61" t="n">
        <v>1</v>
      </c>
      <c r="AS277" s="61" t="n">
        <v>0</v>
      </c>
      <c r="AT277" s="61" t="n">
        <v>0</v>
      </c>
      <c r="AU277" s="61" t="str">
        <f aca="false">SUBSTITUTE(SUBSTITUTE(SUBSTITUTE(SUBSTITUTE(SUBSTITUTE(SUBSTITUTE(SUBSTITUTE(SUBSTITUTE(SUBSTITUTE(SUBSTITUTE(SUBSTITUTE(SUBSTITUTE(SUBSTITUTE(SUBSTITUTE(SUBSTITUTE(SUBSTITUTE(LOWER(T277&amp;""),CHAR(10),""),CHAR(13),""),CHAR(9),""),CHAR(160),"")," ",""),".",""),"-",""),"/",""),"?",""),"_",""),",",""),"[",""),"]",""),"(",""),")",""),"*","")</f>
        <v/>
      </c>
      <c r="AV277" s="61" t="str">
        <f aca="false">SUBSTITUTE(SUBSTITUTE(SUBSTITUTE(SUBSTITUTE(SUBSTITUTE(SUBSTITUTE(SUBSTITUTE(SUBSTITUTE(SUBSTITUTE(SUBSTITUTE(SUBSTITUTE(SUBSTITUTE(SUBSTITUTE(SUBSTITUTE(SUBSTITUTE(SUBSTITUTE(LOWER(V277&amp;""),CHAR(10),""),CHAR(13),""),CHAR(9),""),CHAR(160),"")," ",""),".",""),"-",""),"/",""),"?",""),"_",""),",",""),"[",""),"]",""),"(",""),")",""),"*","")</f>
        <v/>
      </c>
      <c r="AW277" s="61" t="str">
        <f aca="false">SUBSTITUTE(SUBSTITUTE(SUBSTITUTE(SUBSTITUTE(SUBSTITUTE(SUBSTITUTE(SUBSTITUTE(SUBSTITUTE(SUBSTITUTE(SUBSTITUTE(SUBSTITUTE(SUBSTITUTE(SUBSTITUTE(SUBSTITUTE(SUBSTITUTE(SUBSTITUTE(LOWER(Z277&amp;""),CHAR(10),""),CHAR(13),""),CHAR(9),""),CHAR(160),"")," ",""),".",""),"-",""),"/",""),"?",""),"_",""),",",""),"[",""),"]",""),"(",""),")",""),"*","")</f>
        <v/>
      </c>
      <c r="AX277" s="61" t="str">
        <f aca="false">SUBSTITUTE(SUBSTITUTE(SUBSTITUTE(SUBSTITUTE(SUBSTITUTE(SUBSTITUTE(SUBSTITUTE(SUBSTITUTE(SUBSTITUTE(SUBSTITUTE(SUBSTITUTE(SUBSTITUTE(SUBSTITUTE(SUBSTITUTE(SUBSTITUTE(SUBSTITUTE(LOWER(AE277&amp;""),CHAR(10),""),CHAR(13),""),CHAR(9),""),CHAR(160),"")," ",""),".",""),"-",""),"/",""),"?",""),"_",""),",",""),"[",""),"]",""),"(",""),")",""),"*","")</f>
        <v/>
      </c>
      <c r="AY277" s="61" t="str">
        <f aca="false">SUBSTITUTE(SUBSTITUTE(SUBSTITUTE(SUBSTITUTE(SUBSTITUTE(SUBSTITUTE(SUBSTITUTE(SUBSTITUTE(SUBSTITUTE(SUBSTITUTE(SUBSTITUTE(SUBSTITUTE(SUBSTITUTE(SUBSTITUTE(SUBSTITUTE(SUBSTITUTE(LOWER(W277&amp;""),CHAR(10),""),CHAR(13),""),CHAR(9),""),CHAR(160),"")," ",""),".",""),"-",""),"/",""),"?",""),"_",""),",",""),"[",""),"]",""),"(",""),")",""),"*","")</f>
        <v/>
      </c>
      <c r="AZ277" s="61" t="str">
        <f aca="false">SUBSTITUTE(SUBSTITUTE(SUBSTITUTE(SUBSTITUTE(SUBSTITUTE(SUBSTITUTE(SUBSTITUTE(SUBSTITUTE(SUBSTITUTE(SUBSTITUTE(SUBSTITUTE(SUBSTITUTE(SUBSTITUTE(SUBSTITUTE(SUBSTITUTE(SUBSTITUTE(LOWER(AC277&amp;""),CHAR(10),""),CHAR(13),""),CHAR(9),""),CHAR(160),"")," ",""),".",""),"-",""),"/",""),"?",""),"_",""),",",""),"[",""),"]",""),"(",""),")",""),"*","")</f>
        <v/>
      </c>
      <c r="BA277" s="61" t="str">
        <f aca="false">SUBSTITUTE(SUBSTITUTE(SUBSTITUTE(SUBSTITUTE(SUBSTITUTE(SUBSTITUTE(SUBSTITUTE(SUBSTITUTE(SUBSTITUTE(SUBSTITUTE(SUBSTITUTE(SUBSTITUTE(SUBSTITUTE(SUBSTITUTE(SUBSTITUTE(SUBSTITUTE(LOWER(AA277&amp;""),CHAR(10),""),CHAR(13),""),CHAR(9),""),CHAR(160),"")," ",""),".",""),"-",""),"/",""),"?",""),"_",""),",",""),"[",""),"]",""),"(",""),")",""),"*","")</f>
        <v/>
      </c>
      <c r="BB277" s="61" t="str">
        <f aca="false">IF(AND(TRIM(U277)="Pass",ISNUMBER(AF277)),IF(AF277&lt;&gt;0,"INVALID – qty variance: use Fail or Pass after CA",""),"")&amp;IF(AND(TRIM(U277)="Pass after CA",ISNUMBER(AF277)),IF(AF277&lt;&gt;0,"INVALID – after the corrective action the actual qty must equal expected (update Actual)",""),"")&amp;IF(AND(TRIM(U277)="Pass",TRIM(AB277)&lt;&gt;"",TRIM(AB277)&lt;&gt;"Closed"),"INVALID – corrective action not closed: use Fail, then Pass after CA","")&amp;IF(AND(LEN(BA277)&gt;=2,ISNA(MATCH(LEFT(BA277,255),L_Placeholder,0)),TRIM(AB277)=""),"INVALID – CA status missing for the recorded corrective action","")&amp;IF(AND(TRIM(U277)="Pass after CA",OR(OR(LEN(BA277)&lt;5,ISNUMBER(MATCH(BA277,L_Placeholder,0))),TRIM(AB277)&lt;&gt;"Closed")),"INVALID – corrective action not recorded/closed","")</f>
        <v/>
      </c>
      <c r="BC277" s="61" t="str">
        <f aca="false">" "&amp;TRIM(SUBSTITUTE(SUBSTITUTE(SUBSTITUTE(SUBSTITUTE(SUBSTITUTE(SUBSTITUTE(SUBSTITUTE(SUBSTITUTE(SUBSTITUTE(SUBSTITUTE(SUBSTITUTE(SUBSTITUTE(SUBSTITUTE(SUBSTITUTE(SUBSTITUTE(SUBSTITUTE(SUBSTITUTE(SUBSTITUTE(SUBSTITUTE(SUBSTITUTE(SUBSTITUTE(SUBSTITUTE(SUBSTITUTE(SUBSTITUTE(LOWER(V277&amp;""),CHAR(10)," "),CHAR(13)," "),CHAR(9)," "),CHAR(160)," "),"."," "),","," "),"-"," "),"/"," "),"("," "),")"," "),":"," "),";"," "),"_"," "),"–"," "),"?"," "),"!"," "),"*"," "),"["," "),"]"," "),"'"," "),"#"," "),"+"," "),"&amp;"," "),"\"," "))&amp;" "</f>
        <v>  </v>
      </c>
      <c r="BD277" s="61" t="str">
        <f aca="false">" "&amp;TRIM(SUBSTITUTE(SUBSTITUTE(SUBSTITUTE(SUBSTITUTE(SUBSTITUTE(SUBSTITUTE(SUBSTITUTE(SUBSTITUTE(SUBSTITUTE(SUBSTITUTE(SUBSTITUTE(SUBSTITUTE(SUBSTITUTE(SUBSTITUTE(SUBSTITUTE(SUBSTITUTE(SUBSTITUTE(SUBSTITUTE(SUBSTITUTE(SUBSTITUTE(SUBSTITUTE(SUBSTITUTE(SUBSTITUTE(SUBSTITUTE(LOWER(Z277&amp;""),CHAR(10)," "),CHAR(13)," "),CHAR(9)," "),CHAR(160)," "),"."," "),","," "),"-"," "),"/"," "),"("," "),")"," "),":"," "),";"," "),"_"," "),"–"," "),"?"," "),"!"," "),"*"," "),"["," "),"]"," "),"'"," "),"#"," "),"+"," "),"&amp;"," "),"\"," "))&amp;" "</f>
        <v>  </v>
      </c>
      <c r="BE277" s="61" t="str">
        <f aca="false">" "&amp;TRIM(SUBSTITUTE(SUBSTITUTE(SUBSTITUTE(SUBSTITUTE(SUBSTITUTE(SUBSTITUTE(SUBSTITUTE(SUBSTITUTE(SUBSTITUTE(SUBSTITUTE(SUBSTITUTE(SUBSTITUTE(SUBSTITUTE(SUBSTITUTE(SUBSTITUTE(SUBSTITUTE(SUBSTITUTE(SUBSTITUTE(SUBSTITUTE(SUBSTITUTE(SUBSTITUTE(SUBSTITUTE(SUBSTITUTE(SUBSTITUTE(LOWER(W277&amp;""),CHAR(10)," "),CHAR(13)," "),CHAR(9)," "),CHAR(160)," "),"."," "),","," "),"-"," "),"/"," "),"("," "),")"," "),":"," "),";"," "),"_"," "),"–"," "),"?"," "),"!"," "),"*"," "),"["," "),"]"," "),"'"," "),"#"," "),"+"," "),"&amp;"," "),"\"," "))&amp;" "</f>
        <v>  </v>
      </c>
      <c r="BF277" s="61" t="str">
        <f aca="false">" "&amp;TRIM(SUBSTITUTE(SUBSTITUTE(SUBSTITUTE(SUBSTITUTE(SUBSTITUTE(SUBSTITUTE(SUBSTITUTE(SUBSTITUTE(SUBSTITUTE(SUBSTITUTE(SUBSTITUTE(SUBSTITUTE(SUBSTITUTE(SUBSTITUTE(SUBSTITUTE(SUBSTITUTE(SUBSTITUTE(SUBSTITUTE(SUBSTITUTE(SUBSTITUTE(SUBSTITUTE(SUBSTITUTE(SUBSTITUTE(SUBSTITUTE(LOWER(AC277&amp;""),CHAR(10)," "),CHAR(13)," "),CHAR(9)," "),CHAR(160)," "),"."," "),","," "),"-"," "),"/"," "),"("," "),")"," "),":"," "),";"," "),"_"," "),"–"," "),"?"," "),"!"," "),"*"," "),"["," "),"]"," "),"'"," "),"#"," "),"+"," "),"&amp;"," "),"\"," "))&amp;" "</f>
        <v>  </v>
      </c>
      <c r="BG277" s="61" t="n">
        <f aca="false">IFERROR(IF(AND(TRIM(U277)="Pass",SUMPRODUCT((LEN(BC277)-LEN(SUBSTITUTE(BC277," "&amp;L_ResultBad&amp;" "," ")))/(LEN(L_ResultBad)+1))&gt;SUMPRODUCT((LEN(BC277)-LEN(SUBSTITUTE(BC277," "&amp;L_NegPhrase&amp;" "," ")))/(LEN(L_NegPhrase)+1))),1,0),0)</f>
        <v>0</v>
      </c>
      <c r="BH277" s="61" t="n">
        <f aca="false">IFERROR(IF(SUMPRODUCT((LEN(BC277)-LEN(SUBSTITUTE(BC277," "&amp;L_Pending&amp;" "," ")))/(LEN(L_Pending)+1))&gt;SUMPRODUCT((LEN(BC277)-LEN(SUBSTITUTE(BC277," "&amp;L_PendNeg&amp;" "," ")))/(LEN(L_PendNeg)+1))+SUMPRODUCT((LEN(BC277)-LEN(SUBSTITUTE(BC277," "&amp;L_PendPrep&amp;" "," ")))/(LEN(L_PendPrep)+1)),1,0),1)</f>
        <v>0</v>
      </c>
      <c r="BI277" s="61" t="n">
        <f aca="false">IFERROR(IF(SUMPRODUCT((LEN(BD277)-LEN(SUBSTITUTE(BD277," "&amp;L_PendStrict&amp;" "," ")))/(LEN(L_PendStrict)+1))&gt;SUMPRODUCT((LEN(BD277)-LEN(SUBSTITUTE(BD277," "&amp;L_PendNeg&amp;" "," ")))/(LEN(L_PendNeg)+1)),1,0),1)</f>
        <v>0</v>
      </c>
      <c r="BJ277" s="61" t="n">
        <f aca="false">IFERROR(IF(SUMPRODUCT((LEN(BE277)-LEN(SUBSTITUTE(BE277," "&amp;L_Pending&amp;" "," ")))/(LEN(L_Pending)+1))&gt;SUMPRODUCT((LEN(BE277)-LEN(SUBSTITUTE(BE277," "&amp;L_PendNeg&amp;" "," ")))/(LEN(L_PendNeg)+1))+SUMPRODUCT((LEN(BE277)-LEN(SUBSTITUTE(BE277," "&amp;L_PendPrep&amp;" "," ")))/(LEN(L_PendPrep)+1)),1,0),1)</f>
        <v>0</v>
      </c>
      <c r="BK277" s="61" t="n">
        <f aca="false">IFERROR(IF(SUMPRODUCT((LEN(BF277)-LEN(SUBSTITUTE(BF277," "&amp;L_PendStrict&amp;" "," ")))/(LEN(L_PendStrict)+1))&gt;SUMPRODUCT((LEN(BF277)-LEN(SUBSTITUTE(BF277," "&amp;L_PendNeg&amp;" "," ")))/(LEN(L_PendNeg)+1)),1,0),1)</f>
        <v>0</v>
      </c>
      <c r="BL277" s="61" t="n">
        <f aca="false">IF(ISNA(MATCH(TRIM(S277),L_EvidenceType,0)),0,BZ277)</f>
        <v>0</v>
      </c>
      <c r="BM277" s="61" t="str">
        <f aca="false">SUBSTITUTE(SUBSTITUTE(SUBSTITUTE(SUBSTITUTE(SUBSTITUTE(SUBSTITUTE(SUBSTITUTE(SUBSTITUTE(SUBSTITUTE(LOWER(Z277&amp;""),"1","0"),"2","0"),"3","0"),"4","0"),"5","0"),"6","0"),"7","0"),"8","0"),"9","0")</f>
        <v/>
      </c>
      <c r="BN277" s="61" t="str">
        <f aca="false">SUBSTITUTE(SUBSTITUTE(SUBSTITUTE(SUBSTITUTE(SUBSTITUTE(SUBSTITUTE(SUBSTITUTE(SUBSTITUTE(SUBSTITUTE(SUBSTITUTE(SUBSTITUTE(SUBSTITUTE(SUBSTITUTE(SUBSTITUTE(SUBSTITUTE(SUBSTITUTE(SUBSTITUTE(SUBSTITUTE(SUBSTITUTE(SUBSTITUTE(SUBSTITUTE(SUBSTITUTE(SUBSTITUTE(SUBSTITUTE(SUBSTITUTE(BM277,"b","a"),"c","a"),"d","a"),"e","a"),"f","a"),"g","a"),"h","a"),"i","a"),"j","a"),"k","a"),"l","a"),"m","a"),"n","a"),"o","a"),"p","a"),"q","a"),"r","a"),"s","a"),"t","a"),"u","a"),"v","a"),"w","a"),"x","a"),"y","a"),"z","a")</f>
        <v/>
      </c>
      <c r="BO277" s="61" t="str">
        <f aca="false">SUBSTITUTE(SUBSTITUTE(SUBSTITUTE(SUBSTITUTE(SUBSTITUTE(SUBSTITUTE(SUBSTITUTE(SUBSTITUTE(SUBSTITUTE(LOWER(W277&amp;""),"1","0"),"2","0"),"3","0"),"4","0"),"5","0"),"6","0"),"7","0"),"8","0"),"9","0")</f>
        <v/>
      </c>
      <c r="BP277" s="61" t="str">
        <f aca="false">SUBSTITUTE(SUBSTITUTE(SUBSTITUTE(SUBSTITUTE(SUBSTITUTE(SUBSTITUTE(SUBSTITUTE(SUBSTITUTE(SUBSTITUTE(SUBSTITUTE(SUBSTITUTE(SUBSTITUTE(SUBSTITUTE(SUBSTITUTE(SUBSTITUTE(SUBSTITUTE(SUBSTITUTE(SUBSTITUTE(SUBSTITUTE(SUBSTITUTE(SUBSTITUTE(SUBSTITUTE(SUBSTITUTE(SUBSTITUTE(SUBSTITUTE(BO277,"b","a"),"c","a"),"d","a"),"e","a"),"f","a"),"g","a"),"h","a"),"i","a"),"j","a"),"k","a"),"l","a"),"m","a"),"n","a"),"o","a"),"p","a"),"q","a"),"r","a"),"s","a"),"t","a"),"u","a"),"v","a"),"w","a"),"x","a"),"y","a"),"z","a")</f>
        <v/>
      </c>
      <c r="BQ277" s="61" t="n">
        <f aca="false">IFERROR(IF(AND(ISERROR(SEARCH(" mh"," "&amp;LOWER(W277))),ISNA(MATCH(LEFT(TRIM(BP277),255),{"0000a","000a","00a","0000aa","000aa","00aa","0aa","0000aaa","000aaa","00a00","0a00","0000-0000","00:00","a00","a0","00.00.0000","00/00/0000","00-00-0000","0000-00-00","0000/00/00","0000.00.00","00.00.00","00/00/00","00-00-00","0.00.0000","0/00/0000","0-00-0000"},0)),ISNA(MATCH(LEFT(TRIM(CA277),255),{"0000a","000a","00a","0000aa","000aa","00aa","0aa","0000aaa","000aaa","00a00","0a00","0000-0000","00:00","a00","a0","00.00.0000","00/00/0000","00-00-0000","0000-00-00","0000/00/00","0000.00.00","00.00.00","00/00/00","00-00-00","0.00.0000","0/00/0000","0-00-0000"},0)),LEN(CB277)&gt;=3,NOT(OR(SUBSTITUTE(CB277,"0","")="",AND(LEN(CB277)&gt;=4,CB277=REPT(LEFT(CB277),LEN(CB277))),ISNUMBER(MATCH(CB277,{"123","1234","12345","123456","1234567","12345678","0123","01234","012345","98765","987654","54321"},0)),AND(LEN(CB277)=8,LEFT(CB277,3)="202"))),OR(AND((LEN(CA277)-LEN(SUBSTITUTE(CA277,"a","")))&gt;=1,SUMPRODUCT(--ISNUMBER(SEARCH({"a0","a-0","a_0","a/0","a.0","a#0","0a","0-a","0_a","0/a"},BP277)))&gt;0),ISNUMBER(SEARCH("000000",BP277)))),1,0),0)</f>
        <v>0</v>
      </c>
      <c r="BR277" s="61" t="n">
        <f aca="false">IFERROR(LEN(SUBSTITUTE(CC277," ",""))-SUMPRODUCT((LEN(CC277)-LEN(SUBSTITUTE(CC277," "&amp;L_Role&amp;" "," ")))/(LEN(L_Role)+1)*LEN(L_Role)),0)</f>
        <v>0</v>
      </c>
      <c r="BS277" s="61" t="n">
        <f aca="false">IFERROR(LEN(SUBSTITUTE(CD277," ",""))-SUMPRODUCT((LEN(CD277)-LEN(SUBSTITUTE(CD277," "&amp;L_Role&amp;" "," ")))/(LEN(L_Role)+1)*LEN(L_Role)),0)</f>
        <v>0</v>
      </c>
      <c r="BT2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277,"revision",""),"version",""),"jan",""),"feb",""),"mar",""),"apr",""),"may",""),"jun",""),"jul",""),"aug",""),"sep",""),"oct",""),"nov",""),"dec",""),"utc",""),"gmt",""),"myt",""),"bst",""),"rev",""),"ver",""),"b","a"),"c","a"),"d","a"),"e","a"),"f","a"),"g","a"),"h","a"),"i","a"),"j","a"),"k","a"),"l","a"),"m","a"),"n","a"),"o","a"),"p","a"),"q","a"),"r","a"),"s","a"),"t","a"),"u","a"),"v","a"),"w","a"),"x","a"),"y","a"),"z","a")</f>
        <v/>
      </c>
      <c r="BU277" s="61" t="str">
        <f aca="false">SUBSTITUTE(SUBSTITUTE(SUBSTITUTE(SUBSTITUTE(SUBSTITUTE(SUBSTITUTE(SUBSTITUTE(SUBSTITUTE(SUBSTITUTE(SUBSTITUTE(LEFT(BM277,FIND("0",BM277&amp;"0")-1),"-",""),"_",""),"/",""),".",""),"#",""),"\\",""),":","")," ",""),"(",""),")","")</f>
        <v/>
      </c>
      <c r="BV277" s="61" t="n">
        <f aca="false">0</f>
        <v>0</v>
      </c>
      <c r="BW2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277&amp;""),"a",""),"b",""),"c",""),"d",""),"e",""),"f",""),"g",""),"h",""),"i",""),"j",""),"k",""),"l",""),"m",""),"n",""),"o",""),"p",""),"q",""),"r",""),"s",""),"t",""),"u",""),"v",""),"w",""),"x",""),"y",""),"z",""),"-",""),"_",""),"/",""),".",""),"#",""),"\\",""),":","")," ",""),"(",""),")","")</f>
        <v/>
      </c>
      <c r="BX277" s="61" t="str">
        <f aca="false">SUBSTITUTE(SUBSTITUTE(SUBSTITUTE(SUBSTITUTE(SUBSTITUTE(SUBSTITUTE(SUBSTITUTE(SUBSTITUTE(SUBSTITUTE(SUBSTITUTE(SUBSTITUTE(BM277,"0",""),"-",""),"_",""),"/",""),".",""),"#",""),"\\",""),":","")," ",""),"(",""),")","")</f>
        <v/>
      </c>
      <c r="BY277" s="62" t="n">
        <f aca="false">Q277-T12EarlyH/24</f>
        <v>46304.0659722222</v>
      </c>
      <c r="BZ277" s="61" t="n">
        <f aca="false">IFERROR(IF(IF(TRIM(S277)="Link / file path",AND(LEN(TRIM(Z277))&gt;=5,SUMPRODUCT(--ISNUMBER(SEARCH({"http","www.","\\",":\",".pdf",".jpg",".jpeg",".png",".heic",".xls",".doc",".msg",".eml",".ppt",".txt",".zip"},Z277)))&gt;0),AND(ISERROR(FIND(" ",TRIM(Z277))),NOT(OR(SUMPRODUCT(--ISNUMBER(FIND({",",";","&amp;","+"},Z277)))&gt;0,SUMPRODUCT(--ISNUMBER(SEARCH({"0/aa","0\\aa"},BN277)))&gt;0)),NOT(SUMPRODUCT(--ISNUMBER(SEARCH({"http","www.","\\",":\",".pdf",".jpg",".jpeg",".png",".heic",".xls",".doc",".msg",".eml",".ppt",".txt",".zip"},Z277)))&gt;0),NOT(LOWER(TRIM(Z277))=LOWER(Flights!$F$12)),ISNA(MATCH(BU277,{"mh","rev","revision","ver","version","v","r","a","b","seat","tray","row","gate","bay","stand","page","pg","item","line","no","cart","galley","flight","flt","table","box","bag","oven","etd","eta","std","sta","atd","ata","qty","pax","x","time","tel","ph","mob","day","wk","week","utc","gmt","myt","lt"},0)),NOT(OR(ISNUMBER(MATCH(LEFT(BN277,255),{"0000a","000a","00a","0000aa","000aa","00aa","0aa","0000aaa","000aaa","00a00","0a00","0000-0000","00:00","a00","a0","00.00.0000","00/00/0000","00-00-0000","0000-00-00","0000/00/00","0000.00.00","00.00.00","00/00/00","00-00-00","0.00.0000","0/00/0000","0-00-0000"},0)),ISNUMBER(MATCH(LEFT(BT277,255),{"0000a","000a","00a","0000aa","000aa","00aa","0aa","0000aaa","000aaa","00a00","0a00","0000-0000","00:00","a00","a0","00.00.0000","00/00/0000","00-00-0000","0000-00-00","0000/00/00","0000.00.00","00.00.00","00/00/00","00-00-00","0.00.0000","0/00/0000","0-00-0000"},0)))),NOT(OR(AND(BW277&lt;&gt;"",SUBSTITUTE(BW277,"0","")=""),AND(LEN(BW277)&gt;=4,BW277=REPT(LEFT(BW277),LEN(BW277))),ISNUMBER(MATCH(BW277,{"123","1234","12345","123456","1234567","12345678","0123","01234","012345","98765","987654","54321"},0)),ISNUMBER(MATCH(BX277,{"x","xx","xxx","xxxx","xxxxx","abc","abcd","nil","na","nan","test","tbc","tba","tbd","dummy","sample","example","eg","zz","zzz","none","null","xyz","qwe","asd","id","ref"},0)),AND(LEN(BW277)=8,BX277="",OR(LEFT(BW277,3)="202",ISNUMBER(MATCH(RIGHT(BW277,4),{"2025","2026","2027"},0)))))),OR(AND((LEN(BT277)-LEN(SUBSTITUTE(BT277,"a","")))&gt;=1,(LEN(BN277)-LEN(SUBSTITUTE(BN277,"0","")))&gt;=2,SUMPRODUCT(--ISNUMBER(SEARCH({"a0","a-0","a_0","a/0","a.0","a#0","0a","0-a","0_a","0/a"},BN277)))&gt;0),AND((LEN(BN277)-LEN(SUBSTITUTE(BN277,"a","")))=0,(LEN(BN277)-LEN(SUBSTITUTE(BN277,"0","")))&gt;=5)))),1,0),0)</f>
        <v>0</v>
      </c>
      <c r="CA2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277,"revision",""),"version",""),"jan",""),"feb",""),"mar",""),"apr",""),"may",""),"jun",""),"jul",""),"aug",""),"sep",""),"oct",""),"nov",""),"dec",""),"utc",""),"gmt",""),"myt",""),"bst",""),"rev",""),"ver",""),"b","a"),"c","a"),"d","a"),"e","a"),"f","a"),"g","a"),"h","a"),"i","a"),"j","a"),"k","a"),"l","a"),"m","a"),"n","a"),"o","a"),"p","a"),"q","a"),"r","a"),"s","a"),"t","a"),"u","a"),"v","a"),"w","a"),"x","a"),"y","a"),"z","a")</f>
        <v/>
      </c>
      <c r="CB2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277&amp;""),"a",""),"b",""),"c",""),"d",""),"e",""),"f",""),"g",""),"h",""),"i",""),"j",""),"k",""),"l",""),"m",""),"n",""),"o",""),"p",""),"q",""),"r",""),"s",""),"t",""),"u",""),"v",""),"w",""),"x",""),"y",""),"z",""),"-",""),"_",""),"/",""),".",""),"#",""),"\\",""),":","")," ",""),"(",""),")","")</f>
        <v/>
      </c>
      <c r="CC277" s="0" t="str">
        <f aca="false">" "&amp;TRIM(SUBSTITUTE(SUBSTITUTE(SUBSTITUTE(SUBSTITUTE(SUBSTITUTE(SUBSTITUTE(SUBSTITUTE(SUBSTITUTE(SUBSTITUTE(SUBSTITUTE(SUBSTITUTE(SUBSTITUTE(SUBSTITUTE(SUBSTITUTE(SUBSTITUTE(SUBSTITUTE(SUBSTITUTE(SUBSTITUTE(SUBSTITUTE(SUBSTITUTE(SUBSTITUTE(SUBSTITUTE(SUBSTITUTE(SUBSTITUTE(LOWER(T277&amp;""),CHAR(10)," "),CHAR(13)," "),CHAR(9)," "),CHAR(160)," "),"."," "),","," "),"-"," "),"/"," "),"("," "),")"," "),":"," "),";"," "),"_"," "),"–"," "),"?"," "),"!"," "),"*"," "),"["," "),"]"," "),"'"," "),"#"," "),"+"," "),"&amp;"," "),"\"," "))&amp;" "</f>
        <v>  </v>
      </c>
      <c r="CD277" s="0" t="str">
        <f aca="false">" "&amp;TRIM(SUBSTITUTE(SUBSTITUTE(SUBSTITUTE(SUBSTITUTE(SUBSTITUTE(SUBSTITUTE(SUBSTITUTE(SUBSTITUTE(SUBSTITUTE(SUBSTITUTE(SUBSTITUTE(SUBSTITUTE(SUBSTITUTE(SUBSTITUTE(SUBSTITUTE(SUBSTITUTE(SUBSTITUTE(SUBSTITUTE(SUBSTITUTE(SUBSTITUTE(SUBSTITUTE(SUBSTITUTE(SUBSTITUTE(SUBSTITUTE(LOWER(AE277&amp;""),CHAR(10)," "),CHAR(13)," "),CHAR(9)," "),CHAR(160)," "),"."," "),","," "),"-"," "),"/"," "),"("," "),")"," "),":"," "),";"," "),"_"," "),"–"," "),"?"," "),"!"," "),"*"," "),"["," "),"]"," "),"'"," "),"#"," "),"+"," "),"&amp;"," "),"\"," "))&amp;" "</f>
        <v>  </v>
      </c>
      <c r="CE277" s="68" t="n">
        <f aca="false">IFERROR(IF(AND(LEN(AU277)&gt;0,LEN(AU277)=LEN(AX277),OR(TRIM(MID(SUBSTITUTE(TRIM(CC277)," ",REPT(" ",60)),1,60))="",ISNUMBER(SEARCH(" "&amp;TRIM(MID(SUBSTITUTE(TRIM(CC277)," ",REPT(" ",60)),1,60))&amp;" ",CD277))),OR(TRIM(MID(SUBSTITUTE(TRIM(CC277)," ",REPT(" ",60)),61,60))="",ISNUMBER(SEARCH(" "&amp;TRIM(MID(SUBSTITUTE(TRIM(CC277)," ",REPT(" ",60)),61,60))&amp;" ",CD277))),OR(TRIM(MID(SUBSTITUTE(TRIM(CC277)," ",REPT(" ",60)),121,60))="",ISNUMBER(SEARCH(" "&amp;TRIM(MID(SUBSTITUTE(TRIM(CC277)," ",REPT(" ",60)),121,60))&amp;" ",CD277)))),1,0),0)</f>
        <v>0</v>
      </c>
      <c r="CG277" s="68" t="n">
        <f aca="false">IFERROR(LEN(SUBSTITUTE(BF277," ",""))-SUMPRODUCT((LEN(BF277)-LEN(SUBSTITUTE(BF277," "&amp;L_NAFiller&amp;" "," ")))/(LEN(L_NAFiller)+1)*LEN(L_NAFiller)),0)</f>
        <v>0</v>
      </c>
    </row>
    <row r="278" customFormat="false" ht="39.75" hidden="false" customHeight="true" outlineLevel="0" collapsed="false">
      <c r="A278" s="57" t="s">
        <v>851</v>
      </c>
      <c r="B278" s="57" t="s">
        <v>238</v>
      </c>
      <c r="C278" s="57" t="str">
        <f aca="false">Flights!$F$12</f>
        <v>MH0752</v>
      </c>
      <c r="D278" s="58" t="n">
        <f aca="false">Flights!$D$12</f>
        <v>46305</v>
      </c>
      <c r="E278" s="57" t="str">
        <f aca="false">Flights!$G$12&amp;"-"&amp;Flights!$H$12</f>
        <v>KUL-HAN</v>
      </c>
      <c r="F278" s="57" t="str">
        <f aca="false">Flights!$K$12</f>
        <v>EY</v>
      </c>
      <c r="G278" s="57" t="s">
        <v>420</v>
      </c>
      <c r="H278" s="57" t="s">
        <v>378</v>
      </c>
      <c r="I278" s="57" t="s">
        <v>428</v>
      </c>
      <c r="J278" s="57" t="s">
        <v>438</v>
      </c>
      <c r="K278" s="67"/>
      <c r="L278" s="67" t="s">
        <v>422</v>
      </c>
      <c r="M278" s="67"/>
      <c r="N278" s="67" t="s">
        <v>383</v>
      </c>
      <c r="O278" s="67" t="s">
        <v>423</v>
      </c>
      <c r="P278" s="57" t="s">
        <v>187</v>
      </c>
      <c r="Q278" s="59" t="n">
        <f aca="false">ROUND((Flights!$AE$12)*1440,0)/1440</f>
        <v>46304.5659722222</v>
      </c>
      <c r="R278" s="59" t="n">
        <f aca="false">Q278+(IF(AND(INDEX(TZ_DSTS,MATCH(P278,TZ_STN,0))&lt;&gt;"",Q278&gt;=INDEX(TZ_DSTS,MATCH(P278,TZ_STN,0)),Q278&lt;INDEX(TZ_DSTE,MATCH(P278,TZ_STN,0))),INDEX(TZ_DST,MATCH(P278,TZ_STN,0)),INDEX(TZ_STD,MATCH(P278,TZ_STN,0))))/24</f>
        <v>46304.8993055556</v>
      </c>
      <c r="S278" s="60"/>
      <c r="T278" s="60"/>
      <c r="U278" s="60"/>
      <c r="V278" s="60"/>
      <c r="W278" s="61"/>
      <c r="X278" s="60"/>
      <c r="Y278" s="60"/>
      <c r="Z278" s="60"/>
      <c r="AA278" s="60"/>
      <c r="AB278" s="60"/>
      <c r="AC278" s="60"/>
      <c r="AD278" s="66"/>
      <c r="AE278" s="60"/>
      <c r="AF278" s="61" t="str">
        <f aca="false">IF(AND(ISNUMBER(X278),ISNUMBER(Y278)),Y278-X278,"")</f>
        <v/>
      </c>
      <c r="AG278" s="62" t="str">
        <f aca="false">IF(ISNUMBER(AD278),AD278-(IF(AND(INDEX(TZ_DSTS,MATCH(P278,TZ_STN,0))&lt;&gt;"",(AD278-INDEX(TZ_STD,MATCH(P278,TZ_STN,0))/24)&gt;=INDEX(TZ_DSTS,MATCH(P278,TZ_STN,0)),(AD278-INDEX(TZ_STD,MATCH(P278,TZ_STN,0))/24)&lt;INDEX(TZ_DSTE,MATCH(P278,TZ_STN,0))),INDEX(TZ_DST,MATCH(P278,TZ_STN,0)),INDEX(TZ_STD,MATCH(P278,TZ_STN,0))))/24,"")</f>
        <v/>
      </c>
      <c r="AH278" s="65" t="str">
        <f aca="false">IFERROR(IF(N278="N/A – rule",IF(OR(TRIM(U278)="",TRIM(U278)="N/A",TRIM(U278)="Not started"),"N/A – RULE","INVALID – this check does not apply to this aircraft: clear the status (or correct the fleet on Flights)"),IF(TRIM(U278)="N/A",IF(AT278=0,"INVALID – N/A not permitted for this check",IF(AND(TRIM(AB278)&lt;&gt;"",TRIM(AB278)&lt;&gt;"Closed"),"INVALID – corrective action still open",IF(AND(NOT(OR(LEN(AZ278)&lt;15,ISNUMBER(MATCH(AZ278,L_Placeholder,0)))),BK278=0,CG278&gt;=8,NOT(OR(LEN(AU278)&lt;2,ISNUMBER(MATCH(AU278,L_Placeholder,0)))),BR278&gt;=3,NOT(OR(LEN(AX278)&lt;2,ISNUMBER(MATCH(AX278,L_Placeholder,0)))),BS278&gt;=3,TRIM(AE278)&lt;&gt;TRIM(T278),AX278&lt;&gt;AU278,CE278=0),"N/A – JUSTIFIED","INVALID – N/A needs a real, settled reason (not 'not applicable' / 'as above' / TBC), a named PIC and a different named verifier"))),IF(OR(TRIM(U278)="Pass",TRIM(U278)="Pass after CA"),IF(NOT(ISNUMBER(AD278)),"INVALID – completion time missing",IF(OR(OR(LEN(AU278)&lt;2,ISNUMBER(MATCH(AU278,L_Placeholder,0))),BR278&lt;3),"INVALID – PIC missing or not a named person (a role such as QA / CSM is not a name)",IF(OR(LEN(AV278)&lt;2,ISNUMBER(MATCH(AV278,L_Placeholder,0))),"INVALID – result / assessment missing",IF(OR(OR(LEN(AW278)&lt;3,ISNUMBER(MATCH(AW278,L_Placeholder,0))),SUMPRODUCT(--ISNUMBER(SEARCH(" "&amp;L_EvidencePhrase&amp;" ",BD278)))&gt;0,BI278=1),"INVALID – evidence missing, placeholder or not yet on file",IF(ISNA(MATCH(TRIM(S278),L_EvidenceType,0)),"INVALID – choose the evidence type from the list (column S)",IF(BL278=0,"INVALID – evidence ID must be the record's own ID only (e.g. SF-2210, IMG_2231, 1045521); a link / file name needs type 'Link / file path'",IF(OR(OR(LEN(AX278)&lt;2,ISNUMBER(MATCH(AX278,L_Placeholder,0))),BS278&lt;3),"INVALID – verifier missing or not a named person (a role such as QA / CSM is not a name)",IF(OR(AX278=AU278,CE278=1,AND(LEN(AU278)&gt;=4,ISNUMBER(SEARCH(AU278,AX278))),AND(LEN(AX278)&gt;=4,ISNUMBER(SEARCH(AX278,AU278)))),"INVALID – verifier must be a different, named person (not the PIC or a role)",IF(BH278=1,"INVALID – result not yet available (awaiting / TBC)",IF(BG278=1,"INVALID – result describes a problem: record Fail, then Pass after CA (or reword if it is not a problem)",IF(BV278=1,"INVALID – wording says not on board: an on-board confirmation needs the item loaded",IF(AND(AQ278=1,OR(OR(LEN(AY278)&lt;3,ISNUMBER(MATCH(AY278,L_Placeholder,0))),BJ278=1,BQ278=0)),"INVALID – batch ID missing, placeholder or not an ID (e.g. PASB-261008-BC-017)",IF(AND(AR278=1,OR(NOT(ISNUMBER(X278)),NOT(ISNUMBER(Y278)))),"INVALID – expected/actual qty missing",IF(AND(AR278=1,OR(X278&lt;=0,Y278&lt;0)),"INVALID – expected qty must be above 0 and actual not negative",IF(BB278&lt;&gt;"",BB278,IF(AND(AS278=1,Documents!$J$12&lt;&gt;"ON FILE"),"INVALID – GLD not on file (Documents sheet)",IF(AND(AS278=2,Documents!$O$12&lt;&gt;"ON FILE"),"INVALID – menu checklist not on file (Documents sheet)",IF(AND(AS278=3,NOT(ISNUMBER(Flights!$AX$12))),"INVALID – enter carrying flight KUL departure (Flights AX)",IF(AND(AS278=3,OR(Flights!$AZ$12&gt;Flights!$AA$12,Flights!$AX$12&lt;Flights!$AA$12-3)),"INVALID – carrying flight (Flights AX) cannot arrive before this leg's STD, or is over 3 days early",IF(AG278&gt;AsOfUTC,"INVALID – completion time is in the future",IF(AND(ISNUMBER(BY278),AG278&lt;BY278),IF(H278="Physical uplift","INVALID – before uplift window (cannot confirm loading)","INVALID – before valid window"),IF(AG278&gt;Flights!$AA$12,"INVALID – completed after departure (cannot establish readiness)",IF(AND(H278="Preparation",AG278&gt;=IF(ISNUMBER(Flights!$BA$12),MIN(Flights!$BA$12,Flights!$AA$12),Flights!$AA$12)),"INVALID – completed after loading / departure (cannot establish readiness)",IF(AND(H278="Physical uplift",AG278&gt;Q278),"INVALID – recorded after the loading flight departed",IF(AG278&gt;Q278,"COMPLETE – LATE","COMPLETE"))))))))))))))))))))))))),IF(TRIM(U278)="Fail","FAIL – DISCREPANCY",IF(AND(TRIM(U278)&lt;&gt;"",TRIM(U278)&lt;&gt;"Not started",TRIM(U278)&lt;&gt;"In progress"),"INVALID – unrecognised status (use the list)",IF(AsOfUTC&gt;Q278,"OVERDUE",IF(N278="Clarification required","OPEN – CLARIFICATION","OPEN"))))))),"INVALID – error value in an input cell")</f>
        <v>OPEN</v>
      </c>
      <c r="AI278" s="61" t="n">
        <f aca="false">IF(OR(AH278="N/A – RULE",AH278="N/A – JUSTIFIED"),0,1)</f>
        <v>1</v>
      </c>
      <c r="AJ278" s="61" t="n">
        <f aca="false">IF(LEFT(AH278,8)="COMPLETE",1,0)</f>
        <v>0</v>
      </c>
      <c r="AK278" s="61" t="n">
        <f aca="false">IF(AND(AI278=1,AJ278=0,AsOfUTC&gt;Q278),1,0)</f>
        <v>0</v>
      </c>
      <c r="AL278" s="61" t="n">
        <f aca="false">IFERROR(IF(AND(AI278=1,OR(TRIM(U278)="Fail",AND(TRIM(AB278)&lt;&gt;"",TRIM(AB278)&lt;&gt;"Closed"),AND(ISNUMBER(AF278),AF278&lt;&gt;0,TRIM(U278)&lt;&gt;"Pass after CA"))),1,0),1)</f>
        <v>0</v>
      </c>
      <c r="AM278" s="61" t="n">
        <f aca="false">IF(LEFT(AH278,7)="INVALID",1,0)</f>
        <v>0</v>
      </c>
      <c r="AN278" s="61" t="n">
        <f aca="false">IF(AND(N278="Clarification required",AI278=1,AJ278=0),1,0)</f>
        <v>0</v>
      </c>
      <c r="AO278" s="61" t="str">
        <f aca="false">IF(AK278=1,SUM(AK$5:AK278),"")</f>
        <v/>
      </c>
      <c r="AP278" s="61" t="str">
        <f aca="false">IF(AL278=1,SUM(AL$5:AL278),"")</f>
        <v/>
      </c>
      <c r="AQ278" s="61" t="n">
        <v>0</v>
      </c>
      <c r="AR278" s="61" t="n">
        <v>0</v>
      </c>
      <c r="AS278" s="61" t="n">
        <v>0</v>
      </c>
      <c r="AT278" s="61" t="n">
        <v>0</v>
      </c>
      <c r="AU278" s="61" t="str">
        <f aca="false">SUBSTITUTE(SUBSTITUTE(SUBSTITUTE(SUBSTITUTE(SUBSTITUTE(SUBSTITUTE(SUBSTITUTE(SUBSTITUTE(SUBSTITUTE(SUBSTITUTE(SUBSTITUTE(SUBSTITUTE(SUBSTITUTE(SUBSTITUTE(SUBSTITUTE(SUBSTITUTE(LOWER(T278&amp;""),CHAR(10),""),CHAR(13),""),CHAR(9),""),CHAR(160),"")," ",""),".",""),"-",""),"/",""),"?",""),"_",""),",",""),"[",""),"]",""),"(",""),")",""),"*","")</f>
        <v/>
      </c>
      <c r="AV278" s="61" t="str">
        <f aca="false">SUBSTITUTE(SUBSTITUTE(SUBSTITUTE(SUBSTITUTE(SUBSTITUTE(SUBSTITUTE(SUBSTITUTE(SUBSTITUTE(SUBSTITUTE(SUBSTITUTE(SUBSTITUTE(SUBSTITUTE(SUBSTITUTE(SUBSTITUTE(SUBSTITUTE(SUBSTITUTE(LOWER(V278&amp;""),CHAR(10),""),CHAR(13),""),CHAR(9),""),CHAR(160),"")," ",""),".",""),"-",""),"/",""),"?",""),"_",""),",",""),"[",""),"]",""),"(",""),")",""),"*","")</f>
        <v/>
      </c>
      <c r="AW278" s="61" t="str">
        <f aca="false">SUBSTITUTE(SUBSTITUTE(SUBSTITUTE(SUBSTITUTE(SUBSTITUTE(SUBSTITUTE(SUBSTITUTE(SUBSTITUTE(SUBSTITUTE(SUBSTITUTE(SUBSTITUTE(SUBSTITUTE(SUBSTITUTE(SUBSTITUTE(SUBSTITUTE(SUBSTITUTE(LOWER(Z278&amp;""),CHAR(10),""),CHAR(13),""),CHAR(9),""),CHAR(160),"")," ",""),".",""),"-",""),"/",""),"?",""),"_",""),",",""),"[",""),"]",""),"(",""),")",""),"*","")</f>
        <v/>
      </c>
      <c r="AX278" s="61" t="str">
        <f aca="false">SUBSTITUTE(SUBSTITUTE(SUBSTITUTE(SUBSTITUTE(SUBSTITUTE(SUBSTITUTE(SUBSTITUTE(SUBSTITUTE(SUBSTITUTE(SUBSTITUTE(SUBSTITUTE(SUBSTITUTE(SUBSTITUTE(SUBSTITUTE(SUBSTITUTE(SUBSTITUTE(LOWER(AE278&amp;""),CHAR(10),""),CHAR(13),""),CHAR(9),""),CHAR(160),"")," ",""),".",""),"-",""),"/",""),"?",""),"_",""),",",""),"[",""),"]",""),"(",""),")",""),"*","")</f>
        <v/>
      </c>
      <c r="AY278" s="61" t="str">
        <f aca="false">SUBSTITUTE(SUBSTITUTE(SUBSTITUTE(SUBSTITUTE(SUBSTITUTE(SUBSTITUTE(SUBSTITUTE(SUBSTITUTE(SUBSTITUTE(SUBSTITUTE(SUBSTITUTE(SUBSTITUTE(SUBSTITUTE(SUBSTITUTE(SUBSTITUTE(SUBSTITUTE(LOWER(W278&amp;""),CHAR(10),""),CHAR(13),""),CHAR(9),""),CHAR(160),"")," ",""),".",""),"-",""),"/",""),"?",""),"_",""),",",""),"[",""),"]",""),"(",""),")",""),"*","")</f>
        <v/>
      </c>
      <c r="AZ278" s="61" t="str">
        <f aca="false">SUBSTITUTE(SUBSTITUTE(SUBSTITUTE(SUBSTITUTE(SUBSTITUTE(SUBSTITUTE(SUBSTITUTE(SUBSTITUTE(SUBSTITUTE(SUBSTITUTE(SUBSTITUTE(SUBSTITUTE(SUBSTITUTE(SUBSTITUTE(SUBSTITUTE(SUBSTITUTE(LOWER(AC278&amp;""),CHAR(10),""),CHAR(13),""),CHAR(9),""),CHAR(160),"")," ",""),".",""),"-",""),"/",""),"?",""),"_",""),",",""),"[",""),"]",""),"(",""),")",""),"*","")</f>
        <v/>
      </c>
      <c r="BA278" s="61" t="str">
        <f aca="false">SUBSTITUTE(SUBSTITUTE(SUBSTITUTE(SUBSTITUTE(SUBSTITUTE(SUBSTITUTE(SUBSTITUTE(SUBSTITUTE(SUBSTITUTE(SUBSTITUTE(SUBSTITUTE(SUBSTITUTE(SUBSTITUTE(SUBSTITUTE(SUBSTITUTE(SUBSTITUTE(LOWER(AA278&amp;""),CHAR(10),""),CHAR(13),""),CHAR(9),""),CHAR(160),"")," ",""),".",""),"-",""),"/",""),"?",""),"_",""),",",""),"[",""),"]",""),"(",""),")",""),"*","")</f>
        <v/>
      </c>
      <c r="BB278" s="61" t="str">
        <f aca="false">IF(AND(TRIM(U278)="Pass",ISNUMBER(AF278)),IF(AF278&lt;&gt;0,"INVALID – qty variance: use Fail or Pass after CA",""),"")&amp;IF(AND(TRIM(U278)="Pass after CA",ISNUMBER(AF278)),IF(AF278&lt;&gt;0,"INVALID – after the corrective action the actual qty must equal expected (update Actual)",""),"")&amp;IF(AND(TRIM(U278)="Pass",TRIM(AB278)&lt;&gt;"",TRIM(AB278)&lt;&gt;"Closed"),"INVALID – corrective action not closed: use Fail, then Pass after CA","")&amp;IF(AND(LEN(BA278)&gt;=2,ISNA(MATCH(LEFT(BA278,255),L_Placeholder,0)),TRIM(AB278)=""),"INVALID – CA status missing for the recorded corrective action","")&amp;IF(AND(TRIM(U278)="Pass after CA",OR(OR(LEN(BA278)&lt;5,ISNUMBER(MATCH(BA278,L_Placeholder,0))),TRIM(AB278)&lt;&gt;"Closed")),"INVALID – corrective action not recorded/closed","")</f>
        <v/>
      </c>
      <c r="BC278" s="61" t="str">
        <f aca="false">" "&amp;TRIM(SUBSTITUTE(SUBSTITUTE(SUBSTITUTE(SUBSTITUTE(SUBSTITUTE(SUBSTITUTE(SUBSTITUTE(SUBSTITUTE(SUBSTITUTE(SUBSTITUTE(SUBSTITUTE(SUBSTITUTE(SUBSTITUTE(SUBSTITUTE(SUBSTITUTE(SUBSTITUTE(SUBSTITUTE(SUBSTITUTE(SUBSTITUTE(SUBSTITUTE(SUBSTITUTE(SUBSTITUTE(SUBSTITUTE(SUBSTITUTE(LOWER(V278&amp;""),CHAR(10)," "),CHAR(13)," "),CHAR(9)," "),CHAR(160)," "),"."," "),","," "),"-"," "),"/"," "),"("," "),")"," "),":"," "),";"," "),"_"," "),"–"," "),"?"," "),"!"," "),"*"," "),"["," "),"]"," "),"'"," "),"#"," "),"+"," "),"&amp;"," "),"\"," "))&amp;" "</f>
        <v>  </v>
      </c>
      <c r="BD278" s="61" t="str">
        <f aca="false">" "&amp;TRIM(SUBSTITUTE(SUBSTITUTE(SUBSTITUTE(SUBSTITUTE(SUBSTITUTE(SUBSTITUTE(SUBSTITUTE(SUBSTITUTE(SUBSTITUTE(SUBSTITUTE(SUBSTITUTE(SUBSTITUTE(SUBSTITUTE(SUBSTITUTE(SUBSTITUTE(SUBSTITUTE(SUBSTITUTE(SUBSTITUTE(SUBSTITUTE(SUBSTITUTE(SUBSTITUTE(SUBSTITUTE(SUBSTITUTE(SUBSTITUTE(LOWER(Z278&amp;""),CHAR(10)," "),CHAR(13)," "),CHAR(9)," "),CHAR(160)," "),"."," "),","," "),"-"," "),"/"," "),"("," "),")"," "),":"," "),";"," "),"_"," "),"–"," "),"?"," "),"!"," "),"*"," "),"["," "),"]"," "),"'"," "),"#"," "),"+"," "),"&amp;"," "),"\"," "))&amp;" "</f>
        <v>  </v>
      </c>
      <c r="BE278" s="61" t="str">
        <f aca="false">" "&amp;TRIM(SUBSTITUTE(SUBSTITUTE(SUBSTITUTE(SUBSTITUTE(SUBSTITUTE(SUBSTITUTE(SUBSTITUTE(SUBSTITUTE(SUBSTITUTE(SUBSTITUTE(SUBSTITUTE(SUBSTITUTE(SUBSTITUTE(SUBSTITUTE(SUBSTITUTE(SUBSTITUTE(SUBSTITUTE(SUBSTITUTE(SUBSTITUTE(SUBSTITUTE(SUBSTITUTE(SUBSTITUTE(SUBSTITUTE(SUBSTITUTE(LOWER(W278&amp;""),CHAR(10)," "),CHAR(13)," "),CHAR(9)," "),CHAR(160)," "),"."," "),","," "),"-"," "),"/"," "),"("," "),")"," "),":"," "),";"," "),"_"," "),"–"," "),"?"," "),"!"," "),"*"," "),"["," "),"]"," "),"'"," "),"#"," "),"+"," "),"&amp;"," "),"\"," "))&amp;" "</f>
        <v>  </v>
      </c>
      <c r="BF278" s="61" t="str">
        <f aca="false">" "&amp;TRIM(SUBSTITUTE(SUBSTITUTE(SUBSTITUTE(SUBSTITUTE(SUBSTITUTE(SUBSTITUTE(SUBSTITUTE(SUBSTITUTE(SUBSTITUTE(SUBSTITUTE(SUBSTITUTE(SUBSTITUTE(SUBSTITUTE(SUBSTITUTE(SUBSTITUTE(SUBSTITUTE(SUBSTITUTE(SUBSTITUTE(SUBSTITUTE(SUBSTITUTE(SUBSTITUTE(SUBSTITUTE(SUBSTITUTE(SUBSTITUTE(LOWER(AC278&amp;""),CHAR(10)," "),CHAR(13)," "),CHAR(9)," "),CHAR(160)," "),"."," "),","," "),"-"," "),"/"," "),"("," "),")"," "),":"," "),";"," "),"_"," "),"–"," "),"?"," "),"!"," "),"*"," "),"["," "),"]"," "),"'"," "),"#"," "),"+"," "),"&amp;"," "),"\"," "))&amp;" "</f>
        <v>  </v>
      </c>
      <c r="BG278" s="61" t="n">
        <f aca="false">IFERROR(IF(AND(TRIM(U278)="Pass",SUMPRODUCT((LEN(BC278)-LEN(SUBSTITUTE(BC278," "&amp;L_ResultBad&amp;" "," ")))/(LEN(L_ResultBad)+1))&gt;SUMPRODUCT((LEN(BC278)-LEN(SUBSTITUTE(BC278," "&amp;L_NegPhrase&amp;" "," ")))/(LEN(L_NegPhrase)+1))),1,0),0)</f>
        <v>0</v>
      </c>
      <c r="BH278" s="61" t="n">
        <f aca="false">IFERROR(IF(SUMPRODUCT((LEN(BC278)-LEN(SUBSTITUTE(BC278," "&amp;L_Pending&amp;" "," ")))/(LEN(L_Pending)+1))&gt;SUMPRODUCT((LEN(BC278)-LEN(SUBSTITUTE(BC278," "&amp;L_PendNeg&amp;" "," ")))/(LEN(L_PendNeg)+1))+SUMPRODUCT((LEN(BC278)-LEN(SUBSTITUTE(BC278," "&amp;L_PendPrep&amp;" "," ")))/(LEN(L_PendPrep)+1)),1,0),1)</f>
        <v>0</v>
      </c>
      <c r="BI278" s="61" t="n">
        <f aca="false">IFERROR(IF(SUMPRODUCT((LEN(BD278)-LEN(SUBSTITUTE(BD278," "&amp;L_PendStrict&amp;" "," ")))/(LEN(L_PendStrict)+1))&gt;SUMPRODUCT((LEN(BD278)-LEN(SUBSTITUTE(BD278," "&amp;L_PendNeg&amp;" "," ")))/(LEN(L_PendNeg)+1)),1,0),1)</f>
        <v>0</v>
      </c>
      <c r="BJ278" s="61" t="n">
        <f aca="false">IFERROR(IF(SUMPRODUCT((LEN(BE278)-LEN(SUBSTITUTE(BE278," "&amp;L_Pending&amp;" "," ")))/(LEN(L_Pending)+1))&gt;SUMPRODUCT((LEN(BE278)-LEN(SUBSTITUTE(BE278," "&amp;L_PendNeg&amp;" "," ")))/(LEN(L_PendNeg)+1))+SUMPRODUCT((LEN(BE278)-LEN(SUBSTITUTE(BE278," "&amp;L_PendPrep&amp;" "," ")))/(LEN(L_PendPrep)+1)),1,0),1)</f>
        <v>0</v>
      </c>
      <c r="BK278" s="61" t="n">
        <f aca="false">IFERROR(IF(SUMPRODUCT((LEN(BF278)-LEN(SUBSTITUTE(BF278," "&amp;L_PendStrict&amp;" "," ")))/(LEN(L_PendStrict)+1))&gt;SUMPRODUCT((LEN(BF278)-LEN(SUBSTITUTE(BF278," "&amp;L_PendNeg&amp;" "," ")))/(LEN(L_PendNeg)+1)),1,0),1)</f>
        <v>0</v>
      </c>
      <c r="BL278" s="61" t="n">
        <f aca="false">IF(ISNA(MATCH(TRIM(S278),L_EvidenceType,0)),0,BZ278)</f>
        <v>0</v>
      </c>
      <c r="BM278" s="61" t="str">
        <f aca="false">SUBSTITUTE(SUBSTITUTE(SUBSTITUTE(SUBSTITUTE(SUBSTITUTE(SUBSTITUTE(SUBSTITUTE(SUBSTITUTE(SUBSTITUTE(LOWER(Z278&amp;""),"1","0"),"2","0"),"3","0"),"4","0"),"5","0"),"6","0"),"7","0"),"8","0"),"9","0")</f>
        <v/>
      </c>
      <c r="BN278" s="61" t="str">
        <f aca="false">SUBSTITUTE(SUBSTITUTE(SUBSTITUTE(SUBSTITUTE(SUBSTITUTE(SUBSTITUTE(SUBSTITUTE(SUBSTITUTE(SUBSTITUTE(SUBSTITUTE(SUBSTITUTE(SUBSTITUTE(SUBSTITUTE(SUBSTITUTE(SUBSTITUTE(SUBSTITUTE(SUBSTITUTE(SUBSTITUTE(SUBSTITUTE(SUBSTITUTE(SUBSTITUTE(SUBSTITUTE(SUBSTITUTE(SUBSTITUTE(SUBSTITUTE(BM278,"b","a"),"c","a"),"d","a"),"e","a"),"f","a"),"g","a"),"h","a"),"i","a"),"j","a"),"k","a"),"l","a"),"m","a"),"n","a"),"o","a"),"p","a"),"q","a"),"r","a"),"s","a"),"t","a"),"u","a"),"v","a"),"w","a"),"x","a"),"y","a"),"z","a")</f>
        <v/>
      </c>
      <c r="BO278" s="61" t="str">
        <f aca="false">SUBSTITUTE(SUBSTITUTE(SUBSTITUTE(SUBSTITUTE(SUBSTITUTE(SUBSTITUTE(SUBSTITUTE(SUBSTITUTE(SUBSTITUTE(LOWER(W278&amp;""),"1","0"),"2","0"),"3","0"),"4","0"),"5","0"),"6","0"),"7","0"),"8","0"),"9","0")</f>
        <v/>
      </c>
      <c r="BP278" s="61" t="str">
        <f aca="false">SUBSTITUTE(SUBSTITUTE(SUBSTITUTE(SUBSTITUTE(SUBSTITUTE(SUBSTITUTE(SUBSTITUTE(SUBSTITUTE(SUBSTITUTE(SUBSTITUTE(SUBSTITUTE(SUBSTITUTE(SUBSTITUTE(SUBSTITUTE(SUBSTITUTE(SUBSTITUTE(SUBSTITUTE(SUBSTITUTE(SUBSTITUTE(SUBSTITUTE(SUBSTITUTE(SUBSTITUTE(SUBSTITUTE(SUBSTITUTE(SUBSTITUTE(BO278,"b","a"),"c","a"),"d","a"),"e","a"),"f","a"),"g","a"),"h","a"),"i","a"),"j","a"),"k","a"),"l","a"),"m","a"),"n","a"),"o","a"),"p","a"),"q","a"),"r","a"),"s","a"),"t","a"),"u","a"),"v","a"),"w","a"),"x","a"),"y","a"),"z","a")</f>
        <v/>
      </c>
      <c r="BQ278" s="61" t="n">
        <f aca="false">IFERROR(IF(AND(ISERROR(SEARCH(" mh"," "&amp;LOWER(W278))),ISNA(MATCH(LEFT(TRIM(BP278),255),{"0000a","000a","00a","0000aa","000aa","00aa","0aa","0000aaa","000aaa","00a00","0a00","0000-0000","00:00","a00","a0","00.00.0000","00/00/0000","00-00-0000","0000-00-00","0000/00/00","0000.00.00","00.00.00","00/00/00","00-00-00","0.00.0000","0/00/0000","0-00-0000"},0)),ISNA(MATCH(LEFT(TRIM(CA278),255),{"0000a","000a","00a","0000aa","000aa","00aa","0aa","0000aaa","000aaa","00a00","0a00","0000-0000","00:00","a00","a0","00.00.0000","00/00/0000","00-00-0000","0000-00-00","0000/00/00","0000.00.00","00.00.00","00/00/00","00-00-00","0.00.0000","0/00/0000","0-00-0000"},0)),LEN(CB278)&gt;=3,NOT(OR(SUBSTITUTE(CB278,"0","")="",AND(LEN(CB278)&gt;=4,CB278=REPT(LEFT(CB278),LEN(CB278))),ISNUMBER(MATCH(CB278,{"123","1234","12345","123456","1234567","12345678","0123","01234","012345","98765","987654","54321"},0)),AND(LEN(CB278)=8,LEFT(CB278,3)="202"))),OR(AND((LEN(CA278)-LEN(SUBSTITUTE(CA278,"a","")))&gt;=1,SUMPRODUCT(--ISNUMBER(SEARCH({"a0","a-0","a_0","a/0","a.0","a#0","0a","0-a","0_a","0/a"},BP278)))&gt;0),ISNUMBER(SEARCH("000000",BP278)))),1,0),0)</f>
        <v>0</v>
      </c>
      <c r="BR278" s="61" t="n">
        <f aca="false">IFERROR(LEN(SUBSTITUTE(CC278," ",""))-SUMPRODUCT((LEN(CC278)-LEN(SUBSTITUTE(CC278," "&amp;L_Role&amp;" "," ")))/(LEN(L_Role)+1)*LEN(L_Role)),0)</f>
        <v>0</v>
      </c>
      <c r="BS278" s="61" t="n">
        <f aca="false">IFERROR(LEN(SUBSTITUTE(CD278," ",""))-SUMPRODUCT((LEN(CD278)-LEN(SUBSTITUTE(CD278," "&amp;L_Role&amp;" "," ")))/(LEN(L_Role)+1)*LEN(L_Role)),0)</f>
        <v>0</v>
      </c>
      <c r="BT2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278,"revision",""),"version",""),"jan",""),"feb",""),"mar",""),"apr",""),"may",""),"jun",""),"jul",""),"aug",""),"sep",""),"oct",""),"nov",""),"dec",""),"utc",""),"gmt",""),"myt",""),"bst",""),"rev",""),"ver",""),"b","a"),"c","a"),"d","a"),"e","a"),"f","a"),"g","a"),"h","a"),"i","a"),"j","a"),"k","a"),"l","a"),"m","a"),"n","a"),"o","a"),"p","a"),"q","a"),"r","a"),"s","a"),"t","a"),"u","a"),"v","a"),"w","a"),"x","a"),"y","a"),"z","a")</f>
        <v/>
      </c>
      <c r="BU278" s="61" t="str">
        <f aca="false">SUBSTITUTE(SUBSTITUTE(SUBSTITUTE(SUBSTITUTE(SUBSTITUTE(SUBSTITUTE(SUBSTITUTE(SUBSTITUTE(SUBSTITUTE(SUBSTITUTE(LEFT(BM278,FIND("0",BM278&amp;"0")-1),"-",""),"_",""),"/",""),".",""),"#",""),"\\",""),":","")," ",""),"(",""),")","")</f>
        <v/>
      </c>
      <c r="BV278" s="61" t="n">
        <f aca="false">0</f>
        <v>0</v>
      </c>
      <c r="BW2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278&amp;""),"a",""),"b",""),"c",""),"d",""),"e",""),"f",""),"g",""),"h",""),"i",""),"j",""),"k",""),"l",""),"m",""),"n",""),"o",""),"p",""),"q",""),"r",""),"s",""),"t",""),"u",""),"v",""),"w",""),"x",""),"y",""),"z",""),"-",""),"_",""),"/",""),".",""),"#",""),"\\",""),":","")," ",""),"(",""),")","")</f>
        <v/>
      </c>
      <c r="BX278" s="61" t="str">
        <f aca="false">SUBSTITUTE(SUBSTITUTE(SUBSTITUTE(SUBSTITUTE(SUBSTITUTE(SUBSTITUTE(SUBSTITUTE(SUBSTITUTE(SUBSTITUTE(SUBSTITUTE(SUBSTITUTE(BM278,"0",""),"-",""),"_",""),"/",""),".",""),"#",""),"\\",""),":","")," ",""),"(",""),")","")</f>
        <v/>
      </c>
      <c r="BY278" s="62" t="n">
        <f aca="false">Q278-T12EarlyH/24</f>
        <v>46304.0659722222</v>
      </c>
      <c r="BZ278" s="61" t="n">
        <f aca="false">IFERROR(IF(IF(TRIM(S278)="Link / file path",AND(LEN(TRIM(Z278))&gt;=5,SUMPRODUCT(--ISNUMBER(SEARCH({"http","www.","\\",":\",".pdf",".jpg",".jpeg",".png",".heic",".xls",".doc",".msg",".eml",".ppt",".txt",".zip"},Z278)))&gt;0),AND(ISERROR(FIND(" ",TRIM(Z278))),NOT(OR(SUMPRODUCT(--ISNUMBER(FIND({",",";","&amp;","+"},Z278)))&gt;0,SUMPRODUCT(--ISNUMBER(SEARCH({"0/aa","0\\aa"},BN278)))&gt;0)),NOT(SUMPRODUCT(--ISNUMBER(SEARCH({"http","www.","\\",":\",".pdf",".jpg",".jpeg",".png",".heic",".xls",".doc",".msg",".eml",".ppt",".txt",".zip"},Z278)))&gt;0),NOT(LOWER(TRIM(Z278))=LOWER(Flights!$F$12)),ISNA(MATCH(BU278,{"mh","rev","revision","ver","version","v","r","a","b","seat","tray","row","gate","bay","stand","page","pg","item","line","no","cart","galley","flight","flt","table","box","bag","oven","etd","eta","std","sta","atd","ata","qty","pax","x","time","tel","ph","mob","day","wk","week","utc","gmt","myt","lt"},0)),NOT(OR(ISNUMBER(MATCH(LEFT(BN278,255),{"0000a","000a","00a","0000aa","000aa","00aa","0aa","0000aaa","000aaa","00a00","0a00","0000-0000","00:00","a00","a0","00.00.0000","00/00/0000","00-00-0000","0000-00-00","0000/00/00","0000.00.00","00.00.00","00/00/00","00-00-00","0.00.0000","0/00/0000","0-00-0000"},0)),ISNUMBER(MATCH(LEFT(BT278,255),{"0000a","000a","00a","0000aa","000aa","00aa","0aa","0000aaa","000aaa","00a00","0a00","0000-0000","00:00","a00","a0","00.00.0000","00/00/0000","00-00-0000","0000-00-00","0000/00/00","0000.00.00","00.00.00","00/00/00","00-00-00","0.00.0000","0/00/0000","0-00-0000"},0)))),NOT(OR(AND(BW278&lt;&gt;"",SUBSTITUTE(BW278,"0","")=""),AND(LEN(BW278)&gt;=4,BW278=REPT(LEFT(BW278),LEN(BW278))),ISNUMBER(MATCH(BW278,{"123","1234","12345","123456","1234567","12345678","0123","01234","012345","98765","987654","54321"},0)),ISNUMBER(MATCH(BX278,{"x","xx","xxx","xxxx","xxxxx","abc","abcd","nil","na","nan","test","tbc","tba","tbd","dummy","sample","example","eg","zz","zzz","none","null","xyz","qwe","asd","id","ref"},0)),AND(LEN(BW278)=8,BX278="",OR(LEFT(BW278,3)="202",ISNUMBER(MATCH(RIGHT(BW278,4),{"2025","2026","2027"},0)))))),OR(AND((LEN(BT278)-LEN(SUBSTITUTE(BT278,"a","")))&gt;=1,(LEN(BN278)-LEN(SUBSTITUTE(BN278,"0","")))&gt;=2,SUMPRODUCT(--ISNUMBER(SEARCH({"a0","a-0","a_0","a/0","a.0","a#0","0a","0-a","0_a","0/a"},BN278)))&gt;0),AND((LEN(BN278)-LEN(SUBSTITUTE(BN278,"a","")))=0,(LEN(BN278)-LEN(SUBSTITUTE(BN278,"0","")))&gt;=5)))),1,0),0)</f>
        <v>0</v>
      </c>
      <c r="CA2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278,"revision",""),"version",""),"jan",""),"feb",""),"mar",""),"apr",""),"may",""),"jun",""),"jul",""),"aug",""),"sep",""),"oct",""),"nov",""),"dec",""),"utc",""),"gmt",""),"myt",""),"bst",""),"rev",""),"ver",""),"b","a"),"c","a"),"d","a"),"e","a"),"f","a"),"g","a"),"h","a"),"i","a"),"j","a"),"k","a"),"l","a"),"m","a"),"n","a"),"o","a"),"p","a"),"q","a"),"r","a"),"s","a"),"t","a"),"u","a"),"v","a"),"w","a"),"x","a"),"y","a"),"z","a")</f>
        <v/>
      </c>
      <c r="CB2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278&amp;""),"a",""),"b",""),"c",""),"d",""),"e",""),"f",""),"g",""),"h",""),"i",""),"j",""),"k",""),"l",""),"m",""),"n",""),"o",""),"p",""),"q",""),"r",""),"s",""),"t",""),"u",""),"v",""),"w",""),"x",""),"y",""),"z",""),"-",""),"_",""),"/",""),".",""),"#",""),"\\",""),":","")," ",""),"(",""),")","")</f>
        <v/>
      </c>
      <c r="CC278" s="0" t="str">
        <f aca="false">" "&amp;TRIM(SUBSTITUTE(SUBSTITUTE(SUBSTITUTE(SUBSTITUTE(SUBSTITUTE(SUBSTITUTE(SUBSTITUTE(SUBSTITUTE(SUBSTITUTE(SUBSTITUTE(SUBSTITUTE(SUBSTITUTE(SUBSTITUTE(SUBSTITUTE(SUBSTITUTE(SUBSTITUTE(SUBSTITUTE(SUBSTITUTE(SUBSTITUTE(SUBSTITUTE(SUBSTITUTE(SUBSTITUTE(SUBSTITUTE(SUBSTITUTE(LOWER(T278&amp;""),CHAR(10)," "),CHAR(13)," "),CHAR(9)," "),CHAR(160)," "),"."," "),","," "),"-"," "),"/"," "),"("," "),")"," "),":"," "),";"," "),"_"," "),"–"," "),"?"," "),"!"," "),"*"," "),"["," "),"]"," "),"'"," "),"#"," "),"+"," "),"&amp;"," "),"\"," "))&amp;" "</f>
        <v>  </v>
      </c>
      <c r="CD278" s="0" t="str">
        <f aca="false">" "&amp;TRIM(SUBSTITUTE(SUBSTITUTE(SUBSTITUTE(SUBSTITUTE(SUBSTITUTE(SUBSTITUTE(SUBSTITUTE(SUBSTITUTE(SUBSTITUTE(SUBSTITUTE(SUBSTITUTE(SUBSTITUTE(SUBSTITUTE(SUBSTITUTE(SUBSTITUTE(SUBSTITUTE(SUBSTITUTE(SUBSTITUTE(SUBSTITUTE(SUBSTITUTE(SUBSTITUTE(SUBSTITUTE(SUBSTITUTE(SUBSTITUTE(LOWER(AE278&amp;""),CHAR(10)," "),CHAR(13)," "),CHAR(9)," "),CHAR(160)," "),"."," "),","," "),"-"," "),"/"," "),"("," "),")"," "),":"," "),";"," "),"_"," "),"–"," "),"?"," "),"!"," "),"*"," "),"["," "),"]"," "),"'"," "),"#"," "),"+"," "),"&amp;"," "),"\"," "))&amp;" "</f>
        <v>  </v>
      </c>
      <c r="CE278" s="68" t="n">
        <f aca="false">IFERROR(IF(AND(LEN(AU278)&gt;0,LEN(AU278)=LEN(AX278),OR(TRIM(MID(SUBSTITUTE(TRIM(CC278)," ",REPT(" ",60)),1,60))="",ISNUMBER(SEARCH(" "&amp;TRIM(MID(SUBSTITUTE(TRIM(CC278)," ",REPT(" ",60)),1,60))&amp;" ",CD278))),OR(TRIM(MID(SUBSTITUTE(TRIM(CC278)," ",REPT(" ",60)),61,60))="",ISNUMBER(SEARCH(" "&amp;TRIM(MID(SUBSTITUTE(TRIM(CC278)," ",REPT(" ",60)),61,60))&amp;" ",CD278))),OR(TRIM(MID(SUBSTITUTE(TRIM(CC278)," ",REPT(" ",60)),121,60))="",ISNUMBER(SEARCH(" "&amp;TRIM(MID(SUBSTITUTE(TRIM(CC278)," ",REPT(" ",60)),121,60))&amp;" ",CD278)))),1,0),0)</f>
        <v>0</v>
      </c>
      <c r="CG278" s="68" t="n">
        <f aca="false">IFERROR(LEN(SUBSTITUTE(BF278," ",""))-SUMPRODUCT((LEN(BF278)-LEN(SUBSTITUTE(BF278," "&amp;L_NAFiller&amp;" "," ")))/(LEN(L_NAFiller)+1)*LEN(L_NAFiller)),0)</f>
        <v>0</v>
      </c>
    </row>
    <row r="279" customFormat="false" ht="41.25" hidden="false" customHeight="true" outlineLevel="0" collapsed="false">
      <c r="A279" s="57" t="s">
        <v>852</v>
      </c>
      <c r="B279" s="57" t="s">
        <v>238</v>
      </c>
      <c r="C279" s="57" t="str">
        <f aca="false">Flights!$F$12</f>
        <v>MH0752</v>
      </c>
      <c r="D279" s="58" t="n">
        <f aca="false">Flights!$D$12</f>
        <v>46305</v>
      </c>
      <c r="E279" s="57" t="str">
        <f aca="false">Flights!$G$12&amp;"-"&amp;Flights!$H$12</f>
        <v>KUL-HAN</v>
      </c>
      <c r="F279" s="57" t="str">
        <f aca="false">Flights!$K$12</f>
        <v>EY</v>
      </c>
      <c r="G279" s="57" t="s">
        <v>420</v>
      </c>
      <c r="H279" s="57" t="s">
        <v>378</v>
      </c>
      <c r="I279" s="57" t="s">
        <v>447</v>
      </c>
      <c r="J279" s="57" t="s">
        <v>448</v>
      </c>
      <c r="K279" s="67" t="s">
        <v>449</v>
      </c>
      <c r="L279" s="67" t="s">
        <v>853</v>
      </c>
      <c r="M279" s="67" t="s">
        <v>451</v>
      </c>
      <c r="N279" s="67" t="s">
        <v>383</v>
      </c>
      <c r="O279" s="67" t="s">
        <v>503</v>
      </c>
      <c r="P279" s="57" t="s">
        <v>187</v>
      </c>
      <c r="Q279" s="59" t="n">
        <f aca="false">ROUND((Flights!$AE$12)*1440,0)/1440</f>
        <v>46304.5659722222</v>
      </c>
      <c r="R279" s="59" t="n">
        <f aca="false">Q279+(IF(AND(INDEX(TZ_DSTS,MATCH(P279,TZ_STN,0))&lt;&gt;"",Q279&gt;=INDEX(TZ_DSTS,MATCH(P279,TZ_STN,0)),Q279&lt;INDEX(TZ_DSTE,MATCH(P279,TZ_STN,0))),INDEX(TZ_DST,MATCH(P279,TZ_STN,0)),INDEX(TZ_STD,MATCH(P279,TZ_STN,0))))/24</f>
        <v>46304.8993055556</v>
      </c>
      <c r="S279" s="60"/>
      <c r="T279" s="60"/>
      <c r="U279" s="60"/>
      <c r="V279" s="60"/>
      <c r="W279" s="61"/>
      <c r="X279" s="60"/>
      <c r="Y279" s="60"/>
      <c r="Z279" s="60"/>
      <c r="AA279" s="60"/>
      <c r="AB279" s="60"/>
      <c r="AC279" s="60"/>
      <c r="AD279" s="66"/>
      <c r="AE279" s="60"/>
      <c r="AF279" s="61" t="str">
        <f aca="false">IF(AND(ISNUMBER(X279),ISNUMBER(Y279)),Y279-X279,"")</f>
        <v/>
      </c>
      <c r="AG279" s="62" t="str">
        <f aca="false">IF(ISNUMBER(AD279),AD279-(IF(AND(INDEX(TZ_DSTS,MATCH(P279,TZ_STN,0))&lt;&gt;"",(AD279-INDEX(TZ_STD,MATCH(P279,TZ_STN,0))/24)&gt;=INDEX(TZ_DSTS,MATCH(P279,TZ_STN,0)),(AD279-INDEX(TZ_STD,MATCH(P279,TZ_STN,0))/24)&lt;INDEX(TZ_DSTE,MATCH(P279,TZ_STN,0))),INDEX(TZ_DST,MATCH(P279,TZ_STN,0)),INDEX(TZ_STD,MATCH(P279,TZ_STN,0))))/24,"")</f>
        <v/>
      </c>
      <c r="AH279" s="65" t="str">
        <f aca="false">IFERROR(IF(N279="N/A – rule",IF(OR(TRIM(U279)="",TRIM(U279)="N/A",TRIM(U279)="Not started"),"N/A – RULE","INVALID – this check does not apply to this aircraft: clear the status (or correct the fleet on Flights)"),IF(TRIM(U279)="N/A",IF(AT279=0,"INVALID – N/A not permitted for this check",IF(AND(TRIM(AB279)&lt;&gt;"",TRIM(AB279)&lt;&gt;"Closed"),"INVALID – corrective action still open",IF(AND(NOT(OR(LEN(AZ279)&lt;15,ISNUMBER(MATCH(AZ279,L_Placeholder,0)))),BK279=0,CG279&gt;=8,NOT(OR(LEN(AU279)&lt;2,ISNUMBER(MATCH(AU279,L_Placeholder,0)))),BR279&gt;=3,NOT(OR(LEN(AX279)&lt;2,ISNUMBER(MATCH(AX279,L_Placeholder,0)))),BS279&gt;=3,TRIM(AE279)&lt;&gt;TRIM(T279),AX279&lt;&gt;AU279,CE279=0),"N/A – JUSTIFIED","INVALID – N/A needs a real, settled reason (not 'not applicable' / 'as above' / TBC), a named PIC and a different named verifier"))),IF(OR(TRIM(U279)="Pass",TRIM(U279)="Pass after CA"),IF(NOT(ISNUMBER(AD279)),"INVALID – completion time missing",IF(OR(OR(LEN(AU279)&lt;2,ISNUMBER(MATCH(AU279,L_Placeholder,0))),BR279&lt;3),"INVALID – PIC missing or not a named person (a role such as QA / CSM is not a name)",IF(OR(LEN(AV279)&lt;2,ISNUMBER(MATCH(AV279,L_Placeholder,0))),"INVALID – result / assessment missing",IF(OR(OR(LEN(AW279)&lt;3,ISNUMBER(MATCH(AW279,L_Placeholder,0))),SUMPRODUCT(--ISNUMBER(SEARCH(" "&amp;L_EvidencePhrase&amp;" ",BD279)))&gt;0,BI279=1),"INVALID – evidence missing, placeholder or not yet on file",IF(ISNA(MATCH(TRIM(S279),L_EvidenceType,0)),"INVALID – choose the evidence type from the list (column S)",IF(BL279=0,"INVALID – evidence ID must be the record's own ID only (e.g. SF-2210, IMG_2231, 1045521); a link / file name needs type 'Link / file path'",IF(OR(OR(LEN(AX279)&lt;2,ISNUMBER(MATCH(AX279,L_Placeholder,0))),BS279&lt;3),"INVALID – verifier missing or not a named person (a role such as QA / CSM is not a name)",IF(OR(AX279=AU279,CE279=1,AND(LEN(AU279)&gt;=4,ISNUMBER(SEARCH(AU279,AX279))),AND(LEN(AX279)&gt;=4,ISNUMBER(SEARCH(AX279,AU279)))),"INVALID – verifier must be a different, named person (not the PIC or a role)",IF(BH279=1,"INVALID – result not yet available (awaiting / TBC)",IF(BG279=1,"INVALID – result describes a problem: record Fail, then Pass after CA (or reword if it is not a problem)",IF(BV279=1,"INVALID – wording says not on board: an on-board confirmation needs the item loaded",IF(AND(AQ279=1,OR(OR(LEN(AY279)&lt;3,ISNUMBER(MATCH(AY279,L_Placeholder,0))),BJ279=1,BQ279=0)),"INVALID – batch ID missing, placeholder or not an ID (e.g. PASB-261008-BC-017)",IF(AND(AR279=1,OR(NOT(ISNUMBER(X279)),NOT(ISNUMBER(Y279)))),"INVALID – expected/actual qty missing",IF(AND(AR279=1,OR(X279&lt;=0,Y279&lt;0)),"INVALID – expected qty must be above 0 and actual not negative",IF(BB279&lt;&gt;"",BB279,IF(AND(AS279=1,Documents!$J$12&lt;&gt;"ON FILE"),"INVALID – GLD not on file (Documents sheet)",IF(AND(AS279=2,Documents!$O$12&lt;&gt;"ON FILE"),"INVALID – menu checklist not on file (Documents sheet)",IF(AND(AS279=3,NOT(ISNUMBER(Flights!$AX$12))),"INVALID – enter carrying flight KUL departure (Flights AX)",IF(AND(AS279=3,OR(Flights!$AZ$12&gt;Flights!$AA$12,Flights!$AX$12&lt;Flights!$AA$12-3)),"INVALID – carrying flight (Flights AX) cannot arrive before this leg's STD, or is over 3 days early",IF(AG279&gt;AsOfUTC,"INVALID – completion time is in the future",IF(AND(ISNUMBER(BY279),AG279&lt;BY279),IF(H279="Physical uplift","INVALID – before uplift window (cannot confirm loading)","INVALID – before valid window"),IF(AG279&gt;Flights!$AA$12,"INVALID – completed after departure (cannot establish readiness)",IF(AND(H279="Preparation",AG279&gt;=IF(ISNUMBER(Flights!$BA$12),MIN(Flights!$BA$12,Flights!$AA$12),Flights!$AA$12)),"INVALID – completed after loading / departure (cannot establish readiness)",IF(AND(H279="Physical uplift",AG279&gt;Q279),"INVALID – recorded after the loading flight departed",IF(AG279&gt;Q279,"COMPLETE – LATE","COMPLETE"))))))))))))))))))))))))),IF(TRIM(U279)="Fail","FAIL – DISCREPANCY",IF(AND(TRIM(U279)&lt;&gt;"",TRIM(U279)&lt;&gt;"Not started",TRIM(U279)&lt;&gt;"In progress"),"INVALID – unrecognised status (use the list)",IF(AsOfUTC&gt;Q279,"OVERDUE",IF(N279="Clarification required","OPEN – CLARIFICATION","OPEN"))))))),"INVALID – error value in an input cell")</f>
        <v>OPEN</v>
      </c>
      <c r="AI279" s="61" t="n">
        <f aca="false">IF(OR(AH279="N/A – RULE",AH279="N/A – JUSTIFIED"),0,1)</f>
        <v>1</v>
      </c>
      <c r="AJ279" s="61" t="n">
        <f aca="false">IF(LEFT(AH279,8)="COMPLETE",1,0)</f>
        <v>0</v>
      </c>
      <c r="AK279" s="61" t="n">
        <f aca="false">IF(AND(AI279=1,AJ279=0,AsOfUTC&gt;Q279),1,0)</f>
        <v>0</v>
      </c>
      <c r="AL279" s="61" t="n">
        <f aca="false">IFERROR(IF(AND(AI279=1,OR(TRIM(U279)="Fail",AND(TRIM(AB279)&lt;&gt;"",TRIM(AB279)&lt;&gt;"Closed"),AND(ISNUMBER(AF279),AF279&lt;&gt;0,TRIM(U279)&lt;&gt;"Pass after CA"))),1,0),1)</f>
        <v>0</v>
      </c>
      <c r="AM279" s="61" t="n">
        <f aca="false">IF(LEFT(AH279,7)="INVALID",1,0)</f>
        <v>0</v>
      </c>
      <c r="AN279" s="61" t="n">
        <f aca="false">IF(AND(N279="Clarification required",AI279=1,AJ279=0),1,0)</f>
        <v>0</v>
      </c>
      <c r="AO279" s="61" t="str">
        <f aca="false">IF(AK279=1,SUM(AK$5:AK279),"")</f>
        <v/>
      </c>
      <c r="AP279" s="61" t="str">
        <f aca="false">IF(AL279=1,SUM(AL$5:AL279),"")</f>
        <v/>
      </c>
      <c r="AQ279" s="61" t="n">
        <v>0</v>
      </c>
      <c r="AR279" s="61" t="n">
        <v>0</v>
      </c>
      <c r="AS279" s="61" t="n">
        <v>0</v>
      </c>
      <c r="AT279" s="61" t="n">
        <v>0</v>
      </c>
      <c r="AU279" s="61" t="str">
        <f aca="false">SUBSTITUTE(SUBSTITUTE(SUBSTITUTE(SUBSTITUTE(SUBSTITUTE(SUBSTITUTE(SUBSTITUTE(SUBSTITUTE(SUBSTITUTE(SUBSTITUTE(SUBSTITUTE(SUBSTITUTE(SUBSTITUTE(SUBSTITUTE(SUBSTITUTE(SUBSTITUTE(LOWER(T279&amp;""),CHAR(10),""),CHAR(13),""),CHAR(9),""),CHAR(160),"")," ",""),".",""),"-",""),"/",""),"?",""),"_",""),",",""),"[",""),"]",""),"(",""),")",""),"*","")</f>
        <v/>
      </c>
      <c r="AV279" s="61" t="str">
        <f aca="false">SUBSTITUTE(SUBSTITUTE(SUBSTITUTE(SUBSTITUTE(SUBSTITUTE(SUBSTITUTE(SUBSTITUTE(SUBSTITUTE(SUBSTITUTE(SUBSTITUTE(SUBSTITUTE(SUBSTITUTE(SUBSTITUTE(SUBSTITUTE(SUBSTITUTE(SUBSTITUTE(LOWER(V279&amp;""),CHAR(10),""),CHAR(13),""),CHAR(9),""),CHAR(160),"")," ",""),".",""),"-",""),"/",""),"?",""),"_",""),",",""),"[",""),"]",""),"(",""),")",""),"*","")</f>
        <v/>
      </c>
      <c r="AW279" s="61" t="str">
        <f aca="false">SUBSTITUTE(SUBSTITUTE(SUBSTITUTE(SUBSTITUTE(SUBSTITUTE(SUBSTITUTE(SUBSTITUTE(SUBSTITUTE(SUBSTITUTE(SUBSTITUTE(SUBSTITUTE(SUBSTITUTE(SUBSTITUTE(SUBSTITUTE(SUBSTITUTE(SUBSTITUTE(LOWER(Z279&amp;""),CHAR(10),""),CHAR(13),""),CHAR(9),""),CHAR(160),"")," ",""),".",""),"-",""),"/",""),"?",""),"_",""),",",""),"[",""),"]",""),"(",""),")",""),"*","")</f>
        <v/>
      </c>
      <c r="AX279" s="61" t="str">
        <f aca="false">SUBSTITUTE(SUBSTITUTE(SUBSTITUTE(SUBSTITUTE(SUBSTITUTE(SUBSTITUTE(SUBSTITUTE(SUBSTITUTE(SUBSTITUTE(SUBSTITUTE(SUBSTITUTE(SUBSTITUTE(SUBSTITUTE(SUBSTITUTE(SUBSTITUTE(SUBSTITUTE(LOWER(AE279&amp;""),CHAR(10),""),CHAR(13),""),CHAR(9),""),CHAR(160),"")," ",""),".",""),"-",""),"/",""),"?",""),"_",""),",",""),"[",""),"]",""),"(",""),")",""),"*","")</f>
        <v/>
      </c>
      <c r="AY279" s="61" t="str">
        <f aca="false">SUBSTITUTE(SUBSTITUTE(SUBSTITUTE(SUBSTITUTE(SUBSTITUTE(SUBSTITUTE(SUBSTITUTE(SUBSTITUTE(SUBSTITUTE(SUBSTITUTE(SUBSTITUTE(SUBSTITUTE(SUBSTITUTE(SUBSTITUTE(SUBSTITUTE(SUBSTITUTE(LOWER(W279&amp;""),CHAR(10),""),CHAR(13),""),CHAR(9),""),CHAR(160),"")," ",""),".",""),"-",""),"/",""),"?",""),"_",""),",",""),"[",""),"]",""),"(",""),")",""),"*","")</f>
        <v/>
      </c>
      <c r="AZ279" s="61" t="str">
        <f aca="false">SUBSTITUTE(SUBSTITUTE(SUBSTITUTE(SUBSTITUTE(SUBSTITUTE(SUBSTITUTE(SUBSTITUTE(SUBSTITUTE(SUBSTITUTE(SUBSTITUTE(SUBSTITUTE(SUBSTITUTE(SUBSTITUTE(SUBSTITUTE(SUBSTITUTE(SUBSTITUTE(LOWER(AC279&amp;""),CHAR(10),""),CHAR(13),""),CHAR(9),""),CHAR(160),"")," ",""),".",""),"-",""),"/",""),"?",""),"_",""),",",""),"[",""),"]",""),"(",""),")",""),"*","")</f>
        <v/>
      </c>
      <c r="BA279" s="61" t="str">
        <f aca="false">SUBSTITUTE(SUBSTITUTE(SUBSTITUTE(SUBSTITUTE(SUBSTITUTE(SUBSTITUTE(SUBSTITUTE(SUBSTITUTE(SUBSTITUTE(SUBSTITUTE(SUBSTITUTE(SUBSTITUTE(SUBSTITUTE(SUBSTITUTE(SUBSTITUTE(SUBSTITUTE(LOWER(AA279&amp;""),CHAR(10),""),CHAR(13),""),CHAR(9),""),CHAR(160),"")," ",""),".",""),"-",""),"/",""),"?",""),"_",""),",",""),"[",""),"]",""),"(",""),")",""),"*","")</f>
        <v/>
      </c>
      <c r="BB279" s="61" t="str">
        <f aca="false">IF(AND(TRIM(U279)="Pass",ISNUMBER(AF279)),IF(AF279&lt;&gt;0,"INVALID – qty variance: use Fail or Pass after CA",""),"")&amp;IF(AND(TRIM(U279)="Pass after CA",ISNUMBER(AF279)),IF(AF279&lt;&gt;0,"INVALID – after the corrective action the actual qty must equal expected (update Actual)",""),"")&amp;IF(AND(TRIM(U279)="Pass",TRIM(AB279)&lt;&gt;"",TRIM(AB279)&lt;&gt;"Closed"),"INVALID – corrective action not closed: use Fail, then Pass after CA","")&amp;IF(AND(LEN(BA279)&gt;=2,ISNA(MATCH(LEFT(BA279,255),L_Placeholder,0)),TRIM(AB279)=""),"INVALID – CA status missing for the recorded corrective action","")&amp;IF(AND(TRIM(U279)="Pass after CA",OR(OR(LEN(BA279)&lt;5,ISNUMBER(MATCH(BA279,L_Placeholder,0))),TRIM(AB279)&lt;&gt;"Closed")),"INVALID – corrective action not recorded/closed","")</f>
        <v/>
      </c>
      <c r="BC279" s="61" t="str">
        <f aca="false">" "&amp;TRIM(SUBSTITUTE(SUBSTITUTE(SUBSTITUTE(SUBSTITUTE(SUBSTITUTE(SUBSTITUTE(SUBSTITUTE(SUBSTITUTE(SUBSTITUTE(SUBSTITUTE(SUBSTITUTE(SUBSTITUTE(SUBSTITUTE(SUBSTITUTE(SUBSTITUTE(SUBSTITUTE(SUBSTITUTE(SUBSTITUTE(SUBSTITUTE(SUBSTITUTE(SUBSTITUTE(SUBSTITUTE(SUBSTITUTE(SUBSTITUTE(LOWER(V279&amp;""),CHAR(10)," "),CHAR(13)," "),CHAR(9)," "),CHAR(160)," "),"."," "),","," "),"-"," "),"/"," "),"("," "),")"," "),":"," "),";"," "),"_"," "),"–"," "),"?"," "),"!"," "),"*"," "),"["," "),"]"," "),"'"," "),"#"," "),"+"," "),"&amp;"," "),"\"," "))&amp;" "</f>
        <v>  </v>
      </c>
      <c r="BD279" s="61" t="str">
        <f aca="false">" "&amp;TRIM(SUBSTITUTE(SUBSTITUTE(SUBSTITUTE(SUBSTITUTE(SUBSTITUTE(SUBSTITUTE(SUBSTITUTE(SUBSTITUTE(SUBSTITUTE(SUBSTITUTE(SUBSTITUTE(SUBSTITUTE(SUBSTITUTE(SUBSTITUTE(SUBSTITUTE(SUBSTITUTE(SUBSTITUTE(SUBSTITUTE(SUBSTITUTE(SUBSTITUTE(SUBSTITUTE(SUBSTITUTE(SUBSTITUTE(SUBSTITUTE(LOWER(Z279&amp;""),CHAR(10)," "),CHAR(13)," "),CHAR(9)," "),CHAR(160)," "),"."," "),","," "),"-"," "),"/"," "),"("," "),")"," "),":"," "),";"," "),"_"," "),"–"," "),"?"," "),"!"," "),"*"," "),"["," "),"]"," "),"'"," "),"#"," "),"+"," "),"&amp;"," "),"\"," "))&amp;" "</f>
        <v>  </v>
      </c>
      <c r="BE279" s="61" t="str">
        <f aca="false">" "&amp;TRIM(SUBSTITUTE(SUBSTITUTE(SUBSTITUTE(SUBSTITUTE(SUBSTITUTE(SUBSTITUTE(SUBSTITUTE(SUBSTITUTE(SUBSTITUTE(SUBSTITUTE(SUBSTITUTE(SUBSTITUTE(SUBSTITUTE(SUBSTITUTE(SUBSTITUTE(SUBSTITUTE(SUBSTITUTE(SUBSTITUTE(SUBSTITUTE(SUBSTITUTE(SUBSTITUTE(SUBSTITUTE(SUBSTITUTE(SUBSTITUTE(LOWER(W279&amp;""),CHAR(10)," "),CHAR(13)," "),CHAR(9)," "),CHAR(160)," "),"."," "),","," "),"-"," "),"/"," "),"("," "),")"," "),":"," "),";"," "),"_"," "),"–"," "),"?"," "),"!"," "),"*"," "),"["," "),"]"," "),"'"," "),"#"," "),"+"," "),"&amp;"," "),"\"," "))&amp;" "</f>
        <v>  </v>
      </c>
      <c r="BF279" s="61" t="str">
        <f aca="false">" "&amp;TRIM(SUBSTITUTE(SUBSTITUTE(SUBSTITUTE(SUBSTITUTE(SUBSTITUTE(SUBSTITUTE(SUBSTITUTE(SUBSTITUTE(SUBSTITUTE(SUBSTITUTE(SUBSTITUTE(SUBSTITUTE(SUBSTITUTE(SUBSTITUTE(SUBSTITUTE(SUBSTITUTE(SUBSTITUTE(SUBSTITUTE(SUBSTITUTE(SUBSTITUTE(SUBSTITUTE(SUBSTITUTE(SUBSTITUTE(SUBSTITUTE(LOWER(AC279&amp;""),CHAR(10)," "),CHAR(13)," "),CHAR(9)," "),CHAR(160)," "),"."," "),","," "),"-"," "),"/"," "),"("," "),")"," "),":"," "),";"," "),"_"," "),"–"," "),"?"," "),"!"," "),"*"," "),"["," "),"]"," "),"'"," "),"#"," "),"+"," "),"&amp;"," "),"\"," "))&amp;" "</f>
        <v>  </v>
      </c>
      <c r="BG279" s="61" t="n">
        <f aca="false">IFERROR(IF(AND(TRIM(U279)="Pass",SUMPRODUCT((LEN(BC279)-LEN(SUBSTITUTE(BC279," "&amp;L_ResultBad&amp;" "," ")))/(LEN(L_ResultBad)+1))&gt;SUMPRODUCT((LEN(BC279)-LEN(SUBSTITUTE(BC279," "&amp;L_NegPhrase&amp;" "," ")))/(LEN(L_NegPhrase)+1))),1,0),0)</f>
        <v>0</v>
      </c>
      <c r="BH279" s="61" t="n">
        <f aca="false">IFERROR(IF(SUMPRODUCT((LEN(BC279)-LEN(SUBSTITUTE(BC279," "&amp;L_Pending&amp;" "," ")))/(LEN(L_Pending)+1))&gt;SUMPRODUCT((LEN(BC279)-LEN(SUBSTITUTE(BC279," "&amp;L_PendNeg&amp;" "," ")))/(LEN(L_PendNeg)+1))+SUMPRODUCT((LEN(BC279)-LEN(SUBSTITUTE(BC279," "&amp;L_PendPrep&amp;" "," ")))/(LEN(L_PendPrep)+1)),1,0),1)</f>
        <v>0</v>
      </c>
      <c r="BI279" s="61" t="n">
        <f aca="false">IFERROR(IF(SUMPRODUCT((LEN(BD279)-LEN(SUBSTITUTE(BD279," "&amp;L_PendStrict&amp;" "," ")))/(LEN(L_PendStrict)+1))&gt;SUMPRODUCT((LEN(BD279)-LEN(SUBSTITUTE(BD279," "&amp;L_PendNeg&amp;" "," ")))/(LEN(L_PendNeg)+1)),1,0),1)</f>
        <v>0</v>
      </c>
      <c r="BJ279" s="61" t="n">
        <f aca="false">IFERROR(IF(SUMPRODUCT((LEN(BE279)-LEN(SUBSTITUTE(BE279," "&amp;L_Pending&amp;" "," ")))/(LEN(L_Pending)+1))&gt;SUMPRODUCT((LEN(BE279)-LEN(SUBSTITUTE(BE279," "&amp;L_PendNeg&amp;" "," ")))/(LEN(L_PendNeg)+1))+SUMPRODUCT((LEN(BE279)-LEN(SUBSTITUTE(BE279," "&amp;L_PendPrep&amp;" "," ")))/(LEN(L_PendPrep)+1)),1,0),1)</f>
        <v>0</v>
      </c>
      <c r="BK279" s="61" t="n">
        <f aca="false">IFERROR(IF(SUMPRODUCT((LEN(BF279)-LEN(SUBSTITUTE(BF279," "&amp;L_PendStrict&amp;" "," ")))/(LEN(L_PendStrict)+1))&gt;SUMPRODUCT((LEN(BF279)-LEN(SUBSTITUTE(BF279," "&amp;L_PendNeg&amp;" "," ")))/(LEN(L_PendNeg)+1)),1,0),1)</f>
        <v>0</v>
      </c>
      <c r="BL279" s="61" t="n">
        <f aca="false">IF(ISNA(MATCH(TRIM(S279),L_EvidenceType,0)),0,BZ279)</f>
        <v>0</v>
      </c>
      <c r="BM279" s="61" t="str">
        <f aca="false">SUBSTITUTE(SUBSTITUTE(SUBSTITUTE(SUBSTITUTE(SUBSTITUTE(SUBSTITUTE(SUBSTITUTE(SUBSTITUTE(SUBSTITUTE(LOWER(Z279&amp;""),"1","0"),"2","0"),"3","0"),"4","0"),"5","0"),"6","0"),"7","0"),"8","0"),"9","0")</f>
        <v/>
      </c>
      <c r="BN279" s="61" t="str">
        <f aca="false">SUBSTITUTE(SUBSTITUTE(SUBSTITUTE(SUBSTITUTE(SUBSTITUTE(SUBSTITUTE(SUBSTITUTE(SUBSTITUTE(SUBSTITUTE(SUBSTITUTE(SUBSTITUTE(SUBSTITUTE(SUBSTITUTE(SUBSTITUTE(SUBSTITUTE(SUBSTITUTE(SUBSTITUTE(SUBSTITUTE(SUBSTITUTE(SUBSTITUTE(SUBSTITUTE(SUBSTITUTE(SUBSTITUTE(SUBSTITUTE(SUBSTITUTE(BM279,"b","a"),"c","a"),"d","a"),"e","a"),"f","a"),"g","a"),"h","a"),"i","a"),"j","a"),"k","a"),"l","a"),"m","a"),"n","a"),"o","a"),"p","a"),"q","a"),"r","a"),"s","a"),"t","a"),"u","a"),"v","a"),"w","a"),"x","a"),"y","a"),"z","a")</f>
        <v/>
      </c>
      <c r="BO279" s="61" t="str">
        <f aca="false">SUBSTITUTE(SUBSTITUTE(SUBSTITUTE(SUBSTITUTE(SUBSTITUTE(SUBSTITUTE(SUBSTITUTE(SUBSTITUTE(SUBSTITUTE(LOWER(W279&amp;""),"1","0"),"2","0"),"3","0"),"4","0"),"5","0"),"6","0"),"7","0"),"8","0"),"9","0")</f>
        <v/>
      </c>
      <c r="BP279" s="61" t="str">
        <f aca="false">SUBSTITUTE(SUBSTITUTE(SUBSTITUTE(SUBSTITUTE(SUBSTITUTE(SUBSTITUTE(SUBSTITUTE(SUBSTITUTE(SUBSTITUTE(SUBSTITUTE(SUBSTITUTE(SUBSTITUTE(SUBSTITUTE(SUBSTITUTE(SUBSTITUTE(SUBSTITUTE(SUBSTITUTE(SUBSTITUTE(SUBSTITUTE(SUBSTITUTE(SUBSTITUTE(SUBSTITUTE(SUBSTITUTE(SUBSTITUTE(SUBSTITUTE(BO279,"b","a"),"c","a"),"d","a"),"e","a"),"f","a"),"g","a"),"h","a"),"i","a"),"j","a"),"k","a"),"l","a"),"m","a"),"n","a"),"o","a"),"p","a"),"q","a"),"r","a"),"s","a"),"t","a"),"u","a"),"v","a"),"w","a"),"x","a"),"y","a"),"z","a")</f>
        <v/>
      </c>
      <c r="BQ279" s="61" t="n">
        <f aca="false">IFERROR(IF(AND(ISERROR(SEARCH(" mh"," "&amp;LOWER(W279))),ISNA(MATCH(LEFT(TRIM(BP279),255),{"0000a","000a","00a","0000aa","000aa","00aa","0aa","0000aaa","000aaa","00a00","0a00","0000-0000","00:00","a00","a0","00.00.0000","00/00/0000","00-00-0000","0000-00-00","0000/00/00","0000.00.00","00.00.00","00/00/00","00-00-00","0.00.0000","0/00/0000","0-00-0000"},0)),ISNA(MATCH(LEFT(TRIM(CA279),255),{"0000a","000a","00a","0000aa","000aa","00aa","0aa","0000aaa","000aaa","00a00","0a00","0000-0000","00:00","a00","a0","00.00.0000","00/00/0000","00-00-0000","0000-00-00","0000/00/00","0000.00.00","00.00.00","00/00/00","00-00-00","0.00.0000","0/00/0000","0-00-0000"},0)),LEN(CB279)&gt;=3,NOT(OR(SUBSTITUTE(CB279,"0","")="",AND(LEN(CB279)&gt;=4,CB279=REPT(LEFT(CB279),LEN(CB279))),ISNUMBER(MATCH(CB279,{"123","1234","12345","123456","1234567","12345678","0123","01234","012345","98765","987654","54321"},0)),AND(LEN(CB279)=8,LEFT(CB279,3)="202"))),OR(AND((LEN(CA279)-LEN(SUBSTITUTE(CA279,"a","")))&gt;=1,SUMPRODUCT(--ISNUMBER(SEARCH({"a0","a-0","a_0","a/0","a.0","a#0","0a","0-a","0_a","0/a"},BP279)))&gt;0),ISNUMBER(SEARCH("000000",BP279)))),1,0),0)</f>
        <v>0</v>
      </c>
      <c r="BR279" s="61" t="n">
        <f aca="false">IFERROR(LEN(SUBSTITUTE(CC279," ",""))-SUMPRODUCT((LEN(CC279)-LEN(SUBSTITUTE(CC279," "&amp;L_Role&amp;" "," ")))/(LEN(L_Role)+1)*LEN(L_Role)),0)</f>
        <v>0</v>
      </c>
      <c r="BS279" s="61" t="n">
        <f aca="false">IFERROR(LEN(SUBSTITUTE(CD279," ",""))-SUMPRODUCT((LEN(CD279)-LEN(SUBSTITUTE(CD279," "&amp;L_Role&amp;" "," ")))/(LEN(L_Role)+1)*LEN(L_Role)),0)</f>
        <v>0</v>
      </c>
      <c r="BT2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279,"revision",""),"version",""),"jan",""),"feb",""),"mar",""),"apr",""),"may",""),"jun",""),"jul",""),"aug",""),"sep",""),"oct",""),"nov",""),"dec",""),"utc",""),"gmt",""),"myt",""),"bst",""),"rev",""),"ver",""),"b","a"),"c","a"),"d","a"),"e","a"),"f","a"),"g","a"),"h","a"),"i","a"),"j","a"),"k","a"),"l","a"),"m","a"),"n","a"),"o","a"),"p","a"),"q","a"),"r","a"),"s","a"),"t","a"),"u","a"),"v","a"),"w","a"),"x","a"),"y","a"),"z","a")</f>
        <v/>
      </c>
      <c r="BU279" s="61" t="str">
        <f aca="false">SUBSTITUTE(SUBSTITUTE(SUBSTITUTE(SUBSTITUTE(SUBSTITUTE(SUBSTITUTE(SUBSTITUTE(SUBSTITUTE(SUBSTITUTE(SUBSTITUTE(LEFT(BM279,FIND("0",BM279&amp;"0")-1),"-",""),"_",""),"/",""),".",""),"#",""),"\\",""),":","")," ",""),"(",""),")","")</f>
        <v/>
      </c>
      <c r="BV279" s="61" t="n">
        <f aca="false">0</f>
        <v>0</v>
      </c>
      <c r="BW2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279&amp;""),"a",""),"b",""),"c",""),"d",""),"e",""),"f",""),"g",""),"h",""),"i",""),"j",""),"k",""),"l",""),"m",""),"n",""),"o",""),"p",""),"q",""),"r",""),"s",""),"t",""),"u",""),"v",""),"w",""),"x",""),"y",""),"z",""),"-",""),"_",""),"/",""),".",""),"#",""),"\\",""),":","")," ",""),"(",""),")","")</f>
        <v/>
      </c>
      <c r="BX279" s="61" t="str">
        <f aca="false">SUBSTITUTE(SUBSTITUTE(SUBSTITUTE(SUBSTITUTE(SUBSTITUTE(SUBSTITUTE(SUBSTITUTE(SUBSTITUTE(SUBSTITUTE(SUBSTITUTE(SUBSTITUTE(BM279,"0",""),"-",""),"_",""),"/",""),".",""),"#",""),"\\",""),":","")," ",""),"(",""),")","")</f>
        <v/>
      </c>
      <c r="BY279" s="62" t="n">
        <f aca="false">Q279-T12EarlyH/24</f>
        <v>46304.0659722222</v>
      </c>
      <c r="BZ279" s="61" t="n">
        <f aca="false">IFERROR(IF(IF(TRIM(S279)="Link / file path",AND(LEN(TRIM(Z279))&gt;=5,SUMPRODUCT(--ISNUMBER(SEARCH({"http","www.","\\",":\",".pdf",".jpg",".jpeg",".png",".heic",".xls",".doc",".msg",".eml",".ppt",".txt",".zip"},Z279)))&gt;0),AND(ISERROR(FIND(" ",TRIM(Z279))),NOT(OR(SUMPRODUCT(--ISNUMBER(FIND({",",";","&amp;","+"},Z279)))&gt;0,SUMPRODUCT(--ISNUMBER(SEARCH({"0/aa","0\\aa"},BN279)))&gt;0)),NOT(SUMPRODUCT(--ISNUMBER(SEARCH({"http","www.","\\",":\",".pdf",".jpg",".jpeg",".png",".heic",".xls",".doc",".msg",".eml",".ppt",".txt",".zip"},Z279)))&gt;0),NOT(LOWER(TRIM(Z279))=LOWER(Flights!$F$12)),ISNA(MATCH(BU279,{"mh","rev","revision","ver","version","v","r","a","b","seat","tray","row","gate","bay","stand","page","pg","item","line","no","cart","galley","flight","flt","table","box","bag","oven","etd","eta","std","sta","atd","ata","qty","pax","x","time","tel","ph","mob","day","wk","week","utc","gmt","myt","lt"},0)),NOT(OR(ISNUMBER(MATCH(LEFT(BN279,255),{"0000a","000a","00a","0000aa","000aa","00aa","0aa","0000aaa","000aaa","00a00","0a00","0000-0000","00:00","a00","a0","00.00.0000","00/00/0000","00-00-0000","0000-00-00","0000/00/00","0000.00.00","00.00.00","00/00/00","00-00-00","0.00.0000","0/00/0000","0-00-0000"},0)),ISNUMBER(MATCH(LEFT(BT279,255),{"0000a","000a","00a","0000aa","000aa","00aa","0aa","0000aaa","000aaa","00a00","0a00","0000-0000","00:00","a00","a0","00.00.0000","00/00/0000","00-00-0000","0000-00-00","0000/00/00","0000.00.00","00.00.00","00/00/00","00-00-00","0.00.0000","0/00/0000","0-00-0000"},0)))),NOT(OR(AND(BW279&lt;&gt;"",SUBSTITUTE(BW279,"0","")=""),AND(LEN(BW279)&gt;=4,BW279=REPT(LEFT(BW279),LEN(BW279))),ISNUMBER(MATCH(BW279,{"123","1234","12345","123456","1234567","12345678","0123","01234","012345","98765","987654","54321"},0)),ISNUMBER(MATCH(BX279,{"x","xx","xxx","xxxx","xxxxx","abc","abcd","nil","na","nan","test","tbc","tba","tbd","dummy","sample","example","eg","zz","zzz","none","null","xyz","qwe","asd","id","ref"},0)),AND(LEN(BW279)=8,BX279="",OR(LEFT(BW279,3)="202",ISNUMBER(MATCH(RIGHT(BW279,4),{"2025","2026","2027"},0)))))),OR(AND((LEN(BT279)-LEN(SUBSTITUTE(BT279,"a","")))&gt;=1,(LEN(BN279)-LEN(SUBSTITUTE(BN279,"0","")))&gt;=2,SUMPRODUCT(--ISNUMBER(SEARCH({"a0","a-0","a_0","a/0","a.0","a#0","0a","0-a","0_a","0/a"},BN279)))&gt;0),AND((LEN(BN279)-LEN(SUBSTITUTE(BN279,"a","")))=0,(LEN(BN279)-LEN(SUBSTITUTE(BN279,"0","")))&gt;=5)))),1,0),0)</f>
        <v>0</v>
      </c>
      <c r="CA2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279,"revision",""),"version",""),"jan",""),"feb",""),"mar",""),"apr",""),"may",""),"jun",""),"jul",""),"aug",""),"sep",""),"oct",""),"nov",""),"dec",""),"utc",""),"gmt",""),"myt",""),"bst",""),"rev",""),"ver",""),"b","a"),"c","a"),"d","a"),"e","a"),"f","a"),"g","a"),"h","a"),"i","a"),"j","a"),"k","a"),"l","a"),"m","a"),"n","a"),"o","a"),"p","a"),"q","a"),"r","a"),"s","a"),"t","a"),"u","a"),"v","a"),"w","a"),"x","a"),"y","a"),"z","a")</f>
        <v/>
      </c>
      <c r="CB2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279&amp;""),"a",""),"b",""),"c",""),"d",""),"e",""),"f",""),"g",""),"h",""),"i",""),"j",""),"k",""),"l",""),"m",""),"n",""),"o",""),"p",""),"q",""),"r",""),"s",""),"t",""),"u",""),"v",""),"w",""),"x",""),"y",""),"z",""),"-",""),"_",""),"/",""),".",""),"#",""),"\\",""),":","")," ",""),"(",""),")","")</f>
        <v/>
      </c>
      <c r="CC279" s="0" t="str">
        <f aca="false">" "&amp;TRIM(SUBSTITUTE(SUBSTITUTE(SUBSTITUTE(SUBSTITUTE(SUBSTITUTE(SUBSTITUTE(SUBSTITUTE(SUBSTITUTE(SUBSTITUTE(SUBSTITUTE(SUBSTITUTE(SUBSTITUTE(SUBSTITUTE(SUBSTITUTE(SUBSTITUTE(SUBSTITUTE(SUBSTITUTE(SUBSTITUTE(SUBSTITUTE(SUBSTITUTE(SUBSTITUTE(SUBSTITUTE(SUBSTITUTE(SUBSTITUTE(LOWER(T279&amp;""),CHAR(10)," "),CHAR(13)," "),CHAR(9)," "),CHAR(160)," "),"."," "),","," "),"-"," "),"/"," "),"("," "),")"," "),":"," "),";"," "),"_"," "),"–"," "),"?"," "),"!"," "),"*"," "),"["," "),"]"," "),"'"," "),"#"," "),"+"," "),"&amp;"," "),"\"," "))&amp;" "</f>
        <v>  </v>
      </c>
      <c r="CD279" s="0" t="str">
        <f aca="false">" "&amp;TRIM(SUBSTITUTE(SUBSTITUTE(SUBSTITUTE(SUBSTITUTE(SUBSTITUTE(SUBSTITUTE(SUBSTITUTE(SUBSTITUTE(SUBSTITUTE(SUBSTITUTE(SUBSTITUTE(SUBSTITUTE(SUBSTITUTE(SUBSTITUTE(SUBSTITUTE(SUBSTITUTE(SUBSTITUTE(SUBSTITUTE(SUBSTITUTE(SUBSTITUTE(SUBSTITUTE(SUBSTITUTE(SUBSTITUTE(SUBSTITUTE(LOWER(AE279&amp;""),CHAR(10)," "),CHAR(13)," "),CHAR(9)," "),CHAR(160)," "),"."," "),","," "),"-"," "),"/"," "),"("," "),")"," "),":"," "),";"," "),"_"," "),"–"," "),"?"," "),"!"," "),"*"," "),"["," "),"]"," "),"'"," "),"#"," "),"+"," "),"&amp;"," "),"\"," "))&amp;" "</f>
        <v>  </v>
      </c>
      <c r="CE279" s="68" t="n">
        <f aca="false">IFERROR(IF(AND(LEN(AU279)&gt;0,LEN(AU279)=LEN(AX279),OR(TRIM(MID(SUBSTITUTE(TRIM(CC279)," ",REPT(" ",60)),1,60))="",ISNUMBER(SEARCH(" "&amp;TRIM(MID(SUBSTITUTE(TRIM(CC279)," ",REPT(" ",60)),1,60))&amp;" ",CD279))),OR(TRIM(MID(SUBSTITUTE(TRIM(CC279)," ",REPT(" ",60)),61,60))="",ISNUMBER(SEARCH(" "&amp;TRIM(MID(SUBSTITUTE(TRIM(CC279)," ",REPT(" ",60)),61,60))&amp;" ",CD279))),OR(TRIM(MID(SUBSTITUTE(TRIM(CC279)," ",REPT(" ",60)),121,60))="",ISNUMBER(SEARCH(" "&amp;TRIM(MID(SUBSTITUTE(TRIM(CC279)," ",REPT(" ",60)),121,60))&amp;" ",CD279)))),1,0),0)</f>
        <v>0</v>
      </c>
      <c r="CG279" s="68" t="n">
        <f aca="false">IFERROR(LEN(SUBSTITUTE(BF279," ",""))-SUMPRODUCT((LEN(BF279)-LEN(SUBSTITUTE(BF279," "&amp;L_NAFiller&amp;" "," ")))/(LEN(L_NAFiller)+1)*LEN(L_NAFiller)),0)</f>
        <v>0</v>
      </c>
    </row>
    <row r="280" customFormat="false" ht="39.75" hidden="false" customHeight="true" outlineLevel="0" collapsed="false">
      <c r="A280" s="57" t="s">
        <v>854</v>
      </c>
      <c r="B280" s="57" t="s">
        <v>238</v>
      </c>
      <c r="C280" s="57" t="str">
        <f aca="false">Flights!$F$12</f>
        <v>MH0752</v>
      </c>
      <c r="D280" s="58" t="n">
        <f aca="false">Flights!$D$12</f>
        <v>46305</v>
      </c>
      <c r="E280" s="57" t="str">
        <f aca="false">Flights!$G$12&amp;"-"&amp;Flights!$H$12</f>
        <v>KUL-HAN</v>
      </c>
      <c r="F280" s="57" t="str">
        <f aca="false">Flights!$K$12</f>
        <v>EY</v>
      </c>
      <c r="G280" s="57" t="s">
        <v>459</v>
      </c>
      <c r="H280" s="57" t="s">
        <v>460</v>
      </c>
      <c r="I280" s="57" t="s">
        <v>379</v>
      </c>
      <c r="J280" s="57" t="s">
        <v>461</v>
      </c>
      <c r="K280" s="67" t="s">
        <v>426</v>
      </c>
      <c r="L280" s="67" t="s">
        <v>462</v>
      </c>
      <c r="M280" s="67"/>
      <c r="N280" s="67" t="s">
        <v>383</v>
      </c>
      <c r="O280" s="67" t="s">
        <v>463</v>
      </c>
      <c r="P280" s="57" t="s">
        <v>187</v>
      </c>
      <c r="Q280" s="59" t="n">
        <f aca="false">ROUND((Flights!$AF$12)*1440,0)/1440</f>
        <v>46305.0659722222</v>
      </c>
      <c r="R280" s="59" t="n">
        <f aca="false">Q280+(IF(AND(INDEX(TZ_DSTS,MATCH(P280,TZ_STN,0))&lt;&gt;"",Q280&gt;=INDEX(TZ_DSTS,MATCH(P280,TZ_STN,0)),Q280&lt;INDEX(TZ_DSTE,MATCH(P280,TZ_STN,0))),INDEX(TZ_DST,MATCH(P280,TZ_STN,0)),INDEX(TZ_STD,MATCH(P280,TZ_STN,0))))/24</f>
        <v>46305.3993055556</v>
      </c>
      <c r="S280" s="60"/>
      <c r="T280" s="60"/>
      <c r="U280" s="60"/>
      <c r="V280" s="60"/>
      <c r="W280" s="61"/>
      <c r="X280" s="60"/>
      <c r="Y280" s="60"/>
      <c r="Z280" s="60"/>
      <c r="AA280" s="60"/>
      <c r="AB280" s="60"/>
      <c r="AC280" s="60"/>
      <c r="AD280" s="66"/>
      <c r="AE280" s="60"/>
      <c r="AF280" s="61" t="str">
        <f aca="false">IF(AND(ISNUMBER(X280),ISNUMBER(Y280)),Y280-X280,"")</f>
        <v/>
      </c>
      <c r="AG280" s="62" t="str">
        <f aca="false">IF(ISNUMBER(AD280),AD280-(IF(AND(INDEX(TZ_DSTS,MATCH(P280,TZ_STN,0))&lt;&gt;"",(AD280-INDEX(TZ_STD,MATCH(P280,TZ_STN,0))/24)&gt;=INDEX(TZ_DSTS,MATCH(P280,TZ_STN,0)),(AD280-INDEX(TZ_STD,MATCH(P280,TZ_STN,0))/24)&lt;INDEX(TZ_DSTE,MATCH(P280,TZ_STN,0))),INDEX(TZ_DST,MATCH(P280,TZ_STN,0)),INDEX(TZ_STD,MATCH(P280,TZ_STN,0))))/24,"")</f>
        <v/>
      </c>
      <c r="AH280" s="65" t="str">
        <f aca="false">IFERROR(IF(N280="N/A – rule",IF(OR(TRIM(U280)="",TRIM(U280)="N/A",TRIM(U280)="Not started"),"N/A – RULE","INVALID – this check does not apply to this aircraft: clear the status (or correct the fleet on Flights)"),IF(TRIM(U280)="N/A",IF(AT280=0,"INVALID – N/A not permitted for this check",IF(AND(TRIM(AB280)&lt;&gt;"",TRIM(AB280)&lt;&gt;"Closed"),"INVALID – corrective action still open",IF(AND(NOT(OR(LEN(AZ280)&lt;15,ISNUMBER(MATCH(AZ280,L_Placeholder,0)))),BK280=0,CG280&gt;=8,NOT(OR(LEN(AU280)&lt;2,ISNUMBER(MATCH(AU280,L_Placeholder,0)))),BR280&gt;=3,NOT(OR(LEN(AX280)&lt;2,ISNUMBER(MATCH(AX280,L_Placeholder,0)))),BS280&gt;=3,TRIM(AE280)&lt;&gt;TRIM(T280),AX280&lt;&gt;AU280,CE280=0),"N/A – JUSTIFIED","INVALID – N/A needs a real, settled reason (not 'not applicable' / 'as above' / TBC), a named PIC and a different named verifier"))),IF(OR(TRIM(U280)="Pass",TRIM(U280)="Pass after CA"),IF(NOT(ISNUMBER(AD280)),"INVALID – completion time missing",IF(OR(OR(LEN(AU280)&lt;2,ISNUMBER(MATCH(AU280,L_Placeholder,0))),BR280&lt;3),"INVALID – PIC missing or not a named person (a role such as QA / CSM is not a name)",IF(OR(LEN(AV280)&lt;2,ISNUMBER(MATCH(AV280,L_Placeholder,0))),"INVALID – result / assessment missing",IF(OR(OR(LEN(AW280)&lt;3,ISNUMBER(MATCH(AW280,L_Placeholder,0))),SUMPRODUCT(--ISNUMBER(SEARCH(" "&amp;L_EvidencePhrase&amp;" ",BD280)))&gt;0,BI280=1),"INVALID – evidence missing, placeholder or not yet on file",IF(ISNA(MATCH(TRIM(S280),L_EvidenceType,0)),"INVALID – choose the evidence type from the list (column S)",IF(BL280=0,"INVALID – evidence ID must be the record's own ID only (e.g. SF-2210, IMG_2231, 1045521); a link / file name needs type 'Link / file path'",IF(OR(OR(LEN(AX280)&lt;2,ISNUMBER(MATCH(AX280,L_Placeholder,0))),BS280&lt;3),"INVALID – verifier missing or not a named person (a role such as QA / CSM is not a name)",IF(OR(AX280=AU280,CE280=1,AND(LEN(AU280)&gt;=4,ISNUMBER(SEARCH(AU280,AX280))),AND(LEN(AX280)&gt;=4,ISNUMBER(SEARCH(AX280,AU280)))),"INVALID – verifier must be a different, named person (not the PIC or a role)",IF(BH280=1,"INVALID – result not yet available (awaiting / TBC)",IF(BG280=1,"INVALID – result describes a problem: record Fail, then Pass after CA (or reword if it is not a problem)",IF(BV280=1,"INVALID – wording says not on board: an on-board confirmation needs the item loaded",IF(AND(AQ280=1,OR(OR(LEN(AY280)&lt;3,ISNUMBER(MATCH(AY280,L_Placeholder,0))),BJ280=1,BQ280=0)),"INVALID – batch ID missing, placeholder or not an ID (e.g. PASB-261008-BC-017)",IF(AND(AR280=1,OR(NOT(ISNUMBER(X280)),NOT(ISNUMBER(Y280)))),"INVALID – expected/actual qty missing",IF(AND(AR280=1,OR(X280&lt;=0,Y280&lt;0)),"INVALID – expected qty must be above 0 and actual not negative",IF(AH273="N/A – JUSTIFIED","INVALID – preparation row F08-T12-02 is N/A",IF(AND(AR280=1,ISNUMBER(X273),X280&lt;&gt;X273,TRIM(U280)&lt;&gt;"Pass after CA"),"INVALID – expected qty differs from preparation check F08-T12-02: record the load change as a corrective action (Pass after CA)",IF(BB280&lt;&gt;"",BB280,IF(AND(AS280=1,Documents!$J$12&lt;&gt;"ON FILE"),"INVALID – GLD not on file (Documents sheet)",IF(AND(AS280=2,Documents!$O$12&lt;&gt;"ON FILE"),"INVALID – menu checklist not on file (Documents sheet)",IF(AND(AS280=3,NOT(ISNUMBER(Flights!$AX$12))),"INVALID – enter carrying flight KUL departure (Flights AX)",IF(AND(AS280=3,OR(Flights!$AZ$12&gt;Flights!$AA$12,Flights!$AX$12&lt;Flights!$AA$12-3)),"INVALID – carrying flight (Flights AX) cannot arrive before this leg's STD, or is over 3 days early",IF(AG280&gt;AsOfUTC,"INVALID – completion time is in the future",IF(AND(ISNUMBER(BY280),AG280&lt;BY280),IF(H280="Physical uplift","INVALID – before uplift window (cannot confirm loading)","INVALID – before valid window"),IF(AG280&gt;Flights!$AA$12,"INVALID – completed after departure (cannot establish readiness)",IF(AND(H280="Preparation",AG280&gt;=IF(ISNUMBER(Flights!$BA$12),MIN(Flights!$BA$12,Flights!$AA$12),Flights!$AA$12)),"INVALID – completed after loading / departure (cannot establish readiness)",IF(AND(H280="Physical uplift",AG280&gt;Q280),"INVALID – recorded after the loading flight departed",IF(AG280&gt;Q280,"COMPLETE – LATE","COMPLETE"))))))))))))))))))))))))))),IF(TRIM(U280)="Fail","FAIL – DISCREPANCY",IF(AND(TRIM(U280)&lt;&gt;"",TRIM(U280)&lt;&gt;"Not started",TRIM(U280)&lt;&gt;"In progress"),"INVALID – unrecognised status (use the list)",IF(AsOfUTC&gt;Q280,"OVERDUE",IF(N280="Clarification required","OPEN – CLARIFICATION","OPEN"))))))),"INVALID – error value in an input cell")</f>
        <v>OPEN</v>
      </c>
      <c r="AI280" s="61" t="n">
        <f aca="false">IF(OR(AH280="N/A – RULE",AH280="N/A – JUSTIFIED"),0,1)</f>
        <v>1</v>
      </c>
      <c r="AJ280" s="61" t="n">
        <f aca="false">IF(LEFT(AH280,8)="COMPLETE",1,0)</f>
        <v>0</v>
      </c>
      <c r="AK280" s="61" t="n">
        <f aca="false">IF(AND(AI280=1,AJ280=0,AsOfUTC&gt;Q280),1,0)</f>
        <v>0</v>
      </c>
      <c r="AL280" s="61" t="n">
        <f aca="false">IFERROR(IF(AND(AI280=1,OR(TRIM(U280)="Fail",AND(TRIM(AB280)&lt;&gt;"",TRIM(AB280)&lt;&gt;"Closed"),AND(ISNUMBER(AF280),AF280&lt;&gt;0,TRIM(U280)&lt;&gt;"Pass after CA"))),1,0),1)</f>
        <v>0</v>
      </c>
      <c r="AM280" s="61" t="n">
        <f aca="false">IF(LEFT(AH280,7)="INVALID",1,0)</f>
        <v>0</v>
      </c>
      <c r="AN280" s="61" t="n">
        <f aca="false">IF(AND(N280="Clarification required",AI280=1,AJ280=0),1,0)</f>
        <v>0</v>
      </c>
      <c r="AO280" s="61" t="str">
        <f aca="false">IF(AK280=1,SUM(AK$5:AK280),"")</f>
        <v/>
      </c>
      <c r="AP280" s="61" t="str">
        <f aca="false">IF(AL280=1,SUM(AL$5:AL280),"")</f>
        <v/>
      </c>
      <c r="AQ280" s="61" t="n">
        <v>0</v>
      </c>
      <c r="AR280" s="61" t="n">
        <v>1</v>
      </c>
      <c r="AS280" s="61" t="n">
        <v>0</v>
      </c>
      <c r="AT280" s="61" t="n">
        <v>0</v>
      </c>
      <c r="AU280" s="61" t="str">
        <f aca="false">SUBSTITUTE(SUBSTITUTE(SUBSTITUTE(SUBSTITUTE(SUBSTITUTE(SUBSTITUTE(SUBSTITUTE(SUBSTITUTE(SUBSTITUTE(SUBSTITUTE(SUBSTITUTE(SUBSTITUTE(SUBSTITUTE(SUBSTITUTE(SUBSTITUTE(SUBSTITUTE(LOWER(T280&amp;""),CHAR(10),""),CHAR(13),""),CHAR(9),""),CHAR(160),"")," ",""),".",""),"-",""),"/",""),"?",""),"_",""),",",""),"[",""),"]",""),"(",""),")",""),"*","")</f>
        <v/>
      </c>
      <c r="AV280" s="61" t="str">
        <f aca="false">SUBSTITUTE(SUBSTITUTE(SUBSTITUTE(SUBSTITUTE(SUBSTITUTE(SUBSTITUTE(SUBSTITUTE(SUBSTITUTE(SUBSTITUTE(SUBSTITUTE(SUBSTITUTE(SUBSTITUTE(SUBSTITUTE(SUBSTITUTE(SUBSTITUTE(SUBSTITUTE(LOWER(V280&amp;""),CHAR(10),""),CHAR(13),""),CHAR(9),""),CHAR(160),"")," ",""),".",""),"-",""),"/",""),"?",""),"_",""),",",""),"[",""),"]",""),"(",""),")",""),"*","")</f>
        <v/>
      </c>
      <c r="AW280" s="61" t="str">
        <f aca="false">SUBSTITUTE(SUBSTITUTE(SUBSTITUTE(SUBSTITUTE(SUBSTITUTE(SUBSTITUTE(SUBSTITUTE(SUBSTITUTE(SUBSTITUTE(SUBSTITUTE(SUBSTITUTE(SUBSTITUTE(SUBSTITUTE(SUBSTITUTE(SUBSTITUTE(SUBSTITUTE(LOWER(Z280&amp;""),CHAR(10),""),CHAR(13),""),CHAR(9),""),CHAR(160),"")," ",""),".",""),"-",""),"/",""),"?",""),"_",""),",",""),"[",""),"]",""),"(",""),")",""),"*","")</f>
        <v/>
      </c>
      <c r="AX280" s="61" t="str">
        <f aca="false">SUBSTITUTE(SUBSTITUTE(SUBSTITUTE(SUBSTITUTE(SUBSTITUTE(SUBSTITUTE(SUBSTITUTE(SUBSTITUTE(SUBSTITUTE(SUBSTITUTE(SUBSTITUTE(SUBSTITUTE(SUBSTITUTE(SUBSTITUTE(SUBSTITUTE(SUBSTITUTE(LOWER(AE280&amp;""),CHAR(10),""),CHAR(13),""),CHAR(9),""),CHAR(160),"")," ",""),".",""),"-",""),"/",""),"?",""),"_",""),",",""),"[",""),"]",""),"(",""),")",""),"*","")</f>
        <v/>
      </c>
      <c r="AY280" s="61" t="str">
        <f aca="false">SUBSTITUTE(SUBSTITUTE(SUBSTITUTE(SUBSTITUTE(SUBSTITUTE(SUBSTITUTE(SUBSTITUTE(SUBSTITUTE(SUBSTITUTE(SUBSTITUTE(SUBSTITUTE(SUBSTITUTE(SUBSTITUTE(SUBSTITUTE(SUBSTITUTE(SUBSTITUTE(LOWER(W280&amp;""),CHAR(10),""),CHAR(13),""),CHAR(9),""),CHAR(160),"")," ",""),".",""),"-",""),"/",""),"?",""),"_",""),",",""),"[",""),"]",""),"(",""),")",""),"*","")</f>
        <v/>
      </c>
      <c r="AZ280" s="61" t="str">
        <f aca="false">SUBSTITUTE(SUBSTITUTE(SUBSTITUTE(SUBSTITUTE(SUBSTITUTE(SUBSTITUTE(SUBSTITUTE(SUBSTITUTE(SUBSTITUTE(SUBSTITUTE(SUBSTITUTE(SUBSTITUTE(SUBSTITUTE(SUBSTITUTE(SUBSTITUTE(SUBSTITUTE(LOWER(AC280&amp;""),CHAR(10),""),CHAR(13),""),CHAR(9),""),CHAR(160),"")," ",""),".",""),"-",""),"/",""),"?",""),"_",""),",",""),"[",""),"]",""),"(",""),")",""),"*","")</f>
        <v/>
      </c>
      <c r="BA280" s="61" t="str">
        <f aca="false">SUBSTITUTE(SUBSTITUTE(SUBSTITUTE(SUBSTITUTE(SUBSTITUTE(SUBSTITUTE(SUBSTITUTE(SUBSTITUTE(SUBSTITUTE(SUBSTITUTE(SUBSTITUTE(SUBSTITUTE(SUBSTITUTE(SUBSTITUTE(SUBSTITUTE(SUBSTITUTE(LOWER(AA280&amp;""),CHAR(10),""),CHAR(13),""),CHAR(9),""),CHAR(160),"")," ",""),".",""),"-",""),"/",""),"?",""),"_",""),",",""),"[",""),"]",""),"(",""),")",""),"*","")</f>
        <v/>
      </c>
      <c r="BB280" s="61" t="str">
        <f aca="false">IF(AND(TRIM(U280)="Pass",ISNUMBER(AF280)),IF(AF280&lt;&gt;0,"INVALID – qty variance: use Fail or Pass after CA",""),"")&amp;IF(AND(TRIM(U280)="Pass after CA",ISNUMBER(AF280)),IF(AF280&lt;&gt;0,"INVALID – after the corrective action the actual qty must equal expected (update Actual)",""),"")&amp;IF(AND(TRIM(U280)="Pass",TRIM(AB280)&lt;&gt;"",TRIM(AB280)&lt;&gt;"Closed"),"INVALID – corrective action not closed: use Fail, then Pass after CA","")&amp;IF(AND(LEN(BA280)&gt;=2,ISNA(MATCH(LEFT(BA280,255),L_Placeholder,0)),TRIM(AB280)=""),"INVALID – CA status missing for the recorded corrective action","")&amp;IF(AND(TRIM(U280)="Pass after CA",OR(OR(LEN(BA280)&lt;5,ISNUMBER(MATCH(BA280,L_Placeholder,0))),TRIM(AB280)&lt;&gt;"Closed")),"INVALID – corrective action not recorded/closed","")</f>
        <v/>
      </c>
      <c r="BC280" s="61" t="str">
        <f aca="false">" "&amp;TRIM(SUBSTITUTE(SUBSTITUTE(SUBSTITUTE(SUBSTITUTE(SUBSTITUTE(SUBSTITUTE(SUBSTITUTE(SUBSTITUTE(SUBSTITUTE(SUBSTITUTE(SUBSTITUTE(SUBSTITUTE(SUBSTITUTE(SUBSTITUTE(SUBSTITUTE(SUBSTITUTE(SUBSTITUTE(SUBSTITUTE(SUBSTITUTE(SUBSTITUTE(SUBSTITUTE(SUBSTITUTE(SUBSTITUTE(SUBSTITUTE(LOWER(V280&amp;""),CHAR(10)," "),CHAR(13)," "),CHAR(9)," "),CHAR(160)," "),"."," "),","," "),"-"," "),"/"," "),"("," "),")"," "),":"," "),";"," "),"_"," "),"–"," "),"?"," "),"!"," "),"*"," "),"["," "),"]"," "),"'"," "),"#"," "),"+"," "),"&amp;"," "),"\"," "))&amp;" "</f>
        <v>  </v>
      </c>
      <c r="BD280" s="61" t="str">
        <f aca="false">" "&amp;TRIM(SUBSTITUTE(SUBSTITUTE(SUBSTITUTE(SUBSTITUTE(SUBSTITUTE(SUBSTITUTE(SUBSTITUTE(SUBSTITUTE(SUBSTITUTE(SUBSTITUTE(SUBSTITUTE(SUBSTITUTE(SUBSTITUTE(SUBSTITUTE(SUBSTITUTE(SUBSTITUTE(SUBSTITUTE(SUBSTITUTE(SUBSTITUTE(SUBSTITUTE(SUBSTITUTE(SUBSTITUTE(SUBSTITUTE(SUBSTITUTE(LOWER(Z280&amp;""),CHAR(10)," "),CHAR(13)," "),CHAR(9)," "),CHAR(160)," "),"."," "),","," "),"-"," "),"/"," "),"("," "),")"," "),":"," "),";"," "),"_"," "),"–"," "),"?"," "),"!"," "),"*"," "),"["," "),"]"," "),"'"," "),"#"," "),"+"," "),"&amp;"," "),"\"," "))&amp;" "</f>
        <v>  </v>
      </c>
      <c r="BE280" s="61" t="str">
        <f aca="false">" "&amp;TRIM(SUBSTITUTE(SUBSTITUTE(SUBSTITUTE(SUBSTITUTE(SUBSTITUTE(SUBSTITUTE(SUBSTITUTE(SUBSTITUTE(SUBSTITUTE(SUBSTITUTE(SUBSTITUTE(SUBSTITUTE(SUBSTITUTE(SUBSTITUTE(SUBSTITUTE(SUBSTITUTE(SUBSTITUTE(SUBSTITUTE(SUBSTITUTE(SUBSTITUTE(SUBSTITUTE(SUBSTITUTE(SUBSTITUTE(SUBSTITUTE(LOWER(W280&amp;""),CHAR(10)," "),CHAR(13)," "),CHAR(9)," "),CHAR(160)," "),"."," "),","," "),"-"," "),"/"," "),"("," "),")"," "),":"," "),";"," "),"_"," "),"–"," "),"?"," "),"!"," "),"*"," "),"["," "),"]"," "),"'"," "),"#"," "),"+"," "),"&amp;"," "),"\"," "))&amp;" "</f>
        <v>  </v>
      </c>
      <c r="BF280" s="61" t="str">
        <f aca="false">" "&amp;TRIM(SUBSTITUTE(SUBSTITUTE(SUBSTITUTE(SUBSTITUTE(SUBSTITUTE(SUBSTITUTE(SUBSTITUTE(SUBSTITUTE(SUBSTITUTE(SUBSTITUTE(SUBSTITUTE(SUBSTITUTE(SUBSTITUTE(SUBSTITUTE(SUBSTITUTE(SUBSTITUTE(SUBSTITUTE(SUBSTITUTE(SUBSTITUTE(SUBSTITUTE(SUBSTITUTE(SUBSTITUTE(SUBSTITUTE(SUBSTITUTE(LOWER(AC280&amp;""),CHAR(10)," "),CHAR(13)," "),CHAR(9)," "),CHAR(160)," "),"."," "),","," "),"-"," "),"/"," "),"("," "),")"," "),":"," "),";"," "),"_"," "),"–"," "),"?"," "),"!"," "),"*"," "),"["," "),"]"," "),"'"," "),"#"," "),"+"," "),"&amp;"," "),"\"," "))&amp;" "</f>
        <v>  </v>
      </c>
      <c r="BG280" s="61" t="n">
        <f aca="false">IFERROR(IF(AND(TRIM(U280)="Pass",SUMPRODUCT((LEN(BC280)-LEN(SUBSTITUTE(BC280," "&amp;L_ResultBad&amp;" "," ")))/(LEN(L_ResultBad)+1))&gt;SUMPRODUCT((LEN(BC280)-LEN(SUBSTITUTE(BC280," "&amp;L_NegPhrase&amp;" "," ")))/(LEN(L_NegPhrase)+1))),1,0),0)</f>
        <v>0</v>
      </c>
      <c r="BH280" s="61" t="n">
        <f aca="false">IFERROR(IF(SUMPRODUCT((LEN(BC280)-LEN(SUBSTITUTE(BC280," "&amp;L_Pending&amp;" "," ")))/(LEN(L_Pending)+1))&gt;SUMPRODUCT((LEN(BC280)-LEN(SUBSTITUTE(BC280," "&amp;L_PendNeg&amp;" "," ")))/(LEN(L_PendNeg)+1)),1,0),1)</f>
        <v>0</v>
      </c>
      <c r="BI280" s="61" t="n">
        <f aca="false">IFERROR(IF(SUMPRODUCT((LEN(BD280)-LEN(SUBSTITUTE(BD280," "&amp;L_PendStrict&amp;" "," ")))/(LEN(L_PendStrict)+1))&gt;SUMPRODUCT((LEN(BD280)-LEN(SUBSTITUTE(BD280," "&amp;L_PendNeg&amp;" "," ")))/(LEN(L_PendNeg)+1)),1,0),1)</f>
        <v>0</v>
      </c>
      <c r="BJ280" s="61" t="n">
        <f aca="false">IFERROR(IF(SUMPRODUCT((LEN(BE280)-LEN(SUBSTITUTE(BE280," "&amp;L_Pending&amp;" "," ")))/(LEN(L_Pending)+1))&gt;SUMPRODUCT((LEN(BE280)-LEN(SUBSTITUTE(BE280," "&amp;L_PendNeg&amp;" "," ")))/(LEN(L_PendNeg)+1)),1,0),1)</f>
        <v>0</v>
      </c>
      <c r="BK280" s="61" t="n">
        <f aca="false">IFERROR(IF(SUMPRODUCT((LEN(BF280)-LEN(SUBSTITUTE(BF280," "&amp;L_PendStrict&amp;" "," ")))/(LEN(L_PendStrict)+1))&gt;SUMPRODUCT((LEN(BF280)-LEN(SUBSTITUTE(BF280," "&amp;L_PendNeg&amp;" "," ")))/(LEN(L_PendNeg)+1)),1,0),1)</f>
        <v>0</v>
      </c>
      <c r="BL280" s="61" t="n">
        <f aca="false">IF(ISNA(MATCH(TRIM(S280),L_EvidenceType,0)),0,BZ280)</f>
        <v>0</v>
      </c>
      <c r="BM280" s="61" t="str">
        <f aca="false">SUBSTITUTE(SUBSTITUTE(SUBSTITUTE(SUBSTITUTE(SUBSTITUTE(SUBSTITUTE(SUBSTITUTE(SUBSTITUTE(SUBSTITUTE(LOWER(Z280&amp;""),"1","0"),"2","0"),"3","0"),"4","0"),"5","0"),"6","0"),"7","0"),"8","0"),"9","0")</f>
        <v/>
      </c>
      <c r="BN280" s="61" t="str">
        <f aca="false">SUBSTITUTE(SUBSTITUTE(SUBSTITUTE(SUBSTITUTE(SUBSTITUTE(SUBSTITUTE(SUBSTITUTE(SUBSTITUTE(SUBSTITUTE(SUBSTITUTE(SUBSTITUTE(SUBSTITUTE(SUBSTITUTE(SUBSTITUTE(SUBSTITUTE(SUBSTITUTE(SUBSTITUTE(SUBSTITUTE(SUBSTITUTE(SUBSTITUTE(SUBSTITUTE(SUBSTITUTE(SUBSTITUTE(SUBSTITUTE(SUBSTITUTE(BM280,"b","a"),"c","a"),"d","a"),"e","a"),"f","a"),"g","a"),"h","a"),"i","a"),"j","a"),"k","a"),"l","a"),"m","a"),"n","a"),"o","a"),"p","a"),"q","a"),"r","a"),"s","a"),"t","a"),"u","a"),"v","a"),"w","a"),"x","a"),"y","a"),"z","a")</f>
        <v/>
      </c>
      <c r="BO280" s="61" t="str">
        <f aca="false">SUBSTITUTE(SUBSTITUTE(SUBSTITUTE(SUBSTITUTE(SUBSTITUTE(SUBSTITUTE(SUBSTITUTE(SUBSTITUTE(SUBSTITUTE(LOWER(W280&amp;""),"1","0"),"2","0"),"3","0"),"4","0"),"5","0"),"6","0"),"7","0"),"8","0"),"9","0")</f>
        <v/>
      </c>
      <c r="BP280" s="61" t="str">
        <f aca="false">SUBSTITUTE(SUBSTITUTE(SUBSTITUTE(SUBSTITUTE(SUBSTITUTE(SUBSTITUTE(SUBSTITUTE(SUBSTITUTE(SUBSTITUTE(SUBSTITUTE(SUBSTITUTE(SUBSTITUTE(SUBSTITUTE(SUBSTITUTE(SUBSTITUTE(SUBSTITUTE(SUBSTITUTE(SUBSTITUTE(SUBSTITUTE(SUBSTITUTE(SUBSTITUTE(SUBSTITUTE(SUBSTITUTE(SUBSTITUTE(SUBSTITUTE(BO280,"b","a"),"c","a"),"d","a"),"e","a"),"f","a"),"g","a"),"h","a"),"i","a"),"j","a"),"k","a"),"l","a"),"m","a"),"n","a"),"o","a"),"p","a"),"q","a"),"r","a"),"s","a"),"t","a"),"u","a"),"v","a"),"w","a"),"x","a"),"y","a"),"z","a")</f>
        <v/>
      </c>
      <c r="BQ280" s="61" t="n">
        <f aca="false">IFERROR(IF(AND(ISERROR(SEARCH(" mh"," "&amp;LOWER(W280))),ISNA(MATCH(LEFT(TRIM(BP280),255),{"0000a","000a","00a","0000aa","000aa","00aa","0aa","0000aaa","000aaa","00a00","0a00","0000-0000","00:00","a00","a0","00.00.0000","00/00/0000","00-00-0000","0000-00-00","0000/00/00","0000.00.00","00.00.00","00/00/00","00-00-00","0.00.0000","0/00/0000","0-00-0000"},0)),ISNA(MATCH(LEFT(TRIM(CA280),255),{"0000a","000a","00a","0000aa","000aa","00aa","0aa","0000aaa","000aaa","00a00","0a00","0000-0000","00:00","a00","a0","00.00.0000","00/00/0000","00-00-0000","0000-00-00","0000/00/00","0000.00.00","00.00.00","00/00/00","00-00-00","0.00.0000","0/00/0000","0-00-0000"},0)),LEN(CB280)&gt;=3,NOT(OR(SUBSTITUTE(CB280,"0","")="",AND(LEN(CB280)&gt;=4,CB280=REPT(LEFT(CB280),LEN(CB280))),ISNUMBER(MATCH(CB280,{"123","1234","12345","123456","1234567","12345678","0123","01234","012345","98765","987654","54321"},0)),AND(LEN(CB280)=8,LEFT(CB280,3)="202"))),OR(AND((LEN(CA280)-LEN(SUBSTITUTE(CA280,"a","")))&gt;=1,SUMPRODUCT(--ISNUMBER(SEARCH({"a0","a-0","a_0","a/0","a.0","a#0","0a","0-a","0_a","0/a"},BP280)))&gt;0),ISNUMBER(SEARCH("000000",BP280)))),1,0),0)</f>
        <v>0</v>
      </c>
      <c r="BR280" s="61" t="n">
        <f aca="false">IFERROR(LEN(SUBSTITUTE(CC280," ",""))-SUMPRODUCT((LEN(CC280)-LEN(SUBSTITUTE(CC280," "&amp;L_Role&amp;" "," ")))/(LEN(L_Role)+1)*LEN(L_Role)),0)</f>
        <v>0</v>
      </c>
      <c r="BS280" s="61" t="n">
        <f aca="false">IFERROR(LEN(SUBSTITUTE(CD280," ",""))-SUMPRODUCT((LEN(CD280)-LEN(SUBSTITUTE(CD280," "&amp;L_Role&amp;" "," ")))/(LEN(L_Role)+1)*LEN(L_Role)),0)</f>
        <v>0</v>
      </c>
      <c r="BT2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280,"revision",""),"version",""),"jan",""),"feb",""),"mar",""),"apr",""),"may",""),"jun",""),"jul",""),"aug",""),"sep",""),"oct",""),"nov",""),"dec",""),"utc",""),"gmt",""),"myt",""),"bst",""),"rev",""),"ver",""),"b","a"),"c","a"),"d","a"),"e","a"),"f","a"),"g","a"),"h","a"),"i","a"),"j","a"),"k","a"),"l","a"),"m","a"),"n","a"),"o","a"),"p","a"),"q","a"),"r","a"),"s","a"),"t","a"),"u","a"),"v","a"),"w","a"),"x","a"),"y","a"),"z","a")</f>
        <v/>
      </c>
      <c r="BU280" s="61" t="str">
        <f aca="false">SUBSTITUTE(SUBSTITUTE(SUBSTITUTE(SUBSTITUTE(SUBSTITUTE(SUBSTITUTE(SUBSTITUTE(SUBSTITUTE(SUBSTITUTE(SUBSTITUTE(LEFT(BM280,FIND("0",BM280&amp;"0")-1),"-",""),"_",""),"/",""),".",""),"#",""),"\\",""),":","")," ",""),"(",""),")","")</f>
        <v/>
      </c>
      <c r="BV280" s="61" t="n">
        <f aca="false">IFERROR(IF(OR(SUMPRODUCT((LEN(BC280)-LEN(SUBSTITUTE(BC280," "&amp;L_NotLoaded&amp;" "," ")))/(LEN(L_NotLoaded)+1))&gt;SUMPRODUCT((LEN(BC280)-LEN(SUBSTITUTE(BC280," "&amp;L_NotLoadedNeg&amp;" "," ")))/(LEN(L_NotLoadedNeg)+1)),SUMPRODUCT((LEN(BD280)-LEN(SUBSTITUTE(BD280," "&amp;L_NotLoaded&amp;" "," ")))/(LEN(L_NotLoaded)+1))&gt;SUMPRODUCT((LEN(BD280)-LEN(SUBSTITUTE(BD280," "&amp;L_NotLoadedNeg&amp;" "," ")))/(LEN(L_NotLoadedNeg)+1))),1,0),0)</f>
        <v>0</v>
      </c>
      <c r="BW2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280&amp;""),"a",""),"b",""),"c",""),"d",""),"e",""),"f",""),"g",""),"h",""),"i",""),"j",""),"k",""),"l",""),"m",""),"n",""),"o",""),"p",""),"q",""),"r",""),"s",""),"t",""),"u",""),"v",""),"w",""),"x",""),"y",""),"z",""),"-",""),"_",""),"/",""),".",""),"#",""),"\\",""),":","")," ",""),"(",""),")","")</f>
        <v/>
      </c>
      <c r="BX280" s="61" t="str">
        <f aca="false">SUBSTITUTE(SUBSTITUTE(SUBSTITUTE(SUBSTITUTE(SUBSTITUTE(SUBSTITUTE(SUBSTITUTE(SUBSTITUTE(SUBSTITUTE(SUBSTITUTE(SUBSTITUTE(BM280,"0",""),"-",""),"_",""),"/",""),".",""),"#",""),"\\",""),":","")," ",""),"(",""),")","")</f>
        <v/>
      </c>
      <c r="BY280" s="62" t="n">
        <f aca="false">IF(ISNUMBER(Flights!$AZ$12),MAX(Q280-UpliftWindowH/24,Flights!$AZ$12),Q280-UpliftWindowH/24)</f>
        <v>46304.8159722222</v>
      </c>
      <c r="BZ280" s="61" t="n">
        <f aca="false">IFERROR(IF(IF(TRIM(S280)="Link / file path",AND(LEN(TRIM(Z280))&gt;=5,SUMPRODUCT(--ISNUMBER(SEARCH({"http","www.","\\",":\",".pdf",".jpg",".jpeg",".png",".heic",".xls",".doc",".msg",".eml",".ppt",".txt",".zip"},Z280)))&gt;0),AND(ISERROR(FIND(" ",TRIM(Z280))),NOT(OR(SUMPRODUCT(--ISNUMBER(FIND({",",";","&amp;","+"},Z280)))&gt;0,SUMPRODUCT(--ISNUMBER(SEARCH({"0/aa","0\\aa"},BN280)))&gt;0)),NOT(SUMPRODUCT(--ISNUMBER(SEARCH({"http","www.","\\",":\",".pdf",".jpg",".jpeg",".png",".heic",".xls",".doc",".msg",".eml",".ppt",".txt",".zip"},Z280)))&gt;0),NOT(LOWER(TRIM(Z280))=LOWER(Flights!$F$12)),ISNA(MATCH(BU280,{"mh","rev","revision","ver","version","v","r","a","b","seat","tray","row","gate","bay","stand","page","pg","item","line","no","cart","galley","flight","flt","table","box","bag","oven","etd","eta","std","sta","atd","ata","qty","pax","x","time","tel","ph","mob","day","wk","week","utc","gmt","myt","lt"},0)),NOT(OR(ISNUMBER(MATCH(LEFT(BN280,255),{"0000a","000a","00a","0000aa","000aa","00aa","0aa","0000aaa","000aaa","00a00","0a00","0000-0000","00:00","a00","a0","00.00.0000","00/00/0000","00-00-0000","0000-00-00","0000/00/00","0000.00.00","00.00.00","00/00/00","00-00-00","0.00.0000","0/00/0000","0-00-0000"},0)),ISNUMBER(MATCH(LEFT(BT280,255),{"0000a","000a","00a","0000aa","000aa","00aa","0aa","0000aaa","000aaa","00a00","0a00","0000-0000","00:00","a00","a0","00.00.0000","00/00/0000","00-00-0000","0000-00-00","0000/00/00","0000.00.00","00.00.00","00/00/00","00-00-00","0.00.0000","0/00/0000","0-00-0000"},0)))),NOT(OR(AND(BW280&lt;&gt;"",SUBSTITUTE(BW280,"0","")=""),AND(LEN(BW280)&gt;=4,BW280=REPT(LEFT(BW280),LEN(BW280))),ISNUMBER(MATCH(BW280,{"123","1234","12345","123456","1234567","12345678","0123","01234","012345","98765","987654","54321"},0)),ISNUMBER(MATCH(BX280,{"x","xx","xxx","xxxx","xxxxx","abc","abcd","nil","na","nan","test","tbc","tba","tbd","dummy","sample","example","eg","zz","zzz","none","null","xyz","qwe","asd","id","ref"},0)),AND(LEN(BW280)=8,BX280="",OR(LEFT(BW280,3)="202",ISNUMBER(MATCH(RIGHT(BW280,4),{"2025","2026","2027"},0)))))),OR(AND((LEN(BT280)-LEN(SUBSTITUTE(BT280,"a","")))&gt;=1,(LEN(BN280)-LEN(SUBSTITUTE(BN280,"0","")))&gt;=2,SUMPRODUCT(--ISNUMBER(SEARCH({"a0","a-0","a_0","a/0","a.0","a#0","0a","0-a","0_a","0/a"},BN280)))&gt;0),AND((LEN(BN280)-LEN(SUBSTITUTE(BN280,"a","")))=0,(LEN(BN280)-LEN(SUBSTITUTE(BN280,"0","")))&gt;=5)))),1,0),0)</f>
        <v>0</v>
      </c>
      <c r="CA2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280,"revision",""),"version",""),"jan",""),"feb",""),"mar",""),"apr",""),"may",""),"jun",""),"jul",""),"aug",""),"sep",""),"oct",""),"nov",""),"dec",""),"utc",""),"gmt",""),"myt",""),"bst",""),"rev",""),"ver",""),"b","a"),"c","a"),"d","a"),"e","a"),"f","a"),"g","a"),"h","a"),"i","a"),"j","a"),"k","a"),"l","a"),"m","a"),"n","a"),"o","a"),"p","a"),"q","a"),"r","a"),"s","a"),"t","a"),"u","a"),"v","a"),"w","a"),"x","a"),"y","a"),"z","a")</f>
        <v/>
      </c>
      <c r="CB2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280&amp;""),"a",""),"b",""),"c",""),"d",""),"e",""),"f",""),"g",""),"h",""),"i",""),"j",""),"k",""),"l",""),"m",""),"n",""),"o",""),"p",""),"q",""),"r",""),"s",""),"t",""),"u",""),"v",""),"w",""),"x",""),"y",""),"z",""),"-",""),"_",""),"/",""),".",""),"#",""),"\\",""),":","")," ",""),"(",""),")","")</f>
        <v/>
      </c>
      <c r="CC280" s="0" t="str">
        <f aca="false">" "&amp;TRIM(SUBSTITUTE(SUBSTITUTE(SUBSTITUTE(SUBSTITUTE(SUBSTITUTE(SUBSTITUTE(SUBSTITUTE(SUBSTITUTE(SUBSTITUTE(SUBSTITUTE(SUBSTITUTE(SUBSTITUTE(SUBSTITUTE(SUBSTITUTE(SUBSTITUTE(SUBSTITUTE(SUBSTITUTE(SUBSTITUTE(SUBSTITUTE(SUBSTITUTE(SUBSTITUTE(SUBSTITUTE(SUBSTITUTE(SUBSTITUTE(LOWER(T280&amp;""),CHAR(10)," "),CHAR(13)," "),CHAR(9)," "),CHAR(160)," "),"."," "),","," "),"-"," "),"/"," "),"("," "),")"," "),":"," "),";"," "),"_"," "),"–"," "),"?"," "),"!"," "),"*"," "),"["," "),"]"," "),"'"," "),"#"," "),"+"," "),"&amp;"," "),"\"," "))&amp;" "</f>
        <v>  </v>
      </c>
      <c r="CD280" s="0" t="str">
        <f aca="false">" "&amp;TRIM(SUBSTITUTE(SUBSTITUTE(SUBSTITUTE(SUBSTITUTE(SUBSTITUTE(SUBSTITUTE(SUBSTITUTE(SUBSTITUTE(SUBSTITUTE(SUBSTITUTE(SUBSTITUTE(SUBSTITUTE(SUBSTITUTE(SUBSTITUTE(SUBSTITUTE(SUBSTITUTE(SUBSTITUTE(SUBSTITUTE(SUBSTITUTE(SUBSTITUTE(SUBSTITUTE(SUBSTITUTE(SUBSTITUTE(SUBSTITUTE(LOWER(AE280&amp;""),CHAR(10)," "),CHAR(13)," "),CHAR(9)," "),CHAR(160)," "),"."," "),","," "),"-"," "),"/"," "),"("," "),")"," "),":"," "),";"," "),"_"," "),"–"," "),"?"," "),"!"," "),"*"," "),"["," "),"]"," "),"'"," "),"#"," "),"+"," "),"&amp;"," "),"\"," "))&amp;" "</f>
        <v>  </v>
      </c>
      <c r="CE280" s="68" t="n">
        <f aca="false">IFERROR(IF(AND(LEN(AU280)&gt;0,LEN(AU280)=LEN(AX280),OR(TRIM(MID(SUBSTITUTE(TRIM(CC280)," ",REPT(" ",60)),1,60))="",ISNUMBER(SEARCH(" "&amp;TRIM(MID(SUBSTITUTE(TRIM(CC280)," ",REPT(" ",60)),1,60))&amp;" ",CD280))),OR(TRIM(MID(SUBSTITUTE(TRIM(CC280)," ",REPT(" ",60)),61,60))="",ISNUMBER(SEARCH(" "&amp;TRIM(MID(SUBSTITUTE(TRIM(CC280)," ",REPT(" ",60)),61,60))&amp;" ",CD280))),OR(TRIM(MID(SUBSTITUTE(TRIM(CC280)," ",REPT(" ",60)),121,60))="",ISNUMBER(SEARCH(" "&amp;TRIM(MID(SUBSTITUTE(TRIM(CC280)," ",REPT(" ",60)),121,60))&amp;" ",CD280)))),1,0),0)</f>
        <v>0</v>
      </c>
      <c r="CG280" s="68" t="n">
        <f aca="false">IFERROR(LEN(SUBSTITUTE(BF280," ",""))-SUMPRODUCT((LEN(BF280)-LEN(SUBSTITUTE(BF280," "&amp;L_NAFiller&amp;" "," ")))/(LEN(L_NAFiller)+1)*LEN(L_NAFiller)),0)</f>
        <v>0</v>
      </c>
    </row>
    <row r="281" customFormat="false" ht="39.75" hidden="false" customHeight="true" outlineLevel="0" collapsed="false">
      <c r="A281" s="57" t="s">
        <v>855</v>
      </c>
      <c r="B281" s="57" t="s">
        <v>238</v>
      </c>
      <c r="C281" s="57" t="str">
        <f aca="false">Flights!$F$12</f>
        <v>MH0752</v>
      </c>
      <c r="D281" s="58" t="n">
        <f aca="false">Flights!$D$12</f>
        <v>46305</v>
      </c>
      <c r="E281" s="57" t="str">
        <f aca="false">Flights!$G$12&amp;"-"&amp;Flights!$H$12</f>
        <v>KUL-HAN</v>
      </c>
      <c r="F281" s="57" t="str">
        <f aca="false">Flights!$K$12</f>
        <v>EY</v>
      </c>
      <c r="G281" s="57" t="s">
        <v>459</v>
      </c>
      <c r="H281" s="57" t="s">
        <v>460</v>
      </c>
      <c r="I281" s="57" t="s">
        <v>428</v>
      </c>
      <c r="J281" s="57" t="s">
        <v>465</v>
      </c>
      <c r="K281" s="67" t="s">
        <v>426</v>
      </c>
      <c r="L281" s="67" t="s">
        <v>462</v>
      </c>
      <c r="M281" s="67"/>
      <c r="N281" s="67" t="s">
        <v>383</v>
      </c>
      <c r="O281" s="67" t="s">
        <v>463</v>
      </c>
      <c r="P281" s="57" t="s">
        <v>187</v>
      </c>
      <c r="Q281" s="59" t="n">
        <f aca="false">ROUND((Flights!$AF$12)*1440,0)/1440</f>
        <v>46305.0659722222</v>
      </c>
      <c r="R281" s="59" t="n">
        <f aca="false">Q281+(IF(AND(INDEX(TZ_DSTS,MATCH(P281,TZ_STN,0))&lt;&gt;"",Q281&gt;=INDEX(TZ_DSTS,MATCH(P281,TZ_STN,0)),Q281&lt;INDEX(TZ_DSTE,MATCH(P281,TZ_STN,0))),INDEX(TZ_DST,MATCH(P281,TZ_STN,0)),INDEX(TZ_STD,MATCH(P281,TZ_STN,0))))/24</f>
        <v>46305.3993055556</v>
      </c>
      <c r="S281" s="60"/>
      <c r="T281" s="60"/>
      <c r="U281" s="60"/>
      <c r="V281" s="60"/>
      <c r="W281" s="61"/>
      <c r="X281" s="60"/>
      <c r="Y281" s="60"/>
      <c r="Z281" s="60"/>
      <c r="AA281" s="60"/>
      <c r="AB281" s="60"/>
      <c r="AC281" s="60"/>
      <c r="AD281" s="66"/>
      <c r="AE281" s="60"/>
      <c r="AF281" s="61" t="str">
        <f aca="false">IF(AND(ISNUMBER(X281),ISNUMBER(Y281)),Y281-X281,"")</f>
        <v/>
      </c>
      <c r="AG281" s="62" t="str">
        <f aca="false">IF(ISNUMBER(AD281),AD281-(IF(AND(INDEX(TZ_DSTS,MATCH(P281,TZ_STN,0))&lt;&gt;"",(AD281-INDEX(TZ_STD,MATCH(P281,TZ_STN,0))/24)&gt;=INDEX(TZ_DSTS,MATCH(P281,TZ_STN,0)),(AD281-INDEX(TZ_STD,MATCH(P281,TZ_STN,0))/24)&lt;INDEX(TZ_DSTE,MATCH(P281,TZ_STN,0))),INDEX(TZ_DST,MATCH(P281,TZ_STN,0)),INDEX(TZ_STD,MATCH(P281,TZ_STN,0))))/24,"")</f>
        <v/>
      </c>
      <c r="AH281" s="65" t="str">
        <f aca="false">IFERROR(IF(N281="N/A – rule",IF(OR(TRIM(U281)="",TRIM(U281)="N/A",TRIM(U281)="Not started"),"N/A – RULE","INVALID – this check does not apply to this aircraft: clear the status (or correct the fleet on Flights)"),IF(TRIM(U281)="N/A",IF(AT281=0,"INVALID – N/A not permitted for this check",IF(AND(TRIM(AB281)&lt;&gt;"",TRIM(AB281)&lt;&gt;"Closed"),"INVALID – corrective action still open",IF(AND(NOT(OR(LEN(AZ281)&lt;15,ISNUMBER(MATCH(AZ281,L_Placeholder,0)))),BK281=0,CG281&gt;=8,NOT(OR(LEN(AU281)&lt;2,ISNUMBER(MATCH(AU281,L_Placeholder,0)))),BR281&gt;=3,NOT(OR(LEN(AX281)&lt;2,ISNUMBER(MATCH(AX281,L_Placeholder,0)))),BS281&gt;=3,TRIM(AE281)&lt;&gt;TRIM(T281),AX281&lt;&gt;AU281,CE281=0),"N/A – JUSTIFIED","INVALID – N/A needs a real, settled reason (not 'not applicable' / 'as above' / TBC), a named PIC and a different named verifier"))),IF(OR(TRIM(U281)="Pass",TRIM(U281)="Pass after CA"),IF(NOT(ISNUMBER(AD281)),"INVALID – completion time missing",IF(OR(OR(LEN(AU281)&lt;2,ISNUMBER(MATCH(AU281,L_Placeholder,0))),BR281&lt;3),"INVALID – PIC missing or not a named person (a role such as QA / CSM is not a name)",IF(OR(LEN(AV281)&lt;2,ISNUMBER(MATCH(AV281,L_Placeholder,0))),"INVALID – result / assessment missing",IF(OR(OR(LEN(AW281)&lt;3,ISNUMBER(MATCH(AW281,L_Placeholder,0))),SUMPRODUCT(--ISNUMBER(SEARCH(" "&amp;L_EvidencePhrase&amp;" ",BD281)))&gt;0,BI281=1),"INVALID – evidence missing, placeholder or not yet on file",IF(ISNA(MATCH(TRIM(S281),L_EvidenceType,0)),"INVALID – choose the evidence type from the list (column S)",IF(BL281=0,"INVALID – evidence ID must be the record's own ID only (e.g. SF-2210, IMG_2231, 1045521); a link / file name needs type 'Link / file path'",IF(OR(OR(LEN(AX281)&lt;2,ISNUMBER(MATCH(AX281,L_Placeholder,0))),BS281&lt;3),"INVALID – verifier missing or not a named person (a role such as QA / CSM is not a name)",IF(OR(AX281=AU281,CE281=1,AND(LEN(AU281)&gt;=4,ISNUMBER(SEARCH(AU281,AX281))),AND(LEN(AX281)&gt;=4,ISNUMBER(SEARCH(AX281,AU281)))),"INVALID – verifier must be a different, named person (not the PIC or a role)",IF(BH281=1,"INVALID – result not yet available (awaiting / TBC)",IF(BG281=1,"INVALID – result describes a problem: record Fail, then Pass after CA (or reword if it is not a problem)",IF(BV281=1,"INVALID – wording says not on board: an on-board confirmation needs the item loaded",IF(AND(AQ281=1,OR(OR(LEN(AY281)&lt;3,ISNUMBER(MATCH(AY281,L_Placeholder,0))),BJ281=1,BQ281=0)),"INVALID – batch ID missing, placeholder or not an ID (e.g. PASB-261008-BC-017)",IF(AND(AR281=1,OR(NOT(ISNUMBER(X281)),NOT(ISNUMBER(Y281)))),"INVALID – expected/actual qty missing",IF(AND(AR281=1,OR(X281&lt;=0,Y281&lt;0)),"INVALID – expected qty must be above 0 and actual not negative",IF(AH277="N/A – JUSTIFIED","INVALID – preparation row F08-T12-06 is N/A",IF(AND(AR281=1,ISNUMBER(X277),X281&lt;&gt;X277,TRIM(U281)&lt;&gt;"Pass after CA"),"INVALID – expected qty differs from preparation check F08-T12-06: record the load change as a corrective action (Pass after CA)",IF(BB281&lt;&gt;"",BB281,IF(AND(AS281=1,Documents!$J$12&lt;&gt;"ON FILE"),"INVALID – GLD not on file (Documents sheet)",IF(AND(AS281=2,Documents!$O$12&lt;&gt;"ON FILE"),"INVALID – menu checklist not on file (Documents sheet)",IF(AND(AS281=3,NOT(ISNUMBER(Flights!$AX$12))),"INVALID – enter carrying flight KUL departure (Flights AX)",IF(AND(AS281=3,OR(Flights!$AZ$12&gt;Flights!$AA$12,Flights!$AX$12&lt;Flights!$AA$12-3)),"INVALID – carrying flight (Flights AX) cannot arrive before this leg's STD, or is over 3 days early",IF(AG281&gt;AsOfUTC,"INVALID – completion time is in the future",IF(AND(ISNUMBER(BY281),AG281&lt;BY281),IF(H281="Physical uplift","INVALID – before uplift window (cannot confirm loading)","INVALID – before valid window"),IF(AG281&gt;Flights!$AA$12,"INVALID – completed after departure (cannot establish readiness)",IF(AND(H281="Preparation",AG281&gt;=IF(ISNUMBER(Flights!$BA$12),MIN(Flights!$BA$12,Flights!$AA$12),Flights!$AA$12)),"INVALID – completed after loading / departure (cannot establish readiness)",IF(AND(H281="Physical uplift",AG281&gt;Q281),"INVALID – recorded after the loading flight departed",IF(AG281&gt;Q281,"COMPLETE – LATE","COMPLETE"))))))))))))))))))))))))))),IF(TRIM(U281)="Fail","FAIL – DISCREPANCY",IF(AND(TRIM(U281)&lt;&gt;"",TRIM(U281)&lt;&gt;"Not started",TRIM(U281)&lt;&gt;"In progress"),"INVALID – unrecognised status (use the list)",IF(AsOfUTC&gt;Q281,"OVERDUE",IF(N281="Clarification required","OPEN – CLARIFICATION","OPEN"))))))),"INVALID – error value in an input cell")</f>
        <v>OPEN</v>
      </c>
      <c r="AI281" s="61" t="n">
        <f aca="false">IF(OR(AH281="N/A – RULE",AH281="N/A – JUSTIFIED"),0,1)</f>
        <v>1</v>
      </c>
      <c r="AJ281" s="61" t="n">
        <f aca="false">IF(LEFT(AH281,8)="COMPLETE",1,0)</f>
        <v>0</v>
      </c>
      <c r="AK281" s="61" t="n">
        <f aca="false">IF(AND(AI281=1,AJ281=0,AsOfUTC&gt;Q281),1,0)</f>
        <v>0</v>
      </c>
      <c r="AL281" s="61" t="n">
        <f aca="false">IFERROR(IF(AND(AI281=1,OR(TRIM(U281)="Fail",AND(TRIM(AB281)&lt;&gt;"",TRIM(AB281)&lt;&gt;"Closed"),AND(ISNUMBER(AF281),AF281&lt;&gt;0,TRIM(U281)&lt;&gt;"Pass after CA"))),1,0),1)</f>
        <v>0</v>
      </c>
      <c r="AM281" s="61" t="n">
        <f aca="false">IF(LEFT(AH281,7)="INVALID",1,0)</f>
        <v>0</v>
      </c>
      <c r="AN281" s="61" t="n">
        <f aca="false">IF(AND(N281="Clarification required",AI281=1,AJ281=0),1,0)</f>
        <v>0</v>
      </c>
      <c r="AO281" s="61" t="str">
        <f aca="false">IF(AK281=1,SUM(AK$5:AK281),"")</f>
        <v/>
      </c>
      <c r="AP281" s="61" t="str">
        <f aca="false">IF(AL281=1,SUM(AL$5:AL281),"")</f>
        <v/>
      </c>
      <c r="AQ281" s="61" t="n">
        <v>0</v>
      </c>
      <c r="AR281" s="61" t="n">
        <v>1</v>
      </c>
      <c r="AS281" s="61" t="n">
        <v>0</v>
      </c>
      <c r="AT281" s="61" t="n">
        <v>0</v>
      </c>
      <c r="AU281" s="61" t="str">
        <f aca="false">SUBSTITUTE(SUBSTITUTE(SUBSTITUTE(SUBSTITUTE(SUBSTITUTE(SUBSTITUTE(SUBSTITUTE(SUBSTITUTE(SUBSTITUTE(SUBSTITUTE(SUBSTITUTE(SUBSTITUTE(SUBSTITUTE(SUBSTITUTE(SUBSTITUTE(SUBSTITUTE(LOWER(T281&amp;""),CHAR(10),""),CHAR(13),""),CHAR(9),""),CHAR(160),"")," ",""),".",""),"-",""),"/",""),"?",""),"_",""),",",""),"[",""),"]",""),"(",""),")",""),"*","")</f>
        <v/>
      </c>
      <c r="AV281" s="61" t="str">
        <f aca="false">SUBSTITUTE(SUBSTITUTE(SUBSTITUTE(SUBSTITUTE(SUBSTITUTE(SUBSTITUTE(SUBSTITUTE(SUBSTITUTE(SUBSTITUTE(SUBSTITUTE(SUBSTITUTE(SUBSTITUTE(SUBSTITUTE(SUBSTITUTE(SUBSTITUTE(SUBSTITUTE(LOWER(V281&amp;""),CHAR(10),""),CHAR(13),""),CHAR(9),""),CHAR(160),"")," ",""),".",""),"-",""),"/",""),"?",""),"_",""),",",""),"[",""),"]",""),"(",""),")",""),"*","")</f>
        <v/>
      </c>
      <c r="AW281" s="61" t="str">
        <f aca="false">SUBSTITUTE(SUBSTITUTE(SUBSTITUTE(SUBSTITUTE(SUBSTITUTE(SUBSTITUTE(SUBSTITUTE(SUBSTITUTE(SUBSTITUTE(SUBSTITUTE(SUBSTITUTE(SUBSTITUTE(SUBSTITUTE(SUBSTITUTE(SUBSTITUTE(SUBSTITUTE(LOWER(Z281&amp;""),CHAR(10),""),CHAR(13),""),CHAR(9),""),CHAR(160),"")," ",""),".",""),"-",""),"/",""),"?",""),"_",""),",",""),"[",""),"]",""),"(",""),")",""),"*","")</f>
        <v/>
      </c>
      <c r="AX281" s="61" t="str">
        <f aca="false">SUBSTITUTE(SUBSTITUTE(SUBSTITUTE(SUBSTITUTE(SUBSTITUTE(SUBSTITUTE(SUBSTITUTE(SUBSTITUTE(SUBSTITUTE(SUBSTITUTE(SUBSTITUTE(SUBSTITUTE(SUBSTITUTE(SUBSTITUTE(SUBSTITUTE(SUBSTITUTE(LOWER(AE281&amp;""),CHAR(10),""),CHAR(13),""),CHAR(9),""),CHAR(160),"")," ",""),".",""),"-",""),"/",""),"?",""),"_",""),",",""),"[",""),"]",""),"(",""),")",""),"*","")</f>
        <v/>
      </c>
      <c r="AY281" s="61" t="str">
        <f aca="false">SUBSTITUTE(SUBSTITUTE(SUBSTITUTE(SUBSTITUTE(SUBSTITUTE(SUBSTITUTE(SUBSTITUTE(SUBSTITUTE(SUBSTITUTE(SUBSTITUTE(SUBSTITUTE(SUBSTITUTE(SUBSTITUTE(SUBSTITUTE(SUBSTITUTE(SUBSTITUTE(LOWER(W281&amp;""),CHAR(10),""),CHAR(13),""),CHAR(9),""),CHAR(160),"")," ",""),".",""),"-",""),"/",""),"?",""),"_",""),",",""),"[",""),"]",""),"(",""),")",""),"*","")</f>
        <v/>
      </c>
      <c r="AZ281" s="61" t="str">
        <f aca="false">SUBSTITUTE(SUBSTITUTE(SUBSTITUTE(SUBSTITUTE(SUBSTITUTE(SUBSTITUTE(SUBSTITUTE(SUBSTITUTE(SUBSTITUTE(SUBSTITUTE(SUBSTITUTE(SUBSTITUTE(SUBSTITUTE(SUBSTITUTE(SUBSTITUTE(SUBSTITUTE(LOWER(AC281&amp;""),CHAR(10),""),CHAR(13),""),CHAR(9),""),CHAR(160),"")," ",""),".",""),"-",""),"/",""),"?",""),"_",""),",",""),"[",""),"]",""),"(",""),")",""),"*","")</f>
        <v/>
      </c>
      <c r="BA281" s="61" t="str">
        <f aca="false">SUBSTITUTE(SUBSTITUTE(SUBSTITUTE(SUBSTITUTE(SUBSTITUTE(SUBSTITUTE(SUBSTITUTE(SUBSTITUTE(SUBSTITUTE(SUBSTITUTE(SUBSTITUTE(SUBSTITUTE(SUBSTITUTE(SUBSTITUTE(SUBSTITUTE(SUBSTITUTE(LOWER(AA281&amp;""),CHAR(10),""),CHAR(13),""),CHAR(9),""),CHAR(160),"")," ",""),".",""),"-",""),"/",""),"?",""),"_",""),",",""),"[",""),"]",""),"(",""),")",""),"*","")</f>
        <v/>
      </c>
      <c r="BB281" s="61" t="str">
        <f aca="false">IF(AND(TRIM(U281)="Pass",ISNUMBER(AF281)),IF(AF281&lt;&gt;0,"INVALID – qty variance: use Fail or Pass after CA",""),"")&amp;IF(AND(TRIM(U281)="Pass after CA",ISNUMBER(AF281)),IF(AF281&lt;&gt;0,"INVALID – after the corrective action the actual qty must equal expected (update Actual)",""),"")&amp;IF(AND(TRIM(U281)="Pass",TRIM(AB281)&lt;&gt;"",TRIM(AB281)&lt;&gt;"Closed"),"INVALID – corrective action not closed: use Fail, then Pass after CA","")&amp;IF(AND(LEN(BA281)&gt;=2,ISNA(MATCH(LEFT(BA281,255),L_Placeholder,0)),TRIM(AB281)=""),"INVALID – CA status missing for the recorded corrective action","")&amp;IF(AND(TRIM(U281)="Pass after CA",OR(OR(LEN(BA281)&lt;5,ISNUMBER(MATCH(BA281,L_Placeholder,0))),TRIM(AB281)&lt;&gt;"Closed")),"INVALID – corrective action not recorded/closed","")</f>
        <v/>
      </c>
      <c r="BC281" s="61" t="str">
        <f aca="false">" "&amp;TRIM(SUBSTITUTE(SUBSTITUTE(SUBSTITUTE(SUBSTITUTE(SUBSTITUTE(SUBSTITUTE(SUBSTITUTE(SUBSTITUTE(SUBSTITUTE(SUBSTITUTE(SUBSTITUTE(SUBSTITUTE(SUBSTITUTE(SUBSTITUTE(SUBSTITUTE(SUBSTITUTE(SUBSTITUTE(SUBSTITUTE(SUBSTITUTE(SUBSTITUTE(SUBSTITUTE(SUBSTITUTE(SUBSTITUTE(SUBSTITUTE(LOWER(V281&amp;""),CHAR(10)," "),CHAR(13)," "),CHAR(9)," "),CHAR(160)," "),"."," "),","," "),"-"," "),"/"," "),"("," "),")"," "),":"," "),";"," "),"_"," "),"–"," "),"?"," "),"!"," "),"*"," "),"["," "),"]"," "),"'"," "),"#"," "),"+"," "),"&amp;"," "),"\"," "))&amp;" "</f>
        <v>  </v>
      </c>
      <c r="BD281" s="61" t="str">
        <f aca="false">" "&amp;TRIM(SUBSTITUTE(SUBSTITUTE(SUBSTITUTE(SUBSTITUTE(SUBSTITUTE(SUBSTITUTE(SUBSTITUTE(SUBSTITUTE(SUBSTITUTE(SUBSTITUTE(SUBSTITUTE(SUBSTITUTE(SUBSTITUTE(SUBSTITUTE(SUBSTITUTE(SUBSTITUTE(SUBSTITUTE(SUBSTITUTE(SUBSTITUTE(SUBSTITUTE(SUBSTITUTE(SUBSTITUTE(SUBSTITUTE(SUBSTITUTE(LOWER(Z281&amp;""),CHAR(10)," "),CHAR(13)," "),CHAR(9)," "),CHAR(160)," "),"."," "),","," "),"-"," "),"/"," "),"("," "),")"," "),":"," "),";"," "),"_"," "),"–"," "),"?"," "),"!"," "),"*"," "),"["," "),"]"," "),"'"," "),"#"," "),"+"," "),"&amp;"," "),"\"," "))&amp;" "</f>
        <v>  </v>
      </c>
      <c r="BE281" s="61" t="str">
        <f aca="false">" "&amp;TRIM(SUBSTITUTE(SUBSTITUTE(SUBSTITUTE(SUBSTITUTE(SUBSTITUTE(SUBSTITUTE(SUBSTITUTE(SUBSTITUTE(SUBSTITUTE(SUBSTITUTE(SUBSTITUTE(SUBSTITUTE(SUBSTITUTE(SUBSTITUTE(SUBSTITUTE(SUBSTITUTE(SUBSTITUTE(SUBSTITUTE(SUBSTITUTE(SUBSTITUTE(SUBSTITUTE(SUBSTITUTE(SUBSTITUTE(SUBSTITUTE(LOWER(W281&amp;""),CHAR(10)," "),CHAR(13)," "),CHAR(9)," "),CHAR(160)," "),"."," "),","," "),"-"," "),"/"," "),"("," "),")"," "),":"," "),";"," "),"_"," "),"–"," "),"?"," "),"!"," "),"*"," "),"["," "),"]"," "),"'"," "),"#"," "),"+"," "),"&amp;"," "),"\"," "))&amp;" "</f>
        <v>  </v>
      </c>
      <c r="BF281" s="61" t="str">
        <f aca="false">" "&amp;TRIM(SUBSTITUTE(SUBSTITUTE(SUBSTITUTE(SUBSTITUTE(SUBSTITUTE(SUBSTITUTE(SUBSTITUTE(SUBSTITUTE(SUBSTITUTE(SUBSTITUTE(SUBSTITUTE(SUBSTITUTE(SUBSTITUTE(SUBSTITUTE(SUBSTITUTE(SUBSTITUTE(SUBSTITUTE(SUBSTITUTE(SUBSTITUTE(SUBSTITUTE(SUBSTITUTE(SUBSTITUTE(SUBSTITUTE(SUBSTITUTE(LOWER(AC281&amp;""),CHAR(10)," "),CHAR(13)," "),CHAR(9)," "),CHAR(160)," "),"."," "),","," "),"-"," "),"/"," "),"("," "),")"," "),":"," "),";"," "),"_"," "),"–"," "),"?"," "),"!"," "),"*"," "),"["," "),"]"," "),"'"," "),"#"," "),"+"," "),"&amp;"," "),"\"," "))&amp;" "</f>
        <v>  </v>
      </c>
      <c r="BG281" s="61" t="n">
        <f aca="false">IFERROR(IF(AND(TRIM(U281)="Pass",SUMPRODUCT((LEN(BC281)-LEN(SUBSTITUTE(BC281," "&amp;L_ResultBad&amp;" "," ")))/(LEN(L_ResultBad)+1))&gt;SUMPRODUCT((LEN(BC281)-LEN(SUBSTITUTE(BC281," "&amp;L_NegPhrase&amp;" "," ")))/(LEN(L_NegPhrase)+1))),1,0),0)</f>
        <v>0</v>
      </c>
      <c r="BH281" s="61" t="n">
        <f aca="false">IFERROR(IF(SUMPRODUCT((LEN(BC281)-LEN(SUBSTITUTE(BC281," "&amp;L_Pending&amp;" "," ")))/(LEN(L_Pending)+1))&gt;SUMPRODUCT((LEN(BC281)-LEN(SUBSTITUTE(BC281," "&amp;L_PendNeg&amp;" "," ")))/(LEN(L_PendNeg)+1)),1,0),1)</f>
        <v>0</v>
      </c>
      <c r="BI281" s="61" t="n">
        <f aca="false">IFERROR(IF(SUMPRODUCT((LEN(BD281)-LEN(SUBSTITUTE(BD281," "&amp;L_PendStrict&amp;" "," ")))/(LEN(L_PendStrict)+1))&gt;SUMPRODUCT((LEN(BD281)-LEN(SUBSTITUTE(BD281," "&amp;L_PendNeg&amp;" "," ")))/(LEN(L_PendNeg)+1)),1,0),1)</f>
        <v>0</v>
      </c>
      <c r="BJ281" s="61" t="n">
        <f aca="false">IFERROR(IF(SUMPRODUCT((LEN(BE281)-LEN(SUBSTITUTE(BE281," "&amp;L_Pending&amp;" "," ")))/(LEN(L_Pending)+1))&gt;SUMPRODUCT((LEN(BE281)-LEN(SUBSTITUTE(BE281," "&amp;L_PendNeg&amp;" "," ")))/(LEN(L_PendNeg)+1)),1,0),1)</f>
        <v>0</v>
      </c>
      <c r="BK281" s="61" t="n">
        <f aca="false">IFERROR(IF(SUMPRODUCT((LEN(BF281)-LEN(SUBSTITUTE(BF281," "&amp;L_PendStrict&amp;" "," ")))/(LEN(L_PendStrict)+1))&gt;SUMPRODUCT((LEN(BF281)-LEN(SUBSTITUTE(BF281," "&amp;L_PendNeg&amp;" "," ")))/(LEN(L_PendNeg)+1)),1,0),1)</f>
        <v>0</v>
      </c>
      <c r="BL281" s="61" t="n">
        <f aca="false">IF(ISNA(MATCH(TRIM(S281),L_EvidenceType,0)),0,BZ281)</f>
        <v>0</v>
      </c>
      <c r="BM281" s="61" t="str">
        <f aca="false">SUBSTITUTE(SUBSTITUTE(SUBSTITUTE(SUBSTITUTE(SUBSTITUTE(SUBSTITUTE(SUBSTITUTE(SUBSTITUTE(SUBSTITUTE(LOWER(Z281&amp;""),"1","0"),"2","0"),"3","0"),"4","0"),"5","0"),"6","0"),"7","0"),"8","0"),"9","0")</f>
        <v/>
      </c>
      <c r="BN281" s="61" t="str">
        <f aca="false">SUBSTITUTE(SUBSTITUTE(SUBSTITUTE(SUBSTITUTE(SUBSTITUTE(SUBSTITUTE(SUBSTITUTE(SUBSTITUTE(SUBSTITUTE(SUBSTITUTE(SUBSTITUTE(SUBSTITUTE(SUBSTITUTE(SUBSTITUTE(SUBSTITUTE(SUBSTITUTE(SUBSTITUTE(SUBSTITUTE(SUBSTITUTE(SUBSTITUTE(SUBSTITUTE(SUBSTITUTE(SUBSTITUTE(SUBSTITUTE(SUBSTITUTE(BM281,"b","a"),"c","a"),"d","a"),"e","a"),"f","a"),"g","a"),"h","a"),"i","a"),"j","a"),"k","a"),"l","a"),"m","a"),"n","a"),"o","a"),"p","a"),"q","a"),"r","a"),"s","a"),"t","a"),"u","a"),"v","a"),"w","a"),"x","a"),"y","a"),"z","a")</f>
        <v/>
      </c>
      <c r="BO281" s="61" t="str">
        <f aca="false">SUBSTITUTE(SUBSTITUTE(SUBSTITUTE(SUBSTITUTE(SUBSTITUTE(SUBSTITUTE(SUBSTITUTE(SUBSTITUTE(SUBSTITUTE(LOWER(W281&amp;""),"1","0"),"2","0"),"3","0"),"4","0"),"5","0"),"6","0"),"7","0"),"8","0"),"9","0")</f>
        <v/>
      </c>
      <c r="BP281" s="61" t="str">
        <f aca="false">SUBSTITUTE(SUBSTITUTE(SUBSTITUTE(SUBSTITUTE(SUBSTITUTE(SUBSTITUTE(SUBSTITUTE(SUBSTITUTE(SUBSTITUTE(SUBSTITUTE(SUBSTITUTE(SUBSTITUTE(SUBSTITUTE(SUBSTITUTE(SUBSTITUTE(SUBSTITUTE(SUBSTITUTE(SUBSTITUTE(SUBSTITUTE(SUBSTITUTE(SUBSTITUTE(SUBSTITUTE(SUBSTITUTE(SUBSTITUTE(SUBSTITUTE(BO281,"b","a"),"c","a"),"d","a"),"e","a"),"f","a"),"g","a"),"h","a"),"i","a"),"j","a"),"k","a"),"l","a"),"m","a"),"n","a"),"o","a"),"p","a"),"q","a"),"r","a"),"s","a"),"t","a"),"u","a"),"v","a"),"w","a"),"x","a"),"y","a"),"z","a")</f>
        <v/>
      </c>
      <c r="BQ281" s="61" t="n">
        <f aca="false">IFERROR(IF(AND(ISERROR(SEARCH(" mh"," "&amp;LOWER(W281))),ISNA(MATCH(LEFT(TRIM(BP281),255),{"0000a","000a","00a","0000aa","000aa","00aa","0aa","0000aaa","000aaa","00a00","0a00","0000-0000","00:00","a00","a0","00.00.0000","00/00/0000","00-00-0000","0000-00-00","0000/00/00","0000.00.00","00.00.00","00/00/00","00-00-00","0.00.0000","0/00/0000","0-00-0000"},0)),ISNA(MATCH(LEFT(TRIM(CA281),255),{"0000a","000a","00a","0000aa","000aa","00aa","0aa","0000aaa","000aaa","00a00","0a00","0000-0000","00:00","a00","a0","00.00.0000","00/00/0000","00-00-0000","0000-00-00","0000/00/00","0000.00.00","00.00.00","00/00/00","00-00-00","0.00.0000","0/00/0000","0-00-0000"},0)),LEN(CB281)&gt;=3,NOT(OR(SUBSTITUTE(CB281,"0","")="",AND(LEN(CB281)&gt;=4,CB281=REPT(LEFT(CB281),LEN(CB281))),ISNUMBER(MATCH(CB281,{"123","1234","12345","123456","1234567","12345678","0123","01234","012345","98765","987654","54321"},0)),AND(LEN(CB281)=8,LEFT(CB281,3)="202"))),OR(AND((LEN(CA281)-LEN(SUBSTITUTE(CA281,"a","")))&gt;=1,SUMPRODUCT(--ISNUMBER(SEARCH({"a0","a-0","a_0","a/0","a.0","a#0","0a","0-a","0_a","0/a"},BP281)))&gt;0),ISNUMBER(SEARCH("000000",BP281)))),1,0),0)</f>
        <v>0</v>
      </c>
      <c r="BR281" s="61" t="n">
        <f aca="false">IFERROR(LEN(SUBSTITUTE(CC281," ",""))-SUMPRODUCT((LEN(CC281)-LEN(SUBSTITUTE(CC281," "&amp;L_Role&amp;" "," ")))/(LEN(L_Role)+1)*LEN(L_Role)),0)</f>
        <v>0</v>
      </c>
      <c r="BS281" s="61" t="n">
        <f aca="false">IFERROR(LEN(SUBSTITUTE(CD281," ",""))-SUMPRODUCT((LEN(CD281)-LEN(SUBSTITUTE(CD281," "&amp;L_Role&amp;" "," ")))/(LEN(L_Role)+1)*LEN(L_Role)),0)</f>
        <v>0</v>
      </c>
      <c r="BT2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281,"revision",""),"version",""),"jan",""),"feb",""),"mar",""),"apr",""),"may",""),"jun",""),"jul",""),"aug",""),"sep",""),"oct",""),"nov",""),"dec",""),"utc",""),"gmt",""),"myt",""),"bst",""),"rev",""),"ver",""),"b","a"),"c","a"),"d","a"),"e","a"),"f","a"),"g","a"),"h","a"),"i","a"),"j","a"),"k","a"),"l","a"),"m","a"),"n","a"),"o","a"),"p","a"),"q","a"),"r","a"),"s","a"),"t","a"),"u","a"),"v","a"),"w","a"),"x","a"),"y","a"),"z","a")</f>
        <v/>
      </c>
      <c r="BU281" s="61" t="str">
        <f aca="false">SUBSTITUTE(SUBSTITUTE(SUBSTITUTE(SUBSTITUTE(SUBSTITUTE(SUBSTITUTE(SUBSTITUTE(SUBSTITUTE(SUBSTITUTE(SUBSTITUTE(LEFT(BM281,FIND("0",BM281&amp;"0")-1),"-",""),"_",""),"/",""),".",""),"#",""),"\\",""),":","")," ",""),"(",""),")","")</f>
        <v/>
      </c>
      <c r="BV281" s="61" t="n">
        <f aca="false">IFERROR(IF(OR(SUMPRODUCT((LEN(BC281)-LEN(SUBSTITUTE(BC281," "&amp;L_NotLoaded&amp;" "," ")))/(LEN(L_NotLoaded)+1))&gt;SUMPRODUCT((LEN(BC281)-LEN(SUBSTITUTE(BC281," "&amp;L_NotLoadedNeg&amp;" "," ")))/(LEN(L_NotLoadedNeg)+1)),SUMPRODUCT((LEN(BD281)-LEN(SUBSTITUTE(BD281," "&amp;L_NotLoaded&amp;" "," ")))/(LEN(L_NotLoaded)+1))&gt;SUMPRODUCT((LEN(BD281)-LEN(SUBSTITUTE(BD281," "&amp;L_NotLoadedNeg&amp;" "," ")))/(LEN(L_NotLoadedNeg)+1))),1,0),0)</f>
        <v>0</v>
      </c>
      <c r="BW2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281&amp;""),"a",""),"b",""),"c",""),"d",""),"e",""),"f",""),"g",""),"h",""),"i",""),"j",""),"k",""),"l",""),"m",""),"n",""),"o",""),"p",""),"q",""),"r",""),"s",""),"t",""),"u",""),"v",""),"w",""),"x",""),"y",""),"z",""),"-",""),"_",""),"/",""),".",""),"#",""),"\\",""),":","")," ",""),"(",""),")","")</f>
        <v/>
      </c>
      <c r="BX281" s="61" t="str">
        <f aca="false">SUBSTITUTE(SUBSTITUTE(SUBSTITUTE(SUBSTITUTE(SUBSTITUTE(SUBSTITUTE(SUBSTITUTE(SUBSTITUTE(SUBSTITUTE(SUBSTITUTE(SUBSTITUTE(BM281,"0",""),"-",""),"_",""),"/",""),".",""),"#",""),"\\",""),":","")," ",""),"(",""),")","")</f>
        <v/>
      </c>
      <c r="BY281" s="62" t="n">
        <f aca="false">IF(ISNUMBER(Flights!$AZ$12),MAX(Q281-UpliftWindowH/24,Flights!$AZ$12),Q281-UpliftWindowH/24)</f>
        <v>46304.8159722222</v>
      </c>
      <c r="BZ281" s="61" t="n">
        <f aca="false">IFERROR(IF(IF(TRIM(S281)="Link / file path",AND(LEN(TRIM(Z281))&gt;=5,SUMPRODUCT(--ISNUMBER(SEARCH({"http","www.","\\",":\",".pdf",".jpg",".jpeg",".png",".heic",".xls",".doc",".msg",".eml",".ppt",".txt",".zip"},Z281)))&gt;0),AND(ISERROR(FIND(" ",TRIM(Z281))),NOT(OR(SUMPRODUCT(--ISNUMBER(FIND({",",";","&amp;","+"},Z281)))&gt;0,SUMPRODUCT(--ISNUMBER(SEARCH({"0/aa","0\\aa"},BN281)))&gt;0)),NOT(SUMPRODUCT(--ISNUMBER(SEARCH({"http","www.","\\",":\",".pdf",".jpg",".jpeg",".png",".heic",".xls",".doc",".msg",".eml",".ppt",".txt",".zip"},Z281)))&gt;0),NOT(LOWER(TRIM(Z281))=LOWER(Flights!$F$12)),ISNA(MATCH(BU281,{"mh","rev","revision","ver","version","v","r","a","b","seat","tray","row","gate","bay","stand","page","pg","item","line","no","cart","galley","flight","flt","table","box","bag","oven","etd","eta","std","sta","atd","ata","qty","pax","x","time","tel","ph","mob","day","wk","week","utc","gmt","myt","lt"},0)),NOT(OR(ISNUMBER(MATCH(LEFT(BN281,255),{"0000a","000a","00a","0000aa","000aa","00aa","0aa","0000aaa","000aaa","00a00","0a00","0000-0000","00:00","a00","a0","00.00.0000","00/00/0000","00-00-0000","0000-00-00","0000/00/00","0000.00.00","00.00.00","00/00/00","00-00-00","0.00.0000","0/00/0000","0-00-0000"},0)),ISNUMBER(MATCH(LEFT(BT281,255),{"0000a","000a","00a","0000aa","000aa","00aa","0aa","0000aaa","000aaa","00a00","0a00","0000-0000","00:00","a00","a0","00.00.0000","00/00/0000","00-00-0000","0000-00-00","0000/00/00","0000.00.00","00.00.00","00/00/00","00-00-00","0.00.0000","0/00/0000","0-00-0000"},0)))),NOT(OR(AND(BW281&lt;&gt;"",SUBSTITUTE(BW281,"0","")=""),AND(LEN(BW281)&gt;=4,BW281=REPT(LEFT(BW281),LEN(BW281))),ISNUMBER(MATCH(BW281,{"123","1234","12345","123456","1234567","12345678","0123","01234","012345","98765","987654","54321"},0)),ISNUMBER(MATCH(BX281,{"x","xx","xxx","xxxx","xxxxx","abc","abcd","nil","na","nan","test","tbc","tba","tbd","dummy","sample","example","eg","zz","zzz","none","null","xyz","qwe","asd","id","ref"},0)),AND(LEN(BW281)=8,BX281="",OR(LEFT(BW281,3)="202",ISNUMBER(MATCH(RIGHT(BW281,4),{"2025","2026","2027"},0)))))),OR(AND((LEN(BT281)-LEN(SUBSTITUTE(BT281,"a","")))&gt;=1,(LEN(BN281)-LEN(SUBSTITUTE(BN281,"0","")))&gt;=2,SUMPRODUCT(--ISNUMBER(SEARCH({"a0","a-0","a_0","a/0","a.0","a#0","0a","0-a","0_a","0/a"},BN281)))&gt;0),AND((LEN(BN281)-LEN(SUBSTITUTE(BN281,"a","")))=0,(LEN(BN281)-LEN(SUBSTITUTE(BN281,"0","")))&gt;=5)))),1,0),0)</f>
        <v>0</v>
      </c>
      <c r="CA2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281,"revision",""),"version",""),"jan",""),"feb",""),"mar",""),"apr",""),"may",""),"jun",""),"jul",""),"aug",""),"sep",""),"oct",""),"nov",""),"dec",""),"utc",""),"gmt",""),"myt",""),"bst",""),"rev",""),"ver",""),"b","a"),"c","a"),"d","a"),"e","a"),"f","a"),"g","a"),"h","a"),"i","a"),"j","a"),"k","a"),"l","a"),"m","a"),"n","a"),"o","a"),"p","a"),"q","a"),"r","a"),"s","a"),"t","a"),"u","a"),"v","a"),"w","a"),"x","a"),"y","a"),"z","a")</f>
        <v/>
      </c>
      <c r="CB2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281&amp;""),"a",""),"b",""),"c",""),"d",""),"e",""),"f",""),"g",""),"h",""),"i",""),"j",""),"k",""),"l",""),"m",""),"n",""),"o",""),"p",""),"q",""),"r",""),"s",""),"t",""),"u",""),"v",""),"w",""),"x",""),"y",""),"z",""),"-",""),"_",""),"/",""),".",""),"#",""),"\\",""),":","")," ",""),"(",""),")","")</f>
        <v/>
      </c>
      <c r="CC281" s="0" t="str">
        <f aca="false">" "&amp;TRIM(SUBSTITUTE(SUBSTITUTE(SUBSTITUTE(SUBSTITUTE(SUBSTITUTE(SUBSTITUTE(SUBSTITUTE(SUBSTITUTE(SUBSTITUTE(SUBSTITUTE(SUBSTITUTE(SUBSTITUTE(SUBSTITUTE(SUBSTITUTE(SUBSTITUTE(SUBSTITUTE(SUBSTITUTE(SUBSTITUTE(SUBSTITUTE(SUBSTITUTE(SUBSTITUTE(SUBSTITUTE(SUBSTITUTE(SUBSTITUTE(LOWER(T281&amp;""),CHAR(10)," "),CHAR(13)," "),CHAR(9)," "),CHAR(160)," "),"."," "),","," "),"-"," "),"/"," "),"("," "),")"," "),":"," "),";"," "),"_"," "),"–"," "),"?"," "),"!"," "),"*"," "),"["," "),"]"," "),"'"," "),"#"," "),"+"," "),"&amp;"," "),"\"," "))&amp;" "</f>
        <v>  </v>
      </c>
      <c r="CD281" s="0" t="str">
        <f aca="false">" "&amp;TRIM(SUBSTITUTE(SUBSTITUTE(SUBSTITUTE(SUBSTITUTE(SUBSTITUTE(SUBSTITUTE(SUBSTITUTE(SUBSTITUTE(SUBSTITUTE(SUBSTITUTE(SUBSTITUTE(SUBSTITUTE(SUBSTITUTE(SUBSTITUTE(SUBSTITUTE(SUBSTITUTE(SUBSTITUTE(SUBSTITUTE(SUBSTITUTE(SUBSTITUTE(SUBSTITUTE(SUBSTITUTE(SUBSTITUTE(SUBSTITUTE(LOWER(AE281&amp;""),CHAR(10)," "),CHAR(13)," "),CHAR(9)," "),CHAR(160)," "),"."," "),","," "),"-"," "),"/"," "),"("," "),")"," "),":"," "),";"," "),"_"," "),"–"," "),"?"," "),"!"," "),"*"," "),"["," "),"]"," "),"'"," "),"#"," "),"+"," "),"&amp;"," "),"\"," "))&amp;" "</f>
        <v>  </v>
      </c>
      <c r="CE281" s="68" t="n">
        <f aca="false">IFERROR(IF(AND(LEN(AU281)&gt;0,LEN(AU281)=LEN(AX281),OR(TRIM(MID(SUBSTITUTE(TRIM(CC281)," ",REPT(" ",60)),1,60))="",ISNUMBER(SEARCH(" "&amp;TRIM(MID(SUBSTITUTE(TRIM(CC281)," ",REPT(" ",60)),1,60))&amp;" ",CD281))),OR(TRIM(MID(SUBSTITUTE(TRIM(CC281)," ",REPT(" ",60)),61,60))="",ISNUMBER(SEARCH(" "&amp;TRIM(MID(SUBSTITUTE(TRIM(CC281)," ",REPT(" ",60)),61,60))&amp;" ",CD281))),OR(TRIM(MID(SUBSTITUTE(TRIM(CC281)," ",REPT(" ",60)),121,60))="",ISNUMBER(SEARCH(" "&amp;TRIM(MID(SUBSTITUTE(TRIM(CC281)," ",REPT(" ",60)),121,60))&amp;" ",CD281)))),1,0),0)</f>
        <v>0</v>
      </c>
      <c r="CG281" s="68" t="n">
        <f aca="false">IFERROR(LEN(SUBSTITUTE(BF281," ",""))-SUMPRODUCT((LEN(BF281)-LEN(SUBSTITUTE(BF281," "&amp;L_NAFiller&amp;" "," ")))/(LEN(L_NAFiller)+1)*LEN(L_NAFiller)),0)</f>
        <v>0</v>
      </c>
    </row>
    <row r="282" customFormat="false" ht="39.75" hidden="false" customHeight="true" outlineLevel="0" collapsed="false">
      <c r="A282" s="57" t="s">
        <v>856</v>
      </c>
      <c r="B282" s="57" t="s">
        <v>238</v>
      </c>
      <c r="C282" s="57" t="str">
        <f aca="false">Flights!$F$12</f>
        <v>MH0752</v>
      </c>
      <c r="D282" s="58" t="n">
        <f aca="false">Flights!$D$12</f>
        <v>46305</v>
      </c>
      <c r="E282" s="57" t="str">
        <f aca="false">Flights!$G$12&amp;"-"&amp;Flights!$H$12</f>
        <v>KUL-HAN</v>
      </c>
      <c r="F282" s="57" t="str">
        <f aca="false">Flights!$K$12</f>
        <v>EY</v>
      </c>
      <c r="G282" s="57" t="s">
        <v>459</v>
      </c>
      <c r="H282" s="57" t="s">
        <v>460</v>
      </c>
      <c r="I282" s="57" t="s">
        <v>447</v>
      </c>
      <c r="J282" s="57" t="s">
        <v>469</v>
      </c>
      <c r="K282" s="67" t="s">
        <v>449</v>
      </c>
      <c r="L282" s="67" t="s">
        <v>853</v>
      </c>
      <c r="M282" s="67" t="s">
        <v>451</v>
      </c>
      <c r="N282" s="67" t="s">
        <v>383</v>
      </c>
      <c r="O282" s="67"/>
      <c r="P282" s="57" t="s">
        <v>187</v>
      </c>
      <c r="Q282" s="59" t="n">
        <f aca="false">ROUND((Flights!$AF$12)*1440,0)/1440</f>
        <v>46305.0659722222</v>
      </c>
      <c r="R282" s="59" t="n">
        <f aca="false">Q282+(IF(AND(INDEX(TZ_DSTS,MATCH(P282,TZ_STN,0))&lt;&gt;"",Q282&gt;=INDEX(TZ_DSTS,MATCH(P282,TZ_STN,0)),Q282&lt;INDEX(TZ_DSTE,MATCH(P282,TZ_STN,0))),INDEX(TZ_DST,MATCH(P282,TZ_STN,0)),INDEX(TZ_STD,MATCH(P282,TZ_STN,0))))/24</f>
        <v>46305.3993055556</v>
      </c>
      <c r="S282" s="60"/>
      <c r="T282" s="60"/>
      <c r="U282" s="60"/>
      <c r="V282" s="60"/>
      <c r="W282" s="61"/>
      <c r="X282" s="60"/>
      <c r="Y282" s="60"/>
      <c r="Z282" s="60"/>
      <c r="AA282" s="60"/>
      <c r="AB282" s="60"/>
      <c r="AC282" s="60"/>
      <c r="AD282" s="66"/>
      <c r="AE282" s="60"/>
      <c r="AF282" s="61" t="str">
        <f aca="false">IF(AND(ISNUMBER(X282),ISNUMBER(Y282)),Y282-X282,"")</f>
        <v/>
      </c>
      <c r="AG282" s="62" t="str">
        <f aca="false">IF(ISNUMBER(AD282),AD282-(IF(AND(INDEX(TZ_DSTS,MATCH(P282,TZ_STN,0))&lt;&gt;"",(AD282-INDEX(TZ_STD,MATCH(P282,TZ_STN,0))/24)&gt;=INDEX(TZ_DSTS,MATCH(P282,TZ_STN,0)),(AD282-INDEX(TZ_STD,MATCH(P282,TZ_STN,0))/24)&lt;INDEX(TZ_DSTE,MATCH(P282,TZ_STN,0))),INDEX(TZ_DST,MATCH(P282,TZ_STN,0)),INDEX(TZ_STD,MATCH(P282,TZ_STN,0))))/24,"")</f>
        <v/>
      </c>
      <c r="AH282" s="65" t="str">
        <f aca="false">IFERROR(IF(N282="N/A – rule",IF(OR(TRIM(U282)="",TRIM(U282)="N/A",TRIM(U282)="Not started"),"N/A – RULE","INVALID – this check does not apply to this aircraft: clear the status (or correct the fleet on Flights)"),IF(TRIM(U282)="N/A",IF(AT282=0,"INVALID – N/A not permitted for this check",IF(AND(TRIM(AB282)&lt;&gt;"",TRIM(AB282)&lt;&gt;"Closed"),"INVALID – corrective action still open",IF(AND(NOT(OR(LEN(AZ282)&lt;15,ISNUMBER(MATCH(AZ282,L_Placeholder,0)))),BK282=0,CG282&gt;=8,NOT(OR(LEN(AU282)&lt;2,ISNUMBER(MATCH(AU282,L_Placeholder,0)))),BR282&gt;=3,NOT(OR(LEN(AX282)&lt;2,ISNUMBER(MATCH(AX282,L_Placeholder,0)))),BS282&gt;=3,TRIM(AE282)&lt;&gt;TRIM(T282),AX282&lt;&gt;AU282,CE282=0),"N/A – JUSTIFIED","INVALID – N/A needs a real, settled reason (not 'not applicable' / 'as above' / TBC), a named PIC and a different named verifier"))),IF(OR(TRIM(U282)="Pass",TRIM(U282)="Pass after CA"),IF(NOT(ISNUMBER(AD282)),"INVALID – completion time missing",IF(OR(OR(LEN(AU282)&lt;2,ISNUMBER(MATCH(AU282,L_Placeholder,0))),BR282&lt;3),"INVALID – PIC missing or not a named person (a role such as QA / CSM is not a name)",IF(OR(LEN(AV282)&lt;2,ISNUMBER(MATCH(AV282,L_Placeholder,0))),"INVALID – result / assessment missing",IF(OR(OR(LEN(AW282)&lt;3,ISNUMBER(MATCH(AW282,L_Placeholder,0))),SUMPRODUCT(--ISNUMBER(SEARCH(" "&amp;L_EvidencePhrase&amp;" ",BD282)))&gt;0,BI282=1),"INVALID – evidence missing, placeholder or not yet on file",IF(ISNA(MATCH(TRIM(S282),L_EvidenceType,0)),"INVALID – choose the evidence type from the list (column S)",IF(BL282=0,"INVALID – evidence ID must be the record's own ID only (e.g. SF-2210, IMG_2231, 1045521); a link / file name needs type 'Link / file path'",IF(OR(OR(LEN(AX282)&lt;2,ISNUMBER(MATCH(AX282,L_Placeholder,0))),BS282&lt;3),"INVALID – verifier missing or not a named person (a role such as QA / CSM is not a name)",IF(OR(AX282=AU282,CE282=1,AND(LEN(AU282)&gt;=4,ISNUMBER(SEARCH(AU282,AX282))),AND(LEN(AX282)&gt;=4,ISNUMBER(SEARCH(AX282,AU282)))),"INVALID – verifier must be a different, named person (not the PIC or a role)",IF(BH282=1,"INVALID – result not yet available (awaiting / TBC)",IF(BG282=1,"INVALID – result describes a problem: record Fail, then Pass after CA (or reword if it is not a problem)",IF(BV282=1,"INVALID – wording says not on board: an on-board confirmation needs the item loaded",IF(AND(AQ282=1,OR(OR(LEN(AY282)&lt;3,ISNUMBER(MATCH(AY282,L_Placeholder,0))),BJ282=1,BQ282=0)),"INVALID – batch ID missing, placeholder or not an ID (e.g. PASB-261008-BC-017)",IF(AND(AR282=1,OR(NOT(ISNUMBER(X282)),NOT(ISNUMBER(Y282)))),"INVALID – expected/actual qty missing",IF(AND(AR282=1,OR(X282&lt;=0,Y282&lt;0)),"INVALID – expected qty must be above 0 and actual not negative",IF(AH279="N/A – JUSTIFIED","INVALID – preparation row F08-T12-08 is N/A",IF(AND(AR282=1,ISNUMBER(X279),X282&lt;&gt;X279,TRIM(U282)&lt;&gt;"Pass after CA"),"INVALID – expected qty differs from preparation check F08-T12-08: record the load change as a corrective action (Pass after CA)",IF(BB282&lt;&gt;"",BB282,IF(AND(AS282=1,Documents!$J$12&lt;&gt;"ON FILE"),"INVALID – GLD not on file (Documents sheet)",IF(AND(AS282=2,Documents!$O$12&lt;&gt;"ON FILE"),"INVALID – menu checklist not on file (Documents sheet)",IF(AND(AS282=3,NOT(ISNUMBER(Flights!$AX$12))),"INVALID – enter carrying flight KUL departure (Flights AX)",IF(AND(AS282=3,OR(Flights!$AZ$12&gt;Flights!$AA$12,Flights!$AX$12&lt;Flights!$AA$12-3)),"INVALID – carrying flight (Flights AX) cannot arrive before this leg's STD, or is over 3 days early",IF(AG282&gt;AsOfUTC,"INVALID – completion time is in the future",IF(AND(ISNUMBER(BY282),AG282&lt;BY282),IF(H282="Physical uplift","INVALID – before uplift window (cannot confirm loading)","INVALID – before valid window"),IF(AG282&gt;Flights!$AA$12,"INVALID – completed after departure (cannot establish readiness)",IF(AND(H282="Preparation",AG282&gt;=IF(ISNUMBER(Flights!$BA$12),MIN(Flights!$BA$12,Flights!$AA$12),Flights!$AA$12)),"INVALID – completed after loading / departure (cannot establish readiness)",IF(AND(H282="Physical uplift",AG282&gt;Q282),"INVALID – recorded after the loading flight departed",IF(AG282&gt;Q282,"COMPLETE – LATE","COMPLETE"))))))))))))))))))))))))))),IF(TRIM(U282)="Fail","FAIL – DISCREPANCY",IF(AND(TRIM(U282)&lt;&gt;"",TRIM(U282)&lt;&gt;"Not started",TRIM(U282)&lt;&gt;"In progress"),"INVALID – unrecognised status (use the list)",IF(AsOfUTC&gt;Q282,"OVERDUE",IF(N282="Clarification required","OPEN – CLARIFICATION","OPEN"))))))),"INVALID – error value in an input cell")</f>
        <v>OPEN</v>
      </c>
      <c r="AI282" s="61" t="n">
        <f aca="false">IF(OR(AH282="N/A – RULE",AH282="N/A – JUSTIFIED"),0,1)</f>
        <v>1</v>
      </c>
      <c r="AJ282" s="61" t="n">
        <f aca="false">IF(LEFT(AH282,8)="COMPLETE",1,0)</f>
        <v>0</v>
      </c>
      <c r="AK282" s="61" t="n">
        <f aca="false">IF(AND(AI282=1,AJ282=0,AsOfUTC&gt;Q282),1,0)</f>
        <v>0</v>
      </c>
      <c r="AL282" s="61" t="n">
        <f aca="false">IFERROR(IF(AND(AI282=1,OR(TRIM(U282)="Fail",AND(TRIM(AB282)&lt;&gt;"",TRIM(AB282)&lt;&gt;"Closed"),AND(ISNUMBER(AF282),AF282&lt;&gt;0,TRIM(U282)&lt;&gt;"Pass after CA"))),1,0),1)</f>
        <v>0</v>
      </c>
      <c r="AM282" s="61" t="n">
        <f aca="false">IF(LEFT(AH282,7)="INVALID",1,0)</f>
        <v>0</v>
      </c>
      <c r="AN282" s="61" t="n">
        <f aca="false">IF(AND(N282="Clarification required",AI282=1,AJ282=0),1,0)</f>
        <v>0</v>
      </c>
      <c r="AO282" s="61" t="str">
        <f aca="false">IF(AK282=1,SUM(AK$5:AK282),"")</f>
        <v/>
      </c>
      <c r="AP282" s="61" t="str">
        <f aca="false">IF(AL282=1,SUM(AL$5:AL282),"")</f>
        <v/>
      </c>
      <c r="AQ282" s="61" t="n">
        <v>0</v>
      </c>
      <c r="AR282" s="61" t="n">
        <v>0</v>
      </c>
      <c r="AS282" s="61" t="n">
        <v>0</v>
      </c>
      <c r="AT282" s="61" t="n">
        <v>0</v>
      </c>
      <c r="AU282" s="61" t="str">
        <f aca="false">SUBSTITUTE(SUBSTITUTE(SUBSTITUTE(SUBSTITUTE(SUBSTITUTE(SUBSTITUTE(SUBSTITUTE(SUBSTITUTE(SUBSTITUTE(SUBSTITUTE(SUBSTITUTE(SUBSTITUTE(SUBSTITUTE(SUBSTITUTE(SUBSTITUTE(SUBSTITUTE(LOWER(T282&amp;""),CHAR(10),""),CHAR(13),""),CHAR(9),""),CHAR(160),"")," ",""),".",""),"-",""),"/",""),"?",""),"_",""),",",""),"[",""),"]",""),"(",""),")",""),"*","")</f>
        <v/>
      </c>
      <c r="AV282" s="61" t="str">
        <f aca="false">SUBSTITUTE(SUBSTITUTE(SUBSTITUTE(SUBSTITUTE(SUBSTITUTE(SUBSTITUTE(SUBSTITUTE(SUBSTITUTE(SUBSTITUTE(SUBSTITUTE(SUBSTITUTE(SUBSTITUTE(SUBSTITUTE(SUBSTITUTE(SUBSTITUTE(SUBSTITUTE(LOWER(V282&amp;""),CHAR(10),""),CHAR(13),""),CHAR(9),""),CHAR(160),"")," ",""),".",""),"-",""),"/",""),"?",""),"_",""),",",""),"[",""),"]",""),"(",""),")",""),"*","")</f>
        <v/>
      </c>
      <c r="AW282" s="61" t="str">
        <f aca="false">SUBSTITUTE(SUBSTITUTE(SUBSTITUTE(SUBSTITUTE(SUBSTITUTE(SUBSTITUTE(SUBSTITUTE(SUBSTITUTE(SUBSTITUTE(SUBSTITUTE(SUBSTITUTE(SUBSTITUTE(SUBSTITUTE(SUBSTITUTE(SUBSTITUTE(SUBSTITUTE(LOWER(Z282&amp;""),CHAR(10),""),CHAR(13),""),CHAR(9),""),CHAR(160),"")," ",""),".",""),"-",""),"/",""),"?",""),"_",""),",",""),"[",""),"]",""),"(",""),")",""),"*","")</f>
        <v/>
      </c>
      <c r="AX282" s="61" t="str">
        <f aca="false">SUBSTITUTE(SUBSTITUTE(SUBSTITUTE(SUBSTITUTE(SUBSTITUTE(SUBSTITUTE(SUBSTITUTE(SUBSTITUTE(SUBSTITUTE(SUBSTITUTE(SUBSTITUTE(SUBSTITUTE(SUBSTITUTE(SUBSTITUTE(SUBSTITUTE(SUBSTITUTE(LOWER(AE282&amp;""),CHAR(10),""),CHAR(13),""),CHAR(9),""),CHAR(160),"")," ",""),".",""),"-",""),"/",""),"?",""),"_",""),",",""),"[",""),"]",""),"(",""),")",""),"*","")</f>
        <v/>
      </c>
      <c r="AY282" s="61" t="str">
        <f aca="false">SUBSTITUTE(SUBSTITUTE(SUBSTITUTE(SUBSTITUTE(SUBSTITUTE(SUBSTITUTE(SUBSTITUTE(SUBSTITUTE(SUBSTITUTE(SUBSTITUTE(SUBSTITUTE(SUBSTITUTE(SUBSTITUTE(SUBSTITUTE(SUBSTITUTE(SUBSTITUTE(LOWER(W282&amp;""),CHAR(10),""),CHAR(13),""),CHAR(9),""),CHAR(160),"")," ",""),".",""),"-",""),"/",""),"?",""),"_",""),",",""),"[",""),"]",""),"(",""),")",""),"*","")</f>
        <v/>
      </c>
      <c r="AZ282" s="61" t="str">
        <f aca="false">SUBSTITUTE(SUBSTITUTE(SUBSTITUTE(SUBSTITUTE(SUBSTITUTE(SUBSTITUTE(SUBSTITUTE(SUBSTITUTE(SUBSTITUTE(SUBSTITUTE(SUBSTITUTE(SUBSTITUTE(SUBSTITUTE(SUBSTITUTE(SUBSTITUTE(SUBSTITUTE(LOWER(AC282&amp;""),CHAR(10),""),CHAR(13),""),CHAR(9),""),CHAR(160),"")," ",""),".",""),"-",""),"/",""),"?",""),"_",""),",",""),"[",""),"]",""),"(",""),")",""),"*","")</f>
        <v/>
      </c>
      <c r="BA282" s="61" t="str">
        <f aca="false">SUBSTITUTE(SUBSTITUTE(SUBSTITUTE(SUBSTITUTE(SUBSTITUTE(SUBSTITUTE(SUBSTITUTE(SUBSTITUTE(SUBSTITUTE(SUBSTITUTE(SUBSTITUTE(SUBSTITUTE(SUBSTITUTE(SUBSTITUTE(SUBSTITUTE(SUBSTITUTE(LOWER(AA282&amp;""),CHAR(10),""),CHAR(13),""),CHAR(9),""),CHAR(160),"")," ",""),".",""),"-",""),"/",""),"?",""),"_",""),",",""),"[",""),"]",""),"(",""),")",""),"*","")</f>
        <v/>
      </c>
      <c r="BB282" s="61" t="str">
        <f aca="false">IF(AND(TRIM(U282)="Pass",ISNUMBER(AF282)),IF(AF282&lt;&gt;0,"INVALID – qty variance: use Fail or Pass after CA",""),"")&amp;IF(AND(TRIM(U282)="Pass after CA",ISNUMBER(AF282)),IF(AF282&lt;&gt;0,"INVALID – after the corrective action the actual qty must equal expected (update Actual)",""),"")&amp;IF(AND(TRIM(U282)="Pass",TRIM(AB282)&lt;&gt;"",TRIM(AB282)&lt;&gt;"Closed"),"INVALID – corrective action not closed: use Fail, then Pass after CA","")&amp;IF(AND(LEN(BA282)&gt;=2,ISNA(MATCH(LEFT(BA282,255),L_Placeholder,0)),TRIM(AB282)=""),"INVALID – CA status missing for the recorded corrective action","")&amp;IF(AND(TRIM(U282)="Pass after CA",OR(OR(LEN(BA282)&lt;5,ISNUMBER(MATCH(BA282,L_Placeholder,0))),TRIM(AB282)&lt;&gt;"Closed")),"INVALID – corrective action not recorded/closed","")</f>
        <v/>
      </c>
      <c r="BC282" s="61" t="str">
        <f aca="false">" "&amp;TRIM(SUBSTITUTE(SUBSTITUTE(SUBSTITUTE(SUBSTITUTE(SUBSTITUTE(SUBSTITUTE(SUBSTITUTE(SUBSTITUTE(SUBSTITUTE(SUBSTITUTE(SUBSTITUTE(SUBSTITUTE(SUBSTITUTE(SUBSTITUTE(SUBSTITUTE(SUBSTITUTE(SUBSTITUTE(SUBSTITUTE(SUBSTITUTE(SUBSTITUTE(SUBSTITUTE(SUBSTITUTE(SUBSTITUTE(SUBSTITUTE(LOWER(V282&amp;""),CHAR(10)," "),CHAR(13)," "),CHAR(9)," "),CHAR(160)," "),"."," "),","," "),"-"," "),"/"," "),"("," "),")"," "),":"," "),";"," "),"_"," "),"–"," "),"?"," "),"!"," "),"*"," "),"["," "),"]"," "),"'"," "),"#"," "),"+"," "),"&amp;"," "),"\"," "))&amp;" "</f>
        <v>  </v>
      </c>
      <c r="BD282" s="61" t="str">
        <f aca="false">" "&amp;TRIM(SUBSTITUTE(SUBSTITUTE(SUBSTITUTE(SUBSTITUTE(SUBSTITUTE(SUBSTITUTE(SUBSTITUTE(SUBSTITUTE(SUBSTITUTE(SUBSTITUTE(SUBSTITUTE(SUBSTITUTE(SUBSTITUTE(SUBSTITUTE(SUBSTITUTE(SUBSTITUTE(SUBSTITUTE(SUBSTITUTE(SUBSTITUTE(SUBSTITUTE(SUBSTITUTE(SUBSTITUTE(SUBSTITUTE(SUBSTITUTE(LOWER(Z282&amp;""),CHAR(10)," "),CHAR(13)," "),CHAR(9)," "),CHAR(160)," "),"."," "),","," "),"-"," "),"/"," "),"("," "),")"," "),":"," "),";"," "),"_"," "),"–"," "),"?"," "),"!"," "),"*"," "),"["," "),"]"," "),"'"," "),"#"," "),"+"," "),"&amp;"," "),"\"," "))&amp;" "</f>
        <v>  </v>
      </c>
      <c r="BE282" s="61" t="str">
        <f aca="false">" "&amp;TRIM(SUBSTITUTE(SUBSTITUTE(SUBSTITUTE(SUBSTITUTE(SUBSTITUTE(SUBSTITUTE(SUBSTITUTE(SUBSTITUTE(SUBSTITUTE(SUBSTITUTE(SUBSTITUTE(SUBSTITUTE(SUBSTITUTE(SUBSTITUTE(SUBSTITUTE(SUBSTITUTE(SUBSTITUTE(SUBSTITUTE(SUBSTITUTE(SUBSTITUTE(SUBSTITUTE(SUBSTITUTE(SUBSTITUTE(SUBSTITUTE(LOWER(W282&amp;""),CHAR(10)," "),CHAR(13)," "),CHAR(9)," "),CHAR(160)," "),"."," "),","," "),"-"," "),"/"," "),"("," "),")"," "),":"," "),";"," "),"_"," "),"–"," "),"?"," "),"!"," "),"*"," "),"["," "),"]"," "),"'"," "),"#"," "),"+"," "),"&amp;"," "),"\"," "))&amp;" "</f>
        <v>  </v>
      </c>
      <c r="BF282" s="61" t="str">
        <f aca="false">" "&amp;TRIM(SUBSTITUTE(SUBSTITUTE(SUBSTITUTE(SUBSTITUTE(SUBSTITUTE(SUBSTITUTE(SUBSTITUTE(SUBSTITUTE(SUBSTITUTE(SUBSTITUTE(SUBSTITUTE(SUBSTITUTE(SUBSTITUTE(SUBSTITUTE(SUBSTITUTE(SUBSTITUTE(SUBSTITUTE(SUBSTITUTE(SUBSTITUTE(SUBSTITUTE(SUBSTITUTE(SUBSTITUTE(SUBSTITUTE(SUBSTITUTE(LOWER(AC282&amp;""),CHAR(10)," "),CHAR(13)," "),CHAR(9)," "),CHAR(160)," "),"."," "),","," "),"-"," "),"/"," "),"("," "),")"," "),":"," "),";"," "),"_"," "),"–"," "),"?"," "),"!"," "),"*"," "),"["," "),"]"," "),"'"," "),"#"," "),"+"," "),"&amp;"," "),"\"," "))&amp;" "</f>
        <v>  </v>
      </c>
      <c r="BG282" s="61" t="n">
        <f aca="false">IFERROR(IF(AND(TRIM(U282)="Pass",SUMPRODUCT((LEN(BC282)-LEN(SUBSTITUTE(BC282," "&amp;L_ResultBad&amp;" "," ")))/(LEN(L_ResultBad)+1))&gt;SUMPRODUCT((LEN(BC282)-LEN(SUBSTITUTE(BC282," "&amp;L_NegPhrase&amp;" "," ")))/(LEN(L_NegPhrase)+1))),1,0),0)</f>
        <v>0</v>
      </c>
      <c r="BH282" s="61" t="n">
        <f aca="false">IFERROR(IF(SUMPRODUCT((LEN(BC282)-LEN(SUBSTITUTE(BC282," "&amp;L_Pending&amp;" "," ")))/(LEN(L_Pending)+1))&gt;SUMPRODUCT((LEN(BC282)-LEN(SUBSTITUTE(BC282," "&amp;L_PendNeg&amp;" "," ")))/(LEN(L_PendNeg)+1)),1,0),1)</f>
        <v>0</v>
      </c>
      <c r="BI282" s="61" t="n">
        <f aca="false">IFERROR(IF(SUMPRODUCT((LEN(BD282)-LEN(SUBSTITUTE(BD282," "&amp;L_PendStrict&amp;" "," ")))/(LEN(L_PendStrict)+1))&gt;SUMPRODUCT((LEN(BD282)-LEN(SUBSTITUTE(BD282," "&amp;L_PendNeg&amp;" "," ")))/(LEN(L_PendNeg)+1)),1,0),1)</f>
        <v>0</v>
      </c>
      <c r="BJ282" s="61" t="n">
        <f aca="false">IFERROR(IF(SUMPRODUCT((LEN(BE282)-LEN(SUBSTITUTE(BE282," "&amp;L_Pending&amp;" "," ")))/(LEN(L_Pending)+1))&gt;SUMPRODUCT((LEN(BE282)-LEN(SUBSTITUTE(BE282," "&amp;L_PendNeg&amp;" "," ")))/(LEN(L_PendNeg)+1)),1,0),1)</f>
        <v>0</v>
      </c>
      <c r="BK282" s="61" t="n">
        <f aca="false">IFERROR(IF(SUMPRODUCT((LEN(BF282)-LEN(SUBSTITUTE(BF282," "&amp;L_PendStrict&amp;" "," ")))/(LEN(L_PendStrict)+1))&gt;SUMPRODUCT((LEN(BF282)-LEN(SUBSTITUTE(BF282," "&amp;L_PendNeg&amp;" "," ")))/(LEN(L_PendNeg)+1)),1,0),1)</f>
        <v>0</v>
      </c>
      <c r="BL282" s="61" t="n">
        <f aca="false">IF(ISNA(MATCH(TRIM(S282),L_EvidenceType,0)),0,BZ282)</f>
        <v>0</v>
      </c>
      <c r="BM282" s="61" t="str">
        <f aca="false">SUBSTITUTE(SUBSTITUTE(SUBSTITUTE(SUBSTITUTE(SUBSTITUTE(SUBSTITUTE(SUBSTITUTE(SUBSTITUTE(SUBSTITUTE(LOWER(Z282&amp;""),"1","0"),"2","0"),"3","0"),"4","0"),"5","0"),"6","0"),"7","0"),"8","0"),"9","0")</f>
        <v/>
      </c>
      <c r="BN282" s="61" t="str">
        <f aca="false">SUBSTITUTE(SUBSTITUTE(SUBSTITUTE(SUBSTITUTE(SUBSTITUTE(SUBSTITUTE(SUBSTITUTE(SUBSTITUTE(SUBSTITUTE(SUBSTITUTE(SUBSTITUTE(SUBSTITUTE(SUBSTITUTE(SUBSTITUTE(SUBSTITUTE(SUBSTITUTE(SUBSTITUTE(SUBSTITUTE(SUBSTITUTE(SUBSTITUTE(SUBSTITUTE(SUBSTITUTE(SUBSTITUTE(SUBSTITUTE(SUBSTITUTE(BM282,"b","a"),"c","a"),"d","a"),"e","a"),"f","a"),"g","a"),"h","a"),"i","a"),"j","a"),"k","a"),"l","a"),"m","a"),"n","a"),"o","a"),"p","a"),"q","a"),"r","a"),"s","a"),"t","a"),"u","a"),"v","a"),"w","a"),"x","a"),"y","a"),"z","a")</f>
        <v/>
      </c>
      <c r="BO282" s="61" t="str">
        <f aca="false">SUBSTITUTE(SUBSTITUTE(SUBSTITUTE(SUBSTITUTE(SUBSTITUTE(SUBSTITUTE(SUBSTITUTE(SUBSTITUTE(SUBSTITUTE(LOWER(W282&amp;""),"1","0"),"2","0"),"3","0"),"4","0"),"5","0"),"6","0"),"7","0"),"8","0"),"9","0")</f>
        <v/>
      </c>
      <c r="BP282" s="61" t="str">
        <f aca="false">SUBSTITUTE(SUBSTITUTE(SUBSTITUTE(SUBSTITUTE(SUBSTITUTE(SUBSTITUTE(SUBSTITUTE(SUBSTITUTE(SUBSTITUTE(SUBSTITUTE(SUBSTITUTE(SUBSTITUTE(SUBSTITUTE(SUBSTITUTE(SUBSTITUTE(SUBSTITUTE(SUBSTITUTE(SUBSTITUTE(SUBSTITUTE(SUBSTITUTE(SUBSTITUTE(SUBSTITUTE(SUBSTITUTE(SUBSTITUTE(SUBSTITUTE(BO282,"b","a"),"c","a"),"d","a"),"e","a"),"f","a"),"g","a"),"h","a"),"i","a"),"j","a"),"k","a"),"l","a"),"m","a"),"n","a"),"o","a"),"p","a"),"q","a"),"r","a"),"s","a"),"t","a"),"u","a"),"v","a"),"w","a"),"x","a"),"y","a"),"z","a")</f>
        <v/>
      </c>
      <c r="BQ282" s="61" t="n">
        <f aca="false">IFERROR(IF(AND(ISERROR(SEARCH(" mh"," "&amp;LOWER(W282))),ISNA(MATCH(LEFT(TRIM(BP282),255),{"0000a","000a","00a","0000aa","000aa","00aa","0aa","0000aaa","000aaa","00a00","0a00","0000-0000","00:00","a00","a0","00.00.0000","00/00/0000","00-00-0000","0000-00-00","0000/00/00","0000.00.00","00.00.00","00/00/00","00-00-00","0.00.0000","0/00/0000","0-00-0000"},0)),ISNA(MATCH(LEFT(TRIM(CA282),255),{"0000a","000a","00a","0000aa","000aa","00aa","0aa","0000aaa","000aaa","00a00","0a00","0000-0000","00:00","a00","a0","00.00.0000","00/00/0000","00-00-0000","0000-00-00","0000/00/00","0000.00.00","00.00.00","00/00/00","00-00-00","0.00.0000","0/00/0000","0-00-0000"},0)),LEN(CB282)&gt;=3,NOT(OR(SUBSTITUTE(CB282,"0","")="",AND(LEN(CB282)&gt;=4,CB282=REPT(LEFT(CB282),LEN(CB282))),ISNUMBER(MATCH(CB282,{"123","1234","12345","123456","1234567","12345678","0123","01234","012345","98765","987654","54321"},0)),AND(LEN(CB282)=8,LEFT(CB282,3)="202"))),OR(AND((LEN(CA282)-LEN(SUBSTITUTE(CA282,"a","")))&gt;=1,SUMPRODUCT(--ISNUMBER(SEARCH({"a0","a-0","a_0","a/0","a.0","a#0","0a","0-a","0_a","0/a"},BP282)))&gt;0),ISNUMBER(SEARCH("000000",BP282)))),1,0),0)</f>
        <v>0</v>
      </c>
      <c r="BR282" s="61" t="n">
        <f aca="false">IFERROR(LEN(SUBSTITUTE(CC282," ",""))-SUMPRODUCT((LEN(CC282)-LEN(SUBSTITUTE(CC282," "&amp;L_Role&amp;" "," ")))/(LEN(L_Role)+1)*LEN(L_Role)),0)</f>
        <v>0</v>
      </c>
      <c r="BS282" s="61" t="n">
        <f aca="false">IFERROR(LEN(SUBSTITUTE(CD282," ",""))-SUMPRODUCT((LEN(CD282)-LEN(SUBSTITUTE(CD282," "&amp;L_Role&amp;" "," ")))/(LEN(L_Role)+1)*LEN(L_Role)),0)</f>
        <v>0</v>
      </c>
      <c r="BT2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282,"revision",""),"version",""),"jan",""),"feb",""),"mar",""),"apr",""),"may",""),"jun",""),"jul",""),"aug",""),"sep",""),"oct",""),"nov",""),"dec",""),"utc",""),"gmt",""),"myt",""),"bst",""),"rev",""),"ver",""),"b","a"),"c","a"),"d","a"),"e","a"),"f","a"),"g","a"),"h","a"),"i","a"),"j","a"),"k","a"),"l","a"),"m","a"),"n","a"),"o","a"),"p","a"),"q","a"),"r","a"),"s","a"),"t","a"),"u","a"),"v","a"),"w","a"),"x","a"),"y","a"),"z","a")</f>
        <v/>
      </c>
      <c r="BU282" s="61" t="str">
        <f aca="false">SUBSTITUTE(SUBSTITUTE(SUBSTITUTE(SUBSTITUTE(SUBSTITUTE(SUBSTITUTE(SUBSTITUTE(SUBSTITUTE(SUBSTITUTE(SUBSTITUTE(LEFT(BM282,FIND("0",BM282&amp;"0")-1),"-",""),"_",""),"/",""),".",""),"#",""),"\\",""),":","")," ",""),"(",""),")","")</f>
        <v/>
      </c>
      <c r="BV282" s="61" t="n">
        <f aca="false">IFERROR(IF(OR(SUMPRODUCT((LEN(BC282)-LEN(SUBSTITUTE(BC282," "&amp;L_NotLoaded&amp;" "," ")))/(LEN(L_NotLoaded)+1))&gt;SUMPRODUCT((LEN(BC282)-LEN(SUBSTITUTE(BC282," "&amp;L_NotLoadedNeg&amp;" "," ")))/(LEN(L_NotLoadedNeg)+1)),SUMPRODUCT((LEN(BD282)-LEN(SUBSTITUTE(BD282," "&amp;L_NotLoaded&amp;" "," ")))/(LEN(L_NotLoaded)+1))&gt;SUMPRODUCT((LEN(BD282)-LEN(SUBSTITUTE(BD282," "&amp;L_NotLoadedNeg&amp;" "," ")))/(LEN(L_NotLoadedNeg)+1))),1,0),0)</f>
        <v>0</v>
      </c>
      <c r="BW2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282&amp;""),"a",""),"b",""),"c",""),"d",""),"e",""),"f",""),"g",""),"h",""),"i",""),"j",""),"k",""),"l",""),"m",""),"n",""),"o",""),"p",""),"q",""),"r",""),"s",""),"t",""),"u",""),"v",""),"w",""),"x",""),"y",""),"z",""),"-",""),"_",""),"/",""),".",""),"#",""),"\\",""),":","")," ",""),"(",""),")","")</f>
        <v/>
      </c>
      <c r="BX282" s="61" t="str">
        <f aca="false">SUBSTITUTE(SUBSTITUTE(SUBSTITUTE(SUBSTITUTE(SUBSTITUTE(SUBSTITUTE(SUBSTITUTE(SUBSTITUTE(SUBSTITUTE(SUBSTITUTE(SUBSTITUTE(BM282,"0",""),"-",""),"_",""),"/",""),".",""),"#",""),"\\",""),":","")," ",""),"(",""),")","")</f>
        <v/>
      </c>
      <c r="BY282" s="62" t="n">
        <f aca="false">IF(ISNUMBER(Flights!$AZ$12),MAX(Q282-UpliftWindowH/24,Flights!$AZ$12),Q282-UpliftWindowH/24)</f>
        <v>46304.8159722222</v>
      </c>
      <c r="BZ282" s="61" t="n">
        <f aca="false">IFERROR(IF(IF(TRIM(S282)="Link / file path",AND(LEN(TRIM(Z282))&gt;=5,SUMPRODUCT(--ISNUMBER(SEARCH({"http","www.","\\",":\",".pdf",".jpg",".jpeg",".png",".heic",".xls",".doc",".msg",".eml",".ppt",".txt",".zip"},Z282)))&gt;0),AND(ISERROR(FIND(" ",TRIM(Z282))),NOT(OR(SUMPRODUCT(--ISNUMBER(FIND({",",";","&amp;","+"},Z282)))&gt;0,SUMPRODUCT(--ISNUMBER(SEARCH({"0/aa","0\\aa"},BN282)))&gt;0)),NOT(SUMPRODUCT(--ISNUMBER(SEARCH({"http","www.","\\",":\",".pdf",".jpg",".jpeg",".png",".heic",".xls",".doc",".msg",".eml",".ppt",".txt",".zip"},Z282)))&gt;0),NOT(LOWER(TRIM(Z282))=LOWER(Flights!$F$12)),ISNA(MATCH(BU282,{"mh","rev","revision","ver","version","v","r","a","b","seat","tray","row","gate","bay","stand","page","pg","item","line","no","cart","galley","flight","flt","table","box","bag","oven","etd","eta","std","sta","atd","ata","qty","pax","x","time","tel","ph","mob","day","wk","week","utc","gmt","myt","lt"},0)),NOT(OR(ISNUMBER(MATCH(LEFT(BN282,255),{"0000a","000a","00a","0000aa","000aa","00aa","0aa","0000aaa","000aaa","00a00","0a00","0000-0000","00:00","a00","a0","00.00.0000","00/00/0000","00-00-0000","0000-00-00","0000/00/00","0000.00.00","00.00.00","00/00/00","00-00-00","0.00.0000","0/00/0000","0-00-0000"},0)),ISNUMBER(MATCH(LEFT(BT282,255),{"0000a","000a","00a","0000aa","000aa","00aa","0aa","0000aaa","000aaa","00a00","0a00","0000-0000","00:00","a00","a0","00.00.0000","00/00/0000","00-00-0000","0000-00-00","0000/00/00","0000.00.00","00.00.00","00/00/00","00-00-00","0.00.0000","0/00/0000","0-00-0000"},0)))),NOT(OR(AND(BW282&lt;&gt;"",SUBSTITUTE(BW282,"0","")=""),AND(LEN(BW282)&gt;=4,BW282=REPT(LEFT(BW282),LEN(BW282))),ISNUMBER(MATCH(BW282,{"123","1234","12345","123456","1234567","12345678","0123","01234","012345","98765","987654","54321"},0)),ISNUMBER(MATCH(BX282,{"x","xx","xxx","xxxx","xxxxx","abc","abcd","nil","na","nan","test","tbc","tba","tbd","dummy","sample","example","eg","zz","zzz","none","null","xyz","qwe","asd","id","ref"},0)),AND(LEN(BW282)=8,BX282="",OR(LEFT(BW282,3)="202",ISNUMBER(MATCH(RIGHT(BW282,4),{"2025","2026","2027"},0)))))),OR(AND((LEN(BT282)-LEN(SUBSTITUTE(BT282,"a","")))&gt;=1,(LEN(BN282)-LEN(SUBSTITUTE(BN282,"0","")))&gt;=2,SUMPRODUCT(--ISNUMBER(SEARCH({"a0","a-0","a_0","a/0","a.0","a#0","0a","0-a","0_a","0/a"},BN282)))&gt;0),AND((LEN(BN282)-LEN(SUBSTITUTE(BN282,"a","")))=0,(LEN(BN282)-LEN(SUBSTITUTE(BN282,"0","")))&gt;=5)))),1,0),0)</f>
        <v>0</v>
      </c>
      <c r="CA2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282,"revision",""),"version",""),"jan",""),"feb",""),"mar",""),"apr",""),"may",""),"jun",""),"jul",""),"aug",""),"sep",""),"oct",""),"nov",""),"dec",""),"utc",""),"gmt",""),"myt",""),"bst",""),"rev",""),"ver",""),"b","a"),"c","a"),"d","a"),"e","a"),"f","a"),"g","a"),"h","a"),"i","a"),"j","a"),"k","a"),"l","a"),"m","a"),"n","a"),"o","a"),"p","a"),"q","a"),"r","a"),"s","a"),"t","a"),"u","a"),"v","a"),"w","a"),"x","a"),"y","a"),"z","a")</f>
        <v/>
      </c>
      <c r="CB2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282&amp;""),"a",""),"b",""),"c",""),"d",""),"e",""),"f",""),"g",""),"h",""),"i",""),"j",""),"k",""),"l",""),"m",""),"n",""),"o",""),"p",""),"q",""),"r",""),"s",""),"t",""),"u",""),"v",""),"w",""),"x",""),"y",""),"z",""),"-",""),"_",""),"/",""),".",""),"#",""),"\\",""),":","")," ",""),"(",""),")","")</f>
        <v/>
      </c>
      <c r="CC282" s="0" t="str">
        <f aca="false">" "&amp;TRIM(SUBSTITUTE(SUBSTITUTE(SUBSTITUTE(SUBSTITUTE(SUBSTITUTE(SUBSTITUTE(SUBSTITUTE(SUBSTITUTE(SUBSTITUTE(SUBSTITUTE(SUBSTITUTE(SUBSTITUTE(SUBSTITUTE(SUBSTITUTE(SUBSTITUTE(SUBSTITUTE(SUBSTITUTE(SUBSTITUTE(SUBSTITUTE(SUBSTITUTE(SUBSTITUTE(SUBSTITUTE(SUBSTITUTE(SUBSTITUTE(LOWER(T282&amp;""),CHAR(10)," "),CHAR(13)," "),CHAR(9)," "),CHAR(160)," "),"."," "),","," "),"-"," "),"/"," "),"("," "),")"," "),":"," "),";"," "),"_"," "),"–"," "),"?"," "),"!"," "),"*"," "),"["," "),"]"," "),"'"," "),"#"," "),"+"," "),"&amp;"," "),"\"," "))&amp;" "</f>
        <v>  </v>
      </c>
      <c r="CD282" s="0" t="str">
        <f aca="false">" "&amp;TRIM(SUBSTITUTE(SUBSTITUTE(SUBSTITUTE(SUBSTITUTE(SUBSTITUTE(SUBSTITUTE(SUBSTITUTE(SUBSTITUTE(SUBSTITUTE(SUBSTITUTE(SUBSTITUTE(SUBSTITUTE(SUBSTITUTE(SUBSTITUTE(SUBSTITUTE(SUBSTITUTE(SUBSTITUTE(SUBSTITUTE(SUBSTITUTE(SUBSTITUTE(SUBSTITUTE(SUBSTITUTE(SUBSTITUTE(SUBSTITUTE(LOWER(AE282&amp;""),CHAR(10)," "),CHAR(13)," "),CHAR(9)," "),CHAR(160)," "),"."," "),","," "),"-"," "),"/"," "),"("," "),")"," "),":"," "),";"," "),"_"," "),"–"," "),"?"," "),"!"," "),"*"," "),"["," "),"]"," "),"'"," "),"#"," "),"+"," "),"&amp;"," "),"\"," "))&amp;" "</f>
        <v>  </v>
      </c>
      <c r="CE282" s="68" t="n">
        <f aca="false">IFERROR(IF(AND(LEN(AU282)&gt;0,LEN(AU282)=LEN(AX282),OR(TRIM(MID(SUBSTITUTE(TRIM(CC282)," ",REPT(" ",60)),1,60))="",ISNUMBER(SEARCH(" "&amp;TRIM(MID(SUBSTITUTE(TRIM(CC282)," ",REPT(" ",60)),1,60))&amp;" ",CD282))),OR(TRIM(MID(SUBSTITUTE(TRIM(CC282)," ",REPT(" ",60)),61,60))="",ISNUMBER(SEARCH(" "&amp;TRIM(MID(SUBSTITUTE(TRIM(CC282)," ",REPT(" ",60)),61,60))&amp;" ",CD282))),OR(TRIM(MID(SUBSTITUTE(TRIM(CC282)," ",REPT(" ",60)),121,60))="",ISNUMBER(SEARCH(" "&amp;TRIM(MID(SUBSTITUTE(TRIM(CC282)," ",REPT(" ",60)),121,60))&amp;" ",CD282)))),1,0),0)</f>
        <v>0</v>
      </c>
      <c r="CG282" s="68" t="n">
        <f aca="false">IFERROR(LEN(SUBSTITUTE(BF282," ",""))-SUMPRODUCT((LEN(BF282)-LEN(SUBSTITUTE(BF282," "&amp;L_NAFiller&amp;" "," ")))/(LEN(L_NAFiller)+1)*LEN(L_NAFiller)),0)</f>
        <v>0</v>
      </c>
    </row>
    <row r="283" customFormat="false" ht="39.75" hidden="false" customHeight="true" outlineLevel="0" collapsed="false">
      <c r="A283" s="57" t="s">
        <v>857</v>
      </c>
      <c r="B283" s="57" t="s">
        <v>246</v>
      </c>
      <c r="C283" s="57" t="str">
        <f aca="false">Flights!$F$13</f>
        <v>MH0753</v>
      </c>
      <c r="D283" s="58" t="n">
        <f aca="false">Flights!$D$13</f>
        <v>46306</v>
      </c>
      <c r="E283" s="57" t="str">
        <f aca="false">Flights!$G$13&amp;"-"&amp;Flights!$H$13</f>
        <v>HAN-KUL</v>
      </c>
      <c r="F283" s="57" t="str">
        <f aca="false">Flights!$K$13</f>
        <v>BC</v>
      </c>
      <c r="G283" s="57" t="s">
        <v>81</v>
      </c>
      <c r="H283" s="57" t="s">
        <v>378</v>
      </c>
      <c r="I283" s="57" t="s">
        <v>379</v>
      </c>
      <c r="J283" s="57" t="s">
        <v>380</v>
      </c>
      <c r="K283" s="67" t="s">
        <v>381</v>
      </c>
      <c r="L283" s="67" t="s">
        <v>382</v>
      </c>
      <c r="M283" s="67"/>
      <c r="N283" s="67" t="s">
        <v>383</v>
      </c>
      <c r="O283" s="67"/>
      <c r="P283" s="57" t="s">
        <v>240</v>
      </c>
      <c r="Q283" s="59" t="n">
        <f aca="false">ROUND((Flights!$AC$13)*1440,0)/1440</f>
        <v>46299.2534722222</v>
      </c>
      <c r="R283" s="59" t="n">
        <f aca="false">Q283+(IF(AND(INDEX(TZ_DSTS,MATCH(P283,TZ_STN,0))&lt;&gt;"",Q283&gt;=INDEX(TZ_DSTS,MATCH(P283,TZ_STN,0)),Q283&lt;INDEX(TZ_DSTE,MATCH(P283,TZ_STN,0))),INDEX(TZ_DST,MATCH(P283,TZ_STN,0)),INDEX(TZ_STD,MATCH(P283,TZ_STN,0))))/24</f>
        <v>46299.5451388889</v>
      </c>
      <c r="S283" s="60"/>
      <c r="T283" s="60"/>
      <c r="U283" s="60"/>
      <c r="V283" s="60"/>
      <c r="W283" s="61"/>
      <c r="X283" s="60"/>
      <c r="Y283" s="60"/>
      <c r="Z283" s="60"/>
      <c r="AA283" s="60"/>
      <c r="AB283" s="60"/>
      <c r="AC283" s="60"/>
      <c r="AD283" s="66"/>
      <c r="AE283" s="60"/>
      <c r="AF283" s="61" t="str">
        <f aca="false">IF(AND(ISNUMBER(X283),ISNUMBER(Y283)),Y283-X283,"")</f>
        <v/>
      </c>
      <c r="AG283" s="62" t="str">
        <f aca="false">IF(ISNUMBER(AD283),AD283-(IF(AND(INDEX(TZ_DSTS,MATCH(P283,TZ_STN,0))&lt;&gt;"",(AD283-INDEX(TZ_STD,MATCH(P283,TZ_STN,0))/24)&gt;=INDEX(TZ_DSTS,MATCH(P283,TZ_STN,0)),(AD283-INDEX(TZ_STD,MATCH(P283,TZ_STN,0))/24)&lt;INDEX(TZ_DSTE,MATCH(P283,TZ_STN,0))),INDEX(TZ_DST,MATCH(P283,TZ_STN,0)),INDEX(TZ_STD,MATCH(P283,TZ_STN,0))))/24,"")</f>
        <v/>
      </c>
      <c r="AH283" s="65" t="str">
        <f aca="false">IFERROR(IF(N283="N/A – rule",IF(OR(TRIM(U283)="",TRIM(U283)="N/A",TRIM(U283)="Not started"),"N/A – RULE","INVALID – this check does not apply to this aircraft: clear the status (or correct the fleet on Flights)"),IF(TRIM(U283)="N/A",IF(AT283=0,"INVALID – N/A not permitted for this check",IF(AND(TRIM(AB283)&lt;&gt;"",TRIM(AB283)&lt;&gt;"Closed"),"INVALID – corrective action still open",IF(AND(NOT(OR(LEN(AZ283)&lt;15,ISNUMBER(MATCH(AZ283,L_Placeholder,0)))),BK283=0,CG283&gt;=8,NOT(OR(LEN(AU283)&lt;2,ISNUMBER(MATCH(AU283,L_Placeholder,0)))),BR283&gt;=3,NOT(OR(LEN(AX283)&lt;2,ISNUMBER(MATCH(AX283,L_Placeholder,0)))),BS283&gt;=3,TRIM(AE283)&lt;&gt;TRIM(T283),AX283&lt;&gt;AU283,CE283=0),"N/A – JUSTIFIED","INVALID – N/A needs a real, settled reason (not 'not applicable' / 'as above' / TBC), a named PIC and a different named verifier"))),IF(OR(TRIM(U283)="Pass",TRIM(U283)="Pass after CA"),IF(NOT(ISNUMBER(AD283)),"INVALID – completion time missing",IF(OR(OR(LEN(AU283)&lt;2,ISNUMBER(MATCH(AU283,L_Placeholder,0))),BR283&lt;3),"INVALID – PIC missing or not a named person (a role such as QA / CSM is not a name)",IF(OR(LEN(AV283)&lt;2,ISNUMBER(MATCH(AV283,L_Placeholder,0))),"INVALID – result / assessment missing",IF(OR(OR(LEN(AW283)&lt;3,ISNUMBER(MATCH(AW283,L_Placeholder,0))),SUMPRODUCT(--ISNUMBER(SEARCH(" "&amp;L_EvidencePhrase&amp;" ",BD283)))&gt;0,BI283=1),"INVALID – evidence missing, placeholder or not yet on file",IF(ISNA(MATCH(TRIM(S283),L_EvidenceType,0)),"INVALID – choose the evidence type from the list (column S)",IF(BL283=0,"INVALID – evidence ID must be the record's own ID only (e.g. SF-2210, IMG_2231, 1045521); a link / file name needs type 'Link / file path'",IF(OR(OR(LEN(AX283)&lt;2,ISNUMBER(MATCH(AX283,L_Placeholder,0))),BS283&lt;3),"INVALID – verifier missing or not a named person (a role such as QA / CSM is not a name)",IF(OR(AX283=AU283,CE283=1,AND(LEN(AU283)&gt;=4,ISNUMBER(SEARCH(AU283,AX283))),AND(LEN(AX283)&gt;=4,ISNUMBER(SEARCH(AX283,AU283)))),"INVALID – verifier must be a different, named person (not the PIC or a role)",IF(BH283=1,"INVALID – result not yet available (awaiting / TBC)",IF(BG283=1,"INVALID – result describes a problem: record Fail, then Pass after CA (or reword if it is not a problem)",IF(BV283=1,"INVALID – wording says not on board: an on-board confirmation needs the item loaded",IF(AND(AQ283=1,OR(OR(LEN(AY283)&lt;3,ISNUMBER(MATCH(AY283,L_Placeholder,0))),BJ283=1,BQ283=0)),"INVALID – batch ID missing, placeholder or not an ID (e.g. PASB-261008-BC-017)",IF(AND(AR283=1,OR(NOT(ISNUMBER(X283)),NOT(ISNUMBER(Y283)))),"INVALID – expected/actual qty missing",IF(AND(AR283=1,OR(X283&lt;=0,Y283&lt;0)),"INVALID – expected qty must be above 0 and actual not negative",IF(BB283&lt;&gt;"",BB283,IF(AND(AS283=1,Documents!$J$13&lt;&gt;"ON FILE"),"INVALID – GLD not on file (Documents sheet)",IF(AND(AS283=2,Documents!$O$13&lt;&gt;"ON FILE"),"INVALID – menu checklist not on file (Documents sheet)",IF(AND(AS283=3,NOT(ISNUMBER(Flights!$AX$13))),"INVALID – enter carrying flight KUL departure (Flights AX)",IF(AND(AS283=3,OR(Flights!$AZ$13&gt;Flights!$AA$13,Flights!$AX$13&lt;Flights!$AA$13-3)),"INVALID – carrying flight (Flights AX) cannot arrive before this leg's STD, or is over 3 days early",IF(AG283&gt;AsOfUTC,"INVALID – completion time is in the future",IF(AND(ISNUMBER(BY283),AG283&lt;BY283),IF(H283="Physical uplift","INVALID – before uplift window (cannot confirm loading)","INVALID – before valid window"),IF(AG283&gt;Flights!$AA$13,"INVALID – completed after departure (cannot establish readiness)",IF(AND(H283="Preparation",AG283&gt;=IF(ISNUMBER(Flights!$BA$13),MIN(Flights!$BA$13,Flights!$AA$13),Flights!$AA$13)),"INVALID – completed after loading / departure (cannot establish readiness)",IF(AND(H283="Physical uplift",AG283&gt;Q283),"INVALID – recorded after the loading flight departed",IF(AG283&gt;Q283,"COMPLETE – LATE","COMPLETE"))))))))))))))))))))))))),IF(TRIM(U283)="Fail","FAIL – DISCREPANCY",IF(AND(TRIM(U283)&lt;&gt;"",TRIM(U283)&lt;&gt;"Not started",TRIM(U283)&lt;&gt;"In progress"),"INVALID – unrecognised status (use the list)",IF(AsOfUTC&gt;Q283,"OVERDUE",IF(N283="Clarification required","OPEN – CLARIFICATION","OPEN"))))))),"INVALID – error value in an input cell")</f>
        <v>OPEN</v>
      </c>
      <c r="AI283" s="61" t="n">
        <f aca="false">IF(OR(AH283="N/A – RULE",AH283="N/A – JUSTIFIED"),0,1)</f>
        <v>1</v>
      </c>
      <c r="AJ283" s="61" t="n">
        <f aca="false">IF(LEFT(AH283,8)="COMPLETE",1,0)</f>
        <v>0</v>
      </c>
      <c r="AK283" s="61" t="n">
        <f aca="false">IF(AND(AI283=1,AJ283=0,AsOfUTC&gt;Q283),1,0)</f>
        <v>0</v>
      </c>
      <c r="AL283" s="61" t="n">
        <f aca="false">IFERROR(IF(AND(AI283=1,OR(TRIM(U283)="Fail",AND(TRIM(AB283)&lt;&gt;"",TRIM(AB283)&lt;&gt;"Closed"),AND(ISNUMBER(AF283),AF283&lt;&gt;0,TRIM(U283)&lt;&gt;"Pass after CA"))),1,0),1)</f>
        <v>0</v>
      </c>
      <c r="AM283" s="61" t="n">
        <f aca="false">IF(LEFT(AH283,7)="INVALID",1,0)</f>
        <v>0</v>
      </c>
      <c r="AN283" s="61" t="n">
        <f aca="false">IF(AND(N283="Clarification required",AI283=1,AJ283=0),1,0)</f>
        <v>0</v>
      </c>
      <c r="AO283" s="61" t="str">
        <f aca="false">IF(AK283=1,SUM(AK$5:AK283),"")</f>
        <v/>
      </c>
      <c r="AP283" s="61" t="str">
        <f aca="false">IF(AL283=1,SUM(AL$5:AL283),"")</f>
        <v/>
      </c>
      <c r="AQ283" s="61" t="n">
        <v>0</v>
      </c>
      <c r="AR283" s="61" t="n">
        <v>0</v>
      </c>
      <c r="AS283" s="61" t="n">
        <v>0</v>
      </c>
      <c r="AT283" s="61" t="n">
        <v>0</v>
      </c>
      <c r="AU283" s="61" t="str">
        <f aca="false">SUBSTITUTE(SUBSTITUTE(SUBSTITUTE(SUBSTITUTE(SUBSTITUTE(SUBSTITUTE(SUBSTITUTE(SUBSTITUTE(SUBSTITUTE(SUBSTITUTE(SUBSTITUTE(SUBSTITUTE(SUBSTITUTE(SUBSTITUTE(SUBSTITUTE(SUBSTITUTE(LOWER(T283&amp;""),CHAR(10),""),CHAR(13),""),CHAR(9),""),CHAR(160),"")," ",""),".",""),"-",""),"/",""),"?",""),"_",""),",",""),"[",""),"]",""),"(",""),")",""),"*","")</f>
        <v/>
      </c>
      <c r="AV283" s="61" t="str">
        <f aca="false">SUBSTITUTE(SUBSTITUTE(SUBSTITUTE(SUBSTITUTE(SUBSTITUTE(SUBSTITUTE(SUBSTITUTE(SUBSTITUTE(SUBSTITUTE(SUBSTITUTE(SUBSTITUTE(SUBSTITUTE(SUBSTITUTE(SUBSTITUTE(SUBSTITUTE(SUBSTITUTE(LOWER(V283&amp;""),CHAR(10),""),CHAR(13),""),CHAR(9),""),CHAR(160),"")," ",""),".",""),"-",""),"/",""),"?",""),"_",""),",",""),"[",""),"]",""),"(",""),")",""),"*","")</f>
        <v/>
      </c>
      <c r="AW283" s="61" t="str">
        <f aca="false">SUBSTITUTE(SUBSTITUTE(SUBSTITUTE(SUBSTITUTE(SUBSTITUTE(SUBSTITUTE(SUBSTITUTE(SUBSTITUTE(SUBSTITUTE(SUBSTITUTE(SUBSTITUTE(SUBSTITUTE(SUBSTITUTE(SUBSTITUTE(SUBSTITUTE(SUBSTITUTE(LOWER(Z283&amp;""),CHAR(10),""),CHAR(13),""),CHAR(9),""),CHAR(160),"")," ",""),".",""),"-",""),"/",""),"?",""),"_",""),",",""),"[",""),"]",""),"(",""),")",""),"*","")</f>
        <v/>
      </c>
      <c r="AX283" s="61" t="str">
        <f aca="false">SUBSTITUTE(SUBSTITUTE(SUBSTITUTE(SUBSTITUTE(SUBSTITUTE(SUBSTITUTE(SUBSTITUTE(SUBSTITUTE(SUBSTITUTE(SUBSTITUTE(SUBSTITUTE(SUBSTITUTE(SUBSTITUTE(SUBSTITUTE(SUBSTITUTE(SUBSTITUTE(LOWER(AE283&amp;""),CHAR(10),""),CHAR(13),""),CHAR(9),""),CHAR(160),"")," ",""),".",""),"-",""),"/",""),"?",""),"_",""),",",""),"[",""),"]",""),"(",""),")",""),"*","")</f>
        <v/>
      </c>
      <c r="AY283" s="61" t="str">
        <f aca="false">SUBSTITUTE(SUBSTITUTE(SUBSTITUTE(SUBSTITUTE(SUBSTITUTE(SUBSTITUTE(SUBSTITUTE(SUBSTITUTE(SUBSTITUTE(SUBSTITUTE(SUBSTITUTE(SUBSTITUTE(SUBSTITUTE(SUBSTITUTE(SUBSTITUTE(SUBSTITUTE(LOWER(W283&amp;""),CHAR(10),""),CHAR(13),""),CHAR(9),""),CHAR(160),"")," ",""),".",""),"-",""),"/",""),"?",""),"_",""),",",""),"[",""),"]",""),"(",""),")",""),"*","")</f>
        <v/>
      </c>
      <c r="AZ283" s="61" t="str">
        <f aca="false">SUBSTITUTE(SUBSTITUTE(SUBSTITUTE(SUBSTITUTE(SUBSTITUTE(SUBSTITUTE(SUBSTITUTE(SUBSTITUTE(SUBSTITUTE(SUBSTITUTE(SUBSTITUTE(SUBSTITUTE(SUBSTITUTE(SUBSTITUTE(SUBSTITUTE(SUBSTITUTE(LOWER(AC283&amp;""),CHAR(10),""),CHAR(13),""),CHAR(9),""),CHAR(160),"")," ",""),".",""),"-",""),"/",""),"?",""),"_",""),",",""),"[",""),"]",""),"(",""),")",""),"*","")</f>
        <v/>
      </c>
      <c r="BA283" s="61" t="str">
        <f aca="false">SUBSTITUTE(SUBSTITUTE(SUBSTITUTE(SUBSTITUTE(SUBSTITUTE(SUBSTITUTE(SUBSTITUTE(SUBSTITUTE(SUBSTITUTE(SUBSTITUTE(SUBSTITUTE(SUBSTITUTE(SUBSTITUTE(SUBSTITUTE(SUBSTITUTE(SUBSTITUTE(LOWER(AA283&amp;""),CHAR(10),""),CHAR(13),""),CHAR(9),""),CHAR(160),"")," ",""),".",""),"-",""),"/",""),"?",""),"_",""),",",""),"[",""),"]",""),"(",""),")",""),"*","")</f>
        <v/>
      </c>
      <c r="BB283" s="61" t="str">
        <f aca="false">IF(AND(TRIM(U283)="Pass",ISNUMBER(AF283)),IF(AF283&lt;&gt;0,"INVALID – qty variance: use Fail or Pass after CA",""),"")&amp;IF(AND(TRIM(U283)="Pass after CA",ISNUMBER(AF283)),IF(AF283&lt;&gt;0,"INVALID – after the corrective action the actual qty must equal expected (update Actual)",""),"")&amp;IF(AND(TRIM(U283)="Pass",TRIM(AB283)&lt;&gt;"",TRIM(AB283)&lt;&gt;"Closed"),"INVALID – corrective action not closed: use Fail, then Pass after CA","")&amp;IF(AND(LEN(BA283)&gt;=2,ISNA(MATCH(LEFT(BA283,255),L_Placeholder,0)),TRIM(AB283)=""),"INVALID – CA status missing for the recorded corrective action","")&amp;IF(AND(TRIM(U283)="Pass after CA",OR(OR(LEN(BA283)&lt;5,ISNUMBER(MATCH(BA283,L_Placeholder,0))),TRIM(AB283)&lt;&gt;"Closed")),"INVALID – corrective action not recorded/closed","")</f>
        <v/>
      </c>
      <c r="BC283" s="61" t="str">
        <f aca="false">" "&amp;TRIM(SUBSTITUTE(SUBSTITUTE(SUBSTITUTE(SUBSTITUTE(SUBSTITUTE(SUBSTITUTE(SUBSTITUTE(SUBSTITUTE(SUBSTITUTE(SUBSTITUTE(SUBSTITUTE(SUBSTITUTE(SUBSTITUTE(SUBSTITUTE(SUBSTITUTE(SUBSTITUTE(SUBSTITUTE(SUBSTITUTE(SUBSTITUTE(SUBSTITUTE(SUBSTITUTE(SUBSTITUTE(SUBSTITUTE(SUBSTITUTE(LOWER(V283&amp;""),CHAR(10)," "),CHAR(13)," "),CHAR(9)," "),CHAR(160)," "),"."," "),","," "),"-"," "),"/"," "),"("," "),")"," "),":"," "),";"," "),"_"," "),"–"," "),"?"," "),"!"," "),"*"," "),"["," "),"]"," "),"'"," "),"#"," "),"+"," "),"&amp;"," "),"\"," "))&amp;" "</f>
        <v>  </v>
      </c>
      <c r="BD283" s="61" t="str">
        <f aca="false">" "&amp;TRIM(SUBSTITUTE(SUBSTITUTE(SUBSTITUTE(SUBSTITUTE(SUBSTITUTE(SUBSTITUTE(SUBSTITUTE(SUBSTITUTE(SUBSTITUTE(SUBSTITUTE(SUBSTITUTE(SUBSTITUTE(SUBSTITUTE(SUBSTITUTE(SUBSTITUTE(SUBSTITUTE(SUBSTITUTE(SUBSTITUTE(SUBSTITUTE(SUBSTITUTE(SUBSTITUTE(SUBSTITUTE(SUBSTITUTE(SUBSTITUTE(LOWER(Z283&amp;""),CHAR(10)," "),CHAR(13)," "),CHAR(9)," "),CHAR(160)," "),"."," "),","," "),"-"," "),"/"," "),"("," "),")"," "),":"," "),";"," "),"_"," "),"–"," "),"?"," "),"!"," "),"*"," "),"["," "),"]"," "),"'"," "),"#"," "),"+"," "),"&amp;"," "),"\"," "))&amp;" "</f>
        <v>  </v>
      </c>
      <c r="BE283" s="61" t="str">
        <f aca="false">" "&amp;TRIM(SUBSTITUTE(SUBSTITUTE(SUBSTITUTE(SUBSTITUTE(SUBSTITUTE(SUBSTITUTE(SUBSTITUTE(SUBSTITUTE(SUBSTITUTE(SUBSTITUTE(SUBSTITUTE(SUBSTITUTE(SUBSTITUTE(SUBSTITUTE(SUBSTITUTE(SUBSTITUTE(SUBSTITUTE(SUBSTITUTE(SUBSTITUTE(SUBSTITUTE(SUBSTITUTE(SUBSTITUTE(SUBSTITUTE(SUBSTITUTE(LOWER(W283&amp;""),CHAR(10)," "),CHAR(13)," "),CHAR(9)," "),CHAR(160)," "),"."," "),","," "),"-"," "),"/"," "),"("," "),")"," "),":"," "),";"," "),"_"," "),"–"," "),"?"," "),"!"," "),"*"," "),"["," "),"]"," "),"'"," "),"#"," "),"+"," "),"&amp;"," "),"\"," "))&amp;" "</f>
        <v>  </v>
      </c>
      <c r="BF283" s="61" t="str">
        <f aca="false">" "&amp;TRIM(SUBSTITUTE(SUBSTITUTE(SUBSTITUTE(SUBSTITUTE(SUBSTITUTE(SUBSTITUTE(SUBSTITUTE(SUBSTITUTE(SUBSTITUTE(SUBSTITUTE(SUBSTITUTE(SUBSTITUTE(SUBSTITUTE(SUBSTITUTE(SUBSTITUTE(SUBSTITUTE(SUBSTITUTE(SUBSTITUTE(SUBSTITUTE(SUBSTITUTE(SUBSTITUTE(SUBSTITUTE(SUBSTITUTE(SUBSTITUTE(LOWER(AC283&amp;""),CHAR(10)," "),CHAR(13)," "),CHAR(9)," "),CHAR(160)," "),"."," "),","," "),"-"," "),"/"," "),"("," "),")"," "),":"," "),";"," "),"_"," "),"–"," "),"?"," "),"!"," "),"*"," "),"["," "),"]"," "),"'"," "),"#"," "),"+"," "),"&amp;"," "),"\"," "))&amp;" "</f>
        <v>  </v>
      </c>
      <c r="BG283" s="61" t="n">
        <f aca="false">IFERROR(IF(AND(TRIM(U283)="Pass",SUMPRODUCT((LEN(BC283)-LEN(SUBSTITUTE(BC283," "&amp;L_ResultBad&amp;" "," ")))/(LEN(L_ResultBad)+1))&gt;SUMPRODUCT((LEN(BC283)-LEN(SUBSTITUTE(BC283," "&amp;L_NegPhrase&amp;" "," ")))/(LEN(L_NegPhrase)+1))),1,0),0)</f>
        <v>0</v>
      </c>
      <c r="BH283" s="61" t="n">
        <f aca="false">IFERROR(IF(SUMPRODUCT((LEN(BC283)-LEN(SUBSTITUTE(BC283," "&amp;L_Pending&amp;" "," ")))/(LEN(L_Pending)+1))&gt;SUMPRODUCT((LEN(BC283)-LEN(SUBSTITUTE(BC283," "&amp;L_PendNeg&amp;" "," ")))/(LEN(L_PendNeg)+1))+SUMPRODUCT((LEN(BC283)-LEN(SUBSTITUTE(BC283," "&amp;L_PendPrep&amp;" "," ")))/(LEN(L_PendPrep)+1)),1,0),1)</f>
        <v>0</v>
      </c>
      <c r="BI283" s="61" t="n">
        <f aca="false">IFERROR(IF(SUMPRODUCT((LEN(BD283)-LEN(SUBSTITUTE(BD283," "&amp;L_PendStrict&amp;" "," ")))/(LEN(L_PendStrict)+1))&gt;SUMPRODUCT((LEN(BD283)-LEN(SUBSTITUTE(BD283," "&amp;L_PendNeg&amp;" "," ")))/(LEN(L_PendNeg)+1)),1,0),1)</f>
        <v>0</v>
      </c>
      <c r="BJ283" s="61" t="n">
        <f aca="false">IFERROR(IF(SUMPRODUCT((LEN(BE283)-LEN(SUBSTITUTE(BE283," "&amp;L_Pending&amp;" "," ")))/(LEN(L_Pending)+1))&gt;SUMPRODUCT((LEN(BE283)-LEN(SUBSTITUTE(BE283," "&amp;L_PendNeg&amp;" "," ")))/(LEN(L_PendNeg)+1))+SUMPRODUCT((LEN(BE283)-LEN(SUBSTITUTE(BE283," "&amp;L_PendPrep&amp;" "," ")))/(LEN(L_PendPrep)+1)),1,0),1)</f>
        <v>0</v>
      </c>
      <c r="BK283" s="61" t="n">
        <f aca="false">IFERROR(IF(SUMPRODUCT((LEN(BF283)-LEN(SUBSTITUTE(BF283," "&amp;L_PendStrict&amp;" "," ")))/(LEN(L_PendStrict)+1))&gt;SUMPRODUCT((LEN(BF283)-LEN(SUBSTITUTE(BF283," "&amp;L_PendNeg&amp;" "," ")))/(LEN(L_PendNeg)+1)),1,0),1)</f>
        <v>0</v>
      </c>
      <c r="BL283" s="61" t="n">
        <f aca="false">IF(ISNA(MATCH(TRIM(S283),L_EvidenceType,0)),0,BZ283)</f>
        <v>0</v>
      </c>
      <c r="BM283" s="61" t="str">
        <f aca="false">SUBSTITUTE(SUBSTITUTE(SUBSTITUTE(SUBSTITUTE(SUBSTITUTE(SUBSTITUTE(SUBSTITUTE(SUBSTITUTE(SUBSTITUTE(LOWER(Z283&amp;""),"1","0"),"2","0"),"3","0"),"4","0"),"5","0"),"6","0"),"7","0"),"8","0"),"9","0")</f>
        <v/>
      </c>
      <c r="BN283" s="61" t="str">
        <f aca="false">SUBSTITUTE(SUBSTITUTE(SUBSTITUTE(SUBSTITUTE(SUBSTITUTE(SUBSTITUTE(SUBSTITUTE(SUBSTITUTE(SUBSTITUTE(SUBSTITUTE(SUBSTITUTE(SUBSTITUTE(SUBSTITUTE(SUBSTITUTE(SUBSTITUTE(SUBSTITUTE(SUBSTITUTE(SUBSTITUTE(SUBSTITUTE(SUBSTITUTE(SUBSTITUTE(SUBSTITUTE(SUBSTITUTE(SUBSTITUTE(SUBSTITUTE(BM283,"b","a"),"c","a"),"d","a"),"e","a"),"f","a"),"g","a"),"h","a"),"i","a"),"j","a"),"k","a"),"l","a"),"m","a"),"n","a"),"o","a"),"p","a"),"q","a"),"r","a"),"s","a"),"t","a"),"u","a"),"v","a"),"w","a"),"x","a"),"y","a"),"z","a")</f>
        <v/>
      </c>
      <c r="BO283" s="61" t="str">
        <f aca="false">SUBSTITUTE(SUBSTITUTE(SUBSTITUTE(SUBSTITUTE(SUBSTITUTE(SUBSTITUTE(SUBSTITUTE(SUBSTITUTE(SUBSTITUTE(LOWER(W283&amp;""),"1","0"),"2","0"),"3","0"),"4","0"),"5","0"),"6","0"),"7","0"),"8","0"),"9","0")</f>
        <v/>
      </c>
      <c r="BP283" s="61" t="str">
        <f aca="false">SUBSTITUTE(SUBSTITUTE(SUBSTITUTE(SUBSTITUTE(SUBSTITUTE(SUBSTITUTE(SUBSTITUTE(SUBSTITUTE(SUBSTITUTE(SUBSTITUTE(SUBSTITUTE(SUBSTITUTE(SUBSTITUTE(SUBSTITUTE(SUBSTITUTE(SUBSTITUTE(SUBSTITUTE(SUBSTITUTE(SUBSTITUTE(SUBSTITUTE(SUBSTITUTE(SUBSTITUTE(SUBSTITUTE(SUBSTITUTE(SUBSTITUTE(BO283,"b","a"),"c","a"),"d","a"),"e","a"),"f","a"),"g","a"),"h","a"),"i","a"),"j","a"),"k","a"),"l","a"),"m","a"),"n","a"),"o","a"),"p","a"),"q","a"),"r","a"),"s","a"),"t","a"),"u","a"),"v","a"),"w","a"),"x","a"),"y","a"),"z","a")</f>
        <v/>
      </c>
      <c r="BQ283" s="61" t="n">
        <f aca="false">IFERROR(IF(AND(ISERROR(SEARCH(" mh"," "&amp;LOWER(W283))),ISNA(MATCH(LEFT(TRIM(BP283),255),{"0000a","000a","00a","0000aa","000aa","00aa","0aa","0000aaa","000aaa","00a00","0a00","0000-0000","00:00","a00","a0","00.00.0000","00/00/0000","00-00-0000","0000-00-00","0000/00/00","0000.00.00","00.00.00","00/00/00","00-00-00","0.00.0000","0/00/0000","0-00-0000"},0)),ISNA(MATCH(LEFT(TRIM(CA283),255),{"0000a","000a","00a","0000aa","000aa","00aa","0aa","0000aaa","000aaa","00a00","0a00","0000-0000","00:00","a00","a0","00.00.0000","00/00/0000","00-00-0000","0000-00-00","0000/00/00","0000.00.00","00.00.00","00/00/00","00-00-00","0.00.0000","0/00/0000","0-00-0000"},0)),LEN(CB283)&gt;=3,NOT(OR(SUBSTITUTE(CB283,"0","")="",AND(LEN(CB283)&gt;=4,CB283=REPT(LEFT(CB283),LEN(CB283))),ISNUMBER(MATCH(CB283,{"123","1234","12345","123456","1234567","12345678","0123","01234","012345","98765","987654","54321"},0)),AND(LEN(CB283)=8,LEFT(CB283,3)="202"))),OR(AND((LEN(CA283)-LEN(SUBSTITUTE(CA283,"a","")))&gt;=1,SUMPRODUCT(--ISNUMBER(SEARCH({"a0","a-0","a_0","a/0","a.0","a#0","0a","0-a","0_a","0/a"},BP283)))&gt;0),ISNUMBER(SEARCH("000000",BP283)))),1,0),0)</f>
        <v>0</v>
      </c>
      <c r="BR283" s="61" t="n">
        <f aca="false">IFERROR(LEN(SUBSTITUTE(CC283," ",""))-SUMPRODUCT((LEN(CC283)-LEN(SUBSTITUTE(CC283," "&amp;L_Role&amp;" "," ")))/(LEN(L_Role)+1)*LEN(L_Role)),0)</f>
        <v>0</v>
      </c>
      <c r="BS283" s="61" t="n">
        <f aca="false">IFERROR(LEN(SUBSTITUTE(CD283," ",""))-SUMPRODUCT((LEN(CD283)-LEN(SUBSTITUTE(CD283," "&amp;L_Role&amp;" "," ")))/(LEN(L_Role)+1)*LEN(L_Role)),0)</f>
        <v>0</v>
      </c>
      <c r="BT2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283,"revision",""),"version",""),"jan",""),"feb",""),"mar",""),"apr",""),"may",""),"jun",""),"jul",""),"aug",""),"sep",""),"oct",""),"nov",""),"dec",""),"utc",""),"gmt",""),"myt",""),"bst",""),"rev",""),"ver",""),"b","a"),"c","a"),"d","a"),"e","a"),"f","a"),"g","a"),"h","a"),"i","a"),"j","a"),"k","a"),"l","a"),"m","a"),"n","a"),"o","a"),"p","a"),"q","a"),"r","a"),"s","a"),"t","a"),"u","a"),"v","a"),"w","a"),"x","a"),"y","a"),"z","a")</f>
        <v/>
      </c>
      <c r="BU283" s="61" t="str">
        <f aca="false">SUBSTITUTE(SUBSTITUTE(SUBSTITUTE(SUBSTITUTE(SUBSTITUTE(SUBSTITUTE(SUBSTITUTE(SUBSTITUTE(SUBSTITUTE(SUBSTITUTE(LEFT(BM283,FIND("0",BM283&amp;"0")-1),"-",""),"_",""),"/",""),".",""),"#",""),"\\",""),":","")," ",""),"(",""),")","")</f>
        <v/>
      </c>
      <c r="BV283" s="61" t="n">
        <f aca="false">0</f>
        <v>0</v>
      </c>
      <c r="BW2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283&amp;""),"a",""),"b",""),"c",""),"d",""),"e",""),"f",""),"g",""),"h",""),"i",""),"j",""),"k",""),"l",""),"m",""),"n",""),"o",""),"p",""),"q",""),"r",""),"s",""),"t",""),"u",""),"v",""),"w",""),"x",""),"y",""),"z",""),"-",""),"_",""),"/",""),".",""),"#",""),"\\",""),":","")," ",""),"(",""),")","")</f>
        <v/>
      </c>
      <c r="BX283" s="61" t="str">
        <f aca="false">SUBSTITUTE(SUBSTITUTE(SUBSTITUTE(SUBSTITUTE(SUBSTITUTE(SUBSTITUTE(SUBSTITUTE(SUBSTITUTE(SUBSTITUTE(SUBSTITUTE(SUBSTITUTE(BM283,"0",""),"-",""),"_",""),"/",""),".",""),"#",""),"\\",""),":","")," ",""),"(",""),")","")</f>
        <v/>
      </c>
      <c r="BY283" s="62" t="n">
        <f aca="false">Q283-T7EarlyD*24/24</f>
        <v>46285.2534722222</v>
      </c>
      <c r="BZ283" s="61" t="n">
        <f aca="false">IFERROR(IF(IF(TRIM(S283)="Link / file path",AND(LEN(TRIM(Z283))&gt;=5,SUMPRODUCT(--ISNUMBER(SEARCH({"http","www.","\\",":\",".pdf",".jpg",".jpeg",".png",".heic",".xls",".doc",".msg",".eml",".ppt",".txt",".zip"},Z283)))&gt;0),AND(ISERROR(FIND(" ",TRIM(Z283))),NOT(OR(SUMPRODUCT(--ISNUMBER(FIND({",",";","&amp;","+"},Z283)))&gt;0,SUMPRODUCT(--ISNUMBER(SEARCH({"0/aa","0\\aa"},BN283)))&gt;0)),NOT(SUMPRODUCT(--ISNUMBER(SEARCH({"http","www.","\\",":\",".pdf",".jpg",".jpeg",".png",".heic",".xls",".doc",".msg",".eml",".ppt",".txt",".zip"},Z283)))&gt;0),NOT(LOWER(TRIM(Z283))=LOWER(Flights!$F$13)),ISNA(MATCH(BU283,{"mh","rev","revision","ver","version","v","r","a","b","seat","tray","row","gate","bay","stand","page","pg","item","line","no","cart","galley","flight","flt","table","box","bag","oven","etd","eta","std","sta","atd","ata","qty","pax","x","time","tel","ph","mob","day","wk","week","utc","gmt","myt","lt"},0)),NOT(OR(ISNUMBER(MATCH(LEFT(BN283,255),{"0000a","000a","00a","0000aa","000aa","00aa","0aa","0000aaa","000aaa","00a00","0a00","0000-0000","00:00","a00","a0","00.00.0000","00/00/0000","00-00-0000","0000-00-00","0000/00/00","0000.00.00","00.00.00","00/00/00","00-00-00","0.00.0000","0/00/0000","0-00-0000"},0)),ISNUMBER(MATCH(LEFT(BT283,255),{"0000a","000a","00a","0000aa","000aa","00aa","0aa","0000aaa","000aaa","00a00","0a00","0000-0000","00:00","a00","a0","00.00.0000","00/00/0000","00-00-0000","0000-00-00","0000/00/00","0000.00.00","00.00.00","00/00/00","00-00-00","0.00.0000","0/00/0000","0-00-0000"},0)))),NOT(OR(AND(BW283&lt;&gt;"",SUBSTITUTE(BW283,"0","")=""),AND(LEN(BW283)&gt;=4,BW283=REPT(LEFT(BW283),LEN(BW283))),ISNUMBER(MATCH(BW283,{"123","1234","12345","123456","1234567","12345678","0123","01234","012345","98765","987654","54321"},0)),ISNUMBER(MATCH(BX283,{"x","xx","xxx","xxxx","xxxxx","abc","abcd","nil","na","nan","test","tbc","tba","tbd","dummy","sample","example","eg","zz","zzz","none","null","xyz","qwe","asd","id","ref"},0)),AND(LEN(BW283)=8,BX283="",OR(LEFT(BW283,3)="202",ISNUMBER(MATCH(RIGHT(BW283,4),{"2025","2026","2027"},0)))))),OR(AND((LEN(BT283)-LEN(SUBSTITUTE(BT283,"a","")))&gt;=1,(LEN(BN283)-LEN(SUBSTITUTE(BN283,"0","")))&gt;=2,SUMPRODUCT(--ISNUMBER(SEARCH({"a0","a-0","a_0","a/0","a.0","a#0","0a","0-a","0_a","0/a"},BN283)))&gt;0),AND((LEN(BN283)-LEN(SUBSTITUTE(BN283,"a","")))=0,(LEN(BN283)-LEN(SUBSTITUTE(BN283,"0","")))&gt;=5)))),1,0),0)</f>
        <v>0</v>
      </c>
      <c r="CA2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283,"revision",""),"version",""),"jan",""),"feb",""),"mar",""),"apr",""),"may",""),"jun",""),"jul",""),"aug",""),"sep",""),"oct",""),"nov",""),"dec",""),"utc",""),"gmt",""),"myt",""),"bst",""),"rev",""),"ver",""),"b","a"),"c","a"),"d","a"),"e","a"),"f","a"),"g","a"),"h","a"),"i","a"),"j","a"),"k","a"),"l","a"),"m","a"),"n","a"),"o","a"),"p","a"),"q","a"),"r","a"),"s","a"),"t","a"),"u","a"),"v","a"),"w","a"),"x","a"),"y","a"),"z","a")</f>
        <v/>
      </c>
      <c r="CB2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283&amp;""),"a",""),"b",""),"c",""),"d",""),"e",""),"f",""),"g",""),"h",""),"i",""),"j",""),"k",""),"l",""),"m",""),"n",""),"o",""),"p",""),"q",""),"r",""),"s",""),"t",""),"u",""),"v",""),"w",""),"x",""),"y",""),"z",""),"-",""),"_",""),"/",""),".",""),"#",""),"\\",""),":","")," ",""),"(",""),")","")</f>
        <v/>
      </c>
      <c r="CC283" s="0" t="str">
        <f aca="false">" "&amp;TRIM(SUBSTITUTE(SUBSTITUTE(SUBSTITUTE(SUBSTITUTE(SUBSTITUTE(SUBSTITUTE(SUBSTITUTE(SUBSTITUTE(SUBSTITUTE(SUBSTITUTE(SUBSTITUTE(SUBSTITUTE(SUBSTITUTE(SUBSTITUTE(SUBSTITUTE(SUBSTITUTE(SUBSTITUTE(SUBSTITUTE(SUBSTITUTE(SUBSTITUTE(SUBSTITUTE(SUBSTITUTE(SUBSTITUTE(SUBSTITUTE(LOWER(T283&amp;""),CHAR(10)," "),CHAR(13)," "),CHAR(9)," "),CHAR(160)," "),"."," "),","," "),"-"," "),"/"," "),"("," "),")"," "),":"," "),";"," "),"_"," "),"–"," "),"?"," "),"!"," "),"*"," "),"["," "),"]"," "),"'"," "),"#"," "),"+"," "),"&amp;"," "),"\"," "))&amp;" "</f>
        <v>  </v>
      </c>
      <c r="CD283" s="0" t="str">
        <f aca="false">" "&amp;TRIM(SUBSTITUTE(SUBSTITUTE(SUBSTITUTE(SUBSTITUTE(SUBSTITUTE(SUBSTITUTE(SUBSTITUTE(SUBSTITUTE(SUBSTITUTE(SUBSTITUTE(SUBSTITUTE(SUBSTITUTE(SUBSTITUTE(SUBSTITUTE(SUBSTITUTE(SUBSTITUTE(SUBSTITUTE(SUBSTITUTE(SUBSTITUTE(SUBSTITUTE(SUBSTITUTE(SUBSTITUTE(SUBSTITUTE(SUBSTITUTE(LOWER(AE283&amp;""),CHAR(10)," "),CHAR(13)," "),CHAR(9)," "),CHAR(160)," "),"."," "),","," "),"-"," "),"/"," "),"("," "),")"," "),":"," "),";"," "),"_"," "),"–"," "),"?"," "),"!"," "),"*"," "),"["," "),"]"," "),"'"," "),"#"," "),"+"," "),"&amp;"," "),"\"," "))&amp;" "</f>
        <v>  </v>
      </c>
      <c r="CE283" s="68" t="n">
        <f aca="false">IFERROR(IF(AND(LEN(AU283)&gt;0,LEN(AU283)=LEN(AX283),OR(TRIM(MID(SUBSTITUTE(TRIM(CC283)," ",REPT(" ",60)),1,60))="",ISNUMBER(SEARCH(" "&amp;TRIM(MID(SUBSTITUTE(TRIM(CC283)," ",REPT(" ",60)),1,60))&amp;" ",CD283))),OR(TRIM(MID(SUBSTITUTE(TRIM(CC283)," ",REPT(" ",60)),61,60))="",ISNUMBER(SEARCH(" "&amp;TRIM(MID(SUBSTITUTE(TRIM(CC283)," ",REPT(" ",60)),61,60))&amp;" ",CD283))),OR(TRIM(MID(SUBSTITUTE(TRIM(CC283)," ",REPT(" ",60)),121,60))="",ISNUMBER(SEARCH(" "&amp;TRIM(MID(SUBSTITUTE(TRIM(CC283)," ",REPT(" ",60)),121,60))&amp;" ",CD283)))),1,0),0)</f>
        <v>0</v>
      </c>
      <c r="CG283" s="68" t="n">
        <f aca="false">IFERROR(LEN(SUBSTITUTE(BF283," ",""))-SUMPRODUCT((LEN(BF283)-LEN(SUBSTITUTE(BF283," "&amp;L_NAFiller&amp;" "," ")))/(LEN(L_NAFiller)+1)*LEN(L_NAFiller)),0)</f>
        <v>0</v>
      </c>
    </row>
    <row r="284" customFormat="false" ht="39.75" hidden="false" customHeight="true" outlineLevel="0" collapsed="false">
      <c r="A284" s="57" t="s">
        <v>858</v>
      </c>
      <c r="B284" s="57" t="s">
        <v>246</v>
      </c>
      <c r="C284" s="57" t="str">
        <f aca="false">Flights!$F$13</f>
        <v>MH0753</v>
      </c>
      <c r="D284" s="58" t="n">
        <f aca="false">Flights!$D$13</f>
        <v>46306</v>
      </c>
      <c r="E284" s="57" t="str">
        <f aca="false">Flights!$G$13&amp;"-"&amp;Flights!$H$13</f>
        <v>HAN-KUL</v>
      </c>
      <c r="F284" s="57" t="str">
        <f aca="false">Flights!$K$13</f>
        <v>BC</v>
      </c>
      <c r="G284" s="57" t="s">
        <v>81</v>
      </c>
      <c r="H284" s="57" t="s">
        <v>378</v>
      </c>
      <c r="I284" s="57" t="s">
        <v>385</v>
      </c>
      <c r="J284" s="57" t="s">
        <v>386</v>
      </c>
      <c r="K284" s="67" t="s">
        <v>387</v>
      </c>
      <c r="L284" s="67" t="s">
        <v>382</v>
      </c>
      <c r="M284" s="67"/>
      <c r="N284" s="67" t="s">
        <v>383</v>
      </c>
      <c r="O284" s="67"/>
      <c r="P284" s="57" t="s">
        <v>240</v>
      </c>
      <c r="Q284" s="59" t="n">
        <f aca="false">ROUND((Flights!$AC$13)*1440,0)/1440</f>
        <v>46299.2534722222</v>
      </c>
      <c r="R284" s="59" t="n">
        <f aca="false">Q284+(IF(AND(INDEX(TZ_DSTS,MATCH(P284,TZ_STN,0))&lt;&gt;"",Q284&gt;=INDEX(TZ_DSTS,MATCH(P284,TZ_STN,0)),Q284&lt;INDEX(TZ_DSTE,MATCH(P284,TZ_STN,0))),INDEX(TZ_DST,MATCH(P284,TZ_STN,0)),INDEX(TZ_STD,MATCH(P284,TZ_STN,0))))/24</f>
        <v>46299.5451388889</v>
      </c>
      <c r="S284" s="60"/>
      <c r="T284" s="60"/>
      <c r="U284" s="60"/>
      <c r="V284" s="60"/>
      <c r="W284" s="61"/>
      <c r="X284" s="60"/>
      <c r="Y284" s="60"/>
      <c r="Z284" s="60"/>
      <c r="AA284" s="60"/>
      <c r="AB284" s="60"/>
      <c r="AC284" s="60"/>
      <c r="AD284" s="66"/>
      <c r="AE284" s="60"/>
      <c r="AF284" s="61" t="str">
        <f aca="false">IF(AND(ISNUMBER(X284),ISNUMBER(Y284)),Y284-X284,"")</f>
        <v/>
      </c>
      <c r="AG284" s="62" t="str">
        <f aca="false">IF(ISNUMBER(AD284),AD284-(IF(AND(INDEX(TZ_DSTS,MATCH(P284,TZ_STN,0))&lt;&gt;"",(AD284-INDEX(TZ_STD,MATCH(P284,TZ_STN,0))/24)&gt;=INDEX(TZ_DSTS,MATCH(P284,TZ_STN,0)),(AD284-INDEX(TZ_STD,MATCH(P284,TZ_STN,0))/24)&lt;INDEX(TZ_DSTE,MATCH(P284,TZ_STN,0))),INDEX(TZ_DST,MATCH(P284,TZ_STN,0)),INDEX(TZ_STD,MATCH(P284,TZ_STN,0))))/24,"")</f>
        <v/>
      </c>
      <c r="AH284" s="65" t="str">
        <f aca="false">IFERROR(IF(N284="N/A – rule",IF(OR(TRIM(U284)="",TRIM(U284)="N/A",TRIM(U284)="Not started"),"N/A – RULE","INVALID – this check does not apply to this aircraft: clear the status (or correct the fleet on Flights)"),IF(TRIM(U284)="N/A",IF(AT284=0,"INVALID – N/A not permitted for this check",IF(AND(TRIM(AB284)&lt;&gt;"",TRIM(AB284)&lt;&gt;"Closed"),"INVALID – corrective action still open",IF(AND(NOT(OR(LEN(AZ284)&lt;15,ISNUMBER(MATCH(AZ284,L_Placeholder,0)))),BK284=0,CG284&gt;=8,NOT(OR(LEN(AU284)&lt;2,ISNUMBER(MATCH(AU284,L_Placeholder,0)))),BR284&gt;=3,NOT(OR(LEN(AX284)&lt;2,ISNUMBER(MATCH(AX284,L_Placeholder,0)))),BS284&gt;=3,TRIM(AE284)&lt;&gt;TRIM(T284),AX284&lt;&gt;AU284,CE284=0),"N/A – JUSTIFIED","INVALID – N/A needs a real, settled reason (not 'not applicable' / 'as above' / TBC), a named PIC and a different named verifier"))),IF(OR(TRIM(U284)="Pass",TRIM(U284)="Pass after CA"),IF(NOT(ISNUMBER(AD284)),"INVALID – completion time missing",IF(OR(OR(LEN(AU284)&lt;2,ISNUMBER(MATCH(AU284,L_Placeholder,0))),BR284&lt;3),"INVALID – PIC missing or not a named person (a role such as QA / CSM is not a name)",IF(OR(LEN(AV284)&lt;2,ISNUMBER(MATCH(AV284,L_Placeholder,0))),"INVALID – result / assessment missing",IF(OR(OR(LEN(AW284)&lt;3,ISNUMBER(MATCH(AW284,L_Placeholder,0))),SUMPRODUCT(--ISNUMBER(SEARCH(" "&amp;L_EvidencePhrase&amp;" ",BD284)))&gt;0,BI284=1),"INVALID – evidence missing, placeholder or not yet on file",IF(ISNA(MATCH(TRIM(S284),L_EvidenceType,0)),"INVALID – choose the evidence type from the list (column S)",IF(BL284=0,"INVALID – evidence ID must be the record's own ID only (e.g. SF-2210, IMG_2231, 1045521); a link / file name needs type 'Link / file path'",IF(OR(OR(LEN(AX284)&lt;2,ISNUMBER(MATCH(AX284,L_Placeholder,0))),BS284&lt;3),"INVALID – verifier missing or not a named person (a role such as QA / CSM is not a name)",IF(OR(AX284=AU284,CE284=1,AND(LEN(AU284)&gt;=4,ISNUMBER(SEARCH(AU284,AX284))),AND(LEN(AX284)&gt;=4,ISNUMBER(SEARCH(AX284,AU284)))),"INVALID – verifier must be a different, named person (not the PIC or a role)",IF(BH284=1,"INVALID – result not yet available (awaiting / TBC)",IF(BG284=1,"INVALID – result describes a problem: record Fail, then Pass after CA (or reword if it is not a problem)",IF(BV284=1,"INVALID – wording says not on board: an on-board confirmation needs the item loaded",IF(AND(AQ284=1,OR(OR(LEN(AY284)&lt;3,ISNUMBER(MATCH(AY284,L_Placeholder,0))),BJ284=1,BQ284=0)),"INVALID – batch ID missing, placeholder or not an ID (e.g. PASB-261008-BC-017)",IF(AND(AR284=1,OR(NOT(ISNUMBER(X284)),NOT(ISNUMBER(Y284)))),"INVALID – expected/actual qty missing",IF(AND(AR284=1,OR(X284&lt;=0,Y284&lt;0)),"INVALID – expected qty must be above 0 and actual not negative",IF(BB284&lt;&gt;"",BB284,IF(AND(AS284=1,Documents!$J$13&lt;&gt;"ON FILE"),"INVALID – GLD not on file (Documents sheet)",IF(AND(AS284=2,Documents!$O$13&lt;&gt;"ON FILE"),"INVALID – menu checklist not on file (Documents sheet)",IF(AND(AS284=3,NOT(ISNUMBER(Flights!$AX$13))),"INVALID – enter carrying flight KUL departure (Flights AX)",IF(AND(AS284=3,OR(Flights!$AZ$13&gt;Flights!$AA$13,Flights!$AX$13&lt;Flights!$AA$13-3)),"INVALID – carrying flight (Flights AX) cannot arrive before this leg's STD, or is over 3 days early",IF(AG284&gt;AsOfUTC,"INVALID – completion time is in the future",IF(AND(ISNUMBER(BY284),AG284&lt;BY284),IF(H284="Physical uplift","INVALID – before uplift window (cannot confirm loading)","INVALID – before valid window"),IF(AG284&gt;Flights!$AA$13,"INVALID – completed after departure (cannot establish readiness)",IF(AND(H284="Preparation",AG284&gt;=IF(ISNUMBER(Flights!$BA$13),MIN(Flights!$BA$13,Flights!$AA$13),Flights!$AA$13)),"INVALID – completed after loading / departure (cannot establish readiness)",IF(AND(H284="Physical uplift",AG284&gt;Q284),"INVALID – recorded after the loading flight departed",IF(AG284&gt;Q284,"COMPLETE – LATE","COMPLETE"))))))))))))))))))))))))),IF(TRIM(U284)="Fail","FAIL – DISCREPANCY",IF(AND(TRIM(U284)&lt;&gt;"",TRIM(U284)&lt;&gt;"Not started",TRIM(U284)&lt;&gt;"In progress"),"INVALID – unrecognised status (use the list)",IF(AsOfUTC&gt;Q284,"OVERDUE",IF(N284="Clarification required","OPEN – CLARIFICATION","OPEN"))))))),"INVALID – error value in an input cell")</f>
        <v>OPEN</v>
      </c>
      <c r="AI284" s="61" t="n">
        <f aca="false">IF(OR(AH284="N/A – RULE",AH284="N/A – JUSTIFIED"),0,1)</f>
        <v>1</v>
      </c>
      <c r="AJ284" s="61" t="n">
        <f aca="false">IF(LEFT(AH284,8)="COMPLETE",1,0)</f>
        <v>0</v>
      </c>
      <c r="AK284" s="61" t="n">
        <f aca="false">IF(AND(AI284=1,AJ284=0,AsOfUTC&gt;Q284),1,0)</f>
        <v>0</v>
      </c>
      <c r="AL284" s="61" t="n">
        <f aca="false">IFERROR(IF(AND(AI284=1,OR(TRIM(U284)="Fail",AND(TRIM(AB284)&lt;&gt;"",TRIM(AB284)&lt;&gt;"Closed"),AND(ISNUMBER(AF284),AF284&lt;&gt;0,TRIM(U284)&lt;&gt;"Pass after CA"))),1,0),1)</f>
        <v>0</v>
      </c>
      <c r="AM284" s="61" t="n">
        <f aca="false">IF(LEFT(AH284,7)="INVALID",1,0)</f>
        <v>0</v>
      </c>
      <c r="AN284" s="61" t="n">
        <f aca="false">IF(AND(N284="Clarification required",AI284=1,AJ284=0),1,0)</f>
        <v>0</v>
      </c>
      <c r="AO284" s="61" t="str">
        <f aca="false">IF(AK284=1,SUM(AK$5:AK284),"")</f>
        <v/>
      </c>
      <c r="AP284" s="61" t="str">
        <f aca="false">IF(AL284=1,SUM(AL$5:AL284),"")</f>
        <v/>
      </c>
      <c r="AQ284" s="61" t="n">
        <v>0</v>
      </c>
      <c r="AR284" s="61" t="n">
        <v>0</v>
      </c>
      <c r="AS284" s="61" t="n">
        <v>0</v>
      </c>
      <c r="AT284" s="61" t="n">
        <v>0</v>
      </c>
      <c r="AU284" s="61" t="str">
        <f aca="false">SUBSTITUTE(SUBSTITUTE(SUBSTITUTE(SUBSTITUTE(SUBSTITUTE(SUBSTITUTE(SUBSTITUTE(SUBSTITUTE(SUBSTITUTE(SUBSTITUTE(SUBSTITUTE(SUBSTITUTE(SUBSTITUTE(SUBSTITUTE(SUBSTITUTE(SUBSTITUTE(LOWER(T284&amp;""),CHAR(10),""),CHAR(13),""),CHAR(9),""),CHAR(160),"")," ",""),".",""),"-",""),"/",""),"?",""),"_",""),",",""),"[",""),"]",""),"(",""),")",""),"*","")</f>
        <v/>
      </c>
      <c r="AV284" s="61" t="str">
        <f aca="false">SUBSTITUTE(SUBSTITUTE(SUBSTITUTE(SUBSTITUTE(SUBSTITUTE(SUBSTITUTE(SUBSTITUTE(SUBSTITUTE(SUBSTITUTE(SUBSTITUTE(SUBSTITUTE(SUBSTITUTE(SUBSTITUTE(SUBSTITUTE(SUBSTITUTE(SUBSTITUTE(LOWER(V284&amp;""),CHAR(10),""),CHAR(13),""),CHAR(9),""),CHAR(160),"")," ",""),".",""),"-",""),"/",""),"?",""),"_",""),",",""),"[",""),"]",""),"(",""),")",""),"*","")</f>
        <v/>
      </c>
      <c r="AW284" s="61" t="str">
        <f aca="false">SUBSTITUTE(SUBSTITUTE(SUBSTITUTE(SUBSTITUTE(SUBSTITUTE(SUBSTITUTE(SUBSTITUTE(SUBSTITUTE(SUBSTITUTE(SUBSTITUTE(SUBSTITUTE(SUBSTITUTE(SUBSTITUTE(SUBSTITUTE(SUBSTITUTE(SUBSTITUTE(LOWER(Z284&amp;""),CHAR(10),""),CHAR(13),""),CHAR(9),""),CHAR(160),"")," ",""),".",""),"-",""),"/",""),"?",""),"_",""),",",""),"[",""),"]",""),"(",""),")",""),"*","")</f>
        <v/>
      </c>
      <c r="AX284" s="61" t="str">
        <f aca="false">SUBSTITUTE(SUBSTITUTE(SUBSTITUTE(SUBSTITUTE(SUBSTITUTE(SUBSTITUTE(SUBSTITUTE(SUBSTITUTE(SUBSTITUTE(SUBSTITUTE(SUBSTITUTE(SUBSTITUTE(SUBSTITUTE(SUBSTITUTE(SUBSTITUTE(SUBSTITUTE(LOWER(AE284&amp;""),CHAR(10),""),CHAR(13),""),CHAR(9),""),CHAR(160),"")," ",""),".",""),"-",""),"/",""),"?",""),"_",""),",",""),"[",""),"]",""),"(",""),")",""),"*","")</f>
        <v/>
      </c>
      <c r="AY284" s="61" t="str">
        <f aca="false">SUBSTITUTE(SUBSTITUTE(SUBSTITUTE(SUBSTITUTE(SUBSTITUTE(SUBSTITUTE(SUBSTITUTE(SUBSTITUTE(SUBSTITUTE(SUBSTITUTE(SUBSTITUTE(SUBSTITUTE(SUBSTITUTE(SUBSTITUTE(SUBSTITUTE(SUBSTITUTE(LOWER(W284&amp;""),CHAR(10),""),CHAR(13),""),CHAR(9),""),CHAR(160),"")," ",""),".",""),"-",""),"/",""),"?",""),"_",""),",",""),"[",""),"]",""),"(",""),")",""),"*","")</f>
        <v/>
      </c>
      <c r="AZ284" s="61" t="str">
        <f aca="false">SUBSTITUTE(SUBSTITUTE(SUBSTITUTE(SUBSTITUTE(SUBSTITUTE(SUBSTITUTE(SUBSTITUTE(SUBSTITUTE(SUBSTITUTE(SUBSTITUTE(SUBSTITUTE(SUBSTITUTE(SUBSTITUTE(SUBSTITUTE(SUBSTITUTE(SUBSTITUTE(LOWER(AC284&amp;""),CHAR(10),""),CHAR(13),""),CHAR(9),""),CHAR(160),"")," ",""),".",""),"-",""),"/",""),"?",""),"_",""),",",""),"[",""),"]",""),"(",""),")",""),"*","")</f>
        <v/>
      </c>
      <c r="BA284" s="61" t="str">
        <f aca="false">SUBSTITUTE(SUBSTITUTE(SUBSTITUTE(SUBSTITUTE(SUBSTITUTE(SUBSTITUTE(SUBSTITUTE(SUBSTITUTE(SUBSTITUTE(SUBSTITUTE(SUBSTITUTE(SUBSTITUTE(SUBSTITUTE(SUBSTITUTE(SUBSTITUTE(SUBSTITUTE(LOWER(AA284&amp;""),CHAR(10),""),CHAR(13),""),CHAR(9),""),CHAR(160),"")," ",""),".",""),"-",""),"/",""),"?",""),"_",""),",",""),"[",""),"]",""),"(",""),")",""),"*","")</f>
        <v/>
      </c>
      <c r="BB284" s="61" t="str">
        <f aca="false">IF(AND(TRIM(U284)="Pass",ISNUMBER(AF284)),IF(AF284&lt;&gt;0,"INVALID – qty variance: use Fail or Pass after CA",""),"")&amp;IF(AND(TRIM(U284)="Pass after CA",ISNUMBER(AF284)),IF(AF284&lt;&gt;0,"INVALID – after the corrective action the actual qty must equal expected (update Actual)",""),"")&amp;IF(AND(TRIM(U284)="Pass",TRIM(AB284)&lt;&gt;"",TRIM(AB284)&lt;&gt;"Closed"),"INVALID – corrective action not closed: use Fail, then Pass after CA","")&amp;IF(AND(LEN(BA284)&gt;=2,ISNA(MATCH(LEFT(BA284,255),L_Placeholder,0)),TRIM(AB284)=""),"INVALID – CA status missing for the recorded corrective action","")&amp;IF(AND(TRIM(U284)="Pass after CA",OR(OR(LEN(BA284)&lt;5,ISNUMBER(MATCH(BA284,L_Placeholder,0))),TRIM(AB284)&lt;&gt;"Closed")),"INVALID – corrective action not recorded/closed","")</f>
        <v/>
      </c>
      <c r="BC284" s="61" t="str">
        <f aca="false">" "&amp;TRIM(SUBSTITUTE(SUBSTITUTE(SUBSTITUTE(SUBSTITUTE(SUBSTITUTE(SUBSTITUTE(SUBSTITUTE(SUBSTITUTE(SUBSTITUTE(SUBSTITUTE(SUBSTITUTE(SUBSTITUTE(SUBSTITUTE(SUBSTITUTE(SUBSTITUTE(SUBSTITUTE(SUBSTITUTE(SUBSTITUTE(SUBSTITUTE(SUBSTITUTE(SUBSTITUTE(SUBSTITUTE(SUBSTITUTE(SUBSTITUTE(LOWER(V284&amp;""),CHAR(10)," "),CHAR(13)," "),CHAR(9)," "),CHAR(160)," "),"."," "),","," "),"-"," "),"/"," "),"("," "),")"," "),":"," "),";"," "),"_"," "),"–"," "),"?"," "),"!"," "),"*"," "),"["," "),"]"," "),"'"," "),"#"," "),"+"," "),"&amp;"," "),"\"," "))&amp;" "</f>
        <v>  </v>
      </c>
      <c r="BD284" s="61" t="str">
        <f aca="false">" "&amp;TRIM(SUBSTITUTE(SUBSTITUTE(SUBSTITUTE(SUBSTITUTE(SUBSTITUTE(SUBSTITUTE(SUBSTITUTE(SUBSTITUTE(SUBSTITUTE(SUBSTITUTE(SUBSTITUTE(SUBSTITUTE(SUBSTITUTE(SUBSTITUTE(SUBSTITUTE(SUBSTITUTE(SUBSTITUTE(SUBSTITUTE(SUBSTITUTE(SUBSTITUTE(SUBSTITUTE(SUBSTITUTE(SUBSTITUTE(SUBSTITUTE(LOWER(Z284&amp;""),CHAR(10)," "),CHAR(13)," "),CHAR(9)," "),CHAR(160)," "),"."," "),","," "),"-"," "),"/"," "),"("," "),")"," "),":"," "),";"," "),"_"," "),"–"," "),"?"," "),"!"," "),"*"," "),"["," "),"]"," "),"'"," "),"#"," "),"+"," "),"&amp;"," "),"\"," "))&amp;" "</f>
        <v>  </v>
      </c>
      <c r="BE284" s="61" t="str">
        <f aca="false">" "&amp;TRIM(SUBSTITUTE(SUBSTITUTE(SUBSTITUTE(SUBSTITUTE(SUBSTITUTE(SUBSTITUTE(SUBSTITUTE(SUBSTITUTE(SUBSTITUTE(SUBSTITUTE(SUBSTITUTE(SUBSTITUTE(SUBSTITUTE(SUBSTITUTE(SUBSTITUTE(SUBSTITUTE(SUBSTITUTE(SUBSTITUTE(SUBSTITUTE(SUBSTITUTE(SUBSTITUTE(SUBSTITUTE(SUBSTITUTE(SUBSTITUTE(LOWER(W284&amp;""),CHAR(10)," "),CHAR(13)," "),CHAR(9)," "),CHAR(160)," "),"."," "),","," "),"-"," "),"/"," "),"("," "),")"," "),":"," "),";"," "),"_"," "),"–"," "),"?"," "),"!"," "),"*"," "),"["," "),"]"," "),"'"," "),"#"," "),"+"," "),"&amp;"," "),"\"," "))&amp;" "</f>
        <v>  </v>
      </c>
      <c r="BF284" s="61" t="str">
        <f aca="false">" "&amp;TRIM(SUBSTITUTE(SUBSTITUTE(SUBSTITUTE(SUBSTITUTE(SUBSTITUTE(SUBSTITUTE(SUBSTITUTE(SUBSTITUTE(SUBSTITUTE(SUBSTITUTE(SUBSTITUTE(SUBSTITUTE(SUBSTITUTE(SUBSTITUTE(SUBSTITUTE(SUBSTITUTE(SUBSTITUTE(SUBSTITUTE(SUBSTITUTE(SUBSTITUTE(SUBSTITUTE(SUBSTITUTE(SUBSTITUTE(SUBSTITUTE(LOWER(AC284&amp;""),CHAR(10)," "),CHAR(13)," "),CHAR(9)," "),CHAR(160)," "),"."," "),","," "),"-"," "),"/"," "),"("," "),")"," "),":"," "),";"," "),"_"," "),"–"," "),"?"," "),"!"," "),"*"," "),"["," "),"]"," "),"'"," "),"#"," "),"+"," "),"&amp;"," "),"\"," "))&amp;" "</f>
        <v>  </v>
      </c>
      <c r="BG284" s="61" t="n">
        <f aca="false">IFERROR(IF(AND(TRIM(U284)="Pass",SUMPRODUCT((LEN(BC284)-LEN(SUBSTITUTE(BC284," "&amp;L_ResultBad&amp;" "," ")))/(LEN(L_ResultBad)+1))&gt;SUMPRODUCT((LEN(BC284)-LEN(SUBSTITUTE(BC284," "&amp;L_NegPhrase&amp;" "," ")))/(LEN(L_NegPhrase)+1))),1,0),0)</f>
        <v>0</v>
      </c>
      <c r="BH284" s="61" t="n">
        <f aca="false">IFERROR(IF(SUMPRODUCT((LEN(BC284)-LEN(SUBSTITUTE(BC284," "&amp;L_Pending&amp;" "," ")))/(LEN(L_Pending)+1))&gt;SUMPRODUCT((LEN(BC284)-LEN(SUBSTITUTE(BC284," "&amp;L_PendNeg&amp;" "," ")))/(LEN(L_PendNeg)+1))+SUMPRODUCT((LEN(BC284)-LEN(SUBSTITUTE(BC284," "&amp;L_PendPrep&amp;" "," ")))/(LEN(L_PendPrep)+1)),1,0),1)</f>
        <v>0</v>
      </c>
      <c r="BI284" s="61" t="n">
        <f aca="false">IFERROR(IF(SUMPRODUCT((LEN(BD284)-LEN(SUBSTITUTE(BD284," "&amp;L_PendStrict&amp;" "," ")))/(LEN(L_PendStrict)+1))&gt;SUMPRODUCT((LEN(BD284)-LEN(SUBSTITUTE(BD284," "&amp;L_PendNeg&amp;" "," ")))/(LEN(L_PendNeg)+1)),1,0),1)</f>
        <v>0</v>
      </c>
      <c r="BJ284" s="61" t="n">
        <f aca="false">IFERROR(IF(SUMPRODUCT((LEN(BE284)-LEN(SUBSTITUTE(BE284," "&amp;L_Pending&amp;" "," ")))/(LEN(L_Pending)+1))&gt;SUMPRODUCT((LEN(BE284)-LEN(SUBSTITUTE(BE284," "&amp;L_PendNeg&amp;" "," ")))/(LEN(L_PendNeg)+1))+SUMPRODUCT((LEN(BE284)-LEN(SUBSTITUTE(BE284," "&amp;L_PendPrep&amp;" "," ")))/(LEN(L_PendPrep)+1)),1,0),1)</f>
        <v>0</v>
      </c>
      <c r="BK284" s="61" t="n">
        <f aca="false">IFERROR(IF(SUMPRODUCT((LEN(BF284)-LEN(SUBSTITUTE(BF284," "&amp;L_PendStrict&amp;" "," ")))/(LEN(L_PendStrict)+1))&gt;SUMPRODUCT((LEN(BF284)-LEN(SUBSTITUTE(BF284," "&amp;L_PendNeg&amp;" "," ")))/(LEN(L_PendNeg)+1)),1,0),1)</f>
        <v>0</v>
      </c>
      <c r="BL284" s="61" t="n">
        <f aca="false">IF(ISNA(MATCH(TRIM(S284),L_EvidenceType,0)),0,BZ284)</f>
        <v>0</v>
      </c>
      <c r="BM284" s="61" t="str">
        <f aca="false">SUBSTITUTE(SUBSTITUTE(SUBSTITUTE(SUBSTITUTE(SUBSTITUTE(SUBSTITUTE(SUBSTITUTE(SUBSTITUTE(SUBSTITUTE(LOWER(Z284&amp;""),"1","0"),"2","0"),"3","0"),"4","0"),"5","0"),"6","0"),"7","0"),"8","0"),"9","0")</f>
        <v/>
      </c>
      <c r="BN284" s="61" t="str">
        <f aca="false">SUBSTITUTE(SUBSTITUTE(SUBSTITUTE(SUBSTITUTE(SUBSTITUTE(SUBSTITUTE(SUBSTITUTE(SUBSTITUTE(SUBSTITUTE(SUBSTITUTE(SUBSTITUTE(SUBSTITUTE(SUBSTITUTE(SUBSTITUTE(SUBSTITUTE(SUBSTITUTE(SUBSTITUTE(SUBSTITUTE(SUBSTITUTE(SUBSTITUTE(SUBSTITUTE(SUBSTITUTE(SUBSTITUTE(SUBSTITUTE(SUBSTITUTE(BM284,"b","a"),"c","a"),"d","a"),"e","a"),"f","a"),"g","a"),"h","a"),"i","a"),"j","a"),"k","a"),"l","a"),"m","a"),"n","a"),"o","a"),"p","a"),"q","a"),"r","a"),"s","a"),"t","a"),"u","a"),"v","a"),"w","a"),"x","a"),"y","a"),"z","a")</f>
        <v/>
      </c>
      <c r="BO284" s="61" t="str">
        <f aca="false">SUBSTITUTE(SUBSTITUTE(SUBSTITUTE(SUBSTITUTE(SUBSTITUTE(SUBSTITUTE(SUBSTITUTE(SUBSTITUTE(SUBSTITUTE(LOWER(W284&amp;""),"1","0"),"2","0"),"3","0"),"4","0"),"5","0"),"6","0"),"7","0"),"8","0"),"9","0")</f>
        <v/>
      </c>
      <c r="BP284" s="61" t="str">
        <f aca="false">SUBSTITUTE(SUBSTITUTE(SUBSTITUTE(SUBSTITUTE(SUBSTITUTE(SUBSTITUTE(SUBSTITUTE(SUBSTITUTE(SUBSTITUTE(SUBSTITUTE(SUBSTITUTE(SUBSTITUTE(SUBSTITUTE(SUBSTITUTE(SUBSTITUTE(SUBSTITUTE(SUBSTITUTE(SUBSTITUTE(SUBSTITUTE(SUBSTITUTE(SUBSTITUTE(SUBSTITUTE(SUBSTITUTE(SUBSTITUTE(SUBSTITUTE(BO284,"b","a"),"c","a"),"d","a"),"e","a"),"f","a"),"g","a"),"h","a"),"i","a"),"j","a"),"k","a"),"l","a"),"m","a"),"n","a"),"o","a"),"p","a"),"q","a"),"r","a"),"s","a"),"t","a"),"u","a"),"v","a"),"w","a"),"x","a"),"y","a"),"z","a")</f>
        <v/>
      </c>
      <c r="BQ284" s="61" t="n">
        <f aca="false">IFERROR(IF(AND(ISERROR(SEARCH(" mh"," "&amp;LOWER(W284))),ISNA(MATCH(LEFT(TRIM(BP284),255),{"0000a","000a","00a","0000aa","000aa","00aa","0aa","0000aaa","000aaa","00a00","0a00","0000-0000","00:00","a00","a0","00.00.0000","00/00/0000","00-00-0000","0000-00-00","0000/00/00","0000.00.00","00.00.00","00/00/00","00-00-00","0.00.0000","0/00/0000","0-00-0000"},0)),ISNA(MATCH(LEFT(TRIM(CA284),255),{"0000a","000a","00a","0000aa","000aa","00aa","0aa","0000aaa","000aaa","00a00","0a00","0000-0000","00:00","a00","a0","00.00.0000","00/00/0000","00-00-0000","0000-00-00","0000/00/00","0000.00.00","00.00.00","00/00/00","00-00-00","0.00.0000","0/00/0000","0-00-0000"},0)),LEN(CB284)&gt;=3,NOT(OR(SUBSTITUTE(CB284,"0","")="",AND(LEN(CB284)&gt;=4,CB284=REPT(LEFT(CB284),LEN(CB284))),ISNUMBER(MATCH(CB284,{"123","1234","12345","123456","1234567","12345678","0123","01234","012345","98765","987654","54321"},0)),AND(LEN(CB284)=8,LEFT(CB284,3)="202"))),OR(AND((LEN(CA284)-LEN(SUBSTITUTE(CA284,"a","")))&gt;=1,SUMPRODUCT(--ISNUMBER(SEARCH({"a0","a-0","a_0","a/0","a.0","a#0","0a","0-a","0_a","0/a"},BP284)))&gt;0),ISNUMBER(SEARCH("000000",BP284)))),1,0),0)</f>
        <v>0</v>
      </c>
      <c r="BR284" s="61" t="n">
        <f aca="false">IFERROR(LEN(SUBSTITUTE(CC284," ",""))-SUMPRODUCT((LEN(CC284)-LEN(SUBSTITUTE(CC284," "&amp;L_Role&amp;" "," ")))/(LEN(L_Role)+1)*LEN(L_Role)),0)</f>
        <v>0</v>
      </c>
      <c r="BS284" s="61" t="n">
        <f aca="false">IFERROR(LEN(SUBSTITUTE(CD284," ",""))-SUMPRODUCT((LEN(CD284)-LEN(SUBSTITUTE(CD284," "&amp;L_Role&amp;" "," ")))/(LEN(L_Role)+1)*LEN(L_Role)),0)</f>
        <v>0</v>
      </c>
      <c r="BT2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284,"revision",""),"version",""),"jan",""),"feb",""),"mar",""),"apr",""),"may",""),"jun",""),"jul",""),"aug",""),"sep",""),"oct",""),"nov",""),"dec",""),"utc",""),"gmt",""),"myt",""),"bst",""),"rev",""),"ver",""),"b","a"),"c","a"),"d","a"),"e","a"),"f","a"),"g","a"),"h","a"),"i","a"),"j","a"),"k","a"),"l","a"),"m","a"),"n","a"),"o","a"),"p","a"),"q","a"),"r","a"),"s","a"),"t","a"),"u","a"),"v","a"),"w","a"),"x","a"),"y","a"),"z","a")</f>
        <v/>
      </c>
      <c r="BU284" s="61" t="str">
        <f aca="false">SUBSTITUTE(SUBSTITUTE(SUBSTITUTE(SUBSTITUTE(SUBSTITUTE(SUBSTITUTE(SUBSTITUTE(SUBSTITUTE(SUBSTITUTE(SUBSTITUTE(LEFT(BM284,FIND("0",BM284&amp;"0")-1),"-",""),"_",""),"/",""),".",""),"#",""),"\\",""),":","")," ",""),"(",""),")","")</f>
        <v/>
      </c>
      <c r="BV284" s="61" t="n">
        <f aca="false">0</f>
        <v>0</v>
      </c>
      <c r="BW2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284&amp;""),"a",""),"b",""),"c",""),"d",""),"e",""),"f",""),"g",""),"h",""),"i",""),"j",""),"k",""),"l",""),"m",""),"n",""),"o",""),"p",""),"q",""),"r",""),"s",""),"t",""),"u",""),"v",""),"w",""),"x",""),"y",""),"z",""),"-",""),"_",""),"/",""),".",""),"#",""),"\\",""),":","")," ",""),"(",""),")","")</f>
        <v/>
      </c>
      <c r="BX284" s="61" t="str">
        <f aca="false">SUBSTITUTE(SUBSTITUTE(SUBSTITUTE(SUBSTITUTE(SUBSTITUTE(SUBSTITUTE(SUBSTITUTE(SUBSTITUTE(SUBSTITUTE(SUBSTITUTE(SUBSTITUTE(BM284,"0",""),"-",""),"_",""),"/",""),".",""),"#",""),"\\",""),":","")," ",""),"(",""),")","")</f>
        <v/>
      </c>
      <c r="BY284" s="62" t="n">
        <f aca="false">Q284-T7EarlyD*24/24</f>
        <v>46285.2534722222</v>
      </c>
      <c r="BZ284" s="61" t="n">
        <f aca="false">IFERROR(IF(IF(TRIM(S284)="Link / file path",AND(LEN(TRIM(Z284))&gt;=5,SUMPRODUCT(--ISNUMBER(SEARCH({"http","www.","\\",":\",".pdf",".jpg",".jpeg",".png",".heic",".xls",".doc",".msg",".eml",".ppt",".txt",".zip"},Z284)))&gt;0),AND(ISERROR(FIND(" ",TRIM(Z284))),NOT(OR(SUMPRODUCT(--ISNUMBER(FIND({",",";","&amp;","+"},Z284)))&gt;0,SUMPRODUCT(--ISNUMBER(SEARCH({"0/aa","0\\aa"},BN284)))&gt;0)),NOT(SUMPRODUCT(--ISNUMBER(SEARCH({"http","www.","\\",":\",".pdf",".jpg",".jpeg",".png",".heic",".xls",".doc",".msg",".eml",".ppt",".txt",".zip"},Z284)))&gt;0),NOT(LOWER(TRIM(Z284))=LOWER(Flights!$F$13)),ISNA(MATCH(BU284,{"mh","rev","revision","ver","version","v","r","a","b","seat","tray","row","gate","bay","stand","page","pg","item","line","no","cart","galley","flight","flt","table","box","bag","oven","etd","eta","std","sta","atd","ata","qty","pax","x","time","tel","ph","mob","day","wk","week","utc","gmt","myt","lt"},0)),NOT(OR(ISNUMBER(MATCH(LEFT(BN284,255),{"0000a","000a","00a","0000aa","000aa","00aa","0aa","0000aaa","000aaa","00a00","0a00","0000-0000","00:00","a00","a0","00.00.0000","00/00/0000","00-00-0000","0000-00-00","0000/00/00","0000.00.00","00.00.00","00/00/00","00-00-00","0.00.0000","0/00/0000","0-00-0000"},0)),ISNUMBER(MATCH(LEFT(BT284,255),{"0000a","000a","00a","0000aa","000aa","00aa","0aa","0000aaa","000aaa","00a00","0a00","0000-0000","00:00","a00","a0","00.00.0000","00/00/0000","00-00-0000","0000-00-00","0000/00/00","0000.00.00","00.00.00","00/00/00","00-00-00","0.00.0000","0/00/0000","0-00-0000"},0)))),NOT(OR(AND(BW284&lt;&gt;"",SUBSTITUTE(BW284,"0","")=""),AND(LEN(BW284)&gt;=4,BW284=REPT(LEFT(BW284),LEN(BW284))),ISNUMBER(MATCH(BW284,{"123","1234","12345","123456","1234567","12345678","0123","01234","012345","98765","987654","54321"},0)),ISNUMBER(MATCH(BX284,{"x","xx","xxx","xxxx","xxxxx","abc","abcd","nil","na","nan","test","tbc","tba","tbd","dummy","sample","example","eg","zz","zzz","none","null","xyz","qwe","asd","id","ref"},0)),AND(LEN(BW284)=8,BX284="",OR(LEFT(BW284,3)="202",ISNUMBER(MATCH(RIGHT(BW284,4),{"2025","2026","2027"},0)))))),OR(AND((LEN(BT284)-LEN(SUBSTITUTE(BT284,"a","")))&gt;=1,(LEN(BN284)-LEN(SUBSTITUTE(BN284,"0","")))&gt;=2,SUMPRODUCT(--ISNUMBER(SEARCH({"a0","a-0","a_0","a/0","a.0","a#0","0a","0-a","0_a","0/a"},BN284)))&gt;0),AND((LEN(BN284)-LEN(SUBSTITUTE(BN284,"a","")))=0,(LEN(BN284)-LEN(SUBSTITUTE(BN284,"0","")))&gt;=5)))),1,0),0)</f>
        <v>0</v>
      </c>
      <c r="CA2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284,"revision",""),"version",""),"jan",""),"feb",""),"mar",""),"apr",""),"may",""),"jun",""),"jul",""),"aug",""),"sep",""),"oct",""),"nov",""),"dec",""),"utc",""),"gmt",""),"myt",""),"bst",""),"rev",""),"ver",""),"b","a"),"c","a"),"d","a"),"e","a"),"f","a"),"g","a"),"h","a"),"i","a"),"j","a"),"k","a"),"l","a"),"m","a"),"n","a"),"o","a"),"p","a"),"q","a"),"r","a"),"s","a"),"t","a"),"u","a"),"v","a"),"w","a"),"x","a"),"y","a"),"z","a")</f>
        <v/>
      </c>
      <c r="CB2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284&amp;""),"a",""),"b",""),"c",""),"d",""),"e",""),"f",""),"g",""),"h",""),"i",""),"j",""),"k",""),"l",""),"m",""),"n",""),"o",""),"p",""),"q",""),"r",""),"s",""),"t",""),"u",""),"v",""),"w",""),"x",""),"y",""),"z",""),"-",""),"_",""),"/",""),".",""),"#",""),"\\",""),":","")," ",""),"(",""),")","")</f>
        <v/>
      </c>
      <c r="CC284" s="0" t="str">
        <f aca="false">" "&amp;TRIM(SUBSTITUTE(SUBSTITUTE(SUBSTITUTE(SUBSTITUTE(SUBSTITUTE(SUBSTITUTE(SUBSTITUTE(SUBSTITUTE(SUBSTITUTE(SUBSTITUTE(SUBSTITUTE(SUBSTITUTE(SUBSTITUTE(SUBSTITUTE(SUBSTITUTE(SUBSTITUTE(SUBSTITUTE(SUBSTITUTE(SUBSTITUTE(SUBSTITUTE(SUBSTITUTE(SUBSTITUTE(SUBSTITUTE(SUBSTITUTE(LOWER(T284&amp;""),CHAR(10)," "),CHAR(13)," "),CHAR(9)," "),CHAR(160)," "),"."," "),","," "),"-"," "),"/"," "),"("," "),")"," "),":"," "),";"," "),"_"," "),"–"," "),"?"," "),"!"," "),"*"," "),"["," "),"]"," "),"'"," "),"#"," "),"+"," "),"&amp;"," "),"\"," "))&amp;" "</f>
        <v>  </v>
      </c>
      <c r="CD284" s="0" t="str">
        <f aca="false">" "&amp;TRIM(SUBSTITUTE(SUBSTITUTE(SUBSTITUTE(SUBSTITUTE(SUBSTITUTE(SUBSTITUTE(SUBSTITUTE(SUBSTITUTE(SUBSTITUTE(SUBSTITUTE(SUBSTITUTE(SUBSTITUTE(SUBSTITUTE(SUBSTITUTE(SUBSTITUTE(SUBSTITUTE(SUBSTITUTE(SUBSTITUTE(SUBSTITUTE(SUBSTITUTE(SUBSTITUTE(SUBSTITUTE(SUBSTITUTE(SUBSTITUTE(LOWER(AE284&amp;""),CHAR(10)," "),CHAR(13)," "),CHAR(9)," "),CHAR(160)," "),"."," "),","," "),"-"," "),"/"," "),"("," "),")"," "),":"," "),";"," "),"_"," "),"–"," "),"?"," "),"!"," "),"*"," "),"["," "),"]"," "),"'"," "),"#"," "),"+"," "),"&amp;"," "),"\"," "))&amp;" "</f>
        <v>  </v>
      </c>
      <c r="CE284" s="68" t="n">
        <f aca="false">IFERROR(IF(AND(LEN(AU284)&gt;0,LEN(AU284)=LEN(AX284),OR(TRIM(MID(SUBSTITUTE(TRIM(CC284)," ",REPT(" ",60)),1,60))="",ISNUMBER(SEARCH(" "&amp;TRIM(MID(SUBSTITUTE(TRIM(CC284)," ",REPT(" ",60)),1,60))&amp;" ",CD284))),OR(TRIM(MID(SUBSTITUTE(TRIM(CC284)," ",REPT(" ",60)),61,60))="",ISNUMBER(SEARCH(" "&amp;TRIM(MID(SUBSTITUTE(TRIM(CC284)," ",REPT(" ",60)),61,60))&amp;" ",CD284))),OR(TRIM(MID(SUBSTITUTE(TRIM(CC284)," ",REPT(" ",60)),121,60))="",ISNUMBER(SEARCH(" "&amp;TRIM(MID(SUBSTITUTE(TRIM(CC284)," ",REPT(" ",60)),121,60))&amp;" ",CD284)))),1,0),0)</f>
        <v>0</v>
      </c>
      <c r="CG284" s="68" t="n">
        <f aca="false">IFERROR(LEN(SUBSTITUTE(BF284," ",""))-SUMPRODUCT((LEN(BF284)-LEN(SUBSTITUTE(BF284," "&amp;L_NAFiller&amp;" "," ")))/(LEN(L_NAFiller)+1)*LEN(L_NAFiller)),0)</f>
        <v>0</v>
      </c>
    </row>
    <row r="285" customFormat="false" ht="41.25" hidden="false" customHeight="true" outlineLevel="0" collapsed="false">
      <c r="A285" s="57" t="s">
        <v>859</v>
      </c>
      <c r="B285" s="57" t="s">
        <v>246</v>
      </c>
      <c r="C285" s="57" t="str">
        <f aca="false">Flights!$F$13</f>
        <v>MH0753</v>
      </c>
      <c r="D285" s="58" t="n">
        <f aca="false">Flights!$D$13</f>
        <v>46306</v>
      </c>
      <c r="E285" s="57" t="str">
        <f aca="false">Flights!$G$13&amp;"-"&amp;Flights!$H$13</f>
        <v>HAN-KUL</v>
      </c>
      <c r="F285" s="57" t="str">
        <f aca="false">Flights!$K$13</f>
        <v>BC</v>
      </c>
      <c r="G285" s="57" t="s">
        <v>81</v>
      </c>
      <c r="H285" s="57" t="s">
        <v>378</v>
      </c>
      <c r="I285" s="57" t="s">
        <v>389</v>
      </c>
      <c r="J285" s="57" t="s">
        <v>390</v>
      </c>
      <c r="K285" s="67" t="s">
        <v>391</v>
      </c>
      <c r="L285" s="67" t="s">
        <v>382</v>
      </c>
      <c r="M285" s="67"/>
      <c r="N285" s="67" t="str">
        <f aca="false">IF(TRIM(Flights!$L$13)="A339","Required","N/A – rule")</f>
        <v>N/A – rule</v>
      </c>
      <c r="O285" s="67" t="s">
        <v>392</v>
      </c>
      <c r="P285" s="57" t="s">
        <v>240</v>
      </c>
      <c r="Q285" s="59" t="n">
        <f aca="false">ROUND((Flights!$AC$13)*1440,0)/1440</f>
        <v>46299.2534722222</v>
      </c>
      <c r="R285" s="59" t="n">
        <f aca="false">Q285+(IF(AND(INDEX(TZ_DSTS,MATCH(P285,TZ_STN,0))&lt;&gt;"",Q285&gt;=INDEX(TZ_DSTS,MATCH(P285,TZ_STN,0)),Q285&lt;INDEX(TZ_DSTE,MATCH(P285,TZ_STN,0))),INDEX(TZ_DST,MATCH(P285,TZ_STN,0)),INDEX(TZ_STD,MATCH(P285,TZ_STN,0))))/24</f>
        <v>46299.5451388889</v>
      </c>
      <c r="S285" s="60"/>
      <c r="T285" s="60"/>
      <c r="U285" s="60"/>
      <c r="V285" s="60"/>
      <c r="W285" s="61"/>
      <c r="X285" s="60"/>
      <c r="Y285" s="60"/>
      <c r="Z285" s="60"/>
      <c r="AA285" s="60"/>
      <c r="AB285" s="60"/>
      <c r="AC285" s="60"/>
      <c r="AD285" s="66"/>
      <c r="AE285" s="60"/>
      <c r="AF285" s="61" t="str">
        <f aca="false">IF(AND(ISNUMBER(X285),ISNUMBER(Y285)),Y285-X285,"")</f>
        <v/>
      </c>
      <c r="AG285" s="62" t="str">
        <f aca="false">IF(ISNUMBER(AD285),AD285-(IF(AND(INDEX(TZ_DSTS,MATCH(P285,TZ_STN,0))&lt;&gt;"",(AD285-INDEX(TZ_STD,MATCH(P285,TZ_STN,0))/24)&gt;=INDEX(TZ_DSTS,MATCH(P285,TZ_STN,0)),(AD285-INDEX(TZ_STD,MATCH(P285,TZ_STN,0))/24)&lt;INDEX(TZ_DSTE,MATCH(P285,TZ_STN,0))),INDEX(TZ_DST,MATCH(P285,TZ_STN,0)),INDEX(TZ_STD,MATCH(P285,TZ_STN,0))))/24,"")</f>
        <v/>
      </c>
      <c r="AH285" s="65" t="str">
        <f aca="false">IFERROR(IF(N285="N/A – rule",IF(OR(TRIM(U285)="",TRIM(U285)="N/A",TRIM(U285)="Not started"),"N/A – RULE","INVALID – this check does not apply to this aircraft: clear the status (or correct the fleet on Flights)"),IF(TRIM(U285)="N/A",IF(AT285=0,"INVALID – N/A not permitted for this check",IF(AND(TRIM(AB285)&lt;&gt;"",TRIM(AB285)&lt;&gt;"Closed"),"INVALID – corrective action still open",IF(AND(NOT(OR(LEN(AZ285)&lt;15,ISNUMBER(MATCH(AZ285,L_Placeholder,0)))),BK285=0,CG285&gt;=8,NOT(OR(LEN(AU285)&lt;2,ISNUMBER(MATCH(AU285,L_Placeholder,0)))),BR285&gt;=3,NOT(OR(LEN(AX285)&lt;2,ISNUMBER(MATCH(AX285,L_Placeholder,0)))),BS285&gt;=3,TRIM(AE285)&lt;&gt;TRIM(T285),AX285&lt;&gt;AU285,CE285=0),"N/A – JUSTIFIED","INVALID – N/A needs a real, settled reason (not 'not applicable' / 'as above' / TBC), a named PIC and a different named verifier"))),IF(OR(TRIM(U285)="Pass",TRIM(U285)="Pass after CA"),IF(NOT(ISNUMBER(AD285)),"INVALID – completion time missing",IF(OR(OR(LEN(AU285)&lt;2,ISNUMBER(MATCH(AU285,L_Placeholder,0))),BR285&lt;3),"INVALID – PIC missing or not a named person (a role such as QA / CSM is not a name)",IF(OR(LEN(AV285)&lt;2,ISNUMBER(MATCH(AV285,L_Placeholder,0))),"INVALID – result / assessment missing",IF(OR(OR(LEN(AW285)&lt;3,ISNUMBER(MATCH(AW285,L_Placeholder,0))),SUMPRODUCT(--ISNUMBER(SEARCH(" "&amp;L_EvidencePhrase&amp;" ",BD285)))&gt;0,BI285=1),"INVALID – evidence missing, placeholder or not yet on file",IF(ISNA(MATCH(TRIM(S285),L_EvidenceType,0)),"INVALID – choose the evidence type from the list (column S)",IF(BL285=0,"INVALID – evidence ID must be the record's own ID only (e.g. SF-2210, IMG_2231, 1045521); a link / file name needs type 'Link / file path'",IF(OR(OR(LEN(AX285)&lt;2,ISNUMBER(MATCH(AX285,L_Placeholder,0))),BS285&lt;3),"INVALID – verifier missing or not a named person (a role such as QA / CSM is not a name)",IF(OR(AX285=AU285,CE285=1,AND(LEN(AU285)&gt;=4,ISNUMBER(SEARCH(AU285,AX285))),AND(LEN(AX285)&gt;=4,ISNUMBER(SEARCH(AX285,AU285)))),"INVALID – verifier must be a different, named person (not the PIC or a role)",IF(BH285=1,"INVALID – result not yet available (awaiting / TBC)",IF(BG285=1,"INVALID – result describes a problem: record Fail, then Pass after CA (or reword if it is not a problem)",IF(BV285=1,"INVALID – wording says not on board: an on-board confirmation needs the item loaded",IF(AND(AQ285=1,OR(OR(LEN(AY285)&lt;3,ISNUMBER(MATCH(AY285,L_Placeholder,0))),BJ285=1,BQ285=0)),"INVALID – batch ID missing, placeholder or not an ID (e.g. PASB-261008-BC-017)",IF(AND(AR285=1,OR(NOT(ISNUMBER(X285)),NOT(ISNUMBER(Y285)))),"INVALID – expected/actual qty missing",IF(AND(AR285=1,OR(X285&lt;=0,Y285&lt;0)),"INVALID – expected qty must be above 0 and actual not negative",IF(BB285&lt;&gt;"",BB285,IF(AND(AS285=1,Documents!$J$13&lt;&gt;"ON FILE"),"INVALID – GLD not on file (Documents sheet)",IF(AND(AS285=2,Documents!$O$13&lt;&gt;"ON FILE"),"INVALID – menu checklist not on file (Documents sheet)",IF(AND(AS285=3,NOT(ISNUMBER(Flights!$AX$13))),"INVALID – enter carrying flight KUL departure (Flights AX)",IF(AND(AS285=3,OR(Flights!$AZ$13&gt;Flights!$AA$13,Flights!$AX$13&lt;Flights!$AA$13-3)),"INVALID – carrying flight (Flights AX) cannot arrive before this leg's STD, or is over 3 days early",IF(AG285&gt;AsOfUTC,"INVALID – completion time is in the future",IF(AND(ISNUMBER(BY285),AG285&lt;BY285),IF(H285="Physical uplift","INVALID – before uplift window (cannot confirm loading)","INVALID – before valid window"),IF(AG285&gt;Flights!$AA$13,"INVALID – completed after departure (cannot establish readiness)",IF(AND(H285="Preparation",AG285&gt;=IF(ISNUMBER(Flights!$BA$13),MIN(Flights!$BA$13,Flights!$AA$13),Flights!$AA$13)),"INVALID – completed after loading / departure (cannot establish readiness)",IF(AND(H285="Physical uplift",AG285&gt;Q285),"INVALID – recorded after the loading flight departed",IF(AG285&gt;Q285,"COMPLETE – LATE","COMPLETE"))))))))))))))))))))))))),IF(TRIM(U285)="Fail","FAIL – DISCREPANCY",IF(AND(TRIM(U285)&lt;&gt;"",TRIM(U285)&lt;&gt;"Not started",TRIM(U285)&lt;&gt;"In progress"),"INVALID – unrecognised status (use the list)",IF(AsOfUTC&gt;Q285,"OVERDUE",IF(N285="Clarification required","OPEN – CLARIFICATION","OPEN"))))))),"INVALID – error value in an input cell")</f>
        <v>N/A – RULE</v>
      </c>
      <c r="AI285" s="61" t="n">
        <f aca="false">IF(OR(AH285="N/A – RULE",AH285="N/A – JUSTIFIED"),0,1)</f>
        <v>0</v>
      </c>
      <c r="AJ285" s="61" t="n">
        <f aca="false">IF(LEFT(AH285,8)="COMPLETE",1,0)</f>
        <v>0</v>
      </c>
      <c r="AK285" s="61" t="n">
        <f aca="false">IF(AND(AI285=1,AJ285=0,AsOfUTC&gt;Q285),1,0)</f>
        <v>0</v>
      </c>
      <c r="AL285" s="61" t="n">
        <f aca="false">IFERROR(IF(AND(AI285=1,OR(TRIM(U285)="Fail",AND(TRIM(AB285)&lt;&gt;"",TRIM(AB285)&lt;&gt;"Closed"),AND(ISNUMBER(AF285),AF285&lt;&gt;0,TRIM(U285)&lt;&gt;"Pass after CA"))),1,0),1)</f>
        <v>0</v>
      </c>
      <c r="AM285" s="61" t="n">
        <f aca="false">IF(LEFT(AH285,7)="INVALID",1,0)</f>
        <v>0</v>
      </c>
      <c r="AN285" s="61" t="n">
        <f aca="false">IF(AND(N285="Clarification required",AI285=1,AJ285=0),1,0)</f>
        <v>0</v>
      </c>
      <c r="AO285" s="61" t="str">
        <f aca="false">IF(AK285=1,SUM(AK$5:AK285),"")</f>
        <v/>
      </c>
      <c r="AP285" s="61" t="str">
        <f aca="false">IF(AL285=1,SUM(AL$5:AL285),"")</f>
        <v/>
      </c>
      <c r="AQ285" s="61" t="n">
        <v>0</v>
      </c>
      <c r="AR285" s="61" t="n">
        <v>0</v>
      </c>
      <c r="AS285" s="61" t="n">
        <v>0</v>
      </c>
      <c r="AT285" s="61" t="n">
        <v>0</v>
      </c>
      <c r="AU285" s="61" t="str">
        <f aca="false">SUBSTITUTE(SUBSTITUTE(SUBSTITUTE(SUBSTITUTE(SUBSTITUTE(SUBSTITUTE(SUBSTITUTE(SUBSTITUTE(SUBSTITUTE(SUBSTITUTE(SUBSTITUTE(SUBSTITUTE(SUBSTITUTE(SUBSTITUTE(SUBSTITUTE(SUBSTITUTE(LOWER(T285&amp;""),CHAR(10),""),CHAR(13),""),CHAR(9),""),CHAR(160),"")," ",""),".",""),"-",""),"/",""),"?",""),"_",""),",",""),"[",""),"]",""),"(",""),")",""),"*","")</f>
        <v/>
      </c>
      <c r="AV285" s="61" t="str">
        <f aca="false">SUBSTITUTE(SUBSTITUTE(SUBSTITUTE(SUBSTITUTE(SUBSTITUTE(SUBSTITUTE(SUBSTITUTE(SUBSTITUTE(SUBSTITUTE(SUBSTITUTE(SUBSTITUTE(SUBSTITUTE(SUBSTITUTE(SUBSTITUTE(SUBSTITUTE(SUBSTITUTE(LOWER(V285&amp;""),CHAR(10),""),CHAR(13),""),CHAR(9),""),CHAR(160),"")," ",""),".",""),"-",""),"/",""),"?",""),"_",""),",",""),"[",""),"]",""),"(",""),")",""),"*","")</f>
        <v/>
      </c>
      <c r="AW285" s="61" t="str">
        <f aca="false">SUBSTITUTE(SUBSTITUTE(SUBSTITUTE(SUBSTITUTE(SUBSTITUTE(SUBSTITUTE(SUBSTITUTE(SUBSTITUTE(SUBSTITUTE(SUBSTITUTE(SUBSTITUTE(SUBSTITUTE(SUBSTITUTE(SUBSTITUTE(SUBSTITUTE(SUBSTITUTE(LOWER(Z285&amp;""),CHAR(10),""),CHAR(13),""),CHAR(9),""),CHAR(160),"")," ",""),".",""),"-",""),"/",""),"?",""),"_",""),",",""),"[",""),"]",""),"(",""),")",""),"*","")</f>
        <v/>
      </c>
      <c r="AX285" s="61" t="str">
        <f aca="false">SUBSTITUTE(SUBSTITUTE(SUBSTITUTE(SUBSTITUTE(SUBSTITUTE(SUBSTITUTE(SUBSTITUTE(SUBSTITUTE(SUBSTITUTE(SUBSTITUTE(SUBSTITUTE(SUBSTITUTE(SUBSTITUTE(SUBSTITUTE(SUBSTITUTE(SUBSTITUTE(LOWER(AE285&amp;""),CHAR(10),""),CHAR(13),""),CHAR(9),""),CHAR(160),"")," ",""),".",""),"-",""),"/",""),"?",""),"_",""),",",""),"[",""),"]",""),"(",""),")",""),"*","")</f>
        <v/>
      </c>
      <c r="AY285" s="61" t="str">
        <f aca="false">SUBSTITUTE(SUBSTITUTE(SUBSTITUTE(SUBSTITUTE(SUBSTITUTE(SUBSTITUTE(SUBSTITUTE(SUBSTITUTE(SUBSTITUTE(SUBSTITUTE(SUBSTITUTE(SUBSTITUTE(SUBSTITUTE(SUBSTITUTE(SUBSTITUTE(SUBSTITUTE(LOWER(W285&amp;""),CHAR(10),""),CHAR(13),""),CHAR(9),""),CHAR(160),"")," ",""),".",""),"-",""),"/",""),"?",""),"_",""),",",""),"[",""),"]",""),"(",""),")",""),"*","")</f>
        <v/>
      </c>
      <c r="AZ285" s="61" t="str">
        <f aca="false">SUBSTITUTE(SUBSTITUTE(SUBSTITUTE(SUBSTITUTE(SUBSTITUTE(SUBSTITUTE(SUBSTITUTE(SUBSTITUTE(SUBSTITUTE(SUBSTITUTE(SUBSTITUTE(SUBSTITUTE(SUBSTITUTE(SUBSTITUTE(SUBSTITUTE(SUBSTITUTE(LOWER(AC285&amp;""),CHAR(10),""),CHAR(13),""),CHAR(9),""),CHAR(160),"")," ",""),".",""),"-",""),"/",""),"?",""),"_",""),",",""),"[",""),"]",""),"(",""),")",""),"*","")</f>
        <v/>
      </c>
      <c r="BA285" s="61" t="str">
        <f aca="false">SUBSTITUTE(SUBSTITUTE(SUBSTITUTE(SUBSTITUTE(SUBSTITUTE(SUBSTITUTE(SUBSTITUTE(SUBSTITUTE(SUBSTITUTE(SUBSTITUTE(SUBSTITUTE(SUBSTITUTE(SUBSTITUTE(SUBSTITUTE(SUBSTITUTE(SUBSTITUTE(LOWER(AA285&amp;""),CHAR(10),""),CHAR(13),""),CHAR(9),""),CHAR(160),"")," ",""),".",""),"-",""),"/",""),"?",""),"_",""),",",""),"[",""),"]",""),"(",""),")",""),"*","")</f>
        <v/>
      </c>
      <c r="BB285" s="61" t="str">
        <f aca="false">IF(AND(TRIM(U285)="Pass",ISNUMBER(AF285)),IF(AF285&lt;&gt;0,"INVALID – qty variance: use Fail or Pass after CA",""),"")&amp;IF(AND(TRIM(U285)="Pass after CA",ISNUMBER(AF285)),IF(AF285&lt;&gt;0,"INVALID – after the corrective action the actual qty must equal expected (update Actual)",""),"")&amp;IF(AND(TRIM(U285)="Pass",TRIM(AB285)&lt;&gt;"",TRIM(AB285)&lt;&gt;"Closed"),"INVALID – corrective action not closed: use Fail, then Pass after CA","")&amp;IF(AND(LEN(BA285)&gt;=2,ISNA(MATCH(LEFT(BA285,255),L_Placeholder,0)),TRIM(AB285)=""),"INVALID – CA status missing for the recorded corrective action","")&amp;IF(AND(TRIM(U285)="Pass after CA",OR(OR(LEN(BA285)&lt;5,ISNUMBER(MATCH(BA285,L_Placeholder,0))),TRIM(AB285)&lt;&gt;"Closed")),"INVALID – corrective action not recorded/closed","")</f>
        <v/>
      </c>
      <c r="BC285" s="61" t="str">
        <f aca="false">" "&amp;TRIM(SUBSTITUTE(SUBSTITUTE(SUBSTITUTE(SUBSTITUTE(SUBSTITUTE(SUBSTITUTE(SUBSTITUTE(SUBSTITUTE(SUBSTITUTE(SUBSTITUTE(SUBSTITUTE(SUBSTITUTE(SUBSTITUTE(SUBSTITUTE(SUBSTITUTE(SUBSTITUTE(SUBSTITUTE(SUBSTITUTE(SUBSTITUTE(SUBSTITUTE(SUBSTITUTE(SUBSTITUTE(SUBSTITUTE(SUBSTITUTE(LOWER(V285&amp;""),CHAR(10)," "),CHAR(13)," "),CHAR(9)," "),CHAR(160)," "),"."," "),","," "),"-"," "),"/"," "),"("," "),")"," "),":"," "),";"," "),"_"," "),"–"," "),"?"," "),"!"," "),"*"," "),"["," "),"]"," "),"'"," "),"#"," "),"+"," "),"&amp;"," "),"\"," "))&amp;" "</f>
        <v>  </v>
      </c>
      <c r="BD285" s="61" t="str">
        <f aca="false">" "&amp;TRIM(SUBSTITUTE(SUBSTITUTE(SUBSTITUTE(SUBSTITUTE(SUBSTITUTE(SUBSTITUTE(SUBSTITUTE(SUBSTITUTE(SUBSTITUTE(SUBSTITUTE(SUBSTITUTE(SUBSTITUTE(SUBSTITUTE(SUBSTITUTE(SUBSTITUTE(SUBSTITUTE(SUBSTITUTE(SUBSTITUTE(SUBSTITUTE(SUBSTITUTE(SUBSTITUTE(SUBSTITUTE(SUBSTITUTE(SUBSTITUTE(LOWER(Z285&amp;""),CHAR(10)," "),CHAR(13)," "),CHAR(9)," "),CHAR(160)," "),"."," "),","," "),"-"," "),"/"," "),"("," "),")"," "),":"," "),";"," "),"_"," "),"–"," "),"?"," "),"!"," "),"*"," "),"["," "),"]"," "),"'"," "),"#"," "),"+"," "),"&amp;"," "),"\"," "))&amp;" "</f>
        <v>  </v>
      </c>
      <c r="BE285" s="61" t="str">
        <f aca="false">" "&amp;TRIM(SUBSTITUTE(SUBSTITUTE(SUBSTITUTE(SUBSTITUTE(SUBSTITUTE(SUBSTITUTE(SUBSTITUTE(SUBSTITUTE(SUBSTITUTE(SUBSTITUTE(SUBSTITUTE(SUBSTITUTE(SUBSTITUTE(SUBSTITUTE(SUBSTITUTE(SUBSTITUTE(SUBSTITUTE(SUBSTITUTE(SUBSTITUTE(SUBSTITUTE(SUBSTITUTE(SUBSTITUTE(SUBSTITUTE(SUBSTITUTE(LOWER(W285&amp;""),CHAR(10)," "),CHAR(13)," "),CHAR(9)," "),CHAR(160)," "),"."," "),","," "),"-"," "),"/"," "),"("," "),")"," "),":"," "),";"," "),"_"," "),"–"," "),"?"," "),"!"," "),"*"," "),"["," "),"]"," "),"'"," "),"#"," "),"+"," "),"&amp;"," "),"\"," "))&amp;" "</f>
        <v>  </v>
      </c>
      <c r="BF285" s="61" t="str">
        <f aca="false">" "&amp;TRIM(SUBSTITUTE(SUBSTITUTE(SUBSTITUTE(SUBSTITUTE(SUBSTITUTE(SUBSTITUTE(SUBSTITUTE(SUBSTITUTE(SUBSTITUTE(SUBSTITUTE(SUBSTITUTE(SUBSTITUTE(SUBSTITUTE(SUBSTITUTE(SUBSTITUTE(SUBSTITUTE(SUBSTITUTE(SUBSTITUTE(SUBSTITUTE(SUBSTITUTE(SUBSTITUTE(SUBSTITUTE(SUBSTITUTE(SUBSTITUTE(LOWER(AC285&amp;""),CHAR(10)," "),CHAR(13)," "),CHAR(9)," "),CHAR(160)," "),"."," "),","," "),"-"," "),"/"," "),"("," "),")"," "),":"," "),";"," "),"_"," "),"–"," "),"?"," "),"!"," "),"*"," "),"["," "),"]"," "),"'"," "),"#"," "),"+"," "),"&amp;"," "),"\"," "))&amp;" "</f>
        <v>  </v>
      </c>
      <c r="BG285" s="61" t="n">
        <f aca="false">IFERROR(IF(AND(TRIM(U285)="Pass",SUMPRODUCT((LEN(BC285)-LEN(SUBSTITUTE(BC285," "&amp;L_ResultBad&amp;" "," ")))/(LEN(L_ResultBad)+1))&gt;SUMPRODUCT((LEN(BC285)-LEN(SUBSTITUTE(BC285," "&amp;L_NegPhrase&amp;" "," ")))/(LEN(L_NegPhrase)+1))),1,0),0)</f>
        <v>0</v>
      </c>
      <c r="BH285" s="61" t="n">
        <f aca="false">IFERROR(IF(SUMPRODUCT((LEN(BC285)-LEN(SUBSTITUTE(BC285," "&amp;L_Pending&amp;" "," ")))/(LEN(L_Pending)+1))&gt;SUMPRODUCT((LEN(BC285)-LEN(SUBSTITUTE(BC285," "&amp;L_PendNeg&amp;" "," ")))/(LEN(L_PendNeg)+1))+SUMPRODUCT((LEN(BC285)-LEN(SUBSTITUTE(BC285," "&amp;L_PendPrep&amp;" "," ")))/(LEN(L_PendPrep)+1)),1,0),1)</f>
        <v>0</v>
      </c>
      <c r="BI285" s="61" t="n">
        <f aca="false">IFERROR(IF(SUMPRODUCT((LEN(BD285)-LEN(SUBSTITUTE(BD285," "&amp;L_PendStrict&amp;" "," ")))/(LEN(L_PendStrict)+1))&gt;SUMPRODUCT((LEN(BD285)-LEN(SUBSTITUTE(BD285," "&amp;L_PendNeg&amp;" "," ")))/(LEN(L_PendNeg)+1)),1,0),1)</f>
        <v>0</v>
      </c>
      <c r="BJ285" s="61" t="n">
        <f aca="false">IFERROR(IF(SUMPRODUCT((LEN(BE285)-LEN(SUBSTITUTE(BE285," "&amp;L_Pending&amp;" "," ")))/(LEN(L_Pending)+1))&gt;SUMPRODUCT((LEN(BE285)-LEN(SUBSTITUTE(BE285," "&amp;L_PendNeg&amp;" "," ")))/(LEN(L_PendNeg)+1))+SUMPRODUCT((LEN(BE285)-LEN(SUBSTITUTE(BE285," "&amp;L_PendPrep&amp;" "," ")))/(LEN(L_PendPrep)+1)),1,0),1)</f>
        <v>0</v>
      </c>
      <c r="BK285" s="61" t="n">
        <f aca="false">IFERROR(IF(SUMPRODUCT((LEN(BF285)-LEN(SUBSTITUTE(BF285," "&amp;L_PendStrict&amp;" "," ")))/(LEN(L_PendStrict)+1))&gt;SUMPRODUCT((LEN(BF285)-LEN(SUBSTITUTE(BF285," "&amp;L_PendNeg&amp;" "," ")))/(LEN(L_PendNeg)+1)),1,0),1)</f>
        <v>0</v>
      </c>
      <c r="BL285" s="61" t="n">
        <f aca="false">IF(ISNA(MATCH(TRIM(S285),L_EvidenceType,0)),0,BZ285)</f>
        <v>0</v>
      </c>
      <c r="BM285" s="61" t="str">
        <f aca="false">SUBSTITUTE(SUBSTITUTE(SUBSTITUTE(SUBSTITUTE(SUBSTITUTE(SUBSTITUTE(SUBSTITUTE(SUBSTITUTE(SUBSTITUTE(LOWER(Z285&amp;""),"1","0"),"2","0"),"3","0"),"4","0"),"5","0"),"6","0"),"7","0"),"8","0"),"9","0")</f>
        <v/>
      </c>
      <c r="BN285" s="61" t="str">
        <f aca="false">SUBSTITUTE(SUBSTITUTE(SUBSTITUTE(SUBSTITUTE(SUBSTITUTE(SUBSTITUTE(SUBSTITUTE(SUBSTITUTE(SUBSTITUTE(SUBSTITUTE(SUBSTITUTE(SUBSTITUTE(SUBSTITUTE(SUBSTITUTE(SUBSTITUTE(SUBSTITUTE(SUBSTITUTE(SUBSTITUTE(SUBSTITUTE(SUBSTITUTE(SUBSTITUTE(SUBSTITUTE(SUBSTITUTE(SUBSTITUTE(SUBSTITUTE(BM285,"b","a"),"c","a"),"d","a"),"e","a"),"f","a"),"g","a"),"h","a"),"i","a"),"j","a"),"k","a"),"l","a"),"m","a"),"n","a"),"o","a"),"p","a"),"q","a"),"r","a"),"s","a"),"t","a"),"u","a"),"v","a"),"w","a"),"x","a"),"y","a"),"z","a")</f>
        <v/>
      </c>
      <c r="BO285" s="61" t="str">
        <f aca="false">SUBSTITUTE(SUBSTITUTE(SUBSTITUTE(SUBSTITUTE(SUBSTITUTE(SUBSTITUTE(SUBSTITUTE(SUBSTITUTE(SUBSTITUTE(LOWER(W285&amp;""),"1","0"),"2","0"),"3","0"),"4","0"),"5","0"),"6","0"),"7","0"),"8","0"),"9","0")</f>
        <v/>
      </c>
      <c r="BP285" s="61" t="str">
        <f aca="false">SUBSTITUTE(SUBSTITUTE(SUBSTITUTE(SUBSTITUTE(SUBSTITUTE(SUBSTITUTE(SUBSTITUTE(SUBSTITUTE(SUBSTITUTE(SUBSTITUTE(SUBSTITUTE(SUBSTITUTE(SUBSTITUTE(SUBSTITUTE(SUBSTITUTE(SUBSTITUTE(SUBSTITUTE(SUBSTITUTE(SUBSTITUTE(SUBSTITUTE(SUBSTITUTE(SUBSTITUTE(SUBSTITUTE(SUBSTITUTE(SUBSTITUTE(BO285,"b","a"),"c","a"),"d","a"),"e","a"),"f","a"),"g","a"),"h","a"),"i","a"),"j","a"),"k","a"),"l","a"),"m","a"),"n","a"),"o","a"),"p","a"),"q","a"),"r","a"),"s","a"),"t","a"),"u","a"),"v","a"),"w","a"),"x","a"),"y","a"),"z","a")</f>
        <v/>
      </c>
      <c r="BQ285" s="61" t="n">
        <f aca="false">IFERROR(IF(AND(ISERROR(SEARCH(" mh"," "&amp;LOWER(W285))),ISNA(MATCH(LEFT(TRIM(BP285),255),{"0000a","000a","00a","0000aa","000aa","00aa","0aa","0000aaa","000aaa","00a00","0a00","0000-0000","00:00","a00","a0","00.00.0000","00/00/0000","00-00-0000","0000-00-00","0000/00/00","0000.00.00","00.00.00","00/00/00","00-00-00","0.00.0000","0/00/0000","0-00-0000"},0)),ISNA(MATCH(LEFT(TRIM(CA285),255),{"0000a","000a","00a","0000aa","000aa","00aa","0aa","0000aaa","000aaa","00a00","0a00","0000-0000","00:00","a00","a0","00.00.0000","00/00/0000","00-00-0000","0000-00-00","0000/00/00","0000.00.00","00.00.00","00/00/00","00-00-00","0.00.0000","0/00/0000","0-00-0000"},0)),LEN(CB285)&gt;=3,NOT(OR(SUBSTITUTE(CB285,"0","")="",AND(LEN(CB285)&gt;=4,CB285=REPT(LEFT(CB285),LEN(CB285))),ISNUMBER(MATCH(CB285,{"123","1234","12345","123456","1234567","12345678","0123","01234","012345","98765","987654","54321"},0)),AND(LEN(CB285)=8,LEFT(CB285,3)="202"))),OR(AND((LEN(CA285)-LEN(SUBSTITUTE(CA285,"a","")))&gt;=1,SUMPRODUCT(--ISNUMBER(SEARCH({"a0","a-0","a_0","a/0","a.0","a#0","0a","0-a","0_a","0/a"},BP285)))&gt;0),ISNUMBER(SEARCH("000000",BP285)))),1,0),0)</f>
        <v>0</v>
      </c>
      <c r="BR285" s="61" t="n">
        <f aca="false">IFERROR(LEN(SUBSTITUTE(CC285," ",""))-SUMPRODUCT((LEN(CC285)-LEN(SUBSTITUTE(CC285," "&amp;L_Role&amp;" "," ")))/(LEN(L_Role)+1)*LEN(L_Role)),0)</f>
        <v>0</v>
      </c>
      <c r="BS285" s="61" t="n">
        <f aca="false">IFERROR(LEN(SUBSTITUTE(CD285," ",""))-SUMPRODUCT((LEN(CD285)-LEN(SUBSTITUTE(CD285," "&amp;L_Role&amp;" "," ")))/(LEN(L_Role)+1)*LEN(L_Role)),0)</f>
        <v>0</v>
      </c>
      <c r="BT2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285,"revision",""),"version",""),"jan",""),"feb",""),"mar",""),"apr",""),"may",""),"jun",""),"jul",""),"aug",""),"sep",""),"oct",""),"nov",""),"dec",""),"utc",""),"gmt",""),"myt",""),"bst",""),"rev",""),"ver",""),"b","a"),"c","a"),"d","a"),"e","a"),"f","a"),"g","a"),"h","a"),"i","a"),"j","a"),"k","a"),"l","a"),"m","a"),"n","a"),"o","a"),"p","a"),"q","a"),"r","a"),"s","a"),"t","a"),"u","a"),"v","a"),"w","a"),"x","a"),"y","a"),"z","a")</f>
        <v/>
      </c>
      <c r="BU285" s="61" t="str">
        <f aca="false">SUBSTITUTE(SUBSTITUTE(SUBSTITUTE(SUBSTITUTE(SUBSTITUTE(SUBSTITUTE(SUBSTITUTE(SUBSTITUTE(SUBSTITUTE(SUBSTITUTE(LEFT(BM285,FIND("0",BM285&amp;"0")-1),"-",""),"_",""),"/",""),".",""),"#",""),"\\",""),":","")," ",""),"(",""),")","")</f>
        <v/>
      </c>
      <c r="BV285" s="61" t="n">
        <f aca="false">0</f>
        <v>0</v>
      </c>
      <c r="BW2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285&amp;""),"a",""),"b",""),"c",""),"d",""),"e",""),"f",""),"g",""),"h",""),"i",""),"j",""),"k",""),"l",""),"m",""),"n",""),"o",""),"p",""),"q",""),"r",""),"s",""),"t",""),"u",""),"v",""),"w",""),"x",""),"y",""),"z",""),"-",""),"_",""),"/",""),".",""),"#",""),"\\",""),":","")," ",""),"(",""),")","")</f>
        <v/>
      </c>
      <c r="BX285" s="61" t="str">
        <f aca="false">SUBSTITUTE(SUBSTITUTE(SUBSTITUTE(SUBSTITUTE(SUBSTITUTE(SUBSTITUTE(SUBSTITUTE(SUBSTITUTE(SUBSTITUTE(SUBSTITUTE(SUBSTITUTE(BM285,"0",""),"-",""),"_",""),"/",""),".",""),"#",""),"\\",""),":","")," ",""),"(",""),")","")</f>
        <v/>
      </c>
      <c r="BY285" s="62" t="n">
        <f aca="false">Q285-T7EarlyD*24/24</f>
        <v>46285.2534722222</v>
      </c>
      <c r="BZ285" s="61" t="n">
        <f aca="false">IFERROR(IF(IF(TRIM(S285)="Link / file path",AND(LEN(TRIM(Z285))&gt;=5,SUMPRODUCT(--ISNUMBER(SEARCH({"http","www.","\\",":\",".pdf",".jpg",".jpeg",".png",".heic",".xls",".doc",".msg",".eml",".ppt",".txt",".zip"},Z285)))&gt;0),AND(ISERROR(FIND(" ",TRIM(Z285))),NOT(OR(SUMPRODUCT(--ISNUMBER(FIND({",",";","&amp;","+"},Z285)))&gt;0,SUMPRODUCT(--ISNUMBER(SEARCH({"0/aa","0\\aa"},BN285)))&gt;0)),NOT(SUMPRODUCT(--ISNUMBER(SEARCH({"http","www.","\\",":\",".pdf",".jpg",".jpeg",".png",".heic",".xls",".doc",".msg",".eml",".ppt",".txt",".zip"},Z285)))&gt;0),NOT(LOWER(TRIM(Z285))=LOWER(Flights!$F$13)),ISNA(MATCH(BU285,{"mh","rev","revision","ver","version","v","r","a","b","seat","tray","row","gate","bay","stand","page","pg","item","line","no","cart","galley","flight","flt","table","box","bag","oven","etd","eta","std","sta","atd","ata","qty","pax","x","time","tel","ph","mob","day","wk","week","utc","gmt","myt","lt"},0)),NOT(OR(ISNUMBER(MATCH(LEFT(BN285,255),{"0000a","000a","00a","0000aa","000aa","00aa","0aa","0000aaa","000aaa","00a00","0a00","0000-0000","00:00","a00","a0","00.00.0000","00/00/0000","00-00-0000","0000-00-00","0000/00/00","0000.00.00","00.00.00","00/00/00","00-00-00","0.00.0000","0/00/0000","0-00-0000"},0)),ISNUMBER(MATCH(LEFT(BT285,255),{"0000a","000a","00a","0000aa","000aa","00aa","0aa","0000aaa","000aaa","00a00","0a00","0000-0000","00:00","a00","a0","00.00.0000","00/00/0000","00-00-0000","0000-00-00","0000/00/00","0000.00.00","00.00.00","00/00/00","00-00-00","0.00.0000","0/00/0000","0-00-0000"},0)))),NOT(OR(AND(BW285&lt;&gt;"",SUBSTITUTE(BW285,"0","")=""),AND(LEN(BW285)&gt;=4,BW285=REPT(LEFT(BW285),LEN(BW285))),ISNUMBER(MATCH(BW285,{"123","1234","12345","123456","1234567","12345678","0123","01234","012345","98765","987654","54321"},0)),ISNUMBER(MATCH(BX285,{"x","xx","xxx","xxxx","xxxxx","abc","abcd","nil","na","nan","test","tbc","tba","tbd","dummy","sample","example","eg","zz","zzz","none","null","xyz","qwe","asd","id","ref"},0)),AND(LEN(BW285)=8,BX285="",OR(LEFT(BW285,3)="202",ISNUMBER(MATCH(RIGHT(BW285,4),{"2025","2026","2027"},0)))))),OR(AND((LEN(BT285)-LEN(SUBSTITUTE(BT285,"a","")))&gt;=1,(LEN(BN285)-LEN(SUBSTITUTE(BN285,"0","")))&gt;=2,SUMPRODUCT(--ISNUMBER(SEARCH({"a0","a-0","a_0","a/0","a.0","a#0","0a","0-a","0_a","0/a"},BN285)))&gt;0),AND((LEN(BN285)-LEN(SUBSTITUTE(BN285,"a","")))=0,(LEN(BN285)-LEN(SUBSTITUTE(BN285,"0","")))&gt;=5)))),1,0),0)</f>
        <v>0</v>
      </c>
      <c r="CA2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285,"revision",""),"version",""),"jan",""),"feb",""),"mar",""),"apr",""),"may",""),"jun",""),"jul",""),"aug",""),"sep",""),"oct",""),"nov",""),"dec",""),"utc",""),"gmt",""),"myt",""),"bst",""),"rev",""),"ver",""),"b","a"),"c","a"),"d","a"),"e","a"),"f","a"),"g","a"),"h","a"),"i","a"),"j","a"),"k","a"),"l","a"),"m","a"),"n","a"),"o","a"),"p","a"),"q","a"),"r","a"),"s","a"),"t","a"),"u","a"),"v","a"),"w","a"),"x","a"),"y","a"),"z","a")</f>
        <v/>
      </c>
      <c r="CB2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285&amp;""),"a",""),"b",""),"c",""),"d",""),"e",""),"f",""),"g",""),"h",""),"i",""),"j",""),"k",""),"l",""),"m",""),"n",""),"o",""),"p",""),"q",""),"r",""),"s",""),"t",""),"u",""),"v",""),"w",""),"x",""),"y",""),"z",""),"-",""),"_",""),"/",""),".",""),"#",""),"\\",""),":","")," ",""),"(",""),")","")</f>
        <v/>
      </c>
      <c r="CC285" s="0" t="str">
        <f aca="false">" "&amp;TRIM(SUBSTITUTE(SUBSTITUTE(SUBSTITUTE(SUBSTITUTE(SUBSTITUTE(SUBSTITUTE(SUBSTITUTE(SUBSTITUTE(SUBSTITUTE(SUBSTITUTE(SUBSTITUTE(SUBSTITUTE(SUBSTITUTE(SUBSTITUTE(SUBSTITUTE(SUBSTITUTE(SUBSTITUTE(SUBSTITUTE(SUBSTITUTE(SUBSTITUTE(SUBSTITUTE(SUBSTITUTE(SUBSTITUTE(SUBSTITUTE(LOWER(T285&amp;""),CHAR(10)," "),CHAR(13)," "),CHAR(9)," "),CHAR(160)," "),"."," "),","," "),"-"," "),"/"," "),"("," "),")"," "),":"," "),";"," "),"_"," "),"–"," "),"?"," "),"!"," "),"*"," "),"["," "),"]"," "),"'"," "),"#"," "),"+"," "),"&amp;"," "),"\"," "))&amp;" "</f>
        <v>  </v>
      </c>
      <c r="CD285" s="0" t="str">
        <f aca="false">" "&amp;TRIM(SUBSTITUTE(SUBSTITUTE(SUBSTITUTE(SUBSTITUTE(SUBSTITUTE(SUBSTITUTE(SUBSTITUTE(SUBSTITUTE(SUBSTITUTE(SUBSTITUTE(SUBSTITUTE(SUBSTITUTE(SUBSTITUTE(SUBSTITUTE(SUBSTITUTE(SUBSTITUTE(SUBSTITUTE(SUBSTITUTE(SUBSTITUTE(SUBSTITUTE(SUBSTITUTE(SUBSTITUTE(SUBSTITUTE(SUBSTITUTE(LOWER(AE285&amp;""),CHAR(10)," "),CHAR(13)," "),CHAR(9)," "),CHAR(160)," "),"."," "),","," "),"-"," "),"/"," "),"("," "),")"," "),":"," "),";"," "),"_"," "),"–"," "),"?"," "),"!"," "),"*"," "),"["," "),"]"," "),"'"," "),"#"," "),"+"," "),"&amp;"," "),"\"," "))&amp;" "</f>
        <v>  </v>
      </c>
      <c r="CE285" s="68" t="n">
        <f aca="false">IFERROR(IF(AND(LEN(AU285)&gt;0,LEN(AU285)=LEN(AX285),OR(TRIM(MID(SUBSTITUTE(TRIM(CC285)," ",REPT(" ",60)),1,60))="",ISNUMBER(SEARCH(" "&amp;TRIM(MID(SUBSTITUTE(TRIM(CC285)," ",REPT(" ",60)),1,60))&amp;" ",CD285))),OR(TRIM(MID(SUBSTITUTE(TRIM(CC285)," ",REPT(" ",60)),61,60))="",ISNUMBER(SEARCH(" "&amp;TRIM(MID(SUBSTITUTE(TRIM(CC285)," ",REPT(" ",60)),61,60))&amp;" ",CD285))),OR(TRIM(MID(SUBSTITUTE(TRIM(CC285)," ",REPT(" ",60)),121,60))="",ISNUMBER(SEARCH(" "&amp;TRIM(MID(SUBSTITUTE(TRIM(CC285)," ",REPT(" ",60)),121,60))&amp;" ",CD285)))),1,0),0)</f>
        <v>0</v>
      </c>
      <c r="CG285" s="68" t="n">
        <f aca="false">IFERROR(LEN(SUBSTITUTE(BF285," ",""))-SUMPRODUCT((LEN(BF285)-LEN(SUBSTITUTE(BF285," "&amp;L_NAFiller&amp;" "," ")))/(LEN(L_NAFiller)+1)*LEN(L_NAFiller)),0)</f>
        <v>0</v>
      </c>
    </row>
    <row r="286" customFormat="false" ht="39.75" hidden="false" customHeight="true" outlineLevel="0" collapsed="false">
      <c r="A286" s="57" t="s">
        <v>860</v>
      </c>
      <c r="B286" s="57" t="s">
        <v>246</v>
      </c>
      <c r="C286" s="57" t="str">
        <f aca="false">Flights!$F$13</f>
        <v>MH0753</v>
      </c>
      <c r="D286" s="58" t="n">
        <f aca="false">Flights!$D$13</f>
        <v>46306</v>
      </c>
      <c r="E286" s="57" t="str">
        <f aca="false">Flights!$G$13&amp;"-"&amp;Flights!$H$13</f>
        <v>HAN-KUL</v>
      </c>
      <c r="F286" s="57" t="str">
        <f aca="false">Flights!$K$13</f>
        <v>BC</v>
      </c>
      <c r="G286" s="57" t="s">
        <v>81</v>
      </c>
      <c r="H286" s="57" t="s">
        <v>378</v>
      </c>
      <c r="I286" s="57" t="s">
        <v>394</v>
      </c>
      <c r="J286" s="57" t="s">
        <v>395</v>
      </c>
      <c r="K286" s="67" t="s">
        <v>396</v>
      </c>
      <c r="L286" s="67" t="s">
        <v>382</v>
      </c>
      <c r="M286" s="67"/>
      <c r="N286" s="67" t="s">
        <v>383</v>
      </c>
      <c r="O286" s="67"/>
      <c r="P286" s="57" t="s">
        <v>240</v>
      </c>
      <c r="Q286" s="59" t="n">
        <f aca="false">ROUND((Flights!$AC$13)*1440,0)/1440</f>
        <v>46299.2534722222</v>
      </c>
      <c r="R286" s="59" t="n">
        <f aca="false">Q286+(IF(AND(INDEX(TZ_DSTS,MATCH(P286,TZ_STN,0))&lt;&gt;"",Q286&gt;=INDEX(TZ_DSTS,MATCH(P286,TZ_STN,0)),Q286&lt;INDEX(TZ_DSTE,MATCH(P286,TZ_STN,0))),INDEX(TZ_DST,MATCH(P286,TZ_STN,0)),INDEX(TZ_STD,MATCH(P286,TZ_STN,0))))/24</f>
        <v>46299.5451388889</v>
      </c>
      <c r="S286" s="60"/>
      <c r="T286" s="60"/>
      <c r="U286" s="60"/>
      <c r="V286" s="60"/>
      <c r="W286" s="61"/>
      <c r="X286" s="60"/>
      <c r="Y286" s="60"/>
      <c r="Z286" s="60"/>
      <c r="AA286" s="60"/>
      <c r="AB286" s="60"/>
      <c r="AC286" s="60"/>
      <c r="AD286" s="66"/>
      <c r="AE286" s="60"/>
      <c r="AF286" s="61" t="str">
        <f aca="false">IF(AND(ISNUMBER(X286),ISNUMBER(Y286)),Y286-X286,"")</f>
        <v/>
      </c>
      <c r="AG286" s="62" t="str">
        <f aca="false">IF(ISNUMBER(AD286),AD286-(IF(AND(INDEX(TZ_DSTS,MATCH(P286,TZ_STN,0))&lt;&gt;"",(AD286-INDEX(TZ_STD,MATCH(P286,TZ_STN,0))/24)&gt;=INDEX(TZ_DSTS,MATCH(P286,TZ_STN,0)),(AD286-INDEX(TZ_STD,MATCH(P286,TZ_STN,0))/24)&lt;INDEX(TZ_DSTE,MATCH(P286,TZ_STN,0))),INDEX(TZ_DST,MATCH(P286,TZ_STN,0)),INDEX(TZ_STD,MATCH(P286,TZ_STN,0))))/24,"")</f>
        <v/>
      </c>
      <c r="AH286" s="65" t="str">
        <f aca="false">IFERROR(IF(N286="N/A – rule",IF(OR(TRIM(U286)="",TRIM(U286)="N/A",TRIM(U286)="Not started"),"N/A – RULE","INVALID – this check does not apply to this aircraft: clear the status (or correct the fleet on Flights)"),IF(TRIM(U286)="N/A",IF(AT286=0,"INVALID – N/A not permitted for this check",IF(AND(TRIM(AB286)&lt;&gt;"",TRIM(AB286)&lt;&gt;"Closed"),"INVALID – corrective action still open",IF(AND(NOT(OR(LEN(AZ286)&lt;15,ISNUMBER(MATCH(AZ286,L_Placeholder,0)))),BK286=0,CG286&gt;=8,NOT(OR(LEN(AU286)&lt;2,ISNUMBER(MATCH(AU286,L_Placeholder,0)))),BR286&gt;=3,NOT(OR(LEN(AX286)&lt;2,ISNUMBER(MATCH(AX286,L_Placeholder,0)))),BS286&gt;=3,TRIM(AE286)&lt;&gt;TRIM(T286),AX286&lt;&gt;AU286,CE286=0),"N/A – JUSTIFIED","INVALID – N/A needs a real, settled reason (not 'not applicable' / 'as above' / TBC), a named PIC and a different named verifier"))),IF(OR(TRIM(U286)="Pass",TRIM(U286)="Pass after CA"),IF(NOT(ISNUMBER(AD286)),"INVALID – completion time missing",IF(OR(OR(LEN(AU286)&lt;2,ISNUMBER(MATCH(AU286,L_Placeholder,0))),BR286&lt;3),"INVALID – PIC missing or not a named person (a role such as QA / CSM is not a name)",IF(OR(LEN(AV286)&lt;2,ISNUMBER(MATCH(AV286,L_Placeholder,0))),"INVALID – result / assessment missing",IF(OR(OR(LEN(AW286)&lt;3,ISNUMBER(MATCH(AW286,L_Placeholder,0))),SUMPRODUCT(--ISNUMBER(SEARCH(" "&amp;L_EvidencePhrase&amp;" ",BD286)))&gt;0,BI286=1),"INVALID – evidence missing, placeholder or not yet on file",IF(ISNA(MATCH(TRIM(S286),L_EvidenceType,0)),"INVALID – choose the evidence type from the list (column S)",IF(BL286=0,"INVALID – evidence ID must be the record's own ID only (e.g. SF-2210, IMG_2231, 1045521); a link / file name needs type 'Link / file path'",IF(OR(OR(LEN(AX286)&lt;2,ISNUMBER(MATCH(AX286,L_Placeholder,0))),BS286&lt;3),"INVALID – verifier missing or not a named person (a role such as QA / CSM is not a name)",IF(OR(AX286=AU286,CE286=1,AND(LEN(AU286)&gt;=4,ISNUMBER(SEARCH(AU286,AX286))),AND(LEN(AX286)&gt;=4,ISNUMBER(SEARCH(AX286,AU286)))),"INVALID – verifier must be a different, named person (not the PIC or a role)",IF(BH286=1,"INVALID – result not yet available (awaiting / TBC)",IF(BG286=1,"INVALID – result describes a problem: record Fail, then Pass after CA (or reword if it is not a problem)",IF(BV286=1,"INVALID – wording says not on board: an on-board confirmation needs the item loaded",IF(AND(AQ286=1,OR(OR(LEN(AY286)&lt;3,ISNUMBER(MATCH(AY286,L_Placeholder,0))),BJ286=1,BQ286=0)),"INVALID – batch ID missing, placeholder or not an ID (e.g. PASB-261008-BC-017)",IF(AND(AR286=1,OR(NOT(ISNUMBER(X286)),NOT(ISNUMBER(Y286)))),"INVALID – expected/actual qty missing",IF(AND(AR286=1,OR(X286&lt;=0,Y286&lt;0)),"INVALID – expected qty must be above 0 and actual not negative",IF(BB286&lt;&gt;"",BB286,IF(AND(AS286=1,Documents!$J$13&lt;&gt;"ON FILE"),"INVALID – GLD not on file (Documents sheet)",IF(AND(AS286=2,Documents!$O$13&lt;&gt;"ON FILE"),"INVALID – menu checklist not on file (Documents sheet)",IF(AND(AS286=3,NOT(ISNUMBER(Flights!$AX$13))),"INVALID – enter carrying flight KUL departure (Flights AX)",IF(AND(AS286=3,OR(Flights!$AZ$13&gt;Flights!$AA$13,Flights!$AX$13&lt;Flights!$AA$13-3)),"INVALID – carrying flight (Flights AX) cannot arrive before this leg's STD, or is over 3 days early",IF(AG286&gt;AsOfUTC,"INVALID – completion time is in the future",IF(AND(ISNUMBER(BY286),AG286&lt;BY286),IF(H286="Physical uplift","INVALID – before uplift window (cannot confirm loading)","INVALID – before valid window"),IF(AG286&gt;Flights!$AA$13,"INVALID – completed after departure (cannot establish readiness)",IF(AND(H286="Preparation",AG286&gt;=IF(ISNUMBER(Flights!$BA$13),MIN(Flights!$BA$13,Flights!$AA$13),Flights!$AA$13)),"INVALID – completed after loading / departure (cannot establish readiness)",IF(AND(H286="Physical uplift",AG286&gt;Q286),"INVALID – recorded after the loading flight departed",IF(AG286&gt;Q286,"COMPLETE – LATE","COMPLETE"))))))))))))))))))))))))),IF(TRIM(U286)="Fail","FAIL – DISCREPANCY",IF(AND(TRIM(U286)&lt;&gt;"",TRIM(U286)&lt;&gt;"Not started",TRIM(U286)&lt;&gt;"In progress"),"INVALID – unrecognised status (use the list)",IF(AsOfUTC&gt;Q286,"OVERDUE",IF(N286="Clarification required","OPEN – CLARIFICATION","OPEN"))))))),"INVALID – error value in an input cell")</f>
        <v>OPEN</v>
      </c>
      <c r="AI286" s="61" t="n">
        <f aca="false">IF(OR(AH286="N/A – RULE",AH286="N/A – JUSTIFIED"),0,1)</f>
        <v>1</v>
      </c>
      <c r="AJ286" s="61" t="n">
        <f aca="false">IF(LEFT(AH286,8)="COMPLETE",1,0)</f>
        <v>0</v>
      </c>
      <c r="AK286" s="61" t="n">
        <f aca="false">IF(AND(AI286=1,AJ286=0,AsOfUTC&gt;Q286),1,0)</f>
        <v>0</v>
      </c>
      <c r="AL286" s="61" t="n">
        <f aca="false">IFERROR(IF(AND(AI286=1,OR(TRIM(U286)="Fail",AND(TRIM(AB286)&lt;&gt;"",TRIM(AB286)&lt;&gt;"Closed"),AND(ISNUMBER(AF286),AF286&lt;&gt;0,TRIM(U286)&lt;&gt;"Pass after CA"))),1,0),1)</f>
        <v>0</v>
      </c>
      <c r="AM286" s="61" t="n">
        <f aca="false">IF(LEFT(AH286,7)="INVALID",1,0)</f>
        <v>0</v>
      </c>
      <c r="AN286" s="61" t="n">
        <f aca="false">IF(AND(N286="Clarification required",AI286=1,AJ286=0),1,0)</f>
        <v>0</v>
      </c>
      <c r="AO286" s="61" t="str">
        <f aca="false">IF(AK286=1,SUM(AK$5:AK286),"")</f>
        <v/>
      </c>
      <c r="AP286" s="61" t="str">
        <f aca="false">IF(AL286=1,SUM(AL$5:AL286),"")</f>
        <v/>
      </c>
      <c r="AQ286" s="61" t="n">
        <v>0</v>
      </c>
      <c r="AR286" s="61" t="n">
        <v>0</v>
      </c>
      <c r="AS286" s="61" t="n">
        <v>0</v>
      </c>
      <c r="AT286" s="61" t="n">
        <v>0</v>
      </c>
      <c r="AU286" s="61" t="str">
        <f aca="false">SUBSTITUTE(SUBSTITUTE(SUBSTITUTE(SUBSTITUTE(SUBSTITUTE(SUBSTITUTE(SUBSTITUTE(SUBSTITUTE(SUBSTITUTE(SUBSTITUTE(SUBSTITUTE(SUBSTITUTE(SUBSTITUTE(SUBSTITUTE(SUBSTITUTE(SUBSTITUTE(LOWER(T286&amp;""),CHAR(10),""),CHAR(13),""),CHAR(9),""),CHAR(160),"")," ",""),".",""),"-",""),"/",""),"?",""),"_",""),",",""),"[",""),"]",""),"(",""),")",""),"*","")</f>
        <v/>
      </c>
      <c r="AV286" s="61" t="str">
        <f aca="false">SUBSTITUTE(SUBSTITUTE(SUBSTITUTE(SUBSTITUTE(SUBSTITUTE(SUBSTITUTE(SUBSTITUTE(SUBSTITUTE(SUBSTITUTE(SUBSTITUTE(SUBSTITUTE(SUBSTITUTE(SUBSTITUTE(SUBSTITUTE(SUBSTITUTE(SUBSTITUTE(LOWER(V286&amp;""),CHAR(10),""),CHAR(13),""),CHAR(9),""),CHAR(160),"")," ",""),".",""),"-",""),"/",""),"?",""),"_",""),",",""),"[",""),"]",""),"(",""),")",""),"*","")</f>
        <v/>
      </c>
      <c r="AW286" s="61" t="str">
        <f aca="false">SUBSTITUTE(SUBSTITUTE(SUBSTITUTE(SUBSTITUTE(SUBSTITUTE(SUBSTITUTE(SUBSTITUTE(SUBSTITUTE(SUBSTITUTE(SUBSTITUTE(SUBSTITUTE(SUBSTITUTE(SUBSTITUTE(SUBSTITUTE(SUBSTITUTE(SUBSTITUTE(LOWER(Z286&amp;""),CHAR(10),""),CHAR(13),""),CHAR(9),""),CHAR(160),"")," ",""),".",""),"-",""),"/",""),"?",""),"_",""),",",""),"[",""),"]",""),"(",""),")",""),"*","")</f>
        <v/>
      </c>
      <c r="AX286" s="61" t="str">
        <f aca="false">SUBSTITUTE(SUBSTITUTE(SUBSTITUTE(SUBSTITUTE(SUBSTITUTE(SUBSTITUTE(SUBSTITUTE(SUBSTITUTE(SUBSTITUTE(SUBSTITUTE(SUBSTITUTE(SUBSTITUTE(SUBSTITUTE(SUBSTITUTE(SUBSTITUTE(SUBSTITUTE(LOWER(AE286&amp;""),CHAR(10),""),CHAR(13),""),CHAR(9),""),CHAR(160),"")," ",""),".",""),"-",""),"/",""),"?",""),"_",""),",",""),"[",""),"]",""),"(",""),")",""),"*","")</f>
        <v/>
      </c>
      <c r="AY286" s="61" t="str">
        <f aca="false">SUBSTITUTE(SUBSTITUTE(SUBSTITUTE(SUBSTITUTE(SUBSTITUTE(SUBSTITUTE(SUBSTITUTE(SUBSTITUTE(SUBSTITUTE(SUBSTITUTE(SUBSTITUTE(SUBSTITUTE(SUBSTITUTE(SUBSTITUTE(SUBSTITUTE(SUBSTITUTE(LOWER(W286&amp;""),CHAR(10),""),CHAR(13),""),CHAR(9),""),CHAR(160),"")," ",""),".",""),"-",""),"/",""),"?",""),"_",""),",",""),"[",""),"]",""),"(",""),")",""),"*","")</f>
        <v/>
      </c>
      <c r="AZ286" s="61" t="str">
        <f aca="false">SUBSTITUTE(SUBSTITUTE(SUBSTITUTE(SUBSTITUTE(SUBSTITUTE(SUBSTITUTE(SUBSTITUTE(SUBSTITUTE(SUBSTITUTE(SUBSTITUTE(SUBSTITUTE(SUBSTITUTE(SUBSTITUTE(SUBSTITUTE(SUBSTITUTE(SUBSTITUTE(LOWER(AC286&amp;""),CHAR(10),""),CHAR(13),""),CHAR(9),""),CHAR(160),"")," ",""),".",""),"-",""),"/",""),"?",""),"_",""),",",""),"[",""),"]",""),"(",""),")",""),"*","")</f>
        <v/>
      </c>
      <c r="BA286" s="61" t="str">
        <f aca="false">SUBSTITUTE(SUBSTITUTE(SUBSTITUTE(SUBSTITUTE(SUBSTITUTE(SUBSTITUTE(SUBSTITUTE(SUBSTITUTE(SUBSTITUTE(SUBSTITUTE(SUBSTITUTE(SUBSTITUTE(SUBSTITUTE(SUBSTITUTE(SUBSTITUTE(SUBSTITUTE(LOWER(AA286&amp;""),CHAR(10),""),CHAR(13),""),CHAR(9),""),CHAR(160),"")," ",""),".",""),"-",""),"/",""),"?",""),"_",""),",",""),"[",""),"]",""),"(",""),")",""),"*","")</f>
        <v/>
      </c>
      <c r="BB286" s="61" t="str">
        <f aca="false">IF(AND(TRIM(U286)="Pass",ISNUMBER(AF286)),IF(AF286&lt;&gt;0,"INVALID – qty variance: use Fail or Pass after CA",""),"")&amp;IF(AND(TRIM(U286)="Pass after CA",ISNUMBER(AF286)),IF(AF286&lt;&gt;0,"INVALID – after the corrective action the actual qty must equal expected (update Actual)",""),"")&amp;IF(AND(TRIM(U286)="Pass",TRIM(AB286)&lt;&gt;"",TRIM(AB286)&lt;&gt;"Closed"),"INVALID – corrective action not closed: use Fail, then Pass after CA","")&amp;IF(AND(LEN(BA286)&gt;=2,ISNA(MATCH(LEFT(BA286,255),L_Placeholder,0)),TRIM(AB286)=""),"INVALID – CA status missing for the recorded corrective action","")&amp;IF(AND(TRIM(U286)="Pass after CA",OR(OR(LEN(BA286)&lt;5,ISNUMBER(MATCH(BA286,L_Placeholder,0))),TRIM(AB286)&lt;&gt;"Closed")),"INVALID – corrective action not recorded/closed","")</f>
        <v/>
      </c>
      <c r="BC286" s="61" t="str">
        <f aca="false">" "&amp;TRIM(SUBSTITUTE(SUBSTITUTE(SUBSTITUTE(SUBSTITUTE(SUBSTITUTE(SUBSTITUTE(SUBSTITUTE(SUBSTITUTE(SUBSTITUTE(SUBSTITUTE(SUBSTITUTE(SUBSTITUTE(SUBSTITUTE(SUBSTITUTE(SUBSTITUTE(SUBSTITUTE(SUBSTITUTE(SUBSTITUTE(SUBSTITUTE(SUBSTITUTE(SUBSTITUTE(SUBSTITUTE(SUBSTITUTE(SUBSTITUTE(LOWER(V286&amp;""),CHAR(10)," "),CHAR(13)," "),CHAR(9)," "),CHAR(160)," "),"."," "),","," "),"-"," "),"/"," "),"("," "),")"," "),":"," "),";"," "),"_"," "),"–"," "),"?"," "),"!"," "),"*"," "),"["," "),"]"," "),"'"," "),"#"," "),"+"," "),"&amp;"," "),"\"," "))&amp;" "</f>
        <v>  </v>
      </c>
      <c r="BD286" s="61" t="str">
        <f aca="false">" "&amp;TRIM(SUBSTITUTE(SUBSTITUTE(SUBSTITUTE(SUBSTITUTE(SUBSTITUTE(SUBSTITUTE(SUBSTITUTE(SUBSTITUTE(SUBSTITUTE(SUBSTITUTE(SUBSTITUTE(SUBSTITUTE(SUBSTITUTE(SUBSTITUTE(SUBSTITUTE(SUBSTITUTE(SUBSTITUTE(SUBSTITUTE(SUBSTITUTE(SUBSTITUTE(SUBSTITUTE(SUBSTITUTE(SUBSTITUTE(SUBSTITUTE(LOWER(Z286&amp;""),CHAR(10)," "),CHAR(13)," "),CHAR(9)," "),CHAR(160)," "),"."," "),","," "),"-"," "),"/"," "),"("," "),")"," "),":"," "),";"," "),"_"," "),"–"," "),"?"," "),"!"," "),"*"," "),"["," "),"]"," "),"'"," "),"#"," "),"+"," "),"&amp;"," "),"\"," "))&amp;" "</f>
        <v>  </v>
      </c>
      <c r="BE286" s="61" t="str">
        <f aca="false">" "&amp;TRIM(SUBSTITUTE(SUBSTITUTE(SUBSTITUTE(SUBSTITUTE(SUBSTITUTE(SUBSTITUTE(SUBSTITUTE(SUBSTITUTE(SUBSTITUTE(SUBSTITUTE(SUBSTITUTE(SUBSTITUTE(SUBSTITUTE(SUBSTITUTE(SUBSTITUTE(SUBSTITUTE(SUBSTITUTE(SUBSTITUTE(SUBSTITUTE(SUBSTITUTE(SUBSTITUTE(SUBSTITUTE(SUBSTITUTE(SUBSTITUTE(LOWER(W286&amp;""),CHAR(10)," "),CHAR(13)," "),CHAR(9)," "),CHAR(160)," "),"."," "),","," "),"-"," "),"/"," "),"("," "),")"," "),":"," "),";"," "),"_"," "),"–"," "),"?"," "),"!"," "),"*"," "),"["," "),"]"," "),"'"," "),"#"," "),"+"," "),"&amp;"," "),"\"," "))&amp;" "</f>
        <v>  </v>
      </c>
      <c r="BF286" s="61" t="str">
        <f aca="false">" "&amp;TRIM(SUBSTITUTE(SUBSTITUTE(SUBSTITUTE(SUBSTITUTE(SUBSTITUTE(SUBSTITUTE(SUBSTITUTE(SUBSTITUTE(SUBSTITUTE(SUBSTITUTE(SUBSTITUTE(SUBSTITUTE(SUBSTITUTE(SUBSTITUTE(SUBSTITUTE(SUBSTITUTE(SUBSTITUTE(SUBSTITUTE(SUBSTITUTE(SUBSTITUTE(SUBSTITUTE(SUBSTITUTE(SUBSTITUTE(SUBSTITUTE(LOWER(AC286&amp;""),CHAR(10)," "),CHAR(13)," "),CHAR(9)," "),CHAR(160)," "),"."," "),","," "),"-"," "),"/"," "),"("," "),")"," "),":"," "),";"," "),"_"," "),"–"," "),"?"," "),"!"," "),"*"," "),"["," "),"]"," "),"'"," "),"#"," "),"+"," "),"&amp;"," "),"\"," "))&amp;" "</f>
        <v>  </v>
      </c>
      <c r="BG286" s="61" t="n">
        <f aca="false">IFERROR(IF(AND(TRIM(U286)="Pass",SUMPRODUCT((LEN(BC286)-LEN(SUBSTITUTE(BC286," "&amp;L_ResultBad&amp;" "," ")))/(LEN(L_ResultBad)+1))&gt;SUMPRODUCT((LEN(BC286)-LEN(SUBSTITUTE(BC286," "&amp;L_NegPhrase&amp;" "," ")))/(LEN(L_NegPhrase)+1))),1,0),0)</f>
        <v>0</v>
      </c>
      <c r="BH286" s="61" t="n">
        <f aca="false">IFERROR(IF(SUMPRODUCT((LEN(BC286)-LEN(SUBSTITUTE(BC286," "&amp;L_Pending&amp;" "," ")))/(LEN(L_Pending)+1))&gt;SUMPRODUCT((LEN(BC286)-LEN(SUBSTITUTE(BC286," "&amp;L_PendNeg&amp;" "," ")))/(LEN(L_PendNeg)+1))+SUMPRODUCT((LEN(BC286)-LEN(SUBSTITUTE(BC286," "&amp;L_PendPrep&amp;" "," ")))/(LEN(L_PendPrep)+1)),1,0),1)</f>
        <v>0</v>
      </c>
      <c r="BI286" s="61" t="n">
        <f aca="false">IFERROR(IF(SUMPRODUCT((LEN(BD286)-LEN(SUBSTITUTE(BD286," "&amp;L_PendStrict&amp;" "," ")))/(LEN(L_PendStrict)+1))&gt;SUMPRODUCT((LEN(BD286)-LEN(SUBSTITUTE(BD286," "&amp;L_PendNeg&amp;" "," ")))/(LEN(L_PendNeg)+1)),1,0),1)</f>
        <v>0</v>
      </c>
      <c r="BJ286" s="61" t="n">
        <f aca="false">IFERROR(IF(SUMPRODUCT((LEN(BE286)-LEN(SUBSTITUTE(BE286," "&amp;L_Pending&amp;" "," ")))/(LEN(L_Pending)+1))&gt;SUMPRODUCT((LEN(BE286)-LEN(SUBSTITUTE(BE286," "&amp;L_PendNeg&amp;" "," ")))/(LEN(L_PendNeg)+1))+SUMPRODUCT((LEN(BE286)-LEN(SUBSTITUTE(BE286," "&amp;L_PendPrep&amp;" "," ")))/(LEN(L_PendPrep)+1)),1,0),1)</f>
        <v>0</v>
      </c>
      <c r="BK286" s="61" t="n">
        <f aca="false">IFERROR(IF(SUMPRODUCT((LEN(BF286)-LEN(SUBSTITUTE(BF286," "&amp;L_PendStrict&amp;" "," ")))/(LEN(L_PendStrict)+1))&gt;SUMPRODUCT((LEN(BF286)-LEN(SUBSTITUTE(BF286," "&amp;L_PendNeg&amp;" "," ")))/(LEN(L_PendNeg)+1)),1,0),1)</f>
        <v>0</v>
      </c>
      <c r="BL286" s="61" t="n">
        <f aca="false">IF(ISNA(MATCH(TRIM(S286),L_EvidenceType,0)),0,BZ286)</f>
        <v>0</v>
      </c>
      <c r="BM286" s="61" t="str">
        <f aca="false">SUBSTITUTE(SUBSTITUTE(SUBSTITUTE(SUBSTITUTE(SUBSTITUTE(SUBSTITUTE(SUBSTITUTE(SUBSTITUTE(SUBSTITUTE(LOWER(Z286&amp;""),"1","0"),"2","0"),"3","0"),"4","0"),"5","0"),"6","0"),"7","0"),"8","0"),"9","0")</f>
        <v/>
      </c>
      <c r="BN286" s="61" t="str">
        <f aca="false">SUBSTITUTE(SUBSTITUTE(SUBSTITUTE(SUBSTITUTE(SUBSTITUTE(SUBSTITUTE(SUBSTITUTE(SUBSTITUTE(SUBSTITUTE(SUBSTITUTE(SUBSTITUTE(SUBSTITUTE(SUBSTITUTE(SUBSTITUTE(SUBSTITUTE(SUBSTITUTE(SUBSTITUTE(SUBSTITUTE(SUBSTITUTE(SUBSTITUTE(SUBSTITUTE(SUBSTITUTE(SUBSTITUTE(SUBSTITUTE(SUBSTITUTE(BM286,"b","a"),"c","a"),"d","a"),"e","a"),"f","a"),"g","a"),"h","a"),"i","a"),"j","a"),"k","a"),"l","a"),"m","a"),"n","a"),"o","a"),"p","a"),"q","a"),"r","a"),"s","a"),"t","a"),"u","a"),"v","a"),"w","a"),"x","a"),"y","a"),"z","a")</f>
        <v/>
      </c>
      <c r="BO286" s="61" t="str">
        <f aca="false">SUBSTITUTE(SUBSTITUTE(SUBSTITUTE(SUBSTITUTE(SUBSTITUTE(SUBSTITUTE(SUBSTITUTE(SUBSTITUTE(SUBSTITUTE(LOWER(W286&amp;""),"1","0"),"2","0"),"3","0"),"4","0"),"5","0"),"6","0"),"7","0"),"8","0"),"9","0")</f>
        <v/>
      </c>
      <c r="BP286" s="61" t="str">
        <f aca="false">SUBSTITUTE(SUBSTITUTE(SUBSTITUTE(SUBSTITUTE(SUBSTITUTE(SUBSTITUTE(SUBSTITUTE(SUBSTITUTE(SUBSTITUTE(SUBSTITUTE(SUBSTITUTE(SUBSTITUTE(SUBSTITUTE(SUBSTITUTE(SUBSTITUTE(SUBSTITUTE(SUBSTITUTE(SUBSTITUTE(SUBSTITUTE(SUBSTITUTE(SUBSTITUTE(SUBSTITUTE(SUBSTITUTE(SUBSTITUTE(SUBSTITUTE(BO286,"b","a"),"c","a"),"d","a"),"e","a"),"f","a"),"g","a"),"h","a"),"i","a"),"j","a"),"k","a"),"l","a"),"m","a"),"n","a"),"o","a"),"p","a"),"q","a"),"r","a"),"s","a"),"t","a"),"u","a"),"v","a"),"w","a"),"x","a"),"y","a"),"z","a")</f>
        <v/>
      </c>
      <c r="BQ286" s="61" t="n">
        <f aca="false">IFERROR(IF(AND(ISERROR(SEARCH(" mh"," "&amp;LOWER(W286))),ISNA(MATCH(LEFT(TRIM(BP286),255),{"0000a","000a","00a","0000aa","000aa","00aa","0aa","0000aaa","000aaa","00a00","0a00","0000-0000","00:00","a00","a0","00.00.0000","00/00/0000","00-00-0000","0000-00-00","0000/00/00","0000.00.00","00.00.00","00/00/00","00-00-00","0.00.0000","0/00/0000","0-00-0000"},0)),ISNA(MATCH(LEFT(TRIM(CA286),255),{"0000a","000a","00a","0000aa","000aa","00aa","0aa","0000aaa","000aaa","00a00","0a00","0000-0000","00:00","a00","a0","00.00.0000","00/00/0000","00-00-0000","0000-00-00","0000/00/00","0000.00.00","00.00.00","00/00/00","00-00-00","0.00.0000","0/00/0000","0-00-0000"},0)),LEN(CB286)&gt;=3,NOT(OR(SUBSTITUTE(CB286,"0","")="",AND(LEN(CB286)&gt;=4,CB286=REPT(LEFT(CB286),LEN(CB286))),ISNUMBER(MATCH(CB286,{"123","1234","12345","123456","1234567","12345678","0123","01234","012345","98765","987654","54321"},0)),AND(LEN(CB286)=8,LEFT(CB286,3)="202"))),OR(AND((LEN(CA286)-LEN(SUBSTITUTE(CA286,"a","")))&gt;=1,SUMPRODUCT(--ISNUMBER(SEARCH({"a0","a-0","a_0","a/0","a.0","a#0","0a","0-a","0_a","0/a"},BP286)))&gt;0),ISNUMBER(SEARCH("000000",BP286)))),1,0),0)</f>
        <v>0</v>
      </c>
      <c r="BR286" s="61" t="n">
        <f aca="false">IFERROR(LEN(SUBSTITUTE(CC286," ",""))-SUMPRODUCT((LEN(CC286)-LEN(SUBSTITUTE(CC286," "&amp;L_Role&amp;" "," ")))/(LEN(L_Role)+1)*LEN(L_Role)),0)</f>
        <v>0</v>
      </c>
      <c r="BS286" s="61" t="n">
        <f aca="false">IFERROR(LEN(SUBSTITUTE(CD286," ",""))-SUMPRODUCT((LEN(CD286)-LEN(SUBSTITUTE(CD286," "&amp;L_Role&amp;" "," ")))/(LEN(L_Role)+1)*LEN(L_Role)),0)</f>
        <v>0</v>
      </c>
      <c r="BT2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286,"revision",""),"version",""),"jan",""),"feb",""),"mar",""),"apr",""),"may",""),"jun",""),"jul",""),"aug",""),"sep",""),"oct",""),"nov",""),"dec",""),"utc",""),"gmt",""),"myt",""),"bst",""),"rev",""),"ver",""),"b","a"),"c","a"),"d","a"),"e","a"),"f","a"),"g","a"),"h","a"),"i","a"),"j","a"),"k","a"),"l","a"),"m","a"),"n","a"),"o","a"),"p","a"),"q","a"),"r","a"),"s","a"),"t","a"),"u","a"),"v","a"),"w","a"),"x","a"),"y","a"),"z","a")</f>
        <v/>
      </c>
      <c r="BU286" s="61" t="str">
        <f aca="false">SUBSTITUTE(SUBSTITUTE(SUBSTITUTE(SUBSTITUTE(SUBSTITUTE(SUBSTITUTE(SUBSTITUTE(SUBSTITUTE(SUBSTITUTE(SUBSTITUTE(LEFT(BM286,FIND("0",BM286&amp;"0")-1),"-",""),"_",""),"/",""),".",""),"#",""),"\\",""),":","")," ",""),"(",""),")","")</f>
        <v/>
      </c>
      <c r="BV286" s="61" t="n">
        <f aca="false">0</f>
        <v>0</v>
      </c>
      <c r="BW2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286&amp;""),"a",""),"b",""),"c",""),"d",""),"e",""),"f",""),"g",""),"h",""),"i",""),"j",""),"k",""),"l",""),"m",""),"n",""),"o",""),"p",""),"q",""),"r",""),"s",""),"t",""),"u",""),"v",""),"w",""),"x",""),"y",""),"z",""),"-",""),"_",""),"/",""),".",""),"#",""),"\\",""),":","")," ",""),"(",""),")","")</f>
        <v/>
      </c>
      <c r="BX286" s="61" t="str">
        <f aca="false">SUBSTITUTE(SUBSTITUTE(SUBSTITUTE(SUBSTITUTE(SUBSTITUTE(SUBSTITUTE(SUBSTITUTE(SUBSTITUTE(SUBSTITUTE(SUBSTITUTE(SUBSTITUTE(BM286,"0",""),"-",""),"_",""),"/",""),".",""),"#",""),"\\",""),":","")," ",""),"(",""),")","")</f>
        <v/>
      </c>
      <c r="BY286" s="62" t="n">
        <f aca="false">Q286-T7EarlyD*24/24</f>
        <v>46285.2534722222</v>
      </c>
      <c r="BZ286" s="61" t="n">
        <f aca="false">IFERROR(IF(IF(TRIM(S286)="Link / file path",AND(LEN(TRIM(Z286))&gt;=5,SUMPRODUCT(--ISNUMBER(SEARCH({"http","www.","\\",":\",".pdf",".jpg",".jpeg",".png",".heic",".xls",".doc",".msg",".eml",".ppt",".txt",".zip"},Z286)))&gt;0),AND(ISERROR(FIND(" ",TRIM(Z286))),NOT(OR(SUMPRODUCT(--ISNUMBER(FIND({",",";","&amp;","+"},Z286)))&gt;0,SUMPRODUCT(--ISNUMBER(SEARCH({"0/aa","0\\aa"},BN286)))&gt;0)),NOT(SUMPRODUCT(--ISNUMBER(SEARCH({"http","www.","\\",":\",".pdf",".jpg",".jpeg",".png",".heic",".xls",".doc",".msg",".eml",".ppt",".txt",".zip"},Z286)))&gt;0),NOT(LOWER(TRIM(Z286))=LOWER(Flights!$F$13)),ISNA(MATCH(BU286,{"mh","rev","revision","ver","version","v","r","a","b","seat","tray","row","gate","bay","stand","page","pg","item","line","no","cart","galley","flight","flt","table","box","bag","oven","etd","eta","std","sta","atd","ata","qty","pax","x","time","tel","ph","mob","day","wk","week","utc","gmt","myt","lt"},0)),NOT(OR(ISNUMBER(MATCH(LEFT(BN286,255),{"0000a","000a","00a","0000aa","000aa","00aa","0aa","0000aaa","000aaa","00a00","0a00","0000-0000","00:00","a00","a0","00.00.0000","00/00/0000","00-00-0000","0000-00-00","0000/00/00","0000.00.00","00.00.00","00/00/00","00-00-00","0.00.0000","0/00/0000","0-00-0000"},0)),ISNUMBER(MATCH(LEFT(BT286,255),{"0000a","000a","00a","0000aa","000aa","00aa","0aa","0000aaa","000aaa","00a00","0a00","0000-0000","00:00","a00","a0","00.00.0000","00/00/0000","00-00-0000","0000-00-00","0000/00/00","0000.00.00","00.00.00","00/00/00","00-00-00","0.00.0000","0/00/0000","0-00-0000"},0)))),NOT(OR(AND(BW286&lt;&gt;"",SUBSTITUTE(BW286,"0","")=""),AND(LEN(BW286)&gt;=4,BW286=REPT(LEFT(BW286),LEN(BW286))),ISNUMBER(MATCH(BW286,{"123","1234","12345","123456","1234567","12345678","0123","01234","012345","98765","987654","54321"},0)),ISNUMBER(MATCH(BX286,{"x","xx","xxx","xxxx","xxxxx","abc","abcd","nil","na","nan","test","tbc","tba","tbd","dummy","sample","example","eg","zz","zzz","none","null","xyz","qwe","asd","id","ref"},0)),AND(LEN(BW286)=8,BX286="",OR(LEFT(BW286,3)="202",ISNUMBER(MATCH(RIGHT(BW286,4),{"2025","2026","2027"},0)))))),OR(AND((LEN(BT286)-LEN(SUBSTITUTE(BT286,"a","")))&gt;=1,(LEN(BN286)-LEN(SUBSTITUTE(BN286,"0","")))&gt;=2,SUMPRODUCT(--ISNUMBER(SEARCH({"a0","a-0","a_0","a/0","a.0","a#0","0a","0-a","0_a","0/a"},BN286)))&gt;0),AND((LEN(BN286)-LEN(SUBSTITUTE(BN286,"a","")))=0,(LEN(BN286)-LEN(SUBSTITUTE(BN286,"0","")))&gt;=5)))),1,0),0)</f>
        <v>0</v>
      </c>
      <c r="CA2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286,"revision",""),"version",""),"jan",""),"feb",""),"mar",""),"apr",""),"may",""),"jun",""),"jul",""),"aug",""),"sep",""),"oct",""),"nov",""),"dec",""),"utc",""),"gmt",""),"myt",""),"bst",""),"rev",""),"ver",""),"b","a"),"c","a"),"d","a"),"e","a"),"f","a"),"g","a"),"h","a"),"i","a"),"j","a"),"k","a"),"l","a"),"m","a"),"n","a"),"o","a"),"p","a"),"q","a"),"r","a"),"s","a"),"t","a"),"u","a"),"v","a"),"w","a"),"x","a"),"y","a"),"z","a")</f>
        <v/>
      </c>
      <c r="CB2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286&amp;""),"a",""),"b",""),"c",""),"d",""),"e",""),"f",""),"g",""),"h",""),"i",""),"j",""),"k",""),"l",""),"m",""),"n",""),"o",""),"p",""),"q",""),"r",""),"s",""),"t",""),"u",""),"v",""),"w",""),"x",""),"y",""),"z",""),"-",""),"_",""),"/",""),".",""),"#",""),"\\",""),":","")," ",""),"(",""),")","")</f>
        <v/>
      </c>
      <c r="CC286" s="0" t="str">
        <f aca="false">" "&amp;TRIM(SUBSTITUTE(SUBSTITUTE(SUBSTITUTE(SUBSTITUTE(SUBSTITUTE(SUBSTITUTE(SUBSTITUTE(SUBSTITUTE(SUBSTITUTE(SUBSTITUTE(SUBSTITUTE(SUBSTITUTE(SUBSTITUTE(SUBSTITUTE(SUBSTITUTE(SUBSTITUTE(SUBSTITUTE(SUBSTITUTE(SUBSTITUTE(SUBSTITUTE(SUBSTITUTE(SUBSTITUTE(SUBSTITUTE(SUBSTITUTE(LOWER(T286&amp;""),CHAR(10)," "),CHAR(13)," "),CHAR(9)," "),CHAR(160)," "),"."," "),","," "),"-"," "),"/"," "),"("," "),")"," "),":"," "),";"," "),"_"," "),"–"," "),"?"," "),"!"," "),"*"," "),"["," "),"]"," "),"'"," "),"#"," "),"+"," "),"&amp;"," "),"\"," "))&amp;" "</f>
        <v>  </v>
      </c>
      <c r="CD286" s="0" t="str">
        <f aca="false">" "&amp;TRIM(SUBSTITUTE(SUBSTITUTE(SUBSTITUTE(SUBSTITUTE(SUBSTITUTE(SUBSTITUTE(SUBSTITUTE(SUBSTITUTE(SUBSTITUTE(SUBSTITUTE(SUBSTITUTE(SUBSTITUTE(SUBSTITUTE(SUBSTITUTE(SUBSTITUTE(SUBSTITUTE(SUBSTITUTE(SUBSTITUTE(SUBSTITUTE(SUBSTITUTE(SUBSTITUTE(SUBSTITUTE(SUBSTITUTE(SUBSTITUTE(LOWER(AE286&amp;""),CHAR(10)," "),CHAR(13)," "),CHAR(9)," "),CHAR(160)," "),"."," "),","," "),"-"," "),"/"," "),"("," "),")"," "),":"," "),";"," "),"_"," "),"–"," "),"?"," "),"!"," "),"*"," "),"["," "),"]"," "),"'"," "),"#"," "),"+"," "),"&amp;"," "),"\"," "))&amp;" "</f>
        <v>  </v>
      </c>
      <c r="CE286" s="68" t="n">
        <f aca="false">IFERROR(IF(AND(LEN(AU286)&gt;0,LEN(AU286)=LEN(AX286),OR(TRIM(MID(SUBSTITUTE(TRIM(CC286)," ",REPT(" ",60)),1,60))="",ISNUMBER(SEARCH(" "&amp;TRIM(MID(SUBSTITUTE(TRIM(CC286)," ",REPT(" ",60)),1,60))&amp;" ",CD286))),OR(TRIM(MID(SUBSTITUTE(TRIM(CC286)," ",REPT(" ",60)),61,60))="",ISNUMBER(SEARCH(" "&amp;TRIM(MID(SUBSTITUTE(TRIM(CC286)," ",REPT(" ",60)),61,60))&amp;" ",CD286))),OR(TRIM(MID(SUBSTITUTE(TRIM(CC286)," ",REPT(" ",60)),121,60))="",ISNUMBER(SEARCH(" "&amp;TRIM(MID(SUBSTITUTE(TRIM(CC286)," ",REPT(" ",60)),121,60))&amp;" ",CD286)))),1,0),0)</f>
        <v>0</v>
      </c>
      <c r="CG286" s="68" t="n">
        <f aca="false">IFERROR(LEN(SUBSTITUTE(BF286," ",""))-SUMPRODUCT((LEN(BF286)-LEN(SUBSTITUTE(BF286," "&amp;L_NAFiller&amp;" "," ")))/(LEN(L_NAFiller)+1)*LEN(L_NAFiller)),0)</f>
        <v>0</v>
      </c>
    </row>
    <row r="287" customFormat="false" ht="39.75" hidden="false" customHeight="true" outlineLevel="0" collapsed="false">
      <c r="A287" s="57" t="s">
        <v>861</v>
      </c>
      <c r="B287" s="57" t="s">
        <v>246</v>
      </c>
      <c r="C287" s="57" t="str">
        <f aca="false">Flights!$F$13</f>
        <v>MH0753</v>
      </c>
      <c r="D287" s="58" t="n">
        <f aca="false">Flights!$D$13</f>
        <v>46306</v>
      </c>
      <c r="E287" s="57" t="str">
        <f aca="false">Flights!$G$13&amp;"-"&amp;Flights!$H$13</f>
        <v>HAN-KUL</v>
      </c>
      <c r="F287" s="57" t="str">
        <f aca="false">Flights!$K$13</f>
        <v>BC</v>
      </c>
      <c r="G287" s="57" t="s">
        <v>81</v>
      </c>
      <c r="H287" s="57" t="s">
        <v>378</v>
      </c>
      <c r="I287" s="57" t="s">
        <v>398</v>
      </c>
      <c r="J287" s="57" t="s">
        <v>399</v>
      </c>
      <c r="K287" s="67" t="s">
        <v>400</v>
      </c>
      <c r="L287" s="67" t="s">
        <v>382</v>
      </c>
      <c r="M287" s="67"/>
      <c r="N287" s="67" t="s">
        <v>383</v>
      </c>
      <c r="O287" s="67"/>
      <c r="P287" s="57" t="s">
        <v>240</v>
      </c>
      <c r="Q287" s="59" t="n">
        <f aca="false">ROUND((Flights!$AC$13)*1440,0)/1440</f>
        <v>46299.2534722222</v>
      </c>
      <c r="R287" s="59" t="n">
        <f aca="false">Q287+(IF(AND(INDEX(TZ_DSTS,MATCH(P287,TZ_STN,0))&lt;&gt;"",Q287&gt;=INDEX(TZ_DSTS,MATCH(P287,TZ_STN,0)),Q287&lt;INDEX(TZ_DSTE,MATCH(P287,TZ_STN,0))),INDEX(TZ_DST,MATCH(P287,TZ_STN,0)),INDEX(TZ_STD,MATCH(P287,TZ_STN,0))))/24</f>
        <v>46299.5451388889</v>
      </c>
      <c r="S287" s="60"/>
      <c r="T287" s="60"/>
      <c r="U287" s="60"/>
      <c r="V287" s="60"/>
      <c r="W287" s="61"/>
      <c r="X287" s="60"/>
      <c r="Y287" s="60"/>
      <c r="Z287" s="60"/>
      <c r="AA287" s="60"/>
      <c r="AB287" s="60"/>
      <c r="AC287" s="60"/>
      <c r="AD287" s="66"/>
      <c r="AE287" s="60"/>
      <c r="AF287" s="61" t="str">
        <f aca="false">IF(AND(ISNUMBER(X287),ISNUMBER(Y287)),Y287-X287,"")</f>
        <v/>
      </c>
      <c r="AG287" s="62" t="str">
        <f aca="false">IF(ISNUMBER(AD287),AD287-(IF(AND(INDEX(TZ_DSTS,MATCH(P287,TZ_STN,0))&lt;&gt;"",(AD287-INDEX(TZ_STD,MATCH(P287,TZ_STN,0))/24)&gt;=INDEX(TZ_DSTS,MATCH(P287,TZ_STN,0)),(AD287-INDEX(TZ_STD,MATCH(P287,TZ_STN,0))/24)&lt;INDEX(TZ_DSTE,MATCH(P287,TZ_STN,0))),INDEX(TZ_DST,MATCH(P287,TZ_STN,0)),INDEX(TZ_STD,MATCH(P287,TZ_STN,0))))/24,"")</f>
        <v/>
      </c>
      <c r="AH287" s="65" t="str">
        <f aca="false">IFERROR(IF(N287="N/A – rule",IF(OR(TRIM(U287)="",TRIM(U287)="N/A",TRIM(U287)="Not started"),"N/A – RULE","INVALID – this check does not apply to this aircraft: clear the status (or correct the fleet on Flights)"),IF(TRIM(U287)="N/A",IF(AT287=0,"INVALID – N/A not permitted for this check",IF(AND(TRIM(AB287)&lt;&gt;"",TRIM(AB287)&lt;&gt;"Closed"),"INVALID – corrective action still open",IF(AND(NOT(OR(LEN(AZ287)&lt;15,ISNUMBER(MATCH(AZ287,L_Placeholder,0)))),BK287=0,CG287&gt;=8,NOT(OR(LEN(AU287)&lt;2,ISNUMBER(MATCH(AU287,L_Placeholder,0)))),BR287&gt;=3,NOT(OR(LEN(AX287)&lt;2,ISNUMBER(MATCH(AX287,L_Placeholder,0)))),BS287&gt;=3,TRIM(AE287)&lt;&gt;TRIM(T287),AX287&lt;&gt;AU287,CE287=0),"N/A – JUSTIFIED","INVALID – N/A needs a real, settled reason (not 'not applicable' / 'as above' / TBC), a named PIC and a different named verifier"))),IF(OR(TRIM(U287)="Pass",TRIM(U287)="Pass after CA"),IF(NOT(ISNUMBER(AD287)),"INVALID – completion time missing",IF(OR(OR(LEN(AU287)&lt;2,ISNUMBER(MATCH(AU287,L_Placeholder,0))),BR287&lt;3),"INVALID – PIC missing or not a named person (a role such as QA / CSM is not a name)",IF(OR(LEN(AV287)&lt;2,ISNUMBER(MATCH(AV287,L_Placeholder,0))),"INVALID – result / assessment missing",IF(OR(OR(LEN(AW287)&lt;3,ISNUMBER(MATCH(AW287,L_Placeholder,0))),SUMPRODUCT(--ISNUMBER(SEARCH(" "&amp;L_EvidencePhrase&amp;" ",BD287)))&gt;0,BI287=1),"INVALID – evidence missing, placeholder or not yet on file",IF(ISNA(MATCH(TRIM(S287),L_EvidenceType,0)),"INVALID – choose the evidence type from the list (column S)",IF(BL287=0,"INVALID – evidence ID must be the record's own ID only (e.g. SF-2210, IMG_2231, 1045521); a link / file name needs type 'Link / file path'",IF(OR(OR(LEN(AX287)&lt;2,ISNUMBER(MATCH(AX287,L_Placeholder,0))),BS287&lt;3),"INVALID – verifier missing or not a named person (a role such as QA / CSM is not a name)",IF(OR(AX287=AU287,CE287=1,AND(LEN(AU287)&gt;=4,ISNUMBER(SEARCH(AU287,AX287))),AND(LEN(AX287)&gt;=4,ISNUMBER(SEARCH(AX287,AU287)))),"INVALID – verifier must be a different, named person (not the PIC or a role)",IF(BH287=1,"INVALID – result not yet available (awaiting / TBC)",IF(BG287=1,"INVALID – result describes a problem: record Fail, then Pass after CA (or reword if it is not a problem)",IF(BV287=1,"INVALID – wording says not on board: an on-board confirmation needs the item loaded",IF(AND(AQ287=1,OR(OR(LEN(AY287)&lt;3,ISNUMBER(MATCH(AY287,L_Placeholder,0))),BJ287=1,BQ287=0)),"INVALID – batch ID missing, placeholder or not an ID (e.g. PASB-261008-BC-017)",IF(AND(AR287=1,OR(NOT(ISNUMBER(X287)),NOT(ISNUMBER(Y287)))),"INVALID – expected/actual qty missing",IF(AND(AR287=1,OR(X287&lt;=0,Y287&lt;0)),"INVALID – expected qty must be above 0 and actual not negative",IF(BB287&lt;&gt;"",BB287,IF(AND(AS287=1,Documents!$J$13&lt;&gt;"ON FILE"),"INVALID – GLD not on file (Documents sheet)",IF(AND(AS287=2,Documents!$O$13&lt;&gt;"ON FILE"),"INVALID – menu checklist not on file (Documents sheet)",IF(AND(AS287=3,NOT(ISNUMBER(Flights!$AX$13))),"INVALID – enter carrying flight KUL departure (Flights AX)",IF(AND(AS287=3,OR(Flights!$AZ$13&gt;Flights!$AA$13,Flights!$AX$13&lt;Flights!$AA$13-3)),"INVALID – carrying flight (Flights AX) cannot arrive before this leg's STD, or is over 3 days early",IF(AG287&gt;AsOfUTC,"INVALID – completion time is in the future",IF(AND(ISNUMBER(BY287),AG287&lt;BY287),IF(H287="Physical uplift","INVALID – before uplift window (cannot confirm loading)","INVALID – before valid window"),IF(AG287&gt;Flights!$AA$13,"INVALID – completed after departure (cannot establish readiness)",IF(AND(H287="Preparation",AG287&gt;=IF(ISNUMBER(Flights!$BA$13),MIN(Flights!$BA$13,Flights!$AA$13),Flights!$AA$13)),"INVALID – completed after loading / departure (cannot establish readiness)",IF(AND(H287="Physical uplift",AG287&gt;Q287),"INVALID – recorded after the loading flight departed",IF(AG287&gt;Q287,"COMPLETE – LATE","COMPLETE"))))))))))))))))))))))))),IF(TRIM(U287)="Fail","FAIL – DISCREPANCY",IF(AND(TRIM(U287)&lt;&gt;"",TRIM(U287)&lt;&gt;"Not started",TRIM(U287)&lt;&gt;"In progress"),"INVALID – unrecognised status (use the list)",IF(AsOfUTC&gt;Q287,"OVERDUE",IF(N287="Clarification required","OPEN – CLARIFICATION","OPEN"))))))),"INVALID – error value in an input cell")</f>
        <v>OPEN</v>
      </c>
      <c r="AI287" s="61" t="n">
        <f aca="false">IF(OR(AH287="N/A – RULE",AH287="N/A – JUSTIFIED"),0,1)</f>
        <v>1</v>
      </c>
      <c r="AJ287" s="61" t="n">
        <f aca="false">IF(LEFT(AH287,8)="COMPLETE",1,0)</f>
        <v>0</v>
      </c>
      <c r="AK287" s="61" t="n">
        <f aca="false">IF(AND(AI287=1,AJ287=0,AsOfUTC&gt;Q287),1,0)</f>
        <v>0</v>
      </c>
      <c r="AL287" s="61" t="n">
        <f aca="false">IFERROR(IF(AND(AI287=1,OR(TRIM(U287)="Fail",AND(TRIM(AB287)&lt;&gt;"",TRIM(AB287)&lt;&gt;"Closed"),AND(ISNUMBER(AF287),AF287&lt;&gt;0,TRIM(U287)&lt;&gt;"Pass after CA"))),1,0),1)</f>
        <v>0</v>
      </c>
      <c r="AM287" s="61" t="n">
        <f aca="false">IF(LEFT(AH287,7)="INVALID",1,0)</f>
        <v>0</v>
      </c>
      <c r="AN287" s="61" t="n">
        <f aca="false">IF(AND(N287="Clarification required",AI287=1,AJ287=0),1,0)</f>
        <v>0</v>
      </c>
      <c r="AO287" s="61" t="str">
        <f aca="false">IF(AK287=1,SUM(AK$5:AK287),"")</f>
        <v/>
      </c>
      <c r="AP287" s="61" t="str">
        <f aca="false">IF(AL287=1,SUM(AL$5:AL287),"")</f>
        <v/>
      </c>
      <c r="AQ287" s="61" t="n">
        <v>0</v>
      </c>
      <c r="AR287" s="61" t="n">
        <v>0</v>
      </c>
      <c r="AS287" s="61" t="n">
        <v>0</v>
      </c>
      <c r="AT287" s="61" t="n">
        <v>0</v>
      </c>
      <c r="AU287" s="61" t="str">
        <f aca="false">SUBSTITUTE(SUBSTITUTE(SUBSTITUTE(SUBSTITUTE(SUBSTITUTE(SUBSTITUTE(SUBSTITUTE(SUBSTITUTE(SUBSTITUTE(SUBSTITUTE(SUBSTITUTE(SUBSTITUTE(SUBSTITUTE(SUBSTITUTE(SUBSTITUTE(SUBSTITUTE(LOWER(T287&amp;""),CHAR(10),""),CHAR(13),""),CHAR(9),""),CHAR(160),"")," ",""),".",""),"-",""),"/",""),"?",""),"_",""),",",""),"[",""),"]",""),"(",""),")",""),"*","")</f>
        <v/>
      </c>
      <c r="AV287" s="61" t="str">
        <f aca="false">SUBSTITUTE(SUBSTITUTE(SUBSTITUTE(SUBSTITUTE(SUBSTITUTE(SUBSTITUTE(SUBSTITUTE(SUBSTITUTE(SUBSTITUTE(SUBSTITUTE(SUBSTITUTE(SUBSTITUTE(SUBSTITUTE(SUBSTITUTE(SUBSTITUTE(SUBSTITUTE(LOWER(V287&amp;""),CHAR(10),""),CHAR(13),""),CHAR(9),""),CHAR(160),"")," ",""),".",""),"-",""),"/",""),"?",""),"_",""),",",""),"[",""),"]",""),"(",""),")",""),"*","")</f>
        <v/>
      </c>
      <c r="AW287" s="61" t="str">
        <f aca="false">SUBSTITUTE(SUBSTITUTE(SUBSTITUTE(SUBSTITUTE(SUBSTITUTE(SUBSTITUTE(SUBSTITUTE(SUBSTITUTE(SUBSTITUTE(SUBSTITUTE(SUBSTITUTE(SUBSTITUTE(SUBSTITUTE(SUBSTITUTE(SUBSTITUTE(SUBSTITUTE(LOWER(Z287&amp;""),CHAR(10),""),CHAR(13),""),CHAR(9),""),CHAR(160),"")," ",""),".",""),"-",""),"/",""),"?",""),"_",""),",",""),"[",""),"]",""),"(",""),")",""),"*","")</f>
        <v/>
      </c>
      <c r="AX287" s="61" t="str">
        <f aca="false">SUBSTITUTE(SUBSTITUTE(SUBSTITUTE(SUBSTITUTE(SUBSTITUTE(SUBSTITUTE(SUBSTITUTE(SUBSTITUTE(SUBSTITUTE(SUBSTITUTE(SUBSTITUTE(SUBSTITUTE(SUBSTITUTE(SUBSTITUTE(SUBSTITUTE(SUBSTITUTE(LOWER(AE287&amp;""),CHAR(10),""),CHAR(13),""),CHAR(9),""),CHAR(160),"")," ",""),".",""),"-",""),"/",""),"?",""),"_",""),",",""),"[",""),"]",""),"(",""),")",""),"*","")</f>
        <v/>
      </c>
      <c r="AY287" s="61" t="str">
        <f aca="false">SUBSTITUTE(SUBSTITUTE(SUBSTITUTE(SUBSTITUTE(SUBSTITUTE(SUBSTITUTE(SUBSTITUTE(SUBSTITUTE(SUBSTITUTE(SUBSTITUTE(SUBSTITUTE(SUBSTITUTE(SUBSTITUTE(SUBSTITUTE(SUBSTITUTE(SUBSTITUTE(LOWER(W287&amp;""),CHAR(10),""),CHAR(13),""),CHAR(9),""),CHAR(160),"")," ",""),".",""),"-",""),"/",""),"?",""),"_",""),",",""),"[",""),"]",""),"(",""),")",""),"*","")</f>
        <v/>
      </c>
      <c r="AZ287" s="61" t="str">
        <f aca="false">SUBSTITUTE(SUBSTITUTE(SUBSTITUTE(SUBSTITUTE(SUBSTITUTE(SUBSTITUTE(SUBSTITUTE(SUBSTITUTE(SUBSTITUTE(SUBSTITUTE(SUBSTITUTE(SUBSTITUTE(SUBSTITUTE(SUBSTITUTE(SUBSTITUTE(SUBSTITUTE(LOWER(AC287&amp;""),CHAR(10),""),CHAR(13),""),CHAR(9),""),CHAR(160),"")," ",""),".",""),"-",""),"/",""),"?",""),"_",""),",",""),"[",""),"]",""),"(",""),")",""),"*","")</f>
        <v/>
      </c>
      <c r="BA287" s="61" t="str">
        <f aca="false">SUBSTITUTE(SUBSTITUTE(SUBSTITUTE(SUBSTITUTE(SUBSTITUTE(SUBSTITUTE(SUBSTITUTE(SUBSTITUTE(SUBSTITUTE(SUBSTITUTE(SUBSTITUTE(SUBSTITUTE(SUBSTITUTE(SUBSTITUTE(SUBSTITUTE(SUBSTITUTE(LOWER(AA287&amp;""),CHAR(10),""),CHAR(13),""),CHAR(9),""),CHAR(160),"")," ",""),".",""),"-",""),"/",""),"?",""),"_",""),",",""),"[",""),"]",""),"(",""),")",""),"*","")</f>
        <v/>
      </c>
      <c r="BB287" s="61" t="str">
        <f aca="false">IF(AND(TRIM(U287)="Pass",ISNUMBER(AF287)),IF(AF287&lt;&gt;0,"INVALID – qty variance: use Fail or Pass after CA",""),"")&amp;IF(AND(TRIM(U287)="Pass after CA",ISNUMBER(AF287)),IF(AF287&lt;&gt;0,"INVALID – after the corrective action the actual qty must equal expected (update Actual)",""),"")&amp;IF(AND(TRIM(U287)="Pass",TRIM(AB287)&lt;&gt;"",TRIM(AB287)&lt;&gt;"Closed"),"INVALID – corrective action not closed: use Fail, then Pass after CA","")&amp;IF(AND(LEN(BA287)&gt;=2,ISNA(MATCH(LEFT(BA287,255),L_Placeholder,0)),TRIM(AB287)=""),"INVALID – CA status missing for the recorded corrective action","")&amp;IF(AND(TRIM(U287)="Pass after CA",OR(OR(LEN(BA287)&lt;5,ISNUMBER(MATCH(BA287,L_Placeholder,0))),TRIM(AB287)&lt;&gt;"Closed")),"INVALID – corrective action not recorded/closed","")</f>
        <v/>
      </c>
      <c r="BC287" s="61" t="str">
        <f aca="false">" "&amp;TRIM(SUBSTITUTE(SUBSTITUTE(SUBSTITUTE(SUBSTITUTE(SUBSTITUTE(SUBSTITUTE(SUBSTITUTE(SUBSTITUTE(SUBSTITUTE(SUBSTITUTE(SUBSTITUTE(SUBSTITUTE(SUBSTITUTE(SUBSTITUTE(SUBSTITUTE(SUBSTITUTE(SUBSTITUTE(SUBSTITUTE(SUBSTITUTE(SUBSTITUTE(SUBSTITUTE(SUBSTITUTE(SUBSTITUTE(SUBSTITUTE(LOWER(V287&amp;""),CHAR(10)," "),CHAR(13)," "),CHAR(9)," "),CHAR(160)," "),"."," "),","," "),"-"," "),"/"," "),"("," "),")"," "),":"," "),";"," "),"_"," "),"–"," "),"?"," "),"!"," "),"*"," "),"["," "),"]"," "),"'"," "),"#"," "),"+"," "),"&amp;"," "),"\"," "))&amp;" "</f>
        <v>  </v>
      </c>
      <c r="BD287" s="61" t="str">
        <f aca="false">" "&amp;TRIM(SUBSTITUTE(SUBSTITUTE(SUBSTITUTE(SUBSTITUTE(SUBSTITUTE(SUBSTITUTE(SUBSTITUTE(SUBSTITUTE(SUBSTITUTE(SUBSTITUTE(SUBSTITUTE(SUBSTITUTE(SUBSTITUTE(SUBSTITUTE(SUBSTITUTE(SUBSTITUTE(SUBSTITUTE(SUBSTITUTE(SUBSTITUTE(SUBSTITUTE(SUBSTITUTE(SUBSTITUTE(SUBSTITUTE(SUBSTITUTE(LOWER(Z287&amp;""),CHAR(10)," "),CHAR(13)," "),CHAR(9)," "),CHAR(160)," "),"."," "),","," "),"-"," "),"/"," "),"("," "),")"," "),":"," "),";"," "),"_"," "),"–"," "),"?"," "),"!"," "),"*"," "),"["," "),"]"," "),"'"," "),"#"," "),"+"," "),"&amp;"," "),"\"," "))&amp;" "</f>
        <v>  </v>
      </c>
      <c r="BE287" s="61" t="str">
        <f aca="false">" "&amp;TRIM(SUBSTITUTE(SUBSTITUTE(SUBSTITUTE(SUBSTITUTE(SUBSTITUTE(SUBSTITUTE(SUBSTITUTE(SUBSTITUTE(SUBSTITUTE(SUBSTITUTE(SUBSTITUTE(SUBSTITUTE(SUBSTITUTE(SUBSTITUTE(SUBSTITUTE(SUBSTITUTE(SUBSTITUTE(SUBSTITUTE(SUBSTITUTE(SUBSTITUTE(SUBSTITUTE(SUBSTITUTE(SUBSTITUTE(SUBSTITUTE(LOWER(W287&amp;""),CHAR(10)," "),CHAR(13)," "),CHAR(9)," "),CHAR(160)," "),"."," "),","," "),"-"," "),"/"," "),"("," "),")"," "),":"," "),";"," "),"_"," "),"–"," "),"?"," "),"!"," "),"*"," "),"["," "),"]"," "),"'"," "),"#"," "),"+"," "),"&amp;"," "),"\"," "))&amp;" "</f>
        <v>  </v>
      </c>
      <c r="BF287" s="61" t="str">
        <f aca="false">" "&amp;TRIM(SUBSTITUTE(SUBSTITUTE(SUBSTITUTE(SUBSTITUTE(SUBSTITUTE(SUBSTITUTE(SUBSTITUTE(SUBSTITUTE(SUBSTITUTE(SUBSTITUTE(SUBSTITUTE(SUBSTITUTE(SUBSTITUTE(SUBSTITUTE(SUBSTITUTE(SUBSTITUTE(SUBSTITUTE(SUBSTITUTE(SUBSTITUTE(SUBSTITUTE(SUBSTITUTE(SUBSTITUTE(SUBSTITUTE(SUBSTITUTE(LOWER(AC287&amp;""),CHAR(10)," "),CHAR(13)," "),CHAR(9)," "),CHAR(160)," "),"."," "),","," "),"-"," "),"/"," "),"("," "),")"," "),":"," "),";"," "),"_"," "),"–"," "),"?"," "),"!"," "),"*"," "),"["," "),"]"," "),"'"," "),"#"," "),"+"," "),"&amp;"," "),"\"," "))&amp;" "</f>
        <v>  </v>
      </c>
      <c r="BG287" s="61" t="n">
        <f aca="false">IFERROR(IF(AND(TRIM(U287)="Pass",SUMPRODUCT((LEN(BC287)-LEN(SUBSTITUTE(BC287," "&amp;L_ResultBad&amp;" "," ")))/(LEN(L_ResultBad)+1))&gt;SUMPRODUCT((LEN(BC287)-LEN(SUBSTITUTE(BC287," "&amp;L_NegPhrase&amp;" "," ")))/(LEN(L_NegPhrase)+1))),1,0),0)</f>
        <v>0</v>
      </c>
      <c r="BH287" s="61" t="n">
        <f aca="false">IFERROR(IF(SUMPRODUCT((LEN(BC287)-LEN(SUBSTITUTE(BC287," "&amp;L_Pending&amp;" "," ")))/(LEN(L_Pending)+1))&gt;SUMPRODUCT((LEN(BC287)-LEN(SUBSTITUTE(BC287," "&amp;L_PendNeg&amp;" "," ")))/(LEN(L_PendNeg)+1))+SUMPRODUCT((LEN(BC287)-LEN(SUBSTITUTE(BC287," "&amp;L_PendPrep&amp;" "," ")))/(LEN(L_PendPrep)+1)),1,0),1)</f>
        <v>0</v>
      </c>
      <c r="BI287" s="61" t="n">
        <f aca="false">IFERROR(IF(SUMPRODUCT((LEN(BD287)-LEN(SUBSTITUTE(BD287," "&amp;L_PendStrict&amp;" "," ")))/(LEN(L_PendStrict)+1))&gt;SUMPRODUCT((LEN(BD287)-LEN(SUBSTITUTE(BD287," "&amp;L_PendNeg&amp;" "," ")))/(LEN(L_PendNeg)+1)),1,0),1)</f>
        <v>0</v>
      </c>
      <c r="BJ287" s="61" t="n">
        <f aca="false">IFERROR(IF(SUMPRODUCT((LEN(BE287)-LEN(SUBSTITUTE(BE287," "&amp;L_Pending&amp;" "," ")))/(LEN(L_Pending)+1))&gt;SUMPRODUCT((LEN(BE287)-LEN(SUBSTITUTE(BE287," "&amp;L_PendNeg&amp;" "," ")))/(LEN(L_PendNeg)+1))+SUMPRODUCT((LEN(BE287)-LEN(SUBSTITUTE(BE287," "&amp;L_PendPrep&amp;" "," ")))/(LEN(L_PendPrep)+1)),1,0),1)</f>
        <v>0</v>
      </c>
      <c r="BK287" s="61" t="n">
        <f aca="false">IFERROR(IF(SUMPRODUCT((LEN(BF287)-LEN(SUBSTITUTE(BF287," "&amp;L_PendStrict&amp;" "," ")))/(LEN(L_PendStrict)+1))&gt;SUMPRODUCT((LEN(BF287)-LEN(SUBSTITUTE(BF287," "&amp;L_PendNeg&amp;" "," ")))/(LEN(L_PendNeg)+1)),1,0),1)</f>
        <v>0</v>
      </c>
      <c r="BL287" s="61" t="n">
        <f aca="false">IF(ISNA(MATCH(TRIM(S287),L_EvidenceType,0)),0,BZ287)</f>
        <v>0</v>
      </c>
      <c r="BM287" s="61" t="str">
        <f aca="false">SUBSTITUTE(SUBSTITUTE(SUBSTITUTE(SUBSTITUTE(SUBSTITUTE(SUBSTITUTE(SUBSTITUTE(SUBSTITUTE(SUBSTITUTE(LOWER(Z287&amp;""),"1","0"),"2","0"),"3","0"),"4","0"),"5","0"),"6","0"),"7","0"),"8","0"),"9","0")</f>
        <v/>
      </c>
      <c r="BN287" s="61" t="str">
        <f aca="false">SUBSTITUTE(SUBSTITUTE(SUBSTITUTE(SUBSTITUTE(SUBSTITUTE(SUBSTITUTE(SUBSTITUTE(SUBSTITUTE(SUBSTITUTE(SUBSTITUTE(SUBSTITUTE(SUBSTITUTE(SUBSTITUTE(SUBSTITUTE(SUBSTITUTE(SUBSTITUTE(SUBSTITUTE(SUBSTITUTE(SUBSTITUTE(SUBSTITUTE(SUBSTITUTE(SUBSTITUTE(SUBSTITUTE(SUBSTITUTE(SUBSTITUTE(BM287,"b","a"),"c","a"),"d","a"),"e","a"),"f","a"),"g","a"),"h","a"),"i","a"),"j","a"),"k","a"),"l","a"),"m","a"),"n","a"),"o","a"),"p","a"),"q","a"),"r","a"),"s","a"),"t","a"),"u","a"),"v","a"),"w","a"),"x","a"),"y","a"),"z","a")</f>
        <v/>
      </c>
      <c r="BO287" s="61" t="str">
        <f aca="false">SUBSTITUTE(SUBSTITUTE(SUBSTITUTE(SUBSTITUTE(SUBSTITUTE(SUBSTITUTE(SUBSTITUTE(SUBSTITUTE(SUBSTITUTE(LOWER(W287&amp;""),"1","0"),"2","0"),"3","0"),"4","0"),"5","0"),"6","0"),"7","0"),"8","0"),"9","0")</f>
        <v/>
      </c>
      <c r="BP287" s="61" t="str">
        <f aca="false">SUBSTITUTE(SUBSTITUTE(SUBSTITUTE(SUBSTITUTE(SUBSTITUTE(SUBSTITUTE(SUBSTITUTE(SUBSTITUTE(SUBSTITUTE(SUBSTITUTE(SUBSTITUTE(SUBSTITUTE(SUBSTITUTE(SUBSTITUTE(SUBSTITUTE(SUBSTITUTE(SUBSTITUTE(SUBSTITUTE(SUBSTITUTE(SUBSTITUTE(SUBSTITUTE(SUBSTITUTE(SUBSTITUTE(SUBSTITUTE(SUBSTITUTE(BO287,"b","a"),"c","a"),"d","a"),"e","a"),"f","a"),"g","a"),"h","a"),"i","a"),"j","a"),"k","a"),"l","a"),"m","a"),"n","a"),"o","a"),"p","a"),"q","a"),"r","a"),"s","a"),"t","a"),"u","a"),"v","a"),"w","a"),"x","a"),"y","a"),"z","a")</f>
        <v/>
      </c>
      <c r="BQ287" s="61" t="n">
        <f aca="false">IFERROR(IF(AND(ISERROR(SEARCH(" mh"," "&amp;LOWER(W287))),ISNA(MATCH(LEFT(TRIM(BP287),255),{"0000a","000a","00a","0000aa","000aa","00aa","0aa","0000aaa","000aaa","00a00","0a00","0000-0000","00:00","a00","a0","00.00.0000","00/00/0000","00-00-0000","0000-00-00","0000/00/00","0000.00.00","00.00.00","00/00/00","00-00-00","0.00.0000","0/00/0000","0-00-0000"},0)),ISNA(MATCH(LEFT(TRIM(CA287),255),{"0000a","000a","00a","0000aa","000aa","00aa","0aa","0000aaa","000aaa","00a00","0a00","0000-0000","00:00","a00","a0","00.00.0000","00/00/0000","00-00-0000","0000-00-00","0000/00/00","0000.00.00","00.00.00","00/00/00","00-00-00","0.00.0000","0/00/0000","0-00-0000"},0)),LEN(CB287)&gt;=3,NOT(OR(SUBSTITUTE(CB287,"0","")="",AND(LEN(CB287)&gt;=4,CB287=REPT(LEFT(CB287),LEN(CB287))),ISNUMBER(MATCH(CB287,{"123","1234","12345","123456","1234567","12345678","0123","01234","012345","98765","987654","54321"},0)),AND(LEN(CB287)=8,LEFT(CB287,3)="202"))),OR(AND((LEN(CA287)-LEN(SUBSTITUTE(CA287,"a","")))&gt;=1,SUMPRODUCT(--ISNUMBER(SEARCH({"a0","a-0","a_0","a/0","a.0","a#0","0a","0-a","0_a","0/a"},BP287)))&gt;0),ISNUMBER(SEARCH("000000",BP287)))),1,0),0)</f>
        <v>0</v>
      </c>
      <c r="BR287" s="61" t="n">
        <f aca="false">IFERROR(LEN(SUBSTITUTE(CC287," ",""))-SUMPRODUCT((LEN(CC287)-LEN(SUBSTITUTE(CC287," "&amp;L_Role&amp;" "," ")))/(LEN(L_Role)+1)*LEN(L_Role)),0)</f>
        <v>0</v>
      </c>
      <c r="BS287" s="61" t="n">
        <f aca="false">IFERROR(LEN(SUBSTITUTE(CD287," ",""))-SUMPRODUCT((LEN(CD287)-LEN(SUBSTITUTE(CD287," "&amp;L_Role&amp;" "," ")))/(LEN(L_Role)+1)*LEN(L_Role)),0)</f>
        <v>0</v>
      </c>
      <c r="BT2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287,"revision",""),"version",""),"jan",""),"feb",""),"mar",""),"apr",""),"may",""),"jun",""),"jul",""),"aug",""),"sep",""),"oct",""),"nov",""),"dec",""),"utc",""),"gmt",""),"myt",""),"bst",""),"rev",""),"ver",""),"b","a"),"c","a"),"d","a"),"e","a"),"f","a"),"g","a"),"h","a"),"i","a"),"j","a"),"k","a"),"l","a"),"m","a"),"n","a"),"o","a"),"p","a"),"q","a"),"r","a"),"s","a"),"t","a"),"u","a"),"v","a"),"w","a"),"x","a"),"y","a"),"z","a")</f>
        <v/>
      </c>
      <c r="BU287" s="61" t="str">
        <f aca="false">SUBSTITUTE(SUBSTITUTE(SUBSTITUTE(SUBSTITUTE(SUBSTITUTE(SUBSTITUTE(SUBSTITUTE(SUBSTITUTE(SUBSTITUTE(SUBSTITUTE(LEFT(BM287,FIND("0",BM287&amp;"0")-1),"-",""),"_",""),"/",""),".",""),"#",""),"\\",""),":","")," ",""),"(",""),")","")</f>
        <v/>
      </c>
      <c r="BV287" s="61" t="n">
        <f aca="false">0</f>
        <v>0</v>
      </c>
      <c r="BW2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287&amp;""),"a",""),"b",""),"c",""),"d",""),"e",""),"f",""),"g",""),"h",""),"i",""),"j",""),"k",""),"l",""),"m",""),"n",""),"o",""),"p",""),"q",""),"r",""),"s",""),"t",""),"u",""),"v",""),"w",""),"x",""),"y",""),"z",""),"-",""),"_",""),"/",""),".",""),"#",""),"\\",""),":","")," ",""),"(",""),")","")</f>
        <v/>
      </c>
      <c r="BX287" s="61" t="str">
        <f aca="false">SUBSTITUTE(SUBSTITUTE(SUBSTITUTE(SUBSTITUTE(SUBSTITUTE(SUBSTITUTE(SUBSTITUTE(SUBSTITUTE(SUBSTITUTE(SUBSTITUTE(SUBSTITUTE(BM287,"0",""),"-",""),"_",""),"/",""),".",""),"#",""),"\\",""),":","")," ",""),"(",""),")","")</f>
        <v/>
      </c>
      <c r="BY287" s="62" t="n">
        <f aca="false">Q287-T7EarlyD*24/24</f>
        <v>46285.2534722222</v>
      </c>
      <c r="BZ287" s="61" t="n">
        <f aca="false">IFERROR(IF(IF(TRIM(S287)="Link / file path",AND(LEN(TRIM(Z287))&gt;=5,SUMPRODUCT(--ISNUMBER(SEARCH({"http","www.","\\",":\",".pdf",".jpg",".jpeg",".png",".heic",".xls",".doc",".msg",".eml",".ppt",".txt",".zip"},Z287)))&gt;0),AND(ISERROR(FIND(" ",TRIM(Z287))),NOT(OR(SUMPRODUCT(--ISNUMBER(FIND({",",";","&amp;","+"},Z287)))&gt;0,SUMPRODUCT(--ISNUMBER(SEARCH({"0/aa","0\\aa"},BN287)))&gt;0)),NOT(SUMPRODUCT(--ISNUMBER(SEARCH({"http","www.","\\",":\",".pdf",".jpg",".jpeg",".png",".heic",".xls",".doc",".msg",".eml",".ppt",".txt",".zip"},Z287)))&gt;0),NOT(LOWER(TRIM(Z287))=LOWER(Flights!$F$13)),ISNA(MATCH(BU287,{"mh","rev","revision","ver","version","v","r","a","b","seat","tray","row","gate","bay","stand","page","pg","item","line","no","cart","galley","flight","flt","table","box","bag","oven","etd","eta","std","sta","atd","ata","qty","pax","x","time","tel","ph","mob","day","wk","week","utc","gmt","myt","lt"},0)),NOT(OR(ISNUMBER(MATCH(LEFT(BN287,255),{"0000a","000a","00a","0000aa","000aa","00aa","0aa","0000aaa","000aaa","00a00","0a00","0000-0000","00:00","a00","a0","00.00.0000","00/00/0000","00-00-0000","0000-00-00","0000/00/00","0000.00.00","00.00.00","00/00/00","00-00-00","0.00.0000","0/00/0000","0-00-0000"},0)),ISNUMBER(MATCH(LEFT(BT287,255),{"0000a","000a","00a","0000aa","000aa","00aa","0aa","0000aaa","000aaa","00a00","0a00","0000-0000","00:00","a00","a0","00.00.0000","00/00/0000","00-00-0000","0000-00-00","0000/00/00","0000.00.00","00.00.00","00/00/00","00-00-00","0.00.0000","0/00/0000","0-00-0000"},0)))),NOT(OR(AND(BW287&lt;&gt;"",SUBSTITUTE(BW287,"0","")=""),AND(LEN(BW287)&gt;=4,BW287=REPT(LEFT(BW287),LEN(BW287))),ISNUMBER(MATCH(BW287,{"123","1234","12345","123456","1234567","12345678","0123","01234","012345","98765","987654","54321"},0)),ISNUMBER(MATCH(BX287,{"x","xx","xxx","xxxx","xxxxx","abc","abcd","nil","na","nan","test","tbc","tba","tbd","dummy","sample","example","eg","zz","zzz","none","null","xyz","qwe","asd","id","ref"},0)),AND(LEN(BW287)=8,BX287="",OR(LEFT(BW287,3)="202",ISNUMBER(MATCH(RIGHT(BW287,4),{"2025","2026","2027"},0)))))),OR(AND((LEN(BT287)-LEN(SUBSTITUTE(BT287,"a","")))&gt;=1,(LEN(BN287)-LEN(SUBSTITUTE(BN287,"0","")))&gt;=2,SUMPRODUCT(--ISNUMBER(SEARCH({"a0","a-0","a_0","a/0","a.0","a#0","0a","0-a","0_a","0/a"},BN287)))&gt;0),AND((LEN(BN287)-LEN(SUBSTITUTE(BN287,"a","")))=0,(LEN(BN287)-LEN(SUBSTITUTE(BN287,"0","")))&gt;=5)))),1,0),0)</f>
        <v>0</v>
      </c>
      <c r="CA2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287,"revision",""),"version",""),"jan",""),"feb",""),"mar",""),"apr",""),"may",""),"jun",""),"jul",""),"aug",""),"sep",""),"oct",""),"nov",""),"dec",""),"utc",""),"gmt",""),"myt",""),"bst",""),"rev",""),"ver",""),"b","a"),"c","a"),"d","a"),"e","a"),"f","a"),"g","a"),"h","a"),"i","a"),"j","a"),"k","a"),"l","a"),"m","a"),"n","a"),"o","a"),"p","a"),"q","a"),"r","a"),"s","a"),"t","a"),"u","a"),"v","a"),"w","a"),"x","a"),"y","a"),"z","a")</f>
        <v/>
      </c>
      <c r="CB2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287&amp;""),"a",""),"b",""),"c",""),"d",""),"e",""),"f",""),"g",""),"h",""),"i",""),"j",""),"k",""),"l",""),"m",""),"n",""),"o",""),"p",""),"q",""),"r",""),"s",""),"t",""),"u",""),"v",""),"w",""),"x",""),"y",""),"z",""),"-",""),"_",""),"/",""),".",""),"#",""),"\\",""),":","")," ",""),"(",""),")","")</f>
        <v/>
      </c>
      <c r="CC287" s="0" t="str">
        <f aca="false">" "&amp;TRIM(SUBSTITUTE(SUBSTITUTE(SUBSTITUTE(SUBSTITUTE(SUBSTITUTE(SUBSTITUTE(SUBSTITUTE(SUBSTITUTE(SUBSTITUTE(SUBSTITUTE(SUBSTITUTE(SUBSTITUTE(SUBSTITUTE(SUBSTITUTE(SUBSTITUTE(SUBSTITUTE(SUBSTITUTE(SUBSTITUTE(SUBSTITUTE(SUBSTITUTE(SUBSTITUTE(SUBSTITUTE(SUBSTITUTE(SUBSTITUTE(LOWER(T287&amp;""),CHAR(10)," "),CHAR(13)," "),CHAR(9)," "),CHAR(160)," "),"."," "),","," "),"-"," "),"/"," "),"("," "),")"," "),":"," "),";"," "),"_"," "),"–"," "),"?"," "),"!"," "),"*"," "),"["," "),"]"," "),"'"," "),"#"," "),"+"," "),"&amp;"," "),"\"," "))&amp;" "</f>
        <v>  </v>
      </c>
      <c r="CD287" s="0" t="str">
        <f aca="false">" "&amp;TRIM(SUBSTITUTE(SUBSTITUTE(SUBSTITUTE(SUBSTITUTE(SUBSTITUTE(SUBSTITUTE(SUBSTITUTE(SUBSTITUTE(SUBSTITUTE(SUBSTITUTE(SUBSTITUTE(SUBSTITUTE(SUBSTITUTE(SUBSTITUTE(SUBSTITUTE(SUBSTITUTE(SUBSTITUTE(SUBSTITUTE(SUBSTITUTE(SUBSTITUTE(SUBSTITUTE(SUBSTITUTE(SUBSTITUTE(SUBSTITUTE(LOWER(AE287&amp;""),CHAR(10)," "),CHAR(13)," "),CHAR(9)," "),CHAR(160)," "),"."," "),","," "),"-"," "),"/"," "),"("," "),")"," "),":"," "),";"," "),"_"," "),"–"," "),"?"," "),"!"," "),"*"," "),"["," "),"]"," "),"'"," "),"#"," "),"+"," "),"&amp;"," "),"\"," "))&amp;" "</f>
        <v>  </v>
      </c>
      <c r="CE287" s="68" t="n">
        <f aca="false">IFERROR(IF(AND(LEN(AU287)&gt;0,LEN(AU287)=LEN(AX287),OR(TRIM(MID(SUBSTITUTE(TRIM(CC287)," ",REPT(" ",60)),1,60))="",ISNUMBER(SEARCH(" "&amp;TRIM(MID(SUBSTITUTE(TRIM(CC287)," ",REPT(" ",60)),1,60))&amp;" ",CD287))),OR(TRIM(MID(SUBSTITUTE(TRIM(CC287)," ",REPT(" ",60)),61,60))="",ISNUMBER(SEARCH(" "&amp;TRIM(MID(SUBSTITUTE(TRIM(CC287)," ",REPT(" ",60)),61,60))&amp;" ",CD287))),OR(TRIM(MID(SUBSTITUTE(TRIM(CC287)," ",REPT(" ",60)),121,60))="",ISNUMBER(SEARCH(" "&amp;TRIM(MID(SUBSTITUTE(TRIM(CC287)," ",REPT(" ",60)),121,60))&amp;" ",CD287)))),1,0),0)</f>
        <v>0</v>
      </c>
      <c r="CG287" s="68" t="n">
        <f aca="false">IFERROR(LEN(SUBSTITUTE(BF287," ",""))-SUMPRODUCT((LEN(BF287)-LEN(SUBSTITUTE(BF287," "&amp;L_NAFiller&amp;" "," ")))/(LEN(L_NAFiller)+1)*LEN(L_NAFiller)),0)</f>
        <v>0</v>
      </c>
    </row>
    <row r="288" customFormat="false" ht="39.75" hidden="false" customHeight="true" outlineLevel="0" collapsed="false">
      <c r="A288" s="57" t="s">
        <v>862</v>
      </c>
      <c r="B288" s="57" t="s">
        <v>246</v>
      </c>
      <c r="C288" s="57" t="str">
        <f aca="false">Flights!$F$13</f>
        <v>MH0753</v>
      </c>
      <c r="D288" s="58" t="n">
        <f aca="false">Flights!$D$13</f>
        <v>46306</v>
      </c>
      <c r="E288" s="57" t="str">
        <f aca="false">Flights!$G$13&amp;"-"&amp;Flights!$H$13</f>
        <v>HAN-KUL</v>
      </c>
      <c r="F288" s="57" t="str">
        <f aca="false">Flights!$K$13</f>
        <v>BC</v>
      </c>
      <c r="G288" s="57" t="s">
        <v>81</v>
      </c>
      <c r="H288" s="57" t="s">
        <v>378</v>
      </c>
      <c r="I288" s="57" t="s">
        <v>398</v>
      </c>
      <c r="J288" s="57" t="s">
        <v>402</v>
      </c>
      <c r="K288" s="67" t="s">
        <v>403</v>
      </c>
      <c r="L288" s="67" t="s">
        <v>382</v>
      </c>
      <c r="M288" s="67"/>
      <c r="N288" s="67" t="s">
        <v>383</v>
      </c>
      <c r="O288" s="67"/>
      <c r="P288" s="57" t="s">
        <v>240</v>
      </c>
      <c r="Q288" s="59" t="n">
        <f aca="false">ROUND((Flights!$AC$13)*1440,0)/1440</f>
        <v>46299.2534722222</v>
      </c>
      <c r="R288" s="59" t="n">
        <f aca="false">Q288+(IF(AND(INDEX(TZ_DSTS,MATCH(P288,TZ_STN,0))&lt;&gt;"",Q288&gt;=INDEX(TZ_DSTS,MATCH(P288,TZ_STN,0)),Q288&lt;INDEX(TZ_DSTE,MATCH(P288,TZ_STN,0))),INDEX(TZ_DST,MATCH(P288,TZ_STN,0)),INDEX(TZ_STD,MATCH(P288,TZ_STN,0))))/24</f>
        <v>46299.5451388889</v>
      </c>
      <c r="S288" s="60"/>
      <c r="T288" s="60"/>
      <c r="U288" s="60"/>
      <c r="V288" s="60"/>
      <c r="W288" s="61"/>
      <c r="X288" s="60"/>
      <c r="Y288" s="60"/>
      <c r="Z288" s="60"/>
      <c r="AA288" s="60"/>
      <c r="AB288" s="60"/>
      <c r="AC288" s="60"/>
      <c r="AD288" s="66"/>
      <c r="AE288" s="60"/>
      <c r="AF288" s="61" t="str">
        <f aca="false">IF(AND(ISNUMBER(X288),ISNUMBER(Y288)),Y288-X288,"")</f>
        <v/>
      </c>
      <c r="AG288" s="62" t="str">
        <f aca="false">IF(ISNUMBER(AD288),AD288-(IF(AND(INDEX(TZ_DSTS,MATCH(P288,TZ_STN,0))&lt;&gt;"",(AD288-INDEX(TZ_STD,MATCH(P288,TZ_STN,0))/24)&gt;=INDEX(TZ_DSTS,MATCH(P288,TZ_STN,0)),(AD288-INDEX(TZ_STD,MATCH(P288,TZ_STN,0))/24)&lt;INDEX(TZ_DSTE,MATCH(P288,TZ_STN,0))),INDEX(TZ_DST,MATCH(P288,TZ_STN,0)),INDEX(TZ_STD,MATCH(P288,TZ_STN,0))))/24,"")</f>
        <v/>
      </c>
      <c r="AH288" s="65" t="str">
        <f aca="false">IFERROR(IF(N288="N/A – rule",IF(OR(TRIM(U288)="",TRIM(U288)="N/A",TRIM(U288)="Not started"),"N/A – RULE","INVALID – this check does not apply to this aircraft: clear the status (or correct the fleet on Flights)"),IF(TRIM(U288)="N/A",IF(AT288=0,"INVALID – N/A not permitted for this check",IF(AND(TRIM(AB288)&lt;&gt;"",TRIM(AB288)&lt;&gt;"Closed"),"INVALID – corrective action still open",IF(AND(NOT(OR(LEN(AZ288)&lt;15,ISNUMBER(MATCH(AZ288,L_Placeholder,0)))),BK288=0,CG288&gt;=8,NOT(OR(LEN(AU288)&lt;2,ISNUMBER(MATCH(AU288,L_Placeholder,0)))),BR288&gt;=3,NOT(OR(LEN(AX288)&lt;2,ISNUMBER(MATCH(AX288,L_Placeholder,0)))),BS288&gt;=3,TRIM(AE288)&lt;&gt;TRIM(T288),AX288&lt;&gt;AU288,CE288=0),"N/A – JUSTIFIED","INVALID – N/A needs a real, settled reason (not 'not applicable' / 'as above' / TBC), a named PIC and a different named verifier"))),IF(OR(TRIM(U288)="Pass",TRIM(U288)="Pass after CA"),IF(NOT(ISNUMBER(AD288)),"INVALID – completion time missing",IF(OR(OR(LEN(AU288)&lt;2,ISNUMBER(MATCH(AU288,L_Placeholder,0))),BR288&lt;3),"INVALID – PIC missing or not a named person (a role such as QA / CSM is not a name)",IF(OR(LEN(AV288)&lt;2,ISNUMBER(MATCH(AV288,L_Placeholder,0))),"INVALID – result / assessment missing",IF(OR(OR(LEN(AW288)&lt;3,ISNUMBER(MATCH(AW288,L_Placeholder,0))),SUMPRODUCT(--ISNUMBER(SEARCH(" "&amp;L_EvidencePhrase&amp;" ",BD288)))&gt;0,BI288=1),"INVALID – evidence missing, placeholder or not yet on file",IF(ISNA(MATCH(TRIM(S288),L_EvidenceType,0)),"INVALID – choose the evidence type from the list (column S)",IF(BL288=0,"INVALID – evidence ID must be the record's own ID only (e.g. SF-2210, IMG_2231, 1045521); a link / file name needs type 'Link / file path'",IF(OR(OR(LEN(AX288)&lt;2,ISNUMBER(MATCH(AX288,L_Placeholder,0))),BS288&lt;3),"INVALID – verifier missing or not a named person (a role such as QA / CSM is not a name)",IF(OR(AX288=AU288,CE288=1,AND(LEN(AU288)&gt;=4,ISNUMBER(SEARCH(AU288,AX288))),AND(LEN(AX288)&gt;=4,ISNUMBER(SEARCH(AX288,AU288)))),"INVALID – verifier must be a different, named person (not the PIC or a role)",IF(BH288=1,"INVALID – result not yet available (awaiting / TBC)",IF(BG288=1,"INVALID – result describes a problem: record Fail, then Pass after CA (or reword if it is not a problem)",IF(BV288=1,"INVALID – wording says not on board: an on-board confirmation needs the item loaded",IF(AND(AQ288=1,OR(OR(LEN(AY288)&lt;3,ISNUMBER(MATCH(AY288,L_Placeholder,0))),BJ288=1,BQ288=0)),"INVALID – batch ID missing, placeholder or not an ID (e.g. PASB-261008-BC-017)",IF(AND(AR288=1,OR(NOT(ISNUMBER(X288)),NOT(ISNUMBER(Y288)))),"INVALID – expected/actual qty missing",IF(AND(AR288=1,OR(X288&lt;=0,Y288&lt;0)),"INVALID – expected qty must be above 0 and actual not negative",IF(BB288&lt;&gt;"",BB288,IF(AND(AS288=1,Documents!$J$13&lt;&gt;"ON FILE"),"INVALID – GLD not on file (Documents sheet)",IF(AND(AS288=2,Documents!$O$13&lt;&gt;"ON FILE"),"INVALID – menu checklist not on file (Documents sheet)",IF(AND(AS288=3,NOT(ISNUMBER(Flights!$AX$13))),"INVALID – enter carrying flight KUL departure (Flights AX)",IF(AND(AS288=3,OR(Flights!$AZ$13&gt;Flights!$AA$13,Flights!$AX$13&lt;Flights!$AA$13-3)),"INVALID – carrying flight (Flights AX) cannot arrive before this leg's STD, or is over 3 days early",IF(AG288&gt;AsOfUTC,"INVALID – completion time is in the future",IF(AND(ISNUMBER(BY288),AG288&lt;BY288),IF(H288="Physical uplift","INVALID – before uplift window (cannot confirm loading)","INVALID – before valid window"),IF(AG288&gt;Flights!$AA$13,"INVALID – completed after departure (cannot establish readiness)",IF(AND(H288="Preparation",AG288&gt;=IF(ISNUMBER(Flights!$BA$13),MIN(Flights!$BA$13,Flights!$AA$13),Flights!$AA$13)),"INVALID – completed after loading / departure (cannot establish readiness)",IF(AND(H288="Physical uplift",AG288&gt;Q288),"INVALID – recorded after the loading flight departed",IF(AG288&gt;Q288,"COMPLETE – LATE","COMPLETE"))))))))))))))))))))))))),IF(TRIM(U288)="Fail","FAIL – DISCREPANCY",IF(AND(TRIM(U288)&lt;&gt;"",TRIM(U288)&lt;&gt;"Not started",TRIM(U288)&lt;&gt;"In progress"),"INVALID – unrecognised status (use the list)",IF(AsOfUTC&gt;Q288,"OVERDUE",IF(N288="Clarification required","OPEN – CLARIFICATION","OPEN"))))))),"INVALID – error value in an input cell")</f>
        <v>OPEN</v>
      </c>
      <c r="AI288" s="61" t="n">
        <f aca="false">IF(OR(AH288="N/A – RULE",AH288="N/A – JUSTIFIED"),0,1)</f>
        <v>1</v>
      </c>
      <c r="AJ288" s="61" t="n">
        <f aca="false">IF(LEFT(AH288,8)="COMPLETE",1,0)</f>
        <v>0</v>
      </c>
      <c r="AK288" s="61" t="n">
        <f aca="false">IF(AND(AI288=1,AJ288=0,AsOfUTC&gt;Q288),1,0)</f>
        <v>0</v>
      </c>
      <c r="AL288" s="61" t="n">
        <f aca="false">IFERROR(IF(AND(AI288=1,OR(TRIM(U288)="Fail",AND(TRIM(AB288)&lt;&gt;"",TRIM(AB288)&lt;&gt;"Closed"),AND(ISNUMBER(AF288),AF288&lt;&gt;0,TRIM(U288)&lt;&gt;"Pass after CA"))),1,0),1)</f>
        <v>0</v>
      </c>
      <c r="AM288" s="61" t="n">
        <f aca="false">IF(LEFT(AH288,7)="INVALID",1,0)</f>
        <v>0</v>
      </c>
      <c r="AN288" s="61" t="n">
        <f aca="false">IF(AND(N288="Clarification required",AI288=1,AJ288=0),1,0)</f>
        <v>0</v>
      </c>
      <c r="AO288" s="61" t="str">
        <f aca="false">IF(AK288=1,SUM(AK$5:AK288),"")</f>
        <v/>
      </c>
      <c r="AP288" s="61" t="str">
        <f aca="false">IF(AL288=1,SUM(AL$5:AL288),"")</f>
        <v/>
      </c>
      <c r="AQ288" s="61" t="n">
        <v>0</v>
      </c>
      <c r="AR288" s="61" t="n">
        <v>0</v>
      </c>
      <c r="AS288" s="61" t="n">
        <v>0</v>
      </c>
      <c r="AT288" s="61" t="n">
        <v>0</v>
      </c>
      <c r="AU288" s="61" t="str">
        <f aca="false">SUBSTITUTE(SUBSTITUTE(SUBSTITUTE(SUBSTITUTE(SUBSTITUTE(SUBSTITUTE(SUBSTITUTE(SUBSTITUTE(SUBSTITUTE(SUBSTITUTE(SUBSTITUTE(SUBSTITUTE(SUBSTITUTE(SUBSTITUTE(SUBSTITUTE(SUBSTITUTE(LOWER(T288&amp;""),CHAR(10),""),CHAR(13),""),CHAR(9),""),CHAR(160),"")," ",""),".",""),"-",""),"/",""),"?",""),"_",""),",",""),"[",""),"]",""),"(",""),")",""),"*","")</f>
        <v/>
      </c>
      <c r="AV288" s="61" t="str">
        <f aca="false">SUBSTITUTE(SUBSTITUTE(SUBSTITUTE(SUBSTITUTE(SUBSTITUTE(SUBSTITUTE(SUBSTITUTE(SUBSTITUTE(SUBSTITUTE(SUBSTITUTE(SUBSTITUTE(SUBSTITUTE(SUBSTITUTE(SUBSTITUTE(SUBSTITUTE(SUBSTITUTE(LOWER(V288&amp;""),CHAR(10),""),CHAR(13),""),CHAR(9),""),CHAR(160),"")," ",""),".",""),"-",""),"/",""),"?",""),"_",""),",",""),"[",""),"]",""),"(",""),")",""),"*","")</f>
        <v/>
      </c>
      <c r="AW288" s="61" t="str">
        <f aca="false">SUBSTITUTE(SUBSTITUTE(SUBSTITUTE(SUBSTITUTE(SUBSTITUTE(SUBSTITUTE(SUBSTITUTE(SUBSTITUTE(SUBSTITUTE(SUBSTITUTE(SUBSTITUTE(SUBSTITUTE(SUBSTITUTE(SUBSTITUTE(SUBSTITUTE(SUBSTITUTE(LOWER(Z288&amp;""),CHAR(10),""),CHAR(13),""),CHAR(9),""),CHAR(160),"")," ",""),".",""),"-",""),"/",""),"?",""),"_",""),",",""),"[",""),"]",""),"(",""),")",""),"*","")</f>
        <v/>
      </c>
      <c r="AX288" s="61" t="str">
        <f aca="false">SUBSTITUTE(SUBSTITUTE(SUBSTITUTE(SUBSTITUTE(SUBSTITUTE(SUBSTITUTE(SUBSTITUTE(SUBSTITUTE(SUBSTITUTE(SUBSTITUTE(SUBSTITUTE(SUBSTITUTE(SUBSTITUTE(SUBSTITUTE(SUBSTITUTE(SUBSTITUTE(LOWER(AE288&amp;""),CHAR(10),""),CHAR(13),""),CHAR(9),""),CHAR(160),"")," ",""),".",""),"-",""),"/",""),"?",""),"_",""),",",""),"[",""),"]",""),"(",""),")",""),"*","")</f>
        <v/>
      </c>
      <c r="AY288" s="61" t="str">
        <f aca="false">SUBSTITUTE(SUBSTITUTE(SUBSTITUTE(SUBSTITUTE(SUBSTITUTE(SUBSTITUTE(SUBSTITUTE(SUBSTITUTE(SUBSTITUTE(SUBSTITUTE(SUBSTITUTE(SUBSTITUTE(SUBSTITUTE(SUBSTITUTE(SUBSTITUTE(SUBSTITUTE(LOWER(W288&amp;""),CHAR(10),""),CHAR(13),""),CHAR(9),""),CHAR(160),"")," ",""),".",""),"-",""),"/",""),"?",""),"_",""),",",""),"[",""),"]",""),"(",""),")",""),"*","")</f>
        <v/>
      </c>
      <c r="AZ288" s="61" t="str">
        <f aca="false">SUBSTITUTE(SUBSTITUTE(SUBSTITUTE(SUBSTITUTE(SUBSTITUTE(SUBSTITUTE(SUBSTITUTE(SUBSTITUTE(SUBSTITUTE(SUBSTITUTE(SUBSTITUTE(SUBSTITUTE(SUBSTITUTE(SUBSTITUTE(SUBSTITUTE(SUBSTITUTE(LOWER(AC288&amp;""),CHAR(10),""),CHAR(13),""),CHAR(9),""),CHAR(160),"")," ",""),".",""),"-",""),"/",""),"?",""),"_",""),",",""),"[",""),"]",""),"(",""),")",""),"*","")</f>
        <v/>
      </c>
      <c r="BA288" s="61" t="str">
        <f aca="false">SUBSTITUTE(SUBSTITUTE(SUBSTITUTE(SUBSTITUTE(SUBSTITUTE(SUBSTITUTE(SUBSTITUTE(SUBSTITUTE(SUBSTITUTE(SUBSTITUTE(SUBSTITUTE(SUBSTITUTE(SUBSTITUTE(SUBSTITUTE(SUBSTITUTE(SUBSTITUTE(LOWER(AA288&amp;""),CHAR(10),""),CHAR(13),""),CHAR(9),""),CHAR(160),"")," ",""),".",""),"-",""),"/",""),"?",""),"_",""),",",""),"[",""),"]",""),"(",""),")",""),"*","")</f>
        <v/>
      </c>
      <c r="BB288" s="61" t="str">
        <f aca="false">IF(AND(TRIM(U288)="Pass",ISNUMBER(AF288)),IF(AF288&lt;&gt;0,"INVALID – qty variance: use Fail or Pass after CA",""),"")&amp;IF(AND(TRIM(U288)="Pass after CA",ISNUMBER(AF288)),IF(AF288&lt;&gt;0,"INVALID – after the corrective action the actual qty must equal expected (update Actual)",""),"")&amp;IF(AND(TRIM(U288)="Pass",TRIM(AB288)&lt;&gt;"",TRIM(AB288)&lt;&gt;"Closed"),"INVALID – corrective action not closed: use Fail, then Pass after CA","")&amp;IF(AND(LEN(BA288)&gt;=2,ISNA(MATCH(LEFT(BA288,255),L_Placeholder,0)),TRIM(AB288)=""),"INVALID – CA status missing for the recorded corrective action","")&amp;IF(AND(TRIM(U288)="Pass after CA",OR(OR(LEN(BA288)&lt;5,ISNUMBER(MATCH(BA288,L_Placeholder,0))),TRIM(AB288)&lt;&gt;"Closed")),"INVALID – corrective action not recorded/closed","")</f>
        <v/>
      </c>
      <c r="BC288" s="61" t="str">
        <f aca="false">" "&amp;TRIM(SUBSTITUTE(SUBSTITUTE(SUBSTITUTE(SUBSTITUTE(SUBSTITUTE(SUBSTITUTE(SUBSTITUTE(SUBSTITUTE(SUBSTITUTE(SUBSTITUTE(SUBSTITUTE(SUBSTITUTE(SUBSTITUTE(SUBSTITUTE(SUBSTITUTE(SUBSTITUTE(SUBSTITUTE(SUBSTITUTE(SUBSTITUTE(SUBSTITUTE(SUBSTITUTE(SUBSTITUTE(SUBSTITUTE(SUBSTITUTE(LOWER(V288&amp;""),CHAR(10)," "),CHAR(13)," "),CHAR(9)," "),CHAR(160)," "),"."," "),","," "),"-"," "),"/"," "),"("," "),")"," "),":"," "),";"," "),"_"," "),"–"," "),"?"," "),"!"," "),"*"," "),"["," "),"]"," "),"'"," "),"#"," "),"+"," "),"&amp;"," "),"\"," "))&amp;" "</f>
        <v>  </v>
      </c>
      <c r="BD288" s="61" t="str">
        <f aca="false">" "&amp;TRIM(SUBSTITUTE(SUBSTITUTE(SUBSTITUTE(SUBSTITUTE(SUBSTITUTE(SUBSTITUTE(SUBSTITUTE(SUBSTITUTE(SUBSTITUTE(SUBSTITUTE(SUBSTITUTE(SUBSTITUTE(SUBSTITUTE(SUBSTITUTE(SUBSTITUTE(SUBSTITUTE(SUBSTITUTE(SUBSTITUTE(SUBSTITUTE(SUBSTITUTE(SUBSTITUTE(SUBSTITUTE(SUBSTITUTE(SUBSTITUTE(LOWER(Z288&amp;""),CHAR(10)," "),CHAR(13)," "),CHAR(9)," "),CHAR(160)," "),"."," "),","," "),"-"," "),"/"," "),"("," "),")"," "),":"," "),";"," "),"_"," "),"–"," "),"?"," "),"!"," "),"*"," "),"["," "),"]"," "),"'"," "),"#"," "),"+"," "),"&amp;"," "),"\"," "))&amp;" "</f>
        <v>  </v>
      </c>
      <c r="BE288" s="61" t="str">
        <f aca="false">" "&amp;TRIM(SUBSTITUTE(SUBSTITUTE(SUBSTITUTE(SUBSTITUTE(SUBSTITUTE(SUBSTITUTE(SUBSTITUTE(SUBSTITUTE(SUBSTITUTE(SUBSTITUTE(SUBSTITUTE(SUBSTITUTE(SUBSTITUTE(SUBSTITUTE(SUBSTITUTE(SUBSTITUTE(SUBSTITUTE(SUBSTITUTE(SUBSTITUTE(SUBSTITUTE(SUBSTITUTE(SUBSTITUTE(SUBSTITUTE(SUBSTITUTE(LOWER(W288&amp;""),CHAR(10)," "),CHAR(13)," "),CHAR(9)," "),CHAR(160)," "),"."," "),","," "),"-"," "),"/"," "),"("," "),")"," "),":"," "),";"," "),"_"," "),"–"," "),"?"," "),"!"," "),"*"," "),"["," "),"]"," "),"'"," "),"#"," "),"+"," "),"&amp;"," "),"\"," "))&amp;" "</f>
        <v>  </v>
      </c>
      <c r="BF288" s="61" t="str">
        <f aca="false">" "&amp;TRIM(SUBSTITUTE(SUBSTITUTE(SUBSTITUTE(SUBSTITUTE(SUBSTITUTE(SUBSTITUTE(SUBSTITUTE(SUBSTITUTE(SUBSTITUTE(SUBSTITUTE(SUBSTITUTE(SUBSTITUTE(SUBSTITUTE(SUBSTITUTE(SUBSTITUTE(SUBSTITUTE(SUBSTITUTE(SUBSTITUTE(SUBSTITUTE(SUBSTITUTE(SUBSTITUTE(SUBSTITUTE(SUBSTITUTE(SUBSTITUTE(LOWER(AC288&amp;""),CHAR(10)," "),CHAR(13)," "),CHAR(9)," "),CHAR(160)," "),"."," "),","," "),"-"," "),"/"," "),"("," "),")"," "),":"," "),";"," "),"_"," "),"–"," "),"?"," "),"!"," "),"*"," "),"["," "),"]"," "),"'"," "),"#"," "),"+"," "),"&amp;"," "),"\"," "))&amp;" "</f>
        <v>  </v>
      </c>
      <c r="BG288" s="61" t="n">
        <f aca="false">IFERROR(IF(AND(TRIM(U288)="Pass",SUMPRODUCT((LEN(BC288)-LEN(SUBSTITUTE(BC288," "&amp;L_ResultBad&amp;" "," ")))/(LEN(L_ResultBad)+1))&gt;SUMPRODUCT((LEN(BC288)-LEN(SUBSTITUTE(BC288," "&amp;L_NegPhrase&amp;" "," ")))/(LEN(L_NegPhrase)+1))),1,0),0)</f>
        <v>0</v>
      </c>
      <c r="BH288" s="61" t="n">
        <f aca="false">IFERROR(IF(SUMPRODUCT((LEN(BC288)-LEN(SUBSTITUTE(BC288," "&amp;L_Pending&amp;" "," ")))/(LEN(L_Pending)+1))&gt;SUMPRODUCT((LEN(BC288)-LEN(SUBSTITUTE(BC288," "&amp;L_PendNeg&amp;" "," ")))/(LEN(L_PendNeg)+1))+SUMPRODUCT((LEN(BC288)-LEN(SUBSTITUTE(BC288," "&amp;L_PendPrep&amp;" "," ")))/(LEN(L_PendPrep)+1)),1,0),1)</f>
        <v>0</v>
      </c>
      <c r="BI288" s="61" t="n">
        <f aca="false">IFERROR(IF(SUMPRODUCT((LEN(BD288)-LEN(SUBSTITUTE(BD288," "&amp;L_PendStrict&amp;" "," ")))/(LEN(L_PendStrict)+1))&gt;SUMPRODUCT((LEN(BD288)-LEN(SUBSTITUTE(BD288," "&amp;L_PendNeg&amp;" "," ")))/(LEN(L_PendNeg)+1)),1,0),1)</f>
        <v>0</v>
      </c>
      <c r="BJ288" s="61" t="n">
        <f aca="false">IFERROR(IF(SUMPRODUCT((LEN(BE288)-LEN(SUBSTITUTE(BE288," "&amp;L_Pending&amp;" "," ")))/(LEN(L_Pending)+1))&gt;SUMPRODUCT((LEN(BE288)-LEN(SUBSTITUTE(BE288," "&amp;L_PendNeg&amp;" "," ")))/(LEN(L_PendNeg)+1))+SUMPRODUCT((LEN(BE288)-LEN(SUBSTITUTE(BE288," "&amp;L_PendPrep&amp;" "," ")))/(LEN(L_PendPrep)+1)),1,0),1)</f>
        <v>0</v>
      </c>
      <c r="BK288" s="61" t="n">
        <f aca="false">IFERROR(IF(SUMPRODUCT((LEN(BF288)-LEN(SUBSTITUTE(BF288," "&amp;L_PendStrict&amp;" "," ")))/(LEN(L_PendStrict)+1))&gt;SUMPRODUCT((LEN(BF288)-LEN(SUBSTITUTE(BF288," "&amp;L_PendNeg&amp;" "," ")))/(LEN(L_PendNeg)+1)),1,0),1)</f>
        <v>0</v>
      </c>
      <c r="BL288" s="61" t="n">
        <f aca="false">IF(ISNA(MATCH(TRIM(S288),L_EvidenceType,0)),0,BZ288)</f>
        <v>0</v>
      </c>
      <c r="BM288" s="61" t="str">
        <f aca="false">SUBSTITUTE(SUBSTITUTE(SUBSTITUTE(SUBSTITUTE(SUBSTITUTE(SUBSTITUTE(SUBSTITUTE(SUBSTITUTE(SUBSTITUTE(LOWER(Z288&amp;""),"1","0"),"2","0"),"3","0"),"4","0"),"5","0"),"6","0"),"7","0"),"8","0"),"9","0")</f>
        <v/>
      </c>
      <c r="BN288" s="61" t="str">
        <f aca="false">SUBSTITUTE(SUBSTITUTE(SUBSTITUTE(SUBSTITUTE(SUBSTITUTE(SUBSTITUTE(SUBSTITUTE(SUBSTITUTE(SUBSTITUTE(SUBSTITUTE(SUBSTITUTE(SUBSTITUTE(SUBSTITUTE(SUBSTITUTE(SUBSTITUTE(SUBSTITUTE(SUBSTITUTE(SUBSTITUTE(SUBSTITUTE(SUBSTITUTE(SUBSTITUTE(SUBSTITUTE(SUBSTITUTE(SUBSTITUTE(SUBSTITUTE(BM288,"b","a"),"c","a"),"d","a"),"e","a"),"f","a"),"g","a"),"h","a"),"i","a"),"j","a"),"k","a"),"l","a"),"m","a"),"n","a"),"o","a"),"p","a"),"q","a"),"r","a"),"s","a"),"t","a"),"u","a"),"v","a"),"w","a"),"x","a"),"y","a"),"z","a")</f>
        <v/>
      </c>
      <c r="BO288" s="61" t="str">
        <f aca="false">SUBSTITUTE(SUBSTITUTE(SUBSTITUTE(SUBSTITUTE(SUBSTITUTE(SUBSTITUTE(SUBSTITUTE(SUBSTITUTE(SUBSTITUTE(LOWER(W288&amp;""),"1","0"),"2","0"),"3","0"),"4","0"),"5","0"),"6","0"),"7","0"),"8","0"),"9","0")</f>
        <v/>
      </c>
      <c r="BP288" s="61" t="str">
        <f aca="false">SUBSTITUTE(SUBSTITUTE(SUBSTITUTE(SUBSTITUTE(SUBSTITUTE(SUBSTITUTE(SUBSTITUTE(SUBSTITUTE(SUBSTITUTE(SUBSTITUTE(SUBSTITUTE(SUBSTITUTE(SUBSTITUTE(SUBSTITUTE(SUBSTITUTE(SUBSTITUTE(SUBSTITUTE(SUBSTITUTE(SUBSTITUTE(SUBSTITUTE(SUBSTITUTE(SUBSTITUTE(SUBSTITUTE(SUBSTITUTE(SUBSTITUTE(BO288,"b","a"),"c","a"),"d","a"),"e","a"),"f","a"),"g","a"),"h","a"),"i","a"),"j","a"),"k","a"),"l","a"),"m","a"),"n","a"),"o","a"),"p","a"),"q","a"),"r","a"),"s","a"),"t","a"),"u","a"),"v","a"),"w","a"),"x","a"),"y","a"),"z","a")</f>
        <v/>
      </c>
      <c r="BQ288" s="61" t="n">
        <f aca="false">IFERROR(IF(AND(ISERROR(SEARCH(" mh"," "&amp;LOWER(W288))),ISNA(MATCH(LEFT(TRIM(BP288),255),{"0000a","000a","00a","0000aa","000aa","00aa","0aa","0000aaa","000aaa","00a00","0a00","0000-0000","00:00","a00","a0","00.00.0000","00/00/0000","00-00-0000","0000-00-00","0000/00/00","0000.00.00","00.00.00","00/00/00","00-00-00","0.00.0000","0/00/0000","0-00-0000"},0)),ISNA(MATCH(LEFT(TRIM(CA288),255),{"0000a","000a","00a","0000aa","000aa","00aa","0aa","0000aaa","000aaa","00a00","0a00","0000-0000","00:00","a00","a0","00.00.0000","00/00/0000","00-00-0000","0000-00-00","0000/00/00","0000.00.00","00.00.00","00/00/00","00-00-00","0.00.0000","0/00/0000","0-00-0000"},0)),LEN(CB288)&gt;=3,NOT(OR(SUBSTITUTE(CB288,"0","")="",AND(LEN(CB288)&gt;=4,CB288=REPT(LEFT(CB288),LEN(CB288))),ISNUMBER(MATCH(CB288,{"123","1234","12345","123456","1234567","12345678","0123","01234","012345","98765","987654","54321"},0)),AND(LEN(CB288)=8,LEFT(CB288,3)="202"))),OR(AND((LEN(CA288)-LEN(SUBSTITUTE(CA288,"a","")))&gt;=1,SUMPRODUCT(--ISNUMBER(SEARCH({"a0","a-0","a_0","a/0","a.0","a#0","0a","0-a","0_a","0/a"},BP288)))&gt;0),ISNUMBER(SEARCH("000000",BP288)))),1,0),0)</f>
        <v>0</v>
      </c>
      <c r="BR288" s="61" t="n">
        <f aca="false">IFERROR(LEN(SUBSTITUTE(CC288," ",""))-SUMPRODUCT((LEN(CC288)-LEN(SUBSTITUTE(CC288," "&amp;L_Role&amp;" "," ")))/(LEN(L_Role)+1)*LEN(L_Role)),0)</f>
        <v>0</v>
      </c>
      <c r="BS288" s="61" t="n">
        <f aca="false">IFERROR(LEN(SUBSTITUTE(CD288," ",""))-SUMPRODUCT((LEN(CD288)-LEN(SUBSTITUTE(CD288," "&amp;L_Role&amp;" "," ")))/(LEN(L_Role)+1)*LEN(L_Role)),0)</f>
        <v>0</v>
      </c>
      <c r="BT2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288,"revision",""),"version",""),"jan",""),"feb",""),"mar",""),"apr",""),"may",""),"jun",""),"jul",""),"aug",""),"sep",""),"oct",""),"nov",""),"dec",""),"utc",""),"gmt",""),"myt",""),"bst",""),"rev",""),"ver",""),"b","a"),"c","a"),"d","a"),"e","a"),"f","a"),"g","a"),"h","a"),"i","a"),"j","a"),"k","a"),"l","a"),"m","a"),"n","a"),"o","a"),"p","a"),"q","a"),"r","a"),"s","a"),"t","a"),"u","a"),"v","a"),"w","a"),"x","a"),"y","a"),"z","a")</f>
        <v/>
      </c>
      <c r="BU288" s="61" t="str">
        <f aca="false">SUBSTITUTE(SUBSTITUTE(SUBSTITUTE(SUBSTITUTE(SUBSTITUTE(SUBSTITUTE(SUBSTITUTE(SUBSTITUTE(SUBSTITUTE(SUBSTITUTE(LEFT(BM288,FIND("0",BM288&amp;"0")-1),"-",""),"_",""),"/",""),".",""),"#",""),"\\",""),":","")," ",""),"(",""),")","")</f>
        <v/>
      </c>
      <c r="BV288" s="61" t="n">
        <f aca="false">0</f>
        <v>0</v>
      </c>
      <c r="BW2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288&amp;""),"a",""),"b",""),"c",""),"d",""),"e",""),"f",""),"g",""),"h",""),"i",""),"j",""),"k",""),"l",""),"m",""),"n",""),"o",""),"p",""),"q",""),"r",""),"s",""),"t",""),"u",""),"v",""),"w",""),"x",""),"y",""),"z",""),"-",""),"_",""),"/",""),".",""),"#",""),"\\",""),":","")," ",""),"(",""),")","")</f>
        <v/>
      </c>
      <c r="BX288" s="61" t="str">
        <f aca="false">SUBSTITUTE(SUBSTITUTE(SUBSTITUTE(SUBSTITUTE(SUBSTITUTE(SUBSTITUTE(SUBSTITUTE(SUBSTITUTE(SUBSTITUTE(SUBSTITUTE(SUBSTITUTE(BM288,"0",""),"-",""),"_",""),"/",""),".",""),"#",""),"\\",""),":","")," ",""),"(",""),")","")</f>
        <v/>
      </c>
      <c r="BY288" s="62" t="n">
        <f aca="false">Q288-T7EarlyD*24/24</f>
        <v>46285.2534722222</v>
      </c>
      <c r="BZ288" s="61" t="n">
        <f aca="false">IFERROR(IF(IF(TRIM(S288)="Link / file path",AND(LEN(TRIM(Z288))&gt;=5,SUMPRODUCT(--ISNUMBER(SEARCH({"http","www.","\\",":\",".pdf",".jpg",".jpeg",".png",".heic",".xls",".doc",".msg",".eml",".ppt",".txt",".zip"},Z288)))&gt;0),AND(ISERROR(FIND(" ",TRIM(Z288))),NOT(OR(SUMPRODUCT(--ISNUMBER(FIND({",",";","&amp;","+"},Z288)))&gt;0,SUMPRODUCT(--ISNUMBER(SEARCH({"0/aa","0\\aa"},BN288)))&gt;0)),NOT(SUMPRODUCT(--ISNUMBER(SEARCH({"http","www.","\\",":\",".pdf",".jpg",".jpeg",".png",".heic",".xls",".doc",".msg",".eml",".ppt",".txt",".zip"},Z288)))&gt;0),NOT(LOWER(TRIM(Z288))=LOWER(Flights!$F$13)),ISNA(MATCH(BU288,{"mh","rev","revision","ver","version","v","r","a","b","seat","tray","row","gate","bay","stand","page","pg","item","line","no","cart","galley","flight","flt","table","box","bag","oven","etd","eta","std","sta","atd","ata","qty","pax","x","time","tel","ph","mob","day","wk","week","utc","gmt","myt","lt"},0)),NOT(OR(ISNUMBER(MATCH(LEFT(BN288,255),{"0000a","000a","00a","0000aa","000aa","00aa","0aa","0000aaa","000aaa","00a00","0a00","0000-0000","00:00","a00","a0","00.00.0000","00/00/0000","00-00-0000","0000-00-00","0000/00/00","0000.00.00","00.00.00","00/00/00","00-00-00","0.00.0000","0/00/0000","0-00-0000"},0)),ISNUMBER(MATCH(LEFT(BT288,255),{"0000a","000a","00a","0000aa","000aa","00aa","0aa","0000aaa","000aaa","00a00","0a00","0000-0000","00:00","a00","a0","00.00.0000","00/00/0000","00-00-0000","0000-00-00","0000/00/00","0000.00.00","00.00.00","00/00/00","00-00-00","0.00.0000","0/00/0000","0-00-0000"},0)))),NOT(OR(AND(BW288&lt;&gt;"",SUBSTITUTE(BW288,"0","")=""),AND(LEN(BW288)&gt;=4,BW288=REPT(LEFT(BW288),LEN(BW288))),ISNUMBER(MATCH(BW288,{"123","1234","12345","123456","1234567","12345678","0123","01234","012345","98765","987654","54321"},0)),ISNUMBER(MATCH(BX288,{"x","xx","xxx","xxxx","xxxxx","abc","abcd","nil","na","nan","test","tbc","tba","tbd","dummy","sample","example","eg","zz","zzz","none","null","xyz","qwe","asd","id","ref"},0)),AND(LEN(BW288)=8,BX288="",OR(LEFT(BW288,3)="202",ISNUMBER(MATCH(RIGHT(BW288,4),{"2025","2026","2027"},0)))))),OR(AND((LEN(BT288)-LEN(SUBSTITUTE(BT288,"a","")))&gt;=1,(LEN(BN288)-LEN(SUBSTITUTE(BN288,"0","")))&gt;=2,SUMPRODUCT(--ISNUMBER(SEARCH({"a0","a-0","a_0","a/0","a.0","a#0","0a","0-a","0_a","0/a"},BN288)))&gt;0),AND((LEN(BN288)-LEN(SUBSTITUTE(BN288,"a","")))=0,(LEN(BN288)-LEN(SUBSTITUTE(BN288,"0","")))&gt;=5)))),1,0),0)</f>
        <v>0</v>
      </c>
      <c r="CA2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288,"revision",""),"version",""),"jan",""),"feb",""),"mar",""),"apr",""),"may",""),"jun",""),"jul",""),"aug",""),"sep",""),"oct",""),"nov",""),"dec",""),"utc",""),"gmt",""),"myt",""),"bst",""),"rev",""),"ver",""),"b","a"),"c","a"),"d","a"),"e","a"),"f","a"),"g","a"),"h","a"),"i","a"),"j","a"),"k","a"),"l","a"),"m","a"),"n","a"),"o","a"),"p","a"),"q","a"),"r","a"),"s","a"),"t","a"),"u","a"),"v","a"),"w","a"),"x","a"),"y","a"),"z","a")</f>
        <v/>
      </c>
      <c r="CB2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288&amp;""),"a",""),"b",""),"c",""),"d",""),"e",""),"f",""),"g",""),"h",""),"i",""),"j",""),"k",""),"l",""),"m",""),"n",""),"o",""),"p",""),"q",""),"r",""),"s",""),"t",""),"u",""),"v",""),"w",""),"x",""),"y",""),"z",""),"-",""),"_",""),"/",""),".",""),"#",""),"\\",""),":","")," ",""),"(",""),")","")</f>
        <v/>
      </c>
      <c r="CC288" s="0" t="str">
        <f aca="false">" "&amp;TRIM(SUBSTITUTE(SUBSTITUTE(SUBSTITUTE(SUBSTITUTE(SUBSTITUTE(SUBSTITUTE(SUBSTITUTE(SUBSTITUTE(SUBSTITUTE(SUBSTITUTE(SUBSTITUTE(SUBSTITUTE(SUBSTITUTE(SUBSTITUTE(SUBSTITUTE(SUBSTITUTE(SUBSTITUTE(SUBSTITUTE(SUBSTITUTE(SUBSTITUTE(SUBSTITUTE(SUBSTITUTE(SUBSTITUTE(SUBSTITUTE(LOWER(T288&amp;""),CHAR(10)," "),CHAR(13)," "),CHAR(9)," "),CHAR(160)," "),"."," "),","," "),"-"," "),"/"," "),"("," "),")"," "),":"," "),";"," "),"_"," "),"–"," "),"?"," "),"!"," "),"*"," "),"["," "),"]"," "),"'"," "),"#"," "),"+"," "),"&amp;"," "),"\"," "))&amp;" "</f>
        <v>  </v>
      </c>
      <c r="CD288" s="0" t="str">
        <f aca="false">" "&amp;TRIM(SUBSTITUTE(SUBSTITUTE(SUBSTITUTE(SUBSTITUTE(SUBSTITUTE(SUBSTITUTE(SUBSTITUTE(SUBSTITUTE(SUBSTITUTE(SUBSTITUTE(SUBSTITUTE(SUBSTITUTE(SUBSTITUTE(SUBSTITUTE(SUBSTITUTE(SUBSTITUTE(SUBSTITUTE(SUBSTITUTE(SUBSTITUTE(SUBSTITUTE(SUBSTITUTE(SUBSTITUTE(SUBSTITUTE(SUBSTITUTE(LOWER(AE288&amp;""),CHAR(10)," "),CHAR(13)," "),CHAR(9)," "),CHAR(160)," "),"."," "),","," "),"-"," "),"/"," "),"("," "),")"," "),":"," "),";"," "),"_"," "),"–"," "),"?"," "),"!"," "),"*"," "),"["," "),"]"," "),"'"," "),"#"," "),"+"," "),"&amp;"," "),"\"," "))&amp;" "</f>
        <v>  </v>
      </c>
      <c r="CE288" s="68" t="n">
        <f aca="false">IFERROR(IF(AND(LEN(AU288)&gt;0,LEN(AU288)=LEN(AX288),OR(TRIM(MID(SUBSTITUTE(TRIM(CC288)," ",REPT(" ",60)),1,60))="",ISNUMBER(SEARCH(" "&amp;TRIM(MID(SUBSTITUTE(TRIM(CC288)," ",REPT(" ",60)),1,60))&amp;" ",CD288))),OR(TRIM(MID(SUBSTITUTE(TRIM(CC288)," ",REPT(" ",60)),61,60))="",ISNUMBER(SEARCH(" "&amp;TRIM(MID(SUBSTITUTE(TRIM(CC288)," ",REPT(" ",60)),61,60))&amp;" ",CD288))),OR(TRIM(MID(SUBSTITUTE(TRIM(CC288)," ",REPT(" ",60)),121,60))="",ISNUMBER(SEARCH(" "&amp;TRIM(MID(SUBSTITUTE(TRIM(CC288)," ",REPT(" ",60)),121,60))&amp;" ",CD288)))),1,0),0)</f>
        <v>0</v>
      </c>
      <c r="CG288" s="68" t="n">
        <f aca="false">IFERROR(LEN(SUBSTITUTE(BF288," ",""))-SUMPRODUCT((LEN(BF288)-LEN(SUBSTITUTE(BF288," "&amp;L_NAFiller&amp;" "," ")))/(LEN(L_NAFiller)+1)*LEN(L_NAFiller)),0)</f>
        <v>0</v>
      </c>
    </row>
    <row r="289" customFormat="false" ht="39.75" hidden="false" customHeight="true" outlineLevel="0" collapsed="false">
      <c r="A289" s="57" t="s">
        <v>863</v>
      </c>
      <c r="B289" s="57" t="s">
        <v>246</v>
      </c>
      <c r="C289" s="57" t="str">
        <f aca="false">Flights!$F$13</f>
        <v>MH0753</v>
      </c>
      <c r="D289" s="58" t="n">
        <f aca="false">Flights!$D$13</f>
        <v>46306</v>
      </c>
      <c r="E289" s="57" t="str">
        <f aca="false">Flights!$G$13&amp;"-"&amp;Flights!$H$13</f>
        <v>HAN-KUL</v>
      </c>
      <c r="F289" s="57" t="str">
        <f aca="false">Flights!$K$13</f>
        <v>BC</v>
      </c>
      <c r="G289" s="57" t="s">
        <v>81</v>
      </c>
      <c r="H289" s="57" t="s">
        <v>378</v>
      </c>
      <c r="I289" s="57" t="s">
        <v>405</v>
      </c>
      <c r="J289" s="57" t="s">
        <v>406</v>
      </c>
      <c r="K289" s="67" t="s">
        <v>407</v>
      </c>
      <c r="L289" s="67" t="s">
        <v>382</v>
      </c>
      <c r="M289" s="67"/>
      <c r="N289" s="67" t="s">
        <v>383</v>
      </c>
      <c r="O289" s="67"/>
      <c r="P289" s="57" t="s">
        <v>240</v>
      </c>
      <c r="Q289" s="59" t="n">
        <f aca="false">ROUND((Flights!$AC$13)*1440,0)/1440</f>
        <v>46299.2534722222</v>
      </c>
      <c r="R289" s="59" t="n">
        <f aca="false">Q289+(IF(AND(INDEX(TZ_DSTS,MATCH(P289,TZ_STN,0))&lt;&gt;"",Q289&gt;=INDEX(TZ_DSTS,MATCH(P289,TZ_STN,0)),Q289&lt;INDEX(TZ_DSTE,MATCH(P289,TZ_STN,0))),INDEX(TZ_DST,MATCH(P289,TZ_STN,0)),INDEX(TZ_STD,MATCH(P289,TZ_STN,0))))/24</f>
        <v>46299.5451388889</v>
      </c>
      <c r="S289" s="60"/>
      <c r="T289" s="60"/>
      <c r="U289" s="60"/>
      <c r="V289" s="60"/>
      <c r="W289" s="61"/>
      <c r="X289" s="60"/>
      <c r="Y289" s="60"/>
      <c r="Z289" s="60"/>
      <c r="AA289" s="60"/>
      <c r="AB289" s="60"/>
      <c r="AC289" s="60"/>
      <c r="AD289" s="66"/>
      <c r="AE289" s="60"/>
      <c r="AF289" s="61" t="str">
        <f aca="false">IF(AND(ISNUMBER(X289),ISNUMBER(Y289)),Y289-X289,"")</f>
        <v/>
      </c>
      <c r="AG289" s="62" t="str">
        <f aca="false">IF(ISNUMBER(AD289),AD289-(IF(AND(INDEX(TZ_DSTS,MATCH(P289,TZ_STN,0))&lt;&gt;"",(AD289-INDEX(TZ_STD,MATCH(P289,TZ_STN,0))/24)&gt;=INDEX(TZ_DSTS,MATCH(P289,TZ_STN,0)),(AD289-INDEX(TZ_STD,MATCH(P289,TZ_STN,0))/24)&lt;INDEX(TZ_DSTE,MATCH(P289,TZ_STN,0))),INDEX(TZ_DST,MATCH(P289,TZ_STN,0)),INDEX(TZ_STD,MATCH(P289,TZ_STN,0))))/24,"")</f>
        <v/>
      </c>
      <c r="AH289" s="65" t="str">
        <f aca="false">IFERROR(IF(N289="N/A – rule",IF(OR(TRIM(U289)="",TRIM(U289)="N/A",TRIM(U289)="Not started"),"N/A – RULE","INVALID – this check does not apply to this aircraft: clear the status (or correct the fleet on Flights)"),IF(TRIM(U289)="N/A",IF(AT289=0,"INVALID – N/A not permitted for this check",IF(AND(TRIM(AB289)&lt;&gt;"",TRIM(AB289)&lt;&gt;"Closed"),"INVALID – corrective action still open",IF(AND(NOT(OR(LEN(AZ289)&lt;15,ISNUMBER(MATCH(AZ289,L_Placeholder,0)))),BK289=0,CG289&gt;=8,NOT(OR(LEN(AU289)&lt;2,ISNUMBER(MATCH(AU289,L_Placeholder,0)))),BR289&gt;=3,NOT(OR(LEN(AX289)&lt;2,ISNUMBER(MATCH(AX289,L_Placeholder,0)))),BS289&gt;=3,TRIM(AE289)&lt;&gt;TRIM(T289),AX289&lt;&gt;AU289,CE289=0),"N/A – JUSTIFIED","INVALID – N/A needs a real, settled reason (not 'not applicable' / 'as above' / TBC), a named PIC and a different named verifier"))),IF(OR(TRIM(U289)="Pass",TRIM(U289)="Pass after CA"),IF(NOT(ISNUMBER(AD289)),"INVALID – completion time missing",IF(OR(OR(LEN(AU289)&lt;2,ISNUMBER(MATCH(AU289,L_Placeholder,0))),BR289&lt;3),"INVALID – PIC missing or not a named person (a role such as QA / CSM is not a name)",IF(OR(LEN(AV289)&lt;2,ISNUMBER(MATCH(AV289,L_Placeholder,0))),"INVALID – result / assessment missing",IF(OR(OR(LEN(AW289)&lt;3,ISNUMBER(MATCH(AW289,L_Placeholder,0))),SUMPRODUCT(--ISNUMBER(SEARCH(" "&amp;L_EvidencePhrase&amp;" ",BD289)))&gt;0,BI289=1),"INVALID – evidence missing, placeholder or not yet on file",IF(ISNA(MATCH(TRIM(S289),L_EvidenceType,0)),"INVALID – choose the evidence type from the list (column S)",IF(BL289=0,"INVALID – evidence ID must be the record's own ID only (e.g. SF-2210, IMG_2231, 1045521); a link / file name needs type 'Link / file path'",IF(OR(OR(LEN(AX289)&lt;2,ISNUMBER(MATCH(AX289,L_Placeholder,0))),BS289&lt;3),"INVALID – verifier missing or not a named person (a role such as QA / CSM is not a name)",IF(OR(AX289=AU289,CE289=1,AND(LEN(AU289)&gt;=4,ISNUMBER(SEARCH(AU289,AX289))),AND(LEN(AX289)&gt;=4,ISNUMBER(SEARCH(AX289,AU289)))),"INVALID – verifier must be a different, named person (not the PIC or a role)",IF(BH289=1,"INVALID – result not yet available (awaiting / TBC)",IF(BG289=1,"INVALID – result describes a problem: record Fail, then Pass after CA (or reword if it is not a problem)",IF(BV289=1,"INVALID – wording says not on board: an on-board confirmation needs the item loaded",IF(AND(AQ289=1,OR(OR(LEN(AY289)&lt;3,ISNUMBER(MATCH(AY289,L_Placeholder,0))),BJ289=1,BQ289=0)),"INVALID – batch ID missing, placeholder or not an ID (e.g. PASB-261008-BC-017)",IF(AND(AR289=1,OR(NOT(ISNUMBER(X289)),NOT(ISNUMBER(Y289)))),"INVALID – expected/actual qty missing",IF(AND(AR289=1,OR(X289&lt;=0,Y289&lt;0)),"INVALID – expected qty must be above 0 and actual not negative",IF(BB289&lt;&gt;"",BB289,IF(AND(AS289=1,Documents!$J$13&lt;&gt;"ON FILE"),"INVALID – GLD not on file (Documents sheet)",IF(AND(AS289=2,Documents!$O$13&lt;&gt;"ON FILE"),"INVALID – menu checklist not on file (Documents sheet)",IF(AND(AS289=3,NOT(ISNUMBER(Flights!$AX$13))),"INVALID – enter carrying flight KUL departure (Flights AX)",IF(AND(AS289=3,OR(Flights!$AZ$13&gt;Flights!$AA$13,Flights!$AX$13&lt;Flights!$AA$13-3)),"INVALID – carrying flight (Flights AX) cannot arrive before this leg's STD, or is over 3 days early",IF(AG289&gt;AsOfUTC,"INVALID – completion time is in the future",IF(AND(ISNUMBER(BY289),AG289&lt;BY289),IF(H289="Physical uplift","INVALID – before uplift window (cannot confirm loading)","INVALID – before valid window"),IF(AG289&gt;Flights!$AA$13,"INVALID – completed after departure (cannot establish readiness)",IF(AND(H289="Preparation",AG289&gt;=IF(ISNUMBER(Flights!$BA$13),MIN(Flights!$BA$13,Flights!$AA$13),Flights!$AA$13)),"INVALID – completed after loading / departure (cannot establish readiness)",IF(AND(H289="Physical uplift",AG289&gt;Q289),"INVALID – recorded after the loading flight departed",IF(AG289&gt;Q289,"COMPLETE – LATE","COMPLETE"))))))))))))))))))))))))),IF(TRIM(U289)="Fail","FAIL – DISCREPANCY",IF(AND(TRIM(U289)&lt;&gt;"",TRIM(U289)&lt;&gt;"Not started",TRIM(U289)&lt;&gt;"In progress"),"INVALID – unrecognised status (use the list)",IF(AsOfUTC&gt;Q289,"OVERDUE",IF(N289="Clarification required","OPEN – CLARIFICATION","OPEN"))))))),"INVALID – error value in an input cell")</f>
        <v>OPEN</v>
      </c>
      <c r="AI289" s="61" t="n">
        <f aca="false">IF(OR(AH289="N/A – RULE",AH289="N/A – JUSTIFIED"),0,1)</f>
        <v>1</v>
      </c>
      <c r="AJ289" s="61" t="n">
        <f aca="false">IF(LEFT(AH289,8)="COMPLETE",1,0)</f>
        <v>0</v>
      </c>
      <c r="AK289" s="61" t="n">
        <f aca="false">IF(AND(AI289=1,AJ289=0,AsOfUTC&gt;Q289),1,0)</f>
        <v>0</v>
      </c>
      <c r="AL289" s="61" t="n">
        <f aca="false">IFERROR(IF(AND(AI289=1,OR(TRIM(U289)="Fail",AND(TRIM(AB289)&lt;&gt;"",TRIM(AB289)&lt;&gt;"Closed"),AND(ISNUMBER(AF289),AF289&lt;&gt;0,TRIM(U289)&lt;&gt;"Pass after CA"))),1,0),1)</f>
        <v>0</v>
      </c>
      <c r="AM289" s="61" t="n">
        <f aca="false">IF(LEFT(AH289,7)="INVALID",1,0)</f>
        <v>0</v>
      </c>
      <c r="AN289" s="61" t="n">
        <f aca="false">IF(AND(N289="Clarification required",AI289=1,AJ289=0),1,0)</f>
        <v>0</v>
      </c>
      <c r="AO289" s="61" t="str">
        <f aca="false">IF(AK289=1,SUM(AK$5:AK289),"")</f>
        <v/>
      </c>
      <c r="AP289" s="61" t="str">
        <f aca="false">IF(AL289=1,SUM(AL$5:AL289),"")</f>
        <v/>
      </c>
      <c r="AQ289" s="61" t="n">
        <v>0</v>
      </c>
      <c r="AR289" s="61" t="n">
        <v>0</v>
      </c>
      <c r="AS289" s="61" t="n">
        <v>1</v>
      </c>
      <c r="AT289" s="61" t="n">
        <v>0</v>
      </c>
      <c r="AU289" s="61" t="str">
        <f aca="false">SUBSTITUTE(SUBSTITUTE(SUBSTITUTE(SUBSTITUTE(SUBSTITUTE(SUBSTITUTE(SUBSTITUTE(SUBSTITUTE(SUBSTITUTE(SUBSTITUTE(SUBSTITUTE(SUBSTITUTE(SUBSTITUTE(SUBSTITUTE(SUBSTITUTE(SUBSTITUTE(LOWER(T289&amp;""),CHAR(10),""),CHAR(13),""),CHAR(9),""),CHAR(160),"")," ",""),".",""),"-",""),"/",""),"?",""),"_",""),",",""),"[",""),"]",""),"(",""),")",""),"*","")</f>
        <v/>
      </c>
      <c r="AV289" s="61" t="str">
        <f aca="false">SUBSTITUTE(SUBSTITUTE(SUBSTITUTE(SUBSTITUTE(SUBSTITUTE(SUBSTITUTE(SUBSTITUTE(SUBSTITUTE(SUBSTITUTE(SUBSTITUTE(SUBSTITUTE(SUBSTITUTE(SUBSTITUTE(SUBSTITUTE(SUBSTITUTE(SUBSTITUTE(LOWER(V289&amp;""),CHAR(10),""),CHAR(13),""),CHAR(9),""),CHAR(160),"")," ",""),".",""),"-",""),"/",""),"?",""),"_",""),",",""),"[",""),"]",""),"(",""),")",""),"*","")</f>
        <v/>
      </c>
      <c r="AW289" s="61" t="str">
        <f aca="false">SUBSTITUTE(SUBSTITUTE(SUBSTITUTE(SUBSTITUTE(SUBSTITUTE(SUBSTITUTE(SUBSTITUTE(SUBSTITUTE(SUBSTITUTE(SUBSTITUTE(SUBSTITUTE(SUBSTITUTE(SUBSTITUTE(SUBSTITUTE(SUBSTITUTE(SUBSTITUTE(LOWER(Z289&amp;""),CHAR(10),""),CHAR(13),""),CHAR(9),""),CHAR(160),"")," ",""),".",""),"-",""),"/",""),"?",""),"_",""),",",""),"[",""),"]",""),"(",""),")",""),"*","")</f>
        <v/>
      </c>
      <c r="AX289" s="61" t="str">
        <f aca="false">SUBSTITUTE(SUBSTITUTE(SUBSTITUTE(SUBSTITUTE(SUBSTITUTE(SUBSTITUTE(SUBSTITUTE(SUBSTITUTE(SUBSTITUTE(SUBSTITUTE(SUBSTITUTE(SUBSTITUTE(SUBSTITUTE(SUBSTITUTE(SUBSTITUTE(SUBSTITUTE(LOWER(AE289&amp;""),CHAR(10),""),CHAR(13),""),CHAR(9),""),CHAR(160),"")," ",""),".",""),"-",""),"/",""),"?",""),"_",""),",",""),"[",""),"]",""),"(",""),")",""),"*","")</f>
        <v/>
      </c>
      <c r="AY289" s="61" t="str">
        <f aca="false">SUBSTITUTE(SUBSTITUTE(SUBSTITUTE(SUBSTITUTE(SUBSTITUTE(SUBSTITUTE(SUBSTITUTE(SUBSTITUTE(SUBSTITUTE(SUBSTITUTE(SUBSTITUTE(SUBSTITUTE(SUBSTITUTE(SUBSTITUTE(SUBSTITUTE(SUBSTITUTE(LOWER(W289&amp;""),CHAR(10),""),CHAR(13),""),CHAR(9),""),CHAR(160),"")," ",""),".",""),"-",""),"/",""),"?",""),"_",""),",",""),"[",""),"]",""),"(",""),")",""),"*","")</f>
        <v/>
      </c>
      <c r="AZ289" s="61" t="str">
        <f aca="false">SUBSTITUTE(SUBSTITUTE(SUBSTITUTE(SUBSTITUTE(SUBSTITUTE(SUBSTITUTE(SUBSTITUTE(SUBSTITUTE(SUBSTITUTE(SUBSTITUTE(SUBSTITUTE(SUBSTITUTE(SUBSTITUTE(SUBSTITUTE(SUBSTITUTE(SUBSTITUTE(LOWER(AC289&amp;""),CHAR(10),""),CHAR(13),""),CHAR(9),""),CHAR(160),"")," ",""),".",""),"-",""),"/",""),"?",""),"_",""),",",""),"[",""),"]",""),"(",""),")",""),"*","")</f>
        <v/>
      </c>
      <c r="BA289" s="61" t="str">
        <f aca="false">SUBSTITUTE(SUBSTITUTE(SUBSTITUTE(SUBSTITUTE(SUBSTITUTE(SUBSTITUTE(SUBSTITUTE(SUBSTITUTE(SUBSTITUTE(SUBSTITUTE(SUBSTITUTE(SUBSTITUTE(SUBSTITUTE(SUBSTITUTE(SUBSTITUTE(SUBSTITUTE(LOWER(AA289&amp;""),CHAR(10),""),CHAR(13),""),CHAR(9),""),CHAR(160),"")," ",""),".",""),"-",""),"/",""),"?",""),"_",""),",",""),"[",""),"]",""),"(",""),")",""),"*","")</f>
        <v/>
      </c>
      <c r="BB289" s="61" t="str">
        <f aca="false">IF(AND(TRIM(U289)="Pass",ISNUMBER(AF289)),IF(AF289&lt;&gt;0,"INVALID – qty variance: use Fail or Pass after CA",""),"")&amp;IF(AND(TRIM(U289)="Pass after CA",ISNUMBER(AF289)),IF(AF289&lt;&gt;0,"INVALID – after the corrective action the actual qty must equal expected (update Actual)",""),"")&amp;IF(AND(TRIM(U289)="Pass",TRIM(AB289)&lt;&gt;"",TRIM(AB289)&lt;&gt;"Closed"),"INVALID – corrective action not closed: use Fail, then Pass after CA","")&amp;IF(AND(LEN(BA289)&gt;=2,ISNA(MATCH(LEFT(BA289,255),L_Placeholder,0)),TRIM(AB289)=""),"INVALID – CA status missing for the recorded corrective action","")&amp;IF(AND(TRIM(U289)="Pass after CA",OR(OR(LEN(BA289)&lt;5,ISNUMBER(MATCH(BA289,L_Placeholder,0))),TRIM(AB289)&lt;&gt;"Closed")),"INVALID – corrective action not recorded/closed","")</f>
        <v/>
      </c>
      <c r="BC289" s="61" t="str">
        <f aca="false">" "&amp;TRIM(SUBSTITUTE(SUBSTITUTE(SUBSTITUTE(SUBSTITUTE(SUBSTITUTE(SUBSTITUTE(SUBSTITUTE(SUBSTITUTE(SUBSTITUTE(SUBSTITUTE(SUBSTITUTE(SUBSTITUTE(SUBSTITUTE(SUBSTITUTE(SUBSTITUTE(SUBSTITUTE(SUBSTITUTE(SUBSTITUTE(SUBSTITUTE(SUBSTITUTE(SUBSTITUTE(SUBSTITUTE(SUBSTITUTE(SUBSTITUTE(LOWER(V289&amp;""),CHAR(10)," "),CHAR(13)," "),CHAR(9)," "),CHAR(160)," "),"."," "),","," "),"-"," "),"/"," "),"("," "),")"," "),":"," "),";"," "),"_"," "),"–"," "),"?"," "),"!"," "),"*"," "),"["," "),"]"," "),"'"," "),"#"," "),"+"," "),"&amp;"," "),"\"," "))&amp;" "</f>
        <v>  </v>
      </c>
      <c r="BD289" s="61" t="str">
        <f aca="false">" "&amp;TRIM(SUBSTITUTE(SUBSTITUTE(SUBSTITUTE(SUBSTITUTE(SUBSTITUTE(SUBSTITUTE(SUBSTITUTE(SUBSTITUTE(SUBSTITUTE(SUBSTITUTE(SUBSTITUTE(SUBSTITUTE(SUBSTITUTE(SUBSTITUTE(SUBSTITUTE(SUBSTITUTE(SUBSTITUTE(SUBSTITUTE(SUBSTITUTE(SUBSTITUTE(SUBSTITUTE(SUBSTITUTE(SUBSTITUTE(SUBSTITUTE(LOWER(Z289&amp;""),CHAR(10)," "),CHAR(13)," "),CHAR(9)," "),CHAR(160)," "),"."," "),","," "),"-"," "),"/"," "),"("," "),")"," "),":"," "),";"," "),"_"," "),"–"," "),"?"," "),"!"," "),"*"," "),"["," "),"]"," "),"'"," "),"#"," "),"+"," "),"&amp;"," "),"\"," "))&amp;" "</f>
        <v>  </v>
      </c>
      <c r="BE289" s="61" t="str">
        <f aca="false">" "&amp;TRIM(SUBSTITUTE(SUBSTITUTE(SUBSTITUTE(SUBSTITUTE(SUBSTITUTE(SUBSTITUTE(SUBSTITUTE(SUBSTITUTE(SUBSTITUTE(SUBSTITUTE(SUBSTITUTE(SUBSTITUTE(SUBSTITUTE(SUBSTITUTE(SUBSTITUTE(SUBSTITUTE(SUBSTITUTE(SUBSTITUTE(SUBSTITUTE(SUBSTITUTE(SUBSTITUTE(SUBSTITUTE(SUBSTITUTE(SUBSTITUTE(LOWER(W289&amp;""),CHAR(10)," "),CHAR(13)," "),CHAR(9)," "),CHAR(160)," "),"."," "),","," "),"-"," "),"/"," "),"("," "),")"," "),":"," "),";"," "),"_"," "),"–"," "),"?"," "),"!"," "),"*"," "),"["," "),"]"," "),"'"," "),"#"," "),"+"," "),"&amp;"," "),"\"," "))&amp;" "</f>
        <v>  </v>
      </c>
      <c r="BF289" s="61" t="str">
        <f aca="false">" "&amp;TRIM(SUBSTITUTE(SUBSTITUTE(SUBSTITUTE(SUBSTITUTE(SUBSTITUTE(SUBSTITUTE(SUBSTITUTE(SUBSTITUTE(SUBSTITUTE(SUBSTITUTE(SUBSTITUTE(SUBSTITUTE(SUBSTITUTE(SUBSTITUTE(SUBSTITUTE(SUBSTITUTE(SUBSTITUTE(SUBSTITUTE(SUBSTITUTE(SUBSTITUTE(SUBSTITUTE(SUBSTITUTE(SUBSTITUTE(SUBSTITUTE(LOWER(AC289&amp;""),CHAR(10)," "),CHAR(13)," "),CHAR(9)," "),CHAR(160)," "),"."," "),","," "),"-"," "),"/"," "),"("," "),")"," "),":"," "),";"," "),"_"," "),"–"," "),"?"," "),"!"," "),"*"," "),"["," "),"]"," "),"'"," "),"#"," "),"+"," "),"&amp;"," "),"\"," "))&amp;" "</f>
        <v>  </v>
      </c>
      <c r="BG289" s="61" t="n">
        <f aca="false">IFERROR(IF(AND(TRIM(U289)="Pass",SUMPRODUCT((LEN(BC289)-LEN(SUBSTITUTE(BC289," "&amp;L_ResultBad&amp;" "," ")))/(LEN(L_ResultBad)+1))&gt;SUMPRODUCT((LEN(BC289)-LEN(SUBSTITUTE(BC289," "&amp;L_NegPhrase&amp;" "," ")))/(LEN(L_NegPhrase)+1))),1,0),0)</f>
        <v>0</v>
      </c>
      <c r="BH289" s="61" t="n">
        <f aca="false">IFERROR(IF(SUMPRODUCT((LEN(BC289)-LEN(SUBSTITUTE(BC289," "&amp;L_Pending&amp;" "," ")))/(LEN(L_Pending)+1))&gt;SUMPRODUCT((LEN(BC289)-LEN(SUBSTITUTE(BC289," "&amp;L_PendNeg&amp;" "," ")))/(LEN(L_PendNeg)+1))+SUMPRODUCT((LEN(BC289)-LEN(SUBSTITUTE(BC289," "&amp;L_PendPrep&amp;" "," ")))/(LEN(L_PendPrep)+1)),1,0),1)</f>
        <v>0</v>
      </c>
      <c r="BI289" s="61" t="n">
        <f aca="false">IFERROR(IF(SUMPRODUCT((LEN(BD289)-LEN(SUBSTITUTE(BD289," "&amp;L_PendStrict&amp;" "," ")))/(LEN(L_PendStrict)+1))&gt;SUMPRODUCT((LEN(BD289)-LEN(SUBSTITUTE(BD289," "&amp;L_PendNeg&amp;" "," ")))/(LEN(L_PendNeg)+1)),1,0),1)</f>
        <v>0</v>
      </c>
      <c r="BJ289" s="61" t="n">
        <f aca="false">IFERROR(IF(SUMPRODUCT((LEN(BE289)-LEN(SUBSTITUTE(BE289," "&amp;L_Pending&amp;" "," ")))/(LEN(L_Pending)+1))&gt;SUMPRODUCT((LEN(BE289)-LEN(SUBSTITUTE(BE289," "&amp;L_PendNeg&amp;" "," ")))/(LEN(L_PendNeg)+1))+SUMPRODUCT((LEN(BE289)-LEN(SUBSTITUTE(BE289," "&amp;L_PendPrep&amp;" "," ")))/(LEN(L_PendPrep)+1)),1,0),1)</f>
        <v>0</v>
      </c>
      <c r="BK289" s="61" t="n">
        <f aca="false">IFERROR(IF(SUMPRODUCT((LEN(BF289)-LEN(SUBSTITUTE(BF289," "&amp;L_PendStrict&amp;" "," ")))/(LEN(L_PendStrict)+1))&gt;SUMPRODUCT((LEN(BF289)-LEN(SUBSTITUTE(BF289," "&amp;L_PendNeg&amp;" "," ")))/(LEN(L_PendNeg)+1)),1,0),1)</f>
        <v>0</v>
      </c>
      <c r="BL289" s="61" t="n">
        <f aca="false">IF(ISNA(MATCH(TRIM(S289),L_EvidenceType,0)),0,BZ289)</f>
        <v>0</v>
      </c>
      <c r="BM289" s="61" t="str">
        <f aca="false">SUBSTITUTE(SUBSTITUTE(SUBSTITUTE(SUBSTITUTE(SUBSTITUTE(SUBSTITUTE(SUBSTITUTE(SUBSTITUTE(SUBSTITUTE(LOWER(Z289&amp;""),"1","0"),"2","0"),"3","0"),"4","0"),"5","0"),"6","0"),"7","0"),"8","0"),"9","0")</f>
        <v/>
      </c>
      <c r="BN289" s="61" t="str">
        <f aca="false">SUBSTITUTE(SUBSTITUTE(SUBSTITUTE(SUBSTITUTE(SUBSTITUTE(SUBSTITUTE(SUBSTITUTE(SUBSTITUTE(SUBSTITUTE(SUBSTITUTE(SUBSTITUTE(SUBSTITUTE(SUBSTITUTE(SUBSTITUTE(SUBSTITUTE(SUBSTITUTE(SUBSTITUTE(SUBSTITUTE(SUBSTITUTE(SUBSTITUTE(SUBSTITUTE(SUBSTITUTE(SUBSTITUTE(SUBSTITUTE(SUBSTITUTE(BM289,"b","a"),"c","a"),"d","a"),"e","a"),"f","a"),"g","a"),"h","a"),"i","a"),"j","a"),"k","a"),"l","a"),"m","a"),"n","a"),"o","a"),"p","a"),"q","a"),"r","a"),"s","a"),"t","a"),"u","a"),"v","a"),"w","a"),"x","a"),"y","a"),"z","a")</f>
        <v/>
      </c>
      <c r="BO289" s="61" t="str">
        <f aca="false">SUBSTITUTE(SUBSTITUTE(SUBSTITUTE(SUBSTITUTE(SUBSTITUTE(SUBSTITUTE(SUBSTITUTE(SUBSTITUTE(SUBSTITUTE(LOWER(W289&amp;""),"1","0"),"2","0"),"3","0"),"4","0"),"5","0"),"6","0"),"7","0"),"8","0"),"9","0")</f>
        <v/>
      </c>
      <c r="BP289" s="61" t="str">
        <f aca="false">SUBSTITUTE(SUBSTITUTE(SUBSTITUTE(SUBSTITUTE(SUBSTITUTE(SUBSTITUTE(SUBSTITUTE(SUBSTITUTE(SUBSTITUTE(SUBSTITUTE(SUBSTITUTE(SUBSTITUTE(SUBSTITUTE(SUBSTITUTE(SUBSTITUTE(SUBSTITUTE(SUBSTITUTE(SUBSTITUTE(SUBSTITUTE(SUBSTITUTE(SUBSTITUTE(SUBSTITUTE(SUBSTITUTE(SUBSTITUTE(SUBSTITUTE(BO289,"b","a"),"c","a"),"d","a"),"e","a"),"f","a"),"g","a"),"h","a"),"i","a"),"j","a"),"k","a"),"l","a"),"m","a"),"n","a"),"o","a"),"p","a"),"q","a"),"r","a"),"s","a"),"t","a"),"u","a"),"v","a"),"w","a"),"x","a"),"y","a"),"z","a")</f>
        <v/>
      </c>
      <c r="BQ289" s="61" t="n">
        <f aca="false">IFERROR(IF(AND(ISERROR(SEARCH(" mh"," "&amp;LOWER(W289))),ISNA(MATCH(LEFT(TRIM(BP289),255),{"0000a","000a","00a","0000aa","000aa","00aa","0aa","0000aaa","000aaa","00a00","0a00","0000-0000","00:00","a00","a0","00.00.0000","00/00/0000","00-00-0000","0000-00-00","0000/00/00","0000.00.00","00.00.00","00/00/00","00-00-00","0.00.0000","0/00/0000","0-00-0000"},0)),ISNA(MATCH(LEFT(TRIM(CA289),255),{"0000a","000a","00a","0000aa","000aa","00aa","0aa","0000aaa","000aaa","00a00","0a00","0000-0000","00:00","a00","a0","00.00.0000","00/00/0000","00-00-0000","0000-00-00","0000/00/00","0000.00.00","00.00.00","00/00/00","00-00-00","0.00.0000","0/00/0000","0-00-0000"},0)),LEN(CB289)&gt;=3,NOT(OR(SUBSTITUTE(CB289,"0","")="",AND(LEN(CB289)&gt;=4,CB289=REPT(LEFT(CB289),LEN(CB289))),ISNUMBER(MATCH(CB289,{"123","1234","12345","123456","1234567","12345678","0123","01234","012345","98765","987654","54321"},0)),AND(LEN(CB289)=8,LEFT(CB289,3)="202"))),OR(AND((LEN(CA289)-LEN(SUBSTITUTE(CA289,"a","")))&gt;=1,SUMPRODUCT(--ISNUMBER(SEARCH({"a0","a-0","a_0","a/0","a.0","a#0","0a","0-a","0_a","0/a"},BP289)))&gt;0),ISNUMBER(SEARCH("000000",BP289)))),1,0),0)</f>
        <v>0</v>
      </c>
      <c r="BR289" s="61" t="n">
        <f aca="false">IFERROR(LEN(SUBSTITUTE(CC289," ",""))-SUMPRODUCT((LEN(CC289)-LEN(SUBSTITUTE(CC289," "&amp;L_Role&amp;" "," ")))/(LEN(L_Role)+1)*LEN(L_Role)),0)</f>
        <v>0</v>
      </c>
      <c r="BS289" s="61" t="n">
        <f aca="false">IFERROR(LEN(SUBSTITUTE(CD289," ",""))-SUMPRODUCT((LEN(CD289)-LEN(SUBSTITUTE(CD289," "&amp;L_Role&amp;" "," ")))/(LEN(L_Role)+1)*LEN(L_Role)),0)</f>
        <v>0</v>
      </c>
      <c r="BT2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289,"revision",""),"version",""),"jan",""),"feb",""),"mar",""),"apr",""),"may",""),"jun",""),"jul",""),"aug",""),"sep",""),"oct",""),"nov",""),"dec",""),"utc",""),"gmt",""),"myt",""),"bst",""),"rev",""),"ver",""),"b","a"),"c","a"),"d","a"),"e","a"),"f","a"),"g","a"),"h","a"),"i","a"),"j","a"),"k","a"),"l","a"),"m","a"),"n","a"),"o","a"),"p","a"),"q","a"),"r","a"),"s","a"),"t","a"),"u","a"),"v","a"),"w","a"),"x","a"),"y","a"),"z","a")</f>
        <v/>
      </c>
      <c r="BU289" s="61" t="str">
        <f aca="false">SUBSTITUTE(SUBSTITUTE(SUBSTITUTE(SUBSTITUTE(SUBSTITUTE(SUBSTITUTE(SUBSTITUTE(SUBSTITUTE(SUBSTITUTE(SUBSTITUTE(LEFT(BM289,FIND("0",BM289&amp;"0")-1),"-",""),"_",""),"/",""),".",""),"#",""),"\\",""),":","")," ",""),"(",""),")","")</f>
        <v/>
      </c>
      <c r="BV289" s="61" t="n">
        <f aca="false">0</f>
        <v>0</v>
      </c>
      <c r="BW2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289&amp;""),"a",""),"b",""),"c",""),"d",""),"e",""),"f",""),"g",""),"h",""),"i",""),"j",""),"k",""),"l",""),"m",""),"n",""),"o",""),"p",""),"q",""),"r",""),"s",""),"t",""),"u",""),"v",""),"w",""),"x",""),"y",""),"z",""),"-",""),"_",""),"/",""),".",""),"#",""),"\\",""),":","")," ",""),"(",""),")","")</f>
        <v/>
      </c>
      <c r="BX289" s="61" t="str">
        <f aca="false">SUBSTITUTE(SUBSTITUTE(SUBSTITUTE(SUBSTITUTE(SUBSTITUTE(SUBSTITUTE(SUBSTITUTE(SUBSTITUTE(SUBSTITUTE(SUBSTITUTE(SUBSTITUTE(BM289,"0",""),"-",""),"_",""),"/",""),".",""),"#",""),"\\",""),":","")," ",""),"(",""),")","")</f>
        <v/>
      </c>
      <c r="BY289" s="62" t="n">
        <f aca="false">Q289-T7EarlyD*24/24</f>
        <v>46285.2534722222</v>
      </c>
      <c r="BZ289" s="61" t="n">
        <f aca="false">IFERROR(IF(IF(TRIM(S289)="Link / file path",AND(LEN(TRIM(Z289))&gt;=5,SUMPRODUCT(--ISNUMBER(SEARCH({"http","www.","\\",":\",".pdf",".jpg",".jpeg",".png",".heic",".xls",".doc",".msg",".eml",".ppt",".txt",".zip"},Z289)))&gt;0),AND(ISERROR(FIND(" ",TRIM(Z289))),NOT(OR(SUMPRODUCT(--ISNUMBER(FIND({",",";","&amp;","+"},Z289)))&gt;0,SUMPRODUCT(--ISNUMBER(SEARCH({"0/aa","0\\aa"},BN289)))&gt;0)),NOT(SUMPRODUCT(--ISNUMBER(SEARCH({"http","www.","\\",":\",".pdf",".jpg",".jpeg",".png",".heic",".xls",".doc",".msg",".eml",".ppt",".txt",".zip"},Z289)))&gt;0),NOT(LOWER(TRIM(Z289))=LOWER(Flights!$F$13)),ISNA(MATCH(BU289,{"mh","rev","revision","ver","version","v","r","a","b","seat","tray","row","gate","bay","stand","page","pg","item","line","no","cart","galley","flight","flt","table","box","bag","oven","etd","eta","std","sta","atd","ata","qty","pax","x","time","tel","ph","mob","day","wk","week","utc","gmt","myt","lt"},0)),NOT(OR(ISNUMBER(MATCH(LEFT(BN289,255),{"0000a","000a","00a","0000aa","000aa","00aa","0aa","0000aaa","000aaa","00a00","0a00","0000-0000","00:00","a00","a0","00.00.0000","00/00/0000","00-00-0000","0000-00-00","0000/00/00","0000.00.00","00.00.00","00/00/00","00-00-00","0.00.0000","0/00/0000","0-00-0000"},0)),ISNUMBER(MATCH(LEFT(BT289,255),{"0000a","000a","00a","0000aa","000aa","00aa","0aa","0000aaa","000aaa","00a00","0a00","0000-0000","00:00","a00","a0","00.00.0000","00/00/0000","00-00-0000","0000-00-00","0000/00/00","0000.00.00","00.00.00","00/00/00","00-00-00","0.00.0000","0/00/0000","0-00-0000"},0)))),NOT(OR(AND(BW289&lt;&gt;"",SUBSTITUTE(BW289,"0","")=""),AND(LEN(BW289)&gt;=4,BW289=REPT(LEFT(BW289),LEN(BW289))),ISNUMBER(MATCH(BW289,{"123","1234","12345","123456","1234567","12345678","0123","01234","012345","98765","987654","54321"},0)),ISNUMBER(MATCH(BX289,{"x","xx","xxx","xxxx","xxxxx","abc","abcd","nil","na","nan","test","tbc","tba","tbd","dummy","sample","example","eg","zz","zzz","none","null","xyz","qwe","asd","id","ref"},0)),AND(LEN(BW289)=8,BX289="",OR(LEFT(BW289,3)="202",ISNUMBER(MATCH(RIGHT(BW289,4),{"2025","2026","2027"},0)))))),OR(AND((LEN(BT289)-LEN(SUBSTITUTE(BT289,"a","")))&gt;=1,(LEN(BN289)-LEN(SUBSTITUTE(BN289,"0","")))&gt;=2,SUMPRODUCT(--ISNUMBER(SEARCH({"a0","a-0","a_0","a/0","a.0","a#0","0a","0-a","0_a","0/a"},BN289)))&gt;0),AND((LEN(BN289)-LEN(SUBSTITUTE(BN289,"a","")))=0,(LEN(BN289)-LEN(SUBSTITUTE(BN289,"0","")))&gt;=5)))),1,0),0)</f>
        <v>0</v>
      </c>
      <c r="CA2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289,"revision",""),"version",""),"jan",""),"feb",""),"mar",""),"apr",""),"may",""),"jun",""),"jul",""),"aug",""),"sep",""),"oct",""),"nov",""),"dec",""),"utc",""),"gmt",""),"myt",""),"bst",""),"rev",""),"ver",""),"b","a"),"c","a"),"d","a"),"e","a"),"f","a"),"g","a"),"h","a"),"i","a"),"j","a"),"k","a"),"l","a"),"m","a"),"n","a"),"o","a"),"p","a"),"q","a"),"r","a"),"s","a"),"t","a"),"u","a"),"v","a"),"w","a"),"x","a"),"y","a"),"z","a")</f>
        <v/>
      </c>
      <c r="CB2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289&amp;""),"a",""),"b",""),"c",""),"d",""),"e",""),"f",""),"g",""),"h",""),"i",""),"j",""),"k",""),"l",""),"m",""),"n",""),"o",""),"p",""),"q",""),"r",""),"s",""),"t",""),"u",""),"v",""),"w",""),"x",""),"y",""),"z",""),"-",""),"_",""),"/",""),".",""),"#",""),"\\",""),":","")," ",""),"(",""),")","")</f>
        <v/>
      </c>
      <c r="CC289" s="0" t="str">
        <f aca="false">" "&amp;TRIM(SUBSTITUTE(SUBSTITUTE(SUBSTITUTE(SUBSTITUTE(SUBSTITUTE(SUBSTITUTE(SUBSTITUTE(SUBSTITUTE(SUBSTITUTE(SUBSTITUTE(SUBSTITUTE(SUBSTITUTE(SUBSTITUTE(SUBSTITUTE(SUBSTITUTE(SUBSTITUTE(SUBSTITUTE(SUBSTITUTE(SUBSTITUTE(SUBSTITUTE(SUBSTITUTE(SUBSTITUTE(SUBSTITUTE(SUBSTITUTE(LOWER(T289&amp;""),CHAR(10)," "),CHAR(13)," "),CHAR(9)," "),CHAR(160)," "),"."," "),","," "),"-"," "),"/"," "),"("," "),")"," "),":"," "),";"," "),"_"," "),"–"," "),"?"," "),"!"," "),"*"," "),"["," "),"]"," "),"'"," "),"#"," "),"+"," "),"&amp;"," "),"\"," "))&amp;" "</f>
        <v>  </v>
      </c>
      <c r="CD289" s="0" t="str">
        <f aca="false">" "&amp;TRIM(SUBSTITUTE(SUBSTITUTE(SUBSTITUTE(SUBSTITUTE(SUBSTITUTE(SUBSTITUTE(SUBSTITUTE(SUBSTITUTE(SUBSTITUTE(SUBSTITUTE(SUBSTITUTE(SUBSTITUTE(SUBSTITUTE(SUBSTITUTE(SUBSTITUTE(SUBSTITUTE(SUBSTITUTE(SUBSTITUTE(SUBSTITUTE(SUBSTITUTE(SUBSTITUTE(SUBSTITUTE(SUBSTITUTE(SUBSTITUTE(LOWER(AE289&amp;""),CHAR(10)," "),CHAR(13)," "),CHAR(9)," "),CHAR(160)," "),"."," "),","," "),"-"," "),"/"," "),"("," "),")"," "),":"," "),";"," "),"_"," "),"–"," "),"?"," "),"!"," "),"*"," "),"["," "),"]"," "),"'"," "),"#"," "),"+"," "),"&amp;"," "),"\"," "))&amp;" "</f>
        <v>  </v>
      </c>
      <c r="CE289" s="68" t="n">
        <f aca="false">IFERROR(IF(AND(LEN(AU289)&gt;0,LEN(AU289)=LEN(AX289),OR(TRIM(MID(SUBSTITUTE(TRIM(CC289)," ",REPT(" ",60)),1,60))="",ISNUMBER(SEARCH(" "&amp;TRIM(MID(SUBSTITUTE(TRIM(CC289)," ",REPT(" ",60)),1,60))&amp;" ",CD289))),OR(TRIM(MID(SUBSTITUTE(TRIM(CC289)," ",REPT(" ",60)),61,60))="",ISNUMBER(SEARCH(" "&amp;TRIM(MID(SUBSTITUTE(TRIM(CC289)," ",REPT(" ",60)),61,60))&amp;" ",CD289))),OR(TRIM(MID(SUBSTITUTE(TRIM(CC289)," ",REPT(" ",60)),121,60))="",ISNUMBER(SEARCH(" "&amp;TRIM(MID(SUBSTITUTE(TRIM(CC289)," ",REPT(" ",60)),121,60))&amp;" ",CD289)))),1,0),0)</f>
        <v>0</v>
      </c>
      <c r="CG289" s="68" t="n">
        <f aca="false">IFERROR(LEN(SUBSTITUTE(BF289," ",""))-SUMPRODUCT((LEN(BF289)-LEN(SUBSTITUTE(BF289," "&amp;L_NAFiller&amp;" "," ")))/(LEN(L_NAFiller)+1)*LEN(L_NAFiller)),0)</f>
        <v>0</v>
      </c>
    </row>
    <row r="290" customFormat="false" ht="39.75" hidden="false" customHeight="true" outlineLevel="0" collapsed="false">
      <c r="A290" s="57" t="s">
        <v>864</v>
      </c>
      <c r="B290" s="57" t="s">
        <v>246</v>
      </c>
      <c r="C290" s="57" t="str">
        <f aca="false">Flights!$F$13</f>
        <v>MH0753</v>
      </c>
      <c r="D290" s="58" t="n">
        <f aca="false">Flights!$D$13</f>
        <v>46306</v>
      </c>
      <c r="E290" s="57" t="str">
        <f aca="false">Flights!$G$13&amp;"-"&amp;Flights!$H$13</f>
        <v>HAN-KUL</v>
      </c>
      <c r="F290" s="57" t="str">
        <f aca="false">Flights!$K$13</f>
        <v>BC</v>
      </c>
      <c r="G290" s="57" t="s">
        <v>81</v>
      </c>
      <c r="H290" s="57" t="s">
        <v>378</v>
      </c>
      <c r="I290" s="57" t="s">
        <v>405</v>
      </c>
      <c r="J290" s="57" t="s">
        <v>409</v>
      </c>
      <c r="K290" s="67" t="s">
        <v>407</v>
      </c>
      <c r="L290" s="67" t="s">
        <v>382</v>
      </c>
      <c r="M290" s="67"/>
      <c r="N290" s="67" t="s">
        <v>383</v>
      </c>
      <c r="O290" s="67"/>
      <c r="P290" s="57" t="s">
        <v>240</v>
      </c>
      <c r="Q290" s="59" t="n">
        <f aca="false">ROUND((Flights!$AC$13)*1440,0)/1440</f>
        <v>46299.2534722222</v>
      </c>
      <c r="R290" s="59" t="n">
        <f aca="false">Q290+(IF(AND(INDEX(TZ_DSTS,MATCH(P290,TZ_STN,0))&lt;&gt;"",Q290&gt;=INDEX(TZ_DSTS,MATCH(P290,TZ_STN,0)),Q290&lt;INDEX(TZ_DSTE,MATCH(P290,TZ_STN,0))),INDEX(TZ_DST,MATCH(P290,TZ_STN,0)),INDEX(TZ_STD,MATCH(P290,TZ_STN,0))))/24</f>
        <v>46299.5451388889</v>
      </c>
      <c r="S290" s="60"/>
      <c r="T290" s="60"/>
      <c r="U290" s="60"/>
      <c r="V290" s="60"/>
      <c r="W290" s="61"/>
      <c r="X290" s="60"/>
      <c r="Y290" s="60"/>
      <c r="Z290" s="60"/>
      <c r="AA290" s="60"/>
      <c r="AB290" s="60"/>
      <c r="AC290" s="60"/>
      <c r="AD290" s="66"/>
      <c r="AE290" s="60"/>
      <c r="AF290" s="61" t="str">
        <f aca="false">IF(AND(ISNUMBER(X290),ISNUMBER(Y290)),Y290-X290,"")</f>
        <v/>
      </c>
      <c r="AG290" s="62" t="str">
        <f aca="false">IF(ISNUMBER(AD290),AD290-(IF(AND(INDEX(TZ_DSTS,MATCH(P290,TZ_STN,0))&lt;&gt;"",(AD290-INDEX(TZ_STD,MATCH(P290,TZ_STN,0))/24)&gt;=INDEX(TZ_DSTS,MATCH(P290,TZ_STN,0)),(AD290-INDEX(TZ_STD,MATCH(P290,TZ_STN,0))/24)&lt;INDEX(TZ_DSTE,MATCH(P290,TZ_STN,0))),INDEX(TZ_DST,MATCH(P290,TZ_STN,0)),INDEX(TZ_STD,MATCH(P290,TZ_STN,0))))/24,"")</f>
        <v/>
      </c>
      <c r="AH290" s="65" t="str">
        <f aca="false">IFERROR(IF(N290="N/A – rule",IF(OR(TRIM(U290)="",TRIM(U290)="N/A",TRIM(U290)="Not started"),"N/A – RULE","INVALID – this check does not apply to this aircraft: clear the status (or correct the fleet on Flights)"),IF(TRIM(U290)="N/A",IF(AT290=0,"INVALID – N/A not permitted for this check",IF(AND(TRIM(AB290)&lt;&gt;"",TRIM(AB290)&lt;&gt;"Closed"),"INVALID – corrective action still open",IF(AND(NOT(OR(LEN(AZ290)&lt;15,ISNUMBER(MATCH(AZ290,L_Placeholder,0)))),BK290=0,CG290&gt;=8,NOT(OR(LEN(AU290)&lt;2,ISNUMBER(MATCH(AU290,L_Placeholder,0)))),BR290&gt;=3,NOT(OR(LEN(AX290)&lt;2,ISNUMBER(MATCH(AX290,L_Placeholder,0)))),BS290&gt;=3,TRIM(AE290)&lt;&gt;TRIM(T290),AX290&lt;&gt;AU290,CE290=0),"N/A – JUSTIFIED","INVALID – N/A needs a real, settled reason (not 'not applicable' / 'as above' / TBC), a named PIC and a different named verifier"))),IF(OR(TRIM(U290)="Pass",TRIM(U290)="Pass after CA"),IF(NOT(ISNUMBER(AD290)),"INVALID – completion time missing",IF(OR(OR(LEN(AU290)&lt;2,ISNUMBER(MATCH(AU290,L_Placeholder,0))),BR290&lt;3),"INVALID – PIC missing or not a named person (a role such as QA / CSM is not a name)",IF(OR(LEN(AV290)&lt;2,ISNUMBER(MATCH(AV290,L_Placeholder,0))),"INVALID – result / assessment missing",IF(OR(OR(LEN(AW290)&lt;3,ISNUMBER(MATCH(AW290,L_Placeholder,0))),SUMPRODUCT(--ISNUMBER(SEARCH(" "&amp;L_EvidencePhrase&amp;" ",BD290)))&gt;0,BI290=1),"INVALID – evidence missing, placeholder or not yet on file",IF(ISNA(MATCH(TRIM(S290),L_EvidenceType,0)),"INVALID – choose the evidence type from the list (column S)",IF(BL290=0,"INVALID – evidence ID must be the record's own ID only (e.g. SF-2210, IMG_2231, 1045521); a link / file name needs type 'Link / file path'",IF(OR(OR(LEN(AX290)&lt;2,ISNUMBER(MATCH(AX290,L_Placeholder,0))),BS290&lt;3),"INVALID – verifier missing or not a named person (a role such as QA / CSM is not a name)",IF(OR(AX290=AU290,CE290=1,AND(LEN(AU290)&gt;=4,ISNUMBER(SEARCH(AU290,AX290))),AND(LEN(AX290)&gt;=4,ISNUMBER(SEARCH(AX290,AU290)))),"INVALID – verifier must be a different, named person (not the PIC or a role)",IF(BH290=1,"INVALID – result not yet available (awaiting / TBC)",IF(BG290=1,"INVALID – result describes a problem: record Fail, then Pass after CA (or reword if it is not a problem)",IF(BV290=1,"INVALID – wording says not on board: an on-board confirmation needs the item loaded",IF(AND(AQ290=1,OR(OR(LEN(AY290)&lt;3,ISNUMBER(MATCH(AY290,L_Placeholder,0))),BJ290=1,BQ290=0)),"INVALID – batch ID missing, placeholder or not an ID (e.g. PASB-261008-BC-017)",IF(AND(AR290=1,OR(NOT(ISNUMBER(X290)),NOT(ISNUMBER(Y290)))),"INVALID – expected/actual qty missing",IF(AND(AR290=1,OR(X290&lt;=0,Y290&lt;0)),"INVALID – expected qty must be above 0 and actual not negative",IF(BB290&lt;&gt;"",BB290,IF(AND(AS290=1,Documents!$J$13&lt;&gt;"ON FILE"),"INVALID – GLD not on file (Documents sheet)",IF(AND(AS290=2,Documents!$O$13&lt;&gt;"ON FILE"),"INVALID – menu checklist not on file (Documents sheet)",IF(AND(AS290=3,NOT(ISNUMBER(Flights!$AX$13))),"INVALID – enter carrying flight KUL departure (Flights AX)",IF(AND(AS290=3,OR(Flights!$AZ$13&gt;Flights!$AA$13,Flights!$AX$13&lt;Flights!$AA$13-3)),"INVALID – carrying flight (Flights AX) cannot arrive before this leg's STD, or is over 3 days early",IF(AG290&gt;AsOfUTC,"INVALID – completion time is in the future",IF(AND(ISNUMBER(BY290),AG290&lt;BY290),IF(H290="Physical uplift","INVALID – before uplift window (cannot confirm loading)","INVALID – before valid window"),IF(AG290&gt;Flights!$AA$13,"INVALID – completed after departure (cannot establish readiness)",IF(AND(H290="Preparation",AG290&gt;=IF(ISNUMBER(Flights!$BA$13),MIN(Flights!$BA$13,Flights!$AA$13),Flights!$AA$13)),"INVALID – completed after loading / departure (cannot establish readiness)",IF(AND(H290="Physical uplift",AG290&gt;Q290),"INVALID – recorded after the loading flight departed",IF(AG290&gt;Q290,"COMPLETE – LATE","COMPLETE"))))))))))))))))))))))))),IF(TRIM(U290)="Fail","FAIL – DISCREPANCY",IF(AND(TRIM(U290)&lt;&gt;"",TRIM(U290)&lt;&gt;"Not started",TRIM(U290)&lt;&gt;"In progress"),"INVALID – unrecognised status (use the list)",IF(AsOfUTC&gt;Q290,"OVERDUE",IF(N290="Clarification required","OPEN – CLARIFICATION","OPEN"))))))),"INVALID – error value in an input cell")</f>
        <v>OPEN</v>
      </c>
      <c r="AI290" s="61" t="n">
        <f aca="false">IF(OR(AH290="N/A – RULE",AH290="N/A – JUSTIFIED"),0,1)</f>
        <v>1</v>
      </c>
      <c r="AJ290" s="61" t="n">
        <f aca="false">IF(LEFT(AH290,8)="COMPLETE",1,0)</f>
        <v>0</v>
      </c>
      <c r="AK290" s="61" t="n">
        <f aca="false">IF(AND(AI290=1,AJ290=0,AsOfUTC&gt;Q290),1,0)</f>
        <v>0</v>
      </c>
      <c r="AL290" s="61" t="n">
        <f aca="false">IFERROR(IF(AND(AI290=1,OR(TRIM(U290)="Fail",AND(TRIM(AB290)&lt;&gt;"",TRIM(AB290)&lt;&gt;"Closed"),AND(ISNUMBER(AF290),AF290&lt;&gt;0,TRIM(U290)&lt;&gt;"Pass after CA"))),1,0),1)</f>
        <v>0</v>
      </c>
      <c r="AM290" s="61" t="n">
        <f aca="false">IF(LEFT(AH290,7)="INVALID",1,0)</f>
        <v>0</v>
      </c>
      <c r="AN290" s="61" t="n">
        <f aca="false">IF(AND(N290="Clarification required",AI290=1,AJ290=0),1,0)</f>
        <v>0</v>
      </c>
      <c r="AO290" s="61" t="str">
        <f aca="false">IF(AK290=1,SUM(AK$5:AK290),"")</f>
        <v/>
      </c>
      <c r="AP290" s="61" t="str">
        <f aca="false">IF(AL290=1,SUM(AL$5:AL290),"")</f>
        <v/>
      </c>
      <c r="AQ290" s="61" t="n">
        <v>0</v>
      </c>
      <c r="AR290" s="61" t="n">
        <v>0</v>
      </c>
      <c r="AS290" s="61" t="n">
        <v>2</v>
      </c>
      <c r="AT290" s="61" t="n">
        <v>0</v>
      </c>
      <c r="AU290" s="61" t="str">
        <f aca="false">SUBSTITUTE(SUBSTITUTE(SUBSTITUTE(SUBSTITUTE(SUBSTITUTE(SUBSTITUTE(SUBSTITUTE(SUBSTITUTE(SUBSTITUTE(SUBSTITUTE(SUBSTITUTE(SUBSTITUTE(SUBSTITUTE(SUBSTITUTE(SUBSTITUTE(SUBSTITUTE(LOWER(T290&amp;""),CHAR(10),""),CHAR(13),""),CHAR(9),""),CHAR(160),"")," ",""),".",""),"-",""),"/",""),"?",""),"_",""),",",""),"[",""),"]",""),"(",""),")",""),"*","")</f>
        <v/>
      </c>
      <c r="AV290" s="61" t="str">
        <f aca="false">SUBSTITUTE(SUBSTITUTE(SUBSTITUTE(SUBSTITUTE(SUBSTITUTE(SUBSTITUTE(SUBSTITUTE(SUBSTITUTE(SUBSTITUTE(SUBSTITUTE(SUBSTITUTE(SUBSTITUTE(SUBSTITUTE(SUBSTITUTE(SUBSTITUTE(SUBSTITUTE(LOWER(V290&amp;""),CHAR(10),""),CHAR(13),""),CHAR(9),""),CHAR(160),"")," ",""),".",""),"-",""),"/",""),"?",""),"_",""),",",""),"[",""),"]",""),"(",""),")",""),"*","")</f>
        <v/>
      </c>
      <c r="AW290" s="61" t="str">
        <f aca="false">SUBSTITUTE(SUBSTITUTE(SUBSTITUTE(SUBSTITUTE(SUBSTITUTE(SUBSTITUTE(SUBSTITUTE(SUBSTITUTE(SUBSTITUTE(SUBSTITUTE(SUBSTITUTE(SUBSTITUTE(SUBSTITUTE(SUBSTITUTE(SUBSTITUTE(SUBSTITUTE(LOWER(Z290&amp;""),CHAR(10),""),CHAR(13),""),CHAR(9),""),CHAR(160),"")," ",""),".",""),"-",""),"/",""),"?",""),"_",""),",",""),"[",""),"]",""),"(",""),")",""),"*","")</f>
        <v/>
      </c>
      <c r="AX290" s="61" t="str">
        <f aca="false">SUBSTITUTE(SUBSTITUTE(SUBSTITUTE(SUBSTITUTE(SUBSTITUTE(SUBSTITUTE(SUBSTITUTE(SUBSTITUTE(SUBSTITUTE(SUBSTITUTE(SUBSTITUTE(SUBSTITUTE(SUBSTITUTE(SUBSTITUTE(SUBSTITUTE(SUBSTITUTE(LOWER(AE290&amp;""),CHAR(10),""),CHAR(13),""),CHAR(9),""),CHAR(160),"")," ",""),".",""),"-",""),"/",""),"?",""),"_",""),",",""),"[",""),"]",""),"(",""),")",""),"*","")</f>
        <v/>
      </c>
      <c r="AY290" s="61" t="str">
        <f aca="false">SUBSTITUTE(SUBSTITUTE(SUBSTITUTE(SUBSTITUTE(SUBSTITUTE(SUBSTITUTE(SUBSTITUTE(SUBSTITUTE(SUBSTITUTE(SUBSTITUTE(SUBSTITUTE(SUBSTITUTE(SUBSTITUTE(SUBSTITUTE(SUBSTITUTE(SUBSTITUTE(LOWER(W290&amp;""),CHAR(10),""),CHAR(13),""),CHAR(9),""),CHAR(160),"")," ",""),".",""),"-",""),"/",""),"?",""),"_",""),",",""),"[",""),"]",""),"(",""),")",""),"*","")</f>
        <v/>
      </c>
      <c r="AZ290" s="61" t="str">
        <f aca="false">SUBSTITUTE(SUBSTITUTE(SUBSTITUTE(SUBSTITUTE(SUBSTITUTE(SUBSTITUTE(SUBSTITUTE(SUBSTITUTE(SUBSTITUTE(SUBSTITUTE(SUBSTITUTE(SUBSTITUTE(SUBSTITUTE(SUBSTITUTE(SUBSTITUTE(SUBSTITUTE(LOWER(AC290&amp;""),CHAR(10),""),CHAR(13),""),CHAR(9),""),CHAR(160),"")," ",""),".",""),"-",""),"/",""),"?",""),"_",""),",",""),"[",""),"]",""),"(",""),")",""),"*","")</f>
        <v/>
      </c>
      <c r="BA290" s="61" t="str">
        <f aca="false">SUBSTITUTE(SUBSTITUTE(SUBSTITUTE(SUBSTITUTE(SUBSTITUTE(SUBSTITUTE(SUBSTITUTE(SUBSTITUTE(SUBSTITUTE(SUBSTITUTE(SUBSTITUTE(SUBSTITUTE(SUBSTITUTE(SUBSTITUTE(SUBSTITUTE(SUBSTITUTE(LOWER(AA290&amp;""),CHAR(10),""),CHAR(13),""),CHAR(9),""),CHAR(160),"")," ",""),".",""),"-",""),"/",""),"?",""),"_",""),",",""),"[",""),"]",""),"(",""),")",""),"*","")</f>
        <v/>
      </c>
      <c r="BB290" s="61" t="str">
        <f aca="false">IF(AND(TRIM(U290)="Pass",ISNUMBER(AF290)),IF(AF290&lt;&gt;0,"INVALID – qty variance: use Fail or Pass after CA",""),"")&amp;IF(AND(TRIM(U290)="Pass after CA",ISNUMBER(AF290)),IF(AF290&lt;&gt;0,"INVALID – after the corrective action the actual qty must equal expected (update Actual)",""),"")&amp;IF(AND(TRIM(U290)="Pass",TRIM(AB290)&lt;&gt;"",TRIM(AB290)&lt;&gt;"Closed"),"INVALID – corrective action not closed: use Fail, then Pass after CA","")&amp;IF(AND(LEN(BA290)&gt;=2,ISNA(MATCH(LEFT(BA290,255),L_Placeholder,0)),TRIM(AB290)=""),"INVALID – CA status missing for the recorded corrective action","")&amp;IF(AND(TRIM(U290)="Pass after CA",OR(OR(LEN(BA290)&lt;5,ISNUMBER(MATCH(BA290,L_Placeholder,0))),TRIM(AB290)&lt;&gt;"Closed")),"INVALID – corrective action not recorded/closed","")</f>
        <v/>
      </c>
      <c r="BC290" s="61" t="str">
        <f aca="false">" "&amp;TRIM(SUBSTITUTE(SUBSTITUTE(SUBSTITUTE(SUBSTITUTE(SUBSTITUTE(SUBSTITUTE(SUBSTITUTE(SUBSTITUTE(SUBSTITUTE(SUBSTITUTE(SUBSTITUTE(SUBSTITUTE(SUBSTITUTE(SUBSTITUTE(SUBSTITUTE(SUBSTITUTE(SUBSTITUTE(SUBSTITUTE(SUBSTITUTE(SUBSTITUTE(SUBSTITUTE(SUBSTITUTE(SUBSTITUTE(SUBSTITUTE(LOWER(V290&amp;""),CHAR(10)," "),CHAR(13)," "),CHAR(9)," "),CHAR(160)," "),"."," "),","," "),"-"," "),"/"," "),"("," "),")"," "),":"," "),";"," "),"_"," "),"–"," "),"?"," "),"!"," "),"*"," "),"["," "),"]"," "),"'"," "),"#"," "),"+"," "),"&amp;"," "),"\"," "))&amp;" "</f>
        <v>  </v>
      </c>
      <c r="BD290" s="61" t="str">
        <f aca="false">" "&amp;TRIM(SUBSTITUTE(SUBSTITUTE(SUBSTITUTE(SUBSTITUTE(SUBSTITUTE(SUBSTITUTE(SUBSTITUTE(SUBSTITUTE(SUBSTITUTE(SUBSTITUTE(SUBSTITUTE(SUBSTITUTE(SUBSTITUTE(SUBSTITUTE(SUBSTITUTE(SUBSTITUTE(SUBSTITUTE(SUBSTITUTE(SUBSTITUTE(SUBSTITUTE(SUBSTITUTE(SUBSTITUTE(SUBSTITUTE(SUBSTITUTE(LOWER(Z290&amp;""),CHAR(10)," "),CHAR(13)," "),CHAR(9)," "),CHAR(160)," "),"."," "),","," "),"-"," "),"/"," "),"("," "),")"," "),":"," "),";"," "),"_"," "),"–"," "),"?"," "),"!"," "),"*"," "),"["," "),"]"," "),"'"," "),"#"," "),"+"," "),"&amp;"," "),"\"," "))&amp;" "</f>
        <v>  </v>
      </c>
      <c r="BE290" s="61" t="str">
        <f aca="false">" "&amp;TRIM(SUBSTITUTE(SUBSTITUTE(SUBSTITUTE(SUBSTITUTE(SUBSTITUTE(SUBSTITUTE(SUBSTITUTE(SUBSTITUTE(SUBSTITUTE(SUBSTITUTE(SUBSTITUTE(SUBSTITUTE(SUBSTITUTE(SUBSTITUTE(SUBSTITUTE(SUBSTITUTE(SUBSTITUTE(SUBSTITUTE(SUBSTITUTE(SUBSTITUTE(SUBSTITUTE(SUBSTITUTE(SUBSTITUTE(SUBSTITUTE(LOWER(W290&amp;""),CHAR(10)," "),CHAR(13)," "),CHAR(9)," "),CHAR(160)," "),"."," "),","," "),"-"," "),"/"," "),"("," "),")"," "),":"," "),";"," "),"_"," "),"–"," "),"?"," "),"!"," "),"*"," "),"["," "),"]"," "),"'"," "),"#"," "),"+"," "),"&amp;"," "),"\"," "))&amp;" "</f>
        <v>  </v>
      </c>
      <c r="BF290" s="61" t="str">
        <f aca="false">" "&amp;TRIM(SUBSTITUTE(SUBSTITUTE(SUBSTITUTE(SUBSTITUTE(SUBSTITUTE(SUBSTITUTE(SUBSTITUTE(SUBSTITUTE(SUBSTITUTE(SUBSTITUTE(SUBSTITUTE(SUBSTITUTE(SUBSTITUTE(SUBSTITUTE(SUBSTITUTE(SUBSTITUTE(SUBSTITUTE(SUBSTITUTE(SUBSTITUTE(SUBSTITUTE(SUBSTITUTE(SUBSTITUTE(SUBSTITUTE(SUBSTITUTE(LOWER(AC290&amp;""),CHAR(10)," "),CHAR(13)," "),CHAR(9)," "),CHAR(160)," "),"."," "),","," "),"-"," "),"/"," "),"("," "),")"," "),":"," "),";"," "),"_"," "),"–"," "),"?"," "),"!"," "),"*"," "),"["," "),"]"," "),"'"," "),"#"," "),"+"," "),"&amp;"," "),"\"," "))&amp;" "</f>
        <v>  </v>
      </c>
      <c r="BG290" s="61" t="n">
        <f aca="false">IFERROR(IF(AND(TRIM(U290)="Pass",SUMPRODUCT((LEN(BC290)-LEN(SUBSTITUTE(BC290," "&amp;L_ResultBad&amp;" "," ")))/(LEN(L_ResultBad)+1))&gt;SUMPRODUCT((LEN(BC290)-LEN(SUBSTITUTE(BC290," "&amp;L_NegPhrase&amp;" "," ")))/(LEN(L_NegPhrase)+1))),1,0),0)</f>
        <v>0</v>
      </c>
      <c r="BH290" s="61" t="n">
        <f aca="false">IFERROR(IF(SUMPRODUCT((LEN(BC290)-LEN(SUBSTITUTE(BC290," "&amp;L_Pending&amp;" "," ")))/(LEN(L_Pending)+1))&gt;SUMPRODUCT((LEN(BC290)-LEN(SUBSTITUTE(BC290," "&amp;L_PendNeg&amp;" "," ")))/(LEN(L_PendNeg)+1))+SUMPRODUCT((LEN(BC290)-LEN(SUBSTITUTE(BC290," "&amp;L_PendPrep&amp;" "," ")))/(LEN(L_PendPrep)+1)),1,0),1)</f>
        <v>0</v>
      </c>
      <c r="BI290" s="61" t="n">
        <f aca="false">IFERROR(IF(SUMPRODUCT((LEN(BD290)-LEN(SUBSTITUTE(BD290," "&amp;L_PendStrict&amp;" "," ")))/(LEN(L_PendStrict)+1))&gt;SUMPRODUCT((LEN(BD290)-LEN(SUBSTITUTE(BD290," "&amp;L_PendNeg&amp;" "," ")))/(LEN(L_PendNeg)+1)),1,0),1)</f>
        <v>0</v>
      </c>
      <c r="BJ290" s="61" t="n">
        <f aca="false">IFERROR(IF(SUMPRODUCT((LEN(BE290)-LEN(SUBSTITUTE(BE290," "&amp;L_Pending&amp;" "," ")))/(LEN(L_Pending)+1))&gt;SUMPRODUCT((LEN(BE290)-LEN(SUBSTITUTE(BE290," "&amp;L_PendNeg&amp;" "," ")))/(LEN(L_PendNeg)+1))+SUMPRODUCT((LEN(BE290)-LEN(SUBSTITUTE(BE290," "&amp;L_PendPrep&amp;" "," ")))/(LEN(L_PendPrep)+1)),1,0),1)</f>
        <v>0</v>
      </c>
      <c r="BK290" s="61" t="n">
        <f aca="false">IFERROR(IF(SUMPRODUCT((LEN(BF290)-LEN(SUBSTITUTE(BF290," "&amp;L_PendStrict&amp;" "," ")))/(LEN(L_PendStrict)+1))&gt;SUMPRODUCT((LEN(BF290)-LEN(SUBSTITUTE(BF290," "&amp;L_PendNeg&amp;" "," ")))/(LEN(L_PendNeg)+1)),1,0),1)</f>
        <v>0</v>
      </c>
      <c r="BL290" s="61" t="n">
        <f aca="false">IF(ISNA(MATCH(TRIM(S290),L_EvidenceType,0)),0,BZ290)</f>
        <v>0</v>
      </c>
      <c r="BM290" s="61" t="str">
        <f aca="false">SUBSTITUTE(SUBSTITUTE(SUBSTITUTE(SUBSTITUTE(SUBSTITUTE(SUBSTITUTE(SUBSTITUTE(SUBSTITUTE(SUBSTITUTE(LOWER(Z290&amp;""),"1","0"),"2","0"),"3","0"),"4","0"),"5","0"),"6","0"),"7","0"),"8","0"),"9","0")</f>
        <v/>
      </c>
      <c r="BN290" s="61" t="str">
        <f aca="false">SUBSTITUTE(SUBSTITUTE(SUBSTITUTE(SUBSTITUTE(SUBSTITUTE(SUBSTITUTE(SUBSTITUTE(SUBSTITUTE(SUBSTITUTE(SUBSTITUTE(SUBSTITUTE(SUBSTITUTE(SUBSTITUTE(SUBSTITUTE(SUBSTITUTE(SUBSTITUTE(SUBSTITUTE(SUBSTITUTE(SUBSTITUTE(SUBSTITUTE(SUBSTITUTE(SUBSTITUTE(SUBSTITUTE(SUBSTITUTE(SUBSTITUTE(BM290,"b","a"),"c","a"),"d","a"),"e","a"),"f","a"),"g","a"),"h","a"),"i","a"),"j","a"),"k","a"),"l","a"),"m","a"),"n","a"),"o","a"),"p","a"),"q","a"),"r","a"),"s","a"),"t","a"),"u","a"),"v","a"),"w","a"),"x","a"),"y","a"),"z","a")</f>
        <v/>
      </c>
      <c r="BO290" s="61" t="str">
        <f aca="false">SUBSTITUTE(SUBSTITUTE(SUBSTITUTE(SUBSTITUTE(SUBSTITUTE(SUBSTITUTE(SUBSTITUTE(SUBSTITUTE(SUBSTITUTE(LOWER(W290&amp;""),"1","0"),"2","0"),"3","0"),"4","0"),"5","0"),"6","0"),"7","0"),"8","0"),"9","0")</f>
        <v/>
      </c>
      <c r="BP290" s="61" t="str">
        <f aca="false">SUBSTITUTE(SUBSTITUTE(SUBSTITUTE(SUBSTITUTE(SUBSTITUTE(SUBSTITUTE(SUBSTITUTE(SUBSTITUTE(SUBSTITUTE(SUBSTITUTE(SUBSTITUTE(SUBSTITUTE(SUBSTITUTE(SUBSTITUTE(SUBSTITUTE(SUBSTITUTE(SUBSTITUTE(SUBSTITUTE(SUBSTITUTE(SUBSTITUTE(SUBSTITUTE(SUBSTITUTE(SUBSTITUTE(SUBSTITUTE(SUBSTITUTE(BO290,"b","a"),"c","a"),"d","a"),"e","a"),"f","a"),"g","a"),"h","a"),"i","a"),"j","a"),"k","a"),"l","a"),"m","a"),"n","a"),"o","a"),"p","a"),"q","a"),"r","a"),"s","a"),"t","a"),"u","a"),"v","a"),"w","a"),"x","a"),"y","a"),"z","a")</f>
        <v/>
      </c>
      <c r="BQ290" s="61" t="n">
        <f aca="false">IFERROR(IF(AND(ISERROR(SEARCH(" mh"," "&amp;LOWER(W290))),ISNA(MATCH(LEFT(TRIM(BP290),255),{"0000a","000a","00a","0000aa","000aa","00aa","0aa","0000aaa","000aaa","00a00","0a00","0000-0000","00:00","a00","a0","00.00.0000","00/00/0000","00-00-0000","0000-00-00","0000/00/00","0000.00.00","00.00.00","00/00/00","00-00-00","0.00.0000","0/00/0000","0-00-0000"},0)),ISNA(MATCH(LEFT(TRIM(CA290),255),{"0000a","000a","00a","0000aa","000aa","00aa","0aa","0000aaa","000aaa","00a00","0a00","0000-0000","00:00","a00","a0","00.00.0000","00/00/0000","00-00-0000","0000-00-00","0000/00/00","0000.00.00","00.00.00","00/00/00","00-00-00","0.00.0000","0/00/0000","0-00-0000"},0)),LEN(CB290)&gt;=3,NOT(OR(SUBSTITUTE(CB290,"0","")="",AND(LEN(CB290)&gt;=4,CB290=REPT(LEFT(CB290),LEN(CB290))),ISNUMBER(MATCH(CB290,{"123","1234","12345","123456","1234567","12345678","0123","01234","012345","98765","987654","54321"},0)),AND(LEN(CB290)=8,LEFT(CB290,3)="202"))),OR(AND((LEN(CA290)-LEN(SUBSTITUTE(CA290,"a","")))&gt;=1,SUMPRODUCT(--ISNUMBER(SEARCH({"a0","a-0","a_0","a/0","a.0","a#0","0a","0-a","0_a","0/a"},BP290)))&gt;0),ISNUMBER(SEARCH("000000",BP290)))),1,0),0)</f>
        <v>0</v>
      </c>
      <c r="BR290" s="61" t="n">
        <f aca="false">IFERROR(LEN(SUBSTITUTE(CC290," ",""))-SUMPRODUCT((LEN(CC290)-LEN(SUBSTITUTE(CC290," "&amp;L_Role&amp;" "," ")))/(LEN(L_Role)+1)*LEN(L_Role)),0)</f>
        <v>0</v>
      </c>
      <c r="BS290" s="61" t="n">
        <f aca="false">IFERROR(LEN(SUBSTITUTE(CD290," ",""))-SUMPRODUCT((LEN(CD290)-LEN(SUBSTITUTE(CD290," "&amp;L_Role&amp;" "," ")))/(LEN(L_Role)+1)*LEN(L_Role)),0)</f>
        <v>0</v>
      </c>
      <c r="BT2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290,"revision",""),"version",""),"jan",""),"feb",""),"mar",""),"apr",""),"may",""),"jun",""),"jul",""),"aug",""),"sep",""),"oct",""),"nov",""),"dec",""),"utc",""),"gmt",""),"myt",""),"bst",""),"rev",""),"ver",""),"b","a"),"c","a"),"d","a"),"e","a"),"f","a"),"g","a"),"h","a"),"i","a"),"j","a"),"k","a"),"l","a"),"m","a"),"n","a"),"o","a"),"p","a"),"q","a"),"r","a"),"s","a"),"t","a"),"u","a"),"v","a"),"w","a"),"x","a"),"y","a"),"z","a")</f>
        <v/>
      </c>
      <c r="BU290" s="61" t="str">
        <f aca="false">SUBSTITUTE(SUBSTITUTE(SUBSTITUTE(SUBSTITUTE(SUBSTITUTE(SUBSTITUTE(SUBSTITUTE(SUBSTITUTE(SUBSTITUTE(SUBSTITUTE(LEFT(BM290,FIND("0",BM290&amp;"0")-1),"-",""),"_",""),"/",""),".",""),"#",""),"\\",""),":","")," ",""),"(",""),")","")</f>
        <v/>
      </c>
      <c r="BV290" s="61" t="n">
        <f aca="false">0</f>
        <v>0</v>
      </c>
      <c r="BW2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290&amp;""),"a",""),"b",""),"c",""),"d",""),"e",""),"f",""),"g",""),"h",""),"i",""),"j",""),"k",""),"l",""),"m",""),"n",""),"o",""),"p",""),"q",""),"r",""),"s",""),"t",""),"u",""),"v",""),"w",""),"x",""),"y",""),"z",""),"-",""),"_",""),"/",""),".",""),"#",""),"\\",""),":","")," ",""),"(",""),")","")</f>
        <v/>
      </c>
      <c r="BX290" s="61" t="str">
        <f aca="false">SUBSTITUTE(SUBSTITUTE(SUBSTITUTE(SUBSTITUTE(SUBSTITUTE(SUBSTITUTE(SUBSTITUTE(SUBSTITUTE(SUBSTITUTE(SUBSTITUTE(SUBSTITUTE(BM290,"0",""),"-",""),"_",""),"/",""),".",""),"#",""),"\\",""),":","")," ",""),"(",""),")","")</f>
        <v/>
      </c>
      <c r="BY290" s="62" t="n">
        <f aca="false">Q290-T7EarlyD*24/24</f>
        <v>46285.2534722222</v>
      </c>
      <c r="BZ290" s="61" t="n">
        <f aca="false">IFERROR(IF(IF(TRIM(S290)="Link / file path",AND(LEN(TRIM(Z290))&gt;=5,SUMPRODUCT(--ISNUMBER(SEARCH({"http","www.","\\",":\",".pdf",".jpg",".jpeg",".png",".heic",".xls",".doc",".msg",".eml",".ppt",".txt",".zip"},Z290)))&gt;0),AND(ISERROR(FIND(" ",TRIM(Z290))),NOT(OR(SUMPRODUCT(--ISNUMBER(FIND({",",";","&amp;","+"},Z290)))&gt;0,SUMPRODUCT(--ISNUMBER(SEARCH({"0/aa","0\\aa"},BN290)))&gt;0)),NOT(SUMPRODUCT(--ISNUMBER(SEARCH({"http","www.","\\",":\",".pdf",".jpg",".jpeg",".png",".heic",".xls",".doc",".msg",".eml",".ppt",".txt",".zip"},Z290)))&gt;0),NOT(LOWER(TRIM(Z290))=LOWER(Flights!$F$13)),ISNA(MATCH(BU290,{"mh","rev","revision","ver","version","v","r","a","b","seat","tray","row","gate","bay","stand","page","pg","item","line","no","cart","galley","flight","flt","table","box","bag","oven","etd","eta","std","sta","atd","ata","qty","pax","x","time","tel","ph","mob","day","wk","week","utc","gmt","myt","lt"},0)),NOT(OR(ISNUMBER(MATCH(LEFT(BN290,255),{"0000a","000a","00a","0000aa","000aa","00aa","0aa","0000aaa","000aaa","00a00","0a00","0000-0000","00:00","a00","a0","00.00.0000","00/00/0000","00-00-0000","0000-00-00","0000/00/00","0000.00.00","00.00.00","00/00/00","00-00-00","0.00.0000","0/00/0000","0-00-0000"},0)),ISNUMBER(MATCH(LEFT(BT290,255),{"0000a","000a","00a","0000aa","000aa","00aa","0aa","0000aaa","000aaa","00a00","0a00","0000-0000","00:00","a00","a0","00.00.0000","00/00/0000","00-00-0000","0000-00-00","0000/00/00","0000.00.00","00.00.00","00/00/00","00-00-00","0.00.0000","0/00/0000","0-00-0000"},0)))),NOT(OR(AND(BW290&lt;&gt;"",SUBSTITUTE(BW290,"0","")=""),AND(LEN(BW290)&gt;=4,BW290=REPT(LEFT(BW290),LEN(BW290))),ISNUMBER(MATCH(BW290,{"123","1234","12345","123456","1234567","12345678","0123","01234","012345","98765","987654","54321"},0)),ISNUMBER(MATCH(BX290,{"x","xx","xxx","xxxx","xxxxx","abc","abcd","nil","na","nan","test","tbc","tba","tbd","dummy","sample","example","eg","zz","zzz","none","null","xyz","qwe","asd","id","ref"},0)),AND(LEN(BW290)=8,BX290="",OR(LEFT(BW290,3)="202",ISNUMBER(MATCH(RIGHT(BW290,4),{"2025","2026","2027"},0)))))),OR(AND((LEN(BT290)-LEN(SUBSTITUTE(BT290,"a","")))&gt;=1,(LEN(BN290)-LEN(SUBSTITUTE(BN290,"0","")))&gt;=2,SUMPRODUCT(--ISNUMBER(SEARCH({"a0","a-0","a_0","a/0","a.0","a#0","0a","0-a","0_a","0/a"},BN290)))&gt;0),AND((LEN(BN290)-LEN(SUBSTITUTE(BN290,"a","")))=0,(LEN(BN290)-LEN(SUBSTITUTE(BN290,"0","")))&gt;=5)))),1,0),0)</f>
        <v>0</v>
      </c>
      <c r="CA2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290,"revision",""),"version",""),"jan",""),"feb",""),"mar",""),"apr",""),"may",""),"jun",""),"jul",""),"aug",""),"sep",""),"oct",""),"nov",""),"dec",""),"utc",""),"gmt",""),"myt",""),"bst",""),"rev",""),"ver",""),"b","a"),"c","a"),"d","a"),"e","a"),"f","a"),"g","a"),"h","a"),"i","a"),"j","a"),"k","a"),"l","a"),"m","a"),"n","a"),"o","a"),"p","a"),"q","a"),"r","a"),"s","a"),"t","a"),"u","a"),"v","a"),"w","a"),"x","a"),"y","a"),"z","a")</f>
        <v/>
      </c>
      <c r="CB2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290&amp;""),"a",""),"b",""),"c",""),"d",""),"e",""),"f",""),"g",""),"h",""),"i",""),"j",""),"k",""),"l",""),"m",""),"n",""),"o",""),"p",""),"q",""),"r",""),"s",""),"t",""),"u",""),"v",""),"w",""),"x",""),"y",""),"z",""),"-",""),"_",""),"/",""),".",""),"#",""),"\\",""),":","")," ",""),"(",""),")","")</f>
        <v/>
      </c>
      <c r="CC290" s="0" t="str">
        <f aca="false">" "&amp;TRIM(SUBSTITUTE(SUBSTITUTE(SUBSTITUTE(SUBSTITUTE(SUBSTITUTE(SUBSTITUTE(SUBSTITUTE(SUBSTITUTE(SUBSTITUTE(SUBSTITUTE(SUBSTITUTE(SUBSTITUTE(SUBSTITUTE(SUBSTITUTE(SUBSTITUTE(SUBSTITUTE(SUBSTITUTE(SUBSTITUTE(SUBSTITUTE(SUBSTITUTE(SUBSTITUTE(SUBSTITUTE(SUBSTITUTE(SUBSTITUTE(LOWER(T290&amp;""),CHAR(10)," "),CHAR(13)," "),CHAR(9)," "),CHAR(160)," "),"."," "),","," "),"-"," "),"/"," "),"("," "),")"," "),":"," "),";"," "),"_"," "),"–"," "),"?"," "),"!"," "),"*"," "),"["," "),"]"," "),"'"," "),"#"," "),"+"," "),"&amp;"," "),"\"," "))&amp;" "</f>
        <v>  </v>
      </c>
      <c r="CD290" s="0" t="str">
        <f aca="false">" "&amp;TRIM(SUBSTITUTE(SUBSTITUTE(SUBSTITUTE(SUBSTITUTE(SUBSTITUTE(SUBSTITUTE(SUBSTITUTE(SUBSTITUTE(SUBSTITUTE(SUBSTITUTE(SUBSTITUTE(SUBSTITUTE(SUBSTITUTE(SUBSTITUTE(SUBSTITUTE(SUBSTITUTE(SUBSTITUTE(SUBSTITUTE(SUBSTITUTE(SUBSTITUTE(SUBSTITUTE(SUBSTITUTE(SUBSTITUTE(SUBSTITUTE(LOWER(AE290&amp;""),CHAR(10)," "),CHAR(13)," "),CHAR(9)," "),CHAR(160)," "),"."," "),","," "),"-"," "),"/"," "),"("," "),")"," "),":"," "),";"," "),"_"," "),"–"," "),"?"," "),"!"," "),"*"," "),"["," "),"]"," "),"'"," "),"#"," "),"+"," "),"&amp;"," "),"\"," "))&amp;" "</f>
        <v>  </v>
      </c>
      <c r="CE290" s="68" t="n">
        <f aca="false">IFERROR(IF(AND(LEN(AU290)&gt;0,LEN(AU290)=LEN(AX290),OR(TRIM(MID(SUBSTITUTE(TRIM(CC290)," ",REPT(" ",60)),1,60))="",ISNUMBER(SEARCH(" "&amp;TRIM(MID(SUBSTITUTE(TRIM(CC290)," ",REPT(" ",60)),1,60))&amp;" ",CD290))),OR(TRIM(MID(SUBSTITUTE(TRIM(CC290)," ",REPT(" ",60)),61,60))="",ISNUMBER(SEARCH(" "&amp;TRIM(MID(SUBSTITUTE(TRIM(CC290)," ",REPT(" ",60)),61,60))&amp;" ",CD290))),OR(TRIM(MID(SUBSTITUTE(TRIM(CC290)," ",REPT(" ",60)),121,60))="",ISNUMBER(SEARCH(" "&amp;TRIM(MID(SUBSTITUTE(TRIM(CC290)," ",REPT(" ",60)),121,60))&amp;" ",CD290)))),1,0),0)</f>
        <v>0</v>
      </c>
      <c r="CG290" s="68" t="n">
        <f aca="false">IFERROR(LEN(SUBSTITUTE(BF290," ",""))-SUMPRODUCT((LEN(BF290)-LEN(SUBSTITUTE(BF290," "&amp;L_NAFiller&amp;" "," ")))/(LEN(L_NAFiller)+1)*LEN(L_NAFiller)),0)</f>
        <v>0</v>
      </c>
    </row>
    <row r="291" customFormat="false" ht="39.75" hidden="false" customHeight="true" outlineLevel="0" collapsed="false">
      <c r="A291" s="57" t="s">
        <v>865</v>
      </c>
      <c r="B291" s="57" t="s">
        <v>246</v>
      </c>
      <c r="C291" s="57" t="str">
        <f aca="false">Flights!$F$13</f>
        <v>MH0753</v>
      </c>
      <c r="D291" s="58" t="n">
        <f aca="false">Flights!$D$13</f>
        <v>46306</v>
      </c>
      <c r="E291" s="57" t="str">
        <f aca="false">Flights!$G$13&amp;"-"&amp;Flights!$H$13</f>
        <v>HAN-KUL</v>
      </c>
      <c r="F291" s="57" t="str">
        <f aca="false">Flights!$K$13</f>
        <v>BC</v>
      </c>
      <c r="G291" s="57" t="s">
        <v>81</v>
      </c>
      <c r="H291" s="57" t="s">
        <v>378</v>
      </c>
      <c r="I291" s="57" t="s">
        <v>411</v>
      </c>
      <c r="J291" s="57" t="s">
        <v>412</v>
      </c>
      <c r="K291" s="67" t="s">
        <v>866</v>
      </c>
      <c r="L291" s="67" t="s">
        <v>843</v>
      </c>
      <c r="M291" s="67"/>
      <c r="N291" s="67" t="s">
        <v>383</v>
      </c>
      <c r="O291" s="67"/>
      <c r="P291" s="57" t="s">
        <v>240</v>
      </c>
      <c r="Q291" s="59" t="n">
        <f aca="false">ROUND((Flights!$AC$13)*1440,0)/1440</f>
        <v>46299.2534722222</v>
      </c>
      <c r="R291" s="59" t="n">
        <f aca="false">Q291+(IF(AND(INDEX(TZ_DSTS,MATCH(P291,TZ_STN,0))&lt;&gt;"",Q291&gt;=INDEX(TZ_DSTS,MATCH(P291,TZ_STN,0)),Q291&lt;INDEX(TZ_DSTE,MATCH(P291,TZ_STN,0))),INDEX(TZ_DST,MATCH(P291,TZ_STN,0)),INDEX(TZ_STD,MATCH(P291,TZ_STN,0))))/24</f>
        <v>46299.5451388889</v>
      </c>
      <c r="S291" s="60"/>
      <c r="T291" s="60"/>
      <c r="U291" s="60"/>
      <c r="V291" s="60"/>
      <c r="W291" s="61"/>
      <c r="X291" s="60"/>
      <c r="Y291" s="60"/>
      <c r="Z291" s="60"/>
      <c r="AA291" s="60"/>
      <c r="AB291" s="60"/>
      <c r="AC291" s="60"/>
      <c r="AD291" s="66"/>
      <c r="AE291" s="60"/>
      <c r="AF291" s="61" t="str">
        <f aca="false">IF(AND(ISNUMBER(X291),ISNUMBER(Y291)),Y291-X291,"")</f>
        <v/>
      </c>
      <c r="AG291" s="62" t="str">
        <f aca="false">IF(ISNUMBER(AD291),AD291-(IF(AND(INDEX(TZ_DSTS,MATCH(P291,TZ_STN,0))&lt;&gt;"",(AD291-INDEX(TZ_STD,MATCH(P291,TZ_STN,0))/24)&gt;=INDEX(TZ_DSTS,MATCH(P291,TZ_STN,0)),(AD291-INDEX(TZ_STD,MATCH(P291,TZ_STN,0))/24)&lt;INDEX(TZ_DSTE,MATCH(P291,TZ_STN,0))),INDEX(TZ_DST,MATCH(P291,TZ_STN,0)),INDEX(TZ_STD,MATCH(P291,TZ_STN,0))))/24,"")</f>
        <v/>
      </c>
      <c r="AH291" s="65" t="str">
        <f aca="false">IFERROR(IF(N291="N/A – rule",IF(OR(TRIM(U291)="",TRIM(U291)="N/A",TRIM(U291)="Not started"),"N/A – RULE","INVALID – this check does not apply to this aircraft: clear the status (or correct the fleet on Flights)"),IF(TRIM(U291)="N/A",IF(AT291=0,"INVALID – N/A not permitted for this check",IF(AND(TRIM(AB291)&lt;&gt;"",TRIM(AB291)&lt;&gt;"Closed"),"INVALID – corrective action still open",IF(AND(NOT(OR(LEN(AZ291)&lt;15,ISNUMBER(MATCH(AZ291,L_Placeholder,0)))),BK291=0,CG291&gt;=8,NOT(OR(LEN(AU291)&lt;2,ISNUMBER(MATCH(AU291,L_Placeholder,0)))),BR291&gt;=3,NOT(OR(LEN(AX291)&lt;2,ISNUMBER(MATCH(AX291,L_Placeholder,0)))),BS291&gt;=3,TRIM(AE291)&lt;&gt;TRIM(T291),AX291&lt;&gt;AU291,CE291=0),"N/A – JUSTIFIED","INVALID – N/A needs a real, settled reason (not 'not applicable' / 'as above' / TBC), a named PIC and a different named verifier"))),IF(OR(TRIM(U291)="Pass",TRIM(U291)="Pass after CA"),IF(NOT(ISNUMBER(AD291)),"INVALID – completion time missing",IF(OR(OR(LEN(AU291)&lt;2,ISNUMBER(MATCH(AU291,L_Placeholder,0))),BR291&lt;3),"INVALID – PIC missing or not a named person (a role such as QA / CSM is not a name)",IF(OR(LEN(AV291)&lt;2,ISNUMBER(MATCH(AV291,L_Placeholder,0))),"INVALID – result / assessment missing",IF(OR(OR(LEN(AW291)&lt;3,ISNUMBER(MATCH(AW291,L_Placeholder,0))),SUMPRODUCT(--ISNUMBER(SEARCH(" "&amp;L_EvidencePhrase&amp;" ",BD291)))&gt;0,BI291=1),"INVALID – evidence missing, placeholder or not yet on file",IF(ISNA(MATCH(TRIM(S291),L_EvidenceType,0)),"INVALID – choose the evidence type from the list (column S)",IF(BL291=0,"INVALID – evidence ID must be the record's own ID only (e.g. SF-2210, IMG_2231, 1045521); a link / file name needs type 'Link / file path'",IF(OR(OR(LEN(AX291)&lt;2,ISNUMBER(MATCH(AX291,L_Placeholder,0))),BS291&lt;3),"INVALID – verifier missing or not a named person (a role such as QA / CSM is not a name)",IF(OR(AX291=AU291,CE291=1,AND(LEN(AU291)&gt;=4,ISNUMBER(SEARCH(AU291,AX291))),AND(LEN(AX291)&gt;=4,ISNUMBER(SEARCH(AX291,AU291)))),"INVALID – verifier must be a different, named person (not the PIC or a role)",IF(BH291=1,"INVALID – result not yet available (awaiting / TBC)",IF(BG291=1,"INVALID – result describes a problem: record Fail, then Pass after CA (or reword if it is not a problem)",IF(BV291=1,"INVALID – wording says not on board: an on-board confirmation needs the item loaded",IF(AND(AQ291=1,OR(OR(LEN(AY291)&lt;3,ISNUMBER(MATCH(AY291,L_Placeholder,0))),BJ291=1,BQ291=0)),"INVALID – batch ID missing, placeholder or not an ID (e.g. PASB-261008-BC-017)",IF(AND(AR291=1,OR(NOT(ISNUMBER(X291)),NOT(ISNUMBER(Y291)))),"INVALID – expected/actual qty missing",IF(AND(AR291=1,OR(X291&lt;=0,Y291&lt;0)),"INVALID – expected qty must be above 0 and actual not negative",IF(BB291&lt;&gt;"",BB291,IF(AND(AS291=1,Documents!$J$13&lt;&gt;"ON FILE"),"INVALID – GLD not on file (Documents sheet)",IF(AND(AS291=2,Documents!$O$13&lt;&gt;"ON FILE"),"INVALID – menu checklist not on file (Documents sheet)",IF(AND(AS291=3,NOT(ISNUMBER(Flights!$AX$13))),"INVALID – enter carrying flight KUL departure (Flights AX)",IF(AND(AS291=3,OR(Flights!$AZ$13&gt;Flights!$AA$13,Flights!$AX$13&lt;Flights!$AA$13-3)),"INVALID – carrying flight (Flights AX) cannot arrive before this leg's STD, or is over 3 days early",IF(AG291&gt;AsOfUTC,"INVALID – completion time is in the future",IF(AND(ISNUMBER(BY291),AG291&lt;BY291),IF(H291="Physical uplift","INVALID – before uplift window (cannot confirm loading)","INVALID – before valid window"),IF(AG291&gt;Flights!$AA$13,"INVALID – completed after departure (cannot establish readiness)",IF(AND(H291="Preparation",AG291&gt;=IF(ISNUMBER(Flights!$BA$13),MIN(Flights!$BA$13,Flights!$AA$13),Flights!$AA$13)),"INVALID – completed after loading / departure (cannot establish readiness)",IF(AND(H291="Physical uplift",AG291&gt;Q291),"INVALID – recorded after the loading flight departed",IF(AG291&gt;Q291,"COMPLETE – LATE","COMPLETE"))))))))))))))))))))))))),IF(TRIM(U291)="Fail","FAIL – DISCREPANCY",IF(AND(TRIM(U291)&lt;&gt;"",TRIM(U291)&lt;&gt;"Not started",TRIM(U291)&lt;&gt;"In progress"),"INVALID – unrecognised status (use the list)",IF(AsOfUTC&gt;Q291,"OVERDUE",IF(N291="Clarification required","OPEN – CLARIFICATION","OPEN"))))))),"INVALID – error value in an input cell")</f>
        <v>OPEN</v>
      </c>
      <c r="AI291" s="61" t="n">
        <f aca="false">IF(OR(AH291="N/A – RULE",AH291="N/A – JUSTIFIED"),0,1)</f>
        <v>1</v>
      </c>
      <c r="AJ291" s="61" t="n">
        <f aca="false">IF(LEFT(AH291,8)="COMPLETE",1,0)</f>
        <v>0</v>
      </c>
      <c r="AK291" s="61" t="n">
        <f aca="false">IF(AND(AI291=1,AJ291=0,AsOfUTC&gt;Q291),1,0)</f>
        <v>0</v>
      </c>
      <c r="AL291" s="61" t="n">
        <f aca="false">IFERROR(IF(AND(AI291=1,OR(TRIM(U291)="Fail",AND(TRIM(AB291)&lt;&gt;"",TRIM(AB291)&lt;&gt;"Closed"),AND(ISNUMBER(AF291),AF291&lt;&gt;0,TRIM(U291)&lt;&gt;"Pass after CA"))),1,0),1)</f>
        <v>0</v>
      </c>
      <c r="AM291" s="61" t="n">
        <f aca="false">IF(LEFT(AH291,7)="INVALID",1,0)</f>
        <v>0</v>
      </c>
      <c r="AN291" s="61" t="n">
        <f aca="false">IF(AND(N291="Clarification required",AI291=1,AJ291=0),1,0)</f>
        <v>0</v>
      </c>
      <c r="AO291" s="61" t="str">
        <f aca="false">IF(AK291=1,SUM(AK$5:AK291),"")</f>
        <v/>
      </c>
      <c r="AP291" s="61" t="str">
        <f aca="false">IF(AL291=1,SUM(AL$5:AL291),"")</f>
        <v/>
      </c>
      <c r="AQ291" s="61" t="n">
        <v>0</v>
      </c>
      <c r="AR291" s="61" t="n">
        <v>0</v>
      </c>
      <c r="AS291" s="61" t="n">
        <v>0</v>
      </c>
      <c r="AT291" s="61" t="n">
        <v>0</v>
      </c>
      <c r="AU291" s="61" t="str">
        <f aca="false">SUBSTITUTE(SUBSTITUTE(SUBSTITUTE(SUBSTITUTE(SUBSTITUTE(SUBSTITUTE(SUBSTITUTE(SUBSTITUTE(SUBSTITUTE(SUBSTITUTE(SUBSTITUTE(SUBSTITUTE(SUBSTITUTE(SUBSTITUTE(SUBSTITUTE(SUBSTITUTE(LOWER(T291&amp;""),CHAR(10),""),CHAR(13),""),CHAR(9),""),CHAR(160),"")," ",""),".",""),"-",""),"/",""),"?",""),"_",""),",",""),"[",""),"]",""),"(",""),")",""),"*","")</f>
        <v/>
      </c>
      <c r="AV291" s="61" t="str">
        <f aca="false">SUBSTITUTE(SUBSTITUTE(SUBSTITUTE(SUBSTITUTE(SUBSTITUTE(SUBSTITUTE(SUBSTITUTE(SUBSTITUTE(SUBSTITUTE(SUBSTITUTE(SUBSTITUTE(SUBSTITUTE(SUBSTITUTE(SUBSTITUTE(SUBSTITUTE(SUBSTITUTE(LOWER(V291&amp;""),CHAR(10),""),CHAR(13),""),CHAR(9),""),CHAR(160),"")," ",""),".",""),"-",""),"/",""),"?",""),"_",""),",",""),"[",""),"]",""),"(",""),")",""),"*","")</f>
        <v/>
      </c>
      <c r="AW291" s="61" t="str">
        <f aca="false">SUBSTITUTE(SUBSTITUTE(SUBSTITUTE(SUBSTITUTE(SUBSTITUTE(SUBSTITUTE(SUBSTITUTE(SUBSTITUTE(SUBSTITUTE(SUBSTITUTE(SUBSTITUTE(SUBSTITUTE(SUBSTITUTE(SUBSTITUTE(SUBSTITUTE(SUBSTITUTE(LOWER(Z291&amp;""),CHAR(10),""),CHAR(13),""),CHAR(9),""),CHAR(160),"")," ",""),".",""),"-",""),"/",""),"?",""),"_",""),",",""),"[",""),"]",""),"(",""),")",""),"*","")</f>
        <v/>
      </c>
      <c r="AX291" s="61" t="str">
        <f aca="false">SUBSTITUTE(SUBSTITUTE(SUBSTITUTE(SUBSTITUTE(SUBSTITUTE(SUBSTITUTE(SUBSTITUTE(SUBSTITUTE(SUBSTITUTE(SUBSTITUTE(SUBSTITUTE(SUBSTITUTE(SUBSTITUTE(SUBSTITUTE(SUBSTITUTE(SUBSTITUTE(LOWER(AE291&amp;""),CHAR(10),""),CHAR(13),""),CHAR(9),""),CHAR(160),"")," ",""),".",""),"-",""),"/",""),"?",""),"_",""),",",""),"[",""),"]",""),"(",""),")",""),"*","")</f>
        <v/>
      </c>
      <c r="AY291" s="61" t="str">
        <f aca="false">SUBSTITUTE(SUBSTITUTE(SUBSTITUTE(SUBSTITUTE(SUBSTITUTE(SUBSTITUTE(SUBSTITUTE(SUBSTITUTE(SUBSTITUTE(SUBSTITUTE(SUBSTITUTE(SUBSTITUTE(SUBSTITUTE(SUBSTITUTE(SUBSTITUTE(SUBSTITUTE(LOWER(W291&amp;""),CHAR(10),""),CHAR(13),""),CHAR(9),""),CHAR(160),"")," ",""),".",""),"-",""),"/",""),"?",""),"_",""),",",""),"[",""),"]",""),"(",""),")",""),"*","")</f>
        <v/>
      </c>
      <c r="AZ291" s="61" t="str">
        <f aca="false">SUBSTITUTE(SUBSTITUTE(SUBSTITUTE(SUBSTITUTE(SUBSTITUTE(SUBSTITUTE(SUBSTITUTE(SUBSTITUTE(SUBSTITUTE(SUBSTITUTE(SUBSTITUTE(SUBSTITUTE(SUBSTITUTE(SUBSTITUTE(SUBSTITUTE(SUBSTITUTE(LOWER(AC291&amp;""),CHAR(10),""),CHAR(13),""),CHAR(9),""),CHAR(160),"")," ",""),".",""),"-",""),"/",""),"?",""),"_",""),",",""),"[",""),"]",""),"(",""),")",""),"*","")</f>
        <v/>
      </c>
      <c r="BA291" s="61" t="str">
        <f aca="false">SUBSTITUTE(SUBSTITUTE(SUBSTITUTE(SUBSTITUTE(SUBSTITUTE(SUBSTITUTE(SUBSTITUTE(SUBSTITUTE(SUBSTITUTE(SUBSTITUTE(SUBSTITUTE(SUBSTITUTE(SUBSTITUTE(SUBSTITUTE(SUBSTITUTE(SUBSTITUTE(LOWER(AA291&amp;""),CHAR(10),""),CHAR(13),""),CHAR(9),""),CHAR(160),"")," ",""),".",""),"-",""),"/",""),"?",""),"_",""),",",""),"[",""),"]",""),"(",""),")",""),"*","")</f>
        <v/>
      </c>
      <c r="BB291" s="61" t="str">
        <f aca="false">IF(AND(TRIM(U291)="Pass",ISNUMBER(AF291)),IF(AF291&lt;&gt;0,"INVALID – qty variance: use Fail or Pass after CA",""),"")&amp;IF(AND(TRIM(U291)="Pass after CA",ISNUMBER(AF291)),IF(AF291&lt;&gt;0,"INVALID – after the corrective action the actual qty must equal expected (update Actual)",""),"")&amp;IF(AND(TRIM(U291)="Pass",TRIM(AB291)&lt;&gt;"",TRIM(AB291)&lt;&gt;"Closed"),"INVALID – corrective action not closed: use Fail, then Pass after CA","")&amp;IF(AND(LEN(BA291)&gt;=2,ISNA(MATCH(LEFT(BA291,255),L_Placeholder,0)),TRIM(AB291)=""),"INVALID – CA status missing for the recorded corrective action","")&amp;IF(AND(TRIM(U291)="Pass after CA",OR(OR(LEN(BA291)&lt;5,ISNUMBER(MATCH(BA291,L_Placeholder,0))),TRIM(AB291)&lt;&gt;"Closed")),"INVALID – corrective action not recorded/closed","")</f>
        <v/>
      </c>
      <c r="BC291" s="61" t="str">
        <f aca="false">" "&amp;TRIM(SUBSTITUTE(SUBSTITUTE(SUBSTITUTE(SUBSTITUTE(SUBSTITUTE(SUBSTITUTE(SUBSTITUTE(SUBSTITUTE(SUBSTITUTE(SUBSTITUTE(SUBSTITUTE(SUBSTITUTE(SUBSTITUTE(SUBSTITUTE(SUBSTITUTE(SUBSTITUTE(SUBSTITUTE(SUBSTITUTE(SUBSTITUTE(SUBSTITUTE(SUBSTITUTE(SUBSTITUTE(SUBSTITUTE(SUBSTITUTE(LOWER(V291&amp;""),CHAR(10)," "),CHAR(13)," "),CHAR(9)," "),CHAR(160)," "),"."," "),","," "),"-"," "),"/"," "),"("," "),")"," "),":"," "),";"," "),"_"," "),"–"," "),"?"," "),"!"," "),"*"," "),"["," "),"]"," "),"'"," "),"#"," "),"+"," "),"&amp;"," "),"\"," "))&amp;" "</f>
        <v>  </v>
      </c>
      <c r="BD291" s="61" t="str">
        <f aca="false">" "&amp;TRIM(SUBSTITUTE(SUBSTITUTE(SUBSTITUTE(SUBSTITUTE(SUBSTITUTE(SUBSTITUTE(SUBSTITUTE(SUBSTITUTE(SUBSTITUTE(SUBSTITUTE(SUBSTITUTE(SUBSTITUTE(SUBSTITUTE(SUBSTITUTE(SUBSTITUTE(SUBSTITUTE(SUBSTITUTE(SUBSTITUTE(SUBSTITUTE(SUBSTITUTE(SUBSTITUTE(SUBSTITUTE(SUBSTITUTE(SUBSTITUTE(LOWER(Z291&amp;""),CHAR(10)," "),CHAR(13)," "),CHAR(9)," "),CHAR(160)," "),"."," "),","," "),"-"," "),"/"," "),"("," "),")"," "),":"," "),";"," "),"_"," "),"–"," "),"?"," "),"!"," "),"*"," "),"["," "),"]"," "),"'"," "),"#"," "),"+"," "),"&amp;"," "),"\"," "))&amp;" "</f>
        <v>  </v>
      </c>
      <c r="BE291" s="61" t="str">
        <f aca="false">" "&amp;TRIM(SUBSTITUTE(SUBSTITUTE(SUBSTITUTE(SUBSTITUTE(SUBSTITUTE(SUBSTITUTE(SUBSTITUTE(SUBSTITUTE(SUBSTITUTE(SUBSTITUTE(SUBSTITUTE(SUBSTITUTE(SUBSTITUTE(SUBSTITUTE(SUBSTITUTE(SUBSTITUTE(SUBSTITUTE(SUBSTITUTE(SUBSTITUTE(SUBSTITUTE(SUBSTITUTE(SUBSTITUTE(SUBSTITUTE(SUBSTITUTE(LOWER(W291&amp;""),CHAR(10)," "),CHAR(13)," "),CHAR(9)," "),CHAR(160)," "),"."," "),","," "),"-"," "),"/"," "),"("," "),")"," "),":"," "),";"," "),"_"," "),"–"," "),"?"," "),"!"," "),"*"," "),"["," "),"]"," "),"'"," "),"#"," "),"+"," "),"&amp;"," "),"\"," "))&amp;" "</f>
        <v>  </v>
      </c>
      <c r="BF291" s="61" t="str">
        <f aca="false">" "&amp;TRIM(SUBSTITUTE(SUBSTITUTE(SUBSTITUTE(SUBSTITUTE(SUBSTITUTE(SUBSTITUTE(SUBSTITUTE(SUBSTITUTE(SUBSTITUTE(SUBSTITUTE(SUBSTITUTE(SUBSTITUTE(SUBSTITUTE(SUBSTITUTE(SUBSTITUTE(SUBSTITUTE(SUBSTITUTE(SUBSTITUTE(SUBSTITUTE(SUBSTITUTE(SUBSTITUTE(SUBSTITUTE(SUBSTITUTE(SUBSTITUTE(LOWER(AC291&amp;""),CHAR(10)," "),CHAR(13)," "),CHAR(9)," "),CHAR(160)," "),"."," "),","," "),"-"," "),"/"," "),"("," "),")"," "),":"," "),";"," "),"_"," "),"–"," "),"?"," "),"!"," "),"*"," "),"["," "),"]"," "),"'"," "),"#"," "),"+"," "),"&amp;"," "),"\"," "))&amp;" "</f>
        <v>  </v>
      </c>
      <c r="BG291" s="61" t="n">
        <f aca="false">IFERROR(IF(AND(TRIM(U291)="Pass",SUMPRODUCT((LEN(BC291)-LEN(SUBSTITUTE(BC291," "&amp;L_ResultBad&amp;" "," ")))/(LEN(L_ResultBad)+1))&gt;SUMPRODUCT((LEN(BC291)-LEN(SUBSTITUTE(BC291," "&amp;L_NegPhrase&amp;" "," ")))/(LEN(L_NegPhrase)+1))),1,0),0)</f>
        <v>0</v>
      </c>
      <c r="BH291" s="61" t="n">
        <f aca="false">IFERROR(IF(SUMPRODUCT((LEN(BC291)-LEN(SUBSTITUTE(BC291," "&amp;L_Pending&amp;" "," ")))/(LEN(L_Pending)+1))&gt;SUMPRODUCT((LEN(BC291)-LEN(SUBSTITUTE(BC291," "&amp;L_PendNeg&amp;" "," ")))/(LEN(L_PendNeg)+1))+SUMPRODUCT((LEN(BC291)-LEN(SUBSTITUTE(BC291," "&amp;L_PendPrep&amp;" "," ")))/(LEN(L_PendPrep)+1)),1,0),1)</f>
        <v>0</v>
      </c>
      <c r="BI291" s="61" t="n">
        <f aca="false">IFERROR(IF(SUMPRODUCT((LEN(BD291)-LEN(SUBSTITUTE(BD291," "&amp;L_PendStrict&amp;" "," ")))/(LEN(L_PendStrict)+1))&gt;SUMPRODUCT((LEN(BD291)-LEN(SUBSTITUTE(BD291," "&amp;L_PendNeg&amp;" "," ")))/(LEN(L_PendNeg)+1)),1,0),1)</f>
        <v>0</v>
      </c>
      <c r="BJ291" s="61" t="n">
        <f aca="false">IFERROR(IF(SUMPRODUCT((LEN(BE291)-LEN(SUBSTITUTE(BE291," "&amp;L_Pending&amp;" "," ")))/(LEN(L_Pending)+1))&gt;SUMPRODUCT((LEN(BE291)-LEN(SUBSTITUTE(BE291," "&amp;L_PendNeg&amp;" "," ")))/(LEN(L_PendNeg)+1))+SUMPRODUCT((LEN(BE291)-LEN(SUBSTITUTE(BE291," "&amp;L_PendPrep&amp;" "," ")))/(LEN(L_PendPrep)+1)),1,0),1)</f>
        <v>0</v>
      </c>
      <c r="BK291" s="61" t="n">
        <f aca="false">IFERROR(IF(SUMPRODUCT((LEN(BF291)-LEN(SUBSTITUTE(BF291," "&amp;L_PendStrict&amp;" "," ")))/(LEN(L_PendStrict)+1))&gt;SUMPRODUCT((LEN(BF291)-LEN(SUBSTITUTE(BF291," "&amp;L_PendNeg&amp;" "," ")))/(LEN(L_PendNeg)+1)),1,0),1)</f>
        <v>0</v>
      </c>
      <c r="BL291" s="61" t="n">
        <f aca="false">IF(ISNA(MATCH(TRIM(S291),L_EvidenceType,0)),0,BZ291)</f>
        <v>0</v>
      </c>
      <c r="BM291" s="61" t="str">
        <f aca="false">SUBSTITUTE(SUBSTITUTE(SUBSTITUTE(SUBSTITUTE(SUBSTITUTE(SUBSTITUTE(SUBSTITUTE(SUBSTITUTE(SUBSTITUTE(LOWER(Z291&amp;""),"1","0"),"2","0"),"3","0"),"4","0"),"5","0"),"6","0"),"7","0"),"8","0"),"9","0")</f>
        <v/>
      </c>
      <c r="BN291" s="61" t="str">
        <f aca="false">SUBSTITUTE(SUBSTITUTE(SUBSTITUTE(SUBSTITUTE(SUBSTITUTE(SUBSTITUTE(SUBSTITUTE(SUBSTITUTE(SUBSTITUTE(SUBSTITUTE(SUBSTITUTE(SUBSTITUTE(SUBSTITUTE(SUBSTITUTE(SUBSTITUTE(SUBSTITUTE(SUBSTITUTE(SUBSTITUTE(SUBSTITUTE(SUBSTITUTE(SUBSTITUTE(SUBSTITUTE(SUBSTITUTE(SUBSTITUTE(SUBSTITUTE(BM291,"b","a"),"c","a"),"d","a"),"e","a"),"f","a"),"g","a"),"h","a"),"i","a"),"j","a"),"k","a"),"l","a"),"m","a"),"n","a"),"o","a"),"p","a"),"q","a"),"r","a"),"s","a"),"t","a"),"u","a"),"v","a"),"w","a"),"x","a"),"y","a"),"z","a")</f>
        <v/>
      </c>
      <c r="BO291" s="61" t="str">
        <f aca="false">SUBSTITUTE(SUBSTITUTE(SUBSTITUTE(SUBSTITUTE(SUBSTITUTE(SUBSTITUTE(SUBSTITUTE(SUBSTITUTE(SUBSTITUTE(LOWER(W291&amp;""),"1","0"),"2","0"),"3","0"),"4","0"),"5","0"),"6","0"),"7","0"),"8","0"),"9","0")</f>
        <v/>
      </c>
      <c r="BP291" s="61" t="str">
        <f aca="false">SUBSTITUTE(SUBSTITUTE(SUBSTITUTE(SUBSTITUTE(SUBSTITUTE(SUBSTITUTE(SUBSTITUTE(SUBSTITUTE(SUBSTITUTE(SUBSTITUTE(SUBSTITUTE(SUBSTITUTE(SUBSTITUTE(SUBSTITUTE(SUBSTITUTE(SUBSTITUTE(SUBSTITUTE(SUBSTITUTE(SUBSTITUTE(SUBSTITUTE(SUBSTITUTE(SUBSTITUTE(SUBSTITUTE(SUBSTITUTE(SUBSTITUTE(BO291,"b","a"),"c","a"),"d","a"),"e","a"),"f","a"),"g","a"),"h","a"),"i","a"),"j","a"),"k","a"),"l","a"),"m","a"),"n","a"),"o","a"),"p","a"),"q","a"),"r","a"),"s","a"),"t","a"),"u","a"),"v","a"),"w","a"),"x","a"),"y","a"),"z","a")</f>
        <v/>
      </c>
      <c r="BQ291" s="61" t="n">
        <f aca="false">IFERROR(IF(AND(ISERROR(SEARCH(" mh"," "&amp;LOWER(W291))),ISNA(MATCH(LEFT(TRIM(BP291),255),{"0000a","000a","00a","0000aa","000aa","00aa","0aa","0000aaa","000aaa","00a00","0a00","0000-0000","00:00","a00","a0","00.00.0000","00/00/0000","00-00-0000","0000-00-00","0000/00/00","0000.00.00","00.00.00","00/00/00","00-00-00","0.00.0000","0/00/0000","0-00-0000"},0)),ISNA(MATCH(LEFT(TRIM(CA291),255),{"0000a","000a","00a","0000aa","000aa","00aa","0aa","0000aaa","000aaa","00a00","0a00","0000-0000","00:00","a00","a0","00.00.0000","00/00/0000","00-00-0000","0000-00-00","0000/00/00","0000.00.00","00.00.00","00/00/00","00-00-00","0.00.0000","0/00/0000","0-00-0000"},0)),LEN(CB291)&gt;=3,NOT(OR(SUBSTITUTE(CB291,"0","")="",AND(LEN(CB291)&gt;=4,CB291=REPT(LEFT(CB291),LEN(CB291))),ISNUMBER(MATCH(CB291,{"123","1234","12345","123456","1234567","12345678","0123","01234","012345","98765","987654","54321"},0)),AND(LEN(CB291)=8,LEFT(CB291,3)="202"))),OR(AND((LEN(CA291)-LEN(SUBSTITUTE(CA291,"a","")))&gt;=1,SUMPRODUCT(--ISNUMBER(SEARCH({"a0","a-0","a_0","a/0","a.0","a#0","0a","0-a","0_a","0/a"},BP291)))&gt;0),ISNUMBER(SEARCH("000000",BP291)))),1,0),0)</f>
        <v>0</v>
      </c>
      <c r="BR291" s="61" t="n">
        <f aca="false">IFERROR(LEN(SUBSTITUTE(CC291," ",""))-SUMPRODUCT((LEN(CC291)-LEN(SUBSTITUTE(CC291," "&amp;L_Role&amp;" "," ")))/(LEN(L_Role)+1)*LEN(L_Role)),0)</f>
        <v>0</v>
      </c>
      <c r="BS291" s="61" t="n">
        <f aca="false">IFERROR(LEN(SUBSTITUTE(CD291," ",""))-SUMPRODUCT((LEN(CD291)-LEN(SUBSTITUTE(CD291," "&amp;L_Role&amp;" "," ")))/(LEN(L_Role)+1)*LEN(L_Role)),0)</f>
        <v>0</v>
      </c>
      <c r="BT2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291,"revision",""),"version",""),"jan",""),"feb",""),"mar",""),"apr",""),"may",""),"jun",""),"jul",""),"aug",""),"sep",""),"oct",""),"nov",""),"dec",""),"utc",""),"gmt",""),"myt",""),"bst",""),"rev",""),"ver",""),"b","a"),"c","a"),"d","a"),"e","a"),"f","a"),"g","a"),"h","a"),"i","a"),"j","a"),"k","a"),"l","a"),"m","a"),"n","a"),"o","a"),"p","a"),"q","a"),"r","a"),"s","a"),"t","a"),"u","a"),"v","a"),"w","a"),"x","a"),"y","a"),"z","a")</f>
        <v/>
      </c>
      <c r="BU291" s="61" t="str">
        <f aca="false">SUBSTITUTE(SUBSTITUTE(SUBSTITUTE(SUBSTITUTE(SUBSTITUTE(SUBSTITUTE(SUBSTITUTE(SUBSTITUTE(SUBSTITUTE(SUBSTITUTE(LEFT(BM291,FIND("0",BM291&amp;"0")-1),"-",""),"_",""),"/",""),".",""),"#",""),"\\",""),":","")," ",""),"(",""),")","")</f>
        <v/>
      </c>
      <c r="BV291" s="61" t="n">
        <f aca="false">0</f>
        <v>0</v>
      </c>
      <c r="BW2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291&amp;""),"a",""),"b",""),"c",""),"d",""),"e",""),"f",""),"g",""),"h",""),"i",""),"j",""),"k",""),"l",""),"m",""),"n",""),"o",""),"p",""),"q",""),"r",""),"s",""),"t",""),"u",""),"v",""),"w",""),"x",""),"y",""),"z",""),"-",""),"_",""),"/",""),".",""),"#",""),"\\",""),":","")," ",""),"(",""),")","")</f>
        <v/>
      </c>
      <c r="BX291" s="61" t="str">
        <f aca="false">SUBSTITUTE(SUBSTITUTE(SUBSTITUTE(SUBSTITUTE(SUBSTITUTE(SUBSTITUTE(SUBSTITUTE(SUBSTITUTE(SUBSTITUTE(SUBSTITUTE(SUBSTITUTE(BM291,"0",""),"-",""),"_",""),"/",""),".",""),"#",""),"\\",""),":","")," ",""),"(",""),")","")</f>
        <v/>
      </c>
      <c r="BY291" s="62" t="n">
        <f aca="false">Q291-T7EarlyD*24/24</f>
        <v>46285.2534722222</v>
      </c>
      <c r="BZ291" s="61" t="n">
        <f aca="false">IFERROR(IF(IF(TRIM(S291)="Link / file path",AND(LEN(TRIM(Z291))&gt;=5,SUMPRODUCT(--ISNUMBER(SEARCH({"http","www.","\\",":\",".pdf",".jpg",".jpeg",".png",".heic",".xls",".doc",".msg",".eml",".ppt",".txt",".zip"},Z291)))&gt;0),AND(ISERROR(FIND(" ",TRIM(Z291))),NOT(OR(SUMPRODUCT(--ISNUMBER(FIND({",",";","&amp;","+"},Z291)))&gt;0,SUMPRODUCT(--ISNUMBER(SEARCH({"0/aa","0\\aa"},BN291)))&gt;0)),NOT(SUMPRODUCT(--ISNUMBER(SEARCH({"http","www.","\\",":\",".pdf",".jpg",".jpeg",".png",".heic",".xls",".doc",".msg",".eml",".ppt",".txt",".zip"},Z291)))&gt;0),NOT(LOWER(TRIM(Z291))=LOWER(Flights!$F$13)),ISNA(MATCH(BU291,{"mh","rev","revision","ver","version","v","r","a","b","seat","tray","row","gate","bay","stand","page","pg","item","line","no","cart","galley","flight","flt","table","box","bag","oven","etd","eta","std","sta","atd","ata","qty","pax","x","time","tel","ph","mob","day","wk","week","utc","gmt","myt","lt"},0)),NOT(OR(ISNUMBER(MATCH(LEFT(BN291,255),{"0000a","000a","00a","0000aa","000aa","00aa","0aa","0000aaa","000aaa","00a00","0a00","0000-0000","00:00","a00","a0","00.00.0000","00/00/0000","00-00-0000","0000-00-00","0000/00/00","0000.00.00","00.00.00","00/00/00","00-00-00","0.00.0000","0/00/0000","0-00-0000"},0)),ISNUMBER(MATCH(LEFT(BT291,255),{"0000a","000a","00a","0000aa","000aa","00aa","0aa","0000aaa","000aaa","00a00","0a00","0000-0000","00:00","a00","a0","00.00.0000","00/00/0000","00-00-0000","0000-00-00","0000/00/00","0000.00.00","00.00.00","00/00/00","00-00-00","0.00.0000","0/00/0000","0-00-0000"},0)))),NOT(OR(AND(BW291&lt;&gt;"",SUBSTITUTE(BW291,"0","")=""),AND(LEN(BW291)&gt;=4,BW291=REPT(LEFT(BW291),LEN(BW291))),ISNUMBER(MATCH(BW291,{"123","1234","12345","123456","1234567","12345678","0123","01234","012345","98765","987654","54321"},0)),ISNUMBER(MATCH(BX291,{"x","xx","xxx","xxxx","xxxxx","abc","abcd","nil","na","nan","test","tbc","tba","tbd","dummy","sample","example","eg","zz","zzz","none","null","xyz","qwe","asd","id","ref"},0)),AND(LEN(BW291)=8,BX291="",OR(LEFT(BW291,3)="202",ISNUMBER(MATCH(RIGHT(BW291,4),{"2025","2026","2027"},0)))))),OR(AND((LEN(BT291)-LEN(SUBSTITUTE(BT291,"a","")))&gt;=1,(LEN(BN291)-LEN(SUBSTITUTE(BN291,"0","")))&gt;=2,SUMPRODUCT(--ISNUMBER(SEARCH({"a0","a-0","a_0","a/0","a.0","a#0","0a","0-a","0_a","0/a"},BN291)))&gt;0),AND((LEN(BN291)-LEN(SUBSTITUTE(BN291,"a","")))=0,(LEN(BN291)-LEN(SUBSTITUTE(BN291,"0","")))&gt;=5)))),1,0),0)</f>
        <v>0</v>
      </c>
      <c r="CA2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291,"revision",""),"version",""),"jan",""),"feb",""),"mar",""),"apr",""),"may",""),"jun",""),"jul",""),"aug",""),"sep",""),"oct",""),"nov",""),"dec",""),"utc",""),"gmt",""),"myt",""),"bst",""),"rev",""),"ver",""),"b","a"),"c","a"),"d","a"),"e","a"),"f","a"),"g","a"),"h","a"),"i","a"),"j","a"),"k","a"),"l","a"),"m","a"),"n","a"),"o","a"),"p","a"),"q","a"),"r","a"),"s","a"),"t","a"),"u","a"),"v","a"),"w","a"),"x","a"),"y","a"),"z","a")</f>
        <v/>
      </c>
      <c r="CB2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291&amp;""),"a",""),"b",""),"c",""),"d",""),"e",""),"f",""),"g",""),"h",""),"i",""),"j",""),"k",""),"l",""),"m",""),"n",""),"o",""),"p",""),"q",""),"r",""),"s",""),"t",""),"u",""),"v",""),"w",""),"x",""),"y",""),"z",""),"-",""),"_",""),"/",""),".",""),"#",""),"\\",""),":","")," ",""),"(",""),")","")</f>
        <v/>
      </c>
      <c r="CC291" s="0" t="str">
        <f aca="false">" "&amp;TRIM(SUBSTITUTE(SUBSTITUTE(SUBSTITUTE(SUBSTITUTE(SUBSTITUTE(SUBSTITUTE(SUBSTITUTE(SUBSTITUTE(SUBSTITUTE(SUBSTITUTE(SUBSTITUTE(SUBSTITUTE(SUBSTITUTE(SUBSTITUTE(SUBSTITUTE(SUBSTITUTE(SUBSTITUTE(SUBSTITUTE(SUBSTITUTE(SUBSTITUTE(SUBSTITUTE(SUBSTITUTE(SUBSTITUTE(SUBSTITUTE(LOWER(T291&amp;""),CHAR(10)," "),CHAR(13)," "),CHAR(9)," "),CHAR(160)," "),"."," "),","," "),"-"," "),"/"," "),"("," "),")"," "),":"," "),";"," "),"_"," "),"–"," "),"?"," "),"!"," "),"*"," "),"["," "),"]"," "),"'"," "),"#"," "),"+"," "),"&amp;"," "),"\"," "))&amp;" "</f>
        <v>  </v>
      </c>
      <c r="CD291" s="0" t="str">
        <f aca="false">" "&amp;TRIM(SUBSTITUTE(SUBSTITUTE(SUBSTITUTE(SUBSTITUTE(SUBSTITUTE(SUBSTITUTE(SUBSTITUTE(SUBSTITUTE(SUBSTITUTE(SUBSTITUTE(SUBSTITUTE(SUBSTITUTE(SUBSTITUTE(SUBSTITUTE(SUBSTITUTE(SUBSTITUTE(SUBSTITUTE(SUBSTITUTE(SUBSTITUTE(SUBSTITUTE(SUBSTITUTE(SUBSTITUTE(SUBSTITUTE(SUBSTITUTE(LOWER(AE291&amp;""),CHAR(10)," "),CHAR(13)," "),CHAR(9)," "),CHAR(160)," "),"."," "),","," "),"-"," "),"/"," "),"("," "),")"," "),":"," "),";"," "),"_"," "),"–"," "),"?"," "),"!"," "),"*"," "),"["," "),"]"," "),"'"," "),"#"," "),"+"," "),"&amp;"," "),"\"," "))&amp;" "</f>
        <v>  </v>
      </c>
      <c r="CE291" s="68" t="n">
        <f aca="false">IFERROR(IF(AND(LEN(AU291)&gt;0,LEN(AU291)=LEN(AX291),OR(TRIM(MID(SUBSTITUTE(TRIM(CC291)," ",REPT(" ",60)),1,60))="",ISNUMBER(SEARCH(" "&amp;TRIM(MID(SUBSTITUTE(TRIM(CC291)," ",REPT(" ",60)),1,60))&amp;" ",CD291))),OR(TRIM(MID(SUBSTITUTE(TRIM(CC291)," ",REPT(" ",60)),61,60))="",ISNUMBER(SEARCH(" "&amp;TRIM(MID(SUBSTITUTE(TRIM(CC291)," ",REPT(" ",60)),61,60))&amp;" ",CD291))),OR(TRIM(MID(SUBSTITUTE(TRIM(CC291)," ",REPT(" ",60)),121,60))="",ISNUMBER(SEARCH(" "&amp;TRIM(MID(SUBSTITUTE(TRIM(CC291)," ",REPT(" ",60)),121,60))&amp;" ",CD291)))),1,0),0)</f>
        <v>0</v>
      </c>
      <c r="CG291" s="68" t="n">
        <f aca="false">IFERROR(LEN(SUBSTITUTE(BF291," ",""))-SUMPRODUCT((LEN(BF291)-LEN(SUBSTITUTE(BF291," "&amp;L_NAFiller&amp;" "," ")))/(LEN(L_NAFiller)+1)*LEN(L_NAFiller)),0)</f>
        <v>0</v>
      </c>
    </row>
    <row r="292" customFormat="false" ht="39.75" hidden="false" customHeight="true" outlineLevel="0" collapsed="false">
      <c r="A292" s="57" t="s">
        <v>867</v>
      </c>
      <c r="B292" s="57" t="s">
        <v>246</v>
      </c>
      <c r="C292" s="57" t="str">
        <f aca="false">Flights!$F$13</f>
        <v>MH0753</v>
      </c>
      <c r="D292" s="58" t="n">
        <f aca="false">Flights!$D$13</f>
        <v>46306</v>
      </c>
      <c r="E292" s="57" t="str">
        <f aca="false">Flights!$G$13&amp;"-"&amp;Flights!$H$13</f>
        <v>HAN-KUL</v>
      </c>
      <c r="F292" s="57" t="str">
        <f aca="false">Flights!$K$13</f>
        <v>BC</v>
      </c>
      <c r="G292" s="57" t="s">
        <v>83</v>
      </c>
      <c r="H292" s="57" t="s">
        <v>378</v>
      </c>
      <c r="I292" s="57" t="s">
        <v>379</v>
      </c>
      <c r="J292" s="57" t="s">
        <v>416</v>
      </c>
      <c r="K292" s="67" t="s">
        <v>417</v>
      </c>
      <c r="L292" s="67" t="s">
        <v>418</v>
      </c>
      <c r="M292" s="67"/>
      <c r="N292" s="67" t="s">
        <v>383</v>
      </c>
      <c r="O292" s="67"/>
      <c r="P292" s="57" t="s">
        <v>240</v>
      </c>
      <c r="Q292" s="59" t="n">
        <f aca="false">ROUND((Flights!$AD$13)*1440,0)/1440</f>
        <v>46305.2534722222</v>
      </c>
      <c r="R292" s="59" t="n">
        <f aca="false">Q292+(IF(AND(INDEX(TZ_DSTS,MATCH(P292,TZ_STN,0))&lt;&gt;"",Q292&gt;=INDEX(TZ_DSTS,MATCH(P292,TZ_STN,0)),Q292&lt;INDEX(TZ_DSTE,MATCH(P292,TZ_STN,0))),INDEX(TZ_DST,MATCH(P292,TZ_STN,0)),INDEX(TZ_STD,MATCH(P292,TZ_STN,0))))/24</f>
        <v>46305.5451388889</v>
      </c>
      <c r="S292" s="60"/>
      <c r="T292" s="60"/>
      <c r="U292" s="60"/>
      <c r="V292" s="60"/>
      <c r="W292" s="60"/>
      <c r="X292" s="60"/>
      <c r="Y292" s="60"/>
      <c r="Z292" s="60"/>
      <c r="AA292" s="60"/>
      <c r="AB292" s="60"/>
      <c r="AC292" s="60"/>
      <c r="AD292" s="66"/>
      <c r="AE292" s="60"/>
      <c r="AF292" s="61" t="str">
        <f aca="false">IF(AND(ISNUMBER(X292),ISNUMBER(Y292)),Y292-X292,"")</f>
        <v/>
      </c>
      <c r="AG292" s="62" t="str">
        <f aca="false">IF(ISNUMBER(AD292),AD292-(IF(AND(INDEX(TZ_DSTS,MATCH(P292,TZ_STN,0))&lt;&gt;"",(AD292-INDEX(TZ_STD,MATCH(P292,TZ_STN,0))/24)&gt;=INDEX(TZ_DSTS,MATCH(P292,TZ_STN,0)),(AD292-INDEX(TZ_STD,MATCH(P292,TZ_STN,0))/24)&lt;INDEX(TZ_DSTE,MATCH(P292,TZ_STN,0))),INDEX(TZ_DST,MATCH(P292,TZ_STN,0)),INDEX(TZ_STD,MATCH(P292,TZ_STN,0))))/24,"")</f>
        <v/>
      </c>
      <c r="AH292" s="65" t="str">
        <f aca="false">IFERROR(IF(N292="N/A – rule",IF(OR(TRIM(U292)="",TRIM(U292)="N/A",TRIM(U292)="Not started"),"N/A – RULE","INVALID – this check does not apply to this aircraft: clear the status (or correct the fleet on Flights)"),IF(TRIM(U292)="N/A",IF(AT292=0,"INVALID – N/A not permitted for this check",IF(AND(TRIM(AB292)&lt;&gt;"",TRIM(AB292)&lt;&gt;"Closed"),"INVALID – corrective action still open",IF(AND(NOT(OR(LEN(AZ292)&lt;15,ISNUMBER(MATCH(AZ292,L_Placeholder,0)))),BK292=0,CG292&gt;=8,NOT(OR(LEN(AU292)&lt;2,ISNUMBER(MATCH(AU292,L_Placeholder,0)))),BR292&gt;=3,NOT(OR(LEN(AX292)&lt;2,ISNUMBER(MATCH(AX292,L_Placeholder,0)))),BS292&gt;=3,TRIM(AE292)&lt;&gt;TRIM(T292),AX292&lt;&gt;AU292,CE292=0),"N/A – JUSTIFIED","INVALID – N/A needs a real, settled reason (not 'not applicable' / 'as above' / TBC), a named PIC and a different named verifier"))),IF(OR(TRIM(U292)="Pass",TRIM(U292)="Pass after CA"),IF(NOT(ISNUMBER(AD292)),"INVALID – completion time missing",IF(OR(OR(LEN(AU292)&lt;2,ISNUMBER(MATCH(AU292,L_Placeholder,0))),BR292&lt;3),"INVALID – PIC missing or not a named person (a role such as QA / CSM is not a name)",IF(OR(LEN(AV292)&lt;2,ISNUMBER(MATCH(AV292,L_Placeholder,0))),"INVALID – result / assessment missing",IF(OR(OR(LEN(AW292)&lt;3,ISNUMBER(MATCH(AW292,L_Placeholder,0))),SUMPRODUCT(--ISNUMBER(SEARCH(" "&amp;L_EvidencePhrase&amp;" ",BD292)))&gt;0,BI292=1),"INVALID – evidence missing, placeholder or not yet on file",IF(ISNA(MATCH(TRIM(S292),L_EvidenceType,0)),"INVALID – choose the evidence type from the list (column S)",IF(BL292=0,"INVALID – evidence ID must be the record's own ID only (e.g. SF-2210, IMG_2231, 1045521); a link / file name needs type 'Link / file path'",IF(OR(OR(LEN(AX292)&lt;2,ISNUMBER(MATCH(AX292,L_Placeholder,0))),BS292&lt;3),"INVALID – verifier missing or not a named person (a role such as QA / CSM is not a name)",IF(OR(AX292=AU292,CE292=1,AND(LEN(AU292)&gt;=4,ISNUMBER(SEARCH(AU292,AX292))),AND(LEN(AX292)&gt;=4,ISNUMBER(SEARCH(AX292,AU292)))),"INVALID – verifier must be a different, named person (not the PIC or a role)",IF(BH292=1,"INVALID – result not yet available (awaiting / TBC)",IF(BG292=1,"INVALID – result describes a problem: record Fail, then Pass after CA (or reword if it is not a problem)",IF(BV292=1,"INVALID – wording says not on board: an on-board confirmation needs the item loaded",IF(AND(AQ292=1,OR(OR(LEN(AY292)&lt;3,ISNUMBER(MATCH(AY292,L_Placeholder,0))),BJ292=1,BQ292=0)),"INVALID – batch ID missing, placeholder or not an ID (e.g. PASB-261008-BC-017)",IF(AND(AR292=1,OR(NOT(ISNUMBER(X292)),NOT(ISNUMBER(Y292)))),"INVALID – expected/actual qty missing",IF(AND(AR292=1,OR(X292&lt;=0,Y292&lt;0)),"INVALID – expected qty must be above 0 and actual not negative",IF(BB292&lt;&gt;"",BB292,IF(AND(AS292=1,Documents!$J$13&lt;&gt;"ON FILE"),"INVALID – GLD not on file (Documents sheet)",IF(AND(AS292=2,Documents!$O$13&lt;&gt;"ON FILE"),"INVALID – menu checklist not on file (Documents sheet)",IF(AND(AS292=3,NOT(ISNUMBER(Flights!$AX$13))),"INVALID – enter carrying flight KUL departure (Flights AX)",IF(AND(AS292=3,OR(Flights!$AZ$13&gt;Flights!$AA$13,Flights!$AX$13&lt;Flights!$AA$13-3)),"INVALID – carrying flight (Flights AX) cannot arrive before this leg's STD, or is over 3 days early",IF(AG292&gt;AsOfUTC,"INVALID – completion time is in the future",IF(AND(ISNUMBER(BY292),AG292&lt;BY292),IF(H292="Physical uplift","INVALID – before uplift window (cannot confirm loading)","INVALID – before valid window"),IF(AG292&gt;Flights!$AA$13,"INVALID – completed after departure (cannot establish readiness)",IF(AND(H292="Preparation",AG292&gt;=IF(ISNUMBER(Flights!$BA$13),MIN(Flights!$BA$13,Flights!$AA$13),Flights!$AA$13)),"INVALID – completed after loading / departure (cannot establish readiness)",IF(AND(H292="Physical uplift",AG292&gt;Q292),"INVALID – recorded after the loading flight departed",IF(AG292&gt;Q292,"COMPLETE – LATE","COMPLETE"))))))))))))))))))))))))),IF(TRIM(U292)="Fail","FAIL – DISCREPANCY",IF(AND(TRIM(U292)&lt;&gt;"",TRIM(U292)&lt;&gt;"Not started",TRIM(U292)&lt;&gt;"In progress"),"INVALID – unrecognised status (use the list)",IF(AsOfUTC&gt;Q292,"OVERDUE",IF(N292="Clarification required","OPEN – CLARIFICATION","OPEN"))))))),"INVALID – error value in an input cell")</f>
        <v>OPEN</v>
      </c>
      <c r="AI292" s="61" t="n">
        <f aca="false">IF(OR(AH292="N/A – RULE",AH292="N/A – JUSTIFIED"),0,1)</f>
        <v>1</v>
      </c>
      <c r="AJ292" s="61" t="n">
        <f aca="false">IF(LEFT(AH292,8)="COMPLETE",1,0)</f>
        <v>0</v>
      </c>
      <c r="AK292" s="61" t="n">
        <f aca="false">IF(AND(AI292=1,AJ292=0,AsOfUTC&gt;Q292),1,0)</f>
        <v>0</v>
      </c>
      <c r="AL292" s="61" t="n">
        <f aca="false">IFERROR(IF(AND(AI292=1,OR(TRIM(U292)="Fail",AND(TRIM(AB292)&lt;&gt;"",TRIM(AB292)&lt;&gt;"Closed"),AND(ISNUMBER(AF292),AF292&lt;&gt;0,TRIM(U292)&lt;&gt;"Pass after CA"))),1,0),1)</f>
        <v>0</v>
      </c>
      <c r="AM292" s="61" t="n">
        <f aca="false">IF(LEFT(AH292,7)="INVALID",1,0)</f>
        <v>0</v>
      </c>
      <c r="AN292" s="61" t="n">
        <f aca="false">IF(AND(N292="Clarification required",AI292=1,AJ292=0),1,0)</f>
        <v>0</v>
      </c>
      <c r="AO292" s="61" t="str">
        <f aca="false">IF(AK292=1,SUM(AK$5:AK292),"")</f>
        <v/>
      </c>
      <c r="AP292" s="61" t="str">
        <f aca="false">IF(AL292=1,SUM(AL$5:AL292),"")</f>
        <v/>
      </c>
      <c r="AQ292" s="61" t="n">
        <v>1</v>
      </c>
      <c r="AR292" s="61" t="n">
        <v>0</v>
      </c>
      <c r="AS292" s="61" t="n">
        <v>0</v>
      </c>
      <c r="AT292" s="61" t="n">
        <v>0</v>
      </c>
      <c r="AU292" s="61" t="str">
        <f aca="false">SUBSTITUTE(SUBSTITUTE(SUBSTITUTE(SUBSTITUTE(SUBSTITUTE(SUBSTITUTE(SUBSTITUTE(SUBSTITUTE(SUBSTITUTE(SUBSTITUTE(SUBSTITUTE(SUBSTITUTE(SUBSTITUTE(SUBSTITUTE(SUBSTITUTE(SUBSTITUTE(LOWER(T292&amp;""),CHAR(10),""),CHAR(13),""),CHAR(9),""),CHAR(160),"")," ",""),".",""),"-",""),"/",""),"?",""),"_",""),",",""),"[",""),"]",""),"(",""),")",""),"*","")</f>
        <v/>
      </c>
      <c r="AV292" s="61" t="str">
        <f aca="false">SUBSTITUTE(SUBSTITUTE(SUBSTITUTE(SUBSTITUTE(SUBSTITUTE(SUBSTITUTE(SUBSTITUTE(SUBSTITUTE(SUBSTITUTE(SUBSTITUTE(SUBSTITUTE(SUBSTITUTE(SUBSTITUTE(SUBSTITUTE(SUBSTITUTE(SUBSTITUTE(LOWER(V292&amp;""),CHAR(10),""),CHAR(13),""),CHAR(9),""),CHAR(160),"")," ",""),".",""),"-",""),"/",""),"?",""),"_",""),",",""),"[",""),"]",""),"(",""),")",""),"*","")</f>
        <v/>
      </c>
      <c r="AW292" s="61" t="str">
        <f aca="false">SUBSTITUTE(SUBSTITUTE(SUBSTITUTE(SUBSTITUTE(SUBSTITUTE(SUBSTITUTE(SUBSTITUTE(SUBSTITUTE(SUBSTITUTE(SUBSTITUTE(SUBSTITUTE(SUBSTITUTE(SUBSTITUTE(SUBSTITUTE(SUBSTITUTE(SUBSTITUTE(LOWER(Z292&amp;""),CHAR(10),""),CHAR(13),""),CHAR(9),""),CHAR(160),"")," ",""),".",""),"-",""),"/",""),"?",""),"_",""),",",""),"[",""),"]",""),"(",""),")",""),"*","")</f>
        <v/>
      </c>
      <c r="AX292" s="61" t="str">
        <f aca="false">SUBSTITUTE(SUBSTITUTE(SUBSTITUTE(SUBSTITUTE(SUBSTITUTE(SUBSTITUTE(SUBSTITUTE(SUBSTITUTE(SUBSTITUTE(SUBSTITUTE(SUBSTITUTE(SUBSTITUTE(SUBSTITUTE(SUBSTITUTE(SUBSTITUTE(SUBSTITUTE(LOWER(AE292&amp;""),CHAR(10),""),CHAR(13),""),CHAR(9),""),CHAR(160),"")," ",""),".",""),"-",""),"/",""),"?",""),"_",""),",",""),"[",""),"]",""),"(",""),")",""),"*","")</f>
        <v/>
      </c>
      <c r="AY292" s="61" t="str">
        <f aca="false">SUBSTITUTE(SUBSTITUTE(SUBSTITUTE(SUBSTITUTE(SUBSTITUTE(SUBSTITUTE(SUBSTITUTE(SUBSTITUTE(SUBSTITUTE(SUBSTITUTE(SUBSTITUTE(SUBSTITUTE(SUBSTITUTE(SUBSTITUTE(SUBSTITUTE(SUBSTITUTE(LOWER(W292&amp;""),CHAR(10),""),CHAR(13),""),CHAR(9),""),CHAR(160),"")," ",""),".",""),"-",""),"/",""),"?",""),"_",""),",",""),"[",""),"]",""),"(",""),")",""),"*","")</f>
        <v/>
      </c>
      <c r="AZ292" s="61" t="str">
        <f aca="false">SUBSTITUTE(SUBSTITUTE(SUBSTITUTE(SUBSTITUTE(SUBSTITUTE(SUBSTITUTE(SUBSTITUTE(SUBSTITUTE(SUBSTITUTE(SUBSTITUTE(SUBSTITUTE(SUBSTITUTE(SUBSTITUTE(SUBSTITUTE(SUBSTITUTE(SUBSTITUTE(LOWER(AC292&amp;""),CHAR(10),""),CHAR(13),""),CHAR(9),""),CHAR(160),"")," ",""),".",""),"-",""),"/",""),"?",""),"_",""),",",""),"[",""),"]",""),"(",""),")",""),"*","")</f>
        <v/>
      </c>
      <c r="BA292" s="61" t="str">
        <f aca="false">SUBSTITUTE(SUBSTITUTE(SUBSTITUTE(SUBSTITUTE(SUBSTITUTE(SUBSTITUTE(SUBSTITUTE(SUBSTITUTE(SUBSTITUTE(SUBSTITUTE(SUBSTITUTE(SUBSTITUTE(SUBSTITUTE(SUBSTITUTE(SUBSTITUTE(SUBSTITUTE(LOWER(AA292&amp;""),CHAR(10),""),CHAR(13),""),CHAR(9),""),CHAR(160),"")," ",""),".",""),"-",""),"/",""),"?",""),"_",""),",",""),"[",""),"]",""),"(",""),")",""),"*","")</f>
        <v/>
      </c>
      <c r="BB292" s="61" t="str">
        <f aca="false">IF(AND(TRIM(U292)="Pass",ISNUMBER(AF292)),IF(AF292&lt;&gt;0,"INVALID – qty variance: use Fail or Pass after CA",""),"")&amp;IF(AND(TRIM(U292)="Pass after CA",ISNUMBER(AF292)),IF(AF292&lt;&gt;0,"INVALID – after the corrective action the actual qty must equal expected (update Actual)",""),"")&amp;IF(AND(TRIM(U292)="Pass",TRIM(AB292)&lt;&gt;"",TRIM(AB292)&lt;&gt;"Closed"),"INVALID – corrective action not closed: use Fail, then Pass after CA","")&amp;IF(AND(LEN(BA292)&gt;=2,ISNA(MATCH(LEFT(BA292,255),L_Placeholder,0)),TRIM(AB292)=""),"INVALID – CA status missing for the recorded corrective action","")&amp;IF(AND(TRIM(U292)="Pass after CA",OR(OR(LEN(BA292)&lt;5,ISNUMBER(MATCH(BA292,L_Placeholder,0))),TRIM(AB292)&lt;&gt;"Closed")),"INVALID – corrective action not recorded/closed","")</f>
        <v/>
      </c>
      <c r="BC292" s="61" t="str">
        <f aca="false">" "&amp;TRIM(SUBSTITUTE(SUBSTITUTE(SUBSTITUTE(SUBSTITUTE(SUBSTITUTE(SUBSTITUTE(SUBSTITUTE(SUBSTITUTE(SUBSTITUTE(SUBSTITUTE(SUBSTITUTE(SUBSTITUTE(SUBSTITUTE(SUBSTITUTE(SUBSTITUTE(SUBSTITUTE(SUBSTITUTE(SUBSTITUTE(SUBSTITUTE(SUBSTITUTE(SUBSTITUTE(SUBSTITUTE(SUBSTITUTE(SUBSTITUTE(LOWER(V292&amp;""),CHAR(10)," "),CHAR(13)," "),CHAR(9)," "),CHAR(160)," "),"."," "),","," "),"-"," "),"/"," "),"("," "),")"," "),":"," "),";"," "),"_"," "),"–"," "),"?"," "),"!"," "),"*"," "),"["," "),"]"," "),"'"," "),"#"," "),"+"," "),"&amp;"," "),"\"," "))&amp;" "</f>
        <v>  </v>
      </c>
      <c r="BD292" s="61" t="str">
        <f aca="false">" "&amp;TRIM(SUBSTITUTE(SUBSTITUTE(SUBSTITUTE(SUBSTITUTE(SUBSTITUTE(SUBSTITUTE(SUBSTITUTE(SUBSTITUTE(SUBSTITUTE(SUBSTITUTE(SUBSTITUTE(SUBSTITUTE(SUBSTITUTE(SUBSTITUTE(SUBSTITUTE(SUBSTITUTE(SUBSTITUTE(SUBSTITUTE(SUBSTITUTE(SUBSTITUTE(SUBSTITUTE(SUBSTITUTE(SUBSTITUTE(SUBSTITUTE(LOWER(Z292&amp;""),CHAR(10)," "),CHAR(13)," "),CHAR(9)," "),CHAR(160)," "),"."," "),","," "),"-"," "),"/"," "),"("," "),")"," "),":"," "),";"," "),"_"," "),"–"," "),"?"," "),"!"," "),"*"," "),"["," "),"]"," "),"'"," "),"#"," "),"+"," "),"&amp;"," "),"\"," "))&amp;" "</f>
        <v>  </v>
      </c>
      <c r="BE292" s="61" t="str">
        <f aca="false">" "&amp;TRIM(SUBSTITUTE(SUBSTITUTE(SUBSTITUTE(SUBSTITUTE(SUBSTITUTE(SUBSTITUTE(SUBSTITUTE(SUBSTITUTE(SUBSTITUTE(SUBSTITUTE(SUBSTITUTE(SUBSTITUTE(SUBSTITUTE(SUBSTITUTE(SUBSTITUTE(SUBSTITUTE(SUBSTITUTE(SUBSTITUTE(SUBSTITUTE(SUBSTITUTE(SUBSTITUTE(SUBSTITUTE(SUBSTITUTE(SUBSTITUTE(LOWER(W292&amp;""),CHAR(10)," "),CHAR(13)," "),CHAR(9)," "),CHAR(160)," "),"."," "),","," "),"-"," "),"/"," "),"("," "),")"," "),":"," "),";"," "),"_"," "),"–"," "),"?"," "),"!"," "),"*"," "),"["," "),"]"," "),"'"," "),"#"," "),"+"," "),"&amp;"," "),"\"," "))&amp;" "</f>
        <v>  </v>
      </c>
      <c r="BF292" s="61" t="str">
        <f aca="false">" "&amp;TRIM(SUBSTITUTE(SUBSTITUTE(SUBSTITUTE(SUBSTITUTE(SUBSTITUTE(SUBSTITUTE(SUBSTITUTE(SUBSTITUTE(SUBSTITUTE(SUBSTITUTE(SUBSTITUTE(SUBSTITUTE(SUBSTITUTE(SUBSTITUTE(SUBSTITUTE(SUBSTITUTE(SUBSTITUTE(SUBSTITUTE(SUBSTITUTE(SUBSTITUTE(SUBSTITUTE(SUBSTITUTE(SUBSTITUTE(SUBSTITUTE(LOWER(AC292&amp;""),CHAR(10)," "),CHAR(13)," "),CHAR(9)," "),CHAR(160)," "),"."," "),","," "),"-"," "),"/"," "),"("," "),")"," "),":"," "),";"," "),"_"," "),"–"," "),"?"," "),"!"," "),"*"," "),"["," "),"]"," "),"'"," "),"#"," "),"+"," "),"&amp;"," "),"\"," "))&amp;" "</f>
        <v>  </v>
      </c>
      <c r="BG292" s="61" t="n">
        <f aca="false">IFERROR(IF(AND(TRIM(U292)="Pass",SUMPRODUCT((LEN(BC292)-LEN(SUBSTITUTE(BC292," "&amp;L_ResultBad&amp;" "," ")))/(LEN(L_ResultBad)+1))&gt;SUMPRODUCT((LEN(BC292)-LEN(SUBSTITUTE(BC292," "&amp;L_NegPhrase&amp;" "," ")))/(LEN(L_NegPhrase)+1))),1,0),0)</f>
        <v>0</v>
      </c>
      <c r="BH292" s="61" t="n">
        <f aca="false">IFERROR(IF(SUMPRODUCT((LEN(BC292)-LEN(SUBSTITUTE(BC292," "&amp;L_Pending&amp;" "," ")))/(LEN(L_Pending)+1))&gt;SUMPRODUCT((LEN(BC292)-LEN(SUBSTITUTE(BC292," "&amp;L_PendNeg&amp;" "," ")))/(LEN(L_PendNeg)+1))+SUMPRODUCT((LEN(BC292)-LEN(SUBSTITUTE(BC292," "&amp;L_PendPrep&amp;" "," ")))/(LEN(L_PendPrep)+1)),1,0),1)</f>
        <v>0</v>
      </c>
      <c r="BI292" s="61" t="n">
        <f aca="false">IFERROR(IF(SUMPRODUCT((LEN(BD292)-LEN(SUBSTITUTE(BD292," "&amp;L_PendStrict&amp;" "," ")))/(LEN(L_PendStrict)+1))&gt;SUMPRODUCT((LEN(BD292)-LEN(SUBSTITUTE(BD292," "&amp;L_PendNeg&amp;" "," ")))/(LEN(L_PendNeg)+1)),1,0),1)</f>
        <v>0</v>
      </c>
      <c r="BJ292" s="61" t="n">
        <f aca="false">IFERROR(IF(SUMPRODUCT((LEN(BE292)-LEN(SUBSTITUTE(BE292," "&amp;L_Pending&amp;" "," ")))/(LEN(L_Pending)+1))&gt;SUMPRODUCT((LEN(BE292)-LEN(SUBSTITUTE(BE292," "&amp;L_PendNeg&amp;" "," ")))/(LEN(L_PendNeg)+1))+SUMPRODUCT((LEN(BE292)-LEN(SUBSTITUTE(BE292," "&amp;L_PendPrep&amp;" "," ")))/(LEN(L_PendPrep)+1)),1,0),1)</f>
        <v>0</v>
      </c>
      <c r="BK292" s="61" t="n">
        <f aca="false">IFERROR(IF(SUMPRODUCT((LEN(BF292)-LEN(SUBSTITUTE(BF292," "&amp;L_PendStrict&amp;" "," ")))/(LEN(L_PendStrict)+1))&gt;SUMPRODUCT((LEN(BF292)-LEN(SUBSTITUTE(BF292," "&amp;L_PendNeg&amp;" "," ")))/(LEN(L_PendNeg)+1)),1,0),1)</f>
        <v>0</v>
      </c>
      <c r="BL292" s="61" t="n">
        <f aca="false">IF(ISNA(MATCH(TRIM(S292),L_EvidenceType,0)),0,BZ292)</f>
        <v>0</v>
      </c>
      <c r="BM292" s="61" t="str">
        <f aca="false">SUBSTITUTE(SUBSTITUTE(SUBSTITUTE(SUBSTITUTE(SUBSTITUTE(SUBSTITUTE(SUBSTITUTE(SUBSTITUTE(SUBSTITUTE(LOWER(Z292&amp;""),"1","0"),"2","0"),"3","0"),"4","0"),"5","0"),"6","0"),"7","0"),"8","0"),"9","0")</f>
        <v/>
      </c>
      <c r="BN292" s="61" t="str">
        <f aca="false">SUBSTITUTE(SUBSTITUTE(SUBSTITUTE(SUBSTITUTE(SUBSTITUTE(SUBSTITUTE(SUBSTITUTE(SUBSTITUTE(SUBSTITUTE(SUBSTITUTE(SUBSTITUTE(SUBSTITUTE(SUBSTITUTE(SUBSTITUTE(SUBSTITUTE(SUBSTITUTE(SUBSTITUTE(SUBSTITUTE(SUBSTITUTE(SUBSTITUTE(SUBSTITUTE(SUBSTITUTE(SUBSTITUTE(SUBSTITUTE(SUBSTITUTE(BM292,"b","a"),"c","a"),"d","a"),"e","a"),"f","a"),"g","a"),"h","a"),"i","a"),"j","a"),"k","a"),"l","a"),"m","a"),"n","a"),"o","a"),"p","a"),"q","a"),"r","a"),"s","a"),"t","a"),"u","a"),"v","a"),"w","a"),"x","a"),"y","a"),"z","a")</f>
        <v/>
      </c>
      <c r="BO292" s="61" t="str">
        <f aca="false">SUBSTITUTE(SUBSTITUTE(SUBSTITUTE(SUBSTITUTE(SUBSTITUTE(SUBSTITUTE(SUBSTITUTE(SUBSTITUTE(SUBSTITUTE(LOWER(W292&amp;""),"1","0"),"2","0"),"3","0"),"4","0"),"5","0"),"6","0"),"7","0"),"8","0"),"9","0")</f>
        <v/>
      </c>
      <c r="BP292" s="61" t="str">
        <f aca="false">SUBSTITUTE(SUBSTITUTE(SUBSTITUTE(SUBSTITUTE(SUBSTITUTE(SUBSTITUTE(SUBSTITUTE(SUBSTITUTE(SUBSTITUTE(SUBSTITUTE(SUBSTITUTE(SUBSTITUTE(SUBSTITUTE(SUBSTITUTE(SUBSTITUTE(SUBSTITUTE(SUBSTITUTE(SUBSTITUTE(SUBSTITUTE(SUBSTITUTE(SUBSTITUTE(SUBSTITUTE(SUBSTITUTE(SUBSTITUTE(SUBSTITUTE(BO292,"b","a"),"c","a"),"d","a"),"e","a"),"f","a"),"g","a"),"h","a"),"i","a"),"j","a"),"k","a"),"l","a"),"m","a"),"n","a"),"o","a"),"p","a"),"q","a"),"r","a"),"s","a"),"t","a"),"u","a"),"v","a"),"w","a"),"x","a"),"y","a"),"z","a")</f>
        <v/>
      </c>
      <c r="BQ292" s="61" t="n">
        <f aca="false">IFERROR(IF(AND(ISERROR(SEARCH(" mh"," "&amp;LOWER(W292))),ISNA(MATCH(LEFT(TRIM(BP292),255),{"0000a","000a","00a","0000aa","000aa","00aa","0aa","0000aaa","000aaa","00a00","0a00","0000-0000","00:00","a00","a0","00.00.0000","00/00/0000","00-00-0000","0000-00-00","0000/00/00","0000.00.00","00.00.00","00/00/00","00-00-00","0.00.0000","0/00/0000","0-00-0000"},0)),ISNA(MATCH(LEFT(TRIM(CA292),255),{"0000a","000a","00a","0000aa","000aa","00aa","0aa","0000aaa","000aaa","00a00","0a00","0000-0000","00:00","a00","a0","00.00.0000","00/00/0000","00-00-0000","0000-00-00","0000/00/00","0000.00.00","00.00.00","00/00/00","00-00-00","0.00.0000","0/00/0000","0-00-0000"},0)),LEN(CB292)&gt;=3,NOT(OR(SUBSTITUTE(CB292,"0","")="",AND(LEN(CB292)&gt;=4,CB292=REPT(LEFT(CB292),LEN(CB292))),ISNUMBER(MATCH(CB292,{"123","1234","12345","123456","1234567","12345678","0123","01234","012345","98765","987654","54321"},0)),AND(LEN(CB292)=8,LEFT(CB292,3)="202"))),OR(AND((LEN(CA292)-LEN(SUBSTITUTE(CA292,"a","")))&gt;=1,SUMPRODUCT(--ISNUMBER(SEARCH({"a0","a-0","a_0","a/0","a.0","a#0","0a","0-a","0_a","0/a"},BP292)))&gt;0),ISNUMBER(SEARCH("000000",BP292)))),1,0),0)</f>
        <v>0</v>
      </c>
      <c r="BR292" s="61" t="n">
        <f aca="false">IFERROR(LEN(SUBSTITUTE(CC292," ",""))-SUMPRODUCT((LEN(CC292)-LEN(SUBSTITUTE(CC292," "&amp;L_Role&amp;" "," ")))/(LEN(L_Role)+1)*LEN(L_Role)),0)</f>
        <v>0</v>
      </c>
      <c r="BS292" s="61" t="n">
        <f aca="false">IFERROR(LEN(SUBSTITUTE(CD292," ",""))-SUMPRODUCT((LEN(CD292)-LEN(SUBSTITUTE(CD292," "&amp;L_Role&amp;" "," ")))/(LEN(L_Role)+1)*LEN(L_Role)),0)</f>
        <v>0</v>
      </c>
      <c r="BT2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292,"revision",""),"version",""),"jan",""),"feb",""),"mar",""),"apr",""),"may",""),"jun",""),"jul",""),"aug",""),"sep",""),"oct",""),"nov",""),"dec",""),"utc",""),"gmt",""),"myt",""),"bst",""),"rev",""),"ver",""),"b","a"),"c","a"),"d","a"),"e","a"),"f","a"),"g","a"),"h","a"),"i","a"),"j","a"),"k","a"),"l","a"),"m","a"),"n","a"),"o","a"),"p","a"),"q","a"),"r","a"),"s","a"),"t","a"),"u","a"),"v","a"),"w","a"),"x","a"),"y","a"),"z","a")</f>
        <v/>
      </c>
      <c r="BU292" s="61" t="str">
        <f aca="false">SUBSTITUTE(SUBSTITUTE(SUBSTITUTE(SUBSTITUTE(SUBSTITUTE(SUBSTITUTE(SUBSTITUTE(SUBSTITUTE(SUBSTITUTE(SUBSTITUTE(LEFT(BM292,FIND("0",BM292&amp;"0")-1),"-",""),"_",""),"/",""),".",""),"#",""),"\\",""),":","")," ",""),"(",""),")","")</f>
        <v/>
      </c>
      <c r="BV292" s="61" t="n">
        <f aca="false">0</f>
        <v>0</v>
      </c>
      <c r="BW2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292&amp;""),"a",""),"b",""),"c",""),"d",""),"e",""),"f",""),"g",""),"h",""),"i",""),"j",""),"k",""),"l",""),"m",""),"n",""),"o",""),"p",""),"q",""),"r",""),"s",""),"t",""),"u",""),"v",""),"w",""),"x",""),"y",""),"z",""),"-",""),"_",""),"/",""),".",""),"#",""),"\\",""),":","")," ",""),"(",""),")","")</f>
        <v/>
      </c>
      <c r="BX292" s="61" t="str">
        <f aca="false">SUBSTITUTE(SUBSTITUTE(SUBSTITUTE(SUBSTITUTE(SUBSTITUTE(SUBSTITUTE(SUBSTITUTE(SUBSTITUTE(SUBSTITUTE(SUBSTITUTE(SUBSTITUTE(BM292,"0",""),"-",""),"_",""),"/",""),".",""),"#",""),"\\",""),":","")," ",""),"(",""),")","")</f>
        <v/>
      </c>
      <c r="BY292" s="62" t="n">
        <f aca="false">Q292-T24EarlyH/24</f>
        <v>46304.2534722222</v>
      </c>
      <c r="BZ292" s="61" t="n">
        <f aca="false">IFERROR(IF(IF(TRIM(S292)="Link / file path",AND(LEN(TRIM(Z292))&gt;=5,SUMPRODUCT(--ISNUMBER(SEARCH({"http","www.","\\",":\",".pdf",".jpg",".jpeg",".png",".heic",".xls",".doc",".msg",".eml",".ppt",".txt",".zip"},Z292)))&gt;0),AND(ISERROR(FIND(" ",TRIM(Z292))),NOT(OR(SUMPRODUCT(--ISNUMBER(FIND({",",";","&amp;","+"},Z292)))&gt;0,SUMPRODUCT(--ISNUMBER(SEARCH({"0/aa","0\\aa"},BN292)))&gt;0)),NOT(SUMPRODUCT(--ISNUMBER(SEARCH({"http","www.","\\",":\",".pdf",".jpg",".jpeg",".png",".heic",".xls",".doc",".msg",".eml",".ppt",".txt",".zip"},Z292)))&gt;0),NOT(LOWER(TRIM(Z292))=LOWER(Flights!$F$13)),ISNA(MATCH(BU292,{"mh","rev","revision","ver","version","v","r","a","b","seat","tray","row","gate","bay","stand","page","pg","item","line","no","cart","galley","flight","flt","table","box","bag","oven","etd","eta","std","sta","atd","ata","qty","pax","x","time","tel","ph","mob","day","wk","week","utc","gmt","myt","lt"},0)),NOT(OR(ISNUMBER(MATCH(LEFT(BN292,255),{"0000a","000a","00a","0000aa","000aa","00aa","0aa","0000aaa","000aaa","00a00","0a00","0000-0000","00:00","a00","a0","00.00.0000","00/00/0000","00-00-0000","0000-00-00","0000/00/00","0000.00.00","00.00.00","00/00/00","00-00-00","0.00.0000","0/00/0000","0-00-0000"},0)),ISNUMBER(MATCH(LEFT(BT292,255),{"0000a","000a","00a","0000aa","000aa","00aa","0aa","0000aaa","000aaa","00a00","0a00","0000-0000","00:00","a00","a0","00.00.0000","00/00/0000","00-00-0000","0000-00-00","0000/00/00","0000.00.00","00.00.00","00/00/00","00-00-00","0.00.0000","0/00/0000","0-00-0000"},0)))),NOT(OR(AND(BW292&lt;&gt;"",SUBSTITUTE(BW292,"0","")=""),AND(LEN(BW292)&gt;=4,BW292=REPT(LEFT(BW292),LEN(BW292))),ISNUMBER(MATCH(BW292,{"123","1234","12345","123456","1234567","12345678","0123","01234","012345","98765","987654","54321"},0)),ISNUMBER(MATCH(BX292,{"x","xx","xxx","xxxx","xxxxx","abc","abcd","nil","na","nan","test","tbc","tba","tbd","dummy","sample","example","eg","zz","zzz","none","null","xyz","qwe","asd","id","ref"},0)),AND(LEN(BW292)=8,BX292="",OR(LEFT(BW292,3)="202",ISNUMBER(MATCH(RIGHT(BW292,4),{"2025","2026","2027"},0)))))),OR(AND((LEN(BT292)-LEN(SUBSTITUTE(BT292,"a","")))&gt;=1,(LEN(BN292)-LEN(SUBSTITUTE(BN292,"0","")))&gt;=2,SUMPRODUCT(--ISNUMBER(SEARCH({"a0","a-0","a_0","a/0","a.0","a#0","0a","0-a","0_a","0/a"},BN292)))&gt;0),AND((LEN(BN292)-LEN(SUBSTITUTE(BN292,"a","")))=0,(LEN(BN292)-LEN(SUBSTITUTE(BN292,"0","")))&gt;=5)))),1,0),0)</f>
        <v>0</v>
      </c>
      <c r="CA2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292,"revision",""),"version",""),"jan",""),"feb",""),"mar",""),"apr",""),"may",""),"jun",""),"jul",""),"aug",""),"sep",""),"oct",""),"nov",""),"dec",""),"utc",""),"gmt",""),"myt",""),"bst",""),"rev",""),"ver",""),"b","a"),"c","a"),"d","a"),"e","a"),"f","a"),"g","a"),"h","a"),"i","a"),"j","a"),"k","a"),"l","a"),"m","a"),"n","a"),"o","a"),"p","a"),"q","a"),"r","a"),"s","a"),"t","a"),"u","a"),"v","a"),"w","a"),"x","a"),"y","a"),"z","a")</f>
        <v/>
      </c>
      <c r="CB2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292&amp;""),"a",""),"b",""),"c",""),"d",""),"e",""),"f",""),"g",""),"h",""),"i",""),"j",""),"k",""),"l",""),"m",""),"n",""),"o",""),"p",""),"q",""),"r",""),"s",""),"t",""),"u",""),"v",""),"w",""),"x",""),"y",""),"z",""),"-",""),"_",""),"/",""),".",""),"#",""),"\\",""),":","")," ",""),"(",""),")","")</f>
        <v/>
      </c>
      <c r="CC292" s="0" t="str">
        <f aca="false">" "&amp;TRIM(SUBSTITUTE(SUBSTITUTE(SUBSTITUTE(SUBSTITUTE(SUBSTITUTE(SUBSTITUTE(SUBSTITUTE(SUBSTITUTE(SUBSTITUTE(SUBSTITUTE(SUBSTITUTE(SUBSTITUTE(SUBSTITUTE(SUBSTITUTE(SUBSTITUTE(SUBSTITUTE(SUBSTITUTE(SUBSTITUTE(SUBSTITUTE(SUBSTITUTE(SUBSTITUTE(SUBSTITUTE(SUBSTITUTE(SUBSTITUTE(LOWER(T292&amp;""),CHAR(10)," "),CHAR(13)," "),CHAR(9)," "),CHAR(160)," "),"."," "),","," "),"-"," "),"/"," "),"("," "),")"," "),":"," "),";"," "),"_"," "),"–"," "),"?"," "),"!"," "),"*"," "),"["," "),"]"," "),"'"," "),"#"," "),"+"," "),"&amp;"," "),"\"," "))&amp;" "</f>
        <v>  </v>
      </c>
      <c r="CD292" s="0" t="str">
        <f aca="false">" "&amp;TRIM(SUBSTITUTE(SUBSTITUTE(SUBSTITUTE(SUBSTITUTE(SUBSTITUTE(SUBSTITUTE(SUBSTITUTE(SUBSTITUTE(SUBSTITUTE(SUBSTITUTE(SUBSTITUTE(SUBSTITUTE(SUBSTITUTE(SUBSTITUTE(SUBSTITUTE(SUBSTITUTE(SUBSTITUTE(SUBSTITUTE(SUBSTITUTE(SUBSTITUTE(SUBSTITUTE(SUBSTITUTE(SUBSTITUTE(SUBSTITUTE(LOWER(AE292&amp;""),CHAR(10)," "),CHAR(13)," "),CHAR(9)," "),CHAR(160)," "),"."," "),","," "),"-"," "),"/"," "),"("," "),")"," "),":"," "),";"," "),"_"," "),"–"," "),"?"," "),"!"," "),"*"," "),"["," "),"]"," "),"'"," "),"#"," "),"+"," "),"&amp;"," "),"\"," "))&amp;" "</f>
        <v>  </v>
      </c>
      <c r="CE292" s="68" t="n">
        <f aca="false">IFERROR(IF(AND(LEN(AU292)&gt;0,LEN(AU292)=LEN(AX292),OR(TRIM(MID(SUBSTITUTE(TRIM(CC292)," ",REPT(" ",60)),1,60))="",ISNUMBER(SEARCH(" "&amp;TRIM(MID(SUBSTITUTE(TRIM(CC292)," ",REPT(" ",60)),1,60))&amp;" ",CD292))),OR(TRIM(MID(SUBSTITUTE(TRIM(CC292)," ",REPT(" ",60)),61,60))="",ISNUMBER(SEARCH(" "&amp;TRIM(MID(SUBSTITUTE(TRIM(CC292)," ",REPT(" ",60)),61,60))&amp;" ",CD292))),OR(TRIM(MID(SUBSTITUTE(TRIM(CC292)," ",REPT(" ",60)),121,60))="",ISNUMBER(SEARCH(" "&amp;TRIM(MID(SUBSTITUTE(TRIM(CC292)," ",REPT(" ",60)),121,60))&amp;" ",CD292)))),1,0),0)</f>
        <v>0</v>
      </c>
      <c r="CG292" s="68" t="n">
        <f aca="false">IFERROR(LEN(SUBSTITUTE(BF292," ",""))-SUMPRODUCT((LEN(BF292)-LEN(SUBSTITUTE(BF292," "&amp;L_NAFiller&amp;" "," ")))/(LEN(L_NAFiller)+1)*LEN(L_NAFiller)),0)</f>
        <v>0</v>
      </c>
    </row>
    <row r="293" customFormat="false" ht="39.75" hidden="false" customHeight="true" outlineLevel="0" collapsed="false">
      <c r="A293" s="57" t="s">
        <v>868</v>
      </c>
      <c r="B293" s="57" t="s">
        <v>246</v>
      </c>
      <c r="C293" s="57" t="str">
        <f aca="false">Flights!$F$13</f>
        <v>MH0753</v>
      </c>
      <c r="D293" s="58" t="n">
        <f aca="false">Flights!$D$13</f>
        <v>46306</v>
      </c>
      <c r="E293" s="57" t="str">
        <f aca="false">Flights!$G$13&amp;"-"&amp;Flights!$H$13</f>
        <v>HAN-KUL</v>
      </c>
      <c r="F293" s="57" t="str">
        <f aca="false">Flights!$K$13</f>
        <v>BC</v>
      </c>
      <c r="G293" s="57" t="s">
        <v>420</v>
      </c>
      <c r="H293" s="57" t="s">
        <v>378</v>
      </c>
      <c r="I293" s="57" t="s">
        <v>379</v>
      </c>
      <c r="J293" s="57" t="s">
        <v>421</v>
      </c>
      <c r="K293" s="67"/>
      <c r="L293" s="67" t="s">
        <v>422</v>
      </c>
      <c r="M293" s="67"/>
      <c r="N293" s="67" t="s">
        <v>383</v>
      </c>
      <c r="O293" s="67" t="s">
        <v>423</v>
      </c>
      <c r="P293" s="57" t="s">
        <v>240</v>
      </c>
      <c r="Q293" s="59" t="n">
        <f aca="false">ROUND((Flights!$AE$13)*1440,0)/1440</f>
        <v>46305.7534722222</v>
      </c>
      <c r="R293" s="59" t="n">
        <f aca="false">Q293+(IF(AND(INDEX(TZ_DSTS,MATCH(P293,TZ_STN,0))&lt;&gt;"",Q293&gt;=INDEX(TZ_DSTS,MATCH(P293,TZ_STN,0)),Q293&lt;INDEX(TZ_DSTE,MATCH(P293,TZ_STN,0))),INDEX(TZ_DST,MATCH(P293,TZ_STN,0)),INDEX(TZ_STD,MATCH(P293,TZ_STN,0))))/24</f>
        <v>46306.0451388889</v>
      </c>
      <c r="S293" s="60"/>
      <c r="T293" s="60"/>
      <c r="U293" s="60"/>
      <c r="V293" s="60"/>
      <c r="W293" s="61"/>
      <c r="X293" s="60"/>
      <c r="Y293" s="60"/>
      <c r="Z293" s="60"/>
      <c r="AA293" s="60"/>
      <c r="AB293" s="60"/>
      <c r="AC293" s="60"/>
      <c r="AD293" s="66"/>
      <c r="AE293" s="60"/>
      <c r="AF293" s="61" t="str">
        <f aca="false">IF(AND(ISNUMBER(X293),ISNUMBER(Y293)),Y293-X293,"")</f>
        <v/>
      </c>
      <c r="AG293" s="62" t="str">
        <f aca="false">IF(ISNUMBER(AD293),AD293-(IF(AND(INDEX(TZ_DSTS,MATCH(P293,TZ_STN,0))&lt;&gt;"",(AD293-INDEX(TZ_STD,MATCH(P293,TZ_STN,0))/24)&gt;=INDEX(TZ_DSTS,MATCH(P293,TZ_STN,0)),(AD293-INDEX(TZ_STD,MATCH(P293,TZ_STN,0))/24)&lt;INDEX(TZ_DSTE,MATCH(P293,TZ_STN,0))),INDEX(TZ_DST,MATCH(P293,TZ_STN,0)),INDEX(TZ_STD,MATCH(P293,TZ_STN,0))))/24,"")</f>
        <v/>
      </c>
      <c r="AH293" s="65" t="str">
        <f aca="false">IFERROR(IF(N293="N/A – rule",IF(OR(TRIM(U293)="",TRIM(U293)="N/A",TRIM(U293)="Not started"),"N/A – RULE","INVALID – this check does not apply to this aircraft: clear the status (or correct the fleet on Flights)"),IF(TRIM(U293)="N/A",IF(AT293=0,"INVALID – N/A not permitted for this check",IF(AND(TRIM(AB293)&lt;&gt;"",TRIM(AB293)&lt;&gt;"Closed"),"INVALID – corrective action still open",IF(AND(NOT(OR(LEN(AZ293)&lt;15,ISNUMBER(MATCH(AZ293,L_Placeholder,0)))),BK293=0,CG293&gt;=8,NOT(OR(LEN(AU293)&lt;2,ISNUMBER(MATCH(AU293,L_Placeholder,0)))),BR293&gt;=3,NOT(OR(LEN(AX293)&lt;2,ISNUMBER(MATCH(AX293,L_Placeholder,0)))),BS293&gt;=3,TRIM(AE293)&lt;&gt;TRIM(T293),AX293&lt;&gt;AU293,CE293=0),"N/A – JUSTIFIED","INVALID – N/A needs a real, settled reason (not 'not applicable' / 'as above' / TBC), a named PIC and a different named verifier"))),IF(OR(TRIM(U293)="Pass",TRIM(U293)="Pass after CA"),IF(NOT(ISNUMBER(AD293)),"INVALID – completion time missing",IF(OR(OR(LEN(AU293)&lt;2,ISNUMBER(MATCH(AU293,L_Placeholder,0))),BR293&lt;3),"INVALID – PIC missing or not a named person (a role such as QA / CSM is not a name)",IF(OR(LEN(AV293)&lt;2,ISNUMBER(MATCH(AV293,L_Placeholder,0))),"INVALID – result / assessment missing",IF(OR(OR(LEN(AW293)&lt;3,ISNUMBER(MATCH(AW293,L_Placeholder,0))),SUMPRODUCT(--ISNUMBER(SEARCH(" "&amp;L_EvidencePhrase&amp;" ",BD293)))&gt;0,BI293=1),"INVALID – evidence missing, placeholder or not yet on file",IF(ISNA(MATCH(TRIM(S293),L_EvidenceType,0)),"INVALID – choose the evidence type from the list (column S)",IF(BL293=0,"INVALID – evidence ID must be the record's own ID only (e.g. SF-2210, IMG_2231, 1045521); a link / file name needs type 'Link / file path'",IF(OR(OR(LEN(AX293)&lt;2,ISNUMBER(MATCH(AX293,L_Placeholder,0))),BS293&lt;3),"INVALID – verifier missing or not a named person (a role such as QA / CSM is not a name)",IF(OR(AX293=AU293,CE293=1,AND(LEN(AU293)&gt;=4,ISNUMBER(SEARCH(AU293,AX293))),AND(LEN(AX293)&gt;=4,ISNUMBER(SEARCH(AX293,AU293)))),"INVALID – verifier must be a different, named person (not the PIC or a role)",IF(BH293=1,"INVALID – result not yet available (awaiting / TBC)",IF(BG293=1,"INVALID – result describes a problem: record Fail, then Pass after CA (or reword if it is not a problem)",IF(BV293=1,"INVALID – wording says not on board: an on-board confirmation needs the item loaded",IF(AND(AQ293=1,OR(OR(LEN(AY293)&lt;3,ISNUMBER(MATCH(AY293,L_Placeholder,0))),BJ293=1,BQ293=0)),"INVALID – batch ID missing, placeholder or not an ID (e.g. PASB-261008-BC-017)",IF(AND(AR293=1,OR(NOT(ISNUMBER(X293)),NOT(ISNUMBER(Y293)))),"INVALID – expected/actual qty missing",IF(AND(AR293=1,OR(X293&lt;=0,Y293&lt;0)),"INVALID – expected qty must be above 0 and actual not negative",IF(BB293&lt;&gt;"",BB293,IF(AND(AS293=1,Documents!$J$13&lt;&gt;"ON FILE"),"INVALID – GLD not on file (Documents sheet)",IF(AND(AS293=2,Documents!$O$13&lt;&gt;"ON FILE"),"INVALID – menu checklist not on file (Documents sheet)",IF(AND(AS293=3,NOT(ISNUMBER(Flights!$AX$13))),"INVALID – enter carrying flight KUL departure (Flights AX)",IF(AND(AS293=3,OR(Flights!$AZ$13&gt;Flights!$AA$13,Flights!$AX$13&lt;Flights!$AA$13-3)),"INVALID – carrying flight (Flights AX) cannot arrive before this leg's STD, or is over 3 days early",IF(AG293&gt;AsOfUTC,"INVALID – completion time is in the future",IF(AND(ISNUMBER(BY293),AG293&lt;BY293),IF(H293="Physical uplift","INVALID – before uplift window (cannot confirm loading)","INVALID – before valid window"),IF(AG293&gt;Flights!$AA$13,"INVALID – completed after departure (cannot establish readiness)",IF(AND(H293="Preparation",AG293&gt;=IF(ISNUMBER(Flights!$BA$13),MIN(Flights!$BA$13,Flights!$AA$13),Flights!$AA$13)),"INVALID – completed after loading / departure (cannot establish readiness)",IF(AND(H293="Physical uplift",AG293&gt;Q293),"INVALID – recorded after the loading flight departed",IF(AG293&gt;Q293,"COMPLETE – LATE","COMPLETE"))))))))))))))))))))))))),IF(TRIM(U293)="Fail","FAIL – DISCREPANCY",IF(AND(TRIM(U293)&lt;&gt;"",TRIM(U293)&lt;&gt;"Not started",TRIM(U293)&lt;&gt;"In progress"),"INVALID – unrecognised status (use the list)",IF(AsOfUTC&gt;Q293,"OVERDUE",IF(N293="Clarification required","OPEN – CLARIFICATION","OPEN"))))))),"INVALID – error value in an input cell")</f>
        <v>OPEN</v>
      </c>
      <c r="AI293" s="61" t="n">
        <f aca="false">IF(OR(AH293="N/A – RULE",AH293="N/A – JUSTIFIED"),0,1)</f>
        <v>1</v>
      </c>
      <c r="AJ293" s="61" t="n">
        <f aca="false">IF(LEFT(AH293,8)="COMPLETE",1,0)</f>
        <v>0</v>
      </c>
      <c r="AK293" s="61" t="n">
        <f aca="false">IF(AND(AI293=1,AJ293=0,AsOfUTC&gt;Q293),1,0)</f>
        <v>0</v>
      </c>
      <c r="AL293" s="61" t="n">
        <f aca="false">IFERROR(IF(AND(AI293=1,OR(TRIM(U293)="Fail",AND(TRIM(AB293)&lt;&gt;"",TRIM(AB293)&lt;&gt;"Closed"),AND(ISNUMBER(AF293),AF293&lt;&gt;0,TRIM(U293)&lt;&gt;"Pass after CA"))),1,0),1)</f>
        <v>0</v>
      </c>
      <c r="AM293" s="61" t="n">
        <f aca="false">IF(LEFT(AH293,7)="INVALID",1,0)</f>
        <v>0</v>
      </c>
      <c r="AN293" s="61" t="n">
        <f aca="false">IF(AND(N293="Clarification required",AI293=1,AJ293=0),1,0)</f>
        <v>0</v>
      </c>
      <c r="AO293" s="61" t="str">
        <f aca="false">IF(AK293=1,SUM(AK$5:AK293),"")</f>
        <v/>
      </c>
      <c r="AP293" s="61" t="str">
        <f aca="false">IF(AL293=1,SUM(AL$5:AL293),"")</f>
        <v/>
      </c>
      <c r="AQ293" s="61" t="n">
        <v>0</v>
      </c>
      <c r="AR293" s="61" t="n">
        <v>0</v>
      </c>
      <c r="AS293" s="61" t="n">
        <v>0</v>
      </c>
      <c r="AT293" s="61" t="n">
        <v>0</v>
      </c>
      <c r="AU293" s="61" t="str">
        <f aca="false">SUBSTITUTE(SUBSTITUTE(SUBSTITUTE(SUBSTITUTE(SUBSTITUTE(SUBSTITUTE(SUBSTITUTE(SUBSTITUTE(SUBSTITUTE(SUBSTITUTE(SUBSTITUTE(SUBSTITUTE(SUBSTITUTE(SUBSTITUTE(SUBSTITUTE(SUBSTITUTE(LOWER(T293&amp;""),CHAR(10),""),CHAR(13),""),CHAR(9),""),CHAR(160),"")," ",""),".",""),"-",""),"/",""),"?",""),"_",""),",",""),"[",""),"]",""),"(",""),")",""),"*","")</f>
        <v/>
      </c>
      <c r="AV293" s="61" t="str">
        <f aca="false">SUBSTITUTE(SUBSTITUTE(SUBSTITUTE(SUBSTITUTE(SUBSTITUTE(SUBSTITUTE(SUBSTITUTE(SUBSTITUTE(SUBSTITUTE(SUBSTITUTE(SUBSTITUTE(SUBSTITUTE(SUBSTITUTE(SUBSTITUTE(SUBSTITUTE(SUBSTITUTE(LOWER(V293&amp;""),CHAR(10),""),CHAR(13),""),CHAR(9),""),CHAR(160),"")," ",""),".",""),"-",""),"/",""),"?",""),"_",""),",",""),"[",""),"]",""),"(",""),")",""),"*","")</f>
        <v/>
      </c>
      <c r="AW293" s="61" t="str">
        <f aca="false">SUBSTITUTE(SUBSTITUTE(SUBSTITUTE(SUBSTITUTE(SUBSTITUTE(SUBSTITUTE(SUBSTITUTE(SUBSTITUTE(SUBSTITUTE(SUBSTITUTE(SUBSTITUTE(SUBSTITUTE(SUBSTITUTE(SUBSTITUTE(SUBSTITUTE(SUBSTITUTE(LOWER(Z293&amp;""),CHAR(10),""),CHAR(13),""),CHAR(9),""),CHAR(160),"")," ",""),".",""),"-",""),"/",""),"?",""),"_",""),",",""),"[",""),"]",""),"(",""),")",""),"*","")</f>
        <v/>
      </c>
      <c r="AX293" s="61" t="str">
        <f aca="false">SUBSTITUTE(SUBSTITUTE(SUBSTITUTE(SUBSTITUTE(SUBSTITUTE(SUBSTITUTE(SUBSTITUTE(SUBSTITUTE(SUBSTITUTE(SUBSTITUTE(SUBSTITUTE(SUBSTITUTE(SUBSTITUTE(SUBSTITUTE(SUBSTITUTE(SUBSTITUTE(LOWER(AE293&amp;""),CHAR(10),""),CHAR(13),""),CHAR(9),""),CHAR(160),"")," ",""),".",""),"-",""),"/",""),"?",""),"_",""),",",""),"[",""),"]",""),"(",""),")",""),"*","")</f>
        <v/>
      </c>
      <c r="AY293" s="61" t="str">
        <f aca="false">SUBSTITUTE(SUBSTITUTE(SUBSTITUTE(SUBSTITUTE(SUBSTITUTE(SUBSTITUTE(SUBSTITUTE(SUBSTITUTE(SUBSTITUTE(SUBSTITUTE(SUBSTITUTE(SUBSTITUTE(SUBSTITUTE(SUBSTITUTE(SUBSTITUTE(SUBSTITUTE(LOWER(W293&amp;""),CHAR(10),""),CHAR(13),""),CHAR(9),""),CHAR(160),"")," ",""),".",""),"-",""),"/",""),"?",""),"_",""),",",""),"[",""),"]",""),"(",""),")",""),"*","")</f>
        <v/>
      </c>
      <c r="AZ293" s="61" t="str">
        <f aca="false">SUBSTITUTE(SUBSTITUTE(SUBSTITUTE(SUBSTITUTE(SUBSTITUTE(SUBSTITUTE(SUBSTITUTE(SUBSTITUTE(SUBSTITUTE(SUBSTITUTE(SUBSTITUTE(SUBSTITUTE(SUBSTITUTE(SUBSTITUTE(SUBSTITUTE(SUBSTITUTE(LOWER(AC293&amp;""),CHAR(10),""),CHAR(13),""),CHAR(9),""),CHAR(160),"")," ",""),".",""),"-",""),"/",""),"?",""),"_",""),",",""),"[",""),"]",""),"(",""),")",""),"*","")</f>
        <v/>
      </c>
      <c r="BA293" s="61" t="str">
        <f aca="false">SUBSTITUTE(SUBSTITUTE(SUBSTITUTE(SUBSTITUTE(SUBSTITUTE(SUBSTITUTE(SUBSTITUTE(SUBSTITUTE(SUBSTITUTE(SUBSTITUTE(SUBSTITUTE(SUBSTITUTE(SUBSTITUTE(SUBSTITUTE(SUBSTITUTE(SUBSTITUTE(LOWER(AA293&amp;""),CHAR(10),""),CHAR(13),""),CHAR(9),""),CHAR(160),"")," ",""),".",""),"-",""),"/",""),"?",""),"_",""),",",""),"[",""),"]",""),"(",""),")",""),"*","")</f>
        <v/>
      </c>
      <c r="BB293" s="61" t="str">
        <f aca="false">IF(AND(TRIM(U293)="Pass",ISNUMBER(AF293)),IF(AF293&lt;&gt;0,"INVALID – qty variance: use Fail or Pass after CA",""),"")&amp;IF(AND(TRIM(U293)="Pass after CA",ISNUMBER(AF293)),IF(AF293&lt;&gt;0,"INVALID – after the corrective action the actual qty must equal expected (update Actual)",""),"")&amp;IF(AND(TRIM(U293)="Pass",TRIM(AB293)&lt;&gt;"",TRIM(AB293)&lt;&gt;"Closed"),"INVALID – corrective action not closed: use Fail, then Pass after CA","")&amp;IF(AND(LEN(BA293)&gt;=2,ISNA(MATCH(LEFT(BA293,255),L_Placeholder,0)),TRIM(AB293)=""),"INVALID – CA status missing for the recorded corrective action","")&amp;IF(AND(TRIM(U293)="Pass after CA",OR(OR(LEN(BA293)&lt;5,ISNUMBER(MATCH(BA293,L_Placeholder,0))),TRIM(AB293)&lt;&gt;"Closed")),"INVALID – corrective action not recorded/closed","")</f>
        <v/>
      </c>
      <c r="BC293" s="61" t="str">
        <f aca="false">" "&amp;TRIM(SUBSTITUTE(SUBSTITUTE(SUBSTITUTE(SUBSTITUTE(SUBSTITUTE(SUBSTITUTE(SUBSTITUTE(SUBSTITUTE(SUBSTITUTE(SUBSTITUTE(SUBSTITUTE(SUBSTITUTE(SUBSTITUTE(SUBSTITUTE(SUBSTITUTE(SUBSTITUTE(SUBSTITUTE(SUBSTITUTE(SUBSTITUTE(SUBSTITUTE(SUBSTITUTE(SUBSTITUTE(SUBSTITUTE(SUBSTITUTE(LOWER(V293&amp;""),CHAR(10)," "),CHAR(13)," "),CHAR(9)," "),CHAR(160)," "),"."," "),","," "),"-"," "),"/"," "),"("," "),")"," "),":"," "),";"," "),"_"," "),"–"," "),"?"," "),"!"," "),"*"," "),"["," "),"]"," "),"'"," "),"#"," "),"+"," "),"&amp;"," "),"\"," "))&amp;" "</f>
        <v>  </v>
      </c>
      <c r="BD293" s="61" t="str">
        <f aca="false">" "&amp;TRIM(SUBSTITUTE(SUBSTITUTE(SUBSTITUTE(SUBSTITUTE(SUBSTITUTE(SUBSTITUTE(SUBSTITUTE(SUBSTITUTE(SUBSTITUTE(SUBSTITUTE(SUBSTITUTE(SUBSTITUTE(SUBSTITUTE(SUBSTITUTE(SUBSTITUTE(SUBSTITUTE(SUBSTITUTE(SUBSTITUTE(SUBSTITUTE(SUBSTITUTE(SUBSTITUTE(SUBSTITUTE(SUBSTITUTE(SUBSTITUTE(LOWER(Z293&amp;""),CHAR(10)," "),CHAR(13)," "),CHAR(9)," "),CHAR(160)," "),"."," "),","," "),"-"," "),"/"," "),"("," "),")"," "),":"," "),";"," "),"_"," "),"–"," "),"?"," "),"!"," "),"*"," "),"["," "),"]"," "),"'"," "),"#"," "),"+"," "),"&amp;"," "),"\"," "))&amp;" "</f>
        <v>  </v>
      </c>
      <c r="BE293" s="61" t="str">
        <f aca="false">" "&amp;TRIM(SUBSTITUTE(SUBSTITUTE(SUBSTITUTE(SUBSTITUTE(SUBSTITUTE(SUBSTITUTE(SUBSTITUTE(SUBSTITUTE(SUBSTITUTE(SUBSTITUTE(SUBSTITUTE(SUBSTITUTE(SUBSTITUTE(SUBSTITUTE(SUBSTITUTE(SUBSTITUTE(SUBSTITUTE(SUBSTITUTE(SUBSTITUTE(SUBSTITUTE(SUBSTITUTE(SUBSTITUTE(SUBSTITUTE(SUBSTITUTE(LOWER(W293&amp;""),CHAR(10)," "),CHAR(13)," "),CHAR(9)," "),CHAR(160)," "),"."," "),","," "),"-"," "),"/"," "),"("," "),")"," "),":"," "),";"," "),"_"," "),"–"," "),"?"," "),"!"," "),"*"," "),"["," "),"]"," "),"'"," "),"#"," "),"+"," "),"&amp;"," "),"\"," "))&amp;" "</f>
        <v>  </v>
      </c>
      <c r="BF293" s="61" t="str">
        <f aca="false">" "&amp;TRIM(SUBSTITUTE(SUBSTITUTE(SUBSTITUTE(SUBSTITUTE(SUBSTITUTE(SUBSTITUTE(SUBSTITUTE(SUBSTITUTE(SUBSTITUTE(SUBSTITUTE(SUBSTITUTE(SUBSTITUTE(SUBSTITUTE(SUBSTITUTE(SUBSTITUTE(SUBSTITUTE(SUBSTITUTE(SUBSTITUTE(SUBSTITUTE(SUBSTITUTE(SUBSTITUTE(SUBSTITUTE(SUBSTITUTE(SUBSTITUTE(LOWER(AC293&amp;""),CHAR(10)," "),CHAR(13)," "),CHAR(9)," "),CHAR(160)," "),"."," "),","," "),"-"," "),"/"," "),"("," "),")"," "),":"," "),";"," "),"_"," "),"–"," "),"?"," "),"!"," "),"*"," "),"["," "),"]"," "),"'"," "),"#"," "),"+"," "),"&amp;"," "),"\"," "))&amp;" "</f>
        <v>  </v>
      </c>
      <c r="BG293" s="61" t="n">
        <f aca="false">IFERROR(IF(AND(TRIM(U293)="Pass",SUMPRODUCT((LEN(BC293)-LEN(SUBSTITUTE(BC293," "&amp;L_ResultBad&amp;" "," ")))/(LEN(L_ResultBad)+1))&gt;SUMPRODUCT((LEN(BC293)-LEN(SUBSTITUTE(BC293," "&amp;L_NegPhrase&amp;" "," ")))/(LEN(L_NegPhrase)+1))),1,0),0)</f>
        <v>0</v>
      </c>
      <c r="BH293" s="61" t="n">
        <f aca="false">IFERROR(IF(SUMPRODUCT((LEN(BC293)-LEN(SUBSTITUTE(BC293," "&amp;L_Pending&amp;" "," ")))/(LEN(L_Pending)+1))&gt;SUMPRODUCT((LEN(BC293)-LEN(SUBSTITUTE(BC293," "&amp;L_PendNeg&amp;" "," ")))/(LEN(L_PendNeg)+1))+SUMPRODUCT((LEN(BC293)-LEN(SUBSTITUTE(BC293," "&amp;L_PendPrep&amp;" "," ")))/(LEN(L_PendPrep)+1)),1,0),1)</f>
        <v>0</v>
      </c>
      <c r="BI293" s="61" t="n">
        <f aca="false">IFERROR(IF(SUMPRODUCT((LEN(BD293)-LEN(SUBSTITUTE(BD293," "&amp;L_PendStrict&amp;" "," ")))/(LEN(L_PendStrict)+1))&gt;SUMPRODUCT((LEN(BD293)-LEN(SUBSTITUTE(BD293," "&amp;L_PendNeg&amp;" "," ")))/(LEN(L_PendNeg)+1)),1,0),1)</f>
        <v>0</v>
      </c>
      <c r="BJ293" s="61" t="n">
        <f aca="false">IFERROR(IF(SUMPRODUCT((LEN(BE293)-LEN(SUBSTITUTE(BE293," "&amp;L_Pending&amp;" "," ")))/(LEN(L_Pending)+1))&gt;SUMPRODUCT((LEN(BE293)-LEN(SUBSTITUTE(BE293," "&amp;L_PendNeg&amp;" "," ")))/(LEN(L_PendNeg)+1))+SUMPRODUCT((LEN(BE293)-LEN(SUBSTITUTE(BE293," "&amp;L_PendPrep&amp;" "," ")))/(LEN(L_PendPrep)+1)),1,0),1)</f>
        <v>0</v>
      </c>
      <c r="BK293" s="61" t="n">
        <f aca="false">IFERROR(IF(SUMPRODUCT((LEN(BF293)-LEN(SUBSTITUTE(BF293," "&amp;L_PendStrict&amp;" "," ")))/(LEN(L_PendStrict)+1))&gt;SUMPRODUCT((LEN(BF293)-LEN(SUBSTITUTE(BF293," "&amp;L_PendNeg&amp;" "," ")))/(LEN(L_PendNeg)+1)),1,0),1)</f>
        <v>0</v>
      </c>
      <c r="BL293" s="61" t="n">
        <f aca="false">IF(ISNA(MATCH(TRIM(S293),L_EvidenceType,0)),0,BZ293)</f>
        <v>0</v>
      </c>
      <c r="BM293" s="61" t="str">
        <f aca="false">SUBSTITUTE(SUBSTITUTE(SUBSTITUTE(SUBSTITUTE(SUBSTITUTE(SUBSTITUTE(SUBSTITUTE(SUBSTITUTE(SUBSTITUTE(LOWER(Z293&amp;""),"1","0"),"2","0"),"3","0"),"4","0"),"5","0"),"6","0"),"7","0"),"8","0"),"9","0")</f>
        <v/>
      </c>
      <c r="BN293" s="61" t="str">
        <f aca="false">SUBSTITUTE(SUBSTITUTE(SUBSTITUTE(SUBSTITUTE(SUBSTITUTE(SUBSTITUTE(SUBSTITUTE(SUBSTITUTE(SUBSTITUTE(SUBSTITUTE(SUBSTITUTE(SUBSTITUTE(SUBSTITUTE(SUBSTITUTE(SUBSTITUTE(SUBSTITUTE(SUBSTITUTE(SUBSTITUTE(SUBSTITUTE(SUBSTITUTE(SUBSTITUTE(SUBSTITUTE(SUBSTITUTE(SUBSTITUTE(SUBSTITUTE(BM293,"b","a"),"c","a"),"d","a"),"e","a"),"f","a"),"g","a"),"h","a"),"i","a"),"j","a"),"k","a"),"l","a"),"m","a"),"n","a"),"o","a"),"p","a"),"q","a"),"r","a"),"s","a"),"t","a"),"u","a"),"v","a"),"w","a"),"x","a"),"y","a"),"z","a")</f>
        <v/>
      </c>
      <c r="BO293" s="61" t="str">
        <f aca="false">SUBSTITUTE(SUBSTITUTE(SUBSTITUTE(SUBSTITUTE(SUBSTITUTE(SUBSTITUTE(SUBSTITUTE(SUBSTITUTE(SUBSTITUTE(LOWER(W293&amp;""),"1","0"),"2","0"),"3","0"),"4","0"),"5","0"),"6","0"),"7","0"),"8","0"),"9","0")</f>
        <v/>
      </c>
      <c r="BP293" s="61" t="str">
        <f aca="false">SUBSTITUTE(SUBSTITUTE(SUBSTITUTE(SUBSTITUTE(SUBSTITUTE(SUBSTITUTE(SUBSTITUTE(SUBSTITUTE(SUBSTITUTE(SUBSTITUTE(SUBSTITUTE(SUBSTITUTE(SUBSTITUTE(SUBSTITUTE(SUBSTITUTE(SUBSTITUTE(SUBSTITUTE(SUBSTITUTE(SUBSTITUTE(SUBSTITUTE(SUBSTITUTE(SUBSTITUTE(SUBSTITUTE(SUBSTITUTE(SUBSTITUTE(BO293,"b","a"),"c","a"),"d","a"),"e","a"),"f","a"),"g","a"),"h","a"),"i","a"),"j","a"),"k","a"),"l","a"),"m","a"),"n","a"),"o","a"),"p","a"),"q","a"),"r","a"),"s","a"),"t","a"),"u","a"),"v","a"),"w","a"),"x","a"),"y","a"),"z","a")</f>
        <v/>
      </c>
      <c r="BQ293" s="61" t="n">
        <f aca="false">IFERROR(IF(AND(ISERROR(SEARCH(" mh"," "&amp;LOWER(W293))),ISNA(MATCH(LEFT(TRIM(BP293),255),{"0000a","000a","00a","0000aa","000aa","00aa","0aa","0000aaa","000aaa","00a00","0a00","0000-0000","00:00","a00","a0","00.00.0000","00/00/0000","00-00-0000","0000-00-00","0000/00/00","0000.00.00","00.00.00","00/00/00","00-00-00","0.00.0000","0/00/0000","0-00-0000"},0)),ISNA(MATCH(LEFT(TRIM(CA293),255),{"0000a","000a","00a","0000aa","000aa","00aa","0aa","0000aaa","000aaa","00a00","0a00","0000-0000","00:00","a00","a0","00.00.0000","00/00/0000","00-00-0000","0000-00-00","0000/00/00","0000.00.00","00.00.00","00/00/00","00-00-00","0.00.0000","0/00/0000","0-00-0000"},0)),LEN(CB293)&gt;=3,NOT(OR(SUBSTITUTE(CB293,"0","")="",AND(LEN(CB293)&gt;=4,CB293=REPT(LEFT(CB293),LEN(CB293))),ISNUMBER(MATCH(CB293,{"123","1234","12345","123456","1234567","12345678","0123","01234","012345","98765","987654","54321"},0)),AND(LEN(CB293)=8,LEFT(CB293,3)="202"))),OR(AND((LEN(CA293)-LEN(SUBSTITUTE(CA293,"a","")))&gt;=1,SUMPRODUCT(--ISNUMBER(SEARCH({"a0","a-0","a_0","a/0","a.0","a#0","0a","0-a","0_a","0/a"},BP293)))&gt;0),ISNUMBER(SEARCH("000000",BP293)))),1,0),0)</f>
        <v>0</v>
      </c>
      <c r="BR293" s="61" t="n">
        <f aca="false">IFERROR(LEN(SUBSTITUTE(CC293," ",""))-SUMPRODUCT((LEN(CC293)-LEN(SUBSTITUTE(CC293," "&amp;L_Role&amp;" "," ")))/(LEN(L_Role)+1)*LEN(L_Role)),0)</f>
        <v>0</v>
      </c>
      <c r="BS293" s="61" t="n">
        <f aca="false">IFERROR(LEN(SUBSTITUTE(CD293," ",""))-SUMPRODUCT((LEN(CD293)-LEN(SUBSTITUTE(CD293," "&amp;L_Role&amp;" "," ")))/(LEN(L_Role)+1)*LEN(L_Role)),0)</f>
        <v>0</v>
      </c>
      <c r="BT2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293,"revision",""),"version",""),"jan",""),"feb",""),"mar",""),"apr",""),"may",""),"jun",""),"jul",""),"aug",""),"sep",""),"oct",""),"nov",""),"dec",""),"utc",""),"gmt",""),"myt",""),"bst",""),"rev",""),"ver",""),"b","a"),"c","a"),"d","a"),"e","a"),"f","a"),"g","a"),"h","a"),"i","a"),"j","a"),"k","a"),"l","a"),"m","a"),"n","a"),"o","a"),"p","a"),"q","a"),"r","a"),"s","a"),"t","a"),"u","a"),"v","a"),"w","a"),"x","a"),"y","a"),"z","a")</f>
        <v/>
      </c>
      <c r="BU293" s="61" t="str">
        <f aca="false">SUBSTITUTE(SUBSTITUTE(SUBSTITUTE(SUBSTITUTE(SUBSTITUTE(SUBSTITUTE(SUBSTITUTE(SUBSTITUTE(SUBSTITUTE(SUBSTITUTE(LEFT(BM293,FIND("0",BM293&amp;"0")-1),"-",""),"_",""),"/",""),".",""),"#",""),"\\",""),":","")," ",""),"(",""),")","")</f>
        <v/>
      </c>
      <c r="BV293" s="61" t="n">
        <f aca="false">0</f>
        <v>0</v>
      </c>
      <c r="BW2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293&amp;""),"a",""),"b",""),"c",""),"d",""),"e",""),"f",""),"g",""),"h",""),"i",""),"j",""),"k",""),"l",""),"m",""),"n",""),"o",""),"p",""),"q",""),"r",""),"s",""),"t",""),"u",""),"v",""),"w",""),"x",""),"y",""),"z",""),"-",""),"_",""),"/",""),".",""),"#",""),"\\",""),":","")," ",""),"(",""),")","")</f>
        <v/>
      </c>
      <c r="BX293" s="61" t="str">
        <f aca="false">SUBSTITUTE(SUBSTITUTE(SUBSTITUTE(SUBSTITUTE(SUBSTITUTE(SUBSTITUTE(SUBSTITUTE(SUBSTITUTE(SUBSTITUTE(SUBSTITUTE(SUBSTITUTE(BM293,"0",""),"-",""),"_",""),"/",""),".",""),"#",""),"\\",""),":","")," ",""),"(",""),")","")</f>
        <v/>
      </c>
      <c r="BY293" s="62" t="n">
        <f aca="false">Q293-T12EarlyH/24</f>
        <v>46305.2534722222</v>
      </c>
      <c r="BZ293" s="61" t="n">
        <f aca="false">IFERROR(IF(IF(TRIM(S293)="Link / file path",AND(LEN(TRIM(Z293))&gt;=5,SUMPRODUCT(--ISNUMBER(SEARCH({"http","www.","\\",":\",".pdf",".jpg",".jpeg",".png",".heic",".xls",".doc",".msg",".eml",".ppt",".txt",".zip"},Z293)))&gt;0),AND(ISERROR(FIND(" ",TRIM(Z293))),NOT(OR(SUMPRODUCT(--ISNUMBER(FIND({",",";","&amp;","+"},Z293)))&gt;0,SUMPRODUCT(--ISNUMBER(SEARCH({"0/aa","0\\aa"},BN293)))&gt;0)),NOT(SUMPRODUCT(--ISNUMBER(SEARCH({"http","www.","\\",":\",".pdf",".jpg",".jpeg",".png",".heic",".xls",".doc",".msg",".eml",".ppt",".txt",".zip"},Z293)))&gt;0),NOT(LOWER(TRIM(Z293))=LOWER(Flights!$F$13)),ISNA(MATCH(BU293,{"mh","rev","revision","ver","version","v","r","a","b","seat","tray","row","gate","bay","stand","page","pg","item","line","no","cart","galley","flight","flt","table","box","bag","oven","etd","eta","std","sta","atd","ata","qty","pax","x","time","tel","ph","mob","day","wk","week","utc","gmt","myt","lt"},0)),NOT(OR(ISNUMBER(MATCH(LEFT(BN293,255),{"0000a","000a","00a","0000aa","000aa","00aa","0aa","0000aaa","000aaa","00a00","0a00","0000-0000","00:00","a00","a0","00.00.0000","00/00/0000","00-00-0000","0000-00-00","0000/00/00","0000.00.00","00.00.00","00/00/00","00-00-00","0.00.0000","0/00/0000","0-00-0000"},0)),ISNUMBER(MATCH(LEFT(BT293,255),{"0000a","000a","00a","0000aa","000aa","00aa","0aa","0000aaa","000aaa","00a00","0a00","0000-0000","00:00","a00","a0","00.00.0000","00/00/0000","00-00-0000","0000-00-00","0000/00/00","0000.00.00","00.00.00","00/00/00","00-00-00","0.00.0000","0/00/0000","0-00-0000"},0)))),NOT(OR(AND(BW293&lt;&gt;"",SUBSTITUTE(BW293,"0","")=""),AND(LEN(BW293)&gt;=4,BW293=REPT(LEFT(BW293),LEN(BW293))),ISNUMBER(MATCH(BW293,{"123","1234","12345","123456","1234567","12345678","0123","01234","012345","98765","987654","54321"},0)),ISNUMBER(MATCH(BX293,{"x","xx","xxx","xxxx","xxxxx","abc","abcd","nil","na","nan","test","tbc","tba","tbd","dummy","sample","example","eg","zz","zzz","none","null","xyz","qwe","asd","id","ref"},0)),AND(LEN(BW293)=8,BX293="",OR(LEFT(BW293,3)="202",ISNUMBER(MATCH(RIGHT(BW293,4),{"2025","2026","2027"},0)))))),OR(AND((LEN(BT293)-LEN(SUBSTITUTE(BT293,"a","")))&gt;=1,(LEN(BN293)-LEN(SUBSTITUTE(BN293,"0","")))&gt;=2,SUMPRODUCT(--ISNUMBER(SEARCH({"a0","a-0","a_0","a/0","a.0","a#0","0a","0-a","0_a","0/a"},BN293)))&gt;0),AND((LEN(BN293)-LEN(SUBSTITUTE(BN293,"a","")))=0,(LEN(BN293)-LEN(SUBSTITUTE(BN293,"0","")))&gt;=5)))),1,0),0)</f>
        <v>0</v>
      </c>
      <c r="CA2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293,"revision",""),"version",""),"jan",""),"feb",""),"mar",""),"apr",""),"may",""),"jun",""),"jul",""),"aug",""),"sep",""),"oct",""),"nov",""),"dec",""),"utc",""),"gmt",""),"myt",""),"bst",""),"rev",""),"ver",""),"b","a"),"c","a"),"d","a"),"e","a"),"f","a"),"g","a"),"h","a"),"i","a"),"j","a"),"k","a"),"l","a"),"m","a"),"n","a"),"o","a"),"p","a"),"q","a"),"r","a"),"s","a"),"t","a"),"u","a"),"v","a"),"w","a"),"x","a"),"y","a"),"z","a")</f>
        <v/>
      </c>
      <c r="CB2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293&amp;""),"a",""),"b",""),"c",""),"d",""),"e",""),"f",""),"g",""),"h",""),"i",""),"j",""),"k",""),"l",""),"m",""),"n",""),"o",""),"p",""),"q",""),"r",""),"s",""),"t",""),"u",""),"v",""),"w",""),"x",""),"y",""),"z",""),"-",""),"_",""),"/",""),".",""),"#",""),"\\",""),":","")," ",""),"(",""),")","")</f>
        <v/>
      </c>
      <c r="CC293" s="0" t="str">
        <f aca="false">" "&amp;TRIM(SUBSTITUTE(SUBSTITUTE(SUBSTITUTE(SUBSTITUTE(SUBSTITUTE(SUBSTITUTE(SUBSTITUTE(SUBSTITUTE(SUBSTITUTE(SUBSTITUTE(SUBSTITUTE(SUBSTITUTE(SUBSTITUTE(SUBSTITUTE(SUBSTITUTE(SUBSTITUTE(SUBSTITUTE(SUBSTITUTE(SUBSTITUTE(SUBSTITUTE(SUBSTITUTE(SUBSTITUTE(SUBSTITUTE(SUBSTITUTE(LOWER(T293&amp;""),CHAR(10)," "),CHAR(13)," "),CHAR(9)," "),CHAR(160)," "),"."," "),","," "),"-"," "),"/"," "),"("," "),")"," "),":"," "),";"," "),"_"," "),"–"," "),"?"," "),"!"," "),"*"," "),"["," "),"]"," "),"'"," "),"#"," "),"+"," "),"&amp;"," "),"\"," "))&amp;" "</f>
        <v>  </v>
      </c>
      <c r="CD293" s="0" t="str">
        <f aca="false">" "&amp;TRIM(SUBSTITUTE(SUBSTITUTE(SUBSTITUTE(SUBSTITUTE(SUBSTITUTE(SUBSTITUTE(SUBSTITUTE(SUBSTITUTE(SUBSTITUTE(SUBSTITUTE(SUBSTITUTE(SUBSTITUTE(SUBSTITUTE(SUBSTITUTE(SUBSTITUTE(SUBSTITUTE(SUBSTITUTE(SUBSTITUTE(SUBSTITUTE(SUBSTITUTE(SUBSTITUTE(SUBSTITUTE(SUBSTITUTE(SUBSTITUTE(LOWER(AE293&amp;""),CHAR(10)," "),CHAR(13)," "),CHAR(9)," "),CHAR(160)," "),"."," "),","," "),"-"," "),"/"," "),"("," "),")"," "),":"," "),";"," "),"_"," "),"–"," "),"?"," "),"!"," "),"*"," "),"["," "),"]"," "),"'"," "),"#"," "),"+"," "),"&amp;"," "),"\"," "))&amp;" "</f>
        <v>  </v>
      </c>
      <c r="CE293" s="68" t="n">
        <f aca="false">IFERROR(IF(AND(LEN(AU293)&gt;0,LEN(AU293)=LEN(AX293),OR(TRIM(MID(SUBSTITUTE(TRIM(CC293)," ",REPT(" ",60)),1,60))="",ISNUMBER(SEARCH(" "&amp;TRIM(MID(SUBSTITUTE(TRIM(CC293)," ",REPT(" ",60)),1,60))&amp;" ",CD293))),OR(TRIM(MID(SUBSTITUTE(TRIM(CC293)," ",REPT(" ",60)),61,60))="",ISNUMBER(SEARCH(" "&amp;TRIM(MID(SUBSTITUTE(TRIM(CC293)," ",REPT(" ",60)),61,60))&amp;" ",CD293))),OR(TRIM(MID(SUBSTITUTE(TRIM(CC293)," ",REPT(" ",60)),121,60))="",ISNUMBER(SEARCH(" "&amp;TRIM(MID(SUBSTITUTE(TRIM(CC293)," ",REPT(" ",60)),121,60))&amp;" ",CD293)))),1,0),0)</f>
        <v>0</v>
      </c>
      <c r="CG293" s="68" t="n">
        <f aca="false">IFERROR(LEN(SUBSTITUTE(BF293," ",""))-SUMPRODUCT((LEN(BF293)-LEN(SUBSTITUTE(BF293," "&amp;L_NAFiller&amp;" "," ")))/(LEN(L_NAFiller)+1)*LEN(L_NAFiller)),0)</f>
        <v>0</v>
      </c>
    </row>
    <row r="294" customFormat="false" ht="39.75" hidden="false" customHeight="true" outlineLevel="0" collapsed="false">
      <c r="A294" s="57" t="s">
        <v>869</v>
      </c>
      <c r="B294" s="57" t="s">
        <v>246</v>
      </c>
      <c r="C294" s="57" t="str">
        <f aca="false">Flights!$F$13</f>
        <v>MH0753</v>
      </c>
      <c r="D294" s="58" t="n">
        <f aca="false">Flights!$D$13</f>
        <v>46306</v>
      </c>
      <c r="E294" s="57" t="str">
        <f aca="false">Flights!$G$13&amp;"-"&amp;Flights!$H$13</f>
        <v>HAN-KUL</v>
      </c>
      <c r="F294" s="57" t="str">
        <f aca="false">Flights!$K$13</f>
        <v>BC</v>
      </c>
      <c r="G294" s="57" t="s">
        <v>420</v>
      </c>
      <c r="H294" s="57" t="s">
        <v>378</v>
      </c>
      <c r="I294" s="57" t="s">
        <v>379</v>
      </c>
      <c r="J294" s="57" t="s">
        <v>425</v>
      </c>
      <c r="K294" s="67" t="s">
        <v>426</v>
      </c>
      <c r="L294" s="67" t="s">
        <v>422</v>
      </c>
      <c r="M294" s="67"/>
      <c r="N294" s="67" t="s">
        <v>383</v>
      </c>
      <c r="O294" s="67" t="s">
        <v>423</v>
      </c>
      <c r="P294" s="57" t="s">
        <v>240</v>
      </c>
      <c r="Q294" s="59" t="n">
        <f aca="false">ROUND((Flights!$AE$13)*1440,0)/1440</f>
        <v>46305.7534722222</v>
      </c>
      <c r="R294" s="59" t="n">
        <f aca="false">Q294+(IF(AND(INDEX(TZ_DSTS,MATCH(P294,TZ_STN,0))&lt;&gt;"",Q294&gt;=INDEX(TZ_DSTS,MATCH(P294,TZ_STN,0)),Q294&lt;INDEX(TZ_DSTE,MATCH(P294,TZ_STN,0))),INDEX(TZ_DST,MATCH(P294,TZ_STN,0)),INDEX(TZ_STD,MATCH(P294,TZ_STN,0))))/24</f>
        <v>46306.0451388889</v>
      </c>
      <c r="S294" s="60"/>
      <c r="T294" s="60"/>
      <c r="U294" s="60"/>
      <c r="V294" s="60"/>
      <c r="W294" s="61"/>
      <c r="X294" s="60"/>
      <c r="Y294" s="60"/>
      <c r="Z294" s="60"/>
      <c r="AA294" s="60"/>
      <c r="AB294" s="60"/>
      <c r="AC294" s="60"/>
      <c r="AD294" s="66"/>
      <c r="AE294" s="60"/>
      <c r="AF294" s="61" t="str">
        <f aca="false">IF(AND(ISNUMBER(X294),ISNUMBER(Y294)),Y294-X294,"")</f>
        <v/>
      </c>
      <c r="AG294" s="62" t="str">
        <f aca="false">IF(ISNUMBER(AD294),AD294-(IF(AND(INDEX(TZ_DSTS,MATCH(P294,TZ_STN,0))&lt;&gt;"",(AD294-INDEX(TZ_STD,MATCH(P294,TZ_STN,0))/24)&gt;=INDEX(TZ_DSTS,MATCH(P294,TZ_STN,0)),(AD294-INDEX(TZ_STD,MATCH(P294,TZ_STN,0))/24)&lt;INDEX(TZ_DSTE,MATCH(P294,TZ_STN,0))),INDEX(TZ_DST,MATCH(P294,TZ_STN,0)),INDEX(TZ_STD,MATCH(P294,TZ_STN,0))))/24,"")</f>
        <v/>
      </c>
      <c r="AH294" s="65" t="str">
        <f aca="false">IFERROR(IF(N294="N/A – rule",IF(OR(TRIM(U294)="",TRIM(U294)="N/A",TRIM(U294)="Not started"),"N/A – RULE","INVALID – this check does not apply to this aircraft: clear the status (or correct the fleet on Flights)"),IF(TRIM(U294)="N/A",IF(AT294=0,"INVALID – N/A not permitted for this check",IF(AND(TRIM(AB294)&lt;&gt;"",TRIM(AB294)&lt;&gt;"Closed"),"INVALID – corrective action still open",IF(AND(NOT(OR(LEN(AZ294)&lt;15,ISNUMBER(MATCH(AZ294,L_Placeholder,0)))),BK294=0,CG294&gt;=8,NOT(OR(LEN(AU294)&lt;2,ISNUMBER(MATCH(AU294,L_Placeholder,0)))),BR294&gt;=3,NOT(OR(LEN(AX294)&lt;2,ISNUMBER(MATCH(AX294,L_Placeholder,0)))),BS294&gt;=3,TRIM(AE294)&lt;&gt;TRIM(T294),AX294&lt;&gt;AU294,CE294=0),"N/A – JUSTIFIED","INVALID – N/A needs a real, settled reason (not 'not applicable' / 'as above' / TBC), a named PIC and a different named verifier"))),IF(OR(TRIM(U294)="Pass",TRIM(U294)="Pass after CA"),IF(NOT(ISNUMBER(AD294)),"INVALID – completion time missing",IF(OR(OR(LEN(AU294)&lt;2,ISNUMBER(MATCH(AU294,L_Placeholder,0))),BR294&lt;3),"INVALID – PIC missing or not a named person (a role such as QA / CSM is not a name)",IF(OR(LEN(AV294)&lt;2,ISNUMBER(MATCH(AV294,L_Placeholder,0))),"INVALID – result / assessment missing",IF(OR(OR(LEN(AW294)&lt;3,ISNUMBER(MATCH(AW294,L_Placeholder,0))),SUMPRODUCT(--ISNUMBER(SEARCH(" "&amp;L_EvidencePhrase&amp;" ",BD294)))&gt;0,BI294=1),"INVALID – evidence missing, placeholder or not yet on file",IF(ISNA(MATCH(TRIM(S294),L_EvidenceType,0)),"INVALID – choose the evidence type from the list (column S)",IF(BL294=0,"INVALID – evidence ID must be the record's own ID only (e.g. SF-2210, IMG_2231, 1045521); a link / file name needs type 'Link / file path'",IF(OR(OR(LEN(AX294)&lt;2,ISNUMBER(MATCH(AX294,L_Placeholder,0))),BS294&lt;3),"INVALID – verifier missing or not a named person (a role such as QA / CSM is not a name)",IF(OR(AX294=AU294,CE294=1,AND(LEN(AU294)&gt;=4,ISNUMBER(SEARCH(AU294,AX294))),AND(LEN(AX294)&gt;=4,ISNUMBER(SEARCH(AX294,AU294)))),"INVALID – verifier must be a different, named person (not the PIC or a role)",IF(BH294=1,"INVALID – result not yet available (awaiting / TBC)",IF(BG294=1,"INVALID – result describes a problem: record Fail, then Pass after CA (or reword if it is not a problem)",IF(BV294=1,"INVALID – wording says not on board: an on-board confirmation needs the item loaded",IF(AND(AQ294=1,OR(OR(LEN(AY294)&lt;3,ISNUMBER(MATCH(AY294,L_Placeholder,0))),BJ294=1,BQ294=0)),"INVALID – batch ID missing, placeholder or not an ID (e.g. PASB-261008-BC-017)",IF(AND(AR294=1,OR(NOT(ISNUMBER(X294)),NOT(ISNUMBER(Y294)))),"INVALID – expected/actual qty missing",IF(AND(AR294=1,OR(X294&lt;=0,Y294&lt;0)),"INVALID – expected qty must be above 0 and actual not negative",IF(BB294&lt;&gt;"",BB294,IF(AND(AS294=1,Documents!$J$13&lt;&gt;"ON FILE"),"INVALID – GLD not on file (Documents sheet)",IF(AND(AS294=2,Documents!$O$13&lt;&gt;"ON FILE"),"INVALID – menu checklist not on file (Documents sheet)",IF(AND(AS294=3,NOT(ISNUMBER(Flights!$AX$13))),"INVALID – enter carrying flight KUL departure (Flights AX)",IF(AND(AS294=3,OR(Flights!$AZ$13&gt;Flights!$AA$13,Flights!$AX$13&lt;Flights!$AA$13-3)),"INVALID – carrying flight (Flights AX) cannot arrive before this leg's STD, or is over 3 days early",IF(AG294&gt;AsOfUTC,"INVALID – completion time is in the future",IF(AND(ISNUMBER(BY294),AG294&lt;BY294),IF(H294="Physical uplift","INVALID – before uplift window (cannot confirm loading)","INVALID – before valid window"),IF(AG294&gt;Flights!$AA$13,"INVALID – completed after departure (cannot establish readiness)",IF(AND(H294="Preparation",AG294&gt;=IF(ISNUMBER(Flights!$BA$13),MIN(Flights!$BA$13,Flights!$AA$13),Flights!$AA$13)),"INVALID – completed after loading / departure (cannot establish readiness)",IF(AND(H294="Physical uplift",AG294&gt;Q294),"INVALID – recorded after the loading flight departed",IF(AG294&gt;Q294,"COMPLETE – LATE","COMPLETE"))))))))))))))))))))))))),IF(TRIM(U294)="Fail","FAIL – DISCREPANCY",IF(AND(TRIM(U294)&lt;&gt;"",TRIM(U294)&lt;&gt;"Not started",TRIM(U294)&lt;&gt;"In progress"),"INVALID – unrecognised status (use the list)",IF(AsOfUTC&gt;Q294,"OVERDUE",IF(N294="Clarification required","OPEN – CLARIFICATION","OPEN"))))))),"INVALID – error value in an input cell")</f>
        <v>OPEN</v>
      </c>
      <c r="AI294" s="61" t="n">
        <f aca="false">IF(OR(AH294="N/A – RULE",AH294="N/A – JUSTIFIED"),0,1)</f>
        <v>1</v>
      </c>
      <c r="AJ294" s="61" t="n">
        <f aca="false">IF(LEFT(AH294,8)="COMPLETE",1,0)</f>
        <v>0</v>
      </c>
      <c r="AK294" s="61" t="n">
        <f aca="false">IF(AND(AI294=1,AJ294=0,AsOfUTC&gt;Q294),1,0)</f>
        <v>0</v>
      </c>
      <c r="AL294" s="61" t="n">
        <f aca="false">IFERROR(IF(AND(AI294=1,OR(TRIM(U294)="Fail",AND(TRIM(AB294)&lt;&gt;"",TRIM(AB294)&lt;&gt;"Closed"),AND(ISNUMBER(AF294),AF294&lt;&gt;0,TRIM(U294)&lt;&gt;"Pass after CA"))),1,0),1)</f>
        <v>0</v>
      </c>
      <c r="AM294" s="61" t="n">
        <f aca="false">IF(LEFT(AH294,7)="INVALID",1,0)</f>
        <v>0</v>
      </c>
      <c r="AN294" s="61" t="n">
        <f aca="false">IF(AND(N294="Clarification required",AI294=1,AJ294=0),1,0)</f>
        <v>0</v>
      </c>
      <c r="AO294" s="61" t="str">
        <f aca="false">IF(AK294=1,SUM(AK$5:AK294),"")</f>
        <v/>
      </c>
      <c r="AP294" s="61" t="str">
        <f aca="false">IF(AL294=1,SUM(AL$5:AL294),"")</f>
        <v/>
      </c>
      <c r="AQ294" s="61" t="n">
        <v>0</v>
      </c>
      <c r="AR294" s="61" t="n">
        <v>1</v>
      </c>
      <c r="AS294" s="61" t="n">
        <v>0</v>
      </c>
      <c r="AT294" s="61" t="n">
        <v>0</v>
      </c>
      <c r="AU294" s="61" t="str">
        <f aca="false">SUBSTITUTE(SUBSTITUTE(SUBSTITUTE(SUBSTITUTE(SUBSTITUTE(SUBSTITUTE(SUBSTITUTE(SUBSTITUTE(SUBSTITUTE(SUBSTITUTE(SUBSTITUTE(SUBSTITUTE(SUBSTITUTE(SUBSTITUTE(SUBSTITUTE(SUBSTITUTE(LOWER(T294&amp;""),CHAR(10),""),CHAR(13),""),CHAR(9),""),CHAR(160),"")," ",""),".",""),"-",""),"/",""),"?",""),"_",""),",",""),"[",""),"]",""),"(",""),")",""),"*","")</f>
        <v/>
      </c>
      <c r="AV294" s="61" t="str">
        <f aca="false">SUBSTITUTE(SUBSTITUTE(SUBSTITUTE(SUBSTITUTE(SUBSTITUTE(SUBSTITUTE(SUBSTITUTE(SUBSTITUTE(SUBSTITUTE(SUBSTITUTE(SUBSTITUTE(SUBSTITUTE(SUBSTITUTE(SUBSTITUTE(SUBSTITUTE(SUBSTITUTE(LOWER(V294&amp;""),CHAR(10),""),CHAR(13),""),CHAR(9),""),CHAR(160),"")," ",""),".",""),"-",""),"/",""),"?",""),"_",""),",",""),"[",""),"]",""),"(",""),")",""),"*","")</f>
        <v/>
      </c>
      <c r="AW294" s="61" t="str">
        <f aca="false">SUBSTITUTE(SUBSTITUTE(SUBSTITUTE(SUBSTITUTE(SUBSTITUTE(SUBSTITUTE(SUBSTITUTE(SUBSTITUTE(SUBSTITUTE(SUBSTITUTE(SUBSTITUTE(SUBSTITUTE(SUBSTITUTE(SUBSTITUTE(SUBSTITUTE(SUBSTITUTE(LOWER(Z294&amp;""),CHAR(10),""),CHAR(13),""),CHAR(9),""),CHAR(160),"")," ",""),".",""),"-",""),"/",""),"?",""),"_",""),",",""),"[",""),"]",""),"(",""),")",""),"*","")</f>
        <v/>
      </c>
      <c r="AX294" s="61" t="str">
        <f aca="false">SUBSTITUTE(SUBSTITUTE(SUBSTITUTE(SUBSTITUTE(SUBSTITUTE(SUBSTITUTE(SUBSTITUTE(SUBSTITUTE(SUBSTITUTE(SUBSTITUTE(SUBSTITUTE(SUBSTITUTE(SUBSTITUTE(SUBSTITUTE(SUBSTITUTE(SUBSTITUTE(LOWER(AE294&amp;""),CHAR(10),""),CHAR(13),""),CHAR(9),""),CHAR(160),"")," ",""),".",""),"-",""),"/",""),"?",""),"_",""),",",""),"[",""),"]",""),"(",""),")",""),"*","")</f>
        <v/>
      </c>
      <c r="AY294" s="61" t="str">
        <f aca="false">SUBSTITUTE(SUBSTITUTE(SUBSTITUTE(SUBSTITUTE(SUBSTITUTE(SUBSTITUTE(SUBSTITUTE(SUBSTITUTE(SUBSTITUTE(SUBSTITUTE(SUBSTITUTE(SUBSTITUTE(SUBSTITUTE(SUBSTITUTE(SUBSTITUTE(SUBSTITUTE(LOWER(W294&amp;""),CHAR(10),""),CHAR(13),""),CHAR(9),""),CHAR(160),"")," ",""),".",""),"-",""),"/",""),"?",""),"_",""),",",""),"[",""),"]",""),"(",""),")",""),"*","")</f>
        <v/>
      </c>
      <c r="AZ294" s="61" t="str">
        <f aca="false">SUBSTITUTE(SUBSTITUTE(SUBSTITUTE(SUBSTITUTE(SUBSTITUTE(SUBSTITUTE(SUBSTITUTE(SUBSTITUTE(SUBSTITUTE(SUBSTITUTE(SUBSTITUTE(SUBSTITUTE(SUBSTITUTE(SUBSTITUTE(SUBSTITUTE(SUBSTITUTE(LOWER(AC294&amp;""),CHAR(10),""),CHAR(13),""),CHAR(9),""),CHAR(160),"")," ",""),".",""),"-",""),"/",""),"?",""),"_",""),",",""),"[",""),"]",""),"(",""),")",""),"*","")</f>
        <v/>
      </c>
      <c r="BA294" s="61" t="str">
        <f aca="false">SUBSTITUTE(SUBSTITUTE(SUBSTITUTE(SUBSTITUTE(SUBSTITUTE(SUBSTITUTE(SUBSTITUTE(SUBSTITUTE(SUBSTITUTE(SUBSTITUTE(SUBSTITUTE(SUBSTITUTE(SUBSTITUTE(SUBSTITUTE(SUBSTITUTE(SUBSTITUTE(LOWER(AA294&amp;""),CHAR(10),""),CHAR(13),""),CHAR(9),""),CHAR(160),"")," ",""),".",""),"-",""),"/",""),"?",""),"_",""),",",""),"[",""),"]",""),"(",""),")",""),"*","")</f>
        <v/>
      </c>
      <c r="BB294" s="61" t="str">
        <f aca="false">IF(AND(TRIM(U294)="Pass",ISNUMBER(AF294)),IF(AF294&lt;&gt;0,"INVALID – qty variance: use Fail or Pass after CA",""),"")&amp;IF(AND(TRIM(U294)="Pass after CA",ISNUMBER(AF294)),IF(AF294&lt;&gt;0,"INVALID – after the corrective action the actual qty must equal expected (update Actual)",""),"")&amp;IF(AND(TRIM(U294)="Pass",TRIM(AB294)&lt;&gt;"",TRIM(AB294)&lt;&gt;"Closed"),"INVALID – corrective action not closed: use Fail, then Pass after CA","")&amp;IF(AND(LEN(BA294)&gt;=2,ISNA(MATCH(LEFT(BA294,255),L_Placeholder,0)),TRIM(AB294)=""),"INVALID – CA status missing for the recorded corrective action","")&amp;IF(AND(TRIM(U294)="Pass after CA",OR(OR(LEN(BA294)&lt;5,ISNUMBER(MATCH(BA294,L_Placeholder,0))),TRIM(AB294)&lt;&gt;"Closed")),"INVALID – corrective action not recorded/closed","")</f>
        <v/>
      </c>
      <c r="BC294" s="61" t="str">
        <f aca="false">" "&amp;TRIM(SUBSTITUTE(SUBSTITUTE(SUBSTITUTE(SUBSTITUTE(SUBSTITUTE(SUBSTITUTE(SUBSTITUTE(SUBSTITUTE(SUBSTITUTE(SUBSTITUTE(SUBSTITUTE(SUBSTITUTE(SUBSTITUTE(SUBSTITUTE(SUBSTITUTE(SUBSTITUTE(SUBSTITUTE(SUBSTITUTE(SUBSTITUTE(SUBSTITUTE(SUBSTITUTE(SUBSTITUTE(SUBSTITUTE(SUBSTITUTE(LOWER(V294&amp;""),CHAR(10)," "),CHAR(13)," "),CHAR(9)," "),CHAR(160)," "),"."," "),","," "),"-"," "),"/"," "),"("," "),")"," "),":"," "),";"," "),"_"," "),"–"," "),"?"," "),"!"," "),"*"," "),"["," "),"]"," "),"'"," "),"#"," "),"+"," "),"&amp;"," "),"\"," "))&amp;" "</f>
        <v>  </v>
      </c>
      <c r="BD294" s="61" t="str">
        <f aca="false">" "&amp;TRIM(SUBSTITUTE(SUBSTITUTE(SUBSTITUTE(SUBSTITUTE(SUBSTITUTE(SUBSTITUTE(SUBSTITUTE(SUBSTITUTE(SUBSTITUTE(SUBSTITUTE(SUBSTITUTE(SUBSTITUTE(SUBSTITUTE(SUBSTITUTE(SUBSTITUTE(SUBSTITUTE(SUBSTITUTE(SUBSTITUTE(SUBSTITUTE(SUBSTITUTE(SUBSTITUTE(SUBSTITUTE(SUBSTITUTE(SUBSTITUTE(LOWER(Z294&amp;""),CHAR(10)," "),CHAR(13)," "),CHAR(9)," "),CHAR(160)," "),"."," "),","," "),"-"," "),"/"," "),"("," "),")"," "),":"," "),";"," "),"_"," "),"–"," "),"?"," "),"!"," "),"*"," "),"["," "),"]"," "),"'"," "),"#"," "),"+"," "),"&amp;"," "),"\"," "))&amp;" "</f>
        <v>  </v>
      </c>
      <c r="BE294" s="61" t="str">
        <f aca="false">" "&amp;TRIM(SUBSTITUTE(SUBSTITUTE(SUBSTITUTE(SUBSTITUTE(SUBSTITUTE(SUBSTITUTE(SUBSTITUTE(SUBSTITUTE(SUBSTITUTE(SUBSTITUTE(SUBSTITUTE(SUBSTITUTE(SUBSTITUTE(SUBSTITUTE(SUBSTITUTE(SUBSTITUTE(SUBSTITUTE(SUBSTITUTE(SUBSTITUTE(SUBSTITUTE(SUBSTITUTE(SUBSTITUTE(SUBSTITUTE(SUBSTITUTE(LOWER(W294&amp;""),CHAR(10)," "),CHAR(13)," "),CHAR(9)," "),CHAR(160)," "),"."," "),","," "),"-"," "),"/"," "),"("," "),")"," "),":"," "),";"," "),"_"," "),"–"," "),"?"," "),"!"," "),"*"," "),"["," "),"]"," "),"'"," "),"#"," "),"+"," "),"&amp;"," "),"\"," "))&amp;" "</f>
        <v>  </v>
      </c>
      <c r="BF294" s="61" t="str">
        <f aca="false">" "&amp;TRIM(SUBSTITUTE(SUBSTITUTE(SUBSTITUTE(SUBSTITUTE(SUBSTITUTE(SUBSTITUTE(SUBSTITUTE(SUBSTITUTE(SUBSTITUTE(SUBSTITUTE(SUBSTITUTE(SUBSTITUTE(SUBSTITUTE(SUBSTITUTE(SUBSTITUTE(SUBSTITUTE(SUBSTITUTE(SUBSTITUTE(SUBSTITUTE(SUBSTITUTE(SUBSTITUTE(SUBSTITUTE(SUBSTITUTE(SUBSTITUTE(LOWER(AC294&amp;""),CHAR(10)," "),CHAR(13)," "),CHAR(9)," "),CHAR(160)," "),"."," "),","," "),"-"," "),"/"," "),"("," "),")"," "),":"," "),";"," "),"_"," "),"–"," "),"?"," "),"!"," "),"*"," "),"["," "),"]"," "),"'"," "),"#"," "),"+"," "),"&amp;"," "),"\"," "))&amp;" "</f>
        <v>  </v>
      </c>
      <c r="BG294" s="61" t="n">
        <f aca="false">IFERROR(IF(AND(TRIM(U294)="Pass",SUMPRODUCT((LEN(BC294)-LEN(SUBSTITUTE(BC294," "&amp;L_ResultBad&amp;" "," ")))/(LEN(L_ResultBad)+1))&gt;SUMPRODUCT((LEN(BC294)-LEN(SUBSTITUTE(BC294," "&amp;L_NegPhrase&amp;" "," ")))/(LEN(L_NegPhrase)+1))),1,0),0)</f>
        <v>0</v>
      </c>
      <c r="BH294" s="61" t="n">
        <f aca="false">IFERROR(IF(SUMPRODUCT((LEN(BC294)-LEN(SUBSTITUTE(BC294," "&amp;L_Pending&amp;" "," ")))/(LEN(L_Pending)+1))&gt;SUMPRODUCT((LEN(BC294)-LEN(SUBSTITUTE(BC294," "&amp;L_PendNeg&amp;" "," ")))/(LEN(L_PendNeg)+1))+SUMPRODUCT((LEN(BC294)-LEN(SUBSTITUTE(BC294," "&amp;L_PendPrep&amp;" "," ")))/(LEN(L_PendPrep)+1)),1,0),1)</f>
        <v>0</v>
      </c>
      <c r="BI294" s="61" t="n">
        <f aca="false">IFERROR(IF(SUMPRODUCT((LEN(BD294)-LEN(SUBSTITUTE(BD294," "&amp;L_PendStrict&amp;" "," ")))/(LEN(L_PendStrict)+1))&gt;SUMPRODUCT((LEN(BD294)-LEN(SUBSTITUTE(BD294," "&amp;L_PendNeg&amp;" "," ")))/(LEN(L_PendNeg)+1)),1,0),1)</f>
        <v>0</v>
      </c>
      <c r="BJ294" s="61" t="n">
        <f aca="false">IFERROR(IF(SUMPRODUCT((LEN(BE294)-LEN(SUBSTITUTE(BE294," "&amp;L_Pending&amp;" "," ")))/(LEN(L_Pending)+1))&gt;SUMPRODUCT((LEN(BE294)-LEN(SUBSTITUTE(BE294," "&amp;L_PendNeg&amp;" "," ")))/(LEN(L_PendNeg)+1))+SUMPRODUCT((LEN(BE294)-LEN(SUBSTITUTE(BE294," "&amp;L_PendPrep&amp;" "," ")))/(LEN(L_PendPrep)+1)),1,0),1)</f>
        <v>0</v>
      </c>
      <c r="BK294" s="61" t="n">
        <f aca="false">IFERROR(IF(SUMPRODUCT((LEN(BF294)-LEN(SUBSTITUTE(BF294," "&amp;L_PendStrict&amp;" "," ")))/(LEN(L_PendStrict)+1))&gt;SUMPRODUCT((LEN(BF294)-LEN(SUBSTITUTE(BF294," "&amp;L_PendNeg&amp;" "," ")))/(LEN(L_PendNeg)+1)),1,0),1)</f>
        <v>0</v>
      </c>
      <c r="BL294" s="61" t="n">
        <f aca="false">IF(ISNA(MATCH(TRIM(S294),L_EvidenceType,0)),0,BZ294)</f>
        <v>0</v>
      </c>
      <c r="BM294" s="61" t="str">
        <f aca="false">SUBSTITUTE(SUBSTITUTE(SUBSTITUTE(SUBSTITUTE(SUBSTITUTE(SUBSTITUTE(SUBSTITUTE(SUBSTITUTE(SUBSTITUTE(LOWER(Z294&amp;""),"1","0"),"2","0"),"3","0"),"4","0"),"5","0"),"6","0"),"7","0"),"8","0"),"9","0")</f>
        <v/>
      </c>
      <c r="BN294" s="61" t="str">
        <f aca="false">SUBSTITUTE(SUBSTITUTE(SUBSTITUTE(SUBSTITUTE(SUBSTITUTE(SUBSTITUTE(SUBSTITUTE(SUBSTITUTE(SUBSTITUTE(SUBSTITUTE(SUBSTITUTE(SUBSTITUTE(SUBSTITUTE(SUBSTITUTE(SUBSTITUTE(SUBSTITUTE(SUBSTITUTE(SUBSTITUTE(SUBSTITUTE(SUBSTITUTE(SUBSTITUTE(SUBSTITUTE(SUBSTITUTE(SUBSTITUTE(SUBSTITUTE(BM294,"b","a"),"c","a"),"d","a"),"e","a"),"f","a"),"g","a"),"h","a"),"i","a"),"j","a"),"k","a"),"l","a"),"m","a"),"n","a"),"o","a"),"p","a"),"q","a"),"r","a"),"s","a"),"t","a"),"u","a"),"v","a"),"w","a"),"x","a"),"y","a"),"z","a")</f>
        <v/>
      </c>
      <c r="BO294" s="61" t="str">
        <f aca="false">SUBSTITUTE(SUBSTITUTE(SUBSTITUTE(SUBSTITUTE(SUBSTITUTE(SUBSTITUTE(SUBSTITUTE(SUBSTITUTE(SUBSTITUTE(LOWER(W294&amp;""),"1","0"),"2","0"),"3","0"),"4","0"),"5","0"),"6","0"),"7","0"),"8","0"),"9","0")</f>
        <v/>
      </c>
      <c r="BP294" s="61" t="str">
        <f aca="false">SUBSTITUTE(SUBSTITUTE(SUBSTITUTE(SUBSTITUTE(SUBSTITUTE(SUBSTITUTE(SUBSTITUTE(SUBSTITUTE(SUBSTITUTE(SUBSTITUTE(SUBSTITUTE(SUBSTITUTE(SUBSTITUTE(SUBSTITUTE(SUBSTITUTE(SUBSTITUTE(SUBSTITUTE(SUBSTITUTE(SUBSTITUTE(SUBSTITUTE(SUBSTITUTE(SUBSTITUTE(SUBSTITUTE(SUBSTITUTE(SUBSTITUTE(BO294,"b","a"),"c","a"),"d","a"),"e","a"),"f","a"),"g","a"),"h","a"),"i","a"),"j","a"),"k","a"),"l","a"),"m","a"),"n","a"),"o","a"),"p","a"),"q","a"),"r","a"),"s","a"),"t","a"),"u","a"),"v","a"),"w","a"),"x","a"),"y","a"),"z","a")</f>
        <v/>
      </c>
      <c r="BQ294" s="61" t="n">
        <f aca="false">IFERROR(IF(AND(ISERROR(SEARCH(" mh"," "&amp;LOWER(W294))),ISNA(MATCH(LEFT(TRIM(BP294),255),{"0000a","000a","00a","0000aa","000aa","00aa","0aa","0000aaa","000aaa","00a00","0a00","0000-0000","00:00","a00","a0","00.00.0000","00/00/0000","00-00-0000","0000-00-00","0000/00/00","0000.00.00","00.00.00","00/00/00","00-00-00","0.00.0000","0/00/0000","0-00-0000"},0)),ISNA(MATCH(LEFT(TRIM(CA294),255),{"0000a","000a","00a","0000aa","000aa","00aa","0aa","0000aaa","000aaa","00a00","0a00","0000-0000","00:00","a00","a0","00.00.0000","00/00/0000","00-00-0000","0000-00-00","0000/00/00","0000.00.00","00.00.00","00/00/00","00-00-00","0.00.0000","0/00/0000","0-00-0000"},0)),LEN(CB294)&gt;=3,NOT(OR(SUBSTITUTE(CB294,"0","")="",AND(LEN(CB294)&gt;=4,CB294=REPT(LEFT(CB294),LEN(CB294))),ISNUMBER(MATCH(CB294,{"123","1234","12345","123456","1234567","12345678","0123","01234","012345","98765","987654","54321"},0)),AND(LEN(CB294)=8,LEFT(CB294,3)="202"))),OR(AND((LEN(CA294)-LEN(SUBSTITUTE(CA294,"a","")))&gt;=1,SUMPRODUCT(--ISNUMBER(SEARCH({"a0","a-0","a_0","a/0","a.0","a#0","0a","0-a","0_a","0/a"},BP294)))&gt;0),ISNUMBER(SEARCH("000000",BP294)))),1,0),0)</f>
        <v>0</v>
      </c>
      <c r="BR294" s="61" t="n">
        <f aca="false">IFERROR(LEN(SUBSTITUTE(CC294," ",""))-SUMPRODUCT((LEN(CC294)-LEN(SUBSTITUTE(CC294," "&amp;L_Role&amp;" "," ")))/(LEN(L_Role)+1)*LEN(L_Role)),0)</f>
        <v>0</v>
      </c>
      <c r="BS294" s="61" t="n">
        <f aca="false">IFERROR(LEN(SUBSTITUTE(CD294," ",""))-SUMPRODUCT((LEN(CD294)-LEN(SUBSTITUTE(CD294," "&amp;L_Role&amp;" "," ")))/(LEN(L_Role)+1)*LEN(L_Role)),0)</f>
        <v>0</v>
      </c>
      <c r="BT2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294,"revision",""),"version",""),"jan",""),"feb",""),"mar",""),"apr",""),"may",""),"jun",""),"jul",""),"aug",""),"sep",""),"oct",""),"nov",""),"dec",""),"utc",""),"gmt",""),"myt",""),"bst",""),"rev",""),"ver",""),"b","a"),"c","a"),"d","a"),"e","a"),"f","a"),"g","a"),"h","a"),"i","a"),"j","a"),"k","a"),"l","a"),"m","a"),"n","a"),"o","a"),"p","a"),"q","a"),"r","a"),"s","a"),"t","a"),"u","a"),"v","a"),"w","a"),"x","a"),"y","a"),"z","a")</f>
        <v/>
      </c>
      <c r="BU294" s="61" t="str">
        <f aca="false">SUBSTITUTE(SUBSTITUTE(SUBSTITUTE(SUBSTITUTE(SUBSTITUTE(SUBSTITUTE(SUBSTITUTE(SUBSTITUTE(SUBSTITUTE(SUBSTITUTE(LEFT(BM294,FIND("0",BM294&amp;"0")-1),"-",""),"_",""),"/",""),".",""),"#",""),"\\",""),":","")," ",""),"(",""),")","")</f>
        <v/>
      </c>
      <c r="BV294" s="61" t="n">
        <f aca="false">0</f>
        <v>0</v>
      </c>
      <c r="BW2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294&amp;""),"a",""),"b",""),"c",""),"d",""),"e",""),"f",""),"g",""),"h",""),"i",""),"j",""),"k",""),"l",""),"m",""),"n",""),"o",""),"p",""),"q",""),"r",""),"s",""),"t",""),"u",""),"v",""),"w",""),"x",""),"y",""),"z",""),"-",""),"_",""),"/",""),".",""),"#",""),"\\",""),":","")," ",""),"(",""),")","")</f>
        <v/>
      </c>
      <c r="BX294" s="61" t="str">
        <f aca="false">SUBSTITUTE(SUBSTITUTE(SUBSTITUTE(SUBSTITUTE(SUBSTITUTE(SUBSTITUTE(SUBSTITUTE(SUBSTITUTE(SUBSTITUTE(SUBSTITUTE(SUBSTITUTE(BM294,"0",""),"-",""),"_",""),"/",""),".",""),"#",""),"\\",""),":","")," ",""),"(",""),")","")</f>
        <v/>
      </c>
      <c r="BY294" s="62" t="n">
        <f aca="false">Q294-T12EarlyH/24</f>
        <v>46305.2534722222</v>
      </c>
      <c r="BZ294" s="61" t="n">
        <f aca="false">IFERROR(IF(IF(TRIM(S294)="Link / file path",AND(LEN(TRIM(Z294))&gt;=5,SUMPRODUCT(--ISNUMBER(SEARCH({"http","www.","\\",":\",".pdf",".jpg",".jpeg",".png",".heic",".xls",".doc",".msg",".eml",".ppt",".txt",".zip"},Z294)))&gt;0),AND(ISERROR(FIND(" ",TRIM(Z294))),NOT(OR(SUMPRODUCT(--ISNUMBER(FIND({",",";","&amp;","+"},Z294)))&gt;0,SUMPRODUCT(--ISNUMBER(SEARCH({"0/aa","0\\aa"},BN294)))&gt;0)),NOT(SUMPRODUCT(--ISNUMBER(SEARCH({"http","www.","\\",":\",".pdf",".jpg",".jpeg",".png",".heic",".xls",".doc",".msg",".eml",".ppt",".txt",".zip"},Z294)))&gt;0),NOT(LOWER(TRIM(Z294))=LOWER(Flights!$F$13)),ISNA(MATCH(BU294,{"mh","rev","revision","ver","version","v","r","a","b","seat","tray","row","gate","bay","stand","page","pg","item","line","no","cart","galley","flight","flt","table","box","bag","oven","etd","eta","std","sta","atd","ata","qty","pax","x","time","tel","ph","mob","day","wk","week","utc","gmt","myt","lt"},0)),NOT(OR(ISNUMBER(MATCH(LEFT(BN294,255),{"0000a","000a","00a","0000aa","000aa","00aa","0aa","0000aaa","000aaa","00a00","0a00","0000-0000","00:00","a00","a0","00.00.0000","00/00/0000","00-00-0000","0000-00-00","0000/00/00","0000.00.00","00.00.00","00/00/00","00-00-00","0.00.0000","0/00/0000","0-00-0000"},0)),ISNUMBER(MATCH(LEFT(BT294,255),{"0000a","000a","00a","0000aa","000aa","00aa","0aa","0000aaa","000aaa","00a00","0a00","0000-0000","00:00","a00","a0","00.00.0000","00/00/0000","00-00-0000","0000-00-00","0000/00/00","0000.00.00","00.00.00","00/00/00","00-00-00","0.00.0000","0/00/0000","0-00-0000"},0)))),NOT(OR(AND(BW294&lt;&gt;"",SUBSTITUTE(BW294,"0","")=""),AND(LEN(BW294)&gt;=4,BW294=REPT(LEFT(BW294),LEN(BW294))),ISNUMBER(MATCH(BW294,{"123","1234","12345","123456","1234567","12345678","0123","01234","012345","98765","987654","54321"},0)),ISNUMBER(MATCH(BX294,{"x","xx","xxx","xxxx","xxxxx","abc","abcd","nil","na","nan","test","tbc","tba","tbd","dummy","sample","example","eg","zz","zzz","none","null","xyz","qwe","asd","id","ref"},0)),AND(LEN(BW294)=8,BX294="",OR(LEFT(BW294,3)="202",ISNUMBER(MATCH(RIGHT(BW294,4),{"2025","2026","2027"},0)))))),OR(AND((LEN(BT294)-LEN(SUBSTITUTE(BT294,"a","")))&gt;=1,(LEN(BN294)-LEN(SUBSTITUTE(BN294,"0","")))&gt;=2,SUMPRODUCT(--ISNUMBER(SEARCH({"a0","a-0","a_0","a/0","a.0","a#0","0a","0-a","0_a","0/a"},BN294)))&gt;0),AND((LEN(BN294)-LEN(SUBSTITUTE(BN294,"a","")))=0,(LEN(BN294)-LEN(SUBSTITUTE(BN294,"0","")))&gt;=5)))),1,0),0)</f>
        <v>0</v>
      </c>
      <c r="CA2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294,"revision",""),"version",""),"jan",""),"feb",""),"mar",""),"apr",""),"may",""),"jun",""),"jul",""),"aug",""),"sep",""),"oct",""),"nov",""),"dec",""),"utc",""),"gmt",""),"myt",""),"bst",""),"rev",""),"ver",""),"b","a"),"c","a"),"d","a"),"e","a"),"f","a"),"g","a"),"h","a"),"i","a"),"j","a"),"k","a"),"l","a"),"m","a"),"n","a"),"o","a"),"p","a"),"q","a"),"r","a"),"s","a"),"t","a"),"u","a"),"v","a"),"w","a"),"x","a"),"y","a"),"z","a")</f>
        <v/>
      </c>
      <c r="CB2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294&amp;""),"a",""),"b",""),"c",""),"d",""),"e",""),"f",""),"g",""),"h",""),"i",""),"j",""),"k",""),"l",""),"m",""),"n",""),"o",""),"p",""),"q",""),"r",""),"s",""),"t",""),"u",""),"v",""),"w",""),"x",""),"y",""),"z",""),"-",""),"_",""),"/",""),".",""),"#",""),"\\",""),":","")," ",""),"(",""),")","")</f>
        <v/>
      </c>
      <c r="CC294" s="0" t="str">
        <f aca="false">" "&amp;TRIM(SUBSTITUTE(SUBSTITUTE(SUBSTITUTE(SUBSTITUTE(SUBSTITUTE(SUBSTITUTE(SUBSTITUTE(SUBSTITUTE(SUBSTITUTE(SUBSTITUTE(SUBSTITUTE(SUBSTITUTE(SUBSTITUTE(SUBSTITUTE(SUBSTITUTE(SUBSTITUTE(SUBSTITUTE(SUBSTITUTE(SUBSTITUTE(SUBSTITUTE(SUBSTITUTE(SUBSTITUTE(SUBSTITUTE(SUBSTITUTE(LOWER(T294&amp;""),CHAR(10)," "),CHAR(13)," "),CHAR(9)," "),CHAR(160)," "),"."," "),","," "),"-"," "),"/"," "),"("," "),")"," "),":"," "),";"," "),"_"," "),"–"," "),"?"," "),"!"," "),"*"," "),"["," "),"]"," "),"'"," "),"#"," "),"+"," "),"&amp;"," "),"\"," "))&amp;" "</f>
        <v>  </v>
      </c>
      <c r="CD294" s="0" t="str">
        <f aca="false">" "&amp;TRIM(SUBSTITUTE(SUBSTITUTE(SUBSTITUTE(SUBSTITUTE(SUBSTITUTE(SUBSTITUTE(SUBSTITUTE(SUBSTITUTE(SUBSTITUTE(SUBSTITUTE(SUBSTITUTE(SUBSTITUTE(SUBSTITUTE(SUBSTITUTE(SUBSTITUTE(SUBSTITUTE(SUBSTITUTE(SUBSTITUTE(SUBSTITUTE(SUBSTITUTE(SUBSTITUTE(SUBSTITUTE(SUBSTITUTE(SUBSTITUTE(LOWER(AE294&amp;""),CHAR(10)," "),CHAR(13)," "),CHAR(9)," "),CHAR(160)," "),"."," "),","," "),"-"," "),"/"," "),"("," "),")"," "),":"," "),";"," "),"_"," "),"–"," "),"?"," "),"!"," "),"*"," "),"["," "),"]"," "),"'"," "),"#"," "),"+"," "),"&amp;"," "),"\"," "))&amp;" "</f>
        <v>  </v>
      </c>
      <c r="CE294" s="68" t="n">
        <f aca="false">IFERROR(IF(AND(LEN(AU294)&gt;0,LEN(AU294)=LEN(AX294),OR(TRIM(MID(SUBSTITUTE(TRIM(CC294)," ",REPT(" ",60)),1,60))="",ISNUMBER(SEARCH(" "&amp;TRIM(MID(SUBSTITUTE(TRIM(CC294)," ",REPT(" ",60)),1,60))&amp;" ",CD294))),OR(TRIM(MID(SUBSTITUTE(TRIM(CC294)," ",REPT(" ",60)),61,60))="",ISNUMBER(SEARCH(" "&amp;TRIM(MID(SUBSTITUTE(TRIM(CC294)," ",REPT(" ",60)),61,60))&amp;" ",CD294))),OR(TRIM(MID(SUBSTITUTE(TRIM(CC294)," ",REPT(" ",60)),121,60))="",ISNUMBER(SEARCH(" "&amp;TRIM(MID(SUBSTITUTE(TRIM(CC294)," ",REPT(" ",60)),121,60))&amp;" ",CD294)))),1,0),0)</f>
        <v>0</v>
      </c>
      <c r="CG294" s="68" t="n">
        <f aca="false">IFERROR(LEN(SUBSTITUTE(BF294," ",""))-SUMPRODUCT((LEN(BF294)-LEN(SUBSTITUTE(BF294," "&amp;L_NAFiller&amp;" "," ")))/(LEN(L_NAFiller)+1)*LEN(L_NAFiller)),0)</f>
        <v>0</v>
      </c>
    </row>
    <row r="295" customFormat="false" ht="39.75" hidden="false" customHeight="true" outlineLevel="0" collapsed="false">
      <c r="A295" s="57" t="s">
        <v>870</v>
      </c>
      <c r="B295" s="57" t="s">
        <v>246</v>
      </c>
      <c r="C295" s="57" t="str">
        <f aca="false">Flights!$F$13</f>
        <v>MH0753</v>
      </c>
      <c r="D295" s="58" t="n">
        <f aca="false">Flights!$D$13</f>
        <v>46306</v>
      </c>
      <c r="E295" s="57" t="str">
        <f aca="false">Flights!$G$13&amp;"-"&amp;Flights!$H$13</f>
        <v>HAN-KUL</v>
      </c>
      <c r="F295" s="57" t="str">
        <f aca="false">Flights!$K$13</f>
        <v>BC</v>
      </c>
      <c r="G295" s="57" t="s">
        <v>420</v>
      </c>
      <c r="H295" s="57" t="s">
        <v>378</v>
      </c>
      <c r="I295" s="57" t="s">
        <v>428</v>
      </c>
      <c r="J295" s="57" t="s">
        <v>429</v>
      </c>
      <c r="K295" s="67"/>
      <c r="L295" s="67" t="s">
        <v>422</v>
      </c>
      <c r="M295" s="67"/>
      <c r="N295" s="67" t="s">
        <v>383</v>
      </c>
      <c r="O295" s="67" t="s">
        <v>423</v>
      </c>
      <c r="P295" s="57" t="s">
        <v>240</v>
      </c>
      <c r="Q295" s="59" t="n">
        <f aca="false">ROUND((Flights!$AE$13)*1440,0)/1440</f>
        <v>46305.7534722222</v>
      </c>
      <c r="R295" s="59" t="n">
        <f aca="false">Q295+(IF(AND(INDEX(TZ_DSTS,MATCH(P295,TZ_STN,0))&lt;&gt;"",Q295&gt;=INDEX(TZ_DSTS,MATCH(P295,TZ_STN,0)),Q295&lt;INDEX(TZ_DSTE,MATCH(P295,TZ_STN,0))),INDEX(TZ_DST,MATCH(P295,TZ_STN,0)),INDEX(TZ_STD,MATCH(P295,TZ_STN,0))))/24</f>
        <v>46306.0451388889</v>
      </c>
      <c r="S295" s="60"/>
      <c r="T295" s="60"/>
      <c r="U295" s="60"/>
      <c r="V295" s="60"/>
      <c r="W295" s="61"/>
      <c r="X295" s="60"/>
      <c r="Y295" s="60"/>
      <c r="Z295" s="60"/>
      <c r="AA295" s="60"/>
      <c r="AB295" s="60"/>
      <c r="AC295" s="60"/>
      <c r="AD295" s="66"/>
      <c r="AE295" s="60"/>
      <c r="AF295" s="61" t="str">
        <f aca="false">IF(AND(ISNUMBER(X295),ISNUMBER(Y295)),Y295-X295,"")</f>
        <v/>
      </c>
      <c r="AG295" s="62" t="str">
        <f aca="false">IF(ISNUMBER(AD295),AD295-(IF(AND(INDEX(TZ_DSTS,MATCH(P295,TZ_STN,0))&lt;&gt;"",(AD295-INDEX(TZ_STD,MATCH(P295,TZ_STN,0))/24)&gt;=INDEX(TZ_DSTS,MATCH(P295,TZ_STN,0)),(AD295-INDEX(TZ_STD,MATCH(P295,TZ_STN,0))/24)&lt;INDEX(TZ_DSTE,MATCH(P295,TZ_STN,0))),INDEX(TZ_DST,MATCH(P295,TZ_STN,0)),INDEX(TZ_STD,MATCH(P295,TZ_STN,0))))/24,"")</f>
        <v/>
      </c>
      <c r="AH295" s="65" t="str">
        <f aca="false">IFERROR(IF(N295="N/A – rule",IF(OR(TRIM(U295)="",TRIM(U295)="N/A",TRIM(U295)="Not started"),"N/A – RULE","INVALID – this check does not apply to this aircraft: clear the status (or correct the fleet on Flights)"),IF(TRIM(U295)="N/A",IF(AT295=0,"INVALID – N/A not permitted for this check",IF(AND(TRIM(AB295)&lt;&gt;"",TRIM(AB295)&lt;&gt;"Closed"),"INVALID – corrective action still open",IF(AND(NOT(OR(LEN(AZ295)&lt;15,ISNUMBER(MATCH(AZ295,L_Placeholder,0)))),BK295=0,CG295&gt;=8,NOT(OR(LEN(AU295)&lt;2,ISNUMBER(MATCH(AU295,L_Placeholder,0)))),BR295&gt;=3,NOT(OR(LEN(AX295)&lt;2,ISNUMBER(MATCH(AX295,L_Placeholder,0)))),BS295&gt;=3,TRIM(AE295)&lt;&gt;TRIM(T295),AX295&lt;&gt;AU295,CE295=0),"N/A – JUSTIFIED","INVALID – N/A needs a real, settled reason (not 'not applicable' / 'as above' / TBC), a named PIC and a different named verifier"))),IF(OR(TRIM(U295)="Pass",TRIM(U295)="Pass after CA"),IF(NOT(ISNUMBER(AD295)),"INVALID – completion time missing",IF(OR(OR(LEN(AU295)&lt;2,ISNUMBER(MATCH(AU295,L_Placeholder,0))),BR295&lt;3),"INVALID – PIC missing or not a named person (a role such as QA / CSM is not a name)",IF(OR(LEN(AV295)&lt;2,ISNUMBER(MATCH(AV295,L_Placeholder,0))),"INVALID – result / assessment missing",IF(OR(OR(LEN(AW295)&lt;3,ISNUMBER(MATCH(AW295,L_Placeholder,0))),SUMPRODUCT(--ISNUMBER(SEARCH(" "&amp;L_EvidencePhrase&amp;" ",BD295)))&gt;0,BI295=1),"INVALID – evidence missing, placeholder or not yet on file",IF(ISNA(MATCH(TRIM(S295),L_EvidenceType,0)),"INVALID – choose the evidence type from the list (column S)",IF(BL295=0,"INVALID – evidence ID must be the record's own ID only (e.g. SF-2210, IMG_2231, 1045521); a link / file name needs type 'Link / file path'",IF(OR(OR(LEN(AX295)&lt;2,ISNUMBER(MATCH(AX295,L_Placeholder,0))),BS295&lt;3),"INVALID – verifier missing or not a named person (a role such as QA / CSM is not a name)",IF(OR(AX295=AU295,CE295=1,AND(LEN(AU295)&gt;=4,ISNUMBER(SEARCH(AU295,AX295))),AND(LEN(AX295)&gt;=4,ISNUMBER(SEARCH(AX295,AU295)))),"INVALID – verifier must be a different, named person (not the PIC or a role)",IF(BH295=1,"INVALID – result not yet available (awaiting / TBC)",IF(BG295=1,"INVALID – result describes a problem: record Fail, then Pass after CA (or reword if it is not a problem)",IF(BV295=1,"INVALID – wording says not on board: an on-board confirmation needs the item loaded",IF(AND(AQ295=1,OR(OR(LEN(AY295)&lt;3,ISNUMBER(MATCH(AY295,L_Placeholder,0))),BJ295=1,BQ295=0)),"INVALID – batch ID missing, placeholder or not an ID (e.g. PASB-261008-BC-017)",IF(AND(AR295=1,OR(NOT(ISNUMBER(X295)),NOT(ISNUMBER(Y295)))),"INVALID – expected/actual qty missing",IF(AND(AR295=1,OR(X295&lt;=0,Y295&lt;0)),"INVALID – expected qty must be above 0 and actual not negative",IF(BB295&lt;&gt;"",BB295,IF(AND(AS295=1,Documents!$J$13&lt;&gt;"ON FILE"),"INVALID – GLD not on file (Documents sheet)",IF(AND(AS295=2,Documents!$O$13&lt;&gt;"ON FILE"),"INVALID – menu checklist not on file (Documents sheet)",IF(AND(AS295=3,NOT(ISNUMBER(Flights!$AX$13))),"INVALID – enter carrying flight KUL departure (Flights AX)",IF(AND(AS295=3,OR(Flights!$AZ$13&gt;Flights!$AA$13,Flights!$AX$13&lt;Flights!$AA$13-3)),"INVALID – carrying flight (Flights AX) cannot arrive before this leg's STD, or is over 3 days early",IF(AG295&gt;AsOfUTC,"INVALID – completion time is in the future",IF(AND(ISNUMBER(BY295),AG295&lt;BY295),IF(H295="Physical uplift","INVALID – before uplift window (cannot confirm loading)","INVALID – before valid window"),IF(AG295&gt;Flights!$AA$13,"INVALID – completed after departure (cannot establish readiness)",IF(AND(H295="Preparation",AG295&gt;=IF(ISNUMBER(Flights!$BA$13),MIN(Flights!$BA$13,Flights!$AA$13),Flights!$AA$13)),"INVALID – completed after loading / departure (cannot establish readiness)",IF(AND(H295="Physical uplift",AG295&gt;Q295),"INVALID – recorded after the loading flight departed",IF(AG295&gt;Q295,"COMPLETE – LATE","COMPLETE"))))))))))))))))))))))))),IF(TRIM(U295)="Fail","FAIL – DISCREPANCY",IF(AND(TRIM(U295)&lt;&gt;"",TRIM(U295)&lt;&gt;"Not started",TRIM(U295)&lt;&gt;"In progress"),"INVALID – unrecognised status (use the list)",IF(AsOfUTC&gt;Q295,"OVERDUE",IF(N295="Clarification required","OPEN – CLARIFICATION","OPEN"))))))),"INVALID – error value in an input cell")</f>
        <v>OPEN</v>
      </c>
      <c r="AI295" s="61" t="n">
        <f aca="false">IF(OR(AH295="N/A – RULE",AH295="N/A – JUSTIFIED"),0,1)</f>
        <v>1</v>
      </c>
      <c r="AJ295" s="61" t="n">
        <f aca="false">IF(LEFT(AH295,8)="COMPLETE",1,0)</f>
        <v>0</v>
      </c>
      <c r="AK295" s="61" t="n">
        <f aca="false">IF(AND(AI295=1,AJ295=0,AsOfUTC&gt;Q295),1,0)</f>
        <v>0</v>
      </c>
      <c r="AL295" s="61" t="n">
        <f aca="false">IFERROR(IF(AND(AI295=1,OR(TRIM(U295)="Fail",AND(TRIM(AB295)&lt;&gt;"",TRIM(AB295)&lt;&gt;"Closed"),AND(ISNUMBER(AF295),AF295&lt;&gt;0,TRIM(U295)&lt;&gt;"Pass after CA"))),1,0),1)</f>
        <v>0</v>
      </c>
      <c r="AM295" s="61" t="n">
        <f aca="false">IF(LEFT(AH295,7)="INVALID",1,0)</f>
        <v>0</v>
      </c>
      <c r="AN295" s="61" t="n">
        <f aca="false">IF(AND(N295="Clarification required",AI295=1,AJ295=0),1,0)</f>
        <v>0</v>
      </c>
      <c r="AO295" s="61" t="str">
        <f aca="false">IF(AK295=1,SUM(AK$5:AK295),"")</f>
        <v/>
      </c>
      <c r="AP295" s="61" t="str">
        <f aca="false">IF(AL295=1,SUM(AL$5:AL295),"")</f>
        <v/>
      </c>
      <c r="AQ295" s="61" t="n">
        <v>0</v>
      </c>
      <c r="AR295" s="61" t="n">
        <v>0</v>
      </c>
      <c r="AS295" s="61" t="n">
        <v>0</v>
      </c>
      <c r="AT295" s="61" t="n">
        <v>0</v>
      </c>
      <c r="AU295" s="61" t="str">
        <f aca="false">SUBSTITUTE(SUBSTITUTE(SUBSTITUTE(SUBSTITUTE(SUBSTITUTE(SUBSTITUTE(SUBSTITUTE(SUBSTITUTE(SUBSTITUTE(SUBSTITUTE(SUBSTITUTE(SUBSTITUTE(SUBSTITUTE(SUBSTITUTE(SUBSTITUTE(SUBSTITUTE(LOWER(T295&amp;""),CHAR(10),""),CHAR(13),""),CHAR(9),""),CHAR(160),"")," ",""),".",""),"-",""),"/",""),"?",""),"_",""),",",""),"[",""),"]",""),"(",""),")",""),"*","")</f>
        <v/>
      </c>
      <c r="AV295" s="61" t="str">
        <f aca="false">SUBSTITUTE(SUBSTITUTE(SUBSTITUTE(SUBSTITUTE(SUBSTITUTE(SUBSTITUTE(SUBSTITUTE(SUBSTITUTE(SUBSTITUTE(SUBSTITUTE(SUBSTITUTE(SUBSTITUTE(SUBSTITUTE(SUBSTITUTE(SUBSTITUTE(SUBSTITUTE(LOWER(V295&amp;""),CHAR(10),""),CHAR(13),""),CHAR(9),""),CHAR(160),"")," ",""),".",""),"-",""),"/",""),"?",""),"_",""),",",""),"[",""),"]",""),"(",""),")",""),"*","")</f>
        <v/>
      </c>
      <c r="AW295" s="61" t="str">
        <f aca="false">SUBSTITUTE(SUBSTITUTE(SUBSTITUTE(SUBSTITUTE(SUBSTITUTE(SUBSTITUTE(SUBSTITUTE(SUBSTITUTE(SUBSTITUTE(SUBSTITUTE(SUBSTITUTE(SUBSTITUTE(SUBSTITUTE(SUBSTITUTE(SUBSTITUTE(SUBSTITUTE(LOWER(Z295&amp;""),CHAR(10),""),CHAR(13),""),CHAR(9),""),CHAR(160),"")," ",""),".",""),"-",""),"/",""),"?",""),"_",""),",",""),"[",""),"]",""),"(",""),")",""),"*","")</f>
        <v/>
      </c>
      <c r="AX295" s="61" t="str">
        <f aca="false">SUBSTITUTE(SUBSTITUTE(SUBSTITUTE(SUBSTITUTE(SUBSTITUTE(SUBSTITUTE(SUBSTITUTE(SUBSTITUTE(SUBSTITUTE(SUBSTITUTE(SUBSTITUTE(SUBSTITUTE(SUBSTITUTE(SUBSTITUTE(SUBSTITUTE(SUBSTITUTE(LOWER(AE295&amp;""),CHAR(10),""),CHAR(13),""),CHAR(9),""),CHAR(160),"")," ",""),".",""),"-",""),"/",""),"?",""),"_",""),",",""),"[",""),"]",""),"(",""),")",""),"*","")</f>
        <v/>
      </c>
      <c r="AY295" s="61" t="str">
        <f aca="false">SUBSTITUTE(SUBSTITUTE(SUBSTITUTE(SUBSTITUTE(SUBSTITUTE(SUBSTITUTE(SUBSTITUTE(SUBSTITUTE(SUBSTITUTE(SUBSTITUTE(SUBSTITUTE(SUBSTITUTE(SUBSTITUTE(SUBSTITUTE(SUBSTITUTE(SUBSTITUTE(LOWER(W295&amp;""),CHAR(10),""),CHAR(13),""),CHAR(9),""),CHAR(160),"")," ",""),".",""),"-",""),"/",""),"?",""),"_",""),",",""),"[",""),"]",""),"(",""),")",""),"*","")</f>
        <v/>
      </c>
      <c r="AZ295" s="61" t="str">
        <f aca="false">SUBSTITUTE(SUBSTITUTE(SUBSTITUTE(SUBSTITUTE(SUBSTITUTE(SUBSTITUTE(SUBSTITUTE(SUBSTITUTE(SUBSTITUTE(SUBSTITUTE(SUBSTITUTE(SUBSTITUTE(SUBSTITUTE(SUBSTITUTE(SUBSTITUTE(SUBSTITUTE(LOWER(AC295&amp;""),CHAR(10),""),CHAR(13),""),CHAR(9),""),CHAR(160),"")," ",""),".",""),"-",""),"/",""),"?",""),"_",""),",",""),"[",""),"]",""),"(",""),")",""),"*","")</f>
        <v/>
      </c>
      <c r="BA295" s="61" t="str">
        <f aca="false">SUBSTITUTE(SUBSTITUTE(SUBSTITUTE(SUBSTITUTE(SUBSTITUTE(SUBSTITUTE(SUBSTITUTE(SUBSTITUTE(SUBSTITUTE(SUBSTITUTE(SUBSTITUTE(SUBSTITUTE(SUBSTITUTE(SUBSTITUTE(SUBSTITUTE(SUBSTITUTE(LOWER(AA295&amp;""),CHAR(10),""),CHAR(13),""),CHAR(9),""),CHAR(160),"")," ",""),".",""),"-",""),"/",""),"?",""),"_",""),",",""),"[",""),"]",""),"(",""),")",""),"*","")</f>
        <v/>
      </c>
      <c r="BB295" s="61" t="str">
        <f aca="false">IF(AND(TRIM(U295)="Pass",ISNUMBER(AF295)),IF(AF295&lt;&gt;0,"INVALID – qty variance: use Fail or Pass after CA",""),"")&amp;IF(AND(TRIM(U295)="Pass after CA",ISNUMBER(AF295)),IF(AF295&lt;&gt;0,"INVALID – after the corrective action the actual qty must equal expected (update Actual)",""),"")&amp;IF(AND(TRIM(U295)="Pass",TRIM(AB295)&lt;&gt;"",TRIM(AB295)&lt;&gt;"Closed"),"INVALID – corrective action not closed: use Fail, then Pass after CA","")&amp;IF(AND(LEN(BA295)&gt;=2,ISNA(MATCH(LEFT(BA295,255),L_Placeholder,0)),TRIM(AB295)=""),"INVALID – CA status missing for the recorded corrective action","")&amp;IF(AND(TRIM(U295)="Pass after CA",OR(OR(LEN(BA295)&lt;5,ISNUMBER(MATCH(BA295,L_Placeholder,0))),TRIM(AB295)&lt;&gt;"Closed")),"INVALID – corrective action not recorded/closed","")</f>
        <v/>
      </c>
      <c r="BC295" s="61" t="str">
        <f aca="false">" "&amp;TRIM(SUBSTITUTE(SUBSTITUTE(SUBSTITUTE(SUBSTITUTE(SUBSTITUTE(SUBSTITUTE(SUBSTITUTE(SUBSTITUTE(SUBSTITUTE(SUBSTITUTE(SUBSTITUTE(SUBSTITUTE(SUBSTITUTE(SUBSTITUTE(SUBSTITUTE(SUBSTITUTE(SUBSTITUTE(SUBSTITUTE(SUBSTITUTE(SUBSTITUTE(SUBSTITUTE(SUBSTITUTE(SUBSTITUTE(SUBSTITUTE(LOWER(V295&amp;""),CHAR(10)," "),CHAR(13)," "),CHAR(9)," "),CHAR(160)," "),"."," "),","," "),"-"," "),"/"," "),"("," "),")"," "),":"," "),";"," "),"_"," "),"–"," "),"?"," "),"!"," "),"*"," "),"["," "),"]"," "),"'"," "),"#"," "),"+"," "),"&amp;"," "),"\"," "))&amp;" "</f>
        <v>  </v>
      </c>
      <c r="BD295" s="61" t="str">
        <f aca="false">" "&amp;TRIM(SUBSTITUTE(SUBSTITUTE(SUBSTITUTE(SUBSTITUTE(SUBSTITUTE(SUBSTITUTE(SUBSTITUTE(SUBSTITUTE(SUBSTITUTE(SUBSTITUTE(SUBSTITUTE(SUBSTITUTE(SUBSTITUTE(SUBSTITUTE(SUBSTITUTE(SUBSTITUTE(SUBSTITUTE(SUBSTITUTE(SUBSTITUTE(SUBSTITUTE(SUBSTITUTE(SUBSTITUTE(SUBSTITUTE(SUBSTITUTE(LOWER(Z295&amp;""),CHAR(10)," "),CHAR(13)," "),CHAR(9)," "),CHAR(160)," "),"."," "),","," "),"-"," "),"/"," "),"("," "),")"," "),":"," "),";"," "),"_"," "),"–"," "),"?"," "),"!"," "),"*"," "),"["," "),"]"," "),"'"," "),"#"," "),"+"," "),"&amp;"," "),"\"," "))&amp;" "</f>
        <v>  </v>
      </c>
      <c r="BE295" s="61" t="str">
        <f aca="false">" "&amp;TRIM(SUBSTITUTE(SUBSTITUTE(SUBSTITUTE(SUBSTITUTE(SUBSTITUTE(SUBSTITUTE(SUBSTITUTE(SUBSTITUTE(SUBSTITUTE(SUBSTITUTE(SUBSTITUTE(SUBSTITUTE(SUBSTITUTE(SUBSTITUTE(SUBSTITUTE(SUBSTITUTE(SUBSTITUTE(SUBSTITUTE(SUBSTITUTE(SUBSTITUTE(SUBSTITUTE(SUBSTITUTE(SUBSTITUTE(SUBSTITUTE(LOWER(W295&amp;""),CHAR(10)," "),CHAR(13)," "),CHAR(9)," "),CHAR(160)," "),"."," "),","," "),"-"," "),"/"," "),"("," "),")"," "),":"," "),";"," "),"_"," "),"–"," "),"?"," "),"!"," "),"*"," "),"["," "),"]"," "),"'"," "),"#"," "),"+"," "),"&amp;"," "),"\"," "))&amp;" "</f>
        <v>  </v>
      </c>
      <c r="BF295" s="61" t="str">
        <f aca="false">" "&amp;TRIM(SUBSTITUTE(SUBSTITUTE(SUBSTITUTE(SUBSTITUTE(SUBSTITUTE(SUBSTITUTE(SUBSTITUTE(SUBSTITUTE(SUBSTITUTE(SUBSTITUTE(SUBSTITUTE(SUBSTITUTE(SUBSTITUTE(SUBSTITUTE(SUBSTITUTE(SUBSTITUTE(SUBSTITUTE(SUBSTITUTE(SUBSTITUTE(SUBSTITUTE(SUBSTITUTE(SUBSTITUTE(SUBSTITUTE(SUBSTITUTE(LOWER(AC295&amp;""),CHAR(10)," "),CHAR(13)," "),CHAR(9)," "),CHAR(160)," "),"."," "),","," "),"-"," "),"/"," "),"("," "),")"," "),":"," "),";"," "),"_"," "),"–"," "),"?"," "),"!"," "),"*"," "),"["," "),"]"," "),"'"," "),"#"," "),"+"," "),"&amp;"," "),"\"," "))&amp;" "</f>
        <v>  </v>
      </c>
      <c r="BG295" s="61" t="n">
        <f aca="false">IFERROR(IF(AND(TRIM(U295)="Pass",SUMPRODUCT((LEN(BC295)-LEN(SUBSTITUTE(BC295," "&amp;L_ResultBad&amp;" "," ")))/(LEN(L_ResultBad)+1))&gt;SUMPRODUCT((LEN(BC295)-LEN(SUBSTITUTE(BC295," "&amp;L_NegPhrase&amp;" "," ")))/(LEN(L_NegPhrase)+1))),1,0),0)</f>
        <v>0</v>
      </c>
      <c r="BH295" s="61" t="n">
        <f aca="false">IFERROR(IF(SUMPRODUCT((LEN(BC295)-LEN(SUBSTITUTE(BC295," "&amp;L_Pending&amp;" "," ")))/(LEN(L_Pending)+1))&gt;SUMPRODUCT((LEN(BC295)-LEN(SUBSTITUTE(BC295," "&amp;L_PendNeg&amp;" "," ")))/(LEN(L_PendNeg)+1))+SUMPRODUCT((LEN(BC295)-LEN(SUBSTITUTE(BC295," "&amp;L_PendPrep&amp;" "," ")))/(LEN(L_PendPrep)+1)),1,0),1)</f>
        <v>0</v>
      </c>
      <c r="BI295" s="61" t="n">
        <f aca="false">IFERROR(IF(SUMPRODUCT((LEN(BD295)-LEN(SUBSTITUTE(BD295," "&amp;L_PendStrict&amp;" "," ")))/(LEN(L_PendStrict)+1))&gt;SUMPRODUCT((LEN(BD295)-LEN(SUBSTITUTE(BD295," "&amp;L_PendNeg&amp;" "," ")))/(LEN(L_PendNeg)+1)),1,0),1)</f>
        <v>0</v>
      </c>
      <c r="BJ295" s="61" t="n">
        <f aca="false">IFERROR(IF(SUMPRODUCT((LEN(BE295)-LEN(SUBSTITUTE(BE295," "&amp;L_Pending&amp;" "," ")))/(LEN(L_Pending)+1))&gt;SUMPRODUCT((LEN(BE295)-LEN(SUBSTITUTE(BE295," "&amp;L_PendNeg&amp;" "," ")))/(LEN(L_PendNeg)+1))+SUMPRODUCT((LEN(BE295)-LEN(SUBSTITUTE(BE295," "&amp;L_PendPrep&amp;" "," ")))/(LEN(L_PendPrep)+1)),1,0),1)</f>
        <v>0</v>
      </c>
      <c r="BK295" s="61" t="n">
        <f aca="false">IFERROR(IF(SUMPRODUCT((LEN(BF295)-LEN(SUBSTITUTE(BF295," "&amp;L_PendStrict&amp;" "," ")))/(LEN(L_PendStrict)+1))&gt;SUMPRODUCT((LEN(BF295)-LEN(SUBSTITUTE(BF295," "&amp;L_PendNeg&amp;" "," ")))/(LEN(L_PendNeg)+1)),1,0),1)</f>
        <v>0</v>
      </c>
      <c r="BL295" s="61" t="n">
        <f aca="false">IF(ISNA(MATCH(TRIM(S295),L_EvidenceType,0)),0,BZ295)</f>
        <v>0</v>
      </c>
      <c r="BM295" s="61" t="str">
        <f aca="false">SUBSTITUTE(SUBSTITUTE(SUBSTITUTE(SUBSTITUTE(SUBSTITUTE(SUBSTITUTE(SUBSTITUTE(SUBSTITUTE(SUBSTITUTE(LOWER(Z295&amp;""),"1","0"),"2","0"),"3","0"),"4","0"),"5","0"),"6","0"),"7","0"),"8","0"),"9","0")</f>
        <v/>
      </c>
      <c r="BN295" s="61" t="str">
        <f aca="false">SUBSTITUTE(SUBSTITUTE(SUBSTITUTE(SUBSTITUTE(SUBSTITUTE(SUBSTITUTE(SUBSTITUTE(SUBSTITUTE(SUBSTITUTE(SUBSTITUTE(SUBSTITUTE(SUBSTITUTE(SUBSTITUTE(SUBSTITUTE(SUBSTITUTE(SUBSTITUTE(SUBSTITUTE(SUBSTITUTE(SUBSTITUTE(SUBSTITUTE(SUBSTITUTE(SUBSTITUTE(SUBSTITUTE(SUBSTITUTE(SUBSTITUTE(BM295,"b","a"),"c","a"),"d","a"),"e","a"),"f","a"),"g","a"),"h","a"),"i","a"),"j","a"),"k","a"),"l","a"),"m","a"),"n","a"),"o","a"),"p","a"),"q","a"),"r","a"),"s","a"),"t","a"),"u","a"),"v","a"),"w","a"),"x","a"),"y","a"),"z","a")</f>
        <v/>
      </c>
      <c r="BO295" s="61" t="str">
        <f aca="false">SUBSTITUTE(SUBSTITUTE(SUBSTITUTE(SUBSTITUTE(SUBSTITUTE(SUBSTITUTE(SUBSTITUTE(SUBSTITUTE(SUBSTITUTE(LOWER(W295&amp;""),"1","0"),"2","0"),"3","0"),"4","0"),"5","0"),"6","0"),"7","0"),"8","0"),"9","0")</f>
        <v/>
      </c>
      <c r="BP295" s="61" t="str">
        <f aca="false">SUBSTITUTE(SUBSTITUTE(SUBSTITUTE(SUBSTITUTE(SUBSTITUTE(SUBSTITUTE(SUBSTITUTE(SUBSTITUTE(SUBSTITUTE(SUBSTITUTE(SUBSTITUTE(SUBSTITUTE(SUBSTITUTE(SUBSTITUTE(SUBSTITUTE(SUBSTITUTE(SUBSTITUTE(SUBSTITUTE(SUBSTITUTE(SUBSTITUTE(SUBSTITUTE(SUBSTITUTE(SUBSTITUTE(SUBSTITUTE(SUBSTITUTE(BO295,"b","a"),"c","a"),"d","a"),"e","a"),"f","a"),"g","a"),"h","a"),"i","a"),"j","a"),"k","a"),"l","a"),"m","a"),"n","a"),"o","a"),"p","a"),"q","a"),"r","a"),"s","a"),"t","a"),"u","a"),"v","a"),"w","a"),"x","a"),"y","a"),"z","a")</f>
        <v/>
      </c>
      <c r="BQ295" s="61" t="n">
        <f aca="false">IFERROR(IF(AND(ISERROR(SEARCH(" mh"," "&amp;LOWER(W295))),ISNA(MATCH(LEFT(TRIM(BP295),255),{"0000a","000a","00a","0000aa","000aa","00aa","0aa","0000aaa","000aaa","00a00","0a00","0000-0000","00:00","a00","a0","00.00.0000","00/00/0000","00-00-0000","0000-00-00","0000/00/00","0000.00.00","00.00.00","00/00/00","00-00-00","0.00.0000","0/00/0000","0-00-0000"},0)),ISNA(MATCH(LEFT(TRIM(CA295),255),{"0000a","000a","00a","0000aa","000aa","00aa","0aa","0000aaa","000aaa","00a00","0a00","0000-0000","00:00","a00","a0","00.00.0000","00/00/0000","00-00-0000","0000-00-00","0000/00/00","0000.00.00","00.00.00","00/00/00","00-00-00","0.00.0000","0/00/0000","0-00-0000"},0)),LEN(CB295)&gt;=3,NOT(OR(SUBSTITUTE(CB295,"0","")="",AND(LEN(CB295)&gt;=4,CB295=REPT(LEFT(CB295),LEN(CB295))),ISNUMBER(MATCH(CB295,{"123","1234","12345","123456","1234567","12345678","0123","01234","012345","98765","987654","54321"},0)),AND(LEN(CB295)=8,LEFT(CB295,3)="202"))),OR(AND((LEN(CA295)-LEN(SUBSTITUTE(CA295,"a","")))&gt;=1,SUMPRODUCT(--ISNUMBER(SEARCH({"a0","a-0","a_0","a/0","a.0","a#0","0a","0-a","0_a","0/a"},BP295)))&gt;0),ISNUMBER(SEARCH("000000",BP295)))),1,0),0)</f>
        <v>0</v>
      </c>
      <c r="BR295" s="61" t="n">
        <f aca="false">IFERROR(LEN(SUBSTITUTE(CC295," ",""))-SUMPRODUCT((LEN(CC295)-LEN(SUBSTITUTE(CC295," "&amp;L_Role&amp;" "," ")))/(LEN(L_Role)+1)*LEN(L_Role)),0)</f>
        <v>0</v>
      </c>
      <c r="BS295" s="61" t="n">
        <f aca="false">IFERROR(LEN(SUBSTITUTE(CD295," ",""))-SUMPRODUCT((LEN(CD295)-LEN(SUBSTITUTE(CD295," "&amp;L_Role&amp;" "," ")))/(LEN(L_Role)+1)*LEN(L_Role)),0)</f>
        <v>0</v>
      </c>
      <c r="BT2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295,"revision",""),"version",""),"jan",""),"feb",""),"mar",""),"apr",""),"may",""),"jun",""),"jul",""),"aug",""),"sep",""),"oct",""),"nov",""),"dec",""),"utc",""),"gmt",""),"myt",""),"bst",""),"rev",""),"ver",""),"b","a"),"c","a"),"d","a"),"e","a"),"f","a"),"g","a"),"h","a"),"i","a"),"j","a"),"k","a"),"l","a"),"m","a"),"n","a"),"o","a"),"p","a"),"q","a"),"r","a"),"s","a"),"t","a"),"u","a"),"v","a"),"w","a"),"x","a"),"y","a"),"z","a")</f>
        <v/>
      </c>
      <c r="BU295" s="61" t="str">
        <f aca="false">SUBSTITUTE(SUBSTITUTE(SUBSTITUTE(SUBSTITUTE(SUBSTITUTE(SUBSTITUTE(SUBSTITUTE(SUBSTITUTE(SUBSTITUTE(SUBSTITUTE(LEFT(BM295,FIND("0",BM295&amp;"0")-1),"-",""),"_",""),"/",""),".",""),"#",""),"\\",""),":","")," ",""),"(",""),")","")</f>
        <v/>
      </c>
      <c r="BV295" s="61" t="n">
        <f aca="false">0</f>
        <v>0</v>
      </c>
      <c r="BW2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295&amp;""),"a",""),"b",""),"c",""),"d",""),"e",""),"f",""),"g",""),"h",""),"i",""),"j",""),"k",""),"l",""),"m",""),"n",""),"o",""),"p",""),"q",""),"r",""),"s",""),"t",""),"u",""),"v",""),"w",""),"x",""),"y",""),"z",""),"-",""),"_",""),"/",""),".",""),"#",""),"\\",""),":","")," ",""),"(",""),")","")</f>
        <v/>
      </c>
      <c r="BX295" s="61" t="str">
        <f aca="false">SUBSTITUTE(SUBSTITUTE(SUBSTITUTE(SUBSTITUTE(SUBSTITUTE(SUBSTITUTE(SUBSTITUTE(SUBSTITUTE(SUBSTITUTE(SUBSTITUTE(SUBSTITUTE(BM295,"0",""),"-",""),"_",""),"/",""),".",""),"#",""),"\\",""),":","")," ",""),"(",""),")","")</f>
        <v/>
      </c>
      <c r="BY295" s="62" t="n">
        <f aca="false">Q295-T12EarlyH/24</f>
        <v>46305.2534722222</v>
      </c>
      <c r="BZ295" s="61" t="n">
        <f aca="false">IFERROR(IF(IF(TRIM(S295)="Link / file path",AND(LEN(TRIM(Z295))&gt;=5,SUMPRODUCT(--ISNUMBER(SEARCH({"http","www.","\\",":\",".pdf",".jpg",".jpeg",".png",".heic",".xls",".doc",".msg",".eml",".ppt",".txt",".zip"},Z295)))&gt;0),AND(ISERROR(FIND(" ",TRIM(Z295))),NOT(OR(SUMPRODUCT(--ISNUMBER(FIND({",",";","&amp;","+"},Z295)))&gt;0,SUMPRODUCT(--ISNUMBER(SEARCH({"0/aa","0\\aa"},BN295)))&gt;0)),NOT(SUMPRODUCT(--ISNUMBER(SEARCH({"http","www.","\\",":\",".pdf",".jpg",".jpeg",".png",".heic",".xls",".doc",".msg",".eml",".ppt",".txt",".zip"},Z295)))&gt;0),NOT(LOWER(TRIM(Z295))=LOWER(Flights!$F$13)),ISNA(MATCH(BU295,{"mh","rev","revision","ver","version","v","r","a","b","seat","tray","row","gate","bay","stand","page","pg","item","line","no","cart","galley","flight","flt","table","box","bag","oven","etd","eta","std","sta","atd","ata","qty","pax","x","time","tel","ph","mob","day","wk","week","utc","gmt","myt","lt"},0)),NOT(OR(ISNUMBER(MATCH(LEFT(BN295,255),{"0000a","000a","00a","0000aa","000aa","00aa","0aa","0000aaa","000aaa","00a00","0a00","0000-0000","00:00","a00","a0","00.00.0000","00/00/0000","00-00-0000","0000-00-00","0000/00/00","0000.00.00","00.00.00","00/00/00","00-00-00","0.00.0000","0/00/0000","0-00-0000"},0)),ISNUMBER(MATCH(LEFT(BT295,255),{"0000a","000a","00a","0000aa","000aa","00aa","0aa","0000aaa","000aaa","00a00","0a00","0000-0000","00:00","a00","a0","00.00.0000","00/00/0000","00-00-0000","0000-00-00","0000/00/00","0000.00.00","00.00.00","00/00/00","00-00-00","0.00.0000","0/00/0000","0-00-0000"},0)))),NOT(OR(AND(BW295&lt;&gt;"",SUBSTITUTE(BW295,"0","")=""),AND(LEN(BW295)&gt;=4,BW295=REPT(LEFT(BW295),LEN(BW295))),ISNUMBER(MATCH(BW295,{"123","1234","12345","123456","1234567","12345678","0123","01234","012345","98765","987654","54321"},0)),ISNUMBER(MATCH(BX295,{"x","xx","xxx","xxxx","xxxxx","abc","abcd","nil","na","nan","test","tbc","tba","tbd","dummy","sample","example","eg","zz","zzz","none","null","xyz","qwe","asd","id","ref"},0)),AND(LEN(BW295)=8,BX295="",OR(LEFT(BW295,3)="202",ISNUMBER(MATCH(RIGHT(BW295,4),{"2025","2026","2027"},0)))))),OR(AND((LEN(BT295)-LEN(SUBSTITUTE(BT295,"a","")))&gt;=1,(LEN(BN295)-LEN(SUBSTITUTE(BN295,"0","")))&gt;=2,SUMPRODUCT(--ISNUMBER(SEARCH({"a0","a-0","a_0","a/0","a.0","a#0","0a","0-a","0_a","0/a"},BN295)))&gt;0),AND((LEN(BN295)-LEN(SUBSTITUTE(BN295,"a","")))=0,(LEN(BN295)-LEN(SUBSTITUTE(BN295,"0","")))&gt;=5)))),1,0),0)</f>
        <v>0</v>
      </c>
      <c r="CA2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295,"revision",""),"version",""),"jan",""),"feb",""),"mar",""),"apr",""),"may",""),"jun",""),"jul",""),"aug",""),"sep",""),"oct",""),"nov",""),"dec",""),"utc",""),"gmt",""),"myt",""),"bst",""),"rev",""),"ver",""),"b","a"),"c","a"),"d","a"),"e","a"),"f","a"),"g","a"),"h","a"),"i","a"),"j","a"),"k","a"),"l","a"),"m","a"),"n","a"),"o","a"),"p","a"),"q","a"),"r","a"),"s","a"),"t","a"),"u","a"),"v","a"),"w","a"),"x","a"),"y","a"),"z","a")</f>
        <v/>
      </c>
      <c r="CB2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295&amp;""),"a",""),"b",""),"c",""),"d",""),"e",""),"f",""),"g",""),"h",""),"i",""),"j",""),"k",""),"l",""),"m",""),"n",""),"o",""),"p",""),"q",""),"r",""),"s",""),"t",""),"u",""),"v",""),"w",""),"x",""),"y",""),"z",""),"-",""),"_",""),"/",""),".",""),"#",""),"\\",""),":","")," ",""),"(",""),")","")</f>
        <v/>
      </c>
      <c r="CC295" s="0" t="str">
        <f aca="false">" "&amp;TRIM(SUBSTITUTE(SUBSTITUTE(SUBSTITUTE(SUBSTITUTE(SUBSTITUTE(SUBSTITUTE(SUBSTITUTE(SUBSTITUTE(SUBSTITUTE(SUBSTITUTE(SUBSTITUTE(SUBSTITUTE(SUBSTITUTE(SUBSTITUTE(SUBSTITUTE(SUBSTITUTE(SUBSTITUTE(SUBSTITUTE(SUBSTITUTE(SUBSTITUTE(SUBSTITUTE(SUBSTITUTE(SUBSTITUTE(SUBSTITUTE(LOWER(T295&amp;""),CHAR(10)," "),CHAR(13)," "),CHAR(9)," "),CHAR(160)," "),"."," "),","," "),"-"," "),"/"," "),"("," "),")"," "),":"," "),";"," "),"_"," "),"–"," "),"?"," "),"!"," "),"*"," "),"["," "),"]"," "),"'"," "),"#"," "),"+"," "),"&amp;"," "),"\"," "))&amp;" "</f>
        <v>  </v>
      </c>
      <c r="CD295" s="0" t="str">
        <f aca="false">" "&amp;TRIM(SUBSTITUTE(SUBSTITUTE(SUBSTITUTE(SUBSTITUTE(SUBSTITUTE(SUBSTITUTE(SUBSTITUTE(SUBSTITUTE(SUBSTITUTE(SUBSTITUTE(SUBSTITUTE(SUBSTITUTE(SUBSTITUTE(SUBSTITUTE(SUBSTITUTE(SUBSTITUTE(SUBSTITUTE(SUBSTITUTE(SUBSTITUTE(SUBSTITUTE(SUBSTITUTE(SUBSTITUTE(SUBSTITUTE(SUBSTITUTE(LOWER(AE295&amp;""),CHAR(10)," "),CHAR(13)," "),CHAR(9)," "),CHAR(160)," "),"."," "),","," "),"-"," "),"/"," "),"("," "),")"," "),":"," "),";"," "),"_"," "),"–"," "),"?"," "),"!"," "),"*"," "),"["," "),"]"," "),"'"," "),"#"," "),"+"," "),"&amp;"," "),"\"," "))&amp;" "</f>
        <v>  </v>
      </c>
      <c r="CE295" s="68" t="n">
        <f aca="false">IFERROR(IF(AND(LEN(AU295)&gt;0,LEN(AU295)=LEN(AX295),OR(TRIM(MID(SUBSTITUTE(TRIM(CC295)," ",REPT(" ",60)),1,60))="",ISNUMBER(SEARCH(" "&amp;TRIM(MID(SUBSTITUTE(TRIM(CC295)," ",REPT(" ",60)),1,60))&amp;" ",CD295))),OR(TRIM(MID(SUBSTITUTE(TRIM(CC295)," ",REPT(" ",60)),61,60))="",ISNUMBER(SEARCH(" "&amp;TRIM(MID(SUBSTITUTE(TRIM(CC295)," ",REPT(" ",60)),61,60))&amp;" ",CD295))),OR(TRIM(MID(SUBSTITUTE(TRIM(CC295)," ",REPT(" ",60)),121,60))="",ISNUMBER(SEARCH(" "&amp;TRIM(MID(SUBSTITUTE(TRIM(CC295)," ",REPT(" ",60)),121,60))&amp;" ",CD295)))),1,0),0)</f>
        <v>0</v>
      </c>
      <c r="CG295" s="68" t="n">
        <f aca="false">IFERROR(LEN(SUBSTITUTE(BF295," ",""))-SUMPRODUCT((LEN(BF295)-LEN(SUBSTITUTE(BF295," "&amp;L_NAFiller&amp;" "," ")))/(LEN(L_NAFiller)+1)*LEN(L_NAFiller)),0)</f>
        <v>0</v>
      </c>
    </row>
    <row r="296" customFormat="false" ht="39.75" hidden="false" customHeight="true" outlineLevel="0" collapsed="false">
      <c r="A296" s="57" t="s">
        <v>871</v>
      </c>
      <c r="B296" s="57" t="s">
        <v>246</v>
      </c>
      <c r="C296" s="57" t="str">
        <f aca="false">Flights!$F$13</f>
        <v>MH0753</v>
      </c>
      <c r="D296" s="58" t="n">
        <f aca="false">Flights!$D$13</f>
        <v>46306</v>
      </c>
      <c r="E296" s="57" t="str">
        <f aca="false">Flights!$G$13&amp;"-"&amp;Flights!$H$13</f>
        <v>HAN-KUL</v>
      </c>
      <c r="F296" s="57" t="str">
        <f aca="false">Flights!$K$13</f>
        <v>BC</v>
      </c>
      <c r="G296" s="57" t="s">
        <v>420</v>
      </c>
      <c r="H296" s="57" t="s">
        <v>378</v>
      </c>
      <c r="I296" s="57" t="s">
        <v>428</v>
      </c>
      <c r="J296" s="57" t="s">
        <v>431</v>
      </c>
      <c r="K296" s="67"/>
      <c r="L296" s="67" t="s">
        <v>422</v>
      </c>
      <c r="M296" s="67"/>
      <c r="N296" s="67" t="s">
        <v>383</v>
      </c>
      <c r="O296" s="67" t="s">
        <v>423</v>
      </c>
      <c r="P296" s="57" t="s">
        <v>240</v>
      </c>
      <c r="Q296" s="59" t="n">
        <f aca="false">ROUND((Flights!$AE$13)*1440,0)/1440</f>
        <v>46305.7534722222</v>
      </c>
      <c r="R296" s="59" t="n">
        <f aca="false">Q296+(IF(AND(INDEX(TZ_DSTS,MATCH(P296,TZ_STN,0))&lt;&gt;"",Q296&gt;=INDEX(TZ_DSTS,MATCH(P296,TZ_STN,0)),Q296&lt;INDEX(TZ_DSTE,MATCH(P296,TZ_STN,0))),INDEX(TZ_DST,MATCH(P296,TZ_STN,0)),INDEX(TZ_STD,MATCH(P296,TZ_STN,0))))/24</f>
        <v>46306.0451388889</v>
      </c>
      <c r="S296" s="60"/>
      <c r="T296" s="60"/>
      <c r="U296" s="60"/>
      <c r="V296" s="60"/>
      <c r="W296" s="61"/>
      <c r="X296" s="60"/>
      <c r="Y296" s="60"/>
      <c r="Z296" s="60"/>
      <c r="AA296" s="60"/>
      <c r="AB296" s="60"/>
      <c r="AC296" s="60"/>
      <c r="AD296" s="66"/>
      <c r="AE296" s="60"/>
      <c r="AF296" s="61" t="str">
        <f aca="false">IF(AND(ISNUMBER(X296),ISNUMBER(Y296)),Y296-X296,"")</f>
        <v/>
      </c>
      <c r="AG296" s="62" t="str">
        <f aca="false">IF(ISNUMBER(AD296),AD296-(IF(AND(INDEX(TZ_DSTS,MATCH(P296,TZ_STN,0))&lt;&gt;"",(AD296-INDEX(TZ_STD,MATCH(P296,TZ_STN,0))/24)&gt;=INDEX(TZ_DSTS,MATCH(P296,TZ_STN,0)),(AD296-INDEX(TZ_STD,MATCH(P296,TZ_STN,0))/24)&lt;INDEX(TZ_DSTE,MATCH(P296,TZ_STN,0))),INDEX(TZ_DST,MATCH(P296,TZ_STN,0)),INDEX(TZ_STD,MATCH(P296,TZ_STN,0))))/24,"")</f>
        <v/>
      </c>
      <c r="AH296" s="65" t="str">
        <f aca="false">IFERROR(IF(N296="N/A – rule",IF(OR(TRIM(U296)="",TRIM(U296)="N/A",TRIM(U296)="Not started"),"N/A – RULE","INVALID – this check does not apply to this aircraft: clear the status (or correct the fleet on Flights)"),IF(TRIM(U296)="N/A",IF(AT296=0,"INVALID – N/A not permitted for this check",IF(AND(TRIM(AB296)&lt;&gt;"",TRIM(AB296)&lt;&gt;"Closed"),"INVALID – corrective action still open",IF(AND(NOT(OR(LEN(AZ296)&lt;15,ISNUMBER(MATCH(AZ296,L_Placeholder,0)))),BK296=0,CG296&gt;=8,NOT(OR(LEN(AU296)&lt;2,ISNUMBER(MATCH(AU296,L_Placeholder,0)))),BR296&gt;=3,NOT(OR(LEN(AX296)&lt;2,ISNUMBER(MATCH(AX296,L_Placeholder,0)))),BS296&gt;=3,TRIM(AE296)&lt;&gt;TRIM(T296),AX296&lt;&gt;AU296,CE296=0),"N/A – JUSTIFIED","INVALID – N/A needs a real, settled reason (not 'not applicable' / 'as above' / TBC), a named PIC and a different named verifier"))),IF(OR(TRIM(U296)="Pass",TRIM(U296)="Pass after CA"),IF(NOT(ISNUMBER(AD296)),"INVALID – completion time missing",IF(OR(OR(LEN(AU296)&lt;2,ISNUMBER(MATCH(AU296,L_Placeholder,0))),BR296&lt;3),"INVALID – PIC missing or not a named person (a role such as QA / CSM is not a name)",IF(OR(LEN(AV296)&lt;2,ISNUMBER(MATCH(AV296,L_Placeholder,0))),"INVALID – result / assessment missing",IF(OR(OR(LEN(AW296)&lt;3,ISNUMBER(MATCH(AW296,L_Placeholder,0))),SUMPRODUCT(--ISNUMBER(SEARCH(" "&amp;L_EvidencePhrase&amp;" ",BD296)))&gt;0,BI296=1),"INVALID – evidence missing, placeholder or not yet on file",IF(ISNA(MATCH(TRIM(S296),L_EvidenceType,0)),"INVALID – choose the evidence type from the list (column S)",IF(BL296=0,"INVALID – evidence ID must be the record's own ID only (e.g. SF-2210, IMG_2231, 1045521); a link / file name needs type 'Link / file path'",IF(OR(OR(LEN(AX296)&lt;2,ISNUMBER(MATCH(AX296,L_Placeholder,0))),BS296&lt;3),"INVALID – verifier missing or not a named person (a role such as QA / CSM is not a name)",IF(OR(AX296=AU296,CE296=1,AND(LEN(AU296)&gt;=4,ISNUMBER(SEARCH(AU296,AX296))),AND(LEN(AX296)&gt;=4,ISNUMBER(SEARCH(AX296,AU296)))),"INVALID – verifier must be a different, named person (not the PIC or a role)",IF(BH296=1,"INVALID – result not yet available (awaiting / TBC)",IF(BG296=1,"INVALID – result describes a problem: record Fail, then Pass after CA (or reword if it is not a problem)",IF(BV296=1,"INVALID – wording says not on board: an on-board confirmation needs the item loaded",IF(AND(AQ296=1,OR(OR(LEN(AY296)&lt;3,ISNUMBER(MATCH(AY296,L_Placeholder,0))),BJ296=1,BQ296=0)),"INVALID – batch ID missing, placeholder or not an ID (e.g. PASB-261008-BC-017)",IF(AND(AR296=1,OR(NOT(ISNUMBER(X296)),NOT(ISNUMBER(Y296)))),"INVALID – expected/actual qty missing",IF(AND(AR296=1,OR(X296&lt;=0,Y296&lt;0)),"INVALID – expected qty must be above 0 and actual not negative",IF(BB296&lt;&gt;"",BB296,IF(AND(AS296=1,Documents!$J$13&lt;&gt;"ON FILE"),"INVALID – GLD not on file (Documents sheet)",IF(AND(AS296=2,Documents!$O$13&lt;&gt;"ON FILE"),"INVALID – menu checklist not on file (Documents sheet)",IF(AND(AS296=3,NOT(ISNUMBER(Flights!$AX$13))),"INVALID – enter carrying flight KUL departure (Flights AX)",IF(AND(AS296=3,OR(Flights!$AZ$13&gt;Flights!$AA$13,Flights!$AX$13&lt;Flights!$AA$13-3)),"INVALID – carrying flight (Flights AX) cannot arrive before this leg's STD, or is over 3 days early",IF(AG296&gt;AsOfUTC,"INVALID – completion time is in the future",IF(AND(ISNUMBER(BY296),AG296&lt;BY296),IF(H296="Physical uplift","INVALID – before uplift window (cannot confirm loading)","INVALID – before valid window"),IF(AG296&gt;Flights!$AA$13,"INVALID – completed after departure (cannot establish readiness)",IF(AND(H296="Preparation",AG296&gt;=IF(ISNUMBER(Flights!$BA$13),MIN(Flights!$BA$13,Flights!$AA$13),Flights!$AA$13)),"INVALID – completed after loading / departure (cannot establish readiness)",IF(AND(H296="Physical uplift",AG296&gt;Q296),"INVALID – recorded after the loading flight departed",IF(AG296&gt;Q296,"COMPLETE – LATE","COMPLETE"))))))))))))))))))))))))),IF(TRIM(U296)="Fail","FAIL – DISCREPANCY",IF(AND(TRIM(U296)&lt;&gt;"",TRIM(U296)&lt;&gt;"Not started",TRIM(U296)&lt;&gt;"In progress"),"INVALID – unrecognised status (use the list)",IF(AsOfUTC&gt;Q296,"OVERDUE",IF(N296="Clarification required","OPEN – CLARIFICATION","OPEN"))))))),"INVALID – error value in an input cell")</f>
        <v>OPEN</v>
      </c>
      <c r="AI296" s="61" t="n">
        <f aca="false">IF(OR(AH296="N/A – RULE",AH296="N/A – JUSTIFIED"),0,1)</f>
        <v>1</v>
      </c>
      <c r="AJ296" s="61" t="n">
        <f aca="false">IF(LEFT(AH296,8)="COMPLETE",1,0)</f>
        <v>0</v>
      </c>
      <c r="AK296" s="61" t="n">
        <f aca="false">IF(AND(AI296=1,AJ296=0,AsOfUTC&gt;Q296),1,0)</f>
        <v>0</v>
      </c>
      <c r="AL296" s="61" t="n">
        <f aca="false">IFERROR(IF(AND(AI296=1,OR(TRIM(U296)="Fail",AND(TRIM(AB296)&lt;&gt;"",TRIM(AB296)&lt;&gt;"Closed"),AND(ISNUMBER(AF296),AF296&lt;&gt;0,TRIM(U296)&lt;&gt;"Pass after CA"))),1,0),1)</f>
        <v>0</v>
      </c>
      <c r="AM296" s="61" t="n">
        <f aca="false">IF(LEFT(AH296,7)="INVALID",1,0)</f>
        <v>0</v>
      </c>
      <c r="AN296" s="61" t="n">
        <f aca="false">IF(AND(N296="Clarification required",AI296=1,AJ296=0),1,0)</f>
        <v>0</v>
      </c>
      <c r="AO296" s="61" t="str">
        <f aca="false">IF(AK296=1,SUM(AK$5:AK296),"")</f>
        <v/>
      </c>
      <c r="AP296" s="61" t="str">
        <f aca="false">IF(AL296=1,SUM(AL$5:AL296),"")</f>
        <v/>
      </c>
      <c r="AQ296" s="61" t="n">
        <v>0</v>
      </c>
      <c r="AR296" s="61" t="n">
        <v>0</v>
      </c>
      <c r="AS296" s="61" t="n">
        <v>0</v>
      </c>
      <c r="AT296" s="61" t="n">
        <v>0</v>
      </c>
      <c r="AU296" s="61" t="str">
        <f aca="false">SUBSTITUTE(SUBSTITUTE(SUBSTITUTE(SUBSTITUTE(SUBSTITUTE(SUBSTITUTE(SUBSTITUTE(SUBSTITUTE(SUBSTITUTE(SUBSTITUTE(SUBSTITUTE(SUBSTITUTE(SUBSTITUTE(SUBSTITUTE(SUBSTITUTE(SUBSTITUTE(LOWER(T296&amp;""),CHAR(10),""),CHAR(13),""),CHAR(9),""),CHAR(160),"")," ",""),".",""),"-",""),"/",""),"?",""),"_",""),",",""),"[",""),"]",""),"(",""),")",""),"*","")</f>
        <v/>
      </c>
      <c r="AV296" s="61" t="str">
        <f aca="false">SUBSTITUTE(SUBSTITUTE(SUBSTITUTE(SUBSTITUTE(SUBSTITUTE(SUBSTITUTE(SUBSTITUTE(SUBSTITUTE(SUBSTITUTE(SUBSTITUTE(SUBSTITUTE(SUBSTITUTE(SUBSTITUTE(SUBSTITUTE(SUBSTITUTE(SUBSTITUTE(LOWER(V296&amp;""),CHAR(10),""),CHAR(13),""),CHAR(9),""),CHAR(160),"")," ",""),".",""),"-",""),"/",""),"?",""),"_",""),",",""),"[",""),"]",""),"(",""),")",""),"*","")</f>
        <v/>
      </c>
      <c r="AW296" s="61" t="str">
        <f aca="false">SUBSTITUTE(SUBSTITUTE(SUBSTITUTE(SUBSTITUTE(SUBSTITUTE(SUBSTITUTE(SUBSTITUTE(SUBSTITUTE(SUBSTITUTE(SUBSTITUTE(SUBSTITUTE(SUBSTITUTE(SUBSTITUTE(SUBSTITUTE(SUBSTITUTE(SUBSTITUTE(LOWER(Z296&amp;""),CHAR(10),""),CHAR(13),""),CHAR(9),""),CHAR(160),"")," ",""),".",""),"-",""),"/",""),"?",""),"_",""),",",""),"[",""),"]",""),"(",""),")",""),"*","")</f>
        <v/>
      </c>
      <c r="AX296" s="61" t="str">
        <f aca="false">SUBSTITUTE(SUBSTITUTE(SUBSTITUTE(SUBSTITUTE(SUBSTITUTE(SUBSTITUTE(SUBSTITUTE(SUBSTITUTE(SUBSTITUTE(SUBSTITUTE(SUBSTITUTE(SUBSTITUTE(SUBSTITUTE(SUBSTITUTE(SUBSTITUTE(SUBSTITUTE(LOWER(AE296&amp;""),CHAR(10),""),CHAR(13),""),CHAR(9),""),CHAR(160),"")," ",""),".",""),"-",""),"/",""),"?",""),"_",""),",",""),"[",""),"]",""),"(",""),")",""),"*","")</f>
        <v/>
      </c>
      <c r="AY296" s="61" t="str">
        <f aca="false">SUBSTITUTE(SUBSTITUTE(SUBSTITUTE(SUBSTITUTE(SUBSTITUTE(SUBSTITUTE(SUBSTITUTE(SUBSTITUTE(SUBSTITUTE(SUBSTITUTE(SUBSTITUTE(SUBSTITUTE(SUBSTITUTE(SUBSTITUTE(SUBSTITUTE(SUBSTITUTE(LOWER(W296&amp;""),CHAR(10),""),CHAR(13),""),CHAR(9),""),CHAR(160),"")," ",""),".",""),"-",""),"/",""),"?",""),"_",""),",",""),"[",""),"]",""),"(",""),")",""),"*","")</f>
        <v/>
      </c>
      <c r="AZ296" s="61" t="str">
        <f aca="false">SUBSTITUTE(SUBSTITUTE(SUBSTITUTE(SUBSTITUTE(SUBSTITUTE(SUBSTITUTE(SUBSTITUTE(SUBSTITUTE(SUBSTITUTE(SUBSTITUTE(SUBSTITUTE(SUBSTITUTE(SUBSTITUTE(SUBSTITUTE(SUBSTITUTE(SUBSTITUTE(LOWER(AC296&amp;""),CHAR(10),""),CHAR(13),""),CHAR(9),""),CHAR(160),"")," ",""),".",""),"-",""),"/",""),"?",""),"_",""),",",""),"[",""),"]",""),"(",""),")",""),"*","")</f>
        <v/>
      </c>
      <c r="BA296" s="61" t="str">
        <f aca="false">SUBSTITUTE(SUBSTITUTE(SUBSTITUTE(SUBSTITUTE(SUBSTITUTE(SUBSTITUTE(SUBSTITUTE(SUBSTITUTE(SUBSTITUTE(SUBSTITUTE(SUBSTITUTE(SUBSTITUTE(SUBSTITUTE(SUBSTITUTE(SUBSTITUTE(SUBSTITUTE(LOWER(AA296&amp;""),CHAR(10),""),CHAR(13),""),CHAR(9),""),CHAR(160),"")," ",""),".",""),"-",""),"/",""),"?",""),"_",""),",",""),"[",""),"]",""),"(",""),")",""),"*","")</f>
        <v/>
      </c>
      <c r="BB296" s="61" t="str">
        <f aca="false">IF(AND(TRIM(U296)="Pass",ISNUMBER(AF296)),IF(AF296&lt;&gt;0,"INVALID – qty variance: use Fail or Pass after CA",""),"")&amp;IF(AND(TRIM(U296)="Pass after CA",ISNUMBER(AF296)),IF(AF296&lt;&gt;0,"INVALID – after the corrective action the actual qty must equal expected (update Actual)",""),"")&amp;IF(AND(TRIM(U296)="Pass",TRIM(AB296)&lt;&gt;"",TRIM(AB296)&lt;&gt;"Closed"),"INVALID – corrective action not closed: use Fail, then Pass after CA","")&amp;IF(AND(LEN(BA296)&gt;=2,ISNA(MATCH(LEFT(BA296,255),L_Placeholder,0)),TRIM(AB296)=""),"INVALID – CA status missing for the recorded corrective action","")&amp;IF(AND(TRIM(U296)="Pass after CA",OR(OR(LEN(BA296)&lt;5,ISNUMBER(MATCH(BA296,L_Placeholder,0))),TRIM(AB296)&lt;&gt;"Closed")),"INVALID – corrective action not recorded/closed","")</f>
        <v/>
      </c>
      <c r="BC296" s="61" t="str">
        <f aca="false">" "&amp;TRIM(SUBSTITUTE(SUBSTITUTE(SUBSTITUTE(SUBSTITUTE(SUBSTITUTE(SUBSTITUTE(SUBSTITUTE(SUBSTITUTE(SUBSTITUTE(SUBSTITUTE(SUBSTITUTE(SUBSTITUTE(SUBSTITUTE(SUBSTITUTE(SUBSTITUTE(SUBSTITUTE(SUBSTITUTE(SUBSTITUTE(SUBSTITUTE(SUBSTITUTE(SUBSTITUTE(SUBSTITUTE(SUBSTITUTE(SUBSTITUTE(LOWER(V296&amp;""),CHAR(10)," "),CHAR(13)," "),CHAR(9)," "),CHAR(160)," "),"."," "),","," "),"-"," "),"/"," "),"("," "),")"," "),":"," "),";"," "),"_"," "),"–"," "),"?"," "),"!"," "),"*"," "),"["," "),"]"," "),"'"," "),"#"," "),"+"," "),"&amp;"," "),"\"," "))&amp;" "</f>
        <v>  </v>
      </c>
      <c r="BD296" s="61" t="str">
        <f aca="false">" "&amp;TRIM(SUBSTITUTE(SUBSTITUTE(SUBSTITUTE(SUBSTITUTE(SUBSTITUTE(SUBSTITUTE(SUBSTITUTE(SUBSTITUTE(SUBSTITUTE(SUBSTITUTE(SUBSTITUTE(SUBSTITUTE(SUBSTITUTE(SUBSTITUTE(SUBSTITUTE(SUBSTITUTE(SUBSTITUTE(SUBSTITUTE(SUBSTITUTE(SUBSTITUTE(SUBSTITUTE(SUBSTITUTE(SUBSTITUTE(SUBSTITUTE(LOWER(Z296&amp;""),CHAR(10)," "),CHAR(13)," "),CHAR(9)," "),CHAR(160)," "),"."," "),","," "),"-"," "),"/"," "),"("," "),")"," "),":"," "),";"," "),"_"," "),"–"," "),"?"," "),"!"," "),"*"," "),"["," "),"]"," "),"'"," "),"#"," "),"+"," "),"&amp;"," "),"\"," "))&amp;" "</f>
        <v>  </v>
      </c>
      <c r="BE296" s="61" t="str">
        <f aca="false">" "&amp;TRIM(SUBSTITUTE(SUBSTITUTE(SUBSTITUTE(SUBSTITUTE(SUBSTITUTE(SUBSTITUTE(SUBSTITUTE(SUBSTITUTE(SUBSTITUTE(SUBSTITUTE(SUBSTITUTE(SUBSTITUTE(SUBSTITUTE(SUBSTITUTE(SUBSTITUTE(SUBSTITUTE(SUBSTITUTE(SUBSTITUTE(SUBSTITUTE(SUBSTITUTE(SUBSTITUTE(SUBSTITUTE(SUBSTITUTE(SUBSTITUTE(LOWER(W296&amp;""),CHAR(10)," "),CHAR(13)," "),CHAR(9)," "),CHAR(160)," "),"."," "),","," "),"-"," "),"/"," "),"("," "),")"," "),":"," "),";"," "),"_"," "),"–"," "),"?"," "),"!"," "),"*"," "),"["," "),"]"," "),"'"," "),"#"," "),"+"," "),"&amp;"," "),"\"," "))&amp;" "</f>
        <v>  </v>
      </c>
      <c r="BF296" s="61" t="str">
        <f aca="false">" "&amp;TRIM(SUBSTITUTE(SUBSTITUTE(SUBSTITUTE(SUBSTITUTE(SUBSTITUTE(SUBSTITUTE(SUBSTITUTE(SUBSTITUTE(SUBSTITUTE(SUBSTITUTE(SUBSTITUTE(SUBSTITUTE(SUBSTITUTE(SUBSTITUTE(SUBSTITUTE(SUBSTITUTE(SUBSTITUTE(SUBSTITUTE(SUBSTITUTE(SUBSTITUTE(SUBSTITUTE(SUBSTITUTE(SUBSTITUTE(SUBSTITUTE(LOWER(AC296&amp;""),CHAR(10)," "),CHAR(13)," "),CHAR(9)," "),CHAR(160)," "),"."," "),","," "),"-"," "),"/"," "),"("," "),")"," "),":"," "),";"," "),"_"," "),"–"," "),"?"," "),"!"," "),"*"," "),"["," "),"]"," "),"'"," "),"#"," "),"+"," "),"&amp;"," "),"\"," "))&amp;" "</f>
        <v>  </v>
      </c>
      <c r="BG296" s="61" t="n">
        <f aca="false">IFERROR(IF(AND(TRIM(U296)="Pass",SUMPRODUCT((LEN(BC296)-LEN(SUBSTITUTE(BC296," "&amp;L_ResultBad&amp;" "," ")))/(LEN(L_ResultBad)+1))&gt;SUMPRODUCT((LEN(BC296)-LEN(SUBSTITUTE(BC296," "&amp;L_NegPhrase&amp;" "," ")))/(LEN(L_NegPhrase)+1))),1,0),0)</f>
        <v>0</v>
      </c>
      <c r="BH296" s="61" t="n">
        <f aca="false">IFERROR(IF(SUMPRODUCT((LEN(BC296)-LEN(SUBSTITUTE(BC296," "&amp;L_Pending&amp;" "," ")))/(LEN(L_Pending)+1))&gt;SUMPRODUCT((LEN(BC296)-LEN(SUBSTITUTE(BC296," "&amp;L_PendNeg&amp;" "," ")))/(LEN(L_PendNeg)+1))+SUMPRODUCT((LEN(BC296)-LEN(SUBSTITUTE(BC296," "&amp;L_PendPrep&amp;" "," ")))/(LEN(L_PendPrep)+1)),1,0),1)</f>
        <v>0</v>
      </c>
      <c r="BI296" s="61" t="n">
        <f aca="false">IFERROR(IF(SUMPRODUCT((LEN(BD296)-LEN(SUBSTITUTE(BD296," "&amp;L_PendStrict&amp;" "," ")))/(LEN(L_PendStrict)+1))&gt;SUMPRODUCT((LEN(BD296)-LEN(SUBSTITUTE(BD296," "&amp;L_PendNeg&amp;" "," ")))/(LEN(L_PendNeg)+1)),1,0),1)</f>
        <v>0</v>
      </c>
      <c r="BJ296" s="61" t="n">
        <f aca="false">IFERROR(IF(SUMPRODUCT((LEN(BE296)-LEN(SUBSTITUTE(BE296," "&amp;L_Pending&amp;" "," ")))/(LEN(L_Pending)+1))&gt;SUMPRODUCT((LEN(BE296)-LEN(SUBSTITUTE(BE296," "&amp;L_PendNeg&amp;" "," ")))/(LEN(L_PendNeg)+1))+SUMPRODUCT((LEN(BE296)-LEN(SUBSTITUTE(BE296," "&amp;L_PendPrep&amp;" "," ")))/(LEN(L_PendPrep)+1)),1,0),1)</f>
        <v>0</v>
      </c>
      <c r="BK296" s="61" t="n">
        <f aca="false">IFERROR(IF(SUMPRODUCT((LEN(BF296)-LEN(SUBSTITUTE(BF296," "&amp;L_PendStrict&amp;" "," ")))/(LEN(L_PendStrict)+1))&gt;SUMPRODUCT((LEN(BF296)-LEN(SUBSTITUTE(BF296," "&amp;L_PendNeg&amp;" "," ")))/(LEN(L_PendNeg)+1)),1,0),1)</f>
        <v>0</v>
      </c>
      <c r="BL296" s="61" t="n">
        <f aca="false">IF(ISNA(MATCH(TRIM(S296),L_EvidenceType,0)),0,BZ296)</f>
        <v>0</v>
      </c>
      <c r="BM296" s="61" t="str">
        <f aca="false">SUBSTITUTE(SUBSTITUTE(SUBSTITUTE(SUBSTITUTE(SUBSTITUTE(SUBSTITUTE(SUBSTITUTE(SUBSTITUTE(SUBSTITUTE(LOWER(Z296&amp;""),"1","0"),"2","0"),"3","0"),"4","0"),"5","0"),"6","0"),"7","0"),"8","0"),"9","0")</f>
        <v/>
      </c>
      <c r="BN296" s="61" t="str">
        <f aca="false">SUBSTITUTE(SUBSTITUTE(SUBSTITUTE(SUBSTITUTE(SUBSTITUTE(SUBSTITUTE(SUBSTITUTE(SUBSTITUTE(SUBSTITUTE(SUBSTITUTE(SUBSTITUTE(SUBSTITUTE(SUBSTITUTE(SUBSTITUTE(SUBSTITUTE(SUBSTITUTE(SUBSTITUTE(SUBSTITUTE(SUBSTITUTE(SUBSTITUTE(SUBSTITUTE(SUBSTITUTE(SUBSTITUTE(SUBSTITUTE(SUBSTITUTE(BM296,"b","a"),"c","a"),"d","a"),"e","a"),"f","a"),"g","a"),"h","a"),"i","a"),"j","a"),"k","a"),"l","a"),"m","a"),"n","a"),"o","a"),"p","a"),"q","a"),"r","a"),"s","a"),"t","a"),"u","a"),"v","a"),"w","a"),"x","a"),"y","a"),"z","a")</f>
        <v/>
      </c>
      <c r="BO296" s="61" t="str">
        <f aca="false">SUBSTITUTE(SUBSTITUTE(SUBSTITUTE(SUBSTITUTE(SUBSTITUTE(SUBSTITUTE(SUBSTITUTE(SUBSTITUTE(SUBSTITUTE(LOWER(W296&amp;""),"1","0"),"2","0"),"3","0"),"4","0"),"5","0"),"6","0"),"7","0"),"8","0"),"9","0")</f>
        <v/>
      </c>
      <c r="BP296" s="61" t="str">
        <f aca="false">SUBSTITUTE(SUBSTITUTE(SUBSTITUTE(SUBSTITUTE(SUBSTITUTE(SUBSTITUTE(SUBSTITUTE(SUBSTITUTE(SUBSTITUTE(SUBSTITUTE(SUBSTITUTE(SUBSTITUTE(SUBSTITUTE(SUBSTITUTE(SUBSTITUTE(SUBSTITUTE(SUBSTITUTE(SUBSTITUTE(SUBSTITUTE(SUBSTITUTE(SUBSTITUTE(SUBSTITUTE(SUBSTITUTE(SUBSTITUTE(SUBSTITUTE(BO296,"b","a"),"c","a"),"d","a"),"e","a"),"f","a"),"g","a"),"h","a"),"i","a"),"j","a"),"k","a"),"l","a"),"m","a"),"n","a"),"o","a"),"p","a"),"q","a"),"r","a"),"s","a"),"t","a"),"u","a"),"v","a"),"w","a"),"x","a"),"y","a"),"z","a")</f>
        <v/>
      </c>
      <c r="BQ296" s="61" t="n">
        <f aca="false">IFERROR(IF(AND(ISERROR(SEARCH(" mh"," "&amp;LOWER(W296))),ISNA(MATCH(LEFT(TRIM(BP296),255),{"0000a","000a","00a","0000aa","000aa","00aa","0aa","0000aaa","000aaa","00a00","0a00","0000-0000","00:00","a00","a0","00.00.0000","00/00/0000","00-00-0000","0000-00-00","0000/00/00","0000.00.00","00.00.00","00/00/00","00-00-00","0.00.0000","0/00/0000","0-00-0000"},0)),ISNA(MATCH(LEFT(TRIM(CA296),255),{"0000a","000a","00a","0000aa","000aa","00aa","0aa","0000aaa","000aaa","00a00","0a00","0000-0000","00:00","a00","a0","00.00.0000","00/00/0000","00-00-0000","0000-00-00","0000/00/00","0000.00.00","00.00.00","00/00/00","00-00-00","0.00.0000","0/00/0000","0-00-0000"},0)),LEN(CB296)&gt;=3,NOT(OR(SUBSTITUTE(CB296,"0","")="",AND(LEN(CB296)&gt;=4,CB296=REPT(LEFT(CB296),LEN(CB296))),ISNUMBER(MATCH(CB296,{"123","1234","12345","123456","1234567","12345678","0123","01234","012345","98765","987654","54321"},0)),AND(LEN(CB296)=8,LEFT(CB296,3)="202"))),OR(AND((LEN(CA296)-LEN(SUBSTITUTE(CA296,"a","")))&gt;=1,SUMPRODUCT(--ISNUMBER(SEARCH({"a0","a-0","a_0","a/0","a.0","a#0","0a","0-a","0_a","0/a"},BP296)))&gt;0),ISNUMBER(SEARCH("000000",BP296)))),1,0),0)</f>
        <v>0</v>
      </c>
      <c r="BR296" s="61" t="n">
        <f aca="false">IFERROR(LEN(SUBSTITUTE(CC296," ",""))-SUMPRODUCT((LEN(CC296)-LEN(SUBSTITUTE(CC296," "&amp;L_Role&amp;" "," ")))/(LEN(L_Role)+1)*LEN(L_Role)),0)</f>
        <v>0</v>
      </c>
      <c r="BS296" s="61" t="n">
        <f aca="false">IFERROR(LEN(SUBSTITUTE(CD296," ",""))-SUMPRODUCT((LEN(CD296)-LEN(SUBSTITUTE(CD296," "&amp;L_Role&amp;" "," ")))/(LEN(L_Role)+1)*LEN(L_Role)),0)</f>
        <v>0</v>
      </c>
      <c r="BT2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296,"revision",""),"version",""),"jan",""),"feb",""),"mar",""),"apr",""),"may",""),"jun",""),"jul",""),"aug",""),"sep",""),"oct",""),"nov",""),"dec",""),"utc",""),"gmt",""),"myt",""),"bst",""),"rev",""),"ver",""),"b","a"),"c","a"),"d","a"),"e","a"),"f","a"),"g","a"),"h","a"),"i","a"),"j","a"),"k","a"),"l","a"),"m","a"),"n","a"),"o","a"),"p","a"),"q","a"),"r","a"),"s","a"),"t","a"),"u","a"),"v","a"),"w","a"),"x","a"),"y","a"),"z","a")</f>
        <v/>
      </c>
      <c r="BU296" s="61" t="str">
        <f aca="false">SUBSTITUTE(SUBSTITUTE(SUBSTITUTE(SUBSTITUTE(SUBSTITUTE(SUBSTITUTE(SUBSTITUTE(SUBSTITUTE(SUBSTITUTE(SUBSTITUTE(LEFT(BM296,FIND("0",BM296&amp;"0")-1),"-",""),"_",""),"/",""),".",""),"#",""),"\\",""),":","")," ",""),"(",""),")","")</f>
        <v/>
      </c>
      <c r="BV296" s="61" t="n">
        <f aca="false">0</f>
        <v>0</v>
      </c>
      <c r="BW2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296&amp;""),"a",""),"b",""),"c",""),"d",""),"e",""),"f",""),"g",""),"h",""),"i",""),"j",""),"k",""),"l",""),"m",""),"n",""),"o",""),"p",""),"q",""),"r",""),"s",""),"t",""),"u",""),"v",""),"w",""),"x",""),"y",""),"z",""),"-",""),"_",""),"/",""),".",""),"#",""),"\\",""),":","")," ",""),"(",""),")","")</f>
        <v/>
      </c>
      <c r="BX296" s="61" t="str">
        <f aca="false">SUBSTITUTE(SUBSTITUTE(SUBSTITUTE(SUBSTITUTE(SUBSTITUTE(SUBSTITUTE(SUBSTITUTE(SUBSTITUTE(SUBSTITUTE(SUBSTITUTE(SUBSTITUTE(BM296,"0",""),"-",""),"_",""),"/",""),".",""),"#",""),"\\",""),":","")," ",""),"(",""),")","")</f>
        <v/>
      </c>
      <c r="BY296" s="62" t="n">
        <f aca="false">Q296-T12EarlyH/24</f>
        <v>46305.2534722222</v>
      </c>
      <c r="BZ296" s="61" t="n">
        <f aca="false">IFERROR(IF(IF(TRIM(S296)="Link / file path",AND(LEN(TRIM(Z296))&gt;=5,SUMPRODUCT(--ISNUMBER(SEARCH({"http","www.","\\",":\",".pdf",".jpg",".jpeg",".png",".heic",".xls",".doc",".msg",".eml",".ppt",".txt",".zip"},Z296)))&gt;0),AND(ISERROR(FIND(" ",TRIM(Z296))),NOT(OR(SUMPRODUCT(--ISNUMBER(FIND({",",";","&amp;","+"},Z296)))&gt;0,SUMPRODUCT(--ISNUMBER(SEARCH({"0/aa","0\\aa"},BN296)))&gt;0)),NOT(SUMPRODUCT(--ISNUMBER(SEARCH({"http","www.","\\",":\",".pdf",".jpg",".jpeg",".png",".heic",".xls",".doc",".msg",".eml",".ppt",".txt",".zip"},Z296)))&gt;0),NOT(LOWER(TRIM(Z296))=LOWER(Flights!$F$13)),ISNA(MATCH(BU296,{"mh","rev","revision","ver","version","v","r","a","b","seat","tray","row","gate","bay","stand","page","pg","item","line","no","cart","galley","flight","flt","table","box","bag","oven","etd","eta","std","sta","atd","ata","qty","pax","x","time","tel","ph","mob","day","wk","week","utc","gmt","myt","lt"},0)),NOT(OR(ISNUMBER(MATCH(LEFT(BN296,255),{"0000a","000a","00a","0000aa","000aa","00aa","0aa","0000aaa","000aaa","00a00","0a00","0000-0000","00:00","a00","a0","00.00.0000","00/00/0000","00-00-0000","0000-00-00","0000/00/00","0000.00.00","00.00.00","00/00/00","00-00-00","0.00.0000","0/00/0000","0-00-0000"},0)),ISNUMBER(MATCH(LEFT(BT296,255),{"0000a","000a","00a","0000aa","000aa","00aa","0aa","0000aaa","000aaa","00a00","0a00","0000-0000","00:00","a00","a0","00.00.0000","00/00/0000","00-00-0000","0000-00-00","0000/00/00","0000.00.00","00.00.00","00/00/00","00-00-00","0.00.0000","0/00/0000","0-00-0000"},0)))),NOT(OR(AND(BW296&lt;&gt;"",SUBSTITUTE(BW296,"0","")=""),AND(LEN(BW296)&gt;=4,BW296=REPT(LEFT(BW296),LEN(BW296))),ISNUMBER(MATCH(BW296,{"123","1234","12345","123456","1234567","12345678","0123","01234","012345","98765","987654","54321"},0)),ISNUMBER(MATCH(BX296,{"x","xx","xxx","xxxx","xxxxx","abc","abcd","nil","na","nan","test","tbc","tba","tbd","dummy","sample","example","eg","zz","zzz","none","null","xyz","qwe","asd","id","ref"},0)),AND(LEN(BW296)=8,BX296="",OR(LEFT(BW296,3)="202",ISNUMBER(MATCH(RIGHT(BW296,4),{"2025","2026","2027"},0)))))),OR(AND((LEN(BT296)-LEN(SUBSTITUTE(BT296,"a","")))&gt;=1,(LEN(BN296)-LEN(SUBSTITUTE(BN296,"0","")))&gt;=2,SUMPRODUCT(--ISNUMBER(SEARCH({"a0","a-0","a_0","a/0","a.0","a#0","0a","0-a","0_a","0/a"},BN296)))&gt;0),AND((LEN(BN296)-LEN(SUBSTITUTE(BN296,"a","")))=0,(LEN(BN296)-LEN(SUBSTITUTE(BN296,"0","")))&gt;=5)))),1,0),0)</f>
        <v>0</v>
      </c>
      <c r="CA2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296,"revision",""),"version",""),"jan",""),"feb",""),"mar",""),"apr",""),"may",""),"jun",""),"jul",""),"aug",""),"sep",""),"oct",""),"nov",""),"dec",""),"utc",""),"gmt",""),"myt",""),"bst",""),"rev",""),"ver",""),"b","a"),"c","a"),"d","a"),"e","a"),"f","a"),"g","a"),"h","a"),"i","a"),"j","a"),"k","a"),"l","a"),"m","a"),"n","a"),"o","a"),"p","a"),"q","a"),"r","a"),"s","a"),"t","a"),"u","a"),"v","a"),"w","a"),"x","a"),"y","a"),"z","a")</f>
        <v/>
      </c>
      <c r="CB2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296&amp;""),"a",""),"b",""),"c",""),"d",""),"e",""),"f",""),"g",""),"h",""),"i",""),"j",""),"k",""),"l",""),"m",""),"n",""),"o",""),"p",""),"q",""),"r",""),"s",""),"t",""),"u",""),"v",""),"w",""),"x",""),"y",""),"z",""),"-",""),"_",""),"/",""),".",""),"#",""),"\\",""),":","")," ",""),"(",""),")","")</f>
        <v/>
      </c>
      <c r="CC296" s="0" t="str">
        <f aca="false">" "&amp;TRIM(SUBSTITUTE(SUBSTITUTE(SUBSTITUTE(SUBSTITUTE(SUBSTITUTE(SUBSTITUTE(SUBSTITUTE(SUBSTITUTE(SUBSTITUTE(SUBSTITUTE(SUBSTITUTE(SUBSTITUTE(SUBSTITUTE(SUBSTITUTE(SUBSTITUTE(SUBSTITUTE(SUBSTITUTE(SUBSTITUTE(SUBSTITUTE(SUBSTITUTE(SUBSTITUTE(SUBSTITUTE(SUBSTITUTE(SUBSTITUTE(LOWER(T296&amp;""),CHAR(10)," "),CHAR(13)," "),CHAR(9)," "),CHAR(160)," "),"."," "),","," "),"-"," "),"/"," "),"("," "),")"," "),":"," "),";"," "),"_"," "),"–"," "),"?"," "),"!"," "),"*"," "),"["," "),"]"," "),"'"," "),"#"," "),"+"," "),"&amp;"," "),"\"," "))&amp;" "</f>
        <v>  </v>
      </c>
      <c r="CD296" s="0" t="str">
        <f aca="false">" "&amp;TRIM(SUBSTITUTE(SUBSTITUTE(SUBSTITUTE(SUBSTITUTE(SUBSTITUTE(SUBSTITUTE(SUBSTITUTE(SUBSTITUTE(SUBSTITUTE(SUBSTITUTE(SUBSTITUTE(SUBSTITUTE(SUBSTITUTE(SUBSTITUTE(SUBSTITUTE(SUBSTITUTE(SUBSTITUTE(SUBSTITUTE(SUBSTITUTE(SUBSTITUTE(SUBSTITUTE(SUBSTITUTE(SUBSTITUTE(SUBSTITUTE(LOWER(AE296&amp;""),CHAR(10)," "),CHAR(13)," "),CHAR(9)," "),CHAR(160)," "),"."," "),","," "),"-"," "),"/"," "),"("," "),")"," "),":"," "),";"," "),"_"," "),"–"," "),"?"," "),"!"," "),"*"," "),"["," "),"]"," "),"'"," "),"#"," "),"+"," "),"&amp;"," "),"\"," "))&amp;" "</f>
        <v>  </v>
      </c>
      <c r="CE296" s="68" t="n">
        <f aca="false">IFERROR(IF(AND(LEN(AU296)&gt;0,LEN(AU296)=LEN(AX296),OR(TRIM(MID(SUBSTITUTE(TRIM(CC296)," ",REPT(" ",60)),1,60))="",ISNUMBER(SEARCH(" "&amp;TRIM(MID(SUBSTITUTE(TRIM(CC296)," ",REPT(" ",60)),1,60))&amp;" ",CD296))),OR(TRIM(MID(SUBSTITUTE(TRIM(CC296)," ",REPT(" ",60)),61,60))="",ISNUMBER(SEARCH(" "&amp;TRIM(MID(SUBSTITUTE(TRIM(CC296)," ",REPT(" ",60)),61,60))&amp;" ",CD296))),OR(TRIM(MID(SUBSTITUTE(TRIM(CC296)," ",REPT(" ",60)),121,60))="",ISNUMBER(SEARCH(" "&amp;TRIM(MID(SUBSTITUTE(TRIM(CC296)," ",REPT(" ",60)),121,60))&amp;" ",CD296)))),1,0),0)</f>
        <v>0</v>
      </c>
      <c r="CG296" s="68" t="n">
        <f aca="false">IFERROR(LEN(SUBSTITUTE(BF296," ",""))-SUMPRODUCT((LEN(BF296)-LEN(SUBSTITUTE(BF296," "&amp;L_NAFiller&amp;" "," ")))/(LEN(L_NAFiller)+1)*LEN(L_NAFiller)),0)</f>
        <v>0</v>
      </c>
    </row>
    <row r="297" customFormat="false" ht="39.75" hidden="false" customHeight="true" outlineLevel="0" collapsed="false">
      <c r="A297" s="57" t="s">
        <v>872</v>
      </c>
      <c r="B297" s="57" t="s">
        <v>246</v>
      </c>
      <c r="C297" s="57" t="str">
        <f aca="false">Flights!$F$13</f>
        <v>MH0753</v>
      </c>
      <c r="D297" s="58" t="n">
        <f aca="false">Flights!$D$13</f>
        <v>46306</v>
      </c>
      <c r="E297" s="57" t="str">
        <f aca="false">Flights!$G$13&amp;"-"&amp;Flights!$H$13</f>
        <v>HAN-KUL</v>
      </c>
      <c r="F297" s="57" t="str">
        <f aca="false">Flights!$K$13</f>
        <v>BC</v>
      </c>
      <c r="G297" s="57" t="s">
        <v>420</v>
      </c>
      <c r="H297" s="57" t="s">
        <v>378</v>
      </c>
      <c r="I297" s="57" t="s">
        <v>428</v>
      </c>
      <c r="J297" s="57" t="s">
        <v>433</v>
      </c>
      <c r="K297" s="67"/>
      <c r="L297" s="67" t="s">
        <v>422</v>
      </c>
      <c r="M297" s="67"/>
      <c r="N297" s="67" t="s">
        <v>383</v>
      </c>
      <c r="O297" s="67" t="s">
        <v>423</v>
      </c>
      <c r="P297" s="57" t="s">
        <v>240</v>
      </c>
      <c r="Q297" s="59" t="n">
        <f aca="false">ROUND((Flights!$AE$13)*1440,0)/1440</f>
        <v>46305.7534722222</v>
      </c>
      <c r="R297" s="59" t="n">
        <f aca="false">Q297+(IF(AND(INDEX(TZ_DSTS,MATCH(P297,TZ_STN,0))&lt;&gt;"",Q297&gt;=INDEX(TZ_DSTS,MATCH(P297,TZ_STN,0)),Q297&lt;INDEX(TZ_DSTE,MATCH(P297,TZ_STN,0))),INDEX(TZ_DST,MATCH(P297,TZ_STN,0)),INDEX(TZ_STD,MATCH(P297,TZ_STN,0))))/24</f>
        <v>46306.0451388889</v>
      </c>
      <c r="S297" s="60"/>
      <c r="T297" s="60"/>
      <c r="U297" s="60"/>
      <c r="V297" s="60"/>
      <c r="W297" s="61"/>
      <c r="X297" s="60"/>
      <c r="Y297" s="60"/>
      <c r="Z297" s="60"/>
      <c r="AA297" s="60"/>
      <c r="AB297" s="60"/>
      <c r="AC297" s="60"/>
      <c r="AD297" s="66"/>
      <c r="AE297" s="60"/>
      <c r="AF297" s="61" t="str">
        <f aca="false">IF(AND(ISNUMBER(X297),ISNUMBER(Y297)),Y297-X297,"")</f>
        <v/>
      </c>
      <c r="AG297" s="62" t="str">
        <f aca="false">IF(ISNUMBER(AD297),AD297-(IF(AND(INDEX(TZ_DSTS,MATCH(P297,TZ_STN,0))&lt;&gt;"",(AD297-INDEX(TZ_STD,MATCH(P297,TZ_STN,0))/24)&gt;=INDEX(TZ_DSTS,MATCH(P297,TZ_STN,0)),(AD297-INDEX(TZ_STD,MATCH(P297,TZ_STN,0))/24)&lt;INDEX(TZ_DSTE,MATCH(P297,TZ_STN,0))),INDEX(TZ_DST,MATCH(P297,TZ_STN,0)),INDEX(TZ_STD,MATCH(P297,TZ_STN,0))))/24,"")</f>
        <v/>
      </c>
      <c r="AH297" s="65" t="str">
        <f aca="false">IFERROR(IF(N297="N/A – rule",IF(OR(TRIM(U297)="",TRIM(U297)="N/A",TRIM(U297)="Not started"),"N/A – RULE","INVALID – this check does not apply to this aircraft: clear the status (or correct the fleet on Flights)"),IF(TRIM(U297)="N/A",IF(AT297=0,"INVALID – N/A not permitted for this check",IF(AND(TRIM(AB297)&lt;&gt;"",TRIM(AB297)&lt;&gt;"Closed"),"INVALID – corrective action still open",IF(AND(NOT(OR(LEN(AZ297)&lt;15,ISNUMBER(MATCH(AZ297,L_Placeholder,0)))),BK297=0,CG297&gt;=8,NOT(OR(LEN(AU297)&lt;2,ISNUMBER(MATCH(AU297,L_Placeholder,0)))),BR297&gt;=3,NOT(OR(LEN(AX297)&lt;2,ISNUMBER(MATCH(AX297,L_Placeholder,0)))),BS297&gt;=3,TRIM(AE297)&lt;&gt;TRIM(T297),AX297&lt;&gt;AU297,CE297=0),"N/A – JUSTIFIED","INVALID – N/A needs a real, settled reason (not 'not applicable' / 'as above' / TBC), a named PIC and a different named verifier"))),IF(OR(TRIM(U297)="Pass",TRIM(U297)="Pass after CA"),IF(NOT(ISNUMBER(AD297)),"INVALID – completion time missing",IF(OR(OR(LEN(AU297)&lt;2,ISNUMBER(MATCH(AU297,L_Placeholder,0))),BR297&lt;3),"INVALID – PIC missing or not a named person (a role such as QA / CSM is not a name)",IF(OR(LEN(AV297)&lt;2,ISNUMBER(MATCH(AV297,L_Placeholder,0))),"INVALID – result / assessment missing",IF(OR(OR(LEN(AW297)&lt;3,ISNUMBER(MATCH(AW297,L_Placeholder,0))),SUMPRODUCT(--ISNUMBER(SEARCH(" "&amp;L_EvidencePhrase&amp;" ",BD297)))&gt;0,BI297=1),"INVALID – evidence missing, placeholder or not yet on file",IF(ISNA(MATCH(TRIM(S297),L_EvidenceType,0)),"INVALID – choose the evidence type from the list (column S)",IF(BL297=0,"INVALID – evidence ID must be the record's own ID only (e.g. SF-2210, IMG_2231, 1045521); a link / file name needs type 'Link / file path'",IF(OR(OR(LEN(AX297)&lt;2,ISNUMBER(MATCH(AX297,L_Placeholder,0))),BS297&lt;3),"INVALID – verifier missing or not a named person (a role such as QA / CSM is not a name)",IF(OR(AX297=AU297,CE297=1,AND(LEN(AU297)&gt;=4,ISNUMBER(SEARCH(AU297,AX297))),AND(LEN(AX297)&gt;=4,ISNUMBER(SEARCH(AX297,AU297)))),"INVALID – verifier must be a different, named person (not the PIC or a role)",IF(BH297=1,"INVALID – result not yet available (awaiting / TBC)",IF(BG297=1,"INVALID – result describes a problem: record Fail, then Pass after CA (or reword if it is not a problem)",IF(BV297=1,"INVALID – wording says not on board: an on-board confirmation needs the item loaded",IF(AND(AQ297=1,OR(OR(LEN(AY297)&lt;3,ISNUMBER(MATCH(AY297,L_Placeholder,0))),BJ297=1,BQ297=0)),"INVALID – batch ID missing, placeholder or not an ID (e.g. PASB-261008-BC-017)",IF(AND(AR297=1,OR(NOT(ISNUMBER(X297)),NOT(ISNUMBER(Y297)))),"INVALID – expected/actual qty missing",IF(AND(AR297=1,OR(X297&lt;=0,Y297&lt;0)),"INVALID – expected qty must be above 0 and actual not negative",IF(BB297&lt;&gt;"",BB297,IF(AND(AS297=1,Documents!$J$13&lt;&gt;"ON FILE"),"INVALID – GLD not on file (Documents sheet)",IF(AND(AS297=2,Documents!$O$13&lt;&gt;"ON FILE"),"INVALID – menu checklist not on file (Documents sheet)",IF(AND(AS297=3,NOT(ISNUMBER(Flights!$AX$13))),"INVALID – enter carrying flight KUL departure (Flights AX)",IF(AND(AS297=3,OR(Flights!$AZ$13&gt;Flights!$AA$13,Flights!$AX$13&lt;Flights!$AA$13-3)),"INVALID – carrying flight (Flights AX) cannot arrive before this leg's STD, or is over 3 days early",IF(AG297&gt;AsOfUTC,"INVALID – completion time is in the future",IF(AND(ISNUMBER(BY297),AG297&lt;BY297),IF(H297="Physical uplift","INVALID – before uplift window (cannot confirm loading)","INVALID – before valid window"),IF(AG297&gt;Flights!$AA$13,"INVALID – completed after departure (cannot establish readiness)",IF(AND(H297="Preparation",AG297&gt;=IF(ISNUMBER(Flights!$BA$13),MIN(Flights!$BA$13,Flights!$AA$13),Flights!$AA$13)),"INVALID – completed after loading / departure (cannot establish readiness)",IF(AND(H297="Physical uplift",AG297&gt;Q297),"INVALID – recorded after the loading flight departed",IF(AG297&gt;Q297,"COMPLETE – LATE","COMPLETE"))))))))))))))))))))))))),IF(TRIM(U297)="Fail","FAIL – DISCREPANCY",IF(AND(TRIM(U297)&lt;&gt;"",TRIM(U297)&lt;&gt;"Not started",TRIM(U297)&lt;&gt;"In progress"),"INVALID – unrecognised status (use the list)",IF(AsOfUTC&gt;Q297,"OVERDUE",IF(N297="Clarification required","OPEN – CLARIFICATION","OPEN"))))))),"INVALID – error value in an input cell")</f>
        <v>OPEN</v>
      </c>
      <c r="AI297" s="61" t="n">
        <f aca="false">IF(OR(AH297="N/A – RULE",AH297="N/A – JUSTIFIED"),0,1)</f>
        <v>1</v>
      </c>
      <c r="AJ297" s="61" t="n">
        <f aca="false">IF(LEFT(AH297,8)="COMPLETE",1,0)</f>
        <v>0</v>
      </c>
      <c r="AK297" s="61" t="n">
        <f aca="false">IF(AND(AI297=1,AJ297=0,AsOfUTC&gt;Q297),1,0)</f>
        <v>0</v>
      </c>
      <c r="AL297" s="61" t="n">
        <f aca="false">IFERROR(IF(AND(AI297=1,OR(TRIM(U297)="Fail",AND(TRIM(AB297)&lt;&gt;"",TRIM(AB297)&lt;&gt;"Closed"),AND(ISNUMBER(AF297),AF297&lt;&gt;0,TRIM(U297)&lt;&gt;"Pass after CA"))),1,0),1)</f>
        <v>0</v>
      </c>
      <c r="AM297" s="61" t="n">
        <f aca="false">IF(LEFT(AH297,7)="INVALID",1,0)</f>
        <v>0</v>
      </c>
      <c r="AN297" s="61" t="n">
        <f aca="false">IF(AND(N297="Clarification required",AI297=1,AJ297=0),1,0)</f>
        <v>0</v>
      </c>
      <c r="AO297" s="61" t="str">
        <f aca="false">IF(AK297=1,SUM(AK$5:AK297),"")</f>
        <v/>
      </c>
      <c r="AP297" s="61" t="str">
        <f aca="false">IF(AL297=1,SUM(AL$5:AL297),"")</f>
        <v/>
      </c>
      <c r="AQ297" s="61" t="n">
        <v>0</v>
      </c>
      <c r="AR297" s="61" t="n">
        <v>0</v>
      </c>
      <c r="AS297" s="61" t="n">
        <v>0</v>
      </c>
      <c r="AT297" s="61" t="n">
        <v>0</v>
      </c>
      <c r="AU297" s="61" t="str">
        <f aca="false">SUBSTITUTE(SUBSTITUTE(SUBSTITUTE(SUBSTITUTE(SUBSTITUTE(SUBSTITUTE(SUBSTITUTE(SUBSTITUTE(SUBSTITUTE(SUBSTITUTE(SUBSTITUTE(SUBSTITUTE(SUBSTITUTE(SUBSTITUTE(SUBSTITUTE(SUBSTITUTE(LOWER(T297&amp;""),CHAR(10),""),CHAR(13),""),CHAR(9),""),CHAR(160),"")," ",""),".",""),"-",""),"/",""),"?",""),"_",""),",",""),"[",""),"]",""),"(",""),")",""),"*","")</f>
        <v/>
      </c>
      <c r="AV297" s="61" t="str">
        <f aca="false">SUBSTITUTE(SUBSTITUTE(SUBSTITUTE(SUBSTITUTE(SUBSTITUTE(SUBSTITUTE(SUBSTITUTE(SUBSTITUTE(SUBSTITUTE(SUBSTITUTE(SUBSTITUTE(SUBSTITUTE(SUBSTITUTE(SUBSTITUTE(SUBSTITUTE(SUBSTITUTE(LOWER(V297&amp;""),CHAR(10),""),CHAR(13),""),CHAR(9),""),CHAR(160),"")," ",""),".",""),"-",""),"/",""),"?",""),"_",""),",",""),"[",""),"]",""),"(",""),")",""),"*","")</f>
        <v/>
      </c>
      <c r="AW297" s="61" t="str">
        <f aca="false">SUBSTITUTE(SUBSTITUTE(SUBSTITUTE(SUBSTITUTE(SUBSTITUTE(SUBSTITUTE(SUBSTITUTE(SUBSTITUTE(SUBSTITUTE(SUBSTITUTE(SUBSTITUTE(SUBSTITUTE(SUBSTITUTE(SUBSTITUTE(SUBSTITUTE(SUBSTITUTE(LOWER(Z297&amp;""),CHAR(10),""),CHAR(13),""),CHAR(9),""),CHAR(160),"")," ",""),".",""),"-",""),"/",""),"?",""),"_",""),",",""),"[",""),"]",""),"(",""),")",""),"*","")</f>
        <v/>
      </c>
      <c r="AX297" s="61" t="str">
        <f aca="false">SUBSTITUTE(SUBSTITUTE(SUBSTITUTE(SUBSTITUTE(SUBSTITUTE(SUBSTITUTE(SUBSTITUTE(SUBSTITUTE(SUBSTITUTE(SUBSTITUTE(SUBSTITUTE(SUBSTITUTE(SUBSTITUTE(SUBSTITUTE(SUBSTITUTE(SUBSTITUTE(LOWER(AE297&amp;""),CHAR(10),""),CHAR(13),""),CHAR(9),""),CHAR(160),"")," ",""),".",""),"-",""),"/",""),"?",""),"_",""),",",""),"[",""),"]",""),"(",""),")",""),"*","")</f>
        <v/>
      </c>
      <c r="AY297" s="61" t="str">
        <f aca="false">SUBSTITUTE(SUBSTITUTE(SUBSTITUTE(SUBSTITUTE(SUBSTITUTE(SUBSTITUTE(SUBSTITUTE(SUBSTITUTE(SUBSTITUTE(SUBSTITUTE(SUBSTITUTE(SUBSTITUTE(SUBSTITUTE(SUBSTITUTE(SUBSTITUTE(SUBSTITUTE(LOWER(W297&amp;""),CHAR(10),""),CHAR(13),""),CHAR(9),""),CHAR(160),"")," ",""),".",""),"-",""),"/",""),"?",""),"_",""),",",""),"[",""),"]",""),"(",""),")",""),"*","")</f>
        <v/>
      </c>
      <c r="AZ297" s="61" t="str">
        <f aca="false">SUBSTITUTE(SUBSTITUTE(SUBSTITUTE(SUBSTITUTE(SUBSTITUTE(SUBSTITUTE(SUBSTITUTE(SUBSTITUTE(SUBSTITUTE(SUBSTITUTE(SUBSTITUTE(SUBSTITUTE(SUBSTITUTE(SUBSTITUTE(SUBSTITUTE(SUBSTITUTE(LOWER(AC297&amp;""),CHAR(10),""),CHAR(13),""),CHAR(9),""),CHAR(160),"")," ",""),".",""),"-",""),"/",""),"?",""),"_",""),",",""),"[",""),"]",""),"(",""),")",""),"*","")</f>
        <v/>
      </c>
      <c r="BA297" s="61" t="str">
        <f aca="false">SUBSTITUTE(SUBSTITUTE(SUBSTITUTE(SUBSTITUTE(SUBSTITUTE(SUBSTITUTE(SUBSTITUTE(SUBSTITUTE(SUBSTITUTE(SUBSTITUTE(SUBSTITUTE(SUBSTITUTE(SUBSTITUTE(SUBSTITUTE(SUBSTITUTE(SUBSTITUTE(LOWER(AA297&amp;""),CHAR(10),""),CHAR(13),""),CHAR(9),""),CHAR(160),"")," ",""),".",""),"-",""),"/",""),"?",""),"_",""),",",""),"[",""),"]",""),"(",""),")",""),"*","")</f>
        <v/>
      </c>
      <c r="BB297" s="61" t="str">
        <f aca="false">IF(AND(TRIM(U297)="Pass",ISNUMBER(AF297)),IF(AF297&lt;&gt;0,"INVALID – qty variance: use Fail or Pass after CA",""),"")&amp;IF(AND(TRIM(U297)="Pass after CA",ISNUMBER(AF297)),IF(AF297&lt;&gt;0,"INVALID – after the corrective action the actual qty must equal expected (update Actual)",""),"")&amp;IF(AND(TRIM(U297)="Pass",TRIM(AB297)&lt;&gt;"",TRIM(AB297)&lt;&gt;"Closed"),"INVALID – corrective action not closed: use Fail, then Pass after CA","")&amp;IF(AND(LEN(BA297)&gt;=2,ISNA(MATCH(LEFT(BA297,255),L_Placeholder,0)),TRIM(AB297)=""),"INVALID – CA status missing for the recorded corrective action","")&amp;IF(AND(TRIM(U297)="Pass after CA",OR(OR(LEN(BA297)&lt;5,ISNUMBER(MATCH(BA297,L_Placeholder,0))),TRIM(AB297)&lt;&gt;"Closed")),"INVALID – corrective action not recorded/closed","")</f>
        <v/>
      </c>
      <c r="BC297" s="61" t="str">
        <f aca="false">" "&amp;TRIM(SUBSTITUTE(SUBSTITUTE(SUBSTITUTE(SUBSTITUTE(SUBSTITUTE(SUBSTITUTE(SUBSTITUTE(SUBSTITUTE(SUBSTITUTE(SUBSTITUTE(SUBSTITUTE(SUBSTITUTE(SUBSTITUTE(SUBSTITUTE(SUBSTITUTE(SUBSTITUTE(SUBSTITUTE(SUBSTITUTE(SUBSTITUTE(SUBSTITUTE(SUBSTITUTE(SUBSTITUTE(SUBSTITUTE(SUBSTITUTE(LOWER(V297&amp;""),CHAR(10)," "),CHAR(13)," "),CHAR(9)," "),CHAR(160)," "),"."," "),","," "),"-"," "),"/"," "),"("," "),")"," "),":"," "),";"," "),"_"," "),"–"," "),"?"," "),"!"," "),"*"," "),"["," "),"]"," "),"'"," "),"#"," "),"+"," "),"&amp;"," "),"\"," "))&amp;" "</f>
        <v>  </v>
      </c>
      <c r="BD297" s="61" t="str">
        <f aca="false">" "&amp;TRIM(SUBSTITUTE(SUBSTITUTE(SUBSTITUTE(SUBSTITUTE(SUBSTITUTE(SUBSTITUTE(SUBSTITUTE(SUBSTITUTE(SUBSTITUTE(SUBSTITUTE(SUBSTITUTE(SUBSTITUTE(SUBSTITUTE(SUBSTITUTE(SUBSTITUTE(SUBSTITUTE(SUBSTITUTE(SUBSTITUTE(SUBSTITUTE(SUBSTITUTE(SUBSTITUTE(SUBSTITUTE(SUBSTITUTE(SUBSTITUTE(LOWER(Z297&amp;""),CHAR(10)," "),CHAR(13)," "),CHAR(9)," "),CHAR(160)," "),"."," "),","," "),"-"," "),"/"," "),"("," "),")"," "),":"," "),";"," "),"_"," "),"–"," "),"?"," "),"!"," "),"*"," "),"["," "),"]"," "),"'"," "),"#"," "),"+"," "),"&amp;"," "),"\"," "))&amp;" "</f>
        <v>  </v>
      </c>
      <c r="BE297" s="61" t="str">
        <f aca="false">" "&amp;TRIM(SUBSTITUTE(SUBSTITUTE(SUBSTITUTE(SUBSTITUTE(SUBSTITUTE(SUBSTITUTE(SUBSTITUTE(SUBSTITUTE(SUBSTITUTE(SUBSTITUTE(SUBSTITUTE(SUBSTITUTE(SUBSTITUTE(SUBSTITUTE(SUBSTITUTE(SUBSTITUTE(SUBSTITUTE(SUBSTITUTE(SUBSTITUTE(SUBSTITUTE(SUBSTITUTE(SUBSTITUTE(SUBSTITUTE(SUBSTITUTE(LOWER(W297&amp;""),CHAR(10)," "),CHAR(13)," "),CHAR(9)," "),CHAR(160)," "),"."," "),","," "),"-"," "),"/"," "),"("," "),")"," "),":"," "),";"," "),"_"," "),"–"," "),"?"," "),"!"," "),"*"," "),"["," "),"]"," "),"'"," "),"#"," "),"+"," "),"&amp;"," "),"\"," "))&amp;" "</f>
        <v>  </v>
      </c>
      <c r="BF297" s="61" t="str">
        <f aca="false">" "&amp;TRIM(SUBSTITUTE(SUBSTITUTE(SUBSTITUTE(SUBSTITUTE(SUBSTITUTE(SUBSTITUTE(SUBSTITUTE(SUBSTITUTE(SUBSTITUTE(SUBSTITUTE(SUBSTITUTE(SUBSTITUTE(SUBSTITUTE(SUBSTITUTE(SUBSTITUTE(SUBSTITUTE(SUBSTITUTE(SUBSTITUTE(SUBSTITUTE(SUBSTITUTE(SUBSTITUTE(SUBSTITUTE(SUBSTITUTE(SUBSTITUTE(LOWER(AC297&amp;""),CHAR(10)," "),CHAR(13)," "),CHAR(9)," "),CHAR(160)," "),"."," "),","," "),"-"," "),"/"," "),"("," "),")"," "),":"," "),";"," "),"_"," "),"–"," "),"?"," "),"!"," "),"*"," "),"["," "),"]"," "),"'"," "),"#"," "),"+"," "),"&amp;"," "),"\"," "))&amp;" "</f>
        <v>  </v>
      </c>
      <c r="BG297" s="61" t="n">
        <f aca="false">IFERROR(IF(AND(TRIM(U297)="Pass",SUMPRODUCT((LEN(BC297)-LEN(SUBSTITUTE(BC297," "&amp;L_ResultBad&amp;" "," ")))/(LEN(L_ResultBad)+1))&gt;SUMPRODUCT((LEN(BC297)-LEN(SUBSTITUTE(BC297," "&amp;L_NegPhrase&amp;" "," ")))/(LEN(L_NegPhrase)+1))),1,0),0)</f>
        <v>0</v>
      </c>
      <c r="BH297" s="61" t="n">
        <f aca="false">IFERROR(IF(SUMPRODUCT((LEN(BC297)-LEN(SUBSTITUTE(BC297," "&amp;L_Pending&amp;" "," ")))/(LEN(L_Pending)+1))&gt;SUMPRODUCT((LEN(BC297)-LEN(SUBSTITUTE(BC297," "&amp;L_PendNeg&amp;" "," ")))/(LEN(L_PendNeg)+1))+SUMPRODUCT((LEN(BC297)-LEN(SUBSTITUTE(BC297," "&amp;L_PendPrep&amp;" "," ")))/(LEN(L_PendPrep)+1)),1,0),1)</f>
        <v>0</v>
      </c>
      <c r="BI297" s="61" t="n">
        <f aca="false">IFERROR(IF(SUMPRODUCT((LEN(BD297)-LEN(SUBSTITUTE(BD297," "&amp;L_PendStrict&amp;" "," ")))/(LEN(L_PendStrict)+1))&gt;SUMPRODUCT((LEN(BD297)-LEN(SUBSTITUTE(BD297," "&amp;L_PendNeg&amp;" "," ")))/(LEN(L_PendNeg)+1)),1,0),1)</f>
        <v>0</v>
      </c>
      <c r="BJ297" s="61" t="n">
        <f aca="false">IFERROR(IF(SUMPRODUCT((LEN(BE297)-LEN(SUBSTITUTE(BE297," "&amp;L_Pending&amp;" "," ")))/(LEN(L_Pending)+1))&gt;SUMPRODUCT((LEN(BE297)-LEN(SUBSTITUTE(BE297," "&amp;L_PendNeg&amp;" "," ")))/(LEN(L_PendNeg)+1))+SUMPRODUCT((LEN(BE297)-LEN(SUBSTITUTE(BE297," "&amp;L_PendPrep&amp;" "," ")))/(LEN(L_PendPrep)+1)),1,0),1)</f>
        <v>0</v>
      </c>
      <c r="BK297" s="61" t="n">
        <f aca="false">IFERROR(IF(SUMPRODUCT((LEN(BF297)-LEN(SUBSTITUTE(BF297," "&amp;L_PendStrict&amp;" "," ")))/(LEN(L_PendStrict)+1))&gt;SUMPRODUCT((LEN(BF297)-LEN(SUBSTITUTE(BF297," "&amp;L_PendNeg&amp;" "," ")))/(LEN(L_PendNeg)+1)),1,0),1)</f>
        <v>0</v>
      </c>
      <c r="BL297" s="61" t="n">
        <f aca="false">IF(ISNA(MATCH(TRIM(S297),L_EvidenceType,0)),0,BZ297)</f>
        <v>0</v>
      </c>
      <c r="BM297" s="61" t="str">
        <f aca="false">SUBSTITUTE(SUBSTITUTE(SUBSTITUTE(SUBSTITUTE(SUBSTITUTE(SUBSTITUTE(SUBSTITUTE(SUBSTITUTE(SUBSTITUTE(LOWER(Z297&amp;""),"1","0"),"2","0"),"3","0"),"4","0"),"5","0"),"6","0"),"7","0"),"8","0"),"9","0")</f>
        <v/>
      </c>
      <c r="BN297" s="61" t="str">
        <f aca="false">SUBSTITUTE(SUBSTITUTE(SUBSTITUTE(SUBSTITUTE(SUBSTITUTE(SUBSTITUTE(SUBSTITUTE(SUBSTITUTE(SUBSTITUTE(SUBSTITUTE(SUBSTITUTE(SUBSTITUTE(SUBSTITUTE(SUBSTITUTE(SUBSTITUTE(SUBSTITUTE(SUBSTITUTE(SUBSTITUTE(SUBSTITUTE(SUBSTITUTE(SUBSTITUTE(SUBSTITUTE(SUBSTITUTE(SUBSTITUTE(SUBSTITUTE(BM297,"b","a"),"c","a"),"d","a"),"e","a"),"f","a"),"g","a"),"h","a"),"i","a"),"j","a"),"k","a"),"l","a"),"m","a"),"n","a"),"o","a"),"p","a"),"q","a"),"r","a"),"s","a"),"t","a"),"u","a"),"v","a"),"w","a"),"x","a"),"y","a"),"z","a")</f>
        <v/>
      </c>
      <c r="BO297" s="61" t="str">
        <f aca="false">SUBSTITUTE(SUBSTITUTE(SUBSTITUTE(SUBSTITUTE(SUBSTITUTE(SUBSTITUTE(SUBSTITUTE(SUBSTITUTE(SUBSTITUTE(LOWER(W297&amp;""),"1","0"),"2","0"),"3","0"),"4","0"),"5","0"),"6","0"),"7","0"),"8","0"),"9","0")</f>
        <v/>
      </c>
      <c r="BP297" s="61" t="str">
        <f aca="false">SUBSTITUTE(SUBSTITUTE(SUBSTITUTE(SUBSTITUTE(SUBSTITUTE(SUBSTITUTE(SUBSTITUTE(SUBSTITUTE(SUBSTITUTE(SUBSTITUTE(SUBSTITUTE(SUBSTITUTE(SUBSTITUTE(SUBSTITUTE(SUBSTITUTE(SUBSTITUTE(SUBSTITUTE(SUBSTITUTE(SUBSTITUTE(SUBSTITUTE(SUBSTITUTE(SUBSTITUTE(SUBSTITUTE(SUBSTITUTE(SUBSTITUTE(BO297,"b","a"),"c","a"),"d","a"),"e","a"),"f","a"),"g","a"),"h","a"),"i","a"),"j","a"),"k","a"),"l","a"),"m","a"),"n","a"),"o","a"),"p","a"),"q","a"),"r","a"),"s","a"),"t","a"),"u","a"),"v","a"),"w","a"),"x","a"),"y","a"),"z","a")</f>
        <v/>
      </c>
      <c r="BQ297" s="61" t="n">
        <f aca="false">IFERROR(IF(AND(ISERROR(SEARCH(" mh"," "&amp;LOWER(W297))),ISNA(MATCH(LEFT(TRIM(BP297),255),{"0000a","000a","00a","0000aa","000aa","00aa","0aa","0000aaa","000aaa","00a00","0a00","0000-0000","00:00","a00","a0","00.00.0000","00/00/0000","00-00-0000","0000-00-00","0000/00/00","0000.00.00","00.00.00","00/00/00","00-00-00","0.00.0000","0/00/0000","0-00-0000"},0)),ISNA(MATCH(LEFT(TRIM(CA297),255),{"0000a","000a","00a","0000aa","000aa","00aa","0aa","0000aaa","000aaa","00a00","0a00","0000-0000","00:00","a00","a0","00.00.0000","00/00/0000","00-00-0000","0000-00-00","0000/00/00","0000.00.00","00.00.00","00/00/00","00-00-00","0.00.0000","0/00/0000","0-00-0000"},0)),LEN(CB297)&gt;=3,NOT(OR(SUBSTITUTE(CB297,"0","")="",AND(LEN(CB297)&gt;=4,CB297=REPT(LEFT(CB297),LEN(CB297))),ISNUMBER(MATCH(CB297,{"123","1234","12345","123456","1234567","12345678","0123","01234","012345","98765","987654","54321"},0)),AND(LEN(CB297)=8,LEFT(CB297,3)="202"))),OR(AND((LEN(CA297)-LEN(SUBSTITUTE(CA297,"a","")))&gt;=1,SUMPRODUCT(--ISNUMBER(SEARCH({"a0","a-0","a_0","a/0","a.0","a#0","0a","0-a","0_a","0/a"},BP297)))&gt;0),ISNUMBER(SEARCH("000000",BP297)))),1,0),0)</f>
        <v>0</v>
      </c>
      <c r="BR297" s="61" t="n">
        <f aca="false">IFERROR(LEN(SUBSTITUTE(CC297," ",""))-SUMPRODUCT((LEN(CC297)-LEN(SUBSTITUTE(CC297," "&amp;L_Role&amp;" "," ")))/(LEN(L_Role)+1)*LEN(L_Role)),0)</f>
        <v>0</v>
      </c>
      <c r="BS297" s="61" t="n">
        <f aca="false">IFERROR(LEN(SUBSTITUTE(CD297," ",""))-SUMPRODUCT((LEN(CD297)-LEN(SUBSTITUTE(CD297," "&amp;L_Role&amp;" "," ")))/(LEN(L_Role)+1)*LEN(L_Role)),0)</f>
        <v>0</v>
      </c>
      <c r="BT2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297,"revision",""),"version",""),"jan",""),"feb",""),"mar",""),"apr",""),"may",""),"jun",""),"jul",""),"aug",""),"sep",""),"oct",""),"nov",""),"dec",""),"utc",""),"gmt",""),"myt",""),"bst",""),"rev",""),"ver",""),"b","a"),"c","a"),"d","a"),"e","a"),"f","a"),"g","a"),"h","a"),"i","a"),"j","a"),"k","a"),"l","a"),"m","a"),"n","a"),"o","a"),"p","a"),"q","a"),"r","a"),"s","a"),"t","a"),"u","a"),"v","a"),"w","a"),"x","a"),"y","a"),"z","a")</f>
        <v/>
      </c>
      <c r="BU297" s="61" t="str">
        <f aca="false">SUBSTITUTE(SUBSTITUTE(SUBSTITUTE(SUBSTITUTE(SUBSTITUTE(SUBSTITUTE(SUBSTITUTE(SUBSTITUTE(SUBSTITUTE(SUBSTITUTE(LEFT(BM297,FIND("0",BM297&amp;"0")-1),"-",""),"_",""),"/",""),".",""),"#",""),"\\",""),":","")," ",""),"(",""),")","")</f>
        <v/>
      </c>
      <c r="BV297" s="61" t="n">
        <f aca="false">0</f>
        <v>0</v>
      </c>
      <c r="BW2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297&amp;""),"a",""),"b",""),"c",""),"d",""),"e",""),"f",""),"g",""),"h",""),"i",""),"j",""),"k",""),"l",""),"m",""),"n",""),"o",""),"p",""),"q",""),"r",""),"s",""),"t",""),"u",""),"v",""),"w",""),"x",""),"y",""),"z",""),"-",""),"_",""),"/",""),".",""),"#",""),"\\",""),":","")," ",""),"(",""),")","")</f>
        <v/>
      </c>
      <c r="BX297" s="61" t="str">
        <f aca="false">SUBSTITUTE(SUBSTITUTE(SUBSTITUTE(SUBSTITUTE(SUBSTITUTE(SUBSTITUTE(SUBSTITUTE(SUBSTITUTE(SUBSTITUTE(SUBSTITUTE(SUBSTITUTE(BM297,"0",""),"-",""),"_",""),"/",""),".",""),"#",""),"\\",""),":","")," ",""),"(",""),")","")</f>
        <v/>
      </c>
      <c r="BY297" s="62" t="n">
        <f aca="false">Q297-T12EarlyH/24</f>
        <v>46305.2534722222</v>
      </c>
      <c r="BZ297" s="61" t="n">
        <f aca="false">IFERROR(IF(IF(TRIM(S297)="Link / file path",AND(LEN(TRIM(Z297))&gt;=5,SUMPRODUCT(--ISNUMBER(SEARCH({"http","www.","\\",":\",".pdf",".jpg",".jpeg",".png",".heic",".xls",".doc",".msg",".eml",".ppt",".txt",".zip"},Z297)))&gt;0),AND(ISERROR(FIND(" ",TRIM(Z297))),NOT(OR(SUMPRODUCT(--ISNUMBER(FIND({",",";","&amp;","+"},Z297)))&gt;0,SUMPRODUCT(--ISNUMBER(SEARCH({"0/aa","0\\aa"},BN297)))&gt;0)),NOT(SUMPRODUCT(--ISNUMBER(SEARCH({"http","www.","\\",":\",".pdf",".jpg",".jpeg",".png",".heic",".xls",".doc",".msg",".eml",".ppt",".txt",".zip"},Z297)))&gt;0),NOT(LOWER(TRIM(Z297))=LOWER(Flights!$F$13)),ISNA(MATCH(BU297,{"mh","rev","revision","ver","version","v","r","a","b","seat","tray","row","gate","bay","stand","page","pg","item","line","no","cart","galley","flight","flt","table","box","bag","oven","etd","eta","std","sta","atd","ata","qty","pax","x","time","tel","ph","mob","day","wk","week","utc","gmt","myt","lt"},0)),NOT(OR(ISNUMBER(MATCH(LEFT(BN297,255),{"0000a","000a","00a","0000aa","000aa","00aa","0aa","0000aaa","000aaa","00a00","0a00","0000-0000","00:00","a00","a0","00.00.0000","00/00/0000","00-00-0000","0000-00-00","0000/00/00","0000.00.00","00.00.00","00/00/00","00-00-00","0.00.0000","0/00/0000","0-00-0000"},0)),ISNUMBER(MATCH(LEFT(BT297,255),{"0000a","000a","00a","0000aa","000aa","00aa","0aa","0000aaa","000aaa","00a00","0a00","0000-0000","00:00","a00","a0","00.00.0000","00/00/0000","00-00-0000","0000-00-00","0000/00/00","0000.00.00","00.00.00","00/00/00","00-00-00","0.00.0000","0/00/0000","0-00-0000"},0)))),NOT(OR(AND(BW297&lt;&gt;"",SUBSTITUTE(BW297,"0","")=""),AND(LEN(BW297)&gt;=4,BW297=REPT(LEFT(BW297),LEN(BW297))),ISNUMBER(MATCH(BW297,{"123","1234","12345","123456","1234567","12345678","0123","01234","012345","98765","987654","54321"},0)),ISNUMBER(MATCH(BX297,{"x","xx","xxx","xxxx","xxxxx","abc","abcd","nil","na","nan","test","tbc","tba","tbd","dummy","sample","example","eg","zz","zzz","none","null","xyz","qwe","asd","id","ref"},0)),AND(LEN(BW297)=8,BX297="",OR(LEFT(BW297,3)="202",ISNUMBER(MATCH(RIGHT(BW297,4),{"2025","2026","2027"},0)))))),OR(AND((LEN(BT297)-LEN(SUBSTITUTE(BT297,"a","")))&gt;=1,(LEN(BN297)-LEN(SUBSTITUTE(BN297,"0","")))&gt;=2,SUMPRODUCT(--ISNUMBER(SEARCH({"a0","a-0","a_0","a/0","a.0","a#0","0a","0-a","0_a","0/a"},BN297)))&gt;0),AND((LEN(BN297)-LEN(SUBSTITUTE(BN297,"a","")))=0,(LEN(BN297)-LEN(SUBSTITUTE(BN297,"0","")))&gt;=5)))),1,0),0)</f>
        <v>0</v>
      </c>
      <c r="CA2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297,"revision",""),"version",""),"jan",""),"feb",""),"mar",""),"apr",""),"may",""),"jun",""),"jul",""),"aug",""),"sep",""),"oct",""),"nov",""),"dec",""),"utc",""),"gmt",""),"myt",""),"bst",""),"rev",""),"ver",""),"b","a"),"c","a"),"d","a"),"e","a"),"f","a"),"g","a"),"h","a"),"i","a"),"j","a"),"k","a"),"l","a"),"m","a"),"n","a"),"o","a"),"p","a"),"q","a"),"r","a"),"s","a"),"t","a"),"u","a"),"v","a"),"w","a"),"x","a"),"y","a"),"z","a")</f>
        <v/>
      </c>
      <c r="CB2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297&amp;""),"a",""),"b",""),"c",""),"d",""),"e",""),"f",""),"g",""),"h",""),"i",""),"j",""),"k",""),"l",""),"m",""),"n",""),"o",""),"p",""),"q",""),"r",""),"s",""),"t",""),"u",""),"v",""),"w",""),"x",""),"y",""),"z",""),"-",""),"_",""),"/",""),".",""),"#",""),"\\",""),":","")," ",""),"(",""),")","")</f>
        <v/>
      </c>
      <c r="CC297" s="0" t="str">
        <f aca="false">" "&amp;TRIM(SUBSTITUTE(SUBSTITUTE(SUBSTITUTE(SUBSTITUTE(SUBSTITUTE(SUBSTITUTE(SUBSTITUTE(SUBSTITUTE(SUBSTITUTE(SUBSTITUTE(SUBSTITUTE(SUBSTITUTE(SUBSTITUTE(SUBSTITUTE(SUBSTITUTE(SUBSTITUTE(SUBSTITUTE(SUBSTITUTE(SUBSTITUTE(SUBSTITUTE(SUBSTITUTE(SUBSTITUTE(SUBSTITUTE(SUBSTITUTE(LOWER(T297&amp;""),CHAR(10)," "),CHAR(13)," "),CHAR(9)," "),CHAR(160)," "),"."," "),","," "),"-"," "),"/"," "),"("," "),")"," "),":"," "),";"," "),"_"," "),"–"," "),"?"," "),"!"," "),"*"," "),"["," "),"]"," "),"'"," "),"#"," "),"+"," "),"&amp;"," "),"\"," "))&amp;" "</f>
        <v>  </v>
      </c>
      <c r="CD297" s="0" t="str">
        <f aca="false">" "&amp;TRIM(SUBSTITUTE(SUBSTITUTE(SUBSTITUTE(SUBSTITUTE(SUBSTITUTE(SUBSTITUTE(SUBSTITUTE(SUBSTITUTE(SUBSTITUTE(SUBSTITUTE(SUBSTITUTE(SUBSTITUTE(SUBSTITUTE(SUBSTITUTE(SUBSTITUTE(SUBSTITUTE(SUBSTITUTE(SUBSTITUTE(SUBSTITUTE(SUBSTITUTE(SUBSTITUTE(SUBSTITUTE(SUBSTITUTE(SUBSTITUTE(LOWER(AE297&amp;""),CHAR(10)," "),CHAR(13)," "),CHAR(9)," "),CHAR(160)," "),"."," "),","," "),"-"," "),"/"," "),"("," "),")"," "),":"," "),";"," "),"_"," "),"–"," "),"?"," "),"!"," "),"*"," "),"["," "),"]"," "),"'"," "),"#"," "),"+"," "),"&amp;"," "),"\"," "))&amp;" "</f>
        <v>  </v>
      </c>
      <c r="CE297" s="68" t="n">
        <f aca="false">IFERROR(IF(AND(LEN(AU297)&gt;0,LEN(AU297)=LEN(AX297),OR(TRIM(MID(SUBSTITUTE(TRIM(CC297)," ",REPT(" ",60)),1,60))="",ISNUMBER(SEARCH(" "&amp;TRIM(MID(SUBSTITUTE(TRIM(CC297)," ",REPT(" ",60)),1,60))&amp;" ",CD297))),OR(TRIM(MID(SUBSTITUTE(TRIM(CC297)," ",REPT(" ",60)),61,60))="",ISNUMBER(SEARCH(" "&amp;TRIM(MID(SUBSTITUTE(TRIM(CC297)," ",REPT(" ",60)),61,60))&amp;" ",CD297))),OR(TRIM(MID(SUBSTITUTE(TRIM(CC297)," ",REPT(" ",60)),121,60))="",ISNUMBER(SEARCH(" "&amp;TRIM(MID(SUBSTITUTE(TRIM(CC297)," ",REPT(" ",60)),121,60))&amp;" ",CD297)))),1,0),0)</f>
        <v>0</v>
      </c>
      <c r="CG297" s="68" t="n">
        <f aca="false">IFERROR(LEN(SUBSTITUTE(BF297," ",""))-SUMPRODUCT((LEN(BF297)-LEN(SUBSTITUTE(BF297," "&amp;L_NAFiller&amp;" "," ")))/(LEN(L_NAFiller)+1)*LEN(L_NAFiller)),0)</f>
        <v>0</v>
      </c>
    </row>
    <row r="298" customFormat="false" ht="78.75" hidden="false" customHeight="true" outlineLevel="0" collapsed="false">
      <c r="A298" s="57" t="s">
        <v>873</v>
      </c>
      <c r="B298" s="57" t="s">
        <v>246</v>
      </c>
      <c r="C298" s="57" t="str">
        <f aca="false">Flights!$F$13</f>
        <v>MH0753</v>
      </c>
      <c r="D298" s="58" t="n">
        <f aca="false">Flights!$D$13</f>
        <v>46306</v>
      </c>
      <c r="E298" s="57" t="str">
        <f aca="false">Flights!$G$13&amp;"-"&amp;Flights!$H$13</f>
        <v>HAN-KUL</v>
      </c>
      <c r="F298" s="57" t="str">
        <f aca="false">Flights!$K$13</f>
        <v>BC</v>
      </c>
      <c r="G298" s="57" t="s">
        <v>420</v>
      </c>
      <c r="H298" s="57" t="s">
        <v>378</v>
      </c>
      <c r="I298" s="57" t="s">
        <v>428</v>
      </c>
      <c r="J298" s="57" t="s">
        <v>435</v>
      </c>
      <c r="K298" s="67" t="s">
        <v>491</v>
      </c>
      <c r="L298" s="67" t="s">
        <v>422</v>
      </c>
      <c r="M298" s="67"/>
      <c r="N298" s="67" t="s">
        <v>383</v>
      </c>
      <c r="O298" s="67" t="s">
        <v>423</v>
      </c>
      <c r="P298" s="57" t="s">
        <v>240</v>
      </c>
      <c r="Q298" s="59" t="n">
        <f aca="false">ROUND((Flights!$AE$13)*1440,0)/1440</f>
        <v>46305.7534722222</v>
      </c>
      <c r="R298" s="59" t="n">
        <f aca="false">Q298+(IF(AND(INDEX(TZ_DSTS,MATCH(P298,TZ_STN,0))&lt;&gt;"",Q298&gt;=INDEX(TZ_DSTS,MATCH(P298,TZ_STN,0)),Q298&lt;INDEX(TZ_DSTE,MATCH(P298,TZ_STN,0))),INDEX(TZ_DST,MATCH(P298,TZ_STN,0)),INDEX(TZ_STD,MATCH(P298,TZ_STN,0))))/24</f>
        <v>46306.0451388889</v>
      </c>
      <c r="S298" s="60"/>
      <c r="T298" s="60"/>
      <c r="U298" s="60"/>
      <c r="V298" s="60"/>
      <c r="W298" s="61"/>
      <c r="X298" s="60"/>
      <c r="Y298" s="60"/>
      <c r="Z298" s="60"/>
      <c r="AA298" s="60"/>
      <c r="AB298" s="60"/>
      <c r="AC298" s="60"/>
      <c r="AD298" s="66"/>
      <c r="AE298" s="60"/>
      <c r="AF298" s="61" t="str">
        <f aca="false">IF(AND(ISNUMBER(X298),ISNUMBER(Y298)),Y298-X298,"")</f>
        <v/>
      </c>
      <c r="AG298" s="62" t="str">
        <f aca="false">IF(ISNUMBER(AD298),AD298-(IF(AND(INDEX(TZ_DSTS,MATCH(P298,TZ_STN,0))&lt;&gt;"",(AD298-INDEX(TZ_STD,MATCH(P298,TZ_STN,0))/24)&gt;=INDEX(TZ_DSTS,MATCH(P298,TZ_STN,0)),(AD298-INDEX(TZ_STD,MATCH(P298,TZ_STN,0))/24)&lt;INDEX(TZ_DSTE,MATCH(P298,TZ_STN,0))),INDEX(TZ_DST,MATCH(P298,TZ_STN,0)),INDEX(TZ_STD,MATCH(P298,TZ_STN,0))))/24,"")</f>
        <v/>
      </c>
      <c r="AH298" s="65" t="str">
        <f aca="false">IFERROR(IF(N298="N/A – rule",IF(OR(TRIM(U298)="",TRIM(U298)="N/A",TRIM(U298)="Not started"),"N/A – RULE","INVALID – this check does not apply to this aircraft: clear the status (or correct the fleet on Flights)"),IF(TRIM(U298)="N/A",IF(AT298=0,"INVALID – N/A not permitted for this check",IF(AND(TRIM(AB298)&lt;&gt;"",TRIM(AB298)&lt;&gt;"Closed"),"INVALID – corrective action still open",IF(AND(NOT(OR(LEN(AZ298)&lt;15,ISNUMBER(MATCH(AZ298,L_Placeholder,0)))),BK298=0,CG298&gt;=8,NOT(OR(LEN(AU298)&lt;2,ISNUMBER(MATCH(AU298,L_Placeholder,0)))),BR298&gt;=3,NOT(OR(LEN(AX298)&lt;2,ISNUMBER(MATCH(AX298,L_Placeholder,0)))),BS298&gt;=3,TRIM(AE298)&lt;&gt;TRIM(T298),AX298&lt;&gt;AU298,CE298=0),"N/A – JUSTIFIED","INVALID – N/A needs a real, settled reason (not 'not applicable' / 'as above' / TBC), a named PIC and a different named verifier"))),IF(OR(TRIM(U298)="Pass",TRIM(U298)="Pass after CA"),IF(NOT(ISNUMBER(AD298)),"INVALID – completion time missing",IF(OR(OR(LEN(AU298)&lt;2,ISNUMBER(MATCH(AU298,L_Placeholder,0))),BR298&lt;3),"INVALID – PIC missing or not a named person (a role such as QA / CSM is not a name)",IF(OR(LEN(AV298)&lt;2,ISNUMBER(MATCH(AV298,L_Placeholder,0))),"INVALID – result / assessment missing",IF(OR(OR(LEN(AW298)&lt;3,ISNUMBER(MATCH(AW298,L_Placeholder,0))),SUMPRODUCT(--ISNUMBER(SEARCH(" "&amp;L_EvidencePhrase&amp;" ",BD298)))&gt;0,BI298=1),"INVALID – evidence missing, placeholder or not yet on file",IF(ISNA(MATCH(TRIM(S298),L_EvidenceType,0)),"INVALID – choose the evidence type from the list (column S)",IF(BL298=0,"INVALID – evidence ID must be the record's own ID only (e.g. SF-2210, IMG_2231, 1045521); a link / file name needs type 'Link / file path'",IF(OR(OR(LEN(AX298)&lt;2,ISNUMBER(MATCH(AX298,L_Placeholder,0))),BS298&lt;3),"INVALID – verifier missing or not a named person (a role such as QA / CSM is not a name)",IF(OR(AX298=AU298,CE298=1,AND(LEN(AU298)&gt;=4,ISNUMBER(SEARCH(AU298,AX298))),AND(LEN(AX298)&gt;=4,ISNUMBER(SEARCH(AX298,AU298)))),"INVALID – verifier must be a different, named person (not the PIC or a role)",IF(BH298=1,"INVALID – result not yet available (awaiting / TBC)",IF(BG298=1,"INVALID – result describes a problem: record Fail, then Pass after CA (or reword if it is not a problem)",IF(BV298=1,"INVALID – wording says not on board: an on-board confirmation needs the item loaded",IF(AND(AQ298=1,OR(OR(LEN(AY298)&lt;3,ISNUMBER(MATCH(AY298,L_Placeholder,0))),BJ298=1,BQ298=0)),"INVALID – batch ID missing, placeholder or not an ID (e.g. PASB-261008-BC-017)",IF(AND(AR298=1,OR(NOT(ISNUMBER(X298)),NOT(ISNUMBER(Y298)))),"INVALID – expected/actual qty missing",IF(AND(AR298=1,OR(X298&lt;=0,Y298&lt;0)),"INVALID – expected qty must be above 0 and actual not negative",IF(BB298&lt;&gt;"",BB298,IF(AND(AS298=1,Documents!$J$13&lt;&gt;"ON FILE"),"INVALID – GLD not on file (Documents sheet)",IF(AND(AS298=2,Documents!$O$13&lt;&gt;"ON FILE"),"INVALID – menu checklist not on file (Documents sheet)",IF(AND(AS298=3,NOT(ISNUMBER(Flights!$AX$13))),"INVALID – enter carrying flight KUL departure (Flights AX)",IF(AND(AS298=3,OR(Flights!$AZ$13&gt;Flights!$AA$13,Flights!$AX$13&lt;Flights!$AA$13-3)),"INVALID – carrying flight (Flights AX) cannot arrive before this leg's STD, or is over 3 days early",IF(AG298&gt;AsOfUTC,"INVALID – completion time is in the future",IF(AND(ISNUMBER(BY298),AG298&lt;BY298),IF(H298="Physical uplift","INVALID – before uplift window (cannot confirm loading)","INVALID – before valid window"),IF(AG298&gt;Flights!$AA$13,"INVALID – completed after departure (cannot establish readiness)",IF(AND(H298="Preparation",AG298&gt;=IF(ISNUMBER(Flights!$BA$13),MIN(Flights!$BA$13,Flights!$AA$13),Flights!$AA$13)),"INVALID – completed after loading / departure (cannot establish readiness)",IF(AND(H298="Physical uplift",AG298&gt;Q298),"INVALID – recorded after the loading flight departed",IF(AG298&gt;Q298,"COMPLETE – LATE","COMPLETE"))))))))))))))))))))))))),IF(TRIM(U298)="Fail","FAIL – DISCREPANCY",IF(AND(TRIM(U298)&lt;&gt;"",TRIM(U298)&lt;&gt;"Not started",TRIM(U298)&lt;&gt;"In progress"),"INVALID – unrecognised status (use the list)",IF(AsOfUTC&gt;Q298,"OVERDUE",IF(N298="Clarification required","OPEN – CLARIFICATION","OPEN"))))))),"INVALID – error value in an input cell")</f>
        <v>OPEN</v>
      </c>
      <c r="AI298" s="61" t="n">
        <f aca="false">IF(OR(AH298="N/A – RULE",AH298="N/A – JUSTIFIED"),0,1)</f>
        <v>1</v>
      </c>
      <c r="AJ298" s="61" t="n">
        <f aca="false">IF(LEFT(AH298,8)="COMPLETE",1,0)</f>
        <v>0</v>
      </c>
      <c r="AK298" s="61" t="n">
        <f aca="false">IF(AND(AI298=1,AJ298=0,AsOfUTC&gt;Q298),1,0)</f>
        <v>0</v>
      </c>
      <c r="AL298" s="61" t="n">
        <f aca="false">IFERROR(IF(AND(AI298=1,OR(TRIM(U298)="Fail",AND(TRIM(AB298)&lt;&gt;"",TRIM(AB298)&lt;&gt;"Closed"),AND(ISNUMBER(AF298),AF298&lt;&gt;0,TRIM(U298)&lt;&gt;"Pass after CA"))),1,0),1)</f>
        <v>0</v>
      </c>
      <c r="AM298" s="61" t="n">
        <f aca="false">IF(LEFT(AH298,7)="INVALID",1,0)</f>
        <v>0</v>
      </c>
      <c r="AN298" s="61" t="n">
        <f aca="false">IF(AND(N298="Clarification required",AI298=1,AJ298=0),1,0)</f>
        <v>0</v>
      </c>
      <c r="AO298" s="61" t="str">
        <f aca="false">IF(AK298=1,SUM(AK$5:AK298),"")</f>
        <v/>
      </c>
      <c r="AP298" s="61" t="str">
        <f aca="false">IF(AL298=1,SUM(AL$5:AL298),"")</f>
        <v/>
      </c>
      <c r="AQ298" s="61" t="n">
        <v>0</v>
      </c>
      <c r="AR298" s="61" t="n">
        <v>1</v>
      </c>
      <c r="AS298" s="61" t="n">
        <v>0</v>
      </c>
      <c r="AT298" s="61" t="n">
        <v>0</v>
      </c>
      <c r="AU298" s="61" t="str">
        <f aca="false">SUBSTITUTE(SUBSTITUTE(SUBSTITUTE(SUBSTITUTE(SUBSTITUTE(SUBSTITUTE(SUBSTITUTE(SUBSTITUTE(SUBSTITUTE(SUBSTITUTE(SUBSTITUTE(SUBSTITUTE(SUBSTITUTE(SUBSTITUTE(SUBSTITUTE(SUBSTITUTE(LOWER(T298&amp;""),CHAR(10),""),CHAR(13),""),CHAR(9),""),CHAR(160),"")," ",""),".",""),"-",""),"/",""),"?",""),"_",""),",",""),"[",""),"]",""),"(",""),")",""),"*","")</f>
        <v/>
      </c>
      <c r="AV298" s="61" t="str">
        <f aca="false">SUBSTITUTE(SUBSTITUTE(SUBSTITUTE(SUBSTITUTE(SUBSTITUTE(SUBSTITUTE(SUBSTITUTE(SUBSTITUTE(SUBSTITUTE(SUBSTITUTE(SUBSTITUTE(SUBSTITUTE(SUBSTITUTE(SUBSTITUTE(SUBSTITUTE(SUBSTITUTE(LOWER(V298&amp;""),CHAR(10),""),CHAR(13),""),CHAR(9),""),CHAR(160),"")," ",""),".",""),"-",""),"/",""),"?",""),"_",""),",",""),"[",""),"]",""),"(",""),")",""),"*","")</f>
        <v/>
      </c>
      <c r="AW298" s="61" t="str">
        <f aca="false">SUBSTITUTE(SUBSTITUTE(SUBSTITUTE(SUBSTITUTE(SUBSTITUTE(SUBSTITUTE(SUBSTITUTE(SUBSTITUTE(SUBSTITUTE(SUBSTITUTE(SUBSTITUTE(SUBSTITUTE(SUBSTITUTE(SUBSTITUTE(SUBSTITUTE(SUBSTITUTE(LOWER(Z298&amp;""),CHAR(10),""),CHAR(13),""),CHAR(9),""),CHAR(160),"")," ",""),".",""),"-",""),"/",""),"?",""),"_",""),",",""),"[",""),"]",""),"(",""),")",""),"*","")</f>
        <v/>
      </c>
      <c r="AX298" s="61" t="str">
        <f aca="false">SUBSTITUTE(SUBSTITUTE(SUBSTITUTE(SUBSTITUTE(SUBSTITUTE(SUBSTITUTE(SUBSTITUTE(SUBSTITUTE(SUBSTITUTE(SUBSTITUTE(SUBSTITUTE(SUBSTITUTE(SUBSTITUTE(SUBSTITUTE(SUBSTITUTE(SUBSTITUTE(LOWER(AE298&amp;""),CHAR(10),""),CHAR(13),""),CHAR(9),""),CHAR(160),"")," ",""),".",""),"-",""),"/",""),"?",""),"_",""),",",""),"[",""),"]",""),"(",""),")",""),"*","")</f>
        <v/>
      </c>
      <c r="AY298" s="61" t="str">
        <f aca="false">SUBSTITUTE(SUBSTITUTE(SUBSTITUTE(SUBSTITUTE(SUBSTITUTE(SUBSTITUTE(SUBSTITUTE(SUBSTITUTE(SUBSTITUTE(SUBSTITUTE(SUBSTITUTE(SUBSTITUTE(SUBSTITUTE(SUBSTITUTE(SUBSTITUTE(SUBSTITUTE(LOWER(W298&amp;""),CHAR(10),""),CHAR(13),""),CHAR(9),""),CHAR(160),"")," ",""),".",""),"-",""),"/",""),"?",""),"_",""),",",""),"[",""),"]",""),"(",""),")",""),"*","")</f>
        <v/>
      </c>
      <c r="AZ298" s="61" t="str">
        <f aca="false">SUBSTITUTE(SUBSTITUTE(SUBSTITUTE(SUBSTITUTE(SUBSTITUTE(SUBSTITUTE(SUBSTITUTE(SUBSTITUTE(SUBSTITUTE(SUBSTITUTE(SUBSTITUTE(SUBSTITUTE(SUBSTITUTE(SUBSTITUTE(SUBSTITUTE(SUBSTITUTE(LOWER(AC298&amp;""),CHAR(10),""),CHAR(13),""),CHAR(9),""),CHAR(160),"")," ",""),".",""),"-",""),"/",""),"?",""),"_",""),",",""),"[",""),"]",""),"(",""),")",""),"*","")</f>
        <v/>
      </c>
      <c r="BA298" s="61" t="str">
        <f aca="false">SUBSTITUTE(SUBSTITUTE(SUBSTITUTE(SUBSTITUTE(SUBSTITUTE(SUBSTITUTE(SUBSTITUTE(SUBSTITUTE(SUBSTITUTE(SUBSTITUTE(SUBSTITUTE(SUBSTITUTE(SUBSTITUTE(SUBSTITUTE(SUBSTITUTE(SUBSTITUTE(LOWER(AA298&amp;""),CHAR(10),""),CHAR(13),""),CHAR(9),""),CHAR(160),"")," ",""),".",""),"-",""),"/",""),"?",""),"_",""),",",""),"[",""),"]",""),"(",""),")",""),"*","")</f>
        <v/>
      </c>
      <c r="BB298" s="61" t="str">
        <f aca="false">IF(AND(TRIM(U298)="Pass",ISNUMBER(AF298)),IF(AF298&lt;&gt;0,"INVALID – qty variance: use Fail or Pass after CA",""),"")&amp;IF(AND(TRIM(U298)="Pass after CA",ISNUMBER(AF298)),IF(AF298&lt;&gt;0,"INVALID – after the corrective action the actual qty must equal expected (update Actual)",""),"")&amp;IF(AND(TRIM(U298)="Pass",TRIM(AB298)&lt;&gt;"",TRIM(AB298)&lt;&gt;"Closed"),"INVALID – corrective action not closed: use Fail, then Pass after CA","")&amp;IF(AND(LEN(BA298)&gt;=2,ISNA(MATCH(LEFT(BA298,255),L_Placeholder,0)),TRIM(AB298)=""),"INVALID – CA status missing for the recorded corrective action","")&amp;IF(AND(TRIM(U298)="Pass after CA",OR(OR(LEN(BA298)&lt;5,ISNUMBER(MATCH(BA298,L_Placeholder,0))),TRIM(AB298)&lt;&gt;"Closed")),"INVALID – corrective action not recorded/closed","")</f>
        <v/>
      </c>
      <c r="BC298" s="61" t="str">
        <f aca="false">" "&amp;TRIM(SUBSTITUTE(SUBSTITUTE(SUBSTITUTE(SUBSTITUTE(SUBSTITUTE(SUBSTITUTE(SUBSTITUTE(SUBSTITUTE(SUBSTITUTE(SUBSTITUTE(SUBSTITUTE(SUBSTITUTE(SUBSTITUTE(SUBSTITUTE(SUBSTITUTE(SUBSTITUTE(SUBSTITUTE(SUBSTITUTE(SUBSTITUTE(SUBSTITUTE(SUBSTITUTE(SUBSTITUTE(SUBSTITUTE(SUBSTITUTE(LOWER(V298&amp;""),CHAR(10)," "),CHAR(13)," "),CHAR(9)," "),CHAR(160)," "),"."," "),","," "),"-"," "),"/"," "),"("," "),")"," "),":"," "),";"," "),"_"," "),"–"," "),"?"," "),"!"," "),"*"," "),"["," "),"]"," "),"'"," "),"#"," "),"+"," "),"&amp;"," "),"\"," "))&amp;" "</f>
        <v>  </v>
      </c>
      <c r="BD298" s="61" t="str">
        <f aca="false">" "&amp;TRIM(SUBSTITUTE(SUBSTITUTE(SUBSTITUTE(SUBSTITUTE(SUBSTITUTE(SUBSTITUTE(SUBSTITUTE(SUBSTITUTE(SUBSTITUTE(SUBSTITUTE(SUBSTITUTE(SUBSTITUTE(SUBSTITUTE(SUBSTITUTE(SUBSTITUTE(SUBSTITUTE(SUBSTITUTE(SUBSTITUTE(SUBSTITUTE(SUBSTITUTE(SUBSTITUTE(SUBSTITUTE(SUBSTITUTE(SUBSTITUTE(LOWER(Z298&amp;""),CHAR(10)," "),CHAR(13)," "),CHAR(9)," "),CHAR(160)," "),"."," "),","," "),"-"," "),"/"," "),"("," "),")"," "),":"," "),";"," "),"_"," "),"–"," "),"?"," "),"!"," "),"*"," "),"["," "),"]"," "),"'"," "),"#"," "),"+"," "),"&amp;"," "),"\"," "))&amp;" "</f>
        <v>  </v>
      </c>
      <c r="BE298" s="61" t="str">
        <f aca="false">" "&amp;TRIM(SUBSTITUTE(SUBSTITUTE(SUBSTITUTE(SUBSTITUTE(SUBSTITUTE(SUBSTITUTE(SUBSTITUTE(SUBSTITUTE(SUBSTITUTE(SUBSTITUTE(SUBSTITUTE(SUBSTITUTE(SUBSTITUTE(SUBSTITUTE(SUBSTITUTE(SUBSTITUTE(SUBSTITUTE(SUBSTITUTE(SUBSTITUTE(SUBSTITUTE(SUBSTITUTE(SUBSTITUTE(SUBSTITUTE(SUBSTITUTE(LOWER(W298&amp;""),CHAR(10)," "),CHAR(13)," "),CHAR(9)," "),CHAR(160)," "),"."," "),","," "),"-"," "),"/"," "),"("," "),")"," "),":"," "),";"," "),"_"," "),"–"," "),"?"," "),"!"," "),"*"," "),"["," "),"]"," "),"'"," "),"#"," "),"+"," "),"&amp;"," "),"\"," "))&amp;" "</f>
        <v>  </v>
      </c>
      <c r="BF298" s="61" t="str">
        <f aca="false">" "&amp;TRIM(SUBSTITUTE(SUBSTITUTE(SUBSTITUTE(SUBSTITUTE(SUBSTITUTE(SUBSTITUTE(SUBSTITUTE(SUBSTITUTE(SUBSTITUTE(SUBSTITUTE(SUBSTITUTE(SUBSTITUTE(SUBSTITUTE(SUBSTITUTE(SUBSTITUTE(SUBSTITUTE(SUBSTITUTE(SUBSTITUTE(SUBSTITUTE(SUBSTITUTE(SUBSTITUTE(SUBSTITUTE(SUBSTITUTE(SUBSTITUTE(LOWER(AC298&amp;""),CHAR(10)," "),CHAR(13)," "),CHAR(9)," "),CHAR(160)," "),"."," "),","," "),"-"," "),"/"," "),"("," "),")"," "),":"," "),";"," "),"_"," "),"–"," "),"?"," "),"!"," "),"*"," "),"["," "),"]"," "),"'"," "),"#"," "),"+"," "),"&amp;"," "),"\"," "))&amp;" "</f>
        <v>  </v>
      </c>
      <c r="BG298" s="61" t="n">
        <f aca="false">IFERROR(IF(AND(TRIM(U298)="Pass",SUMPRODUCT((LEN(BC298)-LEN(SUBSTITUTE(BC298," "&amp;L_ResultBad&amp;" "," ")))/(LEN(L_ResultBad)+1))&gt;SUMPRODUCT((LEN(BC298)-LEN(SUBSTITUTE(BC298," "&amp;L_NegPhrase&amp;" "," ")))/(LEN(L_NegPhrase)+1))),1,0),0)</f>
        <v>0</v>
      </c>
      <c r="BH298" s="61" t="n">
        <f aca="false">IFERROR(IF(SUMPRODUCT((LEN(BC298)-LEN(SUBSTITUTE(BC298," "&amp;L_Pending&amp;" "," ")))/(LEN(L_Pending)+1))&gt;SUMPRODUCT((LEN(BC298)-LEN(SUBSTITUTE(BC298," "&amp;L_PendNeg&amp;" "," ")))/(LEN(L_PendNeg)+1))+SUMPRODUCT((LEN(BC298)-LEN(SUBSTITUTE(BC298," "&amp;L_PendPrep&amp;" "," ")))/(LEN(L_PendPrep)+1)),1,0),1)</f>
        <v>0</v>
      </c>
      <c r="BI298" s="61" t="n">
        <f aca="false">IFERROR(IF(SUMPRODUCT((LEN(BD298)-LEN(SUBSTITUTE(BD298," "&amp;L_PendStrict&amp;" "," ")))/(LEN(L_PendStrict)+1))&gt;SUMPRODUCT((LEN(BD298)-LEN(SUBSTITUTE(BD298," "&amp;L_PendNeg&amp;" "," ")))/(LEN(L_PendNeg)+1)),1,0),1)</f>
        <v>0</v>
      </c>
      <c r="BJ298" s="61" t="n">
        <f aca="false">IFERROR(IF(SUMPRODUCT((LEN(BE298)-LEN(SUBSTITUTE(BE298," "&amp;L_Pending&amp;" "," ")))/(LEN(L_Pending)+1))&gt;SUMPRODUCT((LEN(BE298)-LEN(SUBSTITUTE(BE298," "&amp;L_PendNeg&amp;" "," ")))/(LEN(L_PendNeg)+1))+SUMPRODUCT((LEN(BE298)-LEN(SUBSTITUTE(BE298," "&amp;L_PendPrep&amp;" "," ")))/(LEN(L_PendPrep)+1)),1,0),1)</f>
        <v>0</v>
      </c>
      <c r="BK298" s="61" t="n">
        <f aca="false">IFERROR(IF(SUMPRODUCT((LEN(BF298)-LEN(SUBSTITUTE(BF298," "&amp;L_PendStrict&amp;" "," ")))/(LEN(L_PendStrict)+1))&gt;SUMPRODUCT((LEN(BF298)-LEN(SUBSTITUTE(BF298," "&amp;L_PendNeg&amp;" "," ")))/(LEN(L_PendNeg)+1)),1,0),1)</f>
        <v>0</v>
      </c>
      <c r="BL298" s="61" t="n">
        <f aca="false">IF(ISNA(MATCH(TRIM(S298),L_EvidenceType,0)),0,BZ298)</f>
        <v>0</v>
      </c>
      <c r="BM298" s="61" t="str">
        <f aca="false">SUBSTITUTE(SUBSTITUTE(SUBSTITUTE(SUBSTITUTE(SUBSTITUTE(SUBSTITUTE(SUBSTITUTE(SUBSTITUTE(SUBSTITUTE(LOWER(Z298&amp;""),"1","0"),"2","0"),"3","0"),"4","0"),"5","0"),"6","0"),"7","0"),"8","0"),"9","0")</f>
        <v/>
      </c>
      <c r="BN298" s="61" t="str">
        <f aca="false">SUBSTITUTE(SUBSTITUTE(SUBSTITUTE(SUBSTITUTE(SUBSTITUTE(SUBSTITUTE(SUBSTITUTE(SUBSTITUTE(SUBSTITUTE(SUBSTITUTE(SUBSTITUTE(SUBSTITUTE(SUBSTITUTE(SUBSTITUTE(SUBSTITUTE(SUBSTITUTE(SUBSTITUTE(SUBSTITUTE(SUBSTITUTE(SUBSTITUTE(SUBSTITUTE(SUBSTITUTE(SUBSTITUTE(SUBSTITUTE(SUBSTITUTE(BM298,"b","a"),"c","a"),"d","a"),"e","a"),"f","a"),"g","a"),"h","a"),"i","a"),"j","a"),"k","a"),"l","a"),"m","a"),"n","a"),"o","a"),"p","a"),"q","a"),"r","a"),"s","a"),"t","a"),"u","a"),"v","a"),"w","a"),"x","a"),"y","a"),"z","a")</f>
        <v/>
      </c>
      <c r="BO298" s="61" t="str">
        <f aca="false">SUBSTITUTE(SUBSTITUTE(SUBSTITUTE(SUBSTITUTE(SUBSTITUTE(SUBSTITUTE(SUBSTITUTE(SUBSTITUTE(SUBSTITUTE(LOWER(W298&amp;""),"1","0"),"2","0"),"3","0"),"4","0"),"5","0"),"6","0"),"7","0"),"8","0"),"9","0")</f>
        <v/>
      </c>
      <c r="BP298" s="61" t="str">
        <f aca="false">SUBSTITUTE(SUBSTITUTE(SUBSTITUTE(SUBSTITUTE(SUBSTITUTE(SUBSTITUTE(SUBSTITUTE(SUBSTITUTE(SUBSTITUTE(SUBSTITUTE(SUBSTITUTE(SUBSTITUTE(SUBSTITUTE(SUBSTITUTE(SUBSTITUTE(SUBSTITUTE(SUBSTITUTE(SUBSTITUTE(SUBSTITUTE(SUBSTITUTE(SUBSTITUTE(SUBSTITUTE(SUBSTITUTE(SUBSTITUTE(SUBSTITUTE(BO298,"b","a"),"c","a"),"d","a"),"e","a"),"f","a"),"g","a"),"h","a"),"i","a"),"j","a"),"k","a"),"l","a"),"m","a"),"n","a"),"o","a"),"p","a"),"q","a"),"r","a"),"s","a"),"t","a"),"u","a"),"v","a"),"w","a"),"x","a"),"y","a"),"z","a")</f>
        <v/>
      </c>
      <c r="BQ298" s="61" t="n">
        <f aca="false">IFERROR(IF(AND(ISERROR(SEARCH(" mh"," "&amp;LOWER(W298))),ISNA(MATCH(LEFT(TRIM(BP298),255),{"0000a","000a","00a","0000aa","000aa","00aa","0aa","0000aaa","000aaa","00a00","0a00","0000-0000","00:00","a00","a0","00.00.0000","00/00/0000","00-00-0000","0000-00-00","0000/00/00","0000.00.00","00.00.00","00/00/00","00-00-00","0.00.0000","0/00/0000","0-00-0000"},0)),ISNA(MATCH(LEFT(TRIM(CA298),255),{"0000a","000a","00a","0000aa","000aa","00aa","0aa","0000aaa","000aaa","00a00","0a00","0000-0000","00:00","a00","a0","00.00.0000","00/00/0000","00-00-0000","0000-00-00","0000/00/00","0000.00.00","00.00.00","00/00/00","00-00-00","0.00.0000","0/00/0000","0-00-0000"},0)),LEN(CB298)&gt;=3,NOT(OR(SUBSTITUTE(CB298,"0","")="",AND(LEN(CB298)&gt;=4,CB298=REPT(LEFT(CB298),LEN(CB298))),ISNUMBER(MATCH(CB298,{"123","1234","12345","123456","1234567","12345678","0123","01234","012345","98765","987654","54321"},0)),AND(LEN(CB298)=8,LEFT(CB298,3)="202"))),OR(AND((LEN(CA298)-LEN(SUBSTITUTE(CA298,"a","")))&gt;=1,SUMPRODUCT(--ISNUMBER(SEARCH({"a0","a-0","a_0","a/0","a.0","a#0","0a","0-a","0_a","0/a"},BP298)))&gt;0),ISNUMBER(SEARCH("000000",BP298)))),1,0),0)</f>
        <v>0</v>
      </c>
      <c r="BR298" s="61" t="n">
        <f aca="false">IFERROR(LEN(SUBSTITUTE(CC298," ",""))-SUMPRODUCT((LEN(CC298)-LEN(SUBSTITUTE(CC298," "&amp;L_Role&amp;" "," ")))/(LEN(L_Role)+1)*LEN(L_Role)),0)</f>
        <v>0</v>
      </c>
      <c r="BS298" s="61" t="n">
        <f aca="false">IFERROR(LEN(SUBSTITUTE(CD298," ",""))-SUMPRODUCT((LEN(CD298)-LEN(SUBSTITUTE(CD298," "&amp;L_Role&amp;" "," ")))/(LEN(L_Role)+1)*LEN(L_Role)),0)</f>
        <v>0</v>
      </c>
      <c r="BT2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298,"revision",""),"version",""),"jan",""),"feb",""),"mar",""),"apr",""),"may",""),"jun",""),"jul",""),"aug",""),"sep",""),"oct",""),"nov",""),"dec",""),"utc",""),"gmt",""),"myt",""),"bst",""),"rev",""),"ver",""),"b","a"),"c","a"),"d","a"),"e","a"),"f","a"),"g","a"),"h","a"),"i","a"),"j","a"),"k","a"),"l","a"),"m","a"),"n","a"),"o","a"),"p","a"),"q","a"),"r","a"),"s","a"),"t","a"),"u","a"),"v","a"),"w","a"),"x","a"),"y","a"),"z","a")</f>
        <v/>
      </c>
      <c r="BU298" s="61" t="str">
        <f aca="false">SUBSTITUTE(SUBSTITUTE(SUBSTITUTE(SUBSTITUTE(SUBSTITUTE(SUBSTITUTE(SUBSTITUTE(SUBSTITUTE(SUBSTITUTE(SUBSTITUTE(LEFT(BM298,FIND("0",BM298&amp;"0")-1),"-",""),"_",""),"/",""),".",""),"#",""),"\\",""),":","")," ",""),"(",""),")","")</f>
        <v/>
      </c>
      <c r="BV298" s="61" t="n">
        <f aca="false">0</f>
        <v>0</v>
      </c>
      <c r="BW2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298&amp;""),"a",""),"b",""),"c",""),"d",""),"e",""),"f",""),"g",""),"h",""),"i",""),"j",""),"k",""),"l",""),"m",""),"n",""),"o",""),"p",""),"q",""),"r",""),"s",""),"t",""),"u",""),"v",""),"w",""),"x",""),"y",""),"z",""),"-",""),"_",""),"/",""),".",""),"#",""),"\\",""),":","")," ",""),"(",""),")","")</f>
        <v/>
      </c>
      <c r="BX298" s="61" t="str">
        <f aca="false">SUBSTITUTE(SUBSTITUTE(SUBSTITUTE(SUBSTITUTE(SUBSTITUTE(SUBSTITUTE(SUBSTITUTE(SUBSTITUTE(SUBSTITUTE(SUBSTITUTE(SUBSTITUTE(BM298,"0",""),"-",""),"_",""),"/",""),".",""),"#",""),"\\",""),":","")," ",""),"(",""),")","")</f>
        <v/>
      </c>
      <c r="BY298" s="62" t="n">
        <f aca="false">Q298-T12EarlyH/24</f>
        <v>46305.2534722222</v>
      </c>
      <c r="BZ298" s="61" t="n">
        <f aca="false">IFERROR(IF(IF(TRIM(S298)="Link / file path",AND(LEN(TRIM(Z298))&gt;=5,SUMPRODUCT(--ISNUMBER(SEARCH({"http","www.","\\",":\",".pdf",".jpg",".jpeg",".png",".heic",".xls",".doc",".msg",".eml",".ppt",".txt",".zip"},Z298)))&gt;0),AND(ISERROR(FIND(" ",TRIM(Z298))),NOT(OR(SUMPRODUCT(--ISNUMBER(FIND({",",";","&amp;","+"},Z298)))&gt;0,SUMPRODUCT(--ISNUMBER(SEARCH({"0/aa","0\\aa"},BN298)))&gt;0)),NOT(SUMPRODUCT(--ISNUMBER(SEARCH({"http","www.","\\",":\",".pdf",".jpg",".jpeg",".png",".heic",".xls",".doc",".msg",".eml",".ppt",".txt",".zip"},Z298)))&gt;0),NOT(LOWER(TRIM(Z298))=LOWER(Flights!$F$13)),ISNA(MATCH(BU298,{"mh","rev","revision","ver","version","v","r","a","b","seat","tray","row","gate","bay","stand","page","pg","item","line","no","cart","galley","flight","flt","table","box","bag","oven","etd","eta","std","sta","atd","ata","qty","pax","x","time","tel","ph","mob","day","wk","week","utc","gmt","myt","lt"},0)),NOT(OR(ISNUMBER(MATCH(LEFT(BN298,255),{"0000a","000a","00a","0000aa","000aa","00aa","0aa","0000aaa","000aaa","00a00","0a00","0000-0000","00:00","a00","a0","00.00.0000","00/00/0000","00-00-0000","0000-00-00","0000/00/00","0000.00.00","00.00.00","00/00/00","00-00-00","0.00.0000","0/00/0000","0-00-0000"},0)),ISNUMBER(MATCH(LEFT(BT298,255),{"0000a","000a","00a","0000aa","000aa","00aa","0aa","0000aaa","000aaa","00a00","0a00","0000-0000","00:00","a00","a0","00.00.0000","00/00/0000","00-00-0000","0000-00-00","0000/00/00","0000.00.00","00.00.00","00/00/00","00-00-00","0.00.0000","0/00/0000","0-00-0000"},0)))),NOT(OR(AND(BW298&lt;&gt;"",SUBSTITUTE(BW298,"0","")=""),AND(LEN(BW298)&gt;=4,BW298=REPT(LEFT(BW298),LEN(BW298))),ISNUMBER(MATCH(BW298,{"123","1234","12345","123456","1234567","12345678","0123","01234","012345","98765","987654","54321"},0)),ISNUMBER(MATCH(BX298,{"x","xx","xxx","xxxx","xxxxx","abc","abcd","nil","na","nan","test","tbc","tba","tbd","dummy","sample","example","eg","zz","zzz","none","null","xyz","qwe","asd","id","ref"},0)),AND(LEN(BW298)=8,BX298="",OR(LEFT(BW298,3)="202",ISNUMBER(MATCH(RIGHT(BW298,4),{"2025","2026","2027"},0)))))),OR(AND((LEN(BT298)-LEN(SUBSTITUTE(BT298,"a","")))&gt;=1,(LEN(BN298)-LEN(SUBSTITUTE(BN298,"0","")))&gt;=2,SUMPRODUCT(--ISNUMBER(SEARCH({"a0","a-0","a_0","a/0","a.0","a#0","0a","0-a","0_a","0/a"},BN298)))&gt;0),AND((LEN(BN298)-LEN(SUBSTITUTE(BN298,"a","")))=0,(LEN(BN298)-LEN(SUBSTITUTE(BN298,"0","")))&gt;=5)))),1,0),0)</f>
        <v>0</v>
      </c>
      <c r="CA2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298,"revision",""),"version",""),"jan",""),"feb",""),"mar",""),"apr",""),"may",""),"jun",""),"jul",""),"aug",""),"sep",""),"oct",""),"nov",""),"dec",""),"utc",""),"gmt",""),"myt",""),"bst",""),"rev",""),"ver",""),"b","a"),"c","a"),"d","a"),"e","a"),"f","a"),"g","a"),"h","a"),"i","a"),"j","a"),"k","a"),"l","a"),"m","a"),"n","a"),"o","a"),"p","a"),"q","a"),"r","a"),"s","a"),"t","a"),"u","a"),"v","a"),"w","a"),"x","a"),"y","a"),"z","a")</f>
        <v/>
      </c>
      <c r="CB2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298&amp;""),"a",""),"b",""),"c",""),"d",""),"e",""),"f",""),"g",""),"h",""),"i",""),"j",""),"k",""),"l",""),"m",""),"n",""),"o",""),"p",""),"q",""),"r",""),"s",""),"t",""),"u",""),"v",""),"w",""),"x",""),"y",""),"z",""),"-",""),"_",""),"/",""),".",""),"#",""),"\\",""),":","")," ",""),"(",""),")","")</f>
        <v/>
      </c>
      <c r="CC298" s="0" t="str">
        <f aca="false">" "&amp;TRIM(SUBSTITUTE(SUBSTITUTE(SUBSTITUTE(SUBSTITUTE(SUBSTITUTE(SUBSTITUTE(SUBSTITUTE(SUBSTITUTE(SUBSTITUTE(SUBSTITUTE(SUBSTITUTE(SUBSTITUTE(SUBSTITUTE(SUBSTITUTE(SUBSTITUTE(SUBSTITUTE(SUBSTITUTE(SUBSTITUTE(SUBSTITUTE(SUBSTITUTE(SUBSTITUTE(SUBSTITUTE(SUBSTITUTE(SUBSTITUTE(LOWER(T298&amp;""),CHAR(10)," "),CHAR(13)," "),CHAR(9)," "),CHAR(160)," "),"."," "),","," "),"-"," "),"/"," "),"("," "),")"," "),":"," "),";"," "),"_"," "),"–"," "),"?"," "),"!"," "),"*"," "),"["," "),"]"," "),"'"," "),"#"," "),"+"," "),"&amp;"," "),"\"," "))&amp;" "</f>
        <v>  </v>
      </c>
      <c r="CD298" s="0" t="str">
        <f aca="false">" "&amp;TRIM(SUBSTITUTE(SUBSTITUTE(SUBSTITUTE(SUBSTITUTE(SUBSTITUTE(SUBSTITUTE(SUBSTITUTE(SUBSTITUTE(SUBSTITUTE(SUBSTITUTE(SUBSTITUTE(SUBSTITUTE(SUBSTITUTE(SUBSTITUTE(SUBSTITUTE(SUBSTITUTE(SUBSTITUTE(SUBSTITUTE(SUBSTITUTE(SUBSTITUTE(SUBSTITUTE(SUBSTITUTE(SUBSTITUTE(SUBSTITUTE(LOWER(AE298&amp;""),CHAR(10)," "),CHAR(13)," "),CHAR(9)," "),CHAR(160)," "),"."," "),","," "),"-"," "),"/"," "),"("," "),")"," "),":"," "),";"," "),"_"," "),"–"," "),"?"," "),"!"," "),"*"," "),"["," "),"]"," "),"'"," "),"#"," "),"+"," "),"&amp;"," "),"\"," "))&amp;" "</f>
        <v>  </v>
      </c>
      <c r="CE298" s="68" t="n">
        <f aca="false">IFERROR(IF(AND(LEN(AU298)&gt;0,LEN(AU298)=LEN(AX298),OR(TRIM(MID(SUBSTITUTE(TRIM(CC298)," ",REPT(" ",60)),1,60))="",ISNUMBER(SEARCH(" "&amp;TRIM(MID(SUBSTITUTE(TRIM(CC298)," ",REPT(" ",60)),1,60))&amp;" ",CD298))),OR(TRIM(MID(SUBSTITUTE(TRIM(CC298)," ",REPT(" ",60)),61,60))="",ISNUMBER(SEARCH(" "&amp;TRIM(MID(SUBSTITUTE(TRIM(CC298)," ",REPT(" ",60)),61,60))&amp;" ",CD298))),OR(TRIM(MID(SUBSTITUTE(TRIM(CC298)," ",REPT(" ",60)),121,60))="",ISNUMBER(SEARCH(" "&amp;TRIM(MID(SUBSTITUTE(TRIM(CC298)," ",REPT(" ",60)),121,60))&amp;" ",CD298)))),1,0),0)</f>
        <v>0</v>
      </c>
      <c r="CG298" s="68" t="n">
        <f aca="false">IFERROR(LEN(SUBSTITUTE(BF298," ",""))-SUMPRODUCT((LEN(BF298)-LEN(SUBSTITUTE(BF298," "&amp;L_NAFiller&amp;" "," ")))/(LEN(L_NAFiller)+1)*LEN(L_NAFiller)),0)</f>
        <v>0</v>
      </c>
    </row>
    <row r="299" customFormat="false" ht="39.75" hidden="false" customHeight="true" outlineLevel="0" collapsed="false">
      <c r="A299" s="57" t="s">
        <v>874</v>
      </c>
      <c r="B299" s="57" t="s">
        <v>246</v>
      </c>
      <c r="C299" s="57" t="str">
        <f aca="false">Flights!$F$13</f>
        <v>MH0753</v>
      </c>
      <c r="D299" s="58" t="n">
        <f aca="false">Flights!$D$13</f>
        <v>46306</v>
      </c>
      <c r="E299" s="57" t="str">
        <f aca="false">Flights!$G$13&amp;"-"&amp;Flights!$H$13</f>
        <v>HAN-KUL</v>
      </c>
      <c r="F299" s="57" t="str">
        <f aca="false">Flights!$K$13</f>
        <v>BC</v>
      </c>
      <c r="G299" s="57" t="s">
        <v>420</v>
      </c>
      <c r="H299" s="57" t="s">
        <v>378</v>
      </c>
      <c r="I299" s="57" t="s">
        <v>428</v>
      </c>
      <c r="J299" s="57" t="s">
        <v>438</v>
      </c>
      <c r="K299" s="67"/>
      <c r="L299" s="67" t="s">
        <v>422</v>
      </c>
      <c r="M299" s="67"/>
      <c r="N299" s="67" t="s">
        <v>383</v>
      </c>
      <c r="O299" s="67" t="s">
        <v>423</v>
      </c>
      <c r="P299" s="57" t="s">
        <v>240</v>
      </c>
      <c r="Q299" s="59" t="n">
        <f aca="false">ROUND((Flights!$AE$13)*1440,0)/1440</f>
        <v>46305.7534722222</v>
      </c>
      <c r="R299" s="59" t="n">
        <f aca="false">Q299+(IF(AND(INDEX(TZ_DSTS,MATCH(P299,TZ_STN,0))&lt;&gt;"",Q299&gt;=INDEX(TZ_DSTS,MATCH(P299,TZ_STN,0)),Q299&lt;INDEX(TZ_DSTE,MATCH(P299,TZ_STN,0))),INDEX(TZ_DST,MATCH(P299,TZ_STN,0)),INDEX(TZ_STD,MATCH(P299,TZ_STN,0))))/24</f>
        <v>46306.0451388889</v>
      </c>
      <c r="S299" s="60"/>
      <c r="T299" s="60"/>
      <c r="U299" s="60"/>
      <c r="V299" s="60"/>
      <c r="W299" s="61"/>
      <c r="X299" s="60"/>
      <c r="Y299" s="60"/>
      <c r="Z299" s="60"/>
      <c r="AA299" s="60"/>
      <c r="AB299" s="60"/>
      <c r="AC299" s="60"/>
      <c r="AD299" s="66"/>
      <c r="AE299" s="60"/>
      <c r="AF299" s="61" t="str">
        <f aca="false">IF(AND(ISNUMBER(X299),ISNUMBER(Y299)),Y299-X299,"")</f>
        <v/>
      </c>
      <c r="AG299" s="62" t="str">
        <f aca="false">IF(ISNUMBER(AD299),AD299-(IF(AND(INDEX(TZ_DSTS,MATCH(P299,TZ_STN,0))&lt;&gt;"",(AD299-INDEX(TZ_STD,MATCH(P299,TZ_STN,0))/24)&gt;=INDEX(TZ_DSTS,MATCH(P299,TZ_STN,0)),(AD299-INDEX(TZ_STD,MATCH(P299,TZ_STN,0))/24)&lt;INDEX(TZ_DSTE,MATCH(P299,TZ_STN,0))),INDEX(TZ_DST,MATCH(P299,TZ_STN,0)),INDEX(TZ_STD,MATCH(P299,TZ_STN,0))))/24,"")</f>
        <v/>
      </c>
      <c r="AH299" s="65" t="str">
        <f aca="false">IFERROR(IF(N299="N/A – rule",IF(OR(TRIM(U299)="",TRIM(U299)="N/A",TRIM(U299)="Not started"),"N/A – RULE","INVALID – this check does not apply to this aircraft: clear the status (or correct the fleet on Flights)"),IF(TRIM(U299)="N/A",IF(AT299=0,"INVALID – N/A not permitted for this check",IF(AND(TRIM(AB299)&lt;&gt;"",TRIM(AB299)&lt;&gt;"Closed"),"INVALID – corrective action still open",IF(AND(NOT(OR(LEN(AZ299)&lt;15,ISNUMBER(MATCH(AZ299,L_Placeholder,0)))),BK299=0,CG299&gt;=8,NOT(OR(LEN(AU299)&lt;2,ISNUMBER(MATCH(AU299,L_Placeholder,0)))),BR299&gt;=3,NOT(OR(LEN(AX299)&lt;2,ISNUMBER(MATCH(AX299,L_Placeholder,0)))),BS299&gt;=3,TRIM(AE299)&lt;&gt;TRIM(T299),AX299&lt;&gt;AU299,CE299=0),"N/A – JUSTIFIED","INVALID – N/A needs a real, settled reason (not 'not applicable' / 'as above' / TBC), a named PIC and a different named verifier"))),IF(OR(TRIM(U299)="Pass",TRIM(U299)="Pass after CA"),IF(NOT(ISNUMBER(AD299)),"INVALID – completion time missing",IF(OR(OR(LEN(AU299)&lt;2,ISNUMBER(MATCH(AU299,L_Placeholder,0))),BR299&lt;3),"INVALID – PIC missing or not a named person (a role such as QA / CSM is not a name)",IF(OR(LEN(AV299)&lt;2,ISNUMBER(MATCH(AV299,L_Placeholder,0))),"INVALID – result / assessment missing",IF(OR(OR(LEN(AW299)&lt;3,ISNUMBER(MATCH(AW299,L_Placeholder,0))),SUMPRODUCT(--ISNUMBER(SEARCH(" "&amp;L_EvidencePhrase&amp;" ",BD299)))&gt;0,BI299=1),"INVALID – evidence missing, placeholder or not yet on file",IF(ISNA(MATCH(TRIM(S299),L_EvidenceType,0)),"INVALID – choose the evidence type from the list (column S)",IF(BL299=0,"INVALID – evidence ID must be the record's own ID only (e.g. SF-2210, IMG_2231, 1045521); a link / file name needs type 'Link / file path'",IF(OR(OR(LEN(AX299)&lt;2,ISNUMBER(MATCH(AX299,L_Placeholder,0))),BS299&lt;3),"INVALID – verifier missing or not a named person (a role such as QA / CSM is not a name)",IF(OR(AX299=AU299,CE299=1,AND(LEN(AU299)&gt;=4,ISNUMBER(SEARCH(AU299,AX299))),AND(LEN(AX299)&gt;=4,ISNUMBER(SEARCH(AX299,AU299)))),"INVALID – verifier must be a different, named person (not the PIC or a role)",IF(BH299=1,"INVALID – result not yet available (awaiting / TBC)",IF(BG299=1,"INVALID – result describes a problem: record Fail, then Pass after CA (or reword if it is not a problem)",IF(BV299=1,"INVALID – wording says not on board: an on-board confirmation needs the item loaded",IF(AND(AQ299=1,OR(OR(LEN(AY299)&lt;3,ISNUMBER(MATCH(AY299,L_Placeholder,0))),BJ299=1,BQ299=0)),"INVALID – batch ID missing, placeholder or not an ID (e.g. PASB-261008-BC-017)",IF(AND(AR299=1,OR(NOT(ISNUMBER(X299)),NOT(ISNUMBER(Y299)))),"INVALID – expected/actual qty missing",IF(AND(AR299=1,OR(X299&lt;=0,Y299&lt;0)),"INVALID – expected qty must be above 0 and actual not negative",IF(BB299&lt;&gt;"",BB299,IF(AND(AS299=1,Documents!$J$13&lt;&gt;"ON FILE"),"INVALID – GLD not on file (Documents sheet)",IF(AND(AS299=2,Documents!$O$13&lt;&gt;"ON FILE"),"INVALID – menu checklist not on file (Documents sheet)",IF(AND(AS299=3,NOT(ISNUMBER(Flights!$AX$13))),"INVALID – enter carrying flight KUL departure (Flights AX)",IF(AND(AS299=3,OR(Flights!$AZ$13&gt;Flights!$AA$13,Flights!$AX$13&lt;Flights!$AA$13-3)),"INVALID – carrying flight (Flights AX) cannot arrive before this leg's STD, or is over 3 days early",IF(AG299&gt;AsOfUTC,"INVALID – completion time is in the future",IF(AND(ISNUMBER(BY299),AG299&lt;BY299),IF(H299="Physical uplift","INVALID – before uplift window (cannot confirm loading)","INVALID – before valid window"),IF(AG299&gt;Flights!$AA$13,"INVALID – completed after departure (cannot establish readiness)",IF(AND(H299="Preparation",AG299&gt;=IF(ISNUMBER(Flights!$BA$13),MIN(Flights!$BA$13,Flights!$AA$13),Flights!$AA$13)),"INVALID – completed after loading / departure (cannot establish readiness)",IF(AND(H299="Physical uplift",AG299&gt;Q299),"INVALID – recorded after the loading flight departed",IF(AG299&gt;Q299,"COMPLETE – LATE","COMPLETE"))))))))))))))))))))))))),IF(TRIM(U299)="Fail","FAIL – DISCREPANCY",IF(AND(TRIM(U299)&lt;&gt;"",TRIM(U299)&lt;&gt;"Not started",TRIM(U299)&lt;&gt;"In progress"),"INVALID – unrecognised status (use the list)",IF(AsOfUTC&gt;Q299,"OVERDUE",IF(N299="Clarification required","OPEN – CLARIFICATION","OPEN"))))))),"INVALID – error value in an input cell")</f>
        <v>OPEN</v>
      </c>
      <c r="AI299" s="61" t="n">
        <f aca="false">IF(OR(AH299="N/A – RULE",AH299="N/A – JUSTIFIED"),0,1)</f>
        <v>1</v>
      </c>
      <c r="AJ299" s="61" t="n">
        <f aca="false">IF(LEFT(AH299,8)="COMPLETE",1,0)</f>
        <v>0</v>
      </c>
      <c r="AK299" s="61" t="n">
        <f aca="false">IF(AND(AI299=1,AJ299=0,AsOfUTC&gt;Q299),1,0)</f>
        <v>0</v>
      </c>
      <c r="AL299" s="61" t="n">
        <f aca="false">IFERROR(IF(AND(AI299=1,OR(TRIM(U299)="Fail",AND(TRIM(AB299)&lt;&gt;"",TRIM(AB299)&lt;&gt;"Closed"),AND(ISNUMBER(AF299),AF299&lt;&gt;0,TRIM(U299)&lt;&gt;"Pass after CA"))),1,0),1)</f>
        <v>0</v>
      </c>
      <c r="AM299" s="61" t="n">
        <f aca="false">IF(LEFT(AH299,7)="INVALID",1,0)</f>
        <v>0</v>
      </c>
      <c r="AN299" s="61" t="n">
        <f aca="false">IF(AND(N299="Clarification required",AI299=1,AJ299=0),1,0)</f>
        <v>0</v>
      </c>
      <c r="AO299" s="61" t="str">
        <f aca="false">IF(AK299=1,SUM(AK$5:AK299),"")</f>
        <v/>
      </c>
      <c r="AP299" s="61" t="str">
        <f aca="false">IF(AL299=1,SUM(AL$5:AL299),"")</f>
        <v/>
      </c>
      <c r="AQ299" s="61" t="n">
        <v>0</v>
      </c>
      <c r="AR299" s="61" t="n">
        <v>0</v>
      </c>
      <c r="AS299" s="61" t="n">
        <v>0</v>
      </c>
      <c r="AT299" s="61" t="n">
        <v>0</v>
      </c>
      <c r="AU299" s="61" t="str">
        <f aca="false">SUBSTITUTE(SUBSTITUTE(SUBSTITUTE(SUBSTITUTE(SUBSTITUTE(SUBSTITUTE(SUBSTITUTE(SUBSTITUTE(SUBSTITUTE(SUBSTITUTE(SUBSTITUTE(SUBSTITUTE(SUBSTITUTE(SUBSTITUTE(SUBSTITUTE(SUBSTITUTE(LOWER(T299&amp;""),CHAR(10),""),CHAR(13),""),CHAR(9),""),CHAR(160),"")," ",""),".",""),"-",""),"/",""),"?",""),"_",""),",",""),"[",""),"]",""),"(",""),")",""),"*","")</f>
        <v/>
      </c>
      <c r="AV299" s="61" t="str">
        <f aca="false">SUBSTITUTE(SUBSTITUTE(SUBSTITUTE(SUBSTITUTE(SUBSTITUTE(SUBSTITUTE(SUBSTITUTE(SUBSTITUTE(SUBSTITUTE(SUBSTITUTE(SUBSTITUTE(SUBSTITUTE(SUBSTITUTE(SUBSTITUTE(SUBSTITUTE(SUBSTITUTE(LOWER(V299&amp;""),CHAR(10),""),CHAR(13),""),CHAR(9),""),CHAR(160),"")," ",""),".",""),"-",""),"/",""),"?",""),"_",""),",",""),"[",""),"]",""),"(",""),")",""),"*","")</f>
        <v/>
      </c>
      <c r="AW299" s="61" t="str">
        <f aca="false">SUBSTITUTE(SUBSTITUTE(SUBSTITUTE(SUBSTITUTE(SUBSTITUTE(SUBSTITUTE(SUBSTITUTE(SUBSTITUTE(SUBSTITUTE(SUBSTITUTE(SUBSTITUTE(SUBSTITUTE(SUBSTITUTE(SUBSTITUTE(SUBSTITUTE(SUBSTITUTE(LOWER(Z299&amp;""),CHAR(10),""),CHAR(13),""),CHAR(9),""),CHAR(160),"")," ",""),".",""),"-",""),"/",""),"?",""),"_",""),",",""),"[",""),"]",""),"(",""),")",""),"*","")</f>
        <v/>
      </c>
      <c r="AX299" s="61" t="str">
        <f aca="false">SUBSTITUTE(SUBSTITUTE(SUBSTITUTE(SUBSTITUTE(SUBSTITUTE(SUBSTITUTE(SUBSTITUTE(SUBSTITUTE(SUBSTITUTE(SUBSTITUTE(SUBSTITUTE(SUBSTITUTE(SUBSTITUTE(SUBSTITUTE(SUBSTITUTE(SUBSTITUTE(LOWER(AE299&amp;""),CHAR(10),""),CHAR(13),""),CHAR(9),""),CHAR(160),"")," ",""),".",""),"-",""),"/",""),"?",""),"_",""),",",""),"[",""),"]",""),"(",""),")",""),"*","")</f>
        <v/>
      </c>
      <c r="AY299" s="61" t="str">
        <f aca="false">SUBSTITUTE(SUBSTITUTE(SUBSTITUTE(SUBSTITUTE(SUBSTITUTE(SUBSTITUTE(SUBSTITUTE(SUBSTITUTE(SUBSTITUTE(SUBSTITUTE(SUBSTITUTE(SUBSTITUTE(SUBSTITUTE(SUBSTITUTE(SUBSTITUTE(SUBSTITUTE(LOWER(W299&amp;""),CHAR(10),""),CHAR(13),""),CHAR(9),""),CHAR(160),"")," ",""),".",""),"-",""),"/",""),"?",""),"_",""),",",""),"[",""),"]",""),"(",""),")",""),"*","")</f>
        <v/>
      </c>
      <c r="AZ299" s="61" t="str">
        <f aca="false">SUBSTITUTE(SUBSTITUTE(SUBSTITUTE(SUBSTITUTE(SUBSTITUTE(SUBSTITUTE(SUBSTITUTE(SUBSTITUTE(SUBSTITUTE(SUBSTITUTE(SUBSTITUTE(SUBSTITUTE(SUBSTITUTE(SUBSTITUTE(SUBSTITUTE(SUBSTITUTE(LOWER(AC299&amp;""),CHAR(10),""),CHAR(13),""),CHAR(9),""),CHAR(160),"")," ",""),".",""),"-",""),"/",""),"?",""),"_",""),",",""),"[",""),"]",""),"(",""),")",""),"*","")</f>
        <v/>
      </c>
      <c r="BA299" s="61" t="str">
        <f aca="false">SUBSTITUTE(SUBSTITUTE(SUBSTITUTE(SUBSTITUTE(SUBSTITUTE(SUBSTITUTE(SUBSTITUTE(SUBSTITUTE(SUBSTITUTE(SUBSTITUTE(SUBSTITUTE(SUBSTITUTE(SUBSTITUTE(SUBSTITUTE(SUBSTITUTE(SUBSTITUTE(LOWER(AA299&amp;""),CHAR(10),""),CHAR(13),""),CHAR(9),""),CHAR(160),"")," ",""),".",""),"-",""),"/",""),"?",""),"_",""),",",""),"[",""),"]",""),"(",""),")",""),"*","")</f>
        <v/>
      </c>
      <c r="BB299" s="61" t="str">
        <f aca="false">IF(AND(TRIM(U299)="Pass",ISNUMBER(AF299)),IF(AF299&lt;&gt;0,"INVALID – qty variance: use Fail or Pass after CA",""),"")&amp;IF(AND(TRIM(U299)="Pass after CA",ISNUMBER(AF299)),IF(AF299&lt;&gt;0,"INVALID – after the corrective action the actual qty must equal expected (update Actual)",""),"")&amp;IF(AND(TRIM(U299)="Pass",TRIM(AB299)&lt;&gt;"",TRIM(AB299)&lt;&gt;"Closed"),"INVALID – corrective action not closed: use Fail, then Pass after CA","")&amp;IF(AND(LEN(BA299)&gt;=2,ISNA(MATCH(LEFT(BA299,255),L_Placeholder,0)),TRIM(AB299)=""),"INVALID – CA status missing for the recorded corrective action","")&amp;IF(AND(TRIM(U299)="Pass after CA",OR(OR(LEN(BA299)&lt;5,ISNUMBER(MATCH(BA299,L_Placeholder,0))),TRIM(AB299)&lt;&gt;"Closed")),"INVALID – corrective action not recorded/closed","")</f>
        <v/>
      </c>
      <c r="BC299" s="61" t="str">
        <f aca="false">" "&amp;TRIM(SUBSTITUTE(SUBSTITUTE(SUBSTITUTE(SUBSTITUTE(SUBSTITUTE(SUBSTITUTE(SUBSTITUTE(SUBSTITUTE(SUBSTITUTE(SUBSTITUTE(SUBSTITUTE(SUBSTITUTE(SUBSTITUTE(SUBSTITUTE(SUBSTITUTE(SUBSTITUTE(SUBSTITUTE(SUBSTITUTE(SUBSTITUTE(SUBSTITUTE(SUBSTITUTE(SUBSTITUTE(SUBSTITUTE(SUBSTITUTE(LOWER(V299&amp;""),CHAR(10)," "),CHAR(13)," "),CHAR(9)," "),CHAR(160)," "),"."," "),","," "),"-"," "),"/"," "),"("," "),")"," "),":"," "),";"," "),"_"," "),"–"," "),"?"," "),"!"," "),"*"," "),"["," "),"]"," "),"'"," "),"#"," "),"+"," "),"&amp;"," "),"\"," "))&amp;" "</f>
        <v>  </v>
      </c>
      <c r="BD299" s="61" t="str">
        <f aca="false">" "&amp;TRIM(SUBSTITUTE(SUBSTITUTE(SUBSTITUTE(SUBSTITUTE(SUBSTITUTE(SUBSTITUTE(SUBSTITUTE(SUBSTITUTE(SUBSTITUTE(SUBSTITUTE(SUBSTITUTE(SUBSTITUTE(SUBSTITUTE(SUBSTITUTE(SUBSTITUTE(SUBSTITUTE(SUBSTITUTE(SUBSTITUTE(SUBSTITUTE(SUBSTITUTE(SUBSTITUTE(SUBSTITUTE(SUBSTITUTE(SUBSTITUTE(LOWER(Z299&amp;""),CHAR(10)," "),CHAR(13)," "),CHAR(9)," "),CHAR(160)," "),"."," "),","," "),"-"," "),"/"," "),"("," "),")"," "),":"," "),";"," "),"_"," "),"–"," "),"?"," "),"!"," "),"*"," "),"["," "),"]"," "),"'"," "),"#"," "),"+"," "),"&amp;"," "),"\"," "))&amp;" "</f>
        <v>  </v>
      </c>
      <c r="BE299" s="61" t="str">
        <f aca="false">" "&amp;TRIM(SUBSTITUTE(SUBSTITUTE(SUBSTITUTE(SUBSTITUTE(SUBSTITUTE(SUBSTITUTE(SUBSTITUTE(SUBSTITUTE(SUBSTITUTE(SUBSTITUTE(SUBSTITUTE(SUBSTITUTE(SUBSTITUTE(SUBSTITUTE(SUBSTITUTE(SUBSTITUTE(SUBSTITUTE(SUBSTITUTE(SUBSTITUTE(SUBSTITUTE(SUBSTITUTE(SUBSTITUTE(SUBSTITUTE(SUBSTITUTE(LOWER(W299&amp;""),CHAR(10)," "),CHAR(13)," "),CHAR(9)," "),CHAR(160)," "),"."," "),","," "),"-"," "),"/"," "),"("," "),")"," "),":"," "),";"," "),"_"," "),"–"," "),"?"," "),"!"," "),"*"," "),"["," "),"]"," "),"'"," "),"#"," "),"+"," "),"&amp;"," "),"\"," "))&amp;" "</f>
        <v>  </v>
      </c>
      <c r="BF299" s="61" t="str">
        <f aca="false">" "&amp;TRIM(SUBSTITUTE(SUBSTITUTE(SUBSTITUTE(SUBSTITUTE(SUBSTITUTE(SUBSTITUTE(SUBSTITUTE(SUBSTITUTE(SUBSTITUTE(SUBSTITUTE(SUBSTITUTE(SUBSTITUTE(SUBSTITUTE(SUBSTITUTE(SUBSTITUTE(SUBSTITUTE(SUBSTITUTE(SUBSTITUTE(SUBSTITUTE(SUBSTITUTE(SUBSTITUTE(SUBSTITUTE(SUBSTITUTE(SUBSTITUTE(LOWER(AC299&amp;""),CHAR(10)," "),CHAR(13)," "),CHAR(9)," "),CHAR(160)," "),"."," "),","," "),"-"," "),"/"," "),"("," "),")"," "),":"," "),";"," "),"_"," "),"–"," "),"?"," "),"!"," "),"*"," "),"["," "),"]"," "),"'"," "),"#"," "),"+"," "),"&amp;"," "),"\"," "))&amp;" "</f>
        <v>  </v>
      </c>
      <c r="BG299" s="61" t="n">
        <f aca="false">IFERROR(IF(AND(TRIM(U299)="Pass",SUMPRODUCT((LEN(BC299)-LEN(SUBSTITUTE(BC299," "&amp;L_ResultBad&amp;" "," ")))/(LEN(L_ResultBad)+1))&gt;SUMPRODUCT((LEN(BC299)-LEN(SUBSTITUTE(BC299," "&amp;L_NegPhrase&amp;" "," ")))/(LEN(L_NegPhrase)+1))),1,0),0)</f>
        <v>0</v>
      </c>
      <c r="BH299" s="61" t="n">
        <f aca="false">IFERROR(IF(SUMPRODUCT((LEN(BC299)-LEN(SUBSTITUTE(BC299," "&amp;L_Pending&amp;" "," ")))/(LEN(L_Pending)+1))&gt;SUMPRODUCT((LEN(BC299)-LEN(SUBSTITUTE(BC299," "&amp;L_PendNeg&amp;" "," ")))/(LEN(L_PendNeg)+1))+SUMPRODUCT((LEN(BC299)-LEN(SUBSTITUTE(BC299," "&amp;L_PendPrep&amp;" "," ")))/(LEN(L_PendPrep)+1)),1,0),1)</f>
        <v>0</v>
      </c>
      <c r="BI299" s="61" t="n">
        <f aca="false">IFERROR(IF(SUMPRODUCT((LEN(BD299)-LEN(SUBSTITUTE(BD299," "&amp;L_PendStrict&amp;" "," ")))/(LEN(L_PendStrict)+1))&gt;SUMPRODUCT((LEN(BD299)-LEN(SUBSTITUTE(BD299," "&amp;L_PendNeg&amp;" "," ")))/(LEN(L_PendNeg)+1)),1,0),1)</f>
        <v>0</v>
      </c>
      <c r="BJ299" s="61" t="n">
        <f aca="false">IFERROR(IF(SUMPRODUCT((LEN(BE299)-LEN(SUBSTITUTE(BE299," "&amp;L_Pending&amp;" "," ")))/(LEN(L_Pending)+1))&gt;SUMPRODUCT((LEN(BE299)-LEN(SUBSTITUTE(BE299," "&amp;L_PendNeg&amp;" "," ")))/(LEN(L_PendNeg)+1))+SUMPRODUCT((LEN(BE299)-LEN(SUBSTITUTE(BE299," "&amp;L_PendPrep&amp;" "," ")))/(LEN(L_PendPrep)+1)),1,0),1)</f>
        <v>0</v>
      </c>
      <c r="BK299" s="61" t="n">
        <f aca="false">IFERROR(IF(SUMPRODUCT((LEN(BF299)-LEN(SUBSTITUTE(BF299," "&amp;L_PendStrict&amp;" "," ")))/(LEN(L_PendStrict)+1))&gt;SUMPRODUCT((LEN(BF299)-LEN(SUBSTITUTE(BF299," "&amp;L_PendNeg&amp;" "," ")))/(LEN(L_PendNeg)+1)),1,0),1)</f>
        <v>0</v>
      </c>
      <c r="BL299" s="61" t="n">
        <f aca="false">IF(ISNA(MATCH(TRIM(S299),L_EvidenceType,0)),0,BZ299)</f>
        <v>0</v>
      </c>
      <c r="BM299" s="61" t="str">
        <f aca="false">SUBSTITUTE(SUBSTITUTE(SUBSTITUTE(SUBSTITUTE(SUBSTITUTE(SUBSTITUTE(SUBSTITUTE(SUBSTITUTE(SUBSTITUTE(LOWER(Z299&amp;""),"1","0"),"2","0"),"3","0"),"4","0"),"5","0"),"6","0"),"7","0"),"8","0"),"9","0")</f>
        <v/>
      </c>
      <c r="BN299" s="61" t="str">
        <f aca="false">SUBSTITUTE(SUBSTITUTE(SUBSTITUTE(SUBSTITUTE(SUBSTITUTE(SUBSTITUTE(SUBSTITUTE(SUBSTITUTE(SUBSTITUTE(SUBSTITUTE(SUBSTITUTE(SUBSTITUTE(SUBSTITUTE(SUBSTITUTE(SUBSTITUTE(SUBSTITUTE(SUBSTITUTE(SUBSTITUTE(SUBSTITUTE(SUBSTITUTE(SUBSTITUTE(SUBSTITUTE(SUBSTITUTE(SUBSTITUTE(SUBSTITUTE(BM299,"b","a"),"c","a"),"d","a"),"e","a"),"f","a"),"g","a"),"h","a"),"i","a"),"j","a"),"k","a"),"l","a"),"m","a"),"n","a"),"o","a"),"p","a"),"q","a"),"r","a"),"s","a"),"t","a"),"u","a"),"v","a"),"w","a"),"x","a"),"y","a"),"z","a")</f>
        <v/>
      </c>
      <c r="BO299" s="61" t="str">
        <f aca="false">SUBSTITUTE(SUBSTITUTE(SUBSTITUTE(SUBSTITUTE(SUBSTITUTE(SUBSTITUTE(SUBSTITUTE(SUBSTITUTE(SUBSTITUTE(LOWER(W299&amp;""),"1","0"),"2","0"),"3","0"),"4","0"),"5","0"),"6","0"),"7","0"),"8","0"),"9","0")</f>
        <v/>
      </c>
      <c r="BP299" s="61" t="str">
        <f aca="false">SUBSTITUTE(SUBSTITUTE(SUBSTITUTE(SUBSTITUTE(SUBSTITUTE(SUBSTITUTE(SUBSTITUTE(SUBSTITUTE(SUBSTITUTE(SUBSTITUTE(SUBSTITUTE(SUBSTITUTE(SUBSTITUTE(SUBSTITUTE(SUBSTITUTE(SUBSTITUTE(SUBSTITUTE(SUBSTITUTE(SUBSTITUTE(SUBSTITUTE(SUBSTITUTE(SUBSTITUTE(SUBSTITUTE(SUBSTITUTE(SUBSTITUTE(BO299,"b","a"),"c","a"),"d","a"),"e","a"),"f","a"),"g","a"),"h","a"),"i","a"),"j","a"),"k","a"),"l","a"),"m","a"),"n","a"),"o","a"),"p","a"),"q","a"),"r","a"),"s","a"),"t","a"),"u","a"),"v","a"),"w","a"),"x","a"),"y","a"),"z","a")</f>
        <v/>
      </c>
      <c r="BQ299" s="61" t="n">
        <f aca="false">IFERROR(IF(AND(ISERROR(SEARCH(" mh"," "&amp;LOWER(W299))),ISNA(MATCH(LEFT(TRIM(BP299),255),{"0000a","000a","00a","0000aa","000aa","00aa","0aa","0000aaa","000aaa","00a00","0a00","0000-0000","00:00","a00","a0","00.00.0000","00/00/0000","00-00-0000","0000-00-00","0000/00/00","0000.00.00","00.00.00","00/00/00","00-00-00","0.00.0000","0/00/0000","0-00-0000"},0)),ISNA(MATCH(LEFT(TRIM(CA299),255),{"0000a","000a","00a","0000aa","000aa","00aa","0aa","0000aaa","000aaa","00a00","0a00","0000-0000","00:00","a00","a0","00.00.0000","00/00/0000","00-00-0000","0000-00-00","0000/00/00","0000.00.00","00.00.00","00/00/00","00-00-00","0.00.0000","0/00/0000","0-00-0000"},0)),LEN(CB299)&gt;=3,NOT(OR(SUBSTITUTE(CB299,"0","")="",AND(LEN(CB299)&gt;=4,CB299=REPT(LEFT(CB299),LEN(CB299))),ISNUMBER(MATCH(CB299,{"123","1234","12345","123456","1234567","12345678","0123","01234","012345","98765","987654","54321"},0)),AND(LEN(CB299)=8,LEFT(CB299,3)="202"))),OR(AND((LEN(CA299)-LEN(SUBSTITUTE(CA299,"a","")))&gt;=1,SUMPRODUCT(--ISNUMBER(SEARCH({"a0","a-0","a_0","a/0","a.0","a#0","0a","0-a","0_a","0/a"},BP299)))&gt;0),ISNUMBER(SEARCH("000000",BP299)))),1,0),0)</f>
        <v>0</v>
      </c>
      <c r="BR299" s="61" t="n">
        <f aca="false">IFERROR(LEN(SUBSTITUTE(CC299," ",""))-SUMPRODUCT((LEN(CC299)-LEN(SUBSTITUTE(CC299," "&amp;L_Role&amp;" "," ")))/(LEN(L_Role)+1)*LEN(L_Role)),0)</f>
        <v>0</v>
      </c>
      <c r="BS299" s="61" t="n">
        <f aca="false">IFERROR(LEN(SUBSTITUTE(CD299," ",""))-SUMPRODUCT((LEN(CD299)-LEN(SUBSTITUTE(CD299," "&amp;L_Role&amp;" "," ")))/(LEN(L_Role)+1)*LEN(L_Role)),0)</f>
        <v>0</v>
      </c>
      <c r="BT2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299,"revision",""),"version",""),"jan",""),"feb",""),"mar",""),"apr",""),"may",""),"jun",""),"jul",""),"aug",""),"sep",""),"oct",""),"nov",""),"dec",""),"utc",""),"gmt",""),"myt",""),"bst",""),"rev",""),"ver",""),"b","a"),"c","a"),"d","a"),"e","a"),"f","a"),"g","a"),"h","a"),"i","a"),"j","a"),"k","a"),"l","a"),"m","a"),"n","a"),"o","a"),"p","a"),"q","a"),"r","a"),"s","a"),"t","a"),"u","a"),"v","a"),"w","a"),"x","a"),"y","a"),"z","a")</f>
        <v/>
      </c>
      <c r="BU299" s="61" t="str">
        <f aca="false">SUBSTITUTE(SUBSTITUTE(SUBSTITUTE(SUBSTITUTE(SUBSTITUTE(SUBSTITUTE(SUBSTITUTE(SUBSTITUTE(SUBSTITUTE(SUBSTITUTE(LEFT(BM299,FIND("0",BM299&amp;"0")-1),"-",""),"_",""),"/",""),".",""),"#",""),"\\",""),":","")," ",""),"(",""),")","")</f>
        <v/>
      </c>
      <c r="BV299" s="61" t="n">
        <f aca="false">0</f>
        <v>0</v>
      </c>
      <c r="BW2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299&amp;""),"a",""),"b",""),"c",""),"d",""),"e",""),"f",""),"g",""),"h",""),"i",""),"j",""),"k",""),"l",""),"m",""),"n",""),"o",""),"p",""),"q",""),"r",""),"s",""),"t",""),"u",""),"v",""),"w",""),"x",""),"y",""),"z",""),"-",""),"_",""),"/",""),".",""),"#",""),"\\",""),":","")," ",""),"(",""),")","")</f>
        <v/>
      </c>
      <c r="BX299" s="61" t="str">
        <f aca="false">SUBSTITUTE(SUBSTITUTE(SUBSTITUTE(SUBSTITUTE(SUBSTITUTE(SUBSTITUTE(SUBSTITUTE(SUBSTITUTE(SUBSTITUTE(SUBSTITUTE(SUBSTITUTE(BM299,"0",""),"-",""),"_",""),"/",""),".",""),"#",""),"\\",""),":","")," ",""),"(",""),")","")</f>
        <v/>
      </c>
      <c r="BY299" s="62" t="n">
        <f aca="false">Q299-T12EarlyH/24</f>
        <v>46305.2534722222</v>
      </c>
      <c r="BZ299" s="61" t="n">
        <f aca="false">IFERROR(IF(IF(TRIM(S299)="Link / file path",AND(LEN(TRIM(Z299))&gt;=5,SUMPRODUCT(--ISNUMBER(SEARCH({"http","www.","\\",":\",".pdf",".jpg",".jpeg",".png",".heic",".xls",".doc",".msg",".eml",".ppt",".txt",".zip"},Z299)))&gt;0),AND(ISERROR(FIND(" ",TRIM(Z299))),NOT(OR(SUMPRODUCT(--ISNUMBER(FIND({",",";","&amp;","+"},Z299)))&gt;0,SUMPRODUCT(--ISNUMBER(SEARCH({"0/aa","0\\aa"},BN299)))&gt;0)),NOT(SUMPRODUCT(--ISNUMBER(SEARCH({"http","www.","\\",":\",".pdf",".jpg",".jpeg",".png",".heic",".xls",".doc",".msg",".eml",".ppt",".txt",".zip"},Z299)))&gt;0),NOT(LOWER(TRIM(Z299))=LOWER(Flights!$F$13)),ISNA(MATCH(BU299,{"mh","rev","revision","ver","version","v","r","a","b","seat","tray","row","gate","bay","stand","page","pg","item","line","no","cart","galley","flight","flt","table","box","bag","oven","etd","eta","std","sta","atd","ata","qty","pax","x","time","tel","ph","mob","day","wk","week","utc","gmt","myt","lt"},0)),NOT(OR(ISNUMBER(MATCH(LEFT(BN299,255),{"0000a","000a","00a","0000aa","000aa","00aa","0aa","0000aaa","000aaa","00a00","0a00","0000-0000","00:00","a00","a0","00.00.0000","00/00/0000","00-00-0000","0000-00-00","0000/00/00","0000.00.00","00.00.00","00/00/00","00-00-00","0.00.0000","0/00/0000","0-00-0000"},0)),ISNUMBER(MATCH(LEFT(BT299,255),{"0000a","000a","00a","0000aa","000aa","00aa","0aa","0000aaa","000aaa","00a00","0a00","0000-0000","00:00","a00","a0","00.00.0000","00/00/0000","00-00-0000","0000-00-00","0000/00/00","0000.00.00","00.00.00","00/00/00","00-00-00","0.00.0000","0/00/0000","0-00-0000"},0)))),NOT(OR(AND(BW299&lt;&gt;"",SUBSTITUTE(BW299,"0","")=""),AND(LEN(BW299)&gt;=4,BW299=REPT(LEFT(BW299),LEN(BW299))),ISNUMBER(MATCH(BW299,{"123","1234","12345","123456","1234567","12345678","0123","01234","012345","98765","987654","54321"},0)),ISNUMBER(MATCH(BX299,{"x","xx","xxx","xxxx","xxxxx","abc","abcd","nil","na","nan","test","tbc","tba","tbd","dummy","sample","example","eg","zz","zzz","none","null","xyz","qwe","asd","id","ref"},0)),AND(LEN(BW299)=8,BX299="",OR(LEFT(BW299,3)="202",ISNUMBER(MATCH(RIGHT(BW299,4),{"2025","2026","2027"},0)))))),OR(AND((LEN(BT299)-LEN(SUBSTITUTE(BT299,"a","")))&gt;=1,(LEN(BN299)-LEN(SUBSTITUTE(BN299,"0","")))&gt;=2,SUMPRODUCT(--ISNUMBER(SEARCH({"a0","a-0","a_0","a/0","a.0","a#0","0a","0-a","0_a","0/a"},BN299)))&gt;0),AND((LEN(BN299)-LEN(SUBSTITUTE(BN299,"a","")))=0,(LEN(BN299)-LEN(SUBSTITUTE(BN299,"0","")))&gt;=5)))),1,0),0)</f>
        <v>0</v>
      </c>
      <c r="CA2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299,"revision",""),"version",""),"jan",""),"feb",""),"mar",""),"apr",""),"may",""),"jun",""),"jul",""),"aug",""),"sep",""),"oct",""),"nov",""),"dec",""),"utc",""),"gmt",""),"myt",""),"bst",""),"rev",""),"ver",""),"b","a"),"c","a"),"d","a"),"e","a"),"f","a"),"g","a"),"h","a"),"i","a"),"j","a"),"k","a"),"l","a"),"m","a"),"n","a"),"o","a"),"p","a"),"q","a"),"r","a"),"s","a"),"t","a"),"u","a"),"v","a"),"w","a"),"x","a"),"y","a"),"z","a")</f>
        <v/>
      </c>
      <c r="CB2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299&amp;""),"a",""),"b",""),"c",""),"d",""),"e",""),"f",""),"g",""),"h",""),"i",""),"j",""),"k",""),"l",""),"m",""),"n",""),"o",""),"p",""),"q",""),"r",""),"s",""),"t",""),"u",""),"v",""),"w",""),"x",""),"y",""),"z",""),"-",""),"_",""),"/",""),".",""),"#",""),"\\",""),":","")," ",""),"(",""),")","")</f>
        <v/>
      </c>
      <c r="CC299" s="0" t="str">
        <f aca="false">" "&amp;TRIM(SUBSTITUTE(SUBSTITUTE(SUBSTITUTE(SUBSTITUTE(SUBSTITUTE(SUBSTITUTE(SUBSTITUTE(SUBSTITUTE(SUBSTITUTE(SUBSTITUTE(SUBSTITUTE(SUBSTITUTE(SUBSTITUTE(SUBSTITUTE(SUBSTITUTE(SUBSTITUTE(SUBSTITUTE(SUBSTITUTE(SUBSTITUTE(SUBSTITUTE(SUBSTITUTE(SUBSTITUTE(SUBSTITUTE(SUBSTITUTE(LOWER(T299&amp;""),CHAR(10)," "),CHAR(13)," "),CHAR(9)," "),CHAR(160)," "),"."," "),","," "),"-"," "),"/"," "),"("," "),")"," "),":"," "),";"," "),"_"," "),"–"," "),"?"," "),"!"," "),"*"," "),"["," "),"]"," "),"'"," "),"#"," "),"+"," "),"&amp;"," "),"\"," "))&amp;" "</f>
        <v>  </v>
      </c>
      <c r="CD299" s="0" t="str">
        <f aca="false">" "&amp;TRIM(SUBSTITUTE(SUBSTITUTE(SUBSTITUTE(SUBSTITUTE(SUBSTITUTE(SUBSTITUTE(SUBSTITUTE(SUBSTITUTE(SUBSTITUTE(SUBSTITUTE(SUBSTITUTE(SUBSTITUTE(SUBSTITUTE(SUBSTITUTE(SUBSTITUTE(SUBSTITUTE(SUBSTITUTE(SUBSTITUTE(SUBSTITUTE(SUBSTITUTE(SUBSTITUTE(SUBSTITUTE(SUBSTITUTE(SUBSTITUTE(LOWER(AE299&amp;""),CHAR(10)," "),CHAR(13)," "),CHAR(9)," "),CHAR(160)," "),"."," "),","," "),"-"," "),"/"," "),"("," "),")"," "),":"," "),";"," "),"_"," "),"–"," "),"?"," "),"!"," "),"*"," "),"["," "),"]"," "),"'"," "),"#"," "),"+"," "),"&amp;"," "),"\"," "))&amp;" "</f>
        <v>  </v>
      </c>
      <c r="CE299" s="68" t="n">
        <f aca="false">IFERROR(IF(AND(LEN(AU299)&gt;0,LEN(AU299)=LEN(AX299),OR(TRIM(MID(SUBSTITUTE(TRIM(CC299)," ",REPT(" ",60)),1,60))="",ISNUMBER(SEARCH(" "&amp;TRIM(MID(SUBSTITUTE(TRIM(CC299)," ",REPT(" ",60)),1,60))&amp;" ",CD299))),OR(TRIM(MID(SUBSTITUTE(TRIM(CC299)," ",REPT(" ",60)),61,60))="",ISNUMBER(SEARCH(" "&amp;TRIM(MID(SUBSTITUTE(TRIM(CC299)," ",REPT(" ",60)),61,60))&amp;" ",CD299))),OR(TRIM(MID(SUBSTITUTE(TRIM(CC299)," ",REPT(" ",60)),121,60))="",ISNUMBER(SEARCH(" "&amp;TRIM(MID(SUBSTITUTE(TRIM(CC299)," ",REPT(" ",60)),121,60))&amp;" ",CD299)))),1,0),0)</f>
        <v>0</v>
      </c>
      <c r="CG299" s="68" t="n">
        <f aca="false">IFERROR(LEN(SUBSTITUTE(BF299," ",""))-SUMPRODUCT((LEN(BF299)-LEN(SUBSTITUTE(BF299," "&amp;L_NAFiller&amp;" "," ")))/(LEN(L_NAFiller)+1)*LEN(L_NAFiller)),0)</f>
        <v>0</v>
      </c>
    </row>
    <row r="300" customFormat="false" ht="66" hidden="false" customHeight="true" outlineLevel="0" collapsed="false">
      <c r="A300" s="57" t="s">
        <v>875</v>
      </c>
      <c r="B300" s="57" t="s">
        <v>246</v>
      </c>
      <c r="C300" s="57" t="str">
        <f aca="false">Flights!$F$13</f>
        <v>MH0753</v>
      </c>
      <c r="D300" s="58" t="n">
        <f aca="false">Flights!$D$13</f>
        <v>46306</v>
      </c>
      <c r="E300" s="57" t="str">
        <f aca="false">Flights!$G$13&amp;"-"&amp;Flights!$H$13</f>
        <v>HAN-KUL</v>
      </c>
      <c r="F300" s="57" t="str">
        <f aca="false">Flights!$K$13</f>
        <v>BC</v>
      </c>
      <c r="G300" s="57" t="s">
        <v>420</v>
      </c>
      <c r="H300" s="57" t="s">
        <v>378</v>
      </c>
      <c r="I300" s="57" t="s">
        <v>440</v>
      </c>
      <c r="J300" s="57" t="s">
        <v>494</v>
      </c>
      <c r="K300" s="67" t="s">
        <v>495</v>
      </c>
      <c r="L300" s="67" t="s">
        <v>876</v>
      </c>
      <c r="M300" s="67" t="s">
        <v>451</v>
      </c>
      <c r="N300" s="67" t="s">
        <v>383</v>
      </c>
      <c r="O300" s="67" t="s">
        <v>877</v>
      </c>
      <c r="P300" s="57" t="s">
        <v>240</v>
      </c>
      <c r="Q300" s="59" t="n">
        <f aca="false">ROUND((Flights!$AE$13)*1440,0)/1440</f>
        <v>46305.7534722222</v>
      </c>
      <c r="R300" s="59" t="n">
        <f aca="false">Q300+(IF(AND(INDEX(TZ_DSTS,MATCH(P300,TZ_STN,0))&lt;&gt;"",Q300&gt;=INDEX(TZ_DSTS,MATCH(P300,TZ_STN,0)),Q300&lt;INDEX(TZ_DSTE,MATCH(P300,TZ_STN,0))),INDEX(TZ_DST,MATCH(P300,TZ_STN,0)),INDEX(TZ_STD,MATCH(P300,TZ_STN,0))))/24</f>
        <v>46306.0451388889</v>
      </c>
      <c r="S300" s="60"/>
      <c r="T300" s="60"/>
      <c r="U300" s="60"/>
      <c r="V300" s="60"/>
      <c r="W300" s="61"/>
      <c r="X300" s="60"/>
      <c r="Y300" s="60"/>
      <c r="Z300" s="60"/>
      <c r="AA300" s="60"/>
      <c r="AB300" s="60"/>
      <c r="AC300" s="60"/>
      <c r="AD300" s="66"/>
      <c r="AE300" s="60"/>
      <c r="AF300" s="61" t="str">
        <f aca="false">IF(AND(ISNUMBER(X300),ISNUMBER(Y300)),Y300-X300,"")</f>
        <v/>
      </c>
      <c r="AG300" s="62" t="str">
        <f aca="false">IF(ISNUMBER(AD300),AD300-(IF(AND(INDEX(TZ_DSTS,MATCH(P300,TZ_STN,0))&lt;&gt;"",(AD300-INDEX(TZ_STD,MATCH(P300,TZ_STN,0))/24)&gt;=INDEX(TZ_DSTS,MATCH(P300,TZ_STN,0)),(AD300-INDEX(TZ_STD,MATCH(P300,TZ_STN,0))/24)&lt;INDEX(TZ_DSTE,MATCH(P300,TZ_STN,0))),INDEX(TZ_DST,MATCH(P300,TZ_STN,0)),INDEX(TZ_STD,MATCH(P300,TZ_STN,0))))/24,"")</f>
        <v/>
      </c>
      <c r="AH300" s="65" t="str">
        <f aca="false">IFERROR(IF(N300="N/A – rule",IF(OR(TRIM(U300)="",TRIM(U300)="N/A",TRIM(U300)="Not started"),"N/A – RULE","INVALID – this check does not apply to this aircraft: clear the status (or correct the fleet on Flights)"),IF(TRIM(U300)="N/A",IF(AT300=0,"INVALID – N/A not permitted for this check",IF(AND(TRIM(AB300)&lt;&gt;"",TRIM(AB300)&lt;&gt;"Closed"),"INVALID – corrective action still open",IF(AND(NOT(OR(LEN(AZ300)&lt;15,ISNUMBER(MATCH(AZ300,L_Placeholder,0)))),BK300=0,CG300&gt;=8,NOT(OR(LEN(AU300)&lt;2,ISNUMBER(MATCH(AU300,L_Placeholder,0)))),BR300&gt;=3,NOT(OR(LEN(AX300)&lt;2,ISNUMBER(MATCH(AX300,L_Placeholder,0)))),BS300&gt;=3,TRIM(AE300)&lt;&gt;TRIM(T300),AX300&lt;&gt;AU300,CE300=0),"N/A – JUSTIFIED","INVALID – N/A needs a real, settled reason (not 'not applicable' / 'as above' / TBC), a named PIC and a different named verifier"))),IF(OR(TRIM(U300)="Pass",TRIM(U300)="Pass after CA"),IF(NOT(ISNUMBER(AD300)),"INVALID – completion time missing",IF(OR(OR(LEN(AU300)&lt;2,ISNUMBER(MATCH(AU300,L_Placeholder,0))),BR300&lt;3),"INVALID – PIC missing or not a named person (a role such as QA / CSM is not a name)",IF(OR(LEN(AV300)&lt;2,ISNUMBER(MATCH(AV300,L_Placeholder,0))),"INVALID – result / assessment missing",IF(OR(OR(LEN(AW300)&lt;3,ISNUMBER(MATCH(AW300,L_Placeholder,0))),SUMPRODUCT(--ISNUMBER(SEARCH(" "&amp;L_EvidencePhrase&amp;" ",BD300)))&gt;0,BI300=1),"INVALID – evidence missing, placeholder or not yet on file",IF(ISNA(MATCH(TRIM(S300),L_EvidenceType,0)),"INVALID – choose the evidence type from the list (column S)",IF(BL300=0,"INVALID – evidence ID must be the record's own ID only (e.g. SF-2210, IMG_2231, 1045521); a link / file name needs type 'Link / file path'",IF(OR(OR(LEN(AX300)&lt;2,ISNUMBER(MATCH(AX300,L_Placeholder,0))),BS300&lt;3),"INVALID – verifier missing or not a named person (a role such as QA / CSM is not a name)",IF(OR(AX300=AU300,CE300=1,AND(LEN(AU300)&gt;=4,ISNUMBER(SEARCH(AU300,AX300))),AND(LEN(AX300)&gt;=4,ISNUMBER(SEARCH(AX300,AU300)))),"INVALID – verifier must be a different, named person (not the PIC or a role)",IF(BH300=1,"INVALID – result not yet available (awaiting / TBC)",IF(BG300=1,"INVALID – result describes a problem: record Fail, then Pass after CA (or reword if it is not a problem)",IF(BV300=1,"INVALID – wording says not on board: an on-board confirmation needs the item loaded",IF(AND(AQ300=1,OR(OR(LEN(AY300)&lt;3,ISNUMBER(MATCH(AY300,L_Placeholder,0))),BJ300=1,BQ300=0)),"INVALID – batch ID missing, placeholder or not an ID (e.g. PASB-261008-BC-017)",IF(AND(AR300=1,OR(NOT(ISNUMBER(X300)),NOT(ISNUMBER(Y300)))),"INVALID – expected/actual qty missing",IF(AND(AR300=1,OR(X300&lt;=0,Y300&lt;0)),"INVALID – expected qty must be above 0 and actual not negative",IF(BB300&lt;&gt;"",BB300,IF(AND(AS300=1,Documents!$J$13&lt;&gt;"ON FILE"),"INVALID – GLD not on file (Documents sheet)",IF(AND(AS300=2,Documents!$O$13&lt;&gt;"ON FILE"),"INVALID – menu checklist not on file (Documents sheet)",IF(AND(AS300=3,NOT(ISNUMBER(Flights!$AX$13))),"INVALID – enter carrying flight KUL departure (Flights AX)",IF(AND(AS300=3,OR(Flights!$AZ$13&gt;Flights!$AA$13,Flights!$AX$13&lt;Flights!$AA$13-3)),"INVALID – carrying flight (Flights AX) cannot arrive before this leg's STD, or is over 3 days early",IF(AG300&gt;AsOfUTC,"INVALID – completion time is in the future",IF(AND(ISNUMBER(BY300),AG300&lt;BY300),IF(H300="Physical uplift","INVALID – before uplift window (cannot confirm loading)","INVALID – before valid window"),IF(AG300&gt;Flights!$AA$13,"INVALID – completed after departure (cannot establish readiness)",IF(AND(H300="Preparation",AG300&gt;=IF(ISNUMBER(Flights!$BA$13),MIN(Flights!$BA$13,Flights!$AA$13),Flights!$AA$13)),"INVALID – completed after loading / departure (cannot establish readiness)",IF(AND(H300="Physical uplift",AG300&gt;Q300),"INVALID – recorded after the loading flight departed",IF(AG300&gt;Q300,"COMPLETE – LATE","COMPLETE"))))))))))))))))))))))))),IF(TRIM(U300)="Fail","FAIL – DISCREPANCY",IF(AND(TRIM(U300)&lt;&gt;"",TRIM(U300)&lt;&gt;"Not started",TRIM(U300)&lt;&gt;"In progress"),"INVALID – unrecognised status (use the list)",IF(AsOfUTC&gt;Q300,"OVERDUE",IF(N300="Clarification required","OPEN – CLARIFICATION","OPEN"))))))),"INVALID – error value in an input cell")</f>
        <v>OPEN</v>
      </c>
      <c r="AI300" s="61" t="n">
        <f aca="false">IF(OR(AH300="N/A – RULE",AH300="N/A – JUSTIFIED"),0,1)</f>
        <v>1</v>
      </c>
      <c r="AJ300" s="61" t="n">
        <f aca="false">IF(LEFT(AH300,8)="COMPLETE",1,0)</f>
        <v>0</v>
      </c>
      <c r="AK300" s="61" t="n">
        <f aca="false">IF(AND(AI300=1,AJ300=0,AsOfUTC&gt;Q300),1,0)</f>
        <v>0</v>
      </c>
      <c r="AL300" s="61" t="n">
        <f aca="false">IFERROR(IF(AND(AI300=1,OR(TRIM(U300)="Fail",AND(TRIM(AB300)&lt;&gt;"",TRIM(AB300)&lt;&gt;"Closed"),AND(ISNUMBER(AF300),AF300&lt;&gt;0,TRIM(U300)&lt;&gt;"Pass after CA"))),1,0),1)</f>
        <v>0</v>
      </c>
      <c r="AM300" s="61" t="n">
        <f aca="false">IF(LEFT(AH300,7)="INVALID",1,0)</f>
        <v>0</v>
      </c>
      <c r="AN300" s="61" t="n">
        <f aca="false">IF(AND(N300="Clarification required",AI300=1,AJ300=0),1,0)</f>
        <v>0</v>
      </c>
      <c r="AO300" s="61" t="str">
        <f aca="false">IF(AK300=1,SUM(AK$5:AK300),"")</f>
        <v/>
      </c>
      <c r="AP300" s="61" t="str">
        <f aca="false">IF(AL300=1,SUM(AL$5:AL300),"")</f>
        <v/>
      </c>
      <c r="AQ300" s="61" t="n">
        <v>0</v>
      </c>
      <c r="AR300" s="61" t="n">
        <v>0</v>
      </c>
      <c r="AS300" s="61" t="n">
        <v>0</v>
      </c>
      <c r="AT300" s="61" t="n">
        <v>0</v>
      </c>
      <c r="AU300" s="61" t="str">
        <f aca="false">SUBSTITUTE(SUBSTITUTE(SUBSTITUTE(SUBSTITUTE(SUBSTITUTE(SUBSTITUTE(SUBSTITUTE(SUBSTITUTE(SUBSTITUTE(SUBSTITUTE(SUBSTITUTE(SUBSTITUTE(SUBSTITUTE(SUBSTITUTE(SUBSTITUTE(SUBSTITUTE(LOWER(T300&amp;""),CHAR(10),""),CHAR(13),""),CHAR(9),""),CHAR(160),"")," ",""),".",""),"-",""),"/",""),"?",""),"_",""),",",""),"[",""),"]",""),"(",""),")",""),"*","")</f>
        <v/>
      </c>
      <c r="AV300" s="61" t="str">
        <f aca="false">SUBSTITUTE(SUBSTITUTE(SUBSTITUTE(SUBSTITUTE(SUBSTITUTE(SUBSTITUTE(SUBSTITUTE(SUBSTITUTE(SUBSTITUTE(SUBSTITUTE(SUBSTITUTE(SUBSTITUTE(SUBSTITUTE(SUBSTITUTE(SUBSTITUTE(SUBSTITUTE(LOWER(V300&amp;""),CHAR(10),""),CHAR(13),""),CHAR(9),""),CHAR(160),"")," ",""),".",""),"-",""),"/",""),"?",""),"_",""),",",""),"[",""),"]",""),"(",""),")",""),"*","")</f>
        <v/>
      </c>
      <c r="AW300" s="61" t="str">
        <f aca="false">SUBSTITUTE(SUBSTITUTE(SUBSTITUTE(SUBSTITUTE(SUBSTITUTE(SUBSTITUTE(SUBSTITUTE(SUBSTITUTE(SUBSTITUTE(SUBSTITUTE(SUBSTITUTE(SUBSTITUTE(SUBSTITUTE(SUBSTITUTE(SUBSTITUTE(SUBSTITUTE(LOWER(Z300&amp;""),CHAR(10),""),CHAR(13),""),CHAR(9),""),CHAR(160),"")," ",""),".",""),"-",""),"/",""),"?",""),"_",""),",",""),"[",""),"]",""),"(",""),")",""),"*","")</f>
        <v/>
      </c>
      <c r="AX300" s="61" t="str">
        <f aca="false">SUBSTITUTE(SUBSTITUTE(SUBSTITUTE(SUBSTITUTE(SUBSTITUTE(SUBSTITUTE(SUBSTITUTE(SUBSTITUTE(SUBSTITUTE(SUBSTITUTE(SUBSTITUTE(SUBSTITUTE(SUBSTITUTE(SUBSTITUTE(SUBSTITUTE(SUBSTITUTE(LOWER(AE300&amp;""),CHAR(10),""),CHAR(13),""),CHAR(9),""),CHAR(160),"")," ",""),".",""),"-",""),"/",""),"?",""),"_",""),",",""),"[",""),"]",""),"(",""),")",""),"*","")</f>
        <v/>
      </c>
      <c r="AY300" s="61" t="str">
        <f aca="false">SUBSTITUTE(SUBSTITUTE(SUBSTITUTE(SUBSTITUTE(SUBSTITUTE(SUBSTITUTE(SUBSTITUTE(SUBSTITUTE(SUBSTITUTE(SUBSTITUTE(SUBSTITUTE(SUBSTITUTE(SUBSTITUTE(SUBSTITUTE(SUBSTITUTE(SUBSTITUTE(LOWER(W300&amp;""),CHAR(10),""),CHAR(13),""),CHAR(9),""),CHAR(160),"")," ",""),".",""),"-",""),"/",""),"?",""),"_",""),",",""),"[",""),"]",""),"(",""),")",""),"*","")</f>
        <v/>
      </c>
      <c r="AZ300" s="61" t="str">
        <f aca="false">SUBSTITUTE(SUBSTITUTE(SUBSTITUTE(SUBSTITUTE(SUBSTITUTE(SUBSTITUTE(SUBSTITUTE(SUBSTITUTE(SUBSTITUTE(SUBSTITUTE(SUBSTITUTE(SUBSTITUTE(SUBSTITUTE(SUBSTITUTE(SUBSTITUTE(SUBSTITUTE(LOWER(AC300&amp;""),CHAR(10),""),CHAR(13),""),CHAR(9),""),CHAR(160),"")," ",""),".",""),"-",""),"/",""),"?",""),"_",""),",",""),"[",""),"]",""),"(",""),")",""),"*","")</f>
        <v/>
      </c>
      <c r="BA300" s="61" t="str">
        <f aca="false">SUBSTITUTE(SUBSTITUTE(SUBSTITUTE(SUBSTITUTE(SUBSTITUTE(SUBSTITUTE(SUBSTITUTE(SUBSTITUTE(SUBSTITUTE(SUBSTITUTE(SUBSTITUTE(SUBSTITUTE(SUBSTITUTE(SUBSTITUTE(SUBSTITUTE(SUBSTITUTE(LOWER(AA300&amp;""),CHAR(10),""),CHAR(13),""),CHAR(9),""),CHAR(160),"")," ",""),".",""),"-",""),"/",""),"?",""),"_",""),",",""),"[",""),"]",""),"(",""),")",""),"*","")</f>
        <v/>
      </c>
      <c r="BB300" s="61" t="str">
        <f aca="false">IF(AND(TRIM(U300)="Pass",ISNUMBER(AF300)),IF(AF300&lt;&gt;0,"INVALID – qty variance: use Fail or Pass after CA",""),"")&amp;IF(AND(TRIM(U300)="Pass after CA",ISNUMBER(AF300)),IF(AF300&lt;&gt;0,"INVALID – after the corrective action the actual qty must equal expected (update Actual)",""),"")&amp;IF(AND(TRIM(U300)="Pass",TRIM(AB300)&lt;&gt;"",TRIM(AB300)&lt;&gt;"Closed"),"INVALID – corrective action not closed: use Fail, then Pass after CA","")&amp;IF(AND(LEN(BA300)&gt;=2,ISNA(MATCH(LEFT(BA300,255),L_Placeholder,0)),TRIM(AB300)=""),"INVALID – CA status missing for the recorded corrective action","")&amp;IF(AND(TRIM(U300)="Pass after CA",OR(OR(LEN(BA300)&lt;5,ISNUMBER(MATCH(BA300,L_Placeholder,0))),TRIM(AB300)&lt;&gt;"Closed")),"INVALID – corrective action not recorded/closed","")</f>
        <v/>
      </c>
      <c r="BC300" s="61" t="str">
        <f aca="false">" "&amp;TRIM(SUBSTITUTE(SUBSTITUTE(SUBSTITUTE(SUBSTITUTE(SUBSTITUTE(SUBSTITUTE(SUBSTITUTE(SUBSTITUTE(SUBSTITUTE(SUBSTITUTE(SUBSTITUTE(SUBSTITUTE(SUBSTITUTE(SUBSTITUTE(SUBSTITUTE(SUBSTITUTE(SUBSTITUTE(SUBSTITUTE(SUBSTITUTE(SUBSTITUTE(SUBSTITUTE(SUBSTITUTE(SUBSTITUTE(SUBSTITUTE(LOWER(V300&amp;""),CHAR(10)," "),CHAR(13)," "),CHAR(9)," "),CHAR(160)," "),"."," "),","," "),"-"," "),"/"," "),"("," "),")"," "),":"," "),";"," "),"_"," "),"–"," "),"?"," "),"!"," "),"*"," "),"["," "),"]"," "),"'"," "),"#"," "),"+"," "),"&amp;"," "),"\"," "))&amp;" "</f>
        <v>  </v>
      </c>
      <c r="BD300" s="61" t="str">
        <f aca="false">" "&amp;TRIM(SUBSTITUTE(SUBSTITUTE(SUBSTITUTE(SUBSTITUTE(SUBSTITUTE(SUBSTITUTE(SUBSTITUTE(SUBSTITUTE(SUBSTITUTE(SUBSTITUTE(SUBSTITUTE(SUBSTITUTE(SUBSTITUTE(SUBSTITUTE(SUBSTITUTE(SUBSTITUTE(SUBSTITUTE(SUBSTITUTE(SUBSTITUTE(SUBSTITUTE(SUBSTITUTE(SUBSTITUTE(SUBSTITUTE(SUBSTITUTE(LOWER(Z300&amp;""),CHAR(10)," "),CHAR(13)," "),CHAR(9)," "),CHAR(160)," "),"."," "),","," "),"-"," "),"/"," "),"("," "),")"," "),":"," "),";"," "),"_"," "),"–"," "),"?"," "),"!"," "),"*"," "),"["," "),"]"," "),"'"," "),"#"," "),"+"," "),"&amp;"," "),"\"," "))&amp;" "</f>
        <v>  </v>
      </c>
      <c r="BE300" s="61" t="str">
        <f aca="false">" "&amp;TRIM(SUBSTITUTE(SUBSTITUTE(SUBSTITUTE(SUBSTITUTE(SUBSTITUTE(SUBSTITUTE(SUBSTITUTE(SUBSTITUTE(SUBSTITUTE(SUBSTITUTE(SUBSTITUTE(SUBSTITUTE(SUBSTITUTE(SUBSTITUTE(SUBSTITUTE(SUBSTITUTE(SUBSTITUTE(SUBSTITUTE(SUBSTITUTE(SUBSTITUTE(SUBSTITUTE(SUBSTITUTE(SUBSTITUTE(SUBSTITUTE(LOWER(W300&amp;""),CHAR(10)," "),CHAR(13)," "),CHAR(9)," "),CHAR(160)," "),"."," "),","," "),"-"," "),"/"," "),"("," "),")"," "),":"," "),";"," "),"_"," "),"–"," "),"?"," "),"!"," "),"*"," "),"["," "),"]"," "),"'"," "),"#"," "),"+"," "),"&amp;"," "),"\"," "))&amp;" "</f>
        <v>  </v>
      </c>
      <c r="BF300" s="61" t="str">
        <f aca="false">" "&amp;TRIM(SUBSTITUTE(SUBSTITUTE(SUBSTITUTE(SUBSTITUTE(SUBSTITUTE(SUBSTITUTE(SUBSTITUTE(SUBSTITUTE(SUBSTITUTE(SUBSTITUTE(SUBSTITUTE(SUBSTITUTE(SUBSTITUTE(SUBSTITUTE(SUBSTITUTE(SUBSTITUTE(SUBSTITUTE(SUBSTITUTE(SUBSTITUTE(SUBSTITUTE(SUBSTITUTE(SUBSTITUTE(SUBSTITUTE(SUBSTITUTE(LOWER(AC300&amp;""),CHAR(10)," "),CHAR(13)," "),CHAR(9)," "),CHAR(160)," "),"."," "),","," "),"-"," "),"/"," "),"("," "),")"," "),":"," "),";"," "),"_"," "),"–"," "),"?"," "),"!"," "),"*"," "),"["," "),"]"," "),"'"," "),"#"," "),"+"," "),"&amp;"," "),"\"," "))&amp;" "</f>
        <v>  </v>
      </c>
      <c r="BG300" s="61" t="n">
        <f aca="false">IFERROR(IF(AND(TRIM(U300)="Pass",SUMPRODUCT((LEN(BC300)-LEN(SUBSTITUTE(BC300," "&amp;L_ResultBad&amp;" "," ")))/(LEN(L_ResultBad)+1))&gt;SUMPRODUCT((LEN(BC300)-LEN(SUBSTITUTE(BC300," "&amp;L_NegPhrase&amp;" "," ")))/(LEN(L_NegPhrase)+1))),1,0),0)</f>
        <v>0</v>
      </c>
      <c r="BH300" s="61" t="n">
        <f aca="false">IFERROR(IF(SUMPRODUCT((LEN(BC300)-LEN(SUBSTITUTE(BC300," "&amp;L_Pending&amp;" "," ")))/(LEN(L_Pending)+1))&gt;SUMPRODUCT((LEN(BC300)-LEN(SUBSTITUTE(BC300," "&amp;L_PendNeg&amp;" "," ")))/(LEN(L_PendNeg)+1))+SUMPRODUCT((LEN(BC300)-LEN(SUBSTITUTE(BC300," "&amp;L_PendPrep&amp;" "," ")))/(LEN(L_PendPrep)+1)),1,0),1)</f>
        <v>0</v>
      </c>
      <c r="BI300" s="61" t="n">
        <f aca="false">IFERROR(IF(SUMPRODUCT((LEN(BD300)-LEN(SUBSTITUTE(BD300," "&amp;L_PendStrict&amp;" "," ")))/(LEN(L_PendStrict)+1))&gt;SUMPRODUCT((LEN(BD300)-LEN(SUBSTITUTE(BD300," "&amp;L_PendNeg&amp;" "," ")))/(LEN(L_PendNeg)+1)),1,0),1)</f>
        <v>0</v>
      </c>
      <c r="BJ300" s="61" t="n">
        <f aca="false">IFERROR(IF(SUMPRODUCT((LEN(BE300)-LEN(SUBSTITUTE(BE300," "&amp;L_Pending&amp;" "," ")))/(LEN(L_Pending)+1))&gt;SUMPRODUCT((LEN(BE300)-LEN(SUBSTITUTE(BE300," "&amp;L_PendNeg&amp;" "," ")))/(LEN(L_PendNeg)+1))+SUMPRODUCT((LEN(BE300)-LEN(SUBSTITUTE(BE300," "&amp;L_PendPrep&amp;" "," ")))/(LEN(L_PendPrep)+1)),1,0),1)</f>
        <v>0</v>
      </c>
      <c r="BK300" s="61" t="n">
        <f aca="false">IFERROR(IF(SUMPRODUCT((LEN(BF300)-LEN(SUBSTITUTE(BF300," "&amp;L_PendStrict&amp;" "," ")))/(LEN(L_PendStrict)+1))&gt;SUMPRODUCT((LEN(BF300)-LEN(SUBSTITUTE(BF300," "&amp;L_PendNeg&amp;" "," ")))/(LEN(L_PendNeg)+1)),1,0),1)</f>
        <v>0</v>
      </c>
      <c r="BL300" s="61" t="n">
        <f aca="false">IF(ISNA(MATCH(TRIM(S300),L_EvidenceType,0)),0,BZ300)</f>
        <v>0</v>
      </c>
      <c r="BM300" s="61" t="str">
        <f aca="false">SUBSTITUTE(SUBSTITUTE(SUBSTITUTE(SUBSTITUTE(SUBSTITUTE(SUBSTITUTE(SUBSTITUTE(SUBSTITUTE(SUBSTITUTE(LOWER(Z300&amp;""),"1","0"),"2","0"),"3","0"),"4","0"),"5","0"),"6","0"),"7","0"),"8","0"),"9","0")</f>
        <v/>
      </c>
      <c r="BN300" s="61" t="str">
        <f aca="false">SUBSTITUTE(SUBSTITUTE(SUBSTITUTE(SUBSTITUTE(SUBSTITUTE(SUBSTITUTE(SUBSTITUTE(SUBSTITUTE(SUBSTITUTE(SUBSTITUTE(SUBSTITUTE(SUBSTITUTE(SUBSTITUTE(SUBSTITUTE(SUBSTITUTE(SUBSTITUTE(SUBSTITUTE(SUBSTITUTE(SUBSTITUTE(SUBSTITUTE(SUBSTITUTE(SUBSTITUTE(SUBSTITUTE(SUBSTITUTE(SUBSTITUTE(BM300,"b","a"),"c","a"),"d","a"),"e","a"),"f","a"),"g","a"),"h","a"),"i","a"),"j","a"),"k","a"),"l","a"),"m","a"),"n","a"),"o","a"),"p","a"),"q","a"),"r","a"),"s","a"),"t","a"),"u","a"),"v","a"),"w","a"),"x","a"),"y","a"),"z","a")</f>
        <v/>
      </c>
      <c r="BO300" s="61" t="str">
        <f aca="false">SUBSTITUTE(SUBSTITUTE(SUBSTITUTE(SUBSTITUTE(SUBSTITUTE(SUBSTITUTE(SUBSTITUTE(SUBSTITUTE(SUBSTITUTE(LOWER(W300&amp;""),"1","0"),"2","0"),"3","0"),"4","0"),"5","0"),"6","0"),"7","0"),"8","0"),"9","0")</f>
        <v/>
      </c>
      <c r="BP300" s="61" t="str">
        <f aca="false">SUBSTITUTE(SUBSTITUTE(SUBSTITUTE(SUBSTITUTE(SUBSTITUTE(SUBSTITUTE(SUBSTITUTE(SUBSTITUTE(SUBSTITUTE(SUBSTITUTE(SUBSTITUTE(SUBSTITUTE(SUBSTITUTE(SUBSTITUTE(SUBSTITUTE(SUBSTITUTE(SUBSTITUTE(SUBSTITUTE(SUBSTITUTE(SUBSTITUTE(SUBSTITUTE(SUBSTITUTE(SUBSTITUTE(SUBSTITUTE(SUBSTITUTE(BO300,"b","a"),"c","a"),"d","a"),"e","a"),"f","a"),"g","a"),"h","a"),"i","a"),"j","a"),"k","a"),"l","a"),"m","a"),"n","a"),"o","a"),"p","a"),"q","a"),"r","a"),"s","a"),"t","a"),"u","a"),"v","a"),"w","a"),"x","a"),"y","a"),"z","a")</f>
        <v/>
      </c>
      <c r="BQ300" s="61" t="n">
        <f aca="false">IFERROR(IF(AND(ISERROR(SEARCH(" mh"," "&amp;LOWER(W300))),ISNA(MATCH(LEFT(TRIM(BP300),255),{"0000a","000a","00a","0000aa","000aa","00aa","0aa","0000aaa","000aaa","00a00","0a00","0000-0000","00:00","a00","a0","00.00.0000","00/00/0000","00-00-0000","0000-00-00","0000/00/00","0000.00.00","00.00.00","00/00/00","00-00-00","0.00.0000","0/00/0000","0-00-0000"},0)),ISNA(MATCH(LEFT(TRIM(CA300),255),{"0000a","000a","00a","0000aa","000aa","00aa","0aa","0000aaa","000aaa","00a00","0a00","0000-0000","00:00","a00","a0","00.00.0000","00/00/0000","00-00-0000","0000-00-00","0000/00/00","0000.00.00","00.00.00","00/00/00","00-00-00","0.00.0000","0/00/0000","0-00-0000"},0)),LEN(CB300)&gt;=3,NOT(OR(SUBSTITUTE(CB300,"0","")="",AND(LEN(CB300)&gt;=4,CB300=REPT(LEFT(CB300),LEN(CB300))),ISNUMBER(MATCH(CB300,{"123","1234","12345","123456","1234567","12345678","0123","01234","012345","98765","987654","54321"},0)),AND(LEN(CB300)=8,LEFT(CB300,3)="202"))),OR(AND((LEN(CA300)-LEN(SUBSTITUTE(CA300,"a","")))&gt;=1,SUMPRODUCT(--ISNUMBER(SEARCH({"a0","a-0","a_0","a/0","a.0","a#0","0a","0-a","0_a","0/a"},BP300)))&gt;0),ISNUMBER(SEARCH("000000",BP300)))),1,0),0)</f>
        <v>0</v>
      </c>
      <c r="BR300" s="61" t="n">
        <f aca="false">IFERROR(LEN(SUBSTITUTE(CC300," ",""))-SUMPRODUCT((LEN(CC300)-LEN(SUBSTITUTE(CC300," "&amp;L_Role&amp;" "," ")))/(LEN(L_Role)+1)*LEN(L_Role)),0)</f>
        <v>0</v>
      </c>
      <c r="BS300" s="61" t="n">
        <f aca="false">IFERROR(LEN(SUBSTITUTE(CD300," ",""))-SUMPRODUCT((LEN(CD300)-LEN(SUBSTITUTE(CD300," "&amp;L_Role&amp;" "," ")))/(LEN(L_Role)+1)*LEN(L_Role)),0)</f>
        <v>0</v>
      </c>
      <c r="BT3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300,"revision",""),"version",""),"jan",""),"feb",""),"mar",""),"apr",""),"may",""),"jun",""),"jul",""),"aug",""),"sep",""),"oct",""),"nov",""),"dec",""),"utc",""),"gmt",""),"myt",""),"bst",""),"rev",""),"ver",""),"b","a"),"c","a"),"d","a"),"e","a"),"f","a"),"g","a"),"h","a"),"i","a"),"j","a"),"k","a"),"l","a"),"m","a"),"n","a"),"o","a"),"p","a"),"q","a"),"r","a"),"s","a"),"t","a"),"u","a"),"v","a"),"w","a"),"x","a"),"y","a"),"z","a")</f>
        <v/>
      </c>
      <c r="BU300" s="61" t="str">
        <f aca="false">SUBSTITUTE(SUBSTITUTE(SUBSTITUTE(SUBSTITUTE(SUBSTITUTE(SUBSTITUTE(SUBSTITUTE(SUBSTITUTE(SUBSTITUTE(SUBSTITUTE(LEFT(BM300,FIND("0",BM300&amp;"0")-1),"-",""),"_",""),"/",""),".",""),"#",""),"\\",""),":","")," ",""),"(",""),")","")</f>
        <v/>
      </c>
      <c r="BV300" s="61" t="n">
        <f aca="false">0</f>
        <v>0</v>
      </c>
      <c r="BW3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300&amp;""),"a",""),"b",""),"c",""),"d",""),"e",""),"f",""),"g",""),"h",""),"i",""),"j",""),"k",""),"l",""),"m",""),"n",""),"o",""),"p",""),"q",""),"r",""),"s",""),"t",""),"u",""),"v",""),"w",""),"x",""),"y",""),"z",""),"-",""),"_",""),"/",""),".",""),"#",""),"\\",""),":","")," ",""),"(",""),")","")</f>
        <v/>
      </c>
      <c r="BX300" s="61" t="str">
        <f aca="false">SUBSTITUTE(SUBSTITUTE(SUBSTITUTE(SUBSTITUTE(SUBSTITUTE(SUBSTITUTE(SUBSTITUTE(SUBSTITUTE(SUBSTITUTE(SUBSTITUTE(SUBSTITUTE(BM300,"0",""),"-",""),"_",""),"/",""),".",""),"#",""),"\\",""),":","")," ",""),"(",""),")","")</f>
        <v/>
      </c>
      <c r="BY300" s="62" t="n">
        <f aca="false">Q300-T12EarlyH/24</f>
        <v>46305.2534722222</v>
      </c>
      <c r="BZ300" s="61" t="n">
        <f aca="false">IFERROR(IF(IF(TRIM(S300)="Link / file path",AND(LEN(TRIM(Z300))&gt;=5,SUMPRODUCT(--ISNUMBER(SEARCH({"http","www.","\\",":\",".pdf",".jpg",".jpeg",".png",".heic",".xls",".doc",".msg",".eml",".ppt",".txt",".zip"},Z300)))&gt;0),AND(ISERROR(FIND(" ",TRIM(Z300))),NOT(OR(SUMPRODUCT(--ISNUMBER(FIND({",",";","&amp;","+"},Z300)))&gt;0,SUMPRODUCT(--ISNUMBER(SEARCH({"0/aa","0\\aa"},BN300)))&gt;0)),NOT(SUMPRODUCT(--ISNUMBER(SEARCH({"http","www.","\\",":\",".pdf",".jpg",".jpeg",".png",".heic",".xls",".doc",".msg",".eml",".ppt",".txt",".zip"},Z300)))&gt;0),NOT(LOWER(TRIM(Z300))=LOWER(Flights!$F$13)),ISNA(MATCH(BU300,{"mh","rev","revision","ver","version","v","r","a","b","seat","tray","row","gate","bay","stand","page","pg","item","line","no","cart","galley","flight","flt","table","box","bag","oven","etd","eta","std","sta","atd","ata","qty","pax","x","time","tel","ph","mob","day","wk","week","utc","gmt","myt","lt"},0)),NOT(OR(ISNUMBER(MATCH(LEFT(BN300,255),{"0000a","000a","00a","0000aa","000aa","00aa","0aa","0000aaa","000aaa","00a00","0a00","0000-0000","00:00","a00","a0","00.00.0000","00/00/0000","00-00-0000","0000-00-00","0000/00/00","0000.00.00","00.00.00","00/00/00","00-00-00","0.00.0000","0/00/0000","0-00-0000"},0)),ISNUMBER(MATCH(LEFT(BT300,255),{"0000a","000a","00a","0000aa","000aa","00aa","0aa","0000aaa","000aaa","00a00","0a00","0000-0000","00:00","a00","a0","00.00.0000","00/00/0000","00-00-0000","0000-00-00","0000/00/00","0000.00.00","00.00.00","00/00/00","00-00-00","0.00.0000","0/00/0000","0-00-0000"},0)))),NOT(OR(AND(BW300&lt;&gt;"",SUBSTITUTE(BW300,"0","")=""),AND(LEN(BW300)&gt;=4,BW300=REPT(LEFT(BW300),LEN(BW300))),ISNUMBER(MATCH(BW300,{"123","1234","12345","123456","1234567","12345678","0123","01234","012345","98765","987654","54321"},0)),ISNUMBER(MATCH(BX300,{"x","xx","xxx","xxxx","xxxxx","abc","abcd","nil","na","nan","test","tbc","tba","tbd","dummy","sample","example","eg","zz","zzz","none","null","xyz","qwe","asd","id","ref"},0)),AND(LEN(BW300)=8,BX300="",OR(LEFT(BW300,3)="202",ISNUMBER(MATCH(RIGHT(BW300,4),{"2025","2026","2027"},0)))))),OR(AND((LEN(BT300)-LEN(SUBSTITUTE(BT300,"a","")))&gt;=1,(LEN(BN300)-LEN(SUBSTITUTE(BN300,"0","")))&gt;=2,SUMPRODUCT(--ISNUMBER(SEARCH({"a0","a-0","a_0","a/0","a.0","a#0","0a","0-a","0_a","0/a"},BN300)))&gt;0),AND((LEN(BN300)-LEN(SUBSTITUTE(BN300,"a","")))=0,(LEN(BN300)-LEN(SUBSTITUTE(BN300,"0","")))&gt;=5)))),1,0),0)</f>
        <v>0</v>
      </c>
      <c r="CA3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300,"revision",""),"version",""),"jan",""),"feb",""),"mar",""),"apr",""),"may",""),"jun",""),"jul",""),"aug",""),"sep",""),"oct",""),"nov",""),"dec",""),"utc",""),"gmt",""),"myt",""),"bst",""),"rev",""),"ver",""),"b","a"),"c","a"),"d","a"),"e","a"),"f","a"),"g","a"),"h","a"),"i","a"),"j","a"),"k","a"),"l","a"),"m","a"),"n","a"),"o","a"),"p","a"),"q","a"),"r","a"),"s","a"),"t","a"),"u","a"),"v","a"),"w","a"),"x","a"),"y","a"),"z","a")</f>
        <v/>
      </c>
      <c r="CB3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300&amp;""),"a",""),"b",""),"c",""),"d",""),"e",""),"f",""),"g",""),"h",""),"i",""),"j",""),"k",""),"l",""),"m",""),"n",""),"o",""),"p",""),"q",""),"r",""),"s",""),"t",""),"u",""),"v",""),"w",""),"x",""),"y",""),"z",""),"-",""),"_",""),"/",""),".",""),"#",""),"\\",""),":","")," ",""),"(",""),")","")</f>
        <v/>
      </c>
      <c r="CC300" s="0" t="str">
        <f aca="false">" "&amp;TRIM(SUBSTITUTE(SUBSTITUTE(SUBSTITUTE(SUBSTITUTE(SUBSTITUTE(SUBSTITUTE(SUBSTITUTE(SUBSTITUTE(SUBSTITUTE(SUBSTITUTE(SUBSTITUTE(SUBSTITUTE(SUBSTITUTE(SUBSTITUTE(SUBSTITUTE(SUBSTITUTE(SUBSTITUTE(SUBSTITUTE(SUBSTITUTE(SUBSTITUTE(SUBSTITUTE(SUBSTITUTE(SUBSTITUTE(SUBSTITUTE(LOWER(T300&amp;""),CHAR(10)," "),CHAR(13)," "),CHAR(9)," "),CHAR(160)," "),"."," "),","," "),"-"," "),"/"," "),"("," "),")"," "),":"," "),";"," "),"_"," "),"–"," "),"?"," "),"!"," "),"*"," "),"["," "),"]"," "),"'"," "),"#"," "),"+"," "),"&amp;"," "),"\"," "))&amp;" "</f>
        <v>  </v>
      </c>
      <c r="CD300" s="0" t="str">
        <f aca="false">" "&amp;TRIM(SUBSTITUTE(SUBSTITUTE(SUBSTITUTE(SUBSTITUTE(SUBSTITUTE(SUBSTITUTE(SUBSTITUTE(SUBSTITUTE(SUBSTITUTE(SUBSTITUTE(SUBSTITUTE(SUBSTITUTE(SUBSTITUTE(SUBSTITUTE(SUBSTITUTE(SUBSTITUTE(SUBSTITUTE(SUBSTITUTE(SUBSTITUTE(SUBSTITUTE(SUBSTITUTE(SUBSTITUTE(SUBSTITUTE(SUBSTITUTE(LOWER(AE300&amp;""),CHAR(10)," "),CHAR(13)," "),CHAR(9)," "),CHAR(160)," "),"."," "),","," "),"-"," "),"/"," "),"("," "),")"," "),":"," "),";"," "),"_"," "),"–"," "),"?"," "),"!"," "),"*"," "),"["," "),"]"," "),"'"," "),"#"," "),"+"," "),"&amp;"," "),"\"," "))&amp;" "</f>
        <v>  </v>
      </c>
      <c r="CE300" s="68" t="n">
        <f aca="false">IFERROR(IF(AND(LEN(AU300)&gt;0,LEN(AU300)=LEN(AX300),OR(TRIM(MID(SUBSTITUTE(TRIM(CC300)," ",REPT(" ",60)),1,60))="",ISNUMBER(SEARCH(" "&amp;TRIM(MID(SUBSTITUTE(TRIM(CC300)," ",REPT(" ",60)),1,60))&amp;" ",CD300))),OR(TRIM(MID(SUBSTITUTE(TRIM(CC300)," ",REPT(" ",60)),61,60))="",ISNUMBER(SEARCH(" "&amp;TRIM(MID(SUBSTITUTE(TRIM(CC300)," ",REPT(" ",60)),61,60))&amp;" ",CD300))),OR(TRIM(MID(SUBSTITUTE(TRIM(CC300)," ",REPT(" ",60)),121,60))="",ISNUMBER(SEARCH(" "&amp;TRIM(MID(SUBSTITUTE(TRIM(CC300)," ",REPT(" ",60)),121,60))&amp;" ",CD300)))),1,0),0)</f>
        <v>0</v>
      </c>
      <c r="CG300" s="68" t="n">
        <f aca="false">IFERROR(LEN(SUBSTITUTE(BF300," ",""))-SUMPRODUCT((LEN(BF300)-LEN(SUBSTITUTE(BF300," "&amp;L_NAFiller&amp;" "," ")))/(LEN(L_NAFiller)+1)*LEN(L_NAFiller)),0)</f>
        <v>0</v>
      </c>
    </row>
    <row r="301" customFormat="false" ht="41.25" hidden="false" customHeight="true" outlineLevel="0" collapsed="false">
      <c r="A301" s="57" t="s">
        <v>878</v>
      </c>
      <c r="B301" s="57" t="s">
        <v>246</v>
      </c>
      <c r="C301" s="57" t="str">
        <f aca="false">Flights!$F$13</f>
        <v>MH0753</v>
      </c>
      <c r="D301" s="58" t="n">
        <f aca="false">Flights!$D$13</f>
        <v>46306</v>
      </c>
      <c r="E301" s="57" t="str">
        <f aca="false">Flights!$G$13&amp;"-"&amp;Flights!$H$13</f>
        <v>HAN-KUL</v>
      </c>
      <c r="F301" s="57" t="str">
        <f aca="false">Flights!$K$13</f>
        <v>BC</v>
      </c>
      <c r="G301" s="57" t="s">
        <v>420</v>
      </c>
      <c r="H301" s="57" t="s">
        <v>378</v>
      </c>
      <c r="I301" s="57" t="s">
        <v>499</v>
      </c>
      <c r="J301" s="57" t="s">
        <v>500</v>
      </c>
      <c r="K301" s="67" t="s">
        <v>501</v>
      </c>
      <c r="L301" s="67" t="s">
        <v>879</v>
      </c>
      <c r="M301" s="67" t="s">
        <v>451</v>
      </c>
      <c r="N301" s="67" t="s">
        <v>383</v>
      </c>
      <c r="O301" s="67" t="s">
        <v>880</v>
      </c>
      <c r="P301" s="57" t="s">
        <v>240</v>
      </c>
      <c r="Q301" s="59" t="n">
        <f aca="false">ROUND((Flights!$AE$13)*1440,0)/1440</f>
        <v>46305.7534722222</v>
      </c>
      <c r="R301" s="59" t="n">
        <f aca="false">Q301+(IF(AND(INDEX(TZ_DSTS,MATCH(P301,TZ_STN,0))&lt;&gt;"",Q301&gt;=INDEX(TZ_DSTS,MATCH(P301,TZ_STN,0)),Q301&lt;INDEX(TZ_DSTE,MATCH(P301,TZ_STN,0))),INDEX(TZ_DST,MATCH(P301,TZ_STN,0)),INDEX(TZ_STD,MATCH(P301,TZ_STN,0))))/24</f>
        <v>46306.0451388889</v>
      </c>
      <c r="S301" s="60"/>
      <c r="T301" s="60"/>
      <c r="U301" s="60"/>
      <c r="V301" s="60"/>
      <c r="W301" s="61"/>
      <c r="X301" s="60"/>
      <c r="Y301" s="60"/>
      <c r="Z301" s="60"/>
      <c r="AA301" s="60"/>
      <c r="AB301" s="60"/>
      <c r="AC301" s="60"/>
      <c r="AD301" s="66"/>
      <c r="AE301" s="60"/>
      <c r="AF301" s="61" t="str">
        <f aca="false">IF(AND(ISNUMBER(X301),ISNUMBER(Y301)),Y301-X301,"")</f>
        <v/>
      </c>
      <c r="AG301" s="62" t="str">
        <f aca="false">IF(ISNUMBER(AD301),AD301-(IF(AND(INDEX(TZ_DSTS,MATCH(P301,TZ_STN,0))&lt;&gt;"",(AD301-INDEX(TZ_STD,MATCH(P301,TZ_STN,0))/24)&gt;=INDEX(TZ_DSTS,MATCH(P301,TZ_STN,0)),(AD301-INDEX(TZ_STD,MATCH(P301,TZ_STN,0))/24)&lt;INDEX(TZ_DSTE,MATCH(P301,TZ_STN,0))),INDEX(TZ_DST,MATCH(P301,TZ_STN,0)),INDEX(TZ_STD,MATCH(P301,TZ_STN,0))))/24,"")</f>
        <v/>
      </c>
      <c r="AH301" s="65" t="str">
        <f aca="false">IFERROR(IF(N301="N/A – rule",IF(OR(TRIM(U301)="",TRIM(U301)="N/A",TRIM(U301)="Not started"),"N/A – RULE","INVALID – this check does not apply to this aircraft: clear the status (or correct the fleet on Flights)"),IF(TRIM(U301)="N/A",IF(AT301=0,"INVALID – N/A not permitted for this check",IF(AND(TRIM(AB301)&lt;&gt;"",TRIM(AB301)&lt;&gt;"Closed"),"INVALID – corrective action still open",IF(AND(NOT(OR(LEN(AZ301)&lt;15,ISNUMBER(MATCH(AZ301,L_Placeholder,0)))),BK301=0,CG301&gt;=8,NOT(OR(LEN(AU301)&lt;2,ISNUMBER(MATCH(AU301,L_Placeholder,0)))),BR301&gt;=3,NOT(OR(LEN(AX301)&lt;2,ISNUMBER(MATCH(AX301,L_Placeholder,0)))),BS301&gt;=3,TRIM(AE301)&lt;&gt;TRIM(T301),AX301&lt;&gt;AU301,CE301=0),"N/A – JUSTIFIED","INVALID – N/A needs a real, settled reason (not 'not applicable' / 'as above' / TBC), a named PIC and a different named verifier"))),IF(OR(TRIM(U301)="Pass",TRIM(U301)="Pass after CA"),IF(NOT(ISNUMBER(AD301)),"INVALID – completion time missing",IF(OR(OR(LEN(AU301)&lt;2,ISNUMBER(MATCH(AU301,L_Placeholder,0))),BR301&lt;3),"INVALID – PIC missing or not a named person (a role such as QA / CSM is not a name)",IF(OR(LEN(AV301)&lt;2,ISNUMBER(MATCH(AV301,L_Placeholder,0))),"INVALID – result / assessment missing",IF(OR(OR(LEN(AW301)&lt;3,ISNUMBER(MATCH(AW301,L_Placeholder,0))),SUMPRODUCT(--ISNUMBER(SEARCH(" "&amp;L_EvidencePhrase&amp;" ",BD301)))&gt;0,BI301=1),"INVALID – evidence missing, placeholder or not yet on file",IF(ISNA(MATCH(TRIM(S301),L_EvidenceType,0)),"INVALID – choose the evidence type from the list (column S)",IF(BL301=0,"INVALID – evidence ID must be the record's own ID only (e.g. SF-2210, IMG_2231, 1045521); a link / file name needs type 'Link / file path'",IF(OR(OR(LEN(AX301)&lt;2,ISNUMBER(MATCH(AX301,L_Placeholder,0))),BS301&lt;3),"INVALID – verifier missing or not a named person (a role such as QA / CSM is not a name)",IF(OR(AX301=AU301,CE301=1,AND(LEN(AU301)&gt;=4,ISNUMBER(SEARCH(AU301,AX301))),AND(LEN(AX301)&gt;=4,ISNUMBER(SEARCH(AX301,AU301)))),"INVALID – verifier must be a different, named person (not the PIC or a role)",IF(BH301=1,"INVALID – result not yet available (awaiting / TBC)",IF(BG301=1,"INVALID – result describes a problem: record Fail, then Pass after CA (or reword if it is not a problem)",IF(BV301=1,"INVALID – wording says not on board: an on-board confirmation needs the item loaded",IF(AND(AQ301=1,OR(OR(LEN(AY301)&lt;3,ISNUMBER(MATCH(AY301,L_Placeholder,0))),BJ301=1,BQ301=0)),"INVALID – batch ID missing, placeholder or not an ID (e.g. PASB-261008-BC-017)",IF(AND(AR301=1,OR(NOT(ISNUMBER(X301)),NOT(ISNUMBER(Y301)))),"INVALID – expected/actual qty missing",IF(AND(AR301=1,OR(X301&lt;=0,Y301&lt;0)),"INVALID – expected qty must be above 0 and actual not negative",IF(BB301&lt;&gt;"",BB301,IF(AND(AS301=1,Documents!$J$13&lt;&gt;"ON FILE"),"INVALID – GLD not on file (Documents sheet)",IF(AND(AS301=2,Documents!$O$13&lt;&gt;"ON FILE"),"INVALID – menu checklist not on file (Documents sheet)",IF(AND(AS301=3,NOT(ISNUMBER(Flights!$AX$13))),"INVALID – enter carrying flight KUL departure (Flights AX)",IF(AND(AS301=3,OR(Flights!$AZ$13&gt;Flights!$AA$13,Flights!$AX$13&lt;Flights!$AA$13-3)),"INVALID – carrying flight (Flights AX) cannot arrive before this leg's STD, or is over 3 days early",IF(AG301&gt;AsOfUTC,"INVALID – completion time is in the future",IF(AND(ISNUMBER(BY301),AG301&lt;BY301),IF(H301="Physical uplift","INVALID – before uplift window (cannot confirm loading)","INVALID – before valid window"),IF(AG301&gt;Flights!$AA$13,"INVALID – completed after departure (cannot establish readiness)",IF(AND(H301="Preparation",AG301&gt;=IF(ISNUMBER(Flights!$BA$13),MIN(Flights!$BA$13,Flights!$AA$13),Flights!$AA$13)),"INVALID – completed after loading / departure (cannot establish readiness)",IF(AND(H301="Physical uplift",AG301&gt;Q301),"INVALID – recorded after the loading flight departed",IF(AG301&gt;Q301,"COMPLETE – LATE","COMPLETE"))))))))))))))))))))))))),IF(TRIM(U301)="Fail","FAIL – DISCREPANCY",IF(AND(TRIM(U301)&lt;&gt;"",TRIM(U301)&lt;&gt;"Not started",TRIM(U301)&lt;&gt;"In progress"),"INVALID – unrecognised status (use the list)",IF(AsOfUTC&gt;Q301,"OVERDUE",IF(N301="Clarification required","OPEN – CLARIFICATION","OPEN"))))))),"INVALID – error value in an input cell")</f>
        <v>OPEN</v>
      </c>
      <c r="AI301" s="61" t="n">
        <f aca="false">IF(OR(AH301="N/A – RULE",AH301="N/A – JUSTIFIED"),0,1)</f>
        <v>1</v>
      </c>
      <c r="AJ301" s="61" t="n">
        <f aca="false">IF(LEFT(AH301,8)="COMPLETE",1,0)</f>
        <v>0</v>
      </c>
      <c r="AK301" s="61" t="n">
        <f aca="false">IF(AND(AI301=1,AJ301=0,AsOfUTC&gt;Q301),1,0)</f>
        <v>0</v>
      </c>
      <c r="AL301" s="61" t="n">
        <f aca="false">IFERROR(IF(AND(AI301=1,OR(TRIM(U301)="Fail",AND(TRIM(AB301)&lt;&gt;"",TRIM(AB301)&lt;&gt;"Closed"),AND(ISNUMBER(AF301),AF301&lt;&gt;0,TRIM(U301)&lt;&gt;"Pass after CA"))),1,0),1)</f>
        <v>0</v>
      </c>
      <c r="AM301" s="61" t="n">
        <f aca="false">IF(LEFT(AH301,7)="INVALID",1,0)</f>
        <v>0</v>
      </c>
      <c r="AN301" s="61" t="n">
        <f aca="false">IF(AND(N301="Clarification required",AI301=1,AJ301=0),1,0)</f>
        <v>0</v>
      </c>
      <c r="AO301" s="61" t="str">
        <f aca="false">IF(AK301=1,SUM(AK$5:AK301),"")</f>
        <v/>
      </c>
      <c r="AP301" s="61" t="str">
        <f aca="false">IF(AL301=1,SUM(AL$5:AL301),"")</f>
        <v/>
      </c>
      <c r="AQ301" s="61" t="n">
        <v>0</v>
      </c>
      <c r="AR301" s="61" t="n">
        <v>0</v>
      </c>
      <c r="AS301" s="61" t="n">
        <v>0</v>
      </c>
      <c r="AT301" s="61" t="n">
        <v>0</v>
      </c>
      <c r="AU301" s="61" t="str">
        <f aca="false">SUBSTITUTE(SUBSTITUTE(SUBSTITUTE(SUBSTITUTE(SUBSTITUTE(SUBSTITUTE(SUBSTITUTE(SUBSTITUTE(SUBSTITUTE(SUBSTITUTE(SUBSTITUTE(SUBSTITUTE(SUBSTITUTE(SUBSTITUTE(SUBSTITUTE(SUBSTITUTE(LOWER(T301&amp;""),CHAR(10),""),CHAR(13),""),CHAR(9),""),CHAR(160),"")," ",""),".",""),"-",""),"/",""),"?",""),"_",""),",",""),"[",""),"]",""),"(",""),")",""),"*","")</f>
        <v/>
      </c>
      <c r="AV301" s="61" t="str">
        <f aca="false">SUBSTITUTE(SUBSTITUTE(SUBSTITUTE(SUBSTITUTE(SUBSTITUTE(SUBSTITUTE(SUBSTITUTE(SUBSTITUTE(SUBSTITUTE(SUBSTITUTE(SUBSTITUTE(SUBSTITUTE(SUBSTITUTE(SUBSTITUTE(SUBSTITUTE(SUBSTITUTE(LOWER(V301&amp;""),CHAR(10),""),CHAR(13),""),CHAR(9),""),CHAR(160),"")," ",""),".",""),"-",""),"/",""),"?",""),"_",""),",",""),"[",""),"]",""),"(",""),")",""),"*","")</f>
        <v/>
      </c>
      <c r="AW301" s="61" t="str">
        <f aca="false">SUBSTITUTE(SUBSTITUTE(SUBSTITUTE(SUBSTITUTE(SUBSTITUTE(SUBSTITUTE(SUBSTITUTE(SUBSTITUTE(SUBSTITUTE(SUBSTITUTE(SUBSTITUTE(SUBSTITUTE(SUBSTITUTE(SUBSTITUTE(SUBSTITUTE(SUBSTITUTE(LOWER(Z301&amp;""),CHAR(10),""),CHAR(13),""),CHAR(9),""),CHAR(160),"")," ",""),".",""),"-",""),"/",""),"?",""),"_",""),",",""),"[",""),"]",""),"(",""),")",""),"*","")</f>
        <v/>
      </c>
      <c r="AX301" s="61" t="str">
        <f aca="false">SUBSTITUTE(SUBSTITUTE(SUBSTITUTE(SUBSTITUTE(SUBSTITUTE(SUBSTITUTE(SUBSTITUTE(SUBSTITUTE(SUBSTITUTE(SUBSTITUTE(SUBSTITUTE(SUBSTITUTE(SUBSTITUTE(SUBSTITUTE(SUBSTITUTE(SUBSTITUTE(LOWER(AE301&amp;""),CHAR(10),""),CHAR(13),""),CHAR(9),""),CHAR(160),"")," ",""),".",""),"-",""),"/",""),"?",""),"_",""),",",""),"[",""),"]",""),"(",""),")",""),"*","")</f>
        <v/>
      </c>
      <c r="AY301" s="61" t="str">
        <f aca="false">SUBSTITUTE(SUBSTITUTE(SUBSTITUTE(SUBSTITUTE(SUBSTITUTE(SUBSTITUTE(SUBSTITUTE(SUBSTITUTE(SUBSTITUTE(SUBSTITUTE(SUBSTITUTE(SUBSTITUTE(SUBSTITUTE(SUBSTITUTE(SUBSTITUTE(SUBSTITUTE(LOWER(W301&amp;""),CHAR(10),""),CHAR(13),""),CHAR(9),""),CHAR(160),"")," ",""),".",""),"-",""),"/",""),"?",""),"_",""),",",""),"[",""),"]",""),"(",""),")",""),"*","")</f>
        <v/>
      </c>
      <c r="AZ301" s="61" t="str">
        <f aca="false">SUBSTITUTE(SUBSTITUTE(SUBSTITUTE(SUBSTITUTE(SUBSTITUTE(SUBSTITUTE(SUBSTITUTE(SUBSTITUTE(SUBSTITUTE(SUBSTITUTE(SUBSTITUTE(SUBSTITUTE(SUBSTITUTE(SUBSTITUTE(SUBSTITUTE(SUBSTITUTE(LOWER(AC301&amp;""),CHAR(10),""),CHAR(13),""),CHAR(9),""),CHAR(160),"")," ",""),".",""),"-",""),"/",""),"?",""),"_",""),",",""),"[",""),"]",""),"(",""),")",""),"*","")</f>
        <v/>
      </c>
      <c r="BA301" s="61" t="str">
        <f aca="false">SUBSTITUTE(SUBSTITUTE(SUBSTITUTE(SUBSTITUTE(SUBSTITUTE(SUBSTITUTE(SUBSTITUTE(SUBSTITUTE(SUBSTITUTE(SUBSTITUTE(SUBSTITUTE(SUBSTITUTE(SUBSTITUTE(SUBSTITUTE(SUBSTITUTE(SUBSTITUTE(LOWER(AA301&amp;""),CHAR(10),""),CHAR(13),""),CHAR(9),""),CHAR(160),"")," ",""),".",""),"-",""),"/",""),"?",""),"_",""),",",""),"[",""),"]",""),"(",""),")",""),"*","")</f>
        <v/>
      </c>
      <c r="BB301" s="61" t="str">
        <f aca="false">IF(AND(TRIM(U301)="Pass",ISNUMBER(AF301)),IF(AF301&lt;&gt;0,"INVALID – qty variance: use Fail or Pass after CA",""),"")&amp;IF(AND(TRIM(U301)="Pass after CA",ISNUMBER(AF301)),IF(AF301&lt;&gt;0,"INVALID – after the corrective action the actual qty must equal expected (update Actual)",""),"")&amp;IF(AND(TRIM(U301)="Pass",TRIM(AB301)&lt;&gt;"",TRIM(AB301)&lt;&gt;"Closed"),"INVALID – corrective action not closed: use Fail, then Pass after CA","")&amp;IF(AND(LEN(BA301)&gt;=2,ISNA(MATCH(LEFT(BA301,255),L_Placeholder,0)),TRIM(AB301)=""),"INVALID – CA status missing for the recorded corrective action","")&amp;IF(AND(TRIM(U301)="Pass after CA",OR(OR(LEN(BA301)&lt;5,ISNUMBER(MATCH(BA301,L_Placeholder,0))),TRIM(AB301)&lt;&gt;"Closed")),"INVALID – corrective action not recorded/closed","")</f>
        <v/>
      </c>
      <c r="BC301" s="61" t="str">
        <f aca="false">" "&amp;TRIM(SUBSTITUTE(SUBSTITUTE(SUBSTITUTE(SUBSTITUTE(SUBSTITUTE(SUBSTITUTE(SUBSTITUTE(SUBSTITUTE(SUBSTITUTE(SUBSTITUTE(SUBSTITUTE(SUBSTITUTE(SUBSTITUTE(SUBSTITUTE(SUBSTITUTE(SUBSTITUTE(SUBSTITUTE(SUBSTITUTE(SUBSTITUTE(SUBSTITUTE(SUBSTITUTE(SUBSTITUTE(SUBSTITUTE(SUBSTITUTE(LOWER(V301&amp;""),CHAR(10)," "),CHAR(13)," "),CHAR(9)," "),CHAR(160)," "),"."," "),","," "),"-"," "),"/"," "),"("," "),")"," "),":"," "),";"," "),"_"," "),"–"," "),"?"," "),"!"," "),"*"," "),"["," "),"]"," "),"'"," "),"#"," "),"+"," "),"&amp;"," "),"\"," "))&amp;" "</f>
        <v>  </v>
      </c>
      <c r="BD301" s="61" t="str">
        <f aca="false">" "&amp;TRIM(SUBSTITUTE(SUBSTITUTE(SUBSTITUTE(SUBSTITUTE(SUBSTITUTE(SUBSTITUTE(SUBSTITUTE(SUBSTITUTE(SUBSTITUTE(SUBSTITUTE(SUBSTITUTE(SUBSTITUTE(SUBSTITUTE(SUBSTITUTE(SUBSTITUTE(SUBSTITUTE(SUBSTITUTE(SUBSTITUTE(SUBSTITUTE(SUBSTITUTE(SUBSTITUTE(SUBSTITUTE(SUBSTITUTE(SUBSTITUTE(LOWER(Z301&amp;""),CHAR(10)," "),CHAR(13)," "),CHAR(9)," "),CHAR(160)," "),"."," "),","," "),"-"," "),"/"," "),"("," "),")"," "),":"," "),";"," "),"_"," "),"–"," "),"?"," "),"!"," "),"*"," "),"["," "),"]"," "),"'"," "),"#"," "),"+"," "),"&amp;"," "),"\"," "))&amp;" "</f>
        <v>  </v>
      </c>
      <c r="BE301" s="61" t="str">
        <f aca="false">" "&amp;TRIM(SUBSTITUTE(SUBSTITUTE(SUBSTITUTE(SUBSTITUTE(SUBSTITUTE(SUBSTITUTE(SUBSTITUTE(SUBSTITUTE(SUBSTITUTE(SUBSTITUTE(SUBSTITUTE(SUBSTITUTE(SUBSTITUTE(SUBSTITUTE(SUBSTITUTE(SUBSTITUTE(SUBSTITUTE(SUBSTITUTE(SUBSTITUTE(SUBSTITUTE(SUBSTITUTE(SUBSTITUTE(SUBSTITUTE(SUBSTITUTE(LOWER(W301&amp;""),CHAR(10)," "),CHAR(13)," "),CHAR(9)," "),CHAR(160)," "),"."," "),","," "),"-"," "),"/"," "),"("," "),")"," "),":"," "),";"," "),"_"," "),"–"," "),"?"," "),"!"," "),"*"," "),"["," "),"]"," "),"'"," "),"#"," "),"+"," "),"&amp;"," "),"\"," "))&amp;" "</f>
        <v>  </v>
      </c>
      <c r="BF301" s="61" t="str">
        <f aca="false">" "&amp;TRIM(SUBSTITUTE(SUBSTITUTE(SUBSTITUTE(SUBSTITUTE(SUBSTITUTE(SUBSTITUTE(SUBSTITUTE(SUBSTITUTE(SUBSTITUTE(SUBSTITUTE(SUBSTITUTE(SUBSTITUTE(SUBSTITUTE(SUBSTITUTE(SUBSTITUTE(SUBSTITUTE(SUBSTITUTE(SUBSTITUTE(SUBSTITUTE(SUBSTITUTE(SUBSTITUTE(SUBSTITUTE(SUBSTITUTE(SUBSTITUTE(LOWER(AC301&amp;""),CHAR(10)," "),CHAR(13)," "),CHAR(9)," "),CHAR(160)," "),"."," "),","," "),"-"," "),"/"," "),"("," "),")"," "),":"," "),";"," "),"_"," "),"–"," "),"?"," "),"!"," "),"*"," "),"["," "),"]"," "),"'"," "),"#"," "),"+"," "),"&amp;"," "),"\"," "))&amp;" "</f>
        <v>  </v>
      </c>
      <c r="BG301" s="61" t="n">
        <f aca="false">IFERROR(IF(AND(TRIM(U301)="Pass",SUMPRODUCT((LEN(BC301)-LEN(SUBSTITUTE(BC301," "&amp;L_ResultBad&amp;" "," ")))/(LEN(L_ResultBad)+1))&gt;SUMPRODUCT((LEN(BC301)-LEN(SUBSTITUTE(BC301," "&amp;L_NegPhrase&amp;" "," ")))/(LEN(L_NegPhrase)+1))),1,0),0)</f>
        <v>0</v>
      </c>
      <c r="BH301" s="61" t="n">
        <f aca="false">IFERROR(IF(SUMPRODUCT((LEN(BC301)-LEN(SUBSTITUTE(BC301," "&amp;L_Pending&amp;" "," ")))/(LEN(L_Pending)+1))&gt;SUMPRODUCT((LEN(BC301)-LEN(SUBSTITUTE(BC301," "&amp;L_PendNeg&amp;" "," ")))/(LEN(L_PendNeg)+1))+SUMPRODUCT((LEN(BC301)-LEN(SUBSTITUTE(BC301," "&amp;L_PendPrep&amp;" "," ")))/(LEN(L_PendPrep)+1)),1,0),1)</f>
        <v>0</v>
      </c>
      <c r="BI301" s="61" t="n">
        <f aca="false">IFERROR(IF(SUMPRODUCT((LEN(BD301)-LEN(SUBSTITUTE(BD301," "&amp;L_PendStrict&amp;" "," ")))/(LEN(L_PendStrict)+1))&gt;SUMPRODUCT((LEN(BD301)-LEN(SUBSTITUTE(BD301," "&amp;L_PendNeg&amp;" "," ")))/(LEN(L_PendNeg)+1)),1,0),1)</f>
        <v>0</v>
      </c>
      <c r="BJ301" s="61" t="n">
        <f aca="false">IFERROR(IF(SUMPRODUCT((LEN(BE301)-LEN(SUBSTITUTE(BE301," "&amp;L_Pending&amp;" "," ")))/(LEN(L_Pending)+1))&gt;SUMPRODUCT((LEN(BE301)-LEN(SUBSTITUTE(BE301," "&amp;L_PendNeg&amp;" "," ")))/(LEN(L_PendNeg)+1))+SUMPRODUCT((LEN(BE301)-LEN(SUBSTITUTE(BE301," "&amp;L_PendPrep&amp;" "," ")))/(LEN(L_PendPrep)+1)),1,0),1)</f>
        <v>0</v>
      </c>
      <c r="BK301" s="61" t="n">
        <f aca="false">IFERROR(IF(SUMPRODUCT((LEN(BF301)-LEN(SUBSTITUTE(BF301," "&amp;L_PendStrict&amp;" "," ")))/(LEN(L_PendStrict)+1))&gt;SUMPRODUCT((LEN(BF301)-LEN(SUBSTITUTE(BF301," "&amp;L_PendNeg&amp;" "," ")))/(LEN(L_PendNeg)+1)),1,0),1)</f>
        <v>0</v>
      </c>
      <c r="BL301" s="61" t="n">
        <f aca="false">IF(ISNA(MATCH(TRIM(S301),L_EvidenceType,0)),0,BZ301)</f>
        <v>0</v>
      </c>
      <c r="BM301" s="61" t="str">
        <f aca="false">SUBSTITUTE(SUBSTITUTE(SUBSTITUTE(SUBSTITUTE(SUBSTITUTE(SUBSTITUTE(SUBSTITUTE(SUBSTITUTE(SUBSTITUTE(LOWER(Z301&amp;""),"1","0"),"2","0"),"3","0"),"4","0"),"5","0"),"6","0"),"7","0"),"8","0"),"9","0")</f>
        <v/>
      </c>
      <c r="BN301" s="61" t="str">
        <f aca="false">SUBSTITUTE(SUBSTITUTE(SUBSTITUTE(SUBSTITUTE(SUBSTITUTE(SUBSTITUTE(SUBSTITUTE(SUBSTITUTE(SUBSTITUTE(SUBSTITUTE(SUBSTITUTE(SUBSTITUTE(SUBSTITUTE(SUBSTITUTE(SUBSTITUTE(SUBSTITUTE(SUBSTITUTE(SUBSTITUTE(SUBSTITUTE(SUBSTITUTE(SUBSTITUTE(SUBSTITUTE(SUBSTITUTE(SUBSTITUTE(SUBSTITUTE(BM301,"b","a"),"c","a"),"d","a"),"e","a"),"f","a"),"g","a"),"h","a"),"i","a"),"j","a"),"k","a"),"l","a"),"m","a"),"n","a"),"o","a"),"p","a"),"q","a"),"r","a"),"s","a"),"t","a"),"u","a"),"v","a"),"w","a"),"x","a"),"y","a"),"z","a")</f>
        <v/>
      </c>
      <c r="BO301" s="61" t="str">
        <f aca="false">SUBSTITUTE(SUBSTITUTE(SUBSTITUTE(SUBSTITUTE(SUBSTITUTE(SUBSTITUTE(SUBSTITUTE(SUBSTITUTE(SUBSTITUTE(LOWER(W301&amp;""),"1","0"),"2","0"),"3","0"),"4","0"),"5","0"),"6","0"),"7","0"),"8","0"),"9","0")</f>
        <v/>
      </c>
      <c r="BP301" s="61" t="str">
        <f aca="false">SUBSTITUTE(SUBSTITUTE(SUBSTITUTE(SUBSTITUTE(SUBSTITUTE(SUBSTITUTE(SUBSTITUTE(SUBSTITUTE(SUBSTITUTE(SUBSTITUTE(SUBSTITUTE(SUBSTITUTE(SUBSTITUTE(SUBSTITUTE(SUBSTITUTE(SUBSTITUTE(SUBSTITUTE(SUBSTITUTE(SUBSTITUTE(SUBSTITUTE(SUBSTITUTE(SUBSTITUTE(SUBSTITUTE(SUBSTITUTE(SUBSTITUTE(BO301,"b","a"),"c","a"),"d","a"),"e","a"),"f","a"),"g","a"),"h","a"),"i","a"),"j","a"),"k","a"),"l","a"),"m","a"),"n","a"),"o","a"),"p","a"),"q","a"),"r","a"),"s","a"),"t","a"),"u","a"),"v","a"),"w","a"),"x","a"),"y","a"),"z","a")</f>
        <v/>
      </c>
      <c r="BQ301" s="61" t="n">
        <f aca="false">IFERROR(IF(AND(ISERROR(SEARCH(" mh"," "&amp;LOWER(W301))),ISNA(MATCH(LEFT(TRIM(BP301),255),{"0000a","000a","00a","0000aa","000aa","00aa","0aa","0000aaa","000aaa","00a00","0a00","0000-0000","00:00","a00","a0","00.00.0000","00/00/0000","00-00-0000","0000-00-00","0000/00/00","0000.00.00","00.00.00","00/00/00","00-00-00","0.00.0000","0/00/0000","0-00-0000"},0)),ISNA(MATCH(LEFT(TRIM(CA301),255),{"0000a","000a","00a","0000aa","000aa","00aa","0aa","0000aaa","000aaa","00a00","0a00","0000-0000","00:00","a00","a0","00.00.0000","00/00/0000","00-00-0000","0000-00-00","0000/00/00","0000.00.00","00.00.00","00/00/00","00-00-00","0.00.0000","0/00/0000","0-00-0000"},0)),LEN(CB301)&gt;=3,NOT(OR(SUBSTITUTE(CB301,"0","")="",AND(LEN(CB301)&gt;=4,CB301=REPT(LEFT(CB301),LEN(CB301))),ISNUMBER(MATCH(CB301,{"123","1234","12345","123456","1234567","12345678","0123","01234","012345","98765","987654","54321"},0)),AND(LEN(CB301)=8,LEFT(CB301,3)="202"))),OR(AND((LEN(CA301)-LEN(SUBSTITUTE(CA301,"a","")))&gt;=1,SUMPRODUCT(--ISNUMBER(SEARCH({"a0","a-0","a_0","a/0","a.0","a#0","0a","0-a","0_a","0/a"},BP301)))&gt;0),ISNUMBER(SEARCH("000000",BP301)))),1,0),0)</f>
        <v>0</v>
      </c>
      <c r="BR301" s="61" t="n">
        <f aca="false">IFERROR(LEN(SUBSTITUTE(CC301," ",""))-SUMPRODUCT((LEN(CC301)-LEN(SUBSTITUTE(CC301," "&amp;L_Role&amp;" "," ")))/(LEN(L_Role)+1)*LEN(L_Role)),0)</f>
        <v>0</v>
      </c>
      <c r="BS301" s="61" t="n">
        <f aca="false">IFERROR(LEN(SUBSTITUTE(CD301," ",""))-SUMPRODUCT((LEN(CD301)-LEN(SUBSTITUTE(CD301," "&amp;L_Role&amp;" "," ")))/(LEN(L_Role)+1)*LEN(L_Role)),0)</f>
        <v>0</v>
      </c>
      <c r="BT3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301,"revision",""),"version",""),"jan",""),"feb",""),"mar",""),"apr",""),"may",""),"jun",""),"jul",""),"aug",""),"sep",""),"oct",""),"nov",""),"dec",""),"utc",""),"gmt",""),"myt",""),"bst",""),"rev",""),"ver",""),"b","a"),"c","a"),"d","a"),"e","a"),"f","a"),"g","a"),"h","a"),"i","a"),"j","a"),"k","a"),"l","a"),"m","a"),"n","a"),"o","a"),"p","a"),"q","a"),"r","a"),"s","a"),"t","a"),"u","a"),"v","a"),"w","a"),"x","a"),"y","a"),"z","a")</f>
        <v/>
      </c>
      <c r="BU301" s="61" t="str">
        <f aca="false">SUBSTITUTE(SUBSTITUTE(SUBSTITUTE(SUBSTITUTE(SUBSTITUTE(SUBSTITUTE(SUBSTITUTE(SUBSTITUTE(SUBSTITUTE(SUBSTITUTE(LEFT(BM301,FIND("0",BM301&amp;"0")-1),"-",""),"_",""),"/",""),".",""),"#",""),"\\",""),":","")," ",""),"(",""),")","")</f>
        <v/>
      </c>
      <c r="BV301" s="61" t="n">
        <f aca="false">0</f>
        <v>0</v>
      </c>
      <c r="BW3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301&amp;""),"a",""),"b",""),"c",""),"d",""),"e",""),"f",""),"g",""),"h",""),"i",""),"j",""),"k",""),"l",""),"m",""),"n",""),"o",""),"p",""),"q",""),"r",""),"s",""),"t",""),"u",""),"v",""),"w",""),"x",""),"y",""),"z",""),"-",""),"_",""),"/",""),".",""),"#",""),"\\",""),":","")," ",""),"(",""),")","")</f>
        <v/>
      </c>
      <c r="BX301" s="61" t="str">
        <f aca="false">SUBSTITUTE(SUBSTITUTE(SUBSTITUTE(SUBSTITUTE(SUBSTITUTE(SUBSTITUTE(SUBSTITUTE(SUBSTITUTE(SUBSTITUTE(SUBSTITUTE(SUBSTITUTE(BM301,"0",""),"-",""),"_",""),"/",""),".",""),"#",""),"\\",""),":","")," ",""),"(",""),")","")</f>
        <v/>
      </c>
      <c r="BY301" s="62" t="n">
        <f aca="false">Q301-T12EarlyH/24</f>
        <v>46305.2534722222</v>
      </c>
      <c r="BZ301" s="61" t="n">
        <f aca="false">IFERROR(IF(IF(TRIM(S301)="Link / file path",AND(LEN(TRIM(Z301))&gt;=5,SUMPRODUCT(--ISNUMBER(SEARCH({"http","www.","\\",":\",".pdf",".jpg",".jpeg",".png",".heic",".xls",".doc",".msg",".eml",".ppt",".txt",".zip"},Z301)))&gt;0),AND(ISERROR(FIND(" ",TRIM(Z301))),NOT(OR(SUMPRODUCT(--ISNUMBER(FIND({",",";","&amp;","+"},Z301)))&gt;0,SUMPRODUCT(--ISNUMBER(SEARCH({"0/aa","0\\aa"},BN301)))&gt;0)),NOT(SUMPRODUCT(--ISNUMBER(SEARCH({"http","www.","\\",":\",".pdf",".jpg",".jpeg",".png",".heic",".xls",".doc",".msg",".eml",".ppt",".txt",".zip"},Z301)))&gt;0),NOT(LOWER(TRIM(Z301))=LOWER(Flights!$F$13)),ISNA(MATCH(BU301,{"mh","rev","revision","ver","version","v","r","a","b","seat","tray","row","gate","bay","stand","page","pg","item","line","no","cart","galley","flight","flt","table","box","bag","oven","etd","eta","std","sta","atd","ata","qty","pax","x","time","tel","ph","mob","day","wk","week","utc","gmt","myt","lt"},0)),NOT(OR(ISNUMBER(MATCH(LEFT(BN301,255),{"0000a","000a","00a","0000aa","000aa","00aa","0aa","0000aaa","000aaa","00a00","0a00","0000-0000","00:00","a00","a0","00.00.0000","00/00/0000","00-00-0000","0000-00-00","0000/00/00","0000.00.00","00.00.00","00/00/00","00-00-00","0.00.0000","0/00/0000","0-00-0000"},0)),ISNUMBER(MATCH(LEFT(BT301,255),{"0000a","000a","00a","0000aa","000aa","00aa","0aa","0000aaa","000aaa","00a00","0a00","0000-0000","00:00","a00","a0","00.00.0000","00/00/0000","00-00-0000","0000-00-00","0000/00/00","0000.00.00","00.00.00","00/00/00","00-00-00","0.00.0000","0/00/0000","0-00-0000"},0)))),NOT(OR(AND(BW301&lt;&gt;"",SUBSTITUTE(BW301,"0","")=""),AND(LEN(BW301)&gt;=4,BW301=REPT(LEFT(BW301),LEN(BW301))),ISNUMBER(MATCH(BW301,{"123","1234","12345","123456","1234567","12345678","0123","01234","012345","98765","987654","54321"},0)),ISNUMBER(MATCH(BX301,{"x","xx","xxx","xxxx","xxxxx","abc","abcd","nil","na","nan","test","tbc","tba","tbd","dummy","sample","example","eg","zz","zzz","none","null","xyz","qwe","asd","id","ref"},0)),AND(LEN(BW301)=8,BX301="",OR(LEFT(BW301,3)="202",ISNUMBER(MATCH(RIGHT(BW301,4),{"2025","2026","2027"},0)))))),OR(AND((LEN(BT301)-LEN(SUBSTITUTE(BT301,"a","")))&gt;=1,(LEN(BN301)-LEN(SUBSTITUTE(BN301,"0","")))&gt;=2,SUMPRODUCT(--ISNUMBER(SEARCH({"a0","a-0","a_0","a/0","a.0","a#0","0a","0-a","0_a","0/a"},BN301)))&gt;0),AND((LEN(BN301)-LEN(SUBSTITUTE(BN301,"a","")))=0,(LEN(BN301)-LEN(SUBSTITUTE(BN301,"0","")))&gt;=5)))),1,0),0)</f>
        <v>0</v>
      </c>
      <c r="CA3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301,"revision",""),"version",""),"jan",""),"feb",""),"mar",""),"apr",""),"may",""),"jun",""),"jul",""),"aug",""),"sep",""),"oct",""),"nov",""),"dec",""),"utc",""),"gmt",""),"myt",""),"bst",""),"rev",""),"ver",""),"b","a"),"c","a"),"d","a"),"e","a"),"f","a"),"g","a"),"h","a"),"i","a"),"j","a"),"k","a"),"l","a"),"m","a"),"n","a"),"o","a"),"p","a"),"q","a"),"r","a"),"s","a"),"t","a"),"u","a"),"v","a"),"w","a"),"x","a"),"y","a"),"z","a")</f>
        <v/>
      </c>
      <c r="CB3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301&amp;""),"a",""),"b",""),"c",""),"d",""),"e",""),"f",""),"g",""),"h",""),"i",""),"j",""),"k",""),"l",""),"m",""),"n",""),"o",""),"p",""),"q",""),"r",""),"s",""),"t",""),"u",""),"v",""),"w",""),"x",""),"y",""),"z",""),"-",""),"_",""),"/",""),".",""),"#",""),"\\",""),":","")," ",""),"(",""),")","")</f>
        <v/>
      </c>
      <c r="CC301" s="0" t="str">
        <f aca="false">" "&amp;TRIM(SUBSTITUTE(SUBSTITUTE(SUBSTITUTE(SUBSTITUTE(SUBSTITUTE(SUBSTITUTE(SUBSTITUTE(SUBSTITUTE(SUBSTITUTE(SUBSTITUTE(SUBSTITUTE(SUBSTITUTE(SUBSTITUTE(SUBSTITUTE(SUBSTITUTE(SUBSTITUTE(SUBSTITUTE(SUBSTITUTE(SUBSTITUTE(SUBSTITUTE(SUBSTITUTE(SUBSTITUTE(SUBSTITUTE(SUBSTITUTE(LOWER(T301&amp;""),CHAR(10)," "),CHAR(13)," "),CHAR(9)," "),CHAR(160)," "),"."," "),","," "),"-"," "),"/"," "),"("," "),")"," "),":"," "),";"," "),"_"," "),"–"," "),"?"," "),"!"," "),"*"," "),"["," "),"]"," "),"'"," "),"#"," "),"+"," "),"&amp;"," "),"\"," "))&amp;" "</f>
        <v>  </v>
      </c>
      <c r="CD301" s="0" t="str">
        <f aca="false">" "&amp;TRIM(SUBSTITUTE(SUBSTITUTE(SUBSTITUTE(SUBSTITUTE(SUBSTITUTE(SUBSTITUTE(SUBSTITUTE(SUBSTITUTE(SUBSTITUTE(SUBSTITUTE(SUBSTITUTE(SUBSTITUTE(SUBSTITUTE(SUBSTITUTE(SUBSTITUTE(SUBSTITUTE(SUBSTITUTE(SUBSTITUTE(SUBSTITUTE(SUBSTITUTE(SUBSTITUTE(SUBSTITUTE(SUBSTITUTE(SUBSTITUTE(LOWER(AE301&amp;""),CHAR(10)," "),CHAR(13)," "),CHAR(9)," "),CHAR(160)," "),"."," "),","," "),"-"," "),"/"," "),"("," "),")"," "),":"," "),";"," "),"_"," "),"–"," "),"?"," "),"!"," "),"*"," "),"["," "),"]"," "),"'"," "),"#"," "),"+"," "),"&amp;"," "),"\"," "))&amp;" "</f>
        <v>  </v>
      </c>
      <c r="CE301" s="68" t="n">
        <f aca="false">IFERROR(IF(AND(LEN(AU301)&gt;0,LEN(AU301)=LEN(AX301),OR(TRIM(MID(SUBSTITUTE(TRIM(CC301)," ",REPT(" ",60)),1,60))="",ISNUMBER(SEARCH(" "&amp;TRIM(MID(SUBSTITUTE(TRIM(CC301)," ",REPT(" ",60)),1,60))&amp;" ",CD301))),OR(TRIM(MID(SUBSTITUTE(TRIM(CC301)," ",REPT(" ",60)),61,60))="",ISNUMBER(SEARCH(" "&amp;TRIM(MID(SUBSTITUTE(TRIM(CC301)," ",REPT(" ",60)),61,60))&amp;" ",CD301))),OR(TRIM(MID(SUBSTITUTE(TRIM(CC301)," ",REPT(" ",60)),121,60))="",ISNUMBER(SEARCH(" "&amp;TRIM(MID(SUBSTITUTE(TRIM(CC301)," ",REPT(" ",60)),121,60))&amp;" ",CD301)))),1,0),0)</f>
        <v>0</v>
      </c>
      <c r="CG301" s="68" t="n">
        <f aca="false">IFERROR(LEN(SUBSTITUTE(BF301," ",""))-SUMPRODUCT((LEN(BF301)-LEN(SUBSTITUTE(BF301," "&amp;L_NAFiller&amp;" "," ")))/(LEN(L_NAFiller)+1)*LEN(L_NAFiller)),0)</f>
        <v>0</v>
      </c>
    </row>
    <row r="302" customFormat="false" ht="41.25" hidden="false" customHeight="true" outlineLevel="0" collapsed="false">
      <c r="A302" s="57" t="s">
        <v>881</v>
      </c>
      <c r="B302" s="57" t="s">
        <v>246</v>
      </c>
      <c r="C302" s="57" t="str">
        <f aca="false">Flights!$F$13</f>
        <v>MH0753</v>
      </c>
      <c r="D302" s="58" t="n">
        <f aca="false">Flights!$D$13</f>
        <v>46306</v>
      </c>
      <c r="E302" s="57" t="str">
        <f aca="false">Flights!$G$13&amp;"-"&amp;Flights!$H$13</f>
        <v>HAN-KUL</v>
      </c>
      <c r="F302" s="57" t="str">
        <f aca="false">Flights!$K$13</f>
        <v>BC</v>
      </c>
      <c r="G302" s="57" t="s">
        <v>420</v>
      </c>
      <c r="H302" s="57" t="s">
        <v>378</v>
      </c>
      <c r="I302" s="57" t="s">
        <v>499</v>
      </c>
      <c r="J302" s="57" t="s">
        <v>505</v>
      </c>
      <c r="K302" s="67" t="s">
        <v>501</v>
      </c>
      <c r="L302" s="67" t="s">
        <v>882</v>
      </c>
      <c r="M302" s="67" t="s">
        <v>451</v>
      </c>
      <c r="N302" s="67" t="s">
        <v>383</v>
      </c>
      <c r="O302" s="67" t="s">
        <v>880</v>
      </c>
      <c r="P302" s="57" t="s">
        <v>240</v>
      </c>
      <c r="Q302" s="59" t="n">
        <f aca="false">ROUND((Flights!$AE$13)*1440,0)/1440</f>
        <v>46305.7534722222</v>
      </c>
      <c r="R302" s="59" t="n">
        <f aca="false">Q302+(IF(AND(INDEX(TZ_DSTS,MATCH(P302,TZ_STN,0))&lt;&gt;"",Q302&gt;=INDEX(TZ_DSTS,MATCH(P302,TZ_STN,0)),Q302&lt;INDEX(TZ_DSTE,MATCH(P302,TZ_STN,0))),INDEX(TZ_DST,MATCH(P302,TZ_STN,0)),INDEX(TZ_STD,MATCH(P302,TZ_STN,0))))/24</f>
        <v>46306.0451388889</v>
      </c>
      <c r="S302" s="60"/>
      <c r="T302" s="60"/>
      <c r="U302" s="60"/>
      <c r="V302" s="60"/>
      <c r="W302" s="61"/>
      <c r="X302" s="60"/>
      <c r="Y302" s="60"/>
      <c r="Z302" s="60"/>
      <c r="AA302" s="60"/>
      <c r="AB302" s="60"/>
      <c r="AC302" s="60"/>
      <c r="AD302" s="66"/>
      <c r="AE302" s="60"/>
      <c r="AF302" s="61" t="str">
        <f aca="false">IF(AND(ISNUMBER(X302),ISNUMBER(Y302)),Y302-X302,"")</f>
        <v/>
      </c>
      <c r="AG302" s="62" t="str">
        <f aca="false">IF(ISNUMBER(AD302),AD302-(IF(AND(INDEX(TZ_DSTS,MATCH(P302,TZ_STN,0))&lt;&gt;"",(AD302-INDEX(TZ_STD,MATCH(P302,TZ_STN,0))/24)&gt;=INDEX(TZ_DSTS,MATCH(P302,TZ_STN,0)),(AD302-INDEX(TZ_STD,MATCH(P302,TZ_STN,0))/24)&lt;INDEX(TZ_DSTE,MATCH(P302,TZ_STN,0))),INDEX(TZ_DST,MATCH(P302,TZ_STN,0)),INDEX(TZ_STD,MATCH(P302,TZ_STN,0))))/24,"")</f>
        <v/>
      </c>
      <c r="AH302" s="65" t="str">
        <f aca="false">IFERROR(IF(N302="N/A – rule",IF(OR(TRIM(U302)="",TRIM(U302)="N/A",TRIM(U302)="Not started"),"N/A – RULE","INVALID – this check does not apply to this aircraft: clear the status (or correct the fleet on Flights)"),IF(TRIM(U302)="N/A",IF(AT302=0,"INVALID – N/A not permitted for this check",IF(AND(TRIM(AB302)&lt;&gt;"",TRIM(AB302)&lt;&gt;"Closed"),"INVALID – corrective action still open",IF(AND(NOT(OR(LEN(AZ302)&lt;15,ISNUMBER(MATCH(AZ302,L_Placeholder,0)))),BK302=0,CG302&gt;=8,NOT(OR(LEN(AU302)&lt;2,ISNUMBER(MATCH(AU302,L_Placeholder,0)))),BR302&gt;=3,NOT(OR(LEN(AX302)&lt;2,ISNUMBER(MATCH(AX302,L_Placeholder,0)))),BS302&gt;=3,TRIM(AE302)&lt;&gt;TRIM(T302),AX302&lt;&gt;AU302,CE302=0),"N/A – JUSTIFIED","INVALID – N/A needs a real, settled reason (not 'not applicable' / 'as above' / TBC), a named PIC and a different named verifier"))),IF(OR(TRIM(U302)="Pass",TRIM(U302)="Pass after CA"),IF(NOT(ISNUMBER(AD302)),"INVALID – completion time missing",IF(OR(OR(LEN(AU302)&lt;2,ISNUMBER(MATCH(AU302,L_Placeholder,0))),BR302&lt;3),"INVALID – PIC missing or not a named person (a role such as QA / CSM is not a name)",IF(OR(LEN(AV302)&lt;2,ISNUMBER(MATCH(AV302,L_Placeholder,0))),"INVALID – result / assessment missing",IF(OR(OR(LEN(AW302)&lt;3,ISNUMBER(MATCH(AW302,L_Placeholder,0))),SUMPRODUCT(--ISNUMBER(SEARCH(" "&amp;L_EvidencePhrase&amp;" ",BD302)))&gt;0,BI302=1),"INVALID – evidence missing, placeholder or not yet on file",IF(ISNA(MATCH(TRIM(S302),L_EvidenceType,0)),"INVALID – choose the evidence type from the list (column S)",IF(BL302=0,"INVALID – evidence ID must be the record's own ID only (e.g. SF-2210, IMG_2231, 1045521); a link / file name needs type 'Link / file path'",IF(OR(OR(LEN(AX302)&lt;2,ISNUMBER(MATCH(AX302,L_Placeholder,0))),BS302&lt;3),"INVALID – verifier missing or not a named person (a role such as QA / CSM is not a name)",IF(OR(AX302=AU302,CE302=1,AND(LEN(AU302)&gt;=4,ISNUMBER(SEARCH(AU302,AX302))),AND(LEN(AX302)&gt;=4,ISNUMBER(SEARCH(AX302,AU302)))),"INVALID – verifier must be a different, named person (not the PIC or a role)",IF(BH302=1,"INVALID – result not yet available (awaiting / TBC)",IF(BG302=1,"INVALID – result describes a problem: record Fail, then Pass after CA (or reword if it is not a problem)",IF(BV302=1,"INVALID – wording says not on board: an on-board confirmation needs the item loaded",IF(AND(AQ302=1,OR(OR(LEN(AY302)&lt;3,ISNUMBER(MATCH(AY302,L_Placeholder,0))),BJ302=1,BQ302=0)),"INVALID – batch ID missing, placeholder or not an ID (e.g. PASB-261008-BC-017)",IF(AND(AR302=1,OR(NOT(ISNUMBER(X302)),NOT(ISNUMBER(Y302)))),"INVALID – expected/actual qty missing",IF(AND(AR302=1,OR(X302&lt;=0,Y302&lt;0)),"INVALID – expected qty must be above 0 and actual not negative",IF(BB302&lt;&gt;"",BB302,IF(AND(AS302=1,Documents!$J$13&lt;&gt;"ON FILE"),"INVALID – GLD not on file (Documents sheet)",IF(AND(AS302=2,Documents!$O$13&lt;&gt;"ON FILE"),"INVALID – menu checklist not on file (Documents sheet)",IF(AND(AS302=3,NOT(ISNUMBER(Flights!$AX$13))),"INVALID – enter carrying flight KUL departure (Flights AX)",IF(AND(AS302=3,OR(Flights!$AZ$13&gt;Flights!$AA$13,Flights!$AX$13&lt;Flights!$AA$13-3)),"INVALID – carrying flight (Flights AX) cannot arrive before this leg's STD, or is over 3 days early",IF(AG302&gt;AsOfUTC,"INVALID – completion time is in the future",IF(AND(ISNUMBER(BY302),AG302&lt;BY302),IF(H302="Physical uplift","INVALID – before uplift window (cannot confirm loading)","INVALID – before valid window"),IF(AG302&gt;Flights!$AA$13,"INVALID – completed after departure (cannot establish readiness)",IF(AND(H302="Preparation",AG302&gt;=IF(ISNUMBER(Flights!$BA$13),MIN(Flights!$BA$13,Flights!$AA$13),Flights!$AA$13)),"INVALID – completed after loading / departure (cannot establish readiness)",IF(AND(H302="Physical uplift",AG302&gt;Q302),"INVALID – recorded after the loading flight departed",IF(AG302&gt;Q302,"COMPLETE – LATE","COMPLETE"))))))))))))))))))))))))),IF(TRIM(U302)="Fail","FAIL – DISCREPANCY",IF(AND(TRIM(U302)&lt;&gt;"",TRIM(U302)&lt;&gt;"Not started",TRIM(U302)&lt;&gt;"In progress"),"INVALID – unrecognised status (use the list)",IF(AsOfUTC&gt;Q302,"OVERDUE",IF(N302="Clarification required","OPEN – CLARIFICATION","OPEN"))))))),"INVALID – error value in an input cell")</f>
        <v>OPEN</v>
      </c>
      <c r="AI302" s="61" t="n">
        <f aca="false">IF(OR(AH302="N/A – RULE",AH302="N/A – JUSTIFIED"),0,1)</f>
        <v>1</v>
      </c>
      <c r="AJ302" s="61" t="n">
        <f aca="false">IF(LEFT(AH302,8)="COMPLETE",1,0)</f>
        <v>0</v>
      </c>
      <c r="AK302" s="61" t="n">
        <f aca="false">IF(AND(AI302=1,AJ302=0,AsOfUTC&gt;Q302),1,0)</f>
        <v>0</v>
      </c>
      <c r="AL302" s="61" t="n">
        <f aca="false">IFERROR(IF(AND(AI302=1,OR(TRIM(U302)="Fail",AND(TRIM(AB302)&lt;&gt;"",TRIM(AB302)&lt;&gt;"Closed"),AND(ISNUMBER(AF302),AF302&lt;&gt;0,TRIM(U302)&lt;&gt;"Pass after CA"))),1,0),1)</f>
        <v>0</v>
      </c>
      <c r="AM302" s="61" t="n">
        <f aca="false">IF(LEFT(AH302,7)="INVALID",1,0)</f>
        <v>0</v>
      </c>
      <c r="AN302" s="61" t="n">
        <f aca="false">IF(AND(N302="Clarification required",AI302=1,AJ302=0),1,0)</f>
        <v>0</v>
      </c>
      <c r="AO302" s="61" t="str">
        <f aca="false">IF(AK302=1,SUM(AK$5:AK302),"")</f>
        <v/>
      </c>
      <c r="AP302" s="61" t="str">
        <f aca="false">IF(AL302=1,SUM(AL$5:AL302),"")</f>
        <v/>
      </c>
      <c r="AQ302" s="61" t="n">
        <v>0</v>
      </c>
      <c r="AR302" s="61" t="n">
        <v>0</v>
      </c>
      <c r="AS302" s="61" t="n">
        <v>0</v>
      </c>
      <c r="AT302" s="61" t="n">
        <v>0</v>
      </c>
      <c r="AU302" s="61" t="str">
        <f aca="false">SUBSTITUTE(SUBSTITUTE(SUBSTITUTE(SUBSTITUTE(SUBSTITUTE(SUBSTITUTE(SUBSTITUTE(SUBSTITUTE(SUBSTITUTE(SUBSTITUTE(SUBSTITUTE(SUBSTITUTE(SUBSTITUTE(SUBSTITUTE(SUBSTITUTE(SUBSTITUTE(LOWER(T302&amp;""),CHAR(10),""),CHAR(13),""),CHAR(9),""),CHAR(160),"")," ",""),".",""),"-",""),"/",""),"?",""),"_",""),",",""),"[",""),"]",""),"(",""),")",""),"*","")</f>
        <v/>
      </c>
      <c r="AV302" s="61" t="str">
        <f aca="false">SUBSTITUTE(SUBSTITUTE(SUBSTITUTE(SUBSTITUTE(SUBSTITUTE(SUBSTITUTE(SUBSTITUTE(SUBSTITUTE(SUBSTITUTE(SUBSTITUTE(SUBSTITUTE(SUBSTITUTE(SUBSTITUTE(SUBSTITUTE(SUBSTITUTE(SUBSTITUTE(LOWER(V302&amp;""),CHAR(10),""),CHAR(13),""),CHAR(9),""),CHAR(160),"")," ",""),".",""),"-",""),"/",""),"?",""),"_",""),",",""),"[",""),"]",""),"(",""),")",""),"*","")</f>
        <v/>
      </c>
      <c r="AW302" s="61" t="str">
        <f aca="false">SUBSTITUTE(SUBSTITUTE(SUBSTITUTE(SUBSTITUTE(SUBSTITUTE(SUBSTITUTE(SUBSTITUTE(SUBSTITUTE(SUBSTITUTE(SUBSTITUTE(SUBSTITUTE(SUBSTITUTE(SUBSTITUTE(SUBSTITUTE(SUBSTITUTE(SUBSTITUTE(LOWER(Z302&amp;""),CHAR(10),""),CHAR(13),""),CHAR(9),""),CHAR(160),"")," ",""),".",""),"-",""),"/",""),"?",""),"_",""),",",""),"[",""),"]",""),"(",""),")",""),"*","")</f>
        <v/>
      </c>
      <c r="AX302" s="61" t="str">
        <f aca="false">SUBSTITUTE(SUBSTITUTE(SUBSTITUTE(SUBSTITUTE(SUBSTITUTE(SUBSTITUTE(SUBSTITUTE(SUBSTITUTE(SUBSTITUTE(SUBSTITUTE(SUBSTITUTE(SUBSTITUTE(SUBSTITUTE(SUBSTITUTE(SUBSTITUTE(SUBSTITUTE(LOWER(AE302&amp;""),CHAR(10),""),CHAR(13),""),CHAR(9),""),CHAR(160),"")," ",""),".",""),"-",""),"/",""),"?",""),"_",""),",",""),"[",""),"]",""),"(",""),")",""),"*","")</f>
        <v/>
      </c>
      <c r="AY302" s="61" t="str">
        <f aca="false">SUBSTITUTE(SUBSTITUTE(SUBSTITUTE(SUBSTITUTE(SUBSTITUTE(SUBSTITUTE(SUBSTITUTE(SUBSTITUTE(SUBSTITUTE(SUBSTITUTE(SUBSTITUTE(SUBSTITUTE(SUBSTITUTE(SUBSTITUTE(SUBSTITUTE(SUBSTITUTE(LOWER(W302&amp;""),CHAR(10),""),CHAR(13),""),CHAR(9),""),CHAR(160),"")," ",""),".",""),"-",""),"/",""),"?",""),"_",""),",",""),"[",""),"]",""),"(",""),")",""),"*","")</f>
        <v/>
      </c>
      <c r="AZ302" s="61" t="str">
        <f aca="false">SUBSTITUTE(SUBSTITUTE(SUBSTITUTE(SUBSTITUTE(SUBSTITUTE(SUBSTITUTE(SUBSTITUTE(SUBSTITUTE(SUBSTITUTE(SUBSTITUTE(SUBSTITUTE(SUBSTITUTE(SUBSTITUTE(SUBSTITUTE(SUBSTITUTE(SUBSTITUTE(LOWER(AC302&amp;""),CHAR(10),""),CHAR(13),""),CHAR(9),""),CHAR(160),"")," ",""),".",""),"-",""),"/",""),"?",""),"_",""),",",""),"[",""),"]",""),"(",""),")",""),"*","")</f>
        <v/>
      </c>
      <c r="BA302" s="61" t="str">
        <f aca="false">SUBSTITUTE(SUBSTITUTE(SUBSTITUTE(SUBSTITUTE(SUBSTITUTE(SUBSTITUTE(SUBSTITUTE(SUBSTITUTE(SUBSTITUTE(SUBSTITUTE(SUBSTITUTE(SUBSTITUTE(SUBSTITUTE(SUBSTITUTE(SUBSTITUTE(SUBSTITUTE(LOWER(AA302&amp;""),CHAR(10),""),CHAR(13),""),CHAR(9),""),CHAR(160),"")," ",""),".",""),"-",""),"/",""),"?",""),"_",""),",",""),"[",""),"]",""),"(",""),")",""),"*","")</f>
        <v/>
      </c>
      <c r="BB302" s="61" t="str">
        <f aca="false">IF(AND(TRIM(U302)="Pass",ISNUMBER(AF302)),IF(AF302&lt;&gt;0,"INVALID – qty variance: use Fail or Pass after CA",""),"")&amp;IF(AND(TRIM(U302)="Pass after CA",ISNUMBER(AF302)),IF(AF302&lt;&gt;0,"INVALID – after the corrective action the actual qty must equal expected (update Actual)",""),"")&amp;IF(AND(TRIM(U302)="Pass",TRIM(AB302)&lt;&gt;"",TRIM(AB302)&lt;&gt;"Closed"),"INVALID – corrective action not closed: use Fail, then Pass after CA","")&amp;IF(AND(LEN(BA302)&gt;=2,ISNA(MATCH(LEFT(BA302,255),L_Placeholder,0)),TRIM(AB302)=""),"INVALID – CA status missing for the recorded corrective action","")&amp;IF(AND(TRIM(U302)="Pass after CA",OR(OR(LEN(BA302)&lt;5,ISNUMBER(MATCH(BA302,L_Placeholder,0))),TRIM(AB302)&lt;&gt;"Closed")),"INVALID – corrective action not recorded/closed","")</f>
        <v/>
      </c>
      <c r="BC302" s="61" t="str">
        <f aca="false">" "&amp;TRIM(SUBSTITUTE(SUBSTITUTE(SUBSTITUTE(SUBSTITUTE(SUBSTITUTE(SUBSTITUTE(SUBSTITUTE(SUBSTITUTE(SUBSTITUTE(SUBSTITUTE(SUBSTITUTE(SUBSTITUTE(SUBSTITUTE(SUBSTITUTE(SUBSTITUTE(SUBSTITUTE(SUBSTITUTE(SUBSTITUTE(SUBSTITUTE(SUBSTITUTE(SUBSTITUTE(SUBSTITUTE(SUBSTITUTE(SUBSTITUTE(LOWER(V302&amp;""),CHAR(10)," "),CHAR(13)," "),CHAR(9)," "),CHAR(160)," "),"."," "),","," "),"-"," "),"/"," "),"("," "),")"," "),":"," "),";"," "),"_"," "),"–"," "),"?"," "),"!"," "),"*"," "),"["," "),"]"," "),"'"," "),"#"," "),"+"," "),"&amp;"," "),"\"," "))&amp;" "</f>
        <v>  </v>
      </c>
      <c r="BD302" s="61" t="str">
        <f aca="false">" "&amp;TRIM(SUBSTITUTE(SUBSTITUTE(SUBSTITUTE(SUBSTITUTE(SUBSTITUTE(SUBSTITUTE(SUBSTITUTE(SUBSTITUTE(SUBSTITUTE(SUBSTITUTE(SUBSTITUTE(SUBSTITUTE(SUBSTITUTE(SUBSTITUTE(SUBSTITUTE(SUBSTITUTE(SUBSTITUTE(SUBSTITUTE(SUBSTITUTE(SUBSTITUTE(SUBSTITUTE(SUBSTITUTE(SUBSTITUTE(SUBSTITUTE(LOWER(Z302&amp;""),CHAR(10)," "),CHAR(13)," "),CHAR(9)," "),CHAR(160)," "),"."," "),","," "),"-"," "),"/"," "),"("," "),")"," "),":"," "),";"," "),"_"," "),"–"," "),"?"," "),"!"," "),"*"," "),"["," "),"]"," "),"'"," "),"#"," "),"+"," "),"&amp;"," "),"\"," "))&amp;" "</f>
        <v>  </v>
      </c>
      <c r="BE302" s="61" t="str">
        <f aca="false">" "&amp;TRIM(SUBSTITUTE(SUBSTITUTE(SUBSTITUTE(SUBSTITUTE(SUBSTITUTE(SUBSTITUTE(SUBSTITUTE(SUBSTITUTE(SUBSTITUTE(SUBSTITUTE(SUBSTITUTE(SUBSTITUTE(SUBSTITUTE(SUBSTITUTE(SUBSTITUTE(SUBSTITUTE(SUBSTITUTE(SUBSTITUTE(SUBSTITUTE(SUBSTITUTE(SUBSTITUTE(SUBSTITUTE(SUBSTITUTE(SUBSTITUTE(LOWER(W302&amp;""),CHAR(10)," "),CHAR(13)," "),CHAR(9)," "),CHAR(160)," "),"."," "),","," "),"-"," "),"/"," "),"("," "),")"," "),":"," "),";"," "),"_"," "),"–"," "),"?"," "),"!"," "),"*"," "),"["," "),"]"," "),"'"," "),"#"," "),"+"," "),"&amp;"," "),"\"," "))&amp;" "</f>
        <v>  </v>
      </c>
      <c r="BF302" s="61" t="str">
        <f aca="false">" "&amp;TRIM(SUBSTITUTE(SUBSTITUTE(SUBSTITUTE(SUBSTITUTE(SUBSTITUTE(SUBSTITUTE(SUBSTITUTE(SUBSTITUTE(SUBSTITUTE(SUBSTITUTE(SUBSTITUTE(SUBSTITUTE(SUBSTITUTE(SUBSTITUTE(SUBSTITUTE(SUBSTITUTE(SUBSTITUTE(SUBSTITUTE(SUBSTITUTE(SUBSTITUTE(SUBSTITUTE(SUBSTITUTE(SUBSTITUTE(SUBSTITUTE(LOWER(AC302&amp;""),CHAR(10)," "),CHAR(13)," "),CHAR(9)," "),CHAR(160)," "),"."," "),","," "),"-"," "),"/"," "),"("," "),")"," "),":"," "),";"," "),"_"," "),"–"," "),"?"," "),"!"," "),"*"," "),"["," "),"]"," "),"'"," "),"#"," "),"+"," "),"&amp;"," "),"\"," "))&amp;" "</f>
        <v>  </v>
      </c>
      <c r="BG302" s="61" t="n">
        <f aca="false">IFERROR(IF(AND(TRIM(U302)="Pass",SUMPRODUCT((LEN(BC302)-LEN(SUBSTITUTE(BC302," "&amp;L_ResultBad&amp;" "," ")))/(LEN(L_ResultBad)+1))&gt;SUMPRODUCT((LEN(BC302)-LEN(SUBSTITUTE(BC302," "&amp;L_NegPhrase&amp;" "," ")))/(LEN(L_NegPhrase)+1))),1,0),0)</f>
        <v>0</v>
      </c>
      <c r="BH302" s="61" t="n">
        <f aca="false">IFERROR(IF(SUMPRODUCT((LEN(BC302)-LEN(SUBSTITUTE(BC302," "&amp;L_Pending&amp;" "," ")))/(LEN(L_Pending)+1))&gt;SUMPRODUCT((LEN(BC302)-LEN(SUBSTITUTE(BC302," "&amp;L_PendNeg&amp;" "," ")))/(LEN(L_PendNeg)+1))+SUMPRODUCT((LEN(BC302)-LEN(SUBSTITUTE(BC302," "&amp;L_PendPrep&amp;" "," ")))/(LEN(L_PendPrep)+1)),1,0),1)</f>
        <v>0</v>
      </c>
      <c r="BI302" s="61" t="n">
        <f aca="false">IFERROR(IF(SUMPRODUCT((LEN(BD302)-LEN(SUBSTITUTE(BD302," "&amp;L_PendStrict&amp;" "," ")))/(LEN(L_PendStrict)+1))&gt;SUMPRODUCT((LEN(BD302)-LEN(SUBSTITUTE(BD302," "&amp;L_PendNeg&amp;" "," ")))/(LEN(L_PendNeg)+1)),1,0),1)</f>
        <v>0</v>
      </c>
      <c r="BJ302" s="61" t="n">
        <f aca="false">IFERROR(IF(SUMPRODUCT((LEN(BE302)-LEN(SUBSTITUTE(BE302," "&amp;L_Pending&amp;" "," ")))/(LEN(L_Pending)+1))&gt;SUMPRODUCT((LEN(BE302)-LEN(SUBSTITUTE(BE302," "&amp;L_PendNeg&amp;" "," ")))/(LEN(L_PendNeg)+1))+SUMPRODUCT((LEN(BE302)-LEN(SUBSTITUTE(BE302," "&amp;L_PendPrep&amp;" "," ")))/(LEN(L_PendPrep)+1)),1,0),1)</f>
        <v>0</v>
      </c>
      <c r="BK302" s="61" t="n">
        <f aca="false">IFERROR(IF(SUMPRODUCT((LEN(BF302)-LEN(SUBSTITUTE(BF302," "&amp;L_PendStrict&amp;" "," ")))/(LEN(L_PendStrict)+1))&gt;SUMPRODUCT((LEN(BF302)-LEN(SUBSTITUTE(BF302," "&amp;L_PendNeg&amp;" "," ")))/(LEN(L_PendNeg)+1)),1,0),1)</f>
        <v>0</v>
      </c>
      <c r="BL302" s="61" t="n">
        <f aca="false">IF(ISNA(MATCH(TRIM(S302),L_EvidenceType,0)),0,BZ302)</f>
        <v>0</v>
      </c>
      <c r="BM302" s="61" t="str">
        <f aca="false">SUBSTITUTE(SUBSTITUTE(SUBSTITUTE(SUBSTITUTE(SUBSTITUTE(SUBSTITUTE(SUBSTITUTE(SUBSTITUTE(SUBSTITUTE(LOWER(Z302&amp;""),"1","0"),"2","0"),"3","0"),"4","0"),"5","0"),"6","0"),"7","0"),"8","0"),"9","0")</f>
        <v/>
      </c>
      <c r="BN302" s="61" t="str">
        <f aca="false">SUBSTITUTE(SUBSTITUTE(SUBSTITUTE(SUBSTITUTE(SUBSTITUTE(SUBSTITUTE(SUBSTITUTE(SUBSTITUTE(SUBSTITUTE(SUBSTITUTE(SUBSTITUTE(SUBSTITUTE(SUBSTITUTE(SUBSTITUTE(SUBSTITUTE(SUBSTITUTE(SUBSTITUTE(SUBSTITUTE(SUBSTITUTE(SUBSTITUTE(SUBSTITUTE(SUBSTITUTE(SUBSTITUTE(SUBSTITUTE(SUBSTITUTE(BM302,"b","a"),"c","a"),"d","a"),"e","a"),"f","a"),"g","a"),"h","a"),"i","a"),"j","a"),"k","a"),"l","a"),"m","a"),"n","a"),"o","a"),"p","a"),"q","a"),"r","a"),"s","a"),"t","a"),"u","a"),"v","a"),"w","a"),"x","a"),"y","a"),"z","a")</f>
        <v/>
      </c>
      <c r="BO302" s="61" t="str">
        <f aca="false">SUBSTITUTE(SUBSTITUTE(SUBSTITUTE(SUBSTITUTE(SUBSTITUTE(SUBSTITUTE(SUBSTITUTE(SUBSTITUTE(SUBSTITUTE(LOWER(W302&amp;""),"1","0"),"2","0"),"3","0"),"4","0"),"5","0"),"6","0"),"7","0"),"8","0"),"9","0")</f>
        <v/>
      </c>
      <c r="BP302" s="61" t="str">
        <f aca="false">SUBSTITUTE(SUBSTITUTE(SUBSTITUTE(SUBSTITUTE(SUBSTITUTE(SUBSTITUTE(SUBSTITUTE(SUBSTITUTE(SUBSTITUTE(SUBSTITUTE(SUBSTITUTE(SUBSTITUTE(SUBSTITUTE(SUBSTITUTE(SUBSTITUTE(SUBSTITUTE(SUBSTITUTE(SUBSTITUTE(SUBSTITUTE(SUBSTITUTE(SUBSTITUTE(SUBSTITUTE(SUBSTITUTE(SUBSTITUTE(SUBSTITUTE(BO302,"b","a"),"c","a"),"d","a"),"e","a"),"f","a"),"g","a"),"h","a"),"i","a"),"j","a"),"k","a"),"l","a"),"m","a"),"n","a"),"o","a"),"p","a"),"q","a"),"r","a"),"s","a"),"t","a"),"u","a"),"v","a"),"w","a"),"x","a"),"y","a"),"z","a")</f>
        <v/>
      </c>
      <c r="BQ302" s="61" t="n">
        <f aca="false">IFERROR(IF(AND(ISERROR(SEARCH(" mh"," "&amp;LOWER(W302))),ISNA(MATCH(LEFT(TRIM(BP302),255),{"0000a","000a","00a","0000aa","000aa","00aa","0aa","0000aaa","000aaa","00a00","0a00","0000-0000","00:00","a00","a0","00.00.0000","00/00/0000","00-00-0000","0000-00-00","0000/00/00","0000.00.00","00.00.00","00/00/00","00-00-00","0.00.0000","0/00/0000","0-00-0000"},0)),ISNA(MATCH(LEFT(TRIM(CA302),255),{"0000a","000a","00a","0000aa","000aa","00aa","0aa","0000aaa","000aaa","00a00","0a00","0000-0000","00:00","a00","a0","00.00.0000","00/00/0000","00-00-0000","0000-00-00","0000/00/00","0000.00.00","00.00.00","00/00/00","00-00-00","0.00.0000","0/00/0000","0-00-0000"},0)),LEN(CB302)&gt;=3,NOT(OR(SUBSTITUTE(CB302,"0","")="",AND(LEN(CB302)&gt;=4,CB302=REPT(LEFT(CB302),LEN(CB302))),ISNUMBER(MATCH(CB302,{"123","1234","12345","123456","1234567","12345678","0123","01234","012345","98765","987654","54321"},0)),AND(LEN(CB302)=8,LEFT(CB302,3)="202"))),OR(AND((LEN(CA302)-LEN(SUBSTITUTE(CA302,"a","")))&gt;=1,SUMPRODUCT(--ISNUMBER(SEARCH({"a0","a-0","a_0","a/0","a.0","a#0","0a","0-a","0_a","0/a"},BP302)))&gt;0),ISNUMBER(SEARCH("000000",BP302)))),1,0),0)</f>
        <v>0</v>
      </c>
      <c r="BR302" s="61" t="n">
        <f aca="false">IFERROR(LEN(SUBSTITUTE(CC302," ",""))-SUMPRODUCT((LEN(CC302)-LEN(SUBSTITUTE(CC302," "&amp;L_Role&amp;" "," ")))/(LEN(L_Role)+1)*LEN(L_Role)),0)</f>
        <v>0</v>
      </c>
      <c r="BS302" s="61" t="n">
        <f aca="false">IFERROR(LEN(SUBSTITUTE(CD302," ",""))-SUMPRODUCT((LEN(CD302)-LEN(SUBSTITUTE(CD302," "&amp;L_Role&amp;" "," ")))/(LEN(L_Role)+1)*LEN(L_Role)),0)</f>
        <v>0</v>
      </c>
      <c r="BT3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302,"revision",""),"version",""),"jan",""),"feb",""),"mar",""),"apr",""),"may",""),"jun",""),"jul",""),"aug",""),"sep",""),"oct",""),"nov",""),"dec",""),"utc",""),"gmt",""),"myt",""),"bst",""),"rev",""),"ver",""),"b","a"),"c","a"),"d","a"),"e","a"),"f","a"),"g","a"),"h","a"),"i","a"),"j","a"),"k","a"),"l","a"),"m","a"),"n","a"),"o","a"),"p","a"),"q","a"),"r","a"),"s","a"),"t","a"),"u","a"),"v","a"),"w","a"),"x","a"),"y","a"),"z","a")</f>
        <v/>
      </c>
      <c r="BU302" s="61" t="str">
        <f aca="false">SUBSTITUTE(SUBSTITUTE(SUBSTITUTE(SUBSTITUTE(SUBSTITUTE(SUBSTITUTE(SUBSTITUTE(SUBSTITUTE(SUBSTITUTE(SUBSTITUTE(LEFT(BM302,FIND("0",BM302&amp;"0")-1),"-",""),"_",""),"/",""),".",""),"#",""),"\\",""),":","")," ",""),"(",""),")","")</f>
        <v/>
      </c>
      <c r="BV302" s="61" t="n">
        <f aca="false">0</f>
        <v>0</v>
      </c>
      <c r="BW3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302&amp;""),"a",""),"b",""),"c",""),"d",""),"e",""),"f",""),"g",""),"h",""),"i",""),"j",""),"k",""),"l",""),"m",""),"n",""),"o",""),"p",""),"q",""),"r",""),"s",""),"t",""),"u",""),"v",""),"w",""),"x",""),"y",""),"z",""),"-",""),"_",""),"/",""),".",""),"#",""),"\\",""),":","")," ",""),"(",""),")","")</f>
        <v/>
      </c>
      <c r="BX302" s="61" t="str">
        <f aca="false">SUBSTITUTE(SUBSTITUTE(SUBSTITUTE(SUBSTITUTE(SUBSTITUTE(SUBSTITUTE(SUBSTITUTE(SUBSTITUTE(SUBSTITUTE(SUBSTITUTE(SUBSTITUTE(BM302,"0",""),"-",""),"_",""),"/",""),".",""),"#",""),"\\",""),":","")," ",""),"(",""),")","")</f>
        <v/>
      </c>
      <c r="BY302" s="62" t="n">
        <f aca="false">Q302-T12EarlyH/24</f>
        <v>46305.2534722222</v>
      </c>
      <c r="BZ302" s="61" t="n">
        <f aca="false">IFERROR(IF(IF(TRIM(S302)="Link / file path",AND(LEN(TRIM(Z302))&gt;=5,SUMPRODUCT(--ISNUMBER(SEARCH({"http","www.","\\",":\",".pdf",".jpg",".jpeg",".png",".heic",".xls",".doc",".msg",".eml",".ppt",".txt",".zip"},Z302)))&gt;0),AND(ISERROR(FIND(" ",TRIM(Z302))),NOT(OR(SUMPRODUCT(--ISNUMBER(FIND({",",";","&amp;","+"},Z302)))&gt;0,SUMPRODUCT(--ISNUMBER(SEARCH({"0/aa","0\\aa"},BN302)))&gt;0)),NOT(SUMPRODUCT(--ISNUMBER(SEARCH({"http","www.","\\",":\",".pdf",".jpg",".jpeg",".png",".heic",".xls",".doc",".msg",".eml",".ppt",".txt",".zip"},Z302)))&gt;0),NOT(LOWER(TRIM(Z302))=LOWER(Flights!$F$13)),ISNA(MATCH(BU302,{"mh","rev","revision","ver","version","v","r","a","b","seat","tray","row","gate","bay","stand","page","pg","item","line","no","cart","galley","flight","flt","table","box","bag","oven","etd","eta","std","sta","atd","ata","qty","pax","x","time","tel","ph","mob","day","wk","week","utc","gmt","myt","lt"},0)),NOT(OR(ISNUMBER(MATCH(LEFT(BN302,255),{"0000a","000a","00a","0000aa","000aa","00aa","0aa","0000aaa","000aaa","00a00","0a00","0000-0000","00:00","a00","a0","00.00.0000","00/00/0000","00-00-0000","0000-00-00","0000/00/00","0000.00.00","00.00.00","00/00/00","00-00-00","0.00.0000","0/00/0000","0-00-0000"},0)),ISNUMBER(MATCH(LEFT(BT302,255),{"0000a","000a","00a","0000aa","000aa","00aa","0aa","0000aaa","000aaa","00a00","0a00","0000-0000","00:00","a00","a0","00.00.0000","00/00/0000","00-00-0000","0000-00-00","0000/00/00","0000.00.00","00.00.00","00/00/00","00-00-00","0.00.0000","0/00/0000","0-00-0000"},0)))),NOT(OR(AND(BW302&lt;&gt;"",SUBSTITUTE(BW302,"0","")=""),AND(LEN(BW302)&gt;=4,BW302=REPT(LEFT(BW302),LEN(BW302))),ISNUMBER(MATCH(BW302,{"123","1234","12345","123456","1234567","12345678","0123","01234","012345","98765","987654","54321"},0)),ISNUMBER(MATCH(BX302,{"x","xx","xxx","xxxx","xxxxx","abc","abcd","nil","na","nan","test","tbc","tba","tbd","dummy","sample","example","eg","zz","zzz","none","null","xyz","qwe","asd","id","ref"},0)),AND(LEN(BW302)=8,BX302="",OR(LEFT(BW302,3)="202",ISNUMBER(MATCH(RIGHT(BW302,4),{"2025","2026","2027"},0)))))),OR(AND((LEN(BT302)-LEN(SUBSTITUTE(BT302,"a","")))&gt;=1,(LEN(BN302)-LEN(SUBSTITUTE(BN302,"0","")))&gt;=2,SUMPRODUCT(--ISNUMBER(SEARCH({"a0","a-0","a_0","a/0","a.0","a#0","0a","0-a","0_a","0/a"},BN302)))&gt;0),AND((LEN(BN302)-LEN(SUBSTITUTE(BN302,"a","")))=0,(LEN(BN302)-LEN(SUBSTITUTE(BN302,"0","")))&gt;=5)))),1,0),0)</f>
        <v>0</v>
      </c>
      <c r="CA3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302,"revision",""),"version",""),"jan",""),"feb",""),"mar",""),"apr",""),"may",""),"jun",""),"jul",""),"aug",""),"sep",""),"oct",""),"nov",""),"dec",""),"utc",""),"gmt",""),"myt",""),"bst",""),"rev",""),"ver",""),"b","a"),"c","a"),"d","a"),"e","a"),"f","a"),"g","a"),"h","a"),"i","a"),"j","a"),"k","a"),"l","a"),"m","a"),"n","a"),"o","a"),"p","a"),"q","a"),"r","a"),"s","a"),"t","a"),"u","a"),"v","a"),"w","a"),"x","a"),"y","a"),"z","a")</f>
        <v/>
      </c>
      <c r="CB3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302&amp;""),"a",""),"b",""),"c",""),"d",""),"e",""),"f",""),"g",""),"h",""),"i",""),"j",""),"k",""),"l",""),"m",""),"n",""),"o",""),"p",""),"q",""),"r",""),"s",""),"t",""),"u",""),"v",""),"w",""),"x",""),"y",""),"z",""),"-",""),"_",""),"/",""),".",""),"#",""),"\\",""),":","")," ",""),"(",""),")","")</f>
        <v/>
      </c>
      <c r="CC302" s="0" t="str">
        <f aca="false">" "&amp;TRIM(SUBSTITUTE(SUBSTITUTE(SUBSTITUTE(SUBSTITUTE(SUBSTITUTE(SUBSTITUTE(SUBSTITUTE(SUBSTITUTE(SUBSTITUTE(SUBSTITUTE(SUBSTITUTE(SUBSTITUTE(SUBSTITUTE(SUBSTITUTE(SUBSTITUTE(SUBSTITUTE(SUBSTITUTE(SUBSTITUTE(SUBSTITUTE(SUBSTITUTE(SUBSTITUTE(SUBSTITUTE(SUBSTITUTE(SUBSTITUTE(LOWER(T302&amp;""),CHAR(10)," "),CHAR(13)," "),CHAR(9)," "),CHAR(160)," "),"."," "),","," "),"-"," "),"/"," "),"("," "),")"," "),":"," "),";"," "),"_"," "),"–"," "),"?"," "),"!"," "),"*"," "),"["," "),"]"," "),"'"," "),"#"," "),"+"," "),"&amp;"," "),"\"," "))&amp;" "</f>
        <v>  </v>
      </c>
      <c r="CD302" s="0" t="str">
        <f aca="false">" "&amp;TRIM(SUBSTITUTE(SUBSTITUTE(SUBSTITUTE(SUBSTITUTE(SUBSTITUTE(SUBSTITUTE(SUBSTITUTE(SUBSTITUTE(SUBSTITUTE(SUBSTITUTE(SUBSTITUTE(SUBSTITUTE(SUBSTITUTE(SUBSTITUTE(SUBSTITUTE(SUBSTITUTE(SUBSTITUTE(SUBSTITUTE(SUBSTITUTE(SUBSTITUTE(SUBSTITUTE(SUBSTITUTE(SUBSTITUTE(SUBSTITUTE(LOWER(AE302&amp;""),CHAR(10)," "),CHAR(13)," "),CHAR(9)," "),CHAR(160)," "),"."," "),","," "),"-"," "),"/"," "),"("," "),")"," "),":"," "),";"," "),"_"," "),"–"," "),"?"," "),"!"," "),"*"," "),"["," "),"]"," "),"'"," "),"#"," "),"+"," "),"&amp;"," "),"\"," "))&amp;" "</f>
        <v>  </v>
      </c>
      <c r="CE302" s="68" t="n">
        <f aca="false">IFERROR(IF(AND(LEN(AU302)&gt;0,LEN(AU302)=LEN(AX302),OR(TRIM(MID(SUBSTITUTE(TRIM(CC302)," ",REPT(" ",60)),1,60))="",ISNUMBER(SEARCH(" "&amp;TRIM(MID(SUBSTITUTE(TRIM(CC302)," ",REPT(" ",60)),1,60))&amp;" ",CD302))),OR(TRIM(MID(SUBSTITUTE(TRIM(CC302)," ",REPT(" ",60)),61,60))="",ISNUMBER(SEARCH(" "&amp;TRIM(MID(SUBSTITUTE(TRIM(CC302)," ",REPT(" ",60)),61,60))&amp;" ",CD302))),OR(TRIM(MID(SUBSTITUTE(TRIM(CC302)," ",REPT(" ",60)),121,60))="",ISNUMBER(SEARCH(" "&amp;TRIM(MID(SUBSTITUTE(TRIM(CC302)," ",REPT(" ",60)),121,60))&amp;" ",CD302)))),1,0),0)</f>
        <v>0</v>
      </c>
      <c r="CG302" s="68" t="n">
        <f aca="false">IFERROR(LEN(SUBSTITUTE(BF302," ",""))-SUMPRODUCT((LEN(BF302)-LEN(SUBSTITUTE(BF302," "&amp;L_NAFiller&amp;" "," ")))/(LEN(L_NAFiller)+1)*LEN(L_NAFiller)),0)</f>
        <v>0</v>
      </c>
    </row>
    <row r="303" customFormat="false" ht="41.25" hidden="false" customHeight="true" outlineLevel="0" collapsed="false">
      <c r="A303" s="57" t="s">
        <v>883</v>
      </c>
      <c r="B303" s="57" t="s">
        <v>246</v>
      </c>
      <c r="C303" s="57" t="str">
        <f aca="false">Flights!$F$13</f>
        <v>MH0753</v>
      </c>
      <c r="D303" s="58" t="n">
        <f aca="false">Flights!$D$13</f>
        <v>46306</v>
      </c>
      <c r="E303" s="57" t="str">
        <f aca="false">Flights!$G$13&amp;"-"&amp;Flights!$H$13</f>
        <v>HAN-KUL</v>
      </c>
      <c r="F303" s="57" t="str">
        <f aca="false">Flights!$K$13</f>
        <v>BC</v>
      </c>
      <c r="G303" s="57" t="s">
        <v>420</v>
      </c>
      <c r="H303" s="57" t="s">
        <v>378</v>
      </c>
      <c r="I303" s="57" t="s">
        <v>499</v>
      </c>
      <c r="J303" s="57" t="s">
        <v>508</v>
      </c>
      <c r="K303" s="67" t="s">
        <v>501</v>
      </c>
      <c r="L303" s="67" t="s">
        <v>884</v>
      </c>
      <c r="M303" s="67" t="s">
        <v>451</v>
      </c>
      <c r="N303" s="67" t="s">
        <v>383</v>
      </c>
      <c r="O303" s="67" t="s">
        <v>880</v>
      </c>
      <c r="P303" s="57" t="s">
        <v>240</v>
      </c>
      <c r="Q303" s="59" t="n">
        <f aca="false">ROUND((Flights!$AE$13)*1440,0)/1440</f>
        <v>46305.7534722222</v>
      </c>
      <c r="R303" s="59" t="n">
        <f aca="false">Q303+(IF(AND(INDEX(TZ_DSTS,MATCH(P303,TZ_STN,0))&lt;&gt;"",Q303&gt;=INDEX(TZ_DSTS,MATCH(P303,TZ_STN,0)),Q303&lt;INDEX(TZ_DSTE,MATCH(P303,TZ_STN,0))),INDEX(TZ_DST,MATCH(P303,TZ_STN,0)),INDEX(TZ_STD,MATCH(P303,TZ_STN,0))))/24</f>
        <v>46306.0451388889</v>
      </c>
      <c r="S303" s="60"/>
      <c r="T303" s="60"/>
      <c r="U303" s="60"/>
      <c r="V303" s="60"/>
      <c r="W303" s="61"/>
      <c r="X303" s="60"/>
      <c r="Y303" s="60"/>
      <c r="Z303" s="60"/>
      <c r="AA303" s="60"/>
      <c r="AB303" s="60"/>
      <c r="AC303" s="60"/>
      <c r="AD303" s="66"/>
      <c r="AE303" s="60"/>
      <c r="AF303" s="61" t="str">
        <f aca="false">IF(AND(ISNUMBER(X303),ISNUMBER(Y303)),Y303-X303,"")</f>
        <v/>
      </c>
      <c r="AG303" s="62" t="str">
        <f aca="false">IF(ISNUMBER(AD303),AD303-(IF(AND(INDEX(TZ_DSTS,MATCH(P303,TZ_STN,0))&lt;&gt;"",(AD303-INDEX(TZ_STD,MATCH(P303,TZ_STN,0))/24)&gt;=INDEX(TZ_DSTS,MATCH(P303,TZ_STN,0)),(AD303-INDEX(TZ_STD,MATCH(P303,TZ_STN,0))/24)&lt;INDEX(TZ_DSTE,MATCH(P303,TZ_STN,0))),INDEX(TZ_DST,MATCH(P303,TZ_STN,0)),INDEX(TZ_STD,MATCH(P303,TZ_STN,0))))/24,"")</f>
        <v/>
      </c>
      <c r="AH303" s="65" t="str">
        <f aca="false">IFERROR(IF(N303="N/A – rule",IF(OR(TRIM(U303)="",TRIM(U303)="N/A",TRIM(U303)="Not started"),"N/A – RULE","INVALID – this check does not apply to this aircraft: clear the status (or correct the fleet on Flights)"),IF(TRIM(U303)="N/A",IF(AT303=0,"INVALID – N/A not permitted for this check",IF(AND(TRIM(AB303)&lt;&gt;"",TRIM(AB303)&lt;&gt;"Closed"),"INVALID – corrective action still open",IF(AND(NOT(OR(LEN(AZ303)&lt;15,ISNUMBER(MATCH(AZ303,L_Placeholder,0)))),BK303=0,CG303&gt;=8,NOT(OR(LEN(AU303)&lt;2,ISNUMBER(MATCH(AU303,L_Placeholder,0)))),BR303&gt;=3,NOT(OR(LEN(AX303)&lt;2,ISNUMBER(MATCH(AX303,L_Placeholder,0)))),BS303&gt;=3,TRIM(AE303)&lt;&gt;TRIM(T303),AX303&lt;&gt;AU303,CE303=0),"N/A – JUSTIFIED","INVALID – N/A needs a real, settled reason (not 'not applicable' / 'as above' / TBC), a named PIC and a different named verifier"))),IF(OR(TRIM(U303)="Pass",TRIM(U303)="Pass after CA"),IF(NOT(ISNUMBER(AD303)),"INVALID – completion time missing",IF(OR(OR(LEN(AU303)&lt;2,ISNUMBER(MATCH(AU303,L_Placeholder,0))),BR303&lt;3),"INVALID – PIC missing or not a named person (a role such as QA / CSM is not a name)",IF(OR(LEN(AV303)&lt;2,ISNUMBER(MATCH(AV303,L_Placeholder,0))),"INVALID – result / assessment missing",IF(OR(OR(LEN(AW303)&lt;3,ISNUMBER(MATCH(AW303,L_Placeholder,0))),SUMPRODUCT(--ISNUMBER(SEARCH(" "&amp;L_EvidencePhrase&amp;" ",BD303)))&gt;0,BI303=1),"INVALID – evidence missing, placeholder or not yet on file",IF(ISNA(MATCH(TRIM(S303),L_EvidenceType,0)),"INVALID – choose the evidence type from the list (column S)",IF(BL303=0,"INVALID – evidence ID must be the record's own ID only (e.g. SF-2210, IMG_2231, 1045521); a link / file name needs type 'Link / file path'",IF(OR(OR(LEN(AX303)&lt;2,ISNUMBER(MATCH(AX303,L_Placeholder,0))),BS303&lt;3),"INVALID – verifier missing or not a named person (a role such as QA / CSM is not a name)",IF(OR(AX303=AU303,CE303=1,AND(LEN(AU303)&gt;=4,ISNUMBER(SEARCH(AU303,AX303))),AND(LEN(AX303)&gt;=4,ISNUMBER(SEARCH(AX303,AU303)))),"INVALID – verifier must be a different, named person (not the PIC or a role)",IF(BH303=1,"INVALID – result not yet available (awaiting / TBC)",IF(BG303=1,"INVALID – result describes a problem: record Fail, then Pass after CA (or reword if it is not a problem)",IF(BV303=1,"INVALID – wording says not on board: an on-board confirmation needs the item loaded",IF(AND(AQ303=1,OR(OR(LEN(AY303)&lt;3,ISNUMBER(MATCH(AY303,L_Placeholder,0))),BJ303=1,BQ303=0)),"INVALID – batch ID missing, placeholder or not an ID (e.g. PASB-261008-BC-017)",IF(AND(AR303=1,OR(NOT(ISNUMBER(X303)),NOT(ISNUMBER(Y303)))),"INVALID – expected/actual qty missing",IF(AND(AR303=1,OR(X303&lt;=0,Y303&lt;0)),"INVALID – expected qty must be above 0 and actual not negative",IF(BB303&lt;&gt;"",BB303,IF(AND(AS303=1,Documents!$J$13&lt;&gt;"ON FILE"),"INVALID – GLD not on file (Documents sheet)",IF(AND(AS303=2,Documents!$O$13&lt;&gt;"ON FILE"),"INVALID – menu checklist not on file (Documents sheet)",IF(AND(AS303=3,NOT(ISNUMBER(Flights!$AX$13))),"INVALID – enter carrying flight KUL departure (Flights AX)",IF(AND(AS303=3,OR(Flights!$AZ$13&gt;Flights!$AA$13,Flights!$AX$13&lt;Flights!$AA$13-3)),"INVALID – carrying flight (Flights AX) cannot arrive before this leg's STD, or is over 3 days early",IF(AG303&gt;AsOfUTC,"INVALID – completion time is in the future",IF(AND(ISNUMBER(BY303),AG303&lt;BY303),IF(H303="Physical uplift","INVALID – before uplift window (cannot confirm loading)","INVALID – before valid window"),IF(AG303&gt;Flights!$AA$13,"INVALID – completed after departure (cannot establish readiness)",IF(AND(H303="Preparation",AG303&gt;=IF(ISNUMBER(Flights!$BA$13),MIN(Flights!$BA$13,Flights!$AA$13),Flights!$AA$13)),"INVALID – completed after loading / departure (cannot establish readiness)",IF(AND(H303="Physical uplift",AG303&gt;Q303),"INVALID – recorded after the loading flight departed",IF(AG303&gt;Q303,"COMPLETE – LATE","COMPLETE"))))))))))))))))))))))))),IF(TRIM(U303)="Fail","FAIL – DISCREPANCY",IF(AND(TRIM(U303)&lt;&gt;"",TRIM(U303)&lt;&gt;"Not started",TRIM(U303)&lt;&gt;"In progress"),"INVALID – unrecognised status (use the list)",IF(AsOfUTC&gt;Q303,"OVERDUE",IF(N303="Clarification required","OPEN – CLARIFICATION","OPEN"))))))),"INVALID – error value in an input cell")</f>
        <v>OPEN</v>
      </c>
      <c r="AI303" s="61" t="n">
        <f aca="false">IF(OR(AH303="N/A – RULE",AH303="N/A – JUSTIFIED"),0,1)</f>
        <v>1</v>
      </c>
      <c r="AJ303" s="61" t="n">
        <f aca="false">IF(LEFT(AH303,8)="COMPLETE",1,0)</f>
        <v>0</v>
      </c>
      <c r="AK303" s="61" t="n">
        <f aca="false">IF(AND(AI303=1,AJ303=0,AsOfUTC&gt;Q303),1,0)</f>
        <v>0</v>
      </c>
      <c r="AL303" s="61" t="n">
        <f aca="false">IFERROR(IF(AND(AI303=1,OR(TRIM(U303)="Fail",AND(TRIM(AB303)&lt;&gt;"",TRIM(AB303)&lt;&gt;"Closed"),AND(ISNUMBER(AF303),AF303&lt;&gt;0,TRIM(U303)&lt;&gt;"Pass after CA"))),1,0),1)</f>
        <v>0</v>
      </c>
      <c r="AM303" s="61" t="n">
        <f aca="false">IF(LEFT(AH303,7)="INVALID",1,0)</f>
        <v>0</v>
      </c>
      <c r="AN303" s="61" t="n">
        <f aca="false">IF(AND(N303="Clarification required",AI303=1,AJ303=0),1,0)</f>
        <v>0</v>
      </c>
      <c r="AO303" s="61" t="str">
        <f aca="false">IF(AK303=1,SUM(AK$5:AK303),"")</f>
        <v/>
      </c>
      <c r="AP303" s="61" t="str">
        <f aca="false">IF(AL303=1,SUM(AL$5:AL303),"")</f>
        <v/>
      </c>
      <c r="AQ303" s="61" t="n">
        <v>0</v>
      </c>
      <c r="AR303" s="61" t="n">
        <v>0</v>
      </c>
      <c r="AS303" s="61" t="n">
        <v>0</v>
      </c>
      <c r="AT303" s="61" t="n">
        <v>0</v>
      </c>
      <c r="AU303" s="61" t="str">
        <f aca="false">SUBSTITUTE(SUBSTITUTE(SUBSTITUTE(SUBSTITUTE(SUBSTITUTE(SUBSTITUTE(SUBSTITUTE(SUBSTITUTE(SUBSTITUTE(SUBSTITUTE(SUBSTITUTE(SUBSTITUTE(SUBSTITUTE(SUBSTITUTE(SUBSTITUTE(SUBSTITUTE(LOWER(T303&amp;""),CHAR(10),""),CHAR(13),""),CHAR(9),""),CHAR(160),"")," ",""),".",""),"-",""),"/",""),"?",""),"_",""),",",""),"[",""),"]",""),"(",""),")",""),"*","")</f>
        <v/>
      </c>
      <c r="AV303" s="61" t="str">
        <f aca="false">SUBSTITUTE(SUBSTITUTE(SUBSTITUTE(SUBSTITUTE(SUBSTITUTE(SUBSTITUTE(SUBSTITUTE(SUBSTITUTE(SUBSTITUTE(SUBSTITUTE(SUBSTITUTE(SUBSTITUTE(SUBSTITUTE(SUBSTITUTE(SUBSTITUTE(SUBSTITUTE(LOWER(V303&amp;""),CHAR(10),""),CHAR(13),""),CHAR(9),""),CHAR(160),"")," ",""),".",""),"-",""),"/",""),"?",""),"_",""),",",""),"[",""),"]",""),"(",""),")",""),"*","")</f>
        <v/>
      </c>
      <c r="AW303" s="61" t="str">
        <f aca="false">SUBSTITUTE(SUBSTITUTE(SUBSTITUTE(SUBSTITUTE(SUBSTITUTE(SUBSTITUTE(SUBSTITUTE(SUBSTITUTE(SUBSTITUTE(SUBSTITUTE(SUBSTITUTE(SUBSTITUTE(SUBSTITUTE(SUBSTITUTE(SUBSTITUTE(SUBSTITUTE(LOWER(Z303&amp;""),CHAR(10),""),CHAR(13),""),CHAR(9),""),CHAR(160),"")," ",""),".",""),"-",""),"/",""),"?",""),"_",""),",",""),"[",""),"]",""),"(",""),")",""),"*","")</f>
        <v/>
      </c>
      <c r="AX303" s="61" t="str">
        <f aca="false">SUBSTITUTE(SUBSTITUTE(SUBSTITUTE(SUBSTITUTE(SUBSTITUTE(SUBSTITUTE(SUBSTITUTE(SUBSTITUTE(SUBSTITUTE(SUBSTITUTE(SUBSTITUTE(SUBSTITUTE(SUBSTITUTE(SUBSTITUTE(SUBSTITUTE(SUBSTITUTE(LOWER(AE303&amp;""),CHAR(10),""),CHAR(13),""),CHAR(9),""),CHAR(160),"")," ",""),".",""),"-",""),"/",""),"?",""),"_",""),",",""),"[",""),"]",""),"(",""),")",""),"*","")</f>
        <v/>
      </c>
      <c r="AY303" s="61" t="str">
        <f aca="false">SUBSTITUTE(SUBSTITUTE(SUBSTITUTE(SUBSTITUTE(SUBSTITUTE(SUBSTITUTE(SUBSTITUTE(SUBSTITUTE(SUBSTITUTE(SUBSTITUTE(SUBSTITUTE(SUBSTITUTE(SUBSTITUTE(SUBSTITUTE(SUBSTITUTE(SUBSTITUTE(LOWER(W303&amp;""),CHAR(10),""),CHAR(13),""),CHAR(9),""),CHAR(160),"")," ",""),".",""),"-",""),"/",""),"?",""),"_",""),",",""),"[",""),"]",""),"(",""),")",""),"*","")</f>
        <v/>
      </c>
      <c r="AZ303" s="61" t="str">
        <f aca="false">SUBSTITUTE(SUBSTITUTE(SUBSTITUTE(SUBSTITUTE(SUBSTITUTE(SUBSTITUTE(SUBSTITUTE(SUBSTITUTE(SUBSTITUTE(SUBSTITUTE(SUBSTITUTE(SUBSTITUTE(SUBSTITUTE(SUBSTITUTE(SUBSTITUTE(SUBSTITUTE(LOWER(AC303&amp;""),CHAR(10),""),CHAR(13),""),CHAR(9),""),CHAR(160),"")," ",""),".",""),"-",""),"/",""),"?",""),"_",""),",",""),"[",""),"]",""),"(",""),")",""),"*","")</f>
        <v/>
      </c>
      <c r="BA303" s="61" t="str">
        <f aca="false">SUBSTITUTE(SUBSTITUTE(SUBSTITUTE(SUBSTITUTE(SUBSTITUTE(SUBSTITUTE(SUBSTITUTE(SUBSTITUTE(SUBSTITUTE(SUBSTITUTE(SUBSTITUTE(SUBSTITUTE(SUBSTITUTE(SUBSTITUTE(SUBSTITUTE(SUBSTITUTE(LOWER(AA303&amp;""),CHAR(10),""),CHAR(13),""),CHAR(9),""),CHAR(160),"")," ",""),".",""),"-",""),"/",""),"?",""),"_",""),",",""),"[",""),"]",""),"(",""),")",""),"*","")</f>
        <v/>
      </c>
      <c r="BB303" s="61" t="str">
        <f aca="false">IF(AND(TRIM(U303)="Pass",ISNUMBER(AF303)),IF(AF303&lt;&gt;0,"INVALID – qty variance: use Fail or Pass after CA",""),"")&amp;IF(AND(TRIM(U303)="Pass after CA",ISNUMBER(AF303)),IF(AF303&lt;&gt;0,"INVALID – after the corrective action the actual qty must equal expected (update Actual)",""),"")&amp;IF(AND(TRIM(U303)="Pass",TRIM(AB303)&lt;&gt;"",TRIM(AB303)&lt;&gt;"Closed"),"INVALID – corrective action not closed: use Fail, then Pass after CA","")&amp;IF(AND(LEN(BA303)&gt;=2,ISNA(MATCH(LEFT(BA303,255),L_Placeholder,0)),TRIM(AB303)=""),"INVALID – CA status missing for the recorded corrective action","")&amp;IF(AND(TRIM(U303)="Pass after CA",OR(OR(LEN(BA303)&lt;5,ISNUMBER(MATCH(BA303,L_Placeholder,0))),TRIM(AB303)&lt;&gt;"Closed")),"INVALID – corrective action not recorded/closed","")</f>
        <v/>
      </c>
      <c r="BC303" s="61" t="str">
        <f aca="false">" "&amp;TRIM(SUBSTITUTE(SUBSTITUTE(SUBSTITUTE(SUBSTITUTE(SUBSTITUTE(SUBSTITUTE(SUBSTITUTE(SUBSTITUTE(SUBSTITUTE(SUBSTITUTE(SUBSTITUTE(SUBSTITUTE(SUBSTITUTE(SUBSTITUTE(SUBSTITUTE(SUBSTITUTE(SUBSTITUTE(SUBSTITUTE(SUBSTITUTE(SUBSTITUTE(SUBSTITUTE(SUBSTITUTE(SUBSTITUTE(SUBSTITUTE(LOWER(V303&amp;""),CHAR(10)," "),CHAR(13)," "),CHAR(9)," "),CHAR(160)," "),"."," "),","," "),"-"," "),"/"," "),"("," "),")"," "),":"," "),";"," "),"_"," "),"–"," "),"?"," "),"!"," "),"*"," "),"["," "),"]"," "),"'"," "),"#"," "),"+"," "),"&amp;"," "),"\"," "))&amp;" "</f>
        <v>  </v>
      </c>
      <c r="BD303" s="61" t="str">
        <f aca="false">" "&amp;TRIM(SUBSTITUTE(SUBSTITUTE(SUBSTITUTE(SUBSTITUTE(SUBSTITUTE(SUBSTITUTE(SUBSTITUTE(SUBSTITUTE(SUBSTITUTE(SUBSTITUTE(SUBSTITUTE(SUBSTITUTE(SUBSTITUTE(SUBSTITUTE(SUBSTITUTE(SUBSTITUTE(SUBSTITUTE(SUBSTITUTE(SUBSTITUTE(SUBSTITUTE(SUBSTITUTE(SUBSTITUTE(SUBSTITUTE(SUBSTITUTE(LOWER(Z303&amp;""),CHAR(10)," "),CHAR(13)," "),CHAR(9)," "),CHAR(160)," "),"."," "),","," "),"-"," "),"/"," "),"("," "),")"," "),":"," "),";"," "),"_"," "),"–"," "),"?"," "),"!"," "),"*"," "),"["," "),"]"," "),"'"," "),"#"," "),"+"," "),"&amp;"," "),"\"," "))&amp;" "</f>
        <v>  </v>
      </c>
      <c r="BE303" s="61" t="str">
        <f aca="false">" "&amp;TRIM(SUBSTITUTE(SUBSTITUTE(SUBSTITUTE(SUBSTITUTE(SUBSTITUTE(SUBSTITUTE(SUBSTITUTE(SUBSTITUTE(SUBSTITUTE(SUBSTITUTE(SUBSTITUTE(SUBSTITUTE(SUBSTITUTE(SUBSTITUTE(SUBSTITUTE(SUBSTITUTE(SUBSTITUTE(SUBSTITUTE(SUBSTITUTE(SUBSTITUTE(SUBSTITUTE(SUBSTITUTE(SUBSTITUTE(SUBSTITUTE(LOWER(W303&amp;""),CHAR(10)," "),CHAR(13)," "),CHAR(9)," "),CHAR(160)," "),"."," "),","," "),"-"," "),"/"," "),"("," "),")"," "),":"," "),";"," "),"_"," "),"–"," "),"?"," "),"!"," "),"*"," "),"["," "),"]"," "),"'"," "),"#"," "),"+"," "),"&amp;"," "),"\"," "))&amp;" "</f>
        <v>  </v>
      </c>
      <c r="BF303" s="61" t="str">
        <f aca="false">" "&amp;TRIM(SUBSTITUTE(SUBSTITUTE(SUBSTITUTE(SUBSTITUTE(SUBSTITUTE(SUBSTITUTE(SUBSTITUTE(SUBSTITUTE(SUBSTITUTE(SUBSTITUTE(SUBSTITUTE(SUBSTITUTE(SUBSTITUTE(SUBSTITUTE(SUBSTITUTE(SUBSTITUTE(SUBSTITUTE(SUBSTITUTE(SUBSTITUTE(SUBSTITUTE(SUBSTITUTE(SUBSTITUTE(SUBSTITUTE(SUBSTITUTE(LOWER(AC303&amp;""),CHAR(10)," "),CHAR(13)," "),CHAR(9)," "),CHAR(160)," "),"."," "),","," "),"-"," "),"/"," "),"("," "),")"," "),":"," "),";"," "),"_"," "),"–"," "),"?"," "),"!"," "),"*"," "),"["," "),"]"," "),"'"," "),"#"," "),"+"," "),"&amp;"," "),"\"," "))&amp;" "</f>
        <v>  </v>
      </c>
      <c r="BG303" s="61" t="n">
        <f aca="false">IFERROR(IF(AND(TRIM(U303)="Pass",SUMPRODUCT((LEN(BC303)-LEN(SUBSTITUTE(BC303," "&amp;L_ResultBad&amp;" "," ")))/(LEN(L_ResultBad)+1))&gt;SUMPRODUCT((LEN(BC303)-LEN(SUBSTITUTE(BC303," "&amp;L_NegPhrase&amp;" "," ")))/(LEN(L_NegPhrase)+1))),1,0),0)</f>
        <v>0</v>
      </c>
      <c r="BH303" s="61" t="n">
        <f aca="false">IFERROR(IF(SUMPRODUCT((LEN(BC303)-LEN(SUBSTITUTE(BC303," "&amp;L_Pending&amp;" "," ")))/(LEN(L_Pending)+1))&gt;SUMPRODUCT((LEN(BC303)-LEN(SUBSTITUTE(BC303," "&amp;L_PendNeg&amp;" "," ")))/(LEN(L_PendNeg)+1))+SUMPRODUCT((LEN(BC303)-LEN(SUBSTITUTE(BC303," "&amp;L_PendPrep&amp;" "," ")))/(LEN(L_PendPrep)+1)),1,0),1)</f>
        <v>0</v>
      </c>
      <c r="BI303" s="61" t="n">
        <f aca="false">IFERROR(IF(SUMPRODUCT((LEN(BD303)-LEN(SUBSTITUTE(BD303," "&amp;L_PendStrict&amp;" "," ")))/(LEN(L_PendStrict)+1))&gt;SUMPRODUCT((LEN(BD303)-LEN(SUBSTITUTE(BD303," "&amp;L_PendNeg&amp;" "," ")))/(LEN(L_PendNeg)+1)),1,0),1)</f>
        <v>0</v>
      </c>
      <c r="BJ303" s="61" t="n">
        <f aca="false">IFERROR(IF(SUMPRODUCT((LEN(BE303)-LEN(SUBSTITUTE(BE303," "&amp;L_Pending&amp;" "," ")))/(LEN(L_Pending)+1))&gt;SUMPRODUCT((LEN(BE303)-LEN(SUBSTITUTE(BE303," "&amp;L_PendNeg&amp;" "," ")))/(LEN(L_PendNeg)+1))+SUMPRODUCT((LEN(BE303)-LEN(SUBSTITUTE(BE303," "&amp;L_PendPrep&amp;" "," ")))/(LEN(L_PendPrep)+1)),1,0),1)</f>
        <v>0</v>
      </c>
      <c r="BK303" s="61" t="n">
        <f aca="false">IFERROR(IF(SUMPRODUCT((LEN(BF303)-LEN(SUBSTITUTE(BF303," "&amp;L_PendStrict&amp;" "," ")))/(LEN(L_PendStrict)+1))&gt;SUMPRODUCT((LEN(BF303)-LEN(SUBSTITUTE(BF303," "&amp;L_PendNeg&amp;" "," ")))/(LEN(L_PendNeg)+1)),1,0),1)</f>
        <v>0</v>
      </c>
      <c r="BL303" s="61" t="n">
        <f aca="false">IF(ISNA(MATCH(TRIM(S303),L_EvidenceType,0)),0,BZ303)</f>
        <v>0</v>
      </c>
      <c r="BM303" s="61" t="str">
        <f aca="false">SUBSTITUTE(SUBSTITUTE(SUBSTITUTE(SUBSTITUTE(SUBSTITUTE(SUBSTITUTE(SUBSTITUTE(SUBSTITUTE(SUBSTITUTE(LOWER(Z303&amp;""),"1","0"),"2","0"),"3","0"),"4","0"),"5","0"),"6","0"),"7","0"),"8","0"),"9","0")</f>
        <v/>
      </c>
      <c r="BN303" s="61" t="str">
        <f aca="false">SUBSTITUTE(SUBSTITUTE(SUBSTITUTE(SUBSTITUTE(SUBSTITUTE(SUBSTITUTE(SUBSTITUTE(SUBSTITUTE(SUBSTITUTE(SUBSTITUTE(SUBSTITUTE(SUBSTITUTE(SUBSTITUTE(SUBSTITUTE(SUBSTITUTE(SUBSTITUTE(SUBSTITUTE(SUBSTITUTE(SUBSTITUTE(SUBSTITUTE(SUBSTITUTE(SUBSTITUTE(SUBSTITUTE(SUBSTITUTE(SUBSTITUTE(BM303,"b","a"),"c","a"),"d","a"),"e","a"),"f","a"),"g","a"),"h","a"),"i","a"),"j","a"),"k","a"),"l","a"),"m","a"),"n","a"),"o","a"),"p","a"),"q","a"),"r","a"),"s","a"),"t","a"),"u","a"),"v","a"),"w","a"),"x","a"),"y","a"),"z","a")</f>
        <v/>
      </c>
      <c r="BO303" s="61" t="str">
        <f aca="false">SUBSTITUTE(SUBSTITUTE(SUBSTITUTE(SUBSTITUTE(SUBSTITUTE(SUBSTITUTE(SUBSTITUTE(SUBSTITUTE(SUBSTITUTE(LOWER(W303&amp;""),"1","0"),"2","0"),"3","0"),"4","0"),"5","0"),"6","0"),"7","0"),"8","0"),"9","0")</f>
        <v/>
      </c>
      <c r="BP303" s="61" t="str">
        <f aca="false">SUBSTITUTE(SUBSTITUTE(SUBSTITUTE(SUBSTITUTE(SUBSTITUTE(SUBSTITUTE(SUBSTITUTE(SUBSTITUTE(SUBSTITUTE(SUBSTITUTE(SUBSTITUTE(SUBSTITUTE(SUBSTITUTE(SUBSTITUTE(SUBSTITUTE(SUBSTITUTE(SUBSTITUTE(SUBSTITUTE(SUBSTITUTE(SUBSTITUTE(SUBSTITUTE(SUBSTITUTE(SUBSTITUTE(SUBSTITUTE(SUBSTITUTE(BO303,"b","a"),"c","a"),"d","a"),"e","a"),"f","a"),"g","a"),"h","a"),"i","a"),"j","a"),"k","a"),"l","a"),"m","a"),"n","a"),"o","a"),"p","a"),"q","a"),"r","a"),"s","a"),"t","a"),"u","a"),"v","a"),"w","a"),"x","a"),"y","a"),"z","a")</f>
        <v/>
      </c>
      <c r="BQ303" s="61" t="n">
        <f aca="false">IFERROR(IF(AND(ISERROR(SEARCH(" mh"," "&amp;LOWER(W303))),ISNA(MATCH(LEFT(TRIM(BP303),255),{"0000a","000a","00a","0000aa","000aa","00aa","0aa","0000aaa","000aaa","00a00","0a00","0000-0000","00:00","a00","a0","00.00.0000","00/00/0000","00-00-0000","0000-00-00","0000/00/00","0000.00.00","00.00.00","00/00/00","00-00-00","0.00.0000","0/00/0000","0-00-0000"},0)),ISNA(MATCH(LEFT(TRIM(CA303),255),{"0000a","000a","00a","0000aa","000aa","00aa","0aa","0000aaa","000aaa","00a00","0a00","0000-0000","00:00","a00","a0","00.00.0000","00/00/0000","00-00-0000","0000-00-00","0000/00/00","0000.00.00","00.00.00","00/00/00","00-00-00","0.00.0000","0/00/0000","0-00-0000"},0)),LEN(CB303)&gt;=3,NOT(OR(SUBSTITUTE(CB303,"0","")="",AND(LEN(CB303)&gt;=4,CB303=REPT(LEFT(CB303),LEN(CB303))),ISNUMBER(MATCH(CB303,{"123","1234","12345","123456","1234567","12345678","0123","01234","012345","98765","987654","54321"},0)),AND(LEN(CB303)=8,LEFT(CB303,3)="202"))),OR(AND((LEN(CA303)-LEN(SUBSTITUTE(CA303,"a","")))&gt;=1,SUMPRODUCT(--ISNUMBER(SEARCH({"a0","a-0","a_0","a/0","a.0","a#0","0a","0-a","0_a","0/a"},BP303)))&gt;0),ISNUMBER(SEARCH("000000",BP303)))),1,0),0)</f>
        <v>0</v>
      </c>
      <c r="BR303" s="61" t="n">
        <f aca="false">IFERROR(LEN(SUBSTITUTE(CC303," ",""))-SUMPRODUCT((LEN(CC303)-LEN(SUBSTITUTE(CC303," "&amp;L_Role&amp;" "," ")))/(LEN(L_Role)+1)*LEN(L_Role)),0)</f>
        <v>0</v>
      </c>
      <c r="BS303" s="61" t="n">
        <f aca="false">IFERROR(LEN(SUBSTITUTE(CD303," ",""))-SUMPRODUCT((LEN(CD303)-LEN(SUBSTITUTE(CD303," "&amp;L_Role&amp;" "," ")))/(LEN(L_Role)+1)*LEN(L_Role)),0)</f>
        <v>0</v>
      </c>
      <c r="BT3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303,"revision",""),"version",""),"jan",""),"feb",""),"mar",""),"apr",""),"may",""),"jun",""),"jul",""),"aug",""),"sep",""),"oct",""),"nov",""),"dec",""),"utc",""),"gmt",""),"myt",""),"bst",""),"rev",""),"ver",""),"b","a"),"c","a"),"d","a"),"e","a"),"f","a"),"g","a"),"h","a"),"i","a"),"j","a"),"k","a"),"l","a"),"m","a"),"n","a"),"o","a"),"p","a"),"q","a"),"r","a"),"s","a"),"t","a"),"u","a"),"v","a"),"w","a"),"x","a"),"y","a"),"z","a")</f>
        <v/>
      </c>
      <c r="BU303" s="61" t="str">
        <f aca="false">SUBSTITUTE(SUBSTITUTE(SUBSTITUTE(SUBSTITUTE(SUBSTITUTE(SUBSTITUTE(SUBSTITUTE(SUBSTITUTE(SUBSTITUTE(SUBSTITUTE(LEFT(BM303,FIND("0",BM303&amp;"0")-1),"-",""),"_",""),"/",""),".",""),"#",""),"\\",""),":","")," ",""),"(",""),")","")</f>
        <v/>
      </c>
      <c r="BV303" s="61" t="n">
        <f aca="false">0</f>
        <v>0</v>
      </c>
      <c r="BW3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303&amp;""),"a",""),"b",""),"c",""),"d",""),"e",""),"f",""),"g",""),"h",""),"i",""),"j",""),"k",""),"l",""),"m",""),"n",""),"o",""),"p",""),"q",""),"r",""),"s",""),"t",""),"u",""),"v",""),"w",""),"x",""),"y",""),"z",""),"-",""),"_",""),"/",""),".",""),"#",""),"\\",""),":","")," ",""),"(",""),")","")</f>
        <v/>
      </c>
      <c r="BX303" s="61" t="str">
        <f aca="false">SUBSTITUTE(SUBSTITUTE(SUBSTITUTE(SUBSTITUTE(SUBSTITUTE(SUBSTITUTE(SUBSTITUTE(SUBSTITUTE(SUBSTITUTE(SUBSTITUTE(SUBSTITUTE(BM303,"0",""),"-",""),"_",""),"/",""),".",""),"#",""),"\\",""),":","")," ",""),"(",""),")","")</f>
        <v/>
      </c>
      <c r="BY303" s="62" t="n">
        <f aca="false">Q303-T12EarlyH/24</f>
        <v>46305.2534722222</v>
      </c>
      <c r="BZ303" s="61" t="n">
        <f aca="false">IFERROR(IF(IF(TRIM(S303)="Link / file path",AND(LEN(TRIM(Z303))&gt;=5,SUMPRODUCT(--ISNUMBER(SEARCH({"http","www.","\\",":\",".pdf",".jpg",".jpeg",".png",".heic",".xls",".doc",".msg",".eml",".ppt",".txt",".zip"},Z303)))&gt;0),AND(ISERROR(FIND(" ",TRIM(Z303))),NOT(OR(SUMPRODUCT(--ISNUMBER(FIND({",",";","&amp;","+"},Z303)))&gt;0,SUMPRODUCT(--ISNUMBER(SEARCH({"0/aa","0\\aa"},BN303)))&gt;0)),NOT(SUMPRODUCT(--ISNUMBER(SEARCH({"http","www.","\\",":\",".pdf",".jpg",".jpeg",".png",".heic",".xls",".doc",".msg",".eml",".ppt",".txt",".zip"},Z303)))&gt;0),NOT(LOWER(TRIM(Z303))=LOWER(Flights!$F$13)),ISNA(MATCH(BU303,{"mh","rev","revision","ver","version","v","r","a","b","seat","tray","row","gate","bay","stand","page","pg","item","line","no","cart","galley","flight","flt","table","box","bag","oven","etd","eta","std","sta","atd","ata","qty","pax","x","time","tel","ph","mob","day","wk","week","utc","gmt","myt","lt"},0)),NOT(OR(ISNUMBER(MATCH(LEFT(BN303,255),{"0000a","000a","00a","0000aa","000aa","00aa","0aa","0000aaa","000aaa","00a00","0a00","0000-0000","00:00","a00","a0","00.00.0000","00/00/0000","00-00-0000","0000-00-00","0000/00/00","0000.00.00","00.00.00","00/00/00","00-00-00","0.00.0000","0/00/0000","0-00-0000"},0)),ISNUMBER(MATCH(LEFT(BT303,255),{"0000a","000a","00a","0000aa","000aa","00aa","0aa","0000aaa","000aaa","00a00","0a00","0000-0000","00:00","a00","a0","00.00.0000","00/00/0000","00-00-0000","0000-00-00","0000/00/00","0000.00.00","00.00.00","00/00/00","00-00-00","0.00.0000","0/00/0000","0-00-0000"},0)))),NOT(OR(AND(BW303&lt;&gt;"",SUBSTITUTE(BW303,"0","")=""),AND(LEN(BW303)&gt;=4,BW303=REPT(LEFT(BW303),LEN(BW303))),ISNUMBER(MATCH(BW303,{"123","1234","12345","123456","1234567","12345678","0123","01234","012345","98765","987654","54321"},0)),ISNUMBER(MATCH(BX303,{"x","xx","xxx","xxxx","xxxxx","abc","abcd","nil","na","nan","test","tbc","tba","tbd","dummy","sample","example","eg","zz","zzz","none","null","xyz","qwe","asd","id","ref"},0)),AND(LEN(BW303)=8,BX303="",OR(LEFT(BW303,3)="202",ISNUMBER(MATCH(RIGHT(BW303,4),{"2025","2026","2027"},0)))))),OR(AND((LEN(BT303)-LEN(SUBSTITUTE(BT303,"a","")))&gt;=1,(LEN(BN303)-LEN(SUBSTITUTE(BN303,"0","")))&gt;=2,SUMPRODUCT(--ISNUMBER(SEARCH({"a0","a-0","a_0","a/0","a.0","a#0","0a","0-a","0_a","0/a"},BN303)))&gt;0),AND((LEN(BN303)-LEN(SUBSTITUTE(BN303,"a","")))=0,(LEN(BN303)-LEN(SUBSTITUTE(BN303,"0","")))&gt;=5)))),1,0),0)</f>
        <v>0</v>
      </c>
      <c r="CA3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303,"revision",""),"version",""),"jan",""),"feb",""),"mar",""),"apr",""),"may",""),"jun",""),"jul",""),"aug",""),"sep",""),"oct",""),"nov",""),"dec",""),"utc",""),"gmt",""),"myt",""),"bst",""),"rev",""),"ver",""),"b","a"),"c","a"),"d","a"),"e","a"),"f","a"),"g","a"),"h","a"),"i","a"),"j","a"),"k","a"),"l","a"),"m","a"),"n","a"),"o","a"),"p","a"),"q","a"),"r","a"),"s","a"),"t","a"),"u","a"),"v","a"),"w","a"),"x","a"),"y","a"),"z","a")</f>
        <v/>
      </c>
      <c r="CB3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303&amp;""),"a",""),"b",""),"c",""),"d",""),"e",""),"f",""),"g",""),"h",""),"i",""),"j",""),"k",""),"l",""),"m",""),"n",""),"o",""),"p",""),"q",""),"r",""),"s",""),"t",""),"u",""),"v",""),"w",""),"x",""),"y",""),"z",""),"-",""),"_",""),"/",""),".",""),"#",""),"\\",""),":","")," ",""),"(",""),")","")</f>
        <v/>
      </c>
      <c r="CC303" s="0" t="str">
        <f aca="false">" "&amp;TRIM(SUBSTITUTE(SUBSTITUTE(SUBSTITUTE(SUBSTITUTE(SUBSTITUTE(SUBSTITUTE(SUBSTITUTE(SUBSTITUTE(SUBSTITUTE(SUBSTITUTE(SUBSTITUTE(SUBSTITUTE(SUBSTITUTE(SUBSTITUTE(SUBSTITUTE(SUBSTITUTE(SUBSTITUTE(SUBSTITUTE(SUBSTITUTE(SUBSTITUTE(SUBSTITUTE(SUBSTITUTE(SUBSTITUTE(SUBSTITUTE(LOWER(T303&amp;""),CHAR(10)," "),CHAR(13)," "),CHAR(9)," "),CHAR(160)," "),"."," "),","," "),"-"," "),"/"," "),"("," "),")"," "),":"," "),";"," "),"_"," "),"–"," "),"?"," "),"!"," "),"*"," "),"["," "),"]"," "),"'"," "),"#"," "),"+"," "),"&amp;"," "),"\"," "))&amp;" "</f>
        <v>  </v>
      </c>
      <c r="CD303" s="0" t="str">
        <f aca="false">" "&amp;TRIM(SUBSTITUTE(SUBSTITUTE(SUBSTITUTE(SUBSTITUTE(SUBSTITUTE(SUBSTITUTE(SUBSTITUTE(SUBSTITUTE(SUBSTITUTE(SUBSTITUTE(SUBSTITUTE(SUBSTITUTE(SUBSTITUTE(SUBSTITUTE(SUBSTITUTE(SUBSTITUTE(SUBSTITUTE(SUBSTITUTE(SUBSTITUTE(SUBSTITUTE(SUBSTITUTE(SUBSTITUTE(SUBSTITUTE(SUBSTITUTE(LOWER(AE303&amp;""),CHAR(10)," "),CHAR(13)," "),CHAR(9)," "),CHAR(160)," "),"."," "),","," "),"-"," "),"/"," "),"("," "),")"," "),":"," "),";"," "),"_"," "),"–"," "),"?"," "),"!"," "),"*"," "),"["," "),"]"," "),"'"," "),"#"," "),"+"," "),"&amp;"," "),"\"," "))&amp;" "</f>
        <v>  </v>
      </c>
      <c r="CE303" s="68" t="n">
        <f aca="false">IFERROR(IF(AND(LEN(AU303)&gt;0,LEN(AU303)=LEN(AX303),OR(TRIM(MID(SUBSTITUTE(TRIM(CC303)," ",REPT(" ",60)),1,60))="",ISNUMBER(SEARCH(" "&amp;TRIM(MID(SUBSTITUTE(TRIM(CC303)," ",REPT(" ",60)),1,60))&amp;" ",CD303))),OR(TRIM(MID(SUBSTITUTE(TRIM(CC303)," ",REPT(" ",60)),61,60))="",ISNUMBER(SEARCH(" "&amp;TRIM(MID(SUBSTITUTE(TRIM(CC303)," ",REPT(" ",60)),61,60))&amp;" ",CD303))),OR(TRIM(MID(SUBSTITUTE(TRIM(CC303)," ",REPT(" ",60)),121,60))="",ISNUMBER(SEARCH(" "&amp;TRIM(MID(SUBSTITUTE(TRIM(CC303)," ",REPT(" ",60)),121,60))&amp;" ",CD303)))),1,0),0)</f>
        <v>0</v>
      </c>
      <c r="CG303" s="68" t="n">
        <f aca="false">IFERROR(LEN(SUBSTITUTE(BF303," ",""))-SUMPRODUCT((LEN(BF303)-LEN(SUBSTITUTE(BF303," "&amp;L_NAFiller&amp;" "," ")))/(LEN(L_NAFiller)+1)*LEN(L_NAFiller)),0)</f>
        <v>0</v>
      </c>
    </row>
    <row r="304" customFormat="false" ht="116.25" hidden="false" customHeight="true" outlineLevel="0" collapsed="false">
      <c r="A304" s="57" t="s">
        <v>885</v>
      </c>
      <c r="B304" s="57" t="s">
        <v>246</v>
      </c>
      <c r="C304" s="57" t="str">
        <f aca="false">Flights!$F$13</f>
        <v>MH0753</v>
      </c>
      <c r="D304" s="58" t="n">
        <f aca="false">Flights!$D$13</f>
        <v>46306</v>
      </c>
      <c r="E304" s="57" t="str">
        <f aca="false">Flights!$G$13&amp;"-"&amp;Flights!$H$13</f>
        <v>HAN-KUL</v>
      </c>
      <c r="F304" s="57" t="str">
        <f aca="false">Flights!$K$13</f>
        <v>BC</v>
      </c>
      <c r="G304" s="57" t="s">
        <v>420</v>
      </c>
      <c r="H304" s="57" t="s">
        <v>378</v>
      </c>
      <c r="I304" s="57" t="s">
        <v>499</v>
      </c>
      <c r="J304" s="57" t="s">
        <v>511</v>
      </c>
      <c r="K304" s="67" t="s">
        <v>501</v>
      </c>
      <c r="L304" s="67" t="s">
        <v>886</v>
      </c>
      <c r="M304" s="67" t="s">
        <v>451</v>
      </c>
      <c r="N304" s="67" t="s">
        <v>444</v>
      </c>
      <c r="O304" s="67" t="s">
        <v>887</v>
      </c>
      <c r="P304" s="57" t="s">
        <v>240</v>
      </c>
      <c r="Q304" s="59" t="n">
        <f aca="false">ROUND((Flights!$AE$13)*1440,0)/1440</f>
        <v>46305.7534722222</v>
      </c>
      <c r="R304" s="59" t="n">
        <f aca="false">Q304+(IF(AND(INDEX(TZ_DSTS,MATCH(P304,TZ_STN,0))&lt;&gt;"",Q304&gt;=INDEX(TZ_DSTS,MATCH(P304,TZ_STN,0)),Q304&lt;INDEX(TZ_DSTE,MATCH(P304,TZ_STN,0))),INDEX(TZ_DST,MATCH(P304,TZ_STN,0)),INDEX(TZ_STD,MATCH(P304,TZ_STN,0))))/24</f>
        <v>46306.0451388889</v>
      </c>
      <c r="S304" s="60"/>
      <c r="T304" s="60"/>
      <c r="U304" s="60"/>
      <c r="V304" s="60"/>
      <c r="W304" s="61"/>
      <c r="X304" s="60"/>
      <c r="Y304" s="60"/>
      <c r="Z304" s="60"/>
      <c r="AA304" s="60"/>
      <c r="AB304" s="60"/>
      <c r="AC304" s="60"/>
      <c r="AD304" s="66"/>
      <c r="AE304" s="60"/>
      <c r="AF304" s="61" t="str">
        <f aca="false">IF(AND(ISNUMBER(X304),ISNUMBER(Y304)),Y304-X304,"")</f>
        <v/>
      </c>
      <c r="AG304" s="62" t="str">
        <f aca="false">IF(ISNUMBER(AD304),AD304-(IF(AND(INDEX(TZ_DSTS,MATCH(P304,TZ_STN,0))&lt;&gt;"",(AD304-INDEX(TZ_STD,MATCH(P304,TZ_STN,0))/24)&gt;=INDEX(TZ_DSTS,MATCH(P304,TZ_STN,0)),(AD304-INDEX(TZ_STD,MATCH(P304,TZ_STN,0))/24)&lt;INDEX(TZ_DSTE,MATCH(P304,TZ_STN,0))),INDEX(TZ_DST,MATCH(P304,TZ_STN,0)),INDEX(TZ_STD,MATCH(P304,TZ_STN,0))))/24,"")</f>
        <v/>
      </c>
      <c r="AH304" s="65" t="str">
        <f aca="false">IFERROR(IF(N304="N/A – rule",IF(OR(TRIM(U304)="",TRIM(U304)="N/A",TRIM(U304)="Not started"),"N/A – RULE","INVALID – this check does not apply to this aircraft: clear the status (or correct the fleet on Flights)"),IF(TRIM(U304)="N/A",IF(AT304=0,"INVALID – N/A not permitted for this check",IF(AND(TRIM(AB304)&lt;&gt;"",TRIM(AB304)&lt;&gt;"Closed"),"INVALID – corrective action still open",IF(AND(NOT(OR(LEN(AZ304)&lt;15,ISNUMBER(MATCH(AZ304,L_Placeholder,0)))),BK304=0,CG304&gt;=8,NOT(OR(LEN(AU304)&lt;2,ISNUMBER(MATCH(AU304,L_Placeholder,0)))),BR304&gt;=3,NOT(OR(LEN(AX304)&lt;2,ISNUMBER(MATCH(AX304,L_Placeholder,0)))),BS304&gt;=3,TRIM(AE304)&lt;&gt;TRIM(T304),AX304&lt;&gt;AU304,CE304=0),"N/A – JUSTIFIED","INVALID – N/A needs a real, settled reason (not 'not applicable' / 'as above' / TBC), a named PIC and a different named verifier"))),IF(OR(TRIM(U304)="Pass",TRIM(U304)="Pass after CA"),IF(NOT(ISNUMBER(AD304)),"INVALID – completion time missing",IF(OR(OR(LEN(AU304)&lt;2,ISNUMBER(MATCH(AU304,L_Placeholder,0))),BR304&lt;3),"INVALID – PIC missing or not a named person (a role such as QA / CSM is not a name)",IF(OR(LEN(AV304)&lt;2,ISNUMBER(MATCH(AV304,L_Placeholder,0))),"INVALID – result / assessment missing",IF(OR(OR(LEN(AW304)&lt;3,ISNUMBER(MATCH(AW304,L_Placeholder,0))),SUMPRODUCT(--ISNUMBER(SEARCH(" "&amp;L_EvidencePhrase&amp;" ",BD304)))&gt;0,BI304=1),"INVALID – evidence missing, placeholder or not yet on file",IF(ISNA(MATCH(TRIM(S304),L_EvidenceType,0)),"INVALID – choose the evidence type from the list (column S)",IF(BL304=0,"INVALID – evidence ID must be the record's own ID only (e.g. SF-2210, IMG_2231, 1045521); a link / file name needs type 'Link / file path'",IF(OR(OR(LEN(AX304)&lt;2,ISNUMBER(MATCH(AX304,L_Placeholder,0))),BS304&lt;3),"INVALID – verifier missing or not a named person (a role such as QA / CSM is not a name)",IF(OR(AX304=AU304,CE304=1,AND(LEN(AU304)&gt;=4,ISNUMBER(SEARCH(AU304,AX304))),AND(LEN(AX304)&gt;=4,ISNUMBER(SEARCH(AX304,AU304)))),"INVALID – verifier must be a different, named person (not the PIC or a role)",IF(BH304=1,"INVALID – result not yet available (awaiting / TBC)",IF(BG304=1,"INVALID – result describes a problem: record Fail, then Pass after CA (or reword if it is not a problem)",IF(BV304=1,"INVALID – wording says not on board: an on-board confirmation needs the item loaded",IF(AND(AQ304=1,OR(OR(LEN(AY304)&lt;3,ISNUMBER(MATCH(AY304,L_Placeholder,0))),BJ304=1,BQ304=0)),"INVALID – batch ID missing, placeholder or not an ID (e.g. PASB-261008-BC-017)",IF(AND(AR304=1,OR(NOT(ISNUMBER(X304)),NOT(ISNUMBER(Y304)))),"INVALID – expected/actual qty missing",IF(AND(AR304=1,OR(X304&lt;=0,Y304&lt;0)),"INVALID – expected qty must be above 0 and actual not negative",IF(BB304&lt;&gt;"",BB304,IF(AND(AS304=1,Documents!$J$13&lt;&gt;"ON FILE"),"INVALID – GLD not on file (Documents sheet)",IF(AND(AS304=2,Documents!$O$13&lt;&gt;"ON FILE"),"INVALID – menu checklist not on file (Documents sheet)",IF(AND(AS304=3,NOT(ISNUMBER(Flights!$AX$13))),"INVALID – enter carrying flight KUL departure (Flights AX)",IF(AND(AS304=3,OR(Flights!$AZ$13&gt;Flights!$AA$13,Flights!$AX$13&lt;Flights!$AA$13-3)),"INVALID – carrying flight (Flights AX) cannot arrive before this leg's STD, or is over 3 days early",IF(AG304&gt;AsOfUTC,"INVALID – completion time is in the future",IF(AND(ISNUMBER(BY304),AG304&lt;BY304),IF(H304="Physical uplift","INVALID – before uplift window (cannot confirm loading)","INVALID – before valid window"),IF(AG304&gt;Flights!$AA$13,"INVALID – completed after departure (cannot establish readiness)",IF(AND(H304="Preparation",AG304&gt;=IF(ISNUMBER(Flights!$BA$13),MIN(Flights!$BA$13,Flights!$AA$13),Flights!$AA$13)),"INVALID – completed after loading / departure (cannot establish readiness)",IF(AND(H304="Physical uplift",AG304&gt;Q304),"INVALID – recorded after the loading flight departed",IF(AG304&gt;Q304,"COMPLETE – LATE","COMPLETE"))))))))))))))))))))))))),IF(TRIM(U304)="Fail","FAIL – DISCREPANCY",IF(AND(TRIM(U304)&lt;&gt;"",TRIM(U304)&lt;&gt;"Not started",TRIM(U304)&lt;&gt;"In progress"),"INVALID – unrecognised status (use the list)",IF(AsOfUTC&gt;Q304,"OVERDUE",IF(N304="Clarification required","OPEN – CLARIFICATION","OPEN"))))))),"INVALID – error value in an input cell")</f>
        <v>OPEN – CLARIFICATION</v>
      </c>
      <c r="AI304" s="61" t="n">
        <f aca="false">IF(OR(AH304="N/A – RULE",AH304="N/A – JUSTIFIED"),0,1)</f>
        <v>1</v>
      </c>
      <c r="AJ304" s="61" t="n">
        <f aca="false">IF(LEFT(AH304,8)="COMPLETE",1,0)</f>
        <v>0</v>
      </c>
      <c r="AK304" s="61" t="n">
        <f aca="false">IF(AND(AI304=1,AJ304=0,AsOfUTC&gt;Q304),1,0)</f>
        <v>0</v>
      </c>
      <c r="AL304" s="61" t="n">
        <f aca="false">IFERROR(IF(AND(AI304=1,OR(TRIM(U304)="Fail",AND(TRIM(AB304)&lt;&gt;"",TRIM(AB304)&lt;&gt;"Closed"),AND(ISNUMBER(AF304),AF304&lt;&gt;0,TRIM(U304)&lt;&gt;"Pass after CA"))),1,0),1)</f>
        <v>0</v>
      </c>
      <c r="AM304" s="61" t="n">
        <f aca="false">IF(LEFT(AH304,7)="INVALID",1,0)</f>
        <v>0</v>
      </c>
      <c r="AN304" s="61" t="n">
        <f aca="false">IF(AND(N304="Clarification required",AI304=1,AJ304=0),1,0)</f>
        <v>1</v>
      </c>
      <c r="AO304" s="61" t="str">
        <f aca="false">IF(AK304=1,SUM(AK$5:AK304),"")</f>
        <v/>
      </c>
      <c r="AP304" s="61" t="str">
        <f aca="false">IF(AL304=1,SUM(AL$5:AL304),"")</f>
        <v/>
      </c>
      <c r="AQ304" s="61" t="n">
        <v>0</v>
      </c>
      <c r="AR304" s="61" t="n">
        <v>0</v>
      </c>
      <c r="AS304" s="61" t="n">
        <v>0</v>
      </c>
      <c r="AT304" s="61" t="n">
        <v>1</v>
      </c>
      <c r="AU304" s="61" t="str">
        <f aca="false">SUBSTITUTE(SUBSTITUTE(SUBSTITUTE(SUBSTITUTE(SUBSTITUTE(SUBSTITUTE(SUBSTITUTE(SUBSTITUTE(SUBSTITUTE(SUBSTITUTE(SUBSTITUTE(SUBSTITUTE(SUBSTITUTE(SUBSTITUTE(SUBSTITUTE(SUBSTITUTE(LOWER(T304&amp;""),CHAR(10),""),CHAR(13),""),CHAR(9),""),CHAR(160),"")," ",""),".",""),"-",""),"/",""),"?",""),"_",""),",",""),"[",""),"]",""),"(",""),")",""),"*","")</f>
        <v/>
      </c>
      <c r="AV304" s="61" t="str">
        <f aca="false">SUBSTITUTE(SUBSTITUTE(SUBSTITUTE(SUBSTITUTE(SUBSTITUTE(SUBSTITUTE(SUBSTITUTE(SUBSTITUTE(SUBSTITUTE(SUBSTITUTE(SUBSTITUTE(SUBSTITUTE(SUBSTITUTE(SUBSTITUTE(SUBSTITUTE(SUBSTITUTE(LOWER(V304&amp;""),CHAR(10),""),CHAR(13),""),CHAR(9),""),CHAR(160),"")," ",""),".",""),"-",""),"/",""),"?",""),"_",""),",",""),"[",""),"]",""),"(",""),")",""),"*","")</f>
        <v/>
      </c>
      <c r="AW304" s="61" t="str">
        <f aca="false">SUBSTITUTE(SUBSTITUTE(SUBSTITUTE(SUBSTITUTE(SUBSTITUTE(SUBSTITUTE(SUBSTITUTE(SUBSTITUTE(SUBSTITUTE(SUBSTITUTE(SUBSTITUTE(SUBSTITUTE(SUBSTITUTE(SUBSTITUTE(SUBSTITUTE(SUBSTITUTE(LOWER(Z304&amp;""),CHAR(10),""),CHAR(13),""),CHAR(9),""),CHAR(160),"")," ",""),".",""),"-",""),"/",""),"?",""),"_",""),",",""),"[",""),"]",""),"(",""),")",""),"*","")</f>
        <v/>
      </c>
      <c r="AX304" s="61" t="str">
        <f aca="false">SUBSTITUTE(SUBSTITUTE(SUBSTITUTE(SUBSTITUTE(SUBSTITUTE(SUBSTITUTE(SUBSTITUTE(SUBSTITUTE(SUBSTITUTE(SUBSTITUTE(SUBSTITUTE(SUBSTITUTE(SUBSTITUTE(SUBSTITUTE(SUBSTITUTE(SUBSTITUTE(LOWER(AE304&amp;""),CHAR(10),""),CHAR(13),""),CHAR(9),""),CHAR(160),"")," ",""),".",""),"-",""),"/",""),"?",""),"_",""),",",""),"[",""),"]",""),"(",""),")",""),"*","")</f>
        <v/>
      </c>
      <c r="AY304" s="61" t="str">
        <f aca="false">SUBSTITUTE(SUBSTITUTE(SUBSTITUTE(SUBSTITUTE(SUBSTITUTE(SUBSTITUTE(SUBSTITUTE(SUBSTITUTE(SUBSTITUTE(SUBSTITUTE(SUBSTITUTE(SUBSTITUTE(SUBSTITUTE(SUBSTITUTE(SUBSTITUTE(SUBSTITUTE(LOWER(W304&amp;""),CHAR(10),""),CHAR(13),""),CHAR(9),""),CHAR(160),"")," ",""),".",""),"-",""),"/",""),"?",""),"_",""),",",""),"[",""),"]",""),"(",""),")",""),"*","")</f>
        <v/>
      </c>
      <c r="AZ304" s="61" t="str">
        <f aca="false">SUBSTITUTE(SUBSTITUTE(SUBSTITUTE(SUBSTITUTE(SUBSTITUTE(SUBSTITUTE(SUBSTITUTE(SUBSTITUTE(SUBSTITUTE(SUBSTITUTE(SUBSTITUTE(SUBSTITUTE(SUBSTITUTE(SUBSTITUTE(SUBSTITUTE(SUBSTITUTE(LOWER(AC304&amp;""),CHAR(10),""),CHAR(13),""),CHAR(9),""),CHAR(160),"")," ",""),".",""),"-",""),"/",""),"?",""),"_",""),",",""),"[",""),"]",""),"(",""),")",""),"*","")</f>
        <v/>
      </c>
      <c r="BA304" s="61" t="str">
        <f aca="false">SUBSTITUTE(SUBSTITUTE(SUBSTITUTE(SUBSTITUTE(SUBSTITUTE(SUBSTITUTE(SUBSTITUTE(SUBSTITUTE(SUBSTITUTE(SUBSTITUTE(SUBSTITUTE(SUBSTITUTE(SUBSTITUTE(SUBSTITUTE(SUBSTITUTE(SUBSTITUTE(LOWER(AA304&amp;""),CHAR(10),""),CHAR(13),""),CHAR(9),""),CHAR(160),"")," ",""),".",""),"-",""),"/",""),"?",""),"_",""),",",""),"[",""),"]",""),"(",""),")",""),"*","")</f>
        <v/>
      </c>
      <c r="BB304" s="61" t="str">
        <f aca="false">IF(AND(TRIM(U304)="Pass",ISNUMBER(AF304)),IF(AF304&lt;&gt;0,"INVALID – qty variance: use Fail or Pass after CA",""),"")&amp;IF(AND(TRIM(U304)="Pass after CA",ISNUMBER(AF304)),IF(AF304&lt;&gt;0,"INVALID – after the corrective action the actual qty must equal expected (update Actual)",""),"")&amp;IF(AND(TRIM(U304)="Pass",TRIM(AB304)&lt;&gt;"",TRIM(AB304)&lt;&gt;"Closed"),"INVALID – corrective action not closed: use Fail, then Pass after CA","")&amp;IF(AND(LEN(BA304)&gt;=2,ISNA(MATCH(LEFT(BA304,255),L_Placeholder,0)),TRIM(AB304)=""),"INVALID – CA status missing for the recorded corrective action","")&amp;IF(AND(TRIM(U304)="Pass after CA",OR(OR(LEN(BA304)&lt;5,ISNUMBER(MATCH(BA304,L_Placeholder,0))),TRIM(AB304)&lt;&gt;"Closed")),"INVALID – corrective action not recorded/closed","")</f>
        <v/>
      </c>
      <c r="BC304" s="61" t="str">
        <f aca="false">" "&amp;TRIM(SUBSTITUTE(SUBSTITUTE(SUBSTITUTE(SUBSTITUTE(SUBSTITUTE(SUBSTITUTE(SUBSTITUTE(SUBSTITUTE(SUBSTITUTE(SUBSTITUTE(SUBSTITUTE(SUBSTITUTE(SUBSTITUTE(SUBSTITUTE(SUBSTITUTE(SUBSTITUTE(SUBSTITUTE(SUBSTITUTE(SUBSTITUTE(SUBSTITUTE(SUBSTITUTE(SUBSTITUTE(SUBSTITUTE(SUBSTITUTE(LOWER(V304&amp;""),CHAR(10)," "),CHAR(13)," "),CHAR(9)," "),CHAR(160)," "),"."," "),","," "),"-"," "),"/"," "),"("," "),")"," "),":"," "),";"," "),"_"," "),"–"," "),"?"," "),"!"," "),"*"," "),"["," "),"]"," "),"'"," "),"#"," "),"+"," "),"&amp;"," "),"\"," "))&amp;" "</f>
        <v>  </v>
      </c>
      <c r="BD304" s="61" t="str">
        <f aca="false">" "&amp;TRIM(SUBSTITUTE(SUBSTITUTE(SUBSTITUTE(SUBSTITUTE(SUBSTITUTE(SUBSTITUTE(SUBSTITUTE(SUBSTITUTE(SUBSTITUTE(SUBSTITUTE(SUBSTITUTE(SUBSTITUTE(SUBSTITUTE(SUBSTITUTE(SUBSTITUTE(SUBSTITUTE(SUBSTITUTE(SUBSTITUTE(SUBSTITUTE(SUBSTITUTE(SUBSTITUTE(SUBSTITUTE(SUBSTITUTE(SUBSTITUTE(LOWER(Z304&amp;""),CHAR(10)," "),CHAR(13)," "),CHAR(9)," "),CHAR(160)," "),"."," "),","," "),"-"," "),"/"," "),"("," "),")"," "),":"," "),";"," "),"_"," "),"–"," "),"?"," "),"!"," "),"*"," "),"["," "),"]"," "),"'"," "),"#"," "),"+"," "),"&amp;"," "),"\"," "))&amp;" "</f>
        <v>  </v>
      </c>
      <c r="BE304" s="61" t="str">
        <f aca="false">" "&amp;TRIM(SUBSTITUTE(SUBSTITUTE(SUBSTITUTE(SUBSTITUTE(SUBSTITUTE(SUBSTITUTE(SUBSTITUTE(SUBSTITUTE(SUBSTITUTE(SUBSTITUTE(SUBSTITUTE(SUBSTITUTE(SUBSTITUTE(SUBSTITUTE(SUBSTITUTE(SUBSTITUTE(SUBSTITUTE(SUBSTITUTE(SUBSTITUTE(SUBSTITUTE(SUBSTITUTE(SUBSTITUTE(SUBSTITUTE(SUBSTITUTE(LOWER(W304&amp;""),CHAR(10)," "),CHAR(13)," "),CHAR(9)," "),CHAR(160)," "),"."," "),","," "),"-"," "),"/"," "),"("," "),")"," "),":"," "),";"," "),"_"," "),"–"," "),"?"," "),"!"," "),"*"," "),"["," "),"]"," "),"'"," "),"#"," "),"+"," "),"&amp;"," "),"\"," "))&amp;" "</f>
        <v>  </v>
      </c>
      <c r="BF304" s="61" t="str">
        <f aca="false">" "&amp;TRIM(SUBSTITUTE(SUBSTITUTE(SUBSTITUTE(SUBSTITUTE(SUBSTITUTE(SUBSTITUTE(SUBSTITUTE(SUBSTITUTE(SUBSTITUTE(SUBSTITUTE(SUBSTITUTE(SUBSTITUTE(SUBSTITUTE(SUBSTITUTE(SUBSTITUTE(SUBSTITUTE(SUBSTITUTE(SUBSTITUTE(SUBSTITUTE(SUBSTITUTE(SUBSTITUTE(SUBSTITUTE(SUBSTITUTE(SUBSTITUTE(LOWER(AC304&amp;""),CHAR(10)," "),CHAR(13)," "),CHAR(9)," "),CHAR(160)," "),"."," "),","," "),"-"," "),"/"," "),"("," "),")"," "),":"," "),";"," "),"_"," "),"–"," "),"?"," "),"!"," "),"*"," "),"["," "),"]"," "),"'"," "),"#"," "),"+"," "),"&amp;"," "),"\"," "))&amp;" "</f>
        <v>  </v>
      </c>
      <c r="BG304" s="61" t="n">
        <f aca="false">IFERROR(IF(AND(TRIM(U304)="Pass",SUMPRODUCT((LEN(BC304)-LEN(SUBSTITUTE(BC304," "&amp;L_ResultBad&amp;" "," ")))/(LEN(L_ResultBad)+1))&gt;SUMPRODUCT((LEN(BC304)-LEN(SUBSTITUTE(BC304," "&amp;L_NegPhrase&amp;" "," ")))/(LEN(L_NegPhrase)+1))),1,0),0)</f>
        <v>0</v>
      </c>
      <c r="BH304" s="61" t="n">
        <f aca="false">IFERROR(IF(SUMPRODUCT((LEN(BC304)-LEN(SUBSTITUTE(BC304," "&amp;L_Pending&amp;" "," ")))/(LEN(L_Pending)+1))&gt;SUMPRODUCT((LEN(BC304)-LEN(SUBSTITUTE(BC304," "&amp;L_PendNeg&amp;" "," ")))/(LEN(L_PendNeg)+1))+SUMPRODUCT((LEN(BC304)-LEN(SUBSTITUTE(BC304," "&amp;L_PendPrep&amp;" "," ")))/(LEN(L_PendPrep)+1)),1,0),1)</f>
        <v>0</v>
      </c>
      <c r="BI304" s="61" t="n">
        <f aca="false">IFERROR(IF(SUMPRODUCT((LEN(BD304)-LEN(SUBSTITUTE(BD304," "&amp;L_PendStrict&amp;" "," ")))/(LEN(L_PendStrict)+1))&gt;SUMPRODUCT((LEN(BD304)-LEN(SUBSTITUTE(BD304," "&amp;L_PendNeg&amp;" "," ")))/(LEN(L_PendNeg)+1)),1,0),1)</f>
        <v>0</v>
      </c>
      <c r="BJ304" s="61" t="n">
        <f aca="false">IFERROR(IF(SUMPRODUCT((LEN(BE304)-LEN(SUBSTITUTE(BE304," "&amp;L_Pending&amp;" "," ")))/(LEN(L_Pending)+1))&gt;SUMPRODUCT((LEN(BE304)-LEN(SUBSTITUTE(BE304," "&amp;L_PendNeg&amp;" "," ")))/(LEN(L_PendNeg)+1))+SUMPRODUCT((LEN(BE304)-LEN(SUBSTITUTE(BE304," "&amp;L_PendPrep&amp;" "," ")))/(LEN(L_PendPrep)+1)),1,0),1)</f>
        <v>0</v>
      </c>
      <c r="BK304" s="61" t="n">
        <f aca="false">IFERROR(IF(SUMPRODUCT((LEN(BF304)-LEN(SUBSTITUTE(BF304," "&amp;L_PendStrict&amp;" "," ")))/(LEN(L_PendStrict)+1))&gt;SUMPRODUCT((LEN(BF304)-LEN(SUBSTITUTE(BF304," "&amp;L_PendNeg&amp;" "," ")))/(LEN(L_PendNeg)+1)),1,0),1)</f>
        <v>0</v>
      </c>
      <c r="BL304" s="61" t="n">
        <f aca="false">IF(ISNA(MATCH(TRIM(S304),L_EvidenceType,0)),0,BZ304)</f>
        <v>0</v>
      </c>
      <c r="BM304" s="61" t="str">
        <f aca="false">SUBSTITUTE(SUBSTITUTE(SUBSTITUTE(SUBSTITUTE(SUBSTITUTE(SUBSTITUTE(SUBSTITUTE(SUBSTITUTE(SUBSTITUTE(LOWER(Z304&amp;""),"1","0"),"2","0"),"3","0"),"4","0"),"5","0"),"6","0"),"7","0"),"8","0"),"9","0")</f>
        <v/>
      </c>
      <c r="BN304" s="61" t="str">
        <f aca="false">SUBSTITUTE(SUBSTITUTE(SUBSTITUTE(SUBSTITUTE(SUBSTITUTE(SUBSTITUTE(SUBSTITUTE(SUBSTITUTE(SUBSTITUTE(SUBSTITUTE(SUBSTITUTE(SUBSTITUTE(SUBSTITUTE(SUBSTITUTE(SUBSTITUTE(SUBSTITUTE(SUBSTITUTE(SUBSTITUTE(SUBSTITUTE(SUBSTITUTE(SUBSTITUTE(SUBSTITUTE(SUBSTITUTE(SUBSTITUTE(SUBSTITUTE(BM304,"b","a"),"c","a"),"d","a"),"e","a"),"f","a"),"g","a"),"h","a"),"i","a"),"j","a"),"k","a"),"l","a"),"m","a"),"n","a"),"o","a"),"p","a"),"q","a"),"r","a"),"s","a"),"t","a"),"u","a"),"v","a"),"w","a"),"x","a"),"y","a"),"z","a")</f>
        <v/>
      </c>
      <c r="BO304" s="61" t="str">
        <f aca="false">SUBSTITUTE(SUBSTITUTE(SUBSTITUTE(SUBSTITUTE(SUBSTITUTE(SUBSTITUTE(SUBSTITUTE(SUBSTITUTE(SUBSTITUTE(LOWER(W304&amp;""),"1","0"),"2","0"),"3","0"),"4","0"),"5","0"),"6","0"),"7","0"),"8","0"),"9","0")</f>
        <v/>
      </c>
      <c r="BP304" s="61" t="str">
        <f aca="false">SUBSTITUTE(SUBSTITUTE(SUBSTITUTE(SUBSTITUTE(SUBSTITUTE(SUBSTITUTE(SUBSTITUTE(SUBSTITUTE(SUBSTITUTE(SUBSTITUTE(SUBSTITUTE(SUBSTITUTE(SUBSTITUTE(SUBSTITUTE(SUBSTITUTE(SUBSTITUTE(SUBSTITUTE(SUBSTITUTE(SUBSTITUTE(SUBSTITUTE(SUBSTITUTE(SUBSTITUTE(SUBSTITUTE(SUBSTITUTE(SUBSTITUTE(BO304,"b","a"),"c","a"),"d","a"),"e","a"),"f","a"),"g","a"),"h","a"),"i","a"),"j","a"),"k","a"),"l","a"),"m","a"),"n","a"),"o","a"),"p","a"),"q","a"),"r","a"),"s","a"),"t","a"),"u","a"),"v","a"),"w","a"),"x","a"),"y","a"),"z","a")</f>
        <v/>
      </c>
      <c r="BQ304" s="61" t="n">
        <f aca="false">IFERROR(IF(AND(ISERROR(SEARCH(" mh"," "&amp;LOWER(W304))),ISNA(MATCH(LEFT(TRIM(BP304),255),{"0000a","000a","00a","0000aa","000aa","00aa","0aa","0000aaa","000aaa","00a00","0a00","0000-0000","00:00","a00","a0","00.00.0000","00/00/0000","00-00-0000","0000-00-00","0000/00/00","0000.00.00","00.00.00","00/00/00","00-00-00","0.00.0000","0/00/0000","0-00-0000"},0)),ISNA(MATCH(LEFT(TRIM(CA304),255),{"0000a","000a","00a","0000aa","000aa","00aa","0aa","0000aaa","000aaa","00a00","0a00","0000-0000","00:00","a00","a0","00.00.0000","00/00/0000","00-00-0000","0000-00-00","0000/00/00","0000.00.00","00.00.00","00/00/00","00-00-00","0.00.0000","0/00/0000","0-00-0000"},0)),LEN(CB304)&gt;=3,NOT(OR(SUBSTITUTE(CB304,"0","")="",AND(LEN(CB304)&gt;=4,CB304=REPT(LEFT(CB304),LEN(CB304))),ISNUMBER(MATCH(CB304,{"123","1234","12345","123456","1234567","12345678","0123","01234","012345","98765","987654","54321"},0)),AND(LEN(CB304)=8,LEFT(CB304,3)="202"))),OR(AND((LEN(CA304)-LEN(SUBSTITUTE(CA304,"a","")))&gt;=1,SUMPRODUCT(--ISNUMBER(SEARCH({"a0","a-0","a_0","a/0","a.0","a#0","0a","0-a","0_a","0/a"},BP304)))&gt;0),ISNUMBER(SEARCH("000000",BP304)))),1,0),0)</f>
        <v>0</v>
      </c>
      <c r="BR304" s="61" t="n">
        <f aca="false">IFERROR(LEN(SUBSTITUTE(CC304," ",""))-SUMPRODUCT((LEN(CC304)-LEN(SUBSTITUTE(CC304," "&amp;L_Role&amp;" "," ")))/(LEN(L_Role)+1)*LEN(L_Role)),0)</f>
        <v>0</v>
      </c>
      <c r="BS304" s="61" t="n">
        <f aca="false">IFERROR(LEN(SUBSTITUTE(CD304," ",""))-SUMPRODUCT((LEN(CD304)-LEN(SUBSTITUTE(CD304," "&amp;L_Role&amp;" "," ")))/(LEN(L_Role)+1)*LEN(L_Role)),0)</f>
        <v>0</v>
      </c>
      <c r="BT3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304,"revision",""),"version",""),"jan",""),"feb",""),"mar",""),"apr",""),"may",""),"jun",""),"jul",""),"aug",""),"sep",""),"oct",""),"nov",""),"dec",""),"utc",""),"gmt",""),"myt",""),"bst",""),"rev",""),"ver",""),"b","a"),"c","a"),"d","a"),"e","a"),"f","a"),"g","a"),"h","a"),"i","a"),"j","a"),"k","a"),"l","a"),"m","a"),"n","a"),"o","a"),"p","a"),"q","a"),"r","a"),"s","a"),"t","a"),"u","a"),"v","a"),"w","a"),"x","a"),"y","a"),"z","a")</f>
        <v/>
      </c>
      <c r="BU304" s="61" t="str">
        <f aca="false">SUBSTITUTE(SUBSTITUTE(SUBSTITUTE(SUBSTITUTE(SUBSTITUTE(SUBSTITUTE(SUBSTITUTE(SUBSTITUTE(SUBSTITUTE(SUBSTITUTE(LEFT(BM304,FIND("0",BM304&amp;"0")-1),"-",""),"_",""),"/",""),".",""),"#",""),"\\",""),":","")," ",""),"(",""),")","")</f>
        <v/>
      </c>
      <c r="BV304" s="61" t="n">
        <f aca="false">0</f>
        <v>0</v>
      </c>
      <c r="BW3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304&amp;""),"a",""),"b",""),"c",""),"d",""),"e",""),"f",""),"g",""),"h",""),"i",""),"j",""),"k",""),"l",""),"m",""),"n",""),"o",""),"p",""),"q",""),"r",""),"s",""),"t",""),"u",""),"v",""),"w",""),"x",""),"y",""),"z",""),"-",""),"_",""),"/",""),".",""),"#",""),"\\",""),":","")," ",""),"(",""),")","")</f>
        <v/>
      </c>
      <c r="BX304" s="61" t="str">
        <f aca="false">SUBSTITUTE(SUBSTITUTE(SUBSTITUTE(SUBSTITUTE(SUBSTITUTE(SUBSTITUTE(SUBSTITUTE(SUBSTITUTE(SUBSTITUTE(SUBSTITUTE(SUBSTITUTE(BM304,"0",""),"-",""),"_",""),"/",""),".",""),"#",""),"\\",""),":","")," ",""),"(",""),")","")</f>
        <v/>
      </c>
      <c r="BY304" s="62" t="n">
        <f aca="false">Q304-T12EarlyH/24</f>
        <v>46305.2534722222</v>
      </c>
      <c r="BZ304" s="61" t="n">
        <f aca="false">IFERROR(IF(IF(TRIM(S304)="Link / file path",AND(LEN(TRIM(Z304))&gt;=5,SUMPRODUCT(--ISNUMBER(SEARCH({"http","www.","\\",":\",".pdf",".jpg",".jpeg",".png",".heic",".xls",".doc",".msg",".eml",".ppt",".txt",".zip"},Z304)))&gt;0),AND(ISERROR(FIND(" ",TRIM(Z304))),NOT(OR(SUMPRODUCT(--ISNUMBER(FIND({",",";","&amp;","+"},Z304)))&gt;0,SUMPRODUCT(--ISNUMBER(SEARCH({"0/aa","0\\aa"},BN304)))&gt;0)),NOT(SUMPRODUCT(--ISNUMBER(SEARCH({"http","www.","\\",":\",".pdf",".jpg",".jpeg",".png",".heic",".xls",".doc",".msg",".eml",".ppt",".txt",".zip"},Z304)))&gt;0),NOT(LOWER(TRIM(Z304))=LOWER(Flights!$F$13)),ISNA(MATCH(BU304,{"mh","rev","revision","ver","version","v","r","a","b","seat","tray","row","gate","bay","stand","page","pg","item","line","no","cart","galley","flight","flt","table","box","bag","oven","etd","eta","std","sta","atd","ata","qty","pax","x","time","tel","ph","mob","day","wk","week","utc","gmt","myt","lt"},0)),NOT(OR(ISNUMBER(MATCH(LEFT(BN304,255),{"0000a","000a","00a","0000aa","000aa","00aa","0aa","0000aaa","000aaa","00a00","0a00","0000-0000","00:00","a00","a0","00.00.0000","00/00/0000","00-00-0000","0000-00-00","0000/00/00","0000.00.00","00.00.00","00/00/00","00-00-00","0.00.0000","0/00/0000","0-00-0000"},0)),ISNUMBER(MATCH(LEFT(BT304,255),{"0000a","000a","00a","0000aa","000aa","00aa","0aa","0000aaa","000aaa","00a00","0a00","0000-0000","00:00","a00","a0","00.00.0000","00/00/0000","00-00-0000","0000-00-00","0000/00/00","0000.00.00","00.00.00","00/00/00","00-00-00","0.00.0000","0/00/0000","0-00-0000"},0)))),NOT(OR(AND(BW304&lt;&gt;"",SUBSTITUTE(BW304,"0","")=""),AND(LEN(BW304)&gt;=4,BW304=REPT(LEFT(BW304),LEN(BW304))),ISNUMBER(MATCH(BW304,{"123","1234","12345","123456","1234567","12345678","0123","01234","012345","98765","987654","54321"},0)),ISNUMBER(MATCH(BX304,{"x","xx","xxx","xxxx","xxxxx","abc","abcd","nil","na","nan","test","tbc","tba","tbd","dummy","sample","example","eg","zz","zzz","none","null","xyz","qwe","asd","id","ref"},0)),AND(LEN(BW304)=8,BX304="",OR(LEFT(BW304,3)="202",ISNUMBER(MATCH(RIGHT(BW304,4),{"2025","2026","2027"},0)))))),OR(AND((LEN(BT304)-LEN(SUBSTITUTE(BT304,"a","")))&gt;=1,(LEN(BN304)-LEN(SUBSTITUTE(BN304,"0","")))&gt;=2,SUMPRODUCT(--ISNUMBER(SEARCH({"a0","a-0","a_0","a/0","a.0","a#0","0a","0-a","0_a","0/a"},BN304)))&gt;0),AND((LEN(BN304)-LEN(SUBSTITUTE(BN304,"a","")))=0,(LEN(BN304)-LEN(SUBSTITUTE(BN304,"0","")))&gt;=5)))),1,0),0)</f>
        <v>0</v>
      </c>
      <c r="CA3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304,"revision",""),"version",""),"jan",""),"feb",""),"mar",""),"apr",""),"may",""),"jun",""),"jul",""),"aug",""),"sep",""),"oct",""),"nov",""),"dec",""),"utc",""),"gmt",""),"myt",""),"bst",""),"rev",""),"ver",""),"b","a"),"c","a"),"d","a"),"e","a"),"f","a"),"g","a"),"h","a"),"i","a"),"j","a"),"k","a"),"l","a"),"m","a"),"n","a"),"o","a"),"p","a"),"q","a"),"r","a"),"s","a"),"t","a"),"u","a"),"v","a"),"w","a"),"x","a"),"y","a"),"z","a")</f>
        <v/>
      </c>
      <c r="CB3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304&amp;""),"a",""),"b",""),"c",""),"d",""),"e",""),"f",""),"g",""),"h",""),"i",""),"j",""),"k",""),"l",""),"m",""),"n",""),"o",""),"p",""),"q",""),"r",""),"s",""),"t",""),"u",""),"v",""),"w",""),"x",""),"y",""),"z",""),"-",""),"_",""),"/",""),".",""),"#",""),"\\",""),":","")," ",""),"(",""),")","")</f>
        <v/>
      </c>
      <c r="CC304" s="0" t="str">
        <f aca="false">" "&amp;TRIM(SUBSTITUTE(SUBSTITUTE(SUBSTITUTE(SUBSTITUTE(SUBSTITUTE(SUBSTITUTE(SUBSTITUTE(SUBSTITUTE(SUBSTITUTE(SUBSTITUTE(SUBSTITUTE(SUBSTITUTE(SUBSTITUTE(SUBSTITUTE(SUBSTITUTE(SUBSTITUTE(SUBSTITUTE(SUBSTITUTE(SUBSTITUTE(SUBSTITUTE(SUBSTITUTE(SUBSTITUTE(SUBSTITUTE(SUBSTITUTE(LOWER(T304&amp;""),CHAR(10)," "),CHAR(13)," "),CHAR(9)," "),CHAR(160)," "),"."," "),","," "),"-"," "),"/"," "),"("," "),")"," "),":"," "),";"," "),"_"," "),"–"," "),"?"," "),"!"," "),"*"," "),"["," "),"]"," "),"'"," "),"#"," "),"+"," "),"&amp;"," "),"\"," "))&amp;" "</f>
        <v>  </v>
      </c>
      <c r="CD304" s="0" t="str">
        <f aca="false">" "&amp;TRIM(SUBSTITUTE(SUBSTITUTE(SUBSTITUTE(SUBSTITUTE(SUBSTITUTE(SUBSTITUTE(SUBSTITUTE(SUBSTITUTE(SUBSTITUTE(SUBSTITUTE(SUBSTITUTE(SUBSTITUTE(SUBSTITUTE(SUBSTITUTE(SUBSTITUTE(SUBSTITUTE(SUBSTITUTE(SUBSTITUTE(SUBSTITUTE(SUBSTITUTE(SUBSTITUTE(SUBSTITUTE(SUBSTITUTE(SUBSTITUTE(LOWER(AE304&amp;""),CHAR(10)," "),CHAR(13)," "),CHAR(9)," "),CHAR(160)," "),"."," "),","," "),"-"," "),"/"," "),"("," "),")"," "),":"," "),";"," "),"_"," "),"–"," "),"?"," "),"!"," "),"*"," "),"["," "),"]"," "),"'"," "),"#"," "),"+"," "),"&amp;"," "),"\"," "))&amp;" "</f>
        <v>  </v>
      </c>
      <c r="CE304" s="68" t="n">
        <f aca="false">IFERROR(IF(AND(LEN(AU304)&gt;0,LEN(AU304)=LEN(AX304),OR(TRIM(MID(SUBSTITUTE(TRIM(CC304)," ",REPT(" ",60)),1,60))="",ISNUMBER(SEARCH(" "&amp;TRIM(MID(SUBSTITUTE(TRIM(CC304)," ",REPT(" ",60)),1,60))&amp;" ",CD304))),OR(TRIM(MID(SUBSTITUTE(TRIM(CC304)," ",REPT(" ",60)),61,60))="",ISNUMBER(SEARCH(" "&amp;TRIM(MID(SUBSTITUTE(TRIM(CC304)," ",REPT(" ",60)),61,60))&amp;" ",CD304))),OR(TRIM(MID(SUBSTITUTE(TRIM(CC304)," ",REPT(" ",60)),121,60))="",ISNUMBER(SEARCH(" "&amp;TRIM(MID(SUBSTITUTE(TRIM(CC304)," ",REPT(" ",60)),121,60))&amp;" ",CD304)))),1,0),0)</f>
        <v>0</v>
      </c>
      <c r="CG304" s="68" t="n">
        <f aca="false">IFERROR(LEN(SUBSTITUTE(BF304," ",""))-SUMPRODUCT((LEN(BF304)-LEN(SUBSTITUTE(BF304," "&amp;L_NAFiller&amp;" "," ")))/(LEN(L_NAFiller)+1)*LEN(L_NAFiller)),0)</f>
        <v>0</v>
      </c>
    </row>
    <row r="305" customFormat="false" ht="116.25" hidden="false" customHeight="true" outlineLevel="0" collapsed="false">
      <c r="A305" s="57" t="s">
        <v>888</v>
      </c>
      <c r="B305" s="57" t="s">
        <v>246</v>
      </c>
      <c r="C305" s="57" t="str">
        <f aca="false">Flights!$F$13</f>
        <v>MH0753</v>
      </c>
      <c r="D305" s="58" t="n">
        <f aca="false">Flights!$D$13</f>
        <v>46306</v>
      </c>
      <c r="E305" s="57" t="str">
        <f aca="false">Flights!$G$13&amp;"-"&amp;Flights!$H$13</f>
        <v>HAN-KUL</v>
      </c>
      <c r="F305" s="57" t="str">
        <f aca="false">Flights!$K$13</f>
        <v>BC</v>
      </c>
      <c r="G305" s="57" t="s">
        <v>420</v>
      </c>
      <c r="H305" s="57" t="s">
        <v>378</v>
      </c>
      <c r="I305" s="57" t="s">
        <v>499</v>
      </c>
      <c r="J305" s="57" t="s">
        <v>515</v>
      </c>
      <c r="K305" s="67" t="s">
        <v>501</v>
      </c>
      <c r="L305" s="67" t="s">
        <v>889</v>
      </c>
      <c r="M305" s="67" t="s">
        <v>451</v>
      </c>
      <c r="N305" s="67" t="s">
        <v>444</v>
      </c>
      <c r="O305" s="67" t="s">
        <v>887</v>
      </c>
      <c r="P305" s="57" t="s">
        <v>240</v>
      </c>
      <c r="Q305" s="59" t="n">
        <f aca="false">ROUND((Flights!$AE$13)*1440,0)/1440</f>
        <v>46305.7534722222</v>
      </c>
      <c r="R305" s="59" t="n">
        <f aca="false">Q305+(IF(AND(INDEX(TZ_DSTS,MATCH(P305,TZ_STN,0))&lt;&gt;"",Q305&gt;=INDEX(TZ_DSTS,MATCH(P305,TZ_STN,0)),Q305&lt;INDEX(TZ_DSTE,MATCH(P305,TZ_STN,0))),INDEX(TZ_DST,MATCH(P305,TZ_STN,0)),INDEX(TZ_STD,MATCH(P305,TZ_STN,0))))/24</f>
        <v>46306.0451388889</v>
      </c>
      <c r="S305" s="60"/>
      <c r="T305" s="60"/>
      <c r="U305" s="60"/>
      <c r="V305" s="60"/>
      <c r="W305" s="61"/>
      <c r="X305" s="60"/>
      <c r="Y305" s="60"/>
      <c r="Z305" s="60"/>
      <c r="AA305" s="60"/>
      <c r="AB305" s="60"/>
      <c r="AC305" s="60"/>
      <c r="AD305" s="66"/>
      <c r="AE305" s="60"/>
      <c r="AF305" s="61" t="str">
        <f aca="false">IF(AND(ISNUMBER(X305),ISNUMBER(Y305)),Y305-X305,"")</f>
        <v/>
      </c>
      <c r="AG305" s="62" t="str">
        <f aca="false">IF(ISNUMBER(AD305),AD305-(IF(AND(INDEX(TZ_DSTS,MATCH(P305,TZ_STN,0))&lt;&gt;"",(AD305-INDEX(TZ_STD,MATCH(P305,TZ_STN,0))/24)&gt;=INDEX(TZ_DSTS,MATCH(P305,TZ_STN,0)),(AD305-INDEX(TZ_STD,MATCH(P305,TZ_STN,0))/24)&lt;INDEX(TZ_DSTE,MATCH(P305,TZ_STN,0))),INDEX(TZ_DST,MATCH(P305,TZ_STN,0)),INDEX(TZ_STD,MATCH(P305,TZ_STN,0))))/24,"")</f>
        <v/>
      </c>
      <c r="AH305" s="65" t="str">
        <f aca="false">IFERROR(IF(N305="N/A – rule",IF(OR(TRIM(U305)="",TRIM(U305)="N/A",TRIM(U305)="Not started"),"N/A – RULE","INVALID – this check does not apply to this aircraft: clear the status (or correct the fleet on Flights)"),IF(TRIM(U305)="N/A",IF(AT305=0,"INVALID – N/A not permitted for this check",IF(AND(TRIM(AB305)&lt;&gt;"",TRIM(AB305)&lt;&gt;"Closed"),"INVALID – corrective action still open",IF(AND(NOT(OR(LEN(AZ305)&lt;15,ISNUMBER(MATCH(AZ305,L_Placeholder,0)))),BK305=0,CG305&gt;=8,NOT(OR(LEN(AU305)&lt;2,ISNUMBER(MATCH(AU305,L_Placeholder,0)))),BR305&gt;=3,NOT(OR(LEN(AX305)&lt;2,ISNUMBER(MATCH(AX305,L_Placeholder,0)))),BS305&gt;=3,TRIM(AE305)&lt;&gt;TRIM(T305),AX305&lt;&gt;AU305,CE305=0),"N/A – JUSTIFIED","INVALID – N/A needs a real, settled reason (not 'not applicable' / 'as above' / TBC), a named PIC and a different named verifier"))),IF(OR(TRIM(U305)="Pass",TRIM(U305)="Pass after CA"),IF(NOT(ISNUMBER(AD305)),"INVALID – completion time missing",IF(OR(OR(LEN(AU305)&lt;2,ISNUMBER(MATCH(AU305,L_Placeholder,0))),BR305&lt;3),"INVALID – PIC missing or not a named person (a role such as QA / CSM is not a name)",IF(OR(LEN(AV305)&lt;2,ISNUMBER(MATCH(AV305,L_Placeholder,0))),"INVALID – result / assessment missing",IF(OR(OR(LEN(AW305)&lt;3,ISNUMBER(MATCH(AW305,L_Placeholder,0))),SUMPRODUCT(--ISNUMBER(SEARCH(" "&amp;L_EvidencePhrase&amp;" ",BD305)))&gt;0,BI305=1),"INVALID – evidence missing, placeholder or not yet on file",IF(ISNA(MATCH(TRIM(S305),L_EvidenceType,0)),"INVALID – choose the evidence type from the list (column S)",IF(BL305=0,"INVALID – evidence ID must be the record's own ID only (e.g. SF-2210, IMG_2231, 1045521); a link / file name needs type 'Link / file path'",IF(OR(OR(LEN(AX305)&lt;2,ISNUMBER(MATCH(AX305,L_Placeholder,0))),BS305&lt;3),"INVALID – verifier missing or not a named person (a role such as QA / CSM is not a name)",IF(OR(AX305=AU305,CE305=1,AND(LEN(AU305)&gt;=4,ISNUMBER(SEARCH(AU305,AX305))),AND(LEN(AX305)&gt;=4,ISNUMBER(SEARCH(AX305,AU305)))),"INVALID – verifier must be a different, named person (not the PIC or a role)",IF(BH305=1,"INVALID – result not yet available (awaiting / TBC)",IF(BG305=1,"INVALID – result describes a problem: record Fail, then Pass after CA (or reword if it is not a problem)",IF(BV305=1,"INVALID – wording says not on board: an on-board confirmation needs the item loaded",IF(AND(AQ305=1,OR(OR(LEN(AY305)&lt;3,ISNUMBER(MATCH(AY305,L_Placeholder,0))),BJ305=1,BQ305=0)),"INVALID – batch ID missing, placeholder or not an ID (e.g. PASB-261008-BC-017)",IF(AND(AR305=1,OR(NOT(ISNUMBER(X305)),NOT(ISNUMBER(Y305)))),"INVALID – expected/actual qty missing",IF(AND(AR305=1,OR(X305&lt;=0,Y305&lt;0)),"INVALID – expected qty must be above 0 and actual not negative",IF(BB305&lt;&gt;"",BB305,IF(AND(AS305=1,Documents!$J$13&lt;&gt;"ON FILE"),"INVALID – GLD not on file (Documents sheet)",IF(AND(AS305=2,Documents!$O$13&lt;&gt;"ON FILE"),"INVALID – menu checklist not on file (Documents sheet)",IF(AND(AS305=3,NOT(ISNUMBER(Flights!$AX$13))),"INVALID – enter carrying flight KUL departure (Flights AX)",IF(AND(AS305=3,OR(Flights!$AZ$13&gt;Flights!$AA$13,Flights!$AX$13&lt;Flights!$AA$13-3)),"INVALID – carrying flight (Flights AX) cannot arrive before this leg's STD, or is over 3 days early",IF(AG305&gt;AsOfUTC,"INVALID – completion time is in the future",IF(AND(ISNUMBER(BY305),AG305&lt;BY305),IF(H305="Physical uplift","INVALID – before uplift window (cannot confirm loading)","INVALID – before valid window"),IF(AG305&gt;Flights!$AA$13,"INVALID – completed after departure (cannot establish readiness)",IF(AND(H305="Preparation",AG305&gt;=IF(ISNUMBER(Flights!$BA$13),MIN(Flights!$BA$13,Flights!$AA$13),Flights!$AA$13)),"INVALID – completed after loading / departure (cannot establish readiness)",IF(AND(H305="Physical uplift",AG305&gt;Q305),"INVALID – recorded after the loading flight departed",IF(AG305&gt;Q305,"COMPLETE – LATE","COMPLETE"))))))))))))))))))))))))),IF(TRIM(U305)="Fail","FAIL – DISCREPANCY",IF(AND(TRIM(U305)&lt;&gt;"",TRIM(U305)&lt;&gt;"Not started",TRIM(U305)&lt;&gt;"In progress"),"INVALID – unrecognised status (use the list)",IF(AsOfUTC&gt;Q305,"OVERDUE",IF(N305="Clarification required","OPEN – CLARIFICATION","OPEN"))))))),"INVALID – error value in an input cell")</f>
        <v>OPEN – CLARIFICATION</v>
      </c>
      <c r="AI305" s="61" t="n">
        <f aca="false">IF(OR(AH305="N/A – RULE",AH305="N/A – JUSTIFIED"),0,1)</f>
        <v>1</v>
      </c>
      <c r="AJ305" s="61" t="n">
        <f aca="false">IF(LEFT(AH305,8)="COMPLETE",1,0)</f>
        <v>0</v>
      </c>
      <c r="AK305" s="61" t="n">
        <f aca="false">IF(AND(AI305=1,AJ305=0,AsOfUTC&gt;Q305),1,0)</f>
        <v>0</v>
      </c>
      <c r="AL305" s="61" t="n">
        <f aca="false">IFERROR(IF(AND(AI305=1,OR(TRIM(U305)="Fail",AND(TRIM(AB305)&lt;&gt;"",TRIM(AB305)&lt;&gt;"Closed"),AND(ISNUMBER(AF305),AF305&lt;&gt;0,TRIM(U305)&lt;&gt;"Pass after CA"))),1,0),1)</f>
        <v>0</v>
      </c>
      <c r="AM305" s="61" t="n">
        <f aca="false">IF(LEFT(AH305,7)="INVALID",1,0)</f>
        <v>0</v>
      </c>
      <c r="AN305" s="61" t="n">
        <f aca="false">IF(AND(N305="Clarification required",AI305=1,AJ305=0),1,0)</f>
        <v>1</v>
      </c>
      <c r="AO305" s="61" t="str">
        <f aca="false">IF(AK305=1,SUM(AK$5:AK305),"")</f>
        <v/>
      </c>
      <c r="AP305" s="61" t="str">
        <f aca="false">IF(AL305=1,SUM(AL$5:AL305),"")</f>
        <v/>
      </c>
      <c r="AQ305" s="61" t="n">
        <v>0</v>
      </c>
      <c r="AR305" s="61" t="n">
        <v>0</v>
      </c>
      <c r="AS305" s="61" t="n">
        <v>0</v>
      </c>
      <c r="AT305" s="61" t="n">
        <v>1</v>
      </c>
      <c r="AU305" s="61" t="str">
        <f aca="false">SUBSTITUTE(SUBSTITUTE(SUBSTITUTE(SUBSTITUTE(SUBSTITUTE(SUBSTITUTE(SUBSTITUTE(SUBSTITUTE(SUBSTITUTE(SUBSTITUTE(SUBSTITUTE(SUBSTITUTE(SUBSTITUTE(SUBSTITUTE(SUBSTITUTE(SUBSTITUTE(LOWER(T305&amp;""),CHAR(10),""),CHAR(13),""),CHAR(9),""),CHAR(160),"")," ",""),".",""),"-",""),"/",""),"?",""),"_",""),",",""),"[",""),"]",""),"(",""),")",""),"*","")</f>
        <v/>
      </c>
      <c r="AV305" s="61" t="str">
        <f aca="false">SUBSTITUTE(SUBSTITUTE(SUBSTITUTE(SUBSTITUTE(SUBSTITUTE(SUBSTITUTE(SUBSTITUTE(SUBSTITUTE(SUBSTITUTE(SUBSTITUTE(SUBSTITUTE(SUBSTITUTE(SUBSTITUTE(SUBSTITUTE(SUBSTITUTE(SUBSTITUTE(LOWER(V305&amp;""),CHAR(10),""),CHAR(13),""),CHAR(9),""),CHAR(160),"")," ",""),".",""),"-",""),"/",""),"?",""),"_",""),",",""),"[",""),"]",""),"(",""),")",""),"*","")</f>
        <v/>
      </c>
      <c r="AW305" s="61" t="str">
        <f aca="false">SUBSTITUTE(SUBSTITUTE(SUBSTITUTE(SUBSTITUTE(SUBSTITUTE(SUBSTITUTE(SUBSTITUTE(SUBSTITUTE(SUBSTITUTE(SUBSTITUTE(SUBSTITUTE(SUBSTITUTE(SUBSTITUTE(SUBSTITUTE(SUBSTITUTE(SUBSTITUTE(LOWER(Z305&amp;""),CHAR(10),""),CHAR(13),""),CHAR(9),""),CHAR(160),"")," ",""),".",""),"-",""),"/",""),"?",""),"_",""),",",""),"[",""),"]",""),"(",""),")",""),"*","")</f>
        <v/>
      </c>
      <c r="AX305" s="61" t="str">
        <f aca="false">SUBSTITUTE(SUBSTITUTE(SUBSTITUTE(SUBSTITUTE(SUBSTITUTE(SUBSTITUTE(SUBSTITUTE(SUBSTITUTE(SUBSTITUTE(SUBSTITUTE(SUBSTITUTE(SUBSTITUTE(SUBSTITUTE(SUBSTITUTE(SUBSTITUTE(SUBSTITUTE(LOWER(AE305&amp;""),CHAR(10),""),CHAR(13),""),CHAR(9),""),CHAR(160),"")," ",""),".",""),"-",""),"/",""),"?",""),"_",""),",",""),"[",""),"]",""),"(",""),")",""),"*","")</f>
        <v/>
      </c>
      <c r="AY305" s="61" t="str">
        <f aca="false">SUBSTITUTE(SUBSTITUTE(SUBSTITUTE(SUBSTITUTE(SUBSTITUTE(SUBSTITUTE(SUBSTITUTE(SUBSTITUTE(SUBSTITUTE(SUBSTITUTE(SUBSTITUTE(SUBSTITUTE(SUBSTITUTE(SUBSTITUTE(SUBSTITUTE(SUBSTITUTE(LOWER(W305&amp;""),CHAR(10),""),CHAR(13),""),CHAR(9),""),CHAR(160),"")," ",""),".",""),"-",""),"/",""),"?",""),"_",""),",",""),"[",""),"]",""),"(",""),")",""),"*","")</f>
        <v/>
      </c>
      <c r="AZ305" s="61" t="str">
        <f aca="false">SUBSTITUTE(SUBSTITUTE(SUBSTITUTE(SUBSTITUTE(SUBSTITUTE(SUBSTITUTE(SUBSTITUTE(SUBSTITUTE(SUBSTITUTE(SUBSTITUTE(SUBSTITUTE(SUBSTITUTE(SUBSTITUTE(SUBSTITUTE(SUBSTITUTE(SUBSTITUTE(LOWER(AC305&amp;""),CHAR(10),""),CHAR(13),""),CHAR(9),""),CHAR(160),"")," ",""),".",""),"-",""),"/",""),"?",""),"_",""),",",""),"[",""),"]",""),"(",""),")",""),"*","")</f>
        <v/>
      </c>
      <c r="BA305" s="61" t="str">
        <f aca="false">SUBSTITUTE(SUBSTITUTE(SUBSTITUTE(SUBSTITUTE(SUBSTITUTE(SUBSTITUTE(SUBSTITUTE(SUBSTITUTE(SUBSTITUTE(SUBSTITUTE(SUBSTITUTE(SUBSTITUTE(SUBSTITUTE(SUBSTITUTE(SUBSTITUTE(SUBSTITUTE(LOWER(AA305&amp;""),CHAR(10),""),CHAR(13),""),CHAR(9),""),CHAR(160),"")," ",""),".",""),"-",""),"/",""),"?",""),"_",""),",",""),"[",""),"]",""),"(",""),")",""),"*","")</f>
        <v/>
      </c>
      <c r="BB305" s="61" t="str">
        <f aca="false">IF(AND(TRIM(U305)="Pass",ISNUMBER(AF305)),IF(AF305&lt;&gt;0,"INVALID – qty variance: use Fail or Pass after CA",""),"")&amp;IF(AND(TRIM(U305)="Pass after CA",ISNUMBER(AF305)),IF(AF305&lt;&gt;0,"INVALID – after the corrective action the actual qty must equal expected (update Actual)",""),"")&amp;IF(AND(TRIM(U305)="Pass",TRIM(AB305)&lt;&gt;"",TRIM(AB305)&lt;&gt;"Closed"),"INVALID – corrective action not closed: use Fail, then Pass after CA","")&amp;IF(AND(LEN(BA305)&gt;=2,ISNA(MATCH(LEFT(BA305,255),L_Placeholder,0)),TRIM(AB305)=""),"INVALID – CA status missing for the recorded corrective action","")&amp;IF(AND(TRIM(U305)="Pass after CA",OR(OR(LEN(BA305)&lt;5,ISNUMBER(MATCH(BA305,L_Placeholder,0))),TRIM(AB305)&lt;&gt;"Closed")),"INVALID – corrective action not recorded/closed","")</f>
        <v/>
      </c>
      <c r="BC305" s="61" t="str">
        <f aca="false">" "&amp;TRIM(SUBSTITUTE(SUBSTITUTE(SUBSTITUTE(SUBSTITUTE(SUBSTITUTE(SUBSTITUTE(SUBSTITUTE(SUBSTITUTE(SUBSTITUTE(SUBSTITUTE(SUBSTITUTE(SUBSTITUTE(SUBSTITUTE(SUBSTITUTE(SUBSTITUTE(SUBSTITUTE(SUBSTITUTE(SUBSTITUTE(SUBSTITUTE(SUBSTITUTE(SUBSTITUTE(SUBSTITUTE(SUBSTITUTE(SUBSTITUTE(LOWER(V305&amp;""),CHAR(10)," "),CHAR(13)," "),CHAR(9)," "),CHAR(160)," "),"."," "),","," "),"-"," "),"/"," "),"("," "),")"," "),":"," "),";"," "),"_"," "),"–"," "),"?"," "),"!"," "),"*"," "),"["," "),"]"," "),"'"," "),"#"," "),"+"," "),"&amp;"," "),"\"," "))&amp;" "</f>
        <v>  </v>
      </c>
      <c r="BD305" s="61" t="str">
        <f aca="false">" "&amp;TRIM(SUBSTITUTE(SUBSTITUTE(SUBSTITUTE(SUBSTITUTE(SUBSTITUTE(SUBSTITUTE(SUBSTITUTE(SUBSTITUTE(SUBSTITUTE(SUBSTITUTE(SUBSTITUTE(SUBSTITUTE(SUBSTITUTE(SUBSTITUTE(SUBSTITUTE(SUBSTITUTE(SUBSTITUTE(SUBSTITUTE(SUBSTITUTE(SUBSTITUTE(SUBSTITUTE(SUBSTITUTE(SUBSTITUTE(SUBSTITUTE(LOWER(Z305&amp;""),CHAR(10)," "),CHAR(13)," "),CHAR(9)," "),CHAR(160)," "),"."," "),","," "),"-"," "),"/"," "),"("," "),")"," "),":"," "),";"," "),"_"," "),"–"," "),"?"," "),"!"," "),"*"," "),"["," "),"]"," "),"'"," "),"#"," "),"+"," "),"&amp;"," "),"\"," "))&amp;" "</f>
        <v>  </v>
      </c>
      <c r="BE305" s="61" t="str">
        <f aca="false">" "&amp;TRIM(SUBSTITUTE(SUBSTITUTE(SUBSTITUTE(SUBSTITUTE(SUBSTITUTE(SUBSTITUTE(SUBSTITUTE(SUBSTITUTE(SUBSTITUTE(SUBSTITUTE(SUBSTITUTE(SUBSTITUTE(SUBSTITUTE(SUBSTITUTE(SUBSTITUTE(SUBSTITUTE(SUBSTITUTE(SUBSTITUTE(SUBSTITUTE(SUBSTITUTE(SUBSTITUTE(SUBSTITUTE(SUBSTITUTE(SUBSTITUTE(LOWER(W305&amp;""),CHAR(10)," "),CHAR(13)," "),CHAR(9)," "),CHAR(160)," "),"."," "),","," "),"-"," "),"/"," "),"("," "),")"," "),":"," "),";"," "),"_"," "),"–"," "),"?"," "),"!"," "),"*"," "),"["," "),"]"," "),"'"," "),"#"," "),"+"," "),"&amp;"," "),"\"," "))&amp;" "</f>
        <v>  </v>
      </c>
      <c r="BF305" s="61" t="str">
        <f aca="false">" "&amp;TRIM(SUBSTITUTE(SUBSTITUTE(SUBSTITUTE(SUBSTITUTE(SUBSTITUTE(SUBSTITUTE(SUBSTITUTE(SUBSTITUTE(SUBSTITUTE(SUBSTITUTE(SUBSTITUTE(SUBSTITUTE(SUBSTITUTE(SUBSTITUTE(SUBSTITUTE(SUBSTITUTE(SUBSTITUTE(SUBSTITUTE(SUBSTITUTE(SUBSTITUTE(SUBSTITUTE(SUBSTITUTE(SUBSTITUTE(SUBSTITUTE(LOWER(AC305&amp;""),CHAR(10)," "),CHAR(13)," "),CHAR(9)," "),CHAR(160)," "),"."," "),","," "),"-"," "),"/"," "),"("," "),")"," "),":"," "),";"," "),"_"," "),"–"," "),"?"," "),"!"," "),"*"," "),"["," "),"]"," "),"'"," "),"#"," "),"+"," "),"&amp;"," "),"\"," "))&amp;" "</f>
        <v>  </v>
      </c>
      <c r="BG305" s="61" t="n">
        <f aca="false">IFERROR(IF(AND(TRIM(U305)="Pass",SUMPRODUCT((LEN(BC305)-LEN(SUBSTITUTE(BC305," "&amp;L_ResultBad&amp;" "," ")))/(LEN(L_ResultBad)+1))&gt;SUMPRODUCT((LEN(BC305)-LEN(SUBSTITUTE(BC305," "&amp;L_NegPhrase&amp;" "," ")))/(LEN(L_NegPhrase)+1))),1,0),0)</f>
        <v>0</v>
      </c>
      <c r="BH305" s="61" t="n">
        <f aca="false">IFERROR(IF(SUMPRODUCT((LEN(BC305)-LEN(SUBSTITUTE(BC305," "&amp;L_Pending&amp;" "," ")))/(LEN(L_Pending)+1))&gt;SUMPRODUCT((LEN(BC305)-LEN(SUBSTITUTE(BC305," "&amp;L_PendNeg&amp;" "," ")))/(LEN(L_PendNeg)+1))+SUMPRODUCT((LEN(BC305)-LEN(SUBSTITUTE(BC305," "&amp;L_PendPrep&amp;" "," ")))/(LEN(L_PendPrep)+1)),1,0),1)</f>
        <v>0</v>
      </c>
      <c r="BI305" s="61" t="n">
        <f aca="false">IFERROR(IF(SUMPRODUCT((LEN(BD305)-LEN(SUBSTITUTE(BD305," "&amp;L_PendStrict&amp;" "," ")))/(LEN(L_PendStrict)+1))&gt;SUMPRODUCT((LEN(BD305)-LEN(SUBSTITUTE(BD305," "&amp;L_PendNeg&amp;" "," ")))/(LEN(L_PendNeg)+1)),1,0),1)</f>
        <v>0</v>
      </c>
      <c r="BJ305" s="61" t="n">
        <f aca="false">IFERROR(IF(SUMPRODUCT((LEN(BE305)-LEN(SUBSTITUTE(BE305," "&amp;L_Pending&amp;" "," ")))/(LEN(L_Pending)+1))&gt;SUMPRODUCT((LEN(BE305)-LEN(SUBSTITUTE(BE305," "&amp;L_PendNeg&amp;" "," ")))/(LEN(L_PendNeg)+1))+SUMPRODUCT((LEN(BE305)-LEN(SUBSTITUTE(BE305," "&amp;L_PendPrep&amp;" "," ")))/(LEN(L_PendPrep)+1)),1,0),1)</f>
        <v>0</v>
      </c>
      <c r="BK305" s="61" t="n">
        <f aca="false">IFERROR(IF(SUMPRODUCT((LEN(BF305)-LEN(SUBSTITUTE(BF305," "&amp;L_PendStrict&amp;" "," ")))/(LEN(L_PendStrict)+1))&gt;SUMPRODUCT((LEN(BF305)-LEN(SUBSTITUTE(BF305," "&amp;L_PendNeg&amp;" "," ")))/(LEN(L_PendNeg)+1)),1,0),1)</f>
        <v>0</v>
      </c>
      <c r="BL305" s="61" t="n">
        <f aca="false">IF(ISNA(MATCH(TRIM(S305),L_EvidenceType,0)),0,BZ305)</f>
        <v>0</v>
      </c>
      <c r="BM305" s="61" t="str">
        <f aca="false">SUBSTITUTE(SUBSTITUTE(SUBSTITUTE(SUBSTITUTE(SUBSTITUTE(SUBSTITUTE(SUBSTITUTE(SUBSTITUTE(SUBSTITUTE(LOWER(Z305&amp;""),"1","0"),"2","0"),"3","0"),"4","0"),"5","0"),"6","0"),"7","0"),"8","0"),"9","0")</f>
        <v/>
      </c>
      <c r="BN305" s="61" t="str">
        <f aca="false">SUBSTITUTE(SUBSTITUTE(SUBSTITUTE(SUBSTITUTE(SUBSTITUTE(SUBSTITUTE(SUBSTITUTE(SUBSTITUTE(SUBSTITUTE(SUBSTITUTE(SUBSTITUTE(SUBSTITUTE(SUBSTITUTE(SUBSTITUTE(SUBSTITUTE(SUBSTITUTE(SUBSTITUTE(SUBSTITUTE(SUBSTITUTE(SUBSTITUTE(SUBSTITUTE(SUBSTITUTE(SUBSTITUTE(SUBSTITUTE(SUBSTITUTE(BM305,"b","a"),"c","a"),"d","a"),"e","a"),"f","a"),"g","a"),"h","a"),"i","a"),"j","a"),"k","a"),"l","a"),"m","a"),"n","a"),"o","a"),"p","a"),"q","a"),"r","a"),"s","a"),"t","a"),"u","a"),"v","a"),"w","a"),"x","a"),"y","a"),"z","a")</f>
        <v/>
      </c>
      <c r="BO305" s="61" t="str">
        <f aca="false">SUBSTITUTE(SUBSTITUTE(SUBSTITUTE(SUBSTITUTE(SUBSTITUTE(SUBSTITUTE(SUBSTITUTE(SUBSTITUTE(SUBSTITUTE(LOWER(W305&amp;""),"1","0"),"2","0"),"3","0"),"4","0"),"5","0"),"6","0"),"7","0"),"8","0"),"9","0")</f>
        <v/>
      </c>
      <c r="BP305" s="61" t="str">
        <f aca="false">SUBSTITUTE(SUBSTITUTE(SUBSTITUTE(SUBSTITUTE(SUBSTITUTE(SUBSTITUTE(SUBSTITUTE(SUBSTITUTE(SUBSTITUTE(SUBSTITUTE(SUBSTITUTE(SUBSTITUTE(SUBSTITUTE(SUBSTITUTE(SUBSTITUTE(SUBSTITUTE(SUBSTITUTE(SUBSTITUTE(SUBSTITUTE(SUBSTITUTE(SUBSTITUTE(SUBSTITUTE(SUBSTITUTE(SUBSTITUTE(SUBSTITUTE(BO305,"b","a"),"c","a"),"d","a"),"e","a"),"f","a"),"g","a"),"h","a"),"i","a"),"j","a"),"k","a"),"l","a"),"m","a"),"n","a"),"o","a"),"p","a"),"q","a"),"r","a"),"s","a"),"t","a"),"u","a"),"v","a"),"w","a"),"x","a"),"y","a"),"z","a")</f>
        <v/>
      </c>
      <c r="BQ305" s="61" t="n">
        <f aca="false">IFERROR(IF(AND(ISERROR(SEARCH(" mh"," "&amp;LOWER(W305))),ISNA(MATCH(LEFT(TRIM(BP305),255),{"0000a","000a","00a","0000aa","000aa","00aa","0aa","0000aaa","000aaa","00a00","0a00","0000-0000","00:00","a00","a0","00.00.0000","00/00/0000","00-00-0000","0000-00-00","0000/00/00","0000.00.00","00.00.00","00/00/00","00-00-00","0.00.0000","0/00/0000","0-00-0000"},0)),ISNA(MATCH(LEFT(TRIM(CA305),255),{"0000a","000a","00a","0000aa","000aa","00aa","0aa","0000aaa","000aaa","00a00","0a00","0000-0000","00:00","a00","a0","00.00.0000","00/00/0000","00-00-0000","0000-00-00","0000/00/00","0000.00.00","00.00.00","00/00/00","00-00-00","0.00.0000","0/00/0000","0-00-0000"},0)),LEN(CB305)&gt;=3,NOT(OR(SUBSTITUTE(CB305,"0","")="",AND(LEN(CB305)&gt;=4,CB305=REPT(LEFT(CB305),LEN(CB305))),ISNUMBER(MATCH(CB305,{"123","1234","12345","123456","1234567","12345678","0123","01234","012345","98765","987654","54321"},0)),AND(LEN(CB305)=8,LEFT(CB305,3)="202"))),OR(AND((LEN(CA305)-LEN(SUBSTITUTE(CA305,"a","")))&gt;=1,SUMPRODUCT(--ISNUMBER(SEARCH({"a0","a-0","a_0","a/0","a.0","a#0","0a","0-a","0_a","0/a"},BP305)))&gt;0),ISNUMBER(SEARCH("000000",BP305)))),1,0),0)</f>
        <v>0</v>
      </c>
      <c r="BR305" s="61" t="n">
        <f aca="false">IFERROR(LEN(SUBSTITUTE(CC305," ",""))-SUMPRODUCT((LEN(CC305)-LEN(SUBSTITUTE(CC305," "&amp;L_Role&amp;" "," ")))/(LEN(L_Role)+1)*LEN(L_Role)),0)</f>
        <v>0</v>
      </c>
      <c r="BS305" s="61" t="n">
        <f aca="false">IFERROR(LEN(SUBSTITUTE(CD305," ",""))-SUMPRODUCT((LEN(CD305)-LEN(SUBSTITUTE(CD305," "&amp;L_Role&amp;" "," ")))/(LEN(L_Role)+1)*LEN(L_Role)),0)</f>
        <v>0</v>
      </c>
      <c r="BT3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305,"revision",""),"version",""),"jan",""),"feb",""),"mar",""),"apr",""),"may",""),"jun",""),"jul",""),"aug",""),"sep",""),"oct",""),"nov",""),"dec",""),"utc",""),"gmt",""),"myt",""),"bst",""),"rev",""),"ver",""),"b","a"),"c","a"),"d","a"),"e","a"),"f","a"),"g","a"),"h","a"),"i","a"),"j","a"),"k","a"),"l","a"),"m","a"),"n","a"),"o","a"),"p","a"),"q","a"),"r","a"),"s","a"),"t","a"),"u","a"),"v","a"),"w","a"),"x","a"),"y","a"),"z","a")</f>
        <v/>
      </c>
      <c r="BU305" s="61" t="str">
        <f aca="false">SUBSTITUTE(SUBSTITUTE(SUBSTITUTE(SUBSTITUTE(SUBSTITUTE(SUBSTITUTE(SUBSTITUTE(SUBSTITUTE(SUBSTITUTE(SUBSTITUTE(LEFT(BM305,FIND("0",BM305&amp;"0")-1),"-",""),"_",""),"/",""),".",""),"#",""),"\\",""),":","")," ",""),"(",""),")","")</f>
        <v/>
      </c>
      <c r="BV305" s="61" t="n">
        <f aca="false">0</f>
        <v>0</v>
      </c>
      <c r="BW3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305&amp;""),"a",""),"b",""),"c",""),"d",""),"e",""),"f",""),"g",""),"h",""),"i",""),"j",""),"k",""),"l",""),"m",""),"n",""),"o",""),"p",""),"q",""),"r",""),"s",""),"t",""),"u",""),"v",""),"w",""),"x",""),"y",""),"z",""),"-",""),"_",""),"/",""),".",""),"#",""),"\\",""),":","")," ",""),"(",""),")","")</f>
        <v/>
      </c>
      <c r="BX305" s="61" t="str">
        <f aca="false">SUBSTITUTE(SUBSTITUTE(SUBSTITUTE(SUBSTITUTE(SUBSTITUTE(SUBSTITUTE(SUBSTITUTE(SUBSTITUTE(SUBSTITUTE(SUBSTITUTE(SUBSTITUTE(BM305,"0",""),"-",""),"_",""),"/",""),".",""),"#",""),"\\",""),":","")," ",""),"(",""),")","")</f>
        <v/>
      </c>
      <c r="BY305" s="62" t="n">
        <f aca="false">Q305-T12EarlyH/24</f>
        <v>46305.2534722222</v>
      </c>
      <c r="BZ305" s="61" t="n">
        <f aca="false">IFERROR(IF(IF(TRIM(S305)="Link / file path",AND(LEN(TRIM(Z305))&gt;=5,SUMPRODUCT(--ISNUMBER(SEARCH({"http","www.","\\",":\",".pdf",".jpg",".jpeg",".png",".heic",".xls",".doc",".msg",".eml",".ppt",".txt",".zip"},Z305)))&gt;0),AND(ISERROR(FIND(" ",TRIM(Z305))),NOT(OR(SUMPRODUCT(--ISNUMBER(FIND({",",";","&amp;","+"},Z305)))&gt;0,SUMPRODUCT(--ISNUMBER(SEARCH({"0/aa","0\\aa"},BN305)))&gt;0)),NOT(SUMPRODUCT(--ISNUMBER(SEARCH({"http","www.","\\",":\",".pdf",".jpg",".jpeg",".png",".heic",".xls",".doc",".msg",".eml",".ppt",".txt",".zip"},Z305)))&gt;0),NOT(LOWER(TRIM(Z305))=LOWER(Flights!$F$13)),ISNA(MATCH(BU305,{"mh","rev","revision","ver","version","v","r","a","b","seat","tray","row","gate","bay","stand","page","pg","item","line","no","cart","galley","flight","flt","table","box","bag","oven","etd","eta","std","sta","atd","ata","qty","pax","x","time","tel","ph","mob","day","wk","week","utc","gmt","myt","lt"},0)),NOT(OR(ISNUMBER(MATCH(LEFT(BN305,255),{"0000a","000a","00a","0000aa","000aa","00aa","0aa","0000aaa","000aaa","00a00","0a00","0000-0000","00:00","a00","a0","00.00.0000","00/00/0000","00-00-0000","0000-00-00","0000/00/00","0000.00.00","00.00.00","00/00/00","00-00-00","0.00.0000","0/00/0000","0-00-0000"},0)),ISNUMBER(MATCH(LEFT(BT305,255),{"0000a","000a","00a","0000aa","000aa","00aa","0aa","0000aaa","000aaa","00a00","0a00","0000-0000","00:00","a00","a0","00.00.0000","00/00/0000","00-00-0000","0000-00-00","0000/00/00","0000.00.00","00.00.00","00/00/00","00-00-00","0.00.0000","0/00/0000","0-00-0000"},0)))),NOT(OR(AND(BW305&lt;&gt;"",SUBSTITUTE(BW305,"0","")=""),AND(LEN(BW305)&gt;=4,BW305=REPT(LEFT(BW305),LEN(BW305))),ISNUMBER(MATCH(BW305,{"123","1234","12345","123456","1234567","12345678","0123","01234","012345","98765","987654","54321"},0)),ISNUMBER(MATCH(BX305,{"x","xx","xxx","xxxx","xxxxx","abc","abcd","nil","na","nan","test","tbc","tba","tbd","dummy","sample","example","eg","zz","zzz","none","null","xyz","qwe","asd","id","ref"},0)),AND(LEN(BW305)=8,BX305="",OR(LEFT(BW305,3)="202",ISNUMBER(MATCH(RIGHT(BW305,4),{"2025","2026","2027"},0)))))),OR(AND((LEN(BT305)-LEN(SUBSTITUTE(BT305,"a","")))&gt;=1,(LEN(BN305)-LEN(SUBSTITUTE(BN305,"0","")))&gt;=2,SUMPRODUCT(--ISNUMBER(SEARCH({"a0","a-0","a_0","a/0","a.0","a#0","0a","0-a","0_a","0/a"},BN305)))&gt;0),AND((LEN(BN305)-LEN(SUBSTITUTE(BN305,"a","")))=0,(LEN(BN305)-LEN(SUBSTITUTE(BN305,"0","")))&gt;=5)))),1,0),0)</f>
        <v>0</v>
      </c>
      <c r="CA3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305,"revision",""),"version",""),"jan",""),"feb",""),"mar",""),"apr",""),"may",""),"jun",""),"jul",""),"aug",""),"sep",""),"oct",""),"nov",""),"dec",""),"utc",""),"gmt",""),"myt",""),"bst",""),"rev",""),"ver",""),"b","a"),"c","a"),"d","a"),"e","a"),"f","a"),"g","a"),"h","a"),"i","a"),"j","a"),"k","a"),"l","a"),"m","a"),"n","a"),"o","a"),"p","a"),"q","a"),"r","a"),"s","a"),"t","a"),"u","a"),"v","a"),"w","a"),"x","a"),"y","a"),"z","a")</f>
        <v/>
      </c>
      <c r="CB3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305&amp;""),"a",""),"b",""),"c",""),"d",""),"e",""),"f",""),"g",""),"h",""),"i",""),"j",""),"k",""),"l",""),"m",""),"n",""),"o",""),"p",""),"q",""),"r",""),"s",""),"t",""),"u",""),"v",""),"w",""),"x",""),"y",""),"z",""),"-",""),"_",""),"/",""),".",""),"#",""),"\\",""),":","")," ",""),"(",""),")","")</f>
        <v/>
      </c>
      <c r="CC305" s="0" t="str">
        <f aca="false">" "&amp;TRIM(SUBSTITUTE(SUBSTITUTE(SUBSTITUTE(SUBSTITUTE(SUBSTITUTE(SUBSTITUTE(SUBSTITUTE(SUBSTITUTE(SUBSTITUTE(SUBSTITUTE(SUBSTITUTE(SUBSTITUTE(SUBSTITUTE(SUBSTITUTE(SUBSTITUTE(SUBSTITUTE(SUBSTITUTE(SUBSTITUTE(SUBSTITUTE(SUBSTITUTE(SUBSTITUTE(SUBSTITUTE(SUBSTITUTE(SUBSTITUTE(LOWER(T305&amp;""),CHAR(10)," "),CHAR(13)," "),CHAR(9)," "),CHAR(160)," "),"."," "),","," "),"-"," "),"/"," "),"("," "),")"," "),":"," "),";"," "),"_"," "),"–"," "),"?"," "),"!"," "),"*"," "),"["," "),"]"," "),"'"," "),"#"," "),"+"," "),"&amp;"," "),"\"," "))&amp;" "</f>
        <v>  </v>
      </c>
      <c r="CD305" s="0" t="str">
        <f aca="false">" "&amp;TRIM(SUBSTITUTE(SUBSTITUTE(SUBSTITUTE(SUBSTITUTE(SUBSTITUTE(SUBSTITUTE(SUBSTITUTE(SUBSTITUTE(SUBSTITUTE(SUBSTITUTE(SUBSTITUTE(SUBSTITUTE(SUBSTITUTE(SUBSTITUTE(SUBSTITUTE(SUBSTITUTE(SUBSTITUTE(SUBSTITUTE(SUBSTITUTE(SUBSTITUTE(SUBSTITUTE(SUBSTITUTE(SUBSTITUTE(SUBSTITUTE(LOWER(AE305&amp;""),CHAR(10)," "),CHAR(13)," "),CHAR(9)," "),CHAR(160)," "),"."," "),","," "),"-"," "),"/"," "),"("," "),")"," "),":"," "),";"," "),"_"," "),"–"," "),"?"," "),"!"," "),"*"," "),"["," "),"]"," "),"'"," "),"#"," "),"+"," "),"&amp;"," "),"\"," "))&amp;" "</f>
        <v>  </v>
      </c>
      <c r="CE305" s="68" t="n">
        <f aca="false">IFERROR(IF(AND(LEN(AU305)&gt;0,LEN(AU305)=LEN(AX305),OR(TRIM(MID(SUBSTITUTE(TRIM(CC305)," ",REPT(" ",60)),1,60))="",ISNUMBER(SEARCH(" "&amp;TRIM(MID(SUBSTITUTE(TRIM(CC305)," ",REPT(" ",60)),1,60))&amp;" ",CD305))),OR(TRIM(MID(SUBSTITUTE(TRIM(CC305)," ",REPT(" ",60)),61,60))="",ISNUMBER(SEARCH(" "&amp;TRIM(MID(SUBSTITUTE(TRIM(CC305)," ",REPT(" ",60)),61,60))&amp;" ",CD305))),OR(TRIM(MID(SUBSTITUTE(TRIM(CC305)," ",REPT(" ",60)),121,60))="",ISNUMBER(SEARCH(" "&amp;TRIM(MID(SUBSTITUTE(TRIM(CC305)," ",REPT(" ",60)),121,60))&amp;" ",CD305)))),1,0),0)</f>
        <v>0</v>
      </c>
      <c r="CG305" s="68" t="n">
        <f aca="false">IFERROR(LEN(SUBSTITUTE(BF305," ",""))-SUMPRODUCT((LEN(BF305)-LEN(SUBSTITUTE(BF305," "&amp;L_NAFiller&amp;" "," ")))/(LEN(L_NAFiller)+1)*LEN(L_NAFiller)),0)</f>
        <v>0</v>
      </c>
    </row>
    <row r="306" customFormat="false" ht="54" hidden="false" customHeight="true" outlineLevel="0" collapsed="false">
      <c r="A306" s="57" t="s">
        <v>890</v>
      </c>
      <c r="B306" s="57" t="s">
        <v>246</v>
      </c>
      <c r="C306" s="57" t="str">
        <f aca="false">Flights!$F$13</f>
        <v>MH0753</v>
      </c>
      <c r="D306" s="58" t="n">
        <f aca="false">Flights!$D$13</f>
        <v>46306</v>
      </c>
      <c r="E306" s="57" t="str">
        <f aca="false">Flights!$G$13&amp;"-"&amp;Flights!$H$13</f>
        <v>HAN-KUL</v>
      </c>
      <c r="F306" s="57" t="str">
        <f aca="false">Flights!$K$13</f>
        <v>BC</v>
      </c>
      <c r="G306" s="57" t="s">
        <v>420</v>
      </c>
      <c r="H306" s="57" t="s">
        <v>378</v>
      </c>
      <c r="I306" s="57" t="s">
        <v>499</v>
      </c>
      <c r="J306" s="57" t="s">
        <v>518</v>
      </c>
      <c r="K306" s="67" t="s">
        <v>519</v>
      </c>
      <c r="L306" s="67" t="s">
        <v>891</v>
      </c>
      <c r="M306" s="67" t="s">
        <v>451</v>
      </c>
      <c r="N306" s="67" t="s">
        <v>383</v>
      </c>
      <c r="O306" s="67" t="s">
        <v>892</v>
      </c>
      <c r="P306" s="57" t="s">
        <v>240</v>
      </c>
      <c r="Q306" s="59" t="n">
        <f aca="false">ROUND((Flights!$AE$13)*1440,0)/1440</f>
        <v>46305.7534722222</v>
      </c>
      <c r="R306" s="59" t="n">
        <f aca="false">Q306+(IF(AND(INDEX(TZ_DSTS,MATCH(P306,TZ_STN,0))&lt;&gt;"",Q306&gt;=INDEX(TZ_DSTS,MATCH(P306,TZ_STN,0)),Q306&lt;INDEX(TZ_DSTE,MATCH(P306,TZ_STN,0))),INDEX(TZ_DST,MATCH(P306,TZ_STN,0)),INDEX(TZ_STD,MATCH(P306,TZ_STN,0))))/24</f>
        <v>46306.0451388889</v>
      </c>
      <c r="S306" s="60"/>
      <c r="T306" s="60"/>
      <c r="U306" s="60"/>
      <c r="V306" s="60"/>
      <c r="W306" s="61"/>
      <c r="X306" s="60"/>
      <c r="Y306" s="60"/>
      <c r="Z306" s="60"/>
      <c r="AA306" s="60"/>
      <c r="AB306" s="60"/>
      <c r="AC306" s="60"/>
      <c r="AD306" s="66"/>
      <c r="AE306" s="60"/>
      <c r="AF306" s="61" t="str">
        <f aca="false">IF(AND(ISNUMBER(X306),ISNUMBER(Y306)),Y306-X306,"")</f>
        <v/>
      </c>
      <c r="AG306" s="62" t="str">
        <f aca="false">IF(ISNUMBER(AD306),AD306-(IF(AND(INDEX(TZ_DSTS,MATCH(P306,TZ_STN,0))&lt;&gt;"",(AD306-INDEX(TZ_STD,MATCH(P306,TZ_STN,0))/24)&gt;=INDEX(TZ_DSTS,MATCH(P306,TZ_STN,0)),(AD306-INDEX(TZ_STD,MATCH(P306,TZ_STN,0))/24)&lt;INDEX(TZ_DSTE,MATCH(P306,TZ_STN,0))),INDEX(TZ_DST,MATCH(P306,TZ_STN,0)),INDEX(TZ_STD,MATCH(P306,TZ_STN,0))))/24,"")</f>
        <v/>
      </c>
      <c r="AH306" s="65" t="str">
        <f aca="false">IFERROR(IF(N306="N/A – rule",IF(OR(TRIM(U306)="",TRIM(U306)="N/A",TRIM(U306)="Not started"),"N/A – RULE","INVALID – this check does not apply to this aircraft: clear the status (or correct the fleet on Flights)"),IF(TRIM(U306)="N/A",IF(AT306=0,"INVALID – N/A not permitted for this check",IF(AND(TRIM(AB306)&lt;&gt;"",TRIM(AB306)&lt;&gt;"Closed"),"INVALID – corrective action still open",IF(AND(NOT(OR(LEN(AZ306)&lt;15,ISNUMBER(MATCH(AZ306,L_Placeholder,0)))),BK306=0,CG306&gt;=8,NOT(OR(LEN(AU306)&lt;2,ISNUMBER(MATCH(AU306,L_Placeholder,0)))),BR306&gt;=3,NOT(OR(LEN(AX306)&lt;2,ISNUMBER(MATCH(AX306,L_Placeholder,0)))),BS306&gt;=3,TRIM(AE306)&lt;&gt;TRIM(T306),AX306&lt;&gt;AU306,CE306=0),"N/A – JUSTIFIED","INVALID – N/A needs a real, settled reason (not 'not applicable' / 'as above' / TBC), a named PIC and a different named verifier"))),IF(OR(TRIM(U306)="Pass",TRIM(U306)="Pass after CA"),IF(NOT(ISNUMBER(AD306)),"INVALID – completion time missing",IF(OR(OR(LEN(AU306)&lt;2,ISNUMBER(MATCH(AU306,L_Placeholder,0))),BR306&lt;3),"INVALID – PIC missing or not a named person (a role such as QA / CSM is not a name)",IF(OR(LEN(AV306)&lt;2,ISNUMBER(MATCH(AV306,L_Placeholder,0))),"INVALID – result / assessment missing",IF(OR(OR(LEN(AW306)&lt;3,ISNUMBER(MATCH(AW306,L_Placeholder,0))),SUMPRODUCT(--ISNUMBER(SEARCH(" "&amp;L_EvidencePhrase&amp;" ",BD306)))&gt;0,BI306=1),"INVALID – evidence missing, placeholder or not yet on file",IF(ISNA(MATCH(TRIM(S306),L_EvidenceType,0)),"INVALID – choose the evidence type from the list (column S)",IF(BL306=0,"INVALID – evidence ID must be the record's own ID only (e.g. SF-2210, IMG_2231, 1045521); a link / file name needs type 'Link / file path'",IF(OR(OR(LEN(AX306)&lt;2,ISNUMBER(MATCH(AX306,L_Placeholder,0))),BS306&lt;3),"INVALID – verifier missing or not a named person (a role such as QA / CSM is not a name)",IF(OR(AX306=AU306,CE306=1,AND(LEN(AU306)&gt;=4,ISNUMBER(SEARCH(AU306,AX306))),AND(LEN(AX306)&gt;=4,ISNUMBER(SEARCH(AX306,AU306)))),"INVALID – verifier must be a different, named person (not the PIC or a role)",IF(BH306=1,"INVALID – result not yet available (awaiting / TBC)",IF(BG306=1,"INVALID – result describes a problem: record Fail, then Pass after CA (or reword if it is not a problem)",IF(BV306=1,"INVALID – wording says not on board: an on-board confirmation needs the item loaded",IF(AND(AQ306=1,OR(OR(LEN(AY306)&lt;3,ISNUMBER(MATCH(AY306,L_Placeholder,0))),BJ306=1,BQ306=0)),"INVALID – batch ID missing, placeholder or not an ID (e.g. PASB-261008-BC-017)",IF(AND(AR306=1,OR(NOT(ISNUMBER(X306)),NOT(ISNUMBER(Y306)))),"INVALID – expected/actual qty missing",IF(AND(AR306=1,OR(X306&lt;=0,Y306&lt;0)),"INVALID – expected qty must be above 0 and actual not negative",IF(BB306&lt;&gt;"",BB306,IF(AND(AS306=1,Documents!$J$13&lt;&gt;"ON FILE"),"INVALID – GLD not on file (Documents sheet)",IF(AND(AS306=2,Documents!$O$13&lt;&gt;"ON FILE"),"INVALID – menu checklist not on file (Documents sheet)",IF(AND(AS306=3,NOT(ISNUMBER(Flights!$AX$13))),"INVALID – enter carrying flight KUL departure (Flights AX)",IF(AND(AS306=3,OR(Flights!$AZ$13&gt;Flights!$AA$13,Flights!$AX$13&lt;Flights!$AA$13-3)),"INVALID – carrying flight (Flights AX) cannot arrive before this leg's STD, or is over 3 days early",IF(AG306&gt;AsOfUTC,"INVALID – completion time is in the future",IF(AND(ISNUMBER(BY306),AG306&lt;BY306),IF(H306="Physical uplift","INVALID – before uplift window (cannot confirm loading)","INVALID – before valid window"),IF(AG306&gt;Flights!$AA$13,"INVALID – completed after departure (cannot establish readiness)",IF(AND(H306="Preparation",AG306&gt;=IF(ISNUMBER(Flights!$BA$13),MIN(Flights!$BA$13,Flights!$AA$13),Flights!$AA$13)),"INVALID – completed after loading / departure (cannot establish readiness)",IF(AND(H306="Physical uplift",AG306&gt;Q306),"INVALID – recorded after the loading flight departed",IF(AG306&gt;Q306,"COMPLETE – LATE","COMPLETE"))))))))))))))))))))))))),IF(TRIM(U306)="Fail","FAIL – DISCREPANCY",IF(AND(TRIM(U306)&lt;&gt;"",TRIM(U306)&lt;&gt;"Not started",TRIM(U306)&lt;&gt;"In progress"),"INVALID – unrecognised status (use the list)",IF(AsOfUTC&gt;Q306,"OVERDUE",IF(N306="Clarification required","OPEN – CLARIFICATION","OPEN"))))))),"INVALID – error value in an input cell")</f>
        <v>OPEN</v>
      </c>
      <c r="AI306" s="61" t="n">
        <f aca="false">IF(OR(AH306="N/A – RULE",AH306="N/A – JUSTIFIED"),0,1)</f>
        <v>1</v>
      </c>
      <c r="AJ306" s="61" t="n">
        <f aca="false">IF(LEFT(AH306,8)="COMPLETE",1,0)</f>
        <v>0</v>
      </c>
      <c r="AK306" s="61" t="n">
        <f aca="false">IF(AND(AI306=1,AJ306=0,AsOfUTC&gt;Q306),1,0)</f>
        <v>0</v>
      </c>
      <c r="AL306" s="61" t="n">
        <f aca="false">IFERROR(IF(AND(AI306=1,OR(TRIM(U306)="Fail",AND(TRIM(AB306)&lt;&gt;"",TRIM(AB306)&lt;&gt;"Closed"),AND(ISNUMBER(AF306),AF306&lt;&gt;0,TRIM(U306)&lt;&gt;"Pass after CA"))),1,0),1)</f>
        <v>0</v>
      </c>
      <c r="AM306" s="61" t="n">
        <f aca="false">IF(LEFT(AH306,7)="INVALID",1,0)</f>
        <v>0</v>
      </c>
      <c r="AN306" s="61" t="n">
        <f aca="false">IF(AND(N306="Clarification required",AI306=1,AJ306=0),1,0)</f>
        <v>0</v>
      </c>
      <c r="AO306" s="61" t="str">
        <f aca="false">IF(AK306=1,SUM(AK$5:AK306),"")</f>
        <v/>
      </c>
      <c r="AP306" s="61" t="str">
        <f aca="false">IF(AL306=1,SUM(AL$5:AL306),"")</f>
        <v/>
      </c>
      <c r="AQ306" s="61" t="n">
        <v>0</v>
      </c>
      <c r="AR306" s="61" t="n">
        <v>0</v>
      </c>
      <c r="AS306" s="61" t="n">
        <v>0</v>
      </c>
      <c r="AT306" s="61" t="n">
        <v>0</v>
      </c>
      <c r="AU306" s="61" t="str">
        <f aca="false">SUBSTITUTE(SUBSTITUTE(SUBSTITUTE(SUBSTITUTE(SUBSTITUTE(SUBSTITUTE(SUBSTITUTE(SUBSTITUTE(SUBSTITUTE(SUBSTITUTE(SUBSTITUTE(SUBSTITUTE(SUBSTITUTE(SUBSTITUTE(SUBSTITUTE(SUBSTITUTE(LOWER(T306&amp;""),CHAR(10),""),CHAR(13),""),CHAR(9),""),CHAR(160),"")," ",""),".",""),"-",""),"/",""),"?",""),"_",""),",",""),"[",""),"]",""),"(",""),")",""),"*","")</f>
        <v/>
      </c>
      <c r="AV306" s="61" t="str">
        <f aca="false">SUBSTITUTE(SUBSTITUTE(SUBSTITUTE(SUBSTITUTE(SUBSTITUTE(SUBSTITUTE(SUBSTITUTE(SUBSTITUTE(SUBSTITUTE(SUBSTITUTE(SUBSTITUTE(SUBSTITUTE(SUBSTITUTE(SUBSTITUTE(SUBSTITUTE(SUBSTITUTE(LOWER(V306&amp;""),CHAR(10),""),CHAR(13),""),CHAR(9),""),CHAR(160),"")," ",""),".",""),"-",""),"/",""),"?",""),"_",""),",",""),"[",""),"]",""),"(",""),")",""),"*","")</f>
        <v/>
      </c>
      <c r="AW306" s="61" t="str">
        <f aca="false">SUBSTITUTE(SUBSTITUTE(SUBSTITUTE(SUBSTITUTE(SUBSTITUTE(SUBSTITUTE(SUBSTITUTE(SUBSTITUTE(SUBSTITUTE(SUBSTITUTE(SUBSTITUTE(SUBSTITUTE(SUBSTITUTE(SUBSTITUTE(SUBSTITUTE(SUBSTITUTE(LOWER(Z306&amp;""),CHAR(10),""),CHAR(13),""),CHAR(9),""),CHAR(160),"")," ",""),".",""),"-",""),"/",""),"?",""),"_",""),",",""),"[",""),"]",""),"(",""),")",""),"*","")</f>
        <v/>
      </c>
      <c r="AX306" s="61" t="str">
        <f aca="false">SUBSTITUTE(SUBSTITUTE(SUBSTITUTE(SUBSTITUTE(SUBSTITUTE(SUBSTITUTE(SUBSTITUTE(SUBSTITUTE(SUBSTITUTE(SUBSTITUTE(SUBSTITUTE(SUBSTITUTE(SUBSTITUTE(SUBSTITUTE(SUBSTITUTE(SUBSTITUTE(LOWER(AE306&amp;""),CHAR(10),""),CHAR(13),""),CHAR(9),""),CHAR(160),"")," ",""),".",""),"-",""),"/",""),"?",""),"_",""),",",""),"[",""),"]",""),"(",""),")",""),"*","")</f>
        <v/>
      </c>
      <c r="AY306" s="61" t="str">
        <f aca="false">SUBSTITUTE(SUBSTITUTE(SUBSTITUTE(SUBSTITUTE(SUBSTITUTE(SUBSTITUTE(SUBSTITUTE(SUBSTITUTE(SUBSTITUTE(SUBSTITUTE(SUBSTITUTE(SUBSTITUTE(SUBSTITUTE(SUBSTITUTE(SUBSTITUTE(SUBSTITUTE(LOWER(W306&amp;""),CHAR(10),""),CHAR(13),""),CHAR(9),""),CHAR(160),"")," ",""),".",""),"-",""),"/",""),"?",""),"_",""),",",""),"[",""),"]",""),"(",""),")",""),"*","")</f>
        <v/>
      </c>
      <c r="AZ306" s="61" t="str">
        <f aca="false">SUBSTITUTE(SUBSTITUTE(SUBSTITUTE(SUBSTITUTE(SUBSTITUTE(SUBSTITUTE(SUBSTITUTE(SUBSTITUTE(SUBSTITUTE(SUBSTITUTE(SUBSTITUTE(SUBSTITUTE(SUBSTITUTE(SUBSTITUTE(SUBSTITUTE(SUBSTITUTE(LOWER(AC306&amp;""),CHAR(10),""),CHAR(13),""),CHAR(9),""),CHAR(160),"")," ",""),".",""),"-",""),"/",""),"?",""),"_",""),",",""),"[",""),"]",""),"(",""),")",""),"*","")</f>
        <v/>
      </c>
      <c r="BA306" s="61" t="str">
        <f aca="false">SUBSTITUTE(SUBSTITUTE(SUBSTITUTE(SUBSTITUTE(SUBSTITUTE(SUBSTITUTE(SUBSTITUTE(SUBSTITUTE(SUBSTITUTE(SUBSTITUTE(SUBSTITUTE(SUBSTITUTE(SUBSTITUTE(SUBSTITUTE(SUBSTITUTE(SUBSTITUTE(LOWER(AA306&amp;""),CHAR(10),""),CHAR(13),""),CHAR(9),""),CHAR(160),"")," ",""),".",""),"-",""),"/",""),"?",""),"_",""),",",""),"[",""),"]",""),"(",""),")",""),"*","")</f>
        <v/>
      </c>
      <c r="BB306" s="61" t="str">
        <f aca="false">IF(AND(TRIM(U306)="Pass",ISNUMBER(AF306)),IF(AF306&lt;&gt;0,"INVALID – qty variance: use Fail or Pass after CA",""),"")&amp;IF(AND(TRIM(U306)="Pass after CA",ISNUMBER(AF306)),IF(AF306&lt;&gt;0,"INVALID – after the corrective action the actual qty must equal expected (update Actual)",""),"")&amp;IF(AND(TRIM(U306)="Pass",TRIM(AB306)&lt;&gt;"",TRIM(AB306)&lt;&gt;"Closed"),"INVALID – corrective action not closed: use Fail, then Pass after CA","")&amp;IF(AND(LEN(BA306)&gt;=2,ISNA(MATCH(LEFT(BA306,255),L_Placeholder,0)),TRIM(AB306)=""),"INVALID – CA status missing for the recorded corrective action","")&amp;IF(AND(TRIM(U306)="Pass after CA",OR(OR(LEN(BA306)&lt;5,ISNUMBER(MATCH(BA306,L_Placeholder,0))),TRIM(AB306)&lt;&gt;"Closed")),"INVALID – corrective action not recorded/closed","")</f>
        <v/>
      </c>
      <c r="BC306" s="61" t="str">
        <f aca="false">" "&amp;TRIM(SUBSTITUTE(SUBSTITUTE(SUBSTITUTE(SUBSTITUTE(SUBSTITUTE(SUBSTITUTE(SUBSTITUTE(SUBSTITUTE(SUBSTITUTE(SUBSTITUTE(SUBSTITUTE(SUBSTITUTE(SUBSTITUTE(SUBSTITUTE(SUBSTITUTE(SUBSTITUTE(SUBSTITUTE(SUBSTITUTE(SUBSTITUTE(SUBSTITUTE(SUBSTITUTE(SUBSTITUTE(SUBSTITUTE(SUBSTITUTE(LOWER(V306&amp;""),CHAR(10)," "),CHAR(13)," "),CHAR(9)," "),CHAR(160)," "),"."," "),","," "),"-"," "),"/"," "),"("," "),")"," "),":"," "),";"," "),"_"," "),"–"," "),"?"," "),"!"," "),"*"," "),"["," "),"]"," "),"'"," "),"#"," "),"+"," "),"&amp;"," "),"\"," "))&amp;" "</f>
        <v>  </v>
      </c>
      <c r="BD306" s="61" t="str">
        <f aca="false">" "&amp;TRIM(SUBSTITUTE(SUBSTITUTE(SUBSTITUTE(SUBSTITUTE(SUBSTITUTE(SUBSTITUTE(SUBSTITUTE(SUBSTITUTE(SUBSTITUTE(SUBSTITUTE(SUBSTITUTE(SUBSTITUTE(SUBSTITUTE(SUBSTITUTE(SUBSTITUTE(SUBSTITUTE(SUBSTITUTE(SUBSTITUTE(SUBSTITUTE(SUBSTITUTE(SUBSTITUTE(SUBSTITUTE(SUBSTITUTE(SUBSTITUTE(LOWER(Z306&amp;""),CHAR(10)," "),CHAR(13)," "),CHAR(9)," "),CHAR(160)," "),"."," "),","," "),"-"," "),"/"," "),"("," "),")"," "),":"," "),";"," "),"_"," "),"–"," "),"?"," "),"!"," "),"*"," "),"["," "),"]"," "),"'"," "),"#"," "),"+"," "),"&amp;"," "),"\"," "))&amp;" "</f>
        <v>  </v>
      </c>
      <c r="BE306" s="61" t="str">
        <f aca="false">" "&amp;TRIM(SUBSTITUTE(SUBSTITUTE(SUBSTITUTE(SUBSTITUTE(SUBSTITUTE(SUBSTITUTE(SUBSTITUTE(SUBSTITUTE(SUBSTITUTE(SUBSTITUTE(SUBSTITUTE(SUBSTITUTE(SUBSTITUTE(SUBSTITUTE(SUBSTITUTE(SUBSTITUTE(SUBSTITUTE(SUBSTITUTE(SUBSTITUTE(SUBSTITUTE(SUBSTITUTE(SUBSTITUTE(SUBSTITUTE(SUBSTITUTE(LOWER(W306&amp;""),CHAR(10)," "),CHAR(13)," "),CHAR(9)," "),CHAR(160)," "),"."," "),","," "),"-"," "),"/"," "),"("," "),")"," "),":"," "),";"," "),"_"," "),"–"," "),"?"," "),"!"," "),"*"," "),"["," "),"]"," "),"'"," "),"#"," "),"+"," "),"&amp;"," "),"\"," "))&amp;" "</f>
        <v>  </v>
      </c>
      <c r="BF306" s="61" t="str">
        <f aca="false">" "&amp;TRIM(SUBSTITUTE(SUBSTITUTE(SUBSTITUTE(SUBSTITUTE(SUBSTITUTE(SUBSTITUTE(SUBSTITUTE(SUBSTITUTE(SUBSTITUTE(SUBSTITUTE(SUBSTITUTE(SUBSTITUTE(SUBSTITUTE(SUBSTITUTE(SUBSTITUTE(SUBSTITUTE(SUBSTITUTE(SUBSTITUTE(SUBSTITUTE(SUBSTITUTE(SUBSTITUTE(SUBSTITUTE(SUBSTITUTE(SUBSTITUTE(LOWER(AC306&amp;""),CHAR(10)," "),CHAR(13)," "),CHAR(9)," "),CHAR(160)," "),"."," "),","," "),"-"," "),"/"," "),"("," "),")"," "),":"," "),";"," "),"_"," "),"–"," "),"?"," "),"!"," "),"*"," "),"["," "),"]"," "),"'"," "),"#"," "),"+"," "),"&amp;"," "),"\"," "))&amp;" "</f>
        <v>  </v>
      </c>
      <c r="BG306" s="61" t="n">
        <f aca="false">IFERROR(IF(AND(TRIM(U306)="Pass",SUMPRODUCT((LEN(BC306)-LEN(SUBSTITUTE(BC306," "&amp;L_ResultBad&amp;" "," ")))/(LEN(L_ResultBad)+1))&gt;SUMPRODUCT((LEN(BC306)-LEN(SUBSTITUTE(BC306," "&amp;L_NegPhrase&amp;" "," ")))/(LEN(L_NegPhrase)+1))),1,0),0)</f>
        <v>0</v>
      </c>
      <c r="BH306" s="61" t="n">
        <f aca="false">IFERROR(IF(SUMPRODUCT((LEN(BC306)-LEN(SUBSTITUTE(BC306," "&amp;L_Pending&amp;" "," ")))/(LEN(L_Pending)+1))&gt;SUMPRODUCT((LEN(BC306)-LEN(SUBSTITUTE(BC306," "&amp;L_PendNeg&amp;" "," ")))/(LEN(L_PendNeg)+1))+SUMPRODUCT((LEN(BC306)-LEN(SUBSTITUTE(BC306," "&amp;L_PendPrep&amp;" "," ")))/(LEN(L_PendPrep)+1)),1,0),1)</f>
        <v>0</v>
      </c>
      <c r="BI306" s="61" t="n">
        <f aca="false">IFERROR(IF(SUMPRODUCT((LEN(BD306)-LEN(SUBSTITUTE(BD306," "&amp;L_PendStrict&amp;" "," ")))/(LEN(L_PendStrict)+1))&gt;SUMPRODUCT((LEN(BD306)-LEN(SUBSTITUTE(BD306," "&amp;L_PendNeg&amp;" "," ")))/(LEN(L_PendNeg)+1)),1,0),1)</f>
        <v>0</v>
      </c>
      <c r="BJ306" s="61" t="n">
        <f aca="false">IFERROR(IF(SUMPRODUCT((LEN(BE306)-LEN(SUBSTITUTE(BE306," "&amp;L_Pending&amp;" "," ")))/(LEN(L_Pending)+1))&gt;SUMPRODUCT((LEN(BE306)-LEN(SUBSTITUTE(BE306," "&amp;L_PendNeg&amp;" "," ")))/(LEN(L_PendNeg)+1))+SUMPRODUCT((LEN(BE306)-LEN(SUBSTITUTE(BE306," "&amp;L_PendPrep&amp;" "," ")))/(LEN(L_PendPrep)+1)),1,0),1)</f>
        <v>0</v>
      </c>
      <c r="BK306" s="61" t="n">
        <f aca="false">IFERROR(IF(SUMPRODUCT((LEN(BF306)-LEN(SUBSTITUTE(BF306," "&amp;L_PendStrict&amp;" "," ")))/(LEN(L_PendStrict)+1))&gt;SUMPRODUCT((LEN(BF306)-LEN(SUBSTITUTE(BF306," "&amp;L_PendNeg&amp;" "," ")))/(LEN(L_PendNeg)+1)),1,0),1)</f>
        <v>0</v>
      </c>
      <c r="BL306" s="61" t="n">
        <f aca="false">IF(ISNA(MATCH(TRIM(S306),L_EvidenceType,0)),0,BZ306)</f>
        <v>0</v>
      </c>
      <c r="BM306" s="61" t="str">
        <f aca="false">SUBSTITUTE(SUBSTITUTE(SUBSTITUTE(SUBSTITUTE(SUBSTITUTE(SUBSTITUTE(SUBSTITUTE(SUBSTITUTE(SUBSTITUTE(LOWER(Z306&amp;""),"1","0"),"2","0"),"3","0"),"4","0"),"5","0"),"6","0"),"7","0"),"8","0"),"9","0")</f>
        <v/>
      </c>
      <c r="BN306" s="61" t="str">
        <f aca="false">SUBSTITUTE(SUBSTITUTE(SUBSTITUTE(SUBSTITUTE(SUBSTITUTE(SUBSTITUTE(SUBSTITUTE(SUBSTITUTE(SUBSTITUTE(SUBSTITUTE(SUBSTITUTE(SUBSTITUTE(SUBSTITUTE(SUBSTITUTE(SUBSTITUTE(SUBSTITUTE(SUBSTITUTE(SUBSTITUTE(SUBSTITUTE(SUBSTITUTE(SUBSTITUTE(SUBSTITUTE(SUBSTITUTE(SUBSTITUTE(SUBSTITUTE(BM306,"b","a"),"c","a"),"d","a"),"e","a"),"f","a"),"g","a"),"h","a"),"i","a"),"j","a"),"k","a"),"l","a"),"m","a"),"n","a"),"o","a"),"p","a"),"q","a"),"r","a"),"s","a"),"t","a"),"u","a"),"v","a"),"w","a"),"x","a"),"y","a"),"z","a")</f>
        <v/>
      </c>
      <c r="BO306" s="61" t="str">
        <f aca="false">SUBSTITUTE(SUBSTITUTE(SUBSTITUTE(SUBSTITUTE(SUBSTITUTE(SUBSTITUTE(SUBSTITUTE(SUBSTITUTE(SUBSTITUTE(LOWER(W306&amp;""),"1","0"),"2","0"),"3","0"),"4","0"),"5","0"),"6","0"),"7","0"),"8","0"),"9","0")</f>
        <v/>
      </c>
      <c r="BP306" s="61" t="str">
        <f aca="false">SUBSTITUTE(SUBSTITUTE(SUBSTITUTE(SUBSTITUTE(SUBSTITUTE(SUBSTITUTE(SUBSTITUTE(SUBSTITUTE(SUBSTITUTE(SUBSTITUTE(SUBSTITUTE(SUBSTITUTE(SUBSTITUTE(SUBSTITUTE(SUBSTITUTE(SUBSTITUTE(SUBSTITUTE(SUBSTITUTE(SUBSTITUTE(SUBSTITUTE(SUBSTITUTE(SUBSTITUTE(SUBSTITUTE(SUBSTITUTE(SUBSTITUTE(BO306,"b","a"),"c","a"),"d","a"),"e","a"),"f","a"),"g","a"),"h","a"),"i","a"),"j","a"),"k","a"),"l","a"),"m","a"),"n","a"),"o","a"),"p","a"),"q","a"),"r","a"),"s","a"),"t","a"),"u","a"),"v","a"),"w","a"),"x","a"),"y","a"),"z","a")</f>
        <v/>
      </c>
      <c r="BQ306" s="61" t="n">
        <f aca="false">IFERROR(IF(AND(ISERROR(SEARCH(" mh"," "&amp;LOWER(W306))),ISNA(MATCH(LEFT(TRIM(BP306),255),{"0000a","000a","00a","0000aa","000aa","00aa","0aa","0000aaa","000aaa","00a00","0a00","0000-0000","00:00","a00","a0","00.00.0000","00/00/0000","00-00-0000","0000-00-00","0000/00/00","0000.00.00","00.00.00","00/00/00","00-00-00","0.00.0000","0/00/0000","0-00-0000"},0)),ISNA(MATCH(LEFT(TRIM(CA306),255),{"0000a","000a","00a","0000aa","000aa","00aa","0aa","0000aaa","000aaa","00a00","0a00","0000-0000","00:00","a00","a0","00.00.0000","00/00/0000","00-00-0000","0000-00-00","0000/00/00","0000.00.00","00.00.00","00/00/00","00-00-00","0.00.0000","0/00/0000","0-00-0000"},0)),LEN(CB306)&gt;=3,NOT(OR(SUBSTITUTE(CB306,"0","")="",AND(LEN(CB306)&gt;=4,CB306=REPT(LEFT(CB306),LEN(CB306))),ISNUMBER(MATCH(CB306,{"123","1234","12345","123456","1234567","12345678","0123","01234","012345","98765","987654","54321"},0)),AND(LEN(CB306)=8,LEFT(CB306,3)="202"))),OR(AND((LEN(CA306)-LEN(SUBSTITUTE(CA306,"a","")))&gt;=1,SUMPRODUCT(--ISNUMBER(SEARCH({"a0","a-0","a_0","a/0","a.0","a#0","0a","0-a","0_a","0/a"},BP306)))&gt;0),ISNUMBER(SEARCH("000000",BP306)))),1,0),0)</f>
        <v>0</v>
      </c>
      <c r="BR306" s="61" t="n">
        <f aca="false">IFERROR(LEN(SUBSTITUTE(CC306," ",""))-SUMPRODUCT((LEN(CC306)-LEN(SUBSTITUTE(CC306," "&amp;L_Role&amp;" "," ")))/(LEN(L_Role)+1)*LEN(L_Role)),0)</f>
        <v>0</v>
      </c>
      <c r="BS306" s="61" t="n">
        <f aca="false">IFERROR(LEN(SUBSTITUTE(CD306," ",""))-SUMPRODUCT((LEN(CD306)-LEN(SUBSTITUTE(CD306," "&amp;L_Role&amp;" "," ")))/(LEN(L_Role)+1)*LEN(L_Role)),0)</f>
        <v>0</v>
      </c>
      <c r="BT3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306,"revision",""),"version",""),"jan",""),"feb",""),"mar",""),"apr",""),"may",""),"jun",""),"jul",""),"aug",""),"sep",""),"oct",""),"nov",""),"dec",""),"utc",""),"gmt",""),"myt",""),"bst",""),"rev",""),"ver",""),"b","a"),"c","a"),"d","a"),"e","a"),"f","a"),"g","a"),"h","a"),"i","a"),"j","a"),"k","a"),"l","a"),"m","a"),"n","a"),"o","a"),"p","a"),"q","a"),"r","a"),"s","a"),"t","a"),"u","a"),"v","a"),"w","a"),"x","a"),"y","a"),"z","a")</f>
        <v/>
      </c>
      <c r="BU306" s="61" t="str">
        <f aca="false">SUBSTITUTE(SUBSTITUTE(SUBSTITUTE(SUBSTITUTE(SUBSTITUTE(SUBSTITUTE(SUBSTITUTE(SUBSTITUTE(SUBSTITUTE(SUBSTITUTE(LEFT(BM306,FIND("0",BM306&amp;"0")-1),"-",""),"_",""),"/",""),".",""),"#",""),"\\",""),":","")," ",""),"(",""),")","")</f>
        <v/>
      </c>
      <c r="BV306" s="61" t="n">
        <f aca="false">0</f>
        <v>0</v>
      </c>
      <c r="BW3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306&amp;""),"a",""),"b",""),"c",""),"d",""),"e",""),"f",""),"g",""),"h",""),"i",""),"j",""),"k",""),"l",""),"m",""),"n",""),"o",""),"p",""),"q",""),"r",""),"s",""),"t",""),"u",""),"v",""),"w",""),"x",""),"y",""),"z",""),"-",""),"_",""),"/",""),".",""),"#",""),"\\",""),":","")," ",""),"(",""),")","")</f>
        <v/>
      </c>
      <c r="BX306" s="61" t="str">
        <f aca="false">SUBSTITUTE(SUBSTITUTE(SUBSTITUTE(SUBSTITUTE(SUBSTITUTE(SUBSTITUTE(SUBSTITUTE(SUBSTITUTE(SUBSTITUTE(SUBSTITUTE(SUBSTITUTE(BM306,"0",""),"-",""),"_",""),"/",""),".",""),"#",""),"\\",""),":","")," ",""),"(",""),")","")</f>
        <v/>
      </c>
      <c r="BY306" s="62" t="n">
        <f aca="false">Q306-T12EarlyH/24</f>
        <v>46305.2534722222</v>
      </c>
      <c r="BZ306" s="61" t="n">
        <f aca="false">IFERROR(IF(IF(TRIM(S306)="Link / file path",AND(LEN(TRIM(Z306))&gt;=5,SUMPRODUCT(--ISNUMBER(SEARCH({"http","www.","\\",":\",".pdf",".jpg",".jpeg",".png",".heic",".xls",".doc",".msg",".eml",".ppt",".txt",".zip"},Z306)))&gt;0),AND(ISERROR(FIND(" ",TRIM(Z306))),NOT(OR(SUMPRODUCT(--ISNUMBER(FIND({",",";","&amp;","+"},Z306)))&gt;0,SUMPRODUCT(--ISNUMBER(SEARCH({"0/aa","0\\aa"},BN306)))&gt;0)),NOT(SUMPRODUCT(--ISNUMBER(SEARCH({"http","www.","\\",":\",".pdf",".jpg",".jpeg",".png",".heic",".xls",".doc",".msg",".eml",".ppt",".txt",".zip"},Z306)))&gt;0),NOT(LOWER(TRIM(Z306))=LOWER(Flights!$F$13)),ISNA(MATCH(BU306,{"mh","rev","revision","ver","version","v","r","a","b","seat","tray","row","gate","bay","stand","page","pg","item","line","no","cart","galley","flight","flt","table","box","bag","oven","etd","eta","std","sta","atd","ata","qty","pax","x","time","tel","ph","mob","day","wk","week","utc","gmt","myt","lt"},0)),NOT(OR(ISNUMBER(MATCH(LEFT(BN306,255),{"0000a","000a","00a","0000aa","000aa","00aa","0aa","0000aaa","000aaa","00a00","0a00","0000-0000","00:00","a00","a0","00.00.0000","00/00/0000","00-00-0000","0000-00-00","0000/00/00","0000.00.00","00.00.00","00/00/00","00-00-00","0.00.0000","0/00/0000","0-00-0000"},0)),ISNUMBER(MATCH(LEFT(BT306,255),{"0000a","000a","00a","0000aa","000aa","00aa","0aa","0000aaa","000aaa","00a00","0a00","0000-0000","00:00","a00","a0","00.00.0000","00/00/0000","00-00-0000","0000-00-00","0000/00/00","0000.00.00","00.00.00","00/00/00","00-00-00","0.00.0000","0/00/0000","0-00-0000"},0)))),NOT(OR(AND(BW306&lt;&gt;"",SUBSTITUTE(BW306,"0","")=""),AND(LEN(BW306)&gt;=4,BW306=REPT(LEFT(BW306),LEN(BW306))),ISNUMBER(MATCH(BW306,{"123","1234","12345","123456","1234567","12345678","0123","01234","012345","98765","987654","54321"},0)),ISNUMBER(MATCH(BX306,{"x","xx","xxx","xxxx","xxxxx","abc","abcd","nil","na","nan","test","tbc","tba","tbd","dummy","sample","example","eg","zz","zzz","none","null","xyz","qwe","asd","id","ref"},0)),AND(LEN(BW306)=8,BX306="",OR(LEFT(BW306,3)="202",ISNUMBER(MATCH(RIGHT(BW306,4),{"2025","2026","2027"},0)))))),OR(AND((LEN(BT306)-LEN(SUBSTITUTE(BT306,"a","")))&gt;=1,(LEN(BN306)-LEN(SUBSTITUTE(BN306,"0","")))&gt;=2,SUMPRODUCT(--ISNUMBER(SEARCH({"a0","a-0","a_0","a/0","a.0","a#0","0a","0-a","0_a","0/a"},BN306)))&gt;0),AND((LEN(BN306)-LEN(SUBSTITUTE(BN306,"a","")))=0,(LEN(BN306)-LEN(SUBSTITUTE(BN306,"0","")))&gt;=5)))),1,0),0)</f>
        <v>0</v>
      </c>
      <c r="CA3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306,"revision",""),"version",""),"jan",""),"feb",""),"mar",""),"apr",""),"may",""),"jun",""),"jul",""),"aug",""),"sep",""),"oct",""),"nov",""),"dec",""),"utc",""),"gmt",""),"myt",""),"bst",""),"rev",""),"ver",""),"b","a"),"c","a"),"d","a"),"e","a"),"f","a"),"g","a"),"h","a"),"i","a"),"j","a"),"k","a"),"l","a"),"m","a"),"n","a"),"o","a"),"p","a"),"q","a"),"r","a"),"s","a"),"t","a"),"u","a"),"v","a"),"w","a"),"x","a"),"y","a"),"z","a")</f>
        <v/>
      </c>
      <c r="CB3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306&amp;""),"a",""),"b",""),"c",""),"d",""),"e",""),"f",""),"g",""),"h",""),"i",""),"j",""),"k",""),"l",""),"m",""),"n",""),"o",""),"p",""),"q",""),"r",""),"s",""),"t",""),"u",""),"v",""),"w",""),"x",""),"y",""),"z",""),"-",""),"_",""),"/",""),".",""),"#",""),"\\",""),":","")," ",""),"(",""),")","")</f>
        <v/>
      </c>
      <c r="CC306" s="0" t="str">
        <f aca="false">" "&amp;TRIM(SUBSTITUTE(SUBSTITUTE(SUBSTITUTE(SUBSTITUTE(SUBSTITUTE(SUBSTITUTE(SUBSTITUTE(SUBSTITUTE(SUBSTITUTE(SUBSTITUTE(SUBSTITUTE(SUBSTITUTE(SUBSTITUTE(SUBSTITUTE(SUBSTITUTE(SUBSTITUTE(SUBSTITUTE(SUBSTITUTE(SUBSTITUTE(SUBSTITUTE(SUBSTITUTE(SUBSTITUTE(SUBSTITUTE(SUBSTITUTE(LOWER(T306&amp;""),CHAR(10)," "),CHAR(13)," "),CHAR(9)," "),CHAR(160)," "),"."," "),","," "),"-"," "),"/"," "),"("," "),")"," "),":"," "),";"," "),"_"," "),"–"," "),"?"," "),"!"," "),"*"," "),"["," "),"]"," "),"'"," "),"#"," "),"+"," "),"&amp;"," "),"\"," "))&amp;" "</f>
        <v>  </v>
      </c>
      <c r="CD306" s="0" t="str">
        <f aca="false">" "&amp;TRIM(SUBSTITUTE(SUBSTITUTE(SUBSTITUTE(SUBSTITUTE(SUBSTITUTE(SUBSTITUTE(SUBSTITUTE(SUBSTITUTE(SUBSTITUTE(SUBSTITUTE(SUBSTITUTE(SUBSTITUTE(SUBSTITUTE(SUBSTITUTE(SUBSTITUTE(SUBSTITUTE(SUBSTITUTE(SUBSTITUTE(SUBSTITUTE(SUBSTITUTE(SUBSTITUTE(SUBSTITUTE(SUBSTITUTE(SUBSTITUTE(LOWER(AE306&amp;""),CHAR(10)," "),CHAR(13)," "),CHAR(9)," "),CHAR(160)," "),"."," "),","," "),"-"," "),"/"," "),"("," "),")"," "),":"," "),";"," "),"_"," "),"–"," "),"?"," "),"!"," "),"*"," "),"["," "),"]"," "),"'"," "),"#"," "),"+"," "),"&amp;"," "),"\"," "))&amp;" "</f>
        <v>  </v>
      </c>
      <c r="CE306" s="68" t="n">
        <f aca="false">IFERROR(IF(AND(LEN(AU306)&gt;0,LEN(AU306)=LEN(AX306),OR(TRIM(MID(SUBSTITUTE(TRIM(CC306)," ",REPT(" ",60)),1,60))="",ISNUMBER(SEARCH(" "&amp;TRIM(MID(SUBSTITUTE(TRIM(CC306)," ",REPT(" ",60)),1,60))&amp;" ",CD306))),OR(TRIM(MID(SUBSTITUTE(TRIM(CC306)," ",REPT(" ",60)),61,60))="",ISNUMBER(SEARCH(" "&amp;TRIM(MID(SUBSTITUTE(TRIM(CC306)," ",REPT(" ",60)),61,60))&amp;" ",CD306))),OR(TRIM(MID(SUBSTITUTE(TRIM(CC306)," ",REPT(" ",60)),121,60))="",ISNUMBER(SEARCH(" "&amp;TRIM(MID(SUBSTITUTE(TRIM(CC306)," ",REPT(" ",60)),121,60))&amp;" ",CD306)))),1,0),0)</f>
        <v>0</v>
      </c>
      <c r="CG306" s="68" t="n">
        <f aca="false">IFERROR(LEN(SUBSTITUTE(BF306," ",""))-SUMPRODUCT((LEN(BF306)-LEN(SUBSTITUTE(BF306," "&amp;L_NAFiller&amp;" "," ")))/(LEN(L_NAFiller)+1)*LEN(L_NAFiller)),0)</f>
        <v>0</v>
      </c>
    </row>
    <row r="307" customFormat="false" ht="41.25" hidden="false" customHeight="true" outlineLevel="0" collapsed="false">
      <c r="A307" s="57" t="s">
        <v>893</v>
      </c>
      <c r="B307" s="57" t="s">
        <v>246</v>
      </c>
      <c r="C307" s="57" t="str">
        <f aca="false">Flights!$F$13</f>
        <v>MH0753</v>
      </c>
      <c r="D307" s="58" t="n">
        <f aca="false">Flights!$D$13</f>
        <v>46306</v>
      </c>
      <c r="E307" s="57" t="str">
        <f aca="false">Flights!$G$13&amp;"-"&amp;Flights!$H$13</f>
        <v>HAN-KUL</v>
      </c>
      <c r="F307" s="57" t="str">
        <f aca="false">Flights!$K$13</f>
        <v>BC</v>
      </c>
      <c r="G307" s="57" t="s">
        <v>420</v>
      </c>
      <c r="H307" s="57" t="s">
        <v>378</v>
      </c>
      <c r="I307" s="57" t="s">
        <v>499</v>
      </c>
      <c r="J307" s="57" t="s">
        <v>523</v>
      </c>
      <c r="K307" s="67" t="s">
        <v>501</v>
      </c>
      <c r="L307" s="67" t="s">
        <v>894</v>
      </c>
      <c r="M307" s="67" t="s">
        <v>451</v>
      </c>
      <c r="N307" s="67" t="s">
        <v>383</v>
      </c>
      <c r="O307" s="67" t="s">
        <v>880</v>
      </c>
      <c r="P307" s="57" t="s">
        <v>240</v>
      </c>
      <c r="Q307" s="59" t="n">
        <f aca="false">ROUND((Flights!$AE$13)*1440,0)/1440</f>
        <v>46305.7534722222</v>
      </c>
      <c r="R307" s="59" t="n">
        <f aca="false">Q307+(IF(AND(INDEX(TZ_DSTS,MATCH(P307,TZ_STN,0))&lt;&gt;"",Q307&gt;=INDEX(TZ_DSTS,MATCH(P307,TZ_STN,0)),Q307&lt;INDEX(TZ_DSTE,MATCH(P307,TZ_STN,0))),INDEX(TZ_DST,MATCH(P307,TZ_STN,0)),INDEX(TZ_STD,MATCH(P307,TZ_STN,0))))/24</f>
        <v>46306.0451388889</v>
      </c>
      <c r="S307" s="60"/>
      <c r="T307" s="60"/>
      <c r="U307" s="60"/>
      <c r="V307" s="60"/>
      <c r="W307" s="61"/>
      <c r="X307" s="60"/>
      <c r="Y307" s="60"/>
      <c r="Z307" s="60"/>
      <c r="AA307" s="60"/>
      <c r="AB307" s="60"/>
      <c r="AC307" s="60"/>
      <c r="AD307" s="66"/>
      <c r="AE307" s="60"/>
      <c r="AF307" s="61" t="str">
        <f aca="false">IF(AND(ISNUMBER(X307),ISNUMBER(Y307)),Y307-X307,"")</f>
        <v/>
      </c>
      <c r="AG307" s="62" t="str">
        <f aca="false">IF(ISNUMBER(AD307),AD307-(IF(AND(INDEX(TZ_DSTS,MATCH(P307,TZ_STN,0))&lt;&gt;"",(AD307-INDEX(TZ_STD,MATCH(P307,TZ_STN,0))/24)&gt;=INDEX(TZ_DSTS,MATCH(P307,TZ_STN,0)),(AD307-INDEX(TZ_STD,MATCH(P307,TZ_STN,0))/24)&lt;INDEX(TZ_DSTE,MATCH(P307,TZ_STN,0))),INDEX(TZ_DST,MATCH(P307,TZ_STN,0)),INDEX(TZ_STD,MATCH(P307,TZ_STN,0))))/24,"")</f>
        <v/>
      </c>
      <c r="AH307" s="65" t="str">
        <f aca="false">IFERROR(IF(N307="N/A – rule",IF(OR(TRIM(U307)="",TRIM(U307)="N/A",TRIM(U307)="Not started"),"N/A – RULE","INVALID – this check does not apply to this aircraft: clear the status (or correct the fleet on Flights)"),IF(TRIM(U307)="N/A",IF(AT307=0,"INVALID – N/A not permitted for this check",IF(AND(TRIM(AB307)&lt;&gt;"",TRIM(AB307)&lt;&gt;"Closed"),"INVALID – corrective action still open",IF(AND(NOT(OR(LEN(AZ307)&lt;15,ISNUMBER(MATCH(AZ307,L_Placeholder,0)))),BK307=0,CG307&gt;=8,NOT(OR(LEN(AU307)&lt;2,ISNUMBER(MATCH(AU307,L_Placeholder,0)))),BR307&gt;=3,NOT(OR(LEN(AX307)&lt;2,ISNUMBER(MATCH(AX307,L_Placeholder,0)))),BS307&gt;=3,TRIM(AE307)&lt;&gt;TRIM(T307),AX307&lt;&gt;AU307,CE307=0),"N/A – JUSTIFIED","INVALID – N/A needs a real, settled reason (not 'not applicable' / 'as above' / TBC), a named PIC and a different named verifier"))),IF(OR(TRIM(U307)="Pass",TRIM(U307)="Pass after CA"),IF(NOT(ISNUMBER(AD307)),"INVALID – completion time missing",IF(OR(OR(LEN(AU307)&lt;2,ISNUMBER(MATCH(AU307,L_Placeholder,0))),BR307&lt;3),"INVALID – PIC missing or not a named person (a role such as QA / CSM is not a name)",IF(OR(LEN(AV307)&lt;2,ISNUMBER(MATCH(AV307,L_Placeholder,0))),"INVALID – result / assessment missing",IF(OR(OR(LEN(AW307)&lt;3,ISNUMBER(MATCH(AW307,L_Placeholder,0))),SUMPRODUCT(--ISNUMBER(SEARCH(" "&amp;L_EvidencePhrase&amp;" ",BD307)))&gt;0,BI307=1),"INVALID – evidence missing, placeholder or not yet on file",IF(ISNA(MATCH(TRIM(S307),L_EvidenceType,0)),"INVALID – choose the evidence type from the list (column S)",IF(BL307=0,"INVALID – evidence ID must be the record's own ID only (e.g. SF-2210, IMG_2231, 1045521); a link / file name needs type 'Link / file path'",IF(OR(OR(LEN(AX307)&lt;2,ISNUMBER(MATCH(AX307,L_Placeholder,0))),BS307&lt;3),"INVALID – verifier missing or not a named person (a role such as QA / CSM is not a name)",IF(OR(AX307=AU307,CE307=1,AND(LEN(AU307)&gt;=4,ISNUMBER(SEARCH(AU307,AX307))),AND(LEN(AX307)&gt;=4,ISNUMBER(SEARCH(AX307,AU307)))),"INVALID – verifier must be a different, named person (not the PIC or a role)",IF(BH307=1,"INVALID – result not yet available (awaiting / TBC)",IF(BG307=1,"INVALID – result describes a problem: record Fail, then Pass after CA (or reword if it is not a problem)",IF(BV307=1,"INVALID – wording says not on board: an on-board confirmation needs the item loaded",IF(AND(AQ307=1,OR(OR(LEN(AY307)&lt;3,ISNUMBER(MATCH(AY307,L_Placeholder,0))),BJ307=1,BQ307=0)),"INVALID – batch ID missing, placeholder or not an ID (e.g. PASB-261008-BC-017)",IF(AND(AR307=1,OR(NOT(ISNUMBER(X307)),NOT(ISNUMBER(Y307)))),"INVALID – expected/actual qty missing",IF(AND(AR307=1,OR(X307&lt;=0,Y307&lt;0)),"INVALID – expected qty must be above 0 and actual not negative",IF(BB307&lt;&gt;"",BB307,IF(AND(AS307=1,Documents!$J$13&lt;&gt;"ON FILE"),"INVALID – GLD not on file (Documents sheet)",IF(AND(AS307=2,Documents!$O$13&lt;&gt;"ON FILE"),"INVALID – menu checklist not on file (Documents sheet)",IF(AND(AS307=3,NOT(ISNUMBER(Flights!$AX$13))),"INVALID – enter carrying flight KUL departure (Flights AX)",IF(AND(AS307=3,OR(Flights!$AZ$13&gt;Flights!$AA$13,Flights!$AX$13&lt;Flights!$AA$13-3)),"INVALID – carrying flight (Flights AX) cannot arrive before this leg's STD, or is over 3 days early",IF(AG307&gt;AsOfUTC,"INVALID – completion time is in the future",IF(AND(ISNUMBER(BY307),AG307&lt;BY307),IF(H307="Physical uplift","INVALID – before uplift window (cannot confirm loading)","INVALID – before valid window"),IF(AG307&gt;Flights!$AA$13,"INVALID – completed after departure (cannot establish readiness)",IF(AND(H307="Preparation",AG307&gt;=IF(ISNUMBER(Flights!$BA$13),MIN(Flights!$BA$13,Flights!$AA$13),Flights!$AA$13)),"INVALID – completed after loading / departure (cannot establish readiness)",IF(AND(H307="Physical uplift",AG307&gt;Q307),"INVALID – recorded after the loading flight departed",IF(AG307&gt;Q307,"COMPLETE – LATE","COMPLETE"))))))))))))))))))))))))),IF(TRIM(U307)="Fail","FAIL – DISCREPANCY",IF(AND(TRIM(U307)&lt;&gt;"",TRIM(U307)&lt;&gt;"Not started",TRIM(U307)&lt;&gt;"In progress"),"INVALID – unrecognised status (use the list)",IF(AsOfUTC&gt;Q307,"OVERDUE",IF(N307="Clarification required","OPEN – CLARIFICATION","OPEN"))))))),"INVALID – error value in an input cell")</f>
        <v>OPEN</v>
      </c>
      <c r="AI307" s="61" t="n">
        <f aca="false">IF(OR(AH307="N/A – RULE",AH307="N/A – JUSTIFIED"),0,1)</f>
        <v>1</v>
      </c>
      <c r="AJ307" s="61" t="n">
        <f aca="false">IF(LEFT(AH307,8)="COMPLETE",1,0)</f>
        <v>0</v>
      </c>
      <c r="AK307" s="61" t="n">
        <f aca="false">IF(AND(AI307=1,AJ307=0,AsOfUTC&gt;Q307),1,0)</f>
        <v>0</v>
      </c>
      <c r="AL307" s="61" t="n">
        <f aca="false">IFERROR(IF(AND(AI307=1,OR(TRIM(U307)="Fail",AND(TRIM(AB307)&lt;&gt;"",TRIM(AB307)&lt;&gt;"Closed"),AND(ISNUMBER(AF307),AF307&lt;&gt;0,TRIM(U307)&lt;&gt;"Pass after CA"))),1,0),1)</f>
        <v>0</v>
      </c>
      <c r="AM307" s="61" t="n">
        <f aca="false">IF(LEFT(AH307,7)="INVALID",1,0)</f>
        <v>0</v>
      </c>
      <c r="AN307" s="61" t="n">
        <f aca="false">IF(AND(N307="Clarification required",AI307=1,AJ307=0),1,0)</f>
        <v>0</v>
      </c>
      <c r="AO307" s="61" t="str">
        <f aca="false">IF(AK307=1,SUM(AK$5:AK307),"")</f>
        <v/>
      </c>
      <c r="AP307" s="61" t="str">
        <f aca="false">IF(AL307=1,SUM(AL$5:AL307),"")</f>
        <v/>
      </c>
      <c r="AQ307" s="61" t="n">
        <v>0</v>
      </c>
      <c r="AR307" s="61" t="n">
        <v>0</v>
      </c>
      <c r="AS307" s="61" t="n">
        <v>0</v>
      </c>
      <c r="AT307" s="61" t="n">
        <v>0</v>
      </c>
      <c r="AU307" s="61" t="str">
        <f aca="false">SUBSTITUTE(SUBSTITUTE(SUBSTITUTE(SUBSTITUTE(SUBSTITUTE(SUBSTITUTE(SUBSTITUTE(SUBSTITUTE(SUBSTITUTE(SUBSTITUTE(SUBSTITUTE(SUBSTITUTE(SUBSTITUTE(SUBSTITUTE(SUBSTITUTE(SUBSTITUTE(LOWER(T307&amp;""),CHAR(10),""),CHAR(13),""),CHAR(9),""),CHAR(160),"")," ",""),".",""),"-",""),"/",""),"?",""),"_",""),",",""),"[",""),"]",""),"(",""),")",""),"*","")</f>
        <v/>
      </c>
      <c r="AV307" s="61" t="str">
        <f aca="false">SUBSTITUTE(SUBSTITUTE(SUBSTITUTE(SUBSTITUTE(SUBSTITUTE(SUBSTITUTE(SUBSTITUTE(SUBSTITUTE(SUBSTITUTE(SUBSTITUTE(SUBSTITUTE(SUBSTITUTE(SUBSTITUTE(SUBSTITUTE(SUBSTITUTE(SUBSTITUTE(LOWER(V307&amp;""),CHAR(10),""),CHAR(13),""),CHAR(9),""),CHAR(160),"")," ",""),".",""),"-",""),"/",""),"?",""),"_",""),",",""),"[",""),"]",""),"(",""),")",""),"*","")</f>
        <v/>
      </c>
      <c r="AW307" s="61" t="str">
        <f aca="false">SUBSTITUTE(SUBSTITUTE(SUBSTITUTE(SUBSTITUTE(SUBSTITUTE(SUBSTITUTE(SUBSTITUTE(SUBSTITUTE(SUBSTITUTE(SUBSTITUTE(SUBSTITUTE(SUBSTITUTE(SUBSTITUTE(SUBSTITUTE(SUBSTITUTE(SUBSTITUTE(LOWER(Z307&amp;""),CHAR(10),""),CHAR(13),""),CHAR(9),""),CHAR(160),"")," ",""),".",""),"-",""),"/",""),"?",""),"_",""),",",""),"[",""),"]",""),"(",""),")",""),"*","")</f>
        <v/>
      </c>
      <c r="AX307" s="61" t="str">
        <f aca="false">SUBSTITUTE(SUBSTITUTE(SUBSTITUTE(SUBSTITUTE(SUBSTITUTE(SUBSTITUTE(SUBSTITUTE(SUBSTITUTE(SUBSTITUTE(SUBSTITUTE(SUBSTITUTE(SUBSTITUTE(SUBSTITUTE(SUBSTITUTE(SUBSTITUTE(SUBSTITUTE(LOWER(AE307&amp;""),CHAR(10),""),CHAR(13),""),CHAR(9),""),CHAR(160),"")," ",""),".",""),"-",""),"/",""),"?",""),"_",""),",",""),"[",""),"]",""),"(",""),")",""),"*","")</f>
        <v/>
      </c>
      <c r="AY307" s="61" t="str">
        <f aca="false">SUBSTITUTE(SUBSTITUTE(SUBSTITUTE(SUBSTITUTE(SUBSTITUTE(SUBSTITUTE(SUBSTITUTE(SUBSTITUTE(SUBSTITUTE(SUBSTITUTE(SUBSTITUTE(SUBSTITUTE(SUBSTITUTE(SUBSTITUTE(SUBSTITUTE(SUBSTITUTE(LOWER(W307&amp;""),CHAR(10),""),CHAR(13),""),CHAR(9),""),CHAR(160),"")," ",""),".",""),"-",""),"/",""),"?",""),"_",""),",",""),"[",""),"]",""),"(",""),")",""),"*","")</f>
        <v/>
      </c>
      <c r="AZ307" s="61" t="str">
        <f aca="false">SUBSTITUTE(SUBSTITUTE(SUBSTITUTE(SUBSTITUTE(SUBSTITUTE(SUBSTITUTE(SUBSTITUTE(SUBSTITUTE(SUBSTITUTE(SUBSTITUTE(SUBSTITUTE(SUBSTITUTE(SUBSTITUTE(SUBSTITUTE(SUBSTITUTE(SUBSTITUTE(LOWER(AC307&amp;""),CHAR(10),""),CHAR(13),""),CHAR(9),""),CHAR(160),"")," ",""),".",""),"-",""),"/",""),"?",""),"_",""),",",""),"[",""),"]",""),"(",""),")",""),"*","")</f>
        <v/>
      </c>
      <c r="BA307" s="61" t="str">
        <f aca="false">SUBSTITUTE(SUBSTITUTE(SUBSTITUTE(SUBSTITUTE(SUBSTITUTE(SUBSTITUTE(SUBSTITUTE(SUBSTITUTE(SUBSTITUTE(SUBSTITUTE(SUBSTITUTE(SUBSTITUTE(SUBSTITUTE(SUBSTITUTE(SUBSTITUTE(SUBSTITUTE(LOWER(AA307&amp;""),CHAR(10),""),CHAR(13),""),CHAR(9),""),CHAR(160),"")," ",""),".",""),"-",""),"/",""),"?",""),"_",""),",",""),"[",""),"]",""),"(",""),")",""),"*","")</f>
        <v/>
      </c>
      <c r="BB307" s="61" t="str">
        <f aca="false">IF(AND(TRIM(U307)="Pass",ISNUMBER(AF307)),IF(AF307&lt;&gt;0,"INVALID – qty variance: use Fail or Pass after CA",""),"")&amp;IF(AND(TRIM(U307)="Pass after CA",ISNUMBER(AF307)),IF(AF307&lt;&gt;0,"INVALID – after the corrective action the actual qty must equal expected (update Actual)",""),"")&amp;IF(AND(TRIM(U307)="Pass",TRIM(AB307)&lt;&gt;"",TRIM(AB307)&lt;&gt;"Closed"),"INVALID – corrective action not closed: use Fail, then Pass after CA","")&amp;IF(AND(LEN(BA307)&gt;=2,ISNA(MATCH(LEFT(BA307,255),L_Placeholder,0)),TRIM(AB307)=""),"INVALID – CA status missing for the recorded corrective action","")&amp;IF(AND(TRIM(U307)="Pass after CA",OR(OR(LEN(BA307)&lt;5,ISNUMBER(MATCH(BA307,L_Placeholder,0))),TRIM(AB307)&lt;&gt;"Closed")),"INVALID – corrective action not recorded/closed","")</f>
        <v/>
      </c>
      <c r="BC307" s="61" t="str">
        <f aca="false">" "&amp;TRIM(SUBSTITUTE(SUBSTITUTE(SUBSTITUTE(SUBSTITUTE(SUBSTITUTE(SUBSTITUTE(SUBSTITUTE(SUBSTITUTE(SUBSTITUTE(SUBSTITUTE(SUBSTITUTE(SUBSTITUTE(SUBSTITUTE(SUBSTITUTE(SUBSTITUTE(SUBSTITUTE(SUBSTITUTE(SUBSTITUTE(SUBSTITUTE(SUBSTITUTE(SUBSTITUTE(SUBSTITUTE(SUBSTITUTE(SUBSTITUTE(LOWER(V307&amp;""),CHAR(10)," "),CHAR(13)," "),CHAR(9)," "),CHAR(160)," "),"."," "),","," "),"-"," "),"/"," "),"("," "),")"," "),":"," "),";"," "),"_"," "),"–"," "),"?"," "),"!"," "),"*"," "),"["," "),"]"," "),"'"," "),"#"," "),"+"," "),"&amp;"," "),"\"," "))&amp;" "</f>
        <v>  </v>
      </c>
      <c r="BD307" s="61" t="str">
        <f aca="false">" "&amp;TRIM(SUBSTITUTE(SUBSTITUTE(SUBSTITUTE(SUBSTITUTE(SUBSTITUTE(SUBSTITUTE(SUBSTITUTE(SUBSTITUTE(SUBSTITUTE(SUBSTITUTE(SUBSTITUTE(SUBSTITUTE(SUBSTITUTE(SUBSTITUTE(SUBSTITUTE(SUBSTITUTE(SUBSTITUTE(SUBSTITUTE(SUBSTITUTE(SUBSTITUTE(SUBSTITUTE(SUBSTITUTE(SUBSTITUTE(SUBSTITUTE(LOWER(Z307&amp;""),CHAR(10)," "),CHAR(13)," "),CHAR(9)," "),CHAR(160)," "),"."," "),","," "),"-"," "),"/"," "),"("," "),")"," "),":"," "),";"," "),"_"," "),"–"," "),"?"," "),"!"," "),"*"," "),"["," "),"]"," "),"'"," "),"#"," "),"+"," "),"&amp;"," "),"\"," "))&amp;" "</f>
        <v>  </v>
      </c>
      <c r="BE307" s="61" t="str">
        <f aca="false">" "&amp;TRIM(SUBSTITUTE(SUBSTITUTE(SUBSTITUTE(SUBSTITUTE(SUBSTITUTE(SUBSTITUTE(SUBSTITUTE(SUBSTITUTE(SUBSTITUTE(SUBSTITUTE(SUBSTITUTE(SUBSTITUTE(SUBSTITUTE(SUBSTITUTE(SUBSTITUTE(SUBSTITUTE(SUBSTITUTE(SUBSTITUTE(SUBSTITUTE(SUBSTITUTE(SUBSTITUTE(SUBSTITUTE(SUBSTITUTE(SUBSTITUTE(LOWER(W307&amp;""),CHAR(10)," "),CHAR(13)," "),CHAR(9)," "),CHAR(160)," "),"."," "),","," "),"-"," "),"/"," "),"("," "),")"," "),":"," "),";"," "),"_"," "),"–"," "),"?"," "),"!"," "),"*"," "),"["," "),"]"," "),"'"," "),"#"," "),"+"," "),"&amp;"," "),"\"," "))&amp;" "</f>
        <v>  </v>
      </c>
      <c r="BF307" s="61" t="str">
        <f aca="false">" "&amp;TRIM(SUBSTITUTE(SUBSTITUTE(SUBSTITUTE(SUBSTITUTE(SUBSTITUTE(SUBSTITUTE(SUBSTITUTE(SUBSTITUTE(SUBSTITUTE(SUBSTITUTE(SUBSTITUTE(SUBSTITUTE(SUBSTITUTE(SUBSTITUTE(SUBSTITUTE(SUBSTITUTE(SUBSTITUTE(SUBSTITUTE(SUBSTITUTE(SUBSTITUTE(SUBSTITUTE(SUBSTITUTE(SUBSTITUTE(SUBSTITUTE(LOWER(AC307&amp;""),CHAR(10)," "),CHAR(13)," "),CHAR(9)," "),CHAR(160)," "),"."," "),","," "),"-"," "),"/"," "),"("," "),")"," "),":"," "),";"," "),"_"," "),"–"," "),"?"," "),"!"," "),"*"," "),"["," "),"]"," "),"'"," "),"#"," "),"+"," "),"&amp;"," "),"\"," "))&amp;" "</f>
        <v>  </v>
      </c>
      <c r="BG307" s="61" t="n">
        <f aca="false">IFERROR(IF(AND(TRIM(U307)="Pass",SUMPRODUCT((LEN(BC307)-LEN(SUBSTITUTE(BC307," "&amp;L_ResultBad&amp;" "," ")))/(LEN(L_ResultBad)+1))&gt;SUMPRODUCT((LEN(BC307)-LEN(SUBSTITUTE(BC307," "&amp;L_NegPhrase&amp;" "," ")))/(LEN(L_NegPhrase)+1))),1,0),0)</f>
        <v>0</v>
      </c>
      <c r="BH307" s="61" t="n">
        <f aca="false">IFERROR(IF(SUMPRODUCT((LEN(BC307)-LEN(SUBSTITUTE(BC307," "&amp;L_Pending&amp;" "," ")))/(LEN(L_Pending)+1))&gt;SUMPRODUCT((LEN(BC307)-LEN(SUBSTITUTE(BC307," "&amp;L_PendNeg&amp;" "," ")))/(LEN(L_PendNeg)+1))+SUMPRODUCT((LEN(BC307)-LEN(SUBSTITUTE(BC307," "&amp;L_PendPrep&amp;" "," ")))/(LEN(L_PendPrep)+1)),1,0),1)</f>
        <v>0</v>
      </c>
      <c r="BI307" s="61" t="n">
        <f aca="false">IFERROR(IF(SUMPRODUCT((LEN(BD307)-LEN(SUBSTITUTE(BD307," "&amp;L_PendStrict&amp;" "," ")))/(LEN(L_PendStrict)+1))&gt;SUMPRODUCT((LEN(BD307)-LEN(SUBSTITUTE(BD307," "&amp;L_PendNeg&amp;" "," ")))/(LEN(L_PendNeg)+1)),1,0),1)</f>
        <v>0</v>
      </c>
      <c r="BJ307" s="61" t="n">
        <f aca="false">IFERROR(IF(SUMPRODUCT((LEN(BE307)-LEN(SUBSTITUTE(BE307," "&amp;L_Pending&amp;" "," ")))/(LEN(L_Pending)+1))&gt;SUMPRODUCT((LEN(BE307)-LEN(SUBSTITUTE(BE307," "&amp;L_PendNeg&amp;" "," ")))/(LEN(L_PendNeg)+1))+SUMPRODUCT((LEN(BE307)-LEN(SUBSTITUTE(BE307," "&amp;L_PendPrep&amp;" "," ")))/(LEN(L_PendPrep)+1)),1,0),1)</f>
        <v>0</v>
      </c>
      <c r="BK307" s="61" t="n">
        <f aca="false">IFERROR(IF(SUMPRODUCT((LEN(BF307)-LEN(SUBSTITUTE(BF307," "&amp;L_PendStrict&amp;" "," ")))/(LEN(L_PendStrict)+1))&gt;SUMPRODUCT((LEN(BF307)-LEN(SUBSTITUTE(BF307," "&amp;L_PendNeg&amp;" "," ")))/(LEN(L_PendNeg)+1)),1,0),1)</f>
        <v>0</v>
      </c>
      <c r="BL307" s="61" t="n">
        <f aca="false">IF(ISNA(MATCH(TRIM(S307),L_EvidenceType,0)),0,BZ307)</f>
        <v>0</v>
      </c>
      <c r="BM307" s="61" t="str">
        <f aca="false">SUBSTITUTE(SUBSTITUTE(SUBSTITUTE(SUBSTITUTE(SUBSTITUTE(SUBSTITUTE(SUBSTITUTE(SUBSTITUTE(SUBSTITUTE(LOWER(Z307&amp;""),"1","0"),"2","0"),"3","0"),"4","0"),"5","0"),"6","0"),"7","0"),"8","0"),"9","0")</f>
        <v/>
      </c>
      <c r="BN307" s="61" t="str">
        <f aca="false">SUBSTITUTE(SUBSTITUTE(SUBSTITUTE(SUBSTITUTE(SUBSTITUTE(SUBSTITUTE(SUBSTITUTE(SUBSTITUTE(SUBSTITUTE(SUBSTITUTE(SUBSTITUTE(SUBSTITUTE(SUBSTITUTE(SUBSTITUTE(SUBSTITUTE(SUBSTITUTE(SUBSTITUTE(SUBSTITUTE(SUBSTITUTE(SUBSTITUTE(SUBSTITUTE(SUBSTITUTE(SUBSTITUTE(SUBSTITUTE(SUBSTITUTE(BM307,"b","a"),"c","a"),"d","a"),"e","a"),"f","a"),"g","a"),"h","a"),"i","a"),"j","a"),"k","a"),"l","a"),"m","a"),"n","a"),"o","a"),"p","a"),"q","a"),"r","a"),"s","a"),"t","a"),"u","a"),"v","a"),"w","a"),"x","a"),"y","a"),"z","a")</f>
        <v/>
      </c>
      <c r="BO307" s="61" t="str">
        <f aca="false">SUBSTITUTE(SUBSTITUTE(SUBSTITUTE(SUBSTITUTE(SUBSTITUTE(SUBSTITUTE(SUBSTITUTE(SUBSTITUTE(SUBSTITUTE(LOWER(W307&amp;""),"1","0"),"2","0"),"3","0"),"4","0"),"5","0"),"6","0"),"7","0"),"8","0"),"9","0")</f>
        <v/>
      </c>
      <c r="BP307" s="61" t="str">
        <f aca="false">SUBSTITUTE(SUBSTITUTE(SUBSTITUTE(SUBSTITUTE(SUBSTITUTE(SUBSTITUTE(SUBSTITUTE(SUBSTITUTE(SUBSTITUTE(SUBSTITUTE(SUBSTITUTE(SUBSTITUTE(SUBSTITUTE(SUBSTITUTE(SUBSTITUTE(SUBSTITUTE(SUBSTITUTE(SUBSTITUTE(SUBSTITUTE(SUBSTITUTE(SUBSTITUTE(SUBSTITUTE(SUBSTITUTE(SUBSTITUTE(SUBSTITUTE(BO307,"b","a"),"c","a"),"d","a"),"e","a"),"f","a"),"g","a"),"h","a"),"i","a"),"j","a"),"k","a"),"l","a"),"m","a"),"n","a"),"o","a"),"p","a"),"q","a"),"r","a"),"s","a"),"t","a"),"u","a"),"v","a"),"w","a"),"x","a"),"y","a"),"z","a")</f>
        <v/>
      </c>
      <c r="BQ307" s="61" t="n">
        <f aca="false">IFERROR(IF(AND(ISERROR(SEARCH(" mh"," "&amp;LOWER(W307))),ISNA(MATCH(LEFT(TRIM(BP307),255),{"0000a","000a","00a","0000aa","000aa","00aa","0aa","0000aaa","000aaa","00a00","0a00","0000-0000","00:00","a00","a0","00.00.0000","00/00/0000","00-00-0000","0000-00-00","0000/00/00","0000.00.00","00.00.00","00/00/00","00-00-00","0.00.0000","0/00/0000","0-00-0000"},0)),ISNA(MATCH(LEFT(TRIM(CA307),255),{"0000a","000a","00a","0000aa","000aa","00aa","0aa","0000aaa","000aaa","00a00","0a00","0000-0000","00:00","a00","a0","00.00.0000","00/00/0000","00-00-0000","0000-00-00","0000/00/00","0000.00.00","00.00.00","00/00/00","00-00-00","0.00.0000","0/00/0000","0-00-0000"},0)),LEN(CB307)&gt;=3,NOT(OR(SUBSTITUTE(CB307,"0","")="",AND(LEN(CB307)&gt;=4,CB307=REPT(LEFT(CB307),LEN(CB307))),ISNUMBER(MATCH(CB307,{"123","1234","12345","123456","1234567","12345678","0123","01234","012345","98765","987654","54321"},0)),AND(LEN(CB307)=8,LEFT(CB307,3)="202"))),OR(AND((LEN(CA307)-LEN(SUBSTITUTE(CA307,"a","")))&gt;=1,SUMPRODUCT(--ISNUMBER(SEARCH({"a0","a-0","a_0","a/0","a.0","a#0","0a","0-a","0_a","0/a"},BP307)))&gt;0),ISNUMBER(SEARCH("000000",BP307)))),1,0),0)</f>
        <v>0</v>
      </c>
      <c r="BR307" s="61" t="n">
        <f aca="false">IFERROR(LEN(SUBSTITUTE(CC307," ",""))-SUMPRODUCT((LEN(CC307)-LEN(SUBSTITUTE(CC307," "&amp;L_Role&amp;" "," ")))/(LEN(L_Role)+1)*LEN(L_Role)),0)</f>
        <v>0</v>
      </c>
      <c r="BS307" s="61" t="n">
        <f aca="false">IFERROR(LEN(SUBSTITUTE(CD307," ",""))-SUMPRODUCT((LEN(CD307)-LEN(SUBSTITUTE(CD307," "&amp;L_Role&amp;" "," ")))/(LEN(L_Role)+1)*LEN(L_Role)),0)</f>
        <v>0</v>
      </c>
      <c r="BT3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307,"revision",""),"version",""),"jan",""),"feb",""),"mar",""),"apr",""),"may",""),"jun",""),"jul",""),"aug",""),"sep",""),"oct",""),"nov",""),"dec",""),"utc",""),"gmt",""),"myt",""),"bst",""),"rev",""),"ver",""),"b","a"),"c","a"),"d","a"),"e","a"),"f","a"),"g","a"),"h","a"),"i","a"),"j","a"),"k","a"),"l","a"),"m","a"),"n","a"),"o","a"),"p","a"),"q","a"),"r","a"),"s","a"),"t","a"),"u","a"),"v","a"),"w","a"),"x","a"),"y","a"),"z","a")</f>
        <v/>
      </c>
      <c r="BU307" s="61" t="str">
        <f aca="false">SUBSTITUTE(SUBSTITUTE(SUBSTITUTE(SUBSTITUTE(SUBSTITUTE(SUBSTITUTE(SUBSTITUTE(SUBSTITUTE(SUBSTITUTE(SUBSTITUTE(LEFT(BM307,FIND("0",BM307&amp;"0")-1),"-",""),"_",""),"/",""),".",""),"#",""),"\\",""),":","")," ",""),"(",""),")","")</f>
        <v/>
      </c>
      <c r="BV307" s="61" t="n">
        <f aca="false">0</f>
        <v>0</v>
      </c>
      <c r="BW3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307&amp;""),"a",""),"b",""),"c",""),"d",""),"e",""),"f",""),"g",""),"h",""),"i",""),"j",""),"k",""),"l",""),"m",""),"n",""),"o",""),"p",""),"q",""),"r",""),"s",""),"t",""),"u",""),"v",""),"w",""),"x",""),"y",""),"z",""),"-",""),"_",""),"/",""),".",""),"#",""),"\\",""),":","")," ",""),"(",""),")","")</f>
        <v/>
      </c>
      <c r="BX307" s="61" t="str">
        <f aca="false">SUBSTITUTE(SUBSTITUTE(SUBSTITUTE(SUBSTITUTE(SUBSTITUTE(SUBSTITUTE(SUBSTITUTE(SUBSTITUTE(SUBSTITUTE(SUBSTITUTE(SUBSTITUTE(BM307,"0",""),"-",""),"_",""),"/",""),".",""),"#",""),"\\",""),":","")," ",""),"(",""),")","")</f>
        <v/>
      </c>
      <c r="BY307" s="62" t="n">
        <f aca="false">Q307-T12EarlyH/24</f>
        <v>46305.2534722222</v>
      </c>
      <c r="BZ307" s="61" t="n">
        <f aca="false">IFERROR(IF(IF(TRIM(S307)="Link / file path",AND(LEN(TRIM(Z307))&gt;=5,SUMPRODUCT(--ISNUMBER(SEARCH({"http","www.","\\",":\",".pdf",".jpg",".jpeg",".png",".heic",".xls",".doc",".msg",".eml",".ppt",".txt",".zip"},Z307)))&gt;0),AND(ISERROR(FIND(" ",TRIM(Z307))),NOT(OR(SUMPRODUCT(--ISNUMBER(FIND({",",";","&amp;","+"},Z307)))&gt;0,SUMPRODUCT(--ISNUMBER(SEARCH({"0/aa","0\\aa"},BN307)))&gt;0)),NOT(SUMPRODUCT(--ISNUMBER(SEARCH({"http","www.","\\",":\",".pdf",".jpg",".jpeg",".png",".heic",".xls",".doc",".msg",".eml",".ppt",".txt",".zip"},Z307)))&gt;0),NOT(LOWER(TRIM(Z307))=LOWER(Flights!$F$13)),ISNA(MATCH(BU307,{"mh","rev","revision","ver","version","v","r","a","b","seat","tray","row","gate","bay","stand","page","pg","item","line","no","cart","galley","flight","flt","table","box","bag","oven","etd","eta","std","sta","atd","ata","qty","pax","x","time","tel","ph","mob","day","wk","week","utc","gmt","myt","lt"},0)),NOT(OR(ISNUMBER(MATCH(LEFT(BN307,255),{"0000a","000a","00a","0000aa","000aa","00aa","0aa","0000aaa","000aaa","00a00","0a00","0000-0000","00:00","a00","a0","00.00.0000","00/00/0000","00-00-0000","0000-00-00","0000/00/00","0000.00.00","00.00.00","00/00/00","00-00-00","0.00.0000","0/00/0000","0-00-0000"},0)),ISNUMBER(MATCH(LEFT(BT307,255),{"0000a","000a","00a","0000aa","000aa","00aa","0aa","0000aaa","000aaa","00a00","0a00","0000-0000","00:00","a00","a0","00.00.0000","00/00/0000","00-00-0000","0000-00-00","0000/00/00","0000.00.00","00.00.00","00/00/00","00-00-00","0.00.0000","0/00/0000","0-00-0000"},0)))),NOT(OR(AND(BW307&lt;&gt;"",SUBSTITUTE(BW307,"0","")=""),AND(LEN(BW307)&gt;=4,BW307=REPT(LEFT(BW307),LEN(BW307))),ISNUMBER(MATCH(BW307,{"123","1234","12345","123456","1234567","12345678","0123","01234","012345","98765","987654","54321"},0)),ISNUMBER(MATCH(BX307,{"x","xx","xxx","xxxx","xxxxx","abc","abcd","nil","na","nan","test","tbc","tba","tbd","dummy","sample","example","eg","zz","zzz","none","null","xyz","qwe","asd","id","ref"},0)),AND(LEN(BW307)=8,BX307="",OR(LEFT(BW307,3)="202",ISNUMBER(MATCH(RIGHT(BW307,4),{"2025","2026","2027"},0)))))),OR(AND((LEN(BT307)-LEN(SUBSTITUTE(BT307,"a","")))&gt;=1,(LEN(BN307)-LEN(SUBSTITUTE(BN307,"0","")))&gt;=2,SUMPRODUCT(--ISNUMBER(SEARCH({"a0","a-0","a_0","a/0","a.0","a#0","0a","0-a","0_a","0/a"},BN307)))&gt;0),AND((LEN(BN307)-LEN(SUBSTITUTE(BN307,"a","")))=0,(LEN(BN307)-LEN(SUBSTITUTE(BN307,"0","")))&gt;=5)))),1,0),0)</f>
        <v>0</v>
      </c>
      <c r="CA3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307,"revision",""),"version",""),"jan",""),"feb",""),"mar",""),"apr",""),"may",""),"jun",""),"jul",""),"aug",""),"sep",""),"oct",""),"nov",""),"dec",""),"utc",""),"gmt",""),"myt",""),"bst",""),"rev",""),"ver",""),"b","a"),"c","a"),"d","a"),"e","a"),"f","a"),"g","a"),"h","a"),"i","a"),"j","a"),"k","a"),"l","a"),"m","a"),"n","a"),"o","a"),"p","a"),"q","a"),"r","a"),"s","a"),"t","a"),"u","a"),"v","a"),"w","a"),"x","a"),"y","a"),"z","a")</f>
        <v/>
      </c>
      <c r="CB3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307&amp;""),"a",""),"b",""),"c",""),"d",""),"e",""),"f",""),"g",""),"h",""),"i",""),"j",""),"k",""),"l",""),"m",""),"n",""),"o",""),"p",""),"q",""),"r",""),"s",""),"t",""),"u",""),"v",""),"w",""),"x",""),"y",""),"z",""),"-",""),"_",""),"/",""),".",""),"#",""),"\\",""),":","")," ",""),"(",""),")","")</f>
        <v/>
      </c>
      <c r="CC307" s="0" t="str">
        <f aca="false">" "&amp;TRIM(SUBSTITUTE(SUBSTITUTE(SUBSTITUTE(SUBSTITUTE(SUBSTITUTE(SUBSTITUTE(SUBSTITUTE(SUBSTITUTE(SUBSTITUTE(SUBSTITUTE(SUBSTITUTE(SUBSTITUTE(SUBSTITUTE(SUBSTITUTE(SUBSTITUTE(SUBSTITUTE(SUBSTITUTE(SUBSTITUTE(SUBSTITUTE(SUBSTITUTE(SUBSTITUTE(SUBSTITUTE(SUBSTITUTE(SUBSTITUTE(LOWER(T307&amp;""),CHAR(10)," "),CHAR(13)," "),CHAR(9)," "),CHAR(160)," "),"."," "),","," "),"-"," "),"/"," "),"("," "),")"," "),":"," "),";"," "),"_"," "),"–"," "),"?"," "),"!"," "),"*"," "),"["," "),"]"," "),"'"," "),"#"," "),"+"," "),"&amp;"," "),"\"," "))&amp;" "</f>
        <v>  </v>
      </c>
      <c r="CD307" s="0" t="str">
        <f aca="false">" "&amp;TRIM(SUBSTITUTE(SUBSTITUTE(SUBSTITUTE(SUBSTITUTE(SUBSTITUTE(SUBSTITUTE(SUBSTITUTE(SUBSTITUTE(SUBSTITUTE(SUBSTITUTE(SUBSTITUTE(SUBSTITUTE(SUBSTITUTE(SUBSTITUTE(SUBSTITUTE(SUBSTITUTE(SUBSTITUTE(SUBSTITUTE(SUBSTITUTE(SUBSTITUTE(SUBSTITUTE(SUBSTITUTE(SUBSTITUTE(SUBSTITUTE(LOWER(AE307&amp;""),CHAR(10)," "),CHAR(13)," "),CHAR(9)," "),CHAR(160)," "),"."," "),","," "),"-"," "),"/"," "),"("," "),")"," "),":"," "),";"," "),"_"," "),"–"," "),"?"," "),"!"," "),"*"," "),"["," "),"]"," "),"'"," "),"#"," "),"+"," "),"&amp;"," "),"\"," "))&amp;" "</f>
        <v>  </v>
      </c>
      <c r="CE307" s="68" t="n">
        <f aca="false">IFERROR(IF(AND(LEN(AU307)&gt;0,LEN(AU307)=LEN(AX307),OR(TRIM(MID(SUBSTITUTE(TRIM(CC307)," ",REPT(" ",60)),1,60))="",ISNUMBER(SEARCH(" "&amp;TRIM(MID(SUBSTITUTE(TRIM(CC307)," ",REPT(" ",60)),1,60))&amp;" ",CD307))),OR(TRIM(MID(SUBSTITUTE(TRIM(CC307)," ",REPT(" ",60)),61,60))="",ISNUMBER(SEARCH(" "&amp;TRIM(MID(SUBSTITUTE(TRIM(CC307)," ",REPT(" ",60)),61,60))&amp;" ",CD307))),OR(TRIM(MID(SUBSTITUTE(TRIM(CC307)," ",REPT(" ",60)),121,60))="",ISNUMBER(SEARCH(" "&amp;TRIM(MID(SUBSTITUTE(TRIM(CC307)," ",REPT(" ",60)),121,60))&amp;" ",CD307)))),1,0),0)</f>
        <v>0</v>
      </c>
      <c r="CG307" s="68" t="n">
        <f aca="false">IFERROR(LEN(SUBSTITUTE(BF307," ",""))-SUMPRODUCT((LEN(BF307)-LEN(SUBSTITUTE(BF307," "&amp;L_NAFiller&amp;" "," ")))/(LEN(L_NAFiller)+1)*LEN(L_NAFiller)),0)</f>
        <v>0</v>
      </c>
    </row>
    <row r="308" customFormat="false" ht="41.25" hidden="false" customHeight="true" outlineLevel="0" collapsed="false">
      <c r="A308" s="57" t="s">
        <v>895</v>
      </c>
      <c r="B308" s="57" t="s">
        <v>246</v>
      </c>
      <c r="C308" s="57" t="str">
        <f aca="false">Flights!$F$13</f>
        <v>MH0753</v>
      </c>
      <c r="D308" s="58" t="n">
        <f aca="false">Flights!$D$13</f>
        <v>46306</v>
      </c>
      <c r="E308" s="57" t="str">
        <f aca="false">Flights!$G$13&amp;"-"&amp;Flights!$H$13</f>
        <v>HAN-KUL</v>
      </c>
      <c r="F308" s="57" t="str">
        <f aca="false">Flights!$K$13</f>
        <v>BC</v>
      </c>
      <c r="G308" s="57" t="s">
        <v>420</v>
      </c>
      <c r="H308" s="57" t="s">
        <v>378</v>
      </c>
      <c r="I308" s="57" t="s">
        <v>447</v>
      </c>
      <c r="J308" s="57" t="s">
        <v>526</v>
      </c>
      <c r="K308" s="67" t="s">
        <v>449</v>
      </c>
      <c r="L308" s="67" t="s">
        <v>896</v>
      </c>
      <c r="M308" s="67" t="s">
        <v>451</v>
      </c>
      <c r="N308" s="67" t="s">
        <v>383</v>
      </c>
      <c r="O308" s="67" t="s">
        <v>880</v>
      </c>
      <c r="P308" s="57" t="s">
        <v>240</v>
      </c>
      <c r="Q308" s="59" t="n">
        <f aca="false">ROUND((Flights!$AE$13)*1440,0)/1440</f>
        <v>46305.7534722222</v>
      </c>
      <c r="R308" s="59" t="n">
        <f aca="false">Q308+(IF(AND(INDEX(TZ_DSTS,MATCH(P308,TZ_STN,0))&lt;&gt;"",Q308&gt;=INDEX(TZ_DSTS,MATCH(P308,TZ_STN,0)),Q308&lt;INDEX(TZ_DSTE,MATCH(P308,TZ_STN,0))),INDEX(TZ_DST,MATCH(P308,TZ_STN,0)),INDEX(TZ_STD,MATCH(P308,TZ_STN,0))))/24</f>
        <v>46306.0451388889</v>
      </c>
      <c r="S308" s="60"/>
      <c r="T308" s="60"/>
      <c r="U308" s="60"/>
      <c r="V308" s="60"/>
      <c r="W308" s="61"/>
      <c r="X308" s="60"/>
      <c r="Y308" s="60"/>
      <c r="Z308" s="60"/>
      <c r="AA308" s="60"/>
      <c r="AB308" s="60"/>
      <c r="AC308" s="60"/>
      <c r="AD308" s="66"/>
      <c r="AE308" s="60"/>
      <c r="AF308" s="61" t="str">
        <f aca="false">IF(AND(ISNUMBER(X308),ISNUMBER(Y308)),Y308-X308,"")</f>
        <v/>
      </c>
      <c r="AG308" s="62" t="str">
        <f aca="false">IF(ISNUMBER(AD308),AD308-(IF(AND(INDEX(TZ_DSTS,MATCH(P308,TZ_STN,0))&lt;&gt;"",(AD308-INDEX(TZ_STD,MATCH(P308,TZ_STN,0))/24)&gt;=INDEX(TZ_DSTS,MATCH(P308,TZ_STN,0)),(AD308-INDEX(TZ_STD,MATCH(P308,TZ_STN,0))/24)&lt;INDEX(TZ_DSTE,MATCH(P308,TZ_STN,0))),INDEX(TZ_DST,MATCH(P308,TZ_STN,0)),INDEX(TZ_STD,MATCH(P308,TZ_STN,0))))/24,"")</f>
        <v/>
      </c>
      <c r="AH308" s="65" t="str">
        <f aca="false">IFERROR(IF(N308="N/A – rule",IF(OR(TRIM(U308)="",TRIM(U308)="N/A",TRIM(U308)="Not started"),"N/A – RULE","INVALID – this check does not apply to this aircraft: clear the status (or correct the fleet on Flights)"),IF(TRIM(U308)="N/A",IF(AT308=0,"INVALID – N/A not permitted for this check",IF(AND(TRIM(AB308)&lt;&gt;"",TRIM(AB308)&lt;&gt;"Closed"),"INVALID – corrective action still open",IF(AND(NOT(OR(LEN(AZ308)&lt;15,ISNUMBER(MATCH(AZ308,L_Placeholder,0)))),BK308=0,CG308&gt;=8,NOT(OR(LEN(AU308)&lt;2,ISNUMBER(MATCH(AU308,L_Placeholder,0)))),BR308&gt;=3,NOT(OR(LEN(AX308)&lt;2,ISNUMBER(MATCH(AX308,L_Placeholder,0)))),BS308&gt;=3,TRIM(AE308)&lt;&gt;TRIM(T308),AX308&lt;&gt;AU308,CE308=0),"N/A – JUSTIFIED","INVALID – N/A needs a real, settled reason (not 'not applicable' / 'as above' / TBC), a named PIC and a different named verifier"))),IF(OR(TRIM(U308)="Pass",TRIM(U308)="Pass after CA"),IF(NOT(ISNUMBER(AD308)),"INVALID – completion time missing",IF(OR(OR(LEN(AU308)&lt;2,ISNUMBER(MATCH(AU308,L_Placeholder,0))),BR308&lt;3),"INVALID – PIC missing or not a named person (a role such as QA / CSM is not a name)",IF(OR(LEN(AV308)&lt;2,ISNUMBER(MATCH(AV308,L_Placeholder,0))),"INVALID – result / assessment missing",IF(OR(OR(LEN(AW308)&lt;3,ISNUMBER(MATCH(AW308,L_Placeholder,0))),SUMPRODUCT(--ISNUMBER(SEARCH(" "&amp;L_EvidencePhrase&amp;" ",BD308)))&gt;0,BI308=1),"INVALID – evidence missing, placeholder or not yet on file",IF(ISNA(MATCH(TRIM(S308),L_EvidenceType,0)),"INVALID – choose the evidence type from the list (column S)",IF(BL308=0,"INVALID – evidence ID must be the record's own ID only (e.g. SF-2210, IMG_2231, 1045521); a link / file name needs type 'Link / file path'",IF(OR(OR(LEN(AX308)&lt;2,ISNUMBER(MATCH(AX308,L_Placeholder,0))),BS308&lt;3),"INVALID – verifier missing or not a named person (a role such as QA / CSM is not a name)",IF(OR(AX308=AU308,CE308=1,AND(LEN(AU308)&gt;=4,ISNUMBER(SEARCH(AU308,AX308))),AND(LEN(AX308)&gt;=4,ISNUMBER(SEARCH(AX308,AU308)))),"INVALID – verifier must be a different, named person (not the PIC or a role)",IF(BH308=1,"INVALID – result not yet available (awaiting / TBC)",IF(BG308=1,"INVALID – result describes a problem: record Fail, then Pass after CA (or reword if it is not a problem)",IF(BV308=1,"INVALID – wording says not on board: an on-board confirmation needs the item loaded",IF(AND(AQ308=1,OR(OR(LEN(AY308)&lt;3,ISNUMBER(MATCH(AY308,L_Placeholder,0))),BJ308=1,BQ308=0)),"INVALID – batch ID missing, placeholder or not an ID (e.g. PASB-261008-BC-017)",IF(AND(AR308=1,OR(NOT(ISNUMBER(X308)),NOT(ISNUMBER(Y308)))),"INVALID – expected/actual qty missing",IF(AND(AR308=1,OR(X308&lt;=0,Y308&lt;0)),"INVALID – expected qty must be above 0 and actual not negative",IF(BB308&lt;&gt;"",BB308,IF(AND(AS308=1,Documents!$J$13&lt;&gt;"ON FILE"),"INVALID – GLD not on file (Documents sheet)",IF(AND(AS308=2,Documents!$O$13&lt;&gt;"ON FILE"),"INVALID – menu checklist not on file (Documents sheet)",IF(AND(AS308=3,NOT(ISNUMBER(Flights!$AX$13))),"INVALID – enter carrying flight KUL departure (Flights AX)",IF(AND(AS308=3,OR(Flights!$AZ$13&gt;Flights!$AA$13,Flights!$AX$13&lt;Flights!$AA$13-3)),"INVALID – carrying flight (Flights AX) cannot arrive before this leg's STD, or is over 3 days early",IF(AG308&gt;AsOfUTC,"INVALID – completion time is in the future",IF(AND(ISNUMBER(BY308),AG308&lt;BY308),IF(H308="Physical uplift","INVALID – before uplift window (cannot confirm loading)","INVALID – before valid window"),IF(AG308&gt;Flights!$AA$13,"INVALID – completed after departure (cannot establish readiness)",IF(AND(H308="Preparation",AG308&gt;=IF(ISNUMBER(Flights!$BA$13),MIN(Flights!$BA$13,Flights!$AA$13),Flights!$AA$13)),"INVALID – completed after loading / departure (cannot establish readiness)",IF(AND(H308="Physical uplift",AG308&gt;Q308),"INVALID – recorded after the loading flight departed",IF(AG308&gt;Q308,"COMPLETE – LATE","COMPLETE"))))))))))))))))))))))))),IF(TRIM(U308)="Fail","FAIL – DISCREPANCY",IF(AND(TRIM(U308)&lt;&gt;"",TRIM(U308)&lt;&gt;"Not started",TRIM(U308)&lt;&gt;"In progress"),"INVALID – unrecognised status (use the list)",IF(AsOfUTC&gt;Q308,"OVERDUE",IF(N308="Clarification required","OPEN – CLARIFICATION","OPEN"))))))),"INVALID – error value in an input cell")</f>
        <v>OPEN</v>
      </c>
      <c r="AI308" s="61" t="n">
        <f aca="false">IF(OR(AH308="N/A – RULE",AH308="N/A – JUSTIFIED"),0,1)</f>
        <v>1</v>
      </c>
      <c r="AJ308" s="61" t="n">
        <f aca="false">IF(LEFT(AH308,8)="COMPLETE",1,0)</f>
        <v>0</v>
      </c>
      <c r="AK308" s="61" t="n">
        <f aca="false">IF(AND(AI308=1,AJ308=0,AsOfUTC&gt;Q308),1,0)</f>
        <v>0</v>
      </c>
      <c r="AL308" s="61" t="n">
        <f aca="false">IFERROR(IF(AND(AI308=1,OR(TRIM(U308)="Fail",AND(TRIM(AB308)&lt;&gt;"",TRIM(AB308)&lt;&gt;"Closed"),AND(ISNUMBER(AF308),AF308&lt;&gt;0,TRIM(U308)&lt;&gt;"Pass after CA"))),1,0),1)</f>
        <v>0</v>
      </c>
      <c r="AM308" s="61" t="n">
        <f aca="false">IF(LEFT(AH308,7)="INVALID",1,0)</f>
        <v>0</v>
      </c>
      <c r="AN308" s="61" t="n">
        <f aca="false">IF(AND(N308="Clarification required",AI308=1,AJ308=0),1,0)</f>
        <v>0</v>
      </c>
      <c r="AO308" s="61" t="str">
        <f aca="false">IF(AK308=1,SUM(AK$5:AK308),"")</f>
        <v/>
      </c>
      <c r="AP308" s="61" t="str">
        <f aca="false">IF(AL308=1,SUM(AL$5:AL308),"")</f>
        <v/>
      </c>
      <c r="AQ308" s="61" t="n">
        <v>0</v>
      </c>
      <c r="AR308" s="61" t="n">
        <v>0</v>
      </c>
      <c r="AS308" s="61" t="n">
        <v>0</v>
      </c>
      <c r="AT308" s="61" t="n">
        <v>0</v>
      </c>
      <c r="AU308" s="61" t="str">
        <f aca="false">SUBSTITUTE(SUBSTITUTE(SUBSTITUTE(SUBSTITUTE(SUBSTITUTE(SUBSTITUTE(SUBSTITUTE(SUBSTITUTE(SUBSTITUTE(SUBSTITUTE(SUBSTITUTE(SUBSTITUTE(SUBSTITUTE(SUBSTITUTE(SUBSTITUTE(SUBSTITUTE(LOWER(T308&amp;""),CHAR(10),""),CHAR(13),""),CHAR(9),""),CHAR(160),"")," ",""),".",""),"-",""),"/",""),"?",""),"_",""),",",""),"[",""),"]",""),"(",""),")",""),"*","")</f>
        <v/>
      </c>
      <c r="AV308" s="61" t="str">
        <f aca="false">SUBSTITUTE(SUBSTITUTE(SUBSTITUTE(SUBSTITUTE(SUBSTITUTE(SUBSTITUTE(SUBSTITUTE(SUBSTITUTE(SUBSTITUTE(SUBSTITUTE(SUBSTITUTE(SUBSTITUTE(SUBSTITUTE(SUBSTITUTE(SUBSTITUTE(SUBSTITUTE(LOWER(V308&amp;""),CHAR(10),""),CHAR(13),""),CHAR(9),""),CHAR(160),"")," ",""),".",""),"-",""),"/",""),"?",""),"_",""),",",""),"[",""),"]",""),"(",""),")",""),"*","")</f>
        <v/>
      </c>
      <c r="AW308" s="61" t="str">
        <f aca="false">SUBSTITUTE(SUBSTITUTE(SUBSTITUTE(SUBSTITUTE(SUBSTITUTE(SUBSTITUTE(SUBSTITUTE(SUBSTITUTE(SUBSTITUTE(SUBSTITUTE(SUBSTITUTE(SUBSTITUTE(SUBSTITUTE(SUBSTITUTE(SUBSTITUTE(SUBSTITUTE(LOWER(Z308&amp;""),CHAR(10),""),CHAR(13),""),CHAR(9),""),CHAR(160),"")," ",""),".",""),"-",""),"/",""),"?",""),"_",""),",",""),"[",""),"]",""),"(",""),")",""),"*","")</f>
        <v/>
      </c>
      <c r="AX308" s="61" t="str">
        <f aca="false">SUBSTITUTE(SUBSTITUTE(SUBSTITUTE(SUBSTITUTE(SUBSTITUTE(SUBSTITUTE(SUBSTITUTE(SUBSTITUTE(SUBSTITUTE(SUBSTITUTE(SUBSTITUTE(SUBSTITUTE(SUBSTITUTE(SUBSTITUTE(SUBSTITUTE(SUBSTITUTE(LOWER(AE308&amp;""),CHAR(10),""),CHAR(13),""),CHAR(9),""),CHAR(160),"")," ",""),".",""),"-",""),"/",""),"?",""),"_",""),",",""),"[",""),"]",""),"(",""),")",""),"*","")</f>
        <v/>
      </c>
      <c r="AY308" s="61" t="str">
        <f aca="false">SUBSTITUTE(SUBSTITUTE(SUBSTITUTE(SUBSTITUTE(SUBSTITUTE(SUBSTITUTE(SUBSTITUTE(SUBSTITUTE(SUBSTITUTE(SUBSTITUTE(SUBSTITUTE(SUBSTITUTE(SUBSTITUTE(SUBSTITUTE(SUBSTITUTE(SUBSTITUTE(LOWER(W308&amp;""),CHAR(10),""),CHAR(13),""),CHAR(9),""),CHAR(160),"")," ",""),".",""),"-",""),"/",""),"?",""),"_",""),",",""),"[",""),"]",""),"(",""),")",""),"*","")</f>
        <v/>
      </c>
      <c r="AZ308" s="61" t="str">
        <f aca="false">SUBSTITUTE(SUBSTITUTE(SUBSTITUTE(SUBSTITUTE(SUBSTITUTE(SUBSTITUTE(SUBSTITUTE(SUBSTITUTE(SUBSTITUTE(SUBSTITUTE(SUBSTITUTE(SUBSTITUTE(SUBSTITUTE(SUBSTITUTE(SUBSTITUTE(SUBSTITUTE(LOWER(AC308&amp;""),CHAR(10),""),CHAR(13),""),CHAR(9),""),CHAR(160),"")," ",""),".",""),"-",""),"/",""),"?",""),"_",""),",",""),"[",""),"]",""),"(",""),")",""),"*","")</f>
        <v/>
      </c>
      <c r="BA308" s="61" t="str">
        <f aca="false">SUBSTITUTE(SUBSTITUTE(SUBSTITUTE(SUBSTITUTE(SUBSTITUTE(SUBSTITUTE(SUBSTITUTE(SUBSTITUTE(SUBSTITUTE(SUBSTITUTE(SUBSTITUTE(SUBSTITUTE(SUBSTITUTE(SUBSTITUTE(SUBSTITUTE(SUBSTITUTE(LOWER(AA308&amp;""),CHAR(10),""),CHAR(13),""),CHAR(9),""),CHAR(160),"")," ",""),".",""),"-",""),"/",""),"?",""),"_",""),",",""),"[",""),"]",""),"(",""),")",""),"*","")</f>
        <v/>
      </c>
      <c r="BB308" s="61" t="str">
        <f aca="false">IF(AND(TRIM(U308)="Pass",ISNUMBER(AF308)),IF(AF308&lt;&gt;0,"INVALID – qty variance: use Fail or Pass after CA",""),"")&amp;IF(AND(TRIM(U308)="Pass after CA",ISNUMBER(AF308)),IF(AF308&lt;&gt;0,"INVALID – after the corrective action the actual qty must equal expected (update Actual)",""),"")&amp;IF(AND(TRIM(U308)="Pass",TRIM(AB308)&lt;&gt;"",TRIM(AB308)&lt;&gt;"Closed"),"INVALID – corrective action not closed: use Fail, then Pass after CA","")&amp;IF(AND(LEN(BA308)&gt;=2,ISNA(MATCH(LEFT(BA308,255),L_Placeholder,0)),TRIM(AB308)=""),"INVALID – CA status missing for the recorded corrective action","")&amp;IF(AND(TRIM(U308)="Pass after CA",OR(OR(LEN(BA308)&lt;5,ISNUMBER(MATCH(BA308,L_Placeholder,0))),TRIM(AB308)&lt;&gt;"Closed")),"INVALID – corrective action not recorded/closed","")</f>
        <v/>
      </c>
      <c r="BC308" s="61" t="str">
        <f aca="false">" "&amp;TRIM(SUBSTITUTE(SUBSTITUTE(SUBSTITUTE(SUBSTITUTE(SUBSTITUTE(SUBSTITUTE(SUBSTITUTE(SUBSTITUTE(SUBSTITUTE(SUBSTITUTE(SUBSTITUTE(SUBSTITUTE(SUBSTITUTE(SUBSTITUTE(SUBSTITUTE(SUBSTITUTE(SUBSTITUTE(SUBSTITUTE(SUBSTITUTE(SUBSTITUTE(SUBSTITUTE(SUBSTITUTE(SUBSTITUTE(SUBSTITUTE(LOWER(V308&amp;""),CHAR(10)," "),CHAR(13)," "),CHAR(9)," "),CHAR(160)," "),"."," "),","," "),"-"," "),"/"," "),"("," "),")"," "),":"," "),";"," "),"_"," "),"–"," "),"?"," "),"!"," "),"*"," "),"["," "),"]"," "),"'"," "),"#"," "),"+"," "),"&amp;"," "),"\"," "))&amp;" "</f>
        <v>  </v>
      </c>
      <c r="BD308" s="61" t="str">
        <f aca="false">" "&amp;TRIM(SUBSTITUTE(SUBSTITUTE(SUBSTITUTE(SUBSTITUTE(SUBSTITUTE(SUBSTITUTE(SUBSTITUTE(SUBSTITUTE(SUBSTITUTE(SUBSTITUTE(SUBSTITUTE(SUBSTITUTE(SUBSTITUTE(SUBSTITUTE(SUBSTITUTE(SUBSTITUTE(SUBSTITUTE(SUBSTITUTE(SUBSTITUTE(SUBSTITUTE(SUBSTITUTE(SUBSTITUTE(SUBSTITUTE(SUBSTITUTE(LOWER(Z308&amp;""),CHAR(10)," "),CHAR(13)," "),CHAR(9)," "),CHAR(160)," "),"."," "),","," "),"-"," "),"/"," "),"("," "),")"," "),":"," "),";"," "),"_"," "),"–"," "),"?"," "),"!"," "),"*"," "),"["," "),"]"," "),"'"," "),"#"," "),"+"," "),"&amp;"," "),"\"," "))&amp;" "</f>
        <v>  </v>
      </c>
      <c r="BE308" s="61" t="str">
        <f aca="false">" "&amp;TRIM(SUBSTITUTE(SUBSTITUTE(SUBSTITUTE(SUBSTITUTE(SUBSTITUTE(SUBSTITUTE(SUBSTITUTE(SUBSTITUTE(SUBSTITUTE(SUBSTITUTE(SUBSTITUTE(SUBSTITUTE(SUBSTITUTE(SUBSTITUTE(SUBSTITUTE(SUBSTITUTE(SUBSTITUTE(SUBSTITUTE(SUBSTITUTE(SUBSTITUTE(SUBSTITUTE(SUBSTITUTE(SUBSTITUTE(SUBSTITUTE(LOWER(W308&amp;""),CHAR(10)," "),CHAR(13)," "),CHAR(9)," "),CHAR(160)," "),"."," "),","," "),"-"," "),"/"," "),"("," "),")"," "),":"," "),";"," "),"_"," "),"–"," "),"?"," "),"!"," "),"*"," "),"["," "),"]"," "),"'"," "),"#"," "),"+"," "),"&amp;"," "),"\"," "))&amp;" "</f>
        <v>  </v>
      </c>
      <c r="BF308" s="61" t="str">
        <f aca="false">" "&amp;TRIM(SUBSTITUTE(SUBSTITUTE(SUBSTITUTE(SUBSTITUTE(SUBSTITUTE(SUBSTITUTE(SUBSTITUTE(SUBSTITUTE(SUBSTITUTE(SUBSTITUTE(SUBSTITUTE(SUBSTITUTE(SUBSTITUTE(SUBSTITUTE(SUBSTITUTE(SUBSTITUTE(SUBSTITUTE(SUBSTITUTE(SUBSTITUTE(SUBSTITUTE(SUBSTITUTE(SUBSTITUTE(SUBSTITUTE(SUBSTITUTE(LOWER(AC308&amp;""),CHAR(10)," "),CHAR(13)," "),CHAR(9)," "),CHAR(160)," "),"."," "),","," "),"-"," "),"/"," "),"("," "),")"," "),":"," "),";"," "),"_"," "),"–"," "),"?"," "),"!"," "),"*"," "),"["," "),"]"," "),"'"," "),"#"," "),"+"," "),"&amp;"," "),"\"," "))&amp;" "</f>
        <v>  </v>
      </c>
      <c r="BG308" s="61" t="n">
        <f aca="false">IFERROR(IF(AND(TRIM(U308)="Pass",SUMPRODUCT((LEN(BC308)-LEN(SUBSTITUTE(BC308," "&amp;L_ResultBad&amp;" "," ")))/(LEN(L_ResultBad)+1))&gt;SUMPRODUCT((LEN(BC308)-LEN(SUBSTITUTE(BC308," "&amp;L_NegPhrase&amp;" "," ")))/(LEN(L_NegPhrase)+1))),1,0),0)</f>
        <v>0</v>
      </c>
      <c r="BH308" s="61" t="n">
        <f aca="false">IFERROR(IF(SUMPRODUCT((LEN(BC308)-LEN(SUBSTITUTE(BC308," "&amp;L_Pending&amp;" "," ")))/(LEN(L_Pending)+1))&gt;SUMPRODUCT((LEN(BC308)-LEN(SUBSTITUTE(BC308," "&amp;L_PendNeg&amp;" "," ")))/(LEN(L_PendNeg)+1))+SUMPRODUCT((LEN(BC308)-LEN(SUBSTITUTE(BC308," "&amp;L_PendPrep&amp;" "," ")))/(LEN(L_PendPrep)+1)),1,0),1)</f>
        <v>0</v>
      </c>
      <c r="BI308" s="61" t="n">
        <f aca="false">IFERROR(IF(SUMPRODUCT((LEN(BD308)-LEN(SUBSTITUTE(BD308," "&amp;L_PendStrict&amp;" "," ")))/(LEN(L_PendStrict)+1))&gt;SUMPRODUCT((LEN(BD308)-LEN(SUBSTITUTE(BD308," "&amp;L_PendNeg&amp;" "," ")))/(LEN(L_PendNeg)+1)),1,0),1)</f>
        <v>0</v>
      </c>
      <c r="BJ308" s="61" t="n">
        <f aca="false">IFERROR(IF(SUMPRODUCT((LEN(BE308)-LEN(SUBSTITUTE(BE308," "&amp;L_Pending&amp;" "," ")))/(LEN(L_Pending)+1))&gt;SUMPRODUCT((LEN(BE308)-LEN(SUBSTITUTE(BE308," "&amp;L_PendNeg&amp;" "," ")))/(LEN(L_PendNeg)+1))+SUMPRODUCT((LEN(BE308)-LEN(SUBSTITUTE(BE308," "&amp;L_PendPrep&amp;" "," ")))/(LEN(L_PendPrep)+1)),1,0),1)</f>
        <v>0</v>
      </c>
      <c r="BK308" s="61" t="n">
        <f aca="false">IFERROR(IF(SUMPRODUCT((LEN(BF308)-LEN(SUBSTITUTE(BF308," "&amp;L_PendStrict&amp;" "," ")))/(LEN(L_PendStrict)+1))&gt;SUMPRODUCT((LEN(BF308)-LEN(SUBSTITUTE(BF308," "&amp;L_PendNeg&amp;" "," ")))/(LEN(L_PendNeg)+1)),1,0),1)</f>
        <v>0</v>
      </c>
      <c r="BL308" s="61" t="n">
        <f aca="false">IF(ISNA(MATCH(TRIM(S308),L_EvidenceType,0)),0,BZ308)</f>
        <v>0</v>
      </c>
      <c r="BM308" s="61" t="str">
        <f aca="false">SUBSTITUTE(SUBSTITUTE(SUBSTITUTE(SUBSTITUTE(SUBSTITUTE(SUBSTITUTE(SUBSTITUTE(SUBSTITUTE(SUBSTITUTE(LOWER(Z308&amp;""),"1","0"),"2","0"),"3","0"),"4","0"),"5","0"),"6","0"),"7","0"),"8","0"),"9","0")</f>
        <v/>
      </c>
      <c r="BN308" s="61" t="str">
        <f aca="false">SUBSTITUTE(SUBSTITUTE(SUBSTITUTE(SUBSTITUTE(SUBSTITUTE(SUBSTITUTE(SUBSTITUTE(SUBSTITUTE(SUBSTITUTE(SUBSTITUTE(SUBSTITUTE(SUBSTITUTE(SUBSTITUTE(SUBSTITUTE(SUBSTITUTE(SUBSTITUTE(SUBSTITUTE(SUBSTITUTE(SUBSTITUTE(SUBSTITUTE(SUBSTITUTE(SUBSTITUTE(SUBSTITUTE(SUBSTITUTE(SUBSTITUTE(BM308,"b","a"),"c","a"),"d","a"),"e","a"),"f","a"),"g","a"),"h","a"),"i","a"),"j","a"),"k","a"),"l","a"),"m","a"),"n","a"),"o","a"),"p","a"),"q","a"),"r","a"),"s","a"),"t","a"),"u","a"),"v","a"),"w","a"),"x","a"),"y","a"),"z","a")</f>
        <v/>
      </c>
      <c r="BO308" s="61" t="str">
        <f aca="false">SUBSTITUTE(SUBSTITUTE(SUBSTITUTE(SUBSTITUTE(SUBSTITUTE(SUBSTITUTE(SUBSTITUTE(SUBSTITUTE(SUBSTITUTE(LOWER(W308&amp;""),"1","0"),"2","0"),"3","0"),"4","0"),"5","0"),"6","0"),"7","0"),"8","0"),"9","0")</f>
        <v/>
      </c>
      <c r="BP308" s="61" t="str">
        <f aca="false">SUBSTITUTE(SUBSTITUTE(SUBSTITUTE(SUBSTITUTE(SUBSTITUTE(SUBSTITUTE(SUBSTITUTE(SUBSTITUTE(SUBSTITUTE(SUBSTITUTE(SUBSTITUTE(SUBSTITUTE(SUBSTITUTE(SUBSTITUTE(SUBSTITUTE(SUBSTITUTE(SUBSTITUTE(SUBSTITUTE(SUBSTITUTE(SUBSTITUTE(SUBSTITUTE(SUBSTITUTE(SUBSTITUTE(SUBSTITUTE(SUBSTITUTE(BO308,"b","a"),"c","a"),"d","a"),"e","a"),"f","a"),"g","a"),"h","a"),"i","a"),"j","a"),"k","a"),"l","a"),"m","a"),"n","a"),"o","a"),"p","a"),"q","a"),"r","a"),"s","a"),"t","a"),"u","a"),"v","a"),"w","a"),"x","a"),"y","a"),"z","a")</f>
        <v/>
      </c>
      <c r="BQ308" s="61" t="n">
        <f aca="false">IFERROR(IF(AND(ISERROR(SEARCH(" mh"," "&amp;LOWER(W308))),ISNA(MATCH(LEFT(TRIM(BP308),255),{"0000a","000a","00a","0000aa","000aa","00aa","0aa","0000aaa","000aaa","00a00","0a00","0000-0000","00:00","a00","a0","00.00.0000","00/00/0000","00-00-0000","0000-00-00","0000/00/00","0000.00.00","00.00.00","00/00/00","00-00-00","0.00.0000","0/00/0000","0-00-0000"},0)),ISNA(MATCH(LEFT(TRIM(CA308),255),{"0000a","000a","00a","0000aa","000aa","00aa","0aa","0000aaa","000aaa","00a00","0a00","0000-0000","00:00","a00","a0","00.00.0000","00/00/0000","00-00-0000","0000-00-00","0000/00/00","0000.00.00","00.00.00","00/00/00","00-00-00","0.00.0000","0/00/0000","0-00-0000"},0)),LEN(CB308)&gt;=3,NOT(OR(SUBSTITUTE(CB308,"0","")="",AND(LEN(CB308)&gt;=4,CB308=REPT(LEFT(CB308),LEN(CB308))),ISNUMBER(MATCH(CB308,{"123","1234","12345","123456","1234567","12345678","0123","01234","012345","98765","987654","54321"},0)),AND(LEN(CB308)=8,LEFT(CB308,3)="202"))),OR(AND((LEN(CA308)-LEN(SUBSTITUTE(CA308,"a","")))&gt;=1,SUMPRODUCT(--ISNUMBER(SEARCH({"a0","a-0","a_0","a/0","a.0","a#0","0a","0-a","0_a","0/a"},BP308)))&gt;0),ISNUMBER(SEARCH("000000",BP308)))),1,0),0)</f>
        <v>0</v>
      </c>
      <c r="BR308" s="61" t="n">
        <f aca="false">IFERROR(LEN(SUBSTITUTE(CC308," ",""))-SUMPRODUCT((LEN(CC308)-LEN(SUBSTITUTE(CC308," "&amp;L_Role&amp;" "," ")))/(LEN(L_Role)+1)*LEN(L_Role)),0)</f>
        <v>0</v>
      </c>
      <c r="BS308" s="61" t="n">
        <f aca="false">IFERROR(LEN(SUBSTITUTE(CD308," ",""))-SUMPRODUCT((LEN(CD308)-LEN(SUBSTITUTE(CD308," "&amp;L_Role&amp;" "," ")))/(LEN(L_Role)+1)*LEN(L_Role)),0)</f>
        <v>0</v>
      </c>
      <c r="BT3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308,"revision",""),"version",""),"jan",""),"feb",""),"mar",""),"apr",""),"may",""),"jun",""),"jul",""),"aug",""),"sep",""),"oct",""),"nov",""),"dec",""),"utc",""),"gmt",""),"myt",""),"bst",""),"rev",""),"ver",""),"b","a"),"c","a"),"d","a"),"e","a"),"f","a"),"g","a"),"h","a"),"i","a"),"j","a"),"k","a"),"l","a"),"m","a"),"n","a"),"o","a"),"p","a"),"q","a"),"r","a"),"s","a"),"t","a"),"u","a"),"v","a"),"w","a"),"x","a"),"y","a"),"z","a")</f>
        <v/>
      </c>
      <c r="BU308" s="61" t="str">
        <f aca="false">SUBSTITUTE(SUBSTITUTE(SUBSTITUTE(SUBSTITUTE(SUBSTITUTE(SUBSTITUTE(SUBSTITUTE(SUBSTITUTE(SUBSTITUTE(SUBSTITUTE(LEFT(BM308,FIND("0",BM308&amp;"0")-1),"-",""),"_",""),"/",""),".",""),"#",""),"\\",""),":","")," ",""),"(",""),")","")</f>
        <v/>
      </c>
      <c r="BV308" s="61" t="n">
        <f aca="false">0</f>
        <v>0</v>
      </c>
      <c r="BW3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308&amp;""),"a",""),"b",""),"c",""),"d",""),"e",""),"f",""),"g",""),"h",""),"i",""),"j",""),"k",""),"l",""),"m",""),"n",""),"o",""),"p",""),"q",""),"r",""),"s",""),"t",""),"u",""),"v",""),"w",""),"x",""),"y",""),"z",""),"-",""),"_",""),"/",""),".",""),"#",""),"\\",""),":","")," ",""),"(",""),")","")</f>
        <v/>
      </c>
      <c r="BX308" s="61" t="str">
        <f aca="false">SUBSTITUTE(SUBSTITUTE(SUBSTITUTE(SUBSTITUTE(SUBSTITUTE(SUBSTITUTE(SUBSTITUTE(SUBSTITUTE(SUBSTITUTE(SUBSTITUTE(SUBSTITUTE(BM308,"0",""),"-",""),"_",""),"/",""),".",""),"#",""),"\\",""),":","")," ",""),"(",""),")","")</f>
        <v/>
      </c>
      <c r="BY308" s="62" t="n">
        <f aca="false">Q308-T12EarlyH/24</f>
        <v>46305.2534722222</v>
      </c>
      <c r="BZ308" s="61" t="n">
        <f aca="false">IFERROR(IF(IF(TRIM(S308)="Link / file path",AND(LEN(TRIM(Z308))&gt;=5,SUMPRODUCT(--ISNUMBER(SEARCH({"http","www.","\\",":\",".pdf",".jpg",".jpeg",".png",".heic",".xls",".doc",".msg",".eml",".ppt",".txt",".zip"},Z308)))&gt;0),AND(ISERROR(FIND(" ",TRIM(Z308))),NOT(OR(SUMPRODUCT(--ISNUMBER(FIND({",",";","&amp;","+"},Z308)))&gt;0,SUMPRODUCT(--ISNUMBER(SEARCH({"0/aa","0\\aa"},BN308)))&gt;0)),NOT(SUMPRODUCT(--ISNUMBER(SEARCH({"http","www.","\\",":\",".pdf",".jpg",".jpeg",".png",".heic",".xls",".doc",".msg",".eml",".ppt",".txt",".zip"},Z308)))&gt;0),NOT(LOWER(TRIM(Z308))=LOWER(Flights!$F$13)),ISNA(MATCH(BU308,{"mh","rev","revision","ver","version","v","r","a","b","seat","tray","row","gate","bay","stand","page","pg","item","line","no","cart","galley","flight","flt","table","box","bag","oven","etd","eta","std","sta","atd","ata","qty","pax","x","time","tel","ph","mob","day","wk","week","utc","gmt","myt","lt"},0)),NOT(OR(ISNUMBER(MATCH(LEFT(BN308,255),{"0000a","000a","00a","0000aa","000aa","00aa","0aa","0000aaa","000aaa","00a00","0a00","0000-0000","00:00","a00","a0","00.00.0000","00/00/0000","00-00-0000","0000-00-00","0000/00/00","0000.00.00","00.00.00","00/00/00","00-00-00","0.00.0000","0/00/0000","0-00-0000"},0)),ISNUMBER(MATCH(LEFT(BT308,255),{"0000a","000a","00a","0000aa","000aa","00aa","0aa","0000aaa","000aaa","00a00","0a00","0000-0000","00:00","a00","a0","00.00.0000","00/00/0000","00-00-0000","0000-00-00","0000/00/00","0000.00.00","00.00.00","00/00/00","00-00-00","0.00.0000","0/00/0000","0-00-0000"},0)))),NOT(OR(AND(BW308&lt;&gt;"",SUBSTITUTE(BW308,"0","")=""),AND(LEN(BW308)&gt;=4,BW308=REPT(LEFT(BW308),LEN(BW308))),ISNUMBER(MATCH(BW308,{"123","1234","12345","123456","1234567","12345678","0123","01234","012345","98765","987654","54321"},0)),ISNUMBER(MATCH(BX308,{"x","xx","xxx","xxxx","xxxxx","abc","abcd","nil","na","nan","test","tbc","tba","tbd","dummy","sample","example","eg","zz","zzz","none","null","xyz","qwe","asd","id","ref"},0)),AND(LEN(BW308)=8,BX308="",OR(LEFT(BW308,3)="202",ISNUMBER(MATCH(RIGHT(BW308,4),{"2025","2026","2027"},0)))))),OR(AND((LEN(BT308)-LEN(SUBSTITUTE(BT308,"a","")))&gt;=1,(LEN(BN308)-LEN(SUBSTITUTE(BN308,"0","")))&gt;=2,SUMPRODUCT(--ISNUMBER(SEARCH({"a0","a-0","a_0","a/0","a.0","a#0","0a","0-a","0_a","0/a"},BN308)))&gt;0),AND((LEN(BN308)-LEN(SUBSTITUTE(BN308,"a","")))=0,(LEN(BN308)-LEN(SUBSTITUTE(BN308,"0","")))&gt;=5)))),1,0),0)</f>
        <v>0</v>
      </c>
      <c r="CA3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308,"revision",""),"version",""),"jan",""),"feb",""),"mar",""),"apr",""),"may",""),"jun",""),"jul",""),"aug",""),"sep",""),"oct",""),"nov",""),"dec",""),"utc",""),"gmt",""),"myt",""),"bst",""),"rev",""),"ver",""),"b","a"),"c","a"),"d","a"),"e","a"),"f","a"),"g","a"),"h","a"),"i","a"),"j","a"),"k","a"),"l","a"),"m","a"),"n","a"),"o","a"),"p","a"),"q","a"),"r","a"),"s","a"),"t","a"),"u","a"),"v","a"),"w","a"),"x","a"),"y","a"),"z","a")</f>
        <v/>
      </c>
      <c r="CB3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308&amp;""),"a",""),"b",""),"c",""),"d",""),"e",""),"f",""),"g",""),"h",""),"i",""),"j",""),"k",""),"l",""),"m",""),"n",""),"o",""),"p",""),"q",""),"r",""),"s",""),"t",""),"u",""),"v",""),"w",""),"x",""),"y",""),"z",""),"-",""),"_",""),"/",""),".",""),"#",""),"\\",""),":","")," ",""),"(",""),")","")</f>
        <v/>
      </c>
      <c r="CC308" s="0" t="str">
        <f aca="false">" "&amp;TRIM(SUBSTITUTE(SUBSTITUTE(SUBSTITUTE(SUBSTITUTE(SUBSTITUTE(SUBSTITUTE(SUBSTITUTE(SUBSTITUTE(SUBSTITUTE(SUBSTITUTE(SUBSTITUTE(SUBSTITUTE(SUBSTITUTE(SUBSTITUTE(SUBSTITUTE(SUBSTITUTE(SUBSTITUTE(SUBSTITUTE(SUBSTITUTE(SUBSTITUTE(SUBSTITUTE(SUBSTITUTE(SUBSTITUTE(SUBSTITUTE(LOWER(T308&amp;""),CHAR(10)," "),CHAR(13)," "),CHAR(9)," "),CHAR(160)," "),"."," "),","," "),"-"," "),"/"," "),"("," "),")"," "),":"," "),";"," "),"_"," "),"–"," "),"?"," "),"!"," "),"*"," "),"["," "),"]"," "),"'"," "),"#"," "),"+"," "),"&amp;"," "),"\"," "))&amp;" "</f>
        <v>  </v>
      </c>
      <c r="CD308" s="0" t="str">
        <f aca="false">" "&amp;TRIM(SUBSTITUTE(SUBSTITUTE(SUBSTITUTE(SUBSTITUTE(SUBSTITUTE(SUBSTITUTE(SUBSTITUTE(SUBSTITUTE(SUBSTITUTE(SUBSTITUTE(SUBSTITUTE(SUBSTITUTE(SUBSTITUTE(SUBSTITUTE(SUBSTITUTE(SUBSTITUTE(SUBSTITUTE(SUBSTITUTE(SUBSTITUTE(SUBSTITUTE(SUBSTITUTE(SUBSTITUTE(SUBSTITUTE(SUBSTITUTE(LOWER(AE308&amp;""),CHAR(10)," "),CHAR(13)," "),CHAR(9)," "),CHAR(160)," "),"."," "),","," "),"-"," "),"/"," "),"("," "),")"," "),":"," "),";"," "),"_"," "),"–"," "),"?"," "),"!"," "),"*"," "),"["," "),"]"," "),"'"," "),"#"," "),"+"," "),"&amp;"," "),"\"," "))&amp;" "</f>
        <v>  </v>
      </c>
      <c r="CE308" s="68" t="n">
        <f aca="false">IFERROR(IF(AND(LEN(AU308)&gt;0,LEN(AU308)=LEN(AX308),OR(TRIM(MID(SUBSTITUTE(TRIM(CC308)," ",REPT(" ",60)),1,60))="",ISNUMBER(SEARCH(" "&amp;TRIM(MID(SUBSTITUTE(TRIM(CC308)," ",REPT(" ",60)),1,60))&amp;" ",CD308))),OR(TRIM(MID(SUBSTITUTE(TRIM(CC308)," ",REPT(" ",60)),61,60))="",ISNUMBER(SEARCH(" "&amp;TRIM(MID(SUBSTITUTE(TRIM(CC308)," ",REPT(" ",60)),61,60))&amp;" ",CD308))),OR(TRIM(MID(SUBSTITUTE(TRIM(CC308)," ",REPT(" ",60)),121,60))="",ISNUMBER(SEARCH(" "&amp;TRIM(MID(SUBSTITUTE(TRIM(CC308)," ",REPT(" ",60)),121,60))&amp;" ",CD308)))),1,0),0)</f>
        <v>0</v>
      </c>
      <c r="CG308" s="68" t="n">
        <f aca="false">IFERROR(LEN(SUBSTITUTE(BF308," ",""))-SUMPRODUCT((LEN(BF308)-LEN(SUBSTITUTE(BF308," "&amp;L_NAFiller&amp;" "," ")))/(LEN(L_NAFiller)+1)*LEN(L_NAFiller)),0)</f>
        <v>0</v>
      </c>
    </row>
    <row r="309" customFormat="false" ht="41.25" hidden="false" customHeight="true" outlineLevel="0" collapsed="false">
      <c r="A309" s="57" t="s">
        <v>897</v>
      </c>
      <c r="B309" s="57" t="s">
        <v>246</v>
      </c>
      <c r="C309" s="57" t="str">
        <f aca="false">Flights!$F$13</f>
        <v>MH0753</v>
      </c>
      <c r="D309" s="58" t="n">
        <f aca="false">Flights!$D$13</f>
        <v>46306</v>
      </c>
      <c r="E309" s="57" t="str">
        <f aca="false">Flights!$G$13&amp;"-"&amp;Flights!$H$13</f>
        <v>HAN-KUL</v>
      </c>
      <c r="F309" s="57" t="str">
        <f aca="false">Flights!$K$13</f>
        <v>BC</v>
      </c>
      <c r="G309" s="57" t="s">
        <v>420</v>
      </c>
      <c r="H309" s="57" t="s">
        <v>378</v>
      </c>
      <c r="I309" s="57" t="s">
        <v>447</v>
      </c>
      <c r="J309" s="57" t="s">
        <v>529</v>
      </c>
      <c r="K309" s="67" t="s">
        <v>449</v>
      </c>
      <c r="L309" s="67" t="s">
        <v>898</v>
      </c>
      <c r="M309" s="67" t="s">
        <v>451</v>
      </c>
      <c r="N309" s="67" t="s">
        <v>383</v>
      </c>
      <c r="O309" s="67" t="s">
        <v>880</v>
      </c>
      <c r="P309" s="57" t="s">
        <v>240</v>
      </c>
      <c r="Q309" s="59" t="n">
        <f aca="false">ROUND((Flights!$AE$13)*1440,0)/1440</f>
        <v>46305.7534722222</v>
      </c>
      <c r="R309" s="59" t="n">
        <f aca="false">Q309+(IF(AND(INDEX(TZ_DSTS,MATCH(P309,TZ_STN,0))&lt;&gt;"",Q309&gt;=INDEX(TZ_DSTS,MATCH(P309,TZ_STN,0)),Q309&lt;INDEX(TZ_DSTE,MATCH(P309,TZ_STN,0))),INDEX(TZ_DST,MATCH(P309,TZ_STN,0)),INDEX(TZ_STD,MATCH(P309,TZ_STN,0))))/24</f>
        <v>46306.0451388889</v>
      </c>
      <c r="S309" s="60"/>
      <c r="T309" s="60"/>
      <c r="U309" s="60"/>
      <c r="V309" s="60"/>
      <c r="W309" s="61"/>
      <c r="X309" s="60"/>
      <c r="Y309" s="60"/>
      <c r="Z309" s="60"/>
      <c r="AA309" s="60"/>
      <c r="AB309" s="60"/>
      <c r="AC309" s="60"/>
      <c r="AD309" s="66"/>
      <c r="AE309" s="60"/>
      <c r="AF309" s="61" t="str">
        <f aca="false">IF(AND(ISNUMBER(X309),ISNUMBER(Y309)),Y309-X309,"")</f>
        <v/>
      </c>
      <c r="AG309" s="62" t="str">
        <f aca="false">IF(ISNUMBER(AD309),AD309-(IF(AND(INDEX(TZ_DSTS,MATCH(P309,TZ_STN,0))&lt;&gt;"",(AD309-INDEX(TZ_STD,MATCH(P309,TZ_STN,0))/24)&gt;=INDEX(TZ_DSTS,MATCH(P309,TZ_STN,0)),(AD309-INDEX(TZ_STD,MATCH(P309,TZ_STN,0))/24)&lt;INDEX(TZ_DSTE,MATCH(P309,TZ_STN,0))),INDEX(TZ_DST,MATCH(P309,TZ_STN,0)),INDEX(TZ_STD,MATCH(P309,TZ_STN,0))))/24,"")</f>
        <v/>
      </c>
      <c r="AH309" s="65" t="str">
        <f aca="false">IFERROR(IF(N309="N/A – rule",IF(OR(TRIM(U309)="",TRIM(U309)="N/A",TRIM(U309)="Not started"),"N/A – RULE","INVALID – this check does not apply to this aircraft: clear the status (or correct the fleet on Flights)"),IF(TRIM(U309)="N/A",IF(AT309=0,"INVALID – N/A not permitted for this check",IF(AND(TRIM(AB309)&lt;&gt;"",TRIM(AB309)&lt;&gt;"Closed"),"INVALID – corrective action still open",IF(AND(NOT(OR(LEN(AZ309)&lt;15,ISNUMBER(MATCH(AZ309,L_Placeholder,0)))),BK309=0,CG309&gt;=8,NOT(OR(LEN(AU309)&lt;2,ISNUMBER(MATCH(AU309,L_Placeholder,0)))),BR309&gt;=3,NOT(OR(LEN(AX309)&lt;2,ISNUMBER(MATCH(AX309,L_Placeholder,0)))),BS309&gt;=3,TRIM(AE309)&lt;&gt;TRIM(T309),AX309&lt;&gt;AU309,CE309=0),"N/A – JUSTIFIED","INVALID – N/A needs a real, settled reason (not 'not applicable' / 'as above' / TBC), a named PIC and a different named verifier"))),IF(OR(TRIM(U309)="Pass",TRIM(U309)="Pass after CA"),IF(NOT(ISNUMBER(AD309)),"INVALID – completion time missing",IF(OR(OR(LEN(AU309)&lt;2,ISNUMBER(MATCH(AU309,L_Placeholder,0))),BR309&lt;3),"INVALID – PIC missing or not a named person (a role such as QA / CSM is not a name)",IF(OR(LEN(AV309)&lt;2,ISNUMBER(MATCH(AV309,L_Placeholder,0))),"INVALID – result / assessment missing",IF(OR(OR(LEN(AW309)&lt;3,ISNUMBER(MATCH(AW309,L_Placeholder,0))),SUMPRODUCT(--ISNUMBER(SEARCH(" "&amp;L_EvidencePhrase&amp;" ",BD309)))&gt;0,BI309=1),"INVALID – evidence missing, placeholder or not yet on file",IF(ISNA(MATCH(TRIM(S309),L_EvidenceType,0)),"INVALID – choose the evidence type from the list (column S)",IF(BL309=0,"INVALID – evidence ID must be the record's own ID only (e.g. SF-2210, IMG_2231, 1045521); a link / file name needs type 'Link / file path'",IF(OR(OR(LEN(AX309)&lt;2,ISNUMBER(MATCH(AX309,L_Placeholder,0))),BS309&lt;3),"INVALID – verifier missing or not a named person (a role such as QA / CSM is not a name)",IF(OR(AX309=AU309,CE309=1,AND(LEN(AU309)&gt;=4,ISNUMBER(SEARCH(AU309,AX309))),AND(LEN(AX309)&gt;=4,ISNUMBER(SEARCH(AX309,AU309)))),"INVALID – verifier must be a different, named person (not the PIC or a role)",IF(BH309=1,"INVALID – result not yet available (awaiting / TBC)",IF(BG309=1,"INVALID – result describes a problem: record Fail, then Pass after CA (or reword if it is not a problem)",IF(BV309=1,"INVALID – wording says not on board: an on-board confirmation needs the item loaded",IF(AND(AQ309=1,OR(OR(LEN(AY309)&lt;3,ISNUMBER(MATCH(AY309,L_Placeholder,0))),BJ309=1,BQ309=0)),"INVALID – batch ID missing, placeholder or not an ID (e.g. PASB-261008-BC-017)",IF(AND(AR309=1,OR(NOT(ISNUMBER(X309)),NOT(ISNUMBER(Y309)))),"INVALID – expected/actual qty missing",IF(AND(AR309=1,OR(X309&lt;=0,Y309&lt;0)),"INVALID – expected qty must be above 0 and actual not negative",IF(BB309&lt;&gt;"",BB309,IF(AND(AS309=1,Documents!$J$13&lt;&gt;"ON FILE"),"INVALID – GLD not on file (Documents sheet)",IF(AND(AS309=2,Documents!$O$13&lt;&gt;"ON FILE"),"INVALID – menu checklist not on file (Documents sheet)",IF(AND(AS309=3,NOT(ISNUMBER(Flights!$AX$13))),"INVALID – enter carrying flight KUL departure (Flights AX)",IF(AND(AS309=3,OR(Flights!$AZ$13&gt;Flights!$AA$13,Flights!$AX$13&lt;Flights!$AA$13-3)),"INVALID – carrying flight (Flights AX) cannot arrive before this leg's STD, or is over 3 days early",IF(AG309&gt;AsOfUTC,"INVALID – completion time is in the future",IF(AND(ISNUMBER(BY309),AG309&lt;BY309),IF(H309="Physical uplift","INVALID – before uplift window (cannot confirm loading)","INVALID – before valid window"),IF(AG309&gt;Flights!$AA$13,"INVALID – completed after departure (cannot establish readiness)",IF(AND(H309="Preparation",AG309&gt;=IF(ISNUMBER(Flights!$BA$13),MIN(Flights!$BA$13,Flights!$AA$13),Flights!$AA$13)),"INVALID – completed after loading / departure (cannot establish readiness)",IF(AND(H309="Physical uplift",AG309&gt;Q309),"INVALID – recorded after the loading flight departed",IF(AG309&gt;Q309,"COMPLETE – LATE","COMPLETE"))))))))))))))))))))))))),IF(TRIM(U309)="Fail","FAIL – DISCREPANCY",IF(AND(TRIM(U309)&lt;&gt;"",TRIM(U309)&lt;&gt;"Not started",TRIM(U309)&lt;&gt;"In progress"),"INVALID – unrecognised status (use the list)",IF(AsOfUTC&gt;Q309,"OVERDUE",IF(N309="Clarification required","OPEN – CLARIFICATION","OPEN"))))))),"INVALID – error value in an input cell")</f>
        <v>OPEN</v>
      </c>
      <c r="AI309" s="61" t="n">
        <f aca="false">IF(OR(AH309="N/A – RULE",AH309="N/A – JUSTIFIED"),0,1)</f>
        <v>1</v>
      </c>
      <c r="AJ309" s="61" t="n">
        <f aca="false">IF(LEFT(AH309,8)="COMPLETE",1,0)</f>
        <v>0</v>
      </c>
      <c r="AK309" s="61" t="n">
        <f aca="false">IF(AND(AI309=1,AJ309=0,AsOfUTC&gt;Q309),1,0)</f>
        <v>0</v>
      </c>
      <c r="AL309" s="61" t="n">
        <f aca="false">IFERROR(IF(AND(AI309=1,OR(TRIM(U309)="Fail",AND(TRIM(AB309)&lt;&gt;"",TRIM(AB309)&lt;&gt;"Closed"),AND(ISNUMBER(AF309),AF309&lt;&gt;0,TRIM(U309)&lt;&gt;"Pass after CA"))),1,0),1)</f>
        <v>0</v>
      </c>
      <c r="AM309" s="61" t="n">
        <f aca="false">IF(LEFT(AH309,7)="INVALID",1,0)</f>
        <v>0</v>
      </c>
      <c r="AN309" s="61" t="n">
        <f aca="false">IF(AND(N309="Clarification required",AI309=1,AJ309=0),1,0)</f>
        <v>0</v>
      </c>
      <c r="AO309" s="61" t="str">
        <f aca="false">IF(AK309=1,SUM(AK$5:AK309),"")</f>
        <v/>
      </c>
      <c r="AP309" s="61" t="str">
        <f aca="false">IF(AL309=1,SUM(AL$5:AL309),"")</f>
        <v/>
      </c>
      <c r="AQ309" s="61" t="n">
        <v>0</v>
      </c>
      <c r="AR309" s="61" t="n">
        <v>0</v>
      </c>
      <c r="AS309" s="61" t="n">
        <v>0</v>
      </c>
      <c r="AT309" s="61" t="n">
        <v>0</v>
      </c>
      <c r="AU309" s="61" t="str">
        <f aca="false">SUBSTITUTE(SUBSTITUTE(SUBSTITUTE(SUBSTITUTE(SUBSTITUTE(SUBSTITUTE(SUBSTITUTE(SUBSTITUTE(SUBSTITUTE(SUBSTITUTE(SUBSTITUTE(SUBSTITUTE(SUBSTITUTE(SUBSTITUTE(SUBSTITUTE(SUBSTITUTE(LOWER(T309&amp;""),CHAR(10),""),CHAR(13),""),CHAR(9),""),CHAR(160),"")," ",""),".",""),"-",""),"/",""),"?",""),"_",""),",",""),"[",""),"]",""),"(",""),")",""),"*","")</f>
        <v/>
      </c>
      <c r="AV309" s="61" t="str">
        <f aca="false">SUBSTITUTE(SUBSTITUTE(SUBSTITUTE(SUBSTITUTE(SUBSTITUTE(SUBSTITUTE(SUBSTITUTE(SUBSTITUTE(SUBSTITUTE(SUBSTITUTE(SUBSTITUTE(SUBSTITUTE(SUBSTITUTE(SUBSTITUTE(SUBSTITUTE(SUBSTITUTE(LOWER(V309&amp;""),CHAR(10),""),CHAR(13),""),CHAR(9),""),CHAR(160),"")," ",""),".",""),"-",""),"/",""),"?",""),"_",""),",",""),"[",""),"]",""),"(",""),")",""),"*","")</f>
        <v/>
      </c>
      <c r="AW309" s="61" t="str">
        <f aca="false">SUBSTITUTE(SUBSTITUTE(SUBSTITUTE(SUBSTITUTE(SUBSTITUTE(SUBSTITUTE(SUBSTITUTE(SUBSTITUTE(SUBSTITUTE(SUBSTITUTE(SUBSTITUTE(SUBSTITUTE(SUBSTITUTE(SUBSTITUTE(SUBSTITUTE(SUBSTITUTE(LOWER(Z309&amp;""),CHAR(10),""),CHAR(13),""),CHAR(9),""),CHAR(160),"")," ",""),".",""),"-",""),"/",""),"?",""),"_",""),",",""),"[",""),"]",""),"(",""),")",""),"*","")</f>
        <v/>
      </c>
      <c r="AX309" s="61" t="str">
        <f aca="false">SUBSTITUTE(SUBSTITUTE(SUBSTITUTE(SUBSTITUTE(SUBSTITUTE(SUBSTITUTE(SUBSTITUTE(SUBSTITUTE(SUBSTITUTE(SUBSTITUTE(SUBSTITUTE(SUBSTITUTE(SUBSTITUTE(SUBSTITUTE(SUBSTITUTE(SUBSTITUTE(LOWER(AE309&amp;""),CHAR(10),""),CHAR(13),""),CHAR(9),""),CHAR(160),"")," ",""),".",""),"-",""),"/",""),"?",""),"_",""),",",""),"[",""),"]",""),"(",""),")",""),"*","")</f>
        <v/>
      </c>
      <c r="AY309" s="61" t="str">
        <f aca="false">SUBSTITUTE(SUBSTITUTE(SUBSTITUTE(SUBSTITUTE(SUBSTITUTE(SUBSTITUTE(SUBSTITUTE(SUBSTITUTE(SUBSTITUTE(SUBSTITUTE(SUBSTITUTE(SUBSTITUTE(SUBSTITUTE(SUBSTITUTE(SUBSTITUTE(SUBSTITUTE(LOWER(W309&amp;""),CHAR(10),""),CHAR(13),""),CHAR(9),""),CHAR(160),"")," ",""),".",""),"-",""),"/",""),"?",""),"_",""),",",""),"[",""),"]",""),"(",""),")",""),"*","")</f>
        <v/>
      </c>
      <c r="AZ309" s="61" t="str">
        <f aca="false">SUBSTITUTE(SUBSTITUTE(SUBSTITUTE(SUBSTITUTE(SUBSTITUTE(SUBSTITUTE(SUBSTITUTE(SUBSTITUTE(SUBSTITUTE(SUBSTITUTE(SUBSTITUTE(SUBSTITUTE(SUBSTITUTE(SUBSTITUTE(SUBSTITUTE(SUBSTITUTE(LOWER(AC309&amp;""),CHAR(10),""),CHAR(13),""),CHAR(9),""),CHAR(160),"")," ",""),".",""),"-",""),"/",""),"?",""),"_",""),",",""),"[",""),"]",""),"(",""),")",""),"*","")</f>
        <v/>
      </c>
      <c r="BA309" s="61" t="str">
        <f aca="false">SUBSTITUTE(SUBSTITUTE(SUBSTITUTE(SUBSTITUTE(SUBSTITUTE(SUBSTITUTE(SUBSTITUTE(SUBSTITUTE(SUBSTITUTE(SUBSTITUTE(SUBSTITUTE(SUBSTITUTE(SUBSTITUTE(SUBSTITUTE(SUBSTITUTE(SUBSTITUTE(LOWER(AA309&amp;""),CHAR(10),""),CHAR(13),""),CHAR(9),""),CHAR(160),"")," ",""),".",""),"-",""),"/",""),"?",""),"_",""),",",""),"[",""),"]",""),"(",""),")",""),"*","")</f>
        <v/>
      </c>
      <c r="BB309" s="61" t="str">
        <f aca="false">IF(AND(TRIM(U309)="Pass",ISNUMBER(AF309)),IF(AF309&lt;&gt;0,"INVALID – qty variance: use Fail or Pass after CA",""),"")&amp;IF(AND(TRIM(U309)="Pass after CA",ISNUMBER(AF309)),IF(AF309&lt;&gt;0,"INVALID – after the corrective action the actual qty must equal expected (update Actual)",""),"")&amp;IF(AND(TRIM(U309)="Pass",TRIM(AB309)&lt;&gt;"",TRIM(AB309)&lt;&gt;"Closed"),"INVALID – corrective action not closed: use Fail, then Pass after CA","")&amp;IF(AND(LEN(BA309)&gt;=2,ISNA(MATCH(LEFT(BA309,255),L_Placeholder,0)),TRIM(AB309)=""),"INVALID – CA status missing for the recorded corrective action","")&amp;IF(AND(TRIM(U309)="Pass after CA",OR(OR(LEN(BA309)&lt;5,ISNUMBER(MATCH(BA309,L_Placeholder,0))),TRIM(AB309)&lt;&gt;"Closed")),"INVALID – corrective action not recorded/closed","")</f>
        <v/>
      </c>
      <c r="BC309" s="61" t="str">
        <f aca="false">" "&amp;TRIM(SUBSTITUTE(SUBSTITUTE(SUBSTITUTE(SUBSTITUTE(SUBSTITUTE(SUBSTITUTE(SUBSTITUTE(SUBSTITUTE(SUBSTITUTE(SUBSTITUTE(SUBSTITUTE(SUBSTITUTE(SUBSTITUTE(SUBSTITUTE(SUBSTITUTE(SUBSTITUTE(SUBSTITUTE(SUBSTITUTE(SUBSTITUTE(SUBSTITUTE(SUBSTITUTE(SUBSTITUTE(SUBSTITUTE(SUBSTITUTE(LOWER(V309&amp;""),CHAR(10)," "),CHAR(13)," "),CHAR(9)," "),CHAR(160)," "),"."," "),","," "),"-"," "),"/"," "),"("," "),")"," "),":"," "),";"," "),"_"," "),"–"," "),"?"," "),"!"," "),"*"," "),"["," "),"]"," "),"'"," "),"#"," "),"+"," "),"&amp;"," "),"\"," "))&amp;" "</f>
        <v>  </v>
      </c>
      <c r="BD309" s="61" t="str">
        <f aca="false">" "&amp;TRIM(SUBSTITUTE(SUBSTITUTE(SUBSTITUTE(SUBSTITUTE(SUBSTITUTE(SUBSTITUTE(SUBSTITUTE(SUBSTITUTE(SUBSTITUTE(SUBSTITUTE(SUBSTITUTE(SUBSTITUTE(SUBSTITUTE(SUBSTITUTE(SUBSTITUTE(SUBSTITUTE(SUBSTITUTE(SUBSTITUTE(SUBSTITUTE(SUBSTITUTE(SUBSTITUTE(SUBSTITUTE(SUBSTITUTE(SUBSTITUTE(LOWER(Z309&amp;""),CHAR(10)," "),CHAR(13)," "),CHAR(9)," "),CHAR(160)," "),"."," "),","," "),"-"," "),"/"," "),"("," "),")"," "),":"," "),";"," "),"_"," "),"–"," "),"?"," "),"!"," "),"*"," "),"["," "),"]"," "),"'"," "),"#"," "),"+"," "),"&amp;"," "),"\"," "))&amp;" "</f>
        <v>  </v>
      </c>
      <c r="BE309" s="61" t="str">
        <f aca="false">" "&amp;TRIM(SUBSTITUTE(SUBSTITUTE(SUBSTITUTE(SUBSTITUTE(SUBSTITUTE(SUBSTITUTE(SUBSTITUTE(SUBSTITUTE(SUBSTITUTE(SUBSTITUTE(SUBSTITUTE(SUBSTITUTE(SUBSTITUTE(SUBSTITUTE(SUBSTITUTE(SUBSTITUTE(SUBSTITUTE(SUBSTITUTE(SUBSTITUTE(SUBSTITUTE(SUBSTITUTE(SUBSTITUTE(SUBSTITUTE(SUBSTITUTE(LOWER(W309&amp;""),CHAR(10)," "),CHAR(13)," "),CHAR(9)," "),CHAR(160)," "),"."," "),","," "),"-"," "),"/"," "),"("," "),")"," "),":"," "),";"," "),"_"," "),"–"," "),"?"," "),"!"," "),"*"," "),"["," "),"]"," "),"'"," "),"#"," "),"+"," "),"&amp;"," "),"\"," "))&amp;" "</f>
        <v>  </v>
      </c>
      <c r="BF309" s="61" t="str">
        <f aca="false">" "&amp;TRIM(SUBSTITUTE(SUBSTITUTE(SUBSTITUTE(SUBSTITUTE(SUBSTITUTE(SUBSTITUTE(SUBSTITUTE(SUBSTITUTE(SUBSTITUTE(SUBSTITUTE(SUBSTITUTE(SUBSTITUTE(SUBSTITUTE(SUBSTITUTE(SUBSTITUTE(SUBSTITUTE(SUBSTITUTE(SUBSTITUTE(SUBSTITUTE(SUBSTITUTE(SUBSTITUTE(SUBSTITUTE(SUBSTITUTE(SUBSTITUTE(LOWER(AC309&amp;""),CHAR(10)," "),CHAR(13)," "),CHAR(9)," "),CHAR(160)," "),"."," "),","," "),"-"," "),"/"," "),"("," "),")"," "),":"," "),";"," "),"_"," "),"–"," "),"?"," "),"!"," "),"*"," "),"["," "),"]"," "),"'"," "),"#"," "),"+"," "),"&amp;"," "),"\"," "))&amp;" "</f>
        <v>  </v>
      </c>
      <c r="BG309" s="61" t="n">
        <f aca="false">IFERROR(IF(AND(TRIM(U309)="Pass",SUMPRODUCT((LEN(BC309)-LEN(SUBSTITUTE(BC309," "&amp;L_ResultBad&amp;" "," ")))/(LEN(L_ResultBad)+1))&gt;SUMPRODUCT((LEN(BC309)-LEN(SUBSTITUTE(BC309," "&amp;L_NegPhrase&amp;" "," ")))/(LEN(L_NegPhrase)+1))),1,0),0)</f>
        <v>0</v>
      </c>
      <c r="BH309" s="61" t="n">
        <f aca="false">IFERROR(IF(SUMPRODUCT((LEN(BC309)-LEN(SUBSTITUTE(BC309," "&amp;L_Pending&amp;" "," ")))/(LEN(L_Pending)+1))&gt;SUMPRODUCT((LEN(BC309)-LEN(SUBSTITUTE(BC309," "&amp;L_PendNeg&amp;" "," ")))/(LEN(L_PendNeg)+1))+SUMPRODUCT((LEN(BC309)-LEN(SUBSTITUTE(BC309," "&amp;L_PendPrep&amp;" "," ")))/(LEN(L_PendPrep)+1)),1,0),1)</f>
        <v>0</v>
      </c>
      <c r="BI309" s="61" t="n">
        <f aca="false">IFERROR(IF(SUMPRODUCT((LEN(BD309)-LEN(SUBSTITUTE(BD309," "&amp;L_PendStrict&amp;" "," ")))/(LEN(L_PendStrict)+1))&gt;SUMPRODUCT((LEN(BD309)-LEN(SUBSTITUTE(BD309," "&amp;L_PendNeg&amp;" "," ")))/(LEN(L_PendNeg)+1)),1,0),1)</f>
        <v>0</v>
      </c>
      <c r="BJ309" s="61" t="n">
        <f aca="false">IFERROR(IF(SUMPRODUCT((LEN(BE309)-LEN(SUBSTITUTE(BE309," "&amp;L_Pending&amp;" "," ")))/(LEN(L_Pending)+1))&gt;SUMPRODUCT((LEN(BE309)-LEN(SUBSTITUTE(BE309," "&amp;L_PendNeg&amp;" "," ")))/(LEN(L_PendNeg)+1))+SUMPRODUCT((LEN(BE309)-LEN(SUBSTITUTE(BE309," "&amp;L_PendPrep&amp;" "," ")))/(LEN(L_PendPrep)+1)),1,0),1)</f>
        <v>0</v>
      </c>
      <c r="BK309" s="61" t="n">
        <f aca="false">IFERROR(IF(SUMPRODUCT((LEN(BF309)-LEN(SUBSTITUTE(BF309," "&amp;L_PendStrict&amp;" "," ")))/(LEN(L_PendStrict)+1))&gt;SUMPRODUCT((LEN(BF309)-LEN(SUBSTITUTE(BF309," "&amp;L_PendNeg&amp;" "," ")))/(LEN(L_PendNeg)+1)),1,0),1)</f>
        <v>0</v>
      </c>
      <c r="BL309" s="61" t="n">
        <f aca="false">IF(ISNA(MATCH(TRIM(S309),L_EvidenceType,0)),0,BZ309)</f>
        <v>0</v>
      </c>
      <c r="BM309" s="61" t="str">
        <f aca="false">SUBSTITUTE(SUBSTITUTE(SUBSTITUTE(SUBSTITUTE(SUBSTITUTE(SUBSTITUTE(SUBSTITUTE(SUBSTITUTE(SUBSTITUTE(LOWER(Z309&amp;""),"1","0"),"2","0"),"3","0"),"4","0"),"5","0"),"6","0"),"7","0"),"8","0"),"9","0")</f>
        <v/>
      </c>
      <c r="BN309" s="61" t="str">
        <f aca="false">SUBSTITUTE(SUBSTITUTE(SUBSTITUTE(SUBSTITUTE(SUBSTITUTE(SUBSTITUTE(SUBSTITUTE(SUBSTITUTE(SUBSTITUTE(SUBSTITUTE(SUBSTITUTE(SUBSTITUTE(SUBSTITUTE(SUBSTITUTE(SUBSTITUTE(SUBSTITUTE(SUBSTITUTE(SUBSTITUTE(SUBSTITUTE(SUBSTITUTE(SUBSTITUTE(SUBSTITUTE(SUBSTITUTE(SUBSTITUTE(SUBSTITUTE(BM309,"b","a"),"c","a"),"d","a"),"e","a"),"f","a"),"g","a"),"h","a"),"i","a"),"j","a"),"k","a"),"l","a"),"m","a"),"n","a"),"o","a"),"p","a"),"q","a"),"r","a"),"s","a"),"t","a"),"u","a"),"v","a"),"w","a"),"x","a"),"y","a"),"z","a")</f>
        <v/>
      </c>
      <c r="BO309" s="61" t="str">
        <f aca="false">SUBSTITUTE(SUBSTITUTE(SUBSTITUTE(SUBSTITUTE(SUBSTITUTE(SUBSTITUTE(SUBSTITUTE(SUBSTITUTE(SUBSTITUTE(LOWER(W309&amp;""),"1","0"),"2","0"),"3","0"),"4","0"),"5","0"),"6","0"),"7","0"),"8","0"),"9","0")</f>
        <v/>
      </c>
      <c r="BP309" s="61" t="str">
        <f aca="false">SUBSTITUTE(SUBSTITUTE(SUBSTITUTE(SUBSTITUTE(SUBSTITUTE(SUBSTITUTE(SUBSTITUTE(SUBSTITUTE(SUBSTITUTE(SUBSTITUTE(SUBSTITUTE(SUBSTITUTE(SUBSTITUTE(SUBSTITUTE(SUBSTITUTE(SUBSTITUTE(SUBSTITUTE(SUBSTITUTE(SUBSTITUTE(SUBSTITUTE(SUBSTITUTE(SUBSTITUTE(SUBSTITUTE(SUBSTITUTE(SUBSTITUTE(BO309,"b","a"),"c","a"),"d","a"),"e","a"),"f","a"),"g","a"),"h","a"),"i","a"),"j","a"),"k","a"),"l","a"),"m","a"),"n","a"),"o","a"),"p","a"),"q","a"),"r","a"),"s","a"),"t","a"),"u","a"),"v","a"),"w","a"),"x","a"),"y","a"),"z","a")</f>
        <v/>
      </c>
      <c r="BQ309" s="61" t="n">
        <f aca="false">IFERROR(IF(AND(ISERROR(SEARCH(" mh"," "&amp;LOWER(W309))),ISNA(MATCH(LEFT(TRIM(BP309),255),{"0000a","000a","00a","0000aa","000aa","00aa","0aa","0000aaa","000aaa","00a00","0a00","0000-0000","00:00","a00","a0","00.00.0000","00/00/0000","00-00-0000","0000-00-00","0000/00/00","0000.00.00","00.00.00","00/00/00","00-00-00","0.00.0000","0/00/0000","0-00-0000"},0)),ISNA(MATCH(LEFT(TRIM(CA309),255),{"0000a","000a","00a","0000aa","000aa","00aa","0aa","0000aaa","000aaa","00a00","0a00","0000-0000","00:00","a00","a0","00.00.0000","00/00/0000","00-00-0000","0000-00-00","0000/00/00","0000.00.00","00.00.00","00/00/00","00-00-00","0.00.0000","0/00/0000","0-00-0000"},0)),LEN(CB309)&gt;=3,NOT(OR(SUBSTITUTE(CB309,"0","")="",AND(LEN(CB309)&gt;=4,CB309=REPT(LEFT(CB309),LEN(CB309))),ISNUMBER(MATCH(CB309,{"123","1234","12345","123456","1234567","12345678","0123","01234","012345","98765","987654","54321"},0)),AND(LEN(CB309)=8,LEFT(CB309,3)="202"))),OR(AND((LEN(CA309)-LEN(SUBSTITUTE(CA309,"a","")))&gt;=1,SUMPRODUCT(--ISNUMBER(SEARCH({"a0","a-0","a_0","a/0","a.0","a#0","0a","0-a","0_a","0/a"},BP309)))&gt;0),ISNUMBER(SEARCH("000000",BP309)))),1,0),0)</f>
        <v>0</v>
      </c>
      <c r="BR309" s="61" t="n">
        <f aca="false">IFERROR(LEN(SUBSTITUTE(CC309," ",""))-SUMPRODUCT((LEN(CC309)-LEN(SUBSTITUTE(CC309," "&amp;L_Role&amp;" "," ")))/(LEN(L_Role)+1)*LEN(L_Role)),0)</f>
        <v>0</v>
      </c>
      <c r="BS309" s="61" t="n">
        <f aca="false">IFERROR(LEN(SUBSTITUTE(CD309," ",""))-SUMPRODUCT((LEN(CD309)-LEN(SUBSTITUTE(CD309," "&amp;L_Role&amp;" "," ")))/(LEN(L_Role)+1)*LEN(L_Role)),0)</f>
        <v>0</v>
      </c>
      <c r="BT3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309,"revision",""),"version",""),"jan",""),"feb",""),"mar",""),"apr",""),"may",""),"jun",""),"jul",""),"aug",""),"sep",""),"oct",""),"nov",""),"dec",""),"utc",""),"gmt",""),"myt",""),"bst",""),"rev",""),"ver",""),"b","a"),"c","a"),"d","a"),"e","a"),"f","a"),"g","a"),"h","a"),"i","a"),"j","a"),"k","a"),"l","a"),"m","a"),"n","a"),"o","a"),"p","a"),"q","a"),"r","a"),"s","a"),"t","a"),"u","a"),"v","a"),"w","a"),"x","a"),"y","a"),"z","a")</f>
        <v/>
      </c>
      <c r="BU309" s="61" t="str">
        <f aca="false">SUBSTITUTE(SUBSTITUTE(SUBSTITUTE(SUBSTITUTE(SUBSTITUTE(SUBSTITUTE(SUBSTITUTE(SUBSTITUTE(SUBSTITUTE(SUBSTITUTE(LEFT(BM309,FIND("0",BM309&amp;"0")-1),"-",""),"_",""),"/",""),".",""),"#",""),"\\",""),":","")," ",""),"(",""),")","")</f>
        <v/>
      </c>
      <c r="BV309" s="61" t="n">
        <f aca="false">0</f>
        <v>0</v>
      </c>
      <c r="BW3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309&amp;""),"a",""),"b",""),"c",""),"d",""),"e",""),"f",""),"g",""),"h",""),"i",""),"j",""),"k",""),"l",""),"m",""),"n",""),"o",""),"p",""),"q",""),"r",""),"s",""),"t",""),"u",""),"v",""),"w",""),"x",""),"y",""),"z",""),"-",""),"_",""),"/",""),".",""),"#",""),"\\",""),":","")," ",""),"(",""),")","")</f>
        <v/>
      </c>
      <c r="BX309" s="61" t="str">
        <f aca="false">SUBSTITUTE(SUBSTITUTE(SUBSTITUTE(SUBSTITUTE(SUBSTITUTE(SUBSTITUTE(SUBSTITUTE(SUBSTITUTE(SUBSTITUTE(SUBSTITUTE(SUBSTITUTE(BM309,"0",""),"-",""),"_",""),"/",""),".",""),"#",""),"\\",""),":","")," ",""),"(",""),")","")</f>
        <v/>
      </c>
      <c r="BY309" s="62" t="n">
        <f aca="false">Q309-T12EarlyH/24</f>
        <v>46305.2534722222</v>
      </c>
      <c r="BZ309" s="61" t="n">
        <f aca="false">IFERROR(IF(IF(TRIM(S309)="Link / file path",AND(LEN(TRIM(Z309))&gt;=5,SUMPRODUCT(--ISNUMBER(SEARCH({"http","www.","\\",":\",".pdf",".jpg",".jpeg",".png",".heic",".xls",".doc",".msg",".eml",".ppt",".txt",".zip"},Z309)))&gt;0),AND(ISERROR(FIND(" ",TRIM(Z309))),NOT(OR(SUMPRODUCT(--ISNUMBER(FIND({",",";","&amp;","+"},Z309)))&gt;0,SUMPRODUCT(--ISNUMBER(SEARCH({"0/aa","0\\aa"},BN309)))&gt;0)),NOT(SUMPRODUCT(--ISNUMBER(SEARCH({"http","www.","\\",":\",".pdf",".jpg",".jpeg",".png",".heic",".xls",".doc",".msg",".eml",".ppt",".txt",".zip"},Z309)))&gt;0),NOT(LOWER(TRIM(Z309))=LOWER(Flights!$F$13)),ISNA(MATCH(BU309,{"mh","rev","revision","ver","version","v","r","a","b","seat","tray","row","gate","bay","stand","page","pg","item","line","no","cart","galley","flight","flt","table","box","bag","oven","etd","eta","std","sta","atd","ata","qty","pax","x","time","tel","ph","mob","day","wk","week","utc","gmt","myt","lt"},0)),NOT(OR(ISNUMBER(MATCH(LEFT(BN309,255),{"0000a","000a","00a","0000aa","000aa","00aa","0aa","0000aaa","000aaa","00a00","0a00","0000-0000","00:00","a00","a0","00.00.0000","00/00/0000","00-00-0000","0000-00-00","0000/00/00","0000.00.00","00.00.00","00/00/00","00-00-00","0.00.0000","0/00/0000","0-00-0000"},0)),ISNUMBER(MATCH(LEFT(BT309,255),{"0000a","000a","00a","0000aa","000aa","00aa","0aa","0000aaa","000aaa","00a00","0a00","0000-0000","00:00","a00","a0","00.00.0000","00/00/0000","00-00-0000","0000-00-00","0000/00/00","0000.00.00","00.00.00","00/00/00","00-00-00","0.00.0000","0/00/0000","0-00-0000"},0)))),NOT(OR(AND(BW309&lt;&gt;"",SUBSTITUTE(BW309,"0","")=""),AND(LEN(BW309)&gt;=4,BW309=REPT(LEFT(BW309),LEN(BW309))),ISNUMBER(MATCH(BW309,{"123","1234","12345","123456","1234567","12345678","0123","01234","012345","98765","987654","54321"},0)),ISNUMBER(MATCH(BX309,{"x","xx","xxx","xxxx","xxxxx","abc","abcd","nil","na","nan","test","tbc","tba","tbd","dummy","sample","example","eg","zz","zzz","none","null","xyz","qwe","asd","id","ref"},0)),AND(LEN(BW309)=8,BX309="",OR(LEFT(BW309,3)="202",ISNUMBER(MATCH(RIGHT(BW309,4),{"2025","2026","2027"},0)))))),OR(AND((LEN(BT309)-LEN(SUBSTITUTE(BT309,"a","")))&gt;=1,(LEN(BN309)-LEN(SUBSTITUTE(BN309,"0","")))&gt;=2,SUMPRODUCT(--ISNUMBER(SEARCH({"a0","a-0","a_0","a/0","a.0","a#0","0a","0-a","0_a","0/a"},BN309)))&gt;0),AND((LEN(BN309)-LEN(SUBSTITUTE(BN309,"a","")))=0,(LEN(BN309)-LEN(SUBSTITUTE(BN309,"0","")))&gt;=5)))),1,0),0)</f>
        <v>0</v>
      </c>
      <c r="CA3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309,"revision",""),"version",""),"jan",""),"feb",""),"mar",""),"apr",""),"may",""),"jun",""),"jul",""),"aug",""),"sep",""),"oct",""),"nov",""),"dec",""),"utc",""),"gmt",""),"myt",""),"bst",""),"rev",""),"ver",""),"b","a"),"c","a"),"d","a"),"e","a"),"f","a"),"g","a"),"h","a"),"i","a"),"j","a"),"k","a"),"l","a"),"m","a"),"n","a"),"o","a"),"p","a"),"q","a"),"r","a"),"s","a"),"t","a"),"u","a"),"v","a"),"w","a"),"x","a"),"y","a"),"z","a")</f>
        <v/>
      </c>
      <c r="CB3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309&amp;""),"a",""),"b",""),"c",""),"d",""),"e",""),"f",""),"g",""),"h",""),"i",""),"j",""),"k",""),"l",""),"m",""),"n",""),"o",""),"p",""),"q",""),"r",""),"s",""),"t",""),"u",""),"v",""),"w",""),"x",""),"y",""),"z",""),"-",""),"_",""),"/",""),".",""),"#",""),"\\",""),":","")," ",""),"(",""),")","")</f>
        <v/>
      </c>
      <c r="CC309" s="0" t="str">
        <f aca="false">" "&amp;TRIM(SUBSTITUTE(SUBSTITUTE(SUBSTITUTE(SUBSTITUTE(SUBSTITUTE(SUBSTITUTE(SUBSTITUTE(SUBSTITUTE(SUBSTITUTE(SUBSTITUTE(SUBSTITUTE(SUBSTITUTE(SUBSTITUTE(SUBSTITUTE(SUBSTITUTE(SUBSTITUTE(SUBSTITUTE(SUBSTITUTE(SUBSTITUTE(SUBSTITUTE(SUBSTITUTE(SUBSTITUTE(SUBSTITUTE(SUBSTITUTE(LOWER(T309&amp;""),CHAR(10)," "),CHAR(13)," "),CHAR(9)," "),CHAR(160)," "),"."," "),","," "),"-"," "),"/"," "),"("," "),")"," "),":"," "),";"," "),"_"," "),"–"," "),"?"," "),"!"," "),"*"," "),"["," "),"]"," "),"'"," "),"#"," "),"+"," "),"&amp;"," "),"\"," "))&amp;" "</f>
        <v>  </v>
      </c>
      <c r="CD309" s="0" t="str">
        <f aca="false">" "&amp;TRIM(SUBSTITUTE(SUBSTITUTE(SUBSTITUTE(SUBSTITUTE(SUBSTITUTE(SUBSTITUTE(SUBSTITUTE(SUBSTITUTE(SUBSTITUTE(SUBSTITUTE(SUBSTITUTE(SUBSTITUTE(SUBSTITUTE(SUBSTITUTE(SUBSTITUTE(SUBSTITUTE(SUBSTITUTE(SUBSTITUTE(SUBSTITUTE(SUBSTITUTE(SUBSTITUTE(SUBSTITUTE(SUBSTITUTE(SUBSTITUTE(LOWER(AE309&amp;""),CHAR(10)," "),CHAR(13)," "),CHAR(9)," "),CHAR(160)," "),"."," "),","," "),"-"," "),"/"," "),"("," "),")"," "),":"," "),";"," "),"_"," "),"–"," "),"?"," "),"!"," "),"*"," "),"["," "),"]"," "),"'"," "),"#"," "),"+"," "),"&amp;"," "),"\"," "))&amp;" "</f>
        <v>  </v>
      </c>
      <c r="CE309" s="68" t="n">
        <f aca="false">IFERROR(IF(AND(LEN(AU309)&gt;0,LEN(AU309)=LEN(AX309),OR(TRIM(MID(SUBSTITUTE(TRIM(CC309)," ",REPT(" ",60)),1,60))="",ISNUMBER(SEARCH(" "&amp;TRIM(MID(SUBSTITUTE(TRIM(CC309)," ",REPT(" ",60)),1,60))&amp;" ",CD309))),OR(TRIM(MID(SUBSTITUTE(TRIM(CC309)," ",REPT(" ",60)),61,60))="",ISNUMBER(SEARCH(" "&amp;TRIM(MID(SUBSTITUTE(TRIM(CC309)," ",REPT(" ",60)),61,60))&amp;" ",CD309))),OR(TRIM(MID(SUBSTITUTE(TRIM(CC309)," ",REPT(" ",60)),121,60))="",ISNUMBER(SEARCH(" "&amp;TRIM(MID(SUBSTITUTE(TRIM(CC309)," ",REPT(" ",60)),121,60))&amp;" ",CD309)))),1,0),0)</f>
        <v>0</v>
      </c>
      <c r="CG309" s="68" t="n">
        <f aca="false">IFERROR(LEN(SUBSTITUTE(BF309," ",""))-SUMPRODUCT((LEN(BF309)-LEN(SUBSTITUTE(BF309," "&amp;L_NAFiller&amp;" "," ")))/(LEN(L_NAFiller)+1)*LEN(L_NAFiller)),0)</f>
        <v>0</v>
      </c>
    </row>
    <row r="310" customFormat="false" ht="39.75" hidden="false" customHeight="true" outlineLevel="0" collapsed="false">
      <c r="A310" s="57" t="s">
        <v>899</v>
      </c>
      <c r="B310" s="57" t="s">
        <v>246</v>
      </c>
      <c r="C310" s="57" t="str">
        <f aca="false">Flights!$F$13</f>
        <v>MH0753</v>
      </c>
      <c r="D310" s="58" t="n">
        <f aca="false">Flights!$D$13</f>
        <v>46306</v>
      </c>
      <c r="E310" s="57" t="str">
        <f aca="false">Flights!$G$13&amp;"-"&amp;Flights!$H$13</f>
        <v>HAN-KUL</v>
      </c>
      <c r="F310" s="57" t="str">
        <f aca="false">Flights!$K$13</f>
        <v>BC</v>
      </c>
      <c r="G310" s="57" t="s">
        <v>459</v>
      </c>
      <c r="H310" s="57" t="s">
        <v>460</v>
      </c>
      <c r="I310" s="57" t="s">
        <v>379</v>
      </c>
      <c r="J310" s="57" t="s">
        <v>461</v>
      </c>
      <c r="K310" s="67" t="s">
        <v>426</v>
      </c>
      <c r="L310" s="67" t="s">
        <v>462</v>
      </c>
      <c r="M310" s="67"/>
      <c r="N310" s="67" t="s">
        <v>383</v>
      </c>
      <c r="O310" s="67" t="s">
        <v>463</v>
      </c>
      <c r="P310" s="57" t="s">
        <v>240</v>
      </c>
      <c r="Q310" s="59" t="n">
        <f aca="false">ROUND((Flights!$AF$13)*1440,0)/1440</f>
        <v>46306.2534722222</v>
      </c>
      <c r="R310" s="59" t="n">
        <f aca="false">Q310+(IF(AND(INDEX(TZ_DSTS,MATCH(P310,TZ_STN,0))&lt;&gt;"",Q310&gt;=INDEX(TZ_DSTS,MATCH(P310,TZ_STN,0)),Q310&lt;INDEX(TZ_DSTE,MATCH(P310,TZ_STN,0))),INDEX(TZ_DST,MATCH(P310,TZ_STN,0)),INDEX(TZ_STD,MATCH(P310,TZ_STN,0))))/24</f>
        <v>46306.5451388889</v>
      </c>
      <c r="S310" s="60"/>
      <c r="T310" s="60"/>
      <c r="U310" s="60"/>
      <c r="V310" s="60"/>
      <c r="W310" s="61"/>
      <c r="X310" s="60"/>
      <c r="Y310" s="60"/>
      <c r="Z310" s="60"/>
      <c r="AA310" s="60"/>
      <c r="AB310" s="60"/>
      <c r="AC310" s="60"/>
      <c r="AD310" s="66"/>
      <c r="AE310" s="60"/>
      <c r="AF310" s="61" t="str">
        <f aca="false">IF(AND(ISNUMBER(X310),ISNUMBER(Y310)),Y310-X310,"")</f>
        <v/>
      </c>
      <c r="AG310" s="62" t="str">
        <f aca="false">IF(ISNUMBER(AD310),AD310-(IF(AND(INDEX(TZ_DSTS,MATCH(P310,TZ_STN,0))&lt;&gt;"",(AD310-INDEX(TZ_STD,MATCH(P310,TZ_STN,0))/24)&gt;=INDEX(TZ_DSTS,MATCH(P310,TZ_STN,0)),(AD310-INDEX(TZ_STD,MATCH(P310,TZ_STN,0))/24)&lt;INDEX(TZ_DSTE,MATCH(P310,TZ_STN,0))),INDEX(TZ_DST,MATCH(P310,TZ_STN,0)),INDEX(TZ_STD,MATCH(P310,TZ_STN,0))))/24,"")</f>
        <v/>
      </c>
      <c r="AH310" s="65" t="str">
        <f aca="false">IFERROR(IF(N310="N/A – rule",IF(OR(TRIM(U310)="",TRIM(U310)="N/A",TRIM(U310)="Not started"),"N/A – RULE","INVALID – this check does not apply to this aircraft: clear the status (or correct the fleet on Flights)"),IF(TRIM(U310)="N/A",IF(AT310=0,"INVALID – N/A not permitted for this check",IF(AND(TRIM(AB310)&lt;&gt;"",TRIM(AB310)&lt;&gt;"Closed"),"INVALID – corrective action still open",IF(AND(NOT(OR(LEN(AZ310)&lt;15,ISNUMBER(MATCH(AZ310,L_Placeholder,0)))),BK310=0,CG310&gt;=8,NOT(OR(LEN(AU310)&lt;2,ISNUMBER(MATCH(AU310,L_Placeholder,0)))),BR310&gt;=3,NOT(OR(LEN(AX310)&lt;2,ISNUMBER(MATCH(AX310,L_Placeholder,0)))),BS310&gt;=3,TRIM(AE310)&lt;&gt;TRIM(T310),AX310&lt;&gt;AU310,CE310=0),"N/A – JUSTIFIED","INVALID – N/A needs a real, settled reason (not 'not applicable' / 'as above' / TBC), a named PIC and a different named verifier"))),IF(OR(TRIM(U310)="Pass",TRIM(U310)="Pass after CA"),IF(NOT(ISNUMBER(AD310)),"INVALID – completion time missing",IF(OR(OR(LEN(AU310)&lt;2,ISNUMBER(MATCH(AU310,L_Placeholder,0))),BR310&lt;3),"INVALID – PIC missing or not a named person (a role such as QA / CSM is not a name)",IF(OR(LEN(AV310)&lt;2,ISNUMBER(MATCH(AV310,L_Placeholder,0))),"INVALID – result / assessment missing",IF(OR(OR(LEN(AW310)&lt;3,ISNUMBER(MATCH(AW310,L_Placeholder,0))),SUMPRODUCT(--ISNUMBER(SEARCH(" "&amp;L_EvidencePhrase&amp;" ",BD310)))&gt;0,BI310=1),"INVALID – evidence missing, placeholder or not yet on file",IF(ISNA(MATCH(TRIM(S310),L_EvidenceType,0)),"INVALID – choose the evidence type from the list (column S)",IF(BL310=0,"INVALID – evidence ID must be the record's own ID only (e.g. SF-2210, IMG_2231, 1045521); a link / file name needs type 'Link / file path'",IF(OR(OR(LEN(AX310)&lt;2,ISNUMBER(MATCH(AX310,L_Placeholder,0))),BS310&lt;3),"INVALID – verifier missing or not a named person (a role such as QA / CSM is not a name)",IF(OR(AX310=AU310,CE310=1,AND(LEN(AU310)&gt;=4,ISNUMBER(SEARCH(AU310,AX310))),AND(LEN(AX310)&gt;=4,ISNUMBER(SEARCH(AX310,AU310)))),"INVALID – verifier must be a different, named person (not the PIC or a role)",IF(BH310=1,"INVALID – result not yet available (awaiting / TBC)",IF(BG310=1,"INVALID – result describes a problem: record Fail, then Pass after CA (or reword if it is not a problem)",IF(BV310=1,"INVALID – wording says not on board: an on-board confirmation needs the item loaded",IF(AND(AQ310=1,OR(OR(LEN(AY310)&lt;3,ISNUMBER(MATCH(AY310,L_Placeholder,0))),BJ310=1,BQ310=0)),"INVALID – batch ID missing, placeholder or not an ID (e.g. PASB-261008-BC-017)",IF(AND(AR310=1,OR(NOT(ISNUMBER(X310)),NOT(ISNUMBER(Y310)))),"INVALID – expected/actual qty missing",IF(AND(AR310=1,OR(X310&lt;=0,Y310&lt;0)),"INVALID – expected qty must be above 0 and actual not negative",IF(AH294="N/A – JUSTIFIED","INVALID – preparation row F09-T12-02 is N/A",IF(AND(AR310=1,ISNUMBER(X294),X310&lt;&gt;X294,TRIM(U310)&lt;&gt;"Pass after CA"),"INVALID – expected qty differs from preparation check F09-T12-02: record the load change as a corrective action (Pass after CA)",IF(BB310&lt;&gt;"",BB310,IF(AND(AS310=1,Documents!$J$13&lt;&gt;"ON FILE"),"INVALID – GLD not on file (Documents sheet)",IF(AND(AS310=2,Documents!$O$13&lt;&gt;"ON FILE"),"INVALID – menu checklist not on file (Documents sheet)",IF(AND(AS310=3,NOT(ISNUMBER(Flights!$AX$13))),"INVALID – enter carrying flight KUL departure (Flights AX)",IF(AND(AS310=3,OR(Flights!$AZ$13&gt;Flights!$AA$13,Flights!$AX$13&lt;Flights!$AA$13-3)),"INVALID – carrying flight (Flights AX) cannot arrive before this leg's STD, or is over 3 days early",IF(AG310&gt;AsOfUTC,"INVALID – completion time is in the future",IF(AND(ISNUMBER(BY310),AG310&lt;BY310),IF(H310="Physical uplift","INVALID – before uplift window (cannot confirm loading)","INVALID – before valid window"),IF(AG310&gt;Flights!$AA$13,"INVALID – completed after departure (cannot establish readiness)",IF(AND(H310="Preparation",AG310&gt;=IF(ISNUMBER(Flights!$BA$13),MIN(Flights!$BA$13,Flights!$AA$13),Flights!$AA$13)),"INVALID – completed after loading / departure (cannot establish readiness)",IF(AND(H310="Physical uplift",AG310&gt;Q310),"INVALID – recorded after the loading flight departed",IF(AG310&gt;Q310,"COMPLETE – LATE","COMPLETE"))))))))))))))))))))))))))),IF(TRIM(U310)="Fail","FAIL – DISCREPANCY",IF(AND(TRIM(U310)&lt;&gt;"",TRIM(U310)&lt;&gt;"Not started",TRIM(U310)&lt;&gt;"In progress"),"INVALID – unrecognised status (use the list)",IF(AsOfUTC&gt;Q310,"OVERDUE",IF(N310="Clarification required","OPEN – CLARIFICATION","OPEN"))))))),"INVALID – error value in an input cell")</f>
        <v>OPEN</v>
      </c>
      <c r="AI310" s="61" t="n">
        <f aca="false">IF(OR(AH310="N/A – RULE",AH310="N/A – JUSTIFIED"),0,1)</f>
        <v>1</v>
      </c>
      <c r="AJ310" s="61" t="n">
        <f aca="false">IF(LEFT(AH310,8)="COMPLETE",1,0)</f>
        <v>0</v>
      </c>
      <c r="AK310" s="61" t="n">
        <f aca="false">IF(AND(AI310=1,AJ310=0,AsOfUTC&gt;Q310),1,0)</f>
        <v>0</v>
      </c>
      <c r="AL310" s="61" t="n">
        <f aca="false">IFERROR(IF(AND(AI310=1,OR(TRIM(U310)="Fail",AND(TRIM(AB310)&lt;&gt;"",TRIM(AB310)&lt;&gt;"Closed"),AND(ISNUMBER(AF310),AF310&lt;&gt;0,TRIM(U310)&lt;&gt;"Pass after CA"))),1,0),1)</f>
        <v>0</v>
      </c>
      <c r="AM310" s="61" t="n">
        <f aca="false">IF(LEFT(AH310,7)="INVALID",1,0)</f>
        <v>0</v>
      </c>
      <c r="AN310" s="61" t="n">
        <f aca="false">IF(AND(N310="Clarification required",AI310=1,AJ310=0),1,0)</f>
        <v>0</v>
      </c>
      <c r="AO310" s="61" t="str">
        <f aca="false">IF(AK310=1,SUM(AK$5:AK310),"")</f>
        <v/>
      </c>
      <c r="AP310" s="61" t="str">
        <f aca="false">IF(AL310=1,SUM(AL$5:AL310),"")</f>
        <v/>
      </c>
      <c r="AQ310" s="61" t="n">
        <v>0</v>
      </c>
      <c r="AR310" s="61" t="n">
        <v>1</v>
      </c>
      <c r="AS310" s="61" t="n">
        <v>0</v>
      </c>
      <c r="AT310" s="61" t="n">
        <v>0</v>
      </c>
      <c r="AU310" s="61" t="str">
        <f aca="false">SUBSTITUTE(SUBSTITUTE(SUBSTITUTE(SUBSTITUTE(SUBSTITUTE(SUBSTITUTE(SUBSTITUTE(SUBSTITUTE(SUBSTITUTE(SUBSTITUTE(SUBSTITUTE(SUBSTITUTE(SUBSTITUTE(SUBSTITUTE(SUBSTITUTE(SUBSTITUTE(LOWER(T310&amp;""),CHAR(10),""),CHAR(13),""),CHAR(9),""),CHAR(160),"")," ",""),".",""),"-",""),"/",""),"?",""),"_",""),",",""),"[",""),"]",""),"(",""),")",""),"*","")</f>
        <v/>
      </c>
      <c r="AV310" s="61" t="str">
        <f aca="false">SUBSTITUTE(SUBSTITUTE(SUBSTITUTE(SUBSTITUTE(SUBSTITUTE(SUBSTITUTE(SUBSTITUTE(SUBSTITUTE(SUBSTITUTE(SUBSTITUTE(SUBSTITUTE(SUBSTITUTE(SUBSTITUTE(SUBSTITUTE(SUBSTITUTE(SUBSTITUTE(LOWER(V310&amp;""),CHAR(10),""),CHAR(13),""),CHAR(9),""),CHAR(160),"")," ",""),".",""),"-",""),"/",""),"?",""),"_",""),",",""),"[",""),"]",""),"(",""),")",""),"*","")</f>
        <v/>
      </c>
      <c r="AW310" s="61" t="str">
        <f aca="false">SUBSTITUTE(SUBSTITUTE(SUBSTITUTE(SUBSTITUTE(SUBSTITUTE(SUBSTITUTE(SUBSTITUTE(SUBSTITUTE(SUBSTITUTE(SUBSTITUTE(SUBSTITUTE(SUBSTITUTE(SUBSTITUTE(SUBSTITUTE(SUBSTITUTE(SUBSTITUTE(LOWER(Z310&amp;""),CHAR(10),""),CHAR(13),""),CHAR(9),""),CHAR(160),"")," ",""),".",""),"-",""),"/",""),"?",""),"_",""),",",""),"[",""),"]",""),"(",""),")",""),"*","")</f>
        <v/>
      </c>
      <c r="AX310" s="61" t="str">
        <f aca="false">SUBSTITUTE(SUBSTITUTE(SUBSTITUTE(SUBSTITUTE(SUBSTITUTE(SUBSTITUTE(SUBSTITUTE(SUBSTITUTE(SUBSTITUTE(SUBSTITUTE(SUBSTITUTE(SUBSTITUTE(SUBSTITUTE(SUBSTITUTE(SUBSTITUTE(SUBSTITUTE(LOWER(AE310&amp;""),CHAR(10),""),CHAR(13),""),CHAR(9),""),CHAR(160),"")," ",""),".",""),"-",""),"/",""),"?",""),"_",""),",",""),"[",""),"]",""),"(",""),")",""),"*","")</f>
        <v/>
      </c>
      <c r="AY310" s="61" t="str">
        <f aca="false">SUBSTITUTE(SUBSTITUTE(SUBSTITUTE(SUBSTITUTE(SUBSTITUTE(SUBSTITUTE(SUBSTITUTE(SUBSTITUTE(SUBSTITUTE(SUBSTITUTE(SUBSTITUTE(SUBSTITUTE(SUBSTITUTE(SUBSTITUTE(SUBSTITUTE(SUBSTITUTE(LOWER(W310&amp;""),CHAR(10),""),CHAR(13),""),CHAR(9),""),CHAR(160),"")," ",""),".",""),"-",""),"/",""),"?",""),"_",""),",",""),"[",""),"]",""),"(",""),")",""),"*","")</f>
        <v/>
      </c>
      <c r="AZ310" s="61" t="str">
        <f aca="false">SUBSTITUTE(SUBSTITUTE(SUBSTITUTE(SUBSTITUTE(SUBSTITUTE(SUBSTITUTE(SUBSTITUTE(SUBSTITUTE(SUBSTITUTE(SUBSTITUTE(SUBSTITUTE(SUBSTITUTE(SUBSTITUTE(SUBSTITUTE(SUBSTITUTE(SUBSTITUTE(LOWER(AC310&amp;""),CHAR(10),""),CHAR(13),""),CHAR(9),""),CHAR(160),"")," ",""),".",""),"-",""),"/",""),"?",""),"_",""),",",""),"[",""),"]",""),"(",""),")",""),"*","")</f>
        <v/>
      </c>
      <c r="BA310" s="61" t="str">
        <f aca="false">SUBSTITUTE(SUBSTITUTE(SUBSTITUTE(SUBSTITUTE(SUBSTITUTE(SUBSTITUTE(SUBSTITUTE(SUBSTITUTE(SUBSTITUTE(SUBSTITUTE(SUBSTITUTE(SUBSTITUTE(SUBSTITUTE(SUBSTITUTE(SUBSTITUTE(SUBSTITUTE(LOWER(AA310&amp;""),CHAR(10),""),CHAR(13),""),CHAR(9),""),CHAR(160),"")," ",""),".",""),"-",""),"/",""),"?",""),"_",""),",",""),"[",""),"]",""),"(",""),")",""),"*","")</f>
        <v/>
      </c>
      <c r="BB310" s="61" t="str">
        <f aca="false">IF(AND(TRIM(U310)="Pass",ISNUMBER(AF310)),IF(AF310&lt;&gt;0,"INVALID – qty variance: use Fail or Pass after CA",""),"")&amp;IF(AND(TRIM(U310)="Pass after CA",ISNUMBER(AF310)),IF(AF310&lt;&gt;0,"INVALID – after the corrective action the actual qty must equal expected (update Actual)",""),"")&amp;IF(AND(TRIM(U310)="Pass",TRIM(AB310)&lt;&gt;"",TRIM(AB310)&lt;&gt;"Closed"),"INVALID – corrective action not closed: use Fail, then Pass after CA","")&amp;IF(AND(LEN(BA310)&gt;=2,ISNA(MATCH(LEFT(BA310,255),L_Placeholder,0)),TRIM(AB310)=""),"INVALID – CA status missing for the recorded corrective action","")&amp;IF(AND(TRIM(U310)="Pass after CA",OR(OR(LEN(BA310)&lt;5,ISNUMBER(MATCH(BA310,L_Placeholder,0))),TRIM(AB310)&lt;&gt;"Closed")),"INVALID – corrective action not recorded/closed","")</f>
        <v/>
      </c>
      <c r="BC310" s="61" t="str">
        <f aca="false">" "&amp;TRIM(SUBSTITUTE(SUBSTITUTE(SUBSTITUTE(SUBSTITUTE(SUBSTITUTE(SUBSTITUTE(SUBSTITUTE(SUBSTITUTE(SUBSTITUTE(SUBSTITUTE(SUBSTITUTE(SUBSTITUTE(SUBSTITUTE(SUBSTITUTE(SUBSTITUTE(SUBSTITUTE(SUBSTITUTE(SUBSTITUTE(SUBSTITUTE(SUBSTITUTE(SUBSTITUTE(SUBSTITUTE(SUBSTITUTE(SUBSTITUTE(LOWER(V310&amp;""),CHAR(10)," "),CHAR(13)," "),CHAR(9)," "),CHAR(160)," "),"."," "),","," "),"-"," "),"/"," "),"("," "),")"," "),":"," "),";"," "),"_"," "),"–"," "),"?"," "),"!"," "),"*"," "),"["," "),"]"," "),"'"," "),"#"," "),"+"," "),"&amp;"," "),"\"," "))&amp;" "</f>
        <v>  </v>
      </c>
      <c r="BD310" s="61" t="str">
        <f aca="false">" "&amp;TRIM(SUBSTITUTE(SUBSTITUTE(SUBSTITUTE(SUBSTITUTE(SUBSTITUTE(SUBSTITUTE(SUBSTITUTE(SUBSTITUTE(SUBSTITUTE(SUBSTITUTE(SUBSTITUTE(SUBSTITUTE(SUBSTITUTE(SUBSTITUTE(SUBSTITUTE(SUBSTITUTE(SUBSTITUTE(SUBSTITUTE(SUBSTITUTE(SUBSTITUTE(SUBSTITUTE(SUBSTITUTE(SUBSTITUTE(SUBSTITUTE(LOWER(Z310&amp;""),CHAR(10)," "),CHAR(13)," "),CHAR(9)," "),CHAR(160)," "),"."," "),","," "),"-"," "),"/"," "),"("," "),")"," "),":"," "),";"," "),"_"," "),"–"," "),"?"," "),"!"," "),"*"," "),"["," "),"]"," "),"'"," "),"#"," "),"+"," "),"&amp;"," "),"\"," "))&amp;" "</f>
        <v>  </v>
      </c>
      <c r="BE310" s="61" t="str">
        <f aca="false">" "&amp;TRIM(SUBSTITUTE(SUBSTITUTE(SUBSTITUTE(SUBSTITUTE(SUBSTITUTE(SUBSTITUTE(SUBSTITUTE(SUBSTITUTE(SUBSTITUTE(SUBSTITUTE(SUBSTITUTE(SUBSTITUTE(SUBSTITUTE(SUBSTITUTE(SUBSTITUTE(SUBSTITUTE(SUBSTITUTE(SUBSTITUTE(SUBSTITUTE(SUBSTITUTE(SUBSTITUTE(SUBSTITUTE(SUBSTITUTE(SUBSTITUTE(LOWER(W310&amp;""),CHAR(10)," "),CHAR(13)," "),CHAR(9)," "),CHAR(160)," "),"."," "),","," "),"-"," "),"/"," "),"("," "),")"," "),":"," "),";"," "),"_"," "),"–"," "),"?"," "),"!"," "),"*"," "),"["," "),"]"," "),"'"," "),"#"," "),"+"," "),"&amp;"," "),"\"," "))&amp;" "</f>
        <v>  </v>
      </c>
      <c r="BF310" s="61" t="str">
        <f aca="false">" "&amp;TRIM(SUBSTITUTE(SUBSTITUTE(SUBSTITUTE(SUBSTITUTE(SUBSTITUTE(SUBSTITUTE(SUBSTITUTE(SUBSTITUTE(SUBSTITUTE(SUBSTITUTE(SUBSTITUTE(SUBSTITUTE(SUBSTITUTE(SUBSTITUTE(SUBSTITUTE(SUBSTITUTE(SUBSTITUTE(SUBSTITUTE(SUBSTITUTE(SUBSTITUTE(SUBSTITUTE(SUBSTITUTE(SUBSTITUTE(SUBSTITUTE(LOWER(AC310&amp;""),CHAR(10)," "),CHAR(13)," "),CHAR(9)," "),CHAR(160)," "),"."," "),","," "),"-"," "),"/"," "),"("," "),")"," "),":"," "),";"," "),"_"," "),"–"," "),"?"," "),"!"," "),"*"," "),"["," "),"]"," "),"'"," "),"#"," "),"+"," "),"&amp;"," "),"\"," "))&amp;" "</f>
        <v>  </v>
      </c>
      <c r="BG310" s="61" t="n">
        <f aca="false">IFERROR(IF(AND(TRIM(U310)="Pass",SUMPRODUCT((LEN(BC310)-LEN(SUBSTITUTE(BC310," "&amp;L_ResultBad&amp;" "," ")))/(LEN(L_ResultBad)+1))&gt;SUMPRODUCT((LEN(BC310)-LEN(SUBSTITUTE(BC310," "&amp;L_NegPhrase&amp;" "," ")))/(LEN(L_NegPhrase)+1))),1,0),0)</f>
        <v>0</v>
      </c>
      <c r="BH310" s="61" t="n">
        <f aca="false">IFERROR(IF(SUMPRODUCT((LEN(BC310)-LEN(SUBSTITUTE(BC310," "&amp;L_Pending&amp;" "," ")))/(LEN(L_Pending)+1))&gt;SUMPRODUCT((LEN(BC310)-LEN(SUBSTITUTE(BC310," "&amp;L_PendNeg&amp;" "," ")))/(LEN(L_PendNeg)+1)),1,0),1)</f>
        <v>0</v>
      </c>
      <c r="BI310" s="61" t="n">
        <f aca="false">IFERROR(IF(SUMPRODUCT((LEN(BD310)-LEN(SUBSTITUTE(BD310," "&amp;L_PendStrict&amp;" "," ")))/(LEN(L_PendStrict)+1))&gt;SUMPRODUCT((LEN(BD310)-LEN(SUBSTITUTE(BD310," "&amp;L_PendNeg&amp;" "," ")))/(LEN(L_PendNeg)+1)),1,0),1)</f>
        <v>0</v>
      </c>
      <c r="BJ310" s="61" t="n">
        <f aca="false">IFERROR(IF(SUMPRODUCT((LEN(BE310)-LEN(SUBSTITUTE(BE310," "&amp;L_Pending&amp;" "," ")))/(LEN(L_Pending)+1))&gt;SUMPRODUCT((LEN(BE310)-LEN(SUBSTITUTE(BE310," "&amp;L_PendNeg&amp;" "," ")))/(LEN(L_PendNeg)+1)),1,0),1)</f>
        <v>0</v>
      </c>
      <c r="BK310" s="61" t="n">
        <f aca="false">IFERROR(IF(SUMPRODUCT((LEN(BF310)-LEN(SUBSTITUTE(BF310," "&amp;L_PendStrict&amp;" "," ")))/(LEN(L_PendStrict)+1))&gt;SUMPRODUCT((LEN(BF310)-LEN(SUBSTITUTE(BF310," "&amp;L_PendNeg&amp;" "," ")))/(LEN(L_PendNeg)+1)),1,0),1)</f>
        <v>0</v>
      </c>
      <c r="BL310" s="61" t="n">
        <f aca="false">IF(ISNA(MATCH(TRIM(S310),L_EvidenceType,0)),0,BZ310)</f>
        <v>0</v>
      </c>
      <c r="BM310" s="61" t="str">
        <f aca="false">SUBSTITUTE(SUBSTITUTE(SUBSTITUTE(SUBSTITUTE(SUBSTITUTE(SUBSTITUTE(SUBSTITUTE(SUBSTITUTE(SUBSTITUTE(LOWER(Z310&amp;""),"1","0"),"2","0"),"3","0"),"4","0"),"5","0"),"6","0"),"7","0"),"8","0"),"9","0")</f>
        <v/>
      </c>
      <c r="BN310" s="61" t="str">
        <f aca="false">SUBSTITUTE(SUBSTITUTE(SUBSTITUTE(SUBSTITUTE(SUBSTITUTE(SUBSTITUTE(SUBSTITUTE(SUBSTITUTE(SUBSTITUTE(SUBSTITUTE(SUBSTITUTE(SUBSTITUTE(SUBSTITUTE(SUBSTITUTE(SUBSTITUTE(SUBSTITUTE(SUBSTITUTE(SUBSTITUTE(SUBSTITUTE(SUBSTITUTE(SUBSTITUTE(SUBSTITUTE(SUBSTITUTE(SUBSTITUTE(SUBSTITUTE(BM310,"b","a"),"c","a"),"d","a"),"e","a"),"f","a"),"g","a"),"h","a"),"i","a"),"j","a"),"k","a"),"l","a"),"m","a"),"n","a"),"o","a"),"p","a"),"q","a"),"r","a"),"s","a"),"t","a"),"u","a"),"v","a"),"w","a"),"x","a"),"y","a"),"z","a")</f>
        <v/>
      </c>
      <c r="BO310" s="61" t="str">
        <f aca="false">SUBSTITUTE(SUBSTITUTE(SUBSTITUTE(SUBSTITUTE(SUBSTITUTE(SUBSTITUTE(SUBSTITUTE(SUBSTITUTE(SUBSTITUTE(LOWER(W310&amp;""),"1","0"),"2","0"),"3","0"),"4","0"),"5","0"),"6","0"),"7","0"),"8","0"),"9","0")</f>
        <v/>
      </c>
      <c r="BP310" s="61" t="str">
        <f aca="false">SUBSTITUTE(SUBSTITUTE(SUBSTITUTE(SUBSTITUTE(SUBSTITUTE(SUBSTITUTE(SUBSTITUTE(SUBSTITUTE(SUBSTITUTE(SUBSTITUTE(SUBSTITUTE(SUBSTITUTE(SUBSTITUTE(SUBSTITUTE(SUBSTITUTE(SUBSTITUTE(SUBSTITUTE(SUBSTITUTE(SUBSTITUTE(SUBSTITUTE(SUBSTITUTE(SUBSTITUTE(SUBSTITUTE(SUBSTITUTE(SUBSTITUTE(BO310,"b","a"),"c","a"),"d","a"),"e","a"),"f","a"),"g","a"),"h","a"),"i","a"),"j","a"),"k","a"),"l","a"),"m","a"),"n","a"),"o","a"),"p","a"),"q","a"),"r","a"),"s","a"),"t","a"),"u","a"),"v","a"),"w","a"),"x","a"),"y","a"),"z","a")</f>
        <v/>
      </c>
      <c r="BQ310" s="61" t="n">
        <f aca="false">IFERROR(IF(AND(ISERROR(SEARCH(" mh"," "&amp;LOWER(W310))),ISNA(MATCH(LEFT(TRIM(BP310),255),{"0000a","000a","00a","0000aa","000aa","00aa","0aa","0000aaa","000aaa","00a00","0a00","0000-0000","00:00","a00","a0","00.00.0000","00/00/0000","00-00-0000","0000-00-00","0000/00/00","0000.00.00","00.00.00","00/00/00","00-00-00","0.00.0000","0/00/0000","0-00-0000"},0)),ISNA(MATCH(LEFT(TRIM(CA310),255),{"0000a","000a","00a","0000aa","000aa","00aa","0aa","0000aaa","000aaa","00a00","0a00","0000-0000","00:00","a00","a0","00.00.0000","00/00/0000","00-00-0000","0000-00-00","0000/00/00","0000.00.00","00.00.00","00/00/00","00-00-00","0.00.0000","0/00/0000","0-00-0000"},0)),LEN(CB310)&gt;=3,NOT(OR(SUBSTITUTE(CB310,"0","")="",AND(LEN(CB310)&gt;=4,CB310=REPT(LEFT(CB310),LEN(CB310))),ISNUMBER(MATCH(CB310,{"123","1234","12345","123456","1234567","12345678","0123","01234","012345","98765","987654","54321"},0)),AND(LEN(CB310)=8,LEFT(CB310,3)="202"))),OR(AND((LEN(CA310)-LEN(SUBSTITUTE(CA310,"a","")))&gt;=1,SUMPRODUCT(--ISNUMBER(SEARCH({"a0","a-0","a_0","a/0","a.0","a#0","0a","0-a","0_a","0/a"},BP310)))&gt;0),ISNUMBER(SEARCH("000000",BP310)))),1,0),0)</f>
        <v>0</v>
      </c>
      <c r="BR310" s="61" t="n">
        <f aca="false">IFERROR(LEN(SUBSTITUTE(CC310," ",""))-SUMPRODUCT((LEN(CC310)-LEN(SUBSTITUTE(CC310," "&amp;L_Role&amp;" "," ")))/(LEN(L_Role)+1)*LEN(L_Role)),0)</f>
        <v>0</v>
      </c>
      <c r="BS310" s="61" t="n">
        <f aca="false">IFERROR(LEN(SUBSTITUTE(CD310," ",""))-SUMPRODUCT((LEN(CD310)-LEN(SUBSTITUTE(CD310," "&amp;L_Role&amp;" "," ")))/(LEN(L_Role)+1)*LEN(L_Role)),0)</f>
        <v>0</v>
      </c>
      <c r="BT3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310,"revision",""),"version",""),"jan",""),"feb",""),"mar",""),"apr",""),"may",""),"jun",""),"jul",""),"aug",""),"sep",""),"oct",""),"nov",""),"dec",""),"utc",""),"gmt",""),"myt",""),"bst",""),"rev",""),"ver",""),"b","a"),"c","a"),"d","a"),"e","a"),"f","a"),"g","a"),"h","a"),"i","a"),"j","a"),"k","a"),"l","a"),"m","a"),"n","a"),"o","a"),"p","a"),"q","a"),"r","a"),"s","a"),"t","a"),"u","a"),"v","a"),"w","a"),"x","a"),"y","a"),"z","a")</f>
        <v/>
      </c>
      <c r="BU310" s="61" t="str">
        <f aca="false">SUBSTITUTE(SUBSTITUTE(SUBSTITUTE(SUBSTITUTE(SUBSTITUTE(SUBSTITUTE(SUBSTITUTE(SUBSTITUTE(SUBSTITUTE(SUBSTITUTE(LEFT(BM310,FIND("0",BM310&amp;"0")-1),"-",""),"_",""),"/",""),".",""),"#",""),"\\",""),":","")," ",""),"(",""),")","")</f>
        <v/>
      </c>
      <c r="BV310" s="61" t="n">
        <f aca="false">IFERROR(IF(OR(SUMPRODUCT((LEN(BC310)-LEN(SUBSTITUTE(BC310," "&amp;L_NotLoaded&amp;" "," ")))/(LEN(L_NotLoaded)+1))&gt;SUMPRODUCT((LEN(BC310)-LEN(SUBSTITUTE(BC310," "&amp;L_NotLoadedNeg&amp;" "," ")))/(LEN(L_NotLoadedNeg)+1)),SUMPRODUCT((LEN(BD310)-LEN(SUBSTITUTE(BD310," "&amp;L_NotLoaded&amp;" "," ")))/(LEN(L_NotLoaded)+1))&gt;SUMPRODUCT((LEN(BD310)-LEN(SUBSTITUTE(BD310," "&amp;L_NotLoadedNeg&amp;" "," ")))/(LEN(L_NotLoadedNeg)+1))),1,0),0)</f>
        <v>0</v>
      </c>
      <c r="BW3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310&amp;""),"a",""),"b",""),"c",""),"d",""),"e",""),"f",""),"g",""),"h",""),"i",""),"j",""),"k",""),"l",""),"m",""),"n",""),"o",""),"p",""),"q",""),"r",""),"s",""),"t",""),"u",""),"v",""),"w",""),"x",""),"y",""),"z",""),"-",""),"_",""),"/",""),".",""),"#",""),"\\",""),":","")," ",""),"(",""),")","")</f>
        <v/>
      </c>
      <c r="BX310" s="61" t="str">
        <f aca="false">SUBSTITUTE(SUBSTITUTE(SUBSTITUTE(SUBSTITUTE(SUBSTITUTE(SUBSTITUTE(SUBSTITUTE(SUBSTITUTE(SUBSTITUTE(SUBSTITUTE(SUBSTITUTE(BM310,"0",""),"-",""),"_",""),"/",""),".",""),"#",""),"\\",""),":","")," ",""),"(",""),")","")</f>
        <v/>
      </c>
      <c r="BY310" s="62" t="n">
        <f aca="false">IF(ISNUMBER(Flights!$AZ$13),MAX(Q310-UpliftWindowH/24,Flights!$AZ$13),Q310-UpliftWindowH/24)</f>
        <v>46306.0034722222</v>
      </c>
      <c r="BZ310" s="61" t="n">
        <f aca="false">IFERROR(IF(IF(TRIM(S310)="Link / file path",AND(LEN(TRIM(Z310))&gt;=5,SUMPRODUCT(--ISNUMBER(SEARCH({"http","www.","\\",":\",".pdf",".jpg",".jpeg",".png",".heic",".xls",".doc",".msg",".eml",".ppt",".txt",".zip"},Z310)))&gt;0),AND(ISERROR(FIND(" ",TRIM(Z310))),NOT(OR(SUMPRODUCT(--ISNUMBER(FIND({",",";","&amp;","+"},Z310)))&gt;0,SUMPRODUCT(--ISNUMBER(SEARCH({"0/aa","0\\aa"},BN310)))&gt;0)),NOT(SUMPRODUCT(--ISNUMBER(SEARCH({"http","www.","\\",":\",".pdf",".jpg",".jpeg",".png",".heic",".xls",".doc",".msg",".eml",".ppt",".txt",".zip"},Z310)))&gt;0),NOT(LOWER(TRIM(Z310))=LOWER(Flights!$F$13)),ISNA(MATCH(BU310,{"mh","rev","revision","ver","version","v","r","a","b","seat","tray","row","gate","bay","stand","page","pg","item","line","no","cart","galley","flight","flt","table","box","bag","oven","etd","eta","std","sta","atd","ata","qty","pax","x","time","tel","ph","mob","day","wk","week","utc","gmt","myt","lt"},0)),NOT(OR(ISNUMBER(MATCH(LEFT(BN310,255),{"0000a","000a","00a","0000aa","000aa","00aa","0aa","0000aaa","000aaa","00a00","0a00","0000-0000","00:00","a00","a0","00.00.0000","00/00/0000","00-00-0000","0000-00-00","0000/00/00","0000.00.00","00.00.00","00/00/00","00-00-00","0.00.0000","0/00/0000","0-00-0000"},0)),ISNUMBER(MATCH(LEFT(BT310,255),{"0000a","000a","00a","0000aa","000aa","00aa","0aa","0000aaa","000aaa","00a00","0a00","0000-0000","00:00","a00","a0","00.00.0000","00/00/0000","00-00-0000","0000-00-00","0000/00/00","0000.00.00","00.00.00","00/00/00","00-00-00","0.00.0000","0/00/0000","0-00-0000"},0)))),NOT(OR(AND(BW310&lt;&gt;"",SUBSTITUTE(BW310,"0","")=""),AND(LEN(BW310)&gt;=4,BW310=REPT(LEFT(BW310),LEN(BW310))),ISNUMBER(MATCH(BW310,{"123","1234","12345","123456","1234567","12345678","0123","01234","012345","98765","987654","54321"},0)),ISNUMBER(MATCH(BX310,{"x","xx","xxx","xxxx","xxxxx","abc","abcd","nil","na","nan","test","tbc","tba","tbd","dummy","sample","example","eg","zz","zzz","none","null","xyz","qwe","asd","id","ref"},0)),AND(LEN(BW310)=8,BX310="",OR(LEFT(BW310,3)="202",ISNUMBER(MATCH(RIGHT(BW310,4),{"2025","2026","2027"},0)))))),OR(AND((LEN(BT310)-LEN(SUBSTITUTE(BT310,"a","")))&gt;=1,(LEN(BN310)-LEN(SUBSTITUTE(BN310,"0","")))&gt;=2,SUMPRODUCT(--ISNUMBER(SEARCH({"a0","a-0","a_0","a/0","a.0","a#0","0a","0-a","0_a","0/a"},BN310)))&gt;0),AND((LEN(BN310)-LEN(SUBSTITUTE(BN310,"a","")))=0,(LEN(BN310)-LEN(SUBSTITUTE(BN310,"0","")))&gt;=5)))),1,0),0)</f>
        <v>0</v>
      </c>
      <c r="CA3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310,"revision",""),"version",""),"jan",""),"feb",""),"mar",""),"apr",""),"may",""),"jun",""),"jul",""),"aug",""),"sep",""),"oct",""),"nov",""),"dec",""),"utc",""),"gmt",""),"myt",""),"bst",""),"rev",""),"ver",""),"b","a"),"c","a"),"d","a"),"e","a"),"f","a"),"g","a"),"h","a"),"i","a"),"j","a"),"k","a"),"l","a"),"m","a"),"n","a"),"o","a"),"p","a"),"q","a"),"r","a"),"s","a"),"t","a"),"u","a"),"v","a"),"w","a"),"x","a"),"y","a"),"z","a")</f>
        <v/>
      </c>
      <c r="CB3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310&amp;""),"a",""),"b",""),"c",""),"d",""),"e",""),"f",""),"g",""),"h",""),"i",""),"j",""),"k",""),"l",""),"m",""),"n",""),"o",""),"p",""),"q",""),"r",""),"s",""),"t",""),"u",""),"v",""),"w",""),"x",""),"y",""),"z",""),"-",""),"_",""),"/",""),".",""),"#",""),"\\",""),":","")," ",""),"(",""),")","")</f>
        <v/>
      </c>
      <c r="CC310" s="0" t="str">
        <f aca="false">" "&amp;TRIM(SUBSTITUTE(SUBSTITUTE(SUBSTITUTE(SUBSTITUTE(SUBSTITUTE(SUBSTITUTE(SUBSTITUTE(SUBSTITUTE(SUBSTITUTE(SUBSTITUTE(SUBSTITUTE(SUBSTITUTE(SUBSTITUTE(SUBSTITUTE(SUBSTITUTE(SUBSTITUTE(SUBSTITUTE(SUBSTITUTE(SUBSTITUTE(SUBSTITUTE(SUBSTITUTE(SUBSTITUTE(SUBSTITUTE(SUBSTITUTE(LOWER(T310&amp;""),CHAR(10)," "),CHAR(13)," "),CHAR(9)," "),CHAR(160)," "),"."," "),","," "),"-"," "),"/"," "),"("," "),")"," "),":"," "),";"," "),"_"," "),"–"," "),"?"," "),"!"," "),"*"," "),"["," "),"]"," "),"'"," "),"#"," "),"+"," "),"&amp;"," "),"\"," "))&amp;" "</f>
        <v>  </v>
      </c>
      <c r="CD310" s="0" t="str">
        <f aca="false">" "&amp;TRIM(SUBSTITUTE(SUBSTITUTE(SUBSTITUTE(SUBSTITUTE(SUBSTITUTE(SUBSTITUTE(SUBSTITUTE(SUBSTITUTE(SUBSTITUTE(SUBSTITUTE(SUBSTITUTE(SUBSTITUTE(SUBSTITUTE(SUBSTITUTE(SUBSTITUTE(SUBSTITUTE(SUBSTITUTE(SUBSTITUTE(SUBSTITUTE(SUBSTITUTE(SUBSTITUTE(SUBSTITUTE(SUBSTITUTE(SUBSTITUTE(LOWER(AE310&amp;""),CHAR(10)," "),CHAR(13)," "),CHAR(9)," "),CHAR(160)," "),"."," "),","," "),"-"," "),"/"," "),"("," "),")"," "),":"," "),";"," "),"_"," "),"–"," "),"?"," "),"!"," "),"*"," "),"["," "),"]"," "),"'"," "),"#"," "),"+"," "),"&amp;"," "),"\"," "))&amp;" "</f>
        <v>  </v>
      </c>
      <c r="CE310" s="68" t="n">
        <f aca="false">IFERROR(IF(AND(LEN(AU310)&gt;0,LEN(AU310)=LEN(AX310),OR(TRIM(MID(SUBSTITUTE(TRIM(CC310)," ",REPT(" ",60)),1,60))="",ISNUMBER(SEARCH(" "&amp;TRIM(MID(SUBSTITUTE(TRIM(CC310)," ",REPT(" ",60)),1,60))&amp;" ",CD310))),OR(TRIM(MID(SUBSTITUTE(TRIM(CC310)," ",REPT(" ",60)),61,60))="",ISNUMBER(SEARCH(" "&amp;TRIM(MID(SUBSTITUTE(TRIM(CC310)," ",REPT(" ",60)),61,60))&amp;" ",CD310))),OR(TRIM(MID(SUBSTITUTE(TRIM(CC310)," ",REPT(" ",60)),121,60))="",ISNUMBER(SEARCH(" "&amp;TRIM(MID(SUBSTITUTE(TRIM(CC310)," ",REPT(" ",60)),121,60))&amp;" ",CD310)))),1,0),0)</f>
        <v>0</v>
      </c>
      <c r="CG310" s="68" t="n">
        <f aca="false">IFERROR(LEN(SUBSTITUTE(BF310," ",""))-SUMPRODUCT((LEN(BF310)-LEN(SUBSTITUTE(BF310," "&amp;L_NAFiller&amp;" "," ")))/(LEN(L_NAFiller)+1)*LEN(L_NAFiller)),0)</f>
        <v>0</v>
      </c>
    </row>
    <row r="311" customFormat="false" ht="39.75" hidden="false" customHeight="true" outlineLevel="0" collapsed="false">
      <c r="A311" s="57" t="s">
        <v>900</v>
      </c>
      <c r="B311" s="57" t="s">
        <v>246</v>
      </c>
      <c r="C311" s="57" t="str">
        <f aca="false">Flights!$F$13</f>
        <v>MH0753</v>
      </c>
      <c r="D311" s="58" t="n">
        <f aca="false">Flights!$D$13</f>
        <v>46306</v>
      </c>
      <c r="E311" s="57" t="str">
        <f aca="false">Flights!$G$13&amp;"-"&amp;Flights!$H$13</f>
        <v>HAN-KUL</v>
      </c>
      <c r="F311" s="57" t="str">
        <f aca="false">Flights!$K$13</f>
        <v>BC</v>
      </c>
      <c r="G311" s="57" t="s">
        <v>459</v>
      </c>
      <c r="H311" s="57" t="s">
        <v>460</v>
      </c>
      <c r="I311" s="57" t="s">
        <v>428</v>
      </c>
      <c r="J311" s="57" t="s">
        <v>465</v>
      </c>
      <c r="K311" s="67" t="s">
        <v>426</v>
      </c>
      <c r="L311" s="67" t="s">
        <v>462</v>
      </c>
      <c r="M311" s="67"/>
      <c r="N311" s="67" t="s">
        <v>383</v>
      </c>
      <c r="O311" s="67" t="s">
        <v>463</v>
      </c>
      <c r="P311" s="57" t="s">
        <v>240</v>
      </c>
      <c r="Q311" s="59" t="n">
        <f aca="false">ROUND((Flights!$AF$13)*1440,0)/1440</f>
        <v>46306.2534722222</v>
      </c>
      <c r="R311" s="59" t="n">
        <f aca="false">Q311+(IF(AND(INDEX(TZ_DSTS,MATCH(P311,TZ_STN,0))&lt;&gt;"",Q311&gt;=INDEX(TZ_DSTS,MATCH(P311,TZ_STN,0)),Q311&lt;INDEX(TZ_DSTE,MATCH(P311,TZ_STN,0))),INDEX(TZ_DST,MATCH(P311,TZ_STN,0)),INDEX(TZ_STD,MATCH(P311,TZ_STN,0))))/24</f>
        <v>46306.5451388889</v>
      </c>
      <c r="S311" s="60"/>
      <c r="T311" s="60"/>
      <c r="U311" s="60"/>
      <c r="V311" s="60"/>
      <c r="W311" s="61"/>
      <c r="X311" s="60"/>
      <c r="Y311" s="60"/>
      <c r="Z311" s="60"/>
      <c r="AA311" s="60"/>
      <c r="AB311" s="60"/>
      <c r="AC311" s="60"/>
      <c r="AD311" s="66"/>
      <c r="AE311" s="60"/>
      <c r="AF311" s="61" t="str">
        <f aca="false">IF(AND(ISNUMBER(X311),ISNUMBER(Y311)),Y311-X311,"")</f>
        <v/>
      </c>
      <c r="AG311" s="62" t="str">
        <f aca="false">IF(ISNUMBER(AD311),AD311-(IF(AND(INDEX(TZ_DSTS,MATCH(P311,TZ_STN,0))&lt;&gt;"",(AD311-INDEX(TZ_STD,MATCH(P311,TZ_STN,0))/24)&gt;=INDEX(TZ_DSTS,MATCH(P311,TZ_STN,0)),(AD311-INDEX(TZ_STD,MATCH(P311,TZ_STN,0))/24)&lt;INDEX(TZ_DSTE,MATCH(P311,TZ_STN,0))),INDEX(TZ_DST,MATCH(P311,TZ_STN,0)),INDEX(TZ_STD,MATCH(P311,TZ_STN,0))))/24,"")</f>
        <v/>
      </c>
      <c r="AH311" s="65" t="str">
        <f aca="false">IFERROR(IF(N311="N/A – rule",IF(OR(TRIM(U311)="",TRIM(U311)="N/A",TRIM(U311)="Not started"),"N/A – RULE","INVALID – this check does not apply to this aircraft: clear the status (or correct the fleet on Flights)"),IF(TRIM(U311)="N/A",IF(AT311=0,"INVALID – N/A not permitted for this check",IF(AND(TRIM(AB311)&lt;&gt;"",TRIM(AB311)&lt;&gt;"Closed"),"INVALID – corrective action still open",IF(AND(NOT(OR(LEN(AZ311)&lt;15,ISNUMBER(MATCH(AZ311,L_Placeholder,0)))),BK311=0,CG311&gt;=8,NOT(OR(LEN(AU311)&lt;2,ISNUMBER(MATCH(AU311,L_Placeholder,0)))),BR311&gt;=3,NOT(OR(LEN(AX311)&lt;2,ISNUMBER(MATCH(AX311,L_Placeholder,0)))),BS311&gt;=3,TRIM(AE311)&lt;&gt;TRIM(T311),AX311&lt;&gt;AU311,CE311=0),"N/A – JUSTIFIED","INVALID – N/A needs a real, settled reason (not 'not applicable' / 'as above' / TBC), a named PIC and a different named verifier"))),IF(OR(TRIM(U311)="Pass",TRIM(U311)="Pass after CA"),IF(NOT(ISNUMBER(AD311)),"INVALID – completion time missing",IF(OR(OR(LEN(AU311)&lt;2,ISNUMBER(MATCH(AU311,L_Placeholder,0))),BR311&lt;3),"INVALID – PIC missing or not a named person (a role such as QA / CSM is not a name)",IF(OR(LEN(AV311)&lt;2,ISNUMBER(MATCH(AV311,L_Placeholder,0))),"INVALID – result / assessment missing",IF(OR(OR(LEN(AW311)&lt;3,ISNUMBER(MATCH(AW311,L_Placeholder,0))),SUMPRODUCT(--ISNUMBER(SEARCH(" "&amp;L_EvidencePhrase&amp;" ",BD311)))&gt;0,BI311=1),"INVALID – evidence missing, placeholder or not yet on file",IF(ISNA(MATCH(TRIM(S311),L_EvidenceType,0)),"INVALID – choose the evidence type from the list (column S)",IF(BL311=0,"INVALID – evidence ID must be the record's own ID only (e.g. SF-2210, IMG_2231, 1045521); a link / file name needs type 'Link / file path'",IF(OR(OR(LEN(AX311)&lt;2,ISNUMBER(MATCH(AX311,L_Placeholder,0))),BS311&lt;3),"INVALID – verifier missing or not a named person (a role such as QA / CSM is not a name)",IF(OR(AX311=AU311,CE311=1,AND(LEN(AU311)&gt;=4,ISNUMBER(SEARCH(AU311,AX311))),AND(LEN(AX311)&gt;=4,ISNUMBER(SEARCH(AX311,AU311)))),"INVALID – verifier must be a different, named person (not the PIC or a role)",IF(BH311=1,"INVALID – result not yet available (awaiting / TBC)",IF(BG311=1,"INVALID – result describes a problem: record Fail, then Pass after CA (or reword if it is not a problem)",IF(BV311=1,"INVALID – wording says not on board: an on-board confirmation needs the item loaded",IF(AND(AQ311=1,OR(OR(LEN(AY311)&lt;3,ISNUMBER(MATCH(AY311,L_Placeholder,0))),BJ311=1,BQ311=0)),"INVALID – batch ID missing, placeholder or not an ID (e.g. PASB-261008-BC-017)",IF(AND(AR311=1,OR(NOT(ISNUMBER(X311)),NOT(ISNUMBER(Y311)))),"INVALID – expected/actual qty missing",IF(AND(AR311=1,OR(X311&lt;=0,Y311&lt;0)),"INVALID – expected qty must be above 0 and actual not negative",IF(AH298="N/A – JUSTIFIED","INVALID – preparation row F09-T12-06 is N/A",IF(AND(AR311=1,ISNUMBER(X298),X311&lt;&gt;X298,TRIM(U311)&lt;&gt;"Pass after CA"),"INVALID – expected qty differs from preparation check F09-T12-06: record the load change as a corrective action (Pass after CA)",IF(BB311&lt;&gt;"",BB311,IF(AND(AS311=1,Documents!$J$13&lt;&gt;"ON FILE"),"INVALID – GLD not on file (Documents sheet)",IF(AND(AS311=2,Documents!$O$13&lt;&gt;"ON FILE"),"INVALID – menu checklist not on file (Documents sheet)",IF(AND(AS311=3,NOT(ISNUMBER(Flights!$AX$13))),"INVALID – enter carrying flight KUL departure (Flights AX)",IF(AND(AS311=3,OR(Flights!$AZ$13&gt;Flights!$AA$13,Flights!$AX$13&lt;Flights!$AA$13-3)),"INVALID – carrying flight (Flights AX) cannot arrive before this leg's STD, or is over 3 days early",IF(AG311&gt;AsOfUTC,"INVALID – completion time is in the future",IF(AND(ISNUMBER(BY311),AG311&lt;BY311),IF(H311="Physical uplift","INVALID – before uplift window (cannot confirm loading)","INVALID – before valid window"),IF(AG311&gt;Flights!$AA$13,"INVALID – completed after departure (cannot establish readiness)",IF(AND(H311="Preparation",AG311&gt;=IF(ISNUMBER(Flights!$BA$13),MIN(Flights!$BA$13,Flights!$AA$13),Flights!$AA$13)),"INVALID – completed after loading / departure (cannot establish readiness)",IF(AND(H311="Physical uplift",AG311&gt;Q311),"INVALID – recorded after the loading flight departed",IF(AG311&gt;Q311,"COMPLETE – LATE","COMPLETE"))))))))))))))))))))))))))),IF(TRIM(U311)="Fail","FAIL – DISCREPANCY",IF(AND(TRIM(U311)&lt;&gt;"",TRIM(U311)&lt;&gt;"Not started",TRIM(U311)&lt;&gt;"In progress"),"INVALID – unrecognised status (use the list)",IF(AsOfUTC&gt;Q311,"OVERDUE",IF(N311="Clarification required","OPEN – CLARIFICATION","OPEN"))))))),"INVALID – error value in an input cell")</f>
        <v>OPEN</v>
      </c>
      <c r="AI311" s="61" t="n">
        <f aca="false">IF(OR(AH311="N/A – RULE",AH311="N/A – JUSTIFIED"),0,1)</f>
        <v>1</v>
      </c>
      <c r="AJ311" s="61" t="n">
        <f aca="false">IF(LEFT(AH311,8)="COMPLETE",1,0)</f>
        <v>0</v>
      </c>
      <c r="AK311" s="61" t="n">
        <f aca="false">IF(AND(AI311=1,AJ311=0,AsOfUTC&gt;Q311),1,0)</f>
        <v>0</v>
      </c>
      <c r="AL311" s="61" t="n">
        <f aca="false">IFERROR(IF(AND(AI311=1,OR(TRIM(U311)="Fail",AND(TRIM(AB311)&lt;&gt;"",TRIM(AB311)&lt;&gt;"Closed"),AND(ISNUMBER(AF311),AF311&lt;&gt;0,TRIM(U311)&lt;&gt;"Pass after CA"))),1,0),1)</f>
        <v>0</v>
      </c>
      <c r="AM311" s="61" t="n">
        <f aca="false">IF(LEFT(AH311,7)="INVALID",1,0)</f>
        <v>0</v>
      </c>
      <c r="AN311" s="61" t="n">
        <f aca="false">IF(AND(N311="Clarification required",AI311=1,AJ311=0),1,0)</f>
        <v>0</v>
      </c>
      <c r="AO311" s="61" t="str">
        <f aca="false">IF(AK311=1,SUM(AK$5:AK311),"")</f>
        <v/>
      </c>
      <c r="AP311" s="61" t="str">
        <f aca="false">IF(AL311=1,SUM(AL$5:AL311),"")</f>
        <v/>
      </c>
      <c r="AQ311" s="61" t="n">
        <v>0</v>
      </c>
      <c r="AR311" s="61" t="n">
        <v>1</v>
      </c>
      <c r="AS311" s="61" t="n">
        <v>0</v>
      </c>
      <c r="AT311" s="61" t="n">
        <v>0</v>
      </c>
      <c r="AU311" s="61" t="str">
        <f aca="false">SUBSTITUTE(SUBSTITUTE(SUBSTITUTE(SUBSTITUTE(SUBSTITUTE(SUBSTITUTE(SUBSTITUTE(SUBSTITUTE(SUBSTITUTE(SUBSTITUTE(SUBSTITUTE(SUBSTITUTE(SUBSTITUTE(SUBSTITUTE(SUBSTITUTE(SUBSTITUTE(LOWER(T311&amp;""),CHAR(10),""),CHAR(13),""),CHAR(9),""),CHAR(160),"")," ",""),".",""),"-",""),"/",""),"?",""),"_",""),",",""),"[",""),"]",""),"(",""),")",""),"*","")</f>
        <v/>
      </c>
      <c r="AV311" s="61" t="str">
        <f aca="false">SUBSTITUTE(SUBSTITUTE(SUBSTITUTE(SUBSTITUTE(SUBSTITUTE(SUBSTITUTE(SUBSTITUTE(SUBSTITUTE(SUBSTITUTE(SUBSTITUTE(SUBSTITUTE(SUBSTITUTE(SUBSTITUTE(SUBSTITUTE(SUBSTITUTE(SUBSTITUTE(LOWER(V311&amp;""),CHAR(10),""),CHAR(13),""),CHAR(9),""),CHAR(160),"")," ",""),".",""),"-",""),"/",""),"?",""),"_",""),",",""),"[",""),"]",""),"(",""),")",""),"*","")</f>
        <v/>
      </c>
      <c r="AW311" s="61" t="str">
        <f aca="false">SUBSTITUTE(SUBSTITUTE(SUBSTITUTE(SUBSTITUTE(SUBSTITUTE(SUBSTITUTE(SUBSTITUTE(SUBSTITUTE(SUBSTITUTE(SUBSTITUTE(SUBSTITUTE(SUBSTITUTE(SUBSTITUTE(SUBSTITUTE(SUBSTITUTE(SUBSTITUTE(LOWER(Z311&amp;""),CHAR(10),""),CHAR(13),""),CHAR(9),""),CHAR(160),"")," ",""),".",""),"-",""),"/",""),"?",""),"_",""),",",""),"[",""),"]",""),"(",""),")",""),"*","")</f>
        <v/>
      </c>
      <c r="AX311" s="61" t="str">
        <f aca="false">SUBSTITUTE(SUBSTITUTE(SUBSTITUTE(SUBSTITUTE(SUBSTITUTE(SUBSTITUTE(SUBSTITUTE(SUBSTITUTE(SUBSTITUTE(SUBSTITUTE(SUBSTITUTE(SUBSTITUTE(SUBSTITUTE(SUBSTITUTE(SUBSTITUTE(SUBSTITUTE(LOWER(AE311&amp;""),CHAR(10),""),CHAR(13),""),CHAR(9),""),CHAR(160),"")," ",""),".",""),"-",""),"/",""),"?",""),"_",""),",",""),"[",""),"]",""),"(",""),")",""),"*","")</f>
        <v/>
      </c>
      <c r="AY311" s="61" t="str">
        <f aca="false">SUBSTITUTE(SUBSTITUTE(SUBSTITUTE(SUBSTITUTE(SUBSTITUTE(SUBSTITUTE(SUBSTITUTE(SUBSTITUTE(SUBSTITUTE(SUBSTITUTE(SUBSTITUTE(SUBSTITUTE(SUBSTITUTE(SUBSTITUTE(SUBSTITUTE(SUBSTITUTE(LOWER(W311&amp;""),CHAR(10),""),CHAR(13),""),CHAR(9),""),CHAR(160),"")," ",""),".",""),"-",""),"/",""),"?",""),"_",""),",",""),"[",""),"]",""),"(",""),")",""),"*","")</f>
        <v/>
      </c>
      <c r="AZ311" s="61" t="str">
        <f aca="false">SUBSTITUTE(SUBSTITUTE(SUBSTITUTE(SUBSTITUTE(SUBSTITUTE(SUBSTITUTE(SUBSTITUTE(SUBSTITUTE(SUBSTITUTE(SUBSTITUTE(SUBSTITUTE(SUBSTITUTE(SUBSTITUTE(SUBSTITUTE(SUBSTITUTE(SUBSTITUTE(LOWER(AC311&amp;""),CHAR(10),""),CHAR(13),""),CHAR(9),""),CHAR(160),"")," ",""),".",""),"-",""),"/",""),"?",""),"_",""),",",""),"[",""),"]",""),"(",""),")",""),"*","")</f>
        <v/>
      </c>
      <c r="BA311" s="61" t="str">
        <f aca="false">SUBSTITUTE(SUBSTITUTE(SUBSTITUTE(SUBSTITUTE(SUBSTITUTE(SUBSTITUTE(SUBSTITUTE(SUBSTITUTE(SUBSTITUTE(SUBSTITUTE(SUBSTITUTE(SUBSTITUTE(SUBSTITUTE(SUBSTITUTE(SUBSTITUTE(SUBSTITUTE(LOWER(AA311&amp;""),CHAR(10),""),CHAR(13),""),CHAR(9),""),CHAR(160),"")," ",""),".",""),"-",""),"/",""),"?",""),"_",""),",",""),"[",""),"]",""),"(",""),")",""),"*","")</f>
        <v/>
      </c>
      <c r="BB311" s="61" t="str">
        <f aca="false">IF(AND(TRIM(U311)="Pass",ISNUMBER(AF311)),IF(AF311&lt;&gt;0,"INVALID – qty variance: use Fail or Pass after CA",""),"")&amp;IF(AND(TRIM(U311)="Pass after CA",ISNUMBER(AF311)),IF(AF311&lt;&gt;0,"INVALID – after the corrective action the actual qty must equal expected (update Actual)",""),"")&amp;IF(AND(TRIM(U311)="Pass",TRIM(AB311)&lt;&gt;"",TRIM(AB311)&lt;&gt;"Closed"),"INVALID – corrective action not closed: use Fail, then Pass after CA","")&amp;IF(AND(LEN(BA311)&gt;=2,ISNA(MATCH(LEFT(BA311,255),L_Placeholder,0)),TRIM(AB311)=""),"INVALID – CA status missing for the recorded corrective action","")&amp;IF(AND(TRIM(U311)="Pass after CA",OR(OR(LEN(BA311)&lt;5,ISNUMBER(MATCH(BA311,L_Placeholder,0))),TRIM(AB311)&lt;&gt;"Closed")),"INVALID – corrective action not recorded/closed","")</f>
        <v/>
      </c>
      <c r="BC311" s="61" t="str">
        <f aca="false">" "&amp;TRIM(SUBSTITUTE(SUBSTITUTE(SUBSTITUTE(SUBSTITUTE(SUBSTITUTE(SUBSTITUTE(SUBSTITUTE(SUBSTITUTE(SUBSTITUTE(SUBSTITUTE(SUBSTITUTE(SUBSTITUTE(SUBSTITUTE(SUBSTITUTE(SUBSTITUTE(SUBSTITUTE(SUBSTITUTE(SUBSTITUTE(SUBSTITUTE(SUBSTITUTE(SUBSTITUTE(SUBSTITUTE(SUBSTITUTE(SUBSTITUTE(LOWER(V311&amp;""),CHAR(10)," "),CHAR(13)," "),CHAR(9)," "),CHAR(160)," "),"."," "),","," "),"-"," "),"/"," "),"("," "),")"," "),":"," "),";"," "),"_"," "),"–"," "),"?"," "),"!"," "),"*"," "),"["," "),"]"," "),"'"," "),"#"," "),"+"," "),"&amp;"," "),"\"," "))&amp;" "</f>
        <v>  </v>
      </c>
      <c r="BD311" s="61" t="str">
        <f aca="false">" "&amp;TRIM(SUBSTITUTE(SUBSTITUTE(SUBSTITUTE(SUBSTITUTE(SUBSTITUTE(SUBSTITUTE(SUBSTITUTE(SUBSTITUTE(SUBSTITUTE(SUBSTITUTE(SUBSTITUTE(SUBSTITUTE(SUBSTITUTE(SUBSTITUTE(SUBSTITUTE(SUBSTITUTE(SUBSTITUTE(SUBSTITUTE(SUBSTITUTE(SUBSTITUTE(SUBSTITUTE(SUBSTITUTE(SUBSTITUTE(SUBSTITUTE(LOWER(Z311&amp;""),CHAR(10)," "),CHAR(13)," "),CHAR(9)," "),CHAR(160)," "),"."," "),","," "),"-"," "),"/"," "),"("," "),")"," "),":"," "),";"," "),"_"," "),"–"," "),"?"," "),"!"," "),"*"," "),"["," "),"]"," "),"'"," "),"#"," "),"+"," "),"&amp;"," "),"\"," "))&amp;" "</f>
        <v>  </v>
      </c>
      <c r="BE311" s="61" t="str">
        <f aca="false">" "&amp;TRIM(SUBSTITUTE(SUBSTITUTE(SUBSTITUTE(SUBSTITUTE(SUBSTITUTE(SUBSTITUTE(SUBSTITUTE(SUBSTITUTE(SUBSTITUTE(SUBSTITUTE(SUBSTITUTE(SUBSTITUTE(SUBSTITUTE(SUBSTITUTE(SUBSTITUTE(SUBSTITUTE(SUBSTITUTE(SUBSTITUTE(SUBSTITUTE(SUBSTITUTE(SUBSTITUTE(SUBSTITUTE(SUBSTITUTE(SUBSTITUTE(LOWER(W311&amp;""),CHAR(10)," "),CHAR(13)," "),CHAR(9)," "),CHAR(160)," "),"."," "),","," "),"-"," "),"/"," "),"("," "),")"," "),":"," "),";"," "),"_"," "),"–"," "),"?"," "),"!"," "),"*"," "),"["," "),"]"," "),"'"," "),"#"," "),"+"," "),"&amp;"," "),"\"," "))&amp;" "</f>
        <v>  </v>
      </c>
      <c r="BF311" s="61" t="str">
        <f aca="false">" "&amp;TRIM(SUBSTITUTE(SUBSTITUTE(SUBSTITUTE(SUBSTITUTE(SUBSTITUTE(SUBSTITUTE(SUBSTITUTE(SUBSTITUTE(SUBSTITUTE(SUBSTITUTE(SUBSTITUTE(SUBSTITUTE(SUBSTITUTE(SUBSTITUTE(SUBSTITUTE(SUBSTITUTE(SUBSTITUTE(SUBSTITUTE(SUBSTITUTE(SUBSTITUTE(SUBSTITUTE(SUBSTITUTE(SUBSTITUTE(SUBSTITUTE(LOWER(AC311&amp;""),CHAR(10)," "),CHAR(13)," "),CHAR(9)," "),CHAR(160)," "),"."," "),","," "),"-"," "),"/"," "),"("," "),")"," "),":"," "),";"," "),"_"," "),"–"," "),"?"," "),"!"," "),"*"," "),"["," "),"]"," "),"'"," "),"#"," "),"+"," "),"&amp;"," "),"\"," "))&amp;" "</f>
        <v>  </v>
      </c>
      <c r="BG311" s="61" t="n">
        <f aca="false">IFERROR(IF(AND(TRIM(U311)="Pass",SUMPRODUCT((LEN(BC311)-LEN(SUBSTITUTE(BC311," "&amp;L_ResultBad&amp;" "," ")))/(LEN(L_ResultBad)+1))&gt;SUMPRODUCT((LEN(BC311)-LEN(SUBSTITUTE(BC311," "&amp;L_NegPhrase&amp;" "," ")))/(LEN(L_NegPhrase)+1))),1,0),0)</f>
        <v>0</v>
      </c>
      <c r="BH311" s="61" t="n">
        <f aca="false">IFERROR(IF(SUMPRODUCT((LEN(BC311)-LEN(SUBSTITUTE(BC311," "&amp;L_Pending&amp;" "," ")))/(LEN(L_Pending)+1))&gt;SUMPRODUCT((LEN(BC311)-LEN(SUBSTITUTE(BC311," "&amp;L_PendNeg&amp;" "," ")))/(LEN(L_PendNeg)+1)),1,0),1)</f>
        <v>0</v>
      </c>
      <c r="BI311" s="61" t="n">
        <f aca="false">IFERROR(IF(SUMPRODUCT((LEN(BD311)-LEN(SUBSTITUTE(BD311," "&amp;L_PendStrict&amp;" "," ")))/(LEN(L_PendStrict)+1))&gt;SUMPRODUCT((LEN(BD311)-LEN(SUBSTITUTE(BD311," "&amp;L_PendNeg&amp;" "," ")))/(LEN(L_PendNeg)+1)),1,0),1)</f>
        <v>0</v>
      </c>
      <c r="BJ311" s="61" t="n">
        <f aca="false">IFERROR(IF(SUMPRODUCT((LEN(BE311)-LEN(SUBSTITUTE(BE311," "&amp;L_Pending&amp;" "," ")))/(LEN(L_Pending)+1))&gt;SUMPRODUCT((LEN(BE311)-LEN(SUBSTITUTE(BE311," "&amp;L_PendNeg&amp;" "," ")))/(LEN(L_PendNeg)+1)),1,0),1)</f>
        <v>0</v>
      </c>
      <c r="BK311" s="61" t="n">
        <f aca="false">IFERROR(IF(SUMPRODUCT((LEN(BF311)-LEN(SUBSTITUTE(BF311," "&amp;L_PendStrict&amp;" "," ")))/(LEN(L_PendStrict)+1))&gt;SUMPRODUCT((LEN(BF311)-LEN(SUBSTITUTE(BF311," "&amp;L_PendNeg&amp;" "," ")))/(LEN(L_PendNeg)+1)),1,0),1)</f>
        <v>0</v>
      </c>
      <c r="BL311" s="61" t="n">
        <f aca="false">IF(ISNA(MATCH(TRIM(S311),L_EvidenceType,0)),0,BZ311)</f>
        <v>0</v>
      </c>
      <c r="BM311" s="61" t="str">
        <f aca="false">SUBSTITUTE(SUBSTITUTE(SUBSTITUTE(SUBSTITUTE(SUBSTITUTE(SUBSTITUTE(SUBSTITUTE(SUBSTITUTE(SUBSTITUTE(LOWER(Z311&amp;""),"1","0"),"2","0"),"3","0"),"4","0"),"5","0"),"6","0"),"7","0"),"8","0"),"9","0")</f>
        <v/>
      </c>
      <c r="BN311" s="61" t="str">
        <f aca="false">SUBSTITUTE(SUBSTITUTE(SUBSTITUTE(SUBSTITUTE(SUBSTITUTE(SUBSTITUTE(SUBSTITUTE(SUBSTITUTE(SUBSTITUTE(SUBSTITUTE(SUBSTITUTE(SUBSTITUTE(SUBSTITUTE(SUBSTITUTE(SUBSTITUTE(SUBSTITUTE(SUBSTITUTE(SUBSTITUTE(SUBSTITUTE(SUBSTITUTE(SUBSTITUTE(SUBSTITUTE(SUBSTITUTE(SUBSTITUTE(SUBSTITUTE(BM311,"b","a"),"c","a"),"d","a"),"e","a"),"f","a"),"g","a"),"h","a"),"i","a"),"j","a"),"k","a"),"l","a"),"m","a"),"n","a"),"o","a"),"p","a"),"q","a"),"r","a"),"s","a"),"t","a"),"u","a"),"v","a"),"w","a"),"x","a"),"y","a"),"z","a")</f>
        <v/>
      </c>
      <c r="BO311" s="61" t="str">
        <f aca="false">SUBSTITUTE(SUBSTITUTE(SUBSTITUTE(SUBSTITUTE(SUBSTITUTE(SUBSTITUTE(SUBSTITUTE(SUBSTITUTE(SUBSTITUTE(LOWER(W311&amp;""),"1","0"),"2","0"),"3","0"),"4","0"),"5","0"),"6","0"),"7","0"),"8","0"),"9","0")</f>
        <v/>
      </c>
      <c r="BP311" s="61" t="str">
        <f aca="false">SUBSTITUTE(SUBSTITUTE(SUBSTITUTE(SUBSTITUTE(SUBSTITUTE(SUBSTITUTE(SUBSTITUTE(SUBSTITUTE(SUBSTITUTE(SUBSTITUTE(SUBSTITUTE(SUBSTITUTE(SUBSTITUTE(SUBSTITUTE(SUBSTITUTE(SUBSTITUTE(SUBSTITUTE(SUBSTITUTE(SUBSTITUTE(SUBSTITUTE(SUBSTITUTE(SUBSTITUTE(SUBSTITUTE(SUBSTITUTE(SUBSTITUTE(BO311,"b","a"),"c","a"),"d","a"),"e","a"),"f","a"),"g","a"),"h","a"),"i","a"),"j","a"),"k","a"),"l","a"),"m","a"),"n","a"),"o","a"),"p","a"),"q","a"),"r","a"),"s","a"),"t","a"),"u","a"),"v","a"),"w","a"),"x","a"),"y","a"),"z","a")</f>
        <v/>
      </c>
      <c r="BQ311" s="61" t="n">
        <f aca="false">IFERROR(IF(AND(ISERROR(SEARCH(" mh"," "&amp;LOWER(W311))),ISNA(MATCH(LEFT(TRIM(BP311),255),{"0000a","000a","00a","0000aa","000aa","00aa","0aa","0000aaa","000aaa","00a00","0a00","0000-0000","00:00","a00","a0","00.00.0000","00/00/0000","00-00-0000","0000-00-00","0000/00/00","0000.00.00","00.00.00","00/00/00","00-00-00","0.00.0000","0/00/0000","0-00-0000"},0)),ISNA(MATCH(LEFT(TRIM(CA311),255),{"0000a","000a","00a","0000aa","000aa","00aa","0aa","0000aaa","000aaa","00a00","0a00","0000-0000","00:00","a00","a0","00.00.0000","00/00/0000","00-00-0000","0000-00-00","0000/00/00","0000.00.00","00.00.00","00/00/00","00-00-00","0.00.0000","0/00/0000","0-00-0000"},0)),LEN(CB311)&gt;=3,NOT(OR(SUBSTITUTE(CB311,"0","")="",AND(LEN(CB311)&gt;=4,CB311=REPT(LEFT(CB311),LEN(CB311))),ISNUMBER(MATCH(CB311,{"123","1234","12345","123456","1234567","12345678","0123","01234","012345","98765","987654","54321"},0)),AND(LEN(CB311)=8,LEFT(CB311,3)="202"))),OR(AND((LEN(CA311)-LEN(SUBSTITUTE(CA311,"a","")))&gt;=1,SUMPRODUCT(--ISNUMBER(SEARCH({"a0","a-0","a_0","a/0","a.0","a#0","0a","0-a","0_a","0/a"},BP311)))&gt;0),ISNUMBER(SEARCH("000000",BP311)))),1,0),0)</f>
        <v>0</v>
      </c>
      <c r="BR311" s="61" t="n">
        <f aca="false">IFERROR(LEN(SUBSTITUTE(CC311," ",""))-SUMPRODUCT((LEN(CC311)-LEN(SUBSTITUTE(CC311," "&amp;L_Role&amp;" "," ")))/(LEN(L_Role)+1)*LEN(L_Role)),0)</f>
        <v>0</v>
      </c>
      <c r="BS311" s="61" t="n">
        <f aca="false">IFERROR(LEN(SUBSTITUTE(CD311," ",""))-SUMPRODUCT((LEN(CD311)-LEN(SUBSTITUTE(CD311," "&amp;L_Role&amp;" "," ")))/(LEN(L_Role)+1)*LEN(L_Role)),0)</f>
        <v>0</v>
      </c>
      <c r="BT3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311,"revision",""),"version",""),"jan",""),"feb",""),"mar",""),"apr",""),"may",""),"jun",""),"jul",""),"aug",""),"sep",""),"oct",""),"nov",""),"dec",""),"utc",""),"gmt",""),"myt",""),"bst",""),"rev",""),"ver",""),"b","a"),"c","a"),"d","a"),"e","a"),"f","a"),"g","a"),"h","a"),"i","a"),"j","a"),"k","a"),"l","a"),"m","a"),"n","a"),"o","a"),"p","a"),"q","a"),"r","a"),"s","a"),"t","a"),"u","a"),"v","a"),"w","a"),"x","a"),"y","a"),"z","a")</f>
        <v/>
      </c>
      <c r="BU311" s="61" t="str">
        <f aca="false">SUBSTITUTE(SUBSTITUTE(SUBSTITUTE(SUBSTITUTE(SUBSTITUTE(SUBSTITUTE(SUBSTITUTE(SUBSTITUTE(SUBSTITUTE(SUBSTITUTE(LEFT(BM311,FIND("0",BM311&amp;"0")-1),"-",""),"_",""),"/",""),".",""),"#",""),"\\",""),":","")," ",""),"(",""),")","")</f>
        <v/>
      </c>
      <c r="BV311" s="61" t="n">
        <f aca="false">IFERROR(IF(OR(SUMPRODUCT((LEN(BC311)-LEN(SUBSTITUTE(BC311," "&amp;L_NotLoaded&amp;" "," ")))/(LEN(L_NotLoaded)+1))&gt;SUMPRODUCT((LEN(BC311)-LEN(SUBSTITUTE(BC311," "&amp;L_NotLoadedNeg&amp;" "," ")))/(LEN(L_NotLoadedNeg)+1)),SUMPRODUCT((LEN(BD311)-LEN(SUBSTITUTE(BD311," "&amp;L_NotLoaded&amp;" "," ")))/(LEN(L_NotLoaded)+1))&gt;SUMPRODUCT((LEN(BD311)-LEN(SUBSTITUTE(BD311," "&amp;L_NotLoadedNeg&amp;" "," ")))/(LEN(L_NotLoadedNeg)+1))),1,0),0)</f>
        <v>0</v>
      </c>
      <c r="BW3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311&amp;""),"a",""),"b",""),"c",""),"d",""),"e",""),"f",""),"g",""),"h",""),"i",""),"j",""),"k",""),"l",""),"m",""),"n",""),"o",""),"p",""),"q",""),"r",""),"s",""),"t",""),"u",""),"v",""),"w",""),"x",""),"y",""),"z",""),"-",""),"_",""),"/",""),".",""),"#",""),"\\",""),":","")," ",""),"(",""),")","")</f>
        <v/>
      </c>
      <c r="BX311" s="61" t="str">
        <f aca="false">SUBSTITUTE(SUBSTITUTE(SUBSTITUTE(SUBSTITUTE(SUBSTITUTE(SUBSTITUTE(SUBSTITUTE(SUBSTITUTE(SUBSTITUTE(SUBSTITUTE(SUBSTITUTE(BM311,"0",""),"-",""),"_",""),"/",""),".",""),"#",""),"\\",""),":","")," ",""),"(",""),")","")</f>
        <v/>
      </c>
      <c r="BY311" s="62" t="n">
        <f aca="false">IF(ISNUMBER(Flights!$AZ$13),MAX(Q311-UpliftWindowH/24,Flights!$AZ$13),Q311-UpliftWindowH/24)</f>
        <v>46306.0034722222</v>
      </c>
      <c r="BZ311" s="61" t="n">
        <f aca="false">IFERROR(IF(IF(TRIM(S311)="Link / file path",AND(LEN(TRIM(Z311))&gt;=5,SUMPRODUCT(--ISNUMBER(SEARCH({"http","www.","\\",":\",".pdf",".jpg",".jpeg",".png",".heic",".xls",".doc",".msg",".eml",".ppt",".txt",".zip"},Z311)))&gt;0),AND(ISERROR(FIND(" ",TRIM(Z311))),NOT(OR(SUMPRODUCT(--ISNUMBER(FIND({",",";","&amp;","+"},Z311)))&gt;0,SUMPRODUCT(--ISNUMBER(SEARCH({"0/aa","0\\aa"},BN311)))&gt;0)),NOT(SUMPRODUCT(--ISNUMBER(SEARCH({"http","www.","\\",":\",".pdf",".jpg",".jpeg",".png",".heic",".xls",".doc",".msg",".eml",".ppt",".txt",".zip"},Z311)))&gt;0),NOT(LOWER(TRIM(Z311))=LOWER(Flights!$F$13)),ISNA(MATCH(BU311,{"mh","rev","revision","ver","version","v","r","a","b","seat","tray","row","gate","bay","stand","page","pg","item","line","no","cart","galley","flight","flt","table","box","bag","oven","etd","eta","std","sta","atd","ata","qty","pax","x","time","tel","ph","mob","day","wk","week","utc","gmt","myt","lt"},0)),NOT(OR(ISNUMBER(MATCH(LEFT(BN311,255),{"0000a","000a","00a","0000aa","000aa","00aa","0aa","0000aaa","000aaa","00a00","0a00","0000-0000","00:00","a00","a0","00.00.0000","00/00/0000","00-00-0000","0000-00-00","0000/00/00","0000.00.00","00.00.00","00/00/00","00-00-00","0.00.0000","0/00/0000","0-00-0000"},0)),ISNUMBER(MATCH(LEFT(BT311,255),{"0000a","000a","00a","0000aa","000aa","00aa","0aa","0000aaa","000aaa","00a00","0a00","0000-0000","00:00","a00","a0","00.00.0000","00/00/0000","00-00-0000","0000-00-00","0000/00/00","0000.00.00","00.00.00","00/00/00","00-00-00","0.00.0000","0/00/0000","0-00-0000"},0)))),NOT(OR(AND(BW311&lt;&gt;"",SUBSTITUTE(BW311,"0","")=""),AND(LEN(BW311)&gt;=4,BW311=REPT(LEFT(BW311),LEN(BW311))),ISNUMBER(MATCH(BW311,{"123","1234","12345","123456","1234567","12345678","0123","01234","012345","98765","987654","54321"},0)),ISNUMBER(MATCH(BX311,{"x","xx","xxx","xxxx","xxxxx","abc","abcd","nil","na","nan","test","tbc","tba","tbd","dummy","sample","example","eg","zz","zzz","none","null","xyz","qwe","asd","id","ref"},0)),AND(LEN(BW311)=8,BX311="",OR(LEFT(BW311,3)="202",ISNUMBER(MATCH(RIGHT(BW311,4),{"2025","2026","2027"},0)))))),OR(AND((LEN(BT311)-LEN(SUBSTITUTE(BT311,"a","")))&gt;=1,(LEN(BN311)-LEN(SUBSTITUTE(BN311,"0","")))&gt;=2,SUMPRODUCT(--ISNUMBER(SEARCH({"a0","a-0","a_0","a/0","a.0","a#0","0a","0-a","0_a","0/a"},BN311)))&gt;0),AND((LEN(BN311)-LEN(SUBSTITUTE(BN311,"a","")))=0,(LEN(BN311)-LEN(SUBSTITUTE(BN311,"0","")))&gt;=5)))),1,0),0)</f>
        <v>0</v>
      </c>
      <c r="CA3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311,"revision",""),"version",""),"jan",""),"feb",""),"mar",""),"apr",""),"may",""),"jun",""),"jul",""),"aug",""),"sep",""),"oct",""),"nov",""),"dec",""),"utc",""),"gmt",""),"myt",""),"bst",""),"rev",""),"ver",""),"b","a"),"c","a"),"d","a"),"e","a"),"f","a"),"g","a"),"h","a"),"i","a"),"j","a"),"k","a"),"l","a"),"m","a"),"n","a"),"o","a"),"p","a"),"q","a"),"r","a"),"s","a"),"t","a"),"u","a"),"v","a"),"w","a"),"x","a"),"y","a"),"z","a")</f>
        <v/>
      </c>
      <c r="CB3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311&amp;""),"a",""),"b",""),"c",""),"d",""),"e",""),"f",""),"g",""),"h",""),"i",""),"j",""),"k",""),"l",""),"m",""),"n",""),"o",""),"p",""),"q",""),"r",""),"s",""),"t",""),"u",""),"v",""),"w",""),"x",""),"y",""),"z",""),"-",""),"_",""),"/",""),".",""),"#",""),"\\",""),":","")," ",""),"(",""),")","")</f>
        <v/>
      </c>
      <c r="CC311" s="0" t="str">
        <f aca="false">" "&amp;TRIM(SUBSTITUTE(SUBSTITUTE(SUBSTITUTE(SUBSTITUTE(SUBSTITUTE(SUBSTITUTE(SUBSTITUTE(SUBSTITUTE(SUBSTITUTE(SUBSTITUTE(SUBSTITUTE(SUBSTITUTE(SUBSTITUTE(SUBSTITUTE(SUBSTITUTE(SUBSTITUTE(SUBSTITUTE(SUBSTITUTE(SUBSTITUTE(SUBSTITUTE(SUBSTITUTE(SUBSTITUTE(SUBSTITUTE(SUBSTITUTE(LOWER(T311&amp;""),CHAR(10)," "),CHAR(13)," "),CHAR(9)," "),CHAR(160)," "),"."," "),","," "),"-"," "),"/"," "),"("," "),")"," "),":"," "),";"," "),"_"," "),"–"," "),"?"," "),"!"," "),"*"," "),"["," "),"]"," "),"'"," "),"#"," "),"+"," "),"&amp;"," "),"\"," "))&amp;" "</f>
        <v>  </v>
      </c>
      <c r="CD311" s="0" t="str">
        <f aca="false">" "&amp;TRIM(SUBSTITUTE(SUBSTITUTE(SUBSTITUTE(SUBSTITUTE(SUBSTITUTE(SUBSTITUTE(SUBSTITUTE(SUBSTITUTE(SUBSTITUTE(SUBSTITUTE(SUBSTITUTE(SUBSTITUTE(SUBSTITUTE(SUBSTITUTE(SUBSTITUTE(SUBSTITUTE(SUBSTITUTE(SUBSTITUTE(SUBSTITUTE(SUBSTITUTE(SUBSTITUTE(SUBSTITUTE(SUBSTITUTE(SUBSTITUTE(LOWER(AE311&amp;""),CHAR(10)," "),CHAR(13)," "),CHAR(9)," "),CHAR(160)," "),"."," "),","," "),"-"," "),"/"," "),"("," "),")"," "),":"," "),";"," "),"_"," "),"–"," "),"?"," "),"!"," "),"*"," "),"["," "),"]"," "),"'"," "),"#"," "),"+"," "),"&amp;"," "),"\"," "))&amp;" "</f>
        <v>  </v>
      </c>
      <c r="CE311" s="68" t="n">
        <f aca="false">IFERROR(IF(AND(LEN(AU311)&gt;0,LEN(AU311)=LEN(AX311),OR(TRIM(MID(SUBSTITUTE(TRIM(CC311)," ",REPT(" ",60)),1,60))="",ISNUMBER(SEARCH(" "&amp;TRIM(MID(SUBSTITUTE(TRIM(CC311)," ",REPT(" ",60)),1,60))&amp;" ",CD311))),OR(TRIM(MID(SUBSTITUTE(TRIM(CC311)," ",REPT(" ",60)),61,60))="",ISNUMBER(SEARCH(" "&amp;TRIM(MID(SUBSTITUTE(TRIM(CC311)," ",REPT(" ",60)),61,60))&amp;" ",CD311))),OR(TRIM(MID(SUBSTITUTE(TRIM(CC311)," ",REPT(" ",60)),121,60))="",ISNUMBER(SEARCH(" "&amp;TRIM(MID(SUBSTITUTE(TRIM(CC311)," ",REPT(" ",60)),121,60))&amp;" ",CD311)))),1,0),0)</f>
        <v>0</v>
      </c>
      <c r="CG311" s="68" t="n">
        <f aca="false">IFERROR(LEN(SUBSTITUTE(BF311," ",""))-SUMPRODUCT((LEN(BF311)-LEN(SUBSTITUTE(BF311," "&amp;L_NAFiller&amp;" "," ")))/(LEN(L_NAFiller)+1)*LEN(L_NAFiller)),0)</f>
        <v>0</v>
      </c>
    </row>
    <row r="312" customFormat="false" ht="41.25" hidden="false" customHeight="true" outlineLevel="0" collapsed="false">
      <c r="A312" s="57" t="s">
        <v>901</v>
      </c>
      <c r="B312" s="57" t="s">
        <v>246</v>
      </c>
      <c r="C312" s="57" t="str">
        <f aca="false">Flights!$F$13</f>
        <v>MH0753</v>
      </c>
      <c r="D312" s="58" t="n">
        <f aca="false">Flights!$D$13</f>
        <v>46306</v>
      </c>
      <c r="E312" s="57" t="str">
        <f aca="false">Flights!$G$13&amp;"-"&amp;Flights!$H$13</f>
        <v>HAN-KUL</v>
      </c>
      <c r="F312" s="57" t="str">
        <f aca="false">Flights!$K$13</f>
        <v>BC</v>
      </c>
      <c r="G312" s="57" t="s">
        <v>459</v>
      </c>
      <c r="H312" s="57" t="s">
        <v>460</v>
      </c>
      <c r="I312" s="57" t="s">
        <v>440</v>
      </c>
      <c r="J312" s="57" t="s">
        <v>534</v>
      </c>
      <c r="K312" s="67" t="s">
        <v>495</v>
      </c>
      <c r="L312" s="67" t="s">
        <v>876</v>
      </c>
      <c r="M312" s="67" t="s">
        <v>451</v>
      </c>
      <c r="N312" s="67" t="s">
        <v>383</v>
      </c>
      <c r="O312" s="67" t="s">
        <v>535</v>
      </c>
      <c r="P312" s="57" t="s">
        <v>240</v>
      </c>
      <c r="Q312" s="59" t="n">
        <f aca="false">ROUND((Flights!$AF$13)*1440,0)/1440</f>
        <v>46306.2534722222</v>
      </c>
      <c r="R312" s="59" t="n">
        <f aca="false">Q312+(IF(AND(INDEX(TZ_DSTS,MATCH(P312,TZ_STN,0))&lt;&gt;"",Q312&gt;=INDEX(TZ_DSTS,MATCH(P312,TZ_STN,0)),Q312&lt;INDEX(TZ_DSTE,MATCH(P312,TZ_STN,0))),INDEX(TZ_DST,MATCH(P312,TZ_STN,0)),INDEX(TZ_STD,MATCH(P312,TZ_STN,0))))/24</f>
        <v>46306.5451388889</v>
      </c>
      <c r="S312" s="60"/>
      <c r="T312" s="60"/>
      <c r="U312" s="60"/>
      <c r="V312" s="60"/>
      <c r="W312" s="61"/>
      <c r="X312" s="60"/>
      <c r="Y312" s="60"/>
      <c r="Z312" s="60"/>
      <c r="AA312" s="60"/>
      <c r="AB312" s="60"/>
      <c r="AC312" s="60"/>
      <c r="AD312" s="66"/>
      <c r="AE312" s="60"/>
      <c r="AF312" s="61" t="str">
        <f aca="false">IF(AND(ISNUMBER(X312),ISNUMBER(Y312)),Y312-X312,"")</f>
        <v/>
      </c>
      <c r="AG312" s="62" t="str">
        <f aca="false">IF(ISNUMBER(AD312),AD312-(IF(AND(INDEX(TZ_DSTS,MATCH(P312,TZ_STN,0))&lt;&gt;"",(AD312-INDEX(TZ_STD,MATCH(P312,TZ_STN,0))/24)&gt;=INDEX(TZ_DSTS,MATCH(P312,TZ_STN,0)),(AD312-INDEX(TZ_STD,MATCH(P312,TZ_STN,0))/24)&lt;INDEX(TZ_DSTE,MATCH(P312,TZ_STN,0))),INDEX(TZ_DST,MATCH(P312,TZ_STN,0)),INDEX(TZ_STD,MATCH(P312,TZ_STN,0))))/24,"")</f>
        <v/>
      </c>
      <c r="AH312" s="65" t="str">
        <f aca="false">IFERROR(IF(N312="N/A – rule",IF(OR(TRIM(U312)="",TRIM(U312)="N/A",TRIM(U312)="Not started"),"N/A – RULE","INVALID – this check does not apply to this aircraft: clear the status (or correct the fleet on Flights)"),IF(TRIM(U312)="N/A",IF(AT312=0,"INVALID – N/A not permitted for this check",IF(AND(TRIM(AB312)&lt;&gt;"",TRIM(AB312)&lt;&gt;"Closed"),"INVALID – corrective action still open",IF(AND(NOT(OR(LEN(AZ312)&lt;15,ISNUMBER(MATCH(AZ312,L_Placeholder,0)))),BK312=0,CG312&gt;=8,NOT(OR(LEN(AU312)&lt;2,ISNUMBER(MATCH(AU312,L_Placeholder,0)))),BR312&gt;=3,NOT(OR(LEN(AX312)&lt;2,ISNUMBER(MATCH(AX312,L_Placeholder,0)))),BS312&gt;=3,TRIM(AE312)&lt;&gt;TRIM(T312),AX312&lt;&gt;AU312,CE312=0),"N/A – JUSTIFIED","INVALID – N/A needs a real, settled reason (not 'not applicable' / 'as above' / TBC), a named PIC and a different named verifier"))),IF(OR(TRIM(U312)="Pass",TRIM(U312)="Pass after CA"),IF(NOT(ISNUMBER(AD312)),"INVALID – completion time missing",IF(OR(OR(LEN(AU312)&lt;2,ISNUMBER(MATCH(AU312,L_Placeholder,0))),BR312&lt;3),"INVALID – PIC missing or not a named person (a role such as QA / CSM is not a name)",IF(OR(LEN(AV312)&lt;2,ISNUMBER(MATCH(AV312,L_Placeholder,0))),"INVALID – result / assessment missing",IF(OR(OR(LEN(AW312)&lt;3,ISNUMBER(MATCH(AW312,L_Placeholder,0))),SUMPRODUCT(--ISNUMBER(SEARCH(" "&amp;L_EvidencePhrase&amp;" ",BD312)))&gt;0,BI312=1),"INVALID – evidence missing, placeholder or not yet on file",IF(ISNA(MATCH(TRIM(S312),L_EvidenceType,0)),"INVALID – choose the evidence type from the list (column S)",IF(BL312=0,"INVALID – evidence ID must be the record's own ID only (e.g. SF-2210, IMG_2231, 1045521); a link / file name needs type 'Link / file path'",IF(OR(OR(LEN(AX312)&lt;2,ISNUMBER(MATCH(AX312,L_Placeholder,0))),BS312&lt;3),"INVALID – verifier missing or not a named person (a role such as QA / CSM is not a name)",IF(OR(AX312=AU312,CE312=1,AND(LEN(AU312)&gt;=4,ISNUMBER(SEARCH(AU312,AX312))),AND(LEN(AX312)&gt;=4,ISNUMBER(SEARCH(AX312,AU312)))),"INVALID – verifier must be a different, named person (not the PIC or a role)",IF(BH312=1,"INVALID – result not yet available (awaiting / TBC)",IF(BG312=1,"INVALID – result describes a problem: record Fail, then Pass after CA (or reword if it is not a problem)",IF(BV312=1,"INVALID – wording says not on board: an on-board confirmation needs the item loaded",IF(AND(AQ312=1,OR(OR(LEN(AY312)&lt;3,ISNUMBER(MATCH(AY312,L_Placeholder,0))),BJ312=1,BQ312=0)),"INVALID – batch ID missing, placeholder or not an ID (e.g. PASB-261008-BC-017)",IF(AND(AR312=1,OR(NOT(ISNUMBER(X312)),NOT(ISNUMBER(Y312)))),"INVALID – expected/actual qty missing",IF(AND(AR312=1,OR(X312&lt;=0,Y312&lt;0)),"INVALID – expected qty must be above 0 and actual not negative",IF(AH300="N/A – JUSTIFIED","INVALID – preparation row F09-T12-08 is N/A",IF(AND(AR312=1,ISNUMBER(X300),X312&lt;&gt;X300,TRIM(U312)&lt;&gt;"Pass after CA"),"INVALID – expected qty differs from preparation check F09-T12-08: record the load change as a corrective action (Pass after CA)",IF(BB312&lt;&gt;"",BB312,IF(AND(AS312=1,Documents!$J$13&lt;&gt;"ON FILE"),"INVALID – GLD not on file (Documents sheet)",IF(AND(AS312=2,Documents!$O$13&lt;&gt;"ON FILE"),"INVALID – menu checklist not on file (Documents sheet)",IF(AND(AS312=3,NOT(ISNUMBER(Flights!$AX$13))),"INVALID – enter carrying flight KUL departure (Flights AX)",IF(AND(AS312=3,OR(Flights!$AZ$13&gt;Flights!$AA$13,Flights!$AX$13&lt;Flights!$AA$13-3)),"INVALID – carrying flight (Flights AX) cannot arrive before this leg's STD, or is over 3 days early",IF(AG312&gt;AsOfUTC,"INVALID – completion time is in the future",IF(AND(ISNUMBER(BY312),AG312&lt;BY312),IF(H312="Physical uplift","INVALID – before uplift window (cannot confirm loading)","INVALID – before valid window"),IF(AG312&gt;Flights!$AA$13,"INVALID – completed after departure (cannot establish readiness)",IF(AND(H312="Preparation",AG312&gt;=IF(ISNUMBER(Flights!$BA$13),MIN(Flights!$BA$13,Flights!$AA$13),Flights!$AA$13)),"INVALID – completed after loading / departure (cannot establish readiness)",IF(AND(H312="Physical uplift",AG312&gt;Q312),"INVALID – recorded after the loading flight departed",IF(AG312&gt;Q312,"COMPLETE – LATE","COMPLETE"))))))))))))))))))))))))))),IF(TRIM(U312)="Fail","FAIL – DISCREPANCY",IF(AND(TRIM(U312)&lt;&gt;"",TRIM(U312)&lt;&gt;"Not started",TRIM(U312)&lt;&gt;"In progress"),"INVALID – unrecognised status (use the list)",IF(AsOfUTC&gt;Q312,"OVERDUE",IF(N312="Clarification required","OPEN – CLARIFICATION","OPEN"))))))),"INVALID – error value in an input cell")</f>
        <v>OPEN</v>
      </c>
      <c r="AI312" s="61" t="n">
        <f aca="false">IF(OR(AH312="N/A – RULE",AH312="N/A – JUSTIFIED"),0,1)</f>
        <v>1</v>
      </c>
      <c r="AJ312" s="61" t="n">
        <f aca="false">IF(LEFT(AH312,8)="COMPLETE",1,0)</f>
        <v>0</v>
      </c>
      <c r="AK312" s="61" t="n">
        <f aca="false">IF(AND(AI312=1,AJ312=0,AsOfUTC&gt;Q312),1,0)</f>
        <v>0</v>
      </c>
      <c r="AL312" s="61" t="n">
        <f aca="false">IFERROR(IF(AND(AI312=1,OR(TRIM(U312)="Fail",AND(TRIM(AB312)&lt;&gt;"",TRIM(AB312)&lt;&gt;"Closed"),AND(ISNUMBER(AF312),AF312&lt;&gt;0,TRIM(U312)&lt;&gt;"Pass after CA"))),1,0),1)</f>
        <v>0</v>
      </c>
      <c r="AM312" s="61" t="n">
        <f aca="false">IF(LEFT(AH312,7)="INVALID",1,0)</f>
        <v>0</v>
      </c>
      <c r="AN312" s="61" t="n">
        <f aca="false">IF(AND(N312="Clarification required",AI312=1,AJ312=0),1,0)</f>
        <v>0</v>
      </c>
      <c r="AO312" s="61" t="str">
        <f aca="false">IF(AK312=1,SUM(AK$5:AK312),"")</f>
        <v/>
      </c>
      <c r="AP312" s="61" t="str">
        <f aca="false">IF(AL312=1,SUM(AL$5:AL312),"")</f>
        <v/>
      </c>
      <c r="AQ312" s="61" t="n">
        <v>0</v>
      </c>
      <c r="AR312" s="61" t="n">
        <v>0</v>
      </c>
      <c r="AS312" s="61" t="n">
        <v>0</v>
      </c>
      <c r="AT312" s="61" t="n">
        <v>0</v>
      </c>
      <c r="AU312" s="61" t="str">
        <f aca="false">SUBSTITUTE(SUBSTITUTE(SUBSTITUTE(SUBSTITUTE(SUBSTITUTE(SUBSTITUTE(SUBSTITUTE(SUBSTITUTE(SUBSTITUTE(SUBSTITUTE(SUBSTITUTE(SUBSTITUTE(SUBSTITUTE(SUBSTITUTE(SUBSTITUTE(SUBSTITUTE(LOWER(T312&amp;""),CHAR(10),""),CHAR(13),""),CHAR(9),""),CHAR(160),"")," ",""),".",""),"-",""),"/",""),"?",""),"_",""),",",""),"[",""),"]",""),"(",""),")",""),"*","")</f>
        <v/>
      </c>
      <c r="AV312" s="61" t="str">
        <f aca="false">SUBSTITUTE(SUBSTITUTE(SUBSTITUTE(SUBSTITUTE(SUBSTITUTE(SUBSTITUTE(SUBSTITUTE(SUBSTITUTE(SUBSTITUTE(SUBSTITUTE(SUBSTITUTE(SUBSTITUTE(SUBSTITUTE(SUBSTITUTE(SUBSTITUTE(SUBSTITUTE(LOWER(V312&amp;""),CHAR(10),""),CHAR(13),""),CHAR(9),""),CHAR(160),"")," ",""),".",""),"-",""),"/",""),"?",""),"_",""),",",""),"[",""),"]",""),"(",""),")",""),"*","")</f>
        <v/>
      </c>
      <c r="AW312" s="61" t="str">
        <f aca="false">SUBSTITUTE(SUBSTITUTE(SUBSTITUTE(SUBSTITUTE(SUBSTITUTE(SUBSTITUTE(SUBSTITUTE(SUBSTITUTE(SUBSTITUTE(SUBSTITUTE(SUBSTITUTE(SUBSTITUTE(SUBSTITUTE(SUBSTITUTE(SUBSTITUTE(SUBSTITUTE(LOWER(Z312&amp;""),CHAR(10),""),CHAR(13),""),CHAR(9),""),CHAR(160),"")," ",""),".",""),"-",""),"/",""),"?",""),"_",""),",",""),"[",""),"]",""),"(",""),")",""),"*","")</f>
        <v/>
      </c>
      <c r="AX312" s="61" t="str">
        <f aca="false">SUBSTITUTE(SUBSTITUTE(SUBSTITUTE(SUBSTITUTE(SUBSTITUTE(SUBSTITUTE(SUBSTITUTE(SUBSTITUTE(SUBSTITUTE(SUBSTITUTE(SUBSTITUTE(SUBSTITUTE(SUBSTITUTE(SUBSTITUTE(SUBSTITUTE(SUBSTITUTE(LOWER(AE312&amp;""),CHAR(10),""),CHAR(13),""),CHAR(9),""),CHAR(160),"")," ",""),".",""),"-",""),"/",""),"?",""),"_",""),",",""),"[",""),"]",""),"(",""),")",""),"*","")</f>
        <v/>
      </c>
      <c r="AY312" s="61" t="str">
        <f aca="false">SUBSTITUTE(SUBSTITUTE(SUBSTITUTE(SUBSTITUTE(SUBSTITUTE(SUBSTITUTE(SUBSTITUTE(SUBSTITUTE(SUBSTITUTE(SUBSTITUTE(SUBSTITUTE(SUBSTITUTE(SUBSTITUTE(SUBSTITUTE(SUBSTITUTE(SUBSTITUTE(LOWER(W312&amp;""),CHAR(10),""),CHAR(13),""),CHAR(9),""),CHAR(160),"")," ",""),".",""),"-",""),"/",""),"?",""),"_",""),",",""),"[",""),"]",""),"(",""),")",""),"*","")</f>
        <v/>
      </c>
      <c r="AZ312" s="61" t="str">
        <f aca="false">SUBSTITUTE(SUBSTITUTE(SUBSTITUTE(SUBSTITUTE(SUBSTITUTE(SUBSTITUTE(SUBSTITUTE(SUBSTITUTE(SUBSTITUTE(SUBSTITUTE(SUBSTITUTE(SUBSTITUTE(SUBSTITUTE(SUBSTITUTE(SUBSTITUTE(SUBSTITUTE(LOWER(AC312&amp;""),CHAR(10),""),CHAR(13),""),CHAR(9),""),CHAR(160),"")," ",""),".",""),"-",""),"/",""),"?",""),"_",""),",",""),"[",""),"]",""),"(",""),")",""),"*","")</f>
        <v/>
      </c>
      <c r="BA312" s="61" t="str">
        <f aca="false">SUBSTITUTE(SUBSTITUTE(SUBSTITUTE(SUBSTITUTE(SUBSTITUTE(SUBSTITUTE(SUBSTITUTE(SUBSTITUTE(SUBSTITUTE(SUBSTITUTE(SUBSTITUTE(SUBSTITUTE(SUBSTITUTE(SUBSTITUTE(SUBSTITUTE(SUBSTITUTE(LOWER(AA312&amp;""),CHAR(10),""),CHAR(13),""),CHAR(9),""),CHAR(160),"")," ",""),".",""),"-",""),"/",""),"?",""),"_",""),",",""),"[",""),"]",""),"(",""),")",""),"*","")</f>
        <v/>
      </c>
      <c r="BB312" s="61" t="str">
        <f aca="false">IF(AND(TRIM(U312)="Pass",ISNUMBER(AF312)),IF(AF312&lt;&gt;0,"INVALID – qty variance: use Fail or Pass after CA",""),"")&amp;IF(AND(TRIM(U312)="Pass after CA",ISNUMBER(AF312)),IF(AF312&lt;&gt;0,"INVALID – after the corrective action the actual qty must equal expected (update Actual)",""),"")&amp;IF(AND(TRIM(U312)="Pass",TRIM(AB312)&lt;&gt;"",TRIM(AB312)&lt;&gt;"Closed"),"INVALID – corrective action not closed: use Fail, then Pass after CA","")&amp;IF(AND(LEN(BA312)&gt;=2,ISNA(MATCH(LEFT(BA312,255),L_Placeholder,0)),TRIM(AB312)=""),"INVALID – CA status missing for the recorded corrective action","")&amp;IF(AND(TRIM(U312)="Pass after CA",OR(OR(LEN(BA312)&lt;5,ISNUMBER(MATCH(BA312,L_Placeholder,0))),TRIM(AB312)&lt;&gt;"Closed")),"INVALID – corrective action not recorded/closed","")</f>
        <v/>
      </c>
      <c r="BC312" s="61" t="str">
        <f aca="false">" "&amp;TRIM(SUBSTITUTE(SUBSTITUTE(SUBSTITUTE(SUBSTITUTE(SUBSTITUTE(SUBSTITUTE(SUBSTITUTE(SUBSTITUTE(SUBSTITUTE(SUBSTITUTE(SUBSTITUTE(SUBSTITUTE(SUBSTITUTE(SUBSTITUTE(SUBSTITUTE(SUBSTITUTE(SUBSTITUTE(SUBSTITUTE(SUBSTITUTE(SUBSTITUTE(SUBSTITUTE(SUBSTITUTE(SUBSTITUTE(SUBSTITUTE(LOWER(V312&amp;""),CHAR(10)," "),CHAR(13)," "),CHAR(9)," "),CHAR(160)," "),"."," "),","," "),"-"," "),"/"," "),"("," "),")"," "),":"," "),";"," "),"_"," "),"–"," "),"?"," "),"!"," "),"*"," "),"["," "),"]"," "),"'"," "),"#"," "),"+"," "),"&amp;"," "),"\"," "))&amp;" "</f>
        <v>  </v>
      </c>
      <c r="BD312" s="61" t="str">
        <f aca="false">" "&amp;TRIM(SUBSTITUTE(SUBSTITUTE(SUBSTITUTE(SUBSTITUTE(SUBSTITUTE(SUBSTITUTE(SUBSTITUTE(SUBSTITUTE(SUBSTITUTE(SUBSTITUTE(SUBSTITUTE(SUBSTITUTE(SUBSTITUTE(SUBSTITUTE(SUBSTITUTE(SUBSTITUTE(SUBSTITUTE(SUBSTITUTE(SUBSTITUTE(SUBSTITUTE(SUBSTITUTE(SUBSTITUTE(SUBSTITUTE(SUBSTITUTE(LOWER(Z312&amp;""),CHAR(10)," "),CHAR(13)," "),CHAR(9)," "),CHAR(160)," "),"."," "),","," "),"-"," "),"/"," "),"("," "),")"," "),":"," "),";"," "),"_"," "),"–"," "),"?"," "),"!"," "),"*"," "),"["," "),"]"," "),"'"," "),"#"," "),"+"," "),"&amp;"," "),"\"," "))&amp;" "</f>
        <v>  </v>
      </c>
      <c r="BE312" s="61" t="str">
        <f aca="false">" "&amp;TRIM(SUBSTITUTE(SUBSTITUTE(SUBSTITUTE(SUBSTITUTE(SUBSTITUTE(SUBSTITUTE(SUBSTITUTE(SUBSTITUTE(SUBSTITUTE(SUBSTITUTE(SUBSTITUTE(SUBSTITUTE(SUBSTITUTE(SUBSTITUTE(SUBSTITUTE(SUBSTITUTE(SUBSTITUTE(SUBSTITUTE(SUBSTITUTE(SUBSTITUTE(SUBSTITUTE(SUBSTITUTE(SUBSTITUTE(SUBSTITUTE(LOWER(W312&amp;""),CHAR(10)," "),CHAR(13)," "),CHAR(9)," "),CHAR(160)," "),"."," "),","," "),"-"," "),"/"," "),"("," "),")"," "),":"," "),";"," "),"_"," "),"–"," "),"?"," "),"!"," "),"*"," "),"["," "),"]"," "),"'"," "),"#"," "),"+"," "),"&amp;"," "),"\"," "))&amp;" "</f>
        <v>  </v>
      </c>
      <c r="BF312" s="61" t="str">
        <f aca="false">" "&amp;TRIM(SUBSTITUTE(SUBSTITUTE(SUBSTITUTE(SUBSTITUTE(SUBSTITUTE(SUBSTITUTE(SUBSTITUTE(SUBSTITUTE(SUBSTITUTE(SUBSTITUTE(SUBSTITUTE(SUBSTITUTE(SUBSTITUTE(SUBSTITUTE(SUBSTITUTE(SUBSTITUTE(SUBSTITUTE(SUBSTITUTE(SUBSTITUTE(SUBSTITUTE(SUBSTITUTE(SUBSTITUTE(SUBSTITUTE(SUBSTITUTE(LOWER(AC312&amp;""),CHAR(10)," "),CHAR(13)," "),CHAR(9)," "),CHAR(160)," "),"."," "),","," "),"-"," "),"/"," "),"("," "),")"," "),":"," "),";"," "),"_"," "),"–"," "),"?"," "),"!"," "),"*"," "),"["," "),"]"," "),"'"," "),"#"," "),"+"," "),"&amp;"," "),"\"," "))&amp;" "</f>
        <v>  </v>
      </c>
      <c r="BG312" s="61" t="n">
        <f aca="false">IFERROR(IF(AND(TRIM(U312)="Pass",SUMPRODUCT((LEN(BC312)-LEN(SUBSTITUTE(BC312," "&amp;L_ResultBad&amp;" "," ")))/(LEN(L_ResultBad)+1))&gt;SUMPRODUCT((LEN(BC312)-LEN(SUBSTITUTE(BC312," "&amp;L_NegPhrase&amp;" "," ")))/(LEN(L_NegPhrase)+1))),1,0),0)</f>
        <v>0</v>
      </c>
      <c r="BH312" s="61" t="n">
        <f aca="false">IFERROR(IF(SUMPRODUCT((LEN(BC312)-LEN(SUBSTITUTE(BC312," "&amp;L_Pending&amp;" "," ")))/(LEN(L_Pending)+1))&gt;SUMPRODUCT((LEN(BC312)-LEN(SUBSTITUTE(BC312," "&amp;L_PendNeg&amp;" "," ")))/(LEN(L_PendNeg)+1)),1,0),1)</f>
        <v>0</v>
      </c>
      <c r="BI312" s="61" t="n">
        <f aca="false">IFERROR(IF(SUMPRODUCT((LEN(BD312)-LEN(SUBSTITUTE(BD312," "&amp;L_PendStrict&amp;" "," ")))/(LEN(L_PendStrict)+1))&gt;SUMPRODUCT((LEN(BD312)-LEN(SUBSTITUTE(BD312," "&amp;L_PendNeg&amp;" "," ")))/(LEN(L_PendNeg)+1)),1,0),1)</f>
        <v>0</v>
      </c>
      <c r="BJ312" s="61" t="n">
        <f aca="false">IFERROR(IF(SUMPRODUCT((LEN(BE312)-LEN(SUBSTITUTE(BE312," "&amp;L_Pending&amp;" "," ")))/(LEN(L_Pending)+1))&gt;SUMPRODUCT((LEN(BE312)-LEN(SUBSTITUTE(BE312," "&amp;L_PendNeg&amp;" "," ")))/(LEN(L_PendNeg)+1)),1,0),1)</f>
        <v>0</v>
      </c>
      <c r="BK312" s="61" t="n">
        <f aca="false">IFERROR(IF(SUMPRODUCT((LEN(BF312)-LEN(SUBSTITUTE(BF312," "&amp;L_PendStrict&amp;" "," ")))/(LEN(L_PendStrict)+1))&gt;SUMPRODUCT((LEN(BF312)-LEN(SUBSTITUTE(BF312," "&amp;L_PendNeg&amp;" "," ")))/(LEN(L_PendNeg)+1)),1,0),1)</f>
        <v>0</v>
      </c>
      <c r="BL312" s="61" t="n">
        <f aca="false">IF(ISNA(MATCH(TRIM(S312),L_EvidenceType,0)),0,BZ312)</f>
        <v>0</v>
      </c>
      <c r="BM312" s="61" t="str">
        <f aca="false">SUBSTITUTE(SUBSTITUTE(SUBSTITUTE(SUBSTITUTE(SUBSTITUTE(SUBSTITUTE(SUBSTITUTE(SUBSTITUTE(SUBSTITUTE(LOWER(Z312&amp;""),"1","0"),"2","0"),"3","0"),"4","0"),"5","0"),"6","0"),"7","0"),"8","0"),"9","0")</f>
        <v/>
      </c>
      <c r="BN312" s="61" t="str">
        <f aca="false">SUBSTITUTE(SUBSTITUTE(SUBSTITUTE(SUBSTITUTE(SUBSTITUTE(SUBSTITUTE(SUBSTITUTE(SUBSTITUTE(SUBSTITUTE(SUBSTITUTE(SUBSTITUTE(SUBSTITUTE(SUBSTITUTE(SUBSTITUTE(SUBSTITUTE(SUBSTITUTE(SUBSTITUTE(SUBSTITUTE(SUBSTITUTE(SUBSTITUTE(SUBSTITUTE(SUBSTITUTE(SUBSTITUTE(SUBSTITUTE(SUBSTITUTE(BM312,"b","a"),"c","a"),"d","a"),"e","a"),"f","a"),"g","a"),"h","a"),"i","a"),"j","a"),"k","a"),"l","a"),"m","a"),"n","a"),"o","a"),"p","a"),"q","a"),"r","a"),"s","a"),"t","a"),"u","a"),"v","a"),"w","a"),"x","a"),"y","a"),"z","a")</f>
        <v/>
      </c>
      <c r="BO312" s="61" t="str">
        <f aca="false">SUBSTITUTE(SUBSTITUTE(SUBSTITUTE(SUBSTITUTE(SUBSTITUTE(SUBSTITUTE(SUBSTITUTE(SUBSTITUTE(SUBSTITUTE(LOWER(W312&amp;""),"1","0"),"2","0"),"3","0"),"4","0"),"5","0"),"6","0"),"7","0"),"8","0"),"9","0")</f>
        <v/>
      </c>
      <c r="BP312" s="61" t="str">
        <f aca="false">SUBSTITUTE(SUBSTITUTE(SUBSTITUTE(SUBSTITUTE(SUBSTITUTE(SUBSTITUTE(SUBSTITUTE(SUBSTITUTE(SUBSTITUTE(SUBSTITUTE(SUBSTITUTE(SUBSTITUTE(SUBSTITUTE(SUBSTITUTE(SUBSTITUTE(SUBSTITUTE(SUBSTITUTE(SUBSTITUTE(SUBSTITUTE(SUBSTITUTE(SUBSTITUTE(SUBSTITUTE(SUBSTITUTE(SUBSTITUTE(SUBSTITUTE(BO312,"b","a"),"c","a"),"d","a"),"e","a"),"f","a"),"g","a"),"h","a"),"i","a"),"j","a"),"k","a"),"l","a"),"m","a"),"n","a"),"o","a"),"p","a"),"q","a"),"r","a"),"s","a"),"t","a"),"u","a"),"v","a"),"w","a"),"x","a"),"y","a"),"z","a")</f>
        <v/>
      </c>
      <c r="BQ312" s="61" t="n">
        <f aca="false">IFERROR(IF(AND(ISERROR(SEARCH(" mh"," "&amp;LOWER(W312))),ISNA(MATCH(LEFT(TRIM(BP312),255),{"0000a","000a","00a","0000aa","000aa","00aa","0aa","0000aaa","000aaa","00a00","0a00","0000-0000","00:00","a00","a0","00.00.0000","00/00/0000","00-00-0000","0000-00-00","0000/00/00","0000.00.00","00.00.00","00/00/00","00-00-00","0.00.0000","0/00/0000","0-00-0000"},0)),ISNA(MATCH(LEFT(TRIM(CA312),255),{"0000a","000a","00a","0000aa","000aa","00aa","0aa","0000aaa","000aaa","00a00","0a00","0000-0000","00:00","a00","a0","00.00.0000","00/00/0000","00-00-0000","0000-00-00","0000/00/00","0000.00.00","00.00.00","00/00/00","00-00-00","0.00.0000","0/00/0000","0-00-0000"},0)),LEN(CB312)&gt;=3,NOT(OR(SUBSTITUTE(CB312,"0","")="",AND(LEN(CB312)&gt;=4,CB312=REPT(LEFT(CB312),LEN(CB312))),ISNUMBER(MATCH(CB312,{"123","1234","12345","123456","1234567","12345678","0123","01234","012345","98765","987654","54321"},0)),AND(LEN(CB312)=8,LEFT(CB312,3)="202"))),OR(AND((LEN(CA312)-LEN(SUBSTITUTE(CA312,"a","")))&gt;=1,SUMPRODUCT(--ISNUMBER(SEARCH({"a0","a-0","a_0","a/0","a.0","a#0","0a","0-a","0_a","0/a"},BP312)))&gt;0),ISNUMBER(SEARCH("000000",BP312)))),1,0),0)</f>
        <v>0</v>
      </c>
      <c r="BR312" s="61" t="n">
        <f aca="false">IFERROR(LEN(SUBSTITUTE(CC312," ",""))-SUMPRODUCT((LEN(CC312)-LEN(SUBSTITUTE(CC312," "&amp;L_Role&amp;" "," ")))/(LEN(L_Role)+1)*LEN(L_Role)),0)</f>
        <v>0</v>
      </c>
      <c r="BS312" s="61" t="n">
        <f aca="false">IFERROR(LEN(SUBSTITUTE(CD312," ",""))-SUMPRODUCT((LEN(CD312)-LEN(SUBSTITUTE(CD312," "&amp;L_Role&amp;" "," ")))/(LEN(L_Role)+1)*LEN(L_Role)),0)</f>
        <v>0</v>
      </c>
      <c r="BT3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312,"revision",""),"version",""),"jan",""),"feb",""),"mar",""),"apr",""),"may",""),"jun",""),"jul",""),"aug",""),"sep",""),"oct",""),"nov",""),"dec",""),"utc",""),"gmt",""),"myt",""),"bst",""),"rev",""),"ver",""),"b","a"),"c","a"),"d","a"),"e","a"),"f","a"),"g","a"),"h","a"),"i","a"),"j","a"),"k","a"),"l","a"),"m","a"),"n","a"),"o","a"),"p","a"),"q","a"),"r","a"),"s","a"),"t","a"),"u","a"),"v","a"),"w","a"),"x","a"),"y","a"),"z","a")</f>
        <v/>
      </c>
      <c r="BU312" s="61" t="str">
        <f aca="false">SUBSTITUTE(SUBSTITUTE(SUBSTITUTE(SUBSTITUTE(SUBSTITUTE(SUBSTITUTE(SUBSTITUTE(SUBSTITUTE(SUBSTITUTE(SUBSTITUTE(LEFT(BM312,FIND("0",BM312&amp;"0")-1),"-",""),"_",""),"/",""),".",""),"#",""),"\\",""),":","")," ",""),"(",""),")","")</f>
        <v/>
      </c>
      <c r="BV312" s="61" t="n">
        <f aca="false">IFERROR(IF(OR(SUMPRODUCT((LEN(BC312)-LEN(SUBSTITUTE(BC312," "&amp;L_NotLoaded&amp;" "," ")))/(LEN(L_NotLoaded)+1))&gt;SUMPRODUCT((LEN(BC312)-LEN(SUBSTITUTE(BC312," "&amp;L_NotLoadedNeg&amp;" "," ")))/(LEN(L_NotLoadedNeg)+1)),SUMPRODUCT((LEN(BD312)-LEN(SUBSTITUTE(BD312," "&amp;L_NotLoaded&amp;" "," ")))/(LEN(L_NotLoaded)+1))&gt;SUMPRODUCT((LEN(BD312)-LEN(SUBSTITUTE(BD312," "&amp;L_NotLoadedNeg&amp;" "," ")))/(LEN(L_NotLoadedNeg)+1))),1,0),0)</f>
        <v>0</v>
      </c>
      <c r="BW3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312&amp;""),"a",""),"b",""),"c",""),"d",""),"e",""),"f",""),"g",""),"h",""),"i",""),"j",""),"k",""),"l",""),"m",""),"n",""),"o",""),"p",""),"q",""),"r",""),"s",""),"t",""),"u",""),"v",""),"w",""),"x",""),"y",""),"z",""),"-",""),"_",""),"/",""),".",""),"#",""),"\\",""),":","")," ",""),"(",""),")","")</f>
        <v/>
      </c>
      <c r="BX312" s="61" t="str">
        <f aca="false">SUBSTITUTE(SUBSTITUTE(SUBSTITUTE(SUBSTITUTE(SUBSTITUTE(SUBSTITUTE(SUBSTITUTE(SUBSTITUTE(SUBSTITUTE(SUBSTITUTE(SUBSTITUTE(BM312,"0",""),"-",""),"_",""),"/",""),".",""),"#",""),"\\",""),":","")," ",""),"(",""),")","")</f>
        <v/>
      </c>
      <c r="BY312" s="62" t="n">
        <f aca="false">IF(ISNUMBER(Flights!$AZ$13),MAX(Q312-UpliftWindowH/24,Flights!$AZ$13),Q312-UpliftWindowH/24)</f>
        <v>46306.0034722222</v>
      </c>
      <c r="BZ312" s="61" t="n">
        <f aca="false">IFERROR(IF(IF(TRIM(S312)="Link / file path",AND(LEN(TRIM(Z312))&gt;=5,SUMPRODUCT(--ISNUMBER(SEARCH({"http","www.","\\",":\",".pdf",".jpg",".jpeg",".png",".heic",".xls",".doc",".msg",".eml",".ppt",".txt",".zip"},Z312)))&gt;0),AND(ISERROR(FIND(" ",TRIM(Z312))),NOT(OR(SUMPRODUCT(--ISNUMBER(FIND({",",";","&amp;","+"},Z312)))&gt;0,SUMPRODUCT(--ISNUMBER(SEARCH({"0/aa","0\\aa"},BN312)))&gt;0)),NOT(SUMPRODUCT(--ISNUMBER(SEARCH({"http","www.","\\",":\",".pdf",".jpg",".jpeg",".png",".heic",".xls",".doc",".msg",".eml",".ppt",".txt",".zip"},Z312)))&gt;0),NOT(LOWER(TRIM(Z312))=LOWER(Flights!$F$13)),ISNA(MATCH(BU312,{"mh","rev","revision","ver","version","v","r","a","b","seat","tray","row","gate","bay","stand","page","pg","item","line","no","cart","galley","flight","flt","table","box","bag","oven","etd","eta","std","sta","atd","ata","qty","pax","x","time","tel","ph","mob","day","wk","week","utc","gmt","myt","lt"},0)),NOT(OR(ISNUMBER(MATCH(LEFT(BN312,255),{"0000a","000a","00a","0000aa","000aa","00aa","0aa","0000aaa","000aaa","00a00","0a00","0000-0000","00:00","a00","a0","00.00.0000","00/00/0000","00-00-0000","0000-00-00","0000/00/00","0000.00.00","00.00.00","00/00/00","00-00-00","0.00.0000","0/00/0000","0-00-0000"},0)),ISNUMBER(MATCH(LEFT(BT312,255),{"0000a","000a","00a","0000aa","000aa","00aa","0aa","0000aaa","000aaa","00a00","0a00","0000-0000","00:00","a00","a0","00.00.0000","00/00/0000","00-00-0000","0000-00-00","0000/00/00","0000.00.00","00.00.00","00/00/00","00-00-00","0.00.0000","0/00/0000","0-00-0000"},0)))),NOT(OR(AND(BW312&lt;&gt;"",SUBSTITUTE(BW312,"0","")=""),AND(LEN(BW312)&gt;=4,BW312=REPT(LEFT(BW312),LEN(BW312))),ISNUMBER(MATCH(BW312,{"123","1234","12345","123456","1234567","12345678","0123","01234","012345","98765","987654","54321"},0)),ISNUMBER(MATCH(BX312,{"x","xx","xxx","xxxx","xxxxx","abc","abcd","nil","na","nan","test","tbc","tba","tbd","dummy","sample","example","eg","zz","zzz","none","null","xyz","qwe","asd","id","ref"},0)),AND(LEN(BW312)=8,BX312="",OR(LEFT(BW312,3)="202",ISNUMBER(MATCH(RIGHT(BW312,4),{"2025","2026","2027"},0)))))),OR(AND((LEN(BT312)-LEN(SUBSTITUTE(BT312,"a","")))&gt;=1,(LEN(BN312)-LEN(SUBSTITUTE(BN312,"0","")))&gt;=2,SUMPRODUCT(--ISNUMBER(SEARCH({"a0","a-0","a_0","a/0","a.0","a#0","0a","0-a","0_a","0/a"},BN312)))&gt;0),AND((LEN(BN312)-LEN(SUBSTITUTE(BN312,"a","")))=0,(LEN(BN312)-LEN(SUBSTITUTE(BN312,"0","")))&gt;=5)))),1,0),0)</f>
        <v>0</v>
      </c>
      <c r="CA3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312,"revision",""),"version",""),"jan",""),"feb",""),"mar",""),"apr",""),"may",""),"jun",""),"jul",""),"aug",""),"sep",""),"oct",""),"nov",""),"dec",""),"utc",""),"gmt",""),"myt",""),"bst",""),"rev",""),"ver",""),"b","a"),"c","a"),"d","a"),"e","a"),"f","a"),"g","a"),"h","a"),"i","a"),"j","a"),"k","a"),"l","a"),"m","a"),"n","a"),"o","a"),"p","a"),"q","a"),"r","a"),"s","a"),"t","a"),"u","a"),"v","a"),"w","a"),"x","a"),"y","a"),"z","a")</f>
        <v/>
      </c>
      <c r="CB3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312&amp;""),"a",""),"b",""),"c",""),"d",""),"e",""),"f",""),"g",""),"h",""),"i",""),"j",""),"k",""),"l",""),"m",""),"n",""),"o",""),"p",""),"q",""),"r",""),"s",""),"t",""),"u",""),"v",""),"w",""),"x",""),"y",""),"z",""),"-",""),"_",""),"/",""),".",""),"#",""),"\\",""),":","")," ",""),"(",""),")","")</f>
        <v/>
      </c>
      <c r="CC312" s="0" t="str">
        <f aca="false">" "&amp;TRIM(SUBSTITUTE(SUBSTITUTE(SUBSTITUTE(SUBSTITUTE(SUBSTITUTE(SUBSTITUTE(SUBSTITUTE(SUBSTITUTE(SUBSTITUTE(SUBSTITUTE(SUBSTITUTE(SUBSTITUTE(SUBSTITUTE(SUBSTITUTE(SUBSTITUTE(SUBSTITUTE(SUBSTITUTE(SUBSTITUTE(SUBSTITUTE(SUBSTITUTE(SUBSTITUTE(SUBSTITUTE(SUBSTITUTE(SUBSTITUTE(LOWER(T312&amp;""),CHAR(10)," "),CHAR(13)," "),CHAR(9)," "),CHAR(160)," "),"."," "),","," "),"-"," "),"/"," "),"("," "),")"," "),":"," "),";"," "),"_"," "),"–"," "),"?"," "),"!"," "),"*"," "),"["," "),"]"," "),"'"," "),"#"," "),"+"," "),"&amp;"," "),"\"," "))&amp;" "</f>
        <v>  </v>
      </c>
      <c r="CD312" s="0" t="str">
        <f aca="false">" "&amp;TRIM(SUBSTITUTE(SUBSTITUTE(SUBSTITUTE(SUBSTITUTE(SUBSTITUTE(SUBSTITUTE(SUBSTITUTE(SUBSTITUTE(SUBSTITUTE(SUBSTITUTE(SUBSTITUTE(SUBSTITUTE(SUBSTITUTE(SUBSTITUTE(SUBSTITUTE(SUBSTITUTE(SUBSTITUTE(SUBSTITUTE(SUBSTITUTE(SUBSTITUTE(SUBSTITUTE(SUBSTITUTE(SUBSTITUTE(SUBSTITUTE(LOWER(AE312&amp;""),CHAR(10)," "),CHAR(13)," "),CHAR(9)," "),CHAR(160)," "),"."," "),","," "),"-"," "),"/"," "),"("," "),")"," "),":"," "),";"," "),"_"," "),"–"," "),"?"," "),"!"," "),"*"," "),"["," "),"]"," "),"'"," "),"#"," "),"+"," "),"&amp;"," "),"\"," "))&amp;" "</f>
        <v>  </v>
      </c>
      <c r="CE312" s="68" t="n">
        <f aca="false">IFERROR(IF(AND(LEN(AU312)&gt;0,LEN(AU312)=LEN(AX312),OR(TRIM(MID(SUBSTITUTE(TRIM(CC312)," ",REPT(" ",60)),1,60))="",ISNUMBER(SEARCH(" "&amp;TRIM(MID(SUBSTITUTE(TRIM(CC312)," ",REPT(" ",60)),1,60))&amp;" ",CD312))),OR(TRIM(MID(SUBSTITUTE(TRIM(CC312)," ",REPT(" ",60)),61,60))="",ISNUMBER(SEARCH(" "&amp;TRIM(MID(SUBSTITUTE(TRIM(CC312)," ",REPT(" ",60)),61,60))&amp;" ",CD312))),OR(TRIM(MID(SUBSTITUTE(TRIM(CC312)," ",REPT(" ",60)),121,60))="",ISNUMBER(SEARCH(" "&amp;TRIM(MID(SUBSTITUTE(TRIM(CC312)," ",REPT(" ",60)),121,60))&amp;" ",CD312)))),1,0),0)</f>
        <v>0</v>
      </c>
      <c r="CG312" s="68" t="n">
        <f aca="false">IFERROR(LEN(SUBSTITUTE(BF312," ",""))-SUMPRODUCT((LEN(BF312)-LEN(SUBSTITUTE(BF312," "&amp;L_NAFiller&amp;" "," ")))/(LEN(L_NAFiller)+1)*LEN(L_NAFiller)),0)</f>
        <v>0</v>
      </c>
    </row>
    <row r="313" customFormat="false" ht="39.75" hidden="false" customHeight="true" outlineLevel="0" collapsed="false">
      <c r="A313" s="57" t="s">
        <v>902</v>
      </c>
      <c r="B313" s="57" t="s">
        <v>246</v>
      </c>
      <c r="C313" s="57" t="str">
        <f aca="false">Flights!$F$13</f>
        <v>MH0753</v>
      </c>
      <c r="D313" s="58" t="n">
        <f aca="false">Flights!$D$13</f>
        <v>46306</v>
      </c>
      <c r="E313" s="57" t="str">
        <f aca="false">Flights!$G$13&amp;"-"&amp;Flights!$H$13</f>
        <v>HAN-KUL</v>
      </c>
      <c r="F313" s="57" t="str">
        <f aca="false">Flights!$K$13</f>
        <v>BC</v>
      </c>
      <c r="G313" s="57" t="s">
        <v>459</v>
      </c>
      <c r="H313" s="57" t="s">
        <v>460</v>
      </c>
      <c r="I313" s="57" t="s">
        <v>499</v>
      </c>
      <c r="J313" s="57" t="s">
        <v>537</v>
      </c>
      <c r="K313" s="67" t="s">
        <v>501</v>
      </c>
      <c r="L313" s="67" t="s">
        <v>879</v>
      </c>
      <c r="M313" s="67" t="s">
        <v>451</v>
      </c>
      <c r="N313" s="67" t="s">
        <v>383</v>
      </c>
      <c r="O313" s="67"/>
      <c r="P313" s="57" t="s">
        <v>240</v>
      </c>
      <c r="Q313" s="59" t="n">
        <f aca="false">ROUND((Flights!$AF$13)*1440,0)/1440</f>
        <v>46306.2534722222</v>
      </c>
      <c r="R313" s="59" t="n">
        <f aca="false">Q313+(IF(AND(INDEX(TZ_DSTS,MATCH(P313,TZ_STN,0))&lt;&gt;"",Q313&gt;=INDEX(TZ_DSTS,MATCH(P313,TZ_STN,0)),Q313&lt;INDEX(TZ_DSTE,MATCH(P313,TZ_STN,0))),INDEX(TZ_DST,MATCH(P313,TZ_STN,0)),INDEX(TZ_STD,MATCH(P313,TZ_STN,0))))/24</f>
        <v>46306.5451388889</v>
      </c>
      <c r="S313" s="60"/>
      <c r="T313" s="60"/>
      <c r="U313" s="60"/>
      <c r="V313" s="60"/>
      <c r="W313" s="61"/>
      <c r="X313" s="60"/>
      <c r="Y313" s="60"/>
      <c r="Z313" s="60"/>
      <c r="AA313" s="60"/>
      <c r="AB313" s="60"/>
      <c r="AC313" s="60"/>
      <c r="AD313" s="66"/>
      <c r="AE313" s="60"/>
      <c r="AF313" s="61" t="str">
        <f aca="false">IF(AND(ISNUMBER(X313),ISNUMBER(Y313)),Y313-X313,"")</f>
        <v/>
      </c>
      <c r="AG313" s="62" t="str">
        <f aca="false">IF(ISNUMBER(AD313),AD313-(IF(AND(INDEX(TZ_DSTS,MATCH(P313,TZ_STN,0))&lt;&gt;"",(AD313-INDEX(TZ_STD,MATCH(P313,TZ_STN,0))/24)&gt;=INDEX(TZ_DSTS,MATCH(P313,TZ_STN,0)),(AD313-INDEX(TZ_STD,MATCH(P313,TZ_STN,0))/24)&lt;INDEX(TZ_DSTE,MATCH(P313,TZ_STN,0))),INDEX(TZ_DST,MATCH(P313,TZ_STN,0)),INDEX(TZ_STD,MATCH(P313,TZ_STN,0))))/24,"")</f>
        <v/>
      </c>
      <c r="AH313" s="65" t="str">
        <f aca="false">IFERROR(IF(N313="N/A – rule",IF(OR(TRIM(U313)="",TRIM(U313)="N/A",TRIM(U313)="Not started"),"N/A – RULE","INVALID – this check does not apply to this aircraft: clear the status (or correct the fleet on Flights)"),IF(TRIM(U313)="N/A",IF(AT313=0,"INVALID – N/A not permitted for this check",IF(AND(TRIM(AB313)&lt;&gt;"",TRIM(AB313)&lt;&gt;"Closed"),"INVALID – corrective action still open",IF(AND(NOT(OR(LEN(AZ313)&lt;15,ISNUMBER(MATCH(AZ313,L_Placeholder,0)))),BK313=0,CG313&gt;=8,NOT(OR(LEN(AU313)&lt;2,ISNUMBER(MATCH(AU313,L_Placeholder,0)))),BR313&gt;=3,NOT(OR(LEN(AX313)&lt;2,ISNUMBER(MATCH(AX313,L_Placeholder,0)))),BS313&gt;=3,TRIM(AE313)&lt;&gt;TRIM(T313),AX313&lt;&gt;AU313,CE313=0),"N/A – JUSTIFIED","INVALID – N/A needs a real, settled reason (not 'not applicable' / 'as above' / TBC), a named PIC and a different named verifier"))),IF(OR(TRIM(U313)="Pass",TRIM(U313)="Pass after CA"),IF(NOT(ISNUMBER(AD313)),"INVALID – completion time missing",IF(OR(OR(LEN(AU313)&lt;2,ISNUMBER(MATCH(AU313,L_Placeholder,0))),BR313&lt;3),"INVALID – PIC missing or not a named person (a role such as QA / CSM is not a name)",IF(OR(LEN(AV313)&lt;2,ISNUMBER(MATCH(AV313,L_Placeholder,0))),"INVALID – result / assessment missing",IF(OR(OR(LEN(AW313)&lt;3,ISNUMBER(MATCH(AW313,L_Placeholder,0))),SUMPRODUCT(--ISNUMBER(SEARCH(" "&amp;L_EvidencePhrase&amp;" ",BD313)))&gt;0,BI313=1),"INVALID – evidence missing, placeholder or not yet on file",IF(ISNA(MATCH(TRIM(S313),L_EvidenceType,0)),"INVALID – choose the evidence type from the list (column S)",IF(BL313=0,"INVALID – evidence ID must be the record's own ID only (e.g. SF-2210, IMG_2231, 1045521); a link / file name needs type 'Link / file path'",IF(OR(OR(LEN(AX313)&lt;2,ISNUMBER(MATCH(AX313,L_Placeholder,0))),BS313&lt;3),"INVALID – verifier missing or not a named person (a role such as QA / CSM is not a name)",IF(OR(AX313=AU313,CE313=1,AND(LEN(AU313)&gt;=4,ISNUMBER(SEARCH(AU313,AX313))),AND(LEN(AX313)&gt;=4,ISNUMBER(SEARCH(AX313,AU313)))),"INVALID – verifier must be a different, named person (not the PIC or a role)",IF(BH313=1,"INVALID – result not yet available (awaiting / TBC)",IF(BG313=1,"INVALID – result describes a problem: record Fail, then Pass after CA (or reword if it is not a problem)",IF(BV313=1,"INVALID – wording says not on board: an on-board confirmation needs the item loaded",IF(AND(AQ313=1,OR(OR(LEN(AY313)&lt;3,ISNUMBER(MATCH(AY313,L_Placeholder,0))),BJ313=1,BQ313=0)),"INVALID – batch ID missing, placeholder or not an ID (e.g. PASB-261008-BC-017)",IF(AND(AR313=1,OR(NOT(ISNUMBER(X313)),NOT(ISNUMBER(Y313)))),"INVALID – expected/actual qty missing",IF(AND(AR313=1,OR(X313&lt;=0,Y313&lt;0)),"INVALID – expected qty must be above 0 and actual not negative",IF(AH301="N/A – JUSTIFIED","INVALID – preparation row F09-T12-09 is N/A",IF(AND(AR313=1,ISNUMBER(X301),X313&lt;&gt;X301,TRIM(U313)&lt;&gt;"Pass after CA"),"INVALID – expected qty differs from preparation check F09-T12-09: record the load change as a corrective action (Pass after CA)",IF(BB313&lt;&gt;"",BB313,IF(AND(AS313=1,Documents!$J$13&lt;&gt;"ON FILE"),"INVALID – GLD not on file (Documents sheet)",IF(AND(AS313=2,Documents!$O$13&lt;&gt;"ON FILE"),"INVALID – menu checklist not on file (Documents sheet)",IF(AND(AS313=3,NOT(ISNUMBER(Flights!$AX$13))),"INVALID – enter carrying flight KUL departure (Flights AX)",IF(AND(AS313=3,OR(Flights!$AZ$13&gt;Flights!$AA$13,Flights!$AX$13&lt;Flights!$AA$13-3)),"INVALID – carrying flight (Flights AX) cannot arrive before this leg's STD, or is over 3 days early",IF(AG313&gt;AsOfUTC,"INVALID – completion time is in the future",IF(AND(ISNUMBER(BY313),AG313&lt;BY313),IF(H313="Physical uplift","INVALID – before uplift window (cannot confirm loading)","INVALID – before valid window"),IF(AG313&gt;Flights!$AA$13,"INVALID – completed after departure (cannot establish readiness)",IF(AND(H313="Preparation",AG313&gt;=IF(ISNUMBER(Flights!$BA$13),MIN(Flights!$BA$13,Flights!$AA$13),Flights!$AA$13)),"INVALID – completed after loading / departure (cannot establish readiness)",IF(AND(H313="Physical uplift",AG313&gt;Q313),"INVALID – recorded after the loading flight departed",IF(AG313&gt;Q313,"COMPLETE – LATE","COMPLETE"))))))))))))))))))))))))))),IF(TRIM(U313)="Fail","FAIL – DISCREPANCY",IF(AND(TRIM(U313)&lt;&gt;"",TRIM(U313)&lt;&gt;"Not started",TRIM(U313)&lt;&gt;"In progress"),"INVALID – unrecognised status (use the list)",IF(AsOfUTC&gt;Q313,"OVERDUE",IF(N313="Clarification required","OPEN – CLARIFICATION","OPEN"))))))),"INVALID – error value in an input cell")</f>
        <v>OPEN</v>
      </c>
      <c r="AI313" s="61" t="n">
        <f aca="false">IF(OR(AH313="N/A – RULE",AH313="N/A – JUSTIFIED"),0,1)</f>
        <v>1</v>
      </c>
      <c r="AJ313" s="61" t="n">
        <f aca="false">IF(LEFT(AH313,8)="COMPLETE",1,0)</f>
        <v>0</v>
      </c>
      <c r="AK313" s="61" t="n">
        <f aca="false">IF(AND(AI313=1,AJ313=0,AsOfUTC&gt;Q313),1,0)</f>
        <v>0</v>
      </c>
      <c r="AL313" s="61" t="n">
        <f aca="false">IFERROR(IF(AND(AI313=1,OR(TRIM(U313)="Fail",AND(TRIM(AB313)&lt;&gt;"",TRIM(AB313)&lt;&gt;"Closed"),AND(ISNUMBER(AF313),AF313&lt;&gt;0,TRIM(U313)&lt;&gt;"Pass after CA"))),1,0),1)</f>
        <v>0</v>
      </c>
      <c r="AM313" s="61" t="n">
        <f aca="false">IF(LEFT(AH313,7)="INVALID",1,0)</f>
        <v>0</v>
      </c>
      <c r="AN313" s="61" t="n">
        <f aca="false">IF(AND(N313="Clarification required",AI313=1,AJ313=0),1,0)</f>
        <v>0</v>
      </c>
      <c r="AO313" s="61" t="str">
        <f aca="false">IF(AK313=1,SUM(AK$5:AK313),"")</f>
        <v/>
      </c>
      <c r="AP313" s="61" t="str">
        <f aca="false">IF(AL313=1,SUM(AL$5:AL313),"")</f>
        <v/>
      </c>
      <c r="AQ313" s="61" t="n">
        <v>0</v>
      </c>
      <c r="AR313" s="61" t="n">
        <v>0</v>
      </c>
      <c r="AS313" s="61" t="n">
        <v>0</v>
      </c>
      <c r="AT313" s="61" t="n">
        <v>0</v>
      </c>
      <c r="AU313" s="61" t="str">
        <f aca="false">SUBSTITUTE(SUBSTITUTE(SUBSTITUTE(SUBSTITUTE(SUBSTITUTE(SUBSTITUTE(SUBSTITUTE(SUBSTITUTE(SUBSTITUTE(SUBSTITUTE(SUBSTITUTE(SUBSTITUTE(SUBSTITUTE(SUBSTITUTE(SUBSTITUTE(SUBSTITUTE(LOWER(T313&amp;""),CHAR(10),""),CHAR(13),""),CHAR(9),""),CHAR(160),"")," ",""),".",""),"-",""),"/",""),"?",""),"_",""),",",""),"[",""),"]",""),"(",""),")",""),"*","")</f>
        <v/>
      </c>
      <c r="AV313" s="61" t="str">
        <f aca="false">SUBSTITUTE(SUBSTITUTE(SUBSTITUTE(SUBSTITUTE(SUBSTITUTE(SUBSTITUTE(SUBSTITUTE(SUBSTITUTE(SUBSTITUTE(SUBSTITUTE(SUBSTITUTE(SUBSTITUTE(SUBSTITUTE(SUBSTITUTE(SUBSTITUTE(SUBSTITUTE(LOWER(V313&amp;""),CHAR(10),""),CHAR(13),""),CHAR(9),""),CHAR(160),"")," ",""),".",""),"-",""),"/",""),"?",""),"_",""),",",""),"[",""),"]",""),"(",""),")",""),"*","")</f>
        <v/>
      </c>
      <c r="AW313" s="61" t="str">
        <f aca="false">SUBSTITUTE(SUBSTITUTE(SUBSTITUTE(SUBSTITUTE(SUBSTITUTE(SUBSTITUTE(SUBSTITUTE(SUBSTITUTE(SUBSTITUTE(SUBSTITUTE(SUBSTITUTE(SUBSTITUTE(SUBSTITUTE(SUBSTITUTE(SUBSTITUTE(SUBSTITUTE(LOWER(Z313&amp;""),CHAR(10),""),CHAR(13),""),CHAR(9),""),CHAR(160),"")," ",""),".",""),"-",""),"/",""),"?",""),"_",""),",",""),"[",""),"]",""),"(",""),")",""),"*","")</f>
        <v/>
      </c>
      <c r="AX313" s="61" t="str">
        <f aca="false">SUBSTITUTE(SUBSTITUTE(SUBSTITUTE(SUBSTITUTE(SUBSTITUTE(SUBSTITUTE(SUBSTITUTE(SUBSTITUTE(SUBSTITUTE(SUBSTITUTE(SUBSTITUTE(SUBSTITUTE(SUBSTITUTE(SUBSTITUTE(SUBSTITUTE(SUBSTITUTE(LOWER(AE313&amp;""),CHAR(10),""),CHAR(13),""),CHAR(9),""),CHAR(160),"")," ",""),".",""),"-",""),"/",""),"?",""),"_",""),",",""),"[",""),"]",""),"(",""),")",""),"*","")</f>
        <v/>
      </c>
      <c r="AY313" s="61" t="str">
        <f aca="false">SUBSTITUTE(SUBSTITUTE(SUBSTITUTE(SUBSTITUTE(SUBSTITUTE(SUBSTITUTE(SUBSTITUTE(SUBSTITUTE(SUBSTITUTE(SUBSTITUTE(SUBSTITUTE(SUBSTITUTE(SUBSTITUTE(SUBSTITUTE(SUBSTITUTE(SUBSTITUTE(LOWER(W313&amp;""),CHAR(10),""),CHAR(13),""),CHAR(9),""),CHAR(160),"")," ",""),".",""),"-",""),"/",""),"?",""),"_",""),",",""),"[",""),"]",""),"(",""),")",""),"*","")</f>
        <v/>
      </c>
      <c r="AZ313" s="61" t="str">
        <f aca="false">SUBSTITUTE(SUBSTITUTE(SUBSTITUTE(SUBSTITUTE(SUBSTITUTE(SUBSTITUTE(SUBSTITUTE(SUBSTITUTE(SUBSTITUTE(SUBSTITUTE(SUBSTITUTE(SUBSTITUTE(SUBSTITUTE(SUBSTITUTE(SUBSTITUTE(SUBSTITUTE(LOWER(AC313&amp;""),CHAR(10),""),CHAR(13),""),CHAR(9),""),CHAR(160),"")," ",""),".",""),"-",""),"/",""),"?",""),"_",""),",",""),"[",""),"]",""),"(",""),")",""),"*","")</f>
        <v/>
      </c>
      <c r="BA313" s="61" t="str">
        <f aca="false">SUBSTITUTE(SUBSTITUTE(SUBSTITUTE(SUBSTITUTE(SUBSTITUTE(SUBSTITUTE(SUBSTITUTE(SUBSTITUTE(SUBSTITUTE(SUBSTITUTE(SUBSTITUTE(SUBSTITUTE(SUBSTITUTE(SUBSTITUTE(SUBSTITUTE(SUBSTITUTE(LOWER(AA313&amp;""),CHAR(10),""),CHAR(13),""),CHAR(9),""),CHAR(160),"")," ",""),".",""),"-",""),"/",""),"?",""),"_",""),",",""),"[",""),"]",""),"(",""),")",""),"*","")</f>
        <v/>
      </c>
      <c r="BB313" s="61" t="str">
        <f aca="false">IF(AND(TRIM(U313)="Pass",ISNUMBER(AF313)),IF(AF313&lt;&gt;0,"INVALID – qty variance: use Fail or Pass after CA",""),"")&amp;IF(AND(TRIM(U313)="Pass after CA",ISNUMBER(AF313)),IF(AF313&lt;&gt;0,"INVALID – after the corrective action the actual qty must equal expected (update Actual)",""),"")&amp;IF(AND(TRIM(U313)="Pass",TRIM(AB313)&lt;&gt;"",TRIM(AB313)&lt;&gt;"Closed"),"INVALID – corrective action not closed: use Fail, then Pass after CA","")&amp;IF(AND(LEN(BA313)&gt;=2,ISNA(MATCH(LEFT(BA313,255),L_Placeholder,0)),TRIM(AB313)=""),"INVALID – CA status missing for the recorded corrective action","")&amp;IF(AND(TRIM(U313)="Pass after CA",OR(OR(LEN(BA313)&lt;5,ISNUMBER(MATCH(BA313,L_Placeholder,0))),TRIM(AB313)&lt;&gt;"Closed")),"INVALID – corrective action not recorded/closed","")</f>
        <v/>
      </c>
      <c r="BC313" s="61" t="str">
        <f aca="false">" "&amp;TRIM(SUBSTITUTE(SUBSTITUTE(SUBSTITUTE(SUBSTITUTE(SUBSTITUTE(SUBSTITUTE(SUBSTITUTE(SUBSTITUTE(SUBSTITUTE(SUBSTITUTE(SUBSTITUTE(SUBSTITUTE(SUBSTITUTE(SUBSTITUTE(SUBSTITUTE(SUBSTITUTE(SUBSTITUTE(SUBSTITUTE(SUBSTITUTE(SUBSTITUTE(SUBSTITUTE(SUBSTITUTE(SUBSTITUTE(SUBSTITUTE(LOWER(V313&amp;""),CHAR(10)," "),CHAR(13)," "),CHAR(9)," "),CHAR(160)," "),"."," "),","," "),"-"," "),"/"," "),"("," "),")"," "),":"," "),";"," "),"_"," "),"–"," "),"?"," "),"!"," "),"*"," "),"["," "),"]"," "),"'"," "),"#"," "),"+"," "),"&amp;"," "),"\"," "))&amp;" "</f>
        <v>  </v>
      </c>
      <c r="BD313" s="61" t="str">
        <f aca="false">" "&amp;TRIM(SUBSTITUTE(SUBSTITUTE(SUBSTITUTE(SUBSTITUTE(SUBSTITUTE(SUBSTITUTE(SUBSTITUTE(SUBSTITUTE(SUBSTITUTE(SUBSTITUTE(SUBSTITUTE(SUBSTITUTE(SUBSTITUTE(SUBSTITUTE(SUBSTITUTE(SUBSTITUTE(SUBSTITUTE(SUBSTITUTE(SUBSTITUTE(SUBSTITUTE(SUBSTITUTE(SUBSTITUTE(SUBSTITUTE(SUBSTITUTE(LOWER(Z313&amp;""),CHAR(10)," "),CHAR(13)," "),CHAR(9)," "),CHAR(160)," "),"."," "),","," "),"-"," "),"/"," "),"("," "),")"," "),":"," "),";"," "),"_"," "),"–"," "),"?"," "),"!"," "),"*"," "),"["," "),"]"," "),"'"," "),"#"," "),"+"," "),"&amp;"," "),"\"," "))&amp;" "</f>
        <v>  </v>
      </c>
      <c r="BE313" s="61" t="str">
        <f aca="false">" "&amp;TRIM(SUBSTITUTE(SUBSTITUTE(SUBSTITUTE(SUBSTITUTE(SUBSTITUTE(SUBSTITUTE(SUBSTITUTE(SUBSTITUTE(SUBSTITUTE(SUBSTITUTE(SUBSTITUTE(SUBSTITUTE(SUBSTITUTE(SUBSTITUTE(SUBSTITUTE(SUBSTITUTE(SUBSTITUTE(SUBSTITUTE(SUBSTITUTE(SUBSTITUTE(SUBSTITUTE(SUBSTITUTE(SUBSTITUTE(SUBSTITUTE(LOWER(W313&amp;""),CHAR(10)," "),CHAR(13)," "),CHAR(9)," "),CHAR(160)," "),"."," "),","," "),"-"," "),"/"," "),"("," "),")"," "),":"," "),";"," "),"_"," "),"–"," "),"?"," "),"!"," "),"*"," "),"["," "),"]"," "),"'"," "),"#"," "),"+"," "),"&amp;"," "),"\"," "))&amp;" "</f>
        <v>  </v>
      </c>
      <c r="BF313" s="61" t="str">
        <f aca="false">" "&amp;TRIM(SUBSTITUTE(SUBSTITUTE(SUBSTITUTE(SUBSTITUTE(SUBSTITUTE(SUBSTITUTE(SUBSTITUTE(SUBSTITUTE(SUBSTITUTE(SUBSTITUTE(SUBSTITUTE(SUBSTITUTE(SUBSTITUTE(SUBSTITUTE(SUBSTITUTE(SUBSTITUTE(SUBSTITUTE(SUBSTITUTE(SUBSTITUTE(SUBSTITUTE(SUBSTITUTE(SUBSTITUTE(SUBSTITUTE(SUBSTITUTE(LOWER(AC313&amp;""),CHAR(10)," "),CHAR(13)," "),CHAR(9)," "),CHAR(160)," "),"."," "),","," "),"-"," "),"/"," "),"("," "),")"," "),":"," "),";"," "),"_"," "),"–"," "),"?"," "),"!"," "),"*"," "),"["," "),"]"," "),"'"," "),"#"," "),"+"," "),"&amp;"," "),"\"," "))&amp;" "</f>
        <v>  </v>
      </c>
      <c r="BG313" s="61" t="n">
        <f aca="false">IFERROR(IF(AND(TRIM(U313)="Pass",SUMPRODUCT((LEN(BC313)-LEN(SUBSTITUTE(BC313," "&amp;L_ResultBad&amp;" "," ")))/(LEN(L_ResultBad)+1))&gt;SUMPRODUCT((LEN(BC313)-LEN(SUBSTITUTE(BC313," "&amp;L_NegPhrase&amp;" "," ")))/(LEN(L_NegPhrase)+1))),1,0),0)</f>
        <v>0</v>
      </c>
      <c r="BH313" s="61" t="n">
        <f aca="false">IFERROR(IF(SUMPRODUCT((LEN(BC313)-LEN(SUBSTITUTE(BC313," "&amp;L_Pending&amp;" "," ")))/(LEN(L_Pending)+1))&gt;SUMPRODUCT((LEN(BC313)-LEN(SUBSTITUTE(BC313," "&amp;L_PendNeg&amp;" "," ")))/(LEN(L_PendNeg)+1)),1,0),1)</f>
        <v>0</v>
      </c>
      <c r="BI313" s="61" t="n">
        <f aca="false">IFERROR(IF(SUMPRODUCT((LEN(BD313)-LEN(SUBSTITUTE(BD313," "&amp;L_PendStrict&amp;" "," ")))/(LEN(L_PendStrict)+1))&gt;SUMPRODUCT((LEN(BD313)-LEN(SUBSTITUTE(BD313," "&amp;L_PendNeg&amp;" "," ")))/(LEN(L_PendNeg)+1)),1,0),1)</f>
        <v>0</v>
      </c>
      <c r="BJ313" s="61" t="n">
        <f aca="false">IFERROR(IF(SUMPRODUCT((LEN(BE313)-LEN(SUBSTITUTE(BE313," "&amp;L_Pending&amp;" "," ")))/(LEN(L_Pending)+1))&gt;SUMPRODUCT((LEN(BE313)-LEN(SUBSTITUTE(BE313," "&amp;L_PendNeg&amp;" "," ")))/(LEN(L_PendNeg)+1)),1,0),1)</f>
        <v>0</v>
      </c>
      <c r="BK313" s="61" t="n">
        <f aca="false">IFERROR(IF(SUMPRODUCT((LEN(BF313)-LEN(SUBSTITUTE(BF313," "&amp;L_PendStrict&amp;" "," ")))/(LEN(L_PendStrict)+1))&gt;SUMPRODUCT((LEN(BF313)-LEN(SUBSTITUTE(BF313," "&amp;L_PendNeg&amp;" "," ")))/(LEN(L_PendNeg)+1)),1,0),1)</f>
        <v>0</v>
      </c>
      <c r="BL313" s="61" t="n">
        <f aca="false">IF(ISNA(MATCH(TRIM(S313),L_EvidenceType,0)),0,BZ313)</f>
        <v>0</v>
      </c>
      <c r="BM313" s="61" t="str">
        <f aca="false">SUBSTITUTE(SUBSTITUTE(SUBSTITUTE(SUBSTITUTE(SUBSTITUTE(SUBSTITUTE(SUBSTITUTE(SUBSTITUTE(SUBSTITUTE(LOWER(Z313&amp;""),"1","0"),"2","0"),"3","0"),"4","0"),"5","0"),"6","0"),"7","0"),"8","0"),"9","0")</f>
        <v/>
      </c>
      <c r="BN313" s="61" t="str">
        <f aca="false">SUBSTITUTE(SUBSTITUTE(SUBSTITUTE(SUBSTITUTE(SUBSTITUTE(SUBSTITUTE(SUBSTITUTE(SUBSTITUTE(SUBSTITUTE(SUBSTITUTE(SUBSTITUTE(SUBSTITUTE(SUBSTITUTE(SUBSTITUTE(SUBSTITUTE(SUBSTITUTE(SUBSTITUTE(SUBSTITUTE(SUBSTITUTE(SUBSTITUTE(SUBSTITUTE(SUBSTITUTE(SUBSTITUTE(SUBSTITUTE(SUBSTITUTE(BM313,"b","a"),"c","a"),"d","a"),"e","a"),"f","a"),"g","a"),"h","a"),"i","a"),"j","a"),"k","a"),"l","a"),"m","a"),"n","a"),"o","a"),"p","a"),"q","a"),"r","a"),"s","a"),"t","a"),"u","a"),"v","a"),"w","a"),"x","a"),"y","a"),"z","a")</f>
        <v/>
      </c>
      <c r="BO313" s="61" t="str">
        <f aca="false">SUBSTITUTE(SUBSTITUTE(SUBSTITUTE(SUBSTITUTE(SUBSTITUTE(SUBSTITUTE(SUBSTITUTE(SUBSTITUTE(SUBSTITUTE(LOWER(W313&amp;""),"1","0"),"2","0"),"3","0"),"4","0"),"5","0"),"6","0"),"7","0"),"8","0"),"9","0")</f>
        <v/>
      </c>
      <c r="BP313" s="61" t="str">
        <f aca="false">SUBSTITUTE(SUBSTITUTE(SUBSTITUTE(SUBSTITUTE(SUBSTITUTE(SUBSTITUTE(SUBSTITUTE(SUBSTITUTE(SUBSTITUTE(SUBSTITUTE(SUBSTITUTE(SUBSTITUTE(SUBSTITUTE(SUBSTITUTE(SUBSTITUTE(SUBSTITUTE(SUBSTITUTE(SUBSTITUTE(SUBSTITUTE(SUBSTITUTE(SUBSTITUTE(SUBSTITUTE(SUBSTITUTE(SUBSTITUTE(SUBSTITUTE(BO313,"b","a"),"c","a"),"d","a"),"e","a"),"f","a"),"g","a"),"h","a"),"i","a"),"j","a"),"k","a"),"l","a"),"m","a"),"n","a"),"o","a"),"p","a"),"q","a"),"r","a"),"s","a"),"t","a"),"u","a"),"v","a"),"w","a"),"x","a"),"y","a"),"z","a")</f>
        <v/>
      </c>
      <c r="BQ313" s="61" t="n">
        <f aca="false">IFERROR(IF(AND(ISERROR(SEARCH(" mh"," "&amp;LOWER(W313))),ISNA(MATCH(LEFT(TRIM(BP313),255),{"0000a","000a","00a","0000aa","000aa","00aa","0aa","0000aaa","000aaa","00a00","0a00","0000-0000","00:00","a00","a0","00.00.0000","00/00/0000","00-00-0000","0000-00-00","0000/00/00","0000.00.00","00.00.00","00/00/00","00-00-00","0.00.0000","0/00/0000","0-00-0000"},0)),ISNA(MATCH(LEFT(TRIM(CA313),255),{"0000a","000a","00a","0000aa","000aa","00aa","0aa","0000aaa","000aaa","00a00","0a00","0000-0000","00:00","a00","a0","00.00.0000","00/00/0000","00-00-0000","0000-00-00","0000/00/00","0000.00.00","00.00.00","00/00/00","00-00-00","0.00.0000","0/00/0000","0-00-0000"},0)),LEN(CB313)&gt;=3,NOT(OR(SUBSTITUTE(CB313,"0","")="",AND(LEN(CB313)&gt;=4,CB313=REPT(LEFT(CB313),LEN(CB313))),ISNUMBER(MATCH(CB313,{"123","1234","12345","123456","1234567","12345678","0123","01234","012345","98765","987654","54321"},0)),AND(LEN(CB313)=8,LEFT(CB313,3)="202"))),OR(AND((LEN(CA313)-LEN(SUBSTITUTE(CA313,"a","")))&gt;=1,SUMPRODUCT(--ISNUMBER(SEARCH({"a0","a-0","a_0","a/0","a.0","a#0","0a","0-a","0_a","0/a"},BP313)))&gt;0),ISNUMBER(SEARCH("000000",BP313)))),1,0),0)</f>
        <v>0</v>
      </c>
      <c r="BR313" s="61" t="n">
        <f aca="false">IFERROR(LEN(SUBSTITUTE(CC313," ",""))-SUMPRODUCT((LEN(CC313)-LEN(SUBSTITUTE(CC313," "&amp;L_Role&amp;" "," ")))/(LEN(L_Role)+1)*LEN(L_Role)),0)</f>
        <v>0</v>
      </c>
      <c r="BS313" s="61" t="n">
        <f aca="false">IFERROR(LEN(SUBSTITUTE(CD313," ",""))-SUMPRODUCT((LEN(CD313)-LEN(SUBSTITUTE(CD313," "&amp;L_Role&amp;" "," ")))/(LEN(L_Role)+1)*LEN(L_Role)),0)</f>
        <v>0</v>
      </c>
      <c r="BT3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313,"revision",""),"version",""),"jan",""),"feb",""),"mar",""),"apr",""),"may",""),"jun",""),"jul",""),"aug",""),"sep",""),"oct",""),"nov",""),"dec",""),"utc",""),"gmt",""),"myt",""),"bst",""),"rev",""),"ver",""),"b","a"),"c","a"),"d","a"),"e","a"),"f","a"),"g","a"),"h","a"),"i","a"),"j","a"),"k","a"),"l","a"),"m","a"),"n","a"),"o","a"),"p","a"),"q","a"),"r","a"),"s","a"),"t","a"),"u","a"),"v","a"),"w","a"),"x","a"),"y","a"),"z","a")</f>
        <v/>
      </c>
      <c r="BU313" s="61" t="str">
        <f aca="false">SUBSTITUTE(SUBSTITUTE(SUBSTITUTE(SUBSTITUTE(SUBSTITUTE(SUBSTITUTE(SUBSTITUTE(SUBSTITUTE(SUBSTITUTE(SUBSTITUTE(LEFT(BM313,FIND("0",BM313&amp;"0")-1),"-",""),"_",""),"/",""),".",""),"#",""),"\\",""),":","")," ",""),"(",""),")","")</f>
        <v/>
      </c>
      <c r="BV313" s="61" t="n">
        <f aca="false">IFERROR(IF(OR(SUMPRODUCT((LEN(BC313)-LEN(SUBSTITUTE(BC313," "&amp;L_NotLoaded&amp;" "," ")))/(LEN(L_NotLoaded)+1))&gt;SUMPRODUCT((LEN(BC313)-LEN(SUBSTITUTE(BC313," "&amp;L_NotLoadedNeg&amp;" "," ")))/(LEN(L_NotLoadedNeg)+1)),SUMPRODUCT((LEN(BD313)-LEN(SUBSTITUTE(BD313," "&amp;L_NotLoaded&amp;" "," ")))/(LEN(L_NotLoaded)+1))&gt;SUMPRODUCT((LEN(BD313)-LEN(SUBSTITUTE(BD313," "&amp;L_NotLoadedNeg&amp;" "," ")))/(LEN(L_NotLoadedNeg)+1))),1,0),0)</f>
        <v>0</v>
      </c>
      <c r="BW3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313&amp;""),"a",""),"b",""),"c",""),"d",""),"e",""),"f",""),"g",""),"h",""),"i",""),"j",""),"k",""),"l",""),"m",""),"n",""),"o",""),"p",""),"q",""),"r",""),"s",""),"t",""),"u",""),"v",""),"w",""),"x",""),"y",""),"z",""),"-",""),"_",""),"/",""),".",""),"#",""),"\\",""),":","")," ",""),"(",""),")","")</f>
        <v/>
      </c>
      <c r="BX313" s="61" t="str">
        <f aca="false">SUBSTITUTE(SUBSTITUTE(SUBSTITUTE(SUBSTITUTE(SUBSTITUTE(SUBSTITUTE(SUBSTITUTE(SUBSTITUTE(SUBSTITUTE(SUBSTITUTE(SUBSTITUTE(BM313,"0",""),"-",""),"_",""),"/",""),".",""),"#",""),"\\",""),":","")," ",""),"(",""),")","")</f>
        <v/>
      </c>
      <c r="BY313" s="62" t="n">
        <f aca="false">IF(ISNUMBER(Flights!$AZ$13),MAX(Q313-UpliftWindowH/24,Flights!$AZ$13),Q313-UpliftWindowH/24)</f>
        <v>46306.0034722222</v>
      </c>
      <c r="BZ313" s="61" t="n">
        <f aca="false">IFERROR(IF(IF(TRIM(S313)="Link / file path",AND(LEN(TRIM(Z313))&gt;=5,SUMPRODUCT(--ISNUMBER(SEARCH({"http","www.","\\",":\",".pdf",".jpg",".jpeg",".png",".heic",".xls",".doc",".msg",".eml",".ppt",".txt",".zip"},Z313)))&gt;0),AND(ISERROR(FIND(" ",TRIM(Z313))),NOT(OR(SUMPRODUCT(--ISNUMBER(FIND({",",";","&amp;","+"},Z313)))&gt;0,SUMPRODUCT(--ISNUMBER(SEARCH({"0/aa","0\\aa"},BN313)))&gt;0)),NOT(SUMPRODUCT(--ISNUMBER(SEARCH({"http","www.","\\",":\",".pdf",".jpg",".jpeg",".png",".heic",".xls",".doc",".msg",".eml",".ppt",".txt",".zip"},Z313)))&gt;0),NOT(LOWER(TRIM(Z313))=LOWER(Flights!$F$13)),ISNA(MATCH(BU313,{"mh","rev","revision","ver","version","v","r","a","b","seat","tray","row","gate","bay","stand","page","pg","item","line","no","cart","galley","flight","flt","table","box","bag","oven","etd","eta","std","sta","atd","ata","qty","pax","x","time","tel","ph","mob","day","wk","week","utc","gmt","myt","lt"},0)),NOT(OR(ISNUMBER(MATCH(LEFT(BN313,255),{"0000a","000a","00a","0000aa","000aa","00aa","0aa","0000aaa","000aaa","00a00","0a00","0000-0000","00:00","a00","a0","00.00.0000","00/00/0000","00-00-0000","0000-00-00","0000/00/00","0000.00.00","00.00.00","00/00/00","00-00-00","0.00.0000","0/00/0000","0-00-0000"},0)),ISNUMBER(MATCH(LEFT(BT313,255),{"0000a","000a","00a","0000aa","000aa","00aa","0aa","0000aaa","000aaa","00a00","0a00","0000-0000","00:00","a00","a0","00.00.0000","00/00/0000","00-00-0000","0000-00-00","0000/00/00","0000.00.00","00.00.00","00/00/00","00-00-00","0.00.0000","0/00/0000","0-00-0000"},0)))),NOT(OR(AND(BW313&lt;&gt;"",SUBSTITUTE(BW313,"0","")=""),AND(LEN(BW313)&gt;=4,BW313=REPT(LEFT(BW313),LEN(BW313))),ISNUMBER(MATCH(BW313,{"123","1234","12345","123456","1234567","12345678","0123","01234","012345","98765","987654","54321"},0)),ISNUMBER(MATCH(BX313,{"x","xx","xxx","xxxx","xxxxx","abc","abcd","nil","na","nan","test","tbc","tba","tbd","dummy","sample","example","eg","zz","zzz","none","null","xyz","qwe","asd","id","ref"},0)),AND(LEN(BW313)=8,BX313="",OR(LEFT(BW313,3)="202",ISNUMBER(MATCH(RIGHT(BW313,4),{"2025","2026","2027"},0)))))),OR(AND((LEN(BT313)-LEN(SUBSTITUTE(BT313,"a","")))&gt;=1,(LEN(BN313)-LEN(SUBSTITUTE(BN313,"0","")))&gt;=2,SUMPRODUCT(--ISNUMBER(SEARCH({"a0","a-0","a_0","a/0","a.0","a#0","0a","0-a","0_a","0/a"},BN313)))&gt;0),AND((LEN(BN313)-LEN(SUBSTITUTE(BN313,"a","")))=0,(LEN(BN313)-LEN(SUBSTITUTE(BN313,"0","")))&gt;=5)))),1,0),0)</f>
        <v>0</v>
      </c>
      <c r="CA3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313,"revision",""),"version",""),"jan",""),"feb",""),"mar",""),"apr",""),"may",""),"jun",""),"jul",""),"aug",""),"sep",""),"oct",""),"nov",""),"dec",""),"utc",""),"gmt",""),"myt",""),"bst",""),"rev",""),"ver",""),"b","a"),"c","a"),"d","a"),"e","a"),"f","a"),"g","a"),"h","a"),"i","a"),"j","a"),"k","a"),"l","a"),"m","a"),"n","a"),"o","a"),"p","a"),"q","a"),"r","a"),"s","a"),"t","a"),"u","a"),"v","a"),"w","a"),"x","a"),"y","a"),"z","a")</f>
        <v/>
      </c>
      <c r="CB3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313&amp;""),"a",""),"b",""),"c",""),"d",""),"e",""),"f",""),"g",""),"h",""),"i",""),"j",""),"k",""),"l",""),"m",""),"n",""),"o",""),"p",""),"q",""),"r",""),"s",""),"t",""),"u",""),"v",""),"w",""),"x",""),"y",""),"z",""),"-",""),"_",""),"/",""),".",""),"#",""),"\\",""),":","")," ",""),"(",""),")","")</f>
        <v/>
      </c>
      <c r="CC313" s="0" t="str">
        <f aca="false">" "&amp;TRIM(SUBSTITUTE(SUBSTITUTE(SUBSTITUTE(SUBSTITUTE(SUBSTITUTE(SUBSTITUTE(SUBSTITUTE(SUBSTITUTE(SUBSTITUTE(SUBSTITUTE(SUBSTITUTE(SUBSTITUTE(SUBSTITUTE(SUBSTITUTE(SUBSTITUTE(SUBSTITUTE(SUBSTITUTE(SUBSTITUTE(SUBSTITUTE(SUBSTITUTE(SUBSTITUTE(SUBSTITUTE(SUBSTITUTE(SUBSTITUTE(LOWER(T313&amp;""),CHAR(10)," "),CHAR(13)," "),CHAR(9)," "),CHAR(160)," "),"."," "),","," "),"-"," "),"/"," "),"("," "),")"," "),":"," "),";"," "),"_"," "),"–"," "),"?"," "),"!"," "),"*"," "),"["," "),"]"," "),"'"," "),"#"," "),"+"," "),"&amp;"," "),"\"," "))&amp;" "</f>
        <v>  </v>
      </c>
      <c r="CD313" s="0" t="str">
        <f aca="false">" "&amp;TRIM(SUBSTITUTE(SUBSTITUTE(SUBSTITUTE(SUBSTITUTE(SUBSTITUTE(SUBSTITUTE(SUBSTITUTE(SUBSTITUTE(SUBSTITUTE(SUBSTITUTE(SUBSTITUTE(SUBSTITUTE(SUBSTITUTE(SUBSTITUTE(SUBSTITUTE(SUBSTITUTE(SUBSTITUTE(SUBSTITUTE(SUBSTITUTE(SUBSTITUTE(SUBSTITUTE(SUBSTITUTE(SUBSTITUTE(SUBSTITUTE(LOWER(AE313&amp;""),CHAR(10)," "),CHAR(13)," "),CHAR(9)," "),CHAR(160)," "),"."," "),","," "),"-"," "),"/"," "),"("," "),")"," "),":"," "),";"," "),"_"," "),"–"," "),"?"," "),"!"," "),"*"," "),"["," "),"]"," "),"'"," "),"#"," "),"+"," "),"&amp;"," "),"\"," "))&amp;" "</f>
        <v>  </v>
      </c>
      <c r="CE313" s="68" t="n">
        <f aca="false">IFERROR(IF(AND(LEN(AU313)&gt;0,LEN(AU313)=LEN(AX313),OR(TRIM(MID(SUBSTITUTE(TRIM(CC313)," ",REPT(" ",60)),1,60))="",ISNUMBER(SEARCH(" "&amp;TRIM(MID(SUBSTITUTE(TRIM(CC313)," ",REPT(" ",60)),1,60))&amp;" ",CD313))),OR(TRIM(MID(SUBSTITUTE(TRIM(CC313)," ",REPT(" ",60)),61,60))="",ISNUMBER(SEARCH(" "&amp;TRIM(MID(SUBSTITUTE(TRIM(CC313)," ",REPT(" ",60)),61,60))&amp;" ",CD313))),OR(TRIM(MID(SUBSTITUTE(TRIM(CC313)," ",REPT(" ",60)),121,60))="",ISNUMBER(SEARCH(" "&amp;TRIM(MID(SUBSTITUTE(TRIM(CC313)," ",REPT(" ",60)),121,60))&amp;" ",CD313)))),1,0),0)</f>
        <v>0</v>
      </c>
      <c r="CG313" s="68" t="n">
        <f aca="false">IFERROR(LEN(SUBSTITUTE(BF313," ",""))-SUMPRODUCT((LEN(BF313)-LEN(SUBSTITUTE(BF313," "&amp;L_NAFiller&amp;" "," ")))/(LEN(L_NAFiller)+1)*LEN(L_NAFiller)),0)</f>
        <v>0</v>
      </c>
    </row>
    <row r="314" customFormat="false" ht="39.75" hidden="false" customHeight="true" outlineLevel="0" collapsed="false">
      <c r="A314" s="57" t="s">
        <v>903</v>
      </c>
      <c r="B314" s="57" t="s">
        <v>246</v>
      </c>
      <c r="C314" s="57" t="str">
        <f aca="false">Flights!$F$13</f>
        <v>MH0753</v>
      </c>
      <c r="D314" s="58" t="n">
        <f aca="false">Flights!$D$13</f>
        <v>46306</v>
      </c>
      <c r="E314" s="57" t="str">
        <f aca="false">Flights!$G$13&amp;"-"&amp;Flights!$H$13</f>
        <v>HAN-KUL</v>
      </c>
      <c r="F314" s="57" t="str">
        <f aca="false">Flights!$K$13</f>
        <v>BC</v>
      </c>
      <c r="G314" s="57" t="s">
        <v>459</v>
      </c>
      <c r="H314" s="57" t="s">
        <v>460</v>
      </c>
      <c r="I314" s="57" t="s">
        <v>499</v>
      </c>
      <c r="J314" s="57" t="s">
        <v>539</v>
      </c>
      <c r="K314" s="67" t="s">
        <v>501</v>
      </c>
      <c r="L314" s="67" t="s">
        <v>882</v>
      </c>
      <c r="M314" s="67" t="s">
        <v>451</v>
      </c>
      <c r="N314" s="67" t="s">
        <v>383</v>
      </c>
      <c r="O314" s="67"/>
      <c r="P314" s="57" t="s">
        <v>240</v>
      </c>
      <c r="Q314" s="59" t="n">
        <f aca="false">ROUND((Flights!$AF$13)*1440,0)/1440</f>
        <v>46306.2534722222</v>
      </c>
      <c r="R314" s="59" t="n">
        <f aca="false">Q314+(IF(AND(INDEX(TZ_DSTS,MATCH(P314,TZ_STN,0))&lt;&gt;"",Q314&gt;=INDEX(TZ_DSTS,MATCH(P314,TZ_STN,0)),Q314&lt;INDEX(TZ_DSTE,MATCH(P314,TZ_STN,0))),INDEX(TZ_DST,MATCH(P314,TZ_STN,0)),INDEX(TZ_STD,MATCH(P314,TZ_STN,0))))/24</f>
        <v>46306.5451388889</v>
      </c>
      <c r="S314" s="60"/>
      <c r="T314" s="60"/>
      <c r="U314" s="60"/>
      <c r="V314" s="60"/>
      <c r="W314" s="61"/>
      <c r="X314" s="60"/>
      <c r="Y314" s="60"/>
      <c r="Z314" s="60"/>
      <c r="AA314" s="60"/>
      <c r="AB314" s="60"/>
      <c r="AC314" s="60"/>
      <c r="AD314" s="66"/>
      <c r="AE314" s="60"/>
      <c r="AF314" s="61" t="str">
        <f aca="false">IF(AND(ISNUMBER(X314),ISNUMBER(Y314)),Y314-X314,"")</f>
        <v/>
      </c>
      <c r="AG314" s="62" t="str">
        <f aca="false">IF(ISNUMBER(AD314),AD314-(IF(AND(INDEX(TZ_DSTS,MATCH(P314,TZ_STN,0))&lt;&gt;"",(AD314-INDEX(TZ_STD,MATCH(P314,TZ_STN,0))/24)&gt;=INDEX(TZ_DSTS,MATCH(P314,TZ_STN,0)),(AD314-INDEX(TZ_STD,MATCH(P314,TZ_STN,0))/24)&lt;INDEX(TZ_DSTE,MATCH(P314,TZ_STN,0))),INDEX(TZ_DST,MATCH(P314,TZ_STN,0)),INDEX(TZ_STD,MATCH(P314,TZ_STN,0))))/24,"")</f>
        <v/>
      </c>
      <c r="AH314" s="65" t="str">
        <f aca="false">IFERROR(IF(N314="N/A – rule",IF(OR(TRIM(U314)="",TRIM(U314)="N/A",TRIM(U314)="Not started"),"N/A – RULE","INVALID – this check does not apply to this aircraft: clear the status (or correct the fleet on Flights)"),IF(TRIM(U314)="N/A",IF(AT314=0,"INVALID – N/A not permitted for this check",IF(AND(TRIM(AB314)&lt;&gt;"",TRIM(AB314)&lt;&gt;"Closed"),"INVALID – corrective action still open",IF(AND(NOT(OR(LEN(AZ314)&lt;15,ISNUMBER(MATCH(AZ314,L_Placeholder,0)))),BK314=0,CG314&gt;=8,NOT(OR(LEN(AU314)&lt;2,ISNUMBER(MATCH(AU314,L_Placeholder,0)))),BR314&gt;=3,NOT(OR(LEN(AX314)&lt;2,ISNUMBER(MATCH(AX314,L_Placeholder,0)))),BS314&gt;=3,TRIM(AE314)&lt;&gt;TRIM(T314),AX314&lt;&gt;AU314,CE314=0),"N/A – JUSTIFIED","INVALID – N/A needs a real, settled reason (not 'not applicable' / 'as above' / TBC), a named PIC and a different named verifier"))),IF(OR(TRIM(U314)="Pass",TRIM(U314)="Pass after CA"),IF(NOT(ISNUMBER(AD314)),"INVALID – completion time missing",IF(OR(OR(LEN(AU314)&lt;2,ISNUMBER(MATCH(AU314,L_Placeholder,0))),BR314&lt;3),"INVALID – PIC missing or not a named person (a role such as QA / CSM is not a name)",IF(OR(LEN(AV314)&lt;2,ISNUMBER(MATCH(AV314,L_Placeholder,0))),"INVALID – result / assessment missing",IF(OR(OR(LEN(AW314)&lt;3,ISNUMBER(MATCH(AW314,L_Placeholder,0))),SUMPRODUCT(--ISNUMBER(SEARCH(" "&amp;L_EvidencePhrase&amp;" ",BD314)))&gt;0,BI314=1),"INVALID – evidence missing, placeholder or not yet on file",IF(ISNA(MATCH(TRIM(S314),L_EvidenceType,0)),"INVALID – choose the evidence type from the list (column S)",IF(BL314=0,"INVALID – evidence ID must be the record's own ID only (e.g. SF-2210, IMG_2231, 1045521); a link / file name needs type 'Link / file path'",IF(OR(OR(LEN(AX314)&lt;2,ISNUMBER(MATCH(AX314,L_Placeholder,0))),BS314&lt;3),"INVALID – verifier missing or not a named person (a role such as QA / CSM is not a name)",IF(OR(AX314=AU314,CE314=1,AND(LEN(AU314)&gt;=4,ISNUMBER(SEARCH(AU314,AX314))),AND(LEN(AX314)&gt;=4,ISNUMBER(SEARCH(AX314,AU314)))),"INVALID – verifier must be a different, named person (not the PIC or a role)",IF(BH314=1,"INVALID – result not yet available (awaiting / TBC)",IF(BG314=1,"INVALID – result describes a problem: record Fail, then Pass after CA (or reword if it is not a problem)",IF(BV314=1,"INVALID – wording says not on board: an on-board confirmation needs the item loaded",IF(AND(AQ314=1,OR(OR(LEN(AY314)&lt;3,ISNUMBER(MATCH(AY314,L_Placeholder,0))),BJ314=1,BQ314=0)),"INVALID – batch ID missing, placeholder or not an ID (e.g. PASB-261008-BC-017)",IF(AND(AR314=1,OR(NOT(ISNUMBER(X314)),NOT(ISNUMBER(Y314)))),"INVALID – expected/actual qty missing",IF(AND(AR314=1,OR(X314&lt;=0,Y314&lt;0)),"INVALID – expected qty must be above 0 and actual not negative",IF(AH302="N/A – JUSTIFIED","INVALID – preparation row F09-T12-10 is N/A",IF(AND(AR314=1,ISNUMBER(X302),X314&lt;&gt;X302,TRIM(U314)&lt;&gt;"Pass after CA"),"INVALID – expected qty differs from preparation check F09-T12-10: record the load change as a corrective action (Pass after CA)",IF(BB314&lt;&gt;"",BB314,IF(AND(AS314=1,Documents!$J$13&lt;&gt;"ON FILE"),"INVALID – GLD not on file (Documents sheet)",IF(AND(AS314=2,Documents!$O$13&lt;&gt;"ON FILE"),"INVALID – menu checklist not on file (Documents sheet)",IF(AND(AS314=3,NOT(ISNUMBER(Flights!$AX$13))),"INVALID – enter carrying flight KUL departure (Flights AX)",IF(AND(AS314=3,OR(Flights!$AZ$13&gt;Flights!$AA$13,Flights!$AX$13&lt;Flights!$AA$13-3)),"INVALID – carrying flight (Flights AX) cannot arrive before this leg's STD, or is over 3 days early",IF(AG314&gt;AsOfUTC,"INVALID – completion time is in the future",IF(AND(ISNUMBER(BY314),AG314&lt;BY314),IF(H314="Physical uplift","INVALID – before uplift window (cannot confirm loading)","INVALID – before valid window"),IF(AG314&gt;Flights!$AA$13,"INVALID – completed after departure (cannot establish readiness)",IF(AND(H314="Preparation",AG314&gt;=IF(ISNUMBER(Flights!$BA$13),MIN(Flights!$BA$13,Flights!$AA$13),Flights!$AA$13)),"INVALID – completed after loading / departure (cannot establish readiness)",IF(AND(H314="Physical uplift",AG314&gt;Q314),"INVALID – recorded after the loading flight departed",IF(AG314&gt;Q314,"COMPLETE – LATE","COMPLETE"))))))))))))))))))))))))))),IF(TRIM(U314)="Fail","FAIL – DISCREPANCY",IF(AND(TRIM(U314)&lt;&gt;"",TRIM(U314)&lt;&gt;"Not started",TRIM(U314)&lt;&gt;"In progress"),"INVALID – unrecognised status (use the list)",IF(AsOfUTC&gt;Q314,"OVERDUE",IF(N314="Clarification required","OPEN – CLARIFICATION","OPEN"))))))),"INVALID – error value in an input cell")</f>
        <v>OPEN</v>
      </c>
      <c r="AI314" s="61" t="n">
        <f aca="false">IF(OR(AH314="N/A – RULE",AH314="N/A – JUSTIFIED"),0,1)</f>
        <v>1</v>
      </c>
      <c r="AJ314" s="61" t="n">
        <f aca="false">IF(LEFT(AH314,8)="COMPLETE",1,0)</f>
        <v>0</v>
      </c>
      <c r="AK314" s="61" t="n">
        <f aca="false">IF(AND(AI314=1,AJ314=0,AsOfUTC&gt;Q314),1,0)</f>
        <v>0</v>
      </c>
      <c r="AL314" s="61" t="n">
        <f aca="false">IFERROR(IF(AND(AI314=1,OR(TRIM(U314)="Fail",AND(TRIM(AB314)&lt;&gt;"",TRIM(AB314)&lt;&gt;"Closed"),AND(ISNUMBER(AF314),AF314&lt;&gt;0,TRIM(U314)&lt;&gt;"Pass after CA"))),1,0),1)</f>
        <v>0</v>
      </c>
      <c r="AM314" s="61" t="n">
        <f aca="false">IF(LEFT(AH314,7)="INVALID",1,0)</f>
        <v>0</v>
      </c>
      <c r="AN314" s="61" t="n">
        <f aca="false">IF(AND(N314="Clarification required",AI314=1,AJ314=0),1,0)</f>
        <v>0</v>
      </c>
      <c r="AO314" s="61" t="str">
        <f aca="false">IF(AK314=1,SUM(AK$5:AK314),"")</f>
        <v/>
      </c>
      <c r="AP314" s="61" t="str">
        <f aca="false">IF(AL314=1,SUM(AL$5:AL314),"")</f>
        <v/>
      </c>
      <c r="AQ314" s="61" t="n">
        <v>0</v>
      </c>
      <c r="AR314" s="61" t="n">
        <v>0</v>
      </c>
      <c r="AS314" s="61" t="n">
        <v>0</v>
      </c>
      <c r="AT314" s="61" t="n">
        <v>0</v>
      </c>
      <c r="AU314" s="61" t="str">
        <f aca="false">SUBSTITUTE(SUBSTITUTE(SUBSTITUTE(SUBSTITUTE(SUBSTITUTE(SUBSTITUTE(SUBSTITUTE(SUBSTITUTE(SUBSTITUTE(SUBSTITUTE(SUBSTITUTE(SUBSTITUTE(SUBSTITUTE(SUBSTITUTE(SUBSTITUTE(SUBSTITUTE(LOWER(T314&amp;""),CHAR(10),""),CHAR(13),""),CHAR(9),""),CHAR(160),"")," ",""),".",""),"-",""),"/",""),"?",""),"_",""),",",""),"[",""),"]",""),"(",""),")",""),"*","")</f>
        <v/>
      </c>
      <c r="AV314" s="61" t="str">
        <f aca="false">SUBSTITUTE(SUBSTITUTE(SUBSTITUTE(SUBSTITUTE(SUBSTITUTE(SUBSTITUTE(SUBSTITUTE(SUBSTITUTE(SUBSTITUTE(SUBSTITUTE(SUBSTITUTE(SUBSTITUTE(SUBSTITUTE(SUBSTITUTE(SUBSTITUTE(SUBSTITUTE(LOWER(V314&amp;""),CHAR(10),""),CHAR(13),""),CHAR(9),""),CHAR(160),"")," ",""),".",""),"-",""),"/",""),"?",""),"_",""),",",""),"[",""),"]",""),"(",""),")",""),"*","")</f>
        <v/>
      </c>
      <c r="AW314" s="61" t="str">
        <f aca="false">SUBSTITUTE(SUBSTITUTE(SUBSTITUTE(SUBSTITUTE(SUBSTITUTE(SUBSTITUTE(SUBSTITUTE(SUBSTITUTE(SUBSTITUTE(SUBSTITUTE(SUBSTITUTE(SUBSTITUTE(SUBSTITUTE(SUBSTITUTE(SUBSTITUTE(SUBSTITUTE(LOWER(Z314&amp;""),CHAR(10),""),CHAR(13),""),CHAR(9),""),CHAR(160),"")," ",""),".",""),"-",""),"/",""),"?",""),"_",""),",",""),"[",""),"]",""),"(",""),")",""),"*","")</f>
        <v/>
      </c>
      <c r="AX314" s="61" t="str">
        <f aca="false">SUBSTITUTE(SUBSTITUTE(SUBSTITUTE(SUBSTITUTE(SUBSTITUTE(SUBSTITUTE(SUBSTITUTE(SUBSTITUTE(SUBSTITUTE(SUBSTITUTE(SUBSTITUTE(SUBSTITUTE(SUBSTITUTE(SUBSTITUTE(SUBSTITUTE(SUBSTITUTE(LOWER(AE314&amp;""),CHAR(10),""),CHAR(13),""),CHAR(9),""),CHAR(160),"")," ",""),".",""),"-",""),"/",""),"?",""),"_",""),",",""),"[",""),"]",""),"(",""),")",""),"*","")</f>
        <v/>
      </c>
      <c r="AY314" s="61" t="str">
        <f aca="false">SUBSTITUTE(SUBSTITUTE(SUBSTITUTE(SUBSTITUTE(SUBSTITUTE(SUBSTITUTE(SUBSTITUTE(SUBSTITUTE(SUBSTITUTE(SUBSTITUTE(SUBSTITUTE(SUBSTITUTE(SUBSTITUTE(SUBSTITUTE(SUBSTITUTE(SUBSTITUTE(LOWER(W314&amp;""),CHAR(10),""),CHAR(13),""),CHAR(9),""),CHAR(160),"")," ",""),".",""),"-",""),"/",""),"?",""),"_",""),",",""),"[",""),"]",""),"(",""),")",""),"*","")</f>
        <v/>
      </c>
      <c r="AZ314" s="61" t="str">
        <f aca="false">SUBSTITUTE(SUBSTITUTE(SUBSTITUTE(SUBSTITUTE(SUBSTITUTE(SUBSTITUTE(SUBSTITUTE(SUBSTITUTE(SUBSTITUTE(SUBSTITUTE(SUBSTITUTE(SUBSTITUTE(SUBSTITUTE(SUBSTITUTE(SUBSTITUTE(SUBSTITUTE(LOWER(AC314&amp;""),CHAR(10),""),CHAR(13),""),CHAR(9),""),CHAR(160),"")," ",""),".",""),"-",""),"/",""),"?",""),"_",""),",",""),"[",""),"]",""),"(",""),")",""),"*","")</f>
        <v/>
      </c>
      <c r="BA314" s="61" t="str">
        <f aca="false">SUBSTITUTE(SUBSTITUTE(SUBSTITUTE(SUBSTITUTE(SUBSTITUTE(SUBSTITUTE(SUBSTITUTE(SUBSTITUTE(SUBSTITUTE(SUBSTITUTE(SUBSTITUTE(SUBSTITUTE(SUBSTITUTE(SUBSTITUTE(SUBSTITUTE(SUBSTITUTE(LOWER(AA314&amp;""),CHAR(10),""),CHAR(13),""),CHAR(9),""),CHAR(160),"")," ",""),".",""),"-",""),"/",""),"?",""),"_",""),",",""),"[",""),"]",""),"(",""),")",""),"*","")</f>
        <v/>
      </c>
      <c r="BB314" s="61" t="str">
        <f aca="false">IF(AND(TRIM(U314)="Pass",ISNUMBER(AF314)),IF(AF314&lt;&gt;0,"INVALID – qty variance: use Fail or Pass after CA",""),"")&amp;IF(AND(TRIM(U314)="Pass after CA",ISNUMBER(AF314)),IF(AF314&lt;&gt;0,"INVALID – after the corrective action the actual qty must equal expected (update Actual)",""),"")&amp;IF(AND(TRIM(U314)="Pass",TRIM(AB314)&lt;&gt;"",TRIM(AB314)&lt;&gt;"Closed"),"INVALID – corrective action not closed: use Fail, then Pass after CA","")&amp;IF(AND(LEN(BA314)&gt;=2,ISNA(MATCH(LEFT(BA314,255),L_Placeholder,0)),TRIM(AB314)=""),"INVALID – CA status missing for the recorded corrective action","")&amp;IF(AND(TRIM(U314)="Pass after CA",OR(OR(LEN(BA314)&lt;5,ISNUMBER(MATCH(BA314,L_Placeholder,0))),TRIM(AB314)&lt;&gt;"Closed")),"INVALID – corrective action not recorded/closed","")</f>
        <v/>
      </c>
      <c r="BC314" s="61" t="str">
        <f aca="false">" "&amp;TRIM(SUBSTITUTE(SUBSTITUTE(SUBSTITUTE(SUBSTITUTE(SUBSTITUTE(SUBSTITUTE(SUBSTITUTE(SUBSTITUTE(SUBSTITUTE(SUBSTITUTE(SUBSTITUTE(SUBSTITUTE(SUBSTITUTE(SUBSTITUTE(SUBSTITUTE(SUBSTITUTE(SUBSTITUTE(SUBSTITUTE(SUBSTITUTE(SUBSTITUTE(SUBSTITUTE(SUBSTITUTE(SUBSTITUTE(SUBSTITUTE(LOWER(V314&amp;""),CHAR(10)," "),CHAR(13)," "),CHAR(9)," "),CHAR(160)," "),"."," "),","," "),"-"," "),"/"," "),"("," "),")"," "),":"," "),";"," "),"_"," "),"–"," "),"?"," "),"!"," "),"*"," "),"["," "),"]"," "),"'"," "),"#"," "),"+"," "),"&amp;"," "),"\"," "))&amp;" "</f>
        <v>  </v>
      </c>
      <c r="BD314" s="61" t="str">
        <f aca="false">" "&amp;TRIM(SUBSTITUTE(SUBSTITUTE(SUBSTITUTE(SUBSTITUTE(SUBSTITUTE(SUBSTITUTE(SUBSTITUTE(SUBSTITUTE(SUBSTITUTE(SUBSTITUTE(SUBSTITUTE(SUBSTITUTE(SUBSTITUTE(SUBSTITUTE(SUBSTITUTE(SUBSTITUTE(SUBSTITUTE(SUBSTITUTE(SUBSTITUTE(SUBSTITUTE(SUBSTITUTE(SUBSTITUTE(SUBSTITUTE(SUBSTITUTE(LOWER(Z314&amp;""),CHAR(10)," "),CHAR(13)," "),CHAR(9)," "),CHAR(160)," "),"."," "),","," "),"-"," "),"/"," "),"("," "),")"," "),":"," "),";"," "),"_"," "),"–"," "),"?"," "),"!"," "),"*"," "),"["," "),"]"," "),"'"," "),"#"," "),"+"," "),"&amp;"," "),"\"," "))&amp;" "</f>
        <v>  </v>
      </c>
      <c r="BE314" s="61" t="str">
        <f aca="false">" "&amp;TRIM(SUBSTITUTE(SUBSTITUTE(SUBSTITUTE(SUBSTITUTE(SUBSTITUTE(SUBSTITUTE(SUBSTITUTE(SUBSTITUTE(SUBSTITUTE(SUBSTITUTE(SUBSTITUTE(SUBSTITUTE(SUBSTITUTE(SUBSTITUTE(SUBSTITUTE(SUBSTITUTE(SUBSTITUTE(SUBSTITUTE(SUBSTITUTE(SUBSTITUTE(SUBSTITUTE(SUBSTITUTE(SUBSTITUTE(SUBSTITUTE(LOWER(W314&amp;""),CHAR(10)," "),CHAR(13)," "),CHAR(9)," "),CHAR(160)," "),"."," "),","," "),"-"," "),"/"," "),"("," "),")"," "),":"," "),";"," "),"_"," "),"–"," "),"?"," "),"!"," "),"*"," "),"["," "),"]"," "),"'"," "),"#"," "),"+"," "),"&amp;"," "),"\"," "))&amp;" "</f>
        <v>  </v>
      </c>
      <c r="BF314" s="61" t="str">
        <f aca="false">" "&amp;TRIM(SUBSTITUTE(SUBSTITUTE(SUBSTITUTE(SUBSTITUTE(SUBSTITUTE(SUBSTITUTE(SUBSTITUTE(SUBSTITUTE(SUBSTITUTE(SUBSTITUTE(SUBSTITUTE(SUBSTITUTE(SUBSTITUTE(SUBSTITUTE(SUBSTITUTE(SUBSTITUTE(SUBSTITUTE(SUBSTITUTE(SUBSTITUTE(SUBSTITUTE(SUBSTITUTE(SUBSTITUTE(SUBSTITUTE(SUBSTITUTE(LOWER(AC314&amp;""),CHAR(10)," "),CHAR(13)," "),CHAR(9)," "),CHAR(160)," "),"."," "),","," "),"-"," "),"/"," "),"("," "),")"," "),":"," "),";"," "),"_"," "),"–"," "),"?"," "),"!"," "),"*"," "),"["," "),"]"," "),"'"," "),"#"," "),"+"," "),"&amp;"," "),"\"," "))&amp;" "</f>
        <v>  </v>
      </c>
      <c r="BG314" s="61" t="n">
        <f aca="false">IFERROR(IF(AND(TRIM(U314)="Pass",SUMPRODUCT((LEN(BC314)-LEN(SUBSTITUTE(BC314," "&amp;L_ResultBad&amp;" "," ")))/(LEN(L_ResultBad)+1))&gt;SUMPRODUCT((LEN(BC314)-LEN(SUBSTITUTE(BC314," "&amp;L_NegPhrase&amp;" "," ")))/(LEN(L_NegPhrase)+1))),1,0),0)</f>
        <v>0</v>
      </c>
      <c r="BH314" s="61" t="n">
        <f aca="false">IFERROR(IF(SUMPRODUCT((LEN(BC314)-LEN(SUBSTITUTE(BC314," "&amp;L_Pending&amp;" "," ")))/(LEN(L_Pending)+1))&gt;SUMPRODUCT((LEN(BC314)-LEN(SUBSTITUTE(BC314," "&amp;L_PendNeg&amp;" "," ")))/(LEN(L_PendNeg)+1)),1,0),1)</f>
        <v>0</v>
      </c>
      <c r="BI314" s="61" t="n">
        <f aca="false">IFERROR(IF(SUMPRODUCT((LEN(BD314)-LEN(SUBSTITUTE(BD314," "&amp;L_PendStrict&amp;" "," ")))/(LEN(L_PendStrict)+1))&gt;SUMPRODUCT((LEN(BD314)-LEN(SUBSTITUTE(BD314," "&amp;L_PendNeg&amp;" "," ")))/(LEN(L_PendNeg)+1)),1,0),1)</f>
        <v>0</v>
      </c>
      <c r="BJ314" s="61" t="n">
        <f aca="false">IFERROR(IF(SUMPRODUCT((LEN(BE314)-LEN(SUBSTITUTE(BE314," "&amp;L_Pending&amp;" "," ")))/(LEN(L_Pending)+1))&gt;SUMPRODUCT((LEN(BE314)-LEN(SUBSTITUTE(BE314," "&amp;L_PendNeg&amp;" "," ")))/(LEN(L_PendNeg)+1)),1,0),1)</f>
        <v>0</v>
      </c>
      <c r="BK314" s="61" t="n">
        <f aca="false">IFERROR(IF(SUMPRODUCT((LEN(BF314)-LEN(SUBSTITUTE(BF314," "&amp;L_PendStrict&amp;" "," ")))/(LEN(L_PendStrict)+1))&gt;SUMPRODUCT((LEN(BF314)-LEN(SUBSTITUTE(BF314," "&amp;L_PendNeg&amp;" "," ")))/(LEN(L_PendNeg)+1)),1,0),1)</f>
        <v>0</v>
      </c>
      <c r="BL314" s="61" t="n">
        <f aca="false">IF(ISNA(MATCH(TRIM(S314),L_EvidenceType,0)),0,BZ314)</f>
        <v>0</v>
      </c>
      <c r="BM314" s="61" t="str">
        <f aca="false">SUBSTITUTE(SUBSTITUTE(SUBSTITUTE(SUBSTITUTE(SUBSTITUTE(SUBSTITUTE(SUBSTITUTE(SUBSTITUTE(SUBSTITUTE(LOWER(Z314&amp;""),"1","0"),"2","0"),"3","0"),"4","0"),"5","0"),"6","0"),"7","0"),"8","0"),"9","0")</f>
        <v/>
      </c>
      <c r="BN314" s="61" t="str">
        <f aca="false">SUBSTITUTE(SUBSTITUTE(SUBSTITUTE(SUBSTITUTE(SUBSTITUTE(SUBSTITUTE(SUBSTITUTE(SUBSTITUTE(SUBSTITUTE(SUBSTITUTE(SUBSTITUTE(SUBSTITUTE(SUBSTITUTE(SUBSTITUTE(SUBSTITUTE(SUBSTITUTE(SUBSTITUTE(SUBSTITUTE(SUBSTITUTE(SUBSTITUTE(SUBSTITUTE(SUBSTITUTE(SUBSTITUTE(SUBSTITUTE(SUBSTITUTE(BM314,"b","a"),"c","a"),"d","a"),"e","a"),"f","a"),"g","a"),"h","a"),"i","a"),"j","a"),"k","a"),"l","a"),"m","a"),"n","a"),"o","a"),"p","a"),"q","a"),"r","a"),"s","a"),"t","a"),"u","a"),"v","a"),"w","a"),"x","a"),"y","a"),"z","a")</f>
        <v/>
      </c>
      <c r="BO314" s="61" t="str">
        <f aca="false">SUBSTITUTE(SUBSTITUTE(SUBSTITUTE(SUBSTITUTE(SUBSTITUTE(SUBSTITUTE(SUBSTITUTE(SUBSTITUTE(SUBSTITUTE(LOWER(W314&amp;""),"1","0"),"2","0"),"3","0"),"4","0"),"5","0"),"6","0"),"7","0"),"8","0"),"9","0")</f>
        <v/>
      </c>
      <c r="BP314" s="61" t="str">
        <f aca="false">SUBSTITUTE(SUBSTITUTE(SUBSTITUTE(SUBSTITUTE(SUBSTITUTE(SUBSTITUTE(SUBSTITUTE(SUBSTITUTE(SUBSTITUTE(SUBSTITUTE(SUBSTITUTE(SUBSTITUTE(SUBSTITUTE(SUBSTITUTE(SUBSTITUTE(SUBSTITUTE(SUBSTITUTE(SUBSTITUTE(SUBSTITUTE(SUBSTITUTE(SUBSTITUTE(SUBSTITUTE(SUBSTITUTE(SUBSTITUTE(SUBSTITUTE(BO314,"b","a"),"c","a"),"d","a"),"e","a"),"f","a"),"g","a"),"h","a"),"i","a"),"j","a"),"k","a"),"l","a"),"m","a"),"n","a"),"o","a"),"p","a"),"q","a"),"r","a"),"s","a"),"t","a"),"u","a"),"v","a"),"w","a"),"x","a"),"y","a"),"z","a")</f>
        <v/>
      </c>
      <c r="BQ314" s="61" t="n">
        <f aca="false">IFERROR(IF(AND(ISERROR(SEARCH(" mh"," "&amp;LOWER(W314))),ISNA(MATCH(LEFT(TRIM(BP314),255),{"0000a","000a","00a","0000aa","000aa","00aa","0aa","0000aaa","000aaa","00a00","0a00","0000-0000","00:00","a00","a0","00.00.0000","00/00/0000","00-00-0000","0000-00-00","0000/00/00","0000.00.00","00.00.00","00/00/00","00-00-00","0.00.0000","0/00/0000","0-00-0000"},0)),ISNA(MATCH(LEFT(TRIM(CA314),255),{"0000a","000a","00a","0000aa","000aa","00aa","0aa","0000aaa","000aaa","00a00","0a00","0000-0000","00:00","a00","a0","00.00.0000","00/00/0000","00-00-0000","0000-00-00","0000/00/00","0000.00.00","00.00.00","00/00/00","00-00-00","0.00.0000","0/00/0000","0-00-0000"},0)),LEN(CB314)&gt;=3,NOT(OR(SUBSTITUTE(CB314,"0","")="",AND(LEN(CB314)&gt;=4,CB314=REPT(LEFT(CB314),LEN(CB314))),ISNUMBER(MATCH(CB314,{"123","1234","12345","123456","1234567","12345678","0123","01234","012345","98765","987654","54321"},0)),AND(LEN(CB314)=8,LEFT(CB314,3)="202"))),OR(AND((LEN(CA314)-LEN(SUBSTITUTE(CA314,"a","")))&gt;=1,SUMPRODUCT(--ISNUMBER(SEARCH({"a0","a-0","a_0","a/0","a.0","a#0","0a","0-a","0_a","0/a"},BP314)))&gt;0),ISNUMBER(SEARCH("000000",BP314)))),1,0),0)</f>
        <v>0</v>
      </c>
      <c r="BR314" s="61" t="n">
        <f aca="false">IFERROR(LEN(SUBSTITUTE(CC314," ",""))-SUMPRODUCT((LEN(CC314)-LEN(SUBSTITUTE(CC314," "&amp;L_Role&amp;" "," ")))/(LEN(L_Role)+1)*LEN(L_Role)),0)</f>
        <v>0</v>
      </c>
      <c r="BS314" s="61" t="n">
        <f aca="false">IFERROR(LEN(SUBSTITUTE(CD314," ",""))-SUMPRODUCT((LEN(CD314)-LEN(SUBSTITUTE(CD314," "&amp;L_Role&amp;" "," ")))/(LEN(L_Role)+1)*LEN(L_Role)),0)</f>
        <v>0</v>
      </c>
      <c r="BT3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314,"revision",""),"version",""),"jan",""),"feb",""),"mar",""),"apr",""),"may",""),"jun",""),"jul",""),"aug",""),"sep",""),"oct",""),"nov",""),"dec",""),"utc",""),"gmt",""),"myt",""),"bst",""),"rev",""),"ver",""),"b","a"),"c","a"),"d","a"),"e","a"),"f","a"),"g","a"),"h","a"),"i","a"),"j","a"),"k","a"),"l","a"),"m","a"),"n","a"),"o","a"),"p","a"),"q","a"),"r","a"),"s","a"),"t","a"),"u","a"),"v","a"),"w","a"),"x","a"),"y","a"),"z","a")</f>
        <v/>
      </c>
      <c r="BU314" s="61" t="str">
        <f aca="false">SUBSTITUTE(SUBSTITUTE(SUBSTITUTE(SUBSTITUTE(SUBSTITUTE(SUBSTITUTE(SUBSTITUTE(SUBSTITUTE(SUBSTITUTE(SUBSTITUTE(LEFT(BM314,FIND("0",BM314&amp;"0")-1),"-",""),"_",""),"/",""),".",""),"#",""),"\\",""),":","")," ",""),"(",""),")","")</f>
        <v/>
      </c>
      <c r="BV314" s="61" t="n">
        <f aca="false">IFERROR(IF(OR(SUMPRODUCT((LEN(BC314)-LEN(SUBSTITUTE(BC314," "&amp;L_NotLoaded&amp;" "," ")))/(LEN(L_NotLoaded)+1))&gt;SUMPRODUCT((LEN(BC314)-LEN(SUBSTITUTE(BC314," "&amp;L_NotLoadedNeg&amp;" "," ")))/(LEN(L_NotLoadedNeg)+1)),SUMPRODUCT((LEN(BD314)-LEN(SUBSTITUTE(BD314," "&amp;L_NotLoaded&amp;" "," ")))/(LEN(L_NotLoaded)+1))&gt;SUMPRODUCT((LEN(BD314)-LEN(SUBSTITUTE(BD314," "&amp;L_NotLoadedNeg&amp;" "," ")))/(LEN(L_NotLoadedNeg)+1))),1,0),0)</f>
        <v>0</v>
      </c>
      <c r="BW3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314&amp;""),"a",""),"b",""),"c",""),"d",""),"e",""),"f",""),"g",""),"h",""),"i",""),"j",""),"k",""),"l",""),"m",""),"n",""),"o",""),"p",""),"q",""),"r",""),"s",""),"t",""),"u",""),"v",""),"w",""),"x",""),"y",""),"z",""),"-",""),"_",""),"/",""),".",""),"#",""),"\\",""),":","")," ",""),"(",""),")","")</f>
        <v/>
      </c>
      <c r="BX314" s="61" t="str">
        <f aca="false">SUBSTITUTE(SUBSTITUTE(SUBSTITUTE(SUBSTITUTE(SUBSTITUTE(SUBSTITUTE(SUBSTITUTE(SUBSTITUTE(SUBSTITUTE(SUBSTITUTE(SUBSTITUTE(BM314,"0",""),"-",""),"_",""),"/",""),".",""),"#",""),"\\",""),":","")," ",""),"(",""),")","")</f>
        <v/>
      </c>
      <c r="BY314" s="62" t="n">
        <f aca="false">IF(ISNUMBER(Flights!$AZ$13),MAX(Q314-UpliftWindowH/24,Flights!$AZ$13),Q314-UpliftWindowH/24)</f>
        <v>46306.0034722222</v>
      </c>
      <c r="BZ314" s="61" t="n">
        <f aca="false">IFERROR(IF(IF(TRIM(S314)="Link / file path",AND(LEN(TRIM(Z314))&gt;=5,SUMPRODUCT(--ISNUMBER(SEARCH({"http","www.","\\",":\",".pdf",".jpg",".jpeg",".png",".heic",".xls",".doc",".msg",".eml",".ppt",".txt",".zip"},Z314)))&gt;0),AND(ISERROR(FIND(" ",TRIM(Z314))),NOT(OR(SUMPRODUCT(--ISNUMBER(FIND({",",";","&amp;","+"},Z314)))&gt;0,SUMPRODUCT(--ISNUMBER(SEARCH({"0/aa","0\\aa"},BN314)))&gt;0)),NOT(SUMPRODUCT(--ISNUMBER(SEARCH({"http","www.","\\",":\",".pdf",".jpg",".jpeg",".png",".heic",".xls",".doc",".msg",".eml",".ppt",".txt",".zip"},Z314)))&gt;0),NOT(LOWER(TRIM(Z314))=LOWER(Flights!$F$13)),ISNA(MATCH(BU314,{"mh","rev","revision","ver","version","v","r","a","b","seat","tray","row","gate","bay","stand","page","pg","item","line","no","cart","galley","flight","flt","table","box","bag","oven","etd","eta","std","sta","atd","ata","qty","pax","x","time","tel","ph","mob","day","wk","week","utc","gmt","myt","lt"},0)),NOT(OR(ISNUMBER(MATCH(LEFT(BN314,255),{"0000a","000a","00a","0000aa","000aa","00aa","0aa","0000aaa","000aaa","00a00","0a00","0000-0000","00:00","a00","a0","00.00.0000","00/00/0000","00-00-0000","0000-00-00","0000/00/00","0000.00.00","00.00.00","00/00/00","00-00-00","0.00.0000","0/00/0000","0-00-0000"},0)),ISNUMBER(MATCH(LEFT(BT314,255),{"0000a","000a","00a","0000aa","000aa","00aa","0aa","0000aaa","000aaa","00a00","0a00","0000-0000","00:00","a00","a0","00.00.0000","00/00/0000","00-00-0000","0000-00-00","0000/00/00","0000.00.00","00.00.00","00/00/00","00-00-00","0.00.0000","0/00/0000","0-00-0000"},0)))),NOT(OR(AND(BW314&lt;&gt;"",SUBSTITUTE(BW314,"0","")=""),AND(LEN(BW314)&gt;=4,BW314=REPT(LEFT(BW314),LEN(BW314))),ISNUMBER(MATCH(BW314,{"123","1234","12345","123456","1234567","12345678","0123","01234","012345","98765","987654","54321"},0)),ISNUMBER(MATCH(BX314,{"x","xx","xxx","xxxx","xxxxx","abc","abcd","nil","na","nan","test","tbc","tba","tbd","dummy","sample","example","eg","zz","zzz","none","null","xyz","qwe","asd","id","ref"},0)),AND(LEN(BW314)=8,BX314="",OR(LEFT(BW314,3)="202",ISNUMBER(MATCH(RIGHT(BW314,4),{"2025","2026","2027"},0)))))),OR(AND((LEN(BT314)-LEN(SUBSTITUTE(BT314,"a","")))&gt;=1,(LEN(BN314)-LEN(SUBSTITUTE(BN314,"0","")))&gt;=2,SUMPRODUCT(--ISNUMBER(SEARCH({"a0","a-0","a_0","a/0","a.0","a#0","0a","0-a","0_a","0/a"},BN314)))&gt;0),AND((LEN(BN314)-LEN(SUBSTITUTE(BN314,"a","")))=0,(LEN(BN314)-LEN(SUBSTITUTE(BN314,"0","")))&gt;=5)))),1,0),0)</f>
        <v>0</v>
      </c>
      <c r="CA3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314,"revision",""),"version",""),"jan",""),"feb",""),"mar",""),"apr",""),"may",""),"jun",""),"jul",""),"aug",""),"sep",""),"oct",""),"nov",""),"dec",""),"utc",""),"gmt",""),"myt",""),"bst",""),"rev",""),"ver",""),"b","a"),"c","a"),"d","a"),"e","a"),"f","a"),"g","a"),"h","a"),"i","a"),"j","a"),"k","a"),"l","a"),"m","a"),"n","a"),"o","a"),"p","a"),"q","a"),"r","a"),"s","a"),"t","a"),"u","a"),"v","a"),"w","a"),"x","a"),"y","a"),"z","a")</f>
        <v/>
      </c>
      <c r="CB3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314&amp;""),"a",""),"b",""),"c",""),"d",""),"e",""),"f",""),"g",""),"h",""),"i",""),"j",""),"k",""),"l",""),"m",""),"n",""),"o",""),"p",""),"q",""),"r",""),"s",""),"t",""),"u",""),"v",""),"w",""),"x",""),"y",""),"z",""),"-",""),"_",""),"/",""),".",""),"#",""),"\\",""),":","")," ",""),"(",""),")","")</f>
        <v/>
      </c>
      <c r="CC314" s="0" t="str">
        <f aca="false">" "&amp;TRIM(SUBSTITUTE(SUBSTITUTE(SUBSTITUTE(SUBSTITUTE(SUBSTITUTE(SUBSTITUTE(SUBSTITUTE(SUBSTITUTE(SUBSTITUTE(SUBSTITUTE(SUBSTITUTE(SUBSTITUTE(SUBSTITUTE(SUBSTITUTE(SUBSTITUTE(SUBSTITUTE(SUBSTITUTE(SUBSTITUTE(SUBSTITUTE(SUBSTITUTE(SUBSTITUTE(SUBSTITUTE(SUBSTITUTE(SUBSTITUTE(LOWER(T314&amp;""),CHAR(10)," "),CHAR(13)," "),CHAR(9)," "),CHAR(160)," "),"."," "),","," "),"-"," "),"/"," "),"("," "),")"," "),":"," "),";"," "),"_"," "),"–"," "),"?"," "),"!"," "),"*"," "),"["," "),"]"," "),"'"," "),"#"," "),"+"," "),"&amp;"," "),"\"," "))&amp;" "</f>
        <v>  </v>
      </c>
      <c r="CD314" s="0" t="str">
        <f aca="false">" "&amp;TRIM(SUBSTITUTE(SUBSTITUTE(SUBSTITUTE(SUBSTITUTE(SUBSTITUTE(SUBSTITUTE(SUBSTITUTE(SUBSTITUTE(SUBSTITUTE(SUBSTITUTE(SUBSTITUTE(SUBSTITUTE(SUBSTITUTE(SUBSTITUTE(SUBSTITUTE(SUBSTITUTE(SUBSTITUTE(SUBSTITUTE(SUBSTITUTE(SUBSTITUTE(SUBSTITUTE(SUBSTITUTE(SUBSTITUTE(SUBSTITUTE(LOWER(AE314&amp;""),CHAR(10)," "),CHAR(13)," "),CHAR(9)," "),CHAR(160)," "),"."," "),","," "),"-"," "),"/"," "),"("," "),")"," "),":"," "),";"," "),"_"," "),"–"," "),"?"," "),"!"," "),"*"," "),"["," "),"]"," "),"'"," "),"#"," "),"+"," "),"&amp;"," "),"\"," "))&amp;" "</f>
        <v>  </v>
      </c>
      <c r="CE314" s="68" t="n">
        <f aca="false">IFERROR(IF(AND(LEN(AU314)&gt;0,LEN(AU314)=LEN(AX314),OR(TRIM(MID(SUBSTITUTE(TRIM(CC314)," ",REPT(" ",60)),1,60))="",ISNUMBER(SEARCH(" "&amp;TRIM(MID(SUBSTITUTE(TRIM(CC314)," ",REPT(" ",60)),1,60))&amp;" ",CD314))),OR(TRIM(MID(SUBSTITUTE(TRIM(CC314)," ",REPT(" ",60)),61,60))="",ISNUMBER(SEARCH(" "&amp;TRIM(MID(SUBSTITUTE(TRIM(CC314)," ",REPT(" ",60)),61,60))&amp;" ",CD314))),OR(TRIM(MID(SUBSTITUTE(TRIM(CC314)," ",REPT(" ",60)),121,60))="",ISNUMBER(SEARCH(" "&amp;TRIM(MID(SUBSTITUTE(TRIM(CC314)," ",REPT(" ",60)),121,60))&amp;" ",CD314)))),1,0),0)</f>
        <v>0</v>
      </c>
      <c r="CG314" s="68" t="n">
        <f aca="false">IFERROR(LEN(SUBSTITUTE(BF314," ",""))-SUMPRODUCT((LEN(BF314)-LEN(SUBSTITUTE(BF314," "&amp;L_NAFiller&amp;" "," ")))/(LEN(L_NAFiller)+1)*LEN(L_NAFiller)),0)</f>
        <v>0</v>
      </c>
    </row>
    <row r="315" customFormat="false" ht="39.75" hidden="false" customHeight="true" outlineLevel="0" collapsed="false">
      <c r="A315" s="57" t="s">
        <v>904</v>
      </c>
      <c r="B315" s="57" t="s">
        <v>246</v>
      </c>
      <c r="C315" s="57" t="str">
        <f aca="false">Flights!$F$13</f>
        <v>MH0753</v>
      </c>
      <c r="D315" s="58" t="n">
        <f aca="false">Flights!$D$13</f>
        <v>46306</v>
      </c>
      <c r="E315" s="57" t="str">
        <f aca="false">Flights!$G$13&amp;"-"&amp;Flights!$H$13</f>
        <v>HAN-KUL</v>
      </c>
      <c r="F315" s="57" t="str">
        <f aca="false">Flights!$K$13</f>
        <v>BC</v>
      </c>
      <c r="G315" s="57" t="s">
        <v>459</v>
      </c>
      <c r="H315" s="57" t="s">
        <v>460</v>
      </c>
      <c r="I315" s="57" t="s">
        <v>499</v>
      </c>
      <c r="J315" s="57" t="s">
        <v>541</v>
      </c>
      <c r="K315" s="67" t="s">
        <v>501</v>
      </c>
      <c r="L315" s="67" t="s">
        <v>884</v>
      </c>
      <c r="M315" s="67" t="s">
        <v>451</v>
      </c>
      <c r="N315" s="67" t="s">
        <v>383</v>
      </c>
      <c r="O315" s="67"/>
      <c r="P315" s="57" t="s">
        <v>240</v>
      </c>
      <c r="Q315" s="59" t="n">
        <f aca="false">ROUND((Flights!$AF$13)*1440,0)/1440</f>
        <v>46306.2534722222</v>
      </c>
      <c r="R315" s="59" t="n">
        <f aca="false">Q315+(IF(AND(INDEX(TZ_DSTS,MATCH(P315,TZ_STN,0))&lt;&gt;"",Q315&gt;=INDEX(TZ_DSTS,MATCH(P315,TZ_STN,0)),Q315&lt;INDEX(TZ_DSTE,MATCH(P315,TZ_STN,0))),INDEX(TZ_DST,MATCH(P315,TZ_STN,0)),INDEX(TZ_STD,MATCH(P315,TZ_STN,0))))/24</f>
        <v>46306.5451388889</v>
      </c>
      <c r="S315" s="60"/>
      <c r="T315" s="60"/>
      <c r="U315" s="60"/>
      <c r="V315" s="60"/>
      <c r="W315" s="61"/>
      <c r="X315" s="60"/>
      <c r="Y315" s="60"/>
      <c r="Z315" s="60"/>
      <c r="AA315" s="60"/>
      <c r="AB315" s="60"/>
      <c r="AC315" s="60"/>
      <c r="AD315" s="66"/>
      <c r="AE315" s="60"/>
      <c r="AF315" s="61" t="str">
        <f aca="false">IF(AND(ISNUMBER(X315),ISNUMBER(Y315)),Y315-X315,"")</f>
        <v/>
      </c>
      <c r="AG315" s="62" t="str">
        <f aca="false">IF(ISNUMBER(AD315),AD315-(IF(AND(INDEX(TZ_DSTS,MATCH(P315,TZ_STN,0))&lt;&gt;"",(AD315-INDEX(TZ_STD,MATCH(P315,TZ_STN,0))/24)&gt;=INDEX(TZ_DSTS,MATCH(P315,TZ_STN,0)),(AD315-INDEX(TZ_STD,MATCH(P315,TZ_STN,0))/24)&lt;INDEX(TZ_DSTE,MATCH(P315,TZ_STN,0))),INDEX(TZ_DST,MATCH(P315,TZ_STN,0)),INDEX(TZ_STD,MATCH(P315,TZ_STN,0))))/24,"")</f>
        <v/>
      </c>
      <c r="AH315" s="65" t="str">
        <f aca="false">IFERROR(IF(N315="N/A – rule",IF(OR(TRIM(U315)="",TRIM(U315)="N/A",TRIM(U315)="Not started"),"N/A – RULE","INVALID – this check does not apply to this aircraft: clear the status (or correct the fleet on Flights)"),IF(TRIM(U315)="N/A",IF(AT315=0,"INVALID – N/A not permitted for this check",IF(AND(TRIM(AB315)&lt;&gt;"",TRIM(AB315)&lt;&gt;"Closed"),"INVALID – corrective action still open",IF(AND(NOT(OR(LEN(AZ315)&lt;15,ISNUMBER(MATCH(AZ315,L_Placeholder,0)))),BK315=0,CG315&gt;=8,NOT(OR(LEN(AU315)&lt;2,ISNUMBER(MATCH(AU315,L_Placeholder,0)))),BR315&gt;=3,NOT(OR(LEN(AX315)&lt;2,ISNUMBER(MATCH(AX315,L_Placeholder,0)))),BS315&gt;=3,TRIM(AE315)&lt;&gt;TRIM(T315),AX315&lt;&gt;AU315,CE315=0),"N/A – JUSTIFIED","INVALID – N/A needs a real, settled reason (not 'not applicable' / 'as above' / TBC), a named PIC and a different named verifier"))),IF(OR(TRIM(U315)="Pass",TRIM(U315)="Pass after CA"),IF(NOT(ISNUMBER(AD315)),"INVALID – completion time missing",IF(OR(OR(LEN(AU315)&lt;2,ISNUMBER(MATCH(AU315,L_Placeholder,0))),BR315&lt;3),"INVALID – PIC missing or not a named person (a role such as QA / CSM is not a name)",IF(OR(LEN(AV315)&lt;2,ISNUMBER(MATCH(AV315,L_Placeholder,0))),"INVALID – result / assessment missing",IF(OR(OR(LEN(AW315)&lt;3,ISNUMBER(MATCH(AW315,L_Placeholder,0))),SUMPRODUCT(--ISNUMBER(SEARCH(" "&amp;L_EvidencePhrase&amp;" ",BD315)))&gt;0,BI315=1),"INVALID – evidence missing, placeholder or not yet on file",IF(ISNA(MATCH(TRIM(S315),L_EvidenceType,0)),"INVALID – choose the evidence type from the list (column S)",IF(BL315=0,"INVALID – evidence ID must be the record's own ID only (e.g. SF-2210, IMG_2231, 1045521); a link / file name needs type 'Link / file path'",IF(OR(OR(LEN(AX315)&lt;2,ISNUMBER(MATCH(AX315,L_Placeholder,0))),BS315&lt;3),"INVALID – verifier missing or not a named person (a role such as QA / CSM is not a name)",IF(OR(AX315=AU315,CE315=1,AND(LEN(AU315)&gt;=4,ISNUMBER(SEARCH(AU315,AX315))),AND(LEN(AX315)&gt;=4,ISNUMBER(SEARCH(AX315,AU315)))),"INVALID – verifier must be a different, named person (not the PIC or a role)",IF(BH315=1,"INVALID – result not yet available (awaiting / TBC)",IF(BG315=1,"INVALID – result describes a problem: record Fail, then Pass after CA (or reword if it is not a problem)",IF(BV315=1,"INVALID – wording says not on board: an on-board confirmation needs the item loaded",IF(AND(AQ315=1,OR(OR(LEN(AY315)&lt;3,ISNUMBER(MATCH(AY315,L_Placeholder,0))),BJ315=1,BQ315=0)),"INVALID – batch ID missing, placeholder or not an ID (e.g. PASB-261008-BC-017)",IF(AND(AR315=1,OR(NOT(ISNUMBER(X315)),NOT(ISNUMBER(Y315)))),"INVALID – expected/actual qty missing",IF(AND(AR315=1,OR(X315&lt;=0,Y315&lt;0)),"INVALID – expected qty must be above 0 and actual not negative",IF(AH303="N/A – JUSTIFIED","INVALID – preparation row F09-T12-11 is N/A",IF(AND(AR315=1,ISNUMBER(X303),X315&lt;&gt;X303,TRIM(U315)&lt;&gt;"Pass after CA"),"INVALID – expected qty differs from preparation check F09-T12-11: record the load change as a corrective action (Pass after CA)",IF(BB315&lt;&gt;"",BB315,IF(AND(AS315=1,Documents!$J$13&lt;&gt;"ON FILE"),"INVALID – GLD not on file (Documents sheet)",IF(AND(AS315=2,Documents!$O$13&lt;&gt;"ON FILE"),"INVALID – menu checklist not on file (Documents sheet)",IF(AND(AS315=3,NOT(ISNUMBER(Flights!$AX$13))),"INVALID – enter carrying flight KUL departure (Flights AX)",IF(AND(AS315=3,OR(Flights!$AZ$13&gt;Flights!$AA$13,Flights!$AX$13&lt;Flights!$AA$13-3)),"INVALID – carrying flight (Flights AX) cannot arrive before this leg's STD, or is over 3 days early",IF(AG315&gt;AsOfUTC,"INVALID – completion time is in the future",IF(AND(ISNUMBER(BY315),AG315&lt;BY315),IF(H315="Physical uplift","INVALID – before uplift window (cannot confirm loading)","INVALID – before valid window"),IF(AG315&gt;Flights!$AA$13,"INVALID – completed after departure (cannot establish readiness)",IF(AND(H315="Preparation",AG315&gt;=IF(ISNUMBER(Flights!$BA$13),MIN(Flights!$BA$13,Flights!$AA$13),Flights!$AA$13)),"INVALID – completed after loading / departure (cannot establish readiness)",IF(AND(H315="Physical uplift",AG315&gt;Q315),"INVALID – recorded after the loading flight departed",IF(AG315&gt;Q315,"COMPLETE – LATE","COMPLETE"))))))))))))))))))))))))))),IF(TRIM(U315)="Fail","FAIL – DISCREPANCY",IF(AND(TRIM(U315)&lt;&gt;"",TRIM(U315)&lt;&gt;"Not started",TRIM(U315)&lt;&gt;"In progress"),"INVALID – unrecognised status (use the list)",IF(AsOfUTC&gt;Q315,"OVERDUE",IF(N315="Clarification required","OPEN – CLARIFICATION","OPEN"))))))),"INVALID – error value in an input cell")</f>
        <v>OPEN</v>
      </c>
      <c r="AI315" s="61" t="n">
        <f aca="false">IF(OR(AH315="N/A – RULE",AH315="N/A – JUSTIFIED"),0,1)</f>
        <v>1</v>
      </c>
      <c r="AJ315" s="61" t="n">
        <f aca="false">IF(LEFT(AH315,8)="COMPLETE",1,0)</f>
        <v>0</v>
      </c>
      <c r="AK315" s="61" t="n">
        <f aca="false">IF(AND(AI315=1,AJ315=0,AsOfUTC&gt;Q315),1,0)</f>
        <v>0</v>
      </c>
      <c r="AL315" s="61" t="n">
        <f aca="false">IFERROR(IF(AND(AI315=1,OR(TRIM(U315)="Fail",AND(TRIM(AB315)&lt;&gt;"",TRIM(AB315)&lt;&gt;"Closed"),AND(ISNUMBER(AF315),AF315&lt;&gt;0,TRIM(U315)&lt;&gt;"Pass after CA"))),1,0),1)</f>
        <v>0</v>
      </c>
      <c r="AM315" s="61" t="n">
        <f aca="false">IF(LEFT(AH315,7)="INVALID",1,0)</f>
        <v>0</v>
      </c>
      <c r="AN315" s="61" t="n">
        <f aca="false">IF(AND(N315="Clarification required",AI315=1,AJ315=0),1,0)</f>
        <v>0</v>
      </c>
      <c r="AO315" s="61" t="str">
        <f aca="false">IF(AK315=1,SUM(AK$5:AK315),"")</f>
        <v/>
      </c>
      <c r="AP315" s="61" t="str">
        <f aca="false">IF(AL315=1,SUM(AL$5:AL315),"")</f>
        <v/>
      </c>
      <c r="AQ315" s="61" t="n">
        <v>0</v>
      </c>
      <c r="AR315" s="61" t="n">
        <v>0</v>
      </c>
      <c r="AS315" s="61" t="n">
        <v>0</v>
      </c>
      <c r="AT315" s="61" t="n">
        <v>0</v>
      </c>
      <c r="AU315" s="61" t="str">
        <f aca="false">SUBSTITUTE(SUBSTITUTE(SUBSTITUTE(SUBSTITUTE(SUBSTITUTE(SUBSTITUTE(SUBSTITUTE(SUBSTITUTE(SUBSTITUTE(SUBSTITUTE(SUBSTITUTE(SUBSTITUTE(SUBSTITUTE(SUBSTITUTE(SUBSTITUTE(SUBSTITUTE(LOWER(T315&amp;""),CHAR(10),""),CHAR(13),""),CHAR(9),""),CHAR(160),"")," ",""),".",""),"-",""),"/",""),"?",""),"_",""),",",""),"[",""),"]",""),"(",""),")",""),"*","")</f>
        <v/>
      </c>
      <c r="AV315" s="61" t="str">
        <f aca="false">SUBSTITUTE(SUBSTITUTE(SUBSTITUTE(SUBSTITUTE(SUBSTITUTE(SUBSTITUTE(SUBSTITUTE(SUBSTITUTE(SUBSTITUTE(SUBSTITUTE(SUBSTITUTE(SUBSTITUTE(SUBSTITUTE(SUBSTITUTE(SUBSTITUTE(SUBSTITUTE(LOWER(V315&amp;""),CHAR(10),""),CHAR(13),""),CHAR(9),""),CHAR(160),"")," ",""),".",""),"-",""),"/",""),"?",""),"_",""),",",""),"[",""),"]",""),"(",""),")",""),"*","")</f>
        <v/>
      </c>
      <c r="AW315" s="61" t="str">
        <f aca="false">SUBSTITUTE(SUBSTITUTE(SUBSTITUTE(SUBSTITUTE(SUBSTITUTE(SUBSTITUTE(SUBSTITUTE(SUBSTITUTE(SUBSTITUTE(SUBSTITUTE(SUBSTITUTE(SUBSTITUTE(SUBSTITUTE(SUBSTITUTE(SUBSTITUTE(SUBSTITUTE(LOWER(Z315&amp;""),CHAR(10),""),CHAR(13),""),CHAR(9),""),CHAR(160),"")," ",""),".",""),"-",""),"/",""),"?",""),"_",""),",",""),"[",""),"]",""),"(",""),")",""),"*","")</f>
        <v/>
      </c>
      <c r="AX315" s="61" t="str">
        <f aca="false">SUBSTITUTE(SUBSTITUTE(SUBSTITUTE(SUBSTITUTE(SUBSTITUTE(SUBSTITUTE(SUBSTITUTE(SUBSTITUTE(SUBSTITUTE(SUBSTITUTE(SUBSTITUTE(SUBSTITUTE(SUBSTITUTE(SUBSTITUTE(SUBSTITUTE(SUBSTITUTE(LOWER(AE315&amp;""),CHAR(10),""),CHAR(13),""),CHAR(9),""),CHAR(160),"")," ",""),".",""),"-",""),"/",""),"?",""),"_",""),",",""),"[",""),"]",""),"(",""),")",""),"*","")</f>
        <v/>
      </c>
      <c r="AY315" s="61" t="str">
        <f aca="false">SUBSTITUTE(SUBSTITUTE(SUBSTITUTE(SUBSTITUTE(SUBSTITUTE(SUBSTITUTE(SUBSTITUTE(SUBSTITUTE(SUBSTITUTE(SUBSTITUTE(SUBSTITUTE(SUBSTITUTE(SUBSTITUTE(SUBSTITUTE(SUBSTITUTE(SUBSTITUTE(LOWER(W315&amp;""),CHAR(10),""),CHAR(13),""),CHAR(9),""),CHAR(160),"")," ",""),".",""),"-",""),"/",""),"?",""),"_",""),",",""),"[",""),"]",""),"(",""),")",""),"*","")</f>
        <v/>
      </c>
      <c r="AZ315" s="61" t="str">
        <f aca="false">SUBSTITUTE(SUBSTITUTE(SUBSTITUTE(SUBSTITUTE(SUBSTITUTE(SUBSTITUTE(SUBSTITUTE(SUBSTITUTE(SUBSTITUTE(SUBSTITUTE(SUBSTITUTE(SUBSTITUTE(SUBSTITUTE(SUBSTITUTE(SUBSTITUTE(SUBSTITUTE(LOWER(AC315&amp;""),CHAR(10),""),CHAR(13),""),CHAR(9),""),CHAR(160),"")," ",""),".",""),"-",""),"/",""),"?",""),"_",""),",",""),"[",""),"]",""),"(",""),")",""),"*","")</f>
        <v/>
      </c>
      <c r="BA315" s="61" t="str">
        <f aca="false">SUBSTITUTE(SUBSTITUTE(SUBSTITUTE(SUBSTITUTE(SUBSTITUTE(SUBSTITUTE(SUBSTITUTE(SUBSTITUTE(SUBSTITUTE(SUBSTITUTE(SUBSTITUTE(SUBSTITUTE(SUBSTITUTE(SUBSTITUTE(SUBSTITUTE(SUBSTITUTE(LOWER(AA315&amp;""),CHAR(10),""),CHAR(13),""),CHAR(9),""),CHAR(160),"")," ",""),".",""),"-",""),"/",""),"?",""),"_",""),",",""),"[",""),"]",""),"(",""),")",""),"*","")</f>
        <v/>
      </c>
      <c r="BB315" s="61" t="str">
        <f aca="false">IF(AND(TRIM(U315)="Pass",ISNUMBER(AF315)),IF(AF315&lt;&gt;0,"INVALID – qty variance: use Fail or Pass after CA",""),"")&amp;IF(AND(TRIM(U315)="Pass after CA",ISNUMBER(AF315)),IF(AF315&lt;&gt;0,"INVALID – after the corrective action the actual qty must equal expected (update Actual)",""),"")&amp;IF(AND(TRIM(U315)="Pass",TRIM(AB315)&lt;&gt;"",TRIM(AB315)&lt;&gt;"Closed"),"INVALID – corrective action not closed: use Fail, then Pass after CA","")&amp;IF(AND(LEN(BA315)&gt;=2,ISNA(MATCH(LEFT(BA315,255),L_Placeholder,0)),TRIM(AB315)=""),"INVALID – CA status missing for the recorded corrective action","")&amp;IF(AND(TRIM(U315)="Pass after CA",OR(OR(LEN(BA315)&lt;5,ISNUMBER(MATCH(BA315,L_Placeholder,0))),TRIM(AB315)&lt;&gt;"Closed")),"INVALID – corrective action not recorded/closed","")</f>
        <v/>
      </c>
      <c r="BC315" s="61" t="str">
        <f aca="false">" "&amp;TRIM(SUBSTITUTE(SUBSTITUTE(SUBSTITUTE(SUBSTITUTE(SUBSTITUTE(SUBSTITUTE(SUBSTITUTE(SUBSTITUTE(SUBSTITUTE(SUBSTITUTE(SUBSTITUTE(SUBSTITUTE(SUBSTITUTE(SUBSTITUTE(SUBSTITUTE(SUBSTITUTE(SUBSTITUTE(SUBSTITUTE(SUBSTITUTE(SUBSTITUTE(SUBSTITUTE(SUBSTITUTE(SUBSTITUTE(SUBSTITUTE(LOWER(V315&amp;""),CHAR(10)," "),CHAR(13)," "),CHAR(9)," "),CHAR(160)," "),"."," "),","," "),"-"," "),"/"," "),"("," "),")"," "),":"," "),";"," "),"_"," "),"–"," "),"?"," "),"!"," "),"*"," "),"["," "),"]"," "),"'"," "),"#"," "),"+"," "),"&amp;"," "),"\"," "))&amp;" "</f>
        <v>  </v>
      </c>
      <c r="BD315" s="61" t="str">
        <f aca="false">" "&amp;TRIM(SUBSTITUTE(SUBSTITUTE(SUBSTITUTE(SUBSTITUTE(SUBSTITUTE(SUBSTITUTE(SUBSTITUTE(SUBSTITUTE(SUBSTITUTE(SUBSTITUTE(SUBSTITUTE(SUBSTITUTE(SUBSTITUTE(SUBSTITUTE(SUBSTITUTE(SUBSTITUTE(SUBSTITUTE(SUBSTITUTE(SUBSTITUTE(SUBSTITUTE(SUBSTITUTE(SUBSTITUTE(SUBSTITUTE(SUBSTITUTE(LOWER(Z315&amp;""),CHAR(10)," "),CHAR(13)," "),CHAR(9)," "),CHAR(160)," "),"."," "),","," "),"-"," "),"/"," "),"("," "),")"," "),":"," "),";"," "),"_"," "),"–"," "),"?"," "),"!"," "),"*"," "),"["," "),"]"," "),"'"," "),"#"," "),"+"," "),"&amp;"," "),"\"," "))&amp;" "</f>
        <v>  </v>
      </c>
      <c r="BE315" s="61" t="str">
        <f aca="false">" "&amp;TRIM(SUBSTITUTE(SUBSTITUTE(SUBSTITUTE(SUBSTITUTE(SUBSTITUTE(SUBSTITUTE(SUBSTITUTE(SUBSTITUTE(SUBSTITUTE(SUBSTITUTE(SUBSTITUTE(SUBSTITUTE(SUBSTITUTE(SUBSTITUTE(SUBSTITUTE(SUBSTITUTE(SUBSTITUTE(SUBSTITUTE(SUBSTITUTE(SUBSTITUTE(SUBSTITUTE(SUBSTITUTE(SUBSTITUTE(SUBSTITUTE(LOWER(W315&amp;""),CHAR(10)," "),CHAR(13)," "),CHAR(9)," "),CHAR(160)," "),"."," "),","," "),"-"," "),"/"," "),"("," "),")"," "),":"," "),";"," "),"_"," "),"–"," "),"?"," "),"!"," "),"*"," "),"["," "),"]"," "),"'"," "),"#"," "),"+"," "),"&amp;"," "),"\"," "))&amp;" "</f>
        <v>  </v>
      </c>
      <c r="BF315" s="61" t="str">
        <f aca="false">" "&amp;TRIM(SUBSTITUTE(SUBSTITUTE(SUBSTITUTE(SUBSTITUTE(SUBSTITUTE(SUBSTITUTE(SUBSTITUTE(SUBSTITUTE(SUBSTITUTE(SUBSTITUTE(SUBSTITUTE(SUBSTITUTE(SUBSTITUTE(SUBSTITUTE(SUBSTITUTE(SUBSTITUTE(SUBSTITUTE(SUBSTITUTE(SUBSTITUTE(SUBSTITUTE(SUBSTITUTE(SUBSTITUTE(SUBSTITUTE(SUBSTITUTE(LOWER(AC315&amp;""),CHAR(10)," "),CHAR(13)," "),CHAR(9)," "),CHAR(160)," "),"."," "),","," "),"-"," "),"/"," "),"("," "),")"," "),":"," "),";"," "),"_"," "),"–"," "),"?"," "),"!"," "),"*"," "),"["," "),"]"," "),"'"," "),"#"," "),"+"," "),"&amp;"," "),"\"," "))&amp;" "</f>
        <v>  </v>
      </c>
      <c r="BG315" s="61" t="n">
        <f aca="false">IFERROR(IF(AND(TRIM(U315)="Pass",SUMPRODUCT((LEN(BC315)-LEN(SUBSTITUTE(BC315," "&amp;L_ResultBad&amp;" "," ")))/(LEN(L_ResultBad)+1))&gt;SUMPRODUCT((LEN(BC315)-LEN(SUBSTITUTE(BC315," "&amp;L_NegPhrase&amp;" "," ")))/(LEN(L_NegPhrase)+1))),1,0),0)</f>
        <v>0</v>
      </c>
      <c r="BH315" s="61" t="n">
        <f aca="false">IFERROR(IF(SUMPRODUCT((LEN(BC315)-LEN(SUBSTITUTE(BC315," "&amp;L_Pending&amp;" "," ")))/(LEN(L_Pending)+1))&gt;SUMPRODUCT((LEN(BC315)-LEN(SUBSTITUTE(BC315," "&amp;L_PendNeg&amp;" "," ")))/(LEN(L_PendNeg)+1)),1,0),1)</f>
        <v>0</v>
      </c>
      <c r="BI315" s="61" t="n">
        <f aca="false">IFERROR(IF(SUMPRODUCT((LEN(BD315)-LEN(SUBSTITUTE(BD315," "&amp;L_PendStrict&amp;" "," ")))/(LEN(L_PendStrict)+1))&gt;SUMPRODUCT((LEN(BD315)-LEN(SUBSTITUTE(BD315," "&amp;L_PendNeg&amp;" "," ")))/(LEN(L_PendNeg)+1)),1,0),1)</f>
        <v>0</v>
      </c>
      <c r="BJ315" s="61" t="n">
        <f aca="false">IFERROR(IF(SUMPRODUCT((LEN(BE315)-LEN(SUBSTITUTE(BE315," "&amp;L_Pending&amp;" "," ")))/(LEN(L_Pending)+1))&gt;SUMPRODUCT((LEN(BE315)-LEN(SUBSTITUTE(BE315," "&amp;L_PendNeg&amp;" "," ")))/(LEN(L_PendNeg)+1)),1,0),1)</f>
        <v>0</v>
      </c>
      <c r="BK315" s="61" t="n">
        <f aca="false">IFERROR(IF(SUMPRODUCT((LEN(BF315)-LEN(SUBSTITUTE(BF315," "&amp;L_PendStrict&amp;" "," ")))/(LEN(L_PendStrict)+1))&gt;SUMPRODUCT((LEN(BF315)-LEN(SUBSTITUTE(BF315," "&amp;L_PendNeg&amp;" "," ")))/(LEN(L_PendNeg)+1)),1,0),1)</f>
        <v>0</v>
      </c>
      <c r="BL315" s="61" t="n">
        <f aca="false">IF(ISNA(MATCH(TRIM(S315),L_EvidenceType,0)),0,BZ315)</f>
        <v>0</v>
      </c>
      <c r="BM315" s="61" t="str">
        <f aca="false">SUBSTITUTE(SUBSTITUTE(SUBSTITUTE(SUBSTITUTE(SUBSTITUTE(SUBSTITUTE(SUBSTITUTE(SUBSTITUTE(SUBSTITUTE(LOWER(Z315&amp;""),"1","0"),"2","0"),"3","0"),"4","0"),"5","0"),"6","0"),"7","0"),"8","0"),"9","0")</f>
        <v/>
      </c>
      <c r="BN315" s="61" t="str">
        <f aca="false">SUBSTITUTE(SUBSTITUTE(SUBSTITUTE(SUBSTITUTE(SUBSTITUTE(SUBSTITUTE(SUBSTITUTE(SUBSTITUTE(SUBSTITUTE(SUBSTITUTE(SUBSTITUTE(SUBSTITUTE(SUBSTITUTE(SUBSTITUTE(SUBSTITUTE(SUBSTITUTE(SUBSTITUTE(SUBSTITUTE(SUBSTITUTE(SUBSTITUTE(SUBSTITUTE(SUBSTITUTE(SUBSTITUTE(SUBSTITUTE(SUBSTITUTE(BM315,"b","a"),"c","a"),"d","a"),"e","a"),"f","a"),"g","a"),"h","a"),"i","a"),"j","a"),"k","a"),"l","a"),"m","a"),"n","a"),"o","a"),"p","a"),"q","a"),"r","a"),"s","a"),"t","a"),"u","a"),"v","a"),"w","a"),"x","a"),"y","a"),"z","a")</f>
        <v/>
      </c>
      <c r="BO315" s="61" t="str">
        <f aca="false">SUBSTITUTE(SUBSTITUTE(SUBSTITUTE(SUBSTITUTE(SUBSTITUTE(SUBSTITUTE(SUBSTITUTE(SUBSTITUTE(SUBSTITUTE(LOWER(W315&amp;""),"1","0"),"2","0"),"3","0"),"4","0"),"5","0"),"6","0"),"7","0"),"8","0"),"9","0")</f>
        <v/>
      </c>
      <c r="BP315" s="61" t="str">
        <f aca="false">SUBSTITUTE(SUBSTITUTE(SUBSTITUTE(SUBSTITUTE(SUBSTITUTE(SUBSTITUTE(SUBSTITUTE(SUBSTITUTE(SUBSTITUTE(SUBSTITUTE(SUBSTITUTE(SUBSTITUTE(SUBSTITUTE(SUBSTITUTE(SUBSTITUTE(SUBSTITUTE(SUBSTITUTE(SUBSTITUTE(SUBSTITUTE(SUBSTITUTE(SUBSTITUTE(SUBSTITUTE(SUBSTITUTE(SUBSTITUTE(SUBSTITUTE(BO315,"b","a"),"c","a"),"d","a"),"e","a"),"f","a"),"g","a"),"h","a"),"i","a"),"j","a"),"k","a"),"l","a"),"m","a"),"n","a"),"o","a"),"p","a"),"q","a"),"r","a"),"s","a"),"t","a"),"u","a"),"v","a"),"w","a"),"x","a"),"y","a"),"z","a")</f>
        <v/>
      </c>
      <c r="BQ315" s="61" t="n">
        <f aca="false">IFERROR(IF(AND(ISERROR(SEARCH(" mh"," "&amp;LOWER(W315))),ISNA(MATCH(LEFT(TRIM(BP315),255),{"0000a","000a","00a","0000aa","000aa","00aa","0aa","0000aaa","000aaa","00a00","0a00","0000-0000","00:00","a00","a0","00.00.0000","00/00/0000","00-00-0000","0000-00-00","0000/00/00","0000.00.00","00.00.00","00/00/00","00-00-00","0.00.0000","0/00/0000","0-00-0000"},0)),ISNA(MATCH(LEFT(TRIM(CA315),255),{"0000a","000a","00a","0000aa","000aa","00aa","0aa","0000aaa","000aaa","00a00","0a00","0000-0000","00:00","a00","a0","00.00.0000","00/00/0000","00-00-0000","0000-00-00","0000/00/00","0000.00.00","00.00.00","00/00/00","00-00-00","0.00.0000","0/00/0000","0-00-0000"},0)),LEN(CB315)&gt;=3,NOT(OR(SUBSTITUTE(CB315,"0","")="",AND(LEN(CB315)&gt;=4,CB315=REPT(LEFT(CB315),LEN(CB315))),ISNUMBER(MATCH(CB315,{"123","1234","12345","123456","1234567","12345678","0123","01234","012345","98765","987654","54321"},0)),AND(LEN(CB315)=8,LEFT(CB315,3)="202"))),OR(AND((LEN(CA315)-LEN(SUBSTITUTE(CA315,"a","")))&gt;=1,SUMPRODUCT(--ISNUMBER(SEARCH({"a0","a-0","a_0","a/0","a.0","a#0","0a","0-a","0_a","0/a"},BP315)))&gt;0),ISNUMBER(SEARCH("000000",BP315)))),1,0),0)</f>
        <v>0</v>
      </c>
      <c r="BR315" s="61" t="n">
        <f aca="false">IFERROR(LEN(SUBSTITUTE(CC315," ",""))-SUMPRODUCT((LEN(CC315)-LEN(SUBSTITUTE(CC315," "&amp;L_Role&amp;" "," ")))/(LEN(L_Role)+1)*LEN(L_Role)),0)</f>
        <v>0</v>
      </c>
      <c r="BS315" s="61" t="n">
        <f aca="false">IFERROR(LEN(SUBSTITUTE(CD315," ",""))-SUMPRODUCT((LEN(CD315)-LEN(SUBSTITUTE(CD315," "&amp;L_Role&amp;" "," ")))/(LEN(L_Role)+1)*LEN(L_Role)),0)</f>
        <v>0</v>
      </c>
      <c r="BT3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315,"revision",""),"version",""),"jan",""),"feb",""),"mar",""),"apr",""),"may",""),"jun",""),"jul",""),"aug",""),"sep",""),"oct",""),"nov",""),"dec",""),"utc",""),"gmt",""),"myt",""),"bst",""),"rev",""),"ver",""),"b","a"),"c","a"),"d","a"),"e","a"),"f","a"),"g","a"),"h","a"),"i","a"),"j","a"),"k","a"),"l","a"),"m","a"),"n","a"),"o","a"),"p","a"),"q","a"),"r","a"),"s","a"),"t","a"),"u","a"),"v","a"),"w","a"),"x","a"),"y","a"),"z","a")</f>
        <v/>
      </c>
      <c r="BU315" s="61" t="str">
        <f aca="false">SUBSTITUTE(SUBSTITUTE(SUBSTITUTE(SUBSTITUTE(SUBSTITUTE(SUBSTITUTE(SUBSTITUTE(SUBSTITUTE(SUBSTITUTE(SUBSTITUTE(LEFT(BM315,FIND("0",BM315&amp;"0")-1),"-",""),"_",""),"/",""),".",""),"#",""),"\\",""),":","")," ",""),"(",""),")","")</f>
        <v/>
      </c>
      <c r="BV315" s="61" t="n">
        <f aca="false">IFERROR(IF(OR(SUMPRODUCT((LEN(BC315)-LEN(SUBSTITUTE(BC315," "&amp;L_NotLoaded&amp;" "," ")))/(LEN(L_NotLoaded)+1))&gt;SUMPRODUCT((LEN(BC315)-LEN(SUBSTITUTE(BC315," "&amp;L_NotLoadedNeg&amp;" "," ")))/(LEN(L_NotLoadedNeg)+1)),SUMPRODUCT((LEN(BD315)-LEN(SUBSTITUTE(BD315," "&amp;L_NotLoaded&amp;" "," ")))/(LEN(L_NotLoaded)+1))&gt;SUMPRODUCT((LEN(BD315)-LEN(SUBSTITUTE(BD315," "&amp;L_NotLoadedNeg&amp;" "," ")))/(LEN(L_NotLoadedNeg)+1))),1,0),0)</f>
        <v>0</v>
      </c>
      <c r="BW3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315&amp;""),"a",""),"b",""),"c",""),"d",""),"e",""),"f",""),"g",""),"h",""),"i",""),"j",""),"k",""),"l",""),"m",""),"n",""),"o",""),"p",""),"q",""),"r",""),"s",""),"t",""),"u",""),"v",""),"w",""),"x",""),"y",""),"z",""),"-",""),"_",""),"/",""),".",""),"#",""),"\\",""),":","")," ",""),"(",""),")","")</f>
        <v/>
      </c>
      <c r="BX315" s="61" t="str">
        <f aca="false">SUBSTITUTE(SUBSTITUTE(SUBSTITUTE(SUBSTITUTE(SUBSTITUTE(SUBSTITUTE(SUBSTITUTE(SUBSTITUTE(SUBSTITUTE(SUBSTITUTE(SUBSTITUTE(BM315,"0",""),"-",""),"_",""),"/",""),".",""),"#",""),"\\",""),":","")," ",""),"(",""),")","")</f>
        <v/>
      </c>
      <c r="BY315" s="62" t="n">
        <f aca="false">IF(ISNUMBER(Flights!$AZ$13),MAX(Q315-UpliftWindowH/24,Flights!$AZ$13),Q315-UpliftWindowH/24)</f>
        <v>46306.0034722222</v>
      </c>
      <c r="BZ315" s="61" t="n">
        <f aca="false">IFERROR(IF(IF(TRIM(S315)="Link / file path",AND(LEN(TRIM(Z315))&gt;=5,SUMPRODUCT(--ISNUMBER(SEARCH({"http","www.","\\",":\",".pdf",".jpg",".jpeg",".png",".heic",".xls",".doc",".msg",".eml",".ppt",".txt",".zip"},Z315)))&gt;0),AND(ISERROR(FIND(" ",TRIM(Z315))),NOT(OR(SUMPRODUCT(--ISNUMBER(FIND({",",";","&amp;","+"},Z315)))&gt;0,SUMPRODUCT(--ISNUMBER(SEARCH({"0/aa","0\\aa"},BN315)))&gt;0)),NOT(SUMPRODUCT(--ISNUMBER(SEARCH({"http","www.","\\",":\",".pdf",".jpg",".jpeg",".png",".heic",".xls",".doc",".msg",".eml",".ppt",".txt",".zip"},Z315)))&gt;0),NOT(LOWER(TRIM(Z315))=LOWER(Flights!$F$13)),ISNA(MATCH(BU315,{"mh","rev","revision","ver","version","v","r","a","b","seat","tray","row","gate","bay","stand","page","pg","item","line","no","cart","galley","flight","flt","table","box","bag","oven","etd","eta","std","sta","atd","ata","qty","pax","x","time","tel","ph","mob","day","wk","week","utc","gmt","myt","lt"},0)),NOT(OR(ISNUMBER(MATCH(LEFT(BN315,255),{"0000a","000a","00a","0000aa","000aa","00aa","0aa","0000aaa","000aaa","00a00","0a00","0000-0000","00:00","a00","a0","00.00.0000","00/00/0000","00-00-0000","0000-00-00","0000/00/00","0000.00.00","00.00.00","00/00/00","00-00-00","0.00.0000","0/00/0000","0-00-0000"},0)),ISNUMBER(MATCH(LEFT(BT315,255),{"0000a","000a","00a","0000aa","000aa","00aa","0aa","0000aaa","000aaa","00a00","0a00","0000-0000","00:00","a00","a0","00.00.0000","00/00/0000","00-00-0000","0000-00-00","0000/00/00","0000.00.00","00.00.00","00/00/00","00-00-00","0.00.0000","0/00/0000","0-00-0000"},0)))),NOT(OR(AND(BW315&lt;&gt;"",SUBSTITUTE(BW315,"0","")=""),AND(LEN(BW315)&gt;=4,BW315=REPT(LEFT(BW315),LEN(BW315))),ISNUMBER(MATCH(BW315,{"123","1234","12345","123456","1234567","12345678","0123","01234","012345","98765","987654","54321"},0)),ISNUMBER(MATCH(BX315,{"x","xx","xxx","xxxx","xxxxx","abc","abcd","nil","na","nan","test","tbc","tba","tbd","dummy","sample","example","eg","zz","zzz","none","null","xyz","qwe","asd","id","ref"},0)),AND(LEN(BW315)=8,BX315="",OR(LEFT(BW315,3)="202",ISNUMBER(MATCH(RIGHT(BW315,4),{"2025","2026","2027"},0)))))),OR(AND((LEN(BT315)-LEN(SUBSTITUTE(BT315,"a","")))&gt;=1,(LEN(BN315)-LEN(SUBSTITUTE(BN315,"0","")))&gt;=2,SUMPRODUCT(--ISNUMBER(SEARCH({"a0","a-0","a_0","a/0","a.0","a#0","0a","0-a","0_a","0/a"},BN315)))&gt;0),AND((LEN(BN315)-LEN(SUBSTITUTE(BN315,"a","")))=0,(LEN(BN315)-LEN(SUBSTITUTE(BN315,"0","")))&gt;=5)))),1,0),0)</f>
        <v>0</v>
      </c>
      <c r="CA3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315,"revision",""),"version",""),"jan",""),"feb",""),"mar",""),"apr",""),"may",""),"jun",""),"jul",""),"aug",""),"sep",""),"oct",""),"nov",""),"dec",""),"utc",""),"gmt",""),"myt",""),"bst",""),"rev",""),"ver",""),"b","a"),"c","a"),"d","a"),"e","a"),"f","a"),"g","a"),"h","a"),"i","a"),"j","a"),"k","a"),"l","a"),"m","a"),"n","a"),"o","a"),"p","a"),"q","a"),"r","a"),"s","a"),"t","a"),"u","a"),"v","a"),"w","a"),"x","a"),"y","a"),"z","a")</f>
        <v/>
      </c>
      <c r="CB3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315&amp;""),"a",""),"b",""),"c",""),"d",""),"e",""),"f",""),"g",""),"h",""),"i",""),"j",""),"k",""),"l",""),"m",""),"n",""),"o",""),"p",""),"q",""),"r",""),"s",""),"t",""),"u",""),"v",""),"w",""),"x",""),"y",""),"z",""),"-",""),"_",""),"/",""),".",""),"#",""),"\\",""),":","")," ",""),"(",""),")","")</f>
        <v/>
      </c>
      <c r="CC315" s="0" t="str">
        <f aca="false">" "&amp;TRIM(SUBSTITUTE(SUBSTITUTE(SUBSTITUTE(SUBSTITUTE(SUBSTITUTE(SUBSTITUTE(SUBSTITUTE(SUBSTITUTE(SUBSTITUTE(SUBSTITUTE(SUBSTITUTE(SUBSTITUTE(SUBSTITUTE(SUBSTITUTE(SUBSTITUTE(SUBSTITUTE(SUBSTITUTE(SUBSTITUTE(SUBSTITUTE(SUBSTITUTE(SUBSTITUTE(SUBSTITUTE(SUBSTITUTE(SUBSTITUTE(LOWER(T315&amp;""),CHAR(10)," "),CHAR(13)," "),CHAR(9)," "),CHAR(160)," "),"."," "),","," "),"-"," "),"/"," "),"("," "),")"," "),":"," "),";"," "),"_"," "),"–"," "),"?"," "),"!"," "),"*"," "),"["," "),"]"," "),"'"," "),"#"," "),"+"," "),"&amp;"," "),"\"," "))&amp;" "</f>
        <v>  </v>
      </c>
      <c r="CD315" s="0" t="str">
        <f aca="false">" "&amp;TRIM(SUBSTITUTE(SUBSTITUTE(SUBSTITUTE(SUBSTITUTE(SUBSTITUTE(SUBSTITUTE(SUBSTITUTE(SUBSTITUTE(SUBSTITUTE(SUBSTITUTE(SUBSTITUTE(SUBSTITUTE(SUBSTITUTE(SUBSTITUTE(SUBSTITUTE(SUBSTITUTE(SUBSTITUTE(SUBSTITUTE(SUBSTITUTE(SUBSTITUTE(SUBSTITUTE(SUBSTITUTE(SUBSTITUTE(SUBSTITUTE(LOWER(AE315&amp;""),CHAR(10)," "),CHAR(13)," "),CHAR(9)," "),CHAR(160)," "),"."," "),","," "),"-"," "),"/"," "),"("," "),")"," "),":"," "),";"," "),"_"," "),"–"," "),"?"," "),"!"," "),"*"," "),"["," "),"]"," "),"'"," "),"#"," "),"+"," "),"&amp;"," "),"\"," "))&amp;" "</f>
        <v>  </v>
      </c>
      <c r="CE315" s="68" t="n">
        <f aca="false">IFERROR(IF(AND(LEN(AU315)&gt;0,LEN(AU315)=LEN(AX315),OR(TRIM(MID(SUBSTITUTE(TRIM(CC315)," ",REPT(" ",60)),1,60))="",ISNUMBER(SEARCH(" "&amp;TRIM(MID(SUBSTITUTE(TRIM(CC315)," ",REPT(" ",60)),1,60))&amp;" ",CD315))),OR(TRIM(MID(SUBSTITUTE(TRIM(CC315)," ",REPT(" ",60)),61,60))="",ISNUMBER(SEARCH(" "&amp;TRIM(MID(SUBSTITUTE(TRIM(CC315)," ",REPT(" ",60)),61,60))&amp;" ",CD315))),OR(TRIM(MID(SUBSTITUTE(TRIM(CC315)," ",REPT(" ",60)),121,60))="",ISNUMBER(SEARCH(" "&amp;TRIM(MID(SUBSTITUTE(TRIM(CC315)," ",REPT(" ",60)),121,60))&amp;" ",CD315)))),1,0),0)</f>
        <v>0</v>
      </c>
      <c r="CG315" s="68" t="n">
        <f aca="false">IFERROR(LEN(SUBSTITUTE(BF315," ",""))-SUMPRODUCT((LEN(BF315)-LEN(SUBSTITUTE(BF315," "&amp;L_NAFiller&amp;" "," ")))/(LEN(L_NAFiller)+1)*LEN(L_NAFiller)),0)</f>
        <v>0</v>
      </c>
    </row>
    <row r="316" customFormat="false" ht="78.75" hidden="false" customHeight="true" outlineLevel="0" collapsed="false">
      <c r="A316" s="57" t="s">
        <v>905</v>
      </c>
      <c r="B316" s="57" t="s">
        <v>246</v>
      </c>
      <c r="C316" s="57" t="str">
        <f aca="false">Flights!$F$13</f>
        <v>MH0753</v>
      </c>
      <c r="D316" s="58" t="n">
        <f aca="false">Flights!$D$13</f>
        <v>46306</v>
      </c>
      <c r="E316" s="57" t="str">
        <f aca="false">Flights!$G$13&amp;"-"&amp;Flights!$H$13</f>
        <v>HAN-KUL</v>
      </c>
      <c r="F316" s="57" t="str">
        <f aca="false">Flights!$K$13</f>
        <v>BC</v>
      </c>
      <c r="G316" s="57" t="s">
        <v>459</v>
      </c>
      <c r="H316" s="57" t="s">
        <v>460</v>
      </c>
      <c r="I316" s="57" t="s">
        <v>499</v>
      </c>
      <c r="J316" s="57" t="s">
        <v>543</v>
      </c>
      <c r="K316" s="67" t="s">
        <v>501</v>
      </c>
      <c r="L316" s="67" t="s">
        <v>886</v>
      </c>
      <c r="M316" s="67" t="s">
        <v>451</v>
      </c>
      <c r="N316" s="67" t="s">
        <v>444</v>
      </c>
      <c r="O316" s="67" t="s">
        <v>544</v>
      </c>
      <c r="P316" s="57" t="s">
        <v>240</v>
      </c>
      <c r="Q316" s="59" t="n">
        <f aca="false">ROUND((Flights!$AF$13)*1440,0)/1440</f>
        <v>46306.2534722222</v>
      </c>
      <c r="R316" s="59" t="n">
        <f aca="false">Q316+(IF(AND(INDEX(TZ_DSTS,MATCH(P316,TZ_STN,0))&lt;&gt;"",Q316&gt;=INDEX(TZ_DSTS,MATCH(P316,TZ_STN,0)),Q316&lt;INDEX(TZ_DSTE,MATCH(P316,TZ_STN,0))),INDEX(TZ_DST,MATCH(P316,TZ_STN,0)),INDEX(TZ_STD,MATCH(P316,TZ_STN,0))))/24</f>
        <v>46306.5451388889</v>
      </c>
      <c r="S316" s="60"/>
      <c r="T316" s="60"/>
      <c r="U316" s="60"/>
      <c r="V316" s="60"/>
      <c r="W316" s="61"/>
      <c r="X316" s="60"/>
      <c r="Y316" s="60"/>
      <c r="Z316" s="60"/>
      <c r="AA316" s="60"/>
      <c r="AB316" s="60"/>
      <c r="AC316" s="60"/>
      <c r="AD316" s="66"/>
      <c r="AE316" s="60"/>
      <c r="AF316" s="61" t="str">
        <f aca="false">IF(AND(ISNUMBER(X316),ISNUMBER(Y316)),Y316-X316,"")</f>
        <v/>
      </c>
      <c r="AG316" s="62" t="str">
        <f aca="false">IF(ISNUMBER(AD316),AD316-(IF(AND(INDEX(TZ_DSTS,MATCH(P316,TZ_STN,0))&lt;&gt;"",(AD316-INDEX(TZ_STD,MATCH(P316,TZ_STN,0))/24)&gt;=INDEX(TZ_DSTS,MATCH(P316,TZ_STN,0)),(AD316-INDEX(TZ_STD,MATCH(P316,TZ_STN,0))/24)&lt;INDEX(TZ_DSTE,MATCH(P316,TZ_STN,0))),INDEX(TZ_DST,MATCH(P316,TZ_STN,0)),INDEX(TZ_STD,MATCH(P316,TZ_STN,0))))/24,"")</f>
        <v/>
      </c>
      <c r="AH316" s="65" t="str">
        <f aca="false">IFERROR(IF(N316="N/A – rule",IF(OR(TRIM(U316)="",TRIM(U316)="N/A",TRIM(U316)="Not started"),"N/A – RULE","INVALID – this check does not apply to this aircraft: clear the status (or correct the fleet on Flights)"),IF(TRIM(U316)="N/A",IF(AT316=0,"INVALID – N/A not permitted for this check",IF(AND(TRIM(AB316)&lt;&gt;"",TRIM(AB316)&lt;&gt;"Closed"),"INVALID – corrective action still open",IF(AND(NOT(OR(LEN(AZ316)&lt;15,ISNUMBER(MATCH(AZ316,L_Placeholder,0)))),BK316=0,CG316&gt;=8,NOT(OR(LEN(AU316)&lt;2,ISNUMBER(MATCH(AU316,L_Placeholder,0)))),BR316&gt;=3,NOT(OR(LEN(AX316)&lt;2,ISNUMBER(MATCH(AX316,L_Placeholder,0)))),BS316&gt;=3,TRIM(AE316)&lt;&gt;TRIM(T316),AX316&lt;&gt;AU316,CE316=0),"N/A – JUSTIFIED","INVALID – N/A needs a real, settled reason (not 'not applicable' / 'as above' / TBC), a named PIC and a different named verifier"))),IF(OR(TRIM(U316)="Pass",TRIM(U316)="Pass after CA"),IF(NOT(ISNUMBER(AD316)),"INVALID – completion time missing",IF(OR(OR(LEN(AU316)&lt;2,ISNUMBER(MATCH(AU316,L_Placeholder,0))),BR316&lt;3),"INVALID – PIC missing or not a named person (a role such as QA / CSM is not a name)",IF(OR(LEN(AV316)&lt;2,ISNUMBER(MATCH(AV316,L_Placeholder,0))),"INVALID – result / assessment missing",IF(OR(OR(LEN(AW316)&lt;3,ISNUMBER(MATCH(AW316,L_Placeholder,0))),SUMPRODUCT(--ISNUMBER(SEARCH(" "&amp;L_EvidencePhrase&amp;" ",BD316)))&gt;0,BI316=1),"INVALID – evidence missing, placeholder or not yet on file",IF(ISNA(MATCH(TRIM(S316),L_EvidenceType,0)),"INVALID – choose the evidence type from the list (column S)",IF(BL316=0,"INVALID – evidence ID must be the record's own ID only (e.g. SF-2210, IMG_2231, 1045521); a link / file name needs type 'Link / file path'",IF(OR(OR(LEN(AX316)&lt;2,ISNUMBER(MATCH(AX316,L_Placeholder,0))),BS316&lt;3),"INVALID – verifier missing or not a named person (a role such as QA / CSM is not a name)",IF(OR(AX316=AU316,CE316=1,AND(LEN(AU316)&gt;=4,ISNUMBER(SEARCH(AU316,AX316))),AND(LEN(AX316)&gt;=4,ISNUMBER(SEARCH(AX316,AU316)))),"INVALID – verifier must be a different, named person (not the PIC or a role)",IF(BH316=1,"INVALID – result not yet available (awaiting / TBC)",IF(BG316=1,"INVALID – result describes a problem: record Fail, then Pass after CA (or reword if it is not a problem)",IF(BV316=1,"INVALID – wording says not on board: an on-board confirmation needs the item loaded",IF(AND(AQ316=1,OR(OR(LEN(AY316)&lt;3,ISNUMBER(MATCH(AY316,L_Placeholder,0))),BJ316=1,BQ316=0)),"INVALID – batch ID missing, placeholder or not an ID (e.g. PASB-261008-BC-017)",IF(AND(AR316=1,OR(NOT(ISNUMBER(X316)),NOT(ISNUMBER(Y316)))),"INVALID – expected/actual qty missing",IF(AND(AR316=1,OR(X316&lt;=0,Y316&lt;0)),"INVALID – expected qty must be above 0 and actual not negative",IF(AH304="N/A – JUSTIFIED","INVALID – preparation row F09-T12-12 is N/A",IF(AND(AR316=1,ISNUMBER(X304),X316&lt;&gt;X304,TRIM(U316)&lt;&gt;"Pass after CA"),"INVALID – expected qty differs from preparation check F09-T12-12: record the load change as a corrective action (Pass after CA)",IF(BB316&lt;&gt;"",BB316,IF(AND(AS316=1,Documents!$J$13&lt;&gt;"ON FILE"),"INVALID – GLD not on file (Documents sheet)",IF(AND(AS316=2,Documents!$O$13&lt;&gt;"ON FILE"),"INVALID – menu checklist not on file (Documents sheet)",IF(AND(AS316=3,NOT(ISNUMBER(Flights!$AX$13))),"INVALID – enter carrying flight KUL departure (Flights AX)",IF(AND(AS316=3,OR(Flights!$AZ$13&gt;Flights!$AA$13,Flights!$AX$13&lt;Flights!$AA$13-3)),"INVALID – carrying flight (Flights AX) cannot arrive before this leg's STD, or is over 3 days early",IF(AG316&gt;AsOfUTC,"INVALID – completion time is in the future",IF(AND(ISNUMBER(BY316),AG316&lt;BY316),IF(H316="Physical uplift","INVALID – before uplift window (cannot confirm loading)","INVALID – before valid window"),IF(AG316&gt;Flights!$AA$13,"INVALID – completed after departure (cannot establish readiness)",IF(AND(H316="Preparation",AG316&gt;=IF(ISNUMBER(Flights!$BA$13),MIN(Flights!$BA$13,Flights!$AA$13),Flights!$AA$13)),"INVALID – completed after loading / departure (cannot establish readiness)",IF(AND(H316="Physical uplift",AG316&gt;Q316),"INVALID – recorded after the loading flight departed",IF(AG316&gt;Q316,"COMPLETE – LATE","COMPLETE"))))))))))))))))))))))))))),IF(TRIM(U316)="Fail","FAIL – DISCREPANCY",IF(AND(TRIM(U316)&lt;&gt;"",TRIM(U316)&lt;&gt;"Not started",TRIM(U316)&lt;&gt;"In progress"),"INVALID – unrecognised status (use the list)",IF(AsOfUTC&gt;Q316,"OVERDUE",IF(N316="Clarification required","OPEN – CLARIFICATION","OPEN"))))))),"INVALID – error value in an input cell")</f>
        <v>OPEN – CLARIFICATION</v>
      </c>
      <c r="AI316" s="61" t="n">
        <f aca="false">IF(OR(AH316="N/A – RULE",AH316="N/A – JUSTIFIED"),0,1)</f>
        <v>1</v>
      </c>
      <c r="AJ316" s="61" t="n">
        <f aca="false">IF(LEFT(AH316,8)="COMPLETE",1,0)</f>
        <v>0</v>
      </c>
      <c r="AK316" s="61" t="n">
        <f aca="false">IF(AND(AI316=1,AJ316=0,AsOfUTC&gt;Q316),1,0)</f>
        <v>0</v>
      </c>
      <c r="AL316" s="61" t="n">
        <f aca="false">IFERROR(IF(AND(AI316=1,OR(TRIM(U316)="Fail",AND(TRIM(AB316)&lt;&gt;"",TRIM(AB316)&lt;&gt;"Closed"),AND(ISNUMBER(AF316),AF316&lt;&gt;0,TRIM(U316)&lt;&gt;"Pass after CA"))),1,0),1)</f>
        <v>0</v>
      </c>
      <c r="AM316" s="61" t="n">
        <f aca="false">IF(LEFT(AH316,7)="INVALID",1,0)</f>
        <v>0</v>
      </c>
      <c r="AN316" s="61" t="n">
        <f aca="false">IF(AND(N316="Clarification required",AI316=1,AJ316=0),1,0)</f>
        <v>1</v>
      </c>
      <c r="AO316" s="61" t="str">
        <f aca="false">IF(AK316=1,SUM(AK$5:AK316),"")</f>
        <v/>
      </c>
      <c r="AP316" s="61" t="str">
        <f aca="false">IF(AL316=1,SUM(AL$5:AL316),"")</f>
        <v/>
      </c>
      <c r="AQ316" s="61" t="n">
        <v>0</v>
      </c>
      <c r="AR316" s="61" t="n">
        <v>0</v>
      </c>
      <c r="AS316" s="61" t="n">
        <v>0</v>
      </c>
      <c r="AT316" s="61" t="n">
        <v>1</v>
      </c>
      <c r="AU316" s="61" t="str">
        <f aca="false">SUBSTITUTE(SUBSTITUTE(SUBSTITUTE(SUBSTITUTE(SUBSTITUTE(SUBSTITUTE(SUBSTITUTE(SUBSTITUTE(SUBSTITUTE(SUBSTITUTE(SUBSTITUTE(SUBSTITUTE(SUBSTITUTE(SUBSTITUTE(SUBSTITUTE(SUBSTITUTE(LOWER(T316&amp;""),CHAR(10),""),CHAR(13),""),CHAR(9),""),CHAR(160),"")," ",""),".",""),"-",""),"/",""),"?",""),"_",""),",",""),"[",""),"]",""),"(",""),")",""),"*","")</f>
        <v/>
      </c>
      <c r="AV316" s="61" t="str">
        <f aca="false">SUBSTITUTE(SUBSTITUTE(SUBSTITUTE(SUBSTITUTE(SUBSTITUTE(SUBSTITUTE(SUBSTITUTE(SUBSTITUTE(SUBSTITUTE(SUBSTITUTE(SUBSTITUTE(SUBSTITUTE(SUBSTITUTE(SUBSTITUTE(SUBSTITUTE(SUBSTITUTE(LOWER(V316&amp;""),CHAR(10),""),CHAR(13),""),CHAR(9),""),CHAR(160),"")," ",""),".",""),"-",""),"/",""),"?",""),"_",""),",",""),"[",""),"]",""),"(",""),")",""),"*","")</f>
        <v/>
      </c>
      <c r="AW316" s="61" t="str">
        <f aca="false">SUBSTITUTE(SUBSTITUTE(SUBSTITUTE(SUBSTITUTE(SUBSTITUTE(SUBSTITUTE(SUBSTITUTE(SUBSTITUTE(SUBSTITUTE(SUBSTITUTE(SUBSTITUTE(SUBSTITUTE(SUBSTITUTE(SUBSTITUTE(SUBSTITUTE(SUBSTITUTE(LOWER(Z316&amp;""),CHAR(10),""),CHAR(13),""),CHAR(9),""),CHAR(160),"")," ",""),".",""),"-",""),"/",""),"?",""),"_",""),",",""),"[",""),"]",""),"(",""),")",""),"*","")</f>
        <v/>
      </c>
      <c r="AX316" s="61" t="str">
        <f aca="false">SUBSTITUTE(SUBSTITUTE(SUBSTITUTE(SUBSTITUTE(SUBSTITUTE(SUBSTITUTE(SUBSTITUTE(SUBSTITUTE(SUBSTITUTE(SUBSTITUTE(SUBSTITUTE(SUBSTITUTE(SUBSTITUTE(SUBSTITUTE(SUBSTITUTE(SUBSTITUTE(LOWER(AE316&amp;""),CHAR(10),""),CHAR(13),""),CHAR(9),""),CHAR(160),"")," ",""),".",""),"-",""),"/",""),"?",""),"_",""),",",""),"[",""),"]",""),"(",""),")",""),"*","")</f>
        <v/>
      </c>
      <c r="AY316" s="61" t="str">
        <f aca="false">SUBSTITUTE(SUBSTITUTE(SUBSTITUTE(SUBSTITUTE(SUBSTITUTE(SUBSTITUTE(SUBSTITUTE(SUBSTITUTE(SUBSTITUTE(SUBSTITUTE(SUBSTITUTE(SUBSTITUTE(SUBSTITUTE(SUBSTITUTE(SUBSTITUTE(SUBSTITUTE(LOWER(W316&amp;""),CHAR(10),""),CHAR(13),""),CHAR(9),""),CHAR(160),"")," ",""),".",""),"-",""),"/",""),"?",""),"_",""),",",""),"[",""),"]",""),"(",""),")",""),"*","")</f>
        <v/>
      </c>
      <c r="AZ316" s="61" t="str">
        <f aca="false">SUBSTITUTE(SUBSTITUTE(SUBSTITUTE(SUBSTITUTE(SUBSTITUTE(SUBSTITUTE(SUBSTITUTE(SUBSTITUTE(SUBSTITUTE(SUBSTITUTE(SUBSTITUTE(SUBSTITUTE(SUBSTITUTE(SUBSTITUTE(SUBSTITUTE(SUBSTITUTE(LOWER(AC316&amp;""),CHAR(10),""),CHAR(13),""),CHAR(9),""),CHAR(160),"")," ",""),".",""),"-",""),"/",""),"?",""),"_",""),",",""),"[",""),"]",""),"(",""),")",""),"*","")</f>
        <v/>
      </c>
      <c r="BA316" s="61" t="str">
        <f aca="false">SUBSTITUTE(SUBSTITUTE(SUBSTITUTE(SUBSTITUTE(SUBSTITUTE(SUBSTITUTE(SUBSTITUTE(SUBSTITUTE(SUBSTITUTE(SUBSTITUTE(SUBSTITUTE(SUBSTITUTE(SUBSTITUTE(SUBSTITUTE(SUBSTITUTE(SUBSTITUTE(LOWER(AA316&amp;""),CHAR(10),""),CHAR(13),""),CHAR(9),""),CHAR(160),"")," ",""),".",""),"-",""),"/",""),"?",""),"_",""),",",""),"[",""),"]",""),"(",""),")",""),"*","")</f>
        <v/>
      </c>
      <c r="BB316" s="61" t="str">
        <f aca="false">IF(AND(TRIM(U316)="Pass",ISNUMBER(AF316)),IF(AF316&lt;&gt;0,"INVALID – qty variance: use Fail or Pass after CA",""),"")&amp;IF(AND(TRIM(U316)="Pass after CA",ISNUMBER(AF316)),IF(AF316&lt;&gt;0,"INVALID – after the corrective action the actual qty must equal expected (update Actual)",""),"")&amp;IF(AND(TRIM(U316)="Pass",TRIM(AB316)&lt;&gt;"",TRIM(AB316)&lt;&gt;"Closed"),"INVALID – corrective action not closed: use Fail, then Pass after CA","")&amp;IF(AND(LEN(BA316)&gt;=2,ISNA(MATCH(LEFT(BA316,255),L_Placeholder,0)),TRIM(AB316)=""),"INVALID – CA status missing for the recorded corrective action","")&amp;IF(AND(TRIM(U316)="Pass after CA",OR(OR(LEN(BA316)&lt;5,ISNUMBER(MATCH(BA316,L_Placeholder,0))),TRIM(AB316)&lt;&gt;"Closed")),"INVALID – corrective action not recorded/closed","")</f>
        <v/>
      </c>
      <c r="BC316" s="61" t="str">
        <f aca="false">" "&amp;TRIM(SUBSTITUTE(SUBSTITUTE(SUBSTITUTE(SUBSTITUTE(SUBSTITUTE(SUBSTITUTE(SUBSTITUTE(SUBSTITUTE(SUBSTITUTE(SUBSTITUTE(SUBSTITUTE(SUBSTITUTE(SUBSTITUTE(SUBSTITUTE(SUBSTITUTE(SUBSTITUTE(SUBSTITUTE(SUBSTITUTE(SUBSTITUTE(SUBSTITUTE(SUBSTITUTE(SUBSTITUTE(SUBSTITUTE(SUBSTITUTE(LOWER(V316&amp;""),CHAR(10)," "),CHAR(13)," "),CHAR(9)," "),CHAR(160)," "),"."," "),","," "),"-"," "),"/"," "),"("," "),")"," "),":"," "),";"," "),"_"," "),"–"," "),"?"," "),"!"," "),"*"," "),"["," "),"]"," "),"'"," "),"#"," "),"+"," "),"&amp;"," "),"\"," "))&amp;" "</f>
        <v>  </v>
      </c>
      <c r="BD316" s="61" t="str">
        <f aca="false">" "&amp;TRIM(SUBSTITUTE(SUBSTITUTE(SUBSTITUTE(SUBSTITUTE(SUBSTITUTE(SUBSTITUTE(SUBSTITUTE(SUBSTITUTE(SUBSTITUTE(SUBSTITUTE(SUBSTITUTE(SUBSTITUTE(SUBSTITUTE(SUBSTITUTE(SUBSTITUTE(SUBSTITUTE(SUBSTITUTE(SUBSTITUTE(SUBSTITUTE(SUBSTITUTE(SUBSTITUTE(SUBSTITUTE(SUBSTITUTE(SUBSTITUTE(LOWER(Z316&amp;""),CHAR(10)," "),CHAR(13)," "),CHAR(9)," "),CHAR(160)," "),"."," "),","," "),"-"," "),"/"," "),"("," "),")"," "),":"," "),";"," "),"_"," "),"–"," "),"?"," "),"!"," "),"*"," "),"["," "),"]"," "),"'"," "),"#"," "),"+"," "),"&amp;"," "),"\"," "))&amp;" "</f>
        <v>  </v>
      </c>
      <c r="BE316" s="61" t="str">
        <f aca="false">" "&amp;TRIM(SUBSTITUTE(SUBSTITUTE(SUBSTITUTE(SUBSTITUTE(SUBSTITUTE(SUBSTITUTE(SUBSTITUTE(SUBSTITUTE(SUBSTITUTE(SUBSTITUTE(SUBSTITUTE(SUBSTITUTE(SUBSTITUTE(SUBSTITUTE(SUBSTITUTE(SUBSTITUTE(SUBSTITUTE(SUBSTITUTE(SUBSTITUTE(SUBSTITUTE(SUBSTITUTE(SUBSTITUTE(SUBSTITUTE(SUBSTITUTE(LOWER(W316&amp;""),CHAR(10)," "),CHAR(13)," "),CHAR(9)," "),CHAR(160)," "),"."," "),","," "),"-"," "),"/"," "),"("," "),")"," "),":"," "),";"," "),"_"," "),"–"," "),"?"," "),"!"," "),"*"," "),"["," "),"]"," "),"'"," "),"#"," "),"+"," "),"&amp;"," "),"\"," "))&amp;" "</f>
        <v>  </v>
      </c>
      <c r="BF316" s="61" t="str">
        <f aca="false">" "&amp;TRIM(SUBSTITUTE(SUBSTITUTE(SUBSTITUTE(SUBSTITUTE(SUBSTITUTE(SUBSTITUTE(SUBSTITUTE(SUBSTITUTE(SUBSTITUTE(SUBSTITUTE(SUBSTITUTE(SUBSTITUTE(SUBSTITUTE(SUBSTITUTE(SUBSTITUTE(SUBSTITUTE(SUBSTITUTE(SUBSTITUTE(SUBSTITUTE(SUBSTITUTE(SUBSTITUTE(SUBSTITUTE(SUBSTITUTE(SUBSTITUTE(LOWER(AC316&amp;""),CHAR(10)," "),CHAR(13)," "),CHAR(9)," "),CHAR(160)," "),"."," "),","," "),"-"," "),"/"," "),"("," "),")"," "),":"," "),";"," "),"_"," "),"–"," "),"?"," "),"!"," "),"*"," "),"["," "),"]"," "),"'"," "),"#"," "),"+"," "),"&amp;"," "),"\"," "))&amp;" "</f>
        <v>  </v>
      </c>
      <c r="BG316" s="61" t="n">
        <f aca="false">IFERROR(IF(AND(TRIM(U316)="Pass",SUMPRODUCT((LEN(BC316)-LEN(SUBSTITUTE(BC316," "&amp;L_ResultBad&amp;" "," ")))/(LEN(L_ResultBad)+1))&gt;SUMPRODUCT((LEN(BC316)-LEN(SUBSTITUTE(BC316," "&amp;L_NegPhrase&amp;" "," ")))/(LEN(L_NegPhrase)+1))),1,0),0)</f>
        <v>0</v>
      </c>
      <c r="BH316" s="61" t="n">
        <f aca="false">IFERROR(IF(SUMPRODUCT((LEN(BC316)-LEN(SUBSTITUTE(BC316," "&amp;L_Pending&amp;" "," ")))/(LEN(L_Pending)+1))&gt;SUMPRODUCT((LEN(BC316)-LEN(SUBSTITUTE(BC316," "&amp;L_PendNeg&amp;" "," ")))/(LEN(L_PendNeg)+1)),1,0),1)</f>
        <v>0</v>
      </c>
      <c r="BI316" s="61" t="n">
        <f aca="false">IFERROR(IF(SUMPRODUCT((LEN(BD316)-LEN(SUBSTITUTE(BD316," "&amp;L_PendStrict&amp;" "," ")))/(LEN(L_PendStrict)+1))&gt;SUMPRODUCT((LEN(BD316)-LEN(SUBSTITUTE(BD316," "&amp;L_PendNeg&amp;" "," ")))/(LEN(L_PendNeg)+1)),1,0),1)</f>
        <v>0</v>
      </c>
      <c r="BJ316" s="61" t="n">
        <f aca="false">IFERROR(IF(SUMPRODUCT((LEN(BE316)-LEN(SUBSTITUTE(BE316," "&amp;L_Pending&amp;" "," ")))/(LEN(L_Pending)+1))&gt;SUMPRODUCT((LEN(BE316)-LEN(SUBSTITUTE(BE316," "&amp;L_PendNeg&amp;" "," ")))/(LEN(L_PendNeg)+1)),1,0),1)</f>
        <v>0</v>
      </c>
      <c r="BK316" s="61" t="n">
        <f aca="false">IFERROR(IF(SUMPRODUCT((LEN(BF316)-LEN(SUBSTITUTE(BF316," "&amp;L_PendStrict&amp;" "," ")))/(LEN(L_PendStrict)+1))&gt;SUMPRODUCT((LEN(BF316)-LEN(SUBSTITUTE(BF316," "&amp;L_PendNeg&amp;" "," ")))/(LEN(L_PendNeg)+1)),1,0),1)</f>
        <v>0</v>
      </c>
      <c r="BL316" s="61" t="n">
        <f aca="false">IF(ISNA(MATCH(TRIM(S316),L_EvidenceType,0)),0,BZ316)</f>
        <v>0</v>
      </c>
      <c r="BM316" s="61" t="str">
        <f aca="false">SUBSTITUTE(SUBSTITUTE(SUBSTITUTE(SUBSTITUTE(SUBSTITUTE(SUBSTITUTE(SUBSTITUTE(SUBSTITUTE(SUBSTITUTE(LOWER(Z316&amp;""),"1","0"),"2","0"),"3","0"),"4","0"),"5","0"),"6","0"),"7","0"),"8","0"),"9","0")</f>
        <v/>
      </c>
      <c r="BN316" s="61" t="str">
        <f aca="false">SUBSTITUTE(SUBSTITUTE(SUBSTITUTE(SUBSTITUTE(SUBSTITUTE(SUBSTITUTE(SUBSTITUTE(SUBSTITUTE(SUBSTITUTE(SUBSTITUTE(SUBSTITUTE(SUBSTITUTE(SUBSTITUTE(SUBSTITUTE(SUBSTITUTE(SUBSTITUTE(SUBSTITUTE(SUBSTITUTE(SUBSTITUTE(SUBSTITUTE(SUBSTITUTE(SUBSTITUTE(SUBSTITUTE(SUBSTITUTE(SUBSTITUTE(BM316,"b","a"),"c","a"),"d","a"),"e","a"),"f","a"),"g","a"),"h","a"),"i","a"),"j","a"),"k","a"),"l","a"),"m","a"),"n","a"),"o","a"),"p","a"),"q","a"),"r","a"),"s","a"),"t","a"),"u","a"),"v","a"),"w","a"),"x","a"),"y","a"),"z","a")</f>
        <v/>
      </c>
      <c r="BO316" s="61" t="str">
        <f aca="false">SUBSTITUTE(SUBSTITUTE(SUBSTITUTE(SUBSTITUTE(SUBSTITUTE(SUBSTITUTE(SUBSTITUTE(SUBSTITUTE(SUBSTITUTE(LOWER(W316&amp;""),"1","0"),"2","0"),"3","0"),"4","0"),"5","0"),"6","0"),"7","0"),"8","0"),"9","0")</f>
        <v/>
      </c>
      <c r="BP316" s="61" t="str">
        <f aca="false">SUBSTITUTE(SUBSTITUTE(SUBSTITUTE(SUBSTITUTE(SUBSTITUTE(SUBSTITUTE(SUBSTITUTE(SUBSTITUTE(SUBSTITUTE(SUBSTITUTE(SUBSTITUTE(SUBSTITUTE(SUBSTITUTE(SUBSTITUTE(SUBSTITUTE(SUBSTITUTE(SUBSTITUTE(SUBSTITUTE(SUBSTITUTE(SUBSTITUTE(SUBSTITUTE(SUBSTITUTE(SUBSTITUTE(SUBSTITUTE(SUBSTITUTE(BO316,"b","a"),"c","a"),"d","a"),"e","a"),"f","a"),"g","a"),"h","a"),"i","a"),"j","a"),"k","a"),"l","a"),"m","a"),"n","a"),"o","a"),"p","a"),"q","a"),"r","a"),"s","a"),"t","a"),"u","a"),"v","a"),"w","a"),"x","a"),"y","a"),"z","a")</f>
        <v/>
      </c>
      <c r="BQ316" s="61" t="n">
        <f aca="false">IFERROR(IF(AND(ISERROR(SEARCH(" mh"," "&amp;LOWER(W316))),ISNA(MATCH(LEFT(TRIM(BP316),255),{"0000a","000a","00a","0000aa","000aa","00aa","0aa","0000aaa","000aaa","00a00","0a00","0000-0000","00:00","a00","a0","00.00.0000","00/00/0000","00-00-0000","0000-00-00","0000/00/00","0000.00.00","00.00.00","00/00/00","00-00-00","0.00.0000","0/00/0000","0-00-0000"},0)),ISNA(MATCH(LEFT(TRIM(CA316),255),{"0000a","000a","00a","0000aa","000aa","00aa","0aa","0000aaa","000aaa","00a00","0a00","0000-0000","00:00","a00","a0","00.00.0000","00/00/0000","00-00-0000","0000-00-00","0000/00/00","0000.00.00","00.00.00","00/00/00","00-00-00","0.00.0000","0/00/0000","0-00-0000"},0)),LEN(CB316)&gt;=3,NOT(OR(SUBSTITUTE(CB316,"0","")="",AND(LEN(CB316)&gt;=4,CB316=REPT(LEFT(CB316),LEN(CB316))),ISNUMBER(MATCH(CB316,{"123","1234","12345","123456","1234567","12345678","0123","01234","012345","98765","987654","54321"},0)),AND(LEN(CB316)=8,LEFT(CB316,3)="202"))),OR(AND((LEN(CA316)-LEN(SUBSTITUTE(CA316,"a","")))&gt;=1,SUMPRODUCT(--ISNUMBER(SEARCH({"a0","a-0","a_0","a/0","a.0","a#0","0a","0-a","0_a","0/a"},BP316)))&gt;0),ISNUMBER(SEARCH("000000",BP316)))),1,0),0)</f>
        <v>0</v>
      </c>
      <c r="BR316" s="61" t="n">
        <f aca="false">IFERROR(LEN(SUBSTITUTE(CC316," ",""))-SUMPRODUCT((LEN(CC316)-LEN(SUBSTITUTE(CC316," "&amp;L_Role&amp;" "," ")))/(LEN(L_Role)+1)*LEN(L_Role)),0)</f>
        <v>0</v>
      </c>
      <c r="BS316" s="61" t="n">
        <f aca="false">IFERROR(LEN(SUBSTITUTE(CD316," ",""))-SUMPRODUCT((LEN(CD316)-LEN(SUBSTITUTE(CD316," "&amp;L_Role&amp;" "," ")))/(LEN(L_Role)+1)*LEN(L_Role)),0)</f>
        <v>0</v>
      </c>
      <c r="BT3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316,"revision",""),"version",""),"jan",""),"feb",""),"mar",""),"apr",""),"may",""),"jun",""),"jul",""),"aug",""),"sep",""),"oct",""),"nov",""),"dec",""),"utc",""),"gmt",""),"myt",""),"bst",""),"rev",""),"ver",""),"b","a"),"c","a"),"d","a"),"e","a"),"f","a"),"g","a"),"h","a"),"i","a"),"j","a"),"k","a"),"l","a"),"m","a"),"n","a"),"o","a"),"p","a"),"q","a"),"r","a"),"s","a"),"t","a"),"u","a"),"v","a"),"w","a"),"x","a"),"y","a"),"z","a")</f>
        <v/>
      </c>
      <c r="BU316" s="61" t="str">
        <f aca="false">SUBSTITUTE(SUBSTITUTE(SUBSTITUTE(SUBSTITUTE(SUBSTITUTE(SUBSTITUTE(SUBSTITUTE(SUBSTITUTE(SUBSTITUTE(SUBSTITUTE(LEFT(BM316,FIND("0",BM316&amp;"0")-1),"-",""),"_",""),"/",""),".",""),"#",""),"\\",""),":","")," ",""),"(",""),")","")</f>
        <v/>
      </c>
      <c r="BV316" s="61" t="n">
        <f aca="false">IFERROR(IF(OR(SUMPRODUCT((LEN(BC316)-LEN(SUBSTITUTE(BC316," "&amp;L_NotLoaded&amp;" "," ")))/(LEN(L_NotLoaded)+1))&gt;SUMPRODUCT((LEN(BC316)-LEN(SUBSTITUTE(BC316," "&amp;L_NotLoadedNeg&amp;" "," ")))/(LEN(L_NotLoadedNeg)+1)),SUMPRODUCT((LEN(BD316)-LEN(SUBSTITUTE(BD316," "&amp;L_NotLoaded&amp;" "," ")))/(LEN(L_NotLoaded)+1))&gt;SUMPRODUCT((LEN(BD316)-LEN(SUBSTITUTE(BD316," "&amp;L_NotLoadedNeg&amp;" "," ")))/(LEN(L_NotLoadedNeg)+1))),1,0),0)</f>
        <v>0</v>
      </c>
      <c r="BW3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316&amp;""),"a",""),"b",""),"c",""),"d",""),"e",""),"f",""),"g",""),"h",""),"i",""),"j",""),"k",""),"l",""),"m",""),"n",""),"o",""),"p",""),"q",""),"r",""),"s",""),"t",""),"u",""),"v",""),"w",""),"x",""),"y",""),"z",""),"-",""),"_",""),"/",""),".",""),"#",""),"\\",""),":","")," ",""),"(",""),")","")</f>
        <v/>
      </c>
      <c r="BX316" s="61" t="str">
        <f aca="false">SUBSTITUTE(SUBSTITUTE(SUBSTITUTE(SUBSTITUTE(SUBSTITUTE(SUBSTITUTE(SUBSTITUTE(SUBSTITUTE(SUBSTITUTE(SUBSTITUTE(SUBSTITUTE(BM316,"0",""),"-",""),"_",""),"/",""),".",""),"#",""),"\\",""),":","")," ",""),"(",""),")","")</f>
        <v/>
      </c>
      <c r="BY316" s="62" t="n">
        <f aca="false">IF(ISNUMBER(Flights!$AZ$13),MAX(Q316-UpliftWindowH/24,Flights!$AZ$13),Q316-UpliftWindowH/24)</f>
        <v>46306.0034722222</v>
      </c>
      <c r="BZ316" s="61" t="n">
        <f aca="false">IFERROR(IF(IF(TRIM(S316)="Link / file path",AND(LEN(TRIM(Z316))&gt;=5,SUMPRODUCT(--ISNUMBER(SEARCH({"http","www.","\\",":\",".pdf",".jpg",".jpeg",".png",".heic",".xls",".doc",".msg",".eml",".ppt",".txt",".zip"},Z316)))&gt;0),AND(ISERROR(FIND(" ",TRIM(Z316))),NOT(OR(SUMPRODUCT(--ISNUMBER(FIND({",",";","&amp;","+"},Z316)))&gt;0,SUMPRODUCT(--ISNUMBER(SEARCH({"0/aa","0\\aa"},BN316)))&gt;0)),NOT(SUMPRODUCT(--ISNUMBER(SEARCH({"http","www.","\\",":\",".pdf",".jpg",".jpeg",".png",".heic",".xls",".doc",".msg",".eml",".ppt",".txt",".zip"},Z316)))&gt;0),NOT(LOWER(TRIM(Z316))=LOWER(Flights!$F$13)),ISNA(MATCH(BU316,{"mh","rev","revision","ver","version","v","r","a","b","seat","tray","row","gate","bay","stand","page","pg","item","line","no","cart","galley","flight","flt","table","box","bag","oven","etd","eta","std","sta","atd","ata","qty","pax","x","time","tel","ph","mob","day","wk","week","utc","gmt","myt","lt"},0)),NOT(OR(ISNUMBER(MATCH(LEFT(BN316,255),{"0000a","000a","00a","0000aa","000aa","00aa","0aa","0000aaa","000aaa","00a00","0a00","0000-0000","00:00","a00","a0","00.00.0000","00/00/0000","00-00-0000","0000-00-00","0000/00/00","0000.00.00","00.00.00","00/00/00","00-00-00","0.00.0000","0/00/0000","0-00-0000"},0)),ISNUMBER(MATCH(LEFT(BT316,255),{"0000a","000a","00a","0000aa","000aa","00aa","0aa","0000aaa","000aaa","00a00","0a00","0000-0000","00:00","a00","a0","00.00.0000","00/00/0000","00-00-0000","0000-00-00","0000/00/00","0000.00.00","00.00.00","00/00/00","00-00-00","0.00.0000","0/00/0000","0-00-0000"},0)))),NOT(OR(AND(BW316&lt;&gt;"",SUBSTITUTE(BW316,"0","")=""),AND(LEN(BW316)&gt;=4,BW316=REPT(LEFT(BW316),LEN(BW316))),ISNUMBER(MATCH(BW316,{"123","1234","12345","123456","1234567","12345678","0123","01234","012345","98765","987654","54321"},0)),ISNUMBER(MATCH(BX316,{"x","xx","xxx","xxxx","xxxxx","abc","abcd","nil","na","nan","test","tbc","tba","tbd","dummy","sample","example","eg","zz","zzz","none","null","xyz","qwe","asd","id","ref"},0)),AND(LEN(BW316)=8,BX316="",OR(LEFT(BW316,3)="202",ISNUMBER(MATCH(RIGHT(BW316,4),{"2025","2026","2027"},0)))))),OR(AND((LEN(BT316)-LEN(SUBSTITUTE(BT316,"a","")))&gt;=1,(LEN(BN316)-LEN(SUBSTITUTE(BN316,"0","")))&gt;=2,SUMPRODUCT(--ISNUMBER(SEARCH({"a0","a-0","a_0","a/0","a.0","a#0","0a","0-a","0_a","0/a"},BN316)))&gt;0),AND((LEN(BN316)-LEN(SUBSTITUTE(BN316,"a","")))=0,(LEN(BN316)-LEN(SUBSTITUTE(BN316,"0","")))&gt;=5)))),1,0),0)</f>
        <v>0</v>
      </c>
      <c r="CA3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316,"revision",""),"version",""),"jan",""),"feb",""),"mar",""),"apr",""),"may",""),"jun",""),"jul",""),"aug",""),"sep",""),"oct",""),"nov",""),"dec",""),"utc",""),"gmt",""),"myt",""),"bst",""),"rev",""),"ver",""),"b","a"),"c","a"),"d","a"),"e","a"),"f","a"),"g","a"),"h","a"),"i","a"),"j","a"),"k","a"),"l","a"),"m","a"),"n","a"),"o","a"),"p","a"),"q","a"),"r","a"),"s","a"),"t","a"),"u","a"),"v","a"),"w","a"),"x","a"),"y","a"),"z","a")</f>
        <v/>
      </c>
      <c r="CB3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316&amp;""),"a",""),"b",""),"c",""),"d",""),"e",""),"f",""),"g",""),"h",""),"i",""),"j",""),"k",""),"l",""),"m",""),"n",""),"o",""),"p",""),"q",""),"r",""),"s",""),"t",""),"u",""),"v",""),"w",""),"x",""),"y",""),"z",""),"-",""),"_",""),"/",""),".",""),"#",""),"\\",""),":","")," ",""),"(",""),")","")</f>
        <v/>
      </c>
      <c r="CC316" s="0" t="str">
        <f aca="false">" "&amp;TRIM(SUBSTITUTE(SUBSTITUTE(SUBSTITUTE(SUBSTITUTE(SUBSTITUTE(SUBSTITUTE(SUBSTITUTE(SUBSTITUTE(SUBSTITUTE(SUBSTITUTE(SUBSTITUTE(SUBSTITUTE(SUBSTITUTE(SUBSTITUTE(SUBSTITUTE(SUBSTITUTE(SUBSTITUTE(SUBSTITUTE(SUBSTITUTE(SUBSTITUTE(SUBSTITUTE(SUBSTITUTE(SUBSTITUTE(SUBSTITUTE(LOWER(T316&amp;""),CHAR(10)," "),CHAR(13)," "),CHAR(9)," "),CHAR(160)," "),"."," "),","," "),"-"," "),"/"," "),"("," "),")"," "),":"," "),";"," "),"_"," "),"–"," "),"?"," "),"!"," "),"*"," "),"["," "),"]"," "),"'"," "),"#"," "),"+"," "),"&amp;"," "),"\"," "))&amp;" "</f>
        <v>  </v>
      </c>
      <c r="CD316" s="0" t="str">
        <f aca="false">" "&amp;TRIM(SUBSTITUTE(SUBSTITUTE(SUBSTITUTE(SUBSTITUTE(SUBSTITUTE(SUBSTITUTE(SUBSTITUTE(SUBSTITUTE(SUBSTITUTE(SUBSTITUTE(SUBSTITUTE(SUBSTITUTE(SUBSTITUTE(SUBSTITUTE(SUBSTITUTE(SUBSTITUTE(SUBSTITUTE(SUBSTITUTE(SUBSTITUTE(SUBSTITUTE(SUBSTITUTE(SUBSTITUTE(SUBSTITUTE(SUBSTITUTE(LOWER(AE316&amp;""),CHAR(10)," "),CHAR(13)," "),CHAR(9)," "),CHAR(160)," "),"."," "),","," "),"-"," "),"/"," "),"("," "),")"," "),":"," "),";"," "),"_"," "),"–"," "),"?"," "),"!"," "),"*"," "),"["," "),"]"," "),"'"," "),"#"," "),"+"," "),"&amp;"," "),"\"," "))&amp;" "</f>
        <v>  </v>
      </c>
      <c r="CE316" s="68" t="n">
        <f aca="false">IFERROR(IF(AND(LEN(AU316)&gt;0,LEN(AU316)=LEN(AX316),OR(TRIM(MID(SUBSTITUTE(TRIM(CC316)," ",REPT(" ",60)),1,60))="",ISNUMBER(SEARCH(" "&amp;TRIM(MID(SUBSTITUTE(TRIM(CC316)," ",REPT(" ",60)),1,60))&amp;" ",CD316))),OR(TRIM(MID(SUBSTITUTE(TRIM(CC316)," ",REPT(" ",60)),61,60))="",ISNUMBER(SEARCH(" "&amp;TRIM(MID(SUBSTITUTE(TRIM(CC316)," ",REPT(" ",60)),61,60))&amp;" ",CD316))),OR(TRIM(MID(SUBSTITUTE(TRIM(CC316)," ",REPT(" ",60)),121,60))="",ISNUMBER(SEARCH(" "&amp;TRIM(MID(SUBSTITUTE(TRIM(CC316)," ",REPT(" ",60)),121,60))&amp;" ",CD316)))),1,0),0)</f>
        <v>0</v>
      </c>
      <c r="CG316" s="68" t="n">
        <f aca="false">IFERROR(LEN(SUBSTITUTE(BF316," ",""))-SUMPRODUCT((LEN(BF316)-LEN(SUBSTITUTE(BF316," "&amp;L_NAFiller&amp;" "," ")))/(LEN(L_NAFiller)+1)*LEN(L_NAFiller)),0)</f>
        <v>0</v>
      </c>
    </row>
    <row r="317" customFormat="false" ht="78.75" hidden="false" customHeight="true" outlineLevel="0" collapsed="false">
      <c r="A317" s="57" t="s">
        <v>906</v>
      </c>
      <c r="B317" s="57" t="s">
        <v>246</v>
      </c>
      <c r="C317" s="57" t="str">
        <f aca="false">Flights!$F$13</f>
        <v>MH0753</v>
      </c>
      <c r="D317" s="58" t="n">
        <f aca="false">Flights!$D$13</f>
        <v>46306</v>
      </c>
      <c r="E317" s="57" t="str">
        <f aca="false">Flights!$G$13&amp;"-"&amp;Flights!$H$13</f>
        <v>HAN-KUL</v>
      </c>
      <c r="F317" s="57" t="str">
        <f aca="false">Flights!$K$13</f>
        <v>BC</v>
      </c>
      <c r="G317" s="57" t="s">
        <v>459</v>
      </c>
      <c r="H317" s="57" t="s">
        <v>460</v>
      </c>
      <c r="I317" s="57" t="s">
        <v>499</v>
      </c>
      <c r="J317" s="57" t="s">
        <v>546</v>
      </c>
      <c r="K317" s="67" t="s">
        <v>501</v>
      </c>
      <c r="L317" s="67" t="s">
        <v>889</v>
      </c>
      <c r="M317" s="67" t="s">
        <v>451</v>
      </c>
      <c r="N317" s="67" t="s">
        <v>444</v>
      </c>
      <c r="O317" s="67" t="s">
        <v>544</v>
      </c>
      <c r="P317" s="57" t="s">
        <v>240</v>
      </c>
      <c r="Q317" s="59" t="n">
        <f aca="false">ROUND((Flights!$AF$13)*1440,0)/1440</f>
        <v>46306.2534722222</v>
      </c>
      <c r="R317" s="59" t="n">
        <f aca="false">Q317+(IF(AND(INDEX(TZ_DSTS,MATCH(P317,TZ_STN,0))&lt;&gt;"",Q317&gt;=INDEX(TZ_DSTS,MATCH(P317,TZ_STN,0)),Q317&lt;INDEX(TZ_DSTE,MATCH(P317,TZ_STN,0))),INDEX(TZ_DST,MATCH(P317,TZ_STN,0)),INDEX(TZ_STD,MATCH(P317,TZ_STN,0))))/24</f>
        <v>46306.5451388889</v>
      </c>
      <c r="S317" s="60"/>
      <c r="T317" s="60"/>
      <c r="U317" s="60"/>
      <c r="V317" s="60"/>
      <c r="W317" s="61"/>
      <c r="X317" s="60"/>
      <c r="Y317" s="60"/>
      <c r="Z317" s="60"/>
      <c r="AA317" s="60"/>
      <c r="AB317" s="60"/>
      <c r="AC317" s="60"/>
      <c r="AD317" s="66"/>
      <c r="AE317" s="60"/>
      <c r="AF317" s="61" t="str">
        <f aca="false">IF(AND(ISNUMBER(X317),ISNUMBER(Y317)),Y317-X317,"")</f>
        <v/>
      </c>
      <c r="AG317" s="62" t="str">
        <f aca="false">IF(ISNUMBER(AD317),AD317-(IF(AND(INDEX(TZ_DSTS,MATCH(P317,TZ_STN,0))&lt;&gt;"",(AD317-INDEX(TZ_STD,MATCH(P317,TZ_STN,0))/24)&gt;=INDEX(TZ_DSTS,MATCH(P317,TZ_STN,0)),(AD317-INDEX(TZ_STD,MATCH(P317,TZ_STN,0))/24)&lt;INDEX(TZ_DSTE,MATCH(P317,TZ_STN,0))),INDEX(TZ_DST,MATCH(P317,TZ_STN,0)),INDEX(TZ_STD,MATCH(P317,TZ_STN,0))))/24,"")</f>
        <v/>
      </c>
      <c r="AH317" s="65" t="str">
        <f aca="false">IFERROR(IF(N317="N/A – rule",IF(OR(TRIM(U317)="",TRIM(U317)="N/A",TRIM(U317)="Not started"),"N/A – RULE","INVALID – this check does not apply to this aircraft: clear the status (or correct the fleet on Flights)"),IF(TRIM(U317)="N/A",IF(AT317=0,"INVALID – N/A not permitted for this check",IF(AND(TRIM(AB317)&lt;&gt;"",TRIM(AB317)&lt;&gt;"Closed"),"INVALID – corrective action still open",IF(AND(NOT(OR(LEN(AZ317)&lt;15,ISNUMBER(MATCH(AZ317,L_Placeholder,0)))),BK317=0,CG317&gt;=8,NOT(OR(LEN(AU317)&lt;2,ISNUMBER(MATCH(AU317,L_Placeholder,0)))),BR317&gt;=3,NOT(OR(LEN(AX317)&lt;2,ISNUMBER(MATCH(AX317,L_Placeholder,0)))),BS317&gt;=3,TRIM(AE317)&lt;&gt;TRIM(T317),AX317&lt;&gt;AU317,CE317=0),"N/A – JUSTIFIED","INVALID – N/A needs a real, settled reason (not 'not applicable' / 'as above' / TBC), a named PIC and a different named verifier"))),IF(OR(TRIM(U317)="Pass",TRIM(U317)="Pass after CA"),IF(NOT(ISNUMBER(AD317)),"INVALID – completion time missing",IF(OR(OR(LEN(AU317)&lt;2,ISNUMBER(MATCH(AU317,L_Placeholder,0))),BR317&lt;3),"INVALID – PIC missing or not a named person (a role such as QA / CSM is not a name)",IF(OR(LEN(AV317)&lt;2,ISNUMBER(MATCH(AV317,L_Placeholder,0))),"INVALID – result / assessment missing",IF(OR(OR(LEN(AW317)&lt;3,ISNUMBER(MATCH(AW317,L_Placeholder,0))),SUMPRODUCT(--ISNUMBER(SEARCH(" "&amp;L_EvidencePhrase&amp;" ",BD317)))&gt;0,BI317=1),"INVALID – evidence missing, placeholder or not yet on file",IF(ISNA(MATCH(TRIM(S317),L_EvidenceType,0)),"INVALID – choose the evidence type from the list (column S)",IF(BL317=0,"INVALID – evidence ID must be the record's own ID only (e.g. SF-2210, IMG_2231, 1045521); a link / file name needs type 'Link / file path'",IF(OR(OR(LEN(AX317)&lt;2,ISNUMBER(MATCH(AX317,L_Placeholder,0))),BS317&lt;3),"INVALID – verifier missing or not a named person (a role such as QA / CSM is not a name)",IF(OR(AX317=AU317,CE317=1,AND(LEN(AU317)&gt;=4,ISNUMBER(SEARCH(AU317,AX317))),AND(LEN(AX317)&gt;=4,ISNUMBER(SEARCH(AX317,AU317)))),"INVALID – verifier must be a different, named person (not the PIC or a role)",IF(BH317=1,"INVALID – result not yet available (awaiting / TBC)",IF(BG317=1,"INVALID – result describes a problem: record Fail, then Pass after CA (or reword if it is not a problem)",IF(BV317=1,"INVALID – wording says not on board: an on-board confirmation needs the item loaded",IF(AND(AQ317=1,OR(OR(LEN(AY317)&lt;3,ISNUMBER(MATCH(AY317,L_Placeholder,0))),BJ317=1,BQ317=0)),"INVALID – batch ID missing, placeholder or not an ID (e.g. PASB-261008-BC-017)",IF(AND(AR317=1,OR(NOT(ISNUMBER(X317)),NOT(ISNUMBER(Y317)))),"INVALID – expected/actual qty missing",IF(AND(AR317=1,OR(X317&lt;=0,Y317&lt;0)),"INVALID – expected qty must be above 0 and actual not negative",IF(AH305="N/A – JUSTIFIED","INVALID – preparation row F09-T12-13 is N/A",IF(AND(AR317=1,ISNUMBER(X305),X317&lt;&gt;X305,TRIM(U317)&lt;&gt;"Pass after CA"),"INVALID – expected qty differs from preparation check F09-T12-13: record the load change as a corrective action (Pass after CA)",IF(BB317&lt;&gt;"",BB317,IF(AND(AS317=1,Documents!$J$13&lt;&gt;"ON FILE"),"INVALID – GLD not on file (Documents sheet)",IF(AND(AS317=2,Documents!$O$13&lt;&gt;"ON FILE"),"INVALID – menu checklist not on file (Documents sheet)",IF(AND(AS317=3,NOT(ISNUMBER(Flights!$AX$13))),"INVALID – enter carrying flight KUL departure (Flights AX)",IF(AND(AS317=3,OR(Flights!$AZ$13&gt;Flights!$AA$13,Flights!$AX$13&lt;Flights!$AA$13-3)),"INVALID – carrying flight (Flights AX) cannot arrive before this leg's STD, or is over 3 days early",IF(AG317&gt;AsOfUTC,"INVALID – completion time is in the future",IF(AND(ISNUMBER(BY317),AG317&lt;BY317),IF(H317="Physical uplift","INVALID – before uplift window (cannot confirm loading)","INVALID – before valid window"),IF(AG317&gt;Flights!$AA$13,"INVALID – completed after departure (cannot establish readiness)",IF(AND(H317="Preparation",AG317&gt;=IF(ISNUMBER(Flights!$BA$13),MIN(Flights!$BA$13,Flights!$AA$13),Flights!$AA$13)),"INVALID – completed after loading / departure (cannot establish readiness)",IF(AND(H317="Physical uplift",AG317&gt;Q317),"INVALID – recorded after the loading flight departed",IF(AG317&gt;Q317,"COMPLETE – LATE","COMPLETE"))))))))))))))))))))))))))),IF(TRIM(U317)="Fail","FAIL – DISCREPANCY",IF(AND(TRIM(U317)&lt;&gt;"",TRIM(U317)&lt;&gt;"Not started",TRIM(U317)&lt;&gt;"In progress"),"INVALID – unrecognised status (use the list)",IF(AsOfUTC&gt;Q317,"OVERDUE",IF(N317="Clarification required","OPEN – CLARIFICATION","OPEN"))))))),"INVALID – error value in an input cell")</f>
        <v>OPEN – CLARIFICATION</v>
      </c>
      <c r="AI317" s="61" t="n">
        <f aca="false">IF(OR(AH317="N/A – RULE",AH317="N/A – JUSTIFIED"),0,1)</f>
        <v>1</v>
      </c>
      <c r="AJ317" s="61" t="n">
        <f aca="false">IF(LEFT(AH317,8)="COMPLETE",1,0)</f>
        <v>0</v>
      </c>
      <c r="AK317" s="61" t="n">
        <f aca="false">IF(AND(AI317=1,AJ317=0,AsOfUTC&gt;Q317),1,0)</f>
        <v>0</v>
      </c>
      <c r="AL317" s="61" t="n">
        <f aca="false">IFERROR(IF(AND(AI317=1,OR(TRIM(U317)="Fail",AND(TRIM(AB317)&lt;&gt;"",TRIM(AB317)&lt;&gt;"Closed"),AND(ISNUMBER(AF317),AF317&lt;&gt;0,TRIM(U317)&lt;&gt;"Pass after CA"))),1,0),1)</f>
        <v>0</v>
      </c>
      <c r="AM317" s="61" t="n">
        <f aca="false">IF(LEFT(AH317,7)="INVALID",1,0)</f>
        <v>0</v>
      </c>
      <c r="AN317" s="61" t="n">
        <f aca="false">IF(AND(N317="Clarification required",AI317=1,AJ317=0),1,0)</f>
        <v>1</v>
      </c>
      <c r="AO317" s="61" t="str">
        <f aca="false">IF(AK317=1,SUM(AK$5:AK317),"")</f>
        <v/>
      </c>
      <c r="AP317" s="61" t="str">
        <f aca="false">IF(AL317=1,SUM(AL$5:AL317),"")</f>
        <v/>
      </c>
      <c r="AQ317" s="61" t="n">
        <v>0</v>
      </c>
      <c r="AR317" s="61" t="n">
        <v>0</v>
      </c>
      <c r="AS317" s="61" t="n">
        <v>0</v>
      </c>
      <c r="AT317" s="61" t="n">
        <v>1</v>
      </c>
      <c r="AU317" s="61" t="str">
        <f aca="false">SUBSTITUTE(SUBSTITUTE(SUBSTITUTE(SUBSTITUTE(SUBSTITUTE(SUBSTITUTE(SUBSTITUTE(SUBSTITUTE(SUBSTITUTE(SUBSTITUTE(SUBSTITUTE(SUBSTITUTE(SUBSTITUTE(SUBSTITUTE(SUBSTITUTE(SUBSTITUTE(LOWER(T317&amp;""),CHAR(10),""),CHAR(13),""),CHAR(9),""),CHAR(160),"")," ",""),".",""),"-",""),"/",""),"?",""),"_",""),",",""),"[",""),"]",""),"(",""),")",""),"*","")</f>
        <v/>
      </c>
      <c r="AV317" s="61" t="str">
        <f aca="false">SUBSTITUTE(SUBSTITUTE(SUBSTITUTE(SUBSTITUTE(SUBSTITUTE(SUBSTITUTE(SUBSTITUTE(SUBSTITUTE(SUBSTITUTE(SUBSTITUTE(SUBSTITUTE(SUBSTITUTE(SUBSTITUTE(SUBSTITUTE(SUBSTITUTE(SUBSTITUTE(LOWER(V317&amp;""),CHAR(10),""),CHAR(13),""),CHAR(9),""),CHAR(160),"")," ",""),".",""),"-",""),"/",""),"?",""),"_",""),",",""),"[",""),"]",""),"(",""),")",""),"*","")</f>
        <v/>
      </c>
      <c r="AW317" s="61" t="str">
        <f aca="false">SUBSTITUTE(SUBSTITUTE(SUBSTITUTE(SUBSTITUTE(SUBSTITUTE(SUBSTITUTE(SUBSTITUTE(SUBSTITUTE(SUBSTITUTE(SUBSTITUTE(SUBSTITUTE(SUBSTITUTE(SUBSTITUTE(SUBSTITUTE(SUBSTITUTE(SUBSTITUTE(LOWER(Z317&amp;""),CHAR(10),""),CHAR(13),""),CHAR(9),""),CHAR(160),"")," ",""),".",""),"-",""),"/",""),"?",""),"_",""),",",""),"[",""),"]",""),"(",""),")",""),"*","")</f>
        <v/>
      </c>
      <c r="AX317" s="61" t="str">
        <f aca="false">SUBSTITUTE(SUBSTITUTE(SUBSTITUTE(SUBSTITUTE(SUBSTITUTE(SUBSTITUTE(SUBSTITUTE(SUBSTITUTE(SUBSTITUTE(SUBSTITUTE(SUBSTITUTE(SUBSTITUTE(SUBSTITUTE(SUBSTITUTE(SUBSTITUTE(SUBSTITUTE(LOWER(AE317&amp;""),CHAR(10),""),CHAR(13),""),CHAR(9),""),CHAR(160),"")," ",""),".",""),"-",""),"/",""),"?",""),"_",""),",",""),"[",""),"]",""),"(",""),")",""),"*","")</f>
        <v/>
      </c>
      <c r="AY317" s="61" t="str">
        <f aca="false">SUBSTITUTE(SUBSTITUTE(SUBSTITUTE(SUBSTITUTE(SUBSTITUTE(SUBSTITUTE(SUBSTITUTE(SUBSTITUTE(SUBSTITUTE(SUBSTITUTE(SUBSTITUTE(SUBSTITUTE(SUBSTITUTE(SUBSTITUTE(SUBSTITUTE(SUBSTITUTE(LOWER(W317&amp;""),CHAR(10),""),CHAR(13),""),CHAR(9),""),CHAR(160),"")," ",""),".",""),"-",""),"/",""),"?",""),"_",""),",",""),"[",""),"]",""),"(",""),")",""),"*","")</f>
        <v/>
      </c>
      <c r="AZ317" s="61" t="str">
        <f aca="false">SUBSTITUTE(SUBSTITUTE(SUBSTITUTE(SUBSTITUTE(SUBSTITUTE(SUBSTITUTE(SUBSTITUTE(SUBSTITUTE(SUBSTITUTE(SUBSTITUTE(SUBSTITUTE(SUBSTITUTE(SUBSTITUTE(SUBSTITUTE(SUBSTITUTE(SUBSTITUTE(LOWER(AC317&amp;""),CHAR(10),""),CHAR(13),""),CHAR(9),""),CHAR(160),"")," ",""),".",""),"-",""),"/",""),"?",""),"_",""),",",""),"[",""),"]",""),"(",""),")",""),"*","")</f>
        <v/>
      </c>
      <c r="BA317" s="61" t="str">
        <f aca="false">SUBSTITUTE(SUBSTITUTE(SUBSTITUTE(SUBSTITUTE(SUBSTITUTE(SUBSTITUTE(SUBSTITUTE(SUBSTITUTE(SUBSTITUTE(SUBSTITUTE(SUBSTITUTE(SUBSTITUTE(SUBSTITUTE(SUBSTITUTE(SUBSTITUTE(SUBSTITUTE(LOWER(AA317&amp;""),CHAR(10),""),CHAR(13),""),CHAR(9),""),CHAR(160),"")," ",""),".",""),"-",""),"/",""),"?",""),"_",""),",",""),"[",""),"]",""),"(",""),")",""),"*","")</f>
        <v/>
      </c>
      <c r="BB317" s="61" t="str">
        <f aca="false">IF(AND(TRIM(U317)="Pass",ISNUMBER(AF317)),IF(AF317&lt;&gt;0,"INVALID – qty variance: use Fail or Pass after CA",""),"")&amp;IF(AND(TRIM(U317)="Pass after CA",ISNUMBER(AF317)),IF(AF317&lt;&gt;0,"INVALID – after the corrective action the actual qty must equal expected (update Actual)",""),"")&amp;IF(AND(TRIM(U317)="Pass",TRIM(AB317)&lt;&gt;"",TRIM(AB317)&lt;&gt;"Closed"),"INVALID – corrective action not closed: use Fail, then Pass after CA","")&amp;IF(AND(LEN(BA317)&gt;=2,ISNA(MATCH(LEFT(BA317,255),L_Placeholder,0)),TRIM(AB317)=""),"INVALID – CA status missing for the recorded corrective action","")&amp;IF(AND(TRIM(U317)="Pass after CA",OR(OR(LEN(BA317)&lt;5,ISNUMBER(MATCH(BA317,L_Placeholder,0))),TRIM(AB317)&lt;&gt;"Closed")),"INVALID – corrective action not recorded/closed","")</f>
        <v/>
      </c>
      <c r="BC317" s="61" t="str">
        <f aca="false">" "&amp;TRIM(SUBSTITUTE(SUBSTITUTE(SUBSTITUTE(SUBSTITUTE(SUBSTITUTE(SUBSTITUTE(SUBSTITUTE(SUBSTITUTE(SUBSTITUTE(SUBSTITUTE(SUBSTITUTE(SUBSTITUTE(SUBSTITUTE(SUBSTITUTE(SUBSTITUTE(SUBSTITUTE(SUBSTITUTE(SUBSTITUTE(SUBSTITUTE(SUBSTITUTE(SUBSTITUTE(SUBSTITUTE(SUBSTITUTE(SUBSTITUTE(LOWER(V317&amp;""),CHAR(10)," "),CHAR(13)," "),CHAR(9)," "),CHAR(160)," "),"."," "),","," "),"-"," "),"/"," "),"("," "),")"," "),":"," "),";"," "),"_"," "),"–"," "),"?"," "),"!"," "),"*"," "),"["," "),"]"," "),"'"," "),"#"," "),"+"," "),"&amp;"," "),"\"," "))&amp;" "</f>
        <v>  </v>
      </c>
      <c r="BD317" s="61" t="str">
        <f aca="false">" "&amp;TRIM(SUBSTITUTE(SUBSTITUTE(SUBSTITUTE(SUBSTITUTE(SUBSTITUTE(SUBSTITUTE(SUBSTITUTE(SUBSTITUTE(SUBSTITUTE(SUBSTITUTE(SUBSTITUTE(SUBSTITUTE(SUBSTITUTE(SUBSTITUTE(SUBSTITUTE(SUBSTITUTE(SUBSTITUTE(SUBSTITUTE(SUBSTITUTE(SUBSTITUTE(SUBSTITUTE(SUBSTITUTE(SUBSTITUTE(SUBSTITUTE(LOWER(Z317&amp;""),CHAR(10)," "),CHAR(13)," "),CHAR(9)," "),CHAR(160)," "),"."," "),","," "),"-"," "),"/"," "),"("," "),")"," "),":"," "),";"," "),"_"," "),"–"," "),"?"," "),"!"," "),"*"," "),"["," "),"]"," "),"'"," "),"#"," "),"+"," "),"&amp;"," "),"\"," "))&amp;" "</f>
        <v>  </v>
      </c>
      <c r="BE317" s="61" t="str">
        <f aca="false">" "&amp;TRIM(SUBSTITUTE(SUBSTITUTE(SUBSTITUTE(SUBSTITUTE(SUBSTITUTE(SUBSTITUTE(SUBSTITUTE(SUBSTITUTE(SUBSTITUTE(SUBSTITUTE(SUBSTITUTE(SUBSTITUTE(SUBSTITUTE(SUBSTITUTE(SUBSTITUTE(SUBSTITUTE(SUBSTITUTE(SUBSTITUTE(SUBSTITUTE(SUBSTITUTE(SUBSTITUTE(SUBSTITUTE(SUBSTITUTE(SUBSTITUTE(LOWER(W317&amp;""),CHAR(10)," "),CHAR(13)," "),CHAR(9)," "),CHAR(160)," "),"."," "),","," "),"-"," "),"/"," "),"("," "),")"," "),":"," "),";"," "),"_"," "),"–"," "),"?"," "),"!"," "),"*"," "),"["," "),"]"," "),"'"," "),"#"," "),"+"," "),"&amp;"," "),"\"," "))&amp;" "</f>
        <v>  </v>
      </c>
      <c r="BF317" s="61" t="str">
        <f aca="false">" "&amp;TRIM(SUBSTITUTE(SUBSTITUTE(SUBSTITUTE(SUBSTITUTE(SUBSTITUTE(SUBSTITUTE(SUBSTITUTE(SUBSTITUTE(SUBSTITUTE(SUBSTITUTE(SUBSTITUTE(SUBSTITUTE(SUBSTITUTE(SUBSTITUTE(SUBSTITUTE(SUBSTITUTE(SUBSTITUTE(SUBSTITUTE(SUBSTITUTE(SUBSTITUTE(SUBSTITUTE(SUBSTITUTE(SUBSTITUTE(SUBSTITUTE(LOWER(AC317&amp;""),CHAR(10)," "),CHAR(13)," "),CHAR(9)," "),CHAR(160)," "),"."," "),","," "),"-"," "),"/"," "),"("," "),")"," "),":"," "),";"," "),"_"," "),"–"," "),"?"," "),"!"," "),"*"," "),"["," "),"]"," "),"'"," "),"#"," "),"+"," "),"&amp;"," "),"\"," "))&amp;" "</f>
        <v>  </v>
      </c>
      <c r="BG317" s="61" t="n">
        <f aca="false">IFERROR(IF(AND(TRIM(U317)="Pass",SUMPRODUCT((LEN(BC317)-LEN(SUBSTITUTE(BC317," "&amp;L_ResultBad&amp;" "," ")))/(LEN(L_ResultBad)+1))&gt;SUMPRODUCT((LEN(BC317)-LEN(SUBSTITUTE(BC317," "&amp;L_NegPhrase&amp;" "," ")))/(LEN(L_NegPhrase)+1))),1,0),0)</f>
        <v>0</v>
      </c>
      <c r="BH317" s="61" t="n">
        <f aca="false">IFERROR(IF(SUMPRODUCT((LEN(BC317)-LEN(SUBSTITUTE(BC317," "&amp;L_Pending&amp;" "," ")))/(LEN(L_Pending)+1))&gt;SUMPRODUCT((LEN(BC317)-LEN(SUBSTITUTE(BC317," "&amp;L_PendNeg&amp;" "," ")))/(LEN(L_PendNeg)+1)),1,0),1)</f>
        <v>0</v>
      </c>
      <c r="BI317" s="61" t="n">
        <f aca="false">IFERROR(IF(SUMPRODUCT((LEN(BD317)-LEN(SUBSTITUTE(BD317," "&amp;L_PendStrict&amp;" "," ")))/(LEN(L_PendStrict)+1))&gt;SUMPRODUCT((LEN(BD317)-LEN(SUBSTITUTE(BD317," "&amp;L_PendNeg&amp;" "," ")))/(LEN(L_PendNeg)+1)),1,0),1)</f>
        <v>0</v>
      </c>
      <c r="BJ317" s="61" t="n">
        <f aca="false">IFERROR(IF(SUMPRODUCT((LEN(BE317)-LEN(SUBSTITUTE(BE317," "&amp;L_Pending&amp;" "," ")))/(LEN(L_Pending)+1))&gt;SUMPRODUCT((LEN(BE317)-LEN(SUBSTITUTE(BE317," "&amp;L_PendNeg&amp;" "," ")))/(LEN(L_PendNeg)+1)),1,0),1)</f>
        <v>0</v>
      </c>
      <c r="BK317" s="61" t="n">
        <f aca="false">IFERROR(IF(SUMPRODUCT((LEN(BF317)-LEN(SUBSTITUTE(BF317," "&amp;L_PendStrict&amp;" "," ")))/(LEN(L_PendStrict)+1))&gt;SUMPRODUCT((LEN(BF317)-LEN(SUBSTITUTE(BF317," "&amp;L_PendNeg&amp;" "," ")))/(LEN(L_PendNeg)+1)),1,0),1)</f>
        <v>0</v>
      </c>
      <c r="BL317" s="61" t="n">
        <f aca="false">IF(ISNA(MATCH(TRIM(S317),L_EvidenceType,0)),0,BZ317)</f>
        <v>0</v>
      </c>
      <c r="BM317" s="61" t="str">
        <f aca="false">SUBSTITUTE(SUBSTITUTE(SUBSTITUTE(SUBSTITUTE(SUBSTITUTE(SUBSTITUTE(SUBSTITUTE(SUBSTITUTE(SUBSTITUTE(LOWER(Z317&amp;""),"1","0"),"2","0"),"3","0"),"4","0"),"5","0"),"6","0"),"7","0"),"8","0"),"9","0")</f>
        <v/>
      </c>
      <c r="BN317" s="61" t="str">
        <f aca="false">SUBSTITUTE(SUBSTITUTE(SUBSTITUTE(SUBSTITUTE(SUBSTITUTE(SUBSTITUTE(SUBSTITUTE(SUBSTITUTE(SUBSTITUTE(SUBSTITUTE(SUBSTITUTE(SUBSTITUTE(SUBSTITUTE(SUBSTITUTE(SUBSTITUTE(SUBSTITUTE(SUBSTITUTE(SUBSTITUTE(SUBSTITUTE(SUBSTITUTE(SUBSTITUTE(SUBSTITUTE(SUBSTITUTE(SUBSTITUTE(SUBSTITUTE(BM317,"b","a"),"c","a"),"d","a"),"e","a"),"f","a"),"g","a"),"h","a"),"i","a"),"j","a"),"k","a"),"l","a"),"m","a"),"n","a"),"o","a"),"p","a"),"q","a"),"r","a"),"s","a"),"t","a"),"u","a"),"v","a"),"w","a"),"x","a"),"y","a"),"z","a")</f>
        <v/>
      </c>
      <c r="BO317" s="61" t="str">
        <f aca="false">SUBSTITUTE(SUBSTITUTE(SUBSTITUTE(SUBSTITUTE(SUBSTITUTE(SUBSTITUTE(SUBSTITUTE(SUBSTITUTE(SUBSTITUTE(LOWER(W317&amp;""),"1","0"),"2","0"),"3","0"),"4","0"),"5","0"),"6","0"),"7","0"),"8","0"),"9","0")</f>
        <v/>
      </c>
      <c r="BP317" s="61" t="str">
        <f aca="false">SUBSTITUTE(SUBSTITUTE(SUBSTITUTE(SUBSTITUTE(SUBSTITUTE(SUBSTITUTE(SUBSTITUTE(SUBSTITUTE(SUBSTITUTE(SUBSTITUTE(SUBSTITUTE(SUBSTITUTE(SUBSTITUTE(SUBSTITUTE(SUBSTITUTE(SUBSTITUTE(SUBSTITUTE(SUBSTITUTE(SUBSTITUTE(SUBSTITUTE(SUBSTITUTE(SUBSTITUTE(SUBSTITUTE(SUBSTITUTE(SUBSTITUTE(BO317,"b","a"),"c","a"),"d","a"),"e","a"),"f","a"),"g","a"),"h","a"),"i","a"),"j","a"),"k","a"),"l","a"),"m","a"),"n","a"),"o","a"),"p","a"),"q","a"),"r","a"),"s","a"),"t","a"),"u","a"),"v","a"),"w","a"),"x","a"),"y","a"),"z","a")</f>
        <v/>
      </c>
      <c r="BQ317" s="61" t="n">
        <f aca="false">IFERROR(IF(AND(ISERROR(SEARCH(" mh"," "&amp;LOWER(W317))),ISNA(MATCH(LEFT(TRIM(BP317),255),{"0000a","000a","00a","0000aa","000aa","00aa","0aa","0000aaa","000aaa","00a00","0a00","0000-0000","00:00","a00","a0","00.00.0000","00/00/0000","00-00-0000","0000-00-00","0000/00/00","0000.00.00","00.00.00","00/00/00","00-00-00","0.00.0000","0/00/0000","0-00-0000"},0)),ISNA(MATCH(LEFT(TRIM(CA317),255),{"0000a","000a","00a","0000aa","000aa","00aa","0aa","0000aaa","000aaa","00a00","0a00","0000-0000","00:00","a00","a0","00.00.0000","00/00/0000","00-00-0000","0000-00-00","0000/00/00","0000.00.00","00.00.00","00/00/00","00-00-00","0.00.0000","0/00/0000","0-00-0000"},0)),LEN(CB317)&gt;=3,NOT(OR(SUBSTITUTE(CB317,"0","")="",AND(LEN(CB317)&gt;=4,CB317=REPT(LEFT(CB317),LEN(CB317))),ISNUMBER(MATCH(CB317,{"123","1234","12345","123456","1234567","12345678","0123","01234","012345","98765","987654","54321"},0)),AND(LEN(CB317)=8,LEFT(CB317,3)="202"))),OR(AND((LEN(CA317)-LEN(SUBSTITUTE(CA317,"a","")))&gt;=1,SUMPRODUCT(--ISNUMBER(SEARCH({"a0","a-0","a_0","a/0","a.0","a#0","0a","0-a","0_a","0/a"},BP317)))&gt;0),ISNUMBER(SEARCH("000000",BP317)))),1,0),0)</f>
        <v>0</v>
      </c>
      <c r="BR317" s="61" t="n">
        <f aca="false">IFERROR(LEN(SUBSTITUTE(CC317," ",""))-SUMPRODUCT((LEN(CC317)-LEN(SUBSTITUTE(CC317," "&amp;L_Role&amp;" "," ")))/(LEN(L_Role)+1)*LEN(L_Role)),0)</f>
        <v>0</v>
      </c>
      <c r="BS317" s="61" t="n">
        <f aca="false">IFERROR(LEN(SUBSTITUTE(CD317," ",""))-SUMPRODUCT((LEN(CD317)-LEN(SUBSTITUTE(CD317," "&amp;L_Role&amp;" "," ")))/(LEN(L_Role)+1)*LEN(L_Role)),0)</f>
        <v>0</v>
      </c>
      <c r="BT3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317,"revision",""),"version",""),"jan",""),"feb",""),"mar",""),"apr",""),"may",""),"jun",""),"jul",""),"aug",""),"sep",""),"oct",""),"nov",""),"dec",""),"utc",""),"gmt",""),"myt",""),"bst",""),"rev",""),"ver",""),"b","a"),"c","a"),"d","a"),"e","a"),"f","a"),"g","a"),"h","a"),"i","a"),"j","a"),"k","a"),"l","a"),"m","a"),"n","a"),"o","a"),"p","a"),"q","a"),"r","a"),"s","a"),"t","a"),"u","a"),"v","a"),"w","a"),"x","a"),"y","a"),"z","a")</f>
        <v/>
      </c>
      <c r="BU317" s="61" t="str">
        <f aca="false">SUBSTITUTE(SUBSTITUTE(SUBSTITUTE(SUBSTITUTE(SUBSTITUTE(SUBSTITUTE(SUBSTITUTE(SUBSTITUTE(SUBSTITUTE(SUBSTITUTE(LEFT(BM317,FIND("0",BM317&amp;"0")-1),"-",""),"_",""),"/",""),".",""),"#",""),"\\",""),":","")," ",""),"(",""),")","")</f>
        <v/>
      </c>
      <c r="BV317" s="61" t="n">
        <f aca="false">IFERROR(IF(OR(SUMPRODUCT((LEN(BC317)-LEN(SUBSTITUTE(BC317," "&amp;L_NotLoaded&amp;" "," ")))/(LEN(L_NotLoaded)+1))&gt;SUMPRODUCT((LEN(BC317)-LEN(SUBSTITUTE(BC317," "&amp;L_NotLoadedNeg&amp;" "," ")))/(LEN(L_NotLoadedNeg)+1)),SUMPRODUCT((LEN(BD317)-LEN(SUBSTITUTE(BD317," "&amp;L_NotLoaded&amp;" "," ")))/(LEN(L_NotLoaded)+1))&gt;SUMPRODUCT((LEN(BD317)-LEN(SUBSTITUTE(BD317," "&amp;L_NotLoadedNeg&amp;" "," ")))/(LEN(L_NotLoadedNeg)+1))),1,0),0)</f>
        <v>0</v>
      </c>
      <c r="BW3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317&amp;""),"a",""),"b",""),"c",""),"d",""),"e",""),"f",""),"g",""),"h",""),"i",""),"j",""),"k",""),"l",""),"m",""),"n",""),"o",""),"p",""),"q",""),"r",""),"s",""),"t",""),"u",""),"v",""),"w",""),"x",""),"y",""),"z",""),"-",""),"_",""),"/",""),".",""),"#",""),"\\",""),":","")," ",""),"(",""),")","")</f>
        <v/>
      </c>
      <c r="BX317" s="61" t="str">
        <f aca="false">SUBSTITUTE(SUBSTITUTE(SUBSTITUTE(SUBSTITUTE(SUBSTITUTE(SUBSTITUTE(SUBSTITUTE(SUBSTITUTE(SUBSTITUTE(SUBSTITUTE(SUBSTITUTE(BM317,"0",""),"-",""),"_",""),"/",""),".",""),"#",""),"\\",""),":","")," ",""),"(",""),")","")</f>
        <v/>
      </c>
      <c r="BY317" s="62" t="n">
        <f aca="false">IF(ISNUMBER(Flights!$AZ$13),MAX(Q317-UpliftWindowH/24,Flights!$AZ$13),Q317-UpliftWindowH/24)</f>
        <v>46306.0034722222</v>
      </c>
      <c r="BZ317" s="61" t="n">
        <f aca="false">IFERROR(IF(IF(TRIM(S317)="Link / file path",AND(LEN(TRIM(Z317))&gt;=5,SUMPRODUCT(--ISNUMBER(SEARCH({"http","www.","\\",":\",".pdf",".jpg",".jpeg",".png",".heic",".xls",".doc",".msg",".eml",".ppt",".txt",".zip"},Z317)))&gt;0),AND(ISERROR(FIND(" ",TRIM(Z317))),NOT(OR(SUMPRODUCT(--ISNUMBER(FIND({",",";","&amp;","+"},Z317)))&gt;0,SUMPRODUCT(--ISNUMBER(SEARCH({"0/aa","0\\aa"},BN317)))&gt;0)),NOT(SUMPRODUCT(--ISNUMBER(SEARCH({"http","www.","\\",":\",".pdf",".jpg",".jpeg",".png",".heic",".xls",".doc",".msg",".eml",".ppt",".txt",".zip"},Z317)))&gt;0),NOT(LOWER(TRIM(Z317))=LOWER(Flights!$F$13)),ISNA(MATCH(BU317,{"mh","rev","revision","ver","version","v","r","a","b","seat","tray","row","gate","bay","stand","page","pg","item","line","no","cart","galley","flight","flt","table","box","bag","oven","etd","eta","std","sta","atd","ata","qty","pax","x","time","tel","ph","mob","day","wk","week","utc","gmt","myt","lt"},0)),NOT(OR(ISNUMBER(MATCH(LEFT(BN317,255),{"0000a","000a","00a","0000aa","000aa","00aa","0aa","0000aaa","000aaa","00a00","0a00","0000-0000","00:00","a00","a0","00.00.0000","00/00/0000","00-00-0000","0000-00-00","0000/00/00","0000.00.00","00.00.00","00/00/00","00-00-00","0.00.0000","0/00/0000","0-00-0000"},0)),ISNUMBER(MATCH(LEFT(BT317,255),{"0000a","000a","00a","0000aa","000aa","00aa","0aa","0000aaa","000aaa","00a00","0a00","0000-0000","00:00","a00","a0","00.00.0000","00/00/0000","00-00-0000","0000-00-00","0000/00/00","0000.00.00","00.00.00","00/00/00","00-00-00","0.00.0000","0/00/0000","0-00-0000"},0)))),NOT(OR(AND(BW317&lt;&gt;"",SUBSTITUTE(BW317,"0","")=""),AND(LEN(BW317)&gt;=4,BW317=REPT(LEFT(BW317),LEN(BW317))),ISNUMBER(MATCH(BW317,{"123","1234","12345","123456","1234567","12345678","0123","01234","012345","98765","987654","54321"},0)),ISNUMBER(MATCH(BX317,{"x","xx","xxx","xxxx","xxxxx","abc","abcd","nil","na","nan","test","tbc","tba","tbd","dummy","sample","example","eg","zz","zzz","none","null","xyz","qwe","asd","id","ref"},0)),AND(LEN(BW317)=8,BX317="",OR(LEFT(BW317,3)="202",ISNUMBER(MATCH(RIGHT(BW317,4),{"2025","2026","2027"},0)))))),OR(AND((LEN(BT317)-LEN(SUBSTITUTE(BT317,"a","")))&gt;=1,(LEN(BN317)-LEN(SUBSTITUTE(BN317,"0","")))&gt;=2,SUMPRODUCT(--ISNUMBER(SEARCH({"a0","a-0","a_0","a/0","a.0","a#0","0a","0-a","0_a","0/a"},BN317)))&gt;0),AND((LEN(BN317)-LEN(SUBSTITUTE(BN317,"a","")))=0,(LEN(BN317)-LEN(SUBSTITUTE(BN317,"0","")))&gt;=5)))),1,0),0)</f>
        <v>0</v>
      </c>
      <c r="CA3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317,"revision",""),"version",""),"jan",""),"feb",""),"mar",""),"apr",""),"may",""),"jun",""),"jul",""),"aug",""),"sep",""),"oct",""),"nov",""),"dec",""),"utc",""),"gmt",""),"myt",""),"bst",""),"rev",""),"ver",""),"b","a"),"c","a"),"d","a"),"e","a"),"f","a"),"g","a"),"h","a"),"i","a"),"j","a"),"k","a"),"l","a"),"m","a"),"n","a"),"o","a"),"p","a"),"q","a"),"r","a"),"s","a"),"t","a"),"u","a"),"v","a"),"w","a"),"x","a"),"y","a"),"z","a")</f>
        <v/>
      </c>
      <c r="CB3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317&amp;""),"a",""),"b",""),"c",""),"d",""),"e",""),"f",""),"g",""),"h",""),"i",""),"j",""),"k",""),"l",""),"m",""),"n",""),"o",""),"p",""),"q",""),"r",""),"s",""),"t",""),"u",""),"v",""),"w",""),"x",""),"y",""),"z",""),"-",""),"_",""),"/",""),".",""),"#",""),"\\",""),":","")," ",""),"(",""),")","")</f>
        <v/>
      </c>
      <c r="CC317" s="0" t="str">
        <f aca="false">" "&amp;TRIM(SUBSTITUTE(SUBSTITUTE(SUBSTITUTE(SUBSTITUTE(SUBSTITUTE(SUBSTITUTE(SUBSTITUTE(SUBSTITUTE(SUBSTITUTE(SUBSTITUTE(SUBSTITUTE(SUBSTITUTE(SUBSTITUTE(SUBSTITUTE(SUBSTITUTE(SUBSTITUTE(SUBSTITUTE(SUBSTITUTE(SUBSTITUTE(SUBSTITUTE(SUBSTITUTE(SUBSTITUTE(SUBSTITUTE(SUBSTITUTE(LOWER(T317&amp;""),CHAR(10)," "),CHAR(13)," "),CHAR(9)," "),CHAR(160)," "),"."," "),","," "),"-"," "),"/"," "),"("," "),")"," "),":"," "),";"," "),"_"," "),"–"," "),"?"," "),"!"," "),"*"," "),"["," "),"]"," "),"'"," "),"#"," "),"+"," "),"&amp;"," "),"\"," "))&amp;" "</f>
        <v>  </v>
      </c>
      <c r="CD317" s="0" t="str">
        <f aca="false">" "&amp;TRIM(SUBSTITUTE(SUBSTITUTE(SUBSTITUTE(SUBSTITUTE(SUBSTITUTE(SUBSTITUTE(SUBSTITUTE(SUBSTITUTE(SUBSTITUTE(SUBSTITUTE(SUBSTITUTE(SUBSTITUTE(SUBSTITUTE(SUBSTITUTE(SUBSTITUTE(SUBSTITUTE(SUBSTITUTE(SUBSTITUTE(SUBSTITUTE(SUBSTITUTE(SUBSTITUTE(SUBSTITUTE(SUBSTITUTE(SUBSTITUTE(LOWER(AE317&amp;""),CHAR(10)," "),CHAR(13)," "),CHAR(9)," "),CHAR(160)," "),"."," "),","," "),"-"," "),"/"," "),"("," "),")"," "),":"," "),";"," "),"_"," "),"–"," "),"?"," "),"!"," "),"*"," "),"["," "),"]"," "),"'"," "),"#"," "),"+"," "),"&amp;"," "),"\"," "))&amp;" "</f>
        <v>  </v>
      </c>
      <c r="CE317" s="68" t="n">
        <f aca="false">IFERROR(IF(AND(LEN(AU317)&gt;0,LEN(AU317)=LEN(AX317),OR(TRIM(MID(SUBSTITUTE(TRIM(CC317)," ",REPT(" ",60)),1,60))="",ISNUMBER(SEARCH(" "&amp;TRIM(MID(SUBSTITUTE(TRIM(CC317)," ",REPT(" ",60)),1,60))&amp;" ",CD317))),OR(TRIM(MID(SUBSTITUTE(TRIM(CC317)," ",REPT(" ",60)),61,60))="",ISNUMBER(SEARCH(" "&amp;TRIM(MID(SUBSTITUTE(TRIM(CC317)," ",REPT(" ",60)),61,60))&amp;" ",CD317))),OR(TRIM(MID(SUBSTITUTE(TRIM(CC317)," ",REPT(" ",60)),121,60))="",ISNUMBER(SEARCH(" "&amp;TRIM(MID(SUBSTITUTE(TRIM(CC317)," ",REPT(" ",60)),121,60))&amp;" ",CD317)))),1,0),0)</f>
        <v>0</v>
      </c>
      <c r="CG317" s="68" t="n">
        <f aca="false">IFERROR(LEN(SUBSTITUTE(BF317," ",""))-SUMPRODUCT((LEN(BF317)-LEN(SUBSTITUTE(BF317," "&amp;L_NAFiller&amp;" "," ")))/(LEN(L_NAFiller)+1)*LEN(L_NAFiller)),0)</f>
        <v>0</v>
      </c>
    </row>
    <row r="318" customFormat="false" ht="39.75" hidden="false" customHeight="true" outlineLevel="0" collapsed="false">
      <c r="A318" s="57" t="s">
        <v>907</v>
      </c>
      <c r="B318" s="57" t="s">
        <v>246</v>
      </c>
      <c r="C318" s="57" t="str">
        <f aca="false">Flights!$F$13</f>
        <v>MH0753</v>
      </c>
      <c r="D318" s="58" t="n">
        <f aca="false">Flights!$D$13</f>
        <v>46306</v>
      </c>
      <c r="E318" s="57" t="str">
        <f aca="false">Flights!$G$13&amp;"-"&amp;Flights!$H$13</f>
        <v>HAN-KUL</v>
      </c>
      <c r="F318" s="57" t="str">
        <f aca="false">Flights!$K$13</f>
        <v>BC</v>
      </c>
      <c r="G318" s="57" t="s">
        <v>459</v>
      </c>
      <c r="H318" s="57" t="s">
        <v>460</v>
      </c>
      <c r="I318" s="57" t="s">
        <v>499</v>
      </c>
      <c r="J318" s="57" t="s">
        <v>548</v>
      </c>
      <c r="K318" s="67" t="s">
        <v>519</v>
      </c>
      <c r="L318" s="67" t="s">
        <v>891</v>
      </c>
      <c r="M318" s="67" t="s">
        <v>451</v>
      </c>
      <c r="N318" s="67" t="s">
        <v>383</v>
      </c>
      <c r="O318" s="67" t="s">
        <v>549</v>
      </c>
      <c r="P318" s="57" t="s">
        <v>240</v>
      </c>
      <c r="Q318" s="59" t="n">
        <f aca="false">ROUND((Flights!$AF$13)*1440,0)/1440</f>
        <v>46306.2534722222</v>
      </c>
      <c r="R318" s="59" t="n">
        <f aca="false">Q318+(IF(AND(INDEX(TZ_DSTS,MATCH(P318,TZ_STN,0))&lt;&gt;"",Q318&gt;=INDEX(TZ_DSTS,MATCH(P318,TZ_STN,0)),Q318&lt;INDEX(TZ_DSTE,MATCH(P318,TZ_STN,0))),INDEX(TZ_DST,MATCH(P318,TZ_STN,0)),INDEX(TZ_STD,MATCH(P318,TZ_STN,0))))/24</f>
        <v>46306.5451388889</v>
      </c>
      <c r="S318" s="60"/>
      <c r="T318" s="60"/>
      <c r="U318" s="60"/>
      <c r="V318" s="60"/>
      <c r="W318" s="61"/>
      <c r="X318" s="60"/>
      <c r="Y318" s="60"/>
      <c r="Z318" s="60"/>
      <c r="AA318" s="60"/>
      <c r="AB318" s="60"/>
      <c r="AC318" s="60"/>
      <c r="AD318" s="66"/>
      <c r="AE318" s="60"/>
      <c r="AF318" s="61" t="str">
        <f aca="false">IF(AND(ISNUMBER(X318),ISNUMBER(Y318)),Y318-X318,"")</f>
        <v/>
      </c>
      <c r="AG318" s="62" t="str">
        <f aca="false">IF(ISNUMBER(AD318),AD318-(IF(AND(INDEX(TZ_DSTS,MATCH(P318,TZ_STN,0))&lt;&gt;"",(AD318-INDEX(TZ_STD,MATCH(P318,TZ_STN,0))/24)&gt;=INDEX(TZ_DSTS,MATCH(P318,TZ_STN,0)),(AD318-INDEX(TZ_STD,MATCH(P318,TZ_STN,0))/24)&lt;INDEX(TZ_DSTE,MATCH(P318,TZ_STN,0))),INDEX(TZ_DST,MATCH(P318,TZ_STN,0)),INDEX(TZ_STD,MATCH(P318,TZ_STN,0))))/24,"")</f>
        <v/>
      </c>
      <c r="AH318" s="65" t="str">
        <f aca="false">IFERROR(IF(N318="N/A – rule",IF(OR(TRIM(U318)="",TRIM(U318)="N/A",TRIM(U318)="Not started"),"N/A – RULE","INVALID – this check does not apply to this aircraft: clear the status (or correct the fleet on Flights)"),IF(TRIM(U318)="N/A",IF(AT318=0,"INVALID – N/A not permitted for this check",IF(AND(TRIM(AB318)&lt;&gt;"",TRIM(AB318)&lt;&gt;"Closed"),"INVALID – corrective action still open",IF(AND(NOT(OR(LEN(AZ318)&lt;15,ISNUMBER(MATCH(AZ318,L_Placeholder,0)))),BK318=0,CG318&gt;=8,NOT(OR(LEN(AU318)&lt;2,ISNUMBER(MATCH(AU318,L_Placeholder,0)))),BR318&gt;=3,NOT(OR(LEN(AX318)&lt;2,ISNUMBER(MATCH(AX318,L_Placeholder,0)))),BS318&gt;=3,TRIM(AE318)&lt;&gt;TRIM(T318),AX318&lt;&gt;AU318,CE318=0),"N/A – JUSTIFIED","INVALID – N/A needs a real, settled reason (not 'not applicable' / 'as above' / TBC), a named PIC and a different named verifier"))),IF(OR(TRIM(U318)="Pass",TRIM(U318)="Pass after CA"),IF(NOT(ISNUMBER(AD318)),"INVALID – completion time missing",IF(OR(OR(LEN(AU318)&lt;2,ISNUMBER(MATCH(AU318,L_Placeholder,0))),BR318&lt;3),"INVALID – PIC missing or not a named person (a role such as QA / CSM is not a name)",IF(OR(LEN(AV318)&lt;2,ISNUMBER(MATCH(AV318,L_Placeholder,0))),"INVALID – result / assessment missing",IF(OR(OR(LEN(AW318)&lt;3,ISNUMBER(MATCH(AW318,L_Placeholder,0))),SUMPRODUCT(--ISNUMBER(SEARCH(" "&amp;L_EvidencePhrase&amp;" ",BD318)))&gt;0,BI318=1),"INVALID – evidence missing, placeholder or not yet on file",IF(ISNA(MATCH(TRIM(S318),L_EvidenceType,0)),"INVALID – choose the evidence type from the list (column S)",IF(BL318=0,"INVALID – evidence ID must be the record's own ID only (e.g. SF-2210, IMG_2231, 1045521); a link / file name needs type 'Link / file path'",IF(OR(OR(LEN(AX318)&lt;2,ISNUMBER(MATCH(AX318,L_Placeholder,0))),BS318&lt;3),"INVALID – verifier missing or not a named person (a role such as QA / CSM is not a name)",IF(OR(AX318=AU318,CE318=1,AND(LEN(AU318)&gt;=4,ISNUMBER(SEARCH(AU318,AX318))),AND(LEN(AX318)&gt;=4,ISNUMBER(SEARCH(AX318,AU318)))),"INVALID – verifier must be a different, named person (not the PIC or a role)",IF(BH318=1,"INVALID – result not yet available (awaiting / TBC)",IF(BG318=1,"INVALID – result describes a problem: record Fail, then Pass after CA (or reword if it is not a problem)",IF(BV318=1,"INVALID – wording says not on board: an on-board confirmation needs the item loaded",IF(AND(AQ318=1,OR(OR(LEN(AY318)&lt;3,ISNUMBER(MATCH(AY318,L_Placeholder,0))),BJ318=1,BQ318=0)),"INVALID – batch ID missing, placeholder or not an ID (e.g. PASB-261008-BC-017)",IF(AND(AR318=1,OR(NOT(ISNUMBER(X318)),NOT(ISNUMBER(Y318)))),"INVALID – expected/actual qty missing",IF(AND(AR318=1,OR(X318&lt;=0,Y318&lt;0)),"INVALID – expected qty must be above 0 and actual not negative",IF(AH306="N/A – JUSTIFIED","INVALID – preparation row F09-T12-14 is N/A",IF(AND(AR318=1,ISNUMBER(X306),X318&lt;&gt;X306,TRIM(U318)&lt;&gt;"Pass after CA"),"INVALID – expected qty differs from preparation check F09-T12-14: record the load change as a corrective action (Pass after CA)",IF(BB318&lt;&gt;"",BB318,IF(AND(AS318=1,Documents!$J$13&lt;&gt;"ON FILE"),"INVALID – GLD not on file (Documents sheet)",IF(AND(AS318=2,Documents!$O$13&lt;&gt;"ON FILE"),"INVALID – menu checklist not on file (Documents sheet)",IF(AND(AS318=3,NOT(ISNUMBER(Flights!$AX$13))),"INVALID – enter carrying flight KUL departure (Flights AX)",IF(AND(AS318=3,OR(Flights!$AZ$13&gt;Flights!$AA$13,Flights!$AX$13&lt;Flights!$AA$13-3)),"INVALID – carrying flight (Flights AX) cannot arrive before this leg's STD, or is over 3 days early",IF(AG318&gt;AsOfUTC,"INVALID – completion time is in the future",IF(AND(ISNUMBER(BY318),AG318&lt;BY318),IF(H318="Physical uplift","INVALID – before uplift window (cannot confirm loading)","INVALID – before valid window"),IF(AG318&gt;Flights!$AA$13,"INVALID – completed after departure (cannot establish readiness)",IF(AND(H318="Preparation",AG318&gt;=IF(ISNUMBER(Flights!$BA$13),MIN(Flights!$BA$13,Flights!$AA$13),Flights!$AA$13)),"INVALID – completed after loading / departure (cannot establish readiness)",IF(AND(H318="Physical uplift",AG318&gt;Q318),"INVALID – recorded after the loading flight departed",IF(AG318&gt;Q318,"COMPLETE – LATE","COMPLETE"))))))))))))))))))))))))))),IF(TRIM(U318)="Fail","FAIL – DISCREPANCY",IF(AND(TRIM(U318)&lt;&gt;"",TRIM(U318)&lt;&gt;"Not started",TRIM(U318)&lt;&gt;"In progress"),"INVALID – unrecognised status (use the list)",IF(AsOfUTC&gt;Q318,"OVERDUE",IF(N318="Clarification required","OPEN – CLARIFICATION","OPEN"))))))),"INVALID – error value in an input cell")</f>
        <v>OPEN</v>
      </c>
      <c r="AI318" s="61" t="n">
        <f aca="false">IF(OR(AH318="N/A – RULE",AH318="N/A – JUSTIFIED"),0,1)</f>
        <v>1</v>
      </c>
      <c r="AJ318" s="61" t="n">
        <f aca="false">IF(LEFT(AH318,8)="COMPLETE",1,0)</f>
        <v>0</v>
      </c>
      <c r="AK318" s="61" t="n">
        <f aca="false">IF(AND(AI318=1,AJ318=0,AsOfUTC&gt;Q318),1,0)</f>
        <v>0</v>
      </c>
      <c r="AL318" s="61" t="n">
        <f aca="false">IFERROR(IF(AND(AI318=1,OR(TRIM(U318)="Fail",AND(TRIM(AB318)&lt;&gt;"",TRIM(AB318)&lt;&gt;"Closed"),AND(ISNUMBER(AF318),AF318&lt;&gt;0,TRIM(U318)&lt;&gt;"Pass after CA"))),1,0),1)</f>
        <v>0</v>
      </c>
      <c r="AM318" s="61" t="n">
        <f aca="false">IF(LEFT(AH318,7)="INVALID",1,0)</f>
        <v>0</v>
      </c>
      <c r="AN318" s="61" t="n">
        <f aca="false">IF(AND(N318="Clarification required",AI318=1,AJ318=0),1,0)</f>
        <v>0</v>
      </c>
      <c r="AO318" s="61" t="str">
        <f aca="false">IF(AK318=1,SUM(AK$5:AK318),"")</f>
        <v/>
      </c>
      <c r="AP318" s="61" t="str">
        <f aca="false">IF(AL318=1,SUM(AL$5:AL318),"")</f>
        <v/>
      </c>
      <c r="AQ318" s="61" t="n">
        <v>0</v>
      </c>
      <c r="AR318" s="61" t="n">
        <v>0</v>
      </c>
      <c r="AS318" s="61" t="n">
        <v>0</v>
      </c>
      <c r="AT318" s="61" t="n">
        <v>0</v>
      </c>
      <c r="AU318" s="61" t="str">
        <f aca="false">SUBSTITUTE(SUBSTITUTE(SUBSTITUTE(SUBSTITUTE(SUBSTITUTE(SUBSTITUTE(SUBSTITUTE(SUBSTITUTE(SUBSTITUTE(SUBSTITUTE(SUBSTITUTE(SUBSTITUTE(SUBSTITUTE(SUBSTITUTE(SUBSTITUTE(SUBSTITUTE(LOWER(T318&amp;""),CHAR(10),""),CHAR(13),""),CHAR(9),""),CHAR(160),"")," ",""),".",""),"-",""),"/",""),"?",""),"_",""),",",""),"[",""),"]",""),"(",""),")",""),"*","")</f>
        <v/>
      </c>
      <c r="AV318" s="61" t="str">
        <f aca="false">SUBSTITUTE(SUBSTITUTE(SUBSTITUTE(SUBSTITUTE(SUBSTITUTE(SUBSTITUTE(SUBSTITUTE(SUBSTITUTE(SUBSTITUTE(SUBSTITUTE(SUBSTITUTE(SUBSTITUTE(SUBSTITUTE(SUBSTITUTE(SUBSTITUTE(SUBSTITUTE(LOWER(V318&amp;""),CHAR(10),""),CHAR(13),""),CHAR(9),""),CHAR(160),"")," ",""),".",""),"-",""),"/",""),"?",""),"_",""),",",""),"[",""),"]",""),"(",""),")",""),"*","")</f>
        <v/>
      </c>
      <c r="AW318" s="61" t="str">
        <f aca="false">SUBSTITUTE(SUBSTITUTE(SUBSTITUTE(SUBSTITUTE(SUBSTITUTE(SUBSTITUTE(SUBSTITUTE(SUBSTITUTE(SUBSTITUTE(SUBSTITUTE(SUBSTITUTE(SUBSTITUTE(SUBSTITUTE(SUBSTITUTE(SUBSTITUTE(SUBSTITUTE(LOWER(Z318&amp;""),CHAR(10),""),CHAR(13),""),CHAR(9),""),CHAR(160),"")," ",""),".",""),"-",""),"/",""),"?",""),"_",""),",",""),"[",""),"]",""),"(",""),")",""),"*","")</f>
        <v/>
      </c>
      <c r="AX318" s="61" t="str">
        <f aca="false">SUBSTITUTE(SUBSTITUTE(SUBSTITUTE(SUBSTITUTE(SUBSTITUTE(SUBSTITUTE(SUBSTITUTE(SUBSTITUTE(SUBSTITUTE(SUBSTITUTE(SUBSTITUTE(SUBSTITUTE(SUBSTITUTE(SUBSTITUTE(SUBSTITUTE(SUBSTITUTE(LOWER(AE318&amp;""),CHAR(10),""),CHAR(13),""),CHAR(9),""),CHAR(160),"")," ",""),".",""),"-",""),"/",""),"?",""),"_",""),",",""),"[",""),"]",""),"(",""),")",""),"*","")</f>
        <v/>
      </c>
      <c r="AY318" s="61" t="str">
        <f aca="false">SUBSTITUTE(SUBSTITUTE(SUBSTITUTE(SUBSTITUTE(SUBSTITUTE(SUBSTITUTE(SUBSTITUTE(SUBSTITUTE(SUBSTITUTE(SUBSTITUTE(SUBSTITUTE(SUBSTITUTE(SUBSTITUTE(SUBSTITUTE(SUBSTITUTE(SUBSTITUTE(LOWER(W318&amp;""),CHAR(10),""),CHAR(13),""),CHAR(9),""),CHAR(160),"")," ",""),".",""),"-",""),"/",""),"?",""),"_",""),",",""),"[",""),"]",""),"(",""),")",""),"*","")</f>
        <v/>
      </c>
      <c r="AZ318" s="61" t="str">
        <f aca="false">SUBSTITUTE(SUBSTITUTE(SUBSTITUTE(SUBSTITUTE(SUBSTITUTE(SUBSTITUTE(SUBSTITUTE(SUBSTITUTE(SUBSTITUTE(SUBSTITUTE(SUBSTITUTE(SUBSTITUTE(SUBSTITUTE(SUBSTITUTE(SUBSTITUTE(SUBSTITUTE(LOWER(AC318&amp;""),CHAR(10),""),CHAR(13),""),CHAR(9),""),CHAR(160),"")," ",""),".",""),"-",""),"/",""),"?",""),"_",""),",",""),"[",""),"]",""),"(",""),")",""),"*","")</f>
        <v/>
      </c>
      <c r="BA318" s="61" t="str">
        <f aca="false">SUBSTITUTE(SUBSTITUTE(SUBSTITUTE(SUBSTITUTE(SUBSTITUTE(SUBSTITUTE(SUBSTITUTE(SUBSTITUTE(SUBSTITUTE(SUBSTITUTE(SUBSTITUTE(SUBSTITUTE(SUBSTITUTE(SUBSTITUTE(SUBSTITUTE(SUBSTITUTE(LOWER(AA318&amp;""),CHAR(10),""),CHAR(13),""),CHAR(9),""),CHAR(160),"")," ",""),".",""),"-",""),"/",""),"?",""),"_",""),",",""),"[",""),"]",""),"(",""),")",""),"*","")</f>
        <v/>
      </c>
      <c r="BB318" s="61" t="str">
        <f aca="false">IF(AND(TRIM(U318)="Pass",ISNUMBER(AF318)),IF(AF318&lt;&gt;0,"INVALID – qty variance: use Fail or Pass after CA",""),"")&amp;IF(AND(TRIM(U318)="Pass after CA",ISNUMBER(AF318)),IF(AF318&lt;&gt;0,"INVALID – after the corrective action the actual qty must equal expected (update Actual)",""),"")&amp;IF(AND(TRIM(U318)="Pass",TRIM(AB318)&lt;&gt;"",TRIM(AB318)&lt;&gt;"Closed"),"INVALID – corrective action not closed: use Fail, then Pass after CA","")&amp;IF(AND(LEN(BA318)&gt;=2,ISNA(MATCH(LEFT(BA318,255),L_Placeholder,0)),TRIM(AB318)=""),"INVALID – CA status missing for the recorded corrective action","")&amp;IF(AND(TRIM(U318)="Pass after CA",OR(OR(LEN(BA318)&lt;5,ISNUMBER(MATCH(BA318,L_Placeholder,0))),TRIM(AB318)&lt;&gt;"Closed")),"INVALID – corrective action not recorded/closed","")</f>
        <v/>
      </c>
      <c r="BC318" s="61" t="str">
        <f aca="false">" "&amp;TRIM(SUBSTITUTE(SUBSTITUTE(SUBSTITUTE(SUBSTITUTE(SUBSTITUTE(SUBSTITUTE(SUBSTITUTE(SUBSTITUTE(SUBSTITUTE(SUBSTITUTE(SUBSTITUTE(SUBSTITUTE(SUBSTITUTE(SUBSTITUTE(SUBSTITUTE(SUBSTITUTE(SUBSTITUTE(SUBSTITUTE(SUBSTITUTE(SUBSTITUTE(SUBSTITUTE(SUBSTITUTE(SUBSTITUTE(SUBSTITUTE(LOWER(V318&amp;""),CHAR(10)," "),CHAR(13)," "),CHAR(9)," "),CHAR(160)," "),"."," "),","," "),"-"," "),"/"," "),"("," "),")"," "),":"," "),";"," "),"_"," "),"–"," "),"?"," "),"!"," "),"*"," "),"["," "),"]"," "),"'"," "),"#"," "),"+"," "),"&amp;"," "),"\"," "))&amp;" "</f>
        <v>  </v>
      </c>
      <c r="BD318" s="61" t="str">
        <f aca="false">" "&amp;TRIM(SUBSTITUTE(SUBSTITUTE(SUBSTITUTE(SUBSTITUTE(SUBSTITUTE(SUBSTITUTE(SUBSTITUTE(SUBSTITUTE(SUBSTITUTE(SUBSTITUTE(SUBSTITUTE(SUBSTITUTE(SUBSTITUTE(SUBSTITUTE(SUBSTITUTE(SUBSTITUTE(SUBSTITUTE(SUBSTITUTE(SUBSTITUTE(SUBSTITUTE(SUBSTITUTE(SUBSTITUTE(SUBSTITUTE(SUBSTITUTE(LOWER(Z318&amp;""),CHAR(10)," "),CHAR(13)," "),CHAR(9)," "),CHAR(160)," "),"."," "),","," "),"-"," "),"/"," "),"("," "),")"," "),":"," "),";"," "),"_"," "),"–"," "),"?"," "),"!"," "),"*"," "),"["," "),"]"," "),"'"," "),"#"," "),"+"," "),"&amp;"," "),"\"," "))&amp;" "</f>
        <v>  </v>
      </c>
      <c r="BE318" s="61" t="str">
        <f aca="false">" "&amp;TRIM(SUBSTITUTE(SUBSTITUTE(SUBSTITUTE(SUBSTITUTE(SUBSTITUTE(SUBSTITUTE(SUBSTITUTE(SUBSTITUTE(SUBSTITUTE(SUBSTITUTE(SUBSTITUTE(SUBSTITUTE(SUBSTITUTE(SUBSTITUTE(SUBSTITUTE(SUBSTITUTE(SUBSTITUTE(SUBSTITUTE(SUBSTITUTE(SUBSTITUTE(SUBSTITUTE(SUBSTITUTE(SUBSTITUTE(SUBSTITUTE(LOWER(W318&amp;""),CHAR(10)," "),CHAR(13)," "),CHAR(9)," "),CHAR(160)," "),"."," "),","," "),"-"," "),"/"," "),"("," "),")"," "),":"," "),";"," "),"_"," "),"–"," "),"?"," "),"!"," "),"*"," "),"["," "),"]"," "),"'"," "),"#"," "),"+"," "),"&amp;"," "),"\"," "))&amp;" "</f>
        <v>  </v>
      </c>
      <c r="BF318" s="61" t="str">
        <f aca="false">" "&amp;TRIM(SUBSTITUTE(SUBSTITUTE(SUBSTITUTE(SUBSTITUTE(SUBSTITUTE(SUBSTITUTE(SUBSTITUTE(SUBSTITUTE(SUBSTITUTE(SUBSTITUTE(SUBSTITUTE(SUBSTITUTE(SUBSTITUTE(SUBSTITUTE(SUBSTITUTE(SUBSTITUTE(SUBSTITUTE(SUBSTITUTE(SUBSTITUTE(SUBSTITUTE(SUBSTITUTE(SUBSTITUTE(SUBSTITUTE(SUBSTITUTE(LOWER(AC318&amp;""),CHAR(10)," "),CHAR(13)," "),CHAR(9)," "),CHAR(160)," "),"."," "),","," "),"-"," "),"/"," "),"("," "),")"," "),":"," "),";"," "),"_"," "),"–"," "),"?"," "),"!"," "),"*"," "),"["," "),"]"," "),"'"," "),"#"," "),"+"," "),"&amp;"," "),"\"," "))&amp;" "</f>
        <v>  </v>
      </c>
      <c r="BG318" s="61" t="n">
        <f aca="false">IFERROR(IF(AND(TRIM(U318)="Pass",SUMPRODUCT((LEN(BC318)-LEN(SUBSTITUTE(BC318," "&amp;L_ResultBad&amp;" "," ")))/(LEN(L_ResultBad)+1))&gt;SUMPRODUCT((LEN(BC318)-LEN(SUBSTITUTE(BC318," "&amp;L_NegPhrase&amp;" "," ")))/(LEN(L_NegPhrase)+1))),1,0),0)</f>
        <v>0</v>
      </c>
      <c r="BH318" s="61" t="n">
        <f aca="false">IFERROR(IF(SUMPRODUCT((LEN(BC318)-LEN(SUBSTITUTE(BC318," "&amp;L_Pending&amp;" "," ")))/(LEN(L_Pending)+1))&gt;SUMPRODUCT((LEN(BC318)-LEN(SUBSTITUTE(BC318," "&amp;L_PendNeg&amp;" "," ")))/(LEN(L_PendNeg)+1)),1,0),1)</f>
        <v>0</v>
      </c>
      <c r="BI318" s="61" t="n">
        <f aca="false">IFERROR(IF(SUMPRODUCT((LEN(BD318)-LEN(SUBSTITUTE(BD318," "&amp;L_PendStrict&amp;" "," ")))/(LEN(L_PendStrict)+1))&gt;SUMPRODUCT((LEN(BD318)-LEN(SUBSTITUTE(BD318," "&amp;L_PendNeg&amp;" "," ")))/(LEN(L_PendNeg)+1)),1,0),1)</f>
        <v>0</v>
      </c>
      <c r="BJ318" s="61" t="n">
        <f aca="false">IFERROR(IF(SUMPRODUCT((LEN(BE318)-LEN(SUBSTITUTE(BE318," "&amp;L_Pending&amp;" "," ")))/(LEN(L_Pending)+1))&gt;SUMPRODUCT((LEN(BE318)-LEN(SUBSTITUTE(BE318," "&amp;L_PendNeg&amp;" "," ")))/(LEN(L_PendNeg)+1)),1,0),1)</f>
        <v>0</v>
      </c>
      <c r="BK318" s="61" t="n">
        <f aca="false">IFERROR(IF(SUMPRODUCT((LEN(BF318)-LEN(SUBSTITUTE(BF318," "&amp;L_PendStrict&amp;" "," ")))/(LEN(L_PendStrict)+1))&gt;SUMPRODUCT((LEN(BF318)-LEN(SUBSTITUTE(BF318," "&amp;L_PendNeg&amp;" "," ")))/(LEN(L_PendNeg)+1)),1,0),1)</f>
        <v>0</v>
      </c>
      <c r="BL318" s="61" t="n">
        <f aca="false">IF(ISNA(MATCH(TRIM(S318),L_EvidenceType,0)),0,BZ318)</f>
        <v>0</v>
      </c>
      <c r="BM318" s="61" t="str">
        <f aca="false">SUBSTITUTE(SUBSTITUTE(SUBSTITUTE(SUBSTITUTE(SUBSTITUTE(SUBSTITUTE(SUBSTITUTE(SUBSTITUTE(SUBSTITUTE(LOWER(Z318&amp;""),"1","0"),"2","0"),"3","0"),"4","0"),"5","0"),"6","0"),"7","0"),"8","0"),"9","0")</f>
        <v/>
      </c>
      <c r="BN318" s="61" t="str">
        <f aca="false">SUBSTITUTE(SUBSTITUTE(SUBSTITUTE(SUBSTITUTE(SUBSTITUTE(SUBSTITUTE(SUBSTITUTE(SUBSTITUTE(SUBSTITUTE(SUBSTITUTE(SUBSTITUTE(SUBSTITUTE(SUBSTITUTE(SUBSTITUTE(SUBSTITUTE(SUBSTITUTE(SUBSTITUTE(SUBSTITUTE(SUBSTITUTE(SUBSTITUTE(SUBSTITUTE(SUBSTITUTE(SUBSTITUTE(SUBSTITUTE(SUBSTITUTE(BM318,"b","a"),"c","a"),"d","a"),"e","a"),"f","a"),"g","a"),"h","a"),"i","a"),"j","a"),"k","a"),"l","a"),"m","a"),"n","a"),"o","a"),"p","a"),"q","a"),"r","a"),"s","a"),"t","a"),"u","a"),"v","a"),"w","a"),"x","a"),"y","a"),"z","a")</f>
        <v/>
      </c>
      <c r="BO318" s="61" t="str">
        <f aca="false">SUBSTITUTE(SUBSTITUTE(SUBSTITUTE(SUBSTITUTE(SUBSTITUTE(SUBSTITUTE(SUBSTITUTE(SUBSTITUTE(SUBSTITUTE(LOWER(W318&amp;""),"1","0"),"2","0"),"3","0"),"4","0"),"5","0"),"6","0"),"7","0"),"8","0"),"9","0")</f>
        <v/>
      </c>
      <c r="BP318" s="61" t="str">
        <f aca="false">SUBSTITUTE(SUBSTITUTE(SUBSTITUTE(SUBSTITUTE(SUBSTITUTE(SUBSTITUTE(SUBSTITUTE(SUBSTITUTE(SUBSTITUTE(SUBSTITUTE(SUBSTITUTE(SUBSTITUTE(SUBSTITUTE(SUBSTITUTE(SUBSTITUTE(SUBSTITUTE(SUBSTITUTE(SUBSTITUTE(SUBSTITUTE(SUBSTITUTE(SUBSTITUTE(SUBSTITUTE(SUBSTITUTE(SUBSTITUTE(SUBSTITUTE(BO318,"b","a"),"c","a"),"d","a"),"e","a"),"f","a"),"g","a"),"h","a"),"i","a"),"j","a"),"k","a"),"l","a"),"m","a"),"n","a"),"o","a"),"p","a"),"q","a"),"r","a"),"s","a"),"t","a"),"u","a"),"v","a"),"w","a"),"x","a"),"y","a"),"z","a")</f>
        <v/>
      </c>
      <c r="BQ318" s="61" t="n">
        <f aca="false">IFERROR(IF(AND(ISERROR(SEARCH(" mh"," "&amp;LOWER(W318))),ISNA(MATCH(LEFT(TRIM(BP318),255),{"0000a","000a","00a","0000aa","000aa","00aa","0aa","0000aaa","000aaa","00a00","0a00","0000-0000","00:00","a00","a0","00.00.0000","00/00/0000","00-00-0000","0000-00-00","0000/00/00","0000.00.00","00.00.00","00/00/00","00-00-00","0.00.0000","0/00/0000","0-00-0000"},0)),ISNA(MATCH(LEFT(TRIM(CA318),255),{"0000a","000a","00a","0000aa","000aa","00aa","0aa","0000aaa","000aaa","00a00","0a00","0000-0000","00:00","a00","a0","00.00.0000","00/00/0000","00-00-0000","0000-00-00","0000/00/00","0000.00.00","00.00.00","00/00/00","00-00-00","0.00.0000","0/00/0000","0-00-0000"},0)),LEN(CB318)&gt;=3,NOT(OR(SUBSTITUTE(CB318,"0","")="",AND(LEN(CB318)&gt;=4,CB318=REPT(LEFT(CB318),LEN(CB318))),ISNUMBER(MATCH(CB318,{"123","1234","12345","123456","1234567","12345678","0123","01234","012345","98765","987654","54321"},0)),AND(LEN(CB318)=8,LEFT(CB318,3)="202"))),OR(AND((LEN(CA318)-LEN(SUBSTITUTE(CA318,"a","")))&gt;=1,SUMPRODUCT(--ISNUMBER(SEARCH({"a0","a-0","a_0","a/0","a.0","a#0","0a","0-a","0_a","0/a"},BP318)))&gt;0),ISNUMBER(SEARCH("000000",BP318)))),1,0),0)</f>
        <v>0</v>
      </c>
      <c r="BR318" s="61" t="n">
        <f aca="false">IFERROR(LEN(SUBSTITUTE(CC318," ",""))-SUMPRODUCT((LEN(CC318)-LEN(SUBSTITUTE(CC318," "&amp;L_Role&amp;" "," ")))/(LEN(L_Role)+1)*LEN(L_Role)),0)</f>
        <v>0</v>
      </c>
      <c r="BS318" s="61" t="n">
        <f aca="false">IFERROR(LEN(SUBSTITUTE(CD318," ",""))-SUMPRODUCT((LEN(CD318)-LEN(SUBSTITUTE(CD318," "&amp;L_Role&amp;" "," ")))/(LEN(L_Role)+1)*LEN(L_Role)),0)</f>
        <v>0</v>
      </c>
      <c r="BT3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318,"revision",""),"version",""),"jan",""),"feb",""),"mar",""),"apr",""),"may",""),"jun",""),"jul",""),"aug",""),"sep",""),"oct",""),"nov",""),"dec",""),"utc",""),"gmt",""),"myt",""),"bst",""),"rev",""),"ver",""),"b","a"),"c","a"),"d","a"),"e","a"),"f","a"),"g","a"),"h","a"),"i","a"),"j","a"),"k","a"),"l","a"),"m","a"),"n","a"),"o","a"),"p","a"),"q","a"),"r","a"),"s","a"),"t","a"),"u","a"),"v","a"),"w","a"),"x","a"),"y","a"),"z","a")</f>
        <v/>
      </c>
      <c r="BU318" s="61" t="str">
        <f aca="false">SUBSTITUTE(SUBSTITUTE(SUBSTITUTE(SUBSTITUTE(SUBSTITUTE(SUBSTITUTE(SUBSTITUTE(SUBSTITUTE(SUBSTITUTE(SUBSTITUTE(LEFT(BM318,FIND("0",BM318&amp;"0")-1),"-",""),"_",""),"/",""),".",""),"#",""),"\\",""),":","")," ",""),"(",""),")","")</f>
        <v/>
      </c>
      <c r="BV318" s="61" t="n">
        <f aca="false">IFERROR(IF(OR(SUMPRODUCT((LEN(BC318)-LEN(SUBSTITUTE(BC318," "&amp;L_NotLoaded&amp;" "," ")))/(LEN(L_NotLoaded)+1))&gt;SUMPRODUCT((LEN(BC318)-LEN(SUBSTITUTE(BC318," "&amp;L_NotLoadedNeg&amp;" "," ")))/(LEN(L_NotLoadedNeg)+1)),SUMPRODUCT((LEN(BD318)-LEN(SUBSTITUTE(BD318," "&amp;L_NotLoaded&amp;" "," ")))/(LEN(L_NotLoaded)+1))&gt;SUMPRODUCT((LEN(BD318)-LEN(SUBSTITUTE(BD318," "&amp;L_NotLoadedNeg&amp;" "," ")))/(LEN(L_NotLoadedNeg)+1))),1,0),0)</f>
        <v>0</v>
      </c>
      <c r="BW3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318&amp;""),"a",""),"b",""),"c",""),"d",""),"e",""),"f",""),"g",""),"h",""),"i",""),"j",""),"k",""),"l",""),"m",""),"n",""),"o",""),"p",""),"q",""),"r",""),"s",""),"t",""),"u",""),"v",""),"w",""),"x",""),"y",""),"z",""),"-",""),"_",""),"/",""),".",""),"#",""),"\\",""),":","")," ",""),"(",""),")","")</f>
        <v/>
      </c>
      <c r="BX318" s="61" t="str">
        <f aca="false">SUBSTITUTE(SUBSTITUTE(SUBSTITUTE(SUBSTITUTE(SUBSTITUTE(SUBSTITUTE(SUBSTITUTE(SUBSTITUTE(SUBSTITUTE(SUBSTITUTE(SUBSTITUTE(BM318,"0",""),"-",""),"_",""),"/",""),".",""),"#",""),"\\",""),":","")," ",""),"(",""),")","")</f>
        <v/>
      </c>
      <c r="BY318" s="62" t="n">
        <f aca="false">IF(ISNUMBER(Flights!$AZ$13),MAX(Q318-UpliftWindowH/24,Flights!$AZ$13),Q318-UpliftWindowH/24)</f>
        <v>46306.0034722222</v>
      </c>
      <c r="BZ318" s="61" t="n">
        <f aca="false">IFERROR(IF(IF(TRIM(S318)="Link / file path",AND(LEN(TRIM(Z318))&gt;=5,SUMPRODUCT(--ISNUMBER(SEARCH({"http","www.","\\",":\",".pdf",".jpg",".jpeg",".png",".heic",".xls",".doc",".msg",".eml",".ppt",".txt",".zip"},Z318)))&gt;0),AND(ISERROR(FIND(" ",TRIM(Z318))),NOT(OR(SUMPRODUCT(--ISNUMBER(FIND({",",";","&amp;","+"},Z318)))&gt;0,SUMPRODUCT(--ISNUMBER(SEARCH({"0/aa","0\\aa"},BN318)))&gt;0)),NOT(SUMPRODUCT(--ISNUMBER(SEARCH({"http","www.","\\",":\",".pdf",".jpg",".jpeg",".png",".heic",".xls",".doc",".msg",".eml",".ppt",".txt",".zip"},Z318)))&gt;0),NOT(LOWER(TRIM(Z318))=LOWER(Flights!$F$13)),ISNA(MATCH(BU318,{"mh","rev","revision","ver","version","v","r","a","b","seat","tray","row","gate","bay","stand","page","pg","item","line","no","cart","galley","flight","flt","table","box","bag","oven","etd","eta","std","sta","atd","ata","qty","pax","x","time","tel","ph","mob","day","wk","week","utc","gmt","myt","lt"},0)),NOT(OR(ISNUMBER(MATCH(LEFT(BN318,255),{"0000a","000a","00a","0000aa","000aa","00aa","0aa","0000aaa","000aaa","00a00","0a00","0000-0000","00:00","a00","a0","00.00.0000","00/00/0000","00-00-0000","0000-00-00","0000/00/00","0000.00.00","00.00.00","00/00/00","00-00-00","0.00.0000","0/00/0000","0-00-0000"},0)),ISNUMBER(MATCH(LEFT(BT318,255),{"0000a","000a","00a","0000aa","000aa","00aa","0aa","0000aaa","000aaa","00a00","0a00","0000-0000","00:00","a00","a0","00.00.0000","00/00/0000","00-00-0000","0000-00-00","0000/00/00","0000.00.00","00.00.00","00/00/00","00-00-00","0.00.0000","0/00/0000","0-00-0000"},0)))),NOT(OR(AND(BW318&lt;&gt;"",SUBSTITUTE(BW318,"0","")=""),AND(LEN(BW318)&gt;=4,BW318=REPT(LEFT(BW318),LEN(BW318))),ISNUMBER(MATCH(BW318,{"123","1234","12345","123456","1234567","12345678","0123","01234","012345","98765","987654","54321"},0)),ISNUMBER(MATCH(BX318,{"x","xx","xxx","xxxx","xxxxx","abc","abcd","nil","na","nan","test","tbc","tba","tbd","dummy","sample","example","eg","zz","zzz","none","null","xyz","qwe","asd","id","ref"},0)),AND(LEN(BW318)=8,BX318="",OR(LEFT(BW318,3)="202",ISNUMBER(MATCH(RIGHT(BW318,4),{"2025","2026","2027"},0)))))),OR(AND((LEN(BT318)-LEN(SUBSTITUTE(BT318,"a","")))&gt;=1,(LEN(BN318)-LEN(SUBSTITUTE(BN318,"0","")))&gt;=2,SUMPRODUCT(--ISNUMBER(SEARCH({"a0","a-0","a_0","a/0","a.0","a#0","0a","0-a","0_a","0/a"},BN318)))&gt;0),AND((LEN(BN318)-LEN(SUBSTITUTE(BN318,"a","")))=0,(LEN(BN318)-LEN(SUBSTITUTE(BN318,"0","")))&gt;=5)))),1,0),0)</f>
        <v>0</v>
      </c>
      <c r="CA3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318,"revision",""),"version",""),"jan",""),"feb",""),"mar",""),"apr",""),"may",""),"jun",""),"jul",""),"aug",""),"sep",""),"oct",""),"nov",""),"dec",""),"utc",""),"gmt",""),"myt",""),"bst",""),"rev",""),"ver",""),"b","a"),"c","a"),"d","a"),"e","a"),"f","a"),"g","a"),"h","a"),"i","a"),"j","a"),"k","a"),"l","a"),"m","a"),"n","a"),"o","a"),"p","a"),"q","a"),"r","a"),"s","a"),"t","a"),"u","a"),"v","a"),"w","a"),"x","a"),"y","a"),"z","a")</f>
        <v/>
      </c>
      <c r="CB3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318&amp;""),"a",""),"b",""),"c",""),"d",""),"e",""),"f",""),"g",""),"h",""),"i",""),"j",""),"k",""),"l",""),"m",""),"n",""),"o",""),"p",""),"q",""),"r",""),"s",""),"t",""),"u",""),"v",""),"w",""),"x",""),"y",""),"z",""),"-",""),"_",""),"/",""),".",""),"#",""),"\\",""),":","")," ",""),"(",""),")","")</f>
        <v/>
      </c>
      <c r="CC318" s="0" t="str">
        <f aca="false">" "&amp;TRIM(SUBSTITUTE(SUBSTITUTE(SUBSTITUTE(SUBSTITUTE(SUBSTITUTE(SUBSTITUTE(SUBSTITUTE(SUBSTITUTE(SUBSTITUTE(SUBSTITUTE(SUBSTITUTE(SUBSTITUTE(SUBSTITUTE(SUBSTITUTE(SUBSTITUTE(SUBSTITUTE(SUBSTITUTE(SUBSTITUTE(SUBSTITUTE(SUBSTITUTE(SUBSTITUTE(SUBSTITUTE(SUBSTITUTE(SUBSTITUTE(LOWER(T318&amp;""),CHAR(10)," "),CHAR(13)," "),CHAR(9)," "),CHAR(160)," "),"."," "),","," "),"-"," "),"/"," "),"("," "),")"," "),":"," "),";"," "),"_"," "),"–"," "),"?"," "),"!"," "),"*"," "),"["," "),"]"," "),"'"," "),"#"," "),"+"," "),"&amp;"," "),"\"," "))&amp;" "</f>
        <v>  </v>
      </c>
      <c r="CD318" s="0" t="str">
        <f aca="false">" "&amp;TRIM(SUBSTITUTE(SUBSTITUTE(SUBSTITUTE(SUBSTITUTE(SUBSTITUTE(SUBSTITUTE(SUBSTITUTE(SUBSTITUTE(SUBSTITUTE(SUBSTITUTE(SUBSTITUTE(SUBSTITUTE(SUBSTITUTE(SUBSTITUTE(SUBSTITUTE(SUBSTITUTE(SUBSTITUTE(SUBSTITUTE(SUBSTITUTE(SUBSTITUTE(SUBSTITUTE(SUBSTITUTE(SUBSTITUTE(SUBSTITUTE(LOWER(AE318&amp;""),CHAR(10)," "),CHAR(13)," "),CHAR(9)," "),CHAR(160)," "),"."," "),","," "),"-"," "),"/"," "),"("," "),")"," "),":"," "),";"," "),"_"," "),"–"," "),"?"," "),"!"," "),"*"," "),"["," "),"]"," "),"'"," "),"#"," "),"+"," "),"&amp;"," "),"\"," "))&amp;" "</f>
        <v>  </v>
      </c>
      <c r="CE318" s="68" t="n">
        <f aca="false">IFERROR(IF(AND(LEN(AU318)&gt;0,LEN(AU318)=LEN(AX318),OR(TRIM(MID(SUBSTITUTE(TRIM(CC318)," ",REPT(" ",60)),1,60))="",ISNUMBER(SEARCH(" "&amp;TRIM(MID(SUBSTITUTE(TRIM(CC318)," ",REPT(" ",60)),1,60))&amp;" ",CD318))),OR(TRIM(MID(SUBSTITUTE(TRIM(CC318)," ",REPT(" ",60)),61,60))="",ISNUMBER(SEARCH(" "&amp;TRIM(MID(SUBSTITUTE(TRIM(CC318)," ",REPT(" ",60)),61,60))&amp;" ",CD318))),OR(TRIM(MID(SUBSTITUTE(TRIM(CC318)," ",REPT(" ",60)),121,60))="",ISNUMBER(SEARCH(" "&amp;TRIM(MID(SUBSTITUTE(TRIM(CC318)," ",REPT(" ",60)),121,60))&amp;" ",CD318)))),1,0),0)</f>
        <v>0</v>
      </c>
      <c r="CG318" s="68" t="n">
        <f aca="false">IFERROR(LEN(SUBSTITUTE(BF318," ",""))-SUMPRODUCT((LEN(BF318)-LEN(SUBSTITUTE(BF318," "&amp;L_NAFiller&amp;" "," ")))/(LEN(L_NAFiller)+1)*LEN(L_NAFiller)),0)</f>
        <v>0</v>
      </c>
    </row>
    <row r="319" customFormat="false" ht="39.75" hidden="false" customHeight="true" outlineLevel="0" collapsed="false">
      <c r="A319" s="57" t="s">
        <v>908</v>
      </c>
      <c r="B319" s="57" t="s">
        <v>246</v>
      </c>
      <c r="C319" s="57" t="str">
        <f aca="false">Flights!$F$13</f>
        <v>MH0753</v>
      </c>
      <c r="D319" s="58" t="n">
        <f aca="false">Flights!$D$13</f>
        <v>46306</v>
      </c>
      <c r="E319" s="57" t="str">
        <f aca="false">Flights!$G$13&amp;"-"&amp;Flights!$H$13</f>
        <v>HAN-KUL</v>
      </c>
      <c r="F319" s="57" t="str">
        <f aca="false">Flights!$K$13</f>
        <v>BC</v>
      </c>
      <c r="G319" s="57" t="s">
        <v>459</v>
      </c>
      <c r="H319" s="57" t="s">
        <v>460</v>
      </c>
      <c r="I319" s="57" t="s">
        <v>499</v>
      </c>
      <c r="J319" s="57" t="s">
        <v>551</v>
      </c>
      <c r="K319" s="67" t="s">
        <v>501</v>
      </c>
      <c r="L319" s="67" t="s">
        <v>894</v>
      </c>
      <c r="M319" s="67" t="s">
        <v>451</v>
      </c>
      <c r="N319" s="67" t="s">
        <v>383</v>
      </c>
      <c r="O319" s="67"/>
      <c r="P319" s="57" t="s">
        <v>240</v>
      </c>
      <c r="Q319" s="59" t="n">
        <f aca="false">ROUND((Flights!$AF$13)*1440,0)/1440</f>
        <v>46306.2534722222</v>
      </c>
      <c r="R319" s="59" t="n">
        <f aca="false">Q319+(IF(AND(INDEX(TZ_DSTS,MATCH(P319,TZ_STN,0))&lt;&gt;"",Q319&gt;=INDEX(TZ_DSTS,MATCH(P319,TZ_STN,0)),Q319&lt;INDEX(TZ_DSTE,MATCH(P319,TZ_STN,0))),INDEX(TZ_DST,MATCH(P319,TZ_STN,0)),INDEX(TZ_STD,MATCH(P319,TZ_STN,0))))/24</f>
        <v>46306.5451388889</v>
      </c>
      <c r="S319" s="60"/>
      <c r="T319" s="60"/>
      <c r="U319" s="60"/>
      <c r="V319" s="60"/>
      <c r="W319" s="61"/>
      <c r="X319" s="60"/>
      <c r="Y319" s="60"/>
      <c r="Z319" s="60"/>
      <c r="AA319" s="60"/>
      <c r="AB319" s="60"/>
      <c r="AC319" s="60"/>
      <c r="AD319" s="66"/>
      <c r="AE319" s="60"/>
      <c r="AF319" s="61" t="str">
        <f aca="false">IF(AND(ISNUMBER(X319),ISNUMBER(Y319)),Y319-X319,"")</f>
        <v/>
      </c>
      <c r="AG319" s="62" t="str">
        <f aca="false">IF(ISNUMBER(AD319),AD319-(IF(AND(INDEX(TZ_DSTS,MATCH(P319,TZ_STN,0))&lt;&gt;"",(AD319-INDEX(TZ_STD,MATCH(P319,TZ_STN,0))/24)&gt;=INDEX(TZ_DSTS,MATCH(P319,TZ_STN,0)),(AD319-INDEX(TZ_STD,MATCH(P319,TZ_STN,0))/24)&lt;INDEX(TZ_DSTE,MATCH(P319,TZ_STN,0))),INDEX(TZ_DST,MATCH(P319,TZ_STN,0)),INDEX(TZ_STD,MATCH(P319,TZ_STN,0))))/24,"")</f>
        <v/>
      </c>
      <c r="AH319" s="65" t="str">
        <f aca="false">IFERROR(IF(N319="N/A – rule",IF(OR(TRIM(U319)="",TRIM(U319)="N/A",TRIM(U319)="Not started"),"N/A – RULE","INVALID – this check does not apply to this aircraft: clear the status (or correct the fleet on Flights)"),IF(TRIM(U319)="N/A",IF(AT319=0,"INVALID – N/A not permitted for this check",IF(AND(TRIM(AB319)&lt;&gt;"",TRIM(AB319)&lt;&gt;"Closed"),"INVALID – corrective action still open",IF(AND(NOT(OR(LEN(AZ319)&lt;15,ISNUMBER(MATCH(AZ319,L_Placeholder,0)))),BK319=0,CG319&gt;=8,NOT(OR(LEN(AU319)&lt;2,ISNUMBER(MATCH(AU319,L_Placeholder,0)))),BR319&gt;=3,NOT(OR(LEN(AX319)&lt;2,ISNUMBER(MATCH(AX319,L_Placeholder,0)))),BS319&gt;=3,TRIM(AE319)&lt;&gt;TRIM(T319),AX319&lt;&gt;AU319,CE319=0),"N/A – JUSTIFIED","INVALID – N/A needs a real, settled reason (not 'not applicable' / 'as above' / TBC), a named PIC and a different named verifier"))),IF(OR(TRIM(U319)="Pass",TRIM(U319)="Pass after CA"),IF(NOT(ISNUMBER(AD319)),"INVALID – completion time missing",IF(OR(OR(LEN(AU319)&lt;2,ISNUMBER(MATCH(AU319,L_Placeholder,0))),BR319&lt;3),"INVALID – PIC missing or not a named person (a role such as QA / CSM is not a name)",IF(OR(LEN(AV319)&lt;2,ISNUMBER(MATCH(AV319,L_Placeholder,0))),"INVALID – result / assessment missing",IF(OR(OR(LEN(AW319)&lt;3,ISNUMBER(MATCH(AW319,L_Placeholder,0))),SUMPRODUCT(--ISNUMBER(SEARCH(" "&amp;L_EvidencePhrase&amp;" ",BD319)))&gt;0,BI319=1),"INVALID – evidence missing, placeholder or not yet on file",IF(ISNA(MATCH(TRIM(S319),L_EvidenceType,0)),"INVALID – choose the evidence type from the list (column S)",IF(BL319=0,"INVALID – evidence ID must be the record's own ID only (e.g. SF-2210, IMG_2231, 1045521); a link / file name needs type 'Link / file path'",IF(OR(OR(LEN(AX319)&lt;2,ISNUMBER(MATCH(AX319,L_Placeholder,0))),BS319&lt;3),"INVALID – verifier missing or not a named person (a role such as QA / CSM is not a name)",IF(OR(AX319=AU319,CE319=1,AND(LEN(AU319)&gt;=4,ISNUMBER(SEARCH(AU319,AX319))),AND(LEN(AX319)&gt;=4,ISNUMBER(SEARCH(AX319,AU319)))),"INVALID – verifier must be a different, named person (not the PIC or a role)",IF(BH319=1,"INVALID – result not yet available (awaiting / TBC)",IF(BG319=1,"INVALID – result describes a problem: record Fail, then Pass after CA (or reword if it is not a problem)",IF(BV319=1,"INVALID – wording says not on board: an on-board confirmation needs the item loaded",IF(AND(AQ319=1,OR(OR(LEN(AY319)&lt;3,ISNUMBER(MATCH(AY319,L_Placeholder,0))),BJ319=1,BQ319=0)),"INVALID – batch ID missing, placeholder or not an ID (e.g. PASB-261008-BC-017)",IF(AND(AR319=1,OR(NOT(ISNUMBER(X319)),NOT(ISNUMBER(Y319)))),"INVALID – expected/actual qty missing",IF(AND(AR319=1,OR(X319&lt;=0,Y319&lt;0)),"INVALID – expected qty must be above 0 and actual not negative",IF(AH307="N/A – JUSTIFIED","INVALID – preparation row F09-T12-15 is N/A",IF(AND(AR319=1,ISNUMBER(X307),X319&lt;&gt;X307,TRIM(U319)&lt;&gt;"Pass after CA"),"INVALID – expected qty differs from preparation check F09-T12-15: record the load change as a corrective action (Pass after CA)",IF(BB319&lt;&gt;"",BB319,IF(AND(AS319=1,Documents!$J$13&lt;&gt;"ON FILE"),"INVALID – GLD not on file (Documents sheet)",IF(AND(AS319=2,Documents!$O$13&lt;&gt;"ON FILE"),"INVALID – menu checklist not on file (Documents sheet)",IF(AND(AS319=3,NOT(ISNUMBER(Flights!$AX$13))),"INVALID – enter carrying flight KUL departure (Flights AX)",IF(AND(AS319=3,OR(Flights!$AZ$13&gt;Flights!$AA$13,Flights!$AX$13&lt;Flights!$AA$13-3)),"INVALID – carrying flight (Flights AX) cannot arrive before this leg's STD, or is over 3 days early",IF(AG319&gt;AsOfUTC,"INVALID – completion time is in the future",IF(AND(ISNUMBER(BY319),AG319&lt;BY319),IF(H319="Physical uplift","INVALID – before uplift window (cannot confirm loading)","INVALID – before valid window"),IF(AG319&gt;Flights!$AA$13,"INVALID – completed after departure (cannot establish readiness)",IF(AND(H319="Preparation",AG319&gt;=IF(ISNUMBER(Flights!$BA$13),MIN(Flights!$BA$13,Flights!$AA$13),Flights!$AA$13)),"INVALID – completed after loading / departure (cannot establish readiness)",IF(AND(H319="Physical uplift",AG319&gt;Q319),"INVALID – recorded after the loading flight departed",IF(AG319&gt;Q319,"COMPLETE – LATE","COMPLETE"))))))))))))))))))))))))))),IF(TRIM(U319)="Fail","FAIL – DISCREPANCY",IF(AND(TRIM(U319)&lt;&gt;"",TRIM(U319)&lt;&gt;"Not started",TRIM(U319)&lt;&gt;"In progress"),"INVALID – unrecognised status (use the list)",IF(AsOfUTC&gt;Q319,"OVERDUE",IF(N319="Clarification required","OPEN – CLARIFICATION","OPEN"))))))),"INVALID – error value in an input cell")</f>
        <v>OPEN</v>
      </c>
      <c r="AI319" s="61" t="n">
        <f aca="false">IF(OR(AH319="N/A – RULE",AH319="N/A – JUSTIFIED"),0,1)</f>
        <v>1</v>
      </c>
      <c r="AJ319" s="61" t="n">
        <f aca="false">IF(LEFT(AH319,8)="COMPLETE",1,0)</f>
        <v>0</v>
      </c>
      <c r="AK319" s="61" t="n">
        <f aca="false">IF(AND(AI319=1,AJ319=0,AsOfUTC&gt;Q319),1,0)</f>
        <v>0</v>
      </c>
      <c r="AL319" s="61" t="n">
        <f aca="false">IFERROR(IF(AND(AI319=1,OR(TRIM(U319)="Fail",AND(TRIM(AB319)&lt;&gt;"",TRIM(AB319)&lt;&gt;"Closed"),AND(ISNUMBER(AF319),AF319&lt;&gt;0,TRIM(U319)&lt;&gt;"Pass after CA"))),1,0),1)</f>
        <v>0</v>
      </c>
      <c r="AM319" s="61" t="n">
        <f aca="false">IF(LEFT(AH319,7)="INVALID",1,0)</f>
        <v>0</v>
      </c>
      <c r="AN319" s="61" t="n">
        <f aca="false">IF(AND(N319="Clarification required",AI319=1,AJ319=0),1,0)</f>
        <v>0</v>
      </c>
      <c r="AO319" s="61" t="str">
        <f aca="false">IF(AK319=1,SUM(AK$5:AK319),"")</f>
        <v/>
      </c>
      <c r="AP319" s="61" t="str">
        <f aca="false">IF(AL319=1,SUM(AL$5:AL319),"")</f>
        <v/>
      </c>
      <c r="AQ319" s="61" t="n">
        <v>0</v>
      </c>
      <c r="AR319" s="61" t="n">
        <v>0</v>
      </c>
      <c r="AS319" s="61" t="n">
        <v>0</v>
      </c>
      <c r="AT319" s="61" t="n">
        <v>0</v>
      </c>
      <c r="AU319" s="61" t="str">
        <f aca="false">SUBSTITUTE(SUBSTITUTE(SUBSTITUTE(SUBSTITUTE(SUBSTITUTE(SUBSTITUTE(SUBSTITUTE(SUBSTITUTE(SUBSTITUTE(SUBSTITUTE(SUBSTITUTE(SUBSTITUTE(SUBSTITUTE(SUBSTITUTE(SUBSTITUTE(SUBSTITUTE(LOWER(T319&amp;""),CHAR(10),""),CHAR(13),""),CHAR(9),""),CHAR(160),"")," ",""),".",""),"-",""),"/",""),"?",""),"_",""),",",""),"[",""),"]",""),"(",""),")",""),"*","")</f>
        <v/>
      </c>
      <c r="AV319" s="61" t="str">
        <f aca="false">SUBSTITUTE(SUBSTITUTE(SUBSTITUTE(SUBSTITUTE(SUBSTITUTE(SUBSTITUTE(SUBSTITUTE(SUBSTITUTE(SUBSTITUTE(SUBSTITUTE(SUBSTITUTE(SUBSTITUTE(SUBSTITUTE(SUBSTITUTE(SUBSTITUTE(SUBSTITUTE(LOWER(V319&amp;""),CHAR(10),""),CHAR(13),""),CHAR(9),""),CHAR(160),"")," ",""),".",""),"-",""),"/",""),"?",""),"_",""),",",""),"[",""),"]",""),"(",""),")",""),"*","")</f>
        <v/>
      </c>
      <c r="AW319" s="61" t="str">
        <f aca="false">SUBSTITUTE(SUBSTITUTE(SUBSTITUTE(SUBSTITUTE(SUBSTITUTE(SUBSTITUTE(SUBSTITUTE(SUBSTITUTE(SUBSTITUTE(SUBSTITUTE(SUBSTITUTE(SUBSTITUTE(SUBSTITUTE(SUBSTITUTE(SUBSTITUTE(SUBSTITUTE(LOWER(Z319&amp;""),CHAR(10),""),CHAR(13),""),CHAR(9),""),CHAR(160),"")," ",""),".",""),"-",""),"/",""),"?",""),"_",""),",",""),"[",""),"]",""),"(",""),")",""),"*","")</f>
        <v/>
      </c>
      <c r="AX319" s="61" t="str">
        <f aca="false">SUBSTITUTE(SUBSTITUTE(SUBSTITUTE(SUBSTITUTE(SUBSTITUTE(SUBSTITUTE(SUBSTITUTE(SUBSTITUTE(SUBSTITUTE(SUBSTITUTE(SUBSTITUTE(SUBSTITUTE(SUBSTITUTE(SUBSTITUTE(SUBSTITUTE(SUBSTITUTE(LOWER(AE319&amp;""),CHAR(10),""),CHAR(13),""),CHAR(9),""),CHAR(160),"")," ",""),".",""),"-",""),"/",""),"?",""),"_",""),",",""),"[",""),"]",""),"(",""),")",""),"*","")</f>
        <v/>
      </c>
      <c r="AY319" s="61" t="str">
        <f aca="false">SUBSTITUTE(SUBSTITUTE(SUBSTITUTE(SUBSTITUTE(SUBSTITUTE(SUBSTITUTE(SUBSTITUTE(SUBSTITUTE(SUBSTITUTE(SUBSTITUTE(SUBSTITUTE(SUBSTITUTE(SUBSTITUTE(SUBSTITUTE(SUBSTITUTE(SUBSTITUTE(LOWER(W319&amp;""),CHAR(10),""),CHAR(13),""),CHAR(9),""),CHAR(160),"")," ",""),".",""),"-",""),"/",""),"?",""),"_",""),",",""),"[",""),"]",""),"(",""),")",""),"*","")</f>
        <v/>
      </c>
      <c r="AZ319" s="61" t="str">
        <f aca="false">SUBSTITUTE(SUBSTITUTE(SUBSTITUTE(SUBSTITUTE(SUBSTITUTE(SUBSTITUTE(SUBSTITUTE(SUBSTITUTE(SUBSTITUTE(SUBSTITUTE(SUBSTITUTE(SUBSTITUTE(SUBSTITUTE(SUBSTITUTE(SUBSTITUTE(SUBSTITUTE(LOWER(AC319&amp;""),CHAR(10),""),CHAR(13),""),CHAR(9),""),CHAR(160),"")," ",""),".",""),"-",""),"/",""),"?",""),"_",""),",",""),"[",""),"]",""),"(",""),")",""),"*","")</f>
        <v/>
      </c>
      <c r="BA319" s="61" t="str">
        <f aca="false">SUBSTITUTE(SUBSTITUTE(SUBSTITUTE(SUBSTITUTE(SUBSTITUTE(SUBSTITUTE(SUBSTITUTE(SUBSTITUTE(SUBSTITUTE(SUBSTITUTE(SUBSTITUTE(SUBSTITUTE(SUBSTITUTE(SUBSTITUTE(SUBSTITUTE(SUBSTITUTE(LOWER(AA319&amp;""),CHAR(10),""),CHAR(13),""),CHAR(9),""),CHAR(160),"")," ",""),".",""),"-",""),"/",""),"?",""),"_",""),",",""),"[",""),"]",""),"(",""),")",""),"*","")</f>
        <v/>
      </c>
      <c r="BB319" s="61" t="str">
        <f aca="false">IF(AND(TRIM(U319)="Pass",ISNUMBER(AF319)),IF(AF319&lt;&gt;0,"INVALID – qty variance: use Fail or Pass after CA",""),"")&amp;IF(AND(TRIM(U319)="Pass after CA",ISNUMBER(AF319)),IF(AF319&lt;&gt;0,"INVALID – after the corrective action the actual qty must equal expected (update Actual)",""),"")&amp;IF(AND(TRIM(U319)="Pass",TRIM(AB319)&lt;&gt;"",TRIM(AB319)&lt;&gt;"Closed"),"INVALID – corrective action not closed: use Fail, then Pass after CA","")&amp;IF(AND(LEN(BA319)&gt;=2,ISNA(MATCH(LEFT(BA319,255),L_Placeholder,0)),TRIM(AB319)=""),"INVALID – CA status missing for the recorded corrective action","")&amp;IF(AND(TRIM(U319)="Pass after CA",OR(OR(LEN(BA319)&lt;5,ISNUMBER(MATCH(BA319,L_Placeholder,0))),TRIM(AB319)&lt;&gt;"Closed")),"INVALID – corrective action not recorded/closed","")</f>
        <v/>
      </c>
      <c r="BC319" s="61" t="str">
        <f aca="false">" "&amp;TRIM(SUBSTITUTE(SUBSTITUTE(SUBSTITUTE(SUBSTITUTE(SUBSTITUTE(SUBSTITUTE(SUBSTITUTE(SUBSTITUTE(SUBSTITUTE(SUBSTITUTE(SUBSTITUTE(SUBSTITUTE(SUBSTITUTE(SUBSTITUTE(SUBSTITUTE(SUBSTITUTE(SUBSTITUTE(SUBSTITUTE(SUBSTITUTE(SUBSTITUTE(SUBSTITUTE(SUBSTITUTE(SUBSTITUTE(SUBSTITUTE(LOWER(V319&amp;""),CHAR(10)," "),CHAR(13)," "),CHAR(9)," "),CHAR(160)," "),"."," "),","," "),"-"," "),"/"," "),"("," "),")"," "),":"," "),";"," "),"_"," "),"–"," "),"?"," "),"!"," "),"*"," "),"["," "),"]"," "),"'"," "),"#"," "),"+"," "),"&amp;"," "),"\"," "))&amp;" "</f>
        <v>  </v>
      </c>
      <c r="BD319" s="61" t="str">
        <f aca="false">" "&amp;TRIM(SUBSTITUTE(SUBSTITUTE(SUBSTITUTE(SUBSTITUTE(SUBSTITUTE(SUBSTITUTE(SUBSTITUTE(SUBSTITUTE(SUBSTITUTE(SUBSTITUTE(SUBSTITUTE(SUBSTITUTE(SUBSTITUTE(SUBSTITUTE(SUBSTITUTE(SUBSTITUTE(SUBSTITUTE(SUBSTITUTE(SUBSTITUTE(SUBSTITUTE(SUBSTITUTE(SUBSTITUTE(SUBSTITUTE(SUBSTITUTE(LOWER(Z319&amp;""),CHAR(10)," "),CHAR(13)," "),CHAR(9)," "),CHAR(160)," "),"."," "),","," "),"-"," "),"/"," "),"("," "),")"," "),":"," "),";"," "),"_"," "),"–"," "),"?"," "),"!"," "),"*"," "),"["," "),"]"," "),"'"," "),"#"," "),"+"," "),"&amp;"," "),"\"," "))&amp;" "</f>
        <v>  </v>
      </c>
      <c r="BE319" s="61" t="str">
        <f aca="false">" "&amp;TRIM(SUBSTITUTE(SUBSTITUTE(SUBSTITUTE(SUBSTITUTE(SUBSTITUTE(SUBSTITUTE(SUBSTITUTE(SUBSTITUTE(SUBSTITUTE(SUBSTITUTE(SUBSTITUTE(SUBSTITUTE(SUBSTITUTE(SUBSTITUTE(SUBSTITUTE(SUBSTITUTE(SUBSTITUTE(SUBSTITUTE(SUBSTITUTE(SUBSTITUTE(SUBSTITUTE(SUBSTITUTE(SUBSTITUTE(SUBSTITUTE(LOWER(W319&amp;""),CHAR(10)," "),CHAR(13)," "),CHAR(9)," "),CHAR(160)," "),"."," "),","," "),"-"," "),"/"," "),"("," "),")"," "),":"," "),";"," "),"_"," "),"–"," "),"?"," "),"!"," "),"*"," "),"["," "),"]"," "),"'"," "),"#"," "),"+"," "),"&amp;"," "),"\"," "))&amp;" "</f>
        <v>  </v>
      </c>
      <c r="BF319" s="61" t="str">
        <f aca="false">" "&amp;TRIM(SUBSTITUTE(SUBSTITUTE(SUBSTITUTE(SUBSTITUTE(SUBSTITUTE(SUBSTITUTE(SUBSTITUTE(SUBSTITUTE(SUBSTITUTE(SUBSTITUTE(SUBSTITUTE(SUBSTITUTE(SUBSTITUTE(SUBSTITUTE(SUBSTITUTE(SUBSTITUTE(SUBSTITUTE(SUBSTITUTE(SUBSTITUTE(SUBSTITUTE(SUBSTITUTE(SUBSTITUTE(SUBSTITUTE(SUBSTITUTE(LOWER(AC319&amp;""),CHAR(10)," "),CHAR(13)," "),CHAR(9)," "),CHAR(160)," "),"."," "),","," "),"-"," "),"/"," "),"("," "),")"," "),":"," "),";"," "),"_"," "),"–"," "),"?"," "),"!"," "),"*"," "),"["," "),"]"," "),"'"," "),"#"," "),"+"," "),"&amp;"," "),"\"," "))&amp;" "</f>
        <v>  </v>
      </c>
      <c r="BG319" s="61" t="n">
        <f aca="false">IFERROR(IF(AND(TRIM(U319)="Pass",SUMPRODUCT((LEN(BC319)-LEN(SUBSTITUTE(BC319," "&amp;L_ResultBad&amp;" "," ")))/(LEN(L_ResultBad)+1))&gt;SUMPRODUCT((LEN(BC319)-LEN(SUBSTITUTE(BC319," "&amp;L_NegPhrase&amp;" "," ")))/(LEN(L_NegPhrase)+1))),1,0),0)</f>
        <v>0</v>
      </c>
      <c r="BH319" s="61" t="n">
        <f aca="false">IFERROR(IF(SUMPRODUCT((LEN(BC319)-LEN(SUBSTITUTE(BC319," "&amp;L_Pending&amp;" "," ")))/(LEN(L_Pending)+1))&gt;SUMPRODUCT((LEN(BC319)-LEN(SUBSTITUTE(BC319," "&amp;L_PendNeg&amp;" "," ")))/(LEN(L_PendNeg)+1)),1,0),1)</f>
        <v>0</v>
      </c>
      <c r="BI319" s="61" t="n">
        <f aca="false">IFERROR(IF(SUMPRODUCT((LEN(BD319)-LEN(SUBSTITUTE(BD319," "&amp;L_PendStrict&amp;" "," ")))/(LEN(L_PendStrict)+1))&gt;SUMPRODUCT((LEN(BD319)-LEN(SUBSTITUTE(BD319," "&amp;L_PendNeg&amp;" "," ")))/(LEN(L_PendNeg)+1)),1,0),1)</f>
        <v>0</v>
      </c>
      <c r="BJ319" s="61" t="n">
        <f aca="false">IFERROR(IF(SUMPRODUCT((LEN(BE319)-LEN(SUBSTITUTE(BE319," "&amp;L_Pending&amp;" "," ")))/(LEN(L_Pending)+1))&gt;SUMPRODUCT((LEN(BE319)-LEN(SUBSTITUTE(BE319," "&amp;L_PendNeg&amp;" "," ")))/(LEN(L_PendNeg)+1)),1,0),1)</f>
        <v>0</v>
      </c>
      <c r="BK319" s="61" t="n">
        <f aca="false">IFERROR(IF(SUMPRODUCT((LEN(BF319)-LEN(SUBSTITUTE(BF319," "&amp;L_PendStrict&amp;" "," ")))/(LEN(L_PendStrict)+1))&gt;SUMPRODUCT((LEN(BF319)-LEN(SUBSTITUTE(BF319," "&amp;L_PendNeg&amp;" "," ")))/(LEN(L_PendNeg)+1)),1,0),1)</f>
        <v>0</v>
      </c>
      <c r="BL319" s="61" t="n">
        <f aca="false">IF(ISNA(MATCH(TRIM(S319),L_EvidenceType,0)),0,BZ319)</f>
        <v>0</v>
      </c>
      <c r="BM319" s="61" t="str">
        <f aca="false">SUBSTITUTE(SUBSTITUTE(SUBSTITUTE(SUBSTITUTE(SUBSTITUTE(SUBSTITUTE(SUBSTITUTE(SUBSTITUTE(SUBSTITUTE(LOWER(Z319&amp;""),"1","0"),"2","0"),"3","0"),"4","0"),"5","0"),"6","0"),"7","0"),"8","0"),"9","0")</f>
        <v/>
      </c>
      <c r="BN319" s="61" t="str">
        <f aca="false">SUBSTITUTE(SUBSTITUTE(SUBSTITUTE(SUBSTITUTE(SUBSTITUTE(SUBSTITUTE(SUBSTITUTE(SUBSTITUTE(SUBSTITUTE(SUBSTITUTE(SUBSTITUTE(SUBSTITUTE(SUBSTITUTE(SUBSTITUTE(SUBSTITUTE(SUBSTITUTE(SUBSTITUTE(SUBSTITUTE(SUBSTITUTE(SUBSTITUTE(SUBSTITUTE(SUBSTITUTE(SUBSTITUTE(SUBSTITUTE(SUBSTITUTE(BM319,"b","a"),"c","a"),"d","a"),"e","a"),"f","a"),"g","a"),"h","a"),"i","a"),"j","a"),"k","a"),"l","a"),"m","a"),"n","a"),"o","a"),"p","a"),"q","a"),"r","a"),"s","a"),"t","a"),"u","a"),"v","a"),"w","a"),"x","a"),"y","a"),"z","a")</f>
        <v/>
      </c>
      <c r="BO319" s="61" t="str">
        <f aca="false">SUBSTITUTE(SUBSTITUTE(SUBSTITUTE(SUBSTITUTE(SUBSTITUTE(SUBSTITUTE(SUBSTITUTE(SUBSTITUTE(SUBSTITUTE(LOWER(W319&amp;""),"1","0"),"2","0"),"3","0"),"4","0"),"5","0"),"6","0"),"7","0"),"8","0"),"9","0")</f>
        <v/>
      </c>
      <c r="BP319" s="61" t="str">
        <f aca="false">SUBSTITUTE(SUBSTITUTE(SUBSTITUTE(SUBSTITUTE(SUBSTITUTE(SUBSTITUTE(SUBSTITUTE(SUBSTITUTE(SUBSTITUTE(SUBSTITUTE(SUBSTITUTE(SUBSTITUTE(SUBSTITUTE(SUBSTITUTE(SUBSTITUTE(SUBSTITUTE(SUBSTITUTE(SUBSTITUTE(SUBSTITUTE(SUBSTITUTE(SUBSTITUTE(SUBSTITUTE(SUBSTITUTE(SUBSTITUTE(SUBSTITUTE(BO319,"b","a"),"c","a"),"d","a"),"e","a"),"f","a"),"g","a"),"h","a"),"i","a"),"j","a"),"k","a"),"l","a"),"m","a"),"n","a"),"o","a"),"p","a"),"q","a"),"r","a"),"s","a"),"t","a"),"u","a"),"v","a"),"w","a"),"x","a"),"y","a"),"z","a")</f>
        <v/>
      </c>
      <c r="BQ319" s="61" t="n">
        <f aca="false">IFERROR(IF(AND(ISERROR(SEARCH(" mh"," "&amp;LOWER(W319))),ISNA(MATCH(LEFT(TRIM(BP319),255),{"0000a","000a","00a","0000aa","000aa","00aa","0aa","0000aaa","000aaa","00a00","0a00","0000-0000","00:00","a00","a0","00.00.0000","00/00/0000","00-00-0000","0000-00-00","0000/00/00","0000.00.00","00.00.00","00/00/00","00-00-00","0.00.0000","0/00/0000","0-00-0000"},0)),ISNA(MATCH(LEFT(TRIM(CA319),255),{"0000a","000a","00a","0000aa","000aa","00aa","0aa","0000aaa","000aaa","00a00","0a00","0000-0000","00:00","a00","a0","00.00.0000","00/00/0000","00-00-0000","0000-00-00","0000/00/00","0000.00.00","00.00.00","00/00/00","00-00-00","0.00.0000","0/00/0000","0-00-0000"},0)),LEN(CB319)&gt;=3,NOT(OR(SUBSTITUTE(CB319,"0","")="",AND(LEN(CB319)&gt;=4,CB319=REPT(LEFT(CB319),LEN(CB319))),ISNUMBER(MATCH(CB319,{"123","1234","12345","123456","1234567","12345678","0123","01234","012345","98765","987654","54321"},0)),AND(LEN(CB319)=8,LEFT(CB319,3)="202"))),OR(AND((LEN(CA319)-LEN(SUBSTITUTE(CA319,"a","")))&gt;=1,SUMPRODUCT(--ISNUMBER(SEARCH({"a0","a-0","a_0","a/0","a.0","a#0","0a","0-a","0_a","0/a"},BP319)))&gt;0),ISNUMBER(SEARCH("000000",BP319)))),1,0),0)</f>
        <v>0</v>
      </c>
      <c r="BR319" s="61" t="n">
        <f aca="false">IFERROR(LEN(SUBSTITUTE(CC319," ",""))-SUMPRODUCT((LEN(CC319)-LEN(SUBSTITUTE(CC319," "&amp;L_Role&amp;" "," ")))/(LEN(L_Role)+1)*LEN(L_Role)),0)</f>
        <v>0</v>
      </c>
      <c r="BS319" s="61" t="n">
        <f aca="false">IFERROR(LEN(SUBSTITUTE(CD319," ",""))-SUMPRODUCT((LEN(CD319)-LEN(SUBSTITUTE(CD319," "&amp;L_Role&amp;" "," ")))/(LEN(L_Role)+1)*LEN(L_Role)),0)</f>
        <v>0</v>
      </c>
      <c r="BT3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319,"revision",""),"version",""),"jan",""),"feb",""),"mar",""),"apr",""),"may",""),"jun",""),"jul",""),"aug",""),"sep",""),"oct",""),"nov",""),"dec",""),"utc",""),"gmt",""),"myt",""),"bst",""),"rev",""),"ver",""),"b","a"),"c","a"),"d","a"),"e","a"),"f","a"),"g","a"),"h","a"),"i","a"),"j","a"),"k","a"),"l","a"),"m","a"),"n","a"),"o","a"),"p","a"),"q","a"),"r","a"),"s","a"),"t","a"),"u","a"),"v","a"),"w","a"),"x","a"),"y","a"),"z","a")</f>
        <v/>
      </c>
      <c r="BU319" s="61" t="str">
        <f aca="false">SUBSTITUTE(SUBSTITUTE(SUBSTITUTE(SUBSTITUTE(SUBSTITUTE(SUBSTITUTE(SUBSTITUTE(SUBSTITUTE(SUBSTITUTE(SUBSTITUTE(LEFT(BM319,FIND("0",BM319&amp;"0")-1),"-",""),"_",""),"/",""),".",""),"#",""),"\\",""),":","")," ",""),"(",""),")","")</f>
        <v/>
      </c>
      <c r="BV319" s="61" t="n">
        <f aca="false">IFERROR(IF(OR(SUMPRODUCT((LEN(BC319)-LEN(SUBSTITUTE(BC319," "&amp;L_NotLoaded&amp;" "," ")))/(LEN(L_NotLoaded)+1))&gt;SUMPRODUCT((LEN(BC319)-LEN(SUBSTITUTE(BC319," "&amp;L_NotLoadedNeg&amp;" "," ")))/(LEN(L_NotLoadedNeg)+1)),SUMPRODUCT((LEN(BD319)-LEN(SUBSTITUTE(BD319," "&amp;L_NotLoaded&amp;" "," ")))/(LEN(L_NotLoaded)+1))&gt;SUMPRODUCT((LEN(BD319)-LEN(SUBSTITUTE(BD319," "&amp;L_NotLoadedNeg&amp;" "," ")))/(LEN(L_NotLoadedNeg)+1))),1,0),0)</f>
        <v>0</v>
      </c>
      <c r="BW3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319&amp;""),"a",""),"b",""),"c",""),"d",""),"e",""),"f",""),"g",""),"h",""),"i",""),"j",""),"k",""),"l",""),"m",""),"n",""),"o",""),"p",""),"q",""),"r",""),"s",""),"t",""),"u",""),"v",""),"w",""),"x",""),"y",""),"z",""),"-",""),"_",""),"/",""),".",""),"#",""),"\\",""),":","")," ",""),"(",""),")","")</f>
        <v/>
      </c>
      <c r="BX319" s="61" t="str">
        <f aca="false">SUBSTITUTE(SUBSTITUTE(SUBSTITUTE(SUBSTITUTE(SUBSTITUTE(SUBSTITUTE(SUBSTITUTE(SUBSTITUTE(SUBSTITUTE(SUBSTITUTE(SUBSTITUTE(BM319,"0",""),"-",""),"_",""),"/",""),".",""),"#",""),"\\",""),":","")," ",""),"(",""),")","")</f>
        <v/>
      </c>
      <c r="BY319" s="62" t="n">
        <f aca="false">IF(ISNUMBER(Flights!$AZ$13),MAX(Q319-UpliftWindowH/24,Flights!$AZ$13),Q319-UpliftWindowH/24)</f>
        <v>46306.0034722222</v>
      </c>
      <c r="BZ319" s="61" t="n">
        <f aca="false">IFERROR(IF(IF(TRIM(S319)="Link / file path",AND(LEN(TRIM(Z319))&gt;=5,SUMPRODUCT(--ISNUMBER(SEARCH({"http","www.","\\",":\",".pdf",".jpg",".jpeg",".png",".heic",".xls",".doc",".msg",".eml",".ppt",".txt",".zip"},Z319)))&gt;0),AND(ISERROR(FIND(" ",TRIM(Z319))),NOT(OR(SUMPRODUCT(--ISNUMBER(FIND({",",";","&amp;","+"},Z319)))&gt;0,SUMPRODUCT(--ISNUMBER(SEARCH({"0/aa","0\\aa"},BN319)))&gt;0)),NOT(SUMPRODUCT(--ISNUMBER(SEARCH({"http","www.","\\",":\",".pdf",".jpg",".jpeg",".png",".heic",".xls",".doc",".msg",".eml",".ppt",".txt",".zip"},Z319)))&gt;0),NOT(LOWER(TRIM(Z319))=LOWER(Flights!$F$13)),ISNA(MATCH(BU319,{"mh","rev","revision","ver","version","v","r","a","b","seat","tray","row","gate","bay","stand","page","pg","item","line","no","cart","galley","flight","flt","table","box","bag","oven","etd","eta","std","sta","atd","ata","qty","pax","x","time","tel","ph","mob","day","wk","week","utc","gmt","myt","lt"},0)),NOT(OR(ISNUMBER(MATCH(LEFT(BN319,255),{"0000a","000a","00a","0000aa","000aa","00aa","0aa","0000aaa","000aaa","00a00","0a00","0000-0000","00:00","a00","a0","00.00.0000","00/00/0000","00-00-0000","0000-00-00","0000/00/00","0000.00.00","00.00.00","00/00/00","00-00-00","0.00.0000","0/00/0000","0-00-0000"},0)),ISNUMBER(MATCH(LEFT(BT319,255),{"0000a","000a","00a","0000aa","000aa","00aa","0aa","0000aaa","000aaa","00a00","0a00","0000-0000","00:00","a00","a0","00.00.0000","00/00/0000","00-00-0000","0000-00-00","0000/00/00","0000.00.00","00.00.00","00/00/00","00-00-00","0.00.0000","0/00/0000","0-00-0000"},0)))),NOT(OR(AND(BW319&lt;&gt;"",SUBSTITUTE(BW319,"0","")=""),AND(LEN(BW319)&gt;=4,BW319=REPT(LEFT(BW319),LEN(BW319))),ISNUMBER(MATCH(BW319,{"123","1234","12345","123456","1234567","12345678","0123","01234","012345","98765","987654","54321"},0)),ISNUMBER(MATCH(BX319,{"x","xx","xxx","xxxx","xxxxx","abc","abcd","nil","na","nan","test","tbc","tba","tbd","dummy","sample","example","eg","zz","zzz","none","null","xyz","qwe","asd","id","ref"},0)),AND(LEN(BW319)=8,BX319="",OR(LEFT(BW319,3)="202",ISNUMBER(MATCH(RIGHT(BW319,4),{"2025","2026","2027"},0)))))),OR(AND((LEN(BT319)-LEN(SUBSTITUTE(BT319,"a","")))&gt;=1,(LEN(BN319)-LEN(SUBSTITUTE(BN319,"0","")))&gt;=2,SUMPRODUCT(--ISNUMBER(SEARCH({"a0","a-0","a_0","a/0","a.0","a#0","0a","0-a","0_a","0/a"},BN319)))&gt;0),AND((LEN(BN319)-LEN(SUBSTITUTE(BN319,"a","")))=0,(LEN(BN319)-LEN(SUBSTITUTE(BN319,"0","")))&gt;=5)))),1,0),0)</f>
        <v>0</v>
      </c>
      <c r="CA3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319,"revision",""),"version",""),"jan",""),"feb",""),"mar",""),"apr",""),"may",""),"jun",""),"jul",""),"aug",""),"sep",""),"oct",""),"nov",""),"dec",""),"utc",""),"gmt",""),"myt",""),"bst",""),"rev",""),"ver",""),"b","a"),"c","a"),"d","a"),"e","a"),"f","a"),"g","a"),"h","a"),"i","a"),"j","a"),"k","a"),"l","a"),"m","a"),"n","a"),"o","a"),"p","a"),"q","a"),"r","a"),"s","a"),"t","a"),"u","a"),"v","a"),"w","a"),"x","a"),"y","a"),"z","a")</f>
        <v/>
      </c>
      <c r="CB3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319&amp;""),"a",""),"b",""),"c",""),"d",""),"e",""),"f",""),"g",""),"h",""),"i",""),"j",""),"k",""),"l",""),"m",""),"n",""),"o",""),"p",""),"q",""),"r",""),"s",""),"t",""),"u",""),"v",""),"w",""),"x",""),"y",""),"z",""),"-",""),"_",""),"/",""),".",""),"#",""),"\\",""),":","")," ",""),"(",""),")","")</f>
        <v/>
      </c>
      <c r="CC319" s="0" t="str">
        <f aca="false">" "&amp;TRIM(SUBSTITUTE(SUBSTITUTE(SUBSTITUTE(SUBSTITUTE(SUBSTITUTE(SUBSTITUTE(SUBSTITUTE(SUBSTITUTE(SUBSTITUTE(SUBSTITUTE(SUBSTITUTE(SUBSTITUTE(SUBSTITUTE(SUBSTITUTE(SUBSTITUTE(SUBSTITUTE(SUBSTITUTE(SUBSTITUTE(SUBSTITUTE(SUBSTITUTE(SUBSTITUTE(SUBSTITUTE(SUBSTITUTE(SUBSTITUTE(LOWER(T319&amp;""),CHAR(10)," "),CHAR(13)," "),CHAR(9)," "),CHAR(160)," "),"."," "),","," "),"-"," "),"/"," "),"("," "),")"," "),":"," "),";"," "),"_"," "),"–"," "),"?"," "),"!"," "),"*"," "),"["," "),"]"," "),"'"," "),"#"," "),"+"," "),"&amp;"," "),"\"," "))&amp;" "</f>
        <v>  </v>
      </c>
      <c r="CD319" s="0" t="str">
        <f aca="false">" "&amp;TRIM(SUBSTITUTE(SUBSTITUTE(SUBSTITUTE(SUBSTITUTE(SUBSTITUTE(SUBSTITUTE(SUBSTITUTE(SUBSTITUTE(SUBSTITUTE(SUBSTITUTE(SUBSTITUTE(SUBSTITUTE(SUBSTITUTE(SUBSTITUTE(SUBSTITUTE(SUBSTITUTE(SUBSTITUTE(SUBSTITUTE(SUBSTITUTE(SUBSTITUTE(SUBSTITUTE(SUBSTITUTE(SUBSTITUTE(SUBSTITUTE(LOWER(AE319&amp;""),CHAR(10)," "),CHAR(13)," "),CHAR(9)," "),CHAR(160)," "),"."," "),","," "),"-"," "),"/"," "),"("," "),")"," "),":"," "),";"," "),"_"," "),"–"," "),"?"," "),"!"," "),"*"," "),"["," "),"]"," "),"'"," "),"#"," "),"+"," "),"&amp;"," "),"\"," "))&amp;" "</f>
        <v>  </v>
      </c>
      <c r="CE319" s="68" t="n">
        <f aca="false">IFERROR(IF(AND(LEN(AU319)&gt;0,LEN(AU319)=LEN(AX319),OR(TRIM(MID(SUBSTITUTE(TRIM(CC319)," ",REPT(" ",60)),1,60))="",ISNUMBER(SEARCH(" "&amp;TRIM(MID(SUBSTITUTE(TRIM(CC319)," ",REPT(" ",60)),1,60))&amp;" ",CD319))),OR(TRIM(MID(SUBSTITUTE(TRIM(CC319)," ",REPT(" ",60)),61,60))="",ISNUMBER(SEARCH(" "&amp;TRIM(MID(SUBSTITUTE(TRIM(CC319)," ",REPT(" ",60)),61,60))&amp;" ",CD319))),OR(TRIM(MID(SUBSTITUTE(TRIM(CC319)," ",REPT(" ",60)),121,60))="",ISNUMBER(SEARCH(" "&amp;TRIM(MID(SUBSTITUTE(TRIM(CC319)," ",REPT(" ",60)),121,60))&amp;" ",CD319)))),1,0),0)</f>
        <v>0</v>
      </c>
      <c r="CG319" s="68" t="n">
        <f aca="false">IFERROR(LEN(SUBSTITUTE(BF319," ",""))-SUMPRODUCT((LEN(BF319)-LEN(SUBSTITUTE(BF319," "&amp;L_NAFiller&amp;" "," ")))/(LEN(L_NAFiller)+1)*LEN(L_NAFiller)),0)</f>
        <v>0</v>
      </c>
    </row>
    <row r="320" customFormat="false" ht="39.75" hidden="false" customHeight="true" outlineLevel="0" collapsed="false">
      <c r="A320" s="57" t="s">
        <v>909</v>
      </c>
      <c r="B320" s="57" t="s">
        <v>246</v>
      </c>
      <c r="C320" s="57" t="str">
        <f aca="false">Flights!$F$13</f>
        <v>MH0753</v>
      </c>
      <c r="D320" s="58" t="n">
        <f aca="false">Flights!$D$13</f>
        <v>46306</v>
      </c>
      <c r="E320" s="57" t="str">
        <f aca="false">Flights!$G$13&amp;"-"&amp;Flights!$H$13</f>
        <v>HAN-KUL</v>
      </c>
      <c r="F320" s="57" t="str">
        <f aca="false">Flights!$K$13</f>
        <v>BC</v>
      </c>
      <c r="G320" s="57" t="s">
        <v>459</v>
      </c>
      <c r="H320" s="57" t="s">
        <v>460</v>
      </c>
      <c r="I320" s="57" t="s">
        <v>447</v>
      </c>
      <c r="J320" s="57" t="s">
        <v>553</v>
      </c>
      <c r="K320" s="67" t="s">
        <v>449</v>
      </c>
      <c r="L320" s="67" t="s">
        <v>896</v>
      </c>
      <c r="M320" s="67" t="s">
        <v>451</v>
      </c>
      <c r="N320" s="67" t="s">
        <v>383</v>
      </c>
      <c r="O320" s="67"/>
      <c r="P320" s="57" t="s">
        <v>240</v>
      </c>
      <c r="Q320" s="59" t="n">
        <f aca="false">ROUND((Flights!$AF$13)*1440,0)/1440</f>
        <v>46306.2534722222</v>
      </c>
      <c r="R320" s="59" t="n">
        <f aca="false">Q320+(IF(AND(INDEX(TZ_DSTS,MATCH(P320,TZ_STN,0))&lt;&gt;"",Q320&gt;=INDEX(TZ_DSTS,MATCH(P320,TZ_STN,0)),Q320&lt;INDEX(TZ_DSTE,MATCH(P320,TZ_STN,0))),INDEX(TZ_DST,MATCH(P320,TZ_STN,0)),INDEX(TZ_STD,MATCH(P320,TZ_STN,0))))/24</f>
        <v>46306.5451388889</v>
      </c>
      <c r="S320" s="60"/>
      <c r="T320" s="60"/>
      <c r="U320" s="60"/>
      <c r="V320" s="60"/>
      <c r="W320" s="61"/>
      <c r="X320" s="60"/>
      <c r="Y320" s="60"/>
      <c r="Z320" s="60"/>
      <c r="AA320" s="60"/>
      <c r="AB320" s="60"/>
      <c r="AC320" s="60"/>
      <c r="AD320" s="66"/>
      <c r="AE320" s="60"/>
      <c r="AF320" s="61" t="str">
        <f aca="false">IF(AND(ISNUMBER(X320),ISNUMBER(Y320)),Y320-X320,"")</f>
        <v/>
      </c>
      <c r="AG320" s="62" t="str">
        <f aca="false">IF(ISNUMBER(AD320),AD320-(IF(AND(INDEX(TZ_DSTS,MATCH(P320,TZ_STN,0))&lt;&gt;"",(AD320-INDEX(TZ_STD,MATCH(P320,TZ_STN,0))/24)&gt;=INDEX(TZ_DSTS,MATCH(P320,TZ_STN,0)),(AD320-INDEX(TZ_STD,MATCH(P320,TZ_STN,0))/24)&lt;INDEX(TZ_DSTE,MATCH(P320,TZ_STN,0))),INDEX(TZ_DST,MATCH(P320,TZ_STN,0)),INDEX(TZ_STD,MATCH(P320,TZ_STN,0))))/24,"")</f>
        <v/>
      </c>
      <c r="AH320" s="65" t="str">
        <f aca="false">IFERROR(IF(N320="N/A – rule",IF(OR(TRIM(U320)="",TRIM(U320)="N/A",TRIM(U320)="Not started"),"N/A – RULE","INVALID – this check does not apply to this aircraft: clear the status (or correct the fleet on Flights)"),IF(TRIM(U320)="N/A",IF(AT320=0,"INVALID – N/A not permitted for this check",IF(AND(TRIM(AB320)&lt;&gt;"",TRIM(AB320)&lt;&gt;"Closed"),"INVALID – corrective action still open",IF(AND(NOT(OR(LEN(AZ320)&lt;15,ISNUMBER(MATCH(AZ320,L_Placeholder,0)))),BK320=0,CG320&gt;=8,NOT(OR(LEN(AU320)&lt;2,ISNUMBER(MATCH(AU320,L_Placeholder,0)))),BR320&gt;=3,NOT(OR(LEN(AX320)&lt;2,ISNUMBER(MATCH(AX320,L_Placeholder,0)))),BS320&gt;=3,TRIM(AE320)&lt;&gt;TRIM(T320),AX320&lt;&gt;AU320,CE320=0),"N/A – JUSTIFIED","INVALID – N/A needs a real, settled reason (not 'not applicable' / 'as above' / TBC), a named PIC and a different named verifier"))),IF(OR(TRIM(U320)="Pass",TRIM(U320)="Pass after CA"),IF(NOT(ISNUMBER(AD320)),"INVALID – completion time missing",IF(OR(OR(LEN(AU320)&lt;2,ISNUMBER(MATCH(AU320,L_Placeholder,0))),BR320&lt;3),"INVALID – PIC missing or not a named person (a role such as QA / CSM is not a name)",IF(OR(LEN(AV320)&lt;2,ISNUMBER(MATCH(AV320,L_Placeholder,0))),"INVALID – result / assessment missing",IF(OR(OR(LEN(AW320)&lt;3,ISNUMBER(MATCH(AW320,L_Placeholder,0))),SUMPRODUCT(--ISNUMBER(SEARCH(" "&amp;L_EvidencePhrase&amp;" ",BD320)))&gt;0,BI320=1),"INVALID – evidence missing, placeholder or not yet on file",IF(ISNA(MATCH(TRIM(S320),L_EvidenceType,0)),"INVALID – choose the evidence type from the list (column S)",IF(BL320=0,"INVALID – evidence ID must be the record's own ID only (e.g. SF-2210, IMG_2231, 1045521); a link / file name needs type 'Link / file path'",IF(OR(OR(LEN(AX320)&lt;2,ISNUMBER(MATCH(AX320,L_Placeholder,0))),BS320&lt;3),"INVALID – verifier missing or not a named person (a role such as QA / CSM is not a name)",IF(OR(AX320=AU320,CE320=1,AND(LEN(AU320)&gt;=4,ISNUMBER(SEARCH(AU320,AX320))),AND(LEN(AX320)&gt;=4,ISNUMBER(SEARCH(AX320,AU320)))),"INVALID – verifier must be a different, named person (not the PIC or a role)",IF(BH320=1,"INVALID – result not yet available (awaiting / TBC)",IF(BG320=1,"INVALID – result describes a problem: record Fail, then Pass after CA (or reword if it is not a problem)",IF(BV320=1,"INVALID – wording says not on board: an on-board confirmation needs the item loaded",IF(AND(AQ320=1,OR(OR(LEN(AY320)&lt;3,ISNUMBER(MATCH(AY320,L_Placeholder,0))),BJ320=1,BQ320=0)),"INVALID – batch ID missing, placeholder or not an ID (e.g. PASB-261008-BC-017)",IF(AND(AR320=1,OR(NOT(ISNUMBER(X320)),NOT(ISNUMBER(Y320)))),"INVALID – expected/actual qty missing",IF(AND(AR320=1,OR(X320&lt;=0,Y320&lt;0)),"INVALID – expected qty must be above 0 and actual not negative",IF(AH308="N/A – JUSTIFIED","INVALID – preparation row F09-T12-16 is N/A",IF(AND(AR320=1,ISNUMBER(X308),X320&lt;&gt;X308,TRIM(U320)&lt;&gt;"Pass after CA"),"INVALID – expected qty differs from preparation check F09-T12-16: record the load change as a corrective action (Pass after CA)",IF(BB320&lt;&gt;"",BB320,IF(AND(AS320=1,Documents!$J$13&lt;&gt;"ON FILE"),"INVALID – GLD not on file (Documents sheet)",IF(AND(AS320=2,Documents!$O$13&lt;&gt;"ON FILE"),"INVALID – menu checklist not on file (Documents sheet)",IF(AND(AS320=3,NOT(ISNUMBER(Flights!$AX$13))),"INVALID – enter carrying flight KUL departure (Flights AX)",IF(AND(AS320=3,OR(Flights!$AZ$13&gt;Flights!$AA$13,Flights!$AX$13&lt;Flights!$AA$13-3)),"INVALID – carrying flight (Flights AX) cannot arrive before this leg's STD, or is over 3 days early",IF(AG320&gt;AsOfUTC,"INVALID – completion time is in the future",IF(AND(ISNUMBER(BY320),AG320&lt;BY320),IF(H320="Physical uplift","INVALID – before uplift window (cannot confirm loading)","INVALID – before valid window"),IF(AG320&gt;Flights!$AA$13,"INVALID – completed after departure (cannot establish readiness)",IF(AND(H320="Preparation",AG320&gt;=IF(ISNUMBER(Flights!$BA$13),MIN(Flights!$BA$13,Flights!$AA$13),Flights!$AA$13)),"INVALID – completed after loading / departure (cannot establish readiness)",IF(AND(H320="Physical uplift",AG320&gt;Q320),"INVALID – recorded after the loading flight departed",IF(AG320&gt;Q320,"COMPLETE – LATE","COMPLETE"))))))))))))))))))))))))))),IF(TRIM(U320)="Fail","FAIL – DISCREPANCY",IF(AND(TRIM(U320)&lt;&gt;"",TRIM(U320)&lt;&gt;"Not started",TRIM(U320)&lt;&gt;"In progress"),"INVALID – unrecognised status (use the list)",IF(AsOfUTC&gt;Q320,"OVERDUE",IF(N320="Clarification required","OPEN – CLARIFICATION","OPEN"))))))),"INVALID – error value in an input cell")</f>
        <v>OPEN</v>
      </c>
      <c r="AI320" s="61" t="n">
        <f aca="false">IF(OR(AH320="N/A – RULE",AH320="N/A – JUSTIFIED"),0,1)</f>
        <v>1</v>
      </c>
      <c r="AJ320" s="61" t="n">
        <f aca="false">IF(LEFT(AH320,8)="COMPLETE",1,0)</f>
        <v>0</v>
      </c>
      <c r="AK320" s="61" t="n">
        <f aca="false">IF(AND(AI320=1,AJ320=0,AsOfUTC&gt;Q320),1,0)</f>
        <v>0</v>
      </c>
      <c r="AL320" s="61" t="n">
        <f aca="false">IFERROR(IF(AND(AI320=1,OR(TRIM(U320)="Fail",AND(TRIM(AB320)&lt;&gt;"",TRIM(AB320)&lt;&gt;"Closed"),AND(ISNUMBER(AF320),AF320&lt;&gt;0,TRIM(U320)&lt;&gt;"Pass after CA"))),1,0),1)</f>
        <v>0</v>
      </c>
      <c r="AM320" s="61" t="n">
        <f aca="false">IF(LEFT(AH320,7)="INVALID",1,0)</f>
        <v>0</v>
      </c>
      <c r="AN320" s="61" t="n">
        <f aca="false">IF(AND(N320="Clarification required",AI320=1,AJ320=0),1,0)</f>
        <v>0</v>
      </c>
      <c r="AO320" s="61" t="str">
        <f aca="false">IF(AK320=1,SUM(AK$5:AK320),"")</f>
        <v/>
      </c>
      <c r="AP320" s="61" t="str">
        <f aca="false">IF(AL320=1,SUM(AL$5:AL320),"")</f>
        <v/>
      </c>
      <c r="AQ320" s="61" t="n">
        <v>0</v>
      </c>
      <c r="AR320" s="61" t="n">
        <v>0</v>
      </c>
      <c r="AS320" s="61" t="n">
        <v>0</v>
      </c>
      <c r="AT320" s="61" t="n">
        <v>0</v>
      </c>
      <c r="AU320" s="61" t="str">
        <f aca="false">SUBSTITUTE(SUBSTITUTE(SUBSTITUTE(SUBSTITUTE(SUBSTITUTE(SUBSTITUTE(SUBSTITUTE(SUBSTITUTE(SUBSTITUTE(SUBSTITUTE(SUBSTITUTE(SUBSTITUTE(SUBSTITUTE(SUBSTITUTE(SUBSTITUTE(SUBSTITUTE(LOWER(T320&amp;""),CHAR(10),""),CHAR(13),""),CHAR(9),""),CHAR(160),"")," ",""),".",""),"-",""),"/",""),"?",""),"_",""),",",""),"[",""),"]",""),"(",""),")",""),"*","")</f>
        <v/>
      </c>
      <c r="AV320" s="61" t="str">
        <f aca="false">SUBSTITUTE(SUBSTITUTE(SUBSTITUTE(SUBSTITUTE(SUBSTITUTE(SUBSTITUTE(SUBSTITUTE(SUBSTITUTE(SUBSTITUTE(SUBSTITUTE(SUBSTITUTE(SUBSTITUTE(SUBSTITUTE(SUBSTITUTE(SUBSTITUTE(SUBSTITUTE(LOWER(V320&amp;""),CHAR(10),""),CHAR(13),""),CHAR(9),""),CHAR(160),"")," ",""),".",""),"-",""),"/",""),"?",""),"_",""),",",""),"[",""),"]",""),"(",""),")",""),"*","")</f>
        <v/>
      </c>
      <c r="AW320" s="61" t="str">
        <f aca="false">SUBSTITUTE(SUBSTITUTE(SUBSTITUTE(SUBSTITUTE(SUBSTITUTE(SUBSTITUTE(SUBSTITUTE(SUBSTITUTE(SUBSTITUTE(SUBSTITUTE(SUBSTITUTE(SUBSTITUTE(SUBSTITUTE(SUBSTITUTE(SUBSTITUTE(SUBSTITUTE(LOWER(Z320&amp;""),CHAR(10),""),CHAR(13),""),CHAR(9),""),CHAR(160),"")," ",""),".",""),"-",""),"/",""),"?",""),"_",""),",",""),"[",""),"]",""),"(",""),")",""),"*","")</f>
        <v/>
      </c>
      <c r="AX320" s="61" t="str">
        <f aca="false">SUBSTITUTE(SUBSTITUTE(SUBSTITUTE(SUBSTITUTE(SUBSTITUTE(SUBSTITUTE(SUBSTITUTE(SUBSTITUTE(SUBSTITUTE(SUBSTITUTE(SUBSTITUTE(SUBSTITUTE(SUBSTITUTE(SUBSTITUTE(SUBSTITUTE(SUBSTITUTE(LOWER(AE320&amp;""),CHAR(10),""),CHAR(13),""),CHAR(9),""),CHAR(160),"")," ",""),".",""),"-",""),"/",""),"?",""),"_",""),",",""),"[",""),"]",""),"(",""),")",""),"*","")</f>
        <v/>
      </c>
      <c r="AY320" s="61" t="str">
        <f aca="false">SUBSTITUTE(SUBSTITUTE(SUBSTITUTE(SUBSTITUTE(SUBSTITUTE(SUBSTITUTE(SUBSTITUTE(SUBSTITUTE(SUBSTITUTE(SUBSTITUTE(SUBSTITUTE(SUBSTITUTE(SUBSTITUTE(SUBSTITUTE(SUBSTITUTE(SUBSTITUTE(LOWER(W320&amp;""),CHAR(10),""),CHAR(13),""),CHAR(9),""),CHAR(160),"")," ",""),".",""),"-",""),"/",""),"?",""),"_",""),",",""),"[",""),"]",""),"(",""),")",""),"*","")</f>
        <v/>
      </c>
      <c r="AZ320" s="61" t="str">
        <f aca="false">SUBSTITUTE(SUBSTITUTE(SUBSTITUTE(SUBSTITUTE(SUBSTITUTE(SUBSTITUTE(SUBSTITUTE(SUBSTITUTE(SUBSTITUTE(SUBSTITUTE(SUBSTITUTE(SUBSTITUTE(SUBSTITUTE(SUBSTITUTE(SUBSTITUTE(SUBSTITUTE(LOWER(AC320&amp;""),CHAR(10),""),CHAR(13),""),CHAR(9),""),CHAR(160),"")," ",""),".",""),"-",""),"/",""),"?",""),"_",""),",",""),"[",""),"]",""),"(",""),")",""),"*","")</f>
        <v/>
      </c>
      <c r="BA320" s="61" t="str">
        <f aca="false">SUBSTITUTE(SUBSTITUTE(SUBSTITUTE(SUBSTITUTE(SUBSTITUTE(SUBSTITUTE(SUBSTITUTE(SUBSTITUTE(SUBSTITUTE(SUBSTITUTE(SUBSTITUTE(SUBSTITUTE(SUBSTITUTE(SUBSTITUTE(SUBSTITUTE(SUBSTITUTE(LOWER(AA320&amp;""),CHAR(10),""),CHAR(13),""),CHAR(9),""),CHAR(160),"")," ",""),".",""),"-",""),"/",""),"?",""),"_",""),",",""),"[",""),"]",""),"(",""),")",""),"*","")</f>
        <v/>
      </c>
      <c r="BB320" s="61" t="str">
        <f aca="false">IF(AND(TRIM(U320)="Pass",ISNUMBER(AF320)),IF(AF320&lt;&gt;0,"INVALID – qty variance: use Fail or Pass after CA",""),"")&amp;IF(AND(TRIM(U320)="Pass after CA",ISNUMBER(AF320)),IF(AF320&lt;&gt;0,"INVALID – after the corrective action the actual qty must equal expected (update Actual)",""),"")&amp;IF(AND(TRIM(U320)="Pass",TRIM(AB320)&lt;&gt;"",TRIM(AB320)&lt;&gt;"Closed"),"INVALID – corrective action not closed: use Fail, then Pass after CA","")&amp;IF(AND(LEN(BA320)&gt;=2,ISNA(MATCH(LEFT(BA320,255),L_Placeholder,0)),TRIM(AB320)=""),"INVALID – CA status missing for the recorded corrective action","")&amp;IF(AND(TRIM(U320)="Pass after CA",OR(OR(LEN(BA320)&lt;5,ISNUMBER(MATCH(BA320,L_Placeholder,0))),TRIM(AB320)&lt;&gt;"Closed")),"INVALID – corrective action not recorded/closed","")</f>
        <v/>
      </c>
      <c r="BC320" s="61" t="str">
        <f aca="false">" "&amp;TRIM(SUBSTITUTE(SUBSTITUTE(SUBSTITUTE(SUBSTITUTE(SUBSTITUTE(SUBSTITUTE(SUBSTITUTE(SUBSTITUTE(SUBSTITUTE(SUBSTITUTE(SUBSTITUTE(SUBSTITUTE(SUBSTITUTE(SUBSTITUTE(SUBSTITUTE(SUBSTITUTE(SUBSTITUTE(SUBSTITUTE(SUBSTITUTE(SUBSTITUTE(SUBSTITUTE(SUBSTITUTE(SUBSTITUTE(SUBSTITUTE(LOWER(V320&amp;""),CHAR(10)," "),CHAR(13)," "),CHAR(9)," "),CHAR(160)," "),"."," "),","," "),"-"," "),"/"," "),"("," "),")"," "),":"," "),";"," "),"_"," "),"–"," "),"?"," "),"!"," "),"*"," "),"["," "),"]"," "),"'"," "),"#"," "),"+"," "),"&amp;"," "),"\"," "))&amp;" "</f>
        <v>  </v>
      </c>
      <c r="BD320" s="61" t="str">
        <f aca="false">" "&amp;TRIM(SUBSTITUTE(SUBSTITUTE(SUBSTITUTE(SUBSTITUTE(SUBSTITUTE(SUBSTITUTE(SUBSTITUTE(SUBSTITUTE(SUBSTITUTE(SUBSTITUTE(SUBSTITUTE(SUBSTITUTE(SUBSTITUTE(SUBSTITUTE(SUBSTITUTE(SUBSTITUTE(SUBSTITUTE(SUBSTITUTE(SUBSTITUTE(SUBSTITUTE(SUBSTITUTE(SUBSTITUTE(SUBSTITUTE(SUBSTITUTE(LOWER(Z320&amp;""),CHAR(10)," "),CHAR(13)," "),CHAR(9)," "),CHAR(160)," "),"."," "),","," "),"-"," "),"/"," "),"("," "),")"," "),":"," "),";"," "),"_"," "),"–"," "),"?"," "),"!"," "),"*"," "),"["," "),"]"," "),"'"," "),"#"," "),"+"," "),"&amp;"," "),"\"," "))&amp;" "</f>
        <v>  </v>
      </c>
      <c r="BE320" s="61" t="str">
        <f aca="false">" "&amp;TRIM(SUBSTITUTE(SUBSTITUTE(SUBSTITUTE(SUBSTITUTE(SUBSTITUTE(SUBSTITUTE(SUBSTITUTE(SUBSTITUTE(SUBSTITUTE(SUBSTITUTE(SUBSTITUTE(SUBSTITUTE(SUBSTITUTE(SUBSTITUTE(SUBSTITUTE(SUBSTITUTE(SUBSTITUTE(SUBSTITUTE(SUBSTITUTE(SUBSTITUTE(SUBSTITUTE(SUBSTITUTE(SUBSTITUTE(SUBSTITUTE(LOWER(W320&amp;""),CHAR(10)," "),CHAR(13)," "),CHAR(9)," "),CHAR(160)," "),"."," "),","," "),"-"," "),"/"," "),"("," "),")"," "),":"," "),";"," "),"_"," "),"–"," "),"?"," "),"!"," "),"*"," "),"["," "),"]"," "),"'"," "),"#"," "),"+"," "),"&amp;"," "),"\"," "))&amp;" "</f>
        <v>  </v>
      </c>
      <c r="BF320" s="61" t="str">
        <f aca="false">" "&amp;TRIM(SUBSTITUTE(SUBSTITUTE(SUBSTITUTE(SUBSTITUTE(SUBSTITUTE(SUBSTITUTE(SUBSTITUTE(SUBSTITUTE(SUBSTITUTE(SUBSTITUTE(SUBSTITUTE(SUBSTITUTE(SUBSTITUTE(SUBSTITUTE(SUBSTITUTE(SUBSTITUTE(SUBSTITUTE(SUBSTITUTE(SUBSTITUTE(SUBSTITUTE(SUBSTITUTE(SUBSTITUTE(SUBSTITUTE(SUBSTITUTE(LOWER(AC320&amp;""),CHAR(10)," "),CHAR(13)," "),CHAR(9)," "),CHAR(160)," "),"."," "),","," "),"-"," "),"/"," "),"("," "),")"," "),":"," "),";"," "),"_"," "),"–"," "),"?"," "),"!"," "),"*"," "),"["," "),"]"," "),"'"," "),"#"," "),"+"," "),"&amp;"," "),"\"," "))&amp;" "</f>
        <v>  </v>
      </c>
      <c r="BG320" s="61" t="n">
        <f aca="false">IFERROR(IF(AND(TRIM(U320)="Pass",SUMPRODUCT((LEN(BC320)-LEN(SUBSTITUTE(BC320," "&amp;L_ResultBad&amp;" "," ")))/(LEN(L_ResultBad)+1))&gt;SUMPRODUCT((LEN(BC320)-LEN(SUBSTITUTE(BC320," "&amp;L_NegPhrase&amp;" "," ")))/(LEN(L_NegPhrase)+1))),1,0),0)</f>
        <v>0</v>
      </c>
      <c r="BH320" s="61" t="n">
        <f aca="false">IFERROR(IF(SUMPRODUCT((LEN(BC320)-LEN(SUBSTITUTE(BC320," "&amp;L_Pending&amp;" "," ")))/(LEN(L_Pending)+1))&gt;SUMPRODUCT((LEN(BC320)-LEN(SUBSTITUTE(BC320," "&amp;L_PendNeg&amp;" "," ")))/(LEN(L_PendNeg)+1)),1,0),1)</f>
        <v>0</v>
      </c>
      <c r="BI320" s="61" t="n">
        <f aca="false">IFERROR(IF(SUMPRODUCT((LEN(BD320)-LEN(SUBSTITUTE(BD320," "&amp;L_PendStrict&amp;" "," ")))/(LEN(L_PendStrict)+1))&gt;SUMPRODUCT((LEN(BD320)-LEN(SUBSTITUTE(BD320," "&amp;L_PendNeg&amp;" "," ")))/(LEN(L_PendNeg)+1)),1,0),1)</f>
        <v>0</v>
      </c>
      <c r="BJ320" s="61" t="n">
        <f aca="false">IFERROR(IF(SUMPRODUCT((LEN(BE320)-LEN(SUBSTITUTE(BE320," "&amp;L_Pending&amp;" "," ")))/(LEN(L_Pending)+1))&gt;SUMPRODUCT((LEN(BE320)-LEN(SUBSTITUTE(BE320," "&amp;L_PendNeg&amp;" "," ")))/(LEN(L_PendNeg)+1)),1,0),1)</f>
        <v>0</v>
      </c>
      <c r="BK320" s="61" t="n">
        <f aca="false">IFERROR(IF(SUMPRODUCT((LEN(BF320)-LEN(SUBSTITUTE(BF320," "&amp;L_PendStrict&amp;" "," ")))/(LEN(L_PendStrict)+1))&gt;SUMPRODUCT((LEN(BF320)-LEN(SUBSTITUTE(BF320," "&amp;L_PendNeg&amp;" "," ")))/(LEN(L_PendNeg)+1)),1,0),1)</f>
        <v>0</v>
      </c>
      <c r="BL320" s="61" t="n">
        <f aca="false">IF(ISNA(MATCH(TRIM(S320),L_EvidenceType,0)),0,BZ320)</f>
        <v>0</v>
      </c>
      <c r="BM320" s="61" t="str">
        <f aca="false">SUBSTITUTE(SUBSTITUTE(SUBSTITUTE(SUBSTITUTE(SUBSTITUTE(SUBSTITUTE(SUBSTITUTE(SUBSTITUTE(SUBSTITUTE(LOWER(Z320&amp;""),"1","0"),"2","0"),"3","0"),"4","0"),"5","0"),"6","0"),"7","0"),"8","0"),"9","0")</f>
        <v/>
      </c>
      <c r="BN320" s="61" t="str">
        <f aca="false">SUBSTITUTE(SUBSTITUTE(SUBSTITUTE(SUBSTITUTE(SUBSTITUTE(SUBSTITUTE(SUBSTITUTE(SUBSTITUTE(SUBSTITUTE(SUBSTITUTE(SUBSTITUTE(SUBSTITUTE(SUBSTITUTE(SUBSTITUTE(SUBSTITUTE(SUBSTITUTE(SUBSTITUTE(SUBSTITUTE(SUBSTITUTE(SUBSTITUTE(SUBSTITUTE(SUBSTITUTE(SUBSTITUTE(SUBSTITUTE(SUBSTITUTE(BM320,"b","a"),"c","a"),"d","a"),"e","a"),"f","a"),"g","a"),"h","a"),"i","a"),"j","a"),"k","a"),"l","a"),"m","a"),"n","a"),"o","a"),"p","a"),"q","a"),"r","a"),"s","a"),"t","a"),"u","a"),"v","a"),"w","a"),"x","a"),"y","a"),"z","a")</f>
        <v/>
      </c>
      <c r="BO320" s="61" t="str">
        <f aca="false">SUBSTITUTE(SUBSTITUTE(SUBSTITUTE(SUBSTITUTE(SUBSTITUTE(SUBSTITUTE(SUBSTITUTE(SUBSTITUTE(SUBSTITUTE(LOWER(W320&amp;""),"1","0"),"2","0"),"3","0"),"4","0"),"5","0"),"6","0"),"7","0"),"8","0"),"9","0")</f>
        <v/>
      </c>
      <c r="BP320" s="61" t="str">
        <f aca="false">SUBSTITUTE(SUBSTITUTE(SUBSTITUTE(SUBSTITUTE(SUBSTITUTE(SUBSTITUTE(SUBSTITUTE(SUBSTITUTE(SUBSTITUTE(SUBSTITUTE(SUBSTITUTE(SUBSTITUTE(SUBSTITUTE(SUBSTITUTE(SUBSTITUTE(SUBSTITUTE(SUBSTITUTE(SUBSTITUTE(SUBSTITUTE(SUBSTITUTE(SUBSTITUTE(SUBSTITUTE(SUBSTITUTE(SUBSTITUTE(SUBSTITUTE(BO320,"b","a"),"c","a"),"d","a"),"e","a"),"f","a"),"g","a"),"h","a"),"i","a"),"j","a"),"k","a"),"l","a"),"m","a"),"n","a"),"o","a"),"p","a"),"q","a"),"r","a"),"s","a"),"t","a"),"u","a"),"v","a"),"w","a"),"x","a"),"y","a"),"z","a")</f>
        <v/>
      </c>
      <c r="BQ320" s="61" t="n">
        <f aca="false">IFERROR(IF(AND(ISERROR(SEARCH(" mh"," "&amp;LOWER(W320))),ISNA(MATCH(LEFT(TRIM(BP320),255),{"0000a","000a","00a","0000aa","000aa","00aa","0aa","0000aaa","000aaa","00a00","0a00","0000-0000","00:00","a00","a0","00.00.0000","00/00/0000","00-00-0000","0000-00-00","0000/00/00","0000.00.00","00.00.00","00/00/00","00-00-00","0.00.0000","0/00/0000","0-00-0000"},0)),ISNA(MATCH(LEFT(TRIM(CA320),255),{"0000a","000a","00a","0000aa","000aa","00aa","0aa","0000aaa","000aaa","00a00","0a00","0000-0000","00:00","a00","a0","00.00.0000","00/00/0000","00-00-0000","0000-00-00","0000/00/00","0000.00.00","00.00.00","00/00/00","00-00-00","0.00.0000","0/00/0000","0-00-0000"},0)),LEN(CB320)&gt;=3,NOT(OR(SUBSTITUTE(CB320,"0","")="",AND(LEN(CB320)&gt;=4,CB320=REPT(LEFT(CB320),LEN(CB320))),ISNUMBER(MATCH(CB320,{"123","1234","12345","123456","1234567","12345678","0123","01234","012345","98765","987654","54321"},0)),AND(LEN(CB320)=8,LEFT(CB320,3)="202"))),OR(AND((LEN(CA320)-LEN(SUBSTITUTE(CA320,"a","")))&gt;=1,SUMPRODUCT(--ISNUMBER(SEARCH({"a0","a-0","a_0","a/0","a.0","a#0","0a","0-a","0_a","0/a"},BP320)))&gt;0),ISNUMBER(SEARCH("000000",BP320)))),1,0),0)</f>
        <v>0</v>
      </c>
      <c r="BR320" s="61" t="n">
        <f aca="false">IFERROR(LEN(SUBSTITUTE(CC320," ",""))-SUMPRODUCT((LEN(CC320)-LEN(SUBSTITUTE(CC320," "&amp;L_Role&amp;" "," ")))/(LEN(L_Role)+1)*LEN(L_Role)),0)</f>
        <v>0</v>
      </c>
      <c r="BS320" s="61" t="n">
        <f aca="false">IFERROR(LEN(SUBSTITUTE(CD320," ",""))-SUMPRODUCT((LEN(CD320)-LEN(SUBSTITUTE(CD320," "&amp;L_Role&amp;" "," ")))/(LEN(L_Role)+1)*LEN(L_Role)),0)</f>
        <v>0</v>
      </c>
      <c r="BT3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320,"revision",""),"version",""),"jan",""),"feb",""),"mar",""),"apr",""),"may",""),"jun",""),"jul",""),"aug",""),"sep",""),"oct",""),"nov",""),"dec",""),"utc",""),"gmt",""),"myt",""),"bst",""),"rev",""),"ver",""),"b","a"),"c","a"),"d","a"),"e","a"),"f","a"),"g","a"),"h","a"),"i","a"),"j","a"),"k","a"),"l","a"),"m","a"),"n","a"),"o","a"),"p","a"),"q","a"),"r","a"),"s","a"),"t","a"),"u","a"),"v","a"),"w","a"),"x","a"),"y","a"),"z","a")</f>
        <v/>
      </c>
      <c r="BU320" s="61" t="str">
        <f aca="false">SUBSTITUTE(SUBSTITUTE(SUBSTITUTE(SUBSTITUTE(SUBSTITUTE(SUBSTITUTE(SUBSTITUTE(SUBSTITUTE(SUBSTITUTE(SUBSTITUTE(LEFT(BM320,FIND("0",BM320&amp;"0")-1),"-",""),"_",""),"/",""),".",""),"#",""),"\\",""),":","")," ",""),"(",""),")","")</f>
        <v/>
      </c>
      <c r="BV320" s="61" t="n">
        <f aca="false">IFERROR(IF(OR(SUMPRODUCT((LEN(BC320)-LEN(SUBSTITUTE(BC320," "&amp;L_NotLoaded&amp;" "," ")))/(LEN(L_NotLoaded)+1))&gt;SUMPRODUCT((LEN(BC320)-LEN(SUBSTITUTE(BC320," "&amp;L_NotLoadedNeg&amp;" "," ")))/(LEN(L_NotLoadedNeg)+1)),SUMPRODUCT((LEN(BD320)-LEN(SUBSTITUTE(BD320," "&amp;L_NotLoaded&amp;" "," ")))/(LEN(L_NotLoaded)+1))&gt;SUMPRODUCT((LEN(BD320)-LEN(SUBSTITUTE(BD320," "&amp;L_NotLoadedNeg&amp;" "," ")))/(LEN(L_NotLoadedNeg)+1))),1,0),0)</f>
        <v>0</v>
      </c>
      <c r="BW3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320&amp;""),"a",""),"b",""),"c",""),"d",""),"e",""),"f",""),"g",""),"h",""),"i",""),"j",""),"k",""),"l",""),"m",""),"n",""),"o",""),"p",""),"q",""),"r",""),"s",""),"t",""),"u",""),"v",""),"w",""),"x",""),"y",""),"z",""),"-",""),"_",""),"/",""),".",""),"#",""),"\\",""),":","")," ",""),"(",""),")","")</f>
        <v/>
      </c>
      <c r="BX320" s="61" t="str">
        <f aca="false">SUBSTITUTE(SUBSTITUTE(SUBSTITUTE(SUBSTITUTE(SUBSTITUTE(SUBSTITUTE(SUBSTITUTE(SUBSTITUTE(SUBSTITUTE(SUBSTITUTE(SUBSTITUTE(BM320,"0",""),"-",""),"_",""),"/",""),".",""),"#",""),"\\",""),":","")," ",""),"(",""),")","")</f>
        <v/>
      </c>
      <c r="BY320" s="62" t="n">
        <f aca="false">IF(ISNUMBER(Flights!$AZ$13),MAX(Q320-UpliftWindowH/24,Flights!$AZ$13),Q320-UpliftWindowH/24)</f>
        <v>46306.0034722222</v>
      </c>
      <c r="BZ320" s="61" t="n">
        <f aca="false">IFERROR(IF(IF(TRIM(S320)="Link / file path",AND(LEN(TRIM(Z320))&gt;=5,SUMPRODUCT(--ISNUMBER(SEARCH({"http","www.","\\",":\",".pdf",".jpg",".jpeg",".png",".heic",".xls",".doc",".msg",".eml",".ppt",".txt",".zip"},Z320)))&gt;0),AND(ISERROR(FIND(" ",TRIM(Z320))),NOT(OR(SUMPRODUCT(--ISNUMBER(FIND({",",";","&amp;","+"},Z320)))&gt;0,SUMPRODUCT(--ISNUMBER(SEARCH({"0/aa","0\\aa"},BN320)))&gt;0)),NOT(SUMPRODUCT(--ISNUMBER(SEARCH({"http","www.","\\",":\",".pdf",".jpg",".jpeg",".png",".heic",".xls",".doc",".msg",".eml",".ppt",".txt",".zip"},Z320)))&gt;0),NOT(LOWER(TRIM(Z320))=LOWER(Flights!$F$13)),ISNA(MATCH(BU320,{"mh","rev","revision","ver","version","v","r","a","b","seat","tray","row","gate","bay","stand","page","pg","item","line","no","cart","galley","flight","flt","table","box","bag","oven","etd","eta","std","sta","atd","ata","qty","pax","x","time","tel","ph","mob","day","wk","week","utc","gmt","myt","lt"},0)),NOT(OR(ISNUMBER(MATCH(LEFT(BN320,255),{"0000a","000a","00a","0000aa","000aa","00aa","0aa","0000aaa","000aaa","00a00","0a00","0000-0000","00:00","a00","a0","00.00.0000","00/00/0000","00-00-0000","0000-00-00","0000/00/00","0000.00.00","00.00.00","00/00/00","00-00-00","0.00.0000","0/00/0000","0-00-0000"},0)),ISNUMBER(MATCH(LEFT(BT320,255),{"0000a","000a","00a","0000aa","000aa","00aa","0aa","0000aaa","000aaa","00a00","0a00","0000-0000","00:00","a00","a0","00.00.0000","00/00/0000","00-00-0000","0000-00-00","0000/00/00","0000.00.00","00.00.00","00/00/00","00-00-00","0.00.0000","0/00/0000","0-00-0000"},0)))),NOT(OR(AND(BW320&lt;&gt;"",SUBSTITUTE(BW320,"0","")=""),AND(LEN(BW320)&gt;=4,BW320=REPT(LEFT(BW320),LEN(BW320))),ISNUMBER(MATCH(BW320,{"123","1234","12345","123456","1234567","12345678","0123","01234","012345","98765","987654","54321"},0)),ISNUMBER(MATCH(BX320,{"x","xx","xxx","xxxx","xxxxx","abc","abcd","nil","na","nan","test","tbc","tba","tbd","dummy","sample","example","eg","zz","zzz","none","null","xyz","qwe","asd","id","ref"},0)),AND(LEN(BW320)=8,BX320="",OR(LEFT(BW320,3)="202",ISNUMBER(MATCH(RIGHT(BW320,4),{"2025","2026","2027"},0)))))),OR(AND((LEN(BT320)-LEN(SUBSTITUTE(BT320,"a","")))&gt;=1,(LEN(BN320)-LEN(SUBSTITUTE(BN320,"0","")))&gt;=2,SUMPRODUCT(--ISNUMBER(SEARCH({"a0","a-0","a_0","a/0","a.0","a#0","0a","0-a","0_a","0/a"},BN320)))&gt;0),AND((LEN(BN320)-LEN(SUBSTITUTE(BN320,"a","")))=0,(LEN(BN320)-LEN(SUBSTITUTE(BN320,"0","")))&gt;=5)))),1,0),0)</f>
        <v>0</v>
      </c>
      <c r="CA3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320,"revision",""),"version",""),"jan",""),"feb",""),"mar",""),"apr",""),"may",""),"jun",""),"jul",""),"aug",""),"sep",""),"oct",""),"nov",""),"dec",""),"utc",""),"gmt",""),"myt",""),"bst",""),"rev",""),"ver",""),"b","a"),"c","a"),"d","a"),"e","a"),"f","a"),"g","a"),"h","a"),"i","a"),"j","a"),"k","a"),"l","a"),"m","a"),"n","a"),"o","a"),"p","a"),"q","a"),"r","a"),"s","a"),"t","a"),"u","a"),"v","a"),"w","a"),"x","a"),"y","a"),"z","a")</f>
        <v/>
      </c>
      <c r="CB3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320&amp;""),"a",""),"b",""),"c",""),"d",""),"e",""),"f",""),"g",""),"h",""),"i",""),"j",""),"k",""),"l",""),"m",""),"n",""),"o",""),"p",""),"q",""),"r",""),"s",""),"t",""),"u",""),"v",""),"w",""),"x",""),"y",""),"z",""),"-",""),"_",""),"/",""),".",""),"#",""),"\\",""),":","")," ",""),"(",""),")","")</f>
        <v/>
      </c>
      <c r="CC320" s="0" t="str">
        <f aca="false">" "&amp;TRIM(SUBSTITUTE(SUBSTITUTE(SUBSTITUTE(SUBSTITUTE(SUBSTITUTE(SUBSTITUTE(SUBSTITUTE(SUBSTITUTE(SUBSTITUTE(SUBSTITUTE(SUBSTITUTE(SUBSTITUTE(SUBSTITUTE(SUBSTITUTE(SUBSTITUTE(SUBSTITUTE(SUBSTITUTE(SUBSTITUTE(SUBSTITUTE(SUBSTITUTE(SUBSTITUTE(SUBSTITUTE(SUBSTITUTE(SUBSTITUTE(LOWER(T320&amp;""),CHAR(10)," "),CHAR(13)," "),CHAR(9)," "),CHAR(160)," "),"."," "),","," "),"-"," "),"/"," "),"("," "),")"," "),":"," "),";"," "),"_"," "),"–"," "),"?"," "),"!"," "),"*"," "),"["," "),"]"," "),"'"," "),"#"," "),"+"," "),"&amp;"," "),"\"," "))&amp;" "</f>
        <v>  </v>
      </c>
      <c r="CD320" s="0" t="str">
        <f aca="false">" "&amp;TRIM(SUBSTITUTE(SUBSTITUTE(SUBSTITUTE(SUBSTITUTE(SUBSTITUTE(SUBSTITUTE(SUBSTITUTE(SUBSTITUTE(SUBSTITUTE(SUBSTITUTE(SUBSTITUTE(SUBSTITUTE(SUBSTITUTE(SUBSTITUTE(SUBSTITUTE(SUBSTITUTE(SUBSTITUTE(SUBSTITUTE(SUBSTITUTE(SUBSTITUTE(SUBSTITUTE(SUBSTITUTE(SUBSTITUTE(SUBSTITUTE(LOWER(AE320&amp;""),CHAR(10)," "),CHAR(13)," "),CHAR(9)," "),CHAR(160)," "),"."," "),","," "),"-"," "),"/"," "),"("," "),")"," "),":"," "),";"," "),"_"," "),"–"," "),"?"," "),"!"," "),"*"," "),"["," "),"]"," "),"'"," "),"#"," "),"+"," "),"&amp;"," "),"\"," "))&amp;" "</f>
        <v>  </v>
      </c>
      <c r="CE320" s="68" t="n">
        <f aca="false">IFERROR(IF(AND(LEN(AU320)&gt;0,LEN(AU320)=LEN(AX320),OR(TRIM(MID(SUBSTITUTE(TRIM(CC320)," ",REPT(" ",60)),1,60))="",ISNUMBER(SEARCH(" "&amp;TRIM(MID(SUBSTITUTE(TRIM(CC320)," ",REPT(" ",60)),1,60))&amp;" ",CD320))),OR(TRIM(MID(SUBSTITUTE(TRIM(CC320)," ",REPT(" ",60)),61,60))="",ISNUMBER(SEARCH(" "&amp;TRIM(MID(SUBSTITUTE(TRIM(CC320)," ",REPT(" ",60)),61,60))&amp;" ",CD320))),OR(TRIM(MID(SUBSTITUTE(TRIM(CC320)," ",REPT(" ",60)),121,60))="",ISNUMBER(SEARCH(" "&amp;TRIM(MID(SUBSTITUTE(TRIM(CC320)," ",REPT(" ",60)),121,60))&amp;" ",CD320)))),1,0),0)</f>
        <v>0</v>
      </c>
      <c r="CG320" s="68" t="n">
        <f aca="false">IFERROR(LEN(SUBSTITUTE(BF320," ",""))-SUMPRODUCT((LEN(BF320)-LEN(SUBSTITUTE(BF320," "&amp;L_NAFiller&amp;" "," ")))/(LEN(L_NAFiller)+1)*LEN(L_NAFiller)),0)</f>
        <v>0</v>
      </c>
    </row>
    <row r="321" customFormat="false" ht="39.75" hidden="false" customHeight="true" outlineLevel="0" collapsed="false">
      <c r="A321" s="57" t="s">
        <v>910</v>
      </c>
      <c r="B321" s="57" t="s">
        <v>246</v>
      </c>
      <c r="C321" s="57" t="str">
        <f aca="false">Flights!$F$13</f>
        <v>MH0753</v>
      </c>
      <c r="D321" s="58" t="n">
        <f aca="false">Flights!$D$13</f>
        <v>46306</v>
      </c>
      <c r="E321" s="57" t="str">
        <f aca="false">Flights!$G$13&amp;"-"&amp;Flights!$H$13</f>
        <v>HAN-KUL</v>
      </c>
      <c r="F321" s="57" t="str">
        <f aca="false">Flights!$K$13</f>
        <v>BC</v>
      </c>
      <c r="G321" s="57" t="s">
        <v>459</v>
      </c>
      <c r="H321" s="57" t="s">
        <v>460</v>
      </c>
      <c r="I321" s="57" t="s">
        <v>447</v>
      </c>
      <c r="J321" s="57" t="s">
        <v>555</v>
      </c>
      <c r="K321" s="67" t="s">
        <v>449</v>
      </c>
      <c r="L321" s="67" t="s">
        <v>898</v>
      </c>
      <c r="M321" s="67" t="s">
        <v>451</v>
      </c>
      <c r="N321" s="67" t="s">
        <v>383</v>
      </c>
      <c r="O321" s="67"/>
      <c r="P321" s="57" t="s">
        <v>240</v>
      </c>
      <c r="Q321" s="59" t="n">
        <f aca="false">ROUND((Flights!$AF$13)*1440,0)/1440</f>
        <v>46306.2534722222</v>
      </c>
      <c r="R321" s="59" t="n">
        <f aca="false">Q321+(IF(AND(INDEX(TZ_DSTS,MATCH(P321,TZ_STN,0))&lt;&gt;"",Q321&gt;=INDEX(TZ_DSTS,MATCH(P321,TZ_STN,0)),Q321&lt;INDEX(TZ_DSTE,MATCH(P321,TZ_STN,0))),INDEX(TZ_DST,MATCH(P321,TZ_STN,0)),INDEX(TZ_STD,MATCH(P321,TZ_STN,0))))/24</f>
        <v>46306.5451388889</v>
      </c>
      <c r="S321" s="60"/>
      <c r="T321" s="60"/>
      <c r="U321" s="60"/>
      <c r="V321" s="60"/>
      <c r="W321" s="61"/>
      <c r="X321" s="60"/>
      <c r="Y321" s="60"/>
      <c r="Z321" s="60"/>
      <c r="AA321" s="60"/>
      <c r="AB321" s="60"/>
      <c r="AC321" s="60"/>
      <c r="AD321" s="66"/>
      <c r="AE321" s="60"/>
      <c r="AF321" s="61" t="str">
        <f aca="false">IF(AND(ISNUMBER(X321),ISNUMBER(Y321)),Y321-X321,"")</f>
        <v/>
      </c>
      <c r="AG321" s="62" t="str">
        <f aca="false">IF(ISNUMBER(AD321),AD321-(IF(AND(INDEX(TZ_DSTS,MATCH(P321,TZ_STN,0))&lt;&gt;"",(AD321-INDEX(TZ_STD,MATCH(P321,TZ_STN,0))/24)&gt;=INDEX(TZ_DSTS,MATCH(P321,TZ_STN,0)),(AD321-INDEX(TZ_STD,MATCH(P321,TZ_STN,0))/24)&lt;INDEX(TZ_DSTE,MATCH(P321,TZ_STN,0))),INDEX(TZ_DST,MATCH(P321,TZ_STN,0)),INDEX(TZ_STD,MATCH(P321,TZ_STN,0))))/24,"")</f>
        <v/>
      </c>
      <c r="AH321" s="65" t="str">
        <f aca="false">IFERROR(IF(N321="N/A – rule",IF(OR(TRIM(U321)="",TRIM(U321)="N/A",TRIM(U321)="Not started"),"N/A – RULE","INVALID – this check does not apply to this aircraft: clear the status (or correct the fleet on Flights)"),IF(TRIM(U321)="N/A",IF(AT321=0,"INVALID – N/A not permitted for this check",IF(AND(TRIM(AB321)&lt;&gt;"",TRIM(AB321)&lt;&gt;"Closed"),"INVALID – corrective action still open",IF(AND(NOT(OR(LEN(AZ321)&lt;15,ISNUMBER(MATCH(AZ321,L_Placeholder,0)))),BK321=0,CG321&gt;=8,NOT(OR(LEN(AU321)&lt;2,ISNUMBER(MATCH(AU321,L_Placeholder,0)))),BR321&gt;=3,NOT(OR(LEN(AX321)&lt;2,ISNUMBER(MATCH(AX321,L_Placeholder,0)))),BS321&gt;=3,TRIM(AE321)&lt;&gt;TRIM(T321),AX321&lt;&gt;AU321,CE321=0),"N/A – JUSTIFIED","INVALID – N/A needs a real, settled reason (not 'not applicable' / 'as above' / TBC), a named PIC and a different named verifier"))),IF(OR(TRIM(U321)="Pass",TRIM(U321)="Pass after CA"),IF(NOT(ISNUMBER(AD321)),"INVALID – completion time missing",IF(OR(OR(LEN(AU321)&lt;2,ISNUMBER(MATCH(AU321,L_Placeholder,0))),BR321&lt;3),"INVALID – PIC missing or not a named person (a role such as QA / CSM is not a name)",IF(OR(LEN(AV321)&lt;2,ISNUMBER(MATCH(AV321,L_Placeholder,0))),"INVALID – result / assessment missing",IF(OR(OR(LEN(AW321)&lt;3,ISNUMBER(MATCH(AW321,L_Placeholder,0))),SUMPRODUCT(--ISNUMBER(SEARCH(" "&amp;L_EvidencePhrase&amp;" ",BD321)))&gt;0,BI321=1),"INVALID – evidence missing, placeholder or not yet on file",IF(ISNA(MATCH(TRIM(S321),L_EvidenceType,0)),"INVALID – choose the evidence type from the list (column S)",IF(BL321=0,"INVALID – evidence ID must be the record's own ID only (e.g. SF-2210, IMG_2231, 1045521); a link / file name needs type 'Link / file path'",IF(OR(OR(LEN(AX321)&lt;2,ISNUMBER(MATCH(AX321,L_Placeholder,0))),BS321&lt;3),"INVALID – verifier missing or not a named person (a role such as QA / CSM is not a name)",IF(OR(AX321=AU321,CE321=1,AND(LEN(AU321)&gt;=4,ISNUMBER(SEARCH(AU321,AX321))),AND(LEN(AX321)&gt;=4,ISNUMBER(SEARCH(AX321,AU321)))),"INVALID – verifier must be a different, named person (not the PIC or a role)",IF(BH321=1,"INVALID – result not yet available (awaiting / TBC)",IF(BG321=1,"INVALID – result describes a problem: record Fail, then Pass after CA (or reword if it is not a problem)",IF(BV321=1,"INVALID – wording says not on board: an on-board confirmation needs the item loaded",IF(AND(AQ321=1,OR(OR(LEN(AY321)&lt;3,ISNUMBER(MATCH(AY321,L_Placeholder,0))),BJ321=1,BQ321=0)),"INVALID – batch ID missing, placeholder or not an ID (e.g. PASB-261008-BC-017)",IF(AND(AR321=1,OR(NOT(ISNUMBER(X321)),NOT(ISNUMBER(Y321)))),"INVALID – expected/actual qty missing",IF(AND(AR321=1,OR(X321&lt;=0,Y321&lt;0)),"INVALID – expected qty must be above 0 and actual not negative",IF(AH309="N/A – JUSTIFIED","INVALID – preparation row F09-T12-17 is N/A",IF(AND(AR321=1,ISNUMBER(X309),X321&lt;&gt;X309,TRIM(U321)&lt;&gt;"Pass after CA"),"INVALID – expected qty differs from preparation check F09-T12-17: record the load change as a corrective action (Pass after CA)",IF(BB321&lt;&gt;"",BB321,IF(AND(AS321=1,Documents!$J$13&lt;&gt;"ON FILE"),"INVALID – GLD not on file (Documents sheet)",IF(AND(AS321=2,Documents!$O$13&lt;&gt;"ON FILE"),"INVALID – menu checklist not on file (Documents sheet)",IF(AND(AS321=3,NOT(ISNUMBER(Flights!$AX$13))),"INVALID – enter carrying flight KUL departure (Flights AX)",IF(AND(AS321=3,OR(Flights!$AZ$13&gt;Flights!$AA$13,Flights!$AX$13&lt;Flights!$AA$13-3)),"INVALID – carrying flight (Flights AX) cannot arrive before this leg's STD, or is over 3 days early",IF(AG321&gt;AsOfUTC,"INVALID – completion time is in the future",IF(AND(ISNUMBER(BY321),AG321&lt;BY321),IF(H321="Physical uplift","INVALID – before uplift window (cannot confirm loading)","INVALID – before valid window"),IF(AG321&gt;Flights!$AA$13,"INVALID – completed after departure (cannot establish readiness)",IF(AND(H321="Preparation",AG321&gt;=IF(ISNUMBER(Flights!$BA$13),MIN(Flights!$BA$13,Flights!$AA$13),Flights!$AA$13)),"INVALID – completed after loading / departure (cannot establish readiness)",IF(AND(H321="Physical uplift",AG321&gt;Q321),"INVALID – recorded after the loading flight departed",IF(AG321&gt;Q321,"COMPLETE – LATE","COMPLETE"))))))))))))))))))))))))))),IF(TRIM(U321)="Fail","FAIL – DISCREPANCY",IF(AND(TRIM(U321)&lt;&gt;"",TRIM(U321)&lt;&gt;"Not started",TRIM(U321)&lt;&gt;"In progress"),"INVALID – unrecognised status (use the list)",IF(AsOfUTC&gt;Q321,"OVERDUE",IF(N321="Clarification required","OPEN – CLARIFICATION","OPEN"))))))),"INVALID – error value in an input cell")</f>
        <v>OPEN</v>
      </c>
      <c r="AI321" s="61" t="n">
        <f aca="false">IF(OR(AH321="N/A – RULE",AH321="N/A – JUSTIFIED"),0,1)</f>
        <v>1</v>
      </c>
      <c r="AJ321" s="61" t="n">
        <f aca="false">IF(LEFT(AH321,8)="COMPLETE",1,0)</f>
        <v>0</v>
      </c>
      <c r="AK321" s="61" t="n">
        <f aca="false">IF(AND(AI321=1,AJ321=0,AsOfUTC&gt;Q321),1,0)</f>
        <v>0</v>
      </c>
      <c r="AL321" s="61" t="n">
        <f aca="false">IFERROR(IF(AND(AI321=1,OR(TRIM(U321)="Fail",AND(TRIM(AB321)&lt;&gt;"",TRIM(AB321)&lt;&gt;"Closed"),AND(ISNUMBER(AF321),AF321&lt;&gt;0,TRIM(U321)&lt;&gt;"Pass after CA"))),1,0),1)</f>
        <v>0</v>
      </c>
      <c r="AM321" s="61" t="n">
        <f aca="false">IF(LEFT(AH321,7)="INVALID",1,0)</f>
        <v>0</v>
      </c>
      <c r="AN321" s="61" t="n">
        <f aca="false">IF(AND(N321="Clarification required",AI321=1,AJ321=0),1,0)</f>
        <v>0</v>
      </c>
      <c r="AO321" s="61" t="str">
        <f aca="false">IF(AK321=1,SUM(AK$5:AK321),"")</f>
        <v/>
      </c>
      <c r="AP321" s="61" t="str">
        <f aca="false">IF(AL321=1,SUM(AL$5:AL321),"")</f>
        <v/>
      </c>
      <c r="AQ321" s="61" t="n">
        <v>0</v>
      </c>
      <c r="AR321" s="61" t="n">
        <v>0</v>
      </c>
      <c r="AS321" s="61" t="n">
        <v>0</v>
      </c>
      <c r="AT321" s="61" t="n">
        <v>0</v>
      </c>
      <c r="AU321" s="61" t="str">
        <f aca="false">SUBSTITUTE(SUBSTITUTE(SUBSTITUTE(SUBSTITUTE(SUBSTITUTE(SUBSTITUTE(SUBSTITUTE(SUBSTITUTE(SUBSTITUTE(SUBSTITUTE(SUBSTITUTE(SUBSTITUTE(SUBSTITUTE(SUBSTITUTE(SUBSTITUTE(SUBSTITUTE(LOWER(T321&amp;""),CHAR(10),""),CHAR(13),""),CHAR(9),""),CHAR(160),"")," ",""),".",""),"-",""),"/",""),"?",""),"_",""),",",""),"[",""),"]",""),"(",""),")",""),"*","")</f>
        <v/>
      </c>
      <c r="AV321" s="61" t="str">
        <f aca="false">SUBSTITUTE(SUBSTITUTE(SUBSTITUTE(SUBSTITUTE(SUBSTITUTE(SUBSTITUTE(SUBSTITUTE(SUBSTITUTE(SUBSTITUTE(SUBSTITUTE(SUBSTITUTE(SUBSTITUTE(SUBSTITUTE(SUBSTITUTE(SUBSTITUTE(SUBSTITUTE(LOWER(V321&amp;""),CHAR(10),""),CHAR(13),""),CHAR(9),""),CHAR(160),"")," ",""),".",""),"-",""),"/",""),"?",""),"_",""),",",""),"[",""),"]",""),"(",""),")",""),"*","")</f>
        <v/>
      </c>
      <c r="AW321" s="61" t="str">
        <f aca="false">SUBSTITUTE(SUBSTITUTE(SUBSTITUTE(SUBSTITUTE(SUBSTITUTE(SUBSTITUTE(SUBSTITUTE(SUBSTITUTE(SUBSTITUTE(SUBSTITUTE(SUBSTITUTE(SUBSTITUTE(SUBSTITUTE(SUBSTITUTE(SUBSTITUTE(SUBSTITUTE(LOWER(Z321&amp;""),CHAR(10),""),CHAR(13),""),CHAR(9),""),CHAR(160),"")," ",""),".",""),"-",""),"/",""),"?",""),"_",""),",",""),"[",""),"]",""),"(",""),")",""),"*","")</f>
        <v/>
      </c>
      <c r="AX321" s="61" t="str">
        <f aca="false">SUBSTITUTE(SUBSTITUTE(SUBSTITUTE(SUBSTITUTE(SUBSTITUTE(SUBSTITUTE(SUBSTITUTE(SUBSTITUTE(SUBSTITUTE(SUBSTITUTE(SUBSTITUTE(SUBSTITUTE(SUBSTITUTE(SUBSTITUTE(SUBSTITUTE(SUBSTITUTE(LOWER(AE321&amp;""),CHAR(10),""),CHAR(13),""),CHAR(9),""),CHAR(160),"")," ",""),".",""),"-",""),"/",""),"?",""),"_",""),",",""),"[",""),"]",""),"(",""),")",""),"*","")</f>
        <v/>
      </c>
      <c r="AY321" s="61" t="str">
        <f aca="false">SUBSTITUTE(SUBSTITUTE(SUBSTITUTE(SUBSTITUTE(SUBSTITUTE(SUBSTITUTE(SUBSTITUTE(SUBSTITUTE(SUBSTITUTE(SUBSTITUTE(SUBSTITUTE(SUBSTITUTE(SUBSTITUTE(SUBSTITUTE(SUBSTITUTE(SUBSTITUTE(LOWER(W321&amp;""),CHAR(10),""),CHAR(13),""),CHAR(9),""),CHAR(160),"")," ",""),".",""),"-",""),"/",""),"?",""),"_",""),",",""),"[",""),"]",""),"(",""),")",""),"*","")</f>
        <v/>
      </c>
      <c r="AZ321" s="61" t="str">
        <f aca="false">SUBSTITUTE(SUBSTITUTE(SUBSTITUTE(SUBSTITUTE(SUBSTITUTE(SUBSTITUTE(SUBSTITUTE(SUBSTITUTE(SUBSTITUTE(SUBSTITUTE(SUBSTITUTE(SUBSTITUTE(SUBSTITUTE(SUBSTITUTE(SUBSTITUTE(SUBSTITUTE(LOWER(AC321&amp;""),CHAR(10),""),CHAR(13),""),CHAR(9),""),CHAR(160),"")," ",""),".",""),"-",""),"/",""),"?",""),"_",""),",",""),"[",""),"]",""),"(",""),")",""),"*","")</f>
        <v/>
      </c>
      <c r="BA321" s="61" t="str">
        <f aca="false">SUBSTITUTE(SUBSTITUTE(SUBSTITUTE(SUBSTITUTE(SUBSTITUTE(SUBSTITUTE(SUBSTITUTE(SUBSTITUTE(SUBSTITUTE(SUBSTITUTE(SUBSTITUTE(SUBSTITUTE(SUBSTITUTE(SUBSTITUTE(SUBSTITUTE(SUBSTITUTE(LOWER(AA321&amp;""),CHAR(10),""),CHAR(13),""),CHAR(9),""),CHAR(160),"")," ",""),".",""),"-",""),"/",""),"?",""),"_",""),",",""),"[",""),"]",""),"(",""),")",""),"*","")</f>
        <v/>
      </c>
      <c r="BB321" s="61" t="str">
        <f aca="false">IF(AND(TRIM(U321)="Pass",ISNUMBER(AF321)),IF(AF321&lt;&gt;0,"INVALID – qty variance: use Fail or Pass after CA",""),"")&amp;IF(AND(TRIM(U321)="Pass after CA",ISNUMBER(AF321)),IF(AF321&lt;&gt;0,"INVALID – after the corrective action the actual qty must equal expected (update Actual)",""),"")&amp;IF(AND(TRIM(U321)="Pass",TRIM(AB321)&lt;&gt;"",TRIM(AB321)&lt;&gt;"Closed"),"INVALID – corrective action not closed: use Fail, then Pass after CA","")&amp;IF(AND(LEN(BA321)&gt;=2,ISNA(MATCH(LEFT(BA321,255),L_Placeholder,0)),TRIM(AB321)=""),"INVALID – CA status missing for the recorded corrective action","")&amp;IF(AND(TRIM(U321)="Pass after CA",OR(OR(LEN(BA321)&lt;5,ISNUMBER(MATCH(BA321,L_Placeholder,0))),TRIM(AB321)&lt;&gt;"Closed")),"INVALID – corrective action not recorded/closed","")</f>
        <v/>
      </c>
      <c r="BC321" s="61" t="str">
        <f aca="false">" "&amp;TRIM(SUBSTITUTE(SUBSTITUTE(SUBSTITUTE(SUBSTITUTE(SUBSTITUTE(SUBSTITUTE(SUBSTITUTE(SUBSTITUTE(SUBSTITUTE(SUBSTITUTE(SUBSTITUTE(SUBSTITUTE(SUBSTITUTE(SUBSTITUTE(SUBSTITUTE(SUBSTITUTE(SUBSTITUTE(SUBSTITUTE(SUBSTITUTE(SUBSTITUTE(SUBSTITUTE(SUBSTITUTE(SUBSTITUTE(SUBSTITUTE(LOWER(V321&amp;""),CHAR(10)," "),CHAR(13)," "),CHAR(9)," "),CHAR(160)," "),"."," "),","," "),"-"," "),"/"," "),"("," "),")"," "),":"," "),";"," "),"_"," "),"–"," "),"?"," "),"!"," "),"*"," "),"["," "),"]"," "),"'"," "),"#"," "),"+"," "),"&amp;"," "),"\"," "))&amp;" "</f>
        <v>  </v>
      </c>
      <c r="BD321" s="61" t="str">
        <f aca="false">" "&amp;TRIM(SUBSTITUTE(SUBSTITUTE(SUBSTITUTE(SUBSTITUTE(SUBSTITUTE(SUBSTITUTE(SUBSTITUTE(SUBSTITUTE(SUBSTITUTE(SUBSTITUTE(SUBSTITUTE(SUBSTITUTE(SUBSTITUTE(SUBSTITUTE(SUBSTITUTE(SUBSTITUTE(SUBSTITUTE(SUBSTITUTE(SUBSTITUTE(SUBSTITUTE(SUBSTITUTE(SUBSTITUTE(SUBSTITUTE(SUBSTITUTE(LOWER(Z321&amp;""),CHAR(10)," "),CHAR(13)," "),CHAR(9)," "),CHAR(160)," "),"."," "),","," "),"-"," "),"/"," "),"("," "),")"," "),":"," "),";"," "),"_"," "),"–"," "),"?"," "),"!"," "),"*"," "),"["," "),"]"," "),"'"," "),"#"," "),"+"," "),"&amp;"," "),"\"," "))&amp;" "</f>
        <v>  </v>
      </c>
      <c r="BE321" s="61" t="str">
        <f aca="false">" "&amp;TRIM(SUBSTITUTE(SUBSTITUTE(SUBSTITUTE(SUBSTITUTE(SUBSTITUTE(SUBSTITUTE(SUBSTITUTE(SUBSTITUTE(SUBSTITUTE(SUBSTITUTE(SUBSTITUTE(SUBSTITUTE(SUBSTITUTE(SUBSTITUTE(SUBSTITUTE(SUBSTITUTE(SUBSTITUTE(SUBSTITUTE(SUBSTITUTE(SUBSTITUTE(SUBSTITUTE(SUBSTITUTE(SUBSTITUTE(SUBSTITUTE(LOWER(W321&amp;""),CHAR(10)," "),CHAR(13)," "),CHAR(9)," "),CHAR(160)," "),"."," "),","," "),"-"," "),"/"," "),"("," "),")"," "),":"," "),";"," "),"_"," "),"–"," "),"?"," "),"!"," "),"*"," "),"["," "),"]"," "),"'"," "),"#"," "),"+"," "),"&amp;"," "),"\"," "))&amp;" "</f>
        <v>  </v>
      </c>
      <c r="BF321" s="61" t="str">
        <f aca="false">" "&amp;TRIM(SUBSTITUTE(SUBSTITUTE(SUBSTITUTE(SUBSTITUTE(SUBSTITUTE(SUBSTITUTE(SUBSTITUTE(SUBSTITUTE(SUBSTITUTE(SUBSTITUTE(SUBSTITUTE(SUBSTITUTE(SUBSTITUTE(SUBSTITUTE(SUBSTITUTE(SUBSTITUTE(SUBSTITUTE(SUBSTITUTE(SUBSTITUTE(SUBSTITUTE(SUBSTITUTE(SUBSTITUTE(SUBSTITUTE(SUBSTITUTE(LOWER(AC321&amp;""),CHAR(10)," "),CHAR(13)," "),CHAR(9)," "),CHAR(160)," "),"."," "),","," "),"-"," "),"/"," "),"("," "),")"," "),":"," "),";"," "),"_"," "),"–"," "),"?"," "),"!"," "),"*"," "),"["," "),"]"," "),"'"," "),"#"," "),"+"," "),"&amp;"," "),"\"," "))&amp;" "</f>
        <v>  </v>
      </c>
      <c r="BG321" s="61" t="n">
        <f aca="false">IFERROR(IF(AND(TRIM(U321)="Pass",SUMPRODUCT((LEN(BC321)-LEN(SUBSTITUTE(BC321," "&amp;L_ResultBad&amp;" "," ")))/(LEN(L_ResultBad)+1))&gt;SUMPRODUCT((LEN(BC321)-LEN(SUBSTITUTE(BC321," "&amp;L_NegPhrase&amp;" "," ")))/(LEN(L_NegPhrase)+1))),1,0),0)</f>
        <v>0</v>
      </c>
      <c r="BH321" s="61" t="n">
        <f aca="false">IFERROR(IF(SUMPRODUCT((LEN(BC321)-LEN(SUBSTITUTE(BC321," "&amp;L_Pending&amp;" "," ")))/(LEN(L_Pending)+1))&gt;SUMPRODUCT((LEN(BC321)-LEN(SUBSTITUTE(BC321," "&amp;L_PendNeg&amp;" "," ")))/(LEN(L_PendNeg)+1)),1,0),1)</f>
        <v>0</v>
      </c>
      <c r="BI321" s="61" t="n">
        <f aca="false">IFERROR(IF(SUMPRODUCT((LEN(BD321)-LEN(SUBSTITUTE(BD321," "&amp;L_PendStrict&amp;" "," ")))/(LEN(L_PendStrict)+1))&gt;SUMPRODUCT((LEN(BD321)-LEN(SUBSTITUTE(BD321," "&amp;L_PendNeg&amp;" "," ")))/(LEN(L_PendNeg)+1)),1,0),1)</f>
        <v>0</v>
      </c>
      <c r="BJ321" s="61" t="n">
        <f aca="false">IFERROR(IF(SUMPRODUCT((LEN(BE321)-LEN(SUBSTITUTE(BE321," "&amp;L_Pending&amp;" "," ")))/(LEN(L_Pending)+1))&gt;SUMPRODUCT((LEN(BE321)-LEN(SUBSTITUTE(BE321," "&amp;L_PendNeg&amp;" "," ")))/(LEN(L_PendNeg)+1)),1,0),1)</f>
        <v>0</v>
      </c>
      <c r="BK321" s="61" t="n">
        <f aca="false">IFERROR(IF(SUMPRODUCT((LEN(BF321)-LEN(SUBSTITUTE(BF321," "&amp;L_PendStrict&amp;" "," ")))/(LEN(L_PendStrict)+1))&gt;SUMPRODUCT((LEN(BF321)-LEN(SUBSTITUTE(BF321," "&amp;L_PendNeg&amp;" "," ")))/(LEN(L_PendNeg)+1)),1,0),1)</f>
        <v>0</v>
      </c>
      <c r="BL321" s="61" t="n">
        <f aca="false">IF(ISNA(MATCH(TRIM(S321),L_EvidenceType,0)),0,BZ321)</f>
        <v>0</v>
      </c>
      <c r="BM321" s="61" t="str">
        <f aca="false">SUBSTITUTE(SUBSTITUTE(SUBSTITUTE(SUBSTITUTE(SUBSTITUTE(SUBSTITUTE(SUBSTITUTE(SUBSTITUTE(SUBSTITUTE(LOWER(Z321&amp;""),"1","0"),"2","0"),"3","0"),"4","0"),"5","0"),"6","0"),"7","0"),"8","0"),"9","0")</f>
        <v/>
      </c>
      <c r="BN321" s="61" t="str">
        <f aca="false">SUBSTITUTE(SUBSTITUTE(SUBSTITUTE(SUBSTITUTE(SUBSTITUTE(SUBSTITUTE(SUBSTITUTE(SUBSTITUTE(SUBSTITUTE(SUBSTITUTE(SUBSTITUTE(SUBSTITUTE(SUBSTITUTE(SUBSTITUTE(SUBSTITUTE(SUBSTITUTE(SUBSTITUTE(SUBSTITUTE(SUBSTITUTE(SUBSTITUTE(SUBSTITUTE(SUBSTITUTE(SUBSTITUTE(SUBSTITUTE(SUBSTITUTE(BM321,"b","a"),"c","a"),"d","a"),"e","a"),"f","a"),"g","a"),"h","a"),"i","a"),"j","a"),"k","a"),"l","a"),"m","a"),"n","a"),"o","a"),"p","a"),"q","a"),"r","a"),"s","a"),"t","a"),"u","a"),"v","a"),"w","a"),"x","a"),"y","a"),"z","a")</f>
        <v/>
      </c>
      <c r="BO321" s="61" t="str">
        <f aca="false">SUBSTITUTE(SUBSTITUTE(SUBSTITUTE(SUBSTITUTE(SUBSTITUTE(SUBSTITUTE(SUBSTITUTE(SUBSTITUTE(SUBSTITUTE(LOWER(W321&amp;""),"1","0"),"2","0"),"3","0"),"4","0"),"5","0"),"6","0"),"7","0"),"8","0"),"9","0")</f>
        <v/>
      </c>
      <c r="BP321" s="61" t="str">
        <f aca="false">SUBSTITUTE(SUBSTITUTE(SUBSTITUTE(SUBSTITUTE(SUBSTITUTE(SUBSTITUTE(SUBSTITUTE(SUBSTITUTE(SUBSTITUTE(SUBSTITUTE(SUBSTITUTE(SUBSTITUTE(SUBSTITUTE(SUBSTITUTE(SUBSTITUTE(SUBSTITUTE(SUBSTITUTE(SUBSTITUTE(SUBSTITUTE(SUBSTITUTE(SUBSTITUTE(SUBSTITUTE(SUBSTITUTE(SUBSTITUTE(SUBSTITUTE(BO321,"b","a"),"c","a"),"d","a"),"e","a"),"f","a"),"g","a"),"h","a"),"i","a"),"j","a"),"k","a"),"l","a"),"m","a"),"n","a"),"o","a"),"p","a"),"q","a"),"r","a"),"s","a"),"t","a"),"u","a"),"v","a"),"w","a"),"x","a"),"y","a"),"z","a")</f>
        <v/>
      </c>
      <c r="BQ321" s="61" t="n">
        <f aca="false">IFERROR(IF(AND(ISERROR(SEARCH(" mh"," "&amp;LOWER(W321))),ISNA(MATCH(LEFT(TRIM(BP321),255),{"0000a","000a","00a","0000aa","000aa","00aa","0aa","0000aaa","000aaa","00a00","0a00","0000-0000","00:00","a00","a0","00.00.0000","00/00/0000","00-00-0000","0000-00-00","0000/00/00","0000.00.00","00.00.00","00/00/00","00-00-00","0.00.0000","0/00/0000","0-00-0000"},0)),ISNA(MATCH(LEFT(TRIM(CA321),255),{"0000a","000a","00a","0000aa","000aa","00aa","0aa","0000aaa","000aaa","00a00","0a00","0000-0000","00:00","a00","a0","00.00.0000","00/00/0000","00-00-0000","0000-00-00","0000/00/00","0000.00.00","00.00.00","00/00/00","00-00-00","0.00.0000","0/00/0000","0-00-0000"},0)),LEN(CB321)&gt;=3,NOT(OR(SUBSTITUTE(CB321,"0","")="",AND(LEN(CB321)&gt;=4,CB321=REPT(LEFT(CB321),LEN(CB321))),ISNUMBER(MATCH(CB321,{"123","1234","12345","123456","1234567","12345678","0123","01234","012345","98765","987654","54321"},0)),AND(LEN(CB321)=8,LEFT(CB321,3)="202"))),OR(AND((LEN(CA321)-LEN(SUBSTITUTE(CA321,"a","")))&gt;=1,SUMPRODUCT(--ISNUMBER(SEARCH({"a0","a-0","a_0","a/0","a.0","a#0","0a","0-a","0_a","0/a"},BP321)))&gt;0),ISNUMBER(SEARCH("000000",BP321)))),1,0),0)</f>
        <v>0</v>
      </c>
      <c r="BR321" s="61" t="n">
        <f aca="false">IFERROR(LEN(SUBSTITUTE(CC321," ",""))-SUMPRODUCT((LEN(CC321)-LEN(SUBSTITUTE(CC321," "&amp;L_Role&amp;" "," ")))/(LEN(L_Role)+1)*LEN(L_Role)),0)</f>
        <v>0</v>
      </c>
      <c r="BS321" s="61" t="n">
        <f aca="false">IFERROR(LEN(SUBSTITUTE(CD321," ",""))-SUMPRODUCT((LEN(CD321)-LEN(SUBSTITUTE(CD321," "&amp;L_Role&amp;" "," ")))/(LEN(L_Role)+1)*LEN(L_Role)),0)</f>
        <v>0</v>
      </c>
      <c r="BT3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321,"revision",""),"version",""),"jan",""),"feb",""),"mar",""),"apr",""),"may",""),"jun",""),"jul",""),"aug",""),"sep",""),"oct",""),"nov",""),"dec",""),"utc",""),"gmt",""),"myt",""),"bst",""),"rev",""),"ver",""),"b","a"),"c","a"),"d","a"),"e","a"),"f","a"),"g","a"),"h","a"),"i","a"),"j","a"),"k","a"),"l","a"),"m","a"),"n","a"),"o","a"),"p","a"),"q","a"),"r","a"),"s","a"),"t","a"),"u","a"),"v","a"),"w","a"),"x","a"),"y","a"),"z","a")</f>
        <v/>
      </c>
      <c r="BU321" s="61" t="str">
        <f aca="false">SUBSTITUTE(SUBSTITUTE(SUBSTITUTE(SUBSTITUTE(SUBSTITUTE(SUBSTITUTE(SUBSTITUTE(SUBSTITUTE(SUBSTITUTE(SUBSTITUTE(LEFT(BM321,FIND("0",BM321&amp;"0")-1),"-",""),"_",""),"/",""),".",""),"#",""),"\\",""),":","")," ",""),"(",""),")","")</f>
        <v/>
      </c>
      <c r="BV321" s="61" t="n">
        <f aca="false">IFERROR(IF(OR(SUMPRODUCT((LEN(BC321)-LEN(SUBSTITUTE(BC321," "&amp;L_NotLoaded&amp;" "," ")))/(LEN(L_NotLoaded)+1))&gt;SUMPRODUCT((LEN(BC321)-LEN(SUBSTITUTE(BC321," "&amp;L_NotLoadedNeg&amp;" "," ")))/(LEN(L_NotLoadedNeg)+1)),SUMPRODUCT((LEN(BD321)-LEN(SUBSTITUTE(BD321," "&amp;L_NotLoaded&amp;" "," ")))/(LEN(L_NotLoaded)+1))&gt;SUMPRODUCT((LEN(BD321)-LEN(SUBSTITUTE(BD321," "&amp;L_NotLoadedNeg&amp;" "," ")))/(LEN(L_NotLoadedNeg)+1))),1,0),0)</f>
        <v>0</v>
      </c>
      <c r="BW3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321&amp;""),"a",""),"b",""),"c",""),"d",""),"e",""),"f",""),"g",""),"h",""),"i",""),"j",""),"k",""),"l",""),"m",""),"n",""),"o",""),"p",""),"q",""),"r",""),"s",""),"t",""),"u",""),"v",""),"w",""),"x",""),"y",""),"z",""),"-",""),"_",""),"/",""),".",""),"#",""),"\\",""),":","")," ",""),"(",""),")","")</f>
        <v/>
      </c>
      <c r="BX321" s="61" t="str">
        <f aca="false">SUBSTITUTE(SUBSTITUTE(SUBSTITUTE(SUBSTITUTE(SUBSTITUTE(SUBSTITUTE(SUBSTITUTE(SUBSTITUTE(SUBSTITUTE(SUBSTITUTE(SUBSTITUTE(BM321,"0",""),"-",""),"_",""),"/",""),".",""),"#",""),"\\",""),":","")," ",""),"(",""),")","")</f>
        <v/>
      </c>
      <c r="BY321" s="62" t="n">
        <f aca="false">IF(ISNUMBER(Flights!$AZ$13),MAX(Q321-UpliftWindowH/24,Flights!$AZ$13),Q321-UpliftWindowH/24)</f>
        <v>46306.0034722222</v>
      </c>
      <c r="BZ321" s="61" t="n">
        <f aca="false">IFERROR(IF(IF(TRIM(S321)="Link / file path",AND(LEN(TRIM(Z321))&gt;=5,SUMPRODUCT(--ISNUMBER(SEARCH({"http","www.","\\",":\",".pdf",".jpg",".jpeg",".png",".heic",".xls",".doc",".msg",".eml",".ppt",".txt",".zip"},Z321)))&gt;0),AND(ISERROR(FIND(" ",TRIM(Z321))),NOT(OR(SUMPRODUCT(--ISNUMBER(FIND({",",";","&amp;","+"},Z321)))&gt;0,SUMPRODUCT(--ISNUMBER(SEARCH({"0/aa","0\\aa"},BN321)))&gt;0)),NOT(SUMPRODUCT(--ISNUMBER(SEARCH({"http","www.","\\",":\",".pdf",".jpg",".jpeg",".png",".heic",".xls",".doc",".msg",".eml",".ppt",".txt",".zip"},Z321)))&gt;0),NOT(LOWER(TRIM(Z321))=LOWER(Flights!$F$13)),ISNA(MATCH(BU321,{"mh","rev","revision","ver","version","v","r","a","b","seat","tray","row","gate","bay","stand","page","pg","item","line","no","cart","galley","flight","flt","table","box","bag","oven","etd","eta","std","sta","atd","ata","qty","pax","x","time","tel","ph","mob","day","wk","week","utc","gmt","myt","lt"},0)),NOT(OR(ISNUMBER(MATCH(LEFT(BN321,255),{"0000a","000a","00a","0000aa","000aa","00aa","0aa","0000aaa","000aaa","00a00","0a00","0000-0000","00:00","a00","a0","00.00.0000","00/00/0000","00-00-0000","0000-00-00","0000/00/00","0000.00.00","00.00.00","00/00/00","00-00-00","0.00.0000","0/00/0000","0-00-0000"},0)),ISNUMBER(MATCH(LEFT(BT321,255),{"0000a","000a","00a","0000aa","000aa","00aa","0aa","0000aaa","000aaa","00a00","0a00","0000-0000","00:00","a00","a0","00.00.0000","00/00/0000","00-00-0000","0000-00-00","0000/00/00","0000.00.00","00.00.00","00/00/00","00-00-00","0.00.0000","0/00/0000","0-00-0000"},0)))),NOT(OR(AND(BW321&lt;&gt;"",SUBSTITUTE(BW321,"0","")=""),AND(LEN(BW321)&gt;=4,BW321=REPT(LEFT(BW321),LEN(BW321))),ISNUMBER(MATCH(BW321,{"123","1234","12345","123456","1234567","12345678","0123","01234","012345","98765","987654","54321"},0)),ISNUMBER(MATCH(BX321,{"x","xx","xxx","xxxx","xxxxx","abc","abcd","nil","na","nan","test","tbc","tba","tbd","dummy","sample","example","eg","zz","zzz","none","null","xyz","qwe","asd","id","ref"},0)),AND(LEN(BW321)=8,BX321="",OR(LEFT(BW321,3)="202",ISNUMBER(MATCH(RIGHT(BW321,4),{"2025","2026","2027"},0)))))),OR(AND((LEN(BT321)-LEN(SUBSTITUTE(BT321,"a","")))&gt;=1,(LEN(BN321)-LEN(SUBSTITUTE(BN321,"0","")))&gt;=2,SUMPRODUCT(--ISNUMBER(SEARCH({"a0","a-0","a_0","a/0","a.0","a#0","0a","0-a","0_a","0/a"},BN321)))&gt;0),AND((LEN(BN321)-LEN(SUBSTITUTE(BN321,"a","")))=0,(LEN(BN321)-LEN(SUBSTITUTE(BN321,"0","")))&gt;=5)))),1,0),0)</f>
        <v>0</v>
      </c>
      <c r="CA3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321,"revision",""),"version",""),"jan",""),"feb",""),"mar",""),"apr",""),"may",""),"jun",""),"jul",""),"aug",""),"sep",""),"oct",""),"nov",""),"dec",""),"utc",""),"gmt",""),"myt",""),"bst",""),"rev",""),"ver",""),"b","a"),"c","a"),"d","a"),"e","a"),"f","a"),"g","a"),"h","a"),"i","a"),"j","a"),"k","a"),"l","a"),"m","a"),"n","a"),"o","a"),"p","a"),"q","a"),"r","a"),"s","a"),"t","a"),"u","a"),"v","a"),"w","a"),"x","a"),"y","a"),"z","a")</f>
        <v/>
      </c>
      <c r="CB3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321&amp;""),"a",""),"b",""),"c",""),"d",""),"e",""),"f",""),"g",""),"h",""),"i",""),"j",""),"k",""),"l",""),"m",""),"n",""),"o",""),"p",""),"q",""),"r",""),"s",""),"t",""),"u",""),"v",""),"w",""),"x",""),"y",""),"z",""),"-",""),"_",""),"/",""),".",""),"#",""),"\\",""),":","")," ",""),"(",""),")","")</f>
        <v/>
      </c>
      <c r="CC321" s="0" t="str">
        <f aca="false">" "&amp;TRIM(SUBSTITUTE(SUBSTITUTE(SUBSTITUTE(SUBSTITUTE(SUBSTITUTE(SUBSTITUTE(SUBSTITUTE(SUBSTITUTE(SUBSTITUTE(SUBSTITUTE(SUBSTITUTE(SUBSTITUTE(SUBSTITUTE(SUBSTITUTE(SUBSTITUTE(SUBSTITUTE(SUBSTITUTE(SUBSTITUTE(SUBSTITUTE(SUBSTITUTE(SUBSTITUTE(SUBSTITUTE(SUBSTITUTE(SUBSTITUTE(LOWER(T321&amp;""),CHAR(10)," "),CHAR(13)," "),CHAR(9)," "),CHAR(160)," "),"."," "),","," "),"-"," "),"/"," "),"("," "),")"," "),":"," "),";"," "),"_"," "),"–"," "),"?"," "),"!"," "),"*"," "),"["," "),"]"," "),"'"," "),"#"," "),"+"," "),"&amp;"," "),"\"," "))&amp;" "</f>
        <v>  </v>
      </c>
      <c r="CD321" s="0" t="str">
        <f aca="false">" "&amp;TRIM(SUBSTITUTE(SUBSTITUTE(SUBSTITUTE(SUBSTITUTE(SUBSTITUTE(SUBSTITUTE(SUBSTITUTE(SUBSTITUTE(SUBSTITUTE(SUBSTITUTE(SUBSTITUTE(SUBSTITUTE(SUBSTITUTE(SUBSTITUTE(SUBSTITUTE(SUBSTITUTE(SUBSTITUTE(SUBSTITUTE(SUBSTITUTE(SUBSTITUTE(SUBSTITUTE(SUBSTITUTE(SUBSTITUTE(SUBSTITUTE(LOWER(AE321&amp;""),CHAR(10)," "),CHAR(13)," "),CHAR(9)," "),CHAR(160)," "),"."," "),","," "),"-"," "),"/"," "),"("," "),")"," "),":"," "),";"," "),"_"," "),"–"," "),"?"," "),"!"," "),"*"," "),"["," "),"]"," "),"'"," "),"#"," "),"+"," "),"&amp;"," "),"\"," "))&amp;" "</f>
        <v>  </v>
      </c>
      <c r="CE321" s="68" t="n">
        <f aca="false">IFERROR(IF(AND(LEN(AU321)&gt;0,LEN(AU321)=LEN(AX321),OR(TRIM(MID(SUBSTITUTE(TRIM(CC321)," ",REPT(" ",60)),1,60))="",ISNUMBER(SEARCH(" "&amp;TRIM(MID(SUBSTITUTE(TRIM(CC321)," ",REPT(" ",60)),1,60))&amp;" ",CD321))),OR(TRIM(MID(SUBSTITUTE(TRIM(CC321)," ",REPT(" ",60)),61,60))="",ISNUMBER(SEARCH(" "&amp;TRIM(MID(SUBSTITUTE(TRIM(CC321)," ",REPT(" ",60)),61,60))&amp;" ",CD321))),OR(TRIM(MID(SUBSTITUTE(TRIM(CC321)," ",REPT(" ",60)),121,60))="",ISNUMBER(SEARCH(" "&amp;TRIM(MID(SUBSTITUTE(TRIM(CC321)," ",REPT(" ",60)),121,60))&amp;" ",CD321)))),1,0),0)</f>
        <v>0</v>
      </c>
      <c r="CG321" s="68" t="n">
        <f aca="false">IFERROR(LEN(SUBSTITUTE(BF321," ",""))-SUMPRODUCT((LEN(BF321)-LEN(SUBSTITUTE(BF321," "&amp;L_NAFiller&amp;" "," ")))/(LEN(L_NAFiller)+1)*LEN(L_NAFiller)),0)</f>
        <v>0</v>
      </c>
    </row>
    <row r="322" customFormat="false" ht="39.75" hidden="false" customHeight="true" outlineLevel="0" collapsed="false">
      <c r="A322" s="57" t="s">
        <v>911</v>
      </c>
      <c r="B322" s="57" t="s">
        <v>251</v>
      </c>
      <c r="C322" s="57" t="str">
        <f aca="false">Flights!$F$14</f>
        <v>MH1140</v>
      </c>
      <c r="D322" s="58" t="n">
        <f aca="false">Flights!$D$14</f>
        <v>46307</v>
      </c>
      <c r="E322" s="57" t="str">
        <f aca="false">Flights!$G$14&amp;"-"&amp;Flights!$H$14</f>
        <v>KUL-PEN</v>
      </c>
      <c r="F322" s="57" t="str">
        <f aca="false">Flights!$K$14</f>
        <v>BC</v>
      </c>
      <c r="G322" s="57" t="s">
        <v>81</v>
      </c>
      <c r="H322" s="57" t="s">
        <v>378</v>
      </c>
      <c r="I322" s="57" t="s">
        <v>379</v>
      </c>
      <c r="J322" s="57" t="s">
        <v>380</v>
      </c>
      <c r="K322" s="67" t="s">
        <v>381</v>
      </c>
      <c r="L322" s="67" t="s">
        <v>382</v>
      </c>
      <c r="M322" s="67"/>
      <c r="N322" s="67" t="s">
        <v>383</v>
      </c>
      <c r="O322" s="67" t="s">
        <v>912</v>
      </c>
      <c r="P322" s="57" t="s">
        <v>187</v>
      </c>
      <c r="Q322" s="59" t="n">
        <f aca="false">ROUND((Flights!$AC$14)*1440,0)/1440</f>
        <v>46300.15625</v>
      </c>
      <c r="R322" s="59" t="n">
        <f aca="false">Q322+(IF(AND(INDEX(TZ_DSTS,MATCH(P322,TZ_STN,0))&lt;&gt;"",Q322&gt;=INDEX(TZ_DSTS,MATCH(P322,TZ_STN,0)),Q322&lt;INDEX(TZ_DSTE,MATCH(P322,TZ_STN,0))),INDEX(TZ_DST,MATCH(P322,TZ_STN,0)),INDEX(TZ_STD,MATCH(P322,TZ_STN,0))))/24</f>
        <v>46300.4895833333</v>
      </c>
      <c r="S322" s="60"/>
      <c r="T322" s="60"/>
      <c r="U322" s="60"/>
      <c r="V322" s="60"/>
      <c r="W322" s="61"/>
      <c r="X322" s="60"/>
      <c r="Y322" s="60"/>
      <c r="Z322" s="60"/>
      <c r="AA322" s="60"/>
      <c r="AB322" s="60"/>
      <c r="AC322" s="60"/>
      <c r="AD322" s="66"/>
      <c r="AE322" s="60"/>
      <c r="AF322" s="61" t="str">
        <f aca="false">IF(AND(ISNUMBER(X322),ISNUMBER(Y322)),Y322-X322,"")</f>
        <v/>
      </c>
      <c r="AG322" s="62" t="str">
        <f aca="false">IF(ISNUMBER(AD322),AD322-(IF(AND(INDEX(TZ_DSTS,MATCH(P322,TZ_STN,0))&lt;&gt;"",(AD322-INDEX(TZ_STD,MATCH(P322,TZ_STN,0))/24)&gt;=INDEX(TZ_DSTS,MATCH(P322,TZ_STN,0)),(AD322-INDEX(TZ_STD,MATCH(P322,TZ_STN,0))/24)&lt;INDEX(TZ_DSTE,MATCH(P322,TZ_STN,0))),INDEX(TZ_DST,MATCH(P322,TZ_STN,0)),INDEX(TZ_STD,MATCH(P322,TZ_STN,0))))/24,"")</f>
        <v/>
      </c>
      <c r="AH322" s="65" t="str">
        <f aca="false">IFERROR(IF(N322="N/A – rule",IF(OR(TRIM(U322)="",TRIM(U322)="N/A",TRIM(U322)="Not started"),"N/A – RULE","INVALID – this check does not apply to this aircraft: clear the status (or correct the fleet on Flights)"),IF(TRIM(U322)="N/A",IF(AT322=0,"INVALID – N/A not permitted for this check",IF(AND(TRIM(AB322)&lt;&gt;"",TRIM(AB322)&lt;&gt;"Closed"),"INVALID – corrective action still open",IF(AND(NOT(OR(LEN(AZ322)&lt;15,ISNUMBER(MATCH(AZ322,L_Placeholder,0)))),BK322=0,CG322&gt;=8,NOT(OR(LEN(AU322)&lt;2,ISNUMBER(MATCH(AU322,L_Placeholder,0)))),BR322&gt;=3,NOT(OR(LEN(AX322)&lt;2,ISNUMBER(MATCH(AX322,L_Placeholder,0)))),BS322&gt;=3,TRIM(AE322)&lt;&gt;TRIM(T322),AX322&lt;&gt;AU322,CE322=0),"N/A – JUSTIFIED","INVALID – N/A needs a real, settled reason (not 'not applicable' / 'as above' / TBC), a named PIC and a different named verifier"))),IF(OR(TRIM(U322)="Pass",TRIM(U322)="Pass after CA"),IF(NOT(ISNUMBER(AD322)),"INVALID – completion time missing",IF(OR(OR(LEN(AU322)&lt;2,ISNUMBER(MATCH(AU322,L_Placeholder,0))),BR322&lt;3),"INVALID – PIC missing or not a named person (a role such as QA / CSM is not a name)",IF(OR(LEN(AV322)&lt;2,ISNUMBER(MATCH(AV322,L_Placeholder,0))),"INVALID – result / assessment missing",IF(OR(OR(LEN(AW322)&lt;3,ISNUMBER(MATCH(AW322,L_Placeholder,0))),SUMPRODUCT(--ISNUMBER(SEARCH(" "&amp;L_EvidencePhrase&amp;" ",BD322)))&gt;0,BI322=1),"INVALID – evidence missing, placeholder or not yet on file",IF(ISNA(MATCH(TRIM(S322),L_EvidenceType,0)),"INVALID – choose the evidence type from the list (column S)",IF(BL322=0,"INVALID – evidence ID must be the record's own ID only (e.g. SF-2210, IMG_2231, 1045521); a link / file name needs type 'Link / file path'",IF(OR(OR(LEN(AX322)&lt;2,ISNUMBER(MATCH(AX322,L_Placeholder,0))),BS322&lt;3),"INVALID – verifier missing or not a named person (a role such as QA / CSM is not a name)",IF(OR(AX322=AU322,CE322=1,AND(LEN(AU322)&gt;=4,ISNUMBER(SEARCH(AU322,AX322))),AND(LEN(AX322)&gt;=4,ISNUMBER(SEARCH(AX322,AU322)))),"INVALID – verifier must be a different, named person (not the PIC or a role)",IF(BH322=1,"INVALID – result not yet available (awaiting / TBC)",IF(BG322=1,"INVALID – result describes a problem: record Fail, then Pass after CA (or reword if it is not a problem)",IF(BV322=1,"INVALID – wording says not on board: an on-board confirmation needs the item loaded",IF(AND(AQ322=1,OR(OR(LEN(AY322)&lt;3,ISNUMBER(MATCH(AY322,L_Placeholder,0))),BJ322=1,BQ322=0)),"INVALID – batch ID missing, placeholder or not an ID (e.g. PASB-261008-BC-017)",IF(AND(AR322=1,OR(NOT(ISNUMBER(X322)),NOT(ISNUMBER(Y322)))),"INVALID – expected/actual qty missing",IF(AND(AR322=1,OR(X322&lt;=0,Y322&lt;0)),"INVALID – expected qty must be above 0 and actual not negative",IF(BB322&lt;&gt;"",BB322,IF(AND(AS322=1,Documents!$J$14&lt;&gt;"ON FILE"),"INVALID – GLD not on file (Documents sheet)",IF(AND(AS322=2,Documents!$O$14&lt;&gt;"ON FILE"),"INVALID – menu checklist not on file (Documents sheet)",IF(AND(AS322=3,NOT(ISNUMBER(Flights!$AX$14))),"INVALID – enter carrying flight KUL departure (Flights AX)",IF(AND(AS322=3,OR(Flights!$AZ$14&gt;Flights!$AA$14,Flights!$AX$14&lt;Flights!$AA$14-3)),"INVALID – carrying flight (Flights AX) cannot arrive before this leg's STD, or is over 3 days early",IF(AG322&gt;AsOfUTC,"INVALID – completion time is in the future",IF(AND(ISNUMBER(BY322),AG322&lt;BY322),IF(H322="Physical uplift","INVALID – before uplift window (cannot confirm loading)","INVALID – before valid window"),IF(AG322&gt;Flights!$AA$14,"INVALID – completed after departure (cannot establish readiness)",IF(AND(H322="Preparation",AG322&gt;=IF(ISNUMBER(Flights!$BA$14),MIN(Flights!$BA$14,Flights!$AA$14),Flights!$AA$14)),"INVALID – completed after loading / departure (cannot establish readiness)",IF(AND(H322="Physical uplift",AG322&gt;Q322),"INVALID – recorded after the loading flight departed",IF(AG322&gt;Q322,"COMPLETE – LATE","COMPLETE"))))))))))))))))))))))))),IF(TRIM(U322)="Fail","FAIL – DISCREPANCY",IF(AND(TRIM(U322)&lt;&gt;"",TRIM(U322)&lt;&gt;"Not started",TRIM(U322)&lt;&gt;"In progress"),"INVALID – unrecognised status (use the list)",IF(AsOfUTC&gt;Q322,"OVERDUE",IF(N322="Clarification required","OPEN – CLARIFICATION","OPEN"))))))),"INVALID – error value in an input cell")</f>
        <v>OPEN</v>
      </c>
      <c r="AI322" s="61" t="n">
        <f aca="false">IF(OR(AH322="N/A – RULE",AH322="N/A – JUSTIFIED"),0,1)</f>
        <v>1</v>
      </c>
      <c r="AJ322" s="61" t="n">
        <f aca="false">IF(LEFT(AH322,8)="COMPLETE",1,0)</f>
        <v>0</v>
      </c>
      <c r="AK322" s="61" t="n">
        <f aca="false">IF(AND(AI322=1,AJ322=0,AsOfUTC&gt;Q322),1,0)</f>
        <v>0</v>
      </c>
      <c r="AL322" s="61" t="n">
        <f aca="false">IFERROR(IF(AND(AI322=1,OR(TRIM(U322)="Fail",AND(TRIM(AB322)&lt;&gt;"",TRIM(AB322)&lt;&gt;"Closed"),AND(ISNUMBER(AF322),AF322&lt;&gt;0,TRIM(U322)&lt;&gt;"Pass after CA"))),1,0),1)</f>
        <v>0</v>
      </c>
      <c r="AM322" s="61" t="n">
        <f aca="false">IF(LEFT(AH322,7)="INVALID",1,0)</f>
        <v>0</v>
      </c>
      <c r="AN322" s="61" t="n">
        <f aca="false">IF(AND(N322="Clarification required",AI322=1,AJ322=0),1,0)</f>
        <v>0</v>
      </c>
      <c r="AO322" s="61" t="str">
        <f aca="false">IF(AK322=1,SUM(AK$5:AK322),"")</f>
        <v/>
      </c>
      <c r="AP322" s="61" t="str">
        <f aca="false">IF(AL322=1,SUM(AL$5:AL322),"")</f>
        <v/>
      </c>
      <c r="AQ322" s="61" t="n">
        <v>0</v>
      </c>
      <c r="AR322" s="61" t="n">
        <v>0</v>
      </c>
      <c r="AS322" s="61" t="n">
        <v>0</v>
      </c>
      <c r="AT322" s="61" t="n">
        <v>0</v>
      </c>
      <c r="AU322" s="61" t="str">
        <f aca="false">SUBSTITUTE(SUBSTITUTE(SUBSTITUTE(SUBSTITUTE(SUBSTITUTE(SUBSTITUTE(SUBSTITUTE(SUBSTITUTE(SUBSTITUTE(SUBSTITUTE(SUBSTITUTE(SUBSTITUTE(SUBSTITUTE(SUBSTITUTE(SUBSTITUTE(SUBSTITUTE(LOWER(T322&amp;""),CHAR(10),""),CHAR(13),""),CHAR(9),""),CHAR(160),"")," ",""),".",""),"-",""),"/",""),"?",""),"_",""),",",""),"[",""),"]",""),"(",""),")",""),"*","")</f>
        <v/>
      </c>
      <c r="AV322" s="61" t="str">
        <f aca="false">SUBSTITUTE(SUBSTITUTE(SUBSTITUTE(SUBSTITUTE(SUBSTITUTE(SUBSTITUTE(SUBSTITUTE(SUBSTITUTE(SUBSTITUTE(SUBSTITUTE(SUBSTITUTE(SUBSTITUTE(SUBSTITUTE(SUBSTITUTE(SUBSTITUTE(SUBSTITUTE(LOWER(V322&amp;""),CHAR(10),""),CHAR(13),""),CHAR(9),""),CHAR(160),"")," ",""),".",""),"-",""),"/",""),"?",""),"_",""),",",""),"[",""),"]",""),"(",""),")",""),"*","")</f>
        <v/>
      </c>
      <c r="AW322" s="61" t="str">
        <f aca="false">SUBSTITUTE(SUBSTITUTE(SUBSTITUTE(SUBSTITUTE(SUBSTITUTE(SUBSTITUTE(SUBSTITUTE(SUBSTITUTE(SUBSTITUTE(SUBSTITUTE(SUBSTITUTE(SUBSTITUTE(SUBSTITUTE(SUBSTITUTE(SUBSTITUTE(SUBSTITUTE(LOWER(Z322&amp;""),CHAR(10),""),CHAR(13),""),CHAR(9),""),CHAR(160),"")," ",""),".",""),"-",""),"/",""),"?",""),"_",""),",",""),"[",""),"]",""),"(",""),")",""),"*","")</f>
        <v/>
      </c>
      <c r="AX322" s="61" t="str">
        <f aca="false">SUBSTITUTE(SUBSTITUTE(SUBSTITUTE(SUBSTITUTE(SUBSTITUTE(SUBSTITUTE(SUBSTITUTE(SUBSTITUTE(SUBSTITUTE(SUBSTITUTE(SUBSTITUTE(SUBSTITUTE(SUBSTITUTE(SUBSTITUTE(SUBSTITUTE(SUBSTITUTE(LOWER(AE322&amp;""),CHAR(10),""),CHAR(13),""),CHAR(9),""),CHAR(160),"")," ",""),".",""),"-",""),"/",""),"?",""),"_",""),",",""),"[",""),"]",""),"(",""),")",""),"*","")</f>
        <v/>
      </c>
      <c r="AY322" s="61" t="str">
        <f aca="false">SUBSTITUTE(SUBSTITUTE(SUBSTITUTE(SUBSTITUTE(SUBSTITUTE(SUBSTITUTE(SUBSTITUTE(SUBSTITUTE(SUBSTITUTE(SUBSTITUTE(SUBSTITUTE(SUBSTITUTE(SUBSTITUTE(SUBSTITUTE(SUBSTITUTE(SUBSTITUTE(LOWER(W322&amp;""),CHAR(10),""),CHAR(13),""),CHAR(9),""),CHAR(160),"")," ",""),".",""),"-",""),"/",""),"?",""),"_",""),",",""),"[",""),"]",""),"(",""),")",""),"*","")</f>
        <v/>
      </c>
      <c r="AZ322" s="61" t="str">
        <f aca="false">SUBSTITUTE(SUBSTITUTE(SUBSTITUTE(SUBSTITUTE(SUBSTITUTE(SUBSTITUTE(SUBSTITUTE(SUBSTITUTE(SUBSTITUTE(SUBSTITUTE(SUBSTITUTE(SUBSTITUTE(SUBSTITUTE(SUBSTITUTE(SUBSTITUTE(SUBSTITUTE(LOWER(AC322&amp;""),CHAR(10),""),CHAR(13),""),CHAR(9),""),CHAR(160),"")," ",""),".",""),"-",""),"/",""),"?",""),"_",""),",",""),"[",""),"]",""),"(",""),")",""),"*","")</f>
        <v/>
      </c>
      <c r="BA322" s="61" t="str">
        <f aca="false">SUBSTITUTE(SUBSTITUTE(SUBSTITUTE(SUBSTITUTE(SUBSTITUTE(SUBSTITUTE(SUBSTITUTE(SUBSTITUTE(SUBSTITUTE(SUBSTITUTE(SUBSTITUTE(SUBSTITUTE(SUBSTITUTE(SUBSTITUTE(SUBSTITUTE(SUBSTITUTE(LOWER(AA322&amp;""),CHAR(10),""),CHAR(13),""),CHAR(9),""),CHAR(160),"")," ",""),".",""),"-",""),"/",""),"?",""),"_",""),",",""),"[",""),"]",""),"(",""),")",""),"*","")</f>
        <v/>
      </c>
      <c r="BB322" s="61" t="str">
        <f aca="false">IF(AND(TRIM(U322)="Pass",ISNUMBER(AF322)),IF(AF322&lt;&gt;0,"INVALID – qty variance: use Fail or Pass after CA",""),"")&amp;IF(AND(TRIM(U322)="Pass after CA",ISNUMBER(AF322)),IF(AF322&lt;&gt;0,"INVALID – after the corrective action the actual qty must equal expected (update Actual)",""),"")&amp;IF(AND(TRIM(U322)="Pass",TRIM(AB322)&lt;&gt;"",TRIM(AB322)&lt;&gt;"Closed"),"INVALID – corrective action not closed: use Fail, then Pass after CA","")&amp;IF(AND(LEN(BA322)&gt;=2,ISNA(MATCH(LEFT(BA322,255),L_Placeholder,0)),TRIM(AB322)=""),"INVALID – CA status missing for the recorded corrective action","")&amp;IF(AND(TRIM(U322)="Pass after CA",OR(OR(LEN(BA322)&lt;5,ISNUMBER(MATCH(BA322,L_Placeholder,0))),TRIM(AB322)&lt;&gt;"Closed")),"INVALID – corrective action not recorded/closed","")</f>
        <v/>
      </c>
      <c r="BC322" s="61" t="str">
        <f aca="false">" "&amp;TRIM(SUBSTITUTE(SUBSTITUTE(SUBSTITUTE(SUBSTITUTE(SUBSTITUTE(SUBSTITUTE(SUBSTITUTE(SUBSTITUTE(SUBSTITUTE(SUBSTITUTE(SUBSTITUTE(SUBSTITUTE(SUBSTITUTE(SUBSTITUTE(SUBSTITUTE(SUBSTITUTE(SUBSTITUTE(SUBSTITUTE(SUBSTITUTE(SUBSTITUTE(SUBSTITUTE(SUBSTITUTE(SUBSTITUTE(SUBSTITUTE(LOWER(V322&amp;""),CHAR(10)," "),CHAR(13)," "),CHAR(9)," "),CHAR(160)," "),"."," "),","," "),"-"," "),"/"," "),"("," "),")"," "),":"," "),";"," "),"_"," "),"–"," "),"?"," "),"!"," "),"*"," "),"["," "),"]"," "),"'"," "),"#"," "),"+"," "),"&amp;"," "),"\"," "))&amp;" "</f>
        <v>  </v>
      </c>
      <c r="BD322" s="61" t="str">
        <f aca="false">" "&amp;TRIM(SUBSTITUTE(SUBSTITUTE(SUBSTITUTE(SUBSTITUTE(SUBSTITUTE(SUBSTITUTE(SUBSTITUTE(SUBSTITUTE(SUBSTITUTE(SUBSTITUTE(SUBSTITUTE(SUBSTITUTE(SUBSTITUTE(SUBSTITUTE(SUBSTITUTE(SUBSTITUTE(SUBSTITUTE(SUBSTITUTE(SUBSTITUTE(SUBSTITUTE(SUBSTITUTE(SUBSTITUTE(SUBSTITUTE(SUBSTITUTE(LOWER(Z322&amp;""),CHAR(10)," "),CHAR(13)," "),CHAR(9)," "),CHAR(160)," "),"."," "),","," "),"-"," "),"/"," "),"("," "),")"," "),":"," "),";"," "),"_"," "),"–"," "),"?"," "),"!"," "),"*"," "),"["," "),"]"," "),"'"," "),"#"," "),"+"," "),"&amp;"," "),"\"," "))&amp;" "</f>
        <v>  </v>
      </c>
      <c r="BE322" s="61" t="str">
        <f aca="false">" "&amp;TRIM(SUBSTITUTE(SUBSTITUTE(SUBSTITUTE(SUBSTITUTE(SUBSTITUTE(SUBSTITUTE(SUBSTITUTE(SUBSTITUTE(SUBSTITUTE(SUBSTITUTE(SUBSTITUTE(SUBSTITUTE(SUBSTITUTE(SUBSTITUTE(SUBSTITUTE(SUBSTITUTE(SUBSTITUTE(SUBSTITUTE(SUBSTITUTE(SUBSTITUTE(SUBSTITUTE(SUBSTITUTE(SUBSTITUTE(SUBSTITUTE(LOWER(W322&amp;""),CHAR(10)," "),CHAR(13)," "),CHAR(9)," "),CHAR(160)," "),"."," "),","," "),"-"," "),"/"," "),"("," "),")"," "),":"," "),";"," "),"_"," "),"–"," "),"?"," "),"!"," "),"*"," "),"["," "),"]"," "),"'"," "),"#"," "),"+"," "),"&amp;"," "),"\"," "))&amp;" "</f>
        <v>  </v>
      </c>
      <c r="BF322" s="61" t="str">
        <f aca="false">" "&amp;TRIM(SUBSTITUTE(SUBSTITUTE(SUBSTITUTE(SUBSTITUTE(SUBSTITUTE(SUBSTITUTE(SUBSTITUTE(SUBSTITUTE(SUBSTITUTE(SUBSTITUTE(SUBSTITUTE(SUBSTITUTE(SUBSTITUTE(SUBSTITUTE(SUBSTITUTE(SUBSTITUTE(SUBSTITUTE(SUBSTITUTE(SUBSTITUTE(SUBSTITUTE(SUBSTITUTE(SUBSTITUTE(SUBSTITUTE(SUBSTITUTE(LOWER(AC322&amp;""),CHAR(10)," "),CHAR(13)," "),CHAR(9)," "),CHAR(160)," "),"."," "),","," "),"-"," "),"/"," "),"("," "),")"," "),":"," "),";"," "),"_"," "),"–"," "),"?"," "),"!"," "),"*"," "),"["," "),"]"," "),"'"," "),"#"," "),"+"," "),"&amp;"," "),"\"," "))&amp;" "</f>
        <v>  </v>
      </c>
      <c r="BG322" s="61" t="n">
        <f aca="false">IFERROR(IF(AND(TRIM(U322)="Pass",SUMPRODUCT((LEN(BC322)-LEN(SUBSTITUTE(BC322," "&amp;L_ResultBad&amp;" "," ")))/(LEN(L_ResultBad)+1))&gt;SUMPRODUCT((LEN(BC322)-LEN(SUBSTITUTE(BC322," "&amp;L_NegPhrase&amp;" "," ")))/(LEN(L_NegPhrase)+1))),1,0),0)</f>
        <v>0</v>
      </c>
      <c r="BH322" s="61" t="n">
        <f aca="false">IFERROR(IF(SUMPRODUCT((LEN(BC322)-LEN(SUBSTITUTE(BC322," "&amp;L_Pending&amp;" "," ")))/(LEN(L_Pending)+1))&gt;SUMPRODUCT((LEN(BC322)-LEN(SUBSTITUTE(BC322," "&amp;L_PendNeg&amp;" "," ")))/(LEN(L_PendNeg)+1))+SUMPRODUCT((LEN(BC322)-LEN(SUBSTITUTE(BC322," "&amp;L_PendPrep&amp;" "," ")))/(LEN(L_PendPrep)+1)),1,0),1)</f>
        <v>0</v>
      </c>
      <c r="BI322" s="61" t="n">
        <f aca="false">IFERROR(IF(SUMPRODUCT((LEN(BD322)-LEN(SUBSTITUTE(BD322," "&amp;L_PendStrict&amp;" "," ")))/(LEN(L_PendStrict)+1))&gt;SUMPRODUCT((LEN(BD322)-LEN(SUBSTITUTE(BD322," "&amp;L_PendNeg&amp;" "," ")))/(LEN(L_PendNeg)+1)),1,0),1)</f>
        <v>0</v>
      </c>
      <c r="BJ322" s="61" t="n">
        <f aca="false">IFERROR(IF(SUMPRODUCT((LEN(BE322)-LEN(SUBSTITUTE(BE322," "&amp;L_Pending&amp;" "," ")))/(LEN(L_Pending)+1))&gt;SUMPRODUCT((LEN(BE322)-LEN(SUBSTITUTE(BE322," "&amp;L_PendNeg&amp;" "," ")))/(LEN(L_PendNeg)+1))+SUMPRODUCT((LEN(BE322)-LEN(SUBSTITUTE(BE322," "&amp;L_PendPrep&amp;" "," ")))/(LEN(L_PendPrep)+1)),1,0),1)</f>
        <v>0</v>
      </c>
      <c r="BK322" s="61" t="n">
        <f aca="false">IFERROR(IF(SUMPRODUCT((LEN(BF322)-LEN(SUBSTITUTE(BF322," "&amp;L_PendStrict&amp;" "," ")))/(LEN(L_PendStrict)+1))&gt;SUMPRODUCT((LEN(BF322)-LEN(SUBSTITUTE(BF322," "&amp;L_PendNeg&amp;" "," ")))/(LEN(L_PendNeg)+1)),1,0),1)</f>
        <v>0</v>
      </c>
      <c r="BL322" s="61" t="n">
        <f aca="false">IF(ISNA(MATCH(TRIM(S322),L_EvidenceType,0)),0,BZ322)</f>
        <v>0</v>
      </c>
      <c r="BM322" s="61" t="str">
        <f aca="false">SUBSTITUTE(SUBSTITUTE(SUBSTITUTE(SUBSTITUTE(SUBSTITUTE(SUBSTITUTE(SUBSTITUTE(SUBSTITUTE(SUBSTITUTE(LOWER(Z322&amp;""),"1","0"),"2","0"),"3","0"),"4","0"),"5","0"),"6","0"),"7","0"),"8","0"),"9","0")</f>
        <v/>
      </c>
      <c r="BN322" s="61" t="str">
        <f aca="false">SUBSTITUTE(SUBSTITUTE(SUBSTITUTE(SUBSTITUTE(SUBSTITUTE(SUBSTITUTE(SUBSTITUTE(SUBSTITUTE(SUBSTITUTE(SUBSTITUTE(SUBSTITUTE(SUBSTITUTE(SUBSTITUTE(SUBSTITUTE(SUBSTITUTE(SUBSTITUTE(SUBSTITUTE(SUBSTITUTE(SUBSTITUTE(SUBSTITUTE(SUBSTITUTE(SUBSTITUTE(SUBSTITUTE(SUBSTITUTE(SUBSTITUTE(BM322,"b","a"),"c","a"),"d","a"),"e","a"),"f","a"),"g","a"),"h","a"),"i","a"),"j","a"),"k","a"),"l","a"),"m","a"),"n","a"),"o","a"),"p","a"),"q","a"),"r","a"),"s","a"),"t","a"),"u","a"),"v","a"),"w","a"),"x","a"),"y","a"),"z","a")</f>
        <v/>
      </c>
      <c r="BO322" s="61" t="str">
        <f aca="false">SUBSTITUTE(SUBSTITUTE(SUBSTITUTE(SUBSTITUTE(SUBSTITUTE(SUBSTITUTE(SUBSTITUTE(SUBSTITUTE(SUBSTITUTE(LOWER(W322&amp;""),"1","0"),"2","0"),"3","0"),"4","0"),"5","0"),"6","0"),"7","0"),"8","0"),"9","0")</f>
        <v/>
      </c>
      <c r="BP322" s="61" t="str">
        <f aca="false">SUBSTITUTE(SUBSTITUTE(SUBSTITUTE(SUBSTITUTE(SUBSTITUTE(SUBSTITUTE(SUBSTITUTE(SUBSTITUTE(SUBSTITUTE(SUBSTITUTE(SUBSTITUTE(SUBSTITUTE(SUBSTITUTE(SUBSTITUTE(SUBSTITUTE(SUBSTITUTE(SUBSTITUTE(SUBSTITUTE(SUBSTITUTE(SUBSTITUTE(SUBSTITUTE(SUBSTITUTE(SUBSTITUTE(SUBSTITUTE(SUBSTITUTE(BO322,"b","a"),"c","a"),"d","a"),"e","a"),"f","a"),"g","a"),"h","a"),"i","a"),"j","a"),"k","a"),"l","a"),"m","a"),"n","a"),"o","a"),"p","a"),"q","a"),"r","a"),"s","a"),"t","a"),"u","a"),"v","a"),"w","a"),"x","a"),"y","a"),"z","a")</f>
        <v/>
      </c>
      <c r="BQ322" s="61" t="n">
        <f aca="false">IFERROR(IF(AND(ISERROR(SEARCH(" mh"," "&amp;LOWER(W322))),ISNA(MATCH(LEFT(TRIM(BP322),255),{"0000a","000a","00a","0000aa","000aa","00aa","0aa","0000aaa","000aaa","00a00","0a00","0000-0000","00:00","a00","a0","00.00.0000","00/00/0000","00-00-0000","0000-00-00","0000/00/00","0000.00.00","00.00.00","00/00/00","00-00-00","0.00.0000","0/00/0000","0-00-0000"},0)),ISNA(MATCH(LEFT(TRIM(CA322),255),{"0000a","000a","00a","0000aa","000aa","00aa","0aa","0000aaa","000aaa","00a00","0a00","0000-0000","00:00","a00","a0","00.00.0000","00/00/0000","00-00-0000","0000-00-00","0000/00/00","0000.00.00","00.00.00","00/00/00","00-00-00","0.00.0000","0/00/0000","0-00-0000"},0)),LEN(CB322)&gt;=3,NOT(OR(SUBSTITUTE(CB322,"0","")="",AND(LEN(CB322)&gt;=4,CB322=REPT(LEFT(CB322),LEN(CB322))),ISNUMBER(MATCH(CB322,{"123","1234","12345","123456","1234567","12345678","0123","01234","012345","98765","987654","54321"},0)),AND(LEN(CB322)=8,LEFT(CB322,3)="202"))),OR(AND((LEN(CA322)-LEN(SUBSTITUTE(CA322,"a","")))&gt;=1,SUMPRODUCT(--ISNUMBER(SEARCH({"a0","a-0","a_0","a/0","a.0","a#0","0a","0-a","0_a","0/a"},BP322)))&gt;0),ISNUMBER(SEARCH("000000",BP322)))),1,0),0)</f>
        <v>0</v>
      </c>
      <c r="BR322" s="61" t="n">
        <f aca="false">IFERROR(LEN(SUBSTITUTE(CC322," ",""))-SUMPRODUCT((LEN(CC322)-LEN(SUBSTITUTE(CC322," "&amp;L_Role&amp;" "," ")))/(LEN(L_Role)+1)*LEN(L_Role)),0)</f>
        <v>0</v>
      </c>
      <c r="BS322" s="61" t="n">
        <f aca="false">IFERROR(LEN(SUBSTITUTE(CD322," ",""))-SUMPRODUCT((LEN(CD322)-LEN(SUBSTITUTE(CD322," "&amp;L_Role&amp;" "," ")))/(LEN(L_Role)+1)*LEN(L_Role)),0)</f>
        <v>0</v>
      </c>
      <c r="BT3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322,"revision",""),"version",""),"jan",""),"feb",""),"mar",""),"apr",""),"may",""),"jun",""),"jul",""),"aug",""),"sep",""),"oct",""),"nov",""),"dec",""),"utc",""),"gmt",""),"myt",""),"bst",""),"rev",""),"ver",""),"b","a"),"c","a"),"d","a"),"e","a"),"f","a"),"g","a"),"h","a"),"i","a"),"j","a"),"k","a"),"l","a"),"m","a"),"n","a"),"o","a"),"p","a"),"q","a"),"r","a"),"s","a"),"t","a"),"u","a"),"v","a"),"w","a"),"x","a"),"y","a"),"z","a")</f>
        <v/>
      </c>
      <c r="BU322" s="61" t="str">
        <f aca="false">SUBSTITUTE(SUBSTITUTE(SUBSTITUTE(SUBSTITUTE(SUBSTITUTE(SUBSTITUTE(SUBSTITUTE(SUBSTITUTE(SUBSTITUTE(SUBSTITUTE(LEFT(BM322,FIND("0",BM322&amp;"0")-1),"-",""),"_",""),"/",""),".",""),"#",""),"\\",""),":","")," ",""),"(",""),")","")</f>
        <v/>
      </c>
      <c r="BV322" s="61" t="n">
        <f aca="false">0</f>
        <v>0</v>
      </c>
      <c r="BW3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322&amp;""),"a",""),"b",""),"c",""),"d",""),"e",""),"f",""),"g",""),"h",""),"i",""),"j",""),"k",""),"l",""),"m",""),"n",""),"o",""),"p",""),"q",""),"r",""),"s",""),"t",""),"u",""),"v",""),"w",""),"x",""),"y",""),"z",""),"-",""),"_",""),"/",""),".",""),"#",""),"\\",""),":","")," ",""),"(",""),")","")</f>
        <v/>
      </c>
      <c r="BX322" s="61" t="str">
        <f aca="false">SUBSTITUTE(SUBSTITUTE(SUBSTITUTE(SUBSTITUTE(SUBSTITUTE(SUBSTITUTE(SUBSTITUTE(SUBSTITUTE(SUBSTITUTE(SUBSTITUTE(SUBSTITUTE(BM322,"0",""),"-",""),"_",""),"/",""),".",""),"#",""),"\\",""),":","")," ",""),"(",""),")","")</f>
        <v/>
      </c>
      <c r="BY322" s="62" t="n">
        <f aca="false">Q322-T7EarlyD*24/24</f>
        <v>46286.15625</v>
      </c>
      <c r="BZ322" s="61" t="n">
        <f aca="false">IFERROR(IF(IF(TRIM(S322)="Link / file path",AND(LEN(TRIM(Z322))&gt;=5,SUMPRODUCT(--ISNUMBER(SEARCH({"http","www.","\\",":\",".pdf",".jpg",".jpeg",".png",".heic",".xls",".doc",".msg",".eml",".ppt",".txt",".zip"},Z322)))&gt;0),AND(ISERROR(FIND(" ",TRIM(Z322))),NOT(OR(SUMPRODUCT(--ISNUMBER(FIND({",",";","&amp;","+"},Z322)))&gt;0,SUMPRODUCT(--ISNUMBER(SEARCH({"0/aa","0\\aa"},BN322)))&gt;0)),NOT(SUMPRODUCT(--ISNUMBER(SEARCH({"http","www.","\\",":\",".pdf",".jpg",".jpeg",".png",".heic",".xls",".doc",".msg",".eml",".ppt",".txt",".zip"},Z322)))&gt;0),NOT(LOWER(TRIM(Z322))=LOWER(Flights!$F$14)),ISNA(MATCH(BU322,{"mh","rev","revision","ver","version","v","r","a","b","seat","tray","row","gate","bay","stand","page","pg","item","line","no","cart","galley","flight","flt","table","box","bag","oven","etd","eta","std","sta","atd","ata","qty","pax","x","time","tel","ph","mob","day","wk","week","utc","gmt","myt","lt"},0)),NOT(OR(ISNUMBER(MATCH(LEFT(BN322,255),{"0000a","000a","00a","0000aa","000aa","00aa","0aa","0000aaa","000aaa","00a00","0a00","0000-0000","00:00","a00","a0","00.00.0000","00/00/0000","00-00-0000","0000-00-00","0000/00/00","0000.00.00","00.00.00","00/00/00","00-00-00","0.00.0000","0/00/0000","0-00-0000"},0)),ISNUMBER(MATCH(LEFT(BT322,255),{"0000a","000a","00a","0000aa","000aa","00aa","0aa","0000aaa","000aaa","00a00","0a00","0000-0000","00:00","a00","a0","00.00.0000","00/00/0000","00-00-0000","0000-00-00","0000/00/00","0000.00.00","00.00.00","00/00/00","00-00-00","0.00.0000","0/00/0000","0-00-0000"},0)))),NOT(OR(AND(BW322&lt;&gt;"",SUBSTITUTE(BW322,"0","")=""),AND(LEN(BW322)&gt;=4,BW322=REPT(LEFT(BW322),LEN(BW322))),ISNUMBER(MATCH(BW322,{"123","1234","12345","123456","1234567","12345678","0123","01234","012345","98765","987654","54321"},0)),ISNUMBER(MATCH(BX322,{"x","xx","xxx","xxxx","xxxxx","abc","abcd","nil","na","nan","test","tbc","tba","tbd","dummy","sample","example","eg","zz","zzz","none","null","xyz","qwe","asd","id","ref"},0)),AND(LEN(BW322)=8,BX322="",OR(LEFT(BW322,3)="202",ISNUMBER(MATCH(RIGHT(BW322,4),{"2025","2026","2027"},0)))))),OR(AND((LEN(BT322)-LEN(SUBSTITUTE(BT322,"a","")))&gt;=1,(LEN(BN322)-LEN(SUBSTITUTE(BN322,"0","")))&gt;=2,SUMPRODUCT(--ISNUMBER(SEARCH({"a0","a-0","a_0","a/0","a.0","a#0","0a","0-a","0_a","0/a"},BN322)))&gt;0),AND((LEN(BN322)-LEN(SUBSTITUTE(BN322,"a","")))=0,(LEN(BN322)-LEN(SUBSTITUTE(BN322,"0","")))&gt;=5)))),1,0),0)</f>
        <v>0</v>
      </c>
      <c r="CA3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322,"revision",""),"version",""),"jan",""),"feb",""),"mar",""),"apr",""),"may",""),"jun",""),"jul",""),"aug",""),"sep",""),"oct",""),"nov",""),"dec",""),"utc",""),"gmt",""),"myt",""),"bst",""),"rev",""),"ver",""),"b","a"),"c","a"),"d","a"),"e","a"),"f","a"),"g","a"),"h","a"),"i","a"),"j","a"),"k","a"),"l","a"),"m","a"),"n","a"),"o","a"),"p","a"),"q","a"),"r","a"),"s","a"),"t","a"),"u","a"),"v","a"),"w","a"),"x","a"),"y","a"),"z","a")</f>
        <v/>
      </c>
      <c r="CB3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322&amp;""),"a",""),"b",""),"c",""),"d",""),"e",""),"f",""),"g",""),"h",""),"i",""),"j",""),"k",""),"l",""),"m",""),"n",""),"o",""),"p",""),"q",""),"r",""),"s",""),"t",""),"u",""),"v",""),"w",""),"x",""),"y",""),"z",""),"-",""),"_",""),"/",""),".",""),"#",""),"\\",""),":","")," ",""),"(",""),")","")</f>
        <v/>
      </c>
      <c r="CC322" s="0" t="str">
        <f aca="false">" "&amp;TRIM(SUBSTITUTE(SUBSTITUTE(SUBSTITUTE(SUBSTITUTE(SUBSTITUTE(SUBSTITUTE(SUBSTITUTE(SUBSTITUTE(SUBSTITUTE(SUBSTITUTE(SUBSTITUTE(SUBSTITUTE(SUBSTITUTE(SUBSTITUTE(SUBSTITUTE(SUBSTITUTE(SUBSTITUTE(SUBSTITUTE(SUBSTITUTE(SUBSTITUTE(SUBSTITUTE(SUBSTITUTE(SUBSTITUTE(SUBSTITUTE(LOWER(T322&amp;""),CHAR(10)," "),CHAR(13)," "),CHAR(9)," "),CHAR(160)," "),"."," "),","," "),"-"," "),"/"," "),"("," "),")"," "),":"," "),";"," "),"_"," "),"–"," "),"?"," "),"!"," "),"*"," "),"["," "),"]"," "),"'"," "),"#"," "),"+"," "),"&amp;"," "),"\"," "))&amp;" "</f>
        <v>  </v>
      </c>
      <c r="CD322" s="0" t="str">
        <f aca="false">" "&amp;TRIM(SUBSTITUTE(SUBSTITUTE(SUBSTITUTE(SUBSTITUTE(SUBSTITUTE(SUBSTITUTE(SUBSTITUTE(SUBSTITUTE(SUBSTITUTE(SUBSTITUTE(SUBSTITUTE(SUBSTITUTE(SUBSTITUTE(SUBSTITUTE(SUBSTITUTE(SUBSTITUTE(SUBSTITUTE(SUBSTITUTE(SUBSTITUTE(SUBSTITUTE(SUBSTITUTE(SUBSTITUTE(SUBSTITUTE(SUBSTITUTE(LOWER(AE322&amp;""),CHAR(10)," "),CHAR(13)," "),CHAR(9)," "),CHAR(160)," "),"."," "),","," "),"-"," "),"/"," "),"("," "),")"," "),":"," "),";"," "),"_"," "),"–"," "),"?"," "),"!"," "),"*"," "),"["," "),"]"," "),"'"," "),"#"," "),"+"," "),"&amp;"," "),"\"," "))&amp;" "</f>
        <v>  </v>
      </c>
      <c r="CE322" s="68" t="n">
        <f aca="false">IFERROR(IF(AND(LEN(AU322)&gt;0,LEN(AU322)=LEN(AX322),OR(TRIM(MID(SUBSTITUTE(TRIM(CC322)," ",REPT(" ",60)),1,60))="",ISNUMBER(SEARCH(" "&amp;TRIM(MID(SUBSTITUTE(TRIM(CC322)," ",REPT(" ",60)),1,60))&amp;" ",CD322))),OR(TRIM(MID(SUBSTITUTE(TRIM(CC322)," ",REPT(" ",60)),61,60))="",ISNUMBER(SEARCH(" "&amp;TRIM(MID(SUBSTITUTE(TRIM(CC322)," ",REPT(" ",60)),61,60))&amp;" ",CD322))),OR(TRIM(MID(SUBSTITUTE(TRIM(CC322)," ",REPT(" ",60)),121,60))="",ISNUMBER(SEARCH(" "&amp;TRIM(MID(SUBSTITUTE(TRIM(CC322)," ",REPT(" ",60)),121,60))&amp;" ",CD322)))),1,0),0)</f>
        <v>0</v>
      </c>
      <c r="CG322" s="68" t="n">
        <f aca="false">IFERROR(LEN(SUBSTITUTE(BF322," ",""))-SUMPRODUCT((LEN(BF322)-LEN(SUBSTITUTE(BF322," "&amp;L_NAFiller&amp;" "," ")))/(LEN(L_NAFiller)+1)*LEN(L_NAFiller)),0)</f>
        <v>0</v>
      </c>
    </row>
    <row r="323" customFormat="false" ht="41.25" hidden="false" customHeight="true" outlineLevel="0" collapsed="false">
      <c r="A323" s="57" t="s">
        <v>913</v>
      </c>
      <c r="B323" s="57" t="s">
        <v>251</v>
      </c>
      <c r="C323" s="57" t="str">
        <f aca="false">Flights!$F$14</f>
        <v>MH1140</v>
      </c>
      <c r="D323" s="58" t="n">
        <f aca="false">Flights!$D$14</f>
        <v>46307</v>
      </c>
      <c r="E323" s="57" t="str">
        <f aca="false">Flights!$G$14&amp;"-"&amp;Flights!$H$14</f>
        <v>KUL-PEN</v>
      </c>
      <c r="F323" s="57" t="str">
        <f aca="false">Flights!$K$14</f>
        <v>BC</v>
      </c>
      <c r="G323" s="57" t="s">
        <v>81</v>
      </c>
      <c r="H323" s="57" t="s">
        <v>378</v>
      </c>
      <c r="I323" s="57" t="s">
        <v>385</v>
      </c>
      <c r="J323" s="57" t="s">
        <v>386</v>
      </c>
      <c r="K323" s="67" t="s">
        <v>387</v>
      </c>
      <c r="L323" s="67" t="s">
        <v>382</v>
      </c>
      <c r="M323" s="67"/>
      <c r="N323" s="67" t="s">
        <v>383</v>
      </c>
      <c r="O323" s="67" t="s">
        <v>914</v>
      </c>
      <c r="P323" s="57" t="s">
        <v>187</v>
      </c>
      <c r="Q323" s="59" t="n">
        <f aca="false">ROUND((Flights!$AC$14)*1440,0)/1440</f>
        <v>46300.15625</v>
      </c>
      <c r="R323" s="59" t="n">
        <f aca="false">Q323+(IF(AND(INDEX(TZ_DSTS,MATCH(P323,TZ_STN,0))&lt;&gt;"",Q323&gt;=INDEX(TZ_DSTS,MATCH(P323,TZ_STN,0)),Q323&lt;INDEX(TZ_DSTE,MATCH(P323,TZ_STN,0))),INDEX(TZ_DST,MATCH(P323,TZ_STN,0)),INDEX(TZ_STD,MATCH(P323,TZ_STN,0))))/24</f>
        <v>46300.4895833333</v>
      </c>
      <c r="S323" s="60"/>
      <c r="T323" s="60"/>
      <c r="U323" s="60"/>
      <c r="V323" s="60"/>
      <c r="W323" s="61"/>
      <c r="X323" s="60"/>
      <c r="Y323" s="60"/>
      <c r="Z323" s="60"/>
      <c r="AA323" s="60"/>
      <c r="AB323" s="60"/>
      <c r="AC323" s="60"/>
      <c r="AD323" s="66"/>
      <c r="AE323" s="60"/>
      <c r="AF323" s="61" t="str">
        <f aca="false">IF(AND(ISNUMBER(X323),ISNUMBER(Y323)),Y323-X323,"")</f>
        <v/>
      </c>
      <c r="AG323" s="62" t="str">
        <f aca="false">IF(ISNUMBER(AD323),AD323-(IF(AND(INDEX(TZ_DSTS,MATCH(P323,TZ_STN,0))&lt;&gt;"",(AD323-INDEX(TZ_STD,MATCH(P323,TZ_STN,0))/24)&gt;=INDEX(TZ_DSTS,MATCH(P323,TZ_STN,0)),(AD323-INDEX(TZ_STD,MATCH(P323,TZ_STN,0))/24)&lt;INDEX(TZ_DSTE,MATCH(P323,TZ_STN,0))),INDEX(TZ_DST,MATCH(P323,TZ_STN,0)),INDEX(TZ_STD,MATCH(P323,TZ_STN,0))))/24,"")</f>
        <v/>
      </c>
      <c r="AH323" s="65" t="str">
        <f aca="false">IFERROR(IF(N323="N/A – rule",IF(OR(TRIM(U323)="",TRIM(U323)="N/A",TRIM(U323)="Not started"),"N/A – RULE","INVALID – this check does not apply to this aircraft: clear the status (or correct the fleet on Flights)"),IF(TRIM(U323)="N/A",IF(AT323=0,"INVALID – N/A not permitted for this check",IF(AND(TRIM(AB323)&lt;&gt;"",TRIM(AB323)&lt;&gt;"Closed"),"INVALID – corrective action still open",IF(AND(NOT(OR(LEN(AZ323)&lt;15,ISNUMBER(MATCH(AZ323,L_Placeholder,0)))),BK323=0,CG323&gt;=8,NOT(OR(LEN(AU323)&lt;2,ISNUMBER(MATCH(AU323,L_Placeholder,0)))),BR323&gt;=3,NOT(OR(LEN(AX323)&lt;2,ISNUMBER(MATCH(AX323,L_Placeholder,0)))),BS323&gt;=3,TRIM(AE323)&lt;&gt;TRIM(T323),AX323&lt;&gt;AU323,CE323=0),"N/A – JUSTIFIED","INVALID – N/A needs a real, settled reason (not 'not applicable' / 'as above' / TBC), a named PIC and a different named verifier"))),IF(OR(TRIM(U323)="Pass",TRIM(U323)="Pass after CA"),IF(NOT(ISNUMBER(AD323)),"INVALID – completion time missing",IF(OR(OR(LEN(AU323)&lt;2,ISNUMBER(MATCH(AU323,L_Placeholder,0))),BR323&lt;3),"INVALID – PIC missing or not a named person (a role such as QA / CSM is not a name)",IF(OR(LEN(AV323)&lt;2,ISNUMBER(MATCH(AV323,L_Placeholder,0))),"INVALID – result / assessment missing",IF(OR(OR(LEN(AW323)&lt;3,ISNUMBER(MATCH(AW323,L_Placeholder,0))),SUMPRODUCT(--ISNUMBER(SEARCH(" "&amp;L_EvidencePhrase&amp;" ",BD323)))&gt;0,BI323=1),"INVALID – evidence missing, placeholder or not yet on file",IF(ISNA(MATCH(TRIM(S323),L_EvidenceType,0)),"INVALID – choose the evidence type from the list (column S)",IF(BL323=0,"INVALID – evidence ID must be the record's own ID only (e.g. SF-2210, IMG_2231, 1045521); a link / file name needs type 'Link / file path'",IF(OR(OR(LEN(AX323)&lt;2,ISNUMBER(MATCH(AX323,L_Placeholder,0))),BS323&lt;3),"INVALID – verifier missing or not a named person (a role such as QA / CSM is not a name)",IF(OR(AX323=AU323,CE323=1,AND(LEN(AU323)&gt;=4,ISNUMBER(SEARCH(AU323,AX323))),AND(LEN(AX323)&gt;=4,ISNUMBER(SEARCH(AX323,AU323)))),"INVALID – verifier must be a different, named person (not the PIC or a role)",IF(BH323=1,"INVALID – result not yet available (awaiting / TBC)",IF(BG323=1,"INVALID – result describes a problem: record Fail, then Pass after CA (or reword if it is not a problem)",IF(BV323=1,"INVALID – wording says not on board: an on-board confirmation needs the item loaded",IF(AND(AQ323=1,OR(OR(LEN(AY323)&lt;3,ISNUMBER(MATCH(AY323,L_Placeholder,0))),BJ323=1,BQ323=0)),"INVALID – batch ID missing, placeholder or not an ID (e.g. PASB-261008-BC-017)",IF(AND(AR323=1,OR(NOT(ISNUMBER(X323)),NOT(ISNUMBER(Y323)))),"INVALID – expected/actual qty missing",IF(AND(AR323=1,OR(X323&lt;=0,Y323&lt;0)),"INVALID – expected qty must be above 0 and actual not negative",IF(BB323&lt;&gt;"",BB323,IF(AND(AS323=1,Documents!$J$14&lt;&gt;"ON FILE"),"INVALID – GLD not on file (Documents sheet)",IF(AND(AS323=2,Documents!$O$14&lt;&gt;"ON FILE"),"INVALID – menu checklist not on file (Documents sheet)",IF(AND(AS323=3,NOT(ISNUMBER(Flights!$AX$14))),"INVALID – enter carrying flight KUL departure (Flights AX)",IF(AND(AS323=3,OR(Flights!$AZ$14&gt;Flights!$AA$14,Flights!$AX$14&lt;Flights!$AA$14-3)),"INVALID – carrying flight (Flights AX) cannot arrive before this leg's STD, or is over 3 days early",IF(AG323&gt;AsOfUTC,"INVALID – completion time is in the future",IF(AND(ISNUMBER(BY323),AG323&lt;BY323),IF(H323="Physical uplift","INVALID – before uplift window (cannot confirm loading)","INVALID – before valid window"),IF(AG323&gt;Flights!$AA$14,"INVALID – completed after departure (cannot establish readiness)",IF(AND(H323="Preparation",AG323&gt;=IF(ISNUMBER(Flights!$BA$14),MIN(Flights!$BA$14,Flights!$AA$14),Flights!$AA$14)),"INVALID – completed after loading / departure (cannot establish readiness)",IF(AND(H323="Physical uplift",AG323&gt;Q323),"INVALID – recorded after the loading flight departed",IF(AG323&gt;Q323,"COMPLETE – LATE","COMPLETE"))))))))))))))))))))))))),IF(TRIM(U323)="Fail","FAIL – DISCREPANCY",IF(AND(TRIM(U323)&lt;&gt;"",TRIM(U323)&lt;&gt;"Not started",TRIM(U323)&lt;&gt;"In progress"),"INVALID – unrecognised status (use the list)",IF(AsOfUTC&gt;Q323,"OVERDUE",IF(N323="Clarification required","OPEN – CLARIFICATION","OPEN"))))))),"INVALID – error value in an input cell")</f>
        <v>OPEN</v>
      </c>
      <c r="AI323" s="61" t="n">
        <f aca="false">IF(OR(AH323="N/A – RULE",AH323="N/A – JUSTIFIED"),0,1)</f>
        <v>1</v>
      </c>
      <c r="AJ323" s="61" t="n">
        <f aca="false">IF(LEFT(AH323,8)="COMPLETE",1,0)</f>
        <v>0</v>
      </c>
      <c r="AK323" s="61" t="n">
        <f aca="false">IF(AND(AI323=1,AJ323=0,AsOfUTC&gt;Q323),1,0)</f>
        <v>0</v>
      </c>
      <c r="AL323" s="61" t="n">
        <f aca="false">IFERROR(IF(AND(AI323=1,OR(TRIM(U323)="Fail",AND(TRIM(AB323)&lt;&gt;"",TRIM(AB323)&lt;&gt;"Closed"),AND(ISNUMBER(AF323),AF323&lt;&gt;0,TRIM(U323)&lt;&gt;"Pass after CA"))),1,0),1)</f>
        <v>0</v>
      </c>
      <c r="AM323" s="61" t="n">
        <f aca="false">IF(LEFT(AH323,7)="INVALID",1,0)</f>
        <v>0</v>
      </c>
      <c r="AN323" s="61" t="n">
        <f aca="false">IF(AND(N323="Clarification required",AI323=1,AJ323=0),1,0)</f>
        <v>0</v>
      </c>
      <c r="AO323" s="61" t="str">
        <f aca="false">IF(AK323=1,SUM(AK$5:AK323),"")</f>
        <v/>
      </c>
      <c r="AP323" s="61" t="str">
        <f aca="false">IF(AL323=1,SUM(AL$5:AL323),"")</f>
        <v/>
      </c>
      <c r="AQ323" s="61" t="n">
        <v>0</v>
      </c>
      <c r="AR323" s="61" t="n">
        <v>0</v>
      </c>
      <c r="AS323" s="61" t="n">
        <v>0</v>
      </c>
      <c r="AT323" s="61" t="n">
        <v>1</v>
      </c>
      <c r="AU323" s="61" t="str">
        <f aca="false">SUBSTITUTE(SUBSTITUTE(SUBSTITUTE(SUBSTITUTE(SUBSTITUTE(SUBSTITUTE(SUBSTITUTE(SUBSTITUTE(SUBSTITUTE(SUBSTITUTE(SUBSTITUTE(SUBSTITUTE(SUBSTITUTE(SUBSTITUTE(SUBSTITUTE(SUBSTITUTE(LOWER(T323&amp;""),CHAR(10),""),CHAR(13),""),CHAR(9),""),CHAR(160),"")," ",""),".",""),"-",""),"/",""),"?",""),"_",""),",",""),"[",""),"]",""),"(",""),")",""),"*","")</f>
        <v/>
      </c>
      <c r="AV323" s="61" t="str">
        <f aca="false">SUBSTITUTE(SUBSTITUTE(SUBSTITUTE(SUBSTITUTE(SUBSTITUTE(SUBSTITUTE(SUBSTITUTE(SUBSTITUTE(SUBSTITUTE(SUBSTITUTE(SUBSTITUTE(SUBSTITUTE(SUBSTITUTE(SUBSTITUTE(SUBSTITUTE(SUBSTITUTE(LOWER(V323&amp;""),CHAR(10),""),CHAR(13),""),CHAR(9),""),CHAR(160),"")," ",""),".",""),"-",""),"/",""),"?",""),"_",""),",",""),"[",""),"]",""),"(",""),")",""),"*","")</f>
        <v/>
      </c>
      <c r="AW323" s="61" t="str">
        <f aca="false">SUBSTITUTE(SUBSTITUTE(SUBSTITUTE(SUBSTITUTE(SUBSTITUTE(SUBSTITUTE(SUBSTITUTE(SUBSTITUTE(SUBSTITUTE(SUBSTITUTE(SUBSTITUTE(SUBSTITUTE(SUBSTITUTE(SUBSTITUTE(SUBSTITUTE(SUBSTITUTE(LOWER(Z323&amp;""),CHAR(10),""),CHAR(13),""),CHAR(9),""),CHAR(160),"")," ",""),".",""),"-",""),"/",""),"?",""),"_",""),",",""),"[",""),"]",""),"(",""),")",""),"*","")</f>
        <v/>
      </c>
      <c r="AX323" s="61" t="str">
        <f aca="false">SUBSTITUTE(SUBSTITUTE(SUBSTITUTE(SUBSTITUTE(SUBSTITUTE(SUBSTITUTE(SUBSTITUTE(SUBSTITUTE(SUBSTITUTE(SUBSTITUTE(SUBSTITUTE(SUBSTITUTE(SUBSTITUTE(SUBSTITUTE(SUBSTITUTE(SUBSTITUTE(LOWER(AE323&amp;""),CHAR(10),""),CHAR(13),""),CHAR(9),""),CHAR(160),"")," ",""),".",""),"-",""),"/",""),"?",""),"_",""),",",""),"[",""),"]",""),"(",""),")",""),"*","")</f>
        <v/>
      </c>
      <c r="AY323" s="61" t="str">
        <f aca="false">SUBSTITUTE(SUBSTITUTE(SUBSTITUTE(SUBSTITUTE(SUBSTITUTE(SUBSTITUTE(SUBSTITUTE(SUBSTITUTE(SUBSTITUTE(SUBSTITUTE(SUBSTITUTE(SUBSTITUTE(SUBSTITUTE(SUBSTITUTE(SUBSTITUTE(SUBSTITUTE(LOWER(W323&amp;""),CHAR(10),""),CHAR(13),""),CHAR(9),""),CHAR(160),"")," ",""),".",""),"-",""),"/",""),"?",""),"_",""),",",""),"[",""),"]",""),"(",""),")",""),"*","")</f>
        <v/>
      </c>
      <c r="AZ323" s="61" t="str">
        <f aca="false">SUBSTITUTE(SUBSTITUTE(SUBSTITUTE(SUBSTITUTE(SUBSTITUTE(SUBSTITUTE(SUBSTITUTE(SUBSTITUTE(SUBSTITUTE(SUBSTITUTE(SUBSTITUTE(SUBSTITUTE(SUBSTITUTE(SUBSTITUTE(SUBSTITUTE(SUBSTITUTE(LOWER(AC323&amp;""),CHAR(10),""),CHAR(13),""),CHAR(9),""),CHAR(160),"")," ",""),".",""),"-",""),"/",""),"?",""),"_",""),",",""),"[",""),"]",""),"(",""),")",""),"*","")</f>
        <v/>
      </c>
      <c r="BA323" s="61" t="str">
        <f aca="false">SUBSTITUTE(SUBSTITUTE(SUBSTITUTE(SUBSTITUTE(SUBSTITUTE(SUBSTITUTE(SUBSTITUTE(SUBSTITUTE(SUBSTITUTE(SUBSTITUTE(SUBSTITUTE(SUBSTITUTE(SUBSTITUTE(SUBSTITUTE(SUBSTITUTE(SUBSTITUTE(LOWER(AA323&amp;""),CHAR(10),""),CHAR(13),""),CHAR(9),""),CHAR(160),"")," ",""),".",""),"-",""),"/",""),"?",""),"_",""),",",""),"[",""),"]",""),"(",""),")",""),"*","")</f>
        <v/>
      </c>
      <c r="BB323" s="61" t="str">
        <f aca="false">IF(AND(TRIM(U323)="Pass",ISNUMBER(AF323)),IF(AF323&lt;&gt;0,"INVALID – qty variance: use Fail or Pass after CA",""),"")&amp;IF(AND(TRIM(U323)="Pass after CA",ISNUMBER(AF323)),IF(AF323&lt;&gt;0,"INVALID – after the corrective action the actual qty must equal expected (update Actual)",""),"")&amp;IF(AND(TRIM(U323)="Pass",TRIM(AB323)&lt;&gt;"",TRIM(AB323)&lt;&gt;"Closed"),"INVALID – corrective action not closed: use Fail, then Pass after CA","")&amp;IF(AND(LEN(BA323)&gt;=2,ISNA(MATCH(LEFT(BA323,255),L_Placeholder,0)),TRIM(AB323)=""),"INVALID – CA status missing for the recorded corrective action","")&amp;IF(AND(TRIM(U323)="Pass after CA",OR(OR(LEN(BA323)&lt;5,ISNUMBER(MATCH(BA323,L_Placeholder,0))),TRIM(AB323)&lt;&gt;"Closed")),"INVALID – corrective action not recorded/closed","")</f>
        <v/>
      </c>
      <c r="BC323" s="61" t="str">
        <f aca="false">" "&amp;TRIM(SUBSTITUTE(SUBSTITUTE(SUBSTITUTE(SUBSTITUTE(SUBSTITUTE(SUBSTITUTE(SUBSTITUTE(SUBSTITUTE(SUBSTITUTE(SUBSTITUTE(SUBSTITUTE(SUBSTITUTE(SUBSTITUTE(SUBSTITUTE(SUBSTITUTE(SUBSTITUTE(SUBSTITUTE(SUBSTITUTE(SUBSTITUTE(SUBSTITUTE(SUBSTITUTE(SUBSTITUTE(SUBSTITUTE(SUBSTITUTE(LOWER(V323&amp;""),CHAR(10)," "),CHAR(13)," "),CHAR(9)," "),CHAR(160)," "),"."," "),","," "),"-"," "),"/"," "),"("," "),")"," "),":"," "),";"," "),"_"," "),"–"," "),"?"," "),"!"," "),"*"," "),"["," "),"]"," "),"'"," "),"#"," "),"+"," "),"&amp;"," "),"\"," "))&amp;" "</f>
        <v>  </v>
      </c>
      <c r="BD323" s="61" t="str">
        <f aca="false">" "&amp;TRIM(SUBSTITUTE(SUBSTITUTE(SUBSTITUTE(SUBSTITUTE(SUBSTITUTE(SUBSTITUTE(SUBSTITUTE(SUBSTITUTE(SUBSTITUTE(SUBSTITUTE(SUBSTITUTE(SUBSTITUTE(SUBSTITUTE(SUBSTITUTE(SUBSTITUTE(SUBSTITUTE(SUBSTITUTE(SUBSTITUTE(SUBSTITUTE(SUBSTITUTE(SUBSTITUTE(SUBSTITUTE(SUBSTITUTE(SUBSTITUTE(LOWER(Z323&amp;""),CHAR(10)," "),CHAR(13)," "),CHAR(9)," "),CHAR(160)," "),"."," "),","," "),"-"," "),"/"," "),"("," "),")"," "),":"," "),";"," "),"_"," "),"–"," "),"?"," "),"!"," "),"*"," "),"["," "),"]"," "),"'"," "),"#"," "),"+"," "),"&amp;"," "),"\"," "))&amp;" "</f>
        <v>  </v>
      </c>
      <c r="BE323" s="61" t="str">
        <f aca="false">" "&amp;TRIM(SUBSTITUTE(SUBSTITUTE(SUBSTITUTE(SUBSTITUTE(SUBSTITUTE(SUBSTITUTE(SUBSTITUTE(SUBSTITUTE(SUBSTITUTE(SUBSTITUTE(SUBSTITUTE(SUBSTITUTE(SUBSTITUTE(SUBSTITUTE(SUBSTITUTE(SUBSTITUTE(SUBSTITUTE(SUBSTITUTE(SUBSTITUTE(SUBSTITUTE(SUBSTITUTE(SUBSTITUTE(SUBSTITUTE(SUBSTITUTE(LOWER(W323&amp;""),CHAR(10)," "),CHAR(13)," "),CHAR(9)," "),CHAR(160)," "),"."," "),","," "),"-"," "),"/"," "),"("," "),")"," "),":"," "),";"," "),"_"," "),"–"," "),"?"," "),"!"," "),"*"," "),"["," "),"]"," "),"'"," "),"#"," "),"+"," "),"&amp;"," "),"\"," "))&amp;" "</f>
        <v>  </v>
      </c>
      <c r="BF323" s="61" t="str">
        <f aca="false">" "&amp;TRIM(SUBSTITUTE(SUBSTITUTE(SUBSTITUTE(SUBSTITUTE(SUBSTITUTE(SUBSTITUTE(SUBSTITUTE(SUBSTITUTE(SUBSTITUTE(SUBSTITUTE(SUBSTITUTE(SUBSTITUTE(SUBSTITUTE(SUBSTITUTE(SUBSTITUTE(SUBSTITUTE(SUBSTITUTE(SUBSTITUTE(SUBSTITUTE(SUBSTITUTE(SUBSTITUTE(SUBSTITUTE(SUBSTITUTE(SUBSTITUTE(LOWER(AC323&amp;""),CHAR(10)," "),CHAR(13)," "),CHAR(9)," "),CHAR(160)," "),"."," "),","," "),"-"," "),"/"," "),"("," "),")"," "),":"," "),";"," "),"_"," "),"–"," "),"?"," "),"!"," "),"*"," "),"["," "),"]"," "),"'"," "),"#"," "),"+"," "),"&amp;"," "),"\"," "))&amp;" "</f>
        <v>  </v>
      </c>
      <c r="BG323" s="61" t="n">
        <f aca="false">IFERROR(IF(AND(TRIM(U323)="Pass",SUMPRODUCT((LEN(BC323)-LEN(SUBSTITUTE(BC323," "&amp;L_ResultBad&amp;" "," ")))/(LEN(L_ResultBad)+1))&gt;SUMPRODUCT((LEN(BC323)-LEN(SUBSTITUTE(BC323," "&amp;L_NegPhrase&amp;" "," ")))/(LEN(L_NegPhrase)+1))),1,0),0)</f>
        <v>0</v>
      </c>
      <c r="BH323" s="61" t="n">
        <f aca="false">IFERROR(IF(SUMPRODUCT((LEN(BC323)-LEN(SUBSTITUTE(BC323," "&amp;L_Pending&amp;" "," ")))/(LEN(L_Pending)+1))&gt;SUMPRODUCT((LEN(BC323)-LEN(SUBSTITUTE(BC323," "&amp;L_PendNeg&amp;" "," ")))/(LEN(L_PendNeg)+1))+SUMPRODUCT((LEN(BC323)-LEN(SUBSTITUTE(BC323," "&amp;L_PendPrep&amp;" "," ")))/(LEN(L_PendPrep)+1)),1,0),1)</f>
        <v>0</v>
      </c>
      <c r="BI323" s="61" t="n">
        <f aca="false">IFERROR(IF(SUMPRODUCT((LEN(BD323)-LEN(SUBSTITUTE(BD323," "&amp;L_PendStrict&amp;" "," ")))/(LEN(L_PendStrict)+1))&gt;SUMPRODUCT((LEN(BD323)-LEN(SUBSTITUTE(BD323," "&amp;L_PendNeg&amp;" "," ")))/(LEN(L_PendNeg)+1)),1,0),1)</f>
        <v>0</v>
      </c>
      <c r="BJ323" s="61" t="n">
        <f aca="false">IFERROR(IF(SUMPRODUCT((LEN(BE323)-LEN(SUBSTITUTE(BE323," "&amp;L_Pending&amp;" "," ")))/(LEN(L_Pending)+1))&gt;SUMPRODUCT((LEN(BE323)-LEN(SUBSTITUTE(BE323," "&amp;L_PendNeg&amp;" "," ")))/(LEN(L_PendNeg)+1))+SUMPRODUCT((LEN(BE323)-LEN(SUBSTITUTE(BE323," "&amp;L_PendPrep&amp;" "," ")))/(LEN(L_PendPrep)+1)),1,0),1)</f>
        <v>0</v>
      </c>
      <c r="BK323" s="61" t="n">
        <f aca="false">IFERROR(IF(SUMPRODUCT((LEN(BF323)-LEN(SUBSTITUTE(BF323," "&amp;L_PendStrict&amp;" "," ")))/(LEN(L_PendStrict)+1))&gt;SUMPRODUCT((LEN(BF323)-LEN(SUBSTITUTE(BF323," "&amp;L_PendNeg&amp;" "," ")))/(LEN(L_PendNeg)+1)),1,0),1)</f>
        <v>0</v>
      </c>
      <c r="BL323" s="61" t="n">
        <f aca="false">IF(ISNA(MATCH(TRIM(S323),L_EvidenceType,0)),0,BZ323)</f>
        <v>0</v>
      </c>
      <c r="BM323" s="61" t="str">
        <f aca="false">SUBSTITUTE(SUBSTITUTE(SUBSTITUTE(SUBSTITUTE(SUBSTITUTE(SUBSTITUTE(SUBSTITUTE(SUBSTITUTE(SUBSTITUTE(LOWER(Z323&amp;""),"1","0"),"2","0"),"3","0"),"4","0"),"5","0"),"6","0"),"7","0"),"8","0"),"9","0")</f>
        <v/>
      </c>
      <c r="BN323" s="61" t="str">
        <f aca="false">SUBSTITUTE(SUBSTITUTE(SUBSTITUTE(SUBSTITUTE(SUBSTITUTE(SUBSTITUTE(SUBSTITUTE(SUBSTITUTE(SUBSTITUTE(SUBSTITUTE(SUBSTITUTE(SUBSTITUTE(SUBSTITUTE(SUBSTITUTE(SUBSTITUTE(SUBSTITUTE(SUBSTITUTE(SUBSTITUTE(SUBSTITUTE(SUBSTITUTE(SUBSTITUTE(SUBSTITUTE(SUBSTITUTE(SUBSTITUTE(SUBSTITUTE(BM323,"b","a"),"c","a"),"d","a"),"e","a"),"f","a"),"g","a"),"h","a"),"i","a"),"j","a"),"k","a"),"l","a"),"m","a"),"n","a"),"o","a"),"p","a"),"q","a"),"r","a"),"s","a"),"t","a"),"u","a"),"v","a"),"w","a"),"x","a"),"y","a"),"z","a")</f>
        <v/>
      </c>
      <c r="BO323" s="61" t="str">
        <f aca="false">SUBSTITUTE(SUBSTITUTE(SUBSTITUTE(SUBSTITUTE(SUBSTITUTE(SUBSTITUTE(SUBSTITUTE(SUBSTITUTE(SUBSTITUTE(LOWER(W323&amp;""),"1","0"),"2","0"),"3","0"),"4","0"),"5","0"),"6","0"),"7","0"),"8","0"),"9","0")</f>
        <v/>
      </c>
      <c r="BP323" s="61" t="str">
        <f aca="false">SUBSTITUTE(SUBSTITUTE(SUBSTITUTE(SUBSTITUTE(SUBSTITUTE(SUBSTITUTE(SUBSTITUTE(SUBSTITUTE(SUBSTITUTE(SUBSTITUTE(SUBSTITUTE(SUBSTITUTE(SUBSTITUTE(SUBSTITUTE(SUBSTITUTE(SUBSTITUTE(SUBSTITUTE(SUBSTITUTE(SUBSTITUTE(SUBSTITUTE(SUBSTITUTE(SUBSTITUTE(SUBSTITUTE(SUBSTITUTE(SUBSTITUTE(BO323,"b","a"),"c","a"),"d","a"),"e","a"),"f","a"),"g","a"),"h","a"),"i","a"),"j","a"),"k","a"),"l","a"),"m","a"),"n","a"),"o","a"),"p","a"),"q","a"),"r","a"),"s","a"),"t","a"),"u","a"),"v","a"),"w","a"),"x","a"),"y","a"),"z","a")</f>
        <v/>
      </c>
      <c r="BQ323" s="61" t="n">
        <f aca="false">IFERROR(IF(AND(ISERROR(SEARCH(" mh"," "&amp;LOWER(W323))),ISNA(MATCH(LEFT(TRIM(BP323),255),{"0000a","000a","00a","0000aa","000aa","00aa","0aa","0000aaa","000aaa","00a00","0a00","0000-0000","00:00","a00","a0","00.00.0000","00/00/0000","00-00-0000","0000-00-00","0000/00/00","0000.00.00","00.00.00","00/00/00","00-00-00","0.00.0000","0/00/0000","0-00-0000"},0)),ISNA(MATCH(LEFT(TRIM(CA323),255),{"0000a","000a","00a","0000aa","000aa","00aa","0aa","0000aaa","000aaa","00a00","0a00","0000-0000","00:00","a00","a0","00.00.0000","00/00/0000","00-00-0000","0000-00-00","0000/00/00","0000.00.00","00.00.00","00/00/00","00-00-00","0.00.0000","0/00/0000","0-00-0000"},0)),LEN(CB323)&gt;=3,NOT(OR(SUBSTITUTE(CB323,"0","")="",AND(LEN(CB323)&gt;=4,CB323=REPT(LEFT(CB323),LEN(CB323))),ISNUMBER(MATCH(CB323,{"123","1234","12345","123456","1234567","12345678","0123","01234","012345","98765","987654","54321"},0)),AND(LEN(CB323)=8,LEFT(CB323,3)="202"))),OR(AND((LEN(CA323)-LEN(SUBSTITUTE(CA323,"a","")))&gt;=1,SUMPRODUCT(--ISNUMBER(SEARCH({"a0","a-0","a_0","a/0","a.0","a#0","0a","0-a","0_a","0/a"},BP323)))&gt;0),ISNUMBER(SEARCH("000000",BP323)))),1,0),0)</f>
        <v>0</v>
      </c>
      <c r="BR323" s="61" t="n">
        <f aca="false">IFERROR(LEN(SUBSTITUTE(CC323," ",""))-SUMPRODUCT((LEN(CC323)-LEN(SUBSTITUTE(CC323," "&amp;L_Role&amp;" "," ")))/(LEN(L_Role)+1)*LEN(L_Role)),0)</f>
        <v>0</v>
      </c>
      <c r="BS323" s="61" t="n">
        <f aca="false">IFERROR(LEN(SUBSTITUTE(CD323," ",""))-SUMPRODUCT((LEN(CD323)-LEN(SUBSTITUTE(CD323," "&amp;L_Role&amp;" "," ")))/(LEN(L_Role)+1)*LEN(L_Role)),0)</f>
        <v>0</v>
      </c>
      <c r="BT3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323,"revision",""),"version",""),"jan",""),"feb",""),"mar",""),"apr",""),"may",""),"jun",""),"jul",""),"aug",""),"sep",""),"oct",""),"nov",""),"dec",""),"utc",""),"gmt",""),"myt",""),"bst",""),"rev",""),"ver",""),"b","a"),"c","a"),"d","a"),"e","a"),"f","a"),"g","a"),"h","a"),"i","a"),"j","a"),"k","a"),"l","a"),"m","a"),"n","a"),"o","a"),"p","a"),"q","a"),"r","a"),"s","a"),"t","a"),"u","a"),"v","a"),"w","a"),"x","a"),"y","a"),"z","a")</f>
        <v/>
      </c>
      <c r="BU323" s="61" t="str">
        <f aca="false">SUBSTITUTE(SUBSTITUTE(SUBSTITUTE(SUBSTITUTE(SUBSTITUTE(SUBSTITUTE(SUBSTITUTE(SUBSTITUTE(SUBSTITUTE(SUBSTITUTE(LEFT(BM323,FIND("0",BM323&amp;"0")-1),"-",""),"_",""),"/",""),".",""),"#",""),"\\",""),":","")," ",""),"(",""),")","")</f>
        <v/>
      </c>
      <c r="BV323" s="61" t="n">
        <f aca="false">0</f>
        <v>0</v>
      </c>
      <c r="BW3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323&amp;""),"a",""),"b",""),"c",""),"d",""),"e",""),"f",""),"g",""),"h",""),"i",""),"j",""),"k",""),"l",""),"m",""),"n",""),"o",""),"p",""),"q",""),"r",""),"s",""),"t",""),"u",""),"v",""),"w",""),"x",""),"y",""),"z",""),"-",""),"_",""),"/",""),".",""),"#",""),"\\",""),":","")," ",""),"(",""),")","")</f>
        <v/>
      </c>
      <c r="BX323" s="61" t="str">
        <f aca="false">SUBSTITUTE(SUBSTITUTE(SUBSTITUTE(SUBSTITUTE(SUBSTITUTE(SUBSTITUTE(SUBSTITUTE(SUBSTITUTE(SUBSTITUTE(SUBSTITUTE(SUBSTITUTE(BM323,"0",""),"-",""),"_",""),"/",""),".",""),"#",""),"\\",""),":","")," ",""),"(",""),")","")</f>
        <v/>
      </c>
      <c r="BY323" s="62" t="n">
        <f aca="false">Q323-T7EarlyD*24/24</f>
        <v>46286.15625</v>
      </c>
      <c r="BZ323" s="61" t="n">
        <f aca="false">IFERROR(IF(IF(TRIM(S323)="Link / file path",AND(LEN(TRIM(Z323))&gt;=5,SUMPRODUCT(--ISNUMBER(SEARCH({"http","www.","\\",":\",".pdf",".jpg",".jpeg",".png",".heic",".xls",".doc",".msg",".eml",".ppt",".txt",".zip"},Z323)))&gt;0),AND(ISERROR(FIND(" ",TRIM(Z323))),NOT(OR(SUMPRODUCT(--ISNUMBER(FIND({",",";","&amp;","+"},Z323)))&gt;0,SUMPRODUCT(--ISNUMBER(SEARCH({"0/aa","0\\aa"},BN323)))&gt;0)),NOT(SUMPRODUCT(--ISNUMBER(SEARCH({"http","www.","\\",":\",".pdf",".jpg",".jpeg",".png",".heic",".xls",".doc",".msg",".eml",".ppt",".txt",".zip"},Z323)))&gt;0),NOT(LOWER(TRIM(Z323))=LOWER(Flights!$F$14)),ISNA(MATCH(BU323,{"mh","rev","revision","ver","version","v","r","a","b","seat","tray","row","gate","bay","stand","page","pg","item","line","no","cart","galley","flight","flt","table","box","bag","oven","etd","eta","std","sta","atd","ata","qty","pax","x","time","tel","ph","mob","day","wk","week","utc","gmt","myt","lt"},0)),NOT(OR(ISNUMBER(MATCH(LEFT(BN323,255),{"0000a","000a","00a","0000aa","000aa","00aa","0aa","0000aaa","000aaa","00a00","0a00","0000-0000","00:00","a00","a0","00.00.0000","00/00/0000","00-00-0000","0000-00-00","0000/00/00","0000.00.00","00.00.00","00/00/00","00-00-00","0.00.0000","0/00/0000","0-00-0000"},0)),ISNUMBER(MATCH(LEFT(BT323,255),{"0000a","000a","00a","0000aa","000aa","00aa","0aa","0000aaa","000aaa","00a00","0a00","0000-0000","00:00","a00","a0","00.00.0000","00/00/0000","00-00-0000","0000-00-00","0000/00/00","0000.00.00","00.00.00","00/00/00","00-00-00","0.00.0000","0/00/0000","0-00-0000"},0)))),NOT(OR(AND(BW323&lt;&gt;"",SUBSTITUTE(BW323,"0","")=""),AND(LEN(BW323)&gt;=4,BW323=REPT(LEFT(BW323),LEN(BW323))),ISNUMBER(MATCH(BW323,{"123","1234","12345","123456","1234567","12345678","0123","01234","012345","98765","987654","54321"},0)),ISNUMBER(MATCH(BX323,{"x","xx","xxx","xxxx","xxxxx","abc","abcd","nil","na","nan","test","tbc","tba","tbd","dummy","sample","example","eg","zz","zzz","none","null","xyz","qwe","asd","id","ref"},0)),AND(LEN(BW323)=8,BX323="",OR(LEFT(BW323,3)="202",ISNUMBER(MATCH(RIGHT(BW323,4),{"2025","2026","2027"},0)))))),OR(AND((LEN(BT323)-LEN(SUBSTITUTE(BT323,"a","")))&gt;=1,(LEN(BN323)-LEN(SUBSTITUTE(BN323,"0","")))&gt;=2,SUMPRODUCT(--ISNUMBER(SEARCH({"a0","a-0","a_0","a/0","a.0","a#0","0a","0-a","0_a","0/a"},BN323)))&gt;0),AND((LEN(BN323)-LEN(SUBSTITUTE(BN323,"a","")))=0,(LEN(BN323)-LEN(SUBSTITUTE(BN323,"0","")))&gt;=5)))),1,0),0)</f>
        <v>0</v>
      </c>
      <c r="CA3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323,"revision",""),"version",""),"jan",""),"feb",""),"mar",""),"apr",""),"may",""),"jun",""),"jul",""),"aug",""),"sep",""),"oct",""),"nov",""),"dec",""),"utc",""),"gmt",""),"myt",""),"bst",""),"rev",""),"ver",""),"b","a"),"c","a"),"d","a"),"e","a"),"f","a"),"g","a"),"h","a"),"i","a"),"j","a"),"k","a"),"l","a"),"m","a"),"n","a"),"o","a"),"p","a"),"q","a"),"r","a"),"s","a"),"t","a"),"u","a"),"v","a"),"w","a"),"x","a"),"y","a"),"z","a")</f>
        <v/>
      </c>
      <c r="CB3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323&amp;""),"a",""),"b",""),"c",""),"d",""),"e",""),"f",""),"g",""),"h",""),"i",""),"j",""),"k",""),"l",""),"m",""),"n",""),"o",""),"p",""),"q",""),"r",""),"s",""),"t",""),"u",""),"v",""),"w",""),"x",""),"y",""),"z",""),"-",""),"_",""),"/",""),".",""),"#",""),"\\",""),":","")," ",""),"(",""),")","")</f>
        <v/>
      </c>
      <c r="CC323" s="0" t="str">
        <f aca="false">" "&amp;TRIM(SUBSTITUTE(SUBSTITUTE(SUBSTITUTE(SUBSTITUTE(SUBSTITUTE(SUBSTITUTE(SUBSTITUTE(SUBSTITUTE(SUBSTITUTE(SUBSTITUTE(SUBSTITUTE(SUBSTITUTE(SUBSTITUTE(SUBSTITUTE(SUBSTITUTE(SUBSTITUTE(SUBSTITUTE(SUBSTITUTE(SUBSTITUTE(SUBSTITUTE(SUBSTITUTE(SUBSTITUTE(SUBSTITUTE(SUBSTITUTE(LOWER(T323&amp;""),CHAR(10)," "),CHAR(13)," "),CHAR(9)," "),CHAR(160)," "),"."," "),","," "),"-"," "),"/"," "),"("," "),")"," "),":"," "),";"," "),"_"," "),"–"," "),"?"," "),"!"," "),"*"," "),"["," "),"]"," "),"'"," "),"#"," "),"+"," "),"&amp;"," "),"\"," "))&amp;" "</f>
        <v>  </v>
      </c>
      <c r="CD323" s="0" t="str">
        <f aca="false">" "&amp;TRIM(SUBSTITUTE(SUBSTITUTE(SUBSTITUTE(SUBSTITUTE(SUBSTITUTE(SUBSTITUTE(SUBSTITUTE(SUBSTITUTE(SUBSTITUTE(SUBSTITUTE(SUBSTITUTE(SUBSTITUTE(SUBSTITUTE(SUBSTITUTE(SUBSTITUTE(SUBSTITUTE(SUBSTITUTE(SUBSTITUTE(SUBSTITUTE(SUBSTITUTE(SUBSTITUTE(SUBSTITUTE(SUBSTITUTE(SUBSTITUTE(LOWER(AE323&amp;""),CHAR(10)," "),CHAR(13)," "),CHAR(9)," "),CHAR(160)," "),"."," "),","," "),"-"," "),"/"," "),"("," "),")"," "),":"," "),";"," "),"_"," "),"–"," "),"?"," "),"!"," "),"*"," "),"["," "),"]"," "),"'"," "),"#"," "),"+"," "),"&amp;"," "),"\"," "))&amp;" "</f>
        <v>  </v>
      </c>
      <c r="CE323" s="68" t="n">
        <f aca="false">IFERROR(IF(AND(LEN(AU323)&gt;0,LEN(AU323)=LEN(AX323),OR(TRIM(MID(SUBSTITUTE(TRIM(CC323)," ",REPT(" ",60)),1,60))="",ISNUMBER(SEARCH(" "&amp;TRIM(MID(SUBSTITUTE(TRIM(CC323)," ",REPT(" ",60)),1,60))&amp;" ",CD323))),OR(TRIM(MID(SUBSTITUTE(TRIM(CC323)," ",REPT(" ",60)),61,60))="",ISNUMBER(SEARCH(" "&amp;TRIM(MID(SUBSTITUTE(TRIM(CC323)," ",REPT(" ",60)),61,60))&amp;" ",CD323))),OR(TRIM(MID(SUBSTITUTE(TRIM(CC323)," ",REPT(" ",60)),121,60))="",ISNUMBER(SEARCH(" "&amp;TRIM(MID(SUBSTITUTE(TRIM(CC323)," ",REPT(" ",60)),121,60))&amp;" ",CD323)))),1,0),0)</f>
        <v>0</v>
      </c>
      <c r="CG323" s="68" t="n">
        <f aca="false">IFERROR(LEN(SUBSTITUTE(BF323," ",""))-SUMPRODUCT((LEN(BF323)-LEN(SUBSTITUTE(BF323," "&amp;L_NAFiller&amp;" "," ")))/(LEN(L_NAFiller)+1)*LEN(L_NAFiller)),0)</f>
        <v>0</v>
      </c>
    </row>
    <row r="324" customFormat="false" ht="41.25" hidden="false" customHeight="true" outlineLevel="0" collapsed="false">
      <c r="A324" s="57" t="s">
        <v>915</v>
      </c>
      <c r="B324" s="57" t="s">
        <v>251</v>
      </c>
      <c r="C324" s="57" t="str">
        <f aca="false">Flights!$F$14</f>
        <v>MH1140</v>
      </c>
      <c r="D324" s="58" t="n">
        <f aca="false">Flights!$D$14</f>
        <v>46307</v>
      </c>
      <c r="E324" s="57" t="str">
        <f aca="false">Flights!$G$14&amp;"-"&amp;Flights!$H$14</f>
        <v>KUL-PEN</v>
      </c>
      <c r="F324" s="57" t="str">
        <f aca="false">Flights!$K$14</f>
        <v>BC</v>
      </c>
      <c r="G324" s="57" t="s">
        <v>81</v>
      </c>
      <c r="H324" s="57" t="s">
        <v>378</v>
      </c>
      <c r="I324" s="57" t="s">
        <v>389</v>
      </c>
      <c r="J324" s="57" t="s">
        <v>390</v>
      </c>
      <c r="K324" s="67" t="s">
        <v>391</v>
      </c>
      <c r="L324" s="67" t="s">
        <v>382</v>
      </c>
      <c r="M324" s="67"/>
      <c r="N324" s="67" t="str">
        <f aca="false">IF(TRIM(Flights!$L$14)="A339","Required","N/A – rule")</f>
        <v>N/A – rule</v>
      </c>
      <c r="O324" s="67" t="s">
        <v>392</v>
      </c>
      <c r="P324" s="57" t="s">
        <v>187</v>
      </c>
      <c r="Q324" s="59" t="n">
        <f aca="false">ROUND((Flights!$AC$14)*1440,0)/1440</f>
        <v>46300.15625</v>
      </c>
      <c r="R324" s="59" t="n">
        <f aca="false">Q324+(IF(AND(INDEX(TZ_DSTS,MATCH(P324,TZ_STN,0))&lt;&gt;"",Q324&gt;=INDEX(TZ_DSTS,MATCH(P324,TZ_STN,0)),Q324&lt;INDEX(TZ_DSTE,MATCH(P324,TZ_STN,0))),INDEX(TZ_DST,MATCH(P324,TZ_STN,0)),INDEX(TZ_STD,MATCH(P324,TZ_STN,0))))/24</f>
        <v>46300.4895833333</v>
      </c>
      <c r="S324" s="60"/>
      <c r="T324" s="60"/>
      <c r="U324" s="60"/>
      <c r="V324" s="60"/>
      <c r="W324" s="61"/>
      <c r="X324" s="60"/>
      <c r="Y324" s="60"/>
      <c r="Z324" s="60"/>
      <c r="AA324" s="60"/>
      <c r="AB324" s="60"/>
      <c r="AC324" s="60"/>
      <c r="AD324" s="66"/>
      <c r="AE324" s="60"/>
      <c r="AF324" s="61" t="str">
        <f aca="false">IF(AND(ISNUMBER(X324),ISNUMBER(Y324)),Y324-X324,"")</f>
        <v/>
      </c>
      <c r="AG324" s="62" t="str">
        <f aca="false">IF(ISNUMBER(AD324),AD324-(IF(AND(INDEX(TZ_DSTS,MATCH(P324,TZ_STN,0))&lt;&gt;"",(AD324-INDEX(TZ_STD,MATCH(P324,TZ_STN,0))/24)&gt;=INDEX(TZ_DSTS,MATCH(P324,TZ_STN,0)),(AD324-INDEX(TZ_STD,MATCH(P324,TZ_STN,0))/24)&lt;INDEX(TZ_DSTE,MATCH(P324,TZ_STN,0))),INDEX(TZ_DST,MATCH(P324,TZ_STN,0)),INDEX(TZ_STD,MATCH(P324,TZ_STN,0))))/24,"")</f>
        <v/>
      </c>
      <c r="AH324" s="65" t="str">
        <f aca="false">IFERROR(IF(N324="N/A – rule",IF(OR(TRIM(U324)="",TRIM(U324)="N/A",TRIM(U324)="Not started"),"N/A – RULE","INVALID – this check does not apply to this aircraft: clear the status (or correct the fleet on Flights)"),IF(TRIM(U324)="N/A",IF(AT324=0,"INVALID – N/A not permitted for this check",IF(AND(TRIM(AB324)&lt;&gt;"",TRIM(AB324)&lt;&gt;"Closed"),"INVALID – corrective action still open",IF(AND(NOT(OR(LEN(AZ324)&lt;15,ISNUMBER(MATCH(AZ324,L_Placeholder,0)))),BK324=0,CG324&gt;=8,NOT(OR(LEN(AU324)&lt;2,ISNUMBER(MATCH(AU324,L_Placeholder,0)))),BR324&gt;=3,NOT(OR(LEN(AX324)&lt;2,ISNUMBER(MATCH(AX324,L_Placeholder,0)))),BS324&gt;=3,TRIM(AE324)&lt;&gt;TRIM(T324),AX324&lt;&gt;AU324,CE324=0),"N/A – JUSTIFIED","INVALID – N/A needs a real, settled reason (not 'not applicable' / 'as above' / TBC), a named PIC and a different named verifier"))),IF(OR(TRIM(U324)="Pass",TRIM(U324)="Pass after CA"),IF(NOT(ISNUMBER(AD324)),"INVALID – completion time missing",IF(OR(OR(LEN(AU324)&lt;2,ISNUMBER(MATCH(AU324,L_Placeholder,0))),BR324&lt;3),"INVALID – PIC missing or not a named person (a role such as QA / CSM is not a name)",IF(OR(LEN(AV324)&lt;2,ISNUMBER(MATCH(AV324,L_Placeholder,0))),"INVALID – result / assessment missing",IF(OR(OR(LEN(AW324)&lt;3,ISNUMBER(MATCH(AW324,L_Placeholder,0))),SUMPRODUCT(--ISNUMBER(SEARCH(" "&amp;L_EvidencePhrase&amp;" ",BD324)))&gt;0,BI324=1),"INVALID – evidence missing, placeholder or not yet on file",IF(ISNA(MATCH(TRIM(S324),L_EvidenceType,0)),"INVALID – choose the evidence type from the list (column S)",IF(BL324=0,"INVALID – evidence ID must be the record's own ID only (e.g. SF-2210, IMG_2231, 1045521); a link / file name needs type 'Link / file path'",IF(OR(OR(LEN(AX324)&lt;2,ISNUMBER(MATCH(AX324,L_Placeholder,0))),BS324&lt;3),"INVALID – verifier missing or not a named person (a role such as QA / CSM is not a name)",IF(OR(AX324=AU324,CE324=1,AND(LEN(AU324)&gt;=4,ISNUMBER(SEARCH(AU324,AX324))),AND(LEN(AX324)&gt;=4,ISNUMBER(SEARCH(AX324,AU324)))),"INVALID – verifier must be a different, named person (not the PIC or a role)",IF(BH324=1,"INVALID – result not yet available (awaiting / TBC)",IF(BG324=1,"INVALID – result describes a problem: record Fail, then Pass after CA (or reword if it is not a problem)",IF(BV324=1,"INVALID – wording says not on board: an on-board confirmation needs the item loaded",IF(AND(AQ324=1,OR(OR(LEN(AY324)&lt;3,ISNUMBER(MATCH(AY324,L_Placeholder,0))),BJ324=1,BQ324=0)),"INVALID – batch ID missing, placeholder or not an ID (e.g. PASB-261008-BC-017)",IF(AND(AR324=1,OR(NOT(ISNUMBER(X324)),NOT(ISNUMBER(Y324)))),"INVALID – expected/actual qty missing",IF(AND(AR324=1,OR(X324&lt;=0,Y324&lt;0)),"INVALID – expected qty must be above 0 and actual not negative",IF(BB324&lt;&gt;"",BB324,IF(AND(AS324=1,Documents!$J$14&lt;&gt;"ON FILE"),"INVALID – GLD not on file (Documents sheet)",IF(AND(AS324=2,Documents!$O$14&lt;&gt;"ON FILE"),"INVALID – menu checklist not on file (Documents sheet)",IF(AND(AS324=3,NOT(ISNUMBER(Flights!$AX$14))),"INVALID – enter carrying flight KUL departure (Flights AX)",IF(AND(AS324=3,OR(Flights!$AZ$14&gt;Flights!$AA$14,Flights!$AX$14&lt;Flights!$AA$14-3)),"INVALID – carrying flight (Flights AX) cannot arrive before this leg's STD, or is over 3 days early",IF(AG324&gt;AsOfUTC,"INVALID – completion time is in the future",IF(AND(ISNUMBER(BY324),AG324&lt;BY324),IF(H324="Physical uplift","INVALID – before uplift window (cannot confirm loading)","INVALID – before valid window"),IF(AG324&gt;Flights!$AA$14,"INVALID – completed after departure (cannot establish readiness)",IF(AND(H324="Preparation",AG324&gt;=IF(ISNUMBER(Flights!$BA$14),MIN(Flights!$BA$14,Flights!$AA$14),Flights!$AA$14)),"INVALID – completed after loading / departure (cannot establish readiness)",IF(AND(H324="Physical uplift",AG324&gt;Q324),"INVALID – recorded after the loading flight departed",IF(AG324&gt;Q324,"COMPLETE – LATE","COMPLETE"))))))))))))))))))))))))),IF(TRIM(U324)="Fail","FAIL – DISCREPANCY",IF(AND(TRIM(U324)&lt;&gt;"",TRIM(U324)&lt;&gt;"Not started",TRIM(U324)&lt;&gt;"In progress"),"INVALID – unrecognised status (use the list)",IF(AsOfUTC&gt;Q324,"OVERDUE",IF(N324="Clarification required","OPEN – CLARIFICATION","OPEN"))))))),"INVALID – error value in an input cell")</f>
        <v>N/A – RULE</v>
      </c>
      <c r="AI324" s="61" t="n">
        <f aca="false">IF(OR(AH324="N/A – RULE",AH324="N/A – JUSTIFIED"),0,1)</f>
        <v>0</v>
      </c>
      <c r="AJ324" s="61" t="n">
        <f aca="false">IF(LEFT(AH324,8)="COMPLETE",1,0)</f>
        <v>0</v>
      </c>
      <c r="AK324" s="61" t="n">
        <f aca="false">IF(AND(AI324=1,AJ324=0,AsOfUTC&gt;Q324),1,0)</f>
        <v>0</v>
      </c>
      <c r="AL324" s="61" t="n">
        <f aca="false">IFERROR(IF(AND(AI324=1,OR(TRIM(U324)="Fail",AND(TRIM(AB324)&lt;&gt;"",TRIM(AB324)&lt;&gt;"Closed"),AND(ISNUMBER(AF324),AF324&lt;&gt;0,TRIM(U324)&lt;&gt;"Pass after CA"))),1,0),1)</f>
        <v>0</v>
      </c>
      <c r="AM324" s="61" t="n">
        <f aca="false">IF(LEFT(AH324,7)="INVALID",1,0)</f>
        <v>0</v>
      </c>
      <c r="AN324" s="61" t="n">
        <f aca="false">IF(AND(N324="Clarification required",AI324=1,AJ324=0),1,0)</f>
        <v>0</v>
      </c>
      <c r="AO324" s="61" t="str">
        <f aca="false">IF(AK324=1,SUM(AK$5:AK324),"")</f>
        <v/>
      </c>
      <c r="AP324" s="61" t="str">
        <f aca="false">IF(AL324=1,SUM(AL$5:AL324),"")</f>
        <v/>
      </c>
      <c r="AQ324" s="61" t="n">
        <v>0</v>
      </c>
      <c r="AR324" s="61" t="n">
        <v>0</v>
      </c>
      <c r="AS324" s="61" t="n">
        <v>0</v>
      </c>
      <c r="AT324" s="61" t="n">
        <v>0</v>
      </c>
      <c r="AU324" s="61" t="str">
        <f aca="false">SUBSTITUTE(SUBSTITUTE(SUBSTITUTE(SUBSTITUTE(SUBSTITUTE(SUBSTITUTE(SUBSTITUTE(SUBSTITUTE(SUBSTITUTE(SUBSTITUTE(SUBSTITUTE(SUBSTITUTE(SUBSTITUTE(SUBSTITUTE(SUBSTITUTE(SUBSTITUTE(LOWER(T324&amp;""),CHAR(10),""),CHAR(13),""),CHAR(9),""),CHAR(160),"")," ",""),".",""),"-",""),"/",""),"?",""),"_",""),",",""),"[",""),"]",""),"(",""),")",""),"*","")</f>
        <v/>
      </c>
      <c r="AV324" s="61" t="str">
        <f aca="false">SUBSTITUTE(SUBSTITUTE(SUBSTITUTE(SUBSTITUTE(SUBSTITUTE(SUBSTITUTE(SUBSTITUTE(SUBSTITUTE(SUBSTITUTE(SUBSTITUTE(SUBSTITUTE(SUBSTITUTE(SUBSTITUTE(SUBSTITUTE(SUBSTITUTE(SUBSTITUTE(LOWER(V324&amp;""),CHAR(10),""),CHAR(13),""),CHAR(9),""),CHAR(160),"")," ",""),".",""),"-",""),"/",""),"?",""),"_",""),",",""),"[",""),"]",""),"(",""),")",""),"*","")</f>
        <v/>
      </c>
      <c r="AW324" s="61" t="str">
        <f aca="false">SUBSTITUTE(SUBSTITUTE(SUBSTITUTE(SUBSTITUTE(SUBSTITUTE(SUBSTITUTE(SUBSTITUTE(SUBSTITUTE(SUBSTITUTE(SUBSTITUTE(SUBSTITUTE(SUBSTITUTE(SUBSTITUTE(SUBSTITUTE(SUBSTITUTE(SUBSTITUTE(LOWER(Z324&amp;""),CHAR(10),""),CHAR(13),""),CHAR(9),""),CHAR(160),"")," ",""),".",""),"-",""),"/",""),"?",""),"_",""),",",""),"[",""),"]",""),"(",""),")",""),"*","")</f>
        <v/>
      </c>
      <c r="AX324" s="61" t="str">
        <f aca="false">SUBSTITUTE(SUBSTITUTE(SUBSTITUTE(SUBSTITUTE(SUBSTITUTE(SUBSTITUTE(SUBSTITUTE(SUBSTITUTE(SUBSTITUTE(SUBSTITUTE(SUBSTITUTE(SUBSTITUTE(SUBSTITUTE(SUBSTITUTE(SUBSTITUTE(SUBSTITUTE(LOWER(AE324&amp;""),CHAR(10),""),CHAR(13),""),CHAR(9),""),CHAR(160),"")," ",""),".",""),"-",""),"/",""),"?",""),"_",""),",",""),"[",""),"]",""),"(",""),")",""),"*","")</f>
        <v/>
      </c>
      <c r="AY324" s="61" t="str">
        <f aca="false">SUBSTITUTE(SUBSTITUTE(SUBSTITUTE(SUBSTITUTE(SUBSTITUTE(SUBSTITUTE(SUBSTITUTE(SUBSTITUTE(SUBSTITUTE(SUBSTITUTE(SUBSTITUTE(SUBSTITUTE(SUBSTITUTE(SUBSTITUTE(SUBSTITUTE(SUBSTITUTE(LOWER(W324&amp;""),CHAR(10),""),CHAR(13),""),CHAR(9),""),CHAR(160),"")," ",""),".",""),"-",""),"/",""),"?",""),"_",""),",",""),"[",""),"]",""),"(",""),")",""),"*","")</f>
        <v/>
      </c>
      <c r="AZ324" s="61" t="str">
        <f aca="false">SUBSTITUTE(SUBSTITUTE(SUBSTITUTE(SUBSTITUTE(SUBSTITUTE(SUBSTITUTE(SUBSTITUTE(SUBSTITUTE(SUBSTITUTE(SUBSTITUTE(SUBSTITUTE(SUBSTITUTE(SUBSTITUTE(SUBSTITUTE(SUBSTITUTE(SUBSTITUTE(LOWER(AC324&amp;""),CHAR(10),""),CHAR(13),""),CHAR(9),""),CHAR(160),"")," ",""),".",""),"-",""),"/",""),"?",""),"_",""),",",""),"[",""),"]",""),"(",""),")",""),"*","")</f>
        <v/>
      </c>
      <c r="BA324" s="61" t="str">
        <f aca="false">SUBSTITUTE(SUBSTITUTE(SUBSTITUTE(SUBSTITUTE(SUBSTITUTE(SUBSTITUTE(SUBSTITUTE(SUBSTITUTE(SUBSTITUTE(SUBSTITUTE(SUBSTITUTE(SUBSTITUTE(SUBSTITUTE(SUBSTITUTE(SUBSTITUTE(SUBSTITUTE(LOWER(AA324&amp;""),CHAR(10),""),CHAR(13),""),CHAR(9),""),CHAR(160),"")," ",""),".",""),"-",""),"/",""),"?",""),"_",""),",",""),"[",""),"]",""),"(",""),")",""),"*","")</f>
        <v/>
      </c>
      <c r="BB324" s="61" t="str">
        <f aca="false">IF(AND(TRIM(U324)="Pass",ISNUMBER(AF324)),IF(AF324&lt;&gt;0,"INVALID – qty variance: use Fail or Pass after CA",""),"")&amp;IF(AND(TRIM(U324)="Pass after CA",ISNUMBER(AF324)),IF(AF324&lt;&gt;0,"INVALID – after the corrective action the actual qty must equal expected (update Actual)",""),"")&amp;IF(AND(TRIM(U324)="Pass",TRIM(AB324)&lt;&gt;"",TRIM(AB324)&lt;&gt;"Closed"),"INVALID – corrective action not closed: use Fail, then Pass after CA","")&amp;IF(AND(LEN(BA324)&gt;=2,ISNA(MATCH(LEFT(BA324,255),L_Placeholder,0)),TRIM(AB324)=""),"INVALID – CA status missing for the recorded corrective action","")&amp;IF(AND(TRIM(U324)="Pass after CA",OR(OR(LEN(BA324)&lt;5,ISNUMBER(MATCH(BA324,L_Placeholder,0))),TRIM(AB324)&lt;&gt;"Closed")),"INVALID – corrective action not recorded/closed","")</f>
        <v/>
      </c>
      <c r="BC324" s="61" t="str">
        <f aca="false">" "&amp;TRIM(SUBSTITUTE(SUBSTITUTE(SUBSTITUTE(SUBSTITUTE(SUBSTITUTE(SUBSTITUTE(SUBSTITUTE(SUBSTITUTE(SUBSTITUTE(SUBSTITUTE(SUBSTITUTE(SUBSTITUTE(SUBSTITUTE(SUBSTITUTE(SUBSTITUTE(SUBSTITUTE(SUBSTITUTE(SUBSTITUTE(SUBSTITUTE(SUBSTITUTE(SUBSTITUTE(SUBSTITUTE(SUBSTITUTE(SUBSTITUTE(LOWER(V324&amp;""),CHAR(10)," "),CHAR(13)," "),CHAR(9)," "),CHAR(160)," "),"."," "),","," "),"-"," "),"/"," "),"("," "),")"," "),":"," "),";"," "),"_"," "),"–"," "),"?"," "),"!"," "),"*"," "),"["," "),"]"," "),"'"," "),"#"," "),"+"," "),"&amp;"," "),"\"," "))&amp;" "</f>
        <v>  </v>
      </c>
      <c r="BD324" s="61" t="str">
        <f aca="false">" "&amp;TRIM(SUBSTITUTE(SUBSTITUTE(SUBSTITUTE(SUBSTITUTE(SUBSTITUTE(SUBSTITUTE(SUBSTITUTE(SUBSTITUTE(SUBSTITUTE(SUBSTITUTE(SUBSTITUTE(SUBSTITUTE(SUBSTITUTE(SUBSTITUTE(SUBSTITUTE(SUBSTITUTE(SUBSTITUTE(SUBSTITUTE(SUBSTITUTE(SUBSTITUTE(SUBSTITUTE(SUBSTITUTE(SUBSTITUTE(SUBSTITUTE(LOWER(Z324&amp;""),CHAR(10)," "),CHAR(13)," "),CHAR(9)," "),CHAR(160)," "),"."," "),","," "),"-"," "),"/"," "),"("," "),")"," "),":"," "),";"," "),"_"," "),"–"," "),"?"," "),"!"," "),"*"," "),"["," "),"]"," "),"'"," "),"#"," "),"+"," "),"&amp;"," "),"\"," "))&amp;" "</f>
        <v>  </v>
      </c>
      <c r="BE324" s="61" t="str">
        <f aca="false">" "&amp;TRIM(SUBSTITUTE(SUBSTITUTE(SUBSTITUTE(SUBSTITUTE(SUBSTITUTE(SUBSTITUTE(SUBSTITUTE(SUBSTITUTE(SUBSTITUTE(SUBSTITUTE(SUBSTITUTE(SUBSTITUTE(SUBSTITUTE(SUBSTITUTE(SUBSTITUTE(SUBSTITUTE(SUBSTITUTE(SUBSTITUTE(SUBSTITUTE(SUBSTITUTE(SUBSTITUTE(SUBSTITUTE(SUBSTITUTE(SUBSTITUTE(LOWER(W324&amp;""),CHAR(10)," "),CHAR(13)," "),CHAR(9)," "),CHAR(160)," "),"."," "),","," "),"-"," "),"/"," "),"("," "),")"," "),":"," "),";"," "),"_"," "),"–"," "),"?"," "),"!"," "),"*"," "),"["," "),"]"," "),"'"," "),"#"," "),"+"," "),"&amp;"," "),"\"," "))&amp;" "</f>
        <v>  </v>
      </c>
      <c r="BF324" s="61" t="str">
        <f aca="false">" "&amp;TRIM(SUBSTITUTE(SUBSTITUTE(SUBSTITUTE(SUBSTITUTE(SUBSTITUTE(SUBSTITUTE(SUBSTITUTE(SUBSTITUTE(SUBSTITUTE(SUBSTITUTE(SUBSTITUTE(SUBSTITUTE(SUBSTITUTE(SUBSTITUTE(SUBSTITUTE(SUBSTITUTE(SUBSTITUTE(SUBSTITUTE(SUBSTITUTE(SUBSTITUTE(SUBSTITUTE(SUBSTITUTE(SUBSTITUTE(SUBSTITUTE(LOWER(AC324&amp;""),CHAR(10)," "),CHAR(13)," "),CHAR(9)," "),CHAR(160)," "),"."," "),","," "),"-"," "),"/"," "),"("," "),")"," "),":"," "),";"," "),"_"," "),"–"," "),"?"," "),"!"," "),"*"," "),"["," "),"]"," "),"'"," "),"#"," "),"+"," "),"&amp;"," "),"\"," "))&amp;" "</f>
        <v>  </v>
      </c>
      <c r="BG324" s="61" t="n">
        <f aca="false">IFERROR(IF(AND(TRIM(U324)="Pass",SUMPRODUCT((LEN(BC324)-LEN(SUBSTITUTE(BC324," "&amp;L_ResultBad&amp;" "," ")))/(LEN(L_ResultBad)+1))&gt;SUMPRODUCT((LEN(BC324)-LEN(SUBSTITUTE(BC324," "&amp;L_NegPhrase&amp;" "," ")))/(LEN(L_NegPhrase)+1))),1,0),0)</f>
        <v>0</v>
      </c>
      <c r="BH324" s="61" t="n">
        <f aca="false">IFERROR(IF(SUMPRODUCT((LEN(BC324)-LEN(SUBSTITUTE(BC324," "&amp;L_Pending&amp;" "," ")))/(LEN(L_Pending)+1))&gt;SUMPRODUCT((LEN(BC324)-LEN(SUBSTITUTE(BC324," "&amp;L_PendNeg&amp;" "," ")))/(LEN(L_PendNeg)+1))+SUMPRODUCT((LEN(BC324)-LEN(SUBSTITUTE(BC324," "&amp;L_PendPrep&amp;" "," ")))/(LEN(L_PendPrep)+1)),1,0),1)</f>
        <v>0</v>
      </c>
      <c r="BI324" s="61" t="n">
        <f aca="false">IFERROR(IF(SUMPRODUCT((LEN(BD324)-LEN(SUBSTITUTE(BD324," "&amp;L_PendStrict&amp;" "," ")))/(LEN(L_PendStrict)+1))&gt;SUMPRODUCT((LEN(BD324)-LEN(SUBSTITUTE(BD324," "&amp;L_PendNeg&amp;" "," ")))/(LEN(L_PendNeg)+1)),1,0),1)</f>
        <v>0</v>
      </c>
      <c r="BJ324" s="61" t="n">
        <f aca="false">IFERROR(IF(SUMPRODUCT((LEN(BE324)-LEN(SUBSTITUTE(BE324," "&amp;L_Pending&amp;" "," ")))/(LEN(L_Pending)+1))&gt;SUMPRODUCT((LEN(BE324)-LEN(SUBSTITUTE(BE324," "&amp;L_PendNeg&amp;" "," ")))/(LEN(L_PendNeg)+1))+SUMPRODUCT((LEN(BE324)-LEN(SUBSTITUTE(BE324," "&amp;L_PendPrep&amp;" "," ")))/(LEN(L_PendPrep)+1)),1,0),1)</f>
        <v>0</v>
      </c>
      <c r="BK324" s="61" t="n">
        <f aca="false">IFERROR(IF(SUMPRODUCT((LEN(BF324)-LEN(SUBSTITUTE(BF324," "&amp;L_PendStrict&amp;" "," ")))/(LEN(L_PendStrict)+1))&gt;SUMPRODUCT((LEN(BF324)-LEN(SUBSTITUTE(BF324," "&amp;L_PendNeg&amp;" "," ")))/(LEN(L_PendNeg)+1)),1,0),1)</f>
        <v>0</v>
      </c>
      <c r="BL324" s="61" t="n">
        <f aca="false">IF(ISNA(MATCH(TRIM(S324),L_EvidenceType,0)),0,BZ324)</f>
        <v>0</v>
      </c>
      <c r="BM324" s="61" t="str">
        <f aca="false">SUBSTITUTE(SUBSTITUTE(SUBSTITUTE(SUBSTITUTE(SUBSTITUTE(SUBSTITUTE(SUBSTITUTE(SUBSTITUTE(SUBSTITUTE(LOWER(Z324&amp;""),"1","0"),"2","0"),"3","0"),"4","0"),"5","0"),"6","0"),"7","0"),"8","0"),"9","0")</f>
        <v/>
      </c>
      <c r="BN324" s="61" t="str">
        <f aca="false">SUBSTITUTE(SUBSTITUTE(SUBSTITUTE(SUBSTITUTE(SUBSTITUTE(SUBSTITUTE(SUBSTITUTE(SUBSTITUTE(SUBSTITUTE(SUBSTITUTE(SUBSTITUTE(SUBSTITUTE(SUBSTITUTE(SUBSTITUTE(SUBSTITUTE(SUBSTITUTE(SUBSTITUTE(SUBSTITUTE(SUBSTITUTE(SUBSTITUTE(SUBSTITUTE(SUBSTITUTE(SUBSTITUTE(SUBSTITUTE(SUBSTITUTE(BM324,"b","a"),"c","a"),"d","a"),"e","a"),"f","a"),"g","a"),"h","a"),"i","a"),"j","a"),"k","a"),"l","a"),"m","a"),"n","a"),"o","a"),"p","a"),"q","a"),"r","a"),"s","a"),"t","a"),"u","a"),"v","a"),"w","a"),"x","a"),"y","a"),"z","a")</f>
        <v/>
      </c>
      <c r="BO324" s="61" t="str">
        <f aca="false">SUBSTITUTE(SUBSTITUTE(SUBSTITUTE(SUBSTITUTE(SUBSTITUTE(SUBSTITUTE(SUBSTITUTE(SUBSTITUTE(SUBSTITUTE(LOWER(W324&amp;""),"1","0"),"2","0"),"3","0"),"4","0"),"5","0"),"6","0"),"7","0"),"8","0"),"9","0")</f>
        <v/>
      </c>
      <c r="BP324" s="61" t="str">
        <f aca="false">SUBSTITUTE(SUBSTITUTE(SUBSTITUTE(SUBSTITUTE(SUBSTITUTE(SUBSTITUTE(SUBSTITUTE(SUBSTITUTE(SUBSTITUTE(SUBSTITUTE(SUBSTITUTE(SUBSTITUTE(SUBSTITUTE(SUBSTITUTE(SUBSTITUTE(SUBSTITUTE(SUBSTITUTE(SUBSTITUTE(SUBSTITUTE(SUBSTITUTE(SUBSTITUTE(SUBSTITUTE(SUBSTITUTE(SUBSTITUTE(SUBSTITUTE(BO324,"b","a"),"c","a"),"d","a"),"e","a"),"f","a"),"g","a"),"h","a"),"i","a"),"j","a"),"k","a"),"l","a"),"m","a"),"n","a"),"o","a"),"p","a"),"q","a"),"r","a"),"s","a"),"t","a"),"u","a"),"v","a"),"w","a"),"x","a"),"y","a"),"z","a")</f>
        <v/>
      </c>
      <c r="BQ324" s="61" t="n">
        <f aca="false">IFERROR(IF(AND(ISERROR(SEARCH(" mh"," "&amp;LOWER(W324))),ISNA(MATCH(LEFT(TRIM(BP324),255),{"0000a","000a","00a","0000aa","000aa","00aa","0aa","0000aaa","000aaa","00a00","0a00","0000-0000","00:00","a00","a0","00.00.0000","00/00/0000","00-00-0000","0000-00-00","0000/00/00","0000.00.00","00.00.00","00/00/00","00-00-00","0.00.0000","0/00/0000","0-00-0000"},0)),ISNA(MATCH(LEFT(TRIM(CA324),255),{"0000a","000a","00a","0000aa","000aa","00aa","0aa","0000aaa","000aaa","00a00","0a00","0000-0000","00:00","a00","a0","00.00.0000","00/00/0000","00-00-0000","0000-00-00","0000/00/00","0000.00.00","00.00.00","00/00/00","00-00-00","0.00.0000","0/00/0000","0-00-0000"},0)),LEN(CB324)&gt;=3,NOT(OR(SUBSTITUTE(CB324,"0","")="",AND(LEN(CB324)&gt;=4,CB324=REPT(LEFT(CB324),LEN(CB324))),ISNUMBER(MATCH(CB324,{"123","1234","12345","123456","1234567","12345678","0123","01234","012345","98765","987654","54321"},0)),AND(LEN(CB324)=8,LEFT(CB324,3)="202"))),OR(AND((LEN(CA324)-LEN(SUBSTITUTE(CA324,"a","")))&gt;=1,SUMPRODUCT(--ISNUMBER(SEARCH({"a0","a-0","a_0","a/0","a.0","a#0","0a","0-a","0_a","0/a"},BP324)))&gt;0),ISNUMBER(SEARCH("000000",BP324)))),1,0),0)</f>
        <v>0</v>
      </c>
      <c r="BR324" s="61" t="n">
        <f aca="false">IFERROR(LEN(SUBSTITUTE(CC324," ",""))-SUMPRODUCT((LEN(CC324)-LEN(SUBSTITUTE(CC324," "&amp;L_Role&amp;" "," ")))/(LEN(L_Role)+1)*LEN(L_Role)),0)</f>
        <v>0</v>
      </c>
      <c r="BS324" s="61" t="n">
        <f aca="false">IFERROR(LEN(SUBSTITUTE(CD324," ",""))-SUMPRODUCT((LEN(CD324)-LEN(SUBSTITUTE(CD324," "&amp;L_Role&amp;" "," ")))/(LEN(L_Role)+1)*LEN(L_Role)),0)</f>
        <v>0</v>
      </c>
      <c r="BT3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324,"revision",""),"version",""),"jan",""),"feb",""),"mar",""),"apr",""),"may",""),"jun",""),"jul",""),"aug",""),"sep",""),"oct",""),"nov",""),"dec",""),"utc",""),"gmt",""),"myt",""),"bst",""),"rev",""),"ver",""),"b","a"),"c","a"),"d","a"),"e","a"),"f","a"),"g","a"),"h","a"),"i","a"),"j","a"),"k","a"),"l","a"),"m","a"),"n","a"),"o","a"),"p","a"),"q","a"),"r","a"),"s","a"),"t","a"),"u","a"),"v","a"),"w","a"),"x","a"),"y","a"),"z","a")</f>
        <v/>
      </c>
      <c r="BU324" s="61" t="str">
        <f aca="false">SUBSTITUTE(SUBSTITUTE(SUBSTITUTE(SUBSTITUTE(SUBSTITUTE(SUBSTITUTE(SUBSTITUTE(SUBSTITUTE(SUBSTITUTE(SUBSTITUTE(LEFT(BM324,FIND("0",BM324&amp;"0")-1),"-",""),"_",""),"/",""),".",""),"#",""),"\\",""),":","")," ",""),"(",""),")","")</f>
        <v/>
      </c>
      <c r="BV324" s="61" t="n">
        <f aca="false">0</f>
        <v>0</v>
      </c>
      <c r="BW3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324&amp;""),"a",""),"b",""),"c",""),"d",""),"e",""),"f",""),"g",""),"h",""),"i",""),"j",""),"k",""),"l",""),"m",""),"n",""),"o",""),"p",""),"q",""),"r",""),"s",""),"t",""),"u",""),"v",""),"w",""),"x",""),"y",""),"z",""),"-",""),"_",""),"/",""),".",""),"#",""),"\\",""),":","")," ",""),"(",""),")","")</f>
        <v/>
      </c>
      <c r="BX324" s="61" t="str">
        <f aca="false">SUBSTITUTE(SUBSTITUTE(SUBSTITUTE(SUBSTITUTE(SUBSTITUTE(SUBSTITUTE(SUBSTITUTE(SUBSTITUTE(SUBSTITUTE(SUBSTITUTE(SUBSTITUTE(BM324,"0",""),"-",""),"_",""),"/",""),".",""),"#",""),"\\",""),":","")," ",""),"(",""),")","")</f>
        <v/>
      </c>
      <c r="BY324" s="62" t="n">
        <f aca="false">Q324-T7EarlyD*24/24</f>
        <v>46286.15625</v>
      </c>
      <c r="BZ324" s="61" t="n">
        <f aca="false">IFERROR(IF(IF(TRIM(S324)="Link / file path",AND(LEN(TRIM(Z324))&gt;=5,SUMPRODUCT(--ISNUMBER(SEARCH({"http","www.","\\",":\",".pdf",".jpg",".jpeg",".png",".heic",".xls",".doc",".msg",".eml",".ppt",".txt",".zip"},Z324)))&gt;0),AND(ISERROR(FIND(" ",TRIM(Z324))),NOT(OR(SUMPRODUCT(--ISNUMBER(FIND({",",";","&amp;","+"},Z324)))&gt;0,SUMPRODUCT(--ISNUMBER(SEARCH({"0/aa","0\\aa"},BN324)))&gt;0)),NOT(SUMPRODUCT(--ISNUMBER(SEARCH({"http","www.","\\",":\",".pdf",".jpg",".jpeg",".png",".heic",".xls",".doc",".msg",".eml",".ppt",".txt",".zip"},Z324)))&gt;0),NOT(LOWER(TRIM(Z324))=LOWER(Flights!$F$14)),ISNA(MATCH(BU324,{"mh","rev","revision","ver","version","v","r","a","b","seat","tray","row","gate","bay","stand","page","pg","item","line","no","cart","galley","flight","flt","table","box","bag","oven","etd","eta","std","sta","atd","ata","qty","pax","x","time","tel","ph","mob","day","wk","week","utc","gmt","myt","lt"},0)),NOT(OR(ISNUMBER(MATCH(LEFT(BN324,255),{"0000a","000a","00a","0000aa","000aa","00aa","0aa","0000aaa","000aaa","00a00","0a00","0000-0000","00:00","a00","a0","00.00.0000","00/00/0000","00-00-0000","0000-00-00","0000/00/00","0000.00.00","00.00.00","00/00/00","00-00-00","0.00.0000","0/00/0000","0-00-0000"},0)),ISNUMBER(MATCH(LEFT(BT324,255),{"0000a","000a","00a","0000aa","000aa","00aa","0aa","0000aaa","000aaa","00a00","0a00","0000-0000","00:00","a00","a0","00.00.0000","00/00/0000","00-00-0000","0000-00-00","0000/00/00","0000.00.00","00.00.00","00/00/00","00-00-00","0.00.0000","0/00/0000","0-00-0000"},0)))),NOT(OR(AND(BW324&lt;&gt;"",SUBSTITUTE(BW324,"0","")=""),AND(LEN(BW324)&gt;=4,BW324=REPT(LEFT(BW324),LEN(BW324))),ISNUMBER(MATCH(BW324,{"123","1234","12345","123456","1234567","12345678","0123","01234","012345","98765","987654","54321"},0)),ISNUMBER(MATCH(BX324,{"x","xx","xxx","xxxx","xxxxx","abc","abcd","nil","na","nan","test","tbc","tba","tbd","dummy","sample","example","eg","zz","zzz","none","null","xyz","qwe","asd","id","ref"},0)),AND(LEN(BW324)=8,BX324="",OR(LEFT(BW324,3)="202",ISNUMBER(MATCH(RIGHT(BW324,4),{"2025","2026","2027"},0)))))),OR(AND((LEN(BT324)-LEN(SUBSTITUTE(BT324,"a","")))&gt;=1,(LEN(BN324)-LEN(SUBSTITUTE(BN324,"0","")))&gt;=2,SUMPRODUCT(--ISNUMBER(SEARCH({"a0","a-0","a_0","a/0","a.0","a#0","0a","0-a","0_a","0/a"},BN324)))&gt;0),AND((LEN(BN324)-LEN(SUBSTITUTE(BN324,"a","")))=0,(LEN(BN324)-LEN(SUBSTITUTE(BN324,"0","")))&gt;=5)))),1,0),0)</f>
        <v>0</v>
      </c>
      <c r="CA3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324,"revision",""),"version",""),"jan",""),"feb",""),"mar",""),"apr",""),"may",""),"jun",""),"jul",""),"aug",""),"sep",""),"oct",""),"nov",""),"dec",""),"utc",""),"gmt",""),"myt",""),"bst",""),"rev",""),"ver",""),"b","a"),"c","a"),"d","a"),"e","a"),"f","a"),"g","a"),"h","a"),"i","a"),"j","a"),"k","a"),"l","a"),"m","a"),"n","a"),"o","a"),"p","a"),"q","a"),"r","a"),"s","a"),"t","a"),"u","a"),"v","a"),"w","a"),"x","a"),"y","a"),"z","a")</f>
        <v/>
      </c>
      <c r="CB3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324&amp;""),"a",""),"b",""),"c",""),"d",""),"e",""),"f",""),"g",""),"h",""),"i",""),"j",""),"k",""),"l",""),"m",""),"n",""),"o",""),"p",""),"q",""),"r",""),"s",""),"t",""),"u",""),"v",""),"w",""),"x",""),"y",""),"z",""),"-",""),"_",""),"/",""),".",""),"#",""),"\\",""),":","")," ",""),"(",""),")","")</f>
        <v/>
      </c>
      <c r="CC324" s="0" t="str">
        <f aca="false">" "&amp;TRIM(SUBSTITUTE(SUBSTITUTE(SUBSTITUTE(SUBSTITUTE(SUBSTITUTE(SUBSTITUTE(SUBSTITUTE(SUBSTITUTE(SUBSTITUTE(SUBSTITUTE(SUBSTITUTE(SUBSTITUTE(SUBSTITUTE(SUBSTITUTE(SUBSTITUTE(SUBSTITUTE(SUBSTITUTE(SUBSTITUTE(SUBSTITUTE(SUBSTITUTE(SUBSTITUTE(SUBSTITUTE(SUBSTITUTE(SUBSTITUTE(LOWER(T324&amp;""),CHAR(10)," "),CHAR(13)," "),CHAR(9)," "),CHAR(160)," "),"."," "),","," "),"-"," "),"/"," "),"("," "),")"," "),":"," "),";"," "),"_"," "),"–"," "),"?"," "),"!"," "),"*"," "),"["," "),"]"," "),"'"," "),"#"," "),"+"," "),"&amp;"," "),"\"," "))&amp;" "</f>
        <v>  </v>
      </c>
      <c r="CD324" s="0" t="str">
        <f aca="false">" "&amp;TRIM(SUBSTITUTE(SUBSTITUTE(SUBSTITUTE(SUBSTITUTE(SUBSTITUTE(SUBSTITUTE(SUBSTITUTE(SUBSTITUTE(SUBSTITUTE(SUBSTITUTE(SUBSTITUTE(SUBSTITUTE(SUBSTITUTE(SUBSTITUTE(SUBSTITUTE(SUBSTITUTE(SUBSTITUTE(SUBSTITUTE(SUBSTITUTE(SUBSTITUTE(SUBSTITUTE(SUBSTITUTE(SUBSTITUTE(SUBSTITUTE(LOWER(AE324&amp;""),CHAR(10)," "),CHAR(13)," "),CHAR(9)," "),CHAR(160)," "),"."," "),","," "),"-"," "),"/"," "),"("," "),")"," "),":"," "),";"," "),"_"," "),"–"," "),"?"," "),"!"," "),"*"," "),"["," "),"]"," "),"'"," "),"#"," "),"+"," "),"&amp;"," "),"\"," "))&amp;" "</f>
        <v>  </v>
      </c>
      <c r="CE324" s="68" t="n">
        <f aca="false">IFERROR(IF(AND(LEN(AU324)&gt;0,LEN(AU324)=LEN(AX324),OR(TRIM(MID(SUBSTITUTE(TRIM(CC324)," ",REPT(" ",60)),1,60))="",ISNUMBER(SEARCH(" "&amp;TRIM(MID(SUBSTITUTE(TRIM(CC324)," ",REPT(" ",60)),1,60))&amp;" ",CD324))),OR(TRIM(MID(SUBSTITUTE(TRIM(CC324)," ",REPT(" ",60)),61,60))="",ISNUMBER(SEARCH(" "&amp;TRIM(MID(SUBSTITUTE(TRIM(CC324)," ",REPT(" ",60)),61,60))&amp;" ",CD324))),OR(TRIM(MID(SUBSTITUTE(TRIM(CC324)," ",REPT(" ",60)),121,60))="",ISNUMBER(SEARCH(" "&amp;TRIM(MID(SUBSTITUTE(TRIM(CC324)," ",REPT(" ",60)),121,60))&amp;" ",CD324)))),1,0),0)</f>
        <v>0</v>
      </c>
      <c r="CG324" s="68" t="n">
        <f aca="false">IFERROR(LEN(SUBSTITUTE(BF324," ",""))-SUMPRODUCT((LEN(BF324)-LEN(SUBSTITUTE(BF324," "&amp;L_NAFiller&amp;" "," ")))/(LEN(L_NAFiller)+1)*LEN(L_NAFiller)),0)</f>
        <v>0</v>
      </c>
    </row>
    <row r="325" customFormat="false" ht="39.75" hidden="false" customHeight="true" outlineLevel="0" collapsed="false">
      <c r="A325" s="57" t="s">
        <v>916</v>
      </c>
      <c r="B325" s="57" t="s">
        <v>251</v>
      </c>
      <c r="C325" s="57" t="str">
        <f aca="false">Flights!$F$14</f>
        <v>MH1140</v>
      </c>
      <c r="D325" s="58" t="n">
        <f aca="false">Flights!$D$14</f>
        <v>46307</v>
      </c>
      <c r="E325" s="57" t="str">
        <f aca="false">Flights!$G$14&amp;"-"&amp;Flights!$H$14</f>
        <v>KUL-PEN</v>
      </c>
      <c r="F325" s="57" t="str">
        <f aca="false">Flights!$K$14</f>
        <v>BC</v>
      </c>
      <c r="G325" s="57" t="s">
        <v>81</v>
      </c>
      <c r="H325" s="57" t="s">
        <v>378</v>
      </c>
      <c r="I325" s="57" t="s">
        <v>394</v>
      </c>
      <c r="J325" s="57" t="s">
        <v>395</v>
      </c>
      <c r="K325" s="67" t="s">
        <v>396</v>
      </c>
      <c r="L325" s="67" t="s">
        <v>382</v>
      </c>
      <c r="M325" s="67"/>
      <c r="N325" s="67" t="s">
        <v>383</v>
      </c>
      <c r="O325" s="67"/>
      <c r="P325" s="57" t="s">
        <v>187</v>
      </c>
      <c r="Q325" s="59" t="n">
        <f aca="false">ROUND((Flights!$AC$14)*1440,0)/1440</f>
        <v>46300.15625</v>
      </c>
      <c r="R325" s="59" t="n">
        <f aca="false">Q325+(IF(AND(INDEX(TZ_DSTS,MATCH(P325,TZ_STN,0))&lt;&gt;"",Q325&gt;=INDEX(TZ_DSTS,MATCH(P325,TZ_STN,0)),Q325&lt;INDEX(TZ_DSTE,MATCH(P325,TZ_STN,0))),INDEX(TZ_DST,MATCH(P325,TZ_STN,0)),INDEX(TZ_STD,MATCH(P325,TZ_STN,0))))/24</f>
        <v>46300.4895833333</v>
      </c>
      <c r="S325" s="60"/>
      <c r="T325" s="60"/>
      <c r="U325" s="60"/>
      <c r="V325" s="60"/>
      <c r="W325" s="61"/>
      <c r="X325" s="60"/>
      <c r="Y325" s="60"/>
      <c r="Z325" s="60"/>
      <c r="AA325" s="60"/>
      <c r="AB325" s="60"/>
      <c r="AC325" s="60"/>
      <c r="AD325" s="66"/>
      <c r="AE325" s="60"/>
      <c r="AF325" s="61" t="str">
        <f aca="false">IF(AND(ISNUMBER(X325),ISNUMBER(Y325)),Y325-X325,"")</f>
        <v/>
      </c>
      <c r="AG325" s="62" t="str">
        <f aca="false">IF(ISNUMBER(AD325),AD325-(IF(AND(INDEX(TZ_DSTS,MATCH(P325,TZ_STN,0))&lt;&gt;"",(AD325-INDEX(TZ_STD,MATCH(P325,TZ_STN,0))/24)&gt;=INDEX(TZ_DSTS,MATCH(P325,TZ_STN,0)),(AD325-INDEX(TZ_STD,MATCH(P325,TZ_STN,0))/24)&lt;INDEX(TZ_DSTE,MATCH(P325,TZ_STN,0))),INDEX(TZ_DST,MATCH(P325,TZ_STN,0)),INDEX(TZ_STD,MATCH(P325,TZ_STN,0))))/24,"")</f>
        <v/>
      </c>
      <c r="AH325" s="65" t="str">
        <f aca="false">IFERROR(IF(N325="N/A – rule",IF(OR(TRIM(U325)="",TRIM(U325)="N/A",TRIM(U325)="Not started"),"N/A – RULE","INVALID – this check does not apply to this aircraft: clear the status (or correct the fleet on Flights)"),IF(TRIM(U325)="N/A",IF(AT325=0,"INVALID – N/A not permitted for this check",IF(AND(TRIM(AB325)&lt;&gt;"",TRIM(AB325)&lt;&gt;"Closed"),"INVALID – corrective action still open",IF(AND(NOT(OR(LEN(AZ325)&lt;15,ISNUMBER(MATCH(AZ325,L_Placeholder,0)))),BK325=0,CG325&gt;=8,NOT(OR(LEN(AU325)&lt;2,ISNUMBER(MATCH(AU325,L_Placeholder,0)))),BR325&gt;=3,NOT(OR(LEN(AX325)&lt;2,ISNUMBER(MATCH(AX325,L_Placeholder,0)))),BS325&gt;=3,TRIM(AE325)&lt;&gt;TRIM(T325),AX325&lt;&gt;AU325,CE325=0),"N/A – JUSTIFIED","INVALID – N/A needs a real, settled reason (not 'not applicable' / 'as above' / TBC), a named PIC and a different named verifier"))),IF(OR(TRIM(U325)="Pass",TRIM(U325)="Pass after CA"),IF(NOT(ISNUMBER(AD325)),"INVALID – completion time missing",IF(OR(OR(LEN(AU325)&lt;2,ISNUMBER(MATCH(AU325,L_Placeholder,0))),BR325&lt;3),"INVALID – PIC missing or not a named person (a role such as QA / CSM is not a name)",IF(OR(LEN(AV325)&lt;2,ISNUMBER(MATCH(AV325,L_Placeholder,0))),"INVALID – result / assessment missing",IF(OR(OR(LEN(AW325)&lt;3,ISNUMBER(MATCH(AW325,L_Placeholder,0))),SUMPRODUCT(--ISNUMBER(SEARCH(" "&amp;L_EvidencePhrase&amp;" ",BD325)))&gt;0,BI325=1),"INVALID – evidence missing, placeholder or not yet on file",IF(ISNA(MATCH(TRIM(S325),L_EvidenceType,0)),"INVALID – choose the evidence type from the list (column S)",IF(BL325=0,"INVALID – evidence ID must be the record's own ID only (e.g. SF-2210, IMG_2231, 1045521); a link / file name needs type 'Link / file path'",IF(OR(OR(LEN(AX325)&lt;2,ISNUMBER(MATCH(AX325,L_Placeholder,0))),BS325&lt;3),"INVALID – verifier missing or not a named person (a role such as QA / CSM is not a name)",IF(OR(AX325=AU325,CE325=1,AND(LEN(AU325)&gt;=4,ISNUMBER(SEARCH(AU325,AX325))),AND(LEN(AX325)&gt;=4,ISNUMBER(SEARCH(AX325,AU325)))),"INVALID – verifier must be a different, named person (not the PIC or a role)",IF(BH325=1,"INVALID – result not yet available (awaiting / TBC)",IF(BG325=1,"INVALID – result describes a problem: record Fail, then Pass after CA (or reword if it is not a problem)",IF(BV325=1,"INVALID – wording says not on board: an on-board confirmation needs the item loaded",IF(AND(AQ325=1,OR(OR(LEN(AY325)&lt;3,ISNUMBER(MATCH(AY325,L_Placeholder,0))),BJ325=1,BQ325=0)),"INVALID – batch ID missing, placeholder or not an ID (e.g. PASB-261008-BC-017)",IF(AND(AR325=1,OR(NOT(ISNUMBER(X325)),NOT(ISNUMBER(Y325)))),"INVALID – expected/actual qty missing",IF(AND(AR325=1,OR(X325&lt;=0,Y325&lt;0)),"INVALID – expected qty must be above 0 and actual not negative",IF(BB325&lt;&gt;"",BB325,IF(AND(AS325=1,Documents!$J$14&lt;&gt;"ON FILE"),"INVALID – GLD not on file (Documents sheet)",IF(AND(AS325=2,Documents!$O$14&lt;&gt;"ON FILE"),"INVALID – menu checklist not on file (Documents sheet)",IF(AND(AS325=3,NOT(ISNUMBER(Flights!$AX$14))),"INVALID – enter carrying flight KUL departure (Flights AX)",IF(AND(AS325=3,OR(Flights!$AZ$14&gt;Flights!$AA$14,Flights!$AX$14&lt;Flights!$AA$14-3)),"INVALID – carrying flight (Flights AX) cannot arrive before this leg's STD, or is over 3 days early",IF(AG325&gt;AsOfUTC,"INVALID – completion time is in the future",IF(AND(ISNUMBER(BY325),AG325&lt;BY325),IF(H325="Physical uplift","INVALID – before uplift window (cannot confirm loading)","INVALID – before valid window"),IF(AG325&gt;Flights!$AA$14,"INVALID – completed after departure (cannot establish readiness)",IF(AND(H325="Preparation",AG325&gt;=IF(ISNUMBER(Flights!$BA$14),MIN(Flights!$BA$14,Flights!$AA$14),Flights!$AA$14)),"INVALID – completed after loading / departure (cannot establish readiness)",IF(AND(H325="Physical uplift",AG325&gt;Q325),"INVALID – recorded after the loading flight departed",IF(AG325&gt;Q325,"COMPLETE – LATE","COMPLETE"))))))))))))))))))))))))),IF(TRIM(U325)="Fail","FAIL – DISCREPANCY",IF(AND(TRIM(U325)&lt;&gt;"",TRIM(U325)&lt;&gt;"Not started",TRIM(U325)&lt;&gt;"In progress"),"INVALID – unrecognised status (use the list)",IF(AsOfUTC&gt;Q325,"OVERDUE",IF(N325="Clarification required","OPEN – CLARIFICATION","OPEN"))))))),"INVALID – error value in an input cell")</f>
        <v>OPEN</v>
      </c>
      <c r="AI325" s="61" t="n">
        <f aca="false">IF(OR(AH325="N/A – RULE",AH325="N/A – JUSTIFIED"),0,1)</f>
        <v>1</v>
      </c>
      <c r="AJ325" s="61" t="n">
        <f aca="false">IF(LEFT(AH325,8)="COMPLETE",1,0)</f>
        <v>0</v>
      </c>
      <c r="AK325" s="61" t="n">
        <f aca="false">IF(AND(AI325=1,AJ325=0,AsOfUTC&gt;Q325),1,0)</f>
        <v>0</v>
      </c>
      <c r="AL325" s="61" t="n">
        <f aca="false">IFERROR(IF(AND(AI325=1,OR(TRIM(U325)="Fail",AND(TRIM(AB325)&lt;&gt;"",TRIM(AB325)&lt;&gt;"Closed"),AND(ISNUMBER(AF325),AF325&lt;&gt;0,TRIM(U325)&lt;&gt;"Pass after CA"))),1,0),1)</f>
        <v>0</v>
      </c>
      <c r="AM325" s="61" t="n">
        <f aca="false">IF(LEFT(AH325,7)="INVALID",1,0)</f>
        <v>0</v>
      </c>
      <c r="AN325" s="61" t="n">
        <f aca="false">IF(AND(N325="Clarification required",AI325=1,AJ325=0),1,0)</f>
        <v>0</v>
      </c>
      <c r="AO325" s="61" t="str">
        <f aca="false">IF(AK325=1,SUM(AK$5:AK325),"")</f>
        <v/>
      </c>
      <c r="AP325" s="61" t="str">
        <f aca="false">IF(AL325=1,SUM(AL$5:AL325),"")</f>
        <v/>
      </c>
      <c r="AQ325" s="61" t="n">
        <v>0</v>
      </c>
      <c r="AR325" s="61" t="n">
        <v>0</v>
      </c>
      <c r="AS325" s="61" t="n">
        <v>0</v>
      </c>
      <c r="AT325" s="61" t="n">
        <v>0</v>
      </c>
      <c r="AU325" s="61" t="str">
        <f aca="false">SUBSTITUTE(SUBSTITUTE(SUBSTITUTE(SUBSTITUTE(SUBSTITUTE(SUBSTITUTE(SUBSTITUTE(SUBSTITUTE(SUBSTITUTE(SUBSTITUTE(SUBSTITUTE(SUBSTITUTE(SUBSTITUTE(SUBSTITUTE(SUBSTITUTE(SUBSTITUTE(LOWER(T325&amp;""),CHAR(10),""),CHAR(13),""),CHAR(9),""),CHAR(160),"")," ",""),".",""),"-",""),"/",""),"?",""),"_",""),",",""),"[",""),"]",""),"(",""),")",""),"*","")</f>
        <v/>
      </c>
      <c r="AV325" s="61" t="str">
        <f aca="false">SUBSTITUTE(SUBSTITUTE(SUBSTITUTE(SUBSTITUTE(SUBSTITUTE(SUBSTITUTE(SUBSTITUTE(SUBSTITUTE(SUBSTITUTE(SUBSTITUTE(SUBSTITUTE(SUBSTITUTE(SUBSTITUTE(SUBSTITUTE(SUBSTITUTE(SUBSTITUTE(LOWER(V325&amp;""),CHAR(10),""),CHAR(13),""),CHAR(9),""),CHAR(160),"")," ",""),".",""),"-",""),"/",""),"?",""),"_",""),",",""),"[",""),"]",""),"(",""),")",""),"*","")</f>
        <v/>
      </c>
      <c r="AW325" s="61" t="str">
        <f aca="false">SUBSTITUTE(SUBSTITUTE(SUBSTITUTE(SUBSTITUTE(SUBSTITUTE(SUBSTITUTE(SUBSTITUTE(SUBSTITUTE(SUBSTITUTE(SUBSTITUTE(SUBSTITUTE(SUBSTITUTE(SUBSTITUTE(SUBSTITUTE(SUBSTITUTE(SUBSTITUTE(LOWER(Z325&amp;""),CHAR(10),""),CHAR(13),""),CHAR(9),""),CHAR(160),"")," ",""),".",""),"-",""),"/",""),"?",""),"_",""),",",""),"[",""),"]",""),"(",""),")",""),"*","")</f>
        <v/>
      </c>
      <c r="AX325" s="61" t="str">
        <f aca="false">SUBSTITUTE(SUBSTITUTE(SUBSTITUTE(SUBSTITUTE(SUBSTITUTE(SUBSTITUTE(SUBSTITUTE(SUBSTITUTE(SUBSTITUTE(SUBSTITUTE(SUBSTITUTE(SUBSTITUTE(SUBSTITUTE(SUBSTITUTE(SUBSTITUTE(SUBSTITUTE(LOWER(AE325&amp;""),CHAR(10),""),CHAR(13),""),CHAR(9),""),CHAR(160),"")," ",""),".",""),"-",""),"/",""),"?",""),"_",""),",",""),"[",""),"]",""),"(",""),")",""),"*","")</f>
        <v/>
      </c>
      <c r="AY325" s="61" t="str">
        <f aca="false">SUBSTITUTE(SUBSTITUTE(SUBSTITUTE(SUBSTITUTE(SUBSTITUTE(SUBSTITUTE(SUBSTITUTE(SUBSTITUTE(SUBSTITUTE(SUBSTITUTE(SUBSTITUTE(SUBSTITUTE(SUBSTITUTE(SUBSTITUTE(SUBSTITUTE(SUBSTITUTE(LOWER(W325&amp;""),CHAR(10),""),CHAR(13),""),CHAR(9),""),CHAR(160),"")," ",""),".",""),"-",""),"/",""),"?",""),"_",""),",",""),"[",""),"]",""),"(",""),")",""),"*","")</f>
        <v/>
      </c>
      <c r="AZ325" s="61" t="str">
        <f aca="false">SUBSTITUTE(SUBSTITUTE(SUBSTITUTE(SUBSTITUTE(SUBSTITUTE(SUBSTITUTE(SUBSTITUTE(SUBSTITUTE(SUBSTITUTE(SUBSTITUTE(SUBSTITUTE(SUBSTITUTE(SUBSTITUTE(SUBSTITUTE(SUBSTITUTE(SUBSTITUTE(LOWER(AC325&amp;""),CHAR(10),""),CHAR(13),""),CHAR(9),""),CHAR(160),"")," ",""),".",""),"-",""),"/",""),"?",""),"_",""),",",""),"[",""),"]",""),"(",""),")",""),"*","")</f>
        <v/>
      </c>
      <c r="BA325" s="61" t="str">
        <f aca="false">SUBSTITUTE(SUBSTITUTE(SUBSTITUTE(SUBSTITUTE(SUBSTITUTE(SUBSTITUTE(SUBSTITUTE(SUBSTITUTE(SUBSTITUTE(SUBSTITUTE(SUBSTITUTE(SUBSTITUTE(SUBSTITUTE(SUBSTITUTE(SUBSTITUTE(SUBSTITUTE(LOWER(AA325&amp;""),CHAR(10),""),CHAR(13),""),CHAR(9),""),CHAR(160),"")," ",""),".",""),"-",""),"/",""),"?",""),"_",""),",",""),"[",""),"]",""),"(",""),")",""),"*","")</f>
        <v/>
      </c>
      <c r="BB325" s="61" t="str">
        <f aca="false">IF(AND(TRIM(U325)="Pass",ISNUMBER(AF325)),IF(AF325&lt;&gt;0,"INVALID – qty variance: use Fail or Pass after CA",""),"")&amp;IF(AND(TRIM(U325)="Pass after CA",ISNUMBER(AF325)),IF(AF325&lt;&gt;0,"INVALID – after the corrective action the actual qty must equal expected (update Actual)",""),"")&amp;IF(AND(TRIM(U325)="Pass",TRIM(AB325)&lt;&gt;"",TRIM(AB325)&lt;&gt;"Closed"),"INVALID – corrective action not closed: use Fail, then Pass after CA","")&amp;IF(AND(LEN(BA325)&gt;=2,ISNA(MATCH(LEFT(BA325,255),L_Placeholder,0)),TRIM(AB325)=""),"INVALID – CA status missing for the recorded corrective action","")&amp;IF(AND(TRIM(U325)="Pass after CA",OR(OR(LEN(BA325)&lt;5,ISNUMBER(MATCH(BA325,L_Placeholder,0))),TRIM(AB325)&lt;&gt;"Closed")),"INVALID – corrective action not recorded/closed","")</f>
        <v/>
      </c>
      <c r="BC325" s="61" t="str">
        <f aca="false">" "&amp;TRIM(SUBSTITUTE(SUBSTITUTE(SUBSTITUTE(SUBSTITUTE(SUBSTITUTE(SUBSTITUTE(SUBSTITUTE(SUBSTITUTE(SUBSTITUTE(SUBSTITUTE(SUBSTITUTE(SUBSTITUTE(SUBSTITUTE(SUBSTITUTE(SUBSTITUTE(SUBSTITUTE(SUBSTITUTE(SUBSTITUTE(SUBSTITUTE(SUBSTITUTE(SUBSTITUTE(SUBSTITUTE(SUBSTITUTE(SUBSTITUTE(LOWER(V325&amp;""),CHAR(10)," "),CHAR(13)," "),CHAR(9)," "),CHAR(160)," "),"."," "),","," "),"-"," "),"/"," "),"("," "),")"," "),":"," "),";"," "),"_"," "),"–"," "),"?"," "),"!"," "),"*"," "),"["," "),"]"," "),"'"," "),"#"," "),"+"," "),"&amp;"," "),"\"," "))&amp;" "</f>
        <v>  </v>
      </c>
      <c r="BD325" s="61" t="str">
        <f aca="false">" "&amp;TRIM(SUBSTITUTE(SUBSTITUTE(SUBSTITUTE(SUBSTITUTE(SUBSTITUTE(SUBSTITUTE(SUBSTITUTE(SUBSTITUTE(SUBSTITUTE(SUBSTITUTE(SUBSTITUTE(SUBSTITUTE(SUBSTITUTE(SUBSTITUTE(SUBSTITUTE(SUBSTITUTE(SUBSTITUTE(SUBSTITUTE(SUBSTITUTE(SUBSTITUTE(SUBSTITUTE(SUBSTITUTE(SUBSTITUTE(SUBSTITUTE(LOWER(Z325&amp;""),CHAR(10)," "),CHAR(13)," "),CHAR(9)," "),CHAR(160)," "),"."," "),","," "),"-"," "),"/"," "),"("," "),")"," "),":"," "),";"," "),"_"," "),"–"," "),"?"," "),"!"," "),"*"," "),"["," "),"]"," "),"'"," "),"#"," "),"+"," "),"&amp;"," "),"\"," "))&amp;" "</f>
        <v>  </v>
      </c>
      <c r="BE325" s="61" t="str">
        <f aca="false">" "&amp;TRIM(SUBSTITUTE(SUBSTITUTE(SUBSTITUTE(SUBSTITUTE(SUBSTITUTE(SUBSTITUTE(SUBSTITUTE(SUBSTITUTE(SUBSTITUTE(SUBSTITUTE(SUBSTITUTE(SUBSTITUTE(SUBSTITUTE(SUBSTITUTE(SUBSTITUTE(SUBSTITUTE(SUBSTITUTE(SUBSTITUTE(SUBSTITUTE(SUBSTITUTE(SUBSTITUTE(SUBSTITUTE(SUBSTITUTE(SUBSTITUTE(LOWER(W325&amp;""),CHAR(10)," "),CHAR(13)," "),CHAR(9)," "),CHAR(160)," "),"."," "),","," "),"-"," "),"/"," "),"("," "),")"," "),":"," "),";"," "),"_"," "),"–"," "),"?"," "),"!"," "),"*"," "),"["," "),"]"," "),"'"," "),"#"," "),"+"," "),"&amp;"," "),"\"," "))&amp;" "</f>
        <v>  </v>
      </c>
      <c r="BF325" s="61" t="str">
        <f aca="false">" "&amp;TRIM(SUBSTITUTE(SUBSTITUTE(SUBSTITUTE(SUBSTITUTE(SUBSTITUTE(SUBSTITUTE(SUBSTITUTE(SUBSTITUTE(SUBSTITUTE(SUBSTITUTE(SUBSTITUTE(SUBSTITUTE(SUBSTITUTE(SUBSTITUTE(SUBSTITUTE(SUBSTITUTE(SUBSTITUTE(SUBSTITUTE(SUBSTITUTE(SUBSTITUTE(SUBSTITUTE(SUBSTITUTE(SUBSTITUTE(SUBSTITUTE(LOWER(AC325&amp;""),CHAR(10)," "),CHAR(13)," "),CHAR(9)," "),CHAR(160)," "),"."," "),","," "),"-"," "),"/"," "),"("," "),")"," "),":"," "),";"," "),"_"," "),"–"," "),"?"," "),"!"," "),"*"," "),"["," "),"]"," "),"'"," "),"#"," "),"+"," "),"&amp;"," "),"\"," "))&amp;" "</f>
        <v>  </v>
      </c>
      <c r="BG325" s="61" t="n">
        <f aca="false">IFERROR(IF(AND(TRIM(U325)="Pass",SUMPRODUCT((LEN(BC325)-LEN(SUBSTITUTE(BC325," "&amp;L_ResultBad&amp;" "," ")))/(LEN(L_ResultBad)+1))&gt;SUMPRODUCT((LEN(BC325)-LEN(SUBSTITUTE(BC325," "&amp;L_NegPhrase&amp;" "," ")))/(LEN(L_NegPhrase)+1))),1,0),0)</f>
        <v>0</v>
      </c>
      <c r="BH325" s="61" t="n">
        <f aca="false">IFERROR(IF(SUMPRODUCT((LEN(BC325)-LEN(SUBSTITUTE(BC325," "&amp;L_Pending&amp;" "," ")))/(LEN(L_Pending)+1))&gt;SUMPRODUCT((LEN(BC325)-LEN(SUBSTITUTE(BC325," "&amp;L_PendNeg&amp;" "," ")))/(LEN(L_PendNeg)+1))+SUMPRODUCT((LEN(BC325)-LEN(SUBSTITUTE(BC325," "&amp;L_PendPrep&amp;" "," ")))/(LEN(L_PendPrep)+1)),1,0),1)</f>
        <v>0</v>
      </c>
      <c r="BI325" s="61" t="n">
        <f aca="false">IFERROR(IF(SUMPRODUCT((LEN(BD325)-LEN(SUBSTITUTE(BD325," "&amp;L_PendStrict&amp;" "," ")))/(LEN(L_PendStrict)+1))&gt;SUMPRODUCT((LEN(BD325)-LEN(SUBSTITUTE(BD325," "&amp;L_PendNeg&amp;" "," ")))/(LEN(L_PendNeg)+1)),1,0),1)</f>
        <v>0</v>
      </c>
      <c r="BJ325" s="61" t="n">
        <f aca="false">IFERROR(IF(SUMPRODUCT((LEN(BE325)-LEN(SUBSTITUTE(BE325," "&amp;L_Pending&amp;" "," ")))/(LEN(L_Pending)+1))&gt;SUMPRODUCT((LEN(BE325)-LEN(SUBSTITUTE(BE325," "&amp;L_PendNeg&amp;" "," ")))/(LEN(L_PendNeg)+1))+SUMPRODUCT((LEN(BE325)-LEN(SUBSTITUTE(BE325," "&amp;L_PendPrep&amp;" "," ")))/(LEN(L_PendPrep)+1)),1,0),1)</f>
        <v>0</v>
      </c>
      <c r="BK325" s="61" t="n">
        <f aca="false">IFERROR(IF(SUMPRODUCT((LEN(BF325)-LEN(SUBSTITUTE(BF325," "&amp;L_PendStrict&amp;" "," ")))/(LEN(L_PendStrict)+1))&gt;SUMPRODUCT((LEN(BF325)-LEN(SUBSTITUTE(BF325," "&amp;L_PendNeg&amp;" "," ")))/(LEN(L_PendNeg)+1)),1,0),1)</f>
        <v>0</v>
      </c>
      <c r="BL325" s="61" t="n">
        <f aca="false">IF(ISNA(MATCH(TRIM(S325),L_EvidenceType,0)),0,BZ325)</f>
        <v>0</v>
      </c>
      <c r="BM325" s="61" t="str">
        <f aca="false">SUBSTITUTE(SUBSTITUTE(SUBSTITUTE(SUBSTITUTE(SUBSTITUTE(SUBSTITUTE(SUBSTITUTE(SUBSTITUTE(SUBSTITUTE(LOWER(Z325&amp;""),"1","0"),"2","0"),"3","0"),"4","0"),"5","0"),"6","0"),"7","0"),"8","0"),"9","0")</f>
        <v/>
      </c>
      <c r="BN325" s="61" t="str">
        <f aca="false">SUBSTITUTE(SUBSTITUTE(SUBSTITUTE(SUBSTITUTE(SUBSTITUTE(SUBSTITUTE(SUBSTITUTE(SUBSTITUTE(SUBSTITUTE(SUBSTITUTE(SUBSTITUTE(SUBSTITUTE(SUBSTITUTE(SUBSTITUTE(SUBSTITUTE(SUBSTITUTE(SUBSTITUTE(SUBSTITUTE(SUBSTITUTE(SUBSTITUTE(SUBSTITUTE(SUBSTITUTE(SUBSTITUTE(SUBSTITUTE(SUBSTITUTE(BM325,"b","a"),"c","a"),"d","a"),"e","a"),"f","a"),"g","a"),"h","a"),"i","a"),"j","a"),"k","a"),"l","a"),"m","a"),"n","a"),"o","a"),"p","a"),"q","a"),"r","a"),"s","a"),"t","a"),"u","a"),"v","a"),"w","a"),"x","a"),"y","a"),"z","a")</f>
        <v/>
      </c>
      <c r="BO325" s="61" t="str">
        <f aca="false">SUBSTITUTE(SUBSTITUTE(SUBSTITUTE(SUBSTITUTE(SUBSTITUTE(SUBSTITUTE(SUBSTITUTE(SUBSTITUTE(SUBSTITUTE(LOWER(W325&amp;""),"1","0"),"2","0"),"3","0"),"4","0"),"5","0"),"6","0"),"7","0"),"8","0"),"9","0")</f>
        <v/>
      </c>
      <c r="BP325" s="61" t="str">
        <f aca="false">SUBSTITUTE(SUBSTITUTE(SUBSTITUTE(SUBSTITUTE(SUBSTITUTE(SUBSTITUTE(SUBSTITUTE(SUBSTITUTE(SUBSTITUTE(SUBSTITUTE(SUBSTITUTE(SUBSTITUTE(SUBSTITUTE(SUBSTITUTE(SUBSTITUTE(SUBSTITUTE(SUBSTITUTE(SUBSTITUTE(SUBSTITUTE(SUBSTITUTE(SUBSTITUTE(SUBSTITUTE(SUBSTITUTE(SUBSTITUTE(SUBSTITUTE(BO325,"b","a"),"c","a"),"d","a"),"e","a"),"f","a"),"g","a"),"h","a"),"i","a"),"j","a"),"k","a"),"l","a"),"m","a"),"n","a"),"o","a"),"p","a"),"q","a"),"r","a"),"s","a"),"t","a"),"u","a"),"v","a"),"w","a"),"x","a"),"y","a"),"z","a")</f>
        <v/>
      </c>
      <c r="BQ325" s="61" t="n">
        <f aca="false">IFERROR(IF(AND(ISERROR(SEARCH(" mh"," "&amp;LOWER(W325))),ISNA(MATCH(LEFT(TRIM(BP325),255),{"0000a","000a","00a","0000aa","000aa","00aa","0aa","0000aaa","000aaa","00a00","0a00","0000-0000","00:00","a00","a0","00.00.0000","00/00/0000","00-00-0000","0000-00-00","0000/00/00","0000.00.00","00.00.00","00/00/00","00-00-00","0.00.0000","0/00/0000","0-00-0000"},0)),ISNA(MATCH(LEFT(TRIM(CA325),255),{"0000a","000a","00a","0000aa","000aa","00aa","0aa","0000aaa","000aaa","00a00","0a00","0000-0000","00:00","a00","a0","00.00.0000","00/00/0000","00-00-0000","0000-00-00","0000/00/00","0000.00.00","00.00.00","00/00/00","00-00-00","0.00.0000","0/00/0000","0-00-0000"},0)),LEN(CB325)&gt;=3,NOT(OR(SUBSTITUTE(CB325,"0","")="",AND(LEN(CB325)&gt;=4,CB325=REPT(LEFT(CB325),LEN(CB325))),ISNUMBER(MATCH(CB325,{"123","1234","12345","123456","1234567","12345678","0123","01234","012345","98765","987654","54321"},0)),AND(LEN(CB325)=8,LEFT(CB325,3)="202"))),OR(AND((LEN(CA325)-LEN(SUBSTITUTE(CA325,"a","")))&gt;=1,SUMPRODUCT(--ISNUMBER(SEARCH({"a0","a-0","a_0","a/0","a.0","a#0","0a","0-a","0_a","0/a"},BP325)))&gt;0),ISNUMBER(SEARCH("000000",BP325)))),1,0),0)</f>
        <v>0</v>
      </c>
      <c r="BR325" s="61" t="n">
        <f aca="false">IFERROR(LEN(SUBSTITUTE(CC325," ",""))-SUMPRODUCT((LEN(CC325)-LEN(SUBSTITUTE(CC325," "&amp;L_Role&amp;" "," ")))/(LEN(L_Role)+1)*LEN(L_Role)),0)</f>
        <v>0</v>
      </c>
      <c r="BS325" s="61" t="n">
        <f aca="false">IFERROR(LEN(SUBSTITUTE(CD325," ",""))-SUMPRODUCT((LEN(CD325)-LEN(SUBSTITUTE(CD325," "&amp;L_Role&amp;" "," ")))/(LEN(L_Role)+1)*LEN(L_Role)),0)</f>
        <v>0</v>
      </c>
      <c r="BT3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325,"revision",""),"version",""),"jan",""),"feb",""),"mar",""),"apr",""),"may",""),"jun",""),"jul",""),"aug",""),"sep",""),"oct",""),"nov",""),"dec",""),"utc",""),"gmt",""),"myt",""),"bst",""),"rev",""),"ver",""),"b","a"),"c","a"),"d","a"),"e","a"),"f","a"),"g","a"),"h","a"),"i","a"),"j","a"),"k","a"),"l","a"),"m","a"),"n","a"),"o","a"),"p","a"),"q","a"),"r","a"),"s","a"),"t","a"),"u","a"),"v","a"),"w","a"),"x","a"),"y","a"),"z","a")</f>
        <v/>
      </c>
      <c r="BU325" s="61" t="str">
        <f aca="false">SUBSTITUTE(SUBSTITUTE(SUBSTITUTE(SUBSTITUTE(SUBSTITUTE(SUBSTITUTE(SUBSTITUTE(SUBSTITUTE(SUBSTITUTE(SUBSTITUTE(LEFT(BM325,FIND("0",BM325&amp;"0")-1),"-",""),"_",""),"/",""),".",""),"#",""),"\\",""),":","")," ",""),"(",""),")","")</f>
        <v/>
      </c>
      <c r="BV325" s="61" t="n">
        <f aca="false">0</f>
        <v>0</v>
      </c>
      <c r="BW3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325&amp;""),"a",""),"b",""),"c",""),"d",""),"e",""),"f",""),"g",""),"h",""),"i",""),"j",""),"k",""),"l",""),"m",""),"n",""),"o",""),"p",""),"q",""),"r",""),"s",""),"t",""),"u",""),"v",""),"w",""),"x",""),"y",""),"z",""),"-",""),"_",""),"/",""),".",""),"#",""),"\\",""),":","")," ",""),"(",""),")","")</f>
        <v/>
      </c>
      <c r="BX325" s="61" t="str">
        <f aca="false">SUBSTITUTE(SUBSTITUTE(SUBSTITUTE(SUBSTITUTE(SUBSTITUTE(SUBSTITUTE(SUBSTITUTE(SUBSTITUTE(SUBSTITUTE(SUBSTITUTE(SUBSTITUTE(BM325,"0",""),"-",""),"_",""),"/",""),".",""),"#",""),"\\",""),":","")," ",""),"(",""),")","")</f>
        <v/>
      </c>
      <c r="BY325" s="62" t="n">
        <f aca="false">Q325-T7EarlyD*24/24</f>
        <v>46286.15625</v>
      </c>
      <c r="BZ325" s="61" t="n">
        <f aca="false">IFERROR(IF(IF(TRIM(S325)="Link / file path",AND(LEN(TRIM(Z325))&gt;=5,SUMPRODUCT(--ISNUMBER(SEARCH({"http","www.","\\",":\",".pdf",".jpg",".jpeg",".png",".heic",".xls",".doc",".msg",".eml",".ppt",".txt",".zip"},Z325)))&gt;0),AND(ISERROR(FIND(" ",TRIM(Z325))),NOT(OR(SUMPRODUCT(--ISNUMBER(FIND({",",";","&amp;","+"},Z325)))&gt;0,SUMPRODUCT(--ISNUMBER(SEARCH({"0/aa","0\\aa"},BN325)))&gt;0)),NOT(SUMPRODUCT(--ISNUMBER(SEARCH({"http","www.","\\",":\",".pdf",".jpg",".jpeg",".png",".heic",".xls",".doc",".msg",".eml",".ppt",".txt",".zip"},Z325)))&gt;0),NOT(LOWER(TRIM(Z325))=LOWER(Flights!$F$14)),ISNA(MATCH(BU325,{"mh","rev","revision","ver","version","v","r","a","b","seat","tray","row","gate","bay","stand","page","pg","item","line","no","cart","galley","flight","flt","table","box","bag","oven","etd","eta","std","sta","atd","ata","qty","pax","x","time","tel","ph","mob","day","wk","week","utc","gmt","myt","lt"},0)),NOT(OR(ISNUMBER(MATCH(LEFT(BN325,255),{"0000a","000a","00a","0000aa","000aa","00aa","0aa","0000aaa","000aaa","00a00","0a00","0000-0000","00:00","a00","a0","00.00.0000","00/00/0000","00-00-0000","0000-00-00","0000/00/00","0000.00.00","00.00.00","00/00/00","00-00-00","0.00.0000","0/00/0000","0-00-0000"},0)),ISNUMBER(MATCH(LEFT(BT325,255),{"0000a","000a","00a","0000aa","000aa","00aa","0aa","0000aaa","000aaa","00a00","0a00","0000-0000","00:00","a00","a0","00.00.0000","00/00/0000","00-00-0000","0000-00-00","0000/00/00","0000.00.00","00.00.00","00/00/00","00-00-00","0.00.0000","0/00/0000","0-00-0000"},0)))),NOT(OR(AND(BW325&lt;&gt;"",SUBSTITUTE(BW325,"0","")=""),AND(LEN(BW325)&gt;=4,BW325=REPT(LEFT(BW325),LEN(BW325))),ISNUMBER(MATCH(BW325,{"123","1234","12345","123456","1234567","12345678","0123","01234","012345","98765","987654","54321"},0)),ISNUMBER(MATCH(BX325,{"x","xx","xxx","xxxx","xxxxx","abc","abcd","nil","na","nan","test","tbc","tba","tbd","dummy","sample","example","eg","zz","zzz","none","null","xyz","qwe","asd","id","ref"},0)),AND(LEN(BW325)=8,BX325="",OR(LEFT(BW325,3)="202",ISNUMBER(MATCH(RIGHT(BW325,4),{"2025","2026","2027"},0)))))),OR(AND((LEN(BT325)-LEN(SUBSTITUTE(BT325,"a","")))&gt;=1,(LEN(BN325)-LEN(SUBSTITUTE(BN325,"0","")))&gt;=2,SUMPRODUCT(--ISNUMBER(SEARCH({"a0","a-0","a_0","a/0","a.0","a#0","0a","0-a","0_a","0/a"},BN325)))&gt;0),AND((LEN(BN325)-LEN(SUBSTITUTE(BN325,"a","")))=0,(LEN(BN325)-LEN(SUBSTITUTE(BN325,"0","")))&gt;=5)))),1,0),0)</f>
        <v>0</v>
      </c>
      <c r="CA3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325,"revision",""),"version",""),"jan",""),"feb",""),"mar",""),"apr",""),"may",""),"jun",""),"jul",""),"aug",""),"sep",""),"oct",""),"nov",""),"dec",""),"utc",""),"gmt",""),"myt",""),"bst",""),"rev",""),"ver",""),"b","a"),"c","a"),"d","a"),"e","a"),"f","a"),"g","a"),"h","a"),"i","a"),"j","a"),"k","a"),"l","a"),"m","a"),"n","a"),"o","a"),"p","a"),"q","a"),"r","a"),"s","a"),"t","a"),"u","a"),"v","a"),"w","a"),"x","a"),"y","a"),"z","a")</f>
        <v/>
      </c>
      <c r="CB3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325&amp;""),"a",""),"b",""),"c",""),"d",""),"e",""),"f",""),"g",""),"h",""),"i",""),"j",""),"k",""),"l",""),"m",""),"n",""),"o",""),"p",""),"q",""),"r",""),"s",""),"t",""),"u",""),"v",""),"w",""),"x",""),"y",""),"z",""),"-",""),"_",""),"/",""),".",""),"#",""),"\\",""),":","")," ",""),"(",""),")","")</f>
        <v/>
      </c>
      <c r="CC325" s="0" t="str">
        <f aca="false">" "&amp;TRIM(SUBSTITUTE(SUBSTITUTE(SUBSTITUTE(SUBSTITUTE(SUBSTITUTE(SUBSTITUTE(SUBSTITUTE(SUBSTITUTE(SUBSTITUTE(SUBSTITUTE(SUBSTITUTE(SUBSTITUTE(SUBSTITUTE(SUBSTITUTE(SUBSTITUTE(SUBSTITUTE(SUBSTITUTE(SUBSTITUTE(SUBSTITUTE(SUBSTITUTE(SUBSTITUTE(SUBSTITUTE(SUBSTITUTE(SUBSTITUTE(LOWER(T325&amp;""),CHAR(10)," "),CHAR(13)," "),CHAR(9)," "),CHAR(160)," "),"."," "),","," "),"-"," "),"/"," "),"("," "),")"," "),":"," "),";"," "),"_"," "),"–"," "),"?"," "),"!"," "),"*"," "),"["," "),"]"," "),"'"," "),"#"," "),"+"," "),"&amp;"," "),"\"," "))&amp;" "</f>
        <v>  </v>
      </c>
      <c r="CD325" s="0" t="str">
        <f aca="false">" "&amp;TRIM(SUBSTITUTE(SUBSTITUTE(SUBSTITUTE(SUBSTITUTE(SUBSTITUTE(SUBSTITUTE(SUBSTITUTE(SUBSTITUTE(SUBSTITUTE(SUBSTITUTE(SUBSTITUTE(SUBSTITUTE(SUBSTITUTE(SUBSTITUTE(SUBSTITUTE(SUBSTITUTE(SUBSTITUTE(SUBSTITUTE(SUBSTITUTE(SUBSTITUTE(SUBSTITUTE(SUBSTITUTE(SUBSTITUTE(SUBSTITUTE(LOWER(AE325&amp;""),CHAR(10)," "),CHAR(13)," "),CHAR(9)," "),CHAR(160)," "),"."," "),","," "),"-"," "),"/"," "),"("," "),")"," "),":"," "),";"," "),"_"," "),"–"," "),"?"," "),"!"," "),"*"," "),"["," "),"]"," "),"'"," "),"#"," "),"+"," "),"&amp;"," "),"\"," "))&amp;" "</f>
        <v>  </v>
      </c>
      <c r="CE325" s="68" t="n">
        <f aca="false">IFERROR(IF(AND(LEN(AU325)&gt;0,LEN(AU325)=LEN(AX325),OR(TRIM(MID(SUBSTITUTE(TRIM(CC325)," ",REPT(" ",60)),1,60))="",ISNUMBER(SEARCH(" "&amp;TRIM(MID(SUBSTITUTE(TRIM(CC325)," ",REPT(" ",60)),1,60))&amp;" ",CD325))),OR(TRIM(MID(SUBSTITUTE(TRIM(CC325)," ",REPT(" ",60)),61,60))="",ISNUMBER(SEARCH(" "&amp;TRIM(MID(SUBSTITUTE(TRIM(CC325)," ",REPT(" ",60)),61,60))&amp;" ",CD325))),OR(TRIM(MID(SUBSTITUTE(TRIM(CC325)," ",REPT(" ",60)),121,60))="",ISNUMBER(SEARCH(" "&amp;TRIM(MID(SUBSTITUTE(TRIM(CC325)," ",REPT(" ",60)),121,60))&amp;" ",CD325)))),1,0),0)</f>
        <v>0</v>
      </c>
      <c r="CG325" s="68" t="n">
        <f aca="false">IFERROR(LEN(SUBSTITUTE(BF325," ",""))-SUMPRODUCT((LEN(BF325)-LEN(SUBSTITUTE(BF325," "&amp;L_NAFiller&amp;" "," ")))/(LEN(L_NAFiller)+1)*LEN(L_NAFiller)),0)</f>
        <v>0</v>
      </c>
    </row>
    <row r="326" customFormat="false" ht="39.75" hidden="false" customHeight="true" outlineLevel="0" collapsed="false">
      <c r="A326" s="57" t="s">
        <v>917</v>
      </c>
      <c r="B326" s="57" t="s">
        <v>251</v>
      </c>
      <c r="C326" s="57" t="str">
        <f aca="false">Flights!$F$14</f>
        <v>MH1140</v>
      </c>
      <c r="D326" s="58" t="n">
        <f aca="false">Flights!$D$14</f>
        <v>46307</v>
      </c>
      <c r="E326" s="57" t="str">
        <f aca="false">Flights!$G$14&amp;"-"&amp;Flights!$H$14</f>
        <v>KUL-PEN</v>
      </c>
      <c r="F326" s="57" t="str">
        <f aca="false">Flights!$K$14</f>
        <v>BC</v>
      </c>
      <c r="G326" s="57" t="s">
        <v>81</v>
      </c>
      <c r="H326" s="57" t="s">
        <v>378</v>
      </c>
      <c r="I326" s="57" t="s">
        <v>398</v>
      </c>
      <c r="J326" s="57" t="s">
        <v>399</v>
      </c>
      <c r="K326" s="67" t="s">
        <v>400</v>
      </c>
      <c r="L326" s="67" t="s">
        <v>382</v>
      </c>
      <c r="M326" s="67"/>
      <c r="N326" s="67" t="s">
        <v>383</v>
      </c>
      <c r="O326" s="67"/>
      <c r="P326" s="57" t="s">
        <v>187</v>
      </c>
      <c r="Q326" s="59" t="n">
        <f aca="false">ROUND((Flights!$AC$14)*1440,0)/1440</f>
        <v>46300.15625</v>
      </c>
      <c r="R326" s="59" t="n">
        <f aca="false">Q326+(IF(AND(INDEX(TZ_DSTS,MATCH(P326,TZ_STN,0))&lt;&gt;"",Q326&gt;=INDEX(TZ_DSTS,MATCH(P326,TZ_STN,0)),Q326&lt;INDEX(TZ_DSTE,MATCH(P326,TZ_STN,0))),INDEX(TZ_DST,MATCH(P326,TZ_STN,0)),INDEX(TZ_STD,MATCH(P326,TZ_STN,0))))/24</f>
        <v>46300.4895833333</v>
      </c>
      <c r="S326" s="60"/>
      <c r="T326" s="60"/>
      <c r="U326" s="60"/>
      <c r="V326" s="60"/>
      <c r="W326" s="61"/>
      <c r="X326" s="60"/>
      <c r="Y326" s="60"/>
      <c r="Z326" s="60"/>
      <c r="AA326" s="60"/>
      <c r="AB326" s="60"/>
      <c r="AC326" s="60"/>
      <c r="AD326" s="66"/>
      <c r="AE326" s="60"/>
      <c r="AF326" s="61" t="str">
        <f aca="false">IF(AND(ISNUMBER(X326),ISNUMBER(Y326)),Y326-X326,"")</f>
        <v/>
      </c>
      <c r="AG326" s="62" t="str">
        <f aca="false">IF(ISNUMBER(AD326),AD326-(IF(AND(INDEX(TZ_DSTS,MATCH(P326,TZ_STN,0))&lt;&gt;"",(AD326-INDEX(TZ_STD,MATCH(P326,TZ_STN,0))/24)&gt;=INDEX(TZ_DSTS,MATCH(P326,TZ_STN,0)),(AD326-INDEX(TZ_STD,MATCH(P326,TZ_STN,0))/24)&lt;INDEX(TZ_DSTE,MATCH(P326,TZ_STN,0))),INDEX(TZ_DST,MATCH(P326,TZ_STN,0)),INDEX(TZ_STD,MATCH(P326,TZ_STN,0))))/24,"")</f>
        <v/>
      </c>
      <c r="AH326" s="65" t="str">
        <f aca="false">IFERROR(IF(N326="N/A – rule",IF(OR(TRIM(U326)="",TRIM(U326)="N/A",TRIM(U326)="Not started"),"N/A – RULE","INVALID – this check does not apply to this aircraft: clear the status (or correct the fleet on Flights)"),IF(TRIM(U326)="N/A",IF(AT326=0,"INVALID – N/A not permitted for this check",IF(AND(TRIM(AB326)&lt;&gt;"",TRIM(AB326)&lt;&gt;"Closed"),"INVALID – corrective action still open",IF(AND(NOT(OR(LEN(AZ326)&lt;15,ISNUMBER(MATCH(AZ326,L_Placeholder,0)))),BK326=0,CG326&gt;=8,NOT(OR(LEN(AU326)&lt;2,ISNUMBER(MATCH(AU326,L_Placeholder,0)))),BR326&gt;=3,NOT(OR(LEN(AX326)&lt;2,ISNUMBER(MATCH(AX326,L_Placeholder,0)))),BS326&gt;=3,TRIM(AE326)&lt;&gt;TRIM(T326),AX326&lt;&gt;AU326,CE326=0),"N/A – JUSTIFIED","INVALID – N/A needs a real, settled reason (not 'not applicable' / 'as above' / TBC), a named PIC and a different named verifier"))),IF(OR(TRIM(U326)="Pass",TRIM(U326)="Pass after CA"),IF(NOT(ISNUMBER(AD326)),"INVALID – completion time missing",IF(OR(OR(LEN(AU326)&lt;2,ISNUMBER(MATCH(AU326,L_Placeholder,0))),BR326&lt;3),"INVALID – PIC missing or not a named person (a role such as QA / CSM is not a name)",IF(OR(LEN(AV326)&lt;2,ISNUMBER(MATCH(AV326,L_Placeholder,0))),"INVALID – result / assessment missing",IF(OR(OR(LEN(AW326)&lt;3,ISNUMBER(MATCH(AW326,L_Placeholder,0))),SUMPRODUCT(--ISNUMBER(SEARCH(" "&amp;L_EvidencePhrase&amp;" ",BD326)))&gt;0,BI326=1),"INVALID – evidence missing, placeholder or not yet on file",IF(ISNA(MATCH(TRIM(S326),L_EvidenceType,0)),"INVALID – choose the evidence type from the list (column S)",IF(BL326=0,"INVALID – evidence ID must be the record's own ID only (e.g. SF-2210, IMG_2231, 1045521); a link / file name needs type 'Link / file path'",IF(OR(OR(LEN(AX326)&lt;2,ISNUMBER(MATCH(AX326,L_Placeholder,0))),BS326&lt;3),"INVALID – verifier missing or not a named person (a role such as QA / CSM is not a name)",IF(OR(AX326=AU326,CE326=1,AND(LEN(AU326)&gt;=4,ISNUMBER(SEARCH(AU326,AX326))),AND(LEN(AX326)&gt;=4,ISNUMBER(SEARCH(AX326,AU326)))),"INVALID – verifier must be a different, named person (not the PIC or a role)",IF(BH326=1,"INVALID – result not yet available (awaiting / TBC)",IF(BG326=1,"INVALID – result describes a problem: record Fail, then Pass after CA (or reword if it is not a problem)",IF(BV326=1,"INVALID – wording says not on board: an on-board confirmation needs the item loaded",IF(AND(AQ326=1,OR(OR(LEN(AY326)&lt;3,ISNUMBER(MATCH(AY326,L_Placeholder,0))),BJ326=1,BQ326=0)),"INVALID – batch ID missing, placeholder or not an ID (e.g. PASB-261008-BC-017)",IF(AND(AR326=1,OR(NOT(ISNUMBER(X326)),NOT(ISNUMBER(Y326)))),"INVALID – expected/actual qty missing",IF(AND(AR326=1,OR(X326&lt;=0,Y326&lt;0)),"INVALID – expected qty must be above 0 and actual not negative",IF(BB326&lt;&gt;"",BB326,IF(AND(AS326=1,Documents!$J$14&lt;&gt;"ON FILE"),"INVALID – GLD not on file (Documents sheet)",IF(AND(AS326=2,Documents!$O$14&lt;&gt;"ON FILE"),"INVALID – menu checklist not on file (Documents sheet)",IF(AND(AS326=3,NOT(ISNUMBER(Flights!$AX$14))),"INVALID – enter carrying flight KUL departure (Flights AX)",IF(AND(AS326=3,OR(Flights!$AZ$14&gt;Flights!$AA$14,Flights!$AX$14&lt;Flights!$AA$14-3)),"INVALID – carrying flight (Flights AX) cannot arrive before this leg's STD, or is over 3 days early",IF(AG326&gt;AsOfUTC,"INVALID – completion time is in the future",IF(AND(ISNUMBER(BY326),AG326&lt;BY326),IF(H326="Physical uplift","INVALID – before uplift window (cannot confirm loading)","INVALID – before valid window"),IF(AG326&gt;Flights!$AA$14,"INVALID – completed after departure (cannot establish readiness)",IF(AND(H326="Preparation",AG326&gt;=IF(ISNUMBER(Flights!$BA$14),MIN(Flights!$BA$14,Flights!$AA$14),Flights!$AA$14)),"INVALID – completed after loading / departure (cannot establish readiness)",IF(AND(H326="Physical uplift",AG326&gt;Q326),"INVALID – recorded after the loading flight departed",IF(AG326&gt;Q326,"COMPLETE – LATE","COMPLETE"))))))))))))))))))))))))),IF(TRIM(U326)="Fail","FAIL – DISCREPANCY",IF(AND(TRIM(U326)&lt;&gt;"",TRIM(U326)&lt;&gt;"Not started",TRIM(U326)&lt;&gt;"In progress"),"INVALID – unrecognised status (use the list)",IF(AsOfUTC&gt;Q326,"OVERDUE",IF(N326="Clarification required","OPEN – CLARIFICATION","OPEN"))))))),"INVALID – error value in an input cell")</f>
        <v>OPEN</v>
      </c>
      <c r="AI326" s="61" t="n">
        <f aca="false">IF(OR(AH326="N/A – RULE",AH326="N/A – JUSTIFIED"),0,1)</f>
        <v>1</v>
      </c>
      <c r="AJ326" s="61" t="n">
        <f aca="false">IF(LEFT(AH326,8)="COMPLETE",1,0)</f>
        <v>0</v>
      </c>
      <c r="AK326" s="61" t="n">
        <f aca="false">IF(AND(AI326=1,AJ326=0,AsOfUTC&gt;Q326),1,0)</f>
        <v>0</v>
      </c>
      <c r="AL326" s="61" t="n">
        <f aca="false">IFERROR(IF(AND(AI326=1,OR(TRIM(U326)="Fail",AND(TRIM(AB326)&lt;&gt;"",TRIM(AB326)&lt;&gt;"Closed"),AND(ISNUMBER(AF326),AF326&lt;&gt;0,TRIM(U326)&lt;&gt;"Pass after CA"))),1,0),1)</f>
        <v>0</v>
      </c>
      <c r="AM326" s="61" t="n">
        <f aca="false">IF(LEFT(AH326,7)="INVALID",1,0)</f>
        <v>0</v>
      </c>
      <c r="AN326" s="61" t="n">
        <f aca="false">IF(AND(N326="Clarification required",AI326=1,AJ326=0),1,0)</f>
        <v>0</v>
      </c>
      <c r="AO326" s="61" t="str">
        <f aca="false">IF(AK326=1,SUM(AK$5:AK326),"")</f>
        <v/>
      </c>
      <c r="AP326" s="61" t="str">
        <f aca="false">IF(AL326=1,SUM(AL$5:AL326),"")</f>
        <v/>
      </c>
      <c r="AQ326" s="61" t="n">
        <v>0</v>
      </c>
      <c r="AR326" s="61" t="n">
        <v>0</v>
      </c>
      <c r="AS326" s="61" t="n">
        <v>0</v>
      </c>
      <c r="AT326" s="61" t="n">
        <v>0</v>
      </c>
      <c r="AU326" s="61" t="str">
        <f aca="false">SUBSTITUTE(SUBSTITUTE(SUBSTITUTE(SUBSTITUTE(SUBSTITUTE(SUBSTITUTE(SUBSTITUTE(SUBSTITUTE(SUBSTITUTE(SUBSTITUTE(SUBSTITUTE(SUBSTITUTE(SUBSTITUTE(SUBSTITUTE(SUBSTITUTE(SUBSTITUTE(LOWER(T326&amp;""),CHAR(10),""),CHAR(13),""),CHAR(9),""),CHAR(160),"")," ",""),".",""),"-",""),"/",""),"?",""),"_",""),",",""),"[",""),"]",""),"(",""),")",""),"*","")</f>
        <v/>
      </c>
      <c r="AV326" s="61" t="str">
        <f aca="false">SUBSTITUTE(SUBSTITUTE(SUBSTITUTE(SUBSTITUTE(SUBSTITUTE(SUBSTITUTE(SUBSTITUTE(SUBSTITUTE(SUBSTITUTE(SUBSTITUTE(SUBSTITUTE(SUBSTITUTE(SUBSTITUTE(SUBSTITUTE(SUBSTITUTE(SUBSTITUTE(LOWER(V326&amp;""),CHAR(10),""),CHAR(13),""),CHAR(9),""),CHAR(160),"")," ",""),".",""),"-",""),"/",""),"?",""),"_",""),",",""),"[",""),"]",""),"(",""),")",""),"*","")</f>
        <v/>
      </c>
      <c r="AW326" s="61" t="str">
        <f aca="false">SUBSTITUTE(SUBSTITUTE(SUBSTITUTE(SUBSTITUTE(SUBSTITUTE(SUBSTITUTE(SUBSTITUTE(SUBSTITUTE(SUBSTITUTE(SUBSTITUTE(SUBSTITUTE(SUBSTITUTE(SUBSTITUTE(SUBSTITUTE(SUBSTITUTE(SUBSTITUTE(LOWER(Z326&amp;""),CHAR(10),""),CHAR(13),""),CHAR(9),""),CHAR(160),"")," ",""),".",""),"-",""),"/",""),"?",""),"_",""),",",""),"[",""),"]",""),"(",""),")",""),"*","")</f>
        <v/>
      </c>
      <c r="AX326" s="61" t="str">
        <f aca="false">SUBSTITUTE(SUBSTITUTE(SUBSTITUTE(SUBSTITUTE(SUBSTITUTE(SUBSTITUTE(SUBSTITUTE(SUBSTITUTE(SUBSTITUTE(SUBSTITUTE(SUBSTITUTE(SUBSTITUTE(SUBSTITUTE(SUBSTITUTE(SUBSTITUTE(SUBSTITUTE(LOWER(AE326&amp;""),CHAR(10),""),CHAR(13),""),CHAR(9),""),CHAR(160),"")," ",""),".",""),"-",""),"/",""),"?",""),"_",""),",",""),"[",""),"]",""),"(",""),")",""),"*","")</f>
        <v/>
      </c>
      <c r="AY326" s="61" t="str">
        <f aca="false">SUBSTITUTE(SUBSTITUTE(SUBSTITUTE(SUBSTITUTE(SUBSTITUTE(SUBSTITUTE(SUBSTITUTE(SUBSTITUTE(SUBSTITUTE(SUBSTITUTE(SUBSTITUTE(SUBSTITUTE(SUBSTITUTE(SUBSTITUTE(SUBSTITUTE(SUBSTITUTE(LOWER(W326&amp;""),CHAR(10),""),CHAR(13),""),CHAR(9),""),CHAR(160),"")," ",""),".",""),"-",""),"/",""),"?",""),"_",""),",",""),"[",""),"]",""),"(",""),")",""),"*","")</f>
        <v/>
      </c>
      <c r="AZ326" s="61" t="str">
        <f aca="false">SUBSTITUTE(SUBSTITUTE(SUBSTITUTE(SUBSTITUTE(SUBSTITUTE(SUBSTITUTE(SUBSTITUTE(SUBSTITUTE(SUBSTITUTE(SUBSTITUTE(SUBSTITUTE(SUBSTITUTE(SUBSTITUTE(SUBSTITUTE(SUBSTITUTE(SUBSTITUTE(LOWER(AC326&amp;""),CHAR(10),""),CHAR(13),""),CHAR(9),""),CHAR(160),"")," ",""),".",""),"-",""),"/",""),"?",""),"_",""),",",""),"[",""),"]",""),"(",""),")",""),"*","")</f>
        <v/>
      </c>
      <c r="BA326" s="61" t="str">
        <f aca="false">SUBSTITUTE(SUBSTITUTE(SUBSTITUTE(SUBSTITUTE(SUBSTITUTE(SUBSTITUTE(SUBSTITUTE(SUBSTITUTE(SUBSTITUTE(SUBSTITUTE(SUBSTITUTE(SUBSTITUTE(SUBSTITUTE(SUBSTITUTE(SUBSTITUTE(SUBSTITUTE(LOWER(AA326&amp;""),CHAR(10),""),CHAR(13),""),CHAR(9),""),CHAR(160),"")," ",""),".",""),"-",""),"/",""),"?",""),"_",""),",",""),"[",""),"]",""),"(",""),")",""),"*","")</f>
        <v/>
      </c>
      <c r="BB326" s="61" t="str">
        <f aca="false">IF(AND(TRIM(U326)="Pass",ISNUMBER(AF326)),IF(AF326&lt;&gt;0,"INVALID – qty variance: use Fail or Pass after CA",""),"")&amp;IF(AND(TRIM(U326)="Pass after CA",ISNUMBER(AF326)),IF(AF326&lt;&gt;0,"INVALID – after the corrective action the actual qty must equal expected (update Actual)",""),"")&amp;IF(AND(TRIM(U326)="Pass",TRIM(AB326)&lt;&gt;"",TRIM(AB326)&lt;&gt;"Closed"),"INVALID – corrective action not closed: use Fail, then Pass after CA","")&amp;IF(AND(LEN(BA326)&gt;=2,ISNA(MATCH(LEFT(BA326,255),L_Placeholder,0)),TRIM(AB326)=""),"INVALID – CA status missing for the recorded corrective action","")&amp;IF(AND(TRIM(U326)="Pass after CA",OR(OR(LEN(BA326)&lt;5,ISNUMBER(MATCH(BA326,L_Placeholder,0))),TRIM(AB326)&lt;&gt;"Closed")),"INVALID – corrective action not recorded/closed","")</f>
        <v/>
      </c>
      <c r="BC326" s="61" t="str">
        <f aca="false">" "&amp;TRIM(SUBSTITUTE(SUBSTITUTE(SUBSTITUTE(SUBSTITUTE(SUBSTITUTE(SUBSTITUTE(SUBSTITUTE(SUBSTITUTE(SUBSTITUTE(SUBSTITUTE(SUBSTITUTE(SUBSTITUTE(SUBSTITUTE(SUBSTITUTE(SUBSTITUTE(SUBSTITUTE(SUBSTITUTE(SUBSTITUTE(SUBSTITUTE(SUBSTITUTE(SUBSTITUTE(SUBSTITUTE(SUBSTITUTE(SUBSTITUTE(LOWER(V326&amp;""),CHAR(10)," "),CHAR(13)," "),CHAR(9)," "),CHAR(160)," "),"."," "),","," "),"-"," "),"/"," "),"("," "),")"," "),":"," "),";"," "),"_"," "),"–"," "),"?"," "),"!"," "),"*"," "),"["," "),"]"," "),"'"," "),"#"," "),"+"," "),"&amp;"," "),"\"," "))&amp;" "</f>
        <v>  </v>
      </c>
      <c r="BD326" s="61" t="str">
        <f aca="false">" "&amp;TRIM(SUBSTITUTE(SUBSTITUTE(SUBSTITUTE(SUBSTITUTE(SUBSTITUTE(SUBSTITUTE(SUBSTITUTE(SUBSTITUTE(SUBSTITUTE(SUBSTITUTE(SUBSTITUTE(SUBSTITUTE(SUBSTITUTE(SUBSTITUTE(SUBSTITUTE(SUBSTITUTE(SUBSTITUTE(SUBSTITUTE(SUBSTITUTE(SUBSTITUTE(SUBSTITUTE(SUBSTITUTE(SUBSTITUTE(SUBSTITUTE(LOWER(Z326&amp;""),CHAR(10)," "),CHAR(13)," "),CHAR(9)," "),CHAR(160)," "),"."," "),","," "),"-"," "),"/"," "),"("," "),")"," "),":"," "),";"," "),"_"," "),"–"," "),"?"," "),"!"," "),"*"," "),"["," "),"]"," "),"'"," "),"#"," "),"+"," "),"&amp;"," "),"\"," "))&amp;" "</f>
        <v>  </v>
      </c>
      <c r="BE326" s="61" t="str">
        <f aca="false">" "&amp;TRIM(SUBSTITUTE(SUBSTITUTE(SUBSTITUTE(SUBSTITUTE(SUBSTITUTE(SUBSTITUTE(SUBSTITUTE(SUBSTITUTE(SUBSTITUTE(SUBSTITUTE(SUBSTITUTE(SUBSTITUTE(SUBSTITUTE(SUBSTITUTE(SUBSTITUTE(SUBSTITUTE(SUBSTITUTE(SUBSTITUTE(SUBSTITUTE(SUBSTITUTE(SUBSTITUTE(SUBSTITUTE(SUBSTITUTE(SUBSTITUTE(LOWER(W326&amp;""),CHAR(10)," "),CHAR(13)," "),CHAR(9)," "),CHAR(160)," "),"."," "),","," "),"-"," "),"/"," "),"("," "),")"," "),":"," "),";"," "),"_"," "),"–"," "),"?"," "),"!"," "),"*"," "),"["," "),"]"," "),"'"," "),"#"," "),"+"," "),"&amp;"," "),"\"," "))&amp;" "</f>
        <v>  </v>
      </c>
      <c r="BF326" s="61" t="str">
        <f aca="false">" "&amp;TRIM(SUBSTITUTE(SUBSTITUTE(SUBSTITUTE(SUBSTITUTE(SUBSTITUTE(SUBSTITUTE(SUBSTITUTE(SUBSTITUTE(SUBSTITUTE(SUBSTITUTE(SUBSTITUTE(SUBSTITUTE(SUBSTITUTE(SUBSTITUTE(SUBSTITUTE(SUBSTITUTE(SUBSTITUTE(SUBSTITUTE(SUBSTITUTE(SUBSTITUTE(SUBSTITUTE(SUBSTITUTE(SUBSTITUTE(SUBSTITUTE(LOWER(AC326&amp;""),CHAR(10)," "),CHAR(13)," "),CHAR(9)," "),CHAR(160)," "),"."," "),","," "),"-"," "),"/"," "),"("," "),")"," "),":"," "),";"," "),"_"," "),"–"," "),"?"," "),"!"," "),"*"," "),"["," "),"]"," "),"'"," "),"#"," "),"+"," "),"&amp;"," "),"\"," "))&amp;" "</f>
        <v>  </v>
      </c>
      <c r="BG326" s="61" t="n">
        <f aca="false">IFERROR(IF(AND(TRIM(U326)="Pass",SUMPRODUCT((LEN(BC326)-LEN(SUBSTITUTE(BC326," "&amp;L_ResultBad&amp;" "," ")))/(LEN(L_ResultBad)+1))&gt;SUMPRODUCT((LEN(BC326)-LEN(SUBSTITUTE(BC326," "&amp;L_NegPhrase&amp;" "," ")))/(LEN(L_NegPhrase)+1))),1,0),0)</f>
        <v>0</v>
      </c>
      <c r="BH326" s="61" t="n">
        <f aca="false">IFERROR(IF(SUMPRODUCT((LEN(BC326)-LEN(SUBSTITUTE(BC326," "&amp;L_Pending&amp;" "," ")))/(LEN(L_Pending)+1))&gt;SUMPRODUCT((LEN(BC326)-LEN(SUBSTITUTE(BC326," "&amp;L_PendNeg&amp;" "," ")))/(LEN(L_PendNeg)+1))+SUMPRODUCT((LEN(BC326)-LEN(SUBSTITUTE(BC326," "&amp;L_PendPrep&amp;" "," ")))/(LEN(L_PendPrep)+1)),1,0),1)</f>
        <v>0</v>
      </c>
      <c r="BI326" s="61" t="n">
        <f aca="false">IFERROR(IF(SUMPRODUCT((LEN(BD326)-LEN(SUBSTITUTE(BD326," "&amp;L_PendStrict&amp;" "," ")))/(LEN(L_PendStrict)+1))&gt;SUMPRODUCT((LEN(BD326)-LEN(SUBSTITUTE(BD326," "&amp;L_PendNeg&amp;" "," ")))/(LEN(L_PendNeg)+1)),1,0),1)</f>
        <v>0</v>
      </c>
      <c r="BJ326" s="61" t="n">
        <f aca="false">IFERROR(IF(SUMPRODUCT((LEN(BE326)-LEN(SUBSTITUTE(BE326," "&amp;L_Pending&amp;" "," ")))/(LEN(L_Pending)+1))&gt;SUMPRODUCT((LEN(BE326)-LEN(SUBSTITUTE(BE326," "&amp;L_PendNeg&amp;" "," ")))/(LEN(L_PendNeg)+1))+SUMPRODUCT((LEN(BE326)-LEN(SUBSTITUTE(BE326," "&amp;L_PendPrep&amp;" "," ")))/(LEN(L_PendPrep)+1)),1,0),1)</f>
        <v>0</v>
      </c>
      <c r="BK326" s="61" t="n">
        <f aca="false">IFERROR(IF(SUMPRODUCT((LEN(BF326)-LEN(SUBSTITUTE(BF326," "&amp;L_PendStrict&amp;" "," ")))/(LEN(L_PendStrict)+1))&gt;SUMPRODUCT((LEN(BF326)-LEN(SUBSTITUTE(BF326," "&amp;L_PendNeg&amp;" "," ")))/(LEN(L_PendNeg)+1)),1,0),1)</f>
        <v>0</v>
      </c>
      <c r="BL326" s="61" t="n">
        <f aca="false">IF(ISNA(MATCH(TRIM(S326),L_EvidenceType,0)),0,BZ326)</f>
        <v>0</v>
      </c>
      <c r="BM326" s="61" t="str">
        <f aca="false">SUBSTITUTE(SUBSTITUTE(SUBSTITUTE(SUBSTITUTE(SUBSTITUTE(SUBSTITUTE(SUBSTITUTE(SUBSTITUTE(SUBSTITUTE(LOWER(Z326&amp;""),"1","0"),"2","0"),"3","0"),"4","0"),"5","0"),"6","0"),"7","0"),"8","0"),"9","0")</f>
        <v/>
      </c>
      <c r="BN326" s="61" t="str">
        <f aca="false">SUBSTITUTE(SUBSTITUTE(SUBSTITUTE(SUBSTITUTE(SUBSTITUTE(SUBSTITUTE(SUBSTITUTE(SUBSTITUTE(SUBSTITUTE(SUBSTITUTE(SUBSTITUTE(SUBSTITUTE(SUBSTITUTE(SUBSTITUTE(SUBSTITUTE(SUBSTITUTE(SUBSTITUTE(SUBSTITUTE(SUBSTITUTE(SUBSTITUTE(SUBSTITUTE(SUBSTITUTE(SUBSTITUTE(SUBSTITUTE(SUBSTITUTE(BM326,"b","a"),"c","a"),"d","a"),"e","a"),"f","a"),"g","a"),"h","a"),"i","a"),"j","a"),"k","a"),"l","a"),"m","a"),"n","a"),"o","a"),"p","a"),"q","a"),"r","a"),"s","a"),"t","a"),"u","a"),"v","a"),"w","a"),"x","a"),"y","a"),"z","a")</f>
        <v/>
      </c>
      <c r="BO326" s="61" t="str">
        <f aca="false">SUBSTITUTE(SUBSTITUTE(SUBSTITUTE(SUBSTITUTE(SUBSTITUTE(SUBSTITUTE(SUBSTITUTE(SUBSTITUTE(SUBSTITUTE(LOWER(W326&amp;""),"1","0"),"2","0"),"3","0"),"4","0"),"5","0"),"6","0"),"7","0"),"8","0"),"9","0")</f>
        <v/>
      </c>
      <c r="BP326" s="61" t="str">
        <f aca="false">SUBSTITUTE(SUBSTITUTE(SUBSTITUTE(SUBSTITUTE(SUBSTITUTE(SUBSTITUTE(SUBSTITUTE(SUBSTITUTE(SUBSTITUTE(SUBSTITUTE(SUBSTITUTE(SUBSTITUTE(SUBSTITUTE(SUBSTITUTE(SUBSTITUTE(SUBSTITUTE(SUBSTITUTE(SUBSTITUTE(SUBSTITUTE(SUBSTITUTE(SUBSTITUTE(SUBSTITUTE(SUBSTITUTE(SUBSTITUTE(SUBSTITUTE(BO326,"b","a"),"c","a"),"d","a"),"e","a"),"f","a"),"g","a"),"h","a"),"i","a"),"j","a"),"k","a"),"l","a"),"m","a"),"n","a"),"o","a"),"p","a"),"q","a"),"r","a"),"s","a"),"t","a"),"u","a"),"v","a"),"w","a"),"x","a"),"y","a"),"z","a")</f>
        <v/>
      </c>
      <c r="BQ326" s="61" t="n">
        <f aca="false">IFERROR(IF(AND(ISERROR(SEARCH(" mh"," "&amp;LOWER(W326))),ISNA(MATCH(LEFT(TRIM(BP326),255),{"0000a","000a","00a","0000aa","000aa","00aa","0aa","0000aaa","000aaa","00a00","0a00","0000-0000","00:00","a00","a0","00.00.0000","00/00/0000","00-00-0000","0000-00-00","0000/00/00","0000.00.00","00.00.00","00/00/00","00-00-00","0.00.0000","0/00/0000","0-00-0000"},0)),ISNA(MATCH(LEFT(TRIM(CA326),255),{"0000a","000a","00a","0000aa","000aa","00aa","0aa","0000aaa","000aaa","00a00","0a00","0000-0000","00:00","a00","a0","00.00.0000","00/00/0000","00-00-0000","0000-00-00","0000/00/00","0000.00.00","00.00.00","00/00/00","00-00-00","0.00.0000","0/00/0000","0-00-0000"},0)),LEN(CB326)&gt;=3,NOT(OR(SUBSTITUTE(CB326,"0","")="",AND(LEN(CB326)&gt;=4,CB326=REPT(LEFT(CB326),LEN(CB326))),ISNUMBER(MATCH(CB326,{"123","1234","12345","123456","1234567","12345678","0123","01234","012345","98765","987654","54321"},0)),AND(LEN(CB326)=8,LEFT(CB326,3)="202"))),OR(AND((LEN(CA326)-LEN(SUBSTITUTE(CA326,"a","")))&gt;=1,SUMPRODUCT(--ISNUMBER(SEARCH({"a0","a-0","a_0","a/0","a.0","a#0","0a","0-a","0_a","0/a"},BP326)))&gt;0),ISNUMBER(SEARCH("000000",BP326)))),1,0),0)</f>
        <v>0</v>
      </c>
      <c r="BR326" s="61" t="n">
        <f aca="false">IFERROR(LEN(SUBSTITUTE(CC326," ",""))-SUMPRODUCT((LEN(CC326)-LEN(SUBSTITUTE(CC326," "&amp;L_Role&amp;" "," ")))/(LEN(L_Role)+1)*LEN(L_Role)),0)</f>
        <v>0</v>
      </c>
      <c r="BS326" s="61" t="n">
        <f aca="false">IFERROR(LEN(SUBSTITUTE(CD326," ",""))-SUMPRODUCT((LEN(CD326)-LEN(SUBSTITUTE(CD326," "&amp;L_Role&amp;" "," ")))/(LEN(L_Role)+1)*LEN(L_Role)),0)</f>
        <v>0</v>
      </c>
      <c r="BT3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326,"revision",""),"version",""),"jan",""),"feb",""),"mar",""),"apr",""),"may",""),"jun",""),"jul",""),"aug",""),"sep",""),"oct",""),"nov",""),"dec",""),"utc",""),"gmt",""),"myt",""),"bst",""),"rev",""),"ver",""),"b","a"),"c","a"),"d","a"),"e","a"),"f","a"),"g","a"),"h","a"),"i","a"),"j","a"),"k","a"),"l","a"),"m","a"),"n","a"),"o","a"),"p","a"),"q","a"),"r","a"),"s","a"),"t","a"),"u","a"),"v","a"),"w","a"),"x","a"),"y","a"),"z","a")</f>
        <v/>
      </c>
      <c r="BU326" s="61" t="str">
        <f aca="false">SUBSTITUTE(SUBSTITUTE(SUBSTITUTE(SUBSTITUTE(SUBSTITUTE(SUBSTITUTE(SUBSTITUTE(SUBSTITUTE(SUBSTITUTE(SUBSTITUTE(LEFT(BM326,FIND("0",BM326&amp;"0")-1),"-",""),"_",""),"/",""),".",""),"#",""),"\\",""),":","")," ",""),"(",""),")","")</f>
        <v/>
      </c>
      <c r="BV326" s="61" t="n">
        <f aca="false">0</f>
        <v>0</v>
      </c>
      <c r="BW3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326&amp;""),"a",""),"b",""),"c",""),"d",""),"e",""),"f",""),"g",""),"h",""),"i",""),"j",""),"k",""),"l",""),"m",""),"n",""),"o",""),"p",""),"q",""),"r",""),"s",""),"t",""),"u",""),"v",""),"w",""),"x",""),"y",""),"z",""),"-",""),"_",""),"/",""),".",""),"#",""),"\\",""),":","")," ",""),"(",""),")","")</f>
        <v/>
      </c>
      <c r="BX326" s="61" t="str">
        <f aca="false">SUBSTITUTE(SUBSTITUTE(SUBSTITUTE(SUBSTITUTE(SUBSTITUTE(SUBSTITUTE(SUBSTITUTE(SUBSTITUTE(SUBSTITUTE(SUBSTITUTE(SUBSTITUTE(BM326,"0",""),"-",""),"_",""),"/",""),".",""),"#",""),"\\",""),":","")," ",""),"(",""),")","")</f>
        <v/>
      </c>
      <c r="BY326" s="62" t="n">
        <f aca="false">Q326-T7EarlyD*24/24</f>
        <v>46286.15625</v>
      </c>
      <c r="BZ326" s="61" t="n">
        <f aca="false">IFERROR(IF(IF(TRIM(S326)="Link / file path",AND(LEN(TRIM(Z326))&gt;=5,SUMPRODUCT(--ISNUMBER(SEARCH({"http","www.","\\",":\",".pdf",".jpg",".jpeg",".png",".heic",".xls",".doc",".msg",".eml",".ppt",".txt",".zip"},Z326)))&gt;0),AND(ISERROR(FIND(" ",TRIM(Z326))),NOT(OR(SUMPRODUCT(--ISNUMBER(FIND({",",";","&amp;","+"},Z326)))&gt;0,SUMPRODUCT(--ISNUMBER(SEARCH({"0/aa","0\\aa"},BN326)))&gt;0)),NOT(SUMPRODUCT(--ISNUMBER(SEARCH({"http","www.","\\",":\",".pdf",".jpg",".jpeg",".png",".heic",".xls",".doc",".msg",".eml",".ppt",".txt",".zip"},Z326)))&gt;0),NOT(LOWER(TRIM(Z326))=LOWER(Flights!$F$14)),ISNA(MATCH(BU326,{"mh","rev","revision","ver","version","v","r","a","b","seat","tray","row","gate","bay","stand","page","pg","item","line","no","cart","galley","flight","flt","table","box","bag","oven","etd","eta","std","sta","atd","ata","qty","pax","x","time","tel","ph","mob","day","wk","week","utc","gmt","myt","lt"},0)),NOT(OR(ISNUMBER(MATCH(LEFT(BN326,255),{"0000a","000a","00a","0000aa","000aa","00aa","0aa","0000aaa","000aaa","00a00","0a00","0000-0000","00:00","a00","a0","00.00.0000","00/00/0000","00-00-0000","0000-00-00","0000/00/00","0000.00.00","00.00.00","00/00/00","00-00-00","0.00.0000","0/00/0000","0-00-0000"},0)),ISNUMBER(MATCH(LEFT(BT326,255),{"0000a","000a","00a","0000aa","000aa","00aa","0aa","0000aaa","000aaa","00a00","0a00","0000-0000","00:00","a00","a0","00.00.0000","00/00/0000","00-00-0000","0000-00-00","0000/00/00","0000.00.00","00.00.00","00/00/00","00-00-00","0.00.0000","0/00/0000","0-00-0000"},0)))),NOT(OR(AND(BW326&lt;&gt;"",SUBSTITUTE(BW326,"0","")=""),AND(LEN(BW326)&gt;=4,BW326=REPT(LEFT(BW326),LEN(BW326))),ISNUMBER(MATCH(BW326,{"123","1234","12345","123456","1234567","12345678","0123","01234","012345","98765","987654","54321"},0)),ISNUMBER(MATCH(BX326,{"x","xx","xxx","xxxx","xxxxx","abc","abcd","nil","na","nan","test","tbc","tba","tbd","dummy","sample","example","eg","zz","zzz","none","null","xyz","qwe","asd","id","ref"},0)),AND(LEN(BW326)=8,BX326="",OR(LEFT(BW326,3)="202",ISNUMBER(MATCH(RIGHT(BW326,4),{"2025","2026","2027"},0)))))),OR(AND((LEN(BT326)-LEN(SUBSTITUTE(BT326,"a","")))&gt;=1,(LEN(BN326)-LEN(SUBSTITUTE(BN326,"0","")))&gt;=2,SUMPRODUCT(--ISNUMBER(SEARCH({"a0","a-0","a_0","a/0","a.0","a#0","0a","0-a","0_a","0/a"},BN326)))&gt;0),AND((LEN(BN326)-LEN(SUBSTITUTE(BN326,"a","")))=0,(LEN(BN326)-LEN(SUBSTITUTE(BN326,"0","")))&gt;=5)))),1,0),0)</f>
        <v>0</v>
      </c>
      <c r="CA3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326,"revision",""),"version",""),"jan",""),"feb",""),"mar",""),"apr",""),"may",""),"jun",""),"jul",""),"aug",""),"sep",""),"oct",""),"nov",""),"dec",""),"utc",""),"gmt",""),"myt",""),"bst",""),"rev",""),"ver",""),"b","a"),"c","a"),"d","a"),"e","a"),"f","a"),"g","a"),"h","a"),"i","a"),"j","a"),"k","a"),"l","a"),"m","a"),"n","a"),"o","a"),"p","a"),"q","a"),"r","a"),"s","a"),"t","a"),"u","a"),"v","a"),"w","a"),"x","a"),"y","a"),"z","a")</f>
        <v/>
      </c>
      <c r="CB3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326&amp;""),"a",""),"b",""),"c",""),"d",""),"e",""),"f",""),"g",""),"h",""),"i",""),"j",""),"k",""),"l",""),"m",""),"n",""),"o",""),"p",""),"q",""),"r",""),"s",""),"t",""),"u",""),"v",""),"w",""),"x",""),"y",""),"z",""),"-",""),"_",""),"/",""),".",""),"#",""),"\\",""),":","")," ",""),"(",""),")","")</f>
        <v/>
      </c>
      <c r="CC326" s="0" t="str">
        <f aca="false">" "&amp;TRIM(SUBSTITUTE(SUBSTITUTE(SUBSTITUTE(SUBSTITUTE(SUBSTITUTE(SUBSTITUTE(SUBSTITUTE(SUBSTITUTE(SUBSTITUTE(SUBSTITUTE(SUBSTITUTE(SUBSTITUTE(SUBSTITUTE(SUBSTITUTE(SUBSTITUTE(SUBSTITUTE(SUBSTITUTE(SUBSTITUTE(SUBSTITUTE(SUBSTITUTE(SUBSTITUTE(SUBSTITUTE(SUBSTITUTE(SUBSTITUTE(LOWER(T326&amp;""),CHAR(10)," "),CHAR(13)," "),CHAR(9)," "),CHAR(160)," "),"."," "),","," "),"-"," "),"/"," "),"("," "),")"," "),":"," "),";"," "),"_"," "),"–"," "),"?"," "),"!"," "),"*"," "),"["," "),"]"," "),"'"," "),"#"," "),"+"," "),"&amp;"," "),"\"," "))&amp;" "</f>
        <v>  </v>
      </c>
      <c r="CD326" s="0" t="str">
        <f aca="false">" "&amp;TRIM(SUBSTITUTE(SUBSTITUTE(SUBSTITUTE(SUBSTITUTE(SUBSTITUTE(SUBSTITUTE(SUBSTITUTE(SUBSTITUTE(SUBSTITUTE(SUBSTITUTE(SUBSTITUTE(SUBSTITUTE(SUBSTITUTE(SUBSTITUTE(SUBSTITUTE(SUBSTITUTE(SUBSTITUTE(SUBSTITUTE(SUBSTITUTE(SUBSTITUTE(SUBSTITUTE(SUBSTITUTE(SUBSTITUTE(SUBSTITUTE(LOWER(AE326&amp;""),CHAR(10)," "),CHAR(13)," "),CHAR(9)," "),CHAR(160)," "),"."," "),","," "),"-"," "),"/"," "),"("," "),")"," "),":"," "),";"," "),"_"," "),"–"," "),"?"," "),"!"," "),"*"," "),"["," "),"]"," "),"'"," "),"#"," "),"+"," "),"&amp;"," "),"\"," "))&amp;" "</f>
        <v>  </v>
      </c>
      <c r="CE326" s="68" t="n">
        <f aca="false">IFERROR(IF(AND(LEN(AU326)&gt;0,LEN(AU326)=LEN(AX326),OR(TRIM(MID(SUBSTITUTE(TRIM(CC326)," ",REPT(" ",60)),1,60))="",ISNUMBER(SEARCH(" "&amp;TRIM(MID(SUBSTITUTE(TRIM(CC326)," ",REPT(" ",60)),1,60))&amp;" ",CD326))),OR(TRIM(MID(SUBSTITUTE(TRIM(CC326)," ",REPT(" ",60)),61,60))="",ISNUMBER(SEARCH(" "&amp;TRIM(MID(SUBSTITUTE(TRIM(CC326)," ",REPT(" ",60)),61,60))&amp;" ",CD326))),OR(TRIM(MID(SUBSTITUTE(TRIM(CC326)," ",REPT(" ",60)),121,60))="",ISNUMBER(SEARCH(" "&amp;TRIM(MID(SUBSTITUTE(TRIM(CC326)," ",REPT(" ",60)),121,60))&amp;" ",CD326)))),1,0),0)</f>
        <v>0</v>
      </c>
      <c r="CG326" s="68" t="n">
        <f aca="false">IFERROR(LEN(SUBSTITUTE(BF326," ",""))-SUMPRODUCT((LEN(BF326)-LEN(SUBSTITUTE(BF326," "&amp;L_NAFiller&amp;" "," ")))/(LEN(L_NAFiller)+1)*LEN(L_NAFiller)),0)</f>
        <v>0</v>
      </c>
    </row>
    <row r="327" customFormat="false" ht="39.75" hidden="false" customHeight="true" outlineLevel="0" collapsed="false">
      <c r="A327" s="57" t="s">
        <v>918</v>
      </c>
      <c r="B327" s="57" t="s">
        <v>251</v>
      </c>
      <c r="C327" s="57" t="str">
        <f aca="false">Flights!$F$14</f>
        <v>MH1140</v>
      </c>
      <c r="D327" s="58" t="n">
        <f aca="false">Flights!$D$14</f>
        <v>46307</v>
      </c>
      <c r="E327" s="57" t="str">
        <f aca="false">Flights!$G$14&amp;"-"&amp;Flights!$H$14</f>
        <v>KUL-PEN</v>
      </c>
      <c r="F327" s="57" t="str">
        <f aca="false">Flights!$K$14</f>
        <v>BC</v>
      </c>
      <c r="G327" s="57" t="s">
        <v>81</v>
      </c>
      <c r="H327" s="57" t="s">
        <v>378</v>
      </c>
      <c r="I327" s="57" t="s">
        <v>398</v>
      </c>
      <c r="J327" s="57" t="s">
        <v>402</v>
      </c>
      <c r="K327" s="67" t="s">
        <v>403</v>
      </c>
      <c r="L327" s="67" t="s">
        <v>382</v>
      </c>
      <c r="M327" s="67"/>
      <c r="N327" s="67" t="s">
        <v>383</v>
      </c>
      <c r="O327" s="67"/>
      <c r="P327" s="57" t="s">
        <v>187</v>
      </c>
      <c r="Q327" s="59" t="n">
        <f aca="false">ROUND((Flights!$AC$14)*1440,0)/1440</f>
        <v>46300.15625</v>
      </c>
      <c r="R327" s="59" t="n">
        <f aca="false">Q327+(IF(AND(INDEX(TZ_DSTS,MATCH(P327,TZ_STN,0))&lt;&gt;"",Q327&gt;=INDEX(TZ_DSTS,MATCH(P327,TZ_STN,0)),Q327&lt;INDEX(TZ_DSTE,MATCH(P327,TZ_STN,0))),INDEX(TZ_DST,MATCH(P327,TZ_STN,0)),INDEX(TZ_STD,MATCH(P327,TZ_STN,0))))/24</f>
        <v>46300.4895833333</v>
      </c>
      <c r="S327" s="60"/>
      <c r="T327" s="60"/>
      <c r="U327" s="60"/>
      <c r="V327" s="60"/>
      <c r="W327" s="61"/>
      <c r="X327" s="60"/>
      <c r="Y327" s="60"/>
      <c r="Z327" s="60"/>
      <c r="AA327" s="60"/>
      <c r="AB327" s="60"/>
      <c r="AC327" s="60"/>
      <c r="AD327" s="66"/>
      <c r="AE327" s="60"/>
      <c r="AF327" s="61" t="str">
        <f aca="false">IF(AND(ISNUMBER(X327),ISNUMBER(Y327)),Y327-X327,"")</f>
        <v/>
      </c>
      <c r="AG327" s="62" t="str">
        <f aca="false">IF(ISNUMBER(AD327),AD327-(IF(AND(INDEX(TZ_DSTS,MATCH(P327,TZ_STN,0))&lt;&gt;"",(AD327-INDEX(TZ_STD,MATCH(P327,TZ_STN,0))/24)&gt;=INDEX(TZ_DSTS,MATCH(P327,TZ_STN,0)),(AD327-INDEX(TZ_STD,MATCH(P327,TZ_STN,0))/24)&lt;INDEX(TZ_DSTE,MATCH(P327,TZ_STN,0))),INDEX(TZ_DST,MATCH(P327,TZ_STN,0)),INDEX(TZ_STD,MATCH(P327,TZ_STN,0))))/24,"")</f>
        <v/>
      </c>
      <c r="AH327" s="65" t="str">
        <f aca="false">IFERROR(IF(N327="N/A – rule",IF(OR(TRIM(U327)="",TRIM(U327)="N/A",TRIM(U327)="Not started"),"N/A – RULE","INVALID – this check does not apply to this aircraft: clear the status (or correct the fleet on Flights)"),IF(TRIM(U327)="N/A",IF(AT327=0,"INVALID – N/A not permitted for this check",IF(AND(TRIM(AB327)&lt;&gt;"",TRIM(AB327)&lt;&gt;"Closed"),"INVALID – corrective action still open",IF(AND(NOT(OR(LEN(AZ327)&lt;15,ISNUMBER(MATCH(AZ327,L_Placeholder,0)))),BK327=0,CG327&gt;=8,NOT(OR(LEN(AU327)&lt;2,ISNUMBER(MATCH(AU327,L_Placeholder,0)))),BR327&gt;=3,NOT(OR(LEN(AX327)&lt;2,ISNUMBER(MATCH(AX327,L_Placeholder,0)))),BS327&gt;=3,TRIM(AE327)&lt;&gt;TRIM(T327),AX327&lt;&gt;AU327,CE327=0),"N/A – JUSTIFIED","INVALID – N/A needs a real, settled reason (not 'not applicable' / 'as above' / TBC), a named PIC and a different named verifier"))),IF(OR(TRIM(U327)="Pass",TRIM(U327)="Pass after CA"),IF(NOT(ISNUMBER(AD327)),"INVALID – completion time missing",IF(OR(OR(LEN(AU327)&lt;2,ISNUMBER(MATCH(AU327,L_Placeholder,0))),BR327&lt;3),"INVALID – PIC missing or not a named person (a role such as QA / CSM is not a name)",IF(OR(LEN(AV327)&lt;2,ISNUMBER(MATCH(AV327,L_Placeholder,0))),"INVALID – result / assessment missing",IF(OR(OR(LEN(AW327)&lt;3,ISNUMBER(MATCH(AW327,L_Placeholder,0))),SUMPRODUCT(--ISNUMBER(SEARCH(" "&amp;L_EvidencePhrase&amp;" ",BD327)))&gt;0,BI327=1),"INVALID – evidence missing, placeholder or not yet on file",IF(ISNA(MATCH(TRIM(S327),L_EvidenceType,0)),"INVALID – choose the evidence type from the list (column S)",IF(BL327=0,"INVALID – evidence ID must be the record's own ID only (e.g. SF-2210, IMG_2231, 1045521); a link / file name needs type 'Link / file path'",IF(OR(OR(LEN(AX327)&lt;2,ISNUMBER(MATCH(AX327,L_Placeholder,0))),BS327&lt;3),"INVALID – verifier missing or not a named person (a role such as QA / CSM is not a name)",IF(OR(AX327=AU327,CE327=1,AND(LEN(AU327)&gt;=4,ISNUMBER(SEARCH(AU327,AX327))),AND(LEN(AX327)&gt;=4,ISNUMBER(SEARCH(AX327,AU327)))),"INVALID – verifier must be a different, named person (not the PIC or a role)",IF(BH327=1,"INVALID – result not yet available (awaiting / TBC)",IF(BG327=1,"INVALID – result describes a problem: record Fail, then Pass after CA (or reword if it is not a problem)",IF(BV327=1,"INVALID – wording says not on board: an on-board confirmation needs the item loaded",IF(AND(AQ327=1,OR(OR(LEN(AY327)&lt;3,ISNUMBER(MATCH(AY327,L_Placeholder,0))),BJ327=1,BQ327=0)),"INVALID – batch ID missing, placeholder or not an ID (e.g. PASB-261008-BC-017)",IF(AND(AR327=1,OR(NOT(ISNUMBER(X327)),NOT(ISNUMBER(Y327)))),"INVALID – expected/actual qty missing",IF(AND(AR327=1,OR(X327&lt;=0,Y327&lt;0)),"INVALID – expected qty must be above 0 and actual not negative",IF(BB327&lt;&gt;"",BB327,IF(AND(AS327=1,Documents!$J$14&lt;&gt;"ON FILE"),"INVALID – GLD not on file (Documents sheet)",IF(AND(AS327=2,Documents!$O$14&lt;&gt;"ON FILE"),"INVALID – menu checklist not on file (Documents sheet)",IF(AND(AS327=3,NOT(ISNUMBER(Flights!$AX$14))),"INVALID – enter carrying flight KUL departure (Flights AX)",IF(AND(AS327=3,OR(Flights!$AZ$14&gt;Flights!$AA$14,Flights!$AX$14&lt;Flights!$AA$14-3)),"INVALID – carrying flight (Flights AX) cannot arrive before this leg's STD, or is over 3 days early",IF(AG327&gt;AsOfUTC,"INVALID – completion time is in the future",IF(AND(ISNUMBER(BY327),AG327&lt;BY327),IF(H327="Physical uplift","INVALID – before uplift window (cannot confirm loading)","INVALID – before valid window"),IF(AG327&gt;Flights!$AA$14,"INVALID – completed after departure (cannot establish readiness)",IF(AND(H327="Preparation",AG327&gt;=IF(ISNUMBER(Flights!$BA$14),MIN(Flights!$BA$14,Flights!$AA$14),Flights!$AA$14)),"INVALID – completed after loading / departure (cannot establish readiness)",IF(AND(H327="Physical uplift",AG327&gt;Q327),"INVALID – recorded after the loading flight departed",IF(AG327&gt;Q327,"COMPLETE – LATE","COMPLETE"))))))))))))))))))))))))),IF(TRIM(U327)="Fail","FAIL – DISCREPANCY",IF(AND(TRIM(U327)&lt;&gt;"",TRIM(U327)&lt;&gt;"Not started",TRIM(U327)&lt;&gt;"In progress"),"INVALID – unrecognised status (use the list)",IF(AsOfUTC&gt;Q327,"OVERDUE",IF(N327="Clarification required","OPEN – CLARIFICATION","OPEN"))))))),"INVALID – error value in an input cell")</f>
        <v>OPEN</v>
      </c>
      <c r="AI327" s="61" t="n">
        <f aca="false">IF(OR(AH327="N/A – RULE",AH327="N/A – JUSTIFIED"),0,1)</f>
        <v>1</v>
      </c>
      <c r="AJ327" s="61" t="n">
        <f aca="false">IF(LEFT(AH327,8)="COMPLETE",1,0)</f>
        <v>0</v>
      </c>
      <c r="AK327" s="61" t="n">
        <f aca="false">IF(AND(AI327=1,AJ327=0,AsOfUTC&gt;Q327),1,0)</f>
        <v>0</v>
      </c>
      <c r="AL327" s="61" t="n">
        <f aca="false">IFERROR(IF(AND(AI327=1,OR(TRIM(U327)="Fail",AND(TRIM(AB327)&lt;&gt;"",TRIM(AB327)&lt;&gt;"Closed"),AND(ISNUMBER(AF327),AF327&lt;&gt;0,TRIM(U327)&lt;&gt;"Pass after CA"))),1,0),1)</f>
        <v>0</v>
      </c>
      <c r="AM327" s="61" t="n">
        <f aca="false">IF(LEFT(AH327,7)="INVALID",1,0)</f>
        <v>0</v>
      </c>
      <c r="AN327" s="61" t="n">
        <f aca="false">IF(AND(N327="Clarification required",AI327=1,AJ327=0),1,0)</f>
        <v>0</v>
      </c>
      <c r="AO327" s="61" t="str">
        <f aca="false">IF(AK327=1,SUM(AK$5:AK327),"")</f>
        <v/>
      </c>
      <c r="AP327" s="61" t="str">
        <f aca="false">IF(AL327=1,SUM(AL$5:AL327),"")</f>
        <v/>
      </c>
      <c r="AQ327" s="61" t="n">
        <v>0</v>
      </c>
      <c r="AR327" s="61" t="n">
        <v>0</v>
      </c>
      <c r="AS327" s="61" t="n">
        <v>0</v>
      </c>
      <c r="AT327" s="61" t="n">
        <v>0</v>
      </c>
      <c r="AU327" s="61" t="str">
        <f aca="false">SUBSTITUTE(SUBSTITUTE(SUBSTITUTE(SUBSTITUTE(SUBSTITUTE(SUBSTITUTE(SUBSTITUTE(SUBSTITUTE(SUBSTITUTE(SUBSTITUTE(SUBSTITUTE(SUBSTITUTE(SUBSTITUTE(SUBSTITUTE(SUBSTITUTE(SUBSTITUTE(LOWER(T327&amp;""),CHAR(10),""),CHAR(13),""),CHAR(9),""),CHAR(160),"")," ",""),".",""),"-",""),"/",""),"?",""),"_",""),",",""),"[",""),"]",""),"(",""),")",""),"*","")</f>
        <v/>
      </c>
      <c r="AV327" s="61" t="str">
        <f aca="false">SUBSTITUTE(SUBSTITUTE(SUBSTITUTE(SUBSTITUTE(SUBSTITUTE(SUBSTITUTE(SUBSTITUTE(SUBSTITUTE(SUBSTITUTE(SUBSTITUTE(SUBSTITUTE(SUBSTITUTE(SUBSTITUTE(SUBSTITUTE(SUBSTITUTE(SUBSTITUTE(LOWER(V327&amp;""),CHAR(10),""),CHAR(13),""),CHAR(9),""),CHAR(160),"")," ",""),".",""),"-",""),"/",""),"?",""),"_",""),",",""),"[",""),"]",""),"(",""),")",""),"*","")</f>
        <v/>
      </c>
      <c r="AW327" s="61" t="str">
        <f aca="false">SUBSTITUTE(SUBSTITUTE(SUBSTITUTE(SUBSTITUTE(SUBSTITUTE(SUBSTITUTE(SUBSTITUTE(SUBSTITUTE(SUBSTITUTE(SUBSTITUTE(SUBSTITUTE(SUBSTITUTE(SUBSTITUTE(SUBSTITUTE(SUBSTITUTE(SUBSTITUTE(LOWER(Z327&amp;""),CHAR(10),""),CHAR(13),""),CHAR(9),""),CHAR(160),"")," ",""),".",""),"-",""),"/",""),"?",""),"_",""),",",""),"[",""),"]",""),"(",""),")",""),"*","")</f>
        <v/>
      </c>
      <c r="AX327" s="61" t="str">
        <f aca="false">SUBSTITUTE(SUBSTITUTE(SUBSTITUTE(SUBSTITUTE(SUBSTITUTE(SUBSTITUTE(SUBSTITUTE(SUBSTITUTE(SUBSTITUTE(SUBSTITUTE(SUBSTITUTE(SUBSTITUTE(SUBSTITUTE(SUBSTITUTE(SUBSTITUTE(SUBSTITUTE(LOWER(AE327&amp;""),CHAR(10),""),CHAR(13),""),CHAR(9),""),CHAR(160),"")," ",""),".",""),"-",""),"/",""),"?",""),"_",""),",",""),"[",""),"]",""),"(",""),")",""),"*","")</f>
        <v/>
      </c>
      <c r="AY327" s="61" t="str">
        <f aca="false">SUBSTITUTE(SUBSTITUTE(SUBSTITUTE(SUBSTITUTE(SUBSTITUTE(SUBSTITUTE(SUBSTITUTE(SUBSTITUTE(SUBSTITUTE(SUBSTITUTE(SUBSTITUTE(SUBSTITUTE(SUBSTITUTE(SUBSTITUTE(SUBSTITUTE(SUBSTITUTE(LOWER(W327&amp;""),CHAR(10),""),CHAR(13),""),CHAR(9),""),CHAR(160),"")," ",""),".",""),"-",""),"/",""),"?",""),"_",""),",",""),"[",""),"]",""),"(",""),")",""),"*","")</f>
        <v/>
      </c>
      <c r="AZ327" s="61" t="str">
        <f aca="false">SUBSTITUTE(SUBSTITUTE(SUBSTITUTE(SUBSTITUTE(SUBSTITUTE(SUBSTITUTE(SUBSTITUTE(SUBSTITUTE(SUBSTITUTE(SUBSTITUTE(SUBSTITUTE(SUBSTITUTE(SUBSTITUTE(SUBSTITUTE(SUBSTITUTE(SUBSTITUTE(LOWER(AC327&amp;""),CHAR(10),""),CHAR(13),""),CHAR(9),""),CHAR(160),"")," ",""),".",""),"-",""),"/",""),"?",""),"_",""),",",""),"[",""),"]",""),"(",""),")",""),"*","")</f>
        <v/>
      </c>
      <c r="BA327" s="61" t="str">
        <f aca="false">SUBSTITUTE(SUBSTITUTE(SUBSTITUTE(SUBSTITUTE(SUBSTITUTE(SUBSTITUTE(SUBSTITUTE(SUBSTITUTE(SUBSTITUTE(SUBSTITUTE(SUBSTITUTE(SUBSTITUTE(SUBSTITUTE(SUBSTITUTE(SUBSTITUTE(SUBSTITUTE(LOWER(AA327&amp;""),CHAR(10),""),CHAR(13),""),CHAR(9),""),CHAR(160),"")," ",""),".",""),"-",""),"/",""),"?",""),"_",""),",",""),"[",""),"]",""),"(",""),")",""),"*","")</f>
        <v/>
      </c>
      <c r="BB327" s="61" t="str">
        <f aca="false">IF(AND(TRIM(U327)="Pass",ISNUMBER(AF327)),IF(AF327&lt;&gt;0,"INVALID – qty variance: use Fail or Pass after CA",""),"")&amp;IF(AND(TRIM(U327)="Pass after CA",ISNUMBER(AF327)),IF(AF327&lt;&gt;0,"INVALID – after the corrective action the actual qty must equal expected (update Actual)",""),"")&amp;IF(AND(TRIM(U327)="Pass",TRIM(AB327)&lt;&gt;"",TRIM(AB327)&lt;&gt;"Closed"),"INVALID – corrective action not closed: use Fail, then Pass after CA","")&amp;IF(AND(LEN(BA327)&gt;=2,ISNA(MATCH(LEFT(BA327,255),L_Placeholder,0)),TRIM(AB327)=""),"INVALID – CA status missing for the recorded corrective action","")&amp;IF(AND(TRIM(U327)="Pass after CA",OR(OR(LEN(BA327)&lt;5,ISNUMBER(MATCH(BA327,L_Placeholder,0))),TRIM(AB327)&lt;&gt;"Closed")),"INVALID – corrective action not recorded/closed","")</f>
        <v/>
      </c>
      <c r="BC327" s="61" t="str">
        <f aca="false">" "&amp;TRIM(SUBSTITUTE(SUBSTITUTE(SUBSTITUTE(SUBSTITUTE(SUBSTITUTE(SUBSTITUTE(SUBSTITUTE(SUBSTITUTE(SUBSTITUTE(SUBSTITUTE(SUBSTITUTE(SUBSTITUTE(SUBSTITUTE(SUBSTITUTE(SUBSTITUTE(SUBSTITUTE(SUBSTITUTE(SUBSTITUTE(SUBSTITUTE(SUBSTITUTE(SUBSTITUTE(SUBSTITUTE(SUBSTITUTE(SUBSTITUTE(LOWER(V327&amp;""),CHAR(10)," "),CHAR(13)," "),CHAR(9)," "),CHAR(160)," "),"."," "),","," "),"-"," "),"/"," "),"("," "),")"," "),":"," "),";"," "),"_"," "),"–"," "),"?"," "),"!"," "),"*"," "),"["," "),"]"," "),"'"," "),"#"," "),"+"," "),"&amp;"," "),"\"," "))&amp;" "</f>
        <v>  </v>
      </c>
      <c r="BD327" s="61" t="str">
        <f aca="false">" "&amp;TRIM(SUBSTITUTE(SUBSTITUTE(SUBSTITUTE(SUBSTITUTE(SUBSTITUTE(SUBSTITUTE(SUBSTITUTE(SUBSTITUTE(SUBSTITUTE(SUBSTITUTE(SUBSTITUTE(SUBSTITUTE(SUBSTITUTE(SUBSTITUTE(SUBSTITUTE(SUBSTITUTE(SUBSTITUTE(SUBSTITUTE(SUBSTITUTE(SUBSTITUTE(SUBSTITUTE(SUBSTITUTE(SUBSTITUTE(SUBSTITUTE(LOWER(Z327&amp;""),CHAR(10)," "),CHAR(13)," "),CHAR(9)," "),CHAR(160)," "),"."," "),","," "),"-"," "),"/"," "),"("," "),")"," "),":"," "),";"," "),"_"," "),"–"," "),"?"," "),"!"," "),"*"," "),"["," "),"]"," "),"'"," "),"#"," "),"+"," "),"&amp;"," "),"\"," "))&amp;" "</f>
        <v>  </v>
      </c>
      <c r="BE327" s="61" t="str">
        <f aca="false">" "&amp;TRIM(SUBSTITUTE(SUBSTITUTE(SUBSTITUTE(SUBSTITUTE(SUBSTITUTE(SUBSTITUTE(SUBSTITUTE(SUBSTITUTE(SUBSTITUTE(SUBSTITUTE(SUBSTITUTE(SUBSTITUTE(SUBSTITUTE(SUBSTITUTE(SUBSTITUTE(SUBSTITUTE(SUBSTITUTE(SUBSTITUTE(SUBSTITUTE(SUBSTITUTE(SUBSTITUTE(SUBSTITUTE(SUBSTITUTE(SUBSTITUTE(LOWER(W327&amp;""),CHAR(10)," "),CHAR(13)," "),CHAR(9)," "),CHAR(160)," "),"."," "),","," "),"-"," "),"/"," "),"("," "),")"," "),":"," "),";"," "),"_"," "),"–"," "),"?"," "),"!"," "),"*"," "),"["," "),"]"," "),"'"," "),"#"," "),"+"," "),"&amp;"," "),"\"," "))&amp;" "</f>
        <v>  </v>
      </c>
      <c r="BF327" s="61" t="str">
        <f aca="false">" "&amp;TRIM(SUBSTITUTE(SUBSTITUTE(SUBSTITUTE(SUBSTITUTE(SUBSTITUTE(SUBSTITUTE(SUBSTITUTE(SUBSTITUTE(SUBSTITUTE(SUBSTITUTE(SUBSTITUTE(SUBSTITUTE(SUBSTITUTE(SUBSTITUTE(SUBSTITUTE(SUBSTITUTE(SUBSTITUTE(SUBSTITUTE(SUBSTITUTE(SUBSTITUTE(SUBSTITUTE(SUBSTITUTE(SUBSTITUTE(SUBSTITUTE(LOWER(AC327&amp;""),CHAR(10)," "),CHAR(13)," "),CHAR(9)," "),CHAR(160)," "),"."," "),","," "),"-"," "),"/"," "),"("," "),")"," "),":"," "),";"," "),"_"," "),"–"," "),"?"," "),"!"," "),"*"," "),"["," "),"]"," "),"'"," "),"#"," "),"+"," "),"&amp;"," "),"\"," "))&amp;" "</f>
        <v>  </v>
      </c>
      <c r="BG327" s="61" t="n">
        <f aca="false">IFERROR(IF(AND(TRIM(U327)="Pass",SUMPRODUCT((LEN(BC327)-LEN(SUBSTITUTE(BC327," "&amp;L_ResultBad&amp;" "," ")))/(LEN(L_ResultBad)+1))&gt;SUMPRODUCT((LEN(BC327)-LEN(SUBSTITUTE(BC327," "&amp;L_NegPhrase&amp;" "," ")))/(LEN(L_NegPhrase)+1))),1,0),0)</f>
        <v>0</v>
      </c>
      <c r="BH327" s="61" t="n">
        <f aca="false">IFERROR(IF(SUMPRODUCT((LEN(BC327)-LEN(SUBSTITUTE(BC327," "&amp;L_Pending&amp;" "," ")))/(LEN(L_Pending)+1))&gt;SUMPRODUCT((LEN(BC327)-LEN(SUBSTITUTE(BC327," "&amp;L_PendNeg&amp;" "," ")))/(LEN(L_PendNeg)+1))+SUMPRODUCT((LEN(BC327)-LEN(SUBSTITUTE(BC327," "&amp;L_PendPrep&amp;" "," ")))/(LEN(L_PendPrep)+1)),1,0),1)</f>
        <v>0</v>
      </c>
      <c r="BI327" s="61" t="n">
        <f aca="false">IFERROR(IF(SUMPRODUCT((LEN(BD327)-LEN(SUBSTITUTE(BD327," "&amp;L_PendStrict&amp;" "," ")))/(LEN(L_PendStrict)+1))&gt;SUMPRODUCT((LEN(BD327)-LEN(SUBSTITUTE(BD327," "&amp;L_PendNeg&amp;" "," ")))/(LEN(L_PendNeg)+1)),1,0),1)</f>
        <v>0</v>
      </c>
      <c r="BJ327" s="61" t="n">
        <f aca="false">IFERROR(IF(SUMPRODUCT((LEN(BE327)-LEN(SUBSTITUTE(BE327," "&amp;L_Pending&amp;" "," ")))/(LEN(L_Pending)+1))&gt;SUMPRODUCT((LEN(BE327)-LEN(SUBSTITUTE(BE327," "&amp;L_PendNeg&amp;" "," ")))/(LEN(L_PendNeg)+1))+SUMPRODUCT((LEN(BE327)-LEN(SUBSTITUTE(BE327," "&amp;L_PendPrep&amp;" "," ")))/(LEN(L_PendPrep)+1)),1,0),1)</f>
        <v>0</v>
      </c>
      <c r="BK327" s="61" t="n">
        <f aca="false">IFERROR(IF(SUMPRODUCT((LEN(BF327)-LEN(SUBSTITUTE(BF327," "&amp;L_PendStrict&amp;" "," ")))/(LEN(L_PendStrict)+1))&gt;SUMPRODUCT((LEN(BF327)-LEN(SUBSTITUTE(BF327," "&amp;L_PendNeg&amp;" "," ")))/(LEN(L_PendNeg)+1)),1,0),1)</f>
        <v>0</v>
      </c>
      <c r="BL327" s="61" t="n">
        <f aca="false">IF(ISNA(MATCH(TRIM(S327),L_EvidenceType,0)),0,BZ327)</f>
        <v>0</v>
      </c>
      <c r="BM327" s="61" t="str">
        <f aca="false">SUBSTITUTE(SUBSTITUTE(SUBSTITUTE(SUBSTITUTE(SUBSTITUTE(SUBSTITUTE(SUBSTITUTE(SUBSTITUTE(SUBSTITUTE(LOWER(Z327&amp;""),"1","0"),"2","0"),"3","0"),"4","0"),"5","0"),"6","0"),"7","0"),"8","0"),"9","0")</f>
        <v/>
      </c>
      <c r="BN327" s="61" t="str">
        <f aca="false">SUBSTITUTE(SUBSTITUTE(SUBSTITUTE(SUBSTITUTE(SUBSTITUTE(SUBSTITUTE(SUBSTITUTE(SUBSTITUTE(SUBSTITUTE(SUBSTITUTE(SUBSTITUTE(SUBSTITUTE(SUBSTITUTE(SUBSTITUTE(SUBSTITUTE(SUBSTITUTE(SUBSTITUTE(SUBSTITUTE(SUBSTITUTE(SUBSTITUTE(SUBSTITUTE(SUBSTITUTE(SUBSTITUTE(SUBSTITUTE(SUBSTITUTE(BM327,"b","a"),"c","a"),"d","a"),"e","a"),"f","a"),"g","a"),"h","a"),"i","a"),"j","a"),"k","a"),"l","a"),"m","a"),"n","a"),"o","a"),"p","a"),"q","a"),"r","a"),"s","a"),"t","a"),"u","a"),"v","a"),"w","a"),"x","a"),"y","a"),"z","a")</f>
        <v/>
      </c>
      <c r="BO327" s="61" t="str">
        <f aca="false">SUBSTITUTE(SUBSTITUTE(SUBSTITUTE(SUBSTITUTE(SUBSTITUTE(SUBSTITUTE(SUBSTITUTE(SUBSTITUTE(SUBSTITUTE(LOWER(W327&amp;""),"1","0"),"2","0"),"3","0"),"4","0"),"5","0"),"6","0"),"7","0"),"8","0"),"9","0")</f>
        <v/>
      </c>
      <c r="BP327" s="61" t="str">
        <f aca="false">SUBSTITUTE(SUBSTITUTE(SUBSTITUTE(SUBSTITUTE(SUBSTITUTE(SUBSTITUTE(SUBSTITUTE(SUBSTITUTE(SUBSTITUTE(SUBSTITUTE(SUBSTITUTE(SUBSTITUTE(SUBSTITUTE(SUBSTITUTE(SUBSTITUTE(SUBSTITUTE(SUBSTITUTE(SUBSTITUTE(SUBSTITUTE(SUBSTITUTE(SUBSTITUTE(SUBSTITUTE(SUBSTITUTE(SUBSTITUTE(SUBSTITUTE(BO327,"b","a"),"c","a"),"d","a"),"e","a"),"f","a"),"g","a"),"h","a"),"i","a"),"j","a"),"k","a"),"l","a"),"m","a"),"n","a"),"o","a"),"p","a"),"q","a"),"r","a"),"s","a"),"t","a"),"u","a"),"v","a"),"w","a"),"x","a"),"y","a"),"z","a")</f>
        <v/>
      </c>
      <c r="BQ327" s="61" t="n">
        <f aca="false">IFERROR(IF(AND(ISERROR(SEARCH(" mh"," "&amp;LOWER(W327))),ISNA(MATCH(LEFT(TRIM(BP327),255),{"0000a","000a","00a","0000aa","000aa","00aa","0aa","0000aaa","000aaa","00a00","0a00","0000-0000","00:00","a00","a0","00.00.0000","00/00/0000","00-00-0000","0000-00-00","0000/00/00","0000.00.00","00.00.00","00/00/00","00-00-00","0.00.0000","0/00/0000","0-00-0000"},0)),ISNA(MATCH(LEFT(TRIM(CA327),255),{"0000a","000a","00a","0000aa","000aa","00aa","0aa","0000aaa","000aaa","00a00","0a00","0000-0000","00:00","a00","a0","00.00.0000","00/00/0000","00-00-0000","0000-00-00","0000/00/00","0000.00.00","00.00.00","00/00/00","00-00-00","0.00.0000","0/00/0000","0-00-0000"},0)),LEN(CB327)&gt;=3,NOT(OR(SUBSTITUTE(CB327,"0","")="",AND(LEN(CB327)&gt;=4,CB327=REPT(LEFT(CB327),LEN(CB327))),ISNUMBER(MATCH(CB327,{"123","1234","12345","123456","1234567","12345678","0123","01234","012345","98765","987654","54321"},0)),AND(LEN(CB327)=8,LEFT(CB327,3)="202"))),OR(AND((LEN(CA327)-LEN(SUBSTITUTE(CA327,"a","")))&gt;=1,SUMPRODUCT(--ISNUMBER(SEARCH({"a0","a-0","a_0","a/0","a.0","a#0","0a","0-a","0_a","0/a"},BP327)))&gt;0),ISNUMBER(SEARCH("000000",BP327)))),1,0),0)</f>
        <v>0</v>
      </c>
      <c r="BR327" s="61" t="n">
        <f aca="false">IFERROR(LEN(SUBSTITUTE(CC327," ",""))-SUMPRODUCT((LEN(CC327)-LEN(SUBSTITUTE(CC327," "&amp;L_Role&amp;" "," ")))/(LEN(L_Role)+1)*LEN(L_Role)),0)</f>
        <v>0</v>
      </c>
      <c r="BS327" s="61" t="n">
        <f aca="false">IFERROR(LEN(SUBSTITUTE(CD327," ",""))-SUMPRODUCT((LEN(CD327)-LEN(SUBSTITUTE(CD327," "&amp;L_Role&amp;" "," ")))/(LEN(L_Role)+1)*LEN(L_Role)),0)</f>
        <v>0</v>
      </c>
      <c r="BT3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327,"revision",""),"version",""),"jan",""),"feb",""),"mar",""),"apr",""),"may",""),"jun",""),"jul",""),"aug",""),"sep",""),"oct",""),"nov",""),"dec",""),"utc",""),"gmt",""),"myt",""),"bst",""),"rev",""),"ver",""),"b","a"),"c","a"),"d","a"),"e","a"),"f","a"),"g","a"),"h","a"),"i","a"),"j","a"),"k","a"),"l","a"),"m","a"),"n","a"),"o","a"),"p","a"),"q","a"),"r","a"),"s","a"),"t","a"),"u","a"),"v","a"),"w","a"),"x","a"),"y","a"),"z","a")</f>
        <v/>
      </c>
      <c r="BU327" s="61" t="str">
        <f aca="false">SUBSTITUTE(SUBSTITUTE(SUBSTITUTE(SUBSTITUTE(SUBSTITUTE(SUBSTITUTE(SUBSTITUTE(SUBSTITUTE(SUBSTITUTE(SUBSTITUTE(LEFT(BM327,FIND("0",BM327&amp;"0")-1),"-",""),"_",""),"/",""),".",""),"#",""),"\\",""),":","")," ",""),"(",""),")","")</f>
        <v/>
      </c>
      <c r="BV327" s="61" t="n">
        <f aca="false">0</f>
        <v>0</v>
      </c>
      <c r="BW3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327&amp;""),"a",""),"b",""),"c",""),"d",""),"e",""),"f",""),"g",""),"h",""),"i",""),"j",""),"k",""),"l",""),"m",""),"n",""),"o",""),"p",""),"q",""),"r",""),"s",""),"t",""),"u",""),"v",""),"w",""),"x",""),"y",""),"z",""),"-",""),"_",""),"/",""),".",""),"#",""),"\\",""),":","")," ",""),"(",""),")","")</f>
        <v/>
      </c>
      <c r="BX327" s="61" t="str">
        <f aca="false">SUBSTITUTE(SUBSTITUTE(SUBSTITUTE(SUBSTITUTE(SUBSTITUTE(SUBSTITUTE(SUBSTITUTE(SUBSTITUTE(SUBSTITUTE(SUBSTITUTE(SUBSTITUTE(BM327,"0",""),"-",""),"_",""),"/",""),".",""),"#",""),"\\",""),":","")," ",""),"(",""),")","")</f>
        <v/>
      </c>
      <c r="BY327" s="62" t="n">
        <f aca="false">Q327-T7EarlyD*24/24</f>
        <v>46286.15625</v>
      </c>
      <c r="BZ327" s="61" t="n">
        <f aca="false">IFERROR(IF(IF(TRIM(S327)="Link / file path",AND(LEN(TRIM(Z327))&gt;=5,SUMPRODUCT(--ISNUMBER(SEARCH({"http","www.","\\",":\",".pdf",".jpg",".jpeg",".png",".heic",".xls",".doc",".msg",".eml",".ppt",".txt",".zip"},Z327)))&gt;0),AND(ISERROR(FIND(" ",TRIM(Z327))),NOT(OR(SUMPRODUCT(--ISNUMBER(FIND({",",";","&amp;","+"},Z327)))&gt;0,SUMPRODUCT(--ISNUMBER(SEARCH({"0/aa","0\\aa"},BN327)))&gt;0)),NOT(SUMPRODUCT(--ISNUMBER(SEARCH({"http","www.","\\",":\",".pdf",".jpg",".jpeg",".png",".heic",".xls",".doc",".msg",".eml",".ppt",".txt",".zip"},Z327)))&gt;0),NOT(LOWER(TRIM(Z327))=LOWER(Flights!$F$14)),ISNA(MATCH(BU327,{"mh","rev","revision","ver","version","v","r","a","b","seat","tray","row","gate","bay","stand","page","pg","item","line","no","cart","galley","flight","flt","table","box","bag","oven","etd","eta","std","sta","atd","ata","qty","pax","x","time","tel","ph","mob","day","wk","week","utc","gmt","myt","lt"},0)),NOT(OR(ISNUMBER(MATCH(LEFT(BN327,255),{"0000a","000a","00a","0000aa","000aa","00aa","0aa","0000aaa","000aaa","00a00","0a00","0000-0000","00:00","a00","a0","00.00.0000","00/00/0000","00-00-0000","0000-00-00","0000/00/00","0000.00.00","00.00.00","00/00/00","00-00-00","0.00.0000","0/00/0000","0-00-0000"},0)),ISNUMBER(MATCH(LEFT(BT327,255),{"0000a","000a","00a","0000aa","000aa","00aa","0aa","0000aaa","000aaa","00a00","0a00","0000-0000","00:00","a00","a0","00.00.0000","00/00/0000","00-00-0000","0000-00-00","0000/00/00","0000.00.00","00.00.00","00/00/00","00-00-00","0.00.0000","0/00/0000","0-00-0000"},0)))),NOT(OR(AND(BW327&lt;&gt;"",SUBSTITUTE(BW327,"0","")=""),AND(LEN(BW327)&gt;=4,BW327=REPT(LEFT(BW327),LEN(BW327))),ISNUMBER(MATCH(BW327,{"123","1234","12345","123456","1234567","12345678","0123","01234","012345","98765","987654","54321"},0)),ISNUMBER(MATCH(BX327,{"x","xx","xxx","xxxx","xxxxx","abc","abcd","nil","na","nan","test","tbc","tba","tbd","dummy","sample","example","eg","zz","zzz","none","null","xyz","qwe","asd","id","ref"},0)),AND(LEN(BW327)=8,BX327="",OR(LEFT(BW327,3)="202",ISNUMBER(MATCH(RIGHT(BW327,4),{"2025","2026","2027"},0)))))),OR(AND((LEN(BT327)-LEN(SUBSTITUTE(BT327,"a","")))&gt;=1,(LEN(BN327)-LEN(SUBSTITUTE(BN327,"0","")))&gt;=2,SUMPRODUCT(--ISNUMBER(SEARCH({"a0","a-0","a_0","a/0","a.0","a#0","0a","0-a","0_a","0/a"},BN327)))&gt;0),AND((LEN(BN327)-LEN(SUBSTITUTE(BN327,"a","")))=0,(LEN(BN327)-LEN(SUBSTITUTE(BN327,"0","")))&gt;=5)))),1,0),0)</f>
        <v>0</v>
      </c>
      <c r="CA3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327,"revision",""),"version",""),"jan",""),"feb",""),"mar",""),"apr",""),"may",""),"jun",""),"jul",""),"aug",""),"sep",""),"oct",""),"nov",""),"dec",""),"utc",""),"gmt",""),"myt",""),"bst",""),"rev",""),"ver",""),"b","a"),"c","a"),"d","a"),"e","a"),"f","a"),"g","a"),"h","a"),"i","a"),"j","a"),"k","a"),"l","a"),"m","a"),"n","a"),"o","a"),"p","a"),"q","a"),"r","a"),"s","a"),"t","a"),"u","a"),"v","a"),"w","a"),"x","a"),"y","a"),"z","a")</f>
        <v/>
      </c>
      <c r="CB3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327&amp;""),"a",""),"b",""),"c",""),"d",""),"e",""),"f",""),"g",""),"h",""),"i",""),"j",""),"k",""),"l",""),"m",""),"n",""),"o",""),"p",""),"q",""),"r",""),"s",""),"t",""),"u",""),"v",""),"w",""),"x",""),"y",""),"z",""),"-",""),"_",""),"/",""),".",""),"#",""),"\\",""),":","")," ",""),"(",""),")","")</f>
        <v/>
      </c>
      <c r="CC327" s="0" t="str">
        <f aca="false">" "&amp;TRIM(SUBSTITUTE(SUBSTITUTE(SUBSTITUTE(SUBSTITUTE(SUBSTITUTE(SUBSTITUTE(SUBSTITUTE(SUBSTITUTE(SUBSTITUTE(SUBSTITUTE(SUBSTITUTE(SUBSTITUTE(SUBSTITUTE(SUBSTITUTE(SUBSTITUTE(SUBSTITUTE(SUBSTITUTE(SUBSTITUTE(SUBSTITUTE(SUBSTITUTE(SUBSTITUTE(SUBSTITUTE(SUBSTITUTE(SUBSTITUTE(LOWER(T327&amp;""),CHAR(10)," "),CHAR(13)," "),CHAR(9)," "),CHAR(160)," "),"."," "),","," "),"-"," "),"/"," "),"("," "),")"," "),":"," "),";"," "),"_"," "),"–"," "),"?"," "),"!"," "),"*"," "),"["," "),"]"," "),"'"," "),"#"," "),"+"," "),"&amp;"," "),"\"," "))&amp;" "</f>
        <v>  </v>
      </c>
      <c r="CD327" s="0" t="str">
        <f aca="false">" "&amp;TRIM(SUBSTITUTE(SUBSTITUTE(SUBSTITUTE(SUBSTITUTE(SUBSTITUTE(SUBSTITUTE(SUBSTITUTE(SUBSTITUTE(SUBSTITUTE(SUBSTITUTE(SUBSTITUTE(SUBSTITUTE(SUBSTITUTE(SUBSTITUTE(SUBSTITUTE(SUBSTITUTE(SUBSTITUTE(SUBSTITUTE(SUBSTITUTE(SUBSTITUTE(SUBSTITUTE(SUBSTITUTE(SUBSTITUTE(SUBSTITUTE(LOWER(AE327&amp;""),CHAR(10)," "),CHAR(13)," "),CHAR(9)," "),CHAR(160)," "),"."," "),","," "),"-"," "),"/"," "),"("," "),")"," "),":"," "),";"," "),"_"," "),"–"," "),"?"," "),"!"," "),"*"," "),"["," "),"]"," "),"'"," "),"#"," "),"+"," "),"&amp;"," "),"\"," "))&amp;" "</f>
        <v>  </v>
      </c>
      <c r="CE327" s="68" t="n">
        <f aca="false">IFERROR(IF(AND(LEN(AU327)&gt;0,LEN(AU327)=LEN(AX327),OR(TRIM(MID(SUBSTITUTE(TRIM(CC327)," ",REPT(" ",60)),1,60))="",ISNUMBER(SEARCH(" "&amp;TRIM(MID(SUBSTITUTE(TRIM(CC327)," ",REPT(" ",60)),1,60))&amp;" ",CD327))),OR(TRIM(MID(SUBSTITUTE(TRIM(CC327)," ",REPT(" ",60)),61,60))="",ISNUMBER(SEARCH(" "&amp;TRIM(MID(SUBSTITUTE(TRIM(CC327)," ",REPT(" ",60)),61,60))&amp;" ",CD327))),OR(TRIM(MID(SUBSTITUTE(TRIM(CC327)," ",REPT(" ",60)),121,60))="",ISNUMBER(SEARCH(" "&amp;TRIM(MID(SUBSTITUTE(TRIM(CC327)," ",REPT(" ",60)),121,60))&amp;" ",CD327)))),1,0),0)</f>
        <v>0</v>
      </c>
      <c r="CG327" s="68" t="n">
        <f aca="false">IFERROR(LEN(SUBSTITUTE(BF327," ",""))-SUMPRODUCT((LEN(BF327)-LEN(SUBSTITUTE(BF327," "&amp;L_NAFiller&amp;" "," ")))/(LEN(L_NAFiller)+1)*LEN(L_NAFiller)),0)</f>
        <v>0</v>
      </c>
    </row>
    <row r="328" customFormat="false" ht="39.75" hidden="false" customHeight="true" outlineLevel="0" collapsed="false">
      <c r="A328" s="57" t="s">
        <v>919</v>
      </c>
      <c r="B328" s="57" t="s">
        <v>251</v>
      </c>
      <c r="C328" s="57" t="str">
        <f aca="false">Flights!$F$14</f>
        <v>MH1140</v>
      </c>
      <c r="D328" s="58" t="n">
        <f aca="false">Flights!$D$14</f>
        <v>46307</v>
      </c>
      <c r="E328" s="57" t="str">
        <f aca="false">Flights!$G$14&amp;"-"&amp;Flights!$H$14</f>
        <v>KUL-PEN</v>
      </c>
      <c r="F328" s="57" t="str">
        <f aca="false">Flights!$K$14</f>
        <v>BC</v>
      </c>
      <c r="G328" s="57" t="s">
        <v>81</v>
      </c>
      <c r="H328" s="57" t="s">
        <v>378</v>
      </c>
      <c r="I328" s="57" t="s">
        <v>405</v>
      </c>
      <c r="J328" s="57" t="s">
        <v>406</v>
      </c>
      <c r="K328" s="67" t="s">
        <v>407</v>
      </c>
      <c r="L328" s="67" t="s">
        <v>382</v>
      </c>
      <c r="M328" s="67"/>
      <c r="N328" s="67" t="s">
        <v>383</v>
      </c>
      <c r="O328" s="67"/>
      <c r="P328" s="57" t="s">
        <v>187</v>
      </c>
      <c r="Q328" s="59" t="n">
        <f aca="false">ROUND((Flights!$AC$14)*1440,0)/1440</f>
        <v>46300.15625</v>
      </c>
      <c r="R328" s="59" t="n">
        <f aca="false">Q328+(IF(AND(INDEX(TZ_DSTS,MATCH(P328,TZ_STN,0))&lt;&gt;"",Q328&gt;=INDEX(TZ_DSTS,MATCH(P328,TZ_STN,0)),Q328&lt;INDEX(TZ_DSTE,MATCH(P328,TZ_STN,0))),INDEX(TZ_DST,MATCH(P328,TZ_STN,0)),INDEX(TZ_STD,MATCH(P328,TZ_STN,0))))/24</f>
        <v>46300.4895833333</v>
      </c>
      <c r="S328" s="60"/>
      <c r="T328" s="60"/>
      <c r="U328" s="60"/>
      <c r="V328" s="60"/>
      <c r="W328" s="61"/>
      <c r="X328" s="60"/>
      <c r="Y328" s="60"/>
      <c r="Z328" s="60"/>
      <c r="AA328" s="60"/>
      <c r="AB328" s="60"/>
      <c r="AC328" s="60"/>
      <c r="AD328" s="66"/>
      <c r="AE328" s="60"/>
      <c r="AF328" s="61" t="str">
        <f aca="false">IF(AND(ISNUMBER(X328),ISNUMBER(Y328)),Y328-X328,"")</f>
        <v/>
      </c>
      <c r="AG328" s="62" t="str">
        <f aca="false">IF(ISNUMBER(AD328),AD328-(IF(AND(INDEX(TZ_DSTS,MATCH(P328,TZ_STN,0))&lt;&gt;"",(AD328-INDEX(TZ_STD,MATCH(P328,TZ_STN,0))/24)&gt;=INDEX(TZ_DSTS,MATCH(P328,TZ_STN,0)),(AD328-INDEX(TZ_STD,MATCH(P328,TZ_STN,0))/24)&lt;INDEX(TZ_DSTE,MATCH(P328,TZ_STN,0))),INDEX(TZ_DST,MATCH(P328,TZ_STN,0)),INDEX(TZ_STD,MATCH(P328,TZ_STN,0))))/24,"")</f>
        <v/>
      </c>
      <c r="AH328" s="65" t="str">
        <f aca="false">IFERROR(IF(N328="N/A – rule",IF(OR(TRIM(U328)="",TRIM(U328)="N/A",TRIM(U328)="Not started"),"N/A – RULE","INVALID – this check does not apply to this aircraft: clear the status (or correct the fleet on Flights)"),IF(TRIM(U328)="N/A",IF(AT328=0,"INVALID – N/A not permitted for this check",IF(AND(TRIM(AB328)&lt;&gt;"",TRIM(AB328)&lt;&gt;"Closed"),"INVALID – corrective action still open",IF(AND(NOT(OR(LEN(AZ328)&lt;15,ISNUMBER(MATCH(AZ328,L_Placeholder,0)))),BK328=0,CG328&gt;=8,NOT(OR(LEN(AU328)&lt;2,ISNUMBER(MATCH(AU328,L_Placeholder,0)))),BR328&gt;=3,NOT(OR(LEN(AX328)&lt;2,ISNUMBER(MATCH(AX328,L_Placeholder,0)))),BS328&gt;=3,TRIM(AE328)&lt;&gt;TRIM(T328),AX328&lt;&gt;AU328,CE328=0),"N/A – JUSTIFIED","INVALID – N/A needs a real, settled reason (not 'not applicable' / 'as above' / TBC), a named PIC and a different named verifier"))),IF(OR(TRIM(U328)="Pass",TRIM(U328)="Pass after CA"),IF(NOT(ISNUMBER(AD328)),"INVALID – completion time missing",IF(OR(OR(LEN(AU328)&lt;2,ISNUMBER(MATCH(AU328,L_Placeholder,0))),BR328&lt;3),"INVALID – PIC missing or not a named person (a role such as QA / CSM is not a name)",IF(OR(LEN(AV328)&lt;2,ISNUMBER(MATCH(AV328,L_Placeholder,0))),"INVALID – result / assessment missing",IF(OR(OR(LEN(AW328)&lt;3,ISNUMBER(MATCH(AW328,L_Placeholder,0))),SUMPRODUCT(--ISNUMBER(SEARCH(" "&amp;L_EvidencePhrase&amp;" ",BD328)))&gt;0,BI328=1),"INVALID – evidence missing, placeholder or not yet on file",IF(ISNA(MATCH(TRIM(S328),L_EvidenceType,0)),"INVALID – choose the evidence type from the list (column S)",IF(BL328=0,"INVALID – evidence ID must be the record's own ID only (e.g. SF-2210, IMG_2231, 1045521); a link / file name needs type 'Link / file path'",IF(OR(OR(LEN(AX328)&lt;2,ISNUMBER(MATCH(AX328,L_Placeholder,0))),BS328&lt;3),"INVALID – verifier missing or not a named person (a role such as QA / CSM is not a name)",IF(OR(AX328=AU328,CE328=1,AND(LEN(AU328)&gt;=4,ISNUMBER(SEARCH(AU328,AX328))),AND(LEN(AX328)&gt;=4,ISNUMBER(SEARCH(AX328,AU328)))),"INVALID – verifier must be a different, named person (not the PIC or a role)",IF(BH328=1,"INVALID – result not yet available (awaiting / TBC)",IF(BG328=1,"INVALID – result describes a problem: record Fail, then Pass after CA (or reword if it is not a problem)",IF(BV328=1,"INVALID – wording says not on board: an on-board confirmation needs the item loaded",IF(AND(AQ328=1,OR(OR(LEN(AY328)&lt;3,ISNUMBER(MATCH(AY328,L_Placeholder,0))),BJ328=1,BQ328=0)),"INVALID – batch ID missing, placeholder or not an ID (e.g. PASB-261008-BC-017)",IF(AND(AR328=1,OR(NOT(ISNUMBER(X328)),NOT(ISNUMBER(Y328)))),"INVALID – expected/actual qty missing",IF(AND(AR328=1,OR(X328&lt;=0,Y328&lt;0)),"INVALID – expected qty must be above 0 and actual not negative",IF(BB328&lt;&gt;"",BB328,IF(AND(AS328=1,Documents!$J$14&lt;&gt;"ON FILE"),"INVALID – GLD not on file (Documents sheet)",IF(AND(AS328=2,Documents!$O$14&lt;&gt;"ON FILE"),"INVALID – menu checklist not on file (Documents sheet)",IF(AND(AS328=3,NOT(ISNUMBER(Flights!$AX$14))),"INVALID – enter carrying flight KUL departure (Flights AX)",IF(AND(AS328=3,OR(Flights!$AZ$14&gt;Flights!$AA$14,Flights!$AX$14&lt;Flights!$AA$14-3)),"INVALID – carrying flight (Flights AX) cannot arrive before this leg's STD, or is over 3 days early",IF(AG328&gt;AsOfUTC,"INVALID – completion time is in the future",IF(AND(ISNUMBER(BY328),AG328&lt;BY328),IF(H328="Physical uplift","INVALID – before uplift window (cannot confirm loading)","INVALID – before valid window"),IF(AG328&gt;Flights!$AA$14,"INVALID – completed after departure (cannot establish readiness)",IF(AND(H328="Preparation",AG328&gt;=IF(ISNUMBER(Flights!$BA$14),MIN(Flights!$BA$14,Flights!$AA$14),Flights!$AA$14)),"INVALID – completed after loading / departure (cannot establish readiness)",IF(AND(H328="Physical uplift",AG328&gt;Q328),"INVALID – recorded after the loading flight departed",IF(AG328&gt;Q328,"COMPLETE – LATE","COMPLETE"))))))))))))))))))))))))),IF(TRIM(U328)="Fail","FAIL – DISCREPANCY",IF(AND(TRIM(U328)&lt;&gt;"",TRIM(U328)&lt;&gt;"Not started",TRIM(U328)&lt;&gt;"In progress"),"INVALID – unrecognised status (use the list)",IF(AsOfUTC&gt;Q328,"OVERDUE",IF(N328="Clarification required","OPEN – CLARIFICATION","OPEN"))))))),"INVALID – error value in an input cell")</f>
        <v>OPEN</v>
      </c>
      <c r="AI328" s="61" t="n">
        <f aca="false">IF(OR(AH328="N/A – RULE",AH328="N/A – JUSTIFIED"),0,1)</f>
        <v>1</v>
      </c>
      <c r="AJ328" s="61" t="n">
        <f aca="false">IF(LEFT(AH328,8)="COMPLETE",1,0)</f>
        <v>0</v>
      </c>
      <c r="AK328" s="61" t="n">
        <f aca="false">IF(AND(AI328=1,AJ328=0,AsOfUTC&gt;Q328),1,0)</f>
        <v>0</v>
      </c>
      <c r="AL328" s="61" t="n">
        <f aca="false">IFERROR(IF(AND(AI328=1,OR(TRIM(U328)="Fail",AND(TRIM(AB328)&lt;&gt;"",TRIM(AB328)&lt;&gt;"Closed"),AND(ISNUMBER(AF328),AF328&lt;&gt;0,TRIM(U328)&lt;&gt;"Pass after CA"))),1,0),1)</f>
        <v>0</v>
      </c>
      <c r="AM328" s="61" t="n">
        <f aca="false">IF(LEFT(AH328,7)="INVALID",1,0)</f>
        <v>0</v>
      </c>
      <c r="AN328" s="61" t="n">
        <f aca="false">IF(AND(N328="Clarification required",AI328=1,AJ328=0),1,0)</f>
        <v>0</v>
      </c>
      <c r="AO328" s="61" t="str">
        <f aca="false">IF(AK328=1,SUM(AK$5:AK328),"")</f>
        <v/>
      </c>
      <c r="AP328" s="61" t="str">
        <f aca="false">IF(AL328=1,SUM(AL$5:AL328),"")</f>
        <v/>
      </c>
      <c r="AQ328" s="61" t="n">
        <v>0</v>
      </c>
      <c r="AR328" s="61" t="n">
        <v>0</v>
      </c>
      <c r="AS328" s="61" t="n">
        <v>1</v>
      </c>
      <c r="AT328" s="61" t="n">
        <v>0</v>
      </c>
      <c r="AU328" s="61" t="str">
        <f aca="false">SUBSTITUTE(SUBSTITUTE(SUBSTITUTE(SUBSTITUTE(SUBSTITUTE(SUBSTITUTE(SUBSTITUTE(SUBSTITUTE(SUBSTITUTE(SUBSTITUTE(SUBSTITUTE(SUBSTITUTE(SUBSTITUTE(SUBSTITUTE(SUBSTITUTE(SUBSTITUTE(LOWER(T328&amp;""),CHAR(10),""),CHAR(13),""),CHAR(9),""),CHAR(160),"")," ",""),".",""),"-",""),"/",""),"?",""),"_",""),",",""),"[",""),"]",""),"(",""),")",""),"*","")</f>
        <v/>
      </c>
      <c r="AV328" s="61" t="str">
        <f aca="false">SUBSTITUTE(SUBSTITUTE(SUBSTITUTE(SUBSTITUTE(SUBSTITUTE(SUBSTITUTE(SUBSTITUTE(SUBSTITUTE(SUBSTITUTE(SUBSTITUTE(SUBSTITUTE(SUBSTITUTE(SUBSTITUTE(SUBSTITUTE(SUBSTITUTE(SUBSTITUTE(LOWER(V328&amp;""),CHAR(10),""),CHAR(13),""),CHAR(9),""),CHAR(160),"")," ",""),".",""),"-",""),"/",""),"?",""),"_",""),",",""),"[",""),"]",""),"(",""),")",""),"*","")</f>
        <v/>
      </c>
      <c r="AW328" s="61" t="str">
        <f aca="false">SUBSTITUTE(SUBSTITUTE(SUBSTITUTE(SUBSTITUTE(SUBSTITUTE(SUBSTITUTE(SUBSTITUTE(SUBSTITUTE(SUBSTITUTE(SUBSTITUTE(SUBSTITUTE(SUBSTITUTE(SUBSTITUTE(SUBSTITUTE(SUBSTITUTE(SUBSTITUTE(LOWER(Z328&amp;""),CHAR(10),""),CHAR(13),""),CHAR(9),""),CHAR(160),"")," ",""),".",""),"-",""),"/",""),"?",""),"_",""),",",""),"[",""),"]",""),"(",""),")",""),"*","")</f>
        <v/>
      </c>
      <c r="AX328" s="61" t="str">
        <f aca="false">SUBSTITUTE(SUBSTITUTE(SUBSTITUTE(SUBSTITUTE(SUBSTITUTE(SUBSTITUTE(SUBSTITUTE(SUBSTITUTE(SUBSTITUTE(SUBSTITUTE(SUBSTITUTE(SUBSTITUTE(SUBSTITUTE(SUBSTITUTE(SUBSTITUTE(SUBSTITUTE(LOWER(AE328&amp;""),CHAR(10),""),CHAR(13),""),CHAR(9),""),CHAR(160),"")," ",""),".",""),"-",""),"/",""),"?",""),"_",""),",",""),"[",""),"]",""),"(",""),")",""),"*","")</f>
        <v/>
      </c>
      <c r="AY328" s="61" t="str">
        <f aca="false">SUBSTITUTE(SUBSTITUTE(SUBSTITUTE(SUBSTITUTE(SUBSTITUTE(SUBSTITUTE(SUBSTITUTE(SUBSTITUTE(SUBSTITUTE(SUBSTITUTE(SUBSTITUTE(SUBSTITUTE(SUBSTITUTE(SUBSTITUTE(SUBSTITUTE(SUBSTITUTE(LOWER(W328&amp;""),CHAR(10),""),CHAR(13),""),CHAR(9),""),CHAR(160),"")," ",""),".",""),"-",""),"/",""),"?",""),"_",""),",",""),"[",""),"]",""),"(",""),")",""),"*","")</f>
        <v/>
      </c>
      <c r="AZ328" s="61" t="str">
        <f aca="false">SUBSTITUTE(SUBSTITUTE(SUBSTITUTE(SUBSTITUTE(SUBSTITUTE(SUBSTITUTE(SUBSTITUTE(SUBSTITUTE(SUBSTITUTE(SUBSTITUTE(SUBSTITUTE(SUBSTITUTE(SUBSTITUTE(SUBSTITUTE(SUBSTITUTE(SUBSTITUTE(LOWER(AC328&amp;""),CHAR(10),""),CHAR(13),""),CHAR(9),""),CHAR(160),"")," ",""),".",""),"-",""),"/",""),"?",""),"_",""),",",""),"[",""),"]",""),"(",""),")",""),"*","")</f>
        <v/>
      </c>
      <c r="BA328" s="61" t="str">
        <f aca="false">SUBSTITUTE(SUBSTITUTE(SUBSTITUTE(SUBSTITUTE(SUBSTITUTE(SUBSTITUTE(SUBSTITUTE(SUBSTITUTE(SUBSTITUTE(SUBSTITUTE(SUBSTITUTE(SUBSTITUTE(SUBSTITUTE(SUBSTITUTE(SUBSTITUTE(SUBSTITUTE(LOWER(AA328&amp;""),CHAR(10),""),CHAR(13),""),CHAR(9),""),CHAR(160),"")," ",""),".",""),"-",""),"/",""),"?",""),"_",""),",",""),"[",""),"]",""),"(",""),")",""),"*","")</f>
        <v/>
      </c>
      <c r="BB328" s="61" t="str">
        <f aca="false">IF(AND(TRIM(U328)="Pass",ISNUMBER(AF328)),IF(AF328&lt;&gt;0,"INVALID – qty variance: use Fail or Pass after CA",""),"")&amp;IF(AND(TRIM(U328)="Pass after CA",ISNUMBER(AF328)),IF(AF328&lt;&gt;0,"INVALID – after the corrective action the actual qty must equal expected (update Actual)",""),"")&amp;IF(AND(TRIM(U328)="Pass",TRIM(AB328)&lt;&gt;"",TRIM(AB328)&lt;&gt;"Closed"),"INVALID – corrective action not closed: use Fail, then Pass after CA","")&amp;IF(AND(LEN(BA328)&gt;=2,ISNA(MATCH(LEFT(BA328,255),L_Placeholder,0)),TRIM(AB328)=""),"INVALID – CA status missing for the recorded corrective action","")&amp;IF(AND(TRIM(U328)="Pass after CA",OR(OR(LEN(BA328)&lt;5,ISNUMBER(MATCH(BA328,L_Placeholder,0))),TRIM(AB328)&lt;&gt;"Closed")),"INVALID – corrective action not recorded/closed","")</f>
        <v/>
      </c>
      <c r="BC328" s="61" t="str">
        <f aca="false">" "&amp;TRIM(SUBSTITUTE(SUBSTITUTE(SUBSTITUTE(SUBSTITUTE(SUBSTITUTE(SUBSTITUTE(SUBSTITUTE(SUBSTITUTE(SUBSTITUTE(SUBSTITUTE(SUBSTITUTE(SUBSTITUTE(SUBSTITUTE(SUBSTITUTE(SUBSTITUTE(SUBSTITUTE(SUBSTITUTE(SUBSTITUTE(SUBSTITUTE(SUBSTITUTE(SUBSTITUTE(SUBSTITUTE(SUBSTITUTE(SUBSTITUTE(LOWER(V328&amp;""),CHAR(10)," "),CHAR(13)," "),CHAR(9)," "),CHAR(160)," "),"."," "),","," "),"-"," "),"/"," "),"("," "),")"," "),":"," "),";"," "),"_"," "),"–"," "),"?"," "),"!"," "),"*"," "),"["," "),"]"," "),"'"," "),"#"," "),"+"," "),"&amp;"," "),"\"," "))&amp;" "</f>
        <v>  </v>
      </c>
      <c r="BD328" s="61" t="str">
        <f aca="false">" "&amp;TRIM(SUBSTITUTE(SUBSTITUTE(SUBSTITUTE(SUBSTITUTE(SUBSTITUTE(SUBSTITUTE(SUBSTITUTE(SUBSTITUTE(SUBSTITUTE(SUBSTITUTE(SUBSTITUTE(SUBSTITUTE(SUBSTITUTE(SUBSTITUTE(SUBSTITUTE(SUBSTITUTE(SUBSTITUTE(SUBSTITUTE(SUBSTITUTE(SUBSTITUTE(SUBSTITUTE(SUBSTITUTE(SUBSTITUTE(SUBSTITUTE(LOWER(Z328&amp;""),CHAR(10)," "),CHAR(13)," "),CHAR(9)," "),CHAR(160)," "),"."," "),","," "),"-"," "),"/"," "),"("," "),")"," "),":"," "),";"," "),"_"," "),"–"," "),"?"," "),"!"," "),"*"," "),"["," "),"]"," "),"'"," "),"#"," "),"+"," "),"&amp;"," "),"\"," "))&amp;" "</f>
        <v>  </v>
      </c>
      <c r="BE328" s="61" t="str">
        <f aca="false">" "&amp;TRIM(SUBSTITUTE(SUBSTITUTE(SUBSTITUTE(SUBSTITUTE(SUBSTITUTE(SUBSTITUTE(SUBSTITUTE(SUBSTITUTE(SUBSTITUTE(SUBSTITUTE(SUBSTITUTE(SUBSTITUTE(SUBSTITUTE(SUBSTITUTE(SUBSTITUTE(SUBSTITUTE(SUBSTITUTE(SUBSTITUTE(SUBSTITUTE(SUBSTITUTE(SUBSTITUTE(SUBSTITUTE(SUBSTITUTE(SUBSTITUTE(LOWER(W328&amp;""),CHAR(10)," "),CHAR(13)," "),CHAR(9)," "),CHAR(160)," "),"."," "),","," "),"-"," "),"/"," "),"("," "),")"," "),":"," "),";"," "),"_"," "),"–"," "),"?"," "),"!"," "),"*"," "),"["," "),"]"," "),"'"," "),"#"," "),"+"," "),"&amp;"," "),"\"," "))&amp;" "</f>
        <v>  </v>
      </c>
      <c r="BF328" s="61" t="str">
        <f aca="false">" "&amp;TRIM(SUBSTITUTE(SUBSTITUTE(SUBSTITUTE(SUBSTITUTE(SUBSTITUTE(SUBSTITUTE(SUBSTITUTE(SUBSTITUTE(SUBSTITUTE(SUBSTITUTE(SUBSTITUTE(SUBSTITUTE(SUBSTITUTE(SUBSTITUTE(SUBSTITUTE(SUBSTITUTE(SUBSTITUTE(SUBSTITUTE(SUBSTITUTE(SUBSTITUTE(SUBSTITUTE(SUBSTITUTE(SUBSTITUTE(SUBSTITUTE(LOWER(AC328&amp;""),CHAR(10)," "),CHAR(13)," "),CHAR(9)," "),CHAR(160)," "),"."," "),","," "),"-"," "),"/"," "),"("," "),")"," "),":"," "),";"," "),"_"," "),"–"," "),"?"," "),"!"," "),"*"," "),"["," "),"]"," "),"'"," "),"#"," "),"+"," "),"&amp;"," "),"\"," "))&amp;" "</f>
        <v>  </v>
      </c>
      <c r="BG328" s="61" t="n">
        <f aca="false">IFERROR(IF(AND(TRIM(U328)="Pass",SUMPRODUCT((LEN(BC328)-LEN(SUBSTITUTE(BC328," "&amp;L_ResultBad&amp;" "," ")))/(LEN(L_ResultBad)+1))&gt;SUMPRODUCT((LEN(BC328)-LEN(SUBSTITUTE(BC328," "&amp;L_NegPhrase&amp;" "," ")))/(LEN(L_NegPhrase)+1))),1,0),0)</f>
        <v>0</v>
      </c>
      <c r="BH328" s="61" t="n">
        <f aca="false">IFERROR(IF(SUMPRODUCT((LEN(BC328)-LEN(SUBSTITUTE(BC328," "&amp;L_Pending&amp;" "," ")))/(LEN(L_Pending)+1))&gt;SUMPRODUCT((LEN(BC328)-LEN(SUBSTITUTE(BC328," "&amp;L_PendNeg&amp;" "," ")))/(LEN(L_PendNeg)+1))+SUMPRODUCT((LEN(BC328)-LEN(SUBSTITUTE(BC328," "&amp;L_PendPrep&amp;" "," ")))/(LEN(L_PendPrep)+1)),1,0),1)</f>
        <v>0</v>
      </c>
      <c r="BI328" s="61" t="n">
        <f aca="false">IFERROR(IF(SUMPRODUCT((LEN(BD328)-LEN(SUBSTITUTE(BD328," "&amp;L_PendStrict&amp;" "," ")))/(LEN(L_PendStrict)+1))&gt;SUMPRODUCT((LEN(BD328)-LEN(SUBSTITUTE(BD328," "&amp;L_PendNeg&amp;" "," ")))/(LEN(L_PendNeg)+1)),1,0),1)</f>
        <v>0</v>
      </c>
      <c r="BJ328" s="61" t="n">
        <f aca="false">IFERROR(IF(SUMPRODUCT((LEN(BE328)-LEN(SUBSTITUTE(BE328," "&amp;L_Pending&amp;" "," ")))/(LEN(L_Pending)+1))&gt;SUMPRODUCT((LEN(BE328)-LEN(SUBSTITUTE(BE328," "&amp;L_PendNeg&amp;" "," ")))/(LEN(L_PendNeg)+1))+SUMPRODUCT((LEN(BE328)-LEN(SUBSTITUTE(BE328," "&amp;L_PendPrep&amp;" "," ")))/(LEN(L_PendPrep)+1)),1,0),1)</f>
        <v>0</v>
      </c>
      <c r="BK328" s="61" t="n">
        <f aca="false">IFERROR(IF(SUMPRODUCT((LEN(BF328)-LEN(SUBSTITUTE(BF328," "&amp;L_PendStrict&amp;" "," ")))/(LEN(L_PendStrict)+1))&gt;SUMPRODUCT((LEN(BF328)-LEN(SUBSTITUTE(BF328," "&amp;L_PendNeg&amp;" "," ")))/(LEN(L_PendNeg)+1)),1,0),1)</f>
        <v>0</v>
      </c>
      <c r="BL328" s="61" t="n">
        <f aca="false">IF(ISNA(MATCH(TRIM(S328),L_EvidenceType,0)),0,BZ328)</f>
        <v>0</v>
      </c>
      <c r="BM328" s="61" t="str">
        <f aca="false">SUBSTITUTE(SUBSTITUTE(SUBSTITUTE(SUBSTITUTE(SUBSTITUTE(SUBSTITUTE(SUBSTITUTE(SUBSTITUTE(SUBSTITUTE(LOWER(Z328&amp;""),"1","0"),"2","0"),"3","0"),"4","0"),"5","0"),"6","0"),"7","0"),"8","0"),"9","0")</f>
        <v/>
      </c>
      <c r="BN328" s="61" t="str">
        <f aca="false">SUBSTITUTE(SUBSTITUTE(SUBSTITUTE(SUBSTITUTE(SUBSTITUTE(SUBSTITUTE(SUBSTITUTE(SUBSTITUTE(SUBSTITUTE(SUBSTITUTE(SUBSTITUTE(SUBSTITUTE(SUBSTITUTE(SUBSTITUTE(SUBSTITUTE(SUBSTITUTE(SUBSTITUTE(SUBSTITUTE(SUBSTITUTE(SUBSTITUTE(SUBSTITUTE(SUBSTITUTE(SUBSTITUTE(SUBSTITUTE(SUBSTITUTE(BM328,"b","a"),"c","a"),"d","a"),"e","a"),"f","a"),"g","a"),"h","a"),"i","a"),"j","a"),"k","a"),"l","a"),"m","a"),"n","a"),"o","a"),"p","a"),"q","a"),"r","a"),"s","a"),"t","a"),"u","a"),"v","a"),"w","a"),"x","a"),"y","a"),"z","a")</f>
        <v/>
      </c>
      <c r="BO328" s="61" t="str">
        <f aca="false">SUBSTITUTE(SUBSTITUTE(SUBSTITUTE(SUBSTITUTE(SUBSTITUTE(SUBSTITUTE(SUBSTITUTE(SUBSTITUTE(SUBSTITUTE(LOWER(W328&amp;""),"1","0"),"2","0"),"3","0"),"4","0"),"5","0"),"6","0"),"7","0"),"8","0"),"9","0")</f>
        <v/>
      </c>
      <c r="BP328" s="61" t="str">
        <f aca="false">SUBSTITUTE(SUBSTITUTE(SUBSTITUTE(SUBSTITUTE(SUBSTITUTE(SUBSTITUTE(SUBSTITUTE(SUBSTITUTE(SUBSTITUTE(SUBSTITUTE(SUBSTITUTE(SUBSTITUTE(SUBSTITUTE(SUBSTITUTE(SUBSTITUTE(SUBSTITUTE(SUBSTITUTE(SUBSTITUTE(SUBSTITUTE(SUBSTITUTE(SUBSTITUTE(SUBSTITUTE(SUBSTITUTE(SUBSTITUTE(SUBSTITUTE(BO328,"b","a"),"c","a"),"d","a"),"e","a"),"f","a"),"g","a"),"h","a"),"i","a"),"j","a"),"k","a"),"l","a"),"m","a"),"n","a"),"o","a"),"p","a"),"q","a"),"r","a"),"s","a"),"t","a"),"u","a"),"v","a"),"w","a"),"x","a"),"y","a"),"z","a")</f>
        <v/>
      </c>
      <c r="BQ328" s="61" t="n">
        <f aca="false">IFERROR(IF(AND(ISERROR(SEARCH(" mh"," "&amp;LOWER(W328))),ISNA(MATCH(LEFT(TRIM(BP328),255),{"0000a","000a","00a","0000aa","000aa","00aa","0aa","0000aaa","000aaa","00a00","0a00","0000-0000","00:00","a00","a0","00.00.0000","00/00/0000","00-00-0000","0000-00-00","0000/00/00","0000.00.00","00.00.00","00/00/00","00-00-00","0.00.0000","0/00/0000","0-00-0000"},0)),ISNA(MATCH(LEFT(TRIM(CA328),255),{"0000a","000a","00a","0000aa","000aa","00aa","0aa","0000aaa","000aaa","00a00","0a00","0000-0000","00:00","a00","a0","00.00.0000","00/00/0000","00-00-0000","0000-00-00","0000/00/00","0000.00.00","00.00.00","00/00/00","00-00-00","0.00.0000","0/00/0000","0-00-0000"},0)),LEN(CB328)&gt;=3,NOT(OR(SUBSTITUTE(CB328,"0","")="",AND(LEN(CB328)&gt;=4,CB328=REPT(LEFT(CB328),LEN(CB328))),ISNUMBER(MATCH(CB328,{"123","1234","12345","123456","1234567","12345678","0123","01234","012345","98765","987654","54321"},0)),AND(LEN(CB328)=8,LEFT(CB328,3)="202"))),OR(AND((LEN(CA328)-LEN(SUBSTITUTE(CA328,"a","")))&gt;=1,SUMPRODUCT(--ISNUMBER(SEARCH({"a0","a-0","a_0","a/0","a.0","a#0","0a","0-a","0_a","0/a"},BP328)))&gt;0),ISNUMBER(SEARCH("000000",BP328)))),1,0),0)</f>
        <v>0</v>
      </c>
      <c r="BR328" s="61" t="n">
        <f aca="false">IFERROR(LEN(SUBSTITUTE(CC328," ",""))-SUMPRODUCT((LEN(CC328)-LEN(SUBSTITUTE(CC328," "&amp;L_Role&amp;" "," ")))/(LEN(L_Role)+1)*LEN(L_Role)),0)</f>
        <v>0</v>
      </c>
      <c r="BS328" s="61" t="n">
        <f aca="false">IFERROR(LEN(SUBSTITUTE(CD328," ",""))-SUMPRODUCT((LEN(CD328)-LEN(SUBSTITUTE(CD328," "&amp;L_Role&amp;" "," ")))/(LEN(L_Role)+1)*LEN(L_Role)),0)</f>
        <v>0</v>
      </c>
      <c r="BT3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328,"revision",""),"version",""),"jan",""),"feb",""),"mar",""),"apr",""),"may",""),"jun",""),"jul",""),"aug",""),"sep",""),"oct",""),"nov",""),"dec",""),"utc",""),"gmt",""),"myt",""),"bst",""),"rev",""),"ver",""),"b","a"),"c","a"),"d","a"),"e","a"),"f","a"),"g","a"),"h","a"),"i","a"),"j","a"),"k","a"),"l","a"),"m","a"),"n","a"),"o","a"),"p","a"),"q","a"),"r","a"),"s","a"),"t","a"),"u","a"),"v","a"),"w","a"),"x","a"),"y","a"),"z","a")</f>
        <v/>
      </c>
      <c r="BU328" s="61" t="str">
        <f aca="false">SUBSTITUTE(SUBSTITUTE(SUBSTITUTE(SUBSTITUTE(SUBSTITUTE(SUBSTITUTE(SUBSTITUTE(SUBSTITUTE(SUBSTITUTE(SUBSTITUTE(LEFT(BM328,FIND("0",BM328&amp;"0")-1),"-",""),"_",""),"/",""),".",""),"#",""),"\\",""),":","")," ",""),"(",""),")","")</f>
        <v/>
      </c>
      <c r="BV328" s="61" t="n">
        <f aca="false">0</f>
        <v>0</v>
      </c>
      <c r="BW3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328&amp;""),"a",""),"b",""),"c",""),"d",""),"e",""),"f",""),"g",""),"h",""),"i",""),"j",""),"k",""),"l",""),"m",""),"n",""),"o",""),"p",""),"q",""),"r",""),"s",""),"t",""),"u",""),"v",""),"w",""),"x",""),"y",""),"z",""),"-",""),"_",""),"/",""),".",""),"#",""),"\\",""),":","")," ",""),"(",""),")","")</f>
        <v/>
      </c>
      <c r="BX328" s="61" t="str">
        <f aca="false">SUBSTITUTE(SUBSTITUTE(SUBSTITUTE(SUBSTITUTE(SUBSTITUTE(SUBSTITUTE(SUBSTITUTE(SUBSTITUTE(SUBSTITUTE(SUBSTITUTE(SUBSTITUTE(BM328,"0",""),"-",""),"_",""),"/",""),".",""),"#",""),"\\",""),":","")," ",""),"(",""),")","")</f>
        <v/>
      </c>
      <c r="BY328" s="62" t="n">
        <f aca="false">Q328-T7EarlyD*24/24</f>
        <v>46286.15625</v>
      </c>
      <c r="BZ328" s="61" t="n">
        <f aca="false">IFERROR(IF(IF(TRIM(S328)="Link / file path",AND(LEN(TRIM(Z328))&gt;=5,SUMPRODUCT(--ISNUMBER(SEARCH({"http","www.","\\",":\",".pdf",".jpg",".jpeg",".png",".heic",".xls",".doc",".msg",".eml",".ppt",".txt",".zip"},Z328)))&gt;0),AND(ISERROR(FIND(" ",TRIM(Z328))),NOT(OR(SUMPRODUCT(--ISNUMBER(FIND({",",";","&amp;","+"},Z328)))&gt;0,SUMPRODUCT(--ISNUMBER(SEARCH({"0/aa","0\\aa"},BN328)))&gt;0)),NOT(SUMPRODUCT(--ISNUMBER(SEARCH({"http","www.","\\",":\",".pdf",".jpg",".jpeg",".png",".heic",".xls",".doc",".msg",".eml",".ppt",".txt",".zip"},Z328)))&gt;0),NOT(LOWER(TRIM(Z328))=LOWER(Flights!$F$14)),ISNA(MATCH(BU328,{"mh","rev","revision","ver","version","v","r","a","b","seat","tray","row","gate","bay","stand","page","pg","item","line","no","cart","galley","flight","flt","table","box","bag","oven","etd","eta","std","sta","atd","ata","qty","pax","x","time","tel","ph","mob","day","wk","week","utc","gmt","myt","lt"},0)),NOT(OR(ISNUMBER(MATCH(LEFT(BN328,255),{"0000a","000a","00a","0000aa","000aa","00aa","0aa","0000aaa","000aaa","00a00","0a00","0000-0000","00:00","a00","a0","00.00.0000","00/00/0000","00-00-0000","0000-00-00","0000/00/00","0000.00.00","00.00.00","00/00/00","00-00-00","0.00.0000","0/00/0000","0-00-0000"},0)),ISNUMBER(MATCH(LEFT(BT328,255),{"0000a","000a","00a","0000aa","000aa","00aa","0aa","0000aaa","000aaa","00a00","0a00","0000-0000","00:00","a00","a0","00.00.0000","00/00/0000","00-00-0000","0000-00-00","0000/00/00","0000.00.00","00.00.00","00/00/00","00-00-00","0.00.0000","0/00/0000","0-00-0000"},0)))),NOT(OR(AND(BW328&lt;&gt;"",SUBSTITUTE(BW328,"0","")=""),AND(LEN(BW328)&gt;=4,BW328=REPT(LEFT(BW328),LEN(BW328))),ISNUMBER(MATCH(BW328,{"123","1234","12345","123456","1234567","12345678","0123","01234","012345","98765","987654","54321"},0)),ISNUMBER(MATCH(BX328,{"x","xx","xxx","xxxx","xxxxx","abc","abcd","nil","na","nan","test","tbc","tba","tbd","dummy","sample","example","eg","zz","zzz","none","null","xyz","qwe","asd","id","ref"},0)),AND(LEN(BW328)=8,BX328="",OR(LEFT(BW328,3)="202",ISNUMBER(MATCH(RIGHT(BW328,4),{"2025","2026","2027"},0)))))),OR(AND((LEN(BT328)-LEN(SUBSTITUTE(BT328,"a","")))&gt;=1,(LEN(BN328)-LEN(SUBSTITUTE(BN328,"0","")))&gt;=2,SUMPRODUCT(--ISNUMBER(SEARCH({"a0","a-0","a_0","a/0","a.0","a#0","0a","0-a","0_a","0/a"},BN328)))&gt;0),AND((LEN(BN328)-LEN(SUBSTITUTE(BN328,"a","")))=0,(LEN(BN328)-LEN(SUBSTITUTE(BN328,"0","")))&gt;=5)))),1,0),0)</f>
        <v>0</v>
      </c>
      <c r="CA3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328,"revision",""),"version",""),"jan",""),"feb",""),"mar",""),"apr",""),"may",""),"jun",""),"jul",""),"aug",""),"sep",""),"oct",""),"nov",""),"dec",""),"utc",""),"gmt",""),"myt",""),"bst",""),"rev",""),"ver",""),"b","a"),"c","a"),"d","a"),"e","a"),"f","a"),"g","a"),"h","a"),"i","a"),"j","a"),"k","a"),"l","a"),"m","a"),"n","a"),"o","a"),"p","a"),"q","a"),"r","a"),"s","a"),"t","a"),"u","a"),"v","a"),"w","a"),"x","a"),"y","a"),"z","a")</f>
        <v/>
      </c>
      <c r="CB3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328&amp;""),"a",""),"b",""),"c",""),"d",""),"e",""),"f",""),"g",""),"h",""),"i",""),"j",""),"k",""),"l",""),"m",""),"n",""),"o",""),"p",""),"q",""),"r",""),"s",""),"t",""),"u",""),"v",""),"w",""),"x",""),"y",""),"z",""),"-",""),"_",""),"/",""),".",""),"#",""),"\\",""),":","")," ",""),"(",""),")","")</f>
        <v/>
      </c>
      <c r="CC328" s="0" t="str">
        <f aca="false">" "&amp;TRIM(SUBSTITUTE(SUBSTITUTE(SUBSTITUTE(SUBSTITUTE(SUBSTITUTE(SUBSTITUTE(SUBSTITUTE(SUBSTITUTE(SUBSTITUTE(SUBSTITUTE(SUBSTITUTE(SUBSTITUTE(SUBSTITUTE(SUBSTITUTE(SUBSTITUTE(SUBSTITUTE(SUBSTITUTE(SUBSTITUTE(SUBSTITUTE(SUBSTITUTE(SUBSTITUTE(SUBSTITUTE(SUBSTITUTE(SUBSTITUTE(LOWER(T328&amp;""),CHAR(10)," "),CHAR(13)," "),CHAR(9)," "),CHAR(160)," "),"."," "),","," "),"-"," "),"/"," "),"("," "),")"," "),":"," "),";"," "),"_"," "),"–"," "),"?"," "),"!"," "),"*"," "),"["," "),"]"," "),"'"," "),"#"," "),"+"," "),"&amp;"," "),"\"," "))&amp;" "</f>
        <v>  </v>
      </c>
      <c r="CD328" s="0" t="str">
        <f aca="false">" "&amp;TRIM(SUBSTITUTE(SUBSTITUTE(SUBSTITUTE(SUBSTITUTE(SUBSTITUTE(SUBSTITUTE(SUBSTITUTE(SUBSTITUTE(SUBSTITUTE(SUBSTITUTE(SUBSTITUTE(SUBSTITUTE(SUBSTITUTE(SUBSTITUTE(SUBSTITUTE(SUBSTITUTE(SUBSTITUTE(SUBSTITUTE(SUBSTITUTE(SUBSTITUTE(SUBSTITUTE(SUBSTITUTE(SUBSTITUTE(SUBSTITUTE(LOWER(AE328&amp;""),CHAR(10)," "),CHAR(13)," "),CHAR(9)," "),CHAR(160)," "),"."," "),","," "),"-"," "),"/"," "),"("," "),")"," "),":"," "),";"," "),"_"," "),"–"," "),"?"," "),"!"," "),"*"," "),"["," "),"]"," "),"'"," "),"#"," "),"+"," "),"&amp;"," "),"\"," "))&amp;" "</f>
        <v>  </v>
      </c>
      <c r="CE328" s="68" t="n">
        <f aca="false">IFERROR(IF(AND(LEN(AU328)&gt;0,LEN(AU328)=LEN(AX328),OR(TRIM(MID(SUBSTITUTE(TRIM(CC328)," ",REPT(" ",60)),1,60))="",ISNUMBER(SEARCH(" "&amp;TRIM(MID(SUBSTITUTE(TRIM(CC328)," ",REPT(" ",60)),1,60))&amp;" ",CD328))),OR(TRIM(MID(SUBSTITUTE(TRIM(CC328)," ",REPT(" ",60)),61,60))="",ISNUMBER(SEARCH(" "&amp;TRIM(MID(SUBSTITUTE(TRIM(CC328)," ",REPT(" ",60)),61,60))&amp;" ",CD328))),OR(TRIM(MID(SUBSTITUTE(TRIM(CC328)," ",REPT(" ",60)),121,60))="",ISNUMBER(SEARCH(" "&amp;TRIM(MID(SUBSTITUTE(TRIM(CC328)," ",REPT(" ",60)),121,60))&amp;" ",CD328)))),1,0),0)</f>
        <v>0</v>
      </c>
      <c r="CG328" s="68" t="n">
        <f aca="false">IFERROR(LEN(SUBSTITUTE(BF328," ",""))-SUMPRODUCT((LEN(BF328)-LEN(SUBSTITUTE(BF328," "&amp;L_NAFiller&amp;" "," ")))/(LEN(L_NAFiller)+1)*LEN(L_NAFiller)),0)</f>
        <v>0</v>
      </c>
    </row>
    <row r="329" customFormat="false" ht="39.75" hidden="false" customHeight="true" outlineLevel="0" collapsed="false">
      <c r="A329" s="57" t="s">
        <v>920</v>
      </c>
      <c r="B329" s="57" t="s">
        <v>251</v>
      </c>
      <c r="C329" s="57" t="str">
        <f aca="false">Flights!$F$14</f>
        <v>MH1140</v>
      </c>
      <c r="D329" s="58" t="n">
        <f aca="false">Flights!$D$14</f>
        <v>46307</v>
      </c>
      <c r="E329" s="57" t="str">
        <f aca="false">Flights!$G$14&amp;"-"&amp;Flights!$H$14</f>
        <v>KUL-PEN</v>
      </c>
      <c r="F329" s="57" t="str">
        <f aca="false">Flights!$K$14</f>
        <v>BC</v>
      </c>
      <c r="G329" s="57" t="s">
        <v>81</v>
      </c>
      <c r="H329" s="57" t="s">
        <v>378</v>
      </c>
      <c r="I329" s="57" t="s">
        <v>405</v>
      </c>
      <c r="J329" s="57" t="s">
        <v>409</v>
      </c>
      <c r="K329" s="67" t="s">
        <v>407</v>
      </c>
      <c r="L329" s="67" t="s">
        <v>382</v>
      </c>
      <c r="M329" s="67"/>
      <c r="N329" s="67" t="s">
        <v>383</v>
      </c>
      <c r="O329" s="67"/>
      <c r="P329" s="57" t="s">
        <v>187</v>
      </c>
      <c r="Q329" s="59" t="n">
        <f aca="false">ROUND((Flights!$AC$14)*1440,0)/1440</f>
        <v>46300.15625</v>
      </c>
      <c r="R329" s="59" t="n">
        <f aca="false">Q329+(IF(AND(INDEX(TZ_DSTS,MATCH(P329,TZ_STN,0))&lt;&gt;"",Q329&gt;=INDEX(TZ_DSTS,MATCH(P329,TZ_STN,0)),Q329&lt;INDEX(TZ_DSTE,MATCH(P329,TZ_STN,0))),INDEX(TZ_DST,MATCH(P329,TZ_STN,0)),INDEX(TZ_STD,MATCH(P329,TZ_STN,0))))/24</f>
        <v>46300.4895833333</v>
      </c>
      <c r="S329" s="60"/>
      <c r="T329" s="60"/>
      <c r="U329" s="60"/>
      <c r="V329" s="60"/>
      <c r="W329" s="61"/>
      <c r="X329" s="60"/>
      <c r="Y329" s="60"/>
      <c r="Z329" s="60"/>
      <c r="AA329" s="60"/>
      <c r="AB329" s="60"/>
      <c r="AC329" s="60"/>
      <c r="AD329" s="66"/>
      <c r="AE329" s="60"/>
      <c r="AF329" s="61" t="str">
        <f aca="false">IF(AND(ISNUMBER(X329),ISNUMBER(Y329)),Y329-X329,"")</f>
        <v/>
      </c>
      <c r="AG329" s="62" t="str">
        <f aca="false">IF(ISNUMBER(AD329),AD329-(IF(AND(INDEX(TZ_DSTS,MATCH(P329,TZ_STN,0))&lt;&gt;"",(AD329-INDEX(TZ_STD,MATCH(P329,TZ_STN,0))/24)&gt;=INDEX(TZ_DSTS,MATCH(P329,TZ_STN,0)),(AD329-INDEX(TZ_STD,MATCH(P329,TZ_STN,0))/24)&lt;INDEX(TZ_DSTE,MATCH(P329,TZ_STN,0))),INDEX(TZ_DST,MATCH(P329,TZ_STN,0)),INDEX(TZ_STD,MATCH(P329,TZ_STN,0))))/24,"")</f>
        <v/>
      </c>
      <c r="AH329" s="65" t="str">
        <f aca="false">IFERROR(IF(N329="N/A – rule",IF(OR(TRIM(U329)="",TRIM(U329)="N/A",TRIM(U329)="Not started"),"N/A – RULE","INVALID – this check does not apply to this aircraft: clear the status (or correct the fleet on Flights)"),IF(TRIM(U329)="N/A",IF(AT329=0,"INVALID – N/A not permitted for this check",IF(AND(TRIM(AB329)&lt;&gt;"",TRIM(AB329)&lt;&gt;"Closed"),"INVALID – corrective action still open",IF(AND(NOT(OR(LEN(AZ329)&lt;15,ISNUMBER(MATCH(AZ329,L_Placeholder,0)))),BK329=0,CG329&gt;=8,NOT(OR(LEN(AU329)&lt;2,ISNUMBER(MATCH(AU329,L_Placeholder,0)))),BR329&gt;=3,NOT(OR(LEN(AX329)&lt;2,ISNUMBER(MATCH(AX329,L_Placeholder,0)))),BS329&gt;=3,TRIM(AE329)&lt;&gt;TRIM(T329),AX329&lt;&gt;AU329,CE329=0),"N/A – JUSTIFIED","INVALID – N/A needs a real, settled reason (not 'not applicable' / 'as above' / TBC), a named PIC and a different named verifier"))),IF(OR(TRIM(U329)="Pass",TRIM(U329)="Pass after CA"),IF(NOT(ISNUMBER(AD329)),"INVALID – completion time missing",IF(OR(OR(LEN(AU329)&lt;2,ISNUMBER(MATCH(AU329,L_Placeholder,0))),BR329&lt;3),"INVALID – PIC missing or not a named person (a role such as QA / CSM is not a name)",IF(OR(LEN(AV329)&lt;2,ISNUMBER(MATCH(AV329,L_Placeholder,0))),"INVALID – result / assessment missing",IF(OR(OR(LEN(AW329)&lt;3,ISNUMBER(MATCH(AW329,L_Placeholder,0))),SUMPRODUCT(--ISNUMBER(SEARCH(" "&amp;L_EvidencePhrase&amp;" ",BD329)))&gt;0,BI329=1),"INVALID – evidence missing, placeholder or not yet on file",IF(ISNA(MATCH(TRIM(S329),L_EvidenceType,0)),"INVALID – choose the evidence type from the list (column S)",IF(BL329=0,"INVALID – evidence ID must be the record's own ID only (e.g. SF-2210, IMG_2231, 1045521); a link / file name needs type 'Link / file path'",IF(OR(OR(LEN(AX329)&lt;2,ISNUMBER(MATCH(AX329,L_Placeholder,0))),BS329&lt;3),"INVALID – verifier missing or not a named person (a role such as QA / CSM is not a name)",IF(OR(AX329=AU329,CE329=1,AND(LEN(AU329)&gt;=4,ISNUMBER(SEARCH(AU329,AX329))),AND(LEN(AX329)&gt;=4,ISNUMBER(SEARCH(AX329,AU329)))),"INVALID – verifier must be a different, named person (not the PIC or a role)",IF(BH329=1,"INVALID – result not yet available (awaiting / TBC)",IF(BG329=1,"INVALID – result describes a problem: record Fail, then Pass after CA (or reword if it is not a problem)",IF(BV329=1,"INVALID – wording says not on board: an on-board confirmation needs the item loaded",IF(AND(AQ329=1,OR(OR(LEN(AY329)&lt;3,ISNUMBER(MATCH(AY329,L_Placeholder,0))),BJ329=1,BQ329=0)),"INVALID – batch ID missing, placeholder or not an ID (e.g. PASB-261008-BC-017)",IF(AND(AR329=1,OR(NOT(ISNUMBER(X329)),NOT(ISNUMBER(Y329)))),"INVALID – expected/actual qty missing",IF(AND(AR329=1,OR(X329&lt;=0,Y329&lt;0)),"INVALID – expected qty must be above 0 and actual not negative",IF(BB329&lt;&gt;"",BB329,IF(AND(AS329=1,Documents!$J$14&lt;&gt;"ON FILE"),"INVALID – GLD not on file (Documents sheet)",IF(AND(AS329=2,Documents!$O$14&lt;&gt;"ON FILE"),"INVALID – menu checklist not on file (Documents sheet)",IF(AND(AS329=3,NOT(ISNUMBER(Flights!$AX$14))),"INVALID – enter carrying flight KUL departure (Flights AX)",IF(AND(AS329=3,OR(Flights!$AZ$14&gt;Flights!$AA$14,Flights!$AX$14&lt;Flights!$AA$14-3)),"INVALID – carrying flight (Flights AX) cannot arrive before this leg's STD, or is over 3 days early",IF(AG329&gt;AsOfUTC,"INVALID – completion time is in the future",IF(AND(ISNUMBER(BY329),AG329&lt;BY329),IF(H329="Physical uplift","INVALID – before uplift window (cannot confirm loading)","INVALID – before valid window"),IF(AG329&gt;Flights!$AA$14,"INVALID – completed after departure (cannot establish readiness)",IF(AND(H329="Preparation",AG329&gt;=IF(ISNUMBER(Flights!$BA$14),MIN(Flights!$BA$14,Flights!$AA$14),Flights!$AA$14)),"INVALID – completed after loading / departure (cannot establish readiness)",IF(AND(H329="Physical uplift",AG329&gt;Q329),"INVALID – recorded after the loading flight departed",IF(AG329&gt;Q329,"COMPLETE – LATE","COMPLETE"))))))))))))))))))))))))),IF(TRIM(U329)="Fail","FAIL – DISCREPANCY",IF(AND(TRIM(U329)&lt;&gt;"",TRIM(U329)&lt;&gt;"Not started",TRIM(U329)&lt;&gt;"In progress"),"INVALID – unrecognised status (use the list)",IF(AsOfUTC&gt;Q329,"OVERDUE",IF(N329="Clarification required","OPEN – CLARIFICATION","OPEN"))))))),"INVALID – error value in an input cell")</f>
        <v>OPEN</v>
      </c>
      <c r="AI329" s="61" t="n">
        <f aca="false">IF(OR(AH329="N/A – RULE",AH329="N/A – JUSTIFIED"),0,1)</f>
        <v>1</v>
      </c>
      <c r="AJ329" s="61" t="n">
        <f aca="false">IF(LEFT(AH329,8)="COMPLETE",1,0)</f>
        <v>0</v>
      </c>
      <c r="AK329" s="61" t="n">
        <f aca="false">IF(AND(AI329=1,AJ329=0,AsOfUTC&gt;Q329),1,0)</f>
        <v>0</v>
      </c>
      <c r="AL329" s="61" t="n">
        <f aca="false">IFERROR(IF(AND(AI329=1,OR(TRIM(U329)="Fail",AND(TRIM(AB329)&lt;&gt;"",TRIM(AB329)&lt;&gt;"Closed"),AND(ISNUMBER(AF329),AF329&lt;&gt;0,TRIM(U329)&lt;&gt;"Pass after CA"))),1,0),1)</f>
        <v>0</v>
      </c>
      <c r="AM329" s="61" t="n">
        <f aca="false">IF(LEFT(AH329,7)="INVALID",1,0)</f>
        <v>0</v>
      </c>
      <c r="AN329" s="61" t="n">
        <f aca="false">IF(AND(N329="Clarification required",AI329=1,AJ329=0),1,0)</f>
        <v>0</v>
      </c>
      <c r="AO329" s="61" t="str">
        <f aca="false">IF(AK329=1,SUM(AK$5:AK329),"")</f>
        <v/>
      </c>
      <c r="AP329" s="61" t="str">
        <f aca="false">IF(AL329=1,SUM(AL$5:AL329),"")</f>
        <v/>
      </c>
      <c r="AQ329" s="61" t="n">
        <v>0</v>
      </c>
      <c r="AR329" s="61" t="n">
        <v>0</v>
      </c>
      <c r="AS329" s="61" t="n">
        <v>2</v>
      </c>
      <c r="AT329" s="61" t="n">
        <v>0</v>
      </c>
      <c r="AU329" s="61" t="str">
        <f aca="false">SUBSTITUTE(SUBSTITUTE(SUBSTITUTE(SUBSTITUTE(SUBSTITUTE(SUBSTITUTE(SUBSTITUTE(SUBSTITUTE(SUBSTITUTE(SUBSTITUTE(SUBSTITUTE(SUBSTITUTE(SUBSTITUTE(SUBSTITUTE(SUBSTITUTE(SUBSTITUTE(LOWER(T329&amp;""),CHAR(10),""),CHAR(13),""),CHAR(9),""),CHAR(160),"")," ",""),".",""),"-",""),"/",""),"?",""),"_",""),",",""),"[",""),"]",""),"(",""),")",""),"*","")</f>
        <v/>
      </c>
      <c r="AV329" s="61" t="str">
        <f aca="false">SUBSTITUTE(SUBSTITUTE(SUBSTITUTE(SUBSTITUTE(SUBSTITUTE(SUBSTITUTE(SUBSTITUTE(SUBSTITUTE(SUBSTITUTE(SUBSTITUTE(SUBSTITUTE(SUBSTITUTE(SUBSTITUTE(SUBSTITUTE(SUBSTITUTE(SUBSTITUTE(LOWER(V329&amp;""),CHAR(10),""),CHAR(13),""),CHAR(9),""),CHAR(160),"")," ",""),".",""),"-",""),"/",""),"?",""),"_",""),",",""),"[",""),"]",""),"(",""),")",""),"*","")</f>
        <v/>
      </c>
      <c r="AW329" s="61" t="str">
        <f aca="false">SUBSTITUTE(SUBSTITUTE(SUBSTITUTE(SUBSTITUTE(SUBSTITUTE(SUBSTITUTE(SUBSTITUTE(SUBSTITUTE(SUBSTITUTE(SUBSTITUTE(SUBSTITUTE(SUBSTITUTE(SUBSTITUTE(SUBSTITUTE(SUBSTITUTE(SUBSTITUTE(LOWER(Z329&amp;""),CHAR(10),""),CHAR(13),""),CHAR(9),""),CHAR(160),"")," ",""),".",""),"-",""),"/",""),"?",""),"_",""),",",""),"[",""),"]",""),"(",""),")",""),"*","")</f>
        <v/>
      </c>
      <c r="AX329" s="61" t="str">
        <f aca="false">SUBSTITUTE(SUBSTITUTE(SUBSTITUTE(SUBSTITUTE(SUBSTITUTE(SUBSTITUTE(SUBSTITUTE(SUBSTITUTE(SUBSTITUTE(SUBSTITUTE(SUBSTITUTE(SUBSTITUTE(SUBSTITUTE(SUBSTITUTE(SUBSTITUTE(SUBSTITUTE(LOWER(AE329&amp;""),CHAR(10),""),CHAR(13),""),CHAR(9),""),CHAR(160),"")," ",""),".",""),"-",""),"/",""),"?",""),"_",""),",",""),"[",""),"]",""),"(",""),")",""),"*","")</f>
        <v/>
      </c>
      <c r="AY329" s="61" t="str">
        <f aca="false">SUBSTITUTE(SUBSTITUTE(SUBSTITUTE(SUBSTITUTE(SUBSTITUTE(SUBSTITUTE(SUBSTITUTE(SUBSTITUTE(SUBSTITUTE(SUBSTITUTE(SUBSTITUTE(SUBSTITUTE(SUBSTITUTE(SUBSTITUTE(SUBSTITUTE(SUBSTITUTE(LOWER(W329&amp;""),CHAR(10),""),CHAR(13),""),CHAR(9),""),CHAR(160),"")," ",""),".",""),"-",""),"/",""),"?",""),"_",""),",",""),"[",""),"]",""),"(",""),")",""),"*","")</f>
        <v/>
      </c>
      <c r="AZ329" s="61" t="str">
        <f aca="false">SUBSTITUTE(SUBSTITUTE(SUBSTITUTE(SUBSTITUTE(SUBSTITUTE(SUBSTITUTE(SUBSTITUTE(SUBSTITUTE(SUBSTITUTE(SUBSTITUTE(SUBSTITUTE(SUBSTITUTE(SUBSTITUTE(SUBSTITUTE(SUBSTITUTE(SUBSTITUTE(LOWER(AC329&amp;""),CHAR(10),""),CHAR(13),""),CHAR(9),""),CHAR(160),"")," ",""),".",""),"-",""),"/",""),"?",""),"_",""),",",""),"[",""),"]",""),"(",""),")",""),"*","")</f>
        <v/>
      </c>
      <c r="BA329" s="61" t="str">
        <f aca="false">SUBSTITUTE(SUBSTITUTE(SUBSTITUTE(SUBSTITUTE(SUBSTITUTE(SUBSTITUTE(SUBSTITUTE(SUBSTITUTE(SUBSTITUTE(SUBSTITUTE(SUBSTITUTE(SUBSTITUTE(SUBSTITUTE(SUBSTITUTE(SUBSTITUTE(SUBSTITUTE(LOWER(AA329&amp;""),CHAR(10),""),CHAR(13),""),CHAR(9),""),CHAR(160),"")," ",""),".",""),"-",""),"/",""),"?",""),"_",""),",",""),"[",""),"]",""),"(",""),")",""),"*","")</f>
        <v/>
      </c>
      <c r="BB329" s="61" t="str">
        <f aca="false">IF(AND(TRIM(U329)="Pass",ISNUMBER(AF329)),IF(AF329&lt;&gt;0,"INVALID – qty variance: use Fail or Pass after CA",""),"")&amp;IF(AND(TRIM(U329)="Pass after CA",ISNUMBER(AF329)),IF(AF329&lt;&gt;0,"INVALID – after the corrective action the actual qty must equal expected (update Actual)",""),"")&amp;IF(AND(TRIM(U329)="Pass",TRIM(AB329)&lt;&gt;"",TRIM(AB329)&lt;&gt;"Closed"),"INVALID – corrective action not closed: use Fail, then Pass after CA","")&amp;IF(AND(LEN(BA329)&gt;=2,ISNA(MATCH(LEFT(BA329,255),L_Placeholder,0)),TRIM(AB329)=""),"INVALID – CA status missing for the recorded corrective action","")&amp;IF(AND(TRIM(U329)="Pass after CA",OR(OR(LEN(BA329)&lt;5,ISNUMBER(MATCH(BA329,L_Placeholder,0))),TRIM(AB329)&lt;&gt;"Closed")),"INVALID – corrective action not recorded/closed","")</f>
        <v/>
      </c>
      <c r="BC329" s="61" t="str">
        <f aca="false">" "&amp;TRIM(SUBSTITUTE(SUBSTITUTE(SUBSTITUTE(SUBSTITUTE(SUBSTITUTE(SUBSTITUTE(SUBSTITUTE(SUBSTITUTE(SUBSTITUTE(SUBSTITUTE(SUBSTITUTE(SUBSTITUTE(SUBSTITUTE(SUBSTITUTE(SUBSTITUTE(SUBSTITUTE(SUBSTITUTE(SUBSTITUTE(SUBSTITUTE(SUBSTITUTE(SUBSTITUTE(SUBSTITUTE(SUBSTITUTE(SUBSTITUTE(LOWER(V329&amp;""),CHAR(10)," "),CHAR(13)," "),CHAR(9)," "),CHAR(160)," "),"."," "),","," "),"-"," "),"/"," "),"("," "),")"," "),":"," "),";"," "),"_"," "),"–"," "),"?"," "),"!"," "),"*"," "),"["," "),"]"," "),"'"," "),"#"," "),"+"," "),"&amp;"," "),"\"," "))&amp;" "</f>
        <v>  </v>
      </c>
      <c r="BD329" s="61" t="str">
        <f aca="false">" "&amp;TRIM(SUBSTITUTE(SUBSTITUTE(SUBSTITUTE(SUBSTITUTE(SUBSTITUTE(SUBSTITUTE(SUBSTITUTE(SUBSTITUTE(SUBSTITUTE(SUBSTITUTE(SUBSTITUTE(SUBSTITUTE(SUBSTITUTE(SUBSTITUTE(SUBSTITUTE(SUBSTITUTE(SUBSTITUTE(SUBSTITUTE(SUBSTITUTE(SUBSTITUTE(SUBSTITUTE(SUBSTITUTE(SUBSTITUTE(SUBSTITUTE(LOWER(Z329&amp;""),CHAR(10)," "),CHAR(13)," "),CHAR(9)," "),CHAR(160)," "),"."," "),","," "),"-"," "),"/"," "),"("," "),")"," "),":"," "),";"," "),"_"," "),"–"," "),"?"," "),"!"," "),"*"," "),"["," "),"]"," "),"'"," "),"#"," "),"+"," "),"&amp;"," "),"\"," "))&amp;" "</f>
        <v>  </v>
      </c>
      <c r="BE329" s="61" t="str">
        <f aca="false">" "&amp;TRIM(SUBSTITUTE(SUBSTITUTE(SUBSTITUTE(SUBSTITUTE(SUBSTITUTE(SUBSTITUTE(SUBSTITUTE(SUBSTITUTE(SUBSTITUTE(SUBSTITUTE(SUBSTITUTE(SUBSTITUTE(SUBSTITUTE(SUBSTITUTE(SUBSTITUTE(SUBSTITUTE(SUBSTITUTE(SUBSTITUTE(SUBSTITUTE(SUBSTITUTE(SUBSTITUTE(SUBSTITUTE(SUBSTITUTE(SUBSTITUTE(LOWER(W329&amp;""),CHAR(10)," "),CHAR(13)," "),CHAR(9)," "),CHAR(160)," "),"."," "),","," "),"-"," "),"/"," "),"("," "),")"," "),":"," "),";"," "),"_"," "),"–"," "),"?"," "),"!"," "),"*"," "),"["," "),"]"," "),"'"," "),"#"," "),"+"," "),"&amp;"," "),"\"," "))&amp;" "</f>
        <v>  </v>
      </c>
      <c r="BF329" s="61" t="str">
        <f aca="false">" "&amp;TRIM(SUBSTITUTE(SUBSTITUTE(SUBSTITUTE(SUBSTITUTE(SUBSTITUTE(SUBSTITUTE(SUBSTITUTE(SUBSTITUTE(SUBSTITUTE(SUBSTITUTE(SUBSTITUTE(SUBSTITUTE(SUBSTITUTE(SUBSTITUTE(SUBSTITUTE(SUBSTITUTE(SUBSTITUTE(SUBSTITUTE(SUBSTITUTE(SUBSTITUTE(SUBSTITUTE(SUBSTITUTE(SUBSTITUTE(SUBSTITUTE(LOWER(AC329&amp;""),CHAR(10)," "),CHAR(13)," "),CHAR(9)," "),CHAR(160)," "),"."," "),","," "),"-"," "),"/"," "),"("," "),")"," "),":"," "),";"," "),"_"," "),"–"," "),"?"," "),"!"," "),"*"," "),"["," "),"]"," "),"'"," "),"#"," "),"+"," "),"&amp;"," "),"\"," "))&amp;" "</f>
        <v>  </v>
      </c>
      <c r="BG329" s="61" t="n">
        <f aca="false">IFERROR(IF(AND(TRIM(U329)="Pass",SUMPRODUCT((LEN(BC329)-LEN(SUBSTITUTE(BC329," "&amp;L_ResultBad&amp;" "," ")))/(LEN(L_ResultBad)+1))&gt;SUMPRODUCT((LEN(BC329)-LEN(SUBSTITUTE(BC329," "&amp;L_NegPhrase&amp;" "," ")))/(LEN(L_NegPhrase)+1))),1,0),0)</f>
        <v>0</v>
      </c>
      <c r="BH329" s="61" t="n">
        <f aca="false">IFERROR(IF(SUMPRODUCT((LEN(BC329)-LEN(SUBSTITUTE(BC329," "&amp;L_Pending&amp;" "," ")))/(LEN(L_Pending)+1))&gt;SUMPRODUCT((LEN(BC329)-LEN(SUBSTITUTE(BC329," "&amp;L_PendNeg&amp;" "," ")))/(LEN(L_PendNeg)+1))+SUMPRODUCT((LEN(BC329)-LEN(SUBSTITUTE(BC329," "&amp;L_PendPrep&amp;" "," ")))/(LEN(L_PendPrep)+1)),1,0),1)</f>
        <v>0</v>
      </c>
      <c r="BI329" s="61" t="n">
        <f aca="false">IFERROR(IF(SUMPRODUCT((LEN(BD329)-LEN(SUBSTITUTE(BD329," "&amp;L_PendStrict&amp;" "," ")))/(LEN(L_PendStrict)+1))&gt;SUMPRODUCT((LEN(BD329)-LEN(SUBSTITUTE(BD329," "&amp;L_PendNeg&amp;" "," ")))/(LEN(L_PendNeg)+1)),1,0),1)</f>
        <v>0</v>
      </c>
      <c r="BJ329" s="61" t="n">
        <f aca="false">IFERROR(IF(SUMPRODUCT((LEN(BE329)-LEN(SUBSTITUTE(BE329," "&amp;L_Pending&amp;" "," ")))/(LEN(L_Pending)+1))&gt;SUMPRODUCT((LEN(BE329)-LEN(SUBSTITUTE(BE329," "&amp;L_PendNeg&amp;" "," ")))/(LEN(L_PendNeg)+1))+SUMPRODUCT((LEN(BE329)-LEN(SUBSTITUTE(BE329," "&amp;L_PendPrep&amp;" "," ")))/(LEN(L_PendPrep)+1)),1,0),1)</f>
        <v>0</v>
      </c>
      <c r="BK329" s="61" t="n">
        <f aca="false">IFERROR(IF(SUMPRODUCT((LEN(BF329)-LEN(SUBSTITUTE(BF329," "&amp;L_PendStrict&amp;" "," ")))/(LEN(L_PendStrict)+1))&gt;SUMPRODUCT((LEN(BF329)-LEN(SUBSTITUTE(BF329," "&amp;L_PendNeg&amp;" "," ")))/(LEN(L_PendNeg)+1)),1,0),1)</f>
        <v>0</v>
      </c>
      <c r="BL329" s="61" t="n">
        <f aca="false">IF(ISNA(MATCH(TRIM(S329),L_EvidenceType,0)),0,BZ329)</f>
        <v>0</v>
      </c>
      <c r="BM329" s="61" t="str">
        <f aca="false">SUBSTITUTE(SUBSTITUTE(SUBSTITUTE(SUBSTITUTE(SUBSTITUTE(SUBSTITUTE(SUBSTITUTE(SUBSTITUTE(SUBSTITUTE(LOWER(Z329&amp;""),"1","0"),"2","0"),"3","0"),"4","0"),"5","0"),"6","0"),"7","0"),"8","0"),"9","0")</f>
        <v/>
      </c>
      <c r="BN329" s="61" t="str">
        <f aca="false">SUBSTITUTE(SUBSTITUTE(SUBSTITUTE(SUBSTITUTE(SUBSTITUTE(SUBSTITUTE(SUBSTITUTE(SUBSTITUTE(SUBSTITUTE(SUBSTITUTE(SUBSTITUTE(SUBSTITUTE(SUBSTITUTE(SUBSTITUTE(SUBSTITUTE(SUBSTITUTE(SUBSTITUTE(SUBSTITUTE(SUBSTITUTE(SUBSTITUTE(SUBSTITUTE(SUBSTITUTE(SUBSTITUTE(SUBSTITUTE(SUBSTITUTE(BM329,"b","a"),"c","a"),"d","a"),"e","a"),"f","a"),"g","a"),"h","a"),"i","a"),"j","a"),"k","a"),"l","a"),"m","a"),"n","a"),"o","a"),"p","a"),"q","a"),"r","a"),"s","a"),"t","a"),"u","a"),"v","a"),"w","a"),"x","a"),"y","a"),"z","a")</f>
        <v/>
      </c>
      <c r="BO329" s="61" t="str">
        <f aca="false">SUBSTITUTE(SUBSTITUTE(SUBSTITUTE(SUBSTITUTE(SUBSTITUTE(SUBSTITUTE(SUBSTITUTE(SUBSTITUTE(SUBSTITUTE(LOWER(W329&amp;""),"1","0"),"2","0"),"3","0"),"4","0"),"5","0"),"6","0"),"7","0"),"8","0"),"9","0")</f>
        <v/>
      </c>
      <c r="BP329" s="61" t="str">
        <f aca="false">SUBSTITUTE(SUBSTITUTE(SUBSTITUTE(SUBSTITUTE(SUBSTITUTE(SUBSTITUTE(SUBSTITUTE(SUBSTITUTE(SUBSTITUTE(SUBSTITUTE(SUBSTITUTE(SUBSTITUTE(SUBSTITUTE(SUBSTITUTE(SUBSTITUTE(SUBSTITUTE(SUBSTITUTE(SUBSTITUTE(SUBSTITUTE(SUBSTITUTE(SUBSTITUTE(SUBSTITUTE(SUBSTITUTE(SUBSTITUTE(SUBSTITUTE(BO329,"b","a"),"c","a"),"d","a"),"e","a"),"f","a"),"g","a"),"h","a"),"i","a"),"j","a"),"k","a"),"l","a"),"m","a"),"n","a"),"o","a"),"p","a"),"q","a"),"r","a"),"s","a"),"t","a"),"u","a"),"v","a"),"w","a"),"x","a"),"y","a"),"z","a")</f>
        <v/>
      </c>
      <c r="BQ329" s="61" t="n">
        <f aca="false">IFERROR(IF(AND(ISERROR(SEARCH(" mh"," "&amp;LOWER(W329))),ISNA(MATCH(LEFT(TRIM(BP329),255),{"0000a","000a","00a","0000aa","000aa","00aa","0aa","0000aaa","000aaa","00a00","0a00","0000-0000","00:00","a00","a0","00.00.0000","00/00/0000","00-00-0000","0000-00-00","0000/00/00","0000.00.00","00.00.00","00/00/00","00-00-00","0.00.0000","0/00/0000","0-00-0000"},0)),ISNA(MATCH(LEFT(TRIM(CA329),255),{"0000a","000a","00a","0000aa","000aa","00aa","0aa","0000aaa","000aaa","00a00","0a00","0000-0000","00:00","a00","a0","00.00.0000","00/00/0000","00-00-0000","0000-00-00","0000/00/00","0000.00.00","00.00.00","00/00/00","00-00-00","0.00.0000","0/00/0000","0-00-0000"},0)),LEN(CB329)&gt;=3,NOT(OR(SUBSTITUTE(CB329,"0","")="",AND(LEN(CB329)&gt;=4,CB329=REPT(LEFT(CB329),LEN(CB329))),ISNUMBER(MATCH(CB329,{"123","1234","12345","123456","1234567","12345678","0123","01234","012345","98765","987654","54321"},0)),AND(LEN(CB329)=8,LEFT(CB329,3)="202"))),OR(AND((LEN(CA329)-LEN(SUBSTITUTE(CA329,"a","")))&gt;=1,SUMPRODUCT(--ISNUMBER(SEARCH({"a0","a-0","a_0","a/0","a.0","a#0","0a","0-a","0_a","0/a"},BP329)))&gt;0),ISNUMBER(SEARCH("000000",BP329)))),1,0),0)</f>
        <v>0</v>
      </c>
      <c r="BR329" s="61" t="n">
        <f aca="false">IFERROR(LEN(SUBSTITUTE(CC329," ",""))-SUMPRODUCT((LEN(CC329)-LEN(SUBSTITUTE(CC329," "&amp;L_Role&amp;" "," ")))/(LEN(L_Role)+1)*LEN(L_Role)),0)</f>
        <v>0</v>
      </c>
      <c r="BS329" s="61" t="n">
        <f aca="false">IFERROR(LEN(SUBSTITUTE(CD329," ",""))-SUMPRODUCT((LEN(CD329)-LEN(SUBSTITUTE(CD329," "&amp;L_Role&amp;" "," ")))/(LEN(L_Role)+1)*LEN(L_Role)),0)</f>
        <v>0</v>
      </c>
      <c r="BT3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329,"revision",""),"version",""),"jan",""),"feb",""),"mar",""),"apr",""),"may",""),"jun",""),"jul",""),"aug",""),"sep",""),"oct",""),"nov",""),"dec",""),"utc",""),"gmt",""),"myt",""),"bst",""),"rev",""),"ver",""),"b","a"),"c","a"),"d","a"),"e","a"),"f","a"),"g","a"),"h","a"),"i","a"),"j","a"),"k","a"),"l","a"),"m","a"),"n","a"),"o","a"),"p","a"),"q","a"),"r","a"),"s","a"),"t","a"),"u","a"),"v","a"),"w","a"),"x","a"),"y","a"),"z","a")</f>
        <v/>
      </c>
      <c r="BU329" s="61" t="str">
        <f aca="false">SUBSTITUTE(SUBSTITUTE(SUBSTITUTE(SUBSTITUTE(SUBSTITUTE(SUBSTITUTE(SUBSTITUTE(SUBSTITUTE(SUBSTITUTE(SUBSTITUTE(LEFT(BM329,FIND("0",BM329&amp;"0")-1),"-",""),"_",""),"/",""),".",""),"#",""),"\\",""),":","")," ",""),"(",""),")","")</f>
        <v/>
      </c>
      <c r="BV329" s="61" t="n">
        <f aca="false">0</f>
        <v>0</v>
      </c>
      <c r="BW3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329&amp;""),"a",""),"b",""),"c",""),"d",""),"e",""),"f",""),"g",""),"h",""),"i",""),"j",""),"k",""),"l",""),"m",""),"n",""),"o",""),"p",""),"q",""),"r",""),"s",""),"t",""),"u",""),"v",""),"w",""),"x",""),"y",""),"z",""),"-",""),"_",""),"/",""),".",""),"#",""),"\\",""),":","")," ",""),"(",""),")","")</f>
        <v/>
      </c>
      <c r="BX329" s="61" t="str">
        <f aca="false">SUBSTITUTE(SUBSTITUTE(SUBSTITUTE(SUBSTITUTE(SUBSTITUTE(SUBSTITUTE(SUBSTITUTE(SUBSTITUTE(SUBSTITUTE(SUBSTITUTE(SUBSTITUTE(BM329,"0",""),"-",""),"_",""),"/",""),".",""),"#",""),"\\",""),":","")," ",""),"(",""),")","")</f>
        <v/>
      </c>
      <c r="BY329" s="62" t="n">
        <f aca="false">Q329-T7EarlyD*24/24</f>
        <v>46286.15625</v>
      </c>
      <c r="BZ329" s="61" t="n">
        <f aca="false">IFERROR(IF(IF(TRIM(S329)="Link / file path",AND(LEN(TRIM(Z329))&gt;=5,SUMPRODUCT(--ISNUMBER(SEARCH({"http","www.","\\",":\",".pdf",".jpg",".jpeg",".png",".heic",".xls",".doc",".msg",".eml",".ppt",".txt",".zip"},Z329)))&gt;0),AND(ISERROR(FIND(" ",TRIM(Z329))),NOT(OR(SUMPRODUCT(--ISNUMBER(FIND({",",";","&amp;","+"},Z329)))&gt;0,SUMPRODUCT(--ISNUMBER(SEARCH({"0/aa","0\\aa"},BN329)))&gt;0)),NOT(SUMPRODUCT(--ISNUMBER(SEARCH({"http","www.","\\",":\",".pdf",".jpg",".jpeg",".png",".heic",".xls",".doc",".msg",".eml",".ppt",".txt",".zip"},Z329)))&gt;0),NOT(LOWER(TRIM(Z329))=LOWER(Flights!$F$14)),ISNA(MATCH(BU329,{"mh","rev","revision","ver","version","v","r","a","b","seat","tray","row","gate","bay","stand","page","pg","item","line","no","cart","galley","flight","flt","table","box","bag","oven","etd","eta","std","sta","atd","ata","qty","pax","x","time","tel","ph","mob","day","wk","week","utc","gmt","myt","lt"},0)),NOT(OR(ISNUMBER(MATCH(LEFT(BN329,255),{"0000a","000a","00a","0000aa","000aa","00aa","0aa","0000aaa","000aaa","00a00","0a00","0000-0000","00:00","a00","a0","00.00.0000","00/00/0000","00-00-0000","0000-00-00","0000/00/00","0000.00.00","00.00.00","00/00/00","00-00-00","0.00.0000","0/00/0000","0-00-0000"},0)),ISNUMBER(MATCH(LEFT(BT329,255),{"0000a","000a","00a","0000aa","000aa","00aa","0aa","0000aaa","000aaa","00a00","0a00","0000-0000","00:00","a00","a0","00.00.0000","00/00/0000","00-00-0000","0000-00-00","0000/00/00","0000.00.00","00.00.00","00/00/00","00-00-00","0.00.0000","0/00/0000","0-00-0000"},0)))),NOT(OR(AND(BW329&lt;&gt;"",SUBSTITUTE(BW329,"0","")=""),AND(LEN(BW329)&gt;=4,BW329=REPT(LEFT(BW329),LEN(BW329))),ISNUMBER(MATCH(BW329,{"123","1234","12345","123456","1234567","12345678","0123","01234","012345","98765","987654","54321"},0)),ISNUMBER(MATCH(BX329,{"x","xx","xxx","xxxx","xxxxx","abc","abcd","nil","na","nan","test","tbc","tba","tbd","dummy","sample","example","eg","zz","zzz","none","null","xyz","qwe","asd","id","ref"},0)),AND(LEN(BW329)=8,BX329="",OR(LEFT(BW329,3)="202",ISNUMBER(MATCH(RIGHT(BW329,4),{"2025","2026","2027"},0)))))),OR(AND((LEN(BT329)-LEN(SUBSTITUTE(BT329,"a","")))&gt;=1,(LEN(BN329)-LEN(SUBSTITUTE(BN329,"0","")))&gt;=2,SUMPRODUCT(--ISNUMBER(SEARCH({"a0","a-0","a_0","a/0","a.0","a#0","0a","0-a","0_a","0/a"},BN329)))&gt;0),AND((LEN(BN329)-LEN(SUBSTITUTE(BN329,"a","")))=0,(LEN(BN329)-LEN(SUBSTITUTE(BN329,"0","")))&gt;=5)))),1,0),0)</f>
        <v>0</v>
      </c>
      <c r="CA3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329,"revision",""),"version",""),"jan",""),"feb",""),"mar",""),"apr",""),"may",""),"jun",""),"jul",""),"aug",""),"sep",""),"oct",""),"nov",""),"dec",""),"utc",""),"gmt",""),"myt",""),"bst",""),"rev",""),"ver",""),"b","a"),"c","a"),"d","a"),"e","a"),"f","a"),"g","a"),"h","a"),"i","a"),"j","a"),"k","a"),"l","a"),"m","a"),"n","a"),"o","a"),"p","a"),"q","a"),"r","a"),"s","a"),"t","a"),"u","a"),"v","a"),"w","a"),"x","a"),"y","a"),"z","a")</f>
        <v/>
      </c>
      <c r="CB3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329&amp;""),"a",""),"b",""),"c",""),"d",""),"e",""),"f",""),"g",""),"h",""),"i",""),"j",""),"k",""),"l",""),"m",""),"n",""),"o",""),"p",""),"q",""),"r",""),"s",""),"t",""),"u",""),"v",""),"w",""),"x",""),"y",""),"z",""),"-",""),"_",""),"/",""),".",""),"#",""),"\\",""),":","")," ",""),"(",""),")","")</f>
        <v/>
      </c>
      <c r="CC329" s="0" t="str">
        <f aca="false">" "&amp;TRIM(SUBSTITUTE(SUBSTITUTE(SUBSTITUTE(SUBSTITUTE(SUBSTITUTE(SUBSTITUTE(SUBSTITUTE(SUBSTITUTE(SUBSTITUTE(SUBSTITUTE(SUBSTITUTE(SUBSTITUTE(SUBSTITUTE(SUBSTITUTE(SUBSTITUTE(SUBSTITUTE(SUBSTITUTE(SUBSTITUTE(SUBSTITUTE(SUBSTITUTE(SUBSTITUTE(SUBSTITUTE(SUBSTITUTE(SUBSTITUTE(LOWER(T329&amp;""),CHAR(10)," "),CHAR(13)," "),CHAR(9)," "),CHAR(160)," "),"."," "),","," "),"-"," "),"/"," "),"("," "),")"," "),":"," "),";"," "),"_"," "),"–"," "),"?"," "),"!"," "),"*"," "),"["," "),"]"," "),"'"," "),"#"," "),"+"," "),"&amp;"," "),"\"," "))&amp;" "</f>
        <v>  </v>
      </c>
      <c r="CD329" s="0" t="str">
        <f aca="false">" "&amp;TRIM(SUBSTITUTE(SUBSTITUTE(SUBSTITUTE(SUBSTITUTE(SUBSTITUTE(SUBSTITUTE(SUBSTITUTE(SUBSTITUTE(SUBSTITUTE(SUBSTITUTE(SUBSTITUTE(SUBSTITUTE(SUBSTITUTE(SUBSTITUTE(SUBSTITUTE(SUBSTITUTE(SUBSTITUTE(SUBSTITUTE(SUBSTITUTE(SUBSTITUTE(SUBSTITUTE(SUBSTITUTE(SUBSTITUTE(SUBSTITUTE(LOWER(AE329&amp;""),CHAR(10)," "),CHAR(13)," "),CHAR(9)," "),CHAR(160)," "),"."," "),","," "),"-"," "),"/"," "),"("," "),")"," "),":"," "),";"," "),"_"," "),"–"," "),"?"," "),"!"," "),"*"," "),"["," "),"]"," "),"'"," "),"#"," "),"+"," "),"&amp;"," "),"\"," "))&amp;" "</f>
        <v>  </v>
      </c>
      <c r="CE329" s="68" t="n">
        <f aca="false">IFERROR(IF(AND(LEN(AU329)&gt;0,LEN(AU329)=LEN(AX329),OR(TRIM(MID(SUBSTITUTE(TRIM(CC329)," ",REPT(" ",60)),1,60))="",ISNUMBER(SEARCH(" "&amp;TRIM(MID(SUBSTITUTE(TRIM(CC329)," ",REPT(" ",60)),1,60))&amp;" ",CD329))),OR(TRIM(MID(SUBSTITUTE(TRIM(CC329)," ",REPT(" ",60)),61,60))="",ISNUMBER(SEARCH(" "&amp;TRIM(MID(SUBSTITUTE(TRIM(CC329)," ",REPT(" ",60)),61,60))&amp;" ",CD329))),OR(TRIM(MID(SUBSTITUTE(TRIM(CC329)," ",REPT(" ",60)),121,60))="",ISNUMBER(SEARCH(" "&amp;TRIM(MID(SUBSTITUTE(TRIM(CC329)," ",REPT(" ",60)),121,60))&amp;" ",CD329)))),1,0),0)</f>
        <v>0</v>
      </c>
      <c r="CG329" s="68" t="n">
        <f aca="false">IFERROR(LEN(SUBSTITUTE(BF329," ",""))-SUMPRODUCT((LEN(BF329)-LEN(SUBSTITUTE(BF329," "&amp;L_NAFiller&amp;" "," ")))/(LEN(L_NAFiller)+1)*LEN(L_NAFiller)),0)</f>
        <v>0</v>
      </c>
    </row>
    <row r="330" customFormat="false" ht="39.75" hidden="false" customHeight="true" outlineLevel="0" collapsed="false">
      <c r="A330" s="57" t="s">
        <v>921</v>
      </c>
      <c r="B330" s="57" t="s">
        <v>251</v>
      </c>
      <c r="C330" s="57" t="str">
        <f aca="false">Flights!$F$14</f>
        <v>MH1140</v>
      </c>
      <c r="D330" s="58" t="n">
        <f aca="false">Flights!$D$14</f>
        <v>46307</v>
      </c>
      <c r="E330" s="57" t="str">
        <f aca="false">Flights!$G$14&amp;"-"&amp;Flights!$H$14</f>
        <v>KUL-PEN</v>
      </c>
      <c r="F330" s="57" t="str">
        <f aca="false">Flights!$K$14</f>
        <v>BC</v>
      </c>
      <c r="G330" s="57" t="s">
        <v>81</v>
      </c>
      <c r="H330" s="57" t="s">
        <v>378</v>
      </c>
      <c r="I330" s="57" t="s">
        <v>411</v>
      </c>
      <c r="J330" s="57" t="s">
        <v>412</v>
      </c>
      <c r="K330" s="67" t="s">
        <v>922</v>
      </c>
      <c r="L330" s="67" t="s">
        <v>923</v>
      </c>
      <c r="M330" s="67"/>
      <c r="N330" s="67" t="s">
        <v>383</v>
      </c>
      <c r="O330" s="67"/>
      <c r="P330" s="57" t="s">
        <v>187</v>
      </c>
      <c r="Q330" s="59" t="n">
        <f aca="false">ROUND((Flights!$AC$14)*1440,0)/1440</f>
        <v>46300.15625</v>
      </c>
      <c r="R330" s="59" t="n">
        <f aca="false">Q330+(IF(AND(INDEX(TZ_DSTS,MATCH(P330,TZ_STN,0))&lt;&gt;"",Q330&gt;=INDEX(TZ_DSTS,MATCH(P330,TZ_STN,0)),Q330&lt;INDEX(TZ_DSTE,MATCH(P330,TZ_STN,0))),INDEX(TZ_DST,MATCH(P330,TZ_STN,0)),INDEX(TZ_STD,MATCH(P330,TZ_STN,0))))/24</f>
        <v>46300.4895833333</v>
      </c>
      <c r="S330" s="60"/>
      <c r="T330" s="60"/>
      <c r="U330" s="60"/>
      <c r="V330" s="60"/>
      <c r="W330" s="61"/>
      <c r="X330" s="60"/>
      <c r="Y330" s="60"/>
      <c r="Z330" s="60"/>
      <c r="AA330" s="60"/>
      <c r="AB330" s="60"/>
      <c r="AC330" s="60"/>
      <c r="AD330" s="66"/>
      <c r="AE330" s="60"/>
      <c r="AF330" s="61" t="str">
        <f aca="false">IF(AND(ISNUMBER(X330),ISNUMBER(Y330)),Y330-X330,"")</f>
        <v/>
      </c>
      <c r="AG330" s="62" t="str">
        <f aca="false">IF(ISNUMBER(AD330),AD330-(IF(AND(INDEX(TZ_DSTS,MATCH(P330,TZ_STN,0))&lt;&gt;"",(AD330-INDEX(TZ_STD,MATCH(P330,TZ_STN,0))/24)&gt;=INDEX(TZ_DSTS,MATCH(P330,TZ_STN,0)),(AD330-INDEX(TZ_STD,MATCH(P330,TZ_STN,0))/24)&lt;INDEX(TZ_DSTE,MATCH(P330,TZ_STN,0))),INDEX(TZ_DST,MATCH(P330,TZ_STN,0)),INDEX(TZ_STD,MATCH(P330,TZ_STN,0))))/24,"")</f>
        <v/>
      </c>
      <c r="AH330" s="65" t="str">
        <f aca="false">IFERROR(IF(N330="N/A – rule",IF(OR(TRIM(U330)="",TRIM(U330)="N/A",TRIM(U330)="Not started"),"N/A – RULE","INVALID – this check does not apply to this aircraft: clear the status (or correct the fleet on Flights)"),IF(TRIM(U330)="N/A",IF(AT330=0,"INVALID – N/A not permitted for this check",IF(AND(TRIM(AB330)&lt;&gt;"",TRIM(AB330)&lt;&gt;"Closed"),"INVALID – corrective action still open",IF(AND(NOT(OR(LEN(AZ330)&lt;15,ISNUMBER(MATCH(AZ330,L_Placeholder,0)))),BK330=0,CG330&gt;=8,NOT(OR(LEN(AU330)&lt;2,ISNUMBER(MATCH(AU330,L_Placeholder,0)))),BR330&gt;=3,NOT(OR(LEN(AX330)&lt;2,ISNUMBER(MATCH(AX330,L_Placeholder,0)))),BS330&gt;=3,TRIM(AE330)&lt;&gt;TRIM(T330),AX330&lt;&gt;AU330,CE330=0),"N/A – JUSTIFIED","INVALID – N/A needs a real, settled reason (not 'not applicable' / 'as above' / TBC), a named PIC and a different named verifier"))),IF(OR(TRIM(U330)="Pass",TRIM(U330)="Pass after CA"),IF(NOT(ISNUMBER(AD330)),"INVALID – completion time missing",IF(OR(OR(LEN(AU330)&lt;2,ISNUMBER(MATCH(AU330,L_Placeholder,0))),BR330&lt;3),"INVALID – PIC missing or not a named person (a role such as QA / CSM is not a name)",IF(OR(LEN(AV330)&lt;2,ISNUMBER(MATCH(AV330,L_Placeholder,0))),"INVALID – result / assessment missing",IF(OR(OR(LEN(AW330)&lt;3,ISNUMBER(MATCH(AW330,L_Placeholder,0))),SUMPRODUCT(--ISNUMBER(SEARCH(" "&amp;L_EvidencePhrase&amp;" ",BD330)))&gt;0,BI330=1),"INVALID – evidence missing, placeholder or not yet on file",IF(ISNA(MATCH(TRIM(S330),L_EvidenceType,0)),"INVALID – choose the evidence type from the list (column S)",IF(BL330=0,"INVALID – evidence ID must be the record's own ID only (e.g. SF-2210, IMG_2231, 1045521); a link / file name needs type 'Link / file path'",IF(OR(OR(LEN(AX330)&lt;2,ISNUMBER(MATCH(AX330,L_Placeholder,0))),BS330&lt;3),"INVALID – verifier missing or not a named person (a role such as QA / CSM is not a name)",IF(OR(AX330=AU330,CE330=1,AND(LEN(AU330)&gt;=4,ISNUMBER(SEARCH(AU330,AX330))),AND(LEN(AX330)&gt;=4,ISNUMBER(SEARCH(AX330,AU330)))),"INVALID – verifier must be a different, named person (not the PIC or a role)",IF(BH330=1,"INVALID – result not yet available (awaiting / TBC)",IF(BG330=1,"INVALID – result describes a problem: record Fail, then Pass after CA (or reword if it is not a problem)",IF(BV330=1,"INVALID – wording says not on board: an on-board confirmation needs the item loaded",IF(AND(AQ330=1,OR(OR(LEN(AY330)&lt;3,ISNUMBER(MATCH(AY330,L_Placeholder,0))),BJ330=1,BQ330=0)),"INVALID – batch ID missing, placeholder or not an ID (e.g. PASB-261008-BC-017)",IF(AND(AR330=1,OR(NOT(ISNUMBER(X330)),NOT(ISNUMBER(Y330)))),"INVALID – expected/actual qty missing",IF(AND(AR330=1,OR(X330&lt;=0,Y330&lt;0)),"INVALID – expected qty must be above 0 and actual not negative",IF(BB330&lt;&gt;"",BB330,IF(AND(AS330=1,Documents!$J$14&lt;&gt;"ON FILE"),"INVALID – GLD not on file (Documents sheet)",IF(AND(AS330=2,Documents!$O$14&lt;&gt;"ON FILE"),"INVALID – menu checklist not on file (Documents sheet)",IF(AND(AS330=3,NOT(ISNUMBER(Flights!$AX$14))),"INVALID – enter carrying flight KUL departure (Flights AX)",IF(AND(AS330=3,OR(Flights!$AZ$14&gt;Flights!$AA$14,Flights!$AX$14&lt;Flights!$AA$14-3)),"INVALID – carrying flight (Flights AX) cannot arrive before this leg's STD, or is over 3 days early",IF(AG330&gt;AsOfUTC,"INVALID – completion time is in the future",IF(AND(ISNUMBER(BY330),AG330&lt;BY330),IF(H330="Physical uplift","INVALID – before uplift window (cannot confirm loading)","INVALID – before valid window"),IF(AG330&gt;Flights!$AA$14,"INVALID – completed after departure (cannot establish readiness)",IF(AND(H330="Preparation",AG330&gt;=IF(ISNUMBER(Flights!$BA$14),MIN(Flights!$BA$14,Flights!$AA$14),Flights!$AA$14)),"INVALID – completed after loading / departure (cannot establish readiness)",IF(AND(H330="Physical uplift",AG330&gt;Q330),"INVALID – recorded after the loading flight departed",IF(AG330&gt;Q330,"COMPLETE – LATE","COMPLETE"))))))))))))))))))))))))),IF(TRIM(U330)="Fail","FAIL – DISCREPANCY",IF(AND(TRIM(U330)&lt;&gt;"",TRIM(U330)&lt;&gt;"Not started",TRIM(U330)&lt;&gt;"In progress"),"INVALID – unrecognised status (use the list)",IF(AsOfUTC&gt;Q330,"OVERDUE",IF(N330="Clarification required","OPEN – CLARIFICATION","OPEN"))))))),"INVALID – error value in an input cell")</f>
        <v>OPEN</v>
      </c>
      <c r="AI330" s="61" t="n">
        <f aca="false">IF(OR(AH330="N/A – RULE",AH330="N/A – JUSTIFIED"),0,1)</f>
        <v>1</v>
      </c>
      <c r="AJ330" s="61" t="n">
        <f aca="false">IF(LEFT(AH330,8)="COMPLETE",1,0)</f>
        <v>0</v>
      </c>
      <c r="AK330" s="61" t="n">
        <f aca="false">IF(AND(AI330=1,AJ330=0,AsOfUTC&gt;Q330),1,0)</f>
        <v>0</v>
      </c>
      <c r="AL330" s="61" t="n">
        <f aca="false">IFERROR(IF(AND(AI330=1,OR(TRIM(U330)="Fail",AND(TRIM(AB330)&lt;&gt;"",TRIM(AB330)&lt;&gt;"Closed"),AND(ISNUMBER(AF330),AF330&lt;&gt;0,TRIM(U330)&lt;&gt;"Pass after CA"))),1,0),1)</f>
        <v>0</v>
      </c>
      <c r="AM330" s="61" t="n">
        <f aca="false">IF(LEFT(AH330,7)="INVALID",1,0)</f>
        <v>0</v>
      </c>
      <c r="AN330" s="61" t="n">
        <f aca="false">IF(AND(N330="Clarification required",AI330=1,AJ330=0),1,0)</f>
        <v>0</v>
      </c>
      <c r="AO330" s="61" t="str">
        <f aca="false">IF(AK330=1,SUM(AK$5:AK330),"")</f>
        <v/>
      </c>
      <c r="AP330" s="61" t="str">
        <f aca="false">IF(AL330=1,SUM(AL$5:AL330),"")</f>
        <v/>
      </c>
      <c r="AQ330" s="61" t="n">
        <v>0</v>
      </c>
      <c r="AR330" s="61" t="n">
        <v>0</v>
      </c>
      <c r="AS330" s="61" t="n">
        <v>0</v>
      </c>
      <c r="AT330" s="61" t="n">
        <v>0</v>
      </c>
      <c r="AU330" s="61" t="str">
        <f aca="false">SUBSTITUTE(SUBSTITUTE(SUBSTITUTE(SUBSTITUTE(SUBSTITUTE(SUBSTITUTE(SUBSTITUTE(SUBSTITUTE(SUBSTITUTE(SUBSTITUTE(SUBSTITUTE(SUBSTITUTE(SUBSTITUTE(SUBSTITUTE(SUBSTITUTE(SUBSTITUTE(LOWER(T330&amp;""),CHAR(10),""),CHAR(13),""),CHAR(9),""),CHAR(160),"")," ",""),".",""),"-",""),"/",""),"?",""),"_",""),",",""),"[",""),"]",""),"(",""),")",""),"*","")</f>
        <v/>
      </c>
      <c r="AV330" s="61" t="str">
        <f aca="false">SUBSTITUTE(SUBSTITUTE(SUBSTITUTE(SUBSTITUTE(SUBSTITUTE(SUBSTITUTE(SUBSTITUTE(SUBSTITUTE(SUBSTITUTE(SUBSTITUTE(SUBSTITUTE(SUBSTITUTE(SUBSTITUTE(SUBSTITUTE(SUBSTITUTE(SUBSTITUTE(LOWER(V330&amp;""),CHAR(10),""),CHAR(13),""),CHAR(9),""),CHAR(160),"")," ",""),".",""),"-",""),"/",""),"?",""),"_",""),",",""),"[",""),"]",""),"(",""),")",""),"*","")</f>
        <v/>
      </c>
      <c r="AW330" s="61" t="str">
        <f aca="false">SUBSTITUTE(SUBSTITUTE(SUBSTITUTE(SUBSTITUTE(SUBSTITUTE(SUBSTITUTE(SUBSTITUTE(SUBSTITUTE(SUBSTITUTE(SUBSTITUTE(SUBSTITUTE(SUBSTITUTE(SUBSTITUTE(SUBSTITUTE(SUBSTITUTE(SUBSTITUTE(LOWER(Z330&amp;""),CHAR(10),""),CHAR(13),""),CHAR(9),""),CHAR(160),"")," ",""),".",""),"-",""),"/",""),"?",""),"_",""),",",""),"[",""),"]",""),"(",""),")",""),"*","")</f>
        <v/>
      </c>
      <c r="AX330" s="61" t="str">
        <f aca="false">SUBSTITUTE(SUBSTITUTE(SUBSTITUTE(SUBSTITUTE(SUBSTITUTE(SUBSTITUTE(SUBSTITUTE(SUBSTITUTE(SUBSTITUTE(SUBSTITUTE(SUBSTITUTE(SUBSTITUTE(SUBSTITUTE(SUBSTITUTE(SUBSTITUTE(SUBSTITUTE(LOWER(AE330&amp;""),CHAR(10),""),CHAR(13),""),CHAR(9),""),CHAR(160),"")," ",""),".",""),"-",""),"/",""),"?",""),"_",""),",",""),"[",""),"]",""),"(",""),")",""),"*","")</f>
        <v/>
      </c>
      <c r="AY330" s="61" t="str">
        <f aca="false">SUBSTITUTE(SUBSTITUTE(SUBSTITUTE(SUBSTITUTE(SUBSTITUTE(SUBSTITUTE(SUBSTITUTE(SUBSTITUTE(SUBSTITUTE(SUBSTITUTE(SUBSTITUTE(SUBSTITUTE(SUBSTITUTE(SUBSTITUTE(SUBSTITUTE(SUBSTITUTE(LOWER(W330&amp;""),CHAR(10),""),CHAR(13),""),CHAR(9),""),CHAR(160),"")," ",""),".",""),"-",""),"/",""),"?",""),"_",""),",",""),"[",""),"]",""),"(",""),")",""),"*","")</f>
        <v/>
      </c>
      <c r="AZ330" s="61" t="str">
        <f aca="false">SUBSTITUTE(SUBSTITUTE(SUBSTITUTE(SUBSTITUTE(SUBSTITUTE(SUBSTITUTE(SUBSTITUTE(SUBSTITUTE(SUBSTITUTE(SUBSTITUTE(SUBSTITUTE(SUBSTITUTE(SUBSTITUTE(SUBSTITUTE(SUBSTITUTE(SUBSTITUTE(LOWER(AC330&amp;""),CHAR(10),""),CHAR(13),""),CHAR(9),""),CHAR(160),"")," ",""),".",""),"-",""),"/",""),"?",""),"_",""),",",""),"[",""),"]",""),"(",""),")",""),"*","")</f>
        <v/>
      </c>
      <c r="BA330" s="61" t="str">
        <f aca="false">SUBSTITUTE(SUBSTITUTE(SUBSTITUTE(SUBSTITUTE(SUBSTITUTE(SUBSTITUTE(SUBSTITUTE(SUBSTITUTE(SUBSTITUTE(SUBSTITUTE(SUBSTITUTE(SUBSTITUTE(SUBSTITUTE(SUBSTITUTE(SUBSTITUTE(SUBSTITUTE(LOWER(AA330&amp;""),CHAR(10),""),CHAR(13),""),CHAR(9),""),CHAR(160),"")," ",""),".",""),"-",""),"/",""),"?",""),"_",""),",",""),"[",""),"]",""),"(",""),")",""),"*","")</f>
        <v/>
      </c>
      <c r="BB330" s="61" t="str">
        <f aca="false">IF(AND(TRIM(U330)="Pass",ISNUMBER(AF330)),IF(AF330&lt;&gt;0,"INVALID – qty variance: use Fail or Pass after CA",""),"")&amp;IF(AND(TRIM(U330)="Pass after CA",ISNUMBER(AF330)),IF(AF330&lt;&gt;0,"INVALID – after the corrective action the actual qty must equal expected (update Actual)",""),"")&amp;IF(AND(TRIM(U330)="Pass",TRIM(AB330)&lt;&gt;"",TRIM(AB330)&lt;&gt;"Closed"),"INVALID – corrective action not closed: use Fail, then Pass after CA","")&amp;IF(AND(LEN(BA330)&gt;=2,ISNA(MATCH(LEFT(BA330,255),L_Placeholder,0)),TRIM(AB330)=""),"INVALID – CA status missing for the recorded corrective action","")&amp;IF(AND(TRIM(U330)="Pass after CA",OR(OR(LEN(BA330)&lt;5,ISNUMBER(MATCH(BA330,L_Placeholder,0))),TRIM(AB330)&lt;&gt;"Closed")),"INVALID – corrective action not recorded/closed","")</f>
        <v/>
      </c>
      <c r="BC330" s="61" t="str">
        <f aca="false">" "&amp;TRIM(SUBSTITUTE(SUBSTITUTE(SUBSTITUTE(SUBSTITUTE(SUBSTITUTE(SUBSTITUTE(SUBSTITUTE(SUBSTITUTE(SUBSTITUTE(SUBSTITUTE(SUBSTITUTE(SUBSTITUTE(SUBSTITUTE(SUBSTITUTE(SUBSTITUTE(SUBSTITUTE(SUBSTITUTE(SUBSTITUTE(SUBSTITUTE(SUBSTITUTE(SUBSTITUTE(SUBSTITUTE(SUBSTITUTE(SUBSTITUTE(LOWER(V330&amp;""),CHAR(10)," "),CHAR(13)," "),CHAR(9)," "),CHAR(160)," "),"."," "),","," "),"-"," "),"/"," "),"("," "),")"," "),":"," "),";"," "),"_"," "),"–"," "),"?"," "),"!"," "),"*"," "),"["," "),"]"," "),"'"," "),"#"," "),"+"," "),"&amp;"," "),"\"," "))&amp;" "</f>
        <v>  </v>
      </c>
      <c r="BD330" s="61" t="str">
        <f aca="false">" "&amp;TRIM(SUBSTITUTE(SUBSTITUTE(SUBSTITUTE(SUBSTITUTE(SUBSTITUTE(SUBSTITUTE(SUBSTITUTE(SUBSTITUTE(SUBSTITUTE(SUBSTITUTE(SUBSTITUTE(SUBSTITUTE(SUBSTITUTE(SUBSTITUTE(SUBSTITUTE(SUBSTITUTE(SUBSTITUTE(SUBSTITUTE(SUBSTITUTE(SUBSTITUTE(SUBSTITUTE(SUBSTITUTE(SUBSTITUTE(SUBSTITUTE(LOWER(Z330&amp;""),CHAR(10)," "),CHAR(13)," "),CHAR(9)," "),CHAR(160)," "),"."," "),","," "),"-"," "),"/"," "),"("," "),")"," "),":"," "),";"," "),"_"," "),"–"," "),"?"," "),"!"," "),"*"," "),"["," "),"]"," "),"'"," "),"#"," "),"+"," "),"&amp;"," "),"\"," "))&amp;" "</f>
        <v>  </v>
      </c>
      <c r="BE330" s="61" t="str">
        <f aca="false">" "&amp;TRIM(SUBSTITUTE(SUBSTITUTE(SUBSTITUTE(SUBSTITUTE(SUBSTITUTE(SUBSTITUTE(SUBSTITUTE(SUBSTITUTE(SUBSTITUTE(SUBSTITUTE(SUBSTITUTE(SUBSTITUTE(SUBSTITUTE(SUBSTITUTE(SUBSTITUTE(SUBSTITUTE(SUBSTITUTE(SUBSTITUTE(SUBSTITUTE(SUBSTITUTE(SUBSTITUTE(SUBSTITUTE(SUBSTITUTE(SUBSTITUTE(LOWER(W330&amp;""),CHAR(10)," "),CHAR(13)," "),CHAR(9)," "),CHAR(160)," "),"."," "),","," "),"-"," "),"/"," "),"("," "),")"," "),":"," "),";"," "),"_"," "),"–"," "),"?"," "),"!"," "),"*"," "),"["," "),"]"," "),"'"," "),"#"," "),"+"," "),"&amp;"," "),"\"," "))&amp;" "</f>
        <v>  </v>
      </c>
      <c r="BF330" s="61" t="str">
        <f aca="false">" "&amp;TRIM(SUBSTITUTE(SUBSTITUTE(SUBSTITUTE(SUBSTITUTE(SUBSTITUTE(SUBSTITUTE(SUBSTITUTE(SUBSTITUTE(SUBSTITUTE(SUBSTITUTE(SUBSTITUTE(SUBSTITUTE(SUBSTITUTE(SUBSTITUTE(SUBSTITUTE(SUBSTITUTE(SUBSTITUTE(SUBSTITUTE(SUBSTITUTE(SUBSTITUTE(SUBSTITUTE(SUBSTITUTE(SUBSTITUTE(SUBSTITUTE(LOWER(AC330&amp;""),CHAR(10)," "),CHAR(13)," "),CHAR(9)," "),CHAR(160)," "),"."," "),","," "),"-"," "),"/"," "),"("," "),")"," "),":"," "),";"," "),"_"," "),"–"," "),"?"," "),"!"," "),"*"," "),"["," "),"]"," "),"'"," "),"#"," "),"+"," "),"&amp;"," "),"\"," "))&amp;" "</f>
        <v>  </v>
      </c>
      <c r="BG330" s="61" t="n">
        <f aca="false">IFERROR(IF(AND(TRIM(U330)="Pass",SUMPRODUCT((LEN(BC330)-LEN(SUBSTITUTE(BC330," "&amp;L_ResultBad&amp;" "," ")))/(LEN(L_ResultBad)+1))&gt;SUMPRODUCT((LEN(BC330)-LEN(SUBSTITUTE(BC330," "&amp;L_NegPhrase&amp;" "," ")))/(LEN(L_NegPhrase)+1))),1,0),0)</f>
        <v>0</v>
      </c>
      <c r="BH330" s="61" t="n">
        <f aca="false">IFERROR(IF(SUMPRODUCT((LEN(BC330)-LEN(SUBSTITUTE(BC330," "&amp;L_Pending&amp;" "," ")))/(LEN(L_Pending)+1))&gt;SUMPRODUCT((LEN(BC330)-LEN(SUBSTITUTE(BC330," "&amp;L_PendNeg&amp;" "," ")))/(LEN(L_PendNeg)+1))+SUMPRODUCT((LEN(BC330)-LEN(SUBSTITUTE(BC330," "&amp;L_PendPrep&amp;" "," ")))/(LEN(L_PendPrep)+1)),1,0),1)</f>
        <v>0</v>
      </c>
      <c r="BI330" s="61" t="n">
        <f aca="false">IFERROR(IF(SUMPRODUCT((LEN(BD330)-LEN(SUBSTITUTE(BD330," "&amp;L_PendStrict&amp;" "," ")))/(LEN(L_PendStrict)+1))&gt;SUMPRODUCT((LEN(BD330)-LEN(SUBSTITUTE(BD330," "&amp;L_PendNeg&amp;" "," ")))/(LEN(L_PendNeg)+1)),1,0),1)</f>
        <v>0</v>
      </c>
      <c r="BJ330" s="61" t="n">
        <f aca="false">IFERROR(IF(SUMPRODUCT((LEN(BE330)-LEN(SUBSTITUTE(BE330," "&amp;L_Pending&amp;" "," ")))/(LEN(L_Pending)+1))&gt;SUMPRODUCT((LEN(BE330)-LEN(SUBSTITUTE(BE330," "&amp;L_PendNeg&amp;" "," ")))/(LEN(L_PendNeg)+1))+SUMPRODUCT((LEN(BE330)-LEN(SUBSTITUTE(BE330," "&amp;L_PendPrep&amp;" "," ")))/(LEN(L_PendPrep)+1)),1,0),1)</f>
        <v>0</v>
      </c>
      <c r="BK330" s="61" t="n">
        <f aca="false">IFERROR(IF(SUMPRODUCT((LEN(BF330)-LEN(SUBSTITUTE(BF330," "&amp;L_PendStrict&amp;" "," ")))/(LEN(L_PendStrict)+1))&gt;SUMPRODUCT((LEN(BF330)-LEN(SUBSTITUTE(BF330," "&amp;L_PendNeg&amp;" "," ")))/(LEN(L_PendNeg)+1)),1,0),1)</f>
        <v>0</v>
      </c>
      <c r="BL330" s="61" t="n">
        <f aca="false">IF(ISNA(MATCH(TRIM(S330),L_EvidenceType,0)),0,BZ330)</f>
        <v>0</v>
      </c>
      <c r="BM330" s="61" t="str">
        <f aca="false">SUBSTITUTE(SUBSTITUTE(SUBSTITUTE(SUBSTITUTE(SUBSTITUTE(SUBSTITUTE(SUBSTITUTE(SUBSTITUTE(SUBSTITUTE(LOWER(Z330&amp;""),"1","0"),"2","0"),"3","0"),"4","0"),"5","0"),"6","0"),"7","0"),"8","0"),"9","0")</f>
        <v/>
      </c>
      <c r="BN330" s="61" t="str">
        <f aca="false">SUBSTITUTE(SUBSTITUTE(SUBSTITUTE(SUBSTITUTE(SUBSTITUTE(SUBSTITUTE(SUBSTITUTE(SUBSTITUTE(SUBSTITUTE(SUBSTITUTE(SUBSTITUTE(SUBSTITUTE(SUBSTITUTE(SUBSTITUTE(SUBSTITUTE(SUBSTITUTE(SUBSTITUTE(SUBSTITUTE(SUBSTITUTE(SUBSTITUTE(SUBSTITUTE(SUBSTITUTE(SUBSTITUTE(SUBSTITUTE(SUBSTITUTE(BM330,"b","a"),"c","a"),"d","a"),"e","a"),"f","a"),"g","a"),"h","a"),"i","a"),"j","a"),"k","a"),"l","a"),"m","a"),"n","a"),"o","a"),"p","a"),"q","a"),"r","a"),"s","a"),"t","a"),"u","a"),"v","a"),"w","a"),"x","a"),"y","a"),"z","a")</f>
        <v/>
      </c>
      <c r="BO330" s="61" t="str">
        <f aca="false">SUBSTITUTE(SUBSTITUTE(SUBSTITUTE(SUBSTITUTE(SUBSTITUTE(SUBSTITUTE(SUBSTITUTE(SUBSTITUTE(SUBSTITUTE(LOWER(W330&amp;""),"1","0"),"2","0"),"3","0"),"4","0"),"5","0"),"6","0"),"7","0"),"8","0"),"9","0")</f>
        <v/>
      </c>
      <c r="BP330" s="61" t="str">
        <f aca="false">SUBSTITUTE(SUBSTITUTE(SUBSTITUTE(SUBSTITUTE(SUBSTITUTE(SUBSTITUTE(SUBSTITUTE(SUBSTITUTE(SUBSTITUTE(SUBSTITUTE(SUBSTITUTE(SUBSTITUTE(SUBSTITUTE(SUBSTITUTE(SUBSTITUTE(SUBSTITUTE(SUBSTITUTE(SUBSTITUTE(SUBSTITUTE(SUBSTITUTE(SUBSTITUTE(SUBSTITUTE(SUBSTITUTE(SUBSTITUTE(SUBSTITUTE(BO330,"b","a"),"c","a"),"d","a"),"e","a"),"f","a"),"g","a"),"h","a"),"i","a"),"j","a"),"k","a"),"l","a"),"m","a"),"n","a"),"o","a"),"p","a"),"q","a"),"r","a"),"s","a"),"t","a"),"u","a"),"v","a"),"w","a"),"x","a"),"y","a"),"z","a")</f>
        <v/>
      </c>
      <c r="BQ330" s="61" t="n">
        <f aca="false">IFERROR(IF(AND(ISERROR(SEARCH(" mh"," "&amp;LOWER(W330))),ISNA(MATCH(LEFT(TRIM(BP330),255),{"0000a","000a","00a","0000aa","000aa","00aa","0aa","0000aaa","000aaa","00a00","0a00","0000-0000","00:00","a00","a0","00.00.0000","00/00/0000","00-00-0000","0000-00-00","0000/00/00","0000.00.00","00.00.00","00/00/00","00-00-00","0.00.0000","0/00/0000","0-00-0000"},0)),ISNA(MATCH(LEFT(TRIM(CA330),255),{"0000a","000a","00a","0000aa","000aa","00aa","0aa","0000aaa","000aaa","00a00","0a00","0000-0000","00:00","a00","a0","00.00.0000","00/00/0000","00-00-0000","0000-00-00","0000/00/00","0000.00.00","00.00.00","00/00/00","00-00-00","0.00.0000","0/00/0000","0-00-0000"},0)),LEN(CB330)&gt;=3,NOT(OR(SUBSTITUTE(CB330,"0","")="",AND(LEN(CB330)&gt;=4,CB330=REPT(LEFT(CB330),LEN(CB330))),ISNUMBER(MATCH(CB330,{"123","1234","12345","123456","1234567","12345678","0123","01234","012345","98765","987654","54321"},0)),AND(LEN(CB330)=8,LEFT(CB330,3)="202"))),OR(AND((LEN(CA330)-LEN(SUBSTITUTE(CA330,"a","")))&gt;=1,SUMPRODUCT(--ISNUMBER(SEARCH({"a0","a-0","a_0","a/0","a.0","a#0","0a","0-a","0_a","0/a"},BP330)))&gt;0),ISNUMBER(SEARCH("000000",BP330)))),1,0),0)</f>
        <v>0</v>
      </c>
      <c r="BR330" s="61" t="n">
        <f aca="false">IFERROR(LEN(SUBSTITUTE(CC330," ",""))-SUMPRODUCT((LEN(CC330)-LEN(SUBSTITUTE(CC330," "&amp;L_Role&amp;" "," ")))/(LEN(L_Role)+1)*LEN(L_Role)),0)</f>
        <v>0</v>
      </c>
      <c r="BS330" s="61" t="n">
        <f aca="false">IFERROR(LEN(SUBSTITUTE(CD330," ",""))-SUMPRODUCT((LEN(CD330)-LEN(SUBSTITUTE(CD330," "&amp;L_Role&amp;" "," ")))/(LEN(L_Role)+1)*LEN(L_Role)),0)</f>
        <v>0</v>
      </c>
      <c r="BT3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330,"revision",""),"version",""),"jan",""),"feb",""),"mar",""),"apr",""),"may",""),"jun",""),"jul",""),"aug",""),"sep",""),"oct",""),"nov",""),"dec",""),"utc",""),"gmt",""),"myt",""),"bst",""),"rev",""),"ver",""),"b","a"),"c","a"),"d","a"),"e","a"),"f","a"),"g","a"),"h","a"),"i","a"),"j","a"),"k","a"),"l","a"),"m","a"),"n","a"),"o","a"),"p","a"),"q","a"),"r","a"),"s","a"),"t","a"),"u","a"),"v","a"),"w","a"),"x","a"),"y","a"),"z","a")</f>
        <v/>
      </c>
      <c r="BU330" s="61" t="str">
        <f aca="false">SUBSTITUTE(SUBSTITUTE(SUBSTITUTE(SUBSTITUTE(SUBSTITUTE(SUBSTITUTE(SUBSTITUTE(SUBSTITUTE(SUBSTITUTE(SUBSTITUTE(LEFT(BM330,FIND("0",BM330&amp;"0")-1),"-",""),"_",""),"/",""),".",""),"#",""),"\\",""),":","")," ",""),"(",""),")","")</f>
        <v/>
      </c>
      <c r="BV330" s="61" t="n">
        <f aca="false">0</f>
        <v>0</v>
      </c>
      <c r="BW3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330&amp;""),"a",""),"b",""),"c",""),"d",""),"e",""),"f",""),"g",""),"h",""),"i",""),"j",""),"k",""),"l",""),"m",""),"n",""),"o",""),"p",""),"q",""),"r",""),"s",""),"t",""),"u",""),"v",""),"w",""),"x",""),"y",""),"z",""),"-",""),"_",""),"/",""),".",""),"#",""),"\\",""),":","")," ",""),"(",""),")","")</f>
        <v/>
      </c>
      <c r="BX330" s="61" t="str">
        <f aca="false">SUBSTITUTE(SUBSTITUTE(SUBSTITUTE(SUBSTITUTE(SUBSTITUTE(SUBSTITUTE(SUBSTITUTE(SUBSTITUTE(SUBSTITUTE(SUBSTITUTE(SUBSTITUTE(BM330,"0",""),"-",""),"_",""),"/",""),".",""),"#",""),"\\",""),":","")," ",""),"(",""),")","")</f>
        <v/>
      </c>
      <c r="BY330" s="62" t="n">
        <f aca="false">Q330-T7EarlyD*24/24</f>
        <v>46286.15625</v>
      </c>
      <c r="BZ330" s="61" t="n">
        <f aca="false">IFERROR(IF(IF(TRIM(S330)="Link / file path",AND(LEN(TRIM(Z330))&gt;=5,SUMPRODUCT(--ISNUMBER(SEARCH({"http","www.","\\",":\",".pdf",".jpg",".jpeg",".png",".heic",".xls",".doc",".msg",".eml",".ppt",".txt",".zip"},Z330)))&gt;0),AND(ISERROR(FIND(" ",TRIM(Z330))),NOT(OR(SUMPRODUCT(--ISNUMBER(FIND({",",";","&amp;","+"},Z330)))&gt;0,SUMPRODUCT(--ISNUMBER(SEARCH({"0/aa","0\\aa"},BN330)))&gt;0)),NOT(SUMPRODUCT(--ISNUMBER(SEARCH({"http","www.","\\",":\",".pdf",".jpg",".jpeg",".png",".heic",".xls",".doc",".msg",".eml",".ppt",".txt",".zip"},Z330)))&gt;0),NOT(LOWER(TRIM(Z330))=LOWER(Flights!$F$14)),ISNA(MATCH(BU330,{"mh","rev","revision","ver","version","v","r","a","b","seat","tray","row","gate","bay","stand","page","pg","item","line","no","cart","galley","flight","flt","table","box","bag","oven","etd","eta","std","sta","atd","ata","qty","pax","x","time","tel","ph","mob","day","wk","week","utc","gmt","myt","lt"},0)),NOT(OR(ISNUMBER(MATCH(LEFT(BN330,255),{"0000a","000a","00a","0000aa","000aa","00aa","0aa","0000aaa","000aaa","00a00","0a00","0000-0000","00:00","a00","a0","00.00.0000","00/00/0000","00-00-0000","0000-00-00","0000/00/00","0000.00.00","00.00.00","00/00/00","00-00-00","0.00.0000","0/00/0000","0-00-0000"},0)),ISNUMBER(MATCH(LEFT(BT330,255),{"0000a","000a","00a","0000aa","000aa","00aa","0aa","0000aaa","000aaa","00a00","0a00","0000-0000","00:00","a00","a0","00.00.0000","00/00/0000","00-00-0000","0000-00-00","0000/00/00","0000.00.00","00.00.00","00/00/00","00-00-00","0.00.0000","0/00/0000","0-00-0000"},0)))),NOT(OR(AND(BW330&lt;&gt;"",SUBSTITUTE(BW330,"0","")=""),AND(LEN(BW330)&gt;=4,BW330=REPT(LEFT(BW330),LEN(BW330))),ISNUMBER(MATCH(BW330,{"123","1234","12345","123456","1234567","12345678","0123","01234","012345","98765","987654","54321"},0)),ISNUMBER(MATCH(BX330,{"x","xx","xxx","xxxx","xxxxx","abc","abcd","nil","na","nan","test","tbc","tba","tbd","dummy","sample","example","eg","zz","zzz","none","null","xyz","qwe","asd","id","ref"},0)),AND(LEN(BW330)=8,BX330="",OR(LEFT(BW330,3)="202",ISNUMBER(MATCH(RIGHT(BW330,4),{"2025","2026","2027"},0)))))),OR(AND((LEN(BT330)-LEN(SUBSTITUTE(BT330,"a","")))&gt;=1,(LEN(BN330)-LEN(SUBSTITUTE(BN330,"0","")))&gt;=2,SUMPRODUCT(--ISNUMBER(SEARCH({"a0","a-0","a_0","a/0","a.0","a#0","0a","0-a","0_a","0/a"},BN330)))&gt;0),AND((LEN(BN330)-LEN(SUBSTITUTE(BN330,"a","")))=0,(LEN(BN330)-LEN(SUBSTITUTE(BN330,"0","")))&gt;=5)))),1,0),0)</f>
        <v>0</v>
      </c>
      <c r="CA3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330,"revision",""),"version",""),"jan",""),"feb",""),"mar",""),"apr",""),"may",""),"jun",""),"jul",""),"aug",""),"sep",""),"oct",""),"nov",""),"dec",""),"utc",""),"gmt",""),"myt",""),"bst",""),"rev",""),"ver",""),"b","a"),"c","a"),"d","a"),"e","a"),"f","a"),"g","a"),"h","a"),"i","a"),"j","a"),"k","a"),"l","a"),"m","a"),"n","a"),"o","a"),"p","a"),"q","a"),"r","a"),"s","a"),"t","a"),"u","a"),"v","a"),"w","a"),"x","a"),"y","a"),"z","a")</f>
        <v/>
      </c>
      <c r="CB3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330&amp;""),"a",""),"b",""),"c",""),"d",""),"e",""),"f",""),"g",""),"h",""),"i",""),"j",""),"k",""),"l",""),"m",""),"n",""),"o",""),"p",""),"q",""),"r",""),"s",""),"t",""),"u",""),"v",""),"w",""),"x",""),"y",""),"z",""),"-",""),"_",""),"/",""),".",""),"#",""),"\\",""),":","")," ",""),"(",""),")","")</f>
        <v/>
      </c>
      <c r="CC330" s="0" t="str">
        <f aca="false">" "&amp;TRIM(SUBSTITUTE(SUBSTITUTE(SUBSTITUTE(SUBSTITUTE(SUBSTITUTE(SUBSTITUTE(SUBSTITUTE(SUBSTITUTE(SUBSTITUTE(SUBSTITUTE(SUBSTITUTE(SUBSTITUTE(SUBSTITUTE(SUBSTITUTE(SUBSTITUTE(SUBSTITUTE(SUBSTITUTE(SUBSTITUTE(SUBSTITUTE(SUBSTITUTE(SUBSTITUTE(SUBSTITUTE(SUBSTITUTE(SUBSTITUTE(LOWER(T330&amp;""),CHAR(10)," "),CHAR(13)," "),CHAR(9)," "),CHAR(160)," "),"."," "),","," "),"-"," "),"/"," "),"("," "),")"," "),":"," "),";"," "),"_"," "),"–"," "),"?"," "),"!"," "),"*"," "),"["," "),"]"," "),"'"," "),"#"," "),"+"," "),"&amp;"," "),"\"," "))&amp;" "</f>
        <v>  </v>
      </c>
      <c r="CD330" s="0" t="str">
        <f aca="false">" "&amp;TRIM(SUBSTITUTE(SUBSTITUTE(SUBSTITUTE(SUBSTITUTE(SUBSTITUTE(SUBSTITUTE(SUBSTITUTE(SUBSTITUTE(SUBSTITUTE(SUBSTITUTE(SUBSTITUTE(SUBSTITUTE(SUBSTITUTE(SUBSTITUTE(SUBSTITUTE(SUBSTITUTE(SUBSTITUTE(SUBSTITUTE(SUBSTITUTE(SUBSTITUTE(SUBSTITUTE(SUBSTITUTE(SUBSTITUTE(SUBSTITUTE(LOWER(AE330&amp;""),CHAR(10)," "),CHAR(13)," "),CHAR(9)," "),CHAR(160)," "),"."," "),","," "),"-"," "),"/"," "),"("," "),")"," "),":"," "),";"," "),"_"," "),"–"," "),"?"," "),"!"," "),"*"," "),"["," "),"]"," "),"'"," "),"#"," "),"+"," "),"&amp;"," "),"\"," "))&amp;" "</f>
        <v>  </v>
      </c>
      <c r="CE330" s="68" t="n">
        <f aca="false">IFERROR(IF(AND(LEN(AU330)&gt;0,LEN(AU330)=LEN(AX330),OR(TRIM(MID(SUBSTITUTE(TRIM(CC330)," ",REPT(" ",60)),1,60))="",ISNUMBER(SEARCH(" "&amp;TRIM(MID(SUBSTITUTE(TRIM(CC330)," ",REPT(" ",60)),1,60))&amp;" ",CD330))),OR(TRIM(MID(SUBSTITUTE(TRIM(CC330)," ",REPT(" ",60)),61,60))="",ISNUMBER(SEARCH(" "&amp;TRIM(MID(SUBSTITUTE(TRIM(CC330)," ",REPT(" ",60)),61,60))&amp;" ",CD330))),OR(TRIM(MID(SUBSTITUTE(TRIM(CC330)," ",REPT(" ",60)),121,60))="",ISNUMBER(SEARCH(" "&amp;TRIM(MID(SUBSTITUTE(TRIM(CC330)," ",REPT(" ",60)),121,60))&amp;" ",CD330)))),1,0),0)</f>
        <v>0</v>
      </c>
      <c r="CG330" s="68" t="n">
        <f aca="false">IFERROR(LEN(SUBSTITUTE(BF330," ",""))-SUMPRODUCT((LEN(BF330)-LEN(SUBSTITUTE(BF330," "&amp;L_NAFiller&amp;" "," ")))/(LEN(L_NAFiller)+1)*LEN(L_NAFiller)),0)</f>
        <v>0</v>
      </c>
    </row>
    <row r="331" customFormat="false" ht="39.75" hidden="false" customHeight="true" outlineLevel="0" collapsed="false">
      <c r="A331" s="57" t="s">
        <v>924</v>
      </c>
      <c r="B331" s="57" t="s">
        <v>251</v>
      </c>
      <c r="C331" s="57" t="str">
        <f aca="false">Flights!$F$14</f>
        <v>MH1140</v>
      </c>
      <c r="D331" s="58" t="n">
        <f aca="false">Flights!$D$14</f>
        <v>46307</v>
      </c>
      <c r="E331" s="57" t="str">
        <f aca="false">Flights!$G$14&amp;"-"&amp;Flights!$H$14</f>
        <v>KUL-PEN</v>
      </c>
      <c r="F331" s="57" t="str">
        <f aca="false">Flights!$K$14</f>
        <v>BC</v>
      </c>
      <c r="G331" s="57" t="s">
        <v>83</v>
      </c>
      <c r="H331" s="57" t="s">
        <v>378</v>
      </c>
      <c r="I331" s="57" t="s">
        <v>379</v>
      </c>
      <c r="J331" s="57" t="s">
        <v>416</v>
      </c>
      <c r="K331" s="67" t="s">
        <v>417</v>
      </c>
      <c r="L331" s="67" t="s">
        <v>418</v>
      </c>
      <c r="M331" s="67"/>
      <c r="N331" s="67" t="s">
        <v>383</v>
      </c>
      <c r="O331" s="67"/>
      <c r="P331" s="57" t="s">
        <v>187</v>
      </c>
      <c r="Q331" s="59" t="n">
        <f aca="false">ROUND((Flights!$AD$14)*1440,0)/1440</f>
        <v>46306.15625</v>
      </c>
      <c r="R331" s="59" t="n">
        <f aca="false">Q331+(IF(AND(INDEX(TZ_DSTS,MATCH(P331,TZ_STN,0))&lt;&gt;"",Q331&gt;=INDEX(TZ_DSTS,MATCH(P331,TZ_STN,0)),Q331&lt;INDEX(TZ_DSTE,MATCH(P331,TZ_STN,0))),INDEX(TZ_DST,MATCH(P331,TZ_STN,0)),INDEX(TZ_STD,MATCH(P331,TZ_STN,0))))/24</f>
        <v>46306.4895833333</v>
      </c>
      <c r="S331" s="60"/>
      <c r="T331" s="60"/>
      <c r="U331" s="60"/>
      <c r="V331" s="60"/>
      <c r="W331" s="60"/>
      <c r="X331" s="60"/>
      <c r="Y331" s="60"/>
      <c r="Z331" s="60"/>
      <c r="AA331" s="60"/>
      <c r="AB331" s="60"/>
      <c r="AC331" s="60"/>
      <c r="AD331" s="66"/>
      <c r="AE331" s="60"/>
      <c r="AF331" s="61" t="str">
        <f aca="false">IF(AND(ISNUMBER(X331),ISNUMBER(Y331)),Y331-X331,"")</f>
        <v/>
      </c>
      <c r="AG331" s="62" t="str">
        <f aca="false">IF(ISNUMBER(AD331),AD331-(IF(AND(INDEX(TZ_DSTS,MATCH(P331,TZ_STN,0))&lt;&gt;"",(AD331-INDEX(TZ_STD,MATCH(P331,TZ_STN,0))/24)&gt;=INDEX(TZ_DSTS,MATCH(P331,TZ_STN,0)),(AD331-INDEX(TZ_STD,MATCH(P331,TZ_STN,0))/24)&lt;INDEX(TZ_DSTE,MATCH(P331,TZ_STN,0))),INDEX(TZ_DST,MATCH(P331,TZ_STN,0)),INDEX(TZ_STD,MATCH(P331,TZ_STN,0))))/24,"")</f>
        <v/>
      </c>
      <c r="AH331" s="65" t="str">
        <f aca="false">IFERROR(IF(N331="N/A – rule",IF(OR(TRIM(U331)="",TRIM(U331)="N/A",TRIM(U331)="Not started"),"N/A – RULE","INVALID – this check does not apply to this aircraft: clear the status (or correct the fleet on Flights)"),IF(TRIM(U331)="N/A",IF(AT331=0,"INVALID – N/A not permitted for this check",IF(AND(TRIM(AB331)&lt;&gt;"",TRIM(AB331)&lt;&gt;"Closed"),"INVALID – corrective action still open",IF(AND(NOT(OR(LEN(AZ331)&lt;15,ISNUMBER(MATCH(AZ331,L_Placeholder,0)))),BK331=0,CG331&gt;=8,NOT(OR(LEN(AU331)&lt;2,ISNUMBER(MATCH(AU331,L_Placeholder,0)))),BR331&gt;=3,NOT(OR(LEN(AX331)&lt;2,ISNUMBER(MATCH(AX331,L_Placeholder,0)))),BS331&gt;=3,TRIM(AE331)&lt;&gt;TRIM(T331),AX331&lt;&gt;AU331,CE331=0),"N/A – JUSTIFIED","INVALID – N/A needs a real, settled reason (not 'not applicable' / 'as above' / TBC), a named PIC and a different named verifier"))),IF(OR(TRIM(U331)="Pass",TRIM(U331)="Pass after CA"),IF(NOT(ISNUMBER(AD331)),"INVALID – completion time missing",IF(OR(OR(LEN(AU331)&lt;2,ISNUMBER(MATCH(AU331,L_Placeholder,0))),BR331&lt;3),"INVALID – PIC missing or not a named person (a role such as QA / CSM is not a name)",IF(OR(LEN(AV331)&lt;2,ISNUMBER(MATCH(AV331,L_Placeholder,0))),"INVALID – result / assessment missing",IF(OR(OR(LEN(AW331)&lt;3,ISNUMBER(MATCH(AW331,L_Placeholder,0))),SUMPRODUCT(--ISNUMBER(SEARCH(" "&amp;L_EvidencePhrase&amp;" ",BD331)))&gt;0,BI331=1),"INVALID – evidence missing, placeholder or not yet on file",IF(ISNA(MATCH(TRIM(S331),L_EvidenceType,0)),"INVALID – choose the evidence type from the list (column S)",IF(BL331=0,"INVALID – evidence ID must be the record's own ID only (e.g. SF-2210, IMG_2231, 1045521); a link / file name needs type 'Link / file path'",IF(OR(OR(LEN(AX331)&lt;2,ISNUMBER(MATCH(AX331,L_Placeholder,0))),BS331&lt;3),"INVALID – verifier missing or not a named person (a role such as QA / CSM is not a name)",IF(OR(AX331=AU331,CE331=1,AND(LEN(AU331)&gt;=4,ISNUMBER(SEARCH(AU331,AX331))),AND(LEN(AX331)&gt;=4,ISNUMBER(SEARCH(AX331,AU331)))),"INVALID – verifier must be a different, named person (not the PIC or a role)",IF(BH331=1,"INVALID – result not yet available (awaiting / TBC)",IF(BG331=1,"INVALID – result describes a problem: record Fail, then Pass after CA (or reword if it is not a problem)",IF(BV331=1,"INVALID – wording says not on board: an on-board confirmation needs the item loaded",IF(AND(AQ331=1,OR(OR(LEN(AY331)&lt;3,ISNUMBER(MATCH(AY331,L_Placeholder,0))),BJ331=1,BQ331=0)),"INVALID – batch ID missing, placeholder or not an ID (e.g. PASB-261008-BC-017)",IF(AND(AR331=1,OR(NOT(ISNUMBER(X331)),NOT(ISNUMBER(Y331)))),"INVALID – expected/actual qty missing",IF(AND(AR331=1,OR(X331&lt;=0,Y331&lt;0)),"INVALID – expected qty must be above 0 and actual not negative",IF(BB331&lt;&gt;"",BB331,IF(AND(AS331=1,Documents!$J$14&lt;&gt;"ON FILE"),"INVALID – GLD not on file (Documents sheet)",IF(AND(AS331=2,Documents!$O$14&lt;&gt;"ON FILE"),"INVALID – menu checklist not on file (Documents sheet)",IF(AND(AS331=3,NOT(ISNUMBER(Flights!$AX$14))),"INVALID – enter carrying flight KUL departure (Flights AX)",IF(AND(AS331=3,OR(Flights!$AZ$14&gt;Flights!$AA$14,Flights!$AX$14&lt;Flights!$AA$14-3)),"INVALID – carrying flight (Flights AX) cannot arrive before this leg's STD, or is over 3 days early",IF(AG331&gt;AsOfUTC,"INVALID – completion time is in the future",IF(AND(ISNUMBER(BY331),AG331&lt;BY331),IF(H331="Physical uplift","INVALID – before uplift window (cannot confirm loading)","INVALID – before valid window"),IF(AG331&gt;Flights!$AA$14,"INVALID – completed after departure (cannot establish readiness)",IF(AND(H331="Preparation",AG331&gt;=IF(ISNUMBER(Flights!$BA$14),MIN(Flights!$BA$14,Flights!$AA$14),Flights!$AA$14)),"INVALID – completed after loading / departure (cannot establish readiness)",IF(AND(H331="Physical uplift",AG331&gt;Q331),"INVALID – recorded after the loading flight departed",IF(AG331&gt;Q331,"COMPLETE – LATE","COMPLETE"))))))))))))))))))))))))),IF(TRIM(U331)="Fail","FAIL – DISCREPANCY",IF(AND(TRIM(U331)&lt;&gt;"",TRIM(U331)&lt;&gt;"Not started",TRIM(U331)&lt;&gt;"In progress"),"INVALID – unrecognised status (use the list)",IF(AsOfUTC&gt;Q331,"OVERDUE",IF(N331="Clarification required","OPEN – CLARIFICATION","OPEN"))))))),"INVALID – error value in an input cell")</f>
        <v>OPEN</v>
      </c>
      <c r="AI331" s="61" t="n">
        <f aca="false">IF(OR(AH331="N/A – RULE",AH331="N/A – JUSTIFIED"),0,1)</f>
        <v>1</v>
      </c>
      <c r="AJ331" s="61" t="n">
        <f aca="false">IF(LEFT(AH331,8)="COMPLETE",1,0)</f>
        <v>0</v>
      </c>
      <c r="AK331" s="61" t="n">
        <f aca="false">IF(AND(AI331=1,AJ331=0,AsOfUTC&gt;Q331),1,0)</f>
        <v>0</v>
      </c>
      <c r="AL331" s="61" t="n">
        <f aca="false">IFERROR(IF(AND(AI331=1,OR(TRIM(U331)="Fail",AND(TRIM(AB331)&lt;&gt;"",TRIM(AB331)&lt;&gt;"Closed"),AND(ISNUMBER(AF331),AF331&lt;&gt;0,TRIM(U331)&lt;&gt;"Pass after CA"))),1,0),1)</f>
        <v>0</v>
      </c>
      <c r="AM331" s="61" t="n">
        <f aca="false">IF(LEFT(AH331,7)="INVALID",1,0)</f>
        <v>0</v>
      </c>
      <c r="AN331" s="61" t="n">
        <f aca="false">IF(AND(N331="Clarification required",AI331=1,AJ331=0),1,0)</f>
        <v>0</v>
      </c>
      <c r="AO331" s="61" t="str">
        <f aca="false">IF(AK331=1,SUM(AK$5:AK331),"")</f>
        <v/>
      </c>
      <c r="AP331" s="61" t="str">
        <f aca="false">IF(AL331=1,SUM(AL$5:AL331),"")</f>
        <v/>
      </c>
      <c r="AQ331" s="61" t="n">
        <v>1</v>
      </c>
      <c r="AR331" s="61" t="n">
        <v>0</v>
      </c>
      <c r="AS331" s="61" t="n">
        <v>0</v>
      </c>
      <c r="AT331" s="61" t="n">
        <v>0</v>
      </c>
      <c r="AU331" s="61" t="str">
        <f aca="false">SUBSTITUTE(SUBSTITUTE(SUBSTITUTE(SUBSTITUTE(SUBSTITUTE(SUBSTITUTE(SUBSTITUTE(SUBSTITUTE(SUBSTITUTE(SUBSTITUTE(SUBSTITUTE(SUBSTITUTE(SUBSTITUTE(SUBSTITUTE(SUBSTITUTE(SUBSTITUTE(LOWER(T331&amp;""),CHAR(10),""),CHAR(13),""),CHAR(9),""),CHAR(160),"")," ",""),".",""),"-",""),"/",""),"?",""),"_",""),",",""),"[",""),"]",""),"(",""),")",""),"*","")</f>
        <v/>
      </c>
      <c r="AV331" s="61" t="str">
        <f aca="false">SUBSTITUTE(SUBSTITUTE(SUBSTITUTE(SUBSTITUTE(SUBSTITUTE(SUBSTITUTE(SUBSTITUTE(SUBSTITUTE(SUBSTITUTE(SUBSTITUTE(SUBSTITUTE(SUBSTITUTE(SUBSTITUTE(SUBSTITUTE(SUBSTITUTE(SUBSTITUTE(LOWER(V331&amp;""),CHAR(10),""),CHAR(13),""),CHAR(9),""),CHAR(160),"")," ",""),".",""),"-",""),"/",""),"?",""),"_",""),",",""),"[",""),"]",""),"(",""),")",""),"*","")</f>
        <v/>
      </c>
      <c r="AW331" s="61" t="str">
        <f aca="false">SUBSTITUTE(SUBSTITUTE(SUBSTITUTE(SUBSTITUTE(SUBSTITUTE(SUBSTITUTE(SUBSTITUTE(SUBSTITUTE(SUBSTITUTE(SUBSTITUTE(SUBSTITUTE(SUBSTITUTE(SUBSTITUTE(SUBSTITUTE(SUBSTITUTE(SUBSTITUTE(LOWER(Z331&amp;""),CHAR(10),""),CHAR(13),""),CHAR(9),""),CHAR(160),"")," ",""),".",""),"-",""),"/",""),"?",""),"_",""),",",""),"[",""),"]",""),"(",""),")",""),"*","")</f>
        <v/>
      </c>
      <c r="AX331" s="61" t="str">
        <f aca="false">SUBSTITUTE(SUBSTITUTE(SUBSTITUTE(SUBSTITUTE(SUBSTITUTE(SUBSTITUTE(SUBSTITUTE(SUBSTITUTE(SUBSTITUTE(SUBSTITUTE(SUBSTITUTE(SUBSTITUTE(SUBSTITUTE(SUBSTITUTE(SUBSTITUTE(SUBSTITUTE(LOWER(AE331&amp;""),CHAR(10),""),CHAR(13),""),CHAR(9),""),CHAR(160),"")," ",""),".",""),"-",""),"/",""),"?",""),"_",""),",",""),"[",""),"]",""),"(",""),")",""),"*","")</f>
        <v/>
      </c>
      <c r="AY331" s="61" t="str">
        <f aca="false">SUBSTITUTE(SUBSTITUTE(SUBSTITUTE(SUBSTITUTE(SUBSTITUTE(SUBSTITUTE(SUBSTITUTE(SUBSTITUTE(SUBSTITUTE(SUBSTITUTE(SUBSTITUTE(SUBSTITUTE(SUBSTITUTE(SUBSTITUTE(SUBSTITUTE(SUBSTITUTE(LOWER(W331&amp;""),CHAR(10),""),CHAR(13),""),CHAR(9),""),CHAR(160),"")," ",""),".",""),"-",""),"/",""),"?",""),"_",""),",",""),"[",""),"]",""),"(",""),")",""),"*","")</f>
        <v/>
      </c>
      <c r="AZ331" s="61" t="str">
        <f aca="false">SUBSTITUTE(SUBSTITUTE(SUBSTITUTE(SUBSTITUTE(SUBSTITUTE(SUBSTITUTE(SUBSTITUTE(SUBSTITUTE(SUBSTITUTE(SUBSTITUTE(SUBSTITUTE(SUBSTITUTE(SUBSTITUTE(SUBSTITUTE(SUBSTITUTE(SUBSTITUTE(LOWER(AC331&amp;""),CHAR(10),""),CHAR(13),""),CHAR(9),""),CHAR(160),"")," ",""),".",""),"-",""),"/",""),"?",""),"_",""),",",""),"[",""),"]",""),"(",""),")",""),"*","")</f>
        <v/>
      </c>
      <c r="BA331" s="61" t="str">
        <f aca="false">SUBSTITUTE(SUBSTITUTE(SUBSTITUTE(SUBSTITUTE(SUBSTITUTE(SUBSTITUTE(SUBSTITUTE(SUBSTITUTE(SUBSTITUTE(SUBSTITUTE(SUBSTITUTE(SUBSTITUTE(SUBSTITUTE(SUBSTITUTE(SUBSTITUTE(SUBSTITUTE(LOWER(AA331&amp;""),CHAR(10),""),CHAR(13),""),CHAR(9),""),CHAR(160),"")," ",""),".",""),"-",""),"/",""),"?",""),"_",""),",",""),"[",""),"]",""),"(",""),")",""),"*","")</f>
        <v/>
      </c>
      <c r="BB331" s="61" t="str">
        <f aca="false">IF(AND(TRIM(U331)="Pass",ISNUMBER(AF331)),IF(AF331&lt;&gt;0,"INVALID – qty variance: use Fail or Pass after CA",""),"")&amp;IF(AND(TRIM(U331)="Pass after CA",ISNUMBER(AF331)),IF(AF331&lt;&gt;0,"INVALID – after the corrective action the actual qty must equal expected (update Actual)",""),"")&amp;IF(AND(TRIM(U331)="Pass",TRIM(AB331)&lt;&gt;"",TRIM(AB331)&lt;&gt;"Closed"),"INVALID – corrective action not closed: use Fail, then Pass after CA","")&amp;IF(AND(LEN(BA331)&gt;=2,ISNA(MATCH(LEFT(BA331,255),L_Placeholder,0)),TRIM(AB331)=""),"INVALID – CA status missing for the recorded corrective action","")&amp;IF(AND(TRIM(U331)="Pass after CA",OR(OR(LEN(BA331)&lt;5,ISNUMBER(MATCH(BA331,L_Placeholder,0))),TRIM(AB331)&lt;&gt;"Closed")),"INVALID – corrective action not recorded/closed","")</f>
        <v/>
      </c>
      <c r="BC331" s="61" t="str">
        <f aca="false">" "&amp;TRIM(SUBSTITUTE(SUBSTITUTE(SUBSTITUTE(SUBSTITUTE(SUBSTITUTE(SUBSTITUTE(SUBSTITUTE(SUBSTITUTE(SUBSTITUTE(SUBSTITUTE(SUBSTITUTE(SUBSTITUTE(SUBSTITUTE(SUBSTITUTE(SUBSTITUTE(SUBSTITUTE(SUBSTITUTE(SUBSTITUTE(SUBSTITUTE(SUBSTITUTE(SUBSTITUTE(SUBSTITUTE(SUBSTITUTE(SUBSTITUTE(LOWER(V331&amp;""),CHAR(10)," "),CHAR(13)," "),CHAR(9)," "),CHAR(160)," "),"."," "),","," "),"-"," "),"/"," "),"("," "),")"," "),":"," "),";"," "),"_"," "),"–"," "),"?"," "),"!"," "),"*"," "),"["," "),"]"," "),"'"," "),"#"," "),"+"," "),"&amp;"," "),"\"," "))&amp;" "</f>
        <v>  </v>
      </c>
      <c r="BD331" s="61" t="str">
        <f aca="false">" "&amp;TRIM(SUBSTITUTE(SUBSTITUTE(SUBSTITUTE(SUBSTITUTE(SUBSTITUTE(SUBSTITUTE(SUBSTITUTE(SUBSTITUTE(SUBSTITUTE(SUBSTITUTE(SUBSTITUTE(SUBSTITUTE(SUBSTITUTE(SUBSTITUTE(SUBSTITUTE(SUBSTITUTE(SUBSTITUTE(SUBSTITUTE(SUBSTITUTE(SUBSTITUTE(SUBSTITUTE(SUBSTITUTE(SUBSTITUTE(SUBSTITUTE(LOWER(Z331&amp;""),CHAR(10)," "),CHAR(13)," "),CHAR(9)," "),CHAR(160)," "),"."," "),","," "),"-"," "),"/"," "),"("," "),")"," "),":"," "),";"," "),"_"," "),"–"," "),"?"," "),"!"," "),"*"," "),"["," "),"]"," "),"'"," "),"#"," "),"+"," "),"&amp;"," "),"\"," "))&amp;" "</f>
        <v>  </v>
      </c>
      <c r="BE331" s="61" t="str">
        <f aca="false">" "&amp;TRIM(SUBSTITUTE(SUBSTITUTE(SUBSTITUTE(SUBSTITUTE(SUBSTITUTE(SUBSTITUTE(SUBSTITUTE(SUBSTITUTE(SUBSTITUTE(SUBSTITUTE(SUBSTITUTE(SUBSTITUTE(SUBSTITUTE(SUBSTITUTE(SUBSTITUTE(SUBSTITUTE(SUBSTITUTE(SUBSTITUTE(SUBSTITUTE(SUBSTITUTE(SUBSTITUTE(SUBSTITUTE(SUBSTITUTE(SUBSTITUTE(LOWER(W331&amp;""),CHAR(10)," "),CHAR(13)," "),CHAR(9)," "),CHAR(160)," "),"."," "),","," "),"-"," "),"/"," "),"("," "),")"," "),":"," "),";"," "),"_"," "),"–"," "),"?"," "),"!"," "),"*"," "),"["," "),"]"," "),"'"," "),"#"," "),"+"," "),"&amp;"," "),"\"," "))&amp;" "</f>
        <v>  </v>
      </c>
      <c r="BF331" s="61" t="str">
        <f aca="false">" "&amp;TRIM(SUBSTITUTE(SUBSTITUTE(SUBSTITUTE(SUBSTITUTE(SUBSTITUTE(SUBSTITUTE(SUBSTITUTE(SUBSTITUTE(SUBSTITUTE(SUBSTITUTE(SUBSTITUTE(SUBSTITUTE(SUBSTITUTE(SUBSTITUTE(SUBSTITUTE(SUBSTITUTE(SUBSTITUTE(SUBSTITUTE(SUBSTITUTE(SUBSTITUTE(SUBSTITUTE(SUBSTITUTE(SUBSTITUTE(SUBSTITUTE(LOWER(AC331&amp;""),CHAR(10)," "),CHAR(13)," "),CHAR(9)," "),CHAR(160)," "),"."," "),","," "),"-"," "),"/"," "),"("," "),")"," "),":"," "),";"," "),"_"," "),"–"," "),"?"," "),"!"," "),"*"," "),"["," "),"]"," "),"'"," "),"#"," "),"+"," "),"&amp;"," "),"\"," "))&amp;" "</f>
        <v>  </v>
      </c>
      <c r="BG331" s="61" t="n">
        <f aca="false">IFERROR(IF(AND(TRIM(U331)="Pass",SUMPRODUCT((LEN(BC331)-LEN(SUBSTITUTE(BC331," "&amp;L_ResultBad&amp;" "," ")))/(LEN(L_ResultBad)+1))&gt;SUMPRODUCT((LEN(BC331)-LEN(SUBSTITUTE(BC331," "&amp;L_NegPhrase&amp;" "," ")))/(LEN(L_NegPhrase)+1))),1,0),0)</f>
        <v>0</v>
      </c>
      <c r="BH331" s="61" t="n">
        <f aca="false">IFERROR(IF(SUMPRODUCT((LEN(BC331)-LEN(SUBSTITUTE(BC331," "&amp;L_Pending&amp;" "," ")))/(LEN(L_Pending)+1))&gt;SUMPRODUCT((LEN(BC331)-LEN(SUBSTITUTE(BC331," "&amp;L_PendNeg&amp;" "," ")))/(LEN(L_PendNeg)+1))+SUMPRODUCT((LEN(BC331)-LEN(SUBSTITUTE(BC331," "&amp;L_PendPrep&amp;" "," ")))/(LEN(L_PendPrep)+1)),1,0),1)</f>
        <v>0</v>
      </c>
      <c r="BI331" s="61" t="n">
        <f aca="false">IFERROR(IF(SUMPRODUCT((LEN(BD331)-LEN(SUBSTITUTE(BD331," "&amp;L_PendStrict&amp;" "," ")))/(LEN(L_PendStrict)+1))&gt;SUMPRODUCT((LEN(BD331)-LEN(SUBSTITUTE(BD331," "&amp;L_PendNeg&amp;" "," ")))/(LEN(L_PendNeg)+1)),1,0),1)</f>
        <v>0</v>
      </c>
      <c r="BJ331" s="61" t="n">
        <f aca="false">IFERROR(IF(SUMPRODUCT((LEN(BE331)-LEN(SUBSTITUTE(BE331," "&amp;L_Pending&amp;" "," ")))/(LEN(L_Pending)+1))&gt;SUMPRODUCT((LEN(BE331)-LEN(SUBSTITUTE(BE331," "&amp;L_PendNeg&amp;" "," ")))/(LEN(L_PendNeg)+1))+SUMPRODUCT((LEN(BE331)-LEN(SUBSTITUTE(BE331," "&amp;L_PendPrep&amp;" "," ")))/(LEN(L_PendPrep)+1)),1,0),1)</f>
        <v>0</v>
      </c>
      <c r="BK331" s="61" t="n">
        <f aca="false">IFERROR(IF(SUMPRODUCT((LEN(BF331)-LEN(SUBSTITUTE(BF331," "&amp;L_PendStrict&amp;" "," ")))/(LEN(L_PendStrict)+1))&gt;SUMPRODUCT((LEN(BF331)-LEN(SUBSTITUTE(BF331," "&amp;L_PendNeg&amp;" "," ")))/(LEN(L_PendNeg)+1)),1,0),1)</f>
        <v>0</v>
      </c>
      <c r="BL331" s="61" t="n">
        <f aca="false">IF(ISNA(MATCH(TRIM(S331),L_EvidenceType,0)),0,BZ331)</f>
        <v>0</v>
      </c>
      <c r="BM331" s="61" t="str">
        <f aca="false">SUBSTITUTE(SUBSTITUTE(SUBSTITUTE(SUBSTITUTE(SUBSTITUTE(SUBSTITUTE(SUBSTITUTE(SUBSTITUTE(SUBSTITUTE(LOWER(Z331&amp;""),"1","0"),"2","0"),"3","0"),"4","0"),"5","0"),"6","0"),"7","0"),"8","0"),"9","0")</f>
        <v/>
      </c>
      <c r="BN331" s="61" t="str">
        <f aca="false">SUBSTITUTE(SUBSTITUTE(SUBSTITUTE(SUBSTITUTE(SUBSTITUTE(SUBSTITUTE(SUBSTITUTE(SUBSTITUTE(SUBSTITUTE(SUBSTITUTE(SUBSTITUTE(SUBSTITUTE(SUBSTITUTE(SUBSTITUTE(SUBSTITUTE(SUBSTITUTE(SUBSTITUTE(SUBSTITUTE(SUBSTITUTE(SUBSTITUTE(SUBSTITUTE(SUBSTITUTE(SUBSTITUTE(SUBSTITUTE(SUBSTITUTE(BM331,"b","a"),"c","a"),"d","a"),"e","a"),"f","a"),"g","a"),"h","a"),"i","a"),"j","a"),"k","a"),"l","a"),"m","a"),"n","a"),"o","a"),"p","a"),"q","a"),"r","a"),"s","a"),"t","a"),"u","a"),"v","a"),"w","a"),"x","a"),"y","a"),"z","a")</f>
        <v/>
      </c>
      <c r="BO331" s="61" t="str">
        <f aca="false">SUBSTITUTE(SUBSTITUTE(SUBSTITUTE(SUBSTITUTE(SUBSTITUTE(SUBSTITUTE(SUBSTITUTE(SUBSTITUTE(SUBSTITUTE(LOWER(W331&amp;""),"1","0"),"2","0"),"3","0"),"4","0"),"5","0"),"6","0"),"7","0"),"8","0"),"9","0")</f>
        <v/>
      </c>
      <c r="BP331" s="61" t="str">
        <f aca="false">SUBSTITUTE(SUBSTITUTE(SUBSTITUTE(SUBSTITUTE(SUBSTITUTE(SUBSTITUTE(SUBSTITUTE(SUBSTITUTE(SUBSTITUTE(SUBSTITUTE(SUBSTITUTE(SUBSTITUTE(SUBSTITUTE(SUBSTITUTE(SUBSTITUTE(SUBSTITUTE(SUBSTITUTE(SUBSTITUTE(SUBSTITUTE(SUBSTITUTE(SUBSTITUTE(SUBSTITUTE(SUBSTITUTE(SUBSTITUTE(SUBSTITUTE(BO331,"b","a"),"c","a"),"d","a"),"e","a"),"f","a"),"g","a"),"h","a"),"i","a"),"j","a"),"k","a"),"l","a"),"m","a"),"n","a"),"o","a"),"p","a"),"q","a"),"r","a"),"s","a"),"t","a"),"u","a"),"v","a"),"w","a"),"x","a"),"y","a"),"z","a")</f>
        <v/>
      </c>
      <c r="BQ331" s="61" t="n">
        <f aca="false">IFERROR(IF(AND(ISERROR(SEARCH(" mh"," "&amp;LOWER(W331))),ISNA(MATCH(LEFT(TRIM(BP331),255),{"0000a","000a","00a","0000aa","000aa","00aa","0aa","0000aaa","000aaa","00a00","0a00","0000-0000","00:00","a00","a0","00.00.0000","00/00/0000","00-00-0000","0000-00-00","0000/00/00","0000.00.00","00.00.00","00/00/00","00-00-00","0.00.0000","0/00/0000","0-00-0000"},0)),ISNA(MATCH(LEFT(TRIM(CA331),255),{"0000a","000a","00a","0000aa","000aa","00aa","0aa","0000aaa","000aaa","00a00","0a00","0000-0000","00:00","a00","a0","00.00.0000","00/00/0000","00-00-0000","0000-00-00","0000/00/00","0000.00.00","00.00.00","00/00/00","00-00-00","0.00.0000","0/00/0000","0-00-0000"},0)),LEN(CB331)&gt;=3,NOT(OR(SUBSTITUTE(CB331,"0","")="",AND(LEN(CB331)&gt;=4,CB331=REPT(LEFT(CB331),LEN(CB331))),ISNUMBER(MATCH(CB331,{"123","1234","12345","123456","1234567","12345678","0123","01234","012345","98765","987654","54321"},0)),AND(LEN(CB331)=8,LEFT(CB331,3)="202"))),OR(AND((LEN(CA331)-LEN(SUBSTITUTE(CA331,"a","")))&gt;=1,SUMPRODUCT(--ISNUMBER(SEARCH({"a0","a-0","a_0","a/0","a.0","a#0","0a","0-a","0_a","0/a"},BP331)))&gt;0),ISNUMBER(SEARCH("000000",BP331)))),1,0),0)</f>
        <v>0</v>
      </c>
      <c r="BR331" s="61" t="n">
        <f aca="false">IFERROR(LEN(SUBSTITUTE(CC331," ",""))-SUMPRODUCT((LEN(CC331)-LEN(SUBSTITUTE(CC331," "&amp;L_Role&amp;" "," ")))/(LEN(L_Role)+1)*LEN(L_Role)),0)</f>
        <v>0</v>
      </c>
      <c r="BS331" s="61" t="n">
        <f aca="false">IFERROR(LEN(SUBSTITUTE(CD331," ",""))-SUMPRODUCT((LEN(CD331)-LEN(SUBSTITUTE(CD331," "&amp;L_Role&amp;" "," ")))/(LEN(L_Role)+1)*LEN(L_Role)),0)</f>
        <v>0</v>
      </c>
      <c r="BT3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331,"revision",""),"version",""),"jan",""),"feb",""),"mar",""),"apr",""),"may",""),"jun",""),"jul",""),"aug",""),"sep",""),"oct",""),"nov",""),"dec",""),"utc",""),"gmt",""),"myt",""),"bst",""),"rev",""),"ver",""),"b","a"),"c","a"),"d","a"),"e","a"),"f","a"),"g","a"),"h","a"),"i","a"),"j","a"),"k","a"),"l","a"),"m","a"),"n","a"),"o","a"),"p","a"),"q","a"),"r","a"),"s","a"),"t","a"),"u","a"),"v","a"),"w","a"),"x","a"),"y","a"),"z","a")</f>
        <v/>
      </c>
      <c r="BU331" s="61" t="str">
        <f aca="false">SUBSTITUTE(SUBSTITUTE(SUBSTITUTE(SUBSTITUTE(SUBSTITUTE(SUBSTITUTE(SUBSTITUTE(SUBSTITUTE(SUBSTITUTE(SUBSTITUTE(LEFT(BM331,FIND("0",BM331&amp;"0")-1),"-",""),"_",""),"/",""),".",""),"#",""),"\\",""),":","")," ",""),"(",""),")","")</f>
        <v/>
      </c>
      <c r="BV331" s="61" t="n">
        <f aca="false">0</f>
        <v>0</v>
      </c>
      <c r="BW3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331&amp;""),"a",""),"b",""),"c",""),"d",""),"e",""),"f",""),"g",""),"h",""),"i",""),"j",""),"k",""),"l",""),"m",""),"n",""),"o",""),"p",""),"q",""),"r",""),"s",""),"t",""),"u",""),"v",""),"w",""),"x",""),"y",""),"z",""),"-",""),"_",""),"/",""),".",""),"#",""),"\\",""),":","")," ",""),"(",""),")","")</f>
        <v/>
      </c>
      <c r="BX331" s="61" t="str">
        <f aca="false">SUBSTITUTE(SUBSTITUTE(SUBSTITUTE(SUBSTITUTE(SUBSTITUTE(SUBSTITUTE(SUBSTITUTE(SUBSTITUTE(SUBSTITUTE(SUBSTITUTE(SUBSTITUTE(BM331,"0",""),"-",""),"_",""),"/",""),".",""),"#",""),"\\",""),":","")," ",""),"(",""),")","")</f>
        <v/>
      </c>
      <c r="BY331" s="62" t="n">
        <f aca="false">Q331-T24EarlyH/24</f>
        <v>46305.15625</v>
      </c>
      <c r="BZ331" s="61" t="n">
        <f aca="false">IFERROR(IF(IF(TRIM(S331)="Link / file path",AND(LEN(TRIM(Z331))&gt;=5,SUMPRODUCT(--ISNUMBER(SEARCH({"http","www.","\\",":\",".pdf",".jpg",".jpeg",".png",".heic",".xls",".doc",".msg",".eml",".ppt",".txt",".zip"},Z331)))&gt;0),AND(ISERROR(FIND(" ",TRIM(Z331))),NOT(OR(SUMPRODUCT(--ISNUMBER(FIND({",",";","&amp;","+"},Z331)))&gt;0,SUMPRODUCT(--ISNUMBER(SEARCH({"0/aa","0\\aa"},BN331)))&gt;0)),NOT(SUMPRODUCT(--ISNUMBER(SEARCH({"http","www.","\\",":\",".pdf",".jpg",".jpeg",".png",".heic",".xls",".doc",".msg",".eml",".ppt",".txt",".zip"},Z331)))&gt;0),NOT(LOWER(TRIM(Z331))=LOWER(Flights!$F$14)),ISNA(MATCH(BU331,{"mh","rev","revision","ver","version","v","r","a","b","seat","tray","row","gate","bay","stand","page","pg","item","line","no","cart","galley","flight","flt","table","box","bag","oven","etd","eta","std","sta","atd","ata","qty","pax","x","time","tel","ph","mob","day","wk","week","utc","gmt","myt","lt"},0)),NOT(OR(ISNUMBER(MATCH(LEFT(BN331,255),{"0000a","000a","00a","0000aa","000aa","00aa","0aa","0000aaa","000aaa","00a00","0a00","0000-0000","00:00","a00","a0","00.00.0000","00/00/0000","00-00-0000","0000-00-00","0000/00/00","0000.00.00","00.00.00","00/00/00","00-00-00","0.00.0000","0/00/0000","0-00-0000"},0)),ISNUMBER(MATCH(LEFT(BT331,255),{"0000a","000a","00a","0000aa","000aa","00aa","0aa","0000aaa","000aaa","00a00","0a00","0000-0000","00:00","a00","a0","00.00.0000","00/00/0000","00-00-0000","0000-00-00","0000/00/00","0000.00.00","00.00.00","00/00/00","00-00-00","0.00.0000","0/00/0000","0-00-0000"},0)))),NOT(OR(AND(BW331&lt;&gt;"",SUBSTITUTE(BW331,"0","")=""),AND(LEN(BW331)&gt;=4,BW331=REPT(LEFT(BW331),LEN(BW331))),ISNUMBER(MATCH(BW331,{"123","1234","12345","123456","1234567","12345678","0123","01234","012345","98765","987654","54321"},0)),ISNUMBER(MATCH(BX331,{"x","xx","xxx","xxxx","xxxxx","abc","abcd","nil","na","nan","test","tbc","tba","tbd","dummy","sample","example","eg","zz","zzz","none","null","xyz","qwe","asd","id","ref"},0)),AND(LEN(BW331)=8,BX331="",OR(LEFT(BW331,3)="202",ISNUMBER(MATCH(RIGHT(BW331,4),{"2025","2026","2027"},0)))))),OR(AND((LEN(BT331)-LEN(SUBSTITUTE(BT331,"a","")))&gt;=1,(LEN(BN331)-LEN(SUBSTITUTE(BN331,"0","")))&gt;=2,SUMPRODUCT(--ISNUMBER(SEARCH({"a0","a-0","a_0","a/0","a.0","a#0","0a","0-a","0_a","0/a"},BN331)))&gt;0),AND((LEN(BN331)-LEN(SUBSTITUTE(BN331,"a","")))=0,(LEN(BN331)-LEN(SUBSTITUTE(BN331,"0","")))&gt;=5)))),1,0),0)</f>
        <v>0</v>
      </c>
      <c r="CA3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331,"revision",""),"version",""),"jan",""),"feb",""),"mar",""),"apr",""),"may",""),"jun",""),"jul",""),"aug",""),"sep",""),"oct",""),"nov",""),"dec",""),"utc",""),"gmt",""),"myt",""),"bst",""),"rev",""),"ver",""),"b","a"),"c","a"),"d","a"),"e","a"),"f","a"),"g","a"),"h","a"),"i","a"),"j","a"),"k","a"),"l","a"),"m","a"),"n","a"),"o","a"),"p","a"),"q","a"),"r","a"),"s","a"),"t","a"),"u","a"),"v","a"),"w","a"),"x","a"),"y","a"),"z","a")</f>
        <v/>
      </c>
      <c r="CB3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331&amp;""),"a",""),"b",""),"c",""),"d",""),"e",""),"f",""),"g",""),"h",""),"i",""),"j",""),"k",""),"l",""),"m",""),"n",""),"o",""),"p",""),"q",""),"r",""),"s",""),"t",""),"u",""),"v",""),"w",""),"x",""),"y",""),"z",""),"-",""),"_",""),"/",""),".",""),"#",""),"\\",""),":","")," ",""),"(",""),")","")</f>
        <v/>
      </c>
      <c r="CC331" s="0" t="str">
        <f aca="false">" "&amp;TRIM(SUBSTITUTE(SUBSTITUTE(SUBSTITUTE(SUBSTITUTE(SUBSTITUTE(SUBSTITUTE(SUBSTITUTE(SUBSTITUTE(SUBSTITUTE(SUBSTITUTE(SUBSTITUTE(SUBSTITUTE(SUBSTITUTE(SUBSTITUTE(SUBSTITUTE(SUBSTITUTE(SUBSTITUTE(SUBSTITUTE(SUBSTITUTE(SUBSTITUTE(SUBSTITUTE(SUBSTITUTE(SUBSTITUTE(SUBSTITUTE(LOWER(T331&amp;""),CHAR(10)," "),CHAR(13)," "),CHAR(9)," "),CHAR(160)," "),"."," "),","," "),"-"," "),"/"," "),"("," "),")"," "),":"," "),";"," "),"_"," "),"–"," "),"?"," "),"!"," "),"*"," "),"["," "),"]"," "),"'"," "),"#"," "),"+"," "),"&amp;"," "),"\"," "))&amp;" "</f>
        <v>  </v>
      </c>
      <c r="CD331" s="0" t="str">
        <f aca="false">" "&amp;TRIM(SUBSTITUTE(SUBSTITUTE(SUBSTITUTE(SUBSTITUTE(SUBSTITUTE(SUBSTITUTE(SUBSTITUTE(SUBSTITUTE(SUBSTITUTE(SUBSTITUTE(SUBSTITUTE(SUBSTITUTE(SUBSTITUTE(SUBSTITUTE(SUBSTITUTE(SUBSTITUTE(SUBSTITUTE(SUBSTITUTE(SUBSTITUTE(SUBSTITUTE(SUBSTITUTE(SUBSTITUTE(SUBSTITUTE(SUBSTITUTE(LOWER(AE331&amp;""),CHAR(10)," "),CHAR(13)," "),CHAR(9)," "),CHAR(160)," "),"."," "),","," "),"-"," "),"/"," "),"("," "),")"," "),":"," "),";"," "),"_"," "),"–"," "),"?"," "),"!"," "),"*"," "),"["," "),"]"," "),"'"," "),"#"," "),"+"," "),"&amp;"," "),"\"," "))&amp;" "</f>
        <v>  </v>
      </c>
      <c r="CE331" s="68" t="n">
        <f aca="false">IFERROR(IF(AND(LEN(AU331)&gt;0,LEN(AU331)=LEN(AX331),OR(TRIM(MID(SUBSTITUTE(TRIM(CC331)," ",REPT(" ",60)),1,60))="",ISNUMBER(SEARCH(" "&amp;TRIM(MID(SUBSTITUTE(TRIM(CC331)," ",REPT(" ",60)),1,60))&amp;" ",CD331))),OR(TRIM(MID(SUBSTITUTE(TRIM(CC331)," ",REPT(" ",60)),61,60))="",ISNUMBER(SEARCH(" "&amp;TRIM(MID(SUBSTITUTE(TRIM(CC331)," ",REPT(" ",60)),61,60))&amp;" ",CD331))),OR(TRIM(MID(SUBSTITUTE(TRIM(CC331)," ",REPT(" ",60)),121,60))="",ISNUMBER(SEARCH(" "&amp;TRIM(MID(SUBSTITUTE(TRIM(CC331)," ",REPT(" ",60)),121,60))&amp;" ",CD331)))),1,0),0)</f>
        <v>0</v>
      </c>
      <c r="CG331" s="68" t="n">
        <f aca="false">IFERROR(LEN(SUBSTITUTE(BF331," ",""))-SUMPRODUCT((LEN(BF331)-LEN(SUBSTITUTE(BF331," "&amp;L_NAFiller&amp;" "," ")))/(LEN(L_NAFiller)+1)*LEN(L_NAFiller)),0)</f>
        <v>0</v>
      </c>
    </row>
    <row r="332" customFormat="false" ht="39.75" hidden="false" customHeight="true" outlineLevel="0" collapsed="false">
      <c r="A332" s="57" t="s">
        <v>925</v>
      </c>
      <c r="B332" s="57" t="s">
        <v>251</v>
      </c>
      <c r="C332" s="57" t="str">
        <f aca="false">Flights!$F$14</f>
        <v>MH1140</v>
      </c>
      <c r="D332" s="58" t="n">
        <f aca="false">Flights!$D$14</f>
        <v>46307</v>
      </c>
      <c r="E332" s="57" t="str">
        <f aca="false">Flights!$G$14&amp;"-"&amp;Flights!$H$14</f>
        <v>KUL-PEN</v>
      </c>
      <c r="F332" s="57" t="str">
        <f aca="false">Flights!$K$14</f>
        <v>BC</v>
      </c>
      <c r="G332" s="57" t="s">
        <v>420</v>
      </c>
      <c r="H332" s="57" t="s">
        <v>378</v>
      </c>
      <c r="I332" s="57" t="s">
        <v>379</v>
      </c>
      <c r="J332" s="57" t="s">
        <v>421</v>
      </c>
      <c r="K332" s="67"/>
      <c r="L332" s="67" t="s">
        <v>422</v>
      </c>
      <c r="M332" s="67"/>
      <c r="N332" s="67" t="s">
        <v>383</v>
      </c>
      <c r="O332" s="67" t="s">
        <v>423</v>
      </c>
      <c r="P332" s="57" t="s">
        <v>187</v>
      </c>
      <c r="Q332" s="59" t="n">
        <f aca="false">ROUND((Flights!$AE$14)*1440,0)/1440</f>
        <v>46306.65625</v>
      </c>
      <c r="R332" s="59" t="n">
        <f aca="false">Q332+(IF(AND(INDEX(TZ_DSTS,MATCH(P332,TZ_STN,0))&lt;&gt;"",Q332&gt;=INDEX(TZ_DSTS,MATCH(P332,TZ_STN,0)),Q332&lt;INDEX(TZ_DSTE,MATCH(P332,TZ_STN,0))),INDEX(TZ_DST,MATCH(P332,TZ_STN,0)),INDEX(TZ_STD,MATCH(P332,TZ_STN,0))))/24</f>
        <v>46306.9895833333</v>
      </c>
      <c r="S332" s="60"/>
      <c r="T332" s="60"/>
      <c r="U332" s="60"/>
      <c r="V332" s="60"/>
      <c r="W332" s="61"/>
      <c r="X332" s="60"/>
      <c r="Y332" s="60"/>
      <c r="Z332" s="60"/>
      <c r="AA332" s="60"/>
      <c r="AB332" s="60"/>
      <c r="AC332" s="60"/>
      <c r="AD332" s="66"/>
      <c r="AE332" s="60"/>
      <c r="AF332" s="61" t="str">
        <f aca="false">IF(AND(ISNUMBER(X332),ISNUMBER(Y332)),Y332-X332,"")</f>
        <v/>
      </c>
      <c r="AG332" s="62" t="str">
        <f aca="false">IF(ISNUMBER(AD332),AD332-(IF(AND(INDEX(TZ_DSTS,MATCH(P332,TZ_STN,0))&lt;&gt;"",(AD332-INDEX(TZ_STD,MATCH(P332,TZ_STN,0))/24)&gt;=INDEX(TZ_DSTS,MATCH(P332,TZ_STN,0)),(AD332-INDEX(TZ_STD,MATCH(P332,TZ_STN,0))/24)&lt;INDEX(TZ_DSTE,MATCH(P332,TZ_STN,0))),INDEX(TZ_DST,MATCH(P332,TZ_STN,0)),INDEX(TZ_STD,MATCH(P332,TZ_STN,0))))/24,"")</f>
        <v/>
      </c>
      <c r="AH332" s="65" t="str">
        <f aca="false">IFERROR(IF(N332="N/A – rule",IF(OR(TRIM(U332)="",TRIM(U332)="N/A",TRIM(U332)="Not started"),"N/A – RULE","INVALID – this check does not apply to this aircraft: clear the status (or correct the fleet on Flights)"),IF(TRIM(U332)="N/A",IF(AT332=0,"INVALID – N/A not permitted for this check",IF(AND(TRIM(AB332)&lt;&gt;"",TRIM(AB332)&lt;&gt;"Closed"),"INVALID – corrective action still open",IF(AND(NOT(OR(LEN(AZ332)&lt;15,ISNUMBER(MATCH(AZ332,L_Placeholder,0)))),BK332=0,CG332&gt;=8,NOT(OR(LEN(AU332)&lt;2,ISNUMBER(MATCH(AU332,L_Placeholder,0)))),BR332&gt;=3,NOT(OR(LEN(AX332)&lt;2,ISNUMBER(MATCH(AX332,L_Placeholder,0)))),BS332&gt;=3,TRIM(AE332)&lt;&gt;TRIM(T332),AX332&lt;&gt;AU332,CE332=0),"N/A – JUSTIFIED","INVALID – N/A needs a real, settled reason (not 'not applicable' / 'as above' / TBC), a named PIC and a different named verifier"))),IF(OR(TRIM(U332)="Pass",TRIM(U332)="Pass after CA"),IF(NOT(ISNUMBER(AD332)),"INVALID – completion time missing",IF(OR(OR(LEN(AU332)&lt;2,ISNUMBER(MATCH(AU332,L_Placeholder,0))),BR332&lt;3),"INVALID – PIC missing or not a named person (a role such as QA / CSM is not a name)",IF(OR(LEN(AV332)&lt;2,ISNUMBER(MATCH(AV332,L_Placeholder,0))),"INVALID – result / assessment missing",IF(OR(OR(LEN(AW332)&lt;3,ISNUMBER(MATCH(AW332,L_Placeholder,0))),SUMPRODUCT(--ISNUMBER(SEARCH(" "&amp;L_EvidencePhrase&amp;" ",BD332)))&gt;0,BI332=1),"INVALID – evidence missing, placeholder or not yet on file",IF(ISNA(MATCH(TRIM(S332),L_EvidenceType,0)),"INVALID – choose the evidence type from the list (column S)",IF(BL332=0,"INVALID – evidence ID must be the record's own ID only (e.g. SF-2210, IMG_2231, 1045521); a link / file name needs type 'Link / file path'",IF(OR(OR(LEN(AX332)&lt;2,ISNUMBER(MATCH(AX332,L_Placeholder,0))),BS332&lt;3),"INVALID – verifier missing or not a named person (a role such as QA / CSM is not a name)",IF(OR(AX332=AU332,CE332=1,AND(LEN(AU332)&gt;=4,ISNUMBER(SEARCH(AU332,AX332))),AND(LEN(AX332)&gt;=4,ISNUMBER(SEARCH(AX332,AU332)))),"INVALID – verifier must be a different, named person (not the PIC or a role)",IF(BH332=1,"INVALID – result not yet available (awaiting / TBC)",IF(BG332=1,"INVALID – result describes a problem: record Fail, then Pass after CA (or reword if it is not a problem)",IF(BV332=1,"INVALID – wording says not on board: an on-board confirmation needs the item loaded",IF(AND(AQ332=1,OR(OR(LEN(AY332)&lt;3,ISNUMBER(MATCH(AY332,L_Placeholder,0))),BJ332=1,BQ332=0)),"INVALID – batch ID missing, placeholder or not an ID (e.g. PASB-261008-BC-017)",IF(AND(AR332=1,OR(NOT(ISNUMBER(X332)),NOT(ISNUMBER(Y332)))),"INVALID – expected/actual qty missing",IF(AND(AR332=1,OR(X332&lt;=0,Y332&lt;0)),"INVALID – expected qty must be above 0 and actual not negative",IF(BB332&lt;&gt;"",BB332,IF(AND(AS332=1,Documents!$J$14&lt;&gt;"ON FILE"),"INVALID – GLD not on file (Documents sheet)",IF(AND(AS332=2,Documents!$O$14&lt;&gt;"ON FILE"),"INVALID – menu checklist not on file (Documents sheet)",IF(AND(AS332=3,NOT(ISNUMBER(Flights!$AX$14))),"INVALID – enter carrying flight KUL departure (Flights AX)",IF(AND(AS332=3,OR(Flights!$AZ$14&gt;Flights!$AA$14,Flights!$AX$14&lt;Flights!$AA$14-3)),"INVALID – carrying flight (Flights AX) cannot arrive before this leg's STD, or is over 3 days early",IF(AG332&gt;AsOfUTC,"INVALID – completion time is in the future",IF(AND(ISNUMBER(BY332),AG332&lt;BY332),IF(H332="Physical uplift","INVALID – before uplift window (cannot confirm loading)","INVALID – before valid window"),IF(AG332&gt;Flights!$AA$14,"INVALID – completed after departure (cannot establish readiness)",IF(AND(H332="Preparation",AG332&gt;=IF(ISNUMBER(Flights!$BA$14),MIN(Flights!$BA$14,Flights!$AA$14),Flights!$AA$14)),"INVALID – completed after loading / departure (cannot establish readiness)",IF(AND(H332="Physical uplift",AG332&gt;Q332),"INVALID – recorded after the loading flight departed",IF(AG332&gt;Q332,"COMPLETE – LATE","COMPLETE"))))))))))))))))))))))))),IF(TRIM(U332)="Fail","FAIL – DISCREPANCY",IF(AND(TRIM(U332)&lt;&gt;"",TRIM(U332)&lt;&gt;"Not started",TRIM(U332)&lt;&gt;"In progress"),"INVALID – unrecognised status (use the list)",IF(AsOfUTC&gt;Q332,"OVERDUE",IF(N332="Clarification required","OPEN – CLARIFICATION","OPEN"))))))),"INVALID – error value in an input cell")</f>
        <v>OPEN</v>
      </c>
      <c r="AI332" s="61" t="n">
        <f aca="false">IF(OR(AH332="N/A – RULE",AH332="N/A – JUSTIFIED"),0,1)</f>
        <v>1</v>
      </c>
      <c r="AJ332" s="61" t="n">
        <f aca="false">IF(LEFT(AH332,8)="COMPLETE",1,0)</f>
        <v>0</v>
      </c>
      <c r="AK332" s="61" t="n">
        <f aca="false">IF(AND(AI332=1,AJ332=0,AsOfUTC&gt;Q332),1,0)</f>
        <v>0</v>
      </c>
      <c r="AL332" s="61" t="n">
        <f aca="false">IFERROR(IF(AND(AI332=1,OR(TRIM(U332)="Fail",AND(TRIM(AB332)&lt;&gt;"",TRIM(AB332)&lt;&gt;"Closed"),AND(ISNUMBER(AF332),AF332&lt;&gt;0,TRIM(U332)&lt;&gt;"Pass after CA"))),1,0),1)</f>
        <v>0</v>
      </c>
      <c r="AM332" s="61" t="n">
        <f aca="false">IF(LEFT(AH332,7)="INVALID",1,0)</f>
        <v>0</v>
      </c>
      <c r="AN332" s="61" t="n">
        <f aca="false">IF(AND(N332="Clarification required",AI332=1,AJ332=0),1,0)</f>
        <v>0</v>
      </c>
      <c r="AO332" s="61" t="str">
        <f aca="false">IF(AK332=1,SUM(AK$5:AK332),"")</f>
        <v/>
      </c>
      <c r="AP332" s="61" t="str">
        <f aca="false">IF(AL332=1,SUM(AL$5:AL332),"")</f>
        <v/>
      </c>
      <c r="AQ332" s="61" t="n">
        <v>0</v>
      </c>
      <c r="AR332" s="61" t="n">
        <v>0</v>
      </c>
      <c r="AS332" s="61" t="n">
        <v>0</v>
      </c>
      <c r="AT332" s="61" t="n">
        <v>0</v>
      </c>
      <c r="AU332" s="61" t="str">
        <f aca="false">SUBSTITUTE(SUBSTITUTE(SUBSTITUTE(SUBSTITUTE(SUBSTITUTE(SUBSTITUTE(SUBSTITUTE(SUBSTITUTE(SUBSTITUTE(SUBSTITUTE(SUBSTITUTE(SUBSTITUTE(SUBSTITUTE(SUBSTITUTE(SUBSTITUTE(SUBSTITUTE(LOWER(T332&amp;""),CHAR(10),""),CHAR(13),""),CHAR(9),""),CHAR(160),"")," ",""),".",""),"-",""),"/",""),"?",""),"_",""),",",""),"[",""),"]",""),"(",""),")",""),"*","")</f>
        <v/>
      </c>
      <c r="AV332" s="61" t="str">
        <f aca="false">SUBSTITUTE(SUBSTITUTE(SUBSTITUTE(SUBSTITUTE(SUBSTITUTE(SUBSTITUTE(SUBSTITUTE(SUBSTITUTE(SUBSTITUTE(SUBSTITUTE(SUBSTITUTE(SUBSTITUTE(SUBSTITUTE(SUBSTITUTE(SUBSTITUTE(SUBSTITUTE(LOWER(V332&amp;""),CHAR(10),""),CHAR(13),""),CHAR(9),""),CHAR(160),"")," ",""),".",""),"-",""),"/",""),"?",""),"_",""),",",""),"[",""),"]",""),"(",""),")",""),"*","")</f>
        <v/>
      </c>
      <c r="AW332" s="61" t="str">
        <f aca="false">SUBSTITUTE(SUBSTITUTE(SUBSTITUTE(SUBSTITUTE(SUBSTITUTE(SUBSTITUTE(SUBSTITUTE(SUBSTITUTE(SUBSTITUTE(SUBSTITUTE(SUBSTITUTE(SUBSTITUTE(SUBSTITUTE(SUBSTITUTE(SUBSTITUTE(SUBSTITUTE(LOWER(Z332&amp;""),CHAR(10),""),CHAR(13),""),CHAR(9),""),CHAR(160),"")," ",""),".",""),"-",""),"/",""),"?",""),"_",""),",",""),"[",""),"]",""),"(",""),")",""),"*","")</f>
        <v/>
      </c>
      <c r="AX332" s="61" t="str">
        <f aca="false">SUBSTITUTE(SUBSTITUTE(SUBSTITUTE(SUBSTITUTE(SUBSTITUTE(SUBSTITUTE(SUBSTITUTE(SUBSTITUTE(SUBSTITUTE(SUBSTITUTE(SUBSTITUTE(SUBSTITUTE(SUBSTITUTE(SUBSTITUTE(SUBSTITUTE(SUBSTITUTE(LOWER(AE332&amp;""),CHAR(10),""),CHAR(13),""),CHAR(9),""),CHAR(160),"")," ",""),".",""),"-",""),"/",""),"?",""),"_",""),",",""),"[",""),"]",""),"(",""),")",""),"*","")</f>
        <v/>
      </c>
      <c r="AY332" s="61" t="str">
        <f aca="false">SUBSTITUTE(SUBSTITUTE(SUBSTITUTE(SUBSTITUTE(SUBSTITUTE(SUBSTITUTE(SUBSTITUTE(SUBSTITUTE(SUBSTITUTE(SUBSTITUTE(SUBSTITUTE(SUBSTITUTE(SUBSTITUTE(SUBSTITUTE(SUBSTITUTE(SUBSTITUTE(LOWER(W332&amp;""),CHAR(10),""),CHAR(13),""),CHAR(9),""),CHAR(160),"")," ",""),".",""),"-",""),"/",""),"?",""),"_",""),",",""),"[",""),"]",""),"(",""),")",""),"*","")</f>
        <v/>
      </c>
      <c r="AZ332" s="61" t="str">
        <f aca="false">SUBSTITUTE(SUBSTITUTE(SUBSTITUTE(SUBSTITUTE(SUBSTITUTE(SUBSTITUTE(SUBSTITUTE(SUBSTITUTE(SUBSTITUTE(SUBSTITUTE(SUBSTITUTE(SUBSTITUTE(SUBSTITUTE(SUBSTITUTE(SUBSTITUTE(SUBSTITUTE(LOWER(AC332&amp;""),CHAR(10),""),CHAR(13),""),CHAR(9),""),CHAR(160),"")," ",""),".",""),"-",""),"/",""),"?",""),"_",""),",",""),"[",""),"]",""),"(",""),")",""),"*","")</f>
        <v/>
      </c>
      <c r="BA332" s="61" t="str">
        <f aca="false">SUBSTITUTE(SUBSTITUTE(SUBSTITUTE(SUBSTITUTE(SUBSTITUTE(SUBSTITUTE(SUBSTITUTE(SUBSTITUTE(SUBSTITUTE(SUBSTITUTE(SUBSTITUTE(SUBSTITUTE(SUBSTITUTE(SUBSTITUTE(SUBSTITUTE(SUBSTITUTE(LOWER(AA332&amp;""),CHAR(10),""),CHAR(13),""),CHAR(9),""),CHAR(160),"")," ",""),".",""),"-",""),"/",""),"?",""),"_",""),",",""),"[",""),"]",""),"(",""),")",""),"*","")</f>
        <v/>
      </c>
      <c r="BB332" s="61" t="str">
        <f aca="false">IF(AND(TRIM(U332)="Pass",ISNUMBER(AF332)),IF(AF332&lt;&gt;0,"INVALID – qty variance: use Fail or Pass after CA",""),"")&amp;IF(AND(TRIM(U332)="Pass after CA",ISNUMBER(AF332)),IF(AF332&lt;&gt;0,"INVALID – after the corrective action the actual qty must equal expected (update Actual)",""),"")&amp;IF(AND(TRIM(U332)="Pass",TRIM(AB332)&lt;&gt;"",TRIM(AB332)&lt;&gt;"Closed"),"INVALID – corrective action not closed: use Fail, then Pass after CA","")&amp;IF(AND(LEN(BA332)&gt;=2,ISNA(MATCH(LEFT(BA332,255),L_Placeholder,0)),TRIM(AB332)=""),"INVALID – CA status missing for the recorded corrective action","")&amp;IF(AND(TRIM(U332)="Pass after CA",OR(OR(LEN(BA332)&lt;5,ISNUMBER(MATCH(BA332,L_Placeholder,0))),TRIM(AB332)&lt;&gt;"Closed")),"INVALID – corrective action not recorded/closed","")</f>
        <v/>
      </c>
      <c r="BC332" s="61" t="str">
        <f aca="false">" "&amp;TRIM(SUBSTITUTE(SUBSTITUTE(SUBSTITUTE(SUBSTITUTE(SUBSTITUTE(SUBSTITUTE(SUBSTITUTE(SUBSTITUTE(SUBSTITUTE(SUBSTITUTE(SUBSTITUTE(SUBSTITUTE(SUBSTITUTE(SUBSTITUTE(SUBSTITUTE(SUBSTITUTE(SUBSTITUTE(SUBSTITUTE(SUBSTITUTE(SUBSTITUTE(SUBSTITUTE(SUBSTITUTE(SUBSTITUTE(SUBSTITUTE(LOWER(V332&amp;""),CHAR(10)," "),CHAR(13)," "),CHAR(9)," "),CHAR(160)," "),"."," "),","," "),"-"," "),"/"," "),"("," "),")"," "),":"," "),";"," "),"_"," "),"–"," "),"?"," "),"!"," "),"*"," "),"["," "),"]"," "),"'"," "),"#"," "),"+"," "),"&amp;"," "),"\"," "))&amp;" "</f>
        <v>  </v>
      </c>
      <c r="BD332" s="61" t="str">
        <f aca="false">" "&amp;TRIM(SUBSTITUTE(SUBSTITUTE(SUBSTITUTE(SUBSTITUTE(SUBSTITUTE(SUBSTITUTE(SUBSTITUTE(SUBSTITUTE(SUBSTITUTE(SUBSTITUTE(SUBSTITUTE(SUBSTITUTE(SUBSTITUTE(SUBSTITUTE(SUBSTITUTE(SUBSTITUTE(SUBSTITUTE(SUBSTITUTE(SUBSTITUTE(SUBSTITUTE(SUBSTITUTE(SUBSTITUTE(SUBSTITUTE(SUBSTITUTE(LOWER(Z332&amp;""),CHAR(10)," "),CHAR(13)," "),CHAR(9)," "),CHAR(160)," "),"."," "),","," "),"-"," "),"/"," "),"("," "),")"," "),":"," "),";"," "),"_"," "),"–"," "),"?"," "),"!"," "),"*"," "),"["," "),"]"," "),"'"," "),"#"," "),"+"," "),"&amp;"," "),"\"," "))&amp;" "</f>
        <v>  </v>
      </c>
      <c r="BE332" s="61" t="str">
        <f aca="false">" "&amp;TRIM(SUBSTITUTE(SUBSTITUTE(SUBSTITUTE(SUBSTITUTE(SUBSTITUTE(SUBSTITUTE(SUBSTITUTE(SUBSTITUTE(SUBSTITUTE(SUBSTITUTE(SUBSTITUTE(SUBSTITUTE(SUBSTITUTE(SUBSTITUTE(SUBSTITUTE(SUBSTITUTE(SUBSTITUTE(SUBSTITUTE(SUBSTITUTE(SUBSTITUTE(SUBSTITUTE(SUBSTITUTE(SUBSTITUTE(SUBSTITUTE(LOWER(W332&amp;""),CHAR(10)," "),CHAR(13)," "),CHAR(9)," "),CHAR(160)," "),"."," "),","," "),"-"," "),"/"," "),"("," "),")"," "),":"," "),";"," "),"_"," "),"–"," "),"?"," "),"!"," "),"*"," "),"["," "),"]"," "),"'"," "),"#"," "),"+"," "),"&amp;"," "),"\"," "))&amp;" "</f>
        <v>  </v>
      </c>
      <c r="BF332" s="61" t="str">
        <f aca="false">" "&amp;TRIM(SUBSTITUTE(SUBSTITUTE(SUBSTITUTE(SUBSTITUTE(SUBSTITUTE(SUBSTITUTE(SUBSTITUTE(SUBSTITUTE(SUBSTITUTE(SUBSTITUTE(SUBSTITUTE(SUBSTITUTE(SUBSTITUTE(SUBSTITUTE(SUBSTITUTE(SUBSTITUTE(SUBSTITUTE(SUBSTITUTE(SUBSTITUTE(SUBSTITUTE(SUBSTITUTE(SUBSTITUTE(SUBSTITUTE(SUBSTITUTE(LOWER(AC332&amp;""),CHAR(10)," "),CHAR(13)," "),CHAR(9)," "),CHAR(160)," "),"."," "),","," "),"-"," "),"/"," "),"("," "),")"," "),":"," "),";"," "),"_"," "),"–"," "),"?"," "),"!"," "),"*"," "),"["," "),"]"," "),"'"," "),"#"," "),"+"," "),"&amp;"," "),"\"," "))&amp;" "</f>
        <v>  </v>
      </c>
      <c r="BG332" s="61" t="n">
        <f aca="false">IFERROR(IF(AND(TRIM(U332)="Pass",SUMPRODUCT((LEN(BC332)-LEN(SUBSTITUTE(BC332," "&amp;L_ResultBad&amp;" "," ")))/(LEN(L_ResultBad)+1))&gt;SUMPRODUCT((LEN(BC332)-LEN(SUBSTITUTE(BC332," "&amp;L_NegPhrase&amp;" "," ")))/(LEN(L_NegPhrase)+1))),1,0),0)</f>
        <v>0</v>
      </c>
      <c r="BH332" s="61" t="n">
        <f aca="false">IFERROR(IF(SUMPRODUCT((LEN(BC332)-LEN(SUBSTITUTE(BC332," "&amp;L_Pending&amp;" "," ")))/(LEN(L_Pending)+1))&gt;SUMPRODUCT((LEN(BC332)-LEN(SUBSTITUTE(BC332," "&amp;L_PendNeg&amp;" "," ")))/(LEN(L_PendNeg)+1))+SUMPRODUCT((LEN(BC332)-LEN(SUBSTITUTE(BC332," "&amp;L_PendPrep&amp;" "," ")))/(LEN(L_PendPrep)+1)),1,0),1)</f>
        <v>0</v>
      </c>
      <c r="BI332" s="61" t="n">
        <f aca="false">IFERROR(IF(SUMPRODUCT((LEN(BD332)-LEN(SUBSTITUTE(BD332," "&amp;L_PendStrict&amp;" "," ")))/(LEN(L_PendStrict)+1))&gt;SUMPRODUCT((LEN(BD332)-LEN(SUBSTITUTE(BD332," "&amp;L_PendNeg&amp;" "," ")))/(LEN(L_PendNeg)+1)),1,0),1)</f>
        <v>0</v>
      </c>
      <c r="BJ332" s="61" t="n">
        <f aca="false">IFERROR(IF(SUMPRODUCT((LEN(BE332)-LEN(SUBSTITUTE(BE332," "&amp;L_Pending&amp;" "," ")))/(LEN(L_Pending)+1))&gt;SUMPRODUCT((LEN(BE332)-LEN(SUBSTITUTE(BE332," "&amp;L_PendNeg&amp;" "," ")))/(LEN(L_PendNeg)+1))+SUMPRODUCT((LEN(BE332)-LEN(SUBSTITUTE(BE332," "&amp;L_PendPrep&amp;" "," ")))/(LEN(L_PendPrep)+1)),1,0),1)</f>
        <v>0</v>
      </c>
      <c r="BK332" s="61" t="n">
        <f aca="false">IFERROR(IF(SUMPRODUCT((LEN(BF332)-LEN(SUBSTITUTE(BF332," "&amp;L_PendStrict&amp;" "," ")))/(LEN(L_PendStrict)+1))&gt;SUMPRODUCT((LEN(BF332)-LEN(SUBSTITUTE(BF332," "&amp;L_PendNeg&amp;" "," ")))/(LEN(L_PendNeg)+1)),1,0),1)</f>
        <v>0</v>
      </c>
      <c r="BL332" s="61" t="n">
        <f aca="false">IF(ISNA(MATCH(TRIM(S332),L_EvidenceType,0)),0,BZ332)</f>
        <v>0</v>
      </c>
      <c r="BM332" s="61" t="str">
        <f aca="false">SUBSTITUTE(SUBSTITUTE(SUBSTITUTE(SUBSTITUTE(SUBSTITUTE(SUBSTITUTE(SUBSTITUTE(SUBSTITUTE(SUBSTITUTE(LOWER(Z332&amp;""),"1","0"),"2","0"),"3","0"),"4","0"),"5","0"),"6","0"),"7","0"),"8","0"),"9","0")</f>
        <v/>
      </c>
      <c r="BN332" s="61" t="str">
        <f aca="false">SUBSTITUTE(SUBSTITUTE(SUBSTITUTE(SUBSTITUTE(SUBSTITUTE(SUBSTITUTE(SUBSTITUTE(SUBSTITUTE(SUBSTITUTE(SUBSTITUTE(SUBSTITUTE(SUBSTITUTE(SUBSTITUTE(SUBSTITUTE(SUBSTITUTE(SUBSTITUTE(SUBSTITUTE(SUBSTITUTE(SUBSTITUTE(SUBSTITUTE(SUBSTITUTE(SUBSTITUTE(SUBSTITUTE(SUBSTITUTE(SUBSTITUTE(BM332,"b","a"),"c","a"),"d","a"),"e","a"),"f","a"),"g","a"),"h","a"),"i","a"),"j","a"),"k","a"),"l","a"),"m","a"),"n","a"),"o","a"),"p","a"),"q","a"),"r","a"),"s","a"),"t","a"),"u","a"),"v","a"),"w","a"),"x","a"),"y","a"),"z","a")</f>
        <v/>
      </c>
      <c r="BO332" s="61" t="str">
        <f aca="false">SUBSTITUTE(SUBSTITUTE(SUBSTITUTE(SUBSTITUTE(SUBSTITUTE(SUBSTITUTE(SUBSTITUTE(SUBSTITUTE(SUBSTITUTE(LOWER(W332&amp;""),"1","0"),"2","0"),"3","0"),"4","0"),"5","0"),"6","0"),"7","0"),"8","0"),"9","0")</f>
        <v/>
      </c>
      <c r="BP332" s="61" t="str">
        <f aca="false">SUBSTITUTE(SUBSTITUTE(SUBSTITUTE(SUBSTITUTE(SUBSTITUTE(SUBSTITUTE(SUBSTITUTE(SUBSTITUTE(SUBSTITUTE(SUBSTITUTE(SUBSTITUTE(SUBSTITUTE(SUBSTITUTE(SUBSTITUTE(SUBSTITUTE(SUBSTITUTE(SUBSTITUTE(SUBSTITUTE(SUBSTITUTE(SUBSTITUTE(SUBSTITUTE(SUBSTITUTE(SUBSTITUTE(SUBSTITUTE(SUBSTITUTE(BO332,"b","a"),"c","a"),"d","a"),"e","a"),"f","a"),"g","a"),"h","a"),"i","a"),"j","a"),"k","a"),"l","a"),"m","a"),"n","a"),"o","a"),"p","a"),"q","a"),"r","a"),"s","a"),"t","a"),"u","a"),"v","a"),"w","a"),"x","a"),"y","a"),"z","a")</f>
        <v/>
      </c>
      <c r="BQ332" s="61" t="n">
        <f aca="false">IFERROR(IF(AND(ISERROR(SEARCH(" mh"," "&amp;LOWER(W332))),ISNA(MATCH(LEFT(TRIM(BP332),255),{"0000a","000a","00a","0000aa","000aa","00aa","0aa","0000aaa","000aaa","00a00","0a00","0000-0000","00:00","a00","a0","00.00.0000","00/00/0000","00-00-0000","0000-00-00","0000/00/00","0000.00.00","00.00.00","00/00/00","00-00-00","0.00.0000","0/00/0000","0-00-0000"},0)),ISNA(MATCH(LEFT(TRIM(CA332),255),{"0000a","000a","00a","0000aa","000aa","00aa","0aa","0000aaa","000aaa","00a00","0a00","0000-0000","00:00","a00","a0","00.00.0000","00/00/0000","00-00-0000","0000-00-00","0000/00/00","0000.00.00","00.00.00","00/00/00","00-00-00","0.00.0000","0/00/0000","0-00-0000"},0)),LEN(CB332)&gt;=3,NOT(OR(SUBSTITUTE(CB332,"0","")="",AND(LEN(CB332)&gt;=4,CB332=REPT(LEFT(CB332),LEN(CB332))),ISNUMBER(MATCH(CB332,{"123","1234","12345","123456","1234567","12345678","0123","01234","012345","98765","987654","54321"},0)),AND(LEN(CB332)=8,LEFT(CB332,3)="202"))),OR(AND((LEN(CA332)-LEN(SUBSTITUTE(CA332,"a","")))&gt;=1,SUMPRODUCT(--ISNUMBER(SEARCH({"a0","a-0","a_0","a/0","a.0","a#0","0a","0-a","0_a","0/a"},BP332)))&gt;0),ISNUMBER(SEARCH("000000",BP332)))),1,0),0)</f>
        <v>0</v>
      </c>
      <c r="BR332" s="61" t="n">
        <f aca="false">IFERROR(LEN(SUBSTITUTE(CC332," ",""))-SUMPRODUCT((LEN(CC332)-LEN(SUBSTITUTE(CC332," "&amp;L_Role&amp;" "," ")))/(LEN(L_Role)+1)*LEN(L_Role)),0)</f>
        <v>0</v>
      </c>
      <c r="BS332" s="61" t="n">
        <f aca="false">IFERROR(LEN(SUBSTITUTE(CD332," ",""))-SUMPRODUCT((LEN(CD332)-LEN(SUBSTITUTE(CD332," "&amp;L_Role&amp;" "," ")))/(LEN(L_Role)+1)*LEN(L_Role)),0)</f>
        <v>0</v>
      </c>
      <c r="BT3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332,"revision",""),"version",""),"jan",""),"feb",""),"mar",""),"apr",""),"may",""),"jun",""),"jul",""),"aug",""),"sep",""),"oct",""),"nov",""),"dec",""),"utc",""),"gmt",""),"myt",""),"bst",""),"rev",""),"ver",""),"b","a"),"c","a"),"d","a"),"e","a"),"f","a"),"g","a"),"h","a"),"i","a"),"j","a"),"k","a"),"l","a"),"m","a"),"n","a"),"o","a"),"p","a"),"q","a"),"r","a"),"s","a"),"t","a"),"u","a"),"v","a"),"w","a"),"x","a"),"y","a"),"z","a")</f>
        <v/>
      </c>
      <c r="BU332" s="61" t="str">
        <f aca="false">SUBSTITUTE(SUBSTITUTE(SUBSTITUTE(SUBSTITUTE(SUBSTITUTE(SUBSTITUTE(SUBSTITUTE(SUBSTITUTE(SUBSTITUTE(SUBSTITUTE(LEFT(BM332,FIND("0",BM332&amp;"0")-1),"-",""),"_",""),"/",""),".",""),"#",""),"\\",""),":","")," ",""),"(",""),")","")</f>
        <v/>
      </c>
      <c r="BV332" s="61" t="n">
        <f aca="false">0</f>
        <v>0</v>
      </c>
      <c r="BW3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332&amp;""),"a",""),"b",""),"c",""),"d",""),"e",""),"f",""),"g",""),"h",""),"i",""),"j",""),"k",""),"l",""),"m",""),"n",""),"o",""),"p",""),"q",""),"r",""),"s",""),"t",""),"u",""),"v",""),"w",""),"x",""),"y",""),"z",""),"-",""),"_",""),"/",""),".",""),"#",""),"\\",""),":","")," ",""),"(",""),")","")</f>
        <v/>
      </c>
      <c r="BX332" s="61" t="str">
        <f aca="false">SUBSTITUTE(SUBSTITUTE(SUBSTITUTE(SUBSTITUTE(SUBSTITUTE(SUBSTITUTE(SUBSTITUTE(SUBSTITUTE(SUBSTITUTE(SUBSTITUTE(SUBSTITUTE(BM332,"0",""),"-",""),"_",""),"/",""),".",""),"#",""),"\\",""),":","")," ",""),"(",""),")","")</f>
        <v/>
      </c>
      <c r="BY332" s="62" t="n">
        <f aca="false">Q332-T12EarlyH/24</f>
        <v>46306.15625</v>
      </c>
      <c r="BZ332" s="61" t="n">
        <f aca="false">IFERROR(IF(IF(TRIM(S332)="Link / file path",AND(LEN(TRIM(Z332))&gt;=5,SUMPRODUCT(--ISNUMBER(SEARCH({"http","www.","\\",":\",".pdf",".jpg",".jpeg",".png",".heic",".xls",".doc",".msg",".eml",".ppt",".txt",".zip"},Z332)))&gt;0),AND(ISERROR(FIND(" ",TRIM(Z332))),NOT(OR(SUMPRODUCT(--ISNUMBER(FIND({",",";","&amp;","+"},Z332)))&gt;0,SUMPRODUCT(--ISNUMBER(SEARCH({"0/aa","0\\aa"},BN332)))&gt;0)),NOT(SUMPRODUCT(--ISNUMBER(SEARCH({"http","www.","\\",":\",".pdf",".jpg",".jpeg",".png",".heic",".xls",".doc",".msg",".eml",".ppt",".txt",".zip"},Z332)))&gt;0),NOT(LOWER(TRIM(Z332))=LOWER(Flights!$F$14)),ISNA(MATCH(BU332,{"mh","rev","revision","ver","version","v","r","a","b","seat","tray","row","gate","bay","stand","page","pg","item","line","no","cart","galley","flight","flt","table","box","bag","oven","etd","eta","std","sta","atd","ata","qty","pax","x","time","tel","ph","mob","day","wk","week","utc","gmt","myt","lt"},0)),NOT(OR(ISNUMBER(MATCH(LEFT(BN332,255),{"0000a","000a","00a","0000aa","000aa","00aa","0aa","0000aaa","000aaa","00a00","0a00","0000-0000","00:00","a00","a0","00.00.0000","00/00/0000","00-00-0000","0000-00-00","0000/00/00","0000.00.00","00.00.00","00/00/00","00-00-00","0.00.0000","0/00/0000","0-00-0000"},0)),ISNUMBER(MATCH(LEFT(BT332,255),{"0000a","000a","00a","0000aa","000aa","00aa","0aa","0000aaa","000aaa","00a00","0a00","0000-0000","00:00","a00","a0","00.00.0000","00/00/0000","00-00-0000","0000-00-00","0000/00/00","0000.00.00","00.00.00","00/00/00","00-00-00","0.00.0000","0/00/0000","0-00-0000"},0)))),NOT(OR(AND(BW332&lt;&gt;"",SUBSTITUTE(BW332,"0","")=""),AND(LEN(BW332)&gt;=4,BW332=REPT(LEFT(BW332),LEN(BW332))),ISNUMBER(MATCH(BW332,{"123","1234","12345","123456","1234567","12345678","0123","01234","012345","98765","987654","54321"},0)),ISNUMBER(MATCH(BX332,{"x","xx","xxx","xxxx","xxxxx","abc","abcd","nil","na","nan","test","tbc","tba","tbd","dummy","sample","example","eg","zz","zzz","none","null","xyz","qwe","asd","id","ref"},0)),AND(LEN(BW332)=8,BX332="",OR(LEFT(BW332,3)="202",ISNUMBER(MATCH(RIGHT(BW332,4),{"2025","2026","2027"},0)))))),OR(AND((LEN(BT332)-LEN(SUBSTITUTE(BT332,"a","")))&gt;=1,(LEN(BN332)-LEN(SUBSTITUTE(BN332,"0","")))&gt;=2,SUMPRODUCT(--ISNUMBER(SEARCH({"a0","a-0","a_0","a/0","a.0","a#0","0a","0-a","0_a","0/a"},BN332)))&gt;0),AND((LEN(BN332)-LEN(SUBSTITUTE(BN332,"a","")))=0,(LEN(BN332)-LEN(SUBSTITUTE(BN332,"0","")))&gt;=5)))),1,0),0)</f>
        <v>0</v>
      </c>
      <c r="CA3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332,"revision",""),"version",""),"jan",""),"feb",""),"mar",""),"apr",""),"may",""),"jun",""),"jul",""),"aug",""),"sep",""),"oct",""),"nov",""),"dec",""),"utc",""),"gmt",""),"myt",""),"bst",""),"rev",""),"ver",""),"b","a"),"c","a"),"d","a"),"e","a"),"f","a"),"g","a"),"h","a"),"i","a"),"j","a"),"k","a"),"l","a"),"m","a"),"n","a"),"o","a"),"p","a"),"q","a"),"r","a"),"s","a"),"t","a"),"u","a"),"v","a"),"w","a"),"x","a"),"y","a"),"z","a")</f>
        <v/>
      </c>
      <c r="CB3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332&amp;""),"a",""),"b",""),"c",""),"d",""),"e",""),"f",""),"g",""),"h",""),"i",""),"j",""),"k",""),"l",""),"m",""),"n",""),"o",""),"p",""),"q",""),"r",""),"s",""),"t",""),"u",""),"v",""),"w",""),"x",""),"y",""),"z",""),"-",""),"_",""),"/",""),".",""),"#",""),"\\",""),":","")," ",""),"(",""),")","")</f>
        <v/>
      </c>
      <c r="CC332" s="0" t="str">
        <f aca="false">" "&amp;TRIM(SUBSTITUTE(SUBSTITUTE(SUBSTITUTE(SUBSTITUTE(SUBSTITUTE(SUBSTITUTE(SUBSTITUTE(SUBSTITUTE(SUBSTITUTE(SUBSTITUTE(SUBSTITUTE(SUBSTITUTE(SUBSTITUTE(SUBSTITUTE(SUBSTITUTE(SUBSTITUTE(SUBSTITUTE(SUBSTITUTE(SUBSTITUTE(SUBSTITUTE(SUBSTITUTE(SUBSTITUTE(SUBSTITUTE(SUBSTITUTE(LOWER(T332&amp;""),CHAR(10)," "),CHAR(13)," "),CHAR(9)," "),CHAR(160)," "),"."," "),","," "),"-"," "),"/"," "),"("," "),")"," "),":"," "),";"," "),"_"," "),"–"," "),"?"," "),"!"," "),"*"," "),"["," "),"]"," "),"'"," "),"#"," "),"+"," "),"&amp;"," "),"\"," "))&amp;" "</f>
        <v>  </v>
      </c>
      <c r="CD332" s="0" t="str">
        <f aca="false">" "&amp;TRIM(SUBSTITUTE(SUBSTITUTE(SUBSTITUTE(SUBSTITUTE(SUBSTITUTE(SUBSTITUTE(SUBSTITUTE(SUBSTITUTE(SUBSTITUTE(SUBSTITUTE(SUBSTITUTE(SUBSTITUTE(SUBSTITUTE(SUBSTITUTE(SUBSTITUTE(SUBSTITUTE(SUBSTITUTE(SUBSTITUTE(SUBSTITUTE(SUBSTITUTE(SUBSTITUTE(SUBSTITUTE(SUBSTITUTE(SUBSTITUTE(LOWER(AE332&amp;""),CHAR(10)," "),CHAR(13)," "),CHAR(9)," "),CHAR(160)," "),"."," "),","," "),"-"," "),"/"," "),"("," "),")"," "),":"," "),";"," "),"_"," "),"–"," "),"?"," "),"!"," "),"*"," "),"["," "),"]"," "),"'"," "),"#"," "),"+"," "),"&amp;"," "),"\"," "))&amp;" "</f>
        <v>  </v>
      </c>
      <c r="CE332" s="68" t="n">
        <f aca="false">IFERROR(IF(AND(LEN(AU332)&gt;0,LEN(AU332)=LEN(AX332),OR(TRIM(MID(SUBSTITUTE(TRIM(CC332)," ",REPT(" ",60)),1,60))="",ISNUMBER(SEARCH(" "&amp;TRIM(MID(SUBSTITUTE(TRIM(CC332)," ",REPT(" ",60)),1,60))&amp;" ",CD332))),OR(TRIM(MID(SUBSTITUTE(TRIM(CC332)," ",REPT(" ",60)),61,60))="",ISNUMBER(SEARCH(" "&amp;TRIM(MID(SUBSTITUTE(TRIM(CC332)," ",REPT(" ",60)),61,60))&amp;" ",CD332))),OR(TRIM(MID(SUBSTITUTE(TRIM(CC332)," ",REPT(" ",60)),121,60))="",ISNUMBER(SEARCH(" "&amp;TRIM(MID(SUBSTITUTE(TRIM(CC332)," ",REPT(" ",60)),121,60))&amp;" ",CD332)))),1,0),0)</f>
        <v>0</v>
      </c>
      <c r="CG332" s="68" t="n">
        <f aca="false">IFERROR(LEN(SUBSTITUTE(BF332," ",""))-SUMPRODUCT((LEN(BF332)-LEN(SUBSTITUTE(BF332," "&amp;L_NAFiller&amp;" "," ")))/(LEN(L_NAFiller)+1)*LEN(L_NAFiller)),0)</f>
        <v>0</v>
      </c>
    </row>
    <row r="333" customFormat="false" ht="39.75" hidden="false" customHeight="true" outlineLevel="0" collapsed="false">
      <c r="A333" s="57" t="s">
        <v>926</v>
      </c>
      <c r="B333" s="57" t="s">
        <v>251</v>
      </c>
      <c r="C333" s="57" t="str">
        <f aca="false">Flights!$F$14</f>
        <v>MH1140</v>
      </c>
      <c r="D333" s="58" t="n">
        <f aca="false">Flights!$D$14</f>
        <v>46307</v>
      </c>
      <c r="E333" s="57" t="str">
        <f aca="false">Flights!$G$14&amp;"-"&amp;Flights!$H$14</f>
        <v>KUL-PEN</v>
      </c>
      <c r="F333" s="57" t="str">
        <f aca="false">Flights!$K$14</f>
        <v>BC</v>
      </c>
      <c r="G333" s="57" t="s">
        <v>420</v>
      </c>
      <c r="H333" s="57" t="s">
        <v>378</v>
      </c>
      <c r="I333" s="57" t="s">
        <v>379</v>
      </c>
      <c r="J333" s="57" t="s">
        <v>425</v>
      </c>
      <c r="K333" s="67" t="s">
        <v>426</v>
      </c>
      <c r="L333" s="67" t="s">
        <v>422</v>
      </c>
      <c r="M333" s="67"/>
      <c r="N333" s="67" t="s">
        <v>383</v>
      </c>
      <c r="O333" s="67" t="s">
        <v>423</v>
      </c>
      <c r="P333" s="57" t="s">
        <v>187</v>
      </c>
      <c r="Q333" s="59" t="n">
        <f aca="false">ROUND((Flights!$AE$14)*1440,0)/1440</f>
        <v>46306.65625</v>
      </c>
      <c r="R333" s="59" t="n">
        <f aca="false">Q333+(IF(AND(INDEX(TZ_DSTS,MATCH(P333,TZ_STN,0))&lt;&gt;"",Q333&gt;=INDEX(TZ_DSTS,MATCH(P333,TZ_STN,0)),Q333&lt;INDEX(TZ_DSTE,MATCH(P333,TZ_STN,0))),INDEX(TZ_DST,MATCH(P333,TZ_STN,0)),INDEX(TZ_STD,MATCH(P333,TZ_STN,0))))/24</f>
        <v>46306.9895833333</v>
      </c>
      <c r="S333" s="60"/>
      <c r="T333" s="60"/>
      <c r="U333" s="60"/>
      <c r="V333" s="60"/>
      <c r="W333" s="61"/>
      <c r="X333" s="60"/>
      <c r="Y333" s="60"/>
      <c r="Z333" s="60"/>
      <c r="AA333" s="60"/>
      <c r="AB333" s="60"/>
      <c r="AC333" s="60"/>
      <c r="AD333" s="66"/>
      <c r="AE333" s="60"/>
      <c r="AF333" s="61" t="str">
        <f aca="false">IF(AND(ISNUMBER(X333),ISNUMBER(Y333)),Y333-X333,"")</f>
        <v/>
      </c>
      <c r="AG333" s="62" t="str">
        <f aca="false">IF(ISNUMBER(AD333),AD333-(IF(AND(INDEX(TZ_DSTS,MATCH(P333,TZ_STN,0))&lt;&gt;"",(AD333-INDEX(TZ_STD,MATCH(P333,TZ_STN,0))/24)&gt;=INDEX(TZ_DSTS,MATCH(P333,TZ_STN,0)),(AD333-INDEX(TZ_STD,MATCH(P333,TZ_STN,0))/24)&lt;INDEX(TZ_DSTE,MATCH(P333,TZ_STN,0))),INDEX(TZ_DST,MATCH(P333,TZ_STN,0)),INDEX(TZ_STD,MATCH(P333,TZ_STN,0))))/24,"")</f>
        <v/>
      </c>
      <c r="AH333" s="65" t="str">
        <f aca="false">IFERROR(IF(N333="N/A – rule",IF(OR(TRIM(U333)="",TRIM(U333)="N/A",TRIM(U333)="Not started"),"N/A – RULE","INVALID – this check does not apply to this aircraft: clear the status (or correct the fleet on Flights)"),IF(TRIM(U333)="N/A",IF(AT333=0,"INVALID – N/A not permitted for this check",IF(AND(TRIM(AB333)&lt;&gt;"",TRIM(AB333)&lt;&gt;"Closed"),"INVALID – corrective action still open",IF(AND(NOT(OR(LEN(AZ333)&lt;15,ISNUMBER(MATCH(AZ333,L_Placeholder,0)))),BK333=0,CG333&gt;=8,NOT(OR(LEN(AU333)&lt;2,ISNUMBER(MATCH(AU333,L_Placeholder,0)))),BR333&gt;=3,NOT(OR(LEN(AX333)&lt;2,ISNUMBER(MATCH(AX333,L_Placeholder,0)))),BS333&gt;=3,TRIM(AE333)&lt;&gt;TRIM(T333),AX333&lt;&gt;AU333,CE333=0),"N/A – JUSTIFIED","INVALID – N/A needs a real, settled reason (not 'not applicable' / 'as above' / TBC), a named PIC and a different named verifier"))),IF(OR(TRIM(U333)="Pass",TRIM(U333)="Pass after CA"),IF(NOT(ISNUMBER(AD333)),"INVALID – completion time missing",IF(OR(OR(LEN(AU333)&lt;2,ISNUMBER(MATCH(AU333,L_Placeholder,0))),BR333&lt;3),"INVALID – PIC missing or not a named person (a role such as QA / CSM is not a name)",IF(OR(LEN(AV333)&lt;2,ISNUMBER(MATCH(AV333,L_Placeholder,0))),"INVALID – result / assessment missing",IF(OR(OR(LEN(AW333)&lt;3,ISNUMBER(MATCH(AW333,L_Placeholder,0))),SUMPRODUCT(--ISNUMBER(SEARCH(" "&amp;L_EvidencePhrase&amp;" ",BD333)))&gt;0,BI333=1),"INVALID – evidence missing, placeholder or not yet on file",IF(ISNA(MATCH(TRIM(S333),L_EvidenceType,0)),"INVALID – choose the evidence type from the list (column S)",IF(BL333=0,"INVALID – evidence ID must be the record's own ID only (e.g. SF-2210, IMG_2231, 1045521); a link / file name needs type 'Link / file path'",IF(OR(OR(LEN(AX333)&lt;2,ISNUMBER(MATCH(AX333,L_Placeholder,0))),BS333&lt;3),"INVALID – verifier missing or not a named person (a role such as QA / CSM is not a name)",IF(OR(AX333=AU333,CE333=1,AND(LEN(AU333)&gt;=4,ISNUMBER(SEARCH(AU333,AX333))),AND(LEN(AX333)&gt;=4,ISNUMBER(SEARCH(AX333,AU333)))),"INVALID – verifier must be a different, named person (not the PIC or a role)",IF(BH333=1,"INVALID – result not yet available (awaiting / TBC)",IF(BG333=1,"INVALID – result describes a problem: record Fail, then Pass after CA (or reword if it is not a problem)",IF(BV333=1,"INVALID – wording says not on board: an on-board confirmation needs the item loaded",IF(AND(AQ333=1,OR(OR(LEN(AY333)&lt;3,ISNUMBER(MATCH(AY333,L_Placeholder,0))),BJ333=1,BQ333=0)),"INVALID – batch ID missing, placeholder or not an ID (e.g. PASB-261008-BC-017)",IF(AND(AR333=1,OR(NOT(ISNUMBER(X333)),NOT(ISNUMBER(Y333)))),"INVALID – expected/actual qty missing",IF(AND(AR333=1,OR(X333&lt;=0,Y333&lt;0)),"INVALID – expected qty must be above 0 and actual not negative",IF(BB333&lt;&gt;"",BB333,IF(AND(AS333=1,Documents!$J$14&lt;&gt;"ON FILE"),"INVALID – GLD not on file (Documents sheet)",IF(AND(AS333=2,Documents!$O$14&lt;&gt;"ON FILE"),"INVALID – menu checklist not on file (Documents sheet)",IF(AND(AS333=3,NOT(ISNUMBER(Flights!$AX$14))),"INVALID – enter carrying flight KUL departure (Flights AX)",IF(AND(AS333=3,OR(Flights!$AZ$14&gt;Flights!$AA$14,Flights!$AX$14&lt;Flights!$AA$14-3)),"INVALID – carrying flight (Flights AX) cannot arrive before this leg's STD, or is over 3 days early",IF(AG333&gt;AsOfUTC,"INVALID – completion time is in the future",IF(AND(ISNUMBER(BY333),AG333&lt;BY333),IF(H333="Physical uplift","INVALID – before uplift window (cannot confirm loading)","INVALID – before valid window"),IF(AG333&gt;Flights!$AA$14,"INVALID – completed after departure (cannot establish readiness)",IF(AND(H333="Preparation",AG333&gt;=IF(ISNUMBER(Flights!$BA$14),MIN(Flights!$BA$14,Flights!$AA$14),Flights!$AA$14)),"INVALID – completed after loading / departure (cannot establish readiness)",IF(AND(H333="Physical uplift",AG333&gt;Q333),"INVALID – recorded after the loading flight departed",IF(AG333&gt;Q333,"COMPLETE – LATE","COMPLETE"))))))))))))))))))))))))),IF(TRIM(U333)="Fail","FAIL – DISCREPANCY",IF(AND(TRIM(U333)&lt;&gt;"",TRIM(U333)&lt;&gt;"Not started",TRIM(U333)&lt;&gt;"In progress"),"INVALID – unrecognised status (use the list)",IF(AsOfUTC&gt;Q333,"OVERDUE",IF(N333="Clarification required","OPEN – CLARIFICATION","OPEN"))))))),"INVALID – error value in an input cell")</f>
        <v>OPEN</v>
      </c>
      <c r="AI333" s="61" t="n">
        <f aca="false">IF(OR(AH333="N/A – RULE",AH333="N/A – JUSTIFIED"),0,1)</f>
        <v>1</v>
      </c>
      <c r="AJ333" s="61" t="n">
        <f aca="false">IF(LEFT(AH333,8)="COMPLETE",1,0)</f>
        <v>0</v>
      </c>
      <c r="AK333" s="61" t="n">
        <f aca="false">IF(AND(AI333=1,AJ333=0,AsOfUTC&gt;Q333),1,0)</f>
        <v>0</v>
      </c>
      <c r="AL333" s="61" t="n">
        <f aca="false">IFERROR(IF(AND(AI333=1,OR(TRIM(U333)="Fail",AND(TRIM(AB333)&lt;&gt;"",TRIM(AB333)&lt;&gt;"Closed"),AND(ISNUMBER(AF333),AF333&lt;&gt;0,TRIM(U333)&lt;&gt;"Pass after CA"))),1,0),1)</f>
        <v>0</v>
      </c>
      <c r="AM333" s="61" t="n">
        <f aca="false">IF(LEFT(AH333,7)="INVALID",1,0)</f>
        <v>0</v>
      </c>
      <c r="AN333" s="61" t="n">
        <f aca="false">IF(AND(N333="Clarification required",AI333=1,AJ333=0),1,0)</f>
        <v>0</v>
      </c>
      <c r="AO333" s="61" t="str">
        <f aca="false">IF(AK333=1,SUM(AK$5:AK333),"")</f>
        <v/>
      </c>
      <c r="AP333" s="61" t="str">
        <f aca="false">IF(AL333=1,SUM(AL$5:AL333),"")</f>
        <v/>
      </c>
      <c r="AQ333" s="61" t="n">
        <v>0</v>
      </c>
      <c r="AR333" s="61" t="n">
        <v>1</v>
      </c>
      <c r="AS333" s="61" t="n">
        <v>0</v>
      </c>
      <c r="AT333" s="61" t="n">
        <v>0</v>
      </c>
      <c r="AU333" s="61" t="str">
        <f aca="false">SUBSTITUTE(SUBSTITUTE(SUBSTITUTE(SUBSTITUTE(SUBSTITUTE(SUBSTITUTE(SUBSTITUTE(SUBSTITUTE(SUBSTITUTE(SUBSTITUTE(SUBSTITUTE(SUBSTITUTE(SUBSTITUTE(SUBSTITUTE(SUBSTITUTE(SUBSTITUTE(LOWER(T333&amp;""),CHAR(10),""),CHAR(13),""),CHAR(9),""),CHAR(160),"")," ",""),".",""),"-",""),"/",""),"?",""),"_",""),",",""),"[",""),"]",""),"(",""),")",""),"*","")</f>
        <v/>
      </c>
      <c r="AV333" s="61" t="str">
        <f aca="false">SUBSTITUTE(SUBSTITUTE(SUBSTITUTE(SUBSTITUTE(SUBSTITUTE(SUBSTITUTE(SUBSTITUTE(SUBSTITUTE(SUBSTITUTE(SUBSTITUTE(SUBSTITUTE(SUBSTITUTE(SUBSTITUTE(SUBSTITUTE(SUBSTITUTE(SUBSTITUTE(LOWER(V333&amp;""),CHAR(10),""),CHAR(13),""),CHAR(9),""),CHAR(160),"")," ",""),".",""),"-",""),"/",""),"?",""),"_",""),",",""),"[",""),"]",""),"(",""),")",""),"*","")</f>
        <v/>
      </c>
      <c r="AW333" s="61" t="str">
        <f aca="false">SUBSTITUTE(SUBSTITUTE(SUBSTITUTE(SUBSTITUTE(SUBSTITUTE(SUBSTITUTE(SUBSTITUTE(SUBSTITUTE(SUBSTITUTE(SUBSTITUTE(SUBSTITUTE(SUBSTITUTE(SUBSTITUTE(SUBSTITUTE(SUBSTITUTE(SUBSTITUTE(LOWER(Z333&amp;""),CHAR(10),""),CHAR(13),""),CHAR(9),""),CHAR(160),"")," ",""),".",""),"-",""),"/",""),"?",""),"_",""),",",""),"[",""),"]",""),"(",""),")",""),"*","")</f>
        <v/>
      </c>
      <c r="AX333" s="61" t="str">
        <f aca="false">SUBSTITUTE(SUBSTITUTE(SUBSTITUTE(SUBSTITUTE(SUBSTITUTE(SUBSTITUTE(SUBSTITUTE(SUBSTITUTE(SUBSTITUTE(SUBSTITUTE(SUBSTITUTE(SUBSTITUTE(SUBSTITUTE(SUBSTITUTE(SUBSTITUTE(SUBSTITUTE(LOWER(AE333&amp;""),CHAR(10),""),CHAR(13),""),CHAR(9),""),CHAR(160),"")," ",""),".",""),"-",""),"/",""),"?",""),"_",""),",",""),"[",""),"]",""),"(",""),")",""),"*","")</f>
        <v/>
      </c>
      <c r="AY333" s="61" t="str">
        <f aca="false">SUBSTITUTE(SUBSTITUTE(SUBSTITUTE(SUBSTITUTE(SUBSTITUTE(SUBSTITUTE(SUBSTITUTE(SUBSTITUTE(SUBSTITUTE(SUBSTITUTE(SUBSTITUTE(SUBSTITUTE(SUBSTITUTE(SUBSTITUTE(SUBSTITUTE(SUBSTITUTE(LOWER(W333&amp;""),CHAR(10),""),CHAR(13),""),CHAR(9),""),CHAR(160),"")," ",""),".",""),"-",""),"/",""),"?",""),"_",""),",",""),"[",""),"]",""),"(",""),")",""),"*","")</f>
        <v/>
      </c>
      <c r="AZ333" s="61" t="str">
        <f aca="false">SUBSTITUTE(SUBSTITUTE(SUBSTITUTE(SUBSTITUTE(SUBSTITUTE(SUBSTITUTE(SUBSTITUTE(SUBSTITUTE(SUBSTITUTE(SUBSTITUTE(SUBSTITUTE(SUBSTITUTE(SUBSTITUTE(SUBSTITUTE(SUBSTITUTE(SUBSTITUTE(LOWER(AC333&amp;""),CHAR(10),""),CHAR(13),""),CHAR(9),""),CHAR(160),"")," ",""),".",""),"-",""),"/",""),"?",""),"_",""),",",""),"[",""),"]",""),"(",""),")",""),"*","")</f>
        <v/>
      </c>
      <c r="BA333" s="61" t="str">
        <f aca="false">SUBSTITUTE(SUBSTITUTE(SUBSTITUTE(SUBSTITUTE(SUBSTITUTE(SUBSTITUTE(SUBSTITUTE(SUBSTITUTE(SUBSTITUTE(SUBSTITUTE(SUBSTITUTE(SUBSTITUTE(SUBSTITUTE(SUBSTITUTE(SUBSTITUTE(SUBSTITUTE(LOWER(AA333&amp;""),CHAR(10),""),CHAR(13),""),CHAR(9),""),CHAR(160),"")," ",""),".",""),"-",""),"/",""),"?",""),"_",""),",",""),"[",""),"]",""),"(",""),")",""),"*","")</f>
        <v/>
      </c>
      <c r="BB333" s="61" t="str">
        <f aca="false">IF(AND(TRIM(U333)="Pass",ISNUMBER(AF333)),IF(AF333&lt;&gt;0,"INVALID – qty variance: use Fail or Pass after CA",""),"")&amp;IF(AND(TRIM(U333)="Pass after CA",ISNUMBER(AF333)),IF(AF333&lt;&gt;0,"INVALID – after the corrective action the actual qty must equal expected (update Actual)",""),"")&amp;IF(AND(TRIM(U333)="Pass",TRIM(AB333)&lt;&gt;"",TRIM(AB333)&lt;&gt;"Closed"),"INVALID – corrective action not closed: use Fail, then Pass after CA","")&amp;IF(AND(LEN(BA333)&gt;=2,ISNA(MATCH(LEFT(BA333,255),L_Placeholder,0)),TRIM(AB333)=""),"INVALID – CA status missing for the recorded corrective action","")&amp;IF(AND(TRIM(U333)="Pass after CA",OR(OR(LEN(BA333)&lt;5,ISNUMBER(MATCH(BA333,L_Placeholder,0))),TRIM(AB333)&lt;&gt;"Closed")),"INVALID – corrective action not recorded/closed","")</f>
        <v/>
      </c>
      <c r="BC333" s="61" t="str">
        <f aca="false">" "&amp;TRIM(SUBSTITUTE(SUBSTITUTE(SUBSTITUTE(SUBSTITUTE(SUBSTITUTE(SUBSTITUTE(SUBSTITUTE(SUBSTITUTE(SUBSTITUTE(SUBSTITUTE(SUBSTITUTE(SUBSTITUTE(SUBSTITUTE(SUBSTITUTE(SUBSTITUTE(SUBSTITUTE(SUBSTITUTE(SUBSTITUTE(SUBSTITUTE(SUBSTITUTE(SUBSTITUTE(SUBSTITUTE(SUBSTITUTE(SUBSTITUTE(LOWER(V333&amp;""),CHAR(10)," "),CHAR(13)," "),CHAR(9)," "),CHAR(160)," "),"."," "),","," "),"-"," "),"/"," "),"("," "),")"," "),":"," "),";"," "),"_"," "),"–"," "),"?"," "),"!"," "),"*"," "),"["," "),"]"," "),"'"," "),"#"," "),"+"," "),"&amp;"," "),"\"," "))&amp;" "</f>
        <v>  </v>
      </c>
      <c r="BD333" s="61" t="str">
        <f aca="false">" "&amp;TRIM(SUBSTITUTE(SUBSTITUTE(SUBSTITUTE(SUBSTITUTE(SUBSTITUTE(SUBSTITUTE(SUBSTITUTE(SUBSTITUTE(SUBSTITUTE(SUBSTITUTE(SUBSTITUTE(SUBSTITUTE(SUBSTITUTE(SUBSTITUTE(SUBSTITUTE(SUBSTITUTE(SUBSTITUTE(SUBSTITUTE(SUBSTITUTE(SUBSTITUTE(SUBSTITUTE(SUBSTITUTE(SUBSTITUTE(SUBSTITUTE(LOWER(Z333&amp;""),CHAR(10)," "),CHAR(13)," "),CHAR(9)," "),CHAR(160)," "),"."," "),","," "),"-"," "),"/"," "),"("," "),")"," "),":"," "),";"," "),"_"," "),"–"," "),"?"," "),"!"," "),"*"," "),"["," "),"]"," "),"'"," "),"#"," "),"+"," "),"&amp;"," "),"\"," "))&amp;" "</f>
        <v>  </v>
      </c>
      <c r="BE333" s="61" t="str">
        <f aca="false">" "&amp;TRIM(SUBSTITUTE(SUBSTITUTE(SUBSTITUTE(SUBSTITUTE(SUBSTITUTE(SUBSTITUTE(SUBSTITUTE(SUBSTITUTE(SUBSTITUTE(SUBSTITUTE(SUBSTITUTE(SUBSTITUTE(SUBSTITUTE(SUBSTITUTE(SUBSTITUTE(SUBSTITUTE(SUBSTITUTE(SUBSTITUTE(SUBSTITUTE(SUBSTITUTE(SUBSTITUTE(SUBSTITUTE(SUBSTITUTE(SUBSTITUTE(LOWER(W333&amp;""),CHAR(10)," "),CHAR(13)," "),CHAR(9)," "),CHAR(160)," "),"."," "),","," "),"-"," "),"/"," "),"("," "),")"," "),":"," "),";"," "),"_"," "),"–"," "),"?"," "),"!"," "),"*"," "),"["," "),"]"," "),"'"," "),"#"," "),"+"," "),"&amp;"," "),"\"," "))&amp;" "</f>
        <v>  </v>
      </c>
      <c r="BF333" s="61" t="str">
        <f aca="false">" "&amp;TRIM(SUBSTITUTE(SUBSTITUTE(SUBSTITUTE(SUBSTITUTE(SUBSTITUTE(SUBSTITUTE(SUBSTITUTE(SUBSTITUTE(SUBSTITUTE(SUBSTITUTE(SUBSTITUTE(SUBSTITUTE(SUBSTITUTE(SUBSTITUTE(SUBSTITUTE(SUBSTITUTE(SUBSTITUTE(SUBSTITUTE(SUBSTITUTE(SUBSTITUTE(SUBSTITUTE(SUBSTITUTE(SUBSTITUTE(SUBSTITUTE(LOWER(AC333&amp;""),CHAR(10)," "),CHAR(13)," "),CHAR(9)," "),CHAR(160)," "),"."," "),","," "),"-"," "),"/"," "),"("," "),")"," "),":"," "),";"," "),"_"," "),"–"," "),"?"," "),"!"," "),"*"," "),"["," "),"]"," "),"'"," "),"#"," "),"+"," "),"&amp;"," "),"\"," "))&amp;" "</f>
        <v>  </v>
      </c>
      <c r="BG333" s="61" t="n">
        <f aca="false">IFERROR(IF(AND(TRIM(U333)="Pass",SUMPRODUCT((LEN(BC333)-LEN(SUBSTITUTE(BC333," "&amp;L_ResultBad&amp;" "," ")))/(LEN(L_ResultBad)+1))&gt;SUMPRODUCT((LEN(BC333)-LEN(SUBSTITUTE(BC333," "&amp;L_NegPhrase&amp;" "," ")))/(LEN(L_NegPhrase)+1))),1,0),0)</f>
        <v>0</v>
      </c>
      <c r="BH333" s="61" t="n">
        <f aca="false">IFERROR(IF(SUMPRODUCT((LEN(BC333)-LEN(SUBSTITUTE(BC333," "&amp;L_Pending&amp;" "," ")))/(LEN(L_Pending)+1))&gt;SUMPRODUCT((LEN(BC333)-LEN(SUBSTITUTE(BC333," "&amp;L_PendNeg&amp;" "," ")))/(LEN(L_PendNeg)+1))+SUMPRODUCT((LEN(BC333)-LEN(SUBSTITUTE(BC333," "&amp;L_PendPrep&amp;" "," ")))/(LEN(L_PendPrep)+1)),1,0),1)</f>
        <v>0</v>
      </c>
      <c r="BI333" s="61" t="n">
        <f aca="false">IFERROR(IF(SUMPRODUCT((LEN(BD333)-LEN(SUBSTITUTE(BD333," "&amp;L_PendStrict&amp;" "," ")))/(LEN(L_PendStrict)+1))&gt;SUMPRODUCT((LEN(BD333)-LEN(SUBSTITUTE(BD333," "&amp;L_PendNeg&amp;" "," ")))/(LEN(L_PendNeg)+1)),1,0),1)</f>
        <v>0</v>
      </c>
      <c r="BJ333" s="61" t="n">
        <f aca="false">IFERROR(IF(SUMPRODUCT((LEN(BE333)-LEN(SUBSTITUTE(BE333," "&amp;L_Pending&amp;" "," ")))/(LEN(L_Pending)+1))&gt;SUMPRODUCT((LEN(BE333)-LEN(SUBSTITUTE(BE333," "&amp;L_PendNeg&amp;" "," ")))/(LEN(L_PendNeg)+1))+SUMPRODUCT((LEN(BE333)-LEN(SUBSTITUTE(BE333," "&amp;L_PendPrep&amp;" "," ")))/(LEN(L_PendPrep)+1)),1,0),1)</f>
        <v>0</v>
      </c>
      <c r="BK333" s="61" t="n">
        <f aca="false">IFERROR(IF(SUMPRODUCT((LEN(BF333)-LEN(SUBSTITUTE(BF333," "&amp;L_PendStrict&amp;" "," ")))/(LEN(L_PendStrict)+1))&gt;SUMPRODUCT((LEN(BF333)-LEN(SUBSTITUTE(BF333," "&amp;L_PendNeg&amp;" "," ")))/(LEN(L_PendNeg)+1)),1,0),1)</f>
        <v>0</v>
      </c>
      <c r="BL333" s="61" t="n">
        <f aca="false">IF(ISNA(MATCH(TRIM(S333),L_EvidenceType,0)),0,BZ333)</f>
        <v>0</v>
      </c>
      <c r="BM333" s="61" t="str">
        <f aca="false">SUBSTITUTE(SUBSTITUTE(SUBSTITUTE(SUBSTITUTE(SUBSTITUTE(SUBSTITUTE(SUBSTITUTE(SUBSTITUTE(SUBSTITUTE(LOWER(Z333&amp;""),"1","0"),"2","0"),"3","0"),"4","0"),"5","0"),"6","0"),"7","0"),"8","0"),"9","0")</f>
        <v/>
      </c>
      <c r="BN333" s="61" t="str">
        <f aca="false">SUBSTITUTE(SUBSTITUTE(SUBSTITUTE(SUBSTITUTE(SUBSTITUTE(SUBSTITUTE(SUBSTITUTE(SUBSTITUTE(SUBSTITUTE(SUBSTITUTE(SUBSTITUTE(SUBSTITUTE(SUBSTITUTE(SUBSTITUTE(SUBSTITUTE(SUBSTITUTE(SUBSTITUTE(SUBSTITUTE(SUBSTITUTE(SUBSTITUTE(SUBSTITUTE(SUBSTITUTE(SUBSTITUTE(SUBSTITUTE(SUBSTITUTE(BM333,"b","a"),"c","a"),"d","a"),"e","a"),"f","a"),"g","a"),"h","a"),"i","a"),"j","a"),"k","a"),"l","a"),"m","a"),"n","a"),"o","a"),"p","a"),"q","a"),"r","a"),"s","a"),"t","a"),"u","a"),"v","a"),"w","a"),"x","a"),"y","a"),"z","a")</f>
        <v/>
      </c>
      <c r="BO333" s="61" t="str">
        <f aca="false">SUBSTITUTE(SUBSTITUTE(SUBSTITUTE(SUBSTITUTE(SUBSTITUTE(SUBSTITUTE(SUBSTITUTE(SUBSTITUTE(SUBSTITUTE(LOWER(W333&amp;""),"1","0"),"2","0"),"3","0"),"4","0"),"5","0"),"6","0"),"7","0"),"8","0"),"9","0")</f>
        <v/>
      </c>
      <c r="BP333" s="61" t="str">
        <f aca="false">SUBSTITUTE(SUBSTITUTE(SUBSTITUTE(SUBSTITUTE(SUBSTITUTE(SUBSTITUTE(SUBSTITUTE(SUBSTITUTE(SUBSTITUTE(SUBSTITUTE(SUBSTITUTE(SUBSTITUTE(SUBSTITUTE(SUBSTITUTE(SUBSTITUTE(SUBSTITUTE(SUBSTITUTE(SUBSTITUTE(SUBSTITUTE(SUBSTITUTE(SUBSTITUTE(SUBSTITUTE(SUBSTITUTE(SUBSTITUTE(SUBSTITUTE(BO333,"b","a"),"c","a"),"d","a"),"e","a"),"f","a"),"g","a"),"h","a"),"i","a"),"j","a"),"k","a"),"l","a"),"m","a"),"n","a"),"o","a"),"p","a"),"q","a"),"r","a"),"s","a"),"t","a"),"u","a"),"v","a"),"w","a"),"x","a"),"y","a"),"z","a")</f>
        <v/>
      </c>
      <c r="BQ333" s="61" t="n">
        <f aca="false">IFERROR(IF(AND(ISERROR(SEARCH(" mh"," "&amp;LOWER(W333))),ISNA(MATCH(LEFT(TRIM(BP333),255),{"0000a","000a","00a","0000aa","000aa","00aa","0aa","0000aaa","000aaa","00a00","0a00","0000-0000","00:00","a00","a0","00.00.0000","00/00/0000","00-00-0000","0000-00-00","0000/00/00","0000.00.00","00.00.00","00/00/00","00-00-00","0.00.0000","0/00/0000","0-00-0000"},0)),ISNA(MATCH(LEFT(TRIM(CA333),255),{"0000a","000a","00a","0000aa","000aa","00aa","0aa","0000aaa","000aaa","00a00","0a00","0000-0000","00:00","a00","a0","00.00.0000","00/00/0000","00-00-0000","0000-00-00","0000/00/00","0000.00.00","00.00.00","00/00/00","00-00-00","0.00.0000","0/00/0000","0-00-0000"},0)),LEN(CB333)&gt;=3,NOT(OR(SUBSTITUTE(CB333,"0","")="",AND(LEN(CB333)&gt;=4,CB333=REPT(LEFT(CB333),LEN(CB333))),ISNUMBER(MATCH(CB333,{"123","1234","12345","123456","1234567","12345678","0123","01234","012345","98765","987654","54321"},0)),AND(LEN(CB333)=8,LEFT(CB333,3)="202"))),OR(AND((LEN(CA333)-LEN(SUBSTITUTE(CA333,"a","")))&gt;=1,SUMPRODUCT(--ISNUMBER(SEARCH({"a0","a-0","a_0","a/0","a.0","a#0","0a","0-a","0_a","0/a"},BP333)))&gt;0),ISNUMBER(SEARCH("000000",BP333)))),1,0),0)</f>
        <v>0</v>
      </c>
      <c r="BR333" s="61" t="n">
        <f aca="false">IFERROR(LEN(SUBSTITUTE(CC333," ",""))-SUMPRODUCT((LEN(CC333)-LEN(SUBSTITUTE(CC333," "&amp;L_Role&amp;" "," ")))/(LEN(L_Role)+1)*LEN(L_Role)),0)</f>
        <v>0</v>
      </c>
      <c r="BS333" s="61" t="n">
        <f aca="false">IFERROR(LEN(SUBSTITUTE(CD333," ",""))-SUMPRODUCT((LEN(CD333)-LEN(SUBSTITUTE(CD333," "&amp;L_Role&amp;" "," ")))/(LEN(L_Role)+1)*LEN(L_Role)),0)</f>
        <v>0</v>
      </c>
      <c r="BT3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333,"revision",""),"version",""),"jan",""),"feb",""),"mar",""),"apr",""),"may",""),"jun",""),"jul",""),"aug",""),"sep",""),"oct",""),"nov",""),"dec",""),"utc",""),"gmt",""),"myt",""),"bst",""),"rev",""),"ver",""),"b","a"),"c","a"),"d","a"),"e","a"),"f","a"),"g","a"),"h","a"),"i","a"),"j","a"),"k","a"),"l","a"),"m","a"),"n","a"),"o","a"),"p","a"),"q","a"),"r","a"),"s","a"),"t","a"),"u","a"),"v","a"),"w","a"),"x","a"),"y","a"),"z","a")</f>
        <v/>
      </c>
      <c r="BU333" s="61" t="str">
        <f aca="false">SUBSTITUTE(SUBSTITUTE(SUBSTITUTE(SUBSTITUTE(SUBSTITUTE(SUBSTITUTE(SUBSTITUTE(SUBSTITUTE(SUBSTITUTE(SUBSTITUTE(LEFT(BM333,FIND("0",BM333&amp;"0")-1),"-",""),"_",""),"/",""),".",""),"#",""),"\\",""),":","")," ",""),"(",""),")","")</f>
        <v/>
      </c>
      <c r="BV333" s="61" t="n">
        <f aca="false">0</f>
        <v>0</v>
      </c>
      <c r="BW3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333&amp;""),"a",""),"b",""),"c",""),"d",""),"e",""),"f",""),"g",""),"h",""),"i",""),"j",""),"k",""),"l",""),"m",""),"n",""),"o",""),"p",""),"q",""),"r",""),"s",""),"t",""),"u",""),"v",""),"w",""),"x",""),"y",""),"z",""),"-",""),"_",""),"/",""),".",""),"#",""),"\\",""),":","")," ",""),"(",""),")","")</f>
        <v/>
      </c>
      <c r="BX333" s="61" t="str">
        <f aca="false">SUBSTITUTE(SUBSTITUTE(SUBSTITUTE(SUBSTITUTE(SUBSTITUTE(SUBSTITUTE(SUBSTITUTE(SUBSTITUTE(SUBSTITUTE(SUBSTITUTE(SUBSTITUTE(BM333,"0",""),"-",""),"_",""),"/",""),".",""),"#",""),"\\",""),":","")," ",""),"(",""),")","")</f>
        <v/>
      </c>
      <c r="BY333" s="62" t="n">
        <f aca="false">Q333-T12EarlyH/24</f>
        <v>46306.15625</v>
      </c>
      <c r="BZ333" s="61" t="n">
        <f aca="false">IFERROR(IF(IF(TRIM(S333)="Link / file path",AND(LEN(TRIM(Z333))&gt;=5,SUMPRODUCT(--ISNUMBER(SEARCH({"http","www.","\\",":\",".pdf",".jpg",".jpeg",".png",".heic",".xls",".doc",".msg",".eml",".ppt",".txt",".zip"},Z333)))&gt;0),AND(ISERROR(FIND(" ",TRIM(Z333))),NOT(OR(SUMPRODUCT(--ISNUMBER(FIND({",",";","&amp;","+"},Z333)))&gt;0,SUMPRODUCT(--ISNUMBER(SEARCH({"0/aa","0\\aa"},BN333)))&gt;0)),NOT(SUMPRODUCT(--ISNUMBER(SEARCH({"http","www.","\\",":\",".pdf",".jpg",".jpeg",".png",".heic",".xls",".doc",".msg",".eml",".ppt",".txt",".zip"},Z333)))&gt;0),NOT(LOWER(TRIM(Z333))=LOWER(Flights!$F$14)),ISNA(MATCH(BU333,{"mh","rev","revision","ver","version","v","r","a","b","seat","tray","row","gate","bay","stand","page","pg","item","line","no","cart","galley","flight","flt","table","box","bag","oven","etd","eta","std","sta","atd","ata","qty","pax","x","time","tel","ph","mob","day","wk","week","utc","gmt","myt","lt"},0)),NOT(OR(ISNUMBER(MATCH(LEFT(BN333,255),{"0000a","000a","00a","0000aa","000aa","00aa","0aa","0000aaa","000aaa","00a00","0a00","0000-0000","00:00","a00","a0","00.00.0000","00/00/0000","00-00-0000","0000-00-00","0000/00/00","0000.00.00","00.00.00","00/00/00","00-00-00","0.00.0000","0/00/0000","0-00-0000"},0)),ISNUMBER(MATCH(LEFT(BT333,255),{"0000a","000a","00a","0000aa","000aa","00aa","0aa","0000aaa","000aaa","00a00","0a00","0000-0000","00:00","a00","a0","00.00.0000","00/00/0000","00-00-0000","0000-00-00","0000/00/00","0000.00.00","00.00.00","00/00/00","00-00-00","0.00.0000","0/00/0000","0-00-0000"},0)))),NOT(OR(AND(BW333&lt;&gt;"",SUBSTITUTE(BW333,"0","")=""),AND(LEN(BW333)&gt;=4,BW333=REPT(LEFT(BW333),LEN(BW333))),ISNUMBER(MATCH(BW333,{"123","1234","12345","123456","1234567","12345678","0123","01234","012345","98765","987654","54321"},0)),ISNUMBER(MATCH(BX333,{"x","xx","xxx","xxxx","xxxxx","abc","abcd","nil","na","nan","test","tbc","tba","tbd","dummy","sample","example","eg","zz","zzz","none","null","xyz","qwe","asd","id","ref"},0)),AND(LEN(BW333)=8,BX333="",OR(LEFT(BW333,3)="202",ISNUMBER(MATCH(RIGHT(BW333,4),{"2025","2026","2027"},0)))))),OR(AND((LEN(BT333)-LEN(SUBSTITUTE(BT333,"a","")))&gt;=1,(LEN(BN333)-LEN(SUBSTITUTE(BN333,"0","")))&gt;=2,SUMPRODUCT(--ISNUMBER(SEARCH({"a0","a-0","a_0","a/0","a.0","a#0","0a","0-a","0_a","0/a"},BN333)))&gt;0),AND((LEN(BN333)-LEN(SUBSTITUTE(BN333,"a","")))=0,(LEN(BN333)-LEN(SUBSTITUTE(BN333,"0","")))&gt;=5)))),1,0),0)</f>
        <v>0</v>
      </c>
      <c r="CA3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333,"revision",""),"version",""),"jan",""),"feb",""),"mar",""),"apr",""),"may",""),"jun",""),"jul",""),"aug",""),"sep",""),"oct",""),"nov",""),"dec",""),"utc",""),"gmt",""),"myt",""),"bst",""),"rev",""),"ver",""),"b","a"),"c","a"),"d","a"),"e","a"),"f","a"),"g","a"),"h","a"),"i","a"),"j","a"),"k","a"),"l","a"),"m","a"),"n","a"),"o","a"),"p","a"),"q","a"),"r","a"),"s","a"),"t","a"),"u","a"),"v","a"),"w","a"),"x","a"),"y","a"),"z","a")</f>
        <v/>
      </c>
      <c r="CB3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333&amp;""),"a",""),"b",""),"c",""),"d",""),"e",""),"f",""),"g",""),"h",""),"i",""),"j",""),"k",""),"l",""),"m",""),"n",""),"o",""),"p",""),"q",""),"r",""),"s",""),"t",""),"u",""),"v",""),"w",""),"x",""),"y",""),"z",""),"-",""),"_",""),"/",""),".",""),"#",""),"\\",""),":","")," ",""),"(",""),")","")</f>
        <v/>
      </c>
      <c r="CC333" s="0" t="str">
        <f aca="false">" "&amp;TRIM(SUBSTITUTE(SUBSTITUTE(SUBSTITUTE(SUBSTITUTE(SUBSTITUTE(SUBSTITUTE(SUBSTITUTE(SUBSTITUTE(SUBSTITUTE(SUBSTITUTE(SUBSTITUTE(SUBSTITUTE(SUBSTITUTE(SUBSTITUTE(SUBSTITUTE(SUBSTITUTE(SUBSTITUTE(SUBSTITUTE(SUBSTITUTE(SUBSTITUTE(SUBSTITUTE(SUBSTITUTE(SUBSTITUTE(SUBSTITUTE(LOWER(T333&amp;""),CHAR(10)," "),CHAR(13)," "),CHAR(9)," "),CHAR(160)," "),"."," "),","," "),"-"," "),"/"," "),"("," "),")"," "),":"," "),";"," "),"_"," "),"–"," "),"?"," "),"!"," "),"*"," "),"["," "),"]"," "),"'"," "),"#"," "),"+"," "),"&amp;"," "),"\"," "))&amp;" "</f>
        <v>  </v>
      </c>
      <c r="CD333" s="0" t="str">
        <f aca="false">" "&amp;TRIM(SUBSTITUTE(SUBSTITUTE(SUBSTITUTE(SUBSTITUTE(SUBSTITUTE(SUBSTITUTE(SUBSTITUTE(SUBSTITUTE(SUBSTITUTE(SUBSTITUTE(SUBSTITUTE(SUBSTITUTE(SUBSTITUTE(SUBSTITUTE(SUBSTITUTE(SUBSTITUTE(SUBSTITUTE(SUBSTITUTE(SUBSTITUTE(SUBSTITUTE(SUBSTITUTE(SUBSTITUTE(SUBSTITUTE(SUBSTITUTE(LOWER(AE333&amp;""),CHAR(10)," "),CHAR(13)," "),CHAR(9)," "),CHAR(160)," "),"."," "),","," "),"-"," "),"/"," "),"("," "),")"," "),":"," "),";"," "),"_"," "),"–"," "),"?"," "),"!"," "),"*"," "),"["," "),"]"," "),"'"," "),"#"," "),"+"," "),"&amp;"," "),"\"," "))&amp;" "</f>
        <v>  </v>
      </c>
      <c r="CE333" s="68" t="n">
        <f aca="false">IFERROR(IF(AND(LEN(AU333)&gt;0,LEN(AU333)=LEN(AX333),OR(TRIM(MID(SUBSTITUTE(TRIM(CC333)," ",REPT(" ",60)),1,60))="",ISNUMBER(SEARCH(" "&amp;TRIM(MID(SUBSTITUTE(TRIM(CC333)," ",REPT(" ",60)),1,60))&amp;" ",CD333))),OR(TRIM(MID(SUBSTITUTE(TRIM(CC333)," ",REPT(" ",60)),61,60))="",ISNUMBER(SEARCH(" "&amp;TRIM(MID(SUBSTITUTE(TRIM(CC333)," ",REPT(" ",60)),61,60))&amp;" ",CD333))),OR(TRIM(MID(SUBSTITUTE(TRIM(CC333)," ",REPT(" ",60)),121,60))="",ISNUMBER(SEARCH(" "&amp;TRIM(MID(SUBSTITUTE(TRIM(CC333)," ",REPT(" ",60)),121,60))&amp;" ",CD333)))),1,0),0)</f>
        <v>0</v>
      </c>
      <c r="CG333" s="68" t="n">
        <f aca="false">IFERROR(LEN(SUBSTITUTE(BF333," ",""))-SUMPRODUCT((LEN(BF333)-LEN(SUBSTITUTE(BF333," "&amp;L_NAFiller&amp;" "," ")))/(LEN(L_NAFiller)+1)*LEN(L_NAFiller)),0)</f>
        <v>0</v>
      </c>
    </row>
    <row r="334" customFormat="false" ht="39.75" hidden="false" customHeight="true" outlineLevel="0" collapsed="false">
      <c r="A334" s="57" t="s">
        <v>927</v>
      </c>
      <c r="B334" s="57" t="s">
        <v>251</v>
      </c>
      <c r="C334" s="57" t="str">
        <f aca="false">Flights!$F$14</f>
        <v>MH1140</v>
      </c>
      <c r="D334" s="58" t="n">
        <f aca="false">Flights!$D$14</f>
        <v>46307</v>
      </c>
      <c r="E334" s="57" t="str">
        <f aca="false">Flights!$G$14&amp;"-"&amp;Flights!$H$14</f>
        <v>KUL-PEN</v>
      </c>
      <c r="F334" s="57" t="str">
        <f aca="false">Flights!$K$14</f>
        <v>BC</v>
      </c>
      <c r="G334" s="57" t="s">
        <v>420</v>
      </c>
      <c r="H334" s="57" t="s">
        <v>378</v>
      </c>
      <c r="I334" s="57" t="s">
        <v>428</v>
      </c>
      <c r="J334" s="57" t="s">
        <v>429</v>
      </c>
      <c r="K334" s="67"/>
      <c r="L334" s="67" t="s">
        <v>422</v>
      </c>
      <c r="M334" s="67"/>
      <c r="N334" s="67" t="s">
        <v>383</v>
      </c>
      <c r="O334" s="67" t="s">
        <v>423</v>
      </c>
      <c r="P334" s="57" t="s">
        <v>187</v>
      </c>
      <c r="Q334" s="59" t="n">
        <f aca="false">ROUND((Flights!$AE$14)*1440,0)/1440</f>
        <v>46306.65625</v>
      </c>
      <c r="R334" s="59" t="n">
        <f aca="false">Q334+(IF(AND(INDEX(TZ_DSTS,MATCH(P334,TZ_STN,0))&lt;&gt;"",Q334&gt;=INDEX(TZ_DSTS,MATCH(P334,TZ_STN,0)),Q334&lt;INDEX(TZ_DSTE,MATCH(P334,TZ_STN,0))),INDEX(TZ_DST,MATCH(P334,TZ_STN,0)),INDEX(TZ_STD,MATCH(P334,TZ_STN,0))))/24</f>
        <v>46306.9895833333</v>
      </c>
      <c r="S334" s="60"/>
      <c r="T334" s="60"/>
      <c r="U334" s="60"/>
      <c r="V334" s="60"/>
      <c r="W334" s="61"/>
      <c r="X334" s="60"/>
      <c r="Y334" s="60"/>
      <c r="Z334" s="60"/>
      <c r="AA334" s="60"/>
      <c r="AB334" s="60"/>
      <c r="AC334" s="60"/>
      <c r="AD334" s="66"/>
      <c r="AE334" s="60"/>
      <c r="AF334" s="61" t="str">
        <f aca="false">IF(AND(ISNUMBER(X334),ISNUMBER(Y334)),Y334-X334,"")</f>
        <v/>
      </c>
      <c r="AG334" s="62" t="str">
        <f aca="false">IF(ISNUMBER(AD334),AD334-(IF(AND(INDEX(TZ_DSTS,MATCH(P334,TZ_STN,0))&lt;&gt;"",(AD334-INDEX(TZ_STD,MATCH(P334,TZ_STN,0))/24)&gt;=INDEX(TZ_DSTS,MATCH(P334,TZ_STN,0)),(AD334-INDEX(TZ_STD,MATCH(P334,TZ_STN,0))/24)&lt;INDEX(TZ_DSTE,MATCH(P334,TZ_STN,0))),INDEX(TZ_DST,MATCH(P334,TZ_STN,0)),INDEX(TZ_STD,MATCH(P334,TZ_STN,0))))/24,"")</f>
        <v/>
      </c>
      <c r="AH334" s="65" t="str">
        <f aca="false">IFERROR(IF(N334="N/A – rule",IF(OR(TRIM(U334)="",TRIM(U334)="N/A",TRIM(U334)="Not started"),"N/A – RULE","INVALID – this check does not apply to this aircraft: clear the status (or correct the fleet on Flights)"),IF(TRIM(U334)="N/A",IF(AT334=0,"INVALID – N/A not permitted for this check",IF(AND(TRIM(AB334)&lt;&gt;"",TRIM(AB334)&lt;&gt;"Closed"),"INVALID – corrective action still open",IF(AND(NOT(OR(LEN(AZ334)&lt;15,ISNUMBER(MATCH(AZ334,L_Placeholder,0)))),BK334=0,CG334&gt;=8,NOT(OR(LEN(AU334)&lt;2,ISNUMBER(MATCH(AU334,L_Placeholder,0)))),BR334&gt;=3,NOT(OR(LEN(AX334)&lt;2,ISNUMBER(MATCH(AX334,L_Placeholder,0)))),BS334&gt;=3,TRIM(AE334)&lt;&gt;TRIM(T334),AX334&lt;&gt;AU334,CE334=0),"N/A – JUSTIFIED","INVALID – N/A needs a real, settled reason (not 'not applicable' / 'as above' / TBC), a named PIC and a different named verifier"))),IF(OR(TRIM(U334)="Pass",TRIM(U334)="Pass after CA"),IF(NOT(ISNUMBER(AD334)),"INVALID – completion time missing",IF(OR(OR(LEN(AU334)&lt;2,ISNUMBER(MATCH(AU334,L_Placeholder,0))),BR334&lt;3),"INVALID – PIC missing or not a named person (a role such as QA / CSM is not a name)",IF(OR(LEN(AV334)&lt;2,ISNUMBER(MATCH(AV334,L_Placeholder,0))),"INVALID – result / assessment missing",IF(OR(OR(LEN(AW334)&lt;3,ISNUMBER(MATCH(AW334,L_Placeholder,0))),SUMPRODUCT(--ISNUMBER(SEARCH(" "&amp;L_EvidencePhrase&amp;" ",BD334)))&gt;0,BI334=1),"INVALID – evidence missing, placeholder or not yet on file",IF(ISNA(MATCH(TRIM(S334),L_EvidenceType,0)),"INVALID – choose the evidence type from the list (column S)",IF(BL334=0,"INVALID – evidence ID must be the record's own ID only (e.g. SF-2210, IMG_2231, 1045521); a link / file name needs type 'Link / file path'",IF(OR(OR(LEN(AX334)&lt;2,ISNUMBER(MATCH(AX334,L_Placeholder,0))),BS334&lt;3),"INVALID – verifier missing or not a named person (a role such as QA / CSM is not a name)",IF(OR(AX334=AU334,CE334=1,AND(LEN(AU334)&gt;=4,ISNUMBER(SEARCH(AU334,AX334))),AND(LEN(AX334)&gt;=4,ISNUMBER(SEARCH(AX334,AU334)))),"INVALID – verifier must be a different, named person (not the PIC or a role)",IF(BH334=1,"INVALID – result not yet available (awaiting / TBC)",IF(BG334=1,"INVALID – result describes a problem: record Fail, then Pass after CA (or reword if it is not a problem)",IF(BV334=1,"INVALID – wording says not on board: an on-board confirmation needs the item loaded",IF(AND(AQ334=1,OR(OR(LEN(AY334)&lt;3,ISNUMBER(MATCH(AY334,L_Placeholder,0))),BJ334=1,BQ334=0)),"INVALID – batch ID missing, placeholder or not an ID (e.g. PASB-261008-BC-017)",IF(AND(AR334=1,OR(NOT(ISNUMBER(X334)),NOT(ISNUMBER(Y334)))),"INVALID – expected/actual qty missing",IF(AND(AR334=1,OR(X334&lt;=0,Y334&lt;0)),"INVALID – expected qty must be above 0 and actual not negative",IF(BB334&lt;&gt;"",BB334,IF(AND(AS334=1,Documents!$J$14&lt;&gt;"ON FILE"),"INVALID – GLD not on file (Documents sheet)",IF(AND(AS334=2,Documents!$O$14&lt;&gt;"ON FILE"),"INVALID – menu checklist not on file (Documents sheet)",IF(AND(AS334=3,NOT(ISNUMBER(Flights!$AX$14))),"INVALID – enter carrying flight KUL departure (Flights AX)",IF(AND(AS334=3,OR(Flights!$AZ$14&gt;Flights!$AA$14,Flights!$AX$14&lt;Flights!$AA$14-3)),"INVALID – carrying flight (Flights AX) cannot arrive before this leg's STD, or is over 3 days early",IF(AG334&gt;AsOfUTC,"INVALID – completion time is in the future",IF(AND(ISNUMBER(BY334),AG334&lt;BY334),IF(H334="Physical uplift","INVALID – before uplift window (cannot confirm loading)","INVALID – before valid window"),IF(AG334&gt;Flights!$AA$14,"INVALID – completed after departure (cannot establish readiness)",IF(AND(H334="Preparation",AG334&gt;=IF(ISNUMBER(Flights!$BA$14),MIN(Flights!$BA$14,Flights!$AA$14),Flights!$AA$14)),"INVALID – completed after loading / departure (cannot establish readiness)",IF(AND(H334="Physical uplift",AG334&gt;Q334),"INVALID – recorded after the loading flight departed",IF(AG334&gt;Q334,"COMPLETE – LATE","COMPLETE"))))))))))))))))))))))))),IF(TRIM(U334)="Fail","FAIL – DISCREPANCY",IF(AND(TRIM(U334)&lt;&gt;"",TRIM(U334)&lt;&gt;"Not started",TRIM(U334)&lt;&gt;"In progress"),"INVALID – unrecognised status (use the list)",IF(AsOfUTC&gt;Q334,"OVERDUE",IF(N334="Clarification required","OPEN – CLARIFICATION","OPEN"))))))),"INVALID – error value in an input cell")</f>
        <v>OPEN</v>
      </c>
      <c r="AI334" s="61" t="n">
        <f aca="false">IF(OR(AH334="N/A – RULE",AH334="N/A – JUSTIFIED"),0,1)</f>
        <v>1</v>
      </c>
      <c r="AJ334" s="61" t="n">
        <f aca="false">IF(LEFT(AH334,8)="COMPLETE",1,0)</f>
        <v>0</v>
      </c>
      <c r="AK334" s="61" t="n">
        <f aca="false">IF(AND(AI334=1,AJ334=0,AsOfUTC&gt;Q334),1,0)</f>
        <v>0</v>
      </c>
      <c r="AL334" s="61" t="n">
        <f aca="false">IFERROR(IF(AND(AI334=1,OR(TRIM(U334)="Fail",AND(TRIM(AB334)&lt;&gt;"",TRIM(AB334)&lt;&gt;"Closed"),AND(ISNUMBER(AF334),AF334&lt;&gt;0,TRIM(U334)&lt;&gt;"Pass after CA"))),1,0),1)</f>
        <v>0</v>
      </c>
      <c r="AM334" s="61" t="n">
        <f aca="false">IF(LEFT(AH334,7)="INVALID",1,0)</f>
        <v>0</v>
      </c>
      <c r="AN334" s="61" t="n">
        <f aca="false">IF(AND(N334="Clarification required",AI334=1,AJ334=0),1,0)</f>
        <v>0</v>
      </c>
      <c r="AO334" s="61" t="str">
        <f aca="false">IF(AK334=1,SUM(AK$5:AK334),"")</f>
        <v/>
      </c>
      <c r="AP334" s="61" t="str">
        <f aca="false">IF(AL334=1,SUM(AL$5:AL334),"")</f>
        <v/>
      </c>
      <c r="AQ334" s="61" t="n">
        <v>0</v>
      </c>
      <c r="AR334" s="61" t="n">
        <v>0</v>
      </c>
      <c r="AS334" s="61" t="n">
        <v>0</v>
      </c>
      <c r="AT334" s="61" t="n">
        <v>0</v>
      </c>
      <c r="AU334" s="61" t="str">
        <f aca="false">SUBSTITUTE(SUBSTITUTE(SUBSTITUTE(SUBSTITUTE(SUBSTITUTE(SUBSTITUTE(SUBSTITUTE(SUBSTITUTE(SUBSTITUTE(SUBSTITUTE(SUBSTITUTE(SUBSTITUTE(SUBSTITUTE(SUBSTITUTE(SUBSTITUTE(SUBSTITUTE(LOWER(T334&amp;""),CHAR(10),""),CHAR(13),""),CHAR(9),""),CHAR(160),"")," ",""),".",""),"-",""),"/",""),"?",""),"_",""),",",""),"[",""),"]",""),"(",""),")",""),"*","")</f>
        <v/>
      </c>
      <c r="AV334" s="61" t="str">
        <f aca="false">SUBSTITUTE(SUBSTITUTE(SUBSTITUTE(SUBSTITUTE(SUBSTITUTE(SUBSTITUTE(SUBSTITUTE(SUBSTITUTE(SUBSTITUTE(SUBSTITUTE(SUBSTITUTE(SUBSTITUTE(SUBSTITUTE(SUBSTITUTE(SUBSTITUTE(SUBSTITUTE(LOWER(V334&amp;""),CHAR(10),""),CHAR(13),""),CHAR(9),""),CHAR(160),"")," ",""),".",""),"-",""),"/",""),"?",""),"_",""),",",""),"[",""),"]",""),"(",""),")",""),"*","")</f>
        <v/>
      </c>
      <c r="AW334" s="61" t="str">
        <f aca="false">SUBSTITUTE(SUBSTITUTE(SUBSTITUTE(SUBSTITUTE(SUBSTITUTE(SUBSTITUTE(SUBSTITUTE(SUBSTITUTE(SUBSTITUTE(SUBSTITUTE(SUBSTITUTE(SUBSTITUTE(SUBSTITUTE(SUBSTITUTE(SUBSTITUTE(SUBSTITUTE(LOWER(Z334&amp;""),CHAR(10),""),CHAR(13),""),CHAR(9),""),CHAR(160),"")," ",""),".",""),"-",""),"/",""),"?",""),"_",""),",",""),"[",""),"]",""),"(",""),")",""),"*","")</f>
        <v/>
      </c>
      <c r="AX334" s="61" t="str">
        <f aca="false">SUBSTITUTE(SUBSTITUTE(SUBSTITUTE(SUBSTITUTE(SUBSTITUTE(SUBSTITUTE(SUBSTITUTE(SUBSTITUTE(SUBSTITUTE(SUBSTITUTE(SUBSTITUTE(SUBSTITUTE(SUBSTITUTE(SUBSTITUTE(SUBSTITUTE(SUBSTITUTE(LOWER(AE334&amp;""),CHAR(10),""),CHAR(13),""),CHAR(9),""),CHAR(160),"")," ",""),".",""),"-",""),"/",""),"?",""),"_",""),",",""),"[",""),"]",""),"(",""),")",""),"*","")</f>
        <v/>
      </c>
      <c r="AY334" s="61" t="str">
        <f aca="false">SUBSTITUTE(SUBSTITUTE(SUBSTITUTE(SUBSTITUTE(SUBSTITUTE(SUBSTITUTE(SUBSTITUTE(SUBSTITUTE(SUBSTITUTE(SUBSTITUTE(SUBSTITUTE(SUBSTITUTE(SUBSTITUTE(SUBSTITUTE(SUBSTITUTE(SUBSTITUTE(LOWER(W334&amp;""),CHAR(10),""),CHAR(13),""),CHAR(9),""),CHAR(160),"")," ",""),".",""),"-",""),"/",""),"?",""),"_",""),",",""),"[",""),"]",""),"(",""),")",""),"*","")</f>
        <v/>
      </c>
      <c r="AZ334" s="61" t="str">
        <f aca="false">SUBSTITUTE(SUBSTITUTE(SUBSTITUTE(SUBSTITUTE(SUBSTITUTE(SUBSTITUTE(SUBSTITUTE(SUBSTITUTE(SUBSTITUTE(SUBSTITUTE(SUBSTITUTE(SUBSTITUTE(SUBSTITUTE(SUBSTITUTE(SUBSTITUTE(SUBSTITUTE(LOWER(AC334&amp;""),CHAR(10),""),CHAR(13),""),CHAR(9),""),CHAR(160),"")," ",""),".",""),"-",""),"/",""),"?",""),"_",""),",",""),"[",""),"]",""),"(",""),")",""),"*","")</f>
        <v/>
      </c>
      <c r="BA334" s="61" t="str">
        <f aca="false">SUBSTITUTE(SUBSTITUTE(SUBSTITUTE(SUBSTITUTE(SUBSTITUTE(SUBSTITUTE(SUBSTITUTE(SUBSTITUTE(SUBSTITUTE(SUBSTITUTE(SUBSTITUTE(SUBSTITUTE(SUBSTITUTE(SUBSTITUTE(SUBSTITUTE(SUBSTITUTE(LOWER(AA334&amp;""),CHAR(10),""),CHAR(13),""),CHAR(9),""),CHAR(160),"")," ",""),".",""),"-",""),"/",""),"?",""),"_",""),",",""),"[",""),"]",""),"(",""),")",""),"*","")</f>
        <v/>
      </c>
      <c r="BB334" s="61" t="str">
        <f aca="false">IF(AND(TRIM(U334)="Pass",ISNUMBER(AF334)),IF(AF334&lt;&gt;0,"INVALID – qty variance: use Fail or Pass after CA",""),"")&amp;IF(AND(TRIM(U334)="Pass after CA",ISNUMBER(AF334)),IF(AF334&lt;&gt;0,"INVALID – after the corrective action the actual qty must equal expected (update Actual)",""),"")&amp;IF(AND(TRIM(U334)="Pass",TRIM(AB334)&lt;&gt;"",TRIM(AB334)&lt;&gt;"Closed"),"INVALID – corrective action not closed: use Fail, then Pass after CA","")&amp;IF(AND(LEN(BA334)&gt;=2,ISNA(MATCH(LEFT(BA334,255),L_Placeholder,0)),TRIM(AB334)=""),"INVALID – CA status missing for the recorded corrective action","")&amp;IF(AND(TRIM(U334)="Pass after CA",OR(OR(LEN(BA334)&lt;5,ISNUMBER(MATCH(BA334,L_Placeholder,0))),TRIM(AB334)&lt;&gt;"Closed")),"INVALID – corrective action not recorded/closed","")</f>
        <v/>
      </c>
      <c r="BC334" s="61" t="str">
        <f aca="false">" "&amp;TRIM(SUBSTITUTE(SUBSTITUTE(SUBSTITUTE(SUBSTITUTE(SUBSTITUTE(SUBSTITUTE(SUBSTITUTE(SUBSTITUTE(SUBSTITUTE(SUBSTITUTE(SUBSTITUTE(SUBSTITUTE(SUBSTITUTE(SUBSTITUTE(SUBSTITUTE(SUBSTITUTE(SUBSTITUTE(SUBSTITUTE(SUBSTITUTE(SUBSTITUTE(SUBSTITUTE(SUBSTITUTE(SUBSTITUTE(SUBSTITUTE(LOWER(V334&amp;""),CHAR(10)," "),CHAR(13)," "),CHAR(9)," "),CHAR(160)," "),"."," "),","," "),"-"," "),"/"," "),"("," "),")"," "),":"," "),";"," "),"_"," "),"–"," "),"?"," "),"!"," "),"*"," "),"["," "),"]"," "),"'"," "),"#"," "),"+"," "),"&amp;"," "),"\"," "))&amp;" "</f>
        <v>  </v>
      </c>
      <c r="BD334" s="61" t="str">
        <f aca="false">" "&amp;TRIM(SUBSTITUTE(SUBSTITUTE(SUBSTITUTE(SUBSTITUTE(SUBSTITUTE(SUBSTITUTE(SUBSTITUTE(SUBSTITUTE(SUBSTITUTE(SUBSTITUTE(SUBSTITUTE(SUBSTITUTE(SUBSTITUTE(SUBSTITUTE(SUBSTITUTE(SUBSTITUTE(SUBSTITUTE(SUBSTITUTE(SUBSTITUTE(SUBSTITUTE(SUBSTITUTE(SUBSTITUTE(SUBSTITUTE(SUBSTITUTE(LOWER(Z334&amp;""),CHAR(10)," "),CHAR(13)," "),CHAR(9)," "),CHAR(160)," "),"."," "),","," "),"-"," "),"/"," "),"("," "),")"," "),":"," "),";"," "),"_"," "),"–"," "),"?"," "),"!"," "),"*"," "),"["," "),"]"," "),"'"," "),"#"," "),"+"," "),"&amp;"," "),"\"," "))&amp;" "</f>
        <v>  </v>
      </c>
      <c r="BE334" s="61" t="str">
        <f aca="false">" "&amp;TRIM(SUBSTITUTE(SUBSTITUTE(SUBSTITUTE(SUBSTITUTE(SUBSTITUTE(SUBSTITUTE(SUBSTITUTE(SUBSTITUTE(SUBSTITUTE(SUBSTITUTE(SUBSTITUTE(SUBSTITUTE(SUBSTITUTE(SUBSTITUTE(SUBSTITUTE(SUBSTITUTE(SUBSTITUTE(SUBSTITUTE(SUBSTITUTE(SUBSTITUTE(SUBSTITUTE(SUBSTITUTE(SUBSTITUTE(SUBSTITUTE(LOWER(W334&amp;""),CHAR(10)," "),CHAR(13)," "),CHAR(9)," "),CHAR(160)," "),"."," "),","," "),"-"," "),"/"," "),"("," "),")"," "),":"," "),";"," "),"_"," "),"–"," "),"?"," "),"!"," "),"*"," "),"["," "),"]"," "),"'"," "),"#"," "),"+"," "),"&amp;"," "),"\"," "))&amp;" "</f>
        <v>  </v>
      </c>
      <c r="BF334" s="61" t="str">
        <f aca="false">" "&amp;TRIM(SUBSTITUTE(SUBSTITUTE(SUBSTITUTE(SUBSTITUTE(SUBSTITUTE(SUBSTITUTE(SUBSTITUTE(SUBSTITUTE(SUBSTITUTE(SUBSTITUTE(SUBSTITUTE(SUBSTITUTE(SUBSTITUTE(SUBSTITUTE(SUBSTITUTE(SUBSTITUTE(SUBSTITUTE(SUBSTITUTE(SUBSTITUTE(SUBSTITUTE(SUBSTITUTE(SUBSTITUTE(SUBSTITUTE(SUBSTITUTE(LOWER(AC334&amp;""),CHAR(10)," "),CHAR(13)," "),CHAR(9)," "),CHAR(160)," "),"."," "),","," "),"-"," "),"/"," "),"("," "),")"," "),":"," "),";"," "),"_"," "),"–"," "),"?"," "),"!"," "),"*"," "),"["," "),"]"," "),"'"," "),"#"," "),"+"," "),"&amp;"," "),"\"," "))&amp;" "</f>
        <v>  </v>
      </c>
      <c r="BG334" s="61" t="n">
        <f aca="false">IFERROR(IF(AND(TRIM(U334)="Pass",SUMPRODUCT((LEN(BC334)-LEN(SUBSTITUTE(BC334," "&amp;L_ResultBad&amp;" "," ")))/(LEN(L_ResultBad)+1))&gt;SUMPRODUCT((LEN(BC334)-LEN(SUBSTITUTE(BC334," "&amp;L_NegPhrase&amp;" "," ")))/(LEN(L_NegPhrase)+1))),1,0),0)</f>
        <v>0</v>
      </c>
      <c r="BH334" s="61" t="n">
        <f aca="false">IFERROR(IF(SUMPRODUCT((LEN(BC334)-LEN(SUBSTITUTE(BC334," "&amp;L_Pending&amp;" "," ")))/(LEN(L_Pending)+1))&gt;SUMPRODUCT((LEN(BC334)-LEN(SUBSTITUTE(BC334," "&amp;L_PendNeg&amp;" "," ")))/(LEN(L_PendNeg)+1))+SUMPRODUCT((LEN(BC334)-LEN(SUBSTITUTE(BC334," "&amp;L_PendPrep&amp;" "," ")))/(LEN(L_PendPrep)+1)),1,0),1)</f>
        <v>0</v>
      </c>
      <c r="BI334" s="61" t="n">
        <f aca="false">IFERROR(IF(SUMPRODUCT((LEN(BD334)-LEN(SUBSTITUTE(BD334," "&amp;L_PendStrict&amp;" "," ")))/(LEN(L_PendStrict)+1))&gt;SUMPRODUCT((LEN(BD334)-LEN(SUBSTITUTE(BD334," "&amp;L_PendNeg&amp;" "," ")))/(LEN(L_PendNeg)+1)),1,0),1)</f>
        <v>0</v>
      </c>
      <c r="BJ334" s="61" t="n">
        <f aca="false">IFERROR(IF(SUMPRODUCT((LEN(BE334)-LEN(SUBSTITUTE(BE334," "&amp;L_Pending&amp;" "," ")))/(LEN(L_Pending)+1))&gt;SUMPRODUCT((LEN(BE334)-LEN(SUBSTITUTE(BE334," "&amp;L_PendNeg&amp;" "," ")))/(LEN(L_PendNeg)+1))+SUMPRODUCT((LEN(BE334)-LEN(SUBSTITUTE(BE334," "&amp;L_PendPrep&amp;" "," ")))/(LEN(L_PendPrep)+1)),1,0),1)</f>
        <v>0</v>
      </c>
      <c r="BK334" s="61" t="n">
        <f aca="false">IFERROR(IF(SUMPRODUCT((LEN(BF334)-LEN(SUBSTITUTE(BF334," "&amp;L_PendStrict&amp;" "," ")))/(LEN(L_PendStrict)+1))&gt;SUMPRODUCT((LEN(BF334)-LEN(SUBSTITUTE(BF334," "&amp;L_PendNeg&amp;" "," ")))/(LEN(L_PendNeg)+1)),1,0),1)</f>
        <v>0</v>
      </c>
      <c r="BL334" s="61" t="n">
        <f aca="false">IF(ISNA(MATCH(TRIM(S334),L_EvidenceType,0)),0,BZ334)</f>
        <v>0</v>
      </c>
      <c r="BM334" s="61" t="str">
        <f aca="false">SUBSTITUTE(SUBSTITUTE(SUBSTITUTE(SUBSTITUTE(SUBSTITUTE(SUBSTITUTE(SUBSTITUTE(SUBSTITUTE(SUBSTITUTE(LOWER(Z334&amp;""),"1","0"),"2","0"),"3","0"),"4","0"),"5","0"),"6","0"),"7","0"),"8","0"),"9","0")</f>
        <v/>
      </c>
      <c r="BN334" s="61" t="str">
        <f aca="false">SUBSTITUTE(SUBSTITUTE(SUBSTITUTE(SUBSTITUTE(SUBSTITUTE(SUBSTITUTE(SUBSTITUTE(SUBSTITUTE(SUBSTITUTE(SUBSTITUTE(SUBSTITUTE(SUBSTITUTE(SUBSTITUTE(SUBSTITUTE(SUBSTITUTE(SUBSTITUTE(SUBSTITUTE(SUBSTITUTE(SUBSTITUTE(SUBSTITUTE(SUBSTITUTE(SUBSTITUTE(SUBSTITUTE(SUBSTITUTE(SUBSTITUTE(BM334,"b","a"),"c","a"),"d","a"),"e","a"),"f","a"),"g","a"),"h","a"),"i","a"),"j","a"),"k","a"),"l","a"),"m","a"),"n","a"),"o","a"),"p","a"),"q","a"),"r","a"),"s","a"),"t","a"),"u","a"),"v","a"),"w","a"),"x","a"),"y","a"),"z","a")</f>
        <v/>
      </c>
      <c r="BO334" s="61" t="str">
        <f aca="false">SUBSTITUTE(SUBSTITUTE(SUBSTITUTE(SUBSTITUTE(SUBSTITUTE(SUBSTITUTE(SUBSTITUTE(SUBSTITUTE(SUBSTITUTE(LOWER(W334&amp;""),"1","0"),"2","0"),"3","0"),"4","0"),"5","0"),"6","0"),"7","0"),"8","0"),"9","0")</f>
        <v/>
      </c>
      <c r="BP334" s="61" t="str">
        <f aca="false">SUBSTITUTE(SUBSTITUTE(SUBSTITUTE(SUBSTITUTE(SUBSTITUTE(SUBSTITUTE(SUBSTITUTE(SUBSTITUTE(SUBSTITUTE(SUBSTITUTE(SUBSTITUTE(SUBSTITUTE(SUBSTITUTE(SUBSTITUTE(SUBSTITUTE(SUBSTITUTE(SUBSTITUTE(SUBSTITUTE(SUBSTITUTE(SUBSTITUTE(SUBSTITUTE(SUBSTITUTE(SUBSTITUTE(SUBSTITUTE(SUBSTITUTE(BO334,"b","a"),"c","a"),"d","a"),"e","a"),"f","a"),"g","a"),"h","a"),"i","a"),"j","a"),"k","a"),"l","a"),"m","a"),"n","a"),"o","a"),"p","a"),"q","a"),"r","a"),"s","a"),"t","a"),"u","a"),"v","a"),"w","a"),"x","a"),"y","a"),"z","a")</f>
        <v/>
      </c>
      <c r="BQ334" s="61" t="n">
        <f aca="false">IFERROR(IF(AND(ISERROR(SEARCH(" mh"," "&amp;LOWER(W334))),ISNA(MATCH(LEFT(TRIM(BP334),255),{"0000a","000a","00a","0000aa","000aa","00aa","0aa","0000aaa","000aaa","00a00","0a00","0000-0000","00:00","a00","a0","00.00.0000","00/00/0000","00-00-0000","0000-00-00","0000/00/00","0000.00.00","00.00.00","00/00/00","00-00-00","0.00.0000","0/00/0000","0-00-0000"},0)),ISNA(MATCH(LEFT(TRIM(CA334),255),{"0000a","000a","00a","0000aa","000aa","00aa","0aa","0000aaa","000aaa","00a00","0a00","0000-0000","00:00","a00","a0","00.00.0000","00/00/0000","00-00-0000","0000-00-00","0000/00/00","0000.00.00","00.00.00","00/00/00","00-00-00","0.00.0000","0/00/0000","0-00-0000"},0)),LEN(CB334)&gt;=3,NOT(OR(SUBSTITUTE(CB334,"0","")="",AND(LEN(CB334)&gt;=4,CB334=REPT(LEFT(CB334),LEN(CB334))),ISNUMBER(MATCH(CB334,{"123","1234","12345","123456","1234567","12345678","0123","01234","012345","98765","987654","54321"},0)),AND(LEN(CB334)=8,LEFT(CB334,3)="202"))),OR(AND((LEN(CA334)-LEN(SUBSTITUTE(CA334,"a","")))&gt;=1,SUMPRODUCT(--ISNUMBER(SEARCH({"a0","a-0","a_0","a/0","a.0","a#0","0a","0-a","0_a","0/a"},BP334)))&gt;0),ISNUMBER(SEARCH("000000",BP334)))),1,0),0)</f>
        <v>0</v>
      </c>
      <c r="BR334" s="61" t="n">
        <f aca="false">IFERROR(LEN(SUBSTITUTE(CC334," ",""))-SUMPRODUCT((LEN(CC334)-LEN(SUBSTITUTE(CC334," "&amp;L_Role&amp;" "," ")))/(LEN(L_Role)+1)*LEN(L_Role)),0)</f>
        <v>0</v>
      </c>
      <c r="BS334" s="61" t="n">
        <f aca="false">IFERROR(LEN(SUBSTITUTE(CD334," ",""))-SUMPRODUCT((LEN(CD334)-LEN(SUBSTITUTE(CD334," "&amp;L_Role&amp;" "," ")))/(LEN(L_Role)+1)*LEN(L_Role)),0)</f>
        <v>0</v>
      </c>
      <c r="BT3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334,"revision",""),"version",""),"jan",""),"feb",""),"mar",""),"apr",""),"may",""),"jun",""),"jul",""),"aug",""),"sep",""),"oct",""),"nov",""),"dec",""),"utc",""),"gmt",""),"myt",""),"bst",""),"rev",""),"ver",""),"b","a"),"c","a"),"d","a"),"e","a"),"f","a"),"g","a"),"h","a"),"i","a"),"j","a"),"k","a"),"l","a"),"m","a"),"n","a"),"o","a"),"p","a"),"q","a"),"r","a"),"s","a"),"t","a"),"u","a"),"v","a"),"w","a"),"x","a"),"y","a"),"z","a")</f>
        <v/>
      </c>
      <c r="BU334" s="61" t="str">
        <f aca="false">SUBSTITUTE(SUBSTITUTE(SUBSTITUTE(SUBSTITUTE(SUBSTITUTE(SUBSTITUTE(SUBSTITUTE(SUBSTITUTE(SUBSTITUTE(SUBSTITUTE(LEFT(BM334,FIND("0",BM334&amp;"0")-1),"-",""),"_",""),"/",""),".",""),"#",""),"\\",""),":","")," ",""),"(",""),")","")</f>
        <v/>
      </c>
      <c r="BV334" s="61" t="n">
        <f aca="false">0</f>
        <v>0</v>
      </c>
      <c r="BW3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334&amp;""),"a",""),"b",""),"c",""),"d",""),"e",""),"f",""),"g",""),"h",""),"i",""),"j",""),"k",""),"l",""),"m",""),"n",""),"o",""),"p",""),"q",""),"r",""),"s",""),"t",""),"u",""),"v",""),"w",""),"x",""),"y",""),"z",""),"-",""),"_",""),"/",""),".",""),"#",""),"\\",""),":","")," ",""),"(",""),")","")</f>
        <v/>
      </c>
      <c r="BX334" s="61" t="str">
        <f aca="false">SUBSTITUTE(SUBSTITUTE(SUBSTITUTE(SUBSTITUTE(SUBSTITUTE(SUBSTITUTE(SUBSTITUTE(SUBSTITUTE(SUBSTITUTE(SUBSTITUTE(SUBSTITUTE(BM334,"0",""),"-",""),"_",""),"/",""),".",""),"#",""),"\\",""),":","")," ",""),"(",""),")","")</f>
        <v/>
      </c>
      <c r="BY334" s="62" t="n">
        <f aca="false">Q334-T12EarlyH/24</f>
        <v>46306.15625</v>
      </c>
      <c r="BZ334" s="61" t="n">
        <f aca="false">IFERROR(IF(IF(TRIM(S334)="Link / file path",AND(LEN(TRIM(Z334))&gt;=5,SUMPRODUCT(--ISNUMBER(SEARCH({"http","www.","\\",":\",".pdf",".jpg",".jpeg",".png",".heic",".xls",".doc",".msg",".eml",".ppt",".txt",".zip"},Z334)))&gt;0),AND(ISERROR(FIND(" ",TRIM(Z334))),NOT(OR(SUMPRODUCT(--ISNUMBER(FIND({",",";","&amp;","+"},Z334)))&gt;0,SUMPRODUCT(--ISNUMBER(SEARCH({"0/aa","0\\aa"},BN334)))&gt;0)),NOT(SUMPRODUCT(--ISNUMBER(SEARCH({"http","www.","\\",":\",".pdf",".jpg",".jpeg",".png",".heic",".xls",".doc",".msg",".eml",".ppt",".txt",".zip"},Z334)))&gt;0),NOT(LOWER(TRIM(Z334))=LOWER(Flights!$F$14)),ISNA(MATCH(BU334,{"mh","rev","revision","ver","version","v","r","a","b","seat","tray","row","gate","bay","stand","page","pg","item","line","no","cart","galley","flight","flt","table","box","bag","oven","etd","eta","std","sta","atd","ata","qty","pax","x","time","tel","ph","mob","day","wk","week","utc","gmt","myt","lt"},0)),NOT(OR(ISNUMBER(MATCH(LEFT(BN334,255),{"0000a","000a","00a","0000aa","000aa","00aa","0aa","0000aaa","000aaa","00a00","0a00","0000-0000","00:00","a00","a0","00.00.0000","00/00/0000","00-00-0000","0000-00-00","0000/00/00","0000.00.00","00.00.00","00/00/00","00-00-00","0.00.0000","0/00/0000","0-00-0000"},0)),ISNUMBER(MATCH(LEFT(BT334,255),{"0000a","000a","00a","0000aa","000aa","00aa","0aa","0000aaa","000aaa","00a00","0a00","0000-0000","00:00","a00","a0","00.00.0000","00/00/0000","00-00-0000","0000-00-00","0000/00/00","0000.00.00","00.00.00","00/00/00","00-00-00","0.00.0000","0/00/0000","0-00-0000"},0)))),NOT(OR(AND(BW334&lt;&gt;"",SUBSTITUTE(BW334,"0","")=""),AND(LEN(BW334)&gt;=4,BW334=REPT(LEFT(BW334),LEN(BW334))),ISNUMBER(MATCH(BW334,{"123","1234","12345","123456","1234567","12345678","0123","01234","012345","98765","987654","54321"},0)),ISNUMBER(MATCH(BX334,{"x","xx","xxx","xxxx","xxxxx","abc","abcd","nil","na","nan","test","tbc","tba","tbd","dummy","sample","example","eg","zz","zzz","none","null","xyz","qwe","asd","id","ref"},0)),AND(LEN(BW334)=8,BX334="",OR(LEFT(BW334,3)="202",ISNUMBER(MATCH(RIGHT(BW334,4),{"2025","2026","2027"},0)))))),OR(AND((LEN(BT334)-LEN(SUBSTITUTE(BT334,"a","")))&gt;=1,(LEN(BN334)-LEN(SUBSTITUTE(BN334,"0","")))&gt;=2,SUMPRODUCT(--ISNUMBER(SEARCH({"a0","a-0","a_0","a/0","a.0","a#0","0a","0-a","0_a","0/a"},BN334)))&gt;0),AND((LEN(BN334)-LEN(SUBSTITUTE(BN334,"a","")))=0,(LEN(BN334)-LEN(SUBSTITUTE(BN334,"0","")))&gt;=5)))),1,0),0)</f>
        <v>0</v>
      </c>
      <c r="CA3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334,"revision",""),"version",""),"jan",""),"feb",""),"mar",""),"apr",""),"may",""),"jun",""),"jul",""),"aug",""),"sep",""),"oct",""),"nov",""),"dec",""),"utc",""),"gmt",""),"myt",""),"bst",""),"rev",""),"ver",""),"b","a"),"c","a"),"d","a"),"e","a"),"f","a"),"g","a"),"h","a"),"i","a"),"j","a"),"k","a"),"l","a"),"m","a"),"n","a"),"o","a"),"p","a"),"q","a"),"r","a"),"s","a"),"t","a"),"u","a"),"v","a"),"w","a"),"x","a"),"y","a"),"z","a")</f>
        <v/>
      </c>
      <c r="CB3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334&amp;""),"a",""),"b",""),"c",""),"d",""),"e",""),"f",""),"g",""),"h",""),"i",""),"j",""),"k",""),"l",""),"m",""),"n",""),"o",""),"p",""),"q",""),"r",""),"s",""),"t",""),"u",""),"v",""),"w",""),"x",""),"y",""),"z",""),"-",""),"_",""),"/",""),".",""),"#",""),"\\",""),":","")," ",""),"(",""),")","")</f>
        <v/>
      </c>
      <c r="CC334" s="0" t="str">
        <f aca="false">" "&amp;TRIM(SUBSTITUTE(SUBSTITUTE(SUBSTITUTE(SUBSTITUTE(SUBSTITUTE(SUBSTITUTE(SUBSTITUTE(SUBSTITUTE(SUBSTITUTE(SUBSTITUTE(SUBSTITUTE(SUBSTITUTE(SUBSTITUTE(SUBSTITUTE(SUBSTITUTE(SUBSTITUTE(SUBSTITUTE(SUBSTITUTE(SUBSTITUTE(SUBSTITUTE(SUBSTITUTE(SUBSTITUTE(SUBSTITUTE(SUBSTITUTE(LOWER(T334&amp;""),CHAR(10)," "),CHAR(13)," "),CHAR(9)," "),CHAR(160)," "),"."," "),","," "),"-"," "),"/"," "),"("," "),")"," "),":"," "),";"," "),"_"," "),"–"," "),"?"," "),"!"," "),"*"," "),"["," "),"]"," "),"'"," "),"#"," "),"+"," "),"&amp;"," "),"\"," "))&amp;" "</f>
        <v>  </v>
      </c>
      <c r="CD334" s="0" t="str">
        <f aca="false">" "&amp;TRIM(SUBSTITUTE(SUBSTITUTE(SUBSTITUTE(SUBSTITUTE(SUBSTITUTE(SUBSTITUTE(SUBSTITUTE(SUBSTITUTE(SUBSTITUTE(SUBSTITUTE(SUBSTITUTE(SUBSTITUTE(SUBSTITUTE(SUBSTITUTE(SUBSTITUTE(SUBSTITUTE(SUBSTITUTE(SUBSTITUTE(SUBSTITUTE(SUBSTITUTE(SUBSTITUTE(SUBSTITUTE(SUBSTITUTE(SUBSTITUTE(LOWER(AE334&amp;""),CHAR(10)," "),CHAR(13)," "),CHAR(9)," "),CHAR(160)," "),"."," "),","," "),"-"," "),"/"," "),"("," "),")"," "),":"," "),";"," "),"_"," "),"–"," "),"?"," "),"!"," "),"*"," "),"["," "),"]"," "),"'"," "),"#"," "),"+"," "),"&amp;"," "),"\"," "))&amp;" "</f>
        <v>  </v>
      </c>
      <c r="CE334" s="68" t="n">
        <f aca="false">IFERROR(IF(AND(LEN(AU334)&gt;0,LEN(AU334)=LEN(AX334),OR(TRIM(MID(SUBSTITUTE(TRIM(CC334)," ",REPT(" ",60)),1,60))="",ISNUMBER(SEARCH(" "&amp;TRIM(MID(SUBSTITUTE(TRIM(CC334)," ",REPT(" ",60)),1,60))&amp;" ",CD334))),OR(TRIM(MID(SUBSTITUTE(TRIM(CC334)," ",REPT(" ",60)),61,60))="",ISNUMBER(SEARCH(" "&amp;TRIM(MID(SUBSTITUTE(TRIM(CC334)," ",REPT(" ",60)),61,60))&amp;" ",CD334))),OR(TRIM(MID(SUBSTITUTE(TRIM(CC334)," ",REPT(" ",60)),121,60))="",ISNUMBER(SEARCH(" "&amp;TRIM(MID(SUBSTITUTE(TRIM(CC334)," ",REPT(" ",60)),121,60))&amp;" ",CD334)))),1,0),0)</f>
        <v>0</v>
      </c>
      <c r="CG334" s="68" t="n">
        <f aca="false">IFERROR(LEN(SUBSTITUTE(BF334," ",""))-SUMPRODUCT((LEN(BF334)-LEN(SUBSTITUTE(BF334," "&amp;L_NAFiller&amp;" "," ")))/(LEN(L_NAFiller)+1)*LEN(L_NAFiller)),0)</f>
        <v>0</v>
      </c>
    </row>
    <row r="335" customFormat="false" ht="39.75" hidden="false" customHeight="true" outlineLevel="0" collapsed="false">
      <c r="A335" s="57" t="s">
        <v>928</v>
      </c>
      <c r="B335" s="57" t="s">
        <v>251</v>
      </c>
      <c r="C335" s="57" t="str">
        <f aca="false">Flights!$F$14</f>
        <v>MH1140</v>
      </c>
      <c r="D335" s="58" t="n">
        <f aca="false">Flights!$D$14</f>
        <v>46307</v>
      </c>
      <c r="E335" s="57" t="str">
        <f aca="false">Flights!$G$14&amp;"-"&amp;Flights!$H$14</f>
        <v>KUL-PEN</v>
      </c>
      <c r="F335" s="57" t="str">
        <f aca="false">Flights!$K$14</f>
        <v>BC</v>
      </c>
      <c r="G335" s="57" t="s">
        <v>420</v>
      </c>
      <c r="H335" s="57" t="s">
        <v>378</v>
      </c>
      <c r="I335" s="57" t="s">
        <v>428</v>
      </c>
      <c r="J335" s="57" t="s">
        <v>431</v>
      </c>
      <c r="K335" s="67"/>
      <c r="L335" s="67" t="s">
        <v>422</v>
      </c>
      <c r="M335" s="67"/>
      <c r="N335" s="67" t="s">
        <v>383</v>
      </c>
      <c r="O335" s="67" t="s">
        <v>423</v>
      </c>
      <c r="P335" s="57" t="s">
        <v>187</v>
      </c>
      <c r="Q335" s="59" t="n">
        <f aca="false">ROUND((Flights!$AE$14)*1440,0)/1440</f>
        <v>46306.65625</v>
      </c>
      <c r="R335" s="59" t="n">
        <f aca="false">Q335+(IF(AND(INDEX(TZ_DSTS,MATCH(P335,TZ_STN,0))&lt;&gt;"",Q335&gt;=INDEX(TZ_DSTS,MATCH(P335,TZ_STN,0)),Q335&lt;INDEX(TZ_DSTE,MATCH(P335,TZ_STN,0))),INDEX(TZ_DST,MATCH(P335,TZ_STN,0)),INDEX(TZ_STD,MATCH(P335,TZ_STN,0))))/24</f>
        <v>46306.9895833333</v>
      </c>
      <c r="S335" s="60"/>
      <c r="T335" s="60"/>
      <c r="U335" s="60"/>
      <c r="V335" s="60"/>
      <c r="W335" s="61"/>
      <c r="X335" s="60"/>
      <c r="Y335" s="60"/>
      <c r="Z335" s="60"/>
      <c r="AA335" s="60"/>
      <c r="AB335" s="60"/>
      <c r="AC335" s="60"/>
      <c r="AD335" s="66"/>
      <c r="AE335" s="60"/>
      <c r="AF335" s="61" t="str">
        <f aca="false">IF(AND(ISNUMBER(X335),ISNUMBER(Y335)),Y335-X335,"")</f>
        <v/>
      </c>
      <c r="AG335" s="62" t="str">
        <f aca="false">IF(ISNUMBER(AD335),AD335-(IF(AND(INDEX(TZ_DSTS,MATCH(P335,TZ_STN,0))&lt;&gt;"",(AD335-INDEX(TZ_STD,MATCH(P335,TZ_STN,0))/24)&gt;=INDEX(TZ_DSTS,MATCH(P335,TZ_STN,0)),(AD335-INDEX(TZ_STD,MATCH(P335,TZ_STN,0))/24)&lt;INDEX(TZ_DSTE,MATCH(P335,TZ_STN,0))),INDEX(TZ_DST,MATCH(P335,TZ_STN,0)),INDEX(TZ_STD,MATCH(P335,TZ_STN,0))))/24,"")</f>
        <v/>
      </c>
      <c r="AH335" s="65" t="str">
        <f aca="false">IFERROR(IF(N335="N/A – rule",IF(OR(TRIM(U335)="",TRIM(U335)="N/A",TRIM(U335)="Not started"),"N/A – RULE","INVALID – this check does not apply to this aircraft: clear the status (or correct the fleet on Flights)"),IF(TRIM(U335)="N/A",IF(AT335=0,"INVALID – N/A not permitted for this check",IF(AND(TRIM(AB335)&lt;&gt;"",TRIM(AB335)&lt;&gt;"Closed"),"INVALID – corrective action still open",IF(AND(NOT(OR(LEN(AZ335)&lt;15,ISNUMBER(MATCH(AZ335,L_Placeholder,0)))),BK335=0,CG335&gt;=8,NOT(OR(LEN(AU335)&lt;2,ISNUMBER(MATCH(AU335,L_Placeholder,0)))),BR335&gt;=3,NOT(OR(LEN(AX335)&lt;2,ISNUMBER(MATCH(AX335,L_Placeholder,0)))),BS335&gt;=3,TRIM(AE335)&lt;&gt;TRIM(T335),AX335&lt;&gt;AU335,CE335=0),"N/A – JUSTIFIED","INVALID – N/A needs a real, settled reason (not 'not applicable' / 'as above' / TBC), a named PIC and a different named verifier"))),IF(OR(TRIM(U335)="Pass",TRIM(U335)="Pass after CA"),IF(NOT(ISNUMBER(AD335)),"INVALID – completion time missing",IF(OR(OR(LEN(AU335)&lt;2,ISNUMBER(MATCH(AU335,L_Placeholder,0))),BR335&lt;3),"INVALID – PIC missing or not a named person (a role such as QA / CSM is not a name)",IF(OR(LEN(AV335)&lt;2,ISNUMBER(MATCH(AV335,L_Placeholder,0))),"INVALID – result / assessment missing",IF(OR(OR(LEN(AW335)&lt;3,ISNUMBER(MATCH(AW335,L_Placeholder,0))),SUMPRODUCT(--ISNUMBER(SEARCH(" "&amp;L_EvidencePhrase&amp;" ",BD335)))&gt;0,BI335=1),"INVALID – evidence missing, placeholder or not yet on file",IF(ISNA(MATCH(TRIM(S335),L_EvidenceType,0)),"INVALID – choose the evidence type from the list (column S)",IF(BL335=0,"INVALID – evidence ID must be the record's own ID only (e.g. SF-2210, IMG_2231, 1045521); a link / file name needs type 'Link / file path'",IF(OR(OR(LEN(AX335)&lt;2,ISNUMBER(MATCH(AX335,L_Placeholder,0))),BS335&lt;3),"INVALID – verifier missing or not a named person (a role such as QA / CSM is not a name)",IF(OR(AX335=AU335,CE335=1,AND(LEN(AU335)&gt;=4,ISNUMBER(SEARCH(AU335,AX335))),AND(LEN(AX335)&gt;=4,ISNUMBER(SEARCH(AX335,AU335)))),"INVALID – verifier must be a different, named person (not the PIC or a role)",IF(BH335=1,"INVALID – result not yet available (awaiting / TBC)",IF(BG335=1,"INVALID – result describes a problem: record Fail, then Pass after CA (or reword if it is not a problem)",IF(BV335=1,"INVALID – wording says not on board: an on-board confirmation needs the item loaded",IF(AND(AQ335=1,OR(OR(LEN(AY335)&lt;3,ISNUMBER(MATCH(AY335,L_Placeholder,0))),BJ335=1,BQ335=0)),"INVALID – batch ID missing, placeholder or not an ID (e.g. PASB-261008-BC-017)",IF(AND(AR335=1,OR(NOT(ISNUMBER(X335)),NOT(ISNUMBER(Y335)))),"INVALID – expected/actual qty missing",IF(AND(AR335=1,OR(X335&lt;=0,Y335&lt;0)),"INVALID – expected qty must be above 0 and actual not negative",IF(BB335&lt;&gt;"",BB335,IF(AND(AS335=1,Documents!$J$14&lt;&gt;"ON FILE"),"INVALID – GLD not on file (Documents sheet)",IF(AND(AS335=2,Documents!$O$14&lt;&gt;"ON FILE"),"INVALID – menu checklist not on file (Documents sheet)",IF(AND(AS335=3,NOT(ISNUMBER(Flights!$AX$14))),"INVALID – enter carrying flight KUL departure (Flights AX)",IF(AND(AS335=3,OR(Flights!$AZ$14&gt;Flights!$AA$14,Flights!$AX$14&lt;Flights!$AA$14-3)),"INVALID – carrying flight (Flights AX) cannot arrive before this leg's STD, or is over 3 days early",IF(AG335&gt;AsOfUTC,"INVALID – completion time is in the future",IF(AND(ISNUMBER(BY335),AG335&lt;BY335),IF(H335="Physical uplift","INVALID – before uplift window (cannot confirm loading)","INVALID – before valid window"),IF(AG335&gt;Flights!$AA$14,"INVALID – completed after departure (cannot establish readiness)",IF(AND(H335="Preparation",AG335&gt;=IF(ISNUMBER(Flights!$BA$14),MIN(Flights!$BA$14,Flights!$AA$14),Flights!$AA$14)),"INVALID – completed after loading / departure (cannot establish readiness)",IF(AND(H335="Physical uplift",AG335&gt;Q335),"INVALID – recorded after the loading flight departed",IF(AG335&gt;Q335,"COMPLETE – LATE","COMPLETE"))))))))))))))))))))))))),IF(TRIM(U335)="Fail","FAIL – DISCREPANCY",IF(AND(TRIM(U335)&lt;&gt;"",TRIM(U335)&lt;&gt;"Not started",TRIM(U335)&lt;&gt;"In progress"),"INVALID – unrecognised status (use the list)",IF(AsOfUTC&gt;Q335,"OVERDUE",IF(N335="Clarification required","OPEN – CLARIFICATION","OPEN"))))))),"INVALID – error value in an input cell")</f>
        <v>OPEN</v>
      </c>
      <c r="AI335" s="61" t="n">
        <f aca="false">IF(OR(AH335="N/A – RULE",AH335="N/A – JUSTIFIED"),0,1)</f>
        <v>1</v>
      </c>
      <c r="AJ335" s="61" t="n">
        <f aca="false">IF(LEFT(AH335,8)="COMPLETE",1,0)</f>
        <v>0</v>
      </c>
      <c r="AK335" s="61" t="n">
        <f aca="false">IF(AND(AI335=1,AJ335=0,AsOfUTC&gt;Q335),1,0)</f>
        <v>0</v>
      </c>
      <c r="AL335" s="61" t="n">
        <f aca="false">IFERROR(IF(AND(AI335=1,OR(TRIM(U335)="Fail",AND(TRIM(AB335)&lt;&gt;"",TRIM(AB335)&lt;&gt;"Closed"),AND(ISNUMBER(AF335),AF335&lt;&gt;0,TRIM(U335)&lt;&gt;"Pass after CA"))),1,0),1)</f>
        <v>0</v>
      </c>
      <c r="AM335" s="61" t="n">
        <f aca="false">IF(LEFT(AH335,7)="INVALID",1,0)</f>
        <v>0</v>
      </c>
      <c r="AN335" s="61" t="n">
        <f aca="false">IF(AND(N335="Clarification required",AI335=1,AJ335=0),1,0)</f>
        <v>0</v>
      </c>
      <c r="AO335" s="61" t="str">
        <f aca="false">IF(AK335=1,SUM(AK$5:AK335),"")</f>
        <v/>
      </c>
      <c r="AP335" s="61" t="str">
        <f aca="false">IF(AL335=1,SUM(AL$5:AL335),"")</f>
        <v/>
      </c>
      <c r="AQ335" s="61" t="n">
        <v>0</v>
      </c>
      <c r="AR335" s="61" t="n">
        <v>0</v>
      </c>
      <c r="AS335" s="61" t="n">
        <v>0</v>
      </c>
      <c r="AT335" s="61" t="n">
        <v>0</v>
      </c>
      <c r="AU335" s="61" t="str">
        <f aca="false">SUBSTITUTE(SUBSTITUTE(SUBSTITUTE(SUBSTITUTE(SUBSTITUTE(SUBSTITUTE(SUBSTITUTE(SUBSTITUTE(SUBSTITUTE(SUBSTITUTE(SUBSTITUTE(SUBSTITUTE(SUBSTITUTE(SUBSTITUTE(SUBSTITUTE(SUBSTITUTE(LOWER(T335&amp;""),CHAR(10),""),CHAR(13),""),CHAR(9),""),CHAR(160),"")," ",""),".",""),"-",""),"/",""),"?",""),"_",""),",",""),"[",""),"]",""),"(",""),")",""),"*","")</f>
        <v/>
      </c>
      <c r="AV335" s="61" t="str">
        <f aca="false">SUBSTITUTE(SUBSTITUTE(SUBSTITUTE(SUBSTITUTE(SUBSTITUTE(SUBSTITUTE(SUBSTITUTE(SUBSTITUTE(SUBSTITUTE(SUBSTITUTE(SUBSTITUTE(SUBSTITUTE(SUBSTITUTE(SUBSTITUTE(SUBSTITUTE(SUBSTITUTE(LOWER(V335&amp;""),CHAR(10),""),CHAR(13),""),CHAR(9),""),CHAR(160),"")," ",""),".",""),"-",""),"/",""),"?",""),"_",""),",",""),"[",""),"]",""),"(",""),")",""),"*","")</f>
        <v/>
      </c>
      <c r="AW335" s="61" t="str">
        <f aca="false">SUBSTITUTE(SUBSTITUTE(SUBSTITUTE(SUBSTITUTE(SUBSTITUTE(SUBSTITUTE(SUBSTITUTE(SUBSTITUTE(SUBSTITUTE(SUBSTITUTE(SUBSTITUTE(SUBSTITUTE(SUBSTITUTE(SUBSTITUTE(SUBSTITUTE(SUBSTITUTE(LOWER(Z335&amp;""),CHAR(10),""),CHAR(13),""),CHAR(9),""),CHAR(160),"")," ",""),".",""),"-",""),"/",""),"?",""),"_",""),",",""),"[",""),"]",""),"(",""),")",""),"*","")</f>
        <v/>
      </c>
      <c r="AX335" s="61" t="str">
        <f aca="false">SUBSTITUTE(SUBSTITUTE(SUBSTITUTE(SUBSTITUTE(SUBSTITUTE(SUBSTITUTE(SUBSTITUTE(SUBSTITUTE(SUBSTITUTE(SUBSTITUTE(SUBSTITUTE(SUBSTITUTE(SUBSTITUTE(SUBSTITUTE(SUBSTITUTE(SUBSTITUTE(LOWER(AE335&amp;""),CHAR(10),""),CHAR(13),""),CHAR(9),""),CHAR(160),"")," ",""),".",""),"-",""),"/",""),"?",""),"_",""),",",""),"[",""),"]",""),"(",""),")",""),"*","")</f>
        <v/>
      </c>
      <c r="AY335" s="61" t="str">
        <f aca="false">SUBSTITUTE(SUBSTITUTE(SUBSTITUTE(SUBSTITUTE(SUBSTITUTE(SUBSTITUTE(SUBSTITUTE(SUBSTITUTE(SUBSTITUTE(SUBSTITUTE(SUBSTITUTE(SUBSTITUTE(SUBSTITUTE(SUBSTITUTE(SUBSTITUTE(SUBSTITUTE(LOWER(W335&amp;""),CHAR(10),""),CHAR(13),""),CHAR(9),""),CHAR(160),"")," ",""),".",""),"-",""),"/",""),"?",""),"_",""),",",""),"[",""),"]",""),"(",""),")",""),"*","")</f>
        <v/>
      </c>
      <c r="AZ335" s="61" t="str">
        <f aca="false">SUBSTITUTE(SUBSTITUTE(SUBSTITUTE(SUBSTITUTE(SUBSTITUTE(SUBSTITUTE(SUBSTITUTE(SUBSTITUTE(SUBSTITUTE(SUBSTITUTE(SUBSTITUTE(SUBSTITUTE(SUBSTITUTE(SUBSTITUTE(SUBSTITUTE(SUBSTITUTE(LOWER(AC335&amp;""),CHAR(10),""),CHAR(13),""),CHAR(9),""),CHAR(160),"")," ",""),".",""),"-",""),"/",""),"?",""),"_",""),",",""),"[",""),"]",""),"(",""),")",""),"*","")</f>
        <v/>
      </c>
      <c r="BA335" s="61" t="str">
        <f aca="false">SUBSTITUTE(SUBSTITUTE(SUBSTITUTE(SUBSTITUTE(SUBSTITUTE(SUBSTITUTE(SUBSTITUTE(SUBSTITUTE(SUBSTITUTE(SUBSTITUTE(SUBSTITUTE(SUBSTITUTE(SUBSTITUTE(SUBSTITUTE(SUBSTITUTE(SUBSTITUTE(LOWER(AA335&amp;""),CHAR(10),""),CHAR(13),""),CHAR(9),""),CHAR(160),"")," ",""),".",""),"-",""),"/",""),"?",""),"_",""),",",""),"[",""),"]",""),"(",""),")",""),"*","")</f>
        <v/>
      </c>
      <c r="BB335" s="61" t="str">
        <f aca="false">IF(AND(TRIM(U335)="Pass",ISNUMBER(AF335)),IF(AF335&lt;&gt;0,"INVALID – qty variance: use Fail or Pass after CA",""),"")&amp;IF(AND(TRIM(U335)="Pass after CA",ISNUMBER(AF335)),IF(AF335&lt;&gt;0,"INVALID – after the corrective action the actual qty must equal expected (update Actual)",""),"")&amp;IF(AND(TRIM(U335)="Pass",TRIM(AB335)&lt;&gt;"",TRIM(AB335)&lt;&gt;"Closed"),"INVALID – corrective action not closed: use Fail, then Pass after CA","")&amp;IF(AND(LEN(BA335)&gt;=2,ISNA(MATCH(LEFT(BA335,255),L_Placeholder,0)),TRIM(AB335)=""),"INVALID – CA status missing for the recorded corrective action","")&amp;IF(AND(TRIM(U335)="Pass after CA",OR(OR(LEN(BA335)&lt;5,ISNUMBER(MATCH(BA335,L_Placeholder,0))),TRIM(AB335)&lt;&gt;"Closed")),"INVALID – corrective action not recorded/closed","")</f>
        <v/>
      </c>
      <c r="BC335" s="61" t="str">
        <f aca="false">" "&amp;TRIM(SUBSTITUTE(SUBSTITUTE(SUBSTITUTE(SUBSTITUTE(SUBSTITUTE(SUBSTITUTE(SUBSTITUTE(SUBSTITUTE(SUBSTITUTE(SUBSTITUTE(SUBSTITUTE(SUBSTITUTE(SUBSTITUTE(SUBSTITUTE(SUBSTITUTE(SUBSTITUTE(SUBSTITUTE(SUBSTITUTE(SUBSTITUTE(SUBSTITUTE(SUBSTITUTE(SUBSTITUTE(SUBSTITUTE(SUBSTITUTE(LOWER(V335&amp;""),CHAR(10)," "),CHAR(13)," "),CHAR(9)," "),CHAR(160)," "),"."," "),","," "),"-"," "),"/"," "),"("," "),")"," "),":"," "),";"," "),"_"," "),"–"," "),"?"," "),"!"," "),"*"," "),"["," "),"]"," "),"'"," "),"#"," "),"+"," "),"&amp;"," "),"\"," "))&amp;" "</f>
        <v>  </v>
      </c>
      <c r="BD335" s="61" t="str">
        <f aca="false">" "&amp;TRIM(SUBSTITUTE(SUBSTITUTE(SUBSTITUTE(SUBSTITUTE(SUBSTITUTE(SUBSTITUTE(SUBSTITUTE(SUBSTITUTE(SUBSTITUTE(SUBSTITUTE(SUBSTITUTE(SUBSTITUTE(SUBSTITUTE(SUBSTITUTE(SUBSTITUTE(SUBSTITUTE(SUBSTITUTE(SUBSTITUTE(SUBSTITUTE(SUBSTITUTE(SUBSTITUTE(SUBSTITUTE(SUBSTITUTE(SUBSTITUTE(LOWER(Z335&amp;""),CHAR(10)," "),CHAR(13)," "),CHAR(9)," "),CHAR(160)," "),"."," "),","," "),"-"," "),"/"," "),"("," "),")"," "),":"," "),";"," "),"_"," "),"–"," "),"?"," "),"!"," "),"*"," "),"["," "),"]"," "),"'"," "),"#"," "),"+"," "),"&amp;"," "),"\"," "))&amp;" "</f>
        <v>  </v>
      </c>
      <c r="BE335" s="61" t="str">
        <f aca="false">" "&amp;TRIM(SUBSTITUTE(SUBSTITUTE(SUBSTITUTE(SUBSTITUTE(SUBSTITUTE(SUBSTITUTE(SUBSTITUTE(SUBSTITUTE(SUBSTITUTE(SUBSTITUTE(SUBSTITUTE(SUBSTITUTE(SUBSTITUTE(SUBSTITUTE(SUBSTITUTE(SUBSTITUTE(SUBSTITUTE(SUBSTITUTE(SUBSTITUTE(SUBSTITUTE(SUBSTITUTE(SUBSTITUTE(SUBSTITUTE(SUBSTITUTE(LOWER(W335&amp;""),CHAR(10)," "),CHAR(13)," "),CHAR(9)," "),CHAR(160)," "),"."," "),","," "),"-"," "),"/"," "),"("," "),")"," "),":"," "),";"," "),"_"," "),"–"," "),"?"," "),"!"," "),"*"," "),"["," "),"]"," "),"'"," "),"#"," "),"+"," "),"&amp;"," "),"\"," "))&amp;" "</f>
        <v>  </v>
      </c>
      <c r="BF335" s="61" t="str">
        <f aca="false">" "&amp;TRIM(SUBSTITUTE(SUBSTITUTE(SUBSTITUTE(SUBSTITUTE(SUBSTITUTE(SUBSTITUTE(SUBSTITUTE(SUBSTITUTE(SUBSTITUTE(SUBSTITUTE(SUBSTITUTE(SUBSTITUTE(SUBSTITUTE(SUBSTITUTE(SUBSTITUTE(SUBSTITUTE(SUBSTITUTE(SUBSTITUTE(SUBSTITUTE(SUBSTITUTE(SUBSTITUTE(SUBSTITUTE(SUBSTITUTE(SUBSTITUTE(LOWER(AC335&amp;""),CHAR(10)," "),CHAR(13)," "),CHAR(9)," "),CHAR(160)," "),"."," "),","," "),"-"," "),"/"," "),"("," "),")"," "),":"," "),";"," "),"_"," "),"–"," "),"?"," "),"!"," "),"*"," "),"["," "),"]"," "),"'"," "),"#"," "),"+"," "),"&amp;"," "),"\"," "))&amp;" "</f>
        <v>  </v>
      </c>
      <c r="BG335" s="61" t="n">
        <f aca="false">IFERROR(IF(AND(TRIM(U335)="Pass",SUMPRODUCT((LEN(BC335)-LEN(SUBSTITUTE(BC335," "&amp;L_ResultBad&amp;" "," ")))/(LEN(L_ResultBad)+1))&gt;SUMPRODUCT((LEN(BC335)-LEN(SUBSTITUTE(BC335," "&amp;L_NegPhrase&amp;" "," ")))/(LEN(L_NegPhrase)+1))),1,0),0)</f>
        <v>0</v>
      </c>
      <c r="BH335" s="61" t="n">
        <f aca="false">IFERROR(IF(SUMPRODUCT((LEN(BC335)-LEN(SUBSTITUTE(BC335," "&amp;L_Pending&amp;" "," ")))/(LEN(L_Pending)+1))&gt;SUMPRODUCT((LEN(BC335)-LEN(SUBSTITUTE(BC335," "&amp;L_PendNeg&amp;" "," ")))/(LEN(L_PendNeg)+1))+SUMPRODUCT((LEN(BC335)-LEN(SUBSTITUTE(BC335," "&amp;L_PendPrep&amp;" "," ")))/(LEN(L_PendPrep)+1)),1,0),1)</f>
        <v>0</v>
      </c>
      <c r="BI335" s="61" t="n">
        <f aca="false">IFERROR(IF(SUMPRODUCT((LEN(BD335)-LEN(SUBSTITUTE(BD335," "&amp;L_PendStrict&amp;" "," ")))/(LEN(L_PendStrict)+1))&gt;SUMPRODUCT((LEN(BD335)-LEN(SUBSTITUTE(BD335," "&amp;L_PendNeg&amp;" "," ")))/(LEN(L_PendNeg)+1)),1,0),1)</f>
        <v>0</v>
      </c>
      <c r="BJ335" s="61" t="n">
        <f aca="false">IFERROR(IF(SUMPRODUCT((LEN(BE335)-LEN(SUBSTITUTE(BE335," "&amp;L_Pending&amp;" "," ")))/(LEN(L_Pending)+1))&gt;SUMPRODUCT((LEN(BE335)-LEN(SUBSTITUTE(BE335," "&amp;L_PendNeg&amp;" "," ")))/(LEN(L_PendNeg)+1))+SUMPRODUCT((LEN(BE335)-LEN(SUBSTITUTE(BE335," "&amp;L_PendPrep&amp;" "," ")))/(LEN(L_PendPrep)+1)),1,0),1)</f>
        <v>0</v>
      </c>
      <c r="BK335" s="61" t="n">
        <f aca="false">IFERROR(IF(SUMPRODUCT((LEN(BF335)-LEN(SUBSTITUTE(BF335," "&amp;L_PendStrict&amp;" "," ")))/(LEN(L_PendStrict)+1))&gt;SUMPRODUCT((LEN(BF335)-LEN(SUBSTITUTE(BF335," "&amp;L_PendNeg&amp;" "," ")))/(LEN(L_PendNeg)+1)),1,0),1)</f>
        <v>0</v>
      </c>
      <c r="BL335" s="61" t="n">
        <f aca="false">IF(ISNA(MATCH(TRIM(S335),L_EvidenceType,0)),0,BZ335)</f>
        <v>0</v>
      </c>
      <c r="BM335" s="61" t="str">
        <f aca="false">SUBSTITUTE(SUBSTITUTE(SUBSTITUTE(SUBSTITUTE(SUBSTITUTE(SUBSTITUTE(SUBSTITUTE(SUBSTITUTE(SUBSTITUTE(LOWER(Z335&amp;""),"1","0"),"2","0"),"3","0"),"4","0"),"5","0"),"6","0"),"7","0"),"8","0"),"9","0")</f>
        <v/>
      </c>
      <c r="BN335" s="61" t="str">
        <f aca="false">SUBSTITUTE(SUBSTITUTE(SUBSTITUTE(SUBSTITUTE(SUBSTITUTE(SUBSTITUTE(SUBSTITUTE(SUBSTITUTE(SUBSTITUTE(SUBSTITUTE(SUBSTITUTE(SUBSTITUTE(SUBSTITUTE(SUBSTITUTE(SUBSTITUTE(SUBSTITUTE(SUBSTITUTE(SUBSTITUTE(SUBSTITUTE(SUBSTITUTE(SUBSTITUTE(SUBSTITUTE(SUBSTITUTE(SUBSTITUTE(SUBSTITUTE(BM335,"b","a"),"c","a"),"d","a"),"e","a"),"f","a"),"g","a"),"h","a"),"i","a"),"j","a"),"k","a"),"l","a"),"m","a"),"n","a"),"o","a"),"p","a"),"q","a"),"r","a"),"s","a"),"t","a"),"u","a"),"v","a"),"w","a"),"x","a"),"y","a"),"z","a")</f>
        <v/>
      </c>
      <c r="BO335" s="61" t="str">
        <f aca="false">SUBSTITUTE(SUBSTITUTE(SUBSTITUTE(SUBSTITUTE(SUBSTITUTE(SUBSTITUTE(SUBSTITUTE(SUBSTITUTE(SUBSTITUTE(LOWER(W335&amp;""),"1","0"),"2","0"),"3","0"),"4","0"),"5","0"),"6","0"),"7","0"),"8","0"),"9","0")</f>
        <v/>
      </c>
      <c r="BP335" s="61" t="str">
        <f aca="false">SUBSTITUTE(SUBSTITUTE(SUBSTITUTE(SUBSTITUTE(SUBSTITUTE(SUBSTITUTE(SUBSTITUTE(SUBSTITUTE(SUBSTITUTE(SUBSTITUTE(SUBSTITUTE(SUBSTITUTE(SUBSTITUTE(SUBSTITUTE(SUBSTITUTE(SUBSTITUTE(SUBSTITUTE(SUBSTITUTE(SUBSTITUTE(SUBSTITUTE(SUBSTITUTE(SUBSTITUTE(SUBSTITUTE(SUBSTITUTE(SUBSTITUTE(BO335,"b","a"),"c","a"),"d","a"),"e","a"),"f","a"),"g","a"),"h","a"),"i","a"),"j","a"),"k","a"),"l","a"),"m","a"),"n","a"),"o","a"),"p","a"),"q","a"),"r","a"),"s","a"),"t","a"),"u","a"),"v","a"),"w","a"),"x","a"),"y","a"),"z","a")</f>
        <v/>
      </c>
      <c r="BQ335" s="61" t="n">
        <f aca="false">IFERROR(IF(AND(ISERROR(SEARCH(" mh"," "&amp;LOWER(W335))),ISNA(MATCH(LEFT(TRIM(BP335),255),{"0000a","000a","00a","0000aa","000aa","00aa","0aa","0000aaa","000aaa","00a00","0a00","0000-0000","00:00","a00","a0","00.00.0000","00/00/0000","00-00-0000","0000-00-00","0000/00/00","0000.00.00","00.00.00","00/00/00","00-00-00","0.00.0000","0/00/0000","0-00-0000"},0)),ISNA(MATCH(LEFT(TRIM(CA335),255),{"0000a","000a","00a","0000aa","000aa","00aa","0aa","0000aaa","000aaa","00a00","0a00","0000-0000","00:00","a00","a0","00.00.0000","00/00/0000","00-00-0000","0000-00-00","0000/00/00","0000.00.00","00.00.00","00/00/00","00-00-00","0.00.0000","0/00/0000","0-00-0000"},0)),LEN(CB335)&gt;=3,NOT(OR(SUBSTITUTE(CB335,"0","")="",AND(LEN(CB335)&gt;=4,CB335=REPT(LEFT(CB335),LEN(CB335))),ISNUMBER(MATCH(CB335,{"123","1234","12345","123456","1234567","12345678","0123","01234","012345","98765","987654","54321"},0)),AND(LEN(CB335)=8,LEFT(CB335,3)="202"))),OR(AND((LEN(CA335)-LEN(SUBSTITUTE(CA335,"a","")))&gt;=1,SUMPRODUCT(--ISNUMBER(SEARCH({"a0","a-0","a_0","a/0","a.0","a#0","0a","0-a","0_a","0/a"},BP335)))&gt;0),ISNUMBER(SEARCH("000000",BP335)))),1,0),0)</f>
        <v>0</v>
      </c>
      <c r="BR335" s="61" t="n">
        <f aca="false">IFERROR(LEN(SUBSTITUTE(CC335," ",""))-SUMPRODUCT((LEN(CC335)-LEN(SUBSTITUTE(CC335," "&amp;L_Role&amp;" "," ")))/(LEN(L_Role)+1)*LEN(L_Role)),0)</f>
        <v>0</v>
      </c>
      <c r="BS335" s="61" t="n">
        <f aca="false">IFERROR(LEN(SUBSTITUTE(CD335," ",""))-SUMPRODUCT((LEN(CD335)-LEN(SUBSTITUTE(CD335," "&amp;L_Role&amp;" "," ")))/(LEN(L_Role)+1)*LEN(L_Role)),0)</f>
        <v>0</v>
      </c>
      <c r="BT3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335,"revision",""),"version",""),"jan",""),"feb",""),"mar",""),"apr",""),"may",""),"jun",""),"jul",""),"aug",""),"sep",""),"oct",""),"nov",""),"dec",""),"utc",""),"gmt",""),"myt",""),"bst",""),"rev",""),"ver",""),"b","a"),"c","a"),"d","a"),"e","a"),"f","a"),"g","a"),"h","a"),"i","a"),"j","a"),"k","a"),"l","a"),"m","a"),"n","a"),"o","a"),"p","a"),"q","a"),"r","a"),"s","a"),"t","a"),"u","a"),"v","a"),"w","a"),"x","a"),"y","a"),"z","a")</f>
        <v/>
      </c>
      <c r="BU335" s="61" t="str">
        <f aca="false">SUBSTITUTE(SUBSTITUTE(SUBSTITUTE(SUBSTITUTE(SUBSTITUTE(SUBSTITUTE(SUBSTITUTE(SUBSTITUTE(SUBSTITUTE(SUBSTITUTE(LEFT(BM335,FIND("0",BM335&amp;"0")-1),"-",""),"_",""),"/",""),".",""),"#",""),"\\",""),":","")," ",""),"(",""),")","")</f>
        <v/>
      </c>
      <c r="BV335" s="61" t="n">
        <f aca="false">0</f>
        <v>0</v>
      </c>
      <c r="BW3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335&amp;""),"a",""),"b",""),"c",""),"d",""),"e",""),"f",""),"g",""),"h",""),"i",""),"j",""),"k",""),"l",""),"m",""),"n",""),"o",""),"p",""),"q",""),"r",""),"s",""),"t",""),"u",""),"v",""),"w",""),"x",""),"y",""),"z",""),"-",""),"_",""),"/",""),".",""),"#",""),"\\",""),":","")," ",""),"(",""),")","")</f>
        <v/>
      </c>
      <c r="BX335" s="61" t="str">
        <f aca="false">SUBSTITUTE(SUBSTITUTE(SUBSTITUTE(SUBSTITUTE(SUBSTITUTE(SUBSTITUTE(SUBSTITUTE(SUBSTITUTE(SUBSTITUTE(SUBSTITUTE(SUBSTITUTE(BM335,"0",""),"-",""),"_",""),"/",""),".",""),"#",""),"\\",""),":","")," ",""),"(",""),")","")</f>
        <v/>
      </c>
      <c r="BY335" s="62" t="n">
        <f aca="false">Q335-T12EarlyH/24</f>
        <v>46306.15625</v>
      </c>
      <c r="BZ335" s="61" t="n">
        <f aca="false">IFERROR(IF(IF(TRIM(S335)="Link / file path",AND(LEN(TRIM(Z335))&gt;=5,SUMPRODUCT(--ISNUMBER(SEARCH({"http","www.","\\",":\",".pdf",".jpg",".jpeg",".png",".heic",".xls",".doc",".msg",".eml",".ppt",".txt",".zip"},Z335)))&gt;0),AND(ISERROR(FIND(" ",TRIM(Z335))),NOT(OR(SUMPRODUCT(--ISNUMBER(FIND({",",";","&amp;","+"},Z335)))&gt;0,SUMPRODUCT(--ISNUMBER(SEARCH({"0/aa","0\\aa"},BN335)))&gt;0)),NOT(SUMPRODUCT(--ISNUMBER(SEARCH({"http","www.","\\",":\",".pdf",".jpg",".jpeg",".png",".heic",".xls",".doc",".msg",".eml",".ppt",".txt",".zip"},Z335)))&gt;0),NOT(LOWER(TRIM(Z335))=LOWER(Flights!$F$14)),ISNA(MATCH(BU335,{"mh","rev","revision","ver","version","v","r","a","b","seat","tray","row","gate","bay","stand","page","pg","item","line","no","cart","galley","flight","flt","table","box","bag","oven","etd","eta","std","sta","atd","ata","qty","pax","x","time","tel","ph","mob","day","wk","week","utc","gmt","myt","lt"},0)),NOT(OR(ISNUMBER(MATCH(LEFT(BN335,255),{"0000a","000a","00a","0000aa","000aa","00aa","0aa","0000aaa","000aaa","00a00","0a00","0000-0000","00:00","a00","a0","00.00.0000","00/00/0000","00-00-0000","0000-00-00","0000/00/00","0000.00.00","00.00.00","00/00/00","00-00-00","0.00.0000","0/00/0000","0-00-0000"},0)),ISNUMBER(MATCH(LEFT(BT335,255),{"0000a","000a","00a","0000aa","000aa","00aa","0aa","0000aaa","000aaa","00a00","0a00","0000-0000","00:00","a00","a0","00.00.0000","00/00/0000","00-00-0000","0000-00-00","0000/00/00","0000.00.00","00.00.00","00/00/00","00-00-00","0.00.0000","0/00/0000","0-00-0000"},0)))),NOT(OR(AND(BW335&lt;&gt;"",SUBSTITUTE(BW335,"0","")=""),AND(LEN(BW335)&gt;=4,BW335=REPT(LEFT(BW335),LEN(BW335))),ISNUMBER(MATCH(BW335,{"123","1234","12345","123456","1234567","12345678","0123","01234","012345","98765","987654","54321"},0)),ISNUMBER(MATCH(BX335,{"x","xx","xxx","xxxx","xxxxx","abc","abcd","nil","na","nan","test","tbc","tba","tbd","dummy","sample","example","eg","zz","zzz","none","null","xyz","qwe","asd","id","ref"},0)),AND(LEN(BW335)=8,BX335="",OR(LEFT(BW335,3)="202",ISNUMBER(MATCH(RIGHT(BW335,4),{"2025","2026","2027"},0)))))),OR(AND((LEN(BT335)-LEN(SUBSTITUTE(BT335,"a","")))&gt;=1,(LEN(BN335)-LEN(SUBSTITUTE(BN335,"0","")))&gt;=2,SUMPRODUCT(--ISNUMBER(SEARCH({"a0","a-0","a_0","a/0","a.0","a#0","0a","0-a","0_a","0/a"},BN335)))&gt;0),AND((LEN(BN335)-LEN(SUBSTITUTE(BN335,"a","")))=0,(LEN(BN335)-LEN(SUBSTITUTE(BN335,"0","")))&gt;=5)))),1,0),0)</f>
        <v>0</v>
      </c>
      <c r="CA3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335,"revision",""),"version",""),"jan",""),"feb",""),"mar",""),"apr",""),"may",""),"jun",""),"jul",""),"aug",""),"sep",""),"oct",""),"nov",""),"dec",""),"utc",""),"gmt",""),"myt",""),"bst",""),"rev",""),"ver",""),"b","a"),"c","a"),"d","a"),"e","a"),"f","a"),"g","a"),"h","a"),"i","a"),"j","a"),"k","a"),"l","a"),"m","a"),"n","a"),"o","a"),"p","a"),"q","a"),"r","a"),"s","a"),"t","a"),"u","a"),"v","a"),"w","a"),"x","a"),"y","a"),"z","a")</f>
        <v/>
      </c>
      <c r="CB3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335&amp;""),"a",""),"b",""),"c",""),"d",""),"e",""),"f",""),"g",""),"h",""),"i",""),"j",""),"k",""),"l",""),"m",""),"n",""),"o",""),"p",""),"q",""),"r",""),"s",""),"t",""),"u",""),"v",""),"w",""),"x",""),"y",""),"z",""),"-",""),"_",""),"/",""),".",""),"#",""),"\\",""),":","")," ",""),"(",""),")","")</f>
        <v/>
      </c>
      <c r="CC335" s="0" t="str">
        <f aca="false">" "&amp;TRIM(SUBSTITUTE(SUBSTITUTE(SUBSTITUTE(SUBSTITUTE(SUBSTITUTE(SUBSTITUTE(SUBSTITUTE(SUBSTITUTE(SUBSTITUTE(SUBSTITUTE(SUBSTITUTE(SUBSTITUTE(SUBSTITUTE(SUBSTITUTE(SUBSTITUTE(SUBSTITUTE(SUBSTITUTE(SUBSTITUTE(SUBSTITUTE(SUBSTITUTE(SUBSTITUTE(SUBSTITUTE(SUBSTITUTE(SUBSTITUTE(LOWER(T335&amp;""),CHAR(10)," "),CHAR(13)," "),CHAR(9)," "),CHAR(160)," "),"."," "),","," "),"-"," "),"/"," "),"("," "),")"," "),":"," "),";"," "),"_"," "),"–"," "),"?"," "),"!"," "),"*"," "),"["," "),"]"," "),"'"," "),"#"," "),"+"," "),"&amp;"," "),"\"," "))&amp;" "</f>
        <v>  </v>
      </c>
      <c r="CD335" s="0" t="str">
        <f aca="false">" "&amp;TRIM(SUBSTITUTE(SUBSTITUTE(SUBSTITUTE(SUBSTITUTE(SUBSTITUTE(SUBSTITUTE(SUBSTITUTE(SUBSTITUTE(SUBSTITUTE(SUBSTITUTE(SUBSTITUTE(SUBSTITUTE(SUBSTITUTE(SUBSTITUTE(SUBSTITUTE(SUBSTITUTE(SUBSTITUTE(SUBSTITUTE(SUBSTITUTE(SUBSTITUTE(SUBSTITUTE(SUBSTITUTE(SUBSTITUTE(SUBSTITUTE(LOWER(AE335&amp;""),CHAR(10)," "),CHAR(13)," "),CHAR(9)," "),CHAR(160)," "),"."," "),","," "),"-"," "),"/"," "),"("," "),")"," "),":"," "),";"," "),"_"," "),"–"," "),"?"," "),"!"," "),"*"," "),"["," "),"]"," "),"'"," "),"#"," "),"+"," "),"&amp;"," "),"\"," "))&amp;" "</f>
        <v>  </v>
      </c>
      <c r="CE335" s="68" t="n">
        <f aca="false">IFERROR(IF(AND(LEN(AU335)&gt;0,LEN(AU335)=LEN(AX335),OR(TRIM(MID(SUBSTITUTE(TRIM(CC335)," ",REPT(" ",60)),1,60))="",ISNUMBER(SEARCH(" "&amp;TRIM(MID(SUBSTITUTE(TRIM(CC335)," ",REPT(" ",60)),1,60))&amp;" ",CD335))),OR(TRIM(MID(SUBSTITUTE(TRIM(CC335)," ",REPT(" ",60)),61,60))="",ISNUMBER(SEARCH(" "&amp;TRIM(MID(SUBSTITUTE(TRIM(CC335)," ",REPT(" ",60)),61,60))&amp;" ",CD335))),OR(TRIM(MID(SUBSTITUTE(TRIM(CC335)," ",REPT(" ",60)),121,60))="",ISNUMBER(SEARCH(" "&amp;TRIM(MID(SUBSTITUTE(TRIM(CC335)," ",REPT(" ",60)),121,60))&amp;" ",CD335)))),1,0),0)</f>
        <v>0</v>
      </c>
      <c r="CG335" s="68" t="n">
        <f aca="false">IFERROR(LEN(SUBSTITUTE(BF335," ",""))-SUMPRODUCT((LEN(BF335)-LEN(SUBSTITUTE(BF335," "&amp;L_NAFiller&amp;" "," ")))/(LEN(L_NAFiller)+1)*LEN(L_NAFiller)),0)</f>
        <v>0</v>
      </c>
    </row>
    <row r="336" customFormat="false" ht="39.75" hidden="false" customHeight="true" outlineLevel="0" collapsed="false">
      <c r="A336" s="57" t="s">
        <v>929</v>
      </c>
      <c r="B336" s="57" t="s">
        <v>251</v>
      </c>
      <c r="C336" s="57" t="str">
        <f aca="false">Flights!$F$14</f>
        <v>MH1140</v>
      </c>
      <c r="D336" s="58" t="n">
        <f aca="false">Flights!$D$14</f>
        <v>46307</v>
      </c>
      <c r="E336" s="57" t="str">
        <f aca="false">Flights!$G$14&amp;"-"&amp;Flights!$H$14</f>
        <v>KUL-PEN</v>
      </c>
      <c r="F336" s="57" t="str">
        <f aca="false">Flights!$K$14</f>
        <v>BC</v>
      </c>
      <c r="G336" s="57" t="s">
        <v>420</v>
      </c>
      <c r="H336" s="57" t="s">
        <v>378</v>
      </c>
      <c r="I336" s="57" t="s">
        <v>428</v>
      </c>
      <c r="J336" s="57" t="s">
        <v>433</v>
      </c>
      <c r="K336" s="67"/>
      <c r="L336" s="67" t="s">
        <v>422</v>
      </c>
      <c r="M336" s="67"/>
      <c r="N336" s="67" t="s">
        <v>383</v>
      </c>
      <c r="O336" s="67" t="s">
        <v>423</v>
      </c>
      <c r="P336" s="57" t="s">
        <v>187</v>
      </c>
      <c r="Q336" s="59" t="n">
        <f aca="false">ROUND((Flights!$AE$14)*1440,0)/1440</f>
        <v>46306.65625</v>
      </c>
      <c r="R336" s="59" t="n">
        <f aca="false">Q336+(IF(AND(INDEX(TZ_DSTS,MATCH(P336,TZ_STN,0))&lt;&gt;"",Q336&gt;=INDEX(TZ_DSTS,MATCH(P336,TZ_STN,0)),Q336&lt;INDEX(TZ_DSTE,MATCH(P336,TZ_STN,0))),INDEX(TZ_DST,MATCH(P336,TZ_STN,0)),INDEX(TZ_STD,MATCH(P336,TZ_STN,0))))/24</f>
        <v>46306.9895833333</v>
      </c>
      <c r="S336" s="60"/>
      <c r="T336" s="60"/>
      <c r="U336" s="60"/>
      <c r="V336" s="60"/>
      <c r="W336" s="61"/>
      <c r="X336" s="60"/>
      <c r="Y336" s="60"/>
      <c r="Z336" s="60"/>
      <c r="AA336" s="60"/>
      <c r="AB336" s="60"/>
      <c r="AC336" s="60"/>
      <c r="AD336" s="66"/>
      <c r="AE336" s="60"/>
      <c r="AF336" s="61" t="str">
        <f aca="false">IF(AND(ISNUMBER(X336),ISNUMBER(Y336)),Y336-X336,"")</f>
        <v/>
      </c>
      <c r="AG336" s="62" t="str">
        <f aca="false">IF(ISNUMBER(AD336),AD336-(IF(AND(INDEX(TZ_DSTS,MATCH(P336,TZ_STN,0))&lt;&gt;"",(AD336-INDEX(TZ_STD,MATCH(P336,TZ_STN,0))/24)&gt;=INDEX(TZ_DSTS,MATCH(P336,TZ_STN,0)),(AD336-INDEX(TZ_STD,MATCH(P336,TZ_STN,0))/24)&lt;INDEX(TZ_DSTE,MATCH(P336,TZ_STN,0))),INDEX(TZ_DST,MATCH(P336,TZ_STN,0)),INDEX(TZ_STD,MATCH(P336,TZ_STN,0))))/24,"")</f>
        <v/>
      </c>
      <c r="AH336" s="65" t="str">
        <f aca="false">IFERROR(IF(N336="N/A – rule",IF(OR(TRIM(U336)="",TRIM(U336)="N/A",TRIM(U336)="Not started"),"N/A – RULE","INVALID – this check does not apply to this aircraft: clear the status (or correct the fleet on Flights)"),IF(TRIM(U336)="N/A",IF(AT336=0,"INVALID – N/A not permitted for this check",IF(AND(TRIM(AB336)&lt;&gt;"",TRIM(AB336)&lt;&gt;"Closed"),"INVALID – corrective action still open",IF(AND(NOT(OR(LEN(AZ336)&lt;15,ISNUMBER(MATCH(AZ336,L_Placeholder,0)))),BK336=0,CG336&gt;=8,NOT(OR(LEN(AU336)&lt;2,ISNUMBER(MATCH(AU336,L_Placeholder,0)))),BR336&gt;=3,NOT(OR(LEN(AX336)&lt;2,ISNUMBER(MATCH(AX336,L_Placeholder,0)))),BS336&gt;=3,TRIM(AE336)&lt;&gt;TRIM(T336),AX336&lt;&gt;AU336,CE336=0),"N/A – JUSTIFIED","INVALID – N/A needs a real, settled reason (not 'not applicable' / 'as above' / TBC), a named PIC and a different named verifier"))),IF(OR(TRIM(U336)="Pass",TRIM(U336)="Pass after CA"),IF(NOT(ISNUMBER(AD336)),"INVALID – completion time missing",IF(OR(OR(LEN(AU336)&lt;2,ISNUMBER(MATCH(AU336,L_Placeholder,0))),BR336&lt;3),"INVALID – PIC missing or not a named person (a role such as QA / CSM is not a name)",IF(OR(LEN(AV336)&lt;2,ISNUMBER(MATCH(AV336,L_Placeholder,0))),"INVALID – result / assessment missing",IF(OR(OR(LEN(AW336)&lt;3,ISNUMBER(MATCH(AW336,L_Placeholder,0))),SUMPRODUCT(--ISNUMBER(SEARCH(" "&amp;L_EvidencePhrase&amp;" ",BD336)))&gt;0,BI336=1),"INVALID – evidence missing, placeholder or not yet on file",IF(ISNA(MATCH(TRIM(S336),L_EvidenceType,0)),"INVALID – choose the evidence type from the list (column S)",IF(BL336=0,"INVALID – evidence ID must be the record's own ID only (e.g. SF-2210, IMG_2231, 1045521); a link / file name needs type 'Link / file path'",IF(OR(OR(LEN(AX336)&lt;2,ISNUMBER(MATCH(AX336,L_Placeholder,0))),BS336&lt;3),"INVALID – verifier missing or not a named person (a role such as QA / CSM is not a name)",IF(OR(AX336=AU336,CE336=1,AND(LEN(AU336)&gt;=4,ISNUMBER(SEARCH(AU336,AX336))),AND(LEN(AX336)&gt;=4,ISNUMBER(SEARCH(AX336,AU336)))),"INVALID – verifier must be a different, named person (not the PIC or a role)",IF(BH336=1,"INVALID – result not yet available (awaiting / TBC)",IF(BG336=1,"INVALID – result describes a problem: record Fail, then Pass after CA (or reword if it is not a problem)",IF(BV336=1,"INVALID – wording says not on board: an on-board confirmation needs the item loaded",IF(AND(AQ336=1,OR(OR(LEN(AY336)&lt;3,ISNUMBER(MATCH(AY336,L_Placeholder,0))),BJ336=1,BQ336=0)),"INVALID – batch ID missing, placeholder or not an ID (e.g. PASB-261008-BC-017)",IF(AND(AR336=1,OR(NOT(ISNUMBER(X336)),NOT(ISNUMBER(Y336)))),"INVALID – expected/actual qty missing",IF(AND(AR336=1,OR(X336&lt;=0,Y336&lt;0)),"INVALID – expected qty must be above 0 and actual not negative",IF(BB336&lt;&gt;"",BB336,IF(AND(AS336=1,Documents!$J$14&lt;&gt;"ON FILE"),"INVALID – GLD not on file (Documents sheet)",IF(AND(AS336=2,Documents!$O$14&lt;&gt;"ON FILE"),"INVALID – menu checklist not on file (Documents sheet)",IF(AND(AS336=3,NOT(ISNUMBER(Flights!$AX$14))),"INVALID – enter carrying flight KUL departure (Flights AX)",IF(AND(AS336=3,OR(Flights!$AZ$14&gt;Flights!$AA$14,Flights!$AX$14&lt;Flights!$AA$14-3)),"INVALID – carrying flight (Flights AX) cannot arrive before this leg's STD, or is over 3 days early",IF(AG336&gt;AsOfUTC,"INVALID – completion time is in the future",IF(AND(ISNUMBER(BY336),AG336&lt;BY336),IF(H336="Physical uplift","INVALID – before uplift window (cannot confirm loading)","INVALID – before valid window"),IF(AG336&gt;Flights!$AA$14,"INVALID – completed after departure (cannot establish readiness)",IF(AND(H336="Preparation",AG336&gt;=IF(ISNUMBER(Flights!$BA$14),MIN(Flights!$BA$14,Flights!$AA$14),Flights!$AA$14)),"INVALID – completed after loading / departure (cannot establish readiness)",IF(AND(H336="Physical uplift",AG336&gt;Q336),"INVALID – recorded after the loading flight departed",IF(AG336&gt;Q336,"COMPLETE – LATE","COMPLETE"))))))))))))))))))))))))),IF(TRIM(U336)="Fail","FAIL – DISCREPANCY",IF(AND(TRIM(U336)&lt;&gt;"",TRIM(U336)&lt;&gt;"Not started",TRIM(U336)&lt;&gt;"In progress"),"INVALID – unrecognised status (use the list)",IF(AsOfUTC&gt;Q336,"OVERDUE",IF(N336="Clarification required","OPEN – CLARIFICATION","OPEN"))))))),"INVALID – error value in an input cell")</f>
        <v>OPEN</v>
      </c>
      <c r="AI336" s="61" t="n">
        <f aca="false">IF(OR(AH336="N/A – RULE",AH336="N/A – JUSTIFIED"),0,1)</f>
        <v>1</v>
      </c>
      <c r="AJ336" s="61" t="n">
        <f aca="false">IF(LEFT(AH336,8)="COMPLETE",1,0)</f>
        <v>0</v>
      </c>
      <c r="AK336" s="61" t="n">
        <f aca="false">IF(AND(AI336=1,AJ336=0,AsOfUTC&gt;Q336),1,0)</f>
        <v>0</v>
      </c>
      <c r="AL336" s="61" t="n">
        <f aca="false">IFERROR(IF(AND(AI336=1,OR(TRIM(U336)="Fail",AND(TRIM(AB336)&lt;&gt;"",TRIM(AB336)&lt;&gt;"Closed"),AND(ISNUMBER(AF336),AF336&lt;&gt;0,TRIM(U336)&lt;&gt;"Pass after CA"))),1,0),1)</f>
        <v>0</v>
      </c>
      <c r="AM336" s="61" t="n">
        <f aca="false">IF(LEFT(AH336,7)="INVALID",1,0)</f>
        <v>0</v>
      </c>
      <c r="AN336" s="61" t="n">
        <f aca="false">IF(AND(N336="Clarification required",AI336=1,AJ336=0),1,0)</f>
        <v>0</v>
      </c>
      <c r="AO336" s="61" t="str">
        <f aca="false">IF(AK336=1,SUM(AK$5:AK336),"")</f>
        <v/>
      </c>
      <c r="AP336" s="61" t="str">
        <f aca="false">IF(AL336=1,SUM(AL$5:AL336),"")</f>
        <v/>
      </c>
      <c r="AQ336" s="61" t="n">
        <v>0</v>
      </c>
      <c r="AR336" s="61" t="n">
        <v>0</v>
      </c>
      <c r="AS336" s="61" t="n">
        <v>0</v>
      </c>
      <c r="AT336" s="61" t="n">
        <v>0</v>
      </c>
      <c r="AU336" s="61" t="str">
        <f aca="false">SUBSTITUTE(SUBSTITUTE(SUBSTITUTE(SUBSTITUTE(SUBSTITUTE(SUBSTITUTE(SUBSTITUTE(SUBSTITUTE(SUBSTITUTE(SUBSTITUTE(SUBSTITUTE(SUBSTITUTE(SUBSTITUTE(SUBSTITUTE(SUBSTITUTE(SUBSTITUTE(LOWER(T336&amp;""),CHAR(10),""),CHAR(13),""),CHAR(9),""),CHAR(160),"")," ",""),".",""),"-",""),"/",""),"?",""),"_",""),",",""),"[",""),"]",""),"(",""),")",""),"*","")</f>
        <v/>
      </c>
      <c r="AV336" s="61" t="str">
        <f aca="false">SUBSTITUTE(SUBSTITUTE(SUBSTITUTE(SUBSTITUTE(SUBSTITUTE(SUBSTITUTE(SUBSTITUTE(SUBSTITUTE(SUBSTITUTE(SUBSTITUTE(SUBSTITUTE(SUBSTITUTE(SUBSTITUTE(SUBSTITUTE(SUBSTITUTE(SUBSTITUTE(LOWER(V336&amp;""),CHAR(10),""),CHAR(13),""),CHAR(9),""),CHAR(160),"")," ",""),".",""),"-",""),"/",""),"?",""),"_",""),",",""),"[",""),"]",""),"(",""),")",""),"*","")</f>
        <v/>
      </c>
      <c r="AW336" s="61" t="str">
        <f aca="false">SUBSTITUTE(SUBSTITUTE(SUBSTITUTE(SUBSTITUTE(SUBSTITUTE(SUBSTITUTE(SUBSTITUTE(SUBSTITUTE(SUBSTITUTE(SUBSTITUTE(SUBSTITUTE(SUBSTITUTE(SUBSTITUTE(SUBSTITUTE(SUBSTITUTE(SUBSTITUTE(LOWER(Z336&amp;""),CHAR(10),""),CHAR(13),""),CHAR(9),""),CHAR(160),"")," ",""),".",""),"-",""),"/",""),"?",""),"_",""),",",""),"[",""),"]",""),"(",""),")",""),"*","")</f>
        <v/>
      </c>
      <c r="AX336" s="61" t="str">
        <f aca="false">SUBSTITUTE(SUBSTITUTE(SUBSTITUTE(SUBSTITUTE(SUBSTITUTE(SUBSTITUTE(SUBSTITUTE(SUBSTITUTE(SUBSTITUTE(SUBSTITUTE(SUBSTITUTE(SUBSTITUTE(SUBSTITUTE(SUBSTITUTE(SUBSTITUTE(SUBSTITUTE(LOWER(AE336&amp;""),CHAR(10),""),CHAR(13),""),CHAR(9),""),CHAR(160),"")," ",""),".",""),"-",""),"/",""),"?",""),"_",""),",",""),"[",""),"]",""),"(",""),")",""),"*","")</f>
        <v/>
      </c>
      <c r="AY336" s="61" t="str">
        <f aca="false">SUBSTITUTE(SUBSTITUTE(SUBSTITUTE(SUBSTITUTE(SUBSTITUTE(SUBSTITUTE(SUBSTITUTE(SUBSTITUTE(SUBSTITUTE(SUBSTITUTE(SUBSTITUTE(SUBSTITUTE(SUBSTITUTE(SUBSTITUTE(SUBSTITUTE(SUBSTITUTE(LOWER(W336&amp;""),CHAR(10),""),CHAR(13),""),CHAR(9),""),CHAR(160),"")," ",""),".",""),"-",""),"/",""),"?",""),"_",""),",",""),"[",""),"]",""),"(",""),")",""),"*","")</f>
        <v/>
      </c>
      <c r="AZ336" s="61" t="str">
        <f aca="false">SUBSTITUTE(SUBSTITUTE(SUBSTITUTE(SUBSTITUTE(SUBSTITUTE(SUBSTITUTE(SUBSTITUTE(SUBSTITUTE(SUBSTITUTE(SUBSTITUTE(SUBSTITUTE(SUBSTITUTE(SUBSTITUTE(SUBSTITUTE(SUBSTITUTE(SUBSTITUTE(LOWER(AC336&amp;""),CHAR(10),""),CHAR(13),""),CHAR(9),""),CHAR(160),"")," ",""),".",""),"-",""),"/",""),"?",""),"_",""),",",""),"[",""),"]",""),"(",""),")",""),"*","")</f>
        <v/>
      </c>
      <c r="BA336" s="61" t="str">
        <f aca="false">SUBSTITUTE(SUBSTITUTE(SUBSTITUTE(SUBSTITUTE(SUBSTITUTE(SUBSTITUTE(SUBSTITUTE(SUBSTITUTE(SUBSTITUTE(SUBSTITUTE(SUBSTITUTE(SUBSTITUTE(SUBSTITUTE(SUBSTITUTE(SUBSTITUTE(SUBSTITUTE(LOWER(AA336&amp;""),CHAR(10),""),CHAR(13),""),CHAR(9),""),CHAR(160),"")," ",""),".",""),"-",""),"/",""),"?",""),"_",""),",",""),"[",""),"]",""),"(",""),")",""),"*","")</f>
        <v/>
      </c>
      <c r="BB336" s="61" t="str">
        <f aca="false">IF(AND(TRIM(U336)="Pass",ISNUMBER(AF336)),IF(AF336&lt;&gt;0,"INVALID – qty variance: use Fail or Pass after CA",""),"")&amp;IF(AND(TRIM(U336)="Pass after CA",ISNUMBER(AF336)),IF(AF336&lt;&gt;0,"INVALID – after the corrective action the actual qty must equal expected (update Actual)",""),"")&amp;IF(AND(TRIM(U336)="Pass",TRIM(AB336)&lt;&gt;"",TRIM(AB336)&lt;&gt;"Closed"),"INVALID – corrective action not closed: use Fail, then Pass after CA","")&amp;IF(AND(LEN(BA336)&gt;=2,ISNA(MATCH(LEFT(BA336,255),L_Placeholder,0)),TRIM(AB336)=""),"INVALID – CA status missing for the recorded corrective action","")&amp;IF(AND(TRIM(U336)="Pass after CA",OR(OR(LEN(BA336)&lt;5,ISNUMBER(MATCH(BA336,L_Placeholder,0))),TRIM(AB336)&lt;&gt;"Closed")),"INVALID – corrective action not recorded/closed","")</f>
        <v/>
      </c>
      <c r="BC336" s="61" t="str">
        <f aca="false">" "&amp;TRIM(SUBSTITUTE(SUBSTITUTE(SUBSTITUTE(SUBSTITUTE(SUBSTITUTE(SUBSTITUTE(SUBSTITUTE(SUBSTITUTE(SUBSTITUTE(SUBSTITUTE(SUBSTITUTE(SUBSTITUTE(SUBSTITUTE(SUBSTITUTE(SUBSTITUTE(SUBSTITUTE(SUBSTITUTE(SUBSTITUTE(SUBSTITUTE(SUBSTITUTE(SUBSTITUTE(SUBSTITUTE(SUBSTITUTE(SUBSTITUTE(LOWER(V336&amp;""),CHAR(10)," "),CHAR(13)," "),CHAR(9)," "),CHAR(160)," "),"."," "),","," "),"-"," "),"/"," "),"("," "),")"," "),":"," "),";"," "),"_"," "),"–"," "),"?"," "),"!"," "),"*"," "),"["," "),"]"," "),"'"," "),"#"," "),"+"," "),"&amp;"," "),"\"," "))&amp;" "</f>
        <v>  </v>
      </c>
      <c r="BD336" s="61" t="str">
        <f aca="false">" "&amp;TRIM(SUBSTITUTE(SUBSTITUTE(SUBSTITUTE(SUBSTITUTE(SUBSTITUTE(SUBSTITUTE(SUBSTITUTE(SUBSTITUTE(SUBSTITUTE(SUBSTITUTE(SUBSTITUTE(SUBSTITUTE(SUBSTITUTE(SUBSTITUTE(SUBSTITUTE(SUBSTITUTE(SUBSTITUTE(SUBSTITUTE(SUBSTITUTE(SUBSTITUTE(SUBSTITUTE(SUBSTITUTE(SUBSTITUTE(SUBSTITUTE(LOWER(Z336&amp;""),CHAR(10)," "),CHAR(13)," "),CHAR(9)," "),CHAR(160)," "),"."," "),","," "),"-"," "),"/"," "),"("," "),")"," "),":"," "),";"," "),"_"," "),"–"," "),"?"," "),"!"," "),"*"," "),"["," "),"]"," "),"'"," "),"#"," "),"+"," "),"&amp;"," "),"\"," "))&amp;" "</f>
        <v>  </v>
      </c>
      <c r="BE336" s="61" t="str">
        <f aca="false">" "&amp;TRIM(SUBSTITUTE(SUBSTITUTE(SUBSTITUTE(SUBSTITUTE(SUBSTITUTE(SUBSTITUTE(SUBSTITUTE(SUBSTITUTE(SUBSTITUTE(SUBSTITUTE(SUBSTITUTE(SUBSTITUTE(SUBSTITUTE(SUBSTITUTE(SUBSTITUTE(SUBSTITUTE(SUBSTITUTE(SUBSTITUTE(SUBSTITUTE(SUBSTITUTE(SUBSTITUTE(SUBSTITUTE(SUBSTITUTE(SUBSTITUTE(LOWER(W336&amp;""),CHAR(10)," "),CHAR(13)," "),CHAR(9)," "),CHAR(160)," "),"."," "),","," "),"-"," "),"/"," "),"("," "),")"," "),":"," "),";"," "),"_"," "),"–"," "),"?"," "),"!"," "),"*"," "),"["," "),"]"," "),"'"," "),"#"," "),"+"," "),"&amp;"," "),"\"," "))&amp;" "</f>
        <v>  </v>
      </c>
      <c r="BF336" s="61" t="str">
        <f aca="false">" "&amp;TRIM(SUBSTITUTE(SUBSTITUTE(SUBSTITUTE(SUBSTITUTE(SUBSTITUTE(SUBSTITUTE(SUBSTITUTE(SUBSTITUTE(SUBSTITUTE(SUBSTITUTE(SUBSTITUTE(SUBSTITUTE(SUBSTITUTE(SUBSTITUTE(SUBSTITUTE(SUBSTITUTE(SUBSTITUTE(SUBSTITUTE(SUBSTITUTE(SUBSTITUTE(SUBSTITUTE(SUBSTITUTE(SUBSTITUTE(SUBSTITUTE(LOWER(AC336&amp;""),CHAR(10)," "),CHAR(13)," "),CHAR(9)," "),CHAR(160)," "),"."," "),","," "),"-"," "),"/"," "),"("," "),")"," "),":"," "),";"," "),"_"," "),"–"," "),"?"," "),"!"," "),"*"," "),"["," "),"]"," "),"'"," "),"#"," "),"+"," "),"&amp;"," "),"\"," "))&amp;" "</f>
        <v>  </v>
      </c>
      <c r="BG336" s="61" t="n">
        <f aca="false">IFERROR(IF(AND(TRIM(U336)="Pass",SUMPRODUCT((LEN(BC336)-LEN(SUBSTITUTE(BC336," "&amp;L_ResultBad&amp;" "," ")))/(LEN(L_ResultBad)+1))&gt;SUMPRODUCT((LEN(BC336)-LEN(SUBSTITUTE(BC336," "&amp;L_NegPhrase&amp;" "," ")))/(LEN(L_NegPhrase)+1))),1,0),0)</f>
        <v>0</v>
      </c>
      <c r="BH336" s="61" t="n">
        <f aca="false">IFERROR(IF(SUMPRODUCT((LEN(BC336)-LEN(SUBSTITUTE(BC336," "&amp;L_Pending&amp;" "," ")))/(LEN(L_Pending)+1))&gt;SUMPRODUCT((LEN(BC336)-LEN(SUBSTITUTE(BC336," "&amp;L_PendNeg&amp;" "," ")))/(LEN(L_PendNeg)+1))+SUMPRODUCT((LEN(BC336)-LEN(SUBSTITUTE(BC336," "&amp;L_PendPrep&amp;" "," ")))/(LEN(L_PendPrep)+1)),1,0),1)</f>
        <v>0</v>
      </c>
      <c r="BI336" s="61" t="n">
        <f aca="false">IFERROR(IF(SUMPRODUCT((LEN(BD336)-LEN(SUBSTITUTE(BD336," "&amp;L_PendStrict&amp;" "," ")))/(LEN(L_PendStrict)+1))&gt;SUMPRODUCT((LEN(BD336)-LEN(SUBSTITUTE(BD336," "&amp;L_PendNeg&amp;" "," ")))/(LEN(L_PendNeg)+1)),1,0),1)</f>
        <v>0</v>
      </c>
      <c r="BJ336" s="61" t="n">
        <f aca="false">IFERROR(IF(SUMPRODUCT((LEN(BE336)-LEN(SUBSTITUTE(BE336," "&amp;L_Pending&amp;" "," ")))/(LEN(L_Pending)+1))&gt;SUMPRODUCT((LEN(BE336)-LEN(SUBSTITUTE(BE336," "&amp;L_PendNeg&amp;" "," ")))/(LEN(L_PendNeg)+1))+SUMPRODUCT((LEN(BE336)-LEN(SUBSTITUTE(BE336," "&amp;L_PendPrep&amp;" "," ")))/(LEN(L_PendPrep)+1)),1,0),1)</f>
        <v>0</v>
      </c>
      <c r="BK336" s="61" t="n">
        <f aca="false">IFERROR(IF(SUMPRODUCT((LEN(BF336)-LEN(SUBSTITUTE(BF336," "&amp;L_PendStrict&amp;" "," ")))/(LEN(L_PendStrict)+1))&gt;SUMPRODUCT((LEN(BF336)-LEN(SUBSTITUTE(BF336," "&amp;L_PendNeg&amp;" "," ")))/(LEN(L_PendNeg)+1)),1,0),1)</f>
        <v>0</v>
      </c>
      <c r="BL336" s="61" t="n">
        <f aca="false">IF(ISNA(MATCH(TRIM(S336),L_EvidenceType,0)),0,BZ336)</f>
        <v>0</v>
      </c>
      <c r="BM336" s="61" t="str">
        <f aca="false">SUBSTITUTE(SUBSTITUTE(SUBSTITUTE(SUBSTITUTE(SUBSTITUTE(SUBSTITUTE(SUBSTITUTE(SUBSTITUTE(SUBSTITUTE(LOWER(Z336&amp;""),"1","0"),"2","0"),"3","0"),"4","0"),"5","0"),"6","0"),"7","0"),"8","0"),"9","0")</f>
        <v/>
      </c>
      <c r="BN336" s="61" t="str">
        <f aca="false">SUBSTITUTE(SUBSTITUTE(SUBSTITUTE(SUBSTITUTE(SUBSTITUTE(SUBSTITUTE(SUBSTITUTE(SUBSTITUTE(SUBSTITUTE(SUBSTITUTE(SUBSTITUTE(SUBSTITUTE(SUBSTITUTE(SUBSTITUTE(SUBSTITUTE(SUBSTITUTE(SUBSTITUTE(SUBSTITUTE(SUBSTITUTE(SUBSTITUTE(SUBSTITUTE(SUBSTITUTE(SUBSTITUTE(SUBSTITUTE(SUBSTITUTE(BM336,"b","a"),"c","a"),"d","a"),"e","a"),"f","a"),"g","a"),"h","a"),"i","a"),"j","a"),"k","a"),"l","a"),"m","a"),"n","a"),"o","a"),"p","a"),"q","a"),"r","a"),"s","a"),"t","a"),"u","a"),"v","a"),"w","a"),"x","a"),"y","a"),"z","a")</f>
        <v/>
      </c>
      <c r="BO336" s="61" t="str">
        <f aca="false">SUBSTITUTE(SUBSTITUTE(SUBSTITUTE(SUBSTITUTE(SUBSTITUTE(SUBSTITUTE(SUBSTITUTE(SUBSTITUTE(SUBSTITUTE(LOWER(W336&amp;""),"1","0"),"2","0"),"3","0"),"4","0"),"5","0"),"6","0"),"7","0"),"8","0"),"9","0")</f>
        <v/>
      </c>
      <c r="BP336" s="61" t="str">
        <f aca="false">SUBSTITUTE(SUBSTITUTE(SUBSTITUTE(SUBSTITUTE(SUBSTITUTE(SUBSTITUTE(SUBSTITUTE(SUBSTITUTE(SUBSTITUTE(SUBSTITUTE(SUBSTITUTE(SUBSTITUTE(SUBSTITUTE(SUBSTITUTE(SUBSTITUTE(SUBSTITUTE(SUBSTITUTE(SUBSTITUTE(SUBSTITUTE(SUBSTITUTE(SUBSTITUTE(SUBSTITUTE(SUBSTITUTE(SUBSTITUTE(SUBSTITUTE(BO336,"b","a"),"c","a"),"d","a"),"e","a"),"f","a"),"g","a"),"h","a"),"i","a"),"j","a"),"k","a"),"l","a"),"m","a"),"n","a"),"o","a"),"p","a"),"q","a"),"r","a"),"s","a"),"t","a"),"u","a"),"v","a"),"w","a"),"x","a"),"y","a"),"z","a")</f>
        <v/>
      </c>
      <c r="BQ336" s="61" t="n">
        <f aca="false">IFERROR(IF(AND(ISERROR(SEARCH(" mh"," "&amp;LOWER(W336))),ISNA(MATCH(LEFT(TRIM(BP336),255),{"0000a","000a","00a","0000aa","000aa","00aa","0aa","0000aaa","000aaa","00a00","0a00","0000-0000","00:00","a00","a0","00.00.0000","00/00/0000","00-00-0000","0000-00-00","0000/00/00","0000.00.00","00.00.00","00/00/00","00-00-00","0.00.0000","0/00/0000","0-00-0000"},0)),ISNA(MATCH(LEFT(TRIM(CA336),255),{"0000a","000a","00a","0000aa","000aa","00aa","0aa","0000aaa","000aaa","00a00","0a00","0000-0000","00:00","a00","a0","00.00.0000","00/00/0000","00-00-0000","0000-00-00","0000/00/00","0000.00.00","00.00.00","00/00/00","00-00-00","0.00.0000","0/00/0000","0-00-0000"},0)),LEN(CB336)&gt;=3,NOT(OR(SUBSTITUTE(CB336,"0","")="",AND(LEN(CB336)&gt;=4,CB336=REPT(LEFT(CB336),LEN(CB336))),ISNUMBER(MATCH(CB336,{"123","1234","12345","123456","1234567","12345678","0123","01234","012345","98765","987654","54321"},0)),AND(LEN(CB336)=8,LEFT(CB336,3)="202"))),OR(AND((LEN(CA336)-LEN(SUBSTITUTE(CA336,"a","")))&gt;=1,SUMPRODUCT(--ISNUMBER(SEARCH({"a0","a-0","a_0","a/0","a.0","a#0","0a","0-a","0_a","0/a"},BP336)))&gt;0),ISNUMBER(SEARCH("000000",BP336)))),1,0),0)</f>
        <v>0</v>
      </c>
      <c r="BR336" s="61" t="n">
        <f aca="false">IFERROR(LEN(SUBSTITUTE(CC336," ",""))-SUMPRODUCT((LEN(CC336)-LEN(SUBSTITUTE(CC336," "&amp;L_Role&amp;" "," ")))/(LEN(L_Role)+1)*LEN(L_Role)),0)</f>
        <v>0</v>
      </c>
      <c r="BS336" s="61" t="n">
        <f aca="false">IFERROR(LEN(SUBSTITUTE(CD336," ",""))-SUMPRODUCT((LEN(CD336)-LEN(SUBSTITUTE(CD336," "&amp;L_Role&amp;" "," ")))/(LEN(L_Role)+1)*LEN(L_Role)),0)</f>
        <v>0</v>
      </c>
      <c r="BT3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336,"revision",""),"version",""),"jan",""),"feb",""),"mar",""),"apr",""),"may",""),"jun",""),"jul",""),"aug",""),"sep",""),"oct",""),"nov",""),"dec",""),"utc",""),"gmt",""),"myt",""),"bst",""),"rev",""),"ver",""),"b","a"),"c","a"),"d","a"),"e","a"),"f","a"),"g","a"),"h","a"),"i","a"),"j","a"),"k","a"),"l","a"),"m","a"),"n","a"),"o","a"),"p","a"),"q","a"),"r","a"),"s","a"),"t","a"),"u","a"),"v","a"),"w","a"),"x","a"),"y","a"),"z","a")</f>
        <v/>
      </c>
      <c r="BU336" s="61" t="str">
        <f aca="false">SUBSTITUTE(SUBSTITUTE(SUBSTITUTE(SUBSTITUTE(SUBSTITUTE(SUBSTITUTE(SUBSTITUTE(SUBSTITUTE(SUBSTITUTE(SUBSTITUTE(LEFT(BM336,FIND("0",BM336&amp;"0")-1),"-",""),"_",""),"/",""),".",""),"#",""),"\\",""),":","")," ",""),"(",""),")","")</f>
        <v/>
      </c>
      <c r="BV336" s="61" t="n">
        <f aca="false">0</f>
        <v>0</v>
      </c>
      <c r="BW3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336&amp;""),"a",""),"b",""),"c",""),"d",""),"e",""),"f",""),"g",""),"h",""),"i",""),"j",""),"k",""),"l",""),"m",""),"n",""),"o",""),"p",""),"q",""),"r",""),"s",""),"t",""),"u",""),"v",""),"w",""),"x",""),"y",""),"z",""),"-",""),"_",""),"/",""),".",""),"#",""),"\\",""),":","")," ",""),"(",""),")","")</f>
        <v/>
      </c>
      <c r="BX336" s="61" t="str">
        <f aca="false">SUBSTITUTE(SUBSTITUTE(SUBSTITUTE(SUBSTITUTE(SUBSTITUTE(SUBSTITUTE(SUBSTITUTE(SUBSTITUTE(SUBSTITUTE(SUBSTITUTE(SUBSTITUTE(BM336,"0",""),"-",""),"_",""),"/",""),".",""),"#",""),"\\",""),":","")," ",""),"(",""),")","")</f>
        <v/>
      </c>
      <c r="BY336" s="62" t="n">
        <f aca="false">Q336-T12EarlyH/24</f>
        <v>46306.15625</v>
      </c>
      <c r="BZ336" s="61" t="n">
        <f aca="false">IFERROR(IF(IF(TRIM(S336)="Link / file path",AND(LEN(TRIM(Z336))&gt;=5,SUMPRODUCT(--ISNUMBER(SEARCH({"http","www.","\\",":\",".pdf",".jpg",".jpeg",".png",".heic",".xls",".doc",".msg",".eml",".ppt",".txt",".zip"},Z336)))&gt;0),AND(ISERROR(FIND(" ",TRIM(Z336))),NOT(OR(SUMPRODUCT(--ISNUMBER(FIND({",",";","&amp;","+"},Z336)))&gt;0,SUMPRODUCT(--ISNUMBER(SEARCH({"0/aa","0\\aa"},BN336)))&gt;0)),NOT(SUMPRODUCT(--ISNUMBER(SEARCH({"http","www.","\\",":\",".pdf",".jpg",".jpeg",".png",".heic",".xls",".doc",".msg",".eml",".ppt",".txt",".zip"},Z336)))&gt;0),NOT(LOWER(TRIM(Z336))=LOWER(Flights!$F$14)),ISNA(MATCH(BU336,{"mh","rev","revision","ver","version","v","r","a","b","seat","tray","row","gate","bay","stand","page","pg","item","line","no","cart","galley","flight","flt","table","box","bag","oven","etd","eta","std","sta","atd","ata","qty","pax","x","time","tel","ph","mob","day","wk","week","utc","gmt","myt","lt"},0)),NOT(OR(ISNUMBER(MATCH(LEFT(BN336,255),{"0000a","000a","00a","0000aa","000aa","00aa","0aa","0000aaa","000aaa","00a00","0a00","0000-0000","00:00","a00","a0","00.00.0000","00/00/0000","00-00-0000","0000-00-00","0000/00/00","0000.00.00","00.00.00","00/00/00","00-00-00","0.00.0000","0/00/0000","0-00-0000"},0)),ISNUMBER(MATCH(LEFT(BT336,255),{"0000a","000a","00a","0000aa","000aa","00aa","0aa","0000aaa","000aaa","00a00","0a00","0000-0000","00:00","a00","a0","00.00.0000","00/00/0000","00-00-0000","0000-00-00","0000/00/00","0000.00.00","00.00.00","00/00/00","00-00-00","0.00.0000","0/00/0000","0-00-0000"},0)))),NOT(OR(AND(BW336&lt;&gt;"",SUBSTITUTE(BW336,"0","")=""),AND(LEN(BW336)&gt;=4,BW336=REPT(LEFT(BW336),LEN(BW336))),ISNUMBER(MATCH(BW336,{"123","1234","12345","123456","1234567","12345678","0123","01234","012345","98765","987654","54321"},0)),ISNUMBER(MATCH(BX336,{"x","xx","xxx","xxxx","xxxxx","abc","abcd","nil","na","nan","test","tbc","tba","tbd","dummy","sample","example","eg","zz","zzz","none","null","xyz","qwe","asd","id","ref"},0)),AND(LEN(BW336)=8,BX336="",OR(LEFT(BW336,3)="202",ISNUMBER(MATCH(RIGHT(BW336,4),{"2025","2026","2027"},0)))))),OR(AND((LEN(BT336)-LEN(SUBSTITUTE(BT336,"a","")))&gt;=1,(LEN(BN336)-LEN(SUBSTITUTE(BN336,"0","")))&gt;=2,SUMPRODUCT(--ISNUMBER(SEARCH({"a0","a-0","a_0","a/0","a.0","a#0","0a","0-a","0_a","0/a"},BN336)))&gt;0),AND((LEN(BN336)-LEN(SUBSTITUTE(BN336,"a","")))=0,(LEN(BN336)-LEN(SUBSTITUTE(BN336,"0","")))&gt;=5)))),1,0),0)</f>
        <v>0</v>
      </c>
      <c r="CA3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336,"revision",""),"version",""),"jan",""),"feb",""),"mar",""),"apr",""),"may",""),"jun",""),"jul",""),"aug",""),"sep",""),"oct",""),"nov",""),"dec",""),"utc",""),"gmt",""),"myt",""),"bst",""),"rev",""),"ver",""),"b","a"),"c","a"),"d","a"),"e","a"),"f","a"),"g","a"),"h","a"),"i","a"),"j","a"),"k","a"),"l","a"),"m","a"),"n","a"),"o","a"),"p","a"),"q","a"),"r","a"),"s","a"),"t","a"),"u","a"),"v","a"),"w","a"),"x","a"),"y","a"),"z","a")</f>
        <v/>
      </c>
      <c r="CB3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336&amp;""),"a",""),"b",""),"c",""),"d",""),"e",""),"f",""),"g",""),"h",""),"i",""),"j",""),"k",""),"l",""),"m",""),"n",""),"o",""),"p",""),"q",""),"r",""),"s",""),"t",""),"u",""),"v",""),"w",""),"x",""),"y",""),"z",""),"-",""),"_",""),"/",""),".",""),"#",""),"\\",""),":","")," ",""),"(",""),")","")</f>
        <v/>
      </c>
      <c r="CC336" s="0" t="str">
        <f aca="false">" "&amp;TRIM(SUBSTITUTE(SUBSTITUTE(SUBSTITUTE(SUBSTITUTE(SUBSTITUTE(SUBSTITUTE(SUBSTITUTE(SUBSTITUTE(SUBSTITUTE(SUBSTITUTE(SUBSTITUTE(SUBSTITUTE(SUBSTITUTE(SUBSTITUTE(SUBSTITUTE(SUBSTITUTE(SUBSTITUTE(SUBSTITUTE(SUBSTITUTE(SUBSTITUTE(SUBSTITUTE(SUBSTITUTE(SUBSTITUTE(SUBSTITUTE(LOWER(T336&amp;""),CHAR(10)," "),CHAR(13)," "),CHAR(9)," "),CHAR(160)," "),"."," "),","," "),"-"," "),"/"," "),"("," "),")"," "),":"," "),";"," "),"_"," "),"–"," "),"?"," "),"!"," "),"*"," "),"["," "),"]"," "),"'"," "),"#"," "),"+"," "),"&amp;"," "),"\"," "))&amp;" "</f>
        <v>  </v>
      </c>
      <c r="CD336" s="0" t="str">
        <f aca="false">" "&amp;TRIM(SUBSTITUTE(SUBSTITUTE(SUBSTITUTE(SUBSTITUTE(SUBSTITUTE(SUBSTITUTE(SUBSTITUTE(SUBSTITUTE(SUBSTITUTE(SUBSTITUTE(SUBSTITUTE(SUBSTITUTE(SUBSTITUTE(SUBSTITUTE(SUBSTITUTE(SUBSTITUTE(SUBSTITUTE(SUBSTITUTE(SUBSTITUTE(SUBSTITUTE(SUBSTITUTE(SUBSTITUTE(SUBSTITUTE(SUBSTITUTE(LOWER(AE336&amp;""),CHAR(10)," "),CHAR(13)," "),CHAR(9)," "),CHAR(160)," "),"."," "),","," "),"-"," "),"/"," "),"("," "),")"," "),":"," "),";"," "),"_"," "),"–"," "),"?"," "),"!"," "),"*"," "),"["," "),"]"," "),"'"," "),"#"," "),"+"," "),"&amp;"," "),"\"," "))&amp;" "</f>
        <v>  </v>
      </c>
      <c r="CE336" s="68" t="n">
        <f aca="false">IFERROR(IF(AND(LEN(AU336)&gt;0,LEN(AU336)=LEN(AX336),OR(TRIM(MID(SUBSTITUTE(TRIM(CC336)," ",REPT(" ",60)),1,60))="",ISNUMBER(SEARCH(" "&amp;TRIM(MID(SUBSTITUTE(TRIM(CC336)," ",REPT(" ",60)),1,60))&amp;" ",CD336))),OR(TRIM(MID(SUBSTITUTE(TRIM(CC336)," ",REPT(" ",60)),61,60))="",ISNUMBER(SEARCH(" "&amp;TRIM(MID(SUBSTITUTE(TRIM(CC336)," ",REPT(" ",60)),61,60))&amp;" ",CD336))),OR(TRIM(MID(SUBSTITUTE(TRIM(CC336)," ",REPT(" ",60)),121,60))="",ISNUMBER(SEARCH(" "&amp;TRIM(MID(SUBSTITUTE(TRIM(CC336)," ",REPT(" ",60)),121,60))&amp;" ",CD336)))),1,0),0)</f>
        <v>0</v>
      </c>
      <c r="CG336" s="68" t="n">
        <f aca="false">IFERROR(LEN(SUBSTITUTE(BF336," ",""))-SUMPRODUCT((LEN(BF336)-LEN(SUBSTITUTE(BF336," "&amp;L_NAFiller&amp;" "," ")))/(LEN(L_NAFiller)+1)*LEN(L_NAFiller)),0)</f>
        <v>0</v>
      </c>
    </row>
    <row r="337" customFormat="false" ht="78.75" hidden="false" customHeight="true" outlineLevel="0" collapsed="false">
      <c r="A337" s="57" t="s">
        <v>930</v>
      </c>
      <c r="B337" s="57" t="s">
        <v>251</v>
      </c>
      <c r="C337" s="57" t="str">
        <f aca="false">Flights!$F$14</f>
        <v>MH1140</v>
      </c>
      <c r="D337" s="58" t="n">
        <f aca="false">Flights!$D$14</f>
        <v>46307</v>
      </c>
      <c r="E337" s="57" t="str">
        <f aca="false">Flights!$G$14&amp;"-"&amp;Flights!$H$14</f>
        <v>KUL-PEN</v>
      </c>
      <c r="F337" s="57" t="str">
        <f aca="false">Flights!$K$14</f>
        <v>BC</v>
      </c>
      <c r="G337" s="57" t="s">
        <v>420</v>
      </c>
      <c r="H337" s="57" t="s">
        <v>378</v>
      </c>
      <c r="I337" s="57" t="s">
        <v>428</v>
      </c>
      <c r="J337" s="57" t="s">
        <v>435</v>
      </c>
      <c r="K337" s="67" t="s">
        <v>491</v>
      </c>
      <c r="L337" s="67" t="s">
        <v>422</v>
      </c>
      <c r="M337" s="67"/>
      <c r="N337" s="67" t="s">
        <v>383</v>
      </c>
      <c r="O337" s="67" t="s">
        <v>423</v>
      </c>
      <c r="P337" s="57" t="s">
        <v>187</v>
      </c>
      <c r="Q337" s="59" t="n">
        <f aca="false">ROUND((Flights!$AE$14)*1440,0)/1440</f>
        <v>46306.65625</v>
      </c>
      <c r="R337" s="59" t="n">
        <f aca="false">Q337+(IF(AND(INDEX(TZ_DSTS,MATCH(P337,TZ_STN,0))&lt;&gt;"",Q337&gt;=INDEX(TZ_DSTS,MATCH(P337,TZ_STN,0)),Q337&lt;INDEX(TZ_DSTE,MATCH(P337,TZ_STN,0))),INDEX(TZ_DST,MATCH(P337,TZ_STN,0)),INDEX(TZ_STD,MATCH(P337,TZ_STN,0))))/24</f>
        <v>46306.9895833333</v>
      </c>
      <c r="S337" s="60"/>
      <c r="T337" s="60"/>
      <c r="U337" s="60"/>
      <c r="V337" s="60"/>
      <c r="W337" s="61"/>
      <c r="X337" s="60"/>
      <c r="Y337" s="60"/>
      <c r="Z337" s="60"/>
      <c r="AA337" s="60"/>
      <c r="AB337" s="60"/>
      <c r="AC337" s="60"/>
      <c r="AD337" s="66"/>
      <c r="AE337" s="60"/>
      <c r="AF337" s="61" t="str">
        <f aca="false">IF(AND(ISNUMBER(X337),ISNUMBER(Y337)),Y337-X337,"")</f>
        <v/>
      </c>
      <c r="AG337" s="62" t="str">
        <f aca="false">IF(ISNUMBER(AD337),AD337-(IF(AND(INDEX(TZ_DSTS,MATCH(P337,TZ_STN,0))&lt;&gt;"",(AD337-INDEX(TZ_STD,MATCH(P337,TZ_STN,0))/24)&gt;=INDEX(TZ_DSTS,MATCH(P337,TZ_STN,0)),(AD337-INDEX(TZ_STD,MATCH(P337,TZ_STN,0))/24)&lt;INDEX(TZ_DSTE,MATCH(P337,TZ_STN,0))),INDEX(TZ_DST,MATCH(P337,TZ_STN,0)),INDEX(TZ_STD,MATCH(P337,TZ_STN,0))))/24,"")</f>
        <v/>
      </c>
      <c r="AH337" s="65" t="str">
        <f aca="false">IFERROR(IF(N337="N/A – rule",IF(OR(TRIM(U337)="",TRIM(U337)="N/A",TRIM(U337)="Not started"),"N/A – RULE","INVALID – this check does not apply to this aircraft: clear the status (or correct the fleet on Flights)"),IF(TRIM(U337)="N/A",IF(AT337=0,"INVALID – N/A not permitted for this check",IF(AND(TRIM(AB337)&lt;&gt;"",TRIM(AB337)&lt;&gt;"Closed"),"INVALID – corrective action still open",IF(AND(NOT(OR(LEN(AZ337)&lt;15,ISNUMBER(MATCH(AZ337,L_Placeholder,0)))),BK337=0,CG337&gt;=8,NOT(OR(LEN(AU337)&lt;2,ISNUMBER(MATCH(AU337,L_Placeholder,0)))),BR337&gt;=3,NOT(OR(LEN(AX337)&lt;2,ISNUMBER(MATCH(AX337,L_Placeholder,0)))),BS337&gt;=3,TRIM(AE337)&lt;&gt;TRIM(T337),AX337&lt;&gt;AU337,CE337=0),"N/A – JUSTIFIED","INVALID – N/A needs a real, settled reason (not 'not applicable' / 'as above' / TBC), a named PIC and a different named verifier"))),IF(OR(TRIM(U337)="Pass",TRIM(U337)="Pass after CA"),IF(NOT(ISNUMBER(AD337)),"INVALID – completion time missing",IF(OR(OR(LEN(AU337)&lt;2,ISNUMBER(MATCH(AU337,L_Placeholder,0))),BR337&lt;3),"INVALID – PIC missing or not a named person (a role such as QA / CSM is not a name)",IF(OR(LEN(AV337)&lt;2,ISNUMBER(MATCH(AV337,L_Placeholder,0))),"INVALID – result / assessment missing",IF(OR(OR(LEN(AW337)&lt;3,ISNUMBER(MATCH(AW337,L_Placeholder,0))),SUMPRODUCT(--ISNUMBER(SEARCH(" "&amp;L_EvidencePhrase&amp;" ",BD337)))&gt;0,BI337=1),"INVALID – evidence missing, placeholder or not yet on file",IF(ISNA(MATCH(TRIM(S337),L_EvidenceType,0)),"INVALID – choose the evidence type from the list (column S)",IF(BL337=0,"INVALID – evidence ID must be the record's own ID only (e.g. SF-2210, IMG_2231, 1045521); a link / file name needs type 'Link / file path'",IF(OR(OR(LEN(AX337)&lt;2,ISNUMBER(MATCH(AX337,L_Placeholder,0))),BS337&lt;3),"INVALID – verifier missing or not a named person (a role such as QA / CSM is not a name)",IF(OR(AX337=AU337,CE337=1,AND(LEN(AU337)&gt;=4,ISNUMBER(SEARCH(AU337,AX337))),AND(LEN(AX337)&gt;=4,ISNUMBER(SEARCH(AX337,AU337)))),"INVALID – verifier must be a different, named person (not the PIC or a role)",IF(BH337=1,"INVALID – result not yet available (awaiting / TBC)",IF(BG337=1,"INVALID – result describes a problem: record Fail, then Pass after CA (or reword if it is not a problem)",IF(BV337=1,"INVALID – wording says not on board: an on-board confirmation needs the item loaded",IF(AND(AQ337=1,OR(OR(LEN(AY337)&lt;3,ISNUMBER(MATCH(AY337,L_Placeholder,0))),BJ337=1,BQ337=0)),"INVALID – batch ID missing, placeholder or not an ID (e.g. PASB-261008-BC-017)",IF(AND(AR337=1,OR(NOT(ISNUMBER(X337)),NOT(ISNUMBER(Y337)))),"INVALID – expected/actual qty missing",IF(AND(AR337=1,OR(X337&lt;=0,Y337&lt;0)),"INVALID – expected qty must be above 0 and actual not negative",IF(BB337&lt;&gt;"",BB337,IF(AND(AS337=1,Documents!$J$14&lt;&gt;"ON FILE"),"INVALID – GLD not on file (Documents sheet)",IF(AND(AS337=2,Documents!$O$14&lt;&gt;"ON FILE"),"INVALID – menu checklist not on file (Documents sheet)",IF(AND(AS337=3,NOT(ISNUMBER(Flights!$AX$14))),"INVALID – enter carrying flight KUL departure (Flights AX)",IF(AND(AS337=3,OR(Flights!$AZ$14&gt;Flights!$AA$14,Flights!$AX$14&lt;Flights!$AA$14-3)),"INVALID – carrying flight (Flights AX) cannot arrive before this leg's STD, or is over 3 days early",IF(AG337&gt;AsOfUTC,"INVALID – completion time is in the future",IF(AND(ISNUMBER(BY337),AG337&lt;BY337),IF(H337="Physical uplift","INVALID – before uplift window (cannot confirm loading)","INVALID – before valid window"),IF(AG337&gt;Flights!$AA$14,"INVALID – completed after departure (cannot establish readiness)",IF(AND(H337="Preparation",AG337&gt;=IF(ISNUMBER(Flights!$BA$14),MIN(Flights!$BA$14,Flights!$AA$14),Flights!$AA$14)),"INVALID – completed after loading / departure (cannot establish readiness)",IF(AND(H337="Physical uplift",AG337&gt;Q337),"INVALID – recorded after the loading flight departed",IF(AG337&gt;Q337,"COMPLETE – LATE","COMPLETE"))))))))))))))))))))))))),IF(TRIM(U337)="Fail","FAIL – DISCREPANCY",IF(AND(TRIM(U337)&lt;&gt;"",TRIM(U337)&lt;&gt;"Not started",TRIM(U337)&lt;&gt;"In progress"),"INVALID – unrecognised status (use the list)",IF(AsOfUTC&gt;Q337,"OVERDUE",IF(N337="Clarification required","OPEN – CLARIFICATION","OPEN"))))))),"INVALID – error value in an input cell")</f>
        <v>OPEN</v>
      </c>
      <c r="AI337" s="61" t="n">
        <f aca="false">IF(OR(AH337="N/A – RULE",AH337="N/A – JUSTIFIED"),0,1)</f>
        <v>1</v>
      </c>
      <c r="AJ337" s="61" t="n">
        <f aca="false">IF(LEFT(AH337,8)="COMPLETE",1,0)</f>
        <v>0</v>
      </c>
      <c r="AK337" s="61" t="n">
        <f aca="false">IF(AND(AI337=1,AJ337=0,AsOfUTC&gt;Q337),1,0)</f>
        <v>0</v>
      </c>
      <c r="AL337" s="61" t="n">
        <f aca="false">IFERROR(IF(AND(AI337=1,OR(TRIM(U337)="Fail",AND(TRIM(AB337)&lt;&gt;"",TRIM(AB337)&lt;&gt;"Closed"),AND(ISNUMBER(AF337),AF337&lt;&gt;0,TRIM(U337)&lt;&gt;"Pass after CA"))),1,0),1)</f>
        <v>0</v>
      </c>
      <c r="AM337" s="61" t="n">
        <f aca="false">IF(LEFT(AH337,7)="INVALID",1,0)</f>
        <v>0</v>
      </c>
      <c r="AN337" s="61" t="n">
        <f aca="false">IF(AND(N337="Clarification required",AI337=1,AJ337=0),1,0)</f>
        <v>0</v>
      </c>
      <c r="AO337" s="61" t="str">
        <f aca="false">IF(AK337=1,SUM(AK$5:AK337),"")</f>
        <v/>
      </c>
      <c r="AP337" s="61" t="str">
        <f aca="false">IF(AL337=1,SUM(AL$5:AL337),"")</f>
        <v/>
      </c>
      <c r="AQ337" s="61" t="n">
        <v>0</v>
      </c>
      <c r="AR337" s="61" t="n">
        <v>1</v>
      </c>
      <c r="AS337" s="61" t="n">
        <v>0</v>
      </c>
      <c r="AT337" s="61" t="n">
        <v>0</v>
      </c>
      <c r="AU337" s="61" t="str">
        <f aca="false">SUBSTITUTE(SUBSTITUTE(SUBSTITUTE(SUBSTITUTE(SUBSTITUTE(SUBSTITUTE(SUBSTITUTE(SUBSTITUTE(SUBSTITUTE(SUBSTITUTE(SUBSTITUTE(SUBSTITUTE(SUBSTITUTE(SUBSTITUTE(SUBSTITUTE(SUBSTITUTE(LOWER(T337&amp;""),CHAR(10),""),CHAR(13),""),CHAR(9),""),CHAR(160),"")," ",""),".",""),"-",""),"/",""),"?",""),"_",""),",",""),"[",""),"]",""),"(",""),")",""),"*","")</f>
        <v/>
      </c>
      <c r="AV337" s="61" t="str">
        <f aca="false">SUBSTITUTE(SUBSTITUTE(SUBSTITUTE(SUBSTITUTE(SUBSTITUTE(SUBSTITUTE(SUBSTITUTE(SUBSTITUTE(SUBSTITUTE(SUBSTITUTE(SUBSTITUTE(SUBSTITUTE(SUBSTITUTE(SUBSTITUTE(SUBSTITUTE(SUBSTITUTE(LOWER(V337&amp;""),CHAR(10),""),CHAR(13),""),CHAR(9),""),CHAR(160),"")," ",""),".",""),"-",""),"/",""),"?",""),"_",""),",",""),"[",""),"]",""),"(",""),")",""),"*","")</f>
        <v/>
      </c>
      <c r="AW337" s="61" t="str">
        <f aca="false">SUBSTITUTE(SUBSTITUTE(SUBSTITUTE(SUBSTITUTE(SUBSTITUTE(SUBSTITUTE(SUBSTITUTE(SUBSTITUTE(SUBSTITUTE(SUBSTITUTE(SUBSTITUTE(SUBSTITUTE(SUBSTITUTE(SUBSTITUTE(SUBSTITUTE(SUBSTITUTE(LOWER(Z337&amp;""),CHAR(10),""),CHAR(13),""),CHAR(9),""),CHAR(160),"")," ",""),".",""),"-",""),"/",""),"?",""),"_",""),",",""),"[",""),"]",""),"(",""),")",""),"*","")</f>
        <v/>
      </c>
      <c r="AX337" s="61" t="str">
        <f aca="false">SUBSTITUTE(SUBSTITUTE(SUBSTITUTE(SUBSTITUTE(SUBSTITUTE(SUBSTITUTE(SUBSTITUTE(SUBSTITUTE(SUBSTITUTE(SUBSTITUTE(SUBSTITUTE(SUBSTITUTE(SUBSTITUTE(SUBSTITUTE(SUBSTITUTE(SUBSTITUTE(LOWER(AE337&amp;""),CHAR(10),""),CHAR(13),""),CHAR(9),""),CHAR(160),"")," ",""),".",""),"-",""),"/",""),"?",""),"_",""),",",""),"[",""),"]",""),"(",""),")",""),"*","")</f>
        <v/>
      </c>
      <c r="AY337" s="61" t="str">
        <f aca="false">SUBSTITUTE(SUBSTITUTE(SUBSTITUTE(SUBSTITUTE(SUBSTITUTE(SUBSTITUTE(SUBSTITUTE(SUBSTITUTE(SUBSTITUTE(SUBSTITUTE(SUBSTITUTE(SUBSTITUTE(SUBSTITUTE(SUBSTITUTE(SUBSTITUTE(SUBSTITUTE(LOWER(W337&amp;""),CHAR(10),""),CHAR(13),""),CHAR(9),""),CHAR(160),"")," ",""),".",""),"-",""),"/",""),"?",""),"_",""),",",""),"[",""),"]",""),"(",""),")",""),"*","")</f>
        <v/>
      </c>
      <c r="AZ337" s="61" t="str">
        <f aca="false">SUBSTITUTE(SUBSTITUTE(SUBSTITUTE(SUBSTITUTE(SUBSTITUTE(SUBSTITUTE(SUBSTITUTE(SUBSTITUTE(SUBSTITUTE(SUBSTITUTE(SUBSTITUTE(SUBSTITUTE(SUBSTITUTE(SUBSTITUTE(SUBSTITUTE(SUBSTITUTE(LOWER(AC337&amp;""),CHAR(10),""),CHAR(13),""),CHAR(9),""),CHAR(160),"")," ",""),".",""),"-",""),"/",""),"?",""),"_",""),",",""),"[",""),"]",""),"(",""),")",""),"*","")</f>
        <v/>
      </c>
      <c r="BA337" s="61" t="str">
        <f aca="false">SUBSTITUTE(SUBSTITUTE(SUBSTITUTE(SUBSTITUTE(SUBSTITUTE(SUBSTITUTE(SUBSTITUTE(SUBSTITUTE(SUBSTITUTE(SUBSTITUTE(SUBSTITUTE(SUBSTITUTE(SUBSTITUTE(SUBSTITUTE(SUBSTITUTE(SUBSTITUTE(LOWER(AA337&amp;""),CHAR(10),""),CHAR(13),""),CHAR(9),""),CHAR(160),"")," ",""),".",""),"-",""),"/",""),"?",""),"_",""),",",""),"[",""),"]",""),"(",""),")",""),"*","")</f>
        <v/>
      </c>
      <c r="BB337" s="61" t="str">
        <f aca="false">IF(AND(TRIM(U337)="Pass",ISNUMBER(AF337)),IF(AF337&lt;&gt;0,"INVALID – qty variance: use Fail or Pass after CA",""),"")&amp;IF(AND(TRIM(U337)="Pass after CA",ISNUMBER(AF337)),IF(AF337&lt;&gt;0,"INVALID – after the corrective action the actual qty must equal expected (update Actual)",""),"")&amp;IF(AND(TRIM(U337)="Pass",TRIM(AB337)&lt;&gt;"",TRIM(AB337)&lt;&gt;"Closed"),"INVALID – corrective action not closed: use Fail, then Pass after CA","")&amp;IF(AND(LEN(BA337)&gt;=2,ISNA(MATCH(LEFT(BA337,255),L_Placeholder,0)),TRIM(AB337)=""),"INVALID – CA status missing for the recorded corrective action","")&amp;IF(AND(TRIM(U337)="Pass after CA",OR(OR(LEN(BA337)&lt;5,ISNUMBER(MATCH(BA337,L_Placeholder,0))),TRIM(AB337)&lt;&gt;"Closed")),"INVALID – corrective action not recorded/closed","")</f>
        <v/>
      </c>
      <c r="BC337" s="61" t="str">
        <f aca="false">" "&amp;TRIM(SUBSTITUTE(SUBSTITUTE(SUBSTITUTE(SUBSTITUTE(SUBSTITUTE(SUBSTITUTE(SUBSTITUTE(SUBSTITUTE(SUBSTITUTE(SUBSTITUTE(SUBSTITUTE(SUBSTITUTE(SUBSTITUTE(SUBSTITUTE(SUBSTITUTE(SUBSTITUTE(SUBSTITUTE(SUBSTITUTE(SUBSTITUTE(SUBSTITUTE(SUBSTITUTE(SUBSTITUTE(SUBSTITUTE(SUBSTITUTE(LOWER(V337&amp;""),CHAR(10)," "),CHAR(13)," "),CHAR(9)," "),CHAR(160)," "),"."," "),","," "),"-"," "),"/"," "),"("," "),")"," "),":"," "),";"," "),"_"," "),"–"," "),"?"," "),"!"," "),"*"," "),"["," "),"]"," "),"'"," "),"#"," "),"+"," "),"&amp;"," "),"\"," "))&amp;" "</f>
        <v>  </v>
      </c>
      <c r="BD337" s="61" t="str">
        <f aca="false">" "&amp;TRIM(SUBSTITUTE(SUBSTITUTE(SUBSTITUTE(SUBSTITUTE(SUBSTITUTE(SUBSTITUTE(SUBSTITUTE(SUBSTITUTE(SUBSTITUTE(SUBSTITUTE(SUBSTITUTE(SUBSTITUTE(SUBSTITUTE(SUBSTITUTE(SUBSTITUTE(SUBSTITUTE(SUBSTITUTE(SUBSTITUTE(SUBSTITUTE(SUBSTITUTE(SUBSTITUTE(SUBSTITUTE(SUBSTITUTE(SUBSTITUTE(LOWER(Z337&amp;""),CHAR(10)," "),CHAR(13)," "),CHAR(9)," "),CHAR(160)," "),"."," "),","," "),"-"," "),"/"," "),"("," "),")"," "),":"," "),";"," "),"_"," "),"–"," "),"?"," "),"!"," "),"*"," "),"["," "),"]"," "),"'"," "),"#"," "),"+"," "),"&amp;"," "),"\"," "))&amp;" "</f>
        <v>  </v>
      </c>
      <c r="BE337" s="61" t="str">
        <f aca="false">" "&amp;TRIM(SUBSTITUTE(SUBSTITUTE(SUBSTITUTE(SUBSTITUTE(SUBSTITUTE(SUBSTITUTE(SUBSTITUTE(SUBSTITUTE(SUBSTITUTE(SUBSTITUTE(SUBSTITUTE(SUBSTITUTE(SUBSTITUTE(SUBSTITUTE(SUBSTITUTE(SUBSTITUTE(SUBSTITUTE(SUBSTITUTE(SUBSTITUTE(SUBSTITUTE(SUBSTITUTE(SUBSTITUTE(SUBSTITUTE(SUBSTITUTE(LOWER(W337&amp;""),CHAR(10)," "),CHAR(13)," "),CHAR(9)," "),CHAR(160)," "),"."," "),","," "),"-"," "),"/"," "),"("," "),")"," "),":"," "),";"," "),"_"," "),"–"," "),"?"," "),"!"," "),"*"," "),"["," "),"]"," "),"'"," "),"#"," "),"+"," "),"&amp;"," "),"\"," "))&amp;" "</f>
        <v>  </v>
      </c>
      <c r="BF337" s="61" t="str">
        <f aca="false">" "&amp;TRIM(SUBSTITUTE(SUBSTITUTE(SUBSTITUTE(SUBSTITUTE(SUBSTITUTE(SUBSTITUTE(SUBSTITUTE(SUBSTITUTE(SUBSTITUTE(SUBSTITUTE(SUBSTITUTE(SUBSTITUTE(SUBSTITUTE(SUBSTITUTE(SUBSTITUTE(SUBSTITUTE(SUBSTITUTE(SUBSTITUTE(SUBSTITUTE(SUBSTITUTE(SUBSTITUTE(SUBSTITUTE(SUBSTITUTE(SUBSTITUTE(LOWER(AC337&amp;""),CHAR(10)," "),CHAR(13)," "),CHAR(9)," "),CHAR(160)," "),"."," "),","," "),"-"," "),"/"," "),"("," "),")"," "),":"," "),";"," "),"_"," "),"–"," "),"?"," "),"!"," "),"*"," "),"["," "),"]"," "),"'"," "),"#"," "),"+"," "),"&amp;"," "),"\"," "))&amp;" "</f>
        <v>  </v>
      </c>
      <c r="BG337" s="61" t="n">
        <f aca="false">IFERROR(IF(AND(TRIM(U337)="Pass",SUMPRODUCT((LEN(BC337)-LEN(SUBSTITUTE(BC337," "&amp;L_ResultBad&amp;" "," ")))/(LEN(L_ResultBad)+1))&gt;SUMPRODUCT((LEN(BC337)-LEN(SUBSTITUTE(BC337," "&amp;L_NegPhrase&amp;" "," ")))/(LEN(L_NegPhrase)+1))),1,0),0)</f>
        <v>0</v>
      </c>
      <c r="BH337" s="61" t="n">
        <f aca="false">IFERROR(IF(SUMPRODUCT((LEN(BC337)-LEN(SUBSTITUTE(BC337," "&amp;L_Pending&amp;" "," ")))/(LEN(L_Pending)+1))&gt;SUMPRODUCT((LEN(BC337)-LEN(SUBSTITUTE(BC337," "&amp;L_PendNeg&amp;" "," ")))/(LEN(L_PendNeg)+1))+SUMPRODUCT((LEN(BC337)-LEN(SUBSTITUTE(BC337," "&amp;L_PendPrep&amp;" "," ")))/(LEN(L_PendPrep)+1)),1,0),1)</f>
        <v>0</v>
      </c>
      <c r="BI337" s="61" t="n">
        <f aca="false">IFERROR(IF(SUMPRODUCT((LEN(BD337)-LEN(SUBSTITUTE(BD337," "&amp;L_PendStrict&amp;" "," ")))/(LEN(L_PendStrict)+1))&gt;SUMPRODUCT((LEN(BD337)-LEN(SUBSTITUTE(BD337," "&amp;L_PendNeg&amp;" "," ")))/(LEN(L_PendNeg)+1)),1,0),1)</f>
        <v>0</v>
      </c>
      <c r="BJ337" s="61" t="n">
        <f aca="false">IFERROR(IF(SUMPRODUCT((LEN(BE337)-LEN(SUBSTITUTE(BE337," "&amp;L_Pending&amp;" "," ")))/(LEN(L_Pending)+1))&gt;SUMPRODUCT((LEN(BE337)-LEN(SUBSTITUTE(BE337," "&amp;L_PendNeg&amp;" "," ")))/(LEN(L_PendNeg)+1))+SUMPRODUCT((LEN(BE337)-LEN(SUBSTITUTE(BE337," "&amp;L_PendPrep&amp;" "," ")))/(LEN(L_PendPrep)+1)),1,0),1)</f>
        <v>0</v>
      </c>
      <c r="BK337" s="61" t="n">
        <f aca="false">IFERROR(IF(SUMPRODUCT((LEN(BF337)-LEN(SUBSTITUTE(BF337," "&amp;L_PendStrict&amp;" "," ")))/(LEN(L_PendStrict)+1))&gt;SUMPRODUCT((LEN(BF337)-LEN(SUBSTITUTE(BF337," "&amp;L_PendNeg&amp;" "," ")))/(LEN(L_PendNeg)+1)),1,0),1)</f>
        <v>0</v>
      </c>
      <c r="BL337" s="61" t="n">
        <f aca="false">IF(ISNA(MATCH(TRIM(S337),L_EvidenceType,0)),0,BZ337)</f>
        <v>0</v>
      </c>
      <c r="BM337" s="61" t="str">
        <f aca="false">SUBSTITUTE(SUBSTITUTE(SUBSTITUTE(SUBSTITUTE(SUBSTITUTE(SUBSTITUTE(SUBSTITUTE(SUBSTITUTE(SUBSTITUTE(LOWER(Z337&amp;""),"1","0"),"2","0"),"3","0"),"4","0"),"5","0"),"6","0"),"7","0"),"8","0"),"9","0")</f>
        <v/>
      </c>
      <c r="BN337" s="61" t="str">
        <f aca="false">SUBSTITUTE(SUBSTITUTE(SUBSTITUTE(SUBSTITUTE(SUBSTITUTE(SUBSTITUTE(SUBSTITUTE(SUBSTITUTE(SUBSTITUTE(SUBSTITUTE(SUBSTITUTE(SUBSTITUTE(SUBSTITUTE(SUBSTITUTE(SUBSTITUTE(SUBSTITUTE(SUBSTITUTE(SUBSTITUTE(SUBSTITUTE(SUBSTITUTE(SUBSTITUTE(SUBSTITUTE(SUBSTITUTE(SUBSTITUTE(SUBSTITUTE(BM337,"b","a"),"c","a"),"d","a"),"e","a"),"f","a"),"g","a"),"h","a"),"i","a"),"j","a"),"k","a"),"l","a"),"m","a"),"n","a"),"o","a"),"p","a"),"q","a"),"r","a"),"s","a"),"t","a"),"u","a"),"v","a"),"w","a"),"x","a"),"y","a"),"z","a")</f>
        <v/>
      </c>
      <c r="BO337" s="61" t="str">
        <f aca="false">SUBSTITUTE(SUBSTITUTE(SUBSTITUTE(SUBSTITUTE(SUBSTITUTE(SUBSTITUTE(SUBSTITUTE(SUBSTITUTE(SUBSTITUTE(LOWER(W337&amp;""),"1","0"),"2","0"),"3","0"),"4","0"),"5","0"),"6","0"),"7","0"),"8","0"),"9","0")</f>
        <v/>
      </c>
      <c r="BP337" s="61" t="str">
        <f aca="false">SUBSTITUTE(SUBSTITUTE(SUBSTITUTE(SUBSTITUTE(SUBSTITUTE(SUBSTITUTE(SUBSTITUTE(SUBSTITUTE(SUBSTITUTE(SUBSTITUTE(SUBSTITUTE(SUBSTITUTE(SUBSTITUTE(SUBSTITUTE(SUBSTITUTE(SUBSTITUTE(SUBSTITUTE(SUBSTITUTE(SUBSTITUTE(SUBSTITUTE(SUBSTITUTE(SUBSTITUTE(SUBSTITUTE(SUBSTITUTE(SUBSTITUTE(BO337,"b","a"),"c","a"),"d","a"),"e","a"),"f","a"),"g","a"),"h","a"),"i","a"),"j","a"),"k","a"),"l","a"),"m","a"),"n","a"),"o","a"),"p","a"),"q","a"),"r","a"),"s","a"),"t","a"),"u","a"),"v","a"),"w","a"),"x","a"),"y","a"),"z","a")</f>
        <v/>
      </c>
      <c r="BQ337" s="61" t="n">
        <f aca="false">IFERROR(IF(AND(ISERROR(SEARCH(" mh"," "&amp;LOWER(W337))),ISNA(MATCH(LEFT(TRIM(BP337),255),{"0000a","000a","00a","0000aa","000aa","00aa","0aa","0000aaa","000aaa","00a00","0a00","0000-0000","00:00","a00","a0","00.00.0000","00/00/0000","00-00-0000","0000-00-00","0000/00/00","0000.00.00","00.00.00","00/00/00","00-00-00","0.00.0000","0/00/0000","0-00-0000"},0)),ISNA(MATCH(LEFT(TRIM(CA337),255),{"0000a","000a","00a","0000aa","000aa","00aa","0aa","0000aaa","000aaa","00a00","0a00","0000-0000","00:00","a00","a0","00.00.0000","00/00/0000","00-00-0000","0000-00-00","0000/00/00","0000.00.00","00.00.00","00/00/00","00-00-00","0.00.0000","0/00/0000","0-00-0000"},0)),LEN(CB337)&gt;=3,NOT(OR(SUBSTITUTE(CB337,"0","")="",AND(LEN(CB337)&gt;=4,CB337=REPT(LEFT(CB337),LEN(CB337))),ISNUMBER(MATCH(CB337,{"123","1234","12345","123456","1234567","12345678","0123","01234","012345","98765","987654","54321"},0)),AND(LEN(CB337)=8,LEFT(CB337,3)="202"))),OR(AND((LEN(CA337)-LEN(SUBSTITUTE(CA337,"a","")))&gt;=1,SUMPRODUCT(--ISNUMBER(SEARCH({"a0","a-0","a_0","a/0","a.0","a#0","0a","0-a","0_a","0/a"},BP337)))&gt;0),ISNUMBER(SEARCH("000000",BP337)))),1,0),0)</f>
        <v>0</v>
      </c>
      <c r="BR337" s="61" t="n">
        <f aca="false">IFERROR(LEN(SUBSTITUTE(CC337," ",""))-SUMPRODUCT((LEN(CC337)-LEN(SUBSTITUTE(CC337," "&amp;L_Role&amp;" "," ")))/(LEN(L_Role)+1)*LEN(L_Role)),0)</f>
        <v>0</v>
      </c>
      <c r="BS337" s="61" t="n">
        <f aca="false">IFERROR(LEN(SUBSTITUTE(CD337," ",""))-SUMPRODUCT((LEN(CD337)-LEN(SUBSTITUTE(CD337," "&amp;L_Role&amp;" "," ")))/(LEN(L_Role)+1)*LEN(L_Role)),0)</f>
        <v>0</v>
      </c>
      <c r="BT3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337,"revision",""),"version",""),"jan",""),"feb",""),"mar",""),"apr",""),"may",""),"jun",""),"jul",""),"aug",""),"sep",""),"oct",""),"nov",""),"dec",""),"utc",""),"gmt",""),"myt",""),"bst",""),"rev",""),"ver",""),"b","a"),"c","a"),"d","a"),"e","a"),"f","a"),"g","a"),"h","a"),"i","a"),"j","a"),"k","a"),"l","a"),"m","a"),"n","a"),"o","a"),"p","a"),"q","a"),"r","a"),"s","a"),"t","a"),"u","a"),"v","a"),"w","a"),"x","a"),"y","a"),"z","a")</f>
        <v/>
      </c>
      <c r="BU337" s="61" t="str">
        <f aca="false">SUBSTITUTE(SUBSTITUTE(SUBSTITUTE(SUBSTITUTE(SUBSTITUTE(SUBSTITUTE(SUBSTITUTE(SUBSTITUTE(SUBSTITUTE(SUBSTITUTE(LEFT(BM337,FIND("0",BM337&amp;"0")-1),"-",""),"_",""),"/",""),".",""),"#",""),"\\",""),":","")," ",""),"(",""),")","")</f>
        <v/>
      </c>
      <c r="BV337" s="61" t="n">
        <f aca="false">0</f>
        <v>0</v>
      </c>
      <c r="BW3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337&amp;""),"a",""),"b",""),"c",""),"d",""),"e",""),"f",""),"g",""),"h",""),"i",""),"j",""),"k",""),"l",""),"m",""),"n",""),"o",""),"p",""),"q",""),"r",""),"s",""),"t",""),"u",""),"v",""),"w",""),"x",""),"y",""),"z",""),"-",""),"_",""),"/",""),".",""),"#",""),"\\",""),":","")," ",""),"(",""),")","")</f>
        <v/>
      </c>
      <c r="BX337" s="61" t="str">
        <f aca="false">SUBSTITUTE(SUBSTITUTE(SUBSTITUTE(SUBSTITUTE(SUBSTITUTE(SUBSTITUTE(SUBSTITUTE(SUBSTITUTE(SUBSTITUTE(SUBSTITUTE(SUBSTITUTE(BM337,"0",""),"-",""),"_",""),"/",""),".",""),"#",""),"\\",""),":","")," ",""),"(",""),")","")</f>
        <v/>
      </c>
      <c r="BY337" s="62" t="n">
        <f aca="false">Q337-T12EarlyH/24</f>
        <v>46306.15625</v>
      </c>
      <c r="BZ337" s="61" t="n">
        <f aca="false">IFERROR(IF(IF(TRIM(S337)="Link / file path",AND(LEN(TRIM(Z337))&gt;=5,SUMPRODUCT(--ISNUMBER(SEARCH({"http","www.","\\",":\",".pdf",".jpg",".jpeg",".png",".heic",".xls",".doc",".msg",".eml",".ppt",".txt",".zip"},Z337)))&gt;0),AND(ISERROR(FIND(" ",TRIM(Z337))),NOT(OR(SUMPRODUCT(--ISNUMBER(FIND({",",";","&amp;","+"},Z337)))&gt;0,SUMPRODUCT(--ISNUMBER(SEARCH({"0/aa","0\\aa"},BN337)))&gt;0)),NOT(SUMPRODUCT(--ISNUMBER(SEARCH({"http","www.","\\",":\",".pdf",".jpg",".jpeg",".png",".heic",".xls",".doc",".msg",".eml",".ppt",".txt",".zip"},Z337)))&gt;0),NOT(LOWER(TRIM(Z337))=LOWER(Flights!$F$14)),ISNA(MATCH(BU337,{"mh","rev","revision","ver","version","v","r","a","b","seat","tray","row","gate","bay","stand","page","pg","item","line","no","cart","galley","flight","flt","table","box","bag","oven","etd","eta","std","sta","atd","ata","qty","pax","x","time","tel","ph","mob","day","wk","week","utc","gmt","myt","lt"},0)),NOT(OR(ISNUMBER(MATCH(LEFT(BN337,255),{"0000a","000a","00a","0000aa","000aa","00aa","0aa","0000aaa","000aaa","00a00","0a00","0000-0000","00:00","a00","a0","00.00.0000","00/00/0000","00-00-0000","0000-00-00","0000/00/00","0000.00.00","00.00.00","00/00/00","00-00-00","0.00.0000","0/00/0000","0-00-0000"},0)),ISNUMBER(MATCH(LEFT(BT337,255),{"0000a","000a","00a","0000aa","000aa","00aa","0aa","0000aaa","000aaa","00a00","0a00","0000-0000","00:00","a00","a0","00.00.0000","00/00/0000","00-00-0000","0000-00-00","0000/00/00","0000.00.00","00.00.00","00/00/00","00-00-00","0.00.0000","0/00/0000","0-00-0000"},0)))),NOT(OR(AND(BW337&lt;&gt;"",SUBSTITUTE(BW337,"0","")=""),AND(LEN(BW337)&gt;=4,BW337=REPT(LEFT(BW337),LEN(BW337))),ISNUMBER(MATCH(BW337,{"123","1234","12345","123456","1234567","12345678","0123","01234","012345","98765","987654","54321"},0)),ISNUMBER(MATCH(BX337,{"x","xx","xxx","xxxx","xxxxx","abc","abcd","nil","na","nan","test","tbc","tba","tbd","dummy","sample","example","eg","zz","zzz","none","null","xyz","qwe","asd","id","ref"},0)),AND(LEN(BW337)=8,BX337="",OR(LEFT(BW337,3)="202",ISNUMBER(MATCH(RIGHT(BW337,4),{"2025","2026","2027"},0)))))),OR(AND((LEN(BT337)-LEN(SUBSTITUTE(BT337,"a","")))&gt;=1,(LEN(BN337)-LEN(SUBSTITUTE(BN337,"0","")))&gt;=2,SUMPRODUCT(--ISNUMBER(SEARCH({"a0","a-0","a_0","a/0","a.0","a#0","0a","0-a","0_a","0/a"},BN337)))&gt;0),AND((LEN(BN337)-LEN(SUBSTITUTE(BN337,"a","")))=0,(LEN(BN337)-LEN(SUBSTITUTE(BN337,"0","")))&gt;=5)))),1,0),0)</f>
        <v>0</v>
      </c>
      <c r="CA3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337,"revision",""),"version",""),"jan",""),"feb",""),"mar",""),"apr",""),"may",""),"jun",""),"jul",""),"aug",""),"sep",""),"oct",""),"nov",""),"dec",""),"utc",""),"gmt",""),"myt",""),"bst",""),"rev",""),"ver",""),"b","a"),"c","a"),"d","a"),"e","a"),"f","a"),"g","a"),"h","a"),"i","a"),"j","a"),"k","a"),"l","a"),"m","a"),"n","a"),"o","a"),"p","a"),"q","a"),"r","a"),"s","a"),"t","a"),"u","a"),"v","a"),"w","a"),"x","a"),"y","a"),"z","a")</f>
        <v/>
      </c>
      <c r="CB3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337&amp;""),"a",""),"b",""),"c",""),"d",""),"e",""),"f",""),"g",""),"h",""),"i",""),"j",""),"k",""),"l",""),"m",""),"n",""),"o",""),"p",""),"q",""),"r",""),"s",""),"t",""),"u",""),"v",""),"w",""),"x",""),"y",""),"z",""),"-",""),"_",""),"/",""),".",""),"#",""),"\\",""),":","")," ",""),"(",""),")","")</f>
        <v/>
      </c>
      <c r="CC337" s="0" t="str">
        <f aca="false">" "&amp;TRIM(SUBSTITUTE(SUBSTITUTE(SUBSTITUTE(SUBSTITUTE(SUBSTITUTE(SUBSTITUTE(SUBSTITUTE(SUBSTITUTE(SUBSTITUTE(SUBSTITUTE(SUBSTITUTE(SUBSTITUTE(SUBSTITUTE(SUBSTITUTE(SUBSTITUTE(SUBSTITUTE(SUBSTITUTE(SUBSTITUTE(SUBSTITUTE(SUBSTITUTE(SUBSTITUTE(SUBSTITUTE(SUBSTITUTE(SUBSTITUTE(LOWER(T337&amp;""),CHAR(10)," "),CHAR(13)," "),CHAR(9)," "),CHAR(160)," "),"."," "),","," "),"-"," "),"/"," "),"("," "),")"," "),":"," "),";"," "),"_"," "),"–"," "),"?"," "),"!"," "),"*"," "),"["," "),"]"," "),"'"," "),"#"," "),"+"," "),"&amp;"," "),"\"," "))&amp;" "</f>
        <v>  </v>
      </c>
      <c r="CD337" s="0" t="str">
        <f aca="false">" "&amp;TRIM(SUBSTITUTE(SUBSTITUTE(SUBSTITUTE(SUBSTITUTE(SUBSTITUTE(SUBSTITUTE(SUBSTITUTE(SUBSTITUTE(SUBSTITUTE(SUBSTITUTE(SUBSTITUTE(SUBSTITUTE(SUBSTITUTE(SUBSTITUTE(SUBSTITUTE(SUBSTITUTE(SUBSTITUTE(SUBSTITUTE(SUBSTITUTE(SUBSTITUTE(SUBSTITUTE(SUBSTITUTE(SUBSTITUTE(SUBSTITUTE(LOWER(AE337&amp;""),CHAR(10)," "),CHAR(13)," "),CHAR(9)," "),CHAR(160)," "),"."," "),","," "),"-"," "),"/"," "),"("," "),")"," "),":"," "),";"," "),"_"," "),"–"," "),"?"," "),"!"," "),"*"," "),"["," "),"]"," "),"'"," "),"#"," "),"+"," "),"&amp;"," "),"\"," "))&amp;" "</f>
        <v>  </v>
      </c>
      <c r="CE337" s="68" t="n">
        <f aca="false">IFERROR(IF(AND(LEN(AU337)&gt;0,LEN(AU337)=LEN(AX337),OR(TRIM(MID(SUBSTITUTE(TRIM(CC337)," ",REPT(" ",60)),1,60))="",ISNUMBER(SEARCH(" "&amp;TRIM(MID(SUBSTITUTE(TRIM(CC337)," ",REPT(" ",60)),1,60))&amp;" ",CD337))),OR(TRIM(MID(SUBSTITUTE(TRIM(CC337)," ",REPT(" ",60)),61,60))="",ISNUMBER(SEARCH(" "&amp;TRIM(MID(SUBSTITUTE(TRIM(CC337)," ",REPT(" ",60)),61,60))&amp;" ",CD337))),OR(TRIM(MID(SUBSTITUTE(TRIM(CC337)," ",REPT(" ",60)),121,60))="",ISNUMBER(SEARCH(" "&amp;TRIM(MID(SUBSTITUTE(TRIM(CC337)," ",REPT(" ",60)),121,60))&amp;" ",CD337)))),1,0),0)</f>
        <v>0</v>
      </c>
      <c r="CG337" s="68" t="n">
        <f aca="false">IFERROR(LEN(SUBSTITUTE(BF337," ",""))-SUMPRODUCT((LEN(BF337)-LEN(SUBSTITUTE(BF337," "&amp;L_NAFiller&amp;" "," ")))/(LEN(L_NAFiller)+1)*LEN(L_NAFiller)),0)</f>
        <v>0</v>
      </c>
    </row>
    <row r="338" customFormat="false" ht="39.75" hidden="false" customHeight="true" outlineLevel="0" collapsed="false">
      <c r="A338" s="57" t="s">
        <v>931</v>
      </c>
      <c r="B338" s="57" t="s">
        <v>251</v>
      </c>
      <c r="C338" s="57" t="str">
        <f aca="false">Flights!$F$14</f>
        <v>MH1140</v>
      </c>
      <c r="D338" s="58" t="n">
        <f aca="false">Flights!$D$14</f>
        <v>46307</v>
      </c>
      <c r="E338" s="57" t="str">
        <f aca="false">Flights!$G$14&amp;"-"&amp;Flights!$H$14</f>
        <v>KUL-PEN</v>
      </c>
      <c r="F338" s="57" t="str">
        <f aca="false">Flights!$K$14</f>
        <v>BC</v>
      </c>
      <c r="G338" s="57" t="s">
        <v>420</v>
      </c>
      <c r="H338" s="57" t="s">
        <v>378</v>
      </c>
      <c r="I338" s="57" t="s">
        <v>428</v>
      </c>
      <c r="J338" s="57" t="s">
        <v>438</v>
      </c>
      <c r="K338" s="67"/>
      <c r="L338" s="67" t="s">
        <v>422</v>
      </c>
      <c r="M338" s="67"/>
      <c r="N338" s="67" t="s">
        <v>383</v>
      </c>
      <c r="O338" s="67" t="s">
        <v>423</v>
      </c>
      <c r="P338" s="57" t="s">
        <v>187</v>
      </c>
      <c r="Q338" s="59" t="n">
        <f aca="false">ROUND((Flights!$AE$14)*1440,0)/1440</f>
        <v>46306.65625</v>
      </c>
      <c r="R338" s="59" t="n">
        <f aca="false">Q338+(IF(AND(INDEX(TZ_DSTS,MATCH(P338,TZ_STN,0))&lt;&gt;"",Q338&gt;=INDEX(TZ_DSTS,MATCH(P338,TZ_STN,0)),Q338&lt;INDEX(TZ_DSTE,MATCH(P338,TZ_STN,0))),INDEX(TZ_DST,MATCH(P338,TZ_STN,0)),INDEX(TZ_STD,MATCH(P338,TZ_STN,0))))/24</f>
        <v>46306.9895833333</v>
      </c>
      <c r="S338" s="60"/>
      <c r="T338" s="60"/>
      <c r="U338" s="60"/>
      <c r="V338" s="60"/>
      <c r="W338" s="61"/>
      <c r="X338" s="60"/>
      <c r="Y338" s="60"/>
      <c r="Z338" s="60"/>
      <c r="AA338" s="60"/>
      <c r="AB338" s="60"/>
      <c r="AC338" s="60"/>
      <c r="AD338" s="66"/>
      <c r="AE338" s="60"/>
      <c r="AF338" s="61" t="str">
        <f aca="false">IF(AND(ISNUMBER(X338),ISNUMBER(Y338)),Y338-X338,"")</f>
        <v/>
      </c>
      <c r="AG338" s="62" t="str">
        <f aca="false">IF(ISNUMBER(AD338),AD338-(IF(AND(INDEX(TZ_DSTS,MATCH(P338,TZ_STN,0))&lt;&gt;"",(AD338-INDEX(TZ_STD,MATCH(P338,TZ_STN,0))/24)&gt;=INDEX(TZ_DSTS,MATCH(P338,TZ_STN,0)),(AD338-INDEX(TZ_STD,MATCH(P338,TZ_STN,0))/24)&lt;INDEX(TZ_DSTE,MATCH(P338,TZ_STN,0))),INDEX(TZ_DST,MATCH(P338,TZ_STN,0)),INDEX(TZ_STD,MATCH(P338,TZ_STN,0))))/24,"")</f>
        <v/>
      </c>
      <c r="AH338" s="65" t="str">
        <f aca="false">IFERROR(IF(N338="N/A – rule",IF(OR(TRIM(U338)="",TRIM(U338)="N/A",TRIM(U338)="Not started"),"N/A – RULE","INVALID – this check does not apply to this aircraft: clear the status (or correct the fleet on Flights)"),IF(TRIM(U338)="N/A",IF(AT338=0,"INVALID – N/A not permitted for this check",IF(AND(TRIM(AB338)&lt;&gt;"",TRIM(AB338)&lt;&gt;"Closed"),"INVALID – corrective action still open",IF(AND(NOT(OR(LEN(AZ338)&lt;15,ISNUMBER(MATCH(AZ338,L_Placeholder,0)))),BK338=0,CG338&gt;=8,NOT(OR(LEN(AU338)&lt;2,ISNUMBER(MATCH(AU338,L_Placeholder,0)))),BR338&gt;=3,NOT(OR(LEN(AX338)&lt;2,ISNUMBER(MATCH(AX338,L_Placeholder,0)))),BS338&gt;=3,TRIM(AE338)&lt;&gt;TRIM(T338),AX338&lt;&gt;AU338,CE338=0),"N/A – JUSTIFIED","INVALID – N/A needs a real, settled reason (not 'not applicable' / 'as above' / TBC), a named PIC and a different named verifier"))),IF(OR(TRIM(U338)="Pass",TRIM(U338)="Pass after CA"),IF(NOT(ISNUMBER(AD338)),"INVALID – completion time missing",IF(OR(OR(LEN(AU338)&lt;2,ISNUMBER(MATCH(AU338,L_Placeholder,0))),BR338&lt;3),"INVALID – PIC missing or not a named person (a role such as QA / CSM is not a name)",IF(OR(LEN(AV338)&lt;2,ISNUMBER(MATCH(AV338,L_Placeholder,0))),"INVALID – result / assessment missing",IF(OR(OR(LEN(AW338)&lt;3,ISNUMBER(MATCH(AW338,L_Placeholder,0))),SUMPRODUCT(--ISNUMBER(SEARCH(" "&amp;L_EvidencePhrase&amp;" ",BD338)))&gt;0,BI338=1),"INVALID – evidence missing, placeholder or not yet on file",IF(ISNA(MATCH(TRIM(S338),L_EvidenceType,0)),"INVALID – choose the evidence type from the list (column S)",IF(BL338=0,"INVALID – evidence ID must be the record's own ID only (e.g. SF-2210, IMG_2231, 1045521); a link / file name needs type 'Link / file path'",IF(OR(OR(LEN(AX338)&lt;2,ISNUMBER(MATCH(AX338,L_Placeholder,0))),BS338&lt;3),"INVALID – verifier missing or not a named person (a role such as QA / CSM is not a name)",IF(OR(AX338=AU338,CE338=1,AND(LEN(AU338)&gt;=4,ISNUMBER(SEARCH(AU338,AX338))),AND(LEN(AX338)&gt;=4,ISNUMBER(SEARCH(AX338,AU338)))),"INVALID – verifier must be a different, named person (not the PIC or a role)",IF(BH338=1,"INVALID – result not yet available (awaiting / TBC)",IF(BG338=1,"INVALID – result describes a problem: record Fail, then Pass after CA (or reword if it is not a problem)",IF(BV338=1,"INVALID – wording says not on board: an on-board confirmation needs the item loaded",IF(AND(AQ338=1,OR(OR(LEN(AY338)&lt;3,ISNUMBER(MATCH(AY338,L_Placeholder,0))),BJ338=1,BQ338=0)),"INVALID – batch ID missing, placeholder or not an ID (e.g. PASB-261008-BC-017)",IF(AND(AR338=1,OR(NOT(ISNUMBER(X338)),NOT(ISNUMBER(Y338)))),"INVALID – expected/actual qty missing",IF(AND(AR338=1,OR(X338&lt;=0,Y338&lt;0)),"INVALID – expected qty must be above 0 and actual not negative",IF(BB338&lt;&gt;"",BB338,IF(AND(AS338=1,Documents!$J$14&lt;&gt;"ON FILE"),"INVALID – GLD not on file (Documents sheet)",IF(AND(AS338=2,Documents!$O$14&lt;&gt;"ON FILE"),"INVALID – menu checklist not on file (Documents sheet)",IF(AND(AS338=3,NOT(ISNUMBER(Flights!$AX$14))),"INVALID – enter carrying flight KUL departure (Flights AX)",IF(AND(AS338=3,OR(Flights!$AZ$14&gt;Flights!$AA$14,Flights!$AX$14&lt;Flights!$AA$14-3)),"INVALID – carrying flight (Flights AX) cannot arrive before this leg's STD, or is over 3 days early",IF(AG338&gt;AsOfUTC,"INVALID – completion time is in the future",IF(AND(ISNUMBER(BY338),AG338&lt;BY338),IF(H338="Physical uplift","INVALID – before uplift window (cannot confirm loading)","INVALID – before valid window"),IF(AG338&gt;Flights!$AA$14,"INVALID – completed after departure (cannot establish readiness)",IF(AND(H338="Preparation",AG338&gt;=IF(ISNUMBER(Flights!$BA$14),MIN(Flights!$BA$14,Flights!$AA$14),Flights!$AA$14)),"INVALID – completed after loading / departure (cannot establish readiness)",IF(AND(H338="Physical uplift",AG338&gt;Q338),"INVALID – recorded after the loading flight departed",IF(AG338&gt;Q338,"COMPLETE – LATE","COMPLETE"))))))))))))))))))))))))),IF(TRIM(U338)="Fail","FAIL – DISCREPANCY",IF(AND(TRIM(U338)&lt;&gt;"",TRIM(U338)&lt;&gt;"Not started",TRIM(U338)&lt;&gt;"In progress"),"INVALID – unrecognised status (use the list)",IF(AsOfUTC&gt;Q338,"OVERDUE",IF(N338="Clarification required","OPEN – CLARIFICATION","OPEN"))))))),"INVALID – error value in an input cell")</f>
        <v>OPEN</v>
      </c>
      <c r="AI338" s="61" t="n">
        <f aca="false">IF(OR(AH338="N/A – RULE",AH338="N/A – JUSTIFIED"),0,1)</f>
        <v>1</v>
      </c>
      <c r="AJ338" s="61" t="n">
        <f aca="false">IF(LEFT(AH338,8)="COMPLETE",1,0)</f>
        <v>0</v>
      </c>
      <c r="AK338" s="61" t="n">
        <f aca="false">IF(AND(AI338=1,AJ338=0,AsOfUTC&gt;Q338),1,0)</f>
        <v>0</v>
      </c>
      <c r="AL338" s="61" t="n">
        <f aca="false">IFERROR(IF(AND(AI338=1,OR(TRIM(U338)="Fail",AND(TRIM(AB338)&lt;&gt;"",TRIM(AB338)&lt;&gt;"Closed"),AND(ISNUMBER(AF338),AF338&lt;&gt;0,TRIM(U338)&lt;&gt;"Pass after CA"))),1,0),1)</f>
        <v>0</v>
      </c>
      <c r="AM338" s="61" t="n">
        <f aca="false">IF(LEFT(AH338,7)="INVALID",1,0)</f>
        <v>0</v>
      </c>
      <c r="AN338" s="61" t="n">
        <f aca="false">IF(AND(N338="Clarification required",AI338=1,AJ338=0),1,0)</f>
        <v>0</v>
      </c>
      <c r="AO338" s="61" t="str">
        <f aca="false">IF(AK338=1,SUM(AK$5:AK338),"")</f>
        <v/>
      </c>
      <c r="AP338" s="61" t="str">
        <f aca="false">IF(AL338=1,SUM(AL$5:AL338),"")</f>
        <v/>
      </c>
      <c r="AQ338" s="61" t="n">
        <v>0</v>
      </c>
      <c r="AR338" s="61" t="n">
        <v>0</v>
      </c>
      <c r="AS338" s="61" t="n">
        <v>0</v>
      </c>
      <c r="AT338" s="61" t="n">
        <v>0</v>
      </c>
      <c r="AU338" s="61" t="str">
        <f aca="false">SUBSTITUTE(SUBSTITUTE(SUBSTITUTE(SUBSTITUTE(SUBSTITUTE(SUBSTITUTE(SUBSTITUTE(SUBSTITUTE(SUBSTITUTE(SUBSTITUTE(SUBSTITUTE(SUBSTITUTE(SUBSTITUTE(SUBSTITUTE(SUBSTITUTE(SUBSTITUTE(LOWER(T338&amp;""),CHAR(10),""),CHAR(13),""),CHAR(9),""),CHAR(160),"")," ",""),".",""),"-",""),"/",""),"?",""),"_",""),",",""),"[",""),"]",""),"(",""),")",""),"*","")</f>
        <v/>
      </c>
      <c r="AV338" s="61" t="str">
        <f aca="false">SUBSTITUTE(SUBSTITUTE(SUBSTITUTE(SUBSTITUTE(SUBSTITUTE(SUBSTITUTE(SUBSTITUTE(SUBSTITUTE(SUBSTITUTE(SUBSTITUTE(SUBSTITUTE(SUBSTITUTE(SUBSTITUTE(SUBSTITUTE(SUBSTITUTE(SUBSTITUTE(LOWER(V338&amp;""),CHAR(10),""),CHAR(13),""),CHAR(9),""),CHAR(160),"")," ",""),".",""),"-",""),"/",""),"?",""),"_",""),",",""),"[",""),"]",""),"(",""),")",""),"*","")</f>
        <v/>
      </c>
      <c r="AW338" s="61" t="str">
        <f aca="false">SUBSTITUTE(SUBSTITUTE(SUBSTITUTE(SUBSTITUTE(SUBSTITUTE(SUBSTITUTE(SUBSTITUTE(SUBSTITUTE(SUBSTITUTE(SUBSTITUTE(SUBSTITUTE(SUBSTITUTE(SUBSTITUTE(SUBSTITUTE(SUBSTITUTE(SUBSTITUTE(LOWER(Z338&amp;""),CHAR(10),""),CHAR(13),""),CHAR(9),""),CHAR(160),"")," ",""),".",""),"-",""),"/",""),"?",""),"_",""),",",""),"[",""),"]",""),"(",""),")",""),"*","")</f>
        <v/>
      </c>
      <c r="AX338" s="61" t="str">
        <f aca="false">SUBSTITUTE(SUBSTITUTE(SUBSTITUTE(SUBSTITUTE(SUBSTITUTE(SUBSTITUTE(SUBSTITUTE(SUBSTITUTE(SUBSTITUTE(SUBSTITUTE(SUBSTITUTE(SUBSTITUTE(SUBSTITUTE(SUBSTITUTE(SUBSTITUTE(SUBSTITUTE(LOWER(AE338&amp;""),CHAR(10),""),CHAR(13),""),CHAR(9),""),CHAR(160),"")," ",""),".",""),"-",""),"/",""),"?",""),"_",""),",",""),"[",""),"]",""),"(",""),")",""),"*","")</f>
        <v/>
      </c>
      <c r="AY338" s="61" t="str">
        <f aca="false">SUBSTITUTE(SUBSTITUTE(SUBSTITUTE(SUBSTITUTE(SUBSTITUTE(SUBSTITUTE(SUBSTITUTE(SUBSTITUTE(SUBSTITUTE(SUBSTITUTE(SUBSTITUTE(SUBSTITUTE(SUBSTITUTE(SUBSTITUTE(SUBSTITUTE(SUBSTITUTE(LOWER(W338&amp;""),CHAR(10),""),CHAR(13),""),CHAR(9),""),CHAR(160),"")," ",""),".",""),"-",""),"/",""),"?",""),"_",""),",",""),"[",""),"]",""),"(",""),")",""),"*","")</f>
        <v/>
      </c>
      <c r="AZ338" s="61" t="str">
        <f aca="false">SUBSTITUTE(SUBSTITUTE(SUBSTITUTE(SUBSTITUTE(SUBSTITUTE(SUBSTITUTE(SUBSTITUTE(SUBSTITUTE(SUBSTITUTE(SUBSTITUTE(SUBSTITUTE(SUBSTITUTE(SUBSTITUTE(SUBSTITUTE(SUBSTITUTE(SUBSTITUTE(LOWER(AC338&amp;""),CHAR(10),""),CHAR(13),""),CHAR(9),""),CHAR(160),"")," ",""),".",""),"-",""),"/",""),"?",""),"_",""),",",""),"[",""),"]",""),"(",""),")",""),"*","")</f>
        <v/>
      </c>
      <c r="BA338" s="61" t="str">
        <f aca="false">SUBSTITUTE(SUBSTITUTE(SUBSTITUTE(SUBSTITUTE(SUBSTITUTE(SUBSTITUTE(SUBSTITUTE(SUBSTITUTE(SUBSTITUTE(SUBSTITUTE(SUBSTITUTE(SUBSTITUTE(SUBSTITUTE(SUBSTITUTE(SUBSTITUTE(SUBSTITUTE(LOWER(AA338&amp;""),CHAR(10),""),CHAR(13),""),CHAR(9),""),CHAR(160),"")," ",""),".",""),"-",""),"/",""),"?",""),"_",""),",",""),"[",""),"]",""),"(",""),")",""),"*","")</f>
        <v/>
      </c>
      <c r="BB338" s="61" t="str">
        <f aca="false">IF(AND(TRIM(U338)="Pass",ISNUMBER(AF338)),IF(AF338&lt;&gt;0,"INVALID – qty variance: use Fail or Pass after CA",""),"")&amp;IF(AND(TRIM(U338)="Pass after CA",ISNUMBER(AF338)),IF(AF338&lt;&gt;0,"INVALID – after the corrective action the actual qty must equal expected (update Actual)",""),"")&amp;IF(AND(TRIM(U338)="Pass",TRIM(AB338)&lt;&gt;"",TRIM(AB338)&lt;&gt;"Closed"),"INVALID – corrective action not closed: use Fail, then Pass after CA","")&amp;IF(AND(LEN(BA338)&gt;=2,ISNA(MATCH(LEFT(BA338,255),L_Placeholder,0)),TRIM(AB338)=""),"INVALID – CA status missing for the recorded corrective action","")&amp;IF(AND(TRIM(U338)="Pass after CA",OR(OR(LEN(BA338)&lt;5,ISNUMBER(MATCH(BA338,L_Placeholder,0))),TRIM(AB338)&lt;&gt;"Closed")),"INVALID – corrective action not recorded/closed","")</f>
        <v/>
      </c>
      <c r="BC338" s="61" t="str">
        <f aca="false">" "&amp;TRIM(SUBSTITUTE(SUBSTITUTE(SUBSTITUTE(SUBSTITUTE(SUBSTITUTE(SUBSTITUTE(SUBSTITUTE(SUBSTITUTE(SUBSTITUTE(SUBSTITUTE(SUBSTITUTE(SUBSTITUTE(SUBSTITUTE(SUBSTITUTE(SUBSTITUTE(SUBSTITUTE(SUBSTITUTE(SUBSTITUTE(SUBSTITUTE(SUBSTITUTE(SUBSTITUTE(SUBSTITUTE(SUBSTITUTE(SUBSTITUTE(LOWER(V338&amp;""),CHAR(10)," "),CHAR(13)," "),CHAR(9)," "),CHAR(160)," "),"."," "),","," "),"-"," "),"/"," "),"("," "),")"," "),":"," "),";"," "),"_"," "),"–"," "),"?"," "),"!"," "),"*"," "),"["," "),"]"," "),"'"," "),"#"," "),"+"," "),"&amp;"," "),"\"," "))&amp;" "</f>
        <v>  </v>
      </c>
      <c r="BD338" s="61" t="str">
        <f aca="false">" "&amp;TRIM(SUBSTITUTE(SUBSTITUTE(SUBSTITUTE(SUBSTITUTE(SUBSTITUTE(SUBSTITUTE(SUBSTITUTE(SUBSTITUTE(SUBSTITUTE(SUBSTITUTE(SUBSTITUTE(SUBSTITUTE(SUBSTITUTE(SUBSTITUTE(SUBSTITUTE(SUBSTITUTE(SUBSTITUTE(SUBSTITUTE(SUBSTITUTE(SUBSTITUTE(SUBSTITUTE(SUBSTITUTE(SUBSTITUTE(SUBSTITUTE(LOWER(Z338&amp;""),CHAR(10)," "),CHAR(13)," "),CHAR(9)," "),CHAR(160)," "),"."," "),","," "),"-"," "),"/"," "),"("," "),")"," "),":"," "),";"," "),"_"," "),"–"," "),"?"," "),"!"," "),"*"," "),"["," "),"]"," "),"'"," "),"#"," "),"+"," "),"&amp;"," "),"\"," "))&amp;" "</f>
        <v>  </v>
      </c>
      <c r="BE338" s="61" t="str">
        <f aca="false">" "&amp;TRIM(SUBSTITUTE(SUBSTITUTE(SUBSTITUTE(SUBSTITUTE(SUBSTITUTE(SUBSTITUTE(SUBSTITUTE(SUBSTITUTE(SUBSTITUTE(SUBSTITUTE(SUBSTITUTE(SUBSTITUTE(SUBSTITUTE(SUBSTITUTE(SUBSTITUTE(SUBSTITUTE(SUBSTITUTE(SUBSTITUTE(SUBSTITUTE(SUBSTITUTE(SUBSTITUTE(SUBSTITUTE(SUBSTITUTE(SUBSTITUTE(LOWER(W338&amp;""),CHAR(10)," "),CHAR(13)," "),CHAR(9)," "),CHAR(160)," "),"."," "),","," "),"-"," "),"/"," "),"("," "),")"," "),":"," "),";"," "),"_"," "),"–"," "),"?"," "),"!"," "),"*"," "),"["," "),"]"," "),"'"," "),"#"," "),"+"," "),"&amp;"," "),"\"," "))&amp;" "</f>
        <v>  </v>
      </c>
      <c r="BF338" s="61" t="str">
        <f aca="false">" "&amp;TRIM(SUBSTITUTE(SUBSTITUTE(SUBSTITUTE(SUBSTITUTE(SUBSTITUTE(SUBSTITUTE(SUBSTITUTE(SUBSTITUTE(SUBSTITUTE(SUBSTITUTE(SUBSTITUTE(SUBSTITUTE(SUBSTITUTE(SUBSTITUTE(SUBSTITUTE(SUBSTITUTE(SUBSTITUTE(SUBSTITUTE(SUBSTITUTE(SUBSTITUTE(SUBSTITUTE(SUBSTITUTE(SUBSTITUTE(SUBSTITUTE(LOWER(AC338&amp;""),CHAR(10)," "),CHAR(13)," "),CHAR(9)," "),CHAR(160)," "),"."," "),","," "),"-"," "),"/"," "),"("," "),")"," "),":"," "),";"," "),"_"," "),"–"," "),"?"," "),"!"," "),"*"," "),"["," "),"]"," "),"'"," "),"#"," "),"+"," "),"&amp;"," "),"\"," "))&amp;" "</f>
        <v>  </v>
      </c>
      <c r="BG338" s="61" t="n">
        <f aca="false">IFERROR(IF(AND(TRIM(U338)="Pass",SUMPRODUCT((LEN(BC338)-LEN(SUBSTITUTE(BC338," "&amp;L_ResultBad&amp;" "," ")))/(LEN(L_ResultBad)+1))&gt;SUMPRODUCT((LEN(BC338)-LEN(SUBSTITUTE(BC338," "&amp;L_NegPhrase&amp;" "," ")))/(LEN(L_NegPhrase)+1))),1,0),0)</f>
        <v>0</v>
      </c>
      <c r="BH338" s="61" t="n">
        <f aca="false">IFERROR(IF(SUMPRODUCT((LEN(BC338)-LEN(SUBSTITUTE(BC338," "&amp;L_Pending&amp;" "," ")))/(LEN(L_Pending)+1))&gt;SUMPRODUCT((LEN(BC338)-LEN(SUBSTITUTE(BC338," "&amp;L_PendNeg&amp;" "," ")))/(LEN(L_PendNeg)+1))+SUMPRODUCT((LEN(BC338)-LEN(SUBSTITUTE(BC338," "&amp;L_PendPrep&amp;" "," ")))/(LEN(L_PendPrep)+1)),1,0),1)</f>
        <v>0</v>
      </c>
      <c r="BI338" s="61" t="n">
        <f aca="false">IFERROR(IF(SUMPRODUCT((LEN(BD338)-LEN(SUBSTITUTE(BD338," "&amp;L_PendStrict&amp;" "," ")))/(LEN(L_PendStrict)+1))&gt;SUMPRODUCT((LEN(BD338)-LEN(SUBSTITUTE(BD338," "&amp;L_PendNeg&amp;" "," ")))/(LEN(L_PendNeg)+1)),1,0),1)</f>
        <v>0</v>
      </c>
      <c r="BJ338" s="61" t="n">
        <f aca="false">IFERROR(IF(SUMPRODUCT((LEN(BE338)-LEN(SUBSTITUTE(BE338," "&amp;L_Pending&amp;" "," ")))/(LEN(L_Pending)+1))&gt;SUMPRODUCT((LEN(BE338)-LEN(SUBSTITUTE(BE338," "&amp;L_PendNeg&amp;" "," ")))/(LEN(L_PendNeg)+1))+SUMPRODUCT((LEN(BE338)-LEN(SUBSTITUTE(BE338," "&amp;L_PendPrep&amp;" "," ")))/(LEN(L_PendPrep)+1)),1,0),1)</f>
        <v>0</v>
      </c>
      <c r="BK338" s="61" t="n">
        <f aca="false">IFERROR(IF(SUMPRODUCT((LEN(BF338)-LEN(SUBSTITUTE(BF338," "&amp;L_PendStrict&amp;" "," ")))/(LEN(L_PendStrict)+1))&gt;SUMPRODUCT((LEN(BF338)-LEN(SUBSTITUTE(BF338," "&amp;L_PendNeg&amp;" "," ")))/(LEN(L_PendNeg)+1)),1,0),1)</f>
        <v>0</v>
      </c>
      <c r="BL338" s="61" t="n">
        <f aca="false">IF(ISNA(MATCH(TRIM(S338),L_EvidenceType,0)),0,BZ338)</f>
        <v>0</v>
      </c>
      <c r="BM338" s="61" t="str">
        <f aca="false">SUBSTITUTE(SUBSTITUTE(SUBSTITUTE(SUBSTITUTE(SUBSTITUTE(SUBSTITUTE(SUBSTITUTE(SUBSTITUTE(SUBSTITUTE(LOWER(Z338&amp;""),"1","0"),"2","0"),"3","0"),"4","0"),"5","0"),"6","0"),"7","0"),"8","0"),"9","0")</f>
        <v/>
      </c>
      <c r="BN338" s="61" t="str">
        <f aca="false">SUBSTITUTE(SUBSTITUTE(SUBSTITUTE(SUBSTITUTE(SUBSTITUTE(SUBSTITUTE(SUBSTITUTE(SUBSTITUTE(SUBSTITUTE(SUBSTITUTE(SUBSTITUTE(SUBSTITUTE(SUBSTITUTE(SUBSTITUTE(SUBSTITUTE(SUBSTITUTE(SUBSTITUTE(SUBSTITUTE(SUBSTITUTE(SUBSTITUTE(SUBSTITUTE(SUBSTITUTE(SUBSTITUTE(SUBSTITUTE(SUBSTITUTE(BM338,"b","a"),"c","a"),"d","a"),"e","a"),"f","a"),"g","a"),"h","a"),"i","a"),"j","a"),"k","a"),"l","a"),"m","a"),"n","a"),"o","a"),"p","a"),"q","a"),"r","a"),"s","a"),"t","a"),"u","a"),"v","a"),"w","a"),"x","a"),"y","a"),"z","a")</f>
        <v/>
      </c>
      <c r="BO338" s="61" t="str">
        <f aca="false">SUBSTITUTE(SUBSTITUTE(SUBSTITUTE(SUBSTITUTE(SUBSTITUTE(SUBSTITUTE(SUBSTITUTE(SUBSTITUTE(SUBSTITUTE(LOWER(W338&amp;""),"1","0"),"2","0"),"3","0"),"4","0"),"5","0"),"6","0"),"7","0"),"8","0"),"9","0")</f>
        <v/>
      </c>
      <c r="BP338" s="61" t="str">
        <f aca="false">SUBSTITUTE(SUBSTITUTE(SUBSTITUTE(SUBSTITUTE(SUBSTITUTE(SUBSTITUTE(SUBSTITUTE(SUBSTITUTE(SUBSTITUTE(SUBSTITUTE(SUBSTITUTE(SUBSTITUTE(SUBSTITUTE(SUBSTITUTE(SUBSTITUTE(SUBSTITUTE(SUBSTITUTE(SUBSTITUTE(SUBSTITUTE(SUBSTITUTE(SUBSTITUTE(SUBSTITUTE(SUBSTITUTE(SUBSTITUTE(SUBSTITUTE(BO338,"b","a"),"c","a"),"d","a"),"e","a"),"f","a"),"g","a"),"h","a"),"i","a"),"j","a"),"k","a"),"l","a"),"m","a"),"n","a"),"o","a"),"p","a"),"q","a"),"r","a"),"s","a"),"t","a"),"u","a"),"v","a"),"w","a"),"x","a"),"y","a"),"z","a")</f>
        <v/>
      </c>
      <c r="BQ338" s="61" t="n">
        <f aca="false">IFERROR(IF(AND(ISERROR(SEARCH(" mh"," "&amp;LOWER(W338))),ISNA(MATCH(LEFT(TRIM(BP338),255),{"0000a","000a","00a","0000aa","000aa","00aa","0aa","0000aaa","000aaa","00a00","0a00","0000-0000","00:00","a00","a0","00.00.0000","00/00/0000","00-00-0000","0000-00-00","0000/00/00","0000.00.00","00.00.00","00/00/00","00-00-00","0.00.0000","0/00/0000","0-00-0000"},0)),ISNA(MATCH(LEFT(TRIM(CA338),255),{"0000a","000a","00a","0000aa","000aa","00aa","0aa","0000aaa","000aaa","00a00","0a00","0000-0000","00:00","a00","a0","00.00.0000","00/00/0000","00-00-0000","0000-00-00","0000/00/00","0000.00.00","00.00.00","00/00/00","00-00-00","0.00.0000","0/00/0000","0-00-0000"},0)),LEN(CB338)&gt;=3,NOT(OR(SUBSTITUTE(CB338,"0","")="",AND(LEN(CB338)&gt;=4,CB338=REPT(LEFT(CB338),LEN(CB338))),ISNUMBER(MATCH(CB338,{"123","1234","12345","123456","1234567","12345678","0123","01234","012345","98765","987654","54321"},0)),AND(LEN(CB338)=8,LEFT(CB338,3)="202"))),OR(AND((LEN(CA338)-LEN(SUBSTITUTE(CA338,"a","")))&gt;=1,SUMPRODUCT(--ISNUMBER(SEARCH({"a0","a-0","a_0","a/0","a.0","a#0","0a","0-a","0_a","0/a"},BP338)))&gt;0),ISNUMBER(SEARCH("000000",BP338)))),1,0),0)</f>
        <v>0</v>
      </c>
      <c r="BR338" s="61" t="n">
        <f aca="false">IFERROR(LEN(SUBSTITUTE(CC338," ",""))-SUMPRODUCT((LEN(CC338)-LEN(SUBSTITUTE(CC338," "&amp;L_Role&amp;" "," ")))/(LEN(L_Role)+1)*LEN(L_Role)),0)</f>
        <v>0</v>
      </c>
      <c r="BS338" s="61" t="n">
        <f aca="false">IFERROR(LEN(SUBSTITUTE(CD338," ",""))-SUMPRODUCT((LEN(CD338)-LEN(SUBSTITUTE(CD338," "&amp;L_Role&amp;" "," ")))/(LEN(L_Role)+1)*LEN(L_Role)),0)</f>
        <v>0</v>
      </c>
      <c r="BT3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338,"revision",""),"version",""),"jan",""),"feb",""),"mar",""),"apr",""),"may",""),"jun",""),"jul",""),"aug",""),"sep",""),"oct",""),"nov",""),"dec",""),"utc",""),"gmt",""),"myt",""),"bst",""),"rev",""),"ver",""),"b","a"),"c","a"),"d","a"),"e","a"),"f","a"),"g","a"),"h","a"),"i","a"),"j","a"),"k","a"),"l","a"),"m","a"),"n","a"),"o","a"),"p","a"),"q","a"),"r","a"),"s","a"),"t","a"),"u","a"),"v","a"),"w","a"),"x","a"),"y","a"),"z","a")</f>
        <v/>
      </c>
      <c r="BU338" s="61" t="str">
        <f aca="false">SUBSTITUTE(SUBSTITUTE(SUBSTITUTE(SUBSTITUTE(SUBSTITUTE(SUBSTITUTE(SUBSTITUTE(SUBSTITUTE(SUBSTITUTE(SUBSTITUTE(LEFT(BM338,FIND("0",BM338&amp;"0")-1),"-",""),"_",""),"/",""),".",""),"#",""),"\\",""),":","")," ",""),"(",""),")","")</f>
        <v/>
      </c>
      <c r="BV338" s="61" t="n">
        <f aca="false">0</f>
        <v>0</v>
      </c>
      <c r="BW3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338&amp;""),"a",""),"b",""),"c",""),"d",""),"e",""),"f",""),"g",""),"h",""),"i",""),"j",""),"k",""),"l",""),"m",""),"n",""),"o",""),"p",""),"q",""),"r",""),"s",""),"t",""),"u",""),"v",""),"w",""),"x",""),"y",""),"z",""),"-",""),"_",""),"/",""),".",""),"#",""),"\\",""),":","")," ",""),"(",""),")","")</f>
        <v/>
      </c>
      <c r="BX338" s="61" t="str">
        <f aca="false">SUBSTITUTE(SUBSTITUTE(SUBSTITUTE(SUBSTITUTE(SUBSTITUTE(SUBSTITUTE(SUBSTITUTE(SUBSTITUTE(SUBSTITUTE(SUBSTITUTE(SUBSTITUTE(BM338,"0",""),"-",""),"_",""),"/",""),".",""),"#",""),"\\",""),":","")," ",""),"(",""),")","")</f>
        <v/>
      </c>
      <c r="BY338" s="62" t="n">
        <f aca="false">Q338-T12EarlyH/24</f>
        <v>46306.15625</v>
      </c>
      <c r="BZ338" s="61" t="n">
        <f aca="false">IFERROR(IF(IF(TRIM(S338)="Link / file path",AND(LEN(TRIM(Z338))&gt;=5,SUMPRODUCT(--ISNUMBER(SEARCH({"http","www.","\\",":\",".pdf",".jpg",".jpeg",".png",".heic",".xls",".doc",".msg",".eml",".ppt",".txt",".zip"},Z338)))&gt;0),AND(ISERROR(FIND(" ",TRIM(Z338))),NOT(OR(SUMPRODUCT(--ISNUMBER(FIND({",",";","&amp;","+"},Z338)))&gt;0,SUMPRODUCT(--ISNUMBER(SEARCH({"0/aa","0\\aa"},BN338)))&gt;0)),NOT(SUMPRODUCT(--ISNUMBER(SEARCH({"http","www.","\\",":\",".pdf",".jpg",".jpeg",".png",".heic",".xls",".doc",".msg",".eml",".ppt",".txt",".zip"},Z338)))&gt;0),NOT(LOWER(TRIM(Z338))=LOWER(Flights!$F$14)),ISNA(MATCH(BU338,{"mh","rev","revision","ver","version","v","r","a","b","seat","tray","row","gate","bay","stand","page","pg","item","line","no","cart","galley","flight","flt","table","box","bag","oven","etd","eta","std","sta","atd","ata","qty","pax","x","time","tel","ph","mob","day","wk","week","utc","gmt","myt","lt"},0)),NOT(OR(ISNUMBER(MATCH(LEFT(BN338,255),{"0000a","000a","00a","0000aa","000aa","00aa","0aa","0000aaa","000aaa","00a00","0a00","0000-0000","00:00","a00","a0","00.00.0000","00/00/0000","00-00-0000","0000-00-00","0000/00/00","0000.00.00","00.00.00","00/00/00","00-00-00","0.00.0000","0/00/0000","0-00-0000"},0)),ISNUMBER(MATCH(LEFT(BT338,255),{"0000a","000a","00a","0000aa","000aa","00aa","0aa","0000aaa","000aaa","00a00","0a00","0000-0000","00:00","a00","a0","00.00.0000","00/00/0000","00-00-0000","0000-00-00","0000/00/00","0000.00.00","00.00.00","00/00/00","00-00-00","0.00.0000","0/00/0000","0-00-0000"},0)))),NOT(OR(AND(BW338&lt;&gt;"",SUBSTITUTE(BW338,"0","")=""),AND(LEN(BW338)&gt;=4,BW338=REPT(LEFT(BW338),LEN(BW338))),ISNUMBER(MATCH(BW338,{"123","1234","12345","123456","1234567","12345678","0123","01234","012345","98765","987654","54321"},0)),ISNUMBER(MATCH(BX338,{"x","xx","xxx","xxxx","xxxxx","abc","abcd","nil","na","nan","test","tbc","tba","tbd","dummy","sample","example","eg","zz","zzz","none","null","xyz","qwe","asd","id","ref"},0)),AND(LEN(BW338)=8,BX338="",OR(LEFT(BW338,3)="202",ISNUMBER(MATCH(RIGHT(BW338,4),{"2025","2026","2027"},0)))))),OR(AND((LEN(BT338)-LEN(SUBSTITUTE(BT338,"a","")))&gt;=1,(LEN(BN338)-LEN(SUBSTITUTE(BN338,"0","")))&gt;=2,SUMPRODUCT(--ISNUMBER(SEARCH({"a0","a-0","a_0","a/0","a.0","a#0","0a","0-a","0_a","0/a"},BN338)))&gt;0),AND((LEN(BN338)-LEN(SUBSTITUTE(BN338,"a","")))=0,(LEN(BN338)-LEN(SUBSTITUTE(BN338,"0","")))&gt;=5)))),1,0),0)</f>
        <v>0</v>
      </c>
      <c r="CA3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338,"revision",""),"version",""),"jan",""),"feb",""),"mar",""),"apr",""),"may",""),"jun",""),"jul",""),"aug",""),"sep",""),"oct",""),"nov",""),"dec",""),"utc",""),"gmt",""),"myt",""),"bst",""),"rev",""),"ver",""),"b","a"),"c","a"),"d","a"),"e","a"),"f","a"),"g","a"),"h","a"),"i","a"),"j","a"),"k","a"),"l","a"),"m","a"),"n","a"),"o","a"),"p","a"),"q","a"),"r","a"),"s","a"),"t","a"),"u","a"),"v","a"),"w","a"),"x","a"),"y","a"),"z","a")</f>
        <v/>
      </c>
      <c r="CB3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338&amp;""),"a",""),"b",""),"c",""),"d",""),"e",""),"f",""),"g",""),"h",""),"i",""),"j",""),"k",""),"l",""),"m",""),"n",""),"o",""),"p",""),"q",""),"r",""),"s",""),"t",""),"u",""),"v",""),"w",""),"x",""),"y",""),"z",""),"-",""),"_",""),"/",""),".",""),"#",""),"\\",""),":","")," ",""),"(",""),")","")</f>
        <v/>
      </c>
      <c r="CC338" s="0" t="str">
        <f aca="false">" "&amp;TRIM(SUBSTITUTE(SUBSTITUTE(SUBSTITUTE(SUBSTITUTE(SUBSTITUTE(SUBSTITUTE(SUBSTITUTE(SUBSTITUTE(SUBSTITUTE(SUBSTITUTE(SUBSTITUTE(SUBSTITUTE(SUBSTITUTE(SUBSTITUTE(SUBSTITUTE(SUBSTITUTE(SUBSTITUTE(SUBSTITUTE(SUBSTITUTE(SUBSTITUTE(SUBSTITUTE(SUBSTITUTE(SUBSTITUTE(SUBSTITUTE(LOWER(T338&amp;""),CHAR(10)," "),CHAR(13)," "),CHAR(9)," "),CHAR(160)," "),"."," "),","," "),"-"," "),"/"," "),"("," "),")"," "),":"," "),";"," "),"_"," "),"–"," "),"?"," "),"!"," "),"*"," "),"["," "),"]"," "),"'"," "),"#"," "),"+"," "),"&amp;"," "),"\"," "))&amp;" "</f>
        <v>  </v>
      </c>
      <c r="CD338" s="0" t="str">
        <f aca="false">" "&amp;TRIM(SUBSTITUTE(SUBSTITUTE(SUBSTITUTE(SUBSTITUTE(SUBSTITUTE(SUBSTITUTE(SUBSTITUTE(SUBSTITUTE(SUBSTITUTE(SUBSTITUTE(SUBSTITUTE(SUBSTITUTE(SUBSTITUTE(SUBSTITUTE(SUBSTITUTE(SUBSTITUTE(SUBSTITUTE(SUBSTITUTE(SUBSTITUTE(SUBSTITUTE(SUBSTITUTE(SUBSTITUTE(SUBSTITUTE(SUBSTITUTE(LOWER(AE338&amp;""),CHAR(10)," "),CHAR(13)," "),CHAR(9)," "),CHAR(160)," "),"."," "),","," "),"-"," "),"/"," "),"("," "),")"," "),":"," "),";"," "),"_"," "),"–"," "),"?"," "),"!"," "),"*"," "),"["," "),"]"," "),"'"," "),"#"," "),"+"," "),"&amp;"," "),"\"," "))&amp;" "</f>
        <v>  </v>
      </c>
      <c r="CE338" s="68" t="n">
        <f aca="false">IFERROR(IF(AND(LEN(AU338)&gt;0,LEN(AU338)=LEN(AX338),OR(TRIM(MID(SUBSTITUTE(TRIM(CC338)," ",REPT(" ",60)),1,60))="",ISNUMBER(SEARCH(" "&amp;TRIM(MID(SUBSTITUTE(TRIM(CC338)," ",REPT(" ",60)),1,60))&amp;" ",CD338))),OR(TRIM(MID(SUBSTITUTE(TRIM(CC338)," ",REPT(" ",60)),61,60))="",ISNUMBER(SEARCH(" "&amp;TRIM(MID(SUBSTITUTE(TRIM(CC338)," ",REPT(" ",60)),61,60))&amp;" ",CD338))),OR(TRIM(MID(SUBSTITUTE(TRIM(CC338)," ",REPT(" ",60)),121,60))="",ISNUMBER(SEARCH(" "&amp;TRIM(MID(SUBSTITUTE(TRIM(CC338)," ",REPT(" ",60)),121,60))&amp;" ",CD338)))),1,0),0)</f>
        <v>0</v>
      </c>
      <c r="CG338" s="68" t="n">
        <f aca="false">IFERROR(LEN(SUBSTITUTE(BF338," ",""))-SUMPRODUCT((LEN(BF338)-LEN(SUBSTITUTE(BF338," "&amp;L_NAFiller&amp;" "," ")))/(LEN(L_NAFiller)+1)*LEN(L_NAFiller)),0)</f>
        <v>0</v>
      </c>
    </row>
    <row r="339" customFormat="false" ht="66" hidden="false" customHeight="true" outlineLevel="0" collapsed="false">
      <c r="A339" s="57" t="s">
        <v>932</v>
      </c>
      <c r="B339" s="57" t="s">
        <v>251</v>
      </c>
      <c r="C339" s="57" t="str">
        <f aca="false">Flights!$F$14</f>
        <v>MH1140</v>
      </c>
      <c r="D339" s="58" t="n">
        <f aca="false">Flights!$D$14</f>
        <v>46307</v>
      </c>
      <c r="E339" s="57" t="str">
        <f aca="false">Flights!$G$14&amp;"-"&amp;Flights!$H$14</f>
        <v>KUL-PEN</v>
      </c>
      <c r="F339" s="57" t="str">
        <f aca="false">Flights!$K$14</f>
        <v>BC</v>
      </c>
      <c r="G339" s="57" t="s">
        <v>420</v>
      </c>
      <c r="H339" s="57" t="s">
        <v>378</v>
      </c>
      <c r="I339" s="57" t="s">
        <v>440</v>
      </c>
      <c r="J339" s="57" t="s">
        <v>494</v>
      </c>
      <c r="K339" s="67" t="s">
        <v>495</v>
      </c>
      <c r="L339" s="67" t="s">
        <v>933</v>
      </c>
      <c r="M339" s="67" t="s">
        <v>451</v>
      </c>
      <c r="N339" s="67" t="s">
        <v>383</v>
      </c>
      <c r="O339" s="67" t="s">
        <v>497</v>
      </c>
      <c r="P339" s="57" t="s">
        <v>187</v>
      </c>
      <c r="Q339" s="59" t="n">
        <f aca="false">ROUND((Flights!$AE$14)*1440,0)/1440</f>
        <v>46306.65625</v>
      </c>
      <c r="R339" s="59" t="n">
        <f aca="false">Q339+(IF(AND(INDEX(TZ_DSTS,MATCH(P339,TZ_STN,0))&lt;&gt;"",Q339&gt;=INDEX(TZ_DSTS,MATCH(P339,TZ_STN,0)),Q339&lt;INDEX(TZ_DSTE,MATCH(P339,TZ_STN,0))),INDEX(TZ_DST,MATCH(P339,TZ_STN,0)),INDEX(TZ_STD,MATCH(P339,TZ_STN,0))))/24</f>
        <v>46306.9895833333</v>
      </c>
      <c r="S339" s="60"/>
      <c r="T339" s="60"/>
      <c r="U339" s="60"/>
      <c r="V339" s="60"/>
      <c r="W339" s="61"/>
      <c r="X339" s="60"/>
      <c r="Y339" s="60"/>
      <c r="Z339" s="60"/>
      <c r="AA339" s="60"/>
      <c r="AB339" s="60"/>
      <c r="AC339" s="60"/>
      <c r="AD339" s="66"/>
      <c r="AE339" s="60"/>
      <c r="AF339" s="61" t="str">
        <f aca="false">IF(AND(ISNUMBER(X339),ISNUMBER(Y339)),Y339-X339,"")</f>
        <v/>
      </c>
      <c r="AG339" s="62" t="str">
        <f aca="false">IF(ISNUMBER(AD339),AD339-(IF(AND(INDEX(TZ_DSTS,MATCH(P339,TZ_STN,0))&lt;&gt;"",(AD339-INDEX(TZ_STD,MATCH(P339,TZ_STN,0))/24)&gt;=INDEX(TZ_DSTS,MATCH(P339,TZ_STN,0)),(AD339-INDEX(TZ_STD,MATCH(P339,TZ_STN,0))/24)&lt;INDEX(TZ_DSTE,MATCH(P339,TZ_STN,0))),INDEX(TZ_DST,MATCH(P339,TZ_STN,0)),INDEX(TZ_STD,MATCH(P339,TZ_STN,0))))/24,"")</f>
        <v/>
      </c>
      <c r="AH339" s="65" t="str">
        <f aca="false">IFERROR(IF(N339="N/A – rule",IF(OR(TRIM(U339)="",TRIM(U339)="N/A",TRIM(U339)="Not started"),"N/A – RULE","INVALID – this check does not apply to this aircraft: clear the status (or correct the fleet on Flights)"),IF(TRIM(U339)="N/A",IF(AT339=0,"INVALID – N/A not permitted for this check",IF(AND(TRIM(AB339)&lt;&gt;"",TRIM(AB339)&lt;&gt;"Closed"),"INVALID – corrective action still open",IF(AND(NOT(OR(LEN(AZ339)&lt;15,ISNUMBER(MATCH(AZ339,L_Placeholder,0)))),BK339=0,CG339&gt;=8,NOT(OR(LEN(AU339)&lt;2,ISNUMBER(MATCH(AU339,L_Placeholder,0)))),BR339&gt;=3,NOT(OR(LEN(AX339)&lt;2,ISNUMBER(MATCH(AX339,L_Placeholder,0)))),BS339&gt;=3,TRIM(AE339)&lt;&gt;TRIM(T339),AX339&lt;&gt;AU339,CE339=0),"N/A – JUSTIFIED","INVALID – N/A needs a real, settled reason (not 'not applicable' / 'as above' / TBC), a named PIC and a different named verifier"))),IF(OR(TRIM(U339)="Pass",TRIM(U339)="Pass after CA"),IF(NOT(ISNUMBER(AD339)),"INVALID – completion time missing",IF(OR(OR(LEN(AU339)&lt;2,ISNUMBER(MATCH(AU339,L_Placeholder,0))),BR339&lt;3),"INVALID – PIC missing or not a named person (a role such as QA / CSM is not a name)",IF(OR(LEN(AV339)&lt;2,ISNUMBER(MATCH(AV339,L_Placeholder,0))),"INVALID – result / assessment missing",IF(OR(OR(LEN(AW339)&lt;3,ISNUMBER(MATCH(AW339,L_Placeholder,0))),SUMPRODUCT(--ISNUMBER(SEARCH(" "&amp;L_EvidencePhrase&amp;" ",BD339)))&gt;0,BI339=1),"INVALID – evidence missing, placeholder or not yet on file",IF(ISNA(MATCH(TRIM(S339),L_EvidenceType,0)),"INVALID – choose the evidence type from the list (column S)",IF(BL339=0,"INVALID – evidence ID must be the record's own ID only (e.g. SF-2210, IMG_2231, 1045521); a link / file name needs type 'Link / file path'",IF(OR(OR(LEN(AX339)&lt;2,ISNUMBER(MATCH(AX339,L_Placeholder,0))),BS339&lt;3),"INVALID – verifier missing or not a named person (a role such as QA / CSM is not a name)",IF(OR(AX339=AU339,CE339=1,AND(LEN(AU339)&gt;=4,ISNUMBER(SEARCH(AU339,AX339))),AND(LEN(AX339)&gt;=4,ISNUMBER(SEARCH(AX339,AU339)))),"INVALID – verifier must be a different, named person (not the PIC or a role)",IF(BH339=1,"INVALID – result not yet available (awaiting / TBC)",IF(BG339=1,"INVALID – result describes a problem: record Fail, then Pass after CA (or reword if it is not a problem)",IF(BV339=1,"INVALID – wording says not on board: an on-board confirmation needs the item loaded",IF(AND(AQ339=1,OR(OR(LEN(AY339)&lt;3,ISNUMBER(MATCH(AY339,L_Placeholder,0))),BJ339=1,BQ339=0)),"INVALID – batch ID missing, placeholder or not an ID (e.g. PASB-261008-BC-017)",IF(AND(AR339=1,OR(NOT(ISNUMBER(X339)),NOT(ISNUMBER(Y339)))),"INVALID – expected/actual qty missing",IF(AND(AR339=1,OR(X339&lt;=0,Y339&lt;0)),"INVALID – expected qty must be above 0 and actual not negative",IF(BB339&lt;&gt;"",BB339,IF(AND(AS339=1,Documents!$J$14&lt;&gt;"ON FILE"),"INVALID – GLD not on file (Documents sheet)",IF(AND(AS339=2,Documents!$O$14&lt;&gt;"ON FILE"),"INVALID – menu checklist not on file (Documents sheet)",IF(AND(AS339=3,NOT(ISNUMBER(Flights!$AX$14))),"INVALID – enter carrying flight KUL departure (Flights AX)",IF(AND(AS339=3,OR(Flights!$AZ$14&gt;Flights!$AA$14,Flights!$AX$14&lt;Flights!$AA$14-3)),"INVALID – carrying flight (Flights AX) cannot arrive before this leg's STD, or is over 3 days early",IF(AG339&gt;AsOfUTC,"INVALID – completion time is in the future",IF(AND(ISNUMBER(BY339),AG339&lt;BY339),IF(H339="Physical uplift","INVALID – before uplift window (cannot confirm loading)","INVALID – before valid window"),IF(AG339&gt;Flights!$AA$14,"INVALID – completed after departure (cannot establish readiness)",IF(AND(H339="Preparation",AG339&gt;=IF(ISNUMBER(Flights!$BA$14),MIN(Flights!$BA$14,Flights!$AA$14),Flights!$AA$14)),"INVALID – completed after loading / departure (cannot establish readiness)",IF(AND(H339="Physical uplift",AG339&gt;Q339),"INVALID – recorded after the loading flight departed",IF(AG339&gt;Q339,"COMPLETE – LATE","COMPLETE"))))))))))))))))))))))))),IF(TRIM(U339)="Fail","FAIL – DISCREPANCY",IF(AND(TRIM(U339)&lt;&gt;"",TRIM(U339)&lt;&gt;"Not started",TRIM(U339)&lt;&gt;"In progress"),"INVALID – unrecognised status (use the list)",IF(AsOfUTC&gt;Q339,"OVERDUE",IF(N339="Clarification required","OPEN – CLARIFICATION","OPEN"))))))),"INVALID – error value in an input cell")</f>
        <v>OPEN</v>
      </c>
      <c r="AI339" s="61" t="n">
        <f aca="false">IF(OR(AH339="N/A – RULE",AH339="N/A – JUSTIFIED"),0,1)</f>
        <v>1</v>
      </c>
      <c r="AJ339" s="61" t="n">
        <f aca="false">IF(LEFT(AH339,8)="COMPLETE",1,0)</f>
        <v>0</v>
      </c>
      <c r="AK339" s="61" t="n">
        <f aca="false">IF(AND(AI339=1,AJ339=0,AsOfUTC&gt;Q339),1,0)</f>
        <v>0</v>
      </c>
      <c r="AL339" s="61" t="n">
        <f aca="false">IFERROR(IF(AND(AI339=1,OR(TRIM(U339)="Fail",AND(TRIM(AB339)&lt;&gt;"",TRIM(AB339)&lt;&gt;"Closed"),AND(ISNUMBER(AF339),AF339&lt;&gt;0,TRIM(U339)&lt;&gt;"Pass after CA"))),1,0),1)</f>
        <v>0</v>
      </c>
      <c r="AM339" s="61" t="n">
        <f aca="false">IF(LEFT(AH339,7)="INVALID",1,0)</f>
        <v>0</v>
      </c>
      <c r="AN339" s="61" t="n">
        <f aca="false">IF(AND(N339="Clarification required",AI339=1,AJ339=0),1,0)</f>
        <v>0</v>
      </c>
      <c r="AO339" s="61" t="str">
        <f aca="false">IF(AK339=1,SUM(AK$5:AK339),"")</f>
        <v/>
      </c>
      <c r="AP339" s="61" t="str">
        <f aca="false">IF(AL339=1,SUM(AL$5:AL339),"")</f>
        <v/>
      </c>
      <c r="AQ339" s="61" t="n">
        <v>0</v>
      </c>
      <c r="AR339" s="61" t="n">
        <v>0</v>
      </c>
      <c r="AS339" s="61" t="n">
        <v>0</v>
      </c>
      <c r="AT339" s="61" t="n">
        <v>0</v>
      </c>
      <c r="AU339" s="61" t="str">
        <f aca="false">SUBSTITUTE(SUBSTITUTE(SUBSTITUTE(SUBSTITUTE(SUBSTITUTE(SUBSTITUTE(SUBSTITUTE(SUBSTITUTE(SUBSTITUTE(SUBSTITUTE(SUBSTITUTE(SUBSTITUTE(SUBSTITUTE(SUBSTITUTE(SUBSTITUTE(SUBSTITUTE(LOWER(T339&amp;""),CHAR(10),""),CHAR(13),""),CHAR(9),""),CHAR(160),"")," ",""),".",""),"-",""),"/",""),"?",""),"_",""),",",""),"[",""),"]",""),"(",""),")",""),"*","")</f>
        <v/>
      </c>
      <c r="AV339" s="61" t="str">
        <f aca="false">SUBSTITUTE(SUBSTITUTE(SUBSTITUTE(SUBSTITUTE(SUBSTITUTE(SUBSTITUTE(SUBSTITUTE(SUBSTITUTE(SUBSTITUTE(SUBSTITUTE(SUBSTITUTE(SUBSTITUTE(SUBSTITUTE(SUBSTITUTE(SUBSTITUTE(SUBSTITUTE(LOWER(V339&amp;""),CHAR(10),""),CHAR(13),""),CHAR(9),""),CHAR(160),"")," ",""),".",""),"-",""),"/",""),"?",""),"_",""),",",""),"[",""),"]",""),"(",""),")",""),"*","")</f>
        <v/>
      </c>
      <c r="AW339" s="61" t="str">
        <f aca="false">SUBSTITUTE(SUBSTITUTE(SUBSTITUTE(SUBSTITUTE(SUBSTITUTE(SUBSTITUTE(SUBSTITUTE(SUBSTITUTE(SUBSTITUTE(SUBSTITUTE(SUBSTITUTE(SUBSTITUTE(SUBSTITUTE(SUBSTITUTE(SUBSTITUTE(SUBSTITUTE(LOWER(Z339&amp;""),CHAR(10),""),CHAR(13),""),CHAR(9),""),CHAR(160),"")," ",""),".",""),"-",""),"/",""),"?",""),"_",""),",",""),"[",""),"]",""),"(",""),")",""),"*","")</f>
        <v/>
      </c>
      <c r="AX339" s="61" t="str">
        <f aca="false">SUBSTITUTE(SUBSTITUTE(SUBSTITUTE(SUBSTITUTE(SUBSTITUTE(SUBSTITUTE(SUBSTITUTE(SUBSTITUTE(SUBSTITUTE(SUBSTITUTE(SUBSTITUTE(SUBSTITUTE(SUBSTITUTE(SUBSTITUTE(SUBSTITUTE(SUBSTITUTE(LOWER(AE339&amp;""),CHAR(10),""),CHAR(13),""),CHAR(9),""),CHAR(160),"")," ",""),".",""),"-",""),"/",""),"?",""),"_",""),",",""),"[",""),"]",""),"(",""),")",""),"*","")</f>
        <v/>
      </c>
      <c r="AY339" s="61" t="str">
        <f aca="false">SUBSTITUTE(SUBSTITUTE(SUBSTITUTE(SUBSTITUTE(SUBSTITUTE(SUBSTITUTE(SUBSTITUTE(SUBSTITUTE(SUBSTITUTE(SUBSTITUTE(SUBSTITUTE(SUBSTITUTE(SUBSTITUTE(SUBSTITUTE(SUBSTITUTE(SUBSTITUTE(LOWER(W339&amp;""),CHAR(10),""),CHAR(13),""),CHAR(9),""),CHAR(160),"")," ",""),".",""),"-",""),"/",""),"?",""),"_",""),",",""),"[",""),"]",""),"(",""),")",""),"*","")</f>
        <v/>
      </c>
      <c r="AZ339" s="61" t="str">
        <f aca="false">SUBSTITUTE(SUBSTITUTE(SUBSTITUTE(SUBSTITUTE(SUBSTITUTE(SUBSTITUTE(SUBSTITUTE(SUBSTITUTE(SUBSTITUTE(SUBSTITUTE(SUBSTITUTE(SUBSTITUTE(SUBSTITUTE(SUBSTITUTE(SUBSTITUTE(SUBSTITUTE(LOWER(AC339&amp;""),CHAR(10),""),CHAR(13),""),CHAR(9),""),CHAR(160),"")," ",""),".",""),"-",""),"/",""),"?",""),"_",""),",",""),"[",""),"]",""),"(",""),")",""),"*","")</f>
        <v/>
      </c>
      <c r="BA339" s="61" t="str">
        <f aca="false">SUBSTITUTE(SUBSTITUTE(SUBSTITUTE(SUBSTITUTE(SUBSTITUTE(SUBSTITUTE(SUBSTITUTE(SUBSTITUTE(SUBSTITUTE(SUBSTITUTE(SUBSTITUTE(SUBSTITUTE(SUBSTITUTE(SUBSTITUTE(SUBSTITUTE(SUBSTITUTE(LOWER(AA339&amp;""),CHAR(10),""),CHAR(13),""),CHAR(9),""),CHAR(160),"")," ",""),".",""),"-",""),"/",""),"?",""),"_",""),",",""),"[",""),"]",""),"(",""),")",""),"*","")</f>
        <v/>
      </c>
      <c r="BB339" s="61" t="str">
        <f aca="false">IF(AND(TRIM(U339)="Pass",ISNUMBER(AF339)),IF(AF339&lt;&gt;0,"INVALID – qty variance: use Fail or Pass after CA",""),"")&amp;IF(AND(TRIM(U339)="Pass after CA",ISNUMBER(AF339)),IF(AF339&lt;&gt;0,"INVALID – after the corrective action the actual qty must equal expected (update Actual)",""),"")&amp;IF(AND(TRIM(U339)="Pass",TRIM(AB339)&lt;&gt;"",TRIM(AB339)&lt;&gt;"Closed"),"INVALID – corrective action not closed: use Fail, then Pass after CA","")&amp;IF(AND(LEN(BA339)&gt;=2,ISNA(MATCH(LEFT(BA339,255),L_Placeholder,0)),TRIM(AB339)=""),"INVALID – CA status missing for the recorded corrective action","")&amp;IF(AND(TRIM(U339)="Pass after CA",OR(OR(LEN(BA339)&lt;5,ISNUMBER(MATCH(BA339,L_Placeholder,0))),TRIM(AB339)&lt;&gt;"Closed")),"INVALID – corrective action not recorded/closed","")</f>
        <v/>
      </c>
      <c r="BC339" s="61" t="str">
        <f aca="false">" "&amp;TRIM(SUBSTITUTE(SUBSTITUTE(SUBSTITUTE(SUBSTITUTE(SUBSTITUTE(SUBSTITUTE(SUBSTITUTE(SUBSTITUTE(SUBSTITUTE(SUBSTITUTE(SUBSTITUTE(SUBSTITUTE(SUBSTITUTE(SUBSTITUTE(SUBSTITUTE(SUBSTITUTE(SUBSTITUTE(SUBSTITUTE(SUBSTITUTE(SUBSTITUTE(SUBSTITUTE(SUBSTITUTE(SUBSTITUTE(SUBSTITUTE(LOWER(V339&amp;""),CHAR(10)," "),CHAR(13)," "),CHAR(9)," "),CHAR(160)," "),"."," "),","," "),"-"," "),"/"," "),"("," "),")"," "),":"," "),";"," "),"_"," "),"–"," "),"?"," "),"!"," "),"*"," "),"["," "),"]"," "),"'"," "),"#"," "),"+"," "),"&amp;"," "),"\"," "))&amp;" "</f>
        <v>  </v>
      </c>
      <c r="BD339" s="61" t="str">
        <f aca="false">" "&amp;TRIM(SUBSTITUTE(SUBSTITUTE(SUBSTITUTE(SUBSTITUTE(SUBSTITUTE(SUBSTITUTE(SUBSTITUTE(SUBSTITUTE(SUBSTITUTE(SUBSTITUTE(SUBSTITUTE(SUBSTITUTE(SUBSTITUTE(SUBSTITUTE(SUBSTITUTE(SUBSTITUTE(SUBSTITUTE(SUBSTITUTE(SUBSTITUTE(SUBSTITUTE(SUBSTITUTE(SUBSTITUTE(SUBSTITUTE(SUBSTITUTE(LOWER(Z339&amp;""),CHAR(10)," "),CHAR(13)," "),CHAR(9)," "),CHAR(160)," "),"."," "),","," "),"-"," "),"/"," "),"("," "),")"," "),":"," "),";"," "),"_"," "),"–"," "),"?"," "),"!"," "),"*"," "),"["," "),"]"," "),"'"," "),"#"," "),"+"," "),"&amp;"," "),"\"," "))&amp;" "</f>
        <v>  </v>
      </c>
      <c r="BE339" s="61" t="str">
        <f aca="false">" "&amp;TRIM(SUBSTITUTE(SUBSTITUTE(SUBSTITUTE(SUBSTITUTE(SUBSTITUTE(SUBSTITUTE(SUBSTITUTE(SUBSTITUTE(SUBSTITUTE(SUBSTITUTE(SUBSTITUTE(SUBSTITUTE(SUBSTITUTE(SUBSTITUTE(SUBSTITUTE(SUBSTITUTE(SUBSTITUTE(SUBSTITUTE(SUBSTITUTE(SUBSTITUTE(SUBSTITUTE(SUBSTITUTE(SUBSTITUTE(SUBSTITUTE(LOWER(W339&amp;""),CHAR(10)," "),CHAR(13)," "),CHAR(9)," "),CHAR(160)," "),"."," "),","," "),"-"," "),"/"," "),"("," "),")"," "),":"," "),";"," "),"_"," "),"–"," "),"?"," "),"!"," "),"*"," "),"["," "),"]"," "),"'"," "),"#"," "),"+"," "),"&amp;"," "),"\"," "))&amp;" "</f>
        <v>  </v>
      </c>
      <c r="BF339" s="61" t="str">
        <f aca="false">" "&amp;TRIM(SUBSTITUTE(SUBSTITUTE(SUBSTITUTE(SUBSTITUTE(SUBSTITUTE(SUBSTITUTE(SUBSTITUTE(SUBSTITUTE(SUBSTITUTE(SUBSTITUTE(SUBSTITUTE(SUBSTITUTE(SUBSTITUTE(SUBSTITUTE(SUBSTITUTE(SUBSTITUTE(SUBSTITUTE(SUBSTITUTE(SUBSTITUTE(SUBSTITUTE(SUBSTITUTE(SUBSTITUTE(SUBSTITUTE(SUBSTITUTE(LOWER(AC339&amp;""),CHAR(10)," "),CHAR(13)," "),CHAR(9)," "),CHAR(160)," "),"."," "),","," "),"-"," "),"/"," "),"("," "),")"," "),":"," "),";"," "),"_"," "),"–"," "),"?"," "),"!"," "),"*"," "),"["," "),"]"," "),"'"," "),"#"," "),"+"," "),"&amp;"," "),"\"," "))&amp;" "</f>
        <v>  </v>
      </c>
      <c r="BG339" s="61" t="n">
        <f aca="false">IFERROR(IF(AND(TRIM(U339)="Pass",SUMPRODUCT((LEN(BC339)-LEN(SUBSTITUTE(BC339," "&amp;L_ResultBad&amp;" "," ")))/(LEN(L_ResultBad)+1))&gt;SUMPRODUCT((LEN(BC339)-LEN(SUBSTITUTE(BC339," "&amp;L_NegPhrase&amp;" "," ")))/(LEN(L_NegPhrase)+1))),1,0),0)</f>
        <v>0</v>
      </c>
      <c r="BH339" s="61" t="n">
        <f aca="false">IFERROR(IF(SUMPRODUCT((LEN(BC339)-LEN(SUBSTITUTE(BC339," "&amp;L_Pending&amp;" "," ")))/(LEN(L_Pending)+1))&gt;SUMPRODUCT((LEN(BC339)-LEN(SUBSTITUTE(BC339," "&amp;L_PendNeg&amp;" "," ")))/(LEN(L_PendNeg)+1))+SUMPRODUCT((LEN(BC339)-LEN(SUBSTITUTE(BC339," "&amp;L_PendPrep&amp;" "," ")))/(LEN(L_PendPrep)+1)),1,0),1)</f>
        <v>0</v>
      </c>
      <c r="BI339" s="61" t="n">
        <f aca="false">IFERROR(IF(SUMPRODUCT((LEN(BD339)-LEN(SUBSTITUTE(BD339," "&amp;L_PendStrict&amp;" "," ")))/(LEN(L_PendStrict)+1))&gt;SUMPRODUCT((LEN(BD339)-LEN(SUBSTITUTE(BD339," "&amp;L_PendNeg&amp;" "," ")))/(LEN(L_PendNeg)+1)),1,0),1)</f>
        <v>0</v>
      </c>
      <c r="BJ339" s="61" t="n">
        <f aca="false">IFERROR(IF(SUMPRODUCT((LEN(BE339)-LEN(SUBSTITUTE(BE339," "&amp;L_Pending&amp;" "," ")))/(LEN(L_Pending)+1))&gt;SUMPRODUCT((LEN(BE339)-LEN(SUBSTITUTE(BE339," "&amp;L_PendNeg&amp;" "," ")))/(LEN(L_PendNeg)+1))+SUMPRODUCT((LEN(BE339)-LEN(SUBSTITUTE(BE339," "&amp;L_PendPrep&amp;" "," ")))/(LEN(L_PendPrep)+1)),1,0),1)</f>
        <v>0</v>
      </c>
      <c r="BK339" s="61" t="n">
        <f aca="false">IFERROR(IF(SUMPRODUCT((LEN(BF339)-LEN(SUBSTITUTE(BF339," "&amp;L_PendStrict&amp;" "," ")))/(LEN(L_PendStrict)+1))&gt;SUMPRODUCT((LEN(BF339)-LEN(SUBSTITUTE(BF339," "&amp;L_PendNeg&amp;" "," ")))/(LEN(L_PendNeg)+1)),1,0),1)</f>
        <v>0</v>
      </c>
      <c r="BL339" s="61" t="n">
        <f aca="false">IF(ISNA(MATCH(TRIM(S339),L_EvidenceType,0)),0,BZ339)</f>
        <v>0</v>
      </c>
      <c r="BM339" s="61" t="str">
        <f aca="false">SUBSTITUTE(SUBSTITUTE(SUBSTITUTE(SUBSTITUTE(SUBSTITUTE(SUBSTITUTE(SUBSTITUTE(SUBSTITUTE(SUBSTITUTE(LOWER(Z339&amp;""),"1","0"),"2","0"),"3","0"),"4","0"),"5","0"),"6","0"),"7","0"),"8","0"),"9","0")</f>
        <v/>
      </c>
      <c r="BN339" s="61" t="str">
        <f aca="false">SUBSTITUTE(SUBSTITUTE(SUBSTITUTE(SUBSTITUTE(SUBSTITUTE(SUBSTITUTE(SUBSTITUTE(SUBSTITUTE(SUBSTITUTE(SUBSTITUTE(SUBSTITUTE(SUBSTITUTE(SUBSTITUTE(SUBSTITUTE(SUBSTITUTE(SUBSTITUTE(SUBSTITUTE(SUBSTITUTE(SUBSTITUTE(SUBSTITUTE(SUBSTITUTE(SUBSTITUTE(SUBSTITUTE(SUBSTITUTE(SUBSTITUTE(BM339,"b","a"),"c","a"),"d","a"),"e","a"),"f","a"),"g","a"),"h","a"),"i","a"),"j","a"),"k","a"),"l","a"),"m","a"),"n","a"),"o","a"),"p","a"),"q","a"),"r","a"),"s","a"),"t","a"),"u","a"),"v","a"),"w","a"),"x","a"),"y","a"),"z","a")</f>
        <v/>
      </c>
      <c r="BO339" s="61" t="str">
        <f aca="false">SUBSTITUTE(SUBSTITUTE(SUBSTITUTE(SUBSTITUTE(SUBSTITUTE(SUBSTITUTE(SUBSTITUTE(SUBSTITUTE(SUBSTITUTE(LOWER(W339&amp;""),"1","0"),"2","0"),"3","0"),"4","0"),"5","0"),"6","0"),"7","0"),"8","0"),"9","0")</f>
        <v/>
      </c>
      <c r="BP339" s="61" t="str">
        <f aca="false">SUBSTITUTE(SUBSTITUTE(SUBSTITUTE(SUBSTITUTE(SUBSTITUTE(SUBSTITUTE(SUBSTITUTE(SUBSTITUTE(SUBSTITUTE(SUBSTITUTE(SUBSTITUTE(SUBSTITUTE(SUBSTITUTE(SUBSTITUTE(SUBSTITUTE(SUBSTITUTE(SUBSTITUTE(SUBSTITUTE(SUBSTITUTE(SUBSTITUTE(SUBSTITUTE(SUBSTITUTE(SUBSTITUTE(SUBSTITUTE(SUBSTITUTE(BO339,"b","a"),"c","a"),"d","a"),"e","a"),"f","a"),"g","a"),"h","a"),"i","a"),"j","a"),"k","a"),"l","a"),"m","a"),"n","a"),"o","a"),"p","a"),"q","a"),"r","a"),"s","a"),"t","a"),"u","a"),"v","a"),"w","a"),"x","a"),"y","a"),"z","a")</f>
        <v/>
      </c>
      <c r="BQ339" s="61" t="n">
        <f aca="false">IFERROR(IF(AND(ISERROR(SEARCH(" mh"," "&amp;LOWER(W339))),ISNA(MATCH(LEFT(TRIM(BP339),255),{"0000a","000a","00a","0000aa","000aa","00aa","0aa","0000aaa","000aaa","00a00","0a00","0000-0000","00:00","a00","a0","00.00.0000","00/00/0000","00-00-0000","0000-00-00","0000/00/00","0000.00.00","00.00.00","00/00/00","00-00-00","0.00.0000","0/00/0000","0-00-0000"},0)),ISNA(MATCH(LEFT(TRIM(CA339),255),{"0000a","000a","00a","0000aa","000aa","00aa","0aa","0000aaa","000aaa","00a00","0a00","0000-0000","00:00","a00","a0","00.00.0000","00/00/0000","00-00-0000","0000-00-00","0000/00/00","0000.00.00","00.00.00","00/00/00","00-00-00","0.00.0000","0/00/0000","0-00-0000"},0)),LEN(CB339)&gt;=3,NOT(OR(SUBSTITUTE(CB339,"0","")="",AND(LEN(CB339)&gt;=4,CB339=REPT(LEFT(CB339),LEN(CB339))),ISNUMBER(MATCH(CB339,{"123","1234","12345","123456","1234567","12345678","0123","01234","012345","98765","987654","54321"},0)),AND(LEN(CB339)=8,LEFT(CB339,3)="202"))),OR(AND((LEN(CA339)-LEN(SUBSTITUTE(CA339,"a","")))&gt;=1,SUMPRODUCT(--ISNUMBER(SEARCH({"a0","a-0","a_0","a/0","a.0","a#0","0a","0-a","0_a","0/a"},BP339)))&gt;0),ISNUMBER(SEARCH("000000",BP339)))),1,0),0)</f>
        <v>0</v>
      </c>
      <c r="BR339" s="61" t="n">
        <f aca="false">IFERROR(LEN(SUBSTITUTE(CC339," ",""))-SUMPRODUCT((LEN(CC339)-LEN(SUBSTITUTE(CC339," "&amp;L_Role&amp;" "," ")))/(LEN(L_Role)+1)*LEN(L_Role)),0)</f>
        <v>0</v>
      </c>
      <c r="BS339" s="61" t="n">
        <f aca="false">IFERROR(LEN(SUBSTITUTE(CD339," ",""))-SUMPRODUCT((LEN(CD339)-LEN(SUBSTITUTE(CD339," "&amp;L_Role&amp;" "," ")))/(LEN(L_Role)+1)*LEN(L_Role)),0)</f>
        <v>0</v>
      </c>
      <c r="BT3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339,"revision",""),"version",""),"jan",""),"feb",""),"mar",""),"apr",""),"may",""),"jun",""),"jul",""),"aug",""),"sep",""),"oct",""),"nov",""),"dec",""),"utc",""),"gmt",""),"myt",""),"bst",""),"rev",""),"ver",""),"b","a"),"c","a"),"d","a"),"e","a"),"f","a"),"g","a"),"h","a"),"i","a"),"j","a"),"k","a"),"l","a"),"m","a"),"n","a"),"o","a"),"p","a"),"q","a"),"r","a"),"s","a"),"t","a"),"u","a"),"v","a"),"w","a"),"x","a"),"y","a"),"z","a")</f>
        <v/>
      </c>
      <c r="BU339" s="61" t="str">
        <f aca="false">SUBSTITUTE(SUBSTITUTE(SUBSTITUTE(SUBSTITUTE(SUBSTITUTE(SUBSTITUTE(SUBSTITUTE(SUBSTITUTE(SUBSTITUTE(SUBSTITUTE(LEFT(BM339,FIND("0",BM339&amp;"0")-1),"-",""),"_",""),"/",""),".",""),"#",""),"\\",""),":","")," ",""),"(",""),")","")</f>
        <v/>
      </c>
      <c r="BV339" s="61" t="n">
        <f aca="false">0</f>
        <v>0</v>
      </c>
      <c r="BW3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339&amp;""),"a",""),"b",""),"c",""),"d",""),"e",""),"f",""),"g",""),"h",""),"i",""),"j",""),"k",""),"l",""),"m",""),"n",""),"o",""),"p",""),"q",""),"r",""),"s",""),"t",""),"u",""),"v",""),"w",""),"x",""),"y",""),"z",""),"-",""),"_",""),"/",""),".",""),"#",""),"\\",""),":","")," ",""),"(",""),")","")</f>
        <v/>
      </c>
      <c r="BX339" s="61" t="str">
        <f aca="false">SUBSTITUTE(SUBSTITUTE(SUBSTITUTE(SUBSTITUTE(SUBSTITUTE(SUBSTITUTE(SUBSTITUTE(SUBSTITUTE(SUBSTITUTE(SUBSTITUTE(SUBSTITUTE(BM339,"0",""),"-",""),"_",""),"/",""),".",""),"#",""),"\\",""),":","")," ",""),"(",""),")","")</f>
        <v/>
      </c>
      <c r="BY339" s="62" t="n">
        <f aca="false">Q339-T12EarlyH/24</f>
        <v>46306.15625</v>
      </c>
      <c r="BZ339" s="61" t="n">
        <f aca="false">IFERROR(IF(IF(TRIM(S339)="Link / file path",AND(LEN(TRIM(Z339))&gt;=5,SUMPRODUCT(--ISNUMBER(SEARCH({"http","www.","\\",":\",".pdf",".jpg",".jpeg",".png",".heic",".xls",".doc",".msg",".eml",".ppt",".txt",".zip"},Z339)))&gt;0),AND(ISERROR(FIND(" ",TRIM(Z339))),NOT(OR(SUMPRODUCT(--ISNUMBER(FIND({",",";","&amp;","+"},Z339)))&gt;0,SUMPRODUCT(--ISNUMBER(SEARCH({"0/aa","0\\aa"},BN339)))&gt;0)),NOT(SUMPRODUCT(--ISNUMBER(SEARCH({"http","www.","\\",":\",".pdf",".jpg",".jpeg",".png",".heic",".xls",".doc",".msg",".eml",".ppt",".txt",".zip"},Z339)))&gt;0),NOT(LOWER(TRIM(Z339))=LOWER(Flights!$F$14)),ISNA(MATCH(BU339,{"mh","rev","revision","ver","version","v","r","a","b","seat","tray","row","gate","bay","stand","page","pg","item","line","no","cart","galley","flight","flt","table","box","bag","oven","etd","eta","std","sta","atd","ata","qty","pax","x","time","tel","ph","mob","day","wk","week","utc","gmt","myt","lt"},0)),NOT(OR(ISNUMBER(MATCH(LEFT(BN339,255),{"0000a","000a","00a","0000aa","000aa","00aa","0aa","0000aaa","000aaa","00a00","0a00","0000-0000","00:00","a00","a0","00.00.0000","00/00/0000","00-00-0000","0000-00-00","0000/00/00","0000.00.00","00.00.00","00/00/00","00-00-00","0.00.0000","0/00/0000","0-00-0000"},0)),ISNUMBER(MATCH(LEFT(BT339,255),{"0000a","000a","00a","0000aa","000aa","00aa","0aa","0000aaa","000aaa","00a00","0a00","0000-0000","00:00","a00","a0","00.00.0000","00/00/0000","00-00-0000","0000-00-00","0000/00/00","0000.00.00","00.00.00","00/00/00","00-00-00","0.00.0000","0/00/0000","0-00-0000"},0)))),NOT(OR(AND(BW339&lt;&gt;"",SUBSTITUTE(BW339,"0","")=""),AND(LEN(BW339)&gt;=4,BW339=REPT(LEFT(BW339),LEN(BW339))),ISNUMBER(MATCH(BW339,{"123","1234","12345","123456","1234567","12345678","0123","01234","012345","98765","987654","54321"},0)),ISNUMBER(MATCH(BX339,{"x","xx","xxx","xxxx","xxxxx","abc","abcd","nil","na","nan","test","tbc","tba","tbd","dummy","sample","example","eg","zz","zzz","none","null","xyz","qwe","asd","id","ref"},0)),AND(LEN(BW339)=8,BX339="",OR(LEFT(BW339,3)="202",ISNUMBER(MATCH(RIGHT(BW339,4),{"2025","2026","2027"},0)))))),OR(AND((LEN(BT339)-LEN(SUBSTITUTE(BT339,"a","")))&gt;=1,(LEN(BN339)-LEN(SUBSTITUTE(BN339,"0","")))&gt;=2,SUMPRODUCT(--ISNUMBER(SEARCH({"a0","a-0","a_0","a/0","a.0","a#0","0a","0-a","0_a","0/a"},BN339)))&gt;0),AND((LEN(BN339)-LEN(SUBSTITUTE(BN339,"a","")))=0,(LEN(BN339)-LEN(SUBSTITUTE(BN339,"0","")))&gt;=5)))),1,0),0)</f>
        <v>0</v>
      </c>
      <c r="CA3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339,"revision",""),"version",""),"jan",""),"feb",""),"mar",""),"apr",""),"may",""),"jun",""),"jul",""),"aug",""),"sep",""),"oct",""),"nov",""),"dec",""),"utc",""),"gmt",""),"myt",""),"bst",""),"rev",""),"ver",""),"b","a"),"c","a"),"d","a"),"e","a"),"f","a"),"g","a"),"h","a"),"i","a"),"j","a"),"k","a"),"l","a"),"m","a"),"n","a"),"o","a"),"p","a"),"q","a"),"r","a"),"s","a"),"t","a"),"u","a"),"v","a"),"w","a"),"x","a"),"y","a"),"z","a")</f>
        <v/>
      </c>
      <c r="CB3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339&amp;""),"a",""),"b",""),"c",""),"d",""),"e",""),"f",""),"g",""),"h",""),"i",""),"j",""),"k",""),"l",""),"m",""),"n",""),"o",""),"p",""),"q",""),"r",""),"s",""),"t",""),"u",""),"v",""),"w",""),"x",""),"y",""),"z",""),"-",""),"_",""),"/",""),".",""),"#",""),"\\",""),":","")," ",""),"(",""),")","")</f>
        <v/>
      </c>
      <c r="CC339" s="0" t="str">
        <f aca="false">" "&amp;TRIM(SUBSTITUTE(SUBSTITUTE(SUBSTITUTE(SUBSTITUTE(SUBSTITUTE(SUBSTITUTE(SUBSTITUTE(SUBSTITUTE(SUBSTITUTE(SUBSTITUTE(SUBSTITUTE(SUBSTITUTE(SUBSTITUTE(SUBSTITUTE(SUBSTITUTE(SUBSTITUTE(SUBSTITUTE(SUBSTITUTE(SUBSTITUTE(SUBSTITUTE(SUBSTITUTE(SUBSTITUTE(SUBSTITUTE(SUBSTITUTE(LOWER(T339&amp;""),CHAR(10)," "),CHAR(13)," "),CHAR(9)," "),CHAR(160)," "),"."," "),","," "),"-"," "),"/"," "),"("," "),")"," "),":"," "),";"," "),"_"," "),"–"," "),"?"," "),"!"," "),"*"," "),"["," "),"]"," "),"'"," "),"#"," "),"+"," "),"&amp;"," "),"\"," "))&amp;" "</f>
        <v>  </v>
      </c>
      <c r="CD339" s="0" t="str">
        <f aca="false">" "&amp;TRIM(SUBSTITUTE(SUBSTITUTE(SUBSTITUTE(SUBSTITUTE(SUBSTITUTE(SUBSTITUTE(SUBSTITUTE(SUBSTITUTE(SUBSTITUTE(SUBSTITUTE(SUBSTITUTE(SUBSTITUTE(SUBSTITUTE(SUBSTITUTE(SUBSTITUTE(SUBSTITUTE(SUBSTITUTE(SUBSTITUTE(SUBSTITUTE(SUBSTITUTE(SUBSTITUTE(SUBSTITUTE(SUBSTITUTE(SUBSTITUTE(LOWER(AE339&amp;""),CHAR(10)," "),CHAR(13)," "),CHAR(9)," "),CHAR(160)," "),"."," "),","," "),"-"," "),"/"," "),"("," "),")"," "),":"," "),";"," "),"_"," "),"–"," "),"?"," "),"!"," "),"*"," "),"["," "),"]"," "),"'"," "),"#"," "),"+"," "),"&amp;"," "),"\"," "))&amp;" "</f>
        <v>  </v>
      </c>
      <c r="CE339" s="68" t="n">
        <f aca="false">IFERROR(IF(AND(LEN(AU339)&gt;0,LEN(AU339)=LEN(AX339),OR(TRIM(MID(SUBSTITUTE(TRIM(CC339)," ",REPT(" ",60)),1,60))="",ISNUMBER(SEARCH(" "&amp;TRIM(MID(SUBSTITUTE(TRIM(CC339)," ",REPT(" ",60)),1,60))&amp;" ",CD339))),OR(TRIM(MID(SUBSTITUTE(TRIM(CC339)," ",REPT(" ",60)),61,60))="",ISNUMBER(SEARCH(" "&amp;TRIM(MID(SUBSTITUTE(TRIM(CC339)," ",REPT(" ",60)),61,60))&amp;" ",CD339))),OR(TRIM(MID(SUBSTITUTE(TRIM(CC339)," ",REPT(" ",60)),121,60))="",ISNUMBER(SEARCH(" "&amp;TRIM(MID(SUBSTITUTE(TRIM(CC339)," ",REPT(" ",60)),121,60))&amp;" ",CD339)))),1,0),0)</f>
        <v>0</v>
      </c>
      <c r="CG339" s="68" t="n">
        <f aca="false">IFERROR(LEN(SUBSTITUTE(BF339," ",""))-SUMPRODUCT((LEN(BF339)-LEN(SUBSTITUTE(BF339," "&amp;L_NAFiller&amp;" "," ")))/(LEN(L_NAFiller)+1)*LEN(L_NAFiller)),0)</f>
        <v>0</v>
      </c>
    </row>
    <row r="340" customFormat="false" ht="41.25" hidden="false" customHeight="true" outlineLevel="0" collapsed="false">
      <c r="A340" s="57" t="s">
        <v>934</v>
      </c>
      <c r="B340" s="57" t="s">
        <v>251</v>
      </c>
      <c r="C340" s="57" t="str">
        <f aca="false">Flights!$F$14</f>
        <v>MH1140</v>
      </c>
      <c r="D340" s="58" t="n">
        <f aca="false">Flights!$D$14</f>
        <v>46307</v>
      </c>
      <c r="E340" s="57" t="str">
        <f aca="false">Flights!$G$14&amp;"-"&amp;Flights!$H$14</f>
        <v>KUL-PEN</v>
      </c>
      <c r="F340" s="57" t="str">
        <f aca="false">Flights!$K$14</f>
        <v>BC</v>
      </c>
      <c r="G340" s="57" t="s">
        <v>420</v>
      </c>
      <c r="H340" s="57" t="s">
        <v>378</v>
      </c>
      <c r="I340" s="57" t="s">
        <v>499</v>
      </c>
      <c r="J340" s="57" t="s">
        <v>500</v>
      </c>
      <c r="K340" s="67" t="s">
        <v>501</v>
      </c>
      <c r="L340" s="67" t="s">
        <v>935</v>
      </c>
      <c r="M340" s="67" t="s">
        <v>451</v>
      </c>
      <c r="N340" s="67" t="s">
        <v>383</v>
      </c>
      <c r="O340" s="67" t="s">
        <v>503</v>
      </c>
      <c r="P340" s="57" t="s">
        <v>187</v>
      </c>
      <c r="Q340" s="59" t="n">
        <f aca="false">ROUND((Flights!$AE$14)*1440,0)/1440</f>
        <v>46306.65625</v>
      </c>
      <c r="R340" s="59" t="n">
        <f aca="false">Q340+(IF(AND(INDEX(TZ_DSTS,MATCH(P340,TZ_STN,0))&lt;&gt;"",Q340&gt;=INDEX(TZ_DSTS,MATCH(P340,TZ_STN,0)),Q340&lt;INDEX(TZ_DSTE,MATCH(P340,TZ_STN,0))),INDEX(TZ_DST,MATCH(P340,TZ_STN,0)),INDEX(TZ_STD,MATCH(P340,TZ_STN,0))))/24</f>
        <v>46306.9895833333</v>
      </c>
      <c r="S340" s="60"/>
      <c r="T340" s="60"/>
      <c r="U340" s="60"/>
      <c r="V340" s="60"/>
      <c r="W340" s="61"/>
      <c r="X340" s="60"/>
      <c r="Y340" s="60"/>
      <c r="Z340" s="60"/>
      <c r="AA340" s="60"/>
      <c r="AB340" s="60"/>
      <c r="AC340" s="60"/>
      <c r="AD340" s="66"/>
      <c r="AE340" s="60"/>
      <c r="AF340" s="61" t="str">
        <f aca="false">IF(AND(ISNUMBER(X340),ISNUMBER(Y340)),Y340-X340,"")</f>
        <v/>
      </c>
      <c r="AG340" s="62" t="str">
        <f aca="false">IF(ISNUMBER(AD340),AD340-(IF(AND(INDEX(TZ_DSTS,MATCH(P340,TZ_STN,0))&lt;&gt;"",(AD340-INDEX(TZ_STD,MATCH(P340,TZ_STN,0))/24)&gt;=INDEX(TZ_DSTS,MATCH(P340,TZ_STN,0)),(AD340-INDEX(TZ_STD,MATCH(P340,TZ_STN,0))/24)&lt;INDEX(TZ_DSTE,MATCH(P340,TZ_STN,0))),INDEX(TZ_DST,MATCH(P340,TZ_STN,0)),INDEX(TZ_STD,MATCH(P340,TZ_STN,0))))/24,"")</f>
        <v/>
      </c>
      <c r="AH340" s="65" t="str">
        <f aca="false">IFERROR(IF(N340="N/A – rule",IF(OR(TRIM(U340)="",TRIM(U340)="N/A",TRIM(U340)="Not started"),"N/A – RULE","INVALID – this check does not apply to this aircraft: clear the status (or correct the fleet on Flights)"),IF(TRIM(U340)="N/A",IF(AT340=0,"INVALID – N/A not permitted for this check",IF(AND(TRIM(AB340)&lt;&gt;"",TRIM(AB340)&lt;&gt;"Closed"),"INVALID – corrective action still open",IF(AND(NOT(OR(LEN(AZ340)&lt;15,ISNUMBER(MATCH(AZ340,L_Placeholder,0)))),BK340=0,CG340&gt;=8,NOT(OR(LEN(AU340)&lt;2,ISNUMBER(MATCH(AU340,L_Placeholder,0)))),BR340&gt;=3,NOT(OR(LEN(AX340)&lt;2,ISNUMBER(MATCH(AX340,L_Placeholder,0)))),BS340&gt;=3,TRIM(AE340)&lt;&gt;TRIM(T340),AX340&lt;&gt;AU340,CE340=0),"N/A – JUSTIFIED","INVALID – N/A needs a real, settled reason (not 'not applicable' / 'as above' / TBC), a named PIC and a different named verifier"))),IF(OR(TRIM(U340)="Pass",TRIM(U340)="Pass after CA"),IF(NOT(ISNUMBER(AD340)),"INVALID – completion time missing",IF(OR(OR(LEN(AU340)&lt;2,ISNUMBER(MATCH(AU340,L_Placeholder,0))),BR340&lt;3),"INVALID – PIC missing or not a named person (a role such as QA / CSM is not a name)",IF(OR(LEN(AV340)&lt;2,ISNUMBER(MATCH(AV340,L_Placeholder,0))),"INVALID – result / assessment missing",IF(OR(OR(LEN(AW340)&lt;3,ISNUMBER(MATCH(AW340,L_Placeholder,0))),SUMPRODUCT(--ISNUMBER(SEARCH(" "&amp;L_EvidencePhrase&amp;" ",BD340)))&gt;0,BI340=1),"INVALID – evidence missing, placeholder or not yet on file",IF(ISNA(MATCH(TRIM(S340),L_EvidenceType,0)),"INVALID – choose the evidence type from the list (column S)",IF(BL340=0,"INVALID – evidence ID must be the record's own ID only (e.g. SF-2210, IMG_2231, 1045521); a link / file name needs type 'Link / file path'",IF(OR(OR(LEN(AX340)&lt;2,ISNUMBER(MATCH(AX340,L_Placeholder,0))),BS340&lt;3),"INVALID – verifier missing or not a named person (a role such as QA / CSM is not a name)",IF(OR(AX340=AU340,CE340=1,AND(LEN(AU340)&gt;=4,ISNUMBER(SEARCH(AU340,AX340))),AND(LEN(AX340)&gt;=4,ISNUMBER(SEARCH(AX340,AU340)))),"INVALID – verifier must be a different, named person (not the PIC or a role)",IF(BH340=1,"INVALID – result not yet available (awaiting / TBC)",IF(BG340=1,"INVALID – result describes a problem: record Fail, then Pass after CA (or reword if it is not a problem)",IF(BV340=1,"INVALID – wording says not on board: an on-board confirmation needs the item loaded",IF(AND(AQ340=1,OR(OR(LEN(AY340)&lt;3,ISNUMBER(MATCH(AY340,L_Placeholder,0))),BJ340=1,BQ340=0)),"INVALID – batch ID missing, placeholder or not an ID (e.g. PASB-261008-BC-017)",IF(AND(AR340=1,OR(NOT(ISNUMBER(X340)),NOT(ISNUMBER(Y340)))),"INVALID – expected/actual qty missing",IF(AND(AR340=1,OR(X340&lt;=0,Y340&lt;0)),"INVALID – expected qty must be above 0 and actual not negative",IF(BB340&lt;&gt;"",BB340,IF(AND(AS340=1,Documents!$J$14&lt;&gt;"ON FILE"),"INVALID – GLD not on file (Documents sheet)",IF(AND(AS340=2,Documents!$O$14&lt;&gt;"ON FILE"),"INVALID – menu checklist not on file (Documents sheet)",IF(AND(AS340=3,NOT(ISNUMBER(Flights!$AX$14))),"INVALID – enter carrying flight KUL departure (Flights AX)",IF(AND(AS340=3,OR(Flights!$AZ$14&gt;Flights!$AA$14,Flights!$AX$14&lt;Flights!$AA$14-3)),"INVALID – carrying flight (Flights AX) cannot arrive before this leg's STD, or is over 3 days early",IF(AG340&gt;AsOfUTC,"INVALID – completion time is in the future",IF(AND(ISNUMBER(BY340),AG340&lt;BY340),IF(H340="Physical uplift","INVALID – before uplift window (cannot confirm loading)","INVALID – before valid window"),IF(AG340&gt;Flights!$AA$14,"INVALID – completed after departure (cannot establish readiness)",IF(AND(H340="Preparation",AG340&gt;=IF(ISNUMBER(Flights!$BA$14),MIN(Flights!$BA$14,Flights!$AA$14),Flights!$AA$14)),"INVALID – completed after loading / departure (cannot establish readiness)",IF(AND(H340="Physical uplift",AG340&gt;Q340),"INVALID – recorded after the loading flight departed",IF(AG340&gt;Q340,"COMPLETE – LATE","COMPLETE"))))))))))))))))))))))))),IF(TRIM(U340)="Fail","FAIL – DISCREPANCY",IF(AND(TRIM(U340)&lt;&gt;"",TRIM(U340)&lt;&gt;"Not started",TRIM(U340)&lt;&gt;"In progress"),"INVALID – unrecognised status (use the list)",IF(AsOfUTC&gt;Q340,"OVERDUE",IF(N340="Clarification required","OPEN – CLARIFICATION","OPEN"))))))),"INVALID – error value in an input cell")</f>
        <v>OPEN</v>
      </c>
      <c r="AI340" s="61" t="n">
        <f aca="false">IF(OR(AH340="N/A – RULE",AH340="N/A – JUSTIFIED"),0,1)</f>
        <v>1</v>
      </c>
      <c r="AJ340" s="61" t="n">
        <f aca="false">IF(LEFT(AH340,8)="COMPLETE",1,0)</f>
        <v>0</v>
      </c>
      <c r="AK340" s="61" t="n">
        <f aca="false">IF(AND(AI340=1,AJ340=0,AsOfUTC&gt;Q340),1,0)</f>
        <v>0</v>
      </c>
      <c r="AL340" s="61" t="n">
        <f aca="false">IFERROR(IF(AND(AI340=1,OR(TRIM(U340)="Fail",AND(TRIM(AB340)&lt;&gt;"",TRIM(AB340)&lt;&gt;"Closed"),AND(ISNUMBER(AF340),AF340&lt;&gt;0,TRIM(U340)&lt;&gt;"Pass after CA"))),1,0),1)</f>
        <v>0</v>
      </c>
      <c r="AM340" s="61" t="n">
        <f aca="false">IF(LEFT(AH340,7)="INVALID",1,0)</f>
        <v>0</v>
      </c>
      <c r="AN340" s="61" t="n">
        <f aca="false">IF(AND(N340="Clarification required",AI340=1,AJ340=0),1,0)</f>
        <v>0</v>
      </c>
      <c r="AO340" s="61" t="str">
        <f aca="false">IF(AK340=1,SUM(AK$5:AK340),"")</f>
        <v/>
      </c>
      <c r="AP340" s="61" t="str">
        <f aca="false">IF(AL340=1,SUM(AL$5:AL340),"")</f>
        <v/>
      </c>
      <c r="AQ340" s="61" t="n">
        <v>0</v>
      </c>
      <c r="AR340" s="61" t="n">
        <v>0</v>
      </c>
      <c r="AS340" s="61" t="n">
        <v>0</v>
      </c>
      <c r="AT340" s="61" t="n">
        <v>0</v>
      </c>
      <c r="AU340" s="61" t="str">
        <f aca="false">SUBSTITUTE(SUBSTITUTE(SUBSTITUTE(SUBSTITUTE(SUBSTITUTE(SUBSTITUTE(SUBSTITUTE(SUBSTITUTE(SUBSTITUTE(SUBSTITUTE(SUBSTITUTE(SUBSTITUTE(SUBSTITUTE(SUBSTITUTE(SUBSTITUTE(SUBSTITUTE(LOWER(T340&amp;""),CHAR(10),""),CHAR(13),""),CHAR(9),""),CHAR(160),"")," ",""),".",""),"-",""),"/",""),"?",""),"_",""),",",""),"[",""),"]",""),"(",""),")",""),"*","")</f>
        <v/>
      </c>
      <c r="AV340" s="61" t="str">
        <f aca="false">SUBSTITUTE(SUBSTITUTE(SUBSTITUTE(SUBSTITUTE(SUBSTITUTE(SUBSTITUTE(SUBSTITUTE(SUBSTITUTE(SUBSTITUTE(SUBSTITUTE(SUBSTITUTE(SUBSTITUTE(SUBSTITUTE(SUBSTITUTE(SUBSTITUTE(SUBSTITUTE(LOWER(V340&amp;""),CHAR(10),""),CHAR(13),""),CHAR(9),""),CHAR(160),"")," ",""),".",""),"-",""),"/",""),"?",""),"_",""),",",""),"[",""),"]",""),"(",""),")",""),"*","")</f>
        <v/>
      </c>
      <c r="AW340" s="61" t="str">
        <f aca="false">SUBSTITUTE(SUBSTITUTE(SUBSTITUTE(SUBSTITUTE(SUBSTITUTE(SUBSTITUTE(SUBSTITUTE(SUBSTITUTE(SUBSTITUTE(SUBSTITUTE(SUBSTITUTE(SUBSTITUTE(SUBSTITUTE(SUBSTITUTE(SUBSTITUTE(SUBSTITUTE(LOWER(Z340&amp;""),CHAR(10),""),CHAR(13),""),CHAR(9),""),CHAR(160),"")," ",""),".",""),"-",""),"/",""),"?",""),"_",""),",",""),"[",""),"]",""),"(",""),")",""),"*","")</f>
        <v/>
      </c>
      <c r="AX340" s="61" t="str">
        <f aca="false">SUBSTITUTE(SUBSTITUTE(SUBSTITUTE(SUBSTITUTE(SUBSTITUTE(SUBSTITUTE(SUBSTITUTE(SUBSTITUTE(SUBSTITUTE(SUBSTITUTE(SUBSTITUTE(SUBSTITUTE(SUBSTITUTE(SUBSTITUTE(SUBSTITUTE(SUBSTITUTE(LOWER(AE340&amp;""),CHAR(10),""),CHAR(13),""),CHAR(9),""),CHAR(160),"")," ",""),".",""),"-",""),"/",""),"?",""),"_",""),",",""),"[",""),"]",""),"(",""),")",""),"*","")</f>
        <v/>
      </c>
      <c r="AY340" s="61" t="str">
        <f aca="false">SUBSTITUTE(SUBSTITUTE(SUBSTITUTE(SUBSTITUTE(SUBSTITUTE(SUBSTITUTE(SUBSTITUTE(SUBSTITUTE(SUBSTITUTE(SUBSTITUTE(SUBSTITUTE(SUBSTITUTE(SUBSTITUTE(SUBSTITUTE(SUBSTITUTE(SUBSTITUTE(LOWER(W340&amp;""),CHAR(10),""),CHAR(13),""),CHAR(9),""),CHAR(160),"")," ",""),".",""),"-",""),"/",""),"?",""),"_",""),",",""),"[",""),"]",""),"(",""),")",""),"*","")</f>
        <v/>
      </c>
      <c r="AZ340" s="61" t="str">
        <f aca="false">SUBSTITUTE(SUBSTITUTE(SUBSTITUTE(SUBSTITUTE(SUBSTITUTE(SUBSTITUTE(SUBSTITUTE(SUBSTITUTE(SUBSTITUTE(SUBSTITUTE(SUBSTITUTE(SUBSTITUTE(SUBSTITUTE(SUBSTITUTE(SUBSTITUTE(SUBSTITUTE(LOWER(AC340&amp;""),CHAR(10),""),CHAR(13),""),CHAR(9),""),CHAR(160),"")," ",""),".",""),"-",""),"/",""),"?",""),"_",""),",",""),"[",""),"]",""),"(",""),")",""),"*","")</f>
        <v/>
      </c>
      <c r="BA340" s="61" t="str">
        <f aca="false">SUBSTITUTE(SUBSTITUTE(SUBSTITUTE(SUBSTITUTE(SUBSTITUTE(SUBSTITUTE(SUBSTITUTE(SUBSTITUTE(SUBSTITUTE(SUBSTITUTE(SUBSTITUTE(SUBSTITUTE(SUBSTITUTE(SUBSTITUTE(SUBSTITUTE(SUBSTITUTE(LOWER(AA340&amp;""),CHAR(10),""),CHAR(13),""),CHAR(9),""),CHAR(160),"")," ",""),".",""),"-",""),"/",""),"?",""),"_",""),",",""),"[",""),"]",""),"(",""),")",""),"*","")</f>
        <v/>
      </c>
      <c r="BB340" s="61" t="str">
        <f aca="false">IF(AND(TRIM(U340)="Pass",ISNUMBER(AF340)),IF(AF340&lt;&gt;0,"INVALID – qty variance: use Fail or Pass after CA",""),"")&amp;IF(AND(TRIM(U340)="Pass after CA",ISNUMBER(AF340)),IF(AF340&lt;&gt;0,"INVALID – after the corrective action the actual qty must equal expected (update Actual)",""),"")&amp;IF(AND(TRIM(U340)="Pass",TRIM(AB340)&lt;&gt;"",TRIM(AB340)&lt;&gt;"Closed"),"INVALID – corrective action not closed: use Fail, then Pass after CA","")&amp;IF(AND(LEN(BA340)&gt;=2,ISNA(MATCH(LEFT(BA340,255),L_Placeholder,0)),TRIM(AB340)=""),"INVALID – CA status missing for the recorded corrective action","")&amp;IF(AND(TRIM(U340)="Pass after CA",OR(OR(LEN(BA340)&lt;5,ISNUMBER(MATCH(BA340,L_Placeholder,0))),TRIM(AB340)&lt;&gt;"Closed")),"INVALID – corrective action not recorded/closed","")</f>
        <v/>
      </c>
      <c r="BC340" s="61" t="str">
        <f aca="false">" "&amp;TRIM(SUBSTITUTE(SUBSTITUTE(SUBSTITUTE(SUBSTITUTE(SUBSTITUTE(SUBSTITUTE(SUBSTITUTE(SUBSTITUTE(SUBSTITUTE(SUBSTITUTE(SUBSTITUTE(SUBSTITUTE(SUBSTITUTE(SUBSTITUTE(SUBSTITUTE(SUBSTITUTE(SUBSTITUTE(SUBSTITUTE(SUBSTITUTE(SUBSTITUTE(SUBSTITUTE(SUBSTITUTE(SUBSTITUTE(SUBSTITUTE(LOWER(V340&amp;""),CHAR(10)," "),CHAR(13)," "),CHAR(9)," "),CHAR(160)," "),"."," "),","," "),"-"," "),"/"," "),"("," "),")"," "),":"," "),";"," "),"_"," "),"–"," "),"?"," "),"!"," "),"*"," "),"["," "),"]"," "),"'"," "),"#"," "),"+"," "),"&amp;"," "),"\"," "))&amp;" "</f>
        <v>  </v>
      </c>
      <c r="BD340" s="61" t="str">
        <f aca="false">" "&amp;TRIM(SUBSTITUTE(SUBSTITUTE(SUBSTITUTE(SUBSTITUTE(SUBSTITUTE(SUBSTITUTE(SUBSTITUTE(SUBSTITUTE(SUBSTITUTE(SUBSTITUTE(SUBSTITUTE(SUBSTITUTE(SUBSTITUTE(SUBSTITUTE(SUBSTITUTE(SUBSTITUTE(SUBSTITUTE(SUBSTITUTE(SUBSTITUTE(SUBSTITUTE(SUBSTITUTE(SUBSTITUTE(SUBSTITUTE(SUBSTITUTE(LOWER(Z340&amp;""),CHAR(10)," "),CHAR(13)," "),CHAR(9)," "),CHAR(160)," "),"."," "),","," "),"-"," "),"/"," "),"("," "),")"," "),":"," "),";"," "),"_"," "),"–"," "),"?"," "),"!"," "),"*"," "),"["," "),"]"," "),"'"," "),"#"," "),"+"," "),"&amp;"," "),"\"," "))&amp;" "</f>
        <v>  </v>
      </c>
      <c r="BE340" s="61" t="str">
        <f aca="false">" "&amp;TRIM(SUBSTITUTE(SUBSTITUTE(SUBSTITUTE(SUBSTITUTE(SUBSTITUTE(SUBSTITUTE(SUBSTITUTE(SUBSTITUTE(SUBSTITUTE(SUBSTITUTE(SUBSTITUTE(SUBSTITUTE(SUBSTITUTE(SUBSTITUTE(SUBSTITUTE(SUBSTITUTE(SUBSTITUTE(SUBSTITUTE(SUBSTITUTE(SUBSTITUTE(SUBSTITUTE(SUBSTITUTE(SUBSTITUTE(SUBSTITUTE(LOWER(W340&amp;""),CHAR(10)," "),CHAR(13)," "),CHAR(9)," "),CHAR(160)," "),"."," "),","," "),"-"," "),"/"," "),"("," "),")"," "),":"," "),";"," "),"_"," "),"–"," "),"?"," "),"!"," "),"*"," "),"["," "),"]"," "),"'"," "),"#"," "),"+"," "),"&amp;"," "),"\"," "))&amp;" "</f>
        <v>  </v>
      </c>
      <c r="BF340" s="61" t="str">
        <f aca="false">" "&amp;TRIM(SUBSTITUTE(SUBSTITUTE(SUBSTITUTE(SUBSTITUTE(SUBSTITUTE(SUBSTITUTE(SUBSTITUTE(SUBSTITUTE(SUBSTITUTE(SUBSTITUTE(SUBSTITUTE(SUBSTITUTE(SUBSTITUTE(SUBSTITUTE(SUBSTITUTE(SUBSTITUTE(SUBSTITUTE(SUBSTITUTE(SUBSTITUTE(SUBSTITUTE(SUBSTITUTE(SUBSTITUTE(SUBSTITUTE(SUBSTITUTE(LOWER(AC340&amp;""),CHAR(10)," "),CHAR(13)," "),CHAR(9)," "),CHAR(160)," "),"."," "),","," "),"-"," "),"/"," "),"("," "),")"," "),":"," "),";"," "),"_"," "),"–"," "),"?"," "),"!"," "),"*"," "),"["," "),"]"," "),"'"," "),"#"," "),"+"," "),"&amp;"," "),"\"," "))&amp;" "</f>
        <v>  </v>
      </c>
      <c r="BG340" s="61" t="n">
        <f aca="false">IFERROR(IF(AND(TRIM(U340)="Pass",SUMPRODUCT((LEN(BC340)-LEN(SUBSTITUTE(BC340," "&amp;L_ResultBad&amp;" "," ")))/(LEN(L_ResultBad)+1))&gt;SUMPRODUCT((LEN(BC340)-LEN(SUBSTITUTE(BC340," "&amp;L_NegPhrase&amp;" "," ")))/(LEN(L_NegPhrase)+1))),1,0),0)</f>
        <v>0</v>
      </c>
      <c r="BH340" s="61" t="n">
        <f aca="false">IFERROR(IF(SUMPRODUCT((LEN(BC340)-LEN(SUBSTITUTE(BC340," "&amp;L_Pending&amp;" "," ")))/(LEN(L_Pending)+1))&gt;SUMPRODUCT((LEN(BC340)-LEN(SUBSTITUTE(BC340," "&amp;L_PendNeg&amp;" "," ")))/(LEN(L_PendNeg)+1))+SUMPRODUCT((LEN(BC340)-LEN(SUBSTITUTE(BC340," "&amp;L_PendPrep&amp;" "," ")))/(LEN(L_PendPrep)+1)),1,0),1)</f>
        <v>0</v>
      </c>
      <c r="BI340" s="61" t="n">
        <f aca="false">IFERROR(IF(SUMPRODUCT((LEN(BD340)-LEN(SUBSTITUTE(BD340," "&amp;L_PendStrict&amp;" "," ")))/(LEN(L_PendStrict)+1))&gt;SUMPRODUCT((LEN(BD340)-LEN(SUBSTITUTE(BD340," "&amp;L_PendNeg&amp;" "," ")))/(LEN(L_PendNeg)+1)),1,0),1)</f>
        <v>0</v>
      </c>
      <c r="BJ340" s="61" t="n">
        <f aca="false">IFERROR(IF(SUMPRODUCT((LEN(BE340)-LEN(SUBSTITUTE(BE340," "&amp;L_Pending&amp;" "," ")))/(LEN(L_Pending)+1))&gt;SUMPRODUCT((LEN(BE340)-LEN(SUBSTITUTE(BE340," "&amp;L_PendNeg&amp;" "," ")))/(LEN(L_PendNeg)+1))+SUMPRODUCT((LEN(BE340)-LEN(SUBSTITUTE(BE340," "&amp;L_PendPrep&amp;" "," ")))/(LEN(L_PendPrep)+1)),1,0),1)</f>
        <v>0</v>
      </c>
      <c r="BK340" s="61" t="n">
        <f aca="false">IFERROR(IF(SUMPRODUCT((LEN(BF340)-LEN(SUBSTITUTE(BF340," "&amp;L_PendStrict&amp;" "," ")))/(LEN(L_PendStrict)+1))&gt;SUMPRODUCT((LEN(BF340)-LEN(SUBSTITUTE(BF340," "&amp;L_PendNeg&amp;" "," ")))/(LEN(L_PendNeg)+1)),1,0),1)</f>
        <v>0</v>
      </c>
      <c r="BL340" s="61" t="n">
        <f aca="false">IF(ISNA(MATCH(TRIM(S340),L_EvidenceType,0)),0,BZ340)</f>
        <v>0</v>
      </c>
      <c r="BM340" s="61" t="str">
        <f aca="false">SUBSTITUTE(SUBSTITUTE(SUBSTITUTE(SUBSTITUTE(SUBSTITUTE(SUBSTITUTE(SUBSTITUTE(SUBSTITUTE(SUBSTITUTE(LOWER(Z340&amp;""),"1","0"),"2","0"),"3","0"),"4","0"),"5","0"),"6","0"),"7","0"),"8","0"),"9","0")</f>
        <v/>
      </c>
      <c r="BN340" s="61" t="str">
        <f aca="false">SUBSTITUTE(SUBSTITUTE(SUBSTITUTE(SUBSTITUTE(SUBSTITUTE(SUBSTITUTE(SUBSTITUTE(SUBSTITUTE(SUBSTITUTE(SUBSTITUTE(SUBSTITUTE(SUBSTITUTE(SUBSTITUTE(SUBSTITUTE(SUBSTITUTE(SUBSTITUTE(SUBSTITUTE(SUBSTITUTE(SUBSTITUTE(SUBSTITUTE(SUBSTITUTE(SUBSTITUTE(SUBSTITUTE(SUBSTITUTE(SUBSTITUTE(BM340,"b","a"),"c","a"),"d","a"),"e","a"),"f","a"),"g","a"),"h","a"),"i","a"),"j","a"),"k","a"),"l","a"),"m","a"),"n","a"),"o","a"),"p","a"),"q","a"),"r","a"),"s","a"),"t","a"),"u","a"),"v","a"),"w","a"),"x","a"),"y","a"),"z","a")</f>
        <v/>
      </c>
      <c r="BO340" s="61" t="str">
        <f aca="false">SUBSTITUTE(SUBSTITUTE(SUBSTITUTE(SUBSTITUTE(SUBSTITUTE(SUBSTITUTE(SUBSTITUTE(SUBSTITUTE(SUBSTITUTE(LOWER(W340&amp;""),"1","0"),"2","0"),"3","0"),"4","0"),"5","0"),"6","0"),"7","0"),"8","0"),"9","0")</f>
        <v/>
      </c>
      <c r="BP340" s="61" t="str">
        <f aca="false">SUBSTITUTE(SUBSTITUTE(SUBSTITUTE(SUBSTITUTE(SUBSTITUTE(SUBSTITUTE(SUBSTITUTE(SUBSTITUTE(SUBSTITUTE(SUBSTITUTE(SUBSTITUTE(SUBSTITUTE(SUBSTITUTE(SUBSTITUTE(SUBSTITUTE(SUBSTITUTE(SUBSTITUTE(SUBSTITUTE(SUBSTITUTE(SUBSTITUTE(SUBSTITUTE(SUBSTITUTE(SUBSTITUTE(SUBSTITUTE(SUBSTITUTE(BO340,"b","a"),"c","a"),"d","a"),"e","a"),"f","a"),"g","a"),"h","a"),"i","a"),"j","a"),"k","a"),"l","a"),"m","a"),"n","a"),"o","a"),"p","a"),"q","a"),"r","a"),"s","a"),"t","a"),"u","a"),"v","a"),"w","a"),"x","a"),"y","a"),"z","a")</f>
        <v/>
      </c>
      <c r="BQ340" s="61" t="n">
        <f aca="false">IFERROR(IF(AND(ISERROR(SEARCH(" mh"," "&amp;LOWER(W340))),ISNA(MATCH(LEFT(TRIM(BP340),255),{"0000a","000a","00a","0000aa","000aa","00aa","0aa","0000aaa","000aaa","00a00","0a00","0000-0000","00:00","a00","a0","00.00.0000","00/00/0000","00-00-0000","0000-00-00","0000/00/00","0000.00.00","00.00.00","00/00/00","00-00-00","0.00.0000","0/00/0000","0-00-0000"},0)),ISNA(MATCH(LEFT(TRIM(CA340),255),{"0000a","000a","00a","0000aa","000aa","00aa","0aa","0000aaa","000aaa","00a00","0a00","0000-0000","00:00","a00","a0","00.00.0000","00/00/0000","00-00-0000","0000-00-00","0000/00/00","0000.00.00","00.00.00","00/00/00","00-00-00","0.00.0000","0/00/0000","0-00-0000"},0)),LEN(CB340)&gt;=3,NOT(OR(SUBSTITUTE(CB340,"0","")="",AND(LEN(CB340)&gt;=4,CB340=REPT(LEFT(CB340),LEN(CB340))),ISNUMBER(MATCH(CB340,{"123","1234","12345","123456","1234567","12345678","0123","01234","012345","98765","987654","54321"},0)),AND(LEN(CB340)=8,LEFT(CB340,3)="202"))),OR(AND((LEN(CA340)-LEN(SUBSTITUTE(CA340,"a","")))&gt;=1,SUMPRODUCT(--ISNUMBER(SEARCH({"a0","a-0","a_0","a/0","a.0","a#0","0a","0-a","0_a","0/a"},BP340)))&gt;0),ISNUMBER(SEARCH("000000",BP340)))),1,0),0)</f>
        <v>0</v>
      </c>
      <c r="BR340" s="61" t="n">
        <f aca="false">IFERROR(LEN(SUBSTITUTE(CC340," ",""))-SUMPRODUCT((LEN(CC340)-LEN(SUBSTITUTE(CC340," "&amp;L_Role&amp;" "," ")))/(LEN(L_Role)+1)*LEN(L_Role)),0)</f>
        <v>0</v>
      </c>
      <c r="BS340" s="61" t="n">
        <f aca="false">IFERROR(LEN(SUBSTITUTE(CD340," ",""))-SUMPRODUCT((LEN(CD340)-LEN(SUBSTITUTE(CD340," "&amp;L_Role&amp;" "," ")))/(LEN(L_Role)+1)*LEN(L_Role)),0)</f>
        <v>0</v>
      </c>
      <c r="BT3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340,"revision",""),"version",""),"jan",""),"feb",""),"mar",""),"apr",""),"may",""),"jun",""),"jul",""),"aug",""),"sep",""),"oct",""),"nov",""),"dec",""),"utc",""),"gmt",""),"myt",""),"bst",""),"rev",""),"ver",""),"b","a"),"c","a"),"d","a"),"e","a"),"f","a"),"g","a"),"h","a"),"i","a"),"j","a"),"k","a"),"l","a"),"m","a"),"n","a"),"o","a"),"p","a"),"q","a"),"r","a"),"s","a"),"t","a"),"u","a"),"v","a"),"w","a"),"x","a"),"y","a"),"z","a")</f>
        <v/>
      </c>
      <c r="BU340" s="61" t="str">
        <f aca="false">SUBSTITUTE(SUBSTITUTE(SUBSTITUTE(SUBSTITUTE(SUBSTITUTE(SUBSTITUTE(SUBSTITUTE(SUBSTITUTE(SUBSTITUTE(SUBSTITUTE(LEFT(BM340,FIND("0",BM340&amp;"0")-1),"-",""),"_",""),"/",""),".",""),"#",""),"\\",""),":","")," ",""),"(",""),")","")</f>
        <v/>
      </c>
      <c r="BV340" s="61" t="n">
        <f aca="false">0</f>
        <v>0</v>
      </c>
      <c r="BW3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340&amp;""),"a",""),"b",""),"c",""),"d",""),"e",""),"f",""),"g",""),"h",""),"i",""),"j",""),"k",""),"l",""),"m",""),"n",""),"o",""),"p",""),"q",""),"r",""),"s",""),"t",""),"u",""),"v",""),"w",""),"x",""),"y",""),"z",""),"-",""),"_",""),"/",""),".",""),"#",""),"\\",""),":","")," ",""),"(",""),")","")</f>
        <v/>
      </c>
      <c r="BX340" s="61" t="str">
        <f aca="false">SUBSTITUTE(SUBSTITUTE(SUBSTITUTE(SUBSTITUTE(SUBSTITUTE(SUBSTITUTE(SUBSTITUTE(SUBSTITUTE(SUBSTITUTE(SUBSTITUTE(SUBSTITUTE(BM340,"0",""),"-",""),"_",""),"/",""),".",""),"#",""),"\\",""),":","")," ",""),"(",""),")","")</f>
        <v/>
      </c>
      <c r="BY340" s="62" t="n">
        <f aca="false">Q340-T12EarlyH/24</f>
        <v>46306.15625</v>
      </c>
      <c r="BZ340" s="61" t="n">
        <f aca="false">IFERROR(IF(IF(TRIM(S340)="Link / file path",AND(LEN(TRIM(Z340))&gt;=5,SUMPRODUCT(--ISNUMBER(SEARCH({"http","www.","\\",":\",".pdf",".jpg",".jpeg",".png",".heic",".xls",".doc",".msg",".eml",".ppt",".txt",".zip"},Z340)))&gt;0),AND(ISERROR(FIND(" ",TRIM(Z340))),NOT(OR(SUMPRODUCT(--ISNUMBER(FIND({",",";","&amp;","+"},Z340)))&gt;0,SUMPRODUCT(--ISNUMBER(SEARCH({"0/aa","0\\aa"},BN340)))&gt;0)),NOT(SUMPRODUCT(--ISNUMBER(SEARCH({"http","www.","\\",":\",".pdf",".jpg",".jpeg",".png",".heic",".xls",".doc",".msg",".eml",".ppt",".txt",".zip"},Z340)))&gt;0),NOT(LOWER(TRIM(Z340))=LOWER(Flights!$F$14)),ISNA(MATCH(BU340,{"mh","rev","revision","ver","version","v","r","a","b","seat","tray","row","gate","bay","stand","page","pg","item","line","no","cart","galley","flight","flt","table","box","bag","oven","etd","eta","std","sta","atd","ata","qty","pax","x","time","tel","ph","mob","day","wk","week","utc","gmt","myt","lt"},0)),NOT(OR(ISNUMBER(MATCH(LEFT(BN340,255),{"0000a","000a","00a","0000aa","000aa","00aa","0aa","0000aaa","000aaa","00a00","0a00","0000-0000","00:00","a00","a0","00.00.0000","00/00/0000","00-00-0000","0000-00-00","0000/00/00","0000.00.00","00.00.00","00/00/00","00-00-00","0.00.0000","0/00/0000","0-00-0000"},0)),ISNUMBER(MATCH(LEFT(BT340,255),{"0000a","000a","00a","0000aa","000aa","00aa","0aa","0000aaa","000aaa","00a00","0a00","0000-0000","00:00","a00","a0","00.00.0000","00/00/0000","00-00-0000","0000-00-00","0000/00/00","0000.00.00","00.00.00","00/00/00","00-00-00","0.00.0000","0/00/0000","0-00-0000"},0)))),NOT(OR(AND(BW340&lt;&gt;"",SUBSTITUTE(BW340,"0","")=""),AND(LEN(BW340)&gt;=4,BW340=REPT(LEFT(BW340),LEN(BW340))),ISNUMBER(MATCH(BW340,{"123","1234","12345","123456","1234567","12345678","0123","01234","012345","98765","987654","54321"},0)),ISNUMBER(MATCH(BX340,{"x","xx","xxx","xxxx","xxxxx","abc","abcd","nil","na","nan","test","tbc","tba","tbd","dummy","sample","example","eg","zz","zzz","none","null","xyz","qwe","asd","id","ref"},0)),AND(LEN(BW340)=8,BX340="",OR(LEFT(BW340,3)="202",ISNUMBER(MATCH(RIGHT(BW340,4),{"2025","2026","2027"},0)))))),OR(AND((LEN(BT340)-LEN(SUBSTITUTE(BT340,"a","")))&gt;=1,(LEN(BN340)-LEN(SUBSTITUTE(BN340,"0","")))&gt;=2,SUMPRODUCT(--ISNUMBER(SEARCH({"a0","a-0","a_0","a/0","a.0","a#0","0a","0-a","0_a","0/a"},BN340)))&gt;0),AND((LEN(BN340)-LEN(SUBSTITUTE(BN340,"a","")))=0,(LEN(BN340)-LEN(SUBSTITUTE(BN340,"0","")))&gt;=5)))),1,0),0)</f>
        <v>0</v>
      </c>
      <c r="CA3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340,"revision",""),"version",""),"jan",""),"feb",""),"mar",""),"apr",""),"may",""),"jun",""),"jul",""),"aug",""),"sep",""),"oct",""),"nov",""),"dec",""),"utc",""),"gmt",""),"myt",""),"bst",""),"rev",""),"ver",""),"b","a"),"c","a"),"d","a"),"e","a"),"f","a"),"g","a"),"h","a"),"i","a"),"j","a"),"k","a"),"l","a"),"m","a"),"n","a"),"o","a"),"p","a"),"q","a"),"r","a"),"s","a"),"t","a"),"u","a"),"v","a"),"w","a"),"x","a"),"y","a"),"z","a")</f>
        <v/>
      </c>
      <c r="CB3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340&amp;""),"a",""),"b",""),"c",""),"d",""),"e",""),"f",""),"g",""),"h",""),"i",""),"j",""),"k",""),"l",""),"m",""),"n",""),"o",""),"p",""),"q",""),"r",""),"s",""),"t",""),"u",""),"v",""),"w",""),"x",""),"y",""),"z",""),"-",""),"_",""),"/",""),".",""),"#",""),"\\",""),":","")," ",""),"(",""),")","")</f>
        <v/>
      </c>
      <c r="CC340" s="0" t="str">
        <f aca="false">" "&amp;TRIM(SUBSTITUTE(SUBSTITUTE(SUBSTITUTE(SUBSTITUTE(SUBSTITUTE(SUBSTITUTE(SUBSTITUTE(SUBSTITUTE(SUBSTITUTE(SUBSTITUTE(SUBSTITUTE(SUBSTITUTE(SUBSTITUTE(SUBSTITUTE(SUBSTITUTE(SUBSTITUTE(SUBSTITUTE(SUBSTITUTE(SUBSTITUTE(SUBSTITUTE(SUBSTITUTE(SUBSTITUTE(SUBSTITUTE(SUBSTITUTE(LOWER(T340&amp;""),CHAR(10)," "),CHAR(13)," "),CHAR(9)," "),CHAR(160)," "),"."," "),","," "),"-"," "),"/"," "),"("," "),")"," "),":"," "),";"," "),"_"," "),"–"," "),"?"," "),"!"," "),"*"," "),"["," "),"]"," "),"'"," "),"#"," "),"+"," "),"&amp;"," "),"\"," "))&amp;" "</f>
        <v>  </v>
      </c>
      <c r="CD340" s="0" t="str">
        <f aca="false">" "&amp;TRIM(SUBSTITUTE(SUBSTITUTE(SUBSTITUTE(SUBSTITUTE(SUBSTITUTE(SUBSTITUTE(SUBSTITUTE(SUBSTITUTE(SUBSTITUTE(SUBSTITUTE(SUBSTITUTE(SUBSTITUTE(SUBSTITUTE(SUBSTITUTE(SUBSTITUTE(SUBSTITUTE(SUBSTITUTE(SUBSTITUTE(SUBSTITUTE(SUBSTITUTE(SUBSTITUTE(SUBSTITUTE(SUBSTITUTE(SUBSTITUTE(LOWER(AE340&amp;""),CHAR(10)," "),CHAR(13)," "),CHAR(9)," "),CHAR(160)," "),"."," "),","," "),"-"," "),"/"," "),"("," "),")"," "),":"," "),";"," "),"_"," "),"–"," "),"?"," "),"!"," "),"*"," "),"["," "),"]"," "),"'"," "),"#"," "),"+"," "),"&amp;"," "),"\"," "))&amp;" "</f>
        <v>  </v>
      </c>
      <c r="CE340" s="68" t="n">
        <f aca="false">IFERROR(IF(AND(LEN(AU340)&gt;0,LEN(AU340)=LEN(AX340),OR(TRIM(MID(SUBSTITUTE(TRIM(CC340)," ",REPT(" ",60)),1,60))="",ISNUMBER(SEARCH(" "&amp;TRIM(MID(SUBSTITUTE(TRIM(CC340)," ",REPT(" ",60)),1,60))&amp;" ",CD340))),OR(TRIM(MID(SUBSTITUTE(TRIM(CC340)," ",REPT(" ",60)),61,60))="",ISNUMBER(SEARCH(" "&amp;TRIM(MID(SUBSTITUTE(TRIM(CC340)," ",REPT(" ",60)),61,60))&amp;" ",CD340))),OR(TRIM(MID(SUBSTITUTE(TRIM(CC340)," ",REPT(" ",60)),121,60))="",ISNUMBER(SEARCH(" "&amp;TRIM(MID(SUBSTITUTE(TRIM(CC340)," ",REPT(" ",60)),121,60))&amp;" ",CD340)))),1,0),0)</f>
        <v>0</v>
      </c>
      <c r="CG340" s="68" t="n">
        <f aca="false">IFERROR(LEN(SUBSTITUTE(BF340," ",""))-SUMPRODUCT((LEN(BF340)-LEN(SUBSTITUTE(BF340," "&amp;L_NAFiller&amp;" "," ")))/(LEN(L_NAFiller)+1)*LEN(L_NAFiller)),0)</f>
        <v>0</v>
      </c>
    </row>
    <row r="341" customFormat="false" ht="41.25" hidden="false" customHeight="true" outlineLevel="0" collapsed="false">
      <c r="A341" s="57" t="s">
        <v>936</v>
      </c>
      <c r="B341" s="57" t="s">
        <v>251</v>
      </c>
      <c r="C341" s="57" t="str">
        <f aca="false">Flights!$F$14</f>
        <v>MH1140</v>
      </c>
      <c r="D341" s="58" t="n">
        <f aca="false">Flights!$D$14</f>
        <v>46307</v>
      </c>
      <c r="E341" s="57" t="str">
        <f aca="false">Flights!$G$14&amp;"-"&amp;Flights!$H$14</f>
        <v>KUL-PEN</v>
      </c>
      <c r="F341" s="57" t="str">
        <f aca="false">Flights!$K$14</f>
        <v>BC</v>
      </c>
      <c r="G341" s="57" t="s">
        <v>420</v>
      </c>
      <c r="H341" s="57" t="s">
        <v>378</v>
      </c>
      <c r="I341" s="57" t="s">
        <v>499</v>
      </c>
      <c r="J341" s="57" t="s">
        <v>505</v>
      </c>
      <c r="K341" s="67" t="s">
        <v>501</v>
      </c>
      <c r="L341" s="67" t="s">
        <v>937</v>
      </c>
      <c r="M341" s="67" t="s">
        <v>451</v>
      </c>
      <c r="N341" s="67" t="s">
        <v>383</v>
      </c>
      <c r="O341" s="67" t="s">
        <v>503</v>
      </c>
      <c r="P341" s="57" t="s">
        <v>187</v>
      </c>
      <c r="Q341" s="59" t="n">
        <f aca="false">ROUND((Flights!$AE$14)*1440,0)/1440</f>
        <v>46306.65625</v>
      </c>
      <c r="R341" s="59" t="n">
        <f aca="false">Q341+(IF(AND(INDEX(TZ_DSTS,MATCH(P341,TZ_STN,0))&lt;&gt;"",Q341&gt;=INDEX(TZ_DSTS,MATCH(P341,TZ_STN,0)),Q341&lt;INDEX(TZ_DSTE,MATCH(P341,TZ_STN,0))),INDEX(TZ_DST,MATCH(P341,TZ_STN,0)),INDEX(TZ_STD,MATCH(P341,TZ_STN,0))))/24</f>
        <v>46306.9895833333</v>
      </c>
      <c r="S341" s="60"/>
      <c r="T341" s="60"/>
      <c r="U341" s="60"/>
      <c r="V341" s="60"/>
      <c r="W341" s="61"/>
      <c r="X341" s="60"/>
      <c r="Y341" s="60"/>
      <c r="Z341" s="60"/>
      <c r="AA341" s="60"/>
      <c r="AB341" s="60"/>
      <c r="AC341" s="60"/>
      <c r="AD341" s="66"/>
      <c r="AE341" s="60"/>
      <c r="AF341" s="61" t="str">
        <f aca="false">IF(AND(ISNUMBER(X341),ISNUMBER(Y341)),Y341-X341,"")</f>
        <v/>
      </c>
      <c r="AG341" s="62" t="str">
        <f aca="false">IF(ISNUMBER(AD341),AD341-(IF(AND(INDEX(TZ_DSTS,MATCH(P341,TZ_STN,0))&lt;&gt;"",(AD341-INDEX(TZ_STD,MATCH(P341,TZ_STN,0))/24)&gt;=INDEX(TZ_DSTS,MATCH(P341,TZ_STN,0)),(AD341-INDEX(TZ_STD,MATCH(P341,TZ_STN,0))/24)&lt;INDEX(TZ_DSTE,MATCH(P341,TZ_STN,0))),INDEX(TZ_DST,MATCH(P341,TZ_STN,0)),INDEX(TZ_STD,MATCH(P341,TZ_STN,0))))/24,"")</f>
        <v/>
      </c>
      <c r="AH341" s="65" t="str">
        <f aca="false">IFERROR(IF(N341="N/A – rule",IF(OR(TRIM(U341)="",TRIM(U341)="N/A",TRIM(U341)="Not started"),"N/A – RULE","INVALID – this check does not apply to this aircraft: clear the status (or correct the fleet on Flights)"),IF(TRIM(U341)="N/A",IF(AT341=0,"INVALID – N/A not permitted for this check",IF(AND(TRIM(AB341)&lt;&gt;"",TRIM(AB341)&lt;&gt;"Closed"),"INVALID – corrective action still open",IF(AND(NOT(OR(LEN(AZ341)&lt;15,ISNUMBER(MATCH(AZ341,L_Placeholder,0)))),BK341=0,CG341&gt;=8,NOT(OR(LEN(AU341)&lt;2,ISNUMBER(MATCH(AU341,L_Placeholder,0)))),BR341&gt;=3,NOT(OR(LEN(AX341)&lt;2,ISNUMBER(MATCH(AX341,L_Placeholder,0)))),BS341&gt;=3,TRIM(AE341)&lt;&gt;TRIM(T341),AX341&lt;&gt;AU341,CE341=0),"N/A – JUSTIFIED","INVALID – N/A needs a real, settled reason (not 'not applicable' / 'as above' / TBC), a named PIC and a different named verifier"))),IF(OR(TRIM(U341)="Pass",TRIM(U341)="Pass after CA"),IF(NOT(ISNUMBER(AD341)),"INVALID – completion time missing",IF(OR(OR(LEN(AU341)&lt;2,ISNUMBER(MATCH(AU341,L_Placeholder,0))),BR341&lt;3),"INVALID – PIC missing or not a named person (a role such as QA / CSM is not a name)",IF(OR(LEN(AV341)&lt;2,ISNUMBER(MATCH(AV341,L_Placeholder,0))),"INVALID – result / assessment missing",IF(OR(OR(LEN(AW341)&lt;3,ISNUMBER(MATCH(AW341,L_Placeholder,0))),SUMPRODUCT(--ISNUMBER(SEARCH(" "&amp;L_EvidencePhrase&amp;" ",BD341)))&gt;0,BI341=1),"INVALID – evidence missing, placeholder or not yet on file",IF(ISNA(MATCH(TRIM(S341),L_EvidenceType,0)),"INVALID – choose the evidence type from the list (column S)",IF(BL341=0,"INVALID – evidence ID must be the record's own ID only (e.g. SF-2210, IMG_2231, 1045521); a link / file name needs type 'Link / file path'",IF(OR(OR(LEN(AX341)&lt;2,ISNUMBER(MATCH(AX341,L_Placeholder,0))),BS341&lt;3),"INVALID – verifier missing or not a named person (a role such as QA / CSM is not a name)",IF(OR(AX341=AU341,CE341=1,AND(LEN(AU341)&gt;=4,ISNUMBER(SEARCH(AU341,AX341))),AND(LEN(AX341)&gt;=4,ISNUMBER(SEARCH(AX341,AU341)))),"INVALID – verifier must be a different, named person (not the PIC or a role)",IF(BH341=1,"INVALID – result not yet available (awaiting / TBC)",IF(BG341=1,"INVALID – result describes a problem: record Fail, then Pass after CA (or reword if it is not a problem)",IF(BV341=1,"INVALID – wording says not on board: an on-board confirmation needs the item loaded",IF(AND(AQ341=1,OR(OR(LEN(AY341)&lt;3,ISNUMBER(MATCH(AY341,L_Placeholder,0))),BJ341=1,BQ341=0)),"INVALID – batch ID missing, placeholder or not an ID (e.g. PASB-261008-BC-017)",IF(AND(AR341=1,OR(NOT(ISNUMBER(X341)),NOT(ISNUMBER(Y341)))),"INVALID – expected/actual qty missing",IF(AND(AR341=1,OR(X341&lt;=0,Y341&lt;0)),"INVALID – expected qty must be above 0 and actual not negative",IF(BB341&lt;&gt;"",BB341,IF(AND(AS341=1,Documents!$J$14&lt;&gt;"ON FILE"),"INVALID – GLD not on file (Documents sheet)",IF(AND(AS341=2,Documents!$O$14&lt;&gt;"ON FILE"),"INVALID – menu checklist not on file (Documents sheet)",IF(AND(AS341=3,NOT(ISNUMBER(Flights!$AX$14))),"INVALID – enter carrying flight KUL departure (Flights AX)",IF(AND(AS341=3,OR(Flights!$AZ$14&gt;Flights!$AA$14,Flights!$AX$14&lt;Flights!$AA$14-3)),"INVALID – carrying flight (Flights AX) cannot arrive before this leg's STD, or is over 3 days early",IF(AG341&gt;AsOfUTC,"INVALID – completion time is in the future",IF(AND(ISNUMBER(BY341),AG341&lt;BY341),IF(H341="Physical uplift","INVALID – before uplift window (cannot confirm loading)","INVALID – before valid window"),IF(AG341&gt;Flights!$AA$14,"INVALID – completed after departure (cannot establish readiness)",IF(AND(H341="Preparation",AG341&gt;=IF(ISNUMBER(Flights!$BA$14),MIN(Flights!$BA$14,Flights!$AA$14),Flights!$AA$14)),"INVALID – completed after loading / departure (cannot establish readiness)",IF(AND(H341="Physical uplift",AG341&gt;Q341),"INVALID – recorded after the loading flight departed",IF(AG341&gt;Q341,"COMPLETE – LATE","COMPLETE"))))))))))))))))))))))))),IF(TRIM(U341)="Fail","FAIL – DISCREPANCY",IF(AND(TRIM(U341)&lt;&gt;"",TRIM(U341)&lt;&gt;"Not started",TRIM(U341)&lt;&gt;"In progress"),"INVALID – unrecognised status (use the list)",IF(AsOfUTC&gt;Q341,"OVERDUE",IF(N341="Clarification required","OPEN – CLARIFICATION","OPEN"))))))),"INVALID – error value in an input cell")</f>
        <v>OPEN</v>
      </c>
      <c r="AI341" s="61" t="n">
        <f aca="false">IF(OR(AH341="N/A – RULE",AH341="N/A – JUSTIFIED"),0,1)</f>
        <v>1</v>
      </c>
      <c r="AJ341" s="61" t="n">
        <f aca="false">IF(LEFT(AH341,8)="COMPLETE",1,0)</f>
        <v>0</v>
      </c>
      <c r="AK341" s="61" t="n">
        <f aca="false">IF(AND(AI341=1,AJ341=0,AsOfUTC&gt;Q341),1,0)</f>
        <v>0</v>
      </c>
      <c r="AL341" s="61" t="n">
        <f aca="false">IFERROR(IF(AND(AI341=1,OR(TRIM(U341)="Fail",AND(TRIM(AB341)&lt;&gt;"",TRIM(AB341)&lt;&gt;"Closed"),AND(ISNUMBER(AF341),AF341&lt;&gt;0,TRIM(U341)&lt;&gt;"Pass after CA"))),1,0),1)</f>
        <v>0</v>
      </c>
      <c r="AM341" s="61" t="n">
        <f aca="false">IF(LEFT(AH341,7)="INVALID",1,0)</f>
        <v>0</v>
      </c>
      <c r="AN341" s="61" t="n">
        <f aca="false">IF(AND(N341="Clarification required",AI341=1,AJ341=0),1,0)</f>
        <v>0</v>
      </c>
      <c r="AO341" s="61" t="str">
        <f aca="false">IF(AK341=1,SUM(AK$5:AK341),"")</f>
        <v/>
      </c>
      <c r="AP341" s="61" t="str">
        <f aca="false">IF(AL341=1,SUM(AL$5:AL341),"")</f>
        <v/>
      </c>
      <c r="AQ341" s="61" t="n">
        <v>0</v>
      </c>
      <c r="AR341" s="61" t="n">
        <v>0</v>
      </c>
      <c r="AS341" s="61" t="n">
        <v>0</v>
      </c>
      <c r="AT341" s="61" t="n">
        <v>0</v>
      </c>
      <c r="AU341" s="61" t="str">
        <f aca="false">SUBSTITUTE(SUBSTITUTE(SUBSTITUTE(SUBSTITUTE(SUBSTITUTE(SUBSTITUTE(SUBSTITUTE(SUBSTITUTE(SUBSTITUTE(SUBSTITUTE(SUBSTITUTE(SUBSTITUTE(SUBSTITUTE(SUBSTITUTE(SUBSTITUTE(SUBSTITUTE(LOWER(T341&amp;""),CHAR(10),""),CHAR(13),""),CHAR(9),""),CHAR(160),"")," ",""),".",""),"-",""),"/",""),"?",""),"_",""),",",""),"[",""),"]",""),"(",""),")",""),"*","")</f>
        <v/>
      </c>
      <c r="AV341" s="61" t="str">
        <f aca="false">SUBSTITUTE(SUBSTITUTE(SUBSTITUTE(SUBSTITUTE(SUBSTITUTE(SUBSTITUTE(SUBSTITUTE(SUBSTITUTE(SUBSTITUTE(SUBSTITUTE(SUBSTITUTE(SUBSTITUTE(SUBSTITUTE(SUBSTITUTE(SUBSTITUTE(SUBSTITUTE(LOWER(V341&amp;""),CHAR(10),""),CHAR(13),""),CHAR(9),""),CHAR(160),"")," ",""),".",""),"-",""),"/",""),"?",""),"_",""),",",""),"[",""),"]",""),"(",""),")",""),"*","")</f>
        <v/>
      </c>
      <c r="AW341" s="61" t="str">
        <f aca="false">SUBSTITUTE(SUBSTITUTE(SUBSTITUTE(SUBSTITUTE(SUBSTITUTE(SUBSTITUTE(SUBSTITUTE(SUBSTITUTE(SUBSTITUTE(SUBSTITUTE(SUBSTITUTE(SUBSTITUTE(SUBSTITUTE(SUBSTITUTE(SUBSTITUTE(SUBSTITUTE(LOWER(Z341&amp;""),CHAR(10),""),CHAR(13),""),CHAR(9),""),CHAR(160),"")," ",""),".",""),"-",""),"/",""),"?",""),"_",""),",",""),"[",""),"]",""),"(",""),")",""),"*","")</f>
        <v/>
      </c>
      <c r="AX341" s="61" t="str">
        <f aca="false">SUBSTITUTE(SUBSTITUTE(SUBSTITUTE(SUBSTITUTE(SUBSTITUTE(SUBSTITUTE(SUBSTITUTE(SUBSTITUTE(SUBSTITUTE(SUBSTITUTE(SUBSTITUTE(SUBSTITUTE(SUBSTITUTE(SUBSTITUTE(SUBSTITUTE(SUBSTITUTE(LOWER(AE341&amp;""),CHAR(10),""),CHAR(13),""),CHAR(9),""),CHAR(160),"")," ",""),".",""),"-",""),"/",""),"?",""),"_",""),",",""),"[",""),"]",""),"(",""),")",""),"*","")</f>
        <v/>
      </c>
      <c r="AY341" s="61" t="str">
        <f aca="false">SUBSTITUTE(SUBSTITUTE(SUBSTITUTE(SUBSTITUTE(SUBSTITUTE(SUBSTITUTE(SUBSTITUTE(SUBSTITUTE(SUBSTITUTE(SUBSTITUTE(SUBSTITUTE(SUBSTITUTE(SUBSTITUTE(SUBSTITUTE(SUBSTITUTE(SUBSTITUTE(LOWER(W341&amp;""),CHAR(10),""),CHAR(13),""),CHAR(9),""),CHAR(160),"")," ",""),".",""),"-",""),"/",""),"?",""),"_",""),",",""),"[",""),"]",""),"(",""),")",""),"*","")</f>
        <v/>
      </c>
      <c r="AZ341" s="61" t="str">
        <f aca="false">SUBSTITUTE(SUBSTITUTE(SUBSTITUTE(SUBSTITUTE(SUBSTITUTE(SUBSTITUTE(SUBSTITUTE(SUBSTITUTE(SUBSTITUTE(SUBSTITUTE(SUBSTITUTE(SUBSTITUTE(SUBSTITUTE(SUBSTITUTE(SUBSTITUTE(SUBSTITUTE(LOWER(AC341&amp;""),CHAR(10),""),CHAR(13),""),CHAR(9),""),CHAR(160),"")," ",""),".",""),"-",""),"/",""),"?",""),"_",""),",",""),"[",""),"]",""),"(",""),")",""),"*","")</f>
        <v/>
      </c>
      <c r="BA341" s="61" t="str">
        <f aca="false">SUBSTITUTE(SUBSTITUTE(SUBSTITUTE(SUBSTITUTE(SUBSTITUTE(SUBSTITUTE(SUBSTITUTE(SUBSTITUTE(SUBSTITUTE(SUBSTITUTE(SUBSTITUTE(SUBSTITUTE(SUBSTITUTE(SUBSTITUTE(SUBSTITUTE(SUBSTITUTE(LOWER(AA341&amp;""),CHAR(10),""),CHAR(13),""),CHAR(9),""),CHAR(160),"")," ",""),".",""),"-",""),"/",""),"?",""),"_",""),",",""),"[",""),"]",""),"(",""),")",""),"*","")</f>
        <v/>
      </c>
      <c r="BB341" s="61" t="str">
        <f aca="false">IF(AND(TRIM(U341)="Pass",ISNUMBER(AF341)),IF(AF341&lt;&gt;0,"INVALID – qty variance: use Fail or Pass after CA",""),"")&amp;IF(AND(TRIM(U341)="Pass after CA",ISNUMBER(AF341)),IF(AF341&lt;&gt;0,"INVALID – after the corrective action the actual qty must equal expected (update Actual)",""),"")&amp;IF(AND(TRIM(U341)="Pass",TRIM(AB341)&lt;&gt;"",TRIM(AB341)&lt;&gt;"Closed"),"INVALID – corrective action not closed: use Fail, then Pass after CA","")&amp;IF(AND(LEN(BA341)&gt;=2,ISNA(MATCH(LEFT(BA341,255),L_Placeholder,0)),TRIM(AB341)=""),"INVALID – CA status missing for the recorded corrective action","")&amp;IF(AND(TRIM(U341)="Pass after CA",OR(OR(LEN(BA341)&lt;5,ISNUMBER(MATCH(BA341,L_Placeholder,0))),TRIM(AB341)&lt;&gt;"Closed")),"INVALID – corrective action not recorded/closed","")</f>
        <v/>
      </c>
      <c r="BC341" s="61" t="str">
        <f aca="false">" "&amp;TRIM(SUBSTITUTE(SUBSTITUTE(SUBSTITUTE(SUBSTITUTE(SUBSTITUTE(SUBSTITUTE(SUBSTITUTE(SUBSTITUTE(SUBSTITUTE(SUBSTITUTE(SUBSTITUTE(SUBSTITUTE(SUBSTITUTE(SUBSTITUTE(SUBSTITUTE(SUBSTITUTE(SUBSTITUTE(SUBSTITUTE(SUBSTITUTE(SUBSTITUTE(SUBSTITUTE(SUBSTITUTE(SUBSTITUTE(SUBSTITUTE(LOWER(V341&amp;""),CHAR(10)," "),CHAR(13)," "),CHAR(9)," "),CHAR(160)," "),"."," "),","," "),"-"," "),"/"," "),"("," "),")"," "),":"," "),";"," "),"_"," "),"–"," "),"?"," "),"!"," "),"*"," "),"["," "),"]"," "),"'"," "),"#"," "),"+"," "),"&amp;"," "),"\"," "))&amp;" "</f>
        <v>  </v>
      </c>
      <c r="BD341" s="61" t="str">
        <f aca="false">" "&amp;TRIM(SUBSTITUTE(SUBSTITUTE(SUBSTITUTE(SUBSTITUTE(SUBSTITUTE(SUBSTITUTE(SUBSTITUTE(SUBSTITUTE(SUBSTITUTE(SUBSTITUTE(SUBSTITUTE(SUBSTITUTE(SUBSTITUTE(SUBSTITUTE(SUBSTITUTE(SUBSTITUTE(SUBSTITUTE(SUBSTITUTE(SUBSTITUTE(SUBSTITUTE(SUBSTITUTE(SUBSTITUTE(SUBSTITUTE(SUBSTITUTE(LOWER(Z341&amp;""),CHAR(10)," "),CHAR(13)," "),CHAR(9)," "),CHAR(160)," "),"."," "),","," "),"-"," "),"/"," "),"("," "),")"," "),":"," "),";"," "),"_"," "),"–"," "),"?"," "),"!"," "),"*"," "),"["," "),"]"," "),"'"," "),"#"," "),"+"," "),"&amp;"," "),"\"," "))&amp;" "</f>
        <v>  </v>
      </c>
      <c r="BE341" s="61" t="str">
        <f aca="false">" "&amp;TRIM(SUBSTITUTE(SUBSTITUTE(SUBSTITUTE(SUBSTITUTE(SUBSTITUTE(SUBSTITUTE(SUBSTITUTE(SUBSTITUTE(SUBSTITUTE(SUBSTITUTE(SUBSTITUTE(SUBSTITUTE(SUBSTITUTE(SUBSTITUTE(SUBSTITUTE(SUBSTITUTE(SUBSTITUTE(SUBSTITUTE(SUBSTITUTE(SUBSTITUTE(SUBSTITUTE(SUBSTITUTE(SUBSTITUTE(SUBSTITUTE(LOWER(W341&amp;""),CHAR(10)," "),CHAR(13)," "),CHAR(9)," "),CHAR(160)," "),"."," "),","," "),"-"," "),"/"," "),"("," "),")"," "),":"," "),";"," "),"_"," "),"–"," "),"?"," "),"!"," "),"*"," "),"["," "),"]"," "),"'"," "),"#"," "),"+"," "),"&amp;"," "),"\"," "))&amp;" "</f>
        <v>  </v>
      </c>
      <c r="BF341" s="61" t="str">
        <f aca="false">" "&amp;TRIM(SUBSTITUTE(SUBSTITUTE(SUBSTITUTE(SUBSTITUTE(SUBSTITUTE(SUBSTITUTE(SUBSTITUTE(SUBSTITUTE(SUBSTITUTE(SUBSTITUTE(SUBSTITUTE(SUBSTITUTE(SUBSTITUTE(SUBSTITUTE(SUBSTITUTE(SUBSTITUTE(SUBSTITUTE(SUBSTITUTE(SUBSTITUTE(SUBSTITUTE(SUBSTITUTE(SUBSTITUTE(SUBSTITUTE(SUBSTITUTE(LOWER(AC341&amp;""),CHAR(10)," "),CHAR(13)," "),CHAR(9)," "),CHAR(160)," "),"."," "),","," "),"-"," "),"/"," "),"("," "),")"," "),":"," "),";"," "),"_"," "),"–"," "),"?"," "),"!"," "),"*"," "),"["," "),"]"," "),"'"," "),"#"," "),"+"," "),"&amp;"," "),"\"," "))&amp;" "</f>
        <v>  </v>
      </c>
      <c r="BG341" s="61" t="n">
        <f aca="false">IFERROR(IF(AND(TRIM(U341)="Pass",SUMPRODUCT((LEN(BC341)-LEN(SUBSTITUTE(BC341," "&amp;L_ResultBad&amp;" "," ")))/(LEN(L_ResultBad)+1))&gt;SUMPRODUCT((LEN(BC341)-LEN(SUBSTITUTE(BC341," "&amp;L_NegPhrase&amp;" "," ")))/(LEN(L_NegPhrase)+1))),1,0),0)</f>
        <v>0</v>
      </c>
      <c r="BH341" s="61" t="n">
        <f aca="false">IFERROR(IF(SUMPRODUCT((LEN(BC341)-LEN(SUBSTITUTE(BC341," "&amp;L_Pending&amp;" "," ")))/(LEN(L_Pending)+1))&gt;SUMPRODUCT((LEN(BC341)-LEN(SUBSTITUTE(BC341," "&amp;L_PendNeg&amp;" "," ")))/(LEN(L_PendNeg)+1))+SUMPRODUCT((LEN(BC341)-LEN(SUBSTITUTE(BC341," "&amp;L_PendPrep&amp;" "," ")))/(LEN(L_PendPrep)+1)),1,0),1)</f>
        <v>0</v>
      </c>
      <c r="BI341" s="61" t="n">
        <f aca="false">IFERROR(IF(SUMPRODUCT((LEN(BD341)-LEN(SUBSTITUTE(BD341," "&amp;L_PendStrict&amp;" "," ")))/(LEN(L_PendStrict)+1))&gt;SUMPRODUCT((LEN(BD341)-LEN(SUBSTITUTE(BD341," "&amp;L_PendNeg&amp;" "," ")))/(LEN(L_PendNeg)+1)),1,0),1)</f>
        <v>0</v>
      </c>
      <c r="BJ341" s="61" t="n">
        <f aca="false">IFERROR(IF(SUMPRODUCT((LEN(BE341)-LEN(SUBSTITUTE(BE341," "&amp;L_Pending&amp;" "," ")))/(LEN(L_Pending)+1))&gt;SUMPRODUCT((LEN(BE341)-LEN(SUBSTITUTE(BE341," "&amp;L_PendNeg&amp;" "," ")))/(LEN(L_PendNeg)+1))+SUMPRODUCT((LEN(BE341)-LEN(SUBSTITUTE(BE341," "&amp;L_PendPrep&amp;" "," ")))/(LEN(L_PendPrep)+1)),1,0),1)</f>
        <v>0</v>
      </c>
      <c r="BK341" s="61" t="n">
        <f aca="false">IFERROR(IF(SUMPRODUCT((LEN(BF341)-LEN(SUBSTITUTE(BF341," "&amp;L_PendStrict&amp;" "," ")))/(LEN(L_PendStrict)+1))&gt;SUMPRODUCT((LEN(BF341)-LEN(SUBSTITUTE(BF341," "&amp;L_PendNeg&amp;" "," ")))/(LEN(L_PendNeg)+1)),1,0),1)</f>
        <v>0</v>
      </c>
      <c r="BL341" s="61" t="n">
        <f aca="false">IF(ISNA(MATCH(TRIM(S341),L_EvidenceType,0)),0,BZ341)</f>
        <v>0</v>
      </c>
      <c r="BM341" s="61" t="str">
        <f aca="false">SUBSTITUTE(SUBSTITUTE(SUBSTITUTE(SUBSTITUTE(SUBSTITUTE(SUBSTITUTE(SUBSTITUTE(SUBSTITUTE(SUBSTITUTE(LOWER(Z341&amp;""),"1","0"),"2","0"),"3","0"),"4","0"),"5","0"),"6","0"),"7","0"),"8","0"),"9","0")</f>
        <v/>
      </c>
      <c r="BN341" s="61" t="str">
        <f aca="false">SUBSTITUTE(SUBSTITUTE(SUBSTITUTE(SUBSTITUTE(SUBSTITUTE(SUBSTITUTE(SUBSTITUTE(SUBSTITUTE(SUBSTITUTE(SUBSTITUTE(SUBSTITUTE(SUBSTITUTE(SUBSTITUTE(SUBSTITUTE(SUBSTITUTE(SUBSTITUTE(SUBSTITUTE(SUBSTITUTE(SUBSTITUTE(SUBSTITUTE(SUBSTITUTE(SUBSTITUTE(SUBSTITUTE(SUBSTITUTE(SUBSTITUTE(BM341,"b","a"),"c","a"),"d","a"),"e","a"),"f","a"),"g","a"),"h","a"),"i","a"),"j","a"),"k","a"),"l","a"),"m","a"),"n","a"),"o","a"),"p","a"),"q","a"),"r","a"),"s","a"),"t","a"),"u","a"),"v","a"),"w","a"),"x","a"),"y","a"),"z","a")</f>
        <v/>
      </c>
      <c r="BO341" s="61" t="str">
        <f aca="false">SUBSTITUTE(SUBSTITUTE(SUBSTITUTE(SUBSTITUTE(SUBSTITUTE(SUBSTITUTE(SUBSTITUTE(SUBSTITUTE(SUBSTITUTE(LOWER(W341&amp;""),"1","0"),"2","0"),"3","0"),"4","0"),"5","0"),"6","0"),"7","0"),"8","0"),"9","0")</f>
        <v/>
      </c>
      <c r="BP341" s="61" t="str">
        <f aca="false">SUBSTITUTE(SUBSTITUTE(SUBSTITUTE(SUBSTITUTE(SUBSTITUTE(SUBSTITUTE(SUBSTITUTE(SUBSTITUTE(SUBSTITUTE(SUBSTITUTE(SUBSTITUTE(SUBSTITUTE(SUBSTITUTE(SUBSTITUTE(SUBSTITUTE(SUBSTITUTE(SUBSTITUTE(SUBSTITUTE(SUBSTITUTE(SUBSTITUTE(SUBSTITUTE(SUBSTITUTE(SUBSTITUTE(SUBSTITUTE(SUBSTITUTE(BO341,"b","a"),"c","a"),"d","a"),"e","a"),"f","a"),"g","a"),"h","a"),"i","a"),"j","a"),"k","a"),"l","a"),"m","a"),"n","a"),"o","a"),"p","a"),"q","a"),"r","a"),"s","a"),"t","a"),"u","a"),"v","a"),"w","a"),"x","a"),"y","a"),"z","a")</f>
        <v/>
      </c>
      <c r="BQ341" s="61" t="n">
        <f aca="false">IFERROR(IF(AND(ISERROR(SEARCH(" mh"," "&amp;LOWER(W341))),ISNA(MATCH(LEFT(TRIM(BP341),255),{"0000a","000a","00a","0000aa","000aa","00aa","0aa","0000aaa","000aaa","00a00","0a00","0000-0000","00:00","a00","a0","00.00.0000","00/00/0000","00-00-0000","0000-00-00","0000/00/00","0000.00.00","00.00.00","00/00/00","00-00-00","0.00.0000","0/00/0000","0-00-0000"},0)),ISNA(MATCH(LEFT(TRIM(CA341),255),{"0000a","000a","00a","0000aa","000aa","00aa","0aa","0000aaa","000aaa","00a00","0a00","0000-0000","00:00","a00","a0","00.00.0000","00/00/0000","00-00-0000","0000-00-00","0000/00/00","0000.00.00","00.00.00","00/00/00","00-00-00","0.00.0000","0/00/0000","0-00-0000"},0)),LEN(CB341)&gt;=3,NOT(OR(SUBSTITUTE(CB341,"0","")="",AND(LEN(CB341)&gt;=4,CB341=REPT(LEFT(CB341),LEN(CB341))),ISNUMBER(MATCH(CB341,{"123","1234","12345","123456","1234567","12345678","0123","01234","012345","98765","987654","54321"},0)),AND(LEN(CB341)=8,LEFT(CB341,3)="202"))),OR(AND((LEN(CA341)-LEN(SUBSTITUTE(CA341,"a","")))&gt;=1,SUMPRODUCT(--ISNUMBER(SEARCH({"a0","a-0","a_0","a/0","a.0","a#0","0a","0-a","0_a","0/a"},BP341)))&gt;0),ISNUMBER(SEARCH("000000",BP341)))),1,0),0)</f>
        <v>0</v>
      </c>
      <c r="BR341" s="61" t="n">
        <f aca="false">IFERROR(LEN(SUBSTITUTE(CC341," ",""))-SUMPRODUCT((LEN(CC341)-LEN(SUBSTITUTE(CC341," "&amp;L_Role&amp;" "," ")))/(LEN(L_Role)+1)*LEN(L_Role)),0)</f>
        <v>0</v>
      </c>
      <c r="BS341" s="61" t="n">
        <f aca="false">IFERROR(LEN(SUBSTITUTE(CD341," ",""))-SUMPRODUCT((LEN(CD341)-LEN(SUBSTITUTE(CD341," "&amp;L_Role&amp;" "," ")))/(LEN(L_Role)+1)*LEN(L_Role)),0)</f>
        <v>0</v>
      </c>
      <c r="BT3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341,"revision",""),"version",""),"jan",""),"feb",""),"mar",""),"apr",""),"may",""),"jun",""),"jul",""),"aug",""),"sep",""),"oct",""),"nov",""),"dec",""),"utc",""),"gmt",""),"myt",""),"bst",""),"rev",""),"ver",""),"b","a"),"c","a"),"d","a"),"e","a"),"f","a"),"g","a"),"h","a"),"i","a"),"j","a"),"k","a"),"l","a"),"m","a"),"n","a"),"o","a"),"p","a"),"q","a"),"r","a"),"s","a"),"t","a"),"u","a"),"v","a"),"w","a"),"x","a"),"y","a"),"z","a")</f>
        <v/>
      </c>
      <c r="BU341" s="61" t="str">
        <f aca="false">SUBSTITUTE(SUBSTITUTE(SUBSTITUTE(SUBSTITUTE(SUBSTITUTE(SUBSTITUTE(SUBSTITUTE(SUBSTITUTE(SUBSTITUTE(SUBSTITUTE(LEFT(BM341,FIND("0",BM341&amp;"0")-1),"-",""),"_",""),"/",""),".",""),"#",""),"\\",""),":","")," ",""),"(",""),")","")</f>
        <v/>
      </c>
      <c r="BV341" s="61" t="n">
        <f aca="false">0</f>
        <v>0</v>
      </c>
      <c r="BW3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341&amp;""),"a",""),"b",""),"c",""),"d",""),"e",""),"f",""),"g",""),"h",""),"i",""),"j",""),"k",""),"l",""),"m",""),"n",""),"o",""),"p",""),"q",""),"r",""),"s",""),"t",""),"u",""),"v",""),"w",""),"x",""),"y",""),"z",""),"-",""),"_",""),"/",""),".",""),"#",""),"\\",""),":","")," ",""),"(",""),")","")</f>
        <v/>
      </c>
      <c r="BX341" s="61" t="str">
        <f aca="false">SUBSTITUTE(SUBSTITUTE(SUBSTITUTE(SUBSTITUTE(SUBSTITUTE(SUBSTITUTE(SUBSTITUTE(SUBSTITUTE(SUBSTITUTE(SUBSTITUTE(SUBSTITUTE(BM341,"0",""),"-",""),"_",""),"/",""),".",""),"#",""),"\\",""),":","")," ",""),"(",""),")","")</f>
        <v/>
      </c>
      <c r="BY341" s="62" t="n">
        <f aca="false">Q341-T12EarlyH/24</f>
        <v>46306.15625</v>
      </c>
      <c r="BZ341" s="61" t="n">
        <f aca="false">IFERROR(IF(IF(TRIM(S341)="Link / file path",AND(LEN(TRIM(Z341))&gt;=5,SUMPRODUCT(--ISNUMBER(SEARCH({"http","www.","\\",":\",".pdf",".jpg",".jpeg",".png",".heic",".xls",".doc",".msg",".eml",".ppt",".txt",".zip"},Z341)))&gt;0),AND(ISERROR(FIND(" ",TRIM(Z341))),NOT(OR(SUMPRODUCT(--ISNUMBER(FIND({",",";","&amp;","+"},Z341)))&gt;0,SUMPRODUCT(--ISNUMBER(SEARCH({"0/aa","0\\aa"},BN341)))&gt;0)),NOT(SUMPRODUCT(--ISNUMBER(SEARCH({"http","www.","\\",":\",".pdf",".jpg",".jpeg",".png",".heic",".xls",".doc",".msg",".eml",".ppt",".txt",".zip"},Z341)))&gt;0),NOT(LOWER(TRIM(Z341))=LOWER(Flights!$F$14)),ISNA(MATCH(BU341,{"mh","rev","revision","ver","version","v","r","a","b","seat","tray","row","gate","bay","stand","page","pg","item","line","no","cart","galley","flight","flt","table","box","bag","oven","etd","eta","std","sta","atd","ata","qty","pax","x","time","tel","ph","mob","day","wk","week","utc","gmt","myt","lt"},0)),NOT(OR(ISNUMBER(MATCH(LEFT(BN341,255),{"0000a","000a","00a","0000aa","000aa","00aa","0aa","0000aaa","000aaa","00a00","0a00","0000-0000","00:00","a00","a0","00.00.0000","00/00/0000","00-00-0000","0000-00-00","0000/00/00","0000.00.00","00.00.00","00/00/00","00-00-00","0.00.0000","0/00/0000","0-00-0000"},0)),ISNUMBER(MATCH(LEFT(BT341,255),{"0000a","000a","00a","0000aa","000aa","00aa","0aa","0000aaa","000aaa","00a00","0a00","0000-0000","00:00","a00","a0","00.00.0000","00/00/0000","00-00-0000","0000-00-00","0000/00/00","0000.00.00","00.00.00","00/00/00","00-00-00","0.00.0000","0/00/0000","0-00-0000"},0)))),NOT(OR(AND(BW341&lt;&gt;"",SUBSTITUTE(BW341,"0","")=""),AND(LEN(BW341)&gt;=4,BW341=REPT(LEFT(BW341),LEN(BW341))),ISNUMBER(MATCH(BW341,{"123","1234","12345","123456","1234567","12345678","0123","01234","012345","98765","987654","54321"},0)),ISNUMBER(MATCH(BX341,{"x","xx","xxx","xxxx","xxxxx","abc","abcd","nil","na","nan","test","tbc","tba","tbd","dummy","sample","example","eg","zz","zzz","none","null","xyz","qwe","asd","id","ref"},0)),AND(LEN(BW341)=8,BX341="",OR(LEFT(BW341,3)="202",ISNUMBER(MATCH(RIGHT(BW341,4),{"2025","2026","2027"},0)))))),OR(AND((LEN(BT341)-LEN(SUBSTITUTE(BT341,"a","")))&gt;=1,(LEN(BN341)-LEN(SUBSTITUTE(BN341,"0","")))&gt;=2,SUMPRODUCT(--ISNUMBER(SEARCH({"a0","a-0","a_0","a/0","a.0","a#0","0a","0-a","0_a","0/a"},BN341)))&gt;0),AND((LEN(BN341)-LEN(SUBSTITUTE(BN341,"a","")))=0,(LEN(BN341)-LEN(SUBSTITUTE(BN341,"0","")))&gt;=5)))),1,0),0)</f>
        <v>0</v>
      </c>
      <c r="CA3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341,"revision",""),"version",""),"jan",""),"feb",""),"mar",""),"apr",""),"may",""),"jun",""),"jul",""),"aug",""),"sep",""),"oct",""),"nov",""),"dec",""),"utc",""),"gmt",""),"myt",""),"bst",""),"rev",""),"ver",""),"b","a"),"c","a"),"d","a"),"e","a"),"f","a"),"g","a"),"h","a"),"i","a"),"j","a"),"k","a"),"l","a"),"m","a"),"n","a"),"o","a"),"p","a"),"q","a"),"r","a"),"s","a"),"t","a"),"u","a"),"v","a"),"w","a"),"x","a"),"y","a"),"z","a")</f>
        <v/>
      </c>
      <c r="CB3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341&amp;""),"a",""),"b",""),"c",""),"d",""),"e",""),"f",""),"g",""),"h",""),"i",""),"j",""),"k",""),"l",""),"m",""),"n",""),"o",""),"p",""),"q",""),"r",""),"s",""),"t",""),"u",""),"v",""),"w",""),"x",""),"y",""),"z",""),"-",""),"_",""),"/",""),".",""),"#",""),"\\",""),":","")," ",""),"(",""),")","")</f>
        <v/>
      </c>
      <c r="CC341" s="0" t="str">
        <f aca="false">" "&amp;TRIM(SUBSTITUTE(SUBSTITUTE(SUBSTITUTE(SUBSTITUTE(SUBSTITUTE(SUBSTITUTE(SUBSTITUTE(SUBSTITUTE(SUBSTITUTE(SUBSTITUTE(SUBSTITUTE(SUBSTITUTE(SUBSTITUTE(SUBSTITUTE(SUBSTITUTE(SUBSTITUTE(SUBSTITUTE(SUBSTITUTE(SUBSTITUTE(SUBSTITUTE(SUBSTITUTE(SUBSTITUTE(SUBSTITUTE(SUBSTITUTE(LOWER(T341&amp;""),CHAR(10)," "),CHAR(13)," "),CHAR(9)," "),CHAR(160)," "),"."," "),","," "),"-"," "),"/"," "),"("," "),")"," "),":"," "),";"," "),"_"," "),"–"," "),"?"," "),"!"," "),"*"," "),"["," "),"]"," "),"'"," "),"#"," "),"+"," "),"&amp;"," "),"\"," "))&amp;" "</f>
        <v>  </v>
      </c>
      <c r="CD341" s="0" t="str">
        <f aca="false">" "&amp;TRIM(SUBSTITUTE(SUBSTITUTE(SUBSTITUTE(SUBSTITUTE(SUBSTITUTE(SUBSTITUTE(SUBSTITUTE(SUBSTITUTE(SUBSTITUTE(SUBSTITUTE(SUBSTITUTE(SUBSTITUTE(SUBSTITUTE(SUBSTITUTE(SUBSTITUTE(SUBSTITUTE(SUBSTITUTE(SUBSTITUTE(SUBSTITUTE(SUBSTITUTE(SUBSTITUTE(SUBSTITUTE(SUBSTITUTE(SUBSTITUTE(LOWER(AE341&amp;""),CHAR(10)," "),CHAR(13)," "),CHAR(9)," "),CHAR(160)," "),"."," "),","," "),"-"," "),"/"," "),"("," "),")"," "),":"," "),";"," "),"_"," "),"–"," "),"?"," "),"!"," "),"*"," "),"["," "),"]"," "),"'"," "),"#"," "),"+"," "),"&amp;"," "),"\"," "))&amp;" "</f>
        <v>  </v>
      </c>
      <c r="CE341" s="68" t="n">
        <f aca="false">IFERROR(IF(AND(LEN(AU341)&gt;0,LEN(AU341)=LEN(AX341),OR(TRIM(MID(SUBSTITUTE(TRIM(CC341)," ",REPT(" ",60)),1,60))="",ISNUMBER(SEARCH(" "&amp;TRIM(MID(SUBSTITUTE(TRIM(CC341)," ",REPT(" ",60)),1,60))&amp;" ",CD341))),OR(TRIM(MID(SUBSTITUTE(TRIM(CC341)," ",REPT(" ",60)),61,60))="",ISNUMBER(SEARCH(" "&amp;TRIM(MID(SUBSTITUTE(TRIM(CC341)," ",REPT(" ",60)),61,60))&amp;" ",CD341))),OR(TRIM(MID(SUBSTITUTE(TRIM(CC341)," ",REPT(" ",60)),121,60))="",ISNUMBER(SEARCH(" "&amp;TRIM(MID(SUBSTITUTE(TRIM(CC341)," ",REPT(" ",60)),121,60))&amp;" ",CD341)))),1,0),0)</f>
        <v>0</v>
      </c>
      <c r="CG341" s="68" t="n">
        <f aca="false">IFERROR(LEN(SUBSTITUTE(BF341," ",""))-SUMPRODUCT((LEN(BF341)-LEN(SUBSTITUTE(BF341," "&amp;L_NAFiller&amp;" "," ")))/(LEN(L_NAFiller)+1)*LEN(L_NAFiller)),0)</f>
        <v>0</v>
      </c>
    </row>
    <row r="342" customFormat="false" ht="41.25" hidden="false" customHeight="true" outlineLevel="0" collapsed="false">
      <c r="A342" s="57" t="s">
        <v>938</v>
      </c>
      <c r="B342" s="57" t="s">
        <v>251</v>
      </c>
      <c r="C342" s="57" t="str">
        <f aca="false">Flights!$F$14</f>
        <v>MH1140</v>
      </c>
      <c r="D342" s="58" t="n">
        <f aca="false">Flights!$D$14</f>
        <v>46307</v>
      </c>
      <c r="E342" s="57" t="str">
        <f aca="false">Flights!$G$14&amp;"-"&amp;Flights!$H$14</f>
        <v>KUL-PEN</v>
      </c>
      <c r="F342" s="57" t="str">
        <f aca="false">Flights!$K$14</f>
        <v>BC</v>
      </c>
      <c r="G342" s="57" t="s">
        <v>420</v>
      </c>
      <c r="H342" s="57" t="s">
        <v>378</v>
      </c>
      <c r="I342" s="57" t="s">
        <v>499</v>
      </c>
      <c r="J342" s="57" t="s">
        <v>508</v>
      </c>
      <c r="K342" s="67" t="s">
        <v>501</v>
      </c>
      <c r="L342" s="67" t="s">
        <v>939</v>
      </c>
      <c r="M342" s="67" t="s">
        <v>451</v>
      </c>
      <c r="N342" s="67" t="s">
        <v>383</v>
      </c>
      <c r="O342" s="67" t="s">
        <v>503</v>
      </c>
      <c r="P342" s="57" t="s">
        <v>187</v>
      </c>
      <c r="Q342" s="59" t="n">
        <f aca="false">ROUND((Flights!$AE$14)*1440,0)/1440</f>
        <v>46306.65625</v>
      </c>
      <c r="R342" s="59" t="n">
        <f aca="false">Q342+(IF(AND(INDEX(TZ_DSTS,MATCH(P342,TZ_STN,0))&lt;&gt;"",Q342&gt;=INDEX(TZ_DSTS,MATCH(P342,TZ_STN,0)),Q342&lt;INDEX(TZ_DSTE,MATCH(P342,TZ_STN,0))),INDEX(TZ_DST,MATCH(P342,TZ_STN,0)),INDEX(TZ_STD,MATCH(P342,TZ_STN,0))))/24</f>
        <v>46306.9895833333</v>
      </c>
      <c r="S342" s="60"/>
      <c r="T342" s="60"/>
      <c r="U342" s="60"/>
      <c r="V342" s="60"/>
      <c r="W342" s="61"/>
      <c r="X342" s="60"/>
      <c r="Y342" s="60"/>
      <c r="Z342" s="60"/>
      <c r="AA342" s="60"/>
      <c r="AB342" s="60"/>
      <c r="AC342" s="60"/>
      <c r="AD342" s="66"/>
      <c r="AE342" s="60"/>
      <c r="AF342" s="61" t="str">
        <f aca="false">IF(AND(ISNUMBER(X342),ISNUMBER(Y342)),Y342-X342,"")</f>
        <v/>
      </c>
      <c r="AG342" s="62" t="str">
        <f aca="false">IF(ISNUMBER(AD342),AD342-(IF(AND(INDEX(TZ_DSTS,MATCH(P342,TZ_STN,0))&lt;&gt;"",(AD342-INDEX(TZ_STD,MATCH(P342,TZ_STN,0))/24)&gt;=INDEX(TZ_DSTS,MATCH(P342,TZ_STN,0)),(AD342-INDEX(TZ_STD,MATCH(P342,TZ_STN,0))/24)&lt;INDEX(TZ_DSTE,MATCH(P342,TZ_STN,0))),INDEX(TZ_DST,MATCH(P342,TZ_STN,0)),INDEX(TZ_STD,MATCH(P342,TZ_STN,0))))/24,"")</f>
        <v/>
      </c>
      <c r="AH342" s="65" t="str">
        <f aca="false">IFERROR(IF(N342="N/A – rule",IF(OR(TRIM(U342)="",TRIM(U342)="N/A",TRIM(U342)="Not started"),"N/A – RULE","INVALID – this check does not apply to this aircraft: clear the status (or correct the fleet on Flights)"),IF(TRIM(U342)="N/A",IF(AT342=0,"INVALID – N/A not permitted for this check",IF(AND(TRIM(AB342)&lt;&gt;"",TRIM(AB342)&lt;&gt;"Closed"),"INVALID – corrective action still open",IF(AND(NOT(OR(LEN(AZ342)&lt;15,ISNUMBER(MATCH(AZ342,L_Placeholder,0)))),BK342=0,CG342&gt;=8,NOT(OR(LEN(AU342)&lt;2,ISNUMBER(MATCH(AU342,L_Placeholder,0)))),BR342&gt;=3,NOT(OR(LEN(AX342)&lt;2,ISNUMBER(MATCH(AX342,L_Placeholder,0)))),BS342&gt;=3,TRIM(AE342)&lt;&gt;TRIM(T342),AX342&lt;&gt;AU342,CE342=0),"N/A – JUSTIFIED","INVALID – N/A needs a real, settled reason (not 'not applicable' / 'as above' / TBC), a named PIC and a different named verifier"))),IF(OR(TRIM(U342)="Pass",TRIM(U342)="Pass after CA"),IF(NOT(ISNUMBER(AD342)),"INVALID – completion time missing",IF(OR(OR(LEN(AU342)&lt;2,ISNUMBER(MATCH(AU342,L_Placeholder,0))),BR342&lt;3),"INVALID – PIC missing or not a named person (a role such as QA / CSM is not a name)",IF(OR(LEN(AV342)&lt;2,ISNUMBER(MATCH(AV342,L_Placeholder,0))),"INVALID – result / assessment missing",IF(OR(OR(LEN(AW342)&lt;3,ISNUMBER(MATCH(AW342,L_Placeholder,0))),SUMPRODUCT(--ISNUMBER(SEARCH(" "&amp;L_EvidencePhrase&amp;" ",BD342)))&gt;0,BI342=1),"INVALID – evidence missing, placeholder or not yet on file",IF(ISNA(MATCH(TRIM(S342),L_EvidenceType,0)),"INVALID – choose the evidence type from the list (column S)",IF(BL342=0,"INVALID – evidence ID must be the record's own ID only (e.g. SF-2210, IMG_2231, 1045521); a link / file name needs type 'Link / file path'",IF(OR(OR(LEN(AX342)&lt;2,ISNUMBER(MATCH(AX342,L_Placeholder,0))),BS342&lt;3),"INVALID – verifier missing or not a named person (a role such as QA / CSM is not a name)",IF(OR(AX342=AU342,CE342=1,AND(LEN(AU342)&gt;=4,ISNUMBER(SEARCH(AU342,AX342))),AND(LEN(AX342)&gt;=4,ISNUMBER(SEARCH(AX342,AU342)))),"INVALID – verifier must be a different, named person (not the PIC or a role)",IF(BH342=1,"INVALID – result not yet available (awaiting / TBC)",IF(BG342=1,"INVALID – result describes a problem: record Fail, then Pass after CA (or reword if it is not a problem)",IF(BV342=1,"INVALID – wording says not on board: an on-board confirmation needs the item loaded",IF(AND(AQ342=1,OR(OR(LEN(AY342)&lt;3,ISNUMBER(MATCH(AY342,L_Placeholder,0))),BJ342=1,BQ342=0)),"INVALID – batch ID missing, placeholder or not an ID (e.g. PASB-261008-BC-017)",IF(AND(AR342=1,OR(NOT(ISNUMBER(X342)),NOT(ISNUMBER(Y342)))),"INVALID – expected/actual qty missing",IF(AND(AR342=1,OR(X342&lt;=0,Y342&lt;0)),"INVALID – expected qty must be above 0 and actual not negative",IF(BB342&lt;&gt;"",BB342,IF(AND(AS342=1,Documents!$J$14&lt;&gt;"ON FILE"),"INVALID – GLD not on file (Documents sheet)",IF(AND(AS342=2,Documents!$O$14&lt;&gt;"ON FILE"),"INVALID – menu checklist not on file (Documents sheet)",IF(AND(AS342=3,NOT(ISNUMBER(Flights!$AX$14))),"INVALID – enter carrying flight KUL departure (Flights AX)",IF(AND(AS342=3,OR(Flights!$AZ$14&gt;Flights!$AA$14,Flights!$AX$14&lt;Flights!$AA$14-3)),"INVALID – carrying flight (Flights AX) cannot arrive before this leg's STD, or is over 3 days early",IF(AG342&gt;AsOfUTC,"INVALID – completion time is in the future",IF(AND(ISNUMBER(BY342),AG342&lt;BY342),IF(H342="Physical uplift","INVALID – before uplift window (cannot confirm loading)","INVALID – before valid window"),IF(AG342&gt;Flights!$AA$14,"INVALID – completed after departure (cannot establish readiness)",IF(AND(H342="Preparation",AG342&gt;=IF(ISNUMBER(Flights!$BA$14),MIN(Flights!$BA$14,Flights!$AA$14),Flights!$AA$14)),"INVALID – completed after loading / departure (cannot establish readiness)",IF(AND(H342="Physical uplift",AG342&gt;Q342),"INVALID – recorded after the loading flight departed",IF(AG342&gt;Q342,"COMPLETE – LATE","COMPLETE"))))))))))))))))))))))))),IF(TRIM(U342)="Fail","FAIL – DISCREPANCY",IF(AND(TRIM(U342)&lt;&gt;"",TRIM(U342)&lt;&gt;"Not started",TRIM(U342)&lt;&gt;"In progress"),"INVALID – unrecognised status (use the list)",IF(AsOfUTC&gt;Q342,"OVERDUE",IF(N342="Clarification required","OPEN – CLARIFICATION","OPEN"))))))),"INVALID – error value in an input cell")</f>
        <v>OPEN</v>
      </c>
      <c r="AI342" s="61" t="n">
        <f aca="false">IF(OR(AH342="N/A – RULE",AH342="N/A – JUSTIFIED"),0,1)</f>
        <v>1</v>
      </c>
      <c r="AJ342" s="61" t="n">
        <f aca="false">IF(LEFT(AH342,8)="COMPLETE",1,0)</f>
        <v>0</v>
      </c>
      <c r="AK342" s="61" t="n">
        <f aca="false">IF(AND(AI342=1,AJ342=0,AsOfUTC&gt;Q342),1,0)</f>
        <v>0</v>
      </c>
      <c r="AL342" s="61" t="n">
        <f aca="false">IFERROR(IF(AND(AI342=1,OR(TRIM(U342)="Fail",AND(TRIM(AB342)&lt;&gt;"",TRIM(AB342)&lt;&gt;"Closed"),AND(ISNUMBER(AF342),AF342&lt;&gt;0,TRIM(U342)&lt;&gt;"Pass after CA"))),1,0),1)</f>
        <v>0</v>
      </c>
      <c r="AM342" s="61" t="n">
        <f aca="false">IF(LEFT(AH342,7)="INVALID",1,0)</f>
        <v>0</v>
      </c>
      <c r="AN342" s="61" t="n">
        <f aca="false">IF(AND(N342="Clarification required",AI342=1,AJ342=0),1,0)</f>
        <v>0</v>
      </c>
      <c r="AO342" s="61" t="str">
        <f aca="false">IF(AK342=1,SUM(AK$5:AK342),"")</f>
        <v/>
      </c>
      <c r="AP342" s="61" t="str">
        <f aca="false">IF(AL342=1,SUM(AL$5:AL342),"")</f>
        <v/>
      </c>
      <c r="AQ342" s="61" t="n">
        <v>0</v>
      </c>
      <c r="AR342" s="61" t="n">
        <v>0</v>
      </c>
      <c r="AS342" s="61" t="n">
        <v>0</v>
      </c>
      <c r="AT342" s="61" t="n">
        <v>0</v>
      </c>
      <c r="AU342" s="61" t="str">
        <f aca="false">SUBSTITUTE(SUBSTITUTE(SUBSTITUTE(SUBSTITUTE(SUBSTITUTE(SUBSTITUTE(SUBSTITUTE(SUBSTITUTE(SUBSTITUTE(SUBSTITUTE(SUBSTITUTE(SUBSTITUTE(SUBSTITUTE(SUBSTITUTE(SUBSTITUTE(SUBSTITUTE(LOWER(T342&amp;""),CHAR(10),""),CHAR(13),""),CHAR(9),""),CHAR(160),"")," ",""),".",""),"-",""),"/",""),"?",""),"_",""),",",""),"[",""),"]",""),"(",""),")",""),"*","")</f>
        <v/>
      </c>
      <c r="AV342" s="61" t="str">
        <f aca="false">SUBSTITUTE(SUBSTITUTE(SUBSTITUTE(SUBSTITUTE(SUBSTITUTE(SUBSTITUTE(SUBSTITUTE(SUBSTITUTE(SUBSTITUTE(SUBSTITUTE(SUBSTITUTE(SUBSTITUTE(SUBSTITUTE(SUBSTITUTE(SUBSTITUTE(SUBSTITUTE(LOWER(V342&amp;""),CHAR(10),""),CHAR(13),""),CHAR(9),""),CHAR(160),"")," ",""),".",""),"-",""),"/",""),"?",""),"_",""),",",""),"[",""),"]",""),"(",""),")",""),"*","")</f>
        <v/>
      </c>
      <c r="AW342" s="61" t="str">
        <f aca="false">SUBSTITUTE(SUBSTITUTE(SUBSTITUTE(SUBSTITUTE(SUBSTITUTE(SUBSTITUTE(SUBSTITUTE(SUBSTITUTE(SUBSTITUTE(SUBSTITUTE(SUBSTITUTE(SUBSTITUTE(SUBSTITUTE(SUBSTITUTE(SUBSTITUTE(SUBSTITUTE(LOWER(Z342&amp;""),CHAR(10),""),CHAR(13),""),CHAR(9),""),CHAR(160),"")," ",""),".",""),"-",""),"/",""),"?",""),"_",""),",",""),"[",""),"]",""),"(",""),")",""),"*","")</f>
        <v/>
      </c>
      <c r="AX342" s="61" t="str">
        <f aca="false">SUBSTITUTE(SUBSTITUTE(SUBSTITUTE(SUBSTITUTE(SUBSTITUTE(SUBSTITUTE(SUBSTITUTE(SUBSTITUTE(SUBSTITUTE(SUBSTITUTE(SUBSTITUTE(SUBSTITUTE(SUBSTITUTE(SUBSTITUTE(SUBSTITUTE(SUBSTITUTE(LOWER(AE342&amp;""),CHAR(10),""),CHAR(13),""),CHAR(9),""),CHAR(160),"")," ",""),".",""),"-",""),"/",""),"?",""),"_",""),",",""),"[",""),"]",""),"(",""),")",""),"*","")</f>
        <v/>
      </c>
      <c r="AY342" s="61" t="str">
        <f aca="false">SUBSTITUTE(SUBSTITUTE(SUBSTITUTE(SUBSTITUTE(SUBSTITUTE(SUBSTITUTE(SUBSTITUTE(SUBSTITUTE(SUBSTITUTE(SUBSTITUTE(SUBSTITUTE(SUBSTITUTE(SUBSTITUTE(SUBSTITUTE(SUBSTITUTE(SUBSTITUTE(LOWER(W342&amp;""),CHAR(10),""),CHAR(13),""),CHAR(9),""),CHAR(160),"")," ",""),".",""),"-",""),"/",""),"?",""),"_",""),",",""),"[",""),"]",""),"(",""),")",""),"*","")</f>
        <v/>
      </c>
      <c r="AZ342" s="61" t="str">
        <f aca="false">SUBSTITUTE(SUBSTITUTE(SUBSTITUTE(SUBSTITUTE(SUBSTITUTE(SUBSTITUTE(SUBSTITUTE(SUBSTITUTE(SUBSTITUTE(SUBSTITUTE(SUBSTITUTE(SUBSTITUTE(SUBSTITUTE(SUBSTITUTE(SUBSTITUTE(SUBSTITUTE(LOWER(AC342&amp;""),CHAR(10),""),CHAR(13),""),CHAR(9),""),CHAR(160),"")," ",""),".",""),"-",""),"/",""),"?",""),"_",""),",",""),"[",""),"]",""),"(",""),")",""),"*","")</f>
        <v/>
      </c>
      <c r="BA342" s="61" t="str">
        <f aca="false">SUBSTITUTE(SUBSTITUTE(SUBSTITUTE(SUBSTITUTE(SUBSTITUTE(SUBSTITUTE(SUBSTITUTE(SUBSTITUTE(SUBSTITUTE(SUBSTITUTE(SUBSTITUTE(SUBSTITUTE(SUBSTITUTE(SUBSTITUTE(SUBSTITUTE(SUBSTITUTE(LOWER(AA342&amp;""),CHAR(10),""),CHAR(13),""),CHAR(9),""),CHAR(160),"")," ",""),".",""),"-",""),"/",""),"?",""),"_",""),",",""),"[",""),"]",""),"(",""),")",""),"*","")</f>
        <v/>
      </c>
      <c r="BB342" s="61" t="str">
        <f aca="false">IF(AND(TRIM(U342)="Pass",ISNUMBER(AF342)),IF(AF342&lt;&gt;0,"INVALID – qty variance: use Fail or Pass after CA",""),"")&amp;IF(AND(TRIM(U342)="Pass after CA",ISNUMBER(AF342)),IF(AF342&lt;&gt;0,"INVALID – after the corrective action the actual qty must equal expected (update Actual)",""),"")&amp;IF(AND(TRIM(U342)="Pass",TRIM(AB342)&lt;&gt;"",TRIM(AB342)&lt;&gt;"Closed"),"INVALID – corrective action not closed: use Fail, then Pass after CA","")&amp;IF(AND(LEN(BA342)&gt;=2,ISNA(MATCH(LEFT(BA342,255),L_Placeholder,0)),TRIM(AB342)=""),"INVALID – CA status missing for the recorded corrective action","")&amp;IF(AND(TRIM(U342)="Pass after CA",OR(OR(LEN(BA342)&lt;5,ISNUMBER(MATCH(BA342,L_Placeholder,0))),TRIM(AB342)&lt;&gt;"Closed")),"INVALID – corrective action not recorded/closed","")</f>
        <v/>
      </c>
      <c r="BC342" s="61" t="str">
        <f aca="false">" "&amp;TRIM(SUBSTITUTE(SUBSTITUTE(SUBSTITUTE(SUBSTITUTE(SUBSTITUTE(SUBSTITUTE(SUBSTITUTE(SUBSTITUTE(SUBSTITUTE(SUBSTITUTE(SUBSTITUTE(SUBSTITUTE(SUBSTITUTE(SUBSTITUTE(SUBSTITUTE(SUBSTITUTE(SUBSTITUTE(SUBSTITUTE(SUBSTITUTE(SUBSTITUTE(SUBSTITUTE(SUBSTITUTE(SUBSTITUTE(SUBSTITUTE(LOWER(V342&amp;""),CHAR(10)," "),CHAR(13)," "),CHAR(9)," "),CHAR(160)," "),"."," "),","," "),"-"," "),"/"," "),"("," "),")"," "),":"," "),";"," "),"_"," "),"–"," "),"?"," "),"!"," "),"*"," "),"["," "),"]"," "),"'"," "),"#"," "),"+"," "),"&amp;"," "),"\"," "))&amp;" "</f>
        <v>  </v>
      </c>
      <c r="BD342" s="61" t="str">
        <f aca="false">" "&amp;TRIM(SUBSTITUTE(SUBSTITUTE(SUBSTITUTE(SUBSTITUTE(SUBSTITUTE(SUBSTITUTE(SUBSTITUTE(SUBSTITUTE(SUBSTITUTE(SUBSTITUTE(SUBSTITUTE(SUBSTITUTE(SUBSTITUTE(SUBSTITUTE(SUBSTITUTE(SUBSTITUTE(SUBSTITUTE(SUBSTITUTE(SUBSTITUTE(SUBSTITUTE(SUBSTITUTE(SUBSTITUTE(SUBSTITUTE(SUBSTITUTE(LOWER(Z342&amp;""),CHAR(10)," "),CHAR(13)," "),CHAR(9)," "),CHAR(160)," "),"."," "),","," "),"-"," "),"/"," "),"("," "),")"," "),":"," "),";"," "),"_"," "),"–"," "),"?"," "),"!"," "),"*"," "),"["," "),"]"," "),"'"," "),"#"," "),"+"," "),"&amp;"," "),"\"," "))&amp;" "</f>
        <v>  </v>
      </c>
      <c r="BE342" s="61" t="str">
        <f aca="false">" "&amp;TRIM(SUBSTITUTE(SUBSTITUTE(SUBSTITUTE(SUBSTITUTE(SUBSTITUTE(SUBSTITUTE(SUBSTITUTE(SUBSTITUTE(SUBSTITUTE(SUBSTITUTE(SUBSTITUTE(SUBSTITUTE(SUBSTITUTE(SUBSTITUTE(SUBSTITUTE(SUBSTITUTE(SUBSTITUTE(SUBSTITUTE(SUBSTITUTE(SUBSTITUTE(SUBSTITUTE(SUBSTITUTE(SUBSTITUTE(SUBSTITUTE(LOWER(W342&amp;""),CHAR(10)," "),CHAR(13)," "),CHAR(9)," "),CHAR(160)," "),"."," "),","," "),"-"," "),"/"," "),"("," "),")"," "),":"," "),";"," "),"_"," "),"–"," "),"?"," "),"!"," "),"*"," "),"["," "),"]"," "),"'"," "),"#"," "),"+"," "),"&amp;"," "),"\"," "))&amp;" "</f>
        <v>  </v>
      </c>
      <c r="BF342" s="61" t="str">
        <f aca="false">" "&amp;TRIM(SUBSTITUTE(SUBSTITUTE(SUBSTITUTE(SUBSTITUTE(SUBSTITUTE(SUBSTITUTE(SUBSTITUTE(SUBSTITUTE(SUBSTITUTE(SUBSTITUTE(SUBSTITUTE(SUBSTITUTE(SUBSTITUTE(SUBSTITUTE(SUBSTITUTE(SUBSTITUTE(SUBSTITUTE(SUBSTITUTE(SUBSTITUTE(SUBSTITUTE(SUBSTITUTE(SUBSTITUTE(SUBSTITUTE(SUBSTITUTE(LOWER(AC342&amp;""),CHAR(10)," "),CHAR(13)," "),CHAR(9)," "),CHAR(160)," "),"."," "),","," "),"-"," "),"/"," "),"("," "),")"," "),":"," "),";"," "),"_"," "),"–"," "),"?"," "),"!"," "),"*"," "),"["," "),"]"," "),"'"," "),"#"," "),"+"," "),"&amp;"," "),"\"," "))&amp;" "</f>
        <v>  </v>
      </c>
      <c r="BG342" s="61" t="n">
        <f aca="false">IFERROR(IF(AND(TRIM(U342)="Pass",SUMPRODUCT((LEN(BC342)-LEN(SUBSTITUTE(BC342," "&amp;L_ResultBad&amp;" "," ")))/(LEN(L_ResultBad)+1))&gt;SUMPRODUCT((LEN(BC342)-LEN(SUBSTITUTE(BC342," "&amp;L_NegPhrase&amp;" "," ")))/(LEN(L_NegPhrase)+1))),1,0),0)</f>
        <v>0</v>
      </c>
      <c r="BH342" s="61" t="n">
        <f aca="false">IFERROR(IF(SUMPRODUCT((LEN(BC342)-LEN(SUBSTITUTE(BC342," "&amp;L_Pending&amp;" "," ")))/(LEN(L_Pending)+1))&gt;SUMPRODUCT((LEN(BC342)-LEN(SUBSTITUTE(BC342," "&amp;L_PendNeg&amp;" "," ")))/(LEN(L_PendNeg)+1))+SUMPRODUCT((LEN(BC342)-LEN(SUBSTITUTE(BC342," "&amp;L_PendPrep&amp;" "," ")))/(LEN(L_PendPrep)+1)),1,0),1)</f>
        <v>0</v>
      </c>
      <c r="BI342" s="61" t="n">
        <f aca="false">IFERROR(IF(SUMPRODUCT((LEN(BD342)-LEN(SUBSTITUTE(BD342," "&amp;L_PendStrict&amp;" "," ")))/(LEN(L_PendStrict)+1))&gt;SUMPRODUCT((LEN(BD342)-LEN(SUBSTITUTE(BD342," "&amp;L_PendNeg&amp;" "," ")))/(LEN(L_PendNeg)+1)),1,0),1)</f>
        <v>0</v>
      </c>
      <c r="BJ342" s="61" t="n">
        <f aca="false">IFERROR(IF(SUMPRODUCT((LEN(BE342)-LEN(SUBSTITUTE(BE342," "&amp;L_Pending&amp;" "," ")))/(LEN(L_Pending)+1))&gt;SUMPRODUCT((LEN(BE342)-LEN(SUBSTITUTE(BE342," "&amp;L_PendNeg&amp;" "," ")))/(LEN(L_PendNeg)+1))+SUMPRODUCT((LEN(BE342)-LEN(SUBSTITUTE(BE342," "&amp;L_PendPrep&amp;" "," ")))/(LEN(L_PendPrep)+1)),1,0),1)</f>
        <v>0</v>
      </c>
      <c r="BK342" s="61" t="n">
        <f aca="false">IFERROR(IF(SUMPRODUCT((LEN(BF342)-LEN(SUBSTITUTE(BF342," "&amp;L_PendStrict&amp;" "," ")))/(LEN(L_PendStrict)+1))&gt;SUMPRODUCT((LEN(BF342)-LEN(SUBSTITUTE(BF342," "&amp;L_PendNeg&amp;" "," ")))/(LEN(L_PendNeg)+1)),1,0),1)</f>
        <v>0</v>
      </c>
      <c r="BL342" s="61" t="n">
        <f aca="false">IF(ISNA(MATCH(TRIM(S342),L_EvidenceType,0)),0,BZ342)</f>
        <v>0</v>
      </c>
      <c r="BM342" s="61" t="str">
        <f aca="false">SUBSTITUTE(SUBSTITUTE(SUBSTITUTE(SUBSTITUTE(SUBSTITUTE(SUBSTITUTE(SUBSTITUTE(SUBSTITUTE(SUBSTITUTE(LOWER(Z342&amp;""),"1","0"),"2","0"),"3","0"),"4","0"),"5","0"),"6","0"),"7","0"),"8","0"),"9","0")</f>
        <v/>
      </c>
      <c r="BN342" s="61" t="str">
        <f aca="false">SUBSTITUTE(SUBSTITUTE(SUBSTITUTE(SUBSTITUTE(SUBSTITUTE(SUBSTITUTE(SUBSTITUTE(SUBSTITUTE(SUBSTITUTE(SUBSTITUTE(SUBSTITUTE(SUBSTITUTE(SUBSTITUTE(SUBSTITUTE(SUBSTITUTE(SUBSTITUTE(SUBSTITUTE(SUBSTITUTE(SUBSTITUTE(SUBSTITUTE(SUBSTITUTE(SUBSTITUTE(SUBSTITUTE(SUBSTITUTE(SUBSTITUTE(BM342,"b","a"),"c","a"),"d","a"),"e","a"),"f","a"),"g","a"),"h","a"),"i","a"),"j","a"),"k","a"),"l","a"),"m","a"),"n","a"),"o","a"),"p","a"),"q","a"),"r","a"),"s","a"),"t","a"),"u","a"),"v","a"),"w","a"),"x","a"),"y","a"),"z","a")</f>
        <v/>
      </c>
      <c r="BO342" s="61" t="str">
        <f aca="false">SUBSTITUTE(SUBSTITUTE(SUBSTITUTE(SUBSTITUTE(SUBSTITUTE(SUBSTITUTE(SUBSTITUTE(SUBSTITUTE(SUBSTITUTE(LOWER(W342&amp;""),"1","0"),"2","0"),"3","0"),"4","0"),"5","0"),"6","0"),"7","0"),"8","0"),"9","0")</f>
        <v/>
      </c>
      <c r="BP342" s="61" t="str">
        <f aca="false">SUBSTITUTE(SUBSTITUTE(SUBSTITUTE(SUBSTITUTE(SUBSTITUTE(SUBSTITUTE(SUBSTITUTE(SUBSTITUTE(SUBSTITUTE(SUBSTITUTE(SUBSTITUTE(SUBSTITUTE(SUBSTITUTE(SUBSTITUTE(SUBSTITUTE(SUBSTITUTE(SUBSTITUTE(SUBSTITUTE(SUBSTITUTE(SUBSTITUTE(SUBSTITUTE(SUBSTITUTE(SUBSTITUTE(SUBSTITUTE(SUBSTITUTE(BO342,"b","a"),"c","a"),"d","a"),"e","a"),"f","a"),"g","a"),"h","a"),"i","a"),"j","a"),"k","a"),"l","a"),"m","a"),"n","a"),"o","a"),"p","a"),"q","a"),"r","a"),"s","a"),"t","a"),"u","a"),"v","a"),"w","a"),"x","a"),"y","a"),"z","a")</f>
        <v/>
      </c>
      <c r="BQ342" s="61" t="n">
        <f aca="false">IFERROR(IF(AND(ISERROR(SEARCH(" mh"," "&amp;LOWER(W342))),ISNA(MATCH(LEFT(TRIM(BP342),255),{"0000a","000a","00a","0000aa","000aa","00aa","0aa","0000aaa","000aaa","00a00","0a00","0000-0000","00:00","a00","a0","00.00.0000","00/00/0000","00-00-0000","0000-00-00","0000/00/00","0000.00.00","00.00.00","00/00/00","00-00-00","0.00.0000","0/00/0000","0-00-0000"},0)),ISNA(MATCH(LEFT(TRIM(CA342),255),{"0000a","000a","00a","0000aa","000aa","00aa","0aa","0000aaa","000aaa","00a00","0a00","0000-0000","00:00","a00","a0","00.00.0000","00/00/0000","00-00-0000","0000-00-00","0000/00/00","0000.00.00","00.00.00","00/00/00","00-00-00","0.00.0000","0/00/0000","0-00-0000"},0)),LEN(CB342)&gt;=3,NOT(OR(SUBSTITUTE(CB342,"0","")="",AND(LEN(CB342)&gt;=4,CB342=REPT(LEFT(CB342),LEN(CB342))),ISNUMBER(MATCH(CB342,{"123","1234","12345","123456","1234567","12345678","0123","01234","012345","98765","987654","54321"},0)),AND(LEN(CB342)=8,LEFT(CB342,3)="202"))),OR(AND((LEN(CA342)-LEN(SUBSTITUTE(CA342,"a","")))&gt;=1,SUMPRODUCT(--ISNUMBER(SEARCH({"a0","a-0","a_0","a/0","a.0","a#0","0a","0-a","0_a","0/a"},BP342)))&gt;0),ISNUMBER(SEARCH("000000",BP342)))),1,0),0)</f>
        <v>0</v>
      </c>
      <c r="BR342" s="61" t="n">
        <f aca="false">IFERROR(LEN(SUBSTITUTE(CC342," ",""))-SUMPRODUCT((LEN(CC342)-LEN(SUBSTITUTE(CC342," "&amp;L_Role&amp;" "," ")))/(LEN(L_Role)+1)*LEN(L_Role)),0)</f>
        <v>0</v>
      </c>
      <c r="BS342" s="61" t="n">
        <f aca="false">IFERROR(LEN(SUBSTITUTE(CD342," ",""))-SUMPRODUCT((LEN(CD342)-LEN(SUBSTITUTE(CD342," "&amp;L_Role&amp;" "," ")))/(LEN(L_Role)+1)*LEN(L_Role)),0)</f>
        <v>0</v>
      </c>
      <c r="BT3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342,"revision",""),"version",""),"jan",""),"feb",""),"mar",""),"apr",""),"may",""),"jun",""),"jul",""),"aug",""),"sep",""),"oct",""),"nov",""),"dec",""),"utc",""),"gmt",""),"myt",""),"bst",""),"rev",""),"ver",""),"b","a"),"c","a"),"d","a"),"e","a"),"f","a"),"g","a"),"h","a"),"i","a"),"j","a"),"k","a"),"l","a"),"m","a"),"n","a"),"o","a"),"p","a"),"q","a"),"r","a"),"s","a"),"t","a"),"u","a"),"v","a"),"w","a"),"x","a"),"y","a"),"z","a")</f>
        <v/>
      </c>
      <c r="BU342" s="61" t="str">
        <f aca="false">SUBSTITUTE(SUBSTITUTE(SUBSTITUTE(SUBSTITUTE(SUBSTITUTE(SUBSTITUTE(SUBSTITUTE(SUBSTITUTE(SUBSTITUTE(SUBSTITUTE(LEFT(BM342,FIND("0",BM342&amp;"0")-1),"-",""),"_",""),"/",""),".",""),"#",""),"\\",""),":","")," ",""),"(",""),")","")</f>
        <v/>
      </c>
      <c r="BV342" s="61" t="n">
        <f aca="false">0</f>
        <v>0</v>
      </c>
      <c r="BW3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342&amp;""),"a",""),"b",""),"c",""),"d",""),"e",""),"f",""),"g",""),"h",""),"i",""),"j",""),"k",""),"l",""),"m",""),"n",""),"o",""),"p",""),"q",""),"r",""),"s",""),"t",""),"u",""),"v",""),"w",""),"x",""),"y",""),"z",""),"-",""),"_",""),"/",""),".",""),"#",""),"\\",""),":","")," ",""),"(",""),")","")</f>
        <v/>
      </c>
      <c r="BX342" s="61" t="str">
        <f aca="false">SUBSTITUTE(SUBSTITUTE(SUBSTITUTE(SUBSTITUTE(SUBSTITUTE(SUBSTITUTE(SUBSTITUTE(SUBSTITUTE(SUBSTITUTE(SUBSTITUTE(SUBSTITUTE(BM342,"0",""),"-",""),"_",""),"/",""),".",""),"#",""),"\\",""),":","")," ",""),"(",""),")","")</f>
        <v/>
      </c>
      <c r="BY342" s="62" t="n">
        <f aca="false">Q342-T12EarlyH/24</f>
        <v>46306.15625</v>
      </c>
      <c r="BZ342" s="61" t="n">
        <f aca="false">IFERROR(IF(IF(TRIM(S342)="Link / file path",AND(LEN(TRIM(Z342))&gt;=5,SUMPRODUCT(--ISNUMBER(SEARCH({"http","www.","\\",":\",".pdf",".jpg",".jpeg",".png",".heic",".xls",".doc",".msg",".eml",".ppt",".txt",".zip"},Z342)))&gt;0),AND(ISERROR(FIND(" ",TRIM(Z342))),NOT(OR(SUMPRODUCT(--ISNUMBER(FIND({",",";","&amp;","+"},Z342)))&gt;0,SUMPRODUCT(--ISNUMBER(SEARCH({"0/aa","0\\aa"},BN342)))&gt;0)),NOT(SUMPRODUCT(--ISNUMBER(SEARCH({"http","www.","\\",":\",".pdf",".jpg",".jpeg",".png",".heic",".xls",".doc",".msg",".eml",".ppt",".txt",".zip"},Z342)))&gt;0),NOT(LOWER(TRIM(Z342))=LOWER(Flights!$F$14)),ISNA(MATCH(BU342,{"mh","rev","revision","ver","version","v","r","a","b","seat","tray","row","gate","bay","stand","page","pg","item","line","no","cart","galley","flight","flt","table","box","bag","oven","etd","eta","std","sta","atd","ata","qty","pax","x","time","tel","ph","mob","day","wk","week","utc","gmt","myt","lt"},0)),NOT(OR(ISNUMBER(MATCH(LEFT(BN342,255),{"0000a","000a","00a","0000aa","000aa","00aa","0aa","0000aaa","000aaa","00a00","0a00","0000-0000","00:00","a00","a0","00.00.0000","00/00/0000","00-00-0000","0000-00-00","0000/00/00","0000.00.00","00.00.00","00/00/00","00-00-00","0.00.0000","0/00/0000","0-00-0000"},0)),ISNUMBER(MATCH(LEFT(BT342,255),{"0000a","000a","00a","0000aa","000aa","00aa","0aa","0000aaa","000aaa","00a00","0a00","0000-0000","00:00","a00","a0","00.00.0000","00/00/0000","00-00-0000","0000-00-00","0000/00/00","0000.00.00","00.00.00","00/00/00","00-00-00","0.00.0000","0/00/0000","0-00-0000"},0)))),NOT(OR(AND(BW342&lt;&gt;"",SUBSTITUTE(BW342,"0","")=""),AND(LEN(BW342)&gt;=4,BW342=REPT(LEFT(BW342),LEN(BW342))),ISNUMBER(MATCH(BW342,{"123","1234","12345","123456","1234567","12345678","0123","01234","012345","98765","987654","54321"},0)),ISNUMBER(MATCH(BX342,{"x","xx","xxx","xxxx","xxxxx","abc","abcd","nil","na","nan","test","tbc","tba","tbd","dummy","sample","example","eg","zz","zzz","none","null","xyz","qwe","asd","id","ref"},0)),AND(LEN(BW342)=8,BX342="",OR(LEFT(BW342,3)="202",ISNUMBER(MATCH(RIGHT(BW342,4),{"2025","2026","2027"},0)))))),OR(AND((LEN(BT342)-LEN(SUBSTITUTE(BT342,"a","")))&gt;=1,(LEN(BN342)-LEN(SUBSTITUTE(BN342,"0","")))&gt;=2,SUMPRODUCT(--ISNUMBER(SEARCH({"a0","a-0","a_0","a/0","a.0","a#0","0a","0-a","0_a","0/a"},BN342)))&gt;0),AND((LEN(BN342)-LEN(SUBSTITUTE(BN342,"a","")))=0,(LEN(BN342)-LEN(SUBSTITUTE(BN342,"0","")))&gt;=5)))),1,0),0)</f>
        <v>0</v>
      </c>
      <c r="CA3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342,"revision",""),"version",""),"jan",""),"feb",""),"mar",""),"apr",""),"may",""),"jun",""),"jul",""),"aug",""),"sep",""),"oct",""),"nov",""),"dec",""),"utc",""),"gmt",""),"myt",""),"bst",""),"rev",""),"ver",""),"b","a"),"c","a"),"d","a"),"e","a"),"f","a"),"g","a"),"h","a"),"i","a"),"j","a"),"k","a"),"l","a"),"m","a"),"n","a"),"o","a"),"p","a"),"q","a"),"r","a"),"s","a"),"t","a"),"u","a"),"v","a"),"w","a"),"x","a"),"y","a"),"z","a")</f>
        <v/>
      </c>
      <c r="CB3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342&amp;""),"a",""),"b",""),"c",""),"d",""),"e",""),"f",""),"g",""),"h",""),"i",""),"j",""),"k",""),"l",""),"m",""),"n",""),"o",""),"p",""),"q",""),"r",""),"s",""),"t",""),"u",""),"v",""),"w",""),"x",""),"y",""),"z",""),"-",""),"_",""),"/",""),".",""),"#",""),"\\",""),":","")," ",""),"(",""),")","")</f>
        <v/>
      </c>
      <c r="CC342" s="0" t="str">
        <f aca="false">" "&amp;TRIM(SUBSTITUTE(SUBSTITUTE(SUBSTITUTE(SUBSTITUTE(SUBSTITUTE(SUBSTITUTE(SUBSTITUTE(SUBSTITUTE(SUBSTITUTE(SUBSTITUTE(SUBSTITUTE(SUBSTITUTE(SUBSTITUTE(SUBSTITUTE(SUBSTITUTE(SUBSTITUTE(SUBSTITUTE(SUBSTITUTE(SUBSTITUTE(SUBSTITUTE(SUBSTITUTE(SUBSTITUTE(SUBSTITUTE(SUBSTITUTE(LOWER(T342&amp;""),CHAR(10)," "),CHAR(13)," "),CHAR(9)," "),CHAR(160)," "),"."," "),","," "),"-"," "),"/"," "),"("," "),")"," "),":"," "),";"," "),"_"," "),"–"," "),"?"," "),"!"," "),"*"," "),"["," "),"]"," "),"'"," "),"#"," "),"+"," "),"&amp;"," "),"\"," "))&amp;" "</f>
        <v>  </v>
      </c>
      <c r="CD342" s="0" t="str">
        <f aca="false">" "&amp;TRIM(SUBSTITUTE(SUBSTITUTE(SUBSTITUTE(SUBSTITUTE(SUBSTITUTE(SUBSTITUTE(SUBSTITUTE(SUBSTITUTE(SUBSTITUTE(SUBSTITUTE(SUBSTITUTE(SUBSTITUTE(SUBSTITUTE(SUBSTITUTE(SUBSTITUTE(SUBSTITUTE(SUBSTITUTE(SUBSTITUTE(SUBSTITUTE(SUBSTITUTE(SUBSTITUTE(SUBSTITUTE(SUBSTITUTE(SUBSTITUTE(LOWER(AE342&amp;""),CHAR(10)," "),CHAR(13)," "),CHAR(9)," "),CHAR(160)," "),"."," "),","," "),"-"," "),"/"," "),"("," "),")"," "),":"," "),";"," "),"_"," "),"–"," "),"?"," "),"!"," "),"*"," "),"["," "),"]"," "),"'"," "),"#"," "),"+"," "),"&amp;"," "),"\"," "))&amp;" "</f>
        <v>  </v>
      </c>
      <c r="CE342" s="68" t="n">
        <f aca="false">IFERROR(IF(AND(LEN(AU342)&gt;0,LEN(AU342)=LEN(AX342),OR(TRIM(MID(SUBSTITUTE(TRIM(CC342)," ",REPT(" ",60)),1,60))="",ISNUMBER(SEARCH(" "&amp;TRIM(MID(SUBSTITUTE(TRIM(CC342)," ",REPT(" ",60)),1,60))&amp;" ",CD342))),OR(TRIM(MID(SUBSTITUTE(TRIM(CC342)," ",REPT(" ",60)),61,60))="",ISNUMBER(SEARCH(" "&amp;TRIM(MID(SUBSTITUTE(TRIM(CC342)," ",REPT(" ",60)),61,60))&amp;" ",CD342))),OR(TRIM(MID(SUBSTITUTE(TRIM(CC342)," ",REPT(" ",60)),121,60))="",ISNUMBER(SEARCH(" "&amp;TRIM(MID(SUBSTITUTE(TRIM(CC342)," ",REPT(" ",60)),121,60))&amp;" ",CD342)))),1,0),0)</f>
        <v>0</v>
      </c>
      <c r="CG342" s="68" t="n">
        <f aca="false">IFERROR(LEN(SUBSTITUTE(BF342," ",""))-SUMPRODUCT((LEN(BF342)-LEN(SUBSTITUTE(BF342," "&amp;L_NAFiller&amp;" "," ")))/(LEN(L_NAFiller)+1)*LEN(L_NAFiller)),0)</f>
        <v>0</v>
      </c>
    </row>
    <row r="343" customFormat="false" ht="54" hidden="false" customHeight="true" outlineLevel="0" collapsed="false">
      <c r="A343" s="57" t="s">
        <v>940</v>
      </c>
      <c r="B343" s="57" t="s">
        <v>251</v>
      </c>
      <c r="C343" s="57" t="str">
        <f aca="false">Flights!$F$14</f>
        <v>MH1140</v>
      </c>
      <c r="D343" s="58" t="n">
        <f aca="false">Flights!$D$14</f>
        <v>46307</v>
      </c>
      <c r="E343" s="57" t="str">
        <f aca="false">Flights!$G$14&amp;"-"&amp;Flights!$H$14</f>
        <v>KUL-PEN</v>
      </c>
      <c r="F343" s="57" t="str">
        <f aca="false">Flights!$K$14</f>
        <v>BC</v>
      </c>
      <c r="G343" s="57" t="s">
        <v>420</v>
      </c>
      <c r="H343" s="57" t="s">
        <v>378</v>
      </c>
      <c r="I343" s="57" t="s">
        <v>499</v>
      </c>
      <c r="J343" s="57" t="s">
        <v>518</v>
      </c>
      <c r="K343" s="67" t="s">
        <v>519</v>
      </c>
      <c r="L343" s="67" t="s">
        <v>941</v>
      </c>
      <c r="M343" s="67" t="s">
        <v>451</v>
      </c>
      <c r="N343" s="67" t="s">
        <v>383</v>
      </c>
      <c r="O343" s="67" t="s">
        <v>521</v>
      </c>
      <c r="P343" s="57" t="s">
        <v>187</v>
      </c>
      <c r="Q343" s="59" t="n">
        <f aca="false">ROUND((Flights!$AE$14)*1440,0)/1440</f>
        <v>46306.65625</v>
      </c>
      <c r="R343" s="59" t="n">
        <f aca="false">Q343+(IF(AND(INDEX(TZ_DSTS,MATCH(P343,TZ_STN,0))&lt;&gt;"",Q343&gt;=INDEX(TZ_DSTS,MATCH(P343,TZ_STN,0)),Q343&lt;INDEX(TZ_DSTE,MATCH(P343,TZ_STN,0))),INDEX(TZ_DST,MATCH(P343,TZ_STN,0)),INDEX(TZ_STD,MATCH(P343,TZ_STN,0))))/24</f>
        <v>46306.9895833333</v>
      </c>
      <c r="S343" s="60"/>
      <c r="T343" s="60"/>
      <c r="U343" s="60"/>
      <c r="V343" s="60"/>
      <c r="W343" s="61"/>
      <c r="X343" s="60"/>
      <c r="Y343" s="60"/>
      <c r="Z343" s="60"/>
      <c r="AA343" s="60"/>
      <c r="AB343" s="60"/>
      <c r="AC343" s="60"/>
      <c r="AD343" s="66"/>
      <c r="AE343" s="60"/>
      <c r="AF343" s="61" t="str">
        <f aca="false">IF(AND(ISNUMBER(X343),ISNUMBER(Y343)),Y343-X343,"")</f>
        <v/>
      </c>
      <c r="AG343" s="62" t="str">
        <f aca="false">IF(ISNUMBER(AD343),AD343-(IF(AND(INDEX(TZ_DSTS,MATCH(P343,TZ_STN,0))&lt;&gt;"",(AD343-INDEX(TZ_STD,MATCH(P343,TZ_STN,0))/24)&gt;=INDEX(TZ_DSTS,MATCH(P343,TZ_STN,0)),(AD343-INDEX(TZ_STD,MATCH(P343,TZ_STN,0))/24)&lt;INDEX(TZ_DSTE,MATCH(P343,TZ_STN,0))),INDEX(TZ_DST,MATCH(P343,TZ_STN,0)),INDEX(TZ_STD,MATCH(P343,TZ_STN,0))))/24,"")</f>
        <v/>
      </c>
      <c r="AH343" s="65" t="str">
        <f aca="false">IFERROR(IF(N343="N/A – rule",IF(OR(TRIM(U343)="",TRIM(U343)="N/A",TRIM(U343)="Not started"),"N/A – RULE","INVALID – this check does not apply to this aircraft: clear the status (or correct the fleet on Flights)"),IF(TRIM(U343)="N/A",IF(AT343=0,"INVALID – N/A not permitted for this check",IF(AND(TRIM(AB343)&lt;&gt;"",TRIM(AB343)&lt;&gt;"Closed"),"INVALID – corrective action still open",IF(AND(NOT(OR(LEN(AZ343)&lt;15,ISNUMBER(MATCH(AZ343,L_Placeholder,0)))),BK343=0,CG343&gt;=8,NOT(OR(LEN(AU343)&lt;2,ISNUMBER(MATCH(AU343,L_Placeholder,0)))),BR343&gt;=3,NOT(OR(LEN(AX343)&lt;2,ISNUMBER(MATCH(AX343,L_Placeholder,0)))),BS343&gt;=3,TRIM(AE343)&lt;&gt;TRIM(T343),AX343&lt;&gt;AU343,CE343=0),"N/A – JUSTIFIED","INVALID – N/A needs a real, settled reason (not 'not applicable' / 'as above' / TBC), a named PIC and a different named verifier"))),IF(OR(TRIM(U343)="Pass",TRIM(U343)="Pass after CA"),IF(NOT(ISNUMBER(AD343)),"INVALID – completion time missing",IF(OR(OR(LEN(AU343)&lt;2,ISNUMBER(MATCH(AU343,L_Placeholder,0))),BR343&lt;3),"INVALID – PIC missing or not a named person (a role such as QA / CSM is not a name)",IF(OR(LEN(AV343)&lt;2,ISNUMBER(MATCH(AV343,L_Placeholder,0))),"INVALID – result / assessment missing",IF(OR(OR(LEN(AW343)&lt;3,ISNUMBER(MATCH(AW343,L_Placeholder,0))),SUMPRODUCT(--ISNUMBER(SEARCH(" "&amp;L_EvidencePhrase&amp;" ",BD343)))&gt;0,BI343=1),"INVALID – evidence missing, placeholder or not yet on file",IF(ISNA(MATCH(TRIM(S343),L_EvidenceType,0)),"INVALID – choose the evidence type from the list (column S)",IF(BL343=0,"INVALID – evidence ID must be the record's own ID only (e.g. SF-2210, IMG_2231, 1045521); a link / file name needs type 'Link / file path'",IF(OR(OR(LEN(AX343)&lt;2,ISNUMBER(MATCH(AX343,L_Placeholder,0))),BS343&lt;3),"INVALID – verifier missing or not a named person (a role such as QA / CSM is not a name)",IF(OR(AX343=AU343,CE343=1,AND(LEN(AU343)&gt;=4,ISNUMBER(SEARCH(AU343,AX343))),AND(LEN(AX343)&gt;=4,ISNUMBER(SEARCH(AX343,AU343)))),"INVALID – verifier must be a different, named person (not the PIC or a role)",IF(BH343=1,"INVALID – result not yet available (awaiting / TBC)",IF(BG343=1,"INVALID – result describes a problem: record Fail, then Pass after CA (or reword if it is not a problem)",IF(BV343=1,"INVALID – wording says not on board: an on-board confirmation needs the item loaded",IF(AND(AQ343=1,OR(OR(LEN(AY343)&lt;3,ISNUMBER(MATCH(AY343,L_Placeholder,0))),BJ343=1,BQ343=0)),"INVALID – batch ID missing, placeholder or not an ID (e.g. PASB-261008-BC-017)",IF(AND(AR343=1,OR(NOT(ISNUMBER(X343)),NOT(ISNUMBER(Y343)))),"INVALID – expected/actual qty missing",IF(AND(AR343=1,OR(X343&lt;=0,Y343&lt;0)),"INVALID – expected qty must be above 0 and actual not negative",IF(BB343&lt;&gt;"",BB343,IF(AND(AS343=1,Documents!$J$14&lt;&gt;"ON FILE"),"INVALID – GLD not on file (Documents sheet)",IF(AND(AS343=2,Documents!$O$14&lt;&gt;"ON FILE"),"INVALID – menu checklist not on file (Documents sheet)",IF(AND(AS343=3,NOT(ISNUMBER(Flights!$AX$14))),"INVALID – enter carrying flight KUL departure (Flights AX)",IF(AND(AS343=3,OR(Flights!$AZ$14&gt;Flights!$AA$14,Flights!$AX$14&lt;Flights!$AA$14-3)),"INVALID – carrying flight (Flights AX) cannot arrive before this leg's STD, or is over 3 days early",IF(AG343&gt;AsOfUTC,"INVALID – completion time is in the future",IF(AND(ISNUMBER(BY343),AG343&lt;BY343),IF(H343="Physical uplift","INVALID – before uplift window (cannot confirm loading)","INVALID – before valid window"),IF(AG343&gt;Flights!$AA$14,"INVALID – completed after departure (cannot establish readiness)",IF(AND(H343="Preparation",AG343&gt;=IF(ISNUMBER(Flights!$BA$14),MIN(Flights!$BA$14,Flights!$AA$14),Flights!$AA$14)),"INVALID – completed after loading / departure (cannot establish readiness)",IF(AND(H343="Physical uplift",AG343&gt;Q343),"INVALID – recorded after the loading flight departed",IF(AG343&gt;Q343,"COMPLETE – LATE","COMPLETE"))))))))))))))))))))))))),IF(TRIM(U343)="Fail","FAIL – DISCREPANCY",IF(AND(TRIM(U343)&lt;&gt;"",TRIM(U343)&lt;&gt;"Not started",TRIM(U343)&lt;&gt;"In progress"),"INVALID – unrecognised status (use the list)",IF(AsOfUTC&gt;Q343,"OVERDUE",IF(N343="Clarification required","OPEN – CLARIFICATION","OPEN"))))))),"INVALID – error value in an input cell")</f>
        <v>OPEN</v>
      </c>
      <c r="AI343" s="61" t="n">
        <f aca="false">IF(OR(AH343="N/A – RULE",AH343="N/A – JUSTIFIED"),0,1)</f>
        <v>1</v>
      </c>
      <c r="AJ343" s="61" t="n">
        <f aca="false">IF(LEFT(AH343,8)="COMPLETE",1,0)</f>
        <v>0</v>
      </c>
      <c r="AK343" s="61" t="n">
        <f aca="false">IF(AND(AI343=1,AJ343=0,AsOfUTC&gt;Q343),1,0)</f>
        <v>0</v>
      </c>
      <c r="AL343" s="61" t="n">
        <f aca="false">IFERROR(IF(AND(AI343=1,OR(TRIM(U343)="Fail",AND(TRIM(AB343)&lt;&gt;"",TRIM(AB343)&lt;&gt;"Closed"),AND(ISNUMBER(AF343),AF343&lt;&gt;0,TRIM(U343)&lt;&gt;"Pass after CA"))),1,0),1)</f>
        <v>0</v>
      </c>
      <c r="AM343" s="61" t="n">
        <f aca="false">IF(LEFT(AH343,7)="INVALID",1,0)</f>
        <v>0</v>
      </c>
      <c r="AN343" s="61" t="n">
        <f aca="false">IF(AND(N343="Clarification required",AI343=1,AJ343=0),1,0)</f>
        <v>0</v>
      </c>
      <c r="AO343" s="61" t="str">
        <f aca="false">IF(AK343=1,SUM(AK$5:AK343),"")</f>
        <v/>
      </c>
      <c r="AP343" s="61" t="str">
        <f aca="false">IF(AL343=1,SUM(AL$5:AL343),"")</f>
        <v/>
      </c>
      <c r="AQ343" s="61" t="n">
        <v>0</v>
      </c>
      <c r="AR343" s="61" t="n">
        <v>0</v>
      </c>
      <c r="AS343" s="61" t="n">
        <v>0</v>
      </c>
      <c r="AT343" s="61" t="n">
        <v>0</v>
      </c>
      <c r="AU343" s="61" t="str">
        <f aca="false">SUBSTITUTE(SUBSTITUTE(SUBSTITUTE(SUBSTITUTE(SUBSTITUTE(SUBSTITUTE(SUBSTITUTE(SUBSTITUTE(SUBSTITUTE(SUBSTITUTE(SUBSTITUTE(SUBSTITUTE(SUBSTITUTE(SUBSTITUTE(SUBSTITUTE(SUBSTITUTE(LOWER(T343&amp;""),CHAR(10),""),CHAR(13),""),CHAR(9),""),CHAR(160),"")," ",""),".",""),"-",""),"/",""),"?",""),"_",""),",",""),"[",""),"]",""),"(",""),")",""),"*","")</f>
        <v/>
      </c>
      <c r="AV343" s="61" t="str">
        <f aca="false">SUBSTITUTE(SUBSTITUTE(SUBSTITUTE(SUBSTITUTE(SUBSTITUTE(SUBSTITUTE(SUBSTITUTE(SUBSTITUTE(SUBSTITUTE(SUBSTITUTE(SUBSTITUTE(SUBSTITUTE(SUBSTITUTE(SUBSTITUTE(SUBSTITUTE(SUBSTITUTE(LOWER(V343&amp;""),CHAR(10),""),CHAR(13),""),CHAR(9),""),CHAR(160),"")," ",""),".",""),"-",""),"/",""),"?",""),"_",""),",",""),"[",""),"]",""),"(",""),")",""),"*","")</f>
        <v/>
      </c>
      <c r="AW343" s="61" t="str">
        <f aca="false">SUBSTITUTE(SUBSTITUTE(SUBSTITUTE(SUBSTITUTE(SUBSTITUTE(SUBSTITUTE(SUBSTITUTE(SUBSTITUTE(SUBSTITUTE(SUBSTITUTE(SUBSTITUTE(SUBSTITUTE(SUBSTITUTE(SUBSTITUTE(SUBSTITUTE(SUBSTITUTE(LOWER(Z343&amp;""),CHAR(10),""),CHAR(13),""),CHAR(9),""),CHAR(160),"")," ",""),".",""),"-",""),"/",""),"?",""),"_",""),",",""),"[",""),"]",""),"(",""),")",""),"*","")</f>
        <v/>
      </c>
      <c r="AX343" s="61" t="str">
        <f aca="false">SUBSTITUTE(SUBSTITUTE(SUBSTITUTE(SUBSTITUTE(SUBSTITUTE(SUBSTITUTE(SUBSTITUTE(SUBSTITUTE(SUBSTITUTE(SUBSTITUTE(SUBSTITUTE(SUBSTITUTE(SUBSTITUTE(SUBSTITUTE(SUBSTITUTE(SUBSTITUTE(LOWER(AE343&amp;""),CHAR(10),""),CHAR(13),""),CHAR(9),""),CHAR(160),"")," ",""),".",""),"-",""),"/",""),"?",""),"_",""),",",""),"[",""),"]",""),"(",""),")",""),"*","")</f>
        <v/>
      </c>
      <c r="AY343" s="61" t="str">
        <f aca="false">SUBSTITUTE(SUBSTITUTE(SUBSTITUTE(SUBSTITUTE(SUBSTITUTE(SUBSTITUTE(SUBSTITUTE(SUBSTITUTE(SUBSTITUTE(SUBSTITUTE(SUBSTITUTE(SUBSTITUTE(SUBSTITUTE(SUBSTITUTE(SUBSTITUTE(SUBSTITUTE(LOWER(W343&amp;""),CHAR(10),""),CHAR(13),""),CHAR(9),""),CHAR(160),"")," ",""),".",""),"-",""),"/",""),"?",""),"_",""),",",""),"[",""),"]",""),"(",""),")",""),"*","")</f>
        <v/>
      </c>
      <c r="AZ343" s="61" t="str">
        <f aca="false">SUBSTITUTE(SUBSTITUTE(SUBSTITUTE(SUBSTITUTE(SUBSTITUTE(SUBSTITUTE(SUBSTITUTE(SUBSTITUTE(SUBSTITUTE(SUBSTITUTE(SUBSTITUTE(SUBSTITUTE(SUBSTITUTE(SUBSTITUTE(SUBSTITUTE(SUBSTITUTE(LOWER(AC343&amp;""),CHAR(10),""),CHAR(13),""),CHAR(9),""),CHAR(160),"")," ",""),".",""),"-",""),"/",""),"?",""),"_",""),",",""),"[",""),"]",""),"(",""),")",""),"*","")</f>
        <v/>
      </c>
      <c r="BA343" s="61" t="str">
        <f aca="false">SUBSTITUTE(SUBSTITUTE(SUBSTITUTE(SUBSTITUTE(SUBSTITUTE(SUBSTITUTE(SUBSTITUTE(SUBSTITUTE(SUBSTITUTE(SUBSTITUTE(SUBSTITUTE(SUBSTITUTE(SUBSTITUTE(SUBSTITUTE(SUBSTITUTE(SUBSTITUTE(LOWER(AA343&amp;""),CHAR(10),""),CHAR(13),""),CHAR(9),""),CHAR(160),"")," ",""),".",""),"-",""),"/",""),"?",""),"_",""),",",""),"[",""),"]",""),"(",""),")",""),"*","")</f>
        <v/>
      </c>
      <c r="BB343" s="61" t="str">
        <f aca="false">IF(AND(TRIM(U343)="Pass",ISNUMBER(AF343)),IF(AF343&lt;&gt;0,"INVALID – qty variance: use Fail or Pass after CA",""),"")&amp;IF(AND(TRIM(U343)="Pass after CA",ISNUMBER(AF343)),IF(AF343&lt;&gt;0,"INVALID – after the corrective action the actual qty must equal expected (update Actual)",""),"")&amp;IF(AND(TRIM(U343)="Pass",TRIM(AB343)&lt;&gt;"",TRIM(AB343)&lt;&gt;"Closed"),"INVALID – corrective action not closed: use Fail, then Pass after CA","")&amp;IF(AND(LEN(BA343)&gt;=2,ISNA(MATCH(LEFT(BA343,255),L_Placeholder,0)),TRIM(AB343)=""),"INVALID – CA status missing for the recorded corrective action","")&amp;IF(AND(TRIM(U343)="Pass after CA",OR(OR(LEN(BA343)&lt;5,ISNUMBER(MATCH(BA343,L_Placeholder,0))),TRIM(AB343)&lt;&gt;"Closed")),"INVALID – corrective action not recorded/closed","")</f>
        <v/>
      </c>
      <c r="BC343" s="61" t="str">
        <f aca="false">" "&amp;TRIM(SUBSTITUTE(SUBSTITUTE(SUBSTITUTE(SUBSTITUTE(SUBSTITUTE(SUBSTITUTE(SUBSTITUTE(SUBSTITUTE(SUBSTITUTE(SUBSTITUTE(SUBSTITUTE(SUBSTITUTE(SUBSTITUTE(SUBSTITUTE(SUBSTITUTE(SUBSTITUTE(SUBSTITUTE(SUBSTITUTE(SUBSTITUTE(SUBSTITUTE(SUBSTITUTE(SUBSTITUTE(SUBSTITUTE(SUBSTITUTE(LOWER(V343&amp;""),CHAR(10)," "),CHAR(13)," "),CHAR(9)," "),CHAR(160)," "),"."," "),","," "),"-"," "),"/"," "),"("," "),")"," "),":"," "),";"," "),"_"," "),"–"," "),"?"," "),"!"," "),"*"," "),"["," "),"]"," "),"'"," "),"#"," "),"+"," "),"&amp;"," "),"\"," "))&amp;" "</f>
        <v>  </v>
      </c>
      <c r="BD343" s="61" t="str">
        <f aca="false">" "&amp;TRIM(SUBSTITUTE(SUBSTITUTE(SUBSTITUTE(SUBSTITUTE(SUBSTITUTE(SUBSTITUTE(SUBSTITUTE(SUBSTITUTE(SUBSTITUTE(SUBSTITUTE(SUBSTITUTE(SUBSTITUTE(SUBSTITUTE(SUBSTITUTE(SUBSTITUTE(SUBSTITUTE(SUBSTITUTE(SUBSTITUTE(SUBSTITUTE(SUBSTITUTE(SUBSTITUTE(SUBSTITUTE(SUBSTITUTE(SUBSTITUTE(LOWER(Z343&amp;""),CHAR(10)," "),CHAR(13)," "),CHAR(9)," "),CHAR(160)," "),"."," "),","," "),"-"," "),"/"," "),"("," "),")"," "),":"," "),";"," "),"_"," "),"–"," "),"?"," "),"!"," "),"*"," "),"["," "),"]"," "),"'"," "),"#"," "),"+"," "),"&amp;"," "),"\"," "))&amp;" "</f>
        <v>  </v>
      </c>
      <c r="BE343" s="61" t="str">
        <f aca="false">" "&amp;TRIM(SUBSTITUTE(SUBSTITUTE(SUBSTITUTE(SUBSTITUTE(SUBSTITUTE(SUBSTITUTE(SUBSTITUTE(SUBSTITUTE(SUBSTITUTE(SUBSTITUTE(SUBSTITUTE(SUBSTITUTE(SUBSTITUTE(SUBSTITUTE(SUBSTITUTE(SUBSTITUTE(SUBSTITUTE(SUBSTITUTE(SUBSTITUTE(SUBSTITUTE(SUBSTITUTE(SUBSTITUTE(SUBSTITUTE(SUBSTITUTE(LOWER(W343&amp;""),CHAR(10)," "),CHAR(13)," "),CHAR(9)," "),CHAR(160)," "),"."," "),","," "),"-"," "),"/"," "),"("," "),")"," "),":"," "),";"," "),"_"," "),"–"," "),"?"," "),"!"," "),"*"," "),"["," "),"]"," "),"'"," "),"#"," "),"+"," "),"&amp;"," "),"\"," "))&amp;" "</f>
        <v>  </v>
      </c>
      <c r="BF343" s="61" t="str">
        <f aca="false">" "&amp;TRIM(SUBSTITUTE(SUBSTITUTE(SUBSTITUTE(SUBSTITUTE(SUBSTITUTE(SUBSTITUTE(SUBSTITUTE(SUBSTITUTE(SUBSTITUTE(SUBSTITUTE(SUBSTITUTE(SUBSTITUTE(SUBSTITUTE(SUBSTITUTE(SUBSTITUTE(SUBSTITUTE(SUBSTITUTE(SUBSTITUTE(SUBSTITUTE(SUBSTITUTE(SUBSTITUTE(SUBSTITUTE(SUBSTITUTE(SUBSTITUTE(LOWER(AC343&amp;""),CHAR(10)," "),CHAR(13)," "),CHAR(9)," "),CHAR(160)," "),"."," "),","," "),"-"," "),"/"," "),"("," "),")"," "),":"," "),";"," "),"_"," "),"–"," "),"?"," "),"!"," "),"*"," "),"["," "),"]"," "),"'"," "),"#"," "),"+"," "),"&amp;"," "),"\"," "))&amp;" "</f>
        <v>  </v>
      </c>
      <c r="BG343" s="61" t="n">
        <f aca="false">IFERROR(IF(AND(TRIM(U343)="Pass",SUMPRODUCT((LEN(BC343)-LEN(SUBSTITUTE(BC343," "&amp;L_ResultBad&amp;" "," ")))/(LEN(L_ResultBad)+1))&gt;SUMPRODUCT((LEN(BC343)-LEN(SUBSTITUTE(BC343," "&amp;L_NegPhrase&amp;" "," ")))/(LEN(L_NegPhrase)+1))),1,0),0)</f>
        <v>0</v>
      </c>
      <c r="BH343" s="61" t="n">
        <f aca="false">IFERROR(IF(SUMPRODUCT((LEN(BC343)-LEN(SUBSTITUTE(BC343," "&amp;L_Pending&amp;" "," ")))/(LEN(L_Pending)+1))&gt;SUMPRODUCT((LEN(BC343)-LEN(SUBSTITUTE(BC343," "&amp;L_PendNeg&amp;" "," ")))/(LEN(L_PendNeg)+1))+SUMPRODUCT((LEN(BC343)-LEN(SUBSTITUTE(BC343," "&amp;L_PendPrep&amp;" "," ")))/(LEN(L_PendPrep)+1)),1,0),1)</f>
        <v>0</v>
      </c>
      <c r="BI343" s="61" t="n">
        <f aca="false">IFERROR(IF(SUMPRODUCT((LEN(BD343)-LEN(SUBSTITUTE(BD343," "&amp;L_PendStrict&amp;" "," ")))/(LEN(L_PendStrict)+1))&gt;SUMPRODUCT((LEN(BD343)-LEN(SUBSTITUTE(BD343," "&amp;L_PendNeg&amp;" "," ")))/(LEN(L_PendNeg)+1)),1,0),1)</f>
        <v>0</v>
      </c>
      <c r="BJ343" s="61" t="n">
        <f aca="false">IFERROR(IF(SUMPRODUCT((LEN(BE343)-LEN(SUBSTITUTE(BE343," "&amp;L_Pending&amp;" "," ")))/(LEN(L_Pending)+1))&gt;SUMPRODUCT((LEN(BE343)-LEN(SUBSTITUTE(BE343," "&amp;L_PendNeg&amp;" "," ")))/(LEN(L_PendNeg)+1))+SUMPRODUCT((LEN(BE343)-LEN(SUBSTITUTE(BE343," "&amp;L_PendPrep&amp;" "," ")))/(LEN(L_PendPrep)+1)),1,0),1)</f>
        <v>0</v>
      </c>
      <c r="BK343" s="61" t="n">
        <f aca="false">IFERROR(IF(SUMPRODUCT((LEN(BF343)-LEN(SUBSTITUTE(BF343," "&amp;L_PendStrict&amp;" "," ")))/(LEN(L_PendStrict)+1))&gt;SUMPRODUCT((LEN(BF343)-LEN(SUBSTITUTE(BF343," "&amp;L_PendNeg&amp;" "," ")))/(LEN(L_PendNeg)+1)),1,0),1)</f>
        <v>0</v>
      </c>
      <c r="BL343" s="61" t="n">
        <f aca="false">IF(ISNA(MATCH(TRIM(S343),L_EvidenceType,0)),0,BZ343)</f>
        <v>0</v>
      </c>
      <c r="BM343" s="61" t="str">
        <f aca="false">SUBSTITUTE(SUBSTITUTE(SUBSTITUTE(SUBSTITUTE(SUBSTITUTE(SUBSTITUTE(SUBSTITUTE(SUBSTITUTE(SUBSTITUTE(LOWER(Z343&amp;""),"1","0"),"2","0"),"3","0"),"4","0"),"5","0"),"6","0"),"7","0"),"8","0"),"9","0")</f>
        <v/>
      </c>
      <c r="BN343" s="61" t="str">
        <f aca="false">SUBSTITUTE(SUBSTITUTE(SUBSTITUTE(SUBSTITUTE(SUBSTITUTE(SUBSTITUTE(SUBSTITUTE(SUBSTITUTE(SUBSTITUTE(SUBSTITUTE(SUBSTITUTE(SUBSTITUTE(SUBSTITUTE(SUBSTITUTE(SUBSTITUTE(SUBSTITUTE(SUBSTITUTE(SUBSTITUTE(SUBSTITUTE(SUBSTITUTE(SUBSTITUTE(SUBSTITUTE(SUBSTITUTE(SUBSTITUTE(SUBSTITUTE(BM343,"b","a"),"c","a"),"d","a"),"e","a"),"f","a"),"g","a"),"h","a"),"i","a"),"j","a"),"k","a"),"l","a"),"m","a"),"n","a"),"o","a"),"p","a"),"q","a"),"r","a"),"s","a"),"t","a"),"u","a"),"v","a"),"w","a"),"x","a"),"y","a"),"z","a")</f>
        <v/>
      </c>
      <c r="BO343" s="61" t="str">
        <f aca="false">SUBSTITUTE(SUBSTITUTE(SUBSTITUTE(SUBSTITUTE(SUBSTITUTE(SUBSTITUTE(SUBSTITUTE(SUBSTITUTE(SUBSTITUTE(LOWER(W343&amp;""),"1","0"),"2","0"),"3","0"),"4","0"),"5","0"),"6","0"),"7","0"),"8","0"),"9","0")</f>
        <v/>
      </c>
      <c r="BP343" s="61" t="str">
        <f aca="false">SUBSTITUTE(SUBSTITUTE(SUBSTITUTE(SUBSTITUTE(SUBSTITUTE(SUBSTITUTE(SUBSTITUTE(SUBSTITUTE(SUBSTITUTE(SUBSTITUTE(SUBSTITUTE(SUBSTITUTE(SUBSTITUTE(SUBSTITUTE(SUBSTITUTE(SUBSTITUTE(SUBSTITUTE(SUBSTITUTE(SUBSTITUTE(SUBSTITUTE(SUBSTITUTE(SUBSTITUTE(SUBSTITUTE(SUBSTITUTE(SUBSTITUTE(BO343,"b","a"),"c","a"),"d","a"),"e","a"),"f","a"),"g","a"),"h","a"),"i","a"),"j","a"),"k","a"),"l","a"),"m","a"),"n","a"),"o","a"),"p","a"),"q","a"),"r","a"),"s","a"),"t","a"),"u","a"),"v","a"),"w","a"),"x","a"),"y","a"),"z","a")</f>
        <v/>
      </c>
      <c r="BQ343" s="61" t="n">
        <f aca="false">IFERROR(IF(AND(ISERROR(SEARCH(" mh"," "&amp;LOWER(W343))),ISNA(MATCH(LEFT(TRIM(BP343),255),{"0000a","000a","00a","0000aa","000aa","00aa","0aa","0000aaa","000aaa","00a00","0a00","0000-0000","00:00","a00","a0","00.00.0000","00/00/0000","00-00-0000","0000-00-00","0000/00/00","0000.00.00","00.00.00","00/00/00","00-00-00","0.00.0000","0/00/0000","0-00-0000"},0)),ISNA(MATCH(LEFT(TRIM(CA343),255),{"0000a","000a","00a","0000aa","000aa","00aa","0aa","0000aaa","000aaa","00a00","0a00","0000-0000","00:00","a00","a0","00.00.0000","00/00/0000","00-00-0000","0000-00-00","0000/00/00","0000.00.00","00.00.00","00/00/00","00-00-00","0.00.0000","0/00/0000","0-00-0000"},0)),LEN(CB343)&gt;=3,NOT(OR(SUBSTITUTE(CB343,"0","")="",AND(LEN(CB343)&gt;=4,CB343=REPT(LEFT(CB343),LEN(CB343))),ISNUMBER(MATCH(CB343,{"123","1234","12345","123456","1234567","12345678","0123","01234","012345","98765","987654","54321"},0)),AND(LEN(CB343)=8,LEFT(CB343,3)="202"))),OR(AND((LEN(CA343)-LEN(SUBSTITUTE(CA343,"a","")))&gt;=1,SUMPRODUCT(--ISNUMBER(SEARCH({"a0","a-0","a_0","a/0","a.0","a#0","0a","0-a","0_a","0/a"},BP343)))&gt;0),ISNUMBER(SEARCH("000000",BP343)))),1,0),0)</f>
        <v>0</v>
      </c>
      <c r="BR343" s="61" t="n">
        <f aca="false">IFERROR(LEN(SUBSTITUTE(CC343," ",""))-SUMPRODUCT((LEN(CC343)-LEN(SUBSTITUTE(CC343," "&amp;L_Role&amp;" "," ")))/(LEN(L_Role)+1)*LEN(L_Role)),0)</f>
        <v>0</v>
      </c>
      <c r="BS343" s="61" t="n">
        <f aca="false">IFERROR(LEN(SUBSTITUTE(CD343," ",""))-SUMPRODUCT((LEN(CD343)-LEN(SUBSTITUTE(CD343," "&amp;L_Role&amp;" "," ")))/(LEN(L_Role)+1)*LEN(L_Role)),0)</f>
        <v>0</v>
      </c>
      <c r="BT3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343,"revision",""),"version",""),"jan",""),"feb",""),"mar",""),"apr",""),"may",""),"jun",""),"jul",""),"aug",""),"sep",""),"oct",""),"nov",""),"dec",""),"utc",""),"gmt",""),"myt",""),"bst",""),"rev",""),"ver",""),"b","a"),"c","a"),"d","a"),"e","a"),"f","a"),"g","a"),"h","a"),"i","a"),"j","a"),"k","a"),"l","a"),"m","a"),"n","a"),"o","a"),"p","a"),"q","a"),"r","a"),"s","a"),"t","a"),"u","a"),"v","a"),"w","a"),"x","a"),"y","a"),"z","a")</f>
        <v/>
      </c>
      <c r="BU343" s="61" t="str">
        <f aca="false">SUBSTITUTE(SUBSTITUTE(SUBSTITUTE(SUBSTITUTE(SUBSTITUTE(SUBSTITUTE(SUBSTITUTE(SUBSTITUTE(SUBSTITUTE(SUBSTITUTE(LEFT(BM343,FIND("0",BM343&amp;"0")-1),"-",""),"_",""),"/",""),".",""),"#",""),"\\",""),":","")," ",""),"(",""),")","")</f>
        <v/>
      </c>
      <c r="BV343" s="61" t="n">
        <f aca="false">0</f>
        <v>0</v>
      </c>
      <c r="BW3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343&amp;""),"a",""),"b",""),"c",""),"d",""),"e",""),"f",""),"g",""),"h",""),"i",""),"j",""),"k",""),"l",""),"m",""),"n",""),"o",""),"p",""),"q",""),"r",""),"s",""),"t",""),"u",""),"v",""),"w",""),"x",""),"y",""),"z",""),"-",""),"_",""),"/",""),".",""),"#",""),"\\",""),":","")," ",""),"(",""),")","")</f>
        <v/>
      </c>
      <c r="BX343" s="61" t="str">
        <f aca="false">SUBSTITUTE(SUBSTITUTE(SUBSTITUTE(SUBSTITUTE(SUBSTITUTE(SUBSTITUTE(SUBSTITUTE(SUBSTITUTE(SUBSTITUTE(SUBSTITUTE(SUBSTITUTE(BM343,"0",""),"-",""),"_",""),"/",""),".",""),"#",""),"\\",""),":","")," ",""),"(",""),")","")</f>
        <v/>
      </c>
      <c r="BY343" s="62" t="n">
        <f aca="false">Q343-T12EarlyH/24</f>
        <v>46306.15625</v>
      </c>
      <c r="BZ343" s="61" t="n">
        <f aca="false">IFERROR(IF(IF(TRIM(S343)="Link / file path",AND(LEN(TRIM(Z343))&gt;=5,SUMPRODUCT(--ISNUMBER(SEARCH({"http","www.","\\",":\",".pdf",".jpg",".jpeg",".png",".heic",".xls",".doc",".msg",".eml",".ppt",".txt",".zip"},Z343)))&gt;0),AND(ISERROR(FIND(" ",TRIM(Z343))),NOT(OR(SUMPRODUCT(--ISNUMBER(FIND({",",";","&amp;","+"},Z343)))&gt;0,SUMPRODUCT(--ISNUMBER(SEARCH({"0/aa","0\\aa"},BN343)))&gt;0)),NOT(SUMPRODUCT(--ISNUMBER(SEARCH({"http","www.","\\",":\",".pdf",".jpg",".jpeg",".png",".heic",".xls",".doc",".msg",".eml",".ppt",".txt",".zip"},Z343)))&gt;0),NOT(LOWER(TRIM(Z343))=LOWER(Flights!$F$14)),ISNA(MATCH(BU343,{"mh","rev","revision","ver","version","v","r","a","b","seat","tray","row","gate","bay","stand","page","pg","item","line","no","cart","galley","flight","flt","table","box","bag","oven","etd","eta","std","sta","atd","ata","qty","pax","x","time","tel","ph","mob","day","wk","week","utc","gmt","myt","lt"},0)),NOT(OR(ISNUMBER(MATCH(LEFT(BN343,255),{"0000a","000a","00a","0000aa","000aa","00aa","0aa","0000aaa","000aaa","00a00","0a00","0000-0000","00:00","a00","a0","00.00.0000","00/00/0000","00-00-0000","0000-00-00","0000/00/00","0000.00.00","00.00.00","00/00/00","00-00-00","0.00.0000","0/00/0000","0-00-0000"},0)),ISNUMBER(MATCH(LEFT(BT343,255),{"0000a","000a","00a","0000aa","000aa","00aa","0aa","0000aaa","000aaa","00a00","0a00","0000-0000","00:00","a00","a0","00.00.0000","00/00/0000","00-00-0000","0000-00-00","0000/00/00","0000.00.00","00.00.00","00/00/00","00-00-00","0.00.0000","0/00/0000","0-00-0000"},0)))),NOT(OR(AND(BW343&lt;&gt;"",SUBSTITUTE(BW343,"0","")=""),AND(LEN(BW343)&gt;=4,BW343=REPT(LEFT(BW343),LEN(BW343))),ISNUMBER(MATCH(BW343,{"123","1234","12345","123456","1234567","12345678","0123","01234","012345","98765","987654","54321"},0)),ISNUMBER(MATCH(BX343,{"x","xx","xxx","xxxx","xxxxx","abc","abcd","nil","na","nan","test","tbc","tba","tbd","dummy","sample","example","eg","zz","zzz","none","null","xyz","qwe","asd","id","ref"},0)),AND(LEN(BW343)=8,BX343="",OR(LEFT(BW343,3)="202",ISNUMBER(MATCH(RIGHT(BW343,4),{"2025","2026","2027"},0)))))),OR(AND((LEN(BT343)-LEN(SUBSTITUTE(BT343,"a","")))&gt;=1,(LEN(BN343)-LEN(SUBSTITUTE(BN343,"0","")))&gt;=2,SUMPRODUCT(--ISNUMBER(SEARCH({"a0","a-0","a_0","a/0","a.0","a#0","0a","0-a","0_a","0/a"},BN343)))&gt;0),AND((LEN(BN343)-LEN(SUBSTITUTE(BN343,"a","")))=0,(LEN(BN343)-LEN(SUBSTITUTE(BN343,"0","")))&gt;=5)))),1,0),0)</f>
        <v>0</v>
      </c>
      <c r="CA3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343,"revision",""),"version",""),"jan",""),"feb",""),"mar",""),"apr",""),"may",""),"jun",""),"jul",""),"aug",""),"sep",""),"oct",""),"nov",""),"dec",""),"utc",""),"gmt",""),"myt",""),"bst",""),"rev",""),"ver",""),"b","a"),"c","a"),"d","a"),"e","a"),"f","a"),"g","a"),"h","a"),"i","a"),"j","a"),"k","a"),"l","a"),"m","a"),"n","a"),"o","a"),"p","a"),"q","a"),"r","a"),"s","a"),"t","a"),"u","a"),"v","a"),"w","a"),"x","a"),"y","a"),"z","a")</f>
        <v/>
      </c>
      <c r="CB3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343&amp;""),"a",""),"b",""),"c",""),"d",""),"e",""),"f",""),"g",""),"h",""),"i",""),"j",""),"k",""),"l",""),"m",""),"n",""),"o",""),"p",""),"q",""),"r",""),"s",""),"t",""),"u",""),"v",""),"w",""),"x",""),"y",""),"z",""),"-",""),"_",""),"/",""),".",""),"#",""),"\\",""),":","")," ",""),"(",""),")","")</f>
        <v/>
      </c>
      <c r="CC343" s="0" t="str">
        <f aca="false">" "&amp;TRIM(SUBSTITUTE(SUBSTITUTE(SUBSTITUTE(SUBSTITUTE(SUBSTITUTE(SUBSTITUTE(SUBSTITUTE(SUBSTITUTE(SUBSTITUTE(SUBSTITUTE(SUBSTITUTE(SUBSTITUTE(SUBSTITUTE(SUBSTITUTE(SUBSTITUTE(SUBSTITUTE(SUBSTITUTE(SUBSTITUTE(SUBSTITUTE(SUBSTITUTE(SUBSTITUTE(SUBSTITUTE(SUBSTITUTE(SUBSTITUTE(LOWER(T343&amp;""),CHAR(10)," "),CHAR(13)," "),CHAR(9)," "),CHAR(160)," "),"."," "),","," "),"-"," "),"/"," "),"("," "),")"," "),":"," "),";"," "),"_"," "),"–"," "),"?"," "),"!"," "),"*"," "),"["," "),"]"," "),"'"," "),"#"," "),"+"," "),"&amp;"," "),"\"," "))&amp;" "</f>
        <v>  </v>
      </c>
      <c r="CD343" s="0" t="str">
        <f aca="false">" "&amp;TRIM(SUBSTITUTE(SUBSTITUTE(SUBSTITUTE(SUBSTITUTE(SUBSTITUTE(SUBSTITUTE(SUBSTITUTE(SUBSTITUTE(SUBSTITUTE(SUBSTITUTE(SUBSTITUTE(SUBSTITUTE(SUBSTITUTE(SUBSTITUTE(SUBSTITUTE(SUBSTITUTE(SUBSTITUTE(SUBSTITUTE(SUBSTITUTE(SUBSTITUTE(SUBSTITUTE(SUBSTITUTE(SUBSTITUTE(SUBSTITUTE(LOWER(AE343&amp;""),CHAR(10)," "),CHAR(13)," "),CHAR(9)," "),CHAR(160)," "),"."," "),","," "),"-"," "),"/"," "),"("," "),")"," "),":"," "),";"," "),"_"," "),"–"," "),"?"," "),"!"," "),"*"," "),"["," "),"]"," "),"'"," "),"#"," "),"+"," "),"&amp;"," "),"\"," "))&amp;" "</f>
        <v>  </v>
      </c>
      <c r="CE343" s="68" t="n">
        <f aca="false">IFERROR(IF(AND(LEN(AU343)&gt;0,LEN(AU343)=LEN(AX343),OR(TRIM(MID(SUBSTITUTE(TRIM(CC343)," ",REPT(" ",60)),1,60))="",ISNUMBER(SEARCH(" "&amp;TRIM(MID(SUBSTITUTE(TRIM(CC343)," ",REPT(" ",60)),1,60))&amp;" ",CD343))),OR(TRIM(MID(SUBSTITUTE(TRIM(CC343)," ",REPT(" ",60)),61,60))="",ISNUMBER(SEARCH(" "&amp;TRIM(MID(SUBSTITUTE(TRIM(CC343)," ",REPT(" ",60)),61,60))&amp;" ",CD343))),OR(TRIM(MID(SUBSTITUTE(TRIM(CC343)," ",REPT(" ",60)),121,60))="",ISNUMBER(SEARCH(" "&amp;TRIM(MID(SUBSTITUTE(TRIM(CC343)," ",REPT(" ",60)),121,60))&amp;" ",CD343)))),1,0),0)</f>
        <v>0</v>
      </c>
      <c r="CG343" s="68" t="n">
        <f aca="false">IFERROR(LEN(SUBSTITUTE(BF343," ",""))-SUMPRODUCT((LEN(BF343)-LEN(SUBSTITUTE(BF343," "&amp;L_NAFiller&amp;" "," ")))/(LEN(L_NAFiller)+1)*LEN(L_NAFiller)),0)</f>
        <v>0</v>
      </c>
    </row>
    <row r="344" customFormat="false" ht="41.25" hidden="false" customHeight="true" outlineLevel="0" collapsed="false">
      <c r="A344" s="57" t="s">
        <v>942</v>
      </c>
      <c r="B344" s="57" t="s">
        <v>251</v>
      </c>
      <c r="C344" s="57" t="str">
        <f aca="false">Flights!$F$14</f>
        <v>MH1140</v>
      </c>
      <c r="D344" s="58" t="n">
        <f aca="false">Flights!$D$14</f>
        <v>46307</v>
      </c>
      <c r="E344" s="57" t="str">
        <f aca="false">Flights!$G$14&amp;"-"&amp;Flights!$H$14</f>
        <v>KUL-PEN</v>
      </c>
      <c r="F344" s="57" t="str">
        <f aca="false">Flights!$K$14</f>
        <v>BC</v>
      </c>
      <c r="G344" s="57" t="s">
        <v>420</v>
      </c>
      <c r="H344" s="57" t="s">
        <v>378</v>
      </c>
      <c r="I344" s="57" t="s">
        <v>499</v>
      </c>
      <c r="J344" s="57" t="s">
        <v>523</v>
      </c>
      <c r="K344" s="67" t="s">
        <v>501</v>
      </c>
      <c r="L344" s="67" t="s">
        <v>943</v>
      </c>
      <c r="M344" s="67" t="s">
        <v>451</v>
      </c>
      <c r="N344" s="67" t="s">
        <v>383</v>
      </c>
      <c r="O344" s="67" t="s">
        <v>503</v>
      </c>
      <c r="P344" s="57" t="s">
        <v>187</v>
      </c>
      <c r="Q344" s="59" t="n">
        <f aca="false">ROUND((Flights!$AE$14)*1440,0)/1440</f>
        <v>46306.65625</v>
      </c>
      <c r="R344" s="59" t="n">
        <f aca="false">Q344+(IF(AND(INDEX(TZ_DSTS,MATCH(P344,TZ_STN,0))&lt;&gt;"",Q344&gt;=INDEX(TZ_DSTS,MATCH(P344,TZ_STN,0)),Q344&lt;INDEX(TZ_DSTE,MATCH(P344,TZ_STN,0))),INDEX(TZ_DST,MATCH(P344,TZ_STN,0)),INDEX(TZ_STD,MATCH(P344,TZ_STN,0))))/24</f>
        <v>46306.9895833333</v>
      </c>
      <c r="S344" s="60"/>
      <c r="T344" s="60"/>
      <c r="U344" s="60"/>
      <c r="V344" s="60"/>
      <c r="W344" s="61"/>
      <c r="X344" s="60"/>
      <c r="Y344" s="60"/>
      <c r="Z344" s="60"/>
      <c r="AA344" s="60"/>
      <c r="AB344" s="60"/>
      <c r="AC344" s="60"/>
      <c r="AD344" s="66"/>
      <c r="AE344" s="60"/>
      <c r="AF344" s="61" t="str">
        <f aca="false">IF(AND(ISNUMBER(X344),ISNUMBER(Y344)),Y344-X344,"")</f>
        <v/>
      </c>
      <c r="AG344" s="62" t="str">
        <f aca="false">IF(ISNUMBER(AD344),AD344-(IF(AND(INDEX(TZ_DSTS,MATCH(P344,TZ_STN,0))&lt;&gt;"",(AD344-INDEX(TZ_STD,MATCH(P344,TZ_STN,0))/24)&gt;=INDEX(TZ_DSTS,MATCH(P344,TZ_STN,0)),(AD344-INDEX(TZ_STD,MATCH(P344,TZ_STN,0))/24)&lt;INDEX(TZ_DSTE,MATCH(P344,TZ_STN,0))),INDEX(TZ_DST,MATCH(P344,TZ_STN,0)),INDEX(TZ_STD,MATCH(P344,TZ_STN,0))))/24,"")</f>
        <v/>
      </c>
      <c r="AH344" s="65" t="str">
        <f aca="false">IFERROR(IF(N344="N/A – rule",IF(OR(TRIM(U344)="",TRIM(U344)="N/A",TRIM(U344)="Not started"),"N/A – RULE","INVALID – this check does not apply to this aircraft: clear the status (or correct the fleet on Flights)"),IF(TRIM(U344)="N/A",IF(AT344=0,"INVALID – N/A not permitted for this check",IF(AND(TRIM(AB344)&lt;&gt;"",TRIM(AB344)&lt;&gt;"Closed"),"INVALID – corrective action still open",IF(AND(NOT(OR(LEN(AZ344)&lt;15,ISNUMBER(MATCH(AZ344,L_Placeholder,0)))),BK344=0,CG344&gt;=8,NOT(OR(LEN(AU344)&lt;2,ISNUMBER(MATCH(AU344,L_Placeholder,0)))),BR344&gt;=3,NOT(OR(LEN(AX344)&lt;2,ISNUMBER(MATCH(AX344,L_Placeholder,0)))),BS344&gt;=3,TRIM(AE344)&lt;&gt;TRIM(T344),AX344&lt;&gt;AU344,CE344=0),"N/A – JUSTIFIED","INVALID – N/A needs a real, settled reason (not 'not applicable' / 'as above' / TBC), a named PIC and a different named verifier"))),IF(OR(TRIM(U344)="Pass",TRIM(U344)="Pass after CA"),IF(NOT(ISNUMBER(AD344)),"INVALID – completion time missing",IF(OR(OR(LEN(AU344)&lt;2,ISNUMBER(MATCH(AU344,L_Placeholder,0))),BR344&lt;3),"INVALID – PIC missing or not a named person (a role such as QA / CSM is not a name)",IF(OR(LEN(AV344)&lt;2,ISNUMBER(MATCH(AV344,L_Placeholder,0))),"INVALID – result / assessment missing",IF(OR(OR(LEN(AW344)&lt;3,ISNUMBER(MATCH(AW344,L_Placeholder,0))),SUMPRODUCT(--ISNUMBER(SEARCH(" "&amp;L_EvidencePhrase&amp;" ",BD344)))&gt;0,BI344=1),"INVALID – evidence missing, placeholder or not yet on file",IF(ISNA(MATCH(TRIM(S344),L_EvidenceType,0)),"INVALID – choose the evidence type from the list (column S)",IF(BL344=0,"INVALID – evidence ID must be the record's own ID only (e.g. SF-2210, IMG_2231, 1045521); a link / file name needs type 'Link / file path'",IF(OR(OR(LEN(AX344)&lt;2,ISNUMBER(MATCH(AX344,L_Placeholder,0))),BS344&lt;3),"INVALID – verifier missing or not a named person (a role such as QA / CSM is not a name)",IF(OR(AX344=AU344,CE344=1,AND(LEN(AU344)&gt;=4,ISNUMBER(SEARCH(AU344,AX344))),AND(LEN(AX344)&gt;=4,ISNUMBER(SEARCH(AX344,AU344)))),"INVALID – verifier must be a different, named person (not the PIC or a role)",IF(BH344=1,"INVALID – result not yet available (awaiting / TBC)",IF(BG344=1,"INVALID – result describes a problem: record Fail, then Pass after CA (or reword if it is not a problem)",IF(BV344=1,"INVALID – wording says not on board: an on-board confirmation needs the item loaded",IF(AND(AQ344=1,OR(OR(LEN(AY344)&lt;3,ISNUMBER(MATCH(AY344,L_Placeholder,0))),BJ344=1,BQ344=0)),"INVALID – batch ID missing, placeholder or not an ID (e.g. PASB-261008-BC-017)",IF(AND(AR344=1,OR(NOT(ISNUMBER(X344)),NOT(ISNUMBER(Y344)))),"INVALID – expected/actual qty missing",IF(AND(AR344=1,OR(X344&lt;=0,Y344&lt;0)),"INVALID – expected qty must be above 0 and actual not negative",IF(BB344&lt;&gt;"",BB344,IF(AND(AS344=1,Documents!$J$14&lt;&gt;"ON FILE"),"INVALID – GLD not on file (Documents sheet)",IF(AND(AS344=2,Documents!$O$14&lt;&gt;"ON FILE"),"INVALID – menu checklist not on file (Documents sheet)",IF(AND(AS344=3,NOT(ISNUMBER(Flights!$AX$14))),"INVALID – enter carrying flight KUL departure (Flights AX)",IF(AND(AS344=3,OR(Flights!$AZ$14&gt;Flights!$AA$14,Flights!$AX$14&lt;Flights!$AA$14-3)),"INVALID – carrying flight (Flights AX) cannot arrive before this leg's STD, or is over 3 days early",IF(AG344&gt;AsOfUTC,"INVALID – completion time is in the future",IF(AND(ISNUMBER(BY344),AG344&lt;BY344),IF(H344="Physical uplift","INVALID – before uplift window (cannot confirm loading)","INVALID – before valid window"),IF(AG344&gt;Flights!$AA$14,"INVALID – completed after departure (cannot establish readiness)",IF(AND(H344="Preparation",AG344&gt;=IF(ISNUMBER(Flights!$BA$14),MIN(Flights!$BA$14,Flights!$AA$14),Flights!$AA$14)),"INVALID – completed after loading / departure (cannot establish readiness)",IF(AND(H344="Physical uplift",AG344&gt;Q344),"INVALID – recorded after the loading flight departed",IF(AG344&gt;Q344,"COMPLETE – LATE","COMPLETE"))))))))))))))))))))))))),IF(TRIM(U344)="Fail","FAIL – DISCREPANCY",IF(AND(TRIM(U344)&lt;&gt;"",TRIM(U344)&lt;&gt;"Not started",TRIM(U344)&lt;&gt;"In progress"),"INVALID – unrecognised status (use the list)",IF(AsOfUTC&gt;Q344,"OVERDUE",IF(N344="Clarification required","OPEN – CLARIFICATION","OPEN"))))))),"INVALID – error value in an input cell")</f>
        <v>OPEN</v>
      </c>
      <c r="AI344" s="61" t="n">
        <f aca="false">IF(OR(AH344="N/A – RULE",AH344="N/A – JUSTIFIED"),0,1)</f>
        <v>1</v>
      </c>
      <c r="AJ344" s="61" t="n">
        <f aca="false">IF(LEFT(AH344,8)="COMPLETE",1,0)</f>
        <v>0</v>
      </c>
      <c r="AK344" s="61" t="n">
        <f aca="false">IF(AND(AI344=1,AJ344=0,AsOfUTC&gt;Q344),1,0)</f>
        <v>0</v>
      </c>
      <c r="AL344" s="61" t="n">
        <f aca="false">IFERROR(IF(AND(AI344=1,OR(TRIM(U344)="Fail",AND(TRIM(AB344)&lt;&gt;"",TRIM(AB344)&lt;&gt;"Closed"),AND(ISNUMBER(AF344),AF344&lt;&gt;0,TRIM(U344)&lt;&gt;"Pass after CA"))),1,0),1)</f>
        <v>0</v>
      </c>
      <c r="AM344" s="61" t="n">
        <f aca="false">IF(LEFT(AH344,7)="INVALID",1,0)</f>
        <v>0</v>
      </c>
      <c r="AN344" s="61" t="n">
        <f aca="false">IF(AND(N344="Clarification required",AI344=1,AJ344=0),1,0)</f>
        <v>0</v>
      </c>
      <c r="AO344" s="61" t="str">
        <f aca="false">IF(AK344=1,SUM(AK$5:AK344),"")</f>
        <v/>
      </c>
      <c r="AP344" s="61" t="str">
        <f aca="false">IF(AL344=1,SUM(AL$5:AL344),"")</f>
        <v/>
      </c>
      <c r="AQ344" s="61" t="n">
        <v>0</v>
      </c>
      <c r="AR344" s="61" t="n">
        <v>0</v>
      </c>
      <c r="AS344" s="61" t="n">
        <v>0</v>
      </c>
      <c r="AT344" s="61" t="n">
        <v>0</v>
      </c>
      <c r="AU344" s="61" t="str">
        <f aca="false">SUBSTITUTE(SUBSTITUTE(SUBSTITUTE(SUBSTITUTE(SUBSTITUTE(SUBSTITUTE(SUBSTITUTE(SUBSTITUTE(SUBSTITUTE(SUBSTITUTE(SUBSTITUTE(SUBSTITUTE(SUBSTITUTE(SUBSTITUTE(SUBSTITUTE(SUBSTITUTE(LOWER(T344&amp;""),CHAR(10),""),CHAR(13),""),CHAR(9),""),CHAR(160),"")," ",""),".",""),"-",""),"/",""),"?",""),"_",""),",",""),"[",""),"]",""),"(",""),")",""),"*","")</f>
        <v/>
      </c>
      <c r="AV344" s="61" t="str">
        <f aca="false">SUBSTITUTE(SUBSTITUTE(SUBSTITUTE(SUBSTITUTE(SUBSTITUTE(SUBSTITUTE(SUBSTITUTE(SUBSTITUTE(SUBSTITUTE(SUBSTITUTE(SUBSTITUTE(SUBSTITUTE(SUBSTITUTE(SUBSTITUTE(SUBSTITUTE(SUBSTITUTE(LOWER(V344&amp;""),CHAR(10),""),CHAR(13),""),CHAR(9),""),CHAR(160),"")," ",""),".",""),"-",""),"/",""),"?",""),"_",""),",",""),"[",""),"]",""),"(",""),")",""),"*","")</f>
        <v/>
      </c>
      <c r="AW344" s="61" t="str">
        <f aca="false">SUBSTITUTE(SUBSTITUTE(SUBSTITUTE(SUBSTITUTE(SUBSTITUTE(SUBSTITUTE(SUBSTITUTE(SUBSTITUTE(SUBSTITUTE(SUBSTITUTE(SUBSTITUTE(SUBSTITUTE(SUBSTITUTE(SUBSTITUTE(SUBSTITUTE(SUBSTITUTE(LOWER(Z344&amp;""),CHAR(10),""),CHAR(13),""),CHAR(9),""),CHAR(160),"")," ",""),".",""),"-",""),"/",""),"?",""),"_",""),",",""),"[",""),"]",""),"(",""),")",""),"*","")</f>
        <v/>
      </c>
      <c r="AX344" s="61" t="str">
        <f aca="false">SUBSTITUTE(SUBSTITUTE(SUBSTITUTE(SUBSTITUTE(SUBSTITUTE(SUBSTITUTE(SUBSTITUTE(SUBSTITUTE(SUBSTITUTE(SUBSTITUTE(SUBSTITUTE(SUBSTITUTE(SUBSTITUTE(SUBSTITUTE(SUBSTITUTE(SUBSTITUTE(LOWER(AE344&amp;""),CHAR(10),""),CHAR(13),""),CHAR(9),""),CHAR(160),"")," ",""),".",""),"-",""),"/",""),"?",""),"_",""),",",""),"[",""),"]",""),"(",""),")",""),"*","")</f>
        <v/>
      </c>
      <c r="AY344" s="61" t="str">
        <f aca="false">SUBSTITUTE(SUBSTITUTE(SUBSTITUTE(SUBSTITUTE(SUBSTITUTE(SUBSTITUTE(SUBSTITUTE(SUBSTITUTE(SUBSTITUTE(SUBSTITUTE(SUBSTITUTE(SUBSTITUTE(SUBSTITUTE(SUBSTITUTE(SUBSTITUTE(SUBSTITUTE(LOWER(W344&amp;""),CHAR(10),""),CHAR(13),""),CHAR(9),""),CHAR(160),"")," ",""),".",""),"-",""),"/",""),"?",""),"_",""),",",""),"[",""),"]",""),"(",""),")",""),"*","")</f>
        <v/>
      </c>
      <c r="AZ344" s="61" t="str">
        <f aca="false">SUBSTITUTE(SUBSTITUTE(SUBSTITUTE(SUBSTITUTE(SUBSTITUTE(SUBSTITUTE(SUBSTITUTE(SUBSTITUTE(SUBSTITUTE(SUBSTITUTE(SUBSTITUTE(SUBSTITUTE(SUBSTITUTE(SUBSTITUTE(SUBSTITUTE(SUBSTITUTE(LOWER(AC344&amp;""),CHAR(10),""),CHAR(13),""),CHAR(9),""),CHAR(160),"")," ",""),".",""),"-",""),"/",""),"?",""),"_",""),",",""),"[",""),"]",""),"(",""),")",""),"*","")</f>
        <v/>
      </c>
      <c r="BA344" s="61" t="str">
        <f aca="false">SUBSTITUTE(SUBSTITUTE(SUBSTITUTE(SUBSTITUTE(SUBSTITUTE(SUBSTITUTE(SUBSTITUTE(SUBSTITUTE(SUBSTITUTE(SUBSTITUTE(SUBSTITUTE(SUBSTITUTE(SUBSTITUTE(SUBSTITUTE(SUBSTITUTE(SUBSTITUTE(LOWER(AA344&amp;""),CHAR(10),""),CHAR(13),""),CHAR(9),""),CHAR(160),"")," ",""),".",""),"-",""),"/",""),"?",""),"_",""),",",""),"[",""),"]",""),"(",""),")",""),"*","")</f>
        <v/>
      </c>
      <c r="BB344" s="61" t="str">
        <f aca="false">IF(AND(TRIM(U344)="Pass",ISNUMBER(AF344)),IF(AF344&lt;&gt;0,"INVALID – qty variance: use Fail or Pass after CA",""),"")&amp;IF(AND(TRIM(U344)="Pass after CA",ISNUMBER(AF344)),IF(AF344&lt;&gt;0,"INVALID – after the corrective action the actual qty must equal expected (update Actual)",""),"")&amp;IF(AND(TRIM(U344)="Pass",TRIM(AB344)&lt;&gt;"",TRIM(AB344)&lt;&gt;"Closed"),"INVALID – corrective action not closed: use Fail, then Pass after CA","")&amp;IF(AND(LEN(BA344)&gt;=2,ISNA(MATCH(LEFT(BA344,255),L_Placeholder,0)),TRIM(AB344)=""),"INVALID – CA status missing for the recorded corrective action","")&amp;IF(AND(TRIM(U344)="Pass after CA",OR(OR(LEN(BA344)&lt;5,ISNUMBER(MATCH(BA344,L_Placeholder,0))),TRIM(AB344)&lt;&gt;"Closed")),"INVALID – corrective action not recorded/closed","")</f>
        <v/>
      </c>
      <c r="BC344" s="61" t="str">
        <f aca="false">" "&amp;TRIM(SUBSTITUTE(SUBSTITUTE(SUBSTITUTE(SUBSTITUTE(SUBSTITUTE(SUBSTITUTE(SUBSTITUTE(SUBSTITUTE(SUBSTITUTE(SUBSTITUTE(SUBSTITUTE(SUBSTITUTE(SUBSTITUTE(SUBSTITUTE(SUBSTITUTE(SUBSTITUTE(SUBSTITUTE(SUBSTITUTE(SUBSTITUTE(SUBSTITUTE(SUBSTITUTE(SUBSTITUTE(SUBSTITUTE(SUBSTITUTE(LOWER(V344&amp;""),CHAR(10)," "),CHAR(13)," "),CHAR(9)," "),CHAR(160)," "),"."," "),","," "),"-"," "),"/"," "),"("," "),")"," "),":"," "),";"," "),"_"," "),"–"," "),"?"," "),"!"," "),"*"," "),"["," "),"]"," "),"'"," "),"#"," "),"+"," "),"&amp;"," "),"\"," "))&amp;" "</f>
        <v>  </v>
      </c>
      <c r="BD344" s="61" t="str">
        <f aca="false">" "&amp;TRIM(SUBSTITUTE(SUBSTITUTE(SUBSTITUTE(SUBSTITUTE(SUBSTITUTE(SUBSTITUTE(SUBSTITUTE(SUBSTITUTE(SUBSTITUTE(SUBSTITUTE(SUBSTITUTE(SUBSTITUTE(SUBSTITUTE(SUBSTITUTE(SUBSTITUTE(SUBSTITUTE(SUBSTITUTE(SUBSTITUTE(SUBSTITUTE(SUBSTITUTE(SUBSTITUTE(SUBSTITUTE(SUBSTITUTE(SUBSTITUTE(LOWER(Z344&amp;""),CHAR(10)," "),CHAR(13)," "),CHAR(9)," "),CHAR(160)," "),"."," "),","," "),"-"," "),"/"," "),"("," "),")"," "),":"," "),";"," "),"_"," "),"–"," "),"?"," "),"!"," "),"*"," "),"["," "),"]"," "),"'"," "),"#"," "),"+"," "),"&amp;"," "),"\"," "))&amp;" "</f>
        <v>  </v>
      </c>
      <c r="BE344" s="61" t="str">
        <f aca="false">" "&amp;TRIM(SUBSTITUTE(SUBSTITUTE(SUBSTITUTE(SUBSTITUTE(SUBSTITUTE(SUBSTITUTE(SUBSTITUTE(SUBSTITUTE(SUBSTITUTE(SUBSTITUTE(SUBSTITUTE(SUBSTITUTE(SUBSTITUTE(SUBSTITUTE(SUBSTITUTE(SUBSTITUTE(SUBSTITUTE(SUBSTITUTE(SUBSTITUTE(SUBSTITUTE(SUBSTITUTE(SUBSTITUTE(SUBSTITUTE(SUBSTITUTE(LOWER(W344&amp;""),CHAR(10)," "),CHAR(13)," "),CHAR(9)," "),CHAR(160)," "),"."," "),","," "),"-"," "),"/"," "),"("," "),")"," "),":"," "),";"," "),"_"," "),"–"," "),"?"," "),"!"," "),"*"," "),"["," "),"]"," "),"'"," "),"#"," "),"+"," "),"&amp;"," "),"\"," "))&amp;" "</f>
        <v>  </v>
      </c>
      <c r="BF344" s="61" t="str">
        <f aca="false">" "&amp;TRIM(SUBSTITUTE(SUBSTITUTE(SUBSTITUTE(SUBSTITUTE(SUBSTITUTE(SUBSTITUTE(SUBSTITUTE(SUBSTITUTE(SUBSTITUTE(SUBSTITUTE(SUBSTITUTE(SUBSTITUTE(SUBSTITUTE(SUBSTITUTE(SUBSTITUTE(SUBSTITUTE(SUBSTITUTE(SUBSTITUTE(SUBSTITUTE(SUBSTITUTE(SUBSTITUTE(SUBSTITUTE(SUBSTITUTE(SUBSTITUTE(LOWER(AC344&amp;""),CHAR(10)," "),CHAR(13)," "),CHAR(9)," "),CHAR(160)," "),"."," "),","," "),"-"," "),"/"," "),"("," "),")"," "),":"," "),";"," "),"_"," "),"–"," "),"?"," "),"!"," "),"*"," "),"["," "),"]"," "),"'"," "),"#"," "),"+"," "),"&amp;"," "),"\"," "))&amp;" "</f>
        <v>  </v>
      </c>
      <c r="BG344" s="61" t="n">
        <f aca="false">IFERROR(IF(AND(TRIM(U344)="Pass",SUMPRODUCT((LEN(BC344)-LEN(SUBSTITUTE(BC344," "&amp;L_ResultBad&amp;" "," ")))/(LEN(L_ResultBad)+1))&gt;SUMPRODUCT((LEN(BC344)-LEN(SUBSTITUTE(BC344," "&amp;L_NegPhrase&amp;" "," ")))/(LEN(L_NegPhrase)+1))),1,0),0)</f>
        <v>0</v>
      </c>
      <c r="BH344" s="61" t="n">
        <f aca="false">IFERROR(IF(SUMPRODUCT((LEN(BC344)-LEN(SUBSTITUTE(BC344," "&amp;L_Pending&amp;" "," ")))/(LEN(L_Pending)+1))&gt;SUMPRODUCT((LEN(BC344)-LEN(SUBSTITUTE(BC344," "&amp;L_PendNeg&amp;" "," ")))/(LEN(L_PendNeg)+1))+SUMPRODUCT((LEN(BC344)-LEN(SUBSTITUTE(BC344," "&amp;L_PendPrep&amp;" "," ")))/(LEN(L_PendPrep)+1)),1,0),1)</f>
        <v>0</v>
      </c>
      <c r="BI344" s="61" t="n">
        <f aca="false">IFERROR(IF(SUMPRODUCT((LEN(BD344)-LEN(SUBSTITUTE(BD344," "&amp;L_PendStrict&amp;" "," ")))/(LEN(L_PendStrict)+1))&gt;SUMPRODUCT((LEN(BD344)-LEN(SUBSTITUTE(BD344," "&amp;L_PendNeg&amp;" "," ")))/(LEN(L_PendNeg)+1)),1,0),1)</f>
        <v>0</v>
      </c>
      <c r="BJ344" s="61" t="n">
        <f aca="false">IFERROR(IF(SUMPRODUCT((LEN(BE344)-LEN(SUBSTITUTE(BE344," "&amp;L_Pending&amp;" "," ")))/(LEN(L_Pending)+1))&gt;SUMPRODUCT((LEN(BE344)-LEN(SUBSTITUTE(BE344," "&amp;L_PendNeg&amp;" "," ")))/(LEN(L_PendNeg)+1))+SUMPRODUCT((LEN(BE344)-LEN(SUBSTITUTE(BE344," "&amp;L_PendPrep&amp;" "," ")))/(LEN(L_PendPrep)+1)),1,0),1)</f>
        <v>0</v>
      </c>
      <c r="BK344" s="61" t="n">
        <f aca="false">IFERROR(IF(SUMPRODUCT((LEN(BF344)-LEN(SUBSTITUTE(BF344," "&amp;L_PendStrict&amp;" "," ")))/(LEN(L_PendStrict)+1))&gt;SUMPRODUCT((LEN(BF344)-LEN(SUBSTITUTE(BF344," "&amp;L_PendNeg&amp;" "," ")))/(LEN(L_PendNeg)+1)),1,0),1)</f>
        <v>0</v>
      </c>
      <c r="BL344" s="61" t="n">
        <f aca="false">IF(ISNA(MATCH(TRIM(S344),L_EvidenceType,0)),0,BZ344)</f>
        <v>0</v>
      </c>
      <c r="BM344" s="61" t="str">
        <f aca="false">SUBSTITUTE(SUBSTITUTE(SUBSTITUTE(SUBSTITUTE(SUBSTITUTE(SUBSTITUTE(SUBSTITUTE(SUBSTITUTE(SUBSTITUTE(LOWER(Z344&amp;""),"1","0"),"2","0"),"3","0"),"4","0"),"5","0"),"6","0"),"7","0"),"8","0"),"9","0")</f>
        <v/>
      </c>
      <c r="BN344" s="61" t="str">
        <f aca="false">SUBSTITUTE(SUBSTITUTE(SUBSTITUTE(SUBSTITUTE(SUBSTITUTE(SUBSTITUTE(SUBSTITUTE(SUBSTITUTE(SUBSTITUTE(SUBSTITUTE(SUBSTITUTE(SUBSTITUTE(SUBSTITUTE(SUBSTITUTE(SUBSTITUTE(SUBSTITUTE(SUBSTITUTE(SUBSTITUTE(SUBSTITUTE(SUBSTITUTE(SUBSTITUTE(SUBSTITUTE(SUBSTITUTE(SUBSTITUTE(SUBSTITUTE(BM344,"b","a"),"c","a"),"d","a"),"e","a"),"f","a"),"g","a"),"h","a"),"i","a"),"j","a"),"k","a"),"l","a"),"m","a"),"n","a"),"o","a"),"p","a"),"q","a"),"r","a"),"s","a"),"t","a"),"u","a"),"v","a"),"w","a"),"x","a"),"y","a"),"z","a")</f>
        <v/>
      </c>
      <c r="BO344" s="61" t="str">
        <f aca="false">SUBSTITUTE(SUBSTITUTE(SUBSTITUTE(SUBSTITUTE(SUBSTITUTE(SUBSTITUTE(SUBSTITUTE(SUBSTITUTE(SUBSTITUTE(LOWER(W344&amp;""),"1","0"),"2","0"),"3","0"),"4","0"),"5","0"),"6","0"),"7","0"),"8","0"),"9","0")</f>
        <v/>
      </c>
      <c r="BP344" s="61" t="str">
        <f aca="false">SUBSTITUTE(SUBSTITUTE(SUBSTITUTE(SUBSTITUTE(SUBSTITUTE(SUBSTITUTE(SUBSTITUTE(SUBSTITUTE(SUBSTITUTE(SUBSTITUTE(SUBSTITUTE(SUBSTITUTE(SUBSTITUTE(SUBSTITUTE(SUBSTITUTE(SUBSTITUTE(SUBSTITUTE(SUBSTITUTE(SUBSTITUTE(SUBSTITUTE(SUBSTITUTE(SUBSTITUTE(SUBSTITUTE(SUBSTITUTE(SUBSTITUTE(BO344,"b","a"),"c","a"),"d","a"),"e","a"),"f","a"),"g","a"),"h","a"),"i","a"),"j","a"),"k","a"),"l","a"),"m","a"),"n","a"),"o","a"),"p","a"),"q","a"),"r","a"),"s","a"),"t","a"),"u","a"),"v","a"),"w","a"),"x","a"),"y","a"),"z","a")</f>
        <v/>
      </c>
      <c r="BQ344" s="61" t="n">
        <f aca="false">IFERROR(IF(AND(ISERROR(SEARCH(" mh"," "&amp;LOWER(W344))),ISNA(MATCH(LEFT(TRIM(BP344),255),{"0000a","000a","00a","0000aa","000aa","00aa","0aa","0000aaa","000aaa","00a00","0a00","0000-0000","00:00","a00","a0","00.00.0000","00/00/0000","00-00-0000","0000-00-00","0000/00/00","0000.00.00","00.00.00","00/00/00","00-00-00","0.00.0000","0/00/0000","0-00-0000"},0)),ISNA(MATCH(LEFT(TRIM(CA344),255),{"0000a","000a","00a","0000aa","000aa","00aa","0aa","0000aaa","000aaa","00a00","0a00","0000-0000","00:00","a00","a0","00.00.0000","00/00/0000","00-00-0000","0000-00-00","0000/00/00","0000.00.00","00.00.00","00/00/00","00-00-00","0.00.0000","0/00/0000","0-00-0000"},0)),LEN(CB344)&gt;=3,NOT(OR(SUBSTITUTE(CB344,"0","")="",AND(LEN(CB344)&gt;=4,CB344=REPT(LEFT(CB344),LEN(CB344))),ISNUMBER(MATCH(CB344,{"123","1234","12345","123456","1234567","12345678","0123","01234","012345","98765","987654","54321"},0)),AND(LEN(CB344)=8,LEFT(CB344,3)="202"))),OR(AND((LEN(CA344)-LEN(SUBSTITUTE(CA344,"a","")))&gt;=1,SUMPRODUCT(--ISNUMBER(SEARCH({"a0","a-0","a_0","a/0","a.0","a#0","0a","0-a","0_a","0/a"},BP344)))&gt;0),ISNUMBER(SEARCH("000000",BP344)))),1,0),0)</f>
        <v>0</v>
      </c>
      <c r="BR344" s="61" t="n">
        <f aca="false">IFERROR(LEN(SUBSTITUTE(CC344," ",""))-SUMPRODUCT((LEN(CC344)-LEN(SUBSTITUTE(CC344," "&amp;L_Role&amp;" "," ")))/(LEN(L_Role)+1)*LEN(L_Role)),0)</f>
        <v>0</v>
      </c>
      <c r="BS344" s="61" t="n">
        <f aca="false">IFERROR(LEN(SUBSTITUTE(CD344," ",""))-SUMPRODUCT((LEN(CD344)-LEN(SUBSTITUTE(CD344," "&amp;L_Role&amp;" "," ")))/(LEN(L_Role)+1)*LEN(L_Role)),0)</f>
        <v>0</v>
      </c>
      <c r="BT3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344,"revision",""),"version",""),"jan",""),"feb",""),"mar",""),"apr",""),"may",""),"jun",""),"jul",""),"aug",""),"sep",""),"oct",""),"nov",""),"dec",""),"utc",""),"gmt",""),"myt",""),"bst",""),"rev",""),"ver",""),"b","a"),"c","a"),"d","a"),"e","a"),"f","a"),"g","a"),"h","a"),"i","a"),"j","a"),"k","a"),"l","a"),"m","a"),"n","a"),"o","a"),"p","a"),"q","a"),"r","a"),"s","a"),"t","a"),"u","a"),"v","a"),"w","a"),"x","a"),"y","a"),"z","a")</f>
        <v/>
      </c>
      <c r="BU344" s="61" t="str">
        <f aca="false">SUBSTITUTE(SUBSTITUTE(SUBSTITUTE(SUBSTITUTE(SUBSTITUTE(SUBSTITUTE(SUBSTITUTE(SUBSTITUTE(SUBSTITUTE(SUBSTITUTE(LEFT(BM344,FIND("0",BM344&amp;"0")-1),"-",""),"_",""),"/",""),".",""),"#",""),"\\",""),":","")," ",""),"(",""),")","")</f>
        <v/>
      </c>
      <c r="BV344" s="61" t="n">
        <f aca="false">0</f>
        <v>0</v>
      </c>
      <c r="BW3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344&amp;""),"a",""),"b",""),"c",""),"d",""),"e",""),"f",""),"g",""),"h",""),"i",""),"j",""),"k",""),"l",""),"m",""),"n",""),"o",""),"p",""),"q",""),"r",""),"s",""),"t",""),"u",""),"v",""),"w",""),"x",""),"y",""),"z",""),"-",""),"_",""),"/",""),".",""),"#",""),"\\",""),":","")," ",""),"(",""),")","")</f>
        <v/>
      </c>
      <c r="BX344" s="61" t="str">
        <f aca="false">SUBSTITUTE(SUBSTITUTE(SUBSTITUTE(SUBSTITUTE(SUBSTITUTE(SUBSTITUTE(SUBSTITUTE(SUBSTITUTE(SUBSTITUTE(SUBSTITUTE(SUBSTITUTE(BM344,"0",""),"-",""),"_",""),"/",""),".",""),"#",""),"\\",""),":","")," ",""),"(",""),")","")</f>
        <v/>
      </c>
      <c r="BY344" s="62" t="n">
        <f aca="false">Q344-T12EarlyH/24</f>
        <v>46306.15625</v>
      </c>
      <c r="BZ344" s="61" t="n">
        <f aca="false">IFERROR(IF(IF(TRIM(S344)="Link / file path",AND(LEN(TRIM(Z344))&gt;=5,SUMPRODUCT(--ISNUMBER(SEARCH({"http","www.","\\",":\",".pdf",".jpg",".jpeg",".png",".heic",".xls",".doc",".msg",".eml",".ppt",".txt",".zip"},Z344)))&gt;0),AND(ISERROR(FIND(" ",TRIM(Z344))),NOT(OR(SUMPRODUCT(--ISNUMBER(FIND({",",";","&amp;","+"},Z344)))&gt;0,SUMPRODUCT(--ISNUMBER(SEARCH({"0/aa","0\\aa"},BN344)))&gt;0)),NOT(SUMPRODUCT(--ISNUMBER(SEARCH({"http","www.","\\",":\",".pdf",".jpg",".jpeg",".png",".heic",".xls",".doc",".msg",".eml",".ppt",".txt",".zip"},Z344)))&gt;0),NOT(LOWER(TRIM(Z344))=LOWER(Flights!$F$14)),ISNA(MATCH(BU344,{"mh","rev","revision","ver","version","v","r","a","b","seat","tray","row","gate","bay","stand","page","pg","item","line","no","cart","galley","flight","flt","table","box","bag","oven","etd","eta","std","sta","atd","ata","qty","pax","x","time","tel","ph","mob","day","wk","week","utc","gmt","myt","lt"},0)),NOT(OR(ISNUMBER(MATCH(LEFT(BN344,255),{"0000a","000a","00a","0000aa","000aa","00aa","0aa","0000aaa","000aaa","00a00","0a00","0000-0000","00:00","a00","a0","00.00.0000","00/00/0000","00-00-0000","0000-00-00","0000/00/00","0000.00.00","00.00.00","00/00/00","00-00-00","0.00.0000","0/00/0000","0-00-0000"},0)),ISNUMBER(MATCH(LEFT(BT344,255),{"0000a","000a","00a","0000aa","000aa","00aa","0aa","0000aaa","000aaa","00a00","0a00","0000-0000","00:00","a00","a0","00.00.0000","00/00/0000","00-00-0000","0000-00-00","0000/00/00","0000.00.00","00.00.00","00/00/00","00-00-00","0.00.0000","0/00/0000","0-00-0000"},0)))),NOT(OR(AND(BW344&lt;&gt;"",SUBSTITUTE(BW344,"0","")=""),AND(LEN(BW344)&gt;=4,BW344=REPT(LEFT(BW344),LEN(BW344))),ISNUMBER(MATCH(BW344,{"123","1234","12345","123456","1234567","12345678","0123","01234","012345","98765","987654","54321"},0)),ISNUMBER(MATCH(BX344,{"x","xx","xxx","xxxx","xxxxx","abc","abcd","nil","na","nan","test","tbc","tba","tbd","dummy","sample","example","eg","zz","zzz","none","null","xyz","qwe","asd","id","ref"},0)),AND(LEN(BW344)=8,BX344="",OR(LEFT(BW344,3)="202",ISNUMBER(MATCH(RIGHT(BW344,4),{"2025","2026","2027"},0)))))),OR(AND((LEN(BT344)-LEN(SUBSTITUTE(BT344,"a","")))&gt;=1,(LEN(BN344)-LEN(SUBSTITUTE(BN344,"0","")))&gt;=2,SUMPRODUCT(--ISNUMBER(SEARCH({"a0","a-0","a_0","a/0","a.0","a#0","0a","0-a","0_a","0/a"},BN344)))&gt;0),AND((LEN(BN344)-LEN(SUBSTITUTE(BN344,"a","")))=0,(LEN(BN344)-LEN(SUBSTITUTE(BN344,"0","")))&gt;=5)))),1,0),0)</f>
        <v>0</v>
      </c>
      <c r="CA3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344,"revision",""),"version",""),"jan",""),"feb",""),"mar",""),"apr",""),"may",""),"jun",""),"jul",""),"aug",""),"sep",""),"oct",""),"nov",""),"dec",""),"utc",""),"gmt",""),"myt",""),"bst",""),"rev",""),"ver",""),"b","a"),"c","a"),"d","a"),"e","a"),"f","a"),"g","a"),"h","a"),"i","a"),"j","a"),"k","a"),"l","a"),"m","a"),"n","a"),"o","a"),"p","a"),"q","a"),"r","a"),"s","a"),"t","a"),"u","a"),"v","a"),"w","a"),"x","a"),"y","a"),"z","a")</f>
        <v/>
      </c>
      <c r="CB3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344&amp;""),"a",""),"b",""),"c",""),"d",""),"e",""),"f",""),"g",""),"h",""),"i",""),"j",""),"k",""),"l",""),"m",""),"n",""),"o",""),"p",""),"q",""),"r",""),"s",""),"t",""),"u",""),"v",""),"w",""),"x",""),"y",""),"z",""),"-",""),"_",""),"/",""),".",""),"#",""),"\\",""),":","")," ",""),"(",""),")","")</f>
        <v/>
      </c>
      <c r="CC344" s="0" t="str">
        <f aca="false">" "&amp;TRIM(SUBSTITUTE(SUBSTITUTE(SUBSTITUTE(SUBSTITUTE(SUBSTITUTE(SUBSTITUTE(SUBSTITUTE(SUBSTITUTE(SUBSTITUTE(SUBSTITUTE(SUBSTITUTE(SUBSTITUTE(SUBSTITUTE(SUBSTITUTE(SUBSTITUTE(SUBSTITUTE(SUBSTITUTE(SUBSTITUTE(SUBSTITUTE(SUBSTITUTE(SUBSTITUTE(SUBSTITUTE(SUBSTITUTE(SUBSTITUTE(LOWER(T344&amp;""),CHAR(10)," "),CHAR(13)," "),CHAR(9)," "),CHAR(160)," "),"."," "),","," "),"-"," "),"/"," "),"("," "),")"," "),":"," "),";"," "),"_"," "),"–"," "),"?"," "),"!"," "),"*"," "),"["," "),"]"," "),"'"," "),"#"," "),"+"," "),"&amp;"," "),"\"," "))&amp;" "</f>
        <v>  </v>
      </c>
      <c r="CD344" s="0" t="str">
        <f aca="false">" "&amp;TRIM(SUBSTITUTE(SUBSTITUTE(SUBSTITUTE(SUBSTITUTE(SUBSTITUTE(SUBSTITUTE(SUBSTITUTE(SUBSTITUTE(SUBSTITUTE(SUBSTITUTE(SUBSTITUTE(SUBSTITUTE(SUBSTITUTE(SUBSTITUTE(SUBSTITUTE(SUBSTITUTE(SUBSTITUTE(SUBSTITUTE(SUBSTITUTE(SUBSTITUTE(SUBSTITUTE(SUBSTITUTE(SUBSTITUTE(SUBSTITUTE(LOWER(AE344&amp;""),CHAR(10)," "),CHAR(13)," "),CHAR(9)," "),CHAR(160)," "),"."," "),","," "),"-"," "),"/"," "),"("," "),")"," "),":"," "),";"," "),"_"," "),"–"," "),"?"," "),"!"," "),"*"," "),"["," "),"]"," "),"'"," "),"#"," "),"+"," "),"&amp;"," "),"\"," "))&amp;" "</f>
        <v>  </v>
      </c>
      <c r="CE344" s="68" t="n">
        <f aca="false">IFERROR(IF(AND(LEN(AU344)&gt;0,LEN(AU344)=LEN(AX344),OR(TRIM(MID(SUBSTITUTE(TRIM(CC344)," ",REPT(" ",60)),1,60))="",ISNUMBER(SEARCH(" "&amp;TRIM(MID(SUBSTITUTE(TRIM(CC344)," ",REPT(" ",60)),1,60))&amp;" ",CD344))),OR(TRIM(MID(SUBSTITUTE(TRIM(CC344)," ",REPT(" ",60)),61,60))="",ISNUMBER(SEARCH(" "&amp;TRIM(MID(SUBSTITUTE(TRIM(CC344)," ",REPT(" ",60)),61,60))&amp;" ",CD344))),OR(TRIM(MID(SUBSTITUTE(TRIM(CC344)," ",REPT(" ",60)),121,60))="",ISNUMBER(SEARCH(" "&amp;TRIM(MID(SUBSTITUTE(TRIM(CC344)," ",REPT(" ",60)),121,60))&amp;" ",CD344)))),1,0),0)</f>
        <v>0</v>
      </c>
      <c r="CG344" s="68" t="n">
        <f aca="false">IFERROR(LEN(SUBSTITUTE(BF344," ",""))-SUMPRODUCT((LEN(BF344)-LEN(SUBSTITUTE(BF344," "&amp;L_NAFiller&amp;" "," ")))/(LEN(L_NAFiller)+1)*LEN(L_NAFiller)),0)</f>
        <v>0</v>
      </c>
    </row>
    <row r="345" customFormat="false" ht="41.25" hidden="false" customHeight="true" outlineLevel="0" collapsed="false">
      <c r="A345" s="57" t="s">
        <v>944</v>
      </c>
      <c r="B345" s="57" t="s">
        <v>251</v>
      </c>
      <c r="C345" s="57" t="str">
        <f aca="false">Flights!$F$14</f>
        <v>MH1140</v>
      </c>
      <c r="D345" s="58" t="n">
        <f aca="false">Flights!$D$14</f>
        <v>46307</v>
      </c>
      <c r="E345" s="57" t="str">
        <f aca="false">Flights!$G$14&amp;"-"&amp;Flights!$H$14</f>
        <v>KUL-PEN</v>
      </c>
      <c r="F345" s="57" t="str">
        <f aca="false">Flights!$K$14</f>
        <v>BC</v>
      </c>
      <c r="G345" s="57" t="s">
        <v>420</v>
      </c>
      <c r="H345" s="57" t="s">
        <v>378</v>
      </c>
      <c r="I345" s="57" t="s">
        <v>447</v>
      </c>
      <c r="J345" s="57" t="s">
        <v>526</v>
      </c>
      <c r="K345" s="67" t="s">
        <v>449</v>
      </c>
      <c r="L345" s="67" t="s">
        <v>945</v>
      </c>
      <c r="M345" s="67" t="s">
        <v>451</v>
      </c>
      <c r="N345" s="67" t="s">
        <v>383</v>
      </c>
      <c r="O345" s="67" t="s">
        <v>503</v>
      </c>
      <c r="P345" s="57" t="s">
        <v>187</v>
      </c>
      <c r="Q345" s="59" t="n">
        <f aca="false">ROUND((Flights!$AE$14)*1440,0)/1440</f>
        <v>46306.65625</v>
      </c>
      <c r="R345" s="59" t="n">
        <f aca="false">Q345+(IF(AND(INDEX(TZ_DSTS,MATCH(P345,TZ_STN,0))&lt;&gt;"",Q345&gt;=INDEX(TZ_DSTS,MATCH(P345,TZ_STN,0)),Q345&lt;INDEX(TZ_DSTE,MATCH(P345,TZ_STN,0))),INDEX(TZ_DST,MATCH(P345,TZ_STN,0)),INDEX(TZ_STD,MATCH(P345,TZ_STN,0))))/24</f>
        <v>46306.9895833333</v>
      </c>
      <c r="S345" s="60"/>
      <c r="T345" s="60"/>
      <c r="U345" s="60"/>
      <c r="V345" s="60"/>
      <c r="W345" s="61"/>
      <c r="X345" s="60"/>
      <c r="Y345" s="60"/>
      <c r="Z345" s="60"/>
      <c r="AA345" s="60"/>
      <c r="AB345" s="60"/>
      <c r="AC345" s="60"/>
      <c r="AD345" s="66"/>
      <c r="AE345" s="60"/>
      <c r="AF345" s="61" t="str">
        <f aca="false">IF(AND(ISNUMBER(X345),ISNUMBER(Y345)),Y345-X345,"")</f>
        <v/>
      </c>
      <c r="AG345" s="62" t="str">
        <f aca="false">IF(ISNUMBER(AD345),AD345-(IF(AND(INDEX(TZ_DSTS,MATCH(P345,TZ_STN,0))&lt;&gt;"",(AD345-INDEX(TZ_STD,MATCH(P345,TZ_STN,0))/24)&gt;=INDEX(TZ_DSTS,MATCH(P345,TZ_STN,0)),(AD345-INDEX(TZ_STD,MATCH(P345,TZ_STN,0))/24)&lt;INDEX(TZ_DSTE,MATCH(P345,TZ_STN,0))),INDEX(TZ_DST,MATCH(P345,TZ_STN,0)),INDEX(TZ_STD,MATCH(P345,TZ_STN,0))))/24,"")</f>
        <v/>
      </c>
      <c r="AH345" s="65" t="str">
        <f aca="false">IFERROR(IF(N345="N/A – rule",IF(OR(TRIM(U345)="",TRIM(U345)="N/A",TRIM(U345)="Not started"),"N/A – RULE","INVALID – this check does not apply to this aircraft: clear the status (or correct the fleet on Flights)"),IF(TRIM(U345)="N/A",IF(AT345=0,"INVALID – N/A not permitted for this check",IF(AND(TRIM(AB345)&lt;&gt;"",TRIM(AB345)&lt;&gt;"Closed"),"INVALID – corrective action still open",IF(AND(NOT(OR(LEN(AZ345)&lt;15,ISNUMBER(MATCH(AZ345,L_Placeholder,0)))),BK345=0,CG345&gt;=8,NOT(OR(LEN(AU345)&lt;2,ISNUMBER(MATCH(AU345,L_Placeholder,0)))),BR345&gt;=3,NOT(OR(LEN(AX345)&lt;2,ISNUMBER(MATCH(AX345,L_Placeholder,0)))),BS345&gt;=3,TRIM(AE345)&lt;&gt;TRIM(T345),AX345&lt;&gt;AU345,CE345=0),"N/A – JUSTIFIED","INVALID – N/A needs a real, settled reason (not 'not applicable' / 'as above' / TBC), a named PIC and a different named verifier"))),IF(OR(TRIM(U345)="Pass",TRIM(U345)="Pass after CA"),IF(NOT(ISNUMBER(AD345)),"INVALID – completion time missing",IF(OR(OR(LEN(AU345)&lt;2,ISNUMBER(MATCH(AU345,L_Placeholder,0))),BR345&lt;3),"INVALID – PIC missing or not a named person (a role such as QA / CSM is not a name)",IF(OR(LEN(AV345)&lt;2,ISNUMBER(MATCH(AV345,L_Placeholder,0))),"INVALID – result / assessment missing",IF(OR(OR(LEN(AW345)&lt;3,ISNUMBER(MATCH(AW345,L_Placeholder,0))),SUMPRODUCT(--ISNUMBER(SEARCH(" "&amp;L_EvidencePhrase&amp;" ",BD345)))&gt;0,BI345=1),"INVALID – evidence missing, placeholder or not yet on file",IF(ISNA(MATCH(TRIM(S345),L_EvidenceType,0)),"INVALID – choose the evidence type from the list (column S)",IF(BL345=0,"INVALID – evidence ID must be the record's own ID only (e.g. SF-2210, IMG_2231, 1045521); a link / file name needs type 'Link / file path'",IF(OR(OR(LEN(AX345)&lt;2,ISNUMBER(MATCH(AX345,L_Placeholder,0))),BS345&lt;3),"INVALID – verifier missing or not a named person (a role such as QA / CSM is not a name)",IF(OR(AX345=AU345,CE345=1,AND(LEN(AU345)&gt;=4,ISNUMBER(SEARCH(AU345,AX345))),AND(LEN(AX345)&gt;=4,ISNUMBER(SEARCH(AX345,AU345)))),"INVALID – verifier must be a different, named person (not the PIC or a role)",IF(BH345=1,"INVALID – result not yet available (awaiting / TBC)",IF(BG345=1,"INVALID – result describes a problem: record Fail, then Pass after CA (or reword if it is not a problem)",IF(BV345=1,"INVALID – wording says not on board: an on-board confirmation needs the item loaded",IF(AND(AQ345=1,OR(OR(LEN(AY345)&lt;3,ISNUMBER(MATCH(AY345,L_Placeholder,0))),BJ345=1,BQ345=0)),"INVALID – batch ID missing, placeholder or not an ID (e.g. PASB-261008-BC-017)",IF(AND(AR345=1,OR(NOT(ISNUMBER(X345)),NOT(ISNUMBER(Y345)))),"INVALID – expected/actual qty missing",IF(AND(AR345=1,OR(X345&lt;=0,Y345&lt;0)),"INVALID – expected qty must be above 0 and actual not negative",IF(BB345&lt;&gt;"",BB345,IF(AND(AS345=1,Documents!$J$14&lt;&gt;"ON FILE"),"INVALID – GLD not on file (Documents sheet)",IF(AND(AS345=2,Documents!$O$14&lt;&gt;"ON FILE"),"INVALID – menu checklist not on file (Documents sheet)",IF(AND(AS345=3,NOT(ISNUMBER(Flights!$AX$14))),"INVALID – enter carrying flight KUL departure (Flights AX)",IF(AND(AS345=3,OR(Flights!$AZ$14&gt;Flights!$AA$14,Flights!$AX$14&lt;Flights!$AA$14-3)),"INVALID – carrying flight (Flights AX) cannot arrive before this leg's STD, or is over 3 days early",IF(AG345&gt;AsOfUTC,"INVALID – completion time is in the future",IF(AND(ISNUMBER(BY345),AG345&lt;BY345),IF(H345="Physical uplift","INVALID – before uplift window (cannot confirm loading)","INVALID – before valid window"),IF(AG345&gt;Flights!$AA$14,"INVALID – completed after departure (cannot establish readiness)",IF(AND(H345="Preparation",AG345&gt;=IF(ISNUMBER(Flights!$BA$14),MIN(Flights!$BA$14,Flights!$AA$14),Flights!$AA$14)),"INVALID – completed after loading / departure (cannot establish readiness)",IF(AND(H345="Physical uplift",AG345&gt;Q345),"INVALID – recorded after the loading flight departed",IF(AG345&gt;Q345,"COMPLETE – LATE","COMPLETE"))))))))))))))))))))))))),IF(TRIM(U345)="Fail","FAIL – DISCREPANCY",IF(AND(TRIM(U345)&lt;&gt;"",TRIM(U345)&lt;&gt;"Not started",TRIM(U345)&lt;&gt;"In progress"),"INVALID – unrecognised status (use the list)",IF(AsOfUTC&gt;Q345,"OVERDUE",IF(N345="Clarification required","OPEN – CLARIFICATION","OPEN"))))))),"INVALID – error value in an input cell")</f>
        <v>OPEN</v>
      </c>
      <c r="AI345" s="61" t="n">
        <f aca="false">IF(OR(AH345="N/A – RULE",AH345="N/A – JUSTIFIED"),0,1)</f>
        <v>1</v>
      </c>
      <c r="AJ345" s="61" t="n">
        <f aca="false">IF(LEFT(AH345,8)="COMPLETE",1,0)</f>
        <v>0</v>
      </c>
      <c r="AK345" s="61" t="n">
        <f aca="false">IF(AND(AI345=1,AJ345=0,AsOfUTC&gt;Q345),1,0)</f>
        <v>0</v>
      </c>
      <c r="AL345" s="61" t="n">
        <f aca="false">IFERROR(IF(AND(AI345=1,OR(TRIM(U345)="Fail",AND(TRIM(AB345)&lt;&gt;"",TRIM(AB345)&lt;&gt;"Closed"),AND(ISNUMBER(AF345),AF345&lt;&gt;0,TRIM(U345)&lt;&gt;"Pass after CA"))),1,0),1)</f>
        <v>0</v>
      </c>
      <c r="AM345" s="61" t="n">
        <f aca="false">IF(LEFT(AH345,7)="INVALID",1,0)</f>
        <v>0</v>
      </c>
      <c r="AN345" s="61" t="n">
        <f aca="false">IF(AND(N345="Clarification required",AI345=1,AJ345=0),1,0)</f>
        <v>0</v>
      </c>
      <c r="AO345" s="61" t="str">
        <f aca="false">IF(AK345=1,SUM(AK$5:AK345),"")</f>
        <v/>
      </c>
      <c r="AP345" s="61" t="str">
        <f aca="false">IF(AL345=1,SUM(AL$5:AL345),"")</f>
        <v/>
      </c>
      <c r="AQ345" s="61" t="n">
        <v>0</v>
      </c>
      <c r="AR345" s="61" t="n">
        <v>0</v>
      </c>
      <c r="AS345" s="61" t="n">
        <v>0</v>
      </c>
      <c r="AT345" s="61" t="n">
        <v>0</v>
      </c>
      <c r="AU345" s="61" t="str">
        <f aca="false">SUBSTITUTE(SUBSTITUTE(SUBSTITUTE(SUBSTITUTE(SUBSTITUTE(SUBSTITUTE(SUBSTITUTE(SUBSTITUTE(SUBSTITUTE(SUBSTITUTE(SUBSTITUTE(SUBSTITUTE(SUBSTITUTE(SUBSTITUTE(SUBSTITUTE(SUBSTITUTE(LOWER(T345&amp;""),CHAR(10),""),CHAR(13),""),CHAR(9),""),CHAR(160),"")," ",""),".",""),"-",""),"/",""),"?",""),"_",""),",",""),"[",""),"]",""),"(",""),")",""),"*","")</f>
        <v/>
      </c>
      <c r="AV345" s="61" t="str">
        <f aca="false">SUBSTITUTE(SUBSTITUTE(SUBSTITUTE(SUBSTITUTE(SUBSTITUTE(SUBSTITUTE(SUBSTITUTE(SUBSTITUTE(SUBSTITUTE(SUBSTITUTE(SUBSTITUTE(SUBSTITUTE(SUBSTITUTE(SUBSTITUTE(SUBSTITUTE(SUBSTITUTE(LOWER(V345&amp;""),CHAR(10),""),CHAR(13),""),CHAR(9),""),CHAR(160),"")," ",""),".",""),"-",""),"/",""),"?",""),"_",""),",",""),"[",""),"]",""),"(",""),")",""),"*","")</f>
        <v/>
      </c>
      <c r="AW345" s="61" t="str">
        <f aca="false">SUBSTITUTE(SUBSTITUTE(SUBSTITUTE(SUBSTITUTE(SUBSTITUTE(SUBSTITUTE(SUBSTITUTE(SUBSTITUTE(SUBSTITUTE(SUBSTITUTE(SUBSTITUTE(SUBSTITUTE(SUBSTITUTE(SUBSTITUTE(SUBSTITUTE(SUBSTITUTE(LOWER(Z345&amp;""),CHAR(10),""),CHAR(13),""),CHAR(9),""),CHAR(160),"")," ",""),".",""),"-",""),"/",""),"?",""),"_",""),",",""),"[",""),"]",""),"(",""),")",""),"*","")</f>
        <v/>
      </c>
      <c r="AX345" s="61" t="str">
        <f aca="false">SUBSTITUTE(SUBSTITUTE(SUBSTITUTE(SUBSTITUTE(SUBSTITUTE(SUBSTITUTE(SUBSTITUTE(SUBSTITUTE(SUBSTITUTE(SUBSTITUTE(SUBSTITUTE(SUBSTITUTE(SUBSTITUTE(SUBSTITUTE(SUBSTITUTE(SUBSTITUTE(LOWER(AE345&amp;""),CHAR(10),""),CHAR(13),""),CHAR(9),""),CHAR(160),"")," ",""),".",""),"-",""),"/",""),"?",""),"_",""),",",""),"[",""),"]",""),"(",""),")",""),"*","")</f>
        <v/>
      </c>
      <c r="AY345" s="61" t="str">
        <f aca="false">SUBSTITUTE(SUBSTITUTE(SUBSTITUTE(SUBSTITUTE(SUBSTITUTE(SUBSTITUTE(SUBSTITUTE(SUBSTITUTE(SUBSTITUTE(SUBSTITUTE(SUBSTITUTE(SUBSTITUTE(SUBSTITUTE(SUBSTITUTE(SUBSTITUTE(SUBSTITUTE(LOWER(W345&amp;""),CHAR(10),""),CHAR(13),""),CHAR(9),""),CHAR(160),"")," ",""),".",""),"-",""),"/",""),"?",""),"_",""),",",""),"[",""),"]",""),"(",""),")",""),"*","")</f>
        <v/>
      </c>
      <c r="AZ345" s="61" t="str">
        <f aca="false">SUBSTITUTE(SUBSTITUTE(SUBSTITUTE(SUBSTITUTE(SUBSTITUTE(SUBSTITUTE(SUBSTITUTE(SUBSTITUTE(SUBSTITUTE(SUBSTITUTE(SUBSTITUTE(SUBSTITUTE(SUBSTITUTE(SUBSTITUTE(SUBSTITUTE(SUBSTITUTE(LOWER(AC345&amp;""),CHAR(10),""),CHAR(13),""),CHAR(9),""),CHAR(160),"")," ",""),".",""),"-",""),"/",""),"?",""),"_",""),",",""),"[",""),"]",""),"(",""),")",""),"*","")</f>
        <v/>
      </c>
      <c r="BA345" s="61" t="str">
        <f aca="false">SUBSTITUTE(SUBSTITUTE(SUBSTITUTE(SUBSTITUTE(SUBSTITUTE(SUBSTITUTE(SUBSTITUTE(SUBSTITUTE(SUBSTITUTE(SUBSTITUTE(SUBSTITUTE(SUBSTITUTE(SUBSTITUTE(SUBSTITUTE(SUBSTITUTE(SUBSTITUTE(LOWER(AA345&amp;""),CHAR(10),""),CHAR(13),""),CHAR(9),""),CHAR(160),"")," ",""),".",""),"-",""),"/",""),"?",""),"_",""),",",""),"[",""),"]",""),"(",""),")",""),"*","")</f>
        <v/>
      </c>
      <c r="BB345" s="61" t="str">
        <f aca="false">IF(AND(TRIM(U345)="Pass",ISNUMBER(AF345)),IF(AF345&lt;&gt;0,"INVALID – qty variance: use Fail or Pass after CA",""),"")&amp;IF(AND(TRIM(U345)="Pass after CA",ISNUMBER(AF345)),IF(AF345&lt;&gt;0,"INVALID – after the corrective action the actual qty must equal expected (update Actual)",""),"")&amp;IF(AND(TRIM(U345)="Pass",TRIM(AB345)&lt;&gt;"",TRIM(AB345)&lt;&gt;"Closed"),"INVALID – corrective action not closed: use Fail, then Pass after CA","")&amp;IF(AND(LEN(BA345)&gt;=2,ISNA(MATCH(LEFT(BA345,255),L_Placeholder,0)),TRIM(AB345)=""),"INVALID – CA status missing for the recorded corrective action","")&amp;IF(AND(TRIM(U345)="Pass after CA",OR(OR(LEN(BA345)&lt;5,ISNUMBER(MATCH(BA345,L_Placeholder,0))),TRIM(AB345)&lt;&gt;"Closed")),"INVALID – corrective action not recorded/closed","")</f>
        <v/>
      </c>
      <c r="BC345" s="61" t="str">
        <f aca="false">" "&amp;TRIM(SUBSTITUTE(SUBSTITUTE(SUBSTITUTE(SUBSTITUTE(SUBSTITUTE(SUBSTITUTE(SUBSTITUTE(SUBSTITUTE(SUBSTITUTE(SUBSTITUTE(SUBSTITUTE(SUBSTITUTE(SUBSTITUTE(SUBSTITUTE(SUBSTITUTE(SUBSTITUTE(SUBSTITUTE(SUBSTITUTE(SUBSTITUTE(SUBSTITUTE(SUBSTITUTE(SUBSTITUTE(SUBSTITUTE(SUBSTITUTE(LOWER(V345&amp;""),CHAR(10)," "),CHAR(13)," "),CHAR(9)," "),CHAR(160)," "),"."," "),","," "),"-"," "),"/"," "),"("," "),")"," "),":"," "),";"," "),"_"," "),"–"," "),"?"," "),"!"," "),"*"," "),"["," "),"]"," "),"'"," "),"#"," "),"+"," "),"&amp;"," "),"\"," "))&amp;" "</f>
        <v>  </v>
      </c>
      <c r="BD345" s="61" t="str">
        <f aca="false">" "&amp;TRIM(SUBSTITUTE(SUBSTITUTE(SUBSTITUTE(SUBSTITUTE(SUBSTITUTE(SUBSTITUTE(SUBSTITUTE(SUBSTITUTE(SUBSTITUTE(SUBSTITUTE(SUBSTITUTE(SUBSTITUTE(SUBSTITUTE(SUBSTITUTE(SUBSTITUTE(SUBSTITUTE(SUBSTITUTE(SUBSTITUTE(SUBSTITUTE(SUBSTITUTE(SUBSTITUTE(SUBSTITUTE(SUBSTITUTE(SUBSTITUTE(LOWER(Z345&amp;""),CHAR(10)," "),CHAR(13)," "),CHAR(9)," "),CHAR(160)," "),"."," "),","," "),"-"," "),"/"," "),"("," "),")"," "),":"," "),";"," "),"_"," "),"–"," "),"?"," "),"!"," "),"*"," "),"["," "),"]"," "),"'"," "),"#"," "),"+"," "),"&amp;"," "),"\"," "))&amp;" "</f>
        <v>  </v>
      </c>
      <c r="BE345" s="61" t="str">
        <f aca="false">" "&amp;TRIM(SUBSTITUTE(SUBSTITUTE(SUBSTITUTE(SUBSTITUTE(SUBSTITUTE(SUBSTITUTE(SUBSTITUTE(SUBSTITUTE(SUBSTITUTE(SUBSTITUTE(SUBSTITUTE(SUBSTITUTE(SUBSTITUTE(SUBSTITUTE(SUBSTITUTE(SUBSTITUTE(SUBSTITUTE(SUBSTITUTE(SUBSTITUTE(SUBSTITUTE(SUBSTITUTE(SUBSTITUTE(SUBSTITUTE(SUBSTITUTE(LOWER(W345&amp;""),CHAR(10)," "),CHAR(13)," "),CHAR(9)," "),CHAR(160)," "),"."," "),","," "),"-"," "),"/"," "),"("," "),")"," "),":"," "),";"," "),"_"," "),"–"," "),"?"," "),"!"," "),"*"," "),"["," "),"]"," "),"'"," "),"#"," "),"+"," "),"&amp;"," "),"\"," "))&amp;" "</f>
        <v>  </v>
      </c>
      <c r="BF345" s="61" t="str">
        <f aca="false">" "&amp;TRIM(SUBSTITUTE(SUBSTITUTE(SUBSTITUTE(SUBSTITUTE(SUBSTITUTE(SUBSTITUTE(SUBSTITUTE(SUBSTITUTE(SUBSTITUTE(SUBSTITUTE(SUBSTITUTE(SUBSTITUTE(SUBSTITUTE(SUBSTITUTE(SUBSTITUTE(SUBSTITUTE(SUBSTITUTE(SUBSTITUTE(SUBSTITUTE(SUBSTITUTE(SUBSTITUTE(SUBSTITUTE(SUBSTITUTE(SUBSTITUTE(LOWER(AC345&amp;""),CHAR(10)," "),CHAR(13)," "),CHAR(9)," "),CHAR(160)," "),"."," "),","," "),"-"," "),"/"," "),"("," "),")"," "),":"," "),";"," "),"_"," "),"–"," "),"?"," "),"!"," "),"*"," "),"["," "),"]"," "),"'"," "),"#"," "),"+"," "),"&amp;"," "),"\"," "))&amp;" "</f>
        <v>  </v>
      </c>
      <c r="BG345" s="61" t="n">
        <f aca="false">IFERROR(IF(AND(TRIM(U345)="Pass",SUMPRODUCT((LEN(BC345)-LEN(SUBSTITUTE(BC345," "&amp;L_ResultBad&amp;" "," ")))/(LEN(L_ResultBad)+1))&gt;SUMPRODUCT((LEN(BC345)-LEN(SUBSTITUTE(BC345," "&amp;L_NegPhrase&amp;" "," ")))/(LEN(L_NegPhrase)+1))),1,0),0)</f>
        <v>0</v>
      </c>
      <c r="BH345" s="61" t="n">
        <f aca="false">IFERROR(IF(SUMPRODUCT((LEN(BC345)-LEN(SUBSTITUTE(BC345," "&amp;L_Pending&amp;" "," ")))/(LEN(L_Pending)+1))&gt;SUMPRODUCT((LEN(BC345)-LEN(SUBSTITUTE(BC345," "&amp;L_PendNeg&amp;" "," ")))/(LEN(L_PendNeg)+1))+SUMPRODUCT((LEN(BC345)-LEN(SUBSTITUTE(BC345," "&amp;L_PendPrep&amp;" "," ")))/(LEN(L_PendPrep)+1)),1,0),1)</f>
        <v>0</v>
      </c>
      <c r="BI345" s="61" t="n">
        <f aca="false">IFERROR(IF(SUMPRODUCT((LEN(BD345)-LEN(SUBSTITUTE(BD345," "&amp;L_PendStrict&amp;" "," ")))/(LEN(L_PendStrict)+1))&gt;SUMPRODUCT((LEN(BD345)-LEN(SUBSTITUTE(BD345," "&amp;L_PendNeg&amp;" "," ")))/(LEN(L_PendNeg)+1)),1,0),1)</f>
        <v>0</v>
      </c>
      <c r="BJ345" s="61" t="n">
        <f aca="false">IFERROR(IF(SUMPRODUCT((LEN(BE345)-LEN(SUBSTITUTE(BE345," "&amp;L_Pending&amp;" "," ")))/(LEN(L_Pending)+1))&gt;SUMPRODUCT((LEN(BE345)-LEN(SUBSTITUTE(BE345," "&amp;L_PendNeg&amp;" "," ")))/(LEN(L_PendNeg)+1))+SUMPRODUCT((LEN(BE345)-LEN(SUBSTITUTE(BE345," "&amp;L_PendPrep&amp;" "," ")))/(LEN(L_PendPrep)+1)),1,0),1)</f>
        <v>0</v>
      </c>
      <c r="BK345" s="61" t="n">
        <f aca="false">IFERROR(IF(SUMPRODUCT((LEN(BF345)-LEN(SUBSTITUTE(BF345," "&amp;L_PendStrict&amp;" "," ")))/(LEN(L_PendStrict)+1))&gt;SUMPRODUCT((LEN(BF345)-LEN(SUBSTITUTE(BF345," "&amp;L_PendNeg&amp;" "," ")))/(LEN(L_PendNeg)+1)),1,0),1)</f>
        <v>0</v>
      </c>
      <c r="BL345" s="61" t="n">
        <f aca="false">IF(ISNA(MATCH(TRIM(S345),L_EvidenceType,0)),0,BZ345)</f>
        <v>0</v>
      </c>
      <c r="BM345" s="61" t="str">
        <f aca="false">SUBSTITUTE(SUBSTITUTE(SUBSTITUTE(SUBSTITUTE(SUBSTITUTE(SUBSTITUTE(SUBSTITUTE(SUBSTITUTE(SUBSTITUTE(LOWER(Z345&amp;""),"1","0"),"2","0"),"3","0"),"4","0"),"5","0"),"6","0"),"7","0"),"8","0"),"9","0")</f>
        <v/>
      </c>
      <c r="BN345" s="61" t="str">
        <f aca="false">SUBSTITUTE(SUBSTITUTE(SUBSTITUTE(SUBSTITUTE(SUBSTITUTE(SUBSTITUTE(SUBSTITUTE(SUBSTITUTE(SUBSTITUTE(SUBSTITUTE(SUBSTITUTE(SUBSTITUTE(SUBSTITUTE(SUBSTITUTE(SUBSTITUTE(SUBSTITUTE(SUBSTITUTE(SUBSTITUTE(SUBSTITUTE(SUBSTITUTE(SUBSTITUTE(SUBSTITUTE(SUBSTITUTE(SUBSTITUTE(SUBSTITUTE(BM345,"b","a"),"c","a"),"d","a"),"e","a"),"f","a"),"g","a"),"h","a"),"i","a"),"j","a"),"k","a"),"l","a"),"m","a"),"n","a"),"o","a"),"p","a"),"q","a"),"r","a"),"s","a"),"t","a"),"u","a"),"v","a"),"w","a"),"x","a"),"y","a"),"z","a")</f>
        <v/>
      </c>
      <c r="BO345" s="61" t="str">
        <f aca="false">SUBSTITUTE(SUBSTITUTE(SUBSTITUTE(SUBSTITUTE(SUBSTITUTE(SUBSTITUTE(SUBSTITUTE(SUBSTITUTE(SUBSTITUTE(LOWER(W345&amp;""),"1","0"),"2","0"),"3","0"),"4","0"),"5","0"),"6","0"),"7","0"),"8","0"),"9","0")</f>
        <v/>
      </c>
      <c r="BP345" s="61" t="str">
        <f aca="false">SUBSTITUTE(SUBSTITUTE(SUBSTITUTE(SUBSTITUTE(SUBSTITUTE(SUBSTITUTE(SUBSTITUTE(SUBSTITUTE(SUBSTITUTE(SUBSTITUTE(SUBSTITUTE(SUBSTITUTE(SUBSTITUTE(SUBSTITUTE(SUBSTITUTE(SUBSTITUTE(SUBSTITUTE(SUBSTITUTE(SUBSTITUTE(SUBSTITUTE(SUBSTITUTE(SUBSTITUTE(SUBSTITUTE(SUBSTITUTE(SUBSTITUTE(BO345,"b","a"),"c","a"),"d","a"),"e","a"),"f","a"),"g","a"),"h","a"),"i","a"),"j","a"),"k","a"),"l","a"),"m","a"),"n","a"),"o","a"),"p","a"),"q","a"),"r","a"),"s","a"),"t","a"),"u","a"),"v","a"),"w","a"),"x","a"),"y","a"),"z","a")</f>
        <v/>
      </c>
      <c r="BQ345" s="61" t="n">
        <f aca="false">IFERROR(IF(AND(ISERROR(SEARCH(" mh"," "&amp;LOWER(W345))),ISNA(MATCH(LEFT(TRIM(BP345),255),{"0000a","000a","00a","0000aa","000aa","00aa","0aa","0000aaa","000aaa","00a00","0a00","0000-0000","00:00","a00","a0","00.00.0000","00/00/0000","00-00-0000","0000-00-00","0000/00/00","0000.00.00","00.00.00","00/00/00","00-00-00","0.00.0000","0/00/0000","0-00-0000"},0)),ISNA(MATCH(LEFT(TRIM(CA345),255),{"0000a","000a","00a","0000aa","000aa","00aa","0aa","0000aaa","000aaa","00a00","0a00","0000-0000","00:00","a00","a0","00.00.0000","00/00/0000","00-00-0000","0000-00-00","0000/00/00","0000.00.00","00.00.00","00/00/00","00-00-00","0.00.0000","0/00/0000","0-00-0000"},0)),LEN(CB345)&gt;=3,NOT(OR(SUBSTITUTE(CB345,"0","")="",AND(LEN(CB345)&gt;=4,CB345=REPT(LEFT(CB345),LEN(CB345))),ISNUMBER(MATCH(CB345,{"123","1234","12345","123456","1234567","12345678","0123","01234","012345","98765","987654","54321"},0)),AND(LEN(CB345)=8,LEFT(CB345,3)="202"))),OR(AND((LEN(CA345)-LEN(SUBSTITUTE(CA345,"a","")))&gt;=1,SUMPRODUCT(--ISNUMBER(SEARCH({"a0","a-0","a_0","a/0","a.0","a#0","0a","0-a","0_a","0/a"},BP345)))&gt;0),ISNUMBER(SEARCH("000000",BP345)))),1,0),0)</f>
        <v>0</v>
      </c>
      <c r="BR345" s="61" t="n">
        <f aca="false">IFERROR(LEN(SUBSTITUTE(CC345," ",""))-SUMPRODUCT((LEN(CC345)-LEN(SUBSTITUTE(CC345," "&amp;L_Role&amp;" "," ")))/(LEN(L_Role)+1)*LEN(L_Role)),0)</f>
        <v>0</v>
      </c>
      <c r="BS345" s="61" t="n">
        <f aca="false">IFERROR(LEN(SUBSTITUTE(CD345," ",""))-SUMPRODUCT((LEN(CD345)-LEN(SUBSTITUTE(CD345," "&amp;L_Role&amp;" "," ")))/(LEN(L_Role)+1)*LEN(L_Role)),0)</f>
        <v>0</v>
      </c>
      <c r="BT3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345,"revision",""),"version",""),"jan",""),"feb",""),"mar",""),"apr",""),"may",""),"jun",""),"jul",""),"aug",""),"sep",""),"oct",""),"nov",""),"dec",""),"utc",""),"gmt",""),"myt",""),"bst",""),"rev",""),"ver",""),"b","a"),"c","a"),"d","a"),"e","a"),"f","a"),"g","a"),"h","a"),"i","a"),"j","a"),"k","a"),"l","a"),"m","a"),"n","a"),"o","a"),"p","a"),"q","a"),"r","a"),"s","a"),"t","a"),"u","a"),"v","a"),"w","a"),"x","a"),"y","a"),"z","a")</f>
        <v/>
      </c>
      <c r="BU345" s="61" t="str">
        <f aca="false">SUBSTITUTE(SUBSTITUTE(SUBSTITUTE(SUBSTITUTE(SUBSTITUTE(SUBSTITUTE(SUBSTITUTE(SUBSTITUTE(SUBSTITUTE(SUBSTITUTE(LEFT(BM345,FIND("0",BM345&amp;"0")-1),"-",""),"_",""),"/",""),".",""),"#",""),"\\",""),":","")," ",""),"(",""),")","")</f>
        <v/>
      </c>
      <c r="BV345" s="61" t="n">
        <f aca="false">0</f>
        <v>0</v>
      </c>
      <c r="BW3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345&amp;""),"a",""),"b",""),"c",""),"d",""),"e",""),"f",""),"g",""),"h",""),"i",""),"j",""),"k",""),"l",""),"m",""),"n",""),"o",""),"p",""),"q",""),"r",""),"s",""),"t",""),"u",""),"v",""),"w",""),"x",""),"y",""),"z",""),"-",""),"_",""),"/",""),".",""),"#",""),"\\",""),":","")," ",""),"(",""),")","")</f>
        <v/>
      </c>
      <c r="BX345" s="61" t="str">
        <f aca="false">SUBSTITUTE(SUBSTITUTE(SUBSTITUTE(SUBSTITUTE(SUBSTITUTE(SUBSTITUTE(SUBSTITUTE(SUBSTITUTE(SUBSTITUTE(SUBSTITUTE(SUBSTITUTE(BM345,"0",""),"-",""),"_",""),"/",""),".",""),"#",""),"\\",""),":","")," ",""),"(",""),")","")</f>
        <v/>
      </c>
      <c r="BY345" s="62" t="n">
        <f aca="false">Q345-T12EarlyH/24</f>
        <v>46306.15625</v>
      </c>
      <c r="BZ345" s="61" t="n">
        <f aca="false">IFERROR(IF(IF(TRIM(S345)="Link / file path",AND(LEN(TRIM(Z345))&gt;=5,SUMPRODUCT(--ISNUMBER(SEARCH({"http","www.","\\",":\",".pdf",".jpg",".jpeg",".png",".heic",".xls",".doc",".msg",".eml",".ppt",".txt",".zip"},Z345)))&gt;0),AND(ISERROR(FIND(" ",TRIM(Z345))),NOT(OR(SUMPRODUCT(--ISNUMBER(FIND({",",";","&amp;","+"},Z345)))&gt;0,SUMPRODUCT(--ISNUMBER(SEARCH({"0/aa","0\\aa"},BN345)))&gt;0)),NOT(SUMPRODUCT(--ISNUMBER(SEARCH({"http","www.","\\",":\",".pdf",".jpg",".jpeg",".png",".heic",".xls",".doc",".msg",".eml",".ppt",".txt",".zip"},Z345)))&gt;0),NOT(LOWER(TRIM(Z345))=LOWER(Flights!$F$14)),ISNA(MATCH(BU345,{"mh","rev","revision","ver","version","v","r","a","b","seat","tray","row","gate","bay","stand","page","pg","item","line","no","cart","galley","flight","flt","table","box","bag","oven","etd","eta","std","sta","atd","ata","qty","pax","x","time","tel","ph","mob","day","wk","week","utc","gmt","myt","lt"},0)),NOT(OR(ISNUMBER(MATCH(LEFT(BN345,255),{"0000a","000a","00a","0000aa","000aa","00aa","0aa","0000aaa","000aaa","00a00","0a00","0000-0000","00:00","a00","a0","00.00.0000","00/00/0000","00-00-0000","0000-00-00","0000/00/00","0000.00.00","00.00.00","00/00/00","00-00-00","0.00.0000","0/00/0000","0-00-0000"},0)),ISNUMBER(MATCH(LEFT(BT345,255),{"0000a","000a","00a","0000aa","000aa","00aa","0aa","0000aaa","000aaa","00a00","0a00","0000-0000","00:00","a00","a0","00.00.0000","00/00/0000","00-00-0000","0000-00-00","0000/00/00","0000.00.00","00.00.00","00/00/00","00-00-00","0.00.0000","0/00/0000","0-00-0000"},0)))),NOT(OR(AND(BW345&lt;&gt;"",SUBSTITUTE(BW345,"0","")=""),AND(LEN(BW345)&gt;=4,BW345=REPT(LEFT(BW345),LEN(BW345))),ISNUMBER(MATCH(BW345,{"123","1234","12345","123456","1234567","12345678","0123","01234","012345","98765","987654","54321"},0)),ISNUMBER(MATCH(BX345,{"x","xx","xxx","xxxx","xxxxx","abc","abcd","nil","na","nan","test","tbc","tba","tbd","dummy","sample","example","eg","zz","zzz","none","null","xyz","qwe","asd","id","ref"},0)),AND(LEN(BW345)=8,BX345="",OR(LEFT(BW345,3)="202",ISNUMBER(MATCH(RIGHT(BW345,4),{"2025","2026","2027"},0)))))),OR(AND((LEN(BT345)-LEN(SUBSTITUTE(BT345,"a","")))&gt;=1,(LEN(BN345)-LEN(SUBSTITUTE(BN345,"0","")))&gt;=2,SUMPRODUCT(--ISNUMBER(SEARCH({"a0","a-0","a_0","a/0","a.0","a#0","0a","0-a","0_a","0/a"},BN345)))&gt;0),AND((LEN(BN345)-LEN(SUBSTITUTE(BN345,"a","")))=0,(LEN(BN345)-LEN(SUBSTITUTE(BN345,"0","")))&gt;=5)))),1,0),0)</f>
        <v>0</v>
      </c>
      <c r="CA3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345,"revision",""),"version",""),"jan",""),"feb",""),"mar",""),"apr",""),"may",""),"jun",""),"jul",""),"aug",""),"sep",""),"oct",""),"nov",""),"dec",""),"utc",""),"gmt",""),"myt",""),"bst",""),"rev",""),"ver",""),"b","a"),"c","a"),"d","a"),"e","a"),"f","a"),"g","a"),"h","a"),"i","a"),"j","a"),"k","a"),"l","a"),"m","a"),"n","a"),"o","a"),"p","a"),"q","a"),"r","a"),"s","a"),"t","a"),"u","a"),"v","a"),"w","a"),"x","a"),"y","a"),"z","a")</f>
        <v/>
      </c>
      <c r="CB3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345&amp;""),"a",""),"b",""),"c",""),"d",""),"e",""),"f",""),"g",""),"h",""),"i",""),"j",""),"k",""),"l",""),"m",""),"n",""),"o",""),"p",""),"q",""),"r",""),"s",""),"t",""),"u",""),"v",""),"w",""),"x",""),"y",""),"z",""),"-",""),"_",""),"/",""),".",""),"#",""),"\\",""),":","")," ",""),"(",""),")","")</f>
        <v/>
      </c>
      <c r="CC345" s="0" t="str">
        <f aca="false">" "&amp;TRIM(SUBSTITUTE(SUBSTITUTE(SUBSTITUTE(SUBSTITUTE(SUBSTITUTE(SUBSTITUTE(SUBSTITUTE(SUBSTITUTE(SUBSTITUTE(SUBSTITUTE(SUBSTITUTE(SUBSTITUTE(SUBSTITUTE(SUBSTITUTE(SUBSTITUTE(SUBSTITUTE(SUBSTITUTE(SUBSTITUTE(SUBSTITUTE(SUBSTITUTE(SUBSTITUTE(SUBSTITUTE(SUBSTITUTE(SUBSTITUTE(LOWER(T345&amp;""),CHAR(10)," "),CHAR(13)," "),CHAR(9)," "),CHAR(160)," "),"."," "),","," "),"-"," "),"/"," "),"("," "),")"," "),":"," "),";"," "),"_"," "),"–"," "),"?"," "),"!"," "),"*"," "),"["," "),"]"," "),"'"," "),"#"," "),"+"," "),"&amp;"," "),"\"," "))&amp;" "</f>
        <v>  </v>
      </c>
      <c r="CD345" s="0" t="str">
        <f aca="false">" "&amp;TRIM(SUBSTITUTE(SUBSTITUTE(SUBSTITUTE(SUBSTITUTE(SUBSTITUTE(SUBSTITUTE(SUBSTITUTE(SUBSTITUTE(SUBSTITUTE(SUBSTITUTE(SUBSTITUTE(SUBSTITUTE(SUBSTITUTE(SUBSTITUTE(SUBSTITUTE(SUBSTITUTE(SUBSTITUTE(SUBSTITUTE(SUBSTITUTE(SUBSTITUTE(SUBSTITUTE(SUBSTITUTE(SUBSTITUTE(SUBSTITUTE(LOWER(AE345&amp;""),CHAR(10)," "),CHAR(13)," "),CHAR(9)," "),CHAR(160)," "),"."," "),","," "),"-"," "),"/"," "),"("," "),")"," "),":"," "),";"," "),"_"," "),"–"," "),"?"," "),"!"," "),"*"," "),"["," "),"]"," "),"'"," "),"#"," "),"+"," "),"&amp;"," "),"\"," "))&amp;" "</f>
        <v>  </v>
      </c>
      <c r="CE345" s="68" t="n">
        <f aca="false">IFERROR(IF(AND(LEN(AU345)&gt;0,LEN(AU345)=LEN(AX345),OR(TRIM(MID(SUBSTITUTE(TRIM(CC345)," ",REPT(" ",60)),1,60))="",ISNUMBER(SEARCH(" "&amp;TRIM(MID(SUBSTITUTE(TRIM(CC345)," ",REPT(" ",60)),1,60))&amp;" ",CD345))),OR(TRIM(MID(SUBSTITUTE(TRIM(CC345)," ",REPT(" ",60)),61,60))="",ISNUMBER(SEARCH(" "&amp;TRIM(MID(SUBSTITUTE(TRIM(CC345)," ",REPT(" ",60)),61,60))&amp;" ",CD345))),OR(TRIM(MID(SUBSTITUTE(TRIM(CC345)," ",REPT(" ",60)),121,60))="",ISNUMBER(SEARCH(" "&amp;TRIM(MID(SUBSTITUTE(TRIM(CC345)," ",REPT(" ",60)),121,60))&amp;" ",CD345)))),1,0),0)</f>
        <v>0</v>
      </c>
      <c r="CG345" s="68" t="n">
        <f aca="false">IFERROR(LEN(SUBSTITUTE(BF345," ",""))-SUMPRODUCT((LEN(BF345)-LEN(SUBSTITUTE(BF345," "&amp;L_NAFiller&amp;" "," ")))/(LEN(L_NAFiller)+1)*LEN(L_NAFiller)),0)</f>
        <v>0</v>
      </c>
    </row>
    <row r="346" customFormat="false" ht="41.25" hidden="false" customHeight="true" outlineLevel="0" collapsed="false">
      <c r="A346" s="57" t="s">
        <v>946</v>
      </c>
      <c r="B346" s="57" t="s">
        <v>251</v>
      </c>
      <c r="C346" s="57" t="str">
        <f aca="false">Flights!$F$14</f>
        <v>MH1140</v>
      </c>
      <c r="D346" s="58" t="n">
        <f aca="false">Flights!$D$14</f>
        <v>46307</v>
      </c>
      <c r="E346" s="57" t="str">
        <f aca="false">Flights!$G$14&amp;"-"&amp;Flights!$H$14</f>
        <v>KUL-PEN</v>
      </c>
      <c r="F346" s="57" t="str">
        <f aca="false">Flights!$K$14</f>
        <v>BC</v>
      </c>
      <c r="G346" s="57" t="s">
        <v>420</v>
      </c>
      <c r="H346" s="57" t="s">
        <v>378</v>
      </c>
      <c r="I346" s="57" t="s">
        <v>447</v>
      </c>
      <c r="J346" s="57" t="s">
        <v>529</v>
      </c>
      <c r="K346" s="67" t="s">
        <v>449</v>
      </c>
      <c r="L346" s="67" t="s">
        <v>947</v>
      </c>
      <c r="M346" s="67" t="s">
        <v>451</v>
      </c>
      <c r="N346" s="67" t="s">
        <v>383</v>
      </c>
      <c r="O346" s="67" t="s">
        <v>503</v>
      </c>
      <c r="P346" s="57" t="s">
        <v>187</v>
      </c>
      <c r="Q346" s="59" t="n">
        <f aca="false">ROUND((Flights!$AE$14)*1440,0)/1440</f>
        <v>46306.65625</v>
      </c>
      <c r="R346" s="59" t="n">
        <f aca="false">Q346+(IF(AND(INDEX(TZ_DSTS,MATCH(P346,TZ_STN,0))&lt;&gt;"",Q346&gt;=INDEX(TZ_DSTS,MATCH(P346,TZ_STN,0)),Q346&lt;INDEX(TZ_DSTE,MATCH(P346,TZ_STN,0))),INDEX(TZ_DST,MATCH(P346,TZ_STN,0)),INDEX(TZ_STD,MATCH(P346,TZ_STN,0))))/24</f>
        <v>46306.9895833333</v>
      </c>
      <c r="S346" s="60"/>
      <c r="T346" s="60"/>
      <c r="U346" s="60"/>
      <c r="V346" s="60"/>
      <c r="W346" s="61"/>
      <c r="X346" s="60"/>
      <c r="Y346" s="60"/>
      <c r="Z346" s="60"/>
      <c r="AA346" s="60"/>
      <c r="AB346" s="60"/>
      <c r="AC346" s="60"/>
      <c r="AD346" s="66"/>
      <c r="AE346" s="60"/>
      <c r="AF346" s="61" t="str">
        <f aca="false">IF(AND(ISNUMBER(X346),ISNUMBER(Y346)),Y346-X346,"")</f>
        <v/>
      </c>
      <c r="AG346" s="62" t="str">
        <f aca="false">IF(ISNUMBER(AD346),AD346-(IF(AND(INDEX(TZ_DSTS,MATCH(P346,TZ_STN,0))&lt;&gt;"",(AD346-INDEX(TZ_STD,MATCH(P346,TZ_STN,0))/24)&gt;=INDEX(TZ_DSTS,MATCH(P346,TZ_STN,0)),(AD346-INDEX(TZ_STD,MATCH(P346,TZ_STN,0))/24)&lt;INDEX(TZ_DSTE,MATCH(P346,TZ_STN,0))),INDEX(TZ_DST,MATCH(P346,TZ_STN,0)),INDEX(TZ_STD,MATCH(P346,TZ_STN,0))))/24,"")</f>
        <v/>
      </c>
      <c r="AH346" s="65" t="str">
        <f aca="false">IFERROR(IF(N346="N/A – rule",IF(OR(TRIM(U346)="",TRIM(U346)="N/A",TRIM(U346)="Not started"),"N/A – RULE","INVALID – this check does not apply to this aircraft: clear the status (or correct the fleet on Flights)"),IF(TRIM(U346)="N/A",IF(AT346=0,"INVALID – N/A not permitted for this check",IF(AND(TRIM(AB346)&lt;&gt;"",TRIM(AB346)&lt;&gt;"Closed"),"INVALID – corrective action still open",IF(AND(NOT(OR(LEN(AZ346)&lt;15,ISNUMBER(MATCH(AZ346,L_Placeholder,0)))),BK346=0,CG346&gt;=8,NOT(OR(LEN(AU346)&lt;2,ISNUMBER(MATCH(AU346,L_Placeholder,0)))),BR346&gt;=3,NOT(OR(LEN(AX346)&lt;2,ISNUMBER(MATCH(AX346,L_Placeholder,0)))),BS346&gt;=3,TRIM(AE346)&lt;&gt;TRIM(T346),AX346&lt;&gt;AU346,CE346=0),"N/A – JUSTIFIED","INVALID – N/A needs a real, settled reason (not 'not applicable' / 'as above' / TBC), a named PIC and a different named verifier"))),IF(OR(TRIM(U346)="Pass",TRIM(U346)="Pass after CA"),IF(NOT(ISNUMBER(AD346)),"INVALID – completion time missing",IF(OR(OR(LEN(AU346)&lt;2,ISNUMBER(MATCH(AU346,L_Placeholder,0))),BR346&lt;3),"INVALID – PIC missing or not a named person (a role such as QA / CSM is not a name)",IF(OR(LEN(AV346)&lt;2,ISNUMBER(MATCH(AV346,L_Placeholder,0))),"INVALID – result / assessment missing",IF(OR(OR(LEN(AW346)&lt;3,ISNUMBER(MATCH(AW346,L_Placeholder,0))),SUMPRODUCT(--ISNUMBER(SEARCH(" "&amp;L_EvidencePhrase&amp;" ",BD346)))&gt;0,BI346=1),"INVALID – evidence missing, placeholder or not yet on file",IF(ISNA(MATCH(TRIM(S346),L_EvidenceType,0)),"INVALID – choose the evidence type from the list (column S)",IF(BL346=0,"INVALID – evidence ID must be the record's own ID only (e.g. SF-2210, IMG_2231, 1045521); a link / file name needs type 'Link / file path'",IF(OR(OR(LEN(AX346)&lt;2,ISNUMBER(MATCH(AX346,L_Placeholder,0))),BS346&lt;3),"INVALID – verifier missing or not a named person (a role such as QA / CSM is not a name)",IF(OR(AX346=AU346,CE346=1,AND(LEN(AU346)&gt;=4,ISNUMBER(SEARCH(AU346,AX346))),AND(LEN(AX346)&gt;=4,ISNUMBER(SEARCH(AX346,AU346)))),"INVALID – verifier must be a different, named person (not the PIC or a role)",IF(BH346=1,"INVALID – result not yet available (awaiting / TBC)",IF(BG346=1,"INVALID – result describes a problem: record Fail, then Pass after CA (or reword if it is not a problem)",IF(BV346=1,"INVALID – wording says not on board: an on-board confirmation needs the item loaded",IF(AND(AQ346=1,OR(OR(LEN(AY346)&lt;3,ISNUMBER(MATCH(AY346,L_Placeholder,0))),BJ346=1,BQ346=0)),"INVALID – batch ID missing, placeholder or not an ID (e.g. PASB-261008-BC-017)",IF(AND(AR346=1,OR(NOT(ISNUMBER(X346)),NOT(ISNUMBER(Y346)))),"INVALID – expected/actual qty missing",IF(AND(AR346=1,OR(X346&lt;=0,Y346&lt;0)),"INVALID – expected qty must be above 0 and actual not negative",IF(BB346&lt;&gt;"",BB346,IF(AND(AS346=1,Documents!$J$14&lt;&gt;"ON FILE"),"INVALID – GLD not on file (Documents sheet)",IF(AND(AS346=2,Documents!$O$14&lt;&gt;"ON FILE"),"INVALID – menu checklist not on file (Documents sheet)",IF(AND(AS346=3,NOT(ISNUMBER(Flights!$AX$14))),"INVALID – enter carrying flight KUL departure (Flights AX)",IF(AND(AS346=3,OR(Flights!$AZ$14&gt;Flights!$AA$14,Flights!$AX$14&lt;Flights!$AA$14-3)),"INVALID – carrying flight (Flights AX) cannot arrive before this leg's STD, or is over 3 days early",IF(AG346&gt;AsOfUTC,"INVALID – completion time is in the future",IF(AND(ISNUMBER(BY346),AG346&lt;BY346),IF(H346="Physical uplift","INVALID – before uplift window (cannot confirm loading)","INVALID – before valid window"),IF(AG346&gt;Flights!$AA$14,"INVALID – completed after departure (cannot establish readiness)",IF(AND(H346="Preparation",AG346&gt;=IF(ISNUMBER(Flights!$BA$14),MIN(Flights!$BA$14,Flights!$AA$14),Flights!$AA$14)),"INVALID – completed after loading / departure (cannot establish readiness)",IF(AND(H346="Physical uplift",AG346&gt;Q346),"INVALID – recorded after the loading flight departed",IF(AG346&gt;Q346,"COMPLETE – LATE","COMPLETE"))))))))))))))))))))))))),IF(TRIM(U346)="Fail","FAIL – DISCREPANCY",IF(AND(TRIM(U346)&lt;&gt;"",TRIM(U346)&lt;&gt;"Not started",TRIM(U346)&lt;&gt;"In progress"),"INVALID – unrecognised status (use the list)",IF(AsOfUTC&gt;Q346,"OVERDUE",IF(N346="Clarification required","OPEN – CLARIFICATION","OPEN"))))))),"INVALID – error value in an input cell")</f>
        <v>OPEN</v>
      </c>
      <c r="AI346" s="61" t="n">
        <f aca="false">IF(OR(AH346="N/A – RULE",AH346="N/A – JUSTIFIED"),0,1)</f>
        <v>1</v>
      </c>
      <c r="AJ346" s="61" t="n">
        <f aca="false">IF(LEFT(AH346,8)="COMPLETE",1,0)</f>
        <v>0</v>
      </c>
      <c r="AK346" s="61" t="n">
        <f aca="false">IF(AND(AI346=1,AJ346=0,AsOfUTC&gt;Q346),1,0)</f>
        <v>0</v>
      </c>
      <c r="AL346" s="61" t="n">
        <f aca="false">IFERROR(IF(AND(AI346=1,OR(TRIM(U346)="Fail",AND(TRIM(AB346)&lt;&gt;"",TRIM(AB346)&lt;&gt;"Closed"),AND(ISNUMBER(AF346),AF346&lt;&gt;0,TRIM(U346)&lt;&gt;"Pass after CA"))),1,0),1)</f>
        <v>0</v>
      </c>
      <c r="AM346" s="61" t="n">
        <f aca="false">IF(LEFT(AH346,7)="INVALID",1,0)</f>
        <v>0</v>
      </c>
      <c r="AN346" s="61" t="n">
        <f aca="false">IF(AND(N346="Clarification required",AI346=1,AJ346=0),1,0)</f>
        <v>0</v>
      </c>
      <c r="AO346" s="61" t="str">
        <f aca="false">IF(AK346=1,SUM(AK$5:AK346),"")</f>
        <v/>
      </c>
      <c r="AP346" s="61" t="str">
        <f aca="false">IF(AL346=1,SUM(AL$5:AL346),"")</f>
        <v/>
      </c>
      <c r="AQ346" s="61" t="n">
        <v>0</v>
      </c>
      <c r="AR346" s="61" t="n">
        <v>0</v>
      </c>
      <c r="AS346" s="61" t="n">
        <v>0</v>
      </c>
      <c r="AT346" s="61" t="n">
        <v>0</v>
      </c>
      <c r="AU346" s="61" t="str">
        <f aca="false">SUBSTITUTE(SUBSTITUTE(SUBSTITUTE(SUBSTITUTE(SUBSTITUTE(SUBSTITUTE(SUBSTITUTE(SUBSTITUTE(SUBSTITUTE(SUBSTITUTE(SUBSTITUTE(SUBSTITUTE(SUBSTITUTE(SUBSTITUTE(SUBSTITUTE(SUBSTITUTE(LOWER(T346&amp;""),CHAR(10),""),CHAR(13),""),CHAR(9),""),CHAR(160),"")," ",""),".",""),"-",""),"/",""),"?",""),"_",""),",",""),"[",""),"]",""),"(",""),")",""),"*","")</f>
        <v/>
      </c>
      <c r="AV346" s="61" t="str">
        <f aca="false">SUBSTITUTE(SUBSTITUTE(SUBSTITUTE(SUBSTITUTE(SUBSTITUTE(SUBSTITUTE(SUBSTITUTE(SUBSTITUTE(SUBSTITUTE(SUBSTITUTE(SUBSTITUTE(SUBSTITUTE(SUBSTITUTE(SUBSTITUTE(SUBSTITUTE(SUBSTITUTE(LOWER(V346&amp;""),CHAR(10),""),CHAR(13),""),CHAR(9),""),CHAR(160),"")," ",""),".",""),"-",""),"/",""),"?",""),"_",""),",",""),"[",""),"]",""),"(",""),")",""),"*","")</f>
        <v/>
      </c>
      <c r="AW346" s="61" t="str">
        <f aca="false">SUBSTITUTE(SUBSTITUTE(SUBSTITUTE(SUBSTITUTE(SUBSTITUTE(SUBSTITUTE(SUBSTITUTE(SUBSTITUTE(SUBSTITUTE(SUBSTITUTE(SUBSTITUTE(SUBSTITUTE(SUBSTITUTE(SUBSTITUTE(SUBSTITUTE(SUBSTITUTE(LOWER(Z346&amp;""),CHAR(10),""),CHAR(13),""),CHAR(9),""),CHAR(160),"")," ",""),".",""),"-",""),"/",""),"?",""),"_",""),",",""),"[",""),"]",""),"(",""),")",""),"*","")</f>
        <v/>
      </c>
      <c r="AX346" s="61" t="str">
        <f aca="false">SUBSTITUTE(SUBSTITUTE(SUBSTITUTE(SUBSTITUTE(SUBSTITUTE(SUBSTITUTE(SUBSTITUTE(SUBSTITUTE(SUBSTITUTE(SUBSTITUTE(SUBSTITUTE(SUBSTITUTE(SUBSTITUTE(SUBSTITUTE(SUBSTITUTE(SUBSTITUTE(LOWER(AE346&amp;""),CHAR(10),""),CHAR(13),""),CHAR(9),""),CHAR(160),"")," ",""),".",""),"-",""),"/",""),"?",""),"_",""),",",""),"[",""),"]",""),"(",""),")",""),"*","")</f>
        <v/>
      </c>
      <c r="AY346" s="61" t="str">
        <f aca="false">SUBSTITUTE(SUBSTITUTE(SUBSTITUTE(SUBSTITUTE(SUBSTITUTE(SUBSTITUTE(SUBSTITUTE(SUBSTITUTE(SUBSTITUTE(SUBSTITUTE(SUBSTITUTE(SUBSTITUTE(SUBSTITUTE(SUBSTITUTE(SUBSTITUTE(SUBSTITUTE(LOWER(W346&amp;""),CHAR(10),""),CHAR(13),""),CHAR(9),""),CHAR(160),"")," ",""),".",""),"-",""),"/",""),"?",""),"_",""),",",""),"[",""),"]",""),"(",""),")",""),"*","")</f>
        <v/>
      </c>
      <c r="AZ346" s="61" t="str">
        <f aca="false">SUBSTITUTE(SUBSTITUTE(SUBSTITUTE(SUBSTITUTE(SUBSTITUTE(SUBSTITUTE(SUBSTITUTE(SUBSTITUTE(SUBSTITUTE(SUBSTITUTE(SUBSTITUTE(SUBSTITUTE(SUBSTITUTE(SUBSTITUTE(SUBSTITUTE(SUBSTITUTE(LOWER(AC346&amp;""),CHAR(10),""),CHAR(13),""),CHAR(9),""),CHAR(160),"")," ",""),".",""),"-",""),"/",""),"?",""),"_",""),",",""),"[",""),"]",""),"(",""),")",""),"*","")</f>
        <v/>
      </c>
      <c r="BA346" s="61" t="str">
        <f aca="false">SUBSTITUTE(SUBSTITUTE(SUBSTITUTE(SUBSTITUTE(SUBSTITUTE(SUBSTITUTE(SUBSTITUTE(SUBSTITUTE(SUBSTITUTE(SUBSTITUTE(SUBSTITUTE(SUBSTITUTE(SUBSTITUTE(SUBSTITUTE(SUBSTITUTE(SUBSTITUTE(LOWER(AA346&amp;""),CHAR(10),""),CHAR(13),""),CHAR(9),""),CHAR(160),"")," ",""),".",""),"-",""),"/",""),"?",""),"_",""),",",""),"[",""),"]",""),"(",""),")",""),"*","")</f>
        <v/>
      </c>
      <c r="BB346" s="61" t="str">
        <f aca="false">IF(AND(TRIM(U346)="Pass",ISNUMBER(AF346)),IF(AF346&lt;&gt;0,"INVALID – qty variance: use Fail or Pass after CA",""),"")&amp;IF(AND(TRIM(U346)="Pass after CA",ISNUMBER(AF346)),IF(AF346&lt;&gt;0,"INVALID – after the corrective action the actual qty must equal expected (update Actual)",""),"")&amp;IF(AND(TRIM(U346)="Pass",TRIM(AB346)&lt;&gt;"",TRIM(AB346)&lt;&gt;"Closed"),"INVALID – corrective action not closed: use Fail, then Pass after CA","")&amp;IF(AND(LEN(BA346)&gt;=2,ISNA(MATCH(LEFT(BA346,255),L_Placeholder,0)),TRIM(AB346)=""),"INVALID – CA status missing for the recorded corrective action","")&amp;IF(AND(TRIM(U346)="Pass after CA",OR(OR(LEN(BA346)&lt;5,ISNUMBER(MATCH(BA346,L_Placeholder,0))),TRIM(AB346)&lt;&gt;"Closed")),"INVALID – corrective action not recorded/closed","")</f>
        <v/>
      </c>
      <c r="BC346" s="61" t="str">
        <f aca="false">" "&amp;TRIM(SUBSTITUTE(SUBSTITUTE(SUBSTITUTE(SUBSTITUTE(SUBSTITUTE(SUBSTITUTE(SUBSTITUTE(SUBSTITUTE(SUBSTITUTE(SUBSTITUTE(SUBSTITUTE(SUBSTITUTE(SUBSTITUTE(SUBSTITUTE(SUBSTITUTE(SUBSTITUTE(SUBSTITUTE(SUBSTITUTE(SUBSTITUTE(SUBSTITUTE(SUBSTITUTE(SUBSTITUTE(SUBSTITUTE(SUBSTITUTE(LOWER(V346&amp;""),CHAR(10)," "),CHAR(13)," "),CHAR(9)," "),CHAR(160)," "),"."," "),","," "),"-"," "),"/"," "),"("," "),")"," "),":"," "),";"," "),"_"," "),"–"," "),"?"," "),"!"," "),"*"," "),"["," "),"]"," "),"'"," "),"#"," "),"+"," "),"&amp;"," "),"\"," "))&amp;" "</f>
        <v>  </v>
      </c>
      <c r="BD346" s="61" t="str">
        <f aca="false">" "&amp;TRIM(SUBSTITUTE(SUBSTITUTE(SUBSTITUTE(SUBSTITUTE(SUBSTITUTE(SUBSTITUTE(SUBSTITUTE(SUBSTITUTE(SUBSTITUTE(SUBSTITUTE(SUBSTITUTE(SUBSTITUTE(SUBSTITUTE(SUBSTITUTE(SUBSTITUTE(SUBSTITUTE(SUBSTITUTE(SUBSTITUTE(SUBSTITUTE(SUBSTITUTE(SUBSTITUTE(SUBSTITUTE(SUBSTITUTE(SUBSTITUTE(LOWER(Z346&amp;""),CHAR(10)," "),CHAR(13)," "),CHAR(9)," "),CHAR(160)," "),"."," "),","," "),"-"," "),"/"," "),"("," "),")"," "),":"," "),";"," "),"_"," "),"–"," "),"?"," "),"!"," "),"*"," "),"["," "),"]"," "),"'"," "),"#"," "),"+"," "),"&amp;"," "),"\"," "))&amp;" "</f>
        <v>  </v>
      </c>
      <c r="BE346" s="61" t="str">
        <f aca="false">" "&amp;TRIM(SUBSTITUTE(SUBSTITUTE(SUBSTITUTE(SUBSTITUTE(SUBSTITUTE(SUBSTITUTE(SUBSTITUTE(SUBSTITUTE(SUBSTITUTE(SUBSTITUTE(SUBSTITUTE(SUBSTITUTE(SUBSTITUTE(SUBSTITUTE(SUBSTITUTE(SUBSTITUTE(SUBSTITUTE(SUBSTITUTE(SUBSTITUTE(SUBSTITUTE(SUBSTITUTE(SUBSTITUTE(SUBSTITUTE(SUBSTITUTE(LOWER(W346&amp;""),CHAR(10)," "),CHAR(13)," "),CHAR(9)," "),CHAR(160)," "),"."," "),","," "),"-"," "),"/"," "),"("," "),")"," "),":"," "),";"," "),"_"," "),"–"," "),"?"," "),"!"," "),"*"," "),"["," "),"]"," "),"'"," "),"#"," "),"+"," "),"&amp;"," "),"\"," "))&amp;" "</f>
        <v>  </v>
      </c>
      <c r="BF346" s="61" t="str">
        <f aca="false">" "&amp;TRIM(SUBSTITUTE(SUBSTITUTE(SUBSTITUTE(SUBSTITUTE(SUBSTITUTE(SUBSTITUTE(SUBSTITUTE(SUBSTITUTE(SUBSTITUTE(SUBSTITUTE(SUBSTITUTE(SUBSTITUTE(SUBSTITUTE(SUBSTITUTE(SUBSTITUTE(SUBSTITUTE(SUBSTITUTE(SUBSTITUTE(SUBSTITUTE(SUBSTITUTE(SUBSTITUTE(SUBSTITUTE(SUBSTITUTE(SUBSTITUTE(LOWER(AC346&amp;""),CHAR(10)," "),CHAR(13)," "),CHAR(9)," "),CHAR(160)," "),"."," "),","," "),"-"," "),"/"," "),"("," "),")"," "),":"," "),";"," "),"_"," "),"–"," "),"?"," "),"!"," "),"*"," "),"["," "),"]"," "),"'"," "),"#"," "),"+"," "),"&amp;"," "),"\"," "))&amp;" "</f>
        <v>  </v>
      </c>
      <c r="BG346" s="61" t="n">
        <f aca="false">IFERROR(IF(AND(TRIM(U346)="Pass",SUMPRODUCT((LEN(BC346)-LEN(SUBSTITUTE(BC346," "&amp;L_ResultBad&amp;" "," ")))/(LEN(L_ResultBad)+1))&gt;SUMPRODUCT((LEN(BC346)-LEN(SUBSTITUTE(BC346," "&amp;L_NegPhrase&amp;" "," ")))/(LEN(L_NegPhrase)+1))),1,0),0)</f>
        <v>0</v>
      </c>
      <c r="BH346" s="61" t="n">
        <f aca="false">IFERROR(IF(SUMPRODUCT((LEN(BC346)-LEN(SUBSTITUTE(BC346," "&amp;L_Pending&amp;" "," ")))/(LEN(L_Pending)+1))&gt;SUMPRODUCT((LEN(BC346)-LEN(SUBSTITUTE(BC346," "&amp;L_PendNeg&amp;" "," ")))/(LEN(L_PendNeg)+1))+SUMPRODUCT((LEN(BC346)-LEN(SUBSTITUTE(BC346," "&amp;L_PendPrep&amp;" "," ")))/(LEN(L_PendPrep)+1)),1,0),1)</f>
        <v>0</v>
      </c>
      <c r="BI346" s="61" t="n">
        <f aca="false">IFERROR(IF(SUMPRODUCT((LEN(BD346)-LEN(SUBSTITUTE(BD346," "&amp;L_PendStrict&amp;" "," ")))/(LEN(L_PendStrict)+1))&gt;SUMPRODUCT((LEN(BD346)-LEN(SUBSTITUTE(BD346," "&amp;L_PendNeg&amp;" "," ")))/(LEN(L_PendNeg)+1)),1,0),1)</f>
        <v>0</v>
      </c>
      <c r="BJ346" s="61" t="n">
        <f aca="false">IFERROR(IF(SUMPRODUCT((LEN(BE346)-LEN(SUBSTITUTE(BE346," "&amp;L_Pending&amp;" "," ")))/(LEN(L_Pending)+1))&gt;SUMPRODUCT((LEN(BE346)-LEN(SUBSTITUTE(BE346," "&amp;L_PendNeg&amp;" "," ")))/(LEN(L_PendNeg)+1))+SUMPRODUCT((LEN(BE346)-LEN(SUBSTITUTE(BE346," "&amp;L_PendPrep&amp;" "," ")))/(LEN(L_PendPrep)+1)),1,0),1)</f>
        <v>0</v>
      </c>
      <c r="BK346" s="61" t="n">
        <f aca="false">IFERROR(IF(SUMPRODUCT((LEN(BF346)-LEN(SUBSTITUTE(BF346," "&amp;L_PendStrict&amp;" "," ")))/(LEN(L_PendStrict)+1))&gt;SUMPRODUCT((LEN(BF346)-LEN(SUBSTITUTE(BF346," "&amp;L_PendNeg&amp;" "," ")))/(LEN(L_PendNeg)+1)),1,0),1)</f>
        <v>0</v>
      </c>
      <c r="BL346" s="61" t="n">
        <f aca="false">IF(ISNA(MATCH(TRIM(S346),L_EvidenceType,0)),0,BZ346)</f>
        <v>0</v>
      </c>
      <c r="BM346" s="61" t="str">
        <f aca="false">SUBSTITUTE(SUBSTITUTE(SUBSTITUTE(SUBSTITUTE(SUBSTITUTE(SUBSTITUTE(SUBSTITUTE(SUBSTITUTE(SUBSTITUTE(LOWER(Z346&amp;""),"1","0"),"2","0"),"3","0"),"4","0"),"5","0"),"6","0"),"7","0"),"8","0"),"9","0")</f>
        <v/>
      </c>
      <c r="BN346" s="61" t="str">
        <f aca="false">SUBSTITUTE(SUBSTITUTE(SUBSTITUTE(SUBSTITUTE(SUBSTITUTE(SUBSTITUTE(SUBSTITUTE(SUBSTITUTE(SUBSTITUTE(SUBSTITUTE(SUBSTITUTE(SUBSTITUTE(SUBSTITUTE(SUBSTITUTE(SUBSTITUTE(SUBSTITUTE(SUBSTITUTE(SUBSTITUTE(SUBSTITUTE(SUBSTITUTE(SUBSTITUTE(SUBSTITUTE(SUBSTITUTE(SUBSTITUTE(SUBSTITUTE(BM346,"b","a"),"c","a"),"d","a"),"e","a"),"f","a"),"g","a"),"h","a"),"i","a"),"j","a"),"k","a"),"l","a"),"m","a"),"n","a"),"o","a"),"p","a"),"q","a"),"r","a"),"s","a"),"t","a"),"u","a"),"v","a"),"w","a"),"x","a"),"y","a"),"z","a")</f>
        <v/>
      </c>
      <c r="BO346" s="61" t="str">
        <f aca="false">SUBSTITUTE(SUBSTITUTE(SUBSTITUTE(SUBSTITUTE(SUBSTITUTE(SUBSTITUTE(SUBSTITUTE(SUBSTITUTE(SUBSTITUTE(LOWER(W346&amp;""),"1","0"),"2","0"),"3","0"),"4","0"),"5","0"),"6","0"),"7","0"),"8","0"),"9","0")</f>
        <v/>
      </c>
      <c r="BP346" s="61" t="str">
        <f aca="false">SUBSTITUTE(SUBSTITUTE(SUBSTITUTE(SUBSTITUTE(SUBSTITUTE(SUBSTITUTE(SUBSTITUTE(SUBSTITUTE(SUBSTITUTE(SUBSTITUTE(SUBSTITUTE(SUBSTITUTE(SUBSTITUTE(SUBSTITUTE(SUBSTITUTE(SUBSTITUTE(SUBSTITUTE(SUBSTITUTE(SUBSTITUTE(SUBSTITUTE(SUBSTITUTE(SUBSTITUTE(SUBSTITUTE(SUBSTITUTE(SUBSTITUTE(BO346,"b","a"),"c","a"),"d","a"),"e","a"),"f","a"),"g","a"),"h","a"),"i","a"),"j","a"),"k","a"),"l","a"),"m","a"),"n","a"),"o","a"),"p","a"),"q","a"),"r","a"),"s","a"),"t","a"),"u","a"),"v","a"),"w","a"),"x","a"),"y","a"),"z","a")</f>
        <v/>
      </c>
      <c r="BQ346" s="61" t="n">
        <f aca="false">IFERROR(IF(AND(ISERROR(SEARCH(" mh"," "&amp;LOWER(W346))),ISNA(MATCH(LEFT(TRIM(BP346),255),{"0000a","000a","00a","0000aa","000aa","00aa","0aa","0000aaa","000aaa","00a00","0a00","0000-0000","00:00","a00","a0","00.00.0000","00/00/0000","00-00-0000","0000-00-00","0000/00/00","0000.00.00","00.00.00","00/00/00","00-00-00","0.00.0000","0/00/0000","0-00-0000"},0)),ISNA(MATCH(LEFT(TRIM(CA346),255),{"0000a","000a","00a","0000aa","000aa","00aa","0aa","0000aaa","000aaa","00a00","0a00","0000-0000","00:00","a00","a0","00.00.0000","00/00/0000","00-00-0000","0000-00-00","0000/00/00","0000.00.00","00.00.00","00/00/00","00-00-00","0.00.0000","0/00/0000","0-00-0000"},0)),LEN(CB346)&gt;=3,NOT(OR(SUBSTITUTE(CB346,"0","")="",AND(LEN(CB346)&gt;=4,CB346=REPT(LEFT(CB346),LEN(CB346))),ISNUMBER(MATCH(CB346,{"123","1234","12345","123456","1234567","12345678","0123","01234","012345","98765","987654","54321"},0)),AND(LEN(CB346)=8,LEFT(CB346,3)="202"))),OR(AND((LEN(CA346)-LEN(SUBSTITUTE(CA346,"a","")))&gt;=1,SUMPRODUCT(--ISNUMBER(SEARCH({"a0","a-0","a_0","a/0","a.0","a#0","0a","0-a","0_a","0/a"},BP346)))&gt;0),ISNUMBER(SEARCH("000000",BP346)))),1,0),0)</f>
        <v>0</v>
      </c>
      <c r="BR346" s="61" t="n">
        <f aca="false">IFERROR(LEN(SUBSTITUTE(CC346," ",""))-SUMPRODUCT((LEN(CC346)-LEN(SUBSTITUTE(CC346," "&amp;L_Role&amp;" "," ")))/(LEN(L_Role)+1)*LEN(L_Role)),0)</f>
        <v>0</v>
      </c>
      <c r="BS346" s="61" t="n">
        <f aca="false">IFERROR(LEN(SUBSTITUTE(CD346," ",""))-SUMPRODUCT((LEN(CD346)-LEN(SUBSTITUTE(CD346," "&amp;L_Role&amp;" "," ")))/(LEN(L_Role)+1)*LEN(L_Role)),0)</f>
        <v>0</v>
      </c>
      <c r="BT3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346,"revision",""),"version",""),"jan",""),"feb",""),"mar",""),"apr",""),"may",""),"jun",""),"jul",""),"aug",""),"sep",""),"oct",""),"nov",""),"dec",""),"utc",""),"gmt",""),"myt",""),"bst",""),"rev",""),"ver",""),"b","a"),"c","a"),"d","a"),"e","a"),"f","a"),"g","a"),"h","a"),"i","a"),"j","a"),"k","a"),"l","a"),"m","a"),"n","a"),"o","a"),"p","a"),"q","a"),"r","a"),"s","a"),"t","a"),"u","a"),"v","a"),"w","a"),"x","a"),"y","a"),"z","a")</f>
        <v/>
      </c>
      <c r="BU346" s="61" t="str">
        <f aca="false">SUBSTITUTE(SUBSTITUTE(SUBSTITUTE(SUBSTITUTE(SUBSTITUTE(SUBSTITUTE(SUBSTITUTE(SUBSTITUTE(SUBSTITUTE(SUBSTITUTE(LEFT(BM346,FIND("0",BM346&amp;"0")-1),"-",""),"_",""),"/",""),".",""),"#",""),"\\",""),":","")," ",""),"(",""),")","")</f>
        <v/>
      </c>
      <c r="BV346" s="61" t="n">
        <f aca="false">0</f>
        <v>0</v>
      </c>
      <c r="BW3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346&amp;""),"a",""),"b",""),"c",""),"d",""),"e",""),"f",""),"g",""),"h",""),"i",""),"j",""),"k",""),"l",""),"m",""),"n",""),"o",""),"p",""),"q",""),"r",""),"s",""),"t",""),"u",""),"v",""),"w",""),"x",""),"y",""),"z",""),"-",""),"_",""),"/",""),".",""),"#",""),"\\",""),":","")," ",""),"(",""),")","")</f>
        <v/>
      </c>
      <c r="BX346" s="61" t="str">
        <f aca="false">SUBSTITUTE(SUBSTITUTE(SUBSTITUTE(SUBSTITUTE(SUBSTITUTE(SUBSTITUTE(SUBSTITUTE(SUBSTITUTE(SUBSTITUTE(SUBSTITUTE(SUBSTITUTE(BM346,"0",""),"-",""),"_",""),"/",""),".",""),"#",""),"\\",""),":","")," ",""),"(",""),")","")</f>
        <v/>
      </c>
      <c r="BY346" s="62" t="n">
        <f aca="false">Q346-T12EarlyH/24</f>
        <v>46306.15625</v>
      </c>
      <c r="BZ346" s="61" t="n">
        <f aca="false">IFERROR(IF(IF(TRIM(S346)="Link / file path",AND(LEN(TRIM(Z346))&gt;=5,SUMPRODUCT(--ISNUMBER(SEARCH({"http","www.","\\",":\",".pdf",".jpg",".jpeg",".png",".heic",".xls",".doc",".msg",".eml",".ppt",".txt",".zip"},Z346)))&gt;0),AND(ISERROR(FIND(" ",TRIM(Z346))),NOT(OR(SUMPRODUCT(--ISNUMBER(FIND({",",";","&amp;","+"},Z346)))&gt;0,SUMPRODUCT(--ISNUMBER(SEARCH({"0/aa","0\\aa"},BN346)))&gt;0)),NOT(SUMPRODUCT(--ISNUMBER(SEARCH({"http","www.","\\",":\",".pdf",".jpg",".jpeg",".png",".heic",".xls",".doc",".msg",".eml",".ppt",".txt",".zip"},Z346)))&gt;0),NOT(LOWER(TRIM(Z346))=LOWER(Flights!$F$14)),ISNA(MATCH(BU346,{"mh","rev","revision","ver","version","v","r","a","b","seat","tray","row","gate","bay","stand","page","pg","item","line","no","cart","galley","flight","flt","table","box","bag","oven","etd","eta","std","sta","atd","ata","qty","pax","x","time","tel","ph","mob","day","wk","week","utc","gmt","myt","lt"},0)),NOT(OR(ISNUMBER(MATCH(LEFT(BN346,255),{"0000a","000a","00a","0000aa","000aa","00aa","0aa","0000aaa","000aaa","00a00","0a00","0000-0000","00:00","a00","a0","00.00.0000","00/00/0000","00-00-0000","0000-00-00","0000/00/00","0000.00.00","00.00.00","00/00/00","00-00-00","0.00.0000","0/00/0000","0-00-0000"},0)),ISNUMBER(MATCH(LEFT(BT346,255),{"0000a","000a","00a","0000aa","000aa","00aa","0aa","0000aaa","000aaa","00a00","0a00","0000-0000","00:00","a00","a0","00.00.0000","00/00/0000","00-00-0000","0000-00-00","0000/00/00","0000.00.00","00.00.00","00/00/00","00-00-00","0.00.0000","0/00/0000","0-00-0000"},0)))),NOT(OR(AND(BW346&lt;&gt;"",SUBSTITUTE(BW346,"0","")=""),AND(LEN(BW346)&gt;=4,BW346=REPT(LEFT(BW346),LEN(BW346))),ISNUMBER(MATCH(BW346,{"123","1234","12345","123456","1234567","12345678","0123","01234","012345","98765","987654","54321"},0)),ISNUMBER(MATCH(BX346,{"x","xx","xxx","xxxx","xxxxx","abc","abcd","nil","na","nan","test","tbc","tba","tbd","dummy","sample","example","eg","zz","zzz","none","null","xyz","qwe","asd","id","ref"},0)),AND(LEN(BW346)=8,BX346="",OR(LEFT(BW346,3)="202",ISNUMBER(MATCH(RIGHT(BW346,4),{"2025","2026","2027"},0)))))),OR(AND((LEN(BT346)-LEN(SUBSTITUTE(BT346,"a","")))&gt;=1,(LEN(BN346)-LEN(SUBSTITUTE(BN346,"0","")))&gt;=2,SUMPRODUCT(--ISNUMBER(SEARCH({"a0","a-0","a_0","a/0","a.0","a#0","0a","0-a","0_a","0/a"},BN346)))&gt;0),AND((LEN(BN346)-LEN(SUBSTITUTE(BN346,"a","")))=0,(LEN(BN346)-LEN(SUBSTITUTE(BN346,"0","")))&gt;=5)))),1,0),0)</f>
        <v>0</v>
      </c>
      <c r="CA3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346,"revision",""),"version",""),"jan",""),"feb",""),"mar",""),"apr",""),"may",""),"jun",""),"jul",""),"aug",""),"sep",""),"oct",""),"nov",""),"dec",""),"utc",""),"gmt",""),"myt",""),"bst",""),"rev",""),"ver",""),"b","a"),"c","a"),"d","a"),"e","a"),"f","a"),"g","a"),"h","a"),"i","a"),"j","a"),"k","a"),"l","a"),"m","a"),"n","a"),"o","a"),"p","a"),"q","a"),"r","a"),"s","a"),"t","a"),"u","a"),"v","a"),"w","a"),"x","a"),"y","a"),"z","a")</f>
        <v/>
      </c>
      <c r="CB3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346&amp;""),"a",""),"b",""),"c",""),"d",""),"e",""),"f",""),"g",""),"h",""),"i",""),"j",""),"k",""),"l",""),"m",""),"n",""),"o",""),"p",""),"q",""),"r",""),"s",""),"t",""),"u",""),"v",""),"w",""),"x",""),"y",""),"z",""),"-",""),"_",""),"/",""),".",""),"#",""),"\\",""),":","")," ",""),"(",""),")","")</f>
        <v/>
      </c>
      <c r="CC346" s="0" t="str">
        <f aca="false">" "&amp;TRIM(SUBSTITUTE(SUBSTITUTE(SUBSTITUTE(SUBSTITUTE(SUBSTITUTE(SUBSTITUTE(SUBSTITUTE(SUBSTITUTE(SUBSTITUTE(SUBSTITUTE(SUBSTITUTE(SUBSTITUTE(SUBSTITUTE(SUBSTITUTE(SUBSTITUTE(SUBSTITUTE(SUBSTITUTE(SUBSTITUTE(SUBSTITUTE(SUBSTITUTE(SUBSTITUTE(SUBSTITUTE(SUBSTITUTE(SUBSTITUTE(LOWER(T346&amp;""),CHAR(10)," "),CHAR(13)," "),CHAR(9)," "),CHAR(160)," "),"."," "),","," "),"-"," "),"/"," "),"("," "),")"," "),":"," "),";"," "),"_"," "),"–"," "),"?"," "),"!"," "),"*"," "),"["," "),"]"," "),"'"," "),"#"," "),"+"," "),"&amp;"," "),"\"," "))&amp;" "</f>
        <v>  </v>
      </c>
      <c r="CD346" s="0" t="str">
        <f aca="false">" "&amp;TRIM(SUBSTITUTE(SUBSTITUTE(SUBSTITUTE(SUBSTITUTE(SUBSTITUTE(SUBSTITUTE(SUBSTITUTE(SUBSTITUTE(SUBSTITUTE(SUBSTITUTE(SUBSTITUTE(SUBSTITUTE(SUBSTITUTE(SUBSTITUTE(SUBSTITUTE(SUBSTITUTE(SUBSTITUTE(SUBSTITUTE(SUBSTITUTE(SUBSTITUTE(SUBSTITUTE(SUBSTITUTE(SUBSTITUTE(SUBSTITUTE(LOWER(AE346&amp;""),CHAR(10)," "),CHAR(13)," "),CHAR(9)," "),CHAR(160)," "),"."," "),","," "),"-"," "),"/"," "),"("," "),")"," "),":"," "),";"," "),"_"," "),"–"," "),"?"," "),"!"," "),"*"," "),"["," "),"]"," "),"'"," "),"#"," "),"+"," "),"&amp;"," "),"\"," "))&amp;" "</f>
        <v>  </v>
      </c>
      <c r="CE346" s="68" t="n">
        <f aca="false">IFERROR(IF(AND(LEN(AU346)&gt;0,LEN(AU346)=LEN(AX346),OR(TRIM(MID(SUBSTITUTE(TRIM(CC346)," ",REPT(" ",60)),1,60))="",ISNUMBER(SEARCH(" "&amp;TRIM(MID(SUBSTITUTE(TRIM(CC346)," ",REPT(" ",60)),1,60))&amp;" ",CD346))),OR(TRIM(MID(SUBSTITUTE(TRIM(CC346)," ",REPT(" ",60)),61,60))="",ISNUMBER(SEARCH(" "&amp;TRIM(MID(SUBSTITUTE(TRIM(CC346)," ",REPT(" ",60)),61,60))&amp;" ",CD346))),OR(TRIM(MID(SUBSTITUTE(TRIM(CC346)," ",REPT(" ",60)),121,60))="",ISNUMBER(SEARCH(" "&amp;TRIM(MID(SUBSTITUTE(TRIM(CC346)," ",REPT(" ",60)),121,60))&amp;" ",CD346)))),1,0),0)</f>
        <v>0</v>
      </c>
      <c r="CG346" s="68" t="n">
        <f aca="false">IFERROR(LEN(SUBSTITUTE(BF346," ",""))-SUMPRODUCT((LEN(BF346)-LEN(SUBSTITUTE(BF346," "&amp;L_NAFiller&amp;" "," ")))/(LEN(L_NAFiller)+1)*LEN(L_NAFiller)),0)</f>
        <v>0</v>
      </c>
    </row>
    <row r="347" customFormat="false" ht="39.75" hidden="false" customHeight="true" outlineLevel="0" collapsed="false">
      <c r="A347" s="57" t="s">
        <v>948</v>
      </c>
      <c r="B347" s="57" t="s">
        <v>251</v>
      </c>
      <c r="C347" s="57" t="str">
        <f aca="false">Flights!$F$14</f>
        <v>MH1140</v>
      </c>
      <c r="D347" s="58" t="n">
        <f aca="false">Flights!$D$14</f>
        <v>46307</v>
      </c>
      <c r="E347" s="57" t="str">
        <f aca="false">Flights!$G$14&amp;"-"&amp;Flights!$H$14</f>
        <v>KUL-PEN</v>
      </c>
      <c r="F347" s="57" t="str">
        <f aca="false">Flights!$K$14</f>
        <v>BC</v>
      </c>
      <c r="G347" s="57" t="s">
        <v>459</v>
      </c>
      <c r="H347" s="57" t="s">
        <v>460</v>
      </c>
      <c r="I347" s="57" t="s">
        <v>379</v>
      </c>
      <c r="J347" s="57" t="s">
        <v>461</v>
      </c>
      <c r="K347" s="67" t="s">
        <v>426</v>
      </c>
      <c r="L347" s="67" t="s">
        <v>462</v>
      </c>
      <c r="M347" s="67"/>
      <c r="N347" s="67" t="s">
        <v>383</v>
      </c>
      <c r="O347" s="67" t="s">
        <v>463</v>
      </c>
      <c r="P347" s="57" t="s">
        <v>187</v>
      </c>
      <c r="Q347" s="59" t="n">
        <f aca="false">ROUND((Flights!$AF$14)*1440,0)/1440</f>
        <v>46307.15625</v>
      </c>
      <c r="R347" s="59" t="n">
        <f aca="false">Q347+(IF(AND(INDEX(TZ_DSTS,MATCH(P347,TZ_STN,0))&lt;&gt;"",Q347&gt;=INDEX(TZ_DSTS,MATCH(P347,TZ_STN,0)),Q347&lt;INDEX(TZ_DSTE,MATCH(P347,TZ_STN,0))),INDEX(TZ_DST,MATCH(P347,TZ_STN,0)),INDEX(TZ_STD,MATCH(P347,TZ_STN,0))))/24</f>
        <v>46307.4895833333</v>
      </c>
      <c r="S347" s="60"/>
      <c r="T347" s="60"/>
      <c r="U347" s="60"/>
      <c r="V347" s="60"/>
      <c r="W347" s="61"/>
      <c r="X347" s="60"/>
      <c r="Y347" s="60"/>
      <c r="Z347" s="60"/>
      <c r="AA347" s="60"/>
      <c r="AB347" s="60"/>
      <c r="AC347" s="60"/>
      <c r="AD347" s="66"/>
      <c r="AE347" s="60"/>
      <c r="AF347" s="61" t="str">
        <f aca="false">IF(AND(ISNUMBER(X347),ISNUMBER(Y347)),Y347-X347,"")</f>
        <v/>
      </c>
      <c r="AG347" s="62" t="str">
        <f aca="false">IF(ISNUMBER(AD347),AD347-(IF(AND(INDEX(TZ_DSTS,MATCH(P347,TZ_STN,0))&lt;&gt;"",(AD347-INDEX(TZ_STD,MATCH(P347,TZ_STN,0))/24)&gt;=INDEX(TZ_DSTS,MATCH(P347,TZ_STN,0)),(AD347-INDEX(TZ_STD,MATCH(P347,TZ_STN,0))/24)&lt;INDEX(TZ_DSTE,MATCH(P347,TZ_STN,0))),INDEX(TZ_DST,MATCH(P347,TZ_STN,0)),INDEX(TZ_STD,MATCH(P347,TZ_STN,0))))/24,"")</f>
        <v/>
      </c>
      <c r="AH347" s="65" t="str">
        <f aca="false">IFERROR(IF(N347="N/A – rule",IF(OR(TRIM(U347)="",TRIM(U347)="N/A",TRIM(U347)="Not started"),"N/A – RULE","INVALID – this check does not apply to this aircraft: clear the status (or correct the fleet on Flights)"),IF(TRIM(U347)="N/A",IF(AT347=0,"INVALID – N/A not permitted for this check",IF(AND(TRIM(AB347)&lt;&gt;"",TRIM(AB347)&lt;&gt;"Closed"),"INVALID – corrective action still open",IF(AND(NOT(OR(LEN(AZ347)&lt;15,ISNUMBER(MATCH(AZ347,L_Placeholder,0)))),BK347=0,CG347&gt;=8,NOT(OR(LEN(AU347)&lt;2,ISNUMBER(MATCH(AU347,L_Placeholder,0)))),BR347&gt;=3,NOT(OR(LEN(AX347)&lt;2,ISNUMBER(MATCH(AX347,L_Placeholder,0)))),BS347&gt;=3,TRIM(AE347)&lt;&gt;TRIM(T347),AX347&lt;&gt;AU347,CE347=0),"N/A – JUSTIFIED","INVALID – N/A needs a real, settled reason (not 'not applicable' / 'as above' / TBC), a named PIC and a different named verifier"))),IF(OR(TRIM(U347)="Pass",TRIM(U347)="Pass after CA"),IF(NOT(ISNUMBER(AD347)),"INVALID – completion time missing",IF(OR(OR(LEN(AU347)&lt;2,ISNUMBER(MATCH(AU347,L_Placeholder,0))),BR347&lt;3),"INVALID – PIC missing or not a named person (a role such as QA / CSM is not a name)",IF(OR(LEN(AV347)&lt;2,ISNUMBER(MATCH(AV347,L_Placeholder,0))),"INVALID – result / assessment missing",IF(OR(OR(LEN(AW347)&lt;3,ISNUMBER(MATCH(AW347,L_Placeholder,0))),SUMPRODUCT(--ISNUMBER(SEARCH(" "&amp;L_EvidencePhrase&amp;" ",BD347)))&gt;0,BI347=1),"INVALID – evidence missing, placeholder or not yet on file",IF(ISNA(MATCH(TRIM(S347),L_EvidenceType,0)),"INVALID – choose the evidence type from the list (column S)",IF(BL347=0,"INVALID – evidence ID must be the record's own ID only (e.g. SF-2210, IMG_2231, 1045521); a link / file name needs type 'Link / file path'",IF(OR(OR(LEN(AX347)&lt;2,ISNUMBER(MATCH(AX347,L_Placeholder,0))),BS347&lt;3),"INVALID – verifier missing or not a named person (a role such as QA / CSM is not a name)",IF(OR(AX347=AU347,CE347=1,AND(LEN(AU347)&gt;=4,ISNUMBER(SEARCH(AU347,AX347))),AND(LEN(AX347)&gt;=4,ISNUMBER(SEARCH(AX347,AU347)))),"INVALID – verifier must be a different, named person (not the PIC or a role)",IF(BH347=1,"INVALID – result not yet available (awaiting / TBC)",IF(BG347=1,"INVALID – result describes a problem: record Fail, then Pass after CA (or reword if it is not a problem)",IF(BV347=1,"INVALID – wording says not on board: an on-board confirmation needs the item loaded",IF(AND(AQ347=1,OR(OR(LEN(AY347)&lt;3,ISNUMBER(MATCH(AY347,L_Placeholder,0))),BJ347=1,BQ347=0)),"INVALID – batch ID missing, placeholder or not an ID (e.g. PASB-261008-BC-017)",IF(AND(AR347=1,OR(NOT(ISNUMBER(X347)),NOT(ISNUMBER(Y347)))),"INVALID – expected/actual qty missing",IF(AND(AR347=1,OR(X347&lt;=0,Y347&lt;0)),"INVALID – expected qty must be above 0 and actual not negative",IF(AH333="N/A – JUSTIFIED","INVALID – preparation row F10-T12-02 is N/A",IF(AND(AR347=1,ISNUMBER(X333),X347&lt;&gt;X333,TRIM(U347)&lt;&gt;"Pass after CA"),"INVALID – expected qty differs from preparation check F10-T12-02: record the load change as a corrective action (Pass after CA)",IF(BB347&lt;&gt;"",BB347,IF(AND(AS347=1,Documents!$J$14&lt;&gt;"ON FILE"),"INVALID – GLD not on file (Documents sheet)",IF(AND(AS347=2,Documents!$O$14&lt;&gt;"ON FILE"),"INVALID – menu checklist not on file (Documents sheet)",IF(AND(AS347=3,NOT(ISNUMBER(Flights!$AX$14))),"INVALID – enter carrying flight KUL departure (Flights AX)",IF(AND(AS347=3,OR(Flights!$AZ$14&gt;Flights!$AA$14,Flights!$AX$14&lt;Flights!$AA$14-3)),"INVALID – carrying flight (Flights AX) cannot arrive before this leg's STD, or is over 3 days early",IF(AG347&gt;AsOfUTC,"INVALID – completion time is in the future",IF(AND(ISNUMBER(BY347),AG347&lt;BY347),IF(H347="Physical uplift","INVALID – before uplift window (cannot confirm loading)","INVALID – before valid window"),IF(AG347&gt;Flights!$AA$14,"INVALID – completed after departure (cannot establish readiness)",IF(AND(H347="Preparation",AG347&gt;=IF(ISNUMBER(Flights!$BA$14),MIN(Flights!$BA$14,Flights!$AA$14),Flights!$AA$14)),"INVALID – completed after loading / departure (cannot establish readiness)",IF(AND(H347="Physical uplift",AG347&gt;Q347),"INVALID – recorded after the loading flight departed",IF(AG347&gt;Q347,"COMPLETE – LATE","COMPLETE"))))))))))))))))))))))))))),IF(TRIM(U347)="Fail","FAIL – DISCREPANCY",IF(AND(TRIM(U347)&lt;&gt;"",TRIM(U347)&lt;&gt;"Not started",TRIM(U347)&lt;&gt;"In progress"),"INVALID – unrecognised status (use the list)",IF(AsOfUTC&gt;Q347,"OVERDUE",IF(N347="Clarification required","OPEN – CLARIFICATION","OPEN"))))))),"INVALID – error value in an input cell")</f>
        <v>OPEN</v>
      </c>
      <c r="AI347" s="61" t="n">
        <f aca="false">IF(OR(AH347="N/A – RULE",AH347="N/A – JUSTIFIED"),0,1)</f>
        <v>1</v>
      </c>
      <c r="AJ347" s="61" t="n">
        <f aca="false">IF(LEFT(AH347,8)="COMPLETE",1,0)</f>
        <v>0</v>
      </c>
      <c r="AK347" s="61" t="n">
        <f aca="false">IF(AND(AI347=1,AJ347=0,AsOfUTC&gt;Q347),1,0)</f>
        <v>0</v>
      </c>
      <c r="AL347" s="61" t="n">
        <f aca="false">IFERROR(IF(AND(AI347=1,OR(TRIM(U347)="Fail",AND(TRIM(AB347)&lt;&gt;"",TRIM(AB347)&lt;&gt;"Closed"),AND(ISNUMBER(AF347),AF347&lt;&gt;0,TRIM(U347)&lt;&gt;"Pass after CA"))),1,0),1)</f>
        <v>0</v>
      </c>
      <c r="AM347" s="61" t="n">
        <f aca="false">IF(LEFT(AH347,7)="INVALID",1,0)</f>
        <v>0</v>
      </c>
      <c r="AN347" s="61" t="n">
        <f aca="false">IF(AND(N347="Clarification required",AI347=1,AJ347=0),1,0)</f>
        <v>0</v>
      </c>
      <c r="AO347" s="61" t="str">
        <f aca="false">IF(AK347=1,SUM(AK$5:AK347),"")</f>
        <v/>
      </c>
      <c r="AP347" s="61" t="str">
        <f aca="false">IF(AL347=1,SUM(AL$5:AL347),"")</f>
        <v/>
      </c>
      <c r="AQ347" s="61" t="n">
        <v>0</v>
      </c>
      <c r="AR347" s="61" t="n">
        <v>1</v>
      </c>
      <c r="AS347" s="61" t="n">
        <v>0</v>
      </c>
      <c r="AT347" s="61" t="n">
        <v>0</v>
      </c>
      <c r="AU347" s="61" t="str">
        <f aca="false">SUBSTITUTE(SUBSTITUTE(SUBSTITUTE(SUBSTITUTE(SUBSTITUTE(SUBSTITUTE(SUBSTITUTE(SUBSTITUTE(SUBSTITUTE(SUBSTITUTE(SUBSTITUTE(SUBSTITUTE(SUBSTITUTE(SUBSTITUTE(SUBSTITUTE(SUBSTITUTE(LOWER(T347&amp;""),CHAR(10),""),CHAR(13),""),CHAR(9),""),CHAR(160),"")," ",""),".",""),"-",""),"/",""),"?",""),"_",""),",",""),"[",""),"]",""),"(",""),")",""),"*","")</f>
        <v/>
      </c>
      <c r="AV347" s="61" t="str">
        <f aca="false">SUBSTITUTE(SUBSTITUTE(SUBSTITUTE(SUBSTITUTE(SUBSTITUTE(SUBSTITUTE(SUBSTITUTE(SUBSTITUTE(SUBSTITUTE(SUBSTITUTE(SUBSTITUTE(SUBSTITUTE(SUBSTITUTE(SUBSTITUTE(SUBSTITUTE(SUBSTITUTE(LOWER(V347&amp;""),CHAR(10),""),CHAR(13),""),CHAR(9),""),CHAR(160),"")," ",""),".",""),"-",""),"/",""),"?",""),"_",""),",",""),"[",""),"]",""),"(",""),")",""),"*","")</f>
        <v/>
      </c>
      <c r="AW347" s="61" t="str">
        <f aca="false">SUBSTITUTE(SUBSTITUTE(SUBSTITUTE(SUBSTITUTE(SUBSTITUTE(SUBSTITUTE(SUBSTITUTE(SUBSTITUTE(SUBSTITUTE(SUBSTITUTE(SUBSTITUTE(SUBSTITUTE(SUBSTITUTE(SUBSTITUTE(SUBSTITUTE(SUBSTITUTE(LOWER(Z347&amp;""),CHAR(10),""),CHAR(13),""),CHAR(9),""),CHAR(160),"")," ",""),".",""),"-",""),"/",""),"?",""),"_",""),",",""),"[",""),"]",""),"(",""),")",""),"*","")</f>
        <v/>
      </c>
      <c r="AX347" s="61" t="str">
        <f aca="false">SUBSTITUTE(SUBSTITUTE(SUBSTITUTE(SUBSTITUTE(SUBSTITUTE(SUBSTITUTE(SUBSTITUTE(SUBSTITUTE(SUBSTITUTE(SUBSTITUTE(SUBSTITUTE(SUBSTITUTE(SUBSTITUTE(SUBSTITUTE(SUBSTITUTE(SUBSTITUTE(LOWER(AE347&amp;""),CHAR(10),""),CHAR(13),""),CHAR(9),""),CHAR(160),"")," ",""),".",""),"-",""),"/",""),"?",""),"_",""),",",""),"[",""),"]",""),"(",""),")",""),"*","")</f>
        <v/>
      </c>
      <c r="AY347" s="61" t="str">
        <f aca="false">SUBSTITUTE(SUBSTITUTE(SUBSTITUTE(SUBSTITUTE(SUBSTITUTE(SUBSTITUTE(SUBSTITUTE(SUBSTITUTE(SUBSTITUTE(SUBSTITUTE(SUBSTITUTE(SUBSTITUTE(SUBSTITUTE(SUBSTITUTE(SUBSTITUTE(SUBSTITUTE(LOWER(W347&amp;""),CHAR(10),""),CHAR(13),""),CHAR(9),""),CHAR(160),"")," ",""),".",""),"-",""),"/",""),"?",""),"_",""),",",""),"[",""),"]",""),"(",""),")",""),"*","")</f>
        <v/>
      </c>
      <c r="AZ347" s="61" t="str">
        <f aca="false">SUBSTITUTE(SUBSTITUTE(SUBSTITUTE(SUBSTITUTE(SUBSTITUTE(SUBSTITUTE(SUBSTITUTE(SUBSTITUTE(SUBSTITUTE(SUBSTITUTE(SUBSTITUTE(SUBSTITUTE(SUBSTITUTE(SUBSTITUTE(SUBSTITUTE(SUBSTITUTE(LOWER(AC347&amp;""),CHAR(10),""),CHAR(13),""),CHAR(9),""),CHAR(160),"")," ",""),".",""),"-",""),"/",""),"?",""),"_",""),",",""),"[",""),"]",""),"(",""),")",""),"*","")</f>
        <v/>
      </c>
      <c r="BA347" s="61" t="str">
        <f aca="false">SUBSTITUTE(SUBSTITUTE(SUBSTITUTE(SUBSTITUTE(SUBSTITUTE(SUBSTITUTE(SUBSTITUTE(SUBSTITUTE(SUBSTITUTE(SUBSTITUTE(SUBSTITUTE(SUBSTITUTE(SUBSTITUTE(SUBSTITUTE(SUBSTITUTE(SUBSTITUTE(LOWER(AA347&amp;""),CHAR(10),""),CHAR(13),""),CHAR(9),""),CHAR(160),"")," ",""),".",""),"-",""),"/",""),"?",""),"_",""),",",""),"[",""),"]",""),"(",""),")",""),"*","")</f>
        <v/>
      </c>
      <c r="BB347" s="61" t="str">
        <f aca="false">IF(AND(TRIM(U347)="Pass",ISNUMBER(AF347)),IF(AF347&lt;&gt;0,"INVALID – qty variance: use Fail or Pass after CA",""),"")&amp;IF(AND(TRIM(U347)="Pass after CA",ISNUMBER(AF347)),IF(AF347&lt;&gt;0,"INVALID – after the corrective action the actual qty must equal expected (update Actual)",""),"")&amp;IF(AND(TRIM(U347)="Pass",TRIM(AB347)&lt;&gt;"",TRIM(AB347)&lt;&gt;"Closed"),"INVALID – corrective action not closed: use Fail, then Pass after CA","")&amp;IF(AND(LEN(BA347)&gt;=2,ISNA(MATCH(LEFT(BA347,255),L_Placeholder,0)),TRIM(AB347)=""),"INVALID – CA status missing for the recorded corrective action","")&amp;IF(AND(TRIM(U347)="Pass after CA",OR(OR(LEN(BA347)&lt;5,ISNUMBER(MATCH(BA347,L_Placeholder,0))),TRIM(AB347)&lt;&gt;"Closed")),"INVALID – corrective action not recorded/closed","")</f>
        <v/>
      </c>
      <c r="BC347" s="61" t="str">
        <f aca="false">" "&amp;TRIM(SUBSTITUTE(SUBSTITUTE(SUBSTITUTE(SUBSTITUTE(SUBSTITUTE(SUBSTITUTE(SUBSTITUTE(SUBSTITUTE(SUBSTITUTE(SUBSTITUTE(SUBSTITUTE(SUBSTITUTE(SUBSTITUTE(SUBSTITUTE(SUBSTITUTE(SUBSTITUTE(SUBSTITUTE(SUBSTITUTE(SUBSTITUTE(SUBSTITUTE(SUBSTITUTE(SUBSTITUTE(SUBSTITUTE(SUBSTITUTE(LOWER(V347&amp;""),CHAR(10)," "),CHAR(13)," "),CHAR(9)," "),CHAR(160)," "),"."," "),","," "),"-"," "),"/"," "),"("," "),")"," "),":"," "),";"," "),"_"," "),"–"," "),"?"," "),"!"," "),"*"," "),"["," "),"]"," "),"'"," "),"#"," "),"+"," "),"&amp;"," "),"\"," "))&amp;" "</f>
        <v>  </v>
      </c>
      <c r="BD347" s="61" t="str">
        <f aca="false">" "&amp;TRIM(SUBSTITUTE(SUBSTITUTE(SUBSTITUTE(SUBSTITUTE(SUBSTITUTE(SUBSTITUTE(SUBSTITUTE(SUBSTITUTE(SUBSTITUTE(SUBSTITUTE(SUBSTITUTE(SUBSTITUTE(SUBSTITUTE(SUBSTITUTE(SUBSTITUTE(SUBSTITUTE(SUBSTITUTE(SUBSTITUTE(SUBSTITUTE(SUBSTITUTE(SUBSTITUTE(SUBSTITUTE(SUBSTITUTE(SUBSTITUTE(LOWER(Z347&amp;""),CHAR(10)," "),CHAR(13)," "),CHAR(9)," "),CHAR(160)," "),"."," "),","," "),"-"," "),"/"," "),"("," "),")"," "),":"," "),";"," "),"_"," "),"–"," "),"?"," "),"!"," "),"*"," "),"["," "),"]"," "),"'"," "),"#"," "),"+"," "),"&amp;"," "),"\"," "))&amp;" "</f>
        <v>  </v>
      </c>
      <c r="BE347" s="61" t="str">
        <f aca="false">" "&amp;TRIM(SUBSTITUTE(SUBSTITUTE(SUBSTITUTE(SUBSTITUTE(SUBSTITUTE(SUBSTITUTE(SUBSTITUTE(SUBSTITUTE(SUBSTITUTE(SUBSTITUTE(SUBSTITUTE(SUBSTITUTE(SUBSTITUTE(SUBSTITUTE(SUBSTITUTE(SUBSTITUTE(SUBSTITUTE(SUBSTITUTE(SUBSTITUTE(SUBSTITUTE(SUBSTITUTE(SUBSTITUTE(SUBSTITUTE(SUBSTITUTE(LOWER(W347&amp;""),CHAR(10)," "),CHAR(13)," "),CHAR(9)," "),CHAR(160)," "),"."," "),","," "),"-"," "),"/"," "),"("," "),")"," "),":"," "),";"," "),"_"," "),"–"," "),"?"," "),"!"," "),"*"," "),"["," "),"]"," "),"'"," "),"#"," "),"+"," "),"&amp;"," "),"\"," "))&amp;" "</f>
        <v>  </v>
      </c>
      <c r="BF347" s="61" t="str">
        <f aca="false">" "&amp;TRIM(SUBSTITUTE(SUBSTITUTE(SUBSTITUTE(SUBSTITUTE(SUBSTITUTE(SUBSTITUTE(SUBSTITUTE(SUBSTITUTE(SUBSTITUTE(SUBSTITUTE(SUBSTITUTE(SUBSTITUTE(SUBSTITUTE(SUBSTITUTE(SUBSTITUTE(SUBSTITUTE(SUBSTITUTE(SUBSTITUTE(SUBSTITUTE(SUBSTITUTE(SUBSTITUTE(SUBSTITUTE(SUBSTITUTE(SUBSTITUTE(LOWER(AC347&amp;""),CHAR(10)," "),CHAR(13)," "),CHAR(9)," "),CHAR(160)," "),"."," "),","," "),"-"," "),"/"," "),"("," "),")"," "),":"," "),";"," "),"_"," "),"–"," "),"?"," "),"!"," "),"*"," "),"["," "),"]"," "),"'"," "),"#"," "),"+"," "),"&amp;"," "),"\"," "))&amp;" "</f>
        <v>  </v>
      </c>
      <c r="BG347" s="61" t="n">
        <f aca="false">IFERROR(IF(AND(TRIM(U347)="Pass",SUMPRODUCT((LEN(BC347)-LEN(SUBSTITUTE(BC347," "&amp;L_ResultBad&amp;" "," ")))/(LEN(L_ResultBad)+1))&gt;SUMPRODUCT((LEN(BC347)-LEN(SUBSTITUTE(BC347," "&amp;L_NegPhrase&amp;" "," ")))/(LEN(L_NegPhrase)+1))),1,0),0)</f>
        <v>0</v>
      </c>
      <c r="BH347" s="61" t="n">
        <f aca="false">IFERROR(IF(SUMPRODUCT((LEN(BC347)-LEN(SUBSTITUTE(BC347," "&amp;L_Pending&amp;" "," ")))/(LEN(L_Pending)+1))&gt;SUMPRODUCT((LEN(BC347)-LEN(SUBSTITUTE(BC347," "&amp;L_PendNeg&amp;" "," ")))/(LEN(L_PendNeg)+1)),1,0),1)</f>
        <v>0</v>
      </c>
      <c r="BI347" s="61" t="n">
        <f aca="false">IFERROR(IF(SUMPRODUCT((LEN(BD347)-LEN(SUBSTITUTE(BD347," "&amp;L_PendStrict&amp;" "," ")))/(LEN(L_PendStrict)+1))&gt;SUMPRODUCT((LEN(BD347)-LEN(SUBSTITUTE(BD347," "&amp;L_PendNeg&amp;" "," ")))/(LEN(L_PendNeg)+1)),1,0),1)</f>
        <v>0</v>
      </c>
      <c r="BJ347" s="61" t="n">
        <f aca="false">IFERROR(IF(SUMPRODUCT((LEN(BE347)-LEN(SUBSTITUTE(BE347," "&amp;L_Pending&amp;" "," ")))/(LEN(L_Pending)+1))&gt;SUMPRODUCT((LEN(BE347)-LEN(SUBSTITUTE(BE347," "&amp;L_PendNeg&amp;" "," ")))/(LEN(L_PendNeg)+1)),1,0),1)</f>
        <v>0</v>
      </c>
      <c r="BK347" s="61" t="n">
        <f aca="false">IFERROR(IF(SUMPRODUCT((LEN(BF347)-LEN(SUBSTITUTE(BF347," "&amp;L_PendStrict&amp;" "," ")))/(LEN(L_PendStrict)+1))&gt;SUMPRODUCT((LEN(BF347)-LEN(SUBSTITUTE(BF347," "&amp;L_PendNeg&amp;" "," ")))/(LEN(L_PendNeg)+1)),1,0),1)</f>
        <v>0</v>
      </c>
      <c r="BL347" s="61" t="n">
        <f aca="false">IF(ISNA(MATCH(TRIM(S347),L_EvidenceType,0)),0,BZ347)</f>
        <v>0</v>
      </c>
      <c r="BM347" s="61" t="str">
        <f aca="false">SUBSTITUTE(SUBSTITUTE(SUBSTITUTE(SUBSTITUTE(SUBSTITUTE(SUBSTITUTE(SUBSTITUTE(SUBSTITUTE(SUBSTITUTE(LOWER(Z347&amp;""),"1","0"),"2","0"),"3","0"),"4","0"),"5","0"),"6","0"),"7","0"),"8","0"),"9","0")</f>
        <v/>
      </c>
      <c r="BN347" s="61" t="str">
        <f aca="false">SUBSTITUTE(SUBSTITUTE(SUBSTITUTE(SUBSTITUTE(SUBSTITUTE(SUBSTITUTE(SUBSTITUTE(SUBSTITUTE(SUBSTITUTE(SUBSTITUTE(SUBSTITUTE(SUBSTITUTE(SUBSTITUTE(SUBSTITUTE(SUBSTITUTE(SUBSTITUTE(SUBSTITUTE(SUBSTITUTE(SUBSTITUTE(SUBSTITUTE(SUBSTITUTE(SUBSTITUTE(SUBSTITUTE(SUBSTITUTE(SUBSTITUTE(BM347,"b","a"),"c","a"),"d","a"),"e","a"),"f","a"),"g","a"),"h","a"),"i","a"),"j","a"),"k","a"),"l","a"),"m","a"),"n","a"),"o","a"),"p","a"),"q","a"),"r","a"),"s","a"),"t","a"),"u","a"),"v","a"),"w","a"),"x","a"),"y","a"),"z","a")</f>
        <v/>
      </c>
      <c r="BO347" s="61" t="str">
        <f aca="false">SUBSTITUTE(SUBSTITUTE(SUBSTITUTE(SUBSTITUTE(SUBSTITUTE(SUBSTITUTE(SUBSTITUTE(SUBSTITUTE(SUBSTITUTE(LOWER(W347&amp;""),"1","0"),"2","0"),"3","0"),"4","0"),"5","0"),"6","0"),"7","0"),"8","0"),"9","0")</f>
        <v/>
      </c>
      <c r="BP347" s="61" t="str">
        <f aca="false">SUBSTITUTE(SUBSTITUTE(SUBSTITUTE(SUBSTITUTE(SUBSTITUTE(SUBSTITUTE(SUBSTITUTE(SUBSTITUTE(SUBSTITUTE(SUBSTITUTE(SUBSTITUTE(SUBSTITUTE(SUBSTITUTE(SUBSTITUTE(SUBSTITUTE(SUBSTITUTE(SUBSTITUTE(SUBSTITUTE(SUBSTITUTE(SUBSTITUTE(SUBSTITUTE(SUBSTITUTE(SUBSTITUTE(SUBSTITUTE(SUBSTITUTE(BO347,"b","a"),"c","a"),"d","a"),"e","a"),"f","a"),"g","a"),"h","a"),"i","a"),"j","a"),"k","a"),"l","a"),"m","a"),"n","a"),"o","a"),"p","a"),"q","a"),"r","a"),"s","a"),"t","a"),"u","a"),"v","a"),"w","a"),"x","a"),"y","a"),"z","a")</f>
        <v/>
      </c>
      <c r="BQ347" s="61" t="n">
        <f aca="false">IFERROR(IF(AND(ISERROR(SEARCH(" mh"," "&amp;LOWER(W347))),ISNA(MATCH(LEFT(TRIM(BP347),255),{"0000a","000a","00a","0000aa","000aa","00aa","0aa","0000aaa","000aaa","00a00","0a00","0000-0000","00:00","a00","a0","00.00.0000","00/00/0000","00-00-0000","0000-00-00","0000/00/00","0000.00.00","00.00.00","00/00/00","00-00-00","0.00.0000","0/00/0000","0-00-0000"},0)),ISNA(MATCH(LEFT(TRIM(CA347),255),{"0000a","000a","00a","0000aa","000aa","00aa","0aa","0000aaa","000aaa","00a00","0a00","0000-0000","00:00","a00","a0","00.00.0000","00/00/0000","00-00-0000","0000-00-00","0000/00/00","0000.00.00","00.00.00","00/00/00","00-00-00","0.00.0000","0/00/0000","0-00-0000"},0)),LEN(CB347)&gt;=3,NOT(OR(SUBSTITUTE(CB347,"0","")="",AND(LEN(CB347)&gt;=4,CB347=REPT(LEFT(CB347),LEN(CB347))),ISNUMBER(MATCH(CB347,{"123","1234","12345","123456","1234567","12345678","0123","01234","012345","98765","987654","54321"},0)),AND(LEN(CB347)=8,LEFT(CB347,3)="202"))),OR(AND((LEN(CA347)-LEN(SUBSTITUTE(CA347,"a","")))&gt;=1,SUMPRODUCT(--ISNUMBER(SEARCH({"a0","a-0","a_0","a/0","a.0","a#0","0a","0-a","0_a","0/a"},BP347)))&gt;0),ISNUMBER(SEARCH("000000",BP347)))),1,0),0)</f>
        <v>0</v>
      </c>
      <c r="BR347" s="61" t="n">
        <f aca="false">IFERROR(LEN(SUBSTITUTE(CC347," ",""))-SUMPRODUCT((LEN(CC347)-LEN(SUBSTITUTE(CC347," "&amp;L_Role&amp;" "," ")))/(LEN(L_Role)+1)*LEN(L_Role)),0)</f>
        <v>0</v>
      </c>
      <c r="BS347" s="61" t="n">
        <f aca="false">IFERROR(LEN(SUBSTITUTE(CD347," ",""))-SUMPRODUCT((LEN(CD347)-LEN(SUBSTITUTE(CD347," "&amp;L_Role&amp;" "," ")))/(LEN(L_Role)+1)*LEN(L_Role)),0)</f>
        <v>0</v>
      </c>
      <c r="BT3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347,"revision",""),"version",""),"jan",""),"feb",""),"mar",""),"apr",""),"may",""),"jun",""),"jul",""),"aug",""),"sep",""),"oct",""),"nov",""),"dec",""),"utc",""),"gmt",""),"myt",""),"bst",""),"rev",""),"ver",""),"b","a"),"c","a"),"d","a"),"e","a"),"f","a"),"g","a"),"h","a"),"i","a"),"j","a"),"k","a"),"l","a"),"m","a"),"n","a"),"o","a"),"p","a"),"q","a"),"r","a"),"s","a"),"t","a"),"u","a"),"v","a"),"w","a"),"x","a"),"y","a"),"z","a")</f>
        <v/>
      </c>
      <c r="BU347" s="61" t="str">
        <f aca="false">SUBSTITUTE(SUBSTITUTE(SUBSTITUTE(SUBSTITUTE(SUBSTITUTE(SUBSTITUTE(SUBSTITUTE(SUBSTITUTE(SUBSTITUTE(SUBSTITUTE(LEFT(BM347,FIND("0",BM347&amp;"0")-1),"-",""),"_",""),"/",""),".",""),"#",""),"\\",""),":","")," ",""),"(",""),")","")</f>
        <v/>
      </c>
      <c r="BV347" s="61" t="n">
        <f aca="false">IFERROR(IF(OR(SUMPRODUCT((LEN(BC347)-LEN(SUBSTITUTE(BC347," "&amp;L_NotLoaded&amp;" "," ")))/(LEN(L_NotLoaded)+1))&gt;SUMPRODUCT((LEN(BC347)-LEN(SUBSTITUTE(BC347," "&amp;L_NotLoadedNeg&amp;" "," ")))/(LEN(L_NotLoadedNeg)+1)),SUMPRODUCT((LEN(BD347)-LEN(SUBSTITUTE(BD347," "&amp;L_NotLoaded&amp;" "," ")))/(LEN(L_NotLoaded)+1))&gt;SUMPRODUCT((LEN(BD347)-LEN(SUBSTITUTE(BD347," "&amp;L_NotLoadedNeg&amp;" "," ")))/(LEN(L_NotLoadedNeg)+1))),1,0),0)</f>
        <v>0</v>
      </c>
      <c r="BW3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347&amp;""),"a",""),"b",""),"c",""),"d",""),"e",""),"f",""),"g",""),"h",""),"i",""),"j",""),"k",""),"l",""),"m",""),"n",""),"o",""),"p",""),"q",""),"r",""),"s",""),"t",""),"u",""),"v",""),"w",""),"x",""),"y",""),"z",""),"-",""),"_",""),"/",""),".",""),"#",""),"\\",""),":","")," ",""),"(",""),")","")</f>
        <v/>
      </c>
      <c r="BX347" s="61" t="str">
        <f aca="false">SUBSTITUTE(SUBSTITUTE(SUBSTITUTE(SUBSTITUTE(SUBSTITUTE(SUBSTITUTE(SUBSTITUTE(SUBSTITUTE(SUBSTITUTE(SUBSTITUTE(SUBSTITUTE(BM347,"0",""),"-",""),"_",""),"/",""),".",""),"#",""),"\\",""),":","")," ",""),"(",""),")","")</f>
        <v/>
      </c>
      <c r="BY347" s="62" t="n">
        <f aca="false">IF(ISNUMBER(Flights!$AZ$14),MAX(Q347-UpliftWindowH/24,Flights!$AZ$14),Q347-UpliftWindowH/24)</f>
        <v>46306.90625</v>
      </c>
      <c r="BZ347" s="61" t="n">
        <f aca="false">IFERROR(IF(IF(TRIM(S347)="Link / file path",AND(LEN(TRIM(Z347))&gt;=5,SUMPRODUCT(--ISNUMBER(SEARCH({"http","www.","\\",":\",".pdf",".jpg",".jpeg",".png",".heic",".xls",".doc",".msg",".eml",".ppt",".txt",".zip"},Z347)))&gt;0),AND(ISERROR(FIND(" ",TRIM(Z347))),NOT(OR(SUMPRODUCT(--ISNUMBER(FIND({",",";","&amp;","+"},Z347)))&gt;0,SUMPRODUCT(--ISNUMBER(SEARCH({"0/aa","0\\aa"},BN347)))&gt;0)),NOT(SUMPRODUCT(--ISNUMBER(SEARCH({"http","www.","\\",":\",".pdf",".jpg",".jpeg",".png",".heic",".xls",".doc",".msg",".eml",".ppt",".txt",".zip"},Z347)))&gt;0),NOT(LOWER(TRIM(Z347))=LOWER(Flights!$F$14)),ISNA(MATCH(BU347,{"mh","rev","revision","ver","version","v","r","a","b","seat","tray","row","gate","bay","stand","page","pg","item","line","no","cart","galley","flight","flt","table","box","bag","oven","etd","eta","std","sta","atd","ata","qty","pax","x","time","tel","ph","mob","day","wk","week","utc","gmt","myt","lt"},0)),NOT(OR(ISNUMBER(MATCH(LEFT(BN347,255),{"0000a","000a","00a","0000aa","000aa","00aa","0aa","0000aaa","000aaa","00a00","0a00","0000-0000","00:00","a00","a0","00.00.0000","00/00/0000","00-00-0000","0000-00-00","0000/00/00","0000.00.00","00.00.00","00/00/00","00-00-00","0.00.0000","0/00/0000","0-00-0000"},0)),ISNUMBER(MATCH(LEFT(BT347,255),{"0000a","000a","00a","0000aa","000aa","00aa","0aa","0000aaa","000aaa","00a00","0a00","0000-0000","00:00","a00","a0","00.00.0000","00/00/0000","00-00-0000","0000-00-00","0000/00/00","0000.00.00","00.00.00","00/00/00","00-00-00","0.00.0000","0/00/0000","0-00-0000"},0)))),NOT(OR(AND(BW347&lt;&gt;"",SUBSTITUTE(BW347,"0","")=""),AND(LEN(BW347)&gt;=4,BW347=REPT(LEFT(BW347),LEN(BW347))),ISNUMBER(MATCH(BW347,{"123","1234","12345","123456","1234567","12345678","0123","01234","012345","98765","987654","54321"},0)),ISNUMBER(MATCH(BX347,{"x","xx","xxx","xxxx","xxxxx","abc","abcd","nil","na","nan","test","tbc","tba","tbd","dummy","sample","example","eg","zz","zzz","none","null","xyz","qwe","asd","id","ref"},0)),AND(LEN(BW347)=8,BX347="",OR(LEFT(BW347,3)="202",ISNUMBER(MATCH(RIGHT(BW347,4),{"2025","2026","2027"},0)))))),OR(AND((LEN(BT347)-LEN(SUBSTITUTE(BT347,"a","")))&gt;=1,(LEN(BN347)-LEN(SUBSTITUTE(BN347,"0","")))&gt;=2,SUMPRODUCT(--ISNUMBER(SEARCH({"a0","a-0","a_0","a/0","a.0","a#0","0a","0-a","0_a","0/a"},BN347)))&gt;0),AND((LEN(BN347)-LEN(SUBSTITUTE(BN347,"a","")))=0,(LEN(BN347)-LEN(SUBSTITUTE(BN347,"0","")))&gt;=5)))),1,0),0)</f>
        <v>0</v>
      </c>
      <c r="CA3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347,"revision",""),"version",""),"jan",""),"feb",""),"mar",""),"apr",""),"may",""),"jun",""),"jul",""),"aug",""),"sep",""),"oct",""),"nov",""),"dec",""),"utc",""),"gmt",""),"myt",""),"bst",""),"rev",""),"ver",""),"b","a"),"c","a"),"d","a"),"e","a"),"f","a"),"g","a"),"h","a"),"i","a"),"j","a"),"k","a"),"l","a"),"m","a"),"n","a"),"o","a"),"p","a"),"q","a"),"r","a"),"s","a"),"t","a"),"u","a"),"v","a"),"w","a"),"x","a"),"y","a"),"z","a")</f>
        <v/>
      </c>
      <c r="CB3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347&amp;""),"a",""),"b",""),"c",""),"d",""),"e",""),"f",""),"g",""),"h",""),"i",""),"j",""),"k",""),"l",""),"m",""),"n",""),"o",""),"p",""),"q",""),"r",""),"s",""),"t",""),"u",""),"v",""),"w",""),"x",""),"y",""),"z",""),"-",""),"_",""),"/",""),".",""),"#",""),"\\",""),":","")," ",""),"(",""),")","")</f>
        <v/>
      </c>
      <c r="CC347" s="0" t="str">
        <f aca="false">" "&amp;TRIM(SUBSTITUTE(SUBSTITUTE(SUBSTITUTE(SUBSTITUTE(SUBSTITUTE(SUBSTITUTE(SUBSTITUTE(SUBSTITUTE(SUBSTITUTE(SUBSTITUTE(SUBSTITUTE(SUBSTITUTE(SUBSTITUTE(SUBSTITUTE(SUBSTITUTE(SUBSTITUTE(SUBSTITUTE(SUBSTITUTE(SUBSTITUTE(SUBSTITUTE(SUBSTITUTE(SUBSTITUTE(SUBSTITUTE(SUBSTITUTE(LOWER(T347&amp;""),CHAR(10)," "),CHAR(13)," "),CHAR(9)," "),CHAR(160)," "),"."," "),","," "),"-"," "),"/"," "),"("," "),")"," "),":"," "),";"," "),"_"," "),"–"," "),"?"," "),"!"," "),"*"," "),"["," "),"]"," "),"'"," "),"#"," "),"+"," "),"&amp;"," "),"\"," "))&amp;" "</f>
        <v>  </v>
      </c>
      <c r="CD347" s="0" t="str">
        <f aca="false">" "&amp;TRIM(SUBSTITUTE(SUBSTITUTE(SUBSTITUTE(SUBSTITUTE(SUBSTITUTE(SUBSTITUTE(SUBSTITUTE(SUBSTITUTE(SUBSTITUTE(SUBSTITUTE(SUBSTITUTE(SUBSTITUTE(SUBSTITUTE(SUBSTITUTE(SUBSTITUTE(SUBSTITUTE(SUBSTITUTE(SUBSTITUTE(SUBSTITUTE(SUBSTITUTE(SUBSTITUTE(SUBSTITUTE(SUBSTITUTE(SUBSTITUTE(LOWER(AE347&amp;""),CHAR(10)," "),CHAR(13)," "),CHAR(9)," "),CHAR(160)," "),"."," "),","," "),"-"," "),"/"," "),"("," "),")"," "),":"," "),";"," "),"_"," "),"–"," "),"?"," "),"!"," "),"*"," "),"["," "),"]"," "),"'"," "),"#"," "),"+"," "),"&amp;"," "),"\"," "))&amp;" "</f>
        <v>  </v>
      </c>
      <c r="CE347" s="68" t="n">
        <f aca="false">IFERROR(IF(AND(LEN(AU347)&gt;0,LEN(AU347)=LEN(AX347),OR(TRIM(MID(SUBSTITUTE(TRIM(CC347)," ",REPT(" ",60)),1,60))="",ISNUMBER(SEARCH(" "&amp;TRIM(MID(SUBSTITUTE(TRIM(CC347)," ",REPT(" ",60)),1,60))&amp;" ",CD347))),OR(TRIM(MID(SUBSTITUTE(TRIM(CC347)," ",REPT(" ",60)),61,60))="",ISNUMBER(SEARCH(" "&amp;TRIM(MID(SUBSTITUTE(TRIM(CC347)," ",REPT(" ",60)),61,60))&amp;" ",CD347))),OR(TRIM(MID(SUBSTITUTE(TRIM(CC347)," ",REPT(" ",60)),121,60))="",ISNUMBER(SEARCH(" "&amp;TRIM(MID(SUBSTITUTE(TRIM(CC347)," ",REPT(" ",60)),121,60))&amp;" ",CD347)))),1,0),0)</f>
        <v>0</v>
      </c>
      <c r="CG347" s="68" t="n">
        <f aca="false">IFERROR(LEN(SUBSTITUTE(BF347," ",""))-SUMPRODUCT((LEN(BF347)-LEN(SUBSTITUTE(BF347," "&amp;L_NAFiller&amp;" "," ")))/(LEN(L_NAFiller)+1)*LEN(L_NAFiller)),0)</f>
        <v>0</v>
      </c>
    </row>
    <row r="348" customFormat="false" ht="39.75" hidden="false" customHeight="true" outlineLevel="0" collapsed="false">
      <c r="A348" s="57" t="s">
        <v>949</v>
      </c>
      <c r="B348" s="57" t="s">
        <v>251</v>
      </c>
      <c r="C348" s="57" t="str">
        <f aca="false">Flights!$F$14</f>
        <v>MH1140</v>
      </c>
      <c r="D348" s="58" t="n">
        <f aca="false">Flights!$D$14</f>
        <v>46307</v>
      </c>
      <c r="E348" s="57" t="str">
        <f aca="false">Flights!$G$14&amp;"-"&amp;Flights!$H$14</f>
        <v>KUL-PEN</v>
      </c>
      <c r="F348" s="57" t="str">
        <f aca="false">Flights!$K$14</f>
        <v>BC</v>
      </c>
      <c r="G348" s="57" t="s">
        <v>459</v>
      </c>
      <c r="H348" s="57" t="s">
        <v>460</v>
      </c>
      <c r="I348" s="57" t="s">
        <v>428</v>
      </c>
      <c r="J348" s="57" t="s">
        <v>465</v>
      </c>
      <c r="K348" s="67" t="s">
        <v>426</v>
      </c>
      <c r="L348" s="67" t="s">
        <v>462</v>
      </c>
      <c r="M348" s="67"/>
      <c r="N348" s="67" t="s">
        <v>383</v>
      </c>
      <c r="O348" s="67" t="s">
        <v>463</v>
      </c>
      <c r="P348" s="57" t="s">
        <v>187</v>
      </c>
      <c r="Q348" s="59" t="n">
        <f aca="false">ROUND((Flights!$AF$14)*1440,0)/1440</f>
        <v>46307.15625</v>
      </c>
      <c r="R348" s="59" t="n">
        <f aca="false">Q348+(IF(AND(INDEX(TZ_DSTS,MATCH(P348,TZ_STN,0))&lt;&gt;"",Q348&gt;=INDEX(TZ_DSTS,MATCH(P348,TZ_STN,0)),Q348&lt;INDEX(TZ_DSTE,MATCH(P348,TZ_STN,0))),INDEX(TZ_DST,MATCH(P348,TZ_STN,0)),INDEX(TZ_STD,MATCH(P348,TZ_STN,0))))/24</f>
        <v>46307.4895833333</v>
      </c>
      <c r="S348" s="60"/>
      <c r="T348" s="60"/>
      <c r="U348" s="60"/>
      <c r="V348" s="60"/>
      <c r="W348" s="61"/>
      <c r="X348" s="60"/>
      <c r="Y348" s="60"/>
      <c r="Z348" s="60"/>
      <c r="AA348" s="60"/>
      <c r="AB348" s="60"/>
      <c r="AC348" s="60"/>
      <c r="AD348" s="66"/>
      <c r="AE348" s="60"/>
      <c r="AF348" s="61" t="str">
        <f aca="false">IF(AND(ISNUMBER(X348),ISNUMBER(Y348)),Y348-X348,"")</f>
        <v/>
      </c>
      <c r="AG348" s="62" t="str">
        <f aca="false">IF(ISNUMBER(AD348),AD348-(IF(AND(INDEX(TZ_DSTS,MATCH(P348,TZ_STN,0))&lt;&gt;"",(AD348-INDEX(TZ_STD,MATCH(P348,TZ_STN,0))/24)&gt;=INDEX(TZ_DSTS,MATCH(P348,TZ_STN,0)),(AD348-INDEX(TZ_STD,MATCH(P348,TZ_STN,0))/24)&lt;INDEX(TZ_DSTE,MATCH(P348,TZ_STN,0))),INDEX(TZ_DST,MATCH(P348,TZ_STN,0)),INDEX(TZ_STD,MATCH(P348,TZ_STN,0))))/24,"")</f>
        <v/>
      </c>
      <c r="AH348" s="65" t="str">
        <f aca="false">IFERROR(IF(N348="N/A – rule",IF(OR(TRIM(U348)="",TRIM(U348)="N/A",TRIM(U348)="Not started"),"N/A – RULE","INVALID – this check does not apply to this aircraft: clear the status (or correct the fleet on Flights)"),IF(TRIM(U348)="N/A",IF(AT348=0,"INVALID – N/A not permitted for this check",IF(AND(TRIM(AB348)&lt;&gt;"",TRIM(AB348)&lt;&gt;"Closed"),"INVALID – corrective action still open",IF(AND(NOT(OR(LEN(AZ348)&lt;15,ISNUMBER(MATCH(AZ348,L_Placeholder,0)))),BK348=0,CG348&gt;=8,NOT(OR(LEN(AU348)&lt;2,ISNUMBER(MATCH(AU348,L_Placeholder,0)))),BR348&gt;=3,NOT(OR(LEN(AX348)&lt;2,ISNUMBER(MATCH(AX348,L_Placeholder,0)))),BS348&gt;=3,TRIM(AE348)&lt;&gt;TRIM(T348),AX348&lt;&gt;AU348,CE348=0),"N/A – JUSTIFIED","INVALID – N/A needs a real, settled reason (not 'not applicable' / 'as above' / TBC), a named PIC and a different named verifier"))),IF(OR(TRIM(U348)="Pass",TRIM(U348)="Pass after CA"),IF(NOT(ISNUMBER(AD348)),"INVALID – completion time missing",IF(OR(OR(LEN(AU348)&lt;2,ISNUMBER(MATCH(AU348,L_Placeholder,0))),BR348&lt;3),"INVALID – PIC missing or not a named person (a role such as QA / CSM is not a name)",IF(OR(LEN(AV348)&lt;2,ISNUMBER(MATCH(AV348,L_Placeholder,0))),"INVALID – result / assessment missing",IF(OR(OR(LEN(AW348)&lt;3,ISNUMBER(MATCH(AW348,L_Placeholder,0))),SUMPRODUCT(--ISNUMBER(SEARCH(" "&amp;L_EvidencePhrase&amp;" ",BD348)))&gt;0,BI348=1),"INVALID – evidence missing, placeholder or not yet on file",IF(ISNA(MATCH(TRIM(S348),L_EvidenceType,0)),"INVALID – choose the evidence type from the list (column S)",IF(BL348=0,"INVALID – evidence ID must be the record's own ID only (e.g. SF-2210, IMG_2231, 1045521); a link / file name needs type 'Link / file path'",IF(OR(OR(LEN(AX348)&lt;2,ISNUMBER(MATCH(AX348,L_Placeholder,0))),BS348&lt;3),"INVALID – verifier missing or not a named person (a role such as QA / CSM is not a name)",IF(OR(AX348=AU348,CE348=1,AND(LEN(AU348)&gt;=4,ISNUMBER(SEARCH(AU348,AX348))),AND(LEN(AX348)&gt;=4,ISNUMBER(SEARCH(AX348,AU348)))),"INVALID – verifier must be a different, named person (not the PIC or a role)",IF(BH348=1,"INVALID – result not yet available (awaiting / TBC)",IF(BG348=1,"INVALID – result describes a problem: record Fail, then Pass after CA (or reword if it is not a problem)",IF(BV348=1,"INVALID – wording says not on board: an on-board confirmation needs the item loaded",IF(AND(AQ348=1,OR(OR(LEN(AY348)&lt;3,ISNUMBER(MATCH(AY348,L_Placeholder,0))),BJ348=1,BQ348=0)),"INVALID – batch ID missing, placeholder or not an ID (e.g. PASB-261008-BC-017)",IF(AND(AR348=1,OR(NOT(ISNUMBER(X348)),NOT(ISNUMBER(Y348)))),"INVALID – expected/actual qty missing",IF(AND(AR348=1,OR(X348&lt;=0,Y348&lt;0)),"INVALID – expected qty must be above 0 and actual not negative",IF(AH337="N/A – JUSTIFIED","INVALID – preparation row F10-T12-06 is N/A",IF(AND(AR348=1,ISNUMBER(X337),X348&lt;&gt;X337,TRIM(U348)&lt;&gt;"Pass after CA"),"INVALID – expected qty differs from preparation check F10-T12-06: record the load change as a corrective action (Pass after CA)",IF(BB348&lt;&gt;"",BB348,IF(AND(AS348=1,Documents!$J$14&lt;&gt;"ON FILE"),"INVALID – GLD not on file (Documents sheet)",IF(AND(AS348=2,Documents!$O$14&lt;&gt;"ON FILE"),"INVALID – menu checklist not on file (Documents sheet)",IF(AND(AS348=3,NOT(ISNUMBER(Flights!$AX$14))),"INVALID – enter carrying flight KUL departure (Flights AX)",IF(AND(AS348=3,OR(Flights!$AZ$14&gt;Flights!$AA$14,Flights!$AX$14&lt;Flights!$AA$14-3)),"INVALID – carrying flight (Flights AX) cannot arrive before this leg's STD, or is over 3 days early",IF(AG348&gt;AsOfUTC,"INVALID – completion time is in the future",IF(AND(ISNUMBER(BY348),AG348&lt;BY348),IF(H348="Physical uplift","INVALID – before uplift window (cannot confirm loading)","INVALID – before valid window"),IF(AG348&gt;Flights!$AA$14,"INVALID – completed after departure (cannot establish readiness)",IF(AND(H348="Preparation",AG348&gt;=IF(ISNUMBER(Flights!$BA$14),MIN(Flights!$BA$14,Flights!$AA$14),Flights!$AA$14)),"INVALID – completed after loading / departure (cannot establish readiness)",IF(AND(H348="Physical uplift",AG348&gt;Q348),"INVALID – recorded after the loading flight departed",IF(AG348&gt;Q348,"COMPLETE – LATE","COMPLETE"))))))))))))))))))))))))))),IF(TRIM(U348)="Fail","FAIL – DISCREPANCY",IF(AND(TRIM(U348)&lt;&gt;"",TRIM(U348)&lt;&gt;"Not started",TRIM(U348)&lt;&gt;"In progress"),"INVALID – unrecognised status (use the list)",IF(AsOfUTC&gt;Q348,"OVERDUE",IF(N348="Clarification required","OPEN – CLARIFICATION","OPEN"))))))),"INVALID – error value in an input cell")</f>
        <v>OPEN</v>
      </c>
      <c r="AI348" s="61" t="n">
        <f aca="false">IF(OR(AH348="N/A – RULE",AH348="N/A – JUSTIFIED"),0,1)</f>
        <v>1</v>
      </c>
      <c r="AJ348" s="61" t="n">
        <f aca="false">IF(LEFT(AH348,8)="COMPLETE",1,0)</f>
        <v>0</v>
      </c>
      <c r="AK348" s="61" t="n">
        <f aca="false">IF(AND(AI348=1,AJ348=0,AsOfUTC&gt;Q348),1,0)</f>
        <v>0</v>
      </c>
      <c r="AL348" s="61" t="n">
        <f aca="false">IFERROR(IF(AND(AI348=1,OR(TRIM(U348)="Fail",AND(TRIM(AB348)&lt;&gt;"",TRIM(AB348)&lt;&gt;"Closed"),AND(ISNUMBER(AF348),AF348&lt;&gt;0,TRIM(U348)&lt;&gt;"Pass after CA"))),1,0),1)</f>
        <v>0</v>
      </c>
      <c r="AM348" s="61" t="n">
        <f aca="false">IF(LEFT(AH348,7)="INVALID",1,0)</f>
        <v>0</v>
      </c>
      <c r="AN348" s="61" t="n">
        <f aca="false">IF(AND(N348="Clarification required",AI348=1,AJ348=0),1,0)</f>
        <v>0</v>
      </c>
      <c r="AO348" s="61" t="str">
        <f aca="false">IF(AK348=1,SUM(AK$5:AK348),"")</f>
        <v/>
      </c>
      <c r="AP348" s="61" t="str">
        <f aca="false">IF(AL348=1,SUM(AL$5:AL348),"")</f>
        <v/>
      </c>
      <c r="AQ348" s="61" t="n">
        <v>0</v>
      </c>
      <c r="AR348" s="61" t="n">
        <v>1</v>
      </c>
      <c r="AS348" s="61" t="n">
        <v>0</v>
      </c>
      <c r="AT348" s="61" t="n">
        <v>0</v>
      </c>
      <c r="AU348" s="61" t="str">
        <f aca="false">SUBSTITUTE(SUBSTITUTE(SUBSTITUTE(SUBSTITUTE(SUBSTITUTE(SUBSTITUTE(SUBSTITUTE(SUBSTITUTE(SUBSTITUTE(SUBSTITUTE(SUBSTITUTE(SUBSTITUTE(SUBSTITUTE(SUBSTITUTE(SUBSTITUTE(SUBSTITUTE(LOWER(T348&amp;""),CHAR(10),""),CHAR(13),""),CHAR(9),""),CHAR(160),"")," ",""),".",""),"-",""),"/",""),"?",""),"_",""),",",""),"[",""),"]",""),"(",""),")",""),"*","")</f>
        <v/>
      </c>
      <c r="AV348" s="61" t="str">
        <f aca="false">SUBSTITUTE(SUBSTITUTE(SUBSTITUTE(SUBSTITUTE(SUBSTITUTE(SUBSTITUTE(SUBSTITUTE(SUBSTITUTE(SUBSTITUTE(SUBSTITUTE(SUBSTITUTE(SUBSTITUTE(SUBSTITUTE(SUBSTITUTE(SUBSTITUTE(SUBSTITUTE(LOWER(V348&amp;""),CHAR(10),""),CHAR(13),""),CHAR(9),""),CHAR(160),"")," ",""),".",""),"-",""),"/",""),"?",""),"_",""),",",""),"[",""),"]",""),"(",""),")",""),"*","")</f>
        <v/>
      </c>
      <c r="AW348" s="61" t="str">
        <f aca="false">SUBSTITUTE(SUBSTITUTE(SUBSTITUTE(SUBSTITUTE(SUBSTITUTE(SUBSTITUTE(SUBSTITUTE(SUBSTITUTE(SUBSTITUTE(SUBSTITUTE(SUBSTITUTE(SUBSTITUTE(SUBSTITUTE(SUBSTITUTE(SUBSTITUTE(SUBSTITUTE(LOWER(Z348&amp;""),CHAR(10),""),CHAR(13),""),CHAR(9),""),CHAR(160),"")," ",""),".",""),"-",""),"/",""),"?",""),"_",""),",",""),"[",""),"]",""),"(",""),")",""),"*","")</f>
        <v/>
      </c>
      <c r="AX348" s="61" t="str">
        <f aca="false">SUBSTITUTE(SUBSTITUTE(SUBSTITUTE(SUBSTITUTE(SUBSTITUTE(SUBSTITUTE(SUBSTITUTE(SUBSTITUTE(SUBSTITUTE(SUBSTITUTE(SUBSTITUTE(SUBSTITUTE(SUBSTITUTE(SUBSTITUTE(SUBSTITUTE(SUBSTITUTE(LOWER(AE348&amp;""),CHAR(10),""),CHAR(13),""),CHAR(9),""),CHAR(160),"")," ",""),".",""),"-",""),"/",""),"?",""),"_",""),",",""),"[",""),"]",""),"(",""),")",""),"*","")</f>
        <v/>
      </c>
      <c r="AY348" s="61" t="str">
        <f aca="false">SUBSTITUTE(SUBSTITUTE(SUBSTITUTE(SUBSTITUTE(SUBSTITUTE(SUBSTITUTE(SUBSTITUTE(SUBSTITUTE(SUBSTITUTE(SUBSTITUTE(SUBSTITUTE(SUBSTITUTE(SUBSTITUTE(SUBSTITUTE(SUBSTITUTE(SUBSTITUTE(LOWER(W348&amp;""),CHAR(10),""),CHAR(13),""),CHAR(9),""),CHAR(160),"")," ",""),".",""),"-",""),"/",""),"?",""),"_",""),",",""),"[",""),"]",""),"(",""),")",""),"*","")</f>
        <v/>
      </c>
      <c r="AZ348" s="61" t="str">
        <f aca="false">SUBSTITUTE(SUBSTITUTE(SUBSTITUTE(SUBSTITUTE(SUBSTITUTE(SUBSTITUTE(SUBSTITUTE(SUBSTITUTE(SUBSTITUTE(SUBSTITUTE(SUBSTITUTE(SUBSTITUTE(SUBSTITUTE(SUBSTITUTE(SUBSTITUTE(SUBSTITUTE(LOWER(AC348&amp;""),CHAR(10),""),CHAR(13),""),CHAR(9),""),CHAR(160),"")," ",""),".",""),"-",""),"/",""),"?",""),"_",""),",",""),"[",""),"]",""),"(",""),")",""),"*","")</f>
        <v/>
      </c>
      <c r="BA348" s="61" t="str">
        <f aca="false">SUBSTITUTE(SUBSTITUTE(SUBSTITUTE(SUBSTITUTE(SUBSTITUTE(SUBSTITUTE(SUBSTITUTE(SUBSTITUTE(SUBSTITUTE(SUBSTITUTE(SUBSTITUTE(SUBSTITUTE(SUBSTITUTE(SUBSTITUTE(SUBSTITUTE(SUBSTITUTE(LOWER(AA348&amp;""),CHAR(10),""),CHAR(13),""),CHAR(9),""),CHAR(160),"")," ",""),".",""),"-",""),"/",""),"?",""),"_",""),",",""),"[",""),"]",""),"(",""),")",""),"*","")</f>
        <v/>
      </c>
      <c r="BB348" s="61" t="str">
        <f aca="false">IF(AND(TRIM(U348)="Pass",ISNUMBER(AF348)),IF(AF348&lt;&gt;0,"INVALID – qty variance: use Fail or Pass after CA",""),"")&amp;IF(AND(TRIM(U348)="Pass after CA",ISNUMBER(AF348)),IF(AF348&lt;&gt;0,"INVALID – after the corrective action the actual qty must equal expected (update Actual)",""),"")&amp;IF(AND(TRIM(U348)="Pass",TRIM(AB348)&lt;&gt;"",TRIM(AB348)&lt;&gt;"Closed"),"INVALID – corrective action not closed: use Fail, then Pass after CA","")&amp;IF(AND(LEN(BA348)&gt;=2,ISNA(MATCH(LEFT(BA348,255),L_Placeholder,0)),TRIM(AB348)=""),"INVALID – CA status missing for the recorded corrective action","")&amp;IF(AND(TRIM(U348)="Pass after CA",OR(OR(LEN(BA348)&lt;5,ISNUMBER(MATCH(BA348,L_Placeholder,0))),TRIM(AB348)&lt;&gt;"Closed")),"INVALID – corrective action not recorded/closed","")</f>
        <v/>
      </c>
      <c r="BC348" s="61" t="str">
        <f aca="false">" "&amp;TRIM(SUBSTITUTE(SUBSTITUTE(SUBSTITUTE(SUBSTITUTE(SUBSTITUTE(SUBSTITUTE(SUBSTITUTE(SUBSTITUTE(SUBSTITUTE(SUBSTITUTE(SUBSTITUTE(SUBSTITUTE(SUBSTITUTE(SUBSTITUTE(SUBSTITUTE(SUBSTITUTE(SUBSTITUTE(SUBSTITUTE(SUBSTITUTE(SUBSTITUTE(SUBSTITUTE(SUBSTITUTE(SUBSTITUTE(SUBSTITUTE(LOWER(V348&amp;""),CHAR(10)," "),CHAR(13)," "),CHAR(9)," "),CHAR(160)," "),"."," "),","," "),"-"," "),"/"," "),"("," "),")"," "),":"," "),";"," "),"_"," "),"–"," "),"?"," "),"!"," "),"*"," "),"["," "),"]"," "),"'"," "),"#"," "),"+"," "),"&amp;"," "),"\"," "))&amp;" "</f>
        <v>  </v>
      </c>
      <c r="BD348" s="61" t="str">
        <f aca="false">" "&amp;TRIM(SUBSTITUTE(SUBSTITUTE(SUBSTITUTE(SUBSTITUTE(SUBSTITUTE(SUBSTITUTE(SUBSTITUTE(SUBSTITUTE(SUBSTITUTE(SUBSTITUTE(SUBSTITUTE(SUBSTITUTE(SUBSTITUTE(SUBSTITUTE(SUBSTITUTE(SUBSTITUTE(SUBSTITUTE(SUBSTITUTE(SUBSTITUTE(SUBSTITUTE(SUBSTITUTE(SUBSTITUTE(SUBSTITUTE(SUBSTITUTE(LOWER(Z348&amp;""),CHAR(10)," "),CHAR(13)," "),CHAR(9)," "),CHAR(160)," "),"."," "),","," "),"-"," "),"/"," "),"("," "),")"," "),":"," "),";"," "),"_"," "),"–"," "),"?"," "),"!"," "),"*"," "),"["," "),"]"," "),"'"," "),"#"," "),"+"," "),"&amp;"," "),"\"," "))&amp;" "</f>
        <v>  </v>
      </c>
      <c r="BE348" s="61" t="str">
        <f aca="false">" "&amp;TRIM(SUBSTITUTE(SUBSTITUTE(SUBSTITUTE(SUBSTITUTE(SUBSTITUTE(SUBSTITUTE(SUBSTITUTE(SUBSTITUTE(SUBSTITUTE(SUBSTITUTE(SUBSTITUTE(SUBSTITUTE(SUBSTITUTE(SUBSTITUTE(SUBSTITUTE(SUBSTITUTE(SUBSTITUTE(SUBSTITUTE(SUBSTITUTE(SUBSTITUTE(SUBSTITUTE(SUBSTITUTE(SUBSTITUTE(SUBSTITUTE(LOWER(W348&amp;""),CHAR(10)," "),CHAR(13)," "),CHAR(9)," "),CHAR(160)," "),"."," "),","," "),"-"," "),"/"," "),"("," "),")"," "),":"," "),";"," "),"_"," "),"–"," "),"?"," "),"!"," "),"*"," "),"["," "),"]"," "),"'"," "),"#"," "),"+"," "),"&amp;"," "),"\"," "))&amp;" "</f>
        <v>  </v>
      </c>
      <c r="BF348" s="61" t="str">
        <f aca="false">" "&amp;TRIM(SUBSTITUTE(SUBSTITUTE(SUBSTITUTE(SUBSTITUTE(SUBSTITUTE(SUBSTITUTE(SUBSTITUTE(SUBSTITUTE(SUBSTITUTE(SUBSTITUTE(SUBSTITUTE(SUBSTITUTE(SUBSTITUTE(SUBSTITUTE(SUBSTITUTE(SUBSTITUTE(SUBSTITUTE(SUBSTITUTE(SUBSTITUTE(SUBSTITUTE(SUBSTITUTE(SUBSTITUTE(SUBSTITUTE(SUBSTITUTE(LOWER(AC348&amp;""),CHAR(10)," "),CHAR(13)," "),CHAR(9)," "),CHAR(160)," "),"."," "),","," "),"-"," "),"/"," "),"("," "),")"," "),":"," "),";"," "),"_"," "),"–"," "),"?"," "),"!"," "),"*"," "),"["," "),"]"," "),"'"," "),"#"," "),"+"," "),"&amp;"," "),"\"," "))&amp;" "</f>
        <v>  </v>
      </c>
      <c r="BG348" s="61" t="n">
        <f aca="false">IFERROR(IF(AND(TRIM(U348)="Pass",SUMPRODUCT((LEN(BC348)-LEN(SUBSTITUTE(BC348," "&amp;L_ResultBad&amp;" "," ")))/(LEN(L_ResultBad)+1))&gt;SUMPRODUCT((LEN(BC348)-LEN(SUBSTITUTE(BC348," "&amp;L_NegPhrase&amp;" "," ")))/(LEN(L_NegPhrase)+1))),1,0),0)</f>
        <v>0</v>
      </c>
      <c r="BH348" s="61" t="n">
        <f aca="false">IFERROR(IF(SUMPRODUCT((LEN(BC348)-LEN(SUBSTITUTE(BC348," "&amp;L_Pending&amp;" "," ")))/(LEN(L_Pending)+1))&gt;SUMPRODUCT((LEN(BC348)-LEN(SUBSTITUTE(BC348," "&amp;L_PendNeg&amp;" "," ")))/(LEN(L_PendNeg)+1)),1,0),1)</f>
        <v>0</v>
      </c>
      <c r="BI348" s="61" t="n">
        <f aca="false">IFERROR(IF(SUMPRODUCT((LEN(BD348)-LEN(SUBSTITUTE(BD348," "&amp;L_PendStrict&amp;" "," ")))/(LEN(L_PendStrict)+1))&gt;SUMPRODUCT((LEN(BD348)-LEN(SUBSTITUTE(BD348," "&amp;L_PendNeg&amp;" "," ")))/(LEN(L_PendNeg)+1)),1,0),1)</f>
        <v>0</v>
      </c>
      <c r="BJ348" s="61" t="n">
        <f aca="false">IFERROR(IF(SUMPRODUCT((LEN(BE348)-LEN(SUBSTITUTE(BE348," "&amp;L_Pending&amp;" "," ")))/(LEN(L_Pending)+1))&gt;SUMPRODUCT((LEN(BE348)-LEN(SUBSTITUTE(BE348," "&amp;L_PendNeg&amp;" "," ")))/(LEN(L_PendNeg)+1)),1,0),1)</f>
        <v>0</v>
      </c>
      <c r="BK348" s="61" t="n">
        <f aca="false">IFERROR(IF(SUMPRODUCT((LEN(BF348)-LEN(SUBSTITUTE(BF348," "&amp;L_PendStrict&amp;" "," ")))/(LEN(L_PendStrict)+1))&gt;SUMPRODUCT((LEN(BF348)-LEN(SUBSTITUTE(BF348," "&amp;L_PendNeg&amp;" "," ")))/(LEN(L_PendNeg)+1)),1,0),1)</f>
        <v>0</v>
      </c>
      <c r="BL348" s="61" t="n">
        <f aca="false">IF(ISNA(MATCH(TRIM(S348),L_EvidenceType,0)),0,BZ348)</f>
        <v>0</v>
      </c>
      <c r="BM348" s="61" t="str">
        <f aca="false">SUBSTITUTE(SUBSTITUTE(SUBSTITUTE(SUBSTITUTE(SUBSTITUTE(SUBSTITUTE(SUBSTITUTE(SUBSTITUTE(SUBSTITUTE(LOWER(Z348&amp;""),"1","0"),"2","0"),"3","0"),"4","0"),"5","0"),"6","0"),"7","0"),"8","0"),"9","0")</f>
        <v/>
      </c>
      <c r="BN348" s="61" t="str">
        <f aca="false">SUBSTITUTE(SUBSTITUTE(SUBSTITUTE(SUBSTITUTE(SUBSTITUTE(SUBSTITUTE(SUBSTITUTE(SUBSTITUTE(SUBSTITUTE(SUBSTITUTE(SUBSTITUTE(SUBSTITUTE(SUBSTITUTE(SUBSTITUTE(SUBSTITUTE(SUBSTITUTE(SUBSTITUTE(SUBSTITUTE(SUBSTITUTE(SUBSTITUTE(SUBSTITUTE(SUBSTITUTE(SUBSTITUTE(SUBSTITUTE(SUBSTITUTE(BM348,"b","a"),"c","a"),"d","a"),"e","a"),"f","a"),"g","a"),"h","a"),"i","a"),"j","a"),"k","a"),"l","a"),"m","a"),"n","a"),"o","a"),"p","a"),"q","a"),"r","a"),"s","a"),"t","a"),"u","a"),"v","a"),"w","a"),"x","a"),"y","a"),"z","a")</f>
        <v/>
      </c>
      <c r="BO348" s="61" t="str">
        <f aca="false">SUBSTITUTE(SUBSTITUTE(SUBSTITUTE(SUBSTITUTE(SUBSTITUTE(SUBSTITUTE(SUBSTITUTE(SUBSTITUTE(SUBSTITUTE(LOWER(W348&amp;""),"1","0"),"2","0"),"3","0"),"4","0"),"5","0"),"6","0"),"7","0"),"8","0"),"9","0")</f>
        <v/>
      </c>
      <c r="BP348" s="61" t="str">
        <f aca="false">SUBSTITUTE(SUBSTITUTE(SUBSTITUTE(SUBSTITUTE(SUBSTITUTE(SUBSTITUTE(SUBSTITUTE(SUBSTITUTE(SUBSTITUTE(SUBSTITUTE(SUBSTITUTE(SUBSTITUTE(SUBSTITUTE(SUBSTITUTE(SUBSTITUTE(SUBSTITUTE(SUBSTITUTE(SUBSTITUTE(SUBSTITUTE(SUBSTITUTE(SUBSTITUTE(SUBSTITUTE(SUBSTITUTE(SUBSTITUTE(SUBSTITUTE(BO348,"b","a"),"c","a"),"d","a"),"e","a"),"f","a"),"g","a"),"h","a"),"i","a"),"j","a"),"k","a"),"l","a"),"m","a"),"n","a"),"o","a"),"p","a"),"q","a"),"r","a"),"s","a"),"t","a"),"u","a"),"v","a"),"w","a"),"x","a"),"y","a"),"z","a")</f>
        <v/>
      </c>
      <c r="BQ348" s="61" t="n">
        <f aca="false">IFERROR(IF(AND(ISERROR(SEARCH(" mh"," "&amp;LOWER(W348))),ISNA(MATCH(LEFT(TRIM(BP348),255),{"0000a","000a","00a","0000aa","000aa","00aa","0aa","0000aaa","000aaa","00a00","0a00","0000-0000","00:00","a00","a0","00.00.0000","00/00/0000","00-00-0000","0000-00-00","0000/00/00","0000.00.00","00.00.00","00/00/00","00-00-00","0.00.0000","0/00/0000","0-00-0000"},0)),ISNA(MATCH(LEFT(TRIM(CA348),255),{"0000a","000a","00a","0000aa","000aa","00aa","0aa","0000aaa","000aaa","00a00","0a00","0000-0000","00:00","a00","a0","00.00.0000","00/00/0000","00-00-0000","0000-00-00","0000/00/00","0000.00.00","00.00.00","00/00/00","00-00-00","0.00.0000","0/00/0000","0-00-0000"},0)),LEN(CB348)&gt;=3,NOT(OR(SUBSTITUTE(CB348,"0","")="",AND(LEN(CB348)&gt;=4,CB348=REPT(LEFT(CB348),LEN(CB348))),ISNUMBER(MATCH(CB348,{"123","1234","12345","123456","1234567","12345678","0123","01234","012345","98765","987654","54321"},0)),AND(LEN(CB348)=8,LEFT(CB348,3)="202"))),OR(AND((LEN(CA348)-LEN(SUBSTITUTE(CA348,"a","")))&gt;=1,SUMPRODUCT(--ISNUMBER(SEARCH({"a0","a-0","a_0","a/0","a.0","a#0","0a","0-a","0_a","0/a"},BP348)))&gt;0),ISNUMBER(SEARCH("000000",BP348)))),1,0),0)</f>
        <v>0</v>
      </c>
      <c r="BR348" s="61" t="n">
        <f aca="false">IFERROR(LEN(SUBSTITUTE(CC348," ",""))-SUMPRODUCT((LEN(CC348)-LEN(SUBSTITUTE(CC348," "&amp;L_Role&amp;" "," ")))/(LEN(L_Role)+1)*LEN(L_Role)),0)</f>
        <v>0</v>
      </c>
      <c r="BS348" s="61" t="n">
        <f aca="false">IFERROR(LEN(SUBSTITUTE(CD348," ",""))-SUMPRODUCT((LEN(CD348)-LEN(SUBSTITUTE(CD348," "&amp;L_Role&amp;" "," ")))/(LEN(L_Role)+1)*LEN(L_Role)),0)</f>
        <v>0</v>
      </c>
      <c r="BT3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348,"revision",""),"version",""),"jan",""),"feb",""),"mar",""),"apr",""),"may",""),"jun",""),"jul",""),"aug",""),"sep",""),"oct",""),"nov",""),"dec",""),"utc",""),"gmt",""),"myt",""),"bst",""),"rev",""),"ver",""),"b","a"),"c","a"),"d","a"),"e","a"),"f","a"),"g","a"),"h","a"),"i","a"),"j","a"),"k","a"),"l","a"),"m","a"),"n","a"),"o","a"),"p","a"),"q","a"),"r","a"),"s","a"),"t","a"),"u","a"),"v","a"),"w","a"),"x","a"),"y","a"),"z","a")</f>
        <v/>
      </c>
      <c r="BU348" s="61" t="str">
        <f aca="false">SUBSTITUTE(SUBSTITUTE(SUBSTITUTE(SUBSTITUTE(SUBSTITUTE(SUBSTITUTE(SUBSTITUTE(SUBSTITUTE(SUBSTITUTE(SUBSTITUTE(LEFT(BM348,FIND("0",BM348&amp;"0")-1),"-",""),"_",""),"/",""),".",""),"#",""),"\\",""),":","")," ",""),"(",""),")","")</f>
        <v/>
      </c>
      <c r="BV348" s="61" t="n">
        <f aca="false">IFERROR(IF(OR(SUMPRODUCT((LEN(BC348)-LEN(SUBSTITUTE(BC348," "&amp;L_NotLoaded&amp;" "," ")))/(LEN(L_NotLoaded)+1))&gt;SUMPRODUCT((LEN(BC348)-LEN(SUBSTITUTE(BC348," "&amp;L_NotLoadedNeg&amp;" "," ")))/(LEN(L_NotLoadedNeg)+1)),SUMPRODUCT((LEN(BD348)-LEN(SUBSTITUTE(BD348," "&amp;L_NotLoaded&amp;" "," ")))/(LEN(L_NotLoaded)+1))&gt;SUMPRODUCT((LEN(BD348)-LEN(SUBSTITUTE(BD348," "&amp;L_NotLoadedNeg&amp;" "," ")))/(LEN(L_NotLoadedNeg)+1))),1,0),0)</f>
        <v>0</v>
      </c>
      <c r="BW3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348&amp;""),"a",""),"b",""),"c",""),"d",""),"e",""),"f",""),"g",""),"h",""),"i",""),"j",""),"k",""),"l",""),"m",""),"n",""),"o",""),"p",""),"q",""),"r",""),"s",""),"t",""),"u",""),"v",""),"w",""),"x",""),"y",""),"z",""),"-",""),"_",""),"/",""),".",""),"#",""),"\\",""),":","")," ",""),"(",""),")","")</f>
        <v/>
      </c>
      <c r="BX348" s="61" t="str">
        <f aca="false">SUBSTITUTE(SUBSTITUTE(SUBSTITUTE(SUBSTITUTE(SUBSTITUTE(SUBSTITUTE(SUBSTITUTE(SUBSTITUTE(SUBSTITUTE(SUBSTITUTE(SUBSTITUTE(BM348,"0",""),"-",""),"_",""),"/",""),".",""),"#",""),"\\",""),":","")," ",""),"(",""),")","")</f>
        <v/>
      </c>
      <c r="BY348" s="62" t="n">
        <f aca="false">IF(ISNUMBER(Flights!$AZ$14),MAX(Q348-UpliftWindowH/24,Flights!$AZ$14),Q348-UpliftWindowH/24)</f>
        <v>46306.90625</v>
      </c>
      <c r="BZ348" s="61" t="n">
        <f aca="false">IFERROR(IF(IF(TRIM(S348)="Link / file path",AND(LEN(TRIM(Z348))&gt;=5,SUMPRODUCT(--ISNUMBER(SEARCH({"http","www.","\\",":\",".pdf",".jpg",".jpeg",".png",".heic",".xls",".doc",".msg",".eml",".ppt",".txt",".zip"},Z348)))&gt;0),AND(ISERROR(FIND(" ",TRIM(Z348))),NOT(OR(SUMPRODUCT(--ISNUMBER(FIND({",",";","&amp;","+"},Z348)))&gt;0,SUMPRODUCT(--ISNUMBER(SEARCH({"0/aa","0\\aa"},BN348)))&gt;0)),NOT(SUMPRODUCT(--ISNUMBER(SEARCH({"http","www.","\\",":\",".pdf",".jpg",".jpeg",".png",".heic",".xls",".doc",".msg",".eml",".ppt",".txt",".zip"},Z348)))&gt;0),NOT(LOWER(TRIM(Z348))=LOWER(Flights!$F$14)),ISNA(MATCH(BU348,{"mh","rev","revision","ver","version","v","r","a","b","seat","tray","row","gate","bay","stand","page","pg","item","line","no","cart","galley","flight","flt","table","box","bag","oven","etd","eta","std","sta","atd","ata","qty","pax","x","time","tel","ph","mob","day","wk","week","utc","gmt","myt","lt"},0)),NOT(OR(ISNUMBER(MATCH(LEFT(BN348,255),{"0000a","000a","00a","0000aa","000aa","00aa","0aa","0000aaa","000aaa","00a00","0a00","0000-0000","00:00","a00","a0","00.00.0000","00/00/0000","00-00-0000","0000-00-00","0000/00/00","0000.00.00","00.00.00","00/00/00","00-00-00","0.00.0000","0/00/0000","0-00-0000"},0)),ISNUMBER(MATCH(LEFT(BT348,255),{"0000a","000a","00a","0000aa","000aa","00aa","0aa","0000aaa","000aaa","00a00","0a00","0000-0000","00:00","a00","a0","00.00.0000","00/00/0000","00-00-0000","0000-00-00","0000/00/00","0000.00.00","00.00.00","00/00/00","00-00-00","0.00.0000","0/00/0000","0-00-0000"},0)))),NOT(OR(AND(BW348&lt;&gt;"",SUBSTITUTE(BW348,"0","")=""),AND(LEN(BW348)&gt;=4,BW348=REPT(LEFT(BW348),LEN(BW348))),ISNUMBER(MATCH(BW348,{"123","1234","12345","123456","1234567","12345678","0123","01234","012345","98765","987654","54321"},0)),ISNUMBER(MATCH(BX348,{"x","xx","xxx","xxxx","xxxxx","abc","abcd","nil","na","nan","test","tbc","tba","tbd","dummy","sample","example","eg","zz","zzz","none","null","xyz","qwe","asd","id","ref"},0)),AND(LEN(BW348)=8,BX348="",OR(LEFT(BW348,3)="202",ISNUMBER(MATCH(RIGHT(BW348,4),{"2025","2026","2027"},0)))))),OR(AND((LEN(BT348)-LEN(SUBSTITUTE(BT348,"a","")))&gt;=1,(LEN(BN348)-LEN(SUBSTITUTE(BN348,"0","")))&gt;=2,SUMPRODUCT(--ISNUMBER(SEARCH({"a0","a-0","a_0","a/0","a.0","a#0","0a","0-a","0_a","0/a"},BN348)))&gt;0),AND((LEN(BN348)-LEN(SUBSTITUTE(BN348,"a","")))=0,(LEN(BN348)-LEN(SUBSTITUTE(BN348,"0","")))&gt;=5)))),1,0),0)</f>
        <v>0</v>
      </c>
      <c r="CA3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348,"revision",""),"version",""),"jan",""),"feb",""),"mar",""),"apr",""),"may",""),"jun",""),"jul",""),"aug",""),"sep",""),"oct",""),"nov",""),"dec",""),"utc",""),"gmt",""),"myt",""),"bst",""),"rev",""),"ver",""),"b","a"),"c","a"),"d","a"),"e","a"),"f","a"),"g","a"),"h","a"),"i","a"),"j","a"),"k","a"),"l","a"),"m","a"),"n","a"),"o","a"),"p","a"),"q","a"),"r","a"),"s","a"),"t","a"),"u","a"),"v","a"),"w","a"),"x","a"),"y","a"),"z","a")</f>
        <v/>
      </c>
      <c r="CB3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348&amp;""),"a",""),"b",""),"c",""),"d",""),"e",""),"f",""),"g",""),"h",""),"i",""),"j",""),"k",""),"l",""),"m",""),"n",""),"o",""),"p",""),"q",""),"r",""),"s",""),"t",""),"u",""),"v",""),"w",""),"x",""),"y",""),"z",""),"-",""),"_",""),"/",""),".",""),"#",""),"\\",""),":","")," ",""),"(",""),")","")</f>
        <v/>
      </c>
      <c r="CC348" s="0" t="str">
        <f aca="false">" "&amp;TRIM(SUBSTITUTE(SUBSTITUTE(SUBSTITUTE(SUBSTITUTE(SUBSTITUTE(SUBSTITUTE(SUBSTITUTE(SUBSTITUTE(SUBSTITUTE(SUBSTITUTE(SUBSTITUTE(SUBSTITUTE(SUBSTITUTE(SUBSTITUTE(SUBSTITUTE(SUBSTITUTE(SUBSTITUTE(SUBSTITUTE(SUBSTITUTE(SUBSTITUTE(SUBSTITUTE(SUBSTITUTE(SUBSTITUTE(SUBSTITUTE(LOWER(T348&amp;""),CHAR(10)," "),CHAR(13)," "),CHAR(9)," "),CHAR(160)," "),"."," "),","," "),"-"," "),"/"," "),"("," "),")"," "),":"," "),";"," "),"_"," "),"–"," "),"?"," "),"!"," "),"*"," "),"["," "),"]"," "),"'"," "),"#"," "),"+"," "),"&amp;"," "),"\"," "))&amp;" "</f>
        <v>  </v>
      </c>
      <c r="CD348" s="0" t="str">
        <f aca="false">" "&amp;TRIM(SUBSTITUTE(SUBSTITUTE(SUBSTITUTE(SUBSTITUTE(SUBSTITUTE(SUBSTITUTE(SUBSTITUTE(SUBSTITUTE(SUBSTITUTE(SUBSTITUTE(SUBSTITUTE(SUBSTITUTE(SUBSTITUTE(SUBSTITUTE(SUBSTITUTE(SUBSTITUTE(SUBSTITUTE(SUBSTITUTE(SUBSTITUTE(SUBSTITUTE(SUBSTITUTE(SUBSTITUTE(SUBSTITUTE(SUBSTITUTE(LOWER(AE348&amp;""),CHAR(10)," "),CHAR(13)," "),CHAR(9)," "),CHAR(160)," "),"."," "),","," "),"-"," "),"/"," "),"("," "),")"," "),":"," "),";"," "),"_"," "),"–"," "),"?"," "),"!"," "),"*"," "),"["," "),"]"," "),"'"," "),"#"," "),"+"," "),"&amp;"," "),"\"," "))&amp;" "</f>
        <v>  </v>
      </c>
      <c r="CE348" s="68" t="n">
        <f aca="false">IFERROR(IF(AND(LEN(AU348)&gt;0,LEN(AU348)=LEN(AX348),OR(TRIM(MID(SUBSTITUTE(TRIM(CC348)," ",REPT(" ",60)),1,60))="",ISNUMBER(SEARCH(" "&amp;TRIM(MID(SUBSTITUTE(TRIM(CC348)," ",REPT(" ",60)),1,60))&amp;" ",CD348))),OR(TRIM(MID(SUBSTITUTE(TRIM(CC348)," ",REPT(" ",60)),61,60))="",ISNUMBER(SEARCH(" "&amp;TRIM(MID(SUBSTITUTE(TRIM(CC348)," ",REPT(" ",60)),61,60))&amp;" ",CD348))),OR(TRIM(MID(SUBSTITUTE(TRIM(CC348)," ",REPT(" ",60)),121,60))="",ISNUMBER(SEARCH(" "&amp;TRIM(MID(SUBSTITUTE(TRIM(CC348)," ",REPT(" ",60)),121,60))&amp;" ",CD348)))),1,0),0)</f>
        <v>0</v>
      </c>
      <c r="CG348" s="68" t="n">
        <f aca="false">IFERROR(LEN(SUBSTITUTE(BF348," ",""))-SUMPRODUCT((LEN(BF348)-LEN(SUBSTITUTE(BF348," "&amp;L_NAFiller&amp;" "," ")))/(LEN(L_NAFiller)+1)*LEN(L_NAFiller)),0)</f>
        <v>0</v>
      </c>
    </row>
    <row r="349" customFormat="false" ht="41.25" hidden="false" customHeight="true" outlineLevel="0" collapsed="false">
      <c r="A349" s="57" t="s">
        <v>950</v>
      </c>
      <c r="B349" s="57" t="s">
        <v>251</v>
      </c>
      <c r="C349" s="57" t="str">
        <f aca="false">Flights!$F$14</f>
        <v>MH1140</v>
      </c>
      <c r="D349" s="58" t="n">
        <f aca="false">Flights!$D$14</f>
        <v>46307</v>
      </c>
      <c r="E349" s="57" t="str">
        <f aca="false">Flights!$G$14&amp;"-"&amp;Flights!$H$14</f>
        <v>KUL-PEN</v>
      </c>
      <c r="F349" s="57" t="str">
        <f aca="false">Flights!$K$14</f>
        <v>BC</v>
      </c>
      <c r="G349" s="57" t="s">
        <v>459</v>
      </c>
      <c r="H349" s="57" t="s">
        <v>460</v>
      </c>
      <c r="I349" s="57" t="s">
        <v>440</v>
      </c>
      <c r="J349" s="57" t="s">
        <v>534</v>
      </c>
      <c r="K349" s="67" t="s">
        <v>495</v>
      </c>
      <c r="L349" s="67" t="s">
        <v>933</v>
      </c>
      <c r="M349" s="67" t="s">
        <v>451</v>
      </c>
      <c r="N349" s="67" t="s">
        <v>383</v>
      </c>
      <c r="O349" s="67" t="s">
        <v>535</v>
      </c>
      <c r="P349" s="57" t="s">
        <v>187</v>
      </c>
      <c r="Q349" s="59" t="n">
        <f aca="false">ROUND((Flights!$AF$14)*1440,0)/1440</f>
        <v>46307.15625</v>
      </c>
      <c r="R349" s="59" t="n">
        <f aca="false">Q349+(IF(AND(INDEX(TZ_DSTS,MATCH(P349,TZ_STN,0))&lt;&gt;"",Q349&gt;=INDEX(TZ_DSTS,MATCH(P349,TZ_STN,0)),Q349&lt;INDEX(TZ_DSTE,MATCH(P349,TZ_STN,0))),INDEX(TZ_DST,MATCH(P349,TZ_STN,0)),INDEX(TZ_STD,MATCH(P349,TZ_STN,0))))/24</f>
        <v>46307.4895833333</v>
      </c>
      <c r="S349" s="60"/>
      <c r="T349" s="60"/>
      <c r="U349" s="60"/>
      <c r="V349" s="60"/>
      <c r="W349" s="61"/>
      <c r="X349" s="60"/>
      <c r="Y349" s="60"/>
      <c r="Z349" s="60"/>
      <c r="AA349" s="60"/>
      <c r="AB349" s="60"/>
      <c r="AC349" s="60"/>
      <c r="AD349" s="66"/>
      <c r="AE349" s="60"/>
      <c r="AF349" s="61" t="str">
        <f aca="false">IF(AND(ISNUMBER(X349),ISNUMBER(Y349)),Y349-X349,"")</f>
        <v/>
      </c>
      <c r="AG349" s="62" t="str">
        <f aca="false">IF(ISNUMBER(AD349),AD349-(IF(AND(INDEX(TZ_DSTS,MATCH(P349,TZ_STN,0))&lt;&gt;"",(AD349-INDEX(TZ_STD,MATCH(P349,TZ_STN,0))/24)&gt;=INDEX(TZ_DSTS,MATCH(P349,TZ_STN,0)),(AD349-INDEX(TZ_STD,MATCH(P349,TZ_STN,0))/24)&lt;INDEX(TZ_DSTE,MATCH(P349,TZ_STN,0))),INDEX(TZ_DST,MATCH(P349,TZ_STN,0)),INDEX(TZ_STD,MATCH(P349,TZ_STN,0))))/24,"")</f>
        <v/>
      </c>
      <c r="AH349" s="65" t="str">
        <f aca="false">IFERROR(IF(N349="N/A – rule",IF(OR(TRIM(U349)="",TRIM(U349)="N/A",TRIM(U349)="Not started"),"N/A – RULE","INVALID – this check does not apply to this aircraft: clear the status (or correct the fleet on Flights)"),IF(TRIM(U349)="N/A",IF(AT349=0,"INVALID – N/A not permitted for this check",IF(AND(TRIM(AB349)&lt;&gt;"",TRIM(AB349)&lt;&gt;"Closed"),"INVALID – corrective action still open",IF(AND(NOT(OR(LEN(AZ349)&lt;15,ISNUMBER(MATCH(AZ349,L_Placeholder,0)))),BK349=0,CG349&gt;=8,NOT(OR(LEN(AU349)&lt;2,ISNUMBER(MATCH(AU349,L_Placeholder,0)))),BR349&gt;=3,NOT(OR(LEN(AX349)&lt;2,ISNUMBER(MATCH(AX349,L_Placeholder,0)))),BS349&gt;=3,TRIM(AE349)&lt;&gt;TRIM(T349),AX349&lt;&gt;AU349,CE349=0),"N/A – JUSTIFIED","INVALID – N/A needs a real, settled reason (not 'not applicable' / 'as above' / TBC), a named PIC and a different named verifier"))),IF(OR(TRIM(U349)="Pass",TRIM(U349)="Pass after CA"),IF(NOT(ISNUMBER(AD349)),"INVALID – completion time missing",IF(OR(OR(LEN(AU349)&lt;2,ISNUMBER(MATCH(AU349,L_Placeholder,0))),BR349&lt;3),"INVALID – PIC missing or not a named person (a role such as QA / CSM is not a name)",IF(OR(LEN(AV349)&lt;2,ISNUMBER(MATCH(AV349,L_Placeholder,0))),"INVALID – result / assessment missing",IF(OR(OR(LEN(AW349)&lt;3,ISNUMBER(MATCH(AW349,L_Placeholder,0))),SUMPRODUCT(--ISNUMBER(SEARCH(" "&amp;L_EvidencePhrase&amp;" ",BD349)))&gt;0,BI349=1),"INVALID – evidence missing, placeholder or not yet on file",IF(ISNA(MATCH(TRIM(S349),L_EvidenceType,0)),"INVALID – choose the evidence type from the list (column S)",IF(BL349=0,"INVALID – evidence ID must be the record's own ID only (e.g. SF-2210, IMG_2231, 1045521); a link / file name needs type 'Link / file path'",IF(OR(OR(LEN(AX349)&lt;2,ISNUMBER(MATCH(AX349,L_Placeholder,0))),BS349&lt;3),"INVALID – verifier missing or not a named person (a role such as QA / CSM is not a name)",IF(OR(AX349=AU349,CE349=1,AND(LEN(AU349)&gt;=4,ISNUMBER(SEARCH(AU349,AX349))),AND(LEN(AX349)&gt;=4,ISNUMBER(SEARCH(AX349,AU349)))),"INVALID – verifier must be a different, named person (not the PIC or a role)",IF(BH349=1,"INVALID – result not yet available (awaiting / TBC)",IF(BG349=1,"INVALID – result describes a problem: record Fail, then Pass after CA (or reword if it is not a problem)",IF(BV349=1,"INVALID – wording says not on board: an on-board confirmation needs the item loaded",IF(AND(AQ349=1,OR(OR(LEN(AY349)&lt;3,ISNUMBER(MATCH(AY349,L_Placeholder,0))),BJ349=1,BQ349=0)),"INVALID – batch ID missing, placeholder or not an ID (e.g. PASB-261008-BC-017)",IF(AND(AR349=1,OR(NOT(ISNUMBER(X349)),NOT(ISNUMBER(Y349)))),"INVALID – expected/actual qty missing",IF(AND(AR349=1,OR(X349&lt;=0,Y349&lt;0)),"INVALID – expected qty must be above 0 and actual not negative",IF(AH339="N/A – JUSTIFIED","INVALID – preparation row F10-T12-08 is N/A",IF(AND(AR349=1,ISNUMBER(X339),X349&lt;&gt;X339,TRIM(U349)&lt;&gt;"Pass after CA"),"INVALID – expected qty differs from preparation check F10-T12-08: record the load change as a corrective action (Pass after CA)",IF(BB349&lt;&gt;"",BB349,IF(AND(AS349=1,Documents!$J$14&lt;&gt;"ON FILE"),"INVALID – GLD not on file (Documents sheet)",IF(AND(AS349=2,Documents!$O$14&lt;&gt;"ON FILE"),"INVALID – menu checklist not on file (Documents sheet)",IF(AND(AS349=3,NOT(ISNUMBER(Flights!$AX$14))),"INVALID – enter carrying flight KUL departure (Flights AX)",IF(AND(AS349=3,OR(Flights!$AZ$14&gt;Flights!$AA$14,Flights!$AX$14&lt;Flights!$AA$14-3)),"INVALID – carrying flight (Flights AX) cannot arrive before this leg's STD, or is over 3 days early",IF(AG349&gt;AsOfUTC,"INVALID – completion time is in the future",IF(AND(ISNUMBER(BY349),AG349&lt;BY349),IF(H349="Physical uplift","INVALID – before uplift window (cannot confirm loading)","INVALID – before valid window"),IF(AG349&gt;Flights!$AA$14,"INVALID – completed after departure (cannot establish readiness)",IF(AND(H349="Preparation",AG349&gt;=IF(ISNUMBER(Flights!$BA$14),MIN(Flights!$BA$14,Flights!$AA$14),Flights!$AA$14)),"INVALID – completed after loading / departure (cannot establish readiness)",IF(AND(H349="Physical uplift",AG349&gt;Q349),"INVALID – recorded after the loading flight departed",IF(AG349&gt;Q349,"COMPLETE – LATE","COMPLETE"))))))))))))))))))))))))))),IF(TRIM(U349)="Fail","FAIL – DISCREPANCY",IF(AND(TRIM(U349)&lt;&gt;"",TRIM(U349)&lt;&gt;"Not started",TRIM(U349)&lt;&gt;"In progress"),"INVALID – unrecognised status (use the list)",IF(AsOfUTC&gt;Q349,"OVERDUE",IF(N349="Clarification required","OPEN – CLARIFICATION","OPEN"))))))),"INVALID – error value in an input cell")</f>
        <v>OPEN</v>
      </c>
      <c r="AI349" s="61" t="n">
        <f aca="false">IF(OR(AH349="N/A – RULE",AH349="N/A – JUSTIFIED"),0,1)</f>
        <v>1</v>
      </c>
      <c r="AJ349" s="61" t="n">
        <f aca="false">IF(LEFT(AH349,8)="COMPLETE",1,0)</f>
        <v>0</v>
      </c>
      <c r="AK349" s="61" t="n">
        <f aca="false">IF(AND(AI349=1,AJ349=0,AsOfUTC&gt;Q349),1,0)</f>
        <v>0</v>
      </c>
      <c r="AL349" s="61" t="n">
        <f aca="false">IFERROR(IF(AND(AI349=1,OR(TRIM(U349)="Fail",AND(TRIM(AB349)&lt;&gt;"",TRIM(AB349)&lt;&gt;"Closed"),AND(ISNUMBER(AF349),AF349&lt;&gt;0,TRIM(U349)&lt;&gt;"Pass after CA"))),1,0),1)</f>
        <v>0</v>
      </c>
      <c r="AM349" s="61" t="n">
        <f aca="false">IF(LEFT(AH349,7)="INVALID",1,0)</f>
        <v>0</v>
      </c>
      <c r="AN349" s="61" t="n">
        <f aca="false">IF(AND(N349="Clarification required",AI349=1,AJ349=0),1,0)</f>
        <v>0</v>
      </c>
      <c r="AO349" s="61" t="str">
        <f aca="false">IF(AK349=1,SUM(AK$5:AK349),"")</f>
        <v/>
      </c>
      <c r="AP349" s="61" t="str">
        <f aca="false">IF(AL349=1,SUM(AL$5:AL349),"")</f>
        <v/>
      </c>
      <c r="AQ349" s="61" t="n">
        <v>0</v>
      </c>
      <c r="AR349" s="61" t="n">
        <v>0</v>
      </c>
      <c r="AS349" s="61" t="n">
        <v>0</v>
      </c>
      <c r="AT349" s="61" t="n">
        <v>0</v>
      </c>
      <c r="AU349" s="61" t="str">
        <f aca="false">SUBSTITUTE(SUBSTITUTE(SUBSTITUTE(SUBSTITUTE(SUBSTITUTE(SUBSTITUTE(SUBSTITUTE(SUBSTITUTE(SUBSTITUTE(SUBSTITUTE(SUBSTITUTE(SUBSTITUTE(SUBSTITUTE(SUBSTITUTE(SUBSTITUTE(SUBSTITUTE(LOWER(T349&amp;""),CHAR(10),""),CHAR(13),""),CHAR(9),""),CHAR(160),"")," ",""),".",""),"-",""),"/",""),"?",""),"_",""),",",""),"[",""),"]",""),"(",""),")",""),"*","")</f>
        <v/>
      </c>
      <c r="AV349" s="61" t="str">
        <f aca="false">SUBSTITUTE(SUBSTITUTE(SUBSTITUTE(SUBSTITUTE(SUBSTITUTE(SUBSTITUTE(SUBSTITUTE(SUBSTITUTE(SUBSTITUTE(SUBSTITUTE(SUBSTITUTE(SUBSTITUTE(SUBSTITUTE(SUBSTITUTE(SUBSTITUTE(SUBSTITUTE(LOWER(V349&amp;""),CHAR(10),""),CHAR(13),""),CHAR(9),""),CHAR(160),"")," ",""),".",""),"-",""),"/",""),"?",""),"_",""),",",""),"[",""),"]",""),"(",""),")",""),"*","")</f>
        <v/>
      </c>
      <c r="AW349" s="61" t="str">
        <f aca="false">SUBSTITUTE(SUBSTITUTE(SUBSTITUTE(SUBSTITUTE(SUBSTITUTE(SUBSTITUTE(SUBSTITUTE(SUBSTITUTE(SUBSTITUTE(SUBSTITUTE(SUBSTITUTE(SUBSTITUTE(SUBSTITUTE(SUBSTITUTE(SUBSTITUTE(SUBSTITUTE(LOWER(Z349&amp;""),CHAR(10),""),CHAR(13),""),CHAR(9),""),CHAR(160),"")," ",""),".",""),"-",""),"/",""),"?",""),"_",""),",",""),"[",""),"]",""),"(",""),")",""),"*","")</f>
        <v/>
      </c>
      <c r="AX349" s="61" t="str">
        <f aca="false">SUBSTITUTE(SUBSTITUTE(SUBSTITUTE(SUBSTITUTE(SUBSTITUTE(SUBSTITUTE(SUBSTITUTE(SUBSTITUTE(SUBSTITUTE(SUBSTITUTE(SUBSTITUTE(SUBSTITUTE(SUBSTITUTE(SUBSTITUTE(SUBSTITUTE(SUBSTITUTE(LOWER(AE349&amp;""),CHAR(10),""),CHAR(13),""),CHAR(9),""),CHAR(160),"")," ",""),".",""),"-",""),"/",""),"?",""),"_",""),",",""),"[",""),"]",""),"(",""),")",""),"*","")</f>
        <v/>
      </c>
      <c r="AY349" s="61" t="str">
        <f aca="false">SUBSTITUTE(SUBSTITUTE(SUBSTITUTE(SUBSTITUTE(SUBSTITUTE(SUBSTITUTE(SUBSTITUTE(SUBSTITUTE(SUBSTITUTE(SUBSTITUTE(SUBSTITUTE(SUBSTITUTE(SUBSTITUTE(SUBSTITUTE(SUBSTITUTE(SUBSTITUTE(LOWER(W349&amp;""),CHAR(10),""),CHAR(13),""),CHAR(9),""),CHAR(160),"")," ",""),".",""),"-",""),"/",""),"?",""),"_",""),",",""),"[",""),"]",""),"(",""),")",""),"*","")</f>
        <v/>
      </c>
      <c r="AZ349" s="61" t="str">
        <f aca="false">SUBSTITUTE(SUBSTITUTE(SUBSTITUTE(SUBSTITUTE(SUBSTITUTE(SUBSTITUTE(SUBSTITUTE(SUBSTITUTE(SUBSTITUTE(SUBSTITUTE(SUBSTITUTE(SUBSTITUTE(SUBSTITUTE(SUBSTITUTE(SUBSTITUTE(SUBSTITUTE(LOWER(AC349&amp;""),CHAR(10),""),CHAR(13),""),CHAR(9),""),CHAR(160),"")," ",""),".",""),"-",""),"/",""),"?",""),"_",""),",",""),"[",""),"]",""),"(",""),")",""),"*","")</f>
        <v/>
      </c>
      <c r="BA349" s="61" t="str">
        <f aca="false">SUBSTITUTE(SUBSTITUTE(SUBSTITUTE(SUBSTITUTE(SUBSTITUTE(SUBSTITUTE(SUBSTITUTE(SUBSTITUTE(SUBSTITUTE(SUBSTITUTE(SUBSTITUTE(SUBSTITUTE(SUBSTITUTE(SUBSTITUTE(SUBSTITUTE(SUBSTITUTE(LOWER(AA349&amp;""),CHAR(10),""),CHAR(13),""),CHAR(9),""),CHAR(160),"")," ",""),".",""),"-",""),"/",""),"?",""),"_",""),",",""),"[",""),"]",""),"(",""),")",""),"*","")</f>
        <v/>
      </c>
      <c r="BB349" s="61" t="str">
        <f aca="false">IF(AND(TRIM(U349)="Pass",ISNUMBER(AF349)),IF(AF349&lt;&gt;0,"INVALID – qty variance: use Fail or Pass after CA",""),"")&amp;IF(AND(TRIM(U349)="Pass after CA",ISNUMBER(AF349)),IF(AF349&lt;&gt;0,"INVALID – after the corrective action the actual qty must equal expected (update Actual)",""),"")&amp;IF(AND(TRIM(U349)="Pass",TRIM(AB349)&lt;&gt;"",TRIM(AB349)&lt;&gt;"Closed"),"INVALID – corrective action not closed: use Fail, then Pass after CA","")&amp;IF(AND(LEN(BA349)&gt;=2,ISNA(MATCH(LEFT(BA349,255),L_Placeholder,0)),TRIM(AB349)=""),"INVALID – CA status missing for the recorded corrective action","")&amp;IF(AND(TRIM(U349)="Pass after CA",OR(OR(LEN(BA349)&lt;5,ISNUMBER(MATCH(BA349,L_Placeholder,0))),TRIM(AB349)&lt;&gt;"Closed")),"INVALID – corrective action not recorded/closed","")</f>
        <v/>
      </c>
      <c r="BC349" s="61" t="str">
        <f aca="false">" "&amp;TRIM(SUBSTITUTE(SUBSTITUTE(SUBSTITUTE(SUBSTITUTE(SUBSTITUTE(SUBSTITUTE(SUBSTITUTE(SUBSTITUTE(SUBSTITUTE(SUBSTITUTE(SUBSTITUTE(SUBSTITUTE(SUBSTITUTE(SUBSTITUTE(SUBSTITUTE(SUBSTITUTE(SUBSTITUTE(SUBSTITUTE(SUBSTITUTE(SUBSTITUTE(SUBSTITUTE(SUBSTITUTE(SUBSTITUTE(SUBSTITUTE(LOWER(V349&amp;""),CHAR(10)," "),CHAR(13)," "),CHAR(9)," "),CHAR(160)," "),"."," "),","," "),"-"," "),"/"," "),"("," "),")"," "),":"," "),";"," "),"_"," "),"–"," "),"?"," "),"!"," "),"*"," "),"["," "),"]"," "),"'"," "),"#"," "),"+"," "),"&amp;"," "),"\"," "))&amp;" "</f>
        <v>  </v>
      </c>
      <c r="BD349" s="61" t="str">
        <f aca="false">" "&amp;TRIM(SUBSTITUTE(SUBSTITUTE(SUBSTITUTE(SUBSTITUTE(SUBSTITUTE(SUBSTITUTE(SUBSTITUTE(SUBSTITUTE(SUBSTITUTE(SUBSTITUTE(SUBSTITUTE(SUBSTITUTE(SUBSTITUTE(SUBSTITUTE(SUBSTITUTE(SUBSTITUTE(SUBSTITUTE(SUBSTITUTE(SUBSTITUTE(SUBSTITUTE(SUBSTITUTE(SUBSTITUTE(SUBSTITUTE(SUBSTITUTE(LOWER(Z349&amp;""),CHAR(10)," "),CHAR(13)," "),CHAR(9)," "),CHAR(160)," "),"."," "),","," "),"-"," "),"/"," "),"("," "),")"," "),":"," "),";"," "),"_"," "),"–"," "),"?"," "),"!"," "),"*"," "),"["," "),"]"," "),"'"," "),"#"," "),"+"," "),"&amp;"," "),"\"," "))&amp;" "</f>
        <v>  </v>
      </c>
      <c r="BE349" s="61" t="str">
        <f aca="false">" "&amp;TRIM(SUBSTITUTE(SUBSTITUTE(SUBSTITUTE(SUBSTITUTE(SUBSTITUTE(SUBSTITUTE(SUBSTITUTE(SUBSTITUTE(SUBSTITUTE(SUBSTITUTE(SUBSTITUTE(SUBSTITUTE(SUBSTITUTE(SUBSTITUTE(SUBSTITUTE(SUBSTITUTE(SUBSTITUTE(SUBSTITUTE(SUBSTITUTE(SUBSTITUTE(SUBSTITUTE(SUBSTITUTE(SUBSTITUTE(SUBSTITUTE(LOWER(W349&amp;""),CHAR(10)," "),CHAR(13)," "),CHAR(9)," "),CHAR(160)," "),"."," "),","," "),"-"," "),"/"," "),"("," "),")"," "),":"," "),";"," "),"_"," "),"–"," "),"?"," "),"!"," "),"*"," "),"["," "),"]"," "),"'"," "),"#"," "),"+"," "),"&amp;"," "),"\"," "))&amp;" "</f>
        <v>  </v>
      </c>
      <c r="BF349" s="61" t="str">
        <f aca="false">" "&amp;TRIM(SUBSTITUTE(SUBSTITUTE(SUBSTITUTE(SUBSTITUTE(SUBSTITUTE(SUBSTITUTE(SUBSTITUTE(SUBSTITUTE(SUBSTITUTE(SUBSTITUTE(SUBSTITUTE(SUBSTITUTE(SUBSTITUTE(SUBSTITUTE(SUBSTITUTE(SUBSTITUTE(SUBSTITUTE(SUBSTITUTE(SUBSTITUTE(SUBSTITUTE(SUBSTITUTE(SUBSTITUTE(SUBSTITUTE(SUBSTITUTE(LOWER(AC349&amp;""),CHAR(10)," "),CHAR(13)," "),CHAR(9)," "),CHAR(160)," "),"."," "),","," "),"-"," "),"/"," "),"("," "),")"," "),":"," "),";"," "),"_"," "),"–"," "),"?"," "),"!"," "),"*"," "),"["," "),"]"," "),"'"," "),"#"," "),"+"," "),"&amp;"," "),"\"," "))&amp;" "</f>
        <v>  </v>
      </c>
      <c r="BG349" s="61" t="n">
        <f aca="false">IFERROR(IF(AND(TRIM(U349)="Pass",SUMPRODUCT((LEN(BC349)-LEN(SUBSTITUTE(BC349," "&amp;L_ResultBad&amp;" "," ")))/(LEN(L_ResultBad)+1))&gt;SUMPRODUCT((LEN(BC349)-LEN(SUBSTITUTE(BC349," "&amp;L_NegPhrase&amp;" "," ")))/(LEN(L_NegPhrase)+1))),1,0),0)</f>
        <v>0</v>
      </c>
      <c r="BH349" s="61" t="n">
        <f aca="false">IFERROR(IF(SUMPRODUCT((LEN(BC349)-LEN(SUBSTITUTE(BC349," "&amp;L_Pending&amp;" "," ")))/(LEN(L_Pending)+1))&gt;SUMPRODUCT((LEN(BC349)-LEN(SUBSTITUTE(BC349," "&amp;L_PendNeg&amp;" "," ")))/(LEN(L_PendNeg)+1)),1,0),1)</f>
        <v>0</v>
      </c>
      <c r="BI349" s="61" t="n">
        <f aca="false">IFERROR(IF(SUMPRODUCT((LEN(BD349)-LEN(SUBSTITUTE(BD349," "&amp;L_PendStrict&amp;" "," ")))/(LEN(L_PendStrict)+1))&gt;SUMPRODUCT((LEN(BD349)-LEN(SUBSTITUTE(BD349," "&amp;L_PendNeg&amp;" "," ")))/(LEN(L_PendNeg)+1)),1,0),1)</f>
        <v>0</v>
      </c>
      <c r="BJ349" s="61" t="n">
        <f aca="false">IFERROR(IF(SUMPRODUCT((LEN(BE349)-LEN(SUBSTITUTE(BE349," "&amp;L_Pending&amp;" "," ")))/(LEN(L_Pending)+1))&gt;SUMPRODUCT((LEN(BE349)-LEN(SUBSTITUTE(BE349," "&amp;L_PendNeg&amp;" "," ")))/(LEN(L_PendNeg)+1)),1,0),1)</f>
        <v>0</v>
      </c>
      <c r="BK349" s="61" t="n">
        <f aca="false">IFERROR(IF(SUMPRODUCT((LEN(BF349)-LEN(SUBSTITUTE(BF349," "&amp;L_PendStrict&amp;" "," ")))/(LEN(L_PendStrict)+1))&gt;SUMPRODUCT((LEN(BF349)-LEN(SUBSTITUTE(BF349," "&amp;L_PendNeg&amp;" "," ")))/(LEN(L_PendNeg)+1)),1,0),1)</f>
        <v>0</v>
      </c>
      <c r="BL349" s="61" t="n">
        <f aca="false">IF(ISNA(MATCH(TRIM(S349),L_EvidenceType,0)),0,BZ349)</f>
        <v>0</v>
      </c>
      <c r="BM349" s="61" t="str">
        <f aca="false">SUBSTITUTE(SUBSTITUTE(SUBSTITUTE(SUBSTITUTE(SUBSTITUTE(SUBSTITUTE(SUBSTITUTE(SUBSTITUTE(SUBSTITUTE(LOWER(Z349&amp;""),"1","0"),"2","0"),"3","0"),"4","0"),"5","0"),"6","0"),"7","0"),"8","0"),"9","0")</f>
        <v/>
      </c>
      <c r="BN349" s="61" t="str">
        <f aca="false">SUBSTITUTE(SUBSTITUTE(SUBSTITUTE(SUBSTITUTE(SUBSTITUTE(SUBSTITUTE(SUBSTITUTE(SUBSTITUTE(SUBSTITUTE(SUBSTITUTE(SUBSTITUTE(SUBSTITUTE(SUBSTITUTE(SUBSTITUTE(SUBSTITUTE(SUBSTITUTE(SUBSTITUTE(SUBSTITUTE(SUBSTITUTE(SUBSTITUTE(SUBSTITUTE(SUBSTITUTE(SUBSTITUTE(SUBSTITUTE(SUBSTITUTE(BM349,"b","a"),"c","a"),"d","a"),"e","a"),"f","a"),"g","a"),"h","a"),"i","a"),"j","a"),"k","a"),"l","a"),"m","a"),"n","a"),"o","a"),"p","a"),"q","a"),"r","a"),"s","a"),"t","a"),"u","a"),"v","a"),"w","a"),"x","a"),"y","a"),"z","a")</f>
        <v/>
      </c>
      <c r="BO349" s="61" t="str">
        <f aca="false">SUBSTITUTE(SUBSTITUTE(SUBSTITUTE(SUBSTITUTE(SUBSTITUTE(SUBSTITUTE(SUBSTITUTE(SUBSTITUTE(SUBSTITUTE(LOWER(W349&amp;""),"1","0"),"2","0"),"3","0"),"4","0"),"5","0"),"6","0"),"7","0"),"8","0"),"9","0")</f>
        <v/>
      </c>
      <c r="BP349" s="61" t="str">
        <f aca="false">SUBSTITUTE(SUBSTITUTE(SUBSTITUTE(SUBSTITUTE(SUBSTITUTE(SUBSTITUTE(SUBSTITUTE(SUBSTITUTE(SUBSTITUTE(SUBSTITUTE(SUBSTITUTE(SUBSTITUTE(SUBSTITUTE(SUBSTITUTE(SUBSTITUTE(SUBSTITUTE(SUBSTITUTE(SUBSTITUTE(SUBSTITUTE(SUBSTITUTE(SUBSTITUTE(SUBSTITUTE(SUBSTITUTE(SUBSTITUTE(SUBSTITUTE(BO349,"b","a"),"c","a"),"d","a"),"e","a"),"f","a"),"g","a"),"h","a"),"i","a"),"j","a"),"k","a"),"l","a"),"m","a"),"n","a"),"o","a"),"p","a"),"q","a"),"r","a"),"s","a"),"t","a"),"u","a"),"v","a"),"w","a"),"x","a"),"y","a"),"z","a")</f>
        <v/>
      </c>
      <c r="BQ349" s="61" t="n">
        <f aca="false">IFERROR(IF(AND(ISERROR(SEARCH(" mh"," "&amp;LOWER(W349))),ISNA(MATCH(LEFT(TRIM(BP349),255),{"0000a","000a","00a","0000aa","000aa","00aa","0aa","0000aaa","000aaa","00a00","0a00","0000-0000","00:00","a00","a0","00.00.0000","00/00/0000","00-00-0000","0000-00-00","0000/00/00","0000.00.00","00.00.00","00/00/00","00-00-00","0.00.0000","0/00/0000","0-00-0000"},0)),ISNA(MATCH(LEFT(TRIM(CA349),255),{"0000a","000a","00a","0000aa","000aa","00aa","0aa","0000aaa","000aaa","00a00","0a00","0000-0000","00:00","a00","a0","00.00.0000","00/00/0000","00-00-0000","0000-00-00","0000/00/00","0000.00.00","00.00.00","00/00/00","00-00-00","0.00.0000","0/00/0000","0-00-0000"},0)),LEN(CB349)&gt;=3,NOT(OR(SUBSTITUTE(CB349,"0","")="",AND(LEN(CB349)&gt;=4,CB349=REPT(LEFT(CB349),LEN(CB349))),ISNUMBER(MATCH(CB349,{"123","1234","12345","123456","1234567","12345678","0123","01234","012345","98765","987654","54321"},0)),AND(LEN(CB349)=8,LEFT(CB349,3)="202"))),OR(AND((LEN(CA349)-LEN(SUBSTITUTE(CA349,"a","")))&gt;=1,SUMPRODUCT(--ISNUMBER(SEARCH({"a0","a-0","a_0","a/0","a.0","a#0","0a","0-a","0_a","0/a"},BP349)))&gt;0),ISNUMBER(SEARCH("000000",BP349)))),1,0),0)</f>
        <v>0</v>
      </c>
      <c r="BR349" s="61" t="n">
        <f aca="false">IFERROR(LEN(SUBSTITUTE(CC349," ",""))-SUMPRODUCT((LEN(CC349)-LEN(SUBSTITUTE(CC349," "&amp;L_Role&amp;" "," ")))/(LEN(L_Role)+1)*LEN(L_Role)),0)</f>
        <v>0</v>
      </c>
      <c r="BS349" s="61" t="n">
        <f aca="false">IFERROR(LEN(SUBSTITUTE(CD349," ",""))-SUMPRODUCT((LEN(CD349)-LEN(SUBSTITUTE(CD349," "&amp;L_Role&amp;" "," ")))/(LEN(L_Role)+1)*LEN(L_Role)),0)</f>
        <v>0</v>
      </c>
      <c r="BT3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349,"revision",""),"version",""),"jan",""),"feb",""),"mar",""),"apr",""),"may",""),"jun",""),"jul",""),"aug",""),"sep",""),"oct",""),"nov",""),"dec",""),"utc",""),"gmt",""),"myt",""),"bst",""),"rev",""),"ver",""),"b","a"),"c","a"),"d","a"),"e","a"),"f","a"),"g","a"),"h","a"),"i","a"),"j","a"),"k","a"),"l","a"),"m","a"),"n","a"),"o","a"),"p","a"),"q","a"),"r","a"),"s","a"),"t","a"),"u","a"),"v","a"),"w","a"),"x","a"),"y","a"),"z","a")</f>
        <v/>
      </c>
      <c r="BU349" s="61" t="str">
        <f aca="false">SUBSTITUTE(SUBSTITUTE(SUBSTITUTE(SUBSTITUTE(SUBSTITUTE(SUBSTITUTE(SUBSTITUTE(SUBSTITUTE(SUBSTITUTE(SUBSTITUTE(LEFT(BM349,FIND("0",BM349&amp;"0")-1),"-",""),"_",""),"/",""),".",""),"#",""),"\\",""),":","")," ",""),"(",""),")","")</f>
        <v/>
      </c>
      <c r="BV349" s="61" t="n">
        <f aca="false">IFERROR(IF(OR(SUMPRODUCT((LEN(BC349)-LEN(SUBSTITUTE(BC349," "&amp;L_NotLoaded&amp;" "," ")))/(LEN(L_NotLoaded)+1))&gt;SUMPRODUCT((LEN(BC349)-LEN(SUBSTITUTE(BC349," "&amp;L_NotLoadedNeg&amp;" "," ")))/(LEN(L_NotLoadedNeg)+1)),SUMPRODUCT((LEN(BD349)-LEN(SUBSTITUTE(BD349," "&amp;L_NotLoaded&amp;" "," ")))/(LEN(L_NotLoaded)+1))&gt;SUMPRODUCT((LEN(BD349)-LEN(SUBSTITUTE(BD349," "&amp;L_NotLoadedNeg&amp;" "," ")))/(LEN(L_NotLoadedNeg)+1))),1,0),0)</f>
        <v>0</v>
      </c>
      <c r="BW3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349&amp;""),"a",""),"b",""),"c",""),"d",""),"e",""),"f",""),"g",""),"h",""),"i",""),"j",""),"k",""),"l",""),"m",""),"n",""),"o",""),"p",""),"q",""),"r",""),"s",""),"t",""),"u",""),"v",""),"w",""),"x",""),"y",""),"z",""),"-",""),"_",""),"/",""),".",""),"#",""),"\\",""),":","")," ",""),"(",""),")","")</f>
        <v/>
      </c>
      <c r="BX349" s="61" t="str">
        <f aca="false">SUBSTITUTE(SUBSTITUTE(SUBSTITUTE(SUBSTITUTE(SUBSTITUTE(SUBSTITUTE(SUBSTITUTE(SUBSTITUTE(SUBSTITUTE(SUBSTITUTE(SUBSTITUTE(BM349,"0",""),"-",""),"_",""),"/",""),".",""),"#",""),"\\",""),":","")," ",""),"(",""),")","")</f>
        <v/>
      </c>
      <c r="BY349" s="62" t="n">
        <f aca="false">IF(ISNUMBER(Flights!$AZ$14),MAX(Q349-UpliftWindowH/24,Flights!$AZ$14),Q349-UpliftWindowH/24)</f>
        <v>46306.90625</v>
      </c>
      <c r="BZ349" s="61" t="n">
        <f aca="false">IFERROR(IF(IF(TRIM(S349)="Link / file path",AND(LEN(TRIM(Z349))&gt;=5,SUMPRODUCT(--ISNUMBER(SEARCH({"http","www.","\\",":\",".pdf",".jpg",".jpeg",".png",".heic",".xls",".doc",".msg",".eml",".ppt",".txt",".zip"},Z349)))&gt;0),AND(ISERROR(FIND(" ",TRIM(Z349))),NOT(OR(SUMPRODUCT(--ISNUMBER(FIND({",",";","&amp;","+"},Z349)))&gt;0,SUMPRODUCT(--ISNUMBER(SEARCH({"0/aa","0\\aa"},BN349)))&gt;0)),NOT(SUMPRODUCT(--ISNUMBER(SEARCH({"http","www.","\\",":\",".pdf",".jpg",".jpeg",".png",".heic",".xls",".doc",".msg",".eml",".ppt",".txt",".zip"},Z349)))&gt;0),NOT(LOWER(TRIM(Z349))=LOWER(Flights!$F$14)),ISNA(MATCH(BU349,{"mh","rev","revision","ver","version","v","r","a","b","seat","tray","row","gate","bay","stand","page","pg","item","line","no","cart","galley","flight","flt","table","box","bag","oven","etd","eta","std","sta","atd","ata","qty","pax","x","time","tel","ph","mob","day","wk","week","utc","gmt","myt","lt"},0)),NOT(OR(ISNUMBER(MATCH(LEFT(BN349,255),{"0000a","000a","00a","0000aa","000aa","00aa","0aa","0000aaa","000aaa","00a00","0a00","0000-0000","00:00","a00","a0","00.00.0000","00/00/0000","00-00-0000","0000-00-00","0000/00/00","0000.00.00","00.00.00","00/00/00","00-00-00","0.00.0000","0/00/0000","0-00-0000"},0)),ISNUMBER(MATCH(LEFT(BT349,255),{"0000a","000a","00a","0000aa","000aa","00aa","0aa","0000aaa","000aaa","00a00","0a00","0000-0000","00:00","a00","a0","00.00.0000","00/00/0000","00-00-0000","0000-00-00","0000/00/00","0000.00.00","00.00.00","00/00/00","00-00-00","0.00.0000","0/00/0000","0-00-0000"},0)))),NOT(OR(AND(BW349&lt;&gt;"",SUBSTITUTE(BW349,"0","")=""),AND(LEN(BW349)&gt;=4,BW349=REPT(LEFT(BW349),LEN(BW349))),ISNUMBER(MATCH(BW349,{"123","1234","12345","123456","1234567","12345678","0123","01234","012345","98765","987654","54321"},0)),ISNUMBER(MATCH(BX349,{"x","xx","xxx","xxxx","xxxxx","abc","abcd","nil","na","nan","test","tbc","tba","tbd","dummy","sample","example","eg","zz","zzz","none","null","xyz","qwe","asd","id","ref"},0)),AND(LEN(BW349)=8,BX349="",OR(LEFT(BW349,3)="202",ISNUMBER(MATCH(RIGHT(BW349,4),{"2025","2026","2027"},0)))))),OR(AND((LEN(BT349)-LEN(SUBSTITUTE(BT349,"a","")))&gt;=1,(LEN(BN349)-LEN(SUBSTITUTE(BN349,"0","")))&gt;=2,SUMPRODUCT(--ISNUMBER(SEARCH({"a0","a-0","a_0","a/0","a.0","a#0","0a","0-a","0_a","0/a"},BN349)))&gt;0),AND((LEN(BN349)-LEN(SUBSTITUTE(BN349,"a","")))=0,(LEN(BN349)-LEN(SUBSTITUTE(BN349,"0","")))&gt;=5)))),1,0),0)</f>
        <v>0</v>
      </c>
      <c r="CA3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349,"revision",""),"version",""),"jan",""),"feb",""),"mar",""),"apr",""),"may",""),"jun",""),"jul",""),"aug",""),"sep",""),"oct",""),"nov",""),"dec",""),"utc",""),"gmt",""),"myt",""),"bst",""),"rev",""),"ver",""),"b","a"),"c","a"),"d","a"),"e","a"),"f","a"),"g","a"),"h","a"),"i","a"),"j","a"),"k","a"),"l","a"),"m","a"),"n","a"),"o","a"),"p","a"),"q","a"),"r","a"),"s","a"),"t","a"),"u","a"),"v","a"),"w","a"),"x","a"),"y","a"),"z","a")</f>
        <v/>
      </c>
      <c r="CB3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349&amp;""),"a",""),"b",""),"c",""),"d",""),"e",""),"f",""),"g",""),"h",""),"i",""),"j",""),"k",""),"l",""),"m",""),"n",""),"o",""),"p",""),"q",""),"r",""),"s",""),"t",""),"u",""),"v",""),"w",""),"x",""),"y",""),"z",""),"-",""),"_",""),"/",""),".",""),"#",""),"\\",""),":","")," ",""),"(",""),")","")</f>
        <v/>
      </c>
      <c r="CC349" s="0" t="str">
        <f aca="false">" "&amp;TRIM(SUBSTITUTE(SUBSTITUTE(SUBSTITUTE(SUBSTITUTE(SUBSTITUTE(SUBSTITUTE(SUBSTITUTE(SUBSTITUTE(SUBSTITUTE(SUBSTITUTE(SUBSTITUTE(SUBSTITUTE(SUBSTITUTE(SUBSTITUTE(SUBSTITUTE(SUBSTITUTE(SUBSTITUTE(SUBSTITUTE(SUBSTITUTE(SUBSTITUTE(SUBSTITUTE(SUBSTITUTE(SUBSTITUTE(SUBSTITUTE(LOWER(T349&amp;""),CHAR(10)," "),CHAR(13)," "),CHAR(9)," "),CHAR(160)," "),"."," "),","," "),"-"," "),"/"," "),"("," "),")"," "),":"," "),";"," "),"_"," "),"–"," "),"?"," "),"!"," "),"*"," "),"["," "),"]"," "),"'"," "),"#"," "),"+"," "),"&amp;"," "),"\"," "))&amp;" "</f>
        <v>  </v>
      </c>
      <c r="CD349" s="0" t="str">
        <f aca="false">" "&amp;TRIM(SUBSTITUTE(SUBSTITUTE(SUBSTITUTE(SUBSTITUTE(SUBSTITUTE(SUBSTITUTE(SUBSTITUTE(SUBSTITUTE(SUBSTITUTE(SUBSTITUTE(SUBSTITUTE(SUBSTITUTE(SUBSTITUTE(SUBSTITUTE(SUBSTITUTE(SUBSTITUTE(SUBSTITUTE(SUBSTITUTE(SUBSTITUTE(SUBSTITUTE(SUBSTITUTE(SUBSTITUTE(SUBSTITUTE(SUBSTITUTE(LOWER(AE349&amp;""),CHAR(10)," "),CHAR(13)," "),CHAR(9)," "),CHAR(160)," "),"."," "),","," "),"-"," "),"/"," "),"("," "),")"," "),":"," "),";"," "),"_"," "),"–"," "),"?"," "),"!"," "),"*"," "),"["," "),"]"," "),"'"," "),"#"," "),"+"," "),"&amp;"," "),"\"," "))&amp;" "</f>
        <v>  </v>
      </c>
      <c r="CE349" s="68" t="n">
        <f aca="false">IFERROR(IF(AND(LEN(AU349)&gt;0,LEN(AU349)=LEN(AX349),OR(TRIM(MID(SUBSTITUTE(TRIM(CC349)," ",REPT(" ",60)),1,60))="",ISNUMBER(SEARCH(" "&amp;TRIM(MID(SUBSTITUTE(TRIM(CC349)," ",REPT(" ",60)),1,60))&amp;" ",CD349))),OR(TRIM(MID(SUBSTITUTE(TRIM(CC349)," ",REPT(" ",60)),61,60))="",ISNUMBER(SEARCH(" "&amp;TRIM(MID(SUBSTITUTE(TRIM(CC349)," ",REPT(" ",60)),61,60))&amp;" ",CD349))),OR(TRIM(MID(SUBSTITUTE(TRIM(CC349)," ",REPT(" ",60)),121,60))="",ISNUMBER(SEARCH(" "&amp;TRIM(MID(SUBSTITUTE(TRIM(CC349)," ",REPT(" ",60)),121,60))&amp;" ",CD349)))),1,0),0)</f>
        <v>0</v>
      </c>
      <c r="CG349" s="68" t="n">
        <f aca="false">IFERROR(LEN(SUBSTITUTE(BF349," ",""))-SUMPRODUCT((LEN(BF349)-LEN(SUBSTITUTE(BF349," "&amp;L_NAFiller&amp;" "," ")))/(LEN(L_NAFiller)+1)*LEN(L_NAFiller)),0)</f>
        <v>0</v>
      </c>
    </row>
    <row r="350" customFormat="false" ht="39.75" hidden="false" customHeight="true" outlineLevel="0" collapsed="false">
      <c r="A350" s="57" t="s">
        <v>951</v>
      </c>
      <c r="B350" s="57" t="s">
        <v>251</v>
      </c>
      <c r="C350" s="57" t="str">
        <f aca="false">Flights!$F$14</f>
        <v>MH1140</v>
      </c>
      <c r="D350" s="58" t="n">
        <f aca="false">Flights!$D$14</f>
        <v>46307</v>
      </c>
      <c r="E350" s="57" t="str">
        <f aca="false">Flights!$G$14&amp;"-"&amp;Flights!$H$14</f>
        <v>KUL-PEN</v>
      </c>
      <c r="F350" s="57" t="str">
        <f aca="false">Flights!$K$14</f>
        <v>BC</v>
      </c>
      <c r="G350" s="57" t="s">
        <v>459</v>
      </c>
      <c r="H350" s="57" t="s">
        <v>460</v>
      </c>
      <c r="I350" s="57" t="s">
        <v>499</v>
      </c>
      <c r="J350" s="57" t="s">
        <v>537</v>
      </c>
      <c r="K350" s="67" t="s">
        <v>501</v>
      </c>
      <c r="L350" s="67" t="s">
        <v>935</v>
      </c>
      <c r="M350" s="67" t="s">
        <v>451</v>
      </c>
      <c r="N350" s="67" t="s">
        <v>383</v>
      </c>
      <c r="O350" s="67"/>
      <c r="P350" s="57" t="s">
        <v>187</v>
      </c>
      <c r="Q350" s="59" t="n">
        <f aca="false">ROUND((Flights!$AF$14)*1440,0)/1440</f>
        <v>46307.15625</v>
      </c>
      <c r="R350" s="59" t="n">
        <f aca="false">Q350+(IF(AND(INDEX(TZ_DSTS,MATCH(P350,TZ_STN,0))&lt;&gt;"",Q350&gt;=INDEX(TZ_DSTS,MATCH(P350,TZ_STN,0)),Q350&lt;INDEX(TZ_DSTE,MATCH(P350,TZ_STN,0))),INDEX(TZ_DST,MATCH(P350,TZ_STN,0)),INDEX(TZ_STD,MATCH(P350,TZ_STN,0))))/24</f>
        <v>46307.4895833333</v>
      </c>
      <c r="S350" s="60"/>
      <c r="T350" s="60"/>
      <c r="U350" s="60"/>
      <c r="V350" s="60"/>
      <c r="W350" s="61"/>
      <c r="X350" s="60"/>
      <c r="Y350" s="60"/>
      <c r="Z350" s="60"/>
      <c r="AA350" s="60"/>
      <c r="AB350" s="60"/>
      <c r="AC350" s="60"/>
      <c r="AD350" s="66"/>
      <c r="AE350" s="60"/>
      <c r="AF350" s="61" t="str">
        <f aca="false">IF(AND(ISNUMBER(X350),ISNUMBER(Y350)),Y350-X350,"")</f>
        <v/>
      </c>
      <c r="AG350" s="62" t="str">
        <f aca="false">IF(ISNUMBER(AD350),AD350-(IF(AND(INDEX(TZ_DSTS,MATCH(P350,TZ_STN,0))&lt;&gt;"",(AD350-INDEX(TZ_STD,MATCH(P350,TZ_STN,0))/24)&gt;=INDEX(TZ_DSTS,MATCH(P350,TZ_STN,0)),(AD350-INDEX(TZ_STD,MATCH(P350,TZ_STN,0))/24)&lt;INDEX(TZ_DSTE,MATCH(P350,TZ_STN,0))),INDEX(TZ_DST,MATCH(P350,TZ_STN,0)),INDEX(TZ_STD,MATCH(P350,TZ_STN,0))))/24,"")</f>
        <v/>
      </c>
      <c r="AH350" s="65" t="str">
        <f aca="false">IFERROR(IF(N350="N/A – rule",IF(OR(TRIM(U350)="",TRIM(U350)="N/A",TRIM(U350)="Not started"),"N/A – RULE","INVALID – this check does not apply to this aircraft: clear the status (or correct the fleet on Flights)"),IF(TRIM(U350)="N/A",IF(AT350=0,"INVALID – N/A not permitted for this check",IF(AND(TRIM(AB350)&lt;&gt;"",TRIM(AB350)&lt;&gt;"Closed"),"INVALID – corrective action still open",IF(AND(NOT(OR(LEN(AZ350)&lt;15,ISNUMBER(MATCH(AZ350,L_Placeholder,0)))),BK350=0,CG350&gt;=8,NOT(OR(LEN(AU350)&lt;2,ISNUMBER(MATCH(AU350,L_Placeholder,0)))),BR350&gt;=3,NOT(OR(LEN(AX350)&lt;2,ISNUMBER(MATCH(AX350,L_Placeholder,0)))),BS350&gt;=3,TRIM(AE350)&lt;&gt;TRIM(T350),AX350&lt;&gt;AU350,CE350=0),"N/A – JUSTIFIED","INVALID – N/A needs a real, settled reason (not 'not applicable' / 'as above' / TBC), a named PIC and a different named verifier"))),IF(OR(TRIM(U350)="Pass",TRIM(U350)="Pass after CA"),IF(NOT(ISNUMBER(AD350)),"INVALID – completion time missing",IF(OR(OR(LEN(AU350)&lt;2,ISNUMBER(MATCH(AU350,L_Placeholder,0))),BR350&lt;3),"INVALID – PIC missing or not a named person (a role such as QA / CSM is not a name)",IF(OR(LEN(AV350)&lt;2,ISNUMBER(MATCH(AV350,L_Placeholder,0))),"INVALID – result / assessment missing",IF(OR(OR(LEN(AW350)&lt;3,ISNUMBER(MATCH(AW350,L_Placeholder,0))),SUMPRODUCT(--ISNUMBER(SEARCH(" "&amp;L_EvidencePhrase&amp;" ",BD350)))&gt;0,BI350=1),"INVALID – evidence missing, placeholder or not yet on file",IF(ISNA(MATCH(TRIM(S350),L_EvidenceType,0)),"INVALID – choose the evidence type from the list (column S)",IF(BL350=0,"INVALID – evidence ID must be the record's own ID only (e.g. SF-2210, IMG_2231, 1045521); a link / file name needs type 'Link / file path'",IF(OR(OR(LEN(AX350)&lt;2,ISNUMBER(MATCH(AX350,L_Placeholder,0))),BS350&lt;3),"INVALID – verifier missing or not a named person (a role such as QA / CSM is not a name)",IF(OR(AX350=AU350,CE350=1,AND(LEN(AU350)&gt;=4,ISNUMBER(SEARCH(AU350,AX350))),AND(LEN(AX350)&gt;=4,ISNUMBER(SEARCH(AX350,AU350)))),"INVALID – verifier must be a different, named person (not the PIC or a role)",IF(BH350=1,"INVALID – result not yet available (awaiting / TBC)",IF(BG350=1,"INVALID – result describes a problem: record Fail, then Pass after CA (or reword if it is not a problem)",IF(BV350=1,"INVALID – wording says not on board: an on-board confirmation needs the item loaded",IF(AND(AQ350=1,OR(OR(LEN(AY350)&lt;3,ISNUMBER(MATCH(AY350,L_Placeholder,0))),BJ350=1,BQ350=0)),"INVALID – batch ID missing, placeholder or not an ID (e.g. PASB-261008-BC-017)",IF(AND(AR350=1,OR(NOT(ISNUMBER(X350)),NOT(ISNUMBER(Y350)))),"INVALID – expected/actual qty missing",IF(AND(AR350=1,OR(X350&lt;=0,Y350&lt;0)),"INVALID – expected qty must be above 0 and actual not negative",IF(AH340="N/A – JUSTIFIED","INVALID – preparation row F10-T12-09 is N/A",IF(AND(AR350=1,ISNUMBER(X340),X350&lt;&gt;X340,TRIM(U350)&lt;&gt;"Pass after CA"),"INVALID – expected qty differs from preparation check F10-T12-09: record the load change as a corrective action (Pass after CA)",IF(BB350&lt;&gt;"",BB350,IF(AND(AS350=1,Documents!$J$14&lt;&gt;"ON FILE"),"INVALID – GLD not on file (Documents sheet)",IF(AND(AS350=2,Documents!$O$14&lt;&gt;"ON FILE"),"INVALID – menu checklist not on file (Documents sheet)",IF(AND(AS350=3,NOT(ISNUMBER(Flights!$AX$14))),"INVALID – enter carrying flight KUL departure (Flights AX)",IF(AND(AS350=3,OR(Flights!$AZ$14&gt;Flights!$AA$14,Flights!$AX$14&lt;Flights!$AA$14-3)),"INVALID – carrying flight (Flights AX) cannot arrive before this leg's STD, or is over 3 days early",IF(AG350&gt;AsOfUTC,"INVALID – completion time is in the future",IF(AND(ISNUMBER(BY350),AG350&lt;BY350),IF(H350="Physical uplift","INVALID – before uplift window (cannot confirm loading)","INVALID – before valid window"),IF(AG350&gt;Flights!$AA$14,"INVALID – completed after departure (cannot establish readiness)",IF(AND(H350="Preparation",AG350&gt;=IF(ISNUMBER(Flights!$BA$14),MIN(Flights!$BA$14,Flights!$AA$14),Flights!$AA$14)),"INVALID – completed after loading / departure (cannot establish readiness)",IF(AND(H350="Physical uplift",AG350&gt;Q350),"INVALID – recorded after the loading flight departed",IF(AG350&gt;Q350,"COMPLETE – LATE","COMPLETE"))))))))))))))))))))))))))),IF(TRIM(U350)="Fail","FAIL – DISCREPANCY",IF(AND(TRIM(U350)&lt;&gt;"",TRIM(U350)&lt;&gt;"Not started",TRIM(U350)&lt;&gt;"In progress"),"INVALID – unrecognised status (use the list)",IF(AsOfUTC&gt;Q350,"OVERDUE",IF(N350="Clarification required","OPEN – CLARIFICATION","OPEN"))))))),"INVALID – error value in an input cell")</f>
        <v>OPEN</v>
      </c>
      <c r="AI350" s="61" t="n">
        <f aca="false">IF(OR(AH350="N/A – RULE",AH350="N/A – JUSTIFIED"),0,1)</f>
        <v>1</v>
      </c>
      <c r="AJ350" s="61" t="n">
        <f aca="false">IF(LEFT(AH350,8)="COMPLETE",1,0)</f>
        <v>0</v>
      </c>
      <c r="AK350" s="61" t="n">
        <f aca="false">IF(AND(AI350=1,AJ350=0,AsOfUTC&gt;Q350),1,0)</f>
        <v>0</v>
      </c>
      <c r="AL350" s="61" t="n">
        <f aca="false">IFERROR(IF(AND(AI350=1,OR(TRIM(U350)="Fail",AND(TRIM(AB350)&lt;&gt;"",TRIM(AB350)&lt;&gt;"Closed"),AND(ISNUMBER(AF350),AF350&lt;&gt;0,TRIM(U350)&lt;&gt;"Pass after CA"))),1,0),1)</f>
        <v>0</v>
      </c>
      <c r="AM350" s="61" t="n">
        <f aca="false">IF(LEFT(AH350,7)="INVALID",1,0)</f>
        <v>0</v>
      </c>
      <c r="AN350" s="61" t="n">
        <f aca="false">IF(AND(N350="Clarification required",AI350=1,AJ350=0),1,0)</f>
        <v>0</v>
      </c>
      <c r="AO350" s="61" t="str">
        <f aca="false">IF(AK350=1,SUM(AK$5:AK350),"")</f>
        <v/>
      </c>
      <c r="AP350" s="61" t="str">
        <f aca="false">IF(AL350=1,SUM(AL$5:AL350),"")</f>
        <v/>
      </c>
      <c r="AQ350" s="61" t="n">
        <v>0</v>
      </c>
      <c r="AR350" s="61" t="n">
        <v>0</v>
      </c>
      <c r="AS350" s="61" t="n">
        <v>0</v>
      </c>
      <c r="AT350" s="61" t="n">
        <v>0</v>
      </c>
      <c r="AU350" s="61" t="str">
        <f aca="false">SUBSTITUTE(SUBSTITUTE(SUBSTITUTE(SUBSTITUTE(SUBSTITUTE(SUBSTITUTE(SUBSTITUTE(SUBSTITUTE(SUBSTITUTE(SUBSTITUTE(SUBSTITUTE(SUBSTITUTE(SUBSTITUTE(SUBSTITUTE(SUBSTITUTE(SUBSTITUTE(LOWER(T350&amp;""),CHAR(10),""),CHAR(13),""),CHAR(9),""),CHAR(160),"")," ",""),".",""),"-",""),"/",""),"?",""),"_",""),",",""),"[",""),"]",""),"(",""),")",""),"*","")</f>
        <v/>
      </c>
      <c r="AV350" s="61" t="str">
        <f aca="false">SUBSTITUTE(SUBSTITUTE(SUBSTITUTE(SUBSTITUTE(SUBSTITUTE(SUBSTITUTE(SUBSTITUTE(SUBSTITUTE(SUBSTITUTE(SUBSTITUTE(SUBSTITUTE(SUBSTITUTE(SUBSTITUTE(SUBSTITUTE(SUBSTITUTE(SUBSTITUTE(LOWER(V350&amp;""),CHAR(10),""),CHAR(13),""),CHAR(9),""),CHAR(160),"")," ",""),".",""),"-",""),"/",""),"?",""),"_",""),",",""),"[",""),"]",""),"(",""),")",""),"*","")</f>
        <v/>
      </c>
      <c r="AW350" s="61" t="str">
        <f aca="false">SUBSTITUTE(SUBSTITUTE(SUBSTITUTE(SUBSTITUTE(SUBSTITUTE(SUBSTITUTE(SUBSTITUTE(SUBSTITUTE(SUBSTITUTE(SUBSTITUTE(SUBSTITUTE(SUBSTITUTE(SUBSTITUTE(SUBSTITUTE(SUBSTITUTE(SUBSTITUTE(LOWER(Z350&amp;""),CHAR(10),""),CHAR(13),""),CHAR(9),""),CHAR(160),"")," ",""),".",""),"-",""),"/",""),"?",""),"_",""),",",""),"[",""),"]",""),"(",""),")",""),"*","")</f>
        <v/>
      </c>
      <c r="AX350" s="61" t="str">
        <f aca="false">SUBSTITUTE(SUBSTITUTE(SUBSTITUTE(SUBSTITUTE(SUBSTITUTE(SUBSTITUTE(SUBSTITUTE(SUBSTITUTE(SUBSTITUTE(SUBSTITUTE(SUBSTITUTE(SUBSTITUTE(SUBSTITUTE(SUBSTITUTE(SUBSTITUTE(SUBSTITUTE(LOWER(AE350&amp;""),CHAR(10),""),CHAR(13),""),CHAR(9),""),CHAR(160),"")," ",""),".",""),"-",""),"/",""),"?",""),"_",""),",",""),"[",""),"]",""),"(",""),")",""),"*","")</f>
        <v/>
      </c>
      <c r="AY350" s="61" t="str">
        <f aca="false">SUBSTITUTE(SUBSTITUTE(SUBSTITUTE(SUBSTITUTE(SUBSTITUTE(SUBSTITUTE(SUBSTITUTE(SUBSTITUTE(SUBSTITUTE(SUBSTITUTE(SUBSTITUTE(SUBSTITUTE(SUBSTITUTE(SUBSTITUTE(SUBSTITUTE(SUBSTITUTE(LOWER(W350&amp;""),CHAR(10),""),CHAR(13),""),CHAR(9),""),CHAR(160),"")," ",""),".",""),"-",""),"/",""),"?",""),"_",""),",",""),"[",""),"]",""),"(",""),")",""),"*","")</f>
        <v/>
      </c>
      <c r="AZ350" s="61" t="str">
        <f aca="false">SUBSTITUTE(SUBSTITUTE(SUBSTITUTE(SUBSTITUTE(SUBSTITUTE(SUBSTITUTE(SUBSTITUTE(SUBSTITUTE(SUBSTITUTE(SUBSTITUTE(SUBSTITUTE(SUBSTITUTE(SUBSTITUTE(SUBSTITUTE(SUBSTITUTE(SUBSTITUTE(LOWER(AC350&amp;""),CHAR(10),""),CHAR(13),""),CHAR(9),""),CHAR(160),"")," ",""),".",""),"-",""),"/",""),"?",""),"_",""),",",""),"[",""),"]",""),"(",""),")",""),"*","")</f>
        <v/>
      </c>
      <c r="BA350" s="61" t="str">
        <f aca="false">SUBSTITUTE(SUBSTITUTE(SUBSTITUTE(SUBSTITUTE(SUBSTITUTE(SUBSTITUTE(SUBSTITUTE(SUBSTITUTE(SUBSTITUTE(SUBSTITUTE(SUBSTITUTE(SUBSTITUTE(SUBSTITUTE(SUBSTITUTE(SUBSTITUTE(SUBSTITUTE(LOWER(AA350&amp;""),CHAR(10),""),CHAR(13),""),CHAR(9),""),CHAR(160),"")," ",""),".",""),"-",""),"/",""),"?",""),"_",""),",",""),"[",""),"]",""),"(",""),")",""),"*","")</f>
        <v/>
      </c>
      <c r="BB350" s="61" t="str">
        <f aca="false">IF(AND(TRIM(U350)="Pass",ISNUMBER(AF350)),IF(AF350&lt;&gt;0,"INVALID – qty variance: use Fail or Pass after CA",""),"")&amp;IF(AND(TRIM(U350)="Pass after CA",ISNUMBER(AF350)),IF(AF350&lt;&gt;0,"INVALID – after the corrective action the actual qty must equal expected (update Actual)",""),"")&amp;IF(AND(TRIM(U350)="Pass",TRIM(AB350)&lt;&gt;"",TRIM(AB350)&lt;&gt;"Closed"),"INVALID – corrective action not closed: use Fail, then Pass after CA","")&amp;IF(AND(LEN(BA350)&gt;=2,ISNA(MATCH(LEFT(BA350,255),L_Placeholder,0)),TRIM(AB350)=""),"INVALID – CA status missing for the recorded corrective action","")&amp;IF(AND(TRIM(U350)="Pass after CA",OR(OR(LEN(BA350)&lt;5,ISNUMBER(MATCH(BA350,L_Placeholder,0))),TRIM(AB350)&lt;&gt;"Closed")),"INVALID – corrective action not recorded/closed","")</f>
        <v/>
      </c>
      <c r="BC350" s="61" t="str">
        <f aca="false">" "&amp;TRIM(SUBSTITUTE(SUBSTITUTE(SUBSTITUTE(SUBSTITUTE(SUBSTITUTE(SUBSTITUTE(SUBSTITUTE(SUBSTITUTE(SUBSTITUTE(SUBSTITUTE(SUBSTITUTE(SUBSTITUTE(SUBSTITUTE(SUBSTITUTE(SUBSTITUTE(SUBSTITUTE(SUBSTITUTE(SUBSTITUTE(SUBSTITUTE(SUBSTITUTE(SUBSTITUTE(SUBSTITUTE(SUBSTITUTE(SUBSTITUTE(LOWER(V350&amp;""),CHAR(10)," "),CHAR(13)," "),CHAR(9)," "),CHAR(160)," "),"."," "),","," "),"-"," "),"/"," "),"("," "),")"," "),":"," "),";"," "),"_"," "),"–"," "),"?"," "),"!"," "),"*"," "),"["," "),"]"," "),"'"," "),"#"," "),"+"," "),"&amp;"," "),"\"," "))&amp;" "</f>
        <v>  </v>
      </c>
      <c r="BD350" s="61" t="str">
        <f aca="false">" "&amp;TRIM(SUBSTITUTE(SUBSTITUTE(SUBSTITUTE(SUBSTITUTE(SUBSTITUTE(SUBSTITUTE(SUBSTITUTE(SUBSTITUTE(SUBSTITUTE(SUBSTITUTE(SUBSTITUTE(SUBSTITUTE(SUBSTITUTE(SUBSTITUTE(SUBSTITUTE(SUBSTITUTE(SUBSTITUTE(SUBSTITUTE(SUBSTITUTE(SUBSTITUTE(SUBSTITUTE(SUBSTITUTE(SUBSTITUTE(SUBSTITUTE(LOWER(Z350&amp;""),CHAR(10)," "),CHAR(13)," "),CHAR(9)," "),CHAR(160)," "),"."," "),","," "),"-"," "),"/"," "),"("," "),")"," "),":"," "),";"," "),"_"," "),"–"," "),"?"," "),"!"," "),"*"," "),"["," "),"]"," "),"'"," "),"#"," "),"+"," "),"&amp;"," "),"\"," "))&amp;" "</f>
        <v>  </v>
      </c>
      <c r="BE350" s="61" t="str">
        <f aca="false">" "&amp;TRIM(SUBSTITUTE(SUBSTITUTE(SUBSTITUTE(SUBSTITUTE(SUBSTITUTE(SUBSTITUTE(SUBSTITUTE(SUBSTITUTE(SUBSTITUTE(SUBSTITUTE(SUBSTITUTE(SUBSTITUTE(SUBSTITUTE(SUBSTITUTE(SUBSTITUTE(SUBSTITUTE(SUBSTITUTE(SUBSTITUTE(SUBSTITUTE(SUBSTITUTE(SUBSTITUTE(SUBSTITUTE(SUBSTITUTE(SUBSTITUTE(LOWER(W350&amp;""),CHAR(10)," "),CHAR(13)," "),CHAR(9)," "),CHAR(160)," "),"."," "),","," "),"-"," "),"/"," "),"("," "),")"," "),":"," "),";"," "),"_"," "),"–"," "),"?"," "),"!"," "),"*"," "),"["," "),"]"," "),"'"," "),"#"," "),"+"," "),"&amp;"," "),"\"," "))&amp;" "</f>
        <v>  </v>
      </c>
      <c r="BF350" s="61" t="str">
        <f aca="false">" "&amp;TRIM(SUBSTITUTE(SUBSTITUTE(SUBSTITUTE(SUBSTITUTE(SUBSTITUTE(SUBSTITUTE(SUBSTITUTE(SUBSTITUTE(SUBSTITUTE(SUBSTITUTE(SUBSTITUTE(SUBSTITUTE(SUBSTITUTE(SUBSTITUTE(SUBSTITUTE(SUBSTITUTE(SUBSTITUTE(SUBSTITUTE(SUBSTITUTE(SUBSTITUTE(SUBSTITUTE(SUBSTITUTE(SUBSTITUTE(SUBSTITUTE(LOWER(AC350&amp;""),CHAR(10)," "),CHAR(13)," "),CHAR(9)," "),CHAR(160)," "),"."," "),","," "),"-"," "),"/"," "),"("," "),")"," "),":"," "),";"," "),"_"," "),"–"," "),"?"," "),"!"," "),"*"," "),"["," "),"]"," "),"'"," "),"#"," "),"+"," "),"&amp;"," "),"\"," "))&amp;" "</f>
        <v>  </v>
      </c>
      <c r="BG350" s="61" t="n">
        <f aca="false">IFERROR(IF(AND(TRIM(U350)="Pass",SUMPRODUCT((LEN(BC350)-LEN(SUBSTITUTE(BC350," "&amp;L_ResultBad&amp;" "," ")))/(LEN(L_ResultBad)+1))&gt;SUMPRODUCT((LEN(BC350)-LEN(SUBSTITUTE(BC350," "&amp;L_NegPhrase&amp;" "," ")))/(LEN(L_NegPhrase)+1))),1,0),0)</f>
        <v>0</v>
      </c>
      <c r="BH350" s="61" t="n">
        <f aca="false">IFERROR(IF(SUMPRODUCT((LEN(BC350)-LEN(SUBSTITUTE(BC350," "&amp;L_Pending&amp;" "," ")))/(LEN(L_Pending)+1))&gt;SUMPRODUCT((LEN(BC350)-LEN(SUBSTITUTE(BC350," "&amp;L_PendNeg&amp;" "," ")))/(LEN(L_PendNeg)+1)),1,0),1)</f>
        <v>0</v>
      </c>
      <c r="BI350" s="61" t="n">
        <f aca="false">IFERROR(IF(SUMPRODUCT((LEN(BD350)-LEN(SUBSTITUTE(BD350," "&amp;L_PendStrict&amp;" "," ")))/(LEN(L_PendStrict)+1))&gt;SUMPRODUCT((LEN(BD350)-LEN(SUBSTITUTE(BD350," "&amp;L_PendNeg&amp;" "," ")))/(LEN(L_PendNeg)+1)),1,0),1)</f>
        <v>0</v>
      </c>
      <c r="BJ350" s="61" t="n">
        <f aca="false">IFERROR(IF(SUMPRODUCT((LEN(BE350)-LEN(SUBSTITUTE(BE350," "&amp;L_Pending&amp;" "," ")))/(LEN(L_Pending)+1))&gt;SUMPRODUCT((LEN(BE350)-LEN(SUBSTITUTE(BE350," "&amp;L_PendNeg&amp;" "," ")))/(LEN(L_PendNeg)+1)),1,0),1)</f>
        <v>0</v>
      </c>
      <c r="BK350" s="61" t="n">
        <f aca="false">IFERROR(IF(SUMPRODUCT((LEN(BF350)-LEN(SUBSTITUTE(BF350," "&amp;L_PendStrict&amp;" "," ")))/(LEN(L_PendStrict)+1))&gt;SUMPRODUCT((LEN(BF350)-LEN(SUBSTITUTE(BF350," "&amp;L_PendNeg&amp;" "," ")))/(LEN(L_PendNeg)+1)),1,0),1)</f>
        <v>0</v>
      </c>
      <c r="BL350" s="61" t="n">
        <f aca="false">IF(ISNA(MATCH(TRIM(S350),L_EvidenceType,0)),0,BZ350)</f>
        <v>0</v>
      </c>
      <c r="BM350" s="61" t="str">
        <f aca="false">SUBSTITUTE(SUBSTITUTE(SUBSTITUTE(SUBSTITUTE(SUBSTITUTE(SUBSTITUTE(SUBSTITUTE(SUBSTITUTE(SUBSTITUTE(LOWER(Z350&amp;""),"1","0"),"2","0"),"3","0"),"4","0"),"5","0"),"6","0"),"7","0"),"8","0"),"9","0")</f>
        <v/>
      </c>
      <c r="BN350" s="61" t="str">
        <f aca="false">SUBSTITUTE(SUBSTITUTE(SUBSTITUTE(SUBSTITUTE(SUBSTITUTE(SUBSTITUTE(SUBSTITUTE(SUBSTITUTE(SUBSTITUTE(SUBSTITUTE(SUBSTITUTE(SUBSTITUTE(SUBSTITUTE(SUBSTITUTE(SUBSTITUTE(SUBSTITUTE(SUBSTITUTE(SUBSTITUTE(SUBSTITUTE(SUBSTITUTE(SUBSTITUTE(SUBSTITUTE(SUBSTITUTE(SUBSTITUTE(SUBSTITUTE(BM350,"b","a"),"c","a"),"d","a"),"e","a"),"f","a"),"g","a"),"h","a"),"i","a"),"j","a"),"k","a"),"l","a"),"m","a"),"n","a"),"o","a"),"p","a"),"q","a"),"r","a"),"s","a"),"t","a"),"u","a"),"v","a"),"w","a"),"x","a"),"y","a"),"z","a")</f>
        <v/>
      </c>
      <c r="BO350" s="61" t="str">
        <f aca="false">SUBSTITUTE(SUBSTITUTE(SUBSTITUTE(SUBSTITUTE(SUBSTITUTE(SUBSTITUTE(SUBSTITUTE(SUBSTITUTE(SUBSTITUTE(LOWER(W350&amp;""),"1","0"),"2","0"),"3","0"),"4","0"),"5","0"),"6","0"),"7","0"),"8","0"),"9","0")</f>
        <v/>
      </c>
      <c r="BP350" s="61" t="str">
        <f aca="false">SUBSTITUTE(SUBSTITUTE(SUBSTITUTE(SUBSTITUTE(SUBSTITUTE(SUBSTITUTE(SUBSTITUTE(SUBSTITUTE(SUBSTITUTE(SUBSTITUTE(SUBSTITUTE(SUBSTITUTE(SUBSTITUTE(SUBSTITUTE(SUBSTITUTE(SUBSTITUTE(SUBSTITUTE(SUBSTITUTE(SUBSTITUTE(SUBSTITUTE(SUBSTITUTE(SUBSTITUTE(SUBSTITUTE(SUBSTITUTE(SUBSTITUTE(BO350,"b","a"),"c","a"),"d","a"),"e","a"),"f","a"),"g","a"),"h","a"),"i","a"),"j","a"),"k","a"),"l","a"),"m","a"),"n","a"),"o","a"),"p","a"),"q","a"),"r","a"),"s","a"),"t","a"),"u","a"),"v","a"),"w","a"),"x","a"),"y","a"),"z","a")</f>
        <v/>
      </c>
      <c r="BQ350" s="61" t="n">
        <f aca="false">IFERROR(IF(AND(ISERROR(SEARCH(" mh"," "&amp;LOWER(W350))),ISNA(MATCH(LEFT(TRIM(BP350),255),{"0000a","000a","00a","0000aa","000aa","00aa","0aa","0000aaa","000aaa","00a00","0a00","0000-0000","00:00","a00","a0","00.00.0000","00/00/0000","00-00-0000","0000-00-00","0000/00/00","0000.00.00","00.00.00","00/00/00","00-00-00","0.00.0000","0/00/0000","0-00-0000"},0)),ISNA(MATCH(LEFT(TRIM(CA350),255),{"0000a","000a","00a","0000aa","000aa","00aa","0aa","0000aaa","000aaa","00a00","0a00","0000-0000","00:00","a00","a0","00.00.0000","00/00/0000","00-00-0000","0000-00-00","0000/00/00","0000.00.00","00.00.00","00/00/00","00-00-00","0.00.0000","0/00/0000","0-00-0000"},0)),LEN(CB350)&gt;=3,NOT(OR(SUBSTITUTE(CB350,"0","")="",AND(LEN(CB350)&gt;=4,CB350=REPT(LEFT(CB350),LEN(CB350))),ISNUMBER(MATCH(CB350,{"123","1234","12345","123456","1234567","12345678","0123","01234","012345","98765","987654","54321"},0)),AND(LEN(CB350)=8,LEFT(CB350,3)="202"))),OR(AND((LEN(CA350)-LEN(SUBSTITUTE(CA350,"a","")))&gt;=1,SUMPRODUCT(--ISNUMBER(SEARCH({"a0","a-0","a_0","a/0","a.0","a#0","0a","0-a","0_a","0/a"},BP350)))&gt;0),ISNUMBER(SEARCH("000000",BP350)))),1,0),0)</f>
        <v>0</v>
      </c>
      <c r="BR350" s="61" t="n">
        <f aca="false">IFERROR(LEN(SUBSTITUTE(CC350," ",""))-SUMPRODUCT((LEN(CC350)-LEN(SUBSTITUTE(CC350," "&amp;L_Role&amp;" "," ")))/(LEN(L_Role)+1)*LEN(L_Role)),0)</f>
        <v>0</v>
      </c>
      <c r="BS350" s="61" t="n">
        <f aca="false">IFERROR(LEN(SUBSTITUTE(CD350," ",""))-SUMPRODUCT((LEN(CD350)-LEN(SUBSTITUTE(CD350," "&amp;L_Role&amp;" "," ")))/(LEN(L_Role)+1)*LEN(L_Role)),0)</f>
        <v>0</v>
      </c>
      <c r="BT3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350,"revision",""),"version",""),"jan",""),"feb",""),"mar",""),"apr",""),"may",""),"jun",""),"jul",""),"aug",""),"sep",""),"oct",""),"nov",""),"dec",""),"utc",""),"gmt",""),"myt",""),"bst",""),"rev",""),"ver",""),"b","a"),"c","a"),"d","a"),"e","a"),"f","a"),"g","a"),"h","a"),"i","a"),"j","a"),"k","a"),"l","a"),"m","a"),"n","a"),"o","a"),"p","a"),"q","a"),"r","a"),"s","a"),"t","a"),"u","a"),"v","a"),"w","a"),"x","a"),"y","a"),"z","a")</f>
        <v/>
      </c>
      <c r="BU350" s="61" t="str">
        <f aca="false">SUBSTITUTE(SUBSTITUTE(SUBSTITUTE(SUBSTITUTE(SUBSTITUTE(SUBSTITUTE(SUBSTITUTE(SUBSTITUTE(SUBSTITUTE(SUBSTITUTE(LEFT(BM350,FIND("0",BM350&amp;"0")-1),"-",""),"_",""),"/",""),".",""),"#",""),"\\",""),":","")," ",""),"(",""),")","")</f>
        <v/>
      </c>
      <c r="BV350" s="61" t="n">
        <f aca="false">IFERROR(IF(OR(SUMPRODUCT((LEN(BC350)-LEN(SUBSTITUTE(BC350," "&amp;L_NotLoaded&amp;" "," ")))/(LEN(L_NotLoaded)+1))&gt;SUMPRODUCT((LEN(BC350)-LEN(SUBSTITUTE(BC350," "&amp;L_NotLoadedNeg&amp;" "," ")))/(LEN(L_NotLoadedNeg)+1)),SUMPRODUCT((LEN(BD350)-LEN(SUBSTITUTE(BD350," "&amp;L_NotLoaded&amp;" "," ")))/(LEN(L_NotLoaded)+1))&gt;SUMPRODUCT((LEN(BD350)-LEN(SUBSTITUTE(BD350," "&amp;L_NotLoadedNeg&amp;" "," ")))/(LEN(L_NotLoadedNeg)+1))),1,0),0)</f>
        <v>0</v>
      </c>
      <c r="BW3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350&amp;""),"a",""),"b",""),"c",""),"d",""),"e",""),"f",""),"g",""),"h",""),"i",""),"j",""),"k",""),"l",""),"m",""),"n",""),"o",""),"p",""),"q",""),"r",""),"s",""),"t",""),"u",""),"v",""),"w",""),"x",""),"y",""),"z",""),"-",""),"_",""),"/",""),".",""),"#",""),"\\",""),":","")," ",""),"(",""),")","")</f>
        <v/>
      </c>
      <c r="BX350" s="61" t="str">
        <f aca="false">SUBSTITUTE(SUBSTITUTE(SUBSTITUTE(SUBSTITUTE(SUBSTITUTE(SUBSTITUTE(SUBSTITUTE(SUBSTITUTE(SUBSTITUTE(SUBSTITUTE(SUBSTITUTE(BM350,"0",""),"-",""),"_",""),"/",""),".",""),"#",""),"\\",""),":","")," ",""),"(",""),")","")</f>
        <v/>
      </c>
      <c r="BY350" s="62" t="n">
        <f aca="false">IF(ISNUMBER(Flights!$AZ$14),MAX(Q350-UpliftWindowH/24,Flights!$AZ$14),Q350-UpliftWindowH/24)</f>
        <v>46306.90625</v>
      </c>
      <c r="BZ350" s="61" t="n">
        <f aca="false">IFERROR(IF(IF(TRIM(S350)="Link / file path",AND(LEN(TRIM(Z350))&gt;=5,SUMPRODUCT(--ISNUMBER(SEARCH({"http","www.","\\",":\",".pdf",".jpg",".jpeg",".png",".heic",".xls",".doc",".msg",".eml",".ppt",".txt",".zip"},Z350)))&gt;0),AND(ISERROR(FIND(" ",TRIM(Z350))),NOT(OR(SUMPRODUCT(--ISNUMBER(FIND({",",";","&amp;","+"},Z350)))&gt;0,SUMPRODUCT(--ISNUMBER(SEARCH({"0/aa","0\\aa"},BN350)))&gt;0)),NOT(SUMPRODUCT(--ISNUMBER(SEARCH({"http","www.","\\",":\",".pdf",".jpg",".jpeg",".png",".heic",".xls",".doc",".msg",".eml",".ppt",".txt",".zip"},Z350)))&gt;0),NOT(LOWER(TRIM(Z350))=LOWER(Flights!$F$14)),ISNA(MATCH(BU350,{"mh","rev","revision","ver","version","v","r","a","b","seat","tray","row","gate","bay","stand","page","pg","item","line","no","cart","galley","flight","flt","table","box","bag","oven","etd","eta","std","sta","atd","ata","qty","pax","x","time","tel","ph","mob","day","wk","week","utc","gmt","myt","lt"},0)),NOT(OR(ISNUMBER(MATCH(LEFT(BN350,255),{"0000a","000a","00a","0000aa","000aa","00aa","0aa","0000aaa","000aaa","00a00","0a00","0000-0000","00:00","a00","a0","00.00.0000","00/00/0000","00-00-0000","0000-00-00","0000/00/00","0000.00.00","00.00.00","00/00/00","00-00-00","0.00.0000","0/00/0000","0-00-0000"},0)),ISNUMBER(MATCH(LEFT(BT350,255),{"0000a","000a","00a","0000aa","000aa","00aa","0aa","0000aaa","000aaa","00a00","0a00","0000-0000","00:00","a00","a0","00.00.0000","00/00/0000","00-00-0000","0000-00-00","0000/00/00","0000.00.00","00.00.00","00/00/00","00-00-00","0.00.0000","0/00/0000","0-00-0000"},0)))),NOT(OR(AND(BW350&lt;&gt;"",SUBSTITUTE(BW350,"0","")=""),AND(LEN(BW350)&gt;=4,BW350=REPT(LEFT(BW350),LEN(BW350))),ISNUMBER(MATCH(BW350,{"123","1234","12345","123456","1234567","12345678","0123","01234","012345","98765","987654","54321"},0)),ISNUMBER(MATCH(BX350,{"x","xx","xxx","xxxx","xxxxx","abc","abcd","nil","na","nan","test","tbc","tba","tbd","dummy","sample","example","eg","zz","zzz","none","null","xyz","qwe","asd","id","ref"},0)),AND(LEN(BW350)=8,BX350="",OR(LEFT(BW350,3)="202",ISNUMBER(MATCH(RIGHT(BW350,4),{"2025","2026","2027"},0)))))),OR(AND((LEN(BT350)-LEN(SUBSTITUTE(BT350,"a","")))&gt;=1,(LEN(BN350)-LEN(SUBSTITUTE(BN350,"0","")))&gt;=2,SUMPRODUCT(--ISNUMBER(SEARCH({"a0","a-0","a_0","a/0","a.0","a#0","0a","0-a","0_a","0/a"},BN350)))&gt;0),AND((LEN(BN350)-LEN(SUBSTITUTE(BN350,"a","")))=0,(LEN(BN350)-LEN(SUBSTITUTE(BN350,"0","")))&gt;=5)))),1,0),0)</f>
        <v>0</v>
      </c>
      <c r="CA3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350,"revision",""),"version",""),"jan",""),"feb",""),"mar",""),"apr",""),"may",""),"jun",""),"jul",""),"aug",""),"sep",""),"oct",""),"nov",""),"dec",""),"utc",""),"gmt",""),"myt",""),"bst",""),"rev",""),"ver",""),"b","a"),"c","a"),"d","a"),"e","a"),"f","a"),"g","a"),"h","a"),"i","a"),"j","a"),"k","a"),"l","a"),"m","a"),"n","a"),"o","a"),"p","a"),"q","a"),"r","a"),"s","a"),"t","a"),"u","a"),"v","a"),"w","a"),"x","a"),"y","a"),"z","a")</f>
        <v/>
      </c>
      <c r="CB3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350&amp;""),"a",""),"b",""),"c",""),"d",""),"e",""),"f",""),"g",""),"h",""),"i",""),"j",""),"k",""),"l",""),"m",""),"n",""),"o",""),"p",""),"q",""),"r",""),"s",""),"t",""),"u",""),"v",""),"w",""),"x",""),"y",""),"z",""),"-",""),"_",""),"/",""),".",""),"#",""),"\\",""),":","")," ",""),"(",""),")","")</f>
        <v/>
      </c>
      <c r="CC350" s="0" t="str">
        <f aca="false">" "&amp;TRIM(SUBSTITUTE(SUBSTITUTE(SUBSTITUTE(SUBSTITUTE(SUBSTITUTE(SUBSTITUTE(SUBSTITUTE(SUBSTITUTE(SUBSTITUTE(SUBSTITUTE(SUBSTITUTE(SUBSTITUTE(SUBSTITUTE(SUBSTITUTE(SUBSTITUTE(SUBSTITUTE(SUBSTITUTE(SUBSTITUTE(SUBSTITUTE(SUBSTITUTE(SUBSTITUTE(SUBSTITUTE(SUBSTITUTE(SUBSTITUTE(LOWER(T350&amp;""),CHAR(10)," "),CHAR(13)," "),CHAR(9)," "),CHAR(160)," "),"."," "),","," "),"-"," "),"/"," "),"("," "),")"," "),":"," "),";"," "),"_"," "),"–"," "),"?"," "),"!"," "),"*"," "),"["," "),"]"," "),"'"," "),"#"," "),"+"," "),"&amp;"," "),"\"," "))&amp;" "</f>
        <v>  </v>
      </c>
      <c r="CD350" s="0" t="str">
        <f aca="false">" "&amp;TRIM(SUBSTITUTE(SUBSTITUTE(SUBSTITUTE(SUBSTITUTE(SUBSTITUTE(SUBSTITUTE(SUBSTITUTE(SUBSTITUTE(SUBSTITUTE(SUBSTITUTE(SUBSTITUTE(SUBSTITUTE(SUBSTITUTE(SUBSTITUTE(SUBSTITUTE(SUBSTITUTE(SUBSTITUTE(SUBSTITUTE(SUBSTITUTE(SUBSTITUTE(SUBSTITUTE(SUBSTITUTE(SUBSTITUTE(SUBSTITUTE(LOWER(AE350&amp;""),CHAR(10)," "),CHAR(13)," "),CHAR(9)," "),CHAR(160)," "),"."," "),","," "),"-"," "),"/"," "),"("," "),")"," "),":"," "),";"," "),"_"," "),"–"," "),"?"," "),"!"," "),"*"," "),"["," "),"]"," "),"'"," "),"#"," "),"+"," "),"&amp;"," "),"\"," "))&amp;" "</f>
        <v>  </v>
      </c>
      <c r="CE350" s="68" t="n">
        <f aca="false">IFERROR(IF(AND(LEN(AU350)&gt;0,LEN(AU350)=LEN(AX350),OR(TRIM(MID(SUBSTITUTE(TRIM(CC350)," ",REPT(" ",60)),1,60))="",ISNUMBER(SEARCH(" "&amp;TRIM(MID(SUBSTITUTE(TRIM(CC350)," ",REPT(" ",60)),1,60))&amp;" ",CD350))),OR(TRIM(MID(SUBSTITUTE(TRIM(CC350)," ",REPT(" ",60)),61,60))="",ISNUMBER(SEARCH(" "&amp;TRIM(MID(SUBSTITUTE(TRIM(CC350)," ",REPT(" ",60)),61,60))&amp;" ",CD350))),OR(TRIM(MID(SUBSTITUTE(TRIM(CC350)," ",REPT(" ",60)),121,60))="",ISNUMBER(SEARCH(" "&amp;TRIM(MID(SUBSTITUTE(TRIM(CC350)," ",REPT(" ",60)),121,60))&amp;" ",CD350)))),1,0),0)</f>
        <v>0</v>
      </c>
      <c r="CG350" s="68" t="n">
        <f aca="false">IFERROR(LEN(SUBSTITUTE(BF350," ",""))-SUMPRODUCT((LEN(BF350)-LEN(SUBSTITUTE(BF350," "&amp;L_NAFiller&amp;" "," ")))/(LEN(L_NAFiller)+1)*LEN(L_NAFiller)),0)</f>
        <v>0</v>
      </c>
    </row>
    <row r="351" customFormat="false" ht="39.75" hidden="false" customHeight="true" outlineLevel="0" collapsed="false">
      <c r="A351" s="57" t="s">
        <v>952</v>
      </c>
      <c r="B351" s="57" t="s">
        <v>251</v>
      </c>
      <c r="C351" s="57" t="str">
        <f aca="false">Flights!$F$14</f>
        <v>MH1140</v>
      </c>
      <c r="D351" s="58" t="n">
        <f aca="false">Flights!$D$14</f>
        <v>46307</v>
      </c>
      <c r="E351" s="57" t="str">
        <f aca="false">Flights!$G$14&amp;"-"&amp;Flights!$H$14</f>
        <v>KUL-PEN</v>
      </c>
      <c r="F351" s="57" t="str">
        <f aca="false">Flights!$K$14</f>
        <v>BC</v>
      </c>
      <c r="G351" s="57" t="s">
        <v>459</v>
      </c>
      <c r="H351" s="57" t="s">
        <v>460</v>
      </c>
      <c r="I351" s="57" t="s">
        <v>499</v>
      </c>
      <c r="J351" s="57" t="s">
        <v>539</v>
      </c>
      <c r="K351" s="67" t="s">
        <v>501</v>
      </c>
      <c r="L351" s="67" t="s">
        <v>937</v>
      </c>
      <c r="M351" s="67" t="s">
        <v>451</v>
      </c>
      <c r="N351" s="67" t="s">
        <v>383</v>
      </c>
      <c r="O351" s="67"/>
      <c r="P351" s="57" t="s">
        <v>187</v>
      </c>
      <c r="Q351" s="59" t="n">
        <f aca="false">ROUND((Flights!$AF$14)*1440,0)/1440</f>
        <v>46307.15625</v>
      </c>
      <c r="R351" s="59" t="n">
        <f aca="false">Q351+(IF(AND(INDEX(TZ_DSTS,MATCH(P351,TZ_STN,0))&lt;&gt;"",Q351&gt;=INDEX(TZ_DSTS,MATCH(P351,TZ_STN,0)),Q351&lt;INDEX(TZ_DSTE,MATCH(P351,TZ_STN,0))),INDEX(TZ_DST,MATCH(P351,TZ_STN,0)),INDEX(TZ_STD,MATCH(P351,TZ_STN,0))))/24</f>
        <v>46307.4895833333</v>
      </c>
      <c r="S351" s="60"/>
      <c r="T351" s="60"/>
      <c r="U351" s="60"/>
      <c r="V351" s="60"/>
      <c r="W351" s="61"/>
      <c r="X351" s="60"/>
      <c r="Y351" s="60"/>
      <c r="Z351" s="60"/>
      <c r="AA351" s="60"/>
      <c r="AB351" s="60"/>
      <c r="AC351" s="60"/>
      <c r="AD351" s="66"/>
      <c r="AE351" s="60"/>
      <c r="AF351" s="61" t="str">
        <f aca="false">IF(AND(ISNUMBER(X351),ISNUMBER(Y351)),Y351-X351,"")</f>
        <v/>
      </c>
      <c r="AG351" s="62" t="str">
        <f aca="false">IF(ISNUMBER(AD351),AD351-(IF(AND(INDEX(TZ_DSTS,MATCH(P351,TZ_STN,0))&lt;&gt;"",(AD351-INDEX(TZ_STD,MATCH(P351,TZ_STN,0))/24)&gt;=INDEX(TZ_DSTS,MATCH(P351,TZ_STN,0)),(AD351-INDEX(TZ_STD,MATCH(P351,TZ_STN,0))/24)&lt;INDEX(TZ_DSTE,MATCH(P351,TZ_STN,0))),INDEX(TZ_DST,MATCH(P351,TZ_STN,0)),INDEX(TZ_STD,MATCH(P351,TZ_STN,0))))/24,"")</f>
        <v/>
      </c>
      <c r="AH351" s="65" t="str">
        <f aca="false">IFERROR(IF(N351="N/A – rule",IF(OR(TRIM(U351)="",TRIM(U351)="N/A",TRIM(U351)="Not started"),"N/A – RULE","INVALID – this check does not apply to this aircraft: clear the status (or correct the fleet on Flights)"),IF(TRIM(U351)="N/A",IF(AT351=0,"INVALID – N/A not permitted for this check",IF(AND(TRIM(AB351)&lt;&gt;"",TRIM(AB351)&lt;&gt;"Closed"),"INVALID – corrective action still open",IF(AND(NOT(OR(LEN(AZ351)&lt;15,ISNUMBER(MATCH(AZ351,L_Placeholder,0)))),BK351=0,CG351&gt;=8,NOT(OR(LEN(AU351)&lt;2,ISNUMBER(MATCH(AU351,L_Placeholder,0)))),BR351&gt;=3,NOT(OR(LEN(AX351)&lt;2,ISNUMBER(MATCH(AX351,L_Placeholder,0)))),BS351&gt;=3,TRIM(AE351)&lt;&gt;TRIM(T351),AX351&lt;&gt;AU351,CE351=0),"N/A – JUSTIFIED","INVALID – N/A needs a real, settled reason (not 'not applicable' / 'as above' / TBC), a named PIC and a different named verifier"))),IF(OR(TRIM(U351)="Pass",TRIM(U351)="Pass after CA"),IF(NOT(ISNUMBER(AD351)),"INVALID – completion time missing",IF(OR(OR(LEN(AU351)&lt;2,ISNUMBER(MATCH(AU351,L_Placeholder,0))),BR351&lt;3),"INVALID – PIC missing or not a named person (a role such as QA / CSM is not a name)",IF(OR(LEN(AV351)&lt;2,ISNUMBER(MATCH(AV351,L_Placeholder,0))),"INVALID – result / assessment missing",IF(OR(OR(LEN(AW351)&lt;3,ISNUMBER(MATCH(AW351,L_Placeholder,0))),SUMPRODUCT(--ISNUMBER(SEARCH(" "&amp;L_EvidencePhrase&amp;" ",BD351)))&gt;0,BI351=1),"INVALID – evidence missing, placeholder or not yet on file",IF(ISNA(MATCH(TRIM(S351),L_EvidenceType,0)),"INVALID – choose the evidence type from the list (column S)",IF(BL351=0,"INVALID – evidence ID must be the record's own ID only (e.g. SF-2210, IMG_2231, 1045521); a link / file name needs type 'Link / file path'",IF(OR(OR(LEN(AX351)&lt;2,ISNUMBER(MATCH(AX351,L_Placeholder,0))),BS351&lt;3),"INVALID – verifier missing or not a named person (a role such as QA / CSM is not a name)",IF(OR(AX351=AU351,CE351=1,AND(LEN(AU351)&gt;=4,ISNUMBER(SEARCH(AU351,AX351))),AND(LEN(AX351)&gt;=4,ISNUMBER(SEARCH(AX351,AU351)))),"INVALID – verifier must be a different, named person (not the PIC or a role)",IF(BH351=1,"INVALID – result not yet available (awaiting / TBC)",IF(BG351=1,"INVALID – result describes a problem: record Fail, then Pass after CA (or reword if it is not a problem)",IF(BV351=1,"INVALID – wording says not on board: an on-board confirmation needs the item loaded",IF(AND(AQ351=1,OR(OR(LEN(AY351)&lt;3,ISNUMBER(MATCH(AY351,L_Placeholder,0))),BJ351=1,BQ351=0)),"INVALID – batch ID missing, placeholder or not an ID (e.g. PASB-261008-BC-017)",IF(AND(AR351=1,OR(NOT(ISNUMBER(X351)),NOT(ISNUMBER(Y351)))),"INVALID – expected/actual qty missing",IF(AND(AR351=1,OR(X351&lt;=0,Y351&lt;0)),"INVALID – expected qty must be above 0 and actual not negative",IF(AH341="N/A – JUSTIFIED","INVALID – preparation row F10-T12-10 is N/A",IF(AND(AR351=1,ISNUMBER(X341),X351&lt;&gt;X341,TRIM(U351)&lt;&gt;"Pass after CA"),"INVALID – expected qty differs from preparation check F10-T12-10: record the load change as a corrective action (Pass after CA)",IF(BB351&lt;&gt;"",BB351,IF(AND(AS351=1,Documents!$J$14&lt;&gt;"ON FILE"),"INVALID – GLD not on file (Documents sheet)",IF(AND(AS351=2,Documents!$O$14&lt;&gt;"ON FILE"),"INVALID – menu checklist not on file (Documents sheet)",IF(AND(AS351=3,NOT(ISNUMBER(Flights!$AX$14))),"INVALID – enter carrying flight KUL departure (Flights AX)",IF(AND(AS351=3,OR(Flights!$AZ$14&gt;Flights!$AA$14,Flights!$AX$14&lt;Flights!$AA$14-3)),"INVALID – carrying flight (Flights AX) cannot arrive before this leg's STD, or is over 3 days early",IF(AG351&gt;AsOfUTC,"INVALID – completion time is in the future",IF(AND(ISNUMBER(BY351),AG351&lt;BY351),IF(H351="Physical uplift","INVALID – before uplift window (cannot confirm loading)","INVALID – before valid window"),IF(AG351&gt;Flights!$AA$14,"INVALID – completed after departure (cannot establish readiness)",IF(AND(H351="Preparation",AG351&gt;=IF(ISNUMBER(Flights!$BA$14),MIN(Flights!$BA$14,Flights!$AA$14),Flights!$AA$14)),"INVALID – completed after loading / departure (cannot establish readiness)",IF(AND(H351="Physical uplift",AG351&gt;Q351),"INVALID – recorded after the loading flight departed",IF(AG351&gt;Q351,"COMPLETE – LATE","COMPLETE"))))))))))))))))))))))))))),IF(TRIM(U351)="Fail","FAIL – DISCREPANCY",IF(AND(TRIM(U351)&lt;&gt;"",TRIM(U351)&lt;&gt;"Not started",TRIM(U351)&lt;&gt;"In progress"),"INVALID – unrecognised status (use the list)",IF(AsOfUTC&gt;Q351,"OVERDUE",IF(N351="Clarification required","OPEN – CLARIFICATION","OPEN"))))))),"INVALID – error value in an input cell")</f>
        <v>OPEN</v>
      </c>
      <c r="AI351" s="61" t="n">
        <f aca="false">IF(OR(AH351="N/A – RULE",AH351="N/A – JUSTIFIED"),0,1)</f>
        <v>1</v>
      </c>
      <c r="AJ351" s="61" t="n">
        <f aca="false">IF(LEFT(AH351,8)="COMPLETE",1,0)</f>
        <v>0</v>
      </c>
      <c r="AK351" s="61" t="n">
        <f aca="false">IF(AND(AI351=1,AJ351=0,AsOfUTC&gt;Q351),1,0)</f>
        <v>0</v>
      </c>
      <c r="AL351" s="61" t="n">
        <f aca="false">IFERROR(IF(AND(AI351=1,OR(TRIM(U351)="Fail",AND(TRIM(AB351)&lt;&gt;"",TRIM(AB351)&lt;&gt;"Closed"),AND(ISNUMBER(AF351),AF351&lt;&gt;0,TRIM(U351)&lt;&gt;"Pass after CA"))),1,0),1)</f>
        <v>0</v>
      </c>
      <c r="AM351" s="61" t="n">
        <f aca="false">IF(LEFT(AH351,7)="INVALID",1,0)</f>
        <v>0</v>
      </c>
      <c r="AN351" s="61" t="n">
        <f aca="false">IF(AND(N351="Clarification required",AI351=1,AJ351=0),1,0)</f>
        <v>0</v>
      </c>
      <c r="AO351" s="61" t="str">
        <f aca="false">IF(AK351=1,SUM(AK$5:AK351),"")</f>
        <v/>
      </c>
      <c r="AP351" s="61" t="str">
        <f aca="false">IF(AL351=1,SUM(AL$5:AL351),"")</f>
        <v/>
      </c>
      <c r="AQ351" s="61" t="n">
        <v>0</v>
      </c>
      <c r="AR351" s="61" t="n">
        <v>0</v>
      </c>
      <c r="AS351" s="61" t="n">
        <v>0</v>
      </c>
      <c r="AT351" s="61" t="n">
        <v>0</v>
      </c>
      <c r="AU351" s="61" t="str">
        <f aca="false">SUBSTITUTE(SUBSTITUTE(SUBSTITUTE(SUBSTITUTE(SUBSTITUTE(SUBSTITUTE(SUBSTITUTE(SUBSTITUTE(SUBSTITUTE(SUBSTITUTE(SUBSTITUTE(SUBSTITUTE(SUBSTITUTE(SUBSTITUTE(SUBSTITUTE(SUBSTITUTE(LOWER(T351&amp;""),CHAR(10),""),CHAR(13),""),CHAR(9),""),CHAR(160),"")," ",""),".",""),"-",""),"/",""),"?",""),"_",""),",",""),"[",""),"]",""),"(",""),")",""),"*","")</f>
        <v/>
      </c>
      <c r="AV351" s="61" t="str">
        <f aca="false">SUBSTITUTE(SUBSTITUTE(SUBSTITUTE(SUBSTITUTE(SUBSTITUTE(SUBSTITUTE(SUBSTITUTE(SUBSTITUTE(SUBSTITUTE(SUBSTITUTE(SUBSTITUTE(SUBSTITUTE(SUBSTITUTE(SUBSTITUTE(SUBSTITUTE(SUBSTITUTE(LOWER(V351&amp;""),CHAR(10),""),CHAR(13),""),CHAR(9),""),CHAR(160),"")," ",""),".",""),"-",""),"/",""),"?",""),"_",""),",",""),"[",""),"]",""),"(",""),")",""),"*","")</f>
        <v/>
      </c>
      <c r="AW351" s="61" t="str">
        <f aca="false">SUBSTITUTE(SUBSTITUTE(SUBSTITUTE(SUBSTITUTE(SUBSTITUTE(SUBSTITUTE(SUBSTITUTE(SUBSTITUTE(SUBSTITUTE(SUBSTITUTE(SUBSTITUTE(SUBSTITUTE(SUBSTITUTE(SUBSTITUTE(SUBSTITUTE(SUBSTITUTE(LOWER(Z351&amp;""),CHAR(10),""),CHAR(13),""),CHAR(9),""),CHAR(160),"")," ",""),".",""),"-",""),"/",""),"?",""),"_",""),",",""),"[",""),"]",""),"(",""),")",""),"*","")</f>
        <v/>
      </c>
      <c r="AX351" s="61" t="str">
        <f aca="false">SUBSTITUTE(SUBSTITUTE(SUBSTITUTE(SUBSTITUTE(SUBSTITUTE(SUBSTITUTE(SUBSTITUTE(SUBSTITUTE(SUBSTITUTE(SUBSTITUTE(SUBSTITUTE(SUBSTITUTE(SUBSTITUTE(SUBSTITUTE(SUBSTITUTE(SUBSTITUTE(LOWER(AE351&amp;""),CHAR(10),""),CHAR(13),""),CHAR(9),""),CHAR(160),"")," ",""),".",""),"-",""),"/",""),"?",""),"_",""),",",""),"[",""),"]",""),"(",""),")",""),"*","")</f>
        <v/>
      </c>
      <c r="AY351" s="61" t="str">
        <f aca="false">SUBSTITUTE(SUBSTITUTE(SUBSTITUTE(SUBSTITUTE(SUBSTITUTE(SUBSTITUTE(SUBSTITUTE(SUBSTITUTE(SUBSTITUTE(SUBSTITUTE(SUBSTITUTE(SUBSTITUTE(SUBSTITUTE(SUBSTITUTE(SUBSTITUTE(SUBSTITUTE(LOWER(W351&amp;""),CHAR(10),""),CHAR(13),""),CHAR(9),""),CHAR(160),"")," ",""),".",""),"-",""),"/",""),"?",""),"_",""),",",""),"[",""),"]",""),"(",""),")",""),"*","")</f>
        <v/>
      </c>
      <c r="AZ351" s="61" t="str">
        <f aca="false">SUBSTITUTE(SUBSTITUTE(SUBSTITUTE(SUBSTITUTE(SUBSTITUTE(SUBSTITUTE(SUBSTITUTE(SUBSTITUTE(SUBSTITUTE(SUBSTITUTE(SUBSTITUTE(SUBSTITUTE(SUBSTITUTE(SUBSTITUTE(SUBSTITUTE(SUBSTITUTE(LOWER(AC351&amp;""),CHAR(10),""),CHAR(13),""),CHAR(9),""),CHAR(160),"")," ",""),".",""),"-",""),"/",""),"?",""),"_",""),",",""),"[",""),"]",""),"(",""),")",""),"*","")</f>
        <v/>
      </c>
      <c r="BA351" s="61" t="str">
        <f aca="false">SUBSTITUTE(SUBSTITUTE(SUBSTITUTE(SUBSTITUTE(SUBSTITUTE(SUBSTITUTE(SUBSTITUTE(SUBSTITUTE(SUBSTITUTE(SUBSTITUTE(SUBSTITUTE(SUBSTITUTE(SUBSTITUTE(SUBSTITUTE(SUBSTITUTE(SUBSTITUTE(LOWER(AA351&amp;""),CHAR(10),""),CHAR(13),""),CHAR(9),""),CHAR(160),"")," ",""),".",""),"-",""),"/",""),"?",""),"_",""),",",""),"[",""),"]",""),"(",""),")",""),"*","")</f>
        <v/>
      </c>
      <c r="BB351" s="61" t="str">
        <f aca="false">IF(AND(TRIM(U351)="Pass",ISNUMBER(AF351)),IF(AF351&lt;&gt;0,"INVALID – qty variance: use Fail or Pass after CA",""),"")&amp;IF(AND(TRIM(U351)="Pass after CA",ISNUMBER(AF351)),IF(AF351&lt;&gt;0,"INVALID – after the corrective action the actual qty must equal expected (update Actual)",""),"")&amp;IF(AND(TRIM(U351)="Pass",TRIM(AB351)&lt;&gt;"",TRIM(AB351)&lt;&gt;"Closed"),"INVALID – corrective action not closed: use Fail, then Pass after CA","")&amp;IF(AND(LEN(BA351)&gt;=2,ISNA(MATCH(LEFT(BA351,255),L_Placeholder,0)),TRIM(AB351)=""),"INVALID – CA status missing for the recorded corrective action","")&amp;IF(AND(TRIM(U351)="Pass after CA",OR(OR(LEN(BA351)&lt;5,ISNUMBER(MATCH(BA351,L_Placeholder,0))),TRIM(AB351)&lt;&gt;"Closed")),"INVALID – corrective action not recorded/closed","")</f>
        <v/>
      </c>
      <c r="BC351" s="61" t="str">
        <f aca="false">" "&amp;TRIM(SUBSTITUTE(SUBSTITUTE(SUBSTITUTE(SUBSTITUTE(SUBSTITUTE(SUBSTITUTE(SUBSTITUTE(SUBSTITUTE(SUBSTITUTE(SUBSTITUTE(SUBSTITUTE(SUBSTITUTE(SUBSTITUTE(SUBSTITUTE(SUBSTITUTE(SUBSTITUTE(SUBSTITUTE(SUBSTITUTE(SUBSTITUTE(SUBSTITUTE(SUBSTITUTE(SUBSTITUTE(SUBSTITUTE(SUBSTITUTE(LOWER(V351&amp;""),CHAR(10)," "),CHAR(13)," "),CHAR(9)," "),CHAR(160)," "),"."," "),","," "),"-"," "),"/"," "),"("," "),")"," "),":"," "),";"," "),"_"," "),"–"," "),"?"," "),"!"," "),"*"," "),"["," "),"]"," "),"'"," "),"#"," "),"+"," "),"&amp;"," "),"\"," "))&amp;" "</f>
        <v>  </v>
      </c>
      <c r="BD351" s="61" t="str">
        <f aca="false">" "&amp;TRIM(SUBSTITUTE(SUBSTITUTE(SUBSTITUTE(SUBSTITUTE(SUBSTITUTE(SUBSTITUTE(SUBSTITUTE(SUBSTITUTE(SUBSTITUTE(SUBSTITUTE(SUBSTITUTE(SUBSTITUTE(SUBSTITUTE(SUBSTITUTE(SUBSTITUTE(SUBSTITUTE(SUBSTITUTE(SUBSTITUTE(SUBSTITUTE(SUBSTITUTE(SUBSTITUTE(SUBSTITUTE(SUBSTITUTE(SUBSTITUTE(LOWER(Z351&amp;""),CHAR(10)," "),CHAR(13)," "),CHAR(9)," "),CHAR(160)," "),"."," "),","," "),"-"," "),"/"," "),"("," "),")"," "),":"," "),";"," "),"_"," "),"–"," "),"?"," "),"!"," "),"*"," "),"["," "),"]"," "),"'"," "),"#"," "),"+"," "),"&amp;"," "),"\"," "))&amp;" "</f>
        <v>  </v>
      </c>
      <c r="BE351" s="61" t="str">
        <f aca="false">" "&amp;TRIM(SUBSTITUTE(SUBSTITUTE(SUBSTITUTE(SUBSTITUTE(SUBSTITUTE(SUBSTITUTE(SUBSTITUTE(SUBSTITUTE(SUBSTITUTE(SUBSTITUTE(SUBSTITUTE(SUBSTITUTE(SUBSTITUTE(SUBSTITUTE(SUBSTITUTE(SUBSTITUTE(SUBSTITUTE(SUBSTITUTE(SUBSTITUTE(SUBSTITUTE(SUBSTITUTE(SUBSTITUTE(SUBSTITUTE(SUBSTITUTE(LOWER(W351&amp;""),CHAR(10)," "),CHAR(13)," "),CHAR(9)," "),CHAR(160)," "),"."," "),","," "),"-"," "),"/"," "),"("," "),")"," "),":"," "),";"," "),"_"," "),"–"," "),"?"," "),"!"," "),"*"," "),"["," "),"]"," "),"'"," "),"#"," "),"+"," "),"&amp;"," "),"\"," "))&amp;" "</f>
        <v>  </v>
      </c>
      <c r="BF351" s="61" t="str">
        <f aca="false">" "&amp;TRIM(SUBSTITUTE(SUBSTITUTE(SUBSTITUTE(SUBSTITUTE(SUBSTITUTE(SUBSTITUTE(SUBSTITUTE(SUBSTITUTE(SUBSTITUTE(SUBSTITUTE(SUBSTITUTE(SUBSTITUTE(SUBSTITUTE(SUBSTITUTE(SUBSTITUTE(SUBSTITUTE(SUBSTITUTE(SUBSTITUTE(SUBSTITUTE(SUBSTITUTE(SUBSTITUTE(SUBSTITUTE(SUBSTITUTE(SUBSTITUTE(LOWER(AC351&amp;""),CHAR(10)," "),CHAR(13)," "),CHAR(9)," "),CHAR(160)," "),"."," "),","," "),"-"," "),"/"," "),"("," "),")"," "),":"," "),";"," "),"_"," "),"–"," "),"?"," "),"!"," "),"*"," "),"["," "),"]"," "),"'"," "),"#"," "),"+"," "),"&amp;"," "),"\"," "))&amp;" "</f>
        <v>  </v>
      </c>
      <c r="BG351" s="61" t="n">
        <f aca="false">IFERROR(IF(AND(TRIM(U351)="Pass",SUMPRODUCT((LEN(BC351)-LEN(SUBSTITUTE(BC351," "&amp;L_ResultBad&amp;" "," ")))/(LEN(L_ResultBad)+1))&gt;SUMPRODUCT((LEN(BC351)-LEN(SUBSTITUTE(BC351," "&amp;L_NegPhrase&amp;" "," ")))/(LEN(L_NegPhrase)+1))),1,0),0)</f>
        <v>0</v>
      </c>
      <c r="BH351" s="61" t="n">
        <f aca="false">IFERROR(IF(SUMPRODUCT((LEN(BC351)-LEN(SUBSTITUTE(BC351," "&amp;L_Pending&amp;" "," ")))/(LEN(L_Pending)+1))&gt;SUMPRODUCT((LEN(BC351)-LEN(SUBSTITUTE(BC351," "&amp;L_PendNeg&amp;" "," ")))/(LEN(L_PendNeg)+1)),1,0),1)</f>
        <v>0</v>
      </c>
      <c r="BI351" s="61" t="n">
        <f aca="false">IFERROR(IF(SUMPRODUCT((LEN(BD351)-LEN(SUBSTITUTE(BD351," "&amp;L_PendStrict&amp;" "," ")))/(LEN(L_PendStrict)+1))&gt;SUMPRODUCT((LEN(BD351)-LEN(SUBSTITUTE(BD351," "&amp;L_PendNeg&amp;" "," ")))/(LEN(L_PendNeg)+1)),1,0),1)</f>
        <v>0</v>
      </c>
      <c r="BJ351" s="61" t="n">
        <f aca="false">IFERROR(IF(SUMPRODUCT((LEN(BE351)-LEN(SUBSTITUTE(BE351," "&amp;L_Pending&amp;" "," ")))/(LEN(L_Pending)+1))&gt;SUMPRODUCT((LEN(BE351)-LEN(SUBSTITUTE(BE351," "&amp;L_PendNeg&amp;" "," ")))/(LEN(L_PendNeg)+1)),1,0),1)</f>
        <v>0</v>
      </c>
      <c r="BK351" s="61" t="n">
        <f aca="false">IFERROR(IF(SUMPRODUCT((LEN(BF351)-LEN(SUBSTITUTE(BF351," "&amp;L_PendStrict&amp;" "," ")))/(LEN(L_PendStrict)+1))&gt;SUMPRODUCT((LEN(BF351)-LEN(SUBSTITUTE(BF351," "&amp;L_PendNeg&amp;" "," ")))/(LEN(L_PendNeg)+1)),1,0),1)</f>
        <v>0</v>
      </c>
      <c r="BL351" s="61" t="n">
        <f aca="false">IF(ISNA(MATCH(TRIM(S351),L_EvidenceType,0)),0,BZ351)</f>
        <v>0</v>
      </c>
      <c r="BM351" s="61" t="str">
        <f aca="false">SUBSTITUTE(SUBSTITUTE(SUBSTITUTE(SUBSTITUTE(SUBSTITUTE(SUBSTITUTE(SUBSTITUTE(SUBSTITUTE(SUBSTITUTE(LOWER(Z351&amp;""),"1","0"),"2","0"),"3","0"),"4","0"),"5","0"),"6","0"),"7","0"),"8","0"),"9","0")</f>
        <v/>
      </c>
      <c r="BN351" s="61" t="str">
        <f aca="false">SUBSTITUTE(SUBSTITUTE(SUBSTITUTE(SUBSTITUTE(SUBSTITUTE(SUBSTITUTE(SUBSTITUTE(SUBSTITUTE(SUBSTITUTE(SUBSTITUTE(SUBSTITUTE(SUBSTITUTE(SUBSTITUTE(SUBSTITUTE(SUBSTITUTE(SUBSTITUTE(SUBSTITUTE(SUBSTITUTE(SUBSTITUTE(SUBSTITUTE(SUBSTITUTE(SUBSTITUTE(SUBSTITUTE(SUBSTITUTE(SUBSTITUTE(BM351,"b","a"),"c","a"),"d","a"),"e","a"),"f","a"),"g","a"),"h","a"),"i","a"),"j","a"),"k","a"),"l","a"),"m","a"),"n","a"),"o","a"),"p","a"),"q","a"),"r","a"),"s","a"),"t","a"),"u","a"),"v","a"),"w","a"),"x","a"),"y","a"),"z","a")</f>
        <v/>
      </c>
      <c r="BO351" s="61" t="str">
        <f aca="false">SUBSTITUTE(SUBSTITUTE(SUBSTITUTE(SUBSTITUTE(SUBSTITUTE(SUBSTITUTE(SUBSTITUTE(SUBSTITUTE(SUBSTITUTE(LOWER(W351&amp;""),"1","0"),"2","0"),"3","0"),"4","0"),"5","0"),"6","0"),"7","0"),"8","0"),"9","0")</f>
        <v/>
      </c>
      <c r="BP351" s="61" t="str">
        <f aca="false">SUBSTITUTE(SUBSTITUTE(SUBSTITUTE(SUBSTITUTE(SUBSTITUTE(SUBSTITUTE(SUBSTITUTE(SUBSTITUTE(SUBSTITUTE(SUBSTITUTE(SUBSTITUTE(SUBSTITUTE(SUBSTITUTE(SUBSTITUTE(SUBSTITUTE(SUBSTITUTE(SUBSTITUTE(SUBSTITUTE(SUBSTITUTE(SUBSTITUTE(SUBSTITUTE(SUBSTITUTE(SUBSTITUTE(SUBSTITUTE(SUBSTITUTE(BO351,"b","a"),"c","a"),"d","a"),"e","a"),"f","a"),"g","a"),"h","a"),"i","a"),"j","a"),"k","a"),"l","a"),"m","a"),"n","a"),"o","a"),"p","a"),"q","a"),"r","a"),"s","a"),"t","a"),"u","a"),"v","a"),"w","a"),"x","a"),"y","a"),"z","a")</f>
        <v/>
      </c>
      <c r="BQ351" s="61" t="n">
        <f aca="false">IFERROR(IF(AND(ISERROR(SEARCH(" mh"," "&amp;LOWER(W351))),ISNA(MATCH(LEFT(TRIM(BP351),255),{"0000a","000a","00a","0000aa","000aa","00aa","0aa","0000aaa","000aaa","00a00","0a00","0000-0000","00:00","a00","a0","00.00.0000","00/00/0000","00-00-0000","0000-00-00","0000/00/00","0000.00.00","00.00.00","00/00/00","00-00-00","0.00.0000","0/00/0000","0-00-0000"},0)),ISNA(MATCH(LEFT(TRIM(CA351),255),{"0000a","000a","00a","0000aa","000aa","00aa","0aa","0000aaa","000aaa","00a00","0a00","0000-0000","00:00","a00","a0","00.00.0000","00/00/0000","00-00-0000","0000-00-00","0000/00/00","0000.00.00","00.00.00","00/00/00","00-00-00","0.00.0000","0/00/0000","0-00-0000"},0)),LEN(CB351)&gt;=3,NOT(OR(SUBSTITUTE(CB351,"0","")="",AND(LEN(CB351)&gt;=4,CB351=REPT(LEFT(CB351),LEN(CB351))),ISNUMBER(MATCH(CB351,{"123","1234","12345","123456","1234567","12345678","0123","01234","012345","98765","987654","54321"},0)),AND(LEN(CB351)=8,LEFT(CB351,3)="202"))),OR(AND((LEN(CA351)-LEN(SUBSTITUTE(CA351,"a","")))&gt;=1,SUMPRODUCT(--ISNUMBER(SEARCH({"a0","a-0","a_0","a/0","a.0","a#0","0a","0-a","0_a","0/a"},BP351)))&gt;0),ISNUMBER(SEARCH("000000",BP351)))),1,0),0)</f>
        <v>0</v>
      </c>
      <c r="BR351" s="61" t="n">
        <f aca="false">IFERROR(LEN(SUBSTITUTE(CC351," ",""))-SUMPRODUCT((LEN(CC351)-LEN(SUBSTITUTE(CC351," "&amp;L_Role&amp;" "," ")))/(LEN(L_Role)+1)*LEN(L_Role)),0)</f>
        <v>0</v>
      </c>
      <c r="BS351" s="61" t="n">
        <f aca="false">IFERROR(LEN(SUBSTITUTE(CD351," ",""))-SUMPRODUCT((LEN(CD351)-LEN(SUBSTITUTE(CD351," "&amp;L_Role&amp;" "," ")))/(LEN(L_Role)+1)*LEN(L_Role)),0)</f>
        <v>0</v>
      </c>
      <c r="BT3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351,"revision",""),"version",""),"jan",""),"feb",""),"mar",""),"apr",""),"may",""),"jun",""),"jul",""),"aug",""),"sep",""),"oct",""),"nov",""),"dec",""),"utc",""),"gmt",""),"myt",""),"bst",""),"rev",""),"ver",""),"b","a"),"c","a"),"d","a"),"e","a"),"f","a"),"g","a"),"h","a"),"i","a"),"j","a"),"k","a"),"l","a"),"m","a"),"n","a"),"o","a"),"p","a"),"q","a"),"r","a"),"s","a"),"t","a"),"u","a"),"v","a"),"w","a"),"x","a"),"y","a"),"z","a")</f>
        <v/>
      </c>
      <c r="BU351" s="61" t="str">
        <f aca="false">SUBSTITUTE(SUBSTITUTE(SUBSTITUTE(SUBSTITUTE(SUBSTITUTE(SUBSTITUTE(SUBSTITUTE(SUBSTITUTE(SUBSTITUTE(SUBSTITUTE(LEFT(BM351,FIND("0",BM351&amp;"0")-1),"-",""),"_",""),"/",""),".",""),"#",""),"\\",""),":","")," ",""),"(",""),")","")</f>
        <v/>
      </c>
      <c r="BV351" s="61" t="n">
        <f aca="false">IFERROR(IF(OR(SUMPRODUCT((LEN(BC351)-LEN(SUBSTITUTE(BC351," "&amp;L_NotLoaded&amp;" "," ")))/(LEN(L_NotLoaded)+1))&gt;SUMPRODUCT((LEN(BC351)-LEN(SUBSTITUTE(BC351," "&amp;L_NotLoadedNeg&amp;" "," ")))/(LEN(L_NotLoadedNeg)+1)),SUMPRODUCT((LEN(BD351)-LEN(SUBSTITUTE(BD351," "&amp;L_NotLoaded&amp;" "," ")))/(LEN(L_NotLoaded)+1))&gt;SUMPRODUCT((LEN(BD351)-LEN(SUBSTITUTE(BD351," "&amp;L_NotLoadedNeg&amp;" "," ")))/(LEN(L_NotLoadedNeg)+1))),1,0),0)</f>
        <v>0</v>
      </c>
      <c r="BW3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351&amp;""),"a",""),"b",""),"c",""),"d",""),"e",""),"f",""),"g",""),"h",""),"i",""),"j",""),"k",""),"l",""),"m",""),"n",""),"o",""),"p",""),"q",""),"r",""),"s",""),"t",""),"u",""),"v",""),"w",""),"x",""),"y",""),"z",""),"-",""),"_",""),"/",""),".",""),"#",""),"\\",""),":","")," ",""),"(",""),")","")</f>
        <v/>
      </c>
      <c r="BX351" s="61" t="str">
        <f aca="false">SUBSTITUTE(SUBSTITUTE(SUBSTITUTE(SUBSTITUTE(SUBSTITUTE(SUBSTITUTE(SUBSTITUTE(SUBSTITUTE(SUBSTITUTE(SUBSTITUTE(SUBSTITUTE(BM351,"0",""),"-",""),"_",""),"/",""),".",""),"#",""),"\\",""),":","")," ",""),"(",""),")","")</f>
        <v/>
      </c>
      <c r="BY351" s="62" t="n">
        <f aca="false">IF(ISNUMBER(Flights!$AZ$14),MAX(Q351-UpliftWindowH/24,Flights!$AZ$14),Q351-UpliftWindowH/24)</f>
        <v>46306.90625</v>
      </c>
      <c r="BZ351" s="61" t="n">
        <f aca="false">IFERROR(IF(IF(TRIM(S351)="Link / file path",AND(LEN(TRIM(Z351))&gt;=5,SUMPRODUCT(--ISNUMBER(SEARCH({"http","www.","\\",":\",".pdf",".jpg",".jpeg",".png",".heic",".xls",".doc",".msg",".eml",".ppt",".txt",".zip"},Z351)))&gt;0),AND(ISERROR(FIND(" ",TRIM(Z351))),NOT(OR(SUMPRODUCT(--ISNUMBER(FIND({",",";","&amp;","+"},Z351)))&gt;0,SUMPRODUCT(--ISNUMBER(SEARCH({"0/aa","0\\aa"},BN351)))&gt;0)),NOT(SUMPRODUCT(--ISNUMBER(SEARCH({"http","www.","\\",":\",".pdf",".jpg",".jpeg",".png",".heic",".xls",".doc",".msg",".eml",".ppt",".txt",".zip"},Z351)))&gt;0),NOT(LOWER(TRIM(Z351))=LOWER(Flights!$F$14)),ISNA(MATCH(BU351,{"mh","rev","revision","ver","version","v","r","a","b","seat","tray","row","gate","bay","stand","page","pg","item","line","no","cart","galley","flight","flt","table","box","bag","oven","etd","eta","std","sta","atd","ata","qty","pax","x","time","tel","ph","mob","day","wk","week","utc","gmt","myt","lt"},0)),NOT(OR(ISNUMBER(MATCH(LEFT(BN351,255),{"0000a","000a","00a","0000aa","000aa","00aa","0aa","0000aaa","000aaa","00a00","0a00","0000-0000","00:00","a00","a0","00.00.0000","00/00/0000","00-00-0000","0000-00-00","0000/00/00","0000.00.00","00.00.00","00/00/00","00-00-00","0.00.0000","0/00/0000","0-00-0000"},0)),ISNUMBER(MATCH(LEFT(BT351,255),{"0000a","000a","00a","0000aa","000aa","00aa","0aa","0000aaa","000aaa","00a00","0a00","0000-0000","00:00","a00","a0","00.00.0000","00/00/0000","00-00-0000","0000-00-00","0000/00/00","0000.00.00","00.00.00","00/00/00","00-00-00","0.00.0000","0/00/0000","0-00-0000"},0)))),NOT(OR(AND(BW351&lt;&gt;"",SUBSTITUTE(BW351,"0","")=""),AND(LEN(BW351)&gt;=4,BW351=REPT(LEFT(BW351),LEN(BW351))),ISNUMBER(MATCH(BW351,{"123","1234","12345","123456","1234567","12345678","0123","01234","012345","98765","987654","54321"},0)),ISNUMBER(MATCH(BX351,{"x","xx","xxx","xxxx","xxxxx","abc","abcd","nil","na","nan","test","tbc","tba","tbd","dummy","sample","example","eg","zz","zzz","none","null","xyz","qwe","asd","id","ref"},0)),AND(LEN(BW351)=8,BX351="",OR(LEFT(BW351,3)="202",ISNUMBER(MATCH(RIGHT(BW351,4),{"2025","2026","2027"},0)))))),OR(AND((LEN(BT351)-LEN(SUBSTITUTE(BT351,"a","")))&gt;=1,(LEN(BN351)-LEN(SUBSTITUTE(BN351,"0","")))&gt;=2,SUMPRODUCT(--ISNUMBER(SEARCH({"a0","a-0","a_0","a/0","a.0","a#0","0a","0-a","0_a","0/a"},BN351)))&gt;0),AND((LEN(BN351)-LEN(SUBSTITUTE(BN351,"a","")))=0,(LEN(BN351)-LEN(SUBSTITUTE(BN351,"0","")))&gt;=5)))),1,0),0)</f>
        <v>0</v>
      </c>
      <c r="CA3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351,"revision",""),"version",""),"jan",""),"feb",""),"mar",""),"apr",""),"may",""),"jun",""),"jul",""),"aug",""),"sep",""),"oct",""),"nov",""),"dec",""),"utc",""),"gmt",""),"myt",""),"bst",""),"rev",""),"ver",""),"b","a"),"c","a"),"d","a"),"e","a"),"f","a"),"g","a"),"h","a"),"i","a"),"j","a"),"k","a"),"l","a"),"m","a"),"n","a"),"o","a"),"p","a"),"q","a"),"r","a"),"s","a"),"t","a"),"u","a"),"v","a"),"w","a"),"x","a"),"y","a"),"z","a")</f>
        <v/>
      </c>
      <c r="CB3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351&amp;""),"a",""),"b",""),"c",""),"d",""),"e",""),"f",""),"g",""),"h",""),"i",""),"j",""),"k",""),"l",""),"m",""),"n",""),"o",""),"p",""),"q",""),"r",""),"s",""),"t",""),"u",""),"v",""),"w",""),"x",""),"y",""),"z",""),"-",""),"_",""),"/",""),".",""),"#",""),"\\",""),":","")," ",""),"(",""),")","")</f>
        <v/>
      </c>
      <c r="CC351" s="0" t="str">
        <f aca="false">" "&amp;TRIM(SUBSTITUTE(SUBSTITUTE(SUBSTITUTE(SUBSTITUTE(SUBSTITUTE(SUBSTITUTE(SUBSTITUTE(SUBSTITUTE(SUBSTITUTE(SUBSTITUTE(SUBSTITUTE(SUBSTITUTE(SUBSTITUTE(SUBSTITUTE(SUBSTITUTE(SUBSTITUTE(SUBSTITUTE(SUBSTITUTE(SUBSTITUTE(SUBSTITUTE(SUBSTITUTE(SUBSTITUTE(SUBSTITUTE(SUBSTITUTE(LOWER(T351&amp;""),CHAR(10)," "),CHAR(13)," "),CHAR(9)," "),CHAR(160)," "),"."," "),","," "),"-"," "),"/"," "),"("," "),")"," "),":"," "),";"," "),"_"," "),"–"," "),"?"," "),"!"," "),"*"," "),"["," "),"]"," "),"'"," "),"#"," "),"+"," "),"&amp;"," "),"\"," "))&amp;" "</f>
        <v>  </v>
      </c>
      <c r="CD351" s="0" t="str">
        <f aca="false">" "&amp;TRIM(SUBSTITUTE(SUBSTITUTE(SUBSTITUTE(SUBSTITUTE(SUBSTITUTE(SUBSTITUTE(SUBSTITUTE(SUBSTITUTE(SUBSTITUTE(SUBSTITUTE(SUBSTITUTE(SUBSTITUTE(SUBSTITUTE(SUBSTITUTE(SUBSTITUTE(SUBSTITUTE(SUBSTITUTE(SUBSTITUTE(SUBSTITUTE(SUBSTITUTE(SUBSTITUTE(SUBSTITUTE(SUBSTITUTE(SUBSTITUTE(LOWER(AE351&amp;""),CHAR(10)," "),CHAR(13)," "),CHAR(9)," "),CHAR(160)," "),"."," "),","," "),"-"," "),"/"," "),"("," "),")"," "),":"," "),";"," "),"_"," "),"–"," "),"?"," "),"!"," "),"*"," "),"["," "),"]"," "),"'"," "),"#"," "),"+"," "),"&amp;"," "),"\"," "))&amp;" "</f>
        <v>  </v>
      </c>
      <c r="CE351" s="68" t="n">
        <f aca="false">IFERROR(IF(AND(LEN(AU351)&gt;0,LEN(AU351)=LEN(AX351),OR(TRIM(MID(SUBSTITUTE(TRIM(CC351)," ",REPT(" ",60)),1,60))="",ISNUMBER(SEARCH(" "&amp;TRIM(MID(SUBSTITUTE(TRIM(CC351)," ",REPT(" ",60)),1,60))&amp;" ",CD351))),OR(TRIM(MID(SUBSTITUTE(TRIM(CC351)," ",REPT(" ",60)),61,60))="",ISNUMBER(SEARCH(" "&amp;TRIM(MID(SUBSTITUTE(TRIM(CC351)," ",REPT(" ",60)),61,60))&amp;" ",CD351))),OR(TRIM(MID(SUBSTITUTE(TRIM(CC351)," ",REPT(" ",60)),121,60))="",ISNUMBER(SEARCH(" "&amp;TRIM(MID(SUBSTITUTE(TRIM(CC351)," ",REPT(" ",60)),121,60))&amp;" ",CD351)))),1,0),0)</f>
        <v>0</v>
      </c>
      <c r="CG351" s="68" t="n">
        <f aca="false">IFERROR(LEN(SUBSTITUTE(BF351," ",""))-SUMPRODUCT((LEN(BF351)-LEN(SUBSTITUTE(BF351," "&amp;L_NAFiller&amp;" "," ")))/(LEN(L_NAFiller)+1)*LEN(L_NAFiller)),0)</f>
        <v>0</v>
      </c>
    </row>
    <row r="352" customFormat="false" ht="39.75" hidden="false" customHeight="true" outlineLevel="0" collapsed="false">
      <c r="A352" s="57" t="s">
        <v>953</v>
      </c>
      <c r="B352" s="57" t="s">
        <v>251</v>
      </c>
      <c r="C352" s="57" t="str">
        <f aca="false">Flights!$F$14</f>
        <v>MH1140</v>
      </c>
      <c r="D352" s="58" t="n">
        <f aca="false">Flights!$D$14</f>
        <v>46307</v>
      </c>
      <c r="E352" s="57" t="str">
        <f aca="false">Flights!$G$14&amp;"-"&amp;Flights!$H$14</f>
        <v>KUL-PEN</v>
      </c>
      <c r="F352" s="57" t="str">
        <f aca="false">Flights!$K$14</f>
        <v>BC</v>
      </c>
      <c r="G352" s="57" t="s">
        <v>459</v>
      </c>
      <c r="H352" s="57" t="s">
        <v>460</v>
      </c>
      <c r="I352" s="57" t="s">
        <v>499</v>
      </c>
      <c r="J352" s="57" t="s">
        <v>541</v>
      </c>
      <c r="K352" s="67" t="s">
        <v>501</v>
      </c>
      <c r="L352" s="67" t="s">
        <v>939</v>
      </c>
      <c r="M352" s="67" t="s">
        <v>451</v>
      </c>
      <c r="N352" s="67" t="s">
        <v>383</v>
      </c>
      <c r="O352" s="67"/>
      <c r="P352" s="57" t="s">
        <v>187</v>
      </c>
      <c r="Q352" s="59" t="n">
        <f aca="false">ROUND((Flights!$AF$14)*1440,0)/1440</f>
        <v>46307.15625</v>
      </c>
      <c r="R352" s="59" t="n">
        <f aca="false">Q352+(IF(AND(INDEX(TZ_DSTS,MATCH(P352,TZ_STN,0))&lt;&gt;"",Q352&gt;=INDEX(TZ_DSTS,MATCH(P352,TZ_STN,0)),Q352&lt;INDEX(TZ_DSTE,MATCH(P352,TZ_STN,0))),INDEX(TZ_DST,MATCH(P352,TZ_STN,0)),INDEX(TZ_STD,MATCH(P352,TZ_STN,0))))/24</f>
        <v>46307.4895833333</v>
      </c>
      <c r="S352" s="60"/>
      <c r="T352" s="60"/>
      <c r="U352" s="60"/>
      <c r="V352" s="60"/>
      <c r="W352" s="61"/>
      <c r="X352" s="60"/>
      <c r="Y352" s="60"/>
      <c r="Z352" s="60"/>
      <c r="AA352" s="60"/>
      <c r="AB352" s="60"/>
      <c r="AC352" s="60"/>
      <c r="AD352" s="66"/>
      <c r="AE352" s="60"/>
      <c r="AF352" s="61" t="str">
        <f aca="false">IF(AND(ISNUMBER(X352),ISNUMBER(Y352)),Y352-X352,"")</f>
        <v/>
      </c>
      <c r="AG352" s="62" t="str">
        <f aca="false">IF(ISNUMBER(AD352),AD352-(IF(AND(INDEX(TZ_DSTS,MATCH(P352,TZ_STN,0))&lt;&gt;"",(AD352-INDEX(TZ_STD,MATCH(P352,TZ_STN,0))/24)&gt;=INDEX(TZ_DSTS,MATCH(P352,TZ_STN,0)),(AD352-INDEX(TZ_STD,MATCH(P352,TZ_STN,0))/24)&lt;INDEX(TZ_DSTE,MATCH(P352,TZ_STN,0))),INDEX(TZ_DST,MATCH(P352,TZ_STN,0)),INDEX(TZ_STD,MATCH(P352,TZ_STN,0))))/24,"")</f>
        <v/>
      </c>
      <c r="AH352" s="65" t="str">
        <f aca="false">IFERROR(IF(N352="N/A – rule",IF(OR(TRIM(U352)="",TRIM(U352)="N/A",TRIM(U352)="Not started"),"N/A – RULE","INVALID – this check does not apply to this aircraft: clear the status (or correct the fleet on Flights)"),IF(TRIM(U352)="N/A",IF(AT352=0,"INVALID – N/A not permitted for this check",IF(AND(TRIM(AB352)&lt;&gt;"",TRIM(AB352)&lt;&gt;"Closed"),"INVALID – corrective action still open",IF(AND(NOT(OR(LEN(AZ352)&lt;15,ISNUMBER(MATCH(AZ352,L_Placeholder,0)))),BK352=0,CG352&gt;=8,NOT(OR(LEN(AU352)&lt;2,ISNUMBER(MATCH(AU352,L_Placeholder,0)))),BR352&gt;=3,NOT(OR(LEN(AX352)&lt;2,ISNUMBER(MATCH(AX352,L_Placeholder,0)))),BS352&gt;=3,TRIM(AE352)&lt;&gt;TRIM(T352),AX352&lt;&gt;AU352,CE352=0),"N/A – JUSTIFIED","INVALID – N/A needs a real, settled reason (not 'not applicable' / 'as above' / TBC), a named PIC and a different named verifier"))),IF(OR(TRIM(U352)="Pass",TRIM(U352)="Pass after CA"),IF(NOT(ISNUMBER(AD352)),"INVALID – completion time missing",IF(OR(OR(LEN(AU352)&lt;2,ISNUMBER(MATCH(AU352,L_Placeholder,0))),BR352&lt;3),"INVALID – PIC missing or not a named person (a role such as QA / CSM is not a name)",IF(OR(LEN(AV352)&lt;2,ISNUMBER(MATCH(AV352,L_Placeholder,0))),"INVALID – result / assessment missing",IF(OR(OR(LEN(AW352)&lt;3,ISNUMBER(MATCH(AW352,L_Placeholder,0))),SUMPRODUCT(--ISNUMBER(SEARCH(" "&amp;L_EvidencePhrase&amp;" ",BD352)))&gt;0,BI352=1),"INVALID – evidence missing, placeholder or not yet on file",IF(ISNA(MATCH(TRIM(S352),L_EvidenceType,0)),"INVALID – choose the evidence type from the list (column S)",IF(BL352=0,"INVALID – evidence ID must be the record's own ID only (e.g. SF-2210, IMG_2231, 1045521); a link / file name needs type 'Link / file path'",IF(OR(OR(LEN(AX352)&lt;2,ISNUMBER(MATCH(AX352,L_Placeholder,0))),BS352&lt;3),"INVALID – verifier missing or not a named person (a role such as QA / CSM is not a name)",IF(OR(AX352=AU352,CE352=1,AND(LEN(AU352)&gt;=4,ISNUMBER(SEARCH(AU352,AX352))),AND(LEN(AX352)&gt;=4,ISNUMBER(SEARCH(AX352,AU352)))),"INVALID – verifier must be a different, named person (not the PIC or a role)",IF(BH352=1,"INVALID – result not yet available (awaiting / TBC)",IF(BG352=1,"INVALID – result describes a problem: record Fail, then Pass after CA (or reword if it is not a problem)",IF(BV352=1,"INVALID – wording says not on board: an on-board confirmation needs the item loaded",IF(AND(AQ352=1,OR(OR(LEN(AY352)&lt;3,ISNUMBER(MATCH(AY352,L_Placeholder,0))),BJ352=1,BQ352=0)),"INVALID – batch ID missing, placeholder or not an ID (e.g. PASB-261008-BC-017)",IF(AND(AR352=1,OR(NOT(ISNUMBER(X352)),NOT(ISNUMBER(Y352)))),"INVALID – expected/actual qty missing",IF(AND(AR352=1,OR(X352&lt;=0,Y352&lt;0)),"INVALID – expected qty must be above 0 and actual not negative",IF(AH342="N/A – JUSTIFIED","INVALID – preparation row F10-T12-11 is N/A",IF(AND(AR352=1,ISNUMBER(X342),X352&lt;&gt;X342,TRIM(U352)&lt;&gt;"Pass after CA"),"INVALID – expected qty differs from preparation check F10-T12-11: record the load change as a corrective action (Pass after CA)",IF(BB352&lt;&gt;"",BB352,IF(AND(AS352=1,Documents!$J$14&lt;&gt;"ON FILE"),"INVALID – GLD not on file (Documents sheet)",IF(AND(AS352=2,Documents!$O$14&lt;&gt;"ON FILE"),"INVALID – menu checklist not on file (Documents sheet)",IF(AND(AS352=3,NOT(ISNUMBER(Flights!$AX$14))),"INVALID – enter carrying flight KUL departure (Flights AX)",IF(AND(AS352=3,OR(Flights!$AZ$14&gt;Flights!$AA$14,Flights!$AX$14&lt;Flights!$AA$14-3)),"INVALID – carrying flight (Flights AX) cannot arrive before this leg's STD, or is over 3 days early",IF(AG352&gt;AsOfUTC,"INVALID – completion time is in the future",IF(AND(ISNUMBER(BY352),AG352&lt;BY352),IF(H352="Physical uplift","INVALID – before uplift window (cannot confirm loading)","INVALID – before valid window"),IF(AG352&gt;Flights!$AA$14,"INVALID – completed after departure (cannot establish readiness)",IF(AND(H352="Preparation",AG352&gt;=IF(ISNUMBER(Flights!$BA$14),MIN(Flights!$BA$14,Flights!$AA$14),Flights!$AA$14)),"INVALID – completed after loading / departure (cannot establish readiness)",IF(AND(H352="Physical uplift",AG352&gt;Q352),"INVALID – recorded after the loading flight departed",IF(AG352&gt;Q352,"COMPLETE – LATE","COMPLETE"))))))))))))))))))))))))))),IF(TRIM(U352)="Fail","FAIL – DISCREPANCY",IF(AND(TRIM(U352)&lt;&gt;"",TRIM(U352)&lt;&gt;"Not started",TRIM(U352)&lt;&gt;"In progress"),"INVALID – unrecognised status (use the list)",IF(AsOfUTC&gt;Q352,"OVERDUE",IF(N352="Clarification required","OPEN – CLARIFICATION","OPEN"))))))),"INVALID – error value in an input cell")</f>
        <v>OPEN</v>
      </c>
      <c r="AI352" s="61" t="n">
        <f aca="false">IF(OR(AH352="N/A – RULE",AH352="N/A – JUSTIFIED"),0,1)</f>
        <v>1</v>
      </c>
      <c r="AJ352" s="61" t="n">
        <f aca="false">IF(LEFT(AH352,8)="COMPLETE",1,0)</f>
        <v>0</v>
      </c>
      <c r="AK352" s="61" t="n">
        <f aca="false">IF(AND(AI352=1,AJ352=0,AsOfUTC&gt;Q352),1,0)</f>
        <v>0</v>
      </c>
      <c r="AL352" s="61" t="n">
        <f aca="false">IFERROR(IF(AND(AI352=1,OR(TRIM(U352)="Fail",AND(TRIM(AB352)&lt;&gt;"",TRIM(AB352)&lt;&gt;"Closed"),AND(ISNUMBER(AF352),AF352&lt;&gt;0,TRIM(U352)&lt;&gt;"Pass after CA"))),1,0),1)</f>
        <v>0</v>
      </c>
      <c r="AM352" s="61" t="n">
        <f aca="false">IF(LEFT(AH352,7)="INVALID",1,0)</f>
        <v>0</v>
      </c>
      <c r="AN352" s="61" t="n">
        <f aca="false">IF(AND(N352="Clarification required",AI352=1,AJ352=0),1,0)</f>
        <v>0</v>
      </c>
      <c r="AO352" s="61" t="str">
        <f aca="false">IF(AK352=1,SUM(AK$5:AK352),"")</f>
        <v/>
      </c>
      <c r="AP352" s="61" t="str">
        <f aca="false">IF(AL352=1,SUM(AL$5:AL352),"")</f>
        <v/>
      </c>
      <c r="AQ352" s="61" t="n">
        <v>0</v>
      </c>
      <c r="AR352" s="61" t="n">
        <v>0</v>
      </c>
      <c r="AS352" s="61" t="n">
        <v>0</v>
      </c>
      <c r="AT352" s="61" t="n">
        <v>0</v>
      </c>
      <c r="AU352" s="61" t="str">
        <f aca="false">SUBSTITUTE(SUBSTITUTE(SUBSTITUTE(SUBSTITUTE(SUBSTITUTE(SUBSTITUTE(SUBSTITUTE(SUBSTITUTE(SUBSTITUTE(SUBSTITUTE(SUBSTITUTE(SUBSTITUTE(SUBSTITUTE(SUBSTITUTE(SUBSTITUTE(SUBSTITUTE(LOWER(T352&amp;""),CHAR(10),""),CHAR(13),""),CHAR(9),""),CHAR(160),"")," ",""),".",""),"-",""),"/",""),"?",""),"_",""),",",""),"[",""),"]",""),"(",""),")",""),"*","")</f>
        <v/>
      </c>
      <c r="AV352" s="61" t="str">
        <f aca="false">SUBSTITUTE(SUBSTITUTE(SUBSTITUTE(SUBSTITUTE(SUBSTITUTE(SUBSTITUTE(SUBSTITUTE(SUBSTITUTE(SUBSTITUTE(SUBSTITUTE(SUBSTITUTE(SUBSTITUTE(SUBSTITUTE(SUBSTITUTE(SUBSTITUTE(SUBSTITUTE(LOWER(V352&amp;""),CHAR(10),""),CHAR(13),""),CHAR(9),""),CHAR(160),"")," ",""),".",""),"-",""),"/",""),"?",""),"_",""),",",""),"[",""),"]",""),"(",""),")",""),"*","")</f>
        <v/>
      </c>
      <c r="AW352" s="61" t="str">
        <f aca="false">SUBSTITUTE(SUBSTITUTE(SUBSTITUTE(SUBSTITUTE(SUBSTITUTE(SUBSTITUTE(SUBSTITUTE(SUBSTITUTE(SUBSTITUTE(SUBSTITUTE(SUBSTITUTE(SUBSTITUTE(SUBSTITUTE(SUBSTITUTE(SUBSTITUTE(SUBSTITUTE(LOWER(Z352&amp;""),CHAR(10),""),CHAR(13),""),CHAR(9),""),CHAR(160),"")," ",""),".",""),"-",""),"/",""),"?",""),"_",""),",",""),"[",""),"]",""),"(",""),")",""),"*","")</f>
        <v/>
      </c>
      <c r="AX352" s="61" t="str">
        <f aca="false">SUBSTITUTE(SUBSTITUTE(SUBSTITUTE(SUBSTITUTE(SUBSTITUTE(SUBSTITUTE(SUBSTITUTE(SUBSTITUTE(SUBSTITUTE(SUBSTITUTE(SUBSTITUTE(SUBSTITUTE(SUBSTITUTE(SUBSTITUTE(SUBSTITUTE(SUBSTITUTE(LOWER(AE352&amp;""),CHAR(10),""),CHAR(13),""),CHAR(9),""),CHAR(160),"")," ",""),".",""),"-",""),"/",""),"?",""),"_",""),",",""),"[",""),"]",""),"(",""),")",""),"*","")</f>
        <v/>
      </c>
      <c r="AY352" s="61" t="str">
        <f aca="false">SUBSTITUTE(SUBSTITUTE(SUBSTITUTE(SUBSTITUTE(SUBSTITUTE(SUBSTITUTE(SUBSTITUTE(SUBSTITUTE(SUBSTITUTE(SUBSTITUTE(SUBSTITUTE(SUBSTITUTE(SUBSTITUTE(SUBSTITUTE(SUBSTITUTE(SUBSTITUTE(LOWER(W352&amp;""),CHAR(10),""),CHAR(13),""),CHAR(9),""),CHAR(160),"")," ",""),".",""),"-",""),"/",""),"?",""),"_",""),",",""),"[",""),"]",""),"(",""),")",""),"*","")</f>
        <v/>
      </c>
      <c r="AZ352" s="61" t="str">
        <f aca="false">SUBSTITUTE(SUBSTITUTE(SUBSTITUTE(SUBSTITUTE(SUBSTITUTE(SUBSTITUTE(SUBSTITUTE(SUBSTITUTE(SUBSTITUTE(SUBSTITUTE(SUBSTITUTE(SUBSTITUTE(SUBSTITUTE(SUBSTITUTE(SUBSTITUTE(SUBSTITUTE(LOWER(AC352&amp;""),CHAR(10),""),CHAR(13),""),CHAR(9),""),CHAR(160),"")," ",""),".",""),"-",""),"/",""),"?",""),"_",""),",",""),"[",""),"]",""),"(",""),")",""),"*","")</f>
        <v/>
      </c>
      <c r="BA352" s="61" t="str">
        <f aca="false">SUBSTITUTE(SUBSTITUTE(SUBSTITUTE(SUBSTITUTE(SUBSTITUTE(SUBSTITUTE(SUBSTITUTE(SUBSTITUTE(SUBSTITUTE(SUBSTITUTE(SUBSTITUTE(SUBSTITUTE(SUBSTITUTE(SUBSTITUTE(SUBSTITUTE(SUBSTITUTE(LOWER(AA352&amp;""),CHAR(10),""),CHAR(13),""),CHAR(9),""),CHAR(160),"")," ",""),".",""),"-",""),"/",""),"?",""),"_",""),",",""),"[",""),"]",""),"(",""),")",""),"*","")</f>
        <v/>
      </c>
      <c r="BB352" s="61" t="str">
        <f aca="false">IF(AND(TRIM(U352)="Pass",ISNUMBER(AF352)),IF(AF352&lt;&gt;0,"INVALID – qty variance: use Fail or Pass after CA",""),"")&amp;IF(AND(TRIM(U352)="Pass after CA",ISNUMBER(AF352)),IF(AF352&lt;&gt;0,"INVALID – after the corrective action the actual qty must equal expected (update Actual)",""),"")&amp;IF(AND(TRIM(U352)="Pass",TRIM(AB352)&lt;&gt;"",TRIM(AB352)&lt;&gt;"Closed"),"INVALID – corrective action not closed: use Fail, then Pass after CA","")&amp;IF(AND(LEN(BA352)&gt;=2,ISNA(MATCH(LEFT(BA352,255),L_Placeholder,0)),TRIM(AB352)=""),"INVALID – CA status missing for the recorded corrective action","")&amp;IF(AND(TRIM(U352)="Pass after CA",OR(OR(LEN(BA352)&lt;5,ISNUMBER(MATCH(BA352,L_Placeholder,0))),TRIM(AB352)&lt;&gt;"Closed")),"INVALID – corrective action not recorded/closed","")</f>
        <v/>
      </c>
      <c r="BC352" s="61" t="str">
        <f aca="false">" "&amp;TRIM(SUBSTITUTE(SUBSTITUTE(SUBSTITUTE(SUBSTITUTE(SUBSTITUTE(SUBSTITUTE(SUBSTITUTE(SUBSTITUTE(SUBSTITUTE(SUBSTITUTE(SUBSTITUTE(SUBSTITUTE(SUBSTITUTE(SUBSTITUTE(SUBSTITUTE(SUBSTITUTE(SUBSTITUTE(SUBSTITUTE(SUBSTITUTE(SUBSTITUTE(SUBSTITUTE(SUBSTITUTE(SUBSTITUTE(SUBSTITUTE(LOWER(V352&amp;""),CHAR(10)," "),CHAR(13)," "),CHAR(9)," "),CHAR(160)," "),"."," "),","," "),"-"," "),"/"," "),"("," "),")"," "),":"," "),";"," "),"_"," "),"–"," "),"?"," "),"!"," "),"*"," "),"["," "),"]"," "),"'"," "),"#"," "),"+"," "),"&amp;"," "),"\"," "))&amp;" "</f>
        <v>  </v>
      </c>
      <c r="BD352" s="61" t="str">
        <f aca="false">" "&amp;TRIM(SUBSTITUTE(SUBSTITUTE(SUBSTITUTE(SUBSTITUTE(SUBSTITUTE(SUBSTITUTE(SUBSTITUTE(SUBSTITUTE(SUBSTITUTE(SUBSTITUTE(SUBSTITUTE(SUBSTITUTE(SUBSTITUTE(SUBSTITUTE(SUBSTITUTE(SUBSTITUTE(SUBSTITUTE(SUBSTITUTE(SUBSTITUTE(SUBSTITUTE(SUBSTITUTE(SUBSTITUTE(SUBSTITUTE(SUBSTITUTE(LOWER(Z352&amp;""),CHAR(10)," "),CHAR(13)," "),CHAR(9)," "),CHAR(160)," "),"."," "),","," "),"-"," "),"/"," "),"("," "),")"," "),":"," "),";"," "),"_"," "),"–"," "),"?"," "),"!"," "),"*"," "),"["," "),"]"," "),"'"," "),"#"," "),"+"," "),"&amp;"," "),"\"," "))&amp;" "</f>
        <v>  </v>
      </c>
      <c r="BE352" s="61" t="str">
        <f aca="false">" "&amp;TRIM(SUBSTITUTE(SUBSTITUTE(SUBSTITUTE(SUBSTITUTE(SUBSTITUTE(SUBSTITUTE(SUBSTITUTE(SUBSTITUTE(SUBSTITUTE(SUBSTITUTE(SUBSTITUTE(SUBSTITUTE(SUBSTITUTE(SUBSTITUTE(SUBSTITUTE(SUBSTITUTE(SUBSTITUTE(SUBSTITUTE(SUBSTITUTE(SUBSTITUTE(SUBSTITUTE(SUBSTITUTE(SUBSTITUTE(SUBSTITUTE(LOWER(W352&amp;""),CHAR(10)," "),CHAR(13)," "),CHAR(9)," "),CHAR(160)," "),"."," "),","," "),"-"," "),"/"," "),"("," "),")"," "),":"," "),";"," "),"_"," "),"–"," "),"?"," "),"!"," "),"*"," "),"["," "),"]"," "),"'"," "),"#"," "),"+"," "),"&amp;"," "),"\"," "))&amp;" "</f>
        <v>  </v>
      </c>
      <c r="BF352" s="61" t="str">
        <f aca="false">" "&amp;TRIM(SUBSTITUTE(SUBSTITUTE(SUBSTITUTE(SUBSTITUTE(SUBSTITUTE(SUBSTITUTE(SUBSTITUTE(SUBSTITUTE(SUBSTITUTE(SUBSTITUTE(SUBSTITUTE(SUBSTITUTE(SUBSTITUTE(SUBSTITUTE(SUBSTITUTE(SUBSTITUTE(SUBSTITUTE(SUBSTITUTE(SUBSTITUTE(SUBSTITUTE(SUBSTITUTE(SUBSTITUTE(SUBSTITUTE(SUBSTITUTE(LOWER(AC352&amp;""),CHAR(10)," "),CHAR(13)," "),CHAR(9)," "),CHAR(160)," "),"."," "),","," "),"-"," "),"/"," "),"("," "),")"," "),":"," "),";"," "),"_"," "),"–"," "),"?"," "),"!"," "),"*"," "),"["," "),"]"," "),"'"," "),"#"," "),"+"," "),"&amp;"," "),"\"," "))&amp;" "</f>
        <v>  </v>
      </c>
      <c r="BG352" s="61" t="n">
        <f aca="false">IFERROR(IF(AND(TRIM(U352)="Pass",SUMPRODUCT((LEN(BC352)-LEN(SUBSTITUTE(BC352," "&amp;L_ResultBad&amp;" "," ")))/(LEN(L_ResultBad)+1))&gt;SUMPRODUCT((LEN(BC352)-LEN(SUBSTITUTE(BC352," "&amp;L_NegPhrase&amp;" "," ")))/(LEN(L_NegPhrase)+1))),1,0),0)</f>
        <v>0</v>
      </c>
      <c r="BH352" s="61" t="n">
        <f aca="false">IFERROR(IF(SUMPRODUCT((LEN(BC352)-LEN(SUBSTITUTE(BC352," "&amp;L_Pending&amp;" "," ")))/(LEN(L_Pending)+1))&gt;SUMPRODUCT((LEN(BC352)-LEN(SUBSTITUTE(BC352," "&amp;L_PendNeg&amp;" "," ")))/(LEN(L_PendNeg)+1)),1,0),1)</f>
        <v>0</v>
      </c>
      <c r="BI352" s="61" t="n">
        <f aca="false">IFERROR(IF(SUMPRODUCT((LEN(BD352)-LEN(SUBSTITUTE(BD352," "&amp;L_PendStrict&amp;" "," ")))/(LEN(L_PendStrict)+1))&gt;SUMPRODUCT((LEN(BD352)-LEN(SUBSTITUTE(BD352," "&amp;L_PendNeg&amp;" "," ")))/(LEN(L_PendNeg)+1)),1,0),1)</f>
        <v>0</v>
      </c>
      <c r="BJ352" s="61" t="n">
        <f aca="false">IFERROR(IF(SUMPRODUCT((LEN(BE352)-LEN(SUBSTITUTE(BE352," "&amp;L_Pending&amp;" "," ")))/(LEN(L_Pending)+1))&gt;SUMPRODUCT((LEN(BE352)-LEN(SUBSTITUTE(BE352," "&amp;L_PendNeg&amp;" "," ")))/(LEN(L_PendNeg)+1)),1,0),1)</f>
        <v>0</v>
      </c>
      <c r="BK352" s="61" t="n">
        <f aca="false">IFERROR(IF(SUMPRODUCT((LEN(BF352)-LEN(SUBSTITUTE(BF352," "&amp;L_PendStrict&amp;" "," ")))/(LEN(L_PendStrict)+1))&gt;SUMPRODUCT((LEN(BF352)-LEN(SUBSTITUTE(BF352," "&amp;L_PendNeg&amp;" "," ")))/(LEN(L_PendNeg)+1)),1,0),1)</f>
        <v>0</v>
      </c>
      <c r="BL352" s="61" t="n">
        <f aca="false">IF(ISNA(MATCH(TRIM(S352),L_EvidenceType,0)),0,BZ352)</f>
        <v>0</v>
      </c>
      <c r="BM352" s="61" t="str">
        <f aca="false">SUBSTITUTE(SUBSTITUTE(SUBSTITUTE(SUBSTITUTE(SUBSTITUTE(SUBSTITUTE(SUBSTITUTE(SUBSTITUTE(SUBSTITUTE(LOWER(Z352&amp;""),"1","0"),"2","0"),"3","0"),"4","0"),"5","0"),"6","0"),"7","0"),"8","0"),"9","0")</f>
        <v/>
      </c>
      <c r="BN352" s="61" t="str">
        <f aca="false">SUBSTITUTE(SUBSTITUTE(SUBSTITUTE(SUBSTITUTE(SUBSTITUTE(SUBSTITUTE(SUBSTITUTE(SUBSTITUTE(SUBSTITUTE(SUBSTITUTE(SUBSTITUTE(SUBSTITUTE(SUBSTITUTE(SUBSTITUTE(SUBSTITUTE(SUBSTITUTE(SUBSTITUTE(SUBSTITUTE(SUBSTITUTE(SUBSTITUTE(SUBSTITUTE(SUBSTITUTE(SUBSTITUTE(SUBSTITUTE(SUBSTITUTE(BM352,"b","a"),"c","a"),"d","a"),"e","a"),"f","a"),"g","a"),"h","a"),"i","a"),"j","a"),"k","a"),"l","a"),"m","a"),"n","a"),"o","a"),"p","a"),"q","a"),"r","a"),"s","a"),"t","a"),"u","a"),"v","a"),"w","a"),"x","a"),"y","a"),"z","a")</f>
        <v/>
      </c>
      <c r="BO352" s="61" t="str">
        <f aca="false">SUBSTITUTE(SUBSTITUTE(SUBSTITUTE(SUBSTITUTE(SUBSTITUTE(SUBSTITUTE(SUBSTITUTE(SUBSTITUTE(SUBSTITUTE(LOWER(W352&amp;""),"1","0"),"2","0"),"3","0"),"4","0"),"5","0"),"6","0"),"7","0"),"8","0"),"9","0")</f>
        <v/>
      </c>
      <c r="BP352" s="61" t="str">
        <f aca="false">SUBSTITUTE(SUBSTITUTE(SUBSTITUTE(SUBSTITUTE(SUBSTITUTE(SUBSTITUTE(SUBSTITUTE(SUBSTITUTE(SUBSTITUTE(SUBSTITUTE(SUBSTITUTE(SUBSTITUTE(SUBSTITUTE(SUBSTITUTE(SUBSTITUTE(SUBSTITUTE(SUBSTITUTE(SUBSTITUTE(SUBSTITUTE(SUBSTITUTE(SUBSTITUTE(SUBSTITUTE(SUBSTITUTE(SUBSTITUTE(SUBSTITUTE(BO352,"b","a"),"c","a"),"d","a"),"e","a"),"f","a"),"g","a"),"h","a"),"i","a"),"j","a"),"k","a"),"l","a"),"m","a"),"n","a"),"o","a"),"p","a"),"q","a"),"r","a"),"s","a"),"t","a"),"u","a"),"v","a"),"w","a"),"x","a"),"y","a"),"z","a")</f>
        <v/>
      </c>
      <c r="BQ352" s="61" t="n">
        <f aca="false">IFERROR(IF(AND(ISERROR(SEARCH(" mh"," "&amp;LOWER(W352))),ISNA(MATCH(LEFT(TRIM(BP352),255),{"0000a","000a","00a","0000aa","000aa","00aa","0aa","0000aaa","000aaa","00a00","0a00","0000-0000","00:00","a00","a0","00.00.0000","00/00/0000","00-00-0000","0000-00-00","0000/00/00","0000.00.00","00.00.00","00/00/00","00-00-00","0.00.0000","0/00/0000","0-00-0000"},0)),ISNA(MATCH(LEFT(TRIM(CA352),255),{"0000a","000a","00a","0000aa","000aa","00aa","0aa","0000aaa","000aaa","00a00","0a00","0000-0000","00:00","a00","a0","00.00.0000","00/00/0000","00-00-0000","0000-00-00","0000/00/00","0000.00.00","00.00.00","00/00/00","00-00-00","0.00.0000","0/00/0000","0-00-0000"},0)),LEN(CB352)&gt;=3,NOT(OR(SUBSTITUTE(CB352,"0","")="",AND(LEN(CB352)&gt;=4,CB352=REPT(LEFT(CB352),LEN(CB352))),ISNUMBER(MATCH(CB352,{"123","1234","12345","123456","1234567","12345678","0123","01234","012345","98765","987654","54321"},0)),AND(LEN(CB352)=8,LEFT(CB352,3)="202"))),OR(AND((LEN(CA352)-LEN(SUBSTITUTE(CA352,"a","")))&gt;=1,SUMPRODUCT(--ISNUMBER(SEARCH({"a0","a-0","a_0","a/0","a.0","a#0","0a","0-a","0_a","0/a"},BP352)))&gt;0),ISNUMBER(SEARCH("000000",BP352)))),1,0),0)</f>
        <v>0</v>
      </c>
      <c r="BR352" s="61" t="n">
        <f aca="false">IFERROR(LEN(SUBSTITUTE(CC352," ",""))-SUMPRODUCT((LEN(CC352)-LEN(SUBSTITUTE(CC352," "&amp;L_Role&amp;" "," ")))/(LEN(L_Role)+1)*LEN(L_Role)),0)</f>
        <v>0</v>
      </c>
      <c r="BS352" s="61" t="n">
        <f aca="false">IFERROR(LEN(SUBSTITUTE(CD352," ",""))-SUMPRODUCT((LEN(CD352)-LEN(SUBSTITUTE(CD352," "&amp;L_Role&amp;" "," ")))/(LEN(L_Role)+1)*LEN(L_Role)),0)</f>
        <v>0</v>
      </c>
      <c r="BT3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352,"revision",""),"version",""),"jan",""),"feb",""),"mar",""),"apr",""),"may",""),"jun",""),"jul",""),"aug",""),"sep",""),"oct",""),"nov",""),"dec",""),"utc",""),"gmt",""),"myt",""),"bst",""),"rev",""),"ver",""),"b","a"),"c","a"),"d","a"),"e","a"),"f","a"),"g","a"),"h","a"),"i","a"),"j","a"),"k","a"),"l","a"),"m","a"),"n","a"),"o","a"),"p","a"),"q","a"),"r","a"),"s","a"),"t","a"),"u","a"),"v","a"),"w","a"),"x","a"),"y","a"),"z","a")</f>
        <v/>
      </c>
      <c r="BU352" s="61" t="str">
        <f aca="false">SUBSTITUTE(SUBSTITUTE(SUBSTITUTE(SUBSTITUTE(SUBSTITUTE(SUBSTITUTE(SUBSTITUTE(SUBSTITUTE(SUBSTITUTE(SUBSTITUTE(LEFT(BM352,FIND("0",BM352&amp;"0")-1),"-",""),"_",""),"/",""),".",""),"#",""),"\\",""),":","")," ",""),"(",""),")","")</f>
        <v/>
      </c>
      <c r="BV352" s="61" t="n">
        <f aca="false">IFERROR(IF(OR(SUMPRODUCT((LEN(BC352)-LEN(SUBSTITUTE(BC352," "&amp;L_NotLoaded&amp;" "," ")))/(LEN(L_NotLoaded)+1))&gt;SUMPRODUCT((LEN(BC352)-LEN(SUBSTITUTE(BC352," "&amp;L_NotLoadedNeg&amp;" "," ")))/(LEN(L_NotLoadedNeg)+1)),SUMPRODUCT((LEN(BD352)-LEN(SUBSTITUTE(BD352," "&amp;L_NotLoaded&amp;" "," ")))/(LEN(L_NotLoaded)+1))&gt;SUMPRODUCT((LEN(BD352)-LEN(SUBSTITUTE(BD352," "&amp;L_NotLoadedNeg&amp;" "," ")))/(LEN(L_NotLoadedNeg)+1))),1,0),0)</f>
        <v>0</v>
      </c>
      <c r="BW3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352&amp;""),"a",""),"b",""),"c",""),"d",""),"e",""),"f",""),"g",""),"h",""),"i",""),"j",""),"k",""),"l",""),"m",""),"n",""),"o",""),"p",""),"q",""),"r",""),"s",""),"t",""),"u",""),"v",""),"w",""),"x",""),"y",""),"z",""),"-",""),"_",""),"/",""),".",""),"#",""),"\\",""),":","")," ",""),"(",""),")","")</f>
        <v/>
      </c>
      <c r="BX352" s="61" t="str">
        <f aca="false">SUBSTITUTE(SUBSTITUTE(SUBSTITUTE(SUBSTITUTE(SUBSTITUTE(SUBSTITUTE(SUBSTITUTE(SUBSTITUTE(SUBSTITUTE(SUBSTITUTE(SUBSTITUTE(BM352,"0",""),"-",""),"_",""),"/",""),".",""),"#",""),"\\",""),":","")," ",""),"(",""),")","")</f>
        <v/>
      </c>
      <c r="BY352" s="62" t="n">
        <f aca="false">IF(ISNUMBER(Flights!$AZ$14),MAX(Q352-UpliftWindowH/24,Flights!$AZ$14),Q352-UpliftWindowH/24)</f>
        <v>46306.90625</v>
      </c>
      <c r="BZ352" s="61" t="n">
        <f aca="false">IFERROR(IF(IF(TRIM(S352)="Link / file path",AND(LEN(TRIM(Z352))&gt;=5,SUMPRODUCT(--ISNUMBER(SEARCH({"http","www.","\\",":\",".pdf",".jpg",".jpeg",".png",".heic",".xls",".doc",".msg",".eml",".ppt",".txt",".zip"},Z352)))&gt;0),AND(ISERROR(FIND(" ",TRIM(Z352))),NOT(OR(SUMPRODUCT(--ISNUMBER(FIND({",",";","&amp;","+"},Z352)))&gt;0,SUMPRODUCT(--ISNUMBER(SEARCH({"0/aa","0\\aa"},BN352)))&gt;0)),NOT(SUMPRODUCT(--ISNUMBER(SEARCH({"http","www.","\\",":\",".pdf",".jpg",".jpeg",".png",".heic",".xls",".doc",".msg",".eml",".ppt",".txt",".zip"},Z352)))&gt;0),NOT(LOWER(TRIM(Z352))=LOWER(Flights!$F$14)),ISNA(MATCH(BU352,{"mh","rev","revision","ver","version","v","r","a","b","seat","tray","row","gate","bay","stand","page","pg","item","line","no","cart","galley","flight","flt","table","box","bag","oven","etd","eta","std","sta","atd","ata","qty","pax","x","time","tel","ph","mob","day","wk","week","utc","gmt","myt","lt"},0)),NOT(OR(ISNUMBER(MATCH(LEFT(BN352,255),{"0000a","000a","00a","0000aa","000aa","00aa","0aa","0000aaa","000aaa","00a00","0a00","0000-0000","00:00","a00","a0","00.00.0000","00/00/0000","00-00-0000","0000-00-00","0000/00/00","0000.00.00","00.00.00","00/00/00","00-00-00","0.00.0000","0/00/0000","0-00-0000"},0)),ISNUMBER(MATCH(LEFT(BT352,255),{"0000a","000a","00a","0000aa","000aa","00aa","0aa","0000aaa","000aaa","00a00","0a00","0000-0000","00:00","a00","a0","00.00.0000","00/00/0000","00-00-0000","0000-00-00","0000/00/00","0000.00.00","00.00.00","00/00/00","00-00-00","0.00.0000","0/00/0000","0-00-0000"},0)))),NOT(OR(AND(BW352&lt;&gt;"",SUBSTITUTE(BW352,"0","")=""),AND(LEN(BW352)&gt;=4,BW352=REPT(LEFT(BW352),LEN(BW352))),ISNUMBER(MATCH(BW352,{"123","1234","12345","123456","1234567","12345678","0123","01234","012345","98765","987654","54321"},0)),ISNUMBER(MATCH(BX352,{"x","xx","xxx","xxxx","xxxxx","abc","abcd","nil","na","nan","test","tbc","tba","tbd","dummy","sample","example","eg","zz","zzz","none","null","xyz","qwe","asd","id","ref"},0)),AND(LEN(BW352)=8,BX352="",OR(LEFT(BW352,3)="202",ISNUMBER(MATCH(RIGHT(BW352,4),{"2025","2026","2027"},0)))))),OR(AND((LEN(BT352)-LEN(SUBSTITUTE(BT352,"a","")))&gt;=1,(LEN(BN352)-LEN(SUBSTITUTE(BN352,"0","")))&gt;=2,SUMPRODUCT(--ISNUMBER(SEARCH({"a0","a-0","a_0","a/0","a.0","a#0","0a","0-a","0_a","0/a"},BN352)))&gt;0),AND((LEN(BN352)-LEN(SUBSTITUTE(BN352,"a","")))=0,(LEN(BN352)-LEN(SUBSTITUTE(BN352,"0","")))&gt;=5)))),1,0),0)</f>
        <v>0</v>
      </c>
      <c r="CA3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352,"revision",""),"version",""),"jan",""),"feb",""),"mar",""),"apr",""),"may",""),"jun",""),"jul",""),"aug",""),"sep",""),"oct",""),"nov",""),"dec",""),"utc",""),"gmt",""),"myt",""),"bst",""),"rev",""),"ver",""),"b","a"),"c","a"),"d","a"),"e","a"),"f","a"),"g","a"),"h","a"),"i","a"),"j","a"),"k","a"),"l","a"),"m","a"),"n","a"),"o","a"),"p","a"),"q","a"),"r","a"),"s","a"),"t","a"),"u","a"),"v","a"),"w","a"),"x","a"),"y","a"),"z","a")</f>
        <v/>
      </c>
      <c r="CB3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352&amp;""),"a",""),"b",""),"c",""),"d",""),"e",""),"f",""),"g",""),"h",""),"i",""),"j",""),"k",""),"l",""),"m",""),"n",""),"o",""),"p",""),"q",""),"r",""),"s",""),"t",""),"u",""),"v",""),"w",""),"x",""),"y",""),"z",""),"-",""),"_",""),"/",""),".",""),"#",""),"\\",""),":","")," ",""),"(",""),")","")</f>
        <v/>
      </c>
      <c r="CC352" s="0" t="str">
        <f aca="false">" "&amp;TRIM(SUBSTITUTE(SUBSTITUTE(SUBSTITUTE(SUBSTITUTE(SUBSTITUTE(SUBSTITUTE(SUBSTITUTE(SUBSTITUTE(SUBSTITUTE(SUBSTITUTE(SUBSTITUTE(SUBSTITUTE(SUBSTITUTE(SUBSTITUTE(SUBSTITUTE(SUBSTITUTE(SUBSTITUTE(SUBSTITUTE(SUBSTITUTE(SUBSTITUTE(SUBSTITUTE(SUBSTITUTE(SUBSTITUTE(SUBSTITUTE(LOWER(T352&amp;""),CHAR(10)," "),CHAR(13)," "),CHAR(9)," "),CHAR(160)," "),"."," "),","," "),"-"," "),"/"," "),"("," "),")"," "),":"," "),";"," "),"_"," "),"–"," "),"?"," "),"!"," "),"*"," "),"["," "),"]"," "),"'"," "),"#"," "),"+"," "),"&amp;"," "),"\"," "))&amp;" "</f>
        <v>  </v>
      </c>
      <c r="CD352" s="0" t="str">
        <f aca="false">" "&amp;TRIM(SUBSTITUTE(SUBSTITUTE(SUBSTITUTE(SUBSTITUTE(SUBSTITUTE(SUBSTITUTE(SUBSTITUTE(SUBSTITUTE(SUBSTITUTE(SUBSTITUTE(SUBSTITUTE(SUBSTITUTE(SUBSTITUTE(SUBSTITUTE(SUBSTITUTE(SUBSTITUTE(SUBSTITUTE(SUBSTITUTE(SUBSTITUTE(SUBSTITUTE(SUBSTITUTE(SUBSTITUTE(SUBSTITUTE(SUBSTITUTE(LOWER(AE352&amp;""),CHAR(10)," "),CHAR(13)," "),CHAR(9)," "),CHAR(160)," "),"."," "),","," "),"-"," "),"/"," "),"("," "),")"," "),":"," "),";"," "),"_"," "),"–"," "),"?"," "),"!"," "),"*"," "),"["," "),"]"," "),"'"," "),"#"," "),"+"," "),"&amp;"," "),"\"," "))&amp;" "</f>
        <v>  </v>
      </c>
      <c r="CE352" s="68" t="n">
        <f aca="false">IFERROR(IF(AND(LEN(AU352)&gt;0,LEN(AU352)=LEN(AX352),OR(TRIM(MID(SUBSTITUTE(TRIM(CC352)," ",REPT(" ",60)),1,60))="",ISNUMBER(SEARCH(" "&amp;TRIM(MID(SUBSTITUTE(TRIM(CC352)," ",REPT(" ",60)),1,60))&amp;" ",CD352))),OR(TRIM(MID(SUBSTITUTE(TRIM(CC352)," ",REPT(" ",60)),61,60))="",ISNUMBER(SEARCH(" "&amp;TRIM(MID(SUBSTITUTE(TRIM(CC352)," ",REPT(" ",60)),61,60))&amp;" ",CD352))),OR(TRIM(MID(SUBSTITUTE(TRIM(CC352)," ",REPT(" ",60)),121,60))="",ISNUMBER(SEARCH(" "&amp;TRIM(MID(SUBSTITUTE(TRIM(CC352)," ",REPT(" ",60)),121,60))&amp;" ",CD352)))),1,0),0)</f>
        <v>0</v>
      </c>
      <c r="CG352" s="68" t="n">
        <f aca="false">IFERROR(LEN(SUBSTITUTE(BF352," ",""))-SUMPRODUCT((LEN(BF352)-LEN(SUBSTITUTE(BF352," "&amp;L_NAFiller&amp;" "," ")))/(LEN(L_NAFiller)+1)*LEN(L_NAFiller)),0)</f>
        <v>0</v>
      </c>
    </row>
    <row r="353" customFormat="false" ht="39.75" hidden="false" customHeight="true" outlineLevel="0" collapsed="false">
      <c r="A353" s="57" t="s">
        <v>954</v>
      </c>
      <c r="B353" s="57" t="s">
        <v>251</v>
      </c>
      <c r="C353" s="57" t="str">
        <f aca="false">Flights!$F$14</f>
        <v>MH1140</v>
      </c>
      <c r="D353" s="58" t="n">
        <f aca="false">Flights!$D$14</f>
        <v>46307</v>
      </c>
      <c r="E353" s="57" t="str">
        <f aca="false">Flights!$G$14&amp;"-"&amp;Flights!$H$14</f>
        <v>KUL-PEN</v>
      </c>
      <c r="F353" s="57" t="str">
        <f aca="false">Flights!$K$14</f>
        <v>BC</v>
      </c>
      <c r="G353" s="57" t="s">
        <v>459</v>
      </c>
      <c r="H353" s="57" t="s">
        <v>460</v>
      </c>
      <c r="I353" s="57" t="s">
        <v>499</v>
      </c>
      <c r="J353" s="57" t="s">
        <v>548</v>
      </c>
      <c r="K353" s="67" t="s">
        <v>519</v>
      </c>
      <c r="L353" s="67" t="s">
        <v>941</v>
      </c>
      <c r="M353" s="67" t="s">
        <v>451</v>
      </c>
      <c r="N353" s="67" t="s">
        <v>383</v>
      </c>
      <c r="O353" s="67" t="s">
        <v>549</v>
      </c>
      <c r="P353" s="57" t="s">
        <v>187</v>
      </c>
      <c r="Q353" s="59" t="n">
        <f aca="false">ROUND((Flights!$AF$14)*1440,0)/1440</f>
        <v>46307.15625</v>
      </c>
      <c r="R353" s="59" t="n">
        <f aca="false">Q353+(IF(AND(INDEX(TZ_DSTS,MATCH(P353,TZ_STN,0))&lt;&gt;"",Q353&gt;=INDEX(TZ_DSTS,MATCH(P353,TZ_STN,0)),Q353&lt;INDEX(TZ_DSTE,MATCH(P353,TZ_STN,0))),INDEX(TZ_DST,MATCH(P353,TZ_STN,0)),INDEX(TZ_STD,MATCH(P353,TZ_STN,0))))/24</f>
        <v>46307.4895833333</v>
      </c>
      <c r="S353" s="60"/>
      <c r="T353" s="60"/>
      <c r="U353" s="60"/>
      <c r="V353" s="60"/>
      <c r="W353" s="61"/>
      <c r="X353" s="60"/>
      <c r="Y353" s="60"/>
      <c r="Z353" s="60"/>
      <c r="AA353" s="60"/>
      <c r="AB353" s="60"/>
      <c r="AC353" s="60"/>
      <c r="AD353" s="66"/>
      <c r="AE353" s="60"/>
      <c r="AF353" s="61" t="str">
        <f aca="false">IF(AND(ISNUMBER(X353),ISNUMBER(Y353)),Y353-X353,"")</f>
        <v/>
      </c>
      <c r="AG353" s="62" t="str">
        <f aca="false">IF(ISNUMBER(AD353),AD353-(IF(AND(INDEX(TZ_DSTS,MATCH(P353,TZ_STN,0))&lt;&gt;"",(AD353-INDEX(TZ_STD,MATCH(P353,TZ_STN,0))/24)&gt;=INDEX(TZ_DSTS,MATCH(P353,TZ_STN,0)),(AD353-INDEX(TZ_STD,MATCH(P353,TZ_STN,0))/24)&lt;INDEX(TZ_DSTE,MATCH(P353,TZ_STN,0))),INDEX(TZ_DST,MATCH(P353,TZ_STN,0)),INDEX(TZ_STD,MATCH(P353,TZ_STN,0))))/24,"")</f>
        <v/>
      </c>
      <c r="AH353" s="65" t="str">
        <f aca="false">IFERROR(IF(N353="N/A – rule",IF(OR(TRIM(U353)="",TRIM(U353)="N/A",TRIM(U353)="Not started"),"N/A – RULE","INVALID – this check does not apply to this aircraft: clear the status (or correct the fleet on Flights)"),IF(TRIM(U353)="N/A",IF(AT353=0,"INVALID – N/A not permitted for this check",IF(AND(TRIM(AB353)&lt;&gt;"",TRIM(AB353)&lt;&gt;"Closed"),"INVALID – corrective action still open",IF(AND(NOT(OR(LEN(AZ353)&lt;15,ISNUMBER(MATCH(AZ353,L_Placeholder,0)))),BK353=0,CG353&gt;=8,NOT(OR(LEN(AU353)&lt;2,ISNUMBER(MATCH(AU353,L_Placeholder,0)))),BR353&gt;=3,NOT(OR(LEN(AX353)&lt;2,ISNUMBER(MATCH(AX353,L_Placeholder,0)))),BS353&gt;=3,TRIM(AE353)&lt;&gt;TRIM(T353),AX353&lt;&gt;AU353,CE353=0),"N/A – JUSTIFIED","INVALID – N/A needs a real, settled reason (not 'not applicable' / 'as above' / TBC), a named PIC and a different named verifier"))),IF(OR(TRIM(U353)="Pass",TRIM(U353)="Pass after CA"),IF(NOT(ISNUMBER(AD353)),"INVALID – completion time missing",IF(OR(OR(LEN(AU353)&lt;2,ISNUMBER(MATCH(AU353,L_Placeholder,0))),BR353&lt;3),"INVALID – PIC missing or not a named person (a role such as QA / CSM is not a name)",IF(OR(LEN(AV353)&lt;2,ISNUMBER(MATCH(AV353,L_Placeholder,0))),"INVALID – result / assessment missing",IF(OR(OR(LEN(AW353)&lt;3,ISNUMBER(MATCH(AW353,L_Placeholder,0))),SUMPRODUCT(--ISNUMBER(SEARCH(" "&amp;L_EvidencePhrase&amp;" ",BD353)))&gt;0,BI353=1),"INVALID – evidence missing, placeholder or not yet on file",IF(ISNA(MATCH(TRIM(S353),L_EvidenceType,0)),"INVALID – choose the evidence type from the list (column S)",IF(BL353=0,"INVALID – evidence ID must be the record's own ID only (e.g. SF-2210, IMG_2231, 1045521); a link / file name needs type 'Link / file path'",IF(OR(OR(LEN(AX353)&lt;2,ISNUMBER(MATCH(AX353,L_Placeholder,0))),BS353&lt;3),"INVALID – verifier missing or not a named person (a role such as QA / CSM is not a name)",IF(OR(AX353=AU353,CE353=1,AND(LEN(AU353)&gt;=4,ISNUMBER(SEARCH(AU353,AX353))),AND(LEN(AX353)&gt;=4,ISNUMBER(SEARCH(AX353,AU353)))),"INVALID – verifier must be a different, named person (not the PIC or a role)",IF(BH353=1,"INVALID – result not yet available (awaiting / TBC)",IF(BG353=1,"INVALID – result describes a problem: record Fail, then Pass after CA (or reword if it is not a problem)",IF(BV353=1,"INVALID – wording says not on board: an on-board confirmation needs the item loaded",IF(AND(AQ353=1,OR(OR(LEN(AY353)&lt;3,ISNUMBER(MATCH(AY353,L_Placeholder,0))),BJ353=1,BQ353=0)),"INVALID – batch ID missing, placeholder or not an ID (e.g. PASB-261008-BC-017)",IF(AND(AR353=1,OR(NOT(ISNUMBER(X353)),NOT(ISNUMBER(Y353)))),"INVALID – expected/actual qty missing",IF(AND(AR353=1,OR(X353&lt;=0,Y353&lt;0)),"INVALID – expected qty must be above 0 and actual not negative",IF(AH343="N/A – JUSTIFIED","INVALID – preparation row F10-T12-12 is N/A",IF(AND(AR353=1,ISNUMBER(X343),X353&lt;&gt;X343,TRIM(U353)&lt;&gt;"Pass after CA"),"INVALID – expected qty differs from preparation check F10-T12-12: record the load change as a corrective action (Pass after CA)",IF(BB353&lt;&gt;"",BB353,IF(AND(AS353=1,Documents!$J$14&lt;&gt;"ON FILE"),"INVALID – GLD not on file (Documents sheet)",IF(AND(AS353=2,Documents!$O$14&lt;&gt;"ON FILE"),"INVALID – menu checklist not on file (Documents sheet)",IF(AND(AS353=3,NOT(ISNUMBER(Flights!$AX$14))),"INVALID – enter carrying flight KUL departure (Flights AX)",IF(AND(AS353=3,OR(Flights!$AZ$14&gt;Flights!$AA$14,Flights!$AX$14&lt;Flights!$AA$14-3)),"INVALID – carrying flight (Flights AX) cannot arrive before this leg's STD, or is over 3 days early",IF(AG353&gt;AsOfUTC,"INVALID – completion time is in the future",IF(AND(ISNUMBER(BY353),AG353&lt;BY353),IF(H353="Physical uplift","INVALID – before uplift window (cannot confirm loading)","INVALID – before valid window"),IF(AG353&gt;Flights!$AA$14,"INVALID – completed after departure (cannot establish readiness)",IF(AND(H353="Preparation",AG353&gt;=IF(ISNUMBER(Flights!$BA$14),MIN(Flights!$BA$14,Flights!$AA$14),Flights!$AA$14)),"INVALID – completed after loading / departure (cannot establish readiness)",IF(AND(H353="Physical uplift",AG353&gt;Q353),"INVALID – recorded after the loading flight departed",IF(AG353&gt;Q353,"COMPLETE – LATE","COMPLETE"))))))))))))))))))))))))))),IF(TRIM(U353)="Fail","FAIL – DISCREPANCY",IF(AND(TRIM(U353)&lt;&gt;"",TRIM(U353)&lt;&gt;"Not started",TRIM(U353)&lt;&gt;"In progress"),"INVALID – unrecognised status (use the list)",IF(AsOfUTC&gt;Q353,"OVERDUE",IF(N353="Clarification required","OPEN – CLARIFICATION","OPEN"))))))),"INVALID – error value in an input cell")</f>
        <v>OPEN</v>
      </c>
      <c r="AI353" s="61" t="n">
        <f aca="false">IF(OR(AH353="N/A – RULE",AH353="N/A – JUSTIFIED"),0,1)</f>
        <v>1</v>
      </c>
      <c r="AJ353" s="61" t="n">
        <f aca="false">IF(LEFT(AH353,8)="COMPLETE",1,0)</f>
        <v>0</v>
      </c>
      <c r="AK353" s="61" t="n">
        <f aca="false">IF(AND(AI353=1,AJ353=0,AsOfUTC&gt;Q353),1,0)</f>
        <v>0</v>
      </c>
      <c r="AL353" s="61" t="n">
        <f aca="false">IFERROR(IF(AND(AI353=1,OR(TRIM(U353)="Fail",AND(TRIM(AB353)&lt;&gt;"",TRIM(AB353)&lt;&gt;"Closed"),AND(ISNUMBER(AF353),AF353&lt;&gt;0,TRIM(U353)&lt;&gt;"Pass after CA"))),1,0),1)</f>
        <v>0</v>
      </c>
      <c r="AM353" s="61" t="n">
        <f aca="false">IF(LEFT(AH353,7)="INVALID",1,0)</f>
        <v>0</v>
      </c>
      <c r="AN353" s="61" t="n">
        <f aca="false">IF(AND(N353="Clarification required",AI353=1,AJ353=0),1,0)</f>
        <v>0</v>
      </c>
      <c r="AO353" s="61" t="str">
        <f aca="false">IF(AK353=1,SUM(AK$5:AK353),"")</f>
        <v/>
      </c>
      <c r="AP353" s="61" t="str">
        <f aca="false">IF(AL353=1,SUM(AL$5:AL353),"")</f>
        <v/>
      </c>
      <c r="AQ353" s="61" t="n">
        <v>0</v>
      </c>
      <c r="AR353" s="61" t="n">
        <v>0</v>
      </c>
      <c r="AS353" s="61" t="n">
        <v>0</v>
      </c>
      <c r="AT353" s="61" t="n">
        <v>0</v>
      </c>
      <c r="AU353" s="61" t="str">
        <f aca="false">SUBSTITUTE(SUBSTITUTE(SUBSTITUTE(SUBSTITUTE(SUBSTITUTE(SUBSTITUTE(SUBSTITUTE(SUBSTITUTE(SUBSTITUTE(SUBSTITUTE(SUBSTITUTE(SUBSTITUTE(SUBSTITUTE(SUBSTITUTE(SUBSTITUTE(SUBSTITUTE(LOWER(T353&amp;""),CHAR(10),""),CHAR(13),""),CHAR(9),""),CHAR(160),"")," ",""),".",""),"-",""),"/",""),"?",""),"_",""),",",""),"[",""),"]",""),"(",""),")",""),"*","")</f>
        <v/>
      </c>
      <c r="AV353" s="61" t="str">
        <f aca="false">SUBSTITUTE(SUBSTITUTE(SUBSTITUTE(SUBSTITUTE(SUBSTITUTE(SUBSTITUTE(SUBSTITUTE(SUBSTITUTE(SUBSTITUTE(SUBSTITUTE(SUBSTITUTE(SUBSTITUTE(SUBSTITUTE(SUBSTITUTE(SUBSTITUTE(SUBSTITUTE(LOWER(V353&amp;""),CHAR(10),""),CHAR(13),""),CHAR(9),""),CHAR(160),"")," ",""),".",""),"-",""),"/",""),"?",""),"_",""),",",""),"[",""),"]",""),"(",""),")",""),"*","")</f>
        <v/>
      </c>
      <c r="AW353" s="61" t="str">
        <f aca="false">SUBSTITUTE(SUBSTITUTE(SUBSTITUTE(SUBSTITUTE(SUBSTITUTE(SUBSTITUTE(SUBSTITUTE(SUBSTITUTE(SUBSTITUTE(SUBSTITUTE(SUBSTITUTE(SUBSTITUTE(SUBSTITUTE(SUBSTITUTE(SUBSTITUTE(SUBSTITUTE(LOWER(Z353&amp;""),CHAR(10),""),CHAR(13),""),CHAR(9),""),CHAR(160),"")," ",""),".",""),"-",""),"/",""),"?",""),"_",""),",",""),"[",""),"]",""),"(",""),")",""),"*","")</f>
        <v/>
      </c>
      <c r="AX353" s="61" t="str">
        <f aca="false">SUBSTITUTE(SUBSTITUTE(SUBSTITUTE(SUBSTITUTE(SUBSTITUTE(SUBSTITUTE(SUBSTITUTE(SUBSTITUTE(SUBSTITUTE(SUBSTITUTE(SUBSTITUTE(SUBSTITUTE(SUBSTITUTE(SUBSTITUTE(SUBSTITUTE(SUBSTITUTE(LOWER(AE353&amp;""),CHAR(10),""),CHAR(13),""),CHAR(9),""),CHAR(160),"")," ",""),".",""),"-",""),"/",""),"?",""),"_",""),",",""),"[",""),"]",""),"(",""),")",""),"*","")</f>
        <v/>
      </c>
      <c r="AY353" s="61" t="str">
        <f aca="false">SUBSTITUTE(SUBSTITUTE(SUBSTITUTE(SUBSTITUTE(SUBSTITUTE(SUBSTITUTE(SUBSTITUTE(SUBSTITUTE(SUBSTITUTE(SUBSTITUTE(SUBSTITUTE(SUBSTITUTE(SUBSTITUTE(SUBSTITUTE(SUBSTITUTE(SUBSTITUTE(LOWER(W353&amp;""),CHAR(10),""),CHAR(13),""),CHAR(9),""),CHAR(160),"")," ",""),".",""),"-",""),"/",""),"?",""),"_",""),",",""),"[",""),"]",""),"(",""),")",""),"*","")</f>
        <v/>
      </c>
      <c r="AZ353" s="61" t="str">
        <f aca="false">SUBSTITUTE(SUBSTITUTE(SUBSTITUTE(SUBSTITUTE(SUBSTITUTE(SUBSTITUTE(SUBSTITUTE(SUBSTITUTE(SUBSTITUTE(SUBSTITUTE(SUBSTITUTE(SUBSTITUTE(SUBSTITUTE(SUBSTITUTE(SUBSTITUTE(SUBSTITUTE(LOWER(AC353&amp;""),CHAR(10),""),CHAR(13),""),CHAR(9),""),CHAR(160),"")," ",""),".",""),"-",""),"/",""),"?",""),"_",""),",",""),"[",""),"]",""),"(",""),")",""),"*","")</f>
        <v/>
      </c>
      <c r="BA353" s="61" t="str">
        <f aca="false">SUBSTITUTE(SUBSTITUTE(SUBSTITUTE(SUBSTITUTE(SUBSTITUTE(SUBSTITUTE(SUBSTITUTE(SUBSTITUTE(SUBSTITUTE(SUBSTITUTE(SUBSTITUTE(SUBSTITUTE(SUBSTITUTE(SUBSTITUTE(SUBSTITUTE(SUBSTITUTE(LOWER(AA353&amp;""),CHAR(10),""),CHAR(13),""),CHAR(9),""),CHAR(160),"")," ",""),".",""),"-",""),"/",""),"?",""),"_",""),",",""),"[",""),"]",""),"(",""),")",""),"*","")</f>
        <v/>
      </c>
      <c r="BB353" s="61" t="str">
        <f aca="false">IF(AND(TRIM(U353)="Pass",ISNUMBER(AF353)),IF(AF353&lt;&gt;0,"INVALID – qty variance: use Fail or Pass after CA",""),"")&amp;IF(AND(TRIM(U353)="Pass after CA",ISNUMBER(AF353)),IF(AF353&lt;&gt;0,"INVALID – after the corrective action the actual qty must equal expected (update Actual)",""),"")&amp;IF(AND(TRIM(U353)="Pass",TRIM(AB353)&lt;&gt;"",TRIM(AB353)&lt;&gt;"Closed"),"INVALID – corrective action not closed: use Fail, then Pass after CA","")&amp;IF(AND(LEN(BA353)&gt;=2,ISNA(MATCH(LEFT(BA353,255),L_Placeholder,0)),TRIM(AB353)=""),"INVALID – CA status missing for the recorded corrective action","")&amp;IF(AND(TRIM(U353)="Pass after CA",OR(OR(LEN(BA353)&lt;5,ISNUMBER(MATCH(BA353,L_Placeholder,0))),TRIM(AB353)&lt;&gt;"Closed")),"INVALID – corrective action not recorded/closed","")</f>
        <v/>
      </c>
      <c r="BC353" s="61" t="str">
        <f aca="false">" "&amp;TRIM(SUBSTITUTE(SUBSTITUTE(SUBSTITUTE(SUBSTITUTE(SUBSTITUTE(SUBSTITUTE(SUBSTITUTE(SUBSTITUTE(SUBSTITUTE(SUBSTITUTE(SUBSTITUTE(SUBSTITUTE(SUBSTITUTE(SUBSTITUTE(SUBSTITUTE(SUBSTITUTE(SUBSTITUTE(SUBSTITUTE(SUBSTITUTE(SUBSTITUTE(SUBSTITUTE(SUBSTITUTE(SUBSTITUTE(SUBSTITUTE(LOWER(V353&amp;""),CHAR(10)," "),CHAR(13)," "),CHAR(9)," "),CHAR(160)," "),"."," "),","," "),"-"," "),"/"," "),"("," "),")"," "),":"," "),";"," "),"_"," "),"–"," "),"?"," "),"!"," "),"*"," "),"["," "),"]"," "),"'"," "),"#"," "),"+"," "),"&amp;"," "),"\"," "))&amp;" "</f>
        <v>  </v>
      </c>
      <c r="BD353" s="61" t="str">
        <f aca="false">" "&amp;TRIM(SUBSTITUTE(SUBSTITUTE(SUBSTITUTE(SUBSTITUTE(SUBSTITUTE(SUBSTITUTE(SUBSTITUTE(SUBSTITUTE(SUBSTITUTE(SUBSTITUTE(SUBSTITUTE(SUBSTITUTE(SUBSTITUTE(SUBSTITUTE(SUBSTITUTE(SUBSTITUTE(SUBSTITUTE(SUBSTITUTE(SUBSTITUTE(SUBSTITUTE(SUBSTITUTE(SUBSTITUTE(SUBSTITUTE(SUBSTITUTE(LOWER(Z353&amp;""),CHAR(10)," "),CHAR(13)," "),CHAR(9)," "),CHAR(160)," "),"."," "),","," "),"-"," "),"/"," "),"("," "),")"," "),":"," "),";"," "),"_"," "),"–"," "),"?"," "),"!"," "),"*"," "),"["," "),"]"," "),"'"," "),"#"," "),"+"," "),"&amp;"," "),"\"," "))&amp;" "</f>
        <v>  </v>
      </c>
      <c r="BE353" s="61" t="str">
        <f aca="false">" "&amp;TRIM(SUBSTITUTE(SUBSTITUTE(SUBSTITUTE(SUBSTITUTE(SUBSTITUTE(SUBSTITUTE(SUBSTITUTE(SUBSTITUTE(SUBSTITUTE(SUBSTITUTE(SUBSTITUTE(SUBSTITUTE(SUBSTITUTE(SUBSTITUTE(SUBSTITUTE(SUBSTITUTE(SUBSTITUTE(SUBSTITUTE(SUBSTITUTE(SUBSTITUTE(SUBSTITUTE(SUBSTITUTE(SUBSTITUTE(SUBSTITUTE(LOWER(W353&amp;""),CHAR(10)," "),CHAR(13)," "),CHAR(9)," "),CHAR(160)," "),"."," "),","," "),"-"," "),"/"," "),"("," "),")"," "),":"," "),";"," "),"_"," "),"–"," "),"?"," "),"!"," "),"*"," "),"["," "),"]"," "),"'"," "),"#"," "),"+"," "),"&amp;"," "),"\"," "))&amp;" "</f>
        <v>  </v>
      </c>
      <c r="BF353" s="61" t="str">
        <f aca="false">" "&amp;TRIM(SUBSTITUTE(SUBSTITUTE(SUBSTITUTE(SUBSTITUTE(SUBSTITUTE(SUBSTITUTE(SUBSTITUTE(SUBSTITUTE(SUBSTITUTE(SUBSTITUTE(SUBSTITUTE(SUBSTITUTE(SUBSTITUTE(SUBSTITUTE(SUBSTITUTE(SUBSTITUTE(SUBSTITUTE(SUBSTITUTE(SUBSTITUTE(SUBSTITUTE(SUBSTITUTE(SUBSTITUTE(SUBSTITUTE(SUBSTITUTE(LOWER(AC353&amp;""),CHAR(10)," "),CHAR(13)," "),CHAR(9)," "),CHAR(160)," "),"."," "),","," "),"-"," "),"/"," "),"("," "),")"," "),":"," "),";"," "),"_"," "),"–"," "),"?"," "),"!"," "),"*"," "),"["," "),"]"," "),"'"," "),"#"," "),"+"," "),"&amp;"," "),"\"," "))&amp;" "</f>
        <v>  </v>
      </c>
      <c r="BG353" s="61" t="n">
        <f aca="false">IFERROR(IF(AND(TRIM(U353)="Pass",SUMPRODUCT((LEN(BC353)-LEN(SUBSTITUTE(BC353," "&amp;L_ResultBad&amp;" "," ")))/(LEN(L_ResultBad)+1))&gt;SUMPRODUCT((LEN(BC353)-LEN(SUBSTITUTE(BC353," "&amp;L_NegPhrase&amp;" "," ")))/(LEN(L_NegPhrase)+1))),1,0),0)</f>
        <v>0</v>
      </c>
      <c r="BH353" s="61" t="n">
        <f aca="false">IFERROR(IF(SUMPRODUCT((LEN(BC353)-LEN(SUBSTITUTE(BC353," "&amp;L_Pending&amp;" "," ")))/(LEN(L_Pending)+1))&gt;SUMPRODUCT((LEN(BC353)-LEN(SUBSTITUTE(BC353," "&amp;L_PendNeg&amp;" "," ")))/(LEN(L_PendNeg)+1)),1,0),1)</f>
        <v>0</v>
      </c>
      <c r="BI353" s="61" t="n">
        <f aca="false">IFERROR(IF(SUMPRODUCT((LEN(BD353)-LEN(SUBSTITUTE(BD353," "&amp;L_PendStrict&amp;" "," ")))/(LEN(L_PendStrict)+1))&gt;SUMPRODUCT((LEN(BD353)-LEN(SUBSTITUTE(BD353," "&amp;L_PendNeg&amp;" "," ")))/(LEN(L_PendNeg)+1)),1,0),1)</f>
        <v>0</v>
      </c>
      <c r="BJ353" s="61" t="n">
        <f aca="false">IFERROR(IF(SUMPRODUCT((LEN(BE353)-LEN(SUBSTITUTE(BE353," "&amp;L_Pending&amp;" "," ")))/(LEN(L_Pending)+1))&gt;SUMPRODUCT((LEN(BE353)-LEN(SUBSTITUTE(BE353," "&amp;L_PendNeg&amp;" "," ")))/(LEN(L_PendNeg)+1)),1,0),1)</f>
        <v>0</v>
      </c>
      <c r="BK353" s="61" t="n">
        <f aca="false">IFERROR(IF(SUMPRODUCT((LEN(BF353)-LEN(SUBSTITUTE(BF353," "&amp;L_PendStrict&amp;" "," ")))/(LEN(L_PendStrict)+1))&gt;SUMPRODUCT((LEN(BF353)-LEN(SUBSTITUTE(BF353," "&amp;L_PendNeg&amp;" "," ")))/(LEN(L_PendNeg)+1)),1,0),1)</f>
        <v>0</v>
      </c>
      <c r="BL353" s="61" t="n">
        <f aca="false">IF(ISNA(MATCH(TRIM(S353),L_EvidenceType,0)),0,BZ353)</f>
        <v>0</v>
      </c>
      <c r="BM353" s="61" t="str">
        <f aca="false">SUBSTITUTE(SUBSTITUTE(SUBSTITUTE(SUBSTITUTE(SUBSTITUTE(SUBSTITUTE(SUBSTITUTE(SUBSTITUTE(SUBSTITUTE(LOWER(Z353&amp;""),"1","0"),"2","0"),"3","0"),"4","0"),"5","0"),"6","0"),"7","0"),"8","0"),"9","0")</f>
        <v/>
      </c>
      <c r="BN353" s="61" t="str">
        <f aca="false">SUBSTITUTE(SUBSTITUTE(SUBSTITUTE(SUBSTITUTE(SUBSTITUTE(SUBSTITUTE(SUBSTITUTE(SUBSTITUTE(SUBSTITUTE(SUBSTITUTE(SUBSTITUTE(SUBSTITUTE(SUBSTITUTE(SUBSTITUTE(SUBSTITUTE(SUBSTITUTE(SUBSTITUTE(SUBSTITUTE(SUBSTITUTE(SUBSTITUTE(SUBSTITUTE(SUBSTITUTE(SUBSTITUTE(SUBSTITUTE(SUBSTITUTE(BM353,"b","a"),"c","a"),"d","a"),"e","a"),"f","a"),"g","a"),"h","a"),"i","a"),"j","a"),"k","a"),"l","a"),"m","a"),"n","a"),"o","a"),"p","a"),"q","a"),"r","a"),"s","a"),"t","a"),"u","a"),"v","a"),"w","a"),"x","a"),"y","a"),"z","a")</f>
        <v/>
      </c>
      <c r="BO353" s="61" t="str">
        <f aca="false">SUBSTITUTE(SUBSTITUTE(SUBSTITUTE(SUBSTITUTE(SUBSTITUTE(SUBSTITUTE(SUBSTITUTE(SUBSTITUTE(SUBSTITUTE(LOWER(W353&amp;""),"1","0"),"2","0"),"3","0"),"4","0"),"5","0"),"6","0"),"7","0"),"8","0"),"9","0")</f>
        <v/>
      </c>
      <c r="BP353" s="61" t="str">
        <f aca="false">SUBSTITUTE(SUBSTITUTE(SUBSTITUTE(SUBSTITUTE(SUBSTITUTE(SUBSTITUTE(SUBSTITUTE(SUBSTITUTE(SUBSTITUTE(SUBSTITUTE(SUBSTITUTE(SUBSTITUTE(SUBSTITUTE(SUBSTITUTE(SUBSTITUTE(SUBSTITUTE(SUBSTITUTE(SUBSTITUTE(SUBSTITUTE(SUBSTITUTE(SUBSTITUTE(SUBSTITUTE(SUBSTITUTE(SUBSTITUTE(SUBSTITUTE(BO353,"b","a"),"c","a"),"d","a"),"e","a"),"f","a"),"g","a"),"h","a"),"i","a"),"j","a"),"k","a"),"l","a"),"m","a"),"n","a"),"o","a"),"p","a"),"q","a"),"r","a"),"s","a"),"t","a"),"u","a"),"v","a"),"w","a"),"x","a"),"y","a"),"z","a")</f>
        <v/>
      </c>
      <c r="BQ353" s="61" t="n">
        <f aca="false">IFERROR(IF(AND(ISERROR(SEARCH(" mh"," "&amp;LOWER(W353))),ISNA(MATCH(LEFT(TRIM(BP353),255),{"0000a","000a","00a","0000aa","000aa","00aa","0aa","0000aaa","000aaa","00a00","0a00","0000-0000","00:00","a00","a0","00.00.0000","00/00/0000","00-00-0000","0000-00-00","0000/00/00","0000.00.00","00.00.00","00/00/00","00-00-00","0.00.0000","0/00/0000","0-00-0000"},0)),ISNA(MATCH(LEFT(TRIM(CA353),255),{"0000a","000a","00a","0000aa","000aa","00aa","0aa","0000aaa","000aaa","00a00","0a00","0000-0000","00:00","a00","a0","00.00.0000","00/00/0000","00-00-0000","0000-00-00","0000/00/00","0000.00.00","00.00.00","00/00/00","00-00-00","0.00.0000","0/00/0000","0-00-0000"},0)),LEN(CB353)&gt;=3,NOT(OR(SUBSTITUTE(CB353,"0","")="",AND(LEN(CB353)&gt;=4,CB353=REPT(LEFT(CB353),LEN(CB353))),ISNUMBER(MATCH(CB353,{"123","1234","12345","123456","1234567","12345678","0123","01234","012345","98765","987654","54321"},0)),AND(LEN(CB353)=8,LEFT(CB353,3)="202"))),OR(AND((LEN(CA353)-LEN(SUBSTITUTE(CA353,"a","")))&gt;=1,SUMPRODUCT(--ISNUMBER(SEARCH({"a0","a-0","a_0","a/0","a.0","a#0","0a","0-a","0_a","0/a"},BP353)))&gt;0),ISNUMBER(SEARCH("000000",BP353)))),1,0),0)</f>
        <v>0</v>
      </c>
      <c r="BR353" s="61" t="n">
        <f aca="false">IFERROR(LEN(SUBSTITUTE(CC353," ",""))-SUMPRODUCT((LEN(CC353)-LEN(SUBSTITUTE(CC353," "&amp;L_Role&amp;" "," ")))/(LEN(L_Role)+1)*LEN(L_Role)),0)</f>
        <v>0</v>
      </c>
      <c r="BS353" s="61" t="n">
        <f aca="false">IFERROR(LEN(SUBSTITUTE(CD353," ",""))-SUMPRODUCT((LEN(CD353)-LEN(SUBSTITUTE(CD353," "&amp;L_Role&amp;" "," ")))/(LEN(L_Role)+1)*LEN(L_Role)),0)</f>
        <v>0</v>
      </c>
      <c r="BT3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353,"revision",""),"version",""),"jan",""),"feb",""),"mar",""),"apr",""),"may",""),"jun",""),"jul",""),"aug",""),"sep",""),"oct",""),"nov",""),"dec",""),"utc",""),"gmt",""),"myt",""),"bst",""),"rev",""),"ver",""),"b","a"),"c","a"),"d","a"),"e","a"),"f","a"),"g","a"),"h","a"),"i","a"),"j","a"),"k","a"),"l","a"),"m","a"),"n","a"),"o","a"),"p","a"),"q","a"),"r","a"),"s","a"),"t","a"),"u","a"),"v","a"),"w","a"),"x","a"),"y","a"),"z","a")</f>
        <v/>
      </c>
      <c r="BU353" s="61" t="str">
        <f aca="false">SUBSTITUTE(SUBSTITUTE(SUBSTITUTE(SUBSTITUTE(SUBSTITUTE(SUBSTITUTE(SUBSTITUTE(SUBSTITUTE(SUBSTITUTE(SUBSTITUTE(LEFT(BM353,FIND("0",BM353&amp;"0")-1),"-",""),"_",""),"/",""),".",""),"#",""),"\\",""),":","")," ",""),"(",""),")","")</f>
        <v/>
      </c>
      <c r="BV353" s="61" t="n">
        <f aca="false">IFERROR(IF(OR(SUMPRODUCT((LEN(BC353)-LEN(SUBSTITUTE(BC353," "&amp;L_NotLoaded&amp;" "," ")))/(LEN(L_NotLoaded)+1))&gt;SUMPRODUCT((LEN(BC353)-LEN(SUBSTITUTE(BC353," "&amp;L_NotLoadedNeg&amp;" "," ")))/(LEN(L_NotLoadedNeg)+1)),SUMPRODUCT((LEN(BD353)-LEN(SUBSTITUTE(BD353," "&amp;L_NotLoaded&amp;" "," ")))/(LEN(L_NotLoaded)+1))&gt;SUMPRODUCT((LEN(BD353)-LEN(SUBSTITUTE(BD353," "&amp;L_NotLoadedNeg&amp;" "," ")))/(LEN(L_NotLoadedNeg)+1))),1,0),0)</f>
        <v>0</v>
      </c>
      <c r="BW3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353&amp;""),"a",""),"b",""),"c",""),"d",""),"e",""),"f",""),"g",""),"h",""),"i",""),"j",""),"k",""),"l",""),"m",""),"n",""),"o",""),"p",""),"q",""),"r",""),"s",""),"t",""),"u",""),"v",""),"w",""),"x",""),"y",""),"z",""),"-",""),"_",""),"/",""),".",""),"#",""),"\\",""),":","")," ",""),"(",""),")","")</f>
        <v/>
      </c>
      <c r="BX353" s="61" t="str">
        <f aca="false">SUBSTITUTE(SUBSTITUTE(SUBSTITUTE(SUBSTITUTE(SUBSTITUTE(SUBSTITUTE(SUBSTITUTE(SUBSTITUTE(SUBSTITUTE(SUBSTITUTE(SUBSTITUTE(BM353,"0",""),"-",""),"_",""),"/",""),".",""),"#",""),"\\",""),":","")," ",""),"(",""),")","")</f>
        <v/>
      </c>
      <c r="BY353" s="62" t="n">
        <f aca="false">IF(ISNUMBER(Flights!$AZ$14),MAX(Q353-UpliftWindowH/24,Flights!$AZ$14),Q353-UpliftWindowH/24)</f>
        <v>46306.90625</v>
      </c>
      <c r="BZ353" s="61" t="n">
        <f aca="false">IFERROR(IF(IF(TRIM(S353)="Link / file path",AND(LEN(TRIM(Z353))&gt;=5,SUMPRODUCT(--ISNUMBER(SEARCH({"http","www.","\\",":\",".pdf",".jpg",".jpeg",".png",".heic",".xls",".doc",".msg",".eml",".ppt",".txt",".zip"},Z353)))&gt;0),AND(ISERROR(FIND(" ",TRIM(Z353))),NOT(OR(SUMPRODUCT(--ISNUMBER(FIND({",",";","&amp;","+"},Z353)))&gt;0,SUMPRODUCT(--ISNUMBER(SEARCH({"0/aa","0\\aa"},BN353)))&gt;0)),NOT(SUMPRODUCT(--ISNUMBER(SEARCH({"http","www.","\\",":\",".pdf",".jpg",".jpeg",".png",".heic",".xls",".doc",".msg",".eml",".ppt",".txt",".zip"},Z353)))&gt;0),NOT(LOWER(TRIM(Z353))=LOWER(Flights!$F$14)),ISNA(MATCH(BU353,{"mh","rev","revision","ver","version","v","r","a","b","seat","tray","row","gate","bay","stand","page","pg","item","line","no","cart","galley","flight","flt","table","box","bag","oven","etd","eta","std","sta","atd","ata","qty","pax","x","time","tel","ph","mob","day","wk","week","utc","gmt","myt","lt"},0)),NOT(OR(ISNUMBER(MATCH(LEFT(BN353,255),{"0000a","000a","00a","0000aa","000aa","00aa","0aa","0000aaa","000aaa","00a00","0a00","0000-0000","00:00","a00","a0","00.00.0000","00/00/0000","00-00-0000","0000-00-00","0000/00/00","0000.00.00","00.00.00","00/00/00","00-00-00","0.00.0000","0/00/0000","0-00-0000"},0)),ISNUMBER(MATCH(LEFT(BT353,255),{"0000a","000a","00a","0000aa","000aa","00aa","0aa","0000aaa","000aaa","00a00","0a00","0000-0000","00:00","a00","a0","00.00.0000","00/00/0000","00-00-0000","0000-00-00","0000/00/00","0000.00.00","00.00.00","00/00/00","00-00-00","0.00.0000","0/00/0000","0-00-0000"},0)))),NOT(OR(AND(BW353&lt;&gt;"",SUBSTITUTE(BW353,"0","")=""),AND(LEN(BW353)&gt;=4,BW353=REPT(LEFT(BW353),LEN(BW353))),ISNUMBER(MATCH(BW353,{"123","1234","12345","123456","1234567","12345678","0123","01234","012345","98765","987654","54321"},0)),ISNUMBER(MATCH(BX353,{"x","xx","xxx","xxxx","xxxxx","abc","abcd","nil","na","nan","test","tbc","tba","tbd","dummy","sample","example","eg","zz","zzz","none","null","xyz","qwe","asd","id","ref"},0)),AND(LEN(BW353)=8,BX353="",OR(LEFT(BW353,3)="202",ISNUMBER(MATCH(RIGHT(BW353,4),{"2025","2026","2027"},0)))))),OR(AND((LEN(BT353)-LEN(SUBSTITUTE(BT353,"a","")))&gt;=1,(LEN(BN353)-LEN(SUBSTITUTE(BN353,"0","")))&gt;=2,SUMPRODUCT(--ISNUMBER(SEARCH({"a0","a-0","a_0","a/0","a.0","a#0","0a","0-a","0_a","0/a"},BN353)))&gt;0),AND((LEN(BN353)-LEN(SUBSTITUTE(BN353,"a","")))=0,(LEN(BN353)-LEN(SUBSTITUTE(BN353,"0","")))&gt;=5)))),1,0),0)</f>
        <v>0</v>
      </c>
      <c r="CA3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353,"revision",""),"version",""),"jan",""),"feb",""),"mar",""),"apr",""),"may",""),"jun",""),"jul",""),"aug",""),"sep",""),"oct",""),"nov",""),"dec",""),"utc",""),"gmt",""),"myt",""),"bst",""),"rev",""),"ver",""),"b","a"),"c","a"),"d","a"),"e","a"),"f","a"),"g","a"),"h","a"),"i","a"),"j","a"),"k","a"),"l","a"),"m","a"),"n","a"),"o","a"),"p","a"),"q","a"),"r","a"),"s","a"),"t","a"),"u","a"),"v","a"),"w","a"),"x","a"),"y","a"),"z","a")</f>
        <v/>
      </c>
      <c r="CB3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353&amp;""),"a",""),"b",""),"c",""),"d",""),"e",""),"f",""),"g",""),"h",""),"i",""),"j",""),"k",""),"l",""),"m",""),"n",""),"o",""),"p",""),"q",""),"r",""),"s",""),"t",""),"u",""),"v",""),"w",""),"x",""),"y",""),"z",""),"-",""),"_",""),"/",""),".",""),"#",""),"\\",""),":","")," ",""),"(",""),")","")</f>
        <v/>
      </c>
      <c r="CC353" s="0" t="str">
        <f aca="false">" "&amp;TRIM(SUBSTITUTE(SUBSTITUTE(SUBSTITUTE(SUBSTITUTE(SUBSTITUTE(SUBSTITUTE(SUBSTITUTE(SUBSTITUTE(SUBSTITUTE(SUBSTITUTE(SUBSTITUTE(SUBSTITUTE(SUBSTITUTE(SUBSTITUTE(SUBSTITUTE(SUBSTITUTE(SUBSTITUTE(SUBSTITUTE(SUBSTITUTE(SUBSTITUTE(SUBSTITUTE(SUBSTITUTE(SUBSTITUTE(SUBSTITUTE(LOWER(T353&amp;""),CHAR(10)," "),CHAR(13)," "),CHAR(9)," "),CHAR(160)," "),"."," "),","," "),"-"," "),"/"," "),"("," "),")"," "),":"," "),";"," "),"_"," "),"–"," "),"?"," "),"!"," "),"*"," "),"["," "),"]"," "),"'"," "),"#"," "),"+"," "),"&amp;"," "),"\"," "))&amp;" "</f>
        <v>  </v>
      </c>
      <c r="CD353" s="0" t="str">
        <f aca="false">" "&amp;TRIM(SUBSTITUTE(SUBSTITUTE(SUBSTITUTE(SUBSTITUTE(SUBSTITUTE(SUBSTITUTE(SUBSTITUTE(SUBSTITUTE(SUBSTITUTE(SUBSTITUTE(SUBSTITUTE(SUBSTITUTE(SUBSTITUTE(SUBSTITUTE(SUBSTITUTE(SUBSTITUTE(SUBSTITUTE(SUBSTITUTE(SUBSTITUTE(SUBSTITUTE(SUBSTITUTE(SUBSTITUTE(SUBSTITUTE(SUBSTITUTE(LOWER(AE353&amp;""),CHAR(10)," "),CHAR(13)," "),CHAR(9)," "),CHAR(160)," "),"."," "),","," "),"-"," "),"/"," "),"("," "),")"," "),":"," "),";"," "),"_"," "),"–"," "),"?"," "),"!"," "),"*"," "),"["," "),"]"," "),"'"," "),"#"," "),"+"," "),"&amp;"," "),"\"," "))&amp;" "</f>
        <v>  </v>
      </c>
      <c r="CE353" s="68" t="n">
        <f aca="false">IFERROR(IF(AND(LEN(AU353)&gt;0,LEN(AU353)=LEN(AX353),OR(TRIM(MID(SUBSTITUTE(TRIM(CC353)," ",REPT(" ",60)),1,60))="",ISNUMBER(SEARCH(" "&amp;TRIM(MID(SUBSTITUTE(TRIM(CC353)," ",REPT(" ",60)),1,60))&amp;" ",CD353))),OR(TRIM(MID(SUBSTITUTE(TRIM(CC353)," ",REPT(" ",60)),61,60))="",ISNUMBER(SEARCH(" "&amp;TRIM(MID(SUBSTITUTE(TRIM(CC353)," ",REPT(" ",60)),61,60))&amp;" ",CD353))),OR(TRIM(MID(SUBSTITUTE(TRIM(CC353)," ",REPT(" ",60)),121,60))="",ISNUMBER(SEARCH(" "&amp;TRIM(MID(SUBSTITUTE(TRIM(CC353)," ",REPT(" ",60)),121,60))&amp;" ",CD353)))),1,0),0)</f>
        <v>0</v>
      </c>
      <c r="CG353" s="68" t="n">
        <f aca="false">IFERROR(LEN(SUBSTITUTE(BF353," ",""))-SUMPRODUCT((LEN(BF353)-LEN(SUBSTITUTE(BF353," "&amp;L_NAFiller&amp;" "," ")))/(LEN(L_NAFiller)+1)*LEN(L_NAFiller)),0)</f>
        <v>0</v>
      </c>
    </row>
    <row r="354" customFormat="false" ht="39.75" hidden="false" customHeight="true" outlineLevel="0" collapsed="false">
      <c r="A354" s="57" t="s">
        <v>955</v>
      </c>
      <c r="B354" s="57" t="s">
        <v>251</v>
      </c>
      <c r="C354" s="57" t="str">
        <f aca="false">Flights!$F$14</f>
        <v>MH1140</v>
      </c>
      <c r="D354" s="58" t="n">
        <f aca="false">Flights!$D$14</f>
        <v>46307</v>
      </c>
      <c r="E354" s="57" t="str">
        <f aca="false">Flights!$G$14&amp;"-"&amp;Flights!$H$14</f>
        <v>KUL-PEN</v>
      </c>
      <c r="F354" s="57" t="str">
        <f aca="false">Flights!$K$14</f>
        <v>BC</v>
      </c>
      <c r="G354" s="57" t="s">
        <v>459</v>
      </c>
      <c r="H354" s="57" t="s">
        <v>460</v>
      </c>
      <c r="I354" s="57" t="s">
        <v>499</v>
      </c>
      <c r="J354" s="57" t="s">
        <v>551</v>
      </c>
      <c r="K354" s="67" t="s">
        <v>501</v>
      </c>
      <c r="L354" s="67" t="s">
        <v>943</v>
      </c>
      <c r="M354" s="67" t="s">
        <v>451</v>
      </c>
      <c r="N354" s="67" t="s">
        <v>383</v>
      </c>
      <c r="O354" s="67"/>
      <c r="P354" s="57" t="s">
        <v>187</v>
      </c>
      <c r="Q354" s="59" t="n">
        <f aca="false">ROUND((Flights!$AF$14)*1440,0)/1440</f>
        <v>46307.15625</v>
      </c>
      <c r="R354" s="59" t="n">
        <f aca="false">Q354+(IF(AND(INDEX(TZ_DSTS,MATCH(P354,TZ_STN,0))&lt;&gt;"",Q354&gt;=INDEX(TZ_DSTS,MATCH(P354,TZ_STN,0)),Q354&lt;INDEX(TZ_DSTE,MATCH(P354,TZ_STN,0))),INDEX(TZ_DST,MATCH(P354,TZ_STN,0)),INDEX(TZ_STD,MATCH(P354,TZ_STN,0))))/24</f>
        <v>46307.4895833333</v>
      </c>
      <c r="S354" s="60"/>
      <c r="T354" s="60"/>
      <c r="U354" s="60"/>
      <c r="V354" s="60"/>
      <c r="W354" s="61"/>
      <c r="X354" s="60"/>
      <c r="Y354" s="60"/>
      <c r="Z354" s="60"/>
      <c r="AA354" s="60"/>
      <c r="AB354" s="60"/>
      <c r="AC354" s="60"/>
      <c r="AD354" s="66"/>
      <c r="AE354" s="60"/>
      <c r="AF354" s="61" t="str">
        <f aca="false">IF(AND(ISNUMBER(X354),ISNUMBER(Y354)),Y354-X354,"")</f>
        <v/>
      </c>
      <c r="AG354" s="62" t="str">
        <f aca="false">IF(ISNUMBER(AD354),AD354-(IF(AND(INDEX(TZ_DSTS,MATCH(P354,TZ_STN,0))&lt;&gt;"",(AD354-INDEX(TZ_STD,MATCH(P354,TZ_STN,0))/24)&gt;=INDEX(TZ_DSTS,MATCH(P354,TZ_STN,0)),(AD354-INDEX(TZ_STD,MATCH(P354,TZ_STN,0))/24)&lt;INDEX(TZ_DSTE,MATCH(P354,TZ_STN,0))),INDEX(TZ_DST,MATCH(P354,TZ_STN,0)),INDEX(TZ_STD,MATCH(P354,TZ_STN,0))))/24,"")</f>
        <v/>
      </c>
      <c r="AH354" s="65" t="str">
        <f aca="false">IFERROR(IF(N354="N/A – rule",IF(OR(TRIM(U354)="",TRIM(U354)="N/A",TRIM(U354)="Not started"),"N/A – RULE","INVALID – this check does not apply to this aircraft: clear the status (or correct the fleet on Flights)"),IF(TRIM(U354)="N/A",IF(AT354=0,"INVALID – N/A not permitted for this check",IF(AND(TRIM(AB354)&lt;&gt;"",TRIM(AB354)&lt;&gt;"Closed"),"INVALID – corrective action still open",IF(AND(NOT(OR(LEN(AZ354)&lt;15,ISNUMBER(MATCH(AZ354,L_Placeholder,0)))),BK354=0,CG354&gt;=8,NOT(OR(LEN(AU354)&lt;2,ISNUMBER(MATCH(AU354,L_Placeholder,0)))),BR354&gt;=3,NOT(OR(LEN(AX354)&lt;2,ISNUMBER(MATCH(AX354,L_Placeholder,0)))),BS354&gt;=3,TRIM(AE354)&lt;&gt;TRIM(T354),AX354&lt;&gt;AU354,CE354=0),"N/A – JUSTIFIED","INVALID – N/A needs a real, settled reason (not 'not applicable' / 'as above' / TBC), a named PIC and a different named verifier"))),IF(OR(TRIM(U354)="Pass",TRIM(U354)="Pass after CA"),IF(NOT(ISNUMBER(AD354)),"INVALID – completion time missing",IF(OR(OR(LEN(AU354)&lt;2,ISNUMBER(MATCH(AU354,L_Placeholder,0))),BR354&lt;3),"INVALID – PIC missing or not a named person (a role such as QA / CSM is not a name)",IF(OR(LEN(AV354)&lt;2,ISNUMBER(MATCH(AV354,L_Placeholder,0))),"INVALID – result / assessment missing",IF(OR(OR(LEN(AW354)&lt;3,ISNUMBER(MATCH(AW354,L_Placeholder,0))),SUMPRODUCT(--ISNUMBER(SEARCH(" "&amp;L_EvidencePhrase&amp;" ",BD354)))&gt;0,BI354=1),"INVALID – evidence missing, placeholder or not yet on file",IF(ISNA(MATCH(TRIM(S354),L_EvidenceType,0)),"INVALID – choose the evidence type from the list (column S)",IF(BL354=0,"INVALID – evidence ID must be the record's own ID only (e.g. SF-2210, IMG_2231, 1045521); a link / file name needs type 'Link / file path'",IF(OR(OR(LEN(AX354)&lt;2,ISNUMBER(MATCH(AX354,L_Placeholder,0))),BS354&lt;3),"INVALID – verifier missing or not a named person (a role such as QA / CSM is not a name)",IF(OR(AX354=AU354,CE354=1,AND(LEN(AU354)&gt;=4,ISNUMBER(SEARCH(AU354,AX354))),AND(LEN(AX354)&gt;=4,ISNUMBER(SEARCH(AX354,AU354)))),"INVALID – verifier must be a different, named person (not the PIC or a role)",IF(BH354=1,"INVALID – result not yet available (awaiting / TBC)",IF(BG354=1,"INVALID – result describes a problem: record Fail, then Pass after CA (or reword if it is not a problem)",IF(BV354=1,"INVALID – wording says not on board: an on-board confirmation needs the item loaded",IF(AND(AQ354=1,OR(OR(LEN(AY354)&lt;3,ISNUMBER(MATCH(AY354,L_Placeholder,0))),BJ354=1,BQ354=0)),"INVALID – batch ID missing, placeholder or not an ID (e.g. PASB-261008-BC-017)",IF(AND(AR354=1,OR(NOT(ISNUMBER(X354)),NOT(ISNUMBER(Y354)))),"INVALID – expected/actual qty missing",IF(AND(AR354=1,OR(X354&lt;=0,Y354&lt;0)),"INVALID – expected qty must be above 0 and actual not negative",IF(AH344="N/A – JUSTIFIED","INVALID – preparation row F10-T12-13 is N/A",IF(AND(AR354=1,ISNUMBER(X344),X354&lt;&gt;X344,TRIM(U354)&lt;&gt;"Pass after CA"),"INVALID – expected qty differs from preparation check F10-T12-13: record the load change as a corrective action (Pass after CA)",IF(BB354&lt;&gt;"",BB354,IF(AND(AS354=1,Documents!$J$14&lt;&gt;"ON FILE"),"INVALID – GLD not on file (Documents sheet)",IF(AND(AS354=2,Documents!$O$14&lt;&gt;"ON FILE"),"INVALID – menu checklist not on file (Documents sheet)",IF(AND(AS354=3,NOT(ISNUMBER(Flights!$AX$14))),"INVALID – enter carrying flight KUL departure (Flights AX)",IF(AND(AS354=3,OR(Flights!$AZ$14&gt;Flights!$AA$14,Flights!$AX$14&lt;Flights!$AA$14-3)),"INVALID – carrying flight (Flights AX) cannot arrive before this leg's STD, or is over 3 days early",IF(AG354&gt;AsOfUTC,"INVALID – completion time is in the future",IF(AND(ISNUMBER(BY354),AG354&lt;BY354),IF(H354="Physical uplift","INVALID – before uplift window (cannot confirm loading)","INVALID – before valid window"),IF(AG354&gt;Flights!$AA$14,"INVALID – completed after departure (cannot establish readiness)",IF(AND(H354="Preparation",AG354&gt;=IF(ISNUMBER(Flights!$BA$14),MIN(Flights!$BA$14,Flights!$AA$14),Flights!$AA$14)),"INVALID – completed after loading / departure (cannot establish readiness)",IF(AND(H354="Physical uplift",AG354&gt;Q354),"INVALID – recorded after the loading flight departed",IF(AG354&gt;Q354,"COMPLETE – LATE","COMPLETE"))))))))))))))))))))))))))),IF(TRIM(U354)="Fail","FAIL – DISCREPANCY",IF(AND(TRIM(U354)&lt;&gt;"",TRIM(U354)&lt;&gt;"Not started",TRIM(U354)&lt;&gt;"In progress"),"INVALID – unrecognised status (use the list)",IF(AsOfUTC&gt;Q354,"OVERDUE",IF(N354="Clarification required","OPEN – CLARIFICATION","OPEN"))))))),"INVALID – error value in an input cell")</f>
        <v>OPEN</v>
      </c>
      <c r="AI354" s="61" t="n">
        <f aca="false">IF(OR(AH354="N/A – RULE",AH354="N/A – JUSTIFIED"),0,1)</f>
        <v>1</v>
      </c>
      <c r="AJ354" s="61" t="n">
        <f aca="false">IF(LEFT(AH354,8)="COMPLETE",1,0)</f>
        <v>0</v>
      </c>
      <c r="AK354" s="61" t="n">
        <f aca="false">IF(AND(AI354=1,AJ354=0,AsOfUTC&gt;Q354),1,0)</f>
        <v>0</v>
      </c>
      <c r="AL354" s="61" t="n">
        <f aca="false">IFERROR(IF(AND(AI354=1,OR(TRIM(U354)="Fail",AND(TRIM(AB354)&lt;&gt;"",TRIM(AB354)&lt;&gt;"Closed"),AND(ISNUMBER(AF354),AF354&lt;&gt;0,TRIM(U354)&lt;&gt;"Pass after CA"))),1,0),1)</f>
        <v>0</v>
      </c>
      <c r="AM354" s="61" t="n">
        <f aca="false">IF(LEFT(AH354,7)="INVALID",1,0)</f>
        <v>0</v>
      </c>
      <c r="AN354" s="61" t="n">
        <f aca="false">IF(AND(N354="Clarification required",AI354=1,AJ354=0),1,0)</f>
        <v>0</v>
      </c>
      <c r="AO354" s="61" t="str">
        <f aca="false">IF(AK354=1,SUM(AK$5:AK354),"")</f>
        <v/>
      </c>
      <c r="AP354" s="61" t="str">
        <f aca="false">IF(AL354=1,SUM(AL$5:AL354),"")</f>
        <v/>
      </c>
      <c r="AQ354" s="61" t="n">
        <v>0</v>
      </c>
      <c r="AR354" s="61" t="n">
        <v>0</v>
      </c>
      <c r="AS354" s="61" t="n">
        <v>0</v>
      </c>
      <c r="AT354" s="61" t="n">
        <v>0</v>
      </c>
      <c r="AU354" s="61" t="str">
        <f aca="false">SUBSTITUTE(SUBSTITUTE(SUBSTITUTE(SUBSTITUTE(SUBSTITUTE(SUBSTITUTE(SUBSTITUTE(SUBSTITUTE(SUBSTITUTE(SUBSTITUTE(SUBSTITUTE(SUBSTITUTE(SUBSTITUTE(SUBSTITUTE(SUBSTITUTE(SUBSTITUTE(LOWER(T354&amp;""),CHAR(10),""),CHAR(13),""),CHAR(9),""),CHAR(160),"")," ",""),".",""),"-",""),"/",""),"?",""),"_",""),",",""),"[",""),"]",""),"(",""),")",""),"*","")</f>
        <v/>
      </c>
      <c r="AV354" s="61" t="str">
        <f aca="false">SUBSTITUTE(SUBSTITUTE(SUBSTITUTE(SUBSTITUTE(SUBSTITUTE(SUBSTITUTE(SUBSTITUTE(SUBSTITUTE(SUBSTITUTE(SUBSTITUTE(SUBSTITUTE(SUBSTITUTE(SUBSTITUTE(SUBSTITUTE(SUBSTITUTE(SUBSTITUTE(LOWER(V354&amp;""),CHAR(10),""),CHAR(13),""),CHAR(9),""),CHAR(160),"")," ",""),".",""),"-",""),"/",""),"?",""),"_",""),",",""),"[",""),"]",""),"(",""),")",""),"*","")</f>
        <v/>
      </c>
      <c r="AW354" s="61" t="str">
        <f aca="false">SUBSTITUTE(SUBSTITUTE(SUBSTITUTE(SUBSTITUTE(SUBSTITUTE(SUBSTITUTE(SUBSTITUTE(SUBSTITUTE(SUBSTITUTE(SUBSTITUTE(SUBSTITUTE(SUBSTITUTE(SUBSTITUTE(SUBSTITUTE(SUBSTITUTE(SUBSTITUTE(LOWER(Z354&amp;""),CHAR(10),""),CHAR(13),""),CHAR(9),""),CHAR(160),"")," ",""),".",""),"-",""),"/",""),"?",""),"_",""),",",""),"[",""),"]",""),"(",""),")",""),"*","")</f>
        <v/>
      </c>
      <c r="AX354" s="61" t="str">
        <f aca="false">SUBSTITUTE(SUBSTITUTE(SUBSTITUTE(SUBSTITUTE(SUBSTITUTE(SUBSTITUTE(SUBSTITUTE(SUBSTITUTE(SUBSTITUTE(SUBSTITUTE(SUBSTITUTE(SUBSTITUTE(SUBSTITUTE(SUBSTITUTE(SUBSTITUTE(SUBSTITUTE(LOWER(AE354&amp;""),CHAR(10),""),CHAR(13),""),CHAR(9),""),CHAR(160),"")," ",""),".",""),"-",""),"/",""),"?",""),"_",""),",",""),"[",""),"]",""),"(",""),")",""),"*","")</f>
        <v/>
      </c>
      <c r="AY354" s="61" t="str">
        <f aca="false">SUBSTITUTE(SUBSTITUTE(SUBSTITUTE(SUBSTITUTE(SUBSTITUTE(SUBSTITUTE(SUBSTITUTE(SUBSTITUTE(SUBSTITUTE(SUBSTITUTE(SUBSTITUTE(SUBSTITUTE(SUBSTITUTE(SUBSTITUTE(SUBSTITUTE(SUBSTITUTE(LOWER(W354&amp;""),CHAR(10),""),CHAR(13),""),CHAR(9),""),CHAR(160),"")," ",""),".",""),"-",""),"/",""),"?",""),"_",""),",",""),"[",""),"]",""),"(",""),")",""),"*","")</f>
        <v/>
      </c>
      <c r="AZ354" s="61" t="str">
        <f aca="false">SUBSTITUTE(SUBSTITUTE(SUBSTITUTE(SUBSTITUTE(SUBSTITUTE(SUBSTITUTE(SUBSTITUTE(SUBSTITUTE(SUBSTITUTE(SUBSTITUTE(SUBSTITUTE(SUBSTITUTE(SUBSTITUTE(SUBSTITUTE(SUBSTITUTE(SUBSTITUTE(LOWER(AC354&amp;""),CHAR(10),""),CHAR(13),""),CHAR(9),""),CHAR(160),"")," ",""),".",""),"-",""),"/",""),"?",""),"_",""),",",""),"[",""),"]",""),"(",""),")",""),"*","")</f>
        <v/>
      </c>
      <c r="BA354" s="61" t="str">
        <f aca="false">SUBSTITUTE(SUBSTITUTE(SUBSTITUTE(SUBSTITUTE(SUBSTITUTE(SUBSTITUTE(SUBSTITUTE(SUBSTITUTE(SUBSTITUTE(SUBSTITUTE(SUBSTITUTE(SUBSTITUTE(SUBSTITUTE(SUBSTITUTE(SUBSTITUTE(SUBSTITUTE(LOWER(AA354&amp;""),CHAR(10),""),CHAR(13),""),CHAR(9),""),CHAR(160),"")," ",""),".",""),"-",""),"/",""),"?",""),"_",""),",",""),"[",""),"]",""),"(",""),")",""),"*","")</f>
        <v/>
      </c>
      <c r="BB354" s="61" t="str">
        <f aca="false">IF(AND(TRIM(U354)="Pass",ISNUMBER(AF354)),IF(AF354&lt;&gt;0,"INVALID – qty variance: use Fail or Pass after CA",""),"")&amp;IF(AND(TRIM(U354)="Pass after CA",ISNUMBER(AF354)),IF(AF354&lt;&gt;0,"INVALID – after the corrective action the actual qty must equal expected (update Actual)",""),"")&amp;IF(AND(TRIM(U354)="Pass",TRIM(AB354)&lt;&gt;"",TRIM(AB354)&lt;&gt;"Closed"),"INVALID – corrective action not closed: use Fail, then Pass after CA","")&amp;IF(AND(LEN(BA354)&gt;=2,ISNA(MATCH(LEFT(BA354,255),L_Placeholder,0)),TRIM(AB354)=""),"INVALID – CA status missing for the recorded corrective action","")&amp;IF(AND(TRIM(U354)="Pass after CA",OR(OR(LEN(BA354)&lt;5,ISNUMBER(MATCH(BA354,L_Placeholder,0))),TRIM(AB354)&lt;&gt;"Closed")),"INVALID – corrective action not recorded/closed","")</f>
        <v/>
      </c>
      <c r="BC354" s="61" t="str">
        <f aca="false">" "&amp;TRIM(SUBSTITUTE(SUBSTITUTE(SUBSTITUTE(SUBSTITUTE(SUBSTITUTE(SUBSTITUTE(SUBSTITUTE(SUBSTITUTE(SUBSTITUTE(SUBSTITUTE(SUBSTITUTE(SUBSTITUTE(SUBSTITUTE(SUBSTITUTE(SUBSTITUTE(SUBSTITUTE(SUBSTITUTE(SUBSTITUTE(SUBSTITUTE(SUBSTITUTE(SUBSTITUTE(SUBSTITUTE(SUBSTITUTE(SUBSTITUTE(LOWER(V354&amp;""),CHAR(10)," "),CHAR(13)," "),CHAR(9)," "),CHAR(160)," "),"."," "),","," "),"-"," "),"/"," "),"("," "),")"," "),":"," "),";"," "),"_"," "),"–"," "),"?"," "),"!"," "),"*"," "),"["," "),"]"," "),"'"," "),"#"," "),"+"," "),"&amp;"," "),"\"," "))&amp;" "</f>
        <v>  </v>
      </c>
      <c r="BD354" s="61" t="str">
        <f aca="false">" "&amp;TRIM(SUBSTITUTE(SUBSTITUTE(SUBSTITUTE(SUBSTITUTE(SUBSTITUTE(SUBSTITUTE(SUBSTITUTE(SUBSTITUTE(SUBSTITUTE(SUBSTITUTE(SUBSTITUTE(SUBSTITUTE(SUBSTITUTE(SUBSTITUTE(SUBSTITUTE(SUBSTITUTE(SUBSTITUTE(SUBSTITUTE(SUBSTITUTE(SUBSTITUTE(SUBSTITUTE(SUBSTITUTE(SUBSTITUTE(SUBSTITUTE(LOWER(Z354&amp;""),CHAR(10)," "),CHAR(13)," "),CHAR(9)," "),CHAR(160)," "),"."," "),","," "),"-"," "),"/"," "),"("," "),")"," "),":"," "),";"," "),"_"," "),"–"," "),"?"," "),"!"," "),"*"," "),"["," "),"]"," "),"'"," "),"#"," "),"+"," "),"&amp;"," "),"\"," "))&amp;" "</f>
        <v>  </v>
      </c>
      <c r="BE354" s="61" t="str">
        <f aca="false">" "&amp;TRIM(SUBSTITUTE(SUBSTITUTE(SUBSTITUTE(SUBSTITUTE(SUBSTITUTE(SUBSTITUTE(SUBSTITUTE(SUBSTITUTE(SUBSTITUTE(SUBSTITUTE(SUBSTITUTE(SUBSTITUTE(SUBSTITUTE(SUBSTITUTE(SUBSTITUTE(SUBSTITUTE(SUBSTITUTE(SUBSTITUTE(SUBSTITUTE(SUBSTITUTE(SUBSTITUTE(SUBSTITUTE(SUBSTITUTE(SUBSTITUTE(LOWER(W354&amp;""),CHAR(10)," "),CHAR(13)," "),CHAR(9)," "),CHAR(160)," "),"."," "),","," "),"-"," "),"/"," "),"("," "),")"," "),":"," "),";"," "),"_"," "),"–"," "),"?"," "),"!"," "),"*"," "),"["," "),"]"," "),"'"," "),"#"," "),"+"," "),"&amp;"," "),"\"," "))&amp;" "</f>
        <v>  </v>
      </c>
      <c r="BF354" s="61" t="str">
        <f aca="false">" "&amp;TRIM(SUBSTITUTE(SUBSTITUTE(SUBSTITUTE(SUBSTITUTE(SUBSTITUTE(SUBSTITUTE(SUBSTITUTE(SUBSTITUTE(SUBSTITUTE(SUBSTITUTE(SUBSTITUTE(SUBSTITUTE(SUBSTITUTE(SUBSTITUTE(SUBSTITUTE(SUBSTITUTE(SUBSTITUTE(SUBSTITUTE(SUBSTITUTE(SUBSTITUTE(SUBSTITUTE(SUBSTITUTE(SUBSTITUTE(SUBSTITUTE(LOWER(AC354&amp;""),CHAR(10)," "),CHAR(13)," "),CHAR(9)," "),CHAR(160)," "),"."," "),","," "),"-"," "),"/"," "),"("," "),")"," "),":"," "),";"," "),"_"," "),"–"," "),"?"," "),"!"," "),"*"," "),"["," "),"]"," "),"'"," "),"#"," "),"+"," "),"&amp;"," "),"\"," "))&amp;" "</f>
        <v>  </v>
      </c>
      <c r="BG354" s="61" t="n">
        <f aca="false">IFERROR(IF(AND(TRIM(U354)="Pass",SUMPRODUCT((LEN(BC354)-LEN(SUBSTITUTE(BC354," "&amp;L_ResultBad&amp;" "," ")))/(LEN(L_ResultBad)+1))&gt;SUMPRODUCT((LEN(BC354)-LEN(SUBSTITUTE(BC354," "&amp;L_NegPhrase&amp;" "," ")))/(LEN(L_NegPhrase)+1))),1,0),0)</f>
        <v>0</v>
      </c>
      <c r="BH354" s="61" t="n">
        <f aca="false">IFERROR(IF(SUMPRODUCT((LEN(BC354)-LEN(SUBSTITUTE(BC354," "&amp;L_Pending&amp;" "," ")))/(LEN(L_Pending)+1))&gt;SUMPRODUCT((LEN(BC354)-LEN(SUBSTITUTE(BC354," "&amp;L_PendNeg&amp;" "," ")))/(LEN(L_PendNeg)+1)),1,0),1)</f>
        <v>0</v>
      </c>
      <c r="BI354" s="61" t="n">
        <f aca="false">IFERROR(IF(SUMPRODUCT((LEN(BD354)-LEN(SUBSTITUTE(BD354," "&amp;L_PendStrict&amp;" "," ")))/(LEN(L_PendStrict)+1))&gt;SUMPRODUCT((LEN(BD354)-LEN(SUBSTITUTE(BD354," "&amp;L_PendNeg&amp;" "," ")))/(LEN(L_PendNeg)+1)),1,0),1)</f>
        <v>0</v>
      </c>
      <c r="BJ354" s="61" t="n">
        <f aca="false">IFERROR(IF(SUMPRODUCT((LEN(BE354)-LEN(SUBSTITUTE(BE354," "&amp;L_Pending&amp;" "," ")))/(LEN(L_Pending)+1))&gt;SUMPRODUCT((LEN(BE354)-LEN(SUBSTITUTE(BE354," "&amp;L_PendNeg&amp;" "," ")))/(LEN(L_PendNeg)+1)),1,0),1)</f>
        <v>0</v>
      </c>
      <c r="BK354" s="61" t="n">
        <f aca="false">IFERROR(IF(SUMPRODUCT((LEN(BF354)-LEN(SUBSTITUTE(BF354," "&amp;L_PendStrict&amp;" "," ")))/(LEN(L_PendStrict)+1))&gt;SUMPRODUCT((LEN(BF354)-LEN(SUBSTITUTE(BF354," "&amp;L_PendNeg&amp;" "," ")))/(LEN(L_PendNeg)+1)),1,0),1)</f>
        <v>0</v>
      </c>
      <c r="BL354" s="61" t="n">
        <f aca="false">IF(ISNA(MATCH(TRIM(S354),L_EvidenceType,0)),0,BZ354)</f>
        <v>0</v>
      </c>
      <c r="BM354" s="61" t="str">
        <f aca="false">SUBSTITUTE(SUBSTITUTE(SUBSTITUTE(SUBSTITUTE(SUBSTITUTE(SUBSTITUTE(SUBSTITUTE(SUBSTITUTE(SUBSTITUTE(LOWER(Z354&amp;""),"1","0"),"2","0"),"3","0"),"4","0"),"5","0"),"6","0"),"7","0"),"8","0"),"9","0")</f>
        <v/>
      </c>
      <c r="BN354" s="61" t="str">
        <f aca="false">SUBSTITUTE(SUBSTITUTE(SUBSTITUTE(SUBSTITUTE(SUBSTITUTE(SUBSTITUTE(SUBSTITUTE(SUBSTITUTE(SUBSTITUTE(SUBSTITUTE(SUBSTITUTE(SUBSTITUTE(SUBSTITUTE(SUBSTITUTE(SUBSTITUTE(SUBSTITUTE(SUBSTITUTE(SUBSTITUTE(SUBSTITUTE(SUBSTITUTE(SUBSTITUTE(SUBSTITUTE(SUBSTITUTE(SUBSTITUTE(SUBSTITUTE(BM354,"b","a"),"c","a"),"d","a"),"e","a"),"f","a"),"g","a"),"h","a"),"i","a"),"j","a"),"k","a"),"l","a"),"m","a"),"n","a"),"o","a"),"p","a"),"q","a"),"r","a"),"s","a"),"t","a"),"u","a"),"v","a"),"w","a"),"x","a"),"y","a"),"z","a")</f>
        <v/>
      </c>
      <c r="BO354" s="61" t="str">
        <f aca="false">SUBSTITUTE(SUBSTITUTE(SUBSTITUTE(SUBSTITUTE(SUBSTITUTE(SUBSTITUTE(SUBSTITUTE(SUBSTITUTE(SUBSTITUTE(LOWER(W354&amp;""),"1","0"),"2","0"),"3","0"),"4","0"),"5","0"),"6","0"),"7","0"),"8","0"),"9","0")</f>
        <v/>
      </c>
      <c r="BP354" s="61" t="str">
        <f aca="false">SUBSTITUTE(SUBSTITUTE(SUBSTITUTE(SUBSTITUTE(SUBSTITUTE(SUBSTITUTE(SUBSTITUTE(SUBSTITUTE(SUBSTITUTE(SUBSTITUTE(SUBSTITUTE(SUBSTITUTE(SUBSTITUTE(SUBSTITUTE(SUBSTITUTE(SUBSTITUTE(SUBSTITUTE(SUBSTITUTE(SUBSTITUTE(SUBSTITUTE(SUBSTITUTE(SUBSTITUTE(SUBSTITUTE(SUBSTITUTE(SUBSTITUTE(BO354,"b","a"),"c","a"),"d","a"),"e","a"),"f","a"),"g","a"),"h","a"),"i","a"),"j","a"),"k","a"),"l","a"),"m","a"),"n","a"),"o","a"),"p","a"),"q","a"),"r","a"),"s","a"),"t","a"),"u","a"),"v","a"),"w","a"),"x","a"),"y","a"),"z","a")</f>
        <v/>
      </c>
      <c r="BQ354" s="61" t="n">
        <f aca="false">IFERROR(IF(AND(ISERROR(SEARCH(" mh"," "&amp;LOWER(W354))),ISNA(MATCH(LEFT(TRIM(BP354),255),{"0000a","000a","00a","0000aa","000aa","00aa","0aa","0000aaa","000aaa","00a00","0a00","0000-0000","00:00","a00","a0","00.00.0000","00/00/0000","00-00-0000","0000-00-00","0000/00/00","0000.00.00","00.00.00","00/00/00","00-00-00","0.00.0000","0/00/0000","0-00-0000"},0)),ISNA(MATCH(LEFT(TRIM(CA354),255),{"0000a","000a","00a","0000aa","000aa","00aa","0aa","0000aaa","000aaa","00a00","0a00","0000-0000","00:00","a00","a0","00.00.0000","00/00/0000","00-00-0000","0000-00-00","0000/00/00","0000.00.00","00.00.00","00/00/00","00-00-00","0.00.0000","0/00/0000","0-00-0000"},0)),LEN(CB354)&gt;=3,NOT(OR(SUBSTITUTE(CB354,"0","")="",AND(LEN(CB354)&gt;=4,CB354=REPT(LEFT(CB354),LEN(CB354))),ISNUMBER(MATCH(CB354,{"123","1234","12345","123456","1234567","12345678","0123","01234","012345","98765","987654","54321"},0)),AND(LEN(CB354)=8,LEFT(CB354,3)="202"))),OR(AND((LEN(CA354)-LEN(SUBSTITUTE(CA354,"a","")))&gt;=1,SUMPRODUCT(--ISNUMBER(SEARCH({"a0","a-0","a_0","a/0","a.0","a#0","0a","0-a","0_a","0/a"},BP354)))&gt;0),ISNUMBER(SEARCH("000000",BP354)))),1,0),0)</f>
        <v>0</v>
      </c>
      <c r="BR354" s="61" t="n">
        <f aca="false">IFERROR(LEN(SUBSTITUTE(CC354," ",""))-SUMPRODUCT((LEN(CC354)-LEN(SUBSTITUTE(CC354," "&amp;L_Role&amp;" "," ")))/(LEN(L_Role)+1)*LEN(L_Role)),0)</f>
        <v>0</v>
      </c>
      <c r="BS354" s="61" t="n">
        <f aca="false">IFERROR(LEN(SUBSTITUTE(CD354," ",""))-SUMPRODUCT((LEN(CD354)-LEN(SUBSTITUTE(CD354," "&amp;L_Role&amp;" "," ")))/(LEN(L_Role)+1)*LEN(L_Role)),0)</f>
        <v>0</v>
      </c>
      <c r="BT3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354,"revision",""),"version",""),"jan",""),"feb",""),"mar",""),"apr",""),"may",""),"jun",""),"jul",""),"aug",""),"sep",""),"oct",""),"nov",""),"dec",""),"utc",""),"gmt",""),"myt",""),"bst",""),"rev",""),"ver",""),"b","a"),"c","a"),"d","a"),"e","a"),"f","a"),"g","a"),"h","a"),"i","a"),"j","a"),"k","a"),"l","a"),"m","a"),"n","a"),"o","a"),"p","a"),"q","a"),"r","a"),"s","a"),"t","a"),"u","a"),"v","a"),"w","a"),"x","a"),"y","a"),"z","a")</f>
        <v/>
      </c>
      <c r="BU354" s="61" t="str">
        <f aca="false">SUBSTITUTE(SUBSTITUTE(SUBSTITUTE(SUBSTITUTE(SUBSTITUTE(SUBSTITUTE(SUBSTITUTE(SUBSTITUTE(SUBSTITUTE(SUBSTITUTE(LEFT(BM354,FIND("0",BM354&amp;"0")-1),"-",""),"_",""),"/",""),".",""),"#",""),"\\",""),":","")," ",""),"(",""),")","")</f>
        <v/>
      </c>
      <c r="BV354" s="61" t="n">
        <f aca="false">IFERROR(IF(OR(SUMPRODUCT((LEN(BC354)-LEN(SUBSTITUTE(BC354," "&amp;L_NotLoaded&amp;" "," ")))/(LEN(L_NotLoaded)+1))&gt;SUMPRODUCT((LEN(BC354)-LEN(SUBSTITUTE(BC354," "&amp;L_NotLoadedNeg&amp;" "," ")))/(LEN(L_NotLoadedNeg)+1)),SUMPRODUCT((LEN(BD354)-LEN(SUBSTITUTE(BD354," "&amp;L_NotLoaded&amp;" "," ")))/(LEN(L_NotLoaded)+1))&gt;SUMPRODUCT((LEN(BD354)-LEN(SUBSTITUTE(BD354," "&amp;L_NotLoadedNeg&amp;" "," ")))/(LEN(L_NotLoadedNeg)+1))),1,0),0)</f>
        <v>0</v>
      </c>
      <c r="BW3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354&amp;""),"a",""),"b",""),"c",""),"d",""),"e",""),"f",""),"g",""),"h",""),"i",""),"j",""),"k",""),"l",""),"m",""),"n",""),"o",""),"p",""),"q",""),"r",""),"s",""),"t",""),"u",""),"v",""),"w",""),"x",""),"y",""),"z",""),"-",""),"_",""),"/",""),".",""),"#",""),"\\",""),":","")," ",""),"(",""),")","")</f>
        <v/>
      </c>
      <c r="BX354" s="61" t="str">
        <f aca="false">SUBSTITUTE(SUBSTITUTE(SUBSTITUTE(SUBSTITUTE(SUBSTITUTE(SUBSTITUTE(SUBSTITUTE(SUBSTITUTE(SUBSTITUTE(SUBSTITUTE(SUBSTITUTE(BM354,"0",""),"-",""),"_",""),"/",""),".",""),"#",""),"\\",""),":","")," ",""),"(",""),")","")</f>
        <v/>
      </c>
      <c r="BY354" s="62" t="n">
        <f aca="false">IF(ISNUMBER(Flights!$AZ$14),MAX(Q354-UpliftWindowH/24,Flights!$AZ$14),Q354-UpliftWindowH/24)</f>
        <v>46306.90625</v>
      </c>
      <c r="BZ354" s="61" t="n">
        <f aca="false">IFERROR(IF(IF(TRIM(S354)="Link / file path",AND(LEN(TRIM(Z354))&gt;=5,SUMPRODUCT(--ISNUMBER(SEARCH({"http","www.","\\",":\",".pdf",".jpg",".jpeg",".png",".heic",".xls",".doc",".msg",".eml",".ppt",".txt",".zip"},Z354)))&gt;0),AND(ISERROR(FIND(" ",TRIM(Z354))),NOT(OR(SUMPRODUCT(--ISNUMBER(FIND({",",";","&amp;","+"},Z354)))&gt;0,SUMPRODUCT(--ISNUMBER(SEARCH({"0/aa","0\\aa"},BN354)))&gt;0)),NOT(SUMPRODUCT(--ISNUMBER(SEARCH({"http","www.","\\",":\",".pdf",".jpg",".jpeg",".png",".heic",".xls",".doc",".msg",".eml",".ppt",".txt",".zip"},Z354)))&gt;0),NOT(LOWER(TRIM(Z354))=LOWER(Flights!$F$14)),ISNA(MATCH(BU354,{"mh","rev","revision","ver","version","v","r","a","b","seat","tray","row","gate","bay","stand","page","pg","item","line","no","cart","galley","flight","flt","table","box","bag","oven","etd","eta","std","sta","atd","ata","qty","pax","x","time","tel","ph","mob","day","wk","week","utc","gmt","myt","lt"},0)),NOT(OR(ISNUMBER(MATCH(LEFT(BN354,255),{"0000a","000a","00a","0000aa","000aa","00aa","0aa","0000aaa","000aaa","00a00","0a00","0000-0000","00:00","a00","a0","00.00.0000","00/00/0000","00-00-0000","0000-00-00","0000/00/00","0000.00.00","00.00.00","00/00/00","00-00-00","0.00.0000","0/00/0000","0-00-0000"},0)),ISNUMBER(MATCH(LEFT(BT354,255),{"0000a","000a","00a","0000aa","000aa","00aa","0aa","0000aaa","000aaa","00a00","0a00","0000-0000","00:00","a00","a0","00.00.0000","00/00/0000","00-00-0000","0000-00-00","0000/00/00","0000.00.00","00.00.00","00/00/00","00-00-00","0.00.0000","0/00/0000","0-00-0000"},0)))),NOT(OR(AND(BW354&lt;&gt;"",SUBSTITUTE(BW354,"0","")=""),AND(LEN(BW354)&gt;=4,BW354=REPT(LEFT(BW354),LEN(BW354))),ISNUMBER(MATCH(BW354,{"123","1234","12345","123456","1234567","12345678","0123","01234","012345","98765","987654","54321"},0)),ISNUMBER(MATCH(BX354,{"x","xx","xxx","xxxx","xxxxx","abc","abcd","nil","na","nan","test","tbc","tba","tbd","dummy","sample","example","eg","zz","zzz","none","null","xyz","qwe","asd","id","ref"},0)),AND(LEN(BW354)=8,BX354="",OR(LEFT(BW354,3)="202",ISNUMBER(MATCH(RIGHT(BW354,4),{"2025","2026","2027"},0)))))),OR(AND((LEN(BT354)-LEN(SUBSTITUTE(BT354,"a","")))&gt;=1,(LEN(BN354)-LEN(SUBSTITUTE(BN354,"0","")))&gt;=2,SUMPRODUCT(--ISNUMBER(SEARCH({"a0","a-0","a_0","a/0","a.0","a#0","0a","0-a","0_a","0/a"},BN354)))&gt;0),AND((LEN(BN354)-LEN(SUBSTITUTE(BN354,"a","")))=0,(LEN(BN354)-LEN(SUBSTITUTE(BN354,"0","")))&gt;=5)))),1,0),0)</f>
        <v>0</v>
      </c>
      <c r="CA3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354,"revision",""),"version",""),"jan",""),"feb",""),"mar",""),"apr",""),"may",""),"jun",""),"jul",""),"aug",""),"sep",""),"oct",""),"nov",""),"dec",""),"utc",""),"gmt",""),"myt",""),"bst",""),"rev",""),"ver",""),"b","a"),"c","a"),"d","a"),"e","a"),"f","a"),"g","a"),"h","a"),"i","a"),"j","a"),"k","a"),"l","a"),"m","a"),"n","a"),"o","a"),"p","a"),"q","a"),"r","a"),"s","a"),"t","a"),"u","a"),"v","a"),"w","a"),"x","a"),"y","a"),"z","a")</f>
        <v/>
      </c>
      <c r="CB3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354&amp;""),"a",""),"b",""),"c",""),"d",""),"e",""),"f",""),"g",""),"h",""),"i",""),"j",""),"k",""),"l",""),"m",""),"n",""),"o",""),"p",""),"q",""),"r",""),"s",""),"t",""),"u",""),"v",""),"w",""),"x",""),"y",""),"z",""),"-",""),"_",""),"/",""),".",""),"#",""),"\\",""),":","")," ",""),"(",""),")","")</f>
        <v/>
      </c>
      <c r="CC354" s="0" t="str">
        <f aca="false">" "&amp;TRIM(SUBSTITUTE(SUBSTITUTE(SUBSTITUTE(SUBSTITUTE(SUBSTITUTE(SUBSTITUTE(SUBSTITUTE(SUBSTITUTE(SUBSTITUTE(SUBSTITUTE(SUBSTITUTE(SUBSTITUTE(SUBSTITUTE(SUBSTITUTE(SUBSTITUTE(SUBSTITUTE(SUBSTITUTE(SUBSTITUTE(SUBSTITUTE(SUBSTITUTE(SUBSTITUTE(SUBSTITUTE(SUBSTITUTE(SUBSTITUTE(LOWER(T354&amp;""),CHAR(10)," "),CHAR(13)," "),CHAR(9)," "),CHAR(160)," "),"."," "),","," "),"-"," "),"/"," "),"("," "),")"," "),":"," "),";"," "),"_"," "),"–"," "),"?"," "),"!"," "),"*"," "),"["," "),"]"," "),"'"," "),"#"," "),"+"," "),"&amp;"," "),"\"," "))&amp;" "</f>
        <v>  </v>
      </c>
      <c r="CD354" s="0" t="str">
        <f aca="false">" "&amp;TRIM(SUBSTITUTE(SUBSTITUTE(SUBSTITUTE(SUBSTITUTE(SUBSTITUTE(SUBSTITUTE(SUBSTITUTE(SUBSTITUTE(SUBSTITUTE(SUBSTITUTE(SUBSTITUTE(SUBSTITUTE(SUBSTITUTE(SUBSTITUTE(SUBSTITUTE(SUBSTITUTE(SUBSTITUTE(SUBSTITUTE(SUBSTITUTE(SUBSTITUTE(SUBSTITUTE(SUBSTITUTE(SUBSTITUTE(SUBSTITUTE(LOWER(AE354&amp;""),CHAR(10)," "),CHAR(13)," "),CHAR(9)," "),CHAR(160)," "),"."," "),","," "),"-"," "),"/"," "),"("," "),")"," "),":"," "),";"," "),"_"," "),"–"," "),"?"," "),"!"," "),"*"," "),"["," "),"]"," "),"'"," "),"#"," "),"+"," "),"&amp;"," "),"\"," "))&amp;" "</f>
        <v>  </v>
      </c>
      <c r="CE354" s="68" t="n">
        <f aca="false">IFERROR(IF(AND(LEN(AU354)&gt;0,LEN(AU354)=LEN(AX354),OR(TRIM(MID(SUBSTITUTE(TRIM(CC354)," ",REPT(" ",60)),1,60))="",ISNUMBER(SEARCH(" "&amp;TRIM(MID(SUBSTITUTE(TRIM(CC354)," ",REPT(" ",60)),1,60))&amp;" ",CD354))),OR(TRIM(MID(SUBSTITUTE(TRIM(CC354)," ",REPT(" ",60)),61,60))="",ISNUMBER(SEARCH(" "&amp;TRIM(MID(SUBSTITUTE(TRIM(CC354)," ",REPT(" ",60)),61,60))&amp;" ",CD354))),OR(TRIM(MID(SUBSTITUTE(TRIM(CC354)," ",REPT(" ",60)),121,60))="",ISNUMBER(SEARCH(" "&amp;TRIM(MID(SUBSTITUTE(TRIM(CC354)," ",REPT(" ",60)),121,60))&amp;" ",CD354)))),1,0),0)</f>
        <v>0</v>
      </c>
      <c r="CG354" s="68" t="n">
        <f aca="false">IFERROR(LEN(SUBSTITUTE(BF354," ",""))-SUMPRODUCT((LEN(BF354)-LEN(SUBSTITUTE(BF354," "&amp;L_NAFiller&amp;" "," ")))/(LEN(L_NAFiller)+1)*LEN(L_NAFiller)),0)</f>
        <v>0</v>
      </c>
    </row>
    <row r="355" customFormat="false" ht="39.75" hidden="false" customHeight="true" outlineLevel="0" collapsed="false">
      <c r="A355" s="57" t="s">
        <v>956</v>
      </c>
      <c r="B355" s="57" t="s">
        <v>251</v>
      </c>
      <c r="C355" s="57" t="str">
        <f aca="false">Flights!$F$14</f>
        <v>MH1140</v>
      </c>
      <c r="D355" s="58" t="n">
        <f aca="false">Flights!$D$14</f>
        <v>46307</v>
      </c>
      <c r="E355" s="57" t="str">
        <f aca="false">Flights!$G$14&amp;"-"&amp;Flights!$H$14</f>
        <v>KUL-PEN</v>
      </c>
      <c r="F355" s="57" t="str">
        <f aca="false">Flights!$K$14</f>
        <v>BC</v>
      </c>
      <c r="G355" s="57" t="s">
        <v>459</v>
      </c>
      <c r="H355" s="57" t="s">
        <v>460</v>
      </c>
      <c r="I355" s="57" t="s">
        <v>447</v>
      </c>
      <c r="J355" s="57" t="s">
        <v>553</v>
      </c>
      <c r="K355" s="67" t="s">
        <v>449</v>
      </c>
      <c r="L355" s="67" t="s">
        <v>945</v>
      </c>
      <c r="M355" s="67" t="s">
        <v>451</v>
      </c>
      <c r="N355" s="67" t="s">
        <v>383</v>
      </c>
      <c r="O355" s="67"/>
      <c r="P355" s="57" t="s">
        <v>187</v>
      </c>
      <c r="Q355" s="59" t="n">
        <f aca="false">ROUND((Flights!$AF$14)*1440,0)/1440</f>
        <v>46307.15625</v>
      </c>
      <c r="R355" s="59" t="n">
        <f aca="false">Q355+(IF(AND(INDEX(TZ_DSTS,MATCH(P355,TZ_STN,0))&lt;&gt;"",Q355&gt;=INDEX(TZ_DSTS,MATCH(P355,TZ_STN,0)),Q355&lt;INDEX(TZ_DSTE,MATCH(P355,TZ_STN,0))),INDEX(TZ_DST,MATCH(P355,TZ_STN,0)),INDEX(TZ_STD,MATCH(P355,TZ_STN,0))))/24</f>
        <v>46307.4895833333</v>
      </c>
      <c r="S355" s="60"/>
      <c r="T355" s="60"/>
      <c r="U355" s="60"/>
      <c r="V355" s="60"/>
      <c r="W355" s="61"/>
      <c r="X355" s="60"/>
      <c r="Y355" s="60"/>
      <c r="Z355" s="60"/>
      <c r="AA355" s="60"/>
      <c r="AB355" s="60"/>
      <c r="AC355" s="60"/>
      <c r="AD355" s="66"/>
      <c r="AE355" s="60"/>
      <c r="AF355" s="61" t="str">
        <f aca="false">IF(AND(ISNUMBER(X355),ISNUMBER(Y355)),Y355-X355,"")</f>
        <v/>
      </c>
      <c r="AG355" s="62" t="str">
        <f aca="false">IF(ISNUMBER(AD355),AD355-(IF(AND(INDEX(TZ_DSTS,MATCH(P355,TZ_STN,0))&lt;&gt;"",(AD355-INDEX(TZ_STD,MATCH(P355,TZ_STN,0))/24)&gt;=INDEX(TZ_DSTS,MATCH(P355,TZ_STN,0)),(AD355-INDEX(TZ_STD,MATCH(P355,TZ_STN,0))/24)&lt;INDEX(TZ_DSTE,MATCH(P355,TZ_STN,0))),INDEX(TZ_DST,MATCH(P355,TZ_STN,0)),INDEX(TZ_STD,MATCH(P355,TZ_STN,0))))/24,"")</f>
        <v/>
      </c>
      <c r="AH355" s="65" t="str">
        <f aca="false">IFERROR(IF(N355="N/A – rule",IF(OR(TRIM(U355)="",TRIM(U355)="N/A",TRIM(U355)="Not started"),"N/A – RULE","INVALID – this check does not apply to this aircraft: clear the status (or correct the fleet on Flights)"),IF(TRIM(U355)="N/A",IF(AT355=0,"INVALID – N/A not permitted for this check",IF(AND(TRIM(AB355)&lt;&gt;"",TRIM(AB355)&lt;&gt;"Closed"),"INVALID – corrective action still open",IF(AND(NOT(OR(LEN(AZ355)&lt;15,ISNUMBER(MATCH(AZ355,L_Placeholder,0)))),BK355=0,CG355&gt;=8,NOT(OR(LEN(AU355)&lt;2,ISNUMBER(MATCH(AU355,L_Placeholder,0)))),BR355&gt;=3,NOT(OR(LEN(AX355)&lt;2,ISNUMBER(MATCH(AX355,L_Placeholder,0)))),BS355&gt;=3,TRIM(AE355)&lt;&gt;TRIM(T355),AX355&lt;&gt;AU355,CE355=0),"N/A – JUSTIFIED","INVALID – N/A needs a real, settled reason (not 'not applicable' / 'as above' / TBC), a named PIC and a different named verifier"))),IF(OR(TRIM(U355)="Pass",TRIM(U355)="Pass after CA"),IF(NOT(ISNUMBER(AD355)),"INVALID – completion time missing",IF(OR(OR(LEN(AU355)&lt;2,ISNUMBER(MATCH(AU355,L_Placeholder,0))),BR355&lt;3),"INVALID – PIC missing or not a named person (a role such as QA / CSM is not a name)",IF(OR(LEN(AV355)&lt;2,ISNUMBER(MATCH(AV355,L_Placeholder,0))),"INVALID – result / assessment missing",IF(OR(OR(LEN(AW355)&lt;3,ISNUMBER(MATCH(AW355,L_Placeholder,0))),SUMPRODUCT(--ISNUMBER(SEARCH(" "&amp;L_EvidencePhrase&amp;" ",BD355)))&gt;0,BI355=1),"INVALID – evidence missing, placeholder or not yet on file",IF(ISNA(MATCH(TRIM(S355),L_EvidenceType,0)),"INVALID – choose the evidence type from the list (column S)",IF(BL355=0,"INVALID – evidence ID must be the record's own ID only (e.g. SF-2210, IMG_2231, 1045521); a link / file name needs type 'Link / file path'",IF(OR(OR(LEN(AX355)&lt;2,ISNUMBER(MATCH(AX355,L_Placeholder,0))),BS355&lt;3),"INVALID – verifier missing or not a named person (a role such as QA / CSM is not a name)",IF(OR(AX355=AU355,CE355=1,AND(LEN(AU355)&gt;=4,ISNUMBER(SEARCH(AU355,AX355))),AND(LEN(AX355)&gt;=4,ISNUMBER(SEARCH(AX355,AU355)))),"INVALID – verifier must be a different, named person (not the PIC or a role)",IF(BH355=1,"INVALID – result not yet available (awaiting / TBC)",IF(BG355=1,"INVALID – result describes a problem: record Fail, then Pass after CA (or reword if it is not a problem)",IF(BV355=1,"INVALID – wording says not on board: an on-board confirmation needs the item loaded",IF(AND(AQ355=1,OR(OR(LEN(AY355)&lt;3,ISNUMBER(MATCH(AY355,L_Placeholder,0))),BJ355=1,BQ355=0)),"INVALID – batch ID missing, placeholder or not an ID (e.g. PASB-261008-BC-017)",IF(AND(AR355=1,OR(NOT(ISNUMBER(X355)),NOT(ISNUMBER(Y355)))),"INVALID – expected/actual qty missing",IF(AND(AR355=1,OR(X355&lt;=0,Y355&lt;0)),"INVALID – expected qty must be above 0 and actual not negative",IF(AH345="N/A – JUSTIFIED","INVALID – preparation row F10-T12-14 is N/A",IF(AND(AR355=1,ISNUMBER(X345),X355&lt;&gt;X345,TRIM(U355)&lt;&gt;"Pass after CA"),"INVALID – expected qty differs from preparation check F10-T12-14: record the load change as a corrective action (Pass after CA)",IF(BB355&lt;&gt;"",BB355,IF(AND(AS355=1,Documents!$J$14&lt;&gt;"ON FILE"),"INVALID – GLD not on file (Documents sheet)",IF(AND(AS355=2,Documents!$O$14&lt;&gt;"ON FILE"),"INVALID – menu checklist not on file (Documents sheet)",IF(AND(AS355=3,NOT(ISNUMBER(Flights!$AX$14))),"INVALID – enter carrying flight KUL departure (Flights AX)",IF(AND(AS355=3,OR(Flights!$AZ$14&gt;Flights!$AA$14,Flights!$AX$14&lt;Flights!$AA$14-3)),"INVALID – carrying flight (Flights AX) cannot arrive before this leg's STD, or is over 3 days early",IF(AG355&gt;AsOfUTC,"INVALID – completion time is in the future",IF(AND(ISNUMBER(BY355),AG355&lt;BY355),IF(H355="Physical uplift","INVALID – before uplift window (cannot confirm loading)","INVALID – before valid window"),IF(AG355&gt;Flights!$AA$14,"INVALID – completed after departure (cannot establish readiness)",IF(AND(H355="Preparation",AG355&gt;=IF(ISNUMBER(Flights!$BA$14),MIN(Flights!$BA$14,Flights!$AA$14),Flights!$AA$14)),"INVALID – completed after loading / departure (cannot establish readiness)",IF(AND(H355="Physical uplift",AG355&gt;Q355),"INVALID – recorded after the loading flight departed",IF(AG355&gt;Q355,"COMPLETE – LATE","COMPLETE"))))))))))))))))))))))))))),IF(TRIM(U355)="Fail","FAIL – DISCREPANCY",IF(AND(TRIM(U355)&lt;&gt;"",TRIM(U355)&lt;&gt;"Not started",TRIM(U355)&lt;&gt;"In progress"),"INVALID – unrecognised status (use the list)",IF(AsOfUTC&gt;Q355,"OVERDUE",IF(N355="Clarification required","OPEN – CLARIFICATION","OPEN"))))))),"INVALID – error value in an input cell")</f>
        <v>OPEN</v>
      </c>
      <c r="AI355" s="61" t="n">
        <f aca="false">IF(OR(AH355="N/A – RULE",AH355="N/A – JUSTIFIED"),0,1)</f>
        <v>1</v>
      </c>
      <c r="AJ355" s="61" t="n">
        <f aca="false">IF(LEFT(AH355,8)="COMPLETE",1,0)</f>
        <v>0</v>
      </c>
      <c r="AK355" s="61" t="n">
        <f aca="false">IF(AND(AI355=1,AJ355=0,AsOfUTC&gt;Q355),1,0)</f>
        <v>0</v>
      </c>
      <c r="AL355" s="61" t="n">
        <f aca="false">IFERROR(IF(AND(AI355=1,OR(TRIM(U355)="Fail",AND(TRIM(AB355)&lt;&gt;"",TRIM(AB355)&lt;&gt;"Closed"),AND(ISNUMBER(AF355),AF355&lt;&gt;0,TRIM(U355)&lt;&gt;"Pass after CA"))),1,0),1)</f>
        <v>0</v>
      </c>
      <c r="AM355" s="61" t="n">
        <f aca="false">IF(LEFT(AH355,7)="INVALID",1,0)</f>
        <v>0</v>
      </c>
      <c r="AN355" s="61" t="n">
        <f aca="false">IF(AND(N355="Clarification required",AI355=1,AJ355=0),1,0)</f>
        <v>0</v>
      </c>
      <c r="AO355" s="61" t="str">
        <f aca="false">IF(AK355=1,SUM(AK$5:AK355),"")</f>
        <v/>
      </c>
      <c r="AP355" s="61" t="str">
        <f aca="false">IF(AL355=1,SUM(AL$5:AL355),"")</f>
        <v/>
      </c>
      <c r="AQ355" s="61" t="n">
        <v>0</v>
      </c>
      <c r="AR355" s="61" t="n">
        <v>0</v>
      </c>
      <c r="AS355" s="61" t="n">
        <v>0</v>
      </c>
      <c r="AT355" s="61" t="n">
        <v>0</v>
      </c>
      <c r="AU355" s="61" t="str">
        <f aca="false">SUBSTITUTE(SUBSTITUTE(SUBSTITUTE(SUBSTITUTE(SUBSTITUTE(SUBSTITUTE(SUBSTITUTE(SUBSTITUTE(SUBSTITUTE(SUBSTITUTE(SUBSTITUTE(SUBSTITUTE(SUBSTITUTE(SUBSTITUTE(SUBSTITUTE(SUBSTITUTE(LOWER(T355&amp;""),CHAR(10),""),CHAR(13),""),CHAR(9),""),CHAR(160),"")," ",""),".",""),"-",""),"/",""),"?",""),"_",""),",",""),"[",""),"]",""),"(",""),")",""),"*","")</f>
        <v/>
      </c>
      <c r="AV355" s="61" t="str">
        <f aca="false">SUBSTITUTE(SUBSTITUTE(SUBSTITUTE(SUBSTITUTE(SUBSTITUTE(SUBSTITUTE(SUBSTITUTE(SUBSTITUTE(SUBSTITUTE(SUBSTITUTE(SUBSTITUTE(SUBSTITUTE(SUBSTITUTE(SUBSTITUTE(SUBSTITUTE(SUBSTITUTE(LOWER(V355&amp;""),CHAR(10),""),CHAR(13),""),CHAR(9),""),CHAR(160),"")," ",""),".",""),"-",""),"/",""),"?",""),"_",""),",",""),"[",""),"]",""),"(",""),")",""),"*","")</f>
        <v/>
      </c>
      <c r="AW355" s="61" t="str">
        <f aca="false">SUBSTITUTE(SUBSTITUTE(SUBSTITUTE(SUBSTITUTE(SUBSTITUTE(SUBSTITUTE(SUBSTITUTE(SUBSTITUTE(SUBSTITUTE(SUBSTITUTE(SUBSTITUTE(SUBSTITUTE(SUBSTITUTE(SUBSTITUTE(SUBSTITUTE(SUBSTITUTE(LOWER(Z355&amp;""),CHAR(10),""),CHAR(13),""),CHAR(9),""),CHAR(160),"")," ",""),".",""),"-",""),"/",""),"?",""),"_",""),",",""),"[",""),"]",""),"(",""),")",""),"*","")</f>
        <v/>
      </c>
      <c r="AX355" s="61" t="str">
        <f aca="false">SUBSTITUTE(SUBSTITUTE(SUBSTITUTE(SUBSTITUTE(SUBSTITUTE(SUBSTITUTE(SUBSTITUTE(SUBSTITUTE(SUBSTITUTE(SUBSTITUTE(SUBSTITUTE(SUBSTITUTE(SUBSTITUTE(SUBSTITUTE(SUBSTITUTE(SUBSTITUTE(LOWER(AE355&amp;""),CHAR(10),""),CHAR(13),""),CHAR(9),""),CHAR(160),"")," ",""),".",""),"-",""),"/",""),"?",""),"_",""),",",""),"[",""),"]",""),"(",""),")",""),"*","")</f>
        <v/>
      </c>
      <c r="AY355" s="61" t="str">
        <f aca="false">SUBSTITUTE(SUBSTITUTE(SUBSTITUTE(SUBSTITUTE(SUBSTITUTE(SUBSTITUTE(SUBSTITUTE(SUBSTITUTE(SUBSTITUTE(SUBSTITUTE(SUBSTITUTE(SUBSTITUTE(SUBSTITUTE(SUBSTITUTE(SUBSTITUTE(SUBSTITUTE(LOWER(W355&amp;""),CHAR(10),""),CHAR(13),""),CHAR(9),""),CHAR(160),"")," ",""),".",""),"-",""),"/",""),"?",""),"_",""),",",""),"[",""),"]",""),"(",""),")",""),"*","")</f>
        <v/>
      </c>
      <c r="AZ355" s="61" t="str">
        <f aca="false">SUBSTITUTE(SUBSTITUTE(SUBSTITUTE(SUBSTITUTE(SUBSTITUTE(SUBSTITUTE(SUBSTITUTE(SUBSTITUTE(SUBSTITUTE(SUBSTITUTE(SUBSTITUTE(SUBSTITUTE(SUBSTITUTE(SUBSTITUTE(SUBSTITUTE(SUBSTITUTE(LOWER(AC355&amp;""),CHAR(10),""),CHAR(13),""),CHAR(9),""),CHAR(160),"")," ",""),".",""),"-",""),"/",""),"?",""),"_",""),",",""),"[",""),"]",""),"(",""),")",""),"*","")</f>
        <v/>
      </c>
      <c r="BA355" s="61" t="str">
        <f aca="false">SUBSTITUTE(SUBSTITUTE(SUBSTITUTE(SUBSTITUTE(SUBSTITUTE(SUBSTITUTE(SUBSTITUTE(SUBSTITUTE(SUBSTITUTE(SUBSTITUTE(SUBSTITUTE(SUBSTITUTE(SUBSTITUTE(SUBSTITUTE(SUBSTITUTE(SUBSTITUTE(LOWER(AA355&amp;""),CHAR(10),""),CHAR(13),""),CHAR(9),""),CHAR(160),"")," ",""),".",""),"-",""),"/",""),"?",""),"_",""),",",""),"[",""),"]",""),"(",""),")",""),"*","")</f>
        <v/>
      </c>
      <c r="BB355" s="61" t="str">
        <f aca="false">IF(AND(TRIM(U355)="Pass",ISNUMBER(AF355)),IF(AF355&lt;&gt;0,"INVALID – qty variance: use Fail or Pass after CA",""),"")&amp;IF(AND(TRIM(U355)="Pass after CA",ISNUMBER(AF355)),IF(AF355&lt;&gt;0,"INVALID – after the corrective action the actual qty must equal expected (update Actual)",""),"")&amp;IF(AND(TRIM(U355)="Pass",TRIM(AB355)&lt;&gt;"",TRIM(AB355)&lt;&gt;"Closed"),"INVALID – corrective action not closed: use Fail, then Pass after CA","")&amp;IF(AND(LEN(BA355)&gt;=2,ISNA(MATCH(LEFT(BA355,255),L_Placeholder,0)),TRIM(AB355)=""),"INVALID – CA status missing for the recorded corrective action","")&amp;IF(AND(TRIM(U355)="Pass after CA",OR(OR(LEN(BA355)&lt;5,ISNUMBER(MATCH(BA355,L_Placeholder,0))),TRIM(AB355)&lt;&gt;"Closed")),"INVALID – corrective action not recorded/closed","")</f>
        <v/>
      </c>
      <c r="BC355" s="61" t="str">
        <f aca="false">" "&amp;TRIM(SUBSTITUTE(SUBSTITUTE(SUBSTITUTE(SUBSTITUTE(SUBSTITUTE(SUBSTITUTE(SUBSTITUTE(SUBSTITUTE(SUBSTITUTE(SUBSTITUTE(SUBSTITUTE(SUBSTITUTE(SUBSTITUTE(SUBSTITUTE(SUBSTITUTE(SUBSTITUTE(SUBSTITUTE(SUBSTITUTE(SUBSTITUTE(SUBSTITUTE(SUBSTITUTE(SUBSTITUTE(SUBSTITUTE(SUBSTITUTE(LOWER(V355&amp;""),CHAR(10)," "),CHAR(13)," "),CHAR(9)," "),CHAR(160)," "),"."," "),","," "),"-"," "),"/"," "),"("," "),")"," "),":"," "),";"," "),"_"," "),"–"," "),"?"," "),"!"," "),"*"," "),"["," "),"]"," "),"'"," "),"#"," "),"+"," "),"&amp;"," "),"\"," "))&amp;" "</f>
        <v>  </v>
      </c>
      <c r="BD355" s="61" t="str">
        <f aca="false">" "&amp;TRIM(SUBSTITUTE(SUBSTITUTE(SUBSTITUTE(SUBSTITUTE(SUBSTITUTE(SUBSTITUTE(SUBSTITUTE(SUBSTITUTE(SUBSTITUTE(SUBSTITUTE(SUBSTITUTE(SUBSTITUTE(SUBSTITUTE(SUBSTITUTE(SUBSTITUTE(SUBSTITUTE(SUBSTITUTE(SUBSTITUTE(SUBSTITUTE(SUBSTITUTE(SUBSTITUTE(SUBSTITUTE(SUBSTITUTE(SUBSTITUTE(LOWER(Z355&amp;""),CHAR(10)," "),CHAR(13)," "),CHAR(9)," "),CHAR(160)," "),"."," "),","," "),"-"," "),"/"," "),"("," "),")"," "),":"," "),";"," "),"_"," "),"–"," "),"?"," "),"!"," "),"*"," "),"["," "),"]"," "),"'"," "),"#"," "),"+"," "),"&amp;"," "),"\"," "))&amp;" "</f>
        <v>  </v>
      </c>
      <c r="BE355" s="61" t="str">
        <f aca="false">" "&amp;TRIM(SUBSTITUTE(SUBSTITUTE(SUBSTITUTE(SUBSTITUTE(SUBSTITUTE(SUBSTITUTE(SUBSTITUTE(SUBSTITUTE(SUBSTITUTE(SUBSTITUTE(SUBSTITUTE(SUBSTITUTE(SUBSTITUTE(SUBSTITUTE(SUBSTITUTE(SUBSTITUTE(SUBSTITUTE(SUBSTITUTE(SUBSTITUTE(SUBSTITUTE(SUBSTITUTE(SUBSTITUTE(SUBSTITUTE(SUBSTITUTE(LOWER(W355&amp;""),CHAR(10)," "),CHAR(13)," "),CHAR(9)," "),CHAR(160)," "),"."," "),","," "),"-"," "),"/"," "),"("," "),")"," "),":"," "),";"," "),"_"," "),"–"," "),"?"," "),"!"," "),"*"," "),"["," "),"]"," "),"'"," "),"#"," "),"+"," "),"&amp;"," "),"\"," "))&amp;" "</f>
        <v>  </v>
      </c>
      <c r="BF355" s="61" t="str">
        <f aca="false">" "&amp;TRIM(SUBSTITUTE(SUBSTITUTE(SUBSTITUTE(SUBSTITUTE(SUBSTITUTE(SUBSTITUTE(SUBSTITUTE(SUBSTITUTE(SUBSTITUTE(SUBSTITUTE(SUBSTITUTE(SUBSTITUTE(SUBSTITUTE(SUBSTITUTE(SUBSTITUTE(SUBSTITUTE(SUBSTITUTE(SUBSTITUTE(SUBSTITUTE(SUBSTITUTE(SUBSTITUTE(SUBSTITUTE(SUBSTITUTE(SUBSTITUTE(LOWER(AC355&amp;""),CHAR(10)," "),CHAR(13)," "),CHAR(9)," "),CHAR(160)," "),"."," "),","," "),"-"," "),"/"," "),"("," "),")"," "),":"," "),";"," "),"_"," "),"–"," "),"?"," "),"!"," "),"*"," "),"["," "),"]"," "),"'"," "),"#"," "),"+"," "),"&amp;"," "),"\"," "))&amp;" "</f>
        <v>  </v>
      </c>
      <c r="BG355" s="61" t="n">
        <f aca="false">IFERROR(IF(AND(TRIM(U355)="Pass",SUMPRODUCT((LEN(BC355)-LEN(SUBSTITUTE(BC355," "&amp;L_ResultBad&amp;" "," ")))/(LEN(L_ResultBad)+1))&gt;SUMPRODUCT((LEN(BC355)-LEN(SUBSTITUTE(BC355," "&amp;L_NegPhrase&amp;" "," ")))/(LEN(L_NegPhrase)+1))),1,0),0)</f>
        <v>0</v>
      </c>
      <c r="BH355" s="61" t="n">
        <f aca="false">IFERROR(IF(SUMPRODUCT((LEN(BC355)-LEN(SUBSTITUTE(BC355," "&amp;L_Pending&amp;" "," ")))/(LEN(L_Pending)+1))&gt;SUMPRODUCT((LEN(BC355)-LEN(SUBSTITUTE(BC355," "&amp;L_PendNeg&amp;" "," ")))/(LEN(L_PendNeg)+1)),1,0),1)</f>
        <v>0</v>
      </c>
      <c r="BI355" s="61" t="n">
        <f aca="false">IFERROR(IF(SUMPRODUCT((LEN(BD355)-LEN(SUBSTITUTE(BD355," "&amp;L_PendStrict&amp;" "," ")))/(LEN(L_PendStrict)+1))&gt;SUMPRODUCT((LEN(BD355)-LEN(SUBSTITUTE(BD355," "&amp;L_PendNeg&amp;" "," ")))/(LEN(L_PendNeg)+1)),1,0),1)</f>
        <v>0</v>
      </c>
      <c r="BJ355" s="61" t="n">
        <f aca="false">IFERROR(IF(SUMPRODUCT((LEN(BE355)-LEN(SUBSTITUTE(BE355," "&amp;L_Pending&amp;" "," ")))/(LEN(L_Pending)+1))&gt;SUMPRODUCT((LEN(BE355)-LEN(SUBSTITUTE(BE355," "&amp;L_PendNeg&amp;" "," ")))/(LEN(L_PendNeg)+1)),1,0),1)</f>
        <v>0</v>
      </c>
      <c r="BK355" s="61" t="n">
        <f aca="false">IFERROR(IF(SUMPRODUCT((LEN(BF355)-LEN(SUBSTITUTE(BF355," "&amp;L_PendStrict&amp;" "," ")))/(LEN(L_PendStrict)+1))&gt;SUMPRODUCT((LEN(BF355)-LEN(SUBSTITUTE(BF355," "&amp;L_PendNeg&amp;" "," ")))/(LEN(L_PendNeg)+1)),1,0),1)</f>
        <v>0</v>
      </c>
      <c r="BL355" s="61" t="n">
        <f aca="false">IF(ISNA(MATCH(TRIM(S355),L_EvidenceType,0)),0,BZ355)</f>
        <v>0</v>
      </c>
      <c r="BM355" s="61" t="str">
        <f aca="false">SUBSTITUTE(SUBSTITUTE(SUBSTITUTE(SUBSTITUTE(SUBSTITUTE(SUBSTITUTE(SUBSTITUTE(SUBSTITUTE(SUBSTITUTE(LOWER(Z355&amp;""),"1","0"),"2","0"),"3","0"),"4","0"),"5","0"),"6","0"),"7","0"),"8","0"),"9","0")</f>
        <v/>
      </c>
      <c r="BN355" s="61" t="str">
        <f aca="false">SUBSTITUTE(SUBSTITUTE(SUBSTITUTE(SUBSTITUTE(SUBSTITUTE(SUBSTITUTE(SUBSTITUTE(SUBSTITUTE(SUBSTITUTE(SUBSTITUTE(SUBSTITUTE(SUBSTITUTE(SUBSTITUTE(SUBSTITUTE(SUBSTITUTE(SUBSTITUTE(SUBSTITUTE(SUBSTITUTE(SUBSTITUTE(SUBSTITUTE(SUBSTITUTE(SUBSTITUTE(SUBSTITUTE(SUBSTITUTE(SUBSTITUTE(BM355,"b","a"),"c","a"),"d","a"),"e","a"),"f","a"),"g","a"),"h","a"),"i","a"),"j","a"),"k","a"),"l","a"),"m","a"),"n","a"),"o","a"),"p","a"),"q","a"),"r","a"),"s","a"),"t","a"),"u","a"),"v","a"),"w","a"),"x","a"),"y","a"),"z","a")</f>
        <v/>
      </c>
      <c r="BO355" s="61" t="str">
        <f aca="false">SUBSTITUTE(SUBSTITUTE(SUBSTITUTE(SUBSTITUTE(SUBSTITUTE(SUBSTITUTE(SUBSTITUTE(SUBSTITUTE(SUBSTITUTE(LOWER(W355&amp;""),"1","0"),"2","0"),"3","0"),"4","0"),"5","0"),"6","0"),"7","0"),"8","0"),"9","0")</f>
        <v/>
      </c>
      <c r="BP355" s="61" t="str">
        <f aca="false">SUBSTITUTE(SUBSTITUTE(SUBSTITUTE(SUBSTITUTE(SUBSTITUTE(SUBSTITUTE(SUBSTITUTE(SUBSTITUTE(SUBSTITUTE(SUBSTITUTE(SUBSTITUTE(SUBSTITUTE(SUBSTITUTE(SUBSTITUTE(SUBSTITUTE(SUBSTITUTE(SUBSTITUTE(SUBSTITUTE(SUBSTITUTE(SUBSTITUTE(SUBSTITUTE(SUBSTITUTE(SUBSTITUTE(SUBSTITUTE(SUBSTITUTE(BO355,"b","a"),"c","a"),"d","a"),"e","a"),"f","a"),"g","a"),"h","a"),"i","a"),"j","a"),"k","a"),"l","a"),"m","a"),"n","a"),"o","a"),"p","a"),"q","a"),"r","a"),"s","a"),"t","a"),"u","a"),"v","a"),"w","a"),"x","a"),"y","a"),"z","a")</f>
        <v/>
      </c>
      <c r="BQ355" s="61" t="n">
        <f aca="false">IFERROR(IF(AND(ISERROR(SEARCH(" mh"," "&amp;LOWER(W355))),ISNA(MATCH(LEFT(TRIM(BP355),255),{"0000a","000a","00a","0000aa","000aa","00aa","0aa","0000aaa","000aaa","00a00","0a00","0000-0000","00:00","a00","a0","00.00.0000","00/00/0000","00-00-0000","0000-00-00","0000/00/00","0000.00.00","00.00.00","00/00/00","00-00-00","0.00.0000","0/00/0000","0-00-0000"},0)),ISNA(MATCH(LEFT(TRIM(CA355),255),{"0000a","000a","00a","0000aa","000aa","00aa","0aa","0000aaa","000aaa","00a00","0a00","0000-0000","00:00","a00","a0","00.00.0000","00/00/0000","00-00-0000","0000-00-00","0000/00/00","0000.00.00","00.00.00","00/00/00","00-00-00","0.00.0000","0/00/0000","0-00-0000"},0)),LEN(CB355)&gt;=3,NOT(OR(SUBSTITUTE(CB355,"0","")="",AND(LEN(CB355)&gt;=4,CB355=REPT(LEFT(CB355),LEN(CB355))),ISNUMBER(MATCH(CB355,{"123","1234","12345","123456","1234567","12345678","0123","01234","012345","98765","987654","54321"},0)),AND(LEN(CB355)=8,LEFT(CB355,3)="202"))),OR(AND((LEN(CA355)-LEN(SUBSTITUTE(CA355,"a","")))&gt;=1,SUMPRODUCT(--ISNUMBER(SEARCH({"a0","a-0","a_0","a/0","a.0","a#0","0a","0-a","0_a","0/a"},BP355)))&gt;0),ISNUMBER(SEARCH("000000",BP355)))),1,0),0)</f>
        <v>0</v>
      </c>
      <c r="BR355" s="61" t="n">
        <f aca="false">IFERROR(LEN(SUBSTITUTE(CC355," ",""))-SUMPRODUCT((LEN(CC355)-LEN(SUBSTITUTE(CC355," "&amp;L_Role&amp;" "," ")))/(LEN(L_Role)+1)*LEN(L_Role)),0)</f>
        <v>0</v>
      </c>
      <c r="BS355" s="61" t="n">
        <f aca="false">IFERROR(LEN(SUBSTITUTE(CD355," ",""))-SUMPRODUCT((LEN(CD355)-LEN(SUBSTITUTE(CD355," "&amp;L_Role&amp;" "," ")))/(LEN(L_Role)+1)*LEN(L_Role)),0)</f>
        <v>0</v>
      </c>
      <c r="BT3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355,"revision",""),"version",""),"jan",""),"feb",""),"mar",""),"apr",""),"may",""),"jun",""),"jul",""),"aug",""),"sep",""),"oct",""),"nov",""),"dec",""),"utc",""),"gmt",""),"myt",""),"bst",""),"rev",""),"ver",""),"b","a"),"c","a"),"d","a"),"e","a"),"f","a"),"g","a"),"h","a"),"i","a"),"j","a"),"k","a"),"l","a"),"m","a"),"n","a"),"o","a"),"p","a"),"q","a"),"r","a"),"s","a"),"t","a"),"u","a"),"v","a"),"w","a"),"x","a"),"y","a"),"z","a")</f>
        <v/>
      </c>
      <c r="BU355" s="61" t="str">
        <f aca="false">SUBSTITUTE(SUBSTITUTE(SUBSTITUTE(SUBSTITUTE(SUBSTITUTE(SUBSTITUTE(SUBSTITUTE(SUBSTITUTE(SUBSTITUTE(SUBSTITUTE(LEFT(BM355,FIND("0",BM355&amp;"0")-1),"-",""),"_",""),"/",""),".",""),"#",""),"\\",""),":","")," ",""),"(",""),")","")</f>
        <v/>
      </c>
      <c r="BV355" s="61" t="n">
        <f aca="false">IFERROR(IF(OR(SUMPRODUCT((LEN(BC355)-LEN(SUBSTITUTE(BC355," "&amp;L_NotLoaded&amp;" "," ")))/(LEN(L_NotLoaded)+1))&gt;SUMPRODUCT((LEN(BC355)-LEN(SUBSTITUTE(BC355," "&amp;L_NotLoadedNeg&amp;" "," ")))/(LEN(L_NotLoadedNeg)+1)),SUMPRODUCT((LEN(BD355)-LEN(SUBSTITUTE(BD355," "&amp;L_NotLoaded&amp;" "," ")))/(LEN(L_NotLoaded)+1))&gt;SUMPRODUCT((LEN(BD355)-LEN(SUBSTITUTE(BD355," "&amp;L_NotLoadedNeg&amp;" "," ")))/(LEN(L_NotLoadedNeg)+1))),1,0),0)</f>
        <v>0</v>
      </c>
      <c r="BW3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355&amp;""),"a",""),"b",""),"c",""),"d",""),"e",""),"f",""),"g",""),"h",""),"i",""),"j",""),"k",""),"l",""),"m",""),"n",""),"o",""),"p",""),"q",""),"r",""),"s",""),"t",""),"u",""),"v",""),"w",""),"x",""),"y",""),"z",""),"-",""),"_",""),"/",""),".",""),"#",""),"\\",""),":","")," ",""),"(",""),")","")</f>
        <v/>
      </c>
      <c r="BX355" s="61" t="str">
        <f aca="false">SUBSTITUTE(SUBSTITUTE(SUBSTITUTE(SUBSTITUTE(SUBSTITUTE(SUBSTITUTE(SUBSTITUTE(SUBSTITUTE(SUBSTITUTE(SUBSTITUTE(SUBSTITUTE(BM355,"0",""),"-",""),"_",""),"/",""),".",""),"#",""),"\\",""),":","")," ",""),"(",""),")","")</f>
        <v/>
      </c>
      <c r="BY355" s="62" t="n">
        <f aca="false">IF(ISNUMBER(Flights!$AZ$14),MAX(Q355-UpliftWindowH/24,Flights!$AZ$14),Q355-UpliftWindowH/24)</f>
        <v>46306.90625</v>
      </c>
      <c r="BZ355" s="61" t="n">
        <f aca="false">IFERROR(IF(IF(TRIM(S355)="Link / file path",AND(LEN(TRIM(Z355))&gt;=5,SUMPRODUCT(--ISNUMBER(SEARCH({"http","www.","\\",":\",".pdf",".jpg",".jpeg",".png",".heic",".xls",".doc",".msg",".eml",".ppt",".txt",".zip"},Z355)))&gt;0),AND(ISERROR(FIND(" ",TRIM(Z355))),NOT(OR(SUMPRODUCT(--ISNUMBER(FIND({",",";","&amp;","+"},Z355)))&gt;0,SUMPRODUCT(--ISNUMBER(SEARCH({"0/aa","0\\aa"},BN355)))&gt;0)),NOT(SUMPRODUCT(--ISNUMBER(SEARCH({"http","www.","\\",":\",".pdf",".jpg",".jpeg",".png",".heic",".xls",".doc",".msg",".eml",".ppt",".txt",".zip"},Z355)))&gt;0),NOT(LOWER(TRIM(Z355))=LOWER(Flights!$F$14)),ISNA(MATCH(BU355,{"mh","rev","revision","ver","version","v","r","a","b","seat","tray","row","gate","bay","stand","page","pg","item","line","no","cart","galley","flight","flt","table","box","bag","oven","etd","eta","std","sta","atd","ata","qty","pax","x","time","tel","ph","mob","day","wk","week","utc","gmt","myt","lt"},0)),NOT(OR(ISNUMBER(MATCH(LEFT(BN355,255),{"0000a","000a","00a","0000aa","000aa","00aa","0aa","0000aaa","000aaa","00a00","0a00","0000-0000","00:00","a00","a0","00.00.0000","00/00/0000","00-00-0000","0000-00-00","0000/00/00","0000.00.00","00.00.00","00/00/00","00-00-00","0.00.0000","0/00/0000","0-00-0000"},0)),ISNUMBER(MATCH(LEFT(BT355,255),{"0000a","000a","00a","0000aa","000aa","00aa","0aa","0000aaa","000aaa","00a00","0a00","0000-0000","00:00","a00","a0","00.00.0000","00/00/0000","00-00-0000","0000-00-00","0000/00/00","0000.00.00","00.00.00","00/00/00","00-00-00","0.00.0000","0/00/0000","0-00-0000"},0)))),NOT(OR(AND(BW355&lt;&gt;"",SUBSTITUTE(BW355,"0","")=""),AND(LEN(BW355)&gt;=4,BW355=REPT(LEFT(BW355),LEN(BW355))),ISNUMBER(MATCH(BW355,{"123","1234","12345","123456","1234567","12345678","0123","01234","012345","98765","987654","54321"},0)),ISNUMBER(MATCH(BX355,{"x","xx","xxx","xxxx","xxxxx","abc","abcd","nil","na","nan","test","tbc","tba","tbd","dummy","sample","example","eg","zz","zzz","none","null","xyz","qwe","asd","id","ref"},0)),AND(LEN(BW355)=8,BX355="",OR(LEFT(BW355,3)="202",ISNUMBER(MATCH(RIGHT(BW355,4),{"2025","2026","2027"},0)))))),OR(AND((LEN(BT355)-LEN(SUBSTITUTE(BT355,"a","")))&gt;=1,(LEN(BN355)-LEN(SUBSTITUTE(BN355,"0","")))&gt;=2,SUMPRODUCT(--ISNUMBER(SEARCH({"a0","a-0","a_0","a/0","a.0","a#0","0a","0-a","0_a","0/a"},BN355)))&gt;0),AND((LEN(BN355)-LEN(SUBSTITUTE(BN355,"a","")))=0,(LEN(BN355)-LEN(SUBSTITUTE(BN355,"0","")))&gt;=5)))),1,0),0)</f>
        <v>0</v>
      </c>
      <c r="CA3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355,"revision",""),"version",""),"jan",""),"feb",""),"mar",""),"apr",""),"may",""),"jun",""),"jul",""),"aug",""),"sep",""),"oct",""),"nov",""),"dec",""),"utc",""),"gmt",""),"myt",""),"bst",""),"rev",""),"ver",""),"b","a"),"c","a"),"d","a"),"e","a"),"f","a"),"g","a"),"h","a"),"i","a"),"j","a"),"k","a"),"l","a"),"m","a"),"n","a"),"o","a"),"p","a"),"q","a"),"r","a"),"s","a"),"t","a"),"u","a"),"v","a"),"w","a"),"x","a"),"y","a"),"z","a")</f>
        <v/>
      </c>
      <c r="CB3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355&amp;""),"a",""),"b",""),"c",""),"d",""),"e",""),"f",""),"g",""),"h",""),"i",""),"j",""),"k",""),"l",""),"m",""),"n",""),"o",""),"p",""),"q",""),"r",""),"s",""),"t",""),"u",""),"v",""),"w",""),"x",""),"y",""),"z",""),"-",""),"_",""),"/",""),".",""),"#",""),"\\",""),":","")," ",""),"(",""),")","")</f>
        <v/>
      </c>
      <c r="CC355" s="0" t="str">
        <f aca="false">" "&amp;TRIM(SUBSTITUTE(SUBSTITUTE(SUBSTITUTE(SUBSTITUTE(SUBSTITUTE(SUBSTITUTE(SUBSTITUTE(SUBSTITUTE(SUBSTITUTE(SUBSTITUTE(SUBSTITUTE(SUBSTITUTE(SUBSTITUTE(SUBSTITUTE(SUBSTITUTE(SUBSTITUTE(SUBSTITUTE(SUBSTITUTE(SUBSTITUTE(SUBSTITUTE(SUBSTITUTE(SUBSTITUTE(SUBSTITUTE(SUBSTITUTE(LOWER(T355&amp;""),CHAR(10)," "),CHAR(13)," "),CHAR(9)," "),CHAR(160)," "),"."," "),","," "),"-"," "),"/"," "),"("," "),")"," "),":"," "),";"," "),"_"," "),"–"," "),"?"," "),"!"," "),"*"," "),"["," "),"]"," "),"'"," "),"#"," "),"+"," "),"&amp;"," "),"\"," "))&amp;" "</f>
        <v>  </v>
      </c>
      <c r="CD355" s="0" t="str">
        <f aca="false">" "&amp;TRIM(SUBSTITUTE(SUBSTITUTE(SUBSTITUTE(SUBSTITUTE(SUBSTITUTE(SUBSTITUTE(SUBSTITUTE(SUBSTITUTE(SUBSTITUTE(SUBSTITUTE(SUBSTITUTE(SUBSTITUTE(SUBSTITUTE(SUBSTITUTE(SUBSTITUTE(SUBSTITUTE(SUBSTITUTE(SUBSTITUTE(SUBSTITUTE(SUBSTITUTE(SUBSTITUTE(SUBSTITUTE(SUBSTITUTE(SUBSTITUTE(LOWER(AE355&amp;""),CHAR(10)," "),CHAR(13)," "),CHAR(9)," "),CHAR(160)," "),"."," "),","," "),"-"," "),"/"," "),"("," "),")"," "),":"," "),";"," "),"_"," "),"–"," "),"?"," "),"!"," "),"*"," "),"["," "),"]"," "),"'"," "),"#"," "),"+"," "),"&amp;"," "),"\"," "))&amp;" "</f>
        <v>  </v>
      </c>
      <c r="CE355" s="68" t="n">
        <f aca="false">IFERROR(IF(AND(LEN(AU355)&gt;0,LEN(AU355)=LEN(AX355),OR(TRIM(MID(SUBSTITUTE(TRIM(CC355)," ",REPT(" ",60)),1,60))="",ISNUMBER(SEARCH(" "&amp;TRIM(MID(SUBSTITUTE(TRIM(CC355)," ",REPT(" ",60)),1,60))&amp;" ",CD355))),OR(TRIM(MID(SUBSTITUTE(TRIM(CC355)," ",REPT(" ",60)),61,60))="",ISNUMBER(SEARCH(" "&amp;TRIM(MID(SUBSTITUTE(TRIM(CC355)," ",REPT(" ",60)),61,60))&amp;" ",CD355))),OR(TRIM(MID(SUBSTITUTE(TRIM(CC355)," ",REPT(" ",60)),121,60))="",ISNUMBER(SEARCH(" "&amp;TRIM(MID(SUBSTITUTE(TRIM(CC355)," ",REPT(" ",60)),121,60))&amp;" ",CD355)))),1,0),0)</f>
        <v>0</v>
      </c>
      <c r="CG355" s="68" t="n">
        <f aca="false">IFERROR(LEN(SUBSTITUTE(BF355," ",""))-SUMPRODUCT((LEN(BF355)-LEN(SUBSTITUTE(BF355," "&amp;L_NAFiller&amp;" "," ")))/(LEN(L_NAFiller)+1)*LEN(L_NAFiller)),0)</f>
        <v>0</v>
      </c>
    </row>
    <row r="356" customFormat="false" ht="39.75" hidden="false" customHeight="true" outlineLevel="0" collapsed="false">
      <c r="A356" s="57" t="s">
        <v>957</v>
      </c>
      <c r="B356" s="57" t="s">
        <v>251</v>
      </c>
      <c r="C356" s="57" t="str">
        <f aca="false">Flights!$F$14</f>
        <v>MH1140</v>
      </c>
      <c r="D356" s="58" t="n">
        <f aca="false">Flights!$D$14</f>
        <v>46307</v>
      </c>
      <c r="E356" s="57" t="str">
        <f aca="false">Flights!$G$14&amp;"-"&amp;Flights!$H$14</f>
        <v>KUL-PEN</v>
      </c>
      <c r="F356" s="57" t="str">
        <f aca="false">Flights!$K$14</f>
        <v>BC</v>
      </c>
      <c r="G356" s="57" t="s">
        <v>459</v>
      </c>
      <c r="H356" s="57" t="s">
        <v>460</v>
      </c>
      <c r="I356" s="57" t="s">
        <v>447</v>
      </c>
      <c r="J356" s="57" t="s">
        <v>555</v>
      </c>
      <c r="K356" s="67" t="s">
        <v>449</v>
      </c>
      <c r="L356" s="67" t="s">
        <v>947</v>
      </c>
      <c r="M356" s="67" t="s">
        <v>451</v>
      </c>
      <c r="N356" s="67" t="s">
        <v>383</v>
      </c>
      <c r="O356" s="67"/>
      <c r="P356" s="57" t="s">
        <v>187</v>
      </c>
      <c r="Q356" s="59" t="n">
        <f aca="false">ROUND((Flights!$AF$14)*1440,0)/1440</f>
        <v>46307.15625</v>
      </c>
      <c r="R356" s="59" t="n">
        <f aca="false">Q356+(IF(AND(INDEX(TZ_DSTS,MATCH(P356,TZ_STN,0))&lt;&gt;"",Q356&gt;=INDEX(TZ_DSTS,MATCH(P356,TZ_STN,0)),Q356&lt;INDEX(TZ_DSTE,MATCH(P356,TZ_STN,0))),INDEX(TZ_DST,MATCH(P356,TZ_STN,0)),INDEX(TZ_STD,MATCH(P356,TZ_STN,0))))/24</f>
        <v>46307.4895833333</v>
      </c>
      <c r="S356" s="60"/>
      <c r="T356" s="60"/>
      <c r="U356" s="60"/>
      <c r="V356" s="60"/>
      <c r="W356" s="61"/>
      <c r="X356" s="60"/>
      <c r="Y356" s="60"/>
      <c r="Z356" s="60"/>
      <c r="AA356" s="60"/>
      <c r="AB356" s="60"/>
      <c r="AC356" s="60"/>
      <c r="AD356" s="66"/>
      <c r="AE356" s="60"/>
      <c r="AF356" s="61" t="str">
        <f aca="false">IF(AND(ISNUMBER(X356),ISNUMBER(Y356)),Y356-X356,"")</f>
        <v/>
      </c>
      <c r="AG356" s="62" t="str">
        <f aca="false">IF(ISNUMBER(AD356),AD356-(IF(AND(INDEX(TZ_DSTS,MATCH(P356,TZ_STN,0))&lt;&gt;"",(AD356-INDEX(TZ_STD,MATCH(P356,TZ_STN,0))/24)&gt;=INDEX(TZ_DSTS,MATCH(P356,TZ_STN,0)),(AD356-INDEX(TZ_STD,MATCH(P356,TZ_STN,0))/24)&lt;INDEX(TZ_DSTE,MATCH(P356,TZ_STN,0))),INDEX(TZ_DST,MATCH(P356,TZ_STN,0)),INDEX(TZ_STD,MATCH(P356,TZ_STN,0))))/24,"")</f>
        <v/>
      </c>
      <c r="AH356" s="65" t="str">
        <f aca="false">IFERROR(IF(N356="N/A – rule",IF(OR(TRIM(U356)="",TRIM(U356)="N/A",TRIM(U356)="Not started"),"N/A – RULE","INVALID – this check does not apply to this aircraft: clear the status (or correct the fleet on Flights)"),IF(TRIM(U356)="N/A",IF(AT356=0,"INVALID – N/A not permitted for this check",IF(AND(TRIM(AB356)&lt;&gt;"",TRIM(AB356)&lt;&gt;"Closed"),"INVALID – corrective action still open",IF(AND(NOT(OR(LEN(AZ356)&lt;15,ISNUMBER(MATCH(AZ356,L_Placeholder,0)))),BK356=0,CG356&gt;=8,NOT(OR(LEN(AU356)&lt;2,ISNUMBER(MATCH(AU356,L_Placeholder,0)))),BR356&gt;=3,NOT(OR(LEN(AX356)&lt;2,ISNUMBER(MATCH(AX356,L_Placeholder,0)))),BS356&gt;=3,TRIM(AE356)&lt;&gt;TRIM(T356),AX356&lt;&gt;AU356,CE356=0),"N/A – JUSTIFIED","INVALID – N/A needs a real, settled reason (not 'not applicable' / 'as above' / TBC), a named PIC and a different named verifier"))),IF(OR(TRIM(U356)="Pass",TRIM(U356)="Pass after CA"),IF(NOT(ISNUMBER(AD356)),"INVALID – completion time missing",IF(OR(OR(LEN(AU356)&lt;2,ISNUMBER(MATCH(AU356,L_Placeholder,0))),BR356&lt;3),"INVALID – PIC missing or not a named person (a role such as QA / CSM is not a name)",IF(OR(LEN(AV356)&lt;2,ISNUMBER(MATCH(AV356,L_Placeholder,0))),"INVALID – result / assessment missing",IF(OR(OR(LEN(AW356)&lt;3,ISNUMBER(MATCH(AW356,L_Placeholder,0))),SUMPRODUCT(--ISNUMBER(SEARCH(" "&amp;L_EvidencePhrase&amp;" ",BD356)))&gt;0,BI356=1),"INVALID – evidence missing, placeholder or not yet on file",IF(ISNA(MATCH(TRIM(S356),L_EvidenceType,0)),"INVALID – choose the evidence type from the list (column S)",IF(BL356=0,"INVALID – evidence ID must be the record's own ID only (e.g. SF-2210, IMG_2231, 1045521); a link / file name needs type 'Link / file path'",IF(OR(OR(LEN(AX356)&lt;2,ISNUMBER(MATCH(AX356,L_Placeholder,0))),BS356&lt;3),"INVALID – verifier missing or not a named person (a role such as QA / CSM is not a name)",IF(OR(AX356=AU356,CE356=1,AND(LEN(AU356)&gt;=4,ISNUMBER(SEARCH(AU356,AX356))),AND(LEN(AX356)&gt;=4,ISNUMBER(SEARCH(AX356,AU356)))),"INVALID – verifier must be a different, named person (not the PIC or a role)",IF(BH356=1,"INVALID – result not yet available (awaiting / TBC)",IF(BG356=1,"INVALID – result describes a problem: record Fail, then Pass after CA (or reword if it is not a problem)",IF(BV356=1,"INVALID – wording says not on board: an on-board confirmation needs the item loaded",IF(AND(AQ356=1,OR(OR(LEN(AY356)&lt;3,ISNUMBER(MATCH(AY356,L_Placeholder,0))),BJ356=1,BQ356=0)),"INVALID – batch ID missing, placeholder or not an ID (e.g. PASB-261008-BC-017)",IF(AND(AR356=1,OR(NOT(ISNUMBER(X356)),NOT(ISNUMBER(Y356)))),"INVALID – expected/actual qty missing",IF(AND(AR356=1,OR(X356&lt;=0,Y356&lt;0)),"INVALID – expected qty must be above 0 and actual not negative",IF(AH346="N/A – JUSTIFIED","INVALID – preparation row F10-T12-15 is N/A",IF(AND(AR356=1,ISNUMBER(X346),X356&lt;&gt;X346,TRIM(U356)&lt;&gt;"Pass after CA"),"INVALID – expected qty differs from preparation check F10-T12-15: record the load change as a corrective action (Pass after CA)",IF(BB356&lt;&gt;"",BB356,IF(AND(AS356=1,Documents!$J$14&lt;&gt;"ON FILE"),"INVALID – GLD not on file (Documents sheet)",IF(AND(AS356=2,Documents!$O$14&lt;&gt;"ON FILE"),"INVALID – menu checklist not on file (Documents sheet)",IF(AND(AS356=3,NOT(ISNUMBER(Flights!$AX$14))),"INVALID – enter carrying flight KUL departure (Flights AX)",IF(AND(AS356=3,OR(Flights!$AZ$14&gt;Flights!$AA$14,Flights!$AX$14&lt;Flights!$AA$14-3)),"INVALID – carrying flight (Flights AX) cannot arrive before this leg's STD, or is over 3 days early",IF(AG356&gt;AsOfUTC,"INVALID – completion time is in the future",IF(AND(ISNUMBER(BY356),AG356&lt;BY356),IF(H356="Physical uplift","INVALID – before uplift window (cannot confirm loading)","INVALID – before valid window"),IF(AG356&gt;Flights!$AA$14,"INVALID – completed after departure (cannot establish readiness)",IF(AND(H356="Preparation",AG356&gt;=IF(ISNUMBER(Flights!$BA$14),MIN(Flights!$BA$14,Flights!$AA$14),Flights!$AA$14)),"INVALID – completed after loading / departure (cannot establish readiness)",IF(AND(H356="Physical uplift",AG356&gt;Q356),"INVALID – recorded after the loading flight departed",IF(AG356&gt;Q356,"COMPLETE – LATE","COMPLETE"))))))))))))))))))))))))))),IF(TRIM(U356)="Fail","FAIL – DISCREPANCY",IF(AND(TRIM(U356)&lt;&gt;"",TRIM(U356)&lt;&gt;"Not started",TRIM(U356)&lt;&gt;"In progress"),"INVALID – unrecognised status (use the list)",IF(AsOfUTC&gt;Q356,"OVERDUE",IF(N356="Clarification required","OPEN – CLARIFICATION","OPEN"))))))),"INVALID – error value in an input cell")</f>
        <v>OPEN</v>
      </c>
      <c r="AI356" s="61" t="n">
        <f aca="false">IF(OR(AH356="N/A – RULE",AH356="N/A – JUSTIFIED"),0,1)</f>
        <v>1</v>
      </c>
      <c r="AJ356" s="61" t="n">
        <f aca="false">IF(LEFT(AH356,8)="COMPLETE",1,0)</f>
        <v>0</v>
      </c>
      <c r="AK356" s="61" t="n">
        <f aca="false">IF(AND(AI356=1,AJ356=0,AsOfUTC&gt;Q356),1,0)</f>
        <v>0</v>
      </c>
      <c r="AL356" s="61" t="n">
        <f aca="false">IFERROR(IF(AND(AI356=1,OR(TRIM(U356)="Fail",AND(TRIM(AB356)&lt;&gt;"",TRIM(AB356)&lt;&gt;"Closed"),AND(ISNUMBER(AF356),AF356&lt;&gt;0,TRIM(U356)&lt;&gt;"Pass after CA"))),1,0),1)</f>
        <v>0</v>
      </c>
      <c r="AM356" s="61" t="n">
        <f aca="false">IF(LEFT(AH356,7)="INVALID",1,0)</f>
        <v>0</v>
      </c>
      <c r="AN356" s="61" t="n">
        <f aca="false">IF(AND(N356="Clarification required",AI356=1,AJ356=0),1,0)</f>
        <v>0</v>
      </c>
      <c r="AO356" s="61" t="str">
        <f aca="false">IF(AK356=1,SUM(AK$5:AK356),"")</f>
        <v/>
      </c>
      <c r="AP356" s="61" t="str">
        <f aca="false">IF(AL356=1,SUM(AL$5:AL356),"")</f>
        <v/>
      </c>
      <c r="AQ356" s="61" t="n">
        <v>0</v>
      </c>
      <c r="AR356" s="61" t="n">
        <v>0</v>
      </c>
      <c r="AS356" s="61" t="n">
        <v>0</v>
      </c>
      <c r="AT356" s="61" t="n">
        <v>0</v>
      </c>
      <c r="AU356" s="61" t="str">
        <f aca="false">SUBSTITUTE(SUBSTITUTE(SUBSTITUTE(SUBSTITUTE(SUBSTITUTE(SUBSTITUTE(SUBSTITUTE(SUBSTITUTE(SUBSTITUTE(SUBSTITUTE(SUBSTITUTE(SUBSTITUTE(SUBSTITUTE(SUBSTITUTE(SUBSTITUTE(SUBSTITUTE(LOWER(T356&amp;""),CHAR(10),""),CHAR(13),""),CHAR(9),""),CHAR(160),"")," ",""),".",""),"-",""),"/",""),"?",""),"_",""),",",""),"[",""),"]",""),"(",""),")",""),"*","")</f>
        <v/>
      </c>
      <c r="AV356" s="61" t="str">
        <f aca="false">SUBSTITUTE(SUBSTITUTE(SUBSTITUTE(SUBSTITUTE(SUBSTITUTE(SUBSTITUTE(SUBSTITUTE(SUBSTITUTE(SUBSTITUTE(SUBSTITUTE(SUBSTITUTE(SUBSTITUTE(SUBSTITUTE(SUBSTITUTE(SUBSTITUTE(SUBSTITUTE(LOWER(V356&amp;""),CHAR(10),""),CHAR(13),""),CHAR(9),""),CHAR(160),"")," ",""),".",""),"-",""),"/",""),"?",""),"_",""),",",""),"[",""),"]",""),"(",""),")",""),"*","")</f>
        <v/>
      </c>
      <c r="AW356" s="61" t="str">
        <f aca="false">SUBSTITUTE(SUBSTITUTE(SUBSTITUTE(SUBSTITUTE(SUBSTITUTE(SUBSTITUTE(SUBSTITUTE(SUBSTITUTE(SUBSTITUTE(SUBSTITUTE(SUBSTITUTE(SUBSTITUTE(SUBSTITUTE(SUBSTITUTE(SUBSTITUTE(SUBSTITUTE(LOWER(Z356&amp;""),CHAR(10),""),CHAR(13),""),CHAR(9),""),CHAR(160),"")," ",""),".",""),"-",""),"/",""),"?",""),"_",""),",",""),"[",""),"]",""),"(",""),")",""),"*","")</f>
        <v/>
      </c>
      <c r="AX356" s="61" t="str">
        <f aca="false">SUBSTITUTE(SUBSTITUTE(SUBSTITUTE(SUBSTITUTE(SUBSTITUTE(SUBSTITUTE(SUBSTITUTE(SUBSTITUTE(SUBSTITUTE(SUBSTITUTE(SUBSTITUTE(SUBSTITUTE(SUBSTITUTE(SUBSTITUTE(SUBSTITUTE(SUBSTITUTE(LOWER(AE356&amp;""),CHAR(10),""),CHAR(13),""),CHAR(9),""),CHAR(160),"")," ",""),".",""),"-",""),"/",""),"?",""),"_",""),",",""),"[",""),"]",""),"(",""),")",""),"*","")</f>
        <v/>
      </c>
      <c r="AY356" s="61" t="str">
        <f aca="false">SUBSTITUTE(SUBSTITUTE(SUBSTITUTE(SUBSTITUTE(SUBSTITUTE(SUBSTITUTE(SUBSTITUTE(SUBSTITUTE(SUBSTITUTE(SUBSTITUTE(SUBSTITUTE(SUBSTITUTE(SUBSTITUTE(SUBSTITUTE(SUBSTITUTE(SUBSTITUTE(LOWER(W356&amp;""),CHAR(10),""),CHAR(13),""),CHAR(9),""),CHAR(160),"")," ",""),".",""),"-",""),"/",""),"?",""),"_",""),",",""),"[",""),"]",""),"(",""),")",""),"*","")</f>
        <v/>
      </c>
      <c r="AZ356" s="61" t="str">
        <f aca="false">SUBSTITUTE(SUBSTITUTE(SUBSTITUTE(SUBSTITUTE(SUBSTITUTE(SUBSTITUTE(SUBSTITUTE(SUBSTITUTE(SUBSTITUTE(SUBSTITUTE(SUBSTITUTE(SUBSTITUTE(SUBSTITUTE(SUBSTITUTE(SUBSTITUTE(SUBSTITUTE(LOWER(AC356&amp;""),CHAR(10),""),CHAR(13),""),CHAR(9),""),CHAR(160),"")," ",""),".",""),"-",""),"/",""),"?",""),"_",""),",",""),"[",""),"]",""),"(",""),")",""),"*","")</f>
        <v/>
      </c>
      <c r="BA356" s="61" t="str">
        <f aca="false">SUBSTITUTE(SUBSTITUTE(SUBSTITUTE(SUBSTITUTE(SUBSTITUTE(SUBSTITUTE(SUBSTITUTE(SUBSTITUTE(SUBSTITUTE(SUBSTITUTE(SUBSTITUTE(SUBSTITUTE(SUBSTITUTE(SUBSTITUTE(SUBSTITUTE(SUBSTITUTE(LOWER(AA356&amp;""),CHAR(10),""),CHAR(13),""),CHAR(9),""),CHAR(160),"")," ",""),".",""),"-",""),"/",""),"?",""),"_",""),",",""),"[",""),"]",""),"(",""),")",""),"*","")</f>
        <v/>
      </c>
      <c r="BB356" s="61" t="str">
        <f aca="false">IF(AND(TRIM(U356)="Pass",ISNUMBER(AF356)),IF(AF356&lt;&gt;0,"INVALID – qty variance: use Fail or Pass after CA",""),"")&amp;IF(AND(TRIM(U356)="Pass after CA",ISNUMBER(AF356)),IF(AF356&lt;&gt;0,"INVALID – after the corrective action the actual qty must equal expected (update Actual)",""),"")&amp;IF(AND(TRIM(U356)="Pass",TRIM(AB356)&lt;&gt;"",TRIM(AB356)&lt;&gt;"Closed"),"INVALID – corrective action not closed: use Fail, then Pass after CA","")&amp;IF(AND(LEN(BA356)&gt;=2,ISNA(MATCH(LEFT(BA356,255),L_Placeholder,0)),TRIM(AB356)=""),"INVALID – CA status missing for the recorded corrective action","")&amp;IF(AND(TRIM(U356)="Pass after CA",OR(OR(LEN(BA356)&lt;5,ISNUMBER(MATCH(BA356,L_Placeholder,0))),TRIM(AB356)&lt;&gt;"Closed")),"INVALID – corrective action not recorded/closed","")</f>
        <v/>
      </c>
      <c r="BC356" s="61" t="str">
        <f aca="false">" "&amp;TRIM(SUBSTITUTE(SUBSTITUTE(SUBSTITUTE(SUBSTITUTE(SUBSTITUTE(SUBSTITUTE(SUBSTITUTE(SUBSTITUTE(SUBSTITUTE(SUBSTITUTE(SUBSTITUTE(SUBSTITUTE(SUBSTITUTE(SUBSTITUTE(SUBSTITUTE(SUBSTITUTE(SUBSTITUTE(SUBSTITUTE(SUBSTITUTE(SUBSTITUTE(SUBSTITUTE(SUBSTITUTE(SUBSTITUTE(SUBSTITUTE(LOWER(V356&amp;""),CHAR(10)," "),CHAR(13)," "),CHAR(9)," "),CHAR(160)," "),"."," "),","," "),"-"," "),"/"," "),"("," "),")"," "),":"," "),";"," "),"_"," "),"–"," "),"?"," "),"!"," "),"*"," "),"["," "),"]"," "),"'"," "),"#"," "),"+"," "),"&amp;"," "),"\"," "))&amp;" "</f>
        <v>  </v>
      </c>
      <c r="BD356" s="61" t="str">
        <f aca="false">" "&amp;TRIM(SUBSTITUTE(SUBSTITUTE(SUBSTITUTE(SUBSTITUTE(SUBSTITUTE(SUBSTITUTE(SUBSTITUTE(SUBSTITUTE(SUBSTITUTE(SUBSTITUTE(SUBSTITUTE(SUBSTITUTE(SUBSTITUTE(SUBSTITUTE(SUBSTITUTE(SUBSTITUTE(SUBSTITUTE(SUBSTITUTE(SUBSTITUTE(SUBSTITUTE(SUBSTITUTE(SUBSTITUTE(SUBSTITUTE(SUBSTITUTE(LOWER(Z356&amp;""),CHAR(10)," "),CHAR(13)," "),CHAR(9)," "),CHAR(160)," "),"."," "),","," "),"-"," "),"/"," "),"("," "),")"," "),":"," "),";"," "),"_"," "),"–"," "),"?"," "),"!"," "),"*"," "),"["," "),"]"," "),"'"," "),"#"," "),"+"," "),"&amp;"," "),"\"," "))&amp;" "</f>
        <v>  </v>
      </c>
      <c r="BE356" s="61" t="str">
        <f aca="false">" "&amp;TRIM(SUBSTITUTE(SUBSTITUTE(SUBSTITUTE(SUBSTITUTE(SUBSTITUTE(SUBSTITUTE(SUBSTITUTE(SUBSTITUTE(SUBSTITUTE(SUBSTITUTE(SUBSTITUTE(SUBSTITUTE(SUBSTITUTE(SUBSTITUTE(SUBSTITUTE(SUBSTITUTE(SUBSTITUTE(SUBSTITUTE(SUBSTITUTE(SUBSTITUTE(SUBSTITUTE(SUBSTITUTE(SUBSTITUTE(SUBSTITUTE(LOWER(W356&amp;""),CHAR(10)," "),CHAR(13)," "),CHAR(9)," "),CHAR(160)," "),"."," "),","," "),"-"," "),"/"," "),"("," "),")"," "),":"," "),";"," "),"_"," "),"–"," "),"?"," "),"!"," "),"*"," "),"["," "),"]"," "),"'"," "),"#"," "),"+"," "),"&amp;"," "),"\"," "))&amp;" "</f>
        <v>  </v>
      </c>
      <c r="BF356" s="61" t="str">
        <f aca="false">" "&amp;TRIM(SUBSTITUTE(SUBSTITUTE(SUBSTITUTE(SUBSTITUTE(SUBSTITUTE(SUBSTITUTE(SUBSTITUTE(SUBSTITUTE(SUBSTITUTE(SUBSTITUTE(SUBSTITUTE(SUBSTITUTE(SUBSTITUTE(SUBSTITUTE(SUBSTITUTE(SUBSTITUTE(SUBSTITUTE(SUBSTITUTE(SUBSTITUTE(SUBSTITUTE(SUBSTITUTE(SUBSTITUTE(SUBSTITUTE(SUBSTITUTE(LOWER(AC356&amp;""),CHAR(10)," "),CHAR(13)," "),CHAR(9)," "),CHAR(160)," "),"."," "),","," "),"-"," "),"/"," "),"("," "),")"," "),":"," "),";"," "),"_"," "),"–"," "),"?"," "),"!"," "),"*"," "),"["," "),"]"," "),"'"," "),"#"," "),"+"," "),"&amp;"," "),"\"," "))&amp;" "</f>
        <v>  </v>
      </c>
      <c r="BG356" s="61" t="n">
        <f aca="false">IFERROR(IF(AND(TRIM(U356)="Pass",SUMPRODUCT((LEN(BC356)-LEN(SUBSTITUTE(BC356," "&amp;L_ResultBad&amp;" "," ")))/(LEN(L_ResultBad)+1))&gt;SUMPRODUCT((LEN(BC356)-LEN(SUBSTITUTE(BC356," "&amp;L_NegPhrase&amp;" "," ")))/(LEN(L_NegPhrase)+1))),1,0),0)</f>
        <v>0</v>
      </c>
      <c r="BH356" s="61" t="n">
        <f aca="false">IFERROR(IF(SUMPRODUCT((LEN(BC356)-LEN(SUBSTITUTE(BC356," "&amp;L_Pending&amp;" "," ")))/(LEN(L_Pending)+1))&gt;SUMPRODUCT((LEN(BC356)-LEN(SUBSTITUTE(BC356," "&amp;L_PendNeg&amp;" "," ")))/(LEN(L_PendNeg)+1)),1,0),1)</f>
        <v>0</v>
      </c>
      <c r="BI356" s="61" t="n">
        <f aca="false">IFERROR(IF(SUMPRODUCT((LEN(BD356)-LEN(SUBSTITUTE(BD356," "&amp;L_PendStrict&amp;" "," ")))/(LEN(L_PendStrict)+1))&gt;SUMPRODUCT((LEN(BD356)-LEN(SUBSTITUTE(BD356," "&amp;L_PendNeg&amp;" "," ")))/(LEN(L_PendNeg)+1)),1,0),1)</f>
        <v>0</v>
      </c>
      <c r="BJ356" s="61" t="n">
        <f aca="false">IFERROR(IF(SUMPRODUCT((LEN(BE356)-LEN(SUBSTITUTE(BE356," "&amp;L_Pending&amp;" "," ")))/(LEN(L_Pending)+1))&gt;SUMPRODUCT((LEN(BE356)-LEN(SUBSTITUTE(BE356," "&amp;L_PendNeg&amp;" "," ")))/(LEN(L_PendNeg)+1)),1,0),1)</f>
        <v>0</v>
      </c>
      <c r="BK356" s="61" t="n">
        <f aca="false">IFERROR(IF(SUMPRODUCT((LEN(BF356)-LEN(SUBSTITUTE(BF356," "&amp;L_PendStrict&amp;" "," ")))/(LEN(L_PendStrict)+1))&gt;SUMPRODUCT((LEN(BF356)-LEN(SUBSTITUTE(BF356," "&amp;L_PendNeg&amp;" "," ")))/(LEN(L_PendNeg)+1)),1,0),1)</f>
        <v>0</v>
      </c>
      <c r="BL356" s="61" t="n">
        <f aca="false">IF(ISNA(MATCH(TRIM(S356),L_EvidenceType,0)),0,BZ356)</f>
        <v>0</v>
      </c>
      <c r="BM356" s="61" t="str">
        <f aca="false">SUBSTITUTE(SUBSTITUTE(SUBSTITUTE(SUBSTITUTE(SUBSTITUTE(SUBSTITUTE(SUBSTITUTE(SUBSTITUTE(SUBSTITUTE(LOWER(Z356&amp;""),"1","0"),"2","0"),"3","0"),"4","0"),"5","0"),"6","0"),"7","0"),"8","0"),"9","0")</f>
        <v/>
      </c>
      <c r="BN356" s="61" t="str">
        <f aca="false">SUBSTITUTE(SUBSTITUTE(SUBSTITUTE(SUBSTITUTE(SUBSTITUTE(SUBSTITUTE(SUBSTITUTE(SUBSTITUTE(SUBSTITUTE(SUBSTITUTE(SUBSTITUTE(SUBSTITUTE(SUBSTITUTE(SUBSTITUTE(SUBSTITUTE(SUBSTITUTE(SUBSTITUTE(SUBSTITUTE(SUBSTITUTE(SUBSTITUTE(SUBSTITUTE(SUBSTITUTE(SUBSTITUTE(SUBSTITUTE(SUBSTITUTE(BM356,"b","a"),"c","a"),"d","a"),"e","a"),"f","a"),"g","a"),"h","a"),"i","a"),"j","a"),"k","a"),"l","a"),"m","a"),"n","a"),"o","a"),"p","a"),"q","a"),"r","a"),"s","a"),"t","a"),"u","a"),"v","a"),"w","a"),"x","a"),"y","a"),"z","a")</f>
        <v/>
      </c>
      <c r="BO356" s="61" t="str">
        <f aca="false">SUBSTITUTE(SUBSTITUTE(SUBSTITUTE(SUBSTITUTE(SUBSTITUTE(SUBSTITUTE(SUBSTITUTE(SUBSTITUTE(SUBSTITUTE(LOWER(W356&amp;""),"1","0"),"2","0"),"3","0"),"4","0"),"5","0"),"6","0"),"7","0"),"8","0"),"9","0")</f>
        <v/>
      </c>
      <c r="BP356" s="61" t="str">
        <f aca="false">SUBSTITUTE(SUBSTITUTE(SUBSTITUTE(SUBSTITUTE(SUBSTITUTE(SUBSTITUTE(SUBSTITUTE(SUBSTITUTE(SUBSTITUTE(SUBSTITUTE(SUBSTITUTE(SUBSTITUTE(SUBSTITUTE(SUBSTITUTE(SUBSTITUTE(SUBSTITUTE(SUBSTITUTE(SUBSTITUTE(SUBSTITUTE(SUBSTITUTE(SUBSTITUTE(SUBSTITUTE(SUBSTITUTE(SUBSTITUTE(SUBSTITUTE(BO356,"b","a"),"c","a"),"d","a"),"e","a"),"f","a"),"g","a"),"h","a"),"i","a"),"j","a"),"k","a"),"l","a"),"m","a"),"n","a"),"o","a"),"p","a"),"q","a"),"r","a"),"s","a"),"t","a"),"u","a"),"v","a"),"w","a"),"x","a"),"y","a"),"z","a")</f>
        <v/>
      </c>
      <c r="BQ356" s="61" t="n">
        <f aca="false">IFERROR(IF(AND(ISERROR(SEARCH(" mh"," "&amp;LOWER(W356))),ISNA(MATCH(LEFT(TRIM(BP356),255),{"0000a","000a","00a","0000aa","000aa","00aa","0aa","0000aaa","000aaa","00a00","0a00","0000-0000","00:00","a00","a0","00.00.0000","00/00/0000","00-00-0000","0000-00-00","0000/00/00","0000.00.00","00.00.00","00/00/00","00-00-00","0.00.0000","0/00/0000","0-00-0000"},0)),ISNA(MATCH(LEFT(TRIM(CA356),255),{"0000a","000a","00a","0000aa","000aa","00aa","0aa","0000aaa","000aaa","00a00","0a00","0000-0000","00:00","a00","a0","00.00.0000","00/00/0000","00-00-0000","0000-00-00","0000/00/00","0000.00.00","00.00.00","00/00/00","00-00-00","0.00.0000","0/00/0000","0-00-0000"},0)),LEN(CB356)&gt;=3,NOT(OR(SUBSTITUTE(CB356,"0","")="",AND(LEN(CB356)&gt;=4,CB356=REPT(LEFT(CB356),LEN(CB356))),ISNUMBER(MATCH(CB356,{"123","1234","12345","123456","1234567","12345678","0123","01234","012345","98765","987654","54321"},0)),AND(LEN(CB356)=8,LEFT(CB356,3)="202"))),OR(AND((LEN(CA356)-LEN(SUBSTITUTE(CA356,"a","")))&gt;=1,SUMPRODUCT(--ISNUMBER(SEARCH({"a0","a-0","a_0","a/0","a.0","a#0","0a","0-a","0_a","0/a"},BP356)))&gt;0),ISNUMBER(SEARCH("000000",BP356)))),1,0),0)</f>
        <v>0</v>
      </c>
      <c r="BR356" s="61" t="n">
        <f aca="false">IFERROR(LEN(SUBSTITUTE(CC356," ",""))-SUMPRODUCT((LEN(CC356)-LEN(SUBSTITUTE(CC356," "&amp;L_Role&amp;" "," ")))/(LEN(L_Role)+1)*LEN(L_Role)),0)</f>
        <v>0</v>
      </c>
      <c r="BS356" s="61" t="n">
        <f aca="false">IFERROR(LEN(SUBSTITUTE(CD356," ",""))-SUMPRODUCT((LEN(CD356)-LEN(SUBSTITUTE(CD356," "&amp;L_Role&amp;" "," ")))/(LEN(L_Role)+1)*LEN(L_Role)),0)</f>
        <v>0</v>
      </c>
      <c r="BT3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356,"revision",""),"version",""),"jan",""),"feb",""),"mar",""),"apr",""),"may",""),"jun",""),"jul",""),"aug",""),"sep",""),"oct",""),"nov",""),"dec",""),"utc",""),"gmt",""),"myt",""),"bst",""),"rev",""),"ver",""),"b","a"),"c","a"),"d","a"),"e","a"),"f","a"),"g","a"),"h","a"),"i","a"),"j","a"),"k","a"),"l","a"),"m","a"),"n","a"),"o","a"),"p","a"),"q","a"),"r","a"),"s","a"),"t","a"),"u","a"),"v","a"),"w","a"),"x","a"),"y","a"),"z","a")</f>
        <v/>
      </c>
      <c r="BU356" s="61" t="str">
        <f aca="false">SUBSTITUTE(SUBSTITUTE(SUBSTITUTE(SUBSTITUTE(SUBSTITUTE(SUBSTITUTE(SUBSTITUTE(SUBSTITUTE(SUBSTITUTE(SUBSTITUTE(LEFT(BM356,FIND("0",BM356&amp;"0")-1),"-",""),"_",""),"/",""),".",""),"#",""),"\\",""),":","")," ",""),"(",""),")","")</f>
        <v/>
      </c>
      <c r="BV356" s="61" t="n">
        <f aca="false">IFERROR(IF(OR(SUMPRODUCT((LEN(BC356)-LEN(SUBSTITUTE(BC356," "&amp;L_NotLoaded&amp;" "," ")))/(LEN(L_NotLoaded)+1))&gt;SUMPRODUCT((LEN(BC356)-LEN(SUBSTITUTE(BC356," "&amp;L_NotLoadedNeg&amp;" "," ")))/(LEN(L_NotLoadedNeg)+1)),SUMPRODUCT((LEN(BD356)-LEN(SUBSTITUTE(BD356," "&amp;L_NotLoaded&amp;" "," ")))/(LEN(L_NotLoaded)+1))&gt;SUMPRODUCT((LEN(BD356)-LEN(SUBSTITUTE(BD356," "&amp;L_NotLoadedNeg&amp;" "," ")))/(LEN(L_NotLoadedNeg)+1))),1,0),0)</f>
        <v>0</v>
      </c>
      <c r="BW3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356&amp;""),"a",""),"b",""),"c",""),"d",""),"e",""),"f",""),"g",""),"h",""),"i",""),"j",""),"k",""),"l",""),"m",""),"n",""),"o",""),"p",""),"q",""),"r",""),"s",""),"t",""),"u",""),"v",""),"w",""),"x",""),"y",""),"z",""),"-",""),"_",""),"/",""),".",""),"#",""),"\\",""),":","")," ",""),"(",""),")","")</f>
        <v/>
      </c>
      <c r="BX356" s="61" t="str">
        <f aca="false">SUBSTITUTE(SUBSTITUTE(SUBSTITUTE(SUBSTITUTE(SUBSTITUTE(SUBSTITUTE(SUBSTITUTE(SUBSTITUTE(SUBSTITUTE(SUBSTITUTE(SUBSTITUTE(BM356,"0",""),"-",""),"_",""),"/",""),".",""),"#",""),"\\",""),":","")," ",""),"(",""),")","")</f>
        <v/>
      </c>
      <c r="BY356" s="62" t="n">
        <f aca="false">IF(ISNUMBER(Flights!$AZ$14),MAX(Q356-UpliftWindowH/24,Flights!$AZ$14),Q356-UpliftWindowH/24)</f>
        <v>46306.90625</v>
      </c>
      <c r="BZ356" s="61" t="n">
        <f aca="false">IFERROR(IF(IF(TRIM(S356)="Link / file path",AND(LEN(TRIM(Z356))&gt;=5,SUMPRODUCT(--ISNUMBER(SEARCH({"http","www.","\\",":\",".pdf",".jpg",".jpeg",".png",".heic",".xls",".doc",".msg",".eml",".ppt",".txt",".zip"},Z356)))&gt;0),AND(ISERROR(FIND(" ",TRIM(Z356))),NOT(OR(SUMPRODUCT(--ISNUMBER(FIND({",",";","&amp;","+"},Z356)))&gt;0,SUMPRODUCT(--ISNUMBER(SEARCH({"0/aa","0\\aa"},BN356)))&gt;0)),NOT(SUMPRODUCT(--ISNUMBER(SEARCH({"http","www.","\\",":\",".pdf",".jpg",".jpeg",".png",".heic",".xls",".doc",".msg",".eml",".ppt",".txt",".zip"},Z356)))&gt;0),NOT(LOWER(TRIM(Z356))=LOWER(Flights!$F$14)),ISNA(MATCH(BU356,{"mh","rev","revision","ver","version","v","r","a","b","seat","tray","row","gate","bay","stand","page","pg","item","line","no","cart","galley","flight","flt","table","box","bag","oven","etd","eta","std","sta","atd","ata","qty","pax","x","time","tel","ph","mob","day","wk","week","utc","gmt","myt","lt"},0)),NOT(OR(ISNUMBER(MATCH(LEFT(BN356,255),{"0000a","000a","00a","0000aa","000aa","00aa","0aa","0000aaa","000aaa","00a00","0a00","0000-0000","00:00","a00","a0","00.00.0000","00/00/0000","00-00-0000","0000-00-00","0000/00/00","0000.00.00","00.00.00","00/00/00","00-00-00","0.00.0000","0/00/0000","0-00-0000"},0)),ISNUMBER(MATCH(LEFT(BT356,255),{"0000a","000a","00a","0000aa","000aa","00aa","0aa","0000aaa","000aaa","00a00","0a00","0000-0000","00:00","a00","a0","00.00.0000","00/00/0000","00-00-0000","0000-00-00","0000/00/00","0000.00.00","00.00.00","00/00/00","00-00-00","0.00.0000","0/00/0000","0-00-0000"},0)))),NOT(OR(AND(BW356&lt;&gt;"",SUBSTITUTE(BW356,"0","")=""),AND(LEN(BW356)&gt;=4,BW356=REPT(LEFT(BW356),LEN(BW356))),ISNUMBER(MATCH(BW356,{"123","1234","12345","123456","1234567","12345678","0123","01234","012345","98765","987654","54321"},0)),ISNUMBER(MATCH(BX356,{"x","xx","xxx","xxxx","xxxxx","abc","abcd","nil","na","nan","test","tbc","tba","tbd","dummy","sample","example","eg","zz","zzz","none","null","xyz","qwe","asd","id","ref"},0)),AND(LEN(BW356)=8,BX356="",OR(LEFT(BW356,3)="202",ISNUMBER(MATCH(RIGHT(BW356,4),{"2025","2026","2027"},0)))))),OR(AND((LEN(BT356)-LEN(SUBSTITUTE(BT356,"a","")))&gt;=1,(LEN(BN356)-LEN(SUBSTITUTE(BN356,"0","")))&gt;=2,SUMPRODUCT(--ISNUMBER(SEARCH({"a0","a-0","a_0","a/0","a.0","a#0","0a","0-a","0_a","0/a"},BN356)))&gt;0),AND((LEN(BN356)-LEN(SUBSTITUTE(BN356,"a","")))=0,(LEN(BN356)-LEN(SUBSTITUTE(BN356,"0","")))&gt;=5)))),1,0),0)</f>
        <v>0</v>
      </c>
      <c r="CA3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356,"revision",""),"version",""),"jan",""),"feb",""),"mar",""),"apr",""),"may",""),"jun",""),"jul",""),"aug",""),"sep",""),"oct",""),"nov",""),"dec",""),"utc",""),"gmt",""),"myt",""),"bst",""),"rev",""),"ver",""),"b","a"),"c","a"),"d","a"),"e","a"),"f","a"),"g","a"),"h","a"),"i","a"),"j","a"),"k","a"),"l","a"),"m","a"),"n","a"),"o","a"),"p","a"),"q","a"),"r","a"),"s","a"),"t","a"),"u","a"),"v","a"),"w","a"),"x","a"),"y","a"),"z","a")</f>
        <v/>
      </c>
      <c r="CB3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356&amp;""),"a",""),"b",""),"c",""),"d",""),"e",""),"f",""),"g",""),"h",""),"i",""),"j",""),"k",""),"l",""),"m",""),"n",""),"o",""),"p",""),"q",""),"r",""),"s",""),"t",""),"u",""),"v",""),"w",""),"x",""),"y",""),"z",""),"-",""),"_",""),"/",""),".",""),"#",""),"\\",""),":","")," ",""),"(",""),")","")</f>
        <v/>
      </c>
      <c r="CC356" s="0" t="str">
        <f aca="false">" "&amp;TRIM(SUBSTITUTE(SUBSTITUTE(SUBSTITUTE(SUBSTITUTE(SUBSTITUTE(SUBSTITUTE(SUBSTITUTE(SUBSTITUTE(SUBSTITUTE(SUBSTITUTE(SUBSTITUTE(SUBSTITUTE(SUBSTITUTE(SUBSTITUTE(SUBSTITUTE(SUBSTITUTE(SUBSTITUTE(SUBSTITUTE(SUBSTITUTE(SUBSTITUTE(SUBSTITUTE(SUBSTITUTE(SUBSTITUTE(SUBSTITUTE(LOWER(T356&amp;""),CHAR(10)," "),CHAR(13)," "),CHAR(9)," "),CHAR(160)," "),"."," "),","," "),"-"," "),"/"," "),"("," "),")"," "),":"," "),";"," "),"_"," "),"–"," "),"?"," "),"!"," "),"*"," "),"["," "),"]"," "),"'"," "),"#"," "),"+"," "),"&amp;"," "),"\"," "))&amp;" "</f>
        <v>  </v>
      </c>
      <c r="CD356" s="0" t="str">
        <f aca="false">" "&amp;TRIM(SUBSTITUTE(SUBSTITUTE(SUBSTITUTE(SUBSTITUTE(SUBSTITUTE(SUBSTITUTE(SUBSTITUTE(SUBSTITUTE(SUBSTITUTE(SUBSTITUTE(SUBSTITUTE(SUBSTITUTE(SUBSTITUTE(SUBSTITUTE(SUBSTITUTE(SUBSTITUTE(SUBSTITUTE(SUBSTITUTE(SUBSTITUTE(SUBSTITUTE(SUBSTITUTE(SUBSTITUTE(SUBSTITUTE(SUBSTITUTE(LOWER(AE356&amp;""),CHAR(10)," "),CHAR(13)," "),CHAR(9)," "),CHAR(160)," "),"."," "),","," "),"-"," "),"/"," "),"("," "),")"," "),":"," "),";"," "),"_"," "),"–"," "),"?"," "),"!"," "),"*"," "),"["," "),"]"," "),"'"," "),"#"," "),"+"," "),"&amp;"," "),"\"," "))&amp;" "</f>
        <v>  </v>
      </c>
      <c r="CE356" s="68" t="n">
        <f aca="false">IFERROR(IF(AND(LEN(AU356)&gt;0,LEN(AU356)=LEN(AX356),OR(TRIM(MID(SUBSTITUTE(TRIM(CC356)," ",REPT(" ",60)),1,60))="",ISNUMBER(SEARCH(" "&amp;TRIM(MID(SUBSTITUTE(TRIM(CC356)," ",REPT(" ",60)),1,60))&amp;" ",CD356))),OR(TRIM(MID(SUBSTITUTE(TRIM(CC356)," ",REPT(" ",60)),61,60))="",ISNUMBER(SEARCH(" "&amp;TRIM(MID(SUBSTITUTE(TRIM(CC356)," ",REPT(" ",60)),61,60))&amp;" ",CD356))),OR(TRIM(MID(SUBSTITUTE(TRIM(CC356)," ",REPT(" ",60)),121,60))="",ISNUMBER(SEARCH(" "&amp;TRIM(MID(SUBSTITUTE(TRIM(CC356)," ",REPT(" ",60)),121,60))&amp;" ",CD356)))),1,0),0)</f>
        <v>0</v>
      </c>
      <c r="CG356" s="68" t="n">
        <f aca="false">IFERROR(LEN(SUBSTITUTE(BF356," ",""))-SUMPRODUCT((LEN(BF356)-LEN(SUBSTITUTE(BF356," "&amp;L_NAFiller&amp;" "," ")))/(LEN(L_NAFiller)+1)*LEN(L_NAFiller)),0)</f>
        <v>0</v>
      </c>
    </row>
    <row r="357" customFormat="false" ht="39.75" hidden="false" customHeight="true" outlineLevel="0" collapsed="false">
      <c r="A357" s="57" t="s">
        <v>958</v>
      </c>
      <c r="B357" s="57" t="s">
        <v>258</v>
      </c>
      <c r="C357" s="57" t="str">
        <f aca="false">Flights!$F$15</f>
        <v>MH1149</v>
      </c>
      <c r="D357" s="58" t="n">
        <f aca="false">Flights!$D$15</f>
        <v>46307</v>
      </c>
      <c r="E357" s="57" t="str">
        <f aca="false">Flights!$G$15&amp;"-"&amp;Flights!$H$15</f>
        <v>PEN-KUL</v>
      </c>
      <c r="F357" s="57" t="str">
        <f aca="false">Flights!$K$15</f>
        <v>EY</v>
      </c>
      <c r="G357" s="57" t="s">
        <v>81</v>
      </c>
      <c r="H357" s="57" t="s">
        <v>378</v>
      </c>
      <c r="I357" s="57" t="s">
        <v>379</v>
      </c>
      <c r="J357" s="57" t="s">
        <v>380</v>
      </c>
      <c r="K357" s="67" t="s">
        <v>381</v>
      </c>
      <c r="L357" s="67" t="s">
        <v>382</v>
      </c>
      <c r="M357" s="67"/>
      <c r="N357" s="67" t="s">
        <v>383</v>
      </c>
      <c r="O357" s="67" t="s">
        <v>912</v>
      </c>
      <c r="P357" s="57" t="s">
        <v>187</v>
      </c>
      <c r="Q357" s="59" t="n">
        <f aca="false">ROUND((Flights!$AC$15)*1440,0)/1440</f>
        <v>46300.3263888889</v>
      </c>
      <c r="R357" s="59" t="n">
        <f aca="false">Q357+(IF(AND(INDEX(TZ_DSTS,MATCH(P357,TZ_STN,0))&lt;&gt;"",Q357&gt;=INDEX(TZ_DSTS,MATCH(P357,TZ_STN,0)),Q357&lt;INDEX(TZ_DSTE,MATCH(P357,TZ_STN,0))),INDEX(TZ_DST,MATCH(P357,TZ_STN,0)),INDEX(TZ_STD,MATCH(P357,TZ_STN,0))))/24</f>
        <v>46300.6597222222</v>
      </c>
      <c r="S357" s="60"/>
      <c r="T357" s="60"/>
      <c r="U357" s="60"/>
      <c r="V357" s="60"/>
      <c r="W357" s="61"/>
      <c r="X357" s="60"/>
      <c r="Y357" s="60"/>
      <c r="Z357" s="60"/>
      <c r="AA357" s="60"/>
      <c r="AB357" s="60"/>
      <c r="AC357" s="60"/>
      <c r="AD357" s="66"/>
      <c r="AE357" s="60"/>
      <c r="AF357" s="61" t="str">
        <f aca="false">IF(AND(ISNUMBER(X357),ISNUMBER(Y357)),Y357-X357,"")</f>
        <v/>
      </c>
      <c r="AG357" s="62" t="str">
        <f aca="false">IF(ISNUMBER(AD357),AD357-(IF(AND(INDEX(TZ_DSTS,MATCH(P357,TZ_STN,0))&lt;&gt;"",(AD357-INDEX(TZ_STD,MATCH(P357,TZ_STN,0))/24)&gt;=INDEX(TZ_DSTS,MATCH(P357,TZ_STN,0)),(AD357-INDEX(TZ_STD,MATCH(P357,TZ_STN,0))/24)&lt;INDEX(TZ_DSTE,MATCH(P357,TZ_STN,0))),INDEX(TZ_DST,MATCH(P357,TZ_STN,0)),INDEX(TZ_STD,MATCH(P357,TZ_STN,0))))/24,"")</f>
        <v/>
      </c>
      <c r="AH357" s="65" t="str">
        <f aca="false">IFERROR(IF(N357="N/A – rule",IF(OR(TRIM(U357)="",TRIM(U357)="N/A",TRIM(U357)="Not started"),"N/A – RULE","INVALID – this check does not apply to this aircraft: clear the status (or correct the fleet on Flights)"),IF(TRIM(U357)="N/A",IF(AT357=0,"INVALID – N/A not permitted for this check",IF(AND(TRIM(AB357)&lt;&gt;"",TRIM(AB357)&lt;&gt;"Closed"),"INVALID – corrective action still open",IF(AND(NOT(OR(LEN(AZ357)&lt;15,ISNUMBER(MATCH(AZ357,L_Placeholder,0)))),BK357=0,CG357&gt;=8,NOT(OR(LEN(AU357)&lt;2,ISNUMBER(MATCH(AU357,L_Placeholder,0)))),BR357&gt;=3,NOT(OR(LEN(AX357)&lt;2,ISNUMBER(MATCH(AX357,L_Placeholder,0)))),BS357&gt;=3,TRIM(AE357)&lt;&gt;TRIM(T357),AX357&lt;&gt;AU357,CE357=0),"N/A – JUSTIFIED","INVALID – N/A needs a real, settled reason (not 'not applicable' / 'as above' / TBC), a named PIC and a different named verifier"))),IF(OR(TRIM(U357)="Pass",TRIM(U357)="Pass after CA"),IF(NOT(ISNUMBER(AD357)),"INVALID – completion time missing",IF(OR(OR(LEN(AU357)&lt;2,ISNUMBER(MATCH(AU357,L_Placeholder,0))),BR357&lt;3),"INVALID – PIC missing or not a named person (a role such as QA / CSM is not a name)",IF(OR(LEN(AV357)&lt;2,ISNUMBER(MATCH(AV357,L_Placeholder,0))),"INVALID – result / assessment missing",IF(OR(OR(LEN(AW357)&lt;3,ISNUMBER(MATCH(AW357,L_Placeholder,0))),SUMPRODUCT(--ISNUMBER(SEARCH(" "&amp;L_EvidencePhrase&amp;" ",BD357)))&gt;0,BI357=1),"INVALID – evidence missing, placeholder or not yet on file",IF(ISNA(MATCH(TRIM(S357),L_EvidenceType,0)),"INVALID – choose the evidence type from the list (column S)",IF(BL357=0,"INVALID – evidence ID must be the record's own ID only (e.g. SF-2210, IMG_2231, 1045521); a link / file name needs type 'Link / file path'",IF(OR(OR(LEN(AX357)&lt;2,ISNUMBER(MATCH(AX357,L_Placeholder,0))),BS357&lt;3),"INVALID – verifier missing or not a named person (a role such as QA / CSM is not a name)",IF(OR(AX357=AU357,CE357=1,AND(LEN(AU357)&gt;=4,ISNUMBER(SEARCH(AU357,AX357))),AND(LEN(AX357)&gt;=4,ISNUMBER(SEARCH(AX357,AU357)))),"INVALID – verifier must be a different, named person (not the PIC or a role)",IF(BH357=1,"INVALID – result not yet available (awaiting / TBC)",IF(BG357=1,"INVALID – result describes a problem: record Fail, then Pass after CA (or reword if it is not a problem)",IF(BV357=1,"INVALID – wording says not on board: an on-board confirmation needs the item loaded",IF(AND(AQ357=1,OR(OR(LEN(AY357)&lt;3,ISNUMBER(MATCH(AY357,L_Placeholder,0))),BJ357=1,BQ357=0)),"INVALID – batch ID missing, placeholder or not an ID (e.g. PASB-261008-BC-017)",IF(AND(AR357=1,OR(NOT(ISNUMBER(X357)),NOT(ISNUMBER(Y357)))),"INVALID – expected/actual qty missing",IF(AND(AR357=1,OR(X357&lt;=0,Y357&lt;0)),"INVALID – expected qty must be above 0 and actual not negative",IF(BB357&lt;&gt;"",BB357,IF(AND(AS357=1,Documents!$J$15&lt;&gt;"ON FILE"),"INVALID – GLD not on file (Documents sheet)",IF(AND(AS357=2,Documents!$O$15&lt;&gt;"ON FILE"),"INVALID – menu checklist not on file (Documents sheet)",IF(AND(AS357=3,NOT(ISNUMBER(Flights!$AX$15))),"INVALID – enter carrying flight KUL departure (Flights AX)",IF(AND(AS357=3,OR(Flights!$AZ$15&gt;Flights!$AA$15,Flights!$AX$15&lt;Flights!$AA$15-3)),"INVALID – carrying flight (Flights AX) cannot arrive before this leg's STD, or is over 3 days early",IF(AG357&gt;AsOfUTC,"INVALID – completion time is in the future",IF(AND(ISNUMBER(BY357),AG357&lt;BY357),IF(H357="Physical uplift","INVALID – before uplift window (cannot confirm loading)","INVALID – before valid window"),IF(AG357&gt;Flights!$AA$15,"INVALID – completed after departure (cannot establish readiness)",IF(AND(H357="Preparation",AG357&gt;=IF(ISNUMBER(Flights!$BA$15),MIN(Flights!$BA$15,Flights!$AA$15),Flights!$AA$15)),"INVALID – completed after loading / departure (cannot establish readiness)",IF(AND(H357="Physical uplift",AG357&gt;Q357),"INVALID – recorded after the loading flight departed",IF(AG357&gt;Q357,"COMPLETE – LATE","COMPLETE"))))))))))))))))))))))))),IF(TRIM(U357)="Fail","FAIL – DISCREPANCY",IF(AND(TRIM(U357)&lt;&gt;"",TRIM(U357)&lt;&gt;"Not started",TRIM(U357)&lt;&gt;"In progress"),"INVALID – unrecognised status (use the list)",IF(AsOfUTC&gt;Q357,"OVERDUE",IF(N357="Clarification required","OPEN – CLARIFICATION","OPEN"))))))),"INVALID – error value in an input cell")</f>
        <v>OPEN</v>
      </c>
      <c r="AI357" s="61" t="n">
        <f aca="false">IF(OR(AH357="N/A – RULE",AH357="N/A – JUSTIFIED"),0,1)</f>
        <v>1</v>
      </c>
      <c r="AJ357" s="61" t="n">
        <f aca="false">IF(LEFT(AH357,8)="COMPLETE",1,0)</f>
        <v>0</v>
      </c>
      <c r="AK357" s="61" t="n">
        <f aca="false">IF(AND(AI357=1,AJ357=0,AsOfUTC&gt;Q357),1,0)</f>
        <v>0</v>
      </c>
      <c r="AL357" s="61" t="n">
        <f aca="false">IFERROR(IF(AND(AI357=1,OR(TRIM(U357)="Fail",AND(TRIM(AB357)&lt;&gt;"",TRIM(AB357)&lt;&gt;"Closed"),AND(ISNUMBER(AF357),AF357&lt;&gt;0,TRIM(U357)&lt;&gt;"Pass after CA"))),1,0),1)</f>
        <v>0</v>
      </c>
      <c r="AM357" s="61" t="n">
        <f aca="false">IF(LEFT(AH357,7)="INVALID",1,0)</f>
        <v>0</v>
      </c>
      <c r="AN357" s="61" t="n">
        <f aca="false">IF(AND(N357="Clarification required",AI357=1,AJ357=0),1,0)</f>
        <v>0</v>
      </c>
      <c r="AO357" s="61" t="str">
        <f aca="false">IF(AK357=1,SUM(AK$5:AK357),"")</f>
        <v/>
      </c>
      <c r="AP357" s="61" t="str">
        <f aca="false">IF(AL357=1,SUM(AL$5:AL357),"")</f>
        <v/>
      </c>
      <c r="AQ357" s="61" t="n">
        <v>0</v>
      </c>
      <c r="AR357" s="61" t="n">
        <v>0</v>
      </c>
      <c r="AS357" s="61" t="n">
        <v>0</v>
      </c>
      <c r="AT357" s="61" t="n">
        <v>0</v>
      </c>
      <c r="AU357" s="61" t="str">
        <f aca="false">SUBSTITUTE(SUBSTITUTE(SUBSTITUTE(SUBSTITUTE(SUBSTITUTE(SUBSTITUTE(SUBSTITUTE(SUBSTITUTE(SUBSTITUTE(SUBSTITUTE(SUBSTITUTE(SUBSTITUTE(SUBSTITUTE(SUBSTITUTE(SUBSTITUTE(SUBSTITUTE(LOWER(T357&amp;""),CHAR(10),""),CHAR(13),""),CHAR(9),""),CHAR(160),"")," ",""),".",""),"-",""),"/",""),"?",""),"_",""),",",""),"[",""),"]",""),"(",""),")",""),"*","")</f>
        <v/>
      </c>
      <c r="AV357" s="61" t="str">
        <f aca="false">SUBSTITUTE(SUBSTITUTE(SUBSTITUTE(SUBSTITUTE(SUBSTITUTE(SUBSTITUTE(SUBSTITUTE(SUBSTITUTE(SUBSTITUTE(SUBSTITUTE(SUBSTITUTE(SUBSTITUTE(SUBSTITUTE(SUBSTITUTE(SUBSTITUTE(SUBSTITUTE(LOWER(V357&amp;""),CHAR(10),""),CHAR(13),""),CHAR(9),""),CHAR(160),"")," ",""),".",""),"-",""),"/",""),"?",""),"_",""),",",""),"[",""),"]",""),"(",""),")",""),"*","")</f>
        <v/>
      </c>
      <c r="AW357" s="61" t="str">
        <f aca="false">SUBSTITUTE(SUBSTITUTE(SUBSTITUTE(SUBSTITUTE(SUBSTITUTE(SUBSTITUTE(SUBSTITUTE(SUBSTITUTE(SUBSTITUTE(SUBSTITUTE(SUBSTITUTE(SUBSTITUTE(SUBSTITUTE(SUBSTITUTE(SUBSTITUTE(SUBSTITUTE(LOWER(Z357&amp;""),CHAR(10),""),CHAR(13),""),CHAR(9),""),CHAR(160),"")," ",""),".",""),"-",""),"/",""),"?",""),"_",""),",",""),"[",""),"]",""),"(",""),")",""),"*","")</f>
        <v/>
      </c>
      <c r="AX357" s="61" t="str">
        <f aca="false">SUBSTITUTE(SUBSTITUTE(SUBSTITUTE(SUBSTITUTE(SUBSTITUTE(SUBSTITUTE(SUBSTITUTE(SUBSTITUTE(SUBSTITUTE(SUBSTITUTE(SUBSTITUTE(SUBSTITUTE(SUBSTITUTE(SUBSTITUTE(SUBSTITUTE(SUBSTITUTE(LOWER(AE357&amp;""),CHAR(10),""),CHAR(13),""),CHAR(9),""),CHAR(160),"")," ",""),".",""),"-",""),"/",""),"?",""),"_",""),",",""),"[",""),"]",""),"(",""),")",""),"*","")</f>
        <v/>
      </c>
      <c r="AY357" s="61" t="str">
        <f aca="false">SUBSTITUTE(SUBSTITUTE(SUBSTITUTE(SUBSTITUTE(SUBSTITUTE(SUBSTITUTE(SUBSTITUTE(SUBSTITUTE(SUBSTITUTE(SUBSTITUTE(SUBSTITUTE(SUBSTITUTE(SUBSTITUTE(SUBSTITUTE(SUBSTITUTE(SUBSTITUTE(LOWER(W357&amp;""),CHAR(10),""),CHAR(13),""),CHAR(9),""),CHAR(160),"")," ",""),".",""),"-",""),"/",""),"?",""),"_",""),",",""),"[",""),"]",""),"(",""),")",""),"*","")</f>
        <v/>
      </c>
      <c r="AZ357" s="61" t="str">
        <f aca="false">SUBSTITUTE(SUBSTITUTE(SUBSTITUTE(SUBSTITUTE(SUBSTITUTE(SUBSTITUTE(SUBSTITUTE(SUBSTITUTE(SUBSTITUTE(SUBSTITUTE(SUBSTITUTE(SUBSTITUTE(SUBSTITUTE(SUBSTITUTE(SUBSTITUTE(SUBSTITUTE(LOWER(AC357&amp;""),CHAR(10),""),CHAR(13),""),CHAR(9),""),CHAR(160),"")," ",""),".",""),"-",""),"/",""),"?",""),"_",""),",",""),"[",""),"]",""),"(",""),")",""),"*","")</f>
        <v/>
      </c>
      <c r="BA357" s="61" t="str">
        <f aca="false">SUBSTITUTE(SUBSTITUTE(SUBSTITUTE(SUBSTITUTE(SUBSTITUTE(SUBSTITUTE(SUBSTITUTE(SUBSTITUTE(SUBSTITUTE(SUBSTITUTE(SUBSTITUTE(SUBSTITUTE(SUBSTITUTE(SUBSTITUTE(SUBSTITUTE(SUBSTITUTE(LOWER(AA357&amp;""),CHAR(10),""),CHAR(13),""),CHAR(9),""),CHAR(160),"")," ",""),".",""),"-",""),"/",""),"?",""),"_",""),",",""),"[",""),"]",""),"(",""),")",""),"*","")</f>
        <v/>
      </c>
      <c r="BB357" s="61" t="str">
        <f aca="false">IF(AND(TRIM(U357)="Pass",ISNUMBER(AF357)),IF(AF357&lt;&gt;0,"INVALID – qty variance: use Fail or Pass after CA",""),"")&amp;IF(AND(TRIM(U357)="Pass after CA",ISNUMBER(AF357)),IF(AF357&lt;&gt;0,"INVALID – after the corrective action the actual qty must equal expected (update Actual)",""),"")&amp;IF(AND(TRIM(U357)="Pass",TRIM(AB357)&lt;&gt;"",TRIM(AB357)&lt;&gt;"Closed"),"INVALID – corrective action not closed: use Fail, then Pass after CA","")&amp;IF(AND(LEN(BA357)&gt;=2,ISNA(MATCH(LEFT(BA357,255),L_Placeholder,0)),TRIM(AB357)=""),"INVALID – CA status missing for the recorded corrective action","")&amp;IF(AND(TRIM(U357)="Pass after CA",OR(OR(LEN(BA357)&lt;5,ISNUMBER(MATCH(BA357,L_Placeholder,0))),TRIM(AB357)&lt;&gt;"Closed")),"INVALID – corrective action not recorded/closed","")</f>
        <v/>
      </c>
      <c r="BC357" s="61" t="str">
        <f aca="false">" "&amp;TRIM(SUBSTITUTE(SUBSTITUTE(SUBSTITUTE(SUBSTITUTE(SUBSTITUTE(SUBSTITUTE(SUBSTITUTE(SUBSTITUTE(SUBSTITUTE(SUBSTITUTE(SUBSTITUTE(SUBSTITUTE(SUBSTITUTE(SUBSTITUTE(SUBSTITUTE(SUBSTITUTE(SUBSTITUTE(SUBSTITUTE(SUBSTITUTE(SUBSTITUTE(SUBSTITUTE(SUBSTITUTE(SUBSTITUTE(SUBSTITUTE(LOWER(V357&amp;""),CHAR(10)," "),CHAR(13)," "),CHAR(9)," "),CHAR(160)," "),"."," "),","," "),"-"," "),"/"," "),"("," "),")"," "),":"," "),";"," "),"_"," "),"–"," "),"?"," "),"!"," "),"*"," "),"["," "),"]"," "),"'"," "),"#"," "),"+"," "),"&amp;"," "),"\"," "))&amp;" "</f>
        <v>  </v>
      </c>
      <c r="BD357" s="61" t="str">
        <f aca="false">" "&amp;TRIM(SUBSTITUTE(SUBSTITUTE(SUBSTITUTE(SUBSTITUTE(SUBSTITUTE(SUBSTITUTE(SUBSTITUTE(SUBSTITUTE(SUBSTITUTE(SUBSTITUTE(SUBSTITUTE(SUBSTITUTE(SUBSTITUTE(SUBSTITUTE(SUBSTITUTE(SUBSTITUTE(SUBSTITUTE(SUBSTITUTE(SUBSTITUTE(SUBSTITUTE(SUBSTITUTE(SUBSTITUTE(SUBSTITUTE(SUBSTITUTE(LOWER(Z357&amp;""),CHAR(10)," "),CHAR(13)," "),CHAR(9)," "),CHAR(160)," "),"."," "),","," "),"-"," "),"/"," "),"("," "),")"," "),":"," "),";"," "),"_"," "),"–"," "),"?"," "),"!"," "),"*"," "),"["," "),"]"," "),"'"," "),"#"," "),"+"," "),"&amp;"," "),"\"," "))&amp;" "</f>
        <v>  </v>
      </c>
      <c r="BE357" s="61" t="str">
        <f aca="false">" "&amp;TRIM(SUBSTITUTE(SUBSTITUTE(SUBSTITUTE(SUBSTITUTE(SUBSTITUTE(SUBSTITUTE(SUBSTITUTE(SUBSTITUTE(SUBSTITUTE(SUBSTITUTE(SUBSTITUTE(SUBSTITUTE(SUBSTITUTE(SUBSTITUTE(SUBSTITUTE(SUBSTITUTE(SUBSTITUTE(SUBSTITUTE(SUBSTITUTE(SUBSTITUTE(SUBSTITUTE(SUBSTITUTE(SUBSTITUTE(SUBSTITUTE(LOWER(W357&amp;""),CHAR(10)," "),CHAR(13)," "),CHAR(9)," "),CHAR(160)," "),"."," "),","," "),"-"," "),"/"," "),"("," "),")"," "),":"," "),";"," "),"_"," "),"–"," "),"?"," "),"!"," "),"*"," "),"["," "),"]"," "),"'"," "),"#"," "),"+"," "),"&amp;"," "),"\"," "))&amp;" "</f>
        <v>  </v>
      </c>
      <c r="BF357" s="61" t="str">
        <f aca="false">" "&amp;TRIM(SUBSTITUTE(SUBSTITUTE(SUBSTITUTE(SUBSTITUTE(SUBSTITUTE(SUBSTITUTE(SUBSTITUTE(SUBSTITUTE(SUBSTITUTE(SUBSTITUTE(SUBSTITUTE(SUBSTITUTE(SUBSTITUTE(SUBSTITUTE(SUBSTITUTE(SUBSTITUTE(SUBSTITUTE(SUBSTITUTE(SUBSTITUTE(SUBSTITUTE(SUBSTITUTE(SUBSTITUTE(SUBSTITUTE(SUBSTITUTE(LOWER(AC357&amp;""),CHAR(10)," "),CHAR(13)," "),CHAR(9)," "),CHAR(160)," "),"."," "),","," "),"-"," "),"/"," "),"("," "),")"," "),":"," "),";"," "),"_"," "),"–"," "),"?"," "),"!"," "),"*"," "),"["," "),"]"," "),"'"," "),"#"," "),"+"," "),"&amp;"," "),"\"," "))&amp;" "</f>
        <v>  </v>
      </c>
      <c r="BG357" s="61" t="n">
        <f aca="false">IFERROR(IF(AND(TRIM(U357)="Pass",SUMPRODUCT((LEN(BC357)-LEN(SUBSTITUTE(BC357," "&amp;L_ResultBad&amp;" "," ")))/(LEN(L_ResultBad)+1))&gt;SUMPRODUCT((LEN(BC357)-LEN(SUBSTITUTE(BC357," "&amp;L_NegPhrase&amp;" "," ")))/(LEN(L_NegPhrase)+1))),1,0),0)</f>
        <v>0</v>
      </c>
      <c r="BH357" s="61" t="n">
        <f aca="false">IFERROR(IF(SUMPRODUCT((LEN(BC357)-LEN(SUBSTITUTE(BC357," "&amp;L_Pending&amp;" "," ")))/(LEN(L_Pending)+1))&gt;SUMPRODUCT((LEN(BC357)-LEN(SUBSTITUTE(BC357," "&amp;L_PendNeg&amp;" "," ")))/(LEN(L_PendNeg)+1))+SUMPRODUCT((LEN(BC357)-LEN(SUBSTITUTE(BC357," "&amp;L_PendPrep&amp;" "," ")))/(LEN(L_PendPrep)+1)),1,0),1)</f>
        <v>0</v>
      </c>
      <c r="BI357" s="61" t="n">
        <f aca="false">IFERROR(IF(SUMPRODUCT((LEN(BD357)-LEN(SUBSTITUTE(BD357," "&amp;L_PendStrict&amp;" "," ")))/(LEN(L_PendStrict)+1))&gt;SUMPRODUCT((LEN(BD357)-LEN(SUBSTITUTE(BD357," "&amp;L_PendNeg&amp;" "," ")))/(LEN(L_PendNeg)+1)),1,0),1)</f>
        <v>0</v>
      </c>
      <c r="BJ357" s="61" t="n">
        <f aca="false">IFERROR(IF(SUMPRODUCT((LEN(BE357)-LEN(SUBSTITUTE(BE357," "&amp;L_Pending&amp;" "," ")))/(LEN(L_Pending)+1))&gt;SUMPRODUCT((LEN(BE357)-LEN(SUBSTITUTE(BE357," "&amp;L_PendNeg&amp;" "," ")))/(LEN(L_PendNeg)+1))+SUMPRODUCT((LEN(BE357)-LEN(SUBSTITUTE(BE357," "&amp;L_PendPrep&amp;" "," ")))/(LEN(L_PendPrep)+1)),1,0),1)</f>
        <v>0</v>
      </c>
      <c r="BK357" s="61" t="n">
        <f aca="false">IFERROR(IF(SUMPRODUCT((LEN(BF357)-LEN(SUBSTITUTE(BF357," "&amp;L_PendStrict&amp;" "," ")))/(LEN(L_PendStrict)+1))&gt;SUMPRODUCT((LEN(BF357)-LEN(SUBSTITUTE(BF357," "&amp;L_PendNeg&amp;" "," ")))/(LEN(L_PendNeg)+1)),1,0),1)</f>
        <v>0</v>
      </c>
      <c r="BL357" s="61" t="n">
        <f aca="false">IF(ISNA(MATCH(TRIM(S357),L_EvidenceType,0)),0,BZ357)</f>
        <v>0</v>
      </c>
      <c r="BM357" s="61" t="str">
        <f aca="false">SUBSTITUTE(SUBSTITUTE(SUBSTITUTE(SUBSTITUTE(SUBSTITUTE(SUBSTITUTE(SUBSTITUTE(SUBSTITUTE(SUBSTITUTE(LOWER(Z357&amp;""),"1","0"),"2","0"),"3","0"),"4","0"),"5","0"),"6","0"),"7","0"),"8","0"),"9","0")</f>
        <v/>
      </c>
      <c r="BN357" s="61" t="str">
        <f aca="false">SUBSTITUTE(SUBSTITUTE(SUBSTITUTE(SUBSTITUTE(SUBSTITUTE(SUBSTITUTE(SUBSTITUTE(SUBSTITUTE(SUBSTITUTE(SUBSTITUTE(SUBSTITUTE(SUBSTITUTE(SUBSTITUTE(SUBSTITUTE(SUBSTITUTE(SUBSTITUTE(SUBSTITUTE(SUBSTITUTE(SUBSTITUTE(SUBSTITUTE(SUBSTITUTE(SUBSTITUTE(SUBSTITUTE(SUBSTITUTE(SUBSTITUTE(BM357,"b","a"),"c","a"),"d","a"),"e","a"),"f","a"),"g","a"),"h","a"),"i","a"),"j","a"),"k","a"),"l","a"),"m","a"),"n","a"),"o","a"),"p","a"),"q","a"),"r","a"),"s","a"),"t","a"),"u","a"),"v","a"),"w","a"),"x","a"),"y","a"),"z","a")</f>
        <v/>
      </c>
      <c r="BO357" s="61" t="str">
        <f aca="false">SUBSTITUTE(SUBSTITUTE(SUBSTITUTE(SUBSTITUTE(SUBSTITUTE(SUBSTITUTE(SUBSTITUTE(SUBSTITUTE(SUBSTITUTE(LOWER(W357&amp;""),"1","0"),"2","0"),"3","0"),"4","0"),"5","0"),"6","0"),"7","0"),"8","0"),"9","0")</f>
        <v/>
      </c>
      <c r="BP357" s="61" t="str">
        <f aca="false">SUBSTITUTE(SUBSTITUTE(SUBSTITUTE(SUBSTITUTE(SUBSTITUTE(SUBSTITUTE(SUBSTITUTE(SUBSTITUTE(SUBSTITUTE(SUBSTITUTE(SUBSTITUTE(SUBSTITUTE(SUBSTITUTE(SUBSTITUTE(SUBSTITUTE(SUBSTITUTE(SUBSTITUTE(SUBSTITUTE(SUBSTITUTE(SUBSTITUTE(SUBSTITUTE(SUBSTITUTE(SUBSTITUTE(SUBSTITUTE(SUBSTITUTE(BO357,"b","a"),"c","a"),"d","a"),"e","a"),"f","a"),"g","a"),"h","a"),"i","a"),"j","a"),"k","a"),"l","a"),"m","a"),"n","a"),"o","a"),"p","a"),"q","a"),"r","a"),"s","a"),"t","a"),"u","a"),"v","a"),"w","a"),"x","a"),"y","a"),"z","a")</f>
        <v/>
      </c>
      <c r="BQ357" s="61" t="n">
        <f aca="false">IFERROR(IF(AND(ISERROR(SEARCH(" mh"," "&amp;LOWER(W357))),ISNA(MATCH(LEFT(TRIM(BP357),255),{"0000a","000a","00a","0000aa","000aa","00aa","0aa","0000aaa","000aaa","00a00","0a00","0000-0000","00:00","a00","a0","00.00.0000","00/00/0000","00-00-0000","0000-00-00","0000/00/00","0000.00.00","00.00.00","00/00/00","00-00-00","0.00.0000","0/00/0000","0-00-0000"},0)),ISNA(MATCH(LEFT(TRIM(CA357),255),{"0000a","000a","00a","0000aa","000aa","00aa","0aa","0000aaa","000aaa","00a00","0a00","0000-0000","00:00","a00","a0","00.00.0000","00/00/0000","00-00-0000","0000-00-00","0000/00/00","0000.00.00","00.00.00","00/00/00","00-00-00","0.00.0000","0/00/0000","0-00-0000"},0)),LEN(CB357)&gt;=3,NOT(OR(SUBSTITUTE(CB357,"0","")="",AND(LEN(CB357)&gt;=4,CB357=REPT(LEFT(CB357),LEN(CB357))),ISNUMBER(MATCH(CB357,{"123","1234","12345","123456","1234567","12345678","0123","01234","012345","98765","987654","54321"},0)),AND(LEN(CB357)=8,LEFT(CB357,3)="202"))),OR(AND((LEN(CA357)-LEN(SUBSTITUTE(CA357,"a","")))&gt;=1,SUMPRODUCT(--ISNUMBER(SEARCH({"a0","a-0","a_0","a/0","a.0","a#0","0a","0-a","0_a","0/a"},BP357)))&gt;0),ISNUMBER(SEARCH("000000",BP357)))),1,0),0)</f>
        <v>0</v>
      </c>
      <c r="BR357" s="61" t="n">
        <f aca="false">IFERROR(LEN(SUBSTITUTE(CC357," ",""))-SUMPRODUCT((LEN(CC357)-LEN(SUBSTITUTE(CC357," "&amp;L_Role&amp;" "," ")))/(LEN(L_Role)+1)*LEN(L_Role)),0)</f>
        <v>0</v>
      </c>
      <c r="BS357" s="61" t="n">
        <f aca="false">IFERROR(LEN(SUBSTITUTE(CD357," ",""))-SUMPRODUCT((LEN(CD357)-LEN(SUBSTITUTE(CD357," "&amp;L_Role&amp;" "," ")))/(LEN(L_Role)+1)*LEN(L_Role)),0)</f>
        <v>0</v>
      </c>
      <c r="BT3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357,"revision",""),"version",""),"jan",""),"feb",""),"mar",""),"apr",""),"may",""),"jun",""),"jul",""),"aug",""),"sep",""),"oct",""),"nov",""),"dec",""),"utc",""),"gmt",""),"myt",""),"bst",""),"rev",""),"ver",""),"b","a"),"c","a"),"d","a"),"e","a"),"f","a"),"g","a"),"h","a"),"i","a"),"j","a"),"k","a"),"l","a"),"m","a"),"n","a"),"o","a"),"p","a"),"q","a"),"r","a"),"s","a"),"t","a"),"u","a"),"v","a"),"w","a"),"x","a"),"y","a"),"z","a")</f>
        <v/>
      </c>
      <c r="BU357" s="61" t="str">
        <f aca="false">SUBSTITUTE(SUBSTITUTE(SUBSTITUTE(SUBSTITUTE(SUBSTITUTE(SUBSTITUTE(SUBSTITUTE(SUBSTITUTE(SUBSTITUTE(SUBSTITUTE(LEFT(BM357,FIND("0",BM357&amp;"0")-1),"-",""),"_",""),"/",""),".",""),"#",""),"\\",""),":","")," ",""),"(",""),")","")</f>
        <v/>
      </c>
      <c r="BV357" s="61" t="n">
        <f aca="false">0</f>
        <v>0</v>
      </c>
      <c r="BW3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357&amp;""),"a",""),"b",""),"c",""),"d",""),"e",""),"f",""),"g",""),"h",""),"i",""),"j",""),"k",""),"l",""),"m",""),"n",""),"o",""),"p",""),"q",""),"r",""),"s",""),"t",""),"u",""),"v",""),"w",""),"x",""),"y",""),"z",""),"-",""),"_",""),"/",""),".",""),"#",""),"\\",""),":","")," ",""),"(",""),")","")</f>
        <v/>
      </c>
      <c r="BX357" s="61" t="str">
        <f aca="false">SUBSTITUTE(SUBSTITUTE(SUBSTITUTE(SUBSTITUTE(SUBSTITUTE(SUBSTITUTE(SUBSTITUTE(SUBSTITUTE(SUBSTITUTE(SUBSTITUTE(SUBSTITUTE(BM357,"0",""),"-",""),"_",""),"/",""),".",""),"#",""),"\\",""),":","")," ",""),"(",""),")","")</f>
        <v/>
      </c>
      <c r="BY357" s="62" t="n">
        <f aca="false">Q357-T7EarlyD*24/24</f>
        <v>46286.3263888889</v>
      </c>
      <c r="BZ357" s="61" t="n">
        <f aca="false">IFERROR(IF(IF(TRIM(S357)="Link / file path",AND(LEN(TRIM(Z357))&gt;=5,SUMPRODUCT(--ISNUMBER(SEARCH({"http","www.","\\",":\",".pdf",".jpg",".jpeg",".png",".heic",".xls",".doc",".msg",".eml",".ppt",".txt",".zip"},Z357)))&gt;0),AND(ISERROR(FIND(" ",TRIM(Z357))),NOT(OR(SUMPRODUCT(--ISNUMBER(FIND({",",";","&amp;","+"},Z357)))&gt;0,SUMPRODUCT(--ISNUMBER(SEARCH({"0/aa","0\\aa"},BN357)))&gt;0)),NOT(SUMPRODUCT(--ISNUMBER(SEARCH({"http","www.","\\",":\",".pdf",".jpg",".jpeg",".png",".heic",".xls",".doc",".msg",".eml",".ppt",".txt",".zip"},Z357)))&gt;0),NOT(LOWER(TRIM(Z357))=LOWER(Flights!$F$15)),ISNA(MATCH(BU357,{"mh","rev","revision","ver","version","v","r","a","b","seat","tray","row","gate","bay","stand","page","pg","item","line","no","cart","galley","flight","flt","table","box","bag","oven","etd","eta","std","sta","atd","ata","qty","pax","x","time","tel","ph","mob","day","wk","week","utc","gmt","myt","lt"},0)),NOT(OR(ISNUMBER(MATCH(LEFT(BN357,255),{"0000a","000a","00a","0000aa","000aa","00aa","0aa","0000aaa","000aaa","00a00","0a00","0000-0000","00:00","a00","a0","00.00.0000","00/00/0000","00-00-0000","0000-00-00","0000/00/00","0000.00.00","00.00.00","00/00/00","00-00-00","0.00.0000","0/00/0000","0-00-0000"},0)),ISNUMBER(MATCH(LEFT(BT357,255),{"0000a","000a","00a","0000aa","000aa","00aa","0aa","0000aaa","000aaa","00a00","0a00","0000-0000","00:00","a00","a0","00.00.0000","00/00/0000","00-00-0000","0000-00-00","0000/00/00","0000.00.00","00.00.00","00/00/00","00-00-00","0.00.0000","0/00/0000","0-00-0000"},0)))),NOT(OR(AND(BW357&lt;&gt;"",SUBSTITUTE(BW357,"0","")=""),AND(LEN(BW357)&gt;=4,BW357=REPT(LEFT(BW357),LEN(BW357))),ISNUMBER(MATCH(BW357,{"123","1234","12345","123456","1234567","12345678","0123","01234","012345","98765","987654","54321"},0)),ISNUMBER(MATCH(BX357,{"x","xx","xxx","xxxx","xxxxx","abc","abcd","nil","na","nan","test","tbc","tba","tbd","dummy","sample","example","eg","zz","zzz","none","null","xyz","qwe","asd","id","ref"},0)),AND(LEN(BW357)=8,BX357="",OR(LEFT(BW357,3)="202",ISNUMBER(MATCH(RIGHT(BW357,4),{"2025","2026","2027"},0)))))),OR(AND((LEN(BT357)-LEN(SUBSTITUTE(BT357,"a","")))&gt;=1,(LEN(BN357)-LEN(SUBSTITUTE(BN357,"0","")))&gt;=2,SUMPRODUCT(--ISNUMBER(SEARCH({"a0","a-0","a_0","a/0","a.0","a#0","0a","0-a","0_a","0/a"},BN357)))&gt;0),AND((LEN(BN357)-LEN(SUBSTITUTE(BN357,"a","")))=0,(LEN(BN357)-LEN(SUBSTITUTE(BN357,"0","")))&gt;=5)))),1,0),0)</f>
        <v>0</v>
      </c>
      <c r="CA3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357,"revision",""),"version",""),"jan",""),"feb",""),"mar",""),"apr",""),"may",""),"jun",""),"jul",""),"aug",""),"sep",""),"oct",""),"nov",""),"dec",""),"utc",""),"gmt",""),"myt",""),"bst",""),"rev",""),"ver",""),"b","a"),"c","a"),"d","a"),"e","a"),"f","a"),"g","a"),"h","a"),"i","a"),"j","a"),"k","a"),"l","a"),"m","a"),"n","a"),"o","a"),"p","a"),"q","a"),"r","a"),"s","a"),"t","a"),"u","a"),"v","a"),"w","a"),"x","a"),"y","a"),"z","a")</f>
        <v/>
      </c>
      <c r="CB3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357&amp;""),"a",""),"b",""),"c",""),"d",""),"e",""),"f",""),"g",""),"h",""),"i",""),"j",""),"k",""),"l",""),"m",""),"n",""),"o",""),"p",""),"q",""),"r",""),"s",""),"t",""),"u",""),"v",""),"w",""),"x",""),"y",""),"z",""),"-",""),"_",""),"/",""),".",""),"#",""),"\\",""),":","")," ",""),"(",""),")","")</f>
        <v/>
      </c>
      <c r="CC357" s="0" t="str">
        <f aca="false">" "&amp;TRIM(SUBSTITUTE(SUBSTITUTE(SUBSTITUTE(SUBSTITUTE(SUBSTITUTE(SUBSTITUTE(SUBSTITUTE(SUBSTITUTE(SUBSTITUTE(SUBSTITUTE(SUBSTITUTE(SUBSTITUTE(SUBSTITUTE(SUBSTITUTE(SUBSTITUTE(SUBSTITUTE(SUBSTITUTE(SUBSTITUTE(SUBSTITUTE(SUBSTITUTE(SUBSTITUTE(SUBSTITUTE(SUBSTITUTE(SUBSTITUTE(LOWER(T357&amp;""),CHAR(10)," "),CHAR(13)," "),CHAR(9)," "),CHAR(160)," "),"."," "),","," "),"-"," "),"/"," "),"("," "),")"," "),":"," "),";"," "),"_"," "),"–"," "),"?"," "),"!"," "),"*"," "),"["," "),"]"," "),"'"," "),"#"," "),"+"," "),"&amp;"," "),"\"," "))&amp;" "</f>
        <v>  </v>
      </c>
      <c r="CD357" s="0" t="str">
        <f aca="false">" "&amp;TRIM(SUBSTITUTE(SUBSTITUTE(SUBSTITUTE(SUBSTITUTE(SUBSTITUTE(SUBSTITUTE(SUBSTITUTE(SUBSTITUTE(SUBSTITUTE(SUBSTITUTE(SUBSTITUTE(SUBSTITUTE(SUBSTITUTE(SUBSTITUTE(SUBSTITUTE(SUBSTITUTE(SUBSTITUTE(SUBSTITUTE(SUBSTITUTE(SUBSTITUTE(SUBSTITUTE(SUBSTITUTE(SUBSTITUTE(SUBSTITUTE(LOWER(AE357&amp;""),CHAR(10)," "),CHAR(13)," "),CHAR(9)," "),CHAR(160)," "),"."," "),","," "),"-"," "),"/"," "),"("," "),")"," "),":"," "),";"," "),"_"," "),"–"," "),"?"," "),"!"," "),"*"," "),"["," "),"]"," "),"'"," "),"#"," "),"+"," "),"&amp;"," "),"\"," "))&amp;" "</f>
        <v>  </v>
      </c>
      <c r="CE357" s="68" t="n">
        <f aca="false">IFERROR(IF(AND(LEN(AU357)&gt;0,LEN(AU357)=LEN(AX357),OR(TRIM(MID(SUBSTITUTE(TRIM(CC357)," ",REPT(" ",60)),1,60))="",ISNUMBER(SEARCH(" "&amp;TRIM(MID(SUBSTITUTE(TRIM(CC357)," ",REPT(" ",60)),1,60))&amp;" ",CD357))),OR(TRIM(MID(SUBSTITUTE(TRIM(CC357)," ",REPT(" ",60)),61,60))="",ISNUMBER(SEARCH(" "&amp;TRIM(MID(SUBSTITUTE(TRIM(CC357)," ",REPT(" ",60)),61,60))&amp;" ",CD357))),OR(TRIM(MID(SUBSTITUTE(TRIM(CC357)," ",REPT(" ",60)),121,60))="",ISNUMBER(SEARCH(" "&amp;TRIM(MID(SUBSTITUTE(TRIM(CC357)," ",REPT(" ",60)),121,60))&amp;" ",CD357)))),1,0),0)</f>
        <v>0</v>
      </c>
      <c r="CG357" s="68" t="n">
        <f aca="false">IFERROR(LEN(SUBSTITUTE(BF357," ",""))-SUMPRODUCT((LEN(BF357)-LEN(SUBSTITUTE(BF357," "&amp;L_NAFiller&amp;" "," ")))/(LEN(L_NAFiller)+1)*LEN(L_NAFiller)),0)</f>
        <v>0</v>
      </c>
    </row>
    <row r="358" customFormat="false" ht="41.25" hidden="false" customHeight="true" outlineLevel="0" collapsed="false">
      <c r="A358" s="57" t="s">
        <v>959</v>
      </c>
      <c r="B358" s="57" t="s">
        <v>258</v>
      </c>
      <c r="C358" s="57" t="str">
        <f aca="false">Flights!$F$15</f>
        <v>MH1149</v>
      </c>
      <c r="D358" s="58" t="n">
        <f aca="false">Flights!$D$15</f>
        <v>46307</v>
      </c>
      <c r="E358" s="57" t="str">
        <f aca="false">Flights!$G$15&amp;"-"&amp;Flights!$H$15</f>
        <v>PEN-KUL</v>
      </c>
      <c r="F358" s="57" t="str">
        <f aca="false">Flights!$K$15</f>
        <v>EY</v>
      </c>
      <c r="G358" s="57" t="s">
        <v>81</v>
      </c>
      <c r="H358" s="57" t="s">
        <v>378</v>
      </c>
      <c r="I358" s="57" t="s">
        <v>385</v>
      </c>
      <c r="J358" s="57" t="s">
        <v>386</v>
      </c>
      <c r="K358" s="67" t="s">
        <v>387</v>
      </c>
      <c r="L358" s="67" t="s">
        <v>382</v>
      </c>
      <c r="M358" s="67"/>
      <c r="N358" s="67" t="s">
        <v>383</v>
      </c>
      <c r="O358" s="67" t="s">
        <v>914</v>
      </c>
      <c r="P358" s="57" t="s">
        <v>187</v>
      </c>
      <c r="Q358" s="59" t="n">
        <f aca="false">ROUND((Flights!$AC$15)*1440,0)/1440</f>
        <v>46300.3263888889</v>
      </c>
      <c r="R358" s="59" t="n">
        <f aca="false">Q358+(IF(AND(INDEX(TZ_DSTS,MATCH(P358,TZ_STN,0))&lt;&gt;"",Q358&gt;=INDEX(TZ_DSTS,MATCH(P358,TZ_STN,0)),Q358&lt;INDEX(TZ_DSTE,MATCH(P358,TZ_STN,0))),INDEX(TZ_DST,MATCH(P358,TZ_STN,0)),INDEX(TZ_STD,MATCH(P358,TZ_STN,0))))/24</f>
        <v>46300.6597222222</v>
      </c>
      <c r="S358" s="60"/>
      <c r="T358" s="60"/>
      <c r="U358" s="60"/>
      <c r="V358" s="60"/>
      <c r="W358" s="61"/>
      <c r="X358" s="60"/>
      <c r="Y358" s="60"/>
      <c r="Z358" s="60"/>
      <c r="AA358" s="60"/>
      <c r="AB358" s="60"/>
      <c r="AC358" s="60"/>
      <c r="AD358" s="66"/>
      <c r="AE358" s="60"/>
      <c r="AF358" s="61" t="str">
        <f aca="false">IF(AND(ISNUMBER(X358),ISNUMBER(Y358)),Y358-X358,"")</f>
        <v/>
      </c>
      <c r="AG358" s="62" t="str">
        <f aca="false">IF(ISNUMBER(AD358),AD358-(IF(AND(INDEX(TZ_DSTS,MATCH(P358,TZ_STN,0))&lt;&gt;"",(AD358-INDEX(TZ_STD,MATCH(P358,TZ_STN,0))/24)&gt;=INDEX(TZ_DSTS,MATCH(P358,TZ_STN,0)),(AD358-INDEX(TZ_STD,MATCH(P358,TZ_STN,0))/24)&lt;INDEX(TZ_DSTE,MATCH(P358,TZ_STN,0))),INDEX(TZ_DST,MATCH(P358,TZ_STN,0)),INDEX(TZ_STD,MATCH(P358,TZ_STN,0))))/24,"")</f>
        <v/>
      </c>
      <c r="AH358" s="65" t="str">
        <f aca="false">IFERROR(IF(N358="N/A – rule",IF(OR(TRIM(U358)="",TRIM(U358)="N/A",TRIM(U358)="Not started"),"N/A – RULE","INVALID – this check does not apply to this aircraft: clear the status (or correct the fleet on Flights)"),IF(TRIM(U358)="N/A",IF(AT358=0,"INVALID – N/A not permitted for this check",IF(AND(TRIM(AB358)&lt;&gt;"",TRIM(AB358)&lt;&gt;"Closed"),"INVALID – corrective action still open",IF(AND(NOT(OR(LEN(AZ358)&lt;15,ISNUMBER(MATCH(AZ358,L_Placeholder,0)))),BK358=0,CG358&gt;=8,NOT(OR(LEN(AU358)&lt;2,ISNUMBER(MATCH(AU358,L_Placeholder,0)))),BR358&gt;=3,NOT(OR(LEN(AX358)&lt;2,ISNUMBER(MATCH(AX358,L_Placeholder,0)))),BS358&gt;=3,TRIM(AE358)&lt;&gt;TRIM(T358),AX358&lt;&gt;AU358,CE358=0),"N/A – JUSTIFIED","INVALID – N/A needs a real, settled reason (not 'not applicable' / 'as above' / TBC), a named PIC and a different named verifier"))),IF(OR(TRIM(U358)="Pass",TRIM(U358)="Pass after CA"),IF(NOT(ISNUMBER(AD358)),"INVALID – completion time missing",IF(OR(OR(LEN(AU358)&lt;2,ISNUMBER(MATCH(AU358,L_Placeholder,0))),BR358&lt;3),"INVALID – PIC missing or not a named person (a role such as QA / CSM is not a name)",IF(OR(LEN(AV358)&lt;2,ISNUMBER(MATCH(AV358,L_Placeholder,0))),"INVALID – result / assessment missing",IF(OR(OR(LEN(AW358)&lt;3,ISNUMBER(MATCH(AW358,L_Placeholder,0))),SUMPRODUCT(--ISNUMBER(SEARCH(" "&amp;L_EvidencePhrase&amp;" ",BD358)))&gt;0,BI358=1),"INVALID – evidence missing, placeholder or not yet on file",IF(ISNA(MATCH(TRIM(S358),L_EvidenceType,0)),"INVALID – choose the evidence type from the list (column S)",IF(BL358=0,"INVALID – evidence ID must be the record's own ID only (e.g. SF-2210, IMG_2231, 1045521); a link / file name needs type 'Link / file path'",IF(OR(OR(LEN(AX358)&lt;2,ISNUMBER(MATCH(AX358,L_Placeholder,0))),BS358&lt;3),"INVALID – verifier missing or not a named person (a role such as QA / CSM is not a name)",IF(OR(AX358=AU358,CE358=1,AND(LEN(AU358)&gt;=4,ISNUMBER(SEARCH(AU358,AX358))),AND(LEN(AX358)&gt;=4,ISNUMBER(SEARCH(AX358,AU358)))),"INVALID – verifier must be a different, named person (not the PIC or a role)",IF(BH358=1,"INVALID – result not yet available (awaiting / TBC)",IF(BG358=1,"INVALID – result describes a problem: record Fail, then Pass after CA (or reword if it is not a problem)",IF(BV358=1,"INVALID – wording says not on board: an on-board confirmation needs the item loaded",IF(AND(AQ358=1,OR(OR(LEN(AY358)&lt;3,ISNUMBER(MATCH(AY358,L_Placeholder,0))),BJ358=1,BQ358=0)),"INVALID – batch ID missing, placeholder or not an ID (e.g. PASB-261008-BC-017)",IF(AND(AR358=1,OR(NOT(ISNUMBER(X358)),NOT(ISNUMBER(Y358)))),"INVALID – expected/actual qty missing",IF(AND(AR358=1,OR(X358&lt;=0,Y358&lt;0)),"INVALID – expected qty must be above 0 and actual not negative",IF(BB358&lt;&gt;"",BB358,IF(AND(AS358=1,Documents!$J$15&lt;&gt;"ON FILE"),"INVALID – GLD not on file (Documents sheet)",IF(AND(AS358=2,Documents!$O$15&lt;&gt;"ON FILE"),"INVALID – menu checklist not on file (Documents sheet)",IF(AND(AS358=3,NOT(ISNUMBER(Flights!$AX$15))),"INVALID – enter carrying flight KUL departure (Flights AX)",IF(AND(AS358=3,OR(Flights!$AZ$15&gt;Flights!$AA$15,Flights!$AX$15&lt;Flights!$AA$15-3)),"INVALID – carrying flight (Flights AX) cannot arrive before this leg's STD, or is over 3 days early",IF(AG358&gt;AsOfUTC,"INVALID – completion time is in the future",IF(AND(ISNUMBER(BY358),AG358&lt;BY358),IF(H358="Physical uplift","INVALID – before uplift window (cannot confirm loading)","INVALID – before valid window"),IF(AG358&gt;Flights!$AA$15,"INVALID – completed after departure (cannot establish readiness)",IF(AND(H358="Preparation",AG358&gt;=IF(ISNUMBER(Flights!$BA$15),MIN(Flights!$BA$15,Flights!$AA$15),Flights!$AA$15)),"INVALID – completed after loading / departure (cannot establish readiness)",IF(AND(H358="Physical uplift",AG358&gt;Q358),"INVALID – recorded after the loading flight departed",IF(AG358&gt;Q358,"COMPLETE – LATE","COMPLETE"))))))))))))))))))))))))),IF(TRIM(U358)="Fail","FAIL – DISCREPANCY",IF(AND(TRIM(U358)&lt;&gt;"",TRIM(U358)&lt;&gt;"Not started",TRIM(U358)&lt;&gt;"In progress"),"INVALID – unrecognised status (use the list)",IF(AsOfUTC&gt;Q358,"OVERDUE",IF(N358="Clarification required","OPEN – CLARIFICATION","OPEN"))))))),"INVALID – error value in an input cell")</f>
        <v>OPEN</v>
      </c>
      <c r="AI358" s="61" t="n">
        <f aca="false">IF(OR(AH358="N/A – RULE",AH358="N/A – JUSTIFIED"),0,1)</f>
        <v>1</v>
      </c>
      <c r="AJ358" s="61" t="n">
        <f aca="false">IF(LEFT(AH358,8)="COMPLETE",1,0)</f>
        <v>0</v>
      </c>
      <c r="AK358" s="61" t="n">
        <f aca="false">IF(AND(AI358=1,AJ358=0,AsOfUTC&gt;Q358),1,0)</f>
        <v>0</v>
      </c>
      <c r="AL358" s="61" t="n">
        <f aca="false">IFERROR(IF(AND(AI358=1,OR(TRIM(U358)="Fail",AND(TRIM(AB358)&lt;&gt;"",TRIM(AB358)&lt;&gt;"Closed"),AND(ISNUMBER(AF358),AF358&lt;&gt;0,TRIM(U358)&lt;&gt;"Pass after CA"))),1,0),1)</f>
        <v>0</v>
      </c>
      <c r="AM358" s="61" t="n">
        <f aca="false">IF(LEFT(AH358,7)="INVALID",1,0)</f>
        <v>0</v>
      </c>
      <c r="AN358" s="61" t="n">
        <f aca="false">IF(AND(N358="Clarification required",AI358=1,AJ358=0),1,0)</f>
        <v>0</v>
      </c>
      <c r="AO358" s="61" t="str">
        <f aca="false">IF(AK358=1,SUM(AK$5:AK358),"")</f>
        <v/>
      </c>
      <c r="AP358" s="61" t="str">
        <f aca="false">IF(AL358=1,SUM(AL$5:AL358),"")</f>
        <v/>
      </c>
      <c r="AQ358" s="61" t="n">
        <v>0</v>
      </c>
      <c r="AR358" s="61" t="n">
        <v>0</v>
      </c>
      <c r="AS358" s="61" t="n">
        <v>0</v>
      </c>
      <c r="AT358" s="61" t="n">
        <v>1</v>
      </c>
      <c r="AU358" s="61" t="str">
        <f aca="false">SUBSTITUTE(SUBSTITUTE(SUBSTITUTE(SUBSTITUTE(SUBSTITUTE(SUBSTITUTE(SUBSTITUTE(SUBSTITUTE(SUBSTITUTE(SUBSTITUTE(SUBSTITUTE(SUBSTITUTE(SUBSTITUTE(SUBSTITUTE(SUBSTITUTE(SUBSTITUTE(LOWER(T358&amp;""),CHAR(10),""),CHAR(13),""),CHAR(9),""),CHAR(160),"")," ",""),".",""),"-",""),"/",""),"?",""),"_",""),",",""),"[",""),"]",""),"(",""),")",""),"*","")</f>
        <v/>
      </c>
      <c r="AV358" s="61" t="str">
        <f aca="false">SUBSTITUTE(SUBSTITUTE(SUBSTITUTE(SUBSTITUTE(SUBSTITUTE(SUBSTITUTE(SUBSTITUTE(SUBSTITUTE(SUBSTITUTE(SUBSTITUTE(SUBSTITUTE(SUBSTITUTE(SUBSTITUTE(SUBSTITUTE(SUBSTITUTE(SUBSTITUTE(LOWER(V358&amp;""),CHAR(10),""),CHAR(13),""),CHAR(9),""),CHAR(160),"")," ",""),".",""),"-",""),"/",""),"?",""),"_",""),",",""),"[",""),"]",""),"(",""),")",""),"*","")</f>
        <v/>
      </c>
      <c r="AW358" s="61" t="str">
        <f aca="false">SUBSTITUTE(SUBSTITUTE(SUBSTITUTE(SUBSTITUTE(SUBSTITUTE(SUBSTITUTE(SUBSTITUTE(SUBSTITUTE(SUBSTITUTE(SUBSTITUTE(SUBSTITUTE(SUBSTITUTE(SUBSTITUTE(SUBSTITUTE(SUBSTITUTE(SUBSTITUTE(LOWER(Z358&amp;""),CHAR(10),""),CHAR(13),""),CHAR(9),""),CHAR(160),"")," ",""),".",""),"-",""),"/",""),"?",""),"_",""),",",""),"[",""),"]",""),"(",""),")",""),"*","")</f>
        <v/>
      </c>
      <c r="AX358" s="61" t="str">
        <f aca="false">SUBSTITUTE(SUBSTITUTE(SUBSTITUTE(SUBSTITUTE(SUBSTITUTE(SUBSTITUTE(SUBSTITUTE(SUBSTITUTE(SUBSTITUTE(SUBSTITUTE(SUBSTITUTE(SUBSTITUTE(SUBSTITUTE(SUBSTITUTE(SUBSTITUTE(SUBSTITUTE(LOWER(AE358&amp;""),CHAR(10),""),CHAR(13),""),CHAR(9),""),CHAR(160),"")," ",""),".",""),"-",""),"/",""),"?",""),"_",""),",",""),"[",""),"]",""),"(",""),")",""),"*","")</f>
        <v/>
      </c>
      <c r="AY358" s="61" t="str">
        <f aca="false">SUBSTITUTE(SUBSTITUTE(SUBSTITUTE(SUBSTITUTE(SUBSTITUTE(SUBSTITUTE(SUBSTITUTE(SUBSTITUTE(SUBSTITUTE(SUBSTITUTE(SUBSTITUTE(SUBSTITUTE(SUBSTITUTE(SUBSTITUTE(SUBSTITUTE(SUBSTITUTE(LOWER(W358&amp;""),CHAR(10),""),CHAR(13),""),CHAR(9),""),CHAR(160),"")," ",""),".",""),"-",""),"/",""),"?",""),"_",""),",",""),"[",""),"]",""),"(",""),")",""),"*","")</f>
        <v/>
      </c>
      <c r="AZ358" s="61" t="str">
        <f aca="false">SUBSTITUTE(SUBSTITUTE(SUBSTITUTE(SUBSTITUTE(SUBSTITUTE(SUBSTITUTE(SUBSTITUTE(SUBSTITUTE(SUBSTITUTE(SUBSTITUTE(SUBSTITUTE(SUBSTITUTE(SUBSTITUTE(SUBSTITUTE(SUBSTITUTE(SUBSTITUTE(LOWER(AC358&amp;""),CHAR(10),""),CHAR(13),""),CHAR(9),""),CHAR(160),"")," ",""),".",""),"-",""),"/",""),"?",""),"_",""),",",""),"[",""),"]",""),"(",""),")",""),"*","")</f>
        <v/>
      </c>
      <c r="BA358" s="61" t="str">
        <f aca="false">SUBSTITUTE(SUBSTITUTE(SUBSTITUTE(SUBSTITUTE(SUBSTITUTE(SUBSTITUTE(SUBSTITUTE(SUBSTITUTE(SUBSTITUTE(SUBSTITUTE(SUBSTITUTE(SUBSTITUTE(SUBSTITUTE(SUBSTITUTE(SUBSTITUTE(SUBSTITUTE(LOWER(AA358&amp;""),CHAR(10),""),CHAR(13),""),CHAR(9),""),CHAR(160),"")," ",""),".",""),"-",""),"/",""),"?",""),"_",""),",",""),"[",""),"]",""),"(",""),")",""),"*","")</f>
        <v/>
      </c>
      <c r="BB358" s="61" t="str">
        <f aca="false">IF(AND(TRIM(U358)="Pass",ISNUMBER(AF358)),IF(AF358&lt;&gt;0,"INVALID – qty variance: use Fail or Pass after CA",""),"")&amp;IF(AND(TRIM(U358)="Pass after CA",ISNUMBER(AF358)),IF(AF358&lt;&gt;0,"INVALID – after the corrective action the actual qty must equal expected (update Actual)",""),"")&amp;IF(AND(TRIM(U358)="Pass",TRIM(AB358)&lt;&gt;"",TRIM(AB358)&lt;&gt;"Closed"),"INVALID – corrective action not closed: use Fail, then Pass after CA","")&amp;IF(AND(LEN(BA358)&gt;=2,ISNA(MATCH(LEFT(BA358,255),L_Placeholder,0)),TRIM(AB358)=""),"INVALID – CA status missing for the recorded corrective action","")&amp;IF(AND(TRIM(U358)="Pass after CA",OR(OR(LEN(BA358)&lt;5,ISNUMBER(MATCH(BA358,L_Placeholder,0))),TRIM(AB358)&lt;&gt;"Closed")),"INVALID – corrective action not recorded/closed","")</f>
        <v/>
      </c>
      <c r="BC358" s="61" t="str">
        <f aca="false">" "&amp;TRIM(SUBSTITUTE(SUBSTITUTE(SUBSTITUTE(SUBSTITUTE(SUBSTITUTE(SUBSTITUTE(SUBSTITUTE(SUBSTITUTE(SUBSTITUTE(SUBSTITUTE(SUBSTITUTE(SUBSTITUTE(SUBSTITUTE(SUBSTITUTE(SUBSTITUTE(SUBSTITUTE(SUBSTITUTE(SUBSTITUTE(SUBSTITUTE(SUBSTITUTE(SUBSTITUTE(SUBSTITUTE(SUBSTITUTE(SUBSTITUTE(LOWER(V358&amp;""),CHAR(10)," "),CHAR(13)," "),CHAR(9)," "),CHAR(160)," "),"."," "),","," "),"-"," "),"/"," "),"("," "),")"," "),":"," "),";"," "),"_"," "),"–"," "),"?"," "),"!"," "),"*"," "),"["," "),"]"," "),"'"," "),"#"," "),"+"," "),"&amp;"," "),"\"," "))&amp;" "</f>
        <v>  </v>
      </c>
      <c r="BD358" s="61" t="str">
        <f aca="false">" "&amp;TRIM(SUBSTITUTE(SUBSTITUTE(SUBSTITUTE(SUBSTITUTE(SUBSTITUTE(SUBSTITUTE(SUBSTITUTE(SUBSTITUTE(SUBSTITUTE(SUBSTITUTE(SUBSTITUTE(SUBSTITUTE(SUBSTITUTE(SUBSTITUTE(SUBSTITUTE(SUBSTITUTE(SUBSTITUTE(SUBSTITUTE(SUBSTITUTE(SUBSTITUTE(SUBSTITUTE(SUBSTITUTE(SUBSTITUTE(SUBSTITUTE(LOWER(Z358&amp;""),CHAR(10)," "),CHAR(13)," "),CHAR(9)," "),CHAR(160)," "),"."," "),","," "),"-"," "),"/"," "),"("," "),")"," "),":"," "),";"," "),"_"," "),"–"," "),"?"," "),"!"," "),"*"," "),"["," "),"]"," "),"'"," "),"#"," "),"+"," "),"&amp;"," "),"\"," "))&amp;" "</f>
        <v>  </v>
      </c>
      <c r="BE358" s="61" t="str">
        <f aca="false">" "&amp;TRIM(SUBSTITUTE(SUBSTITUTE(SUBSTITUTE(SUBSTITUTE(SUBSTITUTE(SUBSTITUTE(SUBSTITUTE(SUBSTITUTE(SUBSTITUTE(SUBSTITUTE(SUBSTITUTE(SUBSTITUTE(SUBSTITUTE(SUBSTITUTE(SUBSTITUTE(SUBSTITUTE(SUBSTITUTE(SUBSTITUTE(SUBSTITUTE(SUBSTITUTE(SUBSTITUTE(SUBSTITUTE(SUBSTITUTE(SUBSTITUTE(LOWER(W358&amp;""),CHAR(10)," "),CHAR(13)," "),CHAR(9)," "),CHAR(160)," "),"."," "),","," "),"-"," "),"/"," "),"("," "),")"," "),":"," "),";"," "),"_"," "),"–"," "),"?"," "),"!"," "),"*"," "),"["," "),"]"," "),"'"," "),"#"," "),"+"," "),"&amp;"," "),"\"," "))&amp;" "</f>
        <v>  </v>
      </c>
      <c r="BF358" s="61" t="str">
        <f aca="false">" "&amp;TRIM(SUBSTITUTE(SUBSTITUTE(SUBSTITUTE(SUBSTITUTE(SUBSTITUTE(SUBSTITUTE(SUBSTITUTE(SUBSTITUTE(SUBSTITUTE(SUBSTITUTE(SUBSTITUTE(SUBSTITUTE(SUBSTITUTE(SUBSTITUTE(SUBSTITUTE(SUBSTITUTE(SUBSTITUTE(SUBSTITUTE(SUBSTITUTE(SUBSTITUTE(SUBSTITUTE(SUBSTITUTE(SUBSTITUTE(SUBSTITUTE(LOWER(AC358&amp;""),CHAR(10)," "),CHAR(13)," "),CHAR(9)," "),CHAR(160)," "),"."," "),","," "),"-"," "),"/"," "),"("," "),")"," "),":"," "),";"," "),"_"," "),"–"," "),"?"," "),"!"," "),"*"," "),"["," "),"]"," "),"'"," "),"#"," "),"+"," "),"&amp;"," "),"\"," "))&amp;" "</f>
        <v>  </v>
      </c>
      <c r="BG358" s="61" t="n">
        <f aca="false">IFERROR(IF(AND(TRIM(U358)="Pass",SUMPRODUCT((LEN(BC358)-LEN(SUBSTITUTE(BC358," "&amp;L_ResultBad&amp;" "," ")))/(LEN(L_ResultBad)+1))&gt;SUMPRODUCT((LEN(BC358)-LEN(SUBSTITUTE(BC358," "&amp;L_NegPhrase&amp;" "," ")))/(LEN(L_NegPhrase)+1))),1,0),0)</f>
        <v>0</v>
      </c>
      <c r="BH358" s="61" t="n">
        <f aca="false">IFERROR(IF(SUMPRODUCT((LEN(BC358)-LEN(SUBSTITUTE(BC358," "&amp;L_Pending&amp;" "," ")))/(LEN(L_Pending)+1))&gt;SUMPRODUCT((LEN(BC358)-LEN(SUBSTITUTE(BC358," "&amp;L_PendNeg&amp;" "," ")))/(LEN(L_PendNeg)+1))+SUMPRODUCT((LEN(BC358)-LEN(SUBSTITUTE(BC358," "&amp;L_PendPrep&amp;" "," ")))/(LEN(L_PendPrep)+1)),1,0),1)</f>
        <v>0</v>
      </c>
      <c r="BI358" s="61" t="n">
        <f aca="false">IFERROR(IF(SUMPRODUCT((LEN(BD358)-LEN(SUBSTITUTE(BD358," "&amp;L_PendStrict&amp;" "," ")))/(LEN(L_PendStrict)+1))&gt;SUMPRODUCT((LEN(BD358)-LEN(SUBSTITUTE(BD358," "&amp;L_PendNeg&amp;" "," ")))/(LEN(L_PendNeg)+1)),1,0),1)</f>
        <v>0</v>
      </c>
      <c r="BJ358" s="61" t="n">
        <f aca="false">IFERROR(IF(SUMPRODUCT((LEN(BE358)-LEN(SUBSTITUTE(BE358," "&amp;L_Pending&amp;" "," ")))/(LEN(L_Pending)+1))&gt;SUMPRODUCT((LEN(BE358)-LEN(SUBSTITUTE(BE358," "&amp;L_PendNeg&amp;" "," ")))/(LEN(L_PendNeg)+1))+SUMPRODUCT((LEN(BE358)-LEN(SUBSTITUTE(BE358," "&amp;L_PendPrep&amp;" "," ")))/(LEN(L_PendPrep)+1)),1,0),1)</f>
        <v>0</v>
      </c>
      <c r="BK358" s="61" t="n">
        <f aca="false">IFERROR(IF(SUMPRODUCT((LEN(BF358)-LEN(SUBSTITUTE(BF358," "&amp;L_PendStrict&amp;" "," ")))/(LEN(L_PendStrict)+1))&gt;SUMPRODUCT((LEN(BF358)-LEN(SUBSTITUTE(BF358," "&amp;L_PendNeg&amp;" "," ")))/(LEN(L_PendNeg)+1)),1,0),1)</f>
        <v>0</v>
      </c>
      <c r="BL358" s="61" t="n">
        <f aca="false">IF(ISNA(MATCH(TRIM(S358),L_EvidenceType,0)),0,BZ358)</f>
        <v>0</v>
      </c>
      <c r="BM358" s="61" t="str">
        <f aca="false">SUBSTITUTE(SUBSTITUTE(SUBSTITUTE(SUBSTITUTE(SUBSTITUTE(SUBSTITUTE(SUBSTITUTE(SUBSTITUTE(SUBSTITUTE(LOWER(Z358&amp;""),"1","0"),"2","0"),"3","0"),"4","0"),"5","0"),"6","0"),"7","0"),"8","0"),"9","0")</f>
        <v/>
      </c>
      <c r="BN358" s="61" t="str">
        <f aca="false">SUBSTITUTE(SUBSTITUTE(SUBSTITUTE(SUBSTITUTE(SUBSTITUTE(SUBSTITUTE(SUBSTITUTE(SUBSTITUTE(SUBSTITUTE(SUBSTITUTE(SUBSTITUTE(SUBSTITUTE(SUBSTITUTE(SUBSTITUTE(SUBSTITUTE(SUBSTITUTE(SUBSTITUTE(SUBSTITUTE(SUBSTITUTE(SUBSTITUTE(SUBSTITUTE(SUBSTITUTE(SUBSTITUTE(SUBSTITUTE(SUBSTITUTE(BM358,"b","a"),"c","a"),"d","a"),"e","a"),"f","a"),"g","a"),"h","a"),"i","a"),"j","a"),"k","a"),"l","a"),"m","a"),"n","a"),"o","a"),"p","a"),"q","a"),"r","a"),"s","a"),"t","a"),"u","a"),"v","a"),"w","a"),"x","a"),"y","a"),"z","a")</f>
        <v/>
      </c>
      <c r="BO358" s="61" t="str">
        <f aca="false">SUBSTITUTE(SUBSTITUTE(SUBSTITUTE(SUBSTITUTE(SUBSTITUTE(SUBSTITUTE(SUBSTITUTE(SUBSTITUTE(SUBSTITUTE(LOWER(W358&amp;""),"1","0"),"2","0"),"3","0"),"4","0"),"5","0"),"6","0"),"7","0"),"8","0"),"9","0")</f>
        <v/>
      </c>
      <c r="BP358" s="61" t="str">
        <f aca="false">SUBSTITUTE(SUBSTITUTE(SUBSTITUTE(SUBSTITUTE(SUBSTITUTE(SUBSTITUTE(SUBSTITUTE(SUBSTITUTE(SUBSTITUTE(SUBSTITUTE(SUBSTITUTE(SUBSTITUTE(SUBSTITUTE(SUBSTITUTE(SUBSTITUTE(SUBSTITUTE(SUBSTITUTE(SUBSTITUTE(SUBSTITUTE(SUBSTITUTE(SUBSTITUTE(SUBSTITUTE(SUBSTITUTE(SUBSTITUTE(SUBSTITUTE(BO358,"b","a"),"c","a"),"d","a"),"e","a"),"f","a"),"g","a"),"h","a"),"i","a"),"j","a"),"k","a"),"l","a"),"m","a"),"n","a"),"o","a"),"p","a"),"q","a"),"r","a"),"s","a"),"t","a"),"u","a"),"v","a"),"w","a"),"x","a"),"y","a"),"z","a")</f>
        <v/>
      </c>
      <c r="BQ358" s="61" t="n">
        <f aca="false">IFERROR(IF(AND(ISERROR(SEARCH(" mh"," "&amp;LOWER(W358))),ISNA(MATCH(LEFT(TRIM(BP358),255),{"0000a","000a","00a","0000aa","000aa","00aa","0aa","0000aaa","000aaa","00a00","0a00","0000-0000","00:00","a00","a0","00.00.0000","00/00/0000","00-00-0000","0000-00-00","0000/00/00","0000.00.00","00.00.00","00/00/00","00-00-00","0.00.0000","0/00/0000","0-00-0000"},0)),ISNA(MATCH(LEFT(TRIM(CA358),255),{"0000a","000a","00a","0000aa","000aa","00aa","0aa","0000aaa","000aaa","00a00","0a00","0000-0000","00:00","a00","a0","00.00.0000","00/00/0000","00-00-0000","0000-00-00","0000/00/00","0000.00.00","00.00.00","00/00/00","00-00-00","0.00.0000","0/00/0000","0-00-0000"},0)),LEN(CB358)&gt;=3,NOT(OR(SUBSTITUTE(CB358,"0","")="",AND(LEN(CB358)&gt;=4,CB358=REPT(LEFT(CB358),LEN(CB358))),ISNUMBER(MATCH(CB358,{"123","1234","12345","123456","1234567","12345678","0123","01234","012345","98765","987654","54321"},0)),AND(LEN(CB358)=8,LEFT(CB358,3)="202"))),OR(AND((LEN(CA358)-LEN(SUBSTITUTE(CA358,"a","")))&gt;=1,SUMPRODUCT(--ISNUMBER(SEARCH({"a0","a-0","a_0","a/0","a.0","a#0","0a","0-a","0_a","0/a"},BP358)))&gt;0),ISNUMBER(SEARCH("000000",BP358)))),1,0),0)</f>
        <v>0</v>
      </c>
      <c r="BR358" s="61" t="n">
        <f aca="false">IFERROR(LEN(SUBSTITUTE(CC358," ",""))-SUMPRODUCT((LEN(CC358)-LEN(SUBSTITUTE(CC358," "&amp;L_Role&amp;" "," ")))/(LEN(L_Role)+1)*LEN(L_Role)),0)</f>
        <v>0</v>
      </c>
      <c r="BS358" s="61" t="n">
        <f aca="false">IFERROR(LEN(SUBSTITUTE(CD358," ",""))-SUMPRODUCT((LEN(CD358)-LEN(SUBSTITUTE(CD358," "&amp;L_Role&amp;" "," ")))/(LEN(L_Role)+1)*LEN(L_Role)),0)</f>
        <v>0</v>
      </c>
      <c r="BT3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358,"revision",""),"version",""),"jan",""),"feb",""),"mar",""),"apr",""),"may",""),"jun",""),"jul",""),"aug",""),"sep",""),"oct",""),"nov",""),"dec",""),"utc",""),"gmt",""),"myt",""),"bst",""),"rev",""),"ver",""),"b","a"),"c","a"),"d","a"),"e","a"),"f","a"),"g","a"),"h","a"),"i","a"),"j","a"),"k","a"),"l","a"),"m","a"),"n","a"),"o","a"),"p","a"),"q","a"),"r","a"),"s","a"),"t","a"),"u","a"),"v","a"),"w","a"),"x","a"),"y","a"),"z","a")</f>
        <v/>
      </c>
      <c r="BU358" s="61" t="str">
        <f aca="false">SUBSTITUTE(SUBSTITUTE(SUBSTITUTE(SUBSTITUTE(SUBSTITUTE(SUBSTITUTE(SUBSTITUTE(SUBSTITUTE(SUBSTITUTE(SUBSTITUTE(LEFT(BM358,FIND("0",BM358&amp;"0")-1),"-",""),"_",""),"/",""),".",""),"#",""),"\\",""),":","")," ",""),"(",""),")","")</f>
        <v/>
      </c>
      <c r="BV358" s="61" t="n">
        <f aca="false">0</f>
        <v>0</v>
      </c>
      <c r="BW3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358&amp;""),"a",""),"b",""),"c",""),"d",""),"e",""),"f",""),"g",""),"h",""),"i",""),"j",""),"k",""),"l",""),"m",""),"n",""),"o",""),"p",""),"q",""),"r",""),"s",""),"t",""),"u",""),"v",""),"w",""),"x",""),"y",""),"z",""),"-",""),"_",""),"/",""),".",""),"#",""),"\\",""),":","")," ",""),"(",""),")","")</f>
        <v/>
      </c>
      <c r="BX358" s="61" t="str">
        <f aca="false">SUBSTITUTE(SUBSTITUTE(SUBSTITUTE(SUBSTITUTE(SUBSTITUTE(SUBSTITUTE(SUBSTITUTE(SUBSTITUTE(SUBSTITUTE(SUBSTITUTE(SUBSTITUTE(BM358,"0",""),"-",""),"_",""),"/",""),".",""),"#",""),"\\",""),":","")," ",""),"(",""),")","")</f>
        <v/>
      </c>
      <c r="BY358" s="62" t="n">
        <f aca="false">Q358-T7EarlyD*24/24</f>
        <v>46286.3263888889</v>
      </c>
      <c r="BZ358" s="61" t="n">
        <f aca="false">IFERROR(IF(IF(TRIM(S358)="Link / file path",AND(LEN(TRIM(Z358))&gt;=5,SUMPRODUCT(--ISNUMBER(SEARCH({"http","www.","\\",":\",".pdf",".jpg",".jpeg",".png",".heic",".xls",".doc",".msg",".eml",".ppt",".txt",".zip"},Z358)))&gt;0),AND(ISERROR(FIND(" ",TRIM(Z358))),NOT(OR(SUMPRODUCT(--ISNUMBER(FIND({",",";","&amp;","+"},Z358)))&gt;0,SUMPRODUCT(--ISNUMBER(SEARCH({"0/aa","0\\aa"},BN358)))&gt;0)),NOT(SUMPRODUCT(--ISNUMBER(SEARCH({"http","www.","\\",":\",".pdf",".jpg",".jpeg",".png",".heic",".xls",".doc",".msg",".eml",".ppt",".txt",".zip"},Z358)))&gt;0),NOT(LOWER(TRIM(Z358))=LOWER(Flights!$F$15)),ISNA(MATCH(BU358,{"mh","rev","revision","ver","version","v","r","a","b","seat","tray","row","gate","bay","stand","page","pg","item","line","no","cart","galley","flight","flt","table","box","bag","oven","etd","eta","std","sta","atd","ata","qty","pax","x","time","tel","ph","mob","day","wk","week","utc","gmt","myt","lt"},0)),NOT(OR(ISNUMBER(MATCH(LEFT(BN358,255),{"0000a","000a","00a","0000aa","000aa","00aa","0aa","0000aaa","000aaa","00a00","0a00","0000-0000","00:00","a00","a0","00.00.0000","00/00/0000","00-00-0000","0000-00-00","0000/00/00","0000.00.00","00.00.00","00/00/00","00-00-00","0.00.0000","0/00/0000","0-00-0000"},0)),ISNUMBER(MATCH(LEFT(BT358,255),{"0000a","000a","00a","0000aa","000aa","00aa","0aa","0000aaa","000aaa","00a00","0a00","0000-0000","00:00","a00","a0","00.00.0000","00/00/0000","00-00-0000","0000-00-00","0000/00/00","0000.00.00","00.00.00","00/00/00","00-00-00","0.00.0000","0/00/0000","0-00-0000"},0)))),NOT(OR(AND(BW358&lt;&gt;"",SUBSTITUTE(BW358,"0","")=""),AND(LEN(BW358)&gt;=4,BW358=REPT(LEFT(BW358),LEN(BW358))),ISNUMBER(MATCH(BW358,{"123","1234","12345","123456","1234567","12345678","0123","01234","012345","98765","987654","54321"},0)),ISNUMBER(MATCH(BX358,{"x","xx","xxx","xxxx","xxxxx","abc","abcd","nil","na","nan","test","tbc","tba","tbd","dummy","sample","example","eg","zz","zzz","none","null","xyz","qwe","asd","id","ref"},0)),AND(LEN(BW358)=8,BX358="",OR(LEFT(BW358,3)="202",ISNUMBER(MATCH(RIGHT(BW358,4),{"2025","2026","2027"},0)))))),OR(AND((LEN(BT358)-LEN(SUBSTITUTE(BT358,"a","")))&gt;=1,(LEN(BN358)-LEN(SUBSTITUTE(BN358,"0","")))&gt;=2,SUMPRODUCT(--ISNUMBER(SEARCH({"a0","a-0","a_0","a/0","a.0","a#0","0a","0-a","0_a","0/a"},BN358)))&gt;0),AND((LEN(BN358)-LEN(SUBSTITUTE(BN358,"a","")))=0,(LEN(BN358)-LEN(SUBSTITUTE(BN358,"0","")))&gt;=5)))),1,0),0)</f>
        <v>0</v>
      </c>
      <c r="CA3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358,"revision",""),"version",""),"jan",""),"feb",""),"mar",""),"apr",""),"may",""),"jun",""),"jul",""),"aug",""),"sep",""),"oct",""),"nov",""),"dec",""),"utc",""),"gmt",""),"myt",""),"bst",""),"rev",""),"ver",""),"b","a"),"c","a"),"d","a"),"e","a"),"f","a"),"g","a"),"h","a"),"i","a"),"j","a"),"k","a"),"l","a"),"m","a"),"n","a"),"o","a"),"p","a"),"q","a"),"r","a"),"s","a"),"t","a"),"u","a"),"v","a"),"w","a"),"x","a"),"y","a"),"z","a")</f>
        <v/>
      </c>
      <c r="CB3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358&amp;""),"a",""),"b",""),"c",""),"d",""),"e",""),"f",""),"g",""),"h",""),"i",""),"j",""),"k",""),"l",""),"m",""),"n",""),"o",""),"p",""),"q",""),"r",""),"s",""),"t",""),"u",""),"v",""),"w",""),"x",""),"y",""),"z",""),"-",""),"_",""),"/",""),".",""),"#",""),"\\",""),":","")," ",""),"(",""),")","")</f>
        <v/>
      </c>
      <c r="CC358" s="0" t="str">
        <f aca="false">" "&amp;TRIM(SUBSTITUTE(SUBSTITUTE(SUBSTITUTE(SUBSTITUTE(SUBSTITUTE(SUBSTITUTE(SUBSTITUTE(SUBSTITUTE(SUBSTITUTE(SUBSTITUTE(SUBSTITUTE(SUBSTITUTE(SUBSTITUTE(SUBSTITUTE(SUBSTITUTE(SUBSTITUTE(SUBSTITUTE(SUBSTITUTE(SUBSTITUTE(SUBSTITUTE(SUBSTITUTE(SUBSTITUTE(SUBSTITUTE(SUBSTITUTE(LOWER(T358&amp;""),CHAR(10)," "),CHAR(13)," "),CHAR(9)," "),CHAR(160)," "),"."," "),","," "),"-"," "),"/"," "),"("," "),")"," "),":"," "),";"," "),"_"," "),"–"," "),"?"," "),"!"," "),"*"," "),"["," "),"]"," "),"'"," "),"#"," "),"+"," "),"&amp;"," "),"\"," "))&amp;" "</f>
        <v>  </v>
      </c>
      <c r="CD358" s="0" t="str">
        <f aca="false">" "&amp;TRIM(SUBSTITUTE(SUBSTITUTE(SUBSTITUTE(SUBSTITUTE(SUBSTITUTE(SUBSTITUTE(SUBSTITUTE(SUBSTITUTE(SUBSTITUTE(SUBSTITUTE(SUBSTITUTE(SUBSTITUTE(SUBSTITUTE(SUBSTITUTE(SUBSTITUTE(SUBSTITUTE(SUBSTITUTE(SUBSTITUTE(SUBSTITUTE(SUBSTITUTE(SUBSTITUTE(SUBSTITUTE(SUBSTITUTE(SUBSTITUTE(LOWER(AE358&amp;""),CHAR(10)," "),CHAR(13)," "),CHAR(9)," "),CHAR(160)," "),"."," "),","," "),"-"," "),"/"," "),"("," "),")"," "),":"," "),";"," "),"_"," "),"–"," "),"?"," "),"!"," "),"*"," "),"["," "),"]"," "),"'"," "),"#"," "),"+"," "),"&amp;"," "),"\"," "))&amp;" "</f>
        <v>  </v>
      </c>
      <c r="CE358" s="68" t="n">
        <f aca="false">IFERROR(IF(AND(LEN(AU358)&gt;0,LEN(AU358)=LEN(AX358),OR(TRIM(MID(SUBSTITUTE(TRIM(CC358)," ",REPT(" ",60)),1,60))="",ISNUMBER(SEARCH(" "&amp;TRIM(MID(SUBSTITUTE(TRIM(CC358)," ",REPT(" ",60)),1,60))&amp;" ",CD358))),OR(TRIM(MID(SUBSTITUTE(TRIM(CC358)," ",REPT(" ",60)),61,60))="",ISNUMBER(SEARCH(" "&amp;TRIM(MID(SUBSTITUTE(TRIM(CC358)," ",REPT(" ",60)),61,60))&amp;" ",CD358))),OR(TRIM(MID(SUBSTITUTE(TRIM(CC358)," ",REPT(" ",60)),121,60))="",ISNUMBER(SEARCH(" "&amp;TRIM(MID(SUBSTITUTE(TRIM(CC358)," ",REPT(" ",60)),121,60))&amp;" ",CD358)))),1,0),0)</f>
        <v>0</v>
      </c>
      <c r="CG358" s="68" t="n">
        <f aca="false">IFERROR(LEN(SUBSTITUTE(BF358," ",""))-SUMPRODUCT((LEN(BF358)-LEN(SUBSTITUTE(BF358," "&amp;L_NAFiller&amp;" "," ")))/(LEN(L_NAFiller)+1)*LEN(L_NAFiller)),0)</f>
        <v>0</v>
      </c>
    </row>
    <row r="359" customFormat="false" ht="41.25" hidden="false" customHeight="true" outlineLevel="0" collapsed="false">
      <c r="A359" s="57" t="s">
        <v>960</v>
      </c>
      <c r="B359" s="57" t="s">
        <v>258</v>
      </c>
      <c r="C359" s="57" t="str">
        <f aca="false">Flights!$F$15</f>
        <v>MH1149</v>
      </c>
      <c r="D359" s="58" t="n">
        <f aca="false">Flights!$D$15</f>
        <v>46307</v>
      </c>
      <c r="E359" s="57" t="str">
        <f aca="false">Flights!$G$15&amp;"-"&amp;Flights!$H$15</f>
        <v>PEN-KUL</v>
      </c>
      <c r="F359" s="57" t="str">
        <f aca="false">Flights!$K$15</f>
        <v>EY</v>
      </c>
      <c r="G359" s="57" t="s">
        <v>81</v>
      </c>
      <c r="H359" s="57" t="s">
        <v>378</v>
      </c>
      <c r="I359" s="57" t="s">
        <v>389</v>
      </c>
      <c r="J359" s="57" t="s">
        <v>390</v>
      </c>
      <c r="K359" s="67" t="s">
        <v>391</v>
      </c>
      <c r="L359" s="67" t="s">
        <v>382</v>
      </c>
      <c r="M359" s="67"/>
      <c r="N359" s="67" t="str">
        <f aca="false">IF(TRIM(Flights!$L$15)="A339","Required","N/A – rule")</f>
        <v>N/A – rule</v>
      </c>
      <c r="O359" s="67" t="s">
        <v>392</v>
      </c>
      <c r="P359" s="57" t="s">
        <v>187</v>
      </c>
      <c r="Q359" s="59" t="n">
        <f aca="false">ROUND((Flights!$AC$15)*1440,0)/1440</f>
        <v>46300.3263888889</v>
      </c>
      <c r="R359" s="59" t="n">
        <f aca="false">Q359+(IF(AND(INDEX(TZ_DSTS,MATCH(P359,TZ_STN,0))&lt;&gt;"",Q359&gt;=INDEX(TZ_DSTS,MATCH(P359,TZ_STN,0)),Q359&lt;INDEX(TZ_DSTE,MATCH(P359,TZ_STN,0))),INDEX(TZ_DST,MATCH(P359,TZ_STN,0)),INDEX(TZ_STD,MATCH(P359,TZ_STN,0))))/24</f>
        <v>46300.6597222222</v>
      </c>
      <c r="S359" s="60"/>
      <c r="T359" s="60"/>
      <c r="U359" s="60"/>
      <c r="V359" s="60"/>
      <c r="W359" s="61"/>
      <c r="X359" s="60"/>
      <c r="Y359" s="60"/>
      <c r="Z359" s="60"/>
      <c r="AA359" s="60"/>
      <c r="AB359" s="60"/>
      <c r="AC359" s="60"/>
      <c r="AD359" s="66"/>
      <c r="AE359" s="60"/>
      <c r="AF359" s="61" t="str">
        <f aca="false">IF(AND(ISNUMBER(X359),ISNUMBER(Y359)),Y359-X359,"")</f>
        <v/>
      </c>
      <c r="AG359" s="62" t="str">
        <f aca="false">IF(ISNUMBER(AD359),AD359-(IF(AND(INDEX(TZ_DSTS,MATCH(P359,TZ_STN,0))&lt;&gt;"",(AD359-INDEX(TZ_STD,MATCH(P359,TZ_STN,0))/24)&gt;=INDEX(TZ_DSTS,MATCH(P359,TZ_STN,0)),(AD359-INDEX(TZ_STD,MATCH(P359,TZ_STN,0))/24)&lt;INDEX(TZ_DSTE,MATCH(P359,TZ_STN,0))),INDEX(TZ_DST,MATCH(P359,TZ_STN,0)),INDEX(TZ_STD,MATCH(P359,TZ_STN,0))))/24,"")</f>
        <v/>
      </c>
      <c r="AH359" s="65" t="str">
        <f aca="false">IFERROR(IF(N359="N/A – rule",IF(OR(TRIM(U359)="",TRIM(U359)="N/A",TRIM(U359)="Not started"),"N/A – RULE","INVALID – this check does not apply to this aircraft: clear the status (or correct the fleet on Flights)"),IF(TRIM(U359)="N/A",IF(AT359=0,"INVALID – N/A not permitted for this check",IF(AND(TRIM(AB359)&lt;&gt;"",TRIM(AB359)&lt;&gt;"Closed"),"INVALID – corrective action still open",IF(AND(NOT(OR(LEN(AZ359)&lt;15,ISNUMBER(MATCH(AZ359,L_Placeholder,0)))),BK359=0,CG359&gt;=8,NOT(OR(LEN(AU359)&lt;2,ISNUMBER(MATCH(AU359,L_Placeholder,0)))),BR359&gt;=3,NOT(OR(LEN(AX359)&lt;2,ISNUMBER(MATCH(AX359,L_Placeholder,0)))),BS359&gt;=3,TRIM(AE359)&lt;&gt;TRIM(T359),AX359&lt;&gt;AU359,CE359=0),"N/A – JUSTIFIED","INVALID – N/A needs a real, settled reason (not 'not applicable' / 'as above' / TBC), a named PIC and a different named verifier"))),IF(OR(TRIM(U359)="Pass",TRIM(U359)="Pass after CA"),IF(NOT(ISNUMBER(AD359)),"INVALID – completion time missing",IF(OR(OR(LEN(AU359)&lt;2,ISNUMBER(MATCH(AU359,L_Placeholder,0))),BR359&lt;3),"INVALID – PIC missing or not a named person (a role such as QA / CSM is not a name)",IF(OR(LEN(AV359)&lt;2,ISNUMBER(MATCH(AV359,L_Placeholder,0))),"INVALID – result / assessment missing",IF(OR(OR(LEN(AW359)&lt;3,ISNUMBER(MATCH(AW359,L_Placeholder,0))),SUMPRODUCT(--ISNUMBER(SEARCH(" "&amp;L_EvidencePhrase&amp;" ",BD359)))&gt;0,BI359=1),"INVALID – evidence missing, placeholder or not yet on file",IF(ISNA(MATCH(TRIM(S359),L_EvidenceType,0)),"INVALID – choose the evidence type from the list (column S)",IF(BL359=0,"INVALID – evidence ID must be the record's own ID only (e.g. SF-2210, IMG_2231, 1045521); a link / file name needs type 'Link / file path'",IF(OR(OR(LEN(AX359)&lt;2,ISNUMBER(MATCH(AX359,L_Placeholder,0))),BS359&lt;3),"INVALID – verifier missing or not a named person (a role such as QA / CSM is not a name)",IF(OR(AX359=AU359,CE359=1,AND(LEN(AU359)&gt;=4,ISNUMBER(SEARCH(AU359,AX359))),AND(LEN(AX359)&gt;=4,ISNUMBER(SEARCH(AX359,AU359)))),"INVALID – verifier must be a different, named person (not the PIC or a role)",IF(BH359=1,"INVALID – result not yet available (awaiting / TBC)",IF(BG359=1,"INVALID – result describes a problem: record Fail, then Pass after CA (or reword if it is not a problem)",IF(BV359=1,"INVALID – wording says not on board: an on-board confirmation needs the item loaded",IF(AND(AQ359=1,OR(OR(LEN(AY359)&lt;3,ISNUMBER(MATCH(AY359,L_Placeholder,0))),BJ359=1,BQ359=0)),"INVALID – batch ID missing, placeholder or not an ID (e.g. PASB-261008-BC-017)",IF(AND(AR359=1,OR(NOT(ISNUMBER(X359)),NOT(ISNUMBER(Y359)))),"INVALID – expected/actual qty missing",IF(AND(AR359=1,OR(X359&lt;=0,Y359&lt;0)),"INVALID – expected qty must be above 0 and actual not negative",IF(BB359&lt;&gt;"",BB359,IF(AND(AS359=1,Documents!$J$15&lt;&gt;"ON FILE"),"INVALID – GLD not on file (Documents sheet)",IF(AND(AS359=2,Documents!$O$15&lt;&gt;"ON FILE"),"INVALID – menu checklist not on file (Documents sheet)",IF(AND(AS359=3,NOT(ISNUMBER(Flights!$AX$15))),"INVALID – enter carrying flight KUL departure (Flights AX)",IF(AND(AS359=3,OR(Flights!$AZ$15&gt;Flights!$AA$15,Flights!$AX$15&lt;Flights!$AA$15-3)),"INVALID – carrying flight (Flights AX) cannot arrive before this leg's STD, or is over 3 days early",IF(AG359&gt;AsOfUTC,"INVALID – completion time is in the future",IF(AND(ISNUMBER(BY359),AG359&lt;BY359),IF(H359="Physical uplift","INVALID – before uplift window (cannot confirm loading)","INVALID – before valid window"),IF(AG359&gt;Flights!$AA$15,"INVALID – completed after departure (cannot establish readiness)",IF(AND(H359="Preparation",AG359&gt;=IF(ISNUMBER(Flights!$BA$15),MIN(Flights!$BA$15,Flights!$AA$15),Flights!$AA$15)),"INVALID – completed after loading / departure (cannot establish readiness)",IF(AND(H359="Physical uplift",AG359&gt;Q359),"INVALID – recorded after the loading flight departed",IF(AG359&gt;Q359,"COMPLETE – LATE","COMPLETE"))))))))))))))))))))))))),IF(TRIM(U359)="Fail","FAIL – DISCREPANCY",IF(AND(TRIM(U359)&lt;&gt;"",TRIM(U359)&lt;&gt;"Not started",TRIM(U359)&lt;&gt;"In progress"),"INVALID – unrecognised status (use the list)",IF(AsOfUTC&gt;Q359,"OVERDUE",IF(N359="Clarification required","OPEN – CLARIFICATION","OPEN"))))))),"INVALID – error value in an input cell")</f>
        <v>N/A – RULE</v>
      </c>
      <c r="AI359" s="61" t="n">
        <f aca="false">IF(OR(AH359="N/A – RULE",AH359="N/A – JUSTIFIED"),0,1)</f>
        <v>0</v>
      </c>
      <c r="AJ359" s="61" t="n">
        <f aca="false">IF(LEFT(AH359,8)="COMPLETE",1,0)</f>
        <v>0</v>
      </c>
      <c r="AK359" s="61" t="n">
        <f aca="false">IF(AND(AI359=1,AJ359=0,AsOfUTC&gt;Q359),1,0)</f>
        <v>0</v>
      </c>
      <c r="AL359" s="61" t="n">
        <f aca="false">IFERROR(IF(AND(AI359=1,OR(TRIM(U359)="Fail",AND(TRIM(AB359)&lt;&gt;"",TRIM(AB359)&lt;&gt;"Closed"),AND(ISNUMBER(AF359),AF359&lt;&gt;0,TRIM(U359)&lt;&gt;"Pass after CA"))),1,0),1)</f>
        <v>0</v>
      </c>
      <c r="AM359" s="61" t="n">
        <f aca="false">IF(LEFT(AH359,7)="INVALID",1,0)</f>
        <v>0</v>
      </c>
      <c r="AN359" s="61" t="n">
        <f aca="false">IF(AND(N359="Clarification required",AI359=1,AJ359=0),1,0)</f>
        <v>0</v>
      </c>
      <c r="AO359" s="61" t="str">
        <f aca="false">IF(AK359=1,SUM(AK$5:AK359),"")</f>
        <v/>
      </c>
      <c r="AP359" s="61" t="str">
        <f aca="false">IF(AL359=1,SUM(AL$5:AL359),"")</f>
        <v/>
      </c>
      <c r="AQ359" s="61" t="n">
        <v>0</v>
      </c>
      <c r="AR359" s="61" t="n">
        <v>0</v>
      </c>
      <c r="AS359" s="61" t="n">
        <v>0</v>
      </c>
      <c r="AT359" s="61" t="n">
        <v>0</v>
      </c>
      <c r="AU359" s="61" t="str">
        <f aca="false">SUBSTITUTE(SUBSTITUTE(SUBSTITUTE(SUBSTITUTE(SUBSTITUTE(SUBSTITUTE(SUBSTITUTE(SUBSTITUTE(SUBSTITUTE(SUBSTITUTE(SUBSTITUTE(SUBSTITUTE(SUBSTITUTE(SUBSTITUTE(SUBSTITUTE(SUBSTITUTE(LOWER(T359&amp;""),CHAR(10),""),CHAR(13),""),CHAR(9),""),CHAR(160),"")," ",""),".",""),"-",""),"/",""),"?",""),"_",""),",",""),"[",""),"]",""),"(",""),")",""),"*","")</f>
        <v/>
      </c>
      <c r="AV359" s="61" t="str">
        <f aca="false">SUBSTITUTE(SUBSTITUTE(SUBSTITUTE(SUBSTITUTE(SUBSTITUTE(SUBSTITUTE(SUBSTITUTE(SUBSTITUTE(SUBSTITUTE(SUBSTITUTE(SUBSTITUTE(SUBSTITUTE(SUBSTITUTE(SUBSTITUTE(SUBSTITUTE(SUBSTITUTE(LOWER(V359&amp;""),CHAR(10),""),CHAR(13),""),CHAR(9),""),CHAR(160),"")," ",""),".",""),"-",""),"/",""),"?",""),"_",""),",",""),"[",""),"]",""),"(",""),")",""),"*","")</f>
        <v/>
      </c>
      <c r="AW359" s="61" t="str">
        <f aca="false">SUBSTITUTE(SUBSTITUTE(SUBSTITUTE(SUBSTITUTE(SUBSTITUTE(SUBSTITUTE(SUBSTITUTE(SUBSTITUTE(SUBSTITUTE(SUBSTITUTE(SUBSTITUTE(SUBSTITUTE(SUBSTITUTE(SUBSTITUTE(SUBSTITUTE(SUBSTITUTE(LOWER(Z359&amp;""),CHAR(10),""),CHAR(13),""),CHAR(9),""),CHAR(160),"")," ",""),".",""),"-",""),"/",""),"?",""),"_",""),",",""),"[",""),"]",""),"(",""),")",""),"*","")</f>
        <v/>
      </c>
      <c r="AX359" s="61" t="str">
        <f aca="false">SUBSTITUTE(SUBSTITUTE(SUBSTITUTE(SUBSTITUTE(SUBSTITUTE(SUBSTITUTE(SUBSTITUTE(SUBSTITUTE(SUBSTITUTE(SUBSTITUTE(SUBSTITUTE(SUBSTITUTE(SUBSTITUTE(SUBSTITUTE(SUBSTITUTE(SUBSTITUTE(LOWER(AE359&amp;""),CHAR(10),""),CHAR(13),""),CHAR(9),""),CHAR(160),"")," ",""),".",""),"-",""),"/",""),"?",""),"_",""),",",""),"[",""),"]",""),"(",""),")",""),"*","")</f>
        <v/>
      </c>
      <c r="AY359" s="61" t="str">
        <f aca="false">SUBSTITUTE(SUBSTITUTE(SUBSTITUTE(SUBSTITUTE(SUBSTITUTE(SUBSTITUTE(SUBSTITUTE(SUBSTITUTE(SUBSTITUTE(SUBSTITUTE(SUBSTITUTE(SUBSTITUTE(SUBSTITUTE(SUBSTITUTE(SUBSTITUTE(SUBSTITUTE(LOWER(W359&amp;""),CHAR(10),""),CHAR(13),""),CHAR(9),""),CHAR(160),"")," ",""),".",""),"-",""),"/",""),"?",""),"_",""),",",""),"[",""),"]",""),"(",""),")",""),"*","")</f>
        <v/>
      </c>
      <c r="AZ359" s="61" t="str">
        <f aca="false">SUBSTITUTE(SUBSTITUTE(SUBSTITUTE(SUBSTITUTE(SUBSTITUTE(SUBSTITUTE(SUBSTITUTE(SUBSTITUTE(SUBSTITUTE(SUBSTITUTE(SUBSTITUTE(SUBSTITUTE(SUBSTITUTE(SUBSTITUTE(SUBSTITUTE(SUBSTITUTE(LOWER(AC359&amp;""),CHAR(10),""),CHAR(13),""),CHAR(9),""),CHAR(160),"")," ",""),".",""),"-",""),"/",""),"?",""),"_",""),",",""),"[",""),"]",""),"(",""),")",""),"*","")</f>
        <v/>
      </c>
      <c r="BA359" s="61" t="str">
        <f aca="false">SUBSTITUTE(SUBSTITUTE(SUBSTITUTE(SUBSTITUTE(SUBSTITUTE(SUBSTITUTE(SUBSTITUTE(SUBSTITUTE(SUBSTITUTE(SUBSTITUTE(SUBSTITUTE(SUBSTITUTE(SUBSTITUTE(SUBSTITUTE(SUBSTITUTE(SUBSTITUTE(LOWER(AA359&amp;""),CHAR(10),""),CHAR(13),""),CHAR(9),""),CHAR(160),"")," ",""),".",""),"-",""),"/",""),"?",""),"_",""),",",""),"[",""),"]",""),"(",""),")",""),"*","")</f>
        <v/>
      </c>
      <c r="BB359" s="61" t="str">
        <f aca="false">IF(AND(TRIM(U359)="Pass",ISNUMBER(AF359)),IF(AF359&lt;&gt;0,"INVALID – qty variance: use Fail or Pass after CA",""),"")&amp;IF(AND(TRIM(U359)="Pass after CA",ISNUMBER(AF359)),IF(AF359&lt;&gt;0,"INVALID – after the corrective action the actual qty must equal expected (update Actual)",""),"")&amp;IF(AND(TRIM(U359)="Pass",TRIM(AB359)&lt;&gt;"",TRIM(AB359)&lt;&gt;"Closed"),"INVALID – corrective action not closed: use Fail, then Pass after CA","")&amp;IF(AND(LEN(BA359)&gt;=2,ISNA(MATCH(LEFT(BA359,255),L_Placeholder,0)),TRIM(AB359)=""),"INVALID – CA status missing for the recorded corrective action","")&amp;IF(AND(TRIM(U359)="Pass after CA",OR(OR(LEN(BA359)&lt;5,ISNUMBER(MATCH(BA359,L_Placeholder,0))),TRIM(AB359)&lt;&gt;"Closed")),"INVALID – corrective action not recorded/closed","")</f>
        <v/>
      </c>
      <c r="BC359" s="61" t="str">
        <f aca="false">" "&amp;TRIM(SUBSTITUTE(SUBSTITUTE(SUBSTITUTE(SUBSTITUTE(SUBSTITUTE(SUBSTITUTE(SUBSTITUTE(SUBSTITUTE(SUBSTITUTE(SUBSTITUTE(SUBSTITUTE(SUBSTITUTE(SUBSTITUTE(SUBSTITUTE(SUBSTITUTE(SUBSTITUTE(SUBSTITUTE(SUBSTITUTE(SUBSTITUTE(SUBSTITUTE(SUBSTITUTE(SUBSTITUTE(SUBSTITUTE(SUBSTITUTE(LOWER(V359&amp;""),CHAR(10)," "),CHAR(13)," "),CHAR(9)," "),CHAR(160)," "),"."," "),","," "),"-"," "),"/"," "),"("," "),")"," "),":"," "),";"," "),"_"," "),"–"," "),"?"," "),"!"," "),"*"," "),"["," "),"]"," "),"'"," "),"#"," "),"+"," "),"&amp;"," "),"\"," "))&amp;" "</f>
        <v>  </v>
      </c>
      <c r="BD359" s="61" t="str">
        <f aca="false">" "&amp;TRIM(SUBSTITUTE(SUBSTITUTE(SUBSTITUTE(SUBSTITUTE(SUBSTITUTE(SUBSTITUTE(SUBSTITUTE(SUBSTITUTE(SUBSTITUTE(SUBSTITUTE(SUBSTITUTE(SUBSTITUTE(SUBSTITUTE(SUBSTITUTE(SUBSTITUTE(SUBSTITUTE(SUBSTITUTE(SUBSTITUTE(SUBSTITUTE(SUBSTITUTE(SUBSTITUTE(SUBSTITUTE(SUBSTITUTE(SUBSTITUTE(LOWER(Z359&amp;""),CHAR(10)," "),CHAR(13)," "),CHAR(9)," "),CHAR(160)," "),"."," "),","," "),"-"," "),"/"," "),"("," "),")"," "),":"," "),";"," "),"_"," "),"–"," "),"?"," "),"!"," "),"*"," "),"["," "),"]"," "),"'"," "),"#"," "),"+"," "),"&amp;"," "),"\"," "))&amp;" "</f>
        <v>  </v>
      </c>
      <c r="BE359" s="61" t="str">
        <f aca="false">" "&amp;TRIM(SUBSTITUTE(SUBSTITUTE(SUBSTITUTE(SUBSTITUTE(SUBSTITUTE(SUBSTITUTE(SUBSTITUTE(SUBSTITUTE(SUBSTITUTE(SUBSTITUTE(SUBSTITUTE(SUBSTITUTE(SUBSTITUTE(SUBSTITUTE(SUBSTITUTE(SUBSTITUTE(SUBSTITUTE(SUBSTITUTE(SUBSTITUTE(SUBSTITUTE(SUBSTITUTE(SUBSTITUTE(SUBSTITUTE(SUBSTITUTE(LOWER(W359&amp;""),CHAR(10)," "),CHAR(13)," "),CHAR(9)," "),CHAR(160)," "),"."," "),","," "),"-"," "),"/"," "),"("," "),")"," "),":"," "),";"," "),"_"," "),"–"," "),"?"," "),"!"," "),"*"," "),"["," "),"]"," "),"'"," "),"#"," "),"+"," "),"&amp;"," "),"\"," "))&amp;" "</f>
        <v>  </v>
      </c>
      <c r="BF359" s="61" t="str">
        <f aca="false">" "&amp;TRIM(SUBSTITUTE(SUBSTITUTE(SUBSTITUTE(SUBSTITUTE(SUBSTITUTE(SUBSTITUTE(SUBSTITUTE(SUBSTITUTE(SUBSTITUTE(SUBSTITUTE(SUBSTITUTE(SUBSTITUTE(SUBSTITUTE(SUBSTITUTE(SUBSTITUTE(SUBSTITUTE(SUBSTITUTE(SUBSTITUTE(SUBSTITUTE(SUBSTITUTE(SUBSTITUTE(SUBSTITUTE(SUBSTITUTE(SUBSTITUTE(LOWER(AC359&amp;""),CHAR(10)," "),CHAR(13)," "),CHAR(9)," "),CHAR(160)," "),"."," "),","," "),"-"," "),"/"," "),"("," "),")"," "),":"," "),";"," "),"_"," "),"–"," "),"?"," "),"!"," "),"*"," "),"["," "),"]"," "),"'"," "),"#"," "),"+"," "),"&amp;"," "),"\"," "))&amp;" "</f>
        <v>  </v>
      </c>
      <c r="BG359" s="61" t="n">
        <f aca="false">IFERROR(IF(AND(TRIM(U359)="Pass",SUMPRODUCT((LEN(BC359)-LEN(SUBSTITUTE(BC359," "&amp;L_ResultBad&amp;" "," ")))/(LEN(L_ResultBad)+1))&gt;SUMPRODUCT((LEN(BC359)-LEN(SUBSTITUTE(BC359," "&amp;L_NegPhrase&amp;" "," ")))/(LEN(L_NegPhrase)+1))),1,0),0)</f>
        <v>0</v>
      </c>
      <c r="BH359" s="61" t="n">
        <f aca="false">IFERROR(IF(SUMPRODUCT((LEN(BC359)-LEN(SUBSTITUTE(BC359," "&amp;L_Pending&amp;" "," ")))/(LEN(L_Pending)+1))&gt;SUMPRODUCT((LEN(BC359)-LEN(SUBSTITUTE(BC359," "&amp;L_PendNeg&amp;" "," ")))/(LEN(L_PendNeg)+1))+SUMPRODUCT((LEN(BC359)-LEN(SUBSTITUTE(BC359," "&amp;L_PendPrep&amp;" "," ")))/(LEN(L_PendPrep)+1)),1,0),1)</f>
        <v>0</v>
      </c>
      <c r="BI359" s="61" t="n">
        <f aca="false">IFERROR(IF(SUMPRODUCT((LEN(BD359)-LEN(SUBSTITUTE(BD359," "&amp;L_PendStrict&amp;" "," ")))/(LEN(L_PendStrict)+1))&gt;SUMPRODUCT((LEN(BD359)-LEN(SUBSTITUTE(BD359," "&amp;L_PendNeg&amp;" "," ")))/(LEN(L_PendNeg)+1)),1,0),1)</f>
        <v>0</v>
      </c>
      <c r="BJ359" s="61" t="n">
        <f aca="false">IFERROR(IF(SUMPRODUCT((LEN(BE359)-LEN(SUBSTITUTE(BE359," "&amp;L_Pending&amp;" "," ")))/(LEN(L_Pending)+1))&gt;SUMPRODUCT((LEN(BE359)-LEN(SUBSTITUTE(BE359," "&amp;L_PendNeg&amp;" "," ")))/(LEN(L_PendNeg)+1))+SUMPRODUCT((LEN(BE359)-LEN(SUBSTITUTE(BE359," "&amp;L_PendPrep&amp;" "," ")))/(LEN(L_PendPrep)+1)),1,0),1)</f>
        <v>0</v>
      </c>
      <c r="BK359" s="61" t="n">
        <f aca="false">IFERROR(IF(SUMPRODUCT((LEN(BF359)-LEN(SUBSTITUTE(BF359," "&amp;L_PendStrict&amp;" "," ")))/(LEN(L_PendStrict)+1))&gt;SUMPRODUCT((LEN(BF359)-LEN(SUBSTITUTE(BF359," "&amp;L_PendNeg&amp;" "," ")))/(LEN(L_PendNeg)+1)),1,0),1)</f>
        <v>0</v>
      </c>
      <c r="BL359" s="61" t="n">
        <f aca="false">IF(ISNA(MATCH(TRIM(S359),L_EvidenceType,0)),0,BZ359)</f>
        <v>0</v>
      </c>
      <c r="BM359" s="61" t="str">
        <f aca="false">SUBSTITUTE(SUBSTITUTE(SUBSTITUTE(SUBSTITUTE(SUBSTITUTE(SUBSTITUTE(SUBSTITUTE(SUBSTITUTE(SUBSTITUTE(LOWER(Z359&amp;""),"1","0"),"2","0"),"3","0"),"4","0"),"5","0"),"6","0"),"7","0"),"8","0"),"9","0")</f>
        <v/>
      </c>
      <c r="BN359" s="61" t="str">
        <f aca="false">SUBSTITUTE(SUBSTITUTE(SUBSTITUTE(SUBSTITUTE(SUBSTITUTE(SUBSTITUTE(SUBSTITUTE(SUBSTITUTE(SUBSTITUTE(SUBSTITUTE(SUBSTITUTE(SUBSTITUTE(SUBSTITUTE(SUBSTITUTE(SUBSTITUTE(SUBSTITUTE(SUBSTITUTE(SUBSTITUTE(SUBSTITUTE(SUBSTITUTE(SUBSTITUTE(SUBSTITUTE(SUBSTITUTE(SUBSTITUTE(SUBSTITUTE(BM359,"b","a"),"c","a"),"d","a"),"e","a"),"f","a"),"g","a"),"h","a"),"i","a"),"j","a"),"k","a"),"l","a"),"m","a"),"n","a"),"o","a"),"p","a"),"q","a"),"r","a"),"s","a"),"t","a"),"u","a"),"v","a"),"w","a"),"x","a"),"y","a"),"z","a")</f>
        <v/>
      </c>
      <c r="BO359" s="61" t="str">
        <f aca="false">SUBSTITUTE(SUBSTITUTE(SUBSTITUTE(SUBSTITUTE(SUBSTITUTE(SUBSTITUTE(SUBSTITUTE(SUBSTITUTE(SUBSTITUTE(LOWER(W359&amp;""),"1","0"),"2","0"),"3","0"),"4","0"),"5","0"),"6","0"),"7","0"),"8","0"),"9","0")</f>
        <v/>
      </c>
      <c r="BP359" s="61" t="str">
        <f aca="false">SUBSTITUTE(SUBSTITUTE(SUBSTITUTE(SUBSTITUTE(SUBSTITUTE(SUBSTITUTE(SUBSTITUTE(SUBSTITUTE(SUBSTITUTE(SUBSTITUTE(SUBSTITUTE(SUBSTITUTE(SUBSTITUTE(SUBSTITUTE(SUBSTITUTE(SUBSTITUTE(SUBSTITUTE(SUBSTITUTE(SUBSTITUTE(SUBSTITUTE(SUBSTITUTE(SUBSTITUTE(SUBSTITUTE(SUBSTITUTE(SUBSTITUTE(BO359,"b","a"),"c","a"),"d","a"),"e","a"),"f","a"),"g","a"),"h","a"),"i","a"),"j","a"),"k","a"),"l","a"),"m","a"),"n","a"),"o","a"),"p","a"),"q","a"),"r","a"),"s","a"),"t","a"),"u","a"),"v","a"),"w","a"),"x","a"),"y","a"),"z","a")</f>
        <v/>
      </c>
      <c r="BQ359" s="61" t="n">
        <f aca="false">IFERROR(IF(AND(ISERROR(SEARCH(" mh"," "&amp;LOWER(W359))),ISNA(MATCH(LEFT(TRIM(BP359),255),{"0000a","000a","00a","0000aa","000aa","00aa","0aa","0000aaa","000aaa","00a00","0a00","0000-0000","00:00","a00","a0","00.00.0000","00/00/0000","00-00-0000","0000-00-00","0000/00/00","0000.00.00","00.00.00","00/00/00","00-00-00","0.00.0000","0/00/0000","0-00-0000"},0)),ISNA(MATCH(LEFT(TRIM(CA359),255),{"0000a","000a","00a","0000aa","000aa","00aa","0aa","0000aaa","000aaa","00a00","0a00","0000-0000","00:00","a00","a0","00.00.0000","00/00/0000","00-00-0000","0000-00-00","0000/00/00","0000.00.00","00.00.00","00/00/00","00-00-00","0.00.0000","0/00/0000","0-00-0000"},0)),LEN(CB359)&gt;=3,NOT(OR(SUBSTITUTE(CB359,"0","")="",AND(LEN(CB359)&gt;=4,CB359=REPT(LEFT(CB359),LEN(CB359))),ISNUMBER(MATCH(CB359,{"123","1234","12345","123456","1234567","12345678","0123","01234","012345","98765","987654","54321"},0)),AND(LEN(CB359)=8,LEFT(CB359,3)="202"))),OR(AND((LEN(CA359)-LEN(SUBSTITUTE(CA359,"a","")))&gt;=1,SUMPRODUCT(--ISNUMBER(SEARCH({"a0","a-0","a_0","a/0","a.0","a#0","0a","0-a","0_a","0/a"},BP359)))&gt;0),ISNUMBER(SEARCH("000000",BP359)))),1,0),0)</f>
        <v>0</v>
      </c>
      <c r="BR359" s="61" t="n">
        <f aca="false">IFERROR(LEN(SUBSTITUTE(CC359," ",""))-SUMPRODUCT((LEN(CC359)-LEN(SUBSTITUTE(CC359," "&amp;L_Role&amp;" "," ")))/(LEN(L_Role)+1)*LEN(L_Role)),0)</f>
        <v>0</v>
      </c>
      <c r="BS359" s="61" t="n">
        <f aca="false">IFERROR(LEN(SUBSTITUTE(CD359," ",""))-SUMPRODUCT((LEN(CD359)-LEN(SUBSTITUTE(CD359," "&amp;L_Role&amp;" "," ")))/(LEN(L_Role)+1)*LEN(L_Role)),0)</f>
        <v>0</v>
      </c>
      <c r="BT3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359,"revision",""),"version",""),"jan",""),"feb",""),"mar",""),"apr",""),"may",""),"jun",""),"jul",""),"aug",""),"sep",""),"oct",""),"nov",""),"dec",""),"utc",""),"gmt",""),"myt",""),"bst",""),"rev",""),"ver",""),"b","a"),"c","a"),"d","a"),"e","a"),"f","a"),"g","a"),"h","a"),"i","a"),"j","a"),"k","a"),"l","a"),"m","a"),"n","a"),"o","a"),"p","a"),"q","a"),"r","a"),"s","a"),"t","a"),"u","a"),"v","a"),"w","a"),"x","a"),"y","a"),"z","a")</f>
        <v/>
      </c>
      <c r="BU359" s="61" t="str">
        <f aca="false">SUBSTITUTE(SUBSTITUTE(SUBSTITUTE(SUBSTITUTE(SUBSTITUTE(SUBSTITUTE(SUBSTITUTE(SUBSTITUTE(SUBSTITUTE(SUBSTITUTE(LEFT(BM359,FIND("0",BM359&amp;"0")-1),"-",""),"_",""),"/",""),".",""),"#",""),"\\",""),":","")," ",""),"(",""),")","")</f>
        <v/>
      </c>
      <c r="BV359" s="61" t="n">
        <f aca="false">0</f>
        <v>0</v>
      </c>
      <c r="BW3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359&amp;""),"a",""),"b",""),"c",""),"d",""),"e",""),"f",""),"g",""),"h",""),"i",""),"j",""),"k",""),"l",""),"m",""),"n",""),"o",""),"p",""),"q",""),"r",""),"s",""),"t",""),"u",""),"v",""),"w",""),"x",""),"y",""),"z",""),"-",""),"_",""),"/",""),".",""),"#",""),"\\",""),":","")," ",""),"(",""),")","")</f>
        <v/>
      </c>
      <c r="BX359" s="61" t="str">
        <f aca="false">SUBSTITUTE(SUBSTITUTE(SUBSTITUTE(SUBSTITUTE(SUBSTITUTE(SUBSTITUTE(SUBSTITUTE(SUBSTITUTE(SUBSTITUTE(SUBSTITUTE(SUBSTITUTE(BM359,"0",""),"-",""),"_",""),"/",""),".",""),"#",""),"\\",""),":","")," ",""),"(",""),")","")</f>
        <v/>
      </c>
      <c r="BY359" s="62" t="n">
        <f aca="false">Q359-T7EarlyD*24/24</f>
        <v>46286.3263888889</v>
      </c>
      <c r="BZ359" s="61" t="n">
        <f aca="false">IFERROR(IF(IF(TRIM(S359)="Link / file path",AND(LEN(TRIM(Z359))&gt;=5,SUMPRODUCT(--ISNUMBER(SEARCH({"http","www.","\\",":\",".pdf",".jpg",".jpeg",".png",".heic",".xls",".doc",".msg",".eml",".ppt",".txt",".zip"},Z359)))&gt;0),AND(ISERROR(FIND(" ",TRIM(Z359))),NOT(OR(SUMPRODUCT(--ISNUMBER(FIND({",",";","&amp;","+"},Z359)))&gt;0,SUMPRODUCT(--ISNUMBER(SEARCH({"0/aa","0\\aa"},BN359)))&gt;0)),NOT(SUMPRODUCT(--ISNUMBER(SEARCH({"http","www.","\\",":\",".pdf",".jpg",".jpeg",".png",".heic",".xls",".doc",".msg",".eml",".ppt",".txt",".zip"},Z359)))&gt;0),NOT(LOWER(TRIM(Z359))=LOWER(Flights!$F$15)),ISNA(MATCH(BU359,{"mh","rev","revision","ver","version","v","r","a","b","seat","tray","row","gate","bay","stand","page","pg","item","line","no","cart","galley","flight","flt","table","box","bag","oven","etd","eta","std","sta","atd","ata","qty","pax","x","time","tel","ph","mob","day","wk","week","utc","gmt","myt","lt"},0)),NOT(OR(ISNUMBER(MATCH(LEFT(BN359,255),{"0000a","000a","00a","0000aa","000aa","00aa","0aa","0000aaa","000aaa","00a00","0a00","0000-0000","00:00","a00","a0","00.00.0000","00/00/0000","00-00-0000","0000-00-00","0000/00/00","0000.00.00","00.00.00","00/00/00","00-00-00","0.00.0000","0/00/0000","0-00-0000"},0)),ISNUMBER(MATCH(LEFT(BT359,255),{"0000a","000a","00a","0000aa","000aa","00aa","0aa","0000aaa","000aaa","00a00","0a00","0000-0000","00:00","a00","a0","00.00.0000","00/00/0000","00-00-0000","0000-00-00","0000/00/00","0000.00.00","00.00.00","00/00/00","00-00-00","0.00.0000","0/00/0000","0-00-0000"},0)))),NOT(OR(AND(BW359&lt;&gt;"",SUBSTITUTE(BW359,"0","")=""),AND(LEN(BW359)&gt;=4,BW359=REPT(LEFT(BW359),LEN(BW359))),ISNUMBER(MATCH(BW359,{"123","1234","12345","123456","1234567","12345678","0123","01234","012345","98765","987654","54321"},0)),ISNUMBER(MATCH(BX359,{"x","xx","xxx","xxxx","xxxxx","abc","abcd","nil","na","nan","test","tbc","tba","tbd","dummy","sample","example","eg","zz","zzz","none","null","xyz","qwe","asd","id","ref"},0)),AND(LEN(BW359)=8,BX359="",OR(LEFT(BW359,3)="202",ISNUMBER(MATCH(RIGHT(BW359,4),{"2025","2026","2027"},0)))))),OR(AND((LEN(BT359)-LEN(SUBSTITUTE(BT359,"a","")))&gt;=1,(LEN(BN359)-LEN(SUBSTITUTE(BN359,"0","")))&gt;=2,SUMPRODUCT(--ISNUMBER(SEARCH({"a0","a-0","a_0","a/0","a.0","a#0","0a","0-a","0_a","0/a"},BN359)))&gt;0),AND((LEN(BN359)-LEN(SUBSTITUTE(BN359,"a","")))=0,(LEN(BN359)-LEN(SUBSTITUTE(BN359,"0","")))&gt;=5)))),1,0),0)</f>
        <v>0</v>
      </c>
      <c r="CA3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359,"revision",""),"version",""),"jan",""),"feb",""),"mar",""),"apr",""),"may",""),"jun",""),"jul",""),"aug",""),"sep",""),"oct",""),"nov",""),"dec",""),"utc",""),"gmt",""),"myt",""),"bst",""),"rev",""),"ver",""),"b","a"),"c","a"),"d","a"),"e","a"),"f","a"),"g","a"),"h","a"),"i","a"),"j","a"),"k","a"),"l","a"),"m","a"),"n","a"),"o","a"),"p","a"),"q","a"),"r","a"),"s","a"),"t","a"),"u","a"),"v","a"),"w","a"),"x","a"),"y","a"),"z","a")</f>
        <v/>
      </c>
      <c r="CB3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359&amp;""),"a",""),"b",""),"c",""),"d",""),"e",""),"f",""),"g",""),"h",""),"i",""),"j",""),"k",""),"l",""),"m",""),"n",""),"o",""),"p",""),"q",""),"r",""),"s",""),"t",""),"u",""),"v",""),"w",""),"x",""),"y",""),"z",""),"-",""),"_",""),"/",""),".",""),"#",""),"\\",""),":","")," ",""),"(",""),")","")</f>
        <v/>
      </c>
      <c r="CC359" s="0" t="str">
        <f aca="false">" "&amp;TRIM(SUBSTITUTE(SUBSTITUTE(SUBSTITUTE(SUBSTITUTE(SUBSTITUTE(SUBSTITUTE(SUBSTITUTE(SUBSTITUTE(SUBSTITUTE(SUBSTITUTE(SUBSTITUTE(SUBSTITUTE(SUBSTITUTE(SUBSTITUTE(SUBSTITUTE(SUBSTITUTE(SUBSTITUTE(SUBSTITUTE(SUBSTITUTE(SUBSTITUTE(SUBSTITUTE(SUBSTITUTE(SUBSTITUTE(SUBSTITUTE(LOWER(T359&amp;""),CHAR(10)," "),CHAR(13)," "),CHAR(9)," "),CHAR(160)," "),"."," "),","," "),"-"," "),"/"," "),"("," "),")"," "),":"," "),";"," "),"_"," "),"–"," "),"?"," "),"!"," "),"*"," "),"["," "),"]"," "),"'"," "),"#"," "),"+"," "),"&amp;"," "),"\"," "))&amp;" "</f>
        <v>  </v>
      </c>
      <c r="CD359" s="0" t="str">
        <f aca="false">" "&amp;TRIM(SUBSTITUTE(SUBSTITUTE(SUBSTITUTE(SUBSTITUTE(SUBSTITUTE(SUBSTITUTE(SUBSTITUTE(SUBSTITUTE(SUBSTITUTE(SUBSTITUTE(SUBSTITUTE(SUBSTITUTE(SUBSTITUTE(SUBSTITUTE(SUBSTITUTE(SUBSTITUTE(SUBSTITUTE(SUBSTITUTE(SUBSTITUTE(SUBSTITUTE(SUBSTITUTE(SUBSTITUTE(SUBSTITUTE(SUBSTITUTE(LOWER(AE359&amp;""),CHAR(10)," "),CHAR(13)," "),CHAR(9)," "),CHAR(160)," "),"."," "),","," "),"-"," "),"/"," "),"("," "),")"," "),":"," "),";"," "),"_"," "),"–"," "),"?"," "),"!"," "),"*"," "),"["," "),"]"," "),"'"," "),"#"," "),"+"," "),"&amp;"," "),"\"," "))&amp;" "</f>
        <v>  </v>
      </c>
      <c r="CE359" s="68" t="n">
        <f aca="false">IFERROR(IF(AND(LEN(AU359)&gt;0,LEN(AU359)=LEN(AX359),OR(TRIM(MID(SUBSTITUTE(TRIM(CC359)," ",REPT(" ",60)),1,60))="",ISNUMBER(SEARCH(" "&amp;TRIM(MID(SUBSTITUTE(TRIM(CC359)," ",REPT(" ",60)),1,60))&amp;" ",CD359))),OR(TRIM(MID(SUBSTITUTE(TRIM(CC359)," ",REPT(" ",60)),61,60))="",ISNUMBER(SEARCH(" "&amp;TRIM(MID(SUBSTITUTE(TRIM(CC359)," ",REPT(" ",60)),61,60))&amp;" ",CD359))),OR(TRIM(MID(SUBSTITUTE(TRIM(CC359)," ",REPT(" ",60)),121,60))="",ISNUMBER(SEARCH(" "&amp;TRIM(MID(SUBSTITUTE(TRIM(CC359)," ",REPT(" ",60)),121,60))&amp;" ",CD359)))),1,0),0)</f>
        <v>0</v>
      </c>
      <c r="CG359" s="68" t="n">
        <f aca="false">IFERROR(LEN(SUBSTITUTE(BF359," ",""))-SUMPRODUCT((LEN(BF359)-LEN(SUBSTITUTE(BF359," "&amp;L_NAFiller&amp;" "," ")))/(LEN(L_NAFiller)+1)*LEN(L_NAFiller)),0)</f>
        <v>0</v>
      </c>
    </row>
    <row r="360" customFormat="false" ht="39.75" hidden="false" customHeight="true" outlineLevel="0" collapsed="false">
      <c r="A360" s="57" t="s">
        <v>961</v>
      </c>
      <c r="B360" s="57" t="s">
        <v>258</v>
      </c>
      <c r="C360" s="57" t="str">
        <f aca="false">Flights!$F$15</f>
        <v>MH1149</v>
      </c>
      <c r="D360" s="58" t="n">
        <f aca="false">Flights!$D$15</f>
        <v>46307</v>
      </c>
      <c r="E360" s="57" t="str">
        <f aca="false">Flights!$G$15&amp;"-"&amp;Flights!$H$15</f>
        <v>PEN-KUL</v>
      </c>
      <c r="F360" s="57" t="str">
        <f aca="false">Flights!$K$15</f>
        <v>EY</v>
      </c>
      <c r="G360" s="57" t="s">
        <v>81</v>
      </c>
      <c r="H360" s="57" t="s">
        <v>378</v>
      </c>
      <c r="I360" s="57" t="s">
        <v>394</v>
      </c>
      <c r="J360" s="57" t="s">
        <v>395</v>
      </c>
      <c r="K360" s="67" t="s">
        <v>396</v>
      </c>
      <c r="L360" s="67" t="s">
        <v>382</v>
      </c>
      <c r="M360" s="67"/>
      <c r="N360" s="67" t="s">
        <v>383</v>
      </c>
      <c r="O360" s="67"/>
      <c r="P360" s="57" t="s">
        <v>187</v>
      </c>
      <c r="Q360" s="59" t="n">
        <f aca="false">ROUND((Flights!$AC$15)*1440,0)/1440</f>
        <v>46300.3263888889</v>
      </c>
      <c r="R360" s="59" t="n">
        <f aca="false">Q360+(IF(AND(INDEX(TZ_DSTS,MATCH(P360,TZ_STN,0))&lt;&gt;"",Q360&gt;=INDEX(TZ_DSTS,MATCH(P360,TZ_STN,0)),Q360&lt;INDEX(TZ_DSTE,MATCH(P360,TZ_STN,0))),INDEX(TZ_DST,MATCH(P360,TZ_STN,0)),INDEX(TZ_STD,MATCH(P360,TZ_STN,0))))/24</f>
        <v>46300.6597222222</v>
      </c>
      <c r="S360" s="60"/>
      <c r="T360" s="60"/>
      <c r="U360" s="60"/>
      <c r="V360" s="60"/>
      <c r="W360" s="61"/>
      <c r="X360" s="60"/>
      <c r="Y360" s="60"/>
      <c r="Z360" s="60"/>
      <c r="AA360" s="60"/>
      <c r="AB360" s="60"/>
      <c r="AC360" s="60"/>
      <c r="AD360" s="66"/>
      <c r="AE360" s="60"/>
      <c r="AF360" s="61" t="str">
        <f aca="false">IF(AND(ISNUMBER(X360),ISNUMBER(Y360)),Y360-X360,"")</f>
        <v/>
      </c>
      <c r="AG360" s="62" t="str">
        <f aca="false">IF(ISNUMBER(AD360),AD360-(IF(AND(INDEX(TZ_DSTS,MATCH(P360,TZ_STN,0))&lt;&gt;"",(AD360-INDEX(TZ_STD,MATCH(P360,TZ_STN,0))/24)&gt;=INDEX(TZ_DSTS,MATCH(P360,TZ_STN,0)),(AD360-INDEX(TZ_STD,MATCH(P360,TZ_STN,0))/24)&lt;INDEX(TZ_DSTE,MATCH(P360,TZ_STN,0))),INDEX(TZ_DST,MATCH(P360,TZ_STN,0)),INDEX(TZ_STD,MATCH(P360,TZ_STN,0))))/24,"")</f>
        <v/>
      </c>
      <c r="AH360" s="65" t="str">
        <f aca="false">IFERROR(IF(N360="N/A – rule",IF(OR(TRIM(U360)="",TRIM(U360)="N/A",TRIM(U360)="Not started"),"N/A – RULE","INVALID – this check does not apply to this aircraft: clear the status (or correct the fleet on Flights)"),IF(TRIM(U360)="N/A",IF(AT360=0,"INVALID – N/A not permitted for this check",IF(AND(TRIM(AB360)&lt;&gt;"",TRIM(AB360)&lt;&gt;"Closed"),"INVALID – corrective action still open",IF(AND(NOT(OR(LEN(AZ360)&lt;15,ISNUMBER(MATCH(AZ360,L_Placeholder,0)))),BK360=0,CG360&gt;=8,NOT(OR(LEN(AU360)&lt;2,ISNUMBER(MATCH(AU360,L_Placeholder,0)))),BR360&gt;=3,NOT(OR(LEN(AX360)&lt;2,ISNUMBER(MATCH(AX360,L_Placeholder,0)))),BS360&gt;=3,TRIM(AE360)&lt;&gt;TRIM(T360),AX360&lt;&gt;AU360,CE360=0),"N/A – JUSTIFIED","INVALID – N/A needs a real, settled reason (not 'not applicable' / 'as above' / TBC), a named PIC and a different named verifier"))),IF(OR(TRIM(U360)="Pass",TRIM(U360)="Pass after CA"),IF(NOT(ISNUMBER(AD360)),"INVALID – completion time missing",IF(OR(OR(LEN(AU360)&lt;2,ISNUMBER(MATCH(AU360,L_Placeholder,0))),BR360&lt;3),"INVALID – PIC missing or not a named person (a role such as QA / CSM is not a name)",IF(OR(LEN(AV360)&lt;2,ISNUMBER(MATCH(AV360,L_Placeholder,0))),"INVALID – result / assessment missing",IF(OR(OR(LEN(AW360)&lt;3,ISNUMBER(MATCH(AW360,L_Placeholder,0))),SUMPRODUCT(--ISNUMBER(SEARCH(" "&amp;L_EvidencePhrase&amp;" ",BD360)))&gt;0,BI360=1),"INVALID – evidence missing, placeholder or not yet on file",IF(ISNA(MATCH(TRIM(S360),L_EvidenceType,0)),"INVALID – choose the evidence type from the list (column S)",IF(BL360=0,"INVALID – evidence ID must be the record's own ID only (e.g. SF-2210, IMG_2231, 1045521); a link / file name needs type 'Link / file path'",IF(OR(OR(LEN(AX360)&lt;2,ISNUMBER(MATCH(AX360,L_Placeholder,0))),BS360&lt;3),"INVALID – verifier missing or not a named person (a role such as QA / CSM is not a name)",IF(OR(AX360=AU360,CE360=1,AND(LEN(AU360)&gt;=4,ISNUMBER(SEARCH(AU360,AX360))),AND(LEN(AX360)&gt;=4,ISNUMBER(SEARCH(AX360,AU360)))),"INVALID – verifier must be a different, named person (not the PIC or a role)",IF(BH360=1,"INVALID – result not yet available (awaiting / TBC)",IF(BG360=1,"INVALID – result describes a problem: record Fail, then Pass after CA (or reword if it is not a problem)",IF(BV360=1,"INVALID – wording says not on board: an on-board confirmation needs the item loaded",IF(AND(AQ360=1,OR(OR(LEN(AY360)&lt;3,ISNUMBER(MATCH(AY360,L_Placeholder,0))),BJ360=1,BQ360=0)),"INVALID – batch ID missing, placeholder or not an ID (e.g. PASB-261008-BC-017)",IF(AND(AR360=1,OR(NOT(ISNUMBER(X360)),NOT(ISNUMBER(Y360)))),"INVALID – expected/actual qty missing",IF(AND(AR360=1,OR(X360&lt;=0,Y360&lt;0)),"INVALID – expected qty must be above 0 and actual not negative",IF(BB360&lt;&gt;"",BB360,IF(AND(AS360=1,Documents!$J$15&lt;&gt;"ON FILE"),"INVALID – GLD not on file (Documents sheet)",IF(AND(AS360=2,Documents!$O$15&lt;&gt;"ON FILE"),"INVALID – menu checklist not on file (Documents sheet)",IF(AND(AS360=3,NOT(ISNUMBER(Flights!$AX$15))),"INVALID – enter carrying flight KUL departure (Flights AX)",IF(AND(AS360=3,OR(Flights!$AZ$15&gt;Flights!$AA$15,Flights!$AX$15&lt;Flights!$AA$15-3)),"INVALID – carrying flight (Flights AX) cannot arrive before this leg's STD, or is over 3 days early",IF(AG360&gt;AsOfUTC,"INVALID – completion time is in the future",IF(AND(ISNUMBER(BY360),AG360&lt;BY360),IF(H360="Physical uplift","INVALID – before uplift window (cannot confirm loading)","INVALID – before valid window"),IF(AG360&gt;Flights!$AA$15,"INVALID – completed after departure (cannot establish readiness)",IF(AND(H360="Preparation",AG360&gt;=IF(ISNUMBER(Flights!$BA$15),MIN(Flights!$BA$15,Flights!$AA$15),Flights!$AA$15)),"INVALID – completed after loading / departure (cannot establish readiness)",IF(AND(H360="Physical uplift",AG360&gt;Q360),"INVALID – recorded after the loading flight departed",IF(AG360&gt;Q360,"COMPLETE – LATE","COMPLETE"))))))))))))))))))))))))),IF(TRIM(U360)="Fail","FAIL – DISCREPANCY",IF(AND(TRIM(U360)&lt;&gt;"",TRIM(U360)&lt;&gt;"Not started",TRIM(U360)&lt;&gt;"In progress"),"INVALID – unrecognised status (use the list)",IF(AsOfUTC&gt;Q360,"OVERDUE",IF(N360="Clarification required","OPEN – CLARIFICATION","OPEN"))))))),"INVALID – error value in an input cell")</f>
        <v>OPEN</v>
      </c>
      <c r="AI360" s="61" t="n">
        <f aca="false">IF(OR(AH360="N/A – RULE",AH360="N/A – JUSTIFIED"),0,1)</f>
        <v>1</v>
      </c>
      <c r="AJ360" s="61" t="n">
        <f aca="false">IF(LEFT(AH360,8)="COMPLETE",1,0)</f>
        <v>0</v>
      </c>
      <c r="AK360" s="61" t="n">
        <f aca="false">IF(AND(AI360=1,AJ360=0,AsOfUTC&gt;Q360),1,0)</f>
        <v>0</v>
      </c>
      <c r="AL360" s="61" t="n">
        <f aca="false">IFERROR(IF(AND(AI360=1,OR(TRIM(U360)="Fail",AND(TRIM(AB360)&lt;&gt;"",TRIM(AB360)&lt;&gt;"Closed"),AND(ISNUMBER(AF360),AF360&lt;&gt;0,TRIM(U360)&lt;&gt;"Pass after CA"))),1,0),1)</f>
        <v>0</v>
      </c>
      <c r="AM360" s="61" t="n">
        <f aca="false">IF(LEFT(AH360,7)="INVALID",1,0)</f>
        <v>0</v>
      </c>
      <c r="AN360" s="61" t="n">
        <f aca="false">IF(AND(N360="Clarification required",AI360=1,AJ360=0),1,0)</f>
        <v>0</v>
      </c>
      <c r="AO360" s="61" t="str">
        <f aca="false">IF(AK360=1,SUM(AK$5:AK360),"")</f>
        <v/>
      </c>
      <c r="AP360" s="61" t="str">
        <f aca="false">IF(AL360=1,SUM(AL$5:AL360),"")</f>
        <v/>
      </c>
      <c r="AQ360" s="61" t="n">
        <v>0</v>
      </c>
      <c r="AR360" s="61" t="n">
        <v>0</v>
      </c>
      <c r="AS360" s="61" t="n">
        <v>0</v>
      </c>
      <c r="AT360" s="61" t="n">
        <v>0</v>
      </c>
      <c r="AU360" s="61" t="str">
        <f aca="false">SUBSTITUTE(SUBSTITUTE(SUBSTITUTE(SUBSTITUTE(SUBSTITUTE(SUBSTITUTE(SUBSTITUTE(SUBSTITUTE(SUBSTITUTE(SUBSTITUTE(SUBSTITUTE(SUBSTITUTE(SUBSTITUTE(SUBSTITUTE(SUBSTITUTE(SUBSTITUTE(LOWER(T360&amp;""),CHAR(10),""),CHAR(13),""),CHAR(9),""),CHAR(160),"")," ",""),".",""),"-",""),"/",""),"?",""),"_",""),",",""),"[",""),"]",""),"(",""),")",""),"*","")</f>
        <v/>
      </c>
      <c r="AV360" s="61" t="str">
        <f aca="false">SUBSTITUTE(SUBSTITUTE(SUBSTITUTE(SUBSTITUTE(SUBSTITUTE(SUBSTITUTE(SUBSTITUTE(SUBSTITUTE(SUBSTITUTE(SUBSTITUTE(SUBSTITUTE(SUBSTITUTE(SUBSTITUTE(SUBSTITUTE(SUBSTITUTE(SUBSTITUTE(LOWER(V360&amp;""),CHAR(10),""),CHAR(13),""),CHAR(9),""),CHAR(160),"")," ",""),".",""),"-",""),"/",""),"?",""),"_",""),",",""),"[",""),"]",""),"(",""),")",""),"*","")</f>
        <v/>
      </c>
      <c r="AW360" s="61" t="str">
        <f aca="false">SUBSTITUTE(SUBSTITUTE(SUBSTITUTE(SUBSTITUTE(SUBSTITUTE(SUBSTITUTE(SUBSTITUTE(SUBSTITUTE(SUBSTITUTE(SUBSTITUTE(SUBSTITUTE(SUBSTITUTE(SUBSTITUTE(SUBSTITUTE(SUBSTITUTE(SUBSTITUTE(LOWER(Z360&amp;""),CHAR(10),""),CHAR(13),""),CHAR(9),""),CHAR(160),"")," ",""),".",""),"-",""),"/",""),"?",""),"_",""),",",""),"[",""),"]",""),"(",""),")",""),"*","")</f>
        <v/>
      </c>
      <c r="AX360" s="61" t="str">
        <f aca="false">SUBSTITUTE(SUBSTITUTE(SUBSTITUTE(SUBSTITUTE(SUBSTITUTE(SUBSTITUTE(SUBSTITUTE(SUBSTITUTE(SUBSTITUTE(SUBSTITUTE(SUBSTITUTE(SUBSTITUTE(SUBSTITUTE(SUBSTITUTE(SUBSTITUTE(SUBSTITUTE(LOWER(AE360&amp;""),CHAR(10),""),CHAR(13),""),CHAR(9),""),CHAR(160),"")," ",""),".",""),"-",""),"/",""),"?",""),"_",""),",",""),"[",""),"]",""),"(",""),")",""),"*","")</f>
        <v/>
      </c>
      <c r="AY360" s="61" t="str">
        <f aca="false">SUBSTITUTE(SUBSTITUTE(SUBSTITUTE(SUBSTITUTE(SUBSTITUTE(SUBSTITUTE(SUBSTITUTE(SUBSTITUTE(SUBSTITUTE(SUBSTITUTE(SUBSTITUTE(SUBSTITUTE(SUBSTITUTE(SUBSTITUTE(SUBSTITUTE(SUBSTITUTE(LOWER(W360&amp;""),CHAR(10),""),CHAR(13),""),CHAR(9),""),CHAR(160),"")," ",""),".",""),"-",""),"/",""),"?",""),"_",""),",",""),"[",""),"]",""),"(",""),")",""),"*","")</f>
        <v/>
      </c>
      <c r="AZ360" s="61" t="str">
        <f aca="false">SUBSTITUTE(SUBSTITUTE(SUBSTITUTE(SUBSTITUTE(SUBSTITUTE(SUBSTITUTE(SUBSTITUTE(SUBSTITUTE(SUBSTITUTE(SUBSTITUTE(SUBSTITUTE(SUBSTITUTE(SUBSTITUTE(SUBSTITUTE(SUBSTITUTE(SUBSTITUTE(LOWER(AC360&amp;""),CHAR(10),""),CHAR(13),""),CHAR(9),""),CHAR(160),"")," ",""),".",""),"-",""),"/",""),"?",""),"_",""),",",""),"[",""),"]",""),"(",""),")",""),"*","")</f>
        <v/>
      </c>
      <c r="BA360" s="61" t="str">
        <f aca="false">SUBSTITUTE(SUBSTITUTE(SUBSTITUTE(SUBSTITUTE(SUBSTITUTE(SUBSTITUTE(SUBSTITUTE(SUBSTITUTE(SUBSTITUTE(SUBSTITUTE(SUBSTITUTE(SUBSTITUTE(SUBSTITUTE(SUBSTITUTE(SUBSTITUTE(SUBSTITUTE(LOWER(AA360&amp;""),CHAR(10),""),CHAR(13),""),CHAR(9),""),CHAR(160),"")," ",""),".",""),"-",""),"/",""),"?",""),"_",""),",",""),"[",""),"]",""),"(",""),")",""),"*","")</f>
        <v/>
      </c>
      <c r="BB360" s="61" t="str">
        <f aca="false">IF(AND(TRIM(U360)="Pass",ISNUMBER(AF360)),IF(AF360&lt;&gt;0,"INVALID – qty variance: use Fail or Pass after CA",""),"")&amp;IF(AND(TRIM(U360)="Pass after CA",ISNUMBER(AF360)),IF(AF360&lt;&gt;0,"INVALID – after the corrective action the actual qty must equal expected (update Actual)",""),"")&amp;IF(AND(TRIM(U360)="Pass",TRIM(AB360)&lt;&gt;"",TRIM(AB360)&lt;&gt;"Closed"),"INVALID – corrective action not closed: use Fail, then Pass after CA","")&amp;IF(AND(LEN(BA360)&gt;=2,ISNA(MATCH(LEFT(BA360,255),L_Placeholder,0)),TRIM(AB360)=""),"INVALID – CA status missing for the recorded corrective action","")&amp;IF(AND(TRIM(U360)="Pass after CA",OR(OR(LEN(BA360)&lt;5,ISNUMBER(MATCH(BA360,L_Placeholder,0))),TRIM(AB360)&lt;&gt;"Closed")),"INVALID – corrective action not recorded/closed","")</f>
        <v/>
      </c>
      <c r="BC360" s="61" t="str">
        <f aca="false">" "&amp;TRIM(SUBSTITUTE(SUBSTITUTE(SUBSTITUTE(SUBSTITUTE(SUBSTITUTE(SUBSTITUTE(SUBSTITUTE(SUBSTITUTE(SUBSTITUTE(SUBSTITUTE(SUBSTITUTE(SUBSTITUTE(SUBSTITUTE(SUBSTITUTE(SUBSTITUTE(SUBSTITUTE(SUBSTITUTE(SUBSTITUTE(SUBSTITUTE(SUBSTITUTE(SUBSTITUTE(SUBSTITUTE(SUBSTITUTE(SUBSTITUTE(LOWER(V360&amp;""),CHAR(10)," "),CHAR(13)," "),CHAR(9)," "),CHAR(160)," "),"."," "),","," "),"-"," "),"/"," "),"("," "),")"," "),":"," "),";"," "),"_"," "),"–"," "),"?"," "),"!"," "),"*"," "),"["," "),"]"," "),"'"," "),"#"," "),"+"," "),"&amp;"," "),"\"," "))&amp;" "</f>
        <v>  </v>
      </c>
      <c r="BD360" s="61" t="str">
        <f aca="false">" "&amp;TRIM(SUBSTITUTE(SUBSTITUTE(SUBSTITUTE(SUBSTITUTE(SUBSTITUTE(SUBSTITUTE(SUBSTITUTE(SUBSTITUTE(SUBSTITUTE(SUBSTITUTE(SUBSTITUTE(SUBSTITUTE(SUBSTITUTE(SUBSTITUTE(SUBSTITUTE(SUBSTITUTE(SUBSTITUTE(SUBSTITUTE(SUBSTITUTE(SUBSTITUTE(SUBSTITUTE(SUBSTITUTE(SUBSTITUTE(SUBSTITUTE(LOWER(Z360&amp;""),CHAR(10)," "),CHAR(13)," "),CHAR(9)," "),CHAR(160)," "),"."," "),","," "),"-"," "),"/"," "),"("," "),")"," "),":"," "),";"," "),"_"," "),"–"," "),"?"," "),"!"," "),"*"," "),"["," "),"]"," "),"'"," "),"#"," "),"+"," "),"&amp;"," "),"\"," "))&amp;" "</f>
        <v>  </v>
      </c>
      <c r="BE360" s="61" t="str">
        <f aca="false">" "&amp;TRIM(SUBSTITUTE(SUBSTITUTE(SUBSTITUTE(SUBSTITUTE(SUBSTITUTE(SUBSTITUTE(SUBSTITUTE(SUBSTITUTE(SUBSTITUTE(SUBSTITUTE(SUBSTITUTE(SUBSTITUTE(SUBSTITUTE(SUBSTITUTE(SUBSTITUTE(SUBSTITUTE(SUBSTITUTE(SUBSTITUTE(SUBSTITUTE(SUBSTITUTE(SUBSTITUTE(SUBSTITUTE(SUBSTITUTE(SUBSTITUTE(LOWER(W360&amp;""),CHAR(10)," "),CHAR(13)," "),CHAR(9)," "),CHAR(160)," "),"."," "),","," "),"-"," "),"/"," "),"("," "),")"," "),":"," "),";"," "),"_"," "),"–"," "),"?"," "),"!"," "),"*"," "),"["," "),"]"," "),"'"," "),"#"," "),"+"," "),"&amp;"," "),"\"," "))&amp;" "</f>
        <v>  </v>
      </c>
      <c r="BF360" s="61" t="str">
        <f aca="false">" "&amp;TRIM(SUBSTITUTE(SUBSTITUTE(SUBSTITUTE(SUBSTITUTE(SUBSTITUTE(SUBSTITUTE(SUBSTITUTE(SUBSTITUTE(SUBSTITUTE(SUBSTITUTE(SUBSTITUTE(SUBSTITUTE(SUBSTITUTE(SUBSTITUTE(SUBSTITUTE(SUBSTITUTE(SUBSTITUTE(SUBSTITUTE(SUBSTITUTE(SUBSTITUTE(SUBSTITUTE(SUBSTITUTE(SUBSTITUTE(SUBSTITUTE(LOWER(AC360&amp;""),CHAR(10)," "),CHAR(13)," "),CHAR(9)," "),CHAR(160)," "),"."," "),","," "),"-"," "),"/"," "),"("," "),")"," "),":"," "),";"," "),"_"," "),"–"," "),"?"," "),"!"," "),"*"," "),"["," "),"]"," "),"'"," "),"#"," "),"+"," "),"&amp;"," "),"\"," "))&amp;" "</f>
        <v>  </v>
      </c>
      <c r="BG360" s="61" t="n">
        <f aca="false">IFERROR(IF(AND(TRIM(U360)="Pass",SUMPRODUCT((LEN(BC360)-LEN(SUBSTITUTE(BC360," "&amp;L_ResultBad&amp;" "," ")))/(LEN(L_ResultBad)+1))&gt;SUMPRODUCT((LEN(BC360)-LEN(SUBSTITUTE(BC360," "&amp;L_NegPhrase&amp;" "," ")))/(LEN(L_NegPhrase)+1))),1,0),0)</f>
        <v>0</v>
      </c>
      <c r="BH360" s="61" t="n">
        <f aca="false">IFERROR(IF(SUMPRODUCT((LEN(BC360)-LEN(SUBSTITUTE(BC360," "&amp;L_Pending&amp;" "," ")))/(LEN(L_Pending)+1))&gt;SUMPRODUCT((LEN(BC360)-LEN(SUBSTITUTE(BC360," "&amp;L_PendNeg&amp;" "," ")))/(LEN(L_PendNeg)+1))+SUMPRODUCT((LEN(BC360)-LEN(SUBSTITUTE(BC360," "&amp;L_PendPrep&amp;" "," ")))/(LEN(L_PendPrep)+1)),1,0),1)</f>
        <v>0</v>
      </c>
      <c r="BI360" s="61" t="n">
        <f aca="false">IFERROR(IF(SUMPRODUCT((LEN(BD360)-LEN(SUBSTITUTE(BD360," "&amp;L_PendStrict&amp;" "," ")))/(LEN(L_PendStrict)+1))&gt;SUMPRODUCT((LEN(BD360)-LEN(SUBSTITUTE(BD360," "&amp;L_PendNeg&amp;" "," ")))/(LEN(L_PendNeg)+1)),1,0),1)</f>
        <v>0</v>
      </c>
      <c r="BJ360" s="61" t="n">
        <f aca="false">IFERROR(IF(SUMPRODUCT((LEN(BE360)-LEN(SUBSTITUTE(BE360," "&amp;L_Pending&amp;" "," ")))/(LEN(L_Pending)+1))&gt;SUMPRODUCT((LEN(BE360)-LEN(SUBSTITUTE(BE360," "&amp;L_PendNeg&amp;" "," ")))/(LEN(L_PendNeg)+1))+SUMPRODUCT((LEN(BE360)-LEN(SUBSTITUTE(BE360," "&amp;L_PendPrep&amp;" "," ")))/(LEN(L_PendPrep)+1)),1,0),1)</f>
        <v>0</v>
      </c>
      <c r="BK360" s="61" t="n">
        <f aca="false">IFERROR(IF(SUMPRODUCT((LEN(BF360)-LEN(SUBSTITUTE(BF360," "&amp;L_PendStrict&amp;" "," ")))/(LEN(L_PendStrict)+1))&gt;SUMPRODUCT((LEN(BF360)-LEN(SUBSTITUTE(BF360," "&amp;L_PendNeg&amp;" "," ")))/(LEN(L_PendNeg)+1)),1,0),1)</f>
        <v>0</v>
      </c>
      <c r="BL360" s="61" t="n">
        <f aca="false">IF(ISNA(MATCH(TRIM(S360),L_EvidenceType,0)),0,BZ360)</f>
        <v>0</v>
      </c>
      <c r="BM360" s="61" t="str">
        <f aca="false">SUBSTITUTE(SUBSTITUTE(SUBSTITUTE(SUBSTITUTE(SUBSTITUTE(SUBSTITUTE(SUBSTITUTE(SUBSTITUTE(SUBSTITUTE(LOWER(Z360&amp;""),"1","0"),"2","0"),"3","0"),"4","0"),"5","0"),"6","0"),"7","0"),"8","0"),"9","0")</f>
        <v/>
      </c>
      <c r="BN360" s="61" t="str">
        <f aca="false">SUBSTITUTE(SUBSTITUTE(SUBSTITUTE(SUBSTITUTE(SUBSTITUTE(SUBSTITUTE(SUBSTITUTE(SUBSTITUTE(SUBSTITUTE(SUBSTITUTE(SUBSTITUTE(SUBSTITUTE(SUBSTITUTE(SUBSTITUTE(SUBSTITUTE(SUBSTITUTE(SUBSTITUTE(SUBSTITUTE(SUBSTITUTE(SUBSTITUTE(SUBSTITUTE(SUBSTITUTE(SUBSTITUTE(SUBSTITUTE(SUBSTITUTE(BM360,"b","a"),"c","a"),"d","a"),"e","a"),"f","a"),"g","a"),"h","a"),"i","a"),"j","a"),"k","a"),"l","a"),"m","a"),"n","a"),"o","a"),"p","a"),"q","a"),"r","a"),"s","a"),"t","a"),"u","a"),"v","a"),"w","a"),"x","a"),"y","a"),"z","a")</f>
        <v/>
      </c>
      <c r="BO360" s="61" t="str">
        <f aca="false">SUBSTITUTE(SUBSTITUTE(SUBSTITUTE(SUBSTITUTE(SUBSTITUTE(SUBSTITUTE(SUBSTITUTE(SUBSTITUTE(SUBSTITUTE(LOWER(W360&amp;""),"1","0"),"2","0"),"3","0"),"4","0"),"5","0"),"6","0"),"7","0"),"8","0"),"9","0")</f>
        <v/>
      </c>
      <c r="BP360" s="61" t="str">
        <f aca="false">SUBSTITUTE(SUBSTITUTE(SUBSTITUTE(SUBSTITUTE(SUBSTITUTE(SUBSTITUTE(SUBSTITUTE(SUBSTITUTE(SUBSTITUTE(SUBSTITUTE(SUBSTITUTE(SUBSTITUTE(SUBSTITUTE(SUBSTITUTE(SUBSTITUTE(SUBSTITUTE(SUBSTITUTE(SUBSTITUTE(SUBSTITUTE(SUBSTITUTE(SUBSTITUTE(SUBSTITUTE(SUBSTITUTE(SUBSTITUTE(SUBSTITUTE(BO360,"b","a"),"c","a"),"d","a"),"e","a"),"f","a"),"g","a"),"h","a"),"i","a"),"j","a"),"k","a"),"l","a"),"m","a"),"n","a"),"o","a"),"p","a"),"q","a"),"r","a"),"s","a"),"t","a"),"u","a"),"v","a"),"w","a"),"x","a"),"y","a"),"z","a")</f>
        <v/>
      </c>
      <c r="BQ360" s="61" t="n">
        <f aca="false">IFERROR(IF(AND(ISERROR(SEARCH(" mh"," "&amp;LOWER(W360))),ISNA(MATCH(LEFT(TRIM(BP360),255),{"0000a","000a","00a","0000aa","000aa","00aa","0aa","0000aaa","000aaa","00a00","0a00","0000-0000","00:00","a00","a0","00.00.0000","00/00/0000","00-00-0000","0000-00-00","0000/00/00","0000.00.00","00.00.00","00/00/00","00-00-00","0.00.0000","0/00/0000","0-00-0000"},0)),ISNA(MATCH(LEFT(TRIM(CA360),255),{"0000a","000a","00a","0000aa","000aa","00aa","0aa","0000aaa","000aaa","00a00","0a00","0000-0000","00:00","a00","a0","00.00.0000","00/00/0000","00-00-0000","0000-00-00","0000/00/00","0000.00.00","00.00.00","00/00/00","00-00-00","0.00.0000","0/00/0000","0-00-0000"},0)),LEN(CB360)&gt;=3,NOT(OR(SUBSTITUTE(CB360,"0","")="",AND(LEN(CB360)&gt;=4,CB360=REPT(LEFT(CB360),LEN(CB360))),ISNUMBER(MATCH(CB360,{"123","1234","12345","123456","1234567","12345678","0123","01234","012345","98765","987654","54321"},0)),AND(LEN(CB360)=8,LEFT(CB360,3)="202"))),OR(AND((LEN(CA360)-LEN(SUBSTITUTE(CA360,"a","")))&gt;=1,SUMPRODUCT(--ISNUMBER(SEARCH({"a0","a-0","a_0","a/0","a.0","a#0","0a","0-a","0_a","0/a"},BP360)))&gt;0),ISNUMBER(SEARCH("000000",BP360)))),1,0),0)</f>
        <v>0</v>
      </c>
      <c r="BR360" s="61" t="n">
        <f aca="false">IFERROR(LEN(SUBSTITUTE(CC360," ",""))-SUMPRODUCT((LEN(CC360)-LEN(SUBSTITUTE(CC360," "&amp;L_Role&amp;" "," ")))/(LEN(L_Role)+1)*LEN(L_Role)),0)</f>
        <v>0</v>
      </c>
      <c r="BS360" s="61" t="n">
        <f aca="false">IFERROR(LEN(SUBSTITUTE(CD360," ",""))-SUMPRODUCT((LEN(CD360)-LEN(SUBSTITUTE(CD360," "&amp;L_Role&amp;" "," ")))/(LEN(L_Role)+1)*LEN(L_Role)),0)</f>
        <v>0</v>
      </c>
      <c r="BT3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360,"revision",""),"version",""),"jan",""),"feb",""),"mar",""),"apr",""),"may",""),"jun",""),"jul",""),"aug",""),"sep",""),"oct",""),"nov",""),"dec",""),"utc",""),"gmt",""),"myt",""),"bst",""),"rev",""),"ver",""),"b","a"),"c","a"),"d","a"),"e","a"),"f","a"),"g","a"),"h","a"),"i","a"),"j","a"),"k","a"),"l","a"),"m","a"),"n","a"),"o","a"),"p","a"),"q","a"),"r","a"),"s","a"),"t","a"),"u","a"),"v","a"),"w","a"),"x","a"),"y","a"),"z","a")</f>
        <v/>
      </c>
      <c r="BU360" s="61" t="str">
        <f aca="false">SUBSTITUTE(SUBSTITUTE(SUBSTITUTE(SUBSTITUTE(SUBSTITUTE(SUBSTITUTE(SUBSTITUTE(SUBSTITUTE(SUBSTITUTE(SUBSTITUTE(LEFT(BM360,FIND("0",BM360&amp;"0")-1),"-",""),"_",""),"/",""),".",""),"#",""),"\\",""),":","")," ",""),"(",""),")","")</f>
        <v/>
      </c>
      <c r="BV360" s="61" t="n">
        <f aca="false">0</f>
        <v>0</v>
      </c>
      <c r="BW3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360&amp;""),"a",""),"b",""),"c",""),"d",""),"e",""),"f",""),"g",""),"h",""),"i",""),"j",""),"k",""),"l",""),"m",""),"n",""),"o",""),"p",""),"q",""),"r",""),"s",""),"t",""),"u",""),"v",""),"w",""),"x",""),"y",""),"z",""),"-",""),"_",""),"/",""),".",""),"#",""),"\\",""),":","")," ",""),"(",""),")","")</f>
        <v/>
      </c>
      <c r="BX360" s="61" t="str">
        <f aca="false">SUBSTITUTE(SUBSTITUTE(SUBSTITUTE(SUBSTITUTE(SUBSTITUTE(SUBSTITUTE(SUBSTITUTE(SUBSTITUTE(SUBSTITUTE(SUBSTITUTE(SUBSTITUTE(BM360,"0",""),"-",""),"_",""),"/",""),".",""),"#",""),"\\",""),":","")," ",""),"(",""),")","")</f>
        <v/>
      </c>
      <c r="BY360" s="62" t="n">
        <f aca="false">Q360-T7EarlyD*24/24</f>
        <v>46286.3263888889</v>
      </c>
      <c r="BZ360" s="61" t="n">
        <f aca="false">IFERROR(IF(IF(TRIM(S360)="Link / file path",AND(LEN(TRIM(Z360))&gt;=5,SUMPRODUCT(--ISNUMBER(SEARCH({"http","www.","\\",":\",".pdf",".jpg",".jpeg",".png",".heic",".xls",".doc",".msg",".eml",".ppt",".txt",".zip"},Z360)))&gt;0),AND(ISERROR(FIND(" ",TRIM(Z360))),NOT(OR(SUMPRODUCT(--ISNUMBER(FIND({",",";","&amp;","+"},Z360)))&gt;0,SUMPRODUCT(--ISNUMBER(SEARCH({"0/aa","0\\aa"},BN360)))&gt;0)),NOT(SUMPRODUCT(--ISNUMBER(SEARCH({"http","www.","\\",":\",".pdf",".jpg",".jpeg",".png",".heic",".xls",".doc",".msg",".eml",".ppt",".txt",".zip"},Z360)))&gt;0),NOT(LOWER(TRIM(Z360))=LOWER(Flights!$F$15)),ISNA(MATCH(BU360,{"mh","rev","revision","ver","version","v","r","a","b","seat","tray","row","gate","bay","stand","page","pg","item","line","no","cart","galley","flight","flt","table","box","bag","oven","etd","eta","std","sta","atd","ata","qty","pax","x","time","tel","ph","mob","day","wk","week","utc","gmt","myt","lt"},0)),NOT(OR(ISNUMBER(MATCH(LEFT(BN360,255),{"0000a","000a","00a","0000aa","000aa","00aa","0aa","0000aaa","000aaa","00a00","0a00","0000-0000","00:00","a00","a0","00.00.0000","00/00/0000","00-00-0000","0000-00-00","0000/00/00","0000.00.00","00.00.00","00/00/00","00-00-00","0.00.0000","0/00/0000","0-00-0000"},0)),ISNUMBER(MATCH(LEFT(BT360,255),{"0000a","000a","00a","0000aa","000aa","00aa","0aa","0000aaa","000aaa","00a00","0a00","0000-0000","00:00","a00","a0","00.00.0000","00/00/0000","00-00-0000","0000-00-00","0000/00/00","0000.00.00","00.00.00","00/00/00","00-00-00","0.00.0000","0/00/0000","0-00-0000"},0)))),NOT(OR(AND(BW360&lt;&gt;"",SUBSTITUTE(BW360,"0","")=""),AND(LEN(BW360)&gt;=4,BW360=REPT(LEFT(BW360),LEN(BW360))),ISNUMBER(MATCH(BW360,{"123","1234","12345","123456","1234567","12345678","0123","01234","012345","98765","987654","54321"},0)),ISNUMBER(MATCH(BX360,{"x","xx","xxx","xxxx","xxxxx","abc","abcd","nil","na","nan","test","tbc","tba","tbd","dummy","sample","example","eg","zz","zzz","none","null","xyz","qwe","asd","id","ref"},0)),AND(LEN(BW360)=8,BX360="",OR(LEFT(BW360,3)="202",ISNUMBER(MATCH(RIGHT(BW360,4),{"2025","2026","2027"},0)))))),OR(AND((LEN(BT360)-LEN(SUBSTITUTE(BT360,"a","")))&gt;=1,(LEN(BN360)-LEN(SUBSTITUTE(BN360,"0","")))&gt;=2,SUMPRODUCT(--ISNUMBER(SEARCH({"a0","a-0","a_0","a/0","a.0","a#0","0a","0-a","0_a","0/a"},BN360)))&gt;0),AND((LEN(BN360)-LEN(SUBSTITUTE(BN360,"a","")))=0,(LEN(BN360)-LEN(SUBSTITUTE(BN360,"0","")))&gt;=5)))),1,0),0)</f>
        <v>0</v>
      </c>
      <c r="CA3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360,"revision",""),"version",""),"jan",""),"feb",""),"mar",""),"apr",""),"may",""),"jun",""),"jul",""),"aug",""),"sep",""),"oct",""),"nov",""),"dec",""),"utc",""),"gmt",""),"myt",""),"bst",""),"rev",""),"ver",""),"b","a"),"c","a"),"d","a"),"e","a"),"f","a"),"g","a"),"h","a"),"i","a"),"j","a"),"k","a"),"l","a"),"m","a"),"n","a"),"o","a"),"p","a"),"q","a"),"r","a"),"s","a"),"t","a"),"u","a"),"v","a"),"w","a"),"x","a"),"y","a"),"z","a")</f>
        <v/>
      </c>
      <c r="CB3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360&amp;""),"a",""),"b",""),"c",""),"d",""),"e",""),"f",""),"g",""),"h",""),"i",""),"j",""),"k",""),"l",""),"m",""),"n",""),"o",""),"p",""),"q",""),"r",""),"s",""),"t",""),"u",""),"v",""),"w",""),"x",""),"y",""),"z",""),"-",""),"_",""),"/",""),".",""),"#",""),"\\",""),":","")," ",""),"(",""),")","")</f>
        <v/>
      </c>
      <c r="CC360" s="0" t="str">
        <f aca="false">" "&amp;TRIM(SUBSTITUTE(SUBSTITUTE(SUBSTITUTE(SUBSTITUTE(SUBSTITUTE(SUBSTITUTE(SUBSTITUTE(SUBSTITUTE(SUBSTITUTE(SUBSTITUTE(SUBSTITUTE(SUBSTITUTE(SUBSTITUTE(SUBSTITUTE(SUBSTITUTE(SUBSTITUTE(SUBSTITUTE(SUBSTITUTE(SUBSTITUTE(SUBSTITUTE(SUBSTITUTE(SUBSTITUTE(SUBSTITUTE(SUBSTITUTE(LOWER(T360&amp;""),CHAR(10)," "),CHAR(13)," "),CHAR(9)," "),CHAR(160)," "),"."," "),","," "),"-"," "),"/"," "),"("," "),")"," "),":"," "),";"," "),"_"," "),"–"," "),"?"," "),"!"," "),"*"," "),"["," "),"]"," "),"'"," "),"#"," "),"+"," "),"&amp;"," "),"\"," "))&amp;" "</f>
        <v>  </v>
      </c>
      <c r="CD360" s="0" t="str">
        <f aca="false">" "&amp;TRIM(SUBSTITUTE(SUBSTITUTE(SUBSTITUTE(SUBSTITUTE(SUBSTITUTE(SUBSTITUTE(SUBSTITUTE(SUBSTITUTE(SUBSTITUTE(SUBSTITUTE(SUBSTITUTE(SUBSTITUTE(SUBSTITUTE(SUBSTITUTE(SUBSTITUTE(SUBSTITUTE(SUBSTITUTE(SUBSTITUTE(SUBSTITUTE(SUBSTITUTE(SUBSTITUTE(SUBSTITUTE(SUBSTITUTE(SUBSTITUTE(LOWER(AE360&amp;""),CHAR(10)," "),CHAR(13)," "),CHAR(9)," "),CHAR(160)," "),"."," "),","," "),"-"," "),"/"," "),"("," "),")"," "),":"," "),";"," "),"_"," "),"–"," "),"?"," "),"!"," "),"*"," "),"["," "),"]"," "),"'"," "),"#"," "),"+"," "),"&amp;"," "),"\"," "))&amp;" "</f>
        <v>  </v>
      </c>
      <c r="CE360" s="68" t="n">
        <f aca="false">IFERROR(IF(AND(LEN(AU360)&gt;0,LEN(AU360)=LEN(AX360),OR(TRIM(MID(SUBSTITUTE(TRIM(CC360)," ",REPT(" ",60)),1,60))="",ISNUMBER(SEARCH(" "&amp;TRIM(MID(SUBSTITUTE(TRIM(CC360)," ",REPT(" ",60)),1,60))&amp;" ",CD360))),OR(TRIM(MID(SUBSTITUTE(TRIM(CC360)," ",REPT(" ",60)),61,60))="",ISNUMBER(SEARCH(" "&amp;TRIM(MID(SUBSTITUTE(TRIM(CC360)," ",REPT(" ",60)),61,60))&amp;" ",CD360))),OR(TRIM(MID(SUBSTITUTE(TRIM(CC360)," ",REPT(" ",60)),121,60))="",ISNUMBER(SEARCH(" "&amp;TRIM(MID(SUBSTITUTE(TRIM(CC360)," ",REPT(" ",60)),121,60))&amp;" ",CD360)))),1,0),0)</f>
        <v>0</v>
      </c>
      <c r="CG360" s="68" t="n">
        <f aca="false">IFERROR(LEN(SUBSTITUTE(BF360," ",""))-SUMPRODUCT((LEN(BF360)-LEN(SUBSTITUTE(BF360," "&amp;L_NAFiller&amp;" "," ")))/(LEN(L_NAFiller)+1)*LEN(L_NAFiller)),0)</f>
        <v>0</v>
      </c>
    </row>
    <row r="361" customFormat="false" ht="39.75" hidden="false" customHeight="true" outlineLevel="0" collapsed="false">
      <c r="A361" s="57" t="s">
        <v>962</v>
      </c>
      <c r="B361" s="57" t="s">
        <v>258</v>
      </c>
      <c r="C361" s="57" t="str">
        <f aca="false">Flights!$F$15</f>
        <v>MH1149</v>
      </c>
      <c r="D361" s="58" t="n">
        <f aca="false">Flights!$D$15</f>
        <v>46307</v>
      </c>
      <c r="E361" s="57" t="str">
        <f aca="false">Flights!$G$15&amp;"-"&amp;Flights!$H$15</f>
        <v>PEN-KUL</v>
      </c>
      <c r="F361" s="57" t="str">
        <f aca="false">Flights!$K$15</f>
        <v>EY</v>
      </c>
      <c r="G361" s="57" t="s">
        <v>81</v>
      </c>
      <c r="H361" s="57" t="s">
        <v>378</v>
      </c>
      <c r="I361" s="57" t="s">
        <v>398</v>
      </c>
      <c r="J361" s="57" t="s">
        <v>399</v>
      </c>
      <c r="K361" s="67" t="s">
        <v>400</v>
      </c>
      <c r="L361" s="67" t="s">
        <v>382</v>
      </c>
      <c r="M361" s="67"/>
      <c r="N361" s="67" t="s">
        <v>383</v>
      </c>
      <c r="O361" s="67"/>
      <c r="P361" s="57" t="s">
        <v>187</v>
      </c>
      <c r="Q361" s="59" t="n">
        <f aca="false">ROUND((Flights!$AC$15)*1440,0)/1440</f>
        <v>46300.3263888889</v>
      </c>
      <c r="R361" s="59" t="n">
        <f aca="false">Q361+(IF(AND(INDEX(TZ_DSTS,MATCH(P361,TZ_STN,0))&lt;&gt;"",Q361&gt;=INDEX(TZ_DSTS,MATCH(P361,TZ_STN,0)),Q361&lt;INDEX(TZ_DSTE,MATCH(P361,TZ_STN,0))),INDEX(TZ_DST,MATCH(P361,TZ_STN,0)),INDEX(TZ_STD,MATCH(P361,TZ_STN,0))))/24</f>
        <v>46300.6597222222</v>
      </c>
      <c r="S361" s="60"/>
      <c r="T361" s="60"/>
      <c r="U361" s="60"/>
      <c r="V361" s="60"/>
      <c r="W361" s="61"/>
      <c r="X361" s="60"/>
      <c r="Y361" s="60"/>
      <c r="Z361" s="60"/>
      <c r="AA361" s="60"/>
      <c r="AB361" s="60"/>
      <c r="AC361" s="60"/>
      <c r="AD361" s="66"/>
      <c r="AE361" s="60"/>
      <c r="AF361" s="61" t="str">
        <f aca="false">IF(AND(ISNUMBER(X361),ISNUMBER(Y361)),Y361-X361,"")</f>
        <v/>
      </c>
      <c r="AG361" s="62" t="str">
        <f aca="false">IF(ISNUMBER(AD361),AD361-(IF(AND(INDEX(TZ_DSTS,MATCH(P361,TZ_STN,0))&lt;&gt;"",(AD361-INDEX(TZ_STD,MATCH(P361,TZ_STN,0))/24)&gt;=INDEX(TZ_DSTS,MATCH(P361,TZ_STN,0)),(AD361-INDEX(TZ_STD,MATCH(P361,TZ_STN,0))/24)&lt;INDEX(TZ_DSTE,MATCH(P361,TZ_STN,0))),INDEX(TZ_DST,MATCH(P361,TZ_STN,0)),INDEX(TZ_STD,MATCH(P361,TZ_STN,0))))/24,"")</f>
        <v/>
      </c>
      <c r="AH361" s="65" t="str">
        <f aca="false">IFERROR(IF(N361="N/A – rule",IF(OR(TRIM(U361)="",TRIM(U361)="N/A",TRIM(U361)="Not started"),"N/A – RULE","INVALID – this check does not apply to this aircraft: clear the status (or correct the fleet on Flights)"),IF(TRIM(U361)="N/A",IF(AT361=0,"INVALID – N/A not permitted for this check",IF(AND(TRIM(AB361)&lt;&gt;"",TRIM(AB361)&lt;&gt;"Closed"),"INVALID – corrective action still open",IF(AND(NOT(OR(LEN(AZ361)&lt;15,ISNUMBER(MATCH(AZ361,L_Placeholder,0)))),BK361=0,CG361&gt;=8,NOT(OR(LEN(AU361)&lt;2,ISNUMBER(MATCH(AU361,L_Placeholder,0)))),BR361&gt;=3,NOT(OR(LEN(AX361)&lt;2,ISNUMBER(MATCH(AX361,L_Placeholder,0)))),BS361&gt;=3,TRIM(AE361)&lt;&gt;TRIM(T361),AX361&lt;&gt;AU361,CE361=0),"N/A – JUSTIFIED","INVALID – N/A needs a real, settled reason (not 'not applicable' / 'as above' / TBC), a named PIC and a different named verifier"))),IF(OR(TRIM(U361)="Pass",TRIM(U361)="Pass after CA"),IF(NOT(ISNUMBER(AD361)),"INVALID – completion time missing",IF(OR(OR(LEN(AU361)&lt;2,ISNUMBER(MATCH(AU361,L_Placeholder,0))),BR361&lt;3),"INVALID – PIC missing or not a named person (a role such as QA / CSM is not a name)",IF(OR(LEN(AV361)&lt;2,ISNUMBER(MATCH(AV361,L_Placeholder,0))),"INVALID – result / assessment missing",IF(OR(OR(LEN(AW361)&lt;3,ISNUMBER(MATCH(AW361,L_Placeholder,0))),SUMPRODUCT(--ISNUMBER(SEARCH(" "&amp;L_EvidencePhrase&amp;" ",BD361)))&gt;0,BI361=1),"INVALID – evidence missing, placeholder or not yet on file",IF(ISNA(MATCH(TRIM(S361),L_EvidenceType,0)),"INVALID – choose the evidence type from the list (column S)",IF(BL361=0,"INVALID – evidence ID must be the record's own ID only (e.g. SF-2210, IMG_2231, 1045521); a link / file name needs type 'Link / file path'",IF(OR(OR(LEN(AX361)&lt;2,ISNUMBER(MATCH(AX361,L_Placeholder,0))),BS361&lt;3),"INVALID – verifier missing or not a named person (a role such as QA / CSM is not a name)",IF(OR(AX361=AU361,CE361=1,AND(LEN(AU361)&gt;=4,ISNUMBER(SEARCH(AU361,AX361))),AND(LEN(AX361)&gt;=4,ISNUMBER(SEARCH(AX361,AU361)))),"INVALID – verifier must be a different, named person (not the PIC or a role)",IF(BH361=1,"INVALID – result not yet available (awaiting / TBC)",IF(BG361=1,"INVALID – result describes a problem: record Fail, then Pass after CA (or reword if it is not a problem)",IF(BV361=1,"INVALID – wording says not on board: an on-board confirmation needs the item loaded",IF(AND(AQ361=1,OR(OR(LEN(AY361)&lt;3,ISNUMBER(MATCH(AY361,L_Placeholder,0))),BJ361=1,BQ361=0)),"INVALID – batch ID missing, placeholder or not an ID (e.g. PASB-261008-BC-017)",IF(AND(AR361=1,OR(NOT(ISNUMBER(X361)),NOT(ISNUMBER(Y361)))),"INVALID – expected/actual qty missing",IF(AND(AR361=1,OR(X361&lt;=0,Y361&lt;0)),"INVALID – expected qty must be above 0 and actual not negative",IF(BB361&lt;&gt;"",BB361,IF(AND(AS361=1,Documents!$J$15&lt;&gt;"ON FILE"),"INVALID – GLD not on file (Documents sheet)",IF(AND(AS361=2,Documents!$O$15&lt;&gt;"ON FILE"),"INVALID – menu checklist not on file (Documents sheet)",IF(AND(AS361=3,NOT(ISNUMBER(Flights!$AX$15))),"INVALID – enter carrying flight KUL departure (Flights AX)",IF(AND(AS361=3,OR(Flights!$AZ$15&gt;Flights!$AA$15,Flights!$AX$15&lt;Flights!$AA$15-3)),"INVALID – carrying flight (Flights AX) cannot arrive before this leg's STD, or is over 3 days early",IF(AG361&gt;AsOfUTC,"INVALID – completion time is in the future",IF(AND(ISNUMBER(BY361),AG361&lt;BY361),IF(H361="Physical uplift","INVALID – before uplift window (cannot confirm loading)","INVALID – before valid window"),IF(AG361&gt;Flights!$AA$15,"INVALID – completed after departure (cannot establish readiness)",IF(AND(H361="Preparation",AG361&gt;=IF(ISNUMBER(Flights!$BA$15),MIN(Flights!$BA$15,Flights!$AA$15),Flights!$AA$15)),"INVALID – completed after loading / departure (cannot establish readiness)",IF(AND(H361="Physical uplift",AG361&gt;Q361),"INVALID – recorded after the loading flight departed",IF(AG361&gt;Q361,"COMPLETE – LATE","COMPLETE"))))))))))))))))))))))))),IF(TRIM(U361)="Fail","FAIL – DISCREPANCY",IF(AND(TRIM(U361)&lt;&gt;"",TRIM(U361)&lt;&gt;"Not started",TRIM(U361)&lt;&gt;"In progress"),"INVALID – unrecognised status (use the list)",IF(AsOfUTC&gt;Q361,"OVERDUE",IF(N361="Clarification required","OPEN – CLARIFICATION","OPEN"))))))),"INVALID – error value in an input cell")</f>
        <v>OPEN</v>
      </c>
      <c r="AI361" s="61" t="n">
        <f aca="false">IF(OR(AH361="N/A – RULE",AH361="N/A – JUSTIFIED"),0,1)</f>
        <v>1</v>
      </c>
      <c r="AJ361" s="61" t="n">
        <f aca="false">IF(LEFT(AH361,8)="COMPLETE",1,0)</f>
        <v>0</v>
      </c>
      <c r="AK361" s="61" t="n">
        <f aca="false">IF(AND(AI361=1,AJ361=0,AsOfUTC&gt;Q361),1,0)</f>
        <v>0</v>
      </c>
      <c r="AL361" s="61" t="n">
        <f aca="false">IFERROR(IF(AND(AI361=1,OR(TRIM(U361)="Fail",AND(TRIM(AB361)&lt;&gt;"",TRIM(AB361)&lt;&gt;"Closed"),AND(ISNUMBER(AF361),AF361&lt;&gt;0,TRIM(U361)&lt;&gt;"Pass after CA"))),1,0),1)</f>
        <v>0</v>
      </c>
      <c r="AM361" s="61" t="n">
        <f aca="false">IF(LEFT(AH361,7)="INVALID",1,0)</f>
        <v>0</v>
      </c>
      <c r="AN361" s="61" t="n">
        <f aca="false">IF(AND(N361="Clarification required",AI361=1,AJ361=0),1,0)</f>
        <v>0</v>
      </c>
      <c r="AO361" s="61" t="str">
        <f aca="false">IF(AK361=1,SUM(AK$5:AK361),"")</f>
        <v/>
      </c>
      <c r="AP361" s="61" t="str">
        <f aca="false">IF(AL361=1,SUM(AL$5:AL361),"")</f>
        <v/>
      </c>
      <c r="AQ361" s="61" t="n">
        <v>0</v>
      </c>
      <c r="AR361" s="61" t="n">
        <v>0</v>
      </c>
      <c r="AS361" s="61" t="n">
        <v>0</v>
      </c>
      <c r="AT361" s="61" t="n">
        <v>0</v>
      </c>
      <c r="AU361" s="61" t="str">
        <f aca="false">SUBSTITUTE(SUBSTITUTE(SUBSTITUTE(SUBSTITUTE(SUBSTITUTE(SUBSTITUTE(SUBSTITUTE(SUBSTITUTE(SUBSTITUTE(SUBSTITUTE(SUBSTITUTE(SUBSTITUTE(SUBSTITUTE(SUBSTITUTE(SUBSTITUTE(SUBSTITUTE(LOWER(T361&amp;""),CHAR(10),""),CHAR(13),""),CHAR(9),""),CHAR(160),"")," ",""),".",""),"-",""),"/",""),"?",""),"_",""),",",""),"[",""),"]",""),"(",""),")",""),"*","")</f>
        <v/>
      </c>
      <c r="AV361" s="61" t="str">
        <f aca="false">SUBSTITUTE(SUBSTITUTE(SUBSTITUTE(SUBSTITUTE(SUBSTITUTE(SUBSTITUTE(SUBSTITUTE(SUBSTITUTE(SUBSTITUTE(SUBSTITUTE(SUBSTITUTE(SUBSTITUTE(SUBSTITUTE(SUBSTITUTE(SUBSTITUTE(SUBSTITUTE(LOWER(V361&amp;""),CHAR(10),""),CHAR(13),""),CHAR(9),""),CHAR(160),"")," ",""),".",""),"-",""),"/",""),"?",""),"_",""),",",""),"[",""),"]",""),"(",""),")",""),"*","")</f>
        <v/>
      </c>
      <c r="AW361" s="61" t="str">
        <f aca="false">SUBSTITUTE(SUBSTITUTE(SUBSTITUTE(SUBSTITUTE(SUBSTITUTE(SUBSTITUTE(SUBSTITUTE(SUBSTITUTE(SUBSTITUTE(SUBSTITUTE(SUBSTITUTE(SUBSTITUTE(SUBSTITUTE(SUBSTITUTE(SUBSTITUTE(SUBSTITUTE(LOWER(Z361&amp;""),CHAR(10),""),CHAR(13),""),CHAR(9),""),CHAR(160),"")," ",""),".",""),"-",""),"/",""),"?",""),"_",""),",",""),"[",""),"]",""),"(",""),")",""),"*","")</f>
        <v/>
      </c>
      <c r="AX361" s="61" t="str">
        <f aca="false">SUBSTITUTE(SUBSTITUTE(SUBSTITUTE(SUBSTITUTE(SUBSTITUTE(SUBSTITUTE(SUBSTITUTE(SUBSTITUTE(SUBSTITUTE(SUBSTITUTE(SUBSTITUTE(SUBSTITUTE(SUBSTITUTE(SUBSTITUTE(SUBSTITUTE(SUBSTITUTE(LOWER(AE361&amp;""),CHAR(10),""),CHAR(13),""),CHAR(9),""),CHAR(160),"")," ",""),".",""),"-",""),"/",""),"?",""),"_",""),",",""),"[",""),"]",""),"(",""),")",""),"*","")</f>
        <v/>
      </c>
      <c r="AY361" s="61" t="str">
        <f aca="false">SUBSTITUTE(SUBSTITUTE(SUBSTITUTE(SUBSTITUTE(SUBSTITUTE(SUBSTITUTE(SUBSTITUTE(SUBSTITUTE(SUBSTITUTE(SUBSTITUTE(SUBSTITUTE(SUBSTITUTE(SUBSTITUTE(SUBSTITUTE(SUBSTITUTE(SUBSTITUTE(LOWER(W361&amp;""),CHAR(10),""),CHAR(13),""),CHAR(9),""),CHAR(160),"")," ",""),".",""),"-",""),"/",""),"?",""),"_",""),",",""),"[",""),"]",""),"(",""),")",""),"*","")</f>
        <v/>
      </c>
      <c r="AZ361" s="61" t="str">
        <f aca="false">SUBSTITUTE(SUBSTITUTE(SUBSTITUTE(SUBSTITUTE(SUBSTITUTE(SUBSTITUTE(SUBSTITUTE(SUBSTITUTE(SUBSTITUTE(SUBSTITUTE(SUBSTITUTE(SUBSTITUTE(SUBSTITUTE(SUBSTITUTE(SUBSTITUTE(SUBSTITUTE(LOWER(AC361&amp;""),CHAR(10),""),CHAR(13),""),CHAR(9),""),CHAR(160),"")," ",""),".",""),"-",""),"/",""),"?",""),"_",""),",",""),"[",""),"]",""),"(",""),")",""),"*","")</f>
        <v/>
      </c>
      <c r="BA361" s="61" t="str">
        <f aca="false">SUBSTITUTE(SUBSTITUTE(SUBSTITUTE(SUBSTITUTE(SUBSTITUTE(SUBSTITUTE(SUBSTITUTE(SUBSTITUTE(SUBSTITUTE(SUBSTITUTE(SUBSTITUTE(SUBSTITUTE(SUBSTITUTE(SUBSTITUTE(SUBSTITUTE(SUBSTITUTE(LOWER(AA361&amp;""),CHAR(10),""),CHAR(13),""),CHAR(9),""),CHAR(160),"")," ",""),".",""),"-",""),"/",""),"?",""),"_",""),",",""),"[",""),"]",""),"(",""),")",""),"*","")</f>
        <v/>
      </c>
      <c r="BB361" s="61" t="str">
        <f aca="false">IF(AND(TRIM(U361)="Pass",ISNUMBER(AF361)),IF(AF361&lt;&gt;0,"INVALID – qty variance: use Fail or Pass after CA",""),"")&amp;IF(AND(TRIM(U361)="Pass after CA",ISNUMBER(AF361)),IF(AF361&lt;&gt;0,"INVALID – after the corrective action the actual qty must equal expected (update Actual)",""),"")&amp;IF(AND(TRIM(U361)="Pass",TRIM(AB361)&lt;&gt;"",TRIM(AB361)&lt;&gt;"Closed"),"INVALID – corrective action not closed: use Fail, then Pass after CA","")&amp;IF(AND(LEN(BA361)&gt;=2,ISNA(MATCH(LEFT(BA361,255),L_Placeholder,0)),TRIM(AB361)=""),"INVALID – CA status missing for the recorded corrective action","")&amp;IF(AND(TRIM(U361)="Pass after CA",OR(OR(LEN(BA361)&lt;5,ISNUMBER(MATCH(BA361,L_Placeholder,0))),TRIM(AB361)&lt;&gt;"Closed")),"INVALID – corrective action not recorded/closed","")</f>
        <v/>
      </c>
      <c r="BC361" s="61" t="str">
        <f aca="false">" "&amp;TRIM(SUBSTITUTE(SUBSTITUTE(SUBSTITUTE(SUBSTITUTE(SUBSTITUTE(SUBSTITUTE(SUBSTITUTE(SUBSTITUTE(SUBSTITUTE(SUBSTITUTE(SUBSTITUTE(SUBSTITUTE(SUBSTITUTE(SUBSTITUTE(SUBSTITUTE(SUBSTITUTE(SUBSTITUTE(SUBSTITUTE(SUBSTITUTE(SUBSTITUTE(SUBSTITUTE(SUBSTITUTE(SUBSTITUTE(SUBSTITUTE(LOWER(V361&amp;""),CHAR(10)," "),CHAR(13)," "),CHAR(9)," "),CHAR(160)," "),"."," "),","," "),"-"," "),"/"," "),"("," "),")"," "),":"," "),";"," "),"_"," "),"–"," "),"?"," "),"!"," "),"*"," "),"["," "),"]"," "),"'"," "),"#"," "),"+"," "),"&amp;"," "),"\"," "))&amp;" "</f>
        <v>  </v>
      </c>
      <c r="BD361" s="61" t="str">
        <f aca="false">" "&amp;TRIM(SUBSTITUTE(SUBSTITUTE(SUBSTITUTE(SUBSTITUTE(SUBSTITUTE(SUBSTITUTE(SUBSTITUTE(SUBSTITUTE(SUBSTITUTE(SUBSTITUTE(SUBSTITUTE(SUBSTITUTE(SUBSTITUTE(SUBSTITUTE(SUBSTITUTE(SUBSTITUTE(SUBSTITUTE(SUBSTITUTE(SUBSTITUTE(SUBSTITUTE(SUBSTITUTE(SUBSTITUTE(SUBSTITUTE(SUBSTITUTE(LOWER(Z361&amp;""),CHAR(10)," "),CHAR(13)," "),CHAR(9)," "),CHAR(160)," "),"."," "),","," "),"-"," "),"/"," "),"("," "),")"," "),":"," "),";"," "),"_"," "),"–"," "),"?"," "),"!"," "),"*"," "),"["," "),"]"," "),"'"," "),"#"," "),"+"," "),"&amp;"," "),"\"," "))&amp;" "</f>
        <v>  </v>
      </c>
      <c r="BE361" s="61" t="str">
        <f aca="false">" "&amp;TRIM(SUBSTITUTE(SUBSTITUTE(SUBSTITUTE(SUBSTITUTE(SUBSTITUTE(SUBSTITUTE(SUBSTITUTE(SUBSTITUTE(SUBSTITUTE(SUBSTITUTE(SUBSTITUTE(SUBSTITUTE(SUBSTITUTE(SUBSTITUTE(SUBSTITUTE(SUBSTITUTE(SUBSTITUTE(SUBSTITUTE(SUBSTITUTE(SUBSTITUTE(SUBSTITUTE(SUBSTITUTE(SUBSTITUTE(SUBSTITUTE(LOWER(W361&amp;""),CHAR(10)," "),CHAR(13)," "),CHAR(9)," "),CHAR(160)," "),"."," "),","," "),"-"," "),"/"," "),"("," "),")"," "),":"," "),";"," "),"_"," "),"–"," "),"?"," "),"!"," "),"*"," "),"["," "),"]"," "),"'"," "),"#"," "),"+"," "),"&amp;"," "),"\"," "))&amp;" "</f>
        <v>  </v>
      </c>
      <c r="BF361" s="61" t="str">
        <f aca="false">" "&amp;TRIM(SUBSTITUTE(SUBSTITUTE(SUBSTITUTE(SUBSTITUTE(SUBSTITUTE(SUBSTITUTE(SUBSTITUTE(SUBSTITUTE(SUBSTITUTE(SUBSTITUTE(SUBSTITUTE(SUBSTITUTE(SUBSTITUTE(SUBSTITUTE(SUBSTITUTE(SUBSTITUTE(SUBSTITUTE(SUBSTITUTE(SUBSTITUTE(SUBSTITUTE(SUBSTITUTE(SUBSTITUTE(SUBSTITUTE(SUBSTITUTE(LOWER(AC361&amp;""),CHAR(10)," "),CHAR(13)," "),CHAR(9)," "),CHAR(160)," "),"."," "),","," "),"-"," "),"/"," "),"("," "),")"," "),":"," "),";"," "),"_"," "),"–"," "),"?"," "),"!"," "),"*"," "),"["," "),"]"," "),"'"," "),"#"," "),"+"," "),"&amp;"," "),"\"," "))&amp;" "</f>
        <v>  </v>
      </c>
      <c r="BG361" s="61" t="n">
        <f aca="false">IFERROR(IF(AND(TRIM(U361)="Pass",SUMPRODUCT((LEN(BC361)-LEN(SUBSTITUTE(BC361," "&amp;L_ResultBad&amp;" "," ")))/(LEN(L_ResultBad)+1))&gt;SUMPRODUCT((LEN(BC361)-LEN(SUBSTITUTE(BC361," "&amp;L_NegPhrase&amp;" "," ")))/(LEN(L_NegPhrase)+1))),1,0),0)</f>
        <v>0</v>
      </c>
      <c r="BH361" s="61" t="n">
        <f aca="false">IFERROR(IF(SUMPRODUCT((LEN(BC361)-LEN(SUBSTITUTE(BC361," "&amp;L_Pending&amp;" "," ")))/(LEN(L_Pending)+1))&gt;SUMPRODUCT((LEN(BC361)-LEN(SUBSTITUTE(BC361," "&amp;L_PendNeg&amp;" "," ")))/(LEN(L_PendNeg)+1))+SUMPRODUCT((LEN(BC361)-LEN(SUBSTITUTE(BC361," "&amp;L_PendPrep&amp;" "," ")))/(LEN(L_PendPrep)+1)),1,0),1)</f>
        <v>0</v>
      </c>
      <c r="BI361" s="61" t="n">
        <f aca="false">IFERROR(IF(SUMPRODUCT((LEN(BD361)-LEN(SUBSTITUTE(BD361," "&amp;L_PendStrict&amp;" "," ")))/(LEN(L_PendStrict)+1))&gt;SUMPRODUCT((LEN(BD361)-LEN(SUBSTITUTE(BD361," "&amp;L_PendNeg&amp;" "," ")))/(LEN(L_PendNeg)+1)),1,0),1)</f>
        <v>0</v>
      </c>
      <c r="BJ361" s="61" t="n">
        <f aca="false">IFERROR(IF(SUMPRODUCT((LEN(BE361)-LEN(SUBSTITUTE(BE361," "&amp;L_Pending&amp;" "," ")))/(LEN(L_Pending)+1))&gt;SUMPRODUCT((LEN(BE361)-LEN(SUBSTITUTE(BE361," "&amp;L_PendNeg&amp;" "," ")))/(LEN(L_PendNeg)+1))+SUMPRODUCT((LEN(BE361)-LEN(SUBSTITUTE(BE361," "&amp;L_PendPrep&amp;" "," ")))/(LEN(L_PendPrep)+1)),1,0),1)</f>
        <v>0</v>
      </c>
      <c r="BK361" s="61" t="n">
        <f aca="false">IFERROR(IF(SUMPRODUCT((LEN(BF361)-LEN(SUBSTITUTE(BF361," "&amp;L_PendStrict&amp;" "," ")))/(LEN(L_PendStrict)+1))&gt;SUMPRODUCT((LEN(BF361)-LEN(SUBSTITUTE(BF361," "&amp;L_PendNeg&amp;" "," ")))/(LEN(L_PendNeg)+1)),1,0),1)</f>
        <v>0</v>
      </c>
      <c r="BL361" s="61" t="n">
        <f aca="false">IF(ISNA(MATCH(TRIM(S361),L_EvidenceType,0)),0,BZ361)</f>
        <v>0</v>
      </c>
      <c r="BM361" s="61" t="str">
        <f aca="false">SUBSTITUTE(SUBSTITUTE(SUBSTITUTE(SUBSTITUTE(SUBSTITUTE(SUBSTITUTE(SUBSTITUTE(SUBSTITUTE(SUBSTITUTE(LOWER(Z361&amp;""),"1","0"),"2","0"),"3","0"),"4","0"),"5","0"),"6","0"),"7","0"),"8","0"),"9","0")</f>
        <v/>
      </c>
      <c r="BN361" s="61" t="str">
        <f aca="false">SUBSTITUTE(SUBSTITUTE(SUBSTITUTE(SUBSTITUTE(SUBSTITUTE(SUBSTITUTE(SUBSTITUTE(SUBSTITUTE(SUBSTITUTE(SUBSTITUTE(SUBSTITUTE(SUBSTITUTE(SUBSTITUTE(SUBSTITUTE(SUBSTITUTE(SUBSTITUTE(SUBSTITUTE(SUBSTITUTE(SUBSTITUTE(SUBSTITUTE(SUBSTITUTE(SUBSTITUTE(SUBSTITUTE(SUBSTITUTE(SUBSTITUTE(BM361,"b","a"),"c","a"),"d","a"),"e","a"),"f","a"),"g","a"),"h","a"),"i","a"),"j","a"),"k","a"),"l","a"),"m","a"),"n","a"),"o","a"),"p","a"),"q","a"),"r","a"),"s","a"),"t","a"),"u","a"),"v","a"),"w","a"),"x","a"),"y","a"),"z","a")</f>
        <v/>
      </c>
      <c r="BO361" s="61" t="str">
        <f aca="false">SUBSTITUTE(SUBSTITUTE(SUBSTITUTE(SUBSTITUTE(SUBSTITUTE(SUBSTITUTE(SUBSTITUTE(SUBSTITUTE(SUBSTITUTE(LOWER(W361&amp;""),"1","0"),"2","0"),"3","0"),"4","0"),"5","0"),"6","0"),"7","0"),"8","0"),"9","0")</f>
        <v/>
      </c>
      <c r="BP361" s="61" t="str">
        <f aca="false">SUBSTITUTE(SUBSTITUTE(SUBSTITUTE(SUBSTITUTE(SUBSTITUTE(SUBSTITUTE(SUBSTITUTE(SUBSTITUTE(SUBSTITUTE(SUBSTITUTE(SUBSTITUTE(SUBSTITUTE(SUBSTITUTE(SUBSTITUTE(SUBSTITUTE(SUBSTITUTE(SUBSTITUTE(SUBSTITUTE(SUBSTITUTE(SUBSTITUTE(SUBSTITUTE(SUBSTITUTE(SUBSTITUTE(SUBSTITUTE(SUBSTITUTE(BO361,"b","a"),"c","a"),"d","a"),"e","a"),"f","a"),"g","a"),"h","a"),"i","a"),"j","a"),"k","a"),"l","a"),"m","a"),"n","a"),"o","a"),"p","a"),"q","a"),"r","a"),"s","a"),"t","a"),"u","a"),"v","a"),"w","a"),"x","a"),"y","a"),"z","a")</f>
        <v/>
      </c>
      <c r="BQ361" s="61" t="n">
        <f aca="false">IFERROR(IF(AND(ISERROR(SEARCH(" mh"," "&amp;LOWER(W361))),ISNA(MATCH(LEFT(TRIM(BP361),255),{"0000a","000a","00a","0000aa","000aa","00aa","0aa","0000aaa","000aaa","00a00","0a00","0000-0000","00:00","a00","a0","00.00.0000","00/00/0000","00-00-0000","0000-00-00","0000/00/00","0000.00.00","00.00.00","00/00/00","00-00-00","0.00.0000","0/00/0000","0-00-0000"},0)),ISNA(MATCH(LEFT(TRIM(CA361),255),{"0000a","000a","00a","0000aa","000aa","00aa","0aa","0000aaa","000aaa","00a00","0a00","0000-0000","00:00","a00","a0","00.00.0000","00/00/0000","00-00-0000","0000-00-00","0000/00/00","0000.00.00","00.00.00","00/00/00","00-00-00","0.00.0000","0/00/0000","0-00-0000"},0)),LEN(CB361)&gt;=3,NOT(OR(SUBSTITUTE(CB361,"0","")="",AND(LEN(CB361)&gt;=4,CB361=REPT(LEFT(CB361),LEN(CB361))),ISNUMBER(MATCH(CB361,{"123","1234","12345","123456","1234567","12345678","0123","01234","012345","98765","987654","54321"},0)),AND(LEN(CB361)=8,LEFT(CB361,3)="202"))),OR(AND((LEN(CA361)-LEN(SUBSTITUTE(CA361,"a","")))&gt;=1,SUMPRODUCT(--ISNUMBER(SEARCH({"a0","a-0","a_0","a/0","a.0","a#0","0a","0-a","0_a","0/a"},BP361)))&gt;0),ISNUMBER(SEARCH("000000",BP361)))),1,0),0)</f>
        <v>0</v>
      </c>
      <c r="BR361" s="61" t="n">
        <f aca="false">IFERROR(LEN(SUBSTITUTE(CC361," ",""))-SUMPRODUCT((LEN(CC361)-LEN(SUBSTITUTE(CC361," "&amp;L_Role&amp;" "," ")))/(LEN(L_Role)+1)*LEN(L_Role)),0)</f>
        <v>0</v>
      </c>
      <c r="BS361" s="61" t="n">
        <f aca="false">IFERROR(LEN(SUBSTITUTE(CD361," ",""))-SUMPRODUCT((LEN(CD361)-LEN(SUBSTITUTE(CD361," "&amp;L_Role&amp;" "," ")))/(LEN(L_Role)+1)*LEN(L_Role)),0)</f>
        <v>0</v>
      </c>
      <c r="BT3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361,"revision",""),"version",""),"jan",""),"feb",""),"mar",""),"apr",""),"may",""),"jun",""),"jul",""),"aug",""),"sep",""),"oct",""),"nov",""),"dec",""),"utc",""),"gmt",""),"myt",""),"bst",""),"rev",""),"ver",""),"b","a"),"c","a"),"d","a"),"e","a"),"f","a"),"g","a"),"h","a"),"i","a"),"j","a"),"k","a"),"l","a"),"m","a"),"n","a"),"o","a"),"p","a"),"q","a"),"r","a"),"s","a"),"t","a"),"u","a"),"v","a"),"w","a"),"x","a"),"y","a"),"z","a")</f>
        <v/>
      </c>
      <c r="BU361" s="61" t="str">
        <f aca="false">SUBSTITUTE(SUBSTITUTE(SUBSTITUTE(SUBSTITUTE(SUBSTITUTE(SUBSTITUTE(SUBSTITUTE(SUBSTITUTE(SUBSTITUTE(SUBSTITUTE(LEFT(BM361,FIND("0",BM361&amp;"0")-1),"-",""),"_",""),"/",""),".",""),"#",""),"\\",""),":","")," ",""),"(",""),")","")</f>
        <v/>
      </c>
      <c r="BV361" s="61" t="n">
        <f aca="false">0</f>
        <v>0</v>
      </c>
      <c r="BW3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361&amp;""),"a",""),"b",""),"c",""),"d",""),"e",""),"f",""),"g",""),"h",""),"i",""),"j",""),"k",""),"l",""),"m",""),"n",""),"o",""),"p",""),"q",""),"r",""),"s",""),"t",""),"u",""),"v",""),"w",""),"x",""),"y",""),"z",""),"-",""),"_",""),"/",""),".",""),"#",""),"\\",""),":","")," ",""),"(",""),")","")</f>
        <v/>
      </c>
      <c r="BX361" s="61" t="str">
        <f aca="false">SUBSTITUTE(SUBSTITUTE(SUBSTITUTE(SUBSTITUTE(SUBSTITUTE(SUBSTITUTE(SUBSTITUTE(SUBSTITUTE(SUBSTITUTE(SUBSTITUTE(SUBSTITUTE(BM361,"0",""),"-",""),"_",""),"/",""),".",""),"#",""),"\\",""),":","")," ",""),"(",""),")","")</f>
        <v/>
      </c>
      <c r="BY361" s="62" t="n">
        <f aca="false">Q361-T7EarlyD*24/24</f>
        <v>46286.3263888889</v>
      </c>
      <c r="BZ361" s="61" t="n">
        <f aca="false">IFERROR(IF(IF(TRIM(S361)="Link / file path",AND(LEN(TRIM(Z361))&gt;=5,SUMPRODUCT(--ISNUMBER(SEARCH({"http","www.","\\",":\",".pdf",".jpg",".jpeg",".png",".heic",".xls",".doc",".msg",".eml",".ppt",".txt",".zip"},Z361)))&gt;0),AND(ISERROR(FIND(" ",TRIM(Z361))),NOT(OR(SUMPRODUCT(--ISNUMBER(FIND({",",";","&amp;","+"},Z361)))&gt;0,SUMPRODUCT(--ISNUMBER(SEARCH({"0/aa","0\\aa"},BN361)))&gt;0)),NOT(SUMPRODUCT(--ISNUMBER(SEARCH({"http","www.","\\",":\",".pdf",".jpg",".jpeg",".png",".heic",".xls",".doc",".msg",".eml",".ppt",".txt",".zip"},Z361)))&gt;0),NOT(LOWER(TRIM(Z361))=LOWER(Flights!$F$15)),ISNA(MATCH(BU361,{"mh","rev","revision","ver","version","v","r","a","b","seat","tray","row","gate","bay","stand","page","pg","item","line","no","cart","galley","flight","flt","table","box","bag","oven","etd","eta","std","sta","atd","ata","qty","pax","x","time","tel","ph","mob","day","wk","week","utc","gmt","myt","lt"},0)),NOT(OR(ISNUMBER(MATCH(LEFT(BN361,255),{"0000a","000a","00a","0000aa","000aa","00aa","0aa","0000aaa","000aaa","00a00","0a00","0000-0000","00:00","a00","a0","00.00.0000","00/00/0000","00-00-0000","0000-00-00","0000/00/00","0000.00.00","00.00.00","00/00/00","00-00-00","0.00.0000","0/00/0000","0-00-0000"},0)),ISNUMBER(MATCH(LEFT(BT361,255),{"0000a","000a","00a","0000aa","000aa","00aa","0aa","0000aaa","000aaa","00a00","0a00","0000-0000","00:00","a00","a0","00.00.0000","00/00/0000","00-00-0000","0000-00-00","0000/00/00","0000.00.00","00.00.00","00/00/00","00-00-00","0.00.0000","0/00/0000","0-00-0000"},0)))),NOT(OR(AND(BW361&lt;&gt;"",SUBSTITUTE(BW361,"0","")=""),AND(LEN(BW361)&gt;=4,BW361=REPT(LEFT(BW361),LEN(BW361))),ISNUMBER(MATCH(BW361,{"123","1234","12345","123456","1234567","12345678","0123","01234","012345","98765","987654","54321"},0)),ISNUMBER(MATCH(BX361,{"x","xx","xxx","xxxx","xxxxx","abc","abcd","nil","na","nan","test","tbc","tba","tbd","dummy","sample","example","eg","zz","zzz","none","null","xyz","qwe","asd","id","ref"},0)),AND(LEN(BW361)=8,BX361="",OR(LEFT(BW361,3)="202",ISNUMBER(MATCH(RIGHT(BW361,4),{"2025","2026","2027"},0)))))),OR(AND((LEN(BT361)-LEN(SUBSTITUTE(BT361,"a","")))&gt;=1,(LEN(BN361)-LEN(SUBSTITUTE(BN361,"0","")))&gt;=2,SUMPRODUCT(--ISNUMBER(SEARCH({"a0","a-0","a_0","a/0","a.0","a#0","0a","0-a","0_a","0/a"},BN361)))&gt;0),AND((LEN(BN361)-LEN(SUBSTITUTE(BN361,"a","")))=0,(LEN(BN361)-LEN(SUBSTITUTE(BN361,"0","")))&gt;=5)))),1,0),0)</f>
        <v>0</v>
      </c>
      <c r="CA3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361,"revision",""),"version",""),"jan",""),"feb",""),"mar",""),"apr",""),"may",""),"jun",""),"jul",""),"aug",""),"sep",""),"oct",""),"nov",""),"dec",""),"utc",""),"gmt",""),"myt",""),"bst",""),"rev",""),"ver",""),"b","a"),"c","a"),"d","a"),"e","a"),"f","a"),"g","a"),"h","a"),"i","a"),"j","a"),"k","a"),"l","a"),"m","a"),"n","a"),"o","a"),"p","a"),"q","a"),"r","a"),"s","a"),"t","a"),"u","a"),"v","a"),"w","a"),"x","a"),"y","a"),"z","a")</f>
        <v/>
      </c>
      <c r="CB3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361&amp;""),"a",""),"b",""),"c",""),"d",""),"e",""),"f",""),"g",""),"h",""),"i",""),"j",""),"k",""),"l",""),"m",""),"n",""),"o",""),"p",""),"q",""),"r",""),"s",""),"t",""),"u",""),"v",""),"w",""),"x",""),"y",""),"z",""),"-",""),"_",""),"/",""),".",""),"#",""),"\\",""),":","")," ",""),"(",""),")","")</f>
        <v/>
      </c>
      <c r="CC361" s="0" t="str">
        <f aca="false">" "&amp;TRIM(SUBSTITUTE(SUBSTITUTE(SUBSTITUTE(SUBSTITUTE(SUBSTITUTE(SUBSTITUTE(SUBSTITUTE(SUBSTITUTE(SUBSTITUTE(SUBSTITUTE(SUBSTITUTE(SUBSTITUTE(SUBSTITUTE(SUBSTITUTE(SUBSTITUTE(SUBSTITUTE(SUBSTITUTE(SUBSTITUTE(SUBSTITUTE(SUBSTITUTE(SUBSTITUTE(SUBSTITUTE(SUBSTITUTE(SUBSTITUTE(LOWER(T361&amp;""),CHAR(10)," "),CHAR(13)," "),CHAR(9)," "),CHAR(160)," "),"."," "),","," "),"-"," "),"/"," "),"("," "),")"," "),":"," "),";"," "),"_"," "),"–"," "),"?"," "),"!"," "),"*"," "),"["," "),"]"," "),"'"," "),"#"," "),"+"," "),"&amp;"," "),"\"," "))&amp;" "</f>
        <v>  </v>
      </c>
      <c r="CD361" s="0" t="str">
        <f aca="false">" "&amp;TRIM(SUBSTITUTE(SUBSTITUTE(SUBSTITUTE(SUBSTITUTE(SUBSTITUTE(SUBSTITUTE(SUBSTITUTE(SUBSTITUTE(SUBSTITUTE(SUBSTITUTE(SUBSTITUTE(SUBSTITUTE(SUBSTITUTE(SUBSTITUTE(SUBSTITUTE(SUBSTITUTE(SUBSTITUTE(SUBSTITUTE(SUBSTITUTE(SUBSTITUTE(SUBSTITUTE(SUBSTITUTE(SUBSTITUTE(SUBSTITUTE(LOWER(AE361&amp;""),CHAR(10)," "),CHAR(13)," "),CHAR(9)," "),CHAR(160)," "),"."," "),","," "),"-"," "),"/"," "),"("," "),")"," "),":"," "),";"," "),"_"," "),"–"," "),"?"," "),"!"," "),"*"," "),"["," "),"]"," "),"'"," "),"#"," "),"+"," "),"&amp;"," "),"\"," "))&amp;" "</f>
        <v>  </v>
      </c>
      <c r="CE361" s="68" t="n">
        <f aca="false">IFERROR(IF(AND(LEN(AU361)&gt;0,LEN(AU361)=LEN(AX361),OR(TRIM(MID(SUBSTITUTE(TRIM(CC361)," ",REPT(" ",60)),1,60))="",ISNUMBER(SEARCH(" "&amp;TRIM(MID(SUBSTITUTE(TRIM(CC361)," ",REPT(" ",60)),1,60))&amp;" ",CD361))),OR(TRIM(MID(SUBSTITUTE(TRIM(CC361)," ",REPT(" ",60)),61,60))="",ISNUMBER(SEARCH(" "&amp;TRIM(MID(SUBSTITUTE(TRIM(CC361)," ",REPT(" ",60)),61,60))&amp;" ",CD361))),OR(TRIM(MID(SUBSTITUTE(TRIM(CC361)," ",REPT(" ",60)),121,60))="",ISNUMBER(SEARCH(" "&amp;TRIM(MID(SUBSTITUTE(TRIM(CC361)," ",REPT(" ",60)),121,60))&amp;" ",CD361)))),1,0),0)</f>
        <v>0</v>
      </c>
      <c r="CG361" s="68" t="n">
        <f aca="false">IFERROR(LEN(SUBSTITUTE(BF361," ",""))-SUMPRODUCT((LEN(BF361)-LEN(SUBSTITUTE(BF361," "&amp;L_NAFiller&amp;" "," ")))/(LEN(L_NAFiller)+1)*LEN(L_NAFiller)),0)</f>
        <v>0</v>
      </c>
    </row>
    <row r="362" customFormat="false" ht="39.75" hidden="false" customHeight="true" outlineLevel="0" collapsed="false">
      <c r="A362" s="57" t="s">
        <v>963</v>
      </c>
      <c r="B362" s="57" t="s">
        <v>258</v>
      </c>
      <c r="C362" s="57" t="str">
        <f aca="false">Flights!$F$15</f>
        <v>MH1149</v>
      </c>
      <c r="D362" s="58" t="n">
        <f aca="false">Flights!$D$15</f>
        <v>46307</v>
      </c>
      <c r="E362" s="57" t="str">
        <f aca="false">Flights!$G$15&amp;"-"&amp;Flights!$H$15</f>
        <v>PEN-KUL</v>
      </c>
      <c r="F362" s="57" t="str">
        <f aca="false">Flights!$K$15</f>
        <v>EY</v>
      </c>
      <c r="G362" s="57" t="s">
        <v>81</v>
      </c>
      <c r="H362" s="57" t="s">
        <v>378</v>
      </c>
      <c r="I362" s="57" t="s">
        <v>398</v>
      </c>
      <c r="J362" s="57" t="s">
        <v>402</v>
      </c>
      <c r="K362" s="67" t="s">
        <v>403</v>
      </c>
      <c r="L362" s="67" t="s">
        <v>382</v>
      </c>
      <c r="M362" s="67"/>
      <c r="N362" s="67" t="s">
        <v>383</v>
      </c>
      <c r="O362" s="67"/>
      <c r="P362" s="57" t="s">
        <v>187</v>
      </c>
      <c r="Q362" s="59" t="n">
        <f aca="false">ROUND((Flights!$AC$15)*1440,0)/1440</f>
        <v>46300.3263888889</v>
      </c>
      <c r="R362" s="59" t="n">
        <f aca="false">Q362+(IF(AND(INDEX(TZ_DSTS,MATCH(P362,TZ_STN,0))&lt;&gt;"",Q362&gt;=INDEX(TZ_DSTS,MATCH(P362,TZ_STN,0)),Q362&lt;INDEX(TZ_DSTE,MATCH(P362,TZ_STN,0))),INDEX(TZ_DST,MATCH(P362,TZ_STN,0)),INDEX(TZ_STD,MATCH(P362,TZ_STN,0))))/24</f>
        <v>46300.6597222222</v>
      </c>
      <c r="S362" s="60"/>
      <c r="T362" s="60"/>
      <c r="U362" s="60"/>
      <c r="V362" s="60"/>
      <c r="W362" s="61"/>
      <c r="X362" s="60"/>
      <c r="Y362" s="60"/>
      <c r="Z362" s="60"/>
      <c r="AA362" s="60"/>
      <c r="AB362" s="60"/>
      <c r="AC362" s="60"/>
      <c r="AD362" s="66"/>
      <c r="AE362" s="60"/>
      <c r="AF362" s="61" t="str">
        <f aca="false">IF(AND(ISNUMBER(X362),ISNUMBER(Y362)),Y362-X362,"")</f>
        <v/>
      </c>
      <c r="AG362" s="62" t="str">
        <f aca="false">IF(ISNUMBER(AD362),AD362-(IF(AND(INDEX(TZ_DSTS,MATCH(P362,TZ_STN,0))&lt;&gt;"",(AD362-INDEX(TZ_STD,MATCH(P362,TZ_STN,0))/24)&gt;=INDEX(TZ_DSTS,MATCH(P362,TZ_STN,0)),(AD362-INDEX(TZ_STD,MATCH(P362,TZ_STN,0))/24)&lt;INDEX(TZ_DSTE,MATCH(P362,TZ_STN,0))),INDEX(TZ_DST,MATCH(P362,TZ_STN,0)),INDEX(TZ_STD,MATCH(P362,TZ_STN,0))))/24,"")</f>
        <v/>
      </c>
      <c r="AH362" s="65" t="str">
        <f aca="false">IFERROR(IF(N362="N/A – rule",IF(OR(TRIM(U362)="",TRIM(U362)="N/A",TRIM(U362)="Not started"),"N/A – RULE","INVALID – this check does not apply to this aircraft: clear the status (or correct the fleet on Flights)"),IF(TRIM(U362)="N/A",IF(AT362=0,"INVALID – N/A not permitted for this check",IF(AND(TRIM(AB362)&lt;&gt;"",TRIM(AB362)&lt;&gt;"Closed"),"INVALID – corrective action still open",IF(AND(NOT(OR(LEN(AZ362)&lt;15,ISNUMBER(MATCH(AZ362,L_Placeholder,0)))),BK362=0,CG362&gt;=8,NOT(OR(LEN(AU362)&lt;2,ISNUMBER(MATCH(AU362,L_Placeholder,0)))),BR362&gt;=3,NOT(OR(LEN(AX362)&lt;2,ISNUMBER(MATCH(AX362,L_Placeholder,0)))),BS362&gt;=3,TRIM(AE362)&lt;&gt;TRIM(T362),AX362&lt;&gt;AU362,CE362=0),"N/A – JUSTIFIED","INVALID – N/A needs a real, settled reason (not 'not applicable' / 'as above' / TBC), a named PIC and a different named verifier"))),IF(OR(TRIM(U362)="Pass",TRIM(U362)="Pass after CA"),IF(NOT(ISNUMBER(AD362)),"INVALID – completion time missing",IF(OR(OR(LEN(AU362)&lt;2,ISNUMBER(MATCH(AU362,L_Placeholder,0))),BR362&lt;3),"INVALID – PIC missing or not a named person (a role such as QA / CSM is not a name)",IF(OR(LEN(AV362)&lt;2,ISNUMBER(MATCH(AV362,L_Placeholder,0))),"INVALID – result / assessment missing",IF(OR(OR(LEN(AW362)&lt;3,ISNUMBER(MATCH(AW362,L_Placeholder,0))),SUMPRODUCT(--ISNUMBER(SEARCH(" "&amp;L_EvidencePhrase&amp;" ",BD362)))&gt;0,BI362=1),"INVALID – evidence missing, placeholder or not yet on file",IF(ISNA(MATCH(TRIM(S362),L_EvidenceType,0)),"INVALID – choose the evidence type from the list (column S)",IF(BL362=0,"INVALID – evidence ID must be the record's own ID only (e.g. SF-2210, IMG_2231, 1045521); a link / file name needs type 'Link / file path'",IF(OR(OR(LEN(AX362)&lt;2,ISNUMBER(MATCH(AX362,L_Placeholder,0))),BS362&lt;3),"INVALID – verifier missing or not a named person (a role such as QA / CSM is not a name)",IF(OR(AX362=AU362,CE362=1,AND(LEN(AU362)&gt;=4,ISNUMBER(SEARCH(AU362,AX362))),AND(LEN(AX362)&gt;=4,ISNUMBER(SEARCH(AX362,AU362)))),"INVALID – verifier must be a different, named person (not the PIC or a role)",IF(BH362=1,"INVALID – result not yet available (awaiting / TBC)",IF(BG362=1,"INVALID – result describes a problem: record Fail, then Pass after CA (or reword if it is not a problem)",IF(BV362=1,"INVALID – wording says not on board: an on-board confirmation needs the item loaded",IF(AND(AQ362=1,OR(OR(LEN(AY362)&lt;3,ISNUMBER(MATCH(AY362,L_Placeholder,0))),BJ362=1,BQ362=0)),"INVALID – batch ID missing, placeholder or not an ID (e.g. PASB-261008-BC-017)",IF(AND(AR362=1,OR(NOT(ISNUMBER(X362)),NOT(ISNUMBER(Y362)))),"INVALID – expected/actual qty missing",IF(AND(AR362=1,OR(X362&lt;=0,Y362&lt;0)),"INVALID – expected qty must be above 0 and actual not negative",IF(BB362&lt;&gt;"",BB362,IF(AND(AS362=1,Documents!$J$15&lt;&gt;"ON FILE"),"INVALID – GLD not on file (Documents sheet)",IF(AND(AS362=2,Documents!$O$15&lt;&gt;"ON FILE"),"INVALID – menu checklist not on file (Documents sheet)",IF(AND(AS362=3,NOT(ISNUMBER(Flights!$AX$15))),"INVALID – enter carrying flight KUL departure (Flights AX)",IF(AND(AS362=3,OR(Flights!$AZ$15&gt;Flights!$AA$15,Flights!$AX$15&lt;Flights!$AA$15-3)),"INVALID – carrying flight (Flights AX) cannot arrive before this leg's STD, or is over 3 days early",IF(AG362&gt;AsOfUTC,"INVALID – completion time is in the future",IF(AND(ISNUMBER(BY362),AG362&lt;BY362),IF(H362="Physical uplift","INVALID – before uplift window (cannot confirm loading)","INVALID – before valid window"),IF(AG362&gt;Flights!$AA$15,"INVALID – completed after departure (cannot establish readiness)",IF(AND(H362="Preparation",AG362&gt;=IF(ISNUMBER(Flights!$BA$15),MIN(Flights!$BA$15,Flights!$AA$15),Flights!$AA$15)),"INVALID – completed after loading / departure (cannot establish readiness)",IF(AND(H362="Physical uplift",AG362&gt;Q362),"INVALID – recorded after the loading flight departed",IF(AG362&gt;Q362,"COMPLETE – LATE","COMPLETE"))))))))))))))))))))))))),IF(TRIM(U362)="Fail","FAIL – DISCREPANCY",IF(AND(TRIM(U362)&lt;&gt;"",TRIM(U362)&lt;&gt;"Not started",TRIM(U362)&lt;&gt;"In progress"),"INVALID – unrecognised status (use the list)",IF(AsOfUTC&gt;Q362,"OVERDUE",IF(N362="Clarification required","OPEN – CLARIFICATION","OPEN"))))))),"INVALID – error value in an input cell")</f>
        <v>OPEN</v>
      </c>
      <c r="AI362" s="61" t="n">
        <f aca="false">IF(OR(AH362="N/A – RULE",AH362="N/A – JUSTIFIED"),0,1)</f>
        <v>1</v>
      </c>
      <c r="AJ362" s="61" t="n">
        <f aca="false">IF(LEFT(AH362,8)="COMPLETE",1,0)</f>
        <v>0</v>
      </c>
      <c r="AK362" s="61" t="n">
        <f aca="false">IF(AND(AI362=1,AJ362=0,AsOfUTC&gt;Q362),1,0)</f>
        <v>0</v>
      </c>
      <c r="AL362" s="61" t="n">
        <f aca="false">IFERROR(IF(AND(AI362=1,OR(TRIM(U362)="Fail",AND(TRIM(AB362)&lt;&gt;"",TRIM(AB362)&lt;&gt;"Closed"),AND(ISNUMBER(AF362),AF362&lt;&gt;0,TRIM(U362)&lt;&gt;"Pass after CA"))),1,0),1)</f>
        <v>0</v>
      </c>
      <c r="AM362" s="61" t="n">
        <f aca="false">IF(LEFT(AH362,7)="INVALID",1,0)</f>
        <v>0</v>
      </c>
      <c r="AN362" s="61" t="n">
        <f aca="false">IF(AND(N362="Clarification required",AI362=1,AJ362=0),1,0)</f>
        <v>0</v>
      </c>
      <c r="AO362" s="61" t="str">
        <f aca="false">IF(AK362=1,SUM(AK$5:AK362),"")</f>
        <v/>
      </c>
      <c r="AP362" s="61" t="str">
        <f aca="false">IF(AL362=1,SUM(AL$5:AL362),"")</f>
        <v/>
      </c>
      <c r="AQ362" s="61" t="n">
        <v>0</v>
      </c>
      <c r="AR362" s="61" t="n">
        <v>0</v>
      </c>
      <c r="AS362" s="61" t="n">
        <v>0</v>
      </c>
      <c r="AT362" s="61" t="n">
        <v>0</v>
      </c>
      <c r="AU362" s="61" t="str">
        <f aca="false">SUBSTITUTE(SUBSTITUTE(SUBSTITUTE(SUBSTITUTE(SUBSTITUTE(SUBSTITUTE(SUBSTITUTE(SUBSTITUTE(SUBSTITUTE(SUBSTITUTE(SUBSTITUTE(SUBSTITUTE(SUBSTITUTE(SUBSTITUTE(SUBSTITUTE(SUBSTITUTE(LOWER(T362&amp;""),CHAR(10),""),CHAR(13),""),CHAR(9),""),CHAR(160),"")," ",""),".",""),"-",""),"/",""),"?",""),"_",""),",",""),"[",""),"]",""),"(",""),")",""),"*","")</f>
        <v/>
      </c>
      <c r="AV362" s="61" t="str">
        <f aca="false">SUBSTITUTE(SUBSTITUTE(SUBSTITUTE(SUBSTITUTE(SUBSTITUTE(SUBSTITUTE(SUBSTITUTE(SUBSTITUTE(SUBSTITUTE(SUBSTITUTE(SUBSTITUTE(SUBSTITUTE(SUBSTITUTE(SUBSTITUTE(SUBSTITUTE(SUBSTITUTE(LOWER(V362&amp;""),CHAR(10),""),CHAR(13),""),CHAR(9),""),CHAR(160),"")," ",""),".",""),"-",""),"/",""),"?",""),"_",""),",",""),"[",""),"]",""),"(",""),")",""),"*","")</f>
        <v/>
      </c>
      <c r="AW362" s="61" t="str">
        <f aca="false">SUBSTITUTE(SUBSTITUTE(SUBSTITUTE(SUBSTITUTE(SUBSTITUTE(SUBSTITUTE(SUBSTITUTE(SUBSTITUTE(SUBSTITUTE(SUBSTITUTE(SUBSTITUTE(SUBSTITUTE(SUBSTITUTE(SUBSTITUTE(SUBSTITUTE(SUBSTITUTE(LOWER(Z362&amp;""),CHAR(10),""),CHAR(13),""),CHAR(9),""),CHAR(160),"")," ",""),".",""),"-",""),"/",""),"?",""),"_",""),",",""),"[",""),"]",""),"(",""),")",""),"*","")</f>
        <v/>
      </c>
      <c r="AX362" s="61" t="str">
        <f aca="false">SUBSTITUTE(SUBSTITUTE(SUBSTITUTE(SUBSTITUTE(SUBSTITUTE(SUBSTITUTE(SUBSTITUTE(SUBSTITUTE(SUBSTITUTE(SUBSTITUTE(SUBSTITUTE(SUBSTITUTE(SUBSTITUTE(SUBSTITUTE(SUBSTITUTE(SUBSTITUTE(LOWER(AE362&amp;""),CHAR(10),""),CHAR(13),""),CHAR(9),""),CHAR(160),"")," ",""),".",""),"-",""),"/",""),"?",""),"_",""),",",""),"[",""),"]",""),"(",""),")",""),"*","")</f>
        <v/>
      </c>
      <c r="AY362" s="61" t="str">
        <f aca="false">SUBSTITUTE(SUBSTITUTE(SUBSTITUTE(SUBSTITUTE(SUBSTITUTE(SUBSTITUTE(SUBSTITUTE(SUBSTITUTE(SUBSTITUTE(SUBSTITUTE(SUBSTITUTE(SUBSTITUTE(SUBSTITUTE(SUBSTITUTE(SUBSTITUTE(SUBSTITUTE(LOWER(W362&amp;""),CHAR(10),""),CHAR(13),""),CHAR(9),""),CHAR(160),"")," ",""),".",""),"-",""),"/",""),"?",""),"_",""),",",""),"[",""),"]",""),"(",""),")",""),"*","")</f>
        <v/>
      </c>
      <c r="AZ362" s="61" t="str">
        <f aca="false">SUBSTITUTE(SUBSTITUTE(SUBSTITUTE(SUBSTITUTE(SUBSTITUTE(SUBSTITUTE(SUBSTITUTE(SUBSTITUTE(SUBSTITUTE(SUBSTITUTE(SUBSTITUTE(SUBSTITUTE(SUBSTITUTE(SUBSTITUTE(SUBSTITUTE(SUBSTITUTE(LOWER(AC362&amp;""),CHAR(10),""),CHAR(13),""),CHAR(9),""),CHAR(160),"")," ",""),".",""),"-",""),"/",""),"?",""),"_",""),",",""),"[",""),"]",""),"(",""),")",""),"*","")</f>
        <v/>
      </c>
      <c r="BA362" s="61" t="str">
        <f aca="false">SUBSTITUTE(SUBSTITUTE(SUBSTITUTE(SUBSTITUTE(SUBSTITUTE(SUBSTITUTE(SUBSTITUTE(SUBSTITUTE(SUBSTITUTE(SUBSTITUTE(SUBSTITUTE(SUBSTITUTE(SUBSTITUTE(SUBSTITUTE(SUBSTITUTE(SUBSTITUTE(LOWER(AA362&amp;""),CHAR(10),""),CHAR(13),""),CHAR(9),""),CHAR(160),"")," ",""),".",""),"-",""),"/",""),"?",""),"_",""),",",""),"[",""),"]",""),"(",""),")",""),"*","")</f>
        <v/>
      </c>
      <c r="BB362" s="61" t="str">
        <f aca="false">IF(AND(TRIM(U362)="Pass",ISNUMBER(AF362)),IF(AF362&lt;&gt;0,"INVALID – qty variance: use Fail or Pass after CA",""),"")&amp;IF(AND(TRIM(U362)="Pass after CA",ISNUMBER(AF362)),IF(AF362&lt;&gt;0,"INVALID – after the corrective action the actual qty must equal expected (update Actual)",""),"")&amp;IF(AND(TRIM(U362)="Pass",TRIM(AB362)&lt;&gt;"",TRIM(AB362)&lt;&gt;"Closed"),"INVALID – corrective action not closed: use Fail, then Pass after CA","")&amp;IF(AND(LEN(BA362)&gt;=2,ISNA(MATCH(LEFT(BA362,255),L_Placeholder,0)),TRIM(AB362)=""),"INVALID – CA status missing for the recorded corrective action","")&amp;IF(AND(TRIM(U362)="Pass after CA",OR(OR(LEN(BA362)&lt;5,ISNUMBER(MATCH(BA362,L_Placeholder,0))),TRIM(AB362)&lt;&gt;"Closed")),"INVALID – corrective action not recorded/closed","")</f>
        <v/>
      </c>
      <c r="BC362" s="61" t="str">
        <f aca="false">" "&amp;TRIM(SUBSTITUTE(SUBSTITUTE(SUBSTITUTE(SUBSTITUTE(SUBSTITUTE(SUBSTITUTE(SUBSTITUTE(SUBSTITUTE(SUBSTITUTE(SUBSTITUTE(SUBSTITUTE(SUBSTITUTE(SUBSTITUTE(SUBSTITUTE(SUBSTITUTE(SUBSTITUTE(SUBSTITUTE(SUBSTITUTE(SUBSTITUTE(SUBSTITUTE(SUBSTITUTE(SUBSTITUTE(SUBSTITUTE(SUBSTITUTE(LOWER(V362&amp;""),CHAR(10)," "),CHAR(13)," "),CHAR(9)," "),CHAR(160)," "),"."," "),","," "),"-"," "),"/"," "),"("," "),")"," "),":"," "),";"," "),"_"," "),"–"," "),"?"," "),"!"," "),"*"," "),"["," "),"]"," "),"'"," "),"#"," "),"+"," "),"&amp;"," "),"\"," "))&amp;" "</f>
        <v>  </v>
      </c>
      <c r="BD362" s="61" t="str">
        <f aca="false">" "&amp;TRIM(SUBSTITUTE(SUBSTITUTE(SUBSTITUTE(SUBSTITUTE(SUBSTITUTE(SUBSTITUTE(SUBSTITUTE(SUBSTITUTE(SUBSTITUTE(SUBSTITUTE(SUBSTITUTE(SUBSTITUTE(SUBSTITUTE(SUBSTITUTE(SUBSTITUTE(SUBSTITUTE(SUBSTITUTE(SUBSTITUTE(SUBSTITUTE(SUBSTITUTE(SUBSTITUTE(SUBSTITUTE(SUBSTITUTE(SUBSTITUTE(LOWER(Z362&amp;""),CHAR(10)," "),CHAR(13)," "),CHAR(9)," "),CHAR(160)," "),"."," "),","," "),"-"," "),"/"," "),"("," "),")"," "),":"," "),";"," "),"_"," "),"–"," "),"?"," "),"!"," "),"*"," "),"["," "),"]"," "),"'"," "),"#"," "),"+"," "),"&amp;"," "),"\"," "))&amp;" "</f>
        <v>  </v>
      </c>
      <c r="BE362" s="61" t="str">
        <f aca="false">" "&amp;TRIM(SUBSTITUTE(SUBSTITUTE(SUBSTITUTE(SUBSTITUTE(SUBSTITUTE(SUBSTITUTE(SUBSTITUTE(SUBSTITUTE(SUBSTITUTE(SUBSTITUTE(SUBSTITUTE(SUBSTITUTE(SUBSTITUTE(SUBSTITUTE(SUBSTITUTE(SUBSTITUTE(SUBSTITUTE(SUBSTITUTE(SUBSTITUTE(SUBSTITUTE(SUBSTITUTE(SUBSTITUTE(SUBSTITUTE(SUBSTITUTE(LOWER(W362&amp;""),CHAR(10)," "),CHAR(13)," "),CHAR(9)," "),CHAR(160)," "),"."," "),","," "),"-"," "),"/"," "),"("," "),")"," "),":"," "),";"," "),"_"," "),"–"," "),"?"," "),"!"," "),"*"," "),"["," "),"]"," "),"'"," "),"#"," "),"+"," "),"&amp;"," "),"\"," "))&amp;" "</f>
        <v>  </v>
      </c>
      <c r="BF362" s="61" t="str">
        <f aca="false">" "&amp;TRIM(SUBSTITUTE(SUBSTITUTE(SUBSTITUTE(SUBSTITUTE(SUBSTITUTE(SUBSTITUTE(SUBSTITUTE(SUBSTITUTE(SUBSTITUTE(SUBSTITUTE(SUBSTITUTE(SUBSTITUTE(SUBSTITUTE(SUBSTITUTE(SUBSTITUTE(SUBSTITUTE(SUBSTITUTE(SUBSTITUTE(SUBSTITUTE(SUBSTITUTE(SUBSTITUTE(SUBSTITUTE(SUBSTITUTE(SUBSTITUTE(LOWER(AC362&amp;""),CHAR(10)," "),CHAR(13)," "),CHAR(9)," "),CHAR(160)," "),"."," "),","," "),"-"," "),"/"," "),"("," "),")"," "),":"," "),";"," "),"_"," "),"–"," "),"?"," "),"!"," "),"*"," "),"["," "),"]"," "),"'"," "),"#"," "),"+"," "),"&amp;"," "),"\"," "))&amp;" "</f>
        <v>  </v>
      </c>
      <c r="BG362" s="61" t="n">
        <f aca="false">IFERROR(IF(AND(TRIM(U362)="Pass",SUMPRODUCT((LEN(BC362)-LEN(SUBSTITUTE(BC362," "&amp;L_ResultBad&amp;" "," ")))/(LEN(L_ResultBad)+1))&gt;SUMPRODUCT((LEN(BC362)-LEN(SUBSTITUTE(BC362," "&amp;L_NegPhrase&amp;" "," ")))/(LEN(L_NegPhrase)+1))),1,0),0)</f>
        <v>0</v>
      </c>
      <c r="BH362" s="61" t="n">
        <f aca="false">IFERROR(IF(SUMPRODUCT((LEN(BC362)-LEN(SUBSTITUTE(BC362," "&amp;L_Pending&amp;" "," ")))/(LEN(L_Pending)+1))&gt;SUMPRODUCT((LEN(BC362)-LEN(SUBSTITUTE(BC362," "&amp;L_PendNeg&amp;" "," ")))/(LEN(L_PendNeg)+1))+SUMPRODUCT((LEN(BC362)-LEN(SUBSTITUTE(BC362," "&amp;L_PendPrep&amp;" "," ")))/(LEN(L_PendPrep)+1)),1,0),1)</f>
        <v>0</v>
      </c>
      <c r="BI362" s="61" t="n">
        <f aca="false">IFERROR(IF(SUMPRODUCT((LEN(BD362)-LEN(SUBSTITUTE(BD362," "&amp;L_PendStrict&amp;" "," ")))/(LEN(L_PendStrict)+1))&gt;SUMPRODUCT((LEN(BD362)-LEN(SUBSTITUTE(BD362," "&amp;L_PendNeg&amp;" "," ")))/(LEN(L_PendNeg)+1)),1,0),1)</f>
        <v>0</v>
      </c>
      <c r="BJ362" s="61" t="n">
        <f aca="false">IFERROR(IF(SUMPRODUCT((LEN(BE362)-LEN(SUBSTITUTE(BE362," "&amp;L_Pending&amp;" "," ")))/(LEN(L_Pending)+1))&gt;SUMPRODUCT((LEN(BE362)-LEN(SUBSTITUTE(BE362," "&amp;L_PendNeg&amp;" "," ")))/(LEN(L_PendNeg)+1))+SUMPRODUCT((LEN(BE362)-LEN(SUBSTITUTE(BE362," "&amp;L_PendPrep&amp;" "," ")))/(LEN(L_PendPrep)+1)),1,0),1)</f>
        <v>0</v>
      </c>
      <c r="BK362" s="61" t="n">
        <f aca="false">IFERROR(IF(SUMPRODUCT((LEN(BF362)-LEN(SUBSTITUTE(BF362," "&amp;L_PendStrict&amp;" "," ")))/(LEN(L_PendStrict)+1))&gt;SUMPRODUCT((LEN(BF362)-LEN(SUBSTITUTE(BF362," "&amp;L_PendNeg&amp;" "," ")))/(LEN(L_PendNeg)+1)),1,0),1)</f>
        <v>0</v>
      </c>
      <c r="BL362" s="61" t="n">
        <f aca="false">IF(ISNA(MATCH(TRIM(S362),L_EvidenceType,0)),0,BZ362)</f>
        <v>0</v>
      </c>
      <c r="BM362" s="61" t="str">
        <f aca="false">SUBSTITUTE(SUBSTITUTE(SUBSTITUTE(SUBSTITUTE(SUBSTITUTE(SUBSTITUTE(SUBSTITUTE(SUBSTITUTE(SUBSTITUTE(LOWER(Z362&amp;""),"1","0"),"2","0"),"3","0"),"4","0"),"5","0"),"6","0"),"7","0"),"8","0"),"9","0")</f>
        <v/>
      </c>
      <c r="BN362" s="61" t="str">
        <f aca="false">SUBSTITUTE(SUBSTITUTE(SUBSTITUTE(SUBSTITUTE(SUBSTITUTE(SUBSTITUTE(SUBSTITUTE(SUBSTITUTE(SUBSTITUTE(SUBSTITUTE(SUBSTITUTE(SUBSTITUTE(SUBSTITUTE(SUBSTITUTE(SUBSTITUTE(SUBSTITUTE(SUBSTITUTE(SUBSTITUTE(SUBSTITUTE(SUBSTITUTE(SUBSTITUTE(SUBSTITUTE(SUBSTITUTE(SUBSTITUTE(SUBSTITUTE(BM362,"b","a"),"c","a"),"d","a"),"e","a"),"f","a"),"g","a"),"h","a"),"i","a"),"j","a"),"k","a"),"l","a"),"m","a"),"n","a"),"o","a"),"p","a"),"q","a"),"r","a"),"s","a"),"t","a"),"u","a"),"v","a"),"w","a"),"x","a"),"y","a"),"z","a")</f>
        <v/>
      </c>
      <c r="BO362" s="61" t="str">
        <f aca="false">SUBSTITUTE(SUBSTITUTE(SUBSTITUTE(SUBSTITUTE(SUBSTITUTE(SUBSTITUTE(SUBSTITUTE(SUBSTITUTE(SUBSTITUTE(LOWER(W362&amp;""),"1","0"),"2","0"),"3","0"),"4","0"),"5","0"),"6","0"),"7","0"),"8","0"),"9","0")</f>
        <v/>
      </c>
      <c r="BP362" s="61" t="str">
        <f aca="false">SUBSTITUTE(SUBSTITUTE(SUBSTITUTE(SUBSTITUTE(SUBSTITUTE(SUBSTITUTE(SUBSTITUTE(SUBSTITUTE(SUBSTITUTE(SUBSTITUTE(SUBSTITUTE(SUBSTITUTE(SUBSTITUTE(SUBSTITUTE(SUBSTITUTE(SUBSTITUTE(SUBSTITUTE(SUBSTITUTE(SUBSTITUTE(SUBSTITUTE(SUBSTITUTE(SUBSTITUTE(SUBSTITUTE(SUBSTITUTE(SUBSTITUTE(BO362,"b","a"),"c","a"),"d","a"),"e","a"),"f","a"),"g","a"),"h","a"),"i","a"),"j","a"),"k","a"),"l","a"),"m","a"),"n","a"),"o","a"),"p","a"),"q","a"),"r","a"),"s","a"),"t","a"),"u","a"),"v","a"),"w","a"),"x","a"),"y","a"),"z","a")</f>
        <v/>
      </c>
      <c r="BQ362" s="61" t="n">
        <f aca="false">IFERROR(IF(AND(ISERROR(SEARCH(" mh"," "&amp;LOWER(W362))),ISNA(MATCH(LEFT(TRIM(BP362),255),{"0000a","000a","00a","0000aa","000aa","00aa","0aa","0000aaa","000aaa","00a00","0a00","0000-0000","00:00","a00","a0","00.00.0000","00/00/0000","00-00-0000","0000-00-00","0000/00/00","0000.00.00","00.00.00","00/00/00","00-00-00","0.00.0000","0/00/0000","0-00-0000"},0)),ISNA(MATCH(LEFT(TRIM(CA362),255),{"0000a","000a","00a","0000aa","000aa","00aa","0aa","0000aaa","000aaa","00a00","0a00","0000-0000","00:00","a00","a0","00.00.0000","00/00/0000","00-00-0000","0000-00-00","0000/00/00","0000.00.00","00.00.00","00/00/00","00-00-00","0.00.0000","0/00/0000","0-00-0000"},0)),LEN(CB362)&gt;=3,NOT(OR(SUBSTITUTE(CB362,"0","")="",AND(LEN(CB362)&gt;=4,CB362=REPT(LEFT(CB362),LEN(CB362))),ISNUMBER(MATCH(CB362,{"123","1234","12345","123456","1234567","12345678","0123","01234","012345","98765","987654","54321"},0)),AND(LEN(CB362)=8,LEFT(CB362,3)="202"))),OR(AND((LEN(CA362)-LEN(SUBSTITUTE(CA362,"a","")))&gt;=1,SUMPRODUCT(--ISNUMBER(SEARCH({"a0","a-0","a_0","a/0","a.0","a#0","0a","0-a","0_a","0/a"},BP362)))&gt;0),ISNUMBER(SEARCH("000000",BP362)))),1,0),0)</f>
        <v>0</v>
      </c>
      <c r="BR362" s="61" t="n">
        <f aca="false">IFERROR(LEN(SUBSTITUTE(CC362," ",""))-SUMPRODUCT((LEN(CC362)-LEN(SUBSTITUTE(CC362," "&amp;L_Role&amp;" "," ")))/(LEN(L_Role)+1)*LEN(L_Role)),0)</f>
        <v>0</v>
      </c>
      <c r="BS362" s="61" t="n">
        <f aca="false">IFERROR(LEN(SUBSTITUTE(CD362," ",""))-SUMPRODUCT((LEN(CD362)-LEN(SUBSTITUTE(CD362," "&amp;L_Role&amp;" "," ")))/(LEN(L_Role)+1)*LEN(L_Role)),0)</f>
        <v>0</v>
      </c>
      <c r="BT3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362,"revision",""),"version",""),"jan",""),"feb",""),"mar",""),"apr",""),"may",""),"jun",""),"jul",""),"aug",""),"sep",""),"oct",""),"nov",""),"dec",""),"utc",""),"gmt",""),"myt",""),"bst",""),"rev",""),"ver",""),"b","a"),"c","a"),"d","a"),"e","a"),"f","a"),"g","a"),"h","a"),"i","a"),"j","a"),"k","a"),"l","a"),"m","a"),"n","a"),"o","a"),"p","a"),"q","a"),"r","a"),"s","a"),"t","a"),"u","a"),"v","a"),"w","a"),"x","a"),"y","a"),"z","a")</f>
        <v/>
      </c>
      <c r="BU362" s="61" t="str">
        <f aca="false">SUBSTITUTE(SUBSTITUTE(SUBSTITUTE(SUBSTITUTE(SUBSTITUTE(SUBSTITUTE(SUBSTITUTE(SUBSTITUTE(SUBSTITUTE(SUBSTITUTE(LEFT(BM362,FIND("0",BM362&amp;"0")-1),"-",""),"_",""),"/",""),".",""),"#",""),"\\",""),":","")," ",""),"(",""),")","")</f>
        <v/>
      </c>
      <c r="BV362" s="61" t="n">
        <f aca="false">0</f>
        <v>0</v>
      </c>
      <c r="BW3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362&amp;""),"a",""),"b",""),"c",""),"d",""),"e",""),"f",""),"g",""),"h",""),"i",""),"j",""),"k",""),"l",""),"m",""),"n",""),"o",""),"p",""),"q",""),"r",""),"s",""),"t",""),"u",""),"v",""),"w",""),"x",""),"y",""),"z",""),"-",""),"_",""),"/",""),".",""),"#",""),"\\",""),":","")," ",""),"(",""),")","")</f>
        <v/>
      </c>
      <c r="BX362" s="61" t="str">
        <f aca="false">SUBSTITUTE(SUBSTITUTE(SUBSTITUTE(SUBSTITUTE(SUBSTITUTE(SUBSTITUTE(SUBSTITUTE(SUBSTITUTE(SUBSTITUTE(SUBSTITUTE(SUBSTITUTE(BM362,"0",""),"-",""),"_",""),"/",""),".",""),"#",""),"\\",""),":","")," ",""),"(",""),")","")</f>
        <v/>
      </c>
      <c r="BY362" s="62" t="n">
        <f aca="false">Q362-T7EarlyD*24/24</f>
        <v>46286.3263888889</v>
      </c>
      <c r="BZ362" s="61" t="n">
        <f aca="false">IFERROR(IF(IF(TRIM(S362)="Link / file path",AND(LEN(TRIM(Z362))&gt;=5,SUMPRODUCT(--ISNUMBER(SEARCH({"http","www.","\\",":\",".pdf",".jpg",".jpeg",".png",".heic",".xls",".doc",".msg",".eml",".ppt",".txt",".zip"},Z362)))&gt;0),AND(ISERROR(FIND(" ",TRIM(Z362))),NOT(OR(SUMPRODUCT(--ISNUMBER(FIND({",",";","&amp;","+"},Z362)))&gt;0,SUMPRODUCT(--ISNUMBER(SEARCH({"0/aa","0\\aa"},BN362)))&gt;0)),NOT(SUMPRODUCT(--ISNUMBER(SEARCH({"http","www.","\\",":\",".pdf",".jpg",".jpeg",".png",".heic",".xls",".doc",".msg",".eml",".ppt",".txt",".zip"},Z362)))&gt;0),NOT(LOWER(TRIM(Z362))=LOWER(Flights!$F$15)),ISNA(MATCH(BU362,{"mh","rev","revision","ver","version","v","r","a","b","seat","tray","row","gate","bay","stand","page","pg","item","line","no","cart","galley","flight","flt","table","box","bag","oven","etd","eta","std","sta","atd","ata","qty","pax","x","time","tel","ph","mob","day","wk","week","utc","gmt","myt","lt"},0)),NOT(OR(ISNUMBER(MATCH(LEFT(BN362,255),{"0000a","000a","00a","0000aa","000aa","00aa","0aa","0000aaa","000aaa","00a00","0a00","0000-0000","00:00","a00","a0","00.00.0000","00/00/0000","00-00-0000","0000-00-00","0000/00/00","0000.00.00","00.00.00","00/00/00","00-00-00","0.00.0000","0/00/0000","0-00-0000"},0)),ISNUMBER(MATCH(LEFT(BT362,255),{"0000a","000a","00a","0000aa","000aa","00aa","0aa","0000aaa","000aaa","00a00","0a00","0000-0000","00:00","a00","a0","00.00.0000","00/00/0000","00-00-0000","0000-00-00","0000/00/00","0000.00.00","00.00.00","00/00/00","00-00-00","0.00.0000","0/00/0000","0-00-0000"},0)))),NOT(OR(AND(BW362&lt;&gt;"",SUBSTITUTE(BW362,"0","")=""),AND(LEN(BW362)&gt;=4,BW362=REPT(LEFT(BW362),LEN(BW362))),ISNUMBER(MATCH(BW362,{"123","1234","12345","123456","1234567","12345678","0123","01234","012345","98765","987654","54321"},0)),ISNUMBER(MATCH(BX362,{"x","xx","xxx","xxxx","xxxxx","abc","abcd","nil","na","nan","test","tbc","tba","tbd","dummy","sample","example","eg","zz","zzz","none","null","xyz","qwe","asd","id","ref"},0)),AND(LEN(BW362)=8,BX362="",OR(LEFT(BW362,3)="202",ISNUMBER(MATCH(RIGHT(BW362,4),{"2025","2026","2027"},0)))))),OR(AND((LEN(BT362)-LEN(SUBSTITUTE(BT362,"a","")))&gt;=1,(LEN(BN362)-LEN(SUBSTITUTE(BN362,"0","")))&gt;=2,SUMPRODUCT(--ISNUMBER(SEARCH({"a0","a-0","a_0","a/0","a.0","a#0","0a","0-a","0_a","0/a"},BN362)))&gt;0),AND((LEN(BN362)-LEN(SUBSTITUTE(BN362,"a","")))=0,(LEN(BN362)-LEN(SUBSTITUTE(BN362,"0","")))&gt;=5)))),1,0),0)</f>
        <v>0</v>
      </c>
      <c r="CA3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362,"revision",""),"version",""),"jan",""),"feb",""),"mar",""),"apr",""),"may",""),"jun",""),"jul",""),"aug",""),"sep",""),"oct",""),"nov",""),"dec",""),"utc",""),"gmt",""),"myt",""),"bst",""),"rev",""),"ver",""),"b","a"),"c","a"),"d","a"),"e","a"),"f","a"),"g","a"),"h","a"),"i","a"),"j","a"),"k","a"),"l","a"),"m","a"),"n","a"),"o","a"),"p","a"),"q","a"),"r","a"),"s","a"),"t","a"),"u","a"),"v","a"),"w","a"),"x","a"),"y","a"),"z","a")</f>
        <v/>
      </c>
      <c r="CB3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362&amp;""),"a",""),"b",""),"c",""),"d",""),"e",""),"f",""),"g",""),"h",""),"i",""),"j",""),"k",""),"l",""),"m",""),"n",""),"o",""),"p",""),"q",""),"r",""),"s",""),"t",""),"u",""),"v",""),"w",""),"x",""),"y",""),"z",""),"-",""),"_",""),"/",""),".",""),"#",""),"\\",""),":","")," ",""),"(",""),")","")</f>
        <v/>
      </c>
      <c r="CC362" s="0" t="str">
        <f aca="false">" "&amp;TRIM(SUBSTITUTE(SUBSTITUTE(SUBSTITUTE(SUBSTITUTE(SUBSTITUTE(SUBSTITUTE(SUBSTITUTE(SUBSTITUTE(SUBSTITUTE(SUBSTITUTE(SUBSTITUTE(SUBSTITUTE(SUBSTITUTE(SUBSTITUTE(SUBSTITUTE(SUBSTITUTE(SUBSTITUTE(SUBSTITUTE(SUBSTITUTE(SUBSTITUTE(SUBSTITUTE(SUBSTITUTE(SUBSTITUTE(SUBSTITUTE(LOWER(T362&amp;""),CHAR(10)," "),CHAR(13)," "),CHAR(9)," "),CHAR(160)," "),"."," "),","," "),"-"," "),"/"," "),"("," "),")"," "),":"," "),";"," "),"_"," "),"–"," "),"?"," "),"!"," "),"*"," "),"["," "),"]"," "),"'"," "),"#"," "),"+"," "),"&amp;"," "),"\"," "))&amp;" "</f>
        <v>  </v>
      </c>
      <c r="CD362" s="0" t="str">
        <f aca="false">" "&amp;TRIM(SUBSTITUTE(SUBSTITUTE(SUBSTITUTE(SUBSTITUTE(SUBSTITUTE(SUBSTITUTE(SUBSTITUTE(SUBSTITUTE(SUBSTITUTE(SUBSTITUTE(SUBSTITUTE(SUBSTITUTE(SUBSTITUTE(SUBSTITUTE(SUBSTITUTE(SUBSTITUTE(SUBSTITUTE(SUBSTITUTE(SUBSTITUTE(SUBSTITUTE(SUBSTITUTE(SUBSTITUTE(SUBSTITUTE(SUBSTITUTE(LOWER(AE362&amp;""),CHAR(10)," "),CHAR(13)," "),CHAR(9)," "),CHAR(160)," "),"."," "),","," "),"-"," "),"/"," "),"("," "),")"," "),":"," "),";"," "),"_"," "),"–"," "),"?"," "),"!"," "),"*"," "),"["," "),"]"," "),"'"," "),"#"," "),"+"," "),"&amp;"," "),"\"," "))&amp;" "</f>
        <v>  </v>
      </c>
      <c r="CE362" s="68" t="n">
        <f aca="false">IFERROR(IF(AND(LEN(AU362)&gt;0,LEN(AU362)=LEN(AX362),OR(TRIM(MID(SUBSTITUTE(TRIM(CC362)," ",REPT(" ",60)),1,60))="",ISNUMBER(SEARCH(" "&amp;TRIM(MID(SUBSTITUTE(TRIM(CC362)," ",REPT(" ",60)),1,60))&amp;" ",CD362))),OR(TRIM(MID(SUBSTITUTE(TRIM(CC362)," ",REPT(" ",60)),61,60))="",ISNUMBER(SEARCH(" "&amp;TRIM(MID(SUBSTITUTE(TRIM(CC362)," ",REPT(" ",60)),61,60))&amp;" ",CD362))),OR(TRIM(MID(SUBSTITUTE(TRIM(CC362)," ",REPT(" ",60)),121,60))="",ISNUMBER(SEARCH(" "&amp;TRIM(MID(SUBSTITUTE(TRIM(CC362)," ",REPT(" ",60)),121,60))&amp;" ",CD362)))),1,0),0)</f>
        <v>0</v>
      </c>
      <c r="CG362" s="68" t="n">
        <f aca="false">IFERROR(LEN(SUBSTITUTE(BF362," ",""))-SUMPRODUCT((LEN(BF362)-LEN(SUBSTITUTE(BF362," "&amp;L_NAFiller&amp;" "," ")))/(LEN(L_NAFiller)+1)*LEN(L_NAFiller)),0)</f>
        <v>0</v>
      </c>
    </row>
    <row r="363" customFormat="false" ht="39.75" hidden="false" customHeight="true" outlineLevel="0" collapsed="false">
      <c r="A363" s="57" t="s">
        <v>964</v>
      </c>
      <c r="B363" s="57" t="s">
        <v>258</v>
      </c>
      <c r="C363" s="57" t="str">
        <f aca="false">Flights!$F$15</f>
        <v>MH1149</v>
      </c>
      <c r="D363" s="58" t="n">
        <f aca="false">Flights!$D$15</f>
        <v>46307</v>
      </c>
      <c r="E363" s="57" t="str">
        <f aca="false">Flights!$G$15&amp;"-"&amp;Flights!$H$15</f>
        <v>PEN-KUL</v>
      </c>
      <c r="F363" s="57" t="str">
        <f aca="false">Flights!$K$15</f>
        <v>EY</v>
      </c>
      <c r="G363" s="57" t="s">
        <v>81</v>
      </c>
      <c r="H363" s="57" t="s">
        <v>378</v>
      </c>
      <c r="I363" s="57" t="s">
        <v>405</v>
      </c>
      <c r="J363" s="57" t="s">
        <v>406</v>
      </c>
      <c r="K363" s="67" t="s">
        <v>407</v>
      </c>
      <c r="L363" s="67" t="s">
        <v>382</v>
      </c>
      <c r="M363" s="67"/>
      <c r="N363" s="67" t="s">
        <v>383</v>
      </c>
      <c r="O363" s="67"/>
      <c r="P363" s="57" t="s">
        <v>187</v>
      </c>
      <c r="Q363" s="59" t="n">
        <f aca="false">ROUND((Flights!$AC$15)*1440,0)/1440</f>
        <v>46300.3263888889</v>
      </c>
      <c r="R363" s="59" t="n">
        <f aca="false">Q363+(IF(AND(INDEX(TZ_DSTS,MATCH(P363,TZ_STN,0))&lt;&gt;"",Q363&gt;=INDEX(TZ_DSTS,MATCH(P363,TZ_STN,0)),Q363&lt;INDEX(TZ_DSTE,MATCH(P363,TZ_STN,0))),INDEX(TZ_DST,MATCH(P363,TZ_STN,0)),INDEX(TZ_STD,MATCH(P363,TZ_STN,0))))/24</f>
        <v>46300.6597222222</v>
      </c>
      <c r="S363" s="60"/>
      <c r="T363" s="60"/>
      <c r="U363" s="60"/>
      <c r="V363" s="60"/>
      <c r="W363" s="61"/>
      <c r="X363" s="60"/>
      <c r="Y363" s="60"/>
      <c r="Z363" s="60"/>
      <c r="AA363" s="60"/>
      <c r="AB363" s="60"/>
      <c r="AC363" s="60"/>
      <c r="AD363" s="66"/>
      <c r="AE363" s="60"/>
      <c r="AF363" s="61" t="str">
        <f aca="false">IF(AND(ISNUMBER(X363),ISNUMBER(Y363)),Y363-X363,"")</f>
        <v/>
      </c>
      <c r="AG363" s="62" t="str">
        <f aca="false">IF(ISNUMBER(AD363),AD363-(IF(AND(INDEX(TZ_DSTS,MATCH(P363,TZ_STN,0))&lt;&gt;"",(AD363-INDEX(TZ_STD,MATCH(P363,TZ_STN,0))/24)&gt;=INDEX(TZ_DSTS,MATCH(P363,TZ_STN,0)),(AD363-INDEX(TZ_STD,MATCH(P363,TZ_STN,0))/24)&lt;INDEX(TZ_DSTE,MATCH(P363,TZ_STN,0))),INDEX(TZ_DST,MATCH(P363,TZ_STN,0)),INDEX(TZ_STD,MATCH(P363,TZ_STN,0))))/24,"")</f>
        <v/>
      </c>
      <c r="AH363" s="65" t="str">
        <f aca="false">IFERROR(IF(N363="N/A – rule",IF(OR(TRIM(U363)="",TRIM(U363)="N/A",TRIM(U363)="Not started"),"N/A – RULE","INVALID – this check does not apply to this aircraft: clear the status (or correct the fleet on Flights)"),IF(TRIM(U363)="N/A",IF(AT363=0,"INVALID – N/A not permitted for this check",IF(AND(TRIM(AB363)&lt;&gt;"",TRIM(AB363)&lt;&gt;"Closed"),"INVALID – corrective action still open",IF(AND(NOT(OR(LEN(AZ363)&lt;15,ISNUMBER(MATCH(AZ363,L_Placeholder,0)))),BK363=0,CG363&gt;=8,NOT(OR(LEN(AU363)&lt;2,ISNUMBER(MATCH(AU363,L_Placeholder,0)))),BR363&gt;=3,NOT(OR(LEN(AX363)&lt;2,ISNUMBER(MATCH(AX363,L_Placeholder,0)))),BS363&gt;=3,TRIM(AE363)&lt;&gt;TRIM(T363),AX363&lt;&gt;AU363,CE363=0),"N/A – JUSTIFIED","INVALID – N/A needs a real, settled reason (not 'not applicable' / 'as above' / TBC), a named PIC and a different named verifier"))),IF(OR(TRIM(U363)="Pass",TRIM(U363)="Pass after CA"),IF(NOT(ISNUMBER(AD363)),"INVALID – completion time missing",IF(OR(OR(LEN(AU363)&lt;2,ISNUMBER(MATCH(AU363,L_Placeholder,0))),BR363&lt;3),"INVALID – PIC missing or not a named person (a role such as QA / CSM is not a name)",IF(OR(LEN(AV363)&lt;2,ISNUMBER(MATCH(AV363,L_Placeholder,0))),"INVALID – result / assessment missing",IF(OR(OR(LEN(AW363)&lt;3,ISNUMBER(MATCH(AW363,L_Placeholder,0))),SUMPRODUCT(--ISNUMBER(SEARCH(" "&amp;L_EvidencePhrase&amp;" ",BD363)))&gt;0,BI363=1),"INVALID – evidence missing, placeholder or not yet on file",IF(ISNA(MATCH(TRIM(S363),L_EvidenceType,0)),"INVALID – choose the evidence type from the list (column S)",IF(BL363=0,"INVALID – evidence ID must be the record's own ID only (e.g. SF-2210, IMG_2231, 1045521); a link / file name needs type 'Link / file path'",IF(OR(OR(LEN(AX363)&lt;2,ISNUMBER(MATCH(AX363,L_Placeholder,0))),BS363&lt;3),"INVALID – verifier missing or not a named person (a role such as QA / CSM is not a name)",IF(OR(AX363=AU363,CE363=1,AND(LEN(AU363)&gt;=4,ISNUMBER(SEARCH(AU363,AX363))),AND(LEN(AX363)&gt;=4,ISNUMBER(SEARCH(AX363,AU363)))),"INVALID – verifier must be a different, named person (not the PIC or a role)",IF(BH363=1,"INVALID – result not yet available (awaiting / TBC)",IF(BG363=1,"INVALID – result describes a problem: record Fail, then Pass after CA (or reword if it is not a problem)",IF(BV363=1,"INVALID – wording says not on board: an on-board confirmation needs the item loaded",IF(AND(AQ363=1,OR(OR(LEN(AY363)&lt;3,ISNUMBER(MATCH(AY363,L_Placeholder,0))),BJ363=1,BQ363=0)),"INVALID – batch ID missing, placeholder or not an ID (e.g. PASB-261008-BC-017)",IF(AND(AR363=1,OR(NOT(ISNUMBER(X363)),NOT(ISNUMBER(Y363)))),"INVALID – expected/actual qty missing",IF(AND(AR363=1,OR(X363&lt;=0,Y363&lt;0)),"INVALID – expected qty must be above 0 and actual not negative",IF(BB363&lt;&gt;"",BB363,IF(AND(AS363=1,Documents!$J$15&lt;&gt;"ON FILE"),"INVALID – GLD not on file (Documents sheet)",IF(AND(AS363=2,Documents!$O$15&lt;&gt;"ON FILE"),"INVALID – menu checklist not on file (Documents sheet)",IF(AND(AS363=3,NOT(ISNUMBER(Flights!$AX$15))),"INVALID – enter carrying flight KUL departure (Flights AX)",IF(AND(AS363=3,OR(Flights!$AZ$15&gt;Flights!$AA$15,Flights!$AX$15&lt;Flights!$AA$15-3)),"INVALID – carrying flight (Flights AX) cannot arrive before this leg's STD, or is over 3 days early",IF(AG363&gt;AsOfUTC,"INVALID – completion time is in the future",IF(AND(ISNUMBER(BY363),AG363&lt;BY363),IF(H363="Physical uplift","INVALID – before uplift window (cannot confirm loading)","INVALID – before valid window"),IF(AG363&gt;Flights!$AA$15,"INVALID – completed after departure (cannot establish readiness)",IF(AND(H363="Preparation",AG363&gt;=IF(ISNUMBER(Flights!$BA$15),MIN(Flights!$BA$15,Flights!$AA$15),Flights!$AA$15)),"INVALID – completed after loading / departure (cannot establish readiness)",IF(AND(H363="Physical uplift",AG363&gt;Q363),"INVALID – recorded after the loading flight departed",IF(AG363&gt;Q363,"COMPLETE – LATE","COMPLETE"))))))))))))))))))))))))),IF(TRIM(U363)="Fail","FAIL – DISCREPANCY",IF(AND(TRIM(U363)&lt;&gt;"",TRIM(U363)&lt;&gt;"Not started",TRIM(U363)&lt;&gt;"In progress"),"INVALID – unrecognised status (use the list)",IF(AsOfUTC&gt;Q363,"OVERDUE",IF(N363="Clarification required","OPEN – CLARIFICATION","OPEN"))))))),"INVALID – error value in an input cell")</f>
        <v>OPEN</v>
      </c>
      <c r="AI363" s="61" t="n">
        <f aca="false">IF(OR(AH363="N/A – RULE",AH363="N/A – JUSTIFIED"),0,1)</f>
        <v>1</v>
      </c>
      <c r="AJ363" s="61" t="n">
        <f aca="false">IF(LEFT(AH363,8)="COMPLETE",1,0)</f>
        <v>0</v>
      </c>
      <c r="AK363" s="61" t="n">
        <f aca="false">IF(AND(AI363=1,AJ363=0,AsOfUTC&gt;Q363),1,0)</f>
        <v>0</v>
      </c>
      <c r="AL363" s="61" t="n">
        <f aca="false">IFERROR(IF(AND(AI363=1,OR(TRIM(U363)="Fail",AND(TRIM(AB363)&lt;&gt;"",TRIM(AB363)&lt;&gt;"Closed"),AND(ISNUMBER(AF363),AF363&lt;&gt;0,TRIM(U363)&lt;&gt;"Pass after CA"))),1,0),1)</f>
        <v>0</v>
      </c>
      <c r="AM363" s="61" t="n">
        <f aca="false">IF(LEFT(AH363,7)="INVALID",1,0)</f>
        <v>0</v>
      </c>
      <c r="AN363" s="61" t="n">
        <f aca="false">IF(AND(N363="Clarification required",AI363=1,AJ363=0),1,0)</f>
        <v>0</v>
      </c>
      <c r="AO363" s="61" t="str">
        <f aca="false">IF(AK363=1,SUM(AK$5:AK363),"")</f>
        <v/>
      </c>
      <c r="AP363" s="61" t="str">
        <f aca="false">IF(AL363=1,SUM(AL$5:AL363),"")</f>
        <v/>
      </c>
      <c r="AQ363" s="61" t="n">
        <v>0</v>
      </c>
      <c r="AR363" s="61" t="n">
        <v>0</v>
      </c>
      <c r="AS363" s="61" t="n">
        <v>1</v>
      </c>
      <c r="AT363" s="61" t="n">
        <v>0</v>
      </c>
      <c r="AU363" s="61" t="str">
        <f aca="false">SUBSTITUTE(SUBSTITUTE(SUBSTITUTE(SUBSTITUTE(SUBSTITUTE(SUBSTITUTE(SUBSTITUTE(SUBSTITUTE(SUBSTITUTE(SUBSTITUTE(SUBSTITUTE(SUBSTITUTE(SUBSTITUTE(SUBSTITUTE(SUBSTITUTE(SUBSTITUTE(LOWER(T363&amp;""),CHAR(10),""),CHAR(13),""),CHAR(9),""),CHAR(160),"")," ",""),".",""),"-",""),"/",""),"?",""),"_",""),",",""),"[",""),"]",""),"(",""),")",""),"*","")</f>
        <v/>
      </c>
      <c r="AV363" s="61" t="str">
        <f aca="false">SUBSTITUTE(SUBSTITUTE(SUBSTITUTE(SUBSTITUTE(SUBSTITUTE(SUBSTITUTE(SUBSTITUTE(SUBSTITUTE(SUBSTITUTE(SUBSTITUTE(SUBSTITUTE(SUBSTITUTE(SUBSTITUTE(SUBSTITUTE(SUBSTITUTE(SUBSTITUTE(LOWER(V363&amp;""),CHAR(10),""),CHAR(13),""),CHAR(9),""),CHAR(160),"")," ",""),".",""),"-",""),"/",""),"?",""),"_",""),",",""),"[",""),"]",""),"(",""),")",""),"*","")</f>
        <v/>
      </c>
      <c r="AW363" s="61" t="str">
        <f aca="false">SUBSTITUTE(SUBSTITUTE(SUBSTITUTE(SUBSTITUTE(SUBSTITUTE(SUBSTITUTE(SUBSTITUTE(SUBSTITUTE(SUBSTITUTE(SUBSTITUTE(SUBSTITUTE(SUBSTITUTE(SUBSTITUTE(SUBSTITUTE(SUBSTITUTE(SUBSTITUTE(LOWER(Z363&amp;""),CHAR(10),""),CHAR(13),""),CHAR(9),""),CHAR(160),"")," ",""),".",""),"-",""),"/",""),"?",""),"_",""),",",""),"[",""),"]",""),"(",""),")",""),"*","")</f>
        <v/>
      </c>
      <c r="AX363" s="61" t="str">
        <f aca="false">SUBSTITUTE(SUBSTITUTE(SUBSTITUTE(SUBSTITUTE(SUBSTITUTE(SUBSTITUTE(SUBSTITUTE(SUBSTITUTE(SUBSTITUTE(SUBSTITUTE(SUBSTITUTE(SUBSTITUTE(SUBSTITUTE(SUBSTITUTE(SUBSTITUTE(SUBSTITUTE(LOWER(AE363&amp;""),CHAR(10),""),CHAR(13),""),CHAR(9),""),CHAR(160),"")," ",""),".",""),"-",""),"/",""),"?",""),"_",""),",",""),"[",""),"]",""),"(",""),")",""),"*","")</f>
        <v/>
      </c>
      <c r="AY363" s="61" t="str">
        <f aca="false">SUBSTITUTE(SUBSTITUTE(SUBSTITUTE(SUBSTITUTE(SUBSTITUTE(SUBSTITUTE(SUBSTITUTE(SUBSTITUTE(SUBSTITUTE(SUBSTITUTE(SUBSTITUTE(SUBSTITUTE(SUBSTITUTE(SUBSTITUTE(SUBSTITUTE(SUBSTITUTE(LOWER(W363&amp;""),CHAR(10),""),CHAR(13),""),CHAR(9),""),CHAR(160),"")," ",""),".",""),"-",""),"/",""),"?",""),"_",""),",",""),"[",""),"]",""),"(",""),")",""),"*","")</f>
        <v/>
      </c>
      <c r="AZ363" s="61" t="str">
        <f aca="false">SUBSTITUTE(SUBSTITUTE(SUBSTITUTE(SUBSTITUTE(SUBSTITUTE(SUBSTITUTE(SUBSTITUTE(SUBSTITUTE(SUBSTITUTE(SUBSTITUTE(SUBSTITUTE(SUBSTITUTE(SUBSTITUTE(SUBSTITUTE(SUBSTITUTE(SUBSTITUTE(LOWER(AC363&amp;""),CHAR(10),""),CHAR(13),""),CHAR(9),""),CHAR(160),"")," ",""),".",""),"-",""),"/",""),"?",""),"_",""),",",""),"[",""),"]",""),"(",""),")",""),"*","")</f>
        <v/>
      </c>
      <c r="BA363" s="61" t="str">
        <f aca="false">SUBSTITUTE(SUBSTITUTE(SUBSTITUTE(SUBSTITUTE(SUBSTITUTE(SUBSTITUTE(SUBSTITUTE(SUBSTITUTE(SUBSTITUTE(SUBSTITUTE(SUBSTITUTE(SUBSTITUTE(SUBSTITUTE(SUBSTITUTE(SUBSTITUTE(SUBSTITUTE(LOWER(AA363&amp;""),CHAR(10),""),CHAR(13),""),CHAR(9),""),CHAR(160),"")," ",""),".",""),"-",""),"/",""),"?",""),"_",""),",",""),"[",""),"]",""),"(",""),")",""),"*","")</f>
        <v/>
      </c>
      <c r="BB363" s="61" t="str">
        <f aca="false">IF(AND(TRIM(U363)="Pass",ISNUMBER(AF363)),IF(AF363&lt;&gt;0,"INVALID – qty variance: use Fail or Pass after CA",""),"")&amp;IF(AND(TRIM(U363)="Pass after CA",ISNUMBER(AF363)),IF(AF363&lt;&gt;0,"INVALID – after the corrective action the actual qty must equal expected (update Actual)",""),"")&amp;IF(AND(TRIM(U363)="Pass",TRIM(AB363)&lt;&gt;"",TRIM(AB363)&lt;&gt;"Closed"),"INVALID – corrective action not closed: use Fail, then Pass after CA","")&amp;IF(AND(LEN(BA363)&gt;=2,ISNA(MATCH(LEFT(BA363,255),L_Placeholder,0)),TRIM(AB363)=""),"INVALID – CA status missing for the recorded corrective action","")&amp;IF(AND(TRIM(U363)="Pass after CA",OR(OR(LEN(BA363)&lt;5,ISNUMBER(MATCH(BA363,L_Placeholder,0))),TRIM(AB363)&lt;&gt;"Closed")),"INVALID – corrective action not recorded/closed","")</f>
        <v/>
      </c>
      <c r="BC363" s="61" t="str">
        <f aca="false">" "&amp;TRIM(SUBSTITUTE(SUBSTITUTE(SUBSTITUTE(SUBSTITUTE(SUBSTITUTE(SUBSTITUTE(SUBSTITUTE(SUBSTITUTE(SUBSTITUTE(SUBSTITUTE(SUBSTITUTE(SUBSTITUTE(SUBSTITUTE(SUBSTITUTE(SUBSTITUTE(SUBSTITUTE(SUBSTITUTE(SUBSTITUTE(SUBSTITUTE(SUBSTITUTE(SUBSTITUTE(SUBSTITUTE(SUBSTITUTE(SUBSTITUTE(LOWER(V363&amp;""),CHAR(10)," "),CHAR(13)," "),CHAR(9)," "),CHAR(160)," "),"."," "),","," "),"-"," "),"/"," "),"("," "),")"," "),":"," "),";"," "),"_"," "),"–"," "),"?"," "),"!"," "),"*"," "),"["," "),"]"," "),"'"," "),"#"," "),"+"," "),"&amp;"," "),"\"," "))&amp;" "</f>
        <v>  </v>
      </c>
      <c r="BD363" s="61" t="str">
        <f aca="false">" "&amp;TRIM(SUBSTITUTE(SUBSTITUTE(SUBSTITUTE(SUBSTITUTE(SUBSTITUTE(SUBSTITUTE(SUBSTITUTE(SUBSTITUTE(SUBSTITUTE(SUBSTITUTE(SUBSTITUTE(SUBSTITUTE(SUBSTITUTE(SUBSTITUTE(SUBSTITUTE(SUBSTITUTE(SUBSTITUTE(SUBSTITUTE(SUBSTITUTE(SUBSTITUTE(SUBSTITUTE(SUBSTITUTE(SUBSTITUTE(SUBSTITUTE(LOWER(Z363&amp;""),CHAR(10)," "),CHAR(13)," "),CHAR(9)," "),CHAR(160)," "),"."," "),","," "),"-"," "),"/"," "),"("," "),")"," "),":"," "),";"," "),"_"," "),"–"," "),"?"," "),"!"," "),"*"," "),"["," "),"]"," "),"'"," "),"#"," "),"+"," "),"&amp;"," "),"\"," "))&amp;" "</f>
        <v>  </v>
      </c>
      <c r="BE363" s="61" t="str">
        <f aca="false">" "&amp;TRIM(SUBSTITUTE(SUBSTITUTE(SUBSTITUTE(SUBSTITUTE(SUBSTITUTE(SUBSTITUTE(SUBSTITUTE(SUBSTITUTE(SUBSTITUTE(SUBSTITUTE(SUBSTITUTE(SUBSTITUTE(SUBSTITUTE(SUBSTITUTE(SUBSTITUTE(SUBSTITUTE(SUBSTITUTE(SUBSTITUTE(SUBSTITUTE(SUBSTITUTE(SUBSTITUTE(SUBSTITUTE(SUBSTITUTE(SUBSTITUTE(LOWER(W363&amp;""),CHAR(10)," "),CHAR(13)," "),CHAR(9)," "),CHAR(160)," "),"."," "),","," "),"-"," "),"/"," "),"("," "),")"," "),":"," "),";"," "),"_"," "),"–"," "),"?"," "),"!"," "),"*"," "),"["," "),"]"," "),"'"," "),"#"," "),"+"," "),"&amp;"," "),"\"," "))&amp;" "</f>
        <v>  </v>
      </c>
      <c r="BF363" s="61" t="str">
        <f aca="false">" "&amp;TRIM(SUBSTITUTE(SUBSTITUTE(SUBSTITUTE(SUBSTITUTE(SUBSTITUTE(SUBSTITUTE(SUBSTITUTE(SUBSTITUTE(SUBSTITUTE(SUBSTITUTE(SUBSTITUTE(SUBSTITUTE(SUBSTITUTE(SUBSTITUTE(SUBSTITUTE(SUBSTITUTE(SUBSTITUTE(SUBSTITUTE(SUBSTITUTE(SUBSTITUTE(SUBSTITUTE(SUBSTITUTE(SUBSTITUTE(SUBSTITUTE(LOWER(AC363&amp;""),CHAR(10)," "),CHAR(13)," "),CHAR(9)," "),CHAR(160)," "),"."," "),","," "),"-"," "),"/"," "),"("," "),")"," "),":"," "),";"," "),"_"," "),"–"," "),"?"," "),"!"," "),"*"," "),"["," "),"]"," "),"'"," "),"#"," "),"+"," "),"&amp;"," "),"\"," "))&amp;" "</f>
        <v>  </v>
      </c>
      <c r="BG363" s="61" t="n">
        <f aca="false">IFERROR(IF(AND(TRIM(U363)="Pass",SUMPRODUCT((LEN(BC363)-LEN(SUBSTITUTE(BC363," "&amp;L_ResultBad&amp;" "," ")))/(LEN(L_ResultBad)+1))&gt;SUMPRODUCT((LEN(BC363)-LEN(SUBSTITUTE(BC363," "&amp;L_NegPhrase&amp;" "," ")))/(LEN(L_NegPhrase)+1))),1,0),0)</f>
        <v>0</v>
      </c>
      <c r="BH363" s="61" t="n">
        <f aca="false">IFERROR(IF(SUMPRODUCT((LEN(BC363)-LEN(SUBSTITUTE(BC363," "&amp;L_Pending&amp;" "," ")))/(LEN(L_Pending)+1))&gt;SUMPRODUCT((LEN(BC363)-LEN(SUBSTITUTE(BC363," "&amp;L_PendNeg&amp;" "," ")))/(LEN(L_PendNeg)+1))+SUMPRODUCT((LEN(BC363)-LEN(SUBSTITUTE(BC363," "&amp;L_PendPrep&amp;" "," ")))/(LEN(L_PendPrep)+1)),1,0),1)</f>
        <v>0</v>
      </c>
      <c r="BI363" s="61" t="n">
        <f aca="false">IFERROR(IF(SUMPRODUCT((LEN(BD363)-LEN(SUBSTITUTE(BD363," "&amp;L_PendStrict&amp;" "," ")))/(LEN(L_PendStrict)+1))&gt;SUMPRODUCT((LEN(BD363)-LEN(SUBSTITUTE(BD363," "&amp;L_PendNeg&amp;" "," ")))/(LEN(L_PendNeg)+1)),1,0),1)</f>
        <v>0</v>
      </c>
      <c r="BJ363" s="61" t="n">
        <f aca="false">IFERROR(IF(SUMPRODUCT((LEN(BE363)-LEN(SUBSTITUTE(BE363," "&amp;L_Pending&amp;" "," ")))/(LEN(L_Pending)+1))&gt;SUMPRODUCT((LEN(BE363)-LEN(SUBSTITUTE(BE363," "&amp;L_PendNeg&amp;" "," ")))/(LEN(L_PendNeg)+1))+SUMPRODUCT((LEN(BE363)-LEN(SUBSTITUTE(BE363," "&amp;L_PendPrep&amp;" "," ")))/(LEN(L_PendPrep)+1)),1,0),1)</f>
        <v>0</v>
      </c>
      <c r="BK363" s="61" t="n">
        <f aca="false">IFERROR(IF(SUMPRODUCT((LEN(BF363)-LEN(SUBSTITUTE(BF363," "&amp;L_PendStrict&amp;" "," ")))/(LEN(L_PendStrict)+1))&gt;SUMPRODUCT((LEN(BF363)-LEN(SUBSTITUTE(BF363," "&amp;L_PendNeg&amp;" "," ")))/(LEN(L_PendNeg)+1)),1,0),1)</f>
        <v>0</v>
      </c>
      <c r="BL363" s="61" t="n">
        <f aca="false">IF(ISNA(MATCH(TRIM(S363),L_EvidenceType,0)),0,BZ363)</f>
        <v>0</v>
      </c>
      <c r="BM363" s="61" t="str">
        <f aca="false">SUBSTITUTE(SUBSTITUTE(SUBSTITUTE(SUBSTITUTE(SUBSTITUTE(SUBSTITUTE(SUBSTITUTE(SUBSTITUTE(SUBSTITUTE(LOWER(Z363&amp;""),"1","0"),"2","0"),"3","0"),"4","0"),"5","0"),"6","0"),"7","0"),"8","0"),"9","0")</f>
        <v/>
      </c>
      <c r="BN363" s="61" t="str">
        <f aca="false">SUBSTITUTE(SUBSTITUTE(SUBSTITUTE(SUBSTITUTE(SUBSTITUTE(SUBSTITUTE(SUBSTITUTE(SUBSTITUTE(SUBSTITUTE(SUBSTITUTE(SUBSTITUTE(SUBSTITUTE(SUBSTITUTE(SUBSTITUTE(SUBSTITUTE(SUBSTITUTE(SUBSTITUTE(SUBSTITUTE(SUBSTITUTE(SUBSTITUTE(SUBSTITUTE(SUBSTITUTE(SUBSTITUTE(SUBSTITUTE(SUBSTITUTE(BM363,"b","a"),"c","a"),"d","a"),"e","a"),"f","a"),"g","a"),"h","a"),"i","a"),"j","a"),"k","a"),"l","a"),"m","a"),"n","a"),"o","a"),"p","a"),"q","a"),"r","a"),"s","a"),"t","a"),"u","a"),"v","a"),"w","a"),"x","a"),"y","a"),"z","a")</f>
        <v/>
      </c>
      <c r="BO363" s="61" t="str">
        <f aca="false">SUBSTITUTE(SUBSTITUTE(SUBSTITUTE(SUBSTITUTE(SUBSTITUTE(SUBSTITUTE(SUBSTITUTE(SUBSTITUTE(SUBSTITUTE(LOWER(W363&amp;""),"1","0"),"2","0"),"3","0"),"4","0"),"5","0"),"6","0"),"7","0"),"8","0"),"9","0")</f>
        <v/>
      </c>
      <c r="BP363" s="61" t="str">
        <f aca="false">SUBSTITUTE(SUBSTITUTE(SUBSTITUTE(SUBSTITUTE(SUBSTITUTE(SUBSTITUTE(SUBSTITUTE(SUBSTITUTE(SUBSTITUTE(SUBSTITUTE(SUBSTITUTE(SUBSTITUTE(SUBSTITUTE(SUBSTITUTE(SUBSTITUTE(SUBSTITUTE(SUBSTITUTE(SUBSTITUTE(SUBSTITUTE(SUBSTITUTE(SUBSTITUTE(SUBSTITUTE(SUBSTITUTE(SUBSTITUTE(SUBSTITUTE(BO363,"b","a"),"c","a"),"d","a"),"e","a"),"f","a"),"g","a"),"h","a"),"i","a"),"j","a"),"k","a"),"l","a"),"m","a"),"n","a"),"o","a"),"p","a"),"q","a"),"r","a"),"s","a"),"t","a"),"u","a"),"v","a"),"w","a"),"x","a"),"y","a"),"z","a")</f>
        <v/>
      </c>
      <c r="BQ363" s="61" t="n">
        <f aca="false">IFERROR(IF(AND(ISERROR(SEARCH(" mh"," "&amp;LOWER(W363))),ISNA(MATCH(LEFT(TRIM(BP363),255),{"0000a","000a","00a","0000aa","000aa","00aa","0aa","0000aaa","000aaa","00a00","0a00","0000-0000","00:00","a00","a0","00.00.0000","00/00/0000","00-00-0000","0000-00-00","0000/00/00","0000.00.00","00.00.00","00/00/00","00-00-00","0.00.0000","0/00/0000","0-00-0000"},0)),ISNA(MATCH(LEFT(TRIM(CA363),255),{"0000a","000a","00a","0000aa","000aa","00aa","0aa","0000aaa","000aaa","00a00","0a00","0000-0000","00:00","a00","a0","00.00.0000","00/00/0000","00-00-0000","0000-00-00","0000/00/00","0000.00.00","00.00.00","00/00/00","00-00-00","0.00.0000","0/00/0000","0-00-0000"},0)),LEN(CB363)&gt;=3,NOT(OR(SUBSTITUTE(CB363,"0","")="",AND(LEN(CB363)&gt;=4,CB363=REPT(LEFT(CB363),LEN(CB363))),ISNUMBER(MATCH(CB363,{"123","1234","12345","123456","1234567","12345678","0123","01234","012345","98765","987654","54321"},0)),AND(LEN(CB363)=8,LEFT(CB363,3)="202"))),OR(AND((LEN(CA363)-LEN(SUBSTITUTE(CA363,"a","")))&gt;=1,SUMPRODUCT(--ISNUMBER(SEARCH({"a0","a-0","a_0","a/0","a.0","a#0","0a","0-a","0_a","0/a"},BP363)))&gt;0),ISNUMBER(SEARCH("000000",BP363)))),1,0),0)</f>
        <v>0</v>
      </c>
      <c r="BR363" s="61" t="n">
        <f aca="false">IFERROR(LEN(SUBSTITUTE(CC363," ",""))-SUMPRODUCT((LEN(CC363)-LEN(SUBSTITUTE(CC363," "&amp;L_Role&amp;" "," ")))/(LEN(L_Role)+1)*LEN(L_Role)),0)</f>
        <v>0</v>
      </c>
      <c r="BS363" s="61" t="n">
        <f aca="false">IFERROR(LEN(SUBSTITUTE(CD363," ",""))-SUMPRODUCT((LEN(CD363)-LEN(SUBSTITUTE(CD363," "&amp;L_Role&amp;" "," ")))/(LEN(L_Role)+1)*LEN(L_Role)),0)</f>
        <v>0</v>
      </c>
      <c r="BT3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363,"revision",""),"version",""),"jan",""),"feb",""),"mar",""),"apr",""),"may",""),"jun",""),"jul",""),"aug",""),"sep",""),"oct",""),"nov",""),"dec",""),"utc",""),"gmt",""),"myt",""),"bst",""),"rev",""),"ver",""),"b","a"),"c","a"),"d","a"),"e","a"),"f","a"),"g","a"),"h","a"),"i","a"),"j","a"),"k","a"),"l","a"),"m","a"),"n","a"),"o","a"),"p","a"),"q","a"),"r","a"),"s","a"),"t","a"),"u","a"),"v","a"),"w","a"),"x","a"),"y","a"),"z","a")</f>
        <v/>
      </c>
      <c r="BU363" s="61" t="str">
        <f aca="false">SUBSTITUTE(SUBSTITUTE(SUBSTITUTE(SUBSTITUTE(SUBSTITUTE(SUBSTITUTE(SUBSTITUTE(SUBSTITUTE(SUBSTITUTE(SUBSTITUTE(LEFT(BM363,FIND("0",BM363&amp;"0")-1),"-",""),"_",""),"/",""),".",""),"#",""),"\\",""),":","")," ",""),"(",""),")","")</f>
        <v/>
      </c>
      <c r="BV363" s="61" t="n">
        <f aca="false">0</f>
        <v>0</v>
      </c>
      <c r="BW3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363&amp;""),"a",""),"b",""),"c",""),"d",""),"e",""),"f",""),"g",""),"h",""),"i",""),"j",""),"k",""),"l",""),"m",""),"n",""),"o",""),"p",""),"q",""),"r",""),"s",""),"t",""),"u",""),"v",""),"w",""),"x",""),"y",""),"z",""),"-",""),"_",""),"/",""),".",""),"#",""),"\\",""),":","")," ",""),"(",""),")","")</f>
        <v/>
      </c>
      <c r="BX363" s="61" t="str">
        <f aca="false">SUBSTITUTE(SUBSTITUTE(SUBSTITUTE(SUBSTITUTE(SUBSTITUTE(SUBSTITUTE(SUBSTITUTE(SUBSTITUTE(SUBSTITUTE(SUBSTITUTE(SUBSTITUTE(BM363,"0",""),"-",""),"_",""),"/",""),".",""),"#",""),"\\",""),":","")," ",""),"(",""),")","")</f>
        <v/>
      </c>
      <c r="BY363" s="62" t="n">
        <f aca="false">Q363-T7EarlyD*24/24</f>
        <v>46286.3263888889</v>
      </c>
      <c r="BZ363" s="61" t="n">
        <f aca="false">IFERROR(IF(IF(TRIM(S363)="Link / file path",AND(LEN(TRIM(Z363))&gt;=5,SUMPRODUCT(--ISNUMBER(SEARCH({"http","www.","\\",":\",".pdf",".jpg",".jpeg",".png",".heic",".xls",".doc",".msg",".eml",".ppt",".txt",".zip"},Z363)))&gt;0),AND(ISERROR(FIND(" ",TRIM(Z363))),NOT(OR(SUMPRODUCT(--ISNUMBER(FIND({",",";","&amp;","+"},Z363)))&gt;0,SUMPRODUCT(--ISNUMBER(SEARCH({"0/aa","0\\aa"},BN363)))&gt;0)),NOT(SUMPRODUCT(--ISNUMBER(SEARCH({"http","www.","\\",":\",".pdf",".jpg",".jpeg",".png",".heic",".xls",".doc",".msg",".eml",".ppt",".txt",".zip"},Z363)))&gt;0),NOT(LOWER(TRIM(Z363))=LOWER(Flights!$F$15)),ISNA(MATCH(BU363,{"mh","rev","revision","ver","version","v","r","a","b","seat","tray","row","gate","bay","stand","page","pg","item","line","no","cart","galley","flight","flt","table","box","bag","oven","etd","eta","std","sta","atd","ata","qty","pax","x","time","tel","ph","mob","day","wk","week","utc","gmt","myt","lt"},0)),NOT(OR(ISNUMBER(MATCH(LEFT(BN363,255),{"0000a","000a","00a","0000aa","000aa","00aa","0aa","0000aaa","000aaa","00a00","0a00","0000-0000","00:00","a00","a0","00.00.0000","00/00/0000","00-00-0000","0000-00-00","0000/00/00","0000.00.00","00.00.00","00/00/00","00-00-00","0.00.0000","0/00/0000","0-00-0000"},0)),ISNUMBER(MATCH(LEFT(BT363,255),{"0000a","000a","00a","0000aa","000aa","00aa","0aa","0000aaa","000aaa","00a00","0a00","0000-0000","00:00","a00","a0","00.00.0000","00/00/0000","00-00-0000","0000-00-00","0000/00/00","0000.00.00","00.00.00","00/00/00","00-00-00","0.00.0000","0/00/0000","0-00-0000"},0)))),NOT(OR(AND(BW363&lt;&gt;"",SUBSTITUTE(BW363,"0","")=""),AND(LEN(BW363)&gt;=4,BW363=REPT(LEFT(BW363),LEN(BW363))),ISNUMBER(MATCH(BW363,{"123","1234","12345","123456","1234567","12345678","0123","01234","012345","98765","987654","54321"},0)),ISNUMBER(MATCH(BX363,{"x","xx","xxx","xxxx","xxxxx","abc","abcd","nil","na","nan","test","tbc","tba","tbd","dummy","sample","example","eg","zz","zzz","none","null","xyz","qwe","asd","id","ref"},0)),AND(LEN(BW363)=8,BX363="",OR(LEFT(BW363,3)="202",ISNUMBER(MATCH(RIGHT(BW363,4),{"2025","2026","2027"},0)))))),OR(AND((LEN(BT363)-LEN(SUBSTITUTE(BT363,"a","")))&gt;=1,(LEN(BN363)-LEN(SUBSTITUTE(BN363,"0","")))&gt;=2,SUMPRODUCT(--ISNUMBER(SEARCH({"a0","a-0","a_0","a/0","a.0","a#0","0a","0-a","0_a","0/a"},BN363)))&gt;0),AND((LEN(BN363)-LEN(SUBSTITUTE(BN363,"a","")))=0,(LEN(BN363)-LEN(SUBSTITUTE(BN363,"0","")))&gt;=5)))),1,0),0)</f>
        <v>0</v>
      </c>
      <c r="CA3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363,"revision",""),"version",""),"jan",""),"feb",""),"mar",""),"apr",""),"may",""),"jun",""),"jul",""),"aug",""),"sep",""),"oct",""),"nov",""),"dec",""),"utc",""),"gmt",""),"myt",""),"bst",""),"rev",""),"ver",""),"b","a"),"c","a"),"d","a"),"e","a"),"f","a"),"g","a"),"h","a"),"i","a"),"j","a"),"k","a"),"l","a"),"m","a"),"n","a"),"o","a"),"p","a"),"q","a"),"r","a"),"s","a"),"t","a"),"u","a"),"v","a"),"w","a"),"x","a"),"y","a"),"z","a")</f>
        <v/>
      </c>
      <c r="CB3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363&amp;""),"a",""),"b",""),"c",""),"d",""),"e",""),"f",""),"g",""),"h",""),"i",""),"j",""),"k",""),"l",""),"m",""),"n",""),"o",""),"p",""),"q",""),"r",""),"s",""),"t",""),"u",""),"v",""),"w",""),"x",""),"y",""),"z",""),"-",""),"_",""),"/",""),".",""),"#",""),"\\",""),":","")," ",""),"(",""),")","")</f>
        <v/>
      </c>
      <c r="CC363" s="0" t="str">
        <f aca="false">" "&amp;TRIM(SUBSTITUTE(SUBSTITUTE(SUBSTITUTE(SUBSTITUTE(SUBSTITUTE(SUBSTITUTE(SUBSTITUTE(SUBSTITUTE(SUBSTITUTE(SUBSTITUTE(SUBSTITUTE(SUBSTITUTE(SUBSTITUTE(SUBSTITUTE(SUBSTITUTE(SUBSTITUTE(SUBSTITUTE(SUBSTITUTE(SUBSTITUTE(SUBSTITUTE(SUBSTITUTE(SUBSTITUTE(SUBSTITUTE(SUBSTITUTE(LOWER(T363&amp;""),CHAR(10)," "),CHAR(13)," "),CHAR(9)," "),CHAR(160)," "),"."," "),","," "),"-"," "),"/"," "),"("," "),")"," "),":"," "),";"," "),"_"," "),"–"," "),"?"," "),"!"," "),"*"," "),"["," "),"]"," "),"'"," "),"#"," "),"+"," "),"&amp;"," "),"\"," "))&amp;" "</f>
        <v>  </v>
      </c>
      <c r="CD363" s="0" t="str">
        <f aca="false">" "&amp;TRIM(SUBSTITUTE(SUBSTITUTE(SUBSTITUTE(SUBSTITUTE(SUBSTITUTE(SUBSTITUTE(SUBSTITUTE(SUBSTITUTE(SUBSTITUTE(SUBSTITUTE(SUBSTITUTE(SUBSTITUTE(SUBSTITUTE(SUBSTITUTE(SUBSTITUTE(SUBSTITUTE(SUBSTITUTE(SUBSTITUTE(SUBSTITUTE(SUBSTITUTE(SUBSTITUTE(SUBSTITUTE(SUBSTITUTE(SUBSTITUTE(LOWER(AE363&amp;""),CHAR(10)," "),CHAR(13)," "),CHAR(9)," "),CHAR(160)," "),"."," "),","," "),"-"," "),"/"," "),"("," "),")"," "),":"," "),";"," "),"_"," "),"–"," "),"?"," "),"!"," "),"*"," "),"["," "),"]"," "),"'"," "),"#"," "),"+"," "),"&amp;"," "),"\"," "))&amp;" "</f>
        <v>  </v>
      </c>
      <c r="CE363" s="68" t="n">
        <f aca="false">IFERROR(IF(AND(LEN(AU363)&gt;0,LEN(AU363)=LEN(AX363),OR(TRIM(MID(SUBSTITUTE(TRIM(CC363)," ",REPT(" ",60)),1,60))="",ISNUMBER(SEARCH(" "&amp;TRIM(MID(SUBSTITUTE(TRIM(CC363)," ",REPT(" ",60)),1,60))&amp;" ",CD363))),OR(TRIM(MID(SUBSTITUTE(TRIM(CC363)," ",REPT(" ",60)),61,60))="",ISNUMBER(SEARCH(" "&amp;TRIM(MID(SUBSTITUTE(TRIM(CC363)," ",REPT(" ",60)),61,60))&amp;" ",CD363))),OR(TRIM(MID(SUBSTITUTE(TRIM(CC363)," ",REPT(" ",60)),121,60))="",ISNUMBER(SEARCH(" "&amp;TRIM(MID(SUBSTITUTE(TRIM(CC363)," ",REPT(" ",60)),121,60))&amp;" ",CD363)))),1,0),0)</f>
        <v>0</v>
      </c>
      <c r="CG363" s="68" t="n">
        <f aca="false">IFERROR(LEN(SUBSTITUTE(BF363," ",""))-SUMPRODUCT((LEN(BF363)-LEN(SUBSTITUTE(BF363," "&amp;L_NAFiller&amp;" "," ")))/(LEN(L_NAFiller)+1)*LEN(L_NAFiller)),0)</f>
        <v>0</v>
      </c>
    </row>
    <row r="364" customFormat="false" ht="39.75" hidden="false" customHeight="true" outlineLevel="0" collapsed="false">
      <c r="A364" s="57" t="s">
        <v>965</v>
      </c>
      <c r="B364" s="57" t="s">
        <v>258</v>
      </c>
      <c r="C364" s="57" t="str">
        <f aca="false">Flights!$F$15</f>
        <v>MH1149</v>
      </c>
      <c r="D364" s="58" t="n">
        <f aca="false">Flights!$D$15</f>
        <v>46307</v>
      </c>
      <c r="E364" s="57" t="str">
        <f aca="false">Flights!$G$15&amp;"-"&amp;Flights!$H$15</f>
        <v>PEN-KUL</v>
      </c>
      <c r="F364" s="57" t="str">
        <f aca="false">Flights!$K$15</f>
        <v>EY</v>
      </c>
      <c r="G364" s="57" t="s">
        <v>81</v>
      </c>
      <c r="H364" s="57" t="s">
        <v>378</v>
      </c>
      <c r="I364" s="57" t="s">
        <v>405</v>
      </c>
      <c r="J364" s="57" t="s">
        <v>409</v>
      </c>
      <c r="K364" s="67" t="s">
        <v>407</v>
      </c>
      <c r="L364" s="67" t="s">
        <v>382</v>
      </c>
      <c r="M364" s="67"/>
      <c r="N364" s="67" t="s">
        <v>383</v>
      </c>
      <c r="O364" s="67"/>
      <c r="P364" s="57" t="s">
        <v>187</v>
      </c>
      <c r="Q364" s="59" t="n">
        <f aca="false">ROUND((Flights!$AC$15)*1440,0)/1440</f>
        <v>46300.3263888889</v>
      </c>
      <c r="R364" s="59" t="n">
        <f aca="false">Q364+(IF(AND(INDEX(TZ_DSTS,MATCH(P364,TZ_STN,0))&lt;&gt;"",Q364&gt;=INDEX(TZ_DSTS,MATCH(P364,TZ_STN,0)),Q364&lt;INDEX(TZ_DSTE,MATCH(P364,TZ_STN,0))),INDEX(TZ_DST,MATCH(P364,TZ_STN,0)),INDEX(TZ_STD,MATCH(P364,TZ_STN,0))))/24</f>
        <v>46300.6597222222</v>
      </c>
      <c r="S364" s="60"/>
      <c r="T364" s="60"/>
      <c r="U364" s="60"/>
      <c r="V364" s="60"/>
      <c r="W364" s="61"/>
      <c r="X364" s="60"/>
      <c r="Y364" s="60"/>
      <c r="Z364" s="60"/>
      <c r="AA364" s="60"/>
      <c r="AB364" s="60"/>
      <c r="AC364" s="60"/>
      <c r="AD364" s="66"/>
      <c r="AE364" s="60"/>
      <c r="AF364" s="61" t="str">
        <f aca="false">IF(AND(ISNUMBER(X364),ISNUMBER(Y364)),Y364-X364,"")</f>
        <v/>
      </c>
      <c r="AG364" s="62" t="str">
        <f aca="false">IF(ISNUMBER(AD364),AD364-(IF(AND(INDEX(TZ_DSTS,MATCH(P364,TZ_STN,0))&lt;&gt;"",(AD364-INDEX(TZ_STD,MATCH(P364,TZ_STN,0))/24)&gt;=INDEX(TZ_DSTS,MATCH(P364,TZ_STN,0)),(AD364-INDEX(TZ_STD,MATCH(P364,TZ_STN,0))/24)&lt;INDEX(TZ_DSTE,MATCH(P364,TZ_STN,0))),INDEX(TZ_DST,MATCH(P364,TZ_STN,0)),INDEX(TZ_STD,MATCH(P364,TZ_STN,0))))/24,"")</f>
        <v/>
      </c>
      <c r="AH364" s="65" t="str">
        <f aca="false">IFERROR(IF(N364="N/A – rule",IF(OR(TRIM(U364)="",TRIM(U364)="N/A",TRIM(U364)="Not started"),"N/A – RULE","INVALID – this check does not apply to this aircraft: clear the status (or correct the fleet on Flights)"),IF(TRIM(U364)="N/A",IF(AT364=0,"INVALID – N/A not permitted for this check",IF(AND(TRIM(AB364)&lt;&gt;"",TRIM(AB364)&lt;&gt;"Closed"),"INVALID – corrective action still open",IF(AND(NOT(OR(LEN(AZ364)&lt;15,ISNUMBER(MATCH(AZ364,L_Placeholder,0)))),BK364=0,CG364&gt;=8,NOT(OR(LEN(AU364)&lt;2,ISNUMBER(MATCH(AU364,L_Placeholder,0)))),BR364&gt;=3,NOT(OR(LEN(AX364)&lt;2,ISNUMBER(MATCH(AX364,L_Placeholder,0)))),BS364&gt;=3,TRIM(AE364)&lt;&gt;TRIM(T364),AX364&lt;&gt;AU364,CE364=0),"N/A – JUSTIFIED","INVALID – N/A needs a real, settled reason (not 'not applicable' / 'as above' / TBC), a named PIC and a different named verifier"))),IF(OR(TRIM(U364)="Pass",TRIM(U364)="Pass after CA"),IF(NOT(ISNUMBER(AD364)),"INVALID – completion time missing",IF(OR(OR(LEN(AU364)&lt;2,ISNUMBER(MATCH(AU364,L_Placeholder,0))),BR364&lt;3),"INVALID – PIC missing or not a named person (a role such as QA / CSM is not a name)",IF(OR(LEN(AV364)&lt;2,ISNUMBER(MATCH(AV364,L_Placeholder,0))),"INVALID – result / assessment missing",IF(OR(OR(LEN(AW364)&lt;3,ISNUMBER(MATCH(AW364,L_Placeholder,0))),SUMPRODUCT(--ISNUMBER(SEARCH(" "&amp;L_EvidencePhrase&amp;" ",BD364)))&gt;0,BI364=1),"INVALID – evidence missing, placeholder or not yet on file",IF(ISNA(MATCH(TRIM(S364),L_EvidenceType,0)),"INVALID – choose the evidence type from the list (column S)",IF(BL364=0,"INVALID – evidence ID must be the record's own ID only (e.g. SF-2210, IMG_2231, 1045521); a link / file name needs type 'Link / file path'",IF(OR(OR(LEN(AX364)&lt;2,ISNUMBER(MATCH(AX364,L_Placeholder,0))),BS364&lt;3),"INVALID – verifier missing or not a named person (a role such as QA / CSM is not a name)",IF(OR(AX364=AU364,CE364=1,AND(LEN(AU364)&gt;=4,ISNUMBER(SEARCH(AU364,AX364))),AND(LEN(AX364)&gt;=4,ISNUMBER(SEARCH(AX364,AU364)))),"INVALID – verifier must be a different, named person (not the PIC or a role)",IF(BH364=1,"INVALID – result not yet available (awaiting / TBC)",IF(BG364=1,"INVALID – result describes a problem: record Fail, then Pass after CA (or reword if it is not a problem)",IF(BV364=1,"INVALID – wording says not on board: an on-board confirmation needs the item loaded",IF(AND(AQ364=1,OR(OR(LEN(AY364)&lt;3,ISNUMBER(MATCH(AY364,L_Placeholder,0))),BJ364=1,BQ364=0)),"INVALID – batch ID missing, placeholder or not an ID (e.g. PASB-261008-BC-017)",IF(AND(AR364=1,OR(NOT(ISNUMBER(X364)),NOT(ISNUMBER(Y364)))),"INVALID – expected/actual qty missing",IF(AND(AR364=1,OR(X364&lt;=0,Y364&lt;0)),"INVALID – expected qty must be above 0 and actual not negative",IF(BB364&lt;&gt;"",BB364,IF(AND(AS364=1,Documents!$J$15&lt;&gt;"ON FILE"),"INVALID – GLD not on file (Documents sheet)",IF(AND(AS364=2,Documents!$O$15&lt;&gt;"ON FILE"),"INVALID – menu checklist not on file (Documents sheet)",IF(AND(AS364=3,NOT(ISNUMBER(Flights!$AX$15))),"INVALID – enter carrying flight KUL departure (Flights AX)",IF(AND(AS364=3,OR(Flights!$AZ$15&gt;Flights!$AA$15,Flights!$AX$15&lt;Flights!$AA$15-3)),"INVALID – carrying flight (Flights AX) cannot arrive before this leg's STD, or is over 3 days early",IF(AG364&gt;AsOfUTC,"INVALID – completion time is in the future",IF(AND(ISNUMBER(BY364),AG364&lt;BY364),IF(H364="Physical uplift","INVALID – before uplift window (cannot confirm loading)","INVALID – before valid window"),IF(AG364&gt;Flights!$AA$15,"INVALID – completed after departure (cannot establish readiness)",IF(AND(H364="Preparation",AG364&gt;=IF(ISNUMBER(Flights!$BA$15),MIN(Flights!$BA$15,Flights!$AA$15),Flights!$AA$15)),"INVALID – completed after loading / departure (cannot establish readiness)",IF(AND(H364="Physical uplift",AG364&gt;Q364),"INVALID – recorded after the loading flight departed",IF(AG364&gt;Q364,"COMPLETE – LATE","COMPLETE"))))))))))))))))))))))))),IF(TRIM(U364)="Fail","FAIL – DISCREPANCY",IF(AND(TRIM(U364)&lt;&gt;"",TRIM(U364)&lt;&gt;"Not started",TRIM(U364)&lt;&gt;"In progress"),"INVALID – unrecognised status (use the list)",IF(AsOfUTC&gt;Q364,"OVERDUE",IF(N364="Clarification required","OPEN – CLARIFICATION","OPEN"))))))),"INVALID – error value in an input cell")</f>
        <v>OPEN</v>
      </c>
      <c r="AI364" s="61" t="n">
        <f aca="false">IF(OR(AH364="N/A – RULE",AH364="N/A – JUSTIFIED"),0,1)</f>
        <v>1</v>
      </c>
      <c r="AJ364" s="61" t="n">
        <f aca="false">IF(LEFT(AH364,8)="COMPLETE",1,0)</f>
        <v>0</v>
      </c>
      <c r="AK364" s="61" t="n">
        <f aca="false">IF(AND(AI364=1,AJ364=0,AsOfUTC&gt;Q364),1,0)</f>
        <v>0</v>
      </c>
      <c r="AL364" s="61" t="n">
        <f aca="false">IFERROR(IF(AND(AI364=1,OR(TRIM(U364)="Fail",AND(TRIM(AB364)&lt;&gt;"",TRIM(AB364)&lt;&gt;"Closed"),AND(ISNUMBER(AF364),AF364&lt;&gt;0,TRIM(U364)&lt;&gt;"Pass after CA"))),1,0),1)</f>
        <v>0</v>
      </c>
      <c r="AM364" s="61" t="n">
        <f aca="false">IF(LEFT(AH364,7)="INVALID",1,0)</f>
        <v>0</v>
      </c>
      <c r="AN364" s="61" t="n">
        <f aca="false">IF(AND(N364="Clarification required",AI364=1,AJ364=0),1,0)</f>
        <v>0</v>
      </c>
      <c r="AO364" s="61" t="str">
        <f aca="false">IF(AK364=1,SUM(AK$5:AK364),"")</f>
        <v/>
      </c>
      <c r="AP364" s="61" t="str">
        <f aca="false">IF(AL364=1,SUM(AL$5:AL364),"")</f>
        <v/>
      </c>
      <c r="AQ364" s="61" t="n">
        <v>0</v>
      </c>
      <c r="AR364" s="61" t="n">
        <v>0</v>
      </c>
      <c r="AS364" s="61" t="n">
        <v>2</v>
      </c>
      <c r="AT364" s="61" t="n">
        <v>0</v>
      </c>
      <c r="AU364" s="61" t="str">
        <f aca="false">SUBSTITUTE(SUBSTITUTE(SUBSTITUTE(SUBSTITUTE(SUBSTITUTE(SUBSTITUTE(SUBSTITUTE(SUBSTITUTE(SUBSTITUTE(SUBSTITUTE(SUBSTITUTE(SUBSTITUTE(SUBSTITUTE(SUBSTITUTE(SUBSTITUTE(SUBSTITUTE(LOWER(T364&amp;""),CHAR(10),""),CHAR(13),""),CHAR(9),""),CHAR(160),"")," ",""),".",""),"-",""),"/",""),"?",""),"_",""),",",""),"[",""),"]",""),"(",""),")",""),"*","")</f>
        <v/>
      </c>
      <c r="AV364" s="61" t="str">
        <f aca="false">SUBSTITUTE(SUBSTITUTE(SUBSTITUTE(SUBSTITUTE(SUBSTITUTE(SUBSTITUTE(SUBSTITUTE(SUBSTITUTE(SUBSTITUTE(SUBSTITUTE(SUBSTITUTE(SUBSTITUTE(SUBSTITUTE(SUBSTITUTE(SUBSTITUTE(SUBSTITUTE(LOWER(V364&amp;""),CHAR(10),""),CHAR(13),""),CHAR(9),""),CHAR(160),"")," ",""),".",""),"-",""),"/",""),"?",""),"_",""),",",""),"[",""),"]",""),"(",""),")",""),"*","")</f>
        <v/>
      </c>
      <c r="AW364" s="61" t="str">
        <f aca="false">SUBSTITUTE(SUBSTITUTE(SUBSTITUTE(SUBSTITUTE(SUBSTITUTE(SUBSTITUTE(SUBSTITUTE(SUBSTITUTE(SUBSTITUTE(SUBSTITUTE(SUBSTITUTE(SUBSTITUTE(SUBSTITUTE(SUBSTITUTE(SUBSTITUTE(SUBSTITUTE(LOWER(Z364&amp;""),CHAR(10),""),CHAR(13),""),CHAR(9),""),CHAR(160),"")," ",""),".",""),"-",""),"/",""),"?",""),"_",""),",",""),"[",""),"]",""),"(",""),")",""),"*","")</f>
        <v/>
      </c>
      <c r="AX364" s="61" t="str">
        <f aca="false">SUBSTITUTE(SUBSTITUTE(SUBSTITUTE(SUBSTITUTE(SUBSTITUTE(SUBSTITUTE(SUBSTITUTE(SUBSTITUTE(SUBSTITUTE(SUBSTITUTE(SUBSTITUTE(SUBSTITUTE(SUBSTITUTE(SUBSTITUTE(SUBSTITUTE(SUBSTITUTE(LOWER(AE364&amp;""),CHAR(10),""),CHAR(13),""),CHAR(9),""),CHAR(160),"")," ",""),".",""),"-",""),"/",""),"?",""),"_",""),",",""),"[",""),"]",""),"(",""),")",""),"*","")</f>
        <v/>
      </c>
      <c r="AY364" s="61" t="str">
        <f aca="false">SUBSTITUTE(SUBSTITUTE(SUBSTITUTE(SUBSTITUTE(SUBSTITUTE(SUBSTITUTE(SUBSTITUTE(SUBSTITUTE(SUBSTITUTE(SUBSTITUTE(SUBSTITUTE(SUBSTITUTE(SUBSTITUTE(SUBSTITUTE(SUBSTITUTE(SUBSTITUTE(LOWER(W364&amp;""),CHAR(10),""),CHAR(13),""),CHAR(9),""),CHAR(160),"")," ",""),".",""),"-",""),"/",""),"?",""),"_",""),",",""),"[",""),"]",""),"(",""),")",""),"*","")</f>
        <v/>
      </c>
      <c r="AZ364" s="61" t="str">
        <f aca="false">SUBSTITUTE(SUBSTITUTE(SUBSTITUTE(SUBSTITUTE(SUBSTITUTE(SUBSTITUTE(SUBSTITUTE(SUBSTITUTE(SUBSTITUTE(SUBSTITUTE(SUBSTITUTE(SUBSTITUTE(SUBSTITUTE(SUBSTITUTE(SUBSTITUTE(SUBSTITUTE(LOWER(AC364&amp;""),CHAR(10),""),CHAR(13),""),CHAR(9),""),CHAR(160),"")," ",""),".",""),"-",""),"/",""),"?",""),"_",""),",",""),"[",""),"]",""),"(",""),")",""),"*","")</f>
        <v/>
      </c>
      <c r="BA364" s="61" t="str">
        <f aca="false">SUBSTITUTE(SUBSTITUTE(SUBSTITUTE(SUBSTITUTE(SUBSTITUTE(SUBSTITUTE(SUBSTITUTE(SUBSTITUTE(SUBSTITUTE(SUBSTITUTE(SUBSTITUTE(SUBSTITUTE(SUBSTITUTE(SUBSTITUTE(SUBSTITUTE(SUBSTITUTE(LOWER(AA364&amp;""),CHAR(10),""),CHAR(13),""),CHAR(9),""),CHAR(160),"")," ",""),".",""),"-",""),"/",""),"?",""),"_",""),",",""),"[",""),"]",""),"(",""),")",""),"*","")</f>
        <v/>
      </c>
      <c r="BB364" s="61" t="str">
        <f aca="false">IF(AND(TRIM(U364)="Pass",ISNUMBER(AF364)),IF(AF364&lt;&gt;0,"INVALID – qty variance: use Fail or Pass after CA",""),"")&amp;IF(AND(TRIM(U364)="Pass after CA",ISNUMBER(AF364)),IF(AF364&lt;&gt;0,"INVALID – after the corrective action the actual qty must equal expected (update Actual)",""),"")&amp;IF(AND(TRIM(U364)="Pass",TRIM(AB364)&lt;&gt;"",TRIM(AB364)&lt;&gt;"Closed"),"INVALID – corrective action not closed: use Fail, then Pass after CA","")&amp;IF(AND(LEN(BA364)&gt;=2,ISNA(MATCH(LEFT(BA364,255),L_Placeholder,0)),TRIM(AB364)=""),"INVALID – CA status missing for the recorded corrective action","")&amp;IF(AND(TRIM(U364)="Pass after CA",OR(OR(LEN(BA364)&lt;5,ISNUMBER(MATCH(BA364,L_Placeholder,0))),TRIM(AB364)&lt;&gt;"Closed")),"INVALID – corrective action not recorded/closed","")</f>
        <v/>
      </c>
      <c r="BC364" s="61" t="str">
        <f aca="false">" "&amp;TRIM(SUBSTITUTE(SUBSTITUTE(SUBSTITUTE(SUBSTITUTE(SUBSTITUTE(SUBSTITUTE(SUBSTITUTE(SUBSTITUTE(SUBSTITUTE(SUBSTITUTE(SUBSTITUTE(SUBSTITUTE(SUBSTITUTE(SUBSTITUTE(SUBSTITUTE(SUBSTITUTE(SUBSTITUTE(SUBSTITUTE(SUBSTITUTE(SUBSTITUTE(SUBSTITUTE(SUBSTITUTE(SUBSTITUTE(SUBSTITUTE(LOWER(V364&amp;""),CHAR(10)," "),CHAR(13)," "),CHAR(9)," "),CHAR(160)," "),"."," "),","," "),"-"," "),"/"," "),"("," "),")"," "),":"," "),";"," "),"_"," "),"–"," "),"?"," "),"!"," "),"*"," "),"["," "),"]"," "),"'"," "),"#"," "),"+"," "),"&amp;"," "),"\"," "))&amp;" "</f>
        <v>  </v>
      </c>
      <c r="BD364" s="61" t="str">
        <f aca="false">" "&amp;TRIM(SUBSTITUTE(SUBSTITUTE(SUBSTITUTE(SUBSTITUTE(SUBSTITUTE(SUBSTITUTE(SUBSTITUTE(SUBSTITUTE(SUBSTITUTE(SUBSTITUTE(SUBSTITUTE(SUBSTITUTE(SUBSTITUTE(SUBSTITUTE(SUBSTITUTE(SUBSTITUTE(SUBSTITUTE(SUBSTITUTE(SUBSTITUTE(SUBSTITUTE(SUBSTITUTE(SUBSTITUTE(SUBSTITUTE(SUBSTITUTE(LOWER(Z364&amp;""),CHAR(10)," "),CHAR(13)," "),CHAR(9)," "),CHAR(160)," "),"."," "),","," "),"-"," "),"/"," "),"("," "),")"," "),":"," "),";"," "),"_"," "),"–"," "),"?"," "),"!"," "),"*"," "),"["," "),"]"," "),"'"," "),"#"," "),"+"," "),"&amp;"," "),"\"," "))&amp;" "</f>
        <v>  </v>
      </c>
      <c r="BE364" s="61" t="str">
        <f aca="false">" "&amp;TRIM(SUBSTITUTE(SUBSTITUTE(SUBSTITUTE(SUBSTITUTE(SUBSTITUTE(SUBSTITUTE(SUBSTITUTE(SUBSTITUTE(SUBSTITUTE(SUBSTITUTE(SUBSTITUTE(SUBSTITUTE(SUBSTITUTE(SUBSTITUTE(SUBSTITUTE(SUBSTITUTE(SUBSTITUTE(SUBSTITUTE(SUBSTITUTE(SUBSTITUTE(SUBSTITUTE(SUBSTITUTE(SUBSTITUTE(SUBSTITUTE(LOWER(W364&amp;""),CHAR(10)," "),CHAR(13)," "),CHAR(9)," "),CHAR(160)," "),"."," "),","," "),"-"," "),"/"," "),"("," "),")"," "),":"," "),";"," "),"_"," "),"–"," "),"?"," "),"!"," "),"*"," "),"["," "),"]"," "),"'"," "),"#"," "),"+"," "),"&amp;"," "),"\"," "))&amp;" "</f>
        <v>  </v>
      </c>
      <c r="BF364" s="61" t="str">
        <f aca="false">" "&amp;TRIM(SUBSTITUTE(SUBSTITUTE(SUBSTITUTE(SUBSTITUTE(SUBSTITUTE(SUBSTITUTE(SUBSTITUTE(SUBSTITUTE(SUBSTITUTE(SUBSTITUTE(SUBSTITUTE(SUBSTITUTE(SUBSTITUTE(SUBSTITUTE(SUBSTITUTE(SUBSTITUTE(SUBSTITUTE(SUBSTITUTE(SUBSTITUTE(SUBSTITUTE(SUBSTITUTE(SUBSTITUTE(SUBSTITUTE(SUBSTITUTE(LOWER(AC364&amp;""),CHAR(10)," "),CHAR(13)," "),CHAR(9)," "),CHAR(160)," "),"."," "),","," "),"-"," "),"/"," "),"("," "),")"," "),":"," "),";"," "),"_"," "),"–"," "),"?"," "),"!"," "),"*"," "),"["," "),"]"," "),"'"," "),"#"," "),"+"," "),"&amp;"," "),"\"," "))&amp;" "</f>
        <v>  </v>
      </c>
      <c r="BG364" s="61" t="n">
        <f aca="false">IFERROR(IF(AND(TRIM(U364)="Pass",SUMPRODUCT((LEN(BC364)-LEN(SUBSTITUTE(BC364," "&amp;L_ResultBad&amp;" "," ")))/(LEN(L_ResultBad)+1))&gt;SUMPRODUCT((LEN(BC364)-LEN(SUBSTITUTE(BC364," "&amp;L_NegPhrase&amp;" "," ")))/(LEN(L_NegPhrase)+1))),1,0),0)</f>
        <v>0</v>
      </c>
      <c r="BH364" s="61" t="n">
        <f aca="false">IFERROR(IF(SUMPRODUCT((LEN(BC364)-LEN(SUBSTITUTE(BC364," "&amp;L_Pending&amp;" "," ")))/(LEN(L_Pending)+1))&gt;SUMPRODUCT((LEN(BC364)-LEN(SUBSTITUTE(BC364," "&amp;L_PendNeg&amp;" "," ")))/(LEN(L_PendNeg)+1))+SUMPRODUCT((LEN(BC364)-LEN(SUBSTITUTE(BC364," "&amp;L_PendPrep&amp;" "," ")))/(LEN(L_PendPrep)+1)),1,0),1)</f>
        <v>0</v>
      </c>
      <c r="BI364" s="61" t="n">
        <f aca="false">IFERROR(IF(SUMPRODUCT((LEN(BD364)-LEN(SUBSTITUTE(BD364," "&amp;L_PendStrict&amp;" "," ")))/(LEN(L_PendStrict)+1))&gt;SUMPRODUCT((LEN(BD364)-LEN(SUBSTITUTE(BD364," "&amp;L_PendNeg&amp;" "," ")))/(LEN(L_PendNeg)+1)),1,0),1)</f>
        <v>0</v>
      </c>
      <c r="BJ364" s="61" t="n">
        <f aca="false">IFERROR(IF(SUMPRODUCT((LEN(BE364)-LEN(SUBSTITUTE(BE364," "&amp;L_Pending&amp;" "," ")))/(LEN(L_Pending)+1))&gt;SUMPRODUCT((LEN(BE364)-LEN(SUBSTITUTE(BE364," "&amp;L_PendNeg&amp;" "," ")))/(LEN(L_PendNeg)+1))+SUMPRODUCT((LEN(BE364)-LEN(SUBSTITUTE(BE364," "&amp;L_PendPrep&amp;" "," ")))/(LEN(L_PendPrep)+1)),1,0),1)</f>
        <v>0</v>
      </c>
      <c r="BK364" s="61" t="n">
        <f aca="false">IFERROR(IF(SUMPRODUCT((LEN(BF364)-LEN(SUBSTITUTE(BF364," "&amp;L_PendStrict&amp;" "," ")))/(LEN(L_PendStrict)+1))&gt;SUMPRODUCT((LEN(BF364)-LEN(SUBSTITUTE(BF364," "&amp;L_PendNeg&amp;" "," ")))/(LEN(L_PendNeg)+1)),1,0),1)</f>
        <v>0</v>
      </c>
      <c r="BL364" s="61" t="n">
        <f aca="false">IF(ISNA(MATCH(TRIM(S364),L_EvidenceType,0)),0,BZ364)</f>
        <v>0</v>
      </c>
      <c r="BM364" s="61" t="str">
        <f aca="false">SUBSTITUTE(SUBSTITUTE(SUBSTITUTE(SUBSTITUTE(SUBSTITUTE(SUBSTITUTE(SUBSTITUTE(SUBSTITUTE(SUBSTITUTE(LOWER(Z364&amp;""),"1","0"),"2","0"),"3","0"),"4","0"),"5","0"),"6","0"),"7","0"),"8","0"),"9","0")</f>
        <v/>
      </c>
      <c r="BN364" s="61" t="str">
        <f aca="false">SUBSTITUTE(SUBSTITUTE(SUBSTITUTE(SUBSTITUTE(SUBSTITUTE(SUBSTITUTE(SUBSTITUTE(SUBSTITUTE(SUBSTITUTE(SUBSTITUTE(SUBSTITUTE(SUBSTITUTE(SUBSTITUTE(SUBSTITUTE(SUBSTITUTE(SUBSTITUTE(SUBSTITUTE(SUBSTITUTE(SUBSTITUTE(SUBSTITUTE(SUBSTITUTE(SUBSTITUTE(SUBSTITUTE(SUBSTITUTE(SUBSTITUTE(BM364,"b","a"),"c","a"),"d","a"),"e","a"),"f","a"),"g","a"),"h","a"),"i","a"),"j","a"),"k","a"),"l","a"),"m","a"),"n","a"),"o","a"),"p","a"),"q","a"),"r","a"),"s","a"),"t","a"),"u","a"),"v","a"),"w","a"),"x","a"),"y","a"),"z","a")</f>
        <v/>
      </c>
      <c r="BO364" s="61" t="str">
        <f aca="false">SUBSTITUTE(SUBSTITUTE(SUBSTITUTE(SUBSTITUTE(SUBSTITUTE(SUBSTITUTE(SUBSTITUTE(SUBSTITUTE(SUBSTITUTE(LOWER(W364&amp;""),"1","0"),"2","0"),"3","0"),"4","0"),"5","0"),"6","0"),"7","0"),"8","0"),"9","0")</f>
        <v/>
      </c>
      <c r="BP364" s="61" t="str">
        <f aca="false">SUBSTITUTE(SUBSTITUTE(SUBSTITUTE(SUBSTITUTE(SUBSTITUTE(SUBSTITUTE(SUBSTITUTE(SUBSTITUTE(SUBSTITUTE(SUBSTITUTE(SUBSTITUTE(SUBSTITUTE(SUBSTITUTE(SUBSTITUTE(SUBSTITUTE(SUBSTITUTE(SUBSTITUTE(SUBSTITUTE(SUBSTITUTE(SUBSTITUTE(SUBSTITUTE(SUBSTITUTE(SUBSTITUTE(SUBSTITUTE(SUBSTITUTE(BO364,"b","a"),"c","a"),"d","a"),"e","a"),"f","a"),"g","a"),"h","a"),"i","a"),"j","a"),"k","a"),"l","a"),"m","a"),"n","a"),"o","a"),"p","a"),"q","a"),"r","a"),"s","a"),"t","a"),"u","a"),"v","a"),"w","a"),"x","a"),"y","a"),"z","a")</f>
        <v/>
      </c>
      <c r="BQ364" s="61" t="n">
        <f aca="false">IFERROR(IF(AND(ISERROR(SEARCH(" mh"," "&amp;LOWER(W364))),ISNA(MATCH(LEFT(TRIM(BP364),255),{"0000a","000a","00a","0000aa","000aa","00aa","0aa","0000aaa","000aaa","00a00","0a00","0000-0000","00:00","a00","a0","00.00.0000","00/00/0000","00-00-0000","0000-00-00","0000/00/00","0000.00.00","00.00.00","00/00/00","00-00-00","0.00.0000","0/00/0000","0-00-0000"},0)),ISNA(MATCH(LEFT(TRIM(CA364),255),{"0000a","000a","00a","0000aa","000aa","00aa","0aa","0000aaa","000aaa","00a00","0a00","0000-0000","00:00","a00","a0","00.00.0000","00/00/0000","00-00-0000","0000-00-00","0000/00/00","0000.00.00","00.00.00","00/00/00","00-00-00","0.00.0000","0/00/0000","0-00-0000"},0)),LEN(CB364)&gt;=3,NOT(OR(SUBSTITUTE(CB364,"0","")="",AND(LEN(CB364)&gt;=4,CB364=REPT(LEFT(CB364),LEN(CB364))),ISNUMBER(MATCH(CB364,{"123","1234","12345","123456","1234567","12345678","0123","01234","012345","98765","987654","54321"},0)),AND(LEN(CB364)=8,LEFT(CB364,3)="202"))),OR(AND((LEN(CA364)-LEN(SUBSTITUTE(CA364,"a","")))&gt;=1,SUMPRODUCT(--ISNUMBER(SEARCH({"a0","a-0","a_0","a/0","a.0","a#0","0a","0-a","0_a","0/a"},BP364)))&gt;0),ISNUMBER(SEARCH("000000",BP364)))),1,0),0)</f>
        <v>0</v>
      </c>
      <c r="BR364" s="61" t="n">
        <f aca="false">IFERROR(LEN(SUBSTITUTE(CC364," ",""))-SUMPRODUCT((LEN(CC364)-LEN(SUBSTITUTE(CC364," "&amp;L_Role&amp;" "," ")))/(LEN(L_Role)+1)*LEN(L_Role)),0)</f>
        <v>0</v>
      </c>
      <c r="BS364" s="61" t="n">
        <f aca="false">IFERROR(LEN(SUBSTITUTE(CD364," ",""))-SUMPRODUCT((LEN(CD364)-LEN(SUBSTITUTE(CD364," "&amp;L_Role&amp;" "," ")))/(LEN(L_Role)+1)*LEN(L_Role)),0)</f>
        <v>0</v>
      </c>
      <c r="BT3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364,"revision",""),"version",""),"jan",""),"feb",""),"mar",""),"apr",""),"may",""),"jun",""),"jul",""),"aug",""),"sep",""),"oct",""),"nov",""),"dec",""),"utc",""),"gmt",""),"myt",""),"bst",""),"rev",""),"ver",""),"b","a"),"c","a"),"d","a"),"e","a"),"f","a"),"g","a"),"h","a"),"i","a"),"j","a"),"k","a"),"l","a"),"m","a"),"n","a"),"o","a"),"p","a"),"q","a"),"r","a"),"s","a"),"t","a"),"u","a"),"v","a"),"w","a"),"x","a"),"y","a"),"z","a")</f>
        <v/>
      </c>
      <c r="BU364" s="61" t="str">
        <f aca="false">SUBSTITUTE(SUBSTITUTE(SUBSTITUTE(SUBSTITUTE(SUBSTITUTE(SUBSTITUTE(SUBSTITUTE(SUBSTITUTE(SUBSTITUTE(SUBSTITUTE(LEFT(BM364,FIND("0",BM364&amp;"0")-1),"-",""),"_",""),"/",""),".",""),"#",""),"\\",""),":","")," ",""),"(",""),")","")</f>
        <v/>
      </c>
      <c r="BV364" s="61" t="n">
        <f aca="false">0</f>
        <v>0</v>
      </c>
      <c r="BW3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364&amp;""),"a",""),"b",""),"c",""),"d",""),"e",""),"f",""),"g",""),"h",""),"i",""),"j",""),"k",""),"l",""),"m",""),"n",""),"o",""),"p",""),"q",""),"r",""),"s",""),"t",""),"u",""),"v",""),"w",""),"x",""),"y",""),"z",""),"-",""),"_",""),"/",""),".",""),"#",""),"\\",""),":","")," ",""),"(",""),")","")</f>
        <v/>
      </c>
      <c r="BX364" s="61" t="str">
        <f aca="false">SUBSTITUTE(SUBSTITUTE(SUBSTITUTE(SUBSTITUTE(SUBSTITUTE(SUBSTITUTE(SUBSTITUTE(SUBSTITUTE(SUBSTITUTE(SUBSTITUTE(SUBSTITUTE(BM364,"0",""),"-",""),"_",""),"/",""),".",""),"#",""),"\\",""),":","")," ",""),"(",""),")","")</f>
        <v/>
      </c>
      <c r="BY364" s="62" t="n">
        <f aca="false">Q364-T7EarlyD*24/24</f>
        <v>46286.3263888889</v>
      </c>
      <c r="BZ364" s="61" t="n">
        <f aca="false">IFERROR(IF(IF(TRIM(S364)="Link / file path",AND(LEN(TRIM(Z364))&gt;=5,SUMPRODUCT(--ISNUMBER(SEARCH({"http","www.","\\",":\",".pdf",".jpg",".jpeg",".png",".heic",".xls",".doc",".msg",".eml",".ppt",".txt",".zip"},Z364)))&gt;0),AND(ISERROR(FIND(" ",TRIM(Z364))),NOT(OR(SUMPRODUCT(--ISNUMBER(FIND({",",";","&amp;","+"},Z364)))&gt;0,SUMPRODUCT(--ISNUMBER(SEARCH({"0/aa","0\\aa"},BN364)))&gt;0)),NOT(SUMPRODUCT(--ISNUMBER(SEARCH({"http","www.","\\",":\",".pdf",".jpg",".jpeg",".png",".heic",".xls",".doc",".msg",".eml",".ppt",".txt",".zip"},Z364)))&gt;0),NOT(LOWER(TRIM(Z364))=LOWER(Flights!$F$15)),ISNA(MATCH(BU364,{"mh","rev","revision","ver","version","v","r","a","b","seat","tray","row","gate","bay","stand","page","pg","item","line","no","cart","galley","flight","flt","table","box","bag","oven","etd","eta","std","sta","atd","ata","qty","pax","x","time","tel","ph","mob","day","wk","week","utc","gmt","myt","lt"},0)),NOT(OR(ISNUMBER(MATCH(LEFT(BN364,255),{"0000a","000a","00a","0000aa","000aa","00aa","0aa","0000aaa","000aaa","00a00","0a00","0000-0000","00:00","a00","a0","00.00.0000","00/00/0000","00-00-0000","0000-00-00","0000/00/00","0000.00.00","00.00.00","00/00/00","00-00-00","0.00.0000","0/00/0000","0-00-0000"},0)),ISNUMBER(MATCH(LEFT(BT364,255),{"0000a","000a","00a","0000aa","000aa","00aa","0aa","0000aaa","000aaa","00a00","0a00","0000-0000","00:00","a00","a0","00.00.0000","00/00/0000","00-00-0000","0000-00-00","0000/00/00","0000.00.00","00.00.00","00/00/00","00-00-00","0.00.0000","0/00/0000","0-00-0000"},0)))),NOT(OR(AND(BW364&lt;&gt;"",SUBSTITUTE(BW364,"0","")=""),AND(LEN(BW364)&gt;=4,BW364=REPT(LEFT(BW364),LEN(BW364))),ISNUMBER(MATCH(BW364,{"123","1234","12345","123456","1234567","12345678","0123","01234","012345","98765","987654","54321"},0)),ISNUMBER(MATCH(BX364,{"x","xx","xxx","xxxx","xxxxx","abc","abcd","nil","na","nan","test","tbc","tba","tbd","dummy","sample","example","eg","zz","zzz","none","null","xyz","qwe","asd","id","ref"},0)),AND(LEN(BW364)=8,BX364="",OR(LEFT(BW364,3)="202",ISNUMBER(MATCH(RIGHT(BW364,4),{"2025","2026","2027"},0)))))),OR(AND((LEN(BT364)-LEN(SUBSTITUTE(BT364,"a","")))&gt;=1,(LEN(BN364)-LEN(SUBSTITUTE(BN364,"0","")))&gt;=2,SUMPRODUCT(--ISNUMBER(SEARCH({"a0","a-0","a_0","a/0","a.0","a#0","0a","0-a","0_a","0/a"},BN364)))&gt;0),AND((LEN(BN364)-LEN(SUBSTITUTE(BN364,"a","")))=0,(LEN(BN364)-LEN(SUBSTITUTE(BN364,"0","")))&gt;=5)))),1,0),0)</f>
        <v>0</v>
      </c>
      <c r="CA3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364,"revision",""),"version",""),"jan",""),"feb",""),"mar",""),"apr",""),"may",""),"jun",""),"jul",""),"aug",""),"sep",""),"oct",""),"nov",""),"dec",""),"utc",""),"gmt",""),"myt",""),"bst",""),"rev",""),"ver",""),"b","a"),"c","a"),"d","a"),"e","a"),"f","a"),"g","a"),"h","a"),"i","a"),"j","a"),"k","a"),"l","a"),"m","a"),"n","a"),"o","a"),"p","a"),"q","a"),"r","a"),"s","a"),"t","a"),"u","a"),"v","a"),"w","a"),"x","a"),"y","a"),"z","a")</f>
        <v/>
      </c>
      <c r="CB3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364&amp;""),"a",""),"b",""),"c",""),"d",""),"e",""),"f",""),"g",""),"h",""),"i",""),"j",""),"k",""),"l",""),"m",""),"n",""),"o",""),"p",""),"q",""),"r",""),"s",""),"t",""),"u",""),"v",""),"w",""),"x",""),"y",""),"z",""),"-",""),"_",""),"/",""),".",""),"#",""),"\\",""),":","")," ",""),"(",""),")","")</f>
        <v/>
      </c>
      <c r="CC364" s="0" t="str">
        <f aca="false">" "&amp;TRIM(SUBSTITUTE(SUBSTITUTE(SUBSTITUTE(SUBSTITUTE(SUBSTITUTE(SUBSTITUTE(SUBSTITUTE(SUBSTITUTE(SUBSTITUTE(SUBSTITUTE(SUBSTITUTE(SUBSTITUTE(SUBSTITUTE(SUBSTITUTE(SUBSTITUTE(SUBSTITUTE(SUBSTITUTE(SUBSTITUTE(SUBSTITUTE(SUBSTITUTE(SUBSTITUTE(SUBSTITUTE(SUBSTITUTE(SUBSTITUTE(LOWER(T364&amp;""),CHAR(10)," "),CHAR(13)," "),CHAR(9)," "),CHAR(160)," "),"."," "),","," "),"-"," "),"/"," "),"("," "),")"," "),":"," "),";"," "),"_"," "),"–"," "),"?"," "),"!"," "),"*"," "),"["," "),"]"," "),"'"," "),"#"," "),"+"," "),"&amp;"," "),"\"," "))&amp;" "</f>
        <v>  </v>
      </c>
      <c r="CD364" s="0" t="str">
        <f aca="false">" "&amp;TRIM(SUBSTITUTE(SUBSTITUTE(SUBSTITUTE(SUBSTITUTE(SUBSTITUTE(SUBSTITUTE(SUBSTITUTE(SUBSTITUTE(SUBSTITUTE(SUBSTITUTE(SUBSTITUTE(SUBSTITUTE(SUBSTITUTE(SUBSTITUTE(SUBSTITUTE(SUBSTITUTE(SUBSTITUTE(SUBSTITUTE(SUBSTITUTE(SUBSTITUTE(SUBSTITUTE(SUBSTITUTE(SUBSTITUTE(SUBSTITUTE(LOWER(AE364&amp;""),CHAR(10)," "),CHAR(13)," "),CHAR(9)," "),CHAR(160)," "),"."," "),","," "),"-"," "),"/"," "),"("," "),")"," "),":"," "),";"," "),"_"," "),"–"," "),"?"," "),"!"," "),"*"," "),"["," "),"]"," "),"'"," "),"#"," "),"+"," "),"&amp;"," "),"\"," "))&amp;" "</f>
        <v>  </v>
      </c>
      <c r="CE364" s="68" t="n">
        <f aca="false">IFERROR(IF(AND(LEN(AU364)&gt;0,LEN(AU364)=LEN(AX364),OR(TRIM(MID(SUBSTITUTE(TRIM(CC364)," ",REPT(" ",60)),1,60))="",ISNUMBER(SEARCH(" "&amp;TRIM(MID(SUBSTITUTE(TRIM(CC364)," ",REPT(" ",60)),1,60))&amp;" ",CD364))),OR(TRIM(MID(SUBSTITUTE(TRIM(CC364)," ",REPT(" ",60)),61,60))="",ISNUMBER(SEARCH(" "&amp;TRIM(MID(SUBSTITUTE(TRIM(CC364)," ",REPT(" ",60)),61,60))&amp;" ",CD364))),OR(TRIM(MID(SUBSTITUTE(TRIM(CC364)," ",REPT(" ",60)),121,60))="",ISNUMBER(SEARCH(" "&amp;TRIM(MID(SUBSTITUTE(TRIM(CC364)," ",REPT(" ",60)),121,60))&amp;" ",CD364)))),1,0),0)</f>
        <v>0</v>
      </c>
      <c r="CG364" s="68" t="n">
        <f aca="false">IFERROR(LEN(SUBSTITUTE(BF364," ",""))-SUMPRODUCT((LEN(BF364)-LEN(SUBSTITUTE(BF364," "&amp;L_NAFiller&amp;" "," ")))/(LEN(L_NAFiller)+1)*LEN(L_NAFiller)),0)</f>
        <v>0</v>
      </c>
    </row>
    <row r="365" customFormat="false" ht="41.25" hidden="false" customHeight="true" outlineLevel="0" collapsed="false">
      <c r="A365" s="57" t="s">
        <v>966</v>
      </c>
      <c r="B365" s="57" t="s">
        <v>258</v>
      </c>
      <c r="C365" s="57" t="str">
        <f aca="false">Flights!$F$15</f>
        <v>MH1149</v>
      </c>
      <c r="D365" s="58" t="n">
        <f aca="false">Flights!$D$15</f>
        <v>46307</v>
      </c>
      <c r="E365" s="57" t="str">
        <f aca="false">Flights!$G$15&amp;"-"&amp;Flights!$H$15</f>
        <v>PEN-KUL</v>
      </c>
      <c r="F365" s="57" t="str">
        <f aca="false">Flights!$K$15</f>
        <v>EY</v>
      </c>
      <c r="G365" s="57" t="s">
        <v>81</v>
      </c>
      <c r="H365" s="57" t="s">
        <v>378</v>
      </c>
      <c r="I365" s="57" t="s">
        <v>411</v>
      </c>
      <c r="J365" s="57" t="s">
        <v>412</v>
      </c>
      <c r="K365" s="67" t="s">
        <v>922</v>
      </c>
      <c r="L365" s="67" t="s">
        <v>923</v>
      </c>
      <c r="M365" s="67"/>
      <c r="N365" s="67" t="s">
        <v>383</v>
      </c>
      <c r="O365" s="67" t="s">
        <v>967</v>
      </c>
      <c r="P365" s="57" t="s">
        <v>187</v>
      </c>
      <c r="Q365" s="59" t="n">
        <f aca="false">ROUND((Flights!$AC$15)*1440,0)/1440</f>
        <v>46300.3263888889</v>
      </c>
      <c r="R365" s="59" t="n">
        <f aca="false">Q365+(IF(AND(INDEX(TZ_DSTS,MATCH(P365,TZ_STN,0))&lt;&gt;"",Q365&gt;=INDEX(TZ_DSTS,MATCH(P365,TZ_STN,0)),Q365&lt;INDEX(TZ_DSTE,MATCH(P365,TZ_STN,0))),INDEX(TZ_DST,MATCH(P365,TZ_STN,0)),INDEX(TZ_STD,MATCH(P365,TZ_STN,0))))/24</f>
        <v>46300.6597222222</v>
      </c>
      <c r="S365" s="60"/>
      <c r="T365" s="60"/>
      <c r="U365" s="60"/>
      <c r="V365" s="60"/>
      <c r="W365" s="61"/>
      <c r="X365" s="60"/>
      <c r="Y365" s="60"/>
      <c r="Z365" s="60"/>
      <c r="AA365" s="60"/>
      <c r="AB365" s="60"/>
      <c r="AC365" s="60"/>
      <c r="AD365" s="66"/>
      <c r="AE365" s="60"/>
      <c r="AF365" s="61" t="str">
        <f aca="false">IF(AND(ISNUMBER(X365),ISNUMBER(Y365)),Y365-X365,"")</f>
        <v/>
      </c>
      <c r="AG365" s="62" t="str">
        <f aca="false">IF(ISNUMBER(AD365),AD365-(IF(AND(INDEX(TZ_DSTS,MATCH(P365,TZ_STN,0))&lt;&gt;"",(AD365-INDEX(TZ_STD,MATCH(P365,TZ_STN,0))/24)&gt;=INDEX(TZ_DSTS,MATCH(P365,TZ_STN,0)),(AD365-INDEX(TZ_STD,MATCH(P365,TZ_STN,0))/24)&lt;INDEX(TZ_DSTE,MATCH(P365,TZ_STN,0))),INDEX(TZ_DST,MATCH(P365,TZ_STN,0)),INDEX(TZ_STD,MATCH(P365,TZ_STN,0))))/24,"")</f>
        <v/>
      </c>
      <c r="AH365" s="65" t="str">
        <f aca="false">IFERROR(IF(N365="N/A – rule",IF(OR(TRIM(U365)="",TRIM(U365)="N/A",TRIM(U365)="Not started"),"N/A – RULE","INVALID – this check does not apply to this aircraft: clear the status (or correct the fleet on Flights)"),IF(TRIM(U365)="N/A",IF(AT365=0,"INVALID – N/A not permitted for this check",IF(AND(TRIM(AB365)&lt;&gt;"",TRIM(AB365)&lt;&gt;"Closed"),"INVALID – corrective action still open",IF(AND(NOT(OR(LEN(AZ365)&lt;15,ISNUMBER(MATCH(AZ365,L_Placeholder,0)))),BK365=0,CG365&gt;=8,NOT(OR(LEN(AU365)&lt;2,ISNUMBER(MATCH(AU365,L_Placeholder,0)))),BR365&gt;=3,NOT(OR(LEN(AX365)&lt;2,ISNUMBER(MATCH(AX365,L_Placeholder,0)))),BS365&gt;=3,TRIM(AE365)&lt;&gt;TRIM(T365),AX365&lt;&gt;AU365,CE365=0),"N/A – JUSTIFIED","INVALID – N/A needs a real, settled reason (not 'not applicable' / 'as above' / TBC), a named PIC and a different named verifier"))),IF(OR(TRIM(U365)="Pass",TRIM(U365)="Pass after CA"),IF(NOT(ISNUMBER(AD365)),"INVALID – completion time missing",IF(OR(OR(LEN(AU365)&lt;2,ISNUMBER(MATCH(AU365,L_Placeholder,0))),BR365&lt;3),"INVALID – PIC missing or not a named person (a role such as QA / CSM is not a name)",IF(OR(LEN(AV365)&lt;2,ISNUMBER(MATCH(AV365,L_Placeholder,0))),"INVALID – result / assessment missing",IF(OR(OR(LEN(AW365)&lt;3,ISNUMBER(MATCH(AW365,L_Placeholder,0))),SUMPRODUCT(--ISNUMBER(SEARCH(" "&amp;L_EvidencePhrase&amp;" ",BD365)))&gt;0,BI365=1),"INVALID – evidence missing, placeholder or not yet on file",IF(ISNA(MATCH(TRIM(S365),L_EvidenceType,0)),"INVALID – choose the evidence type from the list (column S)",IF(BL365=0,"INVALID – evidence ID must be the record's own ID only (e.g. SF-2210, IMG_2231, 1045521); a link / file name needs type 'Link / file path'",IF(OR(OR(LEN(AX365)&lt;2,ISNUMBER(MATCH(AX365,L_Placeholder,0))),BS365&lt;3),"INVALID – verifier missing or not a named person (a role such as QA / CSM is not a name)",IF(OR(AX365=AU365,CE365=1,AND(LEN(AU365)&gt;=4,ISNUMBER(SEARCH(AU365,AX365))),AND(LEN(AX365)&gt;=4,ISNUMBER(SEARCH(AX365,AU365)))),"INVALID – verifier must be a different, named person (not the PIC or a role)",IF(BH365=1,"INVALID – result not yet available (awaiting / TBC)",IF(BG365=1,"INVALID – result describes a problem: record Fail, then Pass after CA (or reword if it is not a problem)",IF(BV365=1,"INVALID – wording says not on board: an on-board confirmation needs the item loaded",IF(AND(AQ365=1,OR(OR(LEN(AY365)&lt;3,ISNUMBER(MATCH(AY365,L_Placeholder,0))),BJ365=1,BQ365=0)),"INVALID – batch ID missing, placeholder or not an ID (e.g. PASB-261008-BC-017)",IF(AND(AR365=1,OR(NOT(ISNUMBER(X365)),NOT(ISNUMBER(Y365)))),"INVALID – expected/actual qty missing",IF(AND(AR365=1,OR(X365&lt;=0,Y365&lt;0)),"INVALID – expected qty must be above 0 and actual not negative",IF(BB365&lt;&gt;"",BB365,IF(AND(AS365=1,Documents!$J$15&lt;&gt;"ON FILE"),"INVALID – GLD not on file (Documents sheet)",IF(AND(AS365=2,Documents!$O$15&lt;&gt;"ON FILE"),"INVALID – menu checklist not on file (Documents sheet)",IF(AND(AS365=3,NOT(ISNUMBER(Flights!$AX$15))),"INVALID – enter carrying flight KUL departure (Flights AX)",IF(AND(AS365=3,OR(Flights!$AZ$15&gt;Flights!$AA$15,Flights!$AX$15&lt;Flights!$AA$15-3)),"INVALID – carrying flight (Flights AX) cannot arrive before this leg's STD, or is over 3 days early",IF(AG365&gt;AsOfUTC,"INVALID – completion time is in the future",IF(AND(ISNUMBER(BY365),AG365&lt;BY365),IF(H365="Physical uplift","INVALID – before uplift window (cannot confirm loading)","INVALID – before valid window"),IF(AG365&gt;Flights!$AA$15,"INVALID – completed after departure (cannot establish readiness)",IF(AND(H365="Preparation",AG365&gt;=IF(ISNUMBER(Flights!$BA$15),MIN(Flights!$BA$15,Flights!$AA$15),Flights!$AA$15)),"INVALID – completed after loading / departure (cannot establish readiness)",IF(AND(H365="Physical uplift",AG365&gt;Q365),"INVALID – recorded after the loading flight departed",IF(AG365&gt;Q365,"COMPLETE – LATE","COMPLETE"))))))))))))))))))))))))),IF(TRIM(U365)="Fail","FAIL – DISCREPANCY",IF(AND(TRIM(U365)&lt;&gt;"",TRIM(U365)&lt;&gt;"Not started",TRIM(U365)&lt;&gt;"In progress"),"INVALID – unrecognised status (use the list)",IF(AsOfUTC&gt;Q365,"OVERDUE",IF(N365="Clarification required","OPEN – CLARIFICATION","OPEN"))))))),"INVALID – error value in an input cell")</f>
        <v>OPEN</v>
      </c>
      <c r="AI365" s="61" t="n">
        <f aca="false">IF(OR(AH365="N/A – RULE",AH365="N/A – JUSTIFIED"),0,1)</f>
        <v>1</v>
      </c>
      <c r="AJ365" s="61" t="n">
        <f aca="false">IF(LEFT(AH365,8)="COMPLETE",1,0)</f>
        <v>0</v>
      </c>
      <c r="AK365" s="61" t="n">
        <f aca="false">IF(AND(AI365=1,AJ365=0,AsOfUTC&gt;Q365),1,0)</f>
        <v>0</v>
      </c>
      <c r="AL365" s="61" t="n">
        <f aca="false">IFERROR(IF(AND(AI365=1,OR(TRIM(U365)="Fail",AND(TRIM(AB365)&lt;&gt;"",TRIM(AB365)&lt;&gt;"Closed"),AND(ISNUMBER(AF365),AF365&lt;&gt;0,TRIM(U365)&lt;&gt;"Pass after CA"))),1,0),1)</f>
        <v>0</v>
      </c>
      <c r="AM365" s="61" t="n">
        <f aca="false">IF(LEFT(AH365,7)="INVALID",1,0)</f>
        <v>0</v>
      </c>
      <c r="AN365" s="61" t="n">
        <f aca="false">IF(AND(N365="Clarification required",AI365=1,AJ365=0),1,0)</f>
        <v>0</v>
      </c>
      <c r="AO365" s="61" t="str">
        <f aca="false">IF(AK365=1,SUM(AK$5:AK365),"")</f>
        <v/>
      </c>
      <c r="AP365" s="61" t="str">
        <f aca="false">IF(AL365=1,SUM(AL$5:AL365),"")</f>
        <v/>
      </c>
      <c r="AQ365" s="61" t="n">
        <v>0</v>
      </c>
      <c r="AR365" s="61" t="n">
        <v>0</v>
      </c>
      <c r="AS365" s="61" t="n">
        <v>0</v>
      </c>
      <c r="AT365" s="61" t="n">
        <v>0</v>
      </c>
      <c r="AU365" s="61" t="str">
        <f aca="false">SUBSTITUTE(SUBSTITUTE(SUBSTITUTE(SUBSTITUTE(SUBSTITUTE(SUBSTITUTE(SUBSTITUTE(SUBSTITUTE(SUBSTITUTE(SUBSTITUTE(SUBSTITUTE(SUBSTITUTE(SUBSTITUTE(SUBSTITUTE(SUBSTITUTE(SUBSTITUTE(LOWER(T365&amp;""),CHAR(10),""),CHAR(13),""),CHAR(9),""),CHAR(160),"")," ",""),".",""),"-",""),"/",""),"?",""),"_",""),",",""),"[",""),"]",""),"(",""),")",""),"*","")</f>
        <v/>
      </c>
      <c r="AV365" s="61" t="str">
        <f aca="false">SUBSTITUTE(SUBSTITUTE(SUBSTITUTE(SUBSTITUTE(SUBSTITUTE(SUBSTITUTE(SUBSTITUTE(SUBSTITUTE(SUBSTITUTE(SUBSTITUTE(SUBSTITUTE(SUBSTITUTE(SUBSTITUTE(SUBSTITUTE(SUBSTITUTE(SUBSTITUTE(LOWER(V365&amp;""),CHAR(10),""),CHAR(13),""),CHAR(9),""),CHAR(160),"")," ",""),".",""),"-",""),"/",""),"?",""),"_",""),",",""),"[",""),"]",""),"(",""),")",""),"*","")</f>
        <v/>
      </c>
      <c r="AW365" s="61" t="str">
        <f aca="false">SUBSTITUTE(SUBSTITUTE(SUBSTITUTE(SUBSTITUTE(SUBSTITUTE(SUBSTITUTE(SUBSTITUTE(SUBSTITUTE(SUBSTITUTE(SUBSTITUTE(SUBSTITUTE(SUBSTITUTE(SUBSTITUTE(SUBSTITUTE(SUBSTITUTE(SUBSTITUTE(LOWER(Z365&amp;""),CHAR(10),""),CHAR(13),""),CHAR(9),""),CHAR(160),"")," ",""),".",""),"-",""),"/",""),"?",""),"_",""),",",""),"[",""),"]",""),"(",""),")",""),"*","")</f>
        <v/>
      </c>
      <c r="AX365" s="61" t="str">
        <f aca="false">SUBSTITUTE(SUBSTITUTE(SUBSTITUTE(SUBSTITUTE(SUBSTITUTE(SUBSTITUTE(SUBSTITUTE(SUBSTITUTE(SUBSTITUTE(SUBSTITUTE(SUBSTITUTE(SUBSTITUTE(SUBSTITUTE(SUBSTITUTE(SUBSTITUTE(SUBSTITUTE(LOWER(AE365&amp;""),CHAR(10),""),CHAR(13),""),CHAR(9),""),CHAR(160),"")," ",""),".",""),"-",""),"/",""),"?",""),"_",""),",",""),"[",""),"]",""),"(",""),")",""),"*","")</f>
        <v/>
      </c>
      <c r="AY365" s="61" t="str">
        <f aca="false">SUBSTITUTE(SUBSTITUTE(SUBSTITUTE(SUBSTITUTE(SUBSTITUTE(SUBSTITUTE(SUBSTITUTE(SUBSTITUTE(SUBSTITUTE(SUBSTITUTE(SUBSTITUTE(SUBSTITUTE(SUBSTITUTE(SUBSTITUTE(SUBSTITUTE(SUBSTITUTE(LOWER(W365&amp;""),CHAR(10),""),CHAR(13),""),CHAR(9),""),CHAR(160),"")," ",""),".",""),"-",""),"/",""),"?",""),"_",""),",",""),"[",""),"]",""),"(",""),")",""),"*","")</f>
        <v/>
      </c>
      <c r="AZ365" s="61" t="str">
        <f aca="false">SUBSTITUTE(SUBSTITUTE(SUBSTITUTE(SUBSTITUTE(SUBSTITUTE(SUBSTITUTE(SUBSTITUTE(SUBSTITUTE(SUBSTITUTE(SUBSTITUTE(SUBSTITUTE(SUBSTITUTE(SUBSTITUTE(SUBSTITUTE(SUBSTITUTE(SUBSTITUTE(LOWER(AC365&amp;""),CHAR(10),""),CHAR(13),""),CHAR(9),""),CHAR(160),"")," ",""),".",""),"-",""),"/",""),"?",""),"_",""),",",""),"[",""),"]",""),"(",""),")",""),"*","")</f>
        <v/>
      </c>
      <c r="BA365" s="61" t="str">
        <f aca="false">SUBSTITUTE(SUBSTITUTE(SUBSTITUTE(SUBSTITUTE(SUBSTITUTE(SUBSTITUTE(SUBSTITUTE(SUBSTITUTE(SUBSTITUTE(SUBSTITUTE(SUBSTITUTE(SUBSTITUTE(SUBSTITUTE(SUBSTITUTE(SUBSTITUTE(SUBSTITUTE(LOWER(AA365&amp;""),CHAR(10),""),CHAR(13),""),CHAR(9),""),CHAR(160),"")," ",""),".",""),"-",""),"/",""),"?",""),"_",""),",",""),"[",""),"]",""),"(",""),")",""),"*","")</f>
        <v/>
      </c>
      <c r="BB365" s="61" t="str">
        <f aca="false">IF(AND(TRIM(U365)="Pass",ISNUMBER(AF365)),IF(AF365&lt;&gt;0,"INVALID – qty variance: use Fail or Pass after CA",""),"")&amp;IF(AND(TRIM(U365)="Pass after CA",ISNUMBER(AF365)),IF(AF365&lt;&gt;0,"INVALID – after the corrective action the actual qty must equal expected (update Actual)",""),"")&amp;IF(AND(TRIM(U365)="Pass",TRIM(AB365)&lt;&gt;"",TRIM(AB365)&lt;&gt;"Closed"),"INVALID – corrective action not closed: use Fail, then Pass after CA","")&amp;IF(AND(LEN(BA365)&gt;=2,ISNA(MATCH(LEFT(BA365,255),L_Placeholder,0)),TRIM(AB365)=""),"INVALID – CA status missing for the recorded corrective action","")&amp;IF(AND(TRIM(U365)="Pass after CA",OR(OR(LEN(BA365)&lt;5,ISNUMBER(MATCH(BA365,L_Placeholder,0))),TRIM(AB365)&lt;&gt;"Closed")),"INVALID – corrective action not recorded/closed","")</f>
        <v/>
      </c>
      <c r="BC365" s="61" t="str">
        <f aca="false">" "&amp;TRIM(SUBSTITUTE(SUBSTITUTE(SUBSTITUTE(SUBSTITUTE(SUBSTITUTE(SUBSTITUTE(SUBSTITUTE(SUBSTITUTE(SUBSTITUTE(SUBSTITUTE(SUBSTITUTE(SUBSTITUTE(SUBSTITUTE(SUBSTITUTE(SUBSTITUTE(SUBSTITUTE(SUBSTITUTE(SUBSTITUTE(SUBSTITUTE(SUBSTITUTE(SUBSTITUTE(SUBSTITUTE(SUBSTITUTE(SUBSTITUTE(LOWER(V365&amp;""),CHAR(10)," "),CHAR(13)," "),CHAR(9)," "),CHAR(160)," "),"."," "),","," "),"-"," "),"/"," "),"("," "),")"," "),":"," "),";"," "),"_"," "),"–"," "),"?"," "),"!"," "),"*"," "),"["," "),"]"," "),"'"," "),"#"," "),"+"," "),"&amp;"," "),"\"," "))&amp;" "</f>
        <v>  </v>
      </c>
      <c r="BD365" s="61" t="str">
        <f aca="false">" "&amp;TRIM(SUBSTITUTE(SUBSTITUTE(SUBSTITUTE(SUBSTITUTE(SUBSTITUTE(SUBSTITUTE(SUBSTITUTE(SUBSTITUTE(SUBSTITUTE(SUBSTITUTE(SUBSTITUTE(SUBSTITUTE(SUBSTITUTE(SUBSTITUTE(SUBSTITUTE(SUBSTITUTE(SUBSTITUTE(SUBSTITUTE(SUBSTITUTE(SUBSTITUTE(SUBSTITUTE(SUBSTITUTE(SUBSTITUTE(SUBSTITUTE(LOWER(Z365&amp;""),CHAR(10)," "),CHAR(13)," "),CHAR(9)," "),CHAR(160)," "),"."," "),","," "),"-"," "),"/"," "),"("," "),")"," "),":"," "),";"," "),"_"," "),"–"," "),"?"," "),"!"," "),"*"," "),"["," "),"]"," "),"'"," "),"#"," "),"+"," "),"&amp;"," "),"\"," "))&amp;" "</f>
        <v>  </v>
      </c>
      <c r="BE365" s="61" t="str">
        <f aca="false">" "&amp;TRIM(SUBSTITUTE(SUBSTITUTE(SUBSTITUTE(SUBSTITUTE(SUBSTITUTE(SUBSTITUTE(SUBSTITUTE(SUBSTITUTE(SUBSTITUTE(SUBSTITUTE(SUBSTITUTE(SUBSTITUTE(SUBSTITUTE(SUBSTITUTE(SUBSTITUTE(SUBSTITUTE(SUBSTITUTE(SUBSTITUTE(SUBSTITUTE(SUBSTITUTE(SUBSTITUTE(SUBSTITUTE(SUBSTITUTE(SUBSTITUTE(LOWER(W365&amp;""),CHAR(10)," "),CHAR(13)," "),CHAR(9)," "),CHAR(160)," "),"."," "),","," "),"-"," "),"/"," "),"("," "),")"," "),":"," "),";"," "),"_"," "),"–"," "),"?"," "),"!"," "),"*"," "),"["," "),"]"," "),"'"," "),"#"," "),"+"," "),"&amp;"," "),"\"," "))&amp;" "</f>
        <v>  </v>
      </c>
      <c r="BF365" s="61" t="str">
        <f aca="false">" "&amp;TRIM(SUBSTITUTE(SUBSTITUTE(SUBSTITUTE(SUBSTITUTE(SUBSTITUTE(SUBSTITUTE(SUBSTITUTE(SUBSTITUTE(SUBSTITUTE(SUBSTITUTE(SUBSTITUTE(SUBSTITUTE(SUBSTITUTE(SUBSTITUTE(SUBSTITUTE(SUBSTITUTE(SUBSTITUTE(SUBSTITUTE(SUBSTITUTE(SUBSTITUTE(SUBSTITUTE(SUBSTITUTE(SUBSTITUTE(SUBSTITUTE(LOWER(AC365&amp;""),CHAR(10)," "),CHAR(13)," "),CHAR(9)," "),CHAR(160)," "),"."," "),","," "),"-"," "),"/"," "),"("," "),")"," "),":"," "),";"," "),"_"," "),"–"," "),"?"," "),"!"," "),"*"," "),"["," "),"]"," "),"'"," "),"#"," "),"+"," "),"&amp;"," "),"\"," "))&amp;" "</f>
        <v>  </v>
      </c>
      <c r="BG365" s="61" t="n">
        <f aca="false">IFERROR(IF(AND(TRIM(U365)="Pass",SUMPRODUCT((LEN(BC365)-LEN(SUBSTITUTE(BC365," "&amp;L_ResultBad&amp;" "," ")))/(LEN(L_ResultBad)+1))&gt;SUMPRODUCT((LEN(BC365)-LEN(SUBSTITUTE(BC365," "&amp;L_NegPhrase&amp;" "," ")))/(LEN(L_NegPhrase)+1))),1,0),0)</f>
        <v>0</v>
      </c>
      <c r="BH365" s="61" t="n">
        <f aca="false">IFERROR(IF(SUMPRODUCT((LEN(BC365)-LEN(SUBSTITUTE(BC365," "&amp;L_Pending&amp;" "," ")))/(LEN(L_Pending)+1))&gt;SUMPRODUCT((LEN(BC365)-LEN(SUBSTITUTE(BC365," "&amp;L_PendNeg&amp;" "," ")))/(LEN(L_PendNeg)+1))+SUMPRODUCT((LEN(BC365)-LEN(SUBSTITUTE(BC365," "&amp;L_PendPrep&amp;" "," ")))/(LEN(L_PendPrep)+1)),1,0),1)</f>
        <v>0</v>
      </c>
      <c r="BI365" s="61" t="n">
        <f aca="false">IFERROR(IF(SUMPRODUCT((LEN(BD365)-LEN(SUBSTITUTE(BD365," "&amp;L_PendStrict&amp;" "," ")))/(LEN(L_PendStrict)+1))&gt;SUMPRODUCT((LEN(BD365)-LEN(SUBSTITUTE(BD365," "&amp;L_PendNeg&amp;" "," ")))/(LEN(L_PendNeg)+1)),1,0),1)</f>
        <v>0</v>
      </c>
      <c r="BJ365" s="61" t="n">
        <f aca="false">IFERROR(IF(SUMPRODUCT((LEN(BE365)-LEN(SUBSTITUTE(BE365," "&amp;L_Pending&amp;" "," ")))/(LEN(L_Pending)+1))&gt;SUMPRODUCT((LEN(BE365)-LEN(SUBSTITUTE(BE365," "&amp;L_PendNeg&amp;" "," ")))/(LEN(L_PendNeg)+1))+SUMPRODUCT((LEN(BE365)-LEN(SUBSTITUTE(BE365," "&amp;L_PendPrep&amp;" "," ")))/(LEN(L_PendPrep)+1)),1,0),1)</f>
        <v>0</v>
      </c>
      <c r="BK365" s="61" t="n">
        <f aca="false">IFERROR(IF(SUMPRODUCT((LEN(BF365)-LEN(SUBSTITUTE(BF365," "&amp;L_PendStrict&amp;" "," ")))/(LEN(L_PendStrict)+1))&gt;SUMPRODUCT((LEN(BF365)-LEN(SUBSTITUTE(BF365," "&amp;L_PendNeg&amp;" "," ")))/(LEN(L_PendNeg)+1)),1,0),1)</f>
        <v>0</v>
      </c>
      <c r="BL365" s="61" t="n">
        <f aca="false">IF(ISNA(MATCH(TRIM(S365),L_EvidenceType,0)),0,BZ365)</f>
        <v>0</v>
      </c>
      <c r="BM365" s="61" t="str">
        <f aca="false">SUBSTITUTE(SUBSTITUTE(SUBSTITUTE(SUBSTITUTE(SUBSTITUTE(SUBSTITUTE(SUBSTITUTE(SUBSTITUTE(SUBSTITUTE(LOWER(Z365&amp;""),"1","0"),"2","0"),"3","0"),"4","0"),"5","0"),"6","0"),"7","0"),"8","0"),"9","0")</f>
        <v/>
      </c>
      <c r="BN365" s="61" t="str">
        <f aca="false">SUBSTITUTE(SUBSTITUTE(SUBSTITUTE(SUBSTITUTE(SUBSTITUTE(SUBSTITUTE(SUBSTITUTE(SUBSTITUTE(SUBSTITUTE(SUBSTITUTE(SUBSTITUTE(SUBSTITUTE(SUBSTITUTE(SUBSTITUTE(SUBSTITUTE(SUBSTITUTE(SUBSTITUTE(SUBSTITUTE(SUBSTITUTE(SUBSTITUTE(SUBSTITUTE(SUBSTITUTE(SUBSTITUTE(SUBSTITUTE(SUBSTITUTE(BM365,"b","a"),"c","a"),"d","a"),"e","a"),"f","a"),"g","a"),"h","a"),"i","a"),"j","a"),"k","a"),"l","a"),"m","a"),"n","a"),"o","a"),"p","a"),"q","a"),"r","a"),"s","a"),"t","a"),"u","a"),"v","a"),"w","a"),"x","a"),"y","a"),"z","a")</f>
        <v/>
      </c>
      <c r="BO365" s="61" t="str">
        <f aca="false">SUBSTITUTE(SUBSTITUTE(SUBSTITUTE(SUBSTITUTE(SUBSTITUTE(SUBSTITUTE(SUBSTITUTE(SUBSTITUTE(SUBSTITUTE(LOWER(W365&amp;""),"1","0"),"2","0"),"3","0"),"4","0"),"5","0"),"6","0"),"7","0"),"8","0"),"9","0")</f>
        <v/>
      </c>
      <c r="BP365" s="61" t="str">
        <f aca="false">SUBSTITUTE(SUBSTITUTE(SUBSTITUTE(SUBSTITUTE(SUBSTITUTE(SUBSTITUTE(SUBSTITUTE(SUBSTITUTE(SUBSTITUTE(SUBSTITUTE(SUBSTITUTE(SUBSTITUTE(SUBSTITUTE(SUBSTITUTE(SUBSTITUTE(SUBSTITUTE(SUBSTITUTE(SUBSTITUTE(SUBSTITUTE(SUBSTITUTE(SUBSTITUTE(SUBSTITUTE(SUBSTITUTE(SUBSTITUTE(SUBSTITUTE(BO365,"b","a"),"c","a"),"d","a"),"e","a"),"f","a"),"g","a"),"h","a"),"i","a"),"j","a"),"k","a"),"l","a"),"m","a"),"n","a"),"o","a"),"p","a"),"q","a"),"r","a"),"s","a"),"t","a"),"u","a"),"v","a"),"w","a"),"x","a"),"y","a"),"z","a")</f>
        <v/>
      </c>
      <c r="BQ365" s="61" t="n">
        <f aca="false">IFERROR(IF(AND(ISERROR(SEARCH(" mh"," "&amp;LOWER(W365))),ISNA(MATCH(LEFT(TRIM(BP365),255),{"0000a","000a","00a","0000aa","000aa","00aa","0aa","0000aaa","000aaa","00a00","0a00","0000-0000","00:00","a00","a0","00.00.0000","00/00/0000","00-00-0000","0000-00-00","0000/00/00","0000.00.00","00.00.00","00/00/00","00-00-00","0.00.0000","0/00/0000","0-00-0000"},0)),ISNA(MATCH(LEFT(TRIM(CA365),255),{"0000a","000a","00a","0000aa","000aa","00aa","0aa","0000aaa","000aaa","00a00","0a00","0000-0000","00:00","a00","a0","00.00.0000","00/00/0000","00-00-0000","0000-00-00","0000/00/00","0000.00.00","00.00.00","00/00/00","00-00-00","0.00.0000","0/00/0000","0-00-0000"},0)),LEN(CB365)&gt;=3,NOT(OR(SUBSTITUTE(CB365,"0","")="",AND(LEN(CB365)&gt;=4,CB365=REPT(LEFT(CB365),LEN(CB365))),ISNUMBER(MATCH(CB365,{"123","1234","12345","123456","1234567","12345678","0123","01234","012345","98765","987654","54321"},0)),AND(LEN(CB365)=8,LEFT(CB365,3)="202"))),OR(AND((LEN(CA365)-LEN(SUBSTITUTE(CA365,"a","")))&gt;=1,SUMPRODUCT(--ISNUMBER(SEARCH({"a0","a-0","a_0","a/0","a.0","a#0","0a","0-a","0_a","0/a"},BP365)))&gt;0),ISNUMBER(SEARCH("000000",BP365)))),1,0),0)</f>
        <v>0</v>
      </c>
      <c r="BR365" s="61" t="n">
        <f aca="false">IFERROR(LEN(SUBSTITUTE(CC365," ",""))-SUMPRODUCT((LEN(CC365)-LEN(SUBSTITUTE(CC365," "&amp;L_Role&amp;" "," ")))/(LEN(L_Role)+1)*LEN(L_Role)),0)</f>
        <v>0</v>
      </c>
      <c r="BS365" s="61" t="n">
        <f aca="false">IFERROR(LEN(SUBSTITUTE(CD365," ",""))-SUMPRODUCT((LEN(CD365)-LEN(SUBSTITUTE(CD365," "&amp;L_Role&amp;" "," ")))/(LEN(L_Role)+1)*LEN(L_Role)),0)</f>
        <v>0</v>
      </c>
      <c r="BT3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365,"revision",""),"version",""),"jan",""),"feb",""),"mar",""),"apr",""),"may",""),"jun",""),"jul",""),"aug",""),"sep",""),"oct",""),"nov",""),"dec",""),"utc",""),"gmt",""),"myt",""),"bst",""),"rev",""),"ver",""),"b","a"),"c","a"),"d","a"),"e","a"),"f","a"),"g","a"),"h","a"),"i","a"),"j","a"),"k","a"),"l","a"),"m","a"),"n","a"),"o","a"),"p","a"),"q","a"),"r","a"),"s","a"),"t","a"),"u","a"),"v","a"),"w","a"),"x","a"),"y","a"),"z","a")</f>
        <v/>
      </c>
      <c r="BU365" s="61" t="str">
        <f aca="false">SUBSTITUTE(SUBSTITUTE(SUBSTITUTE(SUBSTITUTE(SUBSTITUTE(SUBSTITUTE(SUBSTITUTE(SUBSTITUTE(SUBSTITUTE(SUBSTITUTE(LEFT(BM365,FIND("0",BM365&amp;"0")-1),"-",""),"_",""),"/",""),".",""),"#",""),"\\",""),":","")," ",""),"(",""),")","")</f>
        <v/>
      </c>
      <c r="BV365" s="61" t="n">
        <f aca="false">0</f>
        <v>0</v>
      </c>
      <c r="BW3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365&amp;""),"a",""),"b",""),"c",""),"d",""),"e",""),"f",""),"g",""),"h",""),"i",""),"j",""),"k",""),"l",""),"m",""),"n",""),"o",""),"p",""),"q",""),"r",""),"s",""),"t",""),"u",""),"v",""),"w",""),"x",""),"y",""),"z",""),"-",""),"_",""),"/",""),".",""),"#",""),"\\",""),":","")," ",""),"(",""),")","")</f>
        <v/>
      </c>
      <c r="BX365" s="61" t="str">
        <f aca="false">SUBSTITUTE(SUBSTITUTE(SUBSTITUTE(SUBSTITUTE(SUBSTITUTE(SUBSTITUTE(SUBSTITUTE(SUBSTITUTE(SUBSTITUTE(SUBSTITUTE(SUBSTITUTE(BM365,"0",""),"-",""),"_",""),"/",""),".",""),"#",""),"\\",""),":","")," ",""),"(",""),")","")</f>
        <v/>
      </c>
      <c r="BY365" s="62" t="n">
        <f aca="false">Q365-T7EarlyD*24/24</f>
        <v>46286.3263888889</v>
      </c>
      <c r="BZ365" s="61" t="n">
        <f aca="false">IFERROR(IF(IF(TRIM(S365)="Link / file path",AND(LEN(TRIM(Z365))&gt;=5,SUMPRODUCT(--ISNUMBER(SEARCH({"http","www.","\\",":\",".pdf",".jpg",".jpeg",".png",".heic",".xls",".doc",".msg",".eml",".ppt",".txt",".zip"},Z365)))&gt;0),AND(ISERROR(FIND(" ",TRIM(Z365))),NOT(OR(SUMPRODUCT(--ISNUMBER(FIND({",",";","&amp;","+"},Z365)))&gt;0,SUMPRODUCT(--ISNUMBER(SEARCH({"0/aa","0\\aa"},BN365)))&gt;0)),NOT(SUMPRODUCT(--ISNUMBER(SEARCH({"http","www.","\\",":\",".pdf",".jpg",".jpeg",".png",".heic",".xls",".doc",".msg",".eml",".ppt",".txt",".zip"},Z365)))&gt;0),NOT(LOWER(TRIM(Z365))=LOWER(Flights!$F$15)),ISNA(MATCH(BU365,{"mh","rev","revision","ver","version","v","r","a","b","seat","tray","row","gate","bay","stand","page","pg","item","line","no","cart","galley","flight","flt","table","box","bag","oven","etd","eta","std","sta","atd","ata","qty","pax","x","time","tel","ph","mob","day","wk","week","utc","gmt","myt","lt"},0)),NOT(OR(ISNUMBER(MATCH(LEFT(BN365,255),{"0000a","000a","00a","0000aa","000aa","00aa","0aa","0000aaa","000aaa","00a00","0a00","0000-0000","00:00","a00","a0","00.00.0000","00/00/0000","00-00-0000","0000-00-00","0000/00/00","0000.00.00","00.00.00","00/00/00","00-00-00","0.00.0000","0/00/0000","0-00-0000"},0)),ISNUMBER(MATCH(LEFT(BT365,255),{"0000a","000a","00a","0000aa","000aa","00aa","0aa","0000aaa","000aaa","00a00","0a00","0000-0000","00:00","a00","a0","00.00.0000","00/00/0000","00-00-0000","0000-00-00","0000/00/00","0000.00.00","00.00.00","00/00/00","00-00-00","0.00.0000","0/00/0000","0-00-0000"},0)))),NOT(OR(AND(BW365&lt;&gt;"",SUBSTITUTE(BW365,"0","")=""),AND(LEN(BW365)&gt;=4,BW365=REPT(LEFT(BW365),LEN(BW365))),ISNUMBER(MATCH(BW365,{"123","1234","12345","123456","1234567","12345678","0123","01234","012345","98765","987654","54321"},0)),ISNUMBER(MATCH(BX365,{"x","xx","xxx","xxxx","xxxxx","abc","abcd","nil","na","nan","test","tbc","tba","tbd","dummy","sample","example","eg","zz","zzz","none","null","xyz","qwe","asd","id","ref"},0)),AND(LEN(BW365)=8,BX365="",OR(LEFT(BW365,3)="202",ISNUMBER(MATCH(RIGHT(BW365,4),{"2025","2026","2027"},0)))))),OR(AND((LEN(BT365)-LEN(SUBSTITUTE(BT365,"a","")))&gt;=1,(LEN(BN365)-LEN(SUBSTITUTE(BN365,"0","")))&gt;=2,SUMPRODUCT(--ISNUMBER(SEARCH({"a0","a-0","a_0","a/0","a.0","a#0","0a","0-a","0_a","0/a"},BN365)))&gt;0),AND((LEN(BN365)-LEN(SUBSTITUTE(BN365,"a","")))=0,(LEN(BN365)-LEN(SUBSTITUTE(BN365,"0","")))&gt;=5)))),1,0),0)</f>
        <v>0</v>
      </c>
      <c r="CA3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365,"revision",""),"version",""),"jan",""),"feb",""),"mar",""),"apr",""),"may",""),"jun",""),"jul",""),"aug",""),"sep",""),"oct",""),"nov",""),"dec",""),"utc",""),"gmt",""),"myt",""),"bst",""),"rev",""),"ver",""),"b","a"),"c","a"),"d","a"),"e","a"),"f","a"),"g","a"),"h","a"),"i","a"),"j","a"),"k","a"),"l","a"),"m","a"),"n","a"),"o","a"),"p","a"),"q","a"),"r","a"),"s","a"),"t","a"),"u","a"),"v","a"),"w","a"),"x","a"),"y","a"),"z","a")</f>
        <v/>
      </c>
      <c r="CB3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365&amp;""),"a",""),"b",""),"c",""),"d",""),"e",""),"f",""),"g",""),"h",""),"i",""),"j",""),"k",""),"l",""),"m",""),"n",""),"o",""),"p",""),"q",""),"r",""),"s",""),"t",""),"u",""),"v",""),"w",""),"x",""),"y",""),"z",""),"-",""),"_",""),"/",""),".",""),"#",""),"\\",""),":","")," ",""),"(",""),")","")</f>
        <v/>
      </c>
      <c r="CC365" s="0" t="str">
        <f aca="false">" "&amp;TRIM(SUBSTITUTE(SUBSTITUTE(SUBSTITUTE(SUBSTITUTE(SUBSTITUTE(SUBSTITUTE(SUBSTITUTE(SUBSTITUTE(SUBSTITUTE(SUBSTITUTE(SUBSTITUTE(SUBSTITUTE(SUBSTITUTE(SUBSTITUTE(SUBSTITUTE(SUBSTITUTE(SUBSTITUTE(SUBSTITUTE(SUBSTITUTE(SUBSTITUTE(SUBSTITUTE(SUBSTITUTE(SUBSTITUTE(SUBSTITUTE(LOWER(T365&amp;""),CHAR(10)," "),CHAR(13)," "),CHAR(9)," "),CHAR(160)," "),"."," "),","," "),"-"," "),"/"," "),"("," "),")"," "),":"," "),";"," "),"_"," "),"–"," "),"?"," "),"!"," "),"*"," "),"["," "),"]"," "),"'"," "),"#"," "),"+"," "),"&amp;"," "),"\"," "))&amp;" "</f>
        <v>  </v>
      </c>
      <c r="CD365" s="0" t="str">
        <f aca="false">" "&amp;TRIM(SUBSTITUTE(SUBSTITUTE(SUBSTITUTE(SUBSTITUTE(SUBSTITUTE(SUBSTITUTE(SUBSTITUTE(SUBSTITUTE(SUBSTITUTE(SUBSTITUTE(SUBSTITUTE(SUBSTITUTE(SUBSTITUTE(SUBSTITUTE(SUBSTITUTE(SUBSTITUTE(SUBSTITUTE(SUBSTITUTE(SUBSTITUTE(SUBSTITUTE(SUBSTITUTE(SUBSTITUTE(SUBSTITUTE(SUBSTITUTE(LOWER(AE365&amp;""),CHAR(10)," "),CHAR(13)," "),CHAR(9)," "),CHAR(160)," "),"."," "),","," "),"-"," "),"/"," "),"("," "),")"," "),":"," "),";"," "),"_"," "),"–"," "),"?"," "),"!"," "),"*"," "),"["," "),"]"," "),"'"," "),"#"," "),"+"," "),"&amp;"," "),"\"," "))&amp;" "</f>
        <v>  </v>
      </c>
      <c r="CE365" s="68" t="n">
        <f aca="false">IFERROR(IF(AND(LEN(AU365)&gt;0,LEN(AU365)=LEN(AX365),OR(TRIM(MID(SUBSTITUTE(TRIM(CC365)," ",REPT(" ",60)),1,60))="",ISNUMBER(SEARCH(" "&amp;TRIM(MID(SUBSTITUTE(TRIM(CC365)," ",REPT(" ",60)),1,60))&amp;" ",CD365))),OR(TRIM(MID(SUBSTITUTE(TRIM(CC365)," ",REPT(" ",60)),61,60))="",ISNUMBER(SEARCH(" "&amp;TRIM(MID(SUBSTITUTE(TRIM(CC365)," ",REPT(" ",60)),61,60))&amp;" ",CD365))),OR(TRIM(MID(SUBSTITUTE(TRIM(CC365)," ",REPT(" ",60)),121,60))="",ISNUMBER(SEARCH(" "&amp;TRIM(MID(SUBSTITUTE(TRIM(CC365)," ",REPT(" ",60)),121,60))&amp;" ",CD365)))),1,0),0)</f>
        <v>0</v>
      </c>
      <c r="CG365" s="68" t="n">
        <f aca="false">IFERROR(LEN(SUBSTITUTE(BF365," ",""))-SUMPRODUCT((LEN(BF365)-LEN(SUBSTITUTE(BF365," "&amp;L_NAFiller&amp;" "," ")))/(LEN(L_NAFiller)+1)*LEN(L_NAFiller)),0)</f>
        <v>0</v>
      </c>
    </row>
    <row r="366" customFormat="false" ht="78.75" hidden="false" customHeight="true" outlineLevel="0" collapsed="false">
      <c r="A366" s="57" t="s">
        <v>968</v>
      </c>
      <c r="B366" s="57" t="s">
        <v>258</v>
      </c>
      <c r="C366" s="57" t="str">
        <f aca="false">Flights!$F$15</f>
        <v>MH1149</v>
      </c>
      <c r="D366" s="58" t="n">
        <f aca="false">Flights!$D$15</f>
        <v>46307</v>
      </c>
      <c r="E366" s="57" t="str">
        <f aca="false">Flights!$G$15&amp;"-"&amp;Flights!$H$15</f>
        <v>PEN-KUL</v>
      </c>
      <c r="F366" s="57" t="str">
        <f aca="false">Flights!$K$15</f>
        <v>EY</v>
      </c>
      <c r="G366" s="57" t="s">
        <v>81</v>
      </c>
      <c r="H366" s="57" t="s">
        <v>378</v>
      </c>
      <c r="I366" s="57" t="s">
        <v>411</v>
      </c>
      <c r="J366" s="57" t="s">
        <v>969</v>
      </c>
      <c r="K366" s="67" t="s">
        <v>970</v>
      </c>
      <c r="L366" s="67" t="s">
        <v>923</v>
      </c>
      <c r="M366" s="67"/>
      <c r="N366" s="67" t="s">
        <v>444</v>
      </c>
      <c r="O366" s="67" t="s">
        <v>971</v>
      </c>
      <c r="P366" s="57" t="s">
        <v>187</v>
      </c>
      <c r="Q366" s="59" t="n">
        <f aca="false">ROUND((Flights!$AC$15)*1440,0)/1440</f>
        <v>46300.3263888889</v>
      </c>
      <c r="R366" s="59" t="n">
        <f aca="false">Q366+(IF(AND(INDEX(TZ_DSTS,MATCH(P366,TZ_STN,0))&lt;&gt;"",Q366&gt;=INDEX(TZ_DSTS,MATCH(P366,TZ_STN,0)),Q366&lt;INDEX(TZ_DSTE,MATCH(P366,TZ_STN,0))),INDEX(TZ_DST,MATCH(P366,TZ_STN,0)),INDEX(TZ_STD,MATCH(P366,TZ_STN,0))))/24</f>
        <v>46300.6597222222</v>
      </c>
      <c r="S366" s="60"/>
      <c r="T366" s="60"/>
      <c r="U366" s="60"/>
      <c r="V366" s="60"/>
      <c r="W366" s="61"/>
      <c r="X366" s="60"/>
      <c r="Y366" s="60"/>
      <c r="Z366" s="60"/>
      <c r="AA366" s="60"/>
      <c r="AB366" s="60"/>
      <c r="AC366" s="60"/>
      <c r="AD366" s="66"/>
      <c r="AE366" s="60"/>
      <c r="AF366" s="61" t="str">
        <f aca="false">IF(AND(ISNUMBER(X366),ISNUMBER(Y366)),Y366-X366,"")</f>
        <v/>
      </c>
      <c r="AG366" s="62" t="str">
        <f aca="false">IF(ISNUMBER(AD366),AD366-(IF(AND(INDEX(TZ_DSTS,MATCH(P366,TZ_STN,0))&lt;&gt;"",(AD366-INDEX(TZ_STD,MATCH(P366,TZ_STN,0))/24)&gt;=INDEX(TZ_DSTS,MATCH(P366,TZ_STN,0)),(AD366-INDEX(TZ_STD,MATCH(P366,TZ_STN,0))/24)&lt;INDEX(TZ_DSTE,MATCH(P366,TZ_STN,0))),INDEX(TZ_DST,MATCH(P366,TZ_STN,0)),INDEX(TZ_STD,MATCH(P366,TZ_STN,0))))/24,"")</f>
        <v/>
      </c>
      <c r="AH366" s="65" t="str">
        <f aca="false">IFERROR(IF(N366="N/A – rule",IF(OR(TRIM(U366)="",TRIM(U366)="N/A",TRIM(U366)="Not started"),"N/A – RULE","INVALID – this check does not apply to this aircraft: clear the status (or correct the fleet on Flights)"),IF(TRIM(U366)="N/A",IF(AT366=0,"INVALID – N/A not permitted for this check",IF(AND(TRIM(AB366)&lt;&gt;"",TRIM(AB366)&lt;&gt;"Closed"),"INVALID – corrective action still open",IF(AND(NOT(OR(LEN(AZ366)&lt;15,ISNUMBER(MATCH(AZ366,L_Placeholder,0)))),BK366=0,CG366&gt;=8,NOT(OR(LEN(AU366)&lt;2,ISNUMBER(MATCH(AU366,L_Placeholder,0)))),BR366&gt;=3,NOT(OR(LEN(AX366)&lt;2,ISNUMBER(MATCH(AX366,L_Placeholder,0)))),BS366&gt;=3,TRIM(AE366)&lt;&gt;TRIM(T366),AX366&lt;&gt;AU366,CE366=0),"N/A – JUSTIFIED","INVALID – N/A needs a real, settled reason (not 'not applicable' / 'as above' / TBC), a named PIC and a different named verifier"))),IF(OR(TRIM(U366)="Pass",TRIM(U366)="Pass after CA"),IF(NOT(ISNUMBER(AD366)),"INVALID – completion time missing",IF(OR(OR(LEN(AU366)&lt;2,ISNUMBER(MATCH(AU366,L_Placeholder,0))),BR366&lt;3),"INVALID – PIC missing or not a named person (a role such as QA / CSM is not a name)",IF(OR(LEN(AV366)&lt;2,ISNUMBER(MATCH(AV366,L_Placeholder,0))),"INVALID – result / assessment missing",IF(OR(OR(LEN(AW366)&lt;3,ISNUMBER(MATCH(AW366,L_Placeholder,0))),SUMPRODUCT(--ISNUMBER(SEARCH(" "&amp;L_EvidencePhrase&amp;" ",BD366)))&gt;0,BI366=1),"INVALID – evidence missing, placeholder or not yet on file",IF(ISNA(MATCH(TRIM(S366),L_EvidenceType,0)),"INVALID – choose the evidence type from the list (column S)",IF(BL366=0,"INVALID – evidence ID must be the record's own ID only (e.g. SF-2210, IMG_2231, 1045521); a link / file name needs type 'Link / file path'",IF(OR(OR(LEN(AX366)&lt;2,ISNUMBER(MATCH(AX366,L_Placeholder,0))),BS366&lt;3),"INVALID – verifier missing or not a named person (a role such as QA / CSM is not a name)",IF(OR(AX366=AU366,CE366=1,AND(LEN(AU366)&gt;=4,ISNUMBER(SEARCH(AU366,AX366))),AND(LEN(AX366)&gt;=4,ISNUMBER(SEARCH(AX366,AU366)))),"INVALID – verifier must be a different, named person (not the PIC or a role)",IF(BH366=1,"INVALID – result not yet available (awaiting / TBC)",IF(BG366=1,"INVALID – result describes a problem: record Fail, then Pass after CA (or reword if it is not a problem)",IF(BV366=1,"INVALID – wording says not on board: an on-board confirmation needs the item loaded",IF(AND(AQ366=1,OR(OR(LEN(AY366)&lt;3,ISNUMBER(MATCH(AY366,L_Placeholder,0))),BJ366=1,BQ366=0)),"INVALID – batch ID missing, placeholder or not an ID (e.g. PASB-261008-BC-017)",IF(AND(AR366=1,OR(NOT(ISNUMBER(X366)),NOT(ISNUMBER(Y366)))),"INVALID – expected/actual qty missing",IF(AND(AR366=1,OR(X366&lt;=0,Y366&lt;0)),"INVALID – expected qty must be above 0 and actual not negative",IF(BB366&lt;&gt;"",BB366,IF(AND(AS366=1,Documents!$J$15&lt;&gt;"ON FILE"),"INVALID – GLD not on file (Documents sheet)",IF(AND(AS366=2,Documents!$O$15&lt;&gt;"ON FILE"),"INVALID – menu checklist not on file (Documents sheet)",IF(AND(AS366=3,NOT(ISNUMBER(Flights!$AX$15))),"INVALID – enter carrying flight KUL departure (Flights AX)",IF(AND(AS366=3,OR(Flights!$AZ$15&gt;Flights!$AA$15,Flights!$AX$15&lt;Flights!$AA$15-3)),"INVALID – carrying flight (Flights AX) cannot arrive before this leg's STD, or is over 3 days early",IF(AG366&gt;AsOfUTC,"INVALID – completion time is in the future",IF(AND(ISNUMBER(BY366),AG366&lt;BY366),IF(H366="Physical uplift","INVALID – before uplift window (cannot confirm loading)","INVALID – before valid window"),IF(AG366&gt;Flights!$AA$15,"INVALID – completed after departure (cannot establish readiness)",IF(AND(H366="Preparation",AG366&gt;=IF(ISNUMBER(Flights!$BA$15),MIN(Flights!$BA$15,Flights!$AA$15),Flights!$AA$15)),"INVALID – completed after loading / departure (cannot establish readiness)",IF(AND(H366="Physical uplift",AG366&gt;Q366),"INVALID – recorded after the loading flight departed",IF(AG366&gt;Q366,"COMPLETE – LATE","COMPLETE"))))))))))))))))))))))))),IF(TRIM(U366)="Fail","FAIL – DISCREPANCY",IF(AND(TRIM(U366)&lt;&gt;"",TRIM(U366)&lt;&gt;"Not started",TRIM(U366)&lt;&gt;"In progress"),"INVALID – unrecognised status (use the list)",IF(AsOfUTC&gt;Q366,"OVERDUE",IF(N366="Clarification required","OPEN – CLARIFICATION","OPEN"))))))),"INVALID – error value in an input cell")</f>
        <v>OPEN – CLARIFICATION</v>
      </c>
      <c r="AI366" s="61" t="n">
        <f aca="false">IF(OR(AH366="N/A – RULE",AH366="N/A – JUSTIFIED"),0,1)</f>
        <v>1</v>
      </c>
      <c r="AJ366" s="61" t="n">
        <f aca="false">IF(LEFT(AH366,8)="COMPLETE",1,0)</f>
        <v>0</v>
      </c>
      <c r="AK366" s="61" t="n">
        <f aca="false">IF(AND(AI366=1,AJ366=0,AsOfUTC&gt;Q366),1,0)</f>
        <v>0</v>
      </c>
      <c r="AL366" s="61" t="n">
        <f aca="false">IFERROR(IF(AND(AI366=1,OR(TRIM(U366)="Fail",AND(TRIM(AB366)&lt;&gt;"",TRIM(AB366)&lt;&gt;"Closed"),AND(ISNUMBER(AF366),AF366&lt;&gt;0,TRIM(U366)&lt;&gt;"Pass after CA"))),1,0),1)</f>
        <v>0</v>
      </c>
      <c r="AM366" s="61" t="n">
        <f aca="false">IF(LEFT(AH366,7)="INVALID",1,0)</f>
        <v>0</v>
      </c>
      <c r="AN366" s="61" t="n">
        <f aca="false">IF(AND(N366="Clarification required",AI366=1,AJ366=0),1,0)</f>
        <v>1</v>
      </c>
      <c r="AO366" s="61" t="str">
        <f aca="false">IF(AK366=1,SUM(AK$5:AK366),"")</f>
        <v/>
      </c>
      <c r="AP366" s="61" t="str">
        <f aca="false">IF(AL366=1,SUM(AL$5:AL366),"")</f>
        <v/>
      </c>
      <c r="AQ366" s="61" t="n">
        <v>0</v>
      </c>
      <c r="AR366" s="61" t="n">
        <v>0</v>
      </c>
      <c r="AS366" s="61" t="n">
        <v>3</v>
      </c>
      <c r="AT366" s="61" t="n">
        <v>0</v>
      </c>
      <c r="AU366" s="61" t="str">
        <f aca="false">SUBSTITUTE(SUBSTITUTE(SUBSTITUTE(SUBSTITUTE(SUBSTITUTE(SUBSTITUTE(SUBSTITUTE(SUBSTITUTE(SUBSTITUTE(SUBSTITUTE(SUBSTITUTE(SUBSTITUTE(SUBSTITUTE(SUBSTITUTE(SUBSTITUTE(SUBSTITUTE(LOWER(T366&amp;""),CHAR(10),""),CHAR(13),""),CHAR(9),""),CHAR(160),"")," ",""),".",""),"-",""),"/",""),"?",""),"_",""),",",""),"[",""),"]",""),"(",""),")",""),"*","")</f>
        <v/>
      </c>
      <c r="AV366" s="61" t="str">
        <f aca="false">SUBSTITUTE(SUBSTITUTE(SUBSTITUTE(SUBSTITUTE(SUBSTITUTE(SUBSTITUTE(SUBSTITUTE(SUBSTITUTE(SUBSTITUTE(SUBSTITUTE(SUBSTITUTE(SUBSTITUTE(SUBSTITUTE(SUBSTITUTE(SUBSTITUTE(SUBSTITUTE(LOWER(V366&amp;""),CHAR(10),""),CHAR(13),""),CHAR(9),""),CHAR(160),"")," ",""),".",""),"-",""),"/",""),"?",""),"_",""),",",""),"[",""),"]",""),"(",""),")",""),"*","")</f>
        <v/>
      </c>
      <c r="AW366" s="61" t="str">
        <f aca="false">SUBSTITUTE(SUBSTITUTE(SUBSTITUTE(SUBSTITUTE(SUBSTITUTE(SUBSTITUTE(SUBSTITUTE(SUBSTITUTE(SUBSTITUTE(SUBSTITUTE(SUBSTITUTE(SUBSTITUTE(SUBSTITUTE(SUBSTITUTE(SUBSTITUTE(SUBSTITUTE(LOWER(Z366&amp;""),CHAR(10),""),CHAR(13),""),CHAR(9),""),CHAR(160),"")," ",""),".",""),"-",""),"/",""),"?",""),"_",""),",",""),"[",""),"]",""),"(",""),")",""),"*","")</f>
        <v/>
      </c>
      <c r="AX366" s="61" t="str">
        <f aca="false">SUBSTITUTE(SUBSTITUTE(SUBSTITUTE(SUBSTITUTE(SUBSTITUTE(SUBSTITUTE(SUBSTITUTE(SUBSTITUTE(SUBSTITUTE(SUBSTITUTE(SUBSTITUTE(SUBSTITUTE(SUBSTITUTE(SUBSTITUTE(SUBSTITUTE(SUBSTITUTE(LOWER(AE366&amp;""),CHAR(10),""),CHAR(13),""),CHAR(9),""),CHAR(160),"")," ",""),".",""),"-",""),"/",""),"?",""),"_",""),",",""),"[",""),"]",""),"(",""),")",""),"*","")</f>
        <v/>
      </c>
      <c r="AY366" s="61" t="str">
        <f aca="false">SUBSTITUTE(SUBSTITUTE(SUBSTITUTE(SUBSTITUTE(SUBSTITUTE(SUBSTITUTE(SUBSTITUTE(SUBSTITUTE(SUBSTITUTE(SUBSTITUTE(SUBSTITUTE(SUBSTITUTE(SUBSTITUTE(SUBSTITUTE(SUBSTITUTE(SUBSTITUTE(LOWER(W366&amp;""),CHAR(10),""),CHAR(13),""),CHAR(9),""),CHAR(160),"")," ",""),".",""),"-",""),"/",""),"?",""),"_",""),",",""),"[",""),"]",""),"(",""),")",""),"*","")</f>
        <v/>
      </c>
      <c r="AZ366" s="61" t="str">
        <f aca="false">SUBSTITUTE(SUBSTITUTE(SUBSTITUTE(SUBSTITUTE(SUBSTITUTE(SUBSTITUTE(SUBSTITUTE(SUBSTITUTE(SUBSTITUTE(SUBSTITUTE(SUBSTITUTE(SUBSTITUTE(SUBSTITUTE(SUBSTITUTE(SUBSTITUTE(SUBSTITUTE(LOWER(AC366&amp;""),CHAR(10),""),CHAR(13),""),CHAR(9),""),CHAR(160),"")," ",""),".",""),"-",""),"/",""),"?",""),"_",""),",",""),"[",""),"]",""),"(",""),")",""),"*","")</f>
        <v/>
      </c>
      <c r="BA366" s="61" t="str">
        <f aca="false">SUBSTITUTE(SUBSTITUTE(SUBSTITUTE(SUBSTITUTE(SUBSTITUTE(SUBSTITUTE(SUBSTITUTE(SUBSTITUTE(SUBSTITUTE(SUBSTITUTE(SUBSTITUTE(SUBSTITUTE(SUBSTITUTE(SUBSTITUTE(SUBSTITUTE(SUBSTITUTE(LOWER(AA366&amp;""),CHAR(10),""),CHAR(13),""),CHAR(9),""),CHAR(160),"")," ",""),".",""),"-",""),"/",""),"?",""),"_",""),",",""),"[",""),"]",""),"(",""),")",""),"*","")</f>
        <v/>
      </c>
      <c r="BB366" s="61" t="str">
        <f aca="false">IF(AND(TRIM(U366)="Pass",ISNUMBER(AF366)),IF(AF366&lt;&gt;0,"INVALID – qty variance: use Fail or Pass after CA",""),"")&amp;IF(AND(TRIM(U366)="Pass after CA",ISNUMBER(AF366)),IF(AF366&lt;&gt;0,"INVALID – after the corrective action the actual qty must equal expected (update Actual)",""),"")&amp;IF(AND(TRIM(U366)="Pass",TRIM(AB366)&lt;&gt;"",TRIM(AB366)&lt;&gt;"Closed"),"INVALID – corrective action not closed: use Fail, then Pass after CA","")&amp;IF(AND(LEN(BA366)&gt;=2,ISNA(MATCH(LEFT(BA366,255),L_Placeholder,0)),TRIM(AB366)=""),"INVALID – CA status missing for the recorded corrective action","")&amp;IF(AND(TRIM(U366)="Pass after CA",OR(OR(LEN(BA366)&lt;5,ISNUMBER(MATCH(BA366,L_Placeholder,0))),TRIM(AB366)&lt;&gt;"Closed")),"INVALID – corrective action not recorded/closed","")</f>
        <v/>
      </c>
      <c r="BC366" s="61" t="str">
        <f aca="false">" "&amp;TRIM(SUBSTITUTE(SUBSTITUTE(SUBSTITUTE(SUBSTITUTE(SUBSTITUTE(SUBSTITUTE(SUBSTITUTE(SUBSTITUTE(SUBSTITUTE(SUBSTITUTE(SUBSTITUTE(SUBSTITUTE(SUBSTITUTE(SUBSTITUTE(SUBSTITUTE(SUBSTITUTE(SUBSTITUTE(SUBSTITUTE(SUBSTITUTE(SUBSTITUTE(SUBSTITUTE(SUBSTITUTE(SUBSTITUTE(SUBSTITUTE(LOWER(V366&amp;""),CHAR(10)," "),CHAR(13)," "),CHAR(9)," "),CHAR(160)," "),"."," "),","," "),"-"," "),"/"," "),"("," "),")"," "),":"," "),";"," "),"_"," "),"–"," "),"?"," "),"!"," "),"*"," "),"["," "),"]"," "),"'"," "),"#"," "),"+"," "),"&amp;"," "),"\"," "))&amp;" "</f>
        <v>  </v>
      </c>
      <c r="BD366" s="61" t="str">
        <f aca="false">" "&amp;TRIM(SUBSTITUTE(SUBSTITUTE(SUBSTITUTE(SUBSTITUTE(SUBSTITUTE(SUBSTITUTE(SUBSTITUTE(SUBSTITUTE(SUBSTITUTE(SUBSTITUTE(SUBSTITUTE(SUBSTITUTE(SUBSTITUTE(SUBSTITUTE(SUBSTITUTE(SUBSTITUTE(SUBSTITUTE(SUBSTITUTE(SUBSTITUTE(SUBSTITUTE(SUBSTITUTE(SUBSTITUTE(SUBSTITUTE(SUBSTITUTE(LOWER(Z366&amp;""),CHAR(10)," "),CHAR(13)," "),CHAR(9)," "),CHAR(160)," "),"."," "),","," "),"-"," "),"/"," "),"("," "),")"," "),":"," "),";"," "),"_"," "),"–"," "),"?"," "),"!"," "),"*"," "),"["," "),"]"," "),"'"," "),"#"," "),"+"," "),"&amp;"," "),"\"," "))&amp;" "</f>
        <v>  </v>
      </c>
      <c r="BE366" s="61" t="str">
        <f aca="false">" "&amp;TRIM(SUBSTITUTE(SUBSTITUTE(SUBSTITUTE(SUBSTITUTE(SUBSTITUTE(SUBSTITUTE(SUBSTITUTE(SUBSTITUTE(SUBSTITUTE(SUBSTITUTE(SUBSTITUTE(SUBSTITUTE(SUBSTITUTE(SUBSTITUTE(SUBSTITUTE(SUBSTITUTE(SUBSTITUTE(SUBSTITUTE(SUBSTITUTE(SUBSTITUTE(SUBSTITUTE(SUBSTITUTE(SUBSTITUTE(SUBSTITUTE(LOWER(W366&amp;""),CHAR(10)," "),CHAR(13)," "),CHAR(9)," "),CHAR(160)," "),"."," "),","," "),"-"," "),"/"," "),"("," "),")"," "),":"," "),";"," "),"_"," "),"–"," "),"?"," "),"!"," "),"*"," "),"["," "),"]"," "),"'"," "),"#"," "),"+"," "),"&amp;"," "),"\"," "))&amp;" "</f>
        <v>  </v>
      </c>
      <c r="BF366" s="61" t="str">
        <f aca="false">" "&amp;TRIM(SUBSTITUTE(SUBSTITUTE(SUBSTITUTE(SUBSTITUTE(SUBSTITUTE(SUBSTITUTE(SUBSTITUTE(SUBSTITUTE(SUBSTITUTE(SUBSTITUTE(SUBSTITUTE(SUBSTITUTE(SUBSTITUTE(SUBSTITUTE(SUBSTITUTE(SUBSTITUTE(SUBSTITUTE(SUBSTITUTE(SUBSTITUTE(SUBSTITUTE(SUBSTITUTE(SUBSTITUTE(SUBSTITUTE(SUBSTITUTE(LOWER(AC366&amp;""),CHAR(10)," "),CHAR(13)," "),CHAR(9)," "),CHAR(160)," "),"."," "),","," "),"-"," "),"/"," "),"("," "),")"," "),":"," "),";"," "),"_"," "),"–"," "),"?"," "),"!"," "),"*"," "),"["," "),"]"," "),"'"," "),"#"," "),"+"," "),"&amp;"," "),"\"," "))&amp;" "</f>
        <v>  </v>
      </c>
      <c r="BG366" s="61" t="n">
        <f aca="false">IFERROR(IF(AND(TRIM(U366)="Pass",SUMPRODUCT((LEN(BC366)-LEN(SUBSTITUTE(BC366," "&amp;L_ResultBad&amp;" "," ")))/(LEN(L_ResultBad)+1))&gt;SUMPRODUCT((LEN(BC366)-LEN(SUBSTITUTE(BC366," "&amp;L_NegPhrase&amp;" "," ")))/(LEN(L_NegPhrase)+1))),1,0),0)</f>
        <v>0</v>
      </c>
      <c r="BH366" s="61" t="n">
        <f aca="false">IFERROR(IF(SUMPRODUCT((LEN(BC366)-LEN(SUBSTITUTE(BC366," "&amp;L_Pending&amp;" "," ")))/(LEN(L_Pending)+1))&gt;SUMPRODUCT((LEN(BC366)-LEN(SUBSTITUTE(BC366," "&amp;L_PendNeg&amp;" "," ")))/(LEN(L_PendNeg)+1))+SUMPRODUCT((LEN(BC366)-LEN(SUBSTITUTE(BC366," "&amp;L_PendPrep&amp;" "," ")))/(LEN(L_PendPrep)+1)),1,0),1)</f>
        <v>0</v>
      </c>
      <c r="BI366" s="61" t="n">
        <f aca="false">IFERROR(IF(SUMPRODUCT((LEN(BD366)-LEN(SUBSTITUTE(BD366," "&amp;L_PendStrict&amp;" "," ")))/(LEN(L_PendStrict)+1))&gt;SUMPRODUCT((LEN(BD366)-LEN(SUBSTITUTE(BD366," "&amp;L_PendNeg&amp;" "," ")))/(LEN(L_PendNeg)+1)),1,0),1)</f>
        <v>0</v>
      </c>
      <c r="BJ366" s="61" t="n">
        <f aca="false">IFERROR(IF(SUMPRODUCT((LEN(BE366)-LEN(SUBSTITUTE(BE366," "&amp;L_Pending&amp;" "," ")))/(LEN(L_Pending)+1))&gt;SUMPRODUCT((LEN(BE366)-LEN(SUBSTITUTE(BE366," "&amp;L_PendNeg&amp;" "," ")))/(LEN(L_PendNeg)+1))+SUMPRODUCT((LEN(BE366)-LEN(SUBSTITUTE(BE366," "&amp;L_PendPrep&amp;" "," ")))/(LEN(L_PendPrep)+1)),1,0),1)</f>
        <v>0</v>
      </c>
      <c r="BK366" s="61" t="n">
        <f aca="false">IFERROR(IF(SUMPRODUCT((LEN(BF366)-LEN(SUBSTITUTE(BF366," "&amp;L_PendStrict&amp;" "," ")))/(LEN(L_PendStrict)+1))&gt;SUMPRODUCT((LEN(BF366)-LEN(SUBSTITUTE(BF366," "&amp;L_PendNeg&amp;" "," ")))/(LEN(L_PendNeg)+1)),1,0),1)</f>
        <v>0</v>
      </c>
      <c r="BL366" s="61" t="n">
        <f aca="false">IF(ISNA(MATCH(TRIM(S366),L_EvidenceType,0)),0,BZ366)</f>
        <v>0</v>
      </c>
      <c r="BM366" s="61" t="str">
        <f aca="false">SUBSTITUTE(SUBSTITUTE(SUBSTITUTE(SUBSTITUTE(SUBSTITUTE(SUBSTITUTE(SUBSTITUTE(SUBSTITUTE(SUBSTITUTE(LOWER(Z366&amp;""),"1","0"),"2","0"),"3","0"),"4","0"),"5","0"),"6","0"),"7","0"),"8","0"),"9","0")</f>
        <v/>
      </c>
      <c r="BN366" s="61" t="str">
        <f aca="false">SUBSTITUTE(SUBSTITUTE(SUBSTITUTE(SUBSTITUTE(SUBSTITUTE(SUBSTITUTE(SUBSTITUTE(SUBSTITUTE(SUBSTITUTE(SUBSTITUTE(SUBSTITUTE(SUBSTITUTE(SUBSTITUTE(SUBSTITUTE(SUBSTITUTE(SUBSTITUTE(SUBSTITUTE(SUBSTITUTE(SUBSTITUTE(SUBSTITUTE(SUBSTITUTE(SUBSTITUTE(SUBSTITUTE(SUBSTITUTE(SUBSTITUTE(BM366,"b","a"),"c","a"),"d","a"),"e","a"),"f","a"),"g","a"),"h","a"),"i","a"),"j","a"),"k","a"),"l","a"),"m","a"),"n","a"),"o","a"),"p","a"),"q","a"),"r","a"),"s","a"),"t","a"),"u","a"),"v","a"),"w","a"),"x","a"),"y","a"),"z","a")</f>
        <v/>
      </c>
      <c r="BO366" s="61" t="str">
        <f aca="false">SUBSTITUTE(SUBSTITUTE(SUBSTITUTE(SUBSTITUTE(SUBSTITUTE(SUBSTITUTE(SUBSTITUTE(SUBSTITUTE(SUBSTITUTE(LOWER(W366&amp;""),"1","0"),"2","0"),"3","0"),"4","0"),"5","0"),"6","0"),"7","0"),"8","0"),"9","0")</f>
        <v/>
      </c>
      <c r="BP366" s="61" t="str">
        <f aca="false">SUBSTITUTE(SUBSTITUTE(SUBSTITUTE(SUBSTITUTE(SUBSTITUTE(SUBSTITUTE(SUBSTITUTE(SUBSTITUTE(SUBSTITUTE(SUBSTITUTE(SUBSTITUTE(SUBSTITUTE(SUBSTITUTE(SUBSTITUTE(SUBSTITUTE(SUBSTITUTE(SUBSTITUTE(SUBSTITUTE(SUBSTITUTE(SUBSTITUTE(SUBSTITUTE(SUBSTITUTE(SUBSTITUTE(SUBSTITUTE(SUBSTITUTE(BO366,"b","a"),"c","a"),"d","a"),"e","a"),"f","a"),"g","a"),"h","a"),"i","a"),"j","a"),"k","a"),"l","a"),"m","a"),"n","a"),"o","a"),"p","a"),"q","a"),"r","a"),"s","a"),"t","a"),"u","a"),"v","a"),"w","a"),"x","a"),"y","a"),"z","a")</f>
        <v/>
      </c>
      <c r="BQ366" s="61" t="n">
        <f aca="false">IFERROR(IF(AND(ISERROR(SEARCH(" mh"," "&amp;LOWER(W366))),ISNA(MATCH(LEFT(TRIM(BP366),255),{"0000a","000a","00a","0000aa","000aa","00aa","0aa","0000aaa","000aaa","00a00","0a00","0000-0000","00:00","a00","a0","00.00.0000","00/00/0000","00-00-0000","0000-00-00","0000/00/00","0000.00.00","00.00.00","00/00/00","00-00-00","0.00.0000","0/00/0000","0-00-0000"},0)),ISNA(MATCH(LEFT(TRIM(CA366),255),{"0000a","000a","00a","0000aa","000aa","00aa","0aa","0000aaa","000aaa","00a00","0a00","0000-0000","00:00","a00","a0","00.00.0000","00/00/0000","00-00-0000","0000-00-00","0000/00/00","0000.00.00","00.00.00","00/00/00","00-00-00","0.00.0000","0/00/0000","0-00-0000"},0)),LEN(CB366)&gt;=3,NOT(OR(SUBSTITUTE(CB366,"0","")="",AND(LEN(CB366)&gt;=4,CB366=REPT(LEFT(CB366),LEN(CB366))),ISNUMBER(MATCH(CB366,{"123","1234","12345","123456","1234567","12345678","0123","01234","012345","98765","987654","54321"},0)),AND(LEN(CB366)=8,LEFT(CB366,3)="202"))),OR(AND((LEN(CA366)-LEN(SUBSTITUTE(CA366,"a","")))&gt;=1,SUMPRODUCT(--ISNUMBER(SEARCH({"a0","a-0","a_0","a/0","a.0","a#0","0a","0-a","0_a","0/a"},BP366)))&gt;0),ISNUMBER(SEARCH("000000",BP366)))),1,0),0)</f>
        <v>0</v>
      </c>
      <c r="BR366" s="61" t="n">
        <f aca="false">IFERROR(LEN(SUBSTITUTE(CC366," ",""))-SUMPRODUCT((LEN(CC366)-LEN(SUBSTITUTE(CC366," "&amp;L_Role&amp;" "," ")))/(LEN(L_Role)+1)*LEN(L_Role)),0)</f>
        <v>0</v>
      </c>
      <c r="BS366" s="61" t="n">
        <f aca="false">IFERROR(LEN(SUBSTITUTE(CD366," ",""))-SUMPRODUCT((LEN(CD366)-LEN(SUBSTITUTE(CD366," "&amp;L_Role&amp;" "," ")))/(LEN(L_Role)+1)*LEN(L_Role)),0)</f>
        <v>0</v>
      </c>
      <c r="BT3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366,"revision",""),"version",""),"jan",""),"feb",""),"mar",""),"apr",""),"may",""),"jun",""),"jul",""),"aug",""),"sep",""),"oct",""),"nov",""),"dec",""),"utc",""),"gmt",""),"myt",""),"bst",""),"rev",""),"ver",""),"b","a"),"c","a"),"d","a"),"e","a"),"f","a"),"g","a"),"h","a"),"i","a"),"j","a"),"k","a"),"l","a"),"m","a"),"n","a"),"o","a"),"p","a"),"q","a"),"r","a"),"s","a"),"t","a"),"u","a"),"v","a"),"w","a"),"x","a"),"y","a"),"z","a")</f>
        <v/>
      </c>
      <c r="BU366" s="61" t="str">
        <f aca="false">SUBSTITUTE(SUBSTITUTE(SUBSTITUTE(SUBSTITUTE(SUBSTITUTE(SUBSTITUTE(SUBSTITUTE(SUBSTITUTE(SUBSTITUTE(SUBSTITUTE(LEFT(BM366,FIND("0",BM366&amp;"0")-1),"-",""),"_",""),"/",""),".",""),"#",""),"\\",""),":","")," ",""),"(",""),")","")</f>
        <v/>
      </c>
      <c r="BV366" s="61" t="n">
        <f aca="false">0</f>
        <v>0</v>
      </c>
      <c r="BW3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366&amp;""),"a",""),"b",""),"c",""),"d",""),"e",""),"f",""),"g",""),"h",""),"i",""),"j",""),"k",""),"l",""),"m",""),"n",""),"o",""),"p",""),"q",""),"r",""),"s",""),"t",""),"u",""),"v",""),"w",""),"x",""),"y",""),"z",""),"-",""),"_",""),"/",""),".",""),"#",""),"\\",""),":","")," ",""),"(",""),")","")</f>
        <v/>
      </c>
      <c r="BX366" s="61" t="str">
        <f aca="false">SUBSTITUTE(SUBSTITUTE(SUBSTITUTE(SUBSTITUTE(SUBSTITUTE(SUBSTITUTE(SUBSTITUTE(SUBSTITUTE(SUBSTITUTE(SUBSTITUTE(SUBSTITUTE(BM366,"0",""),"-",""),"_",""),"/",""),".",""),"#",""),"\\",""),":","")," ",""),"(",""),")","")</f>
        <v/>
      </c>
      <c r="BY366" s="62" t="n">
        <f aca="false">Q366-T7EarlyD*24/24</f>
        <v>46286.3263888889</v>
      </c>
      <c r="BZ366" s="61" t="n">
        <f aca="false">IFERROR(IF(IF(TRIM(S366)="Link / file path",AND(LEN(TRIM(Z366))&gt;=5,SUMPRODUCT(--ISNUMBER(SEARCH({"http","www.","\\",":\",".pdf",".jpg",".jpeg",".png",".heic",".xls",".doc",".msg",".eml",".ppt",".txt",".zip"},Z366)))&gt;0),AND(ISERROR(FIND(" ",TRIM(Z366))),NOT(OR(SUMPRODUCT(--ISNUMBER(FIND({",",";","&amp;","+"},Z366)))&gt;0,SUMPRODUCT(--ISNUMBER(SEARCH({"0/aa","0\\aa"},BN366)))&gt;0)),NOT(SUMPRODUCT(--ISNUMBER(SEARCH({"http","www.","\\",":\",".pdf",".jpg",".jpeg",".png",".heic",".xls",".doc",".msg",".eml",".ppt",".txt",".zip"},Z366)))&gt;0),NOT(LOWER(TRIM(Z366))=LOWER(Flights!$F$15)),ISNA(MATCH(BU366,{"mh","rev","revision","ver","version","v","r","a","b","seat","tray","row","gate","bay","stand","page","pg","item","line","no","cart","galley","flight","flt","table","box","bag","oven","etd","eta","std","sta","atd","ata","qty","pax","x","time","tel","ph","mob","day","wk","week","utc","gmt","myt","lt"},0)),NOT(OR(ISNUMBER(MATCH(LEFT(BN366,255),{"0000a","000a","00a","0000aa","000aa","00aa","0aa","0000aaa","000aaa","00a00","0a00","0000-0000","00:00","a00","a0","00.00.0000","00/00/0000","00-00-0000","0000-00-00","0000/00/00","0000.00.00","00.00.00","00/00/00","00-00-00","0.00.0000","0/00/0000","0-00-0000"},0)),ISNUMBER(MATCH(LEFT(BT366,255),{"0000a","000a","00a","0000aa","000aa","00aa","0aa","0000aaa","000aaa","00a00","0a00","0000-0000","00:00","a00","a0","00.00.0000","00/00/0000","00-00-0000","0000-00-00","0000/00/00","0000.00.00","00.00.00","00/00/00","00-00-00","0.00.0000","0/00/0000","0-00-0000"},0)))),NOT(OR(AND(BW366&lt;&gt;"",SUBSTITUTE(BW366,"0","")=""),AND(LEN(BW366)&gt;=4,BW366=REPT(LEFT(BW366),LEN(BW366))),ISNUMBER(MATCH(BW366,{"123","1234","12345","123456","1234567","12345678","0123","01234","012345","98765","987654","54321"},0)),ISNUMBER(MATCH(BX366,{"x","xx","xxx","xxxx","xxxxx","abc","abcd","nil","na","nan","test","tbc","tba","tbd","dummy","sample","example","eg","zz","zzz","none","null","xyz","qwe","asd","id","ref"},0)),AND(LEN(BW366)=8,BX366="",OR(LEFT(BW366,3)="202",ISNUMBER(MATCH(RIGHT(BW366,4),{"2025","2026","2027"},0)))))),OR(AND((LEN(BT366)-LEN(SUBSTITUTE(BT366,"a","")))&gt;=1,(LEN(BN366)-LEN(SUBSTITUTE(BN366,"0","")))&gt;=2,SUMPRODUCT(--ISNUMBER(SEARCH({"a0","a-0","a_0","a/0","a.0","a#0","0a","0-a","0_a","0/a"},BN366)))&gt;0),AND((LEN(BN366)-LEN(SUBSTITUTE(BN366,"a","")))=0,(LEN(BN366)-LEN(SUBSTITUTE(BN366,"0","")))&gt;=5)))),1,0),0)</f>
        <v>0</v>
      </c>
      <c r="CA3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366,"revision",""),"version",""),"jan",""),"feb",""),"mar",""),"apr",""),"may",""),"jun",""),"jul",""),"aug",""),"sep",""),"oct",""),"nov",""),"dec",""),"utc",""),"gmt",""),"myt",""),"bst",""),"rev",""),"ver",""),"b","a"),"c","a"),"d","a"),"e","a"),"f","a"),"g","a"),"h","a"),"i","a"),"j","a"),"k","a"),"l","a"),"m","a"),"n","a"),"o","a"),"p","a"),"q","a"),"r","a"),"s","a"),"t","a"),"u","a"),"v","a"),"w","a"),"x","a"),"y","a"),"z","a")</f>
        <v/>
      </c>
      <c r="CB3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366&amp;""),"a",""),"b",""),"c",""),"d",""),"e",""),"f",""),"g",""),"h",""),"i",""),"j",""),"k",""),"l",""),"m",""),"n",""),"o",""),"p",""),"q",""),"r",""),"s",""),"t",""),"u",""),"v",""),"w",""),"x",""),"y",""),"z",""),"-",""),"_",""),"/",""),".",""),"#",""),"\\",""),":","")," ",""),"(",""),")","")</f>
        <v/>
      </c>
      <c r="CC366" s="0" t="str">
        <f aca="false">" "&amp;TRIM(SUBSTITUTE(SUBSTITUTE(SUBSTITUTE(SUBSTITUTE(SUBSTITUTE(SUBSTITUTE(SUBSTITUTE(SUBSTITUTE(SUBSTITUTE(SUBSTITUTE(SUBSTITUTE(SUBSTITUTE(SUBSTITUTE(SUBSTITUTE(SUBSTITUTE(SUBSTITUTE(SUBSTITUTE(SUBSTITUTE(SUBSTITUTE(SUBSTITUTE(SUBSTITUTE(SUBSTITUTE(SUBSTITUTE(SUBSTITUTE(LOWER(T366&amp;""),CHAR(10)," "),CHAR(13)," "),CHAR(9)," "),CHAR(160)," "),"."," "),","," "),"-"," "),"/"," "),"("," "),")"," "),":"," "),";"," "),"_"," "),"–"," "),"?"," "),"!"," "),"*"," "),"["," "),"]"," "),"'"," "),"#"," "),"+"," "),"&amp;"," "),"\"," "))&amp;" "</f>
        <v>  </v>
      </c>
      <c r="CD366" s="0" t="str">
        <f aca="false">" "&amp;TRIM(SUBSTITUTE(SUBSTITUTE(SUBSTITUTE(SUBSTITUTE(SUBSTITUTE(SUBSTITUTE(SUBSTITUTE(SUBSTITUTE(SUBSTITUTE(SUBSTITUTE(SUBSTITUTE(SUBSTITUTE(SUBSTITUTE(SUBSTITUTE(SUBSTITUTE(SUBSTITUTE(SUBSTITUTE(SUBSTITUTE(SUBSTITUTE(SUBSTITUTE(SUBSTITUTE(SUBSTITUTE(SUBSTITUTE(SUBSTITUTE(LOWER(AE366&amp;""),CHAR(10)," "),CHAR(13)," "),CHAR(9)," "),CHAR(160)," "),"."," "),","," "),"-"," "),"/"," "),"("," "),")"," "),":"," "),";"," "),"_"," "),"–"," "),"?"," "),"!"," "),"*"," "),"["," "),"]"," "),"'"," "),"#"," "),"+"," "),"&amp;"," "),"\"," "))&amp;" "</f>
        <v>  </v>
      </c>
      <c r="CE366" s="68" t="n">
        <f aca="false">IFERROR(IF(AND(LEN(AU366)&gt;0,LEN(AU366)=LEN(AX366),OR(TRIM(MID(SUBSTITUTE(TRIM(CC366)," ",REPT(" ",60)),1,60))="",ISNUMBER(SEARCH(" "&amp;TRIM(MID(SUBSTITUTE(TRIM(CC366)," ",REPT(" ",60)),1,60))&amp;" ",CD366))),OR(TRIM(MID(SUBSTITUTE(TRIM(CC366)," ",REPT(" ",60)),61,60))="",ISNUMBER(SEARCH(" "&amp;TRIM(MID(SUBSTITUTE(TRIM(CC366)," ",REPT(" ",60)),61,60))&amp;" ",CD366))),OR(TRIM(MID(SUBSTITUTE(TRIM(CC366)," ",REPT(" ",60)),121,60))="",ISNUMBER(SEARCH(" "&amp;TRIM(MID(SUBSTITUTE(TRIM(CC366)," ",REPT(" ",60)),121,60))&amp;" ",CD366)))),1,0),0)</f>
        <v>0</v>
      </c>
      <c r="CG366" s="68" t="n">
        <f aca="false">IFERROR(LEN(SUBSTITUTE(BF366," ",""))-SUMPRODUCT((LEN(BF366)-LEN(SUBSTITUTE(BF366," "&amp;L_NAFiller&amp;" "," ")))/(LEN(L_NAFiller)+1)*LEN(L_NAFiller)),0)</f>
        <v>0</v>
      </c>
    </row>
    <row r="367" customFormat="false" ht="39.75" hidden="false" customHeight="true" outlineLevel="0" collapsed="false">
      <c r="A367" s="57" t="s">
        <v>972</v>
      </c>
      <c r="B367" s="57" t="s">
        <v>258</v>
      </c>
      <c r="C367" s="57" t="str">
        <f aca="false">Flights!$F$15</f>
        <v>MH1149</v>
      </c>
      <c r="D367" s="58" t="n">
        <f aca="false">Flights!$D$15</f>
        <v>46307</v>
      </c>
      <c r="E367" s="57" t="str">
        <f aca="false">Flights!$G$15&amp;"-"&amp;Flights!$H$15</f>
        <v>PEN-KUL</v>
      </c>
      <c r="F367" s="57" t="str">
        <f aca="false">Flights!$K$15</f>
        <v>EY</v>
      </c>
      <c r="G367" s="57" t="s">
        <v>83</v>
      </c>
      <c r="H367" s="57" t="s">
        <v>378</v>
      </c>
      <c r="I367" s="57" t="s">
        <v>379</v>
      </c>
      <c r="J367" s="57" t="s">
        <v>416</v>
      </c>
      <c r="K367" s="67" t="s">
        <v>417</v>
      </c>
      <c r="L367" s="67" t="s">
        <v>418</v>
      </c>
      <c r="M367" s="67"/>
      <c r="N367" s="67" t="s">
        <v>383</v>
      </c>
      <c r="O367" s="67" t="s">
        <v>973</v>
      </c>
      <c r="P367" s="57" t="s">
        <v>187</v>
      </c>
      <c r="Q367" s="59" t="n">
        <f aca="false">ROUND((MIN(Flights!$AD$15,Flights!$AY$15))*1440,0)/1440</f>
        <v>46306.3263888889</v>
      </c>
      <c r="R367" s="59" t="n">
        <f aca="false">Q367+(IF(AND(INDEX(TZ_DSTS,MATCH(P367,TZ_STN,0))&lt;&gt;"",Q367&gt;=INDEX(TZ_DSTS,MATCH(P367,TZ_STN,0)),Q367&lt;INDEX(TZ_DSTE,MATCH(P367,TZ_STN,0))),INDEX(TZ_DST,MATCH(P367,TZ_STN,0)),INDEX(TZ_STD,MATCH(P367,TZ_STN,0))))/24</f>
        <v>46306.6597222222</v>
      </c>
      <c r="S367" s="60"/>
      <c r="T367" s="60"/>
      <c r="U367" s="60"/>
      <c r="V367" s="60"/>
      <c r="W367" s="60"/>
      <c r="X367" s="60"/>
      <c r="Y367" s="60"/>
      <c r="Z367" s="60"/>
      <c r="AA367" s="60"/>
      <c r="AB367" s="60"/>
      <c r="AC367" s="60"/>
      <c r="AD367" s="66"/>
      <c r="AE367" s="60"/>
      <c r="AF367" s="61" t="str">
        <f aca="false">IF(AND(ISNUMBER(X367),ISNUMBER(Y367)),Y367-X367,"")</f>
        <v/>
      </c>
      <c r="AG367" s="62" t="str">
        <f aca="false">IF(ISNUMBER(AD367),AD367-(IF(AND(INDEX(TZ_DSTS,MATCH(P367,TZ_STN,0))&lt;&gt;"",(AD367-INDEX(TZ_STD,MATCH(P367,TZ_STN,0))/24)&gt;=INDEX(TZ_DSTS,MATCH(P367,TZ_STN,0)),(AD367-INDEX(TZ_STD,MATCH(P367,TZ_STN,0))/24)&lt;INDEX(TZ_DSTE,MATCH(P367,TZ_STN,0))),INDEX(TZ_DST,MATCH(P367,TZ_STN,0)),INDEX(TZ_STD,MATCH(P367,TZ_STN,0))))/24,"")</f>
        <v/>
      </c>
      <c r="AH367" s="65" t="str">
        <f aca="false">IFERROR(IF(N367="N/A – rule",IF(OR(TRIM(U367)="",TRIM(U367)="N/A",TRIM(U367)="Not started"),"N/A – RULE","INVALID – this check does not apply to this aircraft: clear the status (or correct the fleet on Flights)"),IF(TRIM(U367)="N/A",IF(AT367=0,"INVALID – N/A not permitted for this check",IF(AND(TRIM(AB367)&lt;&gt;"",TRIM(AB367)&lt;&gt;"Closed"),"INVALID – corrective action still open",IF(AND(NOT(OR(LEN(AZ367)&lt;15,ISNUMBER(MATCH(AZ367,L_Placeholder,0)))),BK367=0,CG367&gt;=8,NOT(OR(LEN(AU367)&lt;2,ISNUMBER(MATCH(AU367,L_Placeholder,0)))),BR367&gt;=3,NOT(OR(LEN(AX367)&lt;2,ISNUMBER(MATCH(AX367,L_Placeholder,0)))),BS367&gt;=3,TRIM(AE367)&lt;&gt;TRIM(T367),AX367&lt;&gt;AU367,CE367=0),"N/A – JUSTIFIED","INVALID – N/A needs a real, settled reason (not 'not applicable' / 'as above' / TBC), a named PIC and a different named verifier"))),IF(OR(TRIM(U367)="Pass",TRIM(U367)="Pass after CA"),IF(NOT(ISNUMBER(AD367)),"INVALID – completion time missing",IF(OR(OR(LEN(AU367)&lt;2,ISNUMBER(MATCH(AU367,L_Placeholder,0))),BR367&lt;3),"INVALID – PIC missing or not a named person (a role such as QA / CSM is not a name)",IF(OR(LEN(AV367)&lt;2,ISNUMBER(MATCH(AV367,L_Placeholder,0))),"INVALID – result / assessment missing",IF(OR(OR(LEN(AW367)&lt;3,ISNUMBER(MATCH(AW367,L_Placeholder,0))),SUMPRODUCT(--ISNUMBER(SEARCH(" "&amp;L_EvidencePhrase&amp;" ",BD367)))&gt;0,BI367=1),"INVALID – evidence missing, placeholder or not yet on file",IF(ISNA(MATCH(TRIM(S367),L_EvidenceType,0)),"INVALID – choose the evidence type from the list (column S)",IF(BL367=0,"INVALID – evidence ID must be the record's own ID only (e.g. SF-2210, IMG_2231, 1045521); a link / file name needs type 'Link / file path'",IF(OR(OR(LEN(AX367)&lt;2,ISNUMBER(MATCH(AX367,L_Placeholder,0))),BS367&lt;3),"INVALID – verifier missing or not a named person (a role such as QA / CSM is not a name)",IF(OR(AX367=AU367,CE367=1,AND(LEN(AU367)&gt;=4,ISNUMBER(SEARCH(AU367,AX367))),AND(LEN(AX367)&gt;=4,ISNUMBER(SEARCH(AX367,AU367)))),"INVALID – verifier must be a different, named person (not the PIC or a role)",IF(BH367=1,"INVALID – result not yet available (awaiting / TBC)",IF(BG367=1,"INVALID – result describes a problem: record Fail, then Pass after CA (or reword if it is not a problem)",IF(BV367=1,"INVALID – wording says not on board: an on-board confirmation needs the item loaded",IF(AND(AQ367=1,OR(OR(LEN(AY367)&lt;3,ISNUMBER(MATCH(AY367,L_Placeholder,0))),BJ367=1,BQ367=0)),"INVALID – batch ID missing, placeholder or not an ID (e.g. PASB-261008-BC-017)",IF(AND(AR367=1,OR(NOT(ISNUMBER(X367)),NOT(ISNUMBER(Y367)))),"INVALID – expected/actual qty missing",IF(AND(AR367=1,OR(X367&lt;=0,Y367&lt;0)),"INVALID – expected qty must be above 0 and actual not negative",IF(BB367&lt;&gt;"",BB367,IF(AND(AS367=1,Documents!$J$15&lt;&gt;"ON FILE"),"INVALID – GLD not on file (Documents sheet)",IF(AND(AS367=2,Documents!$O$15&lt;&gt;"ON FILE"),"INVALID – menu checklist not on file (Documents sheet)",IF(AND(AS367=3,NOT(ISNUMBER(Flights!$AX$15))),"INVALID – enter carrying flight KUL departure (Flights AX)",IF(AND(AS367=3,OR(Flights!$AZ$15&gt;Flights!$AA$15,Flights!$AX$15&lt;Flights!$AA$15-3)),"INVALID – carrying flight (Flights AX) cannot arrive before this leg's STD, or is over 3 days early",IF(AG367&gt;AsOfUTC,"INVALID – completion time is in the future",IF(AND(ISNUMBER(BY367),AG367&lt;BY367),IF(H367="Physical uplift","INVALID – before uplift window (cannot confirm loading)","INVALID – before valid window"),IF(AG367&gt;Flights!$AA$15,"INVALID – completed after departure (cannot establish readiness)",IF(AND(H367="Preparation",AG367&gt;=Flights!$AY$15+UpliftWindowH/24),"INVALID – completed after the carrying flight left KUL",IF(AND(H367="Physical uplift",AG367&gt;Q367),"INVALID – recorded after the loading flight departed",IF(AG367&gt;Q367,"COMPLETE – LATE","COMPLETE"))))))))))))))))))))))))),IF(TRIM(U367)="Fail","FAIL – DISCREPANCY",IF(AND(TRIM(U367)&lt;&gt;"",TRIM(U367)&lt;&gt;"Not started",TRIM(U367)&lt;&gt;"In progress"),"INVALID – unrecognised status (use the list)",IF(AsOfUTC&gt;Q367,"OVERDUE",IF(N367="Clarification required","OPEN – CLARIFICATION","OPEN"))))))),"INVALID – error value in an input cell")</f>
        <v>OPEN</v>
      </c>
      <c r="AI367" s="61" t="n">
        <f aca="false">IF(OR(AH367="N/A – RULE",AH367="N/A – JUSTIFIED"),0,1)</f>
        <v>1</v>
      </c>
      <c r="AJ367" s="61" t="n">
        <f aca="false">IF(LEFT(AH367,8)="COMPLETE",1,0)</f>
        <v>0</v>
      </c>
      <c r="AK367" s="61" t="n">
        <f aca="false">IF(AND(AI367=1,AJ367=0,AsOfUTC&gt;Q367),1,0)</f>
        <v>0</v>
      </c>
      <c r="AL367" s="61" t="n">
        <f aca="false">IFERROR(IF(AND(AI367=1,OR(TRIM(U367)="Fail",AND(TRIM(AB367)&lt;&gt;"",TRIM(AB367)&lt;&gt;"Closed"),AND(ISNUMBER(AF367),AF367&lt;&gt;0,TRIM(U367)&lt;&gt;"Pass after CA"))),1,0),1)</f>
        <v>0</v>
      </c>
      <c r="AM367" s="61" t="n">
        <f aca="false">IF(LEFT(AH367,7)="INVALID",1,0)</f>
        <v>0</v>
      </c>
      <c r="AN367" s="61" t="n">
        <f aca="false">IF(AND(N367="Clarification required",AI367=1,AJ367=0),1,0)</f>
        <v>0</v>
      </c>
      <c r="AO367" s="61" t="str">
        <f aca="false">IF(AK367=1,SUM(AK$5:AK367),"")</f>
        <v/>
      </c>
      <c r="AP367" s="61" t="str">
        <f aca="false">IF(AL367=1,SUM(AL$5:AL367),"")</f>
        <v/>
      </c>
      <c r="AQ367" s="61" t="n">
        <v>1</v>
      </c>
      <c r="AR367" s="61" t="n">
        <v>0</v>
      </c>
      <c r="AS367" s="61" t="n">
        <v>0</v>
      </c>
      <c r="AT367" s="61" t="n">
        <v>0</v>
      </c>
      <c r="AU367" s="61" t="str">
        <f aca="false">SUBSTITUTE(SUBSTITUTE(SUBSTITUTE(SUBSTITUTE(SUBSTITUTE(SUBSTITUTE(SUBSTITUTE(SUBSTITUTE(SUBSTITUTE(SUBSTITUTE(SUBSTITUTE(SUBSTITUTE(SUBSTITUTE(SUBSTITUTE(SUBSTITUTE(SUBSTITUTE(LOWER(T367&amp;""),CHAR(10),""),CHAR(13),""),CHAR(9),""),CHAR(160),"")," ",""),".",""),"-",""),"/",""),"?",""),"_",""),",",""),"[",""),"]",""),"(",""),")",""),"*","")</f>
        <v/>
      </c>
      <c r="AV367" s="61" t="str">
        <f aca="false">SUBSTITUTE(SUBSTITUTE(SUBSTITUTE(SUBSTITUTE(SUBSTITUTE(SUBSTITUTE(SUBSTITUTE(SUBSTITUTE(SUBSTITUTE(SUBSTITUTE(SUBSTITUTE(SUBSTITUTE(SUBSTITUTE(SUBSTITUTE(SUBSTITUTE(SUBSTITUTE(LOWER(V367&amp;""),CHAR(10),""),CHAR(13),""),CHAR(9),""),CHAR(160),"")," ",""),".",""),"-",""),"/",""),"?",""),"_",""),",",""),"[",""),"]",""),"(",""),")",""),"*","")</f>
        <v/>
      </c>
      <c r="AW367" s="61" t="str">
        <f aca="false">SUBSTITUTE(SUBSTITUTE(SUBSTITUTE(SUBSTITUTE(SUBSTITUTE(SUBSTITUTE(SUBSTITUTE(SUBSTITUTE(SUBSTITUTE(SUBSTITUTE(SUBSTITUTE(SUBSTITUTE(SUBSTITUTE(SUBSTITUTE(SUBSTITUTE(SUBSTITUTE(LOWER(Z367&amp;""),CHAR(10),""),CHAR(13),""),CHAR(9),""),CHAR(160),"")," ",""),".",""),"-",""),"/",""),"?",""),"_",""),",",""),"[",""),"]",""),"(",""),")",""),"*","")</f>
        <v/>
      </c>
      <c r="AX367" s="61" t="str">
        <f aca="false">SUBSTITUTE(SUBSTITUTE(SUBSTITUTE(SUBSTITUTE(SUBSTITUTE(SUBSTITUTE(SUBSTITUTE(SUBSTITUTE(SUBSTITUTE(SUBSTITUTE(SUBSTITUTE(SUBSTITUTE(SUBSTITUTE(SUBSTITUTE(SUBSTITUTE(SUBSTITUTE(LOWER(AE367&amp;""),CHAR(10),""),CHAR(13),""),CHAR(9),""),CHAR(160),"")," ",""),".",""),"-",""),"/",""),"?",""),"_",""),",",""),"[",""),"]",""),"(",""),")",""),"*","")</f>
        <v/>
      </c>
      <c r="AY367" s="61" t="str">
        <f aca="false">SUBSTITUTE(SUBSTITUTE(SUBSTITUTE(SUBSTITUTE(SUBSTITUTE(SUBSTITUTE(SUBSTITUTE(SUBSTITUTE(SUBSTITUTE(SUBSTITUTE(SUBSTITUTE(SUBSTITUTE(SUBSTITUTE(SUBSTITUTE(SUBSTITUTE(SUBSTITUTE(LOWER(W367&amp;""),CHAR(10),""),CHAR(13),""),CHAR(9),""),CHAR(160),"")," ",""),".",""),"-",""),"/",""),"?",""),"_",""),",",""),"[",""),"]",""),"(",""),")",""),"*","")</f>
        <v/>
      </c>
      <c r="AZ367" s="61" t="str">
        <f aca="false">SUBSTITUTE(SUBSTITUTE(SUBSTITUTE(SUBSTITUTE(SUBSTITUTE(SUBSTITUTE(SUBSTITUTE(SUBSTITUTE(SUBSTITUTE(SUBSTITUTE(SUBSTITUTE(SUBSTITUTE(SUBSTITUTE(SUBSTITUTE(SUBSTITUTE(SUBSTITUTE(LOWER(AC367&amp;""),CHAR(10),""),CHAR(13),""),CHAR(9),""),CHAR(160),"")," ",""),".",""),"-",""),"/",""),"?",""),"_",""),",",""),"[",""),"]",""),"(",""),")",""),"*","")</f>
        <v/>
      </c>
      <c r="BA367" s="61" t="str">
        <f aca="false">SUBSTITUTE(SUBSTITUTE(SUBSTITUTE(SUBSTITUTE(SUBSTITUTE(SUBSTITUTE(SUBSTITUTE(SUBSTITUTE(SUBSTITUTE(SUBSTITUTE(SUBSTITUTE(SUBSTITUTE(SUBSTITUTE(SUBSTITUTE(SUBSTITUTE(SUBSTITUTE(LOWER(AA367&amp;""),CHAR(10),""),CHAR(13),""),CHAR(9),""),CHAR(160),"")," ",""),".",""),"-",""),"/",""),"?",""),"_",""),",",""),"[",""),"]",""),"(",""),")",""),"*","")</f>
        <v/>
      </c>
      <c r="BB367" s="61" t="str">
        <f aca="false">IF(AND(TRIM(U367)="Pass",ISNUMBER(AF367)),IF(AF367&lt;&gt;0,"INVALID – qty variance: use Fail or Pass after CA",""),"")&amp;IF(AND(TRIM(U367)="Pass after CA",ISNUMBER(AF367)),IF(AF367&lt;&gt;0,"INVALID – after the corrective action the actual qty must equal expected (update Actual)",""),"")&amp;IF(AND(TRIM(U367)="Pass",TRIM(AB367)&lt;&gt;"",TRIM(AB367)&lt;&gt;"Closed"),"INVALID – corrective action not closed: use Fail, then Pass after CA","")&amp;IF(AND(LEN(BA367)&gt;=2,ISNA(MATCH(LEFT(BA367,255),L_Placeholder,0)),TRIM(AB367)=""),"INVALID – CA status missing for the recorded corrective action","")&amp;IF(AND(TRIM(U367)="Pass after CA",OR(OR(LEN(BA367)&lt;5,ISNUMBER(MATCH(BA367,L_Placeholder,0))),TRIM(AB367)&lt;&gt;"Closed")),"INVALID – corrective action not recorded/closed","")</f>
        <v/>
      </c>
      <c r="BC367" s="61" t="str">
        <f aca="false">" "&amp;TRIM(SUBSTITUTE(SUBSTITUTE(SUBSTITUTE(SUBSTITUTE(SUBSTITUTE(SUBSTITUTE(SUBSTITUTE(SUBSTITUTE(SUBSTITUTE(SUBSTITUTE(SUBSTITUTE(SUBSTITUTE(SUBSTITUTE(SUBSTITUTE(SUBSTITUTE(SUBSTITUTE(SUBSTITUTE(SUBSTITUTE(SUBSTITUTE(SUBSTITUTE(SUBSTITUTE(SUBSTITUTE(SUBSTITUTE(SUBSTITUTE(LOWER(V367&amp;""),CHAR(10)," "),CHAR(13)," "),CHAR(9)," "),CHAR(160)," "),"."," "),","," "),"-"," "),"/"," "),"("," "),")"," "),":"," "),";"," "),"_"," "),"–"," "),"?"," "),"!"," "),"*"," "),"["," "),"]"," "),"'"," "),"#"," "),"+"," "),"&amp;"," "),"\"," "))&amp;" "</f>
        <v>  </v>
      </c>
      <c r="BD367" s="61" t="str">
        <f aca="false">" "&amp;TRIM(SUBSTITUTE(SUBSTITUTE(SUBSTITUTE(SUBSTITUTE(SUBSTITUTE(SUBSTITUTE(SUBSTITUTE(SUBSTITUTE(SUBSTITUTE(SUBSTITUTE(SUBSTITUTE(SUBSTITUTE(SUBSTITUTE(SUBSTITUTE(SUBSTITUTE(SUBSTITUTE(SUBSTITUTE(SUBSTITUTE(SUBSTITUTE(SUBSTITUTE(SUBSTITUTE(SUBSTITUTE(SUBSTITUTE(SUBSTITUTE(LOWER(Z367&amp;""),CHAR(10)," "),CHAR(13)," "),CHAR(9)," "),CHAR(160)," "),"."," "),","," "),"-"," "),"/"," "),"("," "),")"," "),":"," "),";"," "),"_"," "),"–"," "),"?"," "),"!"," "),"*"," "),"["," "),"]"," "),"'"," "),"#"," "),"+"," "),"&amp;"," "),"\"," "))&amp;" "</f>
        <v>  </v>
      </c>
      <c r="BE367" s="61" t="str">
        <f aca="false">" "&amp;TRIM(SUBSTITUTE(SUBSTITUTE(SUBSTITUTE(SUBSTITUTE(SUBSTITUTE(SUBSTITUTE(SUBSTITUTE(SUBSTITUTE(SUBSTITUTE(SUBSTITUTE(SUBSTITUTE(SUBSTITUTE(SUBSTITUTE(SUBSTITUTE(SUBSTITUTE(SUBSTITUTE(SUBSTITUTE(SUBSTITUTE(SUBSTITUTE(SUBSTITUTE(SUBSTITUTE(SUBSTITUTE(SUBSTITUTE(SUBSTITUTE(LOWER(W367&amp;""),CHAR(10)," "),CHAR(13)," "),CHAR(9)," "),CHAR(160)," "),"."," "),","," "),"-"," "),"/"," "),"("," "),")"," "),":"," "),";"," "),"_"," "),"–"," "),"?"," "),"!"," "),"*"," "),"["," "),"]"," "),"'"," "),"#"," "),"+"," "),"&amp;"," "),"\"," "))&amp;" "</f>
        <v>  </v>
      </c>
      <c r="BF367" s="61" t="str">
        <f aca="false">" "&amp;TRIM(SUBSTITUTE(SUBSTITUTE(SUBSTITUTE(SUBSTITUTE(SUBSTITUTE(SUBSTITUTE(SUBSTITUTE(SUBSTITUTE(SUBSTITUTE(SUBSTITUTE(SUBSTITUTE(SUBSTITUTE(SUBSTITUTE(SUBSTITUTE(SUBSTITUTE(SUBSTITUTE(SUBSTITUTE(SUBSTITUTE(SUBSTITUTE(SUBSTITUTE(SUBSTITUTE(SUBSTITUTE(SUBSTITUTE(SUBSTITUTE(LOWER(AC367&amp;""),CHAR(10)," "),CHAR(13)," "),CHAR(9)," "),CHAR(160)," "),"."," "),","," "),"-"," "),"/"," "),"("," "),")"," "),":"," "),";"," "),"_"," "),"–"," "),"?"," "),"!"," "),"*"," "),"["," "),"]"," "),"'"," "),"#"," "),"+"," "),"&amp;"," "),"\"," "))&amp;" "</f>
        <v>  </v>
      </c>
      <c r="BG367" s="61" t="n">
        <f aca="false">IFERROR(IF(AND(TRIM(U367)="Pass",SUMPRODUCT((LEN(BC367)-LEN(SUBSTITUTE(BC367," "&amp;L_ResultBad&amp;" "," ")))/(LEN(L_ResultBad)+1))&gt;SUMPRODUCT((LEN(BC367)-LEN(SUBSTITUTE(BC367," "&amp;L_NegPhrase&amp;" "," ")))/(LEN(L_NegPhrase)+1))),1,0),0)</f>
        <v>0</v>
      </c>
      <c r="BH367" s="61" t="n">
        <f aca="false">IFERROR(IF(SUMPRODUCT((LEN(BC367)-LEN(SUBSTITUTE(BC367," "&amp;L_Pending&amp;" "," ")))/(LEN(L_Pending)+1))&gt;SUMPRODUCT((LEN(BC367)-LEN(SUBSTITUTE(BC367," "&amp;L_PendNeg&amp;" "," ")))/(LEN(L_PendNeg)+1))+SUMPRODUCT((LEN(BC367)-LEN(SUBSTITUTE(BC367," "&amp;L_PendPrep&amp;" "," ")))/(LEN(L_PendPrep)+1)),1,0),1)</f>
        <v>0</v>
      </c>
      <c r="BI367" s="61" t="n">
        <f aca="false">IFERROR(IF(SUMPRODUCT((LEN(BD367)-LEN(SUBSTITUTE(BD367," "&amp;L_PendStrict&amp;" "," ")))/(LEN(L_PendStrict)+1))&gt;SUMPRODUCT((LEN(BD367)-LEN(SUBSTITUTE(BD367," "&amp;L_PendNeg&amp;" "," ")))/(LEN(L_PendNeg)+1)),1,0),1)</f>
        <v>0</v>
      </c>
      <c r="BJ367" s="61" t="n">
        <f aca="false">IFERROR(IF(SUMPRODUCT((LEN(BE367)-LEN(SUBSTITUTE(BE367," "&amp;L_Pending&amp;" "," ")))/(LEN(L_Pending)+1))&gt;SUMPRODUCT((LEN(BE367)-LEN(SUBSTITUTE(BE367," "&amp;L_PendNeg&amp;" "," ")))/(LEN(L_PendNeg)+1))+SUMPRODUCT((LEN(BE367)-LEN(SUBSTITUTE(BE367," "&amp;L_PendPrep&amp;" "," ")))/(LEN(L_PendPrep)+1)),1,0),1)</f>
        <v>0</v>
      </c>
      <c r="BK367" s="61" t="n">
        <f aca="false">IFERROR(IF(SUMPRODUCT((LEN(BF367)-LEN(SUBSTITUTE(BF367," "&amp;L_PendStrict&amp;" "," ")))/(LEN(L_PendStrict)+1))&gt;SUMPRODUCT((LEN(BF367)-LEN(SUBSTITUTE(BF367," "&amp;L_PendNeg&amp;" "," ")))/(LEN(L_PendNeg)+1)),1,0),1)</f>
        <v>0</v>
      </c>
      <c r="BL367" s="61" t="n">
        <f aca="false">IF(ISNA(MATCH(TRIM(S367),L_EvidenceType,0)),0,BZ367)</f>
        <v>0</v>
      </c>
      <c r="BM367" s="61" t="str">
        <f aca="false">SUBSTITUTE(SUBSTITUTE(SUBSTITUTE(SUBSTITUTE(SUBSTITUTE(SUBSTITUTE(SUBSTITUTE(SUBSTITUTE(SUBSTITUTE(LOWER(Z367&amp;""),"1","0"),"2","0"),"3","0"),"4","0"),"5","0"),"6","0"),"7","0"),"8","0"),"9","0")</f>
        <v/>
      </c>
      <c r="BN367" s="61" t="str">
        <f aca="false">SUBSTITUTE(SUBSTITUTE(SUBSTITUTE(SUBSTITUTE(SUBSTITUTE(SUBSTITUTE(SUBSTITUTE(SUBSTITUTE(SUBSTITUTE(SUBSTITUTE(SUBSTITUTE(SUBSTITUTE(SUBSTITUTE(SUBSTITUTE(SUBSTITUTE(SUBSTITUTE(SUBSTITUTE(SUBSTITUTE(SUBSTITUTE(SUBSTITUTE(SUBSTITUTE(SUBSTITUTE(SUBSTITUTE(SUBSTITUTE(SUBSTITUTE(BM367,"b","a"),"c","a"),"d","a"),"e","a"),"f","a"),"g","a"),"h","a"),"i","a"),"j","a"),"k","a"),"l","a"),"m","a"),"n","a"),"o","a"),"p","a"),"q","a"),"r","a"),"s","a"),"t","a"),"u","a"),"v","a"),"w","a"),"x","a"),"y","a"),"z","a")</f>
        <v/>
      </c>
      <c r="BO367" s="61" t="str">
        <f aca="false">SUBSTITUTE(SUBSTITUTE(SUBSTITUTE(SUBSTITUTE(SUBSTITUTE(SUBSTITUTE(SUBSTITUTE(SUBSTITUTE(SUBSTITUTE(LOWER(W367&amp;""),"1","0"),"2","0"),"3","0"),"4","0"),"5","0"),"6","0"),"7","0"),"8","0"),"9","0")</f>
        <v/>
      </c>
      <c r="BP367" s="61" t="str">
        <f aca="false">SUBSTITUTE(SUBSTITUTE(SUBSTITUTE(SUBSTITUTE(SUBSTITUTE(SUBSTITUTE(SUBSTITUTE(SUBSTITUTE(SUBSTITUTE(SUBSTITUTE(SUBSTITUTE(SUBSTITUTE(SUBSTITUTE(SUBSTITUTE(SUBSTITUTE(SUBSTITUTE(SUBSTITUTE(SUBSTITUTE(SUBSTITUTE(SUBSTITUTE(SUBSTITUTE(SUBSTITUTE(SUBSTITUTE(SUBSTITUTE(SUBSTITUTE(BO367,"b","a"),"c","a"),"d","a"),"e","a"),"f","a"),"g","a"),"h","a"),"i","a"),"j","a"),"k","a"),"l","a"),"m","a"),"n","a"),"o","a"),"p","a"),"q","a"),"r","a"),"s","a"),"t","a"),"u","a"),"v","a"),"w","a"),"x","a"),"y","a"),"z","a")</f>
        <v/>
      </c>
      <c r="BQ367" s="61" t="n">
        <f aca="false">IFERROR(IF(AND(ISERROR(SEARCH(" mh"," "&amp;LOWER(W367))),ISNA(MATCH(LEFT(TRIM(BP367),255),{"0000a","000a","00a","0000aa","000aa","00aa","0aa","0000aaa","000aaa","00a00","0a00","0000-0000","00:00","a00","a0","00.00.0000","00/00/0000","00-00-0000","0000-00-00","0000/00/00","0000.00.00","00.00.00","00/00/00","00-00-00","0.00.0000","0/00/0000","0-00-0000"},0)),ISNA(MATCH(LEFT(TRIM(CA367),255),{"0000a","000a","00a","0000aa","000aa","00aa","0aa","0000aaa","000aaa","00a00","0a00","0000-0000","00:00","a00","a0","00.00.0000","00/00/0000","00-00-0000","0000-00-00","0000/00/00","0000.00.00","00.00.00","00/00/00","00-00-00","0.00.0000","0/00/0000","0-00-0000"},0)),LEN(CB367)&gt;=3,NOT(OR(SUBSTITUTE(CB367,"0","")="",AND(LEN(CB367)&gt;=4,CB367=REPT(LEFT(CB367),LEN(CB367))),ISNUMBER(MATCH(CB367,{"123","1234","12345","123456","1234567","12345678","0123","01234","012345","98765","987654","54321"},0)),AND(LEN(CB367)=8,LEFT(CB367,3)="202"))),OR(AND((LEN(CA367)-LEN(SUBSTITUTE(CA367,"a","")))&gt;=1,SUMPRODUCT(--ISNUMBER(SEARCH({"a0","a-0","a_0","a/0","a.0","a#0","0a","0-a","0_a","0/a"},BP367)))&gt;0),ISNUMBER(SEARCH("000000",BP367)))),1,0),0)</f>
        <v>0</v>
      </c>
      <c r="BR367" s="61" t="n">
        <f aca="false">IFERROR(LEN(SUBSTITUTE(CC367," ",""))-SUMPRODUCT((LEN(CC367)-LEN(SUBSTITUTE(CC367," "&amp;L_Role&amp;" "," ")))/(LEN(L_Role)+1)*LEN(L_Role)),0)</f>
        <v>0</v>
      </c>
      <c r="BS367" s="61" t="n">
        <f aca="false">IFERROR(LEN(SUBSTITUTE(CD367," ",""))-SUMPRODUCT((LEN(CD367)-LEN(SUBSTITUTE(CD367," "&amp;L_Role&amp;" "," ")))/(LEN(L_Role)+1)*LEN(L_Role)),0)</f>
        <v>0</v>
      </c>
      <c r="BT3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367,"revision",""),"version",""),"jan",""),"feb",""),"mar",""),"apr",""),"may",""),"jun",""),"jul",""),"aug",""),"sep",""),"oct",""),"nov",""),"dec",""),"utc",""),"gmt",""),"myt",""),"bst",""),"rev",""),"ver",""),"b","a"),"c","a"),"d","a"),"e","a"),"f","a"),"g","a"),"h","a"),"i","a"),"j","a"),"k","a"),"l","a"),"m","a"),"n","a"),"o","a"),"p","a"),"q","a"),"r","a"),"s","a"),"t","a"),"u","a"),"v","a"),"w","a"),"x","a"),"y","a"),"z","a")</f>
        <v/>
      </c>
      <c r="BU367" s="61" t="str">
        <f aca="false">SUBSTITUTE(SUBSTITUTE(SUBSTITUTE(SUBSTITUTE(SUBSTITUTE(SUBSTITUTE(SUBSTITUTE(SUBSTITUTE(SUBSTITUTE(SUBSTITUTE(LEFT(BM367,FIND("0",BM367&amp;"0")-1),"-",""),"_",""),"/",""),".",""),"#",""),"\\",""),":","")," ",""),"(",""),")","")</f>
        <v/>
      </c>
      <c r="BV367" s="61" t="n">
        <f aca="false">0</f>
        <v>0</v>
      </c>
      <c r="BW3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367&amp;""),"a",""),"b",""),"c",""),"d",""),"e",""),"f",""),"g",""),"h",""),"i",""),"j",""),"k",""),"l",""),"m",""),"n",""),"o",""),"p",""),"q",""),"r",""),"s",""),"t",""),"u",""),"v",""),"w",""),"x",""),"y",""),"z",""),"-",""),"_",""),"/",""),".",""),"#",""),"\\",""),":","")," ",""),"(",""),")","")</f>
        <v/>
      </c>
      <c r="BX367" s="61" t="str">
        <f aca="false">SUBSTITUTE(SUBSTITUTE(SUBSTITUTE(SUBSTITUTE(SUBSTITUTE(SUBSTITUTE(SUBSTITUTE(SUBSTITUTE(SUBSTITUTE(SUBSTITUTE(SUBSTITUTE(BM367,"0",""),"-",""),"_",""),"/",""),".",""),"#",""),"\\",""),":","")," ",""),"(",""),")","")</f>
        <v/>
      </c>
      <c r="BY367" s="62" t="n">
        <f aca="false">Q367-T24EarlyH/24</f>
        <v>46305.3263888889</v>
      </c>
      <c r="BZ367" s="61" t="n">
        <f aca="false">IFERROR(IF(IF(TRIM(S367)="Link / file path",AND(LEN(TRIM(Z367))&gt;=5,SUMPRODUCT(--ISNUMBER(SEARCH({"http","www.","\\",":\",".pdf",".jpg",".jpeg",".png",".heic",".xls",".doc",".msg",".eml",".ppt",".txt",".zip"},Z367)))&gt;0),AND(ISERROR(FIND(" ",TRIM(Z367))),NOT(OR(SUMPRODUCT(--ISNUMBER(FIND({",",";","&amp;","+"},Z367)))&gt;0,SUMPRODUCT(--ISNUMBER(SEARCH({"0/aa","0\\aa"},BN367)))&gt;0)),NOT(SUMPRODUCT(--ISNUMBER(SEARCH({"http","www.","\\",":\",".pdf",".jpg",".jpeg",".png",".heic",".xls",".doc",".msg",".eml",".ppt",".txt",".zip"},Z367)))&gt;0),NOT(LOWER(TRIM(Z367))=LOWER(Flights!$F$15)),ISNA(MATCH(BU367,{"mh","rev","revision","ver","version","v","r","a","b","seat","tray","row","gate","bay","stand","page","pg","item","line","no","cart","galley","flight","flt","table","box","bag","oven","etd","eta","std","sta","atd","ata","qty","pax","x","time","tel","ph","mob","day","wk","week","utc","gmt","myt","lt"},0)),NOT(OR(ISNUMBER(MATCH(LEFT(BN367,255),{"0000a","000a","00a","0000aa","000aa","00aa","0aa","0000aaa","000aaa","00a00","0a00","0000-0000","00:00","a00","a0","00.00.0000","00/00/0000","00-00-0000","0000-00-00","0000/00/00","0000.00.00","00.00.00","00/00/00","00-00-00","0.00.0000","0/00/0000","0-00-0000"},0)),ISNUMBER(MATCH(LEFT(BT367,255),{"0000a","000a","00a","0000aa","000aa","00aa","0aa","0000aaa","000aaa","00a00","0a00","0000-0000","00:00","a00","a0","00.00.0000","00/00/0000","00-00-0000","0000-00-00","0000/00/00","0000.00.00","00.00.00","00/00/00","00-00-00","0.00.0000","0/00/0000","0-00-0000"},0)))),NOT(OR(AND(BW367&lt;&gt;"",SUBSTITUTE(BW367,"0","")=""),AND(LEN(BW367)&gt;=4,BW367=REPT(LEFT(BW367),LEN(BW367))),ISNUMBER(MATCH(BW367,{"123","1234","12345","123456","1234567","12345678","0123","01234","012345","98765","987654","54321"},0)),ISNUMBER(MATCH(BX367,{"x","xx","xxx","xxxx","xxxxx","abc","abcd","nil","na","nan","test","tbc","tba","tbd","dummy","sample","example","eg","zz","zzz","none","null","xyz","qwe","asd","id","ref"},0)),AND(LEN(BW367)=8,BX367="",OR(LEFT(BW367,3)="202",ISNUMBER(MATCH(RIGHT(BW367,4),{"2025","2026","2027"},0)))))),OR(AND((LEN(BT367)-LEN(SUBSTITUTE(BT367,"a","")))&gt;=1,(LEN(BN367)-LEN(SUBSTITUTE(BN367,"0","")))&gt;=2,SUMPRODUCT(--ISNUMBER(SEARCH({"a0","a-0","a_0","a/0","a.0","a#0","0a","0-a","0_a","0/a"},BN367)))&gt;0),AND((LEN(BN367)-LEN(SUBSTITUTE(BN367,"a","")))=0,(LEN(BN367)-LEN(SUBSTITUTE(BN367,"0","")))&gt;=5)))),1,0),0)</f>
        <v>0</v>
      </c>
      <c r="CA3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367,"revision",""),"version",""),"jan",""),"feb",""),"mar",""),"apr",""),"may",""),"jun",""),"jul",""),"aug",""),"sep",""),"oct",""),"nov",""),"dec",""),"utc",""),"gmt",""),"myt",""),"bst",""),"rev",""),"ver",""),"b","a"),"c","a"),"d","a"),"e","a"),"f","a"),"g","a"),"h","a"),"i","a"),"j","a"),"k","a"),"l","a"),"m","a"),"n","a"),"o","a"),"p","a"),"q","a"),"r","a"),"s","a"),"t","a"),"u","a"),"v","a"),"w","a"),"x","a"),"y","a"),"z","a")</f>
        <v/>
      </c>
      <c r="CB3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367&amp;""),"a",""),"b",""),"c",""),"d",""),"e",""),"f",""),"g",""),"h",""),"i",""),"j",""),"k",""),"l",""),"m",""),"n",""),"o",""),"p",""),"q",""),"r",""),"s",""),"t",""),"u",""),"v",""),"w",""),"x",""),"y",""),"z",""),"-",""),"_",""),"/",""),".",""),"#",""),"\\",""),":","")," ",""),"(",""),")","")</f>
        <v/>
      </c>
      <c r="CC367" s="0" t="str">
        <f aca="false">" "&amp;TRIM(SUBSTITUTE(SUBSTITUTE(SUBSTITUTE(SUBSTITUTE(SUBSTITUTE(SUBSTITUTE(SUBSTITUTE(SUBSTITUTE(SUBSTITUTE(SUBSTITUTE(SUBSTITUTE(SUBSTITUTE(SUBSTITUTE(SUBSTITUTE(SUBSTITUTE(SUBSTITUTE(SUBSTITUTE(SUBSTITUTE(SUBSTITUTE(SUBSTITUTE(SUBSTITUTE(SUBSTITUTE(SUBSTITUTE(SUBSTITUTE(LOWER(T367&amp;""),CHAR(10)," "),CHAR(13)," "),CHAR(9)," "),CHAR(160)," "),"."," "),","," "),"-"," "),"/"," "),"("," "),")"," "),":"," "),";"," "),"_"," "),"–"," "),"?"," "),"!"," "),"*"," "),"["," "),"]"," "),"'"," "),"#"," "),"+"," "),"&amp;"," "),"\"," "))&amp;" "</f>
        <v>  </v>
      </c>
      <c r="CD367" s="0" t="str">
        <f aca="false">" "&amp;TRIM(SUBSTITUTE(SUBSTITUTE(SUBSTITUTE(SUBSTITUTE(SUBSTITUTE(SUBSTITUTE(SUBSTITUTE(SUBSTITUTE(SUBSTITUTE(SUBSTITUTE(SUBSTITUTE(SUBSTITUTE(SUBSTITUTE(SUBSTITUTE(SUBSTITUTE(SUBSTITUTE(SUBSTITUTE(SUBSTITUTE(SUBSTITUTE(SUBSTITUTE(SUBSTITUTE(SUBSTITUTE(SUBSTITUTE(SUBSTITUTE(LOWER(AE367&amp;""),CHAR(10)," "),CHAR(13)," "),CHAR(9)," "),CHAR(160)," "),"."," "),","," "),"-"," "),"/"," "),"("," "),")"," "),":"," "),";"," "),"_"," "),"–"," "),"?"," "),"!"," "),"*"," "),"["," "),"]"," "),"'"," "),"#"," "),"+"," "),"&amp;"," "),"\"," "))&amp;" "</f>
        <v>  </v>
      </c>
      <c r="CE367" s="68" t="n">
        <f aca="false">IFERROR(IF(AND(LEN(AU367)&gt;0,LEN(AU367)=LEN(AX367),OR(TRIM(MID(SUBSTITUTE(TRIM(CC367)," ",REPT(" ",60)),1,60))="",ISNUMBER(SEARCH(" "&amp;TRIM(MID(SUBSTITUTE(TRIM(CC367)," ",REPT(" ",60)),1,60))&amp;" ",CD367))),OR(TRIM(MID(SUBSTITUTE(TRIM(CC367)," ",REPT(" ",60)),61,60))="",ISNUMBER(SEARCH(" "&amp;TRIM(MID(SUBSTITUTE(TRIM(CC367)," ",REPT(" ",60)),61,60))&amp;" ",CD367))),OR(TRIM(MID(SUBSTITUTE(TRIM(CC367)," ",REPT(" ",60)),121,60))="",ISNUMBER(SEARCH(" "&amp;TRIM(MID(SUBSTITUTE(TRIM(CC367)," ",REPT(" ",60)),121,60))&amp;" ",CD367)))),1,0),0)</f>
        <v>0</v>
      </c>
      <c r="CG367" s="68" t="n">
        <f aca="false">IFERROR(LEN(SUBSTITUTE(BF367," ",""))-SUMPRODUCT((LEN(BF367)-LEN(SUBSTITUTE(BF367," "&amp;L_NAFiller&amp;" "," ")))/(LEN(L_NAFiller)+1)*LEN(L_NAFiller)),0)</f>
        <v>0</v>
      </c>
    </row>
    <row r="368" customFormat="false" ht="41.25" hidden="false" customHeight="true" outlineLevel="0" collapsed="false">
      <c r="A368" s="57" t="s">
        <v>974</v>
      </c>
      <c r="B368" s="57" t="s">
        <v>258</v>
      </c>
      <c r="C368" s="57" t="str">
        <f aca="false">Flights!$F$15</f>
        <v>MH1149</v>
      </c>
      <c r="D368" s="58" t="n">
        <f aca="false">Flights!$D$15</f>
        <v>46307</v>
      </c>
      <c r="E368" s="57" t="str">
        <f aca="false">Flights!$G$15&amp;"-"&amp;Flights!$H$15</f>
        <v>PEN-KUL</v>
      </c>
      <c r="F368" s="57" t="str">
        <f aca="false">Flights!$K$15</f>
        <v>EY</v>
      </c>
      <c r="G368" s="57" t="s">
        <v>420</v>
      </c>
      <c r="H368" s="57" t="s">
        <v>378</v>
      </c>
      <c r="I368" s="57" t="s">
        <v>379</v>
      </c>
      <c r="J368" s="57" t="s">
        <v>421</v>
      </c>
      <c r="K368" s="67"/>
      <c r="L368" s="67" t="s">
        <v>422</v>
      </c>
      <c r="M368" s="67"/>
      <c r="N368" s="67" t="s">
        <v>383</v>
      </c>
      <c r="O368" s="67" t="s">
        <v>975</v>
      </c>
      <c r="P368" s="57" t="s">
        <v>187</v>
      </c>
      <c r="Q368" s="59" t="n">
        <f aca="false">ROUND((MIN(Flights!$AE$15,Flights!$AY$15))*1440,0)/1440</f>
        <v>46306.8263888889</v>
      </c>
      <c r="R368" s="59" t="n">
        <f aca="false">Q368+(IF(AND(INDEX(TZ_DSTS,MATCH(P368,TZ_STN,0))&lt;&gt;"",Q368&gt;=INDEX(TZ_DSTS,MATCH(P368,TZ_STN,0)),Q368&lt;INDEX(TZ_DSTE,MATCH(P368,TZ_STN,0))),INDEX(TZ_DST,MATCH(P368,TZ_STN,0)),INDEX(TZ_STD,MATCH(P368,TZ_STN,0))))/24</f>
        <v>46307.1597222222</v>
      </c>
      <c r="S368" s="60"/>
      <c r="T368" s="60"/>
      <c r="U368" s="60"/>
      <c r="V368" s="60"/>
      <c r="W368" s="61"/>
      <c r="X368" s="60"/>
      <c r="Y368" s="60"/>
      <c r="Z368" s="60"/>
      <c r="AA368" s="60"/>
      <c r="AB368" s="60"/>
      <c r="AC368" s="60"/>
      <c r="AD368" s="66"/>
      <c r="AE368" s="60"/>
      <c r="AF368" s="61" t="str">
        <f aca="false">IF(AND(ISNUMBER(X368),ISNUMBER(Y368)),Y368-X368,"")</f>
        <v/>
      </c>
      <c r="AG368" s="62" t="str">
        <f aca="false">IF(ISNUMBER(AD368),AD368-(IF(AND(INDEX(TZ_DSTS,MATCH(P368,TZ_STN,0))&lt;&gt;"",(AD368-INDEX(TZ_STD,MATCH(P368,TZ_STN,0))/24)&gt;=INDEX(TZ_DSTS,MATCH(P368,TZ_STN,0)),(AD368-INDEX(TZ_STD,MATCH(P368,TZ_STN,0))/24)&lt;INDEX(TZ_DSTE,MATCH(P368,TZ_STN,0))),INDEX(TZ_DST,MATCH(P368,TZ_STN,0)),INDEX(TZ_STD,MATCH(P368,TZ_STN,0))))/24,"")</f>
        <v/>
      </c>
      <c r="AH368" s="65" t="str">
        <f aca="false">IFERROR(IF(N368="N/A – rule",IF(OR(TRIM(U368)="",TRIM(U368)="N/A",TRIM(U368)="Not started"),"N/A – RULE","INVALID – this check does not apply to this aircraft: clear the status (or correct the fleet on Flights)"),IF(TRIM(U368)="N/A",IF(AT368=0,"INVALID – N/A not permitted for this check",IF(AND(TRIM(AB368)&lt;&gt;"",TRIM(AB368)&lt;&gt;"Closed"),"INVALID – corrective action still open",IF(AND(NOT(OR(LEN(AZ368)&lt;15,ISNUMBER(MATCH(AZ368,L_Placeholder,0)))),BK368=0,CG368&gt;=8,NOT(OR(LEN(AU368)&lt;2,ISNUMBER(MATCH(AU368,L_Placeholder,0)))),BR368&gt;=3,NOT(OR(LEN(AX368)&lt;2,ISNUMBER(MATCH(AX368,L_Placeholder,0)))),BS368&gt;=3,TRIM(AE368)&lt;&gt;TRIM(T368),AX368&lt;&gt;AU368,CE368=0),"N/A – JUSTIFIED","INVALID – N/A needs a real, settled reason (not 'not applicable' / 'as above' / TBC), a named PIC and a different named verifier"))),IF(OR(TRIM(U368)="Pass",TRIM(U368)="Pass after CA"),IF(NOT(ISNUMBER(AD368)),"INVALID – completion time missing",IF(OR(OR(LEN(AU368)&lt;2,ISNUMBER(MATCH(AU368,L_Placeholder,0))),BR368&lt;3),"INVALID – PIC missing or not a named person (a role such as QA / CSM is not a name)",IF(OR(LEN(AV368)&lt;2,ISNUMBER(MATCH(AV368,L_Placeholder,0))),"INVALID – result / assessment missing",IF(OR(OR(LEN(AW368)&lt;3,ISNUMBER(MATCH(AW368,L_Placeholder,0))),SUMPRODUCT(--ISNUMBER(SEARCH(" "&amp;L_EvidencePhrase&amp;" ",BD368)))&gt;0,BI368=1),"INVALID – evidence missing, placeholder or not yet on file",IF(ISNA(MATCH(TRIM(S368),L_EvidenceType,0)),"INVALID – choose the evidence type from the list (column S)",IF(BL368=0,"INVALID – evidence ID must be the record's own ID only (e.g. SF-2210, IMG_2231, 1045521); a link / file name needs type 'Link / file path'",IF(OR(OR(LEN(AX368)&lt;2,ISNUMBER(MATCH(AX368,L_Placeholder,0))),BS368&lt;3),"INVALID – verifier missing or not a named person (a role such as QA / CSM is not a name)",IF(OR(AX368=AU368,CE368=1,AND(LEN(AU368)&gt;=4,ISNUMBER(SEARCH(AU368,AX368))),AND(LEN(AX368)&gt;=4,ISNUMBER(SEARCH(AX368,AU368)))),"INVALID – verifier must be a different, named person (not the PIC or a role)",IF(BH368=1,"INVALID – result not yet available (awaiting / TBC)",IF(BG368=1,"INVALID – result describes a problem: record Fail, then Pass after CA (or reword if it is not a problem)",IF(BV368=1,"INVALID – wording says not on board: an on-board confirmation needs the item loaded",IF(AND(AQ368=1,OR(OR(LEN(AY368)&lt;3,ISNUMBER(MATCH(AY368,L_Placeholder,0))),BJ368=1,BQ368=0)),"INVALID – batch ID missing, placeholder or not an ID (e.g. PASB-261008-BC-017)",IF(AND(AR368=1,OR(NOT(ISNUMBER(X368)),NOT(ISNUMBER(Y368)))),"INVALID – expected/actual qty missing",IF(AND(AR368=1,OR(X368&lt;=0,Y368&lt;0)),"INVALID – expected qty must be above 0 and actual not negative",IF(BB368&lt;&gt;"",BB368,IF(AND(AS368=1,Documents!$J$15&lt;&gt;"ON FILE"),"INVALID – GLD not on file (Documents sheet)",IF(AND(AS368=2,Documents!$O$15&lt;&gt;"ON FILE"),"INVALID – menu checklist not on file (Documents sheet)",IF(AND(AS368=3,NOT(ISNUMBER(Flights!$AX$15))),"INVALID – enter carrying flight KUL departure (Flights AX)",IF(AND(AS368=3,OR(Flights!$AZ$15&gt;Flights!$AA$15,Flights!$AX$15&lt;Flights!$AA$15-3)),"INVALID – carrying flight (Flights AX) cannot arrive before this leg's STD, or is over 3 days early",IF(AG368&gt;AsOfUTC,"INVALID – completion time is in the future",IF(AND(ISNUMBER(BY368),AG368&lt;BY368),IF(H368="Physical uplift","INVALID – before uplift window (cannot confirm loading)","INVALID – before valid window"),IF(AG368&gt;Flights!$AA$15,"INVALID – completed after departure (cannot establish readiness)",IF(AND(H368="Preparation",AG368&gt;=Flights!$AY$15+UpliftWindowH/24),"INVALID – completed after the carrying flight left KUL",IF(AND(H368="Physical uplift",AG368&gt;Q368),"INVALID – recorded after the loading flight departed",IF(AG368&gt;Q368,"COMPLETE – LATE","COMPLETE"))))))))))))))))))))))))),IF(TRIM(U368)="Fail","FAIL – DISCREPANCY",IF(AND(TRIM(U368)&lt;&gt;"",TRIM(U368)&lt;&gt;"Not started",TRIM(U368)&lt;&gt;"In progress"),"INVALID – unrecognised status (use the list)",IF(AsOfUTC&gt;Q368,"OVERDUE",IF(N368="Clarification required","OPEN – CLARIFICATION","OPEN"))))))),"INVALID – error value in an input cell")</f>
        <v>OPEN</v>
      </c>
      <c r="AI368" s="61" t="n">
        <f aca="false">IF(OR(AH368="N/A – RULE",AH368="N/A – JUSTIFIED"),0,1)</f>
        <v>1</v>
      </c>
      <c r="AJ368" s="61" t="n">
        <f aca="false">IF(LEFT(AH368,8)="COMPLETE",1,0)</f>
        <v>0</v>
      </c>
      <c r="AK368" s="61" t="n">
        <f aca="false">IF(AND(AI368=1,AJ368=0,AsOfUTC&gt;Q368),1,0)</f>
        <v>0</v>
      </c>
      <c r="AL368" s="61" t="n">
        <f aca="false">IFERROR(IF(AND(AI368=1,OR(TRIM(U368)="Fail",AND(TRIM(AB368)&lt;&gt;"",TRIM(AB368)&lt;&gt;"Closed"),AND(ISNUMBER(AF368),AF368&lt;&gt;0,TRIM(U368)&lt;&gt;"Pass after CA"))),1,0),1)</f>
        <v>0</v>
      </c>
      <c r="AM368" s="61" t="n">
        <f aca="false">IF(LEFT(AH368,7)="INVALID",1,0)</f>
        <v>0</v>
      </c>
      <c r="AN368" s="61" t="n">
        <f aca="false">IF(AND(N368="Clarification required",AI368=1,AJ368=0),1,0)</f>
        <v>0</v>
      </c>
      <c r="AO368" s="61" t="str">
        <f aca="false">IF(AK368=1,SUM(AK$5:AK368),"")</f>
        <v/>
      </c>
      <c r="AP368" s="61" t="str">
        <f aca="false">IF(AL368=1,SUM(AL$5:AL368),"")</f>
        <v/>
      </c>
      <c r="AQ368" s="61" t="n">
        <v>0</v>
      </c>
      <c r="AR368" s="61" t="n">
        <v>0</v>
      </c>
      <c r="AS368" s="61" t="n">
        <v>0</v>
      </c>
      <c r="AT368" s="61" t="n">
        <v>0</v>
      </c>
      <c r="AU368" s="61" t="str">
        <f aca="false">SUBSTITUTE(SUBSTITUTE(SUBSTITUTE(SUBSTITUTE(SUBSTITUTE(SUBSTITUTE(SUBSTITUTE(SUBSTITUTE(SUBSTITUTE(SUBSTITUTE(SUBSTITUTE(SUBSTITUTE(SUBSTITUTE(SUBSTITUTE(SUBSTITUTE(SUBSTITUTE(LOWER(T368&amp;""),CHAR(10),""),CHAR(13),""),CHAR(9),""),CHAR(160),"")," ",""),".",""),"-",""),"/",""),"?",""),"_",""),",",""),"[",""),"]",""),"(",""),")",""),"*","")</f>
        <v/>
      </c>
      <c r="AV368" s="61" t="str">
        <f aca="false">SUBSTITUTE(SUBSTITUTE(SUBSTITUTE(SUBSTITUTE(SUBSTITUTE(SUBSTITUTE(SUBSTITUTE(SUBSTITUTE(SUBSTITUTE(SUBSTITUTE(SUBSTITUTE(SUBSTITUTE(SUBSTITUTE(SUBSTITUTE(SUBSTITUTE(SUBSTITUTE(LOWER(V368&amp;""),CHAR(10),""),CHAR(13),""),CHAR(9),""),CHAR(160),"")," ",""),".",""),"-",""),"/",""),"?",""),"_",""),",",""),"[",""),"]",""),"(",""),")",""),"*","")</f>
        <v/>
      </c>
      <c r="AW368" s="61" t="str">
        <f aca="false">SUBSTITUTE(SUBSTITUTE(SUBSTITUTE(SUBSTITUTE(SUBSTITUTE(SUBSTITUTE(SUBSTITUTE(SUBSTITUTE(SUBSTITUTE(SUBSTITUTE(SUBSTITUTE(SUBSTITUTE(SUBSTITUTE(SUBSTITUTE(SUBSTITUTE(SUBSTITUTE(LOWER(Z368&amp;""),CHAR(10),""),CHAR(13),""),CHAR(9),""),CHAR(160),"")," ",""),".",""),"-",""),"/",""),"?",""),"_",""),",",""),"[",""),"]",""),"(",""),")",""),"*","")</f>
        <v/>
      </c>
      <c r="AX368" s="61" t="str">
        <f aca="false">SUBSTITUTE(SUBSTITUTE(SUBSTITUTE(SUBSTITUTE(SUBSTITUTE(SUBSTITUTE(SUBSTITUTE(SUBSTITUTE(SUBSTITUTE(SUBSTITUTE(SUBSTITUTE(SUBSTITUTE(SUBSTITUTE(SUBSTITUTE(SUBSTITUTE(SUBSTITUTE(LOWER(AE368&amp;""),CHAR(10),""),CHAR(13),""),CHAR(9),""),CHAR(160),"")," ",""),".",""),"-",""),"/",""),"?",""),"_",""),",",""),"[",""),"]",""),"(",""),")",""),"*","")</f>
        <v/>
      </c>
      <c r="AY368" s="61" t="str">
        <f aca="false">SUBSTITUTE(SUBSTITUTE(SUBSTITUTE(SUBSTITUTE(SUBSTITUTE(SUBSTITUTE(SUBSTITUTE(SUBSTITUTE(SUBSTITUTE(SUBSTITUTE(SUBSTITUTE(SUBSTITUTE(SUBSTITUTE(SUBSTITUTE(SUBSTITUTE(SUBSTITUTE(LOWER(W368&amp;""),CHAR(10),""),CHAR(13),""),CHAR(9),""),CHAR(160),"")," ",""),".",""),"-",""),"/",""),"?",""),"_",""),",",""),"[",""),"]",""),"(",""),")",""),"*","")</f>
        <v/>
      </c>
      <c r="AZ368" s="61" t="str">
        <f aca="false">SUBSTITUTE(SUBSTITUTE(SUBSTITUTE(SUBSTITUTE(SUBSTITUTE(SUBSTITUTE(SUBSTITUTE(SUBSTITUTE(SUBSTITUTE(SUBSTITUTE(SUBSTITUTE(SUBSTITUTE(SUBSTITUTE(SUBSTITUTE(SUBSTITUTE(SUBSTITUTE(LOWER(AC368&amp;""),CHAR(10),""),CHAR(13),""),CHAR(9),""),CHAR(160),"")," ",""),".",""),"-",""),"/",""),"?",""),"_",""),",",""),"[",""),"]",""),"(",""),")",""),"*","")</f>
        <v/>
      </c>
      <c r="BA368" s="61" t="str">
        <f aca="false">SUBSTITUTE(SUBSTITUTE(SUBSTITUTE(SUBSTITUTE(SUBSTITUTE(SUBSTITUTE(SUBSTITUTE(SUBSTITUTE(SUBSTITUTE(SUBSTITUTE(SUBSTITUTE(SUBSTITUTE(SUBSTITUTE(SUBSTITUTE(SUBSTITUTE(SUBSTITUTE(LOWER(AA368&amp;""),CHAR(10),""),CHAR(13),""),CHAR(9),""),CHAR(160),"")," ",""),".",""),"-",""),"/",""),"?",""),"_",""),",",""),"[",""),"]",""),"(",""),")",""),"*","")</f>
        <v/>
      </c>
      <c r="BB368" s="61" t="str">
        <f aca="false">IF(AND(TRIM(U368)="Pass",ISNUMBER(AF368)),IF(AF368&lt;&gt;0,"INVALID – qty variance: use Fail or Pass after CA",""),"")&amp;IF(AND(TRIM(U368)="Pass after CA",ISNUMBER(AF368)),IF(AF368&lt;&gt;0,"INVALID – after the corrective action the actual qty must equal expected (update Actual)",""),"")&amp;IF(AND(TRIM(U368)="Pass",TRIM(AB368)&lt;&gt;"",TRIM(AB368)&lt;&gt;"Closed"),"INVALID – corrective action not closed: use Fail, then Pass after CA","")&amp;IF(AND(LEN(BA368)&gt;=2,ISNA(MATCH(LEFT(BA368,255),L_Placeholder,0)),TRIM(AB368)=""),"INVALID – CA status missing for the recorded corrective action","")&amp;IF(AND(TRIM(U368)="Pass after CA",OR(OR(LEN(BA368)&lt;5,ISNUMBER(MATCH(BA368,L_Placeholder,0))),TRIM(AB368)&lt;&gt;"Closed")),"INVALID – corrective action not recorded/closed","")</f>
        <v/>
      </c>
      <c r="BC368" s="61" t="str">
        <f aca="false">" "&amp;TRIM(SUBSTITUTE(SUBSTITUTE(SUBSTITUTE(SUBSTITUTE(SUBSTITUTE(SUBSTITUTE(SUBSTITUTE(SUBSTITUTE(SUBSTITUTE(SUBSTITUTE(SUBSTITUTE(SUBSTITUTE(SUBSTITUTE(SUBSTITUTE(SUBSTITUTE(SUBSTITUTE(SUBSTITUTE(SUBSTITUTE(SUBSTITUTE(SUBSTITUTE(SUBSTITUTE(SUBSTITUTE(SUBSTITUTE(SUBSTITUTE(LOWER(V368&amp;""),CHAR(10)," "),CHAR(13)," "),CHAR(9)," "),CHAR(160)," "),"."," "),","," "),"-"," "),"/"," "),"("," "),")"," "),":"," "),";"," "),"_"," "),"–"," "),"?"," "),"!"," "),"*"," "),"["," "),"]"," "),"'"," "),"#"," "),"+"," "),"&amp;"," "),"\"," "))&amp;" "</f>
        <v>  </v>
      </c>
      <c r="BD368" s="61" t="str">
        <f aca="false">" "&amp;TRIM(SUBSTITUTE(SUBSTITUTE(SUBSTITUTE(SUBSTITUTE(SUBSTITUTE(SUBSTITUTE(SUBSTITUTE(SUBSTITUTE(SUBSTITUTE(SUBSTITUTE(SUBSTITUTE(SUBSTITUTE(SUBSTITUTE(SUBSTITUTE(SUBSTITUTE(SUBSTITUTE(SUBSTITUTE(SUBSTITUTE(SUBSTITUTE(SUBSTITUTE(SUBSTITUTE(SUBSTITUTE(SUBSTITUTE(SUBSTITUTE(LOWER(Z368&amp;""),CHAR(10)," "),CHAR(13)," "),CHAR(9)," "),CHAR(160)," "),"."," "),","," "),"-"," "),"/"," "),"("," "),")"," "),":"," "),";"," "),"_"," "),"–"," "),"?"," "),"!"," "),"*"," "),"["," "),"]"," "),"'"," "),"#"," "),"+"," "),"&amp;"," "),"\"," "))&amp;" "</f>
        <v>  </v>
      </c>
      <c r="BE368" s="61" t="str">
        <f aca="false">" "&amp;TRIM(SUBSTITUTE(SUBSTITUTE(SUBSTITUTE(SUBSTITUTE(SUBSTITUTE(SUBSTITUTE(SUBSTITUTE(SUBSTITUTE(SUBSTITUTE(SUBSTITUTE(SUBSTITUTE(SUBSTITUTE(SUBSTITUTE(SUBSTITUTE(SUBSTITUTE(SUBSTITUTE(SUBSTITUTE(SUBSTITUTE(SUBSTITUTE(SUBSTITUTE(SUBSTITUTE(SUBSTITUTE(SUBSTITUTE(SUBSTITUTE(LOWER(W368&amp;""),CHAR(10)," "),CHAR(13)," "),CHAR(9)," "),CHAR(160)," "),"."," "),","," "),"-"," "),"/"," "),"("," "),")"," "),":"," "),";"," "),"_"," "),"–"," "),"?"," "),"!"," "),"*"," "),"["," "),"]"," "),"'"," "),"#"," "),"+"," "),"&amp;"," "),"\"," "))&amp;" "</f>
        <v>  </v>
      </c>
      <c r="BF368" s="61" t="str">
        <f aca="false">" "&amp;TRIM(SUBSTITUTE(SUBSTITUTE(SUBSTITUTE(SUBSTITUTE(SUBSTITUTE(SUBSTITUTE(SUBSTITUTE(SUBSTITUTE(SUBSTITUTE(SUBSTITUTE(SUBSTITUTE(SUBSTITUTE(SUBSTITUTE(SUBSTITUTE(SUBSTITUTE(SUBSTITUTE(SUBSTITUTE(SUBSTITUTE(SUBSTITUTE(SUBSTITUTE(SUBSTITUTE(SUBSTITUTE(SUBSTITUTE(SUBSTITUTE(LOWER(AC368&amp;""),CHAR(10)," "),CHAR(13)," "),CHAR(9)," "),CHAR(160)," "),"."," "),","," "),"-"," "),"/"," "),"("," "),")"," "),":"," "),";"," "),"_"," "),"–"," "),"?"," "),"!"," "),"*"," "),"["," "),"]"," "),"'"," "),"#"," "),"+"," "),"&amp;"," "),"\"," "))&amp;" "</f>
        <v>  </v>
      </c>
      <c r="BG368" s="61" t="n">
        <f aca="false">IFERROR(IF(AND(TRIM(U368)="Pass",SUMPRODUCT((LEN(BC368)-LEN(SUBSTITUTE(BC368," "&amp;L_ResultBad&amp;" "," ")))/(LEN(L_ResultBad)+1))&gt;SUMPRODUCT((LEN(BC368)-LEN(SUBSTITUTE(BC368," "&amp;L_NegPhrase&amp;" "," ")))/(LEN(L_NegPhrase)+1))),1,0),0)</f>
        <v>0</v>
      </c>
      <c r="BH368" s="61" t="n">
        <f aca="false">IFERROR(IF(SUMPRODUCT((LEN(BC368)-LEN(SUBSTITUTE(BC368," "&amp;L_Pending&amp;" "," ")))/(LEN(L_Pending)+1))&gt;SUMPRODUCT((LEN(BC368)-LEN(SUBSTITUTE(BC368," "&amp;L_PendNeg&amp;" "," ")))/(LEN(L_PendNeg)+1))+SUMPRODUCT((LEN(BC368)-LEN(SUBSTITUTE(BC368," "&amp;L_PendPrep&amp;" "," ")))/(LEN(L_PendPrep)+1)),1,0),1)</f>
        <v>0</v>
      </c>
      <c r="BI368" s="61" t="n">
        <f aca="false">IFERROR(IF(SUMPRODUCT((LEN(BD368)-LEN(SUBSTITUTE(BD368," "&amp;L_PendStrict&amp;" "," ")))/(LEN(L_PendStrict)+1))&gt;SUMPRODUCT((LEN(BD368)-LEN(SUBSTITUTE(BD368," "&amp;L_PendNeg&amp;" "," ")))/(LEN(L_PendNeg)+1)),1,0),1)</f>
        <v>0</v>
      </c>
      <c r="BJ368" s="61" t="n">
        <f aca="false">IFERROR(IF(SUMPRODUCT((LEN(BE368)-LEN(SUBSTITUTE(BE368," "&amp;L_Pending&amp;" "," ")))/(LEN(L_Pending)+1))&gt;SUMPRODUCT((LEN(BE368)-LEN(SUBSTITUTE(BE368," "&amp;L_PendNeg&amp;" "," ")))/(LEN(L_PendNeg)+1))+SUMPRODUCT((LEN(BE368)-LEN(SUBSTITUTE(BE368," "&amp;L_PendPrep&amp;" "," ")))/(LEN(L_PendPrep)+1)),1,0),1)</f>
        <v>0</v>
      </c>
      <c r="BK368" s="61" t="n">
        <f aca="false">IFERROR(IF(SUMPRODUCT((LEN(BF368)-LEN(SUBSTITUTE(BF368," "&amp;L_PendStrict&amp;" "," ")))/(LEN(L_PendStrict)+1))&gt;SUMPRODUCT((LEN(BF368)-LEN(SUBSTITUTE(BF368," "&amp;L_PendNeg&amp;" "," ")))/(LEN(L_PendNeg)+1)),1,0),1)</f>
        <v>0</v>
      </c>
      <c r="BL368" s="61" t="n">
        <f aca="false">IF(ISNA(MATCH(TRIM(S368),L_EvidenceType,0)),0,BZ368)</f>
        <v>0</v>
      </c>
      <c r="BM368" s="61" t="str">
        <f aca="false">SUBSTITUTE(SUBSTITUTE(SUBSTITUTE(SUBSTITUTE(SUBSTITUTE(SUBSTITUTE(SUBSTITUTE(SUBSTITUTE(SUBSTITUTE(LOWER(Z368&amp;""),"1","0"),"2","0"),"3","0"),"4","0"),"5","0"),"6","0"),"7","0"),"8","0"),"9","0")</f>
        <v/>
      </c>
      <c r="BN368" s="61" t="str">
        <f aca="false">SUBSTITUTE(SUBSTITUTE(SUBSTITUTE(SUBSTITUTE(SUBSTITUTE(SUBSTITUTE(SUBSTITUTE(SUBSTITUTE(SUBSTITUTE(SUBSTITUTE(SUBSTITUTE(SUBSTITUTE(SUBSTITUTE(SUBSTITUTE(SUBSTITUTE(SUBSTITUTE(SUBSTITUTE(SUBSTITUTE(SUBSTITUTE(SUBSTITUTE(SUBSTITUTE(SUBSTITUTE(SUBSTITUTE(SUBSTITUTE(SUBSTITUTE(BM368,"b","a"),"c","a"),"d","a"),"e","a"),"f","a"),"g","a"),"h","a"),"i","a"),"j","a"),"k","a"),"l","a"),"m","a"),"n","a"),"o","a"),"p","a"),"q","a"),"r","a"),"s","a"),"t","a"),"u","a"),"v","a"),"w","a"),"x","a"),"y","a"),"z","a")</f>
        <v/>
      </c>
      <c r="BO368" s="61" t="str">
        <f aca="false">SUBSTITUTE(SUBSTITUTE(SUBSTITUTE(SUBSTITUTE(SUBSTITUTE(SUBSTITUTE(SUBSTITUTE(SUBSTITUTE(SUBSTITUTE(LOWER(W368&amp;""),"1","0"),"2","0"),"3","0"),"4","0"),"5","0"),"6","0"),"7","0"),"8","0"),"9","0")</f>
        <v/>
      </c>
      <c r="BP368" s="61" t="str">
        <f aca="false">SUBSTITUTE(SUBSTITUTE(SUBSTITUTE(SUBSTITUTE(SUBSTITUTE(SUBSTITUTE(SUBSTITUTE(SUBSTITUTE(SUBSTITUTE(SUBSTITUTE(SUBSTITUTE(SUBSTITUTE(SUBSTITUTE(SUBSTITUTE(SUBSTITUTE(SUBSTITUTE(SUBSTITUTE(SUBSTITUTE(SUBSTITUTE(SUBSTITUTE(SUBSTITUTE(SUBSTITUTE(SUBSTITUTE(SUBSTITUTE(SUBSTITUTE(BO368,"b","a"),"c","a"),"d","a"),"e","a"),"f","a"),"g","a"),"h","a"),"i","a"),"j","a"),"k","a"),"l","a"),"m","a"),"n","a"),"o","a"),"p","a"),"q","a"),"r","a"),"s","a"),"t","a"),"u","a"),"v","a"),"w","a"),"x","a"),"y","a"),"z","a")</f>
        <v/>
      </c>
      <c r="BQ368" s="61" t="n">
        <f aca="false">IFERROR(IF(AND(ISERROR(SEARCH(" mh"," "&amp;LOWER(W368))),ISNA(MATCH(LEFT(TRIM(BP368),255),{"0000a","000a","00a","0000aa","000aa","00aa","0aa","0000aaa","000aaa","00a00","0a00","0000-0000","00:00","a00","a0","00.00.0000","00/00/0000","00-00-0000","0000-00-00","0000/00/00","0000.00.00","00.00.00","00/00/00","00-00-00","0.00.0000","0/00/0000","0-00-0000"},0)),ISNA(MATCH(LEFT(TRIM(CA368),255),{"0000a","000a","00a","0000aa","000aa","00aa","0aa","0000aaa","000aaa","00a00","0a00","0000-0000","00:00","a00","a0","00.00.0000","00/00/0000","00-00-0000","0000-00-00","0000/00/00","0000.00.00","00.00.00","00/00/00","00-00-00","0.00.0000","0/00/0000","0-00-0000"},0)),LEN(CB368)&gt;=3,NOT(OR(SUBSTITUTE(CB368,"0","")="",AND(LEN(CB368)&gt;=4,CB368=REPT(LEFT(CB368),LEN(CB368))),ISNUMBER(MATCH(CB368,{"123","1234","12345","123456","1234567","12345678","0123","01234","012345","98765","987654","54321"},0)),AND(LEN(CB368)=8,LEFT(CB368,3)="202"))),OR(AND((LEN(CA368)-LEN(SUBSTITUTE(CA368,"a","")))&gt;=1,SUMPRODUCT(--ISNUMBER(SEARCH({"a0","a-0","a_0","a/0","a.0","a#0","0a","0-a","0_a","0/a"},BP368)))&gt;0),ISNUMBER(SEARCH("000000",BP368)))),1,0),0)</f>
        <v>0</v>
      </c>
      <c r="BR368" s="61" t="n">
        <f aca="false">IFERROR(LEN(SUBSTITUTE(CC368," ",""))-SUMPRODUCT((LEN(CC368)-LEN(SUBSTITUTE(CC368," "&amp;L_Role&amp;" "," ")))/(LEN(L_Role)+1)*LEN(L_Role)),0)</f>
        <v>0</v>
      </c>
      <c r="BS368" s="61" t="n">
        <f aca="false">IFERROR(LEN(SUBSTITUTE(CD368," ",""))-SUMPRODUCT((LEN(CD368)-LEN(SUBSTITUTE(CD368," "&amp;L_Role&amp;" "," ")))/(LEN(L_Role)+1)*LEN(L_Role)),0)</f>
        <v>0</v>
      </c>
      <c r="BT3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368,"revision",""),"version",""),"jan",""),"feb",""),"mar",""),"apr",""),"may",""),"jun",""),"jul",""),"aug",""),"sep",""),"oct",""),"nov",""),"dec",""),"utc",""),"gmt",""),"myt",""),"bst",""),"rev",""),"ver",""),"b","a"),"c","a"),"d","a"),"e","a"),"f","a"),"g","a"),"h","a"),"i","a"),"j","a"),"k","a"),"l","a"),"m","a"),"n","a"),"o","a"),"p","a"),"q","a"),"r","a"),"s","a"),"t","a"),"u","a"),"v","a"),"w","a"),"x","a"),"y","a"),"z","a")</f>
        <v/>
      </c>
      <c r="BU368" s="61" t="str">
        <f aca="false">SUBSTITUTE(SUBSTITUTE(SUBSTITUTE(SUBSTITUTE(SUBSTITUTE(SUBSTITUTE(SUBSTITUTE(SUBSTITUTE(SUBSTITUTE(SUBSTITUTE(LEFT(BM368,FIND("0",BM368&amp;"0")-1),"-",""),"_",""),"/",""),".",""),"#",""),"\\",""),":","")," ",""),"(",""),")","")</f>
        <v/>
      </c>
      <c r="BV368" s="61" t="n">
        <f aca="false">0</f>
        <v>0</v>
      </c>
      <c r="BW3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368&amp;""),"a",""),"b",""),"c",""),"d",""),"e",""),"f",""),"g",""),"h",""),"i",""),"j",""),"k",""),"l",""),"m",""),"n",""),"o",""),"p",""),"q",""),"r",""),"s",""),"t",""),"u",""),"v",""),"w",""),"x",""),"y",""),"z",""),"-",""),"_",""),"/",""),".",""),"#",""),"\\",""),":","")," ",""),"(",""),")","")</f>
        <v/>
      </c>
      <c r="BX368" s="61" t="str">
        <f aca="false">SUBSTITUTE(SUBSTITUTE(SUBSTITUTE(SUBSTITUTE(SUBSTITUTE(SUBSTITUTE(SUBSTITUTE(SUBSTITUTE(SUBSTITUTE(SUBSTITUTE(SUBSTITUTE(BM368,"0",""),"-",""),"_",""),"/",""),".",""),"#",""),"\\",""),":","")," ",""),"(",""),")","")</f>
        <v/>
      </c>
      <c r="BY368" s="62" t="n">
        <f aca="false">Q368-T12EarlyH/24</f>
        <v>46306.3263888889</v>
      </c>
      <c r="BZ368" s="61" t="n">
        <f aca="false">IFERROR(IF(IF(TRIM(S368)="Link / file path",AND(LEN(TRIM(Z368))&gt;=5,SUMPRODUCT(--ISNUMBER(SEARCH({"http","www.","\\",":\",".pdf",".jpg",".jpeg",".png",".heic",".xls",".doc",".msg",".eml",".ppt",".txt",".zip"},Z368)))&gt;0),AND(ISERROR(FIND(" ",TRIM(Z368))),NOT(OR(SUMPRODUCT(--ISNUMBER(FIND({",",";","&amp;","+"},Z368)))&gt;0,SUMPRODUCT(--ISNUMBER(SEARCH({"0/aa","0\\aa"},BN368)))&gt;0)),NOT(SUMPRODUCT(--ISNUMBER(SEARCH({"http","www.","\\",":\",".pdf",".jpg",".jpeg",".png",".heic",".xls",".doc",".msg",".eml",".ppt",".txt",".zip"},Z368)))&gt;0),NOT(LOWER(TRIM(Z368))=LOWER(Flights!$F$15)),ISNA(MATCH(BU368,{"mh","rev","revision","ver","version","v","r","a","b","seat","tray","row","gate","bay","stand","page","pg","item","line","no","cart","galley","flight","flt","table","box","bag","oven","etd","eta","std","sta","atd","ata","qty","pax","x","time","tel","ph","mob","day","wk","week","utc","gmt","myt","lt"},0)),NOT(OR(ISNUMBER(MATCH(LEFT(BN368,255),{"0000a","000a","00a","0000aa","000aa","00aa","0aa","0000aaa","000aaa","00a00","0a00","0000-0000","00:00","a00","a0","00.00.0000","00/00/0000","00-00-0000","0000-00-00","0000/00/00","0000.00.00","00.00.00","00/00/00","00-00-00","0.00.0000","0/00/0000","0-00-0000"},0)),ISNUMBER(MATCH(LEFT(BT368,255),{"0000a","000a","00a","0000aa","000aa","00aa","0aa","0000aaa","000aaa","00a00","0a00","0000-0000","00:00","a00","a0","00.00.0000","00/00/0000","00-00-0000","0000-00-00","0000/00/00","0000.00.00","00.00.00","00/00/00","00-00-00","0.00.0000","0/00/0000","0-00-0000"},0)))),NOT(OR(AND(BW368&lt;&gt;"",SUBSTITUTE(BW368,"0","")=""),AND(LEN(BW368)&gt;=4,BW368=REPT(LEFT(BW368),LEN(BW368))),ISNUMBER(MATCH(BW368,{"123","1234","12345","123456","1234567","12345678","0123","01234","012345","98765","987654","54321"},0)),ISNUMBER(MATCH(BX368,{"x","xx","xxx","xxxx","xxxxx","abc","abcd","nil","na","nan","test","tbc","tba","tbd","dummy","sample","example","eg","zz","zzz","none","null","xyz","qwe","asd","id","ref"},0)),AND(LEN(BW368)=8,BX368="",OR(LEFT(BW368,3)="202",ISNUMBER(MATCH(RIGHT(BW368,4),{"2025","2026","2027"},0)))))),OR(AND((LEN(BT368)-LEN(SUBSTITUTE(BT368,"a","")))&gt;=1,(LEN(BN368)-LEN(SUBSTITUTE(BN368,"0","")))&gt;=2,SUMPRODUCT(--ISNUMBER(SEARCH({"a0","a-0","a_0","a/0","a.0","a#0","0a","0-a","0_a","0/a"},BN368)))&gt;0),AND((LEN(BN368)-LEN(SUBSTITUTE(BN368,"a","")))=0,(LEN(BN368)-LEN(SUBSTITUTE(BN368,"0","")))&gt;=5)))),1,0),0)</f>
        <v>0</v>
      </c>
      <c r="CA3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368,"revision",""),"version",""),"jan",""),"feb",""),"mar",""),"apr",""),"may",""),"jun",""),"jul",""),"aug",""),"sep",""),"oct",""),"nov",""),"dec",""),"utc",""),"gmt",""),"myt",""),"bst",""),"rev",""),"ver",""),"b","a"),"c","a"),"d","a"),"e","a"),"f","a"),"g","a"),"h","a"),"i","a"),"j","a"),"k","a"),"l","a"),"m","a"),"n","a"),"o","a"),"p","a"),"q","a"),"r","a"),"s","a"),"t","a"),"u","a"),"v","a"),"w","a"),"x","a"),"y","a"),"z","a")</f>
        <v/>
      </c>
      <c r="CB3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368&amp;""),"a",""),"b",""),"c",""),"d",""),"e",""),"f",""),"g",""),"h",""),"i",""),"j",""),"k",""),"l",""),"m",""),"n",""),"o",""),"p",""),"q",""),"r",""),"s",""),"t",""),"u",""),"v",""),"w",""),"x",""),"y",""),"z",""),"-",""),"_",""),"/",""),".",""),"#",""),"\\",""),":","")," ",""),"(",""),")","")</f>
        <v/>
      </c>
      <c r="CC368" s="0" t="str">
        <f aca="false">" "&amp;TRIM(SUBSTITUTE(SUBSTITUTE(SUBSTITUTE(SUBSTITUTE(SUBSTITUTE(SUBSTITUTE(SUBSTITUTE(SUBSTITUTE(SUBSTITUTE(SUBSTITUTE(SUBSTITUTE(SUBSTITUTE(SUBSTITUTE(SUBSTITUTE(SUBSTITUTE(SUBSTITUTE(SUBSTITUTE(SUBSTITUTE(SUBSTITUTE(SUBSTITUTE(SUBSTITUTE(SUBSTITUTE(SUBSTITUTE(SUBSTITUTE(LOWER(T368&amp;""),CHAR(10)," "),CHAR(13)," "),CHAR(9)," "),CHAR(160)," "),"."," "),","," "),"-"," "),"/"," "),"("," "),")"," "),":"," "),";"," "),"_"," "),"–"," "),"?"," "),"!"," "),"*"," "),"["," "),"]"," "),"'"," "),"#"," "),"+"," "),"&amp;"," "),"\"," "))&amp;" "</f>
        <v>  </v>
      </c>
      <c r="CD368" s="0" t="str">
        <f aca="false">" "&amp;TRIM(SUBSTITUTE(SUBSTITUTE(SUBSTITUTE(SUBSTITUTE(SUBSTITUTE(SUBSTITUTE(SUBSTITUTE(SUBSTITUTE(SUBSTITUTE(SUBSTITUTE(SUBSTITUTE(SUBSTITUTE(SUBSTITUTE(SUBSTITUTE(SUBSTITUTE(SUBSTITUTE(SUBSTITUTE(SUBSTITUTE(SUBSTITUTE(SUBSTITUTE(SUBSTITUTE(SUBSTITUTE(SUBSTITUTE(SUBSTITUTE(LOWER(AE368&amp;""),CHAR(10)," "),CHAR(13)," "),CHAR(9)," "),CHAR(160)," "),"."," "),","," "),"-"," "),"/"," "),"("," "),")"," "),":"," "),";"," "),"_"," "),"–"," "),"?"," "),"!"," "),"*"," "),"["," "),"]"," "),"'"," "),"#"," "),"+"," "),"&amp;"," "),"\"," "))&amp;" "</f>
        <v>  </v>
      </c>
      <c r="CE368" s="68" t="n">
        <f aca="false">IFERROR(IF(AND(LEN(AU368)&gt;0,LEN(AU368)=LEN(AX368),OR(TRIM(MID(SUBSTITUTE(TRIM(CC368)," ",REPT(" ",60)),1,60))="",ISNUMBER(SEARCH(" "&amp;TRIM(MID(SUBSTITUTE(TRIM(CC368)," ",REPT(" ",60)),1,60))&amp;" ",CD368))),OR(TRIM(MID(SUBSTITUTE(TRIM(CC368)," ",REPT(" ",60)),61,60))="",ISNUMBER(SEARCH(" "&amp;TRIM(MID(SUBSTITUTE(TRIM(CC368)," ",REPT(" ",60)),61,60))&amp;" ",CD368))),OR(TRIM(MID(SUBSTITUTE(TRIM(CC368)," ",REPT(" ",60)),121,60))="",ISNUMBER(SEARCH(" "&amp;TRIM(MID(SUBSTITUTE(TRIM(CC368)," ",REPT(" ",60)),121,60))&amp;" ",CD368)))),1,0),0)</f>
        <v>0</v>
      </c>
      <c r="CG368" s="68" t="n">
        <f aca="false">IFERROR(LEN(SUBSTITUTE(BF368," ",""))-SUMPRODUCT((LEN(BF368)-LEN(SUBSTITUTE(BF368," "&amp;L_NAFiller&amp;" "," ")))/(LEN(L_NAFiller)+1)*LEN(L_NAFiller)),0)</f>
        <v>0</v>
      </c>
    </row>
    <row r="369" customFormat="false" ht="41.25" hidden="false" customHeight="true" outlineLevel="0" collapsed="false">
      <c r="A369" s="57" t="s">
        <v>976</v>
      </c>
      <c r="B369" s="57" t="s">
        <v>258</v>
      </c>
      <c r="C369" s="57" t="str">
        <f aca="false">Flights!$F$15</f>
        <v>MH1149</v>
      </c>
      <c r="D369" s="58" t="n">
        <f aca="false">Flights!$D$15</f>
        <v>46307</v>
      </c>
      <c r="E369" s="57" t="str">
        <f aca="false">Flights!$G$15&amp;"-"&amp;Flights!$H$15</f>
        <v>PEN-KUL</v>
      </c>
      <c r="F369" s="57" t="str">
        <f aca="false">Flights!$K$15</f>
        <v>EY</v>
      </c>
      <c r="G369" s="57" t="s">
        <v>420</v>
      </c>
      <c r="H369" s="57" t="s">
        <v>378</v>
      </c>
      <c r="I369" s="57" t="s">
        <v>379</v>
      </c>
      <c r="J369" s="57" t="s">
        <v>425</v>
      </c>
      <c r="K369" s="67" t="s">
        <v>426</v>
      </c>
      <c r="L369" s="67" t="s">
        <v>422</v>
      </c>
      <c r="M369" s="67"/>
      <c r="N369" s="67" t="s">
        <v>383</v>
      </c>
      <c r="O369" s="67" t="s">
        <v>975</v>
      </c>
      <c r="P369" s="57" t="s">
        <v>187</v>
      </c>
      <c r="Q369" s="59" t="n">
        <f aca="false">ROUND((MIN(Flights!$AE$15,Flights!$AY$15))*1440,0)/1440</f>
        <v>46306.8263888889</v>
      </c>
      <c r="R369" s="59" t="n">
        <f aca="false">Q369+(IF(AND(INDEX(TZ_DSTS,MATCH(P369,TZ_STN,0))&lt;&gt;"",Q369&gt;=INDEX(TZ_DSTS,MATCH(P369,TZ_STN,0)),Q369&lt;INDEX(TZ_DSTE,MATCH(P369,TZ_STN,0))),INDEX(TZ_DST,MATCH(P369,TZ_STN,0)),INDEX(TZ_STD,MATCH(P369,TZ_STN,0))))/24</f>
        <v>46307.1597222222</v>
      </c>
      <c r="S369" s="60"/>
      <c r="T369" s="60"/>
      <c r="U369" s="60"/>
      <c r="V369" s="60"/>
      <c r="W369" s="61"/>
      <c r="X369" s="60"/>
      <c r="Y369" s="60"/>
      <c r="Z369" s="60"/>
      <c r="AA369" s="60"/>
      <c r="AB369" s="60"/>
      <c r="AC369" s="60"/>
      <c r="AD369" s="66"/>
      <c r="AE369" s="60"/>
      <c r="AF369" s="61" t="str">
        <f aca="false">IF(AND(ISNUMBER(X369),ISNUMBER(Y369)),Y369-X369,"")</f>
        <v/>
      </c>
      <c r="AG369" s="62" t="str">
        <f aca="false">IF(ISNUMBER(AD369),AD369-(IF(AND(INDEX(TZ_DSTS,MATCH(P369,TZ_STN,0))&lt;&gt;"",(AD369-INDEX(TZ_STD,MATCH(P369,TZ_STN,0))/24)&gt;=INDEX(TZ_DSTS,MATCH(P369,TZ_STN,0)),(AD369-INDEX(TZ_STD,MATCH(P369,TZ_STN,0))/24)&lt;INDEX(TZ_DSTE,MATCH(P369,TZ_STN,0))),INDEX(TZ_DST,MATCH(P369,TZ_STN,0)),INDEX(TZ_STD,MATCH(P369,TZ_STN,0))))/24,"")</f>
        <v/>
      </c>
      <c r="AH369" s="65" t="str">
        <f aca="false">IFERROR(IF(N369="N/A – rule",IF(OR(TRIM(U369)="",TRIM(U369)="N/A",TRIM(U369)="Not started"),"N/A – RULE","INVALID – this check does not apply to this aircraft: clear the status (or correct the fleet on Flights)"),IF(TRIM(U369)="N/A",IF(AT369=0,"INVALID – N/A not permitted for this check",IF(AND(TRIM(AB369)&lt;&gt;"",TRIM(AB369)&lt;&gt;"Closed"),"INVALID – corrective action still open",IF(AND(NOT(OR(LEN(AZ369)&lt;15,ISNUMBER(MATCH(AZ369,L_Placeholder,0)))),BK369=0,CG369&gt;=8,NOT(OR(LEN(AU369)&lt;2,ISNUMBER(MATCH(AU369,L_Placeholder,0)))),BR369&gt;=3,NOT(OR(LEN(AX369)&lt;2,ISNUMBER(MATCH(AX369,L_Placeholder,0)))),BS369&gt;=3,TRIM(AE369)&lt;&gt;TRIM(T369),AX369&lt;&gt;AU369,CE369=0),"N/A – JUSTIFIED","INVALID – N/A needs a real, settled reason (not 'not applicable' / 'as above' / TBC), a named PIC and a different named verifier"))),IF(OR(TRIM(U369)="Pass",TRIM(U369)="Pass after CA"),IF(NOT(ISNUMBER(AD369)),"INVALID – completion time missing",IF(OR(OR(LEN(AU369)&lt;2,ISNUMBER(MATCH(AU369,L_Placeholder,0))),BR369&lt;3),"INVALID – PIC missing or not a named person (a role such as QA / CSM is not a name)",IF(OR(LEN(AV369)&lt;2,ISNUMBER(MATCH(AV369,L_Placeholder,0))),"INVALID – result / assessment missing",IF(OR(OR(LEN(AW369)&lt;3,ISNUMBER(MATCH(AW369,L_Placeholder,0))),SUMPRODUCT(--ISNUMBER(SEARCH(" "&amp;L_EvidencePhrase&amp;" ",BD369)))&gt;0,BI369=1),"INVALID – evidence missing, placeholder or not yet on file",IF(ISNA(MATCH(TRIM(S369),L_EvidenceType,0)),"INVALID – choose the evidence type from the list (column S)",IF(BL369=0,"INVALID – evidence ID must be the record's own ID only (e.g. SF-2210, IMG_2231, 1045521); a link / file name needs type 'Link / file path'",IF(OR(OR(LEN(AX369)&lt;2,ISNUMBER(MATCH(AX369,L_Placeholder,0))),BS369&lt;3),"INVALID – verifier missing or not a named person (a role such as QA / CSM is not a name)",IF(OR(AX369=AU369,CE369=1,AND(LEN(AU369)&gt;=4,ISNUMBER(SEARCH(AU369,AX369))),AND(LEN(AX369)&gt;=4,ISNUMBER(SEARCH(AX369,AU369)))),"INVALID – verifier must be a different, named person (not the PIC or a role)",IF(BH369=1,"INVALID – result not yet available (awaiting / TBC)",IF(BG369=1,"INVALID – result describes a problem: record Fail, then Pass after CA (or reword if it is not a problem)",IF(BV369=1,"INVALID – wording says not on board: an on-board confirmation needs the item loaded",IF(AND(AQ369=1,OR(OR(LEN(AY369)&lt;3,ISNUMBER(MATCH(AY369,L_Placeholder,0))),BJ369=1,BQ369=0)),"INVALID – batch ID missing, placeholder or not an ID (e.g. PASB-261008-BC-017)",IF(AND(AR369=1,OR(NOT(ISNUMBER(X369)),NOT(ISNUMBER(Y369)))),"INVALID – expected/actual qty missing",IF(AND(AR369=1,OR(X369&lt;=0,Y369&lt;0)),"INVALID – expected qty must be above 0 and actual not negative",IF(BB369&lt;&gt;"",BB369,IF(AND(AS369=1,Documents!$J$15&lt;&gt;"ON FILE"),"INVALID – GLD not on file (Documents sheet)",IF(AND(AS369=2,Documents!$O$15&lt;&gt;"ON FILE"),"INVALID – menu checklist not on file (Documents sheet)",IF(AND(AS369=3,NOT(ISNUMBER(Flights!$AX$15))),"INVALID – enter carrying flight KUL departure (Flights AX)",IF(AND(AS369=3,OR(Flights!$AZ$15&gt;Flights!$AA$15,Flights!$AX$15&lt;Flights!$AA$15-3)),"INVALID – carrying flight (Flights AX) cannot arrive before this leg's STD, or is over 3 days early",IF(AG369&gt;AsOfUTC,"INVALID – completion time is in the future",IF(AND(ISNUMBER(BY369),AG369&lt;BY369),IF(H369="Physical uplift","INVALID – before uplift window (cannot confirm loading)","INVALID – before valid window"),IF(AG369&gt;Flights!$AA$15,"INVALID – completed after departure (cannot establish readiness)",IF(AND(H369="Preparation",AG369&gt;=Flights!$AY$15+UpliftWindowH/24),"INVALID – completed after the carrying flight left KUL",IF(AND(H369="Physical uplift",AG369&gt;Q369),"INVALID – recorded after the loading flight departed",IF(AG369&gt;Q369,"COMPLETE – LATE","COMPLETE"))))))))))))))))))))))))),IF(TRIM(U369)="Fail","FAIL – DISCREPANCY",IF(AND(TRIM(U369)&lt;&gt;"",TRIM(U369)&lt;&gt;"Not started",TRIM(U369)&lt;&gt;"In progress"),"INVALID – unrecognised status (use the list)",IF(AsOfUTC&gt;Q369,"OVERDUE",IF(N369="Clarification required","OPEN – CLARIFICATION","OPEN"))))))),"INVALID – error value in an input cell")</f>
        <v>OPEN</v>
      </c>
      <c r="AI369" s="61" t="n">
        <f aca="false">IF(OR(AH369="N/A – RULE",AH369="N/A – JUSTIFIED"),0,1)</f>
        <v>1</v>
      </c>
      <c r="AJ369" s="61" t="n">
        <f aca="false">IF(LEFT(AH369,8)="COMPLETE",1,0)</f>
        <v>0</v>
      </c>
      <c r="AK369" s="61" t="n">
        <f aca="false">IF(AND(AI369=1,AJ369=0,AsOfUTC&gt;Q369),1,0)</f>
        <v>0</v>
      </c>
      <c r="AL369" s="61" t="n">
        <f aca="false">IFERROR(IF(AND(AI369=1,OR(TRIM(U369)="Fail",AND(TRIM(AB369)&lt;&gt;"",TRIM(AB369)&lt;&gt;"Closed"),AND(ISNUMBER(AF369),AF369&lt;&gt;0,TRIM(U369)&lt;&gt;"Pass after CA"))),1,0),1)</f>
        <v>0</v>
      </c>
      <c r="AM369" s="61" t="n">
        <f aca="false">IF(LEFT(AH369,7)="INVALID",1,0)</f>
        <v>0</v>
      </c>
      <c r="AN369" s="61" t="n">
        <f aca="false">IF(AND(N369="Clarification required",AI369=1,AJ369=0),1,0)</f>
        <v>0</v>
      </c>
      <c r="AO369" s="61" t="str">
        <f aca="false">IF(AK369=1,SUM(AK$5:AK369),"")</f>
        <v/>
      </c>
      <c r="AP369" s="61" t="str">
        <f aca="false">IF(AL369=1,SUM(AL$5:AL369),"")</f>
        <v/>
      </c>
      <c r="AQ369" s="61" t="n">
        <v>0</v>
      </c>
      <c r="AR369" s="61" t="n">
        <v>1</v>
      </c>
      <c r="AS369" s="61" t="n">
        <v>0</v>
      </c>
      <c r="AT369" s="61" t="n">
        <v>0</v>
      </c>
      <c r="AU369" s="61" t="str">
        <f aca="false">SUBSTITUTE(SUBSTITUTE(SUBSTITUTE(SUBSTITUTE(SUBSTITUTE(SUBSTITUTE(SUBSTITUTE(SUBSTITUTE(SUBSTITUTE(SUBSTITUTE(SUBSTITUTE(SUBSTITUTE(SUBSTITUTE(SUBSTITUTE(SUBSTITUTE(SUBSTITUTE(LOWER(T369&amp;""),CHAR(10),""),CHAR(13),""),CHAR(9),""),CHAR(160),"")," ",""),".",""),"-",""),"/",""),"?",""),"_",""),",",""),"[",""),"]",""),"(",""),")",""),"*","")</f>
        <v/>
      </c>
      <c r="AV369" s="61" t="str">
        <f aca="false">SUBSTITUTE(SUBSTITUTE(SUBSTITUTE(SUBSTITUTE(SUBSTITUTE(SUBSTITUTE(SUBSTITUTE(SUBSTITUTE(SUBSTITUTE(SUBSTITUTE(SUBSTITUTE(SUBSTITUTE(SUBSTITUTE(SUBSTITUTE(SUBSTITUTE(SUBSTITUTE(LOWER(V369&amp;""),CHAR(10),""),CHAR(13),""),CHAR(9),""),CHAR(160),"")," ",""),".",""),"-",""),"/",""),"?",""),"_",""),",",""),"[",""),"]",""),"(",""),")",""),"*","")</f>
        <v/>
      </c>
      <c r="AW369" s="61" t="str">
        <f aca="false">SUBSTITUTE(SUBSTITUTE(SUBSTITUTE(SUBSTITUTE(SUBSTITUTE(SUBSTITUTE(SUBSTITUTE(SUBSTITUTE(SUBSTITUTE(SUBSTITUTE(SUBSTITUTE(SUBSTITUTE(SUBSTITUTE(SUBSTITUTE(SUBSTITUTE(SUBSTITUTE(LOWER(Z369&amp;""),CHAR(10),""),CHAR(13),""),CHAR(9),""),CHAR(160),"")," ",""),".",""),"-",""),"/",""),"?",""),"_",""),",",""),"[",""),"]",""),"(",""),")",""),"*","")</f>
        <v/>
      </c>
      <c r="AX369" s="61" t="str">
        <f aca="false">SUBSTITUTE(SUBSTITUTE(SUBSTITUTE(SUBSTITUTE(SUBSTITUTE(SUBSTITUTE(SUBSTITUTE(SUBSTITUTE(SUBSTITUTE(SUBSTITUTE(SUBSTITUTE(SUBSTITUTE(SUBSTITUTE(SUBSTITUTE(SUBSTITUTE(SUBSTITUTE(LOWER(AE369&amp;""),CHAR(10),""),CHAR(13),""),CHAR(9),""),CHAR(160),"")," ",""),".",""),"-",""),"/",""),"?",""),"_",""),",",""),"[",""),"]",""),"(",""),")",""),"*","")</f>
        <v/>
      </c>
      <c r="AY369" s="61" t="str">
        <f aca="false">SUBSTITUTE(SUBSTITUTE(SUBSTITUTE(SUBSTITUTE(SUBSTITUTE(SUBSTITUTE(SUBSTITUTE(SUBSTITUTE(SUBSTITUTE(SUBSTITUTE(SUBSTITUTE(SUBSTITUTE(SUBSTITUTE(SUBSTITUTE(SUBSTITUTE(SUBSTITUTE(LOWER(W369&amp;""),CHAR(10),""),CHAR(13),""),CHAR(9),""),CHAR(160),"")," ",""),".",""),"-",""),"/",""),"?",""),"_",""),",",""),"[",""),"]",""),"(",""),")",""),"*","")</f>
        <v/>
      </c>
      <c r="AZ369" s="61" t="str">
        <f aca="false">SUBSTITUTE(SUBSTITUTE(SUBSTITUTE(SUBSTITUTE(SUBSTITUTE(SUBSTITUTE(SUBSTITUTE(SUBSTITUTE(SUBSTITUTE(SUBSTITUTE(SUBSTITUTE(SUBSTITUTE(SUBSTITUTE(SUBSTITUTE(SUBSTITUTE(SUBSTITUTE(LOWER(AC369&amp;""),CHAR(10),""),CHAR(13),""),CHAR(9),""),CHAR(160),"")," ",""),".",""),"-",""),"/",""),"?",""),"_",""),",",""),"[",""),"]",""),"(",""),")",""),"*","")</f>
        <v/>
      </c>
      <c r="BA369" s="61" t="str">
        <f aca="false">SUBSTITUTE(SUBSTITUTE(SUBSTITUTE(SUBSTITUTE(SUBSTITUTE(SUBSTITUTE(SUBSTITUTE(SUBSTITUTE(SUBSTITUTE(SUBSTITUTE(SUBSTITUTE(SUBSTITUTE(SUBSTITUTE(SUBSTITUTE(SUBSTITUTE(SUBSTITUTE(LOWER(AA369&amp;""),CHAR(10),""),CHAR(13),""),CHAR(9),""),CHAR(160),"")," ",""),".",""),"-",""),"/",""),"?",""),"_",""),",",""),"[",""),"]",""),"(",""),")",""),"*","")</f>
        <v/>
      </c>
      <c r="BB369" s="61" t="str">
        <f aca="false">IF(AND(TRIM(U369)="Pass",ISNUMBER(AF369)),IF(AF369&lt;&gt;0,"INVALID – qty variance: use Fail or Pass after CA",""),"")&amp;IF(AND(TRIM(U369)="Pass after CA",ISNUMBER(AF369)),IF(AF369&lt;&gt;0,"INVALID – after the corrective action the actual qty must equal expected (update Actual)",""),"")&amp;IF(AND(TRIM(U369)="Pass",TRIM(AB369)&lt;&gt;"",TRIM(AB369)&lt;&gt;"Closed"),"INVALID – corrective action not closed: use Fail, then Pass after CA","")&amp;IF(AND(LEN(BA369)&gt;=2,ISNA(MATCH(LEFT(BA369,255),L_Placeholder,0)),TRIM(AB369)=""),"INVALID – CA status missing for the recorded corrective action","")&amp;IF(AND(TRIM(U369)="Pass after CA",OR(OR(LEN(BA369)&lt;5,ISNUMBER(MATCH(BA369,L_Placeholder,0))),TRIM(AB369)&lt;&gt;"Closed")),"INVALID – corrective action not recorded/closed","")</f>
        <v/>
      </c>
      <c r="BC369" s="61" t="str">
        <f aca="false">" "&amp;TRIM(SUBSTITUTE(SUBSTITUTE(SUBSTITUTE(SUBSTITUTE(SUBSTITUTE(SUBSTITUTE(SUBSTITUTE(SUBSTITUTE(SUBSTITUTE(SUBSTITUTE(SUBSTITUTE(SUBSTITUTE(SUBSTITUTE(SUBSTITUTE(SUBSTITUTE(SUBSTITUTE(SUBSTITUTE(SUBSTITUTE(SUBSTITUTE(SUBSTITUTE(SUBSTITUTE(SUBSTITUTE(SUBSTITUTE(SUBSTITUTE(LOWER(V369&amp;""),CHAR(10)," "),CHAR(13)," "),CHAR(9)," "),CHAR(160)," "),"."," "),","," "),"-"," "),"/"," "),"("," "),")"," "),":"," "),";"," "),"_"," "),"–"," "),"?"," "),"!"," "),"*"," "),"["," "),"]"," "),"'"," "),"#"," "),"+"," "),"&amp;"," "),"\"," "))&amp;" "</f>
        <v>  </v>
      </c>
      <c r="BD369" s="61" t="str">
        <f aca="false">" "&amp;TRIM(SUBSTITUTE(SUBSTITUTE(SUBSTITUTE(SUBSTITUTE(SUBSTITUTE(SUBSTITUTE(SUBSTITUTE(SUBSTITUTE(SUBSTITUTE(SUBSTITUTE(SUBSTITUTE(SUBSTITUTE(SUBSTITUTE(SUBSTITUTE(SUBSTITUTE(SUBSTITUTE(SUBSTITUTE(SUBSTITUTE(SUBSTITUTE(SUBSTITUTE(SUBSTITUTE(SUBSTITUTE(SUBSTITUTE(SUBSTITUTE(LOWER(Z369&amp;""),CHAR(10)," "),CHAR(13)," "),CHAR(9)," "),CHAR(160)," "),"."," "),","," "),"-"," "),"/"," "),"("," "),")"," "),":"," "),";"," "),"_"," "),"–"," "),"?"," "),"!"," "),"*"," "),"["," "),"]"," "),"'"," "),"#"," "),"+"," "),"&amp;"," "),"\"," "))&amp;" "</f>
        <v>  </v>
      </c>
      <c r="BE369" s="61" t="str">
        <f aca="false">" "&amp;TRIM(SUBSTITUTE(SUBSTITUTE(SUBSTITUTE(SUBSTITUTE(SUBSTITUTE(SUBSTITUTE(SUBSTITUTE(SUBSTITUTE(SUBSTITUTE(SUBSTITUTE(SUBSTITUTE(SUBSTITUTE(SUBSTITUTE(SUBSTITUTE(SUBSTITUTE(SUBSTITUTE(SUBSTITUTE(SUBSTITUTE(SUBSTITUTE(SUBSTITUTE(SUBSTITUTE(SUBSTITUTE(SUBSTITUTE(SUBSTITUTE(LOWER(W369&amp;""),CHAR(10)," "),CHAR(13)," "),CHAR(9)," "),CHAR(160)," "),"."," "),","," "),"-"," "),"/"," "),"("," "),")"," "),":"," "),";"," "),"_"," "),"–"," "),"?"," "),"!"," "),"*"," "),"["," "),"]"," "),"'"," "),"#"," "),"+"," "),"&amp;"," "),"\"," "))&amp;" "</f>
        <v>  </v>
      </c>
      <c r="BF369" s="61" t="str">
        <f aca="false">" "&amp;TRIM(SUBSTITUTE(SUBSTITUTE(SUBSTITUTE(SUBSTITUTE(SUBSTITUTE(SUBSTITUTE(SUBSTITUTE(SUBSTITUTE(SUBSTITUTE(SUBSTITUTE(SUBSTITUTE(SUBSTITUTE(SUBSTITUTE(SUBSTITUTE(SUBSTITUTE(SUBSTITUTE(SUBSTITUTE(SUBSTITUTE(SUBSTITUTE(SUBSTITUTE(SUBSTITUTE(SUBSTITUTE(SUBSTITUTE(SUBSTITUTE(LOWER(AC369&amp;""),CHAR(10)," "),CHAR(13)," "),CHAR(9)," "),CHAR(160)," "),"."," "),","," "),"-"," "),"/"," "),"("," "),")"," "),":"," "),";"," "),"_"," "),"–"," "),"?"," "),"!"," "),"*"," "),"["," "),"]"," "),"'"," "),"#"," "),"+"," "),"&amp;"," "),"\"," "))&amp;" "</f>
        <v>  </v>
      </c>
      <c r="BG369" s="61" t="n">
        <f aca="false">IFERROR(IF(AND(TRIM(U369)="Pass",SUMPRODUCT((LEN(BC369)-LEN(SUBSTITUTE(BC369," "&amp;L_ResultBad&amp;" "," ")))/(LEN(L_ResultBad)+1))&gt;SUMPRODUCT((LEN(BC369)-LEN(SUBSTITUTE(BC369," "&amp;L_NegPhrase&amp;" "," ")))/(LEN(L_NegPhrase)+1))),1,0),0)</f>
        <v>0</v>
      </c>
      <c r="BH369" s="61" t="n">
        <f aca="false">IFERROR(IF(SUMPRODUCT((LEN(BC369)-LEN(SUBSTITUTE(BC369," "&amp;L_Pending&amp;" "," ")))/(LEN(L_Pending)+1))&gt;SUMPRODUCT((LEN(BC369)-LEN(SUBSTITUTE(BC369," "&amp;L_PendNeg&amp;" "," ")))/(LEN(L_PendNeg)+1))+SUMPRODUCT((LEN(BC369)-LEN(SUBSTITUTE(BC369," "&amp;L_PendPrep&amp;" "," ")))/(LEN(L_PendPrep)+1)),1,0),1)</f>
        <v>0</v>
      </c>
      <c r="BI369" s="61" t="n">
        <f aca="false">IFERROR(IF(SUMPRODUCT((LEN(BD369)-LEN(SUBSTITUTE(BD369," "&amp;L_PendStrict&amp;" "," ")))/(LEN(L_PendStrict)+1))&gt;SUMPRODUCT((LEN(BD369)-LEN(SUBSTITUTE(BD369," "&amp;L_PendNeg&amp;" "," ")))/(LEN(L_PendNeg)+1)),1,0),1)</f>
        <v>0</v>
      </c>
      <c r="BJ369" s="61" t="n">
        <f aca="false">IFERROR(IF(SUMPRODUCT((LEN(BE369)-LEN(SUBSTITUTE(BE369," "&amp;L_Pending&amp;" "," ")))/(LEN(L_Pending)+1))&gt;SUMPRODUCT((LEN(BE369)-LEN(SUBSTITUTE(BE369," "&amp;L_PendNeg&amp;" "," ")))/(LEN(L_PendNeg)+1))+SUMPRODUCT((LEN(BE369)-LEN(SUBSTITUTE(BE369," "&amp;L_PendPrep&amp;" "," ")))/(LEN(L_PendPrep)+1)),1,0),1)</f>
        <v>0</v>
      </c>
      <c r="BK369" s="61" t="n">
        <f aca="false">IFERROR(IF(SUMPRODUCT((LEN(BF369)-LEN(SUBSTITUTE(BF369," "&amp;L_PendStrict&amp;" "," ")))/(LEN(L_PendStrict)+1))&gt;SUMPRODUCT((LEN(BF369)-LEN(SUBSTITUTE(BF369," "&amp;L_PendNeg&amp;" "," ")))/(LEN(L_PendNeg)+1)),1,0),1)</f>
        <v>0</v>
      </c>
      <c r="BL369" s="61" t="n">
        <f aca="false">IF(ISNA(MATCH(TRIM(S369),L_EvidenceType,0)),0,BZ369)</f>
        <v>0</v>
      </c>
      <c r="BM369" s="61" t="str">
        <f aca="false">SUBSTITUTE(SUBSTITUTE(SUBSTITUTE(SUBSTITUTE(SUBSTITUTE(SUBSTITUTE(SUBSTITUTE(SUBSTITUTE(SUBSTITUTE(LOWER(Z369&amp;""),"1","0"),"2","0"),"3","0"),"4","0"),"5","0"),"6","0"),"7","0"),"8","0"),"9","0")</f>
        <v/>
      </c>
      <c r="BN369" s="61" t="str">
        <f aca="false">SUBSTITUTE(SUBSTITUTE(SUBSTITUTE(SUBSTITUTE(SUBSTITUTE(SUBSTITUTE(SUBSTITUTE(SUBSTITUTE(SUBSTITUTE(SUBSTITUTE(SUBSTITUTE(SUBSTITUTE(SUBSTITUTE(SUBSTITUTE(SUBSTITUTE(SUBSTITUTE(SUBSTITUTE(SUBSTITUTE(SUBSTITUTE(SUBSTITUTE(SUBSTITUTE(SUBSTITUTE(SUBSTITUTE(SUBSTITUTE(SUBSTITUTE(BM369,"b","a"),"c","a"),"d","a"),"e","a"),"f","a"),"g","a"),"h","a"),"i","a"),"j","a"),"k","a"),"l","a"),"m","a"),"n","a"),"o","a"),"p","a"),"q","a"),"r","a"),"s","a"),"t","a"),"u","a"),"v","a"),"w","a"),"x","a"),"y","a"),"z","a")</f>
        <v/>
      </c>
      <c r="BO369" s="61" t="str">
        <f aca="false">SUBSTITUTE(SUBSTITUTE(SUBSTITUTE(SUBSTITUTE(SUBSTITUTE(SUBSTITUTE(SUBSTITUTE(SUBSTITUTE(SUBSTITUTE(LOWER(W369&amp;""),"1","0"),"2","0"),"3","0"),"4","0"),"5","0"),"6","0"),"7","0"),"8","0"),"9","0")</f>
        <v/>
      </c>
      <c r="BP369" s="61" t="str">
        <f aca="false">SUBSTITUTE(SUBSTITUTE(SUBSTITUTE(SUBSTITUTE(SUBSTITUTE(SUBSTITUTE(SUBSTITUTE(SUBSTITUTE(SUBSTITUTE(SUBSTITUTE(SUBSTITUTE(SUBSTITUTE(SUBSTITUTE(SUBSTITUTE(SUBSTITUTE(SUBSTITUTE(SUBSTITUTE(SUBSTITUTE(SUBSTITUTE(SUBSTITUTE(SUBSTITUTE(SUBSTITUTE(SUBSTITUTE(SUBSTITUTE(SUBSTITUTE(BO369,"b","a"),"c","a"),"d","a"),"e","a"),"f","a"),"g","a"),"h","a"),"i","a"),"j","a"),"k","a"),"l","a"),"m","a"),"n","a"),"o","a"),"p","a"),"q","a"),"r","a"),"s","a"),"t","a"),"u","a"),"v","a"),"w","a"),"x","a"),"y","a"),"z","a")</f>
        <v/>
      </c>
      <c r="BQ369" s="61" t="n">
        <f aca="false">IFERROR(IF(AND(ISERROR(SEARCH(" mh"," "&amp;LOWER(W369))),ISNA(MATCH(LEFT(TRIM(BP369),255),{"0000a","000a","00a","0000aa","000aa","00aa","0aa","0000aaa","000aaa","00a00","0a00","0000-0000","00:00","a00","a0","00.00.0000","00/00/0000","00-00-0000","0000-00-00","0000/00/00","0000.00.00","00.00.00","00/00/00","00-00-00","0.00.0000","0/00/0000","0-00-0000"},0)),ISNA(MATCH(LEFT(TRIM(CA369),255),{"0000a","000a","00a","0000aa","000aa","00aa","0aa","0000aaa","000aaa","00a00","0a00","0000-0000","00:00","a00","a0","00.00.0000","00/00/0000","00-00-0000","0000-00-00","0000/00/00","0000.00.00","00.00.00","00/00/00","00-00-00","0.00.0000","0/00/0000","0-00-0000"},0)),LEN(CB369)&gt;=3,NOT(OR(SUBSTITUTE(CB369,"0","")="",AND(LEN(CB369)&gt;=4,CB369=REPT(LEFT(CB369),LEN(CB369))),ISNUMBER(MATCH(CB369,{"123","1234","12345","123456","1234567","12345678","0123","01234","012345","98765","987654","54321"},0)),AND(LEN(CB369)=8,LEFT(CB369,3)="202"))),OR(AND((LEN(CA369)-LEN(SUBSTITUTE(CA369,"a","")))&gt;=1,SUMPRODUCT(--ISNUMBER(SEARCH({"a0","a-0","a_0","a/0","a.0","a#0","0a","0-a","0_a","0/a"},BP369)))&gt;0),ISNUMBER(SEARCH("000000",BP369)))),1,0),0)</f>
        <v>0</v>
      </c>
      <c r="BR369" s="61" t="n">
        <f aca="false">IFERROR(LEN(SUBSTITUTE(CC369," ",""))-SUMPRODUCT((LEN(CC369)-LEN(SUBSTITUTE(CC369," "&amp;L_Role&amp;" "," ")))/(LEN(L_Role)+1)*LEN(L_Role)),0)</f>
        <v>0</v>
      </c>
      <c r="BS369" s="61" t="n">
        <f aca="false">IFERROR(LEN(SUBSTITUTE(CD369," ",""))-SUMPRODUCT((LEN(CD369)-LEN(SUBSTITUTE(CD369," "&amp;L_Role&amp;" "," ")))/(LEN(L_Role)+1)*LEN(L_Role)),0)</f>
        <v>0</v>
      </c>
      <c r="BT3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369,"revision",""),"version",""),"jan",""),"feb",""),"mar",""),"apr",""),"may",""),"jun",""),"jul",""),"aug",""),"sep",""),"oct",""),"nov",""),"dec",""),"utc",""),"gmt",""),"myt",""),"bst",""),"rev",""),"ver",""),"b","a"),"c","a"),"d","a"),"e","a"),"f","a"),"g","a"),"h","a"),"i","a"),"j","a"),"k","a"),"l","a"),"m","a"),"n","a"),"o","a"),"p","a"),"q","a"),"r","a"),"s","a"),"t","a"),"u","a"),"v","a"),"w","a"),"x","a"),"y","a"),"z","a")</f>
        <v/>
      </c>
      <c r="BU369" s="61" t="str">
        <f aca="false">SUBSTITUTE(SUBSTITUTE(SUBSTITUTE(SUBSTITUTE(SUBSTITUTE(SUBSTITUTE(SUBSTITUTE(SUBSTITUTE(SUBSTITUTE(SUBSTITUTE(LEFT(BM369,FIND("0",BM369&amp;"0")-1),"-",""),"_",""),"/",""),".",""),"#",""),"\\",""),":","")," ",""),"(",""),")","")</f>
        <v/>
      </c>
      <c r="BV369" s="61" t="n">
        <f aca="false">0</f>
        <v>0</v>
      </c>
      <c r="BW3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369&amp;""),"a",""),"b",""),"c",""),"d",""),"e",""),"f",""),"g",""),"h",""),"i",""),"j",""),"k",""),"l",""),"m",""),"n",""),"o",""),"p",""),"q",""),"r",""),"s",""),"t",""),"u",""),"v",""),"w",""),"x",""),"y",""),"z",""),"-",""),"_",""),"/",""),".",""),"#",""),"\\",""),":","")," ",""),"(",""),")","")</f>
        <v/>
      </c>
      <c r="BX369" s="61" t="str">
        <f aca="false">SUBSTITUTE(SUBSTITUTE(SUBSTITUTE(SUBSTITUTE(SUBSTITUTE(SUBSTITUTE(SUBSTITUTE(SUBSTITUTE(SUBSTITUTE(SUBSTITUTE(SUBSTITUTE(BM369,"0",""),"-",""),"_",""),"/",""),".",""),"#",""),"\\",""),":","")," ",""),"(",""),")","")</f>
        <v/>
      </c>
      <c r="BY369" s="62" t="n">
        <f aca="false">Q369-T12EarlyH/24</f>
        <v>46306.3263888889</v>
      </c>
      <c r="BZ369" s="61" t="n">
        <f aca="false">IFERROR(IF(IF(TRIM(S369)="Link / file path",AND(LEN(TRIM(Z369))&gt;=5,SUMPRODUCT(--ISNUMBER(SEARCH({"http","www.","\\",":\",".pdf",".jpg",".jpeg",".png",".heic",".xls",".doc",".msg",".eml",".ppt",".txt",".zip"},Z369)))&gt;0),AND(ISERROR(FIND(" ",TRIM(Z369))),NOT(OR(SUMPRODUCT(--ISNUMBER(FIND({",",";","&amp;","+"},Z369)))&gt;0,SUMPRODUCT(--ISNUMBER(SEARCH({"0/aa","0\\aa"},BN369)))&gt;0)),NOT(SUMPRODUCT(--ISNUMBER(SEARCH({"http","www.","\\",":\",".pdf",".jpg",".jpeg",".png",".heic",".xls",".doc",".msg",".eml",".ppt",".txt",".zip"},Z369)))&gt;0),NOT(LOWER(TRIM(Z369))=LOWER(Flights!$F$15)),ISNA(MATCH(BU369,{"mh","rev","revision","ver","version","v","r","a","b","seat","tray","row","gate","bay","stand","page","pg","item","line","no","cart","galley","flight","flt","table","box","bag","oven","etd","eta","std","sta","atd","ata","qty","pax","x","time","tel","ph","mob","day","wk","week","utc","gmt","myt","lt"},0)),NOT(OR(ISNUMBER(MATCH(LEFT(BN369,255),{"0000a","000a","00a","0000aa","000aa","00aa","0aa","0000aaa","000aaa","00a00","0a00","0000-0000","00:00","a00","a0","00.00.0000","00/00/0000","00-00-0000","0000-00-00","0000/00/00","0000.00.00","00.00.00","00/00/00","00-00-00","0.00.0000","0/00/0000","0-00-0000"},0)),ISNUMBER(MATCH(LEFT(BT369,255),{"0000a","000a","00a","0000aa","000aa","00aa","0aa","0000aaa","000aaa","00a00","0a00","0000-0000","00:00","a00","a0","00.00.0000","00/00/0000","00-00-0000","0000-00-00","0000/00/00","0000.00.00","00.00.00","00/00/00","00-00-00","0.00.0000","0/00/0000","0-00-0000"},0)))),NOT(OR(AND(BW369&lt;&gt;"",SUBSTITUTE(BW369,"0","")=""),AND(LEN(BW369)&gt;=4,BW369=REPT(LEFT(BW369),LEN(BW369))),ISNUMBER(MATCH(BW369,{"123","1234","12345","123456","1234567","12345678","0123","01234","012345","98765","987654","54321"},0)),ISNUMBER(MATCH(BX369,{"x","xx","xxx","xxxx","xxxxx","abc","abcd","nil","na","nan","test","tbc","tba","tbd","dummy","sample","example","eg","zz","zzz","none","null","xyz","qwe","asd","id","ref"},0)),AND(LEN(BW369)=8,BX369="",OR(LEFT(BW369,3)="202",ISNUMBER(MATCH(RIGHT(BW369,4),{"2025","2026","2027"},0)))))),OR(AND((LEN(BT369)-LEN(SUBSTITUTE(BT369,"a","")))&gt;=1,(LEN(BN369)-LEN(SUBSTITUTE(BN369,"0","")))&gt;=2,SUMPRODUCT(--ISNUMBER(SEARCH({"a0","a-0","a_0","a/0","a.0","a#0","0a","0-a","0_a","0/a"},BN369)))&gt;0),AND((LEN(BN369)-LEN(SUBSTITUTE(BN369,"a","")))=0,(LEN(BN369)-LEN(SUBSTITUTE(BN369,"0","")))&gt;=5)))),1,0),0)</f>
        <v>0</v>
      </c>
      <c r="CA3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369,"revision",""),"version",""),"jan",""),"feb",""),"mar",""),"apr",""),"may",""),"jun",""),"jul",""),"aug",""),"sep",""),"oct",""),"nov",""),"dec",""),"utc",""),"gmt",""),"myt",""),"bst",""),"rev",""),"ver",""),"b","a"),"c","a"),"d","a"),"e","a"),"f","a"),"g","a"),"h","a"),"i","a"),"j","a"),"k","a"),"l","a"),"m","a"),"n","a"),"o","a"),"p","a"),"q","a"),"r","a"),"s","a"),"t","a"),"u","a"),"v","a"),"w","a"),"x","a"),"y","a"),"z","a")</f>
        <v/>
      </c>
      <c r="CB3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369&amp;""),"a",""),"b",""),"c",""),"d",""),"e",""),"f",""),"g",""),"h",""),"i",""),"j",""),"k",""),"l",""),"m",""),"n",""),"o",""),"p",""),"q",""),"r",""),"s",""),"t",""),"u",""),"v",""),"w",""),"x",""),"y",""),"z",""),"-",""),"_",""),"/",""),".",""),"#",""),"\\",""),":","")," ",""),"(",""),")","")</f>
        <v/>
      </c>
      <c r="CC369" s="0" t="str">
        <f aca="false">" "&amp;TRIM(SUBSTITUTE(SUBSTITUTE(SUBSTITUTE(SUBSTITUTE(SUBSTITUTE(SUBSTITUTE(SUBSTITUTE(SUBSTITUTE(SUBSTITUTE(SUBSTITUTE(SUBSTITUTE(SUBSTITUTE(SUBSTITUTE(SUBSTITUTE(SUBSTITUTE(SUBSTITUTE(SUBSTITUTE(SUBSTITUTE(SUBSTITUTE(SUBSTITUTE(SUBSTITUTE(SUBSTITUTE(SUBSTITUTE(SUBSTITUTE(LOWER(T369&amp;""),CHAR(10)," "),CHAR(13)," "),CHAR(9)," "),CHAR(160)," "),"."," "),","," "),"-"," "),"/"," "),"("," "),")"," "),":"," "),";"," "),"_"," "),"–"," "),"?"," "),"!"," "),"*"," "),"["," "),"]"," "),"'"," "),"#"," "),"+"," "),"&amp;"," "),"\"," "))&amp;" "</f>
        <v>  </v>
      </c>
      <c r="CD369" s="0" t="str">
        <f aca="false">" "&amp;TRIM(SUBSTITUTE(SUBSTITUTE(SUBSTITUTE(SUBSTITUTE(SUBSTITUTE(SUBSTITUTE(SUBSTITUTE(SUBSTITUTE(SUBSTITUTE(SUBSTITUTE(SUBSTITUTE(SUBSTITUTE(SUBSTITUTE(SUBSTITUTE(SUBSTITUTE(SUBSTITUTE(SUBSTITUTE(SUBSTITUTE(SUBSTITUTE(SUBSTITUTE(SUBSTITUTE(SUBSTITUTE(SUBSTITUTE(SUBSTITUTE(LOWER(AE369&amp;""),CHAR(10)," "),CHAR(13)," "),CHAR(9)," "),CHAR(160)," "),"."," "),","," "),"-"," "),"/"," "),"("," "),")"," "),":"," "),";"," "),"_"," "),"–"," "),"?"," "),"!"," "),"*"," "),"["," "),"]"," "),"'"," "),"#"," "),"+"," "),"&amp;"," "),"\"," "))&amp;" "</f>
        <v>  </v>
      </c>
      <c r="CE369" s="68" t="n">
        <f aca="false">IFERROR(IF(AND(LEN(AU369)&gt;0,LEN(AU369)=LEN(AX369),OR(TRIM(MID(SUBSTITUTE(TRIM(CC369)," ",REPT(" ",60)),1,60))="",ISNUMBER(SEARCH(" "&amp;TRIM(MID(SUBSTITUTE(TRIM(CC369)," ",REPT(" ",60)),1,60))&amp;" ",CD369))),OR(TRIM(MID(SUBSTITUTE(TRIM(CC369)," ",REPT(" ",60)),61,60))="",ISNUMBER(SEARCH(" "&amp;TRIM(MID(SUBSTITUTE(TRIM(CC369)," ",REPT(" ",60)),61,60))&amp;" ",CD369))),OR(TRIM(MID(SUBSTITUTE(TRIM(CC369)," ",REPT(" ",60)),121,60))="",ISNUMBER(SEARCH(" "&amp;TRIM(MID(SUBSTITUTE(TRIM(CC369)," ",REPT(" ",60)),121,60))&amp;" ",CD369)))),1,0),0)</f>
        <v>0</v>
      </c>
      <c r="CG369" s="68" t="n">
        <f aca="false">IFERROR(LEN(SUBSTITUTE(BF369," ",""))-SUMPRODUCT((LEN(BF369)-LEN(SUBSTITUTE(BF369," "&amp;L_NAFiller&amp;" "," ")))/(LEN(L_NAFiller)+1)*LEN(L_NAFiller)),0)</f>
        <v>0</v>
      </c>
    </row>
    <row r="370" customFormat="false" ht="41.25" hidden="false" customHeight="true" outlineLevel="0" collapsed="false">
      <c r="A370" s="57" t="s">
        <v>977</v>
      </c>
      <c r="B370" s="57" t="s">
        <v>258</v>
      </c>
      <c r="C370" s="57" t="str">
        <f aca="false">Flights!$F$15</f>
        <v>MH1149</v>
      </c>
      <c r="D370" s="58" t="n">
        <f aca="false">Flights!$D$15</f>
        <v>46307</v>
      </c>
      <c r="E370" s="57" t="str">
        <f aca="false">Flights!$G$15&amp;"-"&amp;Flights!$H$15</f>
        <v>PEN-KUL</v>
      </c>
      <c r="F370" s="57" t="str">
        <f aca="false">Flights!$K$15</f>
        <v>EY</v>
      </c>
      <c r="G370" s="57" t="s">
        <v>420</v>
      </c>
      <c r="H370" s="57" t="s">
        <v>378</v>
      </c>
      <c r="I370" s="57" t="s">
        <v>428</v>
      </c>
      <c r="J370" s="57" t="s">
        <v>429</v>
      </c>
      <c r="K370" s="67"/>
      <c r="L370" s="67" t="s">
        <v>422</v>
      </c>
      <c r="M370" s="67"/>
      <c r="N370" s="67" t="s">
        <v>383</v>
      </c>
      <c r="O370" s="67" t="s">
        <v>975</v>
      </c>
      <c r="P370" s="57" t="s">
        <v>187</v>
      </c>
      <c r="Q370" s="59" t="n">
        <f aca="false">ROUND((MIN(Flights!$AE$15,Flights!$AY$15))*1440,0)/1440</f>
        <v>46306.8263888889</v>
      </c>
      <c r="R370" s="59" t="n">
        <f aca="false">Q370+(IF(AND(INDEX(TZ_DSTS,MATCH(P370,TZ_STN,0))&lt;&gt;"",Q370&gt;=INDEX(TZ_DSTS,MATCH(P370,TZ_STN,0)),Q370&lt;INDEX(TZ_DSTE,MATCH(P370,TZ_STN,0))),INDEX(TZ_DST,MATCH(P370,TZ_STN,0)),INDEX(TZ_STD,MATCH(P370,TZ_STN,0))))/24</f>
        <v>46307.1597222222</v>
      </c>
      <c r="S370" s="60"/>
      <c r="T370" s="60"/>
      <c r="U370" s="60"/>
      <c r="V370" s="60"/>
      <c r="W370" s="61"/>
      <c r="X370" s="60"/>
      <c r="Y370" s="60"/>
      <c r="Z370" s="60"/>
      <c r="AA370" s="60"/>
      <c r="AB370" s="60"/>
      <c r="AC370" s="60"/>
      <c r="AD370" s="66"/>
      <c r="AE370" s="60"/>
      <c r="AF370" s="61" t="str">
        <f aca="false">IF(AND(ISNUMBER(X370),ISNUMBER(Y370)),Y370-X370,"")</f>
        <v/>
      </c>
      <c r="AG370" s="62" t="str">
        <f aca="false">IF(ISNUMBER(AD370),AD370-(IF(AND(INDEX(TZ_DSTS,MATCH(P370,TZ_STN,0))&lt;&gt;"",(AD370-INDEX(TZ_STD,MATCH(P370,TZ_STN,0))/24)&gt;=INDEX(TZ_DSTS,MATCH(P370,TZ_STN,0)),(AD370-INDEX(TZ_STD,MATCH(P370,TZ_STN,0))/24)&lt;INDEX(TZ_DSTE,MATCH(P370,TZ_STN,0))),INDEX(TZ_DST,MATCH(P370,TZ_STN,0)),INDEX(TZ_STD,MATCH(P370,TZ_STN,0))))/24,"")</f>
        <v/>
      </c>
      <c r="AH370" s="65" t="str">
        <f aca="false">IFERROR(IF(N370="N/A – rule",IF(OR(TRIM(U370)="",TRIM(U370)="N/A",TRIM(U370)="Not started"),"N/A – RULE","INVALID – this check does not apply to this aircraft: clear the status (or correct the fleet on Flights)"),IF(TRIM(U370)="N/A",IF(AT370=0,"INVALID – N/A not permitted for this check",IF(AND(TRIM(AB370)&lt;&gt;"",TRIM(AB370)&lt;&gt;"Closed"),"INVALID – corrective action still open",IF(AND(NOT(OR(LEN(AZ370)&lt;15,ISNUMBER(MATCH(AZ370,L_Placeholder,0)))),BK370=0,CG370&gt;=8,NOT(OR(LEN(AU370)&lt;2,ISNUMBER(MATCH(AU370,L_Placeholder,0)))),BR370&gt;=3,NOT(OR(LEN(AX370)&lt;2,ISNUMBER(MATCH(AX370,L_Placeholder,0)))),BS370&gt;=3,TRIM(AE370)&lt;&gt;TRIM(T370),AX370&lt;&gt;AU370,CE370=0),"N/A – JUSTIFIED","INVALID – N/A needs a real, settled reason (not 'not applicable' / 'as above' / TBC), a named PIC and a different named verifier"))),IF(OR(TRIM(U370)="Pass",TRIM(U370)="Pass after CA"),IF(NOT(ISNUMBER(AD370)),"INVALID – completion time missing",IF(OR(OR(LEN(AU370)&lt;2,ISNUMBER(MATCH(AU370,L_Placeholder,0))),BR370&lt;3),"INVALID – PIC missing or not a named person (a role such as QA / CSM is not a name)",IF(OR(LEN(AV370)&lt;2,ISNUMBER(MATCH(AV370,L_Placeholder,0))),"INVALID – result / assessment missing",IF(OR(OR(LEN(AW370)&lt;3,ISNUMBER(MATCH(AW370,L_Placeholder,0))),SUMPRODUCT(--ISNUMBER(SEARCH(" "&amp;L_EvidencePhrase&amp;" ",BD370)))&gt;0,BI370=1),"INVALID – evidence missing, placeholder or not yet on file",IF(ISNA(MATCH(TRIM(S370),L_EvidenceType,0)),"INVALID – choose the evidence type from the list (column S)",IF(BL370=0,"INVALID – evidence ID must be the record's own ID only (e.g. SF-2210, IMG_2231, 1045521); a link / file name needs type 'Link / file path'",IF(OR(OR(LEN(AX370)&lt;2,ISNUMBER(MATCH(AX370,L_Placeholder,0))),BS370&lt;3),"INVALID – verifier missing or not a named person (a role such as QA / CSM is not a name)",IF(OR(AX370=AU370,CE370=1,AND(LEN(AU370)&gt;=4,ISNUMBER(SEARCH(AU370,AX370))),AND(LEN(AX370)&gt;=4,ISNUMBER(SEARCH(AX370,AU370)))),"INVALID – verifier must be a different, named person (not the PIC or a role)",IF(BH370=1,"INVALID – result not yet available (awaiting / TBC)",IF(BG370=1,"INVALID – result describes a problem: record Fail, then Pass after CA (or reword if it is not a problem)",IF(BV370=1,"INVALID – wording says not on board: an on-board confirmation needs the item loaded",IF(AND(AQ370=1,OR(OR(LEN(AY370)&lt;3,ISNUMBER(MATCH(AY370,L_Placeholder,0))),BJ370=1,BQ370=0)),"INVALID – batch ID missing, placeholder or not an ID (e.g. PASB-261008-BC-017)",IF(AND(AR370=1,OR(NOT(ISNUMBER(X370)),NOT(ISNUMBER(Y370)))),"INVALID – expected/actual qty missing",IF(AND(AR370=1,OR(X370&lt;=0,Y370&lt;0)),"INVALID – expected qty must be above 0 and actual not negative",IF(BB370&lt;&gt;"",BB370,IF(AND(AS370=1,Documents!$J$15&lt;&gt;"ON FILE"),"INVALID – GLD not on file (Documents sheet)",IF(AND(AS370=2,Documents!$O$15&lt;&gt;"ON FILE"),"INVALID – menu checklist not on file (Documents sheet)",IF(AND(AS370=3,NOT(ISNUMBER(Flights!$AX$15))),"INVALID – enter carrying flight KUL departure (Flights AX)",IF(AND(AS370=3,OR(Flights!$AZ$15&gt;Flights!$AA$15,Flights!$AX$15&lt;Flights!$AA$15-3)),"INVALID – carrying flight (Flights AX) cannot arrive before this leg's STD, or is over 3 days early",IF(AG370&gt;AsOfUTC,"INVALID – completion time is in the future",IF(AND(ISNUMBER(BY370),AG370&lt;BY370),IF(H370="Physical uplift","INVALID – before uplift window (cannot confirm loading)","INVALID – before valid window"),IF(AG370&gt;Flights!$AA$15,"INVALID – completed after departure (cannot establish readiness)",IF(AND(H370="Preparation",AG370&gt;=Flights!$AY$15+UpliftWindowH/24),"INVALID – completed after the carrying flight left KUL",IF(AND(H370="Physical uplift",AG370&gt;Q370),"INVALID – recorded after the loading flight departed",IF(AG370&gt;Q370,"COMPLETE – LATE","COMPLETE"))))))))))))))))))))))))),IF(TRIM(U370)="Fail","FAIL – DISCREPANCY",IF(AND(TRIM(U370)&lt;&gt;"",TRIM(U370)&lt;&gt;"Not started",TRIM(U370)&lt;&gt;"In progress"),"INVALID – unrecognised status (use the list)",IF(AsOfUTC&gt;Q370,"OVERDUE",IF(N370="Clarification required","OPEN – CLARIFICATION","OPEN"))))))),"INVALID – error value in an input cell")</f>
        <v>OPEN</v>
      </c>
      <c r="AI370" s="61" t="n">
        <f aca="false">IF(OR(AH370="N/A – RULE",AH370="N/A – JUSTIFIED"),0,1)</f>
        <v>1</v>
      </c>
      <c r="AJ370" s="61" t="n">
        <f aca="false">IF(LEFT(AH370,8)="COMPLETE",1,0)</f>
        <v>0</v>
      </c>
      <c r="AK370" s="61" t="n">
        <f aca="false">IF(AND(AI370=1,AJ370=0,AsOfUTC&gt;Q370),1,0)</f>
        <v>0</v>
      </c>
      <c r="AL370" s="61" t="n">
        <f aca="false">IFERROR(IF(AND(AI370=1,OR(TRIM(U370)="Fail",AND(TRIM(AB370)&lt;&gt;"",TRIM(AB370)&lt;&gt;"Closed"),AND(ISNUMBER(AF370),AF370&lt;&gt;0,TRIM(U370)&lt;&gt;"Pass after CA"))),1,0),1)</f>
        <v>0</v>
      </c>
      <c r="AM370" s="61" t="n">
        <f aca="false">IF(LEFT(AH370,7)="INVALID",1,0)</f>
        <v>0</v>
      </c>
      <c r="AN370" s="61" t="n">
        <f aca="false">IF(AND(N370="Clarification required",AI370=1,AJ370=0),1,0)</f>
        <v>0</v>
      </c>
      <c r="AO370" s="61" t="str">
        <f aca="false">IF(AK370=1,SUM(AK$5:AK370),"")</f>
        <v/>
      </c>
      <c r="AP370" s="61" t="str">
        <f aca="false">IF(AL370=1,SUM(AL$5:AL370),"")</f>
        <v/>
      </c>
      <c r="AQ370" s="61" t="n">
        <v>0</v>
      </c>
      <c r="AR370" s="61" t="n">
        <v>0</v>
      </c>
      <c r="AS370" s="61" t="n">
        <v>0</v>
      </c>
      <c r="AT370" s="61" t="n">
        <v>0</v>
      </c>
      <c r="AU370" s="61" t="str">
        <f aca="false">SUBSTITUTE(SUBSTITUTE(SUBSTITUTE(SUBSTITUTE(SUBSTITUTE(SUBSTITUTE(SUBSTITUTE(SUBSTITUTE(SUBSTITUTE(SUBSTITUTE(SUBSTITUTE(SUBSTITUTE(SUBSTITUTE(SUBSTITUTE(SUBSTITUTE(SUBSTITUTE(LOWER(T370&amp;""),CHAR(10),""),CHAR(13),""),CHAR(9),""),CHAR(160),"")," ",""),".",""),"-",""),"/",""),"?",""),"_",""),",",""),"[",""),"]",""),"(",""),")",""),"*","")</f>
        <v/>
      </c>
      <c r="AV370" s="61" t="str">
        <f aca="false">SUBSTITUTE(SUBSTITUTE(SUBSTITUTE(SUBSTITUTE(SUBSTITUTE(SUBSTITUTE(SUBSTITUTE(SUBSTITUTE(SUBSTITUTE(SUBSTITUTE(SUBSTITUTE(SUBSTITUTE(SUBSTITUTE(SUBSTITUTE(SUBSTITUTE(SUBSTITUTE(LOWER(V370&amp;""),CHAR(10),""),CHAR(13),""),CHAR(9),""),CHAR(160),"")," ",""),".",""),"-",""),"/",""),"?",""),"_",""),",",""),"[",""),"]",""),"(",""),")",""),"*","")</f>
        <v/>
      </c>
      <c r="AW370" s="61" t="str">
        <f aca="false">SUBSTITUTE(SUBSTITUTE(SUBSTITUTE(SUBSTITUTE(SUBSTITUTE(SUBSTITUTE(SUBSTITUTE(SUBSTITUTE(SUBSTITUTE(SUBSTITUTE(SUBSTITUTE(SUBSTITUTE(SUBSTITUTE(SUBSTITUTE(SUBSTITUTE(SUBSTITUTE(LOWER(Z370&amp;""),CHAR(10),""),CHAR(13),""),CHAR(9),""),CHAR(160),"")," ",""),".",""),"-",""),"/",""),"?",""),"_",""),",",""),"[",""),"]",""),"(",""),")",""),"*","")</f>
        <v/>
      </c>
      <c r="AX370" s="61" t="str">
        <f aca="false">SUBSTITUTE(SUBSTITUTE(SUBSTITUTE(SUBSTITUTE(SUBSTITUTE(SUBSTITUTE(SUBSTITUTE(SUBSTITUTE(SUBSTITUTE(SUBSTITUTE(SUBSTITUTE(SUBSTITUTE(SUBSTITUTE(SUBSTITUTE(SUBSTITUTE(SUBSTITUTE(LOWER(AE370&amp;""),CHAR(10),""),CHAR(13),""),CHAR(9),""),CHAR(160),"")," ",""),".",""),"-",""),"/",""),"?",""),"_",""),",",""),"[",""),"]",""),"(",""),")",""),"*","")</f>
        <v/>
      </c>
      <c r="AY370" s="61" t="str">
        <f aca="false">SUBSTITUTE(SUBSTITUTE(SUBSTITUTE(SUBSTITUTE(SUBSTITUTE(SUBSTITUTE(SUBSTITUTE(SUBSTITUTE(SUBSTITUTE(SUBSTITUTE(SUBSTITUTE(SUBSTITUTE(SUBSTITUTE(SUBSTITUTE(SUBSTITUTE(SUBSTITUTE(LOWER(W370&amp;""),CHAR(10),""),CHAR(13),""),CHAR(9),""),CHAR(160),"")," ",""),".",""),"-",""),"/",""),"?",""),"_",""),",",""),"[",""),"]",""),"(",""),")",""),"*","")</f>
        <v/>
      </c>
      <c r="AZ370" s="61" t="str">
        <f aca="false">SUBSTITUTE(SUBSTITUTE(SUBSTITUTE(SUBSTITUTE(SUBSTITUTE(SUBSTITUTE(SUBSTITUTE(SUBSTITUTE(SUBSTITUTE(SUBSTITUTE(SUBSTITUTE(SUBSTITUTE(SUBSTITUTE(SUBSTITUTE(SUBSTITUTE(SUBSTITUTE(LOWER(AC370&amp;""),CHAR(10),""),CHAR(13),""),CHAR(9),""),CHAR(160),"")," ",""),".",""),"-",""),"/",""),"?",""),"_",""),",",""),"[",""),"]",""),"(",""),")",""),"*","")</f>
        <v/>
      </c>
      <c r="BA370" s="61" t="str">
        <f aca="false">SUBSTITUTE(SUBSTITUTE(SUBSTITUTE(SUBSTITUTE(SUBSTITUTE(SUBSTITUTE(SUBSTITUTE(SUBSTITUTE(SUBSTITUTE(SUBSTITUTE(SUBSTITUTE(SUBSTITUTE(SUBSTITUTE(SUBSTITUTE(SUBSTITUTE(SUBSTITUTE(LOWER(AA370&amp;""),CHAR(10),""),CHAR(13),""),CHAR(9),""),CHAR(160),"")," ",""),".",""),"-",""),"/",""),"?",""),"_",""),",",""),"[",""),"]",""),"(",""),")",""),"*","")</f>
        <v/>
      </c>
      <c r="BB370" s="61" t="str">
        <f aca="false">IF(AND(TRIM(U370)="Pass",ISNUMBER(AF370)),IF(AF370&lt;&gt;0,"INVALID – qty variance: use Fail or Pass after CA",""),"")&amp;IF(AND(TRIM(U370)="Pass after CA",ISNUMBER(AF370)),IF(AF370&lt;&gt;0,"INVALID – after the corrective action the actual qty must equal expected (update Actual)",""),"")&amp;IF(AND(TRIM(U370)="Pass",TRIM(AB370)&lt;&gt;"",TRIM(AB370)&lt;&gt;"Closed"),"INVALID – corrective action not closed: use Fail, then Pass after CA","")&amp;IF(AND(LEN(BA370)&gt;=2,ISNA(MATCH(LEFT(BA370,255),L_Placeholder,0)),TRIM(AB370)=""),"INVALID – CA status missing for the recorded corrective action","")&amp;IF(AND(TRIM(U370)="Pass after CA",OR(OR(LEN(BA370)&lt;5,ISNUMBER(MATCH(BA370,L_Placeholder,0))),TRIM(AB370)&lt;&gt;"Closed")),"INVALID – corrective action not recorded/closed","")</f>
        <v/>
      </c>
      <c r="BC370" s="61" t="str">
        <f aca="false">" "&amp;TRIM(SUBSTITUTE(SUBSTITUTE(SUBSTITUTE(SUBSTITUTE(SUBSTITUTE(SUBSTITUTE(SUBSTITUTE(SUBSTITUTE(SUBSTITUTE(SUBSTITUTE(SUBSTITUTE(SUBSTITUTE(SUBSTITUTE(SUBSTITUTE(SUBSTITUTE(SUBSTITUTE(SUBSTITUTE(SUBSTITUTE(SUBSTITUTE(SUBSTITUTE(SUBSTITUTE(SUBSTITUTE(SUBSTITUTE(SUBSTITUTE(LOWER(V370&amp;""),CHAR(10)," "),CHAR(13)," "),CHAR(9)," "),CHAR(160)," "),"."," "),","," "),"-"," "),"/"," "),"("," "),")"," "),":"," "),";"," "),"_"," "),"–"," "),"?"," "),"!"," "),"*"," "),"["," "),"]"," "),"'"," "),"#"," "),"+"," "),"&amp;"," "),"\"," "))&amp;" "</f>
        <v>  </v>
      </c>
      <c r="BD370" s="61" t="str">
        <f aca="false">" "&amp;TRIM(SUBSTITUTE(SUBSTITUTE(SUBSTITUTE(SUBSTITUTE(SUBSTITUTE(SUBSTITUTE(SUBSTITUTE(SUBSTITUTE(SUBSTITUTE(SUBSTITUTE(SUBSTITUTE(SUBSTITUTE(SUBSTITUTE(SUBSTITUTE(SUBSTITUTE(SUBSTITUTE(SUBSTITUTE(SUBSTITUTE(SUBSTITUTE(SUBSTITUTE(SUBSTITUTE(SUBSTITUTE(SUBSTITUTE(SUBSTITUTE(LOWER(Z370&amp;""),CHAR(10)," "),CHAR(13)," "),CHAR(9)," "),CHAR(160)," "),"."," "),","," "),"-"," "),"/"," "),"("," "),")"," "),":"," "),";"," "),"_"," "),"–"," "),"?"," "),"!"," "),"*"," "),"["," "),"]"," "),"'"," "),"#"," "),"+"," "),"&amp;"," "),"\"," "))&amp;" "</f>
        <v>  </v>
      </c>
      <c r="BE370" s="61" t="str">
        <f aca="false">" "&amp;TRIM(SUBSTITUTE(SUBSTITUTE(SUBSTITUTE(SUBSTITUTE(SUBSTITUTE(SUBSTITUTE(SUBSTITUTE(SUBSTITUTE(SUBSTITUTE(SUBSTITUTE(SUBSTITUTE(SUBSTITUTE(SUBSTITUTE(SUBSTITUTE(SUBSTITUTE(SUBSTITUTE(SUBSTITUTE(SUBSTITUTE(SUBSTITUTE(SUBSTITUTE(SUBSTITUTE(SUBSTITUTE(SUBSTITUTE(SUBSTITUTE(LOWER(W370&amp;""),CHAR(10)," "),CHAR(13)," "),CHAR(9)," "),CHAR(160)," "),"."," "),","," "),"-"," "),"/"," "),"("," "),")"," "),":"," "),";"," "),"_"," "),"–"," "),"?"," "),"!"," "),"*"," "),"["," "),"]"," "),"'"," "),"#"," "),"+"," "),"&amp;"," "),"\"," "))&amp;" "</f>
        <v>  </v>
      </c>
      <c r="BF370" s="61" t="str">
        <f aca="false">" "&amp;TRIM(SUBSTITUTE(SUBSTITUTE(SUBSTITUTE(SUBSTITUTE(SUBSTITUTE(SUBSTITUTE(SUBSTITUTE(SUBSTITUTE(SUBSTITUTE(SUBSTITUTE(SUBSTITUTE(SUBSTITUTE(SUBSTITUTE(SUBSTITUTE(SUBSTITUTE(SUBSTITUTE(SUBSTITUTE(SUBSTITUTE(SUBSTITUTE(SUBSTITUTE(SUBSTITUTE(SUBSTITUTE(SUBSTITUTE(SUBSTITUTE(LOWER(AC370&amp;""),CHAR(10)," "),CHAR(13)," "),CHAR(9)," "),CHAR(160)," "),"."," "),","," "),"-"," "),"/"," "),"("," "),")"," "),":"," "),";"," "),"_"," "),"–"," "),"?"," "),"!"," "),"*"," "),"["," "),"]"," "),"'"," "),"#"," "),"+"," "),"&amp;"," "),"\"," "))&amp;" "</f>
        <v>  </v>
      </c>
      <c r="BG370" s="61" t="n">
        <f aca="false">IFERROR(IF(AND(TRIM(U370)="Pass",SUMPRODUCT((LEN(BC370)-LEN(SUBSTITUTE(BC370," "&amp;L_ResultBad&amp;" "," ")))/(LEN(L_ResultBad)+1))&gt;SUMPRODUCT((LEN(BC370)-LEN(SUBSTITUTE(BC370," "&amp;L_NegPhrase&amp;" "," ")))/(LEN(L_NegPhrase)+1))),1,0),0)</f>
        <v>0</v>
      </c>
      <c r="BH370" s="61" t="n">
        <f aca="false">IFERROR(IF(SUMPRODUCT((LEN(BC370)-LEN(SUBSTITUTE(BC370," "&amp;L_Pending&amp;" "," ")))/(LEN(L_Pending)+1))&gt;SUMPRODUCT((LEN(BC370)-LEN(SUBSTITUTE(BC370," "&amp;L_PendNeg&amp;" "," ")))/(LEN(L_PendNeg)+1))+SUMPRODUCT((LEN(BC370)-LEN(SUBSTITUTE(BC370," "&amp;L_PendPrep&amp;" "," ")))/(LEN(L_PendPrep)+1)),1,0),1)</f>
        <v>0</v>
      </c>
      <c r="BI370" s="61" t="n">
        <f aca="false">IFERROR(IF(SUMPRODUCT((LEN(BD370)-LEN(SUBSTITUTE(BD370," "&amp;L_PendStrict&amp;" "," ")))/(LEN(L_PendStrict)+1))&gt;SUMPRODUCT((LEN(BD370)-LEN(SUBSTITUTE(BD370," "&amp;L_PendNeg&amp;" "," ")))/(LEN(L_PendNeg)+1)),1,0),1)</f>
        <v>0</v>
      </c>
      <c r="BJ370" s="61" t="n">
        <f aca="false">IFERROR(IF(SUMPRODUCT((LEN(BE370)-LEN(SUBSTITUTE(BE370," "&amp;L_Pending&amp;" "," ")))/(LEN(L_Pending)+1))&gt;SUMPRODUCT((LEN(BE370)-LEN(SUBSTITUTE(BE370," "&amp;L_PendNeg&amp;" "," ")))/(LEN(L_PendNeg)+1))+SUMPRODUCT((LEN(BE370)-LEN(SUBSTITUTE(BE370," "&amp;L_PendPrep&amp;" "," ")))/(LEN(L_PendPrep)+1)),1,0),1)</f>
        <v>0</v>
      </c>
      <c r="BK370" s="61" t="n">
        <f aca="false">IFERROR(IF(SUMPRODUCT((LEN(BF370)-LEN(SUBSTITUTE(BF370," "&amp;L_PendStrict&amp;" "," ")))/(LEN(L_PendStrict)+1))&gt;SUMPRODUCT((LEN(BF370)-LEN(SUBSTITUTE(BF370," "&amp;L_PendNeg&amp;" "," ")))/(LEN(L_PendNeg)+1)),1,0),1)</f>
        <v>0</v>
      </c>
      <c r="BL370" s="61" t="n">
        <f aca="false">IF(ISNA(MATCH(TRIM(S370),L_EvidenceType,0)),0,BZ370)</f>
        <v>0</v>
      </c>
      <c r="BM370" s="61" t="str">
        <f aca="false">SUBSTITUTE(SUBSTITUTE(SUBSTITUTE(SUBSTITUTE(SUBSTITUTE(SUBSTITUTE(SUBSTITUTE(SUBSTITUTE(SUBSTITUTE(LOWER(Z370&amp;""),"1","0"),"2","0"),"3","0"),"4","0"),"5","0"),"6","0"),"7","0"),"8","0"),"9","0")</f>
        <v/>
      </c>
      <c r="BN370" s="61" t="str">
        <f aca="false">SUBSTITUTE(SUBSTITUTE(SUBSTITUTE(SUBSTITUTE(SUBSTITUTE(SUBSTITUTE(SUBSTITUTE(SUBSTITUTE(SUBSTITUTE(SUBSTITUTE(SUBSTITUTE(SUBSTITUTE(SUBSTITUTE(SUBSTITUTE(SUBSTITUTE(SUBSTITUTE(SUBSTITUTE(SUBSTITUTE(SUBSTITUTE(SUBSTITUTE(SUBSTITUTE(SUBSTITUTE(SUBSTITUTE(SUBSTITUTE(SUBSTITUTE(BM370,"b","a"),"c","a"),"d","a"),"e","a"),"f","a"),"g","a"),"h","a"),"i","a"),"j","a"),"k","a"),"l","a"),"m","a"),"n","a"),"o","a"),"p","a"),"q","a"),"r","a"),"s","a"),"t","a"),"u","a"),"v","a"),"w","a"),"x","a"),"y","a"),"z","a")</f>
        <v/>
      </c>
      <c r="BO370" s="61" t="str">
        <f aca="false">SUBSTITUTE(SUBSTITUTE(SUBSTITUTE(SUBSTITUTE(SUBSTITUTE(SUBSTITUTE(SUBSTITUTE(SUBSTITUTE(SUBSTITUTE(LOWER(W370&amp;""),"1","0"),"2","0"),"3","0"),"4","0"),"5","0"),"6","0"),"7","0"),"8","0"),"9","0")</f>
        <v/>
      </c>
      <c r="BP370" s="61" t="str">
        <f aca="false">SUBSTITUTE(SUBSTITUTE(SUBSTITUTE(SUBSTITUTE(SUBSTITUTE(SUBSTITUTE(SUBSTITUTE(SUBSTITUTE(SUBSTITUTE(SUBSTITUTE(SUBSTITUTE(SUBSTITUTE(SUBSTITUTE(SUBSTITUTE(SUBSTITUTE(SUBSTITUTE(SUBSTITUTE(SUBSTITUTE(SUBSTITUTE(SUBSTITUTE(SUBSTITUTE(SUBSTITUTE(SUBSTITUTE(SUBSTITUTE(SUBSTITUTE(BO370,"b","a"),"c","a"),"d","a"),"e","a"),"f","a"),"g","a"),"h","a"),"i","a"),"j","a"),"k","a"),"l","a"),"m","a"),"n","a"),"o","a"),"p","a"),"q","a"),"r","a"),"s","a"),"t","a"),"u","a"),"v","a"),"w","a"),"x","a"),"y","a"),"z","a")</f>
        <v/>
      </c>
      <c r="BQ370" s="61" t="n">
        <f aca="false">IFERROR(IF(AND(ISERROR(SEARCH(" mh"," "&amp;LOWER(W370))),ISNA(MATCH(LEFT(TRIM(BP370),255),{"0000a","000a","00a","0000aa","000aa","00aa","0aa","0000aaa","000aaa","00a00","0a00","0000-0000","00:00","a00","a0","00.00.0000","00/00/0000","00-00-0000","0000-00-00","0000/00/00","0000.00.00","00.00.00","00/00/00","00-00-00","0.00.0000","0/00/0000","0-00-0000"},0)),ISNA(MATCH(LEFT(TRIM(CA370),255),{"0000a","000a","00a","0000aa","000aa","00aa","0aa","0000aaa","000aaa","00a00","0a00","0000-0000","00:00","a00","a0","00.00.0000","00/00/0000","00-00-0000","0000-00-00","0000/00/00","0000.00.00","00.00.00","00/00/00","00-00-00","0.00.0000","0/00/0000","0-00-0000"},0)),LEN(CB370)&gt;=3,NOT(OR(SUBSTITUTE(CB370,"0","")="",AND(LEN(CB370)&gt;=4,CB370=REPT(LEFT(CB370),LEN(CB370))),ISNUMBER(MATCH(CB370,{"123","1234","12345","123456","1234567","12345678","0123","01234","012345","98765","987654","54321"},0)),AND(LEN(CB370)=8,LEFT(CB370,3)="202"))),OR(AND((LEN(CA370)-LEN(SUBSTITUTE(CA370,"a","")))&gt;=1,SUMPRODUCT(--ISNUMBER(SEARCH({"a0","a-0","a_0","a/0","a.0","a#0","0a","0-a","0_a","0/a"},BP370)))&gt;0),ISNUMBER(SEARCH("000000",BP370)))),1,0),0)</f>
        <v>0</v>
      </c>
      <c r="BR370" s="61" t="n">
        <f aca="false">IFERROR(LEN(SUBSTITUTE(CC370," ",""))-SUMPRODUCT((LEN(CC370)-LEN(SUBSTITUTE(CC370," "&amp;L_Role&amp;" "," ")))/(LEN(L_Role)+1)*LEN(L_Role)),0)</f>
        <v>0</v>
      </c>
      <c r="BS370" s="61" t="n">
        <f aca="false">IFERROR(LEN(SUBSTITUTE(CD370," ",""))-SUMPRODUCT((LEN(CD370)-LEN(SUBSTITUTE(CD370," "&amp;L_Role&amp;" "," ")))/(LEN(L_Role)+1)*LEN(L_Role)),0)</f>
        <v>0</v>
      </c>
      <c r="BT3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370,"revision",""),"version",""),"jan",""),"feb",""),"mar",""),"apr",""),"may",""),"jun",""),"jul",""),"aug",""),"sep",""),"oct",""),"nov",""),"dec",""),"utc",""),"gmt",""),"myt",""),"bst",""),"rev",""),"ver",""),"b","a"),"c","a"),"d","a"),"e","a"),"f","a"),"g","a"),"h","a"),"i","a"),"j","a"),"k","a"),"l","a"),"m","a"),"n","a"),"o","a"),"p","a"),"q","a"),"r","a"),"s","a"),"t","a"),"u","a"),"v","a"),"w","a"),"x","a"),"y","a"),"z","a")</f>
        <v/>
      </c>
      <c r="BU370" s="61" t="str">
        <f aca="false">SUBSTITUTE(SUBSTITUTE(SUBSTITUTE(SUBSTITUTE(SUBSTITUTE(SUBSTITUTE(SUBSTITUTE(SUBSTITUTE(SUBSTITUTE(SUBSTITUTE(LEFT(BM370,FIND("0",BM370&amp;"0")-1),"-",""),"_",""),"/",""),".",""),"#",""),"\\",""),":","")," ",""),"(",""),")","")</f>
        <v/>
      </c>
      <c r="BV370" s="61" t="n">
        <f aca="false">0</f>
        <v>0</v>
      </c>
      <c r="BW3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370&amp;""),"a",""),"b",""),"c",""),"d",""),"e",""),"f",""),"g",""),"h",""),"i",""),"j",""),"k",""),"l",""),"m",""),"n",""),"o",""),"p",""),"q",""),"r",""),"s",""),"t",""),"u",""),"v",""),"w",""),"x",""),"y",""),"z",""),"-",""),"_",""),"/",""),".",""),"#",""),"\\",""),":","")," ",""),"(",""),")","")</f>
        <v/>
      </c>
      <c r="BX370" s="61" t="str">
        <f aca="false">SUBSTITUTE(SUBSTITUTE(SUBSTITUTE(SUBSTITUTE(SUBSTITUTE(SUBSTITUTE(SUBSTITUTE(SUBSTITUTE(SUBSTITUTE(SUBSTITUTE(SUBSTITUTE(BM370,"0",""),"-",""),"_",""),"/",""),".",""),"#",""),"\\",""),":","")," ",""),"(",""),")","")</f>
        <v/>
      </c>
      <c r="BY370" s="62" t="n">
        <f aca="false">Q370-T12EarlyH/24</f>
        <v>46306.3263888889</v>
      </c>
      <c r="BZ370" s="61" t="n">
        <f aca="false">IFERROR(IF(IF(TRIM(S370)="Link / file path",AND(LEN(TRIM(Z370))&gt;=5,SUMPRODUCT(--ISNUMBER(SEARCH({"http","www.","\\",":\",".pdf",".jpg",".jpeg",".png",".heic",".xls",".doc",".msg",".eml",".ppt",".txt",".zip"},Z370)))&gt;0),AND(ISERROR(FIND(" ",TRIM(Z370))),NOT(OR(SUMPRODUCT(--ISNUMBER(FIND({",",";","&amp;","+"},Z370)))&gt;0,SUMPRODUCT(--ISNUMBER(SEARCH({"0/aa","0\\aa"},BN370)))&gt;0)),NOT(SUMPRODUCT(--ISNUMBER(SEARCH({"http","www.","\\",":\",".pdf",".jpg",".jpeg",".png",".heic",".xls",".doc",".msg",".eml",".ppt",".txt",".zip"},Z370)))&gt;0),NOT(LOWER(TRIM(Z370))=LOWER(Flights!$F$15)),ISNA(MATCH(BU370,{"mh","rev","revision","ver","version","v","r","a","b","seat","tray","row","gate","bay","stand","page","pg","item","line","no","cart","galley","flight","flt","table","box","bag","oven","etd","eta","std","sta","atd","ata","qty","pax","x","time","tel","ph","mob","day","wk","week","utc","gmt","myt","lt"},0)),NOT(OR(ISNUMBER(MATCH(LEFT(BN370,255),{"0000a","000a","00a","0000aa","000aa","00aa","0aa","0000aaa","000aaa","00a00","0a00","0000-0000","00:00","a00","a0","00.00.0000","00/00/0000","00-00-0000","0000-00-00","0000/00/00","0000.00.00","00.00.00","00/00/00","00-00-00","0.00.0000","0/00/0000","0-00-0000"},0)),ISNUMBER(MATCH(LEFT(BT370,255),{"0000a","000a","00a","0000aa","000aa","00aa","0aa","0000aaa","000aaa","00a00","0a00","0000-0000","00:00","a00","a0","00.00.0000","00/00/0000","00-00-0000","0000-00-00","0000/00/00","0000.00.00","00.00.00","00/00/00","00-00-00","0.00.0000","0/00/0000","0-00-0000"},0)))),NOT(OR(AND(BW370&lt;&gt;"",SUBSTITUTE(BW370,"0","")=""),AND(LEN(BW370)&gt;=4,BW370=REPT(LEFT(BW370),LEN(BW370))),ISNUMBER(MATCH(BW370,{"123","1234","12345","123456","1234567","12345678","0123","01234","012345","98765","987654","54321"},0)),ISNUMBER(MATCH(BX370,{"x","xx","xxx","xxxx","xxxxx","abc","abcd","nil","na","nan","test","tbc","tba","tbd","dummy","sample","example","eg","zz","zzz","none","null","xyz","qwe","asd","id","ref"},0)),AND(LEN(BW370)=8,BX370="",OR(LEFT(BW370,3)="202",ISNUMBER(MATCH(RIGHT(BW370,4),{"2025","2026","2027"},0)))))),OR(AND((LEN(BT370)-LEN(SUBSTITUTE(BT370,"a","")))&gt;=1,(LEN(BN370)-LEN(SUBSTITUTE(BN370,"0","")))&gt;=2,SUMPRODUCT(--ISNUMBER(SEARCH({"a0","a-0","a_0","a/0","a.0","a#0","0a","0-a","0_a","0/a"},BN370)))&gt;0),AND((LEN(BN370)-LEN(SUBSTITUTE(BN370,"a","")))=0,(LEN(BN370)-LEN(SUBSTITUTE(BN370,"0","")))&gt;=5)))),1,0),0)</f>
        <v>0</v>
      </c>
      <c r="CA3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370,"revision",""),"version",""),"jan",""),"feb",""),"mar",""),"apr",""),"may",""),"jun",""),"jul",""),"aug",""),"sep",""),"oct",""),"nov",""),"dec",""),"utc",""),"gmt",""),"myt",""),"bst",""),"rev",""),"ver",""),"b","a"),"c","a"),"d","a"),"e","a"),"f","a"),"g","a"),"h","a"),"i","a"),"j","a"),"k","a"),"l","a"),"m","a"),"n","a"),"o","a"),"p","a"),"q","a"),"r","a"),"s","a"),"t","a"),"u","a"),"v","a"),"w","a"),"x","a"),"y","a"),"z","a")</f>
        <v/>
      </c>
      <c r="CB3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370&amp;""),"a",""),"b",""),"c",""),"d",""),"e",""),"f",""),"g",""),"h",""),"i",""),"j",""),"k",""),"l",""),"m",""),"n",""),"o",""),"p",""),"q",""),"r",""),"s",""),"t",""),"u",""),"v",""),"w",""),"x",""),"y",""),"z",""),"-",""),"_",""),"/",""),".",""),"#",""),"\\",""),":","")," ",""),"(",""),")","")</f>
        <v/>
      </c>
      <c r="CC370" s="0" t="str">
        <f aca="false">" "&amp;TRIM(SUBSTITUTE(SUBSTITUTE(SUBSTITUTE(SUBSTITUTE(SUBSTITUTE(SUBSTITUTE(SUBSTITUTE(SUBSTITUTE(SUBSTITUTE(SUBSTITUTE(SUBSTITUTE(SUBSTITUTE(SUBSTITUTE(SUBSTITUTE(SUBSTITUTE(SUBSTITUTE(SUBSTITUTE(SUBSTITUTE(SUBSTITUTE(SUBSTITUTE(SUBSTITUTE(SUBSTITUTE(SUBSTITUTE(SUBSTITUTE(LOWER(T370&amp;""),CHAR(10)," "),CHAR(13)," "),CHAR(9)," "),CHAR(160)," "),"."," "),","," "),"-"," "),"/"," "),"("," "),")"," "),":"," "),";"," "),"_"," "),"–"," "),"?"," "),"!"," "),"*"," "),"["," "),"]"," "),"'"," "),"#"," "),"+"," "),"&amp;"," "),"\"," "))&amp;" "</f>
        <v>  </v>
      </c>
      <c r="CD370" s="0" t="str">
        <f aca="false">" "&amp;TRIM(SUBSTITUTE(SUBSTITUTE(SUBSTITUTE(SUBSTITUTE(SUBSTITUTE(SUBSTITUTE(SUBSTITUTE(SUBSTITUTE(SUBSTITUTE(SUBSTITUTE(SUBSTITUTE(SUBSTITUTE(SUBSTITUTE(SUBSTITUTE(SUBSTITUTE(SUBSTITUTE(SUBSTITUTE(SUBSTITUTE(SUBSTITUTE(SUBSTITUTE(SUBSTITUTE(SUBSTITUTE(SUBSTITUTE(SUBSTITUTE(LOWER(AE370&amp;""),CHAR(10)," "),CHAR(13)," "),CHAR(9)," "),CHAR(160)," "),"."," "),","," "),"-"," "),"/"," "),"("," "),")"," "),":"," "),";"," "),"_"," "),"–"," "),"?"," "),"!"," "),"*"," "),"["," "),"]"," "),"'"," "),"#"," "),"+"," "),"&amp;"," "),"\"," "))&amp;" "</f>
        <v>  </v>
      </c>
      <c r="CE370" s="68" t="n">
        <f aca="false">IFERROR(IF(AND(LEN(AU370)&gt;0,LEN(AU370)=LEN(AX370),OR(TRIM(MID(SUBSTITUTE(TRIM(CC370)," ",REPT(" ",60)),1,60))="",ISNUMBER(SEARCH(" "&amp;TRIM(MID(SUBSTITUTE(TRIM(CC370)," ",REPT(" ",60)),1,60))&amp;" ",CD370))),OR(TRIM(MID(SUBSTITUTE(TRIM(CC370)," ",REPT(" ",60)),61,60))="",ISNUMBER(SEARCH(" "&amp;TRIM(MID(SUBSTITUTE(TRIM(CC370)," ",REPT(" ",60)),61,60))&amp;" ",CD370))),OR(TRIM(MID(SUBSTITUTE(TRIM(CC370)," ",REPT(" ",60)),121,60))="",ISNUMBER(SEARCH(" "&amp;TRIM(MID(SUBSTITUTE(TRIM(CC370)," ",REPT(" ",60)),121,60))&amp;" ",CD370)))),1,0),0)</f>
        <v>0</v>
      </c>
      <c r="CG370" s="68" t="n">
        <f aca="false">IFERROR(LEN(SUBSTITUTE(BF370," ",""))-SUMPRODUCT((LEN(BF370)-LEN(SUBSTITUTE(BF370," "&amp;L_NAFiller&amp;" "," ")))/(LEN(L_NAFiller)+1)*LEN(L_NAFiller)),0)</f>
        <v>0</v>
      </c>
    </row>
    <row r="371" customFormat="false" ht="41.25" hidden="false" customHeight="true" outlineLevel="0" collapsed="false">
      <c r="A371" s="57" t="s">
        <v>978</v>
      </c>
      <c r="B371" s="57" t="s">
        <v>258</v>
      </c>
      <c r="C371" s="57" t="str">
        <f aca="false">Flights!$F$15</f>
        <v>MH1149</v>
      </c>
      <c r="D371" s="58" t="n">
        <f aca="false">Flights!$D$15</f>
        <v>46307</v>
      </c>
      <c r="E371" s="57" t="str">
        <f aca="false">Flights!$G$15&amp;"-"&amp;Flights!$H$15</f>
        <v>PEN-KUL</v>
      </c>
      <c r="F371" s="57" t="str">
        <f aca="false">Flights!$K$15</f>
        <v>EY</v>
      </c>
      <c r="G371" s="57" t="s">
        <v>420</v>
      </c>
      <c r="H371" s="57" t="s">
        <v>378</v>
      </c>
      <c r="I371" s="57" t="s">
        <v>428</v>
      </c>
      <c r="J371" s="57" t="s">
        <v>431</v>
      </c>
      <c r="K371" s="67"/>
      <c r="L371" s="67" t="s">
        <v>422</v>
      </c>
      <c r="M371" s="67"/>
      <c r="N371" s="67" t="s">
        <v>383</v>
      </c>
      <c r="O371" s="67" t="s">
        <v>975</v>
      </c>
      <c r="P371" s="57" t="s">
        <v>187</v>
      </c>
      <c r="Q371" s="59" t="n">
        <f aca="false">ROUND((MIN(Flights!$AE$15,Flights!$AY$15))*1440,0)/1440</f>
        <v>46306.8263888889</v>
      </c>
      <c r="R371" s="59" t="n">
        <f aca="false">Q371+(IF(AND(INDEX(TZ_DSTS,MATCH(P371,TZ_STN,0))&lt;&gt;"",Q371&gt;=INDEX(TZ_DSTS,MATCH(P371,TZ_STN,0)),Q371&lt;INDEX(TZ_DSTE,MATCH(P371,TZ_STN,0))),INDEX(TZ_DST,MATCH(P371,TZ_STN,0)),INDEX(TZ_STD,MATCH(P371,TZ_STN,0))))/24</f>
        <v>46307.1597222222</v>
      </c>
      <c r="S371" s="60"/>
      <c r="T371" s="60"/>
      <c r="U371" s="60"/>
      <c r="V371" s="60"/>
      <c r="W371" s="61"/>
      <c r="X371" s="60"/>
      <c r="Y371" s="60"/>
      <c r="Z371" s="60"/>
      <c r="AA371" s="60"/>
      <c r="AB371" s="60"/>
      <c r="AC371" s="60"/>
      <c r="AD371" s="66"/>
      <c r="AE371" s="60"/>
      <c r="AF371" s="61" t="str">
        <f aca="false">IF(AND(ISNUMBER(X371),ISNUMBER(Y371)),Y371-X371,"")</f>
        <v/>
      </c>
      <c r="AG371" s="62" t="str">
        <f aca="false">IF(ISNUMBER(AD371),AD371-(IF(AND(INDEX(TZ_DSTS,MATCH(P371,TZ_STN,0))&lt;&gt;"",(AD371-INDEX(TZ_STD,MATCH(P371,TZ_STN,0))/24)&gt;=INDEX(TZ_DSTS,MATCH(P371,TZ_STN,0)),(AD371-INDEX(TZ_STD,MATCH(P371,TZ_STN,0))/24)&lt;INDEX(TZ_DSTE,MATCH(P371,TZ_STN,0))),INDEX(TZ_DST,MATCH(P371,TZ_STN,0)),INDEX(TZ_STD,MATCH(P371,TZ_STN,0))))/24,"")</f>
        <v/>
      </c>
      <c r="AH371" s="65" t="str">
        <f aca="false">IFERROR(IF(N371="N/A – rule",IF(OR(TRIM(U371)="",TRIM(U371)="N/A",TRIM(U371)="Not started"),"N/A – RULE","INVALID – this check does not apply to this aircraft: clear the status (or correct the fleet on Flights)"),IF(TRIM(U371)="N/A",IF(AT371=0,"INVALID – N/A not permitted for this check",IF(AND(TRIM(AB371)&lt;&gt;"",TRIM(AB371)&lt;&gt;"Closed"),"INVALID – corrective action still open",IF(AND(NOT(OR(LEN(AZ371)&lt;15,ISNUMBER(MATCH(AZ371,L_Placeholder,0)))),BK371=0,CG371&gt;=8,NOT(OR(LEN(AU371)&lt;2,ISNUMBER(MATCH(AU371,L_Placeholder,0)))),BR371&gt;=3,NOT(OR(LEN(AX371)&lt;2,ISNUMBER(MATCH(AX371,L_Placeholder,0)))),BS371&gt;=3,TRIM(AE371)&lt;&gt;TRIM(T371),AX371&lt;&gt;AU371,CE371=0),"N/A – JUSTIFIED","INVALID – N/A needs a real, settled reason (not 'not applicable' / 'as above' / TBC), a named PIC and a different named verifier"))),IF(OR(TRIM(U371)="Pass",TRIM(U371)="Pass after CA"),IF(NOT(ISNUMBER(AD371)),"INVALID – completion time missing",IF(OR(OR(LEN(AU371)&lt;2,ISNUMBER(MATCH(AU371,L_Placeholder,0))),BR371&lt;3),"INVALID – PIC missing or not a named person (a role such as QA / CSM is not a name)",IF(OR(LEN(AV371)&lt;2,ISNUMBER(MATCH(AV371,L_Placeholder,0))),"INVALID – result / assessment missing",IF(OR(OR(LEN(AW371)&lt;3,ISNUMBER(MATCH(AW371,L_Placeholder,0))),SUMPRODUCT(--ISNUMBER(SEARCH(" "&amp;L_EvidencePhrase&amp;" ",BD371)))&gt;0,BI371=1),"INVALID – evidence missing, placeholder or not yet on file",IF(ISNA(MATCH(TRIM(S371),L_EvidenceType,0)),"INVALID – choose the evidence type from the list (column S)",IF(BL371=0,"INVALID – evidence ID must be the record's own ID only (e.g. SF-2210, IMG_2231, 1045521); a link / file name needs type 'Link / file path'",IF(OR(OR(LEN(AX371)&lt;2,ISNUMBER(MATCH(AX371,L_Placeholder,0))),BS371&lt;3),"INVALID – verifier missing or not a named person (a role such as QA / CSM is not a name)",IF(OR(AX371=AU371,CE371=1,AND(LEN(AU371)&gt;=4,ISNUMBER(SEARCH(AU371,AX371))),AND(LEN(AX371)&gt;=4,ISNUMBER(SEARCH(AX371,AU371)))),"INVALID – verifier must be a different, named person (not the PIC or a role)",IF(BH371=1,"INVALID – result not yet available (awaiting / TBC)",IF(BG371=1,"INVALID – result describes a problem: record Fail, then Pass after CA (or reword if it is not a problem)",IF(BV371=1,"INVALID – wording says not on board: an on-board confirmation needs the item loaded",IF(AND(AQ371=1,OR(OR(LEN(AY371)&lt;3,ISNUMBER(MATCH(AY371,L_Placeholder,0))),BJ371=1,BQ371=0)),"INVALID – batch ID missing, placeholder or not an ID (e.g. PASB-261008-BC-017)",IF(AND(AR371=1,OR(NOT(ISNUMBER(X371)),NOT(ISNUMBER(Y371)))),"INVALID – expected/actual qty missing",IF(AND(AR371=1,OR(X371&lt;=0,Y371&lt;0)),"INVALID – expected qty must be above 0 and actual not negative",IF(BB371&lt;&gt;"",BB371,IF(AND(AS371=1,Documents!$J$15&lt;&gt;"ON FILE"),"INVALID – GLD not on file (Documents sheet)",IF(AND(AS371=2,Documents!$O$15&lt;&gt;"ON FILE"),"INVALID – menu checklist not on file (Documents sheet)",IF(AND(AS371=3,NOT(ISNUMBER(Flights!$AX$15))),"INVALID – enter carrying flight KUL departure (Flights AX)",IF(AND(AS371=3,OR(Flights!$AZ$15&gt;Flights!$AA$15,Flights!$AX$15&lt;Flights!$AA$15-3)),"INVALID – carrying flight (Flights AX) cannot arrive before this leg's STD, or is over 3 days early",IF(AG371&gt;AsOfUTC,"INVALID – completion time is in the future",IF(AND(ISNUMBER(BY371),AG371&lt;BY371),IF(H371="Physical uplift","INVALID – before uplift window (cannot confirm loading)","INVALID – before valid window"),IF(AG371&gt;Flights!$AA$15,"INVALID – completed after departure (cannot establish readiness)",IF(AND(H371="Preparation",AG371&gt;=Flights!$AY$15+UpliftWindowH/24),"INVALID – completed after the carrying flight left KUL",IF(AND(H371="Physical uplift",AG371&gt;Q371),"INVALID – recorded after the loading flight departed",IF(AG371&gt;Q371,"COMPLETE – LATE","COMPLETE"))))))))))))))))))))))))),IF(TRIM(U371)="Fail","FAIL – DISCREPANCY",IF(AND(TRIM(U371)&lt;&gt;"",TRIM(U371)&lt;&gt;"Not started",TRIM(U371)&lt;&gt;"In progress"),"INVALID – unrecognised status (use the list)",IF(AsOfUTC&gt;Q371,"OVERDUE",IF(N371="Clarification required","OPEN – CLARIFICATION","OPEN"))))))),"INVALID – error value in an input cell")</f>
        <v>OPEN</v>
      </c>
      <c r="AI371" s="61" t="n">
        <f aca="false">IF(OR(AH371="N/A – RULE",AH371="N/A – JUSTIFIED"),0,1)</f>
        <v>1</v>
      </c>
      <c r="AJ371" s="61" t="n">
        <f aca="false">IF(LEFT(AH371,8)="COMPLETE",1,0)</f>
        <v>0</v>
      </c>
      <c r="AK371" s="61" t="n">
        <f aca="false">IF(AND(AI371=1,AJ371=0,AsOfUTC&gt;Q371),1,0)</f>
        <v>0</v>
      </c>
      <c r="AL371" s="61" t="n">
        <f aca="false">IFERROR(IF(AND(AI371=1,OR(TRIM(U371)="Fail",AND(TRIM(AB371)&lt;&gt;"",TRIM(AB371)&lt;&gt;"Closed"),AND(ISNUMBER(AF371),AF371&lt;&gt;0,TRIM(U371)&lt;&gt;"Pass after CA"))),1,0),1)</f>
        <v>0</v>
      </c>
      <c r="AM371" s="61" t="n">
        <f aca="false">IF(LEFT(AH371,7)="INVALID",1,0)</f>
        <v>0</v>
      </c>
      <c r="AN371" s="61" t="n">
        <f aca="false">IF(AND(N371="Clarification required",AI371=1,AJ371=0),1,0)</f>
        <v>0</v>
      </c>
      <c r="AO371" s="61" t="str">
        <f aca="false">IF(AK371=1,SUM(AK$5:AK371),"")</f>
        <v/>
      </c>
      <c r="AP371" s="61" t="str">
        <f aca="false">IF(AL371=1,SUM(AL$5:AL371),"")</f>
        <v/>
      </c>
      <c r="AQ371" s="61" t="n">
        <v>0</v>
      </c>
      <c r="AR371" s="61" t="n">
        <v>0</v>
      </c>
      <c r="AS371" s="61" t="n">
        <v>0</v>
      </c>
      <c r="AT371" s="61" t="n">
        <v>0</v>
      </c>
      <c r="AU371" s="61" t="str">
        <f aca="false">SUBSTITUTE(SUBSTITUTE(SUBSTITUTE(SUBSTITUTE(SUBSTITUTE(SUBSTITUTE(SUBSTITUTE(SUBSTITUTE(SUBSTITUTE(SUBSTITUTE(SUBSTITUTE(SUBSTITUTE(SUBSTITUTE(SUBSTITUTE(SUBSTITUTE(SUBSTITUTE(LOWER(T371&amp;""),CHAR(10),""),CHAR(13),""),CHAR(9),""),CHAR(160),"")," ",""),".",""),"-",""),"/",""),"?",""),"_",""),",",""),"[",""),"]",""),"(",""),")",""),"*","")</f>
        <v/>
      </c>
      <c r="AV371" s="61" t="str">
        <f aca="false">SUBSTITUTE(SUBSTITUTE(SUBSTITUTE(SUBSTITUTE(SUBSTITUTE(SUBSTITUTE(SUBSTITUTE(SUBSTITUTE(SUBSTITUTE(SUBSTITUTE(SUBSTITUTE(SUBSTITUTE(SUBSTITUTE(SUBSTITUTE(SUBSTITUTE(SUBSTITUTE(LOWER(V371&amp;""),CHAR(10),""),CHAR(13),""),CHAR(9),""),CHAR(160),"")," ",""),".",""),"-",""),"/",""),"?",""),"_",""),",",""),"[",""),"]",""),"(",""),")",""),"*","")</f>
        <v/>
      </c>
      <c r="AW371" s="61" t="str">
        <f aca="false">SUBSTITUTE(SUBSTITUTE(SUBSTITUTE(SUBSTITUTE(SUBSTITUTE(SUBSTITUTE(SUBSTITUTE(SUBSTITUTE(SUBSTITUTE(SUBSTITUTE(SUBSTITUTE(SUBSTITUTE(SUBSTITUTE(SUBSTITUTE(SUBSTITUTE(SUBSTITUTE(LOWER(Z371&amp;""),CHAR(10),""),CHAR(13),""),CHAR(9),""),CHAR(160),"")," ",""),".",""),"-",""),"/",""),"?",""),"_",""),",",""),"[",""),"]",""),"(",""),")",""),"*","")</f>
        <v/>
      </c>
      <c r="AX371" s="61" t="str">
        <f aca="false">SUBSTITUTE(SUBSTITUTE(SUBSTITUTE(SUBSTITUTE(SUBSTITUTE(SUBSTITUTE(SUBSTITUTE(SUBSTITUTE(SUBSTITUTE(SUBSTITUTE(SUBSTITUTE(SUBSTITUTE(SUBSTITUTE(SUBSTITUTE(SUBSTITUTE(SUBSTITUTE(LOWER(AE371&amp;""),CHAR(10),""),CHAR(13),""),CHAR(9),""),CHAR(160),"")," ",""),".",""),"-",""),"/",""),"?",""),"_",""),",",""),"[",""),"]",""),"(",""),")",""),"*","")</f>
        <v/>
      </c>
      <c r="AY371" s="61" t="str">
        <f aca="false">SUBSTITUTE(SUBSTITUTE(SUBSTITUTE(SUBSTITUTE(SUBSTITUTE(SUBSTITUTE(SUBSTITUTE(SUBSTITUTE(SUBSTITUTE(SUBSTITUTE(SUBSTITUTE(SUBSTITUTE(SUBSTITUTE(SUBSTITUTE(SUBSTITUTE(SUBSTITUTE(LOWER(W371&amp;""),CHAR(10),""),CHAR(13),""),CHAR(9),""),CHAR(160),"")," ",""),".",""),"-",""),"/",""),"?",""),"_",""),",",""),"[",""),"]",""),"(",""),")",""),"*","")</f>
        <v/>
      </c>
      <c r="AZ371" s="61" t="str">
        <f aca="false">SUBSTITUTE(SUBSTITUTE(SUBSTITUTE(SUBSTITUTE(SUBSTITUTE(SUBSTITUTE(SUBSTITUTE(SUBSTITUTE(SUBSTITUTE(SUBSTITUTE(SUBSTITUTE(SUBSTITUTE(SUBSTITUTE(SUBSTITUTE(SUBSTITUTE(SUBSTITUTE(LOWER(AC371&amp;""),CHAR(10),""),CHAR(13),""),CHAR(9),""),CHAR(160),"")," ",""),".",""),"-",""),"/",""),"?",""),"_",""),",",""),"[",""),"]",""),"(",""),")",""),"*","")</f>
        <v/>
      </c>
      <c r="BA371" s="61" t="str">
        <f aca="false">SUBSTITUTE(SUBSTITUTE(SUBSTITUTE(SUBSTITUTE(SUBSTITUTE(SUBSTITUTE(SUBSTITUTE(SUBSTITUTE(SUBSTITUTE(SUBSTITUTE(SUBSTITUTE(SUBSTITUTE(SUBSTITUTE(SUBSTITUTE(SUBSTITUTE(SUBSTITUTE(LOWER(AA371&amp;""),CHAR(10),""),CHAR(13),""),CHAR(9),""),CHAR(160),"")," ",""),".",""),"-",""),"/",""),"?",""),"_",""),",",""),"[",""),"]",""),"(",""),")",""),"*","")</f>
        <v/>
      </c>
      <c r="BB371" s="61" t="str">
        <f aca="false">IF(AND(TRIM(U371)="Pass",ISNUMBER(AF371)),IF(AF371&lt;&gt;0,"INVALID – qty variance: use Fail or Pass after CA",""),"")&amp;IF(AND(TRIM(U371)="Pass after CA",ISNUMBER(AF371)),IF(AF371&lt;&gt;0,"INVALID – after the corrective action the actual qty must equal expected (update Actual)",""),"")&amp;IF(AND(TRIM(U371)="Pass",TRIM(AB371)&lt;&gt;"",TRIM(AB371)&lt;&gt;"Closed"),"INVALID – corrective action not closed: use Fail, then Pass after CA","")&amp;IF(AND(LEN(BA371)&gt;=2,ISNA(MATCH(LEFT(BA371,255),L_Placeholder,0)),TRIM(AB371)=""),"INVALID – CA status missing for the recorded corrective action","")&amp;IF(AND(TRIM(U371)="Pass after CA",OR(OR(LEN(BA371)&lt;5,ISNUMBER(MATCH(BA371,L_Placeholder,0))),TRIM(AB371)&lt;&gt;"Closed")),"INVALID – corrective action not recorded/closed","")</f>
        <v/>
      </c>
      <c r="BC371" s="61" t="str">
        <f aca="false">" "&amp;TRIM(SUBSTITUTE(SUBSTITUTE(SUBSTITUTE(SUBSTITUTE(SUBSTITUTE(SUBSTITUTE(SUBSTITUTE(SUBSTITUTE(SUBSTITUTE(SUBSTITUTE(SUBSTITUTE(SUBSTITUTE(SUBSTITUTE(SUBSTITUTE(SUBSTITUTE(SUBSTITUTE(SUBSTITUTE(SUBSTITUTE(SUBSTITUTE(SUBSTITUTE(SUBSTITUTE(SUBSTITUTE(SUBSTITUTE(SUBSTITUTE(LOWER(V371&amp;""),CHAR(10)," "),CHAR(13)," "),CHAR(9)," "),CHAR(160)," "),"."," "),","," "),"-"," "),"/"," "),"("," "),")"," "),":"," "),";"," "),"_"," "),"–"," "),"?"," "),"!"," "),"*"," "),"["," "),"]"," "),"'"," "),"#"," "),"+"," "),"&amp;"," "),"\"," "))&amp;" "</f>
        <v>  </v>
      </c>
      <c r="BD371" s="61" t="str">
        <f aca="false">" "&amp;TRIM(SUBSTITUTE(SUBSTITUTE(SUBSTITUTE(SUBSTITUTE(SUBSTITUTE(SUBSTITUTE(SUBSTITUTE(SUBSTITUTE(SUBSTITUTE(SUBSTITUTE(SUBSTITUTE(SUBSTITUTE(SUBSTITUTE(SUBSTITUTE(SUBSTITUTE(SUBSTITUTE(SUBSTITUTE(SUBSTITUTE(SUBSTITUTE(SUBSTITUTE(SUBSTITUTE(SUBSTITUTE(SUBSTITUTE(SUBSTITUTE(LOWER(Z371&amp;""),CHAR(10)," "),CHAR(13)," "),CHAR(9)," "),CHAR(160)," "),"."," "),","," "),"-"," "),"/"," "),"("," "),")"," "),":"," "),";"," "),"_"," "),"–"," "),"?"," "),"!"," "),"*"," "),"["," "),"]"," "),"'"," "),"#"," "),"+"," "),"&amp;"," "),"\"," "))&amp;" "</f>
        <v>  </v>
      </c>
      <c r="BE371" s="61" t="str">
        <f aca="false">" "&amp;TRIM(SUBSTITUTE(SUBSTITUTE(SUBSTITUTE(SUBSTITUTE(SUBSTITUTE(SUBSTITUTE(SUBSTITUTE(SUBSTITUTE(SUBSTITUTE(SUBSTITUTE(SUBSTITUTE(SUBSTITUTE(SUBSTITUTE(SUBSTITUTE(SUBSTITUTE(SUBSTITUTE(SUBSTITUTE(SUBSTITUTE(SUBSTITUTE(SUBSTITUTE(SUBSTITUTE(SUBSTITUTE(SUBSTITUTE(SUBSTITUTE(LOWER(W371&amp;""),CHAR(10)," "),CHAR(13)," "),CHAR(9)," "),CHAR(160)," "),"."," "),","," "),"-"," "),"/"," "),"("," "),")"," "),":"," "),";"," "),"_"," "),"–"," "),"?"," "),"!"," "),"*"," "),"["," "),"]"," "),"'"," "),"#"," "),"+"," "),"&amp;"," "),"\"," "))&amp;" "</f>
        <v>  </v>
      </c>
      <c r="BF371" s="61" t="str">
        <f aca="false">" "&amp;TRIM(SUBSTITUTE(SUBSTITUTE(SUBSTITUTE(SUBSTITUTE(SUBSTITUTE(SUBSTITUTE(SUBSTITUTE(SUBSTITUTE(SUBSTITUTE(SUBSTITUTE(SUBSTITUTE(SUBSTITUTE(SUBSTITUTE(SUBSTITUTE(SUBSTITUTE(SUBSTITUTE(SUBSTITUTE(SUBSTITUTE(SUBSTITUTE(SUBSTITUTE(SUBSTITUTE(SUBSTITUTE(SUBSTITUTE(SUBSTITUTE(LOWER(AC371&amp;""),CHAR(10)," "),CHAR(13)," "),CHAR(9)," "),CHAR(160)," "),"."," "),","," "),"-"," "),"/"," "),"("," "),")"," "),":"," "),";"," "),"_"," "),"–"," "),"?"," "),"!"," "),"*"," "),"["," "),"]"," "),"'"," "),"#"," "),"+"," "),"&amp;"," "),"\"," "))&amp;" "</f>
        <v>  </v>
      </c>
      <c r="BG371" s="61" t="n">
        <f aca="false">IFERROR(IF(AND(TRIM(U371)="Pass",SUMPRODUCT((LEN(BC371)-LEN(SUBSTITUTE(BC371," "&amp;L_ResultBad&amp;" "," ")))/(LEN(L_ResultBad)+1))&gt;SUMPRODUCT((LEN(BC371)-LEN(SUBSTITUTE(BC371," "&amp;L_NegPhrase&amp;" "," ")))/(LEN(L_NegPhrase)+1))),1,0),0)</f>
        <v>0</v>
      </c>
      <c r="BH371" s="61" t="n">
        <f aca="false">IFERROR(IF(SUMPRODUCT((LEN(BC371)-LEN(SUBSTITUTE(BC371," "&amp;L_Pending&amp;" "," ")))/(LEN(L_Pending)+1))&gt;SUMPRODUCT((LEN(BC371)-LEN(SUBSTITUTE(BC371," "&amp;L_PendNeg&amp;" "," ")))/(LEN(L_PendNeg)+1))+SUMPRODUCT((LEN(BC371)-LEN(SUBSTITUTE(BC371," "&amp;L_PendPrep&amp;" "," ")))/(LEN(L_PendPrep)+1)),1,0),1)</f>
        <v>0</v>
      </c>
      <c r="BI371" s="61" t="n">
        <f aca="false">IFERROR(IF(SUMPRODUCT((LEN(BD371)-LEN(SUBSTITUTE(BD371," "&amp;L_PendStrict&amp;" "," ")))/(LEN(L_PendStrict)+1))&gt;SUMPRODUCT((LEN(BD371)-LEN(SUBSTITUTE(BD371," "&amp;L_PendNeg&amp;" "," ")))/(LEN(L_PendNeg)+1)),1,0),1)</f>
        <v>0</v>
      </c>
      <c r="BJ371" s="61" t="n">
        <f aca="false">IFERROR(IF(SUMPRODUCT((LEN(BE371)-LEN(SUBSTITUTE(BE371," "&amp;L_Pending&amp;" "," ")))/(LEN(L_Pending)+1))&gt;SUMPRODUCT((LEN(BE371)-LEN(SUBSTITUTE(BE371," "&amp;L_PendNeg&amp;" "," ")))/(LEN(L_PendNeg)+1))+SUMPRODUCT((LEN(BE371)-LEN(SUBSTITUTE(BE371," "&amp;L_PendPrep&amp;" "," ")))/(LEN(L_PendPrep)+1)),1,0),1)</f>
        <v>0</v>
      </c>
      <c r="BK371" s="61" t="n">
        <f aca="false">IFERROR(IF(SUMPRODUCT((LEN(BF371)-LEN(SUBSTITUTE(BF371," "&amp;L_PendStrict&amp;" "," ")))/(LEN(L_PendStrict)+1))&gt;SUMPRODUCT((LEN(BF371)-LEN(SUBSTITUTE(BF371," "&amp;L_PendNeg&amp;" "," ")))/(LEN(L_PendNeg)+1)),1,0),1)</f>
        <v>0</v>
      </c>
      <c r="BL371" s="61" t="n">
        <f aca="false">IF(ISNA(MATCH(TRIM(S371),L_EvidenceType,0)),0,BZ371)</f>
        <v>0</v>
      </c>
      <c r="BM371" s="61" t="str">
        <f aca="false">SUBSTITUTE(SUBSTITUTE(SUBSTITUTE(SUBSTITUTE(SUBSTITUTE(SUBSTITUTE(SUBSTITUTE(SUBSTITUTE(SUBSTITUTE(LOWER(Z371&amp;""),"1","0"),"2","0"),"3","0"),"4","0"),"5","0"),"6","0"),"7","0"),"8","0"),"9","0")</f>
        <v/>
      </c>
      <c r="BN371" s="61" t="str">
        <f aca="false">SUBSTITUTE(SUBSTITUTE(SUBSTITUTE(SUBSTITUTE(SUBSTITUTE(SUBSTITUTE(SUBSTITUTE(SUBSTITUTE(SUBSTITUTE(SUBSTITUTE(SUBSTITUTE(SUBSTITUTE(SUBSTITUTE(SUBSTITUTE(SUBSTITUTE(SUBSTITUTE(SUBSTITUTE(SUBSTITUTE(SUBSTITUTE(SUBSTITUTE(SUBSTITUTE(SUBSTITUTE(SUBSTITUTE(SUBSTITUTE(SUBSTITUTE(BM371,"b","a"),"c","a"),"d","a"),"e","a"),"f","a"),"g","a"),"h","a"),"i","a"),"j","a"),"k","a"),"l","a"),"m","a"),"n","a"),"o","a"),"p","a"),"q","a"),"r","a"),"s","a"),"t","a"),"u","a"),"v","a"),"w","a"),"x","a"),"y","a"),"z","a")</f>
        <v/>
      </c>
      <c r="BO371" s="61" t="str">
        <f aca="false">SUBSTITUTE(SUBSTITUTE(SUBSTITUTE(SUBSTITUTE(SUBSTITUTE(SUBSTITUTE(SUBSTITUTE(SUBSTITUTE(SUBSTITUTE(LOWER(W371&amp;""),"1","0"),"2","0"),"3","0"),"4","0"),"5","0"),"6","0"),"7","0"),"8","0"),"9","0")</f>
        <v/>
      </c>
      <c r="BP371" s="61" t="str">
        <f aca="false">SUBSTITUTE(SUBSTITUTE(SUBSTITUTE(SUBSTITUTE(SUBSTITUTE(SUBSTITUTE(SUBSTITUTE(SUBSTITUTE(SUBSTITUTE(SUBSTITUTE(SUBSTITUTE(SUBSTITUTE(SUBSTITUTE(SUBSTITUTE(SUBSTITUTE(SUBSTITUTE(SUBSTITUTE(SUBSTITUTE(SUBSTITUTE(SUBSTITUTE(SUBSTITUTE(SUBSTITUTE(SUBSTITUTE(SUBSTITUTE(SUBSTITUTE(BO371,"b","a"),"c","a"),"d","a"),"e","a"),"f","a"),"g","a"),"h","a"),"i","a"),"j","a"),"k","a"),"l","a"),"m","a"),"n","a"),"o","a"),"p","a"),"q","a"),"r","a"),"s","a"),"t","a"),"u","a"),"v","a"),"w","a"),"x","a"),"y","a"),"z","a")</f>
        <v/>
      </c>
      <c r="BQ371" s="61" t="n">
        <f aca="false">IFERROR(IF(AND(ISERROR(SEARCH(" mh"," "&amp;LOWER(W371))),ISNA(MATCH(LEFT(TRIM(BP371),255),{"0000a","000a","00a","0000aa","000aa","00aa","0aa","0000aaa","000aaa","00a00","0a00","0000-0000","00:00","a00","a0","00.00.0000","00/00/0000","00-00-0000","0000-00-00","0000/00/00","0000.00.00","00.00.00","00/00/00","00-00-00","0.00.0000","0/00/0000","0-00-0000"},0)),ISNA(MATCH(LEFT(TRIM(CA371),255),{"0000a","000a","00a","0000aa","000aa","00aa","0aa","0000aaa","000aaa","00a00","0a00","0000-0000","00:00","a00","a0","00.00.0000","00/00/0000","00-00-0000","0000-00-00","0000/00/00","0000.00.00","00.00.00","00/00/00","00-00-00","0.00.0000","0/00/0000","0-00-0000"},0)),LEN(CB371)&gt;=3,NOT(OR(SUBSTITUTE(CB371,"0","")="",AND(LEN(CB371)&gt;=4,CB371=REPT(LEFT(CB371),LEN(CB371))),ISNUMBER(MATCH(CB371,{"123","1234","12345","123456","1234567","12345678","0123","01234","012345","98765","987654","54321"},0)),AND(LEN(CB371)=8,LEFT(CB371,3)="202"))),OR(AND((LEN(CA371)-LEN(SUBSTITUTE(CA371,"a","")))&gt;=1,SUMPRODUCT(--ISNUMBER(SEARCH({"a0","a-0","a_0","a/0","a.0","a#0","0a","0-a","0_a","0/a"},BP371)))&gt;0),ISNUMBER(SEARCH("000000",BP371)))),1,0),0)</f>
        <v>0</v>
      </c>
      <c r="BR371" s="61" t="n">
        <f aca="false">IFERROR(LEN(SUBSTITUTE(CC371," ",""))-SUMPRODUCT((LEN(CC371)-LEN(SUBSTITUTE(CC371," "&amp;L_Role&amp;" "," ")))/(LEN(L_Role)+1)*LEN(L_Role)),0)</f>
        <v>0</v>
      </c>
      <c r="BS371" s="61" t="n">
        <f aca="false">IFERROR(LEN(SUBSTITUTE(CD371," ",""))-SUMPRODUCT((LEN(CD371)-LEN(SUBSTITUTE(CD371," "&amp;L_Role&amp;" "," ")))/(LEN(L_Role)+1)*LEN(L_Role)),0)</f>
        <v>0</v>
      </c>
      <c r="BT3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371,"revision",""),"version",""),"jan",""),"feb",""),"mar",""),"apr",""),"may",""),"jun",""),"jul",""),"aug",""),"sep",""),"oct",""),"nov",""),"dec",""),"utc",""),"gmt",""),"myt",""),"bst",""),"rev",""),"ver",""),"b","a"),"c","a"),"d","a"),"e","a"),"f","a"),"g","a"),"h","a"),"i","a"),"j","a"),"k","a"),"l","a"),"m","a"),"n","a"),"o","a"),"p","a"),"q","a"),"r","a"),"s","a"),"t","a"),"u","a"),"v","a"),"w","a"),"x","a"),"y","a"),"z","a")</f>
        <v/>
      </c>
      <c r="BU371" s="61" t="str">
        <f aca="false">SUBSTITUTE(SUBSTITUTE(SUBSTITUTE(SUBSTITUTE(SUBSTITUTE(SUBSTITUTE(SUBSTITUTE(SUBSTITUTE(SUBSTITUTE(SUBSTITUTE(LEFT(BM371,FIND("0",BM371&amp;"0")-1),"-",""),"_",""),"/",""),".",""),"#",""),"\\",""),":","")," ",""),"(",""),")","")</f>
        <v/>
      </c>
      <c r="BV371" s="61" t="n">
        <f aca="false">0</f>
        <v>0</v>
      </c>
      <c r="BW3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371&amp;""),"a",""),"b",""),"c",""),"d",""),"e",""),"f",""),"g",""),"h",""),"i",""),"j",""),"k",""),"l",""),"m",""),"n",""),"o",""),"p",""),"q",""),"r",""),"s",""),"t",""),"u",""),"v",""),"w",""),"x",""),"y",""),"z",""),"-",""),"_",""),"/",""),".",""),"#",""),"\\",""),":","")," ",""),"(",""),")","")</f>
        <v/>
      </c>
      <c r="BX371" s="61" t="str">
        <f aca="false">SUBSTITUTE(SUBSTITUTE(SUBSTITUTE(SUBSTITUTE(SUBSTITUTE(SUBSTITUTE(SUBSTITUTE(SUBSTITUTE(SUBSTITUTE(SUBSTITUTE(SUBSTITUTE(BM371,"0",""),"-",""),"_",""),"/",""),".",""),"#",""),"\\",""),":","")," ",""),"(",""),")","")</f>
        <v/>
      </c>
      <c r="BY371" s="62" t="n">
        <f aca="false">Q371-T12EarlyH/24</f>
        <v>46306.3263888889</v>
      </c>
      <c r="BZ371" s="61" t="n">
        <f aca="false">IFERROR(IF(IF(TRIM(S371)="Link / file path",AND(LEN(TRIM(Z371))&gt;=5,SUMPRODUCT(--ISNUMBER(SEARCH({"http","www.","\\",":\",".pdf",".jpg",".jpeg",".png",".heic",".xls",".doc",".msg",".eml",".ppt",".txt",".zip"},Z371)))&gt;0),AND(ISERROR(FIND(" ",TRIM(Z371))),NOT(OR(SUMPRODUCT(--ISNUMBER(FIND({",",";","&amp;","+"},Z371)))&gt;0,SUMPRODUCT(--ISNUMBER(SEARCH({"0/aa","0\\aa"},BN371)))&gt;0)),NOT(SUMPRODUCT(--ISNUMBER(SEARCH({"http","www.","\\",":\",".pdf",".jpg",".jpeg",".png",".heic",".xls",".doc",".msg",".eml",".ppt",".txt",".zip"},Z371)))&gt;0),NOT(LOWER(TRIM(Z371))=LOWER(Flights!$F$15)),ISNA(MATCH(BU371,{"mh","rev","revision","ver","version","v","r","a","b","seat","tray","row","gate","bay","stand","page","pg","item","line","no","cart","galley","flight","flt","table","box","bag","oven","etd","eta","std","sta","atd","ata","qty","pax","x","time","tel","ph","mob","day","wk","week","utc","gmt","myt","lt"},0)),NOT(OR(ISNUMBER(MATCH(LEFT(BN371,255),{"0000a","000a","00a","0000aa","000aa","00aa","0aa","0000aaa","000aaa","00a00","0a00","0000-0000","00:00","a00","a0","00.00.0000","00/00/0000","00-00-0000","0000-00-00","0000/00/00","0000.00.00","00.00.00","00/00/00","00-00-00","0.00.0000","0/00/0000","0-00-0000"},0)),ISNUMBER(MATCH(LEFT(BT371,255),{"0000a","000a","00a","0000aa","000aa","00aa","0aa","0000aaa","000aaa","00a00","0a00","0000-0000","00:00","a00","a0","00.00.0000","00/00/0000","00-00-0000","0000-00-00","0000/00/00","0000.00.00","00.00.00","00/00/00","00-00-00","0.00.0000","0/00/0000","0-00-0000"},0)))),NOT(OR(AND(BW371&lt;&gt;"",SUBSTITUTE(BW371,"0","")=""),AND(LEN(BW371)&gt;=4,BW371=REPT(LEFT(BW371),LEN(BW371))),ISNUMBER(MATCH(BW371,{"123","1234","12345","123456","1234567","12345678","0123","01234","012345","98765","987654","54321"},0)),ISNUMBER(MATCH(BX371,{"x","xx","xxx","xxxx","xxxxx","abc","abcd","nil","na","nan","test","tbc","tba","tbd","dummy","sample","example","eg","zz","zzz","none","null","xyz","qwe","asd","id","ref"},0)),AND(LEN(BW371)=8,BX371="",OR(LEFT(BW371,3)="202",ISNUMBER(MATCH(RIGHT(BW371,4),{"2025","2026","2027"},0)))))),OR(AND((LEN(BT371)-LEN(SUBSTITUTE(BT371,"a","")))&gt;=1,(LEN(BN371)-LEN(SUBSTITUTE(BN371,"0","")))&gt;=2,SUMPRODUCT(--ISNUMBER(SEARCH({"a0","a-0","a_0","a/0","a.0","a#0","0a","0-a","0_a","0/a"},BN371)))&gt;0),AND((LEN(BN371)-LEN(SUBSTITUTE(BN371,"a","")))=0,(LEN(BN371)-LEN(SUBSTITUTE(BN371,"0","")))&gt;=5)))),1,0),0)</f>
        <v>0</v>
      </c>
      <c r="CA3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371,"revision",""),"version",""),"jan",""),"feb",""),"mar",""),"apr",""),"may",""),"jun",""),"jul",""),"aug",""),"sep",""),"oct",""),"nov",""),"dec",""),"utc",""),"gmt",""),"myt",""),"bst",""),"rev",""),"ver",""),"b","a"),"c","a"),"d","a"),"e","a"),"f","a"),"g","a"),"h","a"),"i","a"),"j","a"),"k","a"),"l","a"),"m","a"),"n","a"),"o","a"),"p","a"),"q","a"),"r","a"),"s","a"),"t","a"),"u","a"),"v","a"),"w","a"),"x","a"),"y","a"),"z","a")</f>
        <v/>
      </c>
      <c r="CB3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371&amp;""),"a",""),"b",""),"c",""),"d",""),"e",""),"f",""),"g",""),"h",""),"i",""),"j",""),"k",""),"l",""),"m",""),"n",""),"o",""),"p",""),"q",""),"r",""),"s",""),"t",""),"u",""),"v",""),"w",""),"x",""),"y",""),"z",""),"-",""),"_",""),"/",""),".",""),"#",""),"\\",""),":","")," ",""),"(",""),")","")</f>
        <v/>
      </c>
      <c r="CC371" s="0" t="str">
        <f aca="false">" "&amp;TRIM(SUBSTITUTE(SUBSTITUTE(SUBSTITUTE(SUBSTITUTE(SUBSTITUTE(SUBSTITUTE(SUBSTITUTE(SUBSTITUTE(SUBSTITUTE(SUBSTITUTE(SUBSTITUTE(SUBSTITUTE(SUBSTITUTE(SUBSTITUTE(SUBSTITUTE(SUBSTITUTE(SUBSTITUTE(SUBSTITUTE(SUBSTITUTE(SUBSTITUTE(SUBSTITUTE(SUBSTITUTE(SUBSTITUTE(SUBSTITUTE(LOWER(T371&amp;""),CHAR(10)," "),CHAR(13)," "),CHAR(9)," "),CHAR(160)," "),"."," "),","," "),"-"," "),"/"," "),"("," "),")"," "),":"," "),";"," "),"_"," "),"–"," "),"?"," "),"!"," "),"*"," "),"["," "),"]"," "),"'"," "),"#"," "),"+"," "),"&amp;"," "),"\"," "))&amp;" "</f>
        <v>  </v>
      </c>
      <c r="CD371" s="0" t="str">
        <f aca="false">" "&amp;TRIM(SUBSTITUTE(SUBSTITUTE(SUBSTITUTE(SUBSTITUTE(SUBSTITUTE(SUBSTITUTE(SUBSTITUTE(SUBSTITUTE(SUBSTITUTE(SUBSTITUTE(SUBSTITUTE(SUBSTITUTE(SUBSTITUTE(SUBSTITUTE(SUBSTITUTE(SUBSTITUTE(SUBSTITUTE(SUBSTITUTE(SUBSTITUTE(SUBSTITUTE(SUBSTITUTE(SUBSTITUTE(SUBSTITUTE(SUBSTITUTE(LOWER(AE371&amp;""),CHAR(10)," "),CHAR(13)," "),CHAR(9)," "),CHAR(160)," "),"."," "),","," "),"-"," "),"/"," "),"("," "),")"," "),":"," "),";"," "),"_"," "),"–"," "),"?"," "),"!"," "),"*"," "),"["," "),"]"," "),"'"," "),"#"," "),"+"," "),"&amp;"," "),"\"," "))&amp;" "</f>
        <v>  </v>
      </c>
      <c r="CE371" s="68" t="n">
        <f aca="false">IFERROR(IF(AND(LEN(AU371)&gt;0,LEN(AU371)=LEN(AX371),OR(TRIM(MID(SUBSTITUTE(TRIM(CC371)," ",REPT(" ",60)),1,60))="",ISNUMBER(SEARCH(" "&amp;TRIM(MID(SUBSTITUTE(TRIM(CC371)," ",REPT(" ",60)),1,60))&amp;" ",CD371))),OR(TRIM(MID(SUBSTITUTE(TRIM(CC371)," ",REPT(" ",60)),61,60))="",ISNUMBER(SEARCH(" "&amp;TRIM(MID(SUBSTITUTE(TRIM(CC371)," ",REPT(" ",60)),61,60))&amp;" ",CD371))),OR(TRIM(MID(SUBSTITUTE(TRIM(CC371)," ",REPT(" ",60)),121,60))="",ISNUMBER(SEARCH(" "&amp;TRIM(MID(SUBSTITUTE(TRIM(CC371)," ",REPT(" ",60)),121,60))&amp;" ",CD371)))),1,0),0)</f>
        <v>0</v>
      </c>
      <c r="CG371" s="68" t="n">
        <f aca="false">IFERROR(LEN(SUBSTITUTE(BF371," ",""))-SUMPRODUCT((LEN(BF371)-LEN(SUBSTITUTE(BF371," "&amp;L_NAFiller&amp;" "," ")))/(LEN(L_NAFiller)+1)*LEN(L_NAFiller)),0)</f>
        <v>0</v>
      </c>
    </row>
    <row r="372" customFormat="false" ht="41.25" hidden="false" customHeight="true" outlineLevel="0" collapsed="false">
      <c r="A372" s="57" t="s">
        <v>979</v>
      </c>
      <c r="B372" s="57" t="s">
        <v>258</v>
      </c>
      <c r="C372" s="57" t="str">
        <f aca="false">Flights!$F$15</f>
        <v>MH1149</v>
      </c>
      <c r="D372" s="58" t="n">
        <f aca="false">Flights!$D$15</f>
        <v>46307</v>
      </c>
      <c r="E372" s="57" t="str">
        <f aca="false">Flights!$G$15&amp;"-"&amp;Flights!$H$15</f>
        <v>PEN-KUL</v>
      </c>
      <c r="F372" s="57" t="str">
        <f aca="false">Flights!$K$15</f>
        <v>EY</v>
      </c>
      <c r="G372" s="57" t="s">
        <v>420</v>
      </c>
      <c r="H372" s="57" t="s">
        <v>378</v>
      </c>
      <c r="I372" s="57" t="s">
        <v>428</v>
      </c>
      <c r="J372" s="57" t="s">
        <v>433</v>
      </c>
      <c r="K372" s="67"/>
      <c r="L372" s="67" t="s">
        <v>422</v>
      </c>
      <c r="M372" s="67"/>
      <c r="N372" s="67" t="s">
        <v>383</v>
      </c>
      <c r="O372" s="67" t="s">
        <v>975</v>
      </c>
      <c r="P372" s="57" t="s">
        <v>187</v>
      </c>
      <c r="Q372" s="59" t="n">
        <f aca="false">ROUND((MIN(Flights!$AE$15,Flights!$AY$15))*1440,0)/1440</f>
        <v>46306.8263888889</v>
      </c>
      <c r="R372" s="59" t="n">
        <f aca="false">Q372+(IF(AND(INDEX(TZ_DSTS,MATCH(P372,TZ_STN,0))&lt;&gt;"",Q372&gt;=INDEX(TZ_DSTS,MATCH(P372,TZ_STN,0)),Q372&lt;INDEX(TZ_DSTE,MATCH(P372,TZ_STN,0))),INDEX(TZ_DST,MATCH(P372,TZ_STN,0)),INDEX(TZ_STD,MATCH(P372,TZ_STN,0))))/24</f>
        <v>46307.1597222222</v>
      </c>
      <c r="S372" s="60"/>
      <c r="T372" s="60"/>
      <c r="U372" s="60"/>
      <c r="V372" s="60"/>
      <c r="W372" s="61"/>
      <c r="X372" s="60"/>
      <c r="Y372" s="60"/>
      <c r="Z372" s="60"/>
      <c r="AA372" s="60"/>
      <c r="AB372" s="60"/>
      <c r="AC372" s="60"/>
      <c r="AD372" s="66"/>
      <c r="AE372" s="60"/>
      <c r="AF372" s="61" t="str">
        <f aca="false">IF(AND(ISNUMBER(X372),ISNUMBER(Y372)),Y372-X372,"")</f>
        <v/>
      </c>
      <c r="AG372" s="62" t="str">
        <f aca="false">IF(ISNUMBER(AD372),AD372-(IF(AND(INDEX(TZ_DSTS,MATCH(P372,TZ_STN,0))&lt;&gt;"",(AD372-INDEX(TZ_STD,MATCH(P372,TZ_STN,0))/24)&gt;=INDEX(TZ_DSTS,MATCH(P372,TZ_STN,0)),(AD372-INDEX(TZ_STD,MATCH(P372,TZ_STN,0))/24)&lt;INDEX(TZ_DSTE,MATCH(P372,TZ_STN,0))),INDEX(TZ_DST,MATCH(P372,TZ_STN,0)),INDEX(TZ_STD,MATCH(P372,TZ_STN,0))))/24,"")</f>
        <v/>
      </c>
      <c r="AH372" s="65" t="str">
        <f aca="false">IFERROR(IF(N372="N/A – rule",IF(OR(TRIM(U372)="",TRIM(U372)="N/A",TRIM(U372)="Not started"),"N/A – RULE","INVALID – this check does not apply to this aircraft: clear the status (or correct the fleet on Flights)"),IF(TRIM(U372)="N/A",IF(AT372=0,"INVALID – N/A not permitted for this check",IF(AND(TRIM(AB372)&lt;&gt;"",TRIM(AB372)&lt;&gt;"Closed"),"INVALID – corrective action still open",IF(AND(NOT(OR(LEN(AZ372)&lt;15,ISNUMBER(MATCH(AZ372,L_Placeholder,0)))),BK372=0,CG372&gt;=8,NOT(OR(LEN(AU372)&lt;2,ISNUMBER(MATCH(AU372,L_Placeholder,0)))),BR372&gt;=3,NOT(OR(LEN(AX372)&lt;2,ISNUMBER(MATCH(AX372,L_Placeholder,0)))),BS372&gt;=3,TRIM(AE372)&lt;&gt;TRIM(T372),AX372&lt;&gt;AU372,CE372=0),"N/A – JUSTIFIED","INVALID – N/A needs a real, settled reason (not 'not applicable' / 'as above' / TBC), a named PIC and a different named verifier"))),IF(OR(TRIM(U372)="Pass",TRIM(U372)="Pass after CA"),IF(NOT(ISNUMBER(AD372)),"INVALID – completion time missing",IF(OR(OR(LEN(AU372)&lt;2,ISNUMBER(MATCH(AU372,L_Placeholder,0))),BR372&lt;3),"INVALID – PIC missing or not a named person (a role such as QA / CSM is not a name)",IF(OR(LEN(AV372)&lt;2,ISNUMBER(MATCH(AV372,L_Placeholder,0))),"INVALID – result / assessment missing",IF(OR(OR(LEN(AW372)&lt;3,ISNUMBER(MATCH(AW372,L_Placeholder,0))),SUMPRODUCT(--ISNUMBER(SEARCH(" "&amp;L_EvidencePhrase&amp;" ",BD372)))&gt;0,BI372=1),"INVALID – evidence missing, placeholder or not yet on file",IF(ISNA(MATCH(TRIM(S372),L_EvidenceType,0)),"INVALID – choose the evidence type from the list (column S)",IF(BL372=0,"INVALID – evidence ID must be the record's own ID only (e.g. SF-2210, IMG_2231, 1045521); a link / file name needs type 'Link / file path'",IF(OR(OR(LEN(AX372)&lt;2,ISNUMBER(MATCH(AX372,L_Placeholder,0))),BS372&lt;3),"INVALID – verifier missing or not a named person (a role such as QA / CSM is not a name)",IF(OR(AX372=AU372,CE372=1,AND(LEN(AU372)&gt;=4,ISNUMBER(SEARCH(AU372,AX372))),AND(LEN(AX372)&gt;=4,ISNUMBER(SEARCH(AX372,AU372)))),"INVALID – verifier must be a different, named person (not the PIC or a role)",IF(BH372=1,"INVALID – result not yet available (awaiting / TBC)",IF(BG372=1,"INVALID – result describes a problem: record Fail, then Pass after CA (or reword if it is not a problem)",IF(BV372=1,"INVALID – wording says not on board: an on-board confirmation needs the item loaded",IF(AND(AQ372=1,OR(OR(LEN(AY372)&lt;3,ISNUMBER(MATCH(AY372,L_Placeholder,0))),BJ372=1,BQ372=0)),"INVALID – batch ID missing, placeholder or not an ID (e.g. PASB-261008-BC-017)",IF(AND(AR372=1,OR(NOT(ISNUMBER(X372)),NOT(ISNUMBER(Y372)))),"INVALID – expected/actual qty missing",IF(AND(AR372=1,OR(X372&lt;=0,Y372&lt;0)),"INVALID – expected qty must be above 0 and actual not negative",IF(BB372&lt;&gt;"",BB372,IF(AND(AS372=1,Documents!$J$15&lt;&gt;"ON FILE"),"INVALID – GLD not on file (Documents sheet)",IF(AND(AS372=2,Documents!$O$15&lt;&gt;"ON FILE"),"INVALID – menu checklist not on file (Documents sheet)",IF(AND(AS372=3,NOT(ISNUMBER(Flights!$AX$15))),"INVALID – enter carrying flight KUL departure (Flights AX)",IF(AND(AS372=3,OR(Flights!$AZ$15&gt;Flights!$AA$15,Flights!$AX$15&lt;Flights!$AA$15-3)),"INVALID – carrying flight (Flights AX) cannot arrive before this leg's STD, or is over 3 days early",IF(AG372&gt;AsOfUTC,"INVALID – completion time is in the future",IF(AND(ISNUMBER(BY372),AG372&lt;BY372),IF(H372="Physical uplift","INVALID – before uplift window (cannot confirm loading)","INVALID – before valid window"),IF(AG372&gt;Flights!$AA$15,"INVALID – completed after departure (cannot establish readiness)",IF(AND(H372="Preparation",AG372&gt;=Flights!$AY$15+UpliftWindowH/24),"INVALID – completed after the carrying flight left KUL",IF(AND(H372="Physical uplift",AG372&gt;Q372),"INVALID – recorded after the loading flight departed",IF(AG372&gt;Q372,"COMPLETE – LATE","COMPLETE"))))))))))))))))))))))))),IF(TRIM(U372)="Fail","FAIL – DISCREPANCY",IF(AND(TRIM(U372)&lt;&gt;"",TRIM(U372)&lt;&gt;"Not started",TRIM(U372)&lt;&gt;"In progress"),"INVALID – unrecognised status (use the list)",IF(AsOfUTC&gt;Q372,"OVERDUE",IF(N372="Clarification required","OPEN – CLARIFICATION","OPEN"))))))),"INVALID – error value in an input cell")</f>
        <v>OPEN</v>
      </c>
      <c r="AI372" s="61" t="n">
        <f aca="false">IF(OR(AH372="N/A – RULE",AH372="N/A – JUSTIFIED"),0,1)</f>
        <v>1</v>
      </c>
      <c r="AJ372" s="61" t="n">
        <f aca="false">IF(LEFT(AH372,8)="COMPLETE",1,0)</f>
        <v>0</v>
      </c>
      <c r="AK372" s="61" t="n">
        <f aca="false">IF(AND(AI372=1,AJ372=0,AsOfUTC&gt;Q372),1,0)</f>
        <v>0</v>
      </c>
      <c r="AL372" s="61" t="n">
        <f aca="false">IFERROR(IF(AND(AI372=1,OR(TRIM(U372)="Fail",AND(TRIM(AB372)&lt;&gt;"",TRIM(AB372)&lt;&gt;"Closed"),AND(ISNUMBER(AF372),AF372&lt;&gt;0,TRIM(U372)&lt;&gt;"Pass after CA"))),1,0),1)</f>
        <v>0</v>
      </c>
      <c r="AM372" s="61" t="n">
        <f aca="false">IF(LEFT(AH372,7)="INVALID",1,0)</f>
        <v>0</v>
      </c>
      <c r="AN372" s="61" t="n">
        <f aca="false">IF(AND(N372="Clarification required",AI372=1,AJ372=0),1,0)</f>
        <v>0</v>
      </c>
      <c r="AO372" s="61" t="str">
        <f aca="false">IF(AK372=1,SUM(AK$5:AK372),"")</f>
        <v/>
      </c>
      <c r="AP372" s="61" t="str">
        <f aca="false">IF(AL372=1,SUM(AL$5:AL372),"")</f>
        <v/>
      </c>
      <c r="AQ372" s="61" t="n">
        <v>0</v>
      </c>
      <c r="AR372" s="61" t="n">
        <v>0</v>
      </c>
      <c r="AS372" s="61" t="n">
        <v>0</v>
      </c>
      <c r="AT372" s="61" t="n">
        <v>0</v>
      </c>
      <c r="AU372" s="61" t="str">
        <f aca="false">SUBSTITUTE(SUBSTITUTE(SUBSTITUTE(SUBSTITUTE(SUBSTITUTE(SUBSTITUTE(SUBSTITUTE(SUBSTITUTE(SUBSTITUTE(SUBSTITUTE(SUBSTITUTE(SUBSTITUTE(SUBSTITUTE(SUBSTITUTE(SUBSTITUTE(SUBSTITUTE(LOWER(T372&amp;""),CHAR(10),""),CHAR(13),""),CHAR(9),""),CHAR(160),"")," ",""),".",""),"-",""),"/",""),"?",""),"_",""),",",""),"[",""),"]",""),"(",""),")",""),"*","")</f>
        <v/>
      </c>
      <c r="AV372" s="61" t="str">
        <f aca="false">SUBSTITUTE(SUBSTITUTE(SUBSTITUTE(SUBSTITUTE(SUBSTITUTE(SUBSTITUTE(SUBSTITUTE(SUBSTITUTE(SUBSTITUTE(SUBSTITUTE(SUBSTITUTE(SUBSTITUTE(SUBSTITUTE(SUBSTITUTE(SUBSTITUTE(SUBSTITUTE(LOWER(V372&amp;""),CHAR(10),""),CHAR(13),""),CHAR(9),""),CHAR(160),"")," ",""),".",""),"-",""),"/",""),"?",""),"_",""),",",""),"[",""),"]",""),"(",""),")",""),"*","")</f>
        <v/>
      </c>
      <c r="AW372" s="61" t="str">
        <f aca="false">SUBSTITUTE(SUBSTITUTE(SUBSTITUTE(SUBSTITUTE(SUBSTITUTE(SUBSTITUTE(SUBSTITUTE(SUBSTITUTE(SUBSTITUTE(SUBSTITUTE(SUBSTITUTE(SUBSTITUTE(SUBSTITUTE(SUBSTITUTE(SUBSTITUTE(SUBSTITUTE(LOWER(Z372&amp;""),CHAR(10),""),CHAR(13),""),CHAR(9),""),CHAR(160),"")," ",""),".",""),"-",""),"/",""),"?",""),"_",""),",",""),"[",""),"]",""),"(",""),")",""),"*","")</f>
        <v/>
      </c>
      <c r="AX372" s="61" t="str">
        <f aca="false">SUBSTITUTE(SUBSTITUTE(SUBSTITUTE(SUBSTITUTE(SUBSTITUTE(SUBSTITUTE(SUBSTITUTE(SUBSTITUTE(SUBSTITUTE(SUBSTITUTE(SUBSTITUTE(SUBSTITUTE(SUBSTITUTE(SUBSTITUTE(SUBSTITUTE(SUBSTITUTE(LOWER(AE372&amp;""),CHAR(10),""),CHAR(13),""),CHAR(9),""),CHAR(160),"")," ",""),".",""),"-",""),"/",""),"?",""),"_",""),",",""),"[",""),"]",""),"(",""),")",""),"*","")</f>
        <v/>
      </c>
      <c r="AY372" s="61" t="str">
        <f aca="false">SUBSTITUTE(SUBSTITUTE(SUBSTITUTE(SUBSTITUTE(SUBSTITUTE(SUBSTITUTE(SUBSTITUTE(SUBSTITUTE(SUBSTITUTE(SUBSTITUTE(SUBSTITUTE(SUBSTITUTE(SUBSTITUTE(SUBSTITUTE(SUBSTITUTE(SUBSTITUTE(LOWER(W372&amp;""),CHAR(10),""),CHAR(13),""),CHAR(9),""),CHAR(160),"")," ",""),".",""),"-",""),"/",""),"?",""),"_",""),",",""),"[",""),"]",""),"(",""),")",""),"*","")</f>
        <v/>
      </c>
      <c r="AZ372" s="61" t="str">
        <f aca="false">SUBSTITUTE(SUBSTITUTE(SUBSTITUTE(SUBSTITUTE(SUBSTITUTE(SUBSTITUTE(SUBSTITUTE(SUBSTITUTE(SUBSTITUTE(SUBSTITUTE(SUBSTITUTE(SUBSTITUTE(SUBSTITUTE(SUBSTITUTE(SUBSTITUTE(SUBSTITUTE(LOWER(AC372&amp;""),CHAR(10),""),CHAR(13),""),CHAR(9),""),CHAR(160),"")," ",""),".",""),"-",""),"/",""),"?",""),"_",""),",",""),"[",""),"]",""),"(",""),")",""),"*","")</f>
        <v/>
      </c>
      <c r="BA372" s="61" t="str">
        <f aca="false">SUBSTITUTE(SUBSTITUTE(SUBSTITUTE(SUBSTITUTE(SUBSTITUTE(SUBSTITUTE(SUBSTITUTE(SUBSTITUTE(SUBSTITUTE(SUBSTITUTE(SUBSTITUTE(SUBSTITUTE(SUBSTITUTE(SUBSTITUTE(SUBSTITUTE(SUBSTITUTE(LOWER(AA372&amp;""),CHAR(10),""),CHAR(13),""),CHAR(9),""),CHAR(160),"")," ",""),".",""),"-",""),"/",""),"?",""),"_",""),",",""),"[",""),"]",""),"(",""),")",""),"*","")</f>
        <v/>
      </c>
      <c r="BB372" s="61" t="str">
        <f aca="false">IF(AND(TRIM(U372)="Pass",ISNUMBER(AF372)),IF(AF372&lt;&gt;0,"INVALID – qty variance: use Fail or Pass after CA",""),"")&amp;IF(AND(TRIM(U372)="Pass after CA",ISNUMBER(AF372)),IF(AF372&lt;&gt;0,"INVALID – after the corrective action the actual qty must equal expected (update Actual)",""),"")&amp;IF(AND(TRIM(U372)="Pass",TRIM(AB372)&lt;&gt;"",TRIM(AB372)&lt;&gt;"Closed"),"INVALID – corrective action not closed: use Fail, then Pass after CA","")&amp;IF(AND(LEN(BA372)&gt;=2,ISNA(MATCH(LEFT(BA372,255),L_Placeholder,0)),TRIM(AB372)=""),"INVALID – CA status missing for the recorded corrective action","")&amp;IF(AND(TRIM(U372)="Pass after CA",OR(OR(LEN(BA372)&lt;5,ISNUMBER(MATCH(BA372,L_Placeholder,0))),TRIM(AB372)&lt;&gt;"Closed")),"INVALID – corrective action not recorded/closed","")</f>
        <v/>
      </c>
      <c r="BC372" s="61" t="str">
        <f aca="false">" "&amp;TRIM(SUBSTITUTE(SUBSTITUTE(SUBSTITUTE(SUBSTITUTE(SUBSTITUTE(SUBSTITUTE(SUBSTITUTE(SUBSTITUTE(SUBSTITUTE(SUBSTITUTE(SUBSTITUTE(SUBSTITUTE(SUBSTITUTE(SUBSTITUTE(SUBSTITUTE(SUBSTITUTE(SUBSTITUTE(SUBSTITUTE(SUBSTITUTE(SUBSTITUTE(SUBSTITUTE(SUBSTITUTE(SUBSTITUTE(SUBSTITUTE(LOWER(V372&amp;""),CHAR(10)," "),CHAR(13)," "),CHAR(9)," "),CHAR(160)," "),"."," "),","," "),"-"," "),"/"," "),"("," "),")"," "),":"," "),";"," "),"_"," "),"–"," "),"?"," "),"!"," "),"*"," "),"["," "),"]"," "),"'"," "),"#"," "),"+"," "),"&amp;"," "),"\"," "))&amp;" "</f>
        <v>  </v>
      </c>
      <c r="BD372" s="61" t="str">
        <f aca="false">" "&amp;TRIM(SUBSTITUTE(SUBSTITUTE(SUBSTITUTE(SUBSTITUTE(SUBSTITUTE(SUBSTITUTE(SUBSTITUTE(SUBSTITUTE(SUBSTITUTE(SUBSTITUTE(SUBSTITUTE(SUBSTITUTE(SUBSTITUTE(SUBSTITUTE(SUBSTITUTE(SUBSTITUTE(SUBSTITUTE(SUBSTITUTE(SUBSTITUTE(SUBSTITUTE(SUBSTITUTE(SUBSTITUTE(SUBSTITUTE(SUBSTITUTE(LOWER(Z372&amp;""),CHAR(10)," "),CHAR(13)," "),CHAR(9)," "),CHAR(160)," "),"."," "),","," "),"-"," "),"/"," "),"("," "),")"," "),":"," "),";"," "),"_"," "),"–"," "),"?"," "),"!"," "),"*"," "),"["," "),"]"," "),"'"," "),"#"," "),"+"," "),"&amp;"," "),"\"," "))&amp;" "</f>
        <v>  </v>
      </c>
      <c r="BE372" s="61" t="str">
        <f aca="false">" "&amp;TRIM(SUBSTITUTE(SUBSTITUTE(SUBSTITUTE(SUBSTITUTE(SUBSTITUTE(SUBSTITUTE(SUBSTITUTE(SUBSTITUTE(SUBSTITUTE(SUBSTITUTE(SUBSTITUTE(SUBSTITUTE(SUBSTITUTE(SUBSTITUTE(SUBSTITUTE(SUBSTITUTE(SUBSTITUTE(SUBSTITUTE(SUBSTITUTE(SUBSTITUTE(SUBSTITUTE(SUBSTITUTE(SUBSTITUTE(SUBSTITUTE(LOWER(W372&amp;""),CHAR(10)," "),CHAR(13)," "),CHAR(9)," "),CHAR(160)," "),"."," "),","," "),"-"," "),"/"," "),"("," "),")"," "),":"," "),";"," "),"_"," "),"–"," "),"?"," "),"!"," "),"*"," "),"["," "),"]"," "),"'"," "),"#"," "),"+"," "),"&amp;"," "),"\"," "))&amp;" "</f>
        <v>  </v>
      </c>
      <c r="BF372" s="61" t="str">
        <f aca="false">" "&amp;TRIM(SUBSTITUTE(SUBSTITUTE(SUBSTITUTE(SUBSTITUTE(SUBSTITUTE(SUBSTITUTE(SUBSTITUTE(SUBSTITUTE(SUBSTITUTE(SUBSTITUTE(SUBSTITUTE(SUBSTITUTE(SUBSTITUTE(SUBSTITUTE(SUBSTITUTE(SUBSTITUTE(SUBSTITUTE(SUBSTITUTE(SUBSTITUTE(SUBSTITUTE(SUBSTITUTE(SUBSTITUTE(SUBSTITUTE(SUBSTITUTE(LOWER(AC372&amp;""),CHAR(10)," "),CHAR(13)," "),CHAR(9)," "),CHAR(160)," "),"."," "),","," "),"-"," "),"/"," "),"("," "),")"," "),":"," "),";"," "),"_"," "),"–"," "),"?"," "),"!"," "),"*"," "),"["," "),"]"," "),"'"," "),"#"," "),"+"," "),"&amp;"," "),"\"," "))&amp;" "</f>
        <v>  </v>
      </c>
      <c r="BG372" s="61" t="n">
        <f aca="false">IFERROR(IF(AND(TRIM(U372)="Pass",SUMPRODUCT((LEN(BC372)-LEN(SUBSTITUTE(BC372," "&amp;L_ResultBad&amp;" "," ")))/(LEN(L_ResultBad)+1))&gt;SUMPRODUCT((LEN(BC372)-LEN(SUBSTITUTE(BC372," "&amp;L_NegPhrase&amp;" "," ")))/(LEN(L_NegPhrase)+1))),1,0),0)</f>
        <v>0</v>
      </c>
      <c r="BH372" s="61" t="n">
        <f aca="false">IFERROR(IF(SUMPRODUCT((LEN(BC372)-LEN(SUBSTITUTE(BC372," "&amp;L_Pending&amp;" "," ")))/(LEN(L_Pending)+1))&gt;SUMPRODUCT((LEN(BC372)-LEN(SUBSTITUTE(BC372," "&amp;L_PendNeg&amp;" "," ")))/(LEN(L_PendNeg)+1))+SUMPRODUCT((LEN(BC372)-LEN(SUBSTITUTE(BC372," "&amp;L_PendPrep&amp;" "," ")))/(LEN(L_PendPrep)+1)),1,0),1)</f>
        <v>0</v>
      </c>
      <c r="BI372" s="61" t="n">
        <f aca="false">IFERROR(IF(SUMPRODUCT((LEN(BD372)-LEN(SUBSTITUTE(BD372," "&amp;L_PendStrict&amp;" "," ")))/(LEN(L_PendStrict)+1))&gt;SUMPRODUCT((LEN(BD372)-LEN(SUBSTITUTE(BD372," "&amp;L_PendNeg&amp;" "," ")))/(LEN(L_PendNeg)+1)),1,0),1)</f>
        <v>0</v>
      </c>
      <c r="BJ372" s="61" t="n">
        <f aca="false">IFERROR(IF(SUMPRODUCT((LEN(BE372)-LEN(SUBSTITUTE(BE372," "&amp;L_Pending&amp;" "," ")))/(LEN(L_Pending)+1))&gt;SUMPRODUCT((LEN(BE372)-LEN(SUBSTITUTE(BE372," "&amp;L_PendNeg&amp;" "," ")))/(LEN(L_PendNeg)+1))+SUMPRODUCT((LEN(BE372)-LEN(SUBSTITUTE(BE372," "&amp;L_PendPrep&amp;" "," ")))/(LEN(L_PendPrep)+1)),1,0),1)</f>
        <v>0</v>
      </c>
      <c r="BK372" s="61" t="n">
        <f aca="false">IFERROR(IF(SUMPRODUCT((LEN(BF372)-LEN(SUBSTITUTE(BF372," "&amp;L_PendStrict&amp;" "," ")))/(LEN(L_PendStrict)+1))&gt;SUMPRODUCT((LEN(BF372)-LEN(SUBSTITUTE(BF372," "&amp;L_PendNeg&amp;" "," ")))/(LEN(L_PendNeg)+1)),1,0),1)</f>
        <v>0</v>
      </c>
      <c r="BL372" s="61" t="n">
        <f aca="false">IF(ISNA(MATCH(TRIM(S372),L_EvidenceType,0)),0,BZ372)</f>
        <v>0</v>
      </c>
      <c r="BM372" s="61" t="str">
        <f aca="false">SUBSTITUTE(SUBSTITUTE(SUBSTITUTE(SUBSTITUTE(SUBSTITUTE(SUBSTITUTE(SUBSTITUTE(SUBSTITUTE(SUBSTITUTE(LOWER(Z372&amp;""),"1","0"),"2","0"),"3","0"),"4","0"),"5","0"),"6","0"),"7","0"),"8","0"),"9","0")</f>
        <v/>
      </c>
      <c r="BN372" s="61" t="str">
        <f aca="false">SUBSTITUTE(SUBSTITUTE(SUBSTITUTE(SUBSTITUTE(SUBSTITUTE(SUBSTITUTE(SUBSTITUTE(SUBSTITUTE(SUBSTITUTE(SUBSTITUTE(SUBSTITUTE(SUBSTITUTE(SUBSTITUTE(SUBSTITUTE(SUBSTITUTE(SUBSTITUTE(SUBSTITUTE(SUBSTITUTE(SUBSTITUTE(SUBSTITUTE(SUBSTITUTE(SUBSTITUTE(SUBSTITUTE(SUBSTITUTE(SUBSTITUTE(BM372,"b","a"),"c","a"),"d","a"),"e","a"),"f","a"),"g","a"),"h","a"),"i","a"),"j","a"),"k","a"),"l","a"),"m","a"),"n","a"),"o","a"),"p","a"),"q","a"),"r","a"),"s","a"),"t","a"),"u","a"),"v","a"),"w","a"),"x","a"),"y","a"),"z","a")</f>
        <v/>
      </c>
      <c r="BO372" s="61" t="str">
        <f aca="false">SUBSTITUTE(SUBSTITUTE(SUBSTITUTE(SUBSTITUTE(SUBSTITUTE(SUBSTITUTE(SUBSTITUTE(SUBSTITUTE(SUBSTITUTE(LOWER(W372&amp;""),"1","0"),"2","0"),"3","0"),"4","0"),"5","0"),"6","0"),"7","0"),"8","0"),"9","0")</f>
        <v/>
      </c>
      <c r="BP372" s="61" t="str">
        <f aca="false">SUBSTITUTE(SUBSTITUTE(SUBSTITUTE(SUBSTITUTE(SUBSTITUTE(SUBSTITUTE(SUBSTITUTE(SUBSTITUTE(SUBSTITUTE(SUBSTITUTE(SUBSTITUTE(SUBSTITUTE(SUBSTITUTE(SUBSTITUTE(SUBSTITUTE(SUBSTITUTE(SUBSTITUTE(SUBSTITUTE(SUBSTITUTE(SUBSTITUTE(SUBSTITUTE(SUBSTITUTE(SUBSTITUTE(SUBSTITUTE(SUBSTITUTE(BO372,"b","a"),"c","a"),"d","a"),"e","a"),"f","a"),"g","a"),"h","a"),"i","a"),"j","a"),"k","a"),"l","a"),"m","a"),"n","a"),"o","a"),"p","a"),"q","a"),"r","a"),"s","a"),"t","a"),"u","a"),"v","a"),"w","a"),"x","a"),"y","a"),"z","a")</f>
        <v/>
      </c>
      <c r="BQ372" s="61" t="n">
        <f aca="false">IFERROR(IF(AND(ISERROR(SEARCH(" mh"," "&amp;LOWER(W372))),ISNA(MATCH(LEFT(TRIM(BP372),255),{"0000a","000a","00a","0000aa","000aa","00aa","0aa","0000aaa","000aaa","00a00","0a00","0000-0000","00:00","a00","a0","00.00.0000","00/00/0000","00-00-0000","0000-00-00","0000/00/00","0000.00.00","00.00.00","00/00/00","00-00-00","0.00.0000","0/00/0000","0-00-0000"},0)),ISNA(MATCH(LEFT(TRIM(CA372),255),{"0000a","000a","00a","0000aa","000aa","00aa","0aa","0000aaa","000aaa","00a00","0a00","0000-0000","00:00","a00","a0","00.00.0000","00/00/0000","00-00-0000","0000-00-00","0000/00/00","0000.00.00","00.00.00","00/00/00","00-00-00","0.00.0000","0/00/0000","0-00-0000"},0)),LEN(CB372)&gt;=3,NOT(OR(SUBSTITUTE(CB372,"0","")="",AND(LEN(CB372)&gt;=4,CB372=REPT(LEFT(CB372),LEN(CB372))),ISNUMBER(MATCH(CB372,{"123","1234","12345","123456","1234567","12345678","0123","01234","012345","98765","987654","54321"},0)),AND(LEN(CB372)=8,LEFT(CB372,3)="202"))),OR(AND((LEN(CA372)-LEN(SUBSTITUTE(CA372,"a","")))&gt;=1,SUMPRODUCT(--ISNUMBER(SEARCH({"a0","a-0","a_0","a/0","a.0","a#0","0a","0-a","0_a","0/a"},BP372)))&gt;0),ISNUMBER(SEARCH("000000",BP372)))),1,0),0)</f>
        <v>0</v>
      </c>
      <c r="BR372" s="61" t="n">
        <f aca="false">IFERROR(LEN(SUBSTITUTE(CC372," ",""))-SUMPRODUCT((LEN(CC372)-LEN(SUBSTITUTE(CC372," "&amp;L_Role&amp;" "," ")))/(LEN(L_Role)+1)*LEN(L_Role)),0)</f>
        <v>0</v>
      </c>
      <c r="BS372" s="61" t="n">
        <f aca="false">IFERROR(LEN(SUBSTITUTE(CD372," ",""))-SUMPRODUCT((LEN(CD372)-LEN(SUBSTITUTE(CD372," "&amp;L_Role&amp;" "," ")))/(LEN(L_Role)+1)*LEN(L_Role)),0)</f>
        <v>0</v>
      </c>
      <c r="BT3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372,"revision",""),"version",""),"jan",""),"feb",""),"mar",""),"apr",""),"may",""),"jun",""),"jul",""),"aug",""),"sep",""),"oct",""),"nov",""),"dec",""),"utc",""),"gmt",""),"myt",""),"bst",""),"rev",""),"ver",""),"b","a"),"c","a"),"d","a"),"e","a"),"f","a"),"g","a"),"h","a"),"i","a"),"j","a"),"k","a"),"l","a"),"m","a"),"n","a"),"o","a"),"p","a"),"q","a"),"r","a"),"s","a"),"t","a"),"u","a"),"v","a"),"w","a"),"x","a"),"y","a"),"z","a")</f>
        <v/>
      </c>
      <c r="BU372" s="61" t="str">
        <f aca="false">SUBSTITUTE(SUBSTITUTE(SUBSTITUTE(SUBSTITUTE(SUBSTITUTE(SUBSTITUTE(SUBSTITUTE(SUBSTITUTE(SUBSTITUTE(SUBSTITUTE(LEFT(BM372,FIND("0",BM372&amp;"0")-1),"-",""),"_",""),"/",""),".",""),"#",""),"\\",""),":","")," ",""),"(",""),")","")</f>
        <v/>
      </c>
      <c r="BV372" s="61" t="n">
        <f aca="false">0</f>
        <v>0</v>
      </c>
      <c r="BW3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372&amp;""),"a",""),"b",""),"c",""),"d",""),"e",""),"f",""),"g",""),"h",""),"i",""),"j",""),"k",""),"l",""),"m",""),"n",""),"o",""),"p",""),"q",""),"r",""),"s",""),"t",""),"u",""),"v",""),"w",""),"x",""),"y",""),"z",""),"-",""),"_",""),"/",""),".",""),"#",""),"\\",""),":","")," ",""),"(",""),")","")</f>
        <v/>
      </c>
      <c r="BX372" s="61" t="str">
        <f aca="false">SUBSTITUTE(SUBSTITUTE(SUBSTITUTE(SUBSTITUTE(SUBSTITUTE(SUBSTITUTE(SUBSTITUTE(SUBSTITUTE(SUBSTITUTE(SUBSTITUTE(SUBSTITUTE(BM372,"0",""),"-",""),"_",""),"/",""),".",""),"#",""),"\\",""),":","")," ",""),"(",""),")","")</f>
        <v/>
      </c>
      <c r="BY372" s="62" t="n">
        <f aca="false">Q372-T12EarlyH/24</f>
        <v>46306.3263888889</v>
      </c>
      <c r="BZ372" s="61" t="n">
        <f aca="false">IFERROR(IF(IF(TRIM(S372)="Link / file path",AND(LEN(TRIM(Z372))&gt;=5,SUMPRODUCT(--ISNUMBER(SEARCH({"http","www.","\\",":\",".pdf",".jpg",".jpeg",".png",".heic",".xls",".doc",".msg",".eml",".ppt",".txt",".zip"},Z372)))&gt;0),AND(ISERROR(FIND(" ",TRIM(Z372))),NOT(OR(SUMPRODUCT(--ISNUMBER(FIND({",",";","&amp;","+"},Z372)))&gt;0,SUMPRODUCT(--ISNUMBER(SEARCH({"0/aa","0\\aa"},BN372)))&gt;0)),NOT(SUMPRODUCT(--ISNUMBER(SEARCH({"http","www.","\\",":\",".pdf",".jpg",".jpeg",".png",".heic",".xls",".doc",".msg",".eml",".ppt",".txt",".zip"},Z372)))&gt;0),NOT(LOWER(TRIM(Z372))=LOWER(Flights!$F$15)),ISNA(MATCH(BU372,{"mh","rev","revision","ver","version","v","r","a","b","seat","tray","row","gate","bay","stand","page","pg","item","line","no","cart","galley","flight","flt","table","box","bag","oven","etd","eta","std","sta","atd","ata","qty","pax","x","time","tel","ph","mob","day","wk","week","utc","gmt","myt","lt"},0)),NOT(OR(ISNUMBER(MATCH(LEFT(BN372,255),{"0000a","000a","00a","0000aa","000aa","00aa","0aa","0000aaa","000aaa","00a00","0a00","0000-0000","00:00","a00","a0","00.00.0000","00/00/0000","00-00-0000","0000-00-00","0000/00/00","0000.00.00","00.00.00","00/00/00","00-00-00","0.00.0000","0/00/0000","0-00-0000"},0)),ISNUMBER(MATCH(LEFT(BT372,255),{"0000a","000a","00a","0000aa","000aa","00aa","0aa","0000aaa","000aaa","00a00","0a00","0000-0000","00:00","a00","a0","00.00.0000","00/00/0000","00-00-0000","0000-00-00","0000/00/00","0000.00.00","00.00.00","00/00/00","00-00-00","0.00.0000","0/00/0000","0-00-0000"},0)))),NOT(OR(AND(BW372&lt;&gt;"",SUBSTITUTE(BW372,"0","")=""),AND(LEN(BW372)&gt;=4,BW372=REPT(LEFT(BW372),LEN(BW372))),ISNUMBER(MATCH(BW372,{"123","1234","12345","123456","1234567","12345678","0123","01234","012345","98765","987654","54321"},0)),ISNUMBER(MATCH(BX372,{"x","xx","xxx","xxxx","xxxxx","abc","abcd","nil","na","nan","test","tbc","tba","tbd","dummy","sample","example","eg","zz","zzz","none","null","xyz","qwe","asd","id","ref"},0)),AND(LEN(BW372)=8,BX372="",OR(LEFT(BW372,3)="202",ISNUMBER(MATCH(RIGHT(BW372,4),{"2025","2026","2027"},0)))))),OR(AND((LEN(BT372)-LEN(SUBSTITUTE(BT372,"a","")))&gt;=1,(LEN(BN372)-LEN(SUBSTITUTE(BN372,"0","")))&gt;=2,SUMPRODUCT(--ISNUMBER(SEARCH({"a0","a-0","a_0","a/0","a.0","a#0","0a","0-a","0_a","0/a"},BN372)))&gt;0),AND((LEN(BN372)-LEN(SUBSTITUTE(BN372,"a","")))=0,(LEN(BN372)-LEN(SUBSTITUTE(BN372,"0","")))&gt;=5)))),1,0),0)</f>
        <v>0</v>
      </c>
      <c r="CA3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372,"revision",""),"version",""),"jan",""),"feb",""),"mar",""),"apr",""),"may",""),"jun",""),"jul",""),"aug",""),"sep",""),"oct",""),"nov",""),"dec",""),"utc",""),"gmt",""),"myt",""),"bst",""),"rev",""),"ver",""),"b","a"),"c","a"),"d","a"),"e","a"),"f","a"),"g","a"),"h","a"),"i","a"),"j","a"),"k","a"),"l","a"),"m","a"),"n","a"),"o","a"),"p","a"),"q","a"),"r","a"),"s","a"),"t","a"),"u","a"),"v","a"),"w","a"),"x","a"),"y","a"),"z","a")</f>
        <v/>
      </c>
      <c r="CB3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372&amp;""),"a",""),"b",""),"c",""),"d",""),"e",""),"f",""),"g",""),"h",""),"i",""),"j",""),"k",""),"l",""),"m",""),"n",""),"o",""),"p",""),"q",""),"r",""),"s",""),"t",""),"u",""),"v",""),"w",""),"x",""),"y",""),"z",""),"-",""),"_",""),"/",""),".",""),"#",""),"\\",""),":","")," ",""),"(",""),")","")</f>
        <v/>
      </c>
      <c r="CC372" s="0" t="str">
        <f aca="false">" "&amp;TRIM(SUBSTITUTE(SUBSTITUTE(SUBSTITUTE(SUBSTITUTE(SUBSTITUTE(SUBSTITUTE(SUBSTITUTE(SUBSTITUTE(SUBSTITUTE(SUBSTITUTE(SUBSTITUTE(SUBSTITUTE(SUBSTITUTE(SUBSTITUTE(SUBSTITUTE(SUBSTITUTE(SUBSTITUTE(SUBSTITUTE(SUBSTITUTE(SUBSTITUTE(SUBSTITUTE(SUBSTITUTE(SUBSTITUTE(SUBSTITUTE(LOWER(T372&amp;""),CHAR(10)," "),CHAR(13)," "),CHAR(9)," "),CHAR(160)," "),"."," "),","," "),"-"," "),"/"," "),"("," "),")"," "),":"," "),";"," "),"_"," "),"–"," "),"?"," "),"!"," "),"*"," "),"["," "),"]"," "),"'"," "),"#"," "),"+"," "),"&amp;"," "),"\"," "))&amp;" "</f>
        <v>  </v>
      </c>
      <c r="CD372" s="0" t="str">
        <f aca="false">" "&amp;TRIM(SUBSTITUTE(SUBSTITUTE(SUBSTITUTE(SUBSTITUTE(SUBSTITUTE(SUBSTITUTE(SUBSTITUTE(SUBSTITUTE(SUBSTITUTE(SUBSTITUTE(SUBSTITUTE(SUBSTITUTE(SUBSTITUTE(SUBSTITUTE(SUBSTITUTE(SUBSTITUTE(SUBSTITUTE(SUBSTITUTE(SUBSTITUTE(SUBSTITUTE(SUBSTITUTE(SUBSTITUTE(SUBSTITUTE(SUBSTITUTE(LOWER(AE372&amp;""),CHAR(10)," "),CHAR(13)," "),CHAR(9)," "),CHAR(160)," "),"."," "),","," "),"-"," "),"/"," "),"("," "),")"," "),":"," "),";"," "),"_"," "),"–"," "),"?"," "),"!"," "),"*"," "),"["," "),"]"," "),"'"," "),"#"," "),"+"," "),"&amp;"," "),"\"," "))&amp;" "</f>
        <v>  </v>
      </c>
      <c r="CE372" s="68" t="n">
        <f aca="false">IFERROR(IF(AND(LEN(AU372)&gt;0,LEN(AU372)=LEN(AX372),OR(TRIM(MID(SUBSTITUTE(TRIM(CC372)," ",REPT(" ",60)),1,60))="",ISNUMBER(SEARCH(" "&amp;TRIM(MID(SUBSTITUTE(TRIM(CC372)," ",REPT(" ",60)),1,60))&amp;" ",CD372))),OR(TRIM(MID(SUBSTITUTE(TRIM(CC372)," ",REPT(" ",60)),61,60))="",ISNUMBER(SEARCH(" "&amp;TRIM(MID(SUBSTITUTE(TRIM(CC372)," ",REPT(" ",60)),61,60))&amp;" ",CD372))),OR(TRIM(MID(SUBSTITUTE(TRIM(CC372)," ",REPT(" ",60)),121,60))="",ISNUMBER(SEARCH(" "&amp;TRIM(MID(SUBSTITUTE(TRIM(CC372)," ",REPT(" ",60)),121,60))&amp;" ",CD372)))),1,0),0)</f>
        <v>0</v>
      </c>
      <c r="CG372" s="68" t="n">
        <f aca="false">IFERROR(LEN(SUBSTITUTE(BF372," ",""))-SUMPRODUCT((LEN(BF372)-LEN(SUBSTITUTE(BF372," "&amp;L_NAFiller&amp;" "," ")))/(LEN(L_NAFiller)+1)*LEN(L_NAFiller)),0)</f>
        <v>0</v>
      </c>
    </row>
    <row r="373" customFormat="false" ht="78.75" hidden="false" customHeight="true" outlineLevel="0" collapsed="false">
      <c r="A373" s="57" t="s">
        <v>980</v>
      </c>
      <c r="B373" s="57" t="s">
        <v>258</v>
      </c>
      <c r="C373" s="57" t="str">
        <f aca="false">Flights!$F$15</f>
        <v>MH1149</v>
      </c>
      <c r="D373" s="58" t="n">
        <f aca="false">Flights!$D$15</f>
        <v>46307</v>
      </c>
      <c r="E373" s="57" t="str">
        <f aca="false">Flights!$G$15&amp;"-"&amp;Flights!$H$15</f>
        <v>PEN-KUL</v>
      </c>
      <c r="F373" s="57" t="str">
        <f aca="false">Flights!$K$15</f>
        <v>EY</v>
      </c>
      <c r="G373" s="57" t="s">
        <v>420</v>
      </c>
      <c r="H373" s="57" t="s">
        <v>378</v>
      </c>
      <c r="I373" s="57" t="s">
        <v>428</v>
      </c>
      <c r="J373" s="57" t="s">
        <v>435</v>
      </c>
      <c r="K373" s="67" t="s">
        <v>491</v>
      </c>
      <c r="L373" s="67" t="s">
        <v>422</v>
      </c>
      <c r="M373" s="67"/>
      <c r="N373" s="67" t="s">
        <v>383</v>
      </c>
      <c r="O373" s="67" t="s">
        <v>975</v>
      </c>
      <c r="P373" s="57" t="s">
        <v>187</v>
      </c>
      <c r="Q373" s="59" t="n">
        <f aca="false">ROUND((MIN(Flights!$AE$15,Flights!$AY$15))*1440,0)/1440</f>
        <v>46306.8263888889</v>
      </c>
      <c r="R373" s="59" t="n">
        <f aca="false">Q373+(IF(AND(INDEX(TZ_DSTS,MATCH(P373,TZ_STN,0))&lt;&gt;"",Q373&gt;=INDEX(TZ_DSTS,MATCH(P373,TZ_STN,0)),Q373&lt;INDEX(TZ_DSTE,MATCH(P373,TZ_STN,0))),INDEX(TZ_DST,MATCH(P373,TZ_STN,0)),INDEX(TZ_STD,MATCH(P373,TZ_STN,0))))/24</f>
        <v>46307.1597222222</v>
      </c>
      <c r="S373" s="60"/>
      <c r="T373" s="60"/>
      <c r="U373" s="60"/>
      <c r="V373" s="60"/>
      <c r="W373" s="61"/>
      <c r="X373" s="60"/>
      <c r="Y373" s="60"/>
      <c r="Z373" s="60"/>
      <c r="AA373" s="60"/>
      <c r="AB373" s="60"/>
      <c r="AC373" s="60"/>
      <c r="AD373" s="66"/>
      <c r="AE373" s="60"/>
      <c r="AF373" s="61" t="str">
        <f aca="false">IF(AND(ISNUMBER(X373),ISNUMBER(Y373)),Y373-X373,"")</f>
        <v/>
      </c>
      <c r="AG373" s="62" t="str">
        <f aca="false">IF(ISNUMBER(AD373),AD373-(IF(AND(INDEX(TZ_DSTS,MATCH(P373,TZ_STN,0))&lt;&gt;"",(AD373-INDEX(TZ_STD,MATCH(P373,TZ_STN,0))/24)&gt;=INDEX(TZ_DSTS,MATCH(P373,TZ_STN,0)),(AD373-INDEX(TZ_STD,MATCH(P373,TZ_STN,0))/24)&lt;INDEX(TZ_DSTE,MATCH(P373,TZ_STN,0))),INDEX(TZ_DST,MATCH(P373,TZ_STN,0)),INDEX(TZ_STD,MATCH(P373,TZ_STN,0))))/24,"")</f>
        <v/>
      </c>
      <c r="AH373" s="65" t="str">
        <f aca="false">IFERROR(IF(N373="N/A – rule",IF(OR(TRIM(U373)="",TRIM(U373)="N/A",TRIM(U373)="Not started"),"N/A – RULE","INVALID – this check does not apply to this aircraft: clear the status (or correct the fleet on Flights)"),IF(TRIM(U373)="N/A",IF(AT373=0,"INVALID – N/A not permitted for this check",IF(AND(TRIM(AB373)&lt;&gt;"",TRIM(AB373)&lt;&gt;"Closed"),"INVALID – corrective action still open",IF(AND(NOT(OR(LEN(AZ373)&lt;15,ISNUMBER(MATCH(AZ373,L_Placeholder,0)))),BK373=0,CG373&gt;=8,NOT(OR(LEN(AU373)&lt;2,ISNUMBER(MATCH(AU373,L_Placeholder,0)))),BR373&gt;=3,NOT(OR(LEN(AX373)&lt;2,ISNUMBER(MATCH(AX373,L_Placeholder,0)))),BS373&gt;=3,TRIM(AE373)&lt;&gt;TRIM(T373),AX373&lt;&gt;AU373,CE373=0),"N/A – JUSTIFIED","INVALID – N/A needs a real, settled reason (not 'not applicable' / 'as above' / TBC), a named PIC and a different named verifier"))),IF(OR(TRIM(U373)="Pass",TRIM(U373)="Pass after CA"),IF(NOT(ISNUMBER(AD373)),"INVALID – completion time missing",IF(OR(OR(LEN(AU373)&lt;2,ISNUMBER(MATCH(AU373,L_Placeholder,0))),BR373&lt;3),"INVALID – PIC missing or not a named person (a role such as QA / CSM is not a name)",IF(OR(LEN(AV373)&lt;2,ISNUMBER(MATCH(AV373,L_Placeholder,0))),"INVALID – result / assessment missing",IF(OR(OR(LEN(AW373)&lt;3,ISNUMBER(MATCH(AW373,L_Placeholder,0))),SUMPRODUCT(--ISNUMBER(SEARCH(" "&amp;L_EvidencePhrase&amp;" ",BD373)))&gt;0,BI373=1),"INVALID – evidence missing, placeholder or not yet on file",IF(ISNA(MATCH(TRIM(S373),L_EvidenceType,0)),"INVALID – choose the evidence type from the list (column S)",IF(BL373=0,"INVALID – evidence ID must be the record's own ID only (e.g. SF-2210, IMG_2231, 1045521); a link / file name needs type 'Link / file path'",IF(OR(OR(LEN(AX373)&lt;2,ISNUMBER(MATCH(AX373,L_Placeholder,0))),BS373&lt;3),"INVALID – verifier missing or not a named person (a role such as QA / CSM is not a name)",IF(OR(AX373=AU373,CE373=1,AND(LEN(AU373)&gt;=4,ISNUMBER(SEARCH(AU373,AX373))),AND(LEN(AX373)&gt;=4,ISNUMBER(SEARCH(AX373,AU373)))),"INVALID – verifier must be a different, named person (not the PIC or a role)",IF(BH373=1,"INVALID – result not yet available (awaiting / TBC)",IF(BG373=1,"INVALID – result describes a problem: record Fail, then Pass after CA (or reword if it is not a problem)",IF(BV373=1,"INVALID – wording says not on board: an on-board confirmation needs the item loaded",IF(AND(AQ373=1,OR(OR(LEN(AY373)&lt;3,ISNUMBER(MATCH(AY373,L_Placeholder,0))),BJ373=1,BQ373=0)),"INVALID – batch ID missing, placeholder or not an ID (e.g. PASB-261008-BC-017)",IF(AND(AR373=1,OR(NOT(ISNUMBER(X373)),NOT(ISNUMBER(Y373)))),"INVALID – expected/actual qty missing",IF(AND(AR373=1,OR(X373&lt;=0,Y373&lt;0)),"INVALID – expected qty must be above 0 and actual not negative",IF(BB373&lt;&gt;"",BB373,IF(AND(AS373=1,Documents!$J$15&lt;&gt;"ON FILE"),"INVALID – GLD not on file (Documents sheet)",IF(AND(AS373=2,Documents!$O$15&lt;&gt;"ON FILE"),"INVALID – menu checklist not on file (Documents sheet)",IF(AND(AS373=3,NOT(ISNUMBER(Flights!$AX$15))),"INVALID – enter carrying flight KUL departure (Flights AX)",IF(AND(AS373=3,OR(Flights!$AZ$15&gt;Flights!$AA$15,Flights!$AX$15&lt;Flights!$AA$15-3)),"INVALID – carrying flight (Flights AX) cannot arrive before this leg's STD, or is over 3 days early",IF(AG373&gt;AsOfUTC,"INVALID – completion time is in the future",IF(AND(ISNUMBER(BY373),AG373&lt;BY373),IF(H373="Physical uplift","INVALID – before uplift window (cannot confirm loading)","INVALID – before valid window"),IF(AG373&gt;Flights!$AA$15,"INVALID – completed after departure (cannot establish readiness)",IF(AND(H373="Preparation",AG373&gt;=Flights!$AY$15+UpliftWindowH/24),"INVALID – completed after the carrying flight left KUL",IF(AND(H373="Physical uplift",AG373&gt;Q373),"INVALID – recorded after the loading flight departed",IF(AG373&gt;Q373,"COMPLETE – LATE","COMPLETE"))))))))))))))))))))))))),IF(TRIM(U373)="Fail","FAIL – DISCREPANCY",IF(AND(TRIM(U373)&lt;&gt;"",TRIM(U373)&lt;&gt;"Not started",TRIM(U373)&lt;&gt;"In progress"),"INVALID – unrecognised status (use the list)",IF(AsOfUTC&gt;Q373,"OVERDUE",IF(N373="Clarification required","OPEN – CLARIFICATION","OPEN"))))))),"INVALID – error value in an input cell")</f>
        <v>OPEN</v>
      </c>
      <c r="AI373" s="61" t="n">
        <f aca="false">IF(OR(AH373="N/A – RULE",AH373="N/A – JUSTIFIED"),0,1)</f>
        <v>1</v>
      </c>
      <c r="AJ373" s="61" t="n">
        <f aca="false">IF(LEFT(AH373,8)="COMPLETE",1,0)</f>
        <v>0</v>
      </c>
      <c r="AK373" s="61" t="n">
        <f aca="false">IF(AND(AI373=1,AJ373=0,AsOfUTC&gt;Q373),1,0)</f>
        <v>0</v>
      </c>
      <c r="AL373" s="61" t="n">
        <f aca="false">IFERROR(IF(AND(AI373=1,OR(TRIM(U373)="Fail",AND(TRIM(AB373)&lt;&gt;"",TRIM(AB373)&lt;&gt;"Closed"),AND(ISNUMBER(AF373),AF373&lt;&gt;0,TRIM(U373)&lt;&gt;"Pass after CA"))),1,0),1)</f>
        <v>0</v>
      </c>
      <c r="AM373" s="61" t="n">
        <f aca="false">IF(LEFT(AH373,7)="INVALID",1,0)</f>
        <v>0</v>
      </c>
      <c r="AN373" s="61" t="n">
        <f aca="false">IF(AND(N373="Clarification required",AI373=1,AJ373=0),1,0)</f>
        <v>0</v>
      </c>
      <c r="AO373" s="61" t="str">
        <f aca="false">IF(AK373=1,SUM(AK$5:AK373),"")</f>
        <v/>
      </c>
      <c r="AP373" s="61" t="str">
        <f aca="false">IF(AL373=1,SUM(AL$5:AL373),"")</f>
        <v/>
      </c>
      <c r="AQ373" s="61" t="n">
        <v>0</v>
      </c>
      <c r="AR373" s="61" t="n">
        <v>1</v>
      </c>
      <c r="AS373" s="61" t="n">
        <v>0</v>
      </c>
      <c r="AT373" s="61" t="n">
        <v>0</v>
      </c>
      <c r="AU373" s="61" t="str">
        <f aca="false">SUBSTITUTE(SUBSTITUTE(SUBSTITUTE(SUBSTITUTE(SUBSTITUTE(SUBSTITUTE(SUBSTITUTE(SUBSTITUTE(SUBSTITUTE(SUBSTITUTE(SUBSTITUTE(SUBSTITUTE(SUBSTITUTE(SUBSTITUTE(SUBSTITUTE(SUBSTITUTE(LOWER(T373&amp;""),CHAR(10),""),CHAR(13),""),CHAR(9),""),CHAR(160),"")," ",""),".",""),"-",""),"/",""),"?",""),"_",""),",",""),"[",""),"]",""),"(",""),")",""),"*","")</f>
        <v/>
      </c>
      <c r="AV373" s="61" t="str">
        <f aca="false">SUBSTITUTE(SUBSTITUTE(SUBSTITUTE(SUBSTITUTE(SUBSTITUTE(SUBSTITUTE(SUBSTITUTE(SUBSTITUTE(SUBSTITUTE(SUBSTITUTE(SUBSTITUTE(SUBSTITUTE(SUBSTITUTE(SUBSTITUTE(SUBSTITUTE(SUBSTITUTE(LOWER(V373&amp;""),CHAR(10),""),CHAR(13),""),CHAR(9),""),CHAR(160),"")," ",""),".",""),"-",""),"/",""),"?",""),"_",""),",",""),"[",""),"]",""),"(",""),")",""),"*","")</f>
        <v/>
      </c>
      <c r="AW373" s="61" t="str">
        <f aca="false">SUBSTITUTE(SUBSTITUTE(SUBSTITUTE(SUBSTITUTE(SUBSTITUTE(SUBSTITUTE(SUBSTITUTE(SUBSTITUTE(SUBSTITUTE(SUBSTITUTE(SUBSTITUTE(SUBSTITUTE(SUBSTITUTE(SUBSTITUTE(SUBSTITUTE(SUBSTITUTE(LOWER(Z373&amp;""),CHAR(10),""),CHAR(13),""),CHAR(9),""),CHAR(160),"")," ",""),".",""),"-",""),"/",""),"?",""),"_",""),",",""),"[",""),"]",""),"(",""),")",""),"*","")</f>
        <v/>
      </c>
      <c r="AX373" s="61" t="str">
        <f aca="false">SUBSTITUTE(SUBSTITUTE(SUBSTITUTE(SUBSTITUTE(SUBSTITUTE(SUBSTITUTE(SUBSTITUTE(SUBSTITUTE(SUBSTITUTE(SUBSTITUTE(SUBSTITUTE(SUBSTITUTE(SUBSTITUTE(SUBSTITUTE(SUBSTITUTE(SUBSTITUTE(LOWER(AE373&amp;""),CHAR(10),""),CHAR(13),""),CHAR(9),""),CHAR(160),"")," ",""),".",""),"-",""),"/",""),"?",""),"_",""),",",""),"[",""),"]",""),"(",""),")",""),"*","")</f>
        <v/>
      </c>
      <c r="AY373" s="61" t="str">
        <f aca="false">SUBSTITUTE(SUBSTITUTE(SUBSTITUTE(SUBSTITUTE(SUBSTITUTE(SUBSTITUTE(SUBSTITUTE(SUBSTITUTE(SUBSTITUTE(SUBSTITUTE(SUBSTITUTE(SUBSTITUTE(SUBSTITUTE(SUBSTITUTE(SUBSTITUTE(SUBSTITUTE(LOWER(W373&amp;""),CHAR(10),""),CHAR(13),""),CHAR(9),""),CHAR(160),"")," ",""),".",""),"-",""),"/",""),"?",""),"_",""),",",""),"[",""),"]",""),"(",""),")",""),"*","")</f>
        <v/>
      </c>
      <c r="AZ373" s="61" t="str">
        <f aca="false">SUBSTITUTE(SUBSTITUTE(SUBSTITUTE(SUBSTITUTE(SUBSTITUTE(SUBSTITUTE(SUBSTITUTE(SUBSTITUTE(SUBSTITUTE(SUBSTITUTE(SUBSTITUTE(SUBSTITUTE(SUBSTITUTE(SUBSTITUTE(SUBSTITUTE(SUBSTITUTE(LOWER(AC373&amp;""),CHAR(10),""),CHAR(13),""),CHAR(9),""),CHAR(160),"")," ",""),".",""),"-",""),"/",""),"?",""),"_",""),",",""),"[",""),"]",""),"(",""),")",""),"*","")</f>
        <v/>
      </c>
      <c r="BA373" s="61" t="str">
        <f aca="false">SUBSTITUTE(SUBSTITUTE(SUBSTITUTE(SUBSTITUTE(SUBSTITUTE(SUBSTITUTE(SUBSTITUTE(SUBSTITUTE(SUBSTITUTE(SUBSTITUTE(SUBSTITUTE(SUBSTITUTE(SUBSTITUTE(SUBSTITUTE(SUBSTITUTE(SUBSTITUTE(LOWER(AA373&amp;""),CHAR(10),""),CHAR(13),""),CHAR(9),""),CHAR(160),"")," ",""),".",""),"-",""),"/",""),"?",""),"_",""),",",""),"[",""),"]",""),"(",""),")",""),"*","")</f>
        <v/>
      </c>
      <c r="BB373" s="61" t="str">
        <f aca="false">IF(AND(TRIM(U373)="Pass",ISNUMBER(AF373)),IF(AF373&lt;&gt;0,"INVALID – qty variance: use Fail or Pass after CA",""),"")&amp;IF(AND(TRIM(U373)="Pass after CA",ISNUMBER(AF373)),IF(AF373&lt;&gt;0,"INVALID – after the corrective action the actual qty must equal expected (update Actual)",""),"")&amp;IF(AND(TRIM(U373)="Pass",TRIM(AB373)&lt;&gt;"",TRIM(AB373)&lt;&gt;"Closed"),"INVALID – corrective action not closed: use Fail, then Pass after CA","")&amp;IF(AND(LEN(BA373)&gt;=2,ISNA(MATCH(LEFT(BA373,255),L_Placeholder,0)),TRIM(AB373)=""),"INVALID – CA status missing for the recorded corrective action","")&amp;IF(AND(TRIM(U373)="Pass after CA",OR(OR(LEN(BA373)&lt;5,ISNUMBER(MATCH(BA373,L_Placeholder,0))),TRIM(AB373)&lt;&gt;"Closed")),"INVALID – corrective action not recorded/closed","")</f>
        <v/>
      </c>
      <c r="BC373" s="61" t="str">
        <f aca="false">" "&amp;TRIM(SUBSTITUTE(SUBSTITUTE(SUBSTITUTE(SUBSTITUTE(SUBSTITUTE(SUBSTITUTE(SUBSTITUTE(SUBSTITUTE(SUBSTITUTE(SUBSTITUTE(SUBSTITUTE(SUBSTITUTE(SUBSTITUTE(SUBSTITUTE(SUBSTITUTE(SUBSTITUTE(SUBSTITUTE(SUBSTITUTE(SUBSTITUTE(SUBSTITUTE(SUBSTITUTE(SUBSTITUTE(SUBSTITUTE(SUBSTITUTE(LOWER(V373&amp;""),CHAR(10)," "),CHAR(13)," "),CHAR(9)," "),CHAR(160)," "),"."," "),","," "),"-"," "),"/"," "),"("," "),")"," "),":"," "),";"," "),"_"," "),"–"," "),"?"," "),"!"," "),"*"," "),"["," "),"]"," "),"'"," "),"#"," "),"+"," "),"&amp;"," "),"\"," "))&amp;" "</f>
        <v>  </v>
      </c>
      <c r="BD373" s="61" t="str">
        <f aca="false">" "&amp;TRIM(SUBSTITUTE(SUBSTITUTE(SUBSTITUTE(SUBSTITUTE(SUBSTITUTE(SUBSTITUTE(SUBSTITUTE(SUBSTITUTE(SUBSTITUTE(SUBSTITUTE(SUBSTITUTE(SUBSTITUTE(SUBSTITUTE(SUBSTITUTE(SUBSTITUTE(SUBSTITUTE(SUBSTITUTE(SUBSTITUTE(SUBSTITUTE(SUBSTITUTE(SUBSTITUTE(SUBSTITUTE(SUBSTITUTE(SUBSTITUTE(LOWER(Z373&amp;""),CHAR(10)," "),CHAR(13)," "),CHAR(9)," "),CHAR(160)," "),"."," "),","," "),"-"," "),"/"," "),"("," "),")"," "),":"," "),";"," "),"_"," "),"–"," "),"?"," "),"!"," "),"*"," "),"["," "),"]"," "),"'"," "),"#"," "),"+"," "),"&amp;"," "),"\"," "))&amp;" "</f>
        <v>  </v>
      </c>
      <c r="BE373" s="61" t="str">
        <f aca="false">" "&amp;TRIM(SUBSTITUTE(SUBSTITUTE(SUBSTITUTE(SUBSTITUTE(SUBSTITUTE(SUBSTITUTE(SUBSTITUTE(SUBSTITUTE(SUBSTITUTE(SUBSTITUTE(SUBSTITUTE(SUBSTITUTE(SUBSTITUTE(SUBSTITUTE(SUBSTITUTE(SUBSTITUTE(SUBSTITUTE(SUBSTITUTE(SUBSTITUTE(SUBSTITUTE(SUBSTITUTE(SUBSTITUTE(SUBSTITUTE(SUBSTITUTE(LOWER(W373&amp;""),CHAR(10)," "),CHAR(13)," "),CHAR(9)," "),CHAR(160)," "),"."," "),","," "),"-"," "),"/"," "),"("," "),")"," "),":"," "),";"," "),"_"," "),"–"," "),"?"," "),"!"," "),"*"," "),"["," "),"]"," "),"'"," "),"#"," "),"+"," "),"&amp;"," "),"\"," "))&amp;" "</f>
        <v>  </v>
      </c>
      <c r="BF373" s="61" t="str">
        <f aca="false">" "&amp;TRIM(SUBSTITUTE(SUBSTITUTE(SUBSTITUTE(SUBSTITUTE(SUBSTITUTE(SUBSTITUTE(SUBSTITUTE(SUBSTITUTE(SUBSTITUTE(SUBSTITUTE(SUBSTITUTE(SUBSTITUTE(SUBSTITUTE(SUBSTITUTE(SUBSTITUTE(SUBSTITUTE(SUBSTITUTE(SUBSTITUTE(SUBSTITUTE(SUBSTITUTE(SUBSTITUTE(SUBSTITUTE(SUBSTITUTE(SUBSTITUTE(LOWER(AC373&amp;""),CHAR(10)," "),CHAR(13)," "),CHAR(9)," "),CHAR(160)," "),"."," "),","," "),"-"," "),"/"," "),"("," "),")"," "),":"," "),";"," "),"_"," "),"–"," "),"?"," "),"!"," "),"*"," "),"["," "),"]"," "),"'"," "),"#"," "),"+"," "),"&amp;"," "),"\"," "))&amp;" "</f>
        <v>  </v>
      </c>
      <c r="BG373" s="61" t="n">
        <f aca="false">IFERROR(IF(AND(TRIM(U373)="Pass",SUMPRODUCT((LEN(BC373)-LEN(SUBSTITUTE(BC373," "&amp;L_ResultBad&amp;" "," ")))/(LEN(L_ResultBad)+1))&gt;SUMPRODUCT((LEN(BC373)-LEN(SUBSTITUTE(BC373," "&amp;L_NegPhrase&amp;" "," ")))/(LEN(L_NegPhrase)+1))),1,0),0)</f>
        <v>0</v>
      </c>
      <c r="BH373" s="61" t="n">
        <f aca="false">IFERROR(IF(SUMPRODUCT((LEN(BC373)-LEN(SUBSTITUTE(BC373," "&amp;L_Pending&amp;" "," ")))/(LEN(L_Pending)+1))&gt;SUMPRODUCT((LEN(BC373)-LEN(SUBSTITUTE(BC373," "&amp;L_PendNeg&amp;" "," ")))/(LEN(L_PendNeg)+1))+SUMPRODUCT((LEN(BC373)-LEN(SUBSTITUTE(BC373," "&amp;L_PendPrep&amp;" "," ")))/(LEN(L_PendPrep)+1)),1,0),1)</f>
        <v>0</v>
      </c>
      <c r="BI373" s="61" t="n">
        <f aca="false">IFERROR(IF(SUMPRODUCT((LEN(BD373)-LEN(SUBSTITUTE(BD373," "&amp;L_PendStrict&amp;" "," ")))/(LEN(L_PendStrict)+1))&gt;SUMPRODUCT((LEN(BD373)-LEN(SUBSTITUTE(BD373," "&amp;L_PendNeg&amp;" "," ")))/(LEN(L_PendNeg)+1)),1,0),1)</f>
        <v>0</v>
      </c>
      <c r="BJ373" s="61" t="n">
        <f aca="false">IFERROR(IF(SUMPRODUCT((LEN(BE373)-LEN(SUBSTITUTE(BE373," "&amp;L_Pending&amp;" "," ")))/(LEN(L_Pending)+1))&gt;SUMPRODUCT((LEN(BE373)-LEN(SUBSTITUTE(BE373," "&amp;L_PendNeg&amp;" "," ")))/(LEN(L_PendNeg)+1))+SUMPRODUCT((LEN(BE373)-LEN(SUBSTITUTE(BE373," "&amp;L_PendPrep&amp;" "," ")))/(LEN(L_PendPrep)+1)),1,0),1)</f>
        <v>0</v>
      </c>
      <c r="BK373" s="61" t="n">
        <f aca="false">IFERROR(IF(SUMPRODUCT((LEN(BF373)-LEN(SUBSTITUTE(BF373," "&amp;L_PendStrict&amp;" "," ")))/(LEN(L_PendStrict)+1))&gt;SUMPRODUCT((LEN(BF373)-LEN(SUBSTITUTE(BF373," "&amp;L_PendNeg&amp;" "," ")))/(LEN(L_PendNeg)+1)),1,0),1)</f>
        <v>0</v>
      </c>
      <c r="BL373" s="61" t="n">
        <f aca="false">IF(ISNA(MATCH(TRIM(S373),L_EvidenceType,0)),0,BZ373)</f>
        <v>0</v>
      </c>
      <c r="BM373" s="61" t="str">
        <f aca="false">SUBSTITUTE(SUBSTITUTE(SUBSTITUTE(SUBSTITUTE(SUBSTITUTE(SUBSTITUTE(SUBSTITUTE(SUBSTITUTE(SUBSTITUTE(LOWER(Z373&amp;""),"1","0"),"2","0"),"3","0"),"4","0"),"5","0"),"6","0"),"7","0"),"8","0"),"9","0")</f>
        <v/>
      </c>
      <c r="BN373" s="61" t="str">
        <f aca="false">SUBSTITUTE(SUBSTITUTE(SUBSTITUTE(SUBSTITUTE(SUBSTITUTE(SUBSTITUTE(SUBSTITUTE(SUBSTITUTE(SUBSTITUTE(SUBSTITUTE(SUBSTITUTE(SUBSTITUTE(SUBSTITUTE(SUBSTITUTE(SUBSTITUTE(SUBSTITUTE(SUBSTITUTE(SUBSTITUTE(SUBSTITUTE(SUBSTITUTE(SUBSTITUTE(SUBSTITUTE(SUBSTITUTE(SUBSTITUTE(SUBSTITUTE(BM373,"b","a"),"c","a"),"d","a"),"e","a"),"f","a"),"g","a"),"h","a"),"i","a"),"j","a"),"k","a"),"l","a"),"m","a"),"n","a"),"o","a"),"p","a"),"q","a"),"r","a"),"s","a"),"t","a"),"u","a"),"v","a"),"w","a"),"x","a"),"y","a"),"z","a")</f>
        <v/>
      </c>
      <c r="BO373" s="61" t="str">
        <f aca="false">SUBSTITUTE(SUBSTITUTE(SUBSTITUTE(SUBSTITUTE(SUBSTITUTE(SUBSTITUTE(SUBSTITUTE(SUBSTITUTE(SUBSTITUTE(LOWER(W373&amp;""),"1","0"),"2","0"),"3","0"),"4","0"),"5","0"),"6","0"),"7","0"),"8","0"),"9","0")</f>
        <v/>
      </c>
      <c r="BP373" s="61" t="str">
        <f aca="false">SUBSTITUTE(SUBSTITUTE(SUBSTITUTE(SUBSTITUTE(SUBSTITUTE(SUBSTITUTE(SUBSTITUTE(SUBSTITUTE(SUBSTITUTE(SUBSTITUTE(SUBSTITUTE(SUBSTITUTE(SUBSTITUTE(SUBSTITUTE(SUBSTITUTE(SUBSTITUTE(SUBSTITUTE(SUBSTITUTE(SUBSTITUTE(SUBSTITUTE(SUBSTITUTE(SUBSTITUTE(SUBSTITUTE(SUBSTITUTE(SUBSTITUTE(BO373,"b","a"),"c","a"),"d","a"),"e","a"),"f","a"),"g","a"),"h","a"),"i","a"),"j","a"),"k","a"),"l","a"),"m","a"),"n","a"),"o","a"),"p","a"),"q","a"),"r","a"),"s","a"),"t","a"),"u","a"),"v","a"),"w","a"),"x","a"),"y","a"),"z","a")</f>
        <v/>
      </c>
      <c r="BQ373" s="61" t="n">
        <f aca="false">IFERROR(IF(AND(ISERROR(SEARCH(" mh"," "&amp;LOWER(W373))),ISNA(MATCH(LEFT(TRIM(BP373),255),{"0000a","000a","00a","0000aa","000aa","00aa","0aa","0000aaa","000aaa","00a00","0a00","0000-0000","00:00","a00","a0","00.00.0000","00/00/0000","00-00-0000","0000-00-00","0000/00/00","0000.00.00","00.00.00","00/00/00","00-00-00","0.00.0000","0/00/0000","0-00-0000"},0)),ISNA(MATCH(LEFT(TRIM(CA373),255),{"0000a","000a","00a","0000aa","000aa","00aa","0aa","0000aaa","000aaa","00a00","0a00","0000-0000","00:00","a00","a0","00.00.0000","00/00/0000","00-00-0000","0000-00-00","0000/00/00","0000.00.00","00.00.00","00/00/00","00-00-00","0.00.0000","0/00/0000","0-00-0000"},0)),LEN(CB373)&gt;=3,NOT(OR(SUBSTITUTE(CB373,"0","")="",AND(LEN(CB373)&gt;=4,CB373=REPT(LEFT(CB373),LEN(CB373))),ISNUMBER(MATCH(CB373,{"123","1234","12345","123456","1234567","12345678","0123","01234","012345","98765","987654","54321"},0)),AND(LEN(CB373)=8,LEFT(CB373,3)="202"))),OR(AND((LEN(CA373)-LEN(SUBSTITUTE(CA373,"a","")))&gt;=1,SUMPRODUCT(--ISNUMBER(SEARCH({"a0","a-0","a_0","a/0","a.0","a#0","0a","0-a","0_a","0/a"},BP373)))&gt;0),ISNUMBER(SEARCH("000000",BP373)))),1,0),0)</f>
        <v>0</v>
      </c>
      <c r="BR373" s="61" t="n">
        <f aca="false">IFERROR(LEN(SUBSTITUTE(CC373," ",""))-SUMPRODUCT((LEN(CC373)-LEN(SUBSTITUTE(CC373," "&amp;L_Role&amp;" "," ")))/(LEN(L_Role)+1)*LEN(L_Role)),0)</f>
        <v>0</v>
      </c>
      <c r="BS373" s="61" t="n">
        <f aca="false">IFERROR(LEN(SUBSTITUTE(CD373," ",""))-SUMPRODUCT((LEN(CD373)-LEN(SUBSTITUTE(CD373," "&amp;L_Role&amp;" "," ")))/(LEN(L_Role)+1)*LEN(L_Role)),0)</f>
        <v>0</v>
      </c>
      <c r="BT3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373,"revision",""),"version",""),"jan",""),"feb",""),"mar",""),"apr",""),"may",""),"jun",""),"jul",""),"aug",""),"sep",""),"oct",""),"nov",""),"dec",""),"utc",""),"gmt",""),"myt",""),"bst",""),"rev",""),"ver",""),"b","a"),"c","a"),"d","a"),"e","a"),"f","a"),"g","a"),"h","a"),"i","a"),"j","a"),"k","a"),"l","a"),"m","a"),"n","a"),"o","a"),"p","a"),"q","a"),"r","a"),"s","a"),"t","a"),"u","a"),"v","a"),"w","a"),"x","a"),"y","a"),"z","a")</f>
        <v/>
      </c>
      <c r="BU373" s="61" t="str">
        <f aca="false">SUBSTITUTE(SUBSTITUTE(SUBSTITUTE(SUBSTITUTE(SUBSTITUTE(SUBSTITUTE(SUBSTITUTE(SUBSTITUTE(SUBSTITUTE(SUBSTITUTE(LEFT(BM373,FIND("0",BM373&amp;"0")-1),"-",""),"_",""),"/",""),".",""),"#",""),"\\",""),":","")," ",""),"(",""),")","")</f>
        <v/>
      </c>
      <c r="BV373" s="61" t="n">
        <f aca="false">0</f>
        <v>0</v>
      </c>
      <c r="BW3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373&amp;""),"a",""),"b",""),"c",""),"d",""),"e",""),"f",""),"g",""),"h",""),"i",""),"j",""),"k",""),"l",""),"m",""),"n",""),"o",""),"p",""),"q",""),"r",""),"s",""),"t",""),"u",""),"v",""),"w",""),"x",""),"y",""),"z",""),"-",""),"_",""),"/",""),".",""),"#",""),"\\",""),":","")," ",""),"(",""),")","")</f>
        <v/>
      </c>
      <c r="BX373" s="61" t="str">
        <f aca="false">SUBSTITUTE(SUBSTITUTE(SUBSTITUTE(SUBSTITUTE(SUBSTITUTE(SUBSTITUTE(SUBSTITUTE(SUBSTITUTE(SUBSTITUTE(SUBSTITUTE(SUBSTITUTE(BM373,"0",""),"-",""),"_",""),"/",""),".",""),"#",""),"\\",""),":","")," ",""),"(",""),")","")</f>
        <v/>
      </c>
      <c r="BY373" s="62" t="n">
        <f aca="false">Q373-T12EarlyH/24</f>
        <v>46306.3263888889</v>
      </c>
      <c r="BZ373" s="61" t="n">
        <f aca="false">IFERROR(IF(IF(TRIM(S373)="Link / file path",AND(LEN(TRIM(Z373))&gt;=5,SUMPRODUCT(--ISNUMBER(SEARCH({"http","www.","\\",":\",".pdf",".jpg",".jpeg",".png",".heic",".xls",".doc",".msg",".eml",".ppt",".txt",".zip"},Z373)))&gt;0),AND(ISERROR(FIND(" ",TRIM(Z373))),NOT(OR(SUMPRODUCT(--ISNUMBER(FIND({",",";","&amp;","+"},Z373)))&gt;0,SUMPRODUCT(--ISNUMBER(SEARCH({"0/aa","0\\aa"},BN373)))&gt;0)),NOT(SUMPRODUCT(--ISNUMBER(SEARCH({"http","www.","\\",":\",".pdf",".jpg",".jpeg",".png",".heic",".xls",".doc",".msg",".eml",".ppt",".txt",".zip"},Z373)))&gt;0),NOT(LOWER(TRIM(Z373))=LOWER(Flights!$F$15)),ISNA(MATCH(BU373,{"mh","rev","revision","ver","version","v","r","a","b","seat","tray","row","gate","bay","stand","page","pg","item","line","no","cart","galley","flight","flt","table","box","bag","oven","etd","eta","std","sta","atd","ata","qty","pax","x","time","tel","ph","mob","day","wk","week","utc","gmt","myt","lt"},0)),NOT(OR(ISNUMBER(MATCH(LEFT(BN373,255),{"0000a","000a","00a","0000aa","000aa","00aa","0aa","0000aaa","000aaa","00a00","0a00","0000-0000","00:00","a00","a0","00.00.0000","00/00/0000","00-00-0000","0000-00-00","0000/00/00","0000.00.00","00.00.00","00/00/00","00-00-00","0.00.0000","0/00/0000","0-00-0000"},0)),ISNUMBER(MATCH(LEFT(BT373,255),{"0000a","000a","00a","0000aa","000aa","00aa","0aa","0000aaa","000aaa","00a00","0a00","0000-0000","00:00","a00","a0","00.00.0000","00/00/0000","00-00-0000","0000-00-00","0000/00/00","0000.00.00","00.00.00","00/00/00","00-00-00","0.00.0000","0/00/0000","0-00-0000"},0)))),NOT(OR(AND(BW373&lt;&gt;"",SUBSTITUTE(BW373,"0","")=""),AND(LEN(BW373)&gt;=4,BW373=REPT(LEFT(BW373),LEN(BW373))),ISNUMBER(MATCH(BW373,{"123","1234","12345","123456","1234567","12345678","0123","01234","012345","98765","987654","54321"},0)),ISNUMBER(MATCH(BX373,{"x","xx","xxx","xxxx","xxxxx","abc","abcd","nil","na","nan","test","tbc","tba","tbd","dummy","sample","example","eg","zz","zzz","none","null","xyz","qwe","asd","id","ref"},0)),AND(LEN(BW373)=8,BX373="",OR(LEFT(BW373,3)="202",ISNUMBER(MATCH(RIGHT(BW373,4),{"2025","2026","2027"},0)))))),OR(AND((LEN(BT373)-LEN(SUBSTITUTE(BT373,"a","")))&gt;=1,(LEN(BN373)-LEN(SUBSTITUTE(BN373,"0","")))&gt;=2,SUMPRODUCT(--ISNUMBER(SEARCH({"a0","a-0","a_0","a/0","a.0","a#0","0a","0-a","0_a","0/a"},BN373)))&gt;0),AND((LEN(BN373)-LEN(SUBSTITUTE(BN373,"a","")))=0,(LEN(BN373)-LEN(SUBSTITUTE(BN373,"0","")))&gt;=5)))),1,0),0)</f>
        <v>0</v>
      </c>
      <c r="CA3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373,"revision",""),"version",""),"jan",""),"feb",""),"mar",""),"apr",""),"may",""),"jun",""),"jul",""),"aug",""),"sep",""),"oct",""),"nov",""),"dec",""),"utc",""),"gmt",""),"myt",""),"bst",""),"rev",""),"ver",""),"b","a"),"c","a"),"d","a"),"e","a"),"f","a"),"g","a"),"h","a"),"i","a"),"j","a"),"k","a"),"l","a"),"m","a"),"n","a"),"o","a"),"p","a"),"q","a"),"r","a"),"s","a"),"t","a"),"u","a"),"v","a"),"w","a"),"x","a"),"y","a"),"z","a")</f>
        <v/>
      </c>
      <c r="CB3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373&amp;""),"a",""),"b",""),"c",""),"d",""),"e",""),"f",""),"g",""),"h",""),"i",""),"j",""),"k",""),"l",""),"m",""),"n",""),"o",""),"p",""),"q",""),"r",""),"s",""),"t",""),"u",""),"v",""),"w",""),"x",""),"y",""),"z",""),"-",""),"_",""),"/",""),".",""),"#",""),"\\",""),":","")," ",""),"(",""),")","")</f>
        <v/>
      </c>
      <c r="CC373" s="0" t="str">
        <f aca="false">" "&amp;TRIM(SUBSTITUTE(SUBSTITUTE(SUBSTITUTE(SUBSTITUTE(SUBSTITUTE(SUBSTITUTE(SUBSTITUTE(SUBSTITUTE(SUBSTITUTE(SUBSTITUTE(SUBSTITUTE(SUBSTITUTE(SUBSTITUTE(SUBSTITUTE(SUBSTITUTE(SUBSTITUTE(SUBSTITUTE(SUBSTITUTE(SUBSTITUTE(SUBSTITUTE(SUBSTITUTE(SUBSTITUTE(SUBSTITUTE(SUBSTITUTE(LOWER(T373&amp;""),CHAR(10)," "),CHAR(13)," "),CHAR(9)," "),CHAR(160)," "),"."," "),","," "),"-"," "),"/"," "),"("," "),")"," "),":"," "),";"," "),"_"," "),"–"," "),"?"," "),"!"," "),"*"," "),"["," "),"]"," "),"'"," "),"#"," "),"+"," "),"&amp;"," "),"\"," "))&amp;" "</f>
        <v>  </v>
      </c>
      <c r="CD373" s="0" t="str">
        <f aca="false">" "&amp;TRIM(SUBSTITUTE(SUBSTITUTE(SUBSTITUTE(SUBSTITUTE(SUBSTITUTE(SUBSTITUTE(SUBSTITUTE(SUBSTITUTE(SUBSTITUTE(SUBSTITUTE(SUBSTITUTE(SUBSTITUTE(SUBSTITUTE(SUBSTITUTE(SUBSTITUTE(SUBSTITUTE(SUBSTITUTE(SUBSTITUTE(SUBSTITUTE(SUBSTITUTE(SUBSTITUTE(SUBSTITUTE(SUBSTITUTE(SUBSTITUTE(LOWER(AE373&amp;""),CHAR(10)," "),CHAR(13)," "),CHAR(9)," "),CHAR(160)," "),"."," "),","," "),"-"," "),"/"," "),"("," "),")"," "),":"," "),";"," "),"_"," "),"–"," "),"?"," "),"!"," "),"*"," "),"["," "),"]"," "),"'"," "),"#"," "),"+"," "),"&amp;"," "),"\"," "))&amp;" "</f>
        <v>  </v>
      </c>
      <c r="CE373" s="68" t="n">
        <f aca="false">IFERROR(IF(AND(LEN(AU373)&gt;0,LEN(AU373)=LEN(AX373),OR(TRIM(MID(SUBSTITUTE(TRIM(CC373)," ",REPT(" ",60)),1,60))="",ISNUMBER(SEARCH(" "&amp;TRIM(MID(SUBSTITUTE(TRIM(CC373)," ",REPT(" ",60)),1,60))&amp;" ",CD373))),OR(TRIM(MID(SUBSTITUTE(TRIM(CC373)," ",REPT(" ",60)),61,60))="",ISNUMBER(SEARCH(" "&amp;TRIM(MID(SUBSTITUTE(TRIM(CC373)," ",REPT(" ",60)),61,60))&amp;" ",CD373))),OR(TRIM(MID(SUBSTITUTE(TRIM(CC373)," ",REPT(" ",60)),121,60))="",ISNUMBER(SEARCH(" "&amp;TRIM(MID(SUBSTITUTE(TRIM(CC373)," ",REPT(" ",60)),121,60))&amp;" ",CD373)))),1,0),0)</f>
        <v>0</v>
      </c>
      <c r="CG373" s="68" t="n">
        <f aca="false">IFERROR(LEN(SUBSTITUTE(BF373," ",""))-SUMPRODUCT((LEN(BF373)-LEN(SUBSTITUTE(BF373," "&amp;L_NAFiller&amp;" "," ")))/(LEN(L_NAFiller)+1)*LEN(L_NAFiller)),0)</f>
        <v>0</v>
      </c>
    </row>
    <row r="374" customFormat="false" ht="41.25" hidden="false" customHeight="true" outlineLevel="0" collapsed="false">
      <c r="A374" s="57" t="s">
        <v>981</v>
      </c>
      <c r="B374" s="57" t="s">
        <v>258</v>
      </c>
      <c r="C374" s="57" t="str">
        <f aca="false">Flights!$F$15</f>
        <v>MH1149</v>
      </c>
      <c r="D374" s="58" t="n">
        <f aca="false">Flights!$D$15</f>
        <v>46307</v>
      </c>
      <c r="E374" s="57" t="str">
        <f aca="false">Flights!$G$15&amp;"-"&amp;Flights!$H$15</f>
        <v>PEN-KUL</v>
      </c>
      <c r="F374" s="57" t="str">
        <f aca="false">Flights!$K$15</f>
        <v>EY</v>
      </c>
      <c r="G374" s="57" t="s">
        <v>420</v>
      </c>
      <c r="H374" s="57" t="s">
        <v>378</v>
      </c>
      <c r="I374" s="57" t="s">
        <v>428</v>
      </c>
      <c r="J374" s="57" t="s">
        <v>438</v>
      </c>
      <c r="K374" s="67"/>
      <c r="L374" s="67" t="s">
        <v>422</v>
      </c>
      <c r="M374" s="67"/>
      <c r="N374" s="67" t="s">
        <v>383</v>
      </c>
      <c r="O374" s="67" t="s">
        <v>975</v>
      </c>
      <c r="P374" s="57" t="s">
        <v>187</v>
      </c>
      <c r="Q374" s="59" t="n">
        <f aca="false">ROUND((MIN(Flights!$AE$15,Flights!$AY$15))*1440,0)/1440</f>
        <v>46306.8263888889</v>
      </c>
      <c r="R374" s="59" t="n">
        <f aca="false">Q374+(IF(AND(INDEX(TZ_DSTS,MATCH(P374,TZ_STN,0))&lt;&gt;"",Q374&gt;=INDEX(TZ_DSTS,MATCH(P374,TZ_STN,0)),Q374&lt;INDEX(TZ_DSTE,MATCH(P374,TZ_STN,0))),INDEX(TZ_DST,MATCH(P374,TZ_STN,0)),INDEX(TZ_STD,MATCH(P374,TZ_STN,0))))/24</f>
        <v>46307.1597222222</v>
      </c>
      <c r="S374" s="60"/>
      <c r="T374" s="60"/>
      <c r="U374" s="60"/>
      <c r="V374" s="60"/>
      <c r="W374" s="61"/>
      <c r="X374" s="60"/>
      <c r="Y374" s="60"/>
      <c r="Z374" s="60"/>
      <c r="AA374" s="60"/>
      <c r="AB374" s="60"/>
      <c r="AC374" s="60"/>
      <c r="AD374" s="66"/>
      <c r="AE374" s="60"/>
      <c r="AF374" s="61" t="str">
        <f aca="false">IF(AND(ISNUMBER(X374),ISNUMBER(Y374)),Y374-X374,"")</f>
        <v/>
      </c>
      <c r="AG374" s="62" t="str">
        <f aca="false">IF(ISNUMBER(AD374),AD374-(IF(AND(INDEX(TZ_DSTS,MATCH(P374,TZ_STN,0))&lt;&gt;"",(AD374-INDEX(TZ_STD,MATCH(P374,TZ_STN,0))/24)&gt;=INDEX(TZ_DSTS,MATCH(P374,TZ_STN,0)),(AD374-INDEX(TZ_STD,MATCH(P374,TZ_STN,0))/24)&lt;INDEX(TZ_DSTE,MATCH(P374,TZ_STN,0))),INDEX(TZ_DST,MATCH(P374,TZ_STN,0)),INDEX(TZ_STD,MATCH(P374,TZ_STN,0))))/24,"")</f>
        <v/>
      </c>
      <c r="AH374" s="65" t="str">
        <f aca="false">IFERROR(IF(N374="N/A – rule",IF(OR(TRIM(U374)="",TRIM(U374)="N/A",TRIM(U374)="Not started"),"N/A – RULE","INVALID – this check does not apply to this aircraft: clear the status (or correct the fleet on Flights)"),IF(TRIM(U374)="N/A",IF(AT374=0,"INVALID – N/A not permitted for this check",IF(AND(TRIM(AB374)&lt;&gt;"",TRIM(AB374)&lt;&gt;"Closed"),"INVALID – corrective action still open",IF(AND(NOT(OR(LEN(AZ374)&lt;15,ISNUMBER(MATCH(AZ374,L_Placeholder,0)))),BK374=0,CG374&gt;=8,NOT(OR(LEN(AU374)&lt;2,ISNUMBER(MATCH(AU374,L_Placeholder,0)))),BR374&gt;=3,NOT(OR(LEN(AX374)&lt;2,ISNUMBER(MATCH(AX374,L_Placeholder,0)))),BS374&gt;=3,TRIM(AE374)&lt;&gt;TRIM(T374),AX374&lt;&gt;AU374,CE374=0),"N/A – JUSTIFIED","INVALID – N/A needs a real, settled reason (not 'not applicable' / 'as above' / TBC), a named PIC and a different named verifier"))),IF(OR(TRIM(U374)="Pass",TRIM(U374)="Pass after CA"),IF(NOT(ISNUMBER(AD374)),"INVALID – completion time missing",IF(OR(OR(LEN(AU374)&lt;2,ISNUMBER(MATCH(AU374,L_Placeholder,0))),BR374&lt;3),"INVALID – PIC missing or not a named person (a role such as QA / CSM is not a name)",IF(OR(LEN(AV374)&lt;2,ISNUMBER(MATCH(AV374,L_Placeholder,0))),"INVALID – result / assessment missing",IF(OR(OR(LEN(AW374)&lt;3,ISNUMBER(MATCH(AW374,L_Placeholder,0))),SUMPRODUCT(--ISNUMBER(SEARCH(" "&amp;L_EvidencePhrase&amp;" ",BD374)))&gt;0,BI374=1),"INVALID – evidence missing, placeholder or not yet on file",IF(ISNA(MATCH(TRIM(S374),L_EvidenceType,0)),"INVALID – choose the evidence type from the list (column S)",IF(BL374=0,"INVALID – evidence ID must be the record's own ID only (e.g. SF-2210, IMG_2231, 1045521); a link / file name needs type 'Link / file path'",IF(OR(OR(LEN(AX374)&lt;2,ISNUMBER(MATCH(AX374,L_Placeholder,0))),BS374&lt;3),"INVALID – verifier missing or not a named person (a role such as QA / CSM is not a name)",IF(OR(AX374=AU374,CE374=1,AND(LEN(AU374)&gt;=4,ISNUMBER(SEARCH(AU374,AX374))),AND(LEN(AX374)&gt;=4,ISNUMBER(SEARCH(AX374,AU374)))),"INVALID – verifier must be a different, named person (not the PIC or a role)",IF(BH374=1,"INVALID – result not yet available (awaiting / TBC)",IF(BG374=1,"INVALID – result describes a problem: record Fail, then Pass after CA (or reword if it is not a problem)",IF(BV374=1,"INVALID – wording says not on board: an on-board confirmation needs the item loaded",IF(AND(AQ374=1,OR(OR(LEN(AY374)&lt;3,ISNUMBER(MATCH(AY374,L_Placeholder,0))),BJ374=1,BQ374=0)),"INVALID – batch ID missing, placeholder or not an ID (e.g. PASB-261008-BC-017)",IF(AND(AR374=1,OR(NOT(ISNUMBER(X374)),NOT(ISNUMBER(Y374)))),"INVALID – expected/actual qty missing",IF(AND(AR374=1,OR(X374&lt;=0,Y374&lt;0)),"INVALID – expected qty must be above 0 and actual not negative",IF(BB374&lt;&gt;"",BB374,IF(AND(AS374=1,Documents!$J$15&lt;&gt;"ON FILE"),"INVALID – GLD not on file (Documents sheet)",IF(AND(AS374=2,Documents!$O$15&lt;&gt;"ON FILE"),"INVALID – menu checklist not on file (Documents sheet)",IF(AND(AS374=3,NOT(ISNUMBER(Flights!$AX$15))),"INVALID – enter carrying flight KUL departure (Flights AX)",IF(AND(AS374=3,OR(Flights!$AZ$15&gt;Flights!$AA$15,Flights!$AX$15&lt;Flights!$AA$15-3)),"INVALID – carrying flight (Flights AX) cannot arrive before this leg's STD, or is over 3 days early",IF(AG374&gt;AsOfUTC,"INVALID – completion time is in the future",IF(AND(ISNUMBER(BY374),AG374&lt;BY374),IF(H374="Physical uplift","INVALID – before uplift window (cannot confirm loading)","INVALID – before valid window"),IF(AG374&gt;Flights!$AA$15,"INVALID – completed after departure (cannot establish readiness)",IF(AND(H374="Preparation",AG374&gt;=Flights!$AY$15+UpliftWindowH/24),"INVALID – completed after the carrying flight left KUL",IF(AND(H374="Physical uplift",AG374&gt;Q374),"INVALID – recorded after the loading flight departed",IF(AG374&gt;Q374,"COMPLETE – LATE","COMPLETE"))))))))))))))))))))))))),IF(TRIM(U374)="Fail","FAIL – DISCREPANCY",IF(AND(TRIM(U374)&lt;&gt;"",TRIM(U374)&lt;&gt;"Not started",TRIM(U374)&lt;&gt;"In progress"),"INVALID – unrecognised status (use the list)",IF(AsOfUTC&gt;Q374,"OVERDUE",IF(N374="Clarification required","OPEN – CLARIFICATION","OPEN"))))))),"INVALID – error value in an input cell")</f>
        <v>OPEN</v>
      </c>
      <c r="AI374" s="61" t="n">
        <f aca="false">IF(OR(AH374="N/A – RULE",AH374="N/A – JUSTIFIED"),0,1)</f>
        <v>1</v>
      </c>
      <c r="AJ374" s="61" t="n">
        <f aca="false">IF(LEFT(AH374,8)="COMPLETE",1,0)</f>
        <v>0</v>
      </c>
      <c r="AK374" s="61" t="n">
        <f aca="false">IF(AND(AI374=1,AJ374=0,AsOfUTC&gt;Q374),1,0)</f>
        <v>0</v>
      </c>
      <c r="AL374" s="61" t="n">
        <f aca="false">IFERROR(IF(AND(AI374=1,OR(TRIM(U374)="Fail",AND(TRIM(AB374)&lt;&gt;"",TRIM(AB374)&lt;&gt;"Closed"),AND(ISNUMBER(AF374),AF374&lt;&gt;0,TRIM(U374)&lt;&gt;"Pass after CA"))),1,0),1)</f>
        <v>0</v>
      </c>
      <c r="AM374" s="61" t="n">
        <f aca="false">IF(LEFT(AH374,7)="INVALID",1,0)</f>
        <v>0</v>
      </c>
      <c r="AN374" s="61" t="n">
        <f aca="false">IF(AND(N374="Clarification required",AI374=1,AJ374=0),1,0)</f>
        <v>0</v>
      </c>
      <c r="AO374" s="61" t="str">
        <f aca="false">IF(AK374=1,SUM(AK$5:AK374),"")</f>
        <v/>
      </c>
      <c r="AP374" s="61" t="str">
        <f aca="false">IF(AL374=1,SUM(AL$5:AL374),"")</f>
        <v/>
      </c>
      <c r="AQ374" s="61" t="n">
        <v>0</v>
      </c>
      <c r="AR374" s="61" t="n">
        <v>0</v>
      </c>
      <c r="AS374" s="61" t="n">
        <v>0</v>
      </c>
      <c r="AT374" s="61" t="n">
        <v>0</v>
      </c>
      <c r="AU374" s="61" t="str">
        <f aca="false">SUBSTITUTE(SUBSTITUTE(SUBSTITUTE(SUBSTITUTE(SUBSTITUTE(SUBSTITUTE(SUBSTITUTE(SUBSTITUTE(SUBSTITUTE(SUBSTITUTE(SUBSTITUTE(SUBSTITUTE(SUBSTITUTE(SUBSTITUTE(SUBSTITUTE(SUBSTITUTE(LOWER(T374&amp;""),CHAR(10),""),CHAR(13),""),CHAR(9),""),CHAR(160),"")," ",""),".",""),"-",""),"/",""),"?",""),"_",""),",",""),"[",""),"]",""),"(",""),")",""),"*","")</f>
        <v/>
      </c>
      <c r="AV374" s="61" t="str">
        <f aca="false">SUBSTITUTE(SUBSTITUTE(SUBSTITUTE(SUBSTITUTE(SUBSTITUTE(SUBSTITUTE(SUBSTITUTE(SUBSTITUTE(SUBSTITUTE(SUBSTITUTE(SUBSTITUTE(SUBSTITUTE(SUBSTITUTE(SUBSTITUTE(SUBSTITUTE(SUBSTITUTE(LOWER(V374&amp;""),CHAR(10),""),CHAR(13),""),CHAR(9),""),CHAR(160),"")," ",""),".",""),"-",""),"/",""),"?",""),"_",""),",",""),"[",""),"]",""),"(",""),")",""),"*","")</f>
        <v/>
      </c>
      <c r="AW374" s="61" t="str">
        <f aca="false">SUBSTITUTE(SUBSTITUTE(SUBSTITUTE(SUBSTITUTE(SUBSTITUTE(SUBSTITUTE(SUBSTITUTE(SUBSTITUTE(SUBSTITUTE(SUBSTITUTE(SUBSTITUTE(SUBSTITUTE(SUBSTITUTE(SUBSTITUTE(SUBSTITUTE(SUBSTITUTE(LOWER(Z374&amp;""),CHAR(10),""),CHAR(13),""),CHAR(9),""),CHAR(160),"")," ",""),".",""),"-",""),"/",""),"?",""),"_",""),",",""),"[",""),"]",""),"(",""),")",""),"*","")</f>
        <v/>
      </c>
      <c r="AX374" s="61" t="str">
        <f aca="false">SUBSTITUTE(SUBSTITUTE(SUBSTITUTE(SUBSTITUTE(SUBSTITUTE(SUBSTITUTE(SUBSTITUTE(SUBSTITUTE(SUBSTITUTE(SUBSTITUTE(SUBSTITUTE(SUBSTITUTE(SUBSTITUTE(SUBSTITUTE(SUBSTITUTE(SUBSTITUTE(LOWER(AE374&amp;""),CHAR(10),""),CHAR(13),""),CHAR(9),""),CHAR(160),"")," ",""),".",""),"-",""),"/",""),"?",""),"_",""),",",""),"[",""),"]",""),"(",""),")",""),"*","")</f>
        <v/>
      </c>
      <c r="AY374" s="61" t="str">
        <f aca="false">SUBSTITUTE(SUBSTITUTE(SUBSTITUTE(SUBSTITUTE(SUBSTITUTE(SUBSTITUTE(SUBSTITUTE(SUBSTITUTE(SUBSTITUTE(SUBSTITUTE(SUBSTITUTE(SUBSTITUTE(SUBSTITUTE(SUBSTITUTE(SUBSTITUTE(SUBSTITUTE(LOWER(W374&amp;""),CHAR(10),""),CHAR(13),""),CHAR(9),""),CHAR(160),"")," ",""),".",""),"-",""),"/",""),"?",""),"_",""),",",""),"[",""),"]",""),"(",""),")",""),"*","")</f>
        <v/>
      </c>
      <c r="AZ374" s="61" t="str">
        <f aca="false">SUBSTITUTE(SUBSTITUTE(SUBSTITUTE(SUBSTITUTE(SUBSTITUTE(SUBSTITUTE(SUBSTITUTE(SUBSTITUTE(SUBSTITUTE(SUBSTITUTE(SUBSTITUTE(SUBSTITUTE(SUBSTITUTE(SUBSTITUTE(SUBSTITUTE(SUBSTITUTE(LOWER(AC374&amp;""),CHAR(10),""),CHAR(13),""),CHAR(9),""),CHAR(160),"")," ",""),".",""),"-",""),"/",""),"?",""),"_",""),",",""),"[",""),"]",""),"(",""),")",""),"*","")</f>
        <v/>
      </c>
      <c r="BA374" s="61" t="str">
        <f aca="false">SUBSTITUTE(SUBSTITUTE(SUBSTITUTE(SUBSTITUTE(SUBSTITUTE(SUBSTITUTE(SUBSTITUTE(SUBSTITUTE(SUBSTITUTE(SUBSTITUTE(SUBSTITUTE(SUBSTITUTE(SUBSTITUTE(SUBSTITUTE(SUBSTITUTE(SUBSTITUTE(LOWER(AA374&amp;""),CHAR(10),""),CHAR(13),""),CHAR(9),""),CHAR(160),"")," ",""),".",""),"-",""),"/",""),"?",""),"_",""),",",""),"[",""),"]",""),"(",""),")",""),"*","")</f>
        <v/>
      </c>
      <c r="BB374" s="61" t="str">
        <f aca="false">IF(AND(TRIM(U374)="Pass",ISNUMBER(AF374)),IF(AF374&lt;&gt;0,"INVALID – qty variance: use Fail or Pass after CA",""),"")&amp;IF(AND(TRIM(U374)="Pass after CA",ISNUMBER(AF374)),IF(AF374&lt;&gt;0,"INVALID – after the corrective action the actual qty must equal expected (update Actual)",""),"")&amp;IF(AND(TRIM(U374)="Pass",TRIM(AB374)&lt;&gt;"",TRIM(AB374)&lt;&gt;"Closed"),"INVALID – corrective action not closed: use Fail, then Pass after CA","")&amp;IF(AND(LEN(BA374)&gt;=2,ISNA(MATCH(LEFT(BA374,255),L_Placeholder,0)),TRIM(AB374)=""),"INVALID – CA status missing for the recorded corrective action","")&amp;IF(AND(TRIM(U374)="Pass after CA",OR(OR(LEN(BA374)&lt;5,ISNUMBER(MATCH(BA374,L_Placeholder,0))),TRIM(AB374)&lt;&gt;"Closed")),"INVALID – corrective action not recorded/closed","")</f>
        <v/>
      </c>
      <c r="BC374" s="61" t="str">
        <f aca="false">" "&amp;TRIM(SUBSTITUTE(SUBSTITUTE(SUBSTITUTE(SUBSTITUTE(SUBSTITUTE(SUBSTITUTE(SUBSTITUTE(SUBSTITUTE(SUBSTITUTE(SUBSTITUTE(SUBSTITUTE(SUBSTITUTE(SUBSTITUTE(SUBSTITUTE(SUBSTITUTE(SUBSTITUTE(SUBSTITUTE(SUBSTITUTE(SUBSTITUTE(SUBSTITUTE(SUBSTITUTE(SUBSTITUTE(SUBSTITUTE(SUBSTITUTE(LOWER(V374&amp;""),CHAR(10)," "),CHAR(13)," "),CHAR(9)," "),CHAR(160)," "),"."," "),","," "),"-"," "),"/"," "),"("," "),")"," "),":"," "),";"," "),"_"," "),"–"," "),"?"," "),"!"," "),"*"," "),"["," "),"]"," "),"'"," "),"#"," "),"+"," "),"&amp;"," "),"\"," "))&amp;" "</f>
        <v>  </v>
      </c>
      <c r="BD374" s="61" t="str">
        <f aca="false">" "&amp;TRIM(SUBSTITUTE(SUBSTITUTE(SUBSTITUTE(SUBSTITUTE(SUBSTITUTE(SUBSTITUTE(SUBSTITUTE(SUBSTITUTE(SUBSTITUTE(SUBSTITUTE(SUBSTITUTE(SUBSTITUTE(SUBSTITUTE(SUBSTITUTE(SUBSTITUTE(SUBSTITUTE(SUBSTITUTE(SUBSTITUTE(SUBSTITUTE(SUBSTITUTE(SUBSTITUTE(SUBSTITUTE(SUBSTITUTE(SUBSTITUTE(LOWER(Z374&amp;""),CHAR(10)," "),CHAR(13)," "),CHAR(9)," "),CHAR(160)," "),"."," "),","," "),"-"," "),"/"," "),"("," "),")"," "),":"," "),";"," "),"_"," "),"–"," "),"?"," "),"!"," "),"*"," "),"["," "),"]"," "),"'"," "),"#"," "),"+"," "),"&amp;"," "),"\"," "))&amp;" "</f>
        <v>  </v>
      </c>
      <c r="BE374" s="61" t="str">
        <f aca="false">" "&amp;TRIM(SUBSTITUTE(SUBSTITUTE(SUBSTITUTE(SUBSTITUTE(SUBSTITUTE(SUBSTITUTE(SUBSTITUTE(SUBSTITUTE(SUBSTITUTE(SUBSTITUTE(SUBSTITUTE(SUBSTITUTE(SUBSTITUTE(SUBSTITUTE(SUBSTITUTE(SUBSTITUTE(SUBSTITUTE(SUBSTITUTE(SUBSTITUTE(SUBSTITUTE(SUBSTITUTE(SUBSTITUTE(SUBSTITUTE(SUBSTITUTE(LOWER(W374&amp;""),CHAR(10)," "),CHAR(13)," "),CHAR(9)," "),CHAR(160)," "),"."," "),","," "),"-"," "),"/"," "),"("," "),")"," "),":"," "),";"," "),"_"," "),"–"," "),"?"," "),"!"," "),"*"," "),"["," "),"]"," "),"'"," "),"#"," "),"+"," "),"&amp;"," "),"\"," "))&amp;" "</f>
        <v>  </v>
      </c>
      <c r="BF374" s="61" t="str">
        <f aca="false">" "&amp;TRIM(SUBSTITUTE(SUBSTITUTE(SUBSTITUTE(SUBSTITUTE(SUBSTITUTE(SUBSTITUTE(SUBSTITUTE(SUBSTITUTE(SUBSTITUTE(SUBSTITUTE(SUBSTITUTE(SUBSTITUTE(SUBSTITUTE(SUBSTITUTE(SUBSTITUTE(SUBSTITUTE(SUBSTITUTE(SUBSTITUTE(SUBSTITUTE(SUBSTITUTE(SUBSTITUTE(SUBSTITUTE(SUBSTITUTE(SUBSTITUTE(LOWER(AC374&amp;""),CHAR(10)," "),CHAR(13)," "),CHAR(9)," "),CHAR(160)," "),"."," "),","," "),"-"," "),"/"," "),"("," "),")"," "),":"," "),";"," "),"_"," "),"–"," "),"?"," "),"!"," "),"*"," "),"["," "),"]"," "),"'"," "),"#"," "),"+"," "),"&amp;"," "),"\"," "))&amp;" "</f>
        <v>  </v>
      </c>
      <c r="BG374" s="61" t="n">
        <f aca="false">IFERROR(IF(AND(TRIM(U374)="Pass",SUMPRODUCT((LEN(BC374)-LEN(SUBSTITUTE(BC374," "&amp;L_ResultBad&amp;" "," ")))/(LEN(L_ResultBad)+1))&gt;SUMPRODUCT((LEN(BC374)-LEN(SUBSTITUTE(BC374," "&amp;L_NegPhrase&amp;" "," ")))/(LEN(L_NegPhrase)+1))),1,0),0)</f>
        <v>0</v>
      </c>
      <c r="BH374" s="61" t="n">
        <f aca="false">IFERROR(IF(SUMPRODUCT((LEN(BC374)-LEN(SUBSTITUTE(BC374," "&amp;L_Pending&amp;" "," ")))/(LEN(L_Pending)+1))&gt;SUMPRODUCT((LEN(BC374)-LEN(SUBSTITUTE(BC374," "&amp;L_PendNeg&amp;" "," ")))/(LEN(L_PendNeg)+1))+SUMPRODUCT((LEN(BC374)-LEN(SUBSTITUTE(BC374," "&amp;L_PendPrep&amp;" "," ")))/(LEN(L_PendPrep)+1)),1,0),1)</f>
        <v>0</v>
      </c>
      <c r="BI374" s="61" t="n">
        <f aca="false">IFERROR(IF(SUMPRODUCT((LEN(BD374)-LEN(SUBSTITUTE(BD374," "&amp;L_PendStrict&amp;" "," ")))/(LEN(L_PendStrict)+1))&gt;SUMPRODUCT((LEN(BD374)-LEN(SUBSTITUTE(BD374," "&amp;L_PendNeg&amp;" "," ")))/(LEN(L_PendNeg)+1)),1,0),1)</f>
        <v>0</v>
      </c>
      <c r="BJ374" s="61" t="n">
        <f aca="false">IFERROR(IF(SUMPRODUCT((LEN(BE374)-LEN(SUBSTITUTE(BE374," "&amp;L_Pending&amp;" "," ")))/(LEN(L_Pending)+1))&gt;SUMPRODUCT((LEN(BE374)-LEN(SUBSTITUTE(BE374," "&amp;L_PendNeg&amp;" "," ")))/(LEN(L_PendNeg)+1))+SUMPRODUCT((LEN(BE374)-LEN(SUBSTITUTE(BE374," "&amp;L_PendPrep&amp;" "," ")))/(LEN(L_PendPrep)+1)),1,0),1)</f>
        <v>0</v>
      </c>
      <c r="BK374" s="61" t="n">
        <f aca="false">IFERROR(IF(SUMPRODUCT((LEN(BF374)-LEN(SUBSTITUTE(BF374," "&amp;L_PendStrict&amp;" "," ")))/(LEN(L_PendStrict)+1))&gt;SUMPRODUCT((LEN(BF374)-LEN(SUBSTITUTE(BF374," "&amp;L_PendNeg&amp;" "," ")))/(LEN(L_PendNeg)+1)),1,0),1)</f>
        <v>0</v>
      </c>
      <c r="BL374" s="61" t="n">
        <f aca="false">IF(ISNA(MATCH(TRIM(S374),L_EvidenceType,0)),0,BZ374)</f>
        <v>0</v>
      </c>
      <c r="BM374" s="61" t="str">
        <f aca="false">SUBSTITUTE(SUBSTITUTE(SUBSTITUTE(SUBSTITUTE(SUBSTITUTE(SUBSTITUTE(SUBSTITUTE(SUBSTITUTE(SUBSTITUTE(LOWER(Z374&amp;""),"1","0"),"2","0"),"3","0"),"4","0"),"5","0"),"6","0"),"7","0"),"8","0"),"9","0")</f>
        <v/>
      </c>
      <c r="BN374" s="61" t="str">
        <f aca="false">SUBSTITUTE(SUBSTITUTE(SUBSTITUTE(SUBSTITUTE(SUBSTITUTE(SUBSTITUTE(SUBSTITUTE(SUBSTITUTE(SUBSTITUTE(SUBSTITUTE(SUBSTITUTE(SUBSTITUTE(SUBSTITUTE(SUBSTITUTE(SUBSTITUTE(SUBSTITUTE(SUBSTITUTE(SUBSTITUTE(SUBSTITUTE(SUBSTITUTE(SUBSTITUTE(SUBSTITUTE(SUBSTITUTE(SUBSTITUTE(SUBSTITUTE(BM374,"b","a"),"c","a"),"d","a"),"e","a"),"f","a"),"g","a"),"h","a"),"i","a"),"j","a"),"k","a"),"l","a"),"m","a"),"n","a"),"o","a"),"p","a"),"q","a"),"r","a"),"s","a"),"t","a"),"u","a"),"v","a"),"w","a"),"x","a"),"y","a"),"z","a")</f>
        <v/>
      </c>
      <c r="BO374" s="61" t="str">
        <f aca="false">SUBSTITUTE(SUBSTITUTE(SUBSTITUTE(SUBSTITUTE(SUBSTITUTE(SUBSTITUTE(SUBSTITUTE(SUBSTITUTE(SUBSTITUTE(LOWER(W374&amp;""),"1","0"),"2","0"),"3","0"),"4","0"),"5","0"),"6","0"),"7","0"),"8","0"),"9","0")</f>
        <v/>
      </c>
      <c r="BP374" s="61" t="str">
        <f aca="false">SUBSTITUTE(SUBSTITUTE(SUBSTITUTE(SUBSTITUTE(SUBSTITUTE(SUBSTITUTE(SUBSTITUTE(SUBSTITUTE(SUBSTITUTE(SUBSTITUTE(SUBSTITUTE(SUBSTITUTE(SUBSTITUTE(SUBSTITUTE(SUBSTITUTE(SUBSTITUTE(SUBSTITUTE(SUBSTITUTE(SUBSTITUTE(SUBSTITUTE(SUBSTITUTE(SUBSTITUTE(SUBSTITUTE(SUBSTITUTE(SUBSTITUTE(BO374,"b","a"),"c","a"),"d","a"),"e","a"),"f","a"),"g","a"),"h","a"),"i","a"),"j","a"),"k","a"),"l","a"),"m","a"),"n","a"),"o","a"),"p","a"),"q","a"),"r","a"),"s","a"),"t","a"),"u","a"),"v","a"),"w","a"),"x","a"),"y","a"),"z","a")</f>
        <v/>
      </c>
      <c r="BQ374" s="61" t="n">
        <f aca="false">IFERROR(IF(AND(ISERROR(SEARCH(" mh"," "&amp;LOWER(W374))),ISNA(MATCH(LEFT(TRIM(BP374),255),{"0000a","000a","00a","0000aa","000aa","00aa","0aa","0000aaa","000aaa","00a00","0a00","0000-0000","00:00","a00","a0","00.00.0000","00/00/0000","00-00-0000","0000-00-00","0000/00/00","0000.00.00","00.00.00","00/00/00","00-00-00","0.00.0000","0/00/0000","0-00-0000"},0)),ISNA(MATCH(LEFT(TRIM(CA374),255),{"0000a","000a","00a","0000aa","000aa","00aa","0aa","0000aaa","000aaa","00a00","0a00","0000-0000","00:00","a00","a0","00.00.0000","00/00/0000","00-00-0000","0000-00-00","0000/00/00","0000.00.00","00.00.00","00/00/00","00-00-00","0.00.0000","0/00/0000","0-00-0000"},0)),LEN(CB374)&gt;=3,NOT(OR(SUBSTITUTE(CB374,"0","")="",AND(LEN(CB374)&gt;=4,CB374=REPT(LEFT(CB374),LEN(CB374))),ISNUMBER(MATCH(CB374,{"123","1234","12345","123456","1234567","12345678","0123","01234","012345","98765","987654","54321"},0)),AND(LEN(CB374)=8,LEFT(CB374,3)="202"))),OR(AND((LEN(CA374)-LEN(SUBSTITUTE(CA374,"a","")))&gt;=1,SUMPRODUCT(--ISNUMBER(SEARCH({"a0","a-0","a_0","a/0","a.0","a#0","0a","0-a","0_a","0/a"},BP374)))&gt;0),ISNUMBER(SEARCH("000000",BP374)))),1,0),0)</f>
        <v>0</v>
      </c>
      <c r="BR374" s="61" t="n">
        <f aca="false">IFERROR(LEN(SUBSTITUTE(CC374," ",""))-SUMPRODUCT((LEN(CC374)-LEN(SUBSTITUTE(CC374," "&amp;L_Role&amp;" "," ")))/(LEN(L_Role)+1)*LEN(L_Role)),0)</f>
        <v>0</v>
      </c>
      <c r="BS374" s="61" t="n">
        <f aca="false">IFERROR(LEN(SUBSTITUTE(CD374," ",""))-SUMPRODUCT((LEN(CD374)-LEN(SUBSTITUTE(CD374," "&amp;L_Role&amp;" "," ")))/(LEN(L_Role)+1)*LEN(L_Role)),0)</f>
        <v>0</v>
      </c>
      <c r="BT3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374,"revision",""),"version",""),"jan",""),"feb",""),"mar",""),"apr",""),"may",""),"jun",""),"jul",""),"aug",""),"sep",""),"oct",""),"nov",""),"dec",""),"utc",""),"gmt",""),"myt",""),"bst",""),"rev",""),"ver",""),"b","a"),"c","a"),"d","a"),"e","a"),"f","a"),"g","a"),"h","a"),"i","a"),"j","a"),"k","a"),"l","a"),"m","a"),"n","a"),"o","a"),"p","a"),"q","a"),"r","a"),"s","a"),"t","a"),"u","a"),"v","a"),"w","a"),"x","a"),"y","a"),"z","a")</f>
        <v/>
      </c>
      <c r="BU374" s="61" t="str">
        <f aca="false">SUBSTITUTE(SUBSTITUTE(SUBSTITUTE(SUBSTITUTE(SUBSTITUTE(SUBSTITUTE(SUBSTITUTE(SUBSTITUTE(SUBSTITUTE(SUBSTITUTE(LEFT(BM374,FIND("0",BM374&amp;"0")-1),"-",""),"_",""),"/",""),".",""),"#",""),"\\",""),":","")," ",""),"(",""),")","")</f>
        <v/>
      </c>
      <c r="BV374" s="61" t="n">
        <f aca="false">0</f>
        <v>0</v>
      </c>
      <c r="BW3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374&amp;""),"a",""),"b",""),"c",""),"d",""),"e",""),"f",""),"g",""),"h",""),"i",""),"j",""),"k",""),"l",""),"m",""),"n",""),"o",""),"p",""),"q",""),"r",""),"s",""),"t",""),"u",""),"v",""),"w",""),"x",""),"y",""),"z",""),"-",""),"_",""),"/",""),".",""),"#",""),"\\",""),":","")," ",""),"(",""),")","")</f>
        <v/>
      </c>
      <c r="BX374" s="61" t="str">
        <f aca="false">SUBSTITUTE(SUBSTITUTE(SUBSTITUTE(SUBSTITUTE(SUBSTITUTE(SUBSTITUTE(SUBSTITUTE(SUBSTITUTE(SUBSTITUTE(SUBSTITUTE(SUBSTITUTE(BM374,"0",""),"-",""),"_",""),"/",""),".",""),"#",""),"\\",""),":","")," ",""),"(",""),")","")</f>
        <v/>
      </c>
      <c r="BY374" s="62" t="n">
        <f aca="false">Q374-T12EarlyH/24</f>
        <v>46306.3263888889</v>
      </c>
      <c r="BZ374" s="61" t="n">
        <f aca="false">IFERROR(IF(IF(TRIM(S374)="Link / file path",AND(LEN(TRIM(Z374))&gt;=5,SUMPRODUCT(--ISNUMBER(SEARCH({"http","www.","\\",":\",".pdf",".jpg",".jpeg",".png",".heic",".xls",".doc",".msg",".eml",".ppt",".txt",".zip"},Z374)))&gt;0),AND(ISERROR(FIND(" ",TRIM(Z374))),NOT(OR(SUMPRODUCT(--ISNUMBER(FIND({",",";","&amp;","+"},Z374)))&gt;0,SUMPRODUCT(--ISNUMBER(SEARCH({"0/aa","0\\aa"},BN374)))&gt;0)),NOT(SUMPRODUCT(--ISNUMBER(SEARCH({"http","www.","\\",":\",".pdf",".jpg",".jpeg",".png",".heic",".xls",".doc",".msg",".eml",".ppt",".txt",".zip"},Z374)))&gt;0),NOT(LOWER(TRIM(Z374))=LOWER(Flights!$F$15)),ISNA(MATCH(BU374,{"mh","rev","revision","ver","version","v","r","a","b","seat","tray","row","gate","bay","stand","page","pg","item","line","no","cart","galley","flight","flt","table","box","bag","oven","etd","eta","std","sta","atd","ata","qty","pax","x","time","tel","ph","mob","day","wk","week","utc","gmt","myt","lt"},0)),NOT(OR(ISNUMBER(MATCH(LEFT(BN374,255),{"0000a","000a","00a","0000aa","000aa","00aa","0aa","0000aaa","000aaa","00a00","0a00","0000-0000","00:00","a00","a0","00.00.0000","00/00/0000","00-00-0000","0000-00-00","0000/00/00","0000.00.00","00.00.00","00/00/00","00-00-00","0.00.0000","0/00/0000","0-00-0000"},0)),ISNUMBER(MATCH(LEFT(BT374,255),{"0000a","000a","00a","0000aa","000aa","00aa","0aa","0000aaa","000aaa","00a00","0a00","0000-0000","00:00","a00","a0","00.00.0000","00/00/0000","00-00-0000","0000-00-00","0000/00/00","0000.00.00","00.00.00","00/00/00","00-00-00","0.00.0000","0/00/0000","0-00-0000"},0)))),NOT(OR(AND(BW374&lt;&gt;"",SUBSTITUTE(BW374,"0","")=""),AND(LEN(BW374)&gt;=4,BW374=REPT(LEFT(BW374),LEN(BW374))),ISNUMBER(MATCH(BW374,{"123","1234","12345","123456","1234567","12345678","0123","01234","012345","98765","987654","54321"},0)),ISNUMBER(MATCH(BX374,{"x","xx","xxx","xxxx","xxxxx","abc","abcd","nil","na","nan","test","tbc","tba","tbd","dummy","sample","example","eg","zz","zzz","none","null","xyz","qwe","asd","id","ref"},0)),AND(LEN(BW374)=8,BX374="",OR(LEFT(BW374,3)="202",ISNUMBER(MATCH(RIGHT(BW374,4),{"2025","2026","2027"},0)))))),OR(AND((LEN(BT374)-LEN(SUBSTITUTE(BT374,"a","")))&gt;=1,(LEN(BN374)-LEN(SUBSTITUTE(BN374,"0","")))&gt;=2,SUMPRODUCT(--ISNUMBER(SEARCH({"a0","a-0","a_0","a/0","a.0","a#0","0a","0-a","0_a","0/a"},BN374)))&gt;0),AND((LEN(BN374)-LEN(SUBSTITUTE(BN374,"a","")))=0,(LEN(BN374)-LEN(SUBSTITUTE(BN374,"0","")))&gt;=5)))),1,0),0)</f>
        <v>0</v>
      </c>
      <c r="CA3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374,"revision",""),"version",""),"jan",""),"feb",""),"mar",""),"apr",""),"may",""),"jun",""),"jul",""),"aug",""),"sep",""),"oct",""),"nov",""),"dec",""),"utc",""),"gmt",""),"myt",""),"bst",""),"rev",""),"ver",""),"b","a"),"c","a"),"d","a"),"e","a"),"f","a"),"g","a"),"h","a"),"i","a"),"j","a"),"k","a"),"l","a"),"m","a"),"n","a"),"o","a"),"p","a"),"q","a"),"r","a"),"s","a"),"t","a"),"u","a"),"v","a"),"w","a"),"x","a"),"y","a"),"z","a")</f>
        <v/>
      </c>
      <c r="CB3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374&amp;""),"a",""),"b",""),"c",""),"d",""),"e",""),"f",""),"g",""),"h",""),"i",""),"j",""),"k",""),"l",""),"m",""),"n",""),"o",""),"p",""),"q",""),"r",""),"s",""),"t",""),"u",""),"v",""),"w",""),"x",""),"y",""),"z",""),"-",""),"_",""),"/",""),".",""),"#",""),"\\",""),":","")," ",""),"(",""),")","")</f>
        <v/>
      </c>
      <c r="CC374" s="0" t="str">
        <f aca="false">" "&amp;TRIM(SUBSTITUTE(SUBSTITUTE(SUBSTITUTE(SUBSTITUTE(SUBSTITUTE(SUBSTITUTE(SUBSTITUTE(SUBSTITUTE(SUBSTITUTE(SUBSTITUTE(SUBSTITUTE(SUBSTITUTE(SUBSTITUTE(SUBSTITUTE(SUBSTITUTE(SUBSTITUTE(SUBSTITUTE(SUBSTITUTE(SUBSTITUTE(SUBSTITUTE(SUBSTITUTE(SUBSTITUTE(SUBSTITUTE(SUBSTITUTE(LOWER(T374&amp;""),CHAR(10)," "),CHAR(13)," "),CHAR(9)," "),CHAR(160)," "),"."," "),","," "),"-"," "),"/"," "),"("," "),")"," "),":"," "),";"," "),"_"," "),"–"," "),"?"," "),"!"," "),"*"," "),"["," "),"]"," "),"'"," "),"#"," "),"+"," "),"&amp;"," "),"\"," "))&amp;" "</f>
        <v>  </v>
      </c>
      <c r="CD374" s="0" t="str">
        <f aca="false">" "&amp;TRIM(SUBSTITUTE(SUBSTITUTE(SUBSTITUTE(SUBSTITUTE(SUBSTITUTE(SUBSTITUTE(SUBSTITUTE(SUBSTITUTE(SUBSTITUTE(SUBSTITUTE(SUBSTITUTE(SUBSTITUTE(SUBSTITUTE(SUBSTITUTE(SUBSTITUTE(SUBSTITUTE(SUBSTITUTE(SUBSTITUTE(SUBSTITUTE(SUBSTITUTE(SUBSTITUTE(SUBSTITUTE(SUBSTITUTE(SUBSTITUTE(LOWER(AE374&amp;""),CHAR(10)," "),CHAR(13)," "),CHAR(9)," "),CHAR(160)," "),"."," "),","," "),"-"," "),"/"," "),"("," "),")"," "),":"," "),";"," "),"_"," "),"–"," "),"?"," "),"!"," "),"*"," "),"["," "),"]"," "),"'"," "),"#"," "),"+"," "),"&amp;"," "),"\"," "))&amp;" "</f>
        <v>  </v>
      </c>
      <c r="CE374" s="68" t="n">
        <f aca="false">IFERROR(IF(AND(LEN(AU374)&gt;0,LEN(AU374)=LEN(AX374),OR(TRIM(MID(SUBSTITUTE(TRIM(CC374)," ",REPT(" ",60)),1,60))="",ISNUMBER(SEARCH(" "&amp;TRIM(MID(SUBSTITUTE(TRIM(CC374)," ",REPT(" ",60)),1,60))&amp;" ",CD374))),OR(TRIM(MID(SUBSTITUTE(TRIM(CC374)," ",REPT(" ",60)),61,60))="",ISNUMBER(SEARCH(" "&amp;TRIM(MID(SUBSTITUTE(TRIM(CC374)," ",REPT(" ",60)),61,60))&amp;" ",CD374))),OR(TRIM(MID(SUBSTITUTE(TRIM(CC374)," ",REPT(" ",60)),121,60))="",ISNUMBER(SEARCH(" "&amp;TRIM(MID(SUBSTITUTE(TRIM(CC374)," ",REPT(" ",60)),121,60))&amp;" ",CD374)))),1,0),0)</f>
        <v>0</v>
      </c>
      <c r="CG374" s="68" t="n">
        <f aca="false">IFERROR(LEN(SUBSTITUTE(BF374," ",""))-SUMPRODUCT((LEN(BF374)-LEN(SUBSTITUTE(BF374," "&amp;L_NAFiller&amp;" "," ")))/(LEN(L_NAFiller)+1)*LEN(L_NAFiller)),0)</f>
        <v>0</v>
      </c>
    </row>
    <row r="375" customFormat="false" ht="66" hidden="false" customHeight="true" outlineLevel="0" collapsed="false">
      <c r="A375" s="57" t="s">
        <v>982</v>
      </c>
      <c r="B375" s="57" t="s">
        <v>258</v>
      </c>
      <c r="C375" s="57" t="str">
        <f aca="false">Flights!$F$15</f>
        <v>MH1149</v>
      </c>
      <c r="D375" s="58" t="n">
        <f aca="false">Flights!$D$15</f>
        <v>46307</v>
      </c>
      <c r="E375" s="57" t="str">
        <f aca="false">Flights!$G$15&amp;"-"&amp;Flights!$H$15</f>
        <v>PEN-KUL</v>
      </c>
      <c r="F375" s="57" t="str">
        <f aca="false">Flights!$K$15</f>
        <v>EY</v>
      </c>
      <c r="G375" s="57" t="s">
        <v>420</v>
      </c>
      <c r="H375" s="57" t="s">
        <v>378</v>
      </c>
      <c r="I375" s="57" t="s">
        <v>447</v>
      </c>
      <c r="J375" s="57" t="s">
        <v>448</v>
      </c>
      <c r="K375" s="67" t="s">
        <v>449</v>
      </c>
      <c r="L375" s="67" t="s">
        <v>983</v>
      </c>
      <c r="M375" s="67" t="s">
        <v>451</v>
      </c>
      <c r="N375" s="67" t="s">
        <v>383</v>
      </c>
      <c r="O375" s="67" t="s">
        <v>984</v>
      </c>
      <c r="P375" s="57" t="s">
        <v>187</v>
      </c>
      <c r="Q375" s="59" t="n">
        <f aca="false">ROUND((MIN(Flights!$AE$15,Flights!$AY$15))*1440,0)/1440</f>
        <v>46306.8263888889</v>
      </c>
      <c r="R375" s="59" t="n">
        <f aca="false">Q375+(IF(AND(INDEX(TZ_DSTS,MATCH(P375,TZ_STN,0))&lt;&gt;"",Q375&gt;=INDEX(TZ_DSTS,MATCH(P375,TZ_STN,0)),Q375&lt;INDEX(TZ_DSTE,MATCH(P375,TZ_STN,0))),INDEX(TZ_DST,MATCH(P375,TZ_STN,0)),INDEX(TZ_STD,MATCH(P375,TZ_STN,0))))/24</f>
        <v>46307.1597222222</v>
      </c>
      <c r="S375" s="60"/>
      <c r="T375" s="60"/>
      <c r="U375" s="60"/>
      <c r="V375" s="60"/>
      <c r="W375" s="61"/>
      <c r="X375" s="60"/>
      <c r="Y375" s="60"/>
      <c r="Z375" s="60"/>
      <c r="AA375" s="60"/>
      <c r="AB375" s="60"/>
      <c r="AC375" s="60"/>
      <c r="AD375" s="66"/>
      <c r="AE375" s="60"/>
      <c r="AF375" s="61" t="str">
        <f aca="false">IF(AND(ISNUMBER(X375),ISNUMBER(Y375)),Y375-X375,"")</f>
        <v/>
      </c>
      <c r="AG375" s="62" t="str">
        <f aca="false">IF(ISNUMBER(AD375),AD375-(IF(AND(INDEX(TZ_DSTS,MATCH(P375,TZ_STN,0))&lt;&gt;"",(AD375-INDEX(TZ_STD,MATCH(P375,TZ_STN,0))/24)&gt;=INDEX(TZ_DSTS,MATCH(P375,TZ_STN,0)),(AD375-INDEX(TZ_STD,MATCH(P375,TZ_STN,0))/24)&lt;INDEX(TZ_DSTE,MATCH(P375,TZ_STN,0))),INDEX(TZ_DST,MATCH(P375,TZ_STN,0)),INDEX(TZ_STD,MATCH(P375,TZ_STN,0))))/24,"")</f>
        <v/>
      </c>
      <c r="AH375" s="65" t="str">
        <f aca="false">IFERROR(IF(N375="N/A – rule",IF(OR(TRIM(U375)="",TRIM(U375)="N/A",TRIM(U375)="Not started"),"N/A – RULE","INVALID – this check does not apply to this aircraft: clear the status (or correct the fleet on Flights)"),IF(TRIM(U375)="N/A",IF(AT375=0,"INVALID – N/A not permitted for this check",IF(AND(TRIM(AB375)&lt;&gt;"",TRIM(AB375)&lt;&gt;"Closed"),"INVALID – corrective action still open",IF(AND(NOT(OR(LEN(AZ375)&lt;15,ISNUMBER(MATCH(AZ375,L_Placeholder,0)))),BK375=0,CG375&gt;=8,NOT(OR(LEN(AU375)&lt;2,ISNUMBER(MATCH(AU375,L_Placeholder,0)))),BR375&gt;=3,NOT(OR(LEN(AX375)&lt;2,ISNUMBER(MATCH(AX375,L_Placeholder,0)))),BS375&gt;=3,TRIM(AE375)&lt;&gt;TRIM(T375),AX375&lt;&gt;AU375,CE375=0),"N/A – JUSTIFIED","INVALID – N/A needs a real, settled reason (not 'not applicable' / 'as above' / TBC), a named PIC and a different named verifier"))),IF(OR(TRIM(U375)="Pass",TRIM(U375)="Pass after CA"),IF(NOT(ISNUMBER(AD375)),"INVALID – completion time missing",IF(OR(OR(LEN(AU375)&lt;2,ISNUMBER(MATCH(AU375,L_Placeholder,0))),BR375&lt;3),"INVALID – PIC missing or not a named person (a role such as QA / CSM is not a name)",IF(OR(LEN(AV375)&lt;2,ISNUMBER(MATCH(AV375,L_Placeholder,0))),"INVALID – result / assessment missing",IF(OR(OR(LEN(AW375)&lt;3,ISNUMBER(MATCH(AW375,L_Placeholder,0))),SUMPRODUCT(--ISNUMBER(SEARCH(" "&amp;L_EvidencePhrase&amp;" ",BD375)))&gt;0,BI375=1),"INVALID – evidence missing, placeholder or not yet on file",IF(ISNA(MATCH(TRIM(S375),L_EvidenceType,0)),"INVALID – choose the evidence type from the list (column S)",IF(BL375=0,"INVALID – evidence ID must be the record's own ID only (e.g. SF-2210, IMG_2231, 1045521); a link / file name needs type 'Link / file path'",IF(OR(OR(LEN(AX375)&lt;2,ISNUMBER(MATCH(AX375,L_Placeholder,0))),BS375&lt;3),"INVALID – verifier missing or not a named person (a role such as QA / CSM is not a name)",IF(OR(AX375=AU375,CE375=1,AND(LEN(AU375)&gt;=4,ISNUMBER(SEARCH(AU375,AX375))),AND(LEN(AX375)&gt;=4,ISNUMBER(SEARCH(AX375,AU375)))),"INVALID – verifier must be a different, named person (not the PIC or a role)",IF(BH375=1,"INVALID – result not yet available (awaiting / TBC)",IF(BG375=1,"INVALID – result describes a problem: record Fail, then Pass after CA (or reword if it is not a problem)",IF(BV375=1,"INVALID – wording says not on board: an on-board confirmation needs the item loaded",IF(AND(AQ375=1,OR(OR(LEN(AY375)&lt;3,ISNUMBER(MATCH(AY375,L_Placeholder,0))),BJ375=1,BQ375=0)),"INVALID – batch ID missing, placeholder or not an ID (e.g. PASB-261008-BC-017)",IF(AND(AR375=1,OR(NOT(ISNUMBER(X375)),NOT(ISNUMBER(Y375)))),"INVALID – expected/actual qty missing",IF(AND(AR375=1,OR(X375&lt;=0,Y375&lt;0)),"INVALID – expected qty must be above 0 and actual not negative",IF(BB375&lt;&gt;"",BB375,IF(AND(AS375=1,Documents!$J$15&lt;&gt;"ON FILE"),"INVALID – GLD not on file (Documents sheet)",IF(AND(AS375=2,Documents!$O$15&lt;&gt;"ON FILE"),"INVALID – menu checklist not on file (Documents sheet)",IF(AND(AS375=3,NOT(ISNUMBER(Flights!$AX$15))),"INVALID – enter carrying flight KUL departure (Flights AX)",IF(AND(AS375=3,OR(Flights!$AZ$15&gt;Flights!$AA$15,Flights!$AX$15&lt;Flights!$AA$15-3)),"INVALID – carrying flight (Flights AX) cannot arrive before this leg's STD, or is over 3 days early",IF(AG375&gt;AsOfUTC,"INVALID – completion time is in the future",IF(AND(ISNUMBER(BY375),AG375&lt;BY375),IF(H375="Physical uplift","INVALID – before uplift window (cannot confirm loading)","INVALID – before valid window"),IF(AG375&gt;Flights!$AA$15,"INVALID – completed after departure (cannot establish readiness)",IF(AND(H375="Preparation",AG375&gt;=Flights!$AY$15+UpliftWindowH/24),"INVALID – completed after the carrying flight left KUL",IF(AND(H375="Physical uplift",AG375&gt;Q375),"INVALID – recorded after the loading flight departed",IF(AG375&gt;Q375,"COMPLETE – LATE","COMPLETE"))))))))))))))))))))))))),IF(TRIM(U375)="Fail","FAIL – DISCREPANCY",IF(AND(TRIM(U375)&lt;&gt;"",TRIM(U375)&lt;&gt;"Not started",TRIM(U375)&lt;&gt;"In progress"),"INVALID – unrecognised status (use the list)",IF(AsOfUTC&gt;Q375,"OVERDUE",IF(N375="Clarification required","OPEN – CLARIFICATION","OPEN"))))))),"INVALID – error value in an input cell")</f>
        <v>OPEN</v>
      </c>
      <c r="AI375" s="61" t="n">
        <f aca="false">IF(OR(AH375="N/A – RULE",AH375="N/A – JUSTIFIED"),0,1)</f>
        <v>1</v>
      </c>
      <c r="AJ375" s="61" t="n">
        <f aca="false">IF(LEFT(AH375,8)="COMPLETE",1,0)</f>
        <v>0</v>
      </c>
      <c r="AK375" s="61" t="n">
        <f aca="false">IF(AND(AI375=1,AJ375=0,AsOfUTC&gt;Q375),1,0)</f>
        <v>0</v>
      </c>
      <c r="AL375" s="61" t="n">
        <f aca="false">IFERROR(IF(AND(AI375=1,OR(TRIM(U375)="Fail",AND(TRIM(AB375)&lt;&gt;"",TRIM(AB375)&lt;&gt;"Closed"),AND(ISNUMBER(AF375),AF375&lt;&gt;0,TRIM(U375)&lt;&gt;"Pass after CA"))),1,0),1)</f>
        <v>0</v>
      </c>
      <c r="AM375" s="61" t="n">
        <f aca="false">IF(LEFT(AH375,7)="INVALID",1,0)</f>
        <v>0</v>
      </c>
      <c r="AN375" s="61" t="n">
        <f aca="false">IF(AND(N375="Clarification required",AI375=1,AJ375=0),1,0)</f>
        <v>0</v>
      </c>
      <c r="AO375" s="61" t="str">
        <f aca="false">IF(AK375=1,SUM(AK$5:AK375),"")</f>
        <v/>
      </c>
      <c r="AP375" s="61" t="str">
        <f aca="false">IF(AL375=1,SUM(AL$5:AL375),"")</f>
        <v/>
      </c>
      <c r="AQ375" s="61" t="n">
        <v>0</v>
      </c>
      <c r="AR375" s="61" t="n">
        <v>0</v>
      </c>
      <c r="AS375" s="61" t="n">
        <v>0</v>
      </c>
      <c r="AT375" s="61" t="n">
        <v>0</v>
      </c>
      <c r="AU375" s="61" t="str">
        <f aca="false">SUBSTITUTE(SUBSTITUTE(SUBSTITUTE(SUBSTITUTE(SUBSTITUTE(SUBSTITUTE(SUBSTITUTE(SUBSTITUTE(SUBSTITUTE(SUBSTITUTE(SUBSTITUTE(SUBSTITUTE(SUBSTITUTE(SUBSTITUTE(SUBSTITUTE(SUBSTITUTE(LOWER(T375&amp;""),CHAR(10),""),CHAR(13),""),CHAR(9),""),CHAR(160),"")," ",""),".",""),"-",""),"/",""),"?",""),"_",""),",",""),"[",""),"]",""),"(",""),")",""),"*","")</f>
        <v/>
      </c>
      <c r="AV375" s="61" t="str">
        <f aca="false">SUBSTITUTE(SUBSTITUTE(SUBSTITUTE(SUBSTITUTE(SUBSTITUTE(SUBSTITUTE(SUBSTITUTE(SUBSTITUTE(SUBSTITUTE(SUBSTITUTE(SUBSTITUTE(SUBSTITUTE(SUBSTITUTE(SUBSTITUTE(SUBSTITUTE(SUBSTITUTE(LOWER(V375&amp;""),CHAR(10),""),CHAR(13),""),CHAR(9),""),CHAR(160),"")," ",""),".",""),"-",""),"/",""),"?",""),"_",""),",",""),"[",""),"]",""),"(",""),")",""),"*","")</f>
        <v/>
      </c>
      <c r="AW375" s="61" t="str">
        <f aca="false">SUBSTITUTE(SUBSTITUTE(SUBSTITUTE(SUBSTITUTE(SUBSTITUTE(SUBSTITUTE(SUBSTITUTE(SUBSTITUTE(SUBSTITUTE(SUBSTITUTE(SUBSTITUTE(SUBSTITUTE(SUBSTITUTE(SUBSTITUTE(SUBSTITUTE(SUBSTITUTE(LOWER(Z375&amp;""),CHAR(10),""),CHAR(13),""),CHAR(9),""),CHAR(160),"")," ",""),".",""),"-",""),"/",""),"?",""),"_",""),",",""),"[",""),"]",""),"(",""),")",""),"*","")</f>
        <v/>
      </c>
      <c r="AX375" s="61" t="str">
        <f aca="false">SUBSTITUTE(SUBSTITUTE(SUBSTITUTE(SUBSTITUTE(SUBSTITUTE(SUBSTITUTE(SUBSTITUTE(SUBSTITUTE(SUBSTITUTE(SUBSTITUTE(SUBSTITUTE(SUBSTITUTE(SUBSTITUTE(SUBSTITUTE(SUBSTITUTE(SUBSTITUTE(LOWER(AE375&amp;""),CHAR(10),""),CHAR(13),""),CHAR(9),""),CHAR(160),"")," ",""),".",""),"-",""),"/",""),"?",""),"_",""),",",""),"[",""),"]",""),"(",""),")",""),"*","")</f>
        <v/>
      </c>
      <c r="AY375" s="61" t="str">
        <f aca="false">SUBSTITUTE(SUBSTITUTE(SUBSTITUTE(SUBSTITUTE(SUBSTITUTE(SUBSTITUTE(SUBSTITUTE(SUBSTITUTE(SUBSTITUTE(SUBSTITUTE(SUBSTITUTE(SUBSTITUTE(SUBSTITUTE(SUBSTITUTE(SUBSTITUTE(SUBSTITUTE(LOWER(W375&amp;""),CHAR(10),""),CHAR(13),""),CHAR(9),""),CHAR(160),"")," ",""),".",""),"-",""),"/",""),"?",""),"_",""),",",""),"[",""),"]",""),"(",""),")",""),"*","")</f>
        <v/>
      </c>
      <c r="AZ375" s="61" t="str">
        <f aca="false">SUBSTITUTE(SUBSTITUTE(SUBSTITUTE(SUBSTITUTE(SUBSTITUTE(SUBSTITUTE(SUBSTITUTE(SUBSTITUTE(SUBSTITUTE(SUBSTITUTE(SUBSTITUTE(SUBSTITUTE(SUBSTITUTE(SUBSTITUTE(SUBSTITUTE(SUBSTITUTE(LOWER(AC375&amp;""),CHAR(10),""),CHAR(13),""),CHAR(9),""),CHAR(160),"")," ",""),".",""),"-",""),"/",""),"?",""),"_",""),",",""),"[",""),"]",""),"(",""),")",""),"*","")</f>
        <v/>
      </c>
      <c r="BA375" s="61" t="str">
        <f aca="false">SUBSTITUTE(SUBSTITUTE(SUBSTITUTE(SUBSTITUTE(SUBSTITUTE(SUBSTITUTE(SUBSTITUTE(SUBSTITUTE(SUBSTITUTE(SUBSTITUTE(SUBSTITUTE(SUBSTITUTE(SUBSTITUTE(SUBSTITUTE(SUBSTITUTE(SUBSTITUTE(LOWER(AA375&amp;""),CHAR(10),""),CHAR(13),""),CHAR(9),""),CHAR(160),"")," ",""),".",""),"-",""),"/",""),"?",""),"_",""),",",""),"[",""),"]",""),"(",""),")",""),"*","")</f>
        <v/>
      </c>
      <c r="BB375" s="61" t="str">
        <f aca="false">IF(AND(TRIM(U375)="Pass",ISNUMBER(AF375)),IF(AF375&lt;&gt;0,"INVALID – qty variance: use Fail or Pass after CA",""),"")&amp;IF(AND(TRIM(U375)="Pass after CA",ISNUMBER(AF375)),IF(AF375&lt;&gt;0,"INVALID – after the corrective action the actual qty must equal expected (update Actual)",""),"")&amp;IF(AND(TRIM(U375)="Pass",TRIM(AB375)&lt;&gt;"",TRIM(AB375)&lt;&gt;"Closed"),"INVALID – corrective action not closed: use Fail, then Pass after CA","")&amp;IF(AND(LEN(BA375)&gt;=2,ISNA(MATCH(LEFT(BA375,255),L_Placeholder,0)),TRIM(AB375)=""),"INVALID – CA status missing for the recorded corrective action","")&amp;IF(AND(TRIM(U375)="Pass after CA",OR(OR(LEN(BA375)&lt;5,ISNUMBER(MATCH(BA375,L_Placeholder,0))),TRIM(AB375)&lt;&gt;"Closed")),"INVALID – corrective action not recorded/closed","")</f>
        <v/>
      </c>
      <c r="BC375" s="61" t="str">
        <f aca="false">" "&amp;TRIM(SUBSTITUTE(SUBSTITUTE(SUBSTITUTE(SUBSTITUTE(SUBSTITUTE(SUBSTITUTE(SUBSTITUTE(SUBSTITUTE(SUBSTITUTE(SUBSTITUTE(SUBSTITUTE(SUBSTITUTE(SUBSTITUTE(SUBSTITUTE(SUBSTITUTE(SUBSTITUTE(SUBSTITUTE(SUBSTITUTE(SUBSTITUTE(SUBSTITUTE(SUBSTITUTE(SUBSTITUTE(SUBSTITUTE(SUBSTITUTE(LOWER(V375&amp;""),CHAR(10)," "),CHAR(13)," "),CHAR(9)," "),CHAR(160)," "),"."," "),","," "),"-"," "),"/"," "),"("," "),")"," "),":"," "),";"," "),"_"," "),"–"," "),"?"," "),"!"," "),"*"," "),"["," "),"]"," "),"'"," "),"#"," "),"+"," "),"&amp;"," "),"\"," "))&amp;" "</f>
        <v>  </v>
      </c>
      <c r="BD375" s="61" t="str">
        <f aca="false">" "&amp;TRIM(SUBSTITUTE(SUBSTITUTE(SUBSTITUTE(SUBSTITUTE(SUBSTITUTE(SUBSTITUTE(SUBSTITUTE(SUBSTITUTE(SUBSTITUTE(SUBSTITUTE(SUBSTITUTE(SUBSTITUTE(SUBSTITUTE(SUBSTITUTE(SUBSTITUTE(SUBSTITUTE(SUBSTITUTE(SUBSTITUTE(SUBSTITUTE(SUBSTITUTE(SUBSTITUTE(SUBSTITUTE(SUBSTITUTE(SUBSTITUTE(LOWER(Z375&amp;""),CHAR(10)," "),CHAR(13)," "),CHAR(9)," "),CHAR(160)," "),"."," "),","," "),"-"," "),"/"," "),"("," "),")"," "),":"," "),";"," "),"_"," "),"–"," "),"?"," "),"!"," "),"*"," "),"["," "),"]"," "),"'"," "),"#"," "),"+"," "),"&amp;"," "),"\"," "))&amp;" "</f>
        <v>  </v>
      </c>
      <c r="BE375" s="61" t="str">
        <f aca="false">" "&amp;TRIM(SUBSTITUTE(SUBSTITUTE(SUBSTITUTE(SUBSTITUTE(SUBSTITUTE(SUBSTITUTE(SUBSTITUTE(SUBSTITUTE(SUBSTITUTE(SUBSTITUTE(SUBSTITUTE(SUBSTITUTE(SUBSTITUTE(SUBSTITUTE(SUBSTITUTE(SUBSTITUTE(SUBSTITUTE(SUBSTITUTE(SUBSTITUTE(SUBSTITUTE(SUBSTITUTE(SUBSTITUTE(SUBSTITUTE(SUBSTITUTE(LOWER(W375&amp;""),CHAR(10)," "),CHAR(13)," "),CHAR(9)," "),CHAR(160)," "),"."," "),","," "),"-"," "),"/"," "),"("," "),")"," "),":"," "),";"," "),"_"," "),"–"," "),"?"," "),"!"," "),"*"," "),"["," "),"]"," "),"'"," "),"#"," "),"+"," "),"&amp;"," "),"\"," "))&amp;" "</f>
        <v>  </v>
      </c>
      <c r="BF375" s="61" t="str">
        <f aca="false">" "&amp;TRIM(SUBSTITUTE(SUBSTITUTE(SUBSTITUTE(SUBSTITUTE(SUBSTITUTE(SUBSTITUTE(SUBSTITUTE(SUBSTITUTE(SUBSTITUTE(SUBSTITUTE(SUBSTITUTE(SUBSTITUTE(SUBSTITUTE(SUBSTITUTE(SUBSTITUTE(SUBSTITUTE(SUBSTITUTE(SUBSTITUTE(SUBSTITUTE(SUBSTITUTE(SUBSTITUTE(SUBSTITUTE(SUBSTITUTE(SUBSTITUTE(LOWER(AC375&amp;""),CHAR(10)," "),CHAR(13)," "),CHAR(9)," "),CHAR(160)," "),"."," "),","," "),"-"," "),"/"," "),"("," "),")"," "),":"," "),";"," "),"_"," "),"–"," "),"?"," "),"!"," "),"*"," "),"["," "),"]"," "),"'"," "),"#"," "),"+"," "),"&amp;"," "),"\"," "))&amp;" "</f>
        <v>  </v>
      </c>
      <c r="BG375" s="61" t="n">
        <f aca="false">IFERROR(IF(AND(TRIM(U375)="Pass",SUMPRODUCT((LEN(BC375)-LEN(SUBSTITUTE(BC375," "&amp;L_ResultBad&amp;" "," ")))/(LEN(L_ResultBad)+1))&gt;SUMPRODUCT((LEN(BC375)-LEN(SUBSTITUTE(BC375," "&amp;L_NegPhrase&amp;" "," ")))/(LEN(L_NegPhrase)+1))),1,0),0)</f>
        <v>0</v>
      </c>
      <c r="BH375" s="61" t="n">
        <f aca="false">IFERROR(IF(SUMPRODUCT((LEN(BC375)-LEN(SUBSTITUTE(BC375," "&amp;L_Pending&amp;" "," ")))/(LEN(L_Pending)+1))&gt;SUMPRODUCT((LEN(BC375)-LEN(SUBSTITUTE(BC375," "&amp;L_PendNeg&amp;" "," ")))/(LEN(L_PendNeg)+1))+SUMPRODUCT((LEN(BC375)-LEN(SUBSTITUTE(BC375," "&amp;L_PendPrep&amp;" "," ")))/(LEN(L_PendPrep)+1)),1,0),1)</f>
        <v>0</v>
      </c>
      <c r="BI375" s="61" t="n">
        <f aca="false">IFERROR(IF(SUMPRODUCT((LEN(BD375)-LEN(SUBSTITUTE(BD375," "&amp;L_PendStrict&amp;" "," ")))/(LEN(L_PendStrict)+1))&gt;SUMPRODUCT((LEN(BD375)-LEN(SUBSTITUTE(BD375," "&amp;L_PendNeg&amp;" "," ")))/(LEN(L_PendNeg)+1)),1,0),1)</f>
        <v>0</v>
      </c>
      <c r="BJ375" s="61" t="n">
        <f aca="false">IFERROR(IF(SUMPRODUCT((LEN(BE375)-LEN(SUBSTITUTE(BE375," "&amp;L_Pending&amp;" "," ")))/(LEN(L_Pending)+1))&gt;SUMPRODUCT((LEN(BE375)-LEN(SUBSTITUTE(BE375," "&amp;L_PendNeg&amp;" "," ")))/(LEN(L_PendNeg)+1))+SUMPRODUCT((LEN(BE375)-LEN(SUBSTITUTE(BE375," "&amp;L_PendPrep&amp;" "," ")))/(LEN(L_PendPrep)+1)),1,0),1)</f>
        <v>0</v>
      </c>
      <c r="BK375" s="61" t="n">
        <f aca="false">IFERROR(IF(SUMPRODUCT((LEN(BF375)-LEN(SUBSTITUTE(BF375," "&amp;L_PendStrict&amp;" "," ")))/(LEN(L_PendStrict)+1))&gt;SUMPRODUCT((LEN(BF375)-LEN(SUBSTITUTE(BF375," "&amp;L_PendNeg&amp;" "," ")))/(LEN(L_PendNeg)+1)),1,0),1)</f>
        <v>0</v>
      </c>
      <c r="BL375" s="61" t="n">
        <f aca="false">IF(ISNA(MATCH(TRIM(S375),L_EvidenceType,0)),0,BZ375)</f>
        <v>0</v>
      </c>
      <c r="BM375" s="61" t="str">
        <f aca="false">SUBSTITUTE(SUBSTITUTE(SUBSTITUTE(SUBSTITUTE(SUBSTITUTE(SUBSTITUTE(SUBSTITUTE(SUBSTITUTE(SUBSTITUTE(LOWER(Z375&amp;""),"1","0"),"2","0"),"3","0"),"4","0"),"5","0"),"6","0"),"7","0"),"8","0"),"9","0")</f>
        <v/>
      </c>
      <c r="BN375" s="61" t="str">
        <f aca="false">SUBSTITUTE(SUBSTITUTE(SUBSTITUTE(SUBSTITUTE(SUBSTITUTE(SUBSTITUTE(SUBSTITUTE(SUBSTITUTE(SUBSTITUTE(SUBSTITUTE(SUBSTITUTE(SUBSTITUTE(SUBSTITUTE(SUBSTITUTE(SUBSTITUTE(SUBSTITUTE(SUBSTITUTE(SUBSTITUTE(SUBSTITUTE(SUBSTITUTE(SUBSTITUTE(SUBSTITUTE(SUBSTITUTE(SUBSTITUTE(SUBSTITUTE(BM375,"b","a"),"c","a"),"d","a"),"e","a"),"f","a"),"g","a"),"h","a"),"i","a"),"j","a"),"k","a"),"l","a"),"m","a"),"n","a"),"o","a"),"p","a"),"q","a"),"r","a"),"s","a"),"t","a"),"u","a"),"v","a"),"w","a"),"x","a"),"y","a"),"z","a")</f>
        <v/>
      </c>
      <c r="BO375" s="61" t="str">
        <f aca="false">SUBSTITUTE(SUBSTITUTE(SUBSTITUTE(SUBSTITUTE(SUBSTITUTE(SUBSTITUTE(SUBSTITUTE(SUBSTITUTE(SUBSTITUTE(LOWER(W375&amp;""),"1","0"),"2","0"),"3","0"),"4","0"),"5","0"),"6","0"),"7","0"),"8","0"),"9","0")</f>
        <v/>
      </c>
      <c r="BP375" s="61" t="str">
        <f aca="false">SUBSTITUTE(SUBSTITUTE(SUBSTITUTE(SUBSTITUTE(SUBSTITUTE(SUBSTITUTE(SUBSTITUTE(SUBSTITUTE(SUBSTITUTE(SUBSTITUTE(SUBSTITUTE(SUBSTITUTE(SUBSTITUTE(SUBSTITUTE(SUBSTITUTE(SUBSTITUTE(SUBSTITUTE(SUBSTITUTE(SUBSTITUTE(SUBSTITUTE(SUBSTITUTE(SUBSTITUTE(SUBSTITUTE(SUBSTITUTE(SUBSTITUTE(BO375,"b","a"),"c","a"),"d","a"),"e","a"),"f","a"),"g","a"),"h","a"),"i","a"),"j","a"),"k","a"),"l","a"),"m","a"),"n","a"),"o","a"),"p","a"),"q","a"),"r","a"),"s","a"),"t","a"),"u","a"),"v","a"),"w","a"),"x","a"),"y","a"),"z","a")</f>
        <v/>
      </c>
      <c r="BQ375" s="61" t="n">
        <f aca="false">IFERROR(IF(AND(ISERROR(SEARCH(" mh"," "&amp;LOWER(W375))),ISNA(MATCH(LEFT(TRIM(BP375),255),{"0000a","000a","00a","0000aa","000aa","00aa","0aa","0000aaa","000aaa","00a00","0a00","0000-0000","00:00","a00","a0","00.00.0000","00/00/0000","00-00-0000","0000-00-00","0000/00/00","0000.00.00","00.00.00","00/00/00","00-00-00","0.00.0000","0/00/0000","0-00-0000"},0)),ISNA(MATCH(LEFT(TRIM(CA375),255),{"0000a","000a","00a","0000aa","000aa","00aa","0aa","0000aaa","000aaa","00a00","0a00","0000-0000","00:00","a00","a0","00.00.0000","00/00/0000","00-00-0000","0000-00-00","0000/00/00","0000.00.00","00.00.00","00/00/00","00-00-00","0.00.0000","0/00/0000","0-00-0000"},0)),LEN(CB375)&gt;=3,NOT(OR(SUBSTITUTE(CB375,"0","")="",AND(LEN(CB375)&gt;=4,CB375=REPT(LEFT(CB375),LEN(CB375))),ISNUMBER(MATCH(CB375,{"123","1234","12345","123456","1234567","12345678","0123","01234","012345","98765","987654","54321"},0)),AND(LEN(CB375)=8,LEFT(CB375,3)="202"))),OR(AND((LEN(CA375)-LEN(SUBSTITUTE(CA375,"a","")))&gt;=1,SUMPRODUCT(--ISNUMBER(SEARCH({"a0","a-0","a_0","a/0","a.0","a#0","0a","0-a","0_a","0/a"},BP375)))&gt;0),ISNUMBER(SEARCH("000000",BP375)))),1,0),0)</f>
        <v>0</v>
      </c>
      <c r="BR375" s="61" t="n">
        <f aca="false">IFERROR(LEN(SUBSTITUTE(CC375," ",""))-SUMPRODUCT((LEN(CC375)-LEN(SUBSTITUTE(CC375," "&amp;L_Role&amp;" "," ")))/(LEN(L_Role)+1)*LEN(L_Role)),0)</f>
        <v>0</v>
      </c>
      <c r="BS375" s="61" t="n">
        <f aca="false">IFERROR(LEN(SUBSTITUTE(CD375," ",""))-SUMPRODUCT((LEN(CD375)-LEN(SUBSTITUTE(CD375," "&amp;L_Role&amp;" "," ")))/(LEN(L_Role)+1)*LEN(L_Role)),0)</f>
        <v>0</v>
      </c>
      <c r="BT3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375,"revision",""),"version",""),"jan",""),"feb",""),"mar",""),"apr",""),"may",""),"jun",""),"jul",""),"aug",""),"sep",""),"oct",""),"nov",""),"dec",""),"utc",""),"gmt",""),"myt",""),"bst",""),"rev",""),"ver",""),"b","a"),"c","a"),"d","a"),"e","a"),"f","a"),"g","a"),"h","a"),"i","a"),"j","a"),"k","a"),"l","a"),"m","a"),"n","a"),"o","a"),"p","a"),"q","a"),"r","a"),"s","a"),"t","a"),"u","a"),"v","a"),"w","a"),"x","a"),"y","a"),"z","a")</f>
        <v/>
      </c>
      <c r="BU375" s="61" t="str">
        <f aca="false">SUBSTITUTE(SUBSTITUTE(SUBSTITUTE(SUBSTITUTE(SUBSTITUTE(SUBSTITUTE(SUBSTITUTE(SUBSTITUTE(SUBSTITUTE(SUBSTITUTE(LEFT(BM375,FIND("0",BM375&amp;"0")-1),"-",""),"_",""),"/",""),".",""),"#",""),"\\",""),":","")," ",""),"(",""),")","")</f>
        <v/>
      </c>
      <c r="BV375" s="61" t="n">
        <f aca="false">0</f>
        <v>0</v>
      </c>
      <c r="BW3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375&amp;""),"a",""),"b",""),"c",""),"d",""),"e",""),"f",""),"g",""),"h",""),"i",""),"j",""),"k",""),"l",""),"m",""),"n",""),"o",""),"p",""),"q",""),"r",""),"s",""),"t",""),"u",""),"v",""),"w",""),"x",""),"y",""),"z",""),"-",""),"_",""),"/",""),".",""),"#",""),"\\",""),":","")," ",""),"(",""),")","")</f>
        <v/>
      </c>
      <c r="BX375" s="61" t="str">
        <f aca="false">SUBSTITUTE(SUBSTITUTE(SUBSTITUTE(SUBSTITUTE(SUBSTITUTE(SUBSTITUTE(SUBSTITUTE(SUBSTITUTE(SUBSTITUTE(SUBSTITUTE(SUBSTITUTE(BM375,"0",""),"-",""),"_",""),"/",""),".",""),"#",""),"\\",""),":","")," ",""),"(",""),")","")</f>
        <v/>
      </c>
      <c r="BY375" s="62" t="n">
        <f aca="false">Q375-T12EarlyH/24</f>
        <v>46306.3263888889</v>
      </c>
      <c r="BZ375" s="61" t="n">
        <f aca="false">IFERROR(IF(IF(TRIM(S375)="Link / file path",AND(LEN(TRIM(Z375))&gt;=5,SUMPRODUCT(--ISNUMBER(SEARCH({"http","www.","\\",":\",".pdf",".jpg",".jpeg",".png",".heic",".xls",".doc",".msg",".eml",".ppt",".txt",".zip"},Z375)))&gt;0),AND(ISERROR(FIND(" ",TRIM(Z375))),NOT(OR(SUMPRODUCT(--ISNUMBER(FIND({",",";","&amp;","+"},Z375)))&gt;0,SUMPRODUCT(--ISNUMBER(SEARCH({"0/aa","0\\aa"},BN375)))&gt;0)),NOT(SUMPRODUCT(--ISNUMBER(SEARCH({"http","www.","\\",":\",".pdf",".jpg",".jpeg",".png",".heic",".xls",".doc",".msg",".eml",".ppt",".txt",".zip"},Z375)))&gt;0),NOT(LOWER(TRIM(Z375))=LOWER(Flights!$F$15)),ISNA(MATCH(BU375,{"mh","rev","revision","ver","version","v","r","a","b","seat","tray","row","gate","bay","stand","page","pg","item","line","no","cart","galley","flight","flt","table","box","bag","oven","etd","eta","std","sta","atd","ata","qty","pax","x","time","tel","ph","mob","day","wk","week","utc","gmt","myt","lt"},0)),NOT(OR(ISNUMBER(MATCH(LEFT(BN375,255),{"0000a","000a","00a","0000aa","000aa","00aa","0aa","0000aaa","000aaa","00a00","0a00","0000-0000","00:00","a00","a0","00.00.0000","00/00/0000","00-00-0000","0000-00-00","0000/00/00","0000.00.00","00.00.00","00/00/00","00-00-00","0.00.0000","0/00/0000","0-00-0000"},0)),ISNUMBER(MATCH(LEFT(BT375,255),{"0000a","000a","00a","0000aa","000aa","00aa","0aa","0000aaa","000aaa","00a00","0a00","0000-0000","00:00","a00","a0","00.00.0000","00/00/0000","00-00-0000","0000-00-00","0000/00/00","0000.00.00","00.00.00","00/00/00","00-00-00","0.00.0000","0/00/0000","0-00-0000"},0)))),NOT(OR(AND(BW375&lt;&gt;"",SUBSTITUTE(BW375,"0","")=""),AND(LEN(BW375)&gt;=4,BW375=REPT(LEFT(BW375),LEN(BW375))),ISNUMBER(MATCH(BW375,{"123","1234","12345","123456","1234567","12345678","0123","01234","012345","98765","987654","54321"},0)),ISNUMBER(MATCH(BX375,{"x","xx","xxx","xxxx","xxxxx","abc","abcd","nil","na","nan","test","tbc","tba","tbd","dummy","sample","example","eg","zz","zzz","none","null","xyz","qwe","asd","id","ref"},0)),AND(LEN(BW375)=8,BX375="",OR(LEFT(BW375,3)="202",ISNUMBER(MATCH(RIGHT(BW375,4),{"2025","2026","2027"},0)))))),OR(AND((LEN(BT375)-LEN(SUBSTITUTE(BT375,"a","")))&gt;=1,(LEN(BN375)-LEN(SUBSTITUTE(BN375,"0","")))&gt;=2,SUMPRODUCT(--ISNUMBER(SEARCH({"a0","a-0","a_0","a/0","a.0","a#0","0a","0-a","0_a","0/a"},BN375)))&gt;0),AND((LEN(BN375)-LEN(SUBSTITUTE(BN375,"a","")))=0,(LEN(BN375)-LEN(SUBSTITUTE(BN375,"0","")))&gt;=5)))),1,0),0)</f>
        <v>0</v>
      </c>
      <c r="CA3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375,"revision",""),"version",""),"jan",""),"feb",""),"mar",""),"apr",""),"may",""),"jun",""),"jul",""),"aug",""),"sep",""),"oct",""),"nov",""),"dec",""),"utc",""),"gmt",""),"myt",""),"bst",""),"rev",""),"ver",""),"b","a"),"c","a"),"d","a"),"e","a"),"f","a"),"g","a"),"h","a"),"i","a"),"j","a"),"k","a"),"l","a"),"m","a"),"n","a"),"o","a"),"p","a"),"q","a"),"r","a"),"s","a"),"t","a"),"u","a"),"v","a"),"w","a"),"x","a"),"y","a"),"z","a")</f>
        <v/>
      </c>
      <c r="CB3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375&amp;""),"a",""),"b",""),"c",""),"d",""),"e",""),"f",""),"g",""),"h",""),"i",""),"j",""),"k",""),"l",""),"m",""),"n",""),"o",""),"p",""),"q",""),"r",""),"s",""),"t",""),"u",""),"v",""),"w",""),"x",""),"y",""),"z",""),"-",""),"_",""),"/",""),".",""),"#",""),"\\",""),":","")," ",""),"(",""),")","")</f>
        <v/>
      </c>
      <c r="CC375" s="0" t="str">
        <f aca="false">" "&amp;TRIM(SUBSTITUTE(SUBSTITUTE(SUBSTITUTE(SUBSTITUTE(SUBSTITUTE(SUBSTITUTE(SUBSTITUTE(SUBSTITUTE(SUBSTITUTE(SUBSTITUTE(SUBSTITUTE(SUBSTITUTE(SUBSTITUTE(SUBSTITUTE(SUBSTITUTE(SUBSTITUTE(SUBSTITUTE(SUBSTITUTE(SUBSTITUTE(SUBSTITUTE(SUBSTITUTE(SUBSTITUTE(SUBSTITUTE(SUBSTITUTE(LOWER(T375&amp;""),CHAR(10)," "),CHAR(13)," "),CHAR(9)," "),CHAR(160)," "),"."," "),","," "),"-"," "),"/"," "),"("," "),")"," "),":"," "),";"," "),"_"," "),"–"," "),"?"," "),"!"," "),"*"," "),"["," "),"]"," "),"'"," "),"#"," "),"+"," "),"&amp;"," "),"\"," "))&amp;" "</f>
        <v>  </v>
      </c>
      <c r="CD375" s="0" t="str">
        <f aca="false">" "&amp;TRIM(SUBSTITUTE(SUBSTITUTE(SUBSTITUTE(SUBSTITUTE(SUBSTITUTE(SUBSTITUTE(SUBSTITUTE(SUBSTITUTE(SUBSTITUTE(SUBSTITUTE(SUBSTITUTE(SUBSTITUTE(SUBSTITUTE(SUBSTITUTE(SUBSTITUTE(SUBSTITUTE(SUBSTITUTE(SUBSTITUTE(SUBSTITUTE(SUBSTITUTE(SUBSTITUTE(SUBSTITUTE(SUBSTITUTE(SUBSTITUTE(LOWER(AE375&amp;""),CHAR(10)," "),CHAR(13)," "),CHAR(9)," "),CHAR(160)," "),"."," "),","," "),"-"," "),"/"," "),"("," "),")"," "),":"," "),";"," "),"_"," "),"–"," "),"?"," "),"!"," "),"*"," "),"["," "),"]"," "),"'"," "),"#"," "),"+"," "),"&amp;"," "),"\"," "))&amp;" "</f>
        <v>  </v>
      </c>
      <c r="CE375" s="68" t="n">
        <f aca="false">IFERROR(IF(AND(LEN(AU375)&gt;0,LEN(AU375)=LEN(AX375),OR(TRIM(MID(SUBSTITUTE(TRIM(CC375)," ",REPT(" ",60)),1,60))="",ISNUMBER(SEARCH(" "&amp;TRIM(MID(SUBSTITUTE(TRIM(CC375)," ",REPT(" ",60)),1,60))&amp;" ",CD375))),OR(TRIM(MID(SUBSTITUTE(TRIM(CC375)," ",REPT(" ",60)),61,60))="",ISNUMBER(SEARCH(" "&amp;TRIM(MID(SUBSTITUTE(TRIM(CC375)," ",REPT(" ",60)),61,60))&amp;" ",CD375))),OR(TRIM(MID(SUBSTITUTE(TRIM(CC375)," ",REPT(" ",60)),121,60))="",ISNUMBER(SEARCH(" "&amp;TRIM(MID(SUBSTITUTE(TRIM(CC375)," ",REPT(" ",60)),121,60))&amp;" ",CD375)))),1,0),0)</f>
        <v>0</v>
      </c>
      <c r="CG375" s="68" t="n">
        <f aca="false">IFERROR(LEN(SUBSTITUTE(BF375," ",""))-SUMPRODUCT((LEN(BF375)-LEN(SUBSTITUTE(BF375," "&amp;L_NAFiller&amp;" "," ")))/(LEN(L_NAFiller)+1)*LEN(L_NAFiller)),0)</f>
        <v>0</v>
      </c>
    </row>
    <row r="376" customFormat="false" ht="39.75" hidden="false" customHeight="true" outlineLevel="0" collapsed="false">
      <c r="A376" s="57" t="s">
        <v>985</v>
      </c>
      <c r="B376" s="57" t="s">
        <v>258</v>
      </c>
      <c r="C376" s="57" t="str">
        <f aca="false">Flights!$F$15</f>
        <v>MH1149</v>
      </c>
      <c r="D376" s="58" t="n">
        <f aca="false">Flights!$D$15</f>
        <v>46307</v>
      </c>
      <c r="E376" s="57" t="str">
        <f aca="false">Flights!$G$15&amp;"-"&amp;Flights!$H$15</f>
        <v>PEN-KUL</v>
      </c>
      <c r="F376" s="57" t="str">
        <f aca="false">Flights!$K$15</f>
        <v>EY</v>
      </c>
      <c r="G376" s="57" t="s">
        <v>459</v>
      </c>
      <c r="H376" s="57" t="s">
        <v>460</v>
      </c>
      <c r="I376" s="57" t="s">
        <v>379</v>
      </c>
      <c r="J376" s="57" t="s">
        <v>461</v>
      </c>
      <c r="K376" s="67" t="s">
        <v>426</v>
      </c>
      <c r="L376" s="67" t="s">
        <v>462</v>
      </c>
      <c r="M376" s="67"/>
      <c r="N376" s="67" t="s">
        <v>383</v>
      </c>
      <c r="O376" s="67" t="s">
        <v>463</v>
      </c>
      <c r="P376" s="57" t="s">
        <v>254</v>
      </c>
      <c r="Q376" s="59" t="n">
        <f aca="false">ROUND((Flights!$AF$15)*1440,0)/1440</f>
        <v>46307.3263888889</v>
      </c>
      <c r="R376" s="59" t="n">
        <f aca="false">Q376+(IF(AND(INDEX(TZ_DSTS,MATCH(P376,TZ_STN,0))&lt;&gt;"",Q376&gt;=INDEX(TZ_DSTS,MATCH(P376,TZ_STN,0)),Q376&lt;INDEX(TZ_DSTE,MATCH(P376,TZ_STN,0))),INDEX(TZ_DST,MATCH(P376,TZ_STN,0)),INDEX(TZ_STD,MATCH(P376,TZ_STN,0))))/24</f>
        <v>46307.6597222222</v>
      </c>
      <c r="S376" s="60"/>
      <c r="T376" s="60"/>
      <c r="U376" s="60"/>
      <c r="V376" s="60"/>
      <c r="W376" s="61"/>
      <c r="X376" s="60"/>
      <c r="Y376" s="60"/>
      <c r="Z376" s="60"/>
      <c r="AA376" s="60"/>
      <c r="AB376" s="60"/>
      <c r="AC376" s="60"/>
      <c r="AD376" s="66"/>
      <c r="AE376" s="60"/>
      <c r="AF376" s="61" t="str">
        <f aca="false">IF(AND(ISNUMBER(X376),ISNUMBER(Y376)),Y376-X376,"")</f>
        <v/>
      </c>
      <c r="AG376" s="62" t="str">
        <f aca="false">IF(ISNUMBER(AD376),AD376-(IF(AND(INDEX(TZ_DSTS,MATCH(P376,TZ_STN,0))&lt;&gt;"",(AD376-INDEX(TZ_STD,MATCH(P376,TZ_STN,0))/24)&gt;=INDEX(TZ_DSTS,MATCH(P376,TZ_STN,0)),(AD376-INDEX(TZ_STD,MATCH(P376,TZ_STN,0))/24)&lt;INDEX(TZ_DSTE,MATCH(P376,TZ_STN,0))),INDEX(TZ_DST,MATCH(P376,TZ_STN,0)),INDEX(TZ_STD,MATCH(P376,TZ_STN,0))))/24,"")</f>
        <v/>
      </c>
      <c r="AH376" s="65" t="str">
        <f aca="false">IFERROR(IF(N376="N/A – rule",IF(OR(TRIM(U376)="",TRIM(U376)="N/A",TRIM(U376)="Not started"),"N/A – RULE","INVALID – this check does not apply to this aircraft: clear the status (or correct the fleet on Flights)"),IF(TRIM(U376)="N/A",IF(AT376=0,"INVALID – N/A not permitted for this check",IF(AND(TRIM(AB376)&lt;&gt;"",TRIM(AB376)&lt;&gt;"Closed"),"INVALID – corrective action still open",IF(AND(NOT(OR(LEN(AZ376)&lt;15,ISNUMBER(MATCH(AZ376,L_Placeholder,0)))),BK376=0,CG376&gt;=8,NOT(OR(LEN(AU376)&lt;2,ISNUMBER(MATCH(AU376,L_Placeholder,0)))),BR376&gt;=3,NOT(OR(LEN(AX376)&lt;2,ISNUMBER(MATCH(AX376,L_Placeholder,0)))),BS376&gt;=3,TRIM(AE376)&lt;&gt;TRIM(T376),AX376&lt;&gt;AU376,CE376=0),"N/A – JUSTIFIED","INVALID – N/A needs a real, settled reason (not 'not applicable' / 'as above' / TBC), a named PIC and a different named verifier"))),IF(OR(TRIM(U376)="Pass",TRIM(U376)="Pass after CA"),IF(NOT(ISNUMBER(AD376)),"INVALID – completion time missing",IF(OR(OR(LEN(AU376)&lt;2,ISNUMBER(MATCH(AU376,L_Placeholder,0))),BR376&lt;3),"INVALID – PIC missing or not a named person (a role such as QA / CSM is not a name)",IF(OR(LEN(AV376)&lt;2,ISNUMBER(MATCH(AV376,L_Placeholder,0))),"INVALID – result / assessment missing",IF(OR(OR(LEN(AW376)&lt;3,ISNUMBER(MATCH(AW376,L_Placeholder,0))),SUMPRODUCT(--ISNUMBER(SEARCH(" "&amp;L_EvidencePhrase&amp;" ",BD376)))&gt;0,BI376=1),"INVALID – evidence missing, placeholder or not yet on file",IF(ISNA(MATCH(TRIM(S376),L_EvidenceType,0)),"INVALID – choose the evidence type from the list (column S)",IF(BL376=0,"INVALID – evidence ID must be the record's own ID only (e.g. SF-2210, IMG_2231, 1045521); a link / file name needs type 'Link / file path'",IF(OR(OR(LEN(AX376)&lt;2,ISNUMBER(MATCH(AX376,L_Placeholder,0))),BS376&lt;3),"INVALID – verifier missing or not a named person (a role such as QA / CSM is not a name)",IF(OR(AX376=AU376,CE376=1,AND(LEN(AU376)&gt;=4,ISNUMBER(SEARCH(AU376,AX376))),AND(LEN(AX376)&gt;=4,ISNUMBER(SEARCH(AX376,AU376)))),"INVALID – verifier must be a different, named person (not the PIC or a role)",IF(BH376=1,"INVALID – result not yet available (awaiting / TBC)",IF(BG376=1,"INVALID – result describes a problem: record Fail, then Pass after CA (or reword if it is not a problem)",IF(BV376=1,"INVALID – wording says not on board: an on-board confirmation needs the item loaded",IF(AND(AQ376=1,OR(OR(LEN(AY376)&lt;3,ISNUMBER(MATCH(AY376,L_Placeholder,0))),BJ376=1,BQ376=0)),"INVALID – batch ID missing, placeholder or not an ID (e.g. PASB-261008-BC-017)",IF(AND(AR376=1,OR(NOT(ISNUMBER(X376)),NOT(ISNUMBER(Y376)))),"INVALID – expected/actual qty missing",IF(AND(AR376=1,OR(X376&lt;=0,Y376&lt;0)),"INVALID – expected qty must be above 0 and actual not negative",IF(AH369="N/A – JUSTIFIED","INVALID – preparation row F11-T12-02 is N/A",IF(AND(AR376=1,ISNUMBER(X369),X376&lt;&gt;X369,TRIM(U376)&lt;&gt;"Pass after CA"),"INVALID – expected qty differs from preparation check F11-T12-02: record the load change as a corrective action (Pass after CA)",IF(BB376&lt;&gt;"",BB376,IF(AND(AS376=1,Documents!$J$15&lt;&gt;"ON FILE"),"INVALID – GLD not on file (Documents sheet)",IF(AND(AS376=2,Documents!$O$15&lt;&gt;"ON FILE"),"INVALID – menu checklist not on file (Documents sheet)",IF(AND(AS376=3,NOT(ISNUMBER(Flights!$AX$15))),"INVALID – enter carrying flight KUL departure (Flights AX)",IF(AND(AS376=3,OR(Flights!$AZ$15&gt;Flights!$AA$15,Flights!$AX$15&lt;Flights!$AA$15-3)),"INVALID – carrying flight (Flights AX) cannot arrive before this leg's STD, or is over 3 days early",IF(AG376&gt;AsOfUTC,"INVALID – completion time is in the future",IF(AND(ISNUMBER(BY376),AG376&lt;BY376),IF(H376="Physical uplift","INVALID – before uplift window (cannot confirm loading)","INVALID – before valid window"),IF(AG376&gt;Flights!$AA$15,"INVALID – completed after departure (cannot establish readiness)",IF(AND(H376="Preparation",AG376&gt;=IF(ISNUMBER(Flights!$BA$15),MIN(Flights!$BA$15,Flights!$AA$15),Flights!$AA$15)),"INVALID – completed after loading / departure (cannot establish readiness)",IF(AND(H376="Physical uplift",AG376&gt;Q376),"INVALID – recorded after the loading flight departed",IF(AG376&gt;Q376,"COMPLETE – LATE","COMPLETE"))))))))))))))))))))))))))),IF(TRIM(U376)="Fail","FAIL – DISCREPANCY",IF(AND(TRIM(U376)&lt;&gt;"",TRIM(U376)&lt;&gt;"Not started",TRIM(U376)&lt;&gt;"In progress"),"INVALID – unrecognised status (use the list)",IF(AsOfUTC&gt;Q376,"OVERDUE",IF(N376="Clarification required","OPEN – CLARIFICATION","OPEN"))))))),"INVALID – error value in an input cell")</f>
        <v>OPEN</v>
      </c>
      <c r="AI376" s="61" t="n">
        <f aca="false">IF(OR(AH376="N/A – RULE",AH376="N/A – JUSTIFIED"),0,1)</f>
        <v>1</v>
      </c>
      <c r="AJ376" s="61" t="n">
        <f aca="false">IF(LEFT(AH376,8)="COMPLETE",1,0)</f>
        <v>0</v>
      </c>
      <c r="AK376" s="61" t="n">
        <f aca="false">IF(AND(AI376=1,AJ376=0,AsOfUTC&gt;Q376),1,0)</f>
        <v>0</v>
      </c>
      <c r="AL376" s="61" t="n">
        <f aca="false">IFERROR(IF(AND(AI376=1,OR(TRIM(U376)="Fail",AND(TRIM(AB376)&lt;&gt;"",TRIM(AB376)&lt;&gt;"Closed"),AND(ISNUMBER(AF376),AF376&lt;&gt;0,TRIM(U376)&lt;&gt;"Pass after CA"))),1,0),1)</f>
        <v>0</v>
      </c>
      <c r="AM376" s="61" t="n">
        <f aca="false">IF(LEFT(AH376,7)="INVALID",1,0)</f>
        <v>0</v>
      </c>
      <c r="AN376" s="61" t="n">
        <f aca="false">IF(AND(N376="Clarification required",AI376=1,AJ376=0),1,0)</f>
        <v>0</v>
      </c>
      <c r="AO376" s="61" t="str">
        <f aca="false">IF(AK376=1,SUM(AK$5:AK376),"")</f>
        <v/>
      </c>
      <c r="AP376" s="61" t="str">
        <f aca="false">IF(AL376=1,SUM(AL$5:AL376),"")</f>
        <v/>
      </c>
      <c r="AQ376" s="61" t="n">
        <v>0</v>
      </c>
      <c r="AR376" s="61" t="n">
        <v>1</v>
      </c>
      <c r="AS376" s="61" t="n">
        <v>0</v>
      </c>
      <c r="AT376" s="61" t="n">
        <v>0</v>
      </c>
      <c r="AU376" s="61" t="str">
        <f aca="false">SUBSTITUTE(SUBSTITUTE(SUBSTITUTE(SUBSTITUTE(SUBSTITUTE(SUBSTITUTE(SUBSTITUTE(SUBSTITUTE(SUBSTITUTE(SUBSTITUTE(SUBSTITUTE(SUBSTITUTE(SUBSTITUTE(SUBSTITUTE(SUBSTITUTE(SUBSTITUTE(LOWER(T376&amp;""),CHAR(10),""),CHAR(13),""),CHAR(9),""),CHAR(160),"")," ",""),".",""),"-",""),"/",""),"?",""),"_",""),",",""),"[",""),"]",""),"(",""),")",""),"*","")</f>
        <v/>
      </c>
      <c r="AV376" s="61" t="str">
        <f aca="false">SUBSTITUTE(SUBSTITUTE(SUBSTITUTE(SUBSTITUTE(SUBSTITUTE(SUBSTITUTE(SUBSTITUTE(SUBSTITUTE(SUBSTITUTE(SUBSTITUTE(SUBSTITUTE(SUBSTITUTE(SUBSTITUTE(SUBSTITUTE(SUBSTITUTE(SUBSTITUTE(LOWER(V376&amp;""),CHAR(10),""),CHAR(13),""),CHAR(9),""),CHAR(160),"")," ",""),".",""),"-",""),"/",""),"?",""),"_",""),",",""),"[",""),"]",""),"(",""),")",""),"*","")</f>
        <v/>
      </c>
      <c r="AW376" s="61" t="str">
        <f aca="false">SUBSTITUTE(SUBSTITUTE(SUBSTITUTE(SUBSTITUTE(SUBSTITUTE(SUBSTITUTE(SUBSTITUTE(SUBSTITUTE(SUBSTITUTE(SUBSTITUTE(SUBSTITUTE(SUBSTITUTE(SUBSTITUTE(SUBSTITUTE(SUBSTITUTE(SUBSTITUTE(LOWER(Z376&amp;""),CHAR(10),""),CHAR(13),""),CHAR(9),""),CHAR(160),"")," ",""),".",""),"-",""),"/",""),"?",""),"_",""),",",""),"[",""),"]",""),"(",""),")",""),"*","")</f>
        <v/>
      </c>
      <c r="AX376" s="61" t="str">
        <f aca="false">SUBSTITUTE(SUBSTITUTE(SUBSTITUTE(SUBSTITUTE(SUBSTITUTE(SUBSTITUTE(SUBSTITUTE(SUBSTITUTE(SUBSTITUTE(SUBSTITUTE(SUBSTITUTE(SUBSTITUTE(SUBSTITUTE(SUBSTITUTE(SUBSTITUTE(SUBSTITUTE(LOWER(AE376&amp;""),CHAR(10),""),CHAR(13),""),CHAR(9),""),CHAR(160),"")," ",""),".",""),"-",""),"/",""),"?",""),"_",""),",",""),"[",""),"]",""),"(",""),")",""),"*","")</f>
        <v/>
      </c>
      <c r="AY376" s="61" t="str">
        <f aca="false">SUBSTITUTE(SUBSTITUTE(SUBSTITUTE(SUBSTITUTE(SUBSTITUTE(SUBSTITUTE(SUBSTITUTE(SUBSTITUTE(SUBSTITUTE(SUBSTITUTE(SUBSTITUTE(SUBSTITUTE(SUBSTITUTE(SUBSTITUTE(SUBSTITUTE(SUBSTITUTE(LOWER(W376&amp;""),CHAR(10),""),CHAR(13),""),CHAR(9),""),CHAR(160),"")," ",""),".",""),"-",""),"/",""),"?",""),"_",""),",",""),"[",""),"]",""),"(",""),")",""),"*","")</f>
        <v/>
      </c>
      <c r="AZ376" s="61" t="str">
        <f aca="false">SUBSTITUTE(SUBSTITUTE(SUBSTITUTE(SUBSTITUTE(SUBSTITUTE(SUBSTITUTE(SUBSTITUTE(SUBSTITUTE(SUBSTITUTE(SUBSTITUTE(SUBSTITUTE(SUBSTITUTE(SUBSTITUTE(SUBSTITUTE(SUBSTITUTE(SUBSTITUTE(LOWER(AC376&amp;""),CHAR(10),""),CHAR(13),""),CHAR(9),""),CHAR(160),"")," ",""),".",""),"-",""),"/",""),"?",""),"_",""),",",""),"[",""),"]",""),"(",""),")",""),"*","")</f>
        <v/>
      </c>
      <c r="BA376" s="61" t="str">
        <f aca="false">SUBSTITUTE(SUBSTITUTE(SUBSTITUTE(SUBSTITUTE(SUBSTITUTE(SUBSTITUTE(SUBSTITUTE(SUBSTITUTE(SUBSTITUTE(SUBSTITUTE(SUBSTITUTE(SUBSTITUTE(SUBSTITUTE(SUBSTITUTE(SUBSTITUTE(SUBSTITUTE(LOWER(AA376&amp;""),CHAR(10),""),CHAR(13),""),CHAR(9),""),CHAR(160),"")," ",""),".",""),"-",""),"/",""),"?",""),"_",""),",",""),"[",""),"]",""),"(",""),")",""),"*","")</f>
        <v/>
      </c>
      <c r="BB376" s="61" t="str">
        <f aca="false">IF(AND(TRIM(U376)="Pass",ISNUMBER(AF376)),IF(AF376&lt;&gt;0,"INVALID – qty variance: use Fail or Pass after CA",""),"")&amp;IF(AND(TRIM(U376)="Pass after CA",ISNUMBER(AF376)),IF(AF376&lt;&gt;0,"INVALID – after the corrective action the actual qty must equal expected (update Actual)",""),"")&amp;IF(AND(TRIM(U376)="Pass",TRIM(AB376)&lt;&gt;"",TRIM(AB376)&lt;&gt;"Closed"),"INVALID – corrective action not closed: use Fail, then Pass after CA","")&amp;IF(AND(LEN(BA376)&gt;=2,ISNA(MATCH(LEFT(BA376,255),L_Placeholder,0)),TRIM(AB376)=""),"INVALID – CA status missing for the recorded corrective action","")&amp;IF(AND(TRIM(U376)="Pass after CA",OR(OR(LEN(BA376)&lt;5,ISNUMBER(MATCH(BA376,L_Placeholder,0))),TRIM(AB376)&lt;&gt;"Closed")),"INVALID – corrective action not recorded/closed","")</f>
        <v/>
      </c>
      <c r="BC376" s="61" t="str">
        <f aca="false">" "&amp;TRIM(SUBSTITUTE(SUBSTITUTE(SUBSTITUTE(SUBSTITUTE(SUBSTITUTE(SUBSTITUTE(SUBSTITUTE(SUBSTITUTE(SUBSTITUTE(SUBSTITUTE(SUBSTITUTE(SUBSTITUTE(SUBSTITUTE(SUBSTITUTE(SUBSTITUTE(SUBSTITUTE(SUBSTITUTE(SUBSTITUTE(SUBSTITUTE(SUBSTITUTE(SUBSTITUTE(SUBSTITUTE(SUBSTITUTE(SUBSTITUTE(LOWER(V376&amp;""),CHAR(10)," "),CHAR(13)," "),CHAR(9)," "),CHAR(160)," "),"."," "),","," "),"-"," "),"/"," "),"("," "),")"," "),":"," "),";"," "),"_"," "),"–"," "),"?"," "),"!"," "),"*"," "),"["," "),"]"," "),"'"," "),"#"," "),"+"," "),"&amp;"," "),"\"," "))&amp;" "</f>
        <v>  </v>
      </c>
      <c r="BD376" s="61" t="str">
        <f aca="false">" "&amp;TRIM(SUBSTITUTE(SUBSTITUTE(SUBSTITUTE(SUBSTITUTE(SUBSTITUTE(SUBSTITUTE(SUBSTITUTE(SUBSTITUTE(SUBSTITUTE(SUBSTITUTE(SUBSTITUTE(SUBSTITUTE(SUBSTITUTE(SUBSTITUTE(SUBSTITUTE(SUBSTITUTE(SUBSTITUTE(SUBSTITUTE(SUBSTITUTE(SUBSTITUTE(SUBSTITUTE(SUBSTITUTE(SUBSTITUTE(SUBSTITUTE(LOWER(Z376&amp;""),CHAR(10)," "),CHAR(13)," "),CHAR(9)," "),CHAR(160)," "),"."," "),","," "),"-"," "),"/"," "),"("," "),")"," "),":"," "),";"," "),"_"," "),"–"," "),"?"," "),"!"," "),"*"," "),"["," "),"]"," "),"'"," "),"#"," "),"+"," "),"&amp;"," "),"\"," "))&amp;" "</f>
        <v>  </v>
      </c>
      <c r="BE376" s="61" t="str">
        <f aca="false">" "&amp;TRIM(SUBSTITUTE(SUBSTITUTE(SUBSTITUTE(SUBSTITUTE(SUBSTITUTE(SUBSTITUTE(SUBSTITUTE(SUBSTITUTE(SUBSTITUTE(SUBSTITUTE(SUBSTITUTE(SUBSTITUTE(SUBSTITUTE(SUBSTITUTE(SUBSTITUTE(SUBSTITUTE(SUBSTITUTE(SUBSTITUTE(SUBSTITUTE(SUBSTITUTE(SUBSTITUTE(SUBSTITUTE(SUBSTITUTE(SUBSTITUTE(LOWER(W376&amp;""),CHAR(10)," "),CHAR(13)," "),CHAR(9)," "),CHAR(160)," "),"."," "),","," "),"-"," "),"/"," "),"("," "),")"," "),":"," "),";"," "),"_"," "),"–"," "),"?"," "),"!"," "),"*"," "),"["," "),"]"," "),"'"," "),"#"," "),"+"," "),"&amp;"," "),"\"," "))&amp;" "</f>
        <v>  </v>
      </c>
      <c r="BF376" s="61" t="str">
        <f aca="false">" "&amp;TRIM(SUBSTITUTE(SUBSTITUTE(SUBSTITUTE(SUBSTITUTE(SUBSTITUTE(SUBSTITUTE(SUBSTITUTE(SUBSTITUTE(SUBSTITUTE(SUBSTITUTE(SUBSTITUTE(SUBSTITUTE(SUBSTITUTE(SUBSTITUTE(SUBSTITUTE(SUBSTITUTE(SUBSTITUTE(SUBSTITUTE(SUBSTITUTE(SUBSTITUTE(SUBSTITUTE(SUBSTITUTE(SUBSTITUTE(SUBSTITUTE(LOWER(AC376&amp;""),CHAR(10)," "),CHAR(13)," "),CHAR(9)," "),CHAR(160)," "),"."," "),","," "),"-"," "),"/"," "),"("," "),")"," "),":"," "),";"," "),"_"," "),"–"," "),"?"," "),"!"," "),"*"," "),"["," "),"]"," "),"'"," "),"#"," "),"+"," "),"&amp;"," "),"\"," "))&amp;" "</f>
        <v>  </v>
      </c>
      <c r="BG376" s="61" t="n">
        <f aca="false">IFERROR(IF(AND(TRIM(U376)="Pass",SUMPRODUCT((LEN(BC376)-LEN(SUBSTITUTE(BC376," "&amp;L_ResultBad&amp;" "," ")))/(LEN(L_ResultBad)+1))&gt;SUMPRODUCT((LEN(BC376)-LEN(SUBSTITUTE(BC376," "&amp;L_NegPhrase&amp;" "," ")))/(LEN(L_NegPhrase)+1))),1,0),0)</f>
        <v>0</v>
      </c>
      <c r="BH376" s="61" t="n">
        <f aca="false">IFERROR(IF(SUMPRODUCT((LEN(BC376)-LEN(SUBSTITUTE(BC376," "&amp;L_Pending&amp;" "," ")))/(LEN(L_Pending)+1))&gt;SUMPRODUCT((LEN(BC376)-LEN(SUBSTITUTE(BC376," "&amp;L_PendNeg&amp;" "," ")))/(LEN(L_PendNeg)+1)),1,0),1)</f>
        <v>0</v>
      </c>
      <c r="BI376" s="61" t="n">
        <f aca="false">IFERROR(IF(SUMPRODUCT((LEN(BD376)-LEN(SUBSTITUTE(BD376," "&amp;L_PendStrict&amp;" "," ")))/(LEN(L_PendStrict)+1))&gt;SUMPRODUCT((LEN(BD376)-LEN(SUBSTITUTE(BD376," "&amp;L_PendNeg&amp;" "," ")))/(LEN(L_PendNeg)+1)),1,0),1)</f>
        <v>0</v>
      </c>
      <c r="BJ376" s="61" t="n">
        <f aca="false">IFERROR(IF(SUMPRODUCT((LEN(BE376)-LEN(SUBSTITUTE(BE376," "&amp;L_Pending&amp;" "," ")))/(LEN(L_Pending)+1))&gt;SUMPRODUCT((LEN(BE376)-LEN(SUBSTITUTE(BE376," "&amp;L_PendNeg&amp;" "," ")))/(LEN(L_PendNeg)+1)),1,0),1)</f>
        <v>0</v>
      </c>
      <c r="BK376" s="61" t="n">
        <f aca="false">IFERROR(IF(SUMPRODUCT((LEN(BF376)-LEN(SUBSTITUTE(BF376," "&amp;L_PendStrict&amp;" "," ")))/(LEN(L_PendStrict)+1))&gt;SUMPRODUCT((LEN(BF376)-LEN(SUBSTITUTE(BF376," "&amp;L_PendNeg&amp;" "," ")))/(LEN(L_PendNeg)+1)),1,0),1)</f>
        <v>0</v>
      </c>
      <c r="BL376" s="61" t="n">
        <f aca="false">IF(ISNA(MATCH(TRIM(S376),L_EvidenceType,0)),0,BZ376)</f>
        <v>0</v>
      </c>
      <c r="BM376" s="61" t="str">
        <f aca="false">SUBSTITUTE(SUBSTITUTE(SUBSTITUTE(SUBSTITUTE(SUBSTITUTE(SUBSTITUTE(SUBSTITUTE(SUBSTITUTE(SUBSTITUTE(LOWER(Z376&amp;""),"1","0"),"2","0"),"3","0"),"4","0"),"5","0"),"6","0"),"7","0"),"8","0"),"9","0")</f>
        <v/>
      </c>
      <c r="BN376" s="61" t="str">
        <f aca="false">SUBSTITUTE(SUBSTITUTE(SUBSTITUTE(SUBSTITUTE(SUBSTITUTE(SUBSTITUTE(SUBSTITUTE(SUBSTITUTE(SUBSTITUTE(SUBSTITUTE(SUBSTITUTE(SUBSTITUTE(SUBSTITUTE(SUBSTITUTE(SUBSTITUTE(SUBSTITUTE(SUBSTITUTE(SUBSTITUTE(SUBSTITUTE(SUBSTITUTE(SUBSTITUTE(SUBSTITUTE(SUBSTITUTE(SUBSTITUTE(SUBSTITUTE(BM376,"b","a"),"c","a"),"d","a"),"e","a"),"f","a"),"g","a"),"h","a"),"i","a"),"j","a"),"k","a"),"l","a"),"m","a"),"n","a"),"o","a"),"p","a"),"q","a"),"r","a"),"s","a"),"t","a"),"u","a"),"v","a"),"w","a"),"x","a"),"y","a"),"z","a")</f>
        <v/>
      </c>
      <c r="BO376" s="61" t="str">
        <f aca="false">SUBSTITUTE(SUBSTITUTE(SUBSTITUTE(SUBSTITUTE(SUBSTITUTE(SUBSTITUTE(SUBSTITUTE(SUBSTITUTE(SUBSTITUTE(LOWER(W376&amp;""),"1","0"),"2","0"),"3","0"),"4","0"),"5","0"),"6","0"),"7","0"),"8","0"),"9","0")</f>
        <v/>
      </c>
      <c r="BP376" s="61" t="str">
        <f aca="false">SUBSTITUTE(SUBSTITUTE(SUBSTITUTE(SUBSTITUTE(SUBSTITUTE(SUBSTITUTE(SUBSTITUTE(SUBSTITUTE(SUBSTITUTE(SUBSTITUTE(SUBSTITUTE(SUBSTITUTE(SUBSTITUTE(SUBSTITUTE(SUBSTITUTE(SUBSTITUTE(SUBSTITUTE(SUBSTITUTE(SUBSTITUTE(SUBSTITUTE(SUBSTITUTE(SUBSTITUTE(SUBSTITUTE(SUBSTITUTE(SUBSTITUTE(BO376,"b","a"),"c","a"),"d","a"),"e","a"),"f","a"),"g","a"),"h","a"),"i","a"),"j","a"),"k","a"),"l","a"),"m","a"),"n","a"),"o","a"),"p","a"),"q","a"),"r","a"),"s","a"),"t","a"),"u","a"),"v","a"),"w","a"),"x","a"),"y","a"),"z","a")</f>
        <v/>
      </c>
      <c r="BQ376" s="61" t="n">
        <f aca="false">IFERROR(IF(AND(ISERROR(SEARCH(" mh"," "&amp;LOWER(W376))),ISNA(MATCH(LEFT(TRIM(BP376),255),{"0000a","000a","00a","0000aa","000aa","00aa","0aa","0000aaa","000aaa","00a00","0a00","0000-0000","00:00","a00","a0","00.00.0000","00/00/0000","00-00-0000","0000-00-00","0000/00/00","0000.00.00","00.00.00","00/00/00","00-00-00","0.00.0000","0/00/0000","0-00-0000"},0)),ISNA(MATCH(LEFT(TRIM(CA376),255),{"0000a","000a","00a","0000aa","000aa","00aa","0aa","0000aaa","000aaa","00a00","0a00","0000-0000","00:00","a00","a0","00.00.0000","00/00/0000","00-00-0000","0000-00-00","0000/00/00","0000.00.00","00.00.00","00/00/00","00-00-00","0.00.0000","0/00/0000","0-00-0000"},0)),LEN(CB376)&gt;=3,NOT(OR(SUBSTITUTE(CB376,"0","")="",AND(LEN(CB376)&gt;=4,CB376=REPT(LEFT(CB376),LEN(CB376))),ISNUMBER(MATCH(CB376,{"123","1234","12345","123456","1234567","12345678","0123","01234","012345","98765","987654","54321"},0)),AND(LEN(CB376)=8,LEFT(CB376,3)="202"))),OR(AND((LEN(CA376)-LEN(SUBSTITUTE(CA376,"a","")))&gt;=1,SUMPRODUCT(--ISNUMBER(SEARCH({"a0","a-0","a_0","a/0","a.0","a#0","0a","0-a","0_a","0/a"},BP376)))&gt;0),ISNUMBER(SEARCH("000000",BP376)))),1,0),0)</f>
        <v>0</v>
      </c>
      <c r="BR376" s="61" t="n">
        <f aca="false">IFERROR(LEN(SUBSTITUTE(CC376," ",""))-SUMPRODUCT((LEN(CC376)-LEN(SUBSTITUTE(CC376," "&amp;L_Role&amp;" "," ")))/(LEN(L_Role)+1)*LEN(L_Role)),0)</f>
        <v>0</v>
      </c>
      <c r="BS376" s="61" t="n">
        <f aca="false">IFERROR(LEN(SUBSTITUTE(CD376," ",""))-SUMPRODUCT((LEN(CD376)-LEN(SUBSTITUTE(CD376," "&amp;L_Role&amp;" "," ")))/(LEN(L_Role)+1)*LEN(L_Role)),0)</f>
        <v>0</v>
      </c>
      <c r="BT3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376,"revision",""),"version",""),"jan",""),"feb",""),"mar",""),"apr",""),"may",""),"jun",""),"jul",""),"aug",""),"sep",""),"oct",""),"nov",""),"dec",""),"utc",""),"gmt",""),"myt",""),"bst",""),"rev",""),"ver",""),"b","a"),"c","a"),"d","a"),"e","a"),"f","a"),"g","a"),"h","a"),"i","a"),"j","a"),"k","a"),"l","a"),"m","a"),"n","a"),"o","a"),"p","a"),"q","a"),"r","a"),"s","a"),"t","a"),"u","a"),"v","a"),"w","a"),"x","a"),"y","a"),"z","a")</f>
        <v/>
      </c>
      <c r="BU376" s="61" t="str">
        <f aca="false">SUBSTITUTE(SUBSTITUTE(SUBSTITUTE(SUBSTITUTE(SUBSTITUTE(SUBSTITUTE(SUBSTITUTE(SUBSTITUTE(SUBSTITUTE(SUBSTITUTE(LEFT(BM376,FIND("0",BM376&amp;"0")-1),"-",""),"_",""),"/",""),".",""),"#",""),"\\",""),":","")," ",""),"(",""),")","")</f>
        <v/>
      </c>
      <c r="BV376" s="61" t="n">
        <f aca="false">IFERROR(IF(OR(SUMPRODUCT((LEN(BC376)-LEN(SUBSTITUTE(BC376," "&amp;L_NotLoaded&amp;" "," ")))/(LEN(L_NotLoaded)+1))&gt;SUMPRODUCT((LEN(BC376)-LEN(SUBSTITUTE(BC376," "&amp;L_NotLoadedNeg&amp;" "," ")))/(LEN(L_NotLoadedNeg)+1)),SUMPRODUCT((LEN(BD376)-LEN(SUBSTITUTE(BD376," "&amp;L_NotLoaded&amp;" "," ")))/(LEN(L_NotLoaded)+1))&gt;SUMPRODUCT((LEN(BD376)-LEN(SUBSTITUTE(BD376," "&amp;L_NotLoadedNeg&amp;" "," ")))/(LEN(L_NotLoadedNeg)+1))),1,0),0)</f>
        <v>0</v>
      </c>
      <c r="BW3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376&amp;""),"a",""),"b",""),"c",""),"d",""),"e",""),"f",""),"g",""),"h",""),"i",""),"j",""),"k",""),"l",""),"m",""),"n",""),"o",""),"p",""),"q",""),"r",""),"s",""),"t",""),"u",""),"v",""),"w",""),"x",""),"y",""),"z",""),"-",""),"_",""),"/",""),".",""),"#",""),"\\",""),":","")," ",""),"(",""),")","")</f>
        <v/>
      </c>
      <c r="BX376" s="61" t="str">
        <f aca="false">SUBSTITUTE(SUBSTITUTE(SUBSTITUTE(SUBSTITUTE(SUBSTITUTE(SUBSTITUTE(SUBSTITUTE(SUBSTITUTE(SUBSTITUTE(SUBSTITUTE(SUBSTITUTE(BM376,"0",""),"-",""),"_",""),"/",""),".",""),"#",""),"\\",""),":","")," ",""),"(",""),")","")</f>
        <v/>
      </c>
      <c r="BY376" s="62" t="n">
        <f aca="false">IF(ISNUMBER(Flights!$AZ$15),MAX(Q376-UpliftWindowH/24,Flights!$AZ$15),Q376-UpliftWindowH/24)</f>
        <v>46307.1979166667</v>
      </c>
      <c r="BZ376" s="61" t="n">
        <f aca="false">IFERROR(IF(IF(TRIM(S376)="Link / file path",AND(LEN(TRIM(Z376))&gt;=5,SUMPRODUCT(--ISNUMBER(SEARCH({"http","www.","\\",":\",".pdf",".jpg",".jpeg",".png",".heic",".xls",".doc",".msg",".eml",".ppt",".txt",".zip"},Z376)))&gt;0),AND(ISERROR(FIND(" ",TRIM(Z376))),NOT(OR(SUMPRODUCT(--ISNUMBER(FIND({",",";","&amp;","+"},Z376)))&gt;0,SUMPRODUCT(--ISNUMBER(SEARCH({"0/aa","0\\aa"},BN376)))&gt;0)),NOT(SUMPRODUCT(--ISNUMBER(SEARCH({"http","www.","\\",":\",".pdf",".jpg",".jpeg",".png",".heic",".xls",".doc",".msg",".eml",".ppt",".txt",".zip"},Z376)))&gt;0),NOT(LOWER(TRIM(Z376))=LOWER(Flights!$F$15)),ISNA(MATCH(BU376,{"mh","rev","revision","ver","version","v","r","a","b","seat","tray","row","gate","bay","stand","page","pg","item","line","no","cart","galley","flight","flt","table","box","bag","oven","etd","eta","std","sta","atd","ata","qty","pax","x","time","tel","ph","mob","day","wk","week","utc","gmt","myt","lt"},0)),NOT(OR(ISNUMBER(MATCH(LEFT(BN376,255),{"0000a","000a","00a","0000aa","000aa","00aa","0aa","0000aaa","000aaa","00a00","0a00","0000-0000","00:00","a00","a0","00.00.0000","00/00/0000","00-00-0000","0000-00-00","0000/00/00","0000.00.00","00.00.00","00/00/00","00-00-00","0.00.0000","0/00/0000","0-00-0000"},0)),ISNUMBER(MATCH(LEFT(BT376,255),{"0000a","000a","00a","0000aa","000aa","00aa","0aa","0000aaa","000aaa","00a00","0a00","0000-0000","00:00","a00","a0","00.00.0000","00/00/0000","00-00-0000","0000-00-00","0000/00/00","0000.00.00","00.00.00","00/00/00","00-00-00","0.00.0000","0/00/0000","0-00-0000"},0)))),NOT(OR(AND(BW376&lt;&gt;"",SUBSTITUTE(BW376,"0","")=""),AND(LEN(BW376)&gt;=4,BW376=REPT(LEFT(BW376),LEN(BW376))),ISNUMBER(MATCH(BW376,{"123","1234","12345","123456","1234567","12345678","0123","01234","012345","98765","987654","54321"},0)),ISNUMBER(MATCH(BX376,{"x","xx","xxx","xxxx","xxxxx","abc","abcd","nil","na","nan","test","tbc","tba","tbd","dummy","sample","example","eg","zz","zzz","none","null","xyz","qwe","asd","id","ref"},0)),AND(LEN(BW376)=8,BX376="",OR(LEFT(BW376,3)="202",ISNUMBER(MATCH(RIGHT(BW376,4),{"2025","2026","2027"},0)))))),OR(AND((LEN(BT376)-LEN(SUBSTITUTE(BT376,"a","")))&gt;=1,(LEN(BN376)-LEN(SUBSTITUTE(BN376,"0","")))&gt;=2,SUMPRODUCT(--ISNUMBER(SEARCH({"a0","a-0","a_0","a/0","a.0","a#0","0a","0-a","0_a","0/a"},BN376)))&gt;0),AND((LEN(BN376)-LEN(SUBSTITUTE(BN376,"a","")))=0,(LEN(BN376)-LEN(SUBSTITUTE(BN376,"0","")))&gt;=5)))),1,0),0)</f>
        <v>0</v>
      </c>
      <c r="CA3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376,"revision",""),"version",""),"jan",""),"feb",""),"mar",""),"apr",""),"may",""),"jun",""),"jul",""),"aug",""),"sep",""),"oct",""),"nov",""),"dec",""),"utc",""),"gmt",""),"myt",""),"bst",""),"rev",""),"ver",""),"b","a"),"c","a"),"d","a"),"e","a"),"f","a"),"g","a"),"h","a"),"i","a"),"j","a"),"k","a"),"l","a"),"m","a"),"n","a"),"o","a"),"p","a"),"q","a"),"r","a"),"s","a"),"t","a"),"u","a"),"v","a"),"w","a"),"x","a"),"y","a"),"z","a")</f>
        <v/>
      </c>
      <c r="CB3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376&amp;""),"a",""),"b",""),"c",""),"d",""),"e",""),"f",""),"g",""),"h",""),"i",""),"j",""),"k",""),"l",""),"m",""),"n",""),"o",""),"p",""),"q",""),"r",""),"s",""),"t",""),"u",""),"v",""),"w",""),"x",""),"y",""),"z",""),"-",""),"_",""),"/",""),".",""),"#",""),"\\",""),":","")," ",""),"(",""),")","")</f>
        <v/>
      </c>
      <c r="CC376" s="0" t="str">
        <f aca="false">" "&amp;TRIM(SUBSTITUTE(SUBSTITUTE(SUBSTITUTE(SUBSTITUTE(SUBSTITUTE(SUBSTITUTE(SUBSTITUTE(SUBSTITUTE(SUBSTITUTE(SUBSTITUTE(SUBSTITUTE(SUBSTITUTE(SUBSTITUTE(SUBSTITUTE(SUBSTITUTE(SUBSTITUTE(SUBSTITUTE(SUBSTITUTE(SUBSTITUTE(SUBSTITUTE(SUBSTITUTE(SUBSTITUTE(SUBSTITUTE(SUBSTITUTE(LOWER(T376&amp;""),CHAR(10)," "),CHAR(13)," "),CHAR(9)," "),CHAR(160)," "),"."," "),","," "),"-"," "),"/"," "),"("," "),")"," "),":"," "),";"," "),"_"," "),"–"," "),"?"," "),"!"," "),"*"," "),"["," "),"]"," "),"'"," "),"#"," "),"+"," "),"&amp;"," "),"\"," "))&amp;" "</f>
        <v>  </v>
      </c>
      <c r="CD376" s="0" t="str">
        <f aca="false">" "&amp;TRIM(SUBSTITUTE(SUBSTITUTE(SUBSTITUTE(SUBSTITUTE(SUBSTITUTE(SUBSTITUTE(SUBSTITUTE(SUBSTITUTE(SUBSTITUTE(SUBSTITUTE(SUBSTITUTE(SUBSTITUTE(SUBSTITUTE(SUBSTITUTE(SUBSTITUTE(SUBSTITUTE(SUBSTITUTE(SUBSTITUTE(SUBSTITUTE(SUBSTITUTE(SUBSTITUTE(SUBSTITUTE(SUBSTITUTE(SUBSTITUTE(LOWER(AE376&amp;""),CHAR(10)," "),CHAR(13)," "),CHAR(9)," "),CHAR(160)," "),"."," "),","," "),"-"," "),"/"," "),"("," "),")"," "),":"," "),";"," "),"_"," "),"–"," "),"?"," "),"!"," "),"*"," "),"["," "),"]"," "),"'"," "),"#"," "),"+"," "),"&amp;"," "),"\"," "))&amp;" "</f>
        <v>  </v>
      </c>
      <c r="CE376" s="68" t="n">
        <f aca="false">IFERROR(IF(AND(LEN(AU376)&gt;0,LEN(AU376)=LEN(AX376),OR(TRIM(MID(SUBSTITUTE(TRIM(CC376)," ",REPT(" ",60)),1,60))="",ISNUMBER(SEARCH(" "&amp;TRIM(MID(SUBSTITUTE(TRIM(CC376)," ",REPT(" ",60)),1,60))&amp;" ",CD376))),OR(TRIM(MID(SUBSTITUTE(TRIM(CC376)," ",REPT(" ",60)),61,60))="",ISNUMBER(SEARCH(" "&amp;TRIM(MID(SUBSTITUTE(TRIM(CC376)," ",REPT(" ",60)),61,60))&amp;" ",CD376))),OR(TRIM(MID(SUBSTITUTE(TRIM(CC376)," ",REPT(" ",60)),121,60))="",ISNUMBER(SEARCH(" "&amp;TRIM(MID(SUBSTITUTE(TRIM(CC376)," ",REPT(" ",60)),121,60))&amp;" ",CD376)))),1,0),0)</f>
        <v>0</v>
      </c>
      <c r="CG376" s="68" t="n">
        <f aca="false">IFERROR(LEN(SUBSTITUTE(BF376," ",""))-SUMPRODUCT((LEN(BF376)-LEN(SUBSTITUTE(BF376," "&amp;L_NAFiller&amp;" "," ")))/(LEN(L_NAFiller)+1)*LEN(L_NAFiller)),0)</f>
        <v>0</v>
      </c>
    </row>
    <row r="377" customFormat="false" ht="39.75" hidden="false" customHeight="true" outlineLevel="0" collapsed="false">
      <c r="A377" s="57" t="s">
        <v>986</v>
      </c>
      <c r="B377" s="57" t="s">
        <v>258</v>
      </c>
      <c r="C377" s="57" t="str">
        <f aca="false">Flights!$F$15</f>
        <v>MH1149</v>
      </c>
      <c r="D377" s="58" t="n">
        <f aca="false">Flights!$D$15</f>
        <v>46307</v>
      </c>
      <c r="E377" s="57" t="str">
        <f aca="false">Flights!$G$15&amp;"-"&amp;Flights!$H$15</f>
        <v>PEN-KUL</v>
      </c>
      <c r="F377" s="57" t="str">
        <f aca="false">Flights!$K$15</f>
        <v>EY</v>
      </c>
      <c r="G377" s="57" t="s">
        <v>459</v>
      </c>
      <c r="H377" s="57" t="s">
        <v>460</v>
      </c>
      <c r="I377" s="57" t="s">
        <v>428</v>
      </c>
      <c r="J377" s="57" t="s">
        <v>465</v>
      </c>
      <c r="K377" s="67" t="s">
        <v>426</v>
      </c>
      <c r="L377" s="67" t="s">
        <v>462</v>
      </c>
      <c r="M377" s="67"/>
      <c r="N377" s="67" t="s">
        <v>383</v>
      </c>
      <c r="O377" s="67" t="s">
        <v>463</v>
      </c>
      <c r="P377" s="57" t="s">
        <v>254</v>
      </c>
      <c r="Q377" s="59" t="n">
        <f aca="false">ROUND((Flights!$AF$15)*1440,0)/1440</f>
        <v>46307.3263888889</v>
      </c>
      <c r="R377" s="59" t="n">
        <f aca="false">Q377+(IF(AND(INDEX(TZ_DSTS,MATCH(P377,TZ_STN,0))&lt;&gt;"",Q377&gt;=INDEX(TZ_DSTS,MATCH(P377,TZ_STN,0)),Q377&lt;INDEX(TZ_DSTE,MATCH(P377,TZ_STN,0))),INDEX(TZ_DST,MATCH(P377,TZ_STN,0)),INDEX(TZ_STD,MATCH(P377,TZ_STN,0))))/24</f>
        <v>46307.6597222222</v>
      </c>
      <c r="S377" s="60"/>
      <c r="T377" s="60"/>
      <c r="U377" s="60"/>
      <c r="V377" s="60"/>
      <c r="W377" s="61"/>
      <c r="X377" s="60"/>
      <c r="Y377" s="60"/>
      <c r="Z377" s="60"/>
      <c r="AA377" s="60"/>
      <c r="AB377" s="60"/>
      <c r="AC377" s="60"/>
      <c r="AD377" s="66"/>
      <c r="AE377" s="60"/>
      <c r="AF377" s="61" t="str">
        <f aca="false">IF(AND(ISNUMBER(X377),ISNUMBER(Y377)),Y377-X377,"")</f>
        <v/>
      </c>
      <c r="AG377" s="62" t="str">
        <f aca="false">IF(ISNUMBER(AD377),AD377-(IF(AND(INDEX(TZ_DSTS,MATCH(P377,TZ_STN,0))&lt;&gt;"",(AD377-INDEX(TZ_STD,MATCH(P377,TZ_STN,0))/24)&gt;=INDEX(TZ_DSTS,MATCH(P377,TZ_STN,0)),(AD377-INDEX(TZ_STD,MATCH(P377,TZ_STN,0))/24)&lt;INDEX(TZ_DSTE,MATCH(P377,TZ_STN,0))),INDEX(TZ_DST,MATCH(P377,TZ_STN,0)),INDEX(TZ_STD,MATCH(P377,TZ_STN,0))))/24,"")</f>
        <v/>
      </c>
      <c r="AH377" s="65" t="str">
        <f aca="false">IFERROR(IF(N377="N/A – rule",IF(OR(TRIM(U377)="",TRIM(U377)="N/A",TRIM(U377)="Not started"),"N/A – RULE","INVALID – this check does not apply to this aircraft: clear the status (or correct the fleet on Flights)"),IF(TRIM(U377)="N/A",IF(AT377=0,"INVALID – N/A not permitted for this check",IF(AND(TRIM(AB377)&lt;&gt;"",TRIM(AB377)&lt;&gt;"Closed"),"INVALID – corrective action still open",IF(AND(NOT(OR(LEN(AZ377)&lt;15,ISNUMBER(MATCH(AZ377,L_Placeholder,0)))),BK377=0,CG377&gt;=8,NOT(OR(LEN(AU377)&lt;2,ISNUMBER(MATCH(AU377,L_Placeholder,0)))),BR377&gt;=3,NOT(OR(LEN(AX377)&lt;2,ISNUMBER(MATCH(AX377,L_Placeholder,0)))),BS377&gt;=3,TRIM(AE377)&lt;&gt;TRIM(T377),AX377&lt;&gt;AU377,CE377=0),"N/A – JUSTIFIED","INVALID – N/A needs a real, settled reason (not 'not applicable' / 'as above' / TBC), a named PIC and a different named verifier"))),IF(OR(TRIM(U377)="Pass",TRIM(U377)="Pass after CA"),IF(NOT(ISNUMBER(AD377)),"INVALID – completion time missing",IF(OR(OR(LEN(AU377)&lt;2,ISNUMBER(MATCH(AU377,L_Placeholder,0))),BR377&lt;3),"INVALID – PIC missing or not a named person (a role such as QA / CSM is not a name)",IF(OR(LEN(AV377)&lt;2,ISNUMBER(MATCH(AV377,L_Placeholder,0))),"INVALID – result / assessment missing",IF(OR(OR(LEN(AW377)&lt;3,ISNUMBER(MATCH(AW377,L_Placeholder,0))),SUMPRODUCT(--ISNUMBER(SEARCH(" "&amp;L_EvidencePhrase&amp;" ",BD377)))&gt;0,BI377=1),"INVALID – evidence missing, placeholder or not yet on file",IF(ISNA(MATCH(TRIM(S377),L_EvidenceType,0)),"INVALID – choose the evidence type from the list (column S)",IF(BL377=0,"INVALID – evidence ID must be the record's own ID only (e.g. SF-2210, IMG_2231, 1045521); a link / file name needs type 'Link / file path'",IF(OR(OR(LEN(AX377)&lt;2,ISNUMBER(MATCH(AX377,L_Placeholder,0))),BS377&lt;3),"INVALID – verifier missing or not a named person (a role such as QA / CSM is not a name)",IF(OR(AX377=AU377,CE377=1,AND(LEN(AU377)&gt;=4,ISNUMBER(SEARCH(AU377,AX377))),AND(LEN(AX377)&gt;=4,ISNUMBER(SEARCH(AX377,AU377)))),"INVALID – verifier must be a different, named person (not the PIC or a role)",IF(BH377=1,"INVALID – result not yet available (awaiting / TBC)",IF(BG377=1,"INVALID – result describes a problem: record Fail, then Pass after CA (or reword if it is not a problem)",IF(BV377=1,"INVALID – wording says not on board: an on-board confirmation needs the item loaded",IF(AND(AQ377=1,OR(OR(LEN(AY377)&lt;3,ISNUMBER(MATCH(AY377,L_Placeholder,0))),BJ377=1,BQ377=0)),"INVALID – batch ID missing, placeholder or not an ID (e.g. PASB-261008-BC-017)",IF(AND(AR377=1,OR(NOT(ISNUMBER(X377)),NOT(ISNUMBER(Y377)))),"INVALID – expected/actual qty missing",IF(AND(AR377=1,OR(X377&lt;=0,Y377&lt;0)),"INVALID – expected qty must be above 0 and actual not negative",IF(AH373="N/A – JUSTIFIED","INVALID – preparation row F11-T12-06 is N/A",IF(AND(AR377=1,ISNUMBER(X373),X377&lt;&gt;X373,TRIM(U377)&lt;&gt;"Pass after CA"),"INVALID – expected qty differs from preparation check F11-T12-06: record the load change as a corrective action (Pass after CA)",IF(BB377&lt;&gt;"",BB377,IF(AND(AS377=1,Documents!$J$15&lt;&gt;"ON FILE"),"INVALID – GLD not on file (Documents sheet)",IF(AND(AS377=2,Documents!$O$15&lt;&gt;"ON FILE"),"INVALID – menu checklist not on file (Documents sheet)",IF(AND(AS377=3,NOT(ISNUMBER(Flights!$AX$15))),"INVALID – enter carrying flight KUL departure (Flights AX)",IF(AND(AS377=3,OR(Flights!$AZ$15&gt;Flights!$AA$15,Flights!$AX$15&lt;Flights!$AA$15-3)),"INVALID – carrying flight (Flights AX) cannot arrive before this leg's STD, or is over 3 days early",IF(AG377&gt;AsOfUTC,"INVALID – completion time is in the future",IF(AND(ISNUMBER(BY377),AG377&lt;BY377),IF(H377="Physical uplift","INVALID – before uplift window (cannot confirm loading)","INVALID – before valid window"),IF(AG377&gt;Flights!$AA$15,"INVALID – completed after departure (cannot establish readiness)",IF(AND(H377="Preparation",AG377&gt;=IF(ISNUMBER(Flights!$BA$15),MIN(Flights!$BA$15,Flights!$AA$15),Flights!$AA$15)),"INVALID – completed after loading / departure (cannot establish readiness)",IF(AND(H377="Physical uplift",AG377&gt;Q377),"INVALID – recorded after the loading flight departed",IF(AG377&gt;Q377,"COMPLETE – LATE","COMPLETE"))))))))))))))))))))))))))),IF(TRIM(U377)="Fail","FAIL – DISCREPANCY",IF(AND(TRIM(U377)&lt;&gt;"",TRIM(U377)&lt;&gt;"Not started",TRIM(U377)&lt;&gt;"In progress"),"INVALID – unrecognised status (use the list)",IF(AsOfUTC&gt;Q377,"OVERDUE",IF(N377="Clarification required","OPEN – CLARIFICATION","OPEN"))))))),"INVALID – error value in an input cell")</f>
        <v>OPEN</v>
      </c>
      <c r="AI377" s="61" t="n">
        <f aca="false">IF(OR(AH377="N/A – RULE",AH377="N/A – JUSTIFIED"),0,1)</f>
        <v>1</v>
      </c>
      <c r="AJ377" s="61" t="n">
        <f aca="false">IF(LEFT(AH377,8)="COMPLETE",1,0)</f>
        <v>0</v>
      </c>
      <c r="AK377" s="61" t="n">
        <f aca="false">IF(AND(AI377=1,AJ377=0,AsOfUTC&gt;Q377),1,0)</f>
        <v>0</v>
      </c>
      <c r="AL377" s="61" t="n">
        <f aca="false">IFERROR(IF(AND(AI377=1,OR(TRIM(U377)="Fail",AND(TRIM(AB377)&lt;&gt;"",TRIM(AB377)&lt;&gt;"Closed"),AND(ISNUMBER(AF377),AF377&lt;&gt;0,TRIM(U377)&lt;&gt;"Pass after CA"))),1,0),1)</f>
        <v>0</v>
      </c>
      <c r="AM377" s="61" t="n">
        <f aca="false">IF(LEFT(AH377,7)="INVALID",1,0)</f>
        <v>0</v>
      </c>
      <c r="AN377" s="61" t="n">
        <f aca="false">IF(AND(N377="Clarification required",AI377=1,AJ377=0),1,0)</f>
        <v>0</v>
      </c>
      <c r="AO377" s="61" t="str">
        <f aca="false">IF(AK377=1,SUM(AK$5:AK377),"")</f>
        <v/>
      </c>
      <c r="AP377" s="61" t="str">
        <f aca="false">IF(AL377=1,SUM(AL$5:AL377),"")</f>
        <v/>
      </c>
      <c r="AQ377" s="61" t="n">
        <v>0</v>
      </c>
      <c r="AR377" s="61" t="n">
        <v>1</v>
      </c>
      <c r="AS377" s="61" t="n">
        <v>0</v>
      </c>
      <c r="AT377" s="61" t="n">
        <v>0</v>
      </c>
      <c r="AU377" s="61" t="str">
        <f aca="false">SUBSTITUTE(SUBSTITUTE(SUBSTITUTE(SUBSTITUTE(SUBSTITUTE(SUBSTITUTE(SUBSTITUTE(SUBSTITUTE(SUBSTITUTE(SUBSTITUTE(SUBSTITUTE(SUBSTITUTE(SUBSTITUTE(SUBSTITUTE(SUBSTITUTE(SUBSTITUTE(LOWER(T377&amp;""),CHAR(10),""),CHAR(13),""),CHAR(9),""),CHAR(160),"")," ",""),".",""),"-",""),"/",""),"?",""),"_",""),",",""),"[",""),"]",""),"(",""),")",""),"*","")</f>
        <v/>
      </c>
      <c r="AV377" s="61" t="str">
        <f aca="false">SUBSTITUTE(SUBSTITUTE(SUBSTITUTE(SUBSTITUTE(SUBSTITUTE(SUBSTITUTE(SUBSTITUTE(SUBSTITUTE(SUBSTITUTE(SUBSTITUTE(SUBSTITUTE(SUBSTITUTE(SUBSTITUTE(SUBSTITUTE(SUBSTITUTE(SUBSTITUTE(LOWER(V377&amp;""),CHAR(10),""),CHAR(13),""),CHAR(9),""),CHAR(160),"")," ",""),".",""),"-",""),"/",""),"?",""),"_",""),",",""),"[",""),"]",""),"(",""),")",""),"*","")</f>
        <v/>
      </c>
      <c r="AW377" s="61" t="str">
        <f aca="false">SUBSTITUTE(SUBSTITUTE(SUBSTITUTE(SUBSTITUTE(SUBSTITUTE(SUBSTITUTE(SUBSTITUTE(SUBSTITUTE(SUBSTITUTE(SUBSTITUTE(SUBSTITUTE(SUBSTITUTE(SUBSTITUTE(SUBSTITUTE(SUBSTITUTE(SUBSTITUTE(LOWER(Z377&amp;""),CHAR(10),""),CHAR(13),""),CHAR(9),""),CHAR(160),"")," ",""),".",""),"-",""),"/",""),"?",""),"_",""),",",""),"[",""),"]",""),"(",""),")",""),"*","")</f>
        <v/>
      </c>
      <c r="AX377" s="61" t="str">
        <f aca="false">SUBSTITUTE(SUBSTITUTE(SUBSTITUTE(SUBSTITUTE(SUBSTITUTE(SUBSTITUTE(SUBSTITUTE(SUBSTITUTE(SUBSTITUTE(SUBSTITUTE(SUBSTITUTE(SUBSTITUTE(SUBSTITUTE(SUBSTITUTE(SUBSTITUTE(SUBSTITUTE(LOWER(AE377&amp;""),CHAR(10),""),CHAR(13),""),CHAR(9),""),CHAR(160),"")," ",""),".",""),"-",""),"/",""),"?",""),"_",""),",",""),"[",""),"]",""),"(",""),")",""),"*","")</f>
        <v/>
      </c>
      <c r="AY377" s="61" t="str">
        <f aca="false">SUBSTITUTE(SUBSTITUTE(SUBSTITUTE(SUBSTITUTE(SUBSTITUTE(SUBSTITUTE(SUBSTITUTE(SUBSTITUTE(SUBSTITUTE(SUBSTITUTE(SUBSTITUTE(SUBSTITUTE(SUBSTITUTE(SUBSTITUTE(SUBSTITUTE(SUBSTITUTE(LOWER(W377&amp;""),CHAR(10),""),CHAR(13),""),CHAR(9),""),CHAR(160),"")," ",""),".",""),"-",""),"/",""),"?",""),"_",""),",",""),"[",""),"]",""),"(",""),")",""),"*","")</f>
        <v/>
      </c>
      <c r="AZ377" s="61" t="str">
        <f aca="false">SUBSTITUTE(SUBSTITUTE(SUBSTITUTE(SUBSTITUTE(SUBSTITUTE(SUBSTITUTE(SUBSTITUTE(SUBSTITUTE(SUBSTITUTE(SUBSTITUTE(SUBSTITUTE(SUBSTITUTE(SUBSTITUTE(SUBSTITUTE(SUBSTITUTE(SUBSTITUTE(LOWER(AC377&amp;""),CHAR(10),""),CHAR(13),""),CHAR(9),""),CHAR(160),"")," ",""),".",""),"-",""),"/",""),"?",""),"_",""),",",""),"[",""),"]",""),"(",""),")",""),"*","")</f>
        <v/>
      </c>
      <c r="BA377" s="61" t="str">
        <f aca="false">SUBSTITUTE(SUBSTITUTE(SUBSTITUTE(SUBSTITUTE(SUBSTITUTE(SUBSTITUTE(SUBSTITUTE(SUBSTITUTE(SUBSTITUTE(SUBSTITUTE(SUBSTITUTE(SUBSTITUTE(SUBSTITUTE(SUBSTITUTE(SUBSTITUTE(SUBSTITUTE(LOWER(AA377&amp;""),CHAR(10),""),CHAR(13),""),CHAR(9),""),CHAR(160),"")," ",""),".",""),"-",""),"/",""),"?",""),"_",""),",",""),"[",""),"]",""),"(",""),")",""),"*","")</f>
        <v/>
      </c>
      <c r="BB377" s="61" t="str">
        <f aca="false">IF(AND(TRIM(U377)="Pass",ISNUMBER(AF377)),IF(AF377&lt;&gt;0,"INVALID – qty variance: use Fail or Pass after CA",""),"")&amp;IF(AND(TRIM(U377)="Pass after CA",ISNUMBER(AF377)),IF(AF377&lt;&gt;0,"INVALID – after the corrective action the actual qty must equal expected (update Actual)",""),"")&amp;IF(AND(TRIM(U377)="Pass",TRIM(AB377)&lt;&gt;"",TRIM(AB377)&lt;&gt;"Closed"),"INVALID – corrective action not closed: use Fail, then Pass after CA","")&amp;IF(AND(LEN(BA377)&gt;=2,ISNA(MATCH(LEFT(BA377,255),L_Placeholder,0)),TRIM(AB377)=""),"INVALID – CA status missing for the recorded corrective action","")&amp;IF(AND(TRIM(U377)="Pass after CA",OR(OR(LEN(BA377)&lt;5,ISNUMBER(MATCH(BA377,L_Placeholder,0))),TRIM(AB377)&lt;&gt;"Closed")),"INVALID – corrective action not recorded/closed","")</f>
        <v/>
      </c>
      <c r="BC377" s="61" t="str">
        <f aca="false">" "&amp;TRIM(SUBSTITUTE(SUBSTITUTE(SUBSTITUTE(SUBSTITUTE(SUBSTITUTE(SUBSTITUTE(SUBSTITUTE(SUBSTITUTE(SUBSTITUTE(SUBSTITUTE(SUBSTITUTE(SUBSTITUTE(SUBSTITUTE(SUBSTITUTE(SUBSTITUTE(SUBSTITUTE(SUBSTITUTE(SUBSTITUTE(SUBSTITUTE(SUBSTITUTE(SUBSTITUTE(SUBSTITUTE(SUBSTITUTE(SUBSTITUTE(LOWER(V377&amp;""),CHAR(10)," "),CHAR(13)," "),CHAR(9)," "),CHAR(160)," "),"."," "),","," "),"-"," "),"/"," "),"("," "),")"," "),":"," "),";"," "),"_"," "),"–"," "),"?"," "),"!"," "),"*"," "),"["," "),"]"," "),"'"," "),"#"," "),"+"," "),"&amp;"," "),"\"," "))&amp;" "</f>
        <v>  </v>
      </c>
      <c r="BD377" s="61" t="str">
        <f aca="false">" "&amp;TRIM(SUBSTITUTE(SUBSTITUTE(SUBSTITUTE(SUBSTITUTE(SUBSTITUTE(SUBSTITUTE(SUBSTITUTE(SUBSTITUTE(SUBSTITUTE(SUBSTITUTE(SUBSTITUTE(SUBSTITUTE(SUBSTITUTE(SUBSTITUTE(SUBSTITUTE(SUBSTITUTE(SUBSTITUTE(SUBSTITUTE(SUBSTITUTE(SUBSTITUTE(SUBSTITUTE(SUBSTITUTE(SUBSTITUTE(SUBSTITUTE(LOWER(Z377&amp;""),CHAR(10)," "),CHAR(13)," "),CHAR(9)," "),CHAR(160)," "),"."," "),","," "),"-"," "),"/"," "),"("," "),")"," "),":"," "),";"," "),"_"," "),"–"," "),"?"," "),"!"," "),"*"," "),"["," "),"]"," "),"'"," "),"#"," "),"+"," "),"&amp;"," "),"\"," "))&amp;" "</f>
        <v>  </v>
      </c>
      <c r="BE377" s="61" t="str">
        <f aca="false">" "&amp;TRIM(SUBSTITUTE(SUBSTITUTE(SUBSTITUTE(SUBSTITUTE(SUBSTITUTE(SUBSTITUTE(SUBSTITUTE(SUBSTITUTE(SUBSTITUTE(SUBSTITUTE(SUBSTITUTE(SUBSTITUTE(SUBSTITUTE(SUBSTITUTE(SUBSTITUTE(SUBSTITUTE(SUBSTITUTE(SUBSTITUTE(SUBSTITUTE(SUBSTITUTE(SUBSTITUTE(SUBSTITUTE(SUBSTITUTE(SUBSTITUTE(LOWER(W377&amp;""),CHAR(10)," "),CHAR(13)," "),CHAR(9)," "),CHAR(160)," "),"."," "),","," "),"-"," "),"/"," "),"("," "),")"," "),":"," "),";"," "),"_"," "),"–"," "),"?"," "),"!"," "),"*"," "),"["," "),"]"," "),"'"," "),"#"," "),"+"," "),"&amp;"," "),"\"," "))&amp;" "</f>
        <v>  </v>
      </c>
      <c r="BF377" s="61" t="str">
        <f aca="false">" "&amp;TRIM(SUBSTITUTE(SUBSTITUTE(SUBSTITUTE(SUBSTITUTE(SUBSTITUTE(SUBSTITUTE(SUBSTITUTE(SUBSTITUTE(SUBSTITUTE(SUBSTITUTE(SUBSTITUTE(SUBSTITUTE(SUBSTITUTE(SUBSTITUTE(SUBSTITUTE(SUBSTITUTE(SUBSTITUTE(SUBSTITUTE(SUBSTITUTE(SUBSTITUTE(SUBSTITUTE(SUBSTITUTE(SUBSTITUTE(SUBSTITUTE(LOWER(AC377&amp;""),CHAR(10)," "),CHAR(13)," "),CHAR(9)," "),CHAR(160)," "),"."," "),","," "),"-"," "),"/"," "),"("," "),")"," "),":"," "),";"," "),"_"," "),"–"," "),"?"," "),"!"," "),"*"," "),"["," "),"]"," "),"'"," "),"#"," "),"+"," "),"&amp;"," "),"\"," "))&amp;" "</f>
        <v>  </v>
      </c>
      <c r="BG377" s="61" t="n">
        <f aca="false">IFERROR(IF(AND(TRIM(U377)="Pass",SUMPRODUCT((LEN(BC377)-LEN(SUBSTITUTE(BC377," "&amp;L_ResultBad&amp;" "," ")))/(LEN(L_ResultBad)+1))&gt;SUMPRODUCT((LEN(BC377)-LEN(SUBSTITUTE(BC377," "&amp;L_NegPhrase&amp;" "," ")))/(LEN(L_NegPhrase)+1))),1,0),0)</f>
        <v>0</v>
      </c>
      <c r="BH377" s="61" t="n">
        <f aca="false">IFERROR(IF(SUMPRODUCT((LEN(BC377)-LEN(SUBSTITUTE(BC377," "&amp;L_Pending&amp;" "," ")))/(LEN(L_Pending)+1))&gt;SUMPRODUCT((LEN(BC377)-LEN(SUBSTITUTE(BC377," "&amp;L_PendNeg&amp;" "," ")))/(LEN(L_PendNeg)+1)),1,0),1)</f>
        <v>0</v>
      </c>
      <c r="BI377" s="61" t="n">
        <f aca="false">IFERROR(IF(SUMPRODUCT((LEN(BD377)-LEN(SUBSTITUTE(BD377," "&amp;L_PendStrict&amp;" "," ")))/(LEN(L_PendStrict)+1))&gt;SUMPRODUCT((LEN(BD377)-LEN(SUBSTITUTE(BD377," "&amp;L_PendNeg&amp;" "," ")))/(LEN(L_PendNeg)+1)),1,0),1)</f>
        <v>0</v>
      </c>
      <c r="BJ377" s="61" t="n">
        <f aca="false">IFERROR(IF(SUMPRODUCT((LEN(BE377)-LEN(SUBSTITUTE(BE377," "&amp;L_Pending&amp;" "," ")))/(LEN(L_Pending)+1))&gt;SUMPRODUCT((LEN(BE377)-LEN(SUBSTITUTE(BE377," "&amp;L_PendNeg&amp;" "," ")))/(LEN(L_PendNeg)+1)),1,0),1)</f>
        <v>0</v>
      </c>
      <c r="BK377" s="61" t="n">
        <f aca="false">IFERROR(IF(SUMPRODUCT((LEN(BF377)-LEN(SUBSTITUTE(BF377," "&amp;L_PendStrict&amp;" "," ")))/(LEN(L_PendStrict)+1))&gt;SUMPRODUCT((LEN(BF377)-LEN(SUBSTITUTE(BF377," "&amp;L_PendNeg&amp;" "," ")))/(LEN(L_PendNeg)+1)),1,0),1)</f>
        <v>0</v>
      </c>
      <c r="BL377" s="61" t="n">
        <f aca="false">IF(ISNA(MATCH(TRIM(S377),L_EvidenceType,0)),0,BZ377)</f>
        <v>0</v>
      </c>
      <c r="BM377" s="61" t="str">
        <f aca="false">SUBSTITUTE(SUBSTITUTE(SUBSTITUTE(SUBSTITUTE(SUBSTITUTE(SUBSTITUTE(SUBSTITUTE(SUBSTITUTE(SUBSTITUTE(LOWER(Z377&amp;""),"1","0"),"2","0"),"3","0"),"4","0"),"5","0"),"6","0"),"7","0"),"8","0"),"9","0")</f>
        <v/>
      </c>
      <c r="BN377" s="61" t="str">
        <f aca="false">SUBSTITUTE(SUBSTITUTE(SUBSTITUTE(SUBSTITUTE(SUBSTITUTE(SUBSTITUTE(SUBSTITUTE(SUBSTITUTE(SUBSTITUTE(SUBSTITUTE(SUBSTITUTE(SUBSTITUTE(SUBSTITUTE(SUBSTITUTE(SUBSTITUTE(SUBSTITUTE(SUBSTITUTE(SUBSTITUTE(SUBSTITUTE(SUBSTITUTE(SUBSTITUTE(SUBSTITUTE(SUBSTITUTE(SUBSTITUTE(SUBSTITUTE(BM377,"b","a"),"c","a"),"d","a"),"e","a"),"f","a"),"g","a"),"h","a"),"i","a"),"j","a"),"k","a"),"l","a"),"m","a"),"n","a"),"o","a"),"p","a"),"q","a"),"r","a"),"s","a"),"t","a"),"u","a"),"v","a"),"w","a"),"x","a"),"y","a"),"z","a")</f>
        <v/>
      </c>
      <c r="BO377" s="61" t="str">
        <f aca="false">SUBSTITUTE(SUBSTITUTE(SUBSTITUTE(SUBSTITUTE(SUBSTITUTE(SUBSTITUTE(SUBSTITUTE(SUBSTITUTE(SUBSTITUTE(LOWER(W377&amp;""),"1","0"),"2","0"),"3","0"),"4","0"),"5","0"),"6","0"),"7","0"),"8","0"),"9","0")</f>
        <v/>
      </c>
      <c r="BP377" s="61" t="str">
        <f aca="false">SUBSTITUTE(SUBSTITUTE(SUBSTITUTE(SUBSTITUTE(SUBSTITUTE(SUBSTITUTE(SUBSTITUTE(SUBSTITUTE(SUBSTITUTE(SUBSTITUTE(SUBSTITUTE(SUBSTITUTE(SUBSTITUTE(SUBSTITUTE(SUBSTITUTE(SUBSTITUTE(SUBSTITUTE(SUBSTITUTE(SUBSTITUTE(SUBSTITUTE(SUBSTITUTE(SUBSTITUTE(SUBSTITUTE(SUBSTITUTE(SUBSTITUTE(BO377,"b","a"),"c","a"),"d","a"),"e","a"),"f","a"),"g","a"),"h","a"),"i","a"),"j","a"),"k","a"),"l","a"),"m","a"),"n","a"),"o","a"),"p","a"),"q","a"),"r","a"),"s","a"),"t","a"),"u","a"),"v","a"),"w","a"),"x","a"),"y","a"),"z","a")</f>
        <v/>
      </c>
      <c r="BQ377" s="61" t="n">
        <f aca="false">IFERROR(IF(AND(ISERROR(SEARCH(" mh"," "&amp;LOWER(W377))),ISNA(MATCH(LEFT(TRIM(BP377),255),{"0000a","000a","00a","0000aa","000aa","00aa","0aa","0000aaa","000aaa","00a00","0a00","0000-0000","00:00","a00","a0","00.00.0000","00/00/0000","00-00-0000","0000-00-00","0000/00/00","0000.00.00","00.00.00","00/00/00","00-00-00","0.00.0000","0/00/0000","0-00-0000"},0)),ISNA(MATCH(LEFT(TRIM(CA377),255),{"0000a","000a","00a","0000aa","000aa","00aa","0aa","0000aaa","000aaa","00a00","0a00","0000-0000","00:00","a00","a0","00.00.0000","00/00/0000","00-00-0000","0000-00-00","0000/00/00","0000.00.00","00.00.00","00/00/00","00-00-00","0.00.0000","0/00/0000","0-00-0000"},0)),LEN(CB377)&gt;=3,NOT(OR(SUBSTITUTE(CB377,"0","")="",AND(LEN(CB377)&gt;=4,CB377=REPT(LEFT(CB377),LEN(CB377))),ISNUMBER(MATCH(CB377,{"123","1234","12345","123456","1234567","12345678","0123","01234","012345","98765","987654","54321"},0)),AND(LEN(CB377)=8,LEFT(CB377,3)="202"))),OR(AND((LEN(CA377)-LEN(SUBSTITUTE(CA377,"a","")))&gt;=1,SUMPRODUCT(--ISNUMBER(SEARCH({"a0","a-0","a_0","a/0","a.0","a#0","0a","0-a","0_a","0/a"},BP377)))&gt;0),ISNUMBER(SEARCH("000000",BP377)))),1,0),0)</f>
        <v>0</v>
      </c>
      <c r="BR377" s="61" t="n">
        <f aca="false">IFERROR(LEN(SUBSTITUTE(CC377," ",""))-SUMPRODUCT((LEN(CC377)-LEN(SUBSTITUTE(CC377," "&amp;L_Role&amp;" "," ")))/(LEN(L_Role)+1)*LEN(L_Role)),0)</f>
        <v>0</v>
      </c>
      <c r="BS377" s="61" t="n">
        <f aca="false">IFERROR(LEN(SUBSTITUTE(CD377," ",""))-SUMPRODUCT((LEN(CD377)-LEN(SUBSTITUTE(CD377," "&amp;L_Role&amp;" "," ")))/(LEN(L_Role)+1)*LEN(L_Role)),0)</f>
        <v>0</v>
      </c>
      <c r="BT3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377,"revision",""),"version",""),"jan",""),"feb",""),"mar",""),"apr",""),"may",""),"jun",""),"jul",""),"aug",""),"sep",""),"oct",""),"nov",""),"dec",""),"utc",""),"gmt",""),"myt",""),"bst",""),"rev",""),"ver",""),"b","a"),"c","a"),"d","a"),"e","a"),"f","a"),"g","a"),"h","a"),"i","a"),"j","a"),"k","a"),"l","a"),"m","a"),"n","a"),"o","a"),"p","a"),"q","a"),"r","a"),"s","a"),"t","a"),"u","a"),"v","a"),"w","a"),"x","a"),"y","a"),"z","a")</f>
        <v/>
      </c>
      <c r="BU377" s="61" t="str">
        <f aca="false">SUBSTITUTE(SUBSTITUTE(SUBSTITUTE(SUBSTITUTE(SUBSTITUTE(SUBSTITUTE(SUBSTITUTE(SUBSTITUTE(SUBSTITUTE(SUBSTITUTE(LEFT(BM377,FIND("0",BM377&amp;"0")-1),"-",""),"_",""),"/",""),".",""),"#",""),"\\",""),":","")," ",""),"(",""),")","")</f>
        <v/>
      </c>
      <c r="BV377" s="61" t="n">
        <f aca="false">IFERROR(IF(OR(SUMPRODUCT((LEN(BC377)-LEN(SUBSTITUTE(BC377," "&amp;L_NotLoaded&amp;" "," ")))/(LEN(L_NotLoaded)+1))&gt;SUMPRODUCT((LEN(BC377)-LEN(SUBSTITUTE(BC377," "&amp;L_NotLoadedNeg&amp;" "," ")))/(LEN(L_NotLoadedNeg)+1)),SUMPRODUCT((LEN(BD377)-LEN(SUBSTITUTE(BD377," "&amp;L_NotLoaded&amp;" "," ")))/(LEN(L_NotLoaded)+1))&gt;SUMPRODUCT((LEN(BD377)-LEN(SUBSTITUTE(BD377," "&amp;L_NotLoadedNeg&amp;" "," ")))/(LEN(L_NotLoadedNeg)+1))),1,0),0)</f>
        <v>0</v>
      </c>
      <c r="BW3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377&amp;""),"a",""),"b",""),"c",""),"d",""),"e",""),"f",""),"g",""),"h",""),"i",""),"j",""),"k",""),"l",""),"m",""),"n",""),"o",""),"p",""),"q",""),"r",""),"s",""),"t",""),"u",""),"v",""),"w",""),"x",""),"y",""),"z",""),"-",""),"_",""),"/",""),".",""),"#",""),"\\",""),":","")," ",""),"(",""),")","")</f>
        <v/>
      </c>
      <c r="BX377" s="61" t="str">
        <f aca="false">SUBSTITUTE(SUBSTITUTE(SUBSTITUTE(SUBSTITUTE(SUBSTITUTE(SUBSTITUTE(SUBSTITUTE(SUBSTITUTE(SUBSTITUTE(SUBSTITUTE(SUBSTITUTE(BM377,"0",""),"-",""),"_",""),"/",""),".",""),"#",""),"\\",""),":","")," ",""),"(",""),")","")</f>
        <v/>
      </c>
      <c r="BY377" s="62" t="n">
        <f aca="false">IF(ISNUMBER(Flights!$AZ$15),MAX(Q377-UpliftWindowH/24,Flights!$AZ$15),Q377-UpliftWindowH/24)</f>
        <v>46307.1979166667</v>
      </c>
      <c r="BZ377" s="61" t="n">
        <f aca="false">IFERROR(IF(IF(TRIM(S377)="Link / file path",AND(LEN(TRIM(Z377))&gt;=5,SUMPRODUCT(--ISNUMBER(SEARCH({"http","www.","\\",":\",".pdf",".jpg",".jpeg",".png",".heic",".xls",".doc",".msg",".eml",".ppt",".txt",".zip"},Z377)))&gt;0),AND(ISERROR(FIND(" ",TRIM(Z377))),NOT(OR(SUMPRODUCT(--ISNUMBER(FIND({",",";","&amp;","+"},Z377)))&gt;0,SUMPRODUCT(--ISNUMBER(SEARCH({"0/aa","0\\aa"},BN377)))&gt;0)),NOT(SUMPRODUCT(--ISNUMBER(SEARCH({"http","www.","\\",":\",".pdf",".jpg",".jpeg",".png",".heic",".xls",".doc",".msg",".eml",".ppt",".txt",".zip"},Z377)))&gt;0),NOT(LOWER(TRIM(Z377))=LOWER(Flights!$F$15)),ISNA(MATCH(BU377,{"mh","rev","revision","ver","version","v","r","a","b","seat","tray","row","gate","bay","stand","page","pg","item","line","no","cart","galley","flight","flt","table","box","bag","oven","etd","eta","std","sta","atd","ata","qty","pax","x","time","tel","ph","mob","day","wk","week","utc","gmt","myt","lt"},0)),NOT(OR(ISNUMBER(MATCH(LEFT(BN377,255),{"0000a","000a","00a","0000aa","000aa","00aa","0aa","0000aaa","000aaa","00a00","0a00","0000-0000","00:00","a00","a0","00.00.0000","00/00/0000","00-00-0000","0000-00-00","0000/00/00","0000.00.00","00.00.00","00/00/00","00-00-00","0.00.0000","0/00/0000","0-00-0000"},0)),ISNUMBER(MATCH(LEFT(BT377,255),{"0000a","000a","00a","0000aa","000aa","00aa","0aa","0000aaa","000aaa","00a00","0a00","0000-0000","00:00","a00","a0","00.00.0000","00/00/0000","00-00-0000","0000-00-00","0000/00/00","0000.00.00","00.00.00","00/00/00","00-00-00","0.00.0000","0/00/0000","0-00-0000"},0)))),NOT(OR(AND(BW377&lt;&gt;"",SUBSTITUTE(BW377,"0","")=""),AND(LEN(BW377)&gt;=4,BW377=REPT(LEFT(BW377),LEN(BW377))),ISNUMBER(MATCH(BW377,{"123","1234","12345","123456","1234567","12345678","0123","01234","012345","98765","987654","54321"},0)),ISNUMBER(MATCH(BX377,{"x","xx","xxx","xxxx","xxxxx","abc","abcd","nil","na","nan","test","tbc","tba","tbd","dummy","sample","example","eg","zz","zzz","none","null","xyz","qwe","asd","id","ref"},0)),AND(LEN(BW377)=8,BX377="",OR(LEFT(BW377,3)="202",ISNUMBER(MATCH(RIGHT(BW377,4),{"2025","2026","2027"},0)))))),OR(AND((LEN(BT377)-LEN(SUBSTITUTE(BT377,"a","")))&gt;=1,(LEN(BN377)-LEN(SUBSTITUTE(BN377,"0","")))&gt;=2,SUMPRODUCT(--ISNUMBER(SEARCH({"a0","a-0","a_0","a/0","a.0","a#0","0a","0-a","0_a","0/a"},BN377)))&gt;0),AND((LEN(BN377)-LEN(SUBSTITUTE(BN377,"a","")))=0,(LEN(BN377)-LEN(SUBSTITUTE(BN377,"0","")))&gt;=5)))),1,0),0)</f>
        <v>0</v>
      </c>
      <c r="CA3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377,"revision",""),"version",""),"jan",""),"feb",""),"mar",""),"apr",""),"may",""),"jun",""),"jul",""),"aug",""),"sep",""),"oct",""),"nov",""),"dec",""),"utc",""),"gmt",""),"myt",""),"bst",""),"rev",""),"ver",""),"b","a"),"c","a"),"d","a"),"e","a"),"f","a"),"g","a"),"h","a"),"i","a"),"j","a"),"k","a"),"l","a"),"m","a"),"n","a"),"o","a"),"p","a"),"q","a"),"r","a"),"s","a"),"t","a"),"u","a"),"v","a"),"w","a"),"x","a"),"y","a"),"z","a")</f>
        <v/>
      </c>
      <c r="CB3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377&amp;""),"a",""),"b",""),"c",""),"d",""),"e",""),"f",""),"g",""),"h",""),"i",""),"j",""),"k",""),"l",""),"m",""),"n",""),"o",""),"p",""),"q",""),"r",""),"s",""),"t",""),"u",""),"v",""),"w",""),"x",""),"y",""),"z",""),"-",""),"_",""),"/",""),".",""),"#",""),"\\",""),":","")," ",""),"(",""),")","")</f>
        <v/>
      </c>
      <c r="CC377" s="0" t="str">
        <f aca="false">" "&amp;TRIM(SUBSTITUTE(SUBSTITUTE(SUBSTITUTE(SUBSTITUTE(SUBSTITUTE(SUBSTITUTE(SUBSTITUTE(SUBSTITUTE(SUBSTITUTE(SUBSTITUTE(SUBSTITUTE(SUBSTITUTE(SUBSTITUTE(SUBSTITUTE(SUBSTITUTE(SUBSTITUTE(SUBSTITUTE(SUBSTITUTE(SUBSTITUTE(SUBSTITUTE(SUBSTITUTE(SUBSTITUTE(SUBSTITUTE(SUBSTITUTE(LOWER(T377&amp;""),CHAR(10)," "),CHAR(13)," "),CHAR(9)," "),CHAR(160)," "),"."," "),","," "),"-"," "),"/"," "),"("," "),")"," "),":"," "),";"," "),"_"," "),"–"," "),"?"," "),"!"," "),"*"," "),"["," "),"]"," "),"'"," "),"#"," "),"+"," "),"&amp;"," "),"\"," "))&amp;" "</f>
        <v>  </v>
      </c>
      <c r="CD377" s="0" t="str">
        <f aca="false">" "&amp;TRIM(SUBSTITUTE(SUBSTITUTE(SUBSTITUTE(SUBSTITUTE(SUBSTITUTE(SUBSTITUTE(SUBSTITUTE(SUBSTITUTE(SUBSTITUTE(SUBSTITUTE(SUBSTITUTE(SUBSTITUTE(SUBSTITUTE(SUBSTITUTE(SUBSTITUTE(SUBSTITUTE(SUBSTITUTE(SUBSTITUTE(SUBSTITUTE(SUBSTITUTE(SUBSTITUTE(SUBSTITUTE(SUBSTITUTE(SUBSTITUTE(LOWER(AE377&amp;""),CHAR(10)," "),CHAR(13)," "),CHAR(9)," "),CHAR(160)," "),"."," "),","," "),"-"," "),"/"," "),"("," "),")"," "),":"," "),";"," "),"_"," "),"–"," "),"?"," "),"!"," "),"*"," "),"["," "),"]"," "),"'"," "),"#"," "),"+"," "),"&amp;"," "),"\"," "))&amp;" "</f>
        <v>  </v>
      </c>
      <c r="CE377" s="68" t="n">
        <f aca="false">IFERROR(IF(AND(LEN(AU377)&gt;0,LEN(AU377)=LEN(AX377),OR(TRIM(MID(SUBSTITUTE(TRIM(CC377)," ",REPT(" ",60)),1,60))="",ISNUMBER(SEARCH(" "&amp;TRIM(MID(SUBSTITUTE(TRIM(CC377)," ",REPT(" ",60)),1,60))&amp;" ",CD377))),OR(TRIM(MID(SUBSTITUTE(TRIM(CC377)," ",REPT(" ",60)),61,60))="",ISNUMBER(SEARCH(" "&amp;TRIM(MID(SUBSTITUTE(TRIM(CC377)," ",REPT(" ",60)),61,60))&amp;" ",CD377))),OR(TRIM(MID(SUBSTITUTE(TRIM(CC377)," ",REPT(" ",60)),121,60))="",ISNUMBER(SEARCH(" "&amp;TRIM(MID(SUBSTITUTE(TRIM(CC377)," ",REPT(" ",60)),121,60))&amp;" ",CD377)))),1,0),0)</f>
        <v>0</v>
      </c>
      <c r="CG377" s="68" t="n">
        <f aca="false">IFERROR(LEN(SUBSTITUTE(BF377," ",""))-SUMPRODUCT((LEN(BF377)-LEN(SUBSTITUTE(BF377," "&amp;L_NAFiller&amp;" "," ")))/(LEN(L_NAFiller)+1)*LEN(L_NAFiller)),0)</f>
        <v>0</v>
      </c>
    </row>
    <row r="378" customFormat="false" ht="66" hidden="false" customHeight="true" outlineLevel="0" collapsed="false">
      <c r="A378" s="57" t="s">
        <v>987</v>
      </c>
      <c r="B378" s="57" t="s">
        <v>258</v>
      </c>
      <c r="C378" s="57" t="str">
        <f aca="false">Flights!$F$15</f>
        <v>MH1149</v>
      </c>
      <c r="D378" s="58" t="n">
        <f aca="false">Flights!$D$15</f>
        <v>46307</v>
      </c>
      <c r="E378" s="57" t="str">
        <f aca="false">Flights!$G$15&amp;"-"&amp;Flights!$H$15</f>
        <v>PEN-KUL</v>
      </c>
      <c r="F378" s="57" t="str">
        <f aca="false">Flights!$K$15</f>
        <v>EY</v>
      </c>
      <c r="G378" s="57" t="s">
        <v>459</v>
      </c>
      <c r="H378" s="57" t="s">
        <v>460</v>
      </c>
      <c r="I378" s="57" t="s">
        <v>411</v>
      </c>
      <c r="J378" s="57" t="s">
        <v>988</v>
      </c>
      <c r="K378" s="67" t="s">
        <v>989</v>
      </c>
      <c r="L378" s="67" t="s">
        <v>990</v>
      </c>
      <c r="M378" s="67"/>
      <c r="N378" s="67" t="s">
        <v>383</v>
      </c>
      <c r="O378" s="67" t="s">
        <v>991</v>
      </c>
      <c r="P378" s="57" t="s">
        <v>187</v>
      </c>
      <c r="Q378" s="59" t="n">
        <f aca="false">ROUND((Flights!$AY$15+UpliftWindowH/24)*1440,0)/1440</f>
        <v>46307.15625</v>
      </c>
      <c r="R378" s="59" t="n">
        <f aca="false">Q378+(IF(AND(INDEX(TZ_DSTS,MATCH(P378,TZ_STN,0))&lt;&gt;"",Q378&gt;=INDEX(TZ_DSTS,MATCH(P378,TZ_STN,0)),Q378&lt;INDEX(TZ_DSTE,MATCH(P378,TZ_STN,0))),INDEX(TZ_DST,MATCH(P378,TZ_STN,0)),INDEX(TZ_STD,MATCH(P378,TZ_STN,0))))/24</f>
        <v>46307.4895833333</v>
      </c>
      <c r="S378" s="60"/>
      <c r="T378" s="60"/>
      <c r="U378" s="60"/>
      <c r="V378" s="60"/>
      <c r="W378" s="61"/>
      <c r="X378" s="60"/>
      <c r="Y378" s="60"/>
      <c r="Z378" s="60"/>
      <c r="AA378" s="60"/>
      <c r="AB378" s="60"/>
      <c r="AC378" s="60"/>
      <c r="AD378" s="66"/>
      <c r="AE378" s="60"/>
      <c r="AF378" s="61" t="str">
        <f aca="false">IF(AND(ISNUMBER(X378),ISNUMBER(Y378)),Y378-X378,"")</f>
        <v/>
      </c>
      <c r="AG378" s="62" t="str">
        <f aca="false">IF(ISNUMBER(AD378),AD378-(IF(AND(INDEX(TZ_DSTS,MATCH(P378,TZ_STN,0))&lt;&gt;"",(AD378-INDEX(TZ_STD,MATCH(P378,TZ_STN,0))/24)&gt;=INDEX(TZ_DSTS,MATCH(P378,TZ_STN,0)),(AD378-INDEX(TZ_STD,MATCH(P378,TZ_STN,0))/24)&lt;INDEX(TZ_DSTE,MATCH(P378,TZ_STN,0))),INDEX(TZ_DST,MATCH(P378,TZ_STN,0)),INDEX(TZ_STD,MATCH(P378,TZ_STN,0))))/24,"")</f>
        <v/>
      </c>
      <c r="AH378" s="65" t="str">
        <f aca="false">IFERROR(IF(N378="N/A – rule",IF(OR(TRIM(U378)="",TRIM(U378)="N/A",TRIM(U378)="Not started"),"N/A – RULE","INVALID – this check does not apply to this aircraft: clear the status (or correct the fleet on Flights)"),IF(TRIM(U378)="N/A",IF(AT378=0,"INVALID – N/A not permitted for this check",IF(AND(TRIM(AB378)&lt;&gt;"",TRIM(AB378)&lt;&gt;"Closed"),"INVALID – corrective action still open",IF(AND(NOT(OR(LEN(AZ378)&lt;15,ISNUMBER(MATCH(AZ378,L_Placeholder,0)))),BK378=0,CG378&gt;=8,NOT(OR(LEN(AU378)&lt;2,ISNUMBER(MATCH(AU378,L_Placeholder,0)))),BR378&gt;=3,NOT(OR(LEN(AX378)&lt;2,ISNUMBER(MATCH(AX378,L_Placeholder,0)))),BS378&gt;=3,TRIM(AE378)&lt;&gt;TRIM(T378),AX378&lt;&gt;AU378,CE378=0),"N/A – JUSTIFIED","INVALID – N/A needs a real, settled reason (not 'not applicable' / 'as above' / TBC), a named PIC and a different named verifier"))),IF(OR(TRIM(U378)="Pass",TRIM(U378)="Pass after CA"),IF(NOT(ISNUMBER(AD378)),"INVALID – completion time missing",IF(OR(OR(LEN(AU378)&lt;2,ISNUMBER(MATCH(AU378,L_Placeholder,0))),BR378&lt;3),"INVALID – PIC missing or not a named person (a role such as QA / CSM is not a name)",IF(OR(LEN(AV378)&lt;2,ISNUMBER(MATCH(AV378,L_Placeholder,0))),"INVALID – result / assessment missing",IF(OR(OR(LEN(AW378)&lt;3,ISNUMBER(MATCH(AW378,L_Placeholder,0))),SUMPRODUCT(--ISNUMBER(SEARCH(" "&amp;L_EvidencePhrase&amp;" ",BD378)))&gt;0,BI378=1),"INVALID – evidence missing, placeholder or not yet on file",IF(ISNA(MATCH(TRIM(S378),L_EvidenceType,0)),"INVALID – choose the evidence type from the list (column S)",IF(BL378=0,"INVALID – evidence ID must be the record's own ID only (e.g. SF-2210, IMG_2231, 1045521); a link / file name needs type 'Link / file path'",IF(OR(OR(LEN(AX378)&lt;2,ISNUMBER(MATCH(AX378,L_Placeholder,0))),BS378&lt;3),"INVALID – verifier missing or not a named person (a role such as QA / CSM is not a name)",IF(OR(AX378=AU378,CE378=1,AND(LEN(AU378)&gt;=4,ISNUMBER(SEARCH(AU378,AX378))),AND(LEN(AX378)&gt;=4,ISNUMBER(SEARCH(AX378,AU378)))),"INVALID – verifier must be a different, named person (not the PIC or a role)",IF(BH378=1,"INVALID – result not yet available (awaiting / TBC)",IF(BG378=1,"INVALID – result describes a problem: record Fail, then Pass after CA (or reword if it is not a problem)",IF(BV378=1,"INVALID – wording says not on board: an on-board confirmation needs the item loaded",IF(AND(AQ378=1,OR(OR(LEN(AY378)&lt;3,ISNUMBER(MATCH(AY378,L_Placeholder,0))),BJ378=1,BQ378=0)),"INVALID – batch ID missing, placeholder or not an ID (e.g. PASB-261008-BC-017)",IF(AND(AR378=1,OR(NOT(ISNUMBER(X378)),NOT(ISNUMBER(Y378)))),"INVALID – expected/actual qty missing",IF(AND(AR378=1,OR(X378&lt;=0,Y378&lt;0)),"INVALID – expected qty must be above 0 and actual not negative",IF(BB378&lt;&gt;"",BB378,IF(AND(AS378=1,Documents!$J$15&lt;&gt;"ON FILE"),"INVALID – GLD not on file (Documents sheet)",IF(AND(AS378=2,Documents!$O$15&lt;&gt;"ON FILE"),"INVALID – menu checklist not on file (Documents sheet)",IF(AND(AS378=3,NOT(ISNUMBER(Flights!$AX$15))),"INVALID – enter carrying flight KUL departure (Flights AX)",IF(AND(AS378=3,OR(Flights!$AZ$15&gt;Flights!$AA$15,Flights!$AX$15&lt;Flights!$AA$15-3)),"INVALID – carrying flight (Flights AX) cannot arrive before this leg's STD, or is over 3 days early",IF(AG378&gt;AsOfUTC,"INVALID – completion time is in the future",IF(AND(ISNUMBER(BY378),AG378&lt;BY378),IF(H378="Physical uplift","INVALID – before uplift window (cannot confirm loading)","INVALID – before valid window"),IF(AG378&gt;Flights!$AA$15,"INVALID – completed after departure (cannot establish readiness)",IF(AND(H378="Preparation",AG378&gt;=Flights!$AY$15+UpliftWindowH/24),"INVALID – completed after the carrying flight left KUL",IF(AND(H378="Physical uplift",AG378&gt;Q378),"INVALID – recorded after the loading flight departed",IF(AG378&gt;Q378,"COMPLETE – LATE","COMPLETE"))))))))))))))))))))))))),IF(TRIM(U378)="Fail","FAIL – DISCREPANCY",IF(AND(TRIM(U378)&lt;&gt;"",TRIM(U378)&lt;&gt;"Not started",TRIM(U378)&lt;&gt;"In progress"),"INVALID – unrecognised status (use the list)",IF(AsOfUTC&gt;Q378,"OVERDUE",IF(N378="Clarification required","OPEN – CLARIFICATION","OPEN"))))))),"INVALID – error value in an input cell")</f>
        <v>OPEN</v>
      </c>
      <c r="AI378" s="61" t="n">
        <f aca="false">IF(OR(AH378="N/A – RULE",AH378="N/A – JUSTIFIED"),0,1)</f>
        <v>1</v>
      </c>
      <c r="AJ378" s="61" t="n">
        <f aca="false">IF(LEFT(AH378,8)="COMPLETE",1,0)</f>
        <v>0</v>
      </c>
      <c r="AK378" s="61" t="n">
        <f aca="false">IF(AND(AI378=1,AJ378=0,AsOfUTC&gt;Q378),1,0)</f>
        <v>0</v>
      </c>
      <c r="AL378" s="61" t="n">
        <f aca="false">IFERROR(IF(AND(AI378=1,OR(TRIM(U378)="Fail",AND(TRIM(AB378)&lt;&gt;"",TRIM(AB378)&lt;&gt;"Closed"),AND(ISNUMBER(AF378),AF378&lt;&gt;0,TRIM(U378)&lt;&gt;"Pass after CA"))),1,0),1)</f>
        <v>0</v>
      </c>
      <c r="AM378" s="61" t="n">
        <f aca="false">IF(LEFT(AH378,7)="INVALID",1,0)</f>
        <v>0</v>
      </c>
      <c r="AN378" s="61" t="n">
        <f aca="false">IF(AND(N378="Clarification required",AI378=1,AJ378=0),1,0)</f>
        <v>0</v>
      </c>
      <c r="AO378" s="61" t="str">
        <f aca="false">IF(AK378=1,SUM(AK$5:AK378),"")</f>
        <v/>
      </c>
      <c r="AP378" s="61" t="str">
        <f aca="false">IF(AL378=1,SUM(AL$5:AL378),"")</f>
        <v/>
      </c>
      <c r="AQ378" s="61" t="n">
        <v>0</v>
      </c>
      <c r="AR378" s="61" t="n">
        <v>0</v>
      </c>
      <c r="AS378" s="61" t="n">
        <v>0</v>
      </c>
      <c r="AT378" s="61" t="n">
        <v>0</v>
      </c>
      <c r="AU378" s="61" t="str">
        <f aca="false">SUBSTITUTE(SUBSTITUTE(SUBSTITUTE(SUBSTITUTE(SUBSTITUTE(SUBSTITUTE(SUBSTITUTE(SUBSTITUTE(SUBSTITUTE(SUBSTITUTE(SUBSTITUTE(SUBSTITUTE(SUBSTITUTE(SUBSTITUTE(SUBSTITUTE(SUBSTITUTE(LOWER(T378&amp;""),CHAR(10),""),CHAR(13),""),CHAR(9),""),CHAR(160),"")," ",""),".",""),"-",""),"/",""),"?",""),"_",""),",",""),"[",""),"]",""),"(",""),")",""),"*","")</f>
        <v/>
      </c>
      <c r="AV378" s="61" t="str">
        <f aca="false">SUBSTITUTE(SUBSTITUTE(SUBSTITUTE(SUBSTITUTE(SUBSTITUTE(SUBSTITUTE(SUBSTITUTE(SUBSTITUTE(SUBSTITUTE(SUBSTITUTE(SUBSTITUTE(SUBSTITUTE(SUBSTITUTE(SUBSTITUTE(SUBSTITUTE(SUBSTITUTE(LOWER(V378&amp;""),CHAR(10),""),CHAR(13),""),CHAR(9),""),CHAR(160),"")," ",""),".",""),"-",""),"/",""),"?",""),"_",""),",",""),"[",""),"]",""),"(",""),")",""),"*","")</f>
        <v/>
      </c>
      <c r="AW378" s="61" t="str">
        <f aca="false">SUBSTITUTE(SUBSTITUTE(SUBSTITUTE(SUBSTITUTE(SUBSTITUTE(SUBSTITUTE(SUBSTITUTE(SUBSTITUTE(SUBSTITUTE(SUBSTITUTE(SUBSTITUTE(SUBSTITUTE(SUBSTITUTE(SUBSTITUTE(SUBSTITUTE(SUBSTITUTE(LOWER(Z378&amp;""),CHAR(10),""),CHAR(13),""),CHAR(9),""),CHAR(160),"")," ",""),".",""),"-",""),"/",""),"?",""),"_",""),",",""),"[",""),"]",""),"(",""),")",""),"*","")</f>
        <v/>
      </c>
      <c r="AX378" s="61" t="str">
        <f aca="false">SUBSTITUTE(SUBSTITUTE(SUBSTITUTE(SUBSTITUTE(SUBSTITUTE(SUBSTITUTE(SUBSTITUTE(SUBSTITUTE(SUBSTITUTE(SUBSTITUTE(SUBSTITUTE(SUBSTITUTE(SUBSTITUTE(SUBSTITUTE(SUBSTITUTE(SUBSTITUTE(LOWER(AE378&amp;""),CHAR(10),""),CHAR(13),""),CHAR(9),""),CHAR(160),"")," ",""),".",""),"-",""),"/",""),"?",""),"_",""),",",""),"[",""),"]",""),"(",""),")",""),"*","")</f>
        <v/>
      </c>
      <c r="AY378" s="61" t="str">
        <f aca="false">SUBSTITUTE(SUBSTITUTE(SUBSTITUTE(SUBSTITUTE(SUBSTITUTE(SUBSTITUTE(SUBSTITUTE(SUBSTITUTE(SUBSTITUTE(SUBSTITUTE(SUBSTITUTE(SUBSTITUTE(SUBSTITUTE(SUBSTITUTE(SUBSTITUTE(SUBSTITUTE(LOWER(W378&amp;""),CHAR(10),""),CHAR(13),""),CHAR(9),""),CHAR(160),"")," ",""),".",""),"-",""),"/",""),"?",""),"_",""),",",""),"[",""),"]",""),"(",""),")",""),"*","")</f>
        <v/>
      </c>
      <c r="AZ378" s="61" t="str">
        <f aca="false">SUBSTITUTE(SUBSTITUTE(SUBSTITUTE(SUBSTITUTE(SUBSTITUTE(SUBSTITUTE(SUBSTITUTE(SUBSTITUTE(SUBSTITUTE(SUBSTITUTE(SUBSTITUTE(SUBSTITUTE(SUBSTITUTE(SUBSTITUTE(SUBSTITUTE(SUBSTITUTE(LOWER(AC378&amp;""),CHAR(10),""),CHAR(13),""),CHAR(9),""),CHAR(160),"")," ",""),".",""),"-",""),"/",""),"?",""),"_",""),",",""),"[",""),"]",""),"(",""),")",""),"*","")</f>
        <v/>
      </c>
      <c r="BA378" s="61" t="str">
        <f aca="false">SUBSTITUTE(SUBSTITUTE(SUBSTITUTE(SUBSTITUTE(SUBSTITUTE(SUBSTITUTE(SUBSTITUTE(SUBSTITUTE(SUBSTITUTE(SUBSTITUTE(SUBSTITUTE(SUBSTITUTE(SUBSTITUTE(SUBSTITUTE(SUBSTITUTE(SUBSTITUTE(LOWER(AA378&amp;""),CHAR(10),""),CHAR(13),""),CHAR(9),""),CHAR(160),"")," ",""),".",""),"-",""),"/",""),"?",""),"_",""),",",""),"[",""),"]",""),"(",""),")",""),"*","")</f>
        <v/>
      </c>
      <c r="BB378" s="61" t="str">
        <f aca="false">IF(AND(TRIM(U378)="Pass",ISNUMBER(AF378)),IF(AF378&lt;&gt;0,"INVALID – qty variance: use Fail or Pass after CA",""),"")&amp;IF(AND(TRIM(U378)="Pass after CA",ISNUMBER(AF378)),IF(AF378&lt;&gt;0,"INVALID – after the corrective action the actual qty must equal expected (update Actual)",""),"")&amp;IF(AND(TRIM(U378)="Pass",TRIM(AB378)&lt;&gt;"",TRIM(AB378)&lt;&gt;"Closed"),"INVALID – corrective action not closed: use Fail, then Pass after CA","")&amp;IF(AND(LEN(BA378)&gt;=2,ISNA(MATCH(LEFT(BA378,255),L_Placeholder,0)),TRIM(AB378)=""),"INVALID – CA status missing for the recorded corrective action","")&amp;IF(AND(TRIM(U378)="Pass after CA",OR(OR(LEN(BA378)&lt;5,ISNUMBER(MATCH(BA378,L_Placeholder,0))),TRIM(AB378)&lt;&gt;"Closed")),"INVALID – corrective action not recorded/closed","")</f>
        <v/>
      </c>
      <c r="BC378" s="61" t="str">
        <f aca="false">" "&amp;TRIM(SUBSTITUTE(SUBSTITUTE(SUBSTITUTE(SUBSTITUTE(SUBSTITUTE(SUBSTITUTE(SUBSTITUTE(SUBSTITUTE(SUBSTITUTE(SUBSTITUTE(SUBSTITUTE(SUBSTITUTE(SUBSTITUTE(SUBSTITUTE(SUBSTITUTE(SUBSTITUTE(SUBSTITUTE(SUBSTITUTE(SUBSTITUTE(SUBSTITUTE(SUBSTITUTE(SUBSTITUTE(SUBSTITUTE(SUBSTITUTE(LOWER(V378&amp;""),CHAR(10)," "),CHAR(13)," "),CHAR(9)," "),CHAR(160)," "),"."," "),","," "),"-"," "),"/"," "),"("," "),")"," "),":"," "),";"," "),"_"," "),"–"," "),"?"," "),"!"," "),"*"," "),"["," "),"]"," "),"'"," "),"#"," "),"+"," "),"&amp;"," "),"\"," "))&amp;" "</f>
        <v>  </v>
      </c>
      <c r="BD378" s="61" t="str">
        <f aca="false">" "&amp;TRIM(SUBSTITUTE(SUBSTITUTE(SUBSTITUTE(SUBSTITUTE(SUBSTITUTE(SUBSTITUTE(SUBSTITUTE(SUBSTITUTE(SUBSTITUTE(SUBSTITUTE(SUBSTITUTE(SUBSTITUTE(SUBSTITUTE(SUBSTITUTE(SUBSTITUTE(SUBSTITUTE(SUBSTITUTE(SUBSTITUTE(SUBSTITUTE(SUBSTITUTE(SUBSTITUTE(SUBSTITUTE(SUBSTITUTE(SUBSTITUTE(LOWER(Z378&amp;""),CHAR(10)," "),CHAR(13)," "),CHAR(9)," "),CHAR(160)," "),"."," "),","," "),"-"," "),"/"," "),"("," "),")"," "),":"," "),";"," "),"_"," "),"–"," "),"?"," "),"!"," "),"*"," "),"["," "),"]"," "),"'"," "),"#"," "),"+"," "),"&amp;"," "),"\"," "))&amp;" "</f>
        <v>  </v>
      </c>
      <c r="BE378" s="61" t="str">
        <f aca="false">" "&amp;TRIM(SUBSTITUTE(SUBSTITUTE(SUBSTITUTE(SUBSTITUTE(SUBSTITUTE(SUBSTITUTE(SUBSTITUTE(SUBSTITUTE(SUBSTITUTE(SUBSTITUTE(SUBSTITUTE(SUBSTITUTE(SUBSTITUTE(SUBSTITUTE(SUBSTITUTE(SUBSTITUTE(SUBSTITUTE(SUBSTITUTE(SUBSTITUTE(SUBSTITUTE(SUBSTITUTE(SUBSTITUTE(SUBSTITUTE(SUBSTITUTE(LOWER(W378&amp;""),CHAR(10)," "),CHAR(13)," "),CHAR(9)," "),CHAR(160)," "),"."," "),","," "),"-"," "),"/"," "),"("," "),")"," "),":"," "),";"," "),"_"," "),"–"," "),"?"," "),"!"," "),"*"," "),"["," "),"]"," "),"'"," "),"#"," "),"+"," "),"&amp;"," "),"\"," "))&amp;" "</f>
        <v>  </v>
      </c>
      <c r="BF378" s="61" t="str">
        <f aca="false">" "&amp;TRIM(SUBSTITUTE(SUBSTITUTE(SUBSTITUTE(SUBSTITUTE(SUBSTITUTE(SUBSTITUTE(SUBSTITUTE(SUBSTITUTE(SUBSTITUTE(SUBSTITUTE(SUBSTITUTE(SUBSTITUTE(SUBSTITUTE(SUBSTITUTE(SUBSTITUTE(SUBSTITUTE(SUBSTITUTE(SUBSTITUTE(SUBSTITUTE(SUBSTITUTE(SUBSTITUTE(SUBSTITUTE(SUBSTITUTE(SUBSTITUTE(LOWER(AC378&amp;""),CHAR(10)," "),CHAR(13)," "),CHAR(9)," "),CHAR(160)," "),"."," "),","," "),"-"," "),"/"," "),"("," "),")"," "),":"," "),";"," "),"_"," "),"–"," "),"?"," "),"!"," "),"*"," "),"["," "),"]"," "),"'"," "),"#"," "),"+"," "),"&amp;"," "),"\"," "))&amp;" "</f>
        <v>  </v>
      </c>
      <c r="BG378" s="61" t="n">
        <f aca="false">IFERROR(IF(AND(TRIM(U378)="Pass",SUMPRODUCT((LEN(BC378)-LEN(SUBSTITUTE(BC378," "&amp;L_ResultBad&amp;" "," ")))/(LEN(L_ResultBad)+1))&gt;SUMPRODUCT((LEN(BC378)-LEN(SUBSTITUTE(BC378," "&amp;L_NegPhrase&amp;" "," ")))/(LEN(L_NegPhrase)+1))),1,0),0)</f>
        <v>0</v>
      </c>
      <c r="BH378" s="61" t="n">
        <f aca="false">IFERROR(IF(SUMPRODUCT((LEN(BC378)-LEN(SUBSTITUTE(BC378," "&amp;L_Pending&amp;" "," ")))/(LEN(L_Pending)+1))&gt;SUMPRODUCT((LEN(BC378)-LEN(SUBSTITUTE(BC378," "&amp;L_PendNeg&amp;" "," ")))/(LEN(L_PendNeg)+1)),1,0),1)</f>
        <v>0</v>
      </c>
      <c r="BI378" s="61" t="n">
        <f aca="false">IFERROR(IF(SUMPRODUCT((LEN(BD378)-LEN(SUBSTITUTE(BD378," "&amp;L_PendStrict&amp;" "," ")))/(LEN(L_PendStrict)+1))&gt;SUMPRODUCT((LEN(BD378)-LEN(SUBSTITUTE(BD378," "&amp;L_PendNeg&amp;" "," ")))/(LEN(L_PendNeg)+1)),1,0),1)</f>
        <v>0</v>
      </c>
      <c r="BJ378" s="61" t="n">
        <f aca="false">IFERROR(IF(SUMPRODUCT((LEN(BE378)-LEN(SUBSTITUTE(BE378," "&amp;L_Pending&amp;" "," ")))/(LEN(L_Pending)+1))&gt;SUMPRODUCT((LEN(BE378)-LEN(SUBSTITUTE(BE378," "&amp;L_PendNeg&amp;" "," ")))/(LEN(L_PendNeg)+1)),1,0),1)</f>
        <v>0</v>
      </c>
      <c r="BK378" s="61" t="n">
        <f aca="false">IFERROR(IF(SUMPRODUCT((LEN(BF378)-LEN(SUBSTITUTE(BF378," "&amp;L_PendStrict&amp;" "," ")))/(LEN(L_PendStrict)+1))&gt;SUMPRODUCT((LEN(BF378)-LEN(SUBSTITUTE(BF378," "&amp;L_PendNeg&amp;" "," ")))/(LEN(L_PendNeg)+1)),1,0),1)</f>
        <v>0</v>
      </c>
      <c r="BL378" s="61" t="n">
        <f aca="false">IF(ISNA(MATCH(TRIM(S378),L_EvidenceType,0)),0,BZ378)</f>
        <v>0</v>
      </c>
      <c r="BM378" s="61" t="str">
        <f aca="false">SUBSTITUTE(SUBSTITUTE(SUBSTITUTE(SUBSTITUTE(SUBSTITUTE(SUBSTITUTE(SUBSTITUTE(SUBSTITUTE(SUBSTITUTE(LOWER(Z378&amp;""),"1","0"),"2","0"),"3","0"),"4","0"),"5","0"),"6","0"),"7","0"),"8","0"),"9","0")</f>
        <v/>
      </c>
      <c r="BN378" s="61" t="str">
        <f aca="false">SUBSTITUTE(SUBSTITUTE(SUBSTITUTE(SUBSTITUTE(SUBSTITUTE(SUBSTITUTE(SUBSTITUTE(SUBSTITUTE(SUBSTITUTE(SUBSTITUTE(SUBSTITUTE(SUBSTITUTE(SUBSTITUTE(SUBSTITUTE(SUBSTITUTE(SUBSTITUTE(SUBSTITUTE(SUBSTITUTE(SUBSTITUTE(SUBSTITUTE(SUBSTITUTE(SUBSTITUTE(SUBSTITUTE(SUBSTITUTE(SUBSTITUTE(BM378,"b","a"),"c","a"),"d","a"),"e","a"),"f","a"),"g","a"),"h","a"),"i","a"),"j","a"),"k","a"),"l","a"),"m","a"),"n","a"),"o","a"),"p","a"),"q","a"),"r","a"),"s","a"),"t","a"),"u","a"),"v","a"),"w","a"),"x","a"),"y","a"),"z","a")</f>
        <v/>
      </c>
      <c r="BO378" s="61" t="str">
        <f aca="false">SUBSTITUTE(SUBSTITUTE(SUBSTITUTE(SUBSTITUTE(SUBSTITUTE(SUBSTITUTE(SUBSTITUTE(SUBSTITUTE(SUBSTITUTE(LOWER(W378&amp;""),"1","0"),"2","0"),"3","0"),"4","0"),"5","0"),"6","0"),"7","0"),"8","0"),"9","0")</f>
        <v/>
      </c>
      <c r="BP378" s="61" t="str">
        <f aca="false">SUBSTITUTE(SUBSTITUTE(SUBSTITUTE(SUBSTITUTE(SUBSTITUTE(SUBSTITUTE(SUBSTITUTE(SUBSTITUTE(SUBSTITUTE(SUBSTITUTE(SUBSTITUTE(SUBSTITUTE(SUBSTITUTE(SUBSTITUTE(SUBSTITUTE(SUBSTITUTE(SUBSTITUTE(SUBSTITUTE(SUBSTITUTE(SUBSTITUTE(SUBSTITUTE(SUBSTITUTE(SUBSTITUTE(SUBSTITUTE(SUBSTITUTE(BO378,"b","a"),"c","a"),"d","a"),"e","a"),"f","a"),"g","a"),"h","a"),"i","a"),"j","a"),"k","a"),"l","a"),"m","a"),"n","a"),"o","a"),"p","a"),"q","a"),"r","a"),"s","a"),"t","a"),"u","a"),"v","a"),"w","a"),"x","a"),"y","a"),"z","a")</f>
        <v/>
      </c>
      <c r="BQ378" s="61" t="n">
        <f aca="false">IFERROR(IF(AND(ISERROR(SEARCH(" mh"," "&amp;LOWER(W378))),ISNA(MATCH(LEFT(TRIM(BP378),255),{"0000a","000a","00a","0000aa","000aa","00aa","0aa","0000aaa","000aaa","00a00","0a00","0000-0000","00:00","a00","a0","00.00.0000","00/00/0000","00-00-0000","0000-00-00","0000/00/00","0000.00.00","00.00.00","00/00/00","00-00-00","0.00.0000","0/00/0000","0-00-0000"},0)),ISNA(MATCH(LEFT(TRIM(CA378),255),{"0000a","000a","00a","0000aa","000aa","00aa","0aa","0000aaa","000aaa","00a00","0a00","0000-0000","00:00","a00","a0","00.00.0000","00/00/0000","00-00-0000","0000-00-00","0000/00/00","0000.00.00","00.00.00","00/00/00","00-00-00","0.00.0000","0/00/0000","0-00-0000"},0)),LEN(CB378)&gt;=3,NOT(OR(SUBSTITUTE(CB378,"0","")="",AND(LEN(CB378)&gt;=4,CB378=REPT(LEFT(CB378),LEN(CB378))),ISNUMBER(MATCH(CB378,{"123","1234","12345","123456","1234567","12345678","0123","01234","012345","98765","987654","54321"},0)),AND(LEN(CB378)=8,LEFT(CB378,3)="202"))),OR(AND((LEN(CA378)-LEN(SUBSTITUTE(CA378,"a","")))&gt;=1,SUMPRODUCT(--ISNUMBER(SEARCH({"a0","a-0","a_0","a/0","a.0","a#0","0a","0-a","0_a","0/a"},BP378)))&gt;0),ISNUMBER(SEARCH("000000",BP378)))),1,0),0)</f>
        <v>0</v>
      </c>
      <c r="BR378" s="61" t="n">
        <f aca="false">IFERROR(LEN(SUBSTITUTE(CC378," ",""))-SUMPRODUCT((LEN(CC378)-LEN(SUBSTITUTE(CC378," "&amp;L_Role&amp;" "," ")))/(LEN(L_Role)+1)*LEN(L_Role)),0)</f>
        <v>0</v>
      </c>
      <c r="BS378" s="61" t="n">
        <f aca="false">IFERROR(LEN(SUBSTITUTE(CD378," ",""))-SUMPRODUCT((LEN(CD378)-LEN(SUBSTITUTE(CD378," "&amp;L_Role&amp;" "," ")))/(LEN(L_Role)+1)*LEN(L_Role)),0)</f>
        <v>0</v>
      </c>
      <c r="BT3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378,"revision",""),"version",""),"jan",""),"feb",""),"mar",""),"apr",""),"may",""),"jun",""),"jul",""),"aug",""),"sep",""),"oct",""),"nov",""),"dec",""),"utc",""),"gmt",""),"myt",""),"bst",""),"rev",""),"ver",""),"b","a"),"c","a"),"d","a"),"e","a"),"f","a"),"g","a"),"h","a"),"i","a"),"j","a"),"k","a"),"l","a"),"m","a"),"n","a"),"o","a"),"p","a"),"q","a"),"r","a"),"s","a"),"t","a"),"u","a"),"v","a"),"w","a"),"x","a"),"y","a"),"z","a")</f>
        <v/>
      </c>
      <c r="BU378" s="61" t="str">
        <f aca="false">SUBSTITUTE(SUBSTITUTE(SUBSTITUTE(SUBSTITUTE(SUBSTITUTE(SUBSTITUTE(SUBSTITUTE(SUBSTITUTE(SUBSTITUTE(SUBSTITUTE(LEFT(BM378,FIND("0",BM378&amp;"0")-1),"-",""),"_",""),"/",""),".",""),"#",""),"\\",""),":","")," ",""),"(",""),")","")</f>
        <v/>
      </c>
      <c r="BV378" s="61" t="n">
        <f aca="false">IFERROR(IF(OR(SUMPRODUCT((LEN(BC378)-LEN(SUBSTITUTE(BC378," "&amp;L_NotLoaded&amp;" "," ")))/(LEN(L_NotLoaded)+1))&gt;SUMPRODUCT((LEN(BC378)-LEN(SUBSTITUTE(BC378," "&amp;L_NotLoadedNeg&amp;" "," ")))/(LEN(L_NotLoadedNeg)+1)),SUMPRODUCT((LEN(BD378)-LEN(SUBSTITUTE(BD378," "&amp;L_NotLoaded&amp;" "," ")))/(LEN(L_NotLoaded)+1))&gt;SUMPRODUCT((LEN(BD378)-LEN(SUBSTITUTE(BD378," "&amp;L_NotLoadedNeg&amp;" "," ")))/(LEN(L_NotLoadedNeg)+1))),1,0),0)</f>
        <v>0</v>
      </c>
      <c r="BW3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378&amp;""),"a",""),"b",""),"c",""),"d",""),"e",""),"f",""),"g",""),"h",""),"i",""),"j",""),"k",""),"l",""),"m",""),"n",""),"o",""),"p",""),"q",""),"r",""),"s",""),"t",""),"u",""),"v",""),"w",""),"x",""),"y",""),"z",""),"-",""),"_",""),"/",""),".",""),"#",""),"\\",""),":","")," ",""),"(",""),")","")</f>
        <v/>
      </c>
      <c r="BX378" s="61" t="str">
        <f aca="false">SUBSTITUTE(SUBSTITUTE(SUBSTITUTE(SUBSTITUTE(SUBSTITUTE(SUBSTITUTE(SUBSTITUTE(SUBSTITUTE(SUBSTITUTE(SUBSTITUTE(SUBSTITUTE(BM378,"0",""),"-",""),"_",""),"/",""),".",""),"#",""),"\\",""),":","")," ",""),"(",""),")","")</f>
        <v/>
      </c>
      <c r="BY378" s="62" t="n">
        <f aca="false">Q378-UpliftWindowH/24</f>
        <v>46306.90625</v>
      </c>
      <c r="BZ378" s="61" t="n">
        <f aca="false">IFERROR(IF(IF(TRIM(S378)="Link / file path",AND(LEN(TRIM(Z378))&gt;=5,SUMPRODUCT(--ISNUMBER(SEARCH({"http","www.","\\",":\",".pdf",".jpg",".jpeg",".png",".heic",".xls",".doc",".msg",".eml",".ppt",".txt",".zip"},Z378)))&gt;0),AND(ISERROR(FIND(" ",TRIM(Z378))),NOT(OR(SUMPRODUCT(--ISNUMBER(FIND({",",";","&amp;","+"},Z378)))&gt;0,SUMPRODUCT(--ISNUMBER(SEARCH({"0/aa","0\\aa"},BN378)))&gt;0)),NOT(SUMPRODUCT(--ISNUMBER(SEARCH({"http","www.","\\",":\",".pdf",".jpg",".jpeg",".png",".heic",".xls",".doc",".msg",".eml",".ppt",".txt",".zip"},Z378)))&gt;0),NOT(LOWER(TRIM(Z378))=LOWER(Flights!$F$15)),ISNA(MATCH(BU378,{"mh","rev","revision","ver","version","v","r","a","b","seat","tray","row","gate","bay","stand","page","pg","item","line","no","cart","galley","flight","flt","table","box","bag","oven","etd","eta","std","sta","atd","ata","qty","pax","x","time","tel","ph","mob","day","wk","week","utc","gmt","myt","lt"},0)),NOT(OR(ISNUMBER(MATCH(LEFT(BN378,255),{"0000a","000a","00a","0000aa","000aa","00aa","0aa","0000aaa","000aaa","00a00","0a00","0000-0000","00:00","a00","a0","00.00.0000","00/00/0000","00-00-0000","0000-00-00","0000/00/00","0000.00.00","00.00.00","00/00/00","00-00-00","0.00.0000","0/00/0000","0-00-0000"},0)),ISNUMBER(MATCH(LEFT(BT378,255),{"0000a","000a","00a","0000aa","000aa","00aa","0aa","0000aaa","000aaa","00a00","0a00","0000-0000","00:00","a00","a0","00.00.0000","00/00/0000","00-00-0000","0000-00-00","0000/00/00","0000.00.00","00.00.00","00/00/00","00-00-00","0.00.0000","0/00/0000","0-00-0000"},0)))),NOT(OR(AND(BW378&lt;&gt;"",SUBSTITUTE(BW378,"0","")=""),AND(LEN(BW378)&gt;=4,BW378=REPT(LEFT(BW378),LEN(BW378))),ISNUMBER(MATCH(BW378,{"123","1234","12345","123456","1234567","12345678","0123","01234","012345","98765","987654","54321"},0)),ISNUMBER(MATCH(BX378,{"x","xx","xxx","xxxx","xxxxx","abc","abcd","nil","na","nan","test","tbc","tba","tbd","dummy","sample","example","eg","zz","zzz","none","null","xyz","qwe","asd","id","ref"},0)),AND(LEN(BW378)=8,BX378="",OR(LEFT(BW378,3)="202",ISNUMBER(MATCH(RIGHT(BW378,4),{"2025","2026","2027"},0)))))),OR(AND((LEN(BT378)-LEN(SUBSTITUTE(BT378,"a","")))&gt;=1,(LEN(BN378)-LEN(SUBSTITUTE(BN378,"0","")))&gt;=2,SUMPRODUCT(--ISNUMBER(SEARCH({"a0","a-0","a_0","a/0","a.0","a#0","0a","0-a","0_a","0/a"},BN378)))&gt;0),AND((LEN(BN378)-LEN(SUBSTITUTE(BN378,"a","")))=0,(LEN(BN378)-LEN(SUBSTITUTE(BN378,"0","")))&gt;=5)))),1,0),0)</f>
        <v>0</v>
      </c>
      <c r="CA3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378,"revision",""),"version",""),"jan",""),"feb",""),"mar",""),"apr",""),"may",""),"jun",""),"jul",""),"aug",""),"sep",""),"oct",""),"nov",""),"dec",""),"utc",""),"gmt",""),"myt",""),"bst",""),"rev",""),"ver",""),"b","a"),"c","a"),"d","a"),"e","a"),"f","a"),"g","a"),"h","a"),"i","a"),"j","a"),"k","a"),"l","a"),"m","a"),"n","a"),"o","a"),"p","a"),"q","a"),"r","a"),"s","a"),"t","a"),"u","a"),"v","a"),"w","a"),"x","a"),"y","a"),"z","a")</f>
        <v/>
      </c>
      <c r="CB3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378&amp;""),"a",""),"b",""),"c",""),"d",""),"e",""),"f",""),"g",""),"h",""),"i",""),"j",""),"k",""),"l",""),"m",""),"n",""),"o",""),"p",""),"q",""),"r",""),"s",""),"t",""),"u",""),"v",""),"w",""),"x",""),"y",""),"z",""),"-",""),"_",""),"/",""),".",""),"#",""),"\\",""),":","")," ",""),"(",""),")","")</f>
        <v/>
      </c>
      <c r="CC378" s="0" t="str">
        <f aca="false">" "&amp;TRIM(SUBSTITUTE(SUBSTITUTE(SUBSTITUTE(SUBSTITUTE(SUBSTITUTE(SUBSTITUTE(SUBSTITUTE(SUBSTITUTE(SUBSTITUTE(SUBSTITUTE(SUBSTITUTE(SUBSTITUTE(SUBSTITUTE(SUBSTITUTE(SUBSTITUTE(SUBSTITUTE(SUBSTITUTE(SUBSTITUTE(SUBSTITUTE(SUBSTITUTE(SUBSTITUTE(SUBSTITUTE(SUBSTITUTE(SUBSTITUTE(LOWER(T378&amp;""),CHAR(10)," "),CHAR(13)," "),CHAR(9)," "),CHAR(160)," "),"."," "),","," "),"-"," "),"/"," "),"("," "),")"," "),":"," "),";"," "),"_"," "),"–"," "),"?"," "),"!"," "),"*"," "),"["," "),"]"," "),"'"," "),"#"," "),"+"," "),"&amp;"," "),"\"," "))&amp;" "</f>
        <v>  </v>
      </c>
      <c r="CD378" s="0" t="str">
        <f aca="false">" "&amp;TRIM(SUBSTITUTE(SUBSTITUTE(SUBSTITUTE(SUBSTITUTE(SUBSTITUTE(SUBSTITUTE(SUBSTITUTE(SUBSTITUTE(SUBSTITUTE(SUBSTITUTE(SUBSTITUTE(SUBSTITUTE(SUBSTITUTE(SUBSTITUTE(SUBSTITUTE(SUBSTITUTE(SUBSTITUTE(SUBSTITUTE(SUBSTITUTE(SUBSTITUTE(SUBSTITUTE(SUBSTITUTE(SUBSTITUTE(SUBSTITUTE(LOWER(AE378&amp;""),CHAR(10)," "),CHAR(13)," "),CHAR(9)," "),CHAR(160)," "),"."," "),","," "),"-"," "),"/"," "),"("," "),")"," "),":"," "),";"," "),"_"," "),"–"," "),"?"," "),"!"," "),"*"," "),"["," "),"]"," "),"'"," "),"#"," "),"+"," "),"&amp;"," "),"\"," "))&amp;" "</f>
        <v>  </v>
      </c>
      <c r="CE378" s="68" t="n">
        <f aca="false">IFERROR(IF(AND(LEN(AU378)&gt;0,LEN(AU378)=LEN(AX378),OR(TRIM(MID(SUBSTITUTE(TRIM(CC378)," ",REPT(" ",60)),1,60))="",ISNUMBER(SEARCH(" "&amp;TRIM(MID(SUBSTITUTE(TRIM(CC378)," ",REPT(" ",60)),1,60))&amp;" ",CD378))),OR(TRIM(MID(SUBSTITUTE(TRIM(CC378)," ",REPT(" ",60)),61,60))="",ISNUMBER(SEARCH(" "&amp;TRIM(MID(SUBSTITUTE(TRIM(CC378)," ",REPT(" ",60)),61,60))&amp;" ",CD378))),OR(TRIM(MID(SUBSTITUTE(TRIM(CC378)," ",REPT(" ",60)),121,60))="",ISNUMBER(SEARCH(" "&amp;TRIM(MID(SUBSTITUTE(TRIM(CC378)," ",REPT(" ",60)),121,60))&amp;" ",CD378)))),1,0),0)</f>
        <v>0</v>
      </c>
      <c r="CG378" s="68" t="n">
        <f aca="false">IFERROR(LEN(SUBSTITUTE(BF378," ",""))-SUMPRODUCT((LEN(BF378)-LEN(SUBSTITUTE(BF378," "&amp;L_NAFiller&amp;" "," ")))/(LEN(L_NAFiller)+1)*LEN(L_NAFiller)),0)</f>
        <v>0</v>
      </c>
    </row>
    <row r="379" customFormat="false" ht="39.75" hidden="false" customHeight="true" outlineLevel="0" collapsed="false">
      <c r="A379" s="57" t="s">
        <v>992</v>
      </c>
      <c r="B379" s="57" t="s">
        <v>258</v>
      </c>
      <c r="C379" s="57" t="str">
        <f aca="false">Flights!$F$15</f>
        <v>MH1149</v>
      </c>
      <c r="D379" s="58" t="n">
        <f aca="false">Flights!$D$15</f>
        <v>46307</v>
      </c>
      <c r="E379" s="57" t="str">
        <f aca="false">Flights!$G$15&amp;"-"&amp;Flights!$H$15</f>
        <v>PEN-KUL</v>
      </c>
      <c r="F379" s="57" t="str">
        <f aca="false">Flights!$K$15</f>
        <v>EY</v>
      </c>
      <c r="G379" s="57" t="s">
        <v>459</v>
      </c>
      <c r="H379" s="57" t="s">
        <v>460</v>
      </c>
      <c r="I379" s="57" t="s">
        <v>447</v>
      </c>
      <c r="J379" s="57" t="s">
        <v>469</v>
      </c>
      <c r="K379" s="67" t="s">
        <v>449</v>
      </c>
      <c r="L379" s="67" t="s">
        <v>983</v>
      </c>
      <c r="M379" s="67" t="s">
        <v>451</v>
      </c>
      <c r="N379" s="67" t="s">
        <v>383</v>
      </c>
      <c r="O379" s="67"/>
      <c r="P379" s="57" t="s">
        <v>254</v>
      </c>
      <c r="Q379" s="59" t="n">
        <f aca="false">ROUND((Flights!$AF$15)*1440,0)/1440</f>
        <v>46307.3263888889</v>
      </c>
      <c r="R379" s="59" t="n">
        <f aca="false">Q379+(IF(AND(INDEX(TZ_DSTS,MATCH(P379,TZ_STN,0))&lt;&gt;"",Q379&gt;=INDEX(TZ_DSTS,MATCH(P379,TZ_STN,0)),Q379&lt;INDEX(TZ_DSTE,MATCH(P379,TZ_STN,0))),INDEX(TZ_DST,MATCH(P379,TZ_STN,0)),INDEX(TZ_STD,MATCH(P379,TZ_STN,0))))/24</f>
        <v>46307.6597222222</v>
      </c>
      <c r="S379" s="60"/>
      <c r="T379" s="60"/>
      <c r="U379" s="60"/>
      <c r="V379" s="60"/>
      <c r="W379" s="61"/>
      <c r="X379" s="60"/>
      <c r="Y379" s="60"/>
      <c r="Z379" s="60"/>
      <c r="AA379" s="60"/>
      <c r="AB379" s="60"/>
      <c r="AC379" s="60"/>
      <c r="AD379" s="66"/>
      <c r="AE379" s="60"/>
      <c r="AF379" s="61" t="str">
        <f aca="false">IF(AND(ISNUMBER(X379),ISNUMBER(Y379)),Y379-X379,"")</f>
        <v/>
      </c>
      <c r="AG379" s="62" t="str">
        <f aca="false">IF(ISNUMBER(AD379),AD379-(IF(AND(INDEX(TZ_DSTS,MATCH(P379,TZ_STN,0))&lt;&gt;"",(AD379-INDEX(TZ_STD,MATCH(P379,TZ_STN,0))/24)&gt;=INDEX(TZ_DSTS,MATCH(P379,TZ_STN,0)),(AD379-INDEX(TZ_STD,MATCH(P379,TZ_STN,0))/24)&lt;INDEX(TZ_DSTE,MATCH(P379,TZ_STN,0))),INDEX(TZ_DST,MATCH(P379,TZ_STN,0)),INDEX(TZ_STD,MATCH(P379,TZ_STN,0))))/24,"")</f>
        <v/>
      </c>
      <c r="AH379" s="65" t="str">
        <f aca="false">IFERROR(IF(N379="N/A – rule",IF(OR(TRIM(U379)="",TRIM(U379)="N/A",TRIM(U379)="Not started"),"N/A – RULE","INVALID – this check does not apply to this aircraft: clear the status (or correct the fleet on Flights)"),IF(TRIM(U379)="N/A",IF(AT379=0,"INVALID – N/A not permitted for this check",IF(AND(TRIM(AB379)&lt;&gt;"",TRIM(AB379)&lt;&gt;"Closed"),"INVALID – corrective action still open",IF(AND(NOT(OR(LEN(AZ379)&lt;15,ISNUMBER(MATCH(AZ379,L_Placeholder,0)))),BK379=0,CG379&gt;=8,NOT(OR(LEN(AU379)&lt;2,ISNUMBER(MATCH(AU379,L_Placeholder,0)))),BR379&gt;=3,NOT(OR(LEN(AX379)&lt;2,ISNUMBER(MATCH(AX379,L_Placeholder,0)))),BS379&gt;=3,TRIM(AE379)&lt;&gt;TRIM(T379),AX379&lt;&gt;AU379,CE379=0),"N/A – JUSTIFIED","INVALID – N/A needs a real, settled reason (not 'not applicable' / 'as above' / TBC), a named PIC and a different named verifier"))),IF(OR(TRIM(U379)="Pass",TRIM(U379)="Pass after CA"),IF(NOT(ISNUMBER(AD379)),"INVALID – completion time missing",IF(OR(OR(LEN(AU379)&lt;2,ISNUMBER(MATCH(AU379,L_Placeholder,0))),BR379&lt;3),"INVALID – PIC missing or not a named person (a role such as QA / CSM is not a name)",IF(OR(LEN(AV379)&lt;2,ISNUMBER(MATCH(AV379,L_Placeholder,0))),"INVALID – result / assessment missing",IF(OR(OR(LEN(AW379)&lt;3,ISNUMBER(MATCH(AW379,L_Placeholder,0))),SUMPRODUCT(--ISNUMBER(SEARCH(" "&amp;L_EvidencePhrase&amp;" ",BD379)))&gt;0,BI379=1),"INVALID – evidence missing, placeholder or not yet on file",IF(ISNA(MATCH(TRIM(S379),L_EvidenceType,0)),"INVALID – choose the evidence type from the list (column S)",IF(BL379=0,"INVALID – evidence ID must be the record's own ID only (e.g. SF-2210, IMG_2231, 1045521); a link / file name needs type 'Link / file path'",IF(OR(OR(LEN(AX379)&lt;2,ISNUMBER(MATCH(AX379,L_Placeholder,0))),BS379&lt;3),"INVALID – verifier missing or not a named person (a role such as QA / CSM is not a name)",IF(OR(AX379=AU379,CE379=1,AND(LEN(AU379)&gt;=4,ISNUMBER(SEARCH(AU379,AX379))),AND(LEN(AX379)&gt;=4,ISNUMBER(SEARCH(AX379,AU379)))),"INVALID – verifier must be a different, named person (not the PIC or a role)",IF(BH379=1,"INVALID – result not yet available (awaiting / TBC)",IF(BG379=1,"INVALID – result describes a problem: record Fail, then Pass after CA (or reword if it is not a problem)",IF(BV379=1,"INVALID – wording says not on board: an on-board confirmation needs the item loaded",IF(AND(AQ379=1,OR(OR(LEN(AY379)&lt;3,ISNUMBER(MATCH(AY379,L_Placeholder,0))),BJ379=1,BQ379=0)),"INVALID – batch ID missing, placeholder or not an ID (e.g. PASB-261008-BC-017)",IF(AND(AR379=1,OR(NOT(ISNUMBER(X379)),NOT(ISNUMBER(Y379)))),"INVALID – expected/actual qty missing",IF(AND(AR379=1,OR(X379&lt;=0,Y379&lt;0)),"INVALID – expected qty must be above 0 and actual not negative",IF(AH375="N/A – JUSTIFIED","INVALID – preparation row F11-T12-08 is N/A",IF(AND(AR379=1,ISNUMBER(X375),X379&lt;&gt;X375,TRIM(U379)&lt;&gt;"Pass after CA"),"INVALID – expected qty differs from preparation check F11-T12-08: record the load change as a corrective action (Pass after CA)",IF(BB379&lt;&gt;"",BB379,IF(AND(AS379=1,Documents!$J$15&lt;&gt;"ON FILE"),"INVALID – GLD not on file (Documents sheet)",IF(AND(AS379=2,Documents!$O$15&lt;&gt;"ON FILE"),"INVALID – menu checklist not on file (Documents sheet)",IF(AND(AS379=3,NOT(ISNUMBER(Flights!$AX$15))),"INVALID – enter carrying flight KUL departure (Flights AX)",IF(AND(AS379=3,OR(Flights!$AZ$15&gt;Flights!$AA$15,Flights!$AX$15&lt;Flights!$AA$15-3)),"INVALID – carrying flight (Flights AX) cannot arrive before this leg's STD, or is over 3 days early",IF(AG379&gt;AsOfUTC,"INVALID – completion time is in the future",IF(AND(ISNUMBER(BY379),AG379&lt;BY379),IF(H379="Physical uplift","INVALID – before uplift window (cannot confirm loading)","INVALID – before valid window"),IF(AG379&gt;Flights!$AA$15,"INVALID – completed after departure (cannot establish readiness)",IF(AND(H379="Preparation",AG379&gt;=IF(ISNUMBER(Flights!$BA$15),MIN(Flights!$BA$15,Flights!$AA$15),Flights!$AA$15)),"INVALID – completed after loading / departure (cannot establish readiness)",IF(AND(H379="Physical uplift",AG379&gt;Q379),"INVALID – recorded after the loading flight departed",IF(AG379&gt;Q379,"COMPLETE – LATE","COMPLETE"))))))))))))))))))))))))))),IF(TRIM(U379)="Fail","FAIL – DISCREPANCY",IF(AND(TRIM(U379)&lt;&gt;"",TRIM(U379)&lt;&gt;"Not started",TRIM(U379)&lt;&gt;"In progress"),"INVALID – unrecognised status (use the list)",IF(AsOfUTC&gt;Q379,"OVERDUE",IF(N379="Clarification required","OPEN – CLARIFICATION","OPEN"))))))),"INVALID – error value in an input cell")</f>
        <v>OPEN</v>
      </c>
      <c r="AI379" s="61" t="n">
        <f aca="false">IF(OR(AH379="N/A – RULE",AH379="N/A – JUSTIFIED"),0,1)</f>
        <v>1</v>
      </c>
      <c r="AJ379" s="61" t="n">
        <f aca="false">IF(LEFT(AH379,8)="COMPLETE",1,0)</f>
        <v>0</v>
      </c>
      <c r="AK379" s="61" t="n">
        <f aca="false">IF(AND(AI379=1,AJ379=0,AsOfUTC&gt;Q379),1,0)</f>
        <v>0</v>
      </c>
      <c r="AL379" s="61" t="n">
        <f aca="false">IFERROR(IF(AND(AI379=1,OR(TRIM(U379)="Fail",AND(TRIM(AB379)&lt;&gt;"",TRIM(AB379)&lt;&gt;"Closed"),AND(ISNUMBER(AF379),AF379&lt;&gt;0,TRIM(U379)&lt;&gt;"Pass after CA"))),1,0),1)</f>
        <v>0</v>
      </c>
      <c r="AM379" s="61" t="n">
        <f aca="false">IF(LEFT(AH379,7)="INVALID",1,0)</f>
        <v>0</v>
      </c>
      <c r="AN379" s="61" t="n">
        <f aca="false">IF(AND(N379="Clarification required",AI379=1,AJ379=0),1,0)</f>
        <v>0</v>
      </c>
      <c r="AO379" s="61" t="str">
        <f aca="false">IF(AK379=1,SUM(AK$5:AK379),"")</f>
        <v/>
      </c>
      <c r="AP379" s="61" t="str">
        <f aca="false">IF(AL379=1,SUM(AL$5:AL379),"")</f>
        <v/>
      </c>
      <c r="AQ379" s="61" t="n">
        <v>0</v>
      </c>
      <c r="AR379" s="61" t="n">
        <v>0</v>
      </c>
      <c r="AS379" s="61" t="n">
        <v>0</v>
      </c>
      <c r="AT379" s="61" t="n">
        <v>0</v>
      </c>
      <c r="AU379" s="61" t="str">
        <f aca="false">SUBSTITUTE(SUBSTITUTE(SUBSTITUTE(SUBSTITUTE(SUBSTITUTE(SUBSTITUTE(SUBSTITUTE(SUBSTITUTE(SUBSTITUTE(SUBSTITUTE(SUBSTITUTE(SUBSTITUTE(SUBSTITUTE(SUBSTITUTE(SUBSTITUTE(SUBSTITUTE(LOWER(T379&amp;""),CHAR(10),""),CHAR(13),""),CHAR(9),""),CHAR(160),"")," ",""),".",""),"-",""),"/",""),"?",""),"_",""),",",""),"[",""),"]",""),"(",""),")",""),"*","")</f>
        <v/>
      </c>
      <c r="AV379" s="61" t="str">
        <f aca="false">SUBSTITUTE(SUBSTITUTE(SUBSTITUTE(SUBSTITUTE(SUBSTITUTE(SUBSTITUTE(SUBSTITUTE(SUBSTITUTE(SUBSTITUTE(SUBSTITUTE(SUBSTITUTE(SUBSTITUTE(SUBSTITUTE(SUBSTITUTE(SUBSTITUTE(SUBSTITUTE(LOWER(V379&amp;""),CHAR(10),""),CHAR(13),""),CHAR(9),""),CHAR(160),"")," ",""),".",""),"-",""),"/",""),"?",""),"_",""),",",""),"[",""),"]",""),"(",""),")",""),"*","")</f>
        <v/>
      </c>
      <c r="AW379" s="61" t="str">
        <f aca="false">SUBSTITUTE(SUBSTITUTE(SUBSTITUTE(SUBSTITUTE(SUBSTITUTE(SUBSTITUTE(SUBSTITUTE(SUBSTITUTE(SUBSTITUTE(SUBSTITUTE(SUBSTITUTE(SUBSTITUTE(SUBSTITUTE(SUBSTITUTE(SUBSTITUTE(SUBSTITUTE(LOWER(Z379&amp;""),CHAR(10),""),CHAR(13),""),CHAR(9),""),CHAR(160),"")," ",""),".",""),"-",""),"/",""),"?",""),"_",""),",",""),"[",""),"]",""),"(",""),")",""),"*","")</f>
        <v/>
      </c>
      <c r="AX379" s="61" t="str">
        <f aca="false">SUBSTITUTE(SUBSTITUTE(SUBSTITUTE(SUBSTITUTE(SUBSTITUTE(SUBSTITUTE(SUBSTITUTE(SUBSTITUTE(SUBSTITUTE(SUBSTITUTE(SUBSTITUTE(SUBSTITUTE(SUBSTITUTE(SUBSTITUTE(SUBSTITUTE(SUBSTITUTE(LOWER(AE379&amp;""),CHAR(10),""),CHAR(13),""),CHAR(9),""),CHAR(160),"")," ",""),".",""),"-",""),"/",""),"?",""),"_",""),",",""),"[",""),"]",""),"(",""),")",""),"*","")</f>
        <v/>
      </c>
      <c r="AY379" s="61" t="str">
        <f aca="false">SUBSTITUTE(SUBSTITUTE(SUBSTITUTE(SUBSTITUTE(SUBSTITUTE(SUBSTITUTE(SUBSTITUTE(SUBSTITUTE(SUBSTITUTE(SUBSTITUTE(SUBSTITUTE(SUBSTITUTE(SUBSTITUTE(SUBSTITUTE(SUBSTITUTE(SUBSTITUTE(LOWER(W379&amp;""),CHAR(10),""),CHAR(13),""),CHAR(9),""),CHAR(160),"")," ",""),".",""),"-",""),"/",""),"?",""),"_",""),",",""),"[",""),"]",""),"(",""),")",""),"*","")</f>
        <v/>
      </c>
      <c r="AZ379" s="61" t="str">
        <f aca="false">SUBSTITUTE(SUBSTITUTE(SUBSTITUTE(SUBSTITUTE(SUBSTITUTE(SUBSTITUTE(SUBSTITUTE(SUBSTITUTE(SUBSTITUTE(SUBSTITUTE(SUBSTITUTE(SUBSTITUTE(SUBSTITUTE(SUBSTITUTE(SUBSTITUTE(SUBSTITUTE(LOWER(AC379&amp;""),CHAR(10),""),CHAR(13),""),CHAR(9),""),CHAR(160),"")," ",""),".",""),"-",""),"/",""),"?",""),"_",""),",",""),"[",""),"]",""),"(",""),")",""),"*","")</f>
        <v/>
      </c>
      <c r="BA379" s="61" t="str">
        <f aca="false">SUBSTITUTE(SUBSTITUTE(SUBSTITUTE(SUBSTITUTE(SUBSTITUTE(SUBSTITUTE(SUBSTITUTE(SUBSTITUTE(SUBSTITUTE(SUBSTITUTE(SUBSTITUTE(SUBSTITUTE(SUBSTITUTE(SUBSTITUTE(SUBSTITUTE(SUBSTITUTE(LOWER(AA379&amp;""),CHAR(10),""),CHAR(13),""),CHAR(9),""),CHAR(160),"")," ",""),".",""),"-",""),"/",""),"?",""),"_",""),",",""),"[",""),"]",""),"(",""),")",""),"*","")</f>
        <v/>
      </c>
      <c r="BB379" s="61" t="str">
        <f aca="false">IF(AND(TRIM(U379)="Pass",ISNUMBER(AF379)),IF(AF379&lt;&gt;0,"INVALID – qty variance: use Fail or Pass after CA",""),"")&amp;IF(AND(TRIM(U379)="Pass after CA",ISNUMBER(AF379)),IF(AF379&lt;&gt;0,"INVALID – after the corrective action the actual qty must equal expected (update Actual)",""),"")&amp;IF(AND(TRIM(U379)="Pass",TRIM(AB379)&lt;&gt;"",TRIM(AB379)&lt;&gt;"Closed"),"INVALID – corrective action not closed: use Fail, then Pass after CA","")&amp;IF(AND(LEN(BA379)&gt;=2,ISNA(MATCH(LEFT(BA379,255),L_Placeholder,0)),TRIM(AB379)=""),"INVALID – CA status missing for the recorded corrective action","")&amp;IF(AND(TRIM(U379)="Pass after CA",OR(OR(LEN(BA379)&lt;5,ISNUMBER(MATCH(BA379,L_Placeholder,0))),TRIM(AB379)&lt;&gt;"Closed")),"INVALID – corrective action not recorded/closed","")</f>
        <v/>
      </c>
      <c r="BC379" s="61" t="str">
        <f aca="false">" "&amp;TRIM(SUBSTITUTE(SUBSTITUTE(SUBSTITUTE(SUBSTITUTE(SUBSTITUTE(SUBSTITUTE(SUBSTITUTE(SUBSTITUTE(SUBSTITUTE(SUBSTITUTE(SUBSTITUTE(SUBSTITUTE(SUBSTITUTE(SUBSTITUTE(SUBSTITUTE(SUBSTITUTE(SUBSTITUTE(SUBSTITUTE(SUBSTITUTE(SUBSTITUTE(SUBSTITUTE(SUBSTITUTE(SUBSTITUTE(SUBSTITUTE(LOWER(V379&amp;""),CHAR(10)," "),CHAR(13)," "),CHAR(9)," "),CHAR(160)," "),"."," "),","," "),"-"," "),"/"," "),"("," "),")"," "),":"," "),";"," "),"_"," "),"–"," "),"?"," "),"!"," "),"*"," "),"["," "),"]"," "),"'"," "),"#"," "),"+"," "),"&amp;"," "),"\"," "))&amp;" "</f>
        <v>  </v>
      </c>
      <c r="BD379" s="61" t="str">
        <f aca="false">" "&amp;TRIM(SUBSTITUTE(SUBSTITUTE(SUBSTITUTE(SUBSTITUTE(SUBSTITUTE(SUBSTITUTE(SUBSTITUTE(SUBSTITUTE(SUBSTITUTE(SUBSTITUTE(SUBSTITUTE(SUBSTITUTE(SUBSTITUTE(SUBSTITUTE(SUBSTITUTE(SUBSTITUTE(SUBSTITUTE(SUBSTITUTE(SUBSTITUTE(SUBSTITUTE(SUBSTITUTE(SUBSTITUTE(SUBSTITUTE(SUBSTITUTE(LOWER(Z379&amp;""),CHAR(10)," "),CHAR(13)," "),CHAR(9)," "),CHAR(160)," "),"."," "),","," "),"-"," "),"/"," "),"("," "),")"," "),":"," "),";"," "),"_"," "),"–"," "),"?"," "),"!"," "),"*"," "),"["," "),"]"," "),"'"," "),"#"," "),"+"," "),"&amp;"," "),"\"," "))&amp;" "</f>
        <v>  </v>
      </c>
      <c r="BE379" s="61" t="str">
        <f aca="false">" "&amp;TRIM(SUBSTITUTE(SUBSTITUTE(SUBSTITUTE(SUBSTITUTE(SUBSTITUTE(SUBSTITUTE(SUBSTITUTE(SUBSTITUTE(SUBSTITUTE(SUBSTITUTE(SUBSTITUTE(SUBSTITUTE(SUBSTITUTE(SUBSTITUTE(SUBSTITUTE(SUBSTITUTE(SUBSTITUTE(SUBSTITUTE(SUBSTITUTE(SUBSTITUTE(SUBSTITUTE(SUBSTITUTE(SUBSTITUTE(SUBSTITUTE(LOWER(W379&amp;""),CHAR(10)," "),CHAR(13)," "),CHAR(9)," "),CHAR(160)," "),"."," "),","," "),"-"," "),"/"," "),"("," "),")"," "),":"," "),";"," "),"_"," "),"–"," "),"?"," "),"!"," "),"*"," "),"["," "),"]"," "),"'"," "),"#"," "),"+"," "),"&amp;"," "),"\"," "))&amp;" "</f>
        <v>  </v>
      </c>
      <c r="BF379" s="61" t="str">
        <f aca="false">" "&amp;TRIM(SUBSTITUTE(SUBSTITUTE(SUBSTITUTE(SUBSTITUTE(SUBSTITUTE(SUBSTITUTE(SUBSTITUTE(SUBSTITUTE(SUBSTITUTE(SUBSTITUTE(SUBSTITUTE(SUBSTITUTE(SUBSTITUTE(SUBSTITUTE(SUBSTITUTE(SUBSTITUTE(SUBSTITUTE(SUBSTITUTE(SUBSTITUTE(SUBSTITUTE(SUBSTITUTE(SUBSTITUTE(SUBSTITUTE(SUBSTITUTE(LOWER(AC379&amp;""),CHAR(10)," "),CHAR(13)," "),CHAR(9)," "),CHAR(160)," "),"."," "),","," "),"-"," "),"/"," "),"("," "),")"," "),":"," "),";"," "),"_"," "),"–"," "),"?"," "),"!"," "),"*"," "),"["," "),"]"," "),"'"," "),"#"," "),"+"," "),"&amp;"," "),"\"," "))&amp;" "</f>
        <v>  </v>
      </c>
      <c r="BG379" s="61" t="n">
        <f aca="false">IFERROR(IF(AND(TRIM(U379)="Pass",SUMPRODUCT((LEN(BC379)-LEN(SUBSTITUTE(BC379," "&amp;L_ResultBad&amp;" "," ")))/(LEN(L_ResultBad)+1))&gt;SUMPRODUCT((LEN(BC379)-LEN(SUBSTITUTE(BC379," "&amp;L_NegPhrase&amp;" "," ")))/(LEN(L_NegPhrase)+1))),1,0),0)</f>
        <v>0</v>
      </c>
      <c r="BH379" s="61" t="n">
        <f aca="false">IFERROR(IF(SUMPRODUCT((LEN(BC379)-LEN(SUBSTITUTE(BC379," "&amp;L_Pending&amp;" "," ")))/(LEN(L_Pending)+1))&gt;SUMPRODUCT((LEN(BC379)-LEN(SUBSTITUTE(BC379," "&amp;L_PendNeg&amp;" "," ")))/(LEN(L_PendNeg)+1)),1,0),1)</f>
        <v>0</v>
      </c>
      <c r="BI379" s="61" t="n">
        <f aca="false">IFERROR(IF(SUMPRODUCT((LEN(BD379)-LEN(SUBSTITUTE(BD379," "&amp;L_PendStrict&amp;" "," ")))/(LEN(L_PendStrict)+1))&gt;SUMPRODUCT((LEN(BD379)-LEN(SUBSTITUTE(BD379," "&amp;L_PendNeg&amp;" "," ")))/(LEN(L_PendNeg)+1)),1,0),1)</f>
        <v>0</v>
      </c>
      <c r="BJ379" s="61" t="n">
        <f aca="false">IFERROR(IF(SUMPRODUCT((LEN(BE379)-LEN(SUBSTITUTE(BE379," "&amp;L_Pending&amp;" "," ")))/(LEN(L_Pending)+1))&gt;SUMPRODUCT((LEN(BE379)-LEN(SUBSTITUTE(BE379," "&amp;L_PendNeg&amp;" "," ")))/(LEN(L_PendNeg)+1)),1,0),1)</f>
        <v>0</v>
      </c>
      <c r="BK379" s="61" t="n">
        <f aca="false">IFERROR(IF(SUMPRODUCT((LEN(BF379)-LEN(SUBSTITUTE(BF379," "&amp;L_PendStrict&amp;" "," ")))/(LEN(L_PendStrict)+1))&gt;SUMPRODUCT((LEN(BF379)-LEN(SUBSTITUTE(BF379," "&amp;L_PendNeg&amp;" "," ")))/(LEN(L_PendNeg)+1)),1,0),1)</f>
        <v>0</v>
      </c>
      <c r="BL379" s="61" t="n">
        <f aca="false">IF(ISNA(MATCH(TRIM(S379),L_EvidenceType,0)),0,BZ379)</f>
        <v>0</v>
      </c>
      <c r="BM379" s="61" t="str">
        <f aca="false">SUBSTITUTE(SUBSTITUTE(SUBSTITUTE(SUBSTITUTE(SUBSTITUTE(SUBSTITUTE(SUBSTITUTE(SUBSTITUTE(SUBSTITUTE(LOWER(Z379&amp;""),"1","0"),"2","0"),"3","0"),"4","0"),"5","0"),"6","0"),"7","0"),"8","0"),"9","0")</f>
        <v/>
      </c>
      <c r="BN379" s="61" t="str">
        <f aca="false">SUBSTITUTE(SUBSTITUTE(SUBSTITUTE(SUBSTITUTE(SUBSTITUTE(SUBSTITUTE(SUBSTITUTE(SUBSTITUTE(SUBSTITUTE(SUBSTITUTE(SUBSTITUTE(SUBSTITUTE(SUBSTITUTE(SUBSTITUTE(SUBSTITUTE(SUBSTITUTE(SUBSTITUTE(SUBSTITUTE(SUBSTITUTE(SUBSTITUTE(SUBSTITUTE(SUBSTITUTE(SUBSTITUTE(SUBSTITUTE(SUBSTITUTE(BM379,"b","a"),"c","a"),"d","a"),"e","a"),"f","a"),"g","a"),"h","a"),"i","a"),"j","a"),"k","a"),"l","a"),"m","a"),"n","a"),"o","a"),"p","a"),"q","a"),"r","a"),"s","a"),"t","a"),"u","a"),"v","a"),"w","a"),"x","a"),"y","a"),"z","a")</f>
        <v/>
      </c>
      <c r="BO379" s="61" t="str">
        <f aca="false">SUBSTITUTE(SUBSTITUTE(SUBSTITUTE(SUBSTITUTE(SUBSTITUTE(SUBSTITUTE(SUBSTITUTE(SUBSTITUTE(SUBSTITUTE(LOWER(W379&amp;""),"1","0"),"2","0"),"3","0"),"4","0"),"5","0"),"6","0"),"7","0"),"8","0"),"9","0")</f>
        <v/>
      </c>
      <c r="BP379" s="61" t="str">
        <f aca="false">SUBSTITUTE(SUBSTITUTE(SUBSTITUTE(SUBSTITUTE(SUBSTITUTE(SUBSTITUTE(SUBSTITUTE(SUBSTITUTE(SUBSTITUTE(SUBSTITUTE(SUBSTITUTE(SUBSTITUTE(SUBSTITUTE(SUBSTITUTE(SUBSTITUTE(SUBSTITUTE(SUBSTITUTE(SUBSTITUTE(SUBSTITUTE(SUBSTITUTE(SUBSTITUTE(SUBSTITUTE(SUBSTITUTE(SUBSTITUTE(SUBSTITUTE(BO379,"b","a"),"c","a"),"d","a"),"e","a"),"f","a"),"g","a"),"h","a"),"i","a"),"j","a"),"k","a"),"l","a"),"m","a"),"n","a"),"o","a"),"p","a"),"q","a"),"r","a"),"s","a"),"t","a"),"u","a"),"v","a"),"w","a"),"x","a"),"y","a"),"z","a")</f>
        <v/>
      </c>
      <c r="BQ379" s="61" t="n">
        <f aca="false">IFERROR(IF(AND(ISERROR(SEARCH(" mh"," "&amp;LOWER(W379))),ISNA(MATCH(LEFT(TRIM(BP379),255),{"0000a","000a","00a","0000aa","000aa","00aa","0aa","0000aaa","000aaa","00a00","0a00","0000-0000","00:00","a00","a0","00.00.0000","00/00/0000","00-00-0000","0000-00-00","0000/00/00","0000.00.00","00.00.00","00/00/00","00-00-00","0.00.0000","0/00/0000","0-00-0000"},0)),ISNA(MATCH(LEFT(TRIM(CA379),255),{"0000a","000a","00a","0000aa","000aa","00aa","0aa","0000aaa","000aaa","00a00","0a00","0000-0000","00:00","a00","a0","00.00.0000","00/00/0000","00-00-0000","0000-00-00","0000/00/00","0000.00.00","00.00.00","00/00/00","00-00-00","0.00.0000","0/00/0000","0-00-0000"},0)),LEN(CB379)&gt;=3,NOT(OR(SUBSTITUTE(CB379,"0","")="",AND(LEN(CB379)&gt;=4,CB379=REPT(LEFT(CB379),LEN(CB379))),ISNUMBER(MATCH(CB379,{"123","1234","12345","123456","1234567","12345678","0123","01234","012345","98765","987654","54321"},0)),AND(LEN(CB379)=8,LEFT(CB379,3)="202"))),OR(AND((LEN(CA379)-LEN(SUBSTITUTE(CA379,"a","")))&gt;=1,SUMPRODUCT(--ISNUMBER(SEARCH({"a0","a-0","a_0","a/0","a.0","a#0","0a","0-a","0_a","0/a"},BP379)))&gt;0),ISNUMBER(SEARCH("000000",BP379)))),1,0),0)</f>
        <v>0</v>
      </c>
      <c r="BR379" s="61" t="n">
        <f aca="false">IFERROR(LEN(SUBSTITUTE(CC379," ",""))-SUMPRODUCT((LEN(CC379)-LEN(SUBSTITUTE(CC379," "&amp;L_Role&amp;" "," ")))/(LEN(L_Role)+1)*LEN(L_Role)),0)</f>
        <v>0</v>
      </c>
      <c r="BS379" s="61" t="n">
        <f aca="false">IFERROR(LEN(SUBSTITUTE(CD379," ",""))-SUMPRODUCT((LEN(CD379)-LEN(SUBSTITUTE(CD379," "&amp;L_Role&amp;" "," ")))/(LEN(L_Role)+1)*LEN(L_Role)),0)</f>
        <v>0</v>
      </c>
      <c r="BT3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379,"revision",""),"version",""),"jan",""),"feb",""),"mar",""),"apr",""),"may",""),"jun",""),"jul",""),"aug",""),"sep",""),"oct",""),"nov",""),"dec",""),"utc",""),"gmt",""),"myt",""),"bst",""),"rev",""),"ver",""),"b","a"),"c","a"),"d","a"),"e","a"),"f","a"),"g","a"),"h","a"),"i","a"),"j","a"),"k","a"),"l","a"),"m","a"),"n","a"),"o","a"),"p","a"),"q","a"),"r","a"),"s","a"),"t","a"),"u","a"),"v","a"),"w","a"),"x","a"),"y","a"),"z","a")</f>
        <v/>
      </c>
      <c r="BU379" s="61" t="str">
        <f aca="false">SUBSTITUTE(SUBSTITUTE(SUBSTITUTE(SUBSTITUTE(SUBSTITUTE(SUBSTITUTE(SUBSTITUTE(SUBSTITUTE(SUBSTITUTE(SUBSTITUTE(LEFT(BM379,FIND("0",BM379&amp;"0")-1),"-",""),"_",""),"/",""),".",""),"#",""),"\\",""),":","")," ",""),"(",""),")","")</f>
        <v/>
      </c>
      <c r="BV379" s="61" t="n">
        <f aca="false">IFERROR(IF(OR(SUMPRODUCT((LEN(BC379)-LEN(SUBSTITUTE(BC379," "&amp;L_NotLoaded&amp;" "," ")))/(LEN(L_NotLoaded)+1))&gt;SUMPRODUCT((LEN(BC379)-LEN(SUBSTITUTE(BC379," "&amp;L_NotLoadedNeg&amp;" "," ")))/(LEN(L_NotLoadedNeg)+1)),SUMPRODUCT((LEN(BD379)-LEN(SUBSTITUTE(BD379," "&amp;L_NotLoaded&amp;" "," ")))/(LEN(L_NotLoaded)+1))&gt;SUMPRODUCT((LEN(BD379)-LEN(SUBSTITUTE(BD379," "&amp;L_NotLoadedNeg&amp;" "," ")))/(LEN(L_NotLoadedNeg)+1))),1,0),0)</f>
        <v>0</v>
      </c>
      <c r="BW3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379&amp;""),"a",""),"b",""),"c",""),"d",""),"e",""),"f",""),"g",""),"h",""),"i",""),"j",""),"k",""),"l",""),"m",""),"n",""),"o",""),"p",""),"q",""),"r",""),"s",""),"t",""),"u",""),"v",""),"w",""),"x",""),"y",""),"z",""),"-",""),"_",""),"/",""),".",""),"#",""),"\\",""),":","")," ",""),"(",""),")","")</f>
        <v/>
      </c>
      <c r="BX379" s="61" t="str">
        <f aca="false">SUBSTITUTE(SUBSTITUTE(SUBSTITUTE(SUBSTITUTE(SUBSTITUTE(SUBSTITUTE(SUBSTITUTE(SUBSTITUTE(SUBSTITUTE(SUBSTITUTE(SUBSTITUTE(BM379,"0",""),"-",""),"_",""),"/",""),".",""),"#",""),"\\",""),":","")," ",""),"(",""),")","")</f>
        <v/>
      </c>
      <c r="BY379" s="62" t="n">
        <f aca="false">IF(ISNUMBER(Flights!$AZ$15),MAX(Q379-UpliftWindowH/24,Flights!$AZ$15),Q379-UpliftWindowH/24)</f>
        <v>46307.1979166667</v>
      </c>
      <c r="BZ379" s="61" t="n">
        <f aca="false">IFERROR(IF(IF(TRIM(S379)="Link / file path",AND(LEN(TRIM(Z379))&gt;=5,SUMPRODUCT(--ISNUMBER(SEARCH({"http","www.","\\",":\",".pdf",".jpg",".jpeg",".png",".heic",".xls",".doc",".msg",".eml",".ppt",".txt",".zip"},Z379)))&gt;0),AND(ISERROR(FIND(" ",TRIM(Z379))),NOT(OR(SUMPRODUCT(--ISNUMBER(FIND({",",";","&amp;","+"},Z379)))&gt;0,SUMPRODUCT(--ISNUMBER(SEARCH({"0/aa","0\\aa"},BN379)))&gt;0)),NOT(SUMPRODUCT(--ISNUMBER(SEARCH({"http","www.","\\",":\",".pdf",".jpg",".jpeg",".png",".heic",".xls",".doc",".msg",".eml",".ppt",".txt",".zip"},Z379)))&gt;0),NOT(LOWER(TRIM(Z379))=LOWER(Flights!$F$15)),ISNA(MATCH(BU379,{"mh","rev","revision","ver","version","v","r","a","b","seat","tray","row","gate","bay","stand","page","pg","item","line","no","cart","galley","flight","flt","table","box","bag","oven","etd","eta","std","sta","atd","ata","qty","pax","x","time","tel","ph","mob","day","wk","week","utc","gmt","myt","lt"},0)),NOT(OR(ISNUMBER(MATCH(LEFT(BN379,255),{"0000a","000a","00a","0000aa","000aa","00aa","0aa","0000aaa","000aaa","00a00","0a00","0000-0000","00:00","a00","a0","00.00.0000","00/00/0000","00-00-0000","0000-00-00","0000/00/00","0000.00.00","00.00.00","00/00/00","00-00-00","0.00.0000","0/00/0000","0-00-0000"},0)),ISNUMBER(MATCH(LEFT(BT379,255),{"0000a","000a","00a","0000aa","000aa","00aa","0aa","0000aaa","000aaa","00a00","0a00","0000-0000","00:00","a00","a0","00.00.0000","00/00/0000","00-00-0000","0000-00-00","0000/00/00","0000.00.00","00.00.00","00/00/00","00-00-00","0.00.0000","0/00/0000","0-00-0000"},0)))),NOT(OR(AND(BW379&lt;&gt;"",SUBSTITUTE(BW379,"0","")=""),AND(LEN(BW379)&gt;=4,BW379=REPT(LEFT(BW379),LEN(BW379))),ISNUMBER(MATCH(BW379,{"123","1234","12345","123456","1234567","12345678","0123","01234","012345","98765","987654","54321"},0)),ISNUMBER(MATCH(BX379,{"x","xx","xxx","xxxx","xxxxx","abc","abcd","nil","na","nan","test","tbc","tba","tbd","dummy","sample","example","eg","zz","zzz","none","null","xyz","qwe","asd","id","ref"},0)),AND(LEN(BW379)=8,BX379="",OR(LEFT(BW379,3)="202",ISNUMBER(MATCH(RIGHT(BW379,4),{"2025","2026","2027"},0)))))),OR(AND((LEN(BT379)-LEN(SUBSTITUTE(BT379,"a","")))&gt;=1,(LEN(BN379)-LEN(SUBSTITUTE(BN379,"0","")))&gt;=2,SUMPRODUCT(--ISNUMBER(SEARCH({"a0","a-0","a_0","a/0","a.0","a#0","0a","0-a","0_a","0/a"},BN379)))&gt;0),AND((LEN(BN379)-LEN(SUBSTITUTE(BN379,"a","")))=0,(LEN(BN379)-LEN(SUBSTITUTE(BN379,"0","")))&gt;=5)))),1,0),0)</f>
        <v>0</v>
      </c>
      <c r="CA3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379,"revision",""),"version",""),"jan",""),"feb",""),"mar",""),"apr",""),"may",""),"jun",""),"jul",""),"aug",""),"sep",""),"oct",""),"nov",""),"dec",""),"utc",""),"gmt",""),"myt",""),"bst",""),"rev",""),"ver",""),"b","a"),"c","a"),"d","a"),"e","a"),"f","a"),"g","a"),"h","a"),"i","a"),"j","a"),"k","a"),"l","a"),"m","a"),"n","a"),"o","a"),"p","a"),"q","a"),"r","a"),"s","a"),"t","a"),"u","a"),"v","a"),"w","a"),"x","a"),"y","a"),"z","a")</f>
        <v/>
      </c>
      <c r="CB3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379&amp;""),"a",""),"b",""),"c",""),"d",""),"e",""),"f",""),"g",""),"h",""),"i",""),"j",""),"k",""),"l",""),"m",""),"n",""),"o",""),"p",""),"q",""),"r",""),"s",""),"t",""),"u",""),"v",""),"w",""),"x",""),"y",""),"z",""),"-",""),"_",""),"/",""),".",""),"#",""),"\\",""),":","")," ",""),"(",""),")","")</f>
        <v/>
      </c>
      <c r="CC379" s="0" t="str">
        <f aca="false">" "&amp;TRIM(SUBSTITUTE(SUBSTITUTE(SUBSTITUTE(SUBSTITUTE(SUBSTITUTE(SUBSTITUTE(SUBSTITUTE(SUBSTITUTE(SUBSTITUTE(SUBSTITUTE(SUBSTITUTE(SUBSTITUTE(SUBSTITUTE(SUBSTITUTE(SUBSTITUTE(SUBSTITUTE(SUBSTITUTE(SUBSTITUTE(SUBSTITUTE(SUBSTITUTE(SUBSTITUTE(SUBSTITUTE(SUBSTITUTE(SUBSTITUTE(LOWER(T379&amp;""),CHAR(10)," "),CHAR(13)," "),CHAR(9)," "),CHAR(160)," "),"."," "),","," "),"-"," "),"/"," "),"("," "),")"," "),":"," "),";"," "),"_"," "),"–"," "),"?"," "),"!"," "),"*"," "),"["," "),"]"," "),"'"," "),"#"," "),"+"," "),"&amp;"," "),"\"," "))&amp;" "</f>
        <v>  </v>
      </c>
      <c r="CD379" s="0" t="str">
        <f aca="false">" "&amp;TRIM(SUBSTITUTE(SUBSTITUTE(SUBSTITUTE(SUBSTITUTE(SUBSTITUTE(SUBSTITUTE(SUBSTITUTE(SUBSTITUTE(SUBSTITUTE(SUBSTITUTE(SUBSTITUTE(SUBSTITUTE(SUBSTITUTE(SUBSTITUTE(SUBSTITUTE(SUBSTITUTE(SUBSTITUTE(SUBSTITUTE(SUBSTITUTE(SUBSTITUTE(SUBSTITUTE(SUBSTITUTE(SUBSTITUTE(SUBSTITUTE(LOWER(AE379&amp;""),CHAR(10)," "),CHAR(13)," "),CHAR(9)," "),CHAR(160)," "),"."," "),","," "),"-"," "),"/"," "),"("," "),")"," "),":"," "),";"," "),"_"," "),"–"," "),"?"," "),"!"," "),"*"," "),"["," "),"]"," "),"'"," "),"#"," "),"+"," "),"&amp;"," "),"\"," "))&amp;" "</f>
        <v>  </v>
      </c>
      <c r="CE379" s="68" t="n">
        <f aca="false">IFERROR(IF(AND(LEN(AU379)&gt;0,LEN(AU379)=LEN(AX379),OR(TRIM(MID(SUBSTITUTE(TRIM(CC379)," ",REPT(" ",60)),1,60))="",ISNUMBER(SEARCH(" "&amp;TRIM(MID(SUBSTITUTE(TRIM(CC379)," ",REPT(" ",60)),1,60))&amp;" ",CD379))),OR(TRIM(MID(SUBSTITUTE(TRIM(CC379)," ",REPT(" ",60)),61,60))="",ISNUMBER(SEARCH(" "&amp;TRIM(MID(SUBSTITUTE(TRIM(CC379)," ",REPT(" ",60)),61,60))&amp;" ",CD379))),OR(TRIM(MID(SUBSTITUTE(TRIM(CC379)," ",REPT(" ",60)),121,60))="",ISNUMBER(SEARCH(" "&amp;TRIM(MID(SUBSTITUTE(TRIM(CC379)," ",REPT(" ",60)),121,60))&amp;" ",CD379)))),1,0),0)</f>
        <v>0</v>
      </c>
      <c r="CG379" s="68" t="n">
        <f aca="false">IFERROR(LEN(SUBSTITUTE(BF379," ",""))-SUMPRODUCT((LEN(BF379)-LEN(SUBSTITUTE(BF379," "&amp;L_NAFiller&amp;" "," ")))/(LEN(L_NAFiller)+1)*LEN(L_NAFiller)),0)</f>
        <v>0</v>
      </c>
    </row>
    <row r="380" customFormat="false" ht="39.75" hidden="false" customHeight="true" outlineLevel="0" collapsed="false">
      <c r="A380" s="57" t="s">
        <v>993</v>
      </c>
      <c r="B380" s="57" t="s">
        <v>261</v>
      </c>
      <c r="C380" s="57" t="str">
        <f aca="false">Flights!$F$16</f>
        <v>MH0139</v>
      </c>
      <c r="D380" s="58" t="n">
        <f aca="false">Flights!$D$16</f>
        <v>46307</v>
      </c>
      <c r="E380" s="57" t="str">
        <f aca="false">Flights!$G$16&amp;"-"&amp;Flights!$H$16</f>
        <v>KUL-ADL</v>
      </c>
      <c r="F380" s="57" t="str">
        <f aca="false">Flights!$K$16</f>
        <v>BC</v>
      </c>
      <c r="G380" s="57" t="s">
        <v>81</v>
      </c>
      <c r="H380" s="57" t="s">
        <v>378</v>
      </c>
      <c r="I380" s="57" t="s">
        <v>379</v>
      </c>
      <c r="J380" s="57" t="s">
        <v>380</v>
      </c>
      <c r="K380" s="67" t="s">
        <v>381</v>
      </c>
      <c r="L380" s="67" t="s">
        <v>382</v>
      </c>
      <c r="M380" s="67"/>
      <c r="N380" s="67" t="s">
        <v>383</v>
      </c>
      <c r="O380" s="67"/>
      <c r="P380" s="57" t="s">
        <v>187</v>
      </c>
      <c r="Q380" s="59" t="n">
        <f aca="false">ROUND((Flights!$AC$16)*1440,0)/1440</f>
        <v>46300.6006944444</v>
      </c>
      <c r="R380" s="59" t="n">
        <f aca="false">Q380+(IF(AND(INDEX(TZ_DSTS,MATCH(P380,TZ_STN,0))&lt;&gt;"",Q380&gt;=INDEX(TZ_DSTS,MATCH(P380,TZ_STN,0)),Q380&lt;INDEX(TZ_DSTE,MATCH(P380,TZ_STN,0))),INDEX(TZ_DST,MATCH(P380,TZ_STN,0)),INDEX(TZ_STD,MATCH(P380,TZ_STN,0))))/24</f>
        <v>46300.9340277778</v>
      </c>
      <c r="S380" s="60"/>
      <c r="T380" s="60"/>
      <c r="U380" s="60"/>
      <c r="V380" s="60"/>
      <c r="W380" s="61"/>
      <c r="X380" s="60"/>
      <c r="Y380" s="60"/>
      <c r="Z380" s="60"/>
      <c r="AA380" s="60"/>
      <c r="AB380" s="60"/>
      <c r="AC380" s="60"/>
      <c r="AD380" s="66"/>
      <c r="AE380" s="60"/>
      <c r="AF380" s="61" t="str">
        <f aca="false">IF(AND(ISNUMBER(X380),ISNUMBER(Y380)),Y380-X380,"")</f>
        <v/>
      </c>
      <c r="AG380" s="62" t="str">
        <f aca="false">IF(ISNUMBER(AD380),AD380-(IF(AND(INDEX(TZ_DSTS,MATCH(P380,TZ_STN,0))&lt;&gt;"",(AD380-INDEX(TZ_STD,MATCH(P380,TZ_STN,0))/24)&gt;=INDEX(TZ_DSTS,MATCH(P380,TZ_STN,0)),(AD380-INDEX(TZ_STD,MATCH(P380,TZ_STN,0))/24)&lt;INDEX(TZ_DSTE,MATCH(P380,TZ_STN,0))),INDEX(TZ_DST,MATCH(P380,TZ_STN,0)),INDEX(TZ_STD,MATCH(P380,TZ_STN,0))))/24,"")</f>
        <v/>
      </c>
      <c r="AH380" s="65" t="str">
        <f aca="false">IFERROR(IF(N380="N/A – rule",IF(OR(TRIM(U380)="",TRIM(U380)="N/A",TRIM(U380)="Not started"),"N/A – RULE","INVALID – this check does not apply to this aircraft: clear the status (or correct the fleet on Flights)"),IF(TRIM(U380)="N/A",IF(AT380=0,"INVALID – N/A not permitted for this check",IF(AND(TRIM(AB380)&lt;&gt;"",TRIM(AB380)&lt;&gt;"Closed"),"INVALID – corrective action still open",IF(AND(NOT(OR(LEN(AZ380)&lt;15,ISNUMBER(MATCH(AZ380,L_Placeholder,0)))),BK380=0,CG380&gt;=8,NOT(OR(LEN(AU380)&lt;2,ISNUMBER(MATCH(AU380,L_Placeholder,0)))),BR380&gt;=3,NOT(OR(LEN(AX380)&lt;2,ISNUMBER(MATCH(AX380,L_Placeholder,0)))),BS380&gt;=3,TRIM(AE380)&lt;&gt;TRIM(T380),AX380&lt;&gt;AU380,CE380=0),"N/A – JUSTIFIED","INVALID – N/A needs a real, settled reason (not 'not applicable' / 'as above' / TBC), a named PIC and a different named verifier"))),IF(OR(TRIM(U380)="Pass",TRIM(U380)="Pass after CA"),IF(NOT(ISNUMBER(AD380)),"INVALID – completion time missing",IF(OR(OR(LEN(AU380)&lt;2,ISNUMBER(MATCH(AU380,L_Placeholder,0))),BR380&lt;3),"INVALID – PIC missing or not a named person (a role such as QA / CSM is not a name)",IF(OR(LEN(AV380)&lt;2,ISNUMBER(MATCH(AV380,L_Placeholder,0))),"INVALID – result / assessment missing",IF(OR(OR(LEN(AW380)&lt;3,ISNUMBER(MATCH(AW380,L_Placeholder,0))),SUMPRODUCT(--ISNUMBER(SEARCH(" "&amp;L_EvidencePhrase&amp;" ",BD380)))&gt;0,BI380=1),"INVALID – evidence missing, placeholder or not yet on file",IF(ISNA(MATCH(TRIM(S380),L_EvidenceType,0)),"INVALID – choose the evidence type from the list (column S)",IF(BL380=0,"INVALID – evidence ID must be the record's own ID only (e.g. SF-2210, IMG_2231, 1045521); a link / file name needs type 'Link / file path'",IF(OR(OR(LEN(AX380)&lt;2,ISNUMBER(MATCH(AX380,L_Placeholder,0))),BS380&lt;3),"INVALID – verifier missing or not a named person (a role such as QA / CSM is not a name)",IF(OR(AX380=AU380,CE380=1,AND(LEN(AU380)&gt;=4,ISNUMBER(SEARCH(AU380,AX380))),AND(LEN(AX380)&gt;=4,ISNUMBER(SEARCH(AX380,AU380)))),"INVALID – verifier must be a different, named person (not the PIC or a role)",IF(BH380=1,"INVALID – result not yet available (awaiting / TBC)",IF(BG380=1,"INVALID – result describes a problem: record Fail, then Pass after CA (or reword if it is not a problem)",IF(BV380=1,"INVALID – wording says not on board: an on-board confirmation needs the item loaded",IF(AND(AQ380=1,OR(OR(LEN(AY380)&lt;3,ISNUMBER(MATCH(AY380,L_Placeholder,0))),BJ380=1,BQ380=0)),"INVALID – batch ID missing, placeholder or not an ID (e.g. PASB-261008-BC-017)",IF(AND(AR380=1,OR(NOT(ISNUMBER(X380)),NOT(ISNUMBER(Y380)))),"INVALID – expected/actual qty missing",IF(AND(AR380=1,OR(X380&lt;=0,Y380&lt;0)),"INVALID – expected qty must be above 0 and actual not negative",IF(BB380&lt;&gt;"",BB380,IF(AND(AS380=1,Documents!$J$16&lt;&gt;"ON FILE"),"INVALID – GLD not on file (Documents sheet)",IF(AND(AS380=2,Documents!$O$16&lt;&gt;"ON FILE"),"INVALID – menu checklist not on file (Documents sheet)",IF(AND(AS380=3,NOT(ISNUMBER(Flights!$AX$16))),"INVALID – enter carrying flight KUL departure (Flights AX)",IF(AND(AS380=3,OR(Flights!$AZ$16&gt;Flights!$AA$16,Flights!$AX$16&lt;Flights!$AA$16-3)),"INVALID – carrying flight (Flights AX) cannot arrive before this leg's STD, or is over 3 days early",IF(AG380&gt;AsOfUTC,"INVALID – completion time is in the future",IF(AND(ISNUMBER(BY380),AG380&lt;BY380),IF(H380="Physical uplift","INVALID – before uplift window (cannot confirm loading)","INVALID – before valid window"),IF(AG380&gt;Flights!$AA$16,"INVALID – completed after departure (cannot establish readiness)",IF(AND(H380="Preparation",AG380&gt;=IF(ISNUMBER(Flights!$BA$16),MIN(Flights!$BA$16,Flights!$AA$16),Flights!$AA$16)),"INVALID – completed after loading / departure (cannot establish readiness)",IF(AND(H380="Physical uplift",AG380&gt;Q380),"INVALID – recorded after the loading flight departed",IF(AG380&gt;Q380,"COMPLETE – LATE","COMPLETE"))))))))))))))))))))))))),IF(TRIM(U380)="Fail","FAIL – DISCREPANCY",IF(AND(TRIM(U380)&lt;&gt;"",TRIM(U380)&lt;&gt;"Not started",TRIM(U380)&lt;&gt;"In progress"),"INVALID – unrecognised status (use the list)",IF(AsOfUTC&gt;Q380,"OVERDUE",IF(N380="Clarification required","OPEN – CLARIFICATION","OPEN"))))))),"INVALID – error value in an input cell")</f>
        <v>OPEN</v>
      </c>
      <c r="AI380" s="61" t="n">
        <f aca="false">IF(OR(AH380="N/A – RULE",AH380="N/A – JUSTIFIED"),0,1)</f>
        <v>1</v>
      </c>
      <c r="AJ380" s="61" t="n">
        <f aca="false">IF(LEFT(AH380,8)="COMPLETE",1,0)</f>
        <v>0</v>
      </c>
      <c r="AK380" s="61" t="n">
        <f aca="false">IF(AND(AI380=1,AJ380=0,AsOfUTC&gt;Q380),1,0)</f>
        <v>0</v>
      </c>
      <c r="AL380" s="61" t="n">
        <f aca="false">IFERROR(IF(AND(AI380=1,OR(TRIM(U380)="Fail",AND(TRIM(AB380)&lt;&gt;"",TRIM(AB380)&lt;&gt;"Closed"),AND(ISNUMBER(AF380),AF380&lt;&gt;0,TRIM(U380)&lt;&gt;"Pass after CA"))),1,0),1)</f>
        <v>0</v>
      </c>
      <c r="AM380" s="61" t="n">
        <f aca="false">IF(LEFT(AH380,7)="INVALID",1,0)</f>
        <v>0</v>
      </c>
      <c r="AN380" s="61" t="n">
        <f aca="false">IF(AND(N380="Clarification required",AI380=1,AJ380=0),1,0)</f>
        <v>0</v>
      </c>
      <c r="AO380" s="61" t="str">
        <f aca="false">IF(AK380=1,SUM(AK$5:AK380),"")</f>
        <v/>
      </c>
      <c r="AP380" s="61" t="str">
        <f aca="false">IF(AL380=1,SUM(AL$5:AL380),"")</f>
        <v/>
      </c>
      <c r="AQ380" s="61" t="n">
        <v>0</v>
      </c>
      <c r="AR380" s="61" t="n">
        <v>0</v>
      </c>
      <c r="AS380" s="61" t="n">
        <v>0</v>
      </c>
      <c r="AT380" s="61" t="n">
        <v>0</v>
      </c>
      <c r="AU380" s="61" t="str">
        <f aca="false">SUBSTITUTE(SUBSTITUTE(SUBSTITUTE(SUBSTITUTE(SUBSTITUTE(SUBSTITUTE(SUBSTITUTE(SUBSTITUTE(SUBSTITUTE(SUBSTITUTE(SUBSTITUTE(SUBSTITUTE(SUBSTITUTE(SUBSTITUTE(SUBSTITUTE(SUBSTITUTE(LOWER(T380&amp;""),CHAR(10),""),CHAR(13),""),CHAR(9),""),CHAR(160),"")," ",""),".",""),"-",""),"/",""),"?",""),"_",""),",",""),"[",""),"]",""),"(",""),")",""),"*","")</f>
        <v/>
      </c>
      <c r="AV380" s="61" t="str">
        <f aca="false">SUBSTITUTE(SUBSTITUTE(SUBSTITUTE(SUBSTITUTE(SUBSTITUTE(SUBSTITUTE(SUBSTITUTE(SUBSTITUTE(SUBSTITUTE(SUBSTITUTE(SUBSTITUTE(SUBSTITUTE(SUBSTITUTE(SUBSTITUTE(SUBSTITUTE(SUBSTITUTE(LOWER(V380&amp;""),CHAR(10),""),CHAR(13),""),CHAR(9),""),CHAR(160),"")," ",""),".",""),"-",""),"/",""),"?",""),"_",""),",",""),"[",""),"]",""),"(",""),")",""),"*","")</f>
        <v/>
      </c>
      <c r="AW380" s="61" t="str">
        <f aca="false">SUBSTITUTE(SUBSTITUTE(SUBSTITUTE(SUBSTITUTE(SUBSTITUTE(SUBSTITUTE(SUBSTITUTE(SUBSTITUTE(SUBSTITUTE(SUBSTITUTE(SUBSTITUTE(SUBSTITUTE(SUBSTITUTE(SUBSTITUTE(SUBSTITUTE(SUBSTITUTE(LOWER(Z380&amp;""),CHAR(10),""),CHAR(13),""),CHAR(9),""),CHAR(160),"")," ",""),".",""),"-",""),"/",""),"?",""),"_",""),",",""),"[",""),"]",""),"(",""),")",""),"*","")</f>
        <v/>
      </c>
      <c r="AX380" s="61" t="str">
        <f aca="false">SUBSTITUTE(SUBSTITUTE(SUBSTITUTE(SUBSTITUTE(SUBSTITUTE(SUBSTITUTE(SUBSTITUTE(SUBSTITUTE(SUBSTITUTE(SUBSTITUTE(SUBSTITUTE(SUBSTITUTE(SUBSTITUTE(SUBSTITUTE(SUBSTITUTE(SUBSTITUTE(LOWER(AE380&amp;""),CHAR(10),""),CHAR(13),""),CHAR(9),""),CHAR(160),"")," ",""),".",""),"-",""),"/",""),"?",""),"_",""),",",""),"[",""),"]",""),"(",""),")",""),"*","")</f>
        <v/>
      </c>
      <c r="AY380" s="61" t="str">
        <f aca="false">SUBSTITUTE(SUBSTITUTE(SUBSTITUTE(SUBSTITUTE(SUBSTITUTE(SUBSTITUTE(SUBSTITUTE(SUBSTITUTE(SUBSTITUTE(SUBSTITUTE(SUBSTITUTE(SUBSTITUTE(SUBSTITUTE(SUBSTITUTE(SUBSTITUTE(SUBSTITUTE(LOWER(W380&amp;""),CHAR(10),""),CHAR(13),""),CHAR(9),""),CHAR(160),"")," ",""),".",""),"-",""),"/",""),"?",""),"_",""),",",""),"[",""),"]",""),"(",""),")",""),"*","")</f>
        <v/>
      </c>
      <c r="AZ380" s="61" t="str">
        <f aca="false">SUBSTITUTE(SUBSTITUTE(SUBSTITUTE(SUBSTITUTE(SUBSTITUTE(SUBSTITUTE(SUBSTITUTE(SUBSTITUTE(SUBSTITUTE(SUBSTITUTE(SUBSTITUTE(SUBSTITUTE(SUBSTITUTE(SUBSTITUTE(SUBSTITUTE(SUBSTITUTE(LOWER(AC380&amp;""),CHAR(10),""),CHAR(13),""),CHAR(9),""),CHAR(160),"")," ",""),".",""),"-",""),"/",""),"?",""),"_",""),",",""),"[",""),"]",""),"(",""),")",""),"*","")</f>
        <v/>
      </c>
      <c r="BA380" s="61" t="str">
        <f aca="false">SUBSTITUTE(SUBSTITUTE(SUBSTITUTE(SUBSTITUTE(SUBSTITUTE(SUBSTITUTE(SUBSTITUTE(SUBSTITUTE(SUBSTITUTE(SUBSTITUTE(SUBSTITUTE(SUBSTITUTE(SUBSTITUTE(SUBSTITUTE(SUBSTITUTE(SUBSTITUTE(LOWER(AA380&amp;""),CHAR(10),""),CHAR(13),""),CHAR(9),""),CHAR(160),"")," ",""),".",""),"-",""),"/",""),"?",""),"_",""),",",""),"[",""),"]",""),"(",""),")",""),"*","")</f>
        <v/>
      </c>
      <c r="BB380" s="61" t="str">
        <f aca="false">IF(AND(TRIM(U380)="Pass",ISNUMBER(AF380)),IF(AF380&lt;&gt;0,"INVALID – qty variance: use Fail or Pass after CA",""),"")&amp;IF(AND(TRIM(U380)="Pass after CA",ISNUMBER(AF380)),IF(AF380&lt;&gt;0,"INVALID – after the corrective action the actual qty must equal expected (update Actual)",""),"")&amp;IF(AND(TRIM(U380)="Pass",TRIM(AB380)&lt;&gt;"",TRIM(AB380)&lt;&gt;"Closed"),"INVALID – corrective action not closed: use Fail, then Pass after CA","")&amp;IF(AND(LEN(BA380)&gt;=2,ISNA(MATCH(LEFT(BA380,255),L_Placeholder,0)),TRIM(AB380)=""),"INVALID – CA status missing for the recorded corrective action","")&amp;IF(AND(TRIM(U380)="Pass after CA",OR(OR(LEN(BA380)&lt;5,ISNUMBER(MATCH(BA380,L_Placeholder,0))),TRIM(AB380)&lt;&gt;"Closed")),"INVALID – corrective action not recorded/closed","")</f>
        <v/>
      </c>
      <c r="BC380" s="61" t="str">
        <f aca="false">" "&amp;TRIM(SUBSTITUTE(SUBSTITUTE(SUBSTITUTE(SUBSTITUTE(SUBSTITUTE(SUBSTITUTE(SUBSTITUTE(SUBSTITUTE(SUBSTITUTE(SUBSTITUTE(SUBSTITUTE(SUBSTITUTE(SUBSTITUTE(SUBSTITUTE(SUBSTITUTE(SUBSTITUTE(SUBSTITUTE(SUBSTITUTE(SUBSTITUTE(SUBSTITUTE(SUBSTITUTE(SUBSTITUTE(SUBSTITUTE(SUBSTITUTE(LOWER(V380&amp;""),CHAR(10)," "),CHAR(13)," "),CHAR(9)," "),CHAR(160)," "),"."," "),","," "),"-"," "),"/"," "),"("," "),")"," "),":"," "),";"," "),"_"," "),"–"," "),"?"," "),"!"," "),"*"," "),"["," "),"]"," "),"'"," "),"#"," "),"+"," "),"&amp;"," "),"\"," "))&amp;" "</f>
        <v>  </v>
      </c>
      <c r="BD380" s="61" t="str">
        <f aca="false">" "&amp;TRIM(SUBSTITUTE(SUBSTITUTE(SUBSTITUTE(SUBSTITUTE(SUBSTITUTE(SUBSTITUTE(SUBSTITUTE(SUBSTITUTE(SUBSTITUTE(SUBSTITUTE(SUBSTITUTE(SUBSTITUTE(SUBSTITUTE(SUBSTITUTE(SUBSTITUTE(SUBSTITUTE(SUBSTITUTE(SUBSTITUTE(SUBSTITUTE(SUBSTITUTE(SUBSTITUTE(SUBSTITUTE(SUBSTITUTE(SUBSTITUTE(LOWER(Z380&amp;""),CHAR(10)," "),CHAR(13)," "),CHAR(9)," "),CHAR(160)," "),"."," "),","," "),"-"," "),"/"," "),"("," "),")"," "),":"," "),";"," "),"_"," "),"–"," "),"?"," "),"!"," "),"*"," "),"["," "),"]"," "),"'"," "),"#"," "),"+"," "),"&amp;"," "),"\"," "))&amp;" "</f>
        <v>  </v>
      </c>
      <c r="BE380" s="61" t="str">
        <f aca="false">" "&amp;TRIM(SUBSTITUTE(SUBSTITUTE(SUBSTITUTE(SUBSTITUTE(SUBSTITUTE(SUBSTITUTE(SUBSTITUTE(SUBSTITUTE(SUBSTITUTE(SUBSTITUTE(SUBSTITUTE(SUBSTITUTE(SUBSTITUTE(SUBSTITUTE(SUBSTITUTE(SUBSTITUTE(SUBSTITUTE(SUBSTITUTE(SUBSTITUTE(SUBSTITUTE(SUBSTITUTE(SUBSTITUTE(SUBSTITUTE(SUBSTITUTE(LOWER(W380&amp;""),CHAR(10)," "),CHAR(13)," "),CHAR(9)," "),CHAR(160)," "),"."," "),","," "),"-"," "),"/"," "),"("," "),")"," "),":"," "),";"," "),"_"," "),"–"," "),"?"," "),"!"," "),"*"," "),"["," "),"]"," "),"'"," "),"#"," "),"+"," "),"&amp;"," "),"\"," "))&amp;" "</f>
        <v>  </v>
      </c>
      <c r="BF380" s="61" t="str">
        <f aca="false">" "&amp;TRIM(SUBSTITUTE(SUBSTITUTE(SUBSTITUTE(SUBSTITUTE(SUBSTITUTE(SUBSTITUTE(SUBSTITUTE(SUBSTITUTE(SUBSTITUTE(SUBSTITUTE(SUBSTITUTE(SUBSTITUTE(SUBSTITUTE(SUBSTITUTE(SUBSTITUTE(SUBSTITUTE(SUBSTITUTE(SUBSTITUTE(SUBSTITUTE(SUBSTITUTE(SUBSTITUTE(SUBSTITUTE(SUBSTITUTE(SUBSTITUTE(LOWER(AC380&amp;""),CHAR(10)," "),CHAR(13)," "),CHAR(9)," "),CHAR(160)," "),"."," "),","," "),"-"," "),"/"," "),"("," "),")"," "),":"," "),";"," "),"_"," "),"–"," "),"?"," "),"!"," "),"*"," "),"["," "),"]"," "),"'"," "),"#"," "),"+"," "),"&amp;"," "),"\"," "))&amp;" "</f>
        <v>  </v>
      </c>
      <c r="BG380" s="61" t="n">
        <f aca="false">IFERROR(IF(AND(TRIM(U380)="Pass",SUMPRODUCT((LEN(BC380)-LEN(SUBSTITUTE(BC380," "&amp;L_ResultBad&amp;" "," ")))/(LEN(L_ResultBad)+1))&gt;SUMPRODUCT((LEN(BC380)-LEN(SUBSTITUTE(BC380," "&amp;L_NegPhrase&amp;" "," ")))/(LEN(L_NegPhrase)+1))),1,0),0)</f>
        <v>0</v>
      </c>
      <c r="BH380" s="61" t="n">
        <f aca="false">IFERROR(IF(SUMPRODUCT((LEN(BC380)-LEN(SUBSTITUTE(BC380," "&amp;L_Pending&amp;" "," ")))/(LEN(L_Pending)+1))&gt;SUMPRODUCT((LEN(BC380)-LEN(SUBSTITUTE(BC380," "&amp;L_PendNeg&amp;" "," ")))/(LEN(L_PendNeg)+1))+SUMPRODUCT((LEN(BC380)-LEN(SUBSTITUTE(BC380," "&amp;L_PendPrep&amp;" "," ")))/(LEN(L_PendPrep)+1)),1,0),1)</f>
        <v>0</v>
      </c>
      <c r="BI380" s="61" t="n">
        <f aca="false">IFERROR(IF(SUMPRODUCT((LEN(BD380)-LEN(SUBSTITUTE(BD380," "&amp;L_PendStrict&amp;" "," ")))/(LEN(L_PendStrict)+1))&gt;SUMPRODUCT((LEN(BD380)-LEN(SUBSTITUTE(BD380," "&amp;L_PendNeg&amp;" "," ")))/(LEN(L_PendNeg)+1)),1,0),1)</f>
        <v>0</v>
      </c>
      <c r="BJ380" s="61" t="n">
        <f aca="false">IFERROR(IF(SUMPRODUCT((LEN(BE380)-LEN(SUBSTITUTE(BE380," "&amp;L_Pending&amp;" "," ")))/(LEN(L_Pending)+1))&gt;SUMPRODUCT((LEN(BE380)-LEN(SUBSTITUTE(BE380," "&amp;L_PendNeg&amp;" "," ")))/(LEN(L_PendNeg)+1))+SUMPRODUCT((LEN(BE380)-LEN(SUBSTITUTE(BE380," "&amp;L_PendPrep&amp;" "," ")))/(LEN(L_PendPrep)+1)),1,0),1)</f>
        <v>0</v>
      </c>
      <c r="BK380" s="61" t="n">
        <f aca="false">IFERROR(IF(SUMPRODUCT((LEN(BF380)-LEN(SUBSTITUTE(BF380," "&amp;L_PendStrict&amp;" "," ")))/(LEN(L_PendStrict)+1))&gt;SUMPRODUCT((LEN(BF380)-LEN(SUBSTITUTE(BF380," "&amp;L_PendNeg&amp;" "," ")))/(LEN(L_PendNeg)+1)),1,0),1)</f>
        <v>0</v>
      </c>
      <c r="BL380" s="61" t="n">
        <f aca="false">IF(ISNA(MATCH(TRIM(S380),L_EvidenceType,0)),0,BZ380)</f>
        <v>0</v>
      </c>
      <c r="BM380" s="61" t="str">
        <f aca="false">SUBSTITUTE(SUBSTITUTE(SUBSTITUTE(SUBSTITUTE(SUBSTITUTE(SUBSTITUTE(SUBSTITUTE(SUBSTITUTE(SUBSTITUTE(LOWER(Z380&amp;""),"1","0"),"2","0"),"3","0"),"4","0"),"5","0"),"6","0"),"7","0"),"8","0"),"9","0")</f>
        <v/>
      </c>
      <c r="BN380" s="61" t="str">
        <f aca="false">SUBSTITUTE(SUBSTITUTE(SUBSTITUTE(SUBSTITUTE(SUBSTITUTE(SUBSTITUTE(SUBSTITUTE(SUBSTITUTE(SUBSTITUTE(SUBSTITUTE(SUBSTITUTE(SUBSTITUTE(SUBSTITUTE(SUBSTITUTE(SUBSTITUTE(SUBSTITUTE(SUBSTITUTE(SUBSTITUTE(SUBSTITUTE(SUBSTITUTE(SUBSTITUTE(SUBSTITUTE(SUBSTITUTE(SUBSTITUTE(SUBSTITUTE(BM380,"b","a"),"c","a"),"d","a"),"e","a"),"f","a"),"g","a"),"h","a"),"i","a"),"j","a"),"k","a"),"l","a"),"m","a"),"n","a"),"o","a"),"p","a"),"q","a"),"r","a"),"s","a"),"t","a"),"u","a"),"v","a"),"w","a"),"x","a"),"y","a"),"z","a")</f>
        <v/>
      </c>
      <c r="BO380" s="61" t="str">
        <f aca="false">SUBSTITUTE(SUBSTITUTE(SUBSTITUTE(SUBSTITUTE(SUBSTITUTE(SUBSTITUTE(SUBSTITUTE(SUBSTITUTE(SUBSTITUTE(LOWER(W380&amp;""),"1","0"),"2","0"),"3","0"),"4","0"),"5","0"),"6","0"),"7","0"),"8","0"),"9","0")</f>
        <v/>
      </c>
      <c r="BP380" s="61" t="str">
        <f aca="false">SUBSTITUTE(SUBSTITUTE(SUBSTITUTE(SUBSTITUTE(SUBSTITUTE(SUBSTITUTE(SUBSTITUTE(SUBSTITUTE(SUBSTITUTE(SUBSTITUTE(SUBSTITUTE(SUBSTITUTE(SUBSTITUTE(SUBSTITUTE(SUBSTITUTE(SUBSTITUTE(SUBSTITUTE(SUBSTITUTE(SUBSTITUTE(SUBSTITUTE(SUBSTITUTE(SUBSTITUTE(SUBSTITUTE(SUBSTITUTE(SUBSTITUTE(BO380,"b","a"),"c","a"),"d","a"),"e","a"),"f","a"),"g","a"),"h","a"),"i","a"),"j","a"),"k","a"),"l","a"),"m","a"),"n","a"),"o","a"),"p","a"),"q","a"),"r","a"),"s","a"),"t","a"),"u","a"),"v","a"),"w","a"),"x","a"),"y","a"),"z","a")</f>
        <v/>
      </c>
      <c r="BQ380" s="61" t="n">
        <f aca="false">IFERROR(IF(AND(ISERROR(SEARCH(" mh"," "&amp;LOWER(W380))),ISNA(MATCH(LEFT(TRIM(BP380),255),{"0000a","000a","00a","0000aa","000aa","00aa","0aa","0000aaa","000aaa","00a00","0a00","0000-0000","00:00","a00","a0","00.00.0000","00/00/0000","00-00-0000","0000-00-00","0000/00/00","0000.00.00","00.00.00","00/00/00","00-00-00","0.00.0000","0/00/0000","0-00-0000"},0)),ISNA(MATCH(LEFT(TRIM(CA380),255),{"0000a","000a","00a","0000aa","000aa","00aa","0aa","0000aaa","000aaa","00a00","0a00","0000-0000","00:00","a00","a0","00.00.0000","00/00/0000","00-00-0000","0000-00-00","0000/00/00","0000.00.00","00.00.00","00/00/00","00-00-00","0.00.0000","0/00/0000","0-00-0000"},0)),LEN(CB380)&gt;=3,NOT(OR(SUBSTITUTE(CB380,"0","")="",AND(LEN(CB380)&gt;=4,CB380=REPT(LEFT(CB380),LEN(CB380))),ISNUMBER(MATCH(CB380,{"123","1234","12345","123456","1234567","12345678","0123","01234","012345","98765","987654","54321"},0)),AND(LEN(CB380)=8,LEFT(CB380,3)="202"))),OR(AND((LEN(CA380)-LEN(SUBSTITUTE(CA380,"a","")))&gt;=1,SUMPRODUCT(--ISNUMBER(SEARCH({"a0","a-0","a_0","a/0","a.0","a#0","0a","0-a","0_a","0/a"},BP380)))&gt;0),ISNUMBER(SEARCH("000000",BP380)))),1,0),0)</f>
        <v>0</v>
      </c>
      <c r="BR380" s="61" t="n">
        <f aca="false">IFERROR(LEN(SUBSTITUTE(CC380," ",""))-SUMPRODUCT((LEN(CC380)-LEN(SUBSTITUTE(CC380," "&amp;L_Role&amp;" "," ")))/(LEN(L_Role)+1)*LEN(L_Role)),0)</f>
        <v>0</v>
      </c>
      <c r="BS380" s="61" t="n">
        <f aca="false">IFERROR(LEN(SUBSTITUTE(CD380," ",""))-SUMPRODUCT((LEN(CD380)-LEN(SUBSTITUTE(CD380," "&amp;L_Role&amp;" "," ")))/(LEN(L_Role)+1)*LEN(L_Role)),0)</f>
        <v>0</v>
      </c>
      <c r="BT3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380,"revision",""),"version",""),"jan",""),"feb",""),"mar",""),"apr",""),"may",""),"jun",""),"jul",""),"aug",""),"sep",""),"oct",""),"nov",""),"dec",""),"utc",""),"gmt",""),"myt",""),"bst",""),"rev",""),"ver",""),"b","a"),"c","a"),"d","a"),"e","a"),"f","a"),"g","a"),"h","a"),"i","a"),"j","a"),"k","a"),"l","a"),"m","a"),"n","a"),"o","a"),"p","a"),"q","a"),"r","a"),"s","a"),"t","a"),"u","a"),"v","a"),"w","a"),"x","a"),"y","a"),"z","a")</f>
        <v/>
      </c>
      <c r="BU380" s="61" t="str">
        <f aca="false">SUBSTITUTE(SUBSTITUTE(SUBSTITUTE(SUBSTITUTE(SUBSTITUTE(SUBSTITUTE(SUBSTITUTE(SUBSTITUTE(SUBSTITUTE(SUBSTITUTE(LEFT(BM380,FIND("0",BM380&amp;"0")-1),"-",""),"_",""),"/",""),".",""),"#",""),"\\",""),":","")," ",""),"(",""),")","")</f>
        <v/>
      </c>
      <c r="BV380" s="61" t="n">
        <f aca="false">0</f>
        <v>0</v>
      </c>
      <c r="BW3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380&amp;""),"a",""),"b",""),"c",""),"d",""),"e",""),"f",""),"g",""),"h",""),"i",""),"j",""),"k",""),"l",""),"m",""),"n",""),"o",""),"p",""),"q",""),"r",""),"s",""),"t",""),"u",""),"v",""),"w",""),"x",""),"y",""),"z",""),"-",""),"_",""),"/",""),".",""),"#",""),"\\",""),":","")," ",""),"(",""),")","")</f>
        <v/>
      </c>
      <c r="BX380" s="61" t="str">
        <f aca="false">SUBSTITUTE(SUBSTITUTE(SUBSTITUTE(SUBSTITUTE(SUBSTITUTE(SUBSTITUTE(SUBSTITUTE(SUBSTITUTE(SUBSTITUTE(SUBSTITUTE(SUBSTITUTE(BM380,"0",""),"-",""),"_",""),"/",""),".",""),"#",""),"\\",""),":","")," ",""),"(",""),")","")</f>
        <v/>
      </c>
      <c r="BY380" s="62" t="n">
        <f aca="false">Q380-T7EarlyD*24/24</f>
        <v>46286.6006944444</v>
      </c>
      <c r="BZ380" s="61" t="n">
        <f aca="false">IFERROR(IF(IF(TRIM(S380)="Link / file path",AND(LEN(TRIM(Z380))&gt;=5,SUMPRODUCT(--ISNUMBER(SEARCH({"http","www.","\\",":\",".pdf",".jpg",".jpeg",".png",".heic",".xls",".doc",".msg",".eml",".ppt",".txt",".zip"},Z380)))&gt;0),AND(ISERROR(FIND(" ",TRIM(Z380))),NOT(OR(SUMPRODUCT(--ISNUMBER(FIND({",",";","&amp;","+"},Z380)))&gt;0,SUMPRODUCT(--ISNUMBER(SEARCH({"0/aa","0\\aa"},BN380)))&gt;0)),NOT(SUMPRODUCT(--ISNUMBER(SEARCH({"http","www.","\\",":\",".pdf",".jpg",".jpeg",".png",".heic",".xls",".doc",".msg",".eml",".ppt",".txt",".zip"},Z380)))&gt;0),NOT(LOWER(TRIM(Z380))=LOWER(Flights!$F$16)),ISNA(MATCH(BU380,{"mh","rev","revision","ver","version","v","r","a","b","seat","tray","row","gate","bay","stand","page","pg","item","line","no","cart","galley","flight","flt","table","box","bag","oven","etd","eta","std","sta","atd","ata","qty","pax","x","time","tel","ph","mob","day","wk","week","utc","gmt","myt","lt"},0)),NOT(OR(ISNUMBER(MATCH(LEFT(BN380,255),{"0000a","000a","00a","0000aa","000aa","00aa","0aa","0000aaa","000aaa","00a00","0a00","0000-0000","00:00","a00","a0","00.00.0000","00/00/0000","00-00-0000","0000-00-00","0000/00/00","0000.00.00","00.00.00","00/00/00","00-00-00","0.00.0000","0/00/0000","0-00-0000"},0)),ISNUMBER(MATCH(LEFT(BT380,255),{"0000a","000a","00a","0000aa","000aa","00aa","0aa","0000aaa","000aaa","00a00","0a00","0000-0000","00:00","a00","a0","00.00.0000","00/00/0000","00-00-0000","0000-00-00","0000/00/00","0000.00.00","00.00.00","00/00/00","00-00-00","0.00.0000","0/00/0000","0-00-0000"},0)))),NOT(OR(AND(BW380&lt;&gt;"",SUBSTITUTE(BW380,"0","")=""),AND(LEN(BW380)&gt;=4,BW380=REPT(LEFT(BW380),LEN(BW380))),ISNUMBER(MATCH(BW380,{"123","1234","12345","123456","1234567","12345678","0123","01234","012345","98765","987654","54321"},0)),ISNUMBER(MATCH(BX380,{"x","xx","xxx","xxxx","xxxxx","abc","abcd","nil","na","nan","test","tbc","tba","tbd","dummy","sample","example","eg","zz","zzz","none","null","xyz","qwe","asd","id","ref"},0)),AND(LEN(BW380)=8,BX380="",OR(LEFT(BW380,3)="202",ISNUMBER(MATCH(RIGHT(BW380,4),{"2025","2026","2027"},0)))))),OR(AND((LEN(BT380)-LEN(SUBSTITUTE(BT380,"a","")))&gt;=1,(LEN(BN380)-LEN(SUBSTITUTE(BN380,"0","")))&gt;=2,SUMPRODUCT(--ISNUMBER(SEARCH({"a0","a-0","a_0","a/0","a.0","a#0","0a","0-a","0_a","0/a"},BN380)))&gt;0),AND((LEN(BN380)-LEN(SUBSTITUTE(BN380,"a","")))=0,(LEN(BN380)-LEN(SUBSTITUTE(BN380,"0","")))&gt;=5)))),1,0),0)</f>
        <v>0</v>
      </c>
      <c r="CA3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380,"revision",""),"version",""),"jan",""),"feb",""),"mar",""),"apr",""),"may",""),"jun",""),"jul",""),"aug",""),"sep",""),"oct",""),"nov",""),"dec",""),"utc",""),"gmt",""),"myt",""),"bst",""),"rev",""),"ver",""),"b","a"),"c","a"),"d","a"),"e","a"),"f","a"),"g","a"),"h","a"),"i","a"),"j","a"),"k","a"),"l","a"),"m","a"),"n","a"),"o","a"),"p","a"),"q","a"),"r","a"),"s","a"),"t","a"),"u","a"),"v","a"),"w","a"),"x","a"),"y","a"),"z","a")</f>
        <v/>
      </c>
      <c r="CB3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380&amp;""),"a",""),"b",""),"c",""),"d",""),"e",""),"f",""),"g",""),"h",""),"i",""),"j",""),"k",""),"l",""),"m",""),"n",""),"o",""),"p",""),"q",""),"r",""),"s",""),"t",""),"u",""),"v",""),"w",""),"x",""),"y",""),"z",""),"-",""),"_",""),"/",""),".",""),"#",""),"\\",""),":","")," ",""),"(",""),")","")</f>
        <v/>
      </c>
      <c r="CC380" s="0" t="str">
        <f aca="false">" "&amp;TRIM(SUBSTITUTE(SUBSTITUTE(SUBSTITUTE(SUBSTITUTE(SUBSTITUTE(SUBSTITUTE(SUBSTITUTE(SUBSTITUTE(SUBSTITUTE(SUBSTITUTE(SUBSTITUTE(SUBSTITUTE(SUBSTITUTE(SUBSTITUTE(SUBSTITUTE(SUBSTITUTE(SUBSTITUTE(SUBSTITUTE(SUBSTITUTE(SUBSTITUTE(SUBSTITUTE(SUBSTITUTE(SUBSTITUTE(SUBSTITUTE(LOWER(T380&amp;""),CHAR(10)," "),CHAR(13)," "),CHAR(9)," "),CHAR(160)," "),"."," "),","," "),"-"," "),"/"," "),"("," "),")"," "),":"," "),";"," "),"_"," "),"–"," "),"?"," "),"!"," "),"*"," "),"["," "),"]"," "),"'"," "),"#"," "),"+"," "),"&amp;"," "),"\"," "))&amp;" "</f>
        <v>  </v>
      </c>
      <c r="CD380" s="0" t="str">
        <f aca="false">" "&amp;TRIM(SUBSTITUTE(SUBSTITUTE(SUBSTITUTE(SUBSTITUTE(SUBSTITUTE(SUBSTITUTE(SUBSTITUTE(SUBSTITUTE(SUBSTITUTE(SUBSTITUTE(SUBSTITUTE(SUBSTITUTE(SUBSTITUTE(SUBSTITUTE(SUBSTITUTE(SUBSTITUTE(SUBSTITUTE(SUBSTITUTE(SUBSTITUTE(SUBSTITUTE(SUBSTITUTE(SUBSTITUTE(SUBSTITUTE(SUBSTITUTE(LOWER(AE380&amp;""),CHAR(10)," "),CHAR(13)," "),CHAR(9)," "),CHAR(160)," "),"."," "),","," "),"-"," "),"/"," "),"("," "),")"," "),":"," "),";"," "),"_"," "),"–"," "),"?"," "),"!"," "),"*"," "),"["," "),"]"," "),"'"," "),"#"," "),"+"," "),"&amp;"," "),"\"," "))&amp;" "</f>
        <v>  </v>
      </c>
      <c r="CE380" s="68" t="n">
        <f aca="false">IFERROR(IF(AND(LEN(AU380)&gt;0,LEN(AU380)=LEN(AX380),OR(TRIM(MID(SUBSTITUTE(TRIM(CC380)," ",REPT(" ",60)),1,60))="",ISNUMBER(SEARCH(" "&amp;TRIM(MID(SUBSTITUTE(TRIM(CC380)," ",REPT(" ",60)),1,60))&amp;" ",CD380))),OR(TRIM(MID(SUBSTITUTE(TRIM(CC380)," ",REPT(" ",60)),61,60))="",ISNUMBER(SEARCH(" "&amp;TRIM(MID(SUBSTITUTE(TRIM(CC380)," ",REPT(" ",60)),61,60))&amp;" ",CD380))),OR(TRIM(MID(SUBSTITUTE(TRIM(CC380)," ",REPT(" ",60)),121,60))="",ISNUMBER(SEARCH(" "&amp;TRIM(MID(SUBSTITUTE(TRIM(CC380)," ",REPT(" ",60)),121,60))&amp;" ",CD380)))),1,0),0)</f>
        <v>0</v>
      </c>
      <c r="CG380" s="68" t="n">
        <f aca="false">IFERROR(LEN(SUBSTITUTE(BF380," ",""))-SUMPRODUCT((LEN(BF380)-LEN(SUBSTITUTE(BF380," "&amp;L_NAFiller&amp;" "," ")))/(LEN(L_NAFiller)+1)*LEN(L_NAFiller)),0)</f>
        <v>0</v>
      </c>
    </row>
    <row r="381" customFormat="false" ht="39.75" hidden="false" customHeight="true" outlineLevel="0" collapsed="false">
      <c r="A381" s="57" t="s">
        <v>994</v>
      </c>
      <c r="B381" s="57" t="s">
        <v>261</v>
      </c>
      <c r="C381" s="57" t="str">
        <f aca="false">Flights!$F$16</f>
        <v>MH0139</v>
      </c>
      <c r="D381" s="58" t="n">
        <f aca="false">Flights!$D$16</f>
        <v>46307</v>
      </c>
      <c r="E381" s="57" t="str">
        <f aca="false">Flights!$G$16&amp;"-"&amp;Flights!$H$16</f>
        <v>KUL-ADL</v>
      </c>
      <c r="F381" s="57" t="str">
        <f aca="false">Flights!$K$16</f>
        <v>BC</v>
      </c>
      <c r="G381" s="57" t="s">
        <v>81</v>
      </c>
      <c r="H381" s="57" t="s">
        <v>378</v>
      </c>
      <c r="I381" s="57" t="s">
        <v>385</v>
      </c>
      <c r="J381" s="57" t="s">
        <v>386</v>
      </c>
      <c r="K381" s="67" t="s">
        <v>387</v>
      </c>
      <c r="L381" s="67" t="s">
        <v>382</v>
      </c>
      <c r="M381" s="67"/>
      <c r="N381" s="67" t="s">
        <v>383</v>
      </c>
      <c r="O381" s="67"/>
      <c r="P381" s="57" t="s">
        <v>187</v>
      </c>
      <c r="Q381" s="59" t="n">
        <f aca="false">ROUND((Flights!$AC$16)*1440,0)/1440</f>
        <v>46300.6006944444</v>
      </c>
      <c r="R381" s="59" t="n">
        <f aca="false">Q381+(IF(AND(INDEX(TZ_DSTS,MATCH(P381,TZ_STN,0))&lt;&gt;"",Q381&gt;=INDEX(TZ_DSTS,MATCH(P381,TZ_STN,0)),Q381&lt;INDEX(TZ_DSTE,MATCH(P381,TZ_STN,0))),INDEX(TZ_DST,MATCH(P381,TZ_STN,0)),INDEX(TZ_STD,MATCH(P381,TZ_STN,0))))/24</f>
        <v>46300.9340277778</v>
      </c>
      <c r="S381" s="60"/>
      <c r="T381" s="60"/>
      <c r="U381" s="60"/>
      <c r="V381" s="60"/>
      <c r="W381" s="61"/>
      <c r="X381" s="60"/>
      <c r="Y381" s="60"/>
      <c r="Z381" s="60"/>
      <c r="AA381" s="60"/>
      <c r="AB381" s="60"/>
      <c r="AC381" s="60"/>
      <c r="AD381" s="66"/>
      <c r="AE381" s="60"/>
      <c r="AF381" s="61" t="str">
        <f aca="false">IF(AND(ISNUMBER(X381),ISNUMBER(Y381)),Y381-X381,"")</f>
        <v/>
      </c>
      <c r="AG381" s="62" t="str">
        <f aca="false">IF(ISNUMBER(AD381),AD381-(IF(AND(INDEX(TZ_DSTS,MATCH(P381,TZ_STN,0))&lt;&gt;"",(AD381-INDEX(TZ_STD,MATCH(P381,TZ_STN,0))/24)&gt;=INDEX(TZ_DSTS,MATCH(P381,TZ_STN,0)),(AD381-INDEX(TZ_STD,MATCH(P381,TZ_STN,0))/24)&lt;INDEX(TZ_DSTE,MATCH(P381,TZ_STN,0))),INDEX(TZ_DST,MATCH(P381,TZ_STN,0)),INDEX(TZ_STD,MATCH(P381,TZ_STN,0))))/24,"")</f>
        <v/>
      </c>
      <c r="AH381" s="65" t="str">
        <f aca="false">IFERROR(IF(N381="N/A – rule",IF(OR(TRIM(U381)="",TRIM(U381)="N/A",TRIM(U381)="Not started"),"N/A – RULE","INVALID – this check does not apply to this aircraft: clear the status (or correct the fleet on Flights)"),IF(TRIM(U381)="N/A",IF(AT381=0,"INVALID – N/A not permitted for this check",IF(AND(TRIM(AB381)&lt;&gt;"",TRIM(AB381)&lt;&gt;"Closed"),"INVALID – corrective action still open",IF(AND(NOT(OR(LEN(AZ381)&lt;15,ISNUMBER(MATCH(AZ381,L_Placeholder,0)))),BK381=0,CG381&gt;=8,NOT(OR(LEN(AU381)&lt;2,ISNUMBER(MATCH(AU381,L_Placeholder,0)))),BR381&gt;=3,NOT(OR(LEN(AX381)&lt;2,ISNUMBER(MATCH(AX381,L_Placeholder,0)))),BS381&gt;=3,TRIM(AE381)&lt;&gt;TRIM(T381),AX381&lt;&gt;AU381,CE381=0),"N/A – JUSTIFIED","INVALID – N/A needs a real, settled reason (not 'not applicable' / 'as above' / TBC), a named PIC and a different named verifier"))),IF(OR(TRIM(U381)="Pass",TRIM(U381)="Pass after CA"),IF(NOT(ISNUMBER(AD381)),"INVALID – completion time missing",IF(OR(OR(LEN(AU381)&lt;2,ISNUMBER(MATCH(AU381,L_Placeholder,0))),BR381&lt;3),"INVALID – PIC missing or not a named person (a role such as QA / CSM is not a name)",IF(OR(LEN(AV381)&lt;2,ISNUMBER(MATCH(AV381,L_Placeholder,0))),"INVALID – result / assessment missing",IF(OR(OR(LEN(AW381)&lt;3,ISNUMBER(MATCH(AW381,L_Placeholder,0))),SUMPRODUCT(--ISNUMBER(SEARCH(" "&amp;L_EvidencePhrase&amp;" ",BD381)))&gt;0,BI381=1),"INVALID – evidence missing, placeholder or not yet on file",IF(ISNA(MATCH(TRIM(S381),L_EvidenceType,0)),"INVALID – choose the evidence type from the list (column S)",IF(BL381=0,"INVALID – evidence ID must be the record's own ID only (e.g. SF-2210, IMG_2231, 1045521); a link / file name needs type 'Link / file path'",IF(OR(OR(LEN(AX381)&lt;2,ISNUMBER(MATCH(AX381,L_Placeholder,0))),BS381&lt;3),"INVALID – verifier missing or not a named person (a role such as QA / CSM is not a name)",IF(OR(AX381=AU381,CE381=1,AND(LEN(AU381)&gt;=4,ISNUMBER(SEARCH(AU381,AX381))),AND(LEN(AX381)&gt;=4,ISNUMBER(SEARCH(AX381,AU381)))),"INVALID – verifier must be a different, named person (not the PIC or a role)",IF(BH381=1,"INVALID – result not yet available (awaiting / TBC)",IF(BG381=1,"INVALID – result describes a problem: record Fail, then Pass after CA (or reword if it is not a problem)",IF(BV381=1,"INVALID – wording says not on board: an on-board confirmation needs the item loaded",IF(AND(AQ381=1,OR(OR(LEN(AY381)&lt;3,ISNUMBER(MATCH(AY381,L_Placeholder,0))),BJ381=1,BQ381=0)),"INVALID – batch ID missing, placeholder or not an ID (e.g. PASB-261008-BC-017)",IF(AND(AR381=1,OR(NOT(ISNUMBER(X381)),NOT(ISNUMBER(Y381)))),"INVALID – expected/actual qty missing",IF(AND(AR381=1,OR(X381&lt;=0,Y381&lt;0)),"INVALID – expected qty must be above 0 and actual not negative",IF(BB381&lt;&gt;"",BB381,IF(AND(AS381=1,Documents!$J$16&lt;&gt;"ON FILE"),"INVALID – GLD not on file (Documents sheet)",IF(AND(AS381=2,Documents!$O$16&lt;&gt;"ON FILE"),"INVALID – menu checklist not on file (Documents sheet)",IF(AND(AS381=3,NOT(ISNUMBER(Flights!$AX$16))),"INVALID – enter carrying flight KUL departure (Flights AX)",IF(AND(AS381=3,OR(Flights!$AZ$16&gt;Flights!$AA$16,Flights!$AX$16&lt;Flights!$AA$16-3)),"INVALID – carrying flight (Flights AX) cannot arrive before this leg's STD, or is over 3 days early",IF(AG381&gt;AsOfUTC,"INVALID – completion time is in the future",IF(AND(ISNUMBER(BY381),AG381&lt;BY381),IF(H381="Physical uplift","INVALID – before uplift window (cannot confirm loading)","INVALID – before valid window"),IF(AG381&gt;Flights!$AA$16,"INVALID – completed after departure (cannot establish readiness)",IF(AND(H381="Preparation",AG381&gt;=IF(ISNUMBER(Flights!$BA$16),MIN(Flights!$BA$16,Flights!$AA$16),Flights!$AA$16)),"INVALID – completed after loading / departure (cannot establish readiness)",IF(AND(H381="Physical uplift",AG381&gt;Q381),"INVALID – recorded after the loading flight departed",IF(AG381&gt;Q381,"COMPLETE – LATE","COMPLETE"))))))))))))))))))))))))),IF(TRIM(U381)="Fail","FAIL – DISCREPANCY",IF(AND(TRIM(U381)&lt;&gt;"",TRIM(U381)&lt;&gt;"Not started",TRIM(U381)&lt;&gt;"In progress"),"INVALID – unrecognised status (use the list)",IF(AsOfUTC&gt;Q381,"OVERDUE",IF(N381="Clarification required","OPEN – CLARIFICATION","OPEN"))))))),"INVALID – error value in an input cell")</f>
        <v>OPEN</v>
      </c>
      <c r="AI381" s="61" t="n">
        <f aca="false">IF(OR(AH381="N/A – RULE",AH381="N/A – JUSTIFIED"),0,1)</f>
        <v>1</v>
      </c>
      <c r="AJ381" s="61" t="n">
        <f aca="false">IF(LEFT(AH381,8)="COMPLETE",1,0)</f>
        <v>0</v>
      </c>
      <c r="AK381" s="61" t="n">
        <f aca="false">IF(AND(AI381=1,AJ381=0,AsOfUTC&gt;Q381),1,0)</f>
        <v>0</v>
      </c>
      <c r="AL381" s="61" t="n">
        <f aca="false">IFERROR(IF(AND(AI381=1,OR(TRIM(U381)="Fail",AND(TRIM(AB381)&lt;&gt;"",TRIM(AB381)&lt;&gt;"Closed"),AND(ISNUMBER(AF381),AF381&lt;&gt;0,TRIM(U381)&lt;&gt;"Pass after CA"))),1,0),1)</f>
        <v>0</v>
      </c>
      <c r="AM381" s="61" t="n">
        <f aca="false">IF(LEFT(AH381,7)="INVALID",1,0)</f>
        <v>0</v>
      </c>
      <c r="AN381" s="61" t="n">
        <f aca="false">IF(AND(N381="Clarification required",AI381=1,AJ381=0),1,0)</f>
        <v>0</v>
      </c>
      <c r="AO381" s="61" t="str">
        <f aca="false">IF(AK381=1,SUM(AK$5:AK381),"")</f>
        <v/>
      </c>
      <c r="AP381" s="61" t="str">
        <f aca="false">IF(AL381=1,SUM(AL$5:AL381),"")</f>
        <v/>
      </c>
      <c r="AQ381" s="61" t="n">
        <v>0</v>
      </c>
      <c r="AR381" s="61" t="n">
        <v>0</v>
      </c>
      <c r="AS381" s="61" t="n">
        <v>0</v>
      </c>
      <c r="AT381" s="61" t="n">
        <v>0</v>
      </c>
      <c r="AU381" s="61" t="str">
        <f aca="false">SUBSTITUTE(SUBSTITUTE(SUBSTITUTE(SUBSTITUTE(SUBSTITUTE(SUBSTITUTE(SUBSTITUTE(SUBSTITUTE(SUBSTITUTE(SUBSTITUTE(SUBSTITUTE(SUBSTITUTE(SUBSTITUTE(SUBSTITUTE(SUBSTITUTE(SUBSTITUTE(LOWER(T381&amp;""),CHAR(10),""),CHAR(13),""),CHAR(9),""),CHAR(160),"")," ",""),".",""),"-",""),"/",""),"?",""),"_",""),",",""),"[",""),"]",""),"(",""),")",""),"*","")</f>
        <v/>
      </c>
      <c r="AV381" s="61" t="str">
        <f aca="false">SUBSTITUTE(SUBSTITUTE(SUBSTITUTE(SUBSTITUTE(SUBSTITUTE(SUBSTITUTE(SUBSTITUTE(SUBSTITUTE(SUBSTITUTE(SUBSTITUTE(SUBSTITUTE(SUBSTITUTE(SUBSTITUTE(SUBSTITUTE(SUBSTITUTE(SUBSTITUTE(LOWER(V381&amp;""),CHAR(10),""),CHAR(13),""),CHAR(9),""),CHAR(160),"")," ",""),".",""),"-",""),"/",""),"?",""),"_",""),",",""),"[",""),"]",""),"(",""),")",""),"*","")</f>
        <v/>
      </c>
      <c r="AW381" s="61" t="str">
        <f aca="false">SUBSTITUTE(SUBSTITUTE(SUBSTITUTE(SUBSTITUTE(SUBSTITUTE(SUBSTITUTE(SUBSTITUTE(SUBSTITUTE(SUBSTITUTE(SUBSTITUTE(SUBSTITUTE(SUBSTITUTE(SUBSTITUTE(SUBSTITUTE(SUBSTITUTE(SUBSTITUTE(LOWER(Z381&amp;""),CHAR(10),""),CHAR(13),""),CHAR(9),""),CHAR(160),"")," ",""),".",""),"-",""),"/",""),"?",""),"_",""),",",""),"[",""),"]",""),"(",""),")",""),"*","")</f>
        <v/>
      </c>
      <c r="AX381" s="61" t="str">
        <f aca="false">SUBSTITUTE(SUBSTITUTE(SUBSTITUTE(SUBSTITUTE(SUBSTITUTE(SUBSTITUTE(SUBSTITUTE(SUBSTITUTE(SUBSTITUTE(SUBSTITUTE(SUBSTITUTE(SUBSTITUTE(SUBSTITUTE(SUBSTITUTE(SUBSTITUTE(SUBSTITUTE(LOWER(AE381&amp;""),CHAR(10),""),CHAR(13),""),CHAR(9),""),CHAR(160),"")," ",""),".",""),"-",""),"/",""),"?",""),"_",""),",",""),"[",""),"]",""),"(",""),")",""),"*","")</f>
        <v/>
      </c>
      <c r="AY381" s="61" t="str">
        <f aca="false">SUBSTITUTE(SUBSTITUTE(SUBSTITUTE(SUBSTITUTE(SUBSTITUTE(SUBSTITUTE(SUBSTITUTE(SUBSTITUTE(SUBSTITUTE(SUBSTITUTE(SUBSTITUTE(SUBSTITUTE(SUBSTITUTE(SUBSTITUTE(SUBSTITUTE(SUBSTITUTE(LOWER(W381&amp;""),CHAR(10),""),CHAR(13),""),CHAR(9),""),CHAR(160),"")," ",""),".",""),"-",""),"/",""),"?",""),"_",""),",",""),"[",""),"]",""),"(",""),")",""),"*","")</f>
        <v/>
      </c>
      <c r="AZ381" s="61" t="str">
        <f aca="false">SUBSTITUTE(SUBSTITUTE(SUBSTITUTE(SUBSTITUTE(SUBSTITUTE(SUBSTITUTE(SUBSTITUTE(SUBSTITUTE(SUBSTITUTE(SUBSTITUTE(SUBSTITUTE(SUBSTITUTE(SUBSTITUTE(SUBSTITUTE(SUBSTITUTE(SUBSTITUTE(LOWER(AC381&amp;""),CHAR(10),""),CHAR(13),""),CHAR(9),""),CHAR(160),"")," ",""),".",""),"-",""),"/",""),"?",""),"_",""),",",""),"[",""),"]",""),"(",""),")",""),"*","")</f>
        <v/>
      </c>
      <c r="BA381" s="61" t="str">
        <f aca="false">SUBSTITUTE(SUBSTITUTE(SUBSTITUTE(SUBSTITUTE(SUBSTITUTE(SUBSTITUTE(SUBSTITUTE(SUBSTITUTE(SUBSTITUTE(SUBSTITUTE(SUBSTITUTE(SUBSTITUTE(SUBSTITUTE(SUBSTITUTE(SUBSTITUTE(SUBSTITUTE(LOWER(AA381&amp;""),CHAR(10),""),CHAR(13),""),CHAR(9),""),CHAR(160),"")," ",""),".",""),"-",""),"/",""),"?",""),"_",""),",",""),"[",""),"]",""),"(",""),")",""),"*","")</f>
        <v/>
      </c>
      <c r="BB381" s="61" t="str">
        <f aca="false">IF(AND(TRIM(U381)="Pass",ISNUMBER(AF381)),IF(AF381&lt;&gt;0,"INVALID – qty variance: use Fail or Pass after CA",""),"")&amp;IF(AND(TRIM(U381)="Pass after CA",ISNUMBER(AF381)),IF(AF381&lt;&gt;0,"INVALID – after the corrective action the actual qty must equal expected (update Actual)",""),"")&amp;IF(AND(TRIM(U381)="Pass",TRIM(AB381)&lt;&gt;"",TRIM(AB381)&lt;&gt;"Closed"),"INVALID – corrective action not closed: use Fail, then Pass after CA","")&amp;IF(AND(LEN(BA381)&gt;=2,ISNA(MATCH(LEFT(BA381,255),L_Placeholder,0)),TRIM(AB381)=""),"INVALID – CA status missing for the recorded corrective action","")&amp;IF(AND(TRIM(U381)="Pass after CA",OR(OR(LEN(BA381)&lt;5,ISNUMBER(MATCH(BA381,L_Placeholder,0))),TRIM(AB381)&lt;&gt;"Closed")),"INVALID – corrective action not recorded/closed","")</f>
        <v/>
      </c>
      <c r="BC381" s="61" t="str">
        <f aca="false">" "&amp;TRIM(SUBSTITUTE(SUBSTITUTE(SUBSTITUTE(SUBSTITUTE(SUBSTITUTE(SUBSTITUTE(SUBSTITUTE(SUBSTITUTE(SUBSTITUTE(SUBSTITUTE(SUBSTITUTE(SUBSTITUTE(SUBSTITUTE(SUBSTITUTE(SUBSTITUTE(SUBSTITUTE(SUBSTITUTE(SUBSTITUTE(SUBSTITUTE(SUBSTITUTE(SUBSTITUTE(SUBSTITUTE(SUBSTITUTE(SUBSTITUTE(LOWER(V381&amp;""),CHAR(10)," "),CHAR(13)," "),CHAR(9)," "),CHAR(160)," "),"."," "),","," "),"-"," "),"/"," "),"("," "),")"," "),":"," "),";"," "),"_"," "),"–"," "),"?"," "),"!"," "),"*"," "),"["," "),"]"," "),"'"," "),"#"," "),"+"," "),"&amp;"," "),"\"," "))&amp;" "</f>
        <v>  </v>
      </c>
      <c r="BD381" s="61" t="str">
        <f aca="false">" "&amp;TRIM(SUBSTITUTE(SUBSTITUTE(SUBSTITUTE(SUBSTITUTE(SUBSTITUTE(SUBSTITUTE(SUBSTITUTE(SUBSTITUTE(SUBSTITUTE(SUBSTITUTE(SUBSTITUTE(SUBSTITUTE(SUBSTITUTE(SUBSTITUTE(SUBSTITUTE(SUBSTITUTE(SUBSTITUTE(SUBSTITUTE(SUBSTITUTE(SUBSTITUTE(SUBSTITUTE(SUBSTITUTE(SUBSTITUTE(SUBSTITUTE(LOWER(Z381&amp;""),CHAR(10)," "),CHAR(13)," "),CHAR(9)," "),CHAR(160)," "),"."," "),","," "),"-"," "),"/"," "),"("," "),")"," "),":"," "),";"," "),"_"," "),"–"," "),"?"," "),"!"," "),"*"," "),"["," "),"]"," "),"'"," "),"#"," "),"+"," "),"&amp;"," "),"\"," "))&amp;" "</f>
        <v>  </v>
      </c>
      <c r="BE381" s="61" t="str">
        <f aca="false">" "&amp;TRIM(SUBSTITUTE(SUBSTITUTE(SUBSTITUTE(SUBSTITUTE(SUBSTITUTE(SUBSTITUTE(SUBSTITUTE(SUBSTITUTE(SUBSTITUTE(SUBSTITUTE(SUBSTITUTE(SUBSTITUTE(SUBSTITUTE(SUBSTITUTE(SUBSTITUTE(SUBSTITUTE(SUBSTITUTE(SUBSTITUTE(SUBSTITUTE(SUBSTITUTE(SUBSTITUTE(SUBSTITUTE(SUBSTITUTE(SUBSTITUTE(LOWER(W381&amp;""),CHAR(10)," "),CHAR(13)," "),CHAR(9)," "),CHAR(160)," "),"."," "),","," "),"-"," "),"/"," "),"("," "),")"," "),":"," "),";"," "),"_"," "),"–"," "),"?"," "),"!"," "),"*"," "),"["," "),"]"," "),"'"," "),"#"," "),"+"," "),"&amp;"," "),"\"," "))&amp;" "</f>
        <v>  </v>
      </c>
      <c r="BF381" s="61" t="str">
        <f aca="false">" "&amp;TRIM(SUBSTITUTE(SUBSTITUTE(SUBSTITUTE(SUBSTITUTE(SUBSTITUTE(SUBSTITUTE(SUBSTITUTE(SUBSTITUTE(SUBSTITUTE(SUBSTITUTE(SUBSTITUTE(SUBSTITUTE(SUBSTITUTE(SUBSTITUTE(SUBSTITUTE(SUBSTITUTE(SUBSTITUTE(SUBSTITUTE(SUBSTITUTE(SUBSTITUTE(SUBSTITUTE(SUBSTITUTE(SUBSTITUTE(SUBSTITUTE(LOWER(AC381&amp;""),CHAR(10)," "),CHAR(13)," "),CHAR(9)," "),CHAR(160)," "),"."," "),","," "),"-"," "),"/"," "),"("," "),")"," "),":"," "),";"," "),"_"," "),"–"," "),"?"," "),"!"," "),"*"," "),"["," "),"]"," "),"'"," "),"#"," "),"+"," "),"&amp;"," "),"\"," "))&amp;" "</f>
        <v>  </v>
      </c>
      <c r="BG381" s="61" t="n">
        <f aca="false">IFERROR(IF(AND(TRIM(U381)="Pass",SUMPRODUCT((LEN(BC381)-LEN(SUBSTITUTE(BC381," "&amp;L_ResultBad&amp;" "," ")))/(LEN(L_ResultBad)+1))&gt;SUMPRODUCT((LEN(BC381)-LEN(SUBSTITUTE(BC381," "&amp;L_NegPhrase&amp;" "," ")))/(LEN(L_NegPhrase)+1))),1,0),0)</f>
        <v>0</v>
      </c>
      <c r="BH381" s="61" t="n">
        <f aca="false">IFERROR(IF(SUMPRODUCT((LEN(BC381)-LEN(SUBSTITUTE(BC381," "&amp;L_Pending&amp;" "," ")))/(LEN(L_Pending)+1))&gt;SUMPRODUCT((LEN(BC381)-LEN(SUBSTITUTE(BC381," "&amp;L_PendNeg&amp;" "," ")))/(LEN(L_PendNeg)+1))+SUMPRODUCT((LEN(BC381)-LEN(SUBSTITUTE(BC381," "&amp;L_PendPrep&amp;" "," ")))/(LEN(L_PendPrep)+1)),1,0),1)</f>
        <v>0</v>
      </c>
      <c r="BI381" s="61" t="n">
        <f aca="false">IFERROR(IF(SUMPRODUCT((LEN(BD381)-LEN(SUBSTITUTE(BD381," "&amp;L_PendStrict&amp;" "," ")))/(LEN(L_PendStrict)+1))&gt;SUMPRODUCT((LEN(BD381)-LEN(SUBSTITUTE(BD381," "&amp;L_PendNeg&amp;" "," ")))/(LEN(L_PendNeg)+1)),1,0),1)</f>
        <v>0</v>
      </c>
      <c r="BJ381" s="61" t="n">
        <f aca="false">IFERROR(IF(SUMPRODUCT((LEN(BE381)-LEN(SUBSTITUTE(BE381," "&amp;L_Pending&amp;" "," ")))/(LEN(L_Pending)+1))&gt;SUMPRODUCT((LEN(BE381)-LEN(SUBSTITUTE(BE381," "&amp;L_PendNeg&amp;" "," ")))/(LEN(L_PendNeg)+1))+SUMPRODUCT((LEN(BE381)-LEN(SUBSTITUTE(BE381," "&amp;L_PendPrep&amp;" "," ")))/(LEN(L_PendPrep)+1)),1,0),1)</f>
        <v>0</v>
      </c>
      <c r="BK381" s="61" t="n">
        <f aca="false">IFERROR(IF(SUMPRODUCT((LEN(BF381)-LEN(SUBSTITUTE(BF381," "&amp;L_PendStrict&amp;" "," ")))/(LEN(L_PendStrict)+1))&gt;SUMPRODUCT((LEN(BF381)-LEN(SUBSTITUTE(BF381," "&amp;L_PendNeg&amp;" "," ")))/(LEN(L_PendNeg)+1)),1,0),1)</f>
        <v>0</v>
      </c>
      <c r="BL381" s="61" t="n">
        <f aca="false">IF(ISNA(MATCH(TRIM(S381),L_EvidenceType,0)),0,BZ381)</f>
        <v>0</v>
      </c>
      <c r="BM381" s="61" t="str">
        <f aca="false">SUBSTITUTE(SUBSTITUTE(SUBSTITUTE(SUBSTITUTE(SUBSTITUTE(SUBSTITUTE(SUBSTITUTE(SUBSTITUTE(SUBSTITUTE(LOWER(Z381&amp;""),"1","0"),"2","0"),"3","0"),"4","0"),"5","0"),"6","0"),"7","0"),"8","0"),"9","0")</f>
        <v/>
      </c>
      <c r="BN381" s="61" t="str">
        <f aca="false">SUBSTITUTE(SUBSTITUTE(SUBSTITUTE(SUBSTITUTE(SUBSTITUTE(SUBSTITUTE(SUBSTITUTE(SUBSTITUTE(SUBSTITUTE(SUBSTITUTE(SUBSTITUTE(SUBSTITUTE(SUBSTITUTE(SUBSTITUTE(SUBSTITUTE(SUBSTITUTE(SUBSTITUTE(SUBSTITUTE(SUBSTITUTE(SUBSTITUTE(SUBSTITUTE(SUBSTITUTE(SUBSTITUTE(SUBSTITUTE(SUBSTITUTE(BM381,"b","a"),"c","a"),"d","a"),"e","a"),"f","a"),"g","a"),"h","a"),"i","a"),"j","a"),"k","a"),"l","a"),"m","a"),"n","a"),"o","a"),"p","a"),"q","a"),"r","a"),"s","a"),"t","a"),"u","a"),"v","a"),"w","a"),"x","a"),"y","a"),"z","a")</f>
        <v/>
      </c>
      <c r="BO381" s="61" t="str">
        <f aca="false">SUBSTITUTE(SUBSTITUTE(SUBSTITUTE(SUBSTITUTE(SUBSTITUTE(SUBSTITUTE(SUBSTITUTE(SUBSTITUTE(SUBSTITUTE(LOWER(W381&amp;""),"1","0"),"2","0"),"3","0"),"4","0"),"5","0"),"6","0"),"7","0"),"8","0"),"9","0")</f>
        <v/>
      </c>
      <c r="BP381" s="61" t="str">
        <f aca="false">SUBSTITUTE(SUBSTITUTE(SUBSTITUTE(SUBSTITUTE(SUBSTITUTE(SUBSTITUTE(SUBSTITUTE(SUBSTITUTE(SUBSTITUTE(SUBSTITUTE(SUBSTITUTE(SUBSTITUTE(SUBSTITUTE(SUBSTITUTE(SUBSTITUTE(SUBSTITUTE(SUBSTITUTE(SUBSTITUTE(SUBSTITUTE(SUBSTITUTE(SUBSTITUTE(SUBSTITUTE(SUBSTITUTE(SUBSTITUTE(SUBSTITUTE(BO381,"b","a"),"c","a"),"d","a"),"e","a"),"f","a"),"g","a"),"h","a"),"i","a"),"j","a"),"k","a"),"l","a"),"m","a"),"n","a"),"o","a"),"p","a"),"q","a"),"r","a"),"s","a"),"t","a"),"u","a"),"v","a"),"w","a"),"x","a"),"y","a"),"z","a")</f>
        <v/>
      </c>
      <c r="BQ381" s="61" t="n">
        <f aca="false">IFERROR(IF(AND(ISERROR(SEARCH(" mh"," "&amp;LOWER(W381))),ISNA(MATCH(LEFT(TRIM(BP381),255),{"0000a","000a","00a","0000aa","000aa","00aa","0aa","0000aaa","000aaa","00a00","0a00","0000-0000","00:00","a00","a0","00.00.0000","00/00/0000","00-00-0000","0000-00-00","0000/00/00","0000.00.00","00.00.00","00/00/00","00-00-00","0.00.0000","0/00/0000","0-00-0000"},0)),ISNA(MATCH(LEFT(TRIM(CA381),255),{"0000a","000a","00a","0000aa","000aa","00aa","0aa","0000aaa","000aaa","00a00","0a00","0000-0000","00:00","a00","a0","00.00.0000","00/00/0000","00-00-0000","0000-00-00","0000/00/00","0000.00.00","00.00.00","00/00/00","00-00-00","0.00.0000","0/00/0000","0-00-0000"},0)),LEN(CB381)&gt;=3,NOT(OR(SUBSTITUTE(CB381,"0","")="",AND(LEN(CB381)&gt;=4,CB381=REPT(LEFT(CB381),LEN(CB381))),ISNUMBER(MATCH(CB381,{"123","1234","12345","123456","1234567","12345678","0123","01234","012345","98765","987654","54321"},0)),AND(LEN(CB381)=8,LEFT(CB381,3)="202"))),OR(AND((LEN(CA381)-LEN(SUBSTITUTE(CA381,"a","")))&gt;=1,SUMPRODUCT(--ISNUMBER(SEARCH({"a0","a-0","a_0","a/0","a.0","a#0","0a","0-a","0_a","0/a"},BP381)))&gt;0),ISNUMBER(SEARCH("000000",BP381)))),1,0),0)</f>
        <v>0</v>
      </c>
      <c r="BR381" s="61" t="n">
        <f aca="false">IFERROR(LEN(SUBSTITUTE(CC381," ",""))-SUMPRODUCT((LEN(CC381)-LEN(SUBSTITUTE(CC381," "&amp;L_Role&amp;" "," ")))/(LEN(L_Role)+1)*LEN(L_Role)),0)</f>
        <v>0</v>
      </c>
      <c r="BS381" s="61" t="n">
        <f aca="false">IFERROR(LEN(SUBSTITUTE(CD381," ",""))-SUMPRODUCT((LEN(CD381)-LEN(SUBSTITUTE(CD381," "&amp;L_Role&amp;" "," ")))/(LEN(L_Role)+1)*LEN(L_Role)),0)</f>
        <v>0</v>
      </c>
      <c r="BT3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381,"revision",""),"version",""),"jan",""),"feb",""),"mar",""),"apr",""),"may",""),"jun",""),"jul",""),"aug",""),"sep",""),"oct",""),"nov",""),"dec",""),"utc",""),"gmt",""),"myt",""),"bst",""),"rev",""),"ver",""),"b","a"),"c","a"),"d","a"),"e","a"),"f","a"),"g","a"),"h","a"),"i","a"),"j","a"),"k","a"),"l","a"),"m","a"),"n","a"),"o","a"),"p","a"),"q","a"),"r","a"),"s","a"),"t","a"),"u","a"),"v","a"),"w","a"),"x","a"),"y","a"),"z","a")</f>
        <v/>
      </c>
      <c r="BU381" s="61" t="str">
        <f aca="false">SUBSTITUTE(SUBSTITUTE(SUBSTITUTE(SUBSTITUTE(SUBSTITUTE(SUBSTITUTE(SUBSTITUTE(SUBSTITUTE(SUBSTITUTE(SUBSTITUTE(LEFT(BM381,FIND("0",BM381&amp;"0")-1),"-",""),"_",""),"/",""),".",""),"#",""),"\\",""),":","")," ",""),"(",""),")","")</f>
        <v/>
      </c>
      <c r="BV381" s="61" t="n">
        <f aca="false">0</f>
        <v>0</v>
      </c>
      <c r="BW3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381&amp;""),"a",""),"b",""),"c",""),"d",""),"e",""),"f",""),"g",""),"h",""),"i",""),"j",""),"k",""),"l",""),"m",""),"n",""),"o",""),"p",""),"q",""),"r",""),"s",""),"t",""),"u",""),"v",""),"w",""),"x",""),"y",""),"z",""),"-",""),"_",""),"/",""),".",""),"#",""),"\\",""),":","")," ",""),"(",""),")","")</f>
        <v/>
      </c>
      <c r="BX381" s="61" t="str">
        <f aca="false">SUBSTITUTE(SUBSTITUTE(SUBSTITUTE(SUBSTITUTE(SUBSTITUTE(SUBSTITUTE(SUBSTITUTE(SUBSTITUTE(SUBSTITUTE(SUBSTITUTE(SUBSTITUTE(BM381,"0",""),"-",""),"_",""),"/",""),".",""),"#",""),"\\",""),":","")," ",""),"(",""),")","")</f>
        <v/>
      </c>
      <c r="BY381" s="62" t="n">
        <f aca="false">Q381-T7EarlyD*24/24</f>
        <v>46286.6006944444</v>
      </c>
      <c r="BZ381" s="61" t="n">
        <f aca="false">IFERROR(IF(IF(TRIM(S381)="Link / file path",AND(LEN(TRIM(Z381))&gt;=5,SUMPRODUCT(--ISNUMBER(SEARCH({"http","www.","\\",":\",".pdf",".jpg",".jpeg",".png",".heic",".xls",".doc",".msg",".eml",".ppt",".txt",".zip"},Z381)))&gt;0),AND(ISERROR(FIND(" ",TRIM(Z381))),NOT(OR(SUMPRODUCT(--ISNUMBER(FIND({",",";","&amp;","+"},Z381)))&gt;0,SUMPRODUCT(--ISNUMBER(SEARCH({"0/aa","0\\aa"},BN381)))&gt;0)),NOT(SUMPRODUCT(--ISNUMBER(SEARCH({"http","www.","\\",":\",".pdf",".jpg",".jpeg",".png",".heic",".xls",".doc",".msg",".eml",".ppt",".txt",".zip"},Z381)))&gt;0),NOT(LOWER(TRIM(Z381))=LOWER(Flights!$F$16)),ISNA(MATCH(BU381,{"mh","rev","revision","ver","version","v","r","a","b","seat","tray","row","gate","bay","stand","page","pg","item","line","no","cart","galley","flight","flt","table","box","bag","oven","etd","eta","std","sta","atd","ata","qty","pax","x","time","tel","ph","mob","day","wk","week","utc","gmt","myt","lt"},0)),NOT(OR(ISNUMBER(MATCH(LEFT(BN381,255),{"0000a","000a","00a","0000aa","000aa","00aa","0aa","0000aaa","000aaa","00a00","0a00","0000-0000","00:00","a00","a0","00.00.0000","00/00/0000","00-00-0000","0000-00-00","0000/00/00","0000.00.00","00.00.00","00/00/00","00-00-00","0.00.0000","0/00/0000","0-00-0000"},0)),ISNUMBER(MATCH(LEFT(BT381,255),{"0000a","000a","00a","0000aa","000aa","00aa","0aa","0000aaa","000aaa","00a00","0a00","0000-0000","00:00","a00","a0","00.00.0000","00/00/0000","00-00-0000","0000-00-00","0000/00/00","0000.00.00","00.00.00","00/00/00","00-00-00","0.00.0000","0/00/0000","0-00-0000"},0)))),NOT(OR(AND(BW381&lt;&gt;"",SUBSTITUTE(BW381,"0","")=""),AND(LEN(BW381)&gt;=4,BW381=REPT(LEFT(BW381),LEN(BW381))),ISNUMBER(MATCH(BW381,{"123","1234","12345","123456","1234567","12345678","0123","01234","012345","98765","987654","54321"},0)),ISNUMBER(MATCH(BX381,{"x","xx","xxx","xxxx","xxxxx","abc","abcd","nil","na","nan","test","tbc","tba","tbd","dummy","sample","example","eg","zz","zzz","none","null","xyz","qwe","asd","id","ref"},0)),AND(LEN(BW381)=8,BX381="",OR(LEFT(BW381,3)="202",ISNUMBER(MATCH(RIGHT(BW381,4),{"2025","2026","2027"},0)))))),OR(AND((LEN(BT381)-LEN(SUBSTITUTE(BT381,"a","")))&gt;=1,(LEN(BN381)-LEN(SUBSTITUTE(BN381,"0","")))&gt;=2,SUMPRODUCT(--ISNUMBER(SEARCH({"a0","a-0","a_0","a/0","a.0","a#0","0a","0-a","0_a","0/a"},BN381)))&gt;0),AND((LEN(BN381)-LEN(SUBSTITUTE(BN381,"a","")))=0,(LEN(BN381)-LEN(SUBSTITUTE(BN381,"0","")))&gt;=5)))),1,0),0)</f>
        <v>0</v>
      </c>
      <c r="CA3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381,"revision",""),"version",""),"jan",""),"feb",""),"mar",""),"apr",""),"may",""),"jun",""),"jul",""),"aug",""),"sep",""),"oct",""),"nov",""),"dec",""),"utc",""),"gmt",""),"myt",""),"bst",""),"rev",""),"ver",""),"b","a"),"c","a"),"d","a"),"e","a"),"f","a"),"g","a"),"h","a"),"i","a"),"j","a"),"k","a"),"l","a"),"m","a"),"n","a"),"o","a"),"p","a"),"q","a"),"r","a"),"s","a"),"t","a"),"u","a"),"v","a"),"w","a"),"x","a"),"y","a"),"z","a")</f>
        <v/>
      </c>
      <c r="CB3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381&amp;""),"a",""),"b",""),"c",""),"d",""),"e",""),"f",""),"g",""),"h",""),"i",""),"j",""),"k",""),"l",""),"m",""),"n",""),"o",""),"p",""),"q",""),"r",""),"s",""),"t",""),"u",""),"v",""),"w",""),"x",""),"y",""),"z",""),"-",""),"_",""),"/",""),".",""),"#",""),"\\",""),":","")," ",""),"(",""),")","")</f>
        <v/>
      </c>
      <c r="CC381" s="0" t="str">
        <f aca="false">" "&amp;TRIM(SUBSTITUTE(SUBSTITUTE(SUBSTITUTE(SUBSTITUTE(SUBSTITUTE(SUBSTITUTE(SUBSTITUTE(SUBSTITUTE(SUBSTITUTE(SUBSTITUTE(SUBSTITUTE(SUBSTITUTE(SUBSTITUTE(SUBSTITUTE(SUBSTITUTE(SUBSTITUTE(SUBSTITUTE(SUBSTITUTE(SUBSTITUTE(SUBSTITUTE(SUBSTITUTE(SUBSTITUTE(SUBSTITUTE(SUBSTITUTE(LOWER(T381&amp;""),CHAR(10)," "),CHAR(13)," "),CHAR(9)," "),CHAR(160)," "),"."," "),","," "),"-"," "),"/"," "),"("," "),")"," "),":"," "),";"," "),"_"," "),"–"," "),"?"," "),"!"," "),"*"," "),"["," "),"]"," "),"'"," "),"#"," "),"+"," "),"&amp;"," "),"\"," "))&amp;" "</f>
        <v>  </v>
      </c>
      <c r="CD381" s="0" t="str">
        <f aca="false">" "&amp;TRIM(SUBSTITUTE(SUBSTITUTE(SUBSTITUTE(SUBSTITUTE(SUBSTITUTE(SUBSTITUTE(SUBSTITUTE(SUBSTITUTE(SUBSTITUTE(SUBSTITUTE(SUBSTITUTE(SUBSTITUTE(SUBSTITUTE(SUBSTITUTE(SUBSTITUTE(SUBSTITUTE(SUBSTITUTE(SUBSTITUTE(SUBSTITUTE(SUBSTITUTE(SUBSTITUTE(SUBSTITUTE(SUBSTITUTE(SUBSTITUTE(LOWER(AE381&amp;""),CHAR(10)," "),CHAR(13)," "),CHAR(9)," "),CHAR(160)," "),"."," "),","," "),"-"," "),"/"," "),"("," "),")"," "),":"," "),";"," "),"_"," "),"–"," "),"?"," "),"!"," "),"*"," "),"["," "),"]"," "),"'"," "),"#"," "),"+"," "),"&amp;"," "),"\"," "))&amp;" "</f>
        <v>  </v>
      </c>
      <c r="CE381" s="68" t="n">
        <f aca="false">IFERROR(IF(AND(LEN(AU381)&gt;0,LEN(AU381)=LEN(AX381),OR(TRIM(MID(SUBSTITUTE(TRIM(CC381)," ",REPT(" ",60)),1,60))="",ISNUMBER(SEARCH(" "&amp;TRIM(MID(SUBSTITUTE(TRIM(CC381)," ",REPT(" ",60)),1,60))&amp;" ",CD381))),OR(TRIM(MID(SUBSTITUTE(TRIM(CC381)," ",REPT(" ",60)),61,60))="",ISNUMBER(SEARCH(" "&amp;TRIM(MID(SUBSTITUTE(TRIM(CC381)," ",REPT(" ",60)),61,60))&amp;" ",CD381))),OR(TRIM(MID(SUBSTITUTE(TRIM(CC381)," ",REPT(" ",60)),121,60))="",ISNUMBER(SEARCH(" "&amp;TRIM(MID(SUBSTITUTE(TRIM(CC381)," ",REPT(" ",60)),121,60))&amp;" ",CD381)))),1,0),0)</f>
        <v>0</v>
      </c>
      <c r="CG381" s="68" t="n">
        <f aca="false">IFERROR(LEN(SUBSTITUTE(BF381," ",""))-SUMPRODUCT((LEN(BF381)-LEN(SUBSTITUTE(BF381," "&amp;L_NAFiller&amp;" "," ")))/(LEN(L_NAFiller)+1)*LEN(L_NAFiller)),0)</f>
        <v>0</v>
      </c>
    </row>
    <row r="382" customFormat="false" ht="41.25" hidden="false" customHeight="true" outlineLevel="0" collapsed="false">
      <c r="A382" s="57" t="s">
        <v>995</v>
      </c>
      <c r="B382" s="57" t="s">
        <v>261</v>
      </c>
      <c r="C382" s="57" t="str">
        <f aca="false">Flights!$F$16</f>
        <v>MH0139</v>
      </c>
      <c r="D382" s="58" t="n">
        <f aca="false">Flights!$D$16</f>
        <v>46307</v>
      </c>
      <c r="E382" s="57" t="str">
        <f aca="false">Flights!$G$16&amp;"-"&amp;Flights!$H$16</f>
        <v>KUL-ADL</v>
      </c>
      <c r="F382" s="57" t="str">
        <f aca="false">Flights!$K$16</f>
        <v>BC</v>
      </c>
      <c r="G382" s="57" t="s">
        <v>81</v>
      </c>
      <c r="H382" s="57" t="s">
        <v>378</v>
      </c>
      <c r="I382" s="57" t="s">
        <v>389</v>
      </c>
      <c r="J382" s="57" t="s">
        <v>390</v>
      </c>
      <c r="K382" s="67" t="s">
        <v>391</v>
      </c>
      <c r="L382" s="67" t="s">
        <v>382</v>
      </c>
      <c r="M382" s="67"/>
      <c r="N382" s="67" t="str">
        <f aca="false">IF(TRIM(Flights!$L$16)="A339","Required","N/A – rule")</f>
        <v>Required</v>
      </c>
      <c r="O382" s="67" t="s">
        <v>392</v>
      </c>
      <c r="P382" s="57" t="s">
        <v>187</v>
      </c>
      <c r="Q382" s="59" t="n">
        <f aca="false">ROUND((Flights!$AC$16)*1440,0)/1440</f>
        <v>46300.6006944444</v>
      </c>
      <c r="R382" s="59" t="n">
        <f aca="false">Q382+(IF(AND(INDEX(TZ_DSTS,MATCH(P382,TZ_STN,0))&lt;&gt;"",Q382&gt;=INDEX(TZ_DSTS,MATCH(P382,TZ_STN,0)),Q382&lt;INDEX(TZ_DSTE,MATCH(P382,TZ_STN,0))),INDEX(TZ_DST,MATCH(P382,TZ_STN,0)),INDEX(TZ_STD,MATCH(P382,TZ_STN,0))))/24</f>
        <v>46300.9340277778</v>
      </c>
      <c r="S382" s="60"/>
      <c r="T382" s="60"/>
      <c r="U382" s="60"/>
      <c r="V382" s="60"/>
      <c r="W382" s="61"/>
      <c r="X382" s="60"/>
      <c r="Y382" s="60"/>
      <c r="Z382" s="60"/>
      <c r="AA382" s="60"/>
      <c r="AB382" s="60"/>
      <c r="AC382" s="60"/>
      <c r="AD382" s="66"/>
      <c r="AE382" s="60"/>
      <c r="AF382" s="61" t="str">
        <f aca="false">IF(AND(ISNUMBER(X382),ISNUMBER(Y382)),Y382-X382,"")</f>
        <v/>
      </c>
      <c r="AG382" s="62" t="str">
        <f aca="false">IF(ISNUMBER(AD382),AD382-(IF(AND(INDEX(TZ_DSTS,MATCH(P382,TZ_STN,0))&lt;&gt;"",(AD382-INDEX(TZ_STD,MATCH(P382,TZ_STN,0))/24)&gt;=INDEX(TZ_DSTS,MATCH(P382,TZ_STN,0)),(AD382-INDEX(TZ_STD,MATCH(P382,TZ_STN,0))/24)&lt;INDEX(TZ_DSTE,MATCH(P382,TZ_STN,0))),INDEX(TZ_DST,MATCH(P382,TZ_STN,0)),INDEX(TZ_STD,MATCH(P382,TZ_STN,0))))/24,"")</f>
        <v/>
      </c>
      <c r="AH382" s="65" t="str">
        <f aca="false">IFERROR(IF(N382="N/A – rule",IF(OR(TRIM(U382)="",TRIM(U382)="N/A",TRIM(U382)="Not started"),"N/A – RULE","INVALID – this check does not apply to this aircraft: clear the status (or correct the fleet on Flights)"),IF(TRIM(U382)="N/A",IF(AT382=0,"INVALID – N/A not permitted for this check",IF(AND(TRIM(AB382)&lt;&gt;"",TRIM(AB382)&lt;&gt;"Closed"),"INVALID – corrective action still open",IF(AND(NOT(OR(LEN(AZ382)&lt;15,ISNUMBER(MATCH(AZ382,L_Placeholder,0)))),BK382=0,CG382&gt;=8,NOT(OR(LEN(AU382)&lt;2,ISNUMBER(MATCH(AU382,L_Placeholder,0)))),BR382&gt;=3,NOT(OR(LEN(AX382)&lt;2,ISNUMBER(MATCH(AX382,L_Placeholder,0)))),BS382&gt;=3,TRIM(AE382)&lt;&gt;TRIM(T382),AX382&lt;&gt;AU382,CE382=0),"N/A – JUSTIFIED","INVALID – N/A needs a real, settled reason (not 'not applicable' / 'as above' / TBC), a named PIC and a different named verifier"))),IF(OR(TRIM(U382)="Pass",TRIM(U382)="Pass after CA"),IF(NOT(ISNUMBER(AD382)),"INVALID – completion time missing",IF(OR(OR(LEN(AU382)&lt;2,ISNUMBER(MATCH(AU382,L_Placeholder,0))),BR382&lt;3),"INVALID – PIC missing or not a named person (a role such as QA / CSM is not a name)",IF(OR(LEN(AV382)&lt;2,ISNUMBER(MATCH(AV382,L_Placeholder,0))),"INVALID – result / assessment missing",IF(OR(OR(LEN(AW382)&lt;3,ISNUMBER(MATCH(AW382,L_Placeholder,0))),SUMPRODUCT(--ISNUMBER(SEARCH(" "&amp;L_EvidencePhrase&amp;" ",BD382)))&gt;0,BI382=1),"INVALID – evidence missing, placeholder or not yet on file",IF(ISNA(MATCH(TRIM(S382),L_EvidenceType,0)),"INVALID – choose the evidence type from the list (column S)",IF(BL382=0,"INVALID – evidence ID must be the record's own ID only (e.g. SF-2210, IMG_2231, 1045521); a link / file name needs type 'Link / file path'",IF(OR(OR(LEN(AX382)&lt;2,ISNUMBER(MATCH(AX382,L_Placeholder,0))),BS382&lt;3),"INVALID – verifier missing or not a named person (a role such as QA / CSM is not a name)",IF(OR(AX382=AU382,CE382=1,AND(LEN(AU382)&gt;=4,ISNUMBER(SEARCH(AU382,AX382))),AND(LEN(AX382)&gt;=4,ISNUMBER(SEARCH(AX382,AU382)))),"INVALID – verifier must be a different, named person (not the PIC or a role)",IF(BH382=1,"INVALID – result not yet available (awaiting / TBC)",IF(BG382=1,"INVALID – result describes a problem: record Fail, then Pass after CA (or reword if it is not a problem)",IF(BV382=1,"INVALID – wording says not on board: an on-board confirmation needs the item loaded",IF(AND(AQ382=1,OR(OR(LEN(AY382)&lt;3,ISNUMBER(MATCH(AY382,L_Placeholder,0))),BJ382=1,BQ382=0)),"INVALID – batch ID missing, placeholder or not an ID (e.g. PASB-261008-BC-017)",IF(AND(AR382=1,OR(NOT(ISNUMBER(X382)),NOT(ISNUMBER(Y382)))),"INVALID – expected/actual qty missing",IF(AND(AR382=1,OR(X382&lt;=0,Y382&lt;0)),"INVALID – expected qty must be above 0 and actual not negative",IF(BB382&lt;&gt;"",BB382,IF(AND(AS382=1,Documents!$J$16&lt;&gt;"ON FILE"),"INVALID – GLD not on file (Documents sheet)",IF(AND(AS382=2,Documents!$O$16&lt;&gt;"ON FILE"),"INVALID – menu checklist not on file (Documents sheet)",IF(AND(AS382=3,NOT(ISNUMBER(Flights!$AX$16))),"INVALID – enter carrying flight KUL departure (Flights AX)",IF(AND(AS382=3,OR(Flights!$AZ$16&gt;Flights!$AA$16,Flights!$AX$16&lt;Flights!$AA$16-3)),"INVALID – carrying flight (Flights AX) cannot arrive before this leg's STD, or is over 3 days early",IF(AG382&gt;AsOfUTC,"INVALID – completion time is in the future",IF(AND(ISNUMBER(BY382),AG382&lt;BY382),IF(H382="Physical uplift","INVALID – before uplift window (cannot confirm loading)","INVALID – before valid window"),IF(AG382&gt;Flights!$AA$16,"INVALID – completed after departure (cannot establish readiness)",IF(AND(H382="Preparation",AG382&gt;=IF(ISNUMBER(Flights!$BA$16),MIN(Flights!$BA$16,Flights!$AA$16),Flights!$AA$16)),"INVALID – completed after loading / departure (cannot establish readiness)",IF(AND(H382="Physical uplift",AG382&gt;Q382),"INVALID – recorded after the loading flight departed",IF(AG382&gt;Q382,"COMPLETE – LATE","COMPLETE"))))))))))))))))))))))))),IF(TRIM(U382)="Fail","FAIL – DISCREPANCY",IF(AND(TRIM(U382)&lt;&gt;"",TRIM(U382)&lt;&gt;"Not started",TRIM(U382)&lt;&gt;"In progress"),"INVALID – unrecognised status (use the list)",IF(AsOfUTC&gt;Q382,"OVERDUE",IF(N382="Clarification required","OPEN – CLARIFICATION","OPEN"))))))),"INVALID – error value in an input cell")</f>
        <v>OPEN</v>
      </c>
      <c r="AI382" s="61" t="n">
        <f aca="false">IF(OR(AH382="N/A – RULE",AH382="N/A – JUSTIFIED"),0,1)</f>
        <v>1</v>
      </c>
      <c r="AJ382" s="61" t="n">
        <f aca="false">IF(LEFT(AH382,8)="COMPLETE",1,0)</f>
        <v>0</v>
      </c>
      <c r="AK382" s="61" t="n">
        <f aca="false">IF(AND(AI382=1,AJ382=0,AsOfUTC&gt;Q382),1,0)</f>
        <v>0</v>
      </c>
      <c r="AL382" s="61" t="n">
        <f aca="false">IFERROR(IF(AND(AI382=1,OR(TRIM(U382)="Fail",AND(TRIM(AB382)&lt;&gt;"",TRIM(AB382)&lt;&gt;"Closed"),AND(ISNUMBER(AF382),AF382&lt;&gt;0,TRIM(U382)&lt;&gt;"Pass after CA"))),1,0),1)</f>
        <v>0</v>
      </c>
      <c r="AM382" s="61" t="n">
        <f aca="false">IF(LEFT(AH382,7)="INVALID",1,0)</f>
        <v>0</v>
      </c>
      <c r="AN382" s="61" t="n">
        <f aca="false">IF(AND(N382="Clarification required",AI382=1,AJ382=0),1,0)</f>
        <v>0</v>
      </c>
      <c r="AO382" s="61" t="str">
        <f aca="false">IF(AK382=1,SUM(AK$5:AK382),"")</f>
        <v/>
      </c>
      <c r="AP382" s="61" t="str">
        <f aca="false">IF(AL382=1,SUM(AL$5:AL382),"")</f>
        <v/>
      </c>
      <c r="AQ382" s="61" t="n">
        <v>0</v>
      </c>
      <c r="AR382" s="61" t="n">
        <v>0</v>
      </c>
      <c r="AS382" s="61" t="n">
        <v>0</v>
      </c>
      <c r="AT382" s="61" t="n">
        <v>0</v>
      </c>
      <c r="AU382" s="61" t="str">
        <f aca="false">SUBSTITUTE(SUBSTITUTE(SUBSTITUTE(SUBSTITUTE(SUBSTITUTE(SUBSTITUTE(SUBSTITUTE(SUBSTITUTE(SUBSTITUTE(SUBSTITUTE(SUBSTITUTE(SUBSTITUTE(SUBSTITUTE(SUBSTITUTE(SUBSTITUTE(SUBSTITUTE(LOWER(T382&amp;""),CHAR(10),""),CHAR(13),""),CHAR(9),""),CHAR(160),"")," ",""),".",""),"-",""),"/",""),"?",""),"_",""),",",""),"[",""),"]",""),"(",""),")",""),"*","")</f>
        <v/>
      </c>
      <c r="AV382" s="61" t="str">
        <f aca="false">SUBSTITUTE(SUBSTITUTE(SUBSTITUTE(SUBSTITUTE(SUBSTITUTE(SUBSTITUTE(SUBSTITUTE(SUBSTITUTE(SUBSTITUTE(SUBSTITUTE(SUBSTITUTE(SUBSTITUTE(SUBSTITUTE(SUBSTITUTE(SUBSTITUTE(SUBSTITUTE(LOWER(V382&amp;""),CHAR(10),""),CHAR(13),""),CHAR(9),""),CHAR(160),"")," ",""),".",""),"-",""),"/",""),"?",""),"_",""),",",""),"[",""),"]",""),"(",""),")",""),"*","")</f>
        <v/>
      </c>
      <c r="AW382" s="61" t="str">
        <f aca="false">SUBSTITUTE(SUBSTITUTE(SUBSTITUTE(SUBSTITUTE(SUBSTITUTE(SUBSTITUTE(SUBSTITUTE(SUBSTITUTE(SUBSTITUTE(SUBSTITUTE(SUBSTITUTE(SUBSTITUTE(SUBSTITUTE(SUBSTITUTE(SUBSTITUTE(SUBSTITUTE(LOWER(Z382&amp;""),CHAR(10),""),CHAR(13),""),CHAR(9),""),CHAR(160),"")," ",""),".",""),"-",""),"/",""),"?",""),"_",""),",",""),"[",""),"]",""),"(",""),")",""),"*","")</f>
        <v/>
      </c>
      <c r="AX382" s="61" t="str">
        <f aca="false">SUBSTITUTE(SUBSTITUTE(SUBSTITUTE(SUBSTITUTE(SUBSTITUTE(SUBSTITUTE(SUBSTITUTE(SUBSTITUTE(SUBSTITUTE(SUBSTITUTE(SUBSTITUTE(SUBSTITUTE(SUBSTITUTE(SUBSTITUTE(SUBSTITUTE(SUBSTITUTE(LOWER(AE382&amp;""),CHAR(10),""),CHAR(13),""),CHAR(9),""),CHAR(160),"")," ",""),".",""),"-",""),"/",""),"?",""),"_",""),",",""),"[",""),"]",""),"(",""),")",""),"*","")</f>
        <v/>
      </c>
      <c r="AY382" s="61" t="str">
        <f aca="false">SUBSTITUTE(SUBSTITUTE(SUBSTITUTE(SUBSTITUTE(SUBSTITUTE(SUBSTITUTE(SUBSTITUTE(SUBSTITUTE(SUBSTITUTE(SUBSTITUTE(SUBSTITUTE(SUBSTITUTE(SUBSTITUTE(SUBSTITUTE(SUBSTITUTE(SUBSTITUTE(LOWER(W382&amp;""),CHAR(10),""),CHAR(13),""),CHAR(9),""),CHAR(160),"")," ",""),".",""),"-",""),"/",""),"?",""),"_",""),",",""),"[",""),"]",""),"(",""),")",""),"*","")</f>
        <v/>
      </c>
      <c r="AZ382" s="61" t="str">
        <f aca="false">SUBSTITUTE(SUBSTITUTE(SUBSTITUTE(SUBSTITUTE(SUBSTITUTE(SUBSTITUTE(SUBSTITUTE(SUBSTITUTE(SUBSTITUTE(SUBSTITUTE(SUBSTITUTE(SUBSTITUTE(SUBSTITUTE(SUBSTITUTE(SUBSTITUTE(SUBSTITUTE(LOWER(AC382&amp;""),CHAR(10),""),CHAR(13),""),CHAR(9),""),CHAR(160),"")," ",""),".",""),"-",""),"/",""),"?",""),"_",""),",",""),"[",""),"]",""),"(",""),")",""),"*","")</f>
        <v/>
      </c>
      <c r="BA382" s="61" t="str">
        <f aca="false">SUBSTITUTE(SUBSTITUTE(SUBSTITUTE(SUBSTITUTE(SUBSTITUTE(SUBSTITUTE(SUBSTITUTE(SUBSTITUTE(SUBSTITUTE(SUBSTITUTE(SUBSTITUTE(SUBSTITUTE(SUBSTITUTE(SUBSTITUTE(SUBSTITUTE(SUBSTITUTE(LOWER(AA382&amp;""),CHAR(10),""),CHAR(13),""),CHAR(9),""),CHAR(160),"")," ",""),".",""),"-",""),"/",""),"?",""),"_",""),",",""),"[",""),"]",""),"(",""),")",""),"*","")</f>
        <v/>
      </c>
      <c r="BB382" s="61" t="str">
        <f aca="false">IF(AND(TRIM(U382)="Pass",ISNUMBER(AF382)),IF(AF382&lt;&gt;0,"INVALID – qty variance: use Fail or Pass after CA",""),"")&amp;IF(AND(TRIM(U382)="Pass after CA",ISNUMBER(AF382)),IF(AF382&lt;&gt;0,"INVALID – after the corrective action the actual qty must equal expected (update Actual)",""),"")&amp;IF(AND(TRIM(U382)="Pass",TRIM(AB382)&lt;&gt;"",TRIM(AB382)&lt;&gt;"Closed"),"INVALID – corrective action not closed: use Fail, then Pass after CA","")&amp;IF(AND(LEN(BA382)&gt;=2,ISNA(MATCH(LEFT(BA382,255),L_Placeholder,0)),TRIM(AB382)=""),"INVALID – CA status missing for the recorded corrective action","")&amp;IF(AND(TRIM(U382)="Pass after CA",OR(OR(LEN(BA382)&lt;5,ISNUMBER(MATCH(BA382,L_Placeholder,0))),TRIM(AB382)&lt;&gt;"Closed")),"INVALID – corrective action not recorded/closed","")</f>
        <v/>
      </c>
      <c r="BC382" s="61" t="str">
        <f aca="false">" "&amp;TRIM(SUBSTITUTE(SUBSTITUTE(SUBSTITUTE(SUBSTITUTE(SUBSTITUTE(SUBSTITUTE(SUBSTITUTE(SUBSTITUTE(SUBSTITUTE(SUBSTITUTE(SUBSTITUTE(SUBSTITUTE(SUBSTITUTE(SUBSTITUTE(SUBSTITUTE(SUBSTITUTE(SUBSTITUTE(SUBSTITUTE(SUBSTITUTE(SUBSTITUTE(SUBSTITUTE(SUBSTITUTE(SUBSTITUTE(SUBSTITUTE(LOWER(V382&amp;""),CHAR(10)," "),CHAR(13)," "),CHAR(9)," "),CHAR(160)," "),"."," "),","," "),"-"," "),"/"," "),"("," "),")"," "),":"," "),";"," "),"_"," "),"–"," "),"?"," "),"!"," "),"*"," "),"["," "),"]"," "),"'"," "),"#"," "),"+"," "),"&amp;"," "),"\"," "))&amp;" "</f>
        <v>  </v>
      </c>
      <c r="BD382" s="61" t="str">
        <f aca="false">" "&amp;TRIM(SUBSTITUTE(SUBSTITUTE(SUBSTITUTE(SUBSTITUTE(SUBSTITUTE(SUBSTITUTE(SUBSTITUTE(SUBSTITUTE(SUBSTITUTE(SUBSTITUTE(SUBSTITUTE(SUBSTITUTE(SUBSTITUTE(SUBSTITUTE(SUBSTITUTE(SUBSTITUTE(SUBSTITUTE(SUBSTITUTE(SUBSTITUTE(SUBSTITUTE(SUBSTITUTE(SUBSTITUTE(SUBSTITUTE(SUBSTITUTE(LOWER(Z382&amp;""),CHAR(10)," "),CHAR(13)," "),CHAR(9)," "),CHAR(160)," "),"."," "),","," "),"-"," "),"/"," "),"("," "),")"," "),":"," "),";"," "),"_"," "),"–"," "),"?"," "),"!"," "),"*"," "),"["," "),"]"," "),"'"," "),"#"," "),"+"," "),"&amp;"," "),"\"," "))&amp;" "</f>
        <v>  </v>
      </c>
      <c r="BE382" s="61" t="str">
        <f aca="false">" "&amp;TRIM(SUBSTITUTE(SUBSTITUTE(SUBSTITUTE(SUBSTITUTE(SUBSTITUTE(SUBSTITUTE(SUBSTITUTE(SUBSTITUTE(SUBSTITUTE(SUBSTITUTE(SUBSTITUTE(SUBSTITUTE(SUBSTITUTE(SUBSTITUTE(SUBSTITUTE(SUBSTITUTE(SUBSTITUTE(SUBSTITUTE(SUBSTITUTE(SUBSTITUTE(SUBSTITUTE(SUBSTITUTE(SUBSTITUTE(SUBSTITUTE(LOWER(W382&amp;""),CHAR(10)," "),CHAR(13)," "),CHAR(9)," "),CHAR(160)," "),"."," "),","," "),"-"," "),"/"," "),"("," "),")"," "),":"," "),";"," "),"_"," "),"–"," "),"?"," "),"!"," "),"*"," "),"["," "),"]"," "),"'"," "),"#"," "),"+"," "),"&amp;"," "),"\"," "))&amp;" "</f>
        <v>  </v>
      </c>
      <c r="BF382" s="61" t="str">
        <f aca="false">" "&amp;TRIM(SUBSTITUTE(SUBSTITUTE(SUBSTITUTE(SUBSTITUTE(SUBSTITUTE(SUBSTITUTE(SUBSTITUTE(SUBSTITUTE(SUBSTITUTE(SUBSTITUTE(SUBSTITUTE(SUBSTITUTE(SUBSTITUTE(SUBSTITUTE(SUBSTITUTE(SUBSTITUTE(SUBSTITUTE(SUBSTITUTE(SUBSTITUTE(SUBSTITUTE(SUBSTITUTE(SUBSTITUTE(SUBSTITUTE(SUBSTITUTE(LOWER(AC382&amp;""),CHAR(10)," "),CHAR(13)," "),CHAR(9)," "),CHAR(160)," "),"."," "),","," "),"-"," "),"/"," "),"("," "),")"," "),":"," "),";"," "),"_"," "),"–"," "),"?"," "),"!"," "),"*"," "),"["," "),"]"," "),"'"," "),"#"," "),"+"," "),"&amp;"," "),"\"," "))&amp;" "</f>
        <v>  </v>
      </c>
      <c r="BG382" s="61" t="n">
        <f aca="false">IFERROR(IF(AND(TRIM(U382)="Pass",SUMPRODUCT((LEN(BC382)-LEN(SUBSTITUTE(BC382," "&amp;L_ResultBad&amp;" "," ")))/(LEN(L_ResultBad)+1))&gt;SUMPRODUCT((LEN(BC382)-LEN(SUBSTITUTE(BC382," "&amp;L_NegPhrase&amp;" "," ")))/(LEN(L_NegPhrase)+1))),1,0),0)</f>
        <v>0</v>
      </c>
      <c r="BH382" s="61" t="n">
        <f aca="false">IFERROR(IF(SUMPRODUCT((LEN(BC382)-LEN(SUBSTITUTE(BC382," "&amp;L_Pending&amp;" "," ")))/(LEN(L_Pending)+1))&gt;SUMPRODUCT((LEN(BC382)-LEN(SUBSTITUTE(BC382," "&amp;L_PendNeg&amp;" "," ")))/(LEN(L_PendNeg)+1))+SUMPRODUCT((LEN(BC382)-LEN(SUBSTITUTE(BC382," "&amp;L_PendPrep&amp;" "," ")))/(LEN(L_PendPrep)+1)),1,0),1)</f>
        <v>0</v>
      </c>
      <c r="BI382" s="61" t="n">
        <f aca="false">IFERROR(IF(SUMPRODUCT((LEN(BD382)-LEN(SUBSTITUTE(BD382," "&amp;L_PendStrict&amp;" "," ")))/(LEN(L_PendStrict)+1))&gt;SUMPRODUCT((LEN(BD382)-LEN(SUBSTITUTE(BD382," "&amp;L_PendNeg&amp;" "," ")))/(LEN(L_PendNeg)+1)),1,0),1)</f>
        <v>0</v>
      </c>
      <c r="BJ382" s="61" t="n">
        <f aca="false">IFERROR(IF(SUMPRODUCT((LEN(BE382)-LEN(SUBSTITUTE(BE382," "&amp;L_Pending&amp;" "," ")))/(LEN(L_Pending)+1))&gt;SUMPRODUCT((LEN(BE382)-LEN(SUBSTITUTE(BE382," "&amp;L_PendNeg&amp;" "," ")))/(LEN(L_PendNeg)+1))+SUMPRODUCT((LEN(BE382)-LEN(SUBSTITUTE(BE382," "&amp;L_PendPrep&amp;" "," ")))/(LEN(L_PendPrep)+1)),1,0),1)</f>
        <v>0</v>
      </c>
      <c r="BK382" s="61" t="n">
        <f aca="false">IFERROR(IF(SUMPRODUCT((LEN(BF382)-LEN(SUBSTITUTE(BF382," "&amp;L_PendStrict&amp;" "," ")))/(LEN(L_PendStrict)+1))&gt;SUMPRODUCT((LEN(BF382)-LEN(SUBSTITUTE(BF382," "&amp;L_PendNeg&amp;" "," ")))/(LEN(L_PendNeg)+1)),1,0),1)</f>
        <v>0</v>
      </c>
      <c r="BL382" s="61" t="n">
        <f aca="false">IF(ISNA(MATCH(TRIM(S382),L_EvidenceType,0)),0,BZ382)</f>
        <v>0</v>
      </c>
      <c r="BM382" s="61" t="str">
        <f aca="false">SUBSTITUTE(SUBSTITUTE(SUBSTITUTE(SUBSTITUTE(SUBSTITUTE(SUBSTITUTE(SUBSTITUTE(SUBSTITUTE(SUBSTITUTE(LOWER(Z382&amp;""),"1","0"),"2","0"),"3","0"),"4","0"),"5","0"),"6","0"),"7","0"),"8","0"),"9","0")</f>
        <v/>
      </c>
      <c r="BN382" s="61" t="str">
        <f aca="false">SUBSTITUTE(SUBSTITUTE(SUBSTITUTE(SUBSTITUTE(SUBSTITUTE(SUBSTITUTE(SUBSTITUTE(SUBSTITUTE(SUBSTITUTE(SUBSTITUTE(SUBSTITUTE(SUBSTITUTE(SUBSTITUTE(SUBSTITUTE(SUBSTITUTE(SUBSTITUTE(SUBSTITUTE(SUBSTITUTE(SUBSTITUTE(SUBSTITUTE(SUBSTITUTE(SUBSTITUTE(SUBSTITUTE(SUBSTITUTE(SUBSTITUTE(BM382,"b","a"),"c","a"),"d","a"),"e","a"),"f","a"),"g","a"),"h","a"),"i","a"),"j","a"),"k","a"),"l","a"),"m","a"),"n","a"),"o","a"),"p","a"),"q","a"),"r","a"),"s","a"),"t","a"),"u","a"),"v","a"),"w","a"),"x","a"),"y","a"),"z","a")</f>
        <v/>
      </c>
      <c r="BO382" s="61" t="str">
        <f aca="false">SUBSTITUTE(SUBSTITUTE(SUBSTITUTE(SUBSTITUTE(SUBSTITUTE(SUBSTITUTE(SUBSTITUTE(SUBSTITUTE(SUBSTITUTE(LOWER(W382&amp;""),"1","0"),"2","0"),"3","0"),"4","0"),"5","0"),"6","0"),"7","0"),"8","0"),"9","0")</f>
        <v/>
      </c>
      <c r="BP382" s="61" t="str">
        <f aca="false">SUBSTITUTE(SUBSTITUTE(SUBSTITUTE(SUBSTITUTE(SUBSTITUTE(SUBSTITUTE(SUBSTITUTE(SUBSTITUTE(SUBSTITUTE(SUBSTITUTE(SUBSTITUTE(SUBSTITUTE(SUBSTITUTE(SUBSTITUTE(SUBSTITUTE(SUBSTITUTE(SUBSTITUTE(SUBSTITUTE(SUBSTITUTE(SUBSTITUTE(SUBSTITUTE(SUBSTITUTE(SUBSTITUTE(SUBSTITUTE(SUBSTITUTE(BO382,"b","a"),"c","a"),"d","a"),"e","a"),"f","a"),"g","a"),"h","a"),"i","a"),"j","a"),"k","a"),"l","a"),"m","a"),"n","a"),"o","a"),"p","a"),"q","a"),"r","a"),"s","a"),"t","a"),"u","a"),"v","a"),"w","a"),"x","a"),"y","a"),"z","a")</f>
        <v/>
      </c>
      <c r="BQ382" s="61" t="n">
        <f aca="false">IFERROR(IF(AND(ISERROR(SEARCH(" mh"," "&amp;LOWER(W382))),ISNA(MATCH(LEFT(TRIM(BP382),255),{"0000a","000a","00a","0000aa","000aa","00aa","0aa","0000aaa","000aaa","00a00","0a00","0000-0000","00:00","a00","a0","00.00.0000","00/00/0000","00-00-0000","0000-00-00","0000/00/00","0000.00.00","00.00.00","00/00/00","00-00-00","0.00.0000","0/00/0000","0-00-0000"},0)),ISNA(MATCH(LEFT(TRIM(CA382),255),{"0000a","000a","00a","0000aa","000aa","00aa","0aa","0000aaa","000aaa","00a00","0a00","0000-0000","00:00","a00","a0","00.00.0000","00/00/0000","00-00-0000","0000-00-00","0000/00/00","0000.00.00","00.00.00","00/00/00","00-00-00","0.00.0000","0/00/0000","0-00-0000"},0)),LEN(CB382)&gt;=3,NOT(OR(SUBSTITUTE(CB382,"0","")="",AND(LEN(CB382)&gt;=4,CB382=REPT(LEFT(CB382),LEN(CB382))),ISNUMBER(MATCH(CB382,{"123","1234","12345","123456","1234567","12345678","0123","01234","012345","98765","987654","54321"},0)),AND(LEN(CB382)=8,LEFT(CB382,3)="202"))),OR(AND((LEN(CA382)-LEN(SUBSTITUTE(CA382,"a","")))&gt;=1,SUMPRODUCT(--ISNUMBER(SEARCH({"a0","a-0","a_0","a/0","a.0","a#0","0a","0-a","0_a","0/a"},BP382)))&gt;0),ISNUMBER(SEARCH("000000",BP382)))),1,0),0)</f>
        <v>0</v>
      </c>
      <c r="BR382" s="61" t="n">
        <f aca="false">IFERROR(LEN(SUBSTITUTE(CC382," ",""))-SUMPRODUCT((LEN(CC382)-LEN(SUBSTITUTE(CC382," "&amp;L_Role&amp;" "," ")))/(LEN(L_Role)+1)*LEN(L_Role)),0)</f>
        <v>0</v>
      </c>
      <c r="BS382" s="61" t="n">
        <f aca="false">IFERROR(LEN(SUBSTITUTE(CD382," ",""))-SUMPRODUCT((LEN(CD382)-LEN(SUBSTITUTE(CD382," "&amp;L_Role&amp;" "," ")))/(LEN(L_Role)+1)*LEN(L_Role)),0)</f>
        <v>0</v>
      </c>
      <c r="BT3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382,"revision",""),"version",""),"jan",""),"feb",""),"mar",""),"apr",""),"may",""),"jun",""),"jul",""),"aug",""),"sep",""),"oct",""),"nov",""),"dec",""),"utc",""),"gmt",""),"myt",""),"bst",""),"rev",""),"ver",""),"b","a"),"c","a"),"d","a"),"e","a"),"f","a"),"g","a"),"h","a"),"i","a"),"j","a"),"k","a"),"l","a"),"m","a"),"n","a"),"o","a"),"p","a"),"q","a"),"r","a"),"s","a"),"t","a"),"u","a"),"v","a"),"w","a"),"x","a"),"y","a"),"z","a")</f>
        <v/>
      </c>
      <c r="BU382" s="61" t="str">
        <f aca="false">SUBSTITUTE(SUBSTITUTE(SUBSTITUTE(SUBSTITUTE(SUBSTITUTE(SUBSTITUTE(SUBSTITUTE(SUBSTITUTE(SUBSTITUTE(SUBSTITUTE(LEFT(BM382,FIND("0",BM382&amp;"0")-1),"-",""),"_",""),"/",""),".",""),"#",""),"\\",""),":","")," ",""),"(",""),")","")</f>
        <v/>
      </c>
      <c r="BV382" s="61" t="n">
        <f aca="false">0</f>
        <v>0</v>
      </c>
      <c r="BW3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382&amp;""),"a",""),"b",""),"c",""),"d",""),"e",""),"f",""),"g",""),"h",""),"i",""),"j",""),"k",""),"l",""),"m",""),"n",""),"o",""),"p",""),"q",""),"r",""),"s",""),"t",""),"u",""),"v",""),"w",""),"x",""),"y",""),"z",""),"-",""),"_",""),"/",""),".",""),"#",""),"\\",""),":","")," ",""),"(",""),")","")</f>
        <v/>
      </c>
      <c r="BX382" s="61" t="str">
        <f aca="false">SUBSTITUTE(SUBSTITUTE(SUBSTITUTE(SUBSTITUTE(SUBSTITUTE(SUBSTITUTE(SUBSTITUTE(SUBSTITUTE(SUBSTITUTE(SUBSTITUTE(SUBSTITUTE(BM382,"0",""),"-",""),"_",""),"/",""),".",""),"#",""),"\\",""),":","")," ",""),"(",""),")","")</f>
        <v/>
      </c>
      <c r="BY382" s="62" t="n">
        <f aca="false">Q382-T7EarlyD*24/24</f>
        <v>46286.6006944444</v>
      </c>
      <c r="BZ382" s="61" t="n">
        <f aca="false">IFERROR(IF(IF(TRIM(S382)="Link / file path",AND(LEN(TRIM(Z382))&gt;=5,SUMPRODUCT(--ISNUMBER(SEARCH({"http","www.","\\",":\",".pdf",".jpg",".jpeg",".png",".heic",".xls",".doc",".msg",".eml",".ppt",".txt",".zip"},Z382)))&gt;0),AND(ISERROR(FIND(" ",TRIM(Z382))),NOT(OR(SUMPRODUCT(--ISNUMBER(FIND({",",";","&amp;","+"},Z382)))&gt;0,SUMPRODUCT(--ISNUMBER(SEARCH({"0/aa","0\\aa"},BN382)))&gt;0)),NOT(SUMPRODUCT(--ISNUMBER(SEARCH({"http","www.","\\",":\",".pdf",".jpg",".jpeg",".png",".heic",".xls",".doc",".msg",".eml",".ppt",".txt",".zip"},Z382)))&gt;0),NOT(LOWER(TRIM(Z382))=LOWER(Flights!$F$16)),ISNA(MATCH(BU382,{"mh","rev","revision","ver","version","v","r","a","b","seat","tray","row","gate","bay","stand","page","pg","item","line","no","cart","galley","flight","flt","table","box","bag","oven","etd","eta","std","sta","atd","ata","qty","pax","x","time","tel","ph","mob","day","wk","week","utc","gmt","myt","lt"},0)),NOT(OR(ISNUMBER(MATCH(LEFT(BN382,255),{"0000a","000a","00a","0000aa","000aa","00aa","0aa","0000aaa","000aaa","00a00","0a00","0000-0000","00:00","a00","a0","00.00.0000","00/00/0000","00-00-0000","0000-00-00","0000/00/00","0000.00.00","00.00.00","00/00/00","00-00-00","0.00.0000","0/00/0000","0-00-0000"},0)),ISNUMBER(MATCH(LEFT(BT382,255),{"0000a","000a","00a","0000aa","000aa","00aa","0aa","0000aaa","000aaa","00a00","0a00","0000-0000","00:00","a00","a0","00.00.0000","00/00/0000","00-00-0000","0000-00-00","0000/00/00","0000.00.00","00.00.00","00/00/00","00-00-00","0.00.0000","0/00/0000","0-00-0000"},0)))),NOT(OR(AND(BW382&lt;&gt;"",SUBSTITUTE(BW382,"0","")=""),AND(LEN(BW382)&gt;=4,BW382=REPT(LEFT(BW382),LEN(BW382))),ISNUMBER(MATCH(BW382,{"123","1234","12345","123456","1234567","12345678","0123","01234","012345","98765","987654","54321"},0)),ISNUMBER(MATCH(BX382,{"x","xx","xxx","xxxx","xxxxx","abc","abcd","nil","na","nan","test","tbc","tba","tbd","dummy","sample","example","eg","zz","zzz","none","null","xyz","qwe","asd","id","ref"},0)),AND(LEN(BW382)=8,BX382="",OR(LEFT(BW382,3)="202",ISNUMBER(MATCH(RIGHT(BW382,4),{"2025","2026","2027"},0)))))),OR(AND((LEN(BT382)-LEN(SUBSTITUTE(BT382,"a","")))&gt;=1,(LEN(BN382)-LEN(SUBSTITUTE(BN382,"0","")))&gt;=2,SUMPRODUCT(--ISNUMBER(SEARCH({"a0","a-0","a_0","a/0","a.0","a#0","0a","0-a","0_a","0/a"},BN382)))&gt;0),AND((LEN(BN382)-LEN(SUBSTITUTE(BN382,"a","")))=0,(LEN(BN382)-LEN(SUBSTITUTE(BN382,"0","")))&gt;=5)))),1,0),0)</f>
        <v>0</v>
      </c>
      <c r="CA3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382,"revision",""),"version",""),"jan",""),"feb",""),"mar",""),"apr",""),"may",""),"jun",""),"jul",""),"aug",""),"sep",""),"oct",""),"nov",""),"dec",""),"utc",""),"gmt",""),"myt",""),"bst",""),"rev",""),"ver",""),"b","a"),"c","a"),"d","a"),"e","a"),"f","a"),"g","a"),"h","a"),"i","a"),"j","a"),"k","a"),"l","a"),"m","a"),"n","a"),"o","a"),"p","a"),"q","a"),"r","a"),"s","a"),"t","a"),"u","a"),"v","a"),"w","a"),"x","a"),"y","a"),"z","a")</f>
        <v/>
      </c>
      <c r="CB3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382&amp;""),"a",""),"b",""),"c",""),"d",""),"e",""),"f",""),"g",""),"h",""),"i",""),"j",""),"k",""),"l",""),"m",""),"n",""),"o",""),"p",""),"q",""),"r",""),"s",""),"t",""),"u",""),"v",""),"w",""),"x",""),"y",""),"z",""),"-",""),"_",""),"/",""),".",""),"#",""),"\\",""),":","")," ",""),"(",""),")","")</f>
        <v/>
      </c>
      <c r="CC382" s="0" t="str">
        <f aca="false">" "&amp;TRIM(SUBSTITUTE(SUBSTITUTE(SUBSTITUTE(SUBSTITUTE(SUBSTITUTE(SUBSTITUTE(SUBSTITUTE(SUBSTITUTE(SUBSTITUTE(SUBSTITUTE(SUBSTITUTE(SUBSTITUTE(SUBSTITUTE(SUBSTITUTE(SUBSTITUTE(SUBSTITUTE(SUBSTITUTE(SUBSTITUTE(SUBSTITUTE(SUBSTITUTE(SUBSTITUTE(SUBSTITUTE(SUBSTITUTE(SUBSTITUTE(LOWER(T382&amp;""),CHAR(10)," "),CHAR(13)," "),CHAR(9)," "),CHAR(160)," "),"."," "),","," "),"-"," "),"/"," "),"("," "),")"," "),":"," "),";"," "),"_"," "),"–"," "),"?"," "),"!"," "),"*"," "),"["," "),"]"," "),"'"," "),"#"," "),"+"," "),"&amp;"," "),"\"," "))&amp;" "</f>
        <v>  </v>
      </c>
      <c r="CD382" s="0" t="str">
        <f aca="false">" "&amp;TRIM(SUBSTITUTE(SUBSTITUTE(SUBSTITUTE(SUBSTITUTE(SUBSTITUTE(SUBSTITUTE(SUBSTITUTE(SUBSTITUTE(SUBSTITUTE(SUBSTITUTE(SUBSTITUTE(SUBSTITUTE(SUBSTITUTE(SUBSTITUTE(SUBSTITUTE(SUBSTITUTE(SUBSTITUTE(SUBSTITUTE(SUBSTITUTE(SUBSTITUTE(SUBSTITUTE(SUBSTITUTE(SUBSTITUTE(SUBSTITUTE(LOWER(AE382&amp;""),CHAR(10)," "),CHAR(13)," "),CHAR(9)," "),CHAR(160)," "),"."," "),","," "),"-"," "),"/"," "),"("," "),")"," "),":"," "),";"," "),"_"," "),"–"," "),"?"," "),"!"," "),"*"," "),"["," "),"]"," "),"'"," "),"#"," "),"+"," "),"&amp;"," "),"\"," "))&amp;" "</f>
        <v>  </v>
      </c>
      <c r="CE382" s="68" t="n">
        <f aca="false">IFERROR(IF(AND(LEN(AU382)&gt;0,LEN(AU382)=LEN(AX382),OR(TRIM(MID(SUBSTITUTE(TRIM(CC382)," ",REPT(" ",60)),1,60))="",ISNUMBER(SEARCH(" "&amp;TRIM(MID(SUBSTITUTE(TRIM(CC382)," ",REPT(" ",60)),1,60))&amp;" ",CD382))),OR(TRIM(MID(SUBSTITUTE(TRIM(CC382)," ",REPT(" ",60)),61,60))="",ISNUMBER(SEARCH(" "&amp;TRIM(MID(SUBSTITUTE(TRIM(CC382)," ",REPT(" ",60)),61,60))&amp;" ",CD382))),OR(TRIM(MID(SUBSTITUTE(TRIM(CC382)," ",REPT(" ",60)),121,60))="",ISNUMBER(SEARCH(" "&amp;TRIM(MID(SUBSTITUTE(TRIM(CC382)," ",REPT(" ",60)),121,60))&amp;" ",CD382)))),1,0),0)</f>
        <v>0</v>
      </c>
      <c r="CG382" s="68" t="n">
        <f aca="false">IFERROR(LEN(SUBSTITUTE(BF382," ",""))-SUMPRODUCT((LEN(BF382)-LEN(SUBSTITUTE(BF382," "&amp;L_NAFiller&amp;" "," ")))/(LEN(L_NAFiller)+1)*LEN(L_NAFiller)),0)</f>
        <v>0</v>
      </c>
    </row>
    <row r="383" customFormat="false" ht="39.75" hidden="false" customHeight="true" outlineLevel="0" collapsed="false">
      <c r="A383" s="57" t="s">
        <v>996</v>
      </c>
      <c r="B383" s="57" t="s">
        <v>261</v>
      </c>
      <c r="C383" s="57" t="str">
        <f aca="false">Flights!$F$16</f>
        <v>MH0139</v>
      </c>
      <c r="D383" s="58" t="n">
        <f aca="false">Flights!$D$16</f>
        <v>46307</v>
      </c>
      <c r="E383" s="57" t="str">
        <f aca="false">Flights!$G$16&amp;"-"&amp;Flights!$H$16</f>
        <v>KUL-ADL</v>
      </c>
      <c r="F383" s="57" t="str">
        <f aca="false">Flights!$K$16</f>
        <v>BC</v>
      </c>
      <c r="G383" s="57" t="s">
        <v>81</v>
      </c>
      <c r="H383" s="57" t="s">
        <v>378</v>
      </c>
      <c r="I383" s="57" t="s">
        <v>394</v>
      </c>
      <c r="J383" s="57" t="s">
        <v>395</v>
      </c>
      <c r="K383" s="67" t="s">
        <v>396</v>
      </c>
      <c r="L383" s="67" t="s">
        <v>382</v>
      </c>
      <c r="M383" s="67"/>
      <c r="N383" s="67" t="s">
        <v>383</v>
      </c>
      <c r="O383" s="67"/>
      <c r="P383" s="57" t="s">
        <v>187</v>
      </c>
      <c r="Q383" s="59" t="n">
        <f aca="false">ROUND((Flights!$AC$16)*1440,0)/1440</f>
        <v>46300.6006944444</v>
      </c>
      <c r="R383" s="59" t="n">
        <f aca="false">Q383+(IF(AND(INDEX(TZ_DSTS,MATCH(P383,TZ_STN,0))&lt;&gt;"",Q383&gt;=INDEX(TZ_DSTS,MATCH(P383,TZ_STN,0)),Q383&lt;INDEX(TZ_DSTE,MATCH(P383,TZ_STN,0))),INDEX(TZ_DST,MATCH(P383,TZ_STN,0)),INDEX(TZ_STD,MATCH(P383,TZ_STN,0))))/24</f>
        <v>46300.9340277778</v>
      </c>
      <c r="S383" s="60"/>
      <c r="T383" s="60"/>
      <c r="U383" s="60"/>
      <c r="V383" s="60"/>
      <c r="W383" s="61"/>
      <c r="X383" s="60"/>
      <c r="Y383" s="60"/>
      <c r="Z383" s="60"/>
      <c r="AA383" s="60"/>
      <c r="AB383" s="60"/>
      <c r="AC383" s="60"/>
      <c r="AD383" s="66"/>
      <c r="AE383" s="60"/>
      <c r="AF383" s="61" t="str">
        <f aca="false">IF(AND(ISNUMBER(X383),ISNUMBER(Y383)),Y383-X383,"")</f>
        <v/>
      </c>
      <c r="AG383" s="62" t="str">
        <f aca="false">IF(ISNUMBER(AD383),AD383-(IF(AND(INDEX(TZ_DSTS,MATCH(P383,TZ_STN,0))&lt;&gt;"",(AD383-INDEX(TZ_STD,MATCH(P383,TZ_STN,0))/24)&gt;=INDEX(TZ_DSTS,MATCH(P383,TZ_STN,0)),(AD383-INDEX(TZ_STD,MATCH(P383,TZ_STN,0))/24)&lt;INDEX(TZ_DSTE,MATCH(P383,TZ_STN,0))),INDEX(TZ_DST,MATCH(P383,TZ_STN,0)),INDEX(TZ_STD,MATCH(P383,TZ_STN,0))))/24,"")</f>
        <v/>
      </c>
      <c r="AH383" s="65" t="str">
        <f aca="false">IFERROR(IF(N383="N/A – rule",IF(OR(TRIM(U383)="",TRIM(U383)="N/A",TRIM(U383)="Not started"),"N/A – RULE","INVALID – this check does not apply to this aircraft: clear the status (or correct the fleet on Flights)"),IF(TRIM(U383)="N/A",IF(AT383=0,"INVALID – N/A not permitted for this check",IF(AND(TRIM(AB383)&lt;&gt;"",TRIM(AB383)&lt;&gt;"Closed"),"INVALID – corrective action still open",IF(AND(NOT(OR(LEN(AZ383)&lt;15,ISNUMBER(MATCH(AZ383,L_Placeholder,0)))),BK383=0,CG383&gt;=8,NOT(OR(LEN(AU383)&lt;2,ISNUMBER(MATCH(AU383,L_Placeholder,0)))),BR383&gt;=3,NOT(OR(LEN(AX383)&lt;2,ISNUMBER(MATCH(AX383,L_Placeholder,0)))),BS383&gt;=3,TRIM(AE383)&lt;&gt;TRIM(T383),AX383&lt;&gt;AU383,CE383=0),"N/A – JUSTIFIED","INVALID – N/A needs a real, settled reason (not 'not applicable' / 'as above' / TBC), a named PIC and a different named verifier"))),IF(OR(TRIM(U383)="Pass",TRIM(U383)="Pass after CA"),IF(NOT(ISNUMBER(AD383)),"INVALID – completion time missing",IF(OR(OR(LEN(AU383)&lt;2,ISNUMBER(MATCH(AU383,L_Placeholder,0))),BR383&lt;3),"INVALID – PIC missing or not a named person (a role such as QA / CSM is not a name)",IF(OR(LEN(AV383)&lt;2,ISNUMBER(MATCH(AV383,L_Placeholder,0))),"INVALID – result / assessment missing",IF(OR(OR(LEN(AW383)&lt;3,ISNUMBER(MATCH(AW383,L_Placeholder,0))),SUMPRODUCT(--ISNUMBER(SEARCH(" "&amp;L_EvidencePhrase&amp;" ",BD383)))&gt;0,BI383=1),"INVALID – evidence missing, placeholder or not yet on file",IF(ISNA(MATCH(TRIM(S383),L_EvidenceType,0)),"INVALID – choose the evidence type from the list (column S)",IF(BL383=0,"INVALID – evidence ID must be the record's own ID only (e.g. SF-2210, IMG_2231, 1045521); a link / file name needs type 'Link / file path'",IF(OR(OR(LEN(AX383)&lt;2,ISNUMBER(MATCH(AX383,L_Placeholder,0))),BS383&lt;3),"INVALID – verifier missing or not a named person (a role such as QA / CSM is not a name)",IF(OR(AX383=AU383,CE383=1,AND(LEN(AU383)&gt;=4,ISNUMBER(SEARCH(AU383,AX383))),AND(LEN(AX383)&gt;=4,ISNUMBER(SEARCH(AX383,AU383)))),"INVALID – verifier must be a different, named person (not the PIC or a role)",IF(BH383=1,"INVALID – result not yet available (awaiting / TBC)",IF(BG383=1,"INVALID – result describes a problem: record Fail, then Pass after CA (or reword if it is not a problem)",IF(BV383=1,"INVALID – wording says not on board: an on-board confirmation needs the item loaded",IF(AND(AQ383=1,OR(OR(LEN(AY383)&lt;3,ISNUMBER(MATCH(AY383,L_Placeholder,0))),BJ383=1,BQ383=0)),"INVALID – batch ID missing, placeholder or not an ID (e.g. PASB-261008-BC-017)",IF(AND(AR383=1,OR(NOT(ISNUMBER(X383)),NOT(ISNUMBER(Y383)))),"INVALID – expected/actual qty missing",IF(AND(AR383=1,OR(X383&lt;=0,Y383&lt;0)),"INVALID – expected qty must be above 0 and actual not negative",IF(BB383&lt;&gt;"",BB383,IF(AND(AS383=1,Documents!$J$16&lt;&gt;"ON FILE"),"INVALID – GLD not on file (Documents sheet)",IF(AND(AS383=2,Documents!$O$16&lt;&gt;"ON FILE"),"INVALID – menu checklist not on file (Documents sheet)",IF(AND(AS383=3,NOT(ISNUMBER(Flights!$AX$16))),"INVALID – enter carrying flight KUL departure (Flights AX)",IF(AND(AS383=3,OR(Flights!$AZ$16&gt;Flights!$AA$16,Flights!$AX$16&lt;Flights!$AA$16-3)),"INVALID – carrying flight (Flights AX) cannot arrive before this leg's STD, or is over 3 days early",IF(AG383&gt;AsOfUTC,"INVALID – completion time is in the future",IF(AND(ISNUMBER(BY383),AG383&lt;BY383),IF(H383="Physical uplift","INVALID – before uplift window (cannot confirm loading)","INVALID – before valid window"),IF(AG383&gt;Flights!$AA$16,"INVALID – completed after departure (cannot establish readiness)",IF(AND(H383="Preparation",AG383&gt;=IF(ISNUMBER(Flights!$BA$16),MIN(Flights!$BA$16,Flights!$AA$16),Flights!$AA$16)),"INVALID – completed after loading / departure (cannot establish readiness)",IF(AND(H383="Physical uplift",AG383&gt;Q383),"INVALID – recorded after the loading flight departed",IF(AG383&gt;Q383,"COMPLETE – LATE","COMPLETE"))))))))))))))))))))))))),IF(TRIM(U383)="Fail","FAIL – DISCREPANCY",IF(AND(TRIM(U383)&lt;&gt;"",TRIM(U383)&lt;&gt;"Not started",TRIM(U383)&lt;&gt;"In progress"),"INVALID – unrecognised status (use the list)",IF(AsOfUTC&gt;Q383,"OVERDUE",IF(N383="Clarification required","OPEN – CLARIFICATION","OPEN"))))))),"INVALID – error value in an input cell")</f>
        <v>OPEN</v>
      </c>
      <c r="AI383" s="61" t="n">
        <f aca="false">IF(OR(AH383="N/A – RULE",AH383="N/A – JUSTIFIED"),0,1)</f>
        <v>1</v>
      </c>
      <c r="AJ383" s="61" t="n">
        <f aca="false">IF(LEFT(AH383,8)="COMPLETE",1,0)</f>
        <v>0</v>
      </c>
      <c r="AK383" s="61" t="n">
        <f aca="false">IF(AND(AI383=1,AJ383=0,AsOfUTC&gt;Q383),1,0)</f>
        <v>0</v>
      </c>
      <c r="AL383" s="61" t="n">
        <f aca="false">IFERROR(IF(AND(AI383=1,OR(TRIM(U383)="Fail",AND(TRIM(AB383)&lt;&gt;"",TRIM(AB383)&lt;&gt;"Closed"),AND(ISNUMBER(AF383),AF383&lt;&gt;0,TRIM(U383)&lt;&gt;"Pass after CA"))),1,0),1)</f>
        <v>0</v>
      </c>
      <c r="AM383" s="61" t="n">
        <f aca="false">IF(LEFT(AH383,7)="INVALID",1,0)</f>
        <v>0</v>
      </c>
      <c r="AN383" s="61" t="n">
        <f aca="false">IF(AND(N383="Clarification required",AI383=1,AJ383=0),1,0)</f>
        <v>0</v>
      </c>
      <c r="AO383" s="61" t="str">
        <f aca="false">IF(AK383=1,SUM(AK$5:AK383),"")</f>
        <v/>
      </c>
      <c r="AP383" s="61" t="str">
        <f aca="false">IF(AL383=1,SUM(AL$5:AL383),"")</f>
        <v/>
      </c>
      <c r="AQ383" s="61" t="n">
        <v>0</v>
      </c>
      <c r="AR383" s="61" t="n">
        <v>0</v>
      </c>
      <c r="AS383" s="61" t="n">
        <v>0</v>
      </c>
      <c r="AT383" s="61" t="n">
        <v>0</v>
      </c>
      <c r="AU383" s="61" t="str">
        <f aca="false">SUBSTITUTE(SUBSTITUTE(SUBSTITUTE(SUBSTITUTE(SUBSTITUTE(SUBSTITUTE(SUBSTITUTE(SUBSTITUTE(SUBSTITUTE(SUBSTITUTE(SUBSTITUTE(SUBSTITUTE(SUBSTITUTE(SUBSTITUTE(SUBSTITUTE(SUBSTITUTE(LOWER(T383&amp;""),CHAR(10),""),CHAR(13),""),CHAR(9),""),CHAR(160),"")," ",""),".",""),"-",""),"/",""),"?",""),"_",""),",",""),"[",""),"]",""),"(",""),")",""),"*","")</f>
        <v/>
      </c>
      <c r="AV383" s="61" t="str">
        <f aca="false">SUBSTITUTE(SUBSTITUTE(SUBSTITUTE(SUBSTITUTE(SUBSTITUTE(SUBSTITUTE(SUBSTITUTE(SUBSTITUTE(SUBSTITUTE(SUBSTITUTE(SUBSTITUTE(SUBSTITUTE(SUBSTITUTE(SUBSTITUTE(SUBSTITUTE(SUBSTITUTE(LOWER(V383&amp;""),CHAR(10),""),CHAR(13),""),CHAR(9),""),CHAR(160),"")," ",""),".",""),"-",""),"/",""),"?",""),"_",""),",",""),"[",""),"]",""),"(",""),")",""),"*","")</f>
        <v/>
      </c>
      <c r="AW383" s="61" t="str">
        <f aca="false">SUBSTITUTE(SUBSTITUTE(SUBSTITUTE(SUBSTITUTE(SUBSTITUTE(SUBSTITUTE(SUBSTITUTE(SUBSTITUTE(SUBSTITUTE(SUBSTITUTE(SUBSTITUTE(SUBSTITUTE(SUBSTITUTE(SUBSTITUTE(SUBSTITUTE(SUBSTITUTE(LOWER(Z383&amp;""),CHAR(10),""),CHAR(13),""),CHAR(9),""),CHAR(160),"")," ",""),".",""),"-",""),"/",""),"?",""),"_",""),",",""),"[",""),"]",""),"(",""),")",""),"*","")</f>
        <v/>
      </c>
      <c r="AX383" s="61" t="str">
        <f aca="false">SUBSTITUTE(SUBSTITUTE(SUBSTITUTE(SUBSTITUTE(SUBSTITUTE(SUBSTITUTE(SUBSTITUTE(SUBSTITUTE(SUBSTITUTE(SUBSTITUTE(SUBSTITUTE(SUBSTITUTE(SUBSTITUTE(SUBSTITUTE(SUBSTITUTE(SUBSTITUTE(LOWER(AE383&amp;""),CHAR(10),""),CHAR(13),""),CHAR(9),""),CHAR(160),"")," ",""),".",""),"-",""),"/",""),"?",""),"_",""),",",""),"[",""),"]",""),"(",""),")",""),"*","")</f>
        <v/>
      </c>
      <c r="AY383" s="61" t="str">
        <f aca="false">SUBSTITUTE(SUBSTITUTE(SUBSTITUTE(SUBSTITUTE(SUBSTITUTE(SUBSTITUTE(SUBSTITUTE(SUBSTITUTE(SUBSTITUTE(SUBSTITUTE(SUBSTITUTE(SUBSTITUTE(SUBSTITUTE(SUBSTITUTE(SUBSTITUTE(SUBSTITUTE(LOWER(W383&amp;""),CHAR(10),""),CHAR(13),""),CHAR(9),""),CHAR(160),"")," ",""),".",""),"-",""),"/",""),"?",""),"_",""),",",""),"[",""),"]",""),"(",""),")",""),"*","")</f>
        <v/>
      </c>
      <c r="AZ383" s="61" t="str">
        <f aca="false">SUBSTITUTE(SUBSTITUTE(SUBSTITUTE(SUBSTITUTE(SUBSTITUTE(SUBSTITUTE(SUBSTITUTE(SUBSTITUTE(SUBSTITUTE(SUBSTITUTE(SUBSTITUTE(SUBSTITUTE(SUBSTITUTE(SUBSTITUTE(SUBSTITUTE(SUBSTITUTE(LOWER(AC383&amp;""),CHAR(10),""),CHAR(13),""),CHAR(9),""),CHAR(160),"")," ",""),".",""),"-",""),"/",""),"?",""),"_",""),",",""),"[",""),"]",""),"(",""),")",""),"*","")</f>
        <v/>
      </c>
      <c r="BA383" s="61" t="str">
        <f aca="false">SUBSTITUTE(SUBSTITUTE(SUBSTITUTE(SUBSTITUTE(SUBSTITUTE(SUBSTITUTE(SUBSTITUTE(SUBSTITUTE(SUBSTITUTE(SUBSTITUTE(SUBSTITUTE(SUBSTITUTE(SUBSTITUTE(SUBSTITUTE(SUBSTITUTE(SUBSTITUTE(LOWER(AA383&amp;""),CHAR(10),""),CHAR(13),""),CHAR(9),""),CHAR(160),"")," ",""),".",""),"-",""),"/",""),"?",""),"_",""),",",""),"[",""),"]",""),"(",""),")",""),"*","")</f>
        <v/>
      </c>
      <c r="BB383" s="61" t="str">
        <f aca="false">IF(AND(TRIM(U383)="Pass",ISNUMBER(AF383)),IF(AF383&lt;&gt;0,"INVALID – qty variance: use Fail or Pass after CA",""),"")&amp;IF(AND(TRIM(U383)="Pass after CA",ISNUMBER(AF383)),IF(AF383&lt;&gt;0,"INVALID – after the corrective action the actual qty must equal expected (update Actual)",""),"")&amp;IF(AND(TRIM(U383)="Pass",TRIM(AB383)&lt;&gt;"",TRIM(AB383)&lt;&gt;"Closed"),"INVALID – corrective action not closed: use Fail, then Pass after CA","")&amp;IF(AND(LEN(BA383)&gt;=2,ISNA(MATCH(LEFT(BA383,255),L_Placeholder,0)),TRIM(AB383)=""),"INVALID – CA status missing for the recorded corrective action","")&amp;IF(AND(TRIM(U383)="Pass after CA",OR(OR(LEN(BA383)&lt;5,ISNUMBER(MATCH(BA383,L_Placeholder,0))),TRIM(AB383)&lt;&gt;"Closed")),"INVALID – corrective action not recorded/closed","")</f>
        <v/>
      </c>
      <c r="BC383" s="61" t="str">
        <f aca="false">" "&amp;TRIM(SUBSTITUTE(SUBSTITUTE(SUBSTITUTE(SUBSTITUTE(SUBSTITUTE(SUBSTITUTE(SUBSTITUTE(SUBSTITUTE(SUBSTITUTE(SUBSTITUTE(SUBSTITUTE(SUBSTITUTE(SUBSTITUTE(SUBSTITUTE(SUBSTITUTE(SUBSTITUTE(SUBSTITUTE(SUBSTITUTE(SUBSTITUTE(SUBSTITUTE(SUBSTITUTE(SUBSTITUTE(SUBSTITUTE(SUBSTITUTE(LOWER(V383&amp;""),CHAR(10)," "),CHAR(13)," "),CHAR(9)," "),CHAR(160)," "),"."," "),","," "),"-"," "),"/"," "),"("," "),")"," "),":"," "),";"," "),"_"," "),"–"," "),"?"," "),"!"," "),"*"," "),"["," "),"]"," "),"'"," "),"#"," "),"+"," "),"&amp;"," "),"\"," "))&amp;" "</f>
        <v>  </v>
      </c>
      <c r="BD383" s="61" t="str">
        <f aca="false">" "&amp;TRIM(SUBSTITUTE(SUBSTITUTE(SUBSTITUTE(SUBSTITUTE(SUBSTITUTE(SUBSTITUTE(SUBSTITUTE(SUBSTITUTE(SUBSTITUTE(SUBSTITUTE(SUBSTITUTE(SUBSTITUTE(SUBSTITUTE(SUBSTITUTE(SUBSTITUTE(SUBSTITUTE(SUBSTITUTE(SUBSTITUTE(SUBSTITUTE(SUBSTITUTE(SUBSTITUTE(SUBSTITUTE(SUBSTITUTE(SUBSTITUTE(LOWER(Z383&amp;""),CHAR(10)," "),CHAR(13)," "),CHAR(9)," "),CHAR(160)," "),"."," "),","," "),"-"," "),"/"," "),"("," "),")"," "),":"," "),";"," "),"_"," "),"–"," "),"?"," "),"!"," "),"*"," "),"["," "),"]"," "),"'"," "),"#"," "),"+"," "),"&amp;"," "),"\"," "))&amp;" "</f>
        <v>  </v>
      </c>
      <c r="BE383" s="61" t="str">
        <f aca="false">" "&amp;TRIM(SUBSTITUTE(SUBSTITUTE(SUBSTITUTE(SUBSTITUTE(SUBSTITUTE(SUBSTITUTE(SUBSTITUTE(SUBSTITUTE(SUBSTITUTE(SUBSTITUTE(SUBSTITUTE(SUBSTITUTE(SUBSTITUTE(SUBSTITUTE(SUBSTITUTE(SUBSTITUTE(SUBSTITUTE(SUBSTITUTE(SUBSTITUTE(SUBSTITUTE(SUBSTITUTE(SUBSTITUTE(SUBSTITUTE(SUBSTITUTE(LOWER(W383&amp;""),CHAR(10)," "),CHAR(13)," "),CHAR(9)," "),CHAR(160)," "),"."," "),","," "),"-"," "),"/"," "),"("," "),")"," "),":"," "),";"," "),"_"," "),"–"," "),"?"," "),"!"," "),"*"," "),"["," "),"]"," "),"'"," "),"#"," "),"+"," "),"&amp;"," "),"\"," "))&amp;" "</f>
        <v>  </v>
      </c>
      <c r="BF383" s="61" t="str">
        <f aca="false">" "&amp;TRIM(SUBSTITUTE(SUBSTITUTE(SUBSTITUTE(SUBSTITUTE(SUBSTITUTE(SUBSTITUTE(SUBSTITUTE(SUBSTITUTE(SUBSTITUTE(SUBSTITUTE(SUBSTITUTE(SUBSTITUTE(SUBSTITUTE(SUBSTITUTE(SUBSTITUTE(SUBSTITUTE(SUBSTITUTE(SUBSTITUTE(SUBSTITUTE(SUBSTITUTE(SUBSTITUTE(SUBSTITUTE(SUBSTITUTE(SUBSTITUTE(LOWER(AC383&amp;""),CHAR(10)," "),CHAR(13)," "),CHAR(9)," "),CHAR(160)," "),"."," "),","," "),"-"," "),"/"," "),"("," "),")"," "),":"," "),";"," "),"_"," "),"–"," "),"?"," "),"!"," "),"*"," "),"["," "),"]"," "),"'"," "),"#"," "),"+"," "),"&amp;"," "),"\"," "))&amp;" "</f>
        <v>  </v>
      </c>
      <c r="BG383" s="61" t="n">
        <f aca="false">IFERROR(IF(AND(TRIM(U383)="Pass",SUMPRODUCT((LEN(BC383)-LEN(SUBSTITUTE(BC383," "&amp;L_ResultBad&amp;" "," ")))/(LEN(L_ResultBad)+1))&gt;SUMPRODUCT((LEN(BC383)-LEN(SUBSTITUTE(BC383," "&amp;L_NegPhrase&amp;" "," ")))/(LEN(L_NegPhrase)+1))),1,0),0)</f>
        <v>0</v>
      </c>
      <c r="BH383" s="61" t="n">
        <f aca="false">IFERROR(IF(SUMPRODUCT((LEN(BC383)-LEN(SUBSTITUTE(BC383," "&amp;L_Pending&amp;" "," ")))/(LEN(L_Pending)+1))&gt;SUMPRODUCT((LEN(BC383)-LEN(SUBSTITUTE(BC383," "&amp;L_PendNeg&amp;" "," ")))/(LEN(L_PendNeg)+1))+SUMPRODUCT((LEN(BC383)-LEN(SUBSTITUTE(BC383," "&amp;L_PendPrep&amp;" "," ")))/(LEN(L_PendPrep)+1)),1,0),1)</f>
        <v>0</v>
      </c>
      <c r="BI383" s="61" t="n">
        <f aca="false">IFERROR(IF(SUMPRODUCT((LEN(BD383)-LEN(SUBSTITUTE(BD383," "&amp;L_PendStrict&amp;" "," ")))/(LEN(L_PendStrict)+1))&gt;SUMPRODUCT((LEN(BD383)-LEN(SUBSTITUTE(BD383," "&amp;L_PendNeg&amp;" "," ")))/(LEN(L_PendNeg)+1)),1,0),1)</f>
        <v>0</v>
      </c>
      <c r="BJ383" s="61" t="n">
        <f aca="false">IFERROR(IF(SUMPRODUCT((LEN(BE383)-LEN(SUBSTITUTE(BE383," "&amp;L_Pending&amp;" "," ")))/(LEN(L_Pending)+1))&gt;SUMPRODUCT((LEN(BE383)-LEN(SUBSTITUTE(BE383," "&amp;L_PendNeg&amp;" "," ")))/(LEN(L_PendNeg)+1))+SUMPRODUCT((LEN(BE383)-LEN(SUBSTITUTE(BE383," "&amp;L_PendPrep&amp;" "," ")))/(LEN(L_PendPrep)+1)),1,0),1)</f>
        <v>0</v>
      </c>
      <c r="BK383" s="61" t="n">
        <f aca="false">IFERROR(IF(SUMPRODUCT((LEN(BF383)-LEN(SUBSTITUTE(BF383," "&amp;L_PendStrict&amp;" "," ")))/(LEN(L_PendStrict)+1))&gt;SUMPRODUCT((LEN(BF383)-LEN(SUBSTITUTE(BF383," "&amp;L_PendNeg&amp;" "," ")))/(LEN(L_PendNeg)+1)),1,0),1)</f>
        <v>0</v>
      </c>
      <c r="BL383" s="61" t="n">
        <f aca="false">IF(ISNA(MATCH(TRIM(S383),L_EvidenceType,0)),0,BZ383)</f>
        <v>0</v>
      </c>
      <c r="BM383" s="61" t="str">
        <f aca="false">SUBSTITUTE(SUBSTITUTE(SUBSTITUTE(SUBSTITUTE(SUBSTITUTE(SUBSTITUTE(SUBSTITUTE(SUBSTITUTE(SUBSTITUTE(LOWER(Z383&amp;""),"1","0"),"2","0"),"3","0"),"4","0"),"5","0"),"6","0"),"7","0"),"8","0"),"9","0")</f>
        <v/>
      </c>
      <c r="BN383" s="61" t="str">
        <f aca="false">SUBSTITUTE(SUBSTITUTE(SUBSTITUTE(SUBSTITUTE(SUBSTITUTE(SUBSTITUTE(SUBSTITUTE(SUBSTITUTE(SUBSTITUTE(SUBSTITUTE(SUBSTITUTE(SUBSTITUTE(SUBSTITUTE(SUBSTITUTE(SUBSTITUTE(SUBSTITUTE(SUBSTITUTE(SUBSTITUTE(SUBSTITUTE(SUBSTITUTE(SUBSTITUTE(SUBSTITUTE(SUBSTITUTE(SUBSTITUTE(SUBSTITUTE(BM383,"b","a"),"c","a"),"d","a"),"e","a"),"f","a"),"g","a"),"h","a"),"i","a"),"j","a"),"k","a"),"l","a"),"m","a"),"n","a"),"o","a"),"p","a"),"q","a"),"r","a"),"s","a"),"t","a"),"u","a"),"v","a"),"w","a"),"x","a"),"y","a"),"z","a")</f>
        <v/>
      </c>
      <c r="BO383" s="61" t="str">
        <f aca="false">SUBSTITUTE(SUBSTITUTE(SUBSTITUTE(SUBSTITUTE(SUBSTITUTE(SUBSTITUTE(SUBSTITUTE(SUBSTITUTE(SUBSTITUTE(LOWER(W383&amp;""),"1","0"),"2","0"),"3","0"),"4","0"),"5","0"),"6","0"),"7","0"),"8","0"),"9","0")</f>
        <v/>
      </c>
      <c r="BP383" s="61" t="str">
        <f aca="false">SUBSTITUTE(SUBSTITUTE(SUBSTITUTE(SUBSTITUTE(SUBSTITUTE(SUBSTITUTE(SUBSTITUTE(SUBSTITUTE(SUBSTITUTE(SUBSTITUTE(SUBSTITUTE(SUBSTITUTE(SUBSTITUTE(SUBSTITUTE(SUBSTITUTE(SUBSTITUTE(SUBSTITUTE(SUBSTITUTE(SUBSTITUTE(SUBSTITUTE(SUBSTITUTE(SUBSTITUTE(SUBSTITUTE(SUBSTITUTE(SUBSTITUTE(BO383,"b","a"),"c","a"),"d","a"),"e","a"),"f","a"),"g","a"),"h","a"),"i","a"),"j","a"),"k","a"),"l","a"),"m","a"),"n","a"),"o","a"),"p","a"),"q","a"),"r","a"),"s","a"),"t","a"),"u","a"),"v","a"),"w","a"),"x","a"),"y","a"),"z","a")</f>
        <v/>
      </c>
      <c r="BQ383" s="61" t="n">
        <f aca="false">IFERROR(IF(AND(ISERROR(SEARCH(" mh"," "&amp;LOWER(W383))),ISNA(MATCH(LEFT(TRIM(BP383),255),{"0000a","000a","00a","0000aa","000aa","00aa","0aa","0000aaa","000aaa","00a00","0a00","0000-0000","00:00","a00","a0","00.00.0000","00/00/0000","00-00-0000","0000-00-00","0000/00/00","0000.00.00","00.00.00","00/00/00","00-00-00","0.00.0000","0/00/0000","0-00-0000"},0)),ISNA(MATCH(LEFT(TRIM(CA383),255),{"0000a","000a","00a","0000aa","000aa","00aa","0aa","0000aaa","000aaa","00a00","0a00","0000-0000","00:00","a00","a0","00.00.0000","00/00/0000","00-00-0000","0000-00-00","0000/00/00","0000.00.00","00.00.00","00/00/00","00-00-00","0.00.0000","0/00/0000","0-00-0000"},0)),LEN(CB383)&gt;=3,NOT(OR(SUBSTITUTE(CB383,"0","")="",AND(LEN(CB383)&gt;=4,CB383=REPT(LEFT(CB383),LEN(CB383))),ISNUMBER(MATCH(CB383,{"123","1234","12345","123456","1234567","12345678","0123","01234","012345","98765","987654","54321"},0)),AND(LEN(CB383)=8,LEFT(CB383,3)="202"))),OR(AND((LEN(CA383)-LEN(SUBSTITUTE(CA383,"a","")))&gt;=1,SUMPRODUCT(--ISNUMBER(SEARCH({"a0","a-0","a_0","a/0","a.0","a#0","0a","0-a","0_a","0/a"},BP383)))&gt;0),ISNUMBER(SEARCH("000000",BP383)))),1,0),0)</f>
        <v>0</v>
      </c>
      <c r="BR383" s="61" t="n">
        <f aca="false">IFERROR(LEN(SUBSTITUTE(CC383," ",""))-SUMPRODUCT((LEN(CC383)-LEN(SUBSTITUTE(CC383," "&amp;L_Role&amp;" "," ")))/(LEN(L_Role)+1)*LEN(L_Role)),0)</f>
        <v>0</v>
      </c>
      <c r="BS383" s="61" t="n">
        <f aca="false">IFERROR(LEN(SUBSTITUTE(CD383," ",""))-SUMPRODUCT((LEN(CD383)-LEN(SUBSTITUTE(CD383," "&amp;L_Role&amp;" "," ")))/(LEN(L_Role)+1)*LEN(L_Role)),0)</f>
        <v>0</v>
      </c>
      <c r="BT3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383,"revision",""),"version",""),"jan",""),"feb",""),"mar",""),"apr",""),"may",""),"jun",""),"jul",""),"aug",""),"sep",""),"oct",""),"nov",""),"dec",""),"utc",""),"gmt",""),"myt",""),"bst",""),"rev",""),"ver",""),"b","a"),"c","a"),"d","a"),"e","a"),"f","a"),"g","a"),"h","a"),"i","a"),"j","a"),"k","a"),"l","a"),"m","a"),"n","a"),"o","a"),"p","a"),"q","a"),"r","a"),"s","a"),"t","a"),"u","a"),"v","a"),"w","a"),"x","a"),"y","a"),"z","a")</f>
        <v/>
      </c>
      <c r="BU383" s="61" t="str">
        <f aca="false">SUBSTITUTE(SUBSTITUTE(SUBSTITUTE(SUBSTITUTE(SUBSTITUTE(SUBSTITUTE(SUBSTITUTE(SUBSTITUTE(SUBSTITUTE(SUBSTITUTE(LEFT(BM383,FIND("0",BM383&amp;"0")-1),"-",""),"_",""),"/",""),".",""),"#",""),"\\",""),":","")," ",""),"(",""),")","")</f>
        <v/>
      </c>
      <c r="BV383" s="61" t="n">
        <f aca="false">0</f>
        <v>0</v>
      </c>
      <c r="BW3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383&amp;""),"a",""),"b",""),"c",""),"d",""),"e",""),"f",""),"g",""),"h",""),"i",""),"j",""),"k",""),"l",""),"m",""),"n",""),"o",""),"p",""),"q",""),"r",""),"s",""),"t",""),"u",""),"v",""),"w",""),"x",""),"y",""),"z",""),"-",""),"_",""),"/",""),".",""),"#",""),"\\",""),":","")," ",""),"(",""),")","")</f>
        <v/>
      </c>
      <c r="BX383" s="61" t="str">
        <f aca="false">SUBSTITUTE(SUBSTITUTE(SUBSTITUTE(SUBSTITUTE(SUBSTITUTE(SUBSTITUTE(SUBSTITUTE(SUBSTITUTE(SUBSTITUTE(SUBSTITUTE(SUBSTITUTE(BM383,"0",""),"-",""),"_",""),"/",""),".",""),"#",""),"\\",""),":","")," ",""),"(",""),")","")</f>
        <v/>
      </c>
      <c r="BY383" s="62" t="n">
        <f aca="false">Q383-T7EarlyD*24/24</f>
        <v>46286.6006944444</v>
      </c>
      <c r="BZ383" s="61" t="n">
        <f aca="false">IFERROR(IF(IF(TRIM(S383)="Link / file path",AND(LEN(TRIM(Z383))&gt;=5,SUMPRODUCT(--ISNUMBER(SEARCH({"http","www.","\\",":\",".pdf",".jpg",".jpeg",".png",".heic",".xls",".doc",".msg",".eml",".ppt",".txt",".zip"},Z383)))&gt;0),AND(ISERROR(FIND(" ",TRIM(Z383))),NOT(OR(SUMPRODUCT(--ISNUMBER(FIND({",",";","&amp;","+"},Z383)))&gt;0,SUMPRODUCT(--ISNUMBER(SEARCH({"0/aa","0\\aa"},BN383)))&gt;0)),NOT(SUMPRODUCT(--ISNUMBER(SEARCH({"http","www.","\\",":\",".pdf",".jpg",".jpeg",".png",".heic",".xls",".doc",".msg",".eml",".ppt",".txt",".zip"},Z383)))&gt;0),NOT(LOWER(TRIM(Z383))=LOWER(Flights!$F$16)),ISNA(MATCH(BU383,{"mh","rev","revision","ver","version","v","r","a","b","seat","tray","row","gate","bay","stand","page","pg","item","line","no","cart","galley","flight","flt","table","box","bag","oven","etd","eta","std","sta","atd","ata","qty","pax","x","time","tel","ph","mob","day","wk","week","utc","gmt","myt","lt"},0)),NOT(OR(ISNUMBER(MATCH(LEFT(BN383,255),{"0000a","000a","00a","0000aa","000aa","00aa","0aa","0000aaa","000aaa","00a00","0a00","0000-0000","00:00","a00","a0","00.00.0000","00/00/0000","00-00-0000","0000-00-00","0000/00/00","0000.00.00","00.00.00","00/00/00","00-00-00","0.00.0000","0/00/0000","0-00-0000"},0)),ISNUMBER(MATCH(LEFT(BT383,255),{"0000a","000a","00a","0000aa","000aa","00aa","0aa","0000aaa","000aaa","00a00","0a00","0000-0000","00:00","a00","a0","00.00.0000","00/00/0000","00-00-0000","0000-00-00","0000/00/00","0000.00.00","00.00.00","00/00/00","00-00-00","0.00.0000","0/00/0000","0-00-0000"},0)))),NOT(OR(AND(BW383&lt;&gt;"",SUBSTITUTE(BW383,"0","")=""),AND(LEN(BW383)&gt;=4,BW383=REPT(LEFT(BW383),LEN(BW383))),ISNUMBER(MATCH(BW383,{"123","1234","12345","123456","1234567","12345678","0123","01234","012345","98765","987654","54321"},0)),ISNUMBER(MATCH(BX383,{"x","xx","xxx","xxxx","xxxxx","abc","abcd","nil","na","nan","test","tbc","tba","tbd","dummy","sample","example","eg","zz","zzz","none","null","xyz","qwe","asd","id","ref"},0)),AND(LEN(BW383)=8,BX383="",OR(LEFT(BW383,3)="202",ISNUMBER(MATCH(RIGHT(BW383,4),{"2025","2026","2027"},0)))))),OR(AND((LEN(BT383)-LEN(SUBSTITUTE(BT383,"a","")))&gt;=1,(LEN(BN383)-LEN(SUBSTITUTE(BN383,"0","")))&gt;=2,SUMPRODUCT(--ISNUMBER(SEARCH({"a0","a-0","a_0","a/0","a.0","a#0","0a","0-a","0_a","0/a"},BN383)))&gt;0),AND((LEN(BN383)-LEN(SUBSTITUTE(BN383,"a","")))=0,(LEN(BN383)-LEN(SUBSTITUTE(BN383,"0","")))&gt;=5)))),1,0),0)</f>
        <v>0</v>
      </c>
      <c r="CA3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383,"revision",""),"version",""),"jan",""),"feb",""),"mar",""),"apr",""),"may",""),"jun",""),"jul",""),"aug",""),"sep",""),"oct",""),"nov",""),"dec",""),"utc",""),"gmt",""),"myt",""),"bst",""),"rev",""),"ver",""),"b","a"),"c","a"),"d","a"),"e","a"),"f","a"),"g","a"),"h","a"),"i","a"),"j","a"),"k","a"),"l","a"),"m","a"),"n","a"),"o","a"),"p","a"),"q","a"),"r","a"),"s","a"),"t","a"),"u","a"),"v","a"),"w","a"),"x","a"),"y","a"),"z","a")</f>
        <v/>
      </c>
      <c r="CB3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383&amp;""),"a",""),"b",""),"c",""),"d",""),"e",""),"f",""),"g",""),"h",""),"i",""),"j",""),"k",""),"l",""),"m",""),"n",""),"o",""),"p",""),"q",""),"r",""),"s",""),"t",""),"u",""),"v",""),"w",""),"x",""),"y",""),"z",""),"-",""),"_",""),"/",""),".",""),"#",""),"\\",""),":","")," ",""),"(",""),")","")</f>
        <v/>
      </c>
      <c r="CC383" s="0" t="str">
        <f aca="false">" "&amp;TRIM(SUBSTITUTE(SUBSTITUTE(SUBSTITUTE(SUBSTITUTE(SUBSTITUTE(SUBSTITUTE(SUBSTITUTE(SUBSTITUTE(SUBSTITUTE(SUBSTITUTE(SUBSTITUTE(SUBSTITUTE(SUBSTITUTE(SUBSTITUTE(SUBSTITUTE(SUBSTITUTE(SUBSTITUTE(SUBSTITUTE(SUBSTITUTE(SUBSTITUTE(SUBSTITUTE(SUBSTITUTE(SUBSTITUTE(SUBSTITUTE(LOWER(T383&amp;""),CHAR(10)," "),CHAR(13)," "),CHAR(9)," "),CHAR(160)," "),"."," "),","," "),"-"," "),"/"," "),"("," "),")"," "),":"," "),";"," "),"_"," "),"–"," "),"?"," "),"!"," "),"*"," "),"["," "),"]"," "),"'"," "),"#"," "),"+"," "),"&amp;"," "),"\"," "))&amp;" "</f>
        <v>  </v>
      </c>
      <c r="CD383" s="0" t="str">
        <f aca="false">" "&amp;TRIM(SUBSTITUTE(SUBSTITUTE(SUBSTITUTE(SUBSTITUTE(SUBSTITUTE(SUBSTITUTE(SUBSTITUTE(SUBSTITUTE(SUBSTITUTE(SUBSTITUTE(SUBSTITUTE(SUBSTITUTE(SUBSTITUTE(SUBSTITUTE(SUBSTITUTE(SUBSTITUTE(SUBSTITUTE(SUBSTITUTE(SUBSTITUTE(SUBSTITUTE(SUBSTITUTE(SUBSTITUTE(SUBSTITUTE(SUBSTITUTE(LOWER(AE383&amp;""),CHAR(10)," "),CHAR(13)," "),CHAR(9)," "),CHAR(160)," "),"."," "),","," "),"-"," "),"/"," "),"("," "),")"," "),":"," "),";"," "),"_"," "),"–"," "),"?"," "),"!"," "),"*"," "),"["," "),"]"," "),"'"," "),"#"," "),"+"," "),"&amp;"," "),"\"," "))&amp;" "</f>
        <v>  </v>
      </c>
      <c r="CE383" s="68" t="n">
        <f aca="false">IFERROR(IF(AND(LEN(AU383)&gt;0,LEN(AU383)=LEN(AX383),OR(TRIM(MID(SUBSTITUTE(TRIM(CC383)," ",REPT(" ",60)),1,60))="",ISNUMBER(SEARCH(" "&amp;TRIM(MID(SUBSTITUTE(TRIM(CC383)," ",REPT(" ",60)),1,60))&amp;" ",CD383))),OR(TRIM(MID(SUBSTITUTE(TRIM(CC383)," ",REPT(" ",60)),61,60))="",ISNUMBER(SEARCH(" "&amp;TRIM(MID(SUBSTITUTE(TRIM(CC383)," ",REPT(" ",60)),61,60))&amp;" ",CD383))),OR(TRIM(MID(SUBSTITUTE(TRIM(CC383)," ",REPT(" ",60)),121,60))="",ISNUMBER(SEARCH(" "&amp;TRIM(MID(SUBSTITUTE(TRIM(CC383)," ",REPT(" ",60)),121,60))&amp;" ",CD383)))),1,0),0)</f>
        <v>0</v>
      </c>
      <c r="CG383" s="68" t="n">
        <f aca="false">IFERROR(LEN(SUBSTITUTE(BF383," ",""))-SUMPRODUCT((LEN(BF383)-LEN(SUBSTITUTE(BF383," "&amp;L_NAFiller&amp;" "," ")))/(LEN(L_NAFiller)+1)*LEN(L_NAFiller)),0)</f>
        <v>0</v>
      </c>
    </row>
    <row r="384" customFormat="false" ht="39.75" hidden="false" customHeight="true" outlineLevel="0" collapsed="false">
      <c r="A384" s="57" t="s">
        <v>997</v>
      </c>
      <c r="B384" s="57" t="s">
        <v>261</v>
      </c>
      <c r="C384" s="57" t="str">
        <f aca="false">Flights!$F$16</f>
        <v>MH0139</v>
      </c>
      <c r="D384" s="58" t="n">
        <f aca="false">Flights!$D$16</f>
        <v>46307</v>
      </c>
      <c r="E384" s="57" t="str">
        <f aca="false">Flights!$G$16&amp;"-"&amp;Flights!$H$16</f>
        <v>KUL-ADL</v>
      </c>
      <c r="F384" s="57" t="str">
        <f aca="false">Flights!$K$16</f>
        <v>BC</v>
      </c>
      <c r="G384" s="57" t="s">
        <v>81</v>
      </c>
      <c r="H384" s="57" t="s">
        <v>378</v>
      </c>
      <c r="I384" s="57" t="s">
        <v>398</v>
      </c>
      <c r="J384" s="57" t="s">
        <v>399</v>
      </c>
      <c r="K384" s="67" t="s">
        <v>400</v>
      </c>
      <c r="L384" s="67" t="s">
        <v>382</v>
      </c>
      <c r="M384" s="67"/>
      <c r="N384" s="67" t="s">
        <v>383</v>
      </c>
      <c r="O384" s="67"/>
      <c r="P384" s="57" t="s">
        <v>187</v>
      </c>
      <c r="Q384" s="59" t="n">
        <f aca="false">ROUND((Flights!$AC$16)*1440,0)/1440</f>
        <v>46300.6006944444</v>
      </c>
      <c r="R384" s="59" t="n">
        <f aca="false">Q384+(IF(AND(INDEX(TZ_DSTS,MATCH(P384,TZ_STN,0))&lt;&gt;"",Q384&gt;=INDEX(TZ_DSTS,MATCH(P384,TZ_STN,0)),Q384&lt;INDEX(TZ_DSTE,MATCH(P384,TZ_STN,0))),INDEX(TZ_DST,MATCH(P384,TZ_STN,0)),INDEX(TZ_STD,MATCH(P384,TZ_STN,0))))/24</f>
        <v>46300.9340277778</v>
      </c>
      <c r="S384" s="60"/>
      <c r="T384" s="60"/>
      <c r="U384" s="60"/>
      <c r="V384" s="60"/>
      <c r="W384" s="61"/>
      <c r="X384" s="60"/>
      <c r="Y384" s="60"/>
      <c r="Z384" s="60"/>
      <c r="AA384" s="60"/>
      <c r="AB384" s="60"/>
      <c r="AC384" s="60"/>
      <c r="AD384" s="66"/>
      <c r="AE384" s="60"/>
      <c r="AF384" s="61" t="str">
        <f aca="false">IF(AND(ISNUMBER(X384),ISNUMBER(Y384)),Y384-X384,"")</f>
        <v/>
      </c>
      <c r="AG384" s="62" t="str">
        <f aca="false">IF(ISNUMBER(AD384),AD384-(IF(AND(INDEX(TZ_DSTS,MATCH(P384,TZ_STN,0))&lt;&gt;"",(AD384-INDEX(TZ_STD,MATCH(P384,TZ_STN,0))/24)&gt;=INDEX(TZ_DSTS,MATCH(P384,TZ_STN,0)),(AD384-INDEX(TZ_STD,MATCH(P384,TZ_STN,0))/24)&lt;INDEX(TZ_DSTE,MATCH(P384,TZ_STN,0))),INDEX(TZ_DST,MATCH(P384,TZ_STN,0)),INDEX(TZ_STD,MATCH(P384,TZ_STN,0))))/24,"")</f>
        <v/>
      </c>
      <c r="AH384" s="65" t="str">
        <f aca="false">IFERROR(IF(N384="N/A – rule",IF(OR(TRIM(U384)="",TRIM(U384)="N/A",TRIM(U384)="Not started"),"N/A – RULE","INVALID – this check does not apply to this aircraft: clear the status (or correct the fleet on Flights)"),IF(TRIM(U384)="N/A",IF(AT384=0,"INVALID – N/A not permitted for this check",IF(AND(TRIM(AB384)&lt;&gt;"",TRIM(AB384)&lt;&gt;"Closed"),"INVALID – corrective action still open",IF(AND(NOT(OR(LEN(AZ384)&lt;15,ISNUMBER(MATCH(AZ384,L_Placeholder,0)))),BK384=0,CG384&gt;=8,NOT(OR(LEN(AU384)&lt;2,ISNUMBER(MATCH(AU384,L_Placeholder,0)))),BR384&gt;=3,NOT(OR(LEN(AX384)&lt;2,ISNUMBER(MATCH(AX384,L_Placeholder,0)))),BS384&gt;=3,TRIM(AE384)&lt;&gt;TRIM(T384),AX384&lt;&gt;AU384,CE384=0),"N/A – JUSTIFIED","INVALID – N/A needs a real, settled reason (not 'not applicable' / 'as above' / TBC), a named PIC and a different named verifier"))),IF(OR(TRIM(U384)="Pass",TRIM(U384)="Pass after CA"),IF(NOT(ISNUMBER(AD384)),"INVALID – completion time missing",IF(OR(OR(LEN(AU384)&lt;2,ISNUMBER(MATCH(AU384,L_Placeholder,0))),BR384&lt;3),"INVALID – PIC missing or not a named person (a role such as QA / CSM is not a name)",IF(OR(LEN(AV384)&lt;2,ISNUMBER(MATCH(AV384,L_Placeholder,0))),"INVALID – result / assessment missing",IF(OR(OR(LEN(AW384)&lt;3,ISNUMBER(MATCH(AW384,L_Placeholder,0))),SUMPRODUCT(--ISNUMBER(SEARCH(" "&amp;L_EvidencePhrase&amp;" ",BD384)))&gt;0,BI384=1),"INVALID – evidence missing, placeholder or not yet on file",IF(ISNA(MATCH(TRIM(S384),L_EvidenceType,0)),"INVALID – choose the evidence type from the list (column S)",IF(BL384=0,"INVALID – evidence ID must be the record's own ID only (e.g. SF-2210, IMG_2231, 1045521); a link / file name needs type 'Link / file path'",IF(OR(OR(LEN(AX384)&lt;2,ISNUMBER(MATCH(AX384,L_Placeholder,0))),BS384&lt;3),"INVALID – verifier missing or not a named person (a role such as QA / CSM is not a name)",IF(OR(AX384=AU384,CE384=1,AND(LEN(AU384)&gt;=4,ISNUMBER(SEARCH(AU384,AX384))),AND(LEN(AX384)&gt;=4,ISNUMBER(SEARCH(AX384,AU384)))),"INVALID – verifier must be a different, named person (not the PIC or a role)",IF(BH384=1,"INVALID – result not yet available (awaiting / TBC)",IF(BG384=1,"INVALID – result describes a problem: record Fail, then Pass after CA (or reword if it is not a problem)",IF(BV384=1,"INVALID – wording says not on board: an on-board confirmation needs the item loaded",IF(AND(AQ384=1,OR(OR(LEN(AY384)&lt;3,ISNUMBER(MATCH(AY384,L_Placeholder,0))),BJ384=1,BQ384=0)),"INVALID – batch ID missing, placeholder or not an ID (e.g. PASB-261008-BC-017)",IF(AND(AR384=1,OR(NOT(ISNUMBER(X384)),NOT(ISNUMBER(Y384)))),"INVALID – expected/actual qty missing",IF(AND(AR384=1,OR(X384&lt;=0,Y384&lt;0)),"INVALID – expected qty must be above 0 and actual not negative",IF(BB384&lt;&gt;"",BB384,IF(AND(AS384=1,Documents!$J$16&lt;&gt;"ON FILE"),"INVALID – GLD not on file (Documents sheet)",IF(AND(AS384=2,Documents!$O$16&lt;&gt;"ON FILE"),"INVALID – menu checklist not on file (Documents sheet)",IF(AND(AS384=3,NOT(ISNUMBER(Flights!$AX$16))),"INVALID – enter carrying flight KUL departure (Flights AX)",IF(AND(AS384=3,OR(Flights!$AZ$16&gt;Flights!$AA$16,Flights!$AX$16&lt;Flights!$AA$16-3)),"INVALID – carrying flight (Flights AX) cannot arrive before this leg's STD, or is over 3 days early",IF(AG384&gt;AsOfUTC,"INVALID – completion time is in the future",IF(AND(ISNUMBER(BY384),AG384&lt;BY384),IF(H384="Physical uplift","INVALID – before uplift window (cannot confirm loading)","INVALID – before valid window"),IF(AG384&gt;Flights!$AA$16,"INVALID – completed after departure (cannot establish readiness)",IF(AND(H384="Preparation",AG384&gt;=IF(ISNUMBER(Flights!$BA$16),MIN(Flights!$BA$16,Flights!$AA$16),Flights!$AA$16)),"INVALID – completed after loading / departure (cannot establish readiness)",IF(AND(H384="Physical uplift",AG384&gt;Q384),"INVALID – recorded after the loading flight departed",IF(AG384&gt;Q384,"COMPLETE – LATE","COMPLETE"))))))))))))))))))))))))),IF(TRIM(U384)="Fail","FAIL – DISCREPANCY",IF(AND(TRIM(U384)&lt;&gt;"",TRIM(U384)&lt;&gt;"Not started",TRIM(U384)&lt;&gt;"In progress"),"INVALID – unrecognised status (use the list)",IF(AsOfUTC&gt;Q384,"OVERDUE",IF(N384="Clarification required","OPEN – CLARIFICATION","OPEN"))))))),"INVALID – error value in an input cell")</f>
        <v>OPEN</v>
      </c>
      <c r="AI384" s="61" t="n">
        <f aca="false">IF(OR(AH384="N/A – RULE",AH384="N/A – JUSTIFIED"),0,1)</f>
        <v>1</v>
      </c>
      <c r="AJ384" s="61" t="n">
        <f aca="false">IF(LEFT(AH384,8)="COMPLETE",1,0)</f>
        <v>0</v>
      </c>
      <c r="AK384" s="61" t="n">
        <f aca="false">IF(AND(AI384=1,AJ384=0,AsOfUTC&gt;Q384),1,0)</f>
        <v>0</v>
      </c>
      <c r="AL384" s="61" t="n">
        <f aca="false">IFERROR(IF(AND(AI384=1,OR(TRIM(U384)="Fail",AND(TRIM(AB384)&lt;&gt;"",TRIM(AB384)&lt;&gt;"Closed"),AND(ISNUMBER(AF384),AF384&lt;&gt;0,TRIM(U384)&lt;&gt;"Pass after CA"))),1,0),1)</f>
        <v>0</v>
      </c>
      <c r="AM384" s="61" t="n">
        <f aca="false">IF(LEFT(AH384,7)="INVALID",1,0)</f>
        <v>0</v>
      </c>
      <c r="AN384" s="61" t="n">
        <f aca="false">IF(AND(N384="Clarification required",AI384=1,AJ384=0),1,0)</f>
        <v>0</v>
      </c>
      <c r="AO384" s="61" t="str">
        <f aca="false">IF(AK384=1,SUM(AK$5:AK384),"")</f>
        <v/>
      </c>
      <c r="AP384" s="61" t="str">
        <f aca="false">IF(AL384=1,SUM(AL$5:AL384),"")</f>
        <v/>
      </c>
      <c r="AQ384" s="61" t="n">
        <v>0</v>
      </c>
      <c r="AR384" s="61" t="n">
        <v>0</v>
      </c>
      <c r="AS384" s="61" t="n">
        <v>0</v>
      </c>
      <c r="AT384" s="61" t="n">
        <v>0</v>
      </c>
      <c r="AU384" s="61" t="str">
        <f aca="false">SUBSTITUTE(SUBSTITUTE(SUBSTITUTE(SUBSTITUTE(SUBSTITUTE(SUBSTITUTE(SUBSTITUTE(SUBSTITUTE(SUBSTITUTE(SUBSTITUTE(SUBSTITUTE(SUBSTITUTE(SUBSTITUTE(SUBSTITUTE(SUBSTITUTE(SUBSTITUTE(LOWER(T384&amp;""),CHAR(10),""),CHAR(13),""),CHAR(9),""),CHAR(160),"")," ",""),".",""),"-",""),"/",""),"?",""),"_",""),",",""),"[",""),"]",""),"(",""),")",""),"*","")</f>
        <v/>
      </c>
      <c r="AV384" s="61" t="str">
        <f aca="false">SUBSTITUTE(SUBSTITUTE(SUBSTITUTE(SUBSTITUTE(SUBSTITUTE(SUBSTITUTE(SUBSTITUTE(SUBSTITUTE(SUBSTITUTE(SUBSTITUTE(SUBSTITUTE(SUBSTITUTE(SUBSTITUTE(SUBSTITUTE(SUBSTITUTE(SUBSTITUTE(LOWER(V384&amp;""),CHAR(10),""),CHAR(13),""),CHAR(9),""),CHAR(160),"")," ",""),".",""),"-",""),"/",""),"?",""),"_",""),",",""),"[",""),"]",""),"(",""),")",""),"*","")</f>
        <v/>
      </c>
      <c r="AW384" s="61" t="str">
        <f aca="false">SUBSTITUTE(SUBSTITUTE(SUBSTITUTE(SUBSTITUTE(SUBSTITUTE(SUBSTITUTE(SUBSTITUTE(SUBSTITUTE(SUBSTITUTE(SUBSTITUTE(SUBSTITUTE(SUBSTITUTE(SUBSTITUTE(SUBSTITUTE(SUBSTITUTE(SUBSTITUTE(LOWER(Z384&amp;""),CHAR(10),""),CHAR(13),""),CHAR(9),""),CHAR(160),"")," ",""),".",""),"-",""),"/",""),"?",""),"_",""),",",""),"[",""),"]",""),"(",""),")",""),"*","")</f>
        <v/>
      </c>
      <c r="AX384" s="61" t="str">
        <f aca="false">SUBSTITUTE(SUBSTITUTE(SUBSTITUTE(SUBSTITUTE(SUBSTITUTE(SUBSTITUTE(SUBSTITUTE(SUBSTITUTE(SUBSTITUTE(SUBSTITUTE(SUBSTITUTE(SUBSTITUTE(SUBSTITUTE(SUBSTITUTE(SUBSTITUTE(SUBSTITUTE(LOWER(AE384&amp;""),CHAR(10),""),CHAR(13),""),CHAR(9),""),CHAR(160),"")," ",""),".",""),"-",""),"/",""),"?",""),"_",""),",",""),"[",""),"]",""),"(",""),")",""),"*","")</f>
        <v/>
      </c>
      <c r="AY384" s="61" t="str">
        <f aca="false">SUBSTITUTE(SUBSTITUTE(SUBSTITUTE(SUBSTITUTE(SUBSTITUTE(SUBSTITUTE(SUBSTITUTE(SUBSTITUTE(SUBSTITUTE(SUBSTITUTE(SUBSTITUTE(SUBSTITUTE(SUBSTITUTE(SUBSTITUTE(SUBSTITUTE(SUBSTITUTE(LOWER(W384&amp;""),CHAR(10),""),CHAR(13),""),CHAR(9),""),CHAR(160),"")," ",""),".",""),"-",""),"/",""),"?",""),"_",""),",",""),"[",""),"]",""),"(",""),")",""),"*","")</f>
        <v/>
      </c>
      <c r="AZ384" s="61" t="str">
        <f aca="false">SUBSTITUTE(SUBSTITUTE(SUBSTITUTE(SUBSTITUTE(SUBSTITUTE(SUBSTITUTE(SUBSTITUTE(SUBSTITUTE(SUBSTITUTE(SUBSTITUTE(SUBSTITUTE(SUBSTITUTE(SUBSTITUTE(SUBSTITUTE(SUBSTITUTE(SUBSTITUTE(LOWER(AC384&amp;""),CHAR(10),""),CHAR(13),""),CHAR(9),""),CHAR(160),"")," ",""),".",""),"-",""),"/",""),"?",""),"_",""),",",""),"[",""),"]",""),"(",""),")",""),"*","")</f>
        <v/>
      </c>
      <c r="BA384" s="61" t="str">
        <f aca="false">SUBSTITUTE(SUBSTITUTE(SUBSTITUTE(SUBSTITUTE(SUBSTITUTE(SUBSTITUTE(SUBSTITUTE(SUBSTITUTE(SUBSTITUTE(SUBSTITUTE(SUBSTITUTE(SUBSTITUTE(SUBSTITUTE(SUBSTITUTE(SUBSTITUTE(SUBSTITUTE(LOWER(AA384&amp;""),CHAR(10),""),CHAR(13),""),CHAR(9),""),CHAR(160),"")," ",""),".",""),"-",""),"/",""),"?",""),"_",""),",",""),"[",""),"]",""),"(",""),")",""),"*","")</f>
        <v/>
      </c>
      <c r="BB384" s="61" t="str">
        <f aca="false">IF(AND(TRIM(U384)="Pass",ISNUMBER(AF384)),IF(AF384&lt;&gt;0,"INVALID – qty variance: use Fail or Pass after CA",""),"")&amp;IF(AND(TRIM(U384)="Pass after CA",ISNUMBER(AF384)),IF(AF384&lt;&gt;0,"INVALID – after the corrective action the actual qty must equal expected (update Actual)",""),"")&amp;IF(AND(TRIM(U384)="Pass",TRIM(AB384)&lt;&gt;"",TRIM(AB384)&lt;&gt;"Closed"),"INVALID – corrective action not closed: use Fail, then Pass after CA","")&amp;IF(AND(LEN(BA384)&gt;=2,ISNA(MATCH(LEFT(BA384,255),L_Placeholder,0)),TRIM(AB384)=""),"INVALID – CA status missing for the recorded corrective action","")&amp;IF(AND(TRIM(U384)="Pass after CA",OR(OR(LEN(BA384)&lt;5,ISNUMBER(MATCH(BA384,L_Placeholder,0))),TRIM(AB384)&lt;&gt;"Closed")),"INVALID – corrective action not recorded/closed","")</f>
        <v/>
      </c>
      <c r="BC384" s="61" t="str">
        <f aca="false">" "&amp;TRIM(SUBSTITUTE(SUBSTITUTE(SUBSTITUTE(SUBSTITUTE(SUBSTITUTE(SUBSTITUTE(SUBSTITUTE(SUBSTITUTE(SUBSTITUTE(SUBSTITUTE(SUBSTITUTE(SUBSTITUTE(SUBSTITUTE(SUBSTITUTE(SUBSTITUTE(SUBSTITUTE(SUBSTITUTE(SUBSTITUTE(SUBSTITUTE(SUBSTITUTE(SUBSTITUTE(SUBSTITUTE(SUBSTITUTE(SUBSTITUTE(LOWER(V384&amp;""),CHAR(10)," "),CHAR(13)," "),CHAR(9)," "),CHAR(160)," "),"."," "),","," "),"-"," "),"/"," "),"("," "),")"," "),":"," "),";"," "),"_"," "),"–"," "),"?"," "),"!"," "),"*"," "),"["," "),"]"," "),"'"," "),"#"," "),"+"," "),"&amp;"," "),"\"," "))&amp;" "</f>
        <v>  </v>
      </c>
      <c r="BD384" s="61" t="str">
        <f aca="false">" "&amp;TRIM(SUBSTITUTE(SUBSTITUTE(SUBSTITUTE(SUBSTITUTE(SUBSTITUTE(SUBSTITUTE(SUBSTITUTE(SUBSTITUTE(SUBSTITUTE(SUBSTITUTE(SUBSTITUTE(SUBSTITUTE(SUBSTITUTE(SUBSTITUTE(SUBSTITUTE(SUBSTITUTE(SUBSTITUTE(SUBSTITUTE(SUBSTITUTE(SUBSTITUTE(SUBSTITUTE(SUBSTITUTE(SUBSTITUTE(SUBSTITUTE(LOWER(Z384&amp;""),CHAR(10)," "),CHAR(13)," "),CHAR(9)," "),CHAR(160)," "),"."," "),","," "),"-"," "),"/"," "),"("," "),")"," "),":"," "),";"," "),"_"," "),"–"," "),"?"," "),"!"," "),"*"," "),"["," "),"]"," "),"'"," "),"#"," "),"+"," "),"&amp;"," "),"\"," "))&amp;" "</f>
        <v>  </v>
      </c>
      <c r="BE384" s="61" t="str">
        <f aca="false">" "&amp;TRIM(SUBSTITUTE(SUBSTITUTE(SUBSTITUTE(SUBSTITUTE(SUBSTITUTE(SUBSTITUTE(SUBSTITUTE(SUBSTITUTE(SUBSTITUTE(SUBSTITUTE(SUBSTITUTE(SUBSTITUTE(SUBSTITUTE(SUBSTITUTE(SUBSTITUTE(SUBSTITUTE(SUBSTITUTE(SUBSTITUTE(SUBSTITUTE(SUBSTITUTE(SUBSTITUTE(SUBSTITUTE(SUBSTITUTE(SUBSTITUTE(LOWER(W384&amp;""),CHAR(10)," "),CHAR(13)," "),CHAR(9)," "),CHAR(160)," "),"."," "),","," "),"-"," "),"/"," "),"("," "),")"," "),":"," "),";"," "),"_"," "),"–"," "),"?"," "),"!"," "),"*"," "),"["," "),"]"," "),"'"," "),"#"," "),"+"," "),"&amp;"," "),"\"," "))&amp;" "</f>
        <v>  </v>
      </c>
      <c r="BF384" s="61" t="str">
        <f aca="false">" "&amp;TRIM(SUBSTITUTE(SUBSTITUTE(SUBSTITUTE(SUBSTITUTE(SUBSTITUTE(SUBSTITUTE(SUBSTITUTE(SUBSTITUTE(SUBSTITUTE(SUBSTITUTE(SUBSTITUTE(SUBSTITUTE(SUBSTITUTE(SUBSTITUTE(SUBSTITUTE(SUBSTITUTE(SUBSTITUTE(SUBSTITUTE(SUBSTITUTE(SUBSTITUTE(SUBSTITUTE(SUBSTITUTE(SUBSTITUTE(SUBSTITUTE(LOWER(AC384&amp;""),CHAR(10)," "),CHAR(13)," "),CHAR(9)," "),CHAR(160)," "),"."," "),","," "),"-"," "),"/"," "),"("," "),")"," "),":"," "),";"," "),"_"," "),"–"," "),"?"," "),"!"," "),"*"," "),"["," "),"]"," "),"'"," "),"#"," "),"+"," "),"&amp;"," "),"\"," "))&amp;" "</f>
        <v>  </v>
      </c>
      <c r="BG384" s="61" t="n">
        <f aca="false">IFERROR(IF(AND(TRIM(U384)="Pass",SUMPRODUCT((LEN(BC384)-LEN(SUBSTITUTE(BC384," "&amp;L_ResultBad&amp;" "," ")))/(LEN(L_ResultBad)+1))&gt;SUMPRODUCT((LEN(BC384)-LEN(SUBSTITUTE(BC384," "&amp;L_NegPhrase&amp;" "," ")))/(LEN(L_NegPhrase)+1))),1,0),0)</f>
        <v>0</v>
      </c>
      <c r="BH384" s="61" t="n">
        <f aca="false">IFERROR(IF(SUMPRODUCT((LEN(BC384)-LEN(SUBSTITUTE(BC384," "&amp;L_Pending&amp;" "," ")))/(LEN(L_Pending)+1))&gt;SUMPRODUCT((LEN(BC384)-LEN(SUBSTITUTE(BC384," "&amp;L_PendNeg&amp;" "," ")))/(LEN(L_PendNeg)+1))+SUMPRODUCT((LEN(BC384)-LEN(SUBSTITUTE(BC384," "&amp;L_PendPrep&amp;" "," ")))/(LEN(L_PendPrep)+1)),1,0),1)</f>
        <v>0</v>
      </c>
      <c r="BI384" s="61" t="n">
        <f aca="false">IFERROR(IF(SUMPRODUCT((LEN(BD384)-LEN(SUBSTITUTE(BD384," "&amp;L_PendStrict&amp;" "," ")))/(LEN(L_PendStrict)+1))&gt;SUMPRODUCT((LEN(BD384)-LEN(SUBSTITUTE(BD384," "&amp;L_PendNeg&amp;" "," ")))/(LEN(L_PendNeg)+1)),1,0),1)</f>
        <v>0</v>
      </c>
      <c r="BJ384" s="61" t="n">
        <f aca="false">IFERROR(IF(SUMPRODUCT((LEN(BE384)-LEN(SUBSTITUTE(BE384," "&amp;L_Pending&amp;" "," ")))/(LEN(L_Pending)+1))&gt;SUMPRODUCT((LEN(BE384)-LEN(SUBSTITUTE(BE384," "&amp;L_PendNeg&amp;" "," ")))/(LEN(L_PendNeg)+1))+SUMPRODUCT((LEN(BE384)-LEN(SUBSTITUTE(BE384," "&amp;L_PendPrep&amp;" "," ")))/(LEN(L_PendPrep)+1)),1,0),1)</f>
        <v>0</v>
      </c>
      <c r="BK384" s="61" t="n">
        <f aca="false">IFERROR(IF(SUMPRODUCT((LEN(BF384)-LEN(SUBSTITUTE(BF384," "&amp;L_PendStrict&amp;" "," ")))/(LEN(L_PendStrict)+1))&gt;SUMPRODUCT((LEN(BF384)-LEN(SUBSTITUTE(BF384," "&amp;L_PendNeg&amp;" "," ")))/(LEN(L_PendNeg)+1)),1,0),1)</f>
        <v>0</v>
      </c>
      <c r="BL384" s="61" t="n">
        <f aca="false">IF(ISNA(MATCH(TRIM(S384),L_EvidenceType,0)),0,BZ384)</f>
        <v>0</v>
      </c>
      <c r="BM384" s="61" t="str">
        <f aca="false">SUBSTITUTE(SUBSTITUTE(SUBSTITUTE(SUBSTITUTE(SUBSTITUTE(SUBSTITUTE(SUBSTITUTE(SUBSTITUTE(SUBSTITUTE(LOWER(Z384&amp;""),"1","0"),"2","0"),"3","0"),"4","0"),"5","0"),"6","0"),"7","0"),"8","0"),"9","0")</f>
        <v/>
      </c>
      <c r="BN384" s="61" t="str">
        <f aca="false">SUBSTITUTE(SUBSTITUTE(SUBSTITUTE(SUBSTITUTE(SUBSTITUTE(SUBSTITUTE(SUBSTITUTE(SUBSTITUTE(SUBSTITUTE(SUBSTITUTE(SUBSTITUTE(SUBSTITUTE(SUBSTITUTE(SUBSTITUTE(SUBSTITUTE(SUBSTITUTE(SUBSTITUTE(SUBSTITUTE(SUBSTITUTE(SUBSTITUTE(SUBSTITUTE(SUBSTITUTE(SUBSTITUTE(SUBSTITUTE(SUBSTITUTE(BM384,"b","a"),"c","a"),"d","a"),"e","a"),"f","a"),"g","a"),"h","a"),"i","a"),"j","a"),"k","a"),"l","a"),"m","a"),"n","a"),"o","a"),"p","a"),"q","a"),"r","a"),"s","a"),"t","a"),"u","a"),"v","a"),"w","a"),"x","a"),"y","a"),"z","a")</f>
        <v/>
      </c>
      <c r="BO384" s="61" t="str">
        <f aca="false">SUBSTITUTE(SUBSTITUTE(SUBSTITUTE(SUBSTITUTE(SUBSTITUTE(SUBSTITUTE(SUBSTITUTE(SUBSTITUTE(SUBSTITUTE(LOWER(W384&amp;""),"1","0"),"2","0"),"3","0"),"4","0"),"5","0"),"6","0"),"7","0"),"8","0"),"9","0")</f>
        <v/>
      </c>
      <c r="BP384" s="61" t="str">
        <f aca="false">SUBSTITUTE(SUBSTITUTE(SUBSTITUTE(SUBSTITUTE(SUBSTITUTE(SUBSTITUTE(SUBSTITUTE(SUBSTITUTE(SUBSTITUTE(SUBSTITUTE(SUBSTITUTE(SUBSTITUTE(SUBSTITUTE(SUBSTITUTE(SUBSTITUTE(SUBSTITUTE(SUBSTITUTE(SUBSTITUTE(SUBSTITUTE(SUBSTITUTE(SUBSTITUTE(SUBSTITUTE(SUBSTITUTE(SUBSTITUTE(SUBSTITUTE(BO384,"b","a"),"c","a"),"d","a"),"e","a"),"f","a"),"g","a"),"h","a"),"i","a"),"j","a"),"k","a"),"l","a"),"m","a"),"n","a"),"o","a"),"p","a"),"q","a"),"r","a"),"s","a"),"t","a"),"u","a"),"v","a"),"w","a"),"x","a"),"y","a"),"z","a")</f>
        <v/>
      </c>
      <c r="BQ384" s="61" t="n">
        <f aca="false">IFERROR(IF(AND(ISERROR(SEARCH(" mh"," "&amp;LOWER(W384))),ISNA(MATCH(LEFT(TRIM(BP384),255),{"0000a","000a","00a","0000aa","000aa","00aa","0aa","0000aaa","000aaa","00a00","0a00","0000-0000","00:00","a00","a0","00.00.0000","00/00/0000","00-00-0000","0000-00-00","0000/00/00","0000.00.00","00.00.00","00/00/00","00-00-00","0.00.0000","0/00/0000","0-00-0000"},0)),ISNA(MATCH(LEFT(TRIM(CA384),255),{"0000a","000a","00a","0000aa","000aa","00aa","0aa","0000aaa","000aaa","00a00","0a00","0000-0000","00:00","a00","a0","00.00.0000","00/00/0000","00-00-0000","0000-00-00","0000/00/00","0000.00.00","00.00.00","00/00/00","00-00-00","0.00.0000","0/00/0000","0-00-0000"},0)),LEN(CB384)&gt;=3,NOT(OR(SUBSTITUTE(CB384,"0","")="",AND(LEN(CB384)&gt;=4,CB384=REPT(LEFT(CB384),LEN(CB384))),ISNUMBER(MATCH(CB384,{"123","1234","12345","123456","1234567","12345678","0123","01234","012345","98765","987654","54321"},0)),AND(LEN(CB384)=8,LEFT(CB384,3)="202"))),OR(AND((LEN(CA384)-LEN(SUBSTITUTE(CA384,"a","")))&gt;=1,SUMPRODUCT(--ISNUMBER(SEARCH({"a0","a-0","a_0","a/0","a.0","a#0","0a","0-a","0_a","0/a"},BP384)))&gt;0),ISNUMBER(SEARCH("000000",BP384)))),1,0),0)</f>
        <v>0</v>
      </c>
      <c r="BR384" s="61" t="n">
        <f aca="false">IFERROR(LEN(SUBSTITUTE(CC384," ",""))-SUMPRODUCT((LEN(CC384)-LEN(SUBSTITUTE(CC384," "&amp;L_Role&amp;" "," ")))/(LEN(L_Role)+1)*LEN(L_Role)),0)</f>
        <v>0</v>
      </c>
      <c r="BS384" s="61" t="n">
        <f aca="false">IFERROR(LEN(SUBSTITUTE(CD384," ",""))-SUMPRODUCT((LEN(CD384)-LEN(SUBSTITUTE(CD384," "&amp;L_Role&amp;" "," ")))/(LEN(L_Role)+1)*LEN(L_Role)),0)</f>
        <v>0</v>
      </c>
      <c r="BT3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384,"revision",""),"version",""),"jan",""),"feb",""),"mar",""),"apr",""),"may",""),"jun",""),"jul",""),"aug",""),"sep",""),"oct",""),"nov",""),"dec",""),"utc",""),"gmt",""),"myt",""),"bst",""),"rev",""),"ver",""),"b","a"),"c","a"),"d","a"),"e","a"),"f","a"),"g","a"),"h","a"),"i","a"),"j","a"),"k","a"),"l","a"),"m","a"),"n","a"),"o","a"),"p","a"),"q","a"),"r","a"),"s","a"),"t","a"),"u","a"),"v","a"),"w","a"),"x","a"),"y","a"),"z","a")</f>
        <v/>
      </c>
      <c r="BU384" s="61" t="str">
        <f aca="false">SUBSTITUTE(SUBSTITUTE(SUBSTITUTE(SUBSTITUTE(SUBSTITUTE(SUBSTITUTE(SUBSTITUTE(SUBSTITUTE(SUBSTITUTE(SUBSTITUTE(LEFT(BM384,FIND("0",BM384&amp;"0")-1),"-",""),"_",""),"/",""),".",""),"#",""),"\\",""),":","")," ",""),"(",""),")","")</f>
        <v/>
      </c>
      <c r="BV384" s="61" t="n">
        <f aca="false">0</f>
        <v>0</v>
      </c>
      <c r="BW3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384&amp;""),"a",""),"b",""),"c",""),"d",""),"e",""),"f",""),"g",""),"h",""),"i",""),"j",""),"k",""),"l",""),"m",""),"n",""),"o",""),"p",""),"q",""),"r",""),"s",""),"t",""),"u",""),"v",""),"w",""),"x",""),"y",""),"z",""),"-",""),"_",""),"/",""),".",""),"#",""),"\\",""),":","")," ",""),"(",""),")","")</f>
        <v/>
      </c>
      <c r="BX384" s="61" t="str">
        <f aca="false">SUBSTITUTE(SUBSTITUTE(SUBSTITUTE(SUBSTITUTE(SUBSTITUTE(SUBSTITUTE(SUBSTITUTE(SUBSTITUTE(SUBSTITUTE(SUBSTITUTE(SUBSTITUTE(BM384,"0",""),"-",""),"_",""),"/",""),".",""),"#",""),"\\",""),":","")," ",""),"(",""),")","")</f>
        <v/>
      </c>
      <c r="BY384" s="62" t="n">
        <f aca="false">Q384-T7EarlyD*24/24</f>
        <v>46286.6006944444</v>
      </c>
      <c r="BZ384" s="61" t="n">
        <f aca="false">IFERROR(IF(IF(TRIM(S384)="Link / file path",AND(LEN(TRIM(Z384))&gt;=5,SUMPRODUCT(--ISNUMBER(SEARCH({"http","www.","\\",":\",".pdf",".jpg",".jpeg",".png",".heic",".xls",".doc",".msg",".eml",".ppt",".txt",".zip"},Z384)))&gt;0),AND(ISERROR(FIND(" ",TRIM(Z384))),NOT(OR(SUMPRODUCT(--ISNUMBER(FIND({",",";","&amp;","+"},Z384)))&gt;0,SUMPRODUCT(--ISNUMBER(SEARCH({"0/aa","0\\aa"},BN384)))&gt;0)),NOT(SUMPRODUCT(--ISNUMBER(SEARCH({"http","www.","\\",":\",".pdf",".jpg",".jpeg",".png",".heic",".xls",".doc",".msg",".eml",".ppt",".txt",".zip"},Z384)))&gt;0),NOT(LOWER(TRIM(Z384))=LOWER(Flights!$F$16)),ISNA(MATCH(BU384,{"mh","rev","revision","ver","version","v","r","a","b","seat","tray","row","gate","bay","stand","page","pg","item","line","no","cart","galley","flight","flt","table","box","bag","oven","etd","eta","std","sta","atd","ata","qty","pax","x","time","tel","ph","mob","day","wk","week","utc","gmt","myt","lt"},0)),NOT(OR(ISNUMBER(MATCH(LEFT(BN384,255),{"0000a","000a","00a","0000aa","000aa","00aa","0aa","0000aaa","000aaa","00a00","0a00","0000-0000","00:00","a00","a0","00.00.0000","00/00/0000","00-00-0000","0000-00-00","0000/00/00","0000.00.00","00.00.00","00/00/00","00-00-00","0.00.0000","0/00/0000","0-00-0000"},0)),ISNUMBER(MATCH(LEFT(BT384,255),{"0000a","000a","00a","0000aa","000aa","00aa","0aa","0000aaa","000aaa","00a00","0a00","0000-0000","00:00","a00","a0","00.00.0000","00/00/0000","00-00-0000","0000-00-00","0000/00/00","0000.00.00","00.00.00","00/00/00","00-00-00","0.00.0000","0/00/0000","0-00-0000"},0)))),NOT(OR(AND(BW384&lt;&gt;"",SUBSTITUTE(BW384,"0","")=""),AND(LEN(BW384)&gt;=4,BW384=REPT(LEFT(BW384),LEN(BW384))),ISNUMBER(MATCH(BW384,{"123","1234","12345","123456","1234567","12345678","0123","01234","012345","98765","987654","54321"},0)),ISNUMBER(MATCH(BX384,{"x","xx","xxx","xxxx","xxxxx","abc","abcd","nil","na","nan","test","tbc","tba","tbd","dummy","sample","example","eg","zz","zzz","none","null","xyz","qwe","asd","id","ref"},0)),AND(LEN(BW384)=8,BX384="",OR(LEFT(BW384,3)="202",ISNUMBER(MATCH(RIGHT(BW384,4),{"2025","2026","2027"},0)))))),OR(AND((LEN(BT384)-LEN(SUBSTITUTE(BT384,"a","")))&gt;=1,(LEN(BN384)-LEN(SUBSTITUTE(BN384,"0","")))&gt;=2,SUMPRODUCT(--ISNUMBER(SEARCH({"a0","a-0","a_0","a/0","a.0","a#0","0a","0-a","0_a","0/a"},BN384)))&gt;0),AND((LEN(BN384)-LEN(SUBSTITUTE(BN384,"a","")))=0,(LEN(BN384)-LEN(SUBSTITUTE(BN384,"0","")))&gt;=5)))),1,0),0)</f>
        <v>0</v>
      </c>
      <c r="CA3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384,"revision",""),"version",""),"jan",""),"feb",""),"mar",""),"apr",""),"may",""),"jun",""),"jul",""),"aug",""),"sep",""),"oct",""),"nov",""),"dec",""),"utc",""),"gmt",""),"myt",""),"bst",""),"rev",""),"ver",""),"b","a"),"c","a"),"d","a"),"e","a"),"f","a"),"g","a"),"h","a"),"i","a"),"j","a"),"k","a"),"l","a"),"m","a"),"n","a"),"o","a"),"p","a"),"q","a"),"r","a"),"s","a"),"t","a"),"u","a"),"v","a"),"w","a"),"x","a"),"y","a"),"z","a")</f>
        <v/>
      </c>
      <c r="CB3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384&amp;""),"a",""),"b",""),"c",""),"d",""),"e",""),"f",""),"g",""),"h",""),"i",""),"j",""),"k",""),"l",""),"m",""),"n",""),"o",""),"p",""),"q",""),"r",""),"s",""),"t",""),"u",""),"v",""),"w",""),"x",""),"y",""),"z",""),"-",""),"_",""),"/",""),".",""),"#",""),"\\",""),":","")," ",""),"(",""),")","")</f>
        <v/>
      </c>
      <c r="CC384" s="0" t="str">
        <f aca="false">" "&amp;TRIM(SUBSTITUTE(SUBSTITUTE(SUBSTITUTE(SUBSTITUTE(SUBSTITUTE(SUBSTITUTE(SUBSTITUTE(SUBSTITUTE(SUBSTITUTE(SUBSTITUTE(SUBSTITUTE(SUBSTITUTE(SUBSTITUTE(SUBSTITUTE(SUBSTITUTE(SUBSTITUTE(SUBSTITUTE(SUBSTITUTE(SUBSTITUTE(SUBSTITUTE(SUBSTITUTE(SUBSTITUTE(SUBSTITUTE(SUBSTITUTE(LOWER(T384&amp;""),CHAR(10)," "),CHAR(13)," "),CHAR(9)," "),CHAR(160)," "),"."," "),","," "),"-"," "),"/"," "),"("," "),")"," "),":"," "),";"," "),"_"," "),"–"," "),"?"," "),"!"," "),"*"," "),"["," "),"]"," "),"'"," "),"#"," "),"+"," "),"&amp;"," "),"\"," "))&amp;" "</f>
        <v>  </v>
      </c>
      <c r="CD384" s="0" t="str">
        <f aca="false">" "&amp;TRIM(SUBSTITUTE(SUBSTITUTE(SUBSTITUTE(SUBSTITUTE(SUBSTITUTE(SUBSTITUTE(SUBSTITUTE(SUBSTITUTE(SUBSTITUTE(SUBSTITUTE(SUBSTITUTE(SUBSTITUTE(SUBSTITUTE(SUBSTITUTE(SUBSTITUTE(SUBSTITUTE(SUBSTITUTE(SUBSTITUTE(SUBSTITUTE(SUBSTITUTE(SUBSTITUTE(SUBSTITUTE(SUBSTITUTE(SUBSTITUTE(LOWER(AE384&amp;""),CHAR(10)," "),CHAR(13)," "),CHAR(9)," "),CHAR(160)," "),"."," "),","," "),"-"," "),"/"," "),"("," "),")"," "),":"," "),";"," "),"_"," "),"–"," "),"?"," "),"!"," "),"*"," "),"["," "),"]"," "),"'"," "),"#"," "),"+"," "),"&amp;"," "),"\"," "))&amp;" "</f>
        <v>  </v>
      </c>
      <c r="CE384" s="68" t="n">
        <f aca="false">IFERROR(IF(AND(LEN(AU384)&gt;0,LEN(AU384)=LEN(AX384),OR(TRIM(MID(SUBSTITUTE(TRIM(CC384)," ",REPT(" ",60)),1,60))="",ISNUMBER(SEARCH(" "&amp;TRIM(MID(SUBSTITUTE(TRIM(CC384)," ",REPT(" ",60)),1,60))&amp;" ",CD384))),OR(TRIM(MID(SUBSTITUTE(TRIM(CC384)," ",REPT(" ",60)),61,60))="",ISNUMBER(SEARCH(" "&amp;TRIM(MID(SUBSTITUTE(TRIM(CC384)," ",REPT(" ",60)),61,60))&amp;" ",CD384))),OR(TRIM(MID(SUBSTITUTE(TRIM(CC384)," ",REPT(" ",60)),121,60))="",ISNUMBER(SEARCH(" "&amp;TRIM(MID(SUBSTITUTE(TRIM(CC384)," ",REPT(" ",60)),121,60))&amp;" ",CD384)))),1,0),0)</f>
        <v>0</v>
      </c>
      <c r="CG384" s="68" t="n">
        <f aca="false">IFERROR(LEN(SUBSTITUTE(BF384," ",""))-SUMPRODUCT((LEN(BF384)-LEN(SUBSTITUTE(BF384," "&amp;L_NAFiller&amp;" "," ")))/(LEN(L_NAFiller)+1)*LEN(L_NAFiller)),0)</f>
        <v>0</v>
      </c>
    </row>
    <row r="385" customFormat="false" ht="39.75" hidden="false" customHeight="true" outlineLevel="0" collapsed="false">
      <c r="A385" s="57" t="s">
        <v>998</v>
      </c>
      <c r="B385" s="57" t="s">
        <v>261</v>
      </c>
      <c r="C385" s="57" t="str">
        <f aca="false">Flights!$F$16</f>
        <v>MH0139</v>
      </c>
      <c r="D385" s="58" t="n">
        <f aca="false">Flights!$D$16</f>
        <v>46307</v>
      </c>
      <c r="E385" s="57" t="str">
        <f aca="false">Flights!$G$16&amp;"-"&amp;Flights!$H$16</f>
        <v>KUL-ADL</v>
      </c>
      <c r="F385" s="57" t="str">
        <f aca="false">Flights!$K$16</f>
        <v>BC</v>
      </c>
      <c r="G385" s="57" t="s">
        <v>81</v>
      </c>
      <c r="H385" s="57" t="s">
        <v>378</v>
      </c>
      <c r="I385" s="57" t="s">
        <v>398</v>
      </c>
      <c r="J385" s="57" t="s">
        <v>402</v>
      </c>
      <c r="K385" s="67" t="s">
        <v>403</v>
      </c>
      <c r="L385" s="67" t="s">
        <v>382</v>
      </c>
      <c r="M385" s="67"/>
      <c r="N385" s="67" t="s">
        <v>383</v>
      </c>
      <c r="O385" s="67"/>
      <c r="P385" s="57" t="s">
        <v>187</v>
      </c>
      <c r="Q385" s="59" t="n">
        <f aca="false">ROUND((Flights!$AC$16)*1440,0)/1440</f>
        <v>46300.6006944444</v>
      </c>
      <c r="R385" s="59" t="n">
        <f aca="false">Q385+(IF(AND(INDEX(TZ_DSTS,MATCH(P385,TZ_STN,0))&lt;&gt;"",Q385&gt;=INDEX(TZ_DSTS,MATCH(P385,TZ_STN,0)),Q385&lt;INDEX(TZ_DSTE,MATCH(P385,TZ_STN,0))),INDEX(TZ_DST,MATCH(P385,TZ_STN,0)),INDEX(TZ_STD,MATCH(P385,TZ_STN,0))))/24</f>
        <v>46300.9340277778</v>
      </c>
      <c r="S385" s="60"/>
      <c r="T385" s="60"/>
      <c r="U385" s="60"/>
      <c r="V385" s="60"/>
      <c r="W385" s="61"/>
      <c r="X385" s="60"/>
      <c r="Y385" s="60"/>
      <c r="Z385" s="60"/>
      <c r="AA385" s="60"/>
      <c r="AB385" s="60"/>
      <c r="AC385" s="60"/>
      <c r="AD385" s="66"/>
      <c r="AE385" s="60"/>
      <c r="AF385" s="61" t="str">
        <f aca="false">IF(AND(ISNUMBER(X385),ISNUMBER(Y385)),Y385-X385,"")</f>
        <v/>
      </c>
      <c r="AG385" s="62" t="str">
        <f aca="false">IF(ISNUMBER(AD385),AD385-(IF(AND(INDEX(TZ_DSTS,MATCH(P385,TZ_STN,0))&lt;&gt;"",(AD385-INDEX(TZ_STD,MATCH(P385,TZ_STN,0))/24)&gt;=INDEX(TZ_DSTS,MATCH(P385,TZ_STN,0)),(AD385-INDEX(TZ_STD,MATCH(P385,TZ_STN,0))/24)&lt;INDEX(TZ_DSTE,MATCH(P385,TZ_STN,0))),INDEX(TZ_DST,MATCH(P385,TZ_STN,0)),INDEX(TZ_STD,MATCH(P385,TZ_STN,0))))/24,"")</f>
        <v/>
      </c>
      <c r="AH385" s="65" t="str">
        <f aca="false">IFERROR(IF(N385="N/A – rule",IF(OR(TRIM(U385)="",TRIM(U385)="N/A",TRIM(U385)="Not started"),"N/A – RULE","INVALID – this check does not apply to this aircraft: clear the status (or correct the fleet on Flights)"),IF(TRIM(U385)="N/A",IF(AT385=0,"INVALID – N/A not permitted for this check",IF(AND(TRIM(AB385)&lt;&gt;"",TRIM(AB385)&lt;&gt;"Closed"),"INVALID – corrective action still open",IF(AND(NOT(OR(LEN(AZ385)&lt;15,ISNUMBER(MATCH(AZ385,L_Placeholder,0)))),BK385=0,CG385&gt;=8,NOT(OR(LEN(AU385)&lt;2,ISNUMBER(MATCH(AU385,L_Placeholder,0)))),BR385&gt;=3,NOT(OR(LEN(AX385)&lt;2,ISNUMBER(MATCH(AX385,L_Placeholder,0)))),BS385&gt;=3,TRIM(AE385)&lt;&gt;TRIM(T385),AX385&lt;&gt;AU385,CE385=0),"N/A – JUSTIFIED","INVALID – N/A needs a real, settled reason (not 'not applicable' / 'as above' / TBC), a named PIC and a different named verifier"))),IF(OR(TRIM(U385)="Pass",TRIM(U385)="Pass after CA"),IF(NOT(ISNUMBER(AD385)),"INVALID – completion time missing",IF(OR(OR(LEN(AU385)&lt;2,ISNUMBER(MATCH(AU385,L_Placeholder,0))),BR385&lt;3),"INVALID – PIC missing or not a named person (a role such as QA / CSM is not a name)",IF(OR(LEN(AV385)&lt;2,ISNUMBER(MATCH(AV385,L_Placeholder,0))),"INVALID – result / assessment missing",IF(OR(OR(LEN(AW385)&lt;3,ISNUMBER(MATCH(AW385,L_Placeholder,0))),SUMPRODUCT(--ISNUMBER(SEARCH(" "&amp;L_EvidencePhrase&amp;" ",BD385)))&gt;0,BI385=1),"INVALID – evidence missing, placeholder or not yet on file",IF(ISNA(MATCH(TRIM(S385),L_EvidenceType,0)),"INVALID – choose the evidence type from the list (column S)",IF(BL385=0,"INVALID – evidence ID must be the record's own ID only (e.g. SF-2210, IMG_2231, 1045521); a link / file name needs type 'Link / file path'",IF(OR(OR(LEN(AX385)&lt;2,ISNUMBER(MATCH(AX385,L_Placeholder,0))),BS385&lt;3),"INVALID – verifier missing or not a named person (a role such as QA / CSM is not a name)",IF(OR(AX385=AU385,CE385=1,AND(LEN(AU385)&gt;=4,ISNUMBER(SEARCH(AU385,AX385))),AND(LEN(AX385)&gt;=4,ISNUMBER(SEARCH(AX385,AU385)))),"INVALID – verifier must be a different, named person (not the PIC or a role)",IF(BH385=1,"INVALID – result not yet available (awaiting / TBC)",IF(BG385=1,"INVALID – result describes a problem: record Fail, then Pass after CA (or reword if it is not a problem)",IF(BV385=1,"INVALID – wording says not on board: an on-board confirmation needs the item loaded",IF(AND(AQ385=1,OR(OR(LEN(AY385)&lt;3,ISNUMBER(MATCH(AY385,L_Placeholder,0))),BJ385=1,BQ385=0)),"INVALID – batch ID missing, placeholder or not an ID (e.g. PASB-261008-BC-017)",IF(AND(AR385=1,OR(NOT(ISNUMBER(X385)),NOT(ISNUMBER(Y385)))),"INVALID – expected/actual qty missing",IF(AND(AR385=1,OR(X385&lt;=0,Y385&lt;0)),"INVALID – expected qty must be above 0 and actual not negative",IF(BB385&lt;&gt;"",BB385,IF(AND(AS385=1,Documents!$J$16&lt;&gt;"ON FILE"),"INVALID – GLD not on file (Documents sheet)",IF(AND(AS385=2,Documents!$O$16&lt;&gt;"ON FILE"),"INVALID – menu checklist not on file (Documents sheet)",IF(AND(AS385=3,NOT(ISNUMBER(Flights!$AX$16))),"INVALID – enter carrying flight KUL departure (Flights AX)",IF(AND(AS385=3,OR(Flights!$AZ$16&gt;Flights!$AA$16,Flights!$AX$16&lt;Flights!$AA$16-3)),"INVALID – carrying flight (Flights AX) cannot arrive before this leg's STD, or is over 3 days early",IF(AG385&gt;AsOfUTC,"INVALID – completion time is in the future",IF(AND(ISNUMBER(BY385),AG385&lt;BY385),IF(H385="Physical uplift","INVALID – before uplift window (cannot confirm loading)","INVALID – before valid window"),IF(AG385&gt;Flights!$AA$16,"INVALID – completed after departure (cannot establish readiness)",IF(AND(H385="Preparation",AG385&gt;=IF(ISNUMBER(Flights!$BA$16),MIN(Flights!$BA$16,Flights!$AA$16),Flights!$AA$16)),"INVALID – completed after loading / departure (cannot establish readiness)",IF(AND(H385="Physical uplift",AG385&gt;Q385),"INVALID – recorded after the loading flight departed",IF(AG385&gt;Q385,"COMPLETE – LATE","COMPLETE"))))))))))))))))))))))))),IF(TRIM(U385)="Fail","FAIL – DISCREPANCY",IF(AND(TRIM(U385)&lt;&gt;"",TRIM(U385)&lt;&gt;"Not started",TRIM(U385)&lt;&gt;"In progress"),"INVALID – unrecognised status (use the list)",IF(AsOfUTC&gt;Q385,"OVERDUE",IF(N385="Clarification required","OPEN – CLARIFICATION","OPEN"))))))),"INVALID – error value in an input cell")</f>
        <v>OPEN</v>
      </c>
      <c r="AI385" s="61" t="n">
        <f aca="false">IF(OR(AH385="N/A – RULE",AH385="N/A – JUSTIFIED"),0,1)</f>
        <v>1</v>
      </c>
      <c r="AJ385" s="61" t="n">
        <f aca="false">IF(LEFT(AH385,8)="COMPLETE",1,0)</f>
        <v>0</v>
      </c>
      <c r="AK385" s="61" t="n">
        <f aca="false">IF(AND(AI385=1,AJ385=0,AsOfUTC&gt;Q385),1,0)</f>
        <v>0</v>
      </c>
      <c r="AL385" s="61" t="n">
        <f aca="false">IFERROR(IF(AND(AI385=1,OR(TRIM(U385)="Fail",AND(TRIM(AB385)&lt;&gt;"",TRIM(AB385)&lt;&gt;"Closed"),AND(ISNUMBER(AF385),AF385&lt;&gt;0,TRIM(U385)&lt;&gt;"Pass after CA"))),1,0),1)</f>
        <v>0</v>
      </c>
      <c r="AM385" s="61" t="n">
        <f aca="false">IF(LEFT(AH385,7)="INVALID",1,0)</f>
        <v>0</v>
      </c>
      <c r="AN385" s="61" t="n">
        <f aca="false">IF(AND(N385="Clarification required",AI385=1,AJ385=0),1,0)</f>
        <v>0</v>
      </c>
      <c r="AO385" s="61" t="str">
        <f aca="false">IF(AK385=1,SUM(AK$5:AK385),"")</f>
        <v/>
      </c>
      <c r="AP385" s="61" t="str">
        <f aca="false">IF(AL385=1,SUM(AL$5:AL385),"")</f>
        <v/>
      </c>
      <c r="AQ385" s="61" t="n">
        <v>0</v>
      </c>
      <c r="AR385" s="61" t="n">
        <v>0</v>
      </c>
      <c r="AS385" s="61" t="n">
        <v>0</v>
      </c>
      <c r="AT385" s="61" t="n">
        <v>0</v>
      </c>
      <c r="AU385" s="61" t="str">
        <f aca="false">SUBSTITUTE(SUBSTITUTE(SUBSTITUTE(SUBSTITUTE(SUBSTITUTE(SUBSTITUTE(SUBSTITUTE(SUBSTITUTE(SUBSTITUTE(SUBSTITUTE(SUBSTITUTE(SUBSTITUTE(SUBSTITUTE(SUBSTITUTE(SUBSTITUTE(SUBSTITUTE(LOWER(T385&amp;""),CHAR(10),""),CHAR(13),""),CHAR(9),""),CHAR(160),"")," ",""),".",""),"-",""),"/",""),"?",""),"_",""),",",""),"[",""),"]",""),"(",""),")",""),"*","")</f>
        <v/>
      </c>
      <c r="AV385" s="61" t="str">
        <f aca="false">SUBSTITUTE(SUBSTITUTE(SUBSTITUTE(SUBSTITUTE(SUBSTITUTE(SUBSTITUTE(SUBSTITUTE(SUBSTITUTE(SUBSTITUTE(SUBSTITUTE(SUBSTITUTE(SUBSTITUTE(SUBSTITUTE(SUBSTITUTE(SUBSTITUTE(SUBSTITUTE(LOWER(V385&amp;""),CHAR(10),""),CHAR(13),""),CHAR(9),""),CHAR(160),"")," ",""),".",""),"-",""),"/",""),"?",""),"_",""),",",""),"[",""),"]",""),"(",""),")",""),"*","")</f>
        <v/>
      </c>
      <c r="AW385" s="61" t="str">
        <f aca="false">SUBSTITUTE(SUBSTITUTE(SUBSTITUTE(SUBSTITUTE(SUBSTITUTE(SUBSTITUTE(SUBSTITUTE(SUBSTITUTE(SUBSTITUTE(SUBSTITUTE(SUBSTITUTE(SUBSTITUTE(SUBSTITUTE(SUBSTITUTE(SUBSTITUTE(SUBSTITUTE(LOWER(Z385&amp;""),CHAR(10),""),CHAR(13),""),CHAR(9),""),CHAR(160),"")," ",""),".",""),"-",""),"/",""),"?",""),"_",""),",",""),"[",""),"]",""),"(",""),")",""),"*","")</f>
        <v/>
      </c>
      <c r="AX385" s="61" t="str">
        <f aca="false">SUBSTITUTE(SUBSTITUTE(SUBSTITUTE(SUBSTITUTE(SUBSTITUTE(SUBSTITUTE(SUBSTITUTE(SUBSTITUTE(SUBSTITUTE(SUBSTITUTE(SUBSTITUTE(SUBSTITUTE(SUBSTITUTE(SUBSTITUTE(SUBSTITUTE(SUBSTITUTE(LOWER(AE385&amp;""),CHAR(10),""),CHAR(13),""),CHAR(9),""),CHAR(160),"")," ",""),".",""),"-",""),"/",""),"?",""),"_",""),",",""),"[",""),"]",""),"(",""),")",""),"*","")</f>
        <v/>
      </c>
      <c r="AY385" s="61" t="str">
        <f aca="false">SUBSTITUTE(SUBSTITUTE(SUBSTITUTE(SUBSTITUTE(SUBSTITUTE(SUBSTITUTE(SUBSTITUTE(SUBSTITUTE(SUBSTITUTE(SUBSTITUTE(SUBSTITUTE(SUBSTITUTE(SUBSTITUTE(SUBSTITUTE(SUBSTITUTE(SUBSTITUTE(LOWER(W385&amp;""),CHAR(10),""),CHAR(13),""),CHAR(9),""),CHAR(160),"")," ",""),".",""),"-",""),"/",""),"?",""),"_",""),",",""),"[",""),"]",""),"(",""),")",""),"*","")</f>
        <v/>
      </c>
      <c r="AZ385" s="61" t="str">
        <f aca="false">SUBSTITUTE(SUBSTITUTE(SUBSTITUTE(SUBSTITUTE(SUBSTITUTE(SUBSTITUTE(SUBSTITUTE(SUBSTITUTE(SUBSTITUTE(SUBSTITUTE(SUBSTITUTE(SUBSTITUTE(SUBSTITUTE(SUBSTITUTE(SUBSTITUTE(SUBSTITUTE(LOWER(AC385&amp;""),CHAR(10),""),CHAR(13),""),CHAR(9),""),CHAR(160),"")," ",""),".",""),"-",""),"/",""),"?",""),"_",""),",",""),"[",""),"]",""),"(",""),")",""),"*","")</f>
        <v/>
      </c>
      <c r="BA385" s="61" t="str">
        <f aca="false">SUBSTITUTE(SUBSTITUTE(SUBSTITUTE(SUBSTITUTE(SUBSTITUTE(SUBSTITUTE(SUBSTITUTE(SUBSTITUTE(SUBSTITUTE(SUBSTITUTE(SUBSTITUTE(SUBSTITUTE(SUBSTITUTE(SUBSTITUTE(SUBSTITUTE(SUBSTITUTE(LOWER(AA385&amp;""),CHAR(10),""),CHAR(13),""),CHAR(9),""),CHAR(160),"")," ",""),".",""),"-",""),"/",""),"?",""),"_",""),",",""),"[",""),"]",""),"(",""),")",""),"*","")</f>
        <v/>
      </c>
      <c r="BB385" s="61" t="str">
        <f aca="false">IF(AND(TRIM(U385)="Pass",ISNUMBER(AF385)),IF(AF385&lt;&gt;0,"INVALID – qty variance: use Fail or Pass after CA",""),"")&amp;IF(AND(TRIM(U385)="Pass after CA",ISNUMBER(AF385)),IF(AF385&lt;&gt;0,"INVALID – after the corrective action the actual qty must equal expected (update Actual)",""),"")&amp;IF(AND(TRIM(U385)="Pass",TRIM(AB385)&lt;&gt;"",TRIM(AB385)&lt;&gt;"Closed"),"INVALID – corrective action not closed: use Fail, then Pass after CA","")&amp;IF(AND(LEN(BA385)&gt;=2,ISNA(MATCH(LEFT(BA385,255),L_Placeholder,0)),TRIM(AB385)=""),"INVALID – CA status missing for the recorded corrective action","")&amp;IF(AND(TRIM(U385)="Pass after CA",OR(OR(LEN(BA385)&lt;5,ISNUMBER(MATCH(BA385,L_Placeholder,0))),TRIM(AB385)&lt;&gt;"Closed")),"INVALID – corrective action not recorded/closed","")</f>
        <v/>
      </c>
      <c r="BC385" s="61" t="str">
        <f aca="false">" "&amp;TRIM(SUBSTITUTE(SUBSTITUTE(SUBSTITUTE(SUBSTITUTE(SUBSTITUTE(SUBSTITUTE(SUBSTITUTE(SUBSTITUTE(SUBSTITUTE(SUBSTITUTE(SUBSTITUTE(SUBSTITUTE(SUBSTITUTE(SUBSTITUTE(SUBSTITUTE(SUBSTITUTE(SUBSTITUTE(SUBSTITUTE(SUBSTITUTE(SUBSTITUTE(SUBSTITUTE(SUBSTITUTE(SUBSTITUTE(SUBSTITUTE(LOWER(V385&amp;""),CHAR(10)," "),CHAR(13)," "),CHAR(9)," "),CHAR(160)," "),"."," "),","," "),"-"," "),"/"," "),"("," "),")"," "),":"," "),";"," "),"_"," "),"–"," "),"?"," "),"!"," "),"*"," "),"["," "),"]"," "),"'"," "),"#"," "),"+"," "),"&amp;"," "),"\"," "))&amp;" "</f>
        <v>  </v>
      </c>
      <c r="BD385" s="61" t="str">
        <f aca="false">" "&amp;TRIM(SUBSTITUTE(SUBSTITUTE(SUBSTITUTE(SUBSTITUTE(SUBSTITUTE(SUBSTITUTE(SUBSTITUTE(SUBSTITUTE(SUBSTITUTE(SUBSTITUTE(SUBSTITUTE(SUBSTITUTE(SUBSTITUTE(SUBSTITUTE(SUBSTITUTE(SUBSTITUTE(SUBSTITUTE(SUBSTITUTE(SUBSTITUTE(SUBSTITUTE(SUBSTITUTE(SUBSTITUTE(SUBSTITUTE(SUBSTITUTE(LOWER(Z385&amp;""),CHAR(10)," "),CHAR(13)," "),CHAR(9)," "),CHAR(160)," "),"."," "),","," "),"-"," "),"/"," "),"("," "),")"," "),":"," "),";"," "),"_"," "),"–"," "),"?"," "),"!"," "),"*"," "),"["," "),"]"," "),"'"," "),"#"," "),"+"," "),"&amp;"," "),"\"," "))&amp;" "</f>
        <v>  </v>
      </c>
      <c r="BE385" s="61" t="str">
        <f aca="false">" "&amp;TRIM(SUBSTITUTE(SUBSTITUTE(SUBSTITUTE(SUBSTITUTE(SUBSTITUTE(SUBSTITUTE(SUBSTITUTE(SUBSTITUTE(SUBSTITUTE(SUBSTITUTE(SUBSTITUTE(SUBSTITUTE(SUBSTITUTE(SUBSTITUTE(SUBSTITUTE(SUBSTITUTE(SUBSTITUTE(SUBSTITUTE(SUBSTITUTE(SUBSTITUTE(SUBSTITUTE(SUBSTITUTE(SUBSTITUTE(SUBSTITUTE(LOWER(W385&amp;""),CHAR(10)," "),CHAR(13)," "),CHAR(9)," "),CHAR(160)," "),"."," "),","," "),"-"," "),"/"," "),"("," "),")"," "),":"," "),";"," "),"_"," "),"–"," "),"?"," "),"!"," "),"*"," "),"["," "),"]"," "),"'"," "),"#"," "),"+"," "),"&amp;"," "),"\"," "))&amp;" "</f>
        <v>  </v>
      </c>
      <c r="BF385" s="61" t="str">
        <f aca="false">" "&amp;TRIM(SUBSTITUTE(SUBSTITUTE(SUBSTITUTE(SUBSTITUTE(SUBSTITUTE(SUBSTITUTE(SUBSTITUTE(SUBSTITUTE(SUBSTITUTE(SUBSTITUTE(SUBSTITUTE(SUBSTITUTE(SUBSTITUTE(SUBSTITUTE(SUBSTITUTE(SUBSTITUTE(SUBSTITUTE(SUBSTITUTE(SUBSTITUTE(SUBSTITUTE(SUBSTITUTE(SUBSTITUTE(SUBSTITUTE(SUBSTITUTE(LOWER(AC385&amp;""),CHAR(10)," "),CHAR(13)," "),CHAR(9)," "),CHAR(160)," "),"."," "),","," "),"-"," "),"/"," "),"("," "),")"," "),":"," "),";"," "),"_"," "),"–"," "),"?"," "),"!"," "),"*"," "),"["," "),"]"," "),"'"," "),"#"," "),"+"," "),"&amp;"," "),"\"," "))&amp;" "</f>
        <v>  </v>
      </c>
      <c r="BG385" s="61" t="n">
        <f aca="false">IFERROR(IF(AND(TRIM(U385)="Pass",SUMPRODUCT((LEN(BC385)-LEN(SUBSTITUTE(BC385," "&amp;L_ResultBad&amp;" "," ")))/(LEN(L_ResultBad)+1))&gt;SUMPRODUCT((LEN(BC385)-LEN(SUBSTITUTE(BC385," "&amp;L_NegPhrase&amp;" "," ")))/(LEN(L_NegPhrase)+1))),1,0),0)</f>
        <v>0</v>
      </c>
      <c r="BH385" s="61" t="n">
        <f aca="false">IFERROR(IF(SUMPRODUCT((LEN(BC385)-LEN(SUBSTITUTE(BC385," "&amp;L_Pending&amp;" "," ")))/(LEN(L_Pending)+1))&gt;SUMPRODUCT((LEN(BC385)-LEN(SUBSTITUTE(BC385," "&amp;L_PendNeg&amp;" "," ")))/(LEN(L_PendNeg)+1))+SUMPRODUCT((LEN(BC385)-LEN(SUBSTITUTE(BC385," "&amp;L_PendPrep&amp;" "," ")))/(LEN(L_PendPrep)+1)),1,0),1)</f>
        <v>0</v>
      </c>
      <c r="BI385" s="61" t="n">
        <f aca="false">IFERROR(IF(SUMPRODUCT((LEN(BD385)-LEN(SUBSTITUTE(BD385," "&amp;L_PendStrict&amp;" "," ")))/(LEN(L_PendStrict)+1))&gt;SUMPRODUCT((LEN(BD385)-LEN(SUBSTITUTE(BD385," "&amp;L_PendNeg&amp;" "," ")))/(LEN(L_PendNeg)+1)),1,0),1)</f>
        <v>0</v>
      </c>
      <c r="BJ385" s="61" t="n">
        <f aca="false">IFERROR(IF(SUMPRODUCT((LEN(BE385)-LEN(SUBSTITUTE(BE385," "&amp;L_Pending&amp;" "," ")))/(LEN(L_Pending)+1))&gt;SUMPRODUCT((LEN(BE385)-LEN(SUBSTITUTE(BE385," "&amp;L_PendNeg&amp;" "," ")))/(LEN(L_PendNeg)+1))+SUMPRODUCT((LEN(BE385)-LEN(SUBSTITUTE(BE385," "&amp;L_PendPrep&amp;" "," ")))/(LEN(L_PendPrep)+1)),1,0),1)</f>
        <v>0</v>
      </c>
      <c r="BK385" s="61" t="n">
        <f aca="false">IFERROR(IF(SUMPRODUCT((LEN(BF385)-LEN(SUBSTITUTE(BF385," "&amp;L_PendStrict&amp;" "," ")))/(LEN(L_PendStrict)+1))&gt;SUMPRODUCT((LEN(BF385)-LEN(SUBSTITUTE(BF385," "&amp;L_PendNeg&amp;" "," ")))/(LEN(L_PendNeg)+1)),1,0),1)</f>
        <v>0</v>
      </c>
      <c r="BL385" s="61" t="n">
        <f aca="false">IF(ISNA(MATCH(TRIM(S385),L_EvidenceType,0)),0,BZ385)</f>
        <v>0</v>
      </c>
      <c r="BM385" s="61" t="str">
        <f aca="false">SUBSTITUTE(SUBSTITUTE(SUBSTITUTE(SUBSTITUTE(SUBSTITUTE(SUBSTITUTE(SUBSTITUTE(SUBSTITUTE(SUBSTITUTE(LOWER(Z385&amp;""),"1","0"),"2","0"),"3","0"),"4","0"),"5","0"),"6","0"),"7","0"),"8","0"),"9","0")</f>
        <v/>
      </c>
      <c r="BN385" s="61" t="str">
        <f aca="false">SUBSTITUTE(SUBSTITUTE(SUBSTITUTE(SUBSTITUTE(SUBSTITUTE(SUBSTITUTE(SUBSTITUTE(SUBSTITUTE(SUBSTITUTE(SUBSTITUTE(SUBSTITUTE(SUBSTITUTE(SUBSTITUTE(SUBSTITUTE(SUBSTITUTE(SUBSTITUTE(SUBSTITUTE(SUBSTITUTE(SUBSTITUTE(SUBSTITUTE(SUBSTITUTE(SUBSTITUTE(SUBSTITUTE(SUBSTITUTE(SUBSTITUTE(BM385,"b","a"),"c","a"),"d","a"),"e","a"),"f","a"),"g","a"),"h","a"),"i","a"),"j","a"),"k","a"),"l","a"),"m","a"),"n","a"),"o","a"),"p","a"),"q","a"),"r","a"),"s","a"),"t","a"),"u","a"),"v","a"),"w","a"),"x","a"),"y","a"),"z","a")</f>
        <v/>
      </c>
      <c r="BO385" s="61" t="str">
        <f aca="false">SUBSTITUTE(SUBSTITUTE(SUBSTITUTE(SUBSTITUTE(SUBSTITUTE(SUBSTITUTE(SUBSTITUTE(SUBSTITUTE(SUBSTITUTE(LOWER(W385&amp;""),"1","0"),"2","0"),"3","0"),"4","0"),"5","0"),"6","0"),"7","0"),"8","0"),"9","0")</f>
        <v/>
      </c>
      <c r="BP385" s="61" t="str">
        <f aca="false">SUBSTITUTE(SUBSTITUTE(SUBSTITUTE(SUBSTITUTE(SUBSTITUTE(SUBSTITUTE(SUBSTITUTE(SUBSTITUTE(SUBSTITUTE(SUBSTITUTE(SUBSTITUTE(SUBSTITUTE(SUBSTITUTE(SUBSTITUTE(SUBSTITUTE(SUBSTITUTE(SUBSTITUTE(SUBSTITUTE(SUBSTITUTE(SUBSTITUTE(SUBSTITUTE(SUBSTITUTE(SUBSTITUTE(SUBSTITUTE(SUBSTITUTE(BO385,"b","a"),"c","a"),"d","a"),"e","a"),"f","a"),"g","a"),"h","a"),"i","a"),"j","a"),"k","a"),"l","a"),"m","a"),"n","a"),"o","a"),"p","a"),"q","a"),"r","a"),"s","a"),"t","a"),"u","a"),"v","a"),"w","a"),"x","a"),"y","a"),"z","a")</f>
        <v/>
      </c>
      <c r="BQ385" s="61" t="n">
        <f aca="false">IFERROR(IF(AND(ISERROR(SEARCH(" mh"," "&amp;LOWER(W385))),ISNA(MATCH(LEFT(TRIM(BP385),255),{"0000a","000a","00a","0000aa","000aa","00aa","0aa","0000aaa","000aaa","00a00","0a00","0000-0000","00:00","a00","a0","00.00.0000","00/00/0000","00-00-0000","0000-00-00","0000/00/00","0000.00.00","00.00.00","00/00/00","00-00-00","0.00.0000","0/00/0000","0-00-0000"},0)),ISNA(MATCH(LEFT(TRIM(CA385),255),{"0000a","000a","00a","0000aa","000aa","00aa","0aa","0000aaa","000aaa","00a00","0a00","0000-0000","00:00","a00","a0","00.00.0000","00/00/0000","00-00-0000","0000-00-00","0000/00/00","0000.00.00","00.00.00","00/00/00","00-00-00","0.00.0000","0/00/0000","0-00-0000"},0)),LEN(CB385)&gt;=3,NOT(OR(SUBSTITUTE(CB385,"0","")="",AND(LEN(CB385)&gt;=4,CB385=REPT(LEFT(CB385),LEN(CB385))),ISNUMBER(MATCH(CB385,{"123","1234","12345","123456","1234567","12345678","0123","01234","012345","98765","987654","54321"},0)),AND(LEN(CB385)=8,LEFT(CB385,3)="202"))),OR(AND((LEN(CA385)-LEN(SUBSTITUTE(CA385,"a","")))&gt;=1,SUMPRODUCT(--ISNUMBER(SEARCH({"a0","a-0","a_0","a/0","a.0","a#0","0a","0-a","0_a","0/a"},BP385)))&gt;0),ISNUMBER(SEARCH("000000",BP385)))),1,0),0)</f>
        <v>0</v>
      </c>
      <c r="BR385" s="61" t="n">
        <f aca="false">IFERROR(LEN(SUBSTITUTE(CC385," ",""))-SUMPRODUCT((LEN(CC385)-LEN(SUBSTITUTE(CC385," "&amp;L_Role&amp;" "," ")))/(LEN(L_Role)+1)*LEN(L_Role)),0)</f>
        <v>0</v>
      </c>
      <c r="BS385" s="61" t="n">
        <f aca="false">IFERROR(LEN(SUBSTITUTE(CD385," ",""))-SUMPRODUCT((LEN(CD385)-LEN(SUBSTITUTE(CD385," "&amp;L_Role&amp;" "," ")))/(LEN(L_Role)+1)*LEN(L_Role)),0)</f>
        <v>0</v>
      </c>
      <c r="BT3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385,"revision",""),"version",""),"jan",""),"feb",""),"mar",""),"apr",""),"may",""),"jun",""),"jul",""),"aug",""),"sep",""),"oct",""),"nov",""),"dec",""),"utc",""),"gmt",""),"myt",""),"bst",""),"rev",""),"ver",""),"b","a"),"c","a"),"d","a"),"e","a"),"f","a"),"g","a"),"h","a"),"i","a"),"j","a"),"k","a"),"l","a"),"m","a"),"n","a"),"o","a"),"p","a"),"q","a"),"r","a"),"s","a"),"t","a"),"u","a"),"v","a"),"w","a"),"x","a"),"y","a"),"z","a")</f>
        <v/>
      </c>
      <c r="BU385" s="61" t="str">
        <f aca="false">SUBSTITUTE(SUBSTITUTE(SUBSTITUTE(SUBSTITUTE(SUBSTITUTE(SUBSTITUTE(SUBSTITUTE(SUBSTITUTE(SUBSTITUTE(SUBSTITUTE(LEFT(BM385,FIND("0",BM385&amp;"0")-1),"-",""),"_",""),"/",""),".",""),"#",""),"\\",""),":","")," ",""),"(",""),")","")</f>
        <v/>
      </c>
      <c r="BV385" s="61" t="n">
        <f aca="false">0</f>
        <v>0</v>
      </c>
      <c r="BW3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385&amp;""),"a",""),"b",""),"c",""),"d",""),"e",""),"f",""),"g",""),"h",""),"i",""),"j",""),"k",""),"l",""),"m",""),"n",""),"o",""),"p",""),"q",""),"r",""),"s",""),"t",""),"u",""),"v",""),"w",""),"x",""),"y",""),"z",""),"-",""),"_",""),"/",""),".",""),"#",""),"\\",""),":","")," ",""),"(",""),")","")</f>
        <v/>
      </c>
      <c r="BX385" s="61" t="str">
        <f aca="false">SUBSTITUTE(SUBSTITUTE(SUBSTITUTE(SUBSTITUTE(SUBSTITUTE(SUBSTITUTE(SUBSTITUTE(SUBSTITUTE(SUBSTITUTE(SUBSTITUTE(SUBSTITUTE(BM385,"0",""),"-",""),"_",""),"/",""),".",""),"#",""),"\\",""),":","")," ",""),"(",""),")","")</f>
        <v/>
      </c>
      <c r="BY385" s="62" t="n">
        <f aca="false">Q385-T7EarlyD*24/24</f>
        <v>46286.6006944444</v>
      </c>
      <c r="BZ385" s="61" t="n">
        <f aca="false">IFERROR(IF(IF(TRIM(S385)="Link / file path",AND(LEN(TRIM(Z385))&gt;=5,SUMPRODUCT(--ISNUMBER(SEARCH({"http","www.","\\",":\",".pdf",".jpg",".jpeg",".png",".heic",".xls",".doc",".msg",".eml",".ppt",".txt",".zip"},Z385)))&gt;0),AND(ISERROR(FIND(" ",TRIM(Z385))),NOT(OR(SUMPRODUCT(--ISNUMBER(FIND({",",";","&amp;","+"},Z385)))&gt;0,SUMPRODUCT(--ISNUMBER(SEARCH({"0/aa","0\\aa"},BN385)))&gt;0)),NOT(SUMPRODUCT(--ISNUMBER(SEARCH({"http","www.","\\",":\",".pdf",".jpg",".jpeg",".png",".heic",".xls",".doc",".msg",".eml",".ppt",".txt",".zip"},Z385)))&gt;0),NOT(LOWER(TRIM(Z385))=LOWER(Flights!$F$16)),ISNA(MATCH(BU385,{"mh","rev","revision","ver","version","v","r","a","b","seat","tray","row","gate","bay","stand","page","pg","item","line","no","cart","galley","flight","flt","table","box","bag","oven","etd","eta","std","sta","atd","ata","qty","pax","x","time","tel","ph","mob","day","wk","week","utc","gmt","myt","lt"},0)),NOT(OR(ISNUMBER(MATCH(LEFT(BN385,255),{"0000a","000a","00a","0000aa","000aa","00aa","0aa","0000aaa","000aaa","00a00","0a00","0000-0000","00:00","a00","a0","00.00.0000","00/00/0000","00-00-0000","0000-00-00","0000/00/00","0000.00.00","00.00.00","00/00/00","00-00-00","0.00.0000","0/00/0000","0-00-0000"},0)),ISNUMBER(MATCH(LEFT(BT385,255),{"0000a","000a","00a","0000aa","000aa","00aa","0aa","0000aaa","000aaa","00a00","0a00","0000-0000","00:00","a00","a0","00.00.0000","00/00/0000","00-00-0000","0000-00-00","0000/00/00","0000.00.00","00.00.00","00/00/00","00-00-00","0.00.0000","0/00/0000","0-00-0000"},0)))),NOT(OR(AND(BW385&lt;&gt;"",SUBSTITUTE(BW385,"0","")=""),AND(LEN(BW385)&gt;=4,BW385=REPT(LEFT(BW385),LEN(BW385))),ISNUMBER(MATCH(BW385,{"123","1234","12345","123456","1234567","12345678","0123","01234","012345","98765","987654","54321"},0)),ISNUMBER(MATCH(BX385,{"x","xx","xxx","xxxx","xxxxx","abc","abcd","nil","na","nan","test","tbc","tba","tbd","dummy","sample","example","eg","zz","zzz","none","null","xyz","qwe","asd","id","ref"},0)),AND(LEN(BW385)=8,BX385="",OR(LEFT(BW385,3)="202",ISNUMBER(MATCH(RIGHT(BW385,4),{"2025","2026","2027"},0)))))),OR(AND((LEN(BT385)-LEN(SUBSTITUTE(BT385,"a","")))&gt;=1,(LEN(BN385)-LEN(SUBSTITUTE(BN385,"0","")))&gt;=2,SUMPRODUCT(--ISNUMBER(SEARCH({"a0","a-0","a_0","a/0","a.0","a#0","0a","0-a","0_a","0/a"},BN385)))&gt;0),AND((LEN(BN385)-LEN(SUBSTITUTE(BN385,"a","")))=0,(LEN(BN385)-LEN(SUBSTITUTE(BN385,"0","")))&gt;=5)))),1,0),0)</f>
        <v>0</v>
      </c>
      <c r="CA3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385,"revision",""),"version",""),"jan",""),"feb",""),"mar",""),"apr",""),"may",""),"jun",""),"jul",""),"aug",""),"sep",""),"oct",""),"nov",""),"dec",""),"utc",""),"gmt",""),"myt",""),"bst",""),"rev",""),"ver",""),"b","a"),"c","a"),"d","a"),"e","a"),"f","a"),"g","a"),"h","a"),"i","a"),"j","a"),"k","a"),"l","a"),"m","a"),"n","a"),"o","a"),"p","a"),"q","a"),"r","a"),"s","a"),"t","a"),"u","a"),"v","a"),"w","a"),"x","a"),"y","a"),"z","a")</f>
        <v/>
      </c>
      <c r="CB3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385&amp;""),"a",""),"b",""),"c",""),"d",""),"e",""),"f",""),"g",""),"h",""),"i",""),"j",""),"k",""),"l",""),"m",""),"n",""),"o",""),"p",""),"q",""),"r",""),"s",""),"t",""),"u",""),"v",""),"w",""),"x",""),"y",""),"z",""),"-",""),"_",""),"/",""),".",""),"#",""),"\\",""),":","")," ",""),"(",""),")","")</f>
        <v/>
      </c>
      <c r="CC385" s="0" t="str">
        <f aca="false">" "&amp;TRIM(SUBSTITUTE(SUBSTITUTE(SUBSTITUTE(SUBSTITUTE(SUBSTITUTE(SUBSTITUTE(SUBSTITUTE(SUBSTITUTE(SUBSTITUTE(SUBSTITUTE(SUBSTITUTE(SUBSTITUTE(SUBSTITUTE(SUBSTITUTE(SUBSTITUTE(SUBSTITUTE(SUBSTITUTE(SUBSTITUTE(SUBSTITUTE(SUBSTITUTE(SUBSTITUTE(SUBSTITUTE(SUBSTITUTE(SUBSTITUTE(LOWER(T385&amp;""),CHAR(10)," "),CHAR(13)," "),CHAR(9)," "),CHAR(160)," "),"."," "),","," "),"-"," "),"/"," "),"("," "),")"," "),":"," "),";"," "),"_"," "),"–"," "),"?"," "),"!"," "),"*"," "),"["," "),"]"," "),"'"," "),"#"," "),"+"," "),"&amp;"," "),"\"," "))&amp;" "</f>
        <v>  </v>
      </c>
      <c r="CD385" s="0" t="str">
        <f aca="false">" "&amp;TRIM(SUBSTITUTE(SUBSTITUTE(SUBSTITUTE(SUBSTITUTE(SUBSTITUTE(SUBSTITUTE(SUBSTITUTE(SUBSTITUTE(SUBSTITUTE(SUBSTITUTE(SUBSTITUTE(SUBSTITUTE(SUBSTITUTE(SUBSTITUTE(SUBSTITUTE(SUBSTITUTE(SUBSTITUTE(SUBSTITUTE(SUBSTITUTE(SUBSTITUTE(SUBSTITUTE(SUBSTITUTE(SUBSTITUTE(SUBSTITUTE(LOWER(AE385&amp;""),CHAR(10)," "),CHAR(13)," "),CHAR(9)," "),CHAR(160)," "),"."," "),","," "),"-"," "),"/"," "),"("," "),")"," "),":"," "),";"," "),"_"," "),"–"," "),"?"," "),"!"," "),"*"," "),"["," "),"]"," "),"'"," "),"#"," "),"+"," "),"&amp;"," "),"\"," "))&amp;" "</f>
        <v>  </v>
      </c>
      <c r="CE385" s="68" t="n">
        <f aca="false">IFERROR(IF(AND(LEN(AU385)&gt;0,LEN(AU385)=LEN(AX385),OR(TRIM(MID(SUBSTITUTE(TRIM(CC385)," ",REPT(" ",60)),1,60))="",ISNUMBER(SEARCH(" "&amp;TRIM(MID(SUBSTITUTE(TRIM(CC385)," ",REPT(" ",60)),1,60))&amp;" ",CD385))),OR(TRIM(MID(SUBSTITUTE(TRIM(CC385)," ",REPT(" ",60)),61,60))="",ISNUMBER(SEARCH(" "&amp;TRIM(MID(SUBSTITUTE(TRIM(CC385)," ",REPT(" ",60)),61,60))&amp;" ",CD385))),OR(TRIM(MID(SUBSTITUTE(TRIM(CC385)," ",REPT(" ",60)),121,60))="",ISNUMBER(SEARCH(" "&amp;TRIM(MID(SUBSTITUTE(TRIM(CC385)," ",REPT(" ",60)),121,60))&amp;" ",CD385)))),1,0),0)</f>
        <v>0</v>
      </c>
      <c r="CG385" s="68" t="n">
        <f aca="false">IFERROR(LEN(SUBSTITUTE(BF385," ",""))-SUMPRODUCT((LEN(BF385)-LEN(SUBSTITUTE(BF385," "&amp;L_NAFiller&amp;" "," ")))/(LEN(L_NAFiller)+1)*LEN(L_NAFiller)),0)</f>
        <v>0</v>
      </c>
    </row>
    <row r="386" customFormat="false" ht="39.75" hidden="false" customHeight="true" outlineLevel="0" collapsed="false">
      <c r="A386" s="57" t="s">
        <v>999</v>
      </c>
      <c r="B386" s="57" t="s">
        <v>261</v>
      </c>
      <c r="C386" s="57" t="str">
        <f aca="false">Flights!$F$16</f>
        <v>MH0139</v>
      </c>
      <c r="D386" s="58" t="n">
        <f aca="false">Flights!$D$16</f>
        <v>46307</v>
      </c>
      <c r="E386" s="57" t="str">
        <f aca="false">Flights!$G$16&amp;"-"&amp;Flights!$H$16</f>
        <v>KUL-ADL</v>
      </c>
      <c r="F386" s="57" t="str">
        <f aca="false">Flights!$K$16</f>
        <v>BC</v>
      </c>
      <c r="G386" s="57" t="s">
        <v>81</v>
      </c>
      <c r="H386" s="57" t="s">
        <v>378</v>
      </c>
      <c r="I386" s="57" t="s">
        <v>405</v>
      </c>
      <c r="J386" s="57" t="s">
        <v>406</v>
      </c>
      <c r="K386" s="67" t="s">
        <v>407</v>
      </c>
      <c r="L386" s="67" t="s">
        <v>382</v>
      </c>
      <c r="M386" s="67"/>
      <c r="N386" s="67" t="s">
        <v>383</v>
      </c>
      <c r="O386" s="67"/>
      <c r="P386" s="57" t="s">
        <v>187</v>
      </c>
      <c r="Q386" s="59" t="n">
        <f aca="false">ROUND((Flights!$AC$16)*1440,0)/1440</f>
        <v>46300.6006944444</v>
      </c>
      <c r="R386" s="59" t="n">
        <f aca="false">Q386+(IF(AND(INDEX(TZ_DSTS,MATCH(P386,TZ_STN,0))&lt;&gt;"",Q386&gt;=INDEX(TZ_DSTS,MATCH(P386,TZ_STN,0)),Q386&lt;INDEX(TZ_DSTE,MATCH(P386,TZ_STN,0))),INDEX(TZ_DST,MATCH(P386,TZ_STN,0)),INDEX(TZ_STD,MATCH(P386,TZ_STN,0))))/24</f>
        <v>46300.9340277778</v>
      </c>
      <c r="S386" s="60"/>
      <c r="T386" s="60"/>
      <c r="U386" s="60"/>
      <c r="V386" s="60"/>
      <c r="W386" s="61"/>
      <c r="X386" s="60"/>
      <c r="Y386" s="60"/>
      <c r="Z386" s="60"/>
      <c r="AA386" s="60"/>
      <c r="AB386" s="60"/>
      <c r="AC386" s="60"/>
      <c r="AD386" s="66"/>
      <c r="AE386" s="60"/>
      <c r="AF386" s="61" t="str">
        <f aca="false">IF(AND(ISNUMBER(X386),ISNUMBER(Y386)),Y386-X386,"")</f>
        <v/>
      </c>
      <c r="AG386" s="62" t="str">
        <f aca="false">IF(ISNUMBER(AD386),AD386-(IF(AND(INDEX(TZ_DSTS,MATCH(P386,TZ_STN,0))&lt;&gt;"",(AD386-INDEX(TZ_STD,MATCH(P386,TZ_STN,0))/24)&gt;=INDEX(TZ_DSTS,MATCH(P386,TZ_STN,0)),(AD386-INDEX(TZ_STD,MATCH(P386,TZ_STN,0))/24)&lt;INDEX(TZ_DSTE,MATCH(P386,TZ_STN,0))),INDEX(TZ_DST,MATCH(P386,TZ_STN,0)),INDEX(TZ_STD,MATCH(P386,TZ_STN,0))))/24,"")</f>
        <v/>
      </c>
      <c r="AH386" s="65" t="str">
        <f aca="false">IFERROR(IF(N386="N/A – rule",IF(OR(TRIM(U386)="",TRIM(U386)="N/A",TRIM(U386)="Not started"),"N/A – RULE","INVALID – this check does not apply to this aircraft: clear the status (or correct the fleet on Flights)"),IF(TRIM(U386)="N/A",IF(AT386=0,"INVALID – N/A not permitted for this check",IF(AND(TRIM(AB386)&lt;&gt;"",TRIM(AB386)&lt;&gt;"Closed"),"INVALID – corrective action still open",IF(AND(NOT(OR(LEN(AZ386)&lt;15,ISNUMBER(MATCH(AZ386,L_Placeholder,0)))),BK386=0,CG386&gt;=8,NOT(OR(LEN(AU386)&lt;2,ISNUMBER(MATCH(AU386,L_Placeholder,0)))),BR386&gt;=3,NOT(OR(LEN(AX386)&lt;2,ISNUMBER(MATCH(AX386,L_Placeholder,0)))),BS386&gt;=3,TRIM(AE386)&lt;&gt;TRIM(T386),AX386&lt;&gt;AU386,CE386=0),"N/A – JUSTIFIED","INVALID – N/A needs a real, settled reason (not 'not applicable' / 'as above' / TBC), a named PIC and a different named verifier"))),IF(OR(TRIM(U386)="Pass",TRIM(U386)="Pass after CA"),IF(NOT(ISNUMBER(AD386)),"INVALID – completion time missing",IF(OR(OR(LEN(AU386)&lt;2,ISNUMBER(MATCH(AU386,L_Placeholder,0))),BR386&lt;3),"INVALID – PIC missing or not a named person (a role such as QA / CSM is not a name)",IF(OR(LEN(AV386)&lt;2,ISNUMBER(MATCH(AV386,L_Placeholder,0))),"INVALID – result / assessment missing",IF(OR(OR(LEN(AW386)&lt;3,ISNUMBER(MATCH(AW386,L_Placeholder,0))),SUMPRODUCT(--ISNUMBER(SEARCH(" "&amp;L_EvidencePhrase&amp;" ",BD386)))&gt;0,BI386=1),"INVALID – evidence missing, placeholder or not yet on file",IF(ISNA(MATCH(TRIM(S386),L_EvidenceType,0)),"INVALID – choose the evidence type from the list (column S)",IF(BL386=0,"INVALID – evidence ID must be the record's own ID only (e.g. SF-2210, IMG_2231, 1045521); a link / file name needs type 'Link / file path'",IF(OR(OR(LEN(AX386)&lt;2,ISNUMBER(MATCH(AX386,L_Placeholder,0))),BS386&lt;3),"INVALID – verifier missing or not a named person (a role such as QA / CSM is not a name)",IF(OR(AX386=AU386,CE386=1,AND(LEN(AU386)&gt;=4,ISNUMBER(SEARCH(AU386,AX386))),AND(LEN(AX386)&gt;=4,ISNUMBER(SEARCH(AX386,AU386)))),"INVALID – verifier must be a different, named person (not the PIC or a role)",IF(BH386=1,"INVALID – result not yet available (awaiting / TBC)",IF(BG386=1,"INVALID – result describes a problem: record Fail, then Pass after CA (or reword if it is not a problem)",IF(BV386=1,"INVALID – wording says not on board: an on-board confirmation needs the item loaded",IF(AND(AQ386=1,OR(OR(LEN(AY386)&lt;3,ISNUMBER(MATCH(AY386,L_Placeholder,0))),BJ386=1,BQ386=0)),"INVALID – batch ID missing, placeholder or not an ID (e.g. PASB-261008-BC-017)",IF(AND(AR386=1,OR(NOT(ISNUMBER(X386)),NOT(ISNUMBER(Y386)))),"INVALID – expected/actual qty missing",IF(AND(AR386=1,OR(X386&lt;=0,Y386&lt;0)),"INVALID – expected qty must be above 0 and actual not negative",IF(BB386&lt;&gt;"",BB386,IF(AND(AS386=1,Documents!$J$16&lt;&gt;"ON FILE"),"INVALID – GLD not on file (Documents sheet)",IF(AND(AS386=2,Documents!$O$16&lt;&gt;"ON FILE"),"INVALID – menu checklist not on file (Documents sheet)",IF(AND(AS386=3,NOT(ISNUMBER(Flights!$AX$16))),"INVALID – enter carrying flight KUL departure (Flights AX)",IF(AND(AS386=3,OR(Flights!$AZ$16&gt;Flights!$AA$16,Flights!$AX$16&lt;Flights!$AA$16-3)),"INVALID – carrying flight (Flights AX) cannot arrive before this leg's STD, or is over 3 days early",IF(AG386&gt;AsOfUTC,"INVALID – completion time is in the future",IF(AND(ISNUMBER(BY386),AG386&lt;BY386),IF(H386="Physical uplift","INVALID – before uplift window (cannot confirm loading)","INVALID – before valid window"),IF(AG386&gt;Flights!$AA$16,"INVALID – completed after departure (cannot establish readiness)",IF(AND(H386="Preparation",AG386&gt;=IF(ISNUMBER(Flights!$BA$16),MIN(Flights!$BA$16,Flights!$AA$16),Flights!$AA$16)),"INVALID – completed after loading / departure (cannot establish readiness)",IF(AND(H386="Physical uplift",AG386&gt;Q386),"INVALID – recorded after the loading flight departed",IF(AG386&gt;Q386,"COMPLETE – LATE","COMPLETE"))))))))))))))))))))))))),IF(TRIM(U386)="Fail","FAIL – DISCREPANCY",IF(AND(TRIM(U386)&lt;&gt;"",TRIM(U386)&lt;&gt;"Not started",TRIM(U386)&lt;&gt;"In progress"),"INVALID – unrecognised status (use the list)",IF(AsOfUTC&gt;Q386,"OVERDUE",IF(N386="Clarification required","OPEN – CLARIFICATION","OPEN"))))))),"INVALID – error value in an input cell")</f>
        <v>OPEN</v>
      </c>
      <c r="AI386" s="61" t="n">
        <f aca="false">IF(OR(AH386="N/A – RULE",AH386="N/A – JUSTIFIED"),0,1)</f>
        <v>1</v>
      </c>
      <c r="AJ386" s="61" t="n">
        <f aca="false">IF(LEFT(AH386,8)="COMPLETE",1,0)</f>
        <v>0</v>
      </c>
      <c r="AK386" s="61" t="n">
        <f aca="false">IF(AND(AI386=1,AJ386=0,AsOfUTC&gt;Q386),1,0)</f>
        <v>0</v>
      </c>
      <c r="AL386" s="61" t="n">
        <f aca="false">IFERROR(IF(AND(AI386=1,OR(TRIM(U386)="Fail",AND(TRIM(AB386)&lt;&gt;"",TRIM(AB386)&lt;&gt;"Closed"),AND(ISNUMBER(AF386),AF386&lt;&gt;0,TRIM(U386)&lt;&gt;"Pass after CA"))),1,0),1)</f>
        <v>0</v>
      </c>
      <c r="AM386" s="61" t="n">
        <f aca="false">IF(LEFT(AH386,7)="INVALID",1,0)</f>
        <v>0</v>
      </c>
      <c r="AN386" s="61" t="n">
        <f aca="false">IF(AND(N386="Clarification required",AI386=1,AJ386=0),1,0)</f>
        <v>0</v>
      </c>
      <c r="AO386" s="61" t="str">
        <f aca="false">IF(AK386=1,SUM(AK$5:AK386),"")</f>
        <v/>
      </c>
      <c r="AP386" s="61" t="str">
        <f aca="false">IF(AL386=1,SUM(AL$5:AL386),"")</f>
        <v/>
      </c>
      <c r="AQ386" s="61" t="n">
        <v>0</v>
      </c>
      <c r="AR386" s="61" t="n">
        <v>0</v>
      </c>
      <c r="AS386" s="61" t="n">
        <v>1</v>
      </c>
      <c r="AT386" s="61" t="n">
        <v>0</v>
      </c>
      <c r="AU386" s="61" t="str">
        <f aca="false">SUBSTITUTE(SUBSTITUTE(SUBSTITUTE(SUBSTITUTE(SUBSTITUTE(SUBSTITUTE(SUBSTITUTE(SUBSTITUTE(SUBSTITUTE(SUBSTITUTE(SUBSTITUTE(SUBSTITUTE(SUBSTITUTE(SUBSTITUTE(SUBSTITUTE(SUBSTITUTE(LOWER(T386&amp;""),CHAR(10),""),CHAR(13),""),CHAR(9),""),CHAR(160),"")," ",""),".",""),"-",""),"/",""),"?",""),"_",""),",",""),"[",""),"]",""),"(",""),")",""),"*","")</f>
        <v/>
      </c>
      <c r="AV386" s="61" t="str">
        <f aca="false">SUBSTITUTE(SUBSTITUTE(SUBSTITUTE(SUBSTITUTE(SUBSTITUTE(SUBSTITUTE(SUBSTITUTE(SUBSTITUTE(SUBSTITUTE(SUBSTITUTE(SUBSTITUTE(SUBSTITUTE(SUBSTITUTE(SUBSTITUTE(SUBSTITUTE(SUBSTITUTE(LOWER(V386&amp;""),CHAR(10),""),CHAR(13),""),CHAR(9),""),CHAR(160),"")," ",""),".",""),"-",""),"/",""),"?",""),"_",""),",",""),"[",""),"]",""),"(",""),")",""),"*","")</f>
        <v/>
      </c>
      <c r="AW386" s="61" t="str">
        <f aca="false">SUBSTITUTE(SUBSTITUTE(SUBSTITUTE(SUBSTITUTE(SUBSTITUTE(SUBSTITUTE(SUBSTITUTE(SUBSTITUTE(SUBSTITUTE(SUBSTITUTE(SUBSTITUTE(SUBSTITUTE(SUBSTITUTE(SUBSTITUTE(SUBSTITUTE(SUBSTITUTE(LOWER(Z386&amp;""),CHAR(10),""),CHAR(13),""),CHAR(9),""),CHAR(160),"")," ",""),".",""),"-",""),"/",""),"?",""),"_",""),",",""),"[",""),"]",""),"(",""),")",""),"*","")</f>
        <v/>
      </c>
      <c r="AX386" s="61" t="str">
        <f aca="false">SUBSTITUTE(SUBSTITUTE(SUBSTITUTE(SUBSTITUTE(SUBSTITUTE(SUBSTITUTE(SUBSTITUTE(SUBSTITUTE(SUBSTITUTE(SUBSTITUTE(SUBSTITUTE(SUBSTITUTE(SUBSTITUTE(SUBSTITUTE(SUBSTITUTE(SUBSTITUTE(LOWER(AE386&amp;""),CHAR(10),""),CHAR(13),""),CHAR(9),""),CHAR(160),"")," ",""),".",""),"-",""),"/",""),"?",""),"_",""),",",""),"[",""),"]",""),"(",""),")",""),"*","")</f>
        <v/>
      </c>
      <c r="AY386" s="61" t="str">
        <f aca="false">SUBSTITUTE(SUBSTITUTE(SUBSTITUTE(SUBSTITUTE(SUBSTITUTE(SUBSTITUTE(SUBSTITUTE(SUBSTITUTE(SUBSTITUTE(SUBSTITUTE(SUBSTITUTE(SUBSTITUTE(SUBSTITUTE(SUBSTITUTE(SUBSTITUTE(SUBSTITUTE(LOWER(W386&amp;""),CHAR(10),""),CHAR(13),""),CHAR(9),""),CHAR(160),"")," ",""),".",""),"-",""),"/",""),"?",""),"_",""),",",""),"[",""),"]",""),"(",""),")",""),"*","")</f>
        <v/>
      </c>
      <c r="AZ386" s="61" t="str">
        <f aca="false">SUBSTITUTE(SUBSTITUTE(SUBSTITUTE(SUBSTITUTE(SUBSTITUTE(SUBSTITUTE(SUBSTITUTE(SUBSTITUTE(SUBSTITUTE(SUBSTITUTE(SUBSTITUTE(SUBSTITUTE(SUBSTITUTE(SUBSTITUTE(SUBSTITUTE(SUBSTITUTE(LOWER(AC386&amp;""),CHAR(10),""),CHAR(13),""),CHAR(9),""),CHAR(160),"")," ",""),".",""),"-",""),"/",""),"?",""),"_",""),",",""),"[",""),"]",""),"(",""),")",""),"*","")</f>
        <v/>
      </c>
      <c r="BA386" s="61" t="str">
        <f aca="false">SUBSTITUTE(SUBSTITUTE(SUBSTITUTE(SUBSTITUTE(SUBSTITUTE(SUBSTITUTE(SUBSTITUTE(SUBSTITUTE(SUBSTITUTE(SUBSTITUTE(SUBSTITUTE(SUBSTITUTE(SUBSTITUTE(SUBSTITUTE(SUBSTITUTE(SUBSTITUTE(LOWER(AA386&amp;""),CHAR(10),""),CHAR(13),""),CHAR(9),""),CHAR(160),"")," ",""),".",""),"-",""),"/",""),"?",""),"_",""),",",""),"[",""),"]",""),"(",""),")",""),"*","")</f>
        <v/>
      </c>
      <c r="BB386" s="61" t="str">
        <f aca="false">IF(AND(TRIM(U386)="Pass",ISNUMBER(AF386)),IF(AF386&lt;&gt;0,"INVALID – qty variance: use Fail or Pass after CA",""),"")&amp;IF(AND(TRIM(U386)="Pass after CA",ISNUMBER(AF386)),IF(AF386&lt;&gt;0,"INVALID – after the corrective action the actual qty must equal expected (update Actual)",""),"")&amp;IF(AND(TRIM(U386)="Pass",TRIM(AB386)&lt;&gt;"",TRIM(AB386)&lt;&gt;"Closed"),"INVALID – corrective action not closed: use Fail, then Pass after CA","")&amp;IF(AND(LEN(BA386)&gt;=2,ISNA(MATCH(LEFT(BA386,255),L_Placeholder,0)),TRIM(AB386)=""),"INVALID – CA status missing for the recorded corrective action","")&amp;IF(AND(TRIM(U386)="Pass after CA",OR(OR(LEN(BA386)&lt;5,ISNUMBER(MATCH(BA386,L_Placeholder,0))),TRIM(AB386)&lt;&gt;"Closed")),"INVALID – corrective action not recorded/closed","")</f>
        <v/>
      </c>
      <c r="BC386" s="61" t="str">
        <f aca="false">" "&amp;TRIM(SUBSTITUTE(SUBSTITUTE(SUBSTITUTE(SUBSTITUTE(SUBSTITUTE(SUBSTITUTE(SUBSTITUTE(SUBSTITUTE(SUBSTITUTE(SUBSTITUTE(SUBSTITUTE(SUBSTITUTE(SUBSTITUTE(SUBSTITUTE(SUBSTITUTE(SUBSTITUTE(SUBSTITUTE(SUBSTITUTE(SUBSTITUTE(SUBSTITUTE(SUBSTITUTE(SUBSTITUTE(SUBSTITUTE(SUBSTITUTE(LOWER(V386&amp;""),CHAR(10)," "),CHAR(13)," "),CHAR(9)," "),CHAR(160)," "),"."," "),","," "),"-"," "),"/"," "),"("," "),")"," "),":"," "),";"," "),"_"," "),"–"," "),"?"," "),"!"," "),"*"," "),"["," "),"]"," "),"'"," "),"#"," "),"+"," "),"&amp;"," "),"\"," "))&amp;" "</f>
        <v>  </v>
      </c>
      <c r="BD386" s="61" t="str">
        <f aca="false">" "&amp;TRIM(SUBSTITUTE(SUBSTITUTE(SUBSTITUTE(SUBSTITUTE(SUBSTITUTE(SUBSTITUTE(SUBSTITUTE(SUBSTITUTE(SUBSTITUTE(SUBSTITUTE(SUBSTITUTE(SUBSTITUTE(SUBSTITUTE(SUBSTITUTE(SUBSTITUTE(SUBSTITUTE(SUBSTITUTE(SUBSTITUTE(SUBSTITUTE(SUBSTITUTE(SUBSTITUTE(SUBSTITUTE(SUBSTITUTE(SUBSTITUTE(LOWER(Z386&amp;""),CHAR(10)," "),CHAR(13)," "),CHAR(9)," "),CHAR(160)," "),"."," "),","," "),"-"," "),"/"," "),"("," "),")"," "),":"," "),";"," "),"_"," "),"–"," "),"?"," "),"!"," "),"*"," "),"["," "),"]"," "),"'"," "),"#"," "),"+"," "),"&amp;"," "),"\"," "))&amp;" "</f>
        <v>  </v>
      </c>
      <c r="BE386" s="61" t="str">
        <f aca="false">" "&amp;TRIM(SUBSTITUTE(SUBSTITUTE(SUBSTITUTE(SUBSTITUTE(SUBSTITUTE(SUBSTITUTE(SUBSTITUTE(SUBSTITUTE(SUBSTITUTE(SUBSTITUTE(SUBSTITUTE(SUBSTITUTE(SUBSTITUTE(SUBSTITUTE(SUBSTITUTE(SUBSTITUTE(SUBSTITUTE(SUBSTITUTE(SUBSTITUTE(SUBSTITUTE(SUBSTITUTE(SUBSTITUTE(SUBSTITUTE(SUBSTITUTE(LOWER(W386&amp;""),CHAR(10)," "),CHAR(13)," "),CHAR(9)," "),CHAR(160)," "),"."," "),","," "),"-"," "),"/"," "),"("," "),")"," "),":"," "),";"," "),"_"," "),"–"," "),"?"," "),"!"," "),"*"," "),"["," "),"]"," "),"'"," "),"#"," "),"+"," "),"&amp;"," "),"\"," "))&amp;" "</f>
        <v>  </v>
      </c>
      <c r="BF386" s="61" t="str">
        <f aca="false">" "&amp;TRIM(SUBSTITUTE(SUBSTITUTE(SUBSTITUTE(SUBSTITUTE(SUBSTITUTE(SUBSTITUTE(SUBSTITUTE(SUBSTITUTE(SUBSTITUTE(SUBSTITUTE(SUBSTITUTE(SUBSTITUTE(SUBSTITUTE(SUBSTITUTE(SUBSTITUTE(SUBSTITUTE(SUBSTITUTE(SUBSTITUTE(SUBSTITUTE(SUBSTITUTE(SUBSTITUTE(SUBSTITUTE(SUBSTITUTE(SUBSTITUTE(LOWER(AC386&amp;""),CHAR(10)," "),CHAR(13)," "),CHAR(9)," "),CHAR(160)," "),"."," "),","," "),"-"," "),"/"," "),"("," "),")"," "),":"," "),";"," "),"_"," "),"–"," "),"?"," "),"!"," "),"*"," "),"["," "),"]"," "),"'"," "),"#"," "),"+"," "),"&amp;"," "),"\"," "))&amp;" "</f>
        <v>  </v>
      </c>
      <c r="BG386" s="61" t="n">
        <f aca="false">IFERROR(IF(AND(TRIM(U386)="Pass",SUMPRODUCT((LEN(BC386)-LEN(SUBSTITUTE(BC386," "&amp;L_ResultBad&amp;" "," ")))/(LEN(L_ResultBad)+1))&gt;SUMPRODUCT((LEN(BC386)-LEN(SUBSTITUTE(BC386," "&amp;L_NegPhrase&amp;" "," ")))/(LEN(L_NegPhrase)+1))),1,0),0)</f>
        <v>0</v>
      </c>
      <c r="BH386" s="61" t="n">
        <f aca="false">IFERROR(IF(SUMPRODUCT((LEN(BC386)-LEN(SUBSTITUTE(BC386," "&amp;L_Pending&amp;" "," ")))/(LEN(L_Pending)+1))&gt;SUMPRODUCT((LEN(BC386)-LEN(SUBSTITUTE(BC386," "&amp;L_PendNeg&amp;" "," ")))/(LEN(L_PendNeg)+1))+SUMPRODUCT((LEN(BC386)-LEN(SUBSTITUTE(BC386," "&amp;L_PendPrep&amp;" "," ")))/(LEN(L_PendPrep)+1)),1,0),1)</f>
        <v>0</v>
      </c>
      <c r="BI386" s="61" t="n">
        <f aca="false">IFERROR(IF(SUMPRODUCT((LEN(BD386)-LEN(SUBSTITUTE(BD386," "&amp;L_PendStrict&amp;" "," ")))/(LEN(L_PendStrict)+1))&gt;SUMPRODUCT((LEN(BD386)-LEN(SUBSTITUTE(BD386," "&amp;L_PendNeg&amp;" "," ")))/(LEN(L_PendNeg)+1)),1,0),1)</f>
        <v>0</v>
      </c>
      <c r="BJ386" s="61" t="n">
        <f aca="false">IFERROR(IF(SUMPRODUCT((LEN(BE386)-LEN(SUBSTITUTE(BE386," "&amp;L_Pending&amp;" "," ")))/(LEN(L_Pending)+1))&gt;SUMPRODUCT((LEN(BE386)-LEN(SUBSTITUTE(BE386," "&amp;L_PendNeg&amp;" "," ")))/(LEN(L_PendNeg)+1))+SUMPRODUCT((LEN(BE386)-LEN(SUBSTITUTE(BE386," "&amp;L_PendPrep&amp;" "," ")))/(LEN(L_PendPrep)+1)),1,0),1)</f>
        <v>0</v>
      </c>
      <c r="BK386" s="61" t="n">
        <f aca="false">IFERROR(IF(SUMPRODUCT((LEN(BF386)-LEN(SUBSTITUTE(BF386," "&amp;L_PendStrict&amp;" "," ")))/(LEN(L_PendStrict)+1))&gt;SUMPRODUCT((LEN(BF386)-LEN(SUBSTITUTE(BF386," "&amp;L_PendNeg&amp;" "," ")))/(LEN(L_PendNeg)+1)),1,0),1)</f>
        <v>0</v>
      </c>
      <c r="BL386" s="61" t="n">
        <f aca="false">IF(ISNA(MATCH(TRIM(S386),L_EvidenceType,0)),0,BZ386)</f>
        <v>0</v>
      </c>
      <c r="BM386" s="61" t="str">
        <f aca="false">SUBSTITUTE(SUBSTITUTE(SUBSTITUTE(SUBSTITUTE(SUBSTITUTE(SUBSTITUTE(SUBSTITUTE(SUBSTITUTE(SUBSTITUTE(LOWER(Z386&amp;""),"1","0"),"2","0"),"3","0"),"4","0"),"5","0"),"6","0"),"7","0"),"8","0"),"9","0")</f>
        <v/>
      </c>
      <c r="BN386" s="61" t="str">
        <f aca="false">SUBSTITUTE(SUBSTITUTE(SUBSTITUTE(SUBSTITUTE(SUBSTITUTE(SUBSTITUTE(SUBSTITUTE(SUBSTITUTE(SUBSTITUTE(SUBSTITUTE(SUBSTITUTE(SUBSTITUTE(SUBSTITUTE(SUBSTITUTE(SUBSTITUTE(SUBSTITUTE(SUBSTITUTE(SUBSTITUTE(SUBSTITUTE(SUBSTITUTE(SUBSTITUTE(SUBSTITUTE(SUBSTITUTE(SUBSTITUTE(SUBSTITUTE(BM386,"b","a"),"c","a"),"d","a"),"e","a"),"f","a"),"g","a"),"h","a"),"i","a"),"j","a"),"k","a"),"l","a"),"m","a"),"n","a"),"o","a"),"p","a"),"q","a"),"r","a"),"s","a"),"t","a"),"u","a"),"v","a"),"w","a"),"x","a"),"y","a"),"z","a")</f>
        <v/>
      </c>
      <c r="BO386" s="61" t="str">
        <f aca="false">SUBSTITUTE(SUBSTITUTE(SUBSTITUTE(SUBSTITUTE(SUBSTITUTE(SUBSTITUTE(SUBSTITUTE(SUBSTITUTE(SUBSTITUTE(LOWER(W386&amp;""),"1","0"),"2","0"),"3","0"),"4","0"),"5","0"),"6","0"),"7","0"),"8","0"),"9","0")</f>
        <v/>
      </c>
      <c r="BP386" s="61" t="str">
        <f aca="false">SUBSTITUTE(SUBSTITUTE(SUBSTITUTE(SUBSTITUTE(SUBSTITUTE(SUBSTITUTE(SUBSTITUTE(SUBSTITUTE(SUBSTITUTE(SUBSTITUTE(SUBSTITUTE(SUBSTITUTE(SUBSTITUTE(SUBSTITUTE(SUBSTITUTE(SUBSTITUTE(SUBSTITUTE(SUBSTITUTE(SUBSTITUTE(SUBSTITUTE(SUBSTITUTE(SUBSTITUTE(SUBSTITUTE(SUBSTITUTE(SUBSTITUTE(BO386,"b","a"),"c","a"),"d","a"),"e","a"),"f","a"),"g","a"),"h","a"),"i","a"),"j","a"),"k","a"),"l","a"),"m","a"),"n","a"),"o","a"),"p","a"),"q","a"),"r","a"),"s","a"),"t","a"),"u","a"),"v","a"),"w","a"),"x","a"),"y","a"),"z","a")</f>
        <v/>
      </c>
      <c r="BQ386" s="61" t="n">
        <f aca="false">IFERROR(IF(AND(ISERROR(SEARCH(" mh"," "&amp;LOWER(W386))),ISNA(MATCH(LEFT(TRIM(BP386),255),{"0000a","000a","00a","0000aa","000aa","00aa","0aa","0000aaa","000aaa","00a00","0a00","0000-0000","00:00","a00","a0","00.00.0000","00/00/0000","00-00-0000","0000-00-00","0000/00/00","0000.00.00","00.00.00","00/00/00","00-00-00","0.00.0000","0/00/0000","0-00-0000"},0)),ISNA(MATCH(LEFT(TRIM(CA386),255),{"0000a","000a","00a","0000aa","000aa","00aa","0aa","0000aaa","000aaa","00a00","0a00","0000-0000","00:00","a00","a0","00.00.0000","00/00/0000","00-00-0000","0000-00-00","0000/00/00","0000.00.00","00.00.00","00/00/00","00-00-00","0.00.0000","0/00/0000","0-00-0000"},0)),LEN(CB386)&gt;=3,NOT(OR(SUBSTITUTE(CB386,"0","")="",AND(LEN(CB386)&gt;=4,CB386=REPT(LEFT(CB386),LEN(CB386))),ISNUMBER(MATCH(CB386,{"123","1234","12345","123456","1234567","12345678","0123","01234","012345","98765","987654","54321"},0)),AND(LEN(CB386)=8,LEFT(CB386,3)="202"))),OR(AND((LEN(CA386)-LEN(SUBSTITUTE(CA386,"a","")))&gt;=1,SUMPRODUCT(--ISNUMBER(SEARCH({"a0","a-0","a_0","a/0","a.0","a#0","0a","0-a","0_a","0/a"},BP386)))&gt;0),ISNUMBER(SEARCH("000000",BP386)))),1,0),0)</f>
        <v>0</v>
      </c>
      <c r="BR386" s="61" t="n">
        <f aca="false">IFERROR(LEN(SUBSTITUTE(CC386," ",""))-SUMPRODUCT((LEN(CC386)-LEN(SUBSTITUTE(CC386," "&amp;L_Role&amp;" "," ")))/(LEN(L_Role)+1)*LEN(L_Role)),0)</f>
        <v>0</v>
      </c>
      <c r="BS386" s="61" t="n">
        <f aca="false">IFERROR(LEN(SUBSTITUTE(CD386," ",""))-SUMPRODUCT((LEN(CD386)-LEN(SUBSTITUTE(CD386," "&amp;L_Role&amp;" "," ")))/(LEN(L_Role)+1)*LEN(L_Role)),0)</f>
        <v>0</v>
      </c>
      <c r="BT3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386,"revision",""),"version",""),"jan",""),"feb",""),"mar",""),"apr",""),"may",""),"jun",""),"jul",""),"aug",""),"sep",""),"oct",""),"nov",""),"dec",""),"utc",""),"gmt",""),"myt",""),"bst",""),"rev",""),"ver",""),"b","a"),"c","a"),"d","a"),"e","a"),"f","a"),"g","a"),"h","a"),"i","a"),"j","a"),"k","a"),"l","a"),"m","a"),"n","a"),"o","a"),"p","a"),"q","a"),"r","a"),"s","a"),"t","a"),"u","a"),"v","a"),"w","a"),"x","a"),"y","a"),"z","a")</f>
        <v/>
      </c>
      <c r="BU386" s="61" t="str">
        <f aca="false">SUBSTITUTE(SUBSTITUTE(SUBSTITUTE(SUBSTITUTE(SUBSTITUTE(SUBSTITUTE(SUBSTITUTE(SUBSTITUTE(SUBSTITUTE(SUBSTITUTE(LEFT(BM386,FIND("0",BM386&amp;"0")-1),"-",""),"_",""),"/",""),".",""),"#",""),"\\",""),":","")," ",""),"(",""),")","")</f>
        <v/>
      </c>
      <c r="BV386" s="61" t="n">
        <f aca="false">0</f>
        <v>0</v>
      </c>
      <c r="BW3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386&amp;""),"a",""),"b",""),"c",""),"d",""),"e",""),"f",""),"g",""),"h",""),"i",""),"j",""),"k",""),"l",""),"m",""),"n",""),"o",""),"p",""),"q",""),"r",""),"s",""),"t",""),"u",""),"v",""),"w",""),"x",""),"y",""),"z",""),"-",""),"_",""),"/",""),".",""),"#",""),"\\",""),":","")," ",""),"(",""),")","")</f>
        <v/>
      </c>
      <c r="BX386" s="61" t="str">
        <f aca="false">SUBSTITUTE(SUBSTITUTE(SUBSTITUTE(SUBSTITUTE(SUBSTITUTE(SUBSTITUTE(SUBSTITUTE(SUBSTITUTE(SUBSTITUTE(SUBSTITUTE(SUBSTITUTE(BM386,"0",""),"-",""),"_",""),"/",""),".",""),"#",""),"\\",""),":","")," ",""),"(",""),")","")</f>
        <v/>
      </c>
      <c r="BY386" s="62" t="n">
        <f aca="false">Q386-T7EarlyD*24/24</f>
        <v>46286.6006944444</v>
      </c>
      <c r="BZ386" s="61" t="n">
        <f aca="false">IFERROR(IF(IF(TRIM(S386)="Link / file path",AND(LEN(TRIM(Z386))&gt;=5,SUMPRODUCT(--ISNUMBER(SEARCH({"http","www.","\\",":\",".pdf",".jpg",".jpeg",".png",".heic",".xls",".doc",".msg",".eml",".ppt",".txt",".zip"},Z386)))&gt;0),AND(ISERROR(FIND(" ",TRIM(Z386))),NOT(OR(SUMPRODUCT(--ISNUMBER(FIND({",",";","&amp;","+"},Z386)))&gt;0,SUMPRODUCT(--ISNUMBER(SEARCH({"0/aa","0\\aa"},BN386)))&gt;0)),NOT(SUMPRODUCT(--ISNUMBER(SEARCH({"http","www.","\\",":\",".pdf",".jpg",".jpeg",".png",".heic",".xls",".doc",".msg",".eml",".ppt",".txt",".zip"},Z386)))&gt;0),NOT(LOWER(TRIM(Z386))=LOWER(Flights!$F$16)),ISNA(MATCH(BU386,{"mh","rev","revision","ver","version","v","r","a","b","seat","tray","row","gate","bay","stand","page","pg","item","line","no","cart","galley","flight","flt","table","box","bag","oven","etd","eta","std","sta","atd","ata","qty","pax","x","time","tel","ph","mob","day","wk","week","utc","gmt","myt","lt"},0)),NOT(OR(ISNUMBER(MATCH(LEFT(BN386,255),{"0000a","000a","00a","0000aa","000aa","00aa","0aa","0000aaa","000aaa","00a00","0a00","0000-0000","00:00","a00","a0","00.00.0000","00/00/0000","00-00-0000","0000-00-00","0000/00/00","0000.00.00","00.00.00","00/00/00","00-00-00","0.00.0000","0/00/0000","0-00-0000"},0)),ISNUMBER(MATCH(LEFT(BT386,255),{"0000a","000a","00a","0000aa","000aa","00aa","0aa","0000aaa","000aaa","00a00","0a00","0000-0000","00:00","a00","a0","00.00.0000","00/00/0000","00-00-0000","0000-00-00","0000/00/00","0000.00.00","00.00.00","00/00/00","00-00-00","0.00.0000","0/00/0000","0-00-0000"},0)))),NOT(OR(AND(BW386&lt;&gt;"",SUBSTITUTE(BW386,"0","")=""),AND(LEN(BW386)&gt;=4,BW386=REPT(LEFT(BW386),LEN(BW386))),ISNUMBER(MATCH(BW386,{"123","1234","12345","123456","1234567","12345678","0123","01234","012345","98765","987654","54321"},0)),ISNUMBER(MATCH(BX386,{"x","xx","xxx","xxxx","xxxxx","abc","abcd","nil","na","nan","test","tbc","tba","tbd","dummy","sample","example","eg","zz","zzz","none","null","xyz","qwe","asd","id","ref"},0)),AND(LEN(BW386)=8,BX386="",OR(LEFT(BW386,3)="202",ISNUMBER(MATCH(RIGHT(BW386,4),{"2025","2026","2027"},0)))))),OR(AND((LEN(BT386)-LEN(SUBSTITUTE(BT386,"a","")))&gt;=1,(LEN(BN386)-LEN(SUBSTITUTE(BN386,"0","")))&gt;=2,SUMPRODUCT(--ISNUMBER(SEARCH({"a0","a-0","a_0","a/0","a.0","a#0","0a","0-a","0_a","0/a"},BN386)))&gt;0),AND((LEN(BN386)-LEN(SUBSTITUTE(BN386,"a","")))=0,(LEN(BN386)-LEN(SUBSTITUTE(BN386,"0","")))&gt;=5)))),1,0),0)</f>
        <v>0</v>
      </c>
      <c r="CA3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386,"revision",""),"version",""),"jan",""),"feb",""),"mar",""),"apr",""),"may",""),"jun",""),"jul",""),"aug",""),"sep",""),"oct",""),"nov",""),"dec",""),"utc",""),"gmt",""),"myt",""),"bst",""),"rev",""),"ver",""),"b","a"),"c","a"),"d","a"),"e","a"),"f","a"),"g","a"),"h","a"),"i","a"),"j","a"),"k","a"),"l","a"),"m","a"),"n","a"),"o","a"),"p","a"),"q","a"),"r","a"),"s","a"),"t","a"),"u","a"),"v","a"),"w","a"),"x","a"),"y","a"),"z","a")</f>
        <v/>
      </c>
      <c r="CB3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386&amp;""),"a",""),"b",""),"c",""),"d",""),"e",""),"f",""),"g",""),"h",""),"i",""),"j",""),"k",""),"l",""),"m",""),"n",""),"o",""),"p",""),"q",""),"r",""),"s",""),"t",""),"u",""),"v",""),"w",""),"x",""),"y",""),"z",""),"-",""),"_",""),"/",""),".",""),"#",""),"\\",""),":","")," ",""),"(",""),")","")</f>
        <v/>
      </c>
      <c r="CC386" s="0" t="str">
        <f aca="false">" "&amp;TRIM(SUBSTITUTE(SUBSTITUTE(SUBSTITUTE(SUBSTITUTE(SUBSTITUTE(SUBSTITUTE(SUBSTITUTE(SUBSTITUTE(SUBSTITUTE(SUBSTITUTE(SUBSTITUTE(SUBSTITUTE(SUBSTITUTE(SUBSTITUTE(SUBSTITUTE(SUBSTITUTE(SUBSTITUTE(SUBSTITUTE(SUBSTITUTE(SUBSTITUTE(SUBSTITUTE(SUBSTITUTE(SUBSTITUTE(SUBSTITUTE(LOWER(T386&amp;""),CHAR(10)," "),CHAR(13)," "),CHAR(9)," "),CHAR(160)," "),"."," "),","," "),"-"," "),"/"," "),"("," "),")"," "),":"," "),";"," "),"_"," "),"–"," "),"?"," "),"!"," "),"*"," "),"["," "),"]"," "),"'"," "),"#"," "),"+"," "),"&amp;"," "),"\"," "))&amp;" "</f>
        <v>  </v>
      </c>
      <c r="CD386" s="0" t="str">
        <f aca="false">" "&amp;TRIM(SUBSTITUTE(SUBSTITUTE(SUBSTITUTE(SUBSTITUTE(SUBSTITUTE(SUBSTITUTE(SUBSTITUTE(SUBSTITUTE(SUBSTITUTE(SUBSTITUTE(SUBSTITUTE(SUBSTITUTE(SUBSTITUTE(SUBSTITUTE(SUBSTITUTE(SUBSTITUTE(SUBSTITUTE(SUBSTITUTE(SUBSTITUTE(SUBSTITUTE(SUBSTITUTE(SUBSTITUTE(SUBSTITUTE(SUBSTITUTE(LOWER(AE386&amp;""),CHAR(10)," "),CHAR(13)," "),CHAR(9)," "),CHAR(160)," "),"."," "),","," "),"-"," "),"/"," "),"("," "),")"," "),":"," "),";"," "),"_"," "),"–"," "),"?"," "),"!"," "),"*"," "),"["," "),"]"," "),"'"," "),"#"," "),"+"," "),"&amp;"," "),"\"," "))&amp;" "</f>
        <v>  </v>
      </c>
      <c r="CE386" s="68" t="n">
        <f aca="false">IFERROR(IF(AND(LEN(AU386)&gt;0,LEN(AU386)=LEN(AX386),OR(TRIM(MID(SUBSTITUTE(TRIM(CC386)," ",REPT(" ",60)),1,60))="",ISNUMBER(SEARCH(" "&amp;TRIM(MID(SUBSTITUTE(TRIM(CC386)," ",REPT(" ",60)),1,60))&amp;" ",CD386))),OR(TRIM(MID(SUBSTITUTE(TRIM(CC386)," ",REPT(" ",60)),61,60))="",ISNUMBER(SEARCH(" "&amp;TRIM(MID(SUBSTITUTE(TRIM(CC386)," ",REPT(" ",60)),61,60))&amp;" ",CD386))),OR(TRIM(MID(SUBSTITUTE(TRIM(CC386)," ",REPT(" ",60)),121,60))="",ISNUMBER(SEARCH(" "&amp;TRIM(MID(SUBSTITUTE(TRIM(CC386)," ",REPT(" ",60)),121,60))&amp;" ",CD386)))),1,0),0)</f>
        <v>0</v>
      </c>
      <c r="CG386" s="68" t="n">
        <f aca="false">IFERROR(LEN(SUBSTITUTE(BF386," ",""))-SUMPRODUCT((LEN(BF386)-LEN(SUBSTITUTE(BF386," "&amp;L_NAFiller&amp;" "," ")))/(LEN(L_NAFiller)+1)*LEN(L_NAFiller)),0)</f>
        <v>0</v>
      </c>
    </row>
    <row r="387" customFormat="false" ht="39.75" hidden="false" customHeight="true" outlineLevel="0" collapsed="false">
      <c r="A387" s="57" t="s">
        <v>1000</v>
      </c>
      <c r="B387" s="57" t="s">
        <v>261</v>
      </c>
      <c r="C387" s="57" t="str">
        <f aca="false">Flights!$F$16</f>
        <v>MH0139</v>
      </c>
      <c r="D387" s="58" t="n">
        <f aca="false">Flights!$D$16</f>
        <v>46307</v>
      </c>
      <c r="E387" s="57" t="str">
        <f aca="false">Flights!$G$16&amp;"-"&amp;Flights!$H$16</f>
        <v>KUL-ADL</v>
      </c>
      <c r="F387" s="57" t="str">
        <f aca="false">Flights!$K$16</f>
        <v>BC</v>
      </c>
      <c r="G387" s="57" t="s">
        <v>81</v>
      </c>
      <c r="H387" s="57" t="s">
        <v>378</v>
      </c>
      <c r="I387" s="57" t="s">
        <v>405</v>
      </c>
      <c r="J387" s="57" t="s">
        <v>409</v>
      </c>
      <c r="K387" s="67" t="s">
        <v>407</v>
      </c>
      <c r="L387" s="67" t="s">
        <v>382</v>
      </c>
      <c r="M387" s="67"/>
      <c r="N387" s="67" t="s">
        <v>383</v>
      </c>
      <c r="O387" s="67"/>
      <c r="P387" s="57" t="s">
        <v>187</v>
      </c>
      <c r="Q387" s="59" t="n">
        <f aca="false">ROUND((Flights!$AC$16)*1440,0)/1440</f>
        <v>46300.6006944444</v>
      </c>
      <c r="R387" s="59" t="n">
        <f aca="false">Q387+(IF(AND(INDEX(TZ_DSTS,MATCH(P387,TZ_STN,0))&lt;&gt;"",Q387&gt;=INDEX(TZ_DSTS,MATCH(P387,TZ_STN,0)),Q387&lt;INDEX(TZ_DSTE,MATCH(P387,TZ_STN,0))),INDEX(TZ_DST,MATCH(P387,TZ_STN,0)),INDEX(TZ_STD,MATCH(P387,TZ_STN,0))))/24</f>
        <v>46300.9340277778</v>
      </c>
      <c r="S387" s="60"/>
      <c r="T387" s="60"/>
      <c r="U387" s="60"/>
      <c r="V387" s="60"/>
      <c r="W387" s="61"/>
      <c r="X387" s="60"/>
      <c r="Y387" s="60"/>
      <c r="Z387" s="60"/>
      <c r="AA387" s="60"/>
      <c r="AB387" s="60"/>
      <c r="AC387" s="60"/>
      <c r="AD387" s="66"/>
      <c r="AE387" s="60"/>
      <c r="AF387" s="61" t="str">
        <f aca="false">IF(AND(ISNUMBER(X387),ISNUMBER(Y387)),Y387-X387,"")</f>
        <v/>
      </c>
      <c r="AG387" s="62" t="str">
        <f aca="false">IF(ISNUMBER(AD387),AD387-(IF(AND(INDEX(TZ_DSTS,MATCH(P387,TZ_STN,0))&lt;&gt;"",(AD387-INDEX(TZ_STD,MATCH(P387,TZ_STN,0))/24)&gt;=INDEX(TZ_DSTS,MATCH(P387,TZ_STN,0)),(AD387-INDEX(TZ_STD,MATCH(P387,TZ_STN,0))/24)&lt;INDEX(TZ_DSTE,MATCH(P387,TZ_STN,0))),INDEX(TZ_DST,MATCH(P387,TZ_STN,0)),INDEX(TZ_STD,MATCH(P387,TZ_STN,0))))/24,"")</f>
        <v/>
      </c>
      <c r="AH387" s="65" t="str">
        <f aca="false">IFERROR(IF(N387="N/A – rule",IF(OR(TRIM(U387)="",TRIM(U387)="N/A",TRIM(U387)="Not started"),"N/A – RULE","INVALID – this check does not apply to this aircraft: clear the status (or correct the fleet on Flights)"),IF(TRIM(U387)="N/A",IF(AT387=0,"INVALID – N/A not permitted for this check",IF(AND(TRIM(AB387)&lt;&gt;"",TRIM(AB387)&lt;&gt;"Closed"),"INVALID – corrective action still open",IF(AND(NOT(OR(LEN(AZ387)&lt;15,ISNUMBER(MATCH(AZ387,L_Placeholder,0)))),BK387=0,CG387&gt;=8,NOT(OR(LEN(AU387)&lt;2,ISNUMBER(MATCH(AU387,L_Placeholder,0)))),BR387&gt;=3,NOT(OR(LEN(AX387)&lt;2,ISNUMBER(MATCH(AX387,L_Placeholder,0)))),BS387&gt;=3,TRIM(AE387)&lt;&gt;TRIM(T387),AX387&lt;&gt;AU387,CE387=0),"N/A – JUSTIFIED","INVALID – N/A needs a real, settled reason (not 'not applicable' / 'as above' / TBC), a named PIC and a different named verifier"))),IF(OR(TRIM(U387)="Pass",TRIM(U387)="Pass after CA"),IF(NOT(ISNUMBER(AD387)),"INVALID – completion time missing",IF(OR(OR(LEN(AU387)&lt;2,ISNUMBER(MATCH(AU387,L_Placeholder,0))),BR387&lt;3),"INVALID – PIC missing or not a named person (a role such as QA / CSM is not a name)",IF(OR(LEN(AV387)&lt;2,ISNUMBER(MATCH(AV387,L_Placeholder,0))),"INVALID – result / assessment missing",IF(OR(OR(LEN(AW387)&lt;3,ISNUMBER(MATCH(AW387,L_Placeholder,0))),SUMPRODUCT(--ISNUMBER(SEARCH(" "&amp;L_EvidencePhrase&amp;" ",BD387)))&gt;0,BI387=1),"INVALID – evidence missing, placeholder or not yet on file",IF(ISNA(MATCH(TRIM(S387),L_EvidenceType,0)),"INVALID – choose the evidence type from the list (column S)",IF(BL387=0,"INVALID – evidence ID must be the record's own ID only (e.g. SF-2210, IMG_2231, 1045521); a link / file name needs type 'Link / file path'",IF(OR(OR(LEN(AX387)&lt;2,ISNUMBER(MATCH(AX387,L_Placeholder,0))),BS387&lt;3),"INVALID – verifier missing or not a named person (a role such as QA / CSM is not a name)",IF(OR(AX387=AU387,CE387=1,AND(LEN(AU387)&gt;=4,ISNUMBER(SEARCH(AU387,AX387))),AND(LEN(AX387)&gt;=4,ISNUMBER(SEARCH(AX387,AU387)))),"INVALID – verifier must be a different, named person (not the PIC or a role)",IF(BH387=1,"INVALID – result not yet available (awaiting / TBC)",IF(BG387=1,"INVALID – result describes a problem: record Fail, then Pass after CA (or reword if it is not a problem)",IF(BV387=1,"INVALID – wording says not on board: an on-board confirmation needs the item loaded",IF(AND(AQ387=1,OR(OR(LEN(AY387)&lt;3,ISNUMBER(MATCH(AY387,L_Placeholder,0))),BJ387=1,BQ387=0)),"INVALID – batch ID missing, placeholder or not an ID (e.g. PASB-261008-BC-017)",IF(AND(AR387=1,OR(NOT(ISNUMBER(X387)),NOT(ISNUMBER(Y387)))),"INVALID – expected/actual qty missing",IF(AND(AR387=1,OR(X387&lt;=0,Y387&lt;0)),"INVALID – expected qty must be above 0 and actual not negative",IF(BB387&lt;&gt;"",BB387,IF(AND(AS387=1,Documents!$J$16&lt;&gt;"ON FILE"),"INVALID – GLD not on file (Documents sheet)",IF(AND(AS387=2,Documents!$O$16&lt;&gt;"ON FILE"),"INVALID – menu checklist not on file (Documents sheet)",IF(AND(AS387=3,NOT(ISNUMBER(Flights!$AX$16))),"INVALID – enter carrying flight KUL departure (Flights AX)",IF(AND(AS387=3,OR(Flights!$AZ$16&gt;Flights!$AA$16,Flights!$AX$16&lt;Flights!$AA$16-3)),"INVALID – carrying flight (Flights AX) cannot arrive before this leg's STD, or is over 3 days early",IF(AG387&gt;AsOfUTC,"INVALID – completion time is in the future",IF(AND(ISNUMBER(BY387),AG387&lt;BY387),IF(H387="Physical uplift","INVALID – before uplift window (cannot confirm loading)","INVALID – before valid window"),IF(AG387&gt;Flights!$AA$16,"INVALID – completed after departure (cannot establish readiness)",IF(AND(H387="Preparation",AG387&gt;=IF(ISNUMBER(Flights!$BA$16),MIN(Flights!$BA$16,Flights!$AA$16),Flights!$AA$16)),"INVALID – completed after loading / departure (cannot establish readiness)",IF(AND(H387="Physical uplift",AG387&gt;Q387),"INVALID – recorded after the loading flight departed",IF(AG387&gt;Q387,"COMPLETE – LATE","COMPLETE"))))))))))))))))))))))))),IF(TRIM(U387)="Fail","FAIL – DISCREPANCY",IF(AND(TRIM(U387)&lt;&gt;"",TRIM(U387)&lt;&gt;"Not started",TRIM(U387)&lt;&gt;"In progress"),"INVALID – unrecognised status (use the list)",IF(AsOfUTC&gt;Q387,"OVERDUE",IF(N387="Clarification required","OPEN – CLARIFICATION","OPEN"))))))),"INVALID – error value in an input cell")</f>
        <v>OPEN</v>
      </c>
      <c r="AI387" s="61" t="n">
        <f aca="false">IF(OR(AH387="N/A – RULE",AH387="N/A – JUSTIFIED"),0,1)</f>
        <v>1</v>
      </c>
      <c r="AJ387" s="61" t="n">
        <f aca="false">IF(LEFT(AH387,8)="COMPLETE",1,0)</f>
        <v>0</v>
      </c>
      <c r="AK387" s="61" t="n">
        <f aca="false">IF(AND(AI387=1,AJ387=0,AsOfUTC&gt;Q387),1,0)</f>
        <v>0</v>
      </c>
      <c r="AL387" s="61" t="n">
        <f aca="false">IFERROR(IF(AND(AI387=1,OR(TRIM(U387)="Fail",AND(TRIM(AB387)&lt;&gt;"",TRIM(AB387)&lt;&gt;"Closed"),AND(ISNUMBER(AF387),AF387&lt;&gt;0,TRIM(U387)&lt;&gt;"Pass after CA"))),1,0),1)</f>
        <v>0</v>
      </c>
      <c r="AM387" s="61" t="n">
        <f aca="false">IF(LEFT(AH387,7)="INVALID",1,0)</f>
        <v>0</v>
      </c>
      <c r="AN387" s="61" t="n">
        <f aca="false">IF(AND(N387="Clarification required",AI387=1,AJ387=0),1,0)</f>
        <v>0</v>
      </c>
      <c r="AO387" s="61" t="str">
        <f aca="false">IF(AK387=1,SUM(AK$5:AK387),"")</f>
        <v/>
      </c>
      <c r="AP387" s="61" t="str">
        <f aca="false">IF(AL387=1,SUM(AL$5:AL387),"")</f>
        <v/>
      </c>
      <c r="AQ387" s="61" t="n">
        <v>0</v>
      </c>
      <c r="AR387" s="61" t="n">
        <v>0</v>
      </c>
      <c r="AS387" s="61" t="n">
        <v>2</v>
      </c>
      <c r="AT387" s="61" t="n">
        <v>0</v>
      </c>
      <c r="AU387" s="61" t="str">
        <f aca="false">SUBSTITUTE(SUBSTITUTE(SUBSTITUTE(SUBSTITUTE(SUBSTITUTE(SUBSTITUTE(SUBSTITUTE(SUBSTITUTE(SUBSTITUTE(SUBSTITUTE(SUBSTITUTE(SUBSTITUTE(SUBSTITUTE(SUBSTITUTE(SUBSTITUTE(SUBSTITUTE(LOWER(T387&amp;""),CHAR(10),""),CHAR(13),""),CHAR(9),""),CHAR(160),"")," ",""),".",""),"-",""),"/",""),"?",""),"_",""),",",""),"[",""),"]",""),"(",""),")",""),"*","")</f>
        <v/>
      </c>
      <c r="AV387" s="61" t="str">
        <f aca="false">SUBSTITUTE(SUBSTITUTE(SUBSTITUTE(SUBSTITUTE(SUBSTITUTE(SUBSTITUTE(SUBSTITUTE(SUBSTITUTE(SUBSTITUTE(SUBSTITUTE(SUBSTITUTE(SUBSTITUTE(SUBSTITUTE(SUBSTITUTE(SUBSTITUTE(SUBSTITUTE(LOWER(V387&amp;""),CHAR(10),""),CHAR(13),""),CHAR(9),""),CHAR(160),"")," ",""),".",""),"-",""),"/",""),"?",""),"_",""),",",""),"[",""),"]",""),"(",""),")",""),"*","")</f>
        <v/>
      </c>
      <c r="AW387" s="61" t="str">
        <f aca="false">SUBSTITUTE(SUBSTITUTE(SUBSTITUTE(SUBSTITUTE(SUBSTITUTE(SUBSTITUTE(SUBSTITUTE(SUBSTITUTE(SUBSTITUTE(SUBSTITUTE(SUBSTITUTE(SUBSTITUTE(SUBSTITUTE(SUBSTITUTE(SUBSTITUTE(SUBSTITUTE(LOWER(Z387&amp;""),CHAR(10),""),CHAR(13),""),CHAR(9),""),CHAR(160),"")," ",""),".",""),"-",""),"/",""),"?",""),"_",""),",",""),"[",""),"]",""),"(",""),")",""),"*","")</f>
        <v/>
      </c>
      <c r="AX387" s="61" t="str">
        <f aca="false">SUBSTITUTE(SUBSTITUTE(SUBSTITUTE(SUBSTITUTE(SUBSTITUTE(SUBSTITUTE(SUBSTITUTE(SUBSTITUTE(SUBSTITUTE(SUBSTITUTE(SUBSTITUTE(SUBSTITUTE(SUBSTITUTE(SUBSTITUTE(SUBSTITUTE(SUBSTITUTE(LOWER(AE387&amp;""),CHAR(10),""),CHAR(13),""),CHAR(9),""),CHAR(160),"")," ",""),".",""),"-",""),"/",""),"?",""),"_",""),",",""),"[",""),"]",""),"(",""),")",""),"*","")</f>
        <v/>
      </c>
      <c r="AY387" s="61" t="str">
        <f aca="false">SUBSTITUTE(SUBSTITUTE(SUBSTITUTE(SUBSTITUTE(SUBSTITUTE(SUBSTITUTE(SUBSTITUTE(SUBSTITUTE(SUBSTITUTE(SUBSTITUTE(SUBSTITUTE(SUBSTITUTE(SUBSTITUTE(SUBSTITUTE(SUBSTITUTE(SUBSTITUTE(LOWER(W387&amp;""),CHAR(10),""),CHAR(13),""),CHAR(9),""),CHAR(160),"")," ",""),".",""),"-",""),"/",""),"?",""),"_",""),",",""),"[",""),"]",""),"(",""),")",""),"*","")</f>
        <v/>
      </c>
      <c r="AZ387" s="61" t="str">
        <f aca="false">SUBSTITUTE(SUBSTITUTE(SUBSTITUTE(SUBSTITUTE(SUBSTITUTE(SUBSTITUTE(SUBSTITUTE(SUBSTITUTE(SUBSTITUTE(SUBSTITUTE(SUBSTITUTE(SUBSTITUTE(SUBSTITUTE(SUBSTITUTE(SUBSTITUTE(SUBSTITUTE(LOWER(AC387&amp;""),CHAR(10),""),CHAR(13),""),CHAR(9),""),CHAR(160),"")," ",""),".",""),"-",""),"/",""),"?",""),"_",""),",",""),"[",""),"]",""),"(",""),")",""),"*","")</f>
        <v/>
      </c>
      <c r="BA387" s="61" t="str">
        <f aca="false">SUBSTITUTE(SUBSTITUTE(SUBSTITUTE(SUBSTITUTE(SUBSTITUTE(SUBSTITUTE(SUBSTITUTE(SUBSTITUTE(SUBSTITUTE(SUBSTITUTE(SUBSTITUTE(SUBSTITUTE(SUBSTITUTE(SUBSTITUTE(SUBSTITUTE(SUBSTITUTE(LOWER(AA387&amp;""),CHAR(10),""),CHAR(13),""),CHAR(9),""),CHAR(160),"")," ",""),".",""),"-",""),"/",""),"?",""),"_",""),",",""),"[",""),"]",""),"(",""),")",""),"*","")</f>
        <v/>
      </c>
      <c r="BB387" s="61" t="str">
        <f aca="false">IF(AND(TRIM(U387)="Pass",ISNUMBER(AF387)),IF(AF387&lt;&gt;0,"INVALID – qty variance: use Fail or Pass after CA",""),"")&amp;IF(AND(TRIM(U387)="Pass after CA",ISNUMBER(AF387)),IF(AF387&lt;&gt;0,"INVALID – after the corrective action the actual qty must equal expected (update Actual)",""),"")&amp;IF(AND(TRIM(U387)="Pass",TRIM(AB387)&lt;&gt;"",TRIM(AB387)&lt;&gt;"Closed"),"INVALID – corrective action not closed: use Fail, then Pass after CA","")&amp;IF(AND(LEN(BA387)&gt;=2,ISNA(MATCH(LEFT(BA387,255),L_Placeholder,0)),TRIM(AB387)=""),"INVALID – CA status missing for the recorded corrective action","")&amp;IF(AND(TRIM(U387)="Pass after CA",OR(OR(LEN(BA387)&lt;5,ISNUMBER(MATCH(BA387,L_Placeholder,0))),TRIM(AB387)&lt;&gt;"Closed")),"INVALID – corrective action not recorded/closed","")</f>
        <v/>
      </c>
      <c r="BC387" s="61" t="str">
        <f aca="false">" "&amp;TRIM(SUBSTITUTE(SUBSTITUTE(SUBSTITUTE(SUBSTITUTE(SUBSTITUTE(SUBSTITUTE(SUBSTITUTE(SUBSTITUTE(SUBSTITUTE(SUBSTITUTE(SUBSTITUTE(SUBSTITUTE(SUBSTITUTE(SUBSTITUTE(SUBSTITUTE(SUBSTITUTE(SUBSTITUTE(SUBSTITUTE(SUBSTITUTE(SUBSTITUTE(SUBSTITUTE(SUBSTITUTE(SUBSTITUTE(SUBSTITUTE(LOWER(V387&amp;""),CHAR(10)," "),CHAR(13)," "),CHAR(9)," "),CHAR(160)," "),"."," "),","," "),"-"," "),"/"," "),"("," "),")"," "),":"," "),";"," "),"_"," "),"–"," "),"?"," "),"!"," "),"*"," "),"["," "),"]"," "),"'"," "),"#"," "),"+"," "),"&amp;"," "),"\"," "))&amp;" "</f>
        <v>  </v>
      </c>
      <c r="BD387" s="61" t="str">
        <f aca="false">" "&amp;TRIM(SUBSTITUTE(SUBSTITUTE(SUBSTITUTE(SUBSTITUTE(SUBSTITUTE(SUBSTITUTE(SUBSTITUTE(SUBSTITUTE(SUBSTITUTE(SUBSTITUTE(SUBSTITUTE(SUBSTITUTE(SUBSTITUTE(SUBSTITUTE(SUBSTITUTE(SUBSTITUTE(SUBSTITUTE(SUBSTITUTE(SUBSTITUTE(SUBSTITUTE(SUBSTITUTE(SUBSTITUTE(SUBSTITUTE(SUBSTITUTE(LOWER(Z387&amp;""),CHAR(10)," "),CHAR(13)," "),CHAR(9)," "),CHAR(160)," "),"."," "),","," "),"-"," "),"/"," "),"("," "),")"," "),":"," "),";"," "),"_"," "),"–"," "),"?"," "),"!"," "),"*"," "),"["," "),"]"," "),"'"," "),"#"," "),"+"," "),"&amp;"," "),"\"," "))&amp;" "</f>
        <v>  </v>
      </c>
      <c r="BE387" s="61" t="str">
        <f aca="false">" "&amp;TRIM(SUBSTITUTE(SUBSTITUTE(SUBSTITUTE(SUBSTITUTE(SUBSTITUTE(SUBSTITUTE(SUBSTITUTE(SUBSTITUTE(SUBSTITUTE(SUBSTITUTE(SUBSTITUTE(SUBSTITUTE(SUBSTITUTE(SUBSTITUTE(SUBSTITUTE(SUBSTITUTE(SUBSTITUTE(SUBSTITUTE(SUBSTITUTE(SUBSTITUTE(SUBSTITUTE(SUBSTITUTE(SUBSTITUTE(SUBSTITUTE(LOWER(W387&amp;""),CHAR(10)," "),CHAR(13)," "),CHAR(9)," "),CHAR(160)," "),"."," "),","," "),"-"," "),"/"," "),"("," "),")"," "),":"," "),";"," "),"_"," "),"–"," "),"?"," "),"!"," "),"*"," "),"["," "),"]"," "),"'"," "),"#"," "),"+"," "),"&amp;"," "),"\"," "))&amp;" "</f>
        <v>  </v>
      </c>
      <c r="BF387" s="61" t="str">
        <f aca="false">" "&amp;TRIM(SUBSTITUTE(SUBSTITUTE(SUBSTITUTE(SUBSTITUTE(SUBSTITUTE(SUBSTITUTE(SUBSTITUTE(SUBSTITUTE(SUBSTITUTE(SUBSTITUTE(SUBSTITUTE(SUBSTITUTE(SUBSTITUTE(SUBSTITUTE(SUBSTITUTE(SUBSTITUTE(SUBSTITUTE(SUBSTITUTE(SUBSTITUTE(SUBSTITUTE(SUBSTITUTE(SUBSTITUTE(SUBSTITUTE(SUBSTITUTE(LOWER(AC387&amp;""),CHAR(10)," "),CHAR(13)," "),CHAR(9)," "),CHAR(160)," "),"."," "),","," "),"-"," "),"/"," "),"("," "),")"," "),":"," "),";"," "),"_"," "),"–"," "),"?"," "),"!"," "),"*"," "),"["," "),"]"," "),"'"," "),"#"," "),"+"," "),"&amp;"," "),"\"," "))&amp;" "</f>
        <v>  </v>
      </c>
      <c r="BG387" s="61" t="n">
        <f aca="false">IFERROR(IF(AND(TRIM(U387)="Pass",SUMPRODUCT((LEN(BC387)-LEN(SUBSTITUTE(BC387," "&amp;L_ResultBad&amp;" "," ")))/(LEN(L_ResultBad)+1))&gt;SUMPRODUCT((LEN(BC387)-LEN(SUBSTITUTE(BC387," "&amp;L_NegPhrase&amp;" "," ")))/(LEN(L_NegPhrase)+1))),1,0),0)</f>
        <v>0</v>
      </c>
      <c r="BH387" s="61" t="n">
        <f aca="false">IFERROR(IF(SUMPRODUCT((LEN(BC387)-LEN(SUBSTITUTE(BC387," "&amp;L_Pending&amp;" "," ")))/(LEN(L_Pending)+1))&gt;SUMPRODUCT((LEN(BC387)-LEN(SUBSTITUTE(BC387," "&amp;L_PendNeg&amp;" "," ")))/(LEN(L_PendNeg)+1))+SUMPRODUCT((LEN(BC387)-LEN(SUBSTITUTE(BC387," "&amp;L_PendPrep&amp;" "," ")))/(LEN(L_PendPrep)+1)),1,0),1)</f>
        <v>0</v>
      </c>
      <c r="BI387" s="61" t="n">
        <f aca="false">IFERROR(IF(SUMPRODUCT((LEN(BD387)-LEN(SUBSTITUTE(BD387," "&amp;L_PendStrict&amp;" "," ")))/(LEN(L_PendStrict)+1))&gt;SUMPRODUCT((LEN(BD387)-LEN(SUBSTITUTE(BD387," "&amp;L_PendNeg&amp;" "," ")))/(LEN(L_PendNeg)+1)),1,0),1)</f>
        <v>0</v>
      </c>
      <c r="BJ387" s="61" t="n">
        <f aca="false">IFERROR(IF(SUMPRODUCT((LEN(BE387)-LEN(SUBSTITUTE(BE387," "&amp;L_Pending&amp;" "," ")))/(LEN(L_Pending)+1))&gt;SUMPRODUCT((LEN(BE387)-LEN(SUBSTITUTE(BE387," "&amp;L_PendNeg&amp;" "," ")))/(LEN(L_PendNeg)+1))+SUMPRODUCT((LEN(BE387)-LEN(SUBSTITUTE(BE387," "&amp;L_PendPrep&amp;" "," ")))/(LEN(L_PendPrep)+1)),1,0),1)</f>
        <v>0</v>
      </c>
      <c r="BK387" s="61" t="n">
        <f aca="false">IFERROR(IF(SUMPRODUCT((LEN(BF387)-LEN(SUBSTITUTE(BF387," "&amp;L_PendStrict&amp;" "," ")))/(LEN(L_PendStrict)+1))&gt;SUMPRODUCT((LEN(BF387)-LEN(SUBSTITUTE(BF387," "&amp;L_PendNeg&amp;" "," ")))/(LEN(L_PendNeg)+1)),1,0),1)</f>
        <v>0</v>
      </c>
      <c r="BL387" s="61" t="n">
        <f aca="false">IF(ISNA(MATCH(TRIM(S387),L_EvidenceType,0)),0,BZ387)</f>
        <v>0</v>
      </c>
      <c r="BM387" s="61" t="str">
        <f aca="false">SUBSTITUTE(SUBSTITUTE(SUBSTITUTE(SUBSTITUTE(SUBSTITUTE(SUBSTITUTE(SUBSTITUTE(SUBSTITUTE(SUBSTITUTE(LOWER(Z387&amp;""),"1","0"),"2","0"),"3","0"),"4","0"),"5","0"),"6","0"),"7","0"),"8","0"),"9","0")</f>
        <v/>
      </c>
      <c r="BN387" s="61" t="str">
        <f aca="false">SUBSTITUTE(SUBSTITUTE(SUBSTITUTE(SUBSTITUTE(SUBSTITUTE(SUBSTITUTE(SUBSTITUTE(SUBSTITUTE(SUBSTITUTE(SUBSTITUTE(SUBSTITUTE(SUBSTITUTE(SUBSTITUTE(SUBSTITUTE(SUBSTITUTE(SUBSTITUTE(SUBSTITUTE(SUBSTITUTE(SUBSTITUTE(SUBSTITUTE(SUBSTITUTE(SUBSTITUTE(SUBSTITUTE(SUBSTITUTE(SUBSTITUTE(BM387,"b","a"),"c","a"),"d","a"),"e","a"),"f","a"),"g","a"),"h","a"),"i","a"),"j","a"),"k","a"),"l","a"),"m","a"),"n","a"),"o","a"),"p","a"),"q","a"),"r","a"),"s","a"),"t","a"),"u","a"),"v","a"),"w","a"),"x","a"),"y","a"),"z","a")</f>
        <v/>
      </c>
      <c r="BO387" s="61" t="str">
        <f aca="false">SUBSTITUTE(SUBSTITUTE(SUBSTITUTE(SUBSTITUTE(SUBSTITUTE(SUBSTITUTE(SUBSTITUTE(SUBSTITUTE(SUBSTITUTE(LOWER(W387&amp;""),"1","0"),"2","0"),"3","0"),"4","0"),"5","0"),"6","0"),"7","0"),"8","0"),"9","0")</f>
        <v/>
      </c>
      <c r="BP387" s="61" t="str">
        <f aca="false">SUBSTITUTE(SUBSTITUTE(SUBSTITUTE(SUBSTITUTE(SUBSTITUTE(SUBSTITUTE(SUBSTITUTE(SUBSTITUTE(SUBSTITUTE(SUBSTITUTE(SUBSTITUTE(SUBSTITUTE(SUBSTITUTE(SUBSTITUTE(SUBSTITUTE(SUBSTITUTE(SUBSTITUTE(SUBSTITUTE(SUBSTITUTE(SUBSTITUTE(SUBSTITUTE(SUBSTITUTE(SUBSTITUTE(SUBSTITUTE(SUBSTITUTE(BO387,"b","a"),"c","a"),"d","a"),"e","a"),"f","a"),"g","a"),"h","a"),"i","a"),"j","a"),"k","a"),"l","a"),"m","a"),"n","a"),"o","a"),"p","a"),"q","a"),"r","a"),"s","a"),"t","a"),"u","a"),"v","a"),"w","a"),"x","a"),"y","a"),"z","a")</f>
        <v/>
      </c>
      <c r="BQ387" s="61" t="n">
        <f aca="false">IFERROR(IF(AND(ISERROR(SEARCH(" mh"," "&amp;LOWER(W387))),ISNA(MATCH(LEFT(TRIM(BP387),255),{"0000a","000a","00a","0000aa","000aa","00aa","0aa","0000aaa","000aaa","00a00","0a00","0000-0000","00:00","a00","a0","00.00.0000","00/00/0000","00-00-0000","0000-00-00","0000/00/00","0000.00.00","00.00.00","00/00/00","00-00-00","0.00.0000","0/00/0000","0-00-0000"},0)),ISNA(MATCH(LEFT(TRIM(CA387),255),{"0000a","000a","00a","0000aa","000aa","00aa","0aa","0000aaa","000aaa","00a00","0a00","0000-0000","00:00","a00","a0","00.00.0000","00/00/0000","00-00-0000","0000-00-00","0000/00/00","0000.00.00","00.00.00","00/00/00","00-00-00","0.00.0000","0/00/0000","0-00-0000"},0)),LEN(CB387)&gt;=3,NOT(OR(SUBSTITUTE(CB387,"0","")="",AND(LEN(CB387)&gt;=4,CB387=REPT(LEFT(CB387),LEN(CB387))),ISNUMBER(MATCH(CB387,{"123","1234","12345","123456","1234567","12345678","0123","01234","012345","98765","987654","54321"},0)),AND(LEN(CB387)=8,LEFT(CB387,3)="202"))),OR(AND((LEN(CA387)-LEN(SUBSTITUTE(CA387,"a","")))&gt;=1,SUMPRODUCT(--ISNUMBER(SEARCH({"a0","a-0","a_0","a/0","a.0","a#0","0a","0-a","0_a","0/a"},BP387)))&gt;0),ISNUMBER(SEARCH("000000",BP387)))),1,0),0)</f>
        <v>0</v>
      </c>
      <c r="BR387" s="61" t="n">
        <f aca="false">IFERROR(LEN(SUBSTITUTE(CC387," ",""))-SUMPRODUCT((LEN(CC387)-LEN(SUBSTITUTE(CC387," "&amp;L_Role&amp;" "," ")))/(LEN(L_Role)+1)*LEN(L_Role)),0)</f>
        <v>0</v>
      </c>
      <c r="BS387" s="61" t="n">
        <f aca="false">IFERROR(LEN(SUBSTITUTE(CD387," ",""))-SUMPRODUCT((LEN(CD387)-LEN(SUBSTITUTE(CD387," "&amp;L_Role&amp;" "," ")))/(LEN(L_Role)+1)*LEN(L_Role)),0)</f>
        <v>0</v>
      </c>
      <c r="BT3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387,"revision",""),"version",""),"jan",""),"feb",""),"mar",""),"apr",""),"may",""),"jun",""),"jul",""),"aug",""),"sep",""),"oct",""),"nov",""),"dec",""),"utc",""),"gmt",""),"myt",""),"bst",""),"rev",""),"ver",""),"b","a"),"c","a"),"d","a"),"e","a"),"f","a"),"g","a"),"h","a"),"i","a"),"j","a"),"k","a"),"l","a"),"m","a"),"n","a"),"o","a"),"p","a"),"q","a"),"r","a"),"s","a"),"t","a"),"u","a"),"v","a"),"w","a"),"x","a"),"y","a"),"z","a")</f>
        <v/>
      </c>
      <c r="BU387" s="61" t="str">
        <f aca="false">SUBSTITUTE(SUBSTITUTE(SUBSTITUTE(SUBSTITUTE(SUBSTITUTE(SUBSTITUTE(SUBSTITUTE(SUBSTITUTE(SUBSTITUTE(SUBSTITUTE(LEFT(BM387,FIND("0",BM387&amp;"0")-1),"-",""),"_",""),"/",""),".",""),"#",""),"\\",""),":","")," ",""),"(",""),")","")</f>
        <v/>
      </c>
      <c r="BV387" s="61" t="n">
        <f aca="false">0</f>
        <v>0</v>
      </c>
      <c r="BW3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387&amp;""),"a",""),"b",""),"c",""),"d",""),"e",""),"f",""),"g",""),"h",""),"i",""),"j",""),"k",""),"l",""),"m",""),"n",""),"o",""),"p",""),"q",""),"r",""),"s",""),"t",""),"u",""),"v",""),"w",""),"x",""),"y",""),"z",""),"-",""),"_",""),"/",""),".",""),"#",""),"\\",""),":","")," ",""),"(",""),")","")</f>
        <v/>
      </c>
      <c r="BX387" s="61" t="str">
        <f aca="false">SUBSTITUTE(SUBSTITUTE(SUBSTITUTE(SUBSTITUTE(SUBSTITUTE(SUBSTITUTE(SUBSTITUTE(SUBSTITUTE(SUBSTITUTE(SUBSTITUTE(SUBSTITUTE(BM387,"0",""),"-",""),"_",""),"/",""),".",""),"#",""),"\\",""),":","")," ",""),"(",""),")","")</f>
        <v/>
      </c>
      <c r="BY387" s="62" t="n">
        <f aca="false">Q387-T7EarlyD*24/24</f>
        <v>46286.6006944444</v>
      </c>
      <c r="BZ387" s="61" t="n">
        <f aca="false">IFERROR(IF(IF(TRIM(S387)="Link / file path",AND(LEN(TRIM(Z387))&gt;=5,SUMPRODUCT(--ISNUMBER(SEARCH({"http","www.","\\",":\",".pdf",".jpg",".jpeg",".png",".heic",".xls",".doc",".msg",".eml",".ppt",".txt",".zip"},Z387)))&gt;0),AND(ISERROR(FIND(" ",TRIM(Z387))),NOT(OR(SUMPRODUCT(--ISNUMBER(FIND({",",";","&amp;","+"},Z387)))&gt;0,SUMPRODUCT(--ISNUMBER(SEARCH({"0/aa","0\\aa"},BN387)))&gt;0)),NOT(SUMPRODUCT(--ISNUMBER(SEARCH({"http","www.","\\",":\",".pdf",".jpg",".jpeg",".png",".heic",".xls",".doc",".msg",".eml",".ppt",".txt",".zip"},Z387)))&gt;0),NOT(LOWER(TRIM(Z387))=LOWER(Flights!$F$16)),ISNA(MATCH(BU387,{"mh","rev","revision","ver","version","v","r","a","b","seat","tray","row","gate","bay","stand","page","pg","item","line","no","cart","galley","flight","flt","table","box","bag","oven","etd","eta","std","sta","atd","ata","qty","pax","x","time","tel","ph","mob","day","wk","week","utc","gmt","myt","lt"},0)),NOT(OR(ISNUMBER(MATCH(LEFT(BN387,255),{"0000a","000a","00a","0000aa","000aa","00aa","0aa","0000aaa","000aaa","00a00","0a00","0000-0000","00:00","a00","a0","00.00.0000","00/00/0000","00-00-0000","0000-00-00","0000/00/00","0000.00.00","00.00.00","00/00/00","00-00-00","0.00.0000","0/00/0000","0-00-0000"},0)),ISNUMBER(MATCH(LEFT(BT387,255),{"0000a","000a","00a","0000aa","000aa","00aa","0aa","0000aaa","000aaa","00a00","0a00","0000-0000","00:00","a00","a0","00.00.0000","00/00/0000","00-00-0000","0000-00-00","0000/00/00","0000.00.00","00.00.00","00/00/00","00-00-00","0.00.0000","0/00/0000","0-00-0000"},0)))),NOT(OR(AND(BW387&lt;&gt;"",SUBSTITUTE(BW387,"0","")=""),AND(LEN(BW387)&gt;=4,BW387=REPT(LEFT(BW387),LEN(BW387))),ISNUMBER(MATCH(BW387,{"123","1234","12345","123456","1234567","12345678","0123","01234","012345","98765","987654","54321"},0)),ISNUMBER(MATCH(BX387,{"x","xx","xxx","xxxx","xxxxx","abc","abcd","nil","na","nan","test","tbc","tba","tbd","dummy","sample","example","eg","zz","zzz","none","null","xyz","qwe","asd","id","ref"},0)),AND(LEN(BW387)=8,BX387="",OR(LEFT(BW387,3)="202",ISNUMBER(MATCH(RIGHT(BW387,4),{"2025","2026","2027"},0)))))),OR(AND((LEN(BT387)-LEN(SUBSTITUTE(BT387,"a","")))&gt;=1,(LEN(BN387)-LEN(SUBSTITUTE(BN387,"0","")))&gt;=2,SUMPRODUCT(--ISNUMBER(SEARCH({"a0","a-0","a_0","a/0","a.0","a#0","0a","0-a","0_a","0/a"},BN387)))&gt;0),AND((LEN(BN387)-LEN(SUBSTITUTE(BN387,"a","")))=0,(LEN(BN387)-LEN(SUBSTITUTE(BN387,"0","")))&gt;=5)))),1,0),0)</f>
        <v>0</v>
      </c>
      <c r="CA3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387,"revision",""),"version",""),"jan",""),"feb",""),"mar",""),"apr",""),"may",""),"jun",""),"jul",""),"aug",""),"sep",""),"oct",""),"nov",""),"dec",""),"utc",""),"gmt",""),"myt",""),"bst",""),"rev",""),"ver",""),"b","a"),"c","a"),"d","a"),"e","a"),"f","a"),"g","a"),"h","a"),"i","a"),"j","a"),"k","a"),"l","a"),"m","a"),"n","a"),"o","a"),"p","a"),"q","a"),"r","a"),"s","a"),"t","a"),"u","a"),"v","a"),"w","a"),"x","a"),"y","a"),"z","a")</f>
        <v/>
      </c>
      <c r="CB3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387&amp;""),"a",""),"b",""),"c",""),"d",""),"e",""),"f",""),"g",""),"h",""),"i",""),"j",""),"k",""),"l",""),"m",""),"n",""),"o",""),"p",""),"q",""),"r",""),"s",""),"t",""),"u",""),"v",""),"w",""),"x",""),"y",""),"z",""),"-",""),"_",""),"/",""),".",""),"#",""),"\\",""),":","")," ",""),"(",""),")","")</f>
        <v/>
      </c>
      <c r="CC387" s="0" t="str">
        <f aca="false">" "&amp;TRIM(SUBSTITUTE(SUBSTITUTE(SUBSTITUTE(SUBSTITUTE(SUBSTITUTE(SUBSTITUTE(SUBSTITUTE(SUBSTITUTE(SUBSTITUTE(SUBSTITUTE(SUBSTITUTE(SUBSTITUTE(SUBSTITUTE(SUBSTITUTE(SUBSTITUTE(SUBSTITUTE(SUBSTITUTE(SUBSTITUTE(SUBSTITUTE(SUBSTITUTE(SUBSTITUTE(SUBSTITUTE(SUBSTITUTE(SUBSTITUTE(LOWER(T387&amp;""),CHAR(10)," "),CHAR(13)," "),CHAR(9)," "),CHAR(160)," "),"."," "),","," "),"-"," "),"/"," "),"("," "),")"," "),":"," "),";"," "),"_"," "),"–"," "),"?"," "),"!"," "),"*"," "),"["," "),"]"," "),"'"," "),"#"," "),"+"," "),"&amp;"," "),"\"," "))&amp;" "</f>
        <v>  </v>
      </c>
      <c r="CD387" s="0" t="str">
        <f aca="false">" "&amp;TRIM(SUBSTITUTE(SUBSTITUTE(SUBSTITUTE(SUBSTITUTE(SUBSTITUTE(SUBSTITUTE(SUBSTITUTE(SUBSTITUTE(SUBSTITUTE(SUBSTITUTE(SUBSTITUTE(SUBSTITUTE(SUBSTITUTE(SUBSTITUTE(SUBSTITUTE(SUBSTITUTE(SUBSTITUTE(SUBSTITUTE(SUBSTITUTE(SUBSTITUTE(SUBSTITUTE(SUBSTITUTE(SUBSTITUTE(SUBSTITUTE(LOWER(AE387&amp;""),CHAR(10)," "),CHAR(13)," "),CHAR(9)," "),CHAR(160)," "),"."," "),","," "),"-"," "),"/"," "),"("," "),")"," "),":"," "),";"," "),"_"," "),"–"," "),"?"," "),"!"," "),"*"," "),"["," "),"]"," "),"'"," "),"#"," "),"+"," "),"&amp;"," "),"\"," "))&amp;" "</f>
        <v>  </v>
      </c>
      <c r="CE387" s="68" t="n">
        <f aca="false">IFERROR(IF(AND(LEN(AU387)&gt;0,LEN(AU387)=LEN(AX387),OR(TRIM(MID(SUBSTITUTE(TRIM(CC387)," ",REPT(" ",60)),1,60))="",ISNUMBER(SEARCH(" "&amp;TRIM(MID(SUBSTITUTE(TRIM(CC387)," ",REPT(" ",60)),1,60))&amp;" ",CD387))),OR(TRIM(MID(SUBSTITUTE(TRIM(CC387)," ",REPT(" ",60)),61,60))="",ISNUMBER(SEARCH(" "&amp;TRIM(MID(SUBSTITUTE(TRIM(CC387)," ",REPT(" ",60)),61,60))&amp;" ",CD387))),OR(TRIM(MID(SUBSTITUTE(TRIM(CC387)," ",REPT(" ",60)),121,60))="",ISNUMBER(SEARCH(" "&amp;TRIM(MID(SUBSTITUTE(TRIM(CC387)," ",REPT(" ",60)),121,60))&amp;" ",CD387)))),1,0),0)</f>
        <v>0</v>
      </c>
      <c r="CG387" s="68" t="n">
        <f aca="false">IFERROR(LEN(SUBSTITUTE(BF387," ",""))-SUMPRODUCT((LEN(BF387)-LEN(SUBSTITUTE(BF387," "&amp;L_NAFiller&amp;" "," ")))/(LEN(L_NAFiller)+1)*LEN(L_NAFiller)),0)</f>
        <v>0</v>
      </c>
    </row>
    <row r="388" customFormat="false" ht="39.75" hidden="false" customHeight="true" outlineLevel="0" collapsed="false">
      <c r="A388" s="57" t="s">
        <v>1001</v>
      </c>
      <c r="B388" s="57" t="s">
        <v>261</v>
      </c>
      <c r="C388" s="57" t="str">
        <f aca="false">Flights!$F$16</f>
        <v>MH0139</v>
      </c>
      <c r="D388" s="58" t="n">
        <f aca="false">Flights!$D$16</f>
        <v>46307</v>
      </c>
      <c r="E388" s="57" t="str">
        <f aca="false">Flights!$G$16&amp;"-"&amp;Flights!$H$16</f>
        <v>KUL-ADL</v>
      </c>
      <c r="F388" s="57" t="str">
        <f aca="false">Flights!$K$16</f>
        <v>BC</v>
      </c>
      <c r="G388" s="57" t="s">
        <v>81</v>
      </c>
      <c r="H388" s="57" t="s">
        <v>378</v>
      </c>
      <c r="I388" s="57" t="s">
        <v>411</v>
      </c>
      <c r="J388" s="57" t="s">
        <v>412</v>
      </c>
      <c r="K388" s="67" t="s">
        <v>1002</v>
      </c>
      <c r="L388" s="67" t="s">
        <v>1003</v>
      </c>
      <c r="M388" s="67"/>
      <c r="N388" s="67" t="s">
        <v>383</v>
      </c>
      <c r="O388" s="67"/>
      <c r="P388" s="57" t="s">
        <v>187</v>
      </c>
      <c r="Q388" s="59" t="n">
        <f aca="false">ROUND((Flights!$AC$16)*1440,0)/1440</f>
        <v>46300.6006944444</v>
      </c>
      <c r="R388" s="59" t="n">
        <f aca="false">Q388+(IF(AND(INDEX(TZ_DSTS,MATCH(P388,TZ_STN,0))&lt;&gt;"",Q388&gt;=INDEX(TZ_DSTS,MATCH(P388,TZ_STN,0)),Q388&lt;INDEX(TZ_DSTE,MATCH(P388,TZ_STN,0))),INDEX(TZ_DST,MATCH(P388,TZ_STN,0)),INDEX(TZ_STD,MATCH(P388,TZ_STN,0))))/24</f>
        <v>46300.9340277778</v>
      </c>
      <c r="S388" s="60"/>
      <c r="T388" s="60"/>
      <c r="U388" s="60"/>
      <c r="V388" s="60"/>
      <c r="W388" s="61"/>
      <c r="X388" s="60"/>
      <c r="Y388" s="60"/>
      <c r="Z388" s="60"/>
      <c r="AA388" s="60"/>
      <c r="AB388" s="60"/>
      <c r="AC388" s="60"/>
      <c r="AD388" s="66"/>
      <c r="AE388" s="60"/>
      <c r="AF388" s="61" t="str">
        <f aca="false">IF(AND(ISNUMBER(X388),ISNUMBER(Y388)),Y388-X388,"")</f>
        <v/>
      </c>
      <c r="AG388" s="62" t="str">
        <f aca="false">IF(ISNUMBER(AD388),AD388-(IF(AND(INDEX(TZ_DSTS,MATCH(P388,TZ_STN,0))&lt;&gt;"",(AD388-INDEX(TZ_STD,MATCH(P388,TZ_STN,0))/24)&gt;=INDEX(TZ_DSTS,MATCH(P388,TZ_STN,0)),(AD388-INDEX(TZ_STD,MATCH(P388,TZ_STN,0))/24)&lt;INDEX(TZ_DSTE,MATCH(P388,TZ_STN,0))),INDEX(TZ_DST,MATCH(P388,TZ_STN,0)),INDEX(TZ_STD,MATCH(P388,TZ_STN,0))))/24,"")</f>
        <v/>
      </c>
      <c r="AH388" s="65" t="str">
        <f aca="false">IFERROR(IF(N388="N/A – rule",IF(OR(TRIM(U388)="",TRIM(U388)="N/A",TRIM(U388)="Not started"),"N/A – RULE","INVALID – this check does not apply to this aircraft: clear the status (or correct the fleet on Flights)"),IF(TRIM(U388)="N/A",IF(AT388=0,"INVALID – N/A not permitted for this check",IF(AND(TRIM(AB388)&lt;&gt;"",TRIM(AB388)&lt;&gt;"Closed"),"INVALID – corrective action still open",IF(AND(NOT(OR(LEN(AZ388)&lt;15,ISNUMBER(MATCH(AZ388,L_Placeholder,0)))),BK388=0,CG388&gt;=8,NOT(OR(LEN(AU388)&lt;2,ISNUMBER(MATCH(AU388,L_Placeholder,0)))),BR388&gt;=3,NOT(OR(LEN(AX388)&lt;2,ISNUMBER(MATCH(AX388,L_Placeholder,0)))),BS388&gt;=3,TRIM(AE388)&lt;&gt;TRIM(T388),AX388&lt;&gt;AU388,CE388=0),"N/A – JUSTIFIED","INVALID – N/A needs a real, settled reason (not 'not applicable' / 'as above' / TBC), a named PIC and a different named verifier"))),IF(OR(TRIM(U388)="Pass",TRIM(U388)="Pass after CA"),IF(NOT(ISNUMBER(AD388)),"INVALID – completion time missing",IF(OR(OR(LEN(AU388)&lt;2,ISNUMBER(MATCH(AU388,L_Placeholder,0))),BR388&lt;3),"INVALID – PIC missing or not a named person (a role such as QA / CSM is not a name)",IF(OR(LEN(AV388)&lt;2,ISNUMBER(MATCH(AV388,L_Placeholder,0))),"INVALID – result / assessment missing",IF(OR(OR(LEN(AW388)&lt;3,ISNUMBER(MATCH(AW388,L_Placeholder,0))),SUMPRODUCT(--ISNUMBER(SEARCH(" "&amp;L_EvidencePhrase&amp;" ",BD388)))&gt;0,BI388=1),"INVALID – evidence missing, placeholder or not yet on file",IF(ISNA(MATCH(TRIM(S388),L_EvidenceType,0)),"INVALID – choose the evidence type from the list (column S)",IF(BL388=0,"INVALID – evidence ID must be the record's own ID only (e.g. SF-2210, IMG_2231, 1045521); a link / file name needs type 'Link / file path'",IF(OR(OR(LEN(AX388)&lt;2,ISNUMBER(MATCH(AX388,L_Placeholder,0))),BS388&lt;3),"INVALID – verifier missing or not a named person (a role such as QA / CSM is not a name)",IF(OR(AX388=AU388,CE388=1,AND(LEN(AU388)&gt;=4,ISNUMBER(SEARCH(AU388,AX388))),AND(LEN(AX388)&gt;=4,ISNUMBER(SEARCH(AX388,AU388)))),"INVALID – verifier must be a different, named person (not the PIC or a role)",IF(BH388=1,"INVALID – result not yet available (awaiting / TBC)",IF(BG388=1,"INVALID – result describes a problem: record Fail, then Pass after CA (or reword if it is not a problem)",IF(BV388=1,"INVALID – wording says not on board: an on-board confirmation needs the item loaded",IF(AND(AQ388=1,OR(OR(LEN(AY388)&lt;3,ISNUMBER(MATCH(AY388,L_Placeholder,0))),BJ388=1,BQ388=0)),"INVALID – batch ID missing, placeholder or not an ID (e.g. PASB-261008-BC-017)",IF(AND(AR388=1,OR(NOT(ISNUMBER(X388)),NOT(ISNUMBER(Y388)))),"INVALID – expected/actual qty missing",IF(AND(AR388=1,OR(X388&lt;=0,Y388&lt;0)),"INVALID – expected qty must be above 0 and actual not negative",IF(BB388&lt;&gt;"",BB388,IF(AND(AS388=1,Documents!$J$16&lt;&gt;"ON FILE"),"INVALID – GLD not on file (Documents sheet)",IF(AND(AS388=2,Documents!$O$16&lt;&gt;"ON FILE"),"INVALID – menu checklist not on file (Documents sheet)",IF(AND(AS388=3,NOT(ISNUMBER(Flights!$AX$16))),"INVALID – enter carrying flight KUL departure (Flights AX)",IF(AND(AS388=3,OR(Flights!$AZ$16&gt;Flights!$AA$16,Flights!$AX$16&lt;Flights!$AA$16-3)),"INVALID – carrying flight (Flights AX) cannot arrive before this leg's STD, or is over 3 days early",IF(AG388&gt;AsOfUTC,"INVALID – completion time is in the future",IF(AND(ISNUMBER(BY388),AG388&lt;BY388),IF(H388="Physical uplift","INVALID – before uplift window (cannot confirm loading)","INVALID – before valid window"),IF(AG388&gt;Flights!$AA$16,"INVALID – completed after departure (cannot establish readiness)",IF(AND(H388="Preparation",AG388&gt;=IF(ISNUMBER(Flights!$BA$16),MIN(Flights!$BA$16,Flights!$AA$16),Flights!$AA$16)),"INVALID – completed after loading / departure (cannot establish readiness)",IF(AND(H388="Physical uplift",AG388&gt;Q388),"INVALID – recorded after the loading flight departed",IF(AG388&gt;Q388,"COMPLETE – LATE","COMPLETE"))))))))))))))))))))))))),IF(TRIM(U388)="Fail","FAIL – DISCREPANCY",IF(AND(TRIM(U388)&lt;&gt;"",TRIM(U388)&lt;&gt;"Not started",TRIM(U388)&lt;&gt;"In progress"),"INVALID – unrecognised status (use the list)",IF(AsOfUTC&gt;Q388,"OVERDUE",IF(N388="Clarification required","OPEN – CLARIFICATION","OPEN"))))))),"INVALID – error value in an input cell")</f>
        <v>OPEN</v>
      </c>
      <c r="AI388" s="61" t="n">
        <f aca="false">IF(OR(AH388="N/A – RULE",AH388="N/A – JUSTIFIED"),0,1)</f>
        <v>1</v>
      </c>
      <c r="AJ388" s="61" t="n">
        <f aca="false">IF(LEFT(AH388,8)="COMPLETE",1,0)</f>
        <v>0</v>
      </c>
      <c r="AK388" s="61" t="n">
        <f aca="false">IF(AND(AI388=1,AJ388=0,AsOfUTC&gt;Q388),1,0)</f>
        <v>0</v>
      </c>
      <c r="AL388" s="61" t="n">
        <f aca="false">IFERROR(IF(AND(AI388=1,OR(TRIM(U388)="Fail",AND(TRIM(AB388)&lt;&gt;"",TRIM(AB388)&lt;&gt;"Closed"),AND(ISNUMBER(AF388),AF388&lt;&gt;0,TRIM(U388)&lt;&gt;"Pass after CA"))),1,0),1)</f>
        <v>0</v>
      </c>
      <c r="AM388" s="61" t="n">
        <f aca="false">IF(LEFT(AH388,7)="INVALID",1,0)</f>
        <v>0</v>
      </c>
      <c r="AN388" s="61" t="n">
        <f aca="false">IF(AND(N388="Clarification required",AI388=1,AJ388=0),1,0)</f>
        <v>0</v>
      </c>
      <c r="AO388" s="61" t="str">
        <f aca="false">IF(AK388=1,SUM(AK$5:AK388),"")</f>
        <v/>
      </c>
      <c r="AP388" s="61" t="str">
        <f aca="false">IF(AL388=1,SUM(AL$5:AL388),"")</f>
        <v/>
      </c>
      <c r="AQ388" s="61" t="n">
        <v>0</v>
      </c>
      <c r="AR388" s="61" t="n">
        <v>0</v>
      </c>
      <c r="AS388" s="61" t="n">
        <v>0</v>
      </c>
      <c r="AT388" s="61" t="n">
        <v>0</v>
      </c>
      <c r="AU388" s="61" t="str">
        <f aca="false">SUBSTITUTE(SUBSTITUTE(SUBSTITUTE(SUBSTITUTE(SUBSTITUTE(SUBSTITUTE(SUBSTITUTE(SUBSTITUTE(SUBSTITUTE(SUBSTITUTE(SUBSTITUTE(SUBSTITUTE(SUBSTITUTE(SUBSTITUTE(SUBSTITUTE(SUBSTITUTE(LOWER(T388&amp;""),CHAR(10),""),CHAR(13),""),CHAR(9),""),CHAR(160),"")," ",""),".",""),"-",""),"/",""),"?",""),"_",""),",",""),"[",""),"]",""),"(",""),")",""),"*","")</f>
        <v/>
      </c>
      <c r="AV388" s="61" t="str">
        <f aca="false">SUBSTITUTE(SUBSTITUTE(SUBSTITUTE(SUBSTITUTE(SUBSTITUTE(SUBSTITUTE(SUBSTITUTE(SUBSTITUTE(SUBSTITUTE(SUBSTITUTE(SUBSTITUTE(SUBSTITUTE(SUBSTITUTE(SUBSTITUTE(SUBSTITUTE(SUBSTITUTE(LOWER(V388&amp;""),CHAR(10),""),CHAR(13),""),CHAR(9),""),CHAR(160),"")," ",""),".",""),"-",""),"/",""),"?",""),"_",""),",",""),"[",""),"]",""),"(",""),")",""),"*","")</f>
        <v/>
      </c>
      <c r="AW388" s="61" t="str">
        <f aca="false">SUBSTITUTE(SUBSTITUTE(SUBSTITUTE(SUBSTITUTE(SUBSTITUTE(SUBSTITUTE(SUBSTITUTE(SUBSTITUTE(SUBSTITUTE(SUBSTITUTE(SUBSTITUTE(SUBSTITUTE(SUBSTITUTE(SUBSTITUTE(SUBSTITUTE(SUBSTITUTE(LOWER(Z388&amp;""),CHAR(10),""),CHAR(13),""),CHAR(9),""),CHAR(160),"")," ",""),".",""),"-",""),"/",""),"?",""),"_",""),",",""),"[",""),"]",""),"(",""),")",""),"*","")</f>
        <v/>
      </c>
      <c r="AX388" s="61" t="str">
        <f aca="false">SUBSTITUTE(SUBSTITUTE(SUBSTITUTE(SUBSTITUTE(SUBSTITUTE(SUBSTITUTE(SUBSTITUTE(SUBSTITUTE(SUBSTITUTE(SUBSTITUTE(SUBSTITUTE(SUBSTITUTE(SUBSTITUTE(SUBSTITUTE(SUBSTITUTE(SUBSTITUTE(LOWER(AE388&amp;""),CHAR(10),""),CHAR(13),""),CHAR(9),""),CHAR(160),"")," ",""),".",""),"-",""),"/",""),"?",""),"_",""),",",""),"[",""),"]",""),"(",""),")",""),"*","")</f>
        <v/>
      </c>
      <c r="AY388" s="61" t="str">
        <f aca="false">SUBSTITUTE(SUBSTITUTE(SUBSTITUTE(SUBSTITUTE(SUBSTITUTE(SUBSTITUTE(SUBSTITUTE(SUBSTITUTE(SUBSTITUTE(SUBSTITUTE(SUBSTITUTE(SUBSTITUTE(SUBSTITUTE(SUBSTITUTE(SUBSTITUTE(SUBSTITUTE(LOWER(W388&amp;""),CHAR(10),""),CHAR(13),""),CHAR(9),""),CHAR(160),"")," ",""),".",""),"-",""),"/",""),"?",""),"_",""),",",""),"[",""),"]",""),"(",""),")",""),"*","")</f>
        <v/>
      </c>
      <c r="AZ388" s="61" t="str">
        <f aca="false">SUBSTITUTE(SUBSTITUTE(SUBSTITUTE(SUBSTITUTE(SUBSTITUTE(SUBSTITUTE(SUBSTITUTE(SUBSTITUTE(SUBSTITUTE(SUBSTITUTE(SUBSTITUTE(SUBSTITUTE(SUBSTITUTE(SUBSTITUTE(SUBSTITUTE(SUBSTITUTE(LOWER(AC388&amp;""),CHAR(10),""),CHAR(13),""),CHAR(9),""),CHAR(160),"")," ",""),".",""),"-",""),"/",""),"?",""),"_",""),",",""),"[",""),"]",""),"(",""),")",""),"*","")</f>
        <v/>
      </c>
      <c r="BA388" s="61" t="str">
        <f aca="false">SUBSTITUTE(SUBSTITUTE(SUBSTITUTE(SUBSTITUTE(SUBSTITUTE(SUBSTITUTE(SUBSTITUTE(SUBSTITUTE(SUBSTITUTE(SUBSTITUTE(SUBSTITUTE(SUBSTITUTE(SUBSTITUTE(SUBSTITUTE(SUBSTITUTE(SUBSTITUTE(LOWER(AA388&amp;""),CHAR(10),""),CHAR(13),""),CHAR(9),""),CHAR(160),"")," ",""),".",""),"-",""),"/",""),"?",""),"_",""),",",""),"[",""),"]",""),"(",""),")",""),"*","")</f>
        <v/>
      </c>
      <c r="BB388" s="61" t="str">
        <f aca="false">IF(AND(TRIM(U388)="Pass",ISNUMBER(AF388)),IF(AF388&lt;&gt;0,"INVALID – qty variance: use Fail or Pass after CA",""),"")&amp;IF(AND(TRIM(U388)="Pass after CA",ISNUMBER(AF388)),IF(AF388&lt;&gt;0,"INVALID – after the corrective action the actual qty must equal expected (update Actual)",""),"")&amp;IF(AND(TRIM(U388)="Pass",TRIM(AB388)&lt;&gt;"",TRIM(AB388)&lt;&gt;"Closed"),"INVALID – corrective action not closed: use Fail, then Pass after CA","")&amp;IF(AND(LEN(BA388)&gt;=2,ISNA(MATCH(LEFT(BA388,255),L_Placeholder,0)),TRIM(AB388)=""),"INVALID – CA status missing for the recorded corrective action","")&amp;IF(AND(TRIM(U388)="Pass after CA",OR(OR(LEN(BA388)&lt;5,ISNUMBER(MATCH(BA388,L_Placeholder,0))),TRIM(AB388)&lt;&gt;"Closed")),"INVALID – corrective action not recorded/closed","")</f>
        <v/>
      </c>
      <c r="BC388" s="61" t="str">
        <f aca="false">" "&amp;TRIM(SUBSTITUTE(SUBSTITUTE(SUBSTITUTE(SUBSTITUTE(SUBSTITUTE(SUBSTITUTE(SUBSTITUTE(SUBSTITUTE(SUBSTITUTE(SUBSTITUTE(SUBSTITUTE(SUBSTITUTE(SUBSTITUTE(SUBSTITUTE(SUBSTITUTE(SUBSTITUTE(SUBSTITUTE(SUBSTITUTE(SUBSTITUTE(SUBSTITUTE(SUBSTITUTE(SUBSTITUTE(SUBSTITUTE(SUBSTITUTE(LOWER(V388&amp;""),CHAR(10)," "),CHAR(13)," "),CHAR(9)," "),CHAR(160)," "),"."," "),","," "),"-"," "),"/"," "),"("," "),")"," "),":"," "),";"," "),"_"," "),"–"," "),"?"," "),"!"," "),"*"," "),"["," "),"]"," "),"'"," "),"#"," "),"+"," "),"&amp;"," "),"\"," "))&amp;" "</f>
        <v>  </v>
      </c>
      <c r="BD388" s="61" t="str">
        <f aca="false">" "&amp;TRIM(SUBSTITUTE(SUBSTITUTE(SUBSTITUTE(SUBSTITUTE(SUBSTITUTE(SUBSTITUTE(SUBSTITUTE(SUBSTITUTE(SUBSTITUTE(SUBSTITUTE(SUBSTITUTE(SUBSTITUTE(SUBSTITUTE(SUBSTITUTE(SUBSTITUTE(SUBSTITUTE(SUBSTITUTE(SUBSTITUTE(SUBSTITUTE(SUBSTITUTE(SUBSTITUTE(SUBSTITUTE(SUBSTITUTE(SUBSTITUTE(LOWER(Z388&amp;""),CHAR(10)," "),CHAR(13)," "),CHAR(9)," "),CHAR(160)," "),"."," "),","," "),"-"," "),"/"," "),"("," "),")"," "),":"," "),";"," "),"_"," "),"–"," "),"?"," "),"!"," "),"*"," "),"["," "),"]"," "),"'"," "),"#"," "),"+"," "),"&amp;"," "),"\"," "))&amp;" "</f>
        <v>  </v>
      </c>
      <c r="BE388" s="61" t="str">
        <f aca="false">" "&amp;TRIM(SUBSTITUTE(SUBSTITUTE(SUBSTITUTE(SUBSTITUTE(SUBSTITUTE(SUBSTITUTE(SUBSTITUTE(SUBSTITUTE(SUBSTITUTE(SUBSTITUTE(SUBSTITUTE(SUBSTITUTE(SUBSTITUTE(SUBSTITUTE(SUBSTITUTE(SUBSTITUTE(SUBSTITUTE(SUBSTITUTE(SUBSTITUTE(SUBSTITUTE(SUBSTITUTE(SUBSTITUTE(SUBSTITUTE(SUBSTITUTE(LOWER(W388&amp;""),CHAR(10)," "),CHAR(13)," "),CHAR(9)," "),CHAR(160)," "),"."," "),","," "),"-"," "),"/"," "),"("," "),")"," "),":"," "),";"," "),"_"," "),"–"," "),"?"," "),"!"," "),"*"," "),"["," "),"]"," "),"'"," "),"#"," "),"+"," "),"&amp;"," "),"\"," "))&amp;" "</f>
        <v>  </v>
      </c>
      <c r="BF388" s="61" t="str">
        <f aca="false">" "&amp;TRIM(SUBSTITUTE(SUBSTITUTE(SUBSTITUTE(SUBSTITUTE(SUBSTITUTE(SUBSTITUTE(SUBSTITUTE(SUBSTITUTE(SUBSTITUTE(SUBSTITUTE(SUBSTITUTE(SUBSTITUTE(SUBSTITUTE(SUBSTITUTE(SUBSTITUTE(SUBSTITUTE(SUBSTITUTE(SUBSTITUTE(SUBSTITUTE(SUBSTITUTE(SUBSTITUTE(SUBSTITUTE(SUBSTITUTE(SUBSTITUTE(LOWER(AC388&amp;""),CHAR(10)," "),CHAR(13)," "),CHAR(9)," "),CHAR(160)," "),"."," "),","," "),"-"," "),"/"," "),"("," "),")"," "),":"," "),";"," "),"_"," "),"–"," "),"?"," "),"!"," "),"*"," "),"["," "),"]"," "),"'"," "),"#"," "),"+"," "),"&amp;"," "),"\"," "))&amp;" "</f>
        <v>  </v>
      </c>
      <c r="BG388" s="61" t="n">
        <f aca="false">IFERROR(IF(AND(TRIM(U388)="Pass",SUMPRODUCT((LEN(BC388)-LEN(SUBSTITUTE(BC388," "&amp;L_ResultBad&amp;" "," ")))/(LEN(L_ResultBad)+1))&gt;SUMPRODUCT((LEN(BC388)-LEN(SUBSTITUTE(BC388," "&amp;L_NegPhrase&amp;" "," ")))/(LEN(L_NegPhrase)+1))),1,0),0)</f>
        <v>0</v>
      </c>
      <c r="BH388" s="61" t="n">
        <f aca="false">IFERROR(IF(SUMPRODUCT((LEN(BC388)-LEN(SUBSTITUTE(BC388," "&amp;L_Pending&amp;" "," ")))/(LEN(L_Pending)+1))&gt;SUMPRODUCT((LEN(BC388)-LEN(SUBSTITUTE(BC388," "&amp;L_PendNeg&amp;" "," ")))/(LEN(L_PendNeg)+1))+SUMPRODUCT((LEN(BC388)-LEN(SUBSTITUTE(BC388," "&amp;L_PendPrep&amp;" "," ")))/(LEN(L_PendPrep)+1)),1,0),1)</f>
        <v>0</v>
      </c>
      <c r="BI388" s="61" t="n">
        <f aca="false">IFERROR(IF(SUMPRODUCT((LEN(BD388)-LEN(SUBSTITUTE(BD388," "&amp;L_PendStrict&amp;" "," ")))/(LEN(L_PendStrict)+1))&gt;SUMPRODUCT((LEN(BD388)-LEN(SUBSTITUTE(BD388," "&amp;L_PendNeg&amp;" "," ")))/(LEN(L_PendNeg)+1)),1,0),1)</f>
        <v>0</v>
      </c>
      <c r="BJ388" s="61" t="n">
        <f aca="false">IFERROR(IF(SUMPRODUCT((LEN(BE388)-LEN(SUBSTITUTE(BE388," "&amp;L_Pending&amp;" "," ")))/(LEN(L_Pending)+1))&gt;SUMPRODUCT((LEN(BE388)-LEN(SUBSTITUTE(BE388," "&amp;L_PendNeg&amp;" "," ")))/(LEN(L_PendNeg)+1))+SUMPRODUCT((LEN(BE388)-LEN(SUBSTITUTE(BE388," "&amp;L_PendPrep&amp;" "," ")))/(LEN(L_PendPrep)+1)),1,0),1)</f>
        <v>0</v>
      </c>
      <c r="BK388" s="61" t="n">
        <f aca="false">IFERROR(IF(SUMPRODUCT((LEN(BF388)-LEN(SUBSTITUTE(BF388," "&amp;L_PendStrict&amp;" "," ")))/(LEN(L_PendStrict)+1))&gt;SUMPRODUCT((LEN(BF388)-LEN(SUBSTITUTE(BF388," "&amp;L_PendNeg&amp;" "," ")))/(LEN(L_PendNeg)+1)),1,0),1)</f>
        <v>0</v>
      </c>
      <c r="BL388" s="61" t="n">
        <f aca="false">IF(ISNA(MATCH(TRIM(S388),L_EvidenceType,0)),0,BZ388)</f>
        <v>0</v>
      </c>
      <c r="BM388" s="61" t="str">
        <f aca="false">SUBSTITUTE(SUBSTITUTE(SUBSTITUTE(SUBSTITUTE(SUBSTITUTE(SUBSTITUTE(SUBSTITUTE(SUBSTITUTE(SUBSTITUTE(LOWER(Z388&amp;""),"1","0"),"2","0"),"3","0"),"4","0"),"5","0"),"6","0"),"7","0"),"8","0"),"9","0")</f>
        <v/>
      </c>
      <c r="BN388" s="61" t="str">
        <f aca="false">SUBSTITUTE(SUBSTITUTE(SUBSTITUTE(SUBSTITUTE(SUBSTITUTE(SUBSTITUTE(SUBSTITUTE(SUBSTITUTE(SUBSTITUTE(SUBSTITUTE(SUBSTITUTE(SUBSTITUTE(SUBSTITUTE(SUBSTITUTE(SUBSTITUTE(SUBSTITUTE(SUBSTITUTE(SUBSTITUTE(SUBSTITUTE(SUBSTITUTE(SUBSTITUTE(SUBSTITUTE(SUBSTITUTE(SUBSTITUTE(SUBSTITUTE(BM388,"b","a"),"c","a"),"d","a"),"e","a"),"f","a"),"g","a"),"h","a"),"i","a"),"j","a"),"k","a"),"l","a"),"m","a"),"n","a"),"o","a"),"p","a"),"q","a"),"r","a"),"s","a"),"t","a"),"u","a"),"v","a"),"w","a"),"x","a"),"y","a"),"z","a")</f>
        <v/>
      </c>
      <c r="BO388" s="61" t="str">
        <f aca="false">SUBSTITUTE(SUBSTITUTE(SUBSTITUTE(SUBSTITUTE(SUBSTITUTE(SUBSTITUTE(SUBSTITUTE(SUBSTITUTE(SUBSTITUTE(LOWER(W388&amp;""),"1","0"),"2","0"),"3","0"),"4","0"),"5","0"),"6","0"),"7","0"),"8","0"),"9","0")</f>
        <v/>
      </c>
      <c r="BP388" s="61" t="str">
        <f aca="false">SUBSTITUTE(SUBSTITUTE(SUBSTITUTE(SUBSTITUTE(SUBSTITUTE(SUBSTITUTE(SUBSTITUTE(SUBSTITUTE(SUBSTITUTE(SUBSTITUTE(SUBSTITUTE(SUBSTITUTE(SUBSTITUTE(SUBSTITUTE(SUBSTITUTE(SUBSTITUTE(SUBSTITUTE(SUBSTITUTE(SUBSTITUTE(SUBSTITUTE(SUBSTITUTE(SUBSTITUTE(SUBSTITUTE(SUBSTITUTE(SUBSTITUTE(BO388,"b","a"),"c","a"),"d","a"),"e","a"),"f","a"),"g","a"),"h","a"),"i","a"),"j","a"),"k","a"),"l","a"),"m","a"),"n","a"),"o","a"),"p","a"),"q","a"),"r","a"),"s","a"),"t","a"),"u","a"),"v","a"),"w","a"),"x","a"),"y","a"),"z","a")</f>
        <v/>
      </c>
      <c r="BQ388" s="61" t="n">
        <f aca="false">IFERROR(IF(AND(ISERROR(SEARCH(" mh"," "&amp;LOWER(W388))),ISNA(MATCH(LEFT(TRIM(BP388),255),{"0000a","000a","00a","0000aa","000aa","00aa","0aa","0000aaa","000aaa","00a00","0a00","0000-0000","00:00","a00","a0","00.00.0000","00/00/0000","00-00-0000","0000-00-00","0000/00/00","0000.00.00","00.00.00","00/00/00","00-00-00","0.00.0000","0/00/0000","0-00-0000"},0)),ISNA(MATCH(LEFT(TRIM(CA388),255),{"0000a","000a","00a","0000aa","000aa","00aa","0aa","0000aaa","000aaa","00a00","0a00","0000-0000","00:00","a00","a0","00.00.0000","00/00/0000","00-00-0000","0000-00-00","0000/00/00","0000.00.00","00.00.00","00/00/00","00-00-00","0.00.0000","0/00/0000","0-00-0000"},0)),LEN(CB388)&gt;=3,NOT(OR(SUBSTITUTE(CB388,"0","")="",AND(LEN(CB388)&gt;=4,CB388=REPT(LEFT(CB388),LEN(CB388))),ISNUMBER(MATCH(CB388,{"123","1234","12345","123456","1234567","12345678","0123","01234","012345","98765","987654","54321"},0)),AND(LEN(CB388)=8,LEFT(CB388,3)="202"))),OR(AND((LEN(CA388)-LEN(SUBSTITUTE(CA388,"a","")))&gt;=1,SUMPRODUCT(--ISNUMBER(SEARCH({"a0","a-0","a_0","a/0","a.0","a#0","0a","0-a","0_a","0/a"},BP388)))&gt;0),ISNUMBER(SEARCH("000000",BP388)))),1,0),0)</f>
        <v>0</v>
      </c>
      <c r="BR388" s="61" t="n">
        <f aca="false">IFERROR(LEN(SUBSTITUTE(CC388," ",""))-SUMPRODUCT((LEN(CC388)-LEN(SUBSTITUTE(CC388," "&amp;L_Role&amp;" "," ")))/(LEN(L_Role)+1)*LEN(L_Role)),0)</f>
        <v>0</v>
      </c>
      <c r="BS388" s="61" t="n">
        <f aca="false">IFERROR(LEN(SUBSTITUTE(CD388," ",""))-SUMPRODUCT((LEN(CD388)-LEN(SUBSTITUTE(CD388," "&amp;L_Role&amp;" "," ")))/(LEN(L_Role)+1)*LEN(L_Role)),0)</f>
        <v>0</v>
      </c>
      <c r="BT3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388,"revision",""),"version",""),"jan",""),"feb",""),"mar",""),"apr",""),"may",""),"jun",""),"jul",""),"aug",""),"sep",""),"oct",""),"nov",""),"dec",""),"utc",""),"gmt",""),"myt",""),"bst",""),"rev",""),"ver",""),"b","a"),"c","a"),"d","a"),"e","a"),"f","a"),"g","a"),"h","a"),"i","a"),"j","a"),"k","a"),"l","a"),"m","a"),"n","a"),"o","a"),"p","a"),"q","a"),"r","a"),"s","a"),"t","a"),"u","a"),"v","a"),"w","a"),"x","a"),"y","a"),"z","a")</f>
        <v/>
      </c>
      <c r="BU388" s="61" t="str">
        <f aca="false">SUBSTITUTE(SUBSTITUTE(SUBSTITUTE(SUBSTITUTE(SUBSTITUTE(SUBSTITUTE(SUBSTITUTE(SUBSTITUTE(SUBSTITUTE(SUBSTITUTE(LEFT(BM388,FIND("0",BM388&amp;"0")-1),"-",""),"_",""),"/",""),".",""),"#",""),"\\",""),":","")," ",""),"(",""),")","")</f>
        <v/>
      </c>
      <c r="BV388" s="61" t="n">
        <f aca="false">0</f>
        <v>0</v>
      </c>
      <c r="BW3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388&amp;""),"a",""),"b",""),"c",""),"d",""),"e",""),"f",""),"g",""),"h",""),"i",""),"j",""),"k",""),"l",""),"m",""),"n",""),"o",""),"p",""),"q",""),"r",""),"s",""),"t",""),"u",""),"v",""),"w",""),"x",""),"y",""),"z",""),"-",""),"_",""),"/",""),".",""),"#",""),"\\",""),":","")," ",""),"(",""),")","")</f>
        <v/>
      </c>
      <c r="BX388" s="61" t="str">
        <f aca="false">SUBSTITUTE(SUBSTITUTE(SUBSTITUTE(SUBSTITUTE(SUBSTITUTE(SUBSTITUTE(SUBSTITUTE(SUBSTITUTE(SUBSTITUTE(SUBSTITUTE(SUBSTITUTE(BM388,"0",""),"-",""),"_",""),"/",""),".",""),"#",""),"\\",""),":","")," ",""),"(",""),")","")</f>
        <v/>
      </c>
      <c r="BY388" s="62" t="n">
        <f aca="false">Q388-T7EarlyD*24/24</f>
        <v>46286.6006944444</v>
      </c>
      <c r="BZ388" s="61" t="n">
        <f aca="false">IFERROR(IF(IF(TRIM(S388)="Link / file path",AND(LEN(TRIM(Z388))&gt;=5,SUMPRODUCT(--ISNUMBER(SEARCH({"http","www.","\\",":\",".pdf",".jpg",".jpeg",".png",".heic",".xls",".doc",".msg",".eml",".ppt",".txt",".zip"},Z388)))&gt;0),AND(ISERROR(FIND(" ",TRIM(Z388))),NOT(OR(SUMPRODUCT(--ISNUMBER(FIND({",",";","&amp;","+"},Z388)))&gt;0,SUMPRODUCT(--ISNUMBER(SEARCH({"0/aa","0\\aa"},BN388)))&gt;0)),NOT(SUMPRODUCT(--ISNUMBER(SEARCH({"http","www.","\\",":\",".pdf",".jpg",".jpeg",".png",".heic",".xls",".doc",".msg",".eml",".ppt",".txt",".zip"},Z388)))&gt;0),NOT(LOWER(TRIM(Z388))=LOWER(Flights!$F$16)),ISNA(MATCH(BU388,{"mh","rev","revision","ver","version","v","r","a","b","seat","tray","row","gate","bay","stand","page","pg","item","line","no","cart","galley","flight","flt","table","box","bag","oven","etd","eta","std","sta","atd","ata","qty","pax","x","time","tel","ph","mob","day","wk","week","utc","gmt","myt","lt"},0)),NOT(OR(ISNUMBER(MATCH(LEFT(BN388,255),{"0000a","000a","00a","0000aa","000aa","00aa","0aa","0000aaa","000aaa","00a00","0a00","0000-0000","00:00","a00","a0","00.00.0000","00/00/0000","00-00-0000","0000-00-00","0000/00/00","0000.00.00","00.00.00","00/00/00","00-00-00","0.00.0000","0/00/0000","0-00-0000"},0)),ISNUMBER(MATCH(LEFT(BT388,255),{"0000a","000a","00a","0000aa","000aa","00aa","0aa","0000aaa","000aaa","00a00","0a00","0000-0000","00:00","a00","a0","00.00.0000","00/00/0000","00-00-0000","0000-00-00","0000/00/00","0000.00.00","00.00.00","00/00/00","00-00-00","0.00.0000","0/00/0000","0-00-0000"},0)))),NOT(OR(AND(BW388&lt;&gt;"",SUBSTITUTE(BW388,"0","")=""),AND(LEN(BW388)&gt;=4,BW388=REPT(LEFT(BW388),LEN(BW388))),ISNUMBER(MATCH(BW388,{"123","1234","12345","123456","1234567","12345678","0123","01234","012345","98765","987654","54321"},0)),ISNUMBER(MATCH(BX388,{"x","xx","xxx","xxxx","xxxxx","abc","abcd","nil","na","nan","test","tbc","tba","tbd","dummy","sample","example","eg","zz","zzz","none","null","xyz","qwe","asd","id","ref"},0)),AND(LEN(BW388)=8,BX388="",OR(LEFT(BW388,3)="202",ISNUMBER(MATCH(RIGHT(BW388,4),{"2025","2026","2027"},0)))))),OR(AND((LEN(BT388)-LEN(SUBSTITUTE(BT388,"a","")))&gt;=1,(LEN(BN388)-LEN(SUBSTITUTE(BN388,"0","")))&gt;=2,SUMPRODUCT(--ISNUMBER(SEARCH({"a0","a-0","a_0","a/0","a.0","a#0","0a","0-a","0_a","0/a"},BN388)))&gt;0),AND((LEN(BN388)-LEN(SUBSTITUTE(BN388,"a","")))=0,(LEN(BN388)-LEN(SUBSTITUTE(BN388,"0","")))&gt;=5)))),1,0),0)</f>
        <v>0</v>
      </c>
      <c r="CA3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388,"revision",""),"version",""),"jan",""),"feb",""),"mar",""),"apr",""),"may",""),"jun",""),"jul",""),"aug",""),"sep",""),"oct",""),"nov",""),"dec",""),"utc",""),"gmt",""),"myt",""),"bst",""),"rev",""),"ver",""),"b","a"),"c","a"),"d","a"),"e","a"),"f","a"),"g","a"),"h","a"),"i","a"),"j","a"),"k","a"),"l","a"),"m","a"),"n","a"),"o","a"),"p","a"),"q","a"),"r","a"),"s","a"),"t","a"),"u","a"),"v","a"),"w","a"),"x","a"),"y","a"),"z","a")</f>
        <v/>
      </c>
      <c r="CB3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388&amp;""),"a",""),"b",""),"c",""),"d",""),"e",""),"f",""),"g",""),"h",""),"i",""),"j",""),"k",""),"l",""),"m",""),"n",""),"o",""),"p",""),"q",""),"r",""),"s",""),"t",""),"u",""),"v",""),"w",""),"x",""),"y",""),"z",""),"-",""),"_",""),"/",""),".",""),"#",""),"\\",""),":","")," ",""),"(",""),")","")</f>
        <v/>
      </c>
      <c r="CC388" s="0" t="str">
        <f aca="false">" "&amp;TRIM(SUBSTITUTE(SUBSTITUTE(SUBSTITUTE(SUBSTITUTE(SUBSTITUTE(SUBSTITUTE(SUBSTITUTE(SUBSTITUTE(SUBSTITUTE(SUBSTITUTE(SUBSTITUTE(SUBSTITUTE(SUBSTITUTE(SUBSTITUTE(SUBSTITUTE(SUBSTITUTE(SUBSTITUTE(SUBSTITUTE(SUBSTITUTE(SUBSTITUTE(SUBSTITUTE(SUBSTITUTE(SUBSTITUTE(SUBSTITUTE(LOWER(T388&amp;""),CHAR(10)," "),CHAR(13)," "),CHAR(9)," "),CHAR(160)," "),"."," "),","," "),"-"," "),"/"," "),"("," "),")"," "),":"," "),";"," "),"_"," "),"–"," "),"?"," "),"!"," "),"*"," "),"["," "),"]"," "),"'"," "),"#"," "),"+"," "),"&amp;"," "),"\"," "))&amp;" "</f>
        <v>  </v>
      </c>
      <c r="CD388" s="0" t="str">
        <f aca="false">" "&amp;TRIM(SUBSTITUTE(SUBSTITUTE(SUBSTITUTE(SUBSTITUTE(SUBSTITUTE(SUBSTITUTE(SUBSTITUTE(SUBSTITUTE(SUBSTITUTE(SUBSTITUTE(SUBSTITUTE(SUBSTITUTE(SUBSTITUTE(SUBSTITUTE(SUBSTITUTE(SUBSTITUTE(SUBSTITUTE(SUBSTITUTE(SUBSTITUTE(SUBSTITUTE(SUBSTITUTE(SUBSTITUTE(SUBSTITUTE(SUBSTITUTE(LOWER(AE388&amp;""),CHAR(10)," "),CHAR(13)," "),CHAR(9)," "),CHAR(160)," "),"."," "),","," "),"-"," "),"/"," "),"("," "),")"," "),":"," "),";"," "),"_"," "),"–"," "),"?"," "),"!"," "),"*"," "),"["," "),"]"," "),"'"," "),"#"," "),"+"," "),"&amp;"," "),"\"," "))&amp;" "</f>
        <v>  </v>
      </c>
      <c r="CE388" s="68" t="n">
        <f aca="false">IFERROR(IF(AND(LEN(AU388)&gt;0,LEN(AU388)=LEN(AX388),OR(TRIM(MID(SUBSTITUTE(TRIM(CC388)," ",REPT(" ",60)),1,60))="",ISNUMBER(SEARCH(" "&amp;TRIM(MID(SUBSTITUTE(TRIM(CC388)," ",REPT(" ",60)),1,60))&amp;" ",CD388))),OR(TRIM(MID(SUBSTITUTE(TRIM(CC388)," ",REPT(" ",60)),61,60))="",ISNUMBER(SEARCH(" "&amp;TRIM(MID(SUBSTITUTE(TRIM(CC388)," ",REPT(" ",60)),61,60))&amp;" ",CD388))),OR(TRIM(MID(SUBSTITUTE(TRIM(CC388)," ",REPT(" ",60)),121,60))="",ISNUMBER(SEARCH(" "&amp;TRIM(MID(SUBSTITUTE(TRIM(CC388)," ",REPT(" ",60)),121,60))&amp;" ",CD388)))),1,0),0)</f>
        <v>0</v>
      </c>
      <c r="CG388" s="68" t="n">
        <f aca="false">IFERROR(LEN(SUBSTITUTE(BF388," ",""))-SUMPRODUCT((LEN(BF388)-LEN(SUBSTITUTE(BF388," "&amp;L_NAFiller&amp;" "," ")))/(LEN(L_NAFiller)+1)*LEN(L_NAFiller)),0)</f>
        <v>0</v>
      </c>
    </row>
    <row r="389" customFormat="false" ht="39.75" hidden="false" customHeight="true" outlineLevel="0" collapsed="false">
      <c r="A389" s="57" t="s">
        <v>1004</v>
      </c>
      <c r="B389" s="57" t="s">
        <v>261</v>
      </c>
      <c r="C389" s="57" t="str">
        <f aca="false">Flights!$F$16</f>
        <v>MH0139</v>
      </c>
      <c r="D389" s="58" t="n">
        <f aca="false">Flights!$D$16</f>
        <v>46307</v>
      </c>
      <c r="E389" s="57" t="str">
        <f aca="false">Flights!$G$16&amp;"-"&amp;Flights!$H$16</f>
        <v>KUL-ADL</v>
      </c>
      <c r="F389" s="57" t="str">
        <f aca="false">Flights!$K$16</f>
        <v>BC</v>
      </c>
      <c r="G389" s="57" t="s">
        <v>83</v>
      </c>
      <c r="H389" s="57" t="s">
        <v>378</v>
      </c>
      <c r="I389" s="57" t="s">
        <v>379</v>
      </c>
      <c r="J389" s="57" t="s">
        <v>416</v>
      </c>
      <c r="K389" s="67" t="s">
        <v>417</v>
      </c>
      <c r="L389" s="67" t="s">
        <v>418</v>
      </c>
      <c r="M389" s="67"/>
      <c r="N389" s="67" t="s">
        <v>383</v>
      </c>
      <c r="O389" s="67"/>
      <c r="P389" s="57" t="s">
        <v>187</v>
      </c>
      <c r="Q389" s="59" t="n">
        <f aca="false">ROUND((Flights!$AD$16)*1440,0)/1440</f>
        <v>46306.6006944444</v>
      </c>
      <c r="R389" s="59" t="n">
        <f aca="false">Q389+(IF(AND(INDEX(TZ_DSTS,MATCH(P389,TZ_STN,0))&lt;&gt;"",Q389&gt;=INDEX(TZ_DSTS,MATCH(P389,TZ_STN,0)),Q389&lt;INDEX(TZ_DSTE,MATCH(P389,TZ_STN,0))),INDEX(TZ_DST,MATCH(P389,TZ_STN,0)),INDEX(TZ_STD,MATCH(P389,TZ_STN,0))))/24</f>
        <v>46306.9340277778</v>
      </c>
      <c r="S389" s="60"/>
      <c r="T389" s="60"/>
      <c r="U389" s="60"/>
      <c r="V389" s="60"/>
      <c r="W389" s="60"/>
      <c r="X389" s="60"/>
      <c r="Y389" s="60"/>
      <c r="Z389" s="60"/>
      <c r="AA389" s="60"/>
      <c r="AB389" s="60"/>
      <c r="AC389" s="60"/>
      <c r="AD389" s="66"/>
      <c r="AE389" s="60"/>
      <c r="AF389" s="61" t="str">
        <f aca="false">IF(AND(ISNUMBER(X389),ISNUMBER(Y389)),Y389-X389,"")</f>
        <v/>
      </c>
      <c r="AG389" s="62" t="str">
        <f aca="false">IF(ISNUMBER(AD389),AD389-(IF(AND(INDEX(TZ_DSTS,MATCH(P389,TZ_STN,0))&lt;&gt;"",(AD389-INDEX(TZ_STD,MATCH(P389,TZ_STN,0))/24)&gt;=INDEX(TZ_DSTS,MATCH(P389,TZ_STN,0)),(AD389-INDEX(TZ_STD,MATCH(P389,TZ_STN,0))/24)&lt;INDEX(TZ_DSTE,MATCH(P389,TZ_STN,0))),INDEX(TZ_DST,MATCH(P389,TZ_STN,0)),INDEX(TZ_STD,MATCH(P389,TZ_STN,0))))/24,"")</f>
        <v/>
      </c>
      <c r="AH389" s="65" t="str">
        <f aca="false">IFERROR(IF(N389="N/A – rule",IF(OR(TRIM(U389)="",TRIM(U389)="N/A",TRIM(U389)="Not started"),"N/A – RULE","INVALID – this check does not apply to this aircraft: clear the status (or correct the fleet on Flights)"),IF(TRIM(U389)="N/A",IF(AT389=0,"INVALID – N/A not permitted for this check",IF(AND(TRIM(AB389)&lt;&gt;"",TRIM(AB389)&lt;&gt;"Closed"),"INVALID – corrective action still open",IF(AND(NOT(OR(LEN(AZ389)&lt;15,ISNUMBER(MATCH(AZ389,L_Placeholder,0)))),BK389=0,CG389&gt;=8,NOT(OR(LEN(AU389)&lt;2,ISNUMBER(MATCH(AU389,L_Placeholder,0)))),BR389&gt;=3,NOT(OR(LEN(AX389)&lt;2,ISNUMBER(MATCH(AX389,L_Placeholder,0)))),BS389&gt;=3,TRIM(AE389)&lt;&gt;TRIM(T389),AX389&lt;&gt;AU389,CE389=0),"N/A – JUSTIFIED","INVALID – N/A needs a real, settled reason (not 'not applicable' / 'as above' / TBC), a named PIC and a different named verifier"))),IF(OR(TRIM(U389)="Pass",TRIM(U389)="Pass after CA"),IF(NOT(ISNUMBER(AD389)),"INVALID – completion time missing",IF(OR(OR(LEN(AU389)&lt;2,ISNUMBER(MATCH(AU389,L_Placeholder,0))),BR389&lt;3),"INVALID – PIC missing or not a named person (a role such as QA / CSM is not a name)",IF(OR(LEN(AV389)&lt;2,ISNUMBER(MATCH(AV389,L_Placeholder,0))),"INVALID – result / assessment missing",IF(OR(OR(LEN(AW389)&lt;3,ISNUMBER(MATCH(AW389,L_Placeholder,0))),SUMPRODUCT(--ISNUMBER(SEARCH(" "&amp;L_EvidencePhrase&amp;" ",BD389)))&gt;0,BI389=1),"INVALID – evidence missing, placeholder or not yet on file",IF(ISNA(MATCH(TRIM(S389),L_EvidenceType,0)),"INVALID – choose the evidence type from the list (column S)",IF(BL389=0,"INVALID – evidence ID must be the record's own ID only (e.g. SF-2210, IMG_2231, 1045521); a link / file name needs type 'Link / file path'",IF(OR(OR(LEN(AX389)&lt;2,ISNUMBER(MATCH(AX389,L_Placeholder,0))),BS389&lt;3),"INVALID – verifier missing or not a named person (a role such as QA / CSM is not a name)",IF(OR(AX389=AU389,CE389=1,AND(LEN(AU389)&gt;=4,ISNUMBER(SEARCH(AU389,AX389))),AND(LEN(AX389)&gt;=4,ISNUMBER(SEARCH(AX389,AU389)))),"INVALID – verifier must be a different, named person (not the PIC or a role)",IF(BH389=1,"INVALID – result not yet available (awaiting / TBC)",IF(BG389=1,"INVALID – result describes a problem: record Fail, then Pass after CA (or reword if it is not a problem)",IF(BV389=1,"INVALID – wording says not on board: an on-board confirmation needs the item loaded",IF(AND(AQ389=1,OR(OR(LEN(AY389)&lt;3,ISNUMBER(MATCH(AY389,L_Placeholder,0))),BJ389=1,BQ389=0)),"INVALID – batch ID missing, placeholder or not an ID (e.g. PASB-261008-BC-017)",IF(AND(AR389=1,OR(NOT(ISNUMBER(X389)),NOT(ISNUMBER(Y389)))),"INVALID – expected/actual qty missing",IF(AND(AR389=1,OR(X389&lt;=0,Y389&lt;0)),"INVALID – expected qty must be above 0 and actual not negative",IF(BB389&lt;&gt;"",BB389,IF(AND(AS389=1,Documents!$J$16&lt;&gt;"ON FILE"),"INVALID – GLD not on file (Documents sheet)",IF(AND(AS389=2,Documents!$O$16&lt;&gt;"ON FILE"),"INVALID – menu checklist not on file (Documents sheet)",IF(AND(AS389=3,NOT(ISNUMBER(Flights!$AX$16))),"INVALID – enter carrying flight KUL departure (Flights AX)",IF(AND(AS389=3,OR(Flights!$AZ$16&gt;Flights!$AA$16,Flights!$AX$16&lt;Flights!$AA$16-3)),"INVALID – carrying flight (Flights AX) cannot arrive before this leg's STD, or is over 3 days early",IF(AG389&gt;AsOfUTC,"INVALID – completion time is in the future",IF(AND(ISNUMBER(BY389),AG389&lt;BY389),IF(H389="Physical uplift","INVALID – before uplift window (cannot confirm loading)","INVALID – before valid window"),IF(AG389&gt;Flights!$AA$16,"INVALID – completed after departure (cannot establish readiness)",IF(AND(H389="Preparation",AG389&gt;=IF(ISNUMBER(Flights!$BA$16),MIN(Flights!$BA$16,Flights!$AA$16),Flights!$AA$16)),"INVALID – completed after loading / departure (cannot establish readiness)",IF(AND(H389="Physical uplift",AG389&gt;Q389),"INVALID – recorded after the loading flight departed",IF(AG389&gt;Q389,"COMPLETE – LATE","COMPLETE"))))))))))))))))))))))))),IF(TRIM(U389)="Fail","FAIL – DISCREPANCY",IF(AND(TRIM(U389)&lt;&gt;"",TRIM(U389)&lt;&gt;"Not started",TRIM(U389)&lt;&gt;"In progress"),"INVALID – unrecognised status (use the list)",IF(AsOfUTC&gt;Q389,"OVERDUE",IF(N389="Clarification required","OPEN – CLARIFICATION","OPEN"))))))),"INVALID – error value in an input cell")</f>
        <v>OPEN</v>
      </c>
      <c r="AI389" s="61" t="n">
        <f aca="false">IF(OR(AH389="N/A – RULE",AH389="N/A – JUSTIFIED"),0,1)</f>
        <v>1</v>
      </c>
      <c r="AJ389" s="61" t="n">
        <f aca="false">IF(LEFT(AH389,8)="COMPLETE",1,0)</f>
        <v>0</v>
      </c>
      <c r="AK389" s="61" t="n">
        <f aca="false">IF(AND(AI389=1,AJ389=0,AsOfUTC&gt;Q389),1,0)</f>
        <v>0</v>
      </c>
      <c r="AL389" s="61" t="n">
        <f aca="false">IFERROR(IF(AND(AI389=1,OR(TRIM(U389)="Fail",AND(TRIM(AB389)&lt;&gt;"",TRIM(AB389)&lt;&gt;"Closed"),AND(ISNUMBER(AF389),AF389&lt;&gt;0,TRIM(U389)&lt;&gt;"Pass after CA"))),1,0),1)</f>
        <v>0</v>
      </c>
      <c r="AM389" s="61" t="n">
        <f aca="false">IF(LEFT(AH389,7)="INVALID",1,0)</f>
        <v>0</v>
      </c>
      <c r="AN389" s="61" t="n">
        <f aca="false">IF(AND(N389="Clarification required",AI389=1,AJ389=0),1,0)</f>
        <v>0</v>
      </c>
      <c r="AO389" s="61" t="str">
        <f aca="false">IF(AK389=1,SUM(AK$5:AK389),"")</f>
        <v/>
      </c>
      <c r="AP389" s="61" t="str">
        <f aca="false">IF(AL389=1,SUM(AL$5:AL389),"")</f>
        <v/>
      </c>
      <c r="AQ389" s="61" t="n">
        <v>1</v>
      </c>
      <c r="AR389" s="61" t="n">
        <v>0</v>
      </c>
      <c r="AS389" s="61" t="n">
        <v>0</v>
      </c>
      <c r="AT389" s="61" t="n">
        <v>0</v>
      </c>
      <c r="AU389" s="61" t="str">
        <f aca="false">SUBSTITUTE(SUBSTITUTE(SUBSTITUTE(SUBSTITUTE(SUBSTITUTE(SUBSTITUTE(SUBSTITUTE(SUBSTITUTE(SUBSTITUTE(SUBSTITUTE(SUBSTITUTE(SUBSTITUTE(SUBSTITUTE(SUBSTITUTE(SUBSTITUTE(SUBSTITUTE(LOWER(T389&amp;""),CHAR(10),""),CHAR(13),""),CHAR(9),""),CHAR(160),"")," ",""),".",""),"-",""),"/",""),"?",""),"_",""),",",""),"[",""),"]",""),"(",""),")",""),"*","")</f>
        <v/>
      </c>
      <c r="AV389" s="61" t="str">
        <f aca="false">SUBSTITUTE(SUBSTITUTE(SUBSTITUTE(SUBSTITUTE(SUBSTITUTE(SUBSTITUTE(SUBSTITUTE(SUBSTITUTE(SUBSTITUTE(SUBSTITUTE(SUBSTITUTE(SUBSTITUTE(SUBSTITUTE(SUBSTITUTE(SUBSTITUTE(SUBSTITUTE(LOWER(V389&amp;""),CHAR(10),""),CHAR(13),""),CHAR(9),""),CHAR(160),"")," ",""),".",""),"-",""),"/",""),"?",""),"_",""),",",""),"[",""),"]",""),"(",""),")",""),"*","")</f>
        <v/>
      </c>
      <c r="AW389" s="61" t="str">
        <f aca="false">SUBSTITUTE(SUBSTITUTE(SUBSTITUTE(SUBSTITUTE(SUBSTITUTE(SUBSTITUTE(SUBSTITUTE(SUBSTITUTE(SUBSTITUTE(SUBSTITUTE(SUBSTITUTE(SUBSTITUTE(SUBSTITUTE(SUBSTITUTE(SUBSTITUTE(SUBSTITUTE(LOWER(Z389&amp;""),CHAR(10),""),CHAR(13),""),CHAR(9),""),CHAR(160),"")," ",""),".",""),"-",""),"/",""),"?",""),"_",""),",",""),"[",""),"]",""),"(",""),")",""),"*","")</f>
        <v/>
      </c>
      <c r="AX389" s="61" t="str">
        <f aca="false">SUBSTITUTE(SUBSTITUTE(SUBSTITUTE(SUBSTITUTE(SUBSTITUTE(SUBSTITUTE(SUBSTITUTE(SUBSTITUTE(SUBSTITUTE(SUBSTITUTE(SUBSTITUTE(SUBSTITUTE(SUBSTITUTE(SUBSTITUTE(SUBSTITUTE(SUBSTITUTE(LOWER(AE389&amp;""),CHAR(10),""),CHAR(13),""),CHAR(9),""),CHAR(160),"")," ",""),".",""),"-",""),"/",""),"?",""),"_",""),",",""),"[",""),"]",""),"(",""),")",""),"*","")</f>
        <v/>
      </c>
      <c r="AY389" s="61" t="str">
        <f aca="false">SUBSTITUTE(SUBSTITUTE(SUBSTITUTE(SUBSTITUTE(SUBSTITUTE(SUBSTITUTE(SUBSTITUTE(SUBSTITUTE(SUBSTITUTE(SUBSTITUTE(SUBSTITUTE(SUBSTITUTE(SUBSTITUTE(SUBSTITUTE(SUBSTITUTE(SUBSTITUTE(LOWER(W389&amp;""),CHAR(10),""),CHAR(13),""),CHAR(9),""),CHAR(160),"")," ",""),".",""),"-",""),"/",""),"?",""),"_",""),",",""),"[",""),"]",""),"(",""),")",""),"*","")</f>
        <v/>
      </c>
      <c r="AZ389" s="61" t="str">
        <f aca="false">SUBSTITUTE(SUBSTITUTE(SUBSTITUTE(SUBSTITUTE(SUBSTITUTE(SUBSTITUTE(SUBSTITUTE(SUBSTITUTE(SUBSTITUTE(SUBSTITUTE(SUBSTITUTE(SUBSTITUTE(SUBSTITUTE(SUBSTITUTE(SUBSTITUTE(SUBSTITUTE(LOWER(AC389&amp;""),CHAR(10),""),CHAR(13),""),CHAR(9),""),CHAR(160),"")," ",""),".",""),"-",""),"/",""),"?",""),"_",""),",",""),"[",""),"]",""),"(",""),")",""),"*","")</f>
        <v/>
      </c>
      <c r="BA389" s="61" t="str">
        <f aca="false">SUBSTITUTE(SUBSTITUTE(SUBSTITUTE(SUBSTITUTE(SUBSTITUTE(SUBSTITUTE(SUBSTITUTE(SUBSTITUTE(SUBSTITUTE(SUBSTITUTE(SUBSTITUTE(SUBSTITUTE(SUBSTITUTE(SUBSTITUTE(SUBSTITUTE(SUBSTITUTE(LOWER(AA389&amp;""),CHAR(10),""),CHAR(13),""),CHAR(9),""),CHAR(160),"")," ",""),".",""),"-",""),"/",""),"?",""),"_",""),",",""),"[",""),"]",""),"(",""),")",""),"*","")</f>
        <v/>
      </c>
      <c r="BB389" s="61" t="str">
        <f aca="false">IF(AND(TRIM(U389)="Pass",ISNUMBER(AF389)),IF(AF389&lt;&gt;0,"INVALID – qty variance: use Fail or Pass after CA",""),"")&amp;IF(AND(TRIM(U389)="Pass after CA",ISNUMBER(AF389)),IF(AF389&lt;&gt;0,"INVALID – after the corrective action the actual qty must equal expected (update Actual)",""),"")&amp;IF(AND(TRIM(U389)="Pass",TRIM(AB389)&lt;&gt;"",TRIM(AB389)&lt;&gt;"Closed"),"INVALID – corrective action not closed: use Fail, then Pass after CA","")&amp;IF(AND(LEN(BA389)&gt;=2,ISNA(MATCH(LEFT(BA389,255),L_Placeholder,0)),TRIM(AB389)=""),"INVALID – CA status missing for the recorded corrective action","")&amp;IF(AND(TRIM(U389)="Pass after CA",OR(OR(LEN(BA389)&lt;5,ISNUMBER(MATCH(BA389,L_Placeholder,0))),TRIM(AB389)&lt;&gt;"Closed")),"INVALID – corrective action not recorded/closed","")</f>
        <v/>
      </c>
      <c r="BC389" s="61" t="str">
        <f aca="false">" "&amp;TRIM(SUBSTITUTE(SUBSTITUTE(SUBSTITUTE(SUBSTITUTE(SUBSTITUTE(SUBSTITUTE(SUBSTITUTE(SUBSTITUTE(SUBSTITUTE(SUBSTITUTE(SUBSTITUTE(SUBSTITUTE(SUBSTITUTE(SUBSTITUTE(SUBSTITUTE(SUBSTITUTE(SUBSTITUTE(SUBSTITUTE(SUBSTITUTE(SUBSTITUTE(SUBSTITUTE(SUBSTITUTE(SUBSTITUTE(SUBSTITUTE(LOWER(V389&amp;""),CHAR(10)," "),CHAR(13)," "),CHAR(9)," "),CHAR(160)," "),"."," "),","," "),"-"," "),"/"," "),"("," "),")"," "),":"," "),";"," "),"_"," "),"–"," "),"?"," "),"!"," "),"*"," "),"["," "),"]"," "),"'"," "),"#"," "),"+"," "),"&amp;"," "),"\"," "))&amp;" "</f>
        <v>  </v>
      </c>
      <c r="BD389" s="61" t="str">
        <f aca="false">" "&amp;TRIM(SUBSTITUTE(SUBSTITUTE(SUBSTITUTE(SUBSTITUTE(SUBSTITUTE(SUBSTITUTE(SUBSTITUTE(SUBSTITUTE(SUBSTITUTE(SUBSTITUTE(SUBSTITUTE(SUBSTITUTE(SUBSTITUTE(SUBSTITUTE(SUBSTITUTE(SUBSTITUTE(SUBSTITUTE(SUBSTITUTE(SUBSTITUTE(SUBSTITUTE(SUBSTITUTE(SUBSTITUTE(SUBSTITUTE(SUBSTITUTE(LOWER(Z389&amp;""),CHAR(10)," "),CHAR(13)," "),CHAR(9)," "),CHAR(160)," "),"."," "),","," "),"-"," "),"/"," "),"("," "),")"," "),":"," "),";"," "),"_"," "),"–"," "),"?"," "),"!"," "),"*"," "),"["," "),"]"," "),"'"," "),"#"," "),"+"," "),"&amp;"," "),"\"," "))&amp;" "</f>
        <v>  </v>
      </c>
      <c r="BE389" s="61" t="str">
        <f aca="false">" "&amp;TRIM(SUBSTITUTE(SUBSTITUTE(SUBSTITUTE(SUBSTITUTE(SUBSTITUTE(SUBSTITUTE(SUBSTITUTE(SUBSTITUTE(SUBSTITUTE(SUBSTITUTE(SUBSTITUTE(SUBSTITUTE(SUBSTITUTE(SUBSTITUTE(SUBSTITUTE(SUBSTITUTE(SUBSTITUTE(SUBSTITUTE(SUBSTITUTE(SUBSTITUTE(SUBSTITUTE(SUBSTITUTE(SUBSTITUTE(SUBSTITUTE(LOWER(W389&amp;""),CHAR(10)," "),CHAR(13)," "),CHAR(9)," "),CHAR(160)," "),"."," "),","," "),"-"," "),"/"," "),"("," "),")"," "),":"," "),";"," "),"_"," "),"–"," "),"?"," "),"!"," "),"*"," "),"["," "),"]"," "),"'"," "),"#"," "),"+"," "),"&amp;"," "),"\"," "))&amp;" "</f>
        <v>  </v>
      </c>
      <c r="BF389" s="61" t="str">
        <f aca="false">" "&amp;TRIM(SUBSTITUTE(SUBSTITUTE(SUBSTITUTE(SUBSTITUTE(SUBSTITUTE(SUBSTITUTE(SUBSTITUTE(SUBSTITUTE(SUBSTITUTE(SUBSTITUTE(SUBSTITUTE(SUBSTITUTE(SUBSTITUTE(SUBSTITUTE(SUBSTITUTE(SUBSTITUTE(SUBSTITUTE(SUBSTITUTE(SUBSTITUTE(SUBSTITUTE(SUBSTITUTE(SUBSTITUTE(SUBSTITUTE(SUBSTITUTE(LOWER(AC389&amp;""),CHAR(10)," "),CHAR(13)," "),CHAR(9)," "),CHAR(160)," "),"."," "),","," "),"-"," "),"/"," "),"("," "),")"," "),":"," "),";"," "),"_"," "),"–"," "),"?"," "),"!"," "),"*"," "),"["," "),"]"," "),"'"," "),"#"," "),"+"," "),"&amp;"," "),"\"," "))&amp;" "</f>
        <v>  </v>
      </c>
      <c r="BG389" s="61" t="n">
        <f aca="false">IFERROR(IF(AND(TRIM(U389)="Pass",SUMPRODUCT((LEN(BC389)-LEN(SUBSTITUTE(BC389," "&amp;L_ResultBad&amp;" "," ")))/(LEN(L_ResultBad)+1))&gt;SUMPRODUCT((LEN(BC389)-LEN(SUBSTITUTE(BC389," "&amp;L_NegPhrase&amp;" "," ")))/(LEN(L_NegPhrase)+1))),1,0),0)</f>
        <v>0</v>
      </c>
      <c r="BH389" s="61" t="n">
        <f aca="false">IFERROR(IF(SUMPRODUCT((LEN(BC389)-LEN(SUBSTITUTE(BC389," "&amp;L_Pending&amp;" "," ")))/(LEN(L_Pending)+1))&gt;SUMPRODUCT((LEN(BC389)-LEN(SUBSTITUTE(BC389," "&amp;L_PendNeg&amp;" "," ")))/(LEN(L_PendNeg)+1))+SUMPRODUCT((LEN(BC389)-LEN(SUBSTITUTE(BC389," "&amp;L_PendPrep&amp;" "," ")))/(LEN(L_PendPrep)+1)),1,0),1)</f>
        <v>0</v>
      </c>
      <c r="BI389" s="61" t="n">
        <f aca="false">IFERROR(IF(SUMPRODUCT((LEN(BD389)-LEN(SUBSTITUTE(BD389," "&amp;L_PendStrict&amp;" "," ")))/(LEN(L_PendStrict)+1))&gt;SUMPRODUCT((LEN(BD389)-LEN(SUBSTITUTE(BD389," "&amp;L_PendNeg&amp;" "," ")))/(LEN(L_PendNeg)+1)),1,0),1)</f>
        <v>0</v>
      </c>
      <c r="BJ389" s="61" t="n">
        <f aca="false">IFERROR(IF(SUMPRODUCT((LEN(BE389)-LEN(SUBSTITUTE(BE389," "&amp;L_Pending&amp;" "," ")))/(LEN(L_Pending)+1))&gt;SUMPRODUCT((LEN(BE389)-LEN(SUBSTITUTE(BE389," "&amp;L_PendNeg&amp;" "," ")))/(LEN(L_PendNeg)+1))+SUMPRODUCT((LEN(BE389)-LEN(SUBSTITUTE(BE389," "&amp;L_PendPrep&amp;" "," ")))/(LEN(L_PendPrep)+1)),1,0),1)</f>
        <v>0</v>
      </c>
      <c r="BK389" s="61" t="n">
        <f aca="false">IFERROR(IF(SUMPRODUCT((LEN(BF389)-LEN(SUBSTITUTE(BF389," "&amp;L_PendStrict&amp;" "," ")))/(LEN(L_PendStrict)+1))&gt;SUMPRODUCT((LEN(BF389)-LEN(SUBSTITUTE(BF389," "&amp;L_PendNeg&amp;" "," ")))/(LEN(L_PendNeg)+1)),1,0),1)</f>
        <v>0</v>
      </c>
      <c r="BL389" s="61" t="n">
        <f aca="false">IF(ISNA(MATCH(TRIM(S389),L_EvidenceType,0)),0,BZ389)</f>
        <v>0</v>
      </c>
      <c r="BM389" s="61" t="str">
        <f aca="false">SUBSTITUTE(SUBSTITUTE(SUBSTITUTE(SUBSTITUTE(SUBSTITUTE(SUBSTITUTE(SUBSTITUTE(SUBSTITUTE(SUBSTITUTE(LOWER(Z389&amp;""),"1","0"),"2","0"),"3","0"),"4","0"),"5","0"),"6","0"),"7","0"),"8","0"),"9","0")</f>
        <v/>
      </c>
      <c r="BN389" s="61" t="str">
        <f aca="false">SUBSTITUTE(SUBSTITUTE(SUBSTITUTE(SUBSTITUTE(SUBSTITUTE(SUBSTITUTE(SUBSTITUTE(SUBSTITUTE(SUBSTITUTE(SUBSTITUTE(SUBSTITUTE(SUBSTITUTE(SUBSTITUTE(SUBSTITUTE(SUBSTITUTE(SUBSTITUTE(SUBSTITUTE(SUBSTITUTE(SUBSTITUTE(SUBSTITUTE(SUBSTITUTE(SUBSTITUTE(SUBSTITUTE(SUBSTITUTE(SUBSTITUTE(BM389,"b","a"),"c","a"),"d","a"),"e","a"),"f","a"),"g","a"),"h","a"),"i","a"),"j","a"),"k","a"),"l","a"),"m","a"),"n","a"),"o","a"),"p","a"),"q","a"),"r","a"),"s","a"),"t","a"),"u","a"),"v","a"),"w","a"),"x","a"),"y","a"),"z","a")</f>
        <v/>
      </c>
      <c r="BO389" s="61" t="str">
        <f aca="false">SUBSTITUTE(SUBSTITUTE(SUBSTITUTE(SUBSTITUTE(SUBSTITUTE(SUBSTITUTE(SUBSTITUTE(SUBSTITUTE(SUBSTITUTE(LOWER(W389&amp;""),"1","0"),"2","0"),"3","0"),"4","0"),"5","0"),"6","0"),"7","0"),"8","0"),"9","0")</f>
        <v/>
      </c>
      <c r="BP389" s="61" t="str">
        <f aca="false">SUBSTITUTE(SUBSTITUTE(SUBSTITUTE(SUBSTITUTE(SUBSTITUTE(SUBSTITUTE(SUBSTITUTE(SUBSTITUTE(SUBSTITUTE(SUBSTITUTE(SUBSTITUTE(SUBSTITUTE(SUBSTITUTE(SUBSTITUTE(SUBSTITUTE(SUBSTITUTE(SUBSTITUTE(SUBSTITUTE(SUBSTITUTE(SUBSTITUTE(SUBSTITUTE(SUBSTITUTE(SUBSTITUTE(SUBSTITUTE(SUBSTITUTE(BO389,"b","a"),"c","a"),"d","a"),"e","a"),"f","a"),"g","a"),"h","a"),"i","a"),"j","a"),"k","a"),"l","a"),"m","a"),"n","a"),"o","a"),"p","a"),"q","a"),"r","a"),"s","a"),"t","a"),"u","a"),"v","a"),"w","a"),"x","a"),"y","a"),"z","a")</f>
        <v/>
      </c>
      <c r="BQ389" s="61" t="n">
        <f aca="false">IFERROR(IF(AND(ISERROR(SEARCH(" mh"," "&amp;LOWER(W389))),ISNA(MATCH(LEFT(TRIM(BP389),255),{"0000a","000a","00a","0000aa","000aa","00aa","0aa","0000aaa","000aaa","00a00","0a00","0000-0000","00:00","a00","a0","00.00.0000","00/00/0000","00-00-0000","0000-00-00","0000/00/00","0000.00.00","00.00.00","00/00/00","00-00-00","0.00.0000","0/00/0000","0-00-0000"},0)),ISNA(MATCH(LEFT(TRIM(CA389),255),{"0000a","000a","00a","0000aa","000aa","00aa","0aa","0000aaa","000aaa","00a00","0a00","0000-0000","00:00","a00","a0","00.00.0000","00/00/0000","00-00-0000","0000-00-00","0000/00/00","0000.00.00","00.00.00","00/00/00","00-00-00","0.00.0000","0/00/0000","0-00-0000"},0)),LEN(CB389)&gt;=3,NOT(OR(SUBSTITUTE(CB389,"0","")="",AND(LEN(CB389)&gt;=4,CB389=REPT(LEFT(CB389),LEN(CB389))),ISNUMBER(MATCH(CB389,{"123","1234","12345","123456","1234567","12345678","0123","01234","012345","98765","987654","54321"},0)),AND(LEN(CB389)=8,LEFT(CB389,3)="202"))),OR(AND((LEN(CA389)-LEN(SUBSTITUTE(CA389,"a","")))&gt;=1,SUMPRODUCT(--ISNUMBER(SEARCH({"a0","a-0","a_0","a/0","a.0","a#0","0a","0-a","0_a","0/a"},BP389)))&gt;0),ISNUMBER(SEARCH("000000",BP389)))),1,0),0)</f>
        <v>0</v>
      </c>
      <c r="BR389" s="61" t="n">
        <f aca="false">IFERROR(LEN(SUBSTITUTE(CC389," ",""))-SUMPRODUCT((LEN(CC389)-LEN(SUBSTITUTE(CC389," "&amp;L_Role&amp;" "," ")))/(LEN(L_Role)+1)*LEN(L_Role)),0)</f>
        <v>0</v>
      </c>
      <c r="BS389" s="61" t="n">
        <f aca="false">IFERROR(LEN(SUBSTITUTE(CD389," ",""))-SUMPRODUCT((LEN(CD389)-LEN(SUBSTITUTE(CD389," "&amp;L_Role&amp;" "," ")))/(LEN(L_Role)+1)*LEN(L_Role)),0)</f>
        <v>0</v>
      </c>
      <c r="BT3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389,"revision",""),"version",""),"jan",""),"feb",""),"mar",""),"apr",""),"may",""),"jun",""),"jul",""),"aug",""),"sep",""),"oct",""),"nov",""),"dec",""),"utc",""),"gmt",""),"myt",""),"bst",""),"rev",""),"ver",""),"b","a"),"c","a"),"d","a"),"e","a"),"f","a"),"g","a"),"h","a"),"i","a"),"j","a"),"k","a"),"l","a"),"m","a"),"n","a"),"o","a"),"p","a"),"q","a"),"r","a"),"s","a"),"t","a"),"u","a"),"v","a"),"w","a"),"x","a"),"y","a"),"z","a")</f>
        <v/>
      </c>
      <c r="BU389" s="61" t="str">
        <f aca="false">SUBSTITUTE(SUBSTITUTE(SUBSTITUTE(SUBSTITUTE(SUBSTITUTE(SUBSTITUTE(SUBSTITUTE(SUBSTITUTE(SUBSTITUTE(SUBSTITUTE(LEFT(BM389,FIND("0",BM389&amp;"0")-1),"-",""),"_",""),"/",""),".",""),"#",""),"\\",""),":","")," ",""),"(",""),")","")</f>
        <v/>
      </c>
      <c r="BV389" s="61" t="n">
        <f aca="false">0</f>
        <v>0</v>
      </c>
      <c r="BW3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389&amp;""),"a",""),"b",""),"c",""),"d",""),"e",""),"f",""),"g",""),"h",""),"i",""),"j",""),"k",""),"l",""),"m",""),"n",""),"o",""),"p",""),"q",""),"r",""),"s",""),"t",""),"u",""),"v",""),"w",""),"x",""),"y",""),"z",""),"-",""),"_",""),"/",""),".",""),"#",""),"\\",""),":","")," ",""),"(",""),")","")</f>
        <v/>
      </c>
      <c r="BX389" s="61" t="str">
        <f aca="false">SUBSTITUTE(SUBSTITUTE(SUBSTITUTE(SUBSTITUTE(SUBSTITUTE(SUBSTITUTE(SUBSTITUTE(SUBSTITUTE(SUBSTITUTE(SUBSTITUTE(SUBSTITUTE(BM389,"0",""),"-",""),"_",""),"/",""),".",""),"#",""),"\\",""),":","")," ",""),"(",""),")","")</f>
        <v/>
      </c>
      <c r="BY389" s="62" t="n">
        <f aca="false">Q389-T24EarlyH/24</f>
        <v>46305.6006944444</v>
      </c>
      <c r="BZ389" s="61" t="n">
        <f aca="false">IFERROR(IF(IF(TRIM(S389)="Link / file path",AND(LEN(TRIM(Z389))&gt;=5,SUMPRODUCT(--ISNUMBER(SEARCH({"http","www.","\\",":\",".pdf",".jpg",".jpeg",".png",".heic",".xls",".doc",".msg",".eml",".ppt",".txt",".zip"},Z389)))&gt;0),AND(ISERROR(FIND(" ",TRIM(Z389))),NOT(OR(SUMPRODUCT(--ISNUMBER(FIND({",",";","&amp;","+"},Z389)))&gt;0,SUMPRODUCT(--ISNUMBER(SEARCH({"0/aa","0\\aa"},BN389)))&gt;0)),NOT(SUMPRODUCT(--ISNUMBER(SEARCH({"http","www.","\\",":\",".pdf",".jpg",".jpeg",".png",".heic",".xls",".doc",".msg",".eml",".ppt",".txt",".zip"},Z389)))&gt;0),NOT(LOWER(TRIM(Z389))=LOWER(Flights!$F$16)),ISNA(MATCH(BU389,{"mh","rev","revision","ver","version","v","r","a","b","seat","tray","row","gate","bay","stand","page","pg","item","line","no","cart","galley","flight","flt","table","box","bag","oven","etd","eta","std","sta","atd","ata","qty","pax","x","time","tel","ph","mob","day","wk","week","utc","gmt","myt","lt"},0)),NOT(OR(ISNUMBER(MATCH(LEFT(BN389,255),{"0000a","000a","00a","0000aa","000aa","00aa","0aa","0000aaa","000aaa","00a00","0a00","0000-0000","00:00","a00","a0","00.00.0000","00/00/0000","00-00-0000","0000-00-00","0000/00/00","0000.00.00","00.00.00","00/00/00","00-00-00","0.00.0000","0/00/0000","0-00-0000"},0)),ISNUMBER(MATCH(LEFT(BT389,255),{"0000a","000a","00a","0000aa","000aa","00aa","0aa","0000aaa","000aaa","00a00","0a00","0000-0000","00:00","a00","a0","00.00.0000","00/00/0000","00-00-0000","0000-00-00","0000/00/00","0000.00.00","00.00.00","00/00/00","00-00-00","0.00.0000","0/00/0000","0-00-0000"},0)))),NOT(OR(AND(BW389&lt;&gt;"",SUBSTITUTE(BW389,"0","")=""),AND(LEN(BW389)&gt;=4,BW389=REPT(LEFT(BW389),LEN(BW389))),ISNUMBER(MATCH(BW389,{"123","1234","12345","123456","1234567","12345678","0123","01234","012345","98765","987654","54321"},0)),ISNUMBER(MATCH(BX389,{"x","xx","xxx","xxxx","xxxxx","abc","abcd","nil","na","nan","test","tbc","tba","tbd","dummy","sample","example","eg","zz","zzz","none","null","xyz","qwe","asd","id","ref"},0)),AND(LEN(BW389)=8,BX389="",OR(LEFT(BW389,3)="202",ISNUMBER(MATCH(RIGHT(BW389,4),{"2025","2026","2027"},0)))))),OR(AND((LEN(BT389)-LEN(SUBSTITUTE(BT389,"a","")))&gt;=1,(LEN(BN389)-LEN(SUBSTITUTE(BN389,"0","")))&gt;=2,SUMPRODUCT(--ISNUMBER(SEARCH({"a0","a-0","a_0","a/0","a.0","a#0","0a","0-a","0_a","0/a"},BN389)))&gt;0),AND((LEN(BN389)-LEN(SUBSTITUTE(BN389,"a","")))=0,(LEN(BN389)-LEN(SUBSTITUTE(BN389,"0","")))&gt;=5)))),1,0),0)</f>
        <v>0</v>
      </c>
      <c r="CA3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389,"revision",""),"version",""),"jan",""),"feb",""),"mar",""),"apr",""),"may",""),"jun",""),"jul",""),"aug",""),"sep",""),"oct",""),"nov",""),"dec",""),"utc",""),"gmt",""),"myt",""),"bst",""),"rev",""),"ver",""),"b","a"),"c","a"),"d","a"),"e","a"),"f","a"),"g","a"),"h","a"),"i","a"),"j","a"),"k","a"),"l","a"),"m","a"),"n","a"),"o","a"),"p","a"),"q","a"),"r","a"),"s","a"),"t","a"),"u","a"),"v","a"),"w","a"),"x","a"),"y","a"),"z","a")</f>
        <v/>
      </c>
      <c r="CB3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389&amp;""),"a",""),"b",""),"c",""),"d",""),"e",""),"f",""),"g",""),"h",""),"i",""),"j",""),"k",""),"l",""),"m",""),"n",""),"o",""),"p",""),"q",""),"r",""),"s",""),"t",""),"u",""),"v",""),"w",""),"x",""),"y",""),"z",""),"-",""),"_",""),"/",""),".",""),"#",""),"\\",""),":","")," ",""),"(",""),")","")</f>
        <v/>
      </c>
      <c r="CC389" s="0" t="str">
        <f aca="false">" "&amp;TRIM(SUBSTITUTE(SUBSTITUTE(SUBSTITUTE(SUBSTITUTE(SUBSTITUTE(SUBSTITUTE(SUBSTITUTE(SUBSTITUTE(SUBSTITUTE(SUBSTITUTE(SUBSTITUTE(SUBSTITUTE(SUBSTITUTE(SUBSTITUTE(SUBSTITUTE(SUBSTITUTE(SUBSTITUTE(SUBSTITUTE(SUBSTITUTE(SUBSTITUTE(SUBSTITUTE(SUBSTITUTE(SUBSTITUTE(SUBSTITUTE(LOWER(T389&amp;""),CHAR(10)," "),CHAR(13)," "),CHAR(9)," "),CHAR(160)," "),"."," "),","," "),"-"," "),"/"," "),"("," "),")"," "),":"," "),";"," "),"_"," "),"–"," "),"?"," "),"!"," "),"*"," "),"["," "),"]"," "),"'"," "),"#"," "),"+"," "),"&amp;"," "),"\"," "))&amp;" "</f>
        <v>  </v>
      </c>
      <c r="CD389" s="0" t="str">
        <f aca="false">" "&amp;TRIM(SUBSTITUTE(SUBSTITUTE(SUBSTITUTE(SUBSTITUTE(SUBSTITUTE(SUBSTITUTE(SUBSTITUTE(SUBSTITUTE(SUBSTITUTE(SUBSTITUTE(SUBSTITUTE(SUBSTITUTE(SUBSTITUTE(SUBSTITUTE(SUBSTITUTE(SUBSTITUTE(SUBSTITUTE(SUBSTITUTE(SUBSTITUTE(SUBSTITUTE(SUBSTITUTE(SUBSTITUTE(SUBSTITUTE(SUBSTITUTE(LOWER(AE389&amp;""),CHAR(10)," "),CHAR(13)," "),CHAR(9)," "),CHAR(160)," "),"."," "),","," "),"-"," "),"/"," "),"("," "),")"," "),":"," "),";"," "),"_"," "),"–"," "),"?"," "),"!"," "),"*"," "),"["," "),"]"," "),"'"," "),"#"," "),"+"," "),"&amp;"," "),"\"," "))&amp;" "</f>
        <v>  </v>
      </c>
      <c r="CE389" s="68" t="n">
        <f aca="false">IFERROR(IF(AND(LEN(AU389)&gt;0,LEN(AU389)=LEN(AX389),OR(TRIM(MID(SUBSTITUTE(TRIM(CC389)," ",REPT(" ",60)),1,60))="",ISNUMBER(SEARCH(" "&amp;TRIM(MID(SUBSTITUTE(TRIM(CC389)," ",REPT(" ",60)),1,60))&amp;" ",CD389))),OR(TRIM(MID(SUBSTITUTE(TRIM(CC389)," ",REPT(" ",60)),61,60))="",ISNUMBER(SEARCH(" "&amp;TRIM(MID(SUBSTITUTE(TRIM(CC389)," ",REPT(" ",60)),61,60))&amp;" ",CD389))),OR(TRIM(MID(SUBSTITUTE(TRIM(CC389)," ",REPT(" ",60)),121,60))="",ISNUMBER(SEARCH(" "&amp;TRIM(MID(SUBSTITUTE(TRIM(CC389)," ",REPT(" ",60)),121,60))&amp;" ",CD389)))),1,0),0)</f>
        <v>0</v>
      </c>
      <c r="CG389" s="68" t="n">
        <f aca="false">IFERROR(LEN(SUBSTITUTE(BF389," ",""))-SUMPRODUCT((LEN(BF389)-LEN(SUBSTITUTE(BF389," "&amp;L_NAFiller&amp;" "," ")))/(LEN(L_NAFiller)+1)*LEN(L_NAFiller)),0)</f>
        <v>0</v>
      </c>
    </row>
    <row r="390" customFormat="false" ht="39.75" hidden="false" customHeight="true" outlineLevel="0" collapsed="false">
      <c r="A390" s="57" t="s">
        <v>1005</v>
      </c>
      <c r="B390" s="57" t="s">
        <v>261</v>
      </c>
      <c r="C390" s="57" t="str">
        <f aca="false">Flights!$F$16</f>
        <v>MH0139</v>
      </c>
      <c r="D390" s="58" t="n">
        <f aca="false">Flights!$D$16</f>
        <v>46307</v>
      </c>
      <c r="E390" s="57" t="str">
        <f aca="false">Flights!$G$16&amp;"-"&amp;Flights!$H$16</f>
        <v>KUL-ADL</v>
      </c>
      <c r="F390" s="57" t="str">
        <f aca="false">Flights!$K$16</f>
        <v>BC</v>
      </c>
      <c r="G390" s="57" t="s">
        <v>420</v>
      </c>
      <c r="H390" s="57" t="s">
        <v>378</v>
      </c>
      <c r="I390" s="57" t="s">
        <v>379</v>
      </c>
      <c r="J390" s="57" t="s">
        <v>421</v>
      </c>
      <c r="K390" s="67"/>
      <c r="L390" s="67" t="s">
        <v>422</v>
      </c>
      <c r="M390" s="67"/>
      <c r="N390" s="67" t="s">
        <v>383</v>
      </c>
      <c r="O390" s="67" t="s">
        <v>423</v>
      </c>
      <c r="P390" s="57" t="s">
        <v>187</v>
      </c>
      <c r="Q390" s="59" t="n">
        <f aca="false">ROUND((Flights!$AE$16)*1440,0)/1440</f>
        <v>46307.1006944444</v>
      </c>
      <c r="R390" s="59" t="n">
        <f aca="false">Q390+(IF(AND(INDEX(TZ_DSTS,MATCH(P390,TZ_STN,0))&lt;&gt;"",Q390&gt;=INDEX(TZ_DSTS,MATCH(P390,TZ_STN,0)),Q390&lt;INDEX(TZ_DSTE,MATCH(P390,TZ_STN,0))),INDEX(TZ_DST,MATCH(P390,TZ_STN,0)),INDEX(TZ_STD,MATCH(P390,TZ_STN,0))))/24</f>
        <v>46307.4340277778</v>
      </c>
      <c r="S390" s="60"/>
      <c r="T390" s="60"/>
      <c r="U390" s="60"/>
      <c r="V390" s="60"/>
      <c r="W390" s="61"/>
      <c r="X390" s="60"/>
      <c r="Y390" s="60"/>
      <c r="Z390" s="60"/>
      <c r="AA390" s="60"/>
      <c r="AB390" s="60"/>
      <c r="AC390" s="60"/>
      <c r="AD390" s="66"/>
      <c r="AE390" s="60"/>
      <c r="AF390" s="61" t="str">
        <f aca="false">IF(AND(ISNUMBER(X390),ISNUMBER(Y390)),Y390-X390,"")</f>
        <v/>
      </c>
      <c r="AG390" s="62" t="str">
        <f aca="false">IF(ISNUMBER(AD390),AD390-(IF(AND(INDEX(TZ_DSTS,MATCH(P390,TZ_STN,0))&lt;&gt;"",(AD390-INDEX(TZ_STD,MATCH(P390,TZ_STN,0))/24)&gt;=INDEX(TZ_DSTS,MATCH(P390,TZ_STN,0)),(AD390-INDEX(TZ_STD,MATCH(P390,TZ_STN,0))/24)&lt;INDEX(TZ_DSTE,MATCH(P390,TZ_STN,0))),INDEX(TZ_DST,MATCH(P390,TZ_STN,0)),INDEX(TZ_STD,MATCH(P390,TZ_STN,0))))/24,"")</f>
        <v/>
      </c>
      <c r="AH390" s="65" t="str">
        <f aca="false">IFERROR(IF(N390="N/A – rule",IF(OR(TRIM(U390)="",TRIM(U390)="N/A",TRIM(U390)="Not started"),"N/A – RULE","INVALID – this check does not apply to this aircraft: clear the status (or correct the fleet on Flights)"),IF(TRIM(U390)="N/A",IF(AT390=0,"INVALID – N/A not permitted for this check",IF(AND(TRIM(AB390)&lt;&gt;"",TRIM(AB390)&lt;&gt;"Closed"),"INVALID – corrective action still open",IF(AND(NOT(OR(LEN(AZ390)&lt;15,ISNUMBER(MATCH(AZ390,L_Placeholder,0)))),BK390=0,CG390&gt;=8,NOT(OR(LEN(AU390)&lt;2,ISNUMBER(MATCH(AU390,L_Placeholder,0)))),BR390&gt;=3,NOT(OR(LEN(AX390)&lt;2,ISNUMBER(MATCH(AX390,L_Placeholder,0)))),BS390&gt;=3,TRIM(AE390)&lt;&gt;TRIM(T390),AX390&lt;&gt;AU390,CE390=0),"N/A – JUSTIFIED","INVALID – N/A needs a real, settled reason (not 'not applicable' / 'as above' / TBC), a named PIC and a different named verifier"))),IF(OR(TRIM(U390)="Pass",TRIM(U390)="Pass after CA"),IF(NOT(ISNUMBER(AD390)),"INVALID – completion time missing",IF(OR(OR(LEN(AU390)&lt;2,ISNUMBER(MATCH(AU390,L_Placeholder,0))),BR390&lt;3),"INVALID – PIC missing or not a named person (a role such as QA / CSM is not a name)",IF(OR(LEN(AV390)&lt;2,ISNUMBER(MATCH(AV390,L_Placeholder,0))),"INVALID – result / assessment missing",IF(OR(OR(LEN(AW390)&lt;3,ISNUMBER(MATCH(AW390,L_Placeholder,0))),SUMPRODUCT(--ISNUMBER(SEARCH(" "&amp;L_EvidencePhrase&amp;" ",BD390)))&gt;0,BI390=1),"INVALID – evidence missing, placeholder or not yet on file",IF(ISNA(MATCH(TRIM(S390),L_EvidenceType,0)),"INVALID – choose the evidence type from the list (column S)",IF(BL390=0,"INVALID – evidence ID must be the record's own ID only (e.g. SF-2210, IMG_2231, 1045521); a link / file name needs type 'Link / file path'",IF(OR(OR(LEN(AX390)&lt;2,ISNUMBER(MATCH(AX390,L_Placeholder,0))),BS390&lt;3),"INVALID – verifier missing or not a named person (a role such as QA / CSM is not a name)",IF(OR(AX390=AU390,CE390=1,AND(LEN(AU390)&gt;=4,ISNUMBER(SEARCH(AU390,AX390))),AND(LEN(AX390)&gt;=4,ISNUMBER(SEARCH(AX390,AU390)))),"INVALID – verifier must be a different, named person (not the PIC or a role)",IF(BH390=1,"INVALID – result not yet available (awaiting / TBC)",IF(BG390=1,"INVALID – result describes a problem: record Fail, then Pass after CA (or reword if it is not a problem)",IF(BV390=1,"INVALID – wording says not on board: an on-board confirmation needs the item loaded",IF(AND(AQ390=1,OR(OR(LEN(AY390)&lt;3,ISNUMBER(MATCH(AY390,L_Placeholder,0))),BJ390=1,BQ390=0)),"INVALID – batch ID missing, placeholder or not an ID (e.g. PASB-261008-BC-017)",IF(AND(AR390=1,OR(NOT(ISNUMBER(X390)),NOT(ISNUMBER(Y390)))),"INVALID – expected/actual qty missing",IF(AND(AR390=1,OR(X390&lt;=0,Y390&lt;0)),"INVALID – expected qty must be above 0 and actual not negative",IF(BB390&lt;&gt;"",BB390,IF(AND(AS390=1,Documents!$J$16&lt;&gt;"ON FILE"),"INVALID – GLD not on file (Documents sheet)",IF(AND(AS390=2,Documents!$O$16&lt;&gt;"ON FILE"),"INVALID – menu checklist not on file (Documents sheet)",IF(AND(AS390=3,NOT(ISNUMBER(Flights!$AX$16))),"INVALID – enter carrying flight KUL departure (Flights AX)",IF(AND(AS390=3,OR(Flights!$AZ$16&gt;Flights!$AA$16,Flights!$AX$16&lt;Flights!$AA$16-3)),"INVALID – carrying flight (Flights AX) cannot arrive before this leg's STD, or is over 3 days early",IF(AG390&gt;AsOfUTC,"INVALID – completion time is in the future",IF(AND(ISNUMBER(BY390),AG390&lt;BY390),IF(H390="Physical uplift","INVALID – before uplift window (cannot confirm loading)","INVALID – before valid window"),IF(AG390&gt;Flights!$AA$16,"INVALID – completed after departure (cannot establish readiness)",IF(AND(H390="Preparation",AG390&gt;=IF(ISNUMBER(Flights!$BA$16),MIN(Flights!$BA$16,Flights!$AA$16),Flights!$AA$16)),"INVALID – completed after loading / departure (cannot establish readiness)",IF(AND(H390="Physical uplift",AG390&gt;Q390),"INVALID – recorded after the loading flight departed",IF(AG390&gt;Q390,"COMPLETE – LATE","COMPLETE"))))))))))))))))))))))))),IF(TRIM(U390)="Fail","FAIL – DISCREPANCY",IF(AND(TRIM(U390)&lt;&gt;"",TRIM(U390)&lt;&gt;"Not started",TRIM(U390)&lt;&gt;"In progress"),"INVALID – unrecognised status (use the list)",IF(AsOfUTC&gt;Q390,"OVERDUE",IF(N390="Clarification required","OPEN – CLARIFICATION","OPEN"))))))),"INVALID – error value in an input cell")</f>
        <v>OPEN</v>
      </c>
      <c r="AI390" s="61" t="n">
        <f aca="false">IF(OR(AH390="N/A – RULE",AH390="N/A – JUSTIFIED"),0,1)</f>
        <v>1</v>
      </c>
      <c r="AJ390" s="61" t="n">
        <f aca="false">IF(LEFT(AH390,8)="COMPLETE",1,0)</f>
        <v>0</v>
      </c>
      <c r="AK390" s="61" t="n">
        <f aca="false">IF(AND(AI390=1,AJ390=0,AsOfUTC&gt;Q390),1,0)</f>
        <v>0</v>
      </c>
      <c r="AL390" s="61" t="n">
        <f aca="false">IFERROR(IF(AND(AI390=1,OR(TRIM(U390)="Fail",AND(TRIM(AB390)&lt;&gt;"",TRIM(AB390)&lt;&gt;"Closed"),AND(ISNUMBER(AF390),AF390&lt;&gt;0,TRIM(U390)&lt;&gt;"Pass after CA"))),1,0),1)</f>
        <v>0</v>
      </c>
      <c r="AM390" s="61" t="n">
        <f aca="false">IF(LEFT(AH390,7)="INVALID",1,0)</f>
        <v>0</v>
      </c>
      <c r="AN390" s="61" t="n">
        <f aca="false">IF(AND(N390="Clarification required",AI390=1,AJ390=0),1,0)</f>
        <v>0</v>
      </c>
      <c r="AO390" s="61" t="str">
        <f aca="false">IF(AK390=1,SUM(AK$5:AK390),"")</f>
        <v/>
      </c>
      <c r="AP390" s="61" t="str">
        <f aca="false">IF(AL390=1,SUM(AL$5:AL390),"")</f>
        <v/>
      </c>
      <c r="AQ390" s="61" t="n">
        <v>0</v>
      </c>
      <c r="AR390" s="61" t="n">
        <v>0</v>
      </c>
      <c r="AS390" s="61" t="n">
        <v>0</v>
      </c>
      <c r="AT390" s="61" t="n">
        <v>0</v>
      </c>
      <c r="AU390" s="61" t="str">
        <f aca="false">SUBSTITUTE(SUBSTITUTE(SUBSTITUTE(SUBSTITUTE(SUBSTITUTE(SUBSTITUTE(SUBSTITUTE(SUBSTITUTE(SUBSTITUTE(SUBSTITUTE(SUBSTITUTE(SUBSTITUTE(SUBSTITUTE(SUBSTITUTE(SUBSTITUTE(SUBSTITUTE(LOWER(T390&amp;""),CHAR(10),""),CHAR(13),""),CHAR(9),""),CHAR(160),"")," ",""),".",""),"-",""),"/",""),"?",""),"_",""),",",""),"[",""),"]",""),"(",""),")",""),"*","")</f>
        <v/>
      </c>
      <c r="AV390" s="61" t="str">
        <f aca="false">SUBSTITUTE(SUBSTITUTE(SUBSTITUTE(SUBSTITUTE(SUBSTITUTE(SUBSTITUTE(SUBSTITUTE(SUBSTITUTE(SUBSTITUTE(SUBSTITUTE(SUBSTITUTE(SUBSTITUTE(SUBSTITUTE(SUBSTITUTE(SUBSTITUTE(SUBSTITUTE(LOWER(V390&amp;""),CHAR(10),""),CHAR(13),""),CHAR(9),""),CHAR(160),"")," ",""),".",""),"-",""),"/",""),"?",""),"_",""),",",""),"[",""),"]",""),"(",""),")",""),"*","")</f>
        <v/>
      </c>
      <c r="AW390" s="61" t="str">
        <f aca="false">SUBSTITUTE(SUBSTITUTE(SUBSTITUTE(SUBSTITUTE(SUBSTITUTE(SUBSTITUTE(SUBSTITUTE(SUBSTITUTE(SUBSTITUTE(SUBSTITUTE(SUBSTITUTE(SUBSTITUTE(SUBSTITUTE(SUBSTITUTE(SUBSTITUTE(SUBSTITUTE(LOWER(Z390&amp;""),CHAR(10),""),CHAR(13),""),CHAR(9),""),CHAR(160),"")," ",""),".",""),"-",""),"/",""),"?",""),"_",""),",",""),"[",""),"]",""),"(",""),")",""),"*","")</f>
        <v/>
      </c>
      <c r="AX390" s="61" t="str">
        <f aca="false">SUBSTITUTE(SUBSTITUTE(SUBSTITUTE(SUBSTITUTE(SUBSTITUTE(SUBSTITUTE(SUBSTITUTE(SUBSTITUTE(SUBSTITUTE(SUBSTITUTE(SUBSTITUTE(SUBSTITUTE(SUBSTITUTE(SUBSTITUTE(SUBSTITUTE(SUBSTITUTE(LOWER(AE390&amp;""),CHAR(10),""),CHAR(13),""),CHAR(9),""),CHAR(160),"")," ",""),".",""),"-",""),"/",""),"?",""),"_",""),",",""),"[",""),"]",""),"(",""),")",""),"*","")</f>
        <v/>
      </c>
      <c r="AY390" s="61" t="str">
        <f aca="false">SUBSTITUTE(SUBSTITUTE(SUBSTITUTE(SUBSTITUTE(SUBSTITUTE(SUBSTITUTE(SUBSTITUTE(SUBSTITUTE(SUBSTITUTE(SUBSTITUTE(SUBSTITUTE(SUBSTITUTE(SUBSTITUTE(SUBSTITUTE(SUBSTITUTE(SUBSTITUTE(LOWER(W390&amp;""),CHAR(10),""),CHAR(13),""),CHAR(9),""),CHAR(160),"")," ",""),".",""),"-",""),"/",""),"?",""),"_",""),",",""),"[",""),"]",""),"(",""),")",""),"*","")</f>
        <v/>
      </c>
      <c r="AZ390" s="61" t="str">
        <f aca="false">SUBSTITUTE(SUBSTITUTE(SUBSTITUTE(SUBSTITUTE(SUBSTITUTE(SUBSTITUTE(SUBSTITUTE(SUBSTITUTE(SUBSTITUTE(SUBSTITUTE(SUBSTITUTE(SUBSTITUTE(SUBSTITUTE(SUBSTITUTE(SUBSTITUTE(SUBSTITUTE(LOWER(AC390&amp;""),CHAR(10),""),CHAR(13),""),CHAR(9),""),CHAR(160),"")," ",""),".",""),"-",""),"/",""),"?",""),"_",""),",",""),"[",""),"]",""),"(",""),")",""),"*","")</f>
        <v/>
      </c>
      <c r="BA390" s="61" t="str">
        <f aca="false">SUBSTITUTE(SUBSTITUTE(SUBSTITUTE(SUBSTITUTE(SUBSTITUTE(SUBSTITUTE(SUBSTITUTE(SUBSTITUTE(SUBSTITUTE(SUBSTITUTE(SUBSTITUTE(SUBSTITUTE(SUBSTITUTE(SUBSTITUTE(SUBSTITUTE(SUBSTITUTE(LOWER(AA390&amp;""),CHAR(10),""),CHAR(13),""),CHAR(9),""),CHAR(160),"")," ",""),".",""),"-",""),"/",""),"?",""),"_",""),",",""),"[",""),"]",""),"(",""),")",""),"*","")</f>
        <v/>
      </c>
      <c r="BB390" s="61" t="str">
        <f aca="false">IF(AND(TRIM(U390)="Pass",ISNUMBER(AF390)),IF(AF390&lt;&gt;0,"INVALID – qty variance: use Fail or Pass after CA",""),"")&amp;IF(AND(TRIM(U390)="Pass after CA",ISNUMBER(AF390)),IF(AF390&lt;&gt;0,"INVALID – after the corrective action the actual qty must equal expected (update Actual)",""),"")&amp;IF(AND(TRIM(U390)="Pass",TRIM(AB390)&lt;&gt;"",TRIM(AB390)&lt;&gt;"Closed"),"INVALID – corrective action not closed: use Fail, then Pass after CA","")&amp;IF(AND(LEN(BA390)&gt;=2,ISNA(MATCH(LEFT(BA390,255),L_Placeholder,0)),TRIM(AB390)=""),"INVALID – CA status missing for the recorded corrective action","")&amp;IF(AND(TRIM(U390)="Pass after CA",OR(OR(LEN(BA390)&lt;5,ISNUMBER(MATCH(BA390,L_Placeholder,0))),TRIM(AB390)&lt;&gt;"Closed")),"INVALID – corrective action not recorded/closed","")</f>
        <v/>
      </c>
      <c r="BC390" s="61" t="str">
        <f aca="false">" "&amp;TRIM(SUBSTITUTE(SUBSTITUTE(SUBSTITUTE(SUBSTITUTE(SUBSTITUTE(SUBSTITUTE(SUBSTITUTE(SUBSTITUTE(SUBSTITUTE(SUBSTITUTE(SUBSTITUTE(SUBSTITUTE(SUBSTITUTE(SUBSTITUTE(SUBSTITUTE(SUBSTITUTE(SUBSTITUTE(SUBSTITUTE(SUBSTITUTE(SUBSTITUTE(SUBSTITUTE(SUBSTITUTE(SUBSTITUTE(SUBSTITUTE(LOWER(V390&amp;""),CHAR(10)," "),CHAR(13)," "),CHAR(9)," "),CHAR(160)," "),"."," "),","," "),"-"," "),"/"," "),"("," "),")"," "),":"," "),";"," "),"_"," "),"–"," "),"?"," "),"!"," "),"*"," "),"["," "),"]"," "),"'"," "),"#"," "),"+"," "),"&amp;"," "),"\"," "))&amp;" "</f>
        <v>  </v>
      </c>
      <c r="BD390" s="61" t="str">
        <f aca="false">" "&amp;TRIM(SUBSTITUTE(SUBSTITUTE(SUBSTITUTE(SUBSTITUTE(SUBSTITUTE(SUBSTITUTE(SUBSTITUTE(SUBSTITUTE(SUBSTITUTE(SUBSTITUTE(SUBSTITUTE(SUBSTITUTE(SUBSTITUTE(SUBSTITUTE(SUBSTITUTE(SUBSTITUTE(SUBSTITUTE(SUBSTITUTE(SUBSTITUTE(SUBSTITUTE(SUBSTITUTE(SUBSTITUTE(SUBSTITUTE(SUBSTITUTE(LOWER(Z390&amp;""),CHAR(10)," "),CHAR(13)," "),CHAR(9)," "),CHAR(160)," "),"."," "),","," "),"-"," "),"/"," "),"("," "),")"," "),":"," "),";"," "),"_"," "),"–"," "),"?"," "),"!"," "),"*"," "),"["," "),"]"," "),"'"," "),"#"," "),"+"," "),"&amp;"," "),"\"," "))&amp;" "</f>
        <v>  </v>
      </c>
      <c r="BE390" s="61" t="str">
        <f aca="false">" "&amp;TRIM(SUBSTITUTE(SUBSTITUTE(SUBSTITUTE(SUBSTITUTE(SUBSTITUTE(SUBSTITUTE(SUBSTITUTE(SUBSTITUTE(SUBSTITUTE(SUBSTITUTE(SUBSTITUTE(SUBSTITUTE(SUBSTITUTE(SUBSTITUTE(SUBSTITUTE(SUBSTITUTE(SUBSTITUTE(SUBSTITUTE(SUBSTITUTE(SUBSTITUTE(SUBSTITUTE(SUBSTITUTE(SUBSTITUTE(SUBSTITUTE(LOWER(W390&amp;""),CHAR(10)," "),CHAR(13)," "),CHAR(9)," "),CHAR(160)," "),"."," "),","," "),"-"," "),"/"," "),"("," "),")"," "),":"," "),";"," "),"_"," "),"–"," "),"?"," "),"!"," "),"*"," "),"["," "),"]"," "),"'"," "),"#"," "),"+"," "),"&amp;"," "),"\"," "))&amp;" "</f>
        <v>  </v>
      </c>
      <c r="BF390" s="61" t="str">
        <f aca="false">" "&amp;TRIM(SUBSTITUTE(SUBSTITUTE(SUBSTITUTE(SUBSTITUTE(SUBSTITUTE(SUBSTITUTE(SUBSTITUTE(SUBSTITUTE(SUBSTITUTE(SUBSTITUTE(SUBSTITUTE(SUBSTITUTE(SUBSTITUTE(SUBSTITUTE(SUBSTITUTE(SUBSTITUTE(SUBSTITUTE(SUBSTITUTE(SUBSTITUTE(SUBSTITUTE(SUBSTITUTE(SUBSTITUTE(SUBSTITUTE(SUBSTITUTE(LOWER(AC390&amp;""),CHAR(10)," "),CHAR(13)," "),CHAR(9)," "),CHAR(160)," "),"."," "),","," "),"-"," "),"/"," "),"("," "),")"," "),":"," "),";"," "),"_"," "),"–"," "),"?"," "),"!"," "),"*"," "),"["," "),"]"," "),"'"," "),"#"," "),"+"," "),"&amp;"," "),"\"," "))&amp;" "</f>
        <v>  </v>
      </c>
      <c r="BG390" s="61" t="n">
        <f aca="false">IFERROR(IF(AND(TRIM(U390)="Pass",SUMPRODUCT((LEN(BC390)-LEN(SUBSTITUTE(BC390," "&amp;L_ResultBad&amp;" "," ")))/(LEN(L_ResultBad)+1))&gt;SUMPRODUCT((LEN(BC390)-LEN(SUBSTITUTE(BC390," "&amp;L_NegPhrase&amp;" "," ")))/(LEN(L_NegPhrase)+1))),1,0),0)</f>
        <v>0</v>
      </c>
      <c r="BH390" s="61" t="n">
        <f aca="false">IFERROR(IF(SUMPRODUCT((LEN(BC390)-LEN(SUBSTITUTE(BC390," "&amp;L_Pending&amp;" "," ")))/(LEN(L_Pending)+1))&gt;SUMPRODUCT((LEN(BC390)-LEN(SUBSTITUTE(BC390," "&amp;L_PendNeg&amp;" "," ")))/(LEN(L_PendNeg)+1))+SUMPRODUCT((LEN(BC390)-LEN(SUBSTITUTE(BC390," "&amp;L_PendPrep&amp;" "," ")))/(LEN(L_PendPrep)+1)),1,0),1)</f>
        <v>0</v>
      </c>
      <c r="BI390" s="61" t="n">
        <f aca="false">IFERROR(IF(SUMPRODUCT((LEN(BD390)-LEN(SUBSTITUTE(BD390," "&amp;L_PendStrict&amp;" "," ")))/(LEN(L_PendStrict)+1))&gt;SUMPRODUCT((LEN(BD390)-LEN(SUBSTITUTE(BD390," "&amp;L_PendNeg&amp;" "," ")))/(LEN(L_PendNeg)+1)),1,0),1)</f>
        <v>0</v>
      </c>
      <c r="BJ390" s="61" t="n">
        <f aca="false">IFERROR(IF(SUMPRODUCT((LEN(BE390)-LEN(SUBSTITUTE(BE390," "&amp;L_Pending&amp;" "," ")))/(LEN(L_Pending)+1))&gt;SUMPRODUCT((LEN(BE390)-LEN(SUBSTITUTE(BE390," "&amp;L_PendNeg&amp;" "," ")))/(LEN(L_PendNeg)+1))+SUMPRODUCT((LEN(BE390)-LEN(SUBSTITUTE(BE390," "&amp;L_PendPrep&amp;" "," ")))/(LEN(L_PendPrep)+1)),1,0),1)</f>
        <v>0</v>
      </c>
      <c r="BK390" s="61" t="n">
        <f aca="false">IFERROR(IF(SUMPRODUCT((LEN(BF390)-LEN(SUBSTITUTE(BF390," "&amp;L_PendStrict&amp;" "," ")))/(LEN(L_PendStrict)+1))&gt;SUMPRODUCT((LEN(BF390)-LEN(SUBSTITUTE(BF390," "&amp;L_PendNeg&amp;" "," ")))/(LEN(L_PendNeg)+1)),1,0),1)</f>
        <v>0</v>
      </c>
      <c r="BL390" s="61" t="n">
        <f aca="false">IF(ISNA(MATCH(TRIM(S390),L_EvidenceType,0)),0,BZ390)</f>
        <v>0</v>
      </c>
      <c r="BM390" s="61" t="str">
        <f aca="false">SUBSTITUTE(SUBSTITUTE(SUBSTITUTE(SUBSTITUTE(SUBSTITUTE(SUBSTITUTE(SUBSTITUTE(SUBSTITUTE(SUBSTITUTE(LOWER(Z390&amp;""),"1","0"),"2","0"),"3","0"),"4","0"),"5","0"),"6","0"),"7","0"),"8","0"),"9","0")</f>
        <v/>
      </c>
      <c r="BN390" s="61" t="str">
        <f aca="false">SUBSTITUTE(SUBSTITUTE(SUBSTITUTE(SUBSTITUTE(SUBSTITUTE(SUBSTITUTE(SUBSTITUTE(SUBSTITUTE(SUBSTITUTE(SUBSTITUTE(SUBSTITUTE(SUBSTITUTE(SUBSTITUTE(SUBSTITUTE(SUBSTITUTE(SUBSTITUTE(SUBSTITUTE(SUBSTITUTE(SUBSTITUTE(SUBSTITUTE(SUBSTITUTE(SUBSTITUTE(SUBSTITUTE(SUBSTITUTE(SUBSTITUTE(BM390,"b","a"),"c","a"),"d","a"),"e","a"),"f","a"),"g","a"),"h","a"),"i","a"),"j","a"),"k","a"),"l","a"),"m","a"),"n","a"),"o","a"),"p","a"),"q","a"),"r","a"),"s","a"),"t","a"),"u","a"),"v","a"),"w","a"),"x","a"),"y","a"),"z","a")</f>
        <v/>
      </c>
      <c r="BO390" s="61" t="str">
        <f aca="false">SUBSTITUTE(SUBSTITUTE(SUBSTITUTE(SUBSTITUTE(SUBSTITUTE(SUBSTITUTE(SUBSTITUTE(SUBSTITUTE(SUBSTITUTE(LOWER(W390&amp;""),"1","0"),"2","0"),"3","0"),"4","0"),"5","0"),"6","0"),"7","0"),"8","0"),"9","0")</f>
        <v/>
      </c>
      <c r="BP390" s="61" t="str">
        <f aca="false">SUBSTITUTE(SUBSTITUTE(SUBSTITUTE(SUBSTITUTE(SUBSTITUTE(SUBSTITUTE(SUBSTITUTE(SUBSTITUTE(SUBSTITUTE(SUBSTITUTE(SUBSTITUTE(SUBSTITUTE(SUBSTITUTE(SUBSTITUTE(SUBSTITUTE(SUBSTITUTE(SUBSTITUTE(SUBSTITUTE(SUBSTITUTE(SUBSTITUTE(SUBSTITUTE(SUBSTITUTE(SUBSTITUTE(SUBSTITUTE(SUBSTITUTE(BO390,"b","a"),"c","a"),"d","a"),"e","a"),"f","a"),"g","a"),"h","a"),"i","a"),"j","a"),"k","a"),"l","a"),"m","a"),"n","a"),"o","a"),"p","a"),"q","a"),"r","a"),"s","a"),"t","a"),"u","a"),"v","a"),"w","a"),"x","a"),"y","a"),"z","a")</f>
        <v/>
      </c>
      <c r="BQ390" s="61" t="n">
        <f aca="false">IFERROR(IF(AND(ISERROR(SEARCH(" mh"," "&amp;LOWER(W390))),ISNA(MATCH(LEFT(TRIM(BP390),255),{"0000a","000a","00a","0000aa","000aa","00aa","0aa","0000aaa","000aaa","00a00","0a00","0000-0000","00:00","a00","a0","00.00.0000","00/00/0000","00-00-0000","0000-00-00","0000/00/00","0000.00.00","00.00.00","00/00/00","00-00-00","0.00.0000","0/00/0000","0-00-0000"},0)),ISNA(MATCH(LEFT(TRIM(CA390),255),{"0000a","000a","00a","0000aa","000aa","00aa","0aa","0000aaa","000aaa","00a00","0a00","0000-0000","00:00","a00","a0","00.00.0000","00/00/0000","00-00-0000","0000-00-00","0000/00/00","0000.00.00","00.00.00","00/00/00","00-00-00","0.00.0000","0/00/0000","0-00-0000"},0)),LEN(CB390)&gt;=3,NOT(OR(SUBSTITUTE(CB390,"0","")="",AND(LEN(CB390)&gt;=4,CB390=REPT(LEFT(CB390),LEN(CB390))),ISNUMBER(MATCH(CB390,{"123","1234","12345","123456","1234567","12345678","0123","01234","012345","98765","987654","54321"},0)),AND(LEN(CB390)=8,LEFT(CB390,3)="202"))),OR(AND((LEN(CA390)-LEN(SUBSTITUTE(CA390,"a","")))&gt;=1,SUMPRODUCT(--ISNUMBER(SEARCH({"a0","a-0","a_0","a/0","a.0","a#0","0a","0-a","0_a","0/a"},BP390)))&gt;0),ISNUMBER(SEARCH("000000",BP390)))),1,0),0)</f>
        <v>0</v>
      </c>
      <c r="BR390" s="61" t="n">
        <f aca="false">IFERROR(LEN(SUBSTITUTE(CC390," ",""))-SUMPRODUCT((LEN(CC390)-LEN(SUBSTITUTE(CC390," "&amp;L_Role&amp;" "," ")))/(LEN(L_Role)+1)*LEN(L_Role)),0)</f>
        <v>0</v>
      </c>
      <c r="BS390" s="61" t="n">
        <f aca="false">IFERROR(LEN(SUBSTITUTE(CD390," ",""))-SUMPRODUCT((LEN(CD390)-LEN(SUBSTITUTE(CD390," "&amp;L_Role&amp;" "," ")))/(LEN(L_Role)+1)*LEN(L_Role)),0)</f>
        <v>0</v>
      </c>
      <c r="BT3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390,"revision",""),"version",""),"jan",""),"feb",""),"mar",""),"apr",""),"may",""),"jun",""),"jul",""),"aug",""),"sep",""),"oct",""),"nov",""),"dec",""),"utc",""),"gmt",""),"myt",""),"bst",""),"rev",""),"ver",""),"b","a"),"c","a"),"d","a"),"e","a"),"f","a"),"g","a"),"h","a"),"i","a"),"j","a"),"k","a"),"l","a"),"m","a"),"n","a"),"o","a"),"p","a"),"q","a"),"r","a"),"s","a"),"t","a"),"u","a"),"v","a"),"w","a"),"x","a"),"y","a"),"z","a")</f>
        <v/>
      </c>
      <c r="BU390" s="61" t="str">
        <f aca="false">SUBSTITUTE(SUBSTITUTE(SUBSTITUTE(SUBSTITUTE(SUBSTITUTE(SUBSTITUTE(SUBSTITUTE(SUBSTITUTE(SUBSTITUTE(SUBSTITUTE(LEFT(BM390,FIND("0",BM390&amp;"0")-1),"-",""),"_",""),"/",""),".",""),"#",""),"\\",""),":","")," ",""),"(",""),")","")</f>
        <v/>
      </c>
      <c r="BV390" s="61" t="n">
        <f aca="false">0</f>
        <v>0</v>
      </c>
      <c r="BW3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390&amp;""),"a",""),"b",""),"c",""),"d",""),"e",""),"f",""),"g",""),"h",""),"i",""),"j",""),"k",""),"l",""),"m",""),"n",""),"o",""),"p",""),"q",""),"r",""),"s",""),"t",""),"u",""),"v",""),"w",""),"x",""),"y",""),"z",""),"-",""),"_",""),"/",""),".",""),"#",""),"\\",""),":","")," ",""),"(",""),")","")</f>
        <v/>
      </c>
      <c r="BX390" s="61" t="str">
        <f aca="false">SUBSTITUTE(SUBSTITUTE(SUBSTITUTE(SUBSTITUTE(SUBSTITUTE(SUBSTITUTE(SUBSTITUTE(SUBSTITUTE(SUBSTITUTE(SUBSTITUTE(SUBSTITUTE(BM390,"0",""),"-",""),"_",""),"/",""),".",""),"#",""),"\\",""),":","")," ",""),"(",""),")","")</f>
        <v/>
      </c>
      <c r="BY390" s="62" t="n">
        <f aca="false">Q390-T12EarlyH/24</f>
        <v>46306.6006944444</v>
      </c>
      <c r="BZ390" s="61" t="n">
        <f aca="false">IFERROR(IF(IF(TRIM(S390)="Link / file path",AND(LEN(TRIM(Z390))&gt;=5,SUMPRODUCT(--ISNUMBER(SEARCH({"http","www.","\\",":\",".pdf",".jpg",".jpeg",".png",".heic",".xls",".doc",".msg",".eml",".ppt",".txt",".zip"},Z390)))&gt;0),AND(ISERROR(FIND(" ",TRIM(Z390))),NOT(OR(SUMPRODUCT(--ISNUMBER(FIND({",",";","&amp;","+"},Z390)))&gt;0,SUMPRODUCT(--ISNUMBER(SEARCH({"0/aa","0\\aa"},BN390)))&gt;0)),NOT(SUMPRODUCT(--ISNUMBER(SEARCH({"http","www.","\\",":\",".pdf",".jpg",".jpeg",".png",".heic",".xls",".doc",".msg",".eml",".ppt",".txt",".zip"},Z390)))&gt;0),NOT(LOWER(TRIM(Z390))=LOWER(Flights!$F$16)),ISNA(MATCH(BU390,{"mh","rev","revision","ver","version","v","r","a","b","seat","tray","row","gate","bay","stand","page","pg","item","line","no","cart","galley","flight","flt","table","box","bag","oven","etd","eta","std","sta","atd","ata","qty","pax","x","time","tel","ph","mob","day","wk","week","utc","gmt","myt","lt"},0)),NOT(OR(ISNUMBER(MATCH(LEFT(BN390,255),{"0000a","000a","00a","0000aa","000aa","00aa","0aa","0000aaa","000aaa","00a00","0a00","0000-0000","00:00","a00","a0","00.00.0000","00/00/0000","00-00-0000","0000-00-00","0000/00/00","0000.00.00","00.00.00","00/00/00","00-00-00","0.00.0000","0/00/0000","0-00-0000"},0)),ISNUMBER(MATCH(LEFT(BT390,255),{"0000a","000a","00a","0000aa","000aa","00aa","0aa","0000aaa","000aaa","00a00","0a00","0000-0000","00:00","a00","a0","00.00.0000","00/00/0000","00-00-0000","0000-00-00","0000/00/00","0000.00.00","00.00.00","00/00/00","00-00-00","0.00.0000","0/00/0000","0-00-0000"},0)))),NOT(OR(AND(BW390&lt;&gt;"",SUBSTITUTE(BW390,"0","")=""),AND(LEN(BW390)&gt;=4,BW390=REPT(LEFT(BW390),LEN(BW390))),ISNUMBER(MATCH(BW390,{"123","1234","12345","123456","1234567","12345678","0123","01234","012345","98765","987654","54321"},0)),ISNUMBER(MATCH(BX390,{"x","xx","xxx","xxxx","xxxxx","abc","abcd","nil","na","nan","test","tbc","tba","tbd","dummy","sample","example","eg","zz","zzz","none","null","xyz","qwe","asd","id","ref"},0)),AND(LEN(BW390)=8,BX390="",OR(LEFT(BW390,3)="202",ISNUMBER(MATCH(RIGHT(BW390,4),{"2025","2026","2027"},0)))))),OR(AND((LEN(BT390)-LEN(SUBSTITUTE(BT390,"a","")))&gt;=1,(LEN(BN390)-LEN(SUBSTITUTE(BN390,"0","")))&gt;=2,SUMPRODUCT(--ISNUMBER(SEARCH({"a0","a-0","a_0","a/0","a.0","a#0","0a","0-a","0_a","0/a"},BN390)))&gt;0),AND((LEN(BN390)-LEN(SUBSTITUTE(BN390,"a","")))=0,(LEN(BN390)-LEN(SUBSTITUTE(BN390,"0","")))&gt;=5)))),1,0),0)</f>
        <v>0</v>
      </c>
      <c r="CA3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390,"revision",""),"version",""),"jan",""),"feb",""),"mar",""),"apr",""),"may",""),"jun",""),"jul",""),"aug",""),"sep",""),"oct",""),"nov",""),"dec",""),"utc",""),"gmt",""),"myt",""),"bst",""),"rev",""),"ver",""),"b","a"),"c","a"),"d","a"),"e","a"),"f","a"),"g","a"),"h","a"),"i","a"),"j","a"),"k","a"),"l","a"),"m","a"),"n","a"),"o","a"),"p","a"),"q","a"),"r","a"),"s","a"),"t","a"),"u","a"),"v","a"),"w","a"),"x","a"),"y","a"),"z","a")</f>
        <v/>
      </c>
      <c r="CB3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390&amp;""),"a",""),"b",""),"c",""),"d",""),"e",""),"f",""),"g",""),"h",""),"i",""),"j",""),"k",""),"l",""),"m",""),"n",""),"o",""),"p",""),"q",""),"r",""),"s",""),"t",""),"u",""),"v",""),"w",""),"x",""),"y",""),"z",""),"-",""),"_",""),"/",""),".",""),"#",""),"\\",""),":","")," ",""),"(",""),")","")</f>
        <v/>
      </c>
      <c r="CC390" s="0" t="str">
        <f aca="false">" "&amp;TRIM(SUBSTITUTE(SUBSTITUTE(SUBSTITUTE(SUBSTITUTE(SUBSTITUTE(SUBSTITUTE(SUBSTITUTE(SUBSTITUTE(SUBSTITUTE(SUBSTITUTE(SUBSTITUTE(SUBSTITUTE(SUBSTITUTE(SUBSTITUTE(SUBSTITUTE(SUBSTITUTE(SUBSTITUTE(SUBSTITUTE(SUBSTITUTE(SUBSTITUTE(SUBSTITUTE(SUBSTITUTE(SUBSTITUTE(SUBSTITUTE(LOWER(T390&amp;""),CHAR(10)," "),CHAR(13)," "),CHAR(9)," "),CHAR(160)," "),"."," "),","," "),"-"," "),"/"," "),"("," "),")"," "),":"," "),";"," "),"_"," "),"–"," "),"?"," "),"!"," "),"*"," "),"["," "),"]"," "),"'"," "),"#"," "),"+"," "),"&amp;"," "),"\"," "))&amp;" "</f>
        <v>  </v>
      </c>
      <c r="CD390" s="0" t="str">
        <f aca="false">" "&amp;TRIM(SUBSTITUTE(SUBSTITUTE(SUBSTITUTE(SUBSTITUTE(SUBSTITUTE(SUBSTITUTE(SUBSTITUTE(SUBSTITUTE(SUBSTITUTE(SUBSTITUTE(SUBSTITUTE(SUBSTITUTE(SUBSTITUTE(SUBSTITUTE(SUBSTITUTE(SUBSTITUTE(SUBSTITUTE(SUBSTITUTE(SUBSTITUTE(SUBSTITUTE(SUBSTITUTE(SUBSTITUTE(SUBSTITUTE(SUBSTITUTE(LOWER(AE390&amp;""),CHAR(10)," "),CHAR(13)," "),CHAR(9)," "),CHAR(160)," "),"."," "),","," "),"-"," "),"/"," "),"("," "),")"," "),":"," "),";"," "),"_"," "),"–"," "),"?"," "),"!"," "),"*"," "),"["," "),"]"," "),"'"," "),"#"," "),"+"," "),"&amp;"," "),"\"," "))&amp;" "</f>
        <v>  </v>
      </c>
      <c r="CE390" s="68" t="n">
        <f aca="false">IFERROR(IF(AND(LEN(AU390)&gt;0,LEN(AU390)=LEN(AX390),OR(TRIM(MID(SUBSTITUTE(TRIM(CC390)," ",REPT(" ",60)),1,60))="",ISNUMBER(SEARCH(" "&amp;TRIM(MID(SUBSTITUTE(TRIM(CC390)," ",REPT(" ",60)),1,60))&amp;" ",CD390))),OR(TRIM(MID(SUBSTITUTE(TRIM(CC390)," ",REPT(" ",60)),61,60))="",ISNUMBER(SEARCH(" "&amp;TRIM(MID(SUBSTITUTE(TRIM(CC390)," ",REPT(" ",60)),61,60))&amp;" ",CD390))),OR(TRIM(MID(SUBSTITUTE(TRIM(CC390)," ",REPT(" ",60)),121,60))="",ISNUMBER(SEARCH(" "&amp;TRIM(MID(SUBSTITUTE(TRIM(CC390)," ",REPT(" ",60)),121,60))&amp;" ",CD390)))),1,0),0)</f>
        <v>0</v>
      </c>
      <c r="CG390" s="68" t="n">
        <f aca="false">IFERROR(LEN(SUBSTITUTE(BF390," ",""))-SUMPRODUCT((LEN(BF390)-LEN(SUBSTITUTE(BF390," "&amp;L_NAFiller&amp;" "," ")))/(LEN(L_NAFiller)+1)*LEN(L_NAFiller)),0)</f>
        <v>0</v>
      </c>
    </row>
    <row r="391" customFormat="false" ht="39.75" hidden="false" customHeight="true" outlineLevel="0" collapsed="false">
      <c r="A391" s="57" t="s">
        <v>1006</v>
      </c>
      <c r="B391" s="57" t="s">
        <v>261</v>
      </c>
      <c r="C391" s="57" t="str">
        <f aca="false">Flights!$F$16</f>
        <v>MH0139</v>
      </c>
      <c r="D391" s="58" t="n">
        <f aca="false">Flights!$D$16</f>
        <v>46307</v>
      </c>
      <c r="E391" s="57" t="str">
        <f aca="false">Flights!$G$16&amp;"-"&amp;Flights!$H$16</f>
        <v>KUL-ADL</v>
      </c>
      <c r="F391" s="57" t="str">
        <f aca="false">Flights!$K$16</f>
        <v>BC</v>
      </c>
      <c r="G391" s="57" t="s">
        <v>420</v>
      </c>
      <c r="H391" s="57" t="s">
        <v>378</v>
      </c>
      <c r="I391" s="57" t="s">
        <v>379</v>
      </c>
      <c r="J391" s="57" t="s">
        <v>425</v>
      </c>
      <c r="K391" s="67" t="s">
        <v>426</v>
      </c>
      <c r="L391" s="67" t="s">
        <v>422</v>
      </c>
      <c r="M391" s="67"/>
      <c r="N391" s="67" t="s">
        <v>383</v>
      </c>
      <c r="O391" s="67" t="s">
        <v>423</v>
      </c>
      <c r="P391" s="57" t="s">
        <v>187</v>
      </c>
      <c r="Q391" s="59" t="n">
        <f aca="false">ROUND((Flights!$AE$16)*1440,0)/1440</f>
        <v>46307.1006944444</v>
      </c>
      <c r="R391" s="59" t="n">
        <f aca="false">Q391+(IF(AND(INDEX(TZ_DSTS,MATCH(P391,TZ_STN,0))&lt;&gt;"",Q391&gt;=INDEX(TZ_DSTS,MATCH(P391,TZ_STN,0)),Q391&lt;INDEX(TZ_DSTE,MATCH(P391,TZ_STN,0))),INDEX(TZ_DST,MATCH(P391,TZ_STN,0)),INDEX(TZ_STD,MATCH(P391,TZ_STN,0))))/24</f>
        <v>46307.4340277778</v>
      </c>
      <c r="S391" s="60"/>
      <c r="T391" s="60"/>
      <c r="U391" s="60"/>
      <c r="V391" s="60"/>
      <c r="W391" s="61"/>
      <c r="X391" s="60"/>
      <c r="Y391" s="60"/>
      <c r="Z391" s="60"/>
      <c r="AA391" s="60"/>
      <c r="AB391" s="60"/>
      <c r="AC391" s="60"/>
      <c r="AD391" s="66"/>
      <c r="AE391" s="60"/>
      <c r="AF391" s="61" t="str">
        <f aca="false">IF(AND(ISNUMBER(X391),ISNUMBER(Y391)),Y391-X391,"")</f>
        <v/>
      </c>
      <c r="AG391" s="62" t="str">
        <f aca="false">IF(ISNUMBER(AD391),AD391-(IF(AND(INDEX(TZ_DSTS,MATCH(P391,TZ_STN,0))&lt;&gt;"",(AD391-INDEX(TZ_STD,MATCH(P391,TZ_STN,0))/24)&gt;=INDEX(TZ_DSTS,MATCH(P391,TZ_STN,0)),(AD391-INDEX(TZ_STD,MATCH(P391,TZ_STN,0))/24)&lt;INDEX(TZ_DSTE,MATCH(P391,TZ_STN,0))),INDEX(TZ_DST,MATCH(P391,TZ_STN,0)),INDEX(TZ_STD,MATCH(P391,TZ_STN,0))))/24,"")</f>
        <v/>
      </c>
      <c r="AH391" s="65" t="str">
        <f aca="false">IFERROR(IF(N391="N/A – rule",IF(OR(TRIM(U391)="",TRIM(U391)="N/A",TRIM(U391)="Not started"),"N/A – RULE","INVALID – this check does not apply to this aircraft: clear the status (or correct the fleet on Flights)"),IF(TRIM(U391)="N/A",IF(AT391=0,"INVALID – N/A not permitted for this check",IF(AND(TRIM(AB391)&lt;&gt;"",TRIM(AB391)&lt;&gt;"Closed"),"INVALID – corrective action still open",IF(AND(NOT(OR(LEN(AZ391)&lt;15,ISNUMBER(MATCH(AZ391,L_Placeholder,0)))),BK391=0,CG391&gt;=8,NOT(OR(LEN(AU391)&lt;2,ISNUMBER(MATCH(AU391,L_Placeholder,0)))),BR391&gt;=3,NOT(OR(LEN(AX391)&lt;2,ISNUMBER(MATCH(AX391,L_Placeholder,0)))),BS391&gt;=3,TRIM(AE391)&lt;&gt;TRIM(T391),AX391&lt;&gt;AU391,CE391=0),"N/A – JUSTIFIED","INVALID – N/A needs a real, settled reason (not 'not applicable' / 'as above' / TBC), a named PIC and a different named verifier"))),IF(OR(TRIM(U391)="Pass",TRIM(U391)="Pass after CA"),IF(NOT(ISNUMBER(AD391)),"INVALID – completion time missing",IF(OR(OR(LEN(AU391)&lt;2,ISNUMBER(MATCH(AU391,L_Placeholder,0))),BR391&lt;3),"INVALID – PIC missing or not a named person (a role such as QA / CSM is not a name)",IF(OR(LEN(AV391)&lt;2,ISNUMBER(MATCH(AV391,L_Placeholder,0))),"INVALID – result / assessment missing",IF(OR(OR(LEN(AW391)&lt;3,ISNUMBER(MATCH(AW391,L_Placeholder,0))),SUMPRODUCT(--ISNUMBER(SEARCH(" "&amp;L_EvidencePhrase&amp;" ",BD391)))&gt;0,BI391=1),"INVALID – evidence missing, placeholder or not yet on file",IF(ISNA(MATCH(TRIM(S391),L_EvidenceType,0)),"INVALID – choose the evidence type from the list (column S)",IF(BL391=0,"INVALID – evidence ID must be the record's own ID only (e.g. SF-2210, IMG_2231, 1045521); a link / file name needs type 'Link / file path'",IF(OR(OR(LEN(AX391)&lt;2,ISNUMBER(MATCH(AX391,L_Placeholder,0))),BS391&lt;3),"INVALID – verifier missing or not a named person (a role such as QA / CSM is not a name)",IF(OR(AX391=AU391,CE391=1,AND(LEN(AU391)&gt;=4,ISNUMBER(SEARCH(AU391,AX391))),AND(LEN(AX391)&gt;=4,ISNUMBER(SEARCH(AX391,AU391)))),"INVALID – verifier must be a different, named person (not the PIC or a role)",IF(BH391=1,"INVALID – result not yet available (awaiting / TBC)",IF(BG391=1,"INVALID – result describes a problem: record Fail, then Pass after CA (or reword if it is not a problem)",IF(BV391=1,"INVALID – wording says not on board: an on-board confirmation needs the item loaded",IF(AND(AQ391=1,OR(OR(LEN(AY391)&lt;3,ISNUMBER(MATCH(AY391,L_Placeholder,0))),BJ391=1,BQ391=0)),"INVALID – batch ID missing, placeholder or not an ID (e.g. PASB-261008-BC-017)",IF(AND(AR391=1,OR(NOT(ISNUMBER(X391)),NOT(ISNUMBER(Y391)))),"INVALID – expected/actual qty missing",IF(AND(AR391=1,OR(X391&lt;=0,Y391&lt;0)),"INVALID – expected qty must be above 0 and actual not negative",IF(BB391&lt;&gt;"",BB391,IF(AND(AS391=1,Documents!$J$16&lt;&gt;"ON FILE"),"INVALID – GLD not on file (Documents sheet)",IF(AND(AS391=2,Documents!$O$16&lt;&gt;"ON FILE"),"INVALID – menu checklist not on file (Documents sheet)",IF(AND(AS391=3,NOT(ISNUMBER(Flights!$AX$16))),"INVALID – enter carrying flight KUL departure (Flights AX)",IF(AND(AS391=3,OR(Flights!$AZ$16&gt;Flights!$AA$16,Flights!$AX$16&lt;Flights!$AA$16-3)),"INVALID – carrying flight (Flights AX) cannot arrive before this leg's STD, or is over 3 days early",IF(AG391&gt;AsOfUTC,"INVALID – completion time is in the future",IF(AND(ISNUMBER(BY391),AG391&lt;BY391),IF(H391="Physical uplift","INVALID – before uplift window (cannot confirm loading)","INVALID – before valid window"),IF(AG391&gt;Flights!$AA$16,"INVALID – completed after departure (cannot establish readiness)",IF(AND(H391="Preparation",AG391&gt;=IF(ISNUMBER(Flights!$BA$16),MIN(Flights!$BA$16,Flights!$AA$16),Flights!$AA$16)),"INVALID – completed after loading / departure (cannot establish readiness)",IF(AND(H391="Physical uplift",AG391&gt;Q391),"INVALID – recorded after the loading flight departed",IF(AG391&gt;Q391,"COMPLETE – LATE","COMPLETE"))))))))))))))))))))))))),IF(TRIM(U391)="Fail","FAIL – DISCREPANCY",IF(AND(TRIM(U391)&lt;&gt;"",TRIM(U391)&lt;&gt;"Not started",TRIM(U391)&lt;&gt;"In progress"),"INVALID – unrecognised status (use the list)",IF(AsOfUTC&gt;Q391,"OVERDUE",IF(N391="Clarification required","OPEN – CLARIFICATION","OPEN"))))))),"INVALID – error value in an input cell")</f>
        <v>OPEN</v>
      </c>
      <c r="AI391" s="61" t="n">
        <f aca="false">IF(OR(AH391="N/A – RULE",AH391="N/A – JUSTIFIED"),0,1)</f>
        <v>1</v>
      </c>
      <c r="AJ391" s="61" t="n">
        <f aca="false">IF(LEFT(AH391,8)="COMPLETE",1,0)</f>
        <v>0</v>
      </c>
      <c r="AK391" s="61" t="n">
        <f aca="false">IF(AND(AI391=1,AJ391=0,AsOfUTC&gt;Q391),1,0)</f>
        <v>0</v>
      </c>
      <c r="AL391" s="61" t="n">
        <f aca="false">IFERROR(IF(AND(AI391=1,OR(TRIM(U391)="Fail",AND(TRIM(AB391)&lt;&gt;"",TRIM(AB391)&lt;&gt;"Closed"),AND(ISNUMBER(AF391),AF391&lt;&gt;0,TRIM(U391)&lt;&gt;"Pass after CA"))),1,0),1)</f>
        <v>0</v>
      </c>
      <c r="AM391" s="61" t="n">
        <f aca="false">IF(LEFT(AH391,7)="INVALID",1,0)</f>
        <v>0</v>
      </c>
      <c r="AN391" s="61" t="n">
        <f aca="false">IF(AND(N391="Clarification required",AI391=1,AJ391=0),1,0)</f>
        <v>0</v>
      </c>
      <c r="AO391" s="61" t="str">
        <f aca="false">IF(AK391=1,SUM(AK$5:AK391),"")</f>
        <v/>
      </c>
      <c r="AP391" s="61" t="str">
        <f aca="false">IF(AL391=1,SUM(AL$5:AL391),"")</f>
        <v/>
      </c>
      <c r="AQ391" s="61" t="n">
        <v>0</v>
      </c>
      <c r="AR391" s="61" t="n">
        <v>1</v>
      </c>
      <c r="AS391" s="61" t="n">
        <v>0</v>
      </c>
      <c r="AT391" s="61" t="n">
        <v>0</v>
      </c>
      <c r="AU391" s="61" t="str">
        <f aca="false">SUBSTITUTE(SUBSTITUTE(SUBSTITUTE(SUBSTITUTE(SUBSTITUTE(SUBSTITUTE(SUBSTITUTE(SUBSTITUTE(SUBSTITUTE(SUBSTITUTE(SUBSTITUTE(SUBSTITUTE(SUBSTITUTE(SUBSTITUTE(SUBSTITUTE(SUBSTITUTE(LOWER(T391&amp;""),CHAR(10),""),CHAR(13),""),CHAR(9),""),CHAR(160),"")," ",""),".",""),"-",""),"/",""),"?",""),"_",""),",",""),"[",""),"]",""),"(",""),")",""),"*","")</f>
        <v/>
      </c>
      <c r="AV391" s="61" t="str">
        <f aca="false">SUBSTITUTE(SUBSTITUTE(SUBSTITUTE(SUBSTITUTE(SUBSTITUTE(SUBSTITUTE(SUBSTITUTE(SUBSTITUTE(SUBSTITUTE(SUBSTITUTE(SUBSTITUTE(SUBSTITUTE(SUBSTITUTE(SUBSTITUTE(SUBSTITUTE(SUBSTITUTE(LOWER(V391&amp;""),CHAR(10),""),CHAR(13),""),CHAR(9),""),CHAR(160),"")," ",""),".",""),"-",""),"/",""),"?",""),"_",""),",",""),"[",""),"]",""),"(",""),")",""),"*","")</f>
        <v/>
      </c>
      <c r="AW391" s="61" t="str">
        <f aca="false">SUBSTITUTE(SUBSTITUTE(SUBSTITUTE(SUBSTITUTE(SUBSTITUTE(SUBSTITUTE(SUBSTITUTE(SUBSTITUTE(SUBSTITUTE(SUBSTITUTE(SUBSTITUTE(SUBSTITUTE(SUBSTITUTE(SUBSTITUTE(SUBSTITUTE(SUBSTITUTE(LOWER(Z391&amp;""),CHAR(10),""),CHAR(13),""),CHAR(9),""),CHAR(160),"")," ",""),".",""),"-",""),"/",""),"?",""),"_",""),",",""),"[",""),"]",""),"(",""),")",""),"*","")</f>
        <v/>
      </c>
      <c r="AX391" s="61" t="str">
        <f aca="false">SUBSTITUTE(SUBSTITUTE(SUBSTITUTE(SUBSTITUTE(SUBSTITUTE(SUBSTITUTE(SUBSTITUTE(SUBSTITUTE(SUBSTITUTE(SUBSTITUTE(SUBSTITUTE(SUBSTITUTE(SUBSTITUTE(SUBSTITUTE(SUBSTITUTE(SUBSTITUTE(LOWER(AE391&amp;""),CHAR(10),""),CHAR(13),""),CHAR(9),""),CHAR(160),"")," ",""),".",""),"-",""),"/",""),"?",""),"_",""),",",""),"[",""),"]",""),"(",""),")",""),"*","")</f>
        <v/>
      </c>
      <c r="AY391" s="61" t="str">
        <f aca="false">SUBSTITUTE(SUBSTITUTE(SUBSTITUTE(SUBSTITUTE(SUBSTITUTE(SUBSTITUTE(SUBSTITUTE(SUBSTITUTE(SUBSTITUTE(SUBSTITUTE(SUBSTITUTE(SUBSTITUTE(SUBSTITUTE(SUBSTITUTE(SUBSTITUTE(SUBSTITUTE(LOWER(W391&amp;""),CHAR(10),""),CHAR(13),""),CHAR(9),""),CHAR(160),"")," ",""),".",""),"-",""),"/",""),"?",""),"_",""),",",""),"[",""),"]",""),"(",""),")",""),"*","")</f>
        <v/>
      </c>
      <c r="AZ391" s="61" t="str">
        <f aca="false">SUBSTITUTE(SUBSTITUTE(SUBSTITUTE(SUBSTITUTE(SUBSTITUTE(SUBSTITUTE(SUBSTITUTE(SUBSTITUTE(SUBSTITUTE(SUBSTITUTE(SUBSTITUTE(SUBSTITUTE(SUBSTITUTE(SUBSTITUTE(SUBSTITUTE(SUBSTITUTE(LOWER(AC391&amp;""),CHAR(10),""),CHAR(13),""),CHAR(9),""),CHAR(160),"")," ",""),".",""),"-",""),"/",""),"?",""),"_",""),",",""),"[",""),"]",""),"(",""),")",""),"*","")</f>
        <v/>
      </c>
      <c r="BA391" s="61" t="str">
        <f aca="false">SUBSTITUTE(SUBSTITUTE(SUBSTITUTE(SUBSTITUTE(SUBSTITUTE(SUBSTITUTE(SUBSTITUTE(SUBSTITUTE(SUBSTITUTE(SUBSTITUTE(SUBSTITUTE(SUBSTITUTE(SUBSTITUTE(SUBSTITUTE(SUBSTITUTE(SUBSTITUTE(LOWER(AA391&amp;""),CHAR(10),""),CHAR(13),""),CHAR(9),""),CHAR(160),"")," ",""),".",""),"-",""),"/",""),"?",""),"_",""),",",""),"[",""),"]",""),"(",""),")",""),"*","")</f>
        <v/>
      </c>
      <c r="BB391" s="61" t="str">
        <f aca="false">IF(AND(TRIM(U391)="Pass",ISNUMBER(AF391)),IF(AF391&lt;&gt;0,"INVALID – qty variance: use Fail or Pass after CA",""),"")&amp;IF(AND(TRIM(U391)="Pass after CA",ISNUMBER(AF391)),IF(AF391&lt;&gt;0,"INVALID – after the corrective action the actual qty must equal expected (update Actual)",""),"")&amp;IF(AND(TRIM(U391)="Pass",TRIM(AB391)&lt;&gt;"",TRIM(AB391)&lt;&gt;"Closed"),"INVALID – corrective action not closed: use Fail, then Pass after CA","")&amp;IF(AND(LEN(BA391)&gt;=2,ISNA(MATCH(LEFT(BA391,255),L_Placeholder,0)),TRIM(AB391)=""),"INVALID – CA status missing for the recorded corrective action","")&amp;IF(AND(TRIM(U391)="Pass after CA",OR(OR(LEN(BA391)&lt;5,ISNUMBER(MATCH(BA391,L_Placeholder,0))),TRIM(AB391)&lt;&gt;"Closed")),"INVALID – corrective action not recorded/closed","")</f>
        <v/>
      </c>
      <c r="BC391" s="61" t="str">
        <f aca="false">" "&amp;TRIM(SUBSTITUTE(SUBSTITUTE(SUBSTITUTE(SUBSTITUTE(SUBSTITUTE(SUBSTITUTE(SUBSTITUTE(SUBSTITUTE(SUBSTITUTE(SUBSTITUTE(SUBSTITUTE(SUBSTITUTE(SUBSTITUTE(SUBSTITUTE(SUBSTITUTE(SUBSTITUTE(SUBSTITUTE(SUBSTITUTE(SUBSTITUTE(SUBSTITUTE(SUBSTITUTE(SUBSTITUTE(SUBSTITUTE(SUBSTITUTE(LOWER(V391&amp;""),CHAR(10)," "),CHAR(13)," "),CHAR(9)," "),CHAR(160)," "),"."," "),","," "),"-"," "),"/"," "),"("," "),")"," "),":"," "),";"," "),"_"," "),"–"," "),"?"," "),"!"," "),"*"," "),"["," "),"]"," "),"'"," "),"#"," "),"+"," "),"&amp;"," "),"\"," "))&amp;" "</f>
        <v>  </v>
      </c>
      <c r="BD391" s="61" t="str">
        <f aca="false">" "&amp;TRIM(SUBSTITUTE(SUBSTITUTE(SUBSTITUTE(SUBSTITUTE(SUBSTITUTE(SUBSTITUTE(SUBSTITUTE(SUBSTITUTE(SUBSTITUTE(SUBSTITUTE(SUBSTITUTE(SUBSTITUTE(SUBSTITUTE(SUBSTITUTE(SUBSTITUTE(SUBSTITUTE(SUBSTITUTE(SUBSTITUTE(SUBSTITUTE(SUBSTITUTE(SUBSTITUTE(SUBSTITUTE(SUBSTITUTE(SUBSTITUTE(LOWER(Z391&amp;""),CHAR(10)," "),CHAR(13)," "),CHAR(9)," "),CHAR(160)," "),"."," "),","," "),"-"," "),"/"," "),"("," "),")"," "),":"," "),";"," "),"_"," "),"–"," "),"?"," "),"!"," "),"*"," "),"["," "),"]"," "),"'"," "),"#"," "),"+"," "),"&amp;"," "),"\"," "))&amp;" "</f>
        <v>  </v>
      </c>
      <c r="BE391" s="61" t="str">
        <f aca="false">" "&amp;TRIM(SUBSTITUTE(SUBSTITUTE(SUBSTITUTE(SUBSTITUTE(SUBSTITUTE(SUBSTITUTE(SUBSTITUTE(SUBSTITUTE(SUBSTITUTE(SUBSTITUTE(SUBSTITUTE(SUBSTITUTE(SUBSTITUTE(SUBSTITUTE(SUBSTITUTE(SUBSTITUTE(SUBSTITUTE(SUBSTITUTE(SUBSTITUTE(SUBSTITUTE(SUBSTITUTE(SUBSTITUTE(SUBSTITUTE(SUBSTITUTE(LOWER(W391&amp;""),CHAR(10)," "),CHAR(13)," "),CHAR(9)," "),CHAR(160)," "),"."," "),","," "),"-"," "),"/"," "),"("," "),")"," "),":"," "),";"," "),"_"," "),"–"," "),"?"," "),"!"," "),"*"," "),"["," "),"]"," "),"'"," "),"#"," "),"+"," "),"&amp;"," "),"\"," "))&amp;" "</f>
        <v>  </v>
      </c>
      <c r="BF391" s="61" t="str">
        <f aca="false">" "&amp;TRIM(SUBSTITUTE(SUBSTITUTE(SUBSTITUTE(SUBSTITUTE(SUBSTITUTE(SUBSTITUTE(SUBSTITUTE(SUBSTITUTE(SUBSTITUTE(SUBSTITUTE(SUBSTITUTE(SUBSTITUTE(SUBSTITUTE(SUBSTITUTE(SUBSTITUTE(SUBSTITUTE(SUBSTITUTE(SUBSTITUTE(SUBSTITUTE(SUBSTITUTE(SUBSTITUTE(SUBSTITUTE(SUBSTITUTE(SUBSTITUTE(LOWER(AC391&amp;""),CHAR(10)," "),CHAR(13)," "),CHAR(9)," "),CHAR(160)," "),"."," "),","," "),"-"," "),"/"," "),"("," "),")"," "),":"," "),";"," "),"_"," "),"–"," "),"?"," "),"!"," "),"*"," "),"["," "),"]"," "),"'"," "),"#"," "),"+"," "),"&amp;"," "),"\"," "))&amp;" "</f>
        <v>  </v>
      </c>
      <c r="BG391" s="61" t="n">
        <f aca="false">IFERROR(IF(AND(TRIM(U391)="Pass",SUMPRODUCT((LEN(BC391)-LEN(SUBSTITUTE(BC391," "&amp;L_ResultBad&amp;" "," ")))/(LEN(L_ResultBad)+1))&gt;SUMPRODUCT((LEN(BC391)-LEN(SUBSTITUTE(BC391," "&amp;L_NegPhrase&amp;" "," ")))/(LEN(L_NegPhrase)+1))),1,0),0)</f>
        <v>0</v>
      </c>
      <c r="BH391" s="61" t="n">
        <f aca="false">IFERROR(IF(SUMPRODUCT((LEN(BC391)-LEN(SUBSTITUTE(BC391," "&amp;L_Pending&amp;" "," ")))/(LEN(L_Pending)+1))&gt;SUMPRODUCT((LEN(BC391)-LEN(SUBSTITUTE(BC391," "&amp;L_PendNeg&amp;" "," ")))/(LEN(L_PendNeg)+1))+SUMPRODUCT((LEN(BC391)-LEN(SUBSTITUTE(BC391," "&amp;L_PendPrep&amp;" "," ")))/(LEN(L_PendPrep)+1)),1,0),1)</f>
        <v>0</v>
      </c>
      <c r="BI391" s="61" t="n">
        <f aca="false">IFERROR(IF(SUMPRODUCT((LEN(BD391)-LEN(SUBSTITUTE(BD391," "&amp;L_PendStrict&amp;" "," ")))/(LEN(L_PendStrict)+1))&gt;SUMPRODUCT((LEN(BD391)-LEN(SUBSTITUTE(BD391," "&amp;L_PendNeg&amp;" "," ")))/(LEN(L_PendNeg)+1)),1,0),1)</f>
        <v>0</v>
      </c>
      <c r="BJ391" s="61" t="n">
        <f aca="false">IFERROR(IF(SUMPRODUCT((LEN(BE391)-LEN(SUBSTITUTE(BE391," "&amp;L_Pending&amp;" "," ")))/(LEN(L_Pending)+1))&gt;SUMPRODUCT((LEN(BE391)-LEN(SUBSTITUTE(BE391," "&amp;L_PendNeg&amp;" "," ")))/(LEN(L_PendNeg)+1))+SUMPRODUCT((LEN(BE391)-LEN(SUBSTITUTE(BE391," "&amp;L_PendPrep&amp;" "," ")))/(LEN(L_PendPrep)+1)),1,0),1)</f>
        <v>0</v>
      </c>
      <c r="BK391" s="61" t="n">
        <f aca="false">IFERROR(IF(SUMPRODUCT((LEN(BF391)-LEN(SUBSTITUTE(BF391," "&amp;L_PendStrict&amp;" "," ")))/(LEN(L_PendStrict)+1))&gt;SUMPRODUCT((LEN(BF391)-LEN(SUBSTITUTE(BF391," "&amp;L_PendNeg&amp;" "," ")))/(LEN(L_PendNeg)+1)),1,0),1)</f>
        <v>0</v>
      </c>
      <c r="BL391" s="61" t="n">
        <f aca="false">IF(ISNA(MATCH(TRIM(S391),L_EvidenceType,0)),0,BZ391)</f>
        <v>0</v>
      </c>
      <c r="BM391" s="61" t="str">
        <f aca="false">SUBSTITUTE(SUBSTITUTE(SUBSTITUTE(SUBSTITUTE(SUBSTITUTE(SUBSTITUTE(SUBSTITUTE(SUBSTITUTE(SUBSTITUTE(LOWER(Z391&amp;""),"1","0"),"2","0"),"3","0"),"4","0"),"5","0"),"6","0"),"7","0"),"8","0"),"9","0")</f>
        <v/>
      </c>
      <c r="BN391" s="61" t="str">
        <f aca="false">SUBSTITUTE(SUBSTITUTE(SUBSTITUTE(SUBSTITUTE(SUBSTITUTE(SUBSTITUTE(SUBSTITUTE(SUBSTITUTE(SUBSTITUTE(SUBSTITUTE(SUBSTITUTE(SUBSTITUTE(SUBSTITUTE(SUBSTITUTE(SUBSTITUTE(SUBSTITUTE(SUBSTITUTE(SUBSTITUTE(SUBSTITUTE(SUBSTITUTE(SUBSTITUTE(SUBSTITUTE(SUBSTITUTE(SUBSTITUTE(SUBSTITUTE(BM391,"b","a"),"c","a"),"d","a"),"e","a"),"f","a"),"g","a"),"h","a"),"i","a"),"j","a"),"k","a"),"l","a"),"m","a"),"n","a"),"o","a"),"p","a"),"q","a"),"r","a"),"s","a"),"t","a"),"u","a"),"v","a"),"w","a"),"x","a"),"y","a"),"z","a")</f>
        <v/>
      </c>
      <c r="BO391" s="61" t="str">
        <f aca="false">SUBSTITUTE(SUBSTITUTE(SUBSTITUTE(SUBSTITUTE(SUBSTITUTE(SUBSTITUTE(SUBSTITUTE(SUBSTITUTE(SUBSTITUTE(LOWER(W391&amp;""),"1","0"),"2","0"),"3","0"),"4","0"),"5","0"),"6","0"),"7","0"),"8","0"),"9","0")</f>
        <v/>
      </c>
      <c r="BP391" s="61" t="str">
        <f aca="false">SUBSTITUTE(SUBSTITUTE(SUBSTITUTE(SUBSTITUTE(SUBSTITUTE(SUBSTITUTE(SUBSTITUTE(SUBSTITUTE(SUBSTITUTE(SUBSTITUTE(SUBSTITUTE(SUBSTITUTE(SUBSTITUTE(SUBSTITUTE(SUBSTITUTE(SUBSTITUTE(SUBSTITUTE(SUBSTITUTE(SUBSTITUTE(SUBSTITUTE(SUBSTITUTE(SUBSTITUTE(SUBSTITUTE(SUBSTITUTE(SUBSTITUTE(BO391,"b","a"),"c","a"),"d","a"),"e","a"),"f","a"),"g","a"),"h","a"),"i","a"),"j","a"),"k","a"),"l","a"),"m","a"),"n","a"),"o","a"),"p","a"),"q","a"),"r","a"),"s","a"),"t","a"),"u","a"),"v","a"),"w","a"),"x","a"),"y","a"),"z","a")</f>
        <v/>
      </c>
      <c r="BQ391" s="61" t="n">
        <f aca="false">IFERROR(IF(AND(ISERROR(SEARCH(" mh"," "&amp;LOWER(W391))),ISNA(MATCH(LEFT(TRIM(BP391),255),{"0000a","000a","00a","0000aa","000aa","00aa","0aa","0000aaa","000aaa","00a00","0a00","0000-0000","00:00","a00","a0","00.00.0000","00/00/0000","00-00-0000","0000-00-00","0000/00/00","0000.00.00","00.00.00","00/00/00","00-00-00","0.00.0000","0/00/0000","0-00-0000"},0)),ISNA(MATCH(LEFT(TRIM(CA391),255),{"0000a","000a","00a","0000aa","000aa","00aa","0aa","0000aaa","000aaa","00a00","0a00","0000-0000","00:00","a00","a0","00.00.0000","00/00/0000","00-00-0000","0000-00-00","0000/00/00","0000.00.00","00.00.00","00/00/00","00-00-00","0.00.0000","0/00/0000","0-00-0000"},0)),LEN(CB391)&gt;=3,NOT(OR(SUBSTITUTE(CB391,"0","")="",AND(LEN(CB391)&gt;=4,CB391=REPT(LEFT(CB391),LEN(CB391))),ISNUMBER(MATCH(CB391,{"123","1234","12345","123456","1234567","12345678","0123","01234","012345","98765","987654","54321"},0)),AND(LEN(CB391)=8,LEFT(CB391,3)="202"))),OR(AND((LEN(CA391)-LEN(SUBSTITUTE(CA391,"a","")))&gt;=1,SUMPRODUCT(--ISNUMBER(SEARCH({"a0","a-0","a_0","a/0","a.0","a#0","0a","0-a","0_a","0/a"},BP391)))&gt;0),ISNUMBER(SEARCH("000000",BP391)))),1,0),0)</f>
        <v>0</v>
      </c>
      <c r="BR391" s="61" t="n">
        <f aca="false">IFERROR(LEN(SUBSTITUTE(CC391," ",""))-SUMPRODUCT((LEN(CC391)-LEN(SUBSTITUTE(CC391," "&amp;L_Role&amp;" "," ")))/(LEN(L_Role)+1)*LEN(L_Role)),0)</f>
        <v>0</v>
      </c>
      <c r="BS391" s="61" t="n">
        <f aca="false">IFERROR(LEN(SUBSTITUTE(CD391," ",""))-SUMPRODUCT((LEN(CD391)-LEN(SUBSTITUTE(CD391," "&amp;L_Role&amp;" "," ")))/(LEN(L_Role)+1)*LEN(L_Role)),0)</f>
        <v>0</v>
      </c>
      <c r="BT3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391,"revision",""),"version",""),"jan",""),"feb",""),"mar",""),"apr",""),"may",""),"jun",""),"jul",""),"aug",""),"sep",""),"oct",""),"nov",""),"dec",""),"utc",""),"gmt",""),"myt",""),"bst",""),"rev",""),"ver",""),"b","a"),"c","a"),"d","a"),"e","a"),"f","a"),"g","a"),"h","a"),"i","a"),"j","a"),"k","a"),"l","a"),"m","a"),"n","a"),"o","a"),"p","a"),"q","a"),"r","a"),"s","a"),"t","a"),"u","a"),"v","a"),"w","a"),"x","a"),"y","a"),"z","a")</f>
        <v/>
      </c>
      <c r="BU391" s="61" t="str">
        <f aca="false">SUBSTITUTE(SUBSTITUTE(SUBSTITUTE(SUBSTITUTE(SUBSTITUTE(SUBSTITUTE(SUBSTITUTE(SUBSTITUTE(SUBSTITUTE(SUBSTITUTE(LEFT(BM391,FIND("0",BM391&amp;"0")-1),"-",""),"_",""),"/",""),".",""),"#",""),"\\",""),":","")," ",""),"(",""),")","")</f>
        <v/>
      </c>
      <c r="BV391" s="61" t="n">
        <f aca="false">0</f>
        <v>0</v>
      </c>
      <c r="BW3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391&amp;""),"a",""),"b",""),"c",""),"d",""),"e",""),"f",""),"g",""),"h",""),"i",""),"j",""),"k",""),"l",""),"m",""),"n",""),"o",""),"p",""),"q",""),"r",""),"s",""),"t",""),"u",""),"v",""),"w",""),"x",""),"y",""),"z",""),"-",""),"_",""),"/",""),".",""),"#",""),"\\",""),":","")," ",""),"(",""),")","")</f>
        <v/>
      </c>
      <c r="BX391" s="61" t="str">
        <f aca="false">SUBSTITUTE(SUBSTITUTE(SUBSTITUTE(SUBSTITUTE(SUBSTITUTE(SUBSTITUTE(SUBSTITUTE(SUBSTITUTE(SUBSTITUTE(SUBSTITUTE(SUBSTITUTE(BM391,"0",""),"-",""),"_",""),"/",""),".",""),"#",""),"\\",""),":","")," ",""),"(",""),")","")</f>
        <v/>
      </c>
      <c r="BY391" s="62" t="n">
        <f aca="false">Q391-T12EarlyH/24</f>
        <v>46306.6006944444</v>
      </c>
      <c r="BZ391" s="61" t="n">
        <f aca="false">IFERROR(IF(IF(TRIM(S391)="Link / file path",AND(LEN(TRIM(Z391))&gt;=5,SUMPRODUCT(--ISNUMBER(SEARCH({"http","www.","\\",":\",".pdf",".jpg",".jpeg",".png",".heic",".xls",".doc",".msg",".eml",".ppt",".txt",".zip"},Z391)))&gt;0),AND(ISERROR(FIND(" ",TRIM(Z391))),NOT(OR(SUMPRODUCT(--ISNUMBER(FIND({",",";","&amp;","+"},Z391)))&gt;0,SUMPRODUCT(--ISNUMBER(SEARCH({"0/aa","0\\aa"},BN391)))&gt;0)),NOT(SUMPRODUCT(--ISNUMBER(SEARCH({"http","www.","\\",":\",".pdf",".jpg",".jpeg",".png",".heic",".xls",".doc",".msg",".eml",".ppt",".txt",".zip"},Z391)))&gt;0),NOT(LOWER(TRIM(Z391))=LOWER(Flights!$F$16)),ISNA(MATCH(BU391,{"mh","rev","revision","ver","version","v","r","a","b","seat","tray","row","gate","bay","stand","page","pg","item","line","no","cart","galley","flight","flt","table","box","bag","oven","etd","eta","std","sta","atd","ata","qty","pax","x","time","tel","ph","mob","day","wk","week","utc","gmt","myt","lt"},0)),NOT(OR(ISNUMBER(MATCH(LEFT(BN391,255),{"0000a","000a","00a","0000aa","000aa","00aa","0aa","0000aaa","000aaa","00a00","0a00","0000-0000","00:00","a00","a0","00.00.0000","00/00/0000","00-00-0000","0000-00-00","0000/00/00","0000.00.00","00.00.00","00/00/00","00-00-00","0.00.0000","0/00/0000","0-00-0000"},0)),ISNUMBER(MATCH(LEFT(BT391,255),{"0000a","000a","00a","0000aa","000aa","00aa","0aa","0000aaa","000aaa","00a00","0a00","0000-0000","00:00","a00","a0","00.00.0000","00/00/0000","00-00-0000","0000-00-00","0000/00/00","0000.00.00","00.00.00","00/00/00","00-00-00","0.00.0000","0/00/0000","0-00-0000"},0)))),NOT(OR(AND(BW391&lt;&gt;"",SUBSTITUTE(BW391,"0","")=""),AND(LEN(BW391)&gt;=4,BW391=REPT(LEFT(BW391),LEN(BW391))),ISNUMBER(MATCH(BW391,{"123","1234","12345","123456","1234567","12345678","0123","01234","012345","98765","987654","54321"},0)),ISNUMBER(MATCH(BX391,{"x","xx","xxx","xxxx","xxxxx","abc","abcd","nil","na","nan","test","tbc","tba","tbd","dummy","sample","example","eg","zz","zzz","none","null","xyz","qwe","asd","id","ref"},0)),AND(LEN(BW391)=8,BX391="",OR(LEFT(BW391,3)="202",ISNUMBER(MATCH(RIGHT(BW391,4),{"2025","2026","2027"},0)))))),OR(AND((LEN(BT391)-LEN(SUBSTITUTE(BT391,"a","")))&gt;=1,(LEN(BN391)-LEN(SUBSTITUTE(BN391,"0","")))&gt;=2,SUMPRODUCT(--ISNUMBER(SEARCH({"a0","a-0","a_0","a/0","a.0","a#0","0a","0-a","0_a","0/a"},BN391)))&gt;0),AND((LEN(BN391)-LEN(SUBSTITUTE(BN391,"a","")))=0,(LEN(BN391)-LEN(SUBSTITUTE(BN391,"0","")))&gt;=5)))),1,0),0)</f>
        <v>0</v>
      </c>
      <c r="CA3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391,"revision",""),"version",""),"jan",""),"feb",""),"mar",""),"apr",""),"may",""),"jun",""),"jul",""),"aug",""),"sep",""),"oct",""),"nov",""),"dec",""),"utc",""),"gmt",""),"myt",""),"bst",""),"rev",""),"ver",""),"b","a"),"c","a"),"d","a"),"e","a"),"f","a"),"g","a"),"h","a"),"i","a"),"j","a"),"k","a"),"l","a"),"m","a"),"n","a"),"o","a"),"p","a"),"q","a"),"r","a"),"s","a"),"t","a"),"u","a"),"v","a"),"w","a"),"x","a"),"y","a"),"z","a")</f>
        <v/>
      </c>
      <c r="CB3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391&amp;""),"a",""),"b",""),"c",""),"d",""),"e",""),"f",""),"g",""),"h",""),"i",""),"j",""),"k",""),"l",""),"m",""),"n",""),"o",""),"p",""),"q",""),"r",""),"s",""),"t",""),"u",""),"v",""),"w",""),"x",""),"y",""),"z",""),"-",""),"_",""),"/",""),".",""),"#",""),"\\",""),":","")," ",""),"(",""),")","")</f>
        <v/>
      </c>
      <c r="CC391" s="0" t="str">
        <f aca="false">" "&amp;TRIM(SUBSTITUTE(SUBSTITUTE(SUBSTITUTE(SUBSTITUTE(SUBSTITUTE(SUBSTITUTE(SUBSTITUTE(SUBSTITUTE(SUBSTITUTE(SUBSTITUTE(SUBSTITUTE(SUBSTITUTE(SUBSTITUTE(SUBSTITUTE(SUBSTITUTE(SUBSTITUTE(SUBSTITUTE(SUBSTITUTE(SUBSTITUTE(SUBSTITUTE(SUBSTITUTE(SUBSTITUTE(SUBSTITUTE(SUBSTITUTE(LOWER(T391&amp;""),CHAR(10)," "),CHAR(13)," "),CHAR(9)," "),CHAR(160)," "),"."," "),","," "),"-"," "),"/"," "),"("," "),")"," "),":"," "),";"," "),"_"," "),"–"," "),"?"," "),"!"," "),"*"," "),"["," "),"]"," "),"'"," "),"#"," "),"+"," "),"&amp;"," "),"\"," "))&amp;" "</f>
        <v>  </v>
      </c>
      <c r="CD391" s="0" t="str">
        <f aca="false">" "&amp;TRIM(SUBSTITUTE(SUBSTITUTE(SUBSTITUTE(SUBSTITUTE(SUBSTITUTE(SUBSTITUTE(SUBSTITUTE(SUBSTITUTE(SUBSTITUTE(SUBSTITUTE(SUBSTITUTE(SUBSTITUTE(SUBSTITUTE(SUBSTITUTE(SUBSTITUTE(SUBSTITUTE(SUBSTITUTE(SUBSTITUTE(SUBSTITUTE(SUBSTITUTE(SUBSTITUTE(SUBSTITUTE(SUBSTITUTE(SUBSTITUTE(LOWER(AE391&amp;""),CHAR(10)," "),CHAR(13)," "),CHAR(9)," "),CHAR(160)," "),"."," "),","," "),"-"," "),"/"," "),"("," "),")"," "),":"," "),";"," "),"_"," "),"–"," "),"?"," "),"!"," "),"*"," "),"["," "),"]"," "),"'"," "),"#"," "),"+"," "),"&amp;"," "),"\"," "))&amp;" "</f>
        <v>  </v>
      </c>
      <c r="CE391" s="68" t="n">
        <f aca="false">IFERROR(IF(AND(LEN(AU391)&gt;0,LEN(AU391)=LEN(AX391),OR(TRIM(MID(SUBSTITUTE(TRIM(CC391)," ",REPT(" ",60)),1,60))="",ISNUMBER(SEARCH(" "&amp;TRIM(MID(SUBSTITUTE(TRIM(CC391)," ",REPT(" ",60)),1,60))&amp;" ",CD391))),OR(TRIM(MID(SUBSTITUTE(TRIM(CC391)," ",REPT(" ",60)),61,60))="",ISNUMBER(SEARCH(" "&amp;TRIM(MID(SUBSTITUTE(TRIM(CC391)," ",REPT(" ",60)),61,60))&amp;" ",CD391))),OR(TRIM(MID(SUBSTITUTE(TRIM(CC391)," ",REPT(" ",60)),121,60))="",ISNUMBER(SEARCH(" "&amp;TRIM(MID(SUBSTITUTE(TRIM(CC391)," ",REPT(" ",60)),121,60))&amp;" ",CD391)))),1,0),0)</f>
        <v>0</v>
      </c>
      <c r="CG391" s="68" t="n">
        <f aca="false">IFERROR(LEN(SUBSTITUTE(BF391," ",""))-SUMPRODUCT((LEN(BF391)-LEN(SUBSTITUTE(BF391," "&amp;L_NAFiller&amp;" "," ")))/(LEN(L_NAFiller)+1)*LEN(L_NAFiller)),0)</f>
        <v>0</v>
      </c>
    </row>
    <row r="392" customFormat="false" ht="39.75" hidden="false" customHeight="true" outlineLevel="0" collapsed="false">
      <c r="A392" s="57" t="s">
        <v>1007</v>
      </c>
      <c r="B392" s="57" t="s">
        <v>261</v>
      </c>
      <c r="C392" s="57" t="str">
        <f aca="false">Flights!$F$16</f>
        <v>MH0139</v>
      </c>
      <c r="D392" s="58" t="n">
        <f aca="false">Flights!$D$16</f>
        <v>46307</v>
      </c>
      <c r="E392" s="57" t="str">
        <f aca="false">Flights!$G$16&amp;"-"&amp;Flights!$H$16</f>
        <v>KUL-ADL</v>
      </c>
      <c r="F392" s="57" t="str">
        <f aca="false">Flights!$K$16</f>
        <v>BC</v>
      </c>
      <c r="G392" s="57" t="s">
        <v>420</v>
      </c>
      <c r="H392" s="57" t="s">
        <v>378</v>
      </c>
      <c r="I392" s="57" t="s">
        <v>428</v>
      </c>
      <c r="J392" s="57" t="s">
        <v>429</v>
      </c>
      <c r="K392" s="67"/>
      <c r="L392" s="67" t="s">
        <v>422</v>
      </c>
      <c r="M392" s="67"/>
      <c r="N392" s="67" t="s">
        <v>383</v>
      </c>
      <c r="O392" s="67" t="s">
        <v>423</v>
      </c>
      <c r="P392" s="57" t="s">
        <v>187</v>
      </c>
      <c r="Q392" s="59" t="n">
        <f aca="false">ROUND((Flights!$AE$16)*1440,0)/1440</f>
        <v>46307.1006944444</v>
      </c>
      <c r="R392" s="59" t="n">
        <f aca="false">Q392+(IF(AND(INDEX(TZ_DSTS,MATCH(P392,TZ_STN,0))&lt;&gt;"",Q392&gt;=INDEX(TZ_DSTS,MATCH(P392,TZ_STN,0)),Q392&lt;INDEX(TZ_DSTE,MATCH(P392,TZ_STN,0))),INDEX(TZ_DST,MATCH(P392,TZ_STN,0)),INDEX(TZ_STD,MATCH(P392,TZ_STN,0))))/24</f>
        <v>46307.4340277778</v>
      </c>
      <c r="S392" s="60"/>
      <c r="T392" s="60"/>
      <c r="U392" s="60"/>
      <c r="V392" s="60"/>
      <c r="W392" s="61"/>
      <c r="X392" s="60"/>
      <c r="Y392" s="60"/>
      <c r="Z392" s="60"/>
      <c r="AA392" s="60"/>
      <c r="AB392" s="60"/>
      <c r="AC392" s="60"/>
      <c r="AD392" s="66"/>
      <c r="AE392" s="60"/>
      <c r="AF392" s="61" t="str">
        <f aca="false">IF(AND(ISNUMBER(X392),ISNUMBER(Y392)),Y392-X392,"")</f>
        <v/>
      </c>
      <c r="AG392" s="62" t="str">
        <f aca="false">IF(ISNUMBER(AD392),AD392-(IF(AND(INDEX(TZ_DSTS,MATCH(P392,TZ_STN,0))&lt;&gt;"",(AD392-INDEX(TZ_STD,MATCH(P392,TZ_STN,0))/24)&gt;=INDEX(TZ_DSTS,MATCH(P392,TZ_STN,0)),(AD392-INDEX(TZ_STD,MATCH(P392,TZ_STN,0))/24)&lt;INDEX(TZ_DSTE,MATCH(P392,TZ_STN,0))),INDEX(TZ_DST,MATCH(P392,TZ_STN,0)),INDEX(TZ_STD,MATCH(P392,TZ_STN,0))))/24,"")</f>
        <v/>
      </c>
      <c r="AH392" s="65" t="str">
        <f aca="false">IFERROR(IF(N392="N/A – rule",IF(OR(TRIM(U392)="",TRIM(U392)="N/A",TRIM(U392)="Not started"),"N/A – RULE","INVALID – this check does not apply to this aircraft: clear the status (or correct the fleet on Flights)"),IF(TRIM(U392)="N/A",IF(AT392=0,"INVALID – N/A not permitted for this check",IF(AND(TRIM(AB392)&lt;&gt;"",TRIM(AB392)&lt;&gt;"Closed"),"INVALID – corrective action still open",IF(AND(NOT(OR(LEN(AZ392)&lt;15,ISNUMBER(MATCH(AZ392,L_Placeholder,0)))),BK392=0,CG392&gt;=8,NOT(OR(LEN(AU392)&lt;2,ISNUMBER(MATCH(AU392,L_Placeholder,0)))),BR392&gt;=3,NOT(OR(LEN(AX392)&lt;2,ISNUMBER(MATCH(AX392,L_Placeholder,0)))),BS392&gt;=3,TRIM(AE392)&lt;&gt;TRIM(T392),AX392&lt;&gt;AU392,CE392=0),"N/A – JUSTIFIED","INVALID – N/A needs a real, settled reason (not 'not applicable' / 'as above' / TBC), a named PIC and a different named verifier"))),IF(OR(TRIM(U392)="Pass",TRIM(U392)="Pass after CA"),IF(NOT(ISNUMBER(AD392)),"INVALID – completion time missing",IF(OR(OR(LEN(AU392)&lt;2,ISNUMBER(MATCH(AU392,L_Placeholder,0))),BR392&lt;3),"INVALID – PIC missing or not a named person (a role such as QA / CSM is not a name)",IF(OR(LEN(AV392)&lt;2,ISNUMBER(MATCH(AV392,L_Placeholder,0))),"INVALID – result / assessment missing",IF(OR(OR(LEN(AW392)&lt;3,ISNUMBER(MATCH(AW392,L_Placeholder,0))),SUMPRODUCT(--ISNUMBER(SEARCH(" "&amp;L_EvidencePhrase&amp;" ",BD392)))&gt;0,BI392=1),"INVALID – evidence missing, placeholder or not yet on file",IF(ISNA(MATCH(TRIM(S392),L_EvidenceType,0)),"INVALID – choose the evidence type from the list (column S)",IF(BL392=0,"INVALID – evidence ID must be the record's own ID only (e.g. SF-2210, IMG_2231, 1045521); a link / file name needs type 'Link / file path'",IF(OR(OR(LEN(AX392)&lt;2,ISNUMBER(MATCH(AX392,L_Placeholder,0))),BS392&lt;3),"INVALID – verifier missing or not a named person (a role such as QA / CSM is not a name)",IF(OR(AX392=AU392,CE392=1,AND(LEN(AU392)&gt;=4,ISNUMBER(SEARCH(AU392,AX392))),AND(LEN(AX392)&gt;=4,ISNUMBER(SEARCH(AX392,AU392)))),"INVALID – verifier must be a different, named person (not the PIC or a role)",IF(BH392=1,"INVALID – result not yet available (awaiting / TBC)",IF(BG392=1,"INVALID – result describes a problem: record Fail, then Pass after CA (or reword if it is not a problem)",IF(BV392=1,"INVALID – wording says not on board: an on-board confirmation needs the item loaded",IF(AND(AQ392=1,OR(OR(LEN(AY392)&lt;3,ISNUMBER(MATCH(AY392,L_Placeholder,0))),BJ392=1,BQ392=0)),"INVALID – batch ID missing, placeholder or not an ID (e.g. PASB-261008-BC-017)",IF(AND(AR392=1,OR(NOT(ISNUMBER(X392)),NOT(ISNUMBER(Y392)))),"INVALID – expected/actual qty missing",IF(AND(AR392=1,OR(X392&lt;=0,Y392&lt;0)),"INVALID – expected qty must be above 0 and actual not negative",IF(BB392&lt;&gt;"",BB392,IF(AND(AS392=1,Documents!$J$16&lt;&gt;"ON FILE"),"INVALID – GLD not on file (Documents sheet)",IF(AND(AS392=2,Documents!$O$16&lt;&gt;"ON FILE"),"INVALID – menu checklist not on file (Documents sheet)",IF(AND(AS392=3,NOT(ISNUMBER(Flights!$AX$16))),"INVALID – enter carrying flight KUL departure (Flights AX)",IF(AND(AS392=3,OR(Flights!$AZ$16&gt;Flights!$AA$16,Flights!$AX$16&lt;Flights!$AA$16-3)),"INVALID – carrying flight (Flights AX) cannot arrive before this leg's STD, or is over 3 days early",IF(AG392&gt;AsOfUTC,"INVALID – completion time is in the future",IF(AND(ISNUMBER(BY392),AG392&lt;BY392),IF(H392="Physical uplift","INVALID – before uplift window (cannot confirm loading)","INVALID – before valid window"),IF(AG392&gt;Flights!$AA$16,"INVALID – completed after departure (cannot establish readiness)",IF(AND(H392="Preparation",AG392&gt;=IF(ISNUMBER(Flights!$BA$16),MIN(Flights!$BA$16,Flights!$AA$16),Flights!$AA$16)),"INVALID – completed after loading / departure (cannot establish readiness)",IF(AND(H392="Physical uplift",AG392&gt;Q392),"INVALID – recorded after the loading flight departed",IF(AG392&gt;Q392,"COMPLETE – LATE","COMPLETE"))))))))))))))))))))))))),IF(TRIM(U392)="Fail","FAIL – DISCREPANCY",IF(AND(TRIM(U392)&lt;&gt;"",TRIM(U392)&lt;&gt;"Not started",TRIM(U392)&lt;&gt;"In progress"),"INVALID – unrecognised status (use the list)",IF(AsOfUTC&gt;Q392,"OVERDUE",IF(N392="Clarification required","OPEN – CLARIFICATION","OPEN"))))))),"INVALID – error value in an input cell")</f>
        <v>OPEN</v>
      </c>
      <c r="AI392" s="61" t="n">
        <f aca="false">IF(OR(AH392="N/A – RULE",AH392="N/A – JUSTIFIED"),0,1)</f>
        <v>1</v>
      </c>
      <c r="AJ392" s="61" t="n">
        <f aca="false">IF(LEFT(AH392,8)="COMPLETE",1,0)</f>
        <v>0</v>
      </c>
      <c r="AK392" s="61" t="n">
        <f aca="false">IF(AND(AI392=1,AJ392=0,AsOfUTC&gt;Q392),1,0)</f>
        <v>0</v>
      </c>
      <c r="AL392" s="61" t="n">
        <f aca="false">IFERROR(IF(AND(AI392=1,OR(TRIM(U392)="Fail",AND(TRIM(AB392)&lt;&gt;"",TRIM(AB392)&lt;&gt;"Closed"),AND(ISNUMBER(AF392),AF392&lt;&gt;0,TRIM(U392)&lt;&gt;"Pass after CA"))),1,0),1)</f>
        <v>0</v>
      </c>
      <c r="AM392" s="61" t="n">
        <f aca="false">IF(LEFT(AH392,7)="INVALID",1,0)</f>
        <v>0</v>
      </c>
      <c r="AN392" s="61" t="n">
        <f aca="false">IF(AND(N392="Clarification required",AI392=1,AJ392=0),1,0)</f>
        <v>0</v>
      </c>
      <c r="AO392" s="61" t="str">
        <f aca="false">IF(AK392=1,SUM(AK$5:AK392),"")</f>
        <v/>
      </c>
      <c r="AP392" s="61" t="str">
        <f aca="false">IF(AL392=1,SUM(AL$5:AL392),"")</f>
        <v/>
      </c>
      <c r="AQ392" s="61" t="n">
        <v>0</v>
      </c>
      <c r="AR392" s="61" t="n">
        <v>0</v>
      </c>
      <c r="AS392" s="61" t="n">
        <v>0</v>
      </c>
      <c r="AT392" s="61" t="n">
        <v>0</v>
      </c>
      <c r="AU392" s="61" t="str">
        <f aca="false">SUBSTITUTE(SUBSTITUTE(SUBSTITUTE(SUBSTITUTE(SUBSTITUTE(SUBSTITUTE(SUBSTITUTE(SUBSTITUTE(SUBSTITUTE(SUBSTITUTE(SUBSTITUTE(SUBSTITUTE(SUBSTITUTE(SUBSTITUTE(SUBSTITUTE(SUBSTITUTE(LOWER(T392&amp;""),CHAR(10),""),CHAR(13),""),CHAR(9),""),CHAR(160),"")," ",""),".",""),"-",""),"/",""),"?",""),"_",""),",",""),"[",""),"]",""),"(",""),")",""),"*","")</f>
        <v/>
      </c>
      <c r="AV392" s="61" t="str">
        <f aca="false">SUBSTITUTE(SUBSTITUTE(SUBSTITUTE(SUBSTITUTE(SUBSTITUTE(SUBSTITUTE(SUBSTITUTE(SUBSTITUTE(SUBSTITUTE(SUBSTITUTE(SUBSTITUTE(SUBSTITUTE(SUBSTITUTE(SUBSTITUTE(SUBSTITUTE(SUBSTITUTE(LOWER(V392&amp;""),CHAR(10),""),CHAR(13),""),CHAR(9),""),CHAR(160),"")," ",""),".",""),"-",""),"/",""),"?",""),"_",""),",",""),"[",""),"]",""),"(",""),")",""),"*","")</f>
        <v/>
      </c>
      <c r="AW392" s="61" t="str">
        <f aca="false">SUBSTITUTE(SUBSTITUTE(SUBSTITUTE(SUBSTITUTE(SUBSTITUTE(SUBSTITUTE(SUBSTITUTE(SUBSTITUTE(SUBSTITUTE(SUBSTITUTE(SUBSTITUTE(SUBSTITUTE(SUBSTITUTE(SUBSTITUTE(SUBSTITUTE(SUBSTITUTE(LOWER(Z392&amp;""),CHAR(10),""),CHAR(13),""),CHAR(9),""),CHAR(160),"")," ",""),".",""),"-",""),"/",""),"?",""),"_",""),",",""),"[",""),"]",""),"(",""),")",""),"*","")</f>
        <v/>
      </c>
      <c r="AX392" s="61" t="str">
        <f aca="false">SUBSTITUTE(SUBSTITUTE(SUBSTITUTE(SUBSTITUTE(SUBSTITUTE(SUBSTITUTE(SUBSTITUTE(SUBSTITUTE(SUBSTITUTE(SUBSTITUTE(SUBSTITUTE(SUBSTITUTE(SUBSTITUTE(SUBSTITUTE(SUBSTITUTE(SUBSTITUTE(LOWER(AE392&amp;""),CHAR(10),""),CHAR(13),""),CHAR(9),""),CHAR(160),"")," ",""),".",""),"-",""),"/",""),"?",""),"_",""),",",""),"[",""),"]",""),"(",""),")",""),"*","")</f>
        <v/>
      </c>
      <c r="AY392" s="61" t="str">
        <f aca="false">SUBSTITUTE(SUBSTITUTE(SUBSTITUTE(SUBSTITUTE(SUBSTITUTE(SUBSTITUTE(SUBSTITUTE(SUBSTITUTE(SUBSTITUTE(SUBSTITUTE(SUBSTITUTE(SUBSTITUTE(SUBSTITUTE(SUBSTITUTE(SUBSTITUTE(SUBSTITUTE(LOWER(W392&amp;""),CHAR(10),""),CHAR(13),""),CHAR(9),""),CHAR(160),"")," ",""),".",""),"-",""),"/",""),"?",""),"_",""),",",""),"[",""),"]",""),"(",""),")",""),"*","")</f>
        <v/>
      </c>
      <c r="AZ392" s="61" t="str">
        <f aca="false">SUBSTITUTE(SUBSTITUTE(SUBSTITUTE(SUBSTITUTE(SUBSTITUTE(SUBSTITUTE(SUBSTITUTE(SUBSTITUTE(SUBSTITUTE(SUBSTITUTE(SUBSTITUTE(SUBSTITUTE(SUBSTITUTE(SUBSTITUTE(SUBSTITUTE(SUBSTITUTE(LOWER(AC392&amp;""),CHAR(10),""),CHAR(13),""),CHAR(9),""),CHAR(160),"")," ",""),".",""),"-",""),"/",""),"?",""),"_",""),",",""),"[",""),"]",""),"(",""),")",""),"*","")</f>
        <v/>
      </c>
      <c r="BA392" s="61" t="str">
        <f aca="false">SUBSTITUTE(SUBSTITUTE(SUBSTITUTE(SUBSTITUTE(SUBSTITUTE(SUBSTITUTE(SUBSTITUTE(SUBSTITUTE(SUBSTITUTE(SUBSTITUTE(SUBSTITUTE(SUBSTITUTE(SUBSTITUTE(SUBSTITUTE(SUBSTITUTE(SUBSTITUTE(LOWER(AA392&amp;""),CHAR(10),""),CHAR(13),""),CHAR(9),""),CHAR(160),"")," ",""),".",""),"-",""),"/",""),"?",""),"_",""),",",""),"[",""),"]",""),"(",""),")",""),"*","")</f>
        <v/>
      </c>
      <c r="BB392" s="61" t="str">
        <f aca="false">IF(AND(TRIM(U392)="Pass",ISNUMBER(AF392)),IF(AF392&lt;&gt;0,"INVALID – qty variance: use Fail or Pass after CA",""),"")&amp;IF(AND(TRIM(U392)="Pass after CA",ISNUMBER(AF392)),IF(AF392&lt;&gt;0,"INVALID – after the corrective action the actual qty must equal expected (update Actual)",""),"")&amp;IF(AND(TRIM(U392)="Pass",TRIM(AB392)&lt;&gt;"",TRIM(AB392)&lt;&gt;"Closed"),"INVALID – corrective action not closed: use Fail, then Pass after CA","")&amp;IF(AND(LEN(BA392)&gt;=2,ISNA(MATCH(LEFT(BA392,255),L_Placeholder,0)),TRIM(AB392)=""),"INVALID – CA status missing for the recorded corrective action","")&amp;IF(AND(TRIM(U392)="Pass after CA",OR(OR(LEN(BA392)&lt;5,ISNUMBER(MATCH(BA392,L_Placeholder,0))),TRIM(AB392)&lt;&gt;"Closed")),"INVALID – corrective action not recorded/closed","")</f>
        <v/>
      </c>
      <c r="BC392" s="61" t="str">
        <f aca="false">" "&amp;TRIM(SUBSTITUTE(SUBSTITUTE(SUBSTITUTE(SUBSTITUTE(SUBSTITUTE(SUBSTITUTE(SUBSTITUTE(SUBSTITUTE(SUBSTITUTE(SUBSTITUTE(SUBSTITUTE(SUBSTITUTE(SUBSTITUTE(SUBSTITUTE(SUBSTITUTE(SUBSTITUTE(SUBSTITUTE(SUBSTITUTE(SUBSTITUTE(SUBSTITUTE(SUBSTITUTE(SUBSTITUTE(SUBSTITUTE(SUBSTITUTE(LOWER(V392&amp;""),CHAR(10)," "),CHAR(13)," "),CHAR(9)," "),CHAR(160)," "),"."," "),","," "),"-"," "),"/"," "),"("," "),")"," "),":"," "),";"," "),"_"," "),"–"," "),"?"," "),"!"," "),"*"," "),"["," "),"]"," "),"'"," "),"#"," "),"+"," "),"&amp;"," "),"\"," "))&amp;" "</f>
        <v>  </v>
      </c>
      <c r="BD392" s="61" t="str">
        <f aca="false">" "&amp;TRIM(SUBSTITUTE(SUBSTITUTE(SUBSTITUTE(SUBSTITUTE(SUBSTITUTE(SUBSTITUTE(SUBSTITUTE(SUBSTITUTE(SUBSTITUTE(SUBSTITUTE(SUBSTITUTE(SUBSTITUTE(SUBSTITUTE(SUBSTITUTE(SUBSTITUTE(SUBSTITUTE(SUBSTITUTE(SUBSTITUTE(SUBSTITUTE(SUBSTITUTE(SUBSTITUTE(SUBSTITUTE(SUBSTITUTE(SUBSTITUTE(LOWER(Z392&amp;""),CHAR(10)," "),CHAR(13)," "),CHAR(9)," "),CHAR(160)," "),"."," "),","," "),"-"," "),"/"," "),"("," "),")"," "),":"," "),";"," "),"_"," "),"–"," "),"?"," "),"!"," "),"*"," "),"["," "),"]"," "),"'"," "),"#"," "),"+"," "),"&amp;"," "),"\"," "))&amp;" "</f>
        <v>  </v>
      </c>
      <c r="BE392" s="61" t="str">
        <f aca="false">" "&amp;TRIM(SUBSTITUTE(SUBSTITUTE(SUBSTITUTE(SUBSTITUTE(SUBSTITUTE(SUBSTITUTE(SUBSTITUTE(SUBSTITUTE(SUBSTITUTE(SUBSTITUTE(SUBSTITUTE(SUBSTITUTE(SUBSTITUTE(SUBSTITUTE(SUBSTITUTE(SUBSTITUTE(SUBSTITUTE(SUBSTITUTE(SUBSTITUTE(SUBSTITUTE(SUBSTITUTE(SUBSTITUTE(SUBSTITUTE(SUBSTITUTE(LOWER(W392&amp;""),CHAR(10)," "),CHAR(13)," "),CHAR(9)," "),CHAR(160)," "),"."," "),","," "),"-"," "),"/"," "),"("," "),")"," "),":"," "),";"," "),"_"," "),"–"," "),"?"," "),"!"," "),"*"," "),"["," "),"]"," "),"'"," "),"#"," "),"+"," "),"&amp;"," "),"\"," "))&amp;" "</f>
        <v>  </v>
      </c>
      <c r="BF392" s="61" t="str">
        <f aca="false">" "&amp;TRIM(SUBSTITUTE(SUBSTITUTE(SUBSTITUTE(SUBSTITUTE(SUBSTITUTE(SUBSTITUTE(SUBSTITUTE(SUBSTITUTE(SUBSTITUTE(SUBSTITUTE(SUBSTITUTE(SUBSTITUTE(SUBSTITUTE(SUBSTITUTE(SUBSTITUTE(SUBSTITUTE(SUBSTITUTE(SUBSTITUTE(SUBSTITUTE(SUBSTITUTE(SUBSTITUTE(SUBSTITUTE(SUBSTITUTE(SUBSTITUTE(LOWER(AC392&amp;""),CHAR(10)," "),CHAR(13)," "),CHAR(9)," "),CHAR(160)," "),"."," "),","," "),"-"," "),"/"," "),"("," "),")"," "),":"," "),";"," "),"_"," "),"–"," "),"?"," "),"!"," "),"*"," "),"["," "),"]"," "),"'"," "),"#"," "),"+"," "),"&amp;"," "),"\"," "))&amp;" "</f>
        <v>  </v>
      </c>
      <c r="BG392" s="61" t="n">
        <f aca="false">IFERROR(IF(AND(TRIM(U392)="Pass",SUMPRODUCT((LEN(BC392)-LEN(SUBSTITUTE(BC392," "&amp;L_ResultBad&amp;" "," ")))/(LEN(L_ResultBad)+1))&gt;SUMPRODUCT((LEN(BC392)-LEN(SUBSTITUTE(BC392," "&amp;L_NegPhrase&amp;" "," ")))/(LEN(L_NegPhrase)+1))),1,0),0)</f>
        <v>0</v>
      </c>
      <c r="BH392" s="61" t="n">
        <f aca="false">IFERROR(IF(SUMPRODUCT((LEN(BC392)-LEN(SUBSTITUTE(BC392," "&amp;L_Pending&amp;" "," ")))/(LEN(L_Pending)+1))&gt;SUMPRODUCT((LEN(BC392)-LEN(SUBSTITUTE(BC392," "&amp;L_PendNeg&amp;" "," ")))/(LEN(L_PendNeg)+1))+SUMPRODUCT((LEN(BC392)-LEN(SUBSTITUTE(BC392," "&amp;L_PendPrep&amp;" "," ")))/(LEN(L_PendPrep)+1)),1,0),1)</f>
        <v>0</v>
      </c>
      <c r="BI392" s="61" t="n">
        <f aca="false">IFERROR(IF(SUMPRODUCT((LEN(BD392)-LEN(SUBSTITUTE(BD392," "&amp;L_PendStrict&amp;" "," ")))/(LEN(L_PendStrict)+1))&gt;SUMPRODUCT((LEN(BD392)-LEN(SUBSTITUTE(BD392," "&amp;L_PendNeg&amp;" "," ")))/(LEN(L_PendNeg)+1)),1,0),1)</f>
        <v>0</v>
      </c>
      <c r="BJ392" s="61" t="n">
        <f aca="false">IFERROR(IF(SUMPRODUCT((LEN(BE392)-LEN(SUBSTITUTE(BE392," "&amp;L_Pending&amp;" "," ")))/(LEN(L_Pending)+1))&gt;SUMPRODUCT((LEN(BE392)-LEN(SUBSTITUTE(BE392," "&amp;L_PendNeg&amp;" "," ")))/(LEN(L_PendNeg)+1))+SUMPRODUCT((LEN(BE392)-LEN(SUBSTITUTE(BE392," "&amp;L_PendPrep&amp;" "," ")))/(LEN(L_PendPrep)+1)),1,0),1)</f>
        <v>0</v>
      </c>
      <c r="BK392" s="61" t="n">
        <f aca="false">IFERROR(IF(SUMPRODUCT((LEN(BF392)-LEN(SUBSTITUTE(BF392," "&amp;L_PendStrict&amp;" "," ")))/(LEN(L_PendStrict)+1))&gt;SUMPRODUCT((LEN(BF392)-LEN(SUBSTITUTE(BF392," "&amp;L_PendNeg&amp;" "," ")))/(LEN(L_PendNeg)+1)),1,0),1)</f>
        <v>0</v>
      </c>
      <c r="BL392" s="61" t="n">
        <f aca="false">IF(ISNA(MATCH(TRIM(S392),L_EvidenceType,0)),0,BZ392)</f>
        <v>0</v>
      </c>
      <c r="BM392" s="61" t="str">
        <f aca="false">SUBSTITUTE(SUBSTITUTE(SUBSTITUTE(SUBSTITUTE(SUBSTITUTE(SUBSTITUTE(SUBSTITUTE(SUBSTITUTE(SUBSTITUTE(LOWER(Z392&amp;""),"1","0"),"2","0"),"3","0"),"4","0"),"5","0"),"6","0"),"7","0"),"8","0"),"9","0")</f>
        <v/>
      </c>
      <c r="BN392" s="61" t="str">
        <f aca="false">SUBSTITUTE(SUBSTITUTE(SUBSTITUTE(SUBSTITUTE(SUBSTITUTE(SUBSTITUTE(SUBSTITUTE(SUBSTITUTE(SUBSTITUTE(SUBSTITUTE(SUBSTITUTE(SUBSTITUTE(SUBSTITUTE(SUBSTITUTE(SUBSTITUTE(SUBSTITUTE(SUBSTITUTE(SUBSTITUTE(SUBSTITUTE(SUBSTITUTE(SUBSTITUTE(SUBSTITUTE(SUBSTITUTE(SUBSTITUTE(SUBSTITUTE(BM392,"b","a"),"c","a"),"d","a"),"e","a"),"f","a"),"g","a"),"h","a"),"i","a"),"j","a"),"k","a"),"l","a"),"m","a"),"n","a"),"o","a"),"p","a"),"q","a"),"r","a"),"s","a"),"t","a"),"u","a"),"v","a"),"w","a"),"x","a"),"y","a"),"z","a")</f>
        <v/>
      </c>
      <c r="BO392" s="61" t="str">
        <f aca="false">SUBSTITUTE(SUBSTITUTE(SUBSTITUTE(SUBSTITUTE(SUBSTITUTE(SUBSTITUTE(SUBSTITUTE(SUBSTITUTE(SUBSTITUTE(LOWER(W392&amp;""),"1","0"),"2","0"),"3","0"),"4","0"),"5","0"),"6","0"),"7","0"),"8","0"),"9","0")</f>
        <v/>
      </c>
      <c r="BP392" s="61" t="str">
        <f aca="false">SUBSTITUTE(SUBSTITUTE(SUBSTITUTE(SUBSTITUTE(SUBSTITUTE(SUBSTITUTE(SUBSTITUTE(SUBSTITUTE(SUBSTITUTE(SUBSTITUTE(SUBSTITUTE(SUBSTITUTE(SUBSTITUTE(SUBSTITUTE(SUBSTITUTE(SUBSTITUTE(SUBSTITUTE(SUBSTITUTE(SUBSTITUTE(SUBSTITUTE(SUBSTITUTE(SUBSTITUTE(SUBSTITUTE(SUBSTITUTE(SUBSTITUTE(BO392,"b","a"),"c","a"),"d","a"),"e","a"),"f","a"),"g","a"),"h","a"),"i","a"),"j","a"),"k","a"),"l","a"),"m","a"),"n","a"),"o","a"),"p","a"),"q","a"),"r","a"),"s","a"),"t","a"),"u","a"),"v","a"),"w","a"),"x","a"),"y","a"),"z","a")</f>
        <v/>
      </c>
      <c r="BQ392" s="61" t="n">
        <f aca="false">IFERROR(IF(AND(ISERROR(SEARCH(" mh"," "&amp;LOWER(W392))),ISNA(MATCH(LEFT(TRIM(BP392),255),{"0000a","000a","00a","0000aa","000aa","00aa","0aa","0000aaa","000aaa","00a00","0a00","0000-0000","00:00","a00","a0","00.00.0000","00/00/0000","00-00-0000","0000-00-00","0000/00/00","0000.00.00","00.00.00","00/00/00","00-00-00","0.00.0000","0/00/0000","0-00-0000"},0)),ISNA(MATCH(LEFT(TRIM(CA392),255),{"0000a","000a","00a","0000aa","000aa","00aa","0aa","0000aaa","000aaa","00a00","0a00","0000-0000","00:00","a00","a0","00.00.0000","00/00/0000","00-00-0000","0000-00-00","0000/00/00","0000.00.00","00.00.00","00/00/00","00-00-00","0.00.0000","0/00/0000","0-00-0000"},0)),LEN(CB392)&gt;=3,NOT(OR(SUBSTITUTE(CB392,"0","")="",AND(LEN(CB392)&gt;=4,CB392=REPT(LEFT(CB392),LEN(CB392))),ISNUMBER(MATCH(CB392,{"123","1234","12345","123456","1234567","12345678","0123","01234","012345","98765","987654","54321"},0)),AND(LEN(CB392)=8,LEFT(CB392,3)="202"))),OR(AND((LEN(CA392)-LEN(SUBSTITUTE(CA392,"a","")))&gt;=1,SUMPRODUCT(--ISNUMBER(SEARCH({"a0","a-0","a_0","a/0","a.0","a#0","0a","0-a","0_a","0/a"},BP392)))&gt;0),ISNUMBER(SEARCH("000000",BP392)))),1,0),0)</f>
        <v>0</v>
      </c>
      <c r="BR392" s="61" t="n">
        <f aca="false">IFERROR(LEN(SUBSTITUTE(CC392," ",""))-SUMPRODUCT((LEN(CC392)-LEN(SUBSTITUTE(CC392," "&amp;L_Role&amp;" "," ")))/(LEN(L_Role)+1)*LEN(L_Role)),0)</f>
        <v>0</v>
      </c>
      <c r="BS392" s="61" t="n">
        <f aca="false">IFERROR(LEN(SUBSTITUTE(CD392," ",""))-SUMPRODUCT((LEN(CD392)-LEN(SUBSTITUTE(CD392," "&amp;L_Role&amp;" "," ")))/(LEN(L_Role)+1)*LEN(L_Role)),0)</f>
        <v>0</v>
      </c>
      <c r="BT3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392,"revision",""),"version",""),"jan",""),"feb",""),"mar",""),"apr",""),"may",""),"jun",""),"jul",""),"aug",""),"sep",""),"oct",""),"nov",""),"dec",""),"utc",""),"gmt",""),"myt",""),"bst",""),"rev",""),"ver",""),"b","a"),"c","a"),"d","a"),"e","a"),"f","a"),"g","a"),"h","a"),"i","a"),"j","a"),"k","a"),"l","a"),"m","a"),"n","a"),"o","a"),"p","a"),"q","a"),"r","a"),"s","a"),"t","a"),"u","a"),"v","a"),"w","a"),"x","a"),"y","a"),"z","a")</f>
        <v/>
      </c>
      <c r="BU392" s="61" t="str">
        <f aca="false">SUBSTITUTE(SUBSTITUTE(SUBSTITUTE(SUBSTITUTE(SUBSTITUTE(SUBSTITUTE(SUBSTITUTE(SUBSTITUTE(SUBSTITUTE(SUBSTITUTE(LEFT(BM392,FIND("0",BM392&amp;"0")-1),"-",""),"_",""),"/",""),".",""),"#",""),"\\",""),":","")," ",""),"(",""),")","")</f>
        <v/>
      </c>
      <c r="BV392" s="61" t="n">
        <f aca="false">0</f>
        <v>0</v>
      </c>
      <c r="BW3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392&amp;""),"a",""),"b",""),"c",""),"d",""),"e",""),"f",""),"g",""),"h",""),"i",""),"j",""),"k",""),"l",""),"m",""),"n",""),"o",""),"p",""),"q",""),"r",""),"s",""),"t",""),"u",""),"v",""),"w",""),"x",""),"y",""),"z",""),"-",""),"_",""),"/",""),".",""),"#",""),"\\",""),":","")," ",""),"(",""),")","")</f>
        <v/>
      </c>
      <c r="BX392" s="61" t="str">
        <f aca="false">SUBSTITUTE(SUBSTITUTE(SUBSTITUTE(SUBSTITUTE(SUBSTITUTE(SUBSTITUTE(SUBSTITUTE(SUBSTITUTE(SUBSTITUTE(SUBSTITUTE(SUBSTITUTE(BM392,"0",""),"-",""),"_",""),"/",""),".",""),"#",""),"\\",""),":","")," ",""),"(",""),")","")</f>
        <v/>
      </c>
      <c r="BY392" s="62" t="n">
        <f aca="false">Q392-T12EarlyH/24</f>
        <v>46306.6006944444</v>
      </c>
      <c r="BZ392" s="61" t="n">
        <f aca="false">IFERROR(IF(IF(TRIM(S392)="Link / file path",AND(LEN(TRIM(Z392))&gt;=5,SUMPRODUCT(--ISNUMBER(SEARCH({"http","www.","\\",":\",".pdf",".jpg",".jpeg",".png",".heic",".xls",".doc",".msg",".eml",".ppt",".txt",".zip"},Z392)))&gt;0),AND(ISERROR(FIND(" ",TRIM(Z392))),NOT(OR(SUMPRODUCT(--ISNUMBER(FIND({",",";","&amp;","+"},Z392)))&gt;0,SUMPRODUCT(--ISNUMBER(SEARCH({"0/aa","0\\aa"},BN392)))&gt;0)),NOT(SUMPRODUCT(--ISNUMBER(SEARCH({"http","www.","\\",":\",".pdf",".jpg",".jpeg",".png",".heic",".xls",".doc",".msg",".eml",".ppt",".txt",".zip"},Z392)))&gt;0),NOT(LOWER(TRIM(Z392))=LOWER(Flights!$F$16)),ISNA(MATCH(BU392,{"mh","rev","revision","ver","version","v","r","a","b","seat","tray","row","gate","bay","stand","page","pg","item","line","no","cart","galley","flight","flt","table","box","bag","oven","etd","eta","std","sta","atd","ata","qty","pax","x","time","tel","ph","mob","day","wk","week","utc","gmt","myt","lt"},0)),NOT(OR(ISNUMBER(MATCH(LEFT(BN392,255),{"0000a","000a","00a","0000aa","000aa","00aa","0aa","0000aaa","000aaa","00a00","0a00","0000-0000","00:00","a00","a0","00.00.0000","00/00/0000","00-00-0000","0000-00-00","0000/00/00","0000.00.00","00.00.00","00/00/00","00-00-00","0.00.0000","0/00/0000","0-00-0000"},0)),ISNUMBER(MATCH(LEFT(BT392,255),{"0000a","000a","00a","0000aa","000aa","00aa","0aa","0000aaa","000aaa","00a00","0a00","0000-0000","00:00","a00","a0","00.00.0000","00/00/0000","00-00-0000","0000-00-00","0000/00/00","0000.00.00","00.00.00","00/00/00","00-00-00","0.00.0000","0/00/0000","0-00-0000"},0)))),NOT(OR(AND(BW392&lt;&gt;"",SUBSTITUTE(BW392,"0","")=""),AND(LEN(BW392)&gt;=4,BW392=REPT(LEFT(BW392),LEN(BW392))),ISNUMBER(MATCH(BW392,{"123","1234","12345","123456","1234567","12345678","0123","01234","012345","98765","987654","54321"},0)),ISNUMBER(MATCH(BX392,{"x","xx","xxx","xxxx","xxxxx","abc","abcd","nil","na","nan","test","tbc","tba","tbd","dummy","sample","example","eg","zz","zzz","none","null","xyz","qwe","asd","id","ref"},0)),AND(LEN(BW392)=8,BX392="",OR(LEFT(BW392,3)="202",ISNUMBER(MATCH(RIGHT(BW392,4),{"2025","2026","2027"},0)))))),OR(AND((LEN(BT392)-LEN(SUBSTITUTE(BT392,"a","")))&gt;=1,(LEN(BN392)-LEN(SUBSTITUTE(BN392,"0","")))&gt;=2,SUMPRODUCT(--ISNUMBER(SEARCH({"a0","a-0","a_0","a/0","a.0","a#0","0a","0-a","0_a","0/a"},BN392)))&gt;0),AND((LEN(BN392)-LEN(SUBSTITUTE(BN392,"a","")))=0,(LEN(BN392)-LEN(SUBSTITUTE(BN392,"0","")))&gt;=5)))),1,0),0)</f>
        <v>0</v>
      </c>
      <c r="CA3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392,"revision",""),"version",""),"jan",""),"feb",""),"mar",""),"apr",""),"may",""),"jun",""),"jul",""),"aug",""),"sep",""),"oct",""),"nov",""),"dec",""),"utc",""),"gmt",""),"myt",""),"bst",""),"rev",""),"ver",""),"b","a"),"c","a"),"d","a"),"e","a"),"f","a"),"g","a"),"h","a"),"i","a"),"j","a"),"k","a"),"l","a"),"m","a"),"n","a"),"o","a"),"p","a"),"q","a"),"r","a"),"s","a"),"t","a"),"u","a"),"v","a"),"w","a"),"x","a"),"y","a"),"z","a")</f>
        <v/>
      </c>
      <c r="CB3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392&amp;""),"a",""),"b",""),"c",""),"d",""),"e",""),"f",""),"g",""),"h",""),"i",""),"j",""),"k",""),"l",""),"m",""),"n",""),"o",""),"p",""),"q",""),"r",""),"s",""),"t",""),"u",""),"v",""),"w",""),"x",""),"y",""),"z",""),"-",""),"_",""),"/",""),".",""),"#",""),"\\",""),":","")," ",""),"(",""),")","")</f>
        <v/>
      </c>
      <c r="CC392" s="0" t="str">
        <f aca="false">" "&amp;TRIM(SUBSTITUTE(SUBSTITUTE(SUBSTITUTE(SUBSTITUTE(SUBSTITUTE(SUBSTITUTE(SUBSTITUTE(SUBSTITUTE(SUBSTITUTE(SUBSTITUTE(SUBSTITUTE(SUBSTITUTE(SUBSTITUTE(SUBSTITUTE(SUBSTITUTE(SUBSTITUTE(SUBSTITUTE(SUBSTITUTE(SUBSTITUTE(SUBSTITUTE(SUBSTITUTE(SUBSTITUTE(SUBSTITUTE(SUBSTITUTE(LOWER(T392&amp;""),CHAR(10)," "),CHAR(13)," "),CHAR(9)," "),CHAR(160)," "),"."," "),","," "),"-"," "),"/"," "),"("," "),")"," "),":"," "),";"," "),"_"," "),"–"," "),"?"," "),"!"," "),"*"," "),"["," "),"]"," "),"'"," "),"#"," "),"+"," "),"&amp;"," "),"\"," "))&amp;" "</f>
        <v>  </v>
      </c>
      <c r="CD392" s="0" t="str">
        <f aca="false">" "&amp;TRIM(SUBSTITUTE(SUBSTITUTE(SUBSTITUTE(SUBSTITUTE(SUBSTITUTE(SUBSTITUTE(SUBSTITUTE(SUBSTITUTE(SUBSTITUTE(SUBSTITUTE(SUBSTITUTE(SUBSTITUTE(SUBSTITUTE(SUBSTITUTE(SUBSTITUTE(SUBSTITUTE(SUBSTITUTE(SUBSTITUTE(SUBSTITUTE(SUBSTITUTE(SUBSTITUTE(SUBSTITUTE(SUBSTITUTE(SUBSTITUTE(LOWER(AE392&amp;""),CHAR(10)," "),CHAR(13)," "),CHAR(9)," "),CHAR(160)," "),"."," "),","," "),"-"," "),"/"," "),"("," "),")"," "),":"," "),";"," "),"_"," "),"–"," "),"?"," "),"!"," "),"*"," "),"["," "),"]"," "),"'"," "),"#"," "),"+"," "),"&amp;"," "),"\"," "))&amp;" "</f>
        <v>  </v>
      </c>
      <c r="CE392" s="68" t="n">
        <f aca="false">IFERROR(IF(AND(LEN(AU392)&gt;0,LEN(AU392)=LEN(AX392),OR(TRIM(MID(SUBSTITUTE(TRIM(CC392)," ",REPT(" ",60)),1,60))="",ISNUMBER(SEARCH(" "&amp;TRIM(MID(SUBSTITUTE(TRIM(CC392)," ",REPT(" ",60)),1,60))&amp;" ",CD392))),OR(TRIM(MID(SUBSTITUTE(TRIM(CC392)," ",REPT(" ",60)),61,60))="",ISNUMBER(SEARCH(" "&amp;TRIM(MID(SUBSTITUTE(TRIM(CC392)," ",REPT(" ",60)),61,60))&amp;" ",CD392))),OR(TRIM(MID(SUBSTITUTE(TRIM(CC392)," ",REPT(" ",60)),121,60))="",ISNUMBER(SEARCH(" "&amp;TRIM(MID(SUBSTITUTE(TRIM(CC392)," ",REPT(" ",60)),121,60))&amp;" ",CD392)))),1,0),0)</f>
        <v>0</v>
      </c>
      <c r="CG392" s="68" t="n">
        <f aca="false">IFERROR(LEN(SUBSTITUTE(BF392," ",""))-SUMPRODUCT((LEN(BF392)-LEN(SUBSTITUTE(BF392," "&amp;L_NAFiller&amp;" "," ")))/(LEN(L_NAFiller)+1)*LEN(L_NAFiller)),0)</f>
        <v>0</v>
      </c>
    </row>
    <row r="393" customFormat="false" ht="39.75" hidden="false" customHeight="true" outlineLevel="0" collapsed="false">
      <c r="A393" s="57" t="s">
        <v>1008</v>
      </c>
      <c r="B393" s="57" t="s">
        <v>261</v>
      </c>
      <c r="C393" s="57" t="str">
        <f aca="false">Flights!$F$16</f>
        <v>MH0139</v>
      </c>
      <c r="D393" s="58" t="n">
        <f aca="false">Flights!$D$16</f>
        <v>46307</v>
      </c>
      <c r="E393" s="57" t="str">
        <f aca="false">Flights!$G$16&amp;"-"&amp;Flights!$H$16</f>
        <v>KUL-ADL</v>
      </c>
      <c r="F393" s="57" t="str">
        <f aca="false">Flights!$K$16</f>
        <v>BC</v>
      </c>
      <c r="G393" s="57" t="s">
        <v>420</v>
      </c>
      <c r="H393" s="57" t="s">
        <v>378</v>
      </c>
      <c r="I393" s="57" t="s">
        <v>428</v>
      </c>
      <c r="J393" s="57" t="s">
        <v>431</v>
      </c>
      <c r="K393" s="67"/>
      <c r="L393" s="67" t="s">
        <v>422</v>
      </c>
      <c r="M393" s="67"/>
      <c r="N393" s="67" t="s">
        <v>383</v>
      </c>
      <c r="O393" s="67" t="s">
        <v>423</v>
      </c>
      <c r="P393" s="57" t="s">
        <v>187</v>
      </c>
      <c r="Q393" s="59" t="n">
        <f aca="false">ROUND((Flights!$AE$16)*1440,0)/1440</f>
        <v>46307.1006944444</v>
      </c>
      <c r="R393" s="59" t="n">
        <f aca="false">Q393+(IF(AND(INDEX(TZ_DSTS,MATCH(P393,TZ_STN,0))&lt;&gt;"",Q393&gt;=INDEX(TZ_DSTS,MATCH(P393,TZ_STN,0)),Q393&lt;INDEX(TZ_DSTE,MATCH(P393,TZ_STN,0))),INDEX(TZ_DST,MATCH(P393,TZ_STN,0)),INDEX(TZ_STD,MATCH(P393,TZ_STN,0))))/24</f>
        <v>46307.4340277778</v>
      </c>
      <c r="S393" s="60"/>
      <c r="T393" s="60"/>
      <c r="U393" s="60"/>
      <c r="V393" s="60"/>
      <c r="W393" s="61"/>
      <c r="X393" s="60"/>
      <c r="Y393" s="60"/>
      <c r="Z393" s="60"/>
      <c r="AA393" s="60"/>
      <c r="AB393" s="60"/>
      <c r="AC393" s="60"/>
      <c r="AD393" s="66"/>
      <c r="AE393" s="60"/>
      <c r="AF393" s="61" t="str">
        <f aca="false">IF(AND(ISNUMBER(X393),ISNUMBER(Y393)),Y393-X393,"")</f>
        <v/>
      </c>
      <c r="AG393" s="62" t="str">
        <f aca="false">IF(ISNUMBER(AD393),AD393-(IF(AND(INDEX(TZ_DSTS,MATCH(P393,TZ_STN,0))&lt;&gt;"",(AD393-INDEX(TZ_STD,MATCH(P393,TZ_STN,0))/24)&gt;=INDEX(TZ_DSTS,MATCH(P393,TZ_STN,0)),(AD393-INDEX(TZ_STD,MATCH(P393,TZ_STN,0))/24)&lt;INDEX(TZ_DSTE,MATCH(P393,TZ_STN,0))),INDEX(TZ_DST,MATCH(P393,TZ_STN,0)),INDEX(TZ_STD,MATCH(P393,TZ_STN,0))))/24,"")</f>
        <v/>
      </c>
      <c r="AH393" s="65" t="str">
        <f aca="false">IFERROR(IF(N393="N/A – rule",IF(OR(TRIM(U393)="",TRIM(U393)="N/A",TRIM(U393)="Not started"),"N/A – RULE","INVALID – this check does not apply to this aircraft: clear the status (or correct the fleet on Flights)"),IF(TRIM(U393)="N/A",IF(AT393=0,"INVALID – N/A not permitted for this check",IF(AND(TRIM(AB393)&lt;&gt;"",TRIM(AB393)&lt;&gt;"Closed"),"INVALID – corrective action still open",IF(AND(NOT(OR(LEN(AZ393)&lt;15,ISNUMBER(MATCH(AZ393,L_Placeholder,0)))),BK393=0,CG393&gt;=8,NOT(OR(LEN(AU393)&lt;2,ISNUMBER(MATCH(AU393,L_Placeholder,0)))),BR393&gt;=3,NOT(OR(LEN(AX393)&lt;2,ISNUMBER(MATCH(AX393,L_Placeholder,0)))),BS393&gt;=3,TRIM(AE393)&lt;&gt;TRIM(T393),AX393&lt;&gt;AU393,CE393=0),"N/A – JUSTIFIED","INVALID – N/A needs a real, settled reason (not 'not applicable' / 'as above' / TBC), a named PIC and a different named verifier"))),IF(OR(TRIM(U393)="Pass",TRIM(U393)="Pass after CA"),IF(NOT(ISNUMBER(AD393)),"INVALID – completion time missing",IF(OR(OR(LEN(AU393)&lt;2,ISNUMBER(MATCH(AU393,L_Placeholder,0))),BR393&lt;3),"INVALID – PIC missing or not a named person (a role such as QA / CSM is not a name)",IF(OR(LEN(AV393)&lt;2,ISNUMBER(MATCH(AV393,L_Placeholder,0))),"INVALID – result / assessment missing",IF(OR(OR(LEN(AW393)&lt;3,ISNUMBER(MATCH(AW393,L_Placeholder,0))),SUMPRODUCT(--ISNUMBER(SEARCH(" "&amp;L_EvidencePhrase&amp;" ",BD393)))&gt;0,BI393=1),"INVALID – evidence missing, placeholder or not yet on file",IF(ISNA(MATCH(TRIM(S393),L_EvidenceType,0)),"INVALID – choose the evidence type from the list (column S)",IF(BL393=0,"INVALID – evidence ID must be the record's own ID only (e.g. SF-2210, IMG_2231, 1045521); a link / file name needs type 'Link / file path'",IF(OR(OR(LEN(AX393)&lt;2,ISNUMBER(MATCH(AX393,L_Placeholder,0))),BS393&lt;3),"INVALID – verifier missing or not a named person (a role such as QA / CSM is not a name)",IF(OR(AX393=AU393,CE393=1,AND(LEN(AU393)&gt;=4,ISNUMBER(SEARCH(AU393,AX393))),AND(LEN(AX393)&gt;=4,ISNUMBER(SEARCH(AX393,AU393)))),"INVALID – verifier must be a different, named person (not the PIC or a role)",IF(BH393=1,"INVALID – result not yet available (awaiting / TBC)",IF(BG393=1,"INVALID – result describes a problem: record Fail, then Pass after CA (or reword if it is not a problem)",IF(BV393=1,"INVALID – wording says not on board: an on-board confirmation needs the item loaded",IF(AND(AQ393=1,OR(OR(LEN(AY393)&lt;3,ISNUMBER(MATCH(AY393,L_Placeholder,0))),BJ393=1,BQ393=0)),"INVALID – batch ID missing, placeholder or not an ID (e.g. PASB-261008-BC-017)",IF(AND(AR393=1,OR(NOT(ISNUMBER(X393)),NOT(ISNUMBER(Y393)))),"INVALID – expected/actual qty missing",IF(AND(AR393=1,OR(X393&lt;=0,Y393&lt;0)),"INVALID – expected qty must be above 0 and actual not negative",IF(BB393&lt;&gt;"",BB393,IF(AND(AS393=1,Documents!$J$16&lt;&gt;"ON FILE"),"INVALID – GLD not on file (Documents sheet)",IF(AND(AS393=2,Documents!$O$16&lt;&gt;"ON FILE"),"INVALID – menu checklist not on file (Documents sheet)",IF(AND(AS393=3,NOT(ISNUMBER(Flights!$AX$16))),"INVALID – enter carrying flight KUL departure (Flights AX)",IF(AND(AS393=3,OR(Flights!$AZ$16&gt;Flights!$AA$16,Flights!$AX$16&lt;Flights!$AA$16-3)),"INVALID – carrying flight (Flights AX) cannot arrive before this leg's STD, or is over 3 days early",IF(AG393&gt;AsOfUTC,"INVALID – completion time is in the future",IF(AND(ISNUMBER(BY393),AG393&lt;BY393),IF(H393="Physical uplift","INVALID – before uplift window (cannot confirm loading)","INVALID – before valid window"),IF(AG393&gt;Flights!$AA$16,"INVALID – completed after departure (cannot establish readiness)",IF(AND(H393="Preparation",AG393&gt;=IF(ISNUMBER(Flights!$BA$16),MIN(Flights!$BA$16,Flights!$AA$16),Flights!$AA$16)),"INVALID – completed after loading / departure (cannot establish readiness)",IF(AND(H393="Physical uplift",AG393&gt;Q393),"INVALID – recorded after the loading flight departed",IF(AG393&gt;Q393,"COMPLETE – LATE","COMPLETE"))))))))))))))))))))))))),IF(TRIM(U393)="Fail","FAIL – DISCREPANCY",IF(AND(TRIM(U393)&lt;&gt;"",TRIM(U393)&lt;&gt;"Not started",TRIM(U393)&lt;&gt;"In progress"),"INVALID – unrecognised status (use the list)",IF(AsOfUTC&gt;Q393,"OVERDUE",IF(N393="Clarification required","OPEN – CLARIFICATION","OPEN"))))))),"INVALID – error value in an input cell")</f>
        <v>OPEN</v>
      </c>
      <c r="AI393" s="61" t="n">
        <f aca="false">IF(OR(AH393="N/A – RULE",AH393="N/A – JUSTIFIED"),0,1)</f>
        <v>1</v>
      </c>
      <c r="AJ393" s="61" t="n">
        <f aca="false">IF(LEFT(AH393,8)="COMPLETE",1,0)</f>
        <v>0</v>
      </c>
      <c r="AK393" s="61" t="n">
        <f aca="false">IF(AND(AI393=1,AJ393=0,AsOfUTC&gt;Q393),1,0)</f>
        <v>0</v>
      </c>
      <c r="AL393" s="61" t="n">
        <f aca="false">IFERROR(IF(AND(AI393=1,OR(TRIM(U393)="Fail",AND(TRIM(AB393)&lt;&gt;"",TRIM(AB393)&lt;&gt;"Closed"),AND(ISNUMBER(AF393),AF393&lt;&gt;0,TRIM(U393)&lt;&gt;"Pass after CA"))),1,0),1)</f>
        <v>0</v>
      </c>
      <c r="AM393" s="61" t="n">
        <f aca="false">IF(LEFT(AH393,7)="INVALID",1,0)</f>
        <v>0</v>
      </c>
      <c r="AN393" s="61" t="n">
        <f aca="false">IF(AND(N393="Clarification required",AI393=1,AJ393=0),1,0)</f>
        <v>0</v>
      </c>
      <c r="AO393" s="61" t="str">
        <f aca="false">IF(AK393=1,SUM(AK$5:AK393),"")</f>
        <v/>
      </c>
      <c r="AP393" s="61" t="str">
        <f aca="false">IF(AL393=1,SUM(AL$5:AL393),"")</f>
        <v/>
      </c>
      <c r="AQ393" s="61" t="n">
        <v>0</v>
      </c>
      <c r="AR393" s="61" t="n">
        <v>0</v>
      </c>
      <c r="AS393" s="61" t="n">
        <v>0</v>
      </c>
      <c r="AT393" s="61" t="n">
        <v>0</v>
      </c>
      <c r="AU393" s="61" t="str">
        <f aca="false">SUBSTITUTE(SUBSTITUTE(SUBSTITUTE(SUBSTITUTE(SUBSTITUTE(SUBSTITUTE(SUBSTITUTE(SUBSTITUTE(SUBSTITUTE(SUBSTITUTE(SUBSTITUTE(SUBSTITUTE(SUBSTITUTE(SUBSTITUTE(SUBSTITUTE(SUBSTITUTE(LOWER(T393&amp;""),CHAR(10),""),CHAR(13),""),CHAR(9),""),CHAR(160),"")," ",""),".",""),"-",""),"/",""),"?",""),"_",""),",",""),"[",""),"]",""),"(",""),")",""),"*","")</f>
        <v/>
      </c>
      <c r="AV393" s="61" t="str">
        <f aca="false">SUBSTITUTE(SUBSTITUTE(SUBSTITUTE(SUBSTITUTE(SUBSTITUTE(SUBSTITUTE(SUBSTITUTE(SUBSTITUTE(SUBSTITUTE(SUBSTITUTE(SUBSTITUTE(SUBSTITUTE(SUBSTITUTE(SUBSTITUTE(SUBSTITUTE(SUBSTITUTE(LOWER(V393&amp;""),CHAR(10),""),CHAR(13),""),CHAR(9),""),CHAR(160),"")," ",""),".",""),"-",""),"/",""),"?",""),"_",""),",",""),"[",""),"]",""),"(",""),")",""),"*","")</f>
        <v/>
      </c>
      <c r="AW393" s="61" t="str">
        <f aca="false">SUBSTITUTE(SUBSTITUTE(SUBSTITUTE(SUBSTITUTE(SUBSTITUTE(SUBSTITUTE(SUBSTITUTE(SUBSTITUTE(SUBSTITUTE(SUBSTITUTE(SUBSTITUTE(SUBSTITUTE(SUBSTITUTE(SUBSTITUTE(SUBSTITUTE(SUBSTITUTE(LOWER(Z393&amp;""),CHAR(10),""),CHAR(13),""),CHAR(9),""),CHAR(160),"")," ",""),".",""),"-",""),"/",""),"?",""),"_",""),",",""),"[",""),"]",""),"(",""),")",""),"*","")</f>
        <v/>
      </c>
      <c r="AX393" s="61" t="str">
        <f aca="false">SUBSTITUTE(SUBSTITUTE(SUBSTITUTE(SUBSTITUTE(SUBSTITUTE(SUBSTITUTE(SUBSTITUTE(SUBSTITUTE(SUBSTITUTE(SUBSTITUTE(SUBSTITUTE(SUBSTITUTE(SUBSTITUTE(SUBSTITUTE(SUBSTITUTE(SUBSTITUTE(LOWER(AE393&amp;""),CHAR(10),""),CHAR(13),""),CHAR(9),""),CHAR(160),"")," ",""),".",""),"-",""),"/",""),"?",""),"_",""),",",""),"[",""),"]",""),"(",""),")",""),"*","")</f>
        <v/>
      </c>
      <c r="AY393" s="61" t="str">
        <f aca="false">SUBSTITUTE(SUBSTITUTE(SUBSTITUTE(SUBSTITUTE(SUBSTITUTE(SUBSTITUTE(SUBSTITUTE(SUBSTITUTE(SUBSTITUTE(SUBSTITUTE(SUBSTITUTE(SUBSTITUTE(SUBSTITUTE(SUBSTITUTE(SUBSTITUTE(SUBSTITUTE(LOWER(W393&amp;""),CHAR(10),""),CHAR(13),""),CHAR(9),""),CHAR(160),"")," ",""),".",""),"-",""),"/",""),"?",""),"_",""),",",""),"[",""),"]",""),"(",""),")",""),"*","")</f>
        <v/>
      </c>
      <c r="AZ393" s="61" t="str">
        <f aca="false">SUBSTITUTE(SUBSTITUTE(SUBSTITUTE(SUBSTITUTE(SUBSTITUTE(SUBSTITUTE(SUBSTITUTE(SUBSTITUTE(SUBSTITUTE(SUBSTITUTE(SUBSTITUTE(SUBSTITUTE(SUBSTITUTE(SUBSTITUTE(SUBSTITUTE(SUBSTITUTE(LOWER(AC393&amp;""),CHAR(10),""),CHAR(13),""),CHAR(9),""),CHAR(160),"")," ",""),".",""),"-",""),"/",""),"?",""),"_",""),",",""),"[",""),"]",""),"(",""),")",""),"*","")</f>
        <v/>
      </c>
      <c r="BA393" s="61" t="str">
        <f aca="false">SUBSTITUTE(SUBSTITUTE(SUBSTITUTE(SUBSTITUTE(SUBSTITUTE(SUBSTITUTE(SUBSTITUTE(SUBSTITUTE(SUBSTITUTE(SUBSTITUTE(SUBSTITUTE(SUBSTITUTE(SUBSTITUTE(SUBSTITUTE(SUBSTITUTE(SUBSTITUTE(LOWER(AA393&amp;""),CHAR(10),""),CHAR(13),""),CHAR(9),""),CHAR(160),"")," ",""),".",""),"-",""),"/",""),"?",""),"_",""),",",""),"[",""),"]",""),"(",""),")",""),"*","")</f>
        <v/>
      </c>
      <c r="BB393" s="61" t="str">
        <f aca="false">IF(AND(TRIM(U393)="Pass",ISNUMBER(AF393)),IF(AF393&lt;&gt;0,"INVALID – qty variance: use Fail or Pass after CA",""),"")&amp;IF(AND(TRIM(U393)="Pass after CA",ISNUMBER(AF393)),IF(AF393&lt;&gt;0,"INVALID – after the corrective action the actual qty must equal expected (update Actual)",""),"")&amp;IF(AND(TRIM(U393)="Pass",TRIM(AB393)&lt;&gt;"",TRIM(AB393)&lt;&gt;"Closed"),"INVALID – corrective action not closed: use Fail, then Pass after CA","")&amp;IF(AND(LEN(BA393)&gt;=2,ISNA(MATCH(LEFT(BA393,255),L_Placeholder,0)),TRIM(AB393)=""),"INVALID – CA status missing for the recorded corrective action","")&amp;IF(AND(TRIM(U393)="Pass after CA",OR(OR(LEN(BA393)&lt;5,ISNUMBER(MATCH(BA393,L_Placeholder,0))),TRIM(AB393)&lt;&gt;"Closed")),"INVALID – corrective action not recorded/closed","")</f>
        <v/>
      </c>
      <c r="BC393" s="61" t="str">
        <f aca="false">" "&amp;TRIM(SUBSTITUTE(SUBSTITUTE(SUBSTITUTE(SUBSTITUTE(SUBSTITUTE(SUBSTITUTE(SUBSTITUTE(SUBSTITUTE(SUBSTITUTE(SUBSTITUTE(SUBSTITUTE(SUBSTITUTE(SUBSTITUTE(SUBSTITUTE(SUBSTITUTE(SUBSTITUTE(SUBSTITUTE(SUBSTITUTE(SUBSTITUTE(SUBSTITUTE(SUBSTITUTE(SUBSTITUTE(SUBSTITUTE(SUBSTITUTE(LOWER(V393&amp;""),CHAR(10)," "),CHAR(13)," "),CHAR(9)," "),CHAR(160)," "),"."," "),","," "),"-"," "),"/"," "),"("," "),")"," "),":"," "),";"," "),"_"," "),"–"," "),"?"," "),"!"," "),"*"," "),"["," "),"]"," "),"'"," "),"#"," "),"+"," "),"&amp;"," "),"\"," "))&amp;" "</f>
        <v>  </v>
      </c>
      <c r="BD393" s="61" t="str">
        <f aca="false">" "&amp;TRIM(SUBSTITUTE(SUBSTITUTE(SUBSTITUTE(SUBSTITUTE(SUBSTITUTE(SUBSTITUTE(SUBSTITUTE(SUBSTITUTE(SUBSTITUTE(SUBSTITUTE(SUBSTITUTE(SUBSTITUTE(SUBSTITUTE(SUBSTITUTE(SUBSTITUTE(SUBSTITUTE(SUBSTITUTE(SUBSTITUTE(SUBSTITUTE(SUBSTITUTE(SUBSTITUTE(SUBSTITUTE(SUBSTITUTE(SUBSTITUTE(LOWER(Z393&amp;""),CHAR(10)," "),CHAR(13)," "),CHAR(9)," "),CHAR(160)," "),"."," "),","," "),"-"," "),"/"," "),"("," "),")"," "),":"," "),";"," "),"_"," "),"–"," "),"?"," "),"!"," "),"*"," "),"["," "),"]"," "),"'"," "),"#"," "),"+"," "),"&amp;"," "),"\"," "))&amp;" "</f>
        <v>  </v>
      </c>
      <c r="BE393" s="61" t="str">
        <f aca="false">" "&amp;TRIM(SUBSTITUTE(SUBSTITUTE(SUBSTITUTE(SUBSTITUTE(SUBSTITUTE(SUBSTITUTE(SUBSTITUTE(SUBSTITUTE(SUBSTITUTE(SUBSTITUTE(SUBSTITUTE(SUBSTITUTE(SUBSTITUTE(SUBSTITUTE(SUBSTITUTE(SUBSTITUTE(SUBSTITUTE(SUBSTITUTE(SUBSTITUTE(SUBSTITUTE(SUBSTITUTE(SUBSTITUTE(SUBSTITUTE(SUBSTITUTE(LOWER(W393&amp;""),CHAR(10)," "),CHAR(13)," "),CHAR(9)," "),CHAR(160)," "),"."," "),","," "),"-"," "),"/"," "),"("," "),")"," "),":"," "),";"," "),"_"," "),"–"," "),"?"," "),"!"," "),"*"," "),"["," "),"]"," "),"'"," "),"#"," "),"+"," "),"&amp;"," "),"\"," "))&amp;" "</f>
        <v>  </v>
      </c>
      <c r="BF393" s="61" t="str">
        <f aca="false">" "&amp;TRIM(SUBSTITUTE(SUBSTITUTE(SUBSTITUTE(SUBSTITUTE(SUBSTITUTE(SUBSTITUTE(SUBSTITUTE(SUBSTITUTE(SUBSTITUTE(SUBSTITUTE(SUBSTITUTE(SUBSTITUTE(SUBSTITUTE(SUBSTITUTE(SUBSTITUTE(SUBSTITUTE(SUBSTITUTE(SUBSTITUTE(SUBSTITUTE(SUBSTITUTE(SUBSTITUTE(SUBSTITUTE(SUBSTITUTE(SUBSTITUTE(LOWER(AC393&amp;""),CHAR(10)," "),CHAR(13)," "),CHAR(9)," "),CHAR(160)," "),"."," "),","," "),"-"," "),"/"," "),"("," "),")"," "),":"," "),";"," "),"_"," "),"–"," "),"?"," "),"!"," "),"*"," "),"["," "),"]"," "),"'"," "),"#"," "),"+"," "),"&amp;"," "),"\"," "))&amp;" "</f>
        <v>  </v>
      </c>
      <c r="BG393" s="61" t="n">
        <f aca="false">IFERROR(IF(AND(TRIM(U393)="Pass",SUMPRODUCT((LEN(BC393)-LEN(SUBSTITUTE(BC393," "&amp;L_ResultBad&amp;" "," ")))/(LEN(L_ResultBad)+1))&gt;SUMPRODUCT((LEN(BC393)-LEN(SUBSTITUTE(BC393," "&amp;L_NegPhrase&amp;" "," ")))/(LEN(L_NegPhrase)+1))),1,0),0)</f>
        <v>0</v>
      </c>
      <c r="BH393" s="61" t="n">
        <f aca="false">IFERROR(IF(SUMPRODUCT((LEN(BC393)-LEN(SUBSTITUTE(BC393," "&amp;L_Pending&amp;" "," ")))/(LEN(L_Pending)+1))&gt;SUMPRODUCT((LEN(BC393)-LEN(SUBSTITUTE(BC393," "&amp;L_PendNeg&amp;" "," ")))/(LEN(L_PendNeg)+1))+SUMPRODUCT((LEN(BC393)-LEN(SUBSTITUTE(BC393," "&amp;L_PendPrep&amp;" "," ")))/(LEN(L_PendPrep)+1)),1,0),1)</f>
        <v>0</v>
      </c>
      <c r="BI393" s="61" t="n">
        <f aca="false">IFERROR(IF(SUMPRODUCT((LEN(BD393)-LEN(SUBSTITUTE(BD393," "&amp;L_PendStrict&amp;" "," ")))/(LEN(L_PendStrict)+1))&gt;SUMPRODUCT((LEN(BD393)-LEN(SUBSTITUTE(BD393," "&amp;L_PendNeg&amp;" "," ")))/(LEN(L_PendNeg)+1)),1,0),1)</f>
        <v>0</v>
      </c>
      <c r="BJ393" s="61" t="n">
        <f aca="false">IFERROR(IF(SUMPRODUCT((LEN(BE393)-LEN(SUBSTITUTE(BE393," "&amp;L_Pending&amp;" "," ")))/(LEN(L_Pending)+1))&gt;SUMPRODUCT((LEN(BE393)-LEN(SUBSTITUTE(BE393," "&amp;L_PendNeg&amp;" "," ")))/(LEN(L_PendNeg)+1))+SUMPRODUCT((LEN(BE393)-LEN(SUBSTITUTE(BE393," "&amp;L_PendPrep&amp;" "," ")))/(LEN(L_PendPrep)+1)),1,0),1)</f>
        <v>0</v>
      </c>
      <c r="BK393" s="61" t="n">
        <f aca="false">IFERROR(IF(SUMPRODUCT((LEN(BF393)-LEN(SUBSTITUTE(BF393," "&amp;L_PendStrict&amp;" "," ")))/(LEN(L_PendStrict)+1))&gt;SUMPRODUCT((LEN(BF393)-LEN(SUBSTITUTE(BF393," "&amp;L_PendNeg&amp;" "," ")))/(LEN(L_PendNeg)+1)),1,0),1)</f>
        <v>0</v>
      </c>
      <c r="BL393" s="61" t="n">
        <f aca="false">IF(ISNA(MATCH(TRIM(S393),L_EvidenceType,0)),0,BZ393)</f>
        <v>0</v>
      </c>
      <c r="BM393" s="61" t="str">
        <f aca="false">SUBSTITUTE(SUBSTITUTE(SUBSTITUTE(SUBSTITUTE(SUBSTITUTE(SUBSTITUTE(SUBSTITUTE(SUBSTITUTE(SUBSTITUTE(LOWER(Z393&amp;""),"1","0"),"2","0"),"3","0"),"4","0"),"5","0"),"6","0"),"7","0"),"8","0"),"9","0")</f>
        <v/>
      </c>
      <c r="BN393" s="61" t="str">
        <f aca="false">SUBSTITUTE(SUBSTITUTE(SUBSTITUTE(SUBSTITUTE(SUBSTITUTE(SUBSTITUTE(SUBSTITUTE(SUBSTITUTE(SUBSTITUTE(SUBSTITUTE(SUBSTITUTE(SUBSTITUTE(SUBSTITUTE(SUBSTITUTE(SUBSTITUTE(SUBSTITUTE(SUBSTITUTE(SUBSTITUTE(SUBSTITUTE(SUBSTITUTE(SUBSTITUTE(SUBSTITUTE(SUBSTITUTE(SUBSTITUTE(SUBSTITUTE(BM393,"b","a"),"c","a"),"d","a"),"e","a"),"f","a"),"g","a"),"h","a"),"i","a"),"j","a"),"k","a"),"l","a"),"m","a"),"n","a"),"o","a"),"p","a"),"q","a"),"r","a"),"s","a"),"t","a"),"u","a"),"v","a"),"w","a"),"x","a"),"y","a"),"z","a")</f>
        <v/>
      </c>
      <c r="BO393" s="61" t="str">
        <f aca="false">SUBSTITUTE(SUBSTITUTE(SUBSTITUTE(SUBSTITUTE(SUBSTITUTE(SUBSTITUTE(SUBSTITUTE(SUBSTITUTE(SUBSTITUTE(LOWER(W393&amp;""),"1","0"),"2","0"),"3","0"),"4","0"),"5","0"),"6","0"),"7","0"),"8","0"),"9","0")</f>
        <v/>
      </c>
      <c r="BP393" s="61" t="str">
        <f aca="false">SUBSTITUTE(SUBSTITUTE(SUBSTITUTE(SUBSTITUTE(SUBSTITUTE(SUBSTITUTE(SUBSTITUTE(SUBSTITUTE(SUBSTITUTE(SUBSTITUTE(SUBSTITUTE(SUBSTITUTE(SUBSTITUTE(SUBSTITUTE(SUBSTITUTE(SUBSTITUTE(SUBSTITUTE(SUBSTITUTE(SUBSTITUTE(SUBSTITUTE(SUBSTITUTE(SUBSTITUTE(SUBSTITUTE(SUBSTITUTE(SUBSTITUTE(BO393,"b","a"),"c","a"),"d","a"),"e","a"),"f","a"),"g","a"),"h","a"),"i","a"),"j","a"),"k","a"),"l","a"),"m","a"),"n","a"),"o","a"),"p","a"),"q","a"),"r","a"),"s","a"),"t","a"),"u","a"),"v","a"),"w","a"),"x","a"),"y","a"),"z","a")</f>
        <v/>
      </c>
      <c r="BQ393" s="61" t="n">
        <f aca="false">IFERROR(IF(AND(ISERROR(SEARCH(" mh"," "&amp;LOWER(W393))),ISNA(MATCH(LEFT(TRIM(BP393),255),{"0000a","000a","00a","0000aa","000aa","00aa","0aa","0000aaa","000aaa","00a00","0a00","0000-0000","00:00","a00","a0","00.00.0000","00/00/0000","00-00-0000","0000-00-00","0000/00/00","0000.00.00","00.00.00","00/00/00","00-00-00","0.00.0000","0/00/0000","0-00-0000"},0)),ISNA(MATCH(LEFT(TRIM(CA393),255),{"0000a","000a","00a","0000aa","000aa","00aa","0aa","0000aaa","000aaa","00a00","0a00","0000-0000","00:00","a00","a0","00.00.0000","00/00/0000","00-00-0000","0000-00-00","0000/00/00","0000.00.00","00.00.00","00/00/00","00-00-00","0.00.0000","0/00/0000","0-00-0000"},0)),LEN(CB393)&gt;=3,NOT(OR(SUBSTITUTE(CB393,"0","")="",AND(LEN(CB393)&gt;=4,CB393=REPT(LEFT(CB393),LEN(CB393))),ISNUMBER(MATCH(CB393,{"123","1234","12345","123456","1234567","12345678","0123","01234","012345","98765","987654","54321"},0)),AND(LEN(CB393)=8,LEFT(CB393,3)="202"))),OR(AND((LEN(CA393)-LEN(SUBSTITUTE(CA393,"a","")))&gt;=1,SUMPRODUCT(--ISNUMBER(SEARCH({"a0","a-0","a_0","a/0","a.0","a#0","0a","0-a","0_a","0/a"},BP393)))&gt;0),ISNUMBER(SEARCH("000000",BP393)))),1,0),0)</f>
        <v>0</v>
      </c>
      <c r="BR393" s="61" t="n">
        <f aca="false">IFERROR(LEN(SUBSTITUTE(CC393," ",""))-SUMPRODUCT((LEN(CC393)-LEN(SUBSTITUTE(CC393," "&amp;L_Role&amp;" "," ")))/(LEN(L_Role)+1)*LEN(L_Role)),0)</f>
        <v>0</v>
      </c>
      <c r="BS393" s="61" t="n">
        <f aca="false">IFERROR(LEN(SUBSTITUTE(CD393," ",""))-SUMPRODUCT((LEN(CD393)-LEN(SUBSTITUTE(CD393," "&amp;L_Role&amp;" "," ")))/(LEN(L_Role)+1)*LEN(L_Role)),0)</f>
        <v>0</v>
      </c>
      <c r="BT3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393,"revision",""),"version",""),"jan",""),"feb",""),"mar",""),"apr",""),"may",""),"jun",""),"jul",""),"aug",""),"sep",""),"oct",""),"nov",""),"dec",""),"utc",""),"gmt",""),"myt",""),"bst",""),"rev",""),"ver",""),"b","a"),"c","a"),"d","a"),"e","a"),"f","a"),"g","a"),"h","a"),"i","a"),"j","a"),"k","a"),"l","a"),"m","a"),"n","a"),"o","a"),"p","a"),"q","a"),"r","a"),"s","a"),"t","a"),"u","a"),"v","a"),"w","a"),"x","a"),"y","a"),"z","a")</f>
        <v/>
      </c>
      <c r="BU393" s="61" t="str">
        <f aca="false">SUBSTITUTE(SUBSTITUTE(SUBSTITUTE(SUBSTITUTE(SUBSTITUTE(SUBSTITUTE(SUBSTITUTE(SUBSTITUTE(SUBSTITUTE(SUBSTITUTE(LEFT(BM393,FIND("0",BM393&amp;"0")-1),"-",""),"_",""),"/",""),".",""),"#",""),"\\",""),":","")," ",""),"(",""),")","")</f>
        <v/>
      </c>
      <c r="BV393" s="61" t="n">
        <f aca="false">0</f>
        <v>0</v>
      </c>
      <c r="BW3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393&amp;""),"a",""),"b",""),"c",""),"d",""),"e",""),"f",""),"g",""),"h",""),"i",""),"j",""),"k",""),"l",""),"m",""),"n",""),"o",""),"p",""),"q",""),"r",""),"s",""),"t",""),"u",""),"v",""),"w",""),"x",""),"y",""),"z",""),"-",""),"_",""),"/",""),".",""),"#",""),"\\",""),":","")," ",""),"(",""),")","")</f>
        <v/>
      </c>
      <c r="BX393" s="61" t="str">
        <f aca="false">SUBSTITUTE(SUBSTITUTE(SUBSTITUTE(SUBSTITUTE(SUBSTITUTE(SUBSTITUTE(SUBSTITUTE(SUBSTITUTE(SUBSTITUTE(SUBSTITUTE(SUBSTITUTE(BM393,"0",""),"-",""),"_",""),"/",""),".",""),"#",""),"\\",""),":","")," ",""),"(",""),")","")</f>
        <v/>
      </c>
      <c r="BY393" s="62" t="n">
        <f aca="false">Q393-T12EarlyH/24</f>
        <v>46306.6006944444</v>
      </c>
      <c r="BZ393" s="61" t="n">
        <f aca="false">IFERROR(IF(IF(TRIM(S393)="Link / file path",AND(LEN(TRIM(Z393))&gt;=5,SUMPRODUCT(--ISNUMBER(SEARCH({"http","www.","\\",":\",".pdf",".jpg",".jpeg",".png",".heic",".xls",".doc",".msg",".eml",".ppt",".txt",".zip"},Z393)))&gt;0),AND(ISERROR(FIND(" ",TRIM(Z393))),NOT(OR(SUMPRODUCT(--ISNUMBER(FIND({",",";","&amp;","+"},Z393)))&gt;0,SUMPRODUCT(--ISNUMBER(SEARCH({"0/aa","0\\aa"},BN393)))&gt;0)),NOT(SUMPRODUCT(--ISNUMBER(SEARCH({"http","www.","\\",":\",".pdf",".jpg",".jpeg",".png",".heic",".xls",".doc",".msg",".eml",".ppt",".txt",".zip"},Z393)))&gt;0),NOT(LOWER(TRIM(Z393))=LOWER(Flights!$F$16)),ISNA(MATCH(BU393,{"mh","rev","revision","ver","version","v","r","a","b","seat","tray","row","gate","bay","stand","page","pg","item","line","no","cart","galley","flight","flt","table","box","bag","oven","etd","eta","std","sta","atd","ata","qty","pax","x","time","tel","ph","mob","day","wk","week","utc","gmt","myt","lt"},0)),NOT(OR(ISNUMBER(MATCH(LEFT(BN393,255),{"0000a","000a","00a","0000aa","000aa","00aa","0aa","0000aaa","000aaa","00a00","0a00","0000-0000","00:00","a00","a0","00.00.0000","00/00/0000","00-00-0000","0000-00-00","0000/00/00","0000.00.00","00.00.00","00/00/00","00-00-00","0.00.0000","0/00/0000","0-00-0000"},0)),ISNUMBER(MATCH(LEFT(BT393,255),{"0000a","000a","00a","0000aa","000aa","00aa","0aa","0000aaa","000aaa","00a00","0a00","0000-0000","00:00","a00","a0","00.00.0000","00/00/0000","00-00-0000","0000-00-00","0000/00/00","0000.00.00","00.00.00","00/00/00","00-00-00","0.00.0000","0/00/0000","0-00-0000"},0)))),NOT(OR(AND(BW393&lt;&gt;"",SUBSTITUTE(BW393,"0","")=""),AND(LEN(BW393)&gt;=4,BW393=REPT(LEFT(BW393),LEN(BW393))),ISNUMBER(MATCH(BW393,{"123","1234","12345","123456","1234567","12345678","0123","01234","012345","98765","987654","54321"},0)),ISNUMBER(MATCH(BX393,{"x","xx","xxx","xxxx","xxxxx","abc","abcd","nil","na","nan","test","tbc","tba","tbd","dummy","sample","example","eg","zz","zzz","none","null","xyz","qwe","asd","id","ref"},0)),AND(LEN(BW393)=8,BX393="",OR(LEFT(BW393,3)="202",ISNUMBER(MATCH(RIGHT(BW393,4),{"2025","2026","2027"},0)))))),OR(AND((LEN(BT393)-LEN(SUBSTITUTE(BT393,"a","")))&gt;=1,(LEN(BN393)-LEN(SUBSTITUTE(BN393,"0","")))&gt;=2,SUMPRODUCT(--ISNUMBER(SEARCH({"a0","a-0","a_0","a/0","a.0","a#0","0a","0-a","0_a","0/a"},BN393)))&gt;0),AND((LEN(BN393)-LEN(SUBSTITUTE(BN393,"a","")))=0,(LEN(BN393)-LEN(SUBSTITUTE(BN393,"0","")))&gt;=5)))),1,0),0)</f>
        <v>0</v>
      </c>
      <c r="CA3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393,"revision",""),"version",""),"jan",""),"feb",""),"mar",""),"apr",""),"may",""),"jun",""),"jul",""),"aug",""),"sep",""),"oct",""),"nov",""),"dec",""),"utc",""),"gmt",""),"myt",""),"bst",""),"rev",""),"ver",""),"b","a"),"c","a"),"d","a"),"e","a"),"f","a"),"g","a"),"h","a"),"i","a"),"j","a"),"k","a"),"l","a"),"m","a"),"n","a"),"o","a"),"p","a"),"q","a"),"r","a"),"s","a"),"t","a"),"u","a"),"v","a"),"w","a"),"x","a"),"y","a"),"z","a")</f>
        <v/>
      </c>
      <c r="CB3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393&amp;""),"a",""),"b",""),"c",""),"d",""),"e",""),"f",""),"g",""),"h",""),"i",""),"j",""),"k",""),"l",""),"m",""),"n",""),"o",""),"p",""),"q",""),"r",""),"s",""),"t",""),"u",""),"v",""),"w",""),"x",""),"y",""),"z",""),"-",""),"_",""),"/",""),".",""),"#",""),"\\",""),":","")," ",""),"(",""),")","")</f>
        <v/>
      </c>
      <c r="CC393" s="0" t="str">
        <f aca="false">" "&amp;TRIM(SUBSTITUTE(SUBSTITUTE(SUBSTITUTE(SUBSTITUTE(SUBSTITUTE(SUBSTITUTE(SUBSTITUTE(SUBSTITUTE(SUBSTITUTE(SUBSTITUTE(SUBSTITUTE(SUBSTITUTE(SUBSTITUTE(SUBSTITUTE(SUBSTITUTE(SUBSTITUTE(SUBSTITUTE(SUBSTITUTE(SUBSTITUTE(SUBSTITUTE(SUBSTITUTE(SUBSTITUTE(SUBSTITUTE(SUBSTITUTE(LOWER(T393&amp;""),CHAR(10)," "),CHAR(13)," "),CHAR(9)," "),CHAR(160)," "),"."," "),","," "),"-"," "),"/"," "),"("," "),")"," "),":"," "),";"," "),"_"," "),"–"," "),"?"," "),"!"," "),"*"," "),"["," "),"]"," "),"'"," "),"#"," "),"+"," "),"&amp;"," "),"\"," "))&amp;" "</f>
        <v>  </v>
      </c>
      <c r="CD393" s="0" t="str">
        <f aca="false">" "&amp;TRIM(SUBSTITUTE(SUBSTITUTE(SUBSTITUTE(SUBSTITUTE(SUBSTITUTE(SUBSTITUTE(SUBSTITUTE(SUBSTITUTE(SUBSTITUTE(SUBSTITUTE(SUBSTITUTE(SUBSTITUTE(SUBSTITUTE(SUBSTITUTE(SUBSTITUTE(SUBSTITUTE(SUBSTITUTE(SUBSTITUTE(SUBSTITUTE(SUBSTITUTE(SUBSTITUTE(SUBSTITUTE(SUBSTITUTE(SUBSTITUTE(LOWER(AE393&amp;""),CHAR(10)," "),CHAR(13)," "),CHAR(9)," "),CHAR(160)," "),"."," "),","," "),"-"," "),"/"," "),"("," "),")"," "),":"," "),";"," "),"_"," "),"–"," "),"?"," "),"!"," "),"*"," "),"["," "),"]"," "),"'"," "),"#"," "),"+"," "),"&amp;"," "),"\"," "))&amp;" "</f>
        <v>  </v>
      </c>
      <c r="CE393" s="68" t="n">
        <f aca="false">IFERROR(IF(AND(LEN(AU393)&gt;0,LEN(AU393)=LEN(AX393),OR(TRIM(MID(SUBSTITUTE(TRIM(CC393)," ",REPT(" ",60)),1,60))="",ISNUMBER(SEARCH(" "&amp;TRIM(MID(SUBSTITUTE(TRIM(CC393)," ",REPT(" ",60)),1,60))&amp;" ",CD393))),OR(TRIM(MID(SUBSTITUTE(TRIM(CC393)," ",REPT(" ",60)),61,60))="",ISNUMBER(SEARCH(" "&amp;TRIM(MID(SUBSTITUTE(TRIM(CC393)," ",REPT(" ",60)),61,60))&amp;" ",CD393))),OR(TRIM(MID(SUBSTITUTE(TRIM(CC393)," ",REPT(" ",60)),121,60))="",ISNUMBER(SEARCH(" "&amp;TRIM(MID(SUBSTITUTE(TRIM(CC393)," ",REPT(" ",60)),121,60))&amp;" ",CD393)))),1,0),0)</f>
        <v>0</v>
      </c>
      <c r="CG393" s="68" t="n">
        <f aca="false">IFERROR(LEN(SUBSTITUTE(BF393," ",""))-SUMPRODUCT((LEN(BF393)-LEN(SUBSTITUTE(BF393," "&amp;L_NAFiller&amp;" "," ")))/(LEN(L_NAFiller)+1)*LEN(L_NAFiller)),0)</f>
        <v>0</v>
      </c>
    </row>
    <row r="394" customFormat="false" ht="39.75" hidden="false" customHeight="true" outlineLevel="0" collapsed="false">
      <c r="A394" s="57" t="s">
        <v>1009</v>
      </c>
      <c r="B394" s="57" t="s">
        <v>261</v>
      </c>
      <c r="C394" s="57" t="str">
        <f aca="false">Flights!$F$16</f>
        <v>MH0139</v>
      </c>
      <c r="D394" s="58" t="n">
        <f aca="false">Flights!$D$16</f>
        <v>46307</v>
      </c>
      <c r="E394" s="57" t="str">
        <f aca="false">Flights!$G$16&amp;"-"&amp;Flights!$H$16</f>
        <v>KUL-ADL</v>
      </c>
      <c r="F394" s="57" t="str">
        <f aca="false">Flights!$K$16</f>
        <v>BC</v>
      </c>
      <c r="G394" s="57" t="s">
        <v>420</v>
      </c>
      <c r="H394" s="57" t="s">
        <v>378</v>
      </c>
      <c r="I394" s="57" t="s">
        <v>428</v>
      </c>
      <c r="J394" s="57" t="s">
        <v>433</v>
      </c>
      <c r="K394" s="67"/>
      <c r="L394" s="67" t="s">
        <v>422</v>
      </c>
      <c r="M394" s="67"/>
      <c r="N394" s="67" t="s">
        <v>383</v>
      </c>
      <c r="O394" s="67" t="s">
        <v>423</v>
      </c>
      <c r="P394" s="57" t="s">
        <v>187</v>
      </c>
      <c r="Q394" s="59" t="n">
        <f aca="false">ROUND((Flights!$AE$16)*1440,0)/1440</f>
        <v>46307.1006944444</v>
      </c>
      <c r="R394" s="59" t="n">
        <f aca="false">Q394+(IF(AND(INDEX(TZ_DSTS,MATCH(P394,TZ_STN,0))&lt;&gt;"",Q394&gt;=INDEX(TZ_DSTS,MATCH(P394,TZ_STN,0)),Q394&lt;INDEX(TZ_DSTE,MATCH(P394,TZ_STN,0))),INDEX(TZ_DST,MATCH(P394,TZ_STN,0)),INDEX(TZ_STD,MATCH(P394,TZ_STN,0))))/24</f>
        <v>46307.4340277778</v>
      </c>
      <c r="S394" s="60"/>
      <c r="T394" s="60"/>
      <c r="U394" s="60"/>
      <c r="V394" s="60"/>
      <c r="W394" s="61"/>
      <c r="X394" s="60"/>
      <c r="Y394" s="60"/>
      <c r="Z394" s="60"/>
      <c r="AA394" s="60"/>
      <c r="AB394" s="60"/>
      <c r="AC394" s="60"/>
      <c r="AD394" s="66"/>
      <c r="AE394" s="60"/>
      <c r="AF394" s="61" t="str">
        <f aca="false">IF(AND(ISNUMBER(X394),ISNUMBER(Y394)),Y394-X394,"")</f>
        <v/>
      </c>
      <c r="AG394" s="62" t="str">
        <f aca="false">IF(ISNUMBER(AD394),AD394-(IF(AND(INDEX(TZ_DSTS,MATCH(P394,TZ_STN,0))&lt;&gt;"",(AD394-INDEX(TZ_STD,MATCH(P394,TZ_STN,0))/24)&gt;=INDEX(TZ_DSTS,MATCH(P394,TZ_STN,0)),(AD394-INDEX(TZ_STD,MATCH(P394,TZ_STN,0))/24)&lt;INDEX(TZ_DSTE,MATCH(P394,TZ_STN,0))),INDEX(TZ_DST,MATCH(P394,TZ_STN,0)),INDEX(TZ_STD,MATCH(P394,TZ_STN,0))))/24,"")</f>
        <v/>
      </c>
      <c r="AH394" s="65" t="str">
        <f aca="false">IFERROR(IF(N394="N/A – rule",IF(OR(TRIM(U394)="",TRIM(U394)="N/A",TRIM(U394)="Not started"),"N/A – RULE","INVALID – this check does not apply to this aircraft: clear the status (or correct the fleet on Flights)"),IF(TRIM(U394)="N/A",IF(AT394=0,"INVALID – N/A not permitted for this check",IF(AND(TRIM(AB394)&lt;&gt;"",TRIM(AB394)&lt;&gt;"Closed"),"INVALID – corrective action still open",IF(AND(NOT(OR(LEN(AZ394)&lt;15,ISNUMBER(MATCH(AZ394,L_Placeholder,0)))),BK394=0,CG394&gt;=8,NOT(OR(LEN(AU394)&lt;2,ISNUMBER(MATCH(AU394,L_Placeholder,0)))),BR394&gt;=3,NOT(OR(LEN(AX394)&lt;2,ISNUMBER(MATCH(AX394,L_Placeholder,0)))),BS394&gt;=3,TRIM(AE394)&lt;&gt;TRIM(T394),AX394&lt;&gt;AU394,CE394=0),"N/A – JUSTIFIED","INVALID – N/A needs a real, settled reason (not 'not applicable' / 'as above' / TBC), a named PIC and a different named verifier"))),IF(OR(TRIM(U394)="Pass",TRIM(U394)="Pass after CA"),IF(NOT(ISNUMBER(AD394)),"INVALID – completion time missing",IF(OR(OR(LEN(AU394)&lt;2,ISNUMBER(MATCH(AU394,L_Placeholder,0))),BR394&lt;3),"INVALID – PIC missing or not a named person (a role such as QA / CSM is not a name)",IF(OR(LEN(AV394)&lt;2,ISNUMBER(MATCH(AV394,L_Placeholder,0))),"INVALID – result / assessment missing",IF(OR(OR(LEN(AW394)&lt;3,ISNUMBER(MATCH(AW394,L_Placeholder,0))),SUMPRODUCT(--ISNUMBER(SEARCH(" "&amp;L_EvidencePhrase&amp;" ",BD394)))&gt;0,BI394=1),"INVALID – evidence missing, placeholder or not yet on file",IF(ISNA(MATCH(TRIM(S394),L_EvidenceType,0)),"INVALID – choose the evidence type from the list (column S)",IF(BL394=0,"INVALID – evidence ID must be the record's own ID only (e.g. SF-2210, IMG_2231, 1045521); a link / file name needs type 'Link / file path'",IF(OR(OR(LEN(AX394)&lt;2,ISNUMBER(MATCH(AX394,L_Placeholder,0))),BS394&lt;3),"INVALID – verifier missing or not a named person (a role such as QA / CSM is not a name)",IF(OR(AX394=AU394,CE394=1,AND(LEN(AU394)&gt;=4,ISNUMBER(SEARCH(AU394,AX394))),AND(LEN(AX394)&gt;=4,ISNUMBER(SEARCH(AX394,AU394)))),"INVALID – verifier must be a different, named person (not the PIC or a role)",IF(BH394=1,"INVALID – result not yet available (awaiting / TBC)",IF(BG394=1,"INVALID – result describes a problem: record Fail, then Pass after CA (or reword if it is not a problem)",IF(BV394=1,"INVALID – wording says not on board: an on-board confirmation needs the item loaded",IF(AND(AQ394=1,OR(OR(LEN(AY394)&lt;3,ISNUMBER(MATCH(AY394,L_Placeholder,0))),BJ394=1,BQ394=0)),"INVALID – batch ID missing, placeholder or not an ID (e.g. PASB-261008-BC-017)",IF(AND(AR394=1,OR(NOT(ISNUMBER(X394)),NOT(ISNUMBER(Y394)))),"INVALID – expected/actual qty missing",IF(AND(AR394=1,OR(X394&lt;=0,Y394&lt;0)),"INVALID – expected qty must be above 0 and actual not negative",IF(BB394&lt;&gt;"",BB394,IF(AND(AS394=1,Documents!$J$16&lt;&gt;"ON FILE"),"INVALID – GLD not on file (Documents sheet)",IF(AND(AS394=2,Documents!$O$16&lt;&gt;"ON FILE"),"INVALID – menu checklist not on file (Documents sheet)",IF(AND(AS394=3,NOT(ISNUMBER(Flights!$AX$16))),"INVALID – enter carrying flight KUL departure (Flights AX)",IF(AND(AS394=3,OR(Flights!$AZ$16&gt;Flights!$AA$16,Flights!$AX$16&lt;Flights!$AA$16-3)),"INVALID – carrying flight (Flights AX) cannot arrive before this leg's STD, or is over 3 days early",IF(AG394&gt;AsOfUTC,"INVALID – completion time is in the future",IF(AND(ISNUMBER(BY394),AG394&lt;BY394),IF(H394="Physical uplift","INVALID – before uplift window (cannot confirm loading)","INVALID – before valid window"),IF(AG394&gt;Flights!$AA$16,"INVALID – completed after departure (cannot establish readiness)",IF(AND(H394="Preparation",AG394&gt;=IF(ISNUMBER(Flights!$BA$16),MIN(Flights!$BA$16,Flights!$AA$16),Flights!$AA$16)),"INVALID – completed after loading / departure (cannot establish readiness)",IF(AND(H394="Physical uplift",AG394&gt;Q394),"INVALID – recorded after the loading flight departed",IF(AG394&gt;Q394,"COMPLETE – LATE","COMPLETE"))))))))))))))))))))))))),IF(TRIM(U394)="Fail","FAIL – DISCREPANCY",IF(AND(TRIM(U394)&lt;&gt;"",TRIM(U394)&lt;&gt;"Not started",TRIM(U394)&lt;&gt;"In progress"),"INVALID – unrecognised status (use the list)",IF(AsOfUTC&gt;Q394,"OVERDUE",IF(N394="Clarification required","OPEN – CLARIFICATION","OPEN"))))))),"INVALID – error value in an input cell")</f>
        <v>OPEN</v>
      </c>
      <c r="AI394" s="61" t="n">
        <f aca="false">IF(OR(AH394="N/A – RULE",AH394="N/A – JUSTIFIED"),0,1)</f>
        <v>1</v>
      </c>
      <c r="AJ394" s="61" t="n">
        <f aca="false">IF(LEFT(AH394,8)="COMPLETE",1,0)</f>
        <v>0</v>
      </c>
      <c r="AK394" s="61" t="n">
        <f aca="false">IF(AND(AI394=1,AJ394=0,AsOfUTC&gt;Q394),1,0)</f>
        <v>0</v>
      </c>
      <c r="AL394" s="61" t="n">
        <f aca="false">IFERROR(IF(AND(AI394=1,OR(TRIM(U394)="Fail",AND(TRIM(AB394)&lt;&gt;"",TRIM(AB394)&lt;&gt;"Closed"),AND(ISNUMBER(AF394),AF394&lt;&gt;0,TRIM(U394)&lt;&gt;"Pass after CA"))),1,0),1)</f>
        <v>0</v>
      </c>
      <c r="AM394" s="61" t="n">
        <f aca="false">IF(LEFT(AH394,7)="INVALID",1,0)</f>
        <v>0</v>
      </c>
      <c r="AN394" s="61" t="n">
        <f aca="false">IF(AND(N394="Clarification required",AI394=1,AJ394=0),1,0)</f>
        <v>0</v>
      </c>
      <c r="AO394" s="61" t="str">
        <f aca="false">IF(AK394=1,SUM(AK$5:AK394),"")</f>
        <v/>
      </c>
      <c r="AP394" s="61" t="str">
        <f aca="false">IF(AL394=1,SUM(AL$5:AL394),"")</f>
        <v/>
      </c>
      <c r="AQ394" s="61" t="n">
        <v>0</v>
      </c>
      <c r="AR394" s="61" t="n">
        <v>0</v>
      </c>
      <c r="AS394" s="61" t="n">
        <v>0</v>
      </c>
      <c r="AT394" s="61" t="n">
        <v>0</v>
      </c>
      <c r="AU394" s="61" t="str">
        <f aca="false">SUBSTITUTE(SUBSTITUTE(SUBSTITUTE(SUBSTITUTE(SUBSTITUTE(SUBSTITUTE(SUBSTITUTE(SUBSTITUTE(SUBSTITUTE(SUBSTITUTE(SUBSTITUTE(SUBSTITUTE(SUBSTITUTE(SUBSTITUTE(SUBSTITUTE(SUBSTITUTE(LOWER(T394&amp;""),CHAR(10),""),CHAR(13),""),CHAR(9),""),CHAR(160),"")," ",""),".",""),"-",""),"/",""),"?",""),"_",""),",",""),"[",""),"]",""),"(",""),")",""),"*","")</f>
        <v/>
      </c>
      <c r="AV394" s="61" t="str">
        <f aca="false">SUBSTITUTE(SUBSTITUTE(SUBSTITUTE(SUBSTITUTE(SUBSTITUTE(SUBSTITUTE(SUBSTITUTE(SUBSTITUTE(SUBSTITUTE(SUBSTITUTE(SUBSTITUTE(SUBSTITUTE(SUBSTITUTE(SUBSTITUTE(SUBSTITUTE(SUBSTITUTE(LOWER(V394&amp;""),CHAR(10),""),CHAR(13),""),CHAR(9),""),CHAR(160),"")," ",""),".",""),"-",""),"/",""),"?",""),"_",""),",",""),"[",""),"]",""),"(",""),")",""),"*","")</f>
        <v/>
      </c>
      <c r="AW394" s="61" t="str">
        <f aca="false">SUBSTITUTE(SUBSTITUTE(SUBSTITUTE(SUBSTITUTE(SUBSTITUTE(SUBSTITUTE(SUBSTITUTE(SUBSTITUTE(SUBSTITUTE(SUBSTITUTE(SUBSTITUTE(SUBSTITUTE(SUBSTITUTE(SUBSTITUTE(SUBSTITUTE(SUBSTITUTE(LOWER(Z394&amp;""),CHAR(10),""),CHAR(13),""),CHAR(9),""),CHAR(160),"")," ",""),".",""),"-",""),"/",""),"?",""),"_",""),",",""),"[",""),"]",""),"(",""),")",""),"*","")</f>
        <v/>
      </c>
      <c r="AX394" s="61" t="str">
        <f aca="false">SUBSTITUTE(SUBSTITUTE(SUBSTITUTE(SUBSTITUTE(SUBSTITUTE(SUBSTITUTE(SUBSTITUTE(SUBSTITUTE(SUBSTITUTE(SUBSTITUTE(SUBSTITUTE(SUBSTITUTE(SUBSTITUTE(SUBSTITUTE(SUBSTITUTE(SUBSTITUTE(LOWER(AE394&amp;""),CHAR(10),""),CHAR(13),""),CHAR(9),""),CHAR(160),"")," ",""),".",""),"-",""),"/",""),"?",""),"_",""),",",""),"[",""),"]",""),"(",""),")",""),"*","")</f>
        <v/>
      </c>
      <c r="AY394" s="61" t="str">
        <f aca="false">SUBSTITUTE(SUBSTITUTE(SUBSTITUTE(SUBSTITUTE(SUBSTITUTE(SUBSTITUTE(SUBSTITUTE(SUBSTITUTE(SUBSTITUTE(SUBSTITUTE(SUBSTITUTE(SUBSTITUTE(SUBSTITUTE(SUBSTITUTE(SUBSTITUTE(SUBSTITUTE(LOWER(W394&amp;""),CHAR(10),""),CHAR(13),""),CHAR(9),""),CHAR(160),"")," ",""),".",""),"-",""),"/",""),"?",""),"_",""),",",""),"[",""),"]",""),"(",""),")",""),"*","")</f>
        <v/>
      </c>
      <c r="AZ394" s="61" t="str">
        <f aca="false">SUBSTITUTE(SUBSTITUTE(SUBSTITUTE(SUBSTITUTE(SUBSTITUTE(SUBSTITUTE(SUBSTITUTE(SUBSTITUTE(SUBSTITUTE(SUBSTITUTE(SUBSTITUTE(SUBSTITUTE(SUBSTITUTE(SUBSTITUTE(SUBSTITUTE(SUBSTITUTE(LOWER(AC394&amp;""),CHAR(10),""),CHAR(13),""),CHAR(9),""),CHAR(160),"")," ",""),".",""),"-",""),"/",""),"?",""),"_",""),",",""),"[",""),"]",""),"(",""),")",""),"*","")</f>
        <v/>
      </c>
      <c r="BA394" s="61" t="str">
        <f aca="false">SUBSTITUTE(SUBSTITUTE(SUBSTITUTE(SUBSTITUTE(SUBSTITUTE(SUBSTITUTE(SUBSTITUTE(SUBSTITUTE(SUBSTITUTE(SUBSTITUTE(SUBSTITUTE(SUBSTITUTE(SUBSTITUTE(SUBSTITUTE(SUBSTITUTE(SUBSTITUTE(LOWER(AA394&amp;""),CHAR(10),""),CHAR(13),""),CHAR(9),""),CHAR(160),"")," ",""),".",""),"-",""),"/",""),"?",""),"_",""),",",""),"[",""),"]",""),"(",""),")",""),"*","")</f>
        <v/>
      </c>
      <c r="BB394" s="61" t="str">
        <f aca="false">IF(AND(TRIM(U394)="Pass",ISNUMBER(AF394)),IF(AF394&lt;&gt;0,"INVALID – qty variance: use Fail or Pass after CA",""),"")&amp;IF(AND(TRIM(U394)="Pass after CA",ISNUMBER(AF394)),IF(AF394&lt;&gt;0,"INVALID – after the corrective action the actual qty must equal expected (update Actual)",""),"")&amp;IF(AND(TRIM(U394)="Pass",TRIM(AB394)&lt;&gt;"",TRIM(AB394)&lt;&gt;"Closed"),"INVALID – corrective action not closed: use Fail, then Pass after CA","")&amp;IF(AND(LEN(BA394)&gt;=2,ISNA(MATCH(LEFT(BA394,255),L_Placeholder,0)),TRIM(AB394)=""),"INVALID – CA status missing for the recorded corrective action","")&amp;IF(AND(TRIM(U394)="Pass after CA",OR(OR(LEN(BA394)&lt;5,ISNUMBER(MATCH(BA394,L_Placeholder,0))),TRIM(AB394)&lt;&gt;"Closed")),"INVALID – corrective action not recorded/closed","")</f>
        <v/>
      </c>
      <c r="BC394" s="61" t="str">
        <f aca="false">" "&amp;TRIM(SUBSTITUTE(SUBSTITUTE(SUBSTITUTE(SUBSTITUTE(SUBSTITUTE(SUBSTITUTE(SUBSTITUTE(SUBSTITUTE(SUBSTITUTE(SUBSTITUTE(SUBSTITUTE(SUBSTITUTE(SUBSTITUTE(SUBSTITUTE(SUBSTITUTE(SUBSTITUTE(SUBSTITUTE(SUBSTITUTE(SUBSTITUTE(SUBSTITUTE(SUBSTITUTE(SUBSTITUTE(SUBSTITUTE(SUBSTITUTE(LOWER(V394&amp;""),CHAR(10)," "),CHAR(13)," "),CHAR(9)," "),CHAR(160)," "),"."," "),","," "),"-"," "),"/"," "),"("," "),")"," "),":"," "),";"," "),"_"," "),"–"," "),"?"," "),"!"," "),"*"," "),"["," "),"]"," "),"'"," "),"#"," "),"+"," "),"&amp;"," "),"\"," "))&amp;" "</f>
        <v>  </v>
      </c>
      <c r="BD394" s="61" t="str">
        <f aca="false">" "&amp;TRIM(SUBSTITUTE(SUBSTITUTE(SUBSTITUTE(SUBSTITUTE(SUBSTITUTE(SUBSTITUTE(SUBSTITUTE(SUBSTITUTE(SUBSTITUTE(SUBSTITUTE(SUBSTITUTE(SUBSTITUTE(SUBSTITUTE(SUBSTITUTE(SUBSTITUTE(SUBSTITUTE(SUBSTITUTE(SUBSTITUTE(SUBSTITUTE(SUBSTITUTE(SUBSTITUTE(SUBSTITUTE(SUBSTITUTE(SUBSTITUTE(LOWER(Z394&amp;""),CHAR(10)," "),CHAR(13)," "),CHAR(9)," "),CHAR(160)," "),"."," "),","," "),"-"," "),"/"," "),"("," "),")"," "),":"," "),";"," "),"_"," "),"–"," "),"?"," "),"!"," "),"*"," "),"["," "),"]"," "),"'"," "),"#"," "),"+"," "),"&amp;"," "),"\"," "))&amp;" "</f>
        <v>  </v>
      </c>
      <c r="BE394" s="61" t="str">
        <f aca="false">" "&amp;TRIM(SUBSTITUTE(SUBSTITUTE(SUBSTITUTE(SUBSTITUTE(SUBSTITUTE(SUBSTITUTE(SUBSTITUTE(SUBSTITUTE(SUBSTITUTE(SUBSTITUTE(SUBSTITUTE(SUBSTITUTE(SUBSTITUTE(SUBSTITUTE(SUBSTITUTE(SUBSTITUTE(SUBSTITUTE(SUBSTITUTE(SUBSTITUTE(SUBSTITUTE(SUBSTITUTE(SUBSTITUTE(SUBSTITUTE(SUBSTITUTE(LOWER(W394&amp;""),CHAR(10)," "),CHAR(13)," "),CHAR(9)," "),CHAR(160)," "),"."," "),","," "),"-"," "),"/"," "),"("," "),")"," "),":"," "),";"," "),"_"," "),"–"," "),"?"," "),"!"," "),"*"," "),"["," "),"]"," "),"'"," "),"#"," "),"+"," "),"&amp;"," "),"\"," "))&amp;" "</f>
        <v>  </v>
      </c>
      <c r="BF394" s="61" t="str">
        <f aca="false">" "&amp;TRIM(SUBSTITUTE(SUBSTITUTE(SUBSTITUTE(SUBSTITUTE(SUBSTITUTE(SUBSTITUTE(SUBSTITUTE(SUBSTITUTE(SUBSTITUTE(SUBSTITUTE(SUBSTITUTE(SUBSTITUTE(SUBSTITUTE(SUBSTITUTE(SUBSTITUTE(SUBSTITUTE(SUBSTITUTE(SUBSTITUTE(SUBSTITUTE(SUBSTITUTE(SUBSTITUTE(SUBSTITUTE(SUBSTITUTE(SUBSTITUTE(LOWER(AC394&amp;""),CHAR(10)," "),CHAR(13)," "),CHAR(9)," "),CHAR(160)," "),"."," "),","," "),"-"," "),"/"," "),"("," "),")"," "),":"," "),";"," "),"_"," "),"–"," "),"?"," "),"!"," "),"*"," "),"["," "),"]"," "),"'"," "),"#"," "),"+"," "),"&amp;"," "),"\"," "))&amp;" "</f>
        <v>  </v>
      </c>
      <c r="BG394" s="61" t="n">
        <f aca="false">IFERROR(IF(AND(TRIM(U394)="Pass",SUMPRODUCT((LEN(BC394)-LEN(SUBSTITUTE(BC394," "&amp;L_ResultBad&amp;" "," ")))/(LEN(L_ResultBad)+1))&gt;SUMPRODUCT((LEN(BC394)-LEN(SUBSTITUTE(BC394," "&amp;L_NegPhrase&amp;" "," ")))/(LEN(L_NegPhrase)+1))),1,0),0)</f>
        <v>0</v>
      </c>
      <c r="BH394" s="61" t="n">
        <f aca="false">IFERROR(IF(SUMPRODUCT((LEN(BC394)-LEN(SUBSTITUTE(BC394," "&amp;L_Pending&amp;" "," ")))/(LEN(L_Pending)+1))&gt;SUMPRODUCT((LEN(BC394)-LEN(SUBSTITUTE(BC394," "&amp;L_PendNeg&amp;" "," ")))/(LEN(L_PendNeg)+1))+SUMPRODUCT((LEN(BC394)-LEN(SUBSTITUTE(BC394," "&amp;L_PendPrep&amp;" "," ")))/(LEN(L_PendPrep)+1)),1,0),1)</f>
        <v>0</v>
      </c>
      <c r="BI394" s="61" t="n">
        <f aca="false">IFERROR(IF(SUMPRODUCT((LEN(BD394)-LEN(SUBSTITUTE(BD394," "&amp;L_PendStrict&amp;" "," ")))/(LEN(L_PendStrict)+1))&gt;SUMPRODUCT((LEN(BD394)-LEN(SUBSTITUTE(BD394," "&amp;L_PendNeg&amp;" "," ")))/(LEN(L_PendNeg)+1)),1,0),1)</f>
        <v>0</v>
      </c>
      <c r="BJ394" s="61" t="n">
        <f aca="false">IFERROR(IF(SUMPRODUCT((LEN(BE394)-LEN(SUBSTITUTE(BE394," "&amp;L_Pending&amp;" "," ")))/(LEN(L_Pending)+1))&gt;SUMPRODUCT((LEN(BE394)-LEN(SUBSTITUTE(BE394," "&amp;L_PendNeg&amp;" "," ")))/(LEN(L_PendNeg)+1))+SUMPRODUCT((LEN(BE394)-LEN(SUBSTITUTE(BE394," "&amp;L_PendPrep&amp;" "," ")))/(LEN(L_PendPrep)+1)),1,0),1)</f>
        <v>0</v>
      </c>
      <c r="BK394" s="61" t="n">
        <f aca="false">IFERROR(IF(SUMPRODUCT((LEN(BF394)-LEN(SUBSTITUTE(BF394," "&amp;L_PendStrict&amp;" "," ")))/(LEN(L_PendStrict)+1))&gt;SUMPRODUCT((LEN(BF394)-LEN(SUBSTITUTE(BF394," "&amp;L_PendNeg&amp;" "," ")))/(LEN(L_PendNeg)+1)),1,0),1)</f>
        <v>0</v>
      </c>
      <c r="BL394" s="61" t="n">
        <f aca="false">IF(ISNA(MATCH(TRIM(S394),L_EvidenceType,0)),0,BZ394)</f>
        <v>0</v>
      </c>
      <c r="BM394" s="61" t="str">
        <f aca="false">SUBSTITUTE(SUBSTITUTE(SUBSTITUTE(SUBSTITUTE(SUBSTITUTE(SUBSTITUTE(SUBSTITUTE(SUBSTITUTE(SUBSTITUTE(LOWER(Z394&amp;""),"1","0"),"2","0"),"3","0"),"4","0"),"5","0"),"6","0"),"7","0"),"8","0"),"9","0")</f>
        <v/>
      </c>
      <c r="BN394" s="61" t="str">
        <f aca="false">SUBSTITUTE(SUBSTITUTE(SUBSTITUTE(SUBSTITUTE(SUBSTITUTE(SUBSTITUTE(SUBSTITUTE(SUBSTITUTE(SUBSTITUTE(SUBSTITUTE(SUBSTITUTE(SUBSTITUTE(SUBSTITUTE(SUBSTITUTE(SUBSTITUTE(SUBSTITUTE(SUBSTITUTE(SUBSTITUTE(SUBSTITUTE(SUBSTITUTE(SUBSTITUTE(SUBSTITUTE(SUBSTITUTE(SUBSTITUTE(SUBSTITUTE(BM394,"b","a"),"c","a"),"d","a"),"e","a"),"f","a"),"g","a"),"h","a"),"i","a"),"j","a"),"k","a"),"l","a"),"m","a"),"n","a"),"o","a"),"p","a"),"q","a"),"r","a"),"s","a"),"t","a"),"u","a"),"v","a"),"w","a"),"x","a"),"y","a"),"z","a")</f>
        <v/>
      </c>
      <c r="BO394" s="61" t="str">
        <f aca="false">SUBSTITUTE(SUBSTITUTE(SUBSTITUTE(SUBSTITUTE(SUBSTITUTE(SUBSTITUTE(SUBSTITUTE(SUBSTITUTE(SUBSTITUTE(LOWER(W394&amp;""),"1","0"),"2","0"),"3","0"),"4","0"),"5","0"),"6","0"),"7","0"),"8","0"),"9","0")</f>
        <v/>
      </c>
      <c r="BP394" s="61" t="str">
        <f aca="false">SUBSTITUTE(SUBSTITUTE(SUBSTITUTE(SUBSTITUTE(SUBSTITUTE(SUBSTITUTE(SUBSTITUTE(SUBSTITUTE(SUBSTITUTE(SUBSTITUTE(SUBSTITUTE(SUBSTITUTE(SUBSTITUTE(SUBSTITUTE(SUBSTITUTE(SUBSTITUTE(SUBSTITUTE(SUBSTITUTE(SUBSTITUTE(SUBSTITUTE(SUBSTITUTE(SUBSTITUTE(SUBSTITUTE(SUBSTITUTE(SUBSTITUTE(BO394,"b","a"),"c","a"),"d","a"),"e","a"),"f","a"),"g","a"),"h","a"),"i","a"),"j","a"),"k","a"),"l","a"),"m","a"),"n","a"),"o","a"),"p","a"),"q","a"),"r","a"),"s","a"),"t","a"),"u","a"),"v","a"),"w","a"),"x","a"),"y","a"),"z","a")</f>
        <v/>
      </c>
      <c r="BQ394" s="61" t="n">
        <f aca="false">IFERROR(IF(AND(ISERROR(SEARCH(" mh"," "&amp;LOWER(W394))),ISNA(MATCH(LEFT(TRIM(BP394),255),{"0000a","000a","00a","0000aa","000aa","00aa","0aa","0000aaa","000aaa","00a00","0a00","0000-0000","00:00","a00","a0","00.00.0000","00/00/0000","00-00-0000","0000-00-00","0000/00/00","0000.00.00","00.00.00","00/00/00","00-00-00","0.00.0000","0/00/0000","0-00-0000"},0)),ISNA(MATCH(LEFT(TRIM(CA394),255),{"0000a","000a","00a","0000aa","000aa","00aa","0aa","0000aaa","000aaa","00a00","0a00","0000-0000","00:00","a00","a0","00.00.0000","00/00/0000","00-00-0000","0000-00-00","0000/00/00","0000.00.00","00.00.00","00/00/00","00-00-00","0.00.0000","0/00/0000","0-00-0000"},0)),LEN(CB394)&gt;=3,NOT(OR(SUBSTITUTE(CB394,"0","")="",AND(LEN(CB394)&gt;=4,CB394=REPT(LEFT(CB394),LEN(CB394))),ISNUMBER(MATCH(CB394,{"123","1234","12345","123456","1234567","12345678","0123","01234","012345","98765","987654","54321"},0)),AND(LEN(CB394)=8,LEFT(CB394,3)="202"))),OR(AND((LEN(CA394)-LEN(SUBSTITUTE(CA394,"a","")))&gt;=1,SUMPRODUCT(--ISNUMBER(SEARCH({"a0","a-0","a_0","a/0","a.0","a#0","0a","0-a","0_a","0/a"},BP394)))&gt;0),ISNUMBER(SEARCH("000000",BP394)))),1,0),0)</f>
        <v>0</v>
      </c>
      <c r="BR394" s="61" t="n">
        <f aca="false">IFERROR(LEN(SUBSTITUTE(CC394," ",""))-SUMPRODUCT((LEN(CC394)-LEN(SUBSTITUTE(CC394," "&amp;L_Role&amp;" "," ")))/(LEN(L_Role)+1)*LEN(L_Role)),0)</f>
        <v>0</v>
      </c>
      <c r="BS394" s="61" t="n">
        <f aca="false">IFERROR(LEN(SUBSTITUTE(CD394," ",""))-SUMPRODUCT((LEN(CD394)-LEN(SUBSTITUTE(CD394," "&amp;L_Role&amp;" "," ")))/(LEN(L_Role)+1)*LEN(L_Role)),0)</f>
        <v>0</v>
      </c>
      <c r="BT3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394,"revision",""),"version",""),"jan",""),"feb",""),"mar",""),"apr",""),"may",""),"jun",""),"jul",""),"aug",""),"sep",""),"oct",""),"nov",""),"dec",""),"utc",""),"gmt",""),"myt",""),"bst",""),"rev",""),"ver",""),"b","a"),"c","a"),"d","a"),"e","a"),"f","a"),"g","a"),"h","a"),"i","a"),"j","a"),"k","a"),"l","a"),"m","a"),"n","a"),"o","a"),"p","a"),"q","a"),"r","a"),"s","a"),"t","a"),"u","a"),"v","a"),"w","a"),"x","a"),"y","a"),"z","a")</f>
        <v/>
      </c>
      <c r="BU394" s="61" t="str">
        <f aca="false">SUBSTITUTE(SUBSTITUTE(SUBSTITUTE(SUBSTITUTE(SUBSTITUTE(SUBSTITUTE(SUBSTITUTE(SUBSTITUTE(SUBSTITUTE(SUBSTITUTE(LEFT(BM394,FIND("0",BM394&amp;"0")-1),"-",""),"_",""),"/",""),".",""),"#",""),"\\",""),":","")," ",""),"(",""),")","")</f>
        <v/>
      </c>
      <c r="BV394" s="61" t="n">
        <f aca="false">0</f>
        <v>0</v>
      </c>
      <c r="BW3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394&amp;""),"a",""),"b",""),"c",""),"d",""),"e",""),"f",""),"g",""),"h",""),"i",""),"j",""),"k",""),"l",""),"m",""),"n",""),"o",""),"p",""),"q",""),"r",""),"s",""),"t",""),"u",""),"v",""),"w",""),"x",""),"y",""),"z",""),"-",""),"_",""),"/",""),".",""),"#",""),"\\",""),":","")," ",""),"(",""),")","")</f>
        <v/>
      </c>
      <c r="BX394" s="61" t="str">
        <f aca="false">SUBSTITUTE(SUBSTITUTE(SUBSTITUTE(SUBSTITUTE(SUBSTITUTE(SUBSTITUTE(SUBSTITUTE(SUBSTITUTE(SUBSTITUTE(SUBSTITUTE(SUBSTITUTE(BM394,"0",""),"-",""),"_",""),"/",""),".",""),"#",""),"\\",""),":","")," ",""),"(",""),")","")</f>
        <v/>
      </c>
      <c r="BY394" s="62" t="n">
        <f aca="false">Q394-T12EarlyH/24</f>
        <v>46306.6006944444</v>
      </c>
      <c r="BZ394" s="61" t="n">
        <f aca="false">IFERROR(IF(IF(TRIM(S394)="Link / file path",AND(LEN(TRIM(Z394))&gt;=5,SUMPRODUCT(--ISNUMBER(SEARCH({"http","www.","\\",":\",".pdf",".jpg",".jpeg",".png",".heic",".xls",".doc",".msg",".eml",".ppt",".txt",".zip"},Z394)))&gt;0),AND(ISERROR(FIND(" ",TRIM(Z394))),NOT(OR(SUMPRODUCT(--ISNUMBER(FIND({",",";","&amp;","+"},Z394)))&gt;0,SUMPRODUCT(--ISNUMBER(SEARCH({"0/aa","0\\aa"},BN394)))&gt;0)),NOT(SUMPRODUCT(--ISNUMBER(SEARCH({"http","www.","\\",":\",".pdf",".jpg",".jpeg",".png",".heic",".xls",".doc",".msg",".eml",".ppt",".txt",".zip"},Z394)))&gt;0),NOT(LOWER(TRIM(Z394))=LOWER(Flights!$F$16)),ISNA(MATCH(BU394,{"mh","rev","revision","ver","version","v","r","a","b","seat","tray","row","gate","bay","stand","page","pg","item","line","no","cart","galley","flight","flt","table","box","bag","oven","etd","eta","std","sta","atd","ata","qty","pax","x","time","tel","ph","mob","day","wk","week","utc","gmt","myt","lt"},0)),NOT(OR(ISNUMBER(MATCH(LEFT(BN394,255),{"0000a","000a","00a","0000aa","000aa","00aa","0aa","0000aaa","000aaa","00a00","0a00","0000-0000","00:00","a00","a0","00.00.0000","00/00/0000","00-00-0000","0000-00-00","0000/00/00","0000.00.00","00.00.00","00/00/00","00-00-00","0.00.0000","0/00/0000","0-00-0000"},0)),ISNUMBER(MATCH(LEFT(BT394,255),{"0000a","000a","00a","0000aa","000aa","00aa","0aa","0000aaa","000aaa","00a00","0a00","0000-0000","00:00","a00","a0","00.00.0000","00/00/0000","00-00-0000","0000-00-00","0000/00/00","0000.00.00","00.00.00","00/00/00","00-00-00","0.00.0000","0/00/0000","0-00-0000"},0)))),NOT(OR(AND(BW394&lt;&gt;"",SUBSTITUTE(BW394,"0","")=""),AND(LEN(BW394)&gt;=4,BW394=REPT(LEFT(BW394),LEN(BW394))),ISNUMBER(MATCH(BW394,{"123","1234","12345","123456","1234567","12345678","0123","01234","012345","98765","987654","54321"},0)),ISNUMBER(MATCH(BX394,{"x","xx","xxx","xxxx","xxxxx","abc","abcd","nil","na","nan","test","tbc","tba","tbd","dummy","sample","example","eg","zz","zzz","none","null","xyz","qwe","asd","id","ref"},0)),AND(LEN(BW394)=8,BX394="",OR(LEFT(BW394,3)="202",ISNUMBER(MATCH(RIGHT(BW394,4),{"2025","2026","2027"},0)))))),OR(AND((LEN(BT394)-LEN(SUBSTITUTE(BT394,"a","")))&gt;=1,(LEN(BN394)-LEN(SUBSTITUTE(BN394,"0","")))&gt;=2,SUMPRODUCT(--ISNUMBER(SEARCH({"a0","a-0","a_0","a/0","a.0","a#0","0a","0-a","0_a","0/a"},BN394)))&gt;0),AND((LEN(BN394)-LEN(SUBSTITUTE(BN394,"a","")))=0,(LEN(BN394)-LEN(SUBSTITUTE(BN394,"0","")))&gt;=5)))),1,0),0)</f>
        <v>0</v>
      </c>
      <c r="CA3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394,"revision",""),"version",""),"jan",""),"feb",""),"mar",""),"apr",""),"may",""),"jun",""),"jul",""),"aug",""),"sep",""),"oct",""),"nov",""),"dec",""),"utc",""),"gmt",""),"myt",""),"bst",""),"rev",""),"ver",""),"b","a"),"c","a"),"d","a"),"e","a"),"f","a"),"g","a"),"h","a"),"i","a"),"j","a"),"k","a"),"l","a"),"m","a"),"n","a"),"o","a"),"p","a"),"q","a"),"r","a"),"s","a"),"t","a"),"u","a"),"v","a"),"w","a"),"x","a"),"y","a"),"z","a")</f>
        <v/>
      </c>
      <c r="CB3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394&amp;""),"a",""),"b",""),"c",""),"d",""),"e",""),"f",""),"g",""),"h",""),"i",""),"j",""),"k",""),"l",""),"m",""),"n",""),"o",""),"p",""),"q",""),"r",""),"s",""),"t",""),"u",""),"v",""),"w",""),"x",""),"y",""),"z",""),"-",""),"_",""),"/",""),".",""),"#",""),"\\",""),":","")," ",""),"(",""),")","")</f>
        <v/>
      </c>
      <c r="CC394" s="0" t="str">
        <f aca="false">" "&amp;TRIM(SUBSTITUTE(SUBSTITUTE(SUBSTITUTE(SUBSTITUTE(SUBSTITUTE(SUBSTITUTE(SUBSTITUTE(SUBSTITUTE(SUBSTITUTE(SUBSTITUTE(SUBSTITUTE(SUBSTITUTE(SUBSTITUTE(SUBSTITUTE(SUBSTITUTE(SUBSTITUTE(SUBSTITUTE(SUBSTITUTE(SUBSTITUTE(SUBSTITUTE(SUBSTITUTE(SUBSTITUTE(SUBSTITUTE(SUBSTITUTE(LOWER(T394&amp;""),CHAR(10)," "),CHAR(13)," "),CHAR(9)," "),CHAR(160)," "),"."," "),","," "),"-"," "),"/"," "),"("," "),")"," "),":"," "),";"," "),"_"," "),"–"," "),"?"," "),"!"," "),"*"," "),"["," "),"]"," "),"'"," "),"#"," "),"+"," "),"&amp;"," "),"\"," "))&amp;" "</f>
        <v>  </v>
      </c>
      <c r="CD394" s="0" t="str">
        <f aca="false">" "&amp;TRIM(SUBSTITUTE(SUBSTITUTE(SUBSTITUTE(SUBSTITUTE(SUBSTITUTE(SUBSTITUTE(SUBSTITUTE(SUBSTITUTE(SUBSTITUTE(SUBSTITUTE(SUBSTITUTE(SUBSTITUTE(SUBSTITUTE(SUBSTITUTE(SUBSTITUTE(SUBSTITUTE(SUBSTITUTE(SUBSTITUTE(SUBSTITUTE(SUBSTITUTE(SUBSTITUTE(SUBSTITUTE(SUBSTITUTE(SUBSTITUTE(LOWER(AE394&amp;""),CHAR(10)," "),CHAR(13)," "),CHAR(9)," "),CHAR(160)," "),"."," "),","," "),"-"," "),"/"," "),"("," "),")"," "),":"," "),";"," "),"_"," "),"–"," "),"?"," "),"!"," "),"*"," "),"["," "),"]"," "),"'"," "),"#"," "),"+"," "),"&amp;"," "),"\"," "))&amp;" "</f>
        <v>  </v>
      </c>
      <c r="CE394" s="68" t="n">
        <f aca="false">IFERROR(IF(AND(LEN(AU394)&gt;0,LEN(AU394)=LEN(AX394),OR(TRIM(MID(SUBSTITUTE(TRIM(CC394)," ",REPT(" ",60)),1,60))="",ISNUMBER(SEARCH(" "&amp;TRIM(MID(SUBSTITUTE(TRIM(CC394)," ",REPT(" ",60)),1,60))&amp;" ",CD394))),OR(TRIM(MID(SUBSTITUTE(TRIM(CC394)," ",REPT(" ",60)),61,60))="",ISNUMBER(SEARCH(" "&amp;TRIM(MID(SUBSTITUTE(TRIM(CC394)," ",REPT(" ",60)),61,60))&amp;" ",CD394))),OR(TRIM(MID(SUBSTITUTE(TRIM(CC394)," ",REPT(" ",60)),121,60))="",ISNUMBER(SEARCH(" "&amp;TRIM(MID(SUBSTITUTE(TRIM(CC394)," ",REPT(" ",60)),121,60))&amp;" ",CD394)))),1,0),0)</f>
        <v>0</v>
      </c>
      <c r="CG394" s="68" t="n">
        <f aca="false">IFERROR(LEN(SUBSTITUTE(BF394," ",""))-SUMPRODUCT((LEN(BF394)-LEN(SUBSTITUTE(BF394," "&amp;L_NAFiller&amp;" "," ")))/(LEN(L_NAFiller)+1)*LEN(L_NAFiller)),0)</f>
        <v>0</v>
      </c>
    </row>
    <row r="395" customFormat="false" ht="78.75" hidden="false" customHeight="true" outlineLevel="0" collapsed="false">
      <c r="A395" s="57" t="s">
        <v>1010</v>
      </c>
      <c r="B395" s="57" t="s">
        <v>261</v>
      </c>
      <c r="C395" s="57" t="str">
        <f aca="false">Flights!$F$16</f>
        <v>MH0139</v>
      </c>
      <c r="D395" s="58" t="n">
        <f aca="false">Flights!$D$16</f>
        <v>46307</v>
      </c>
      <c r="E395" s="57" t="str">
        <f aca="false">Flights!$G$16&amp;"-"&amp;Flights!$H$16</f>
        <v>KUL-ADL</v>
      </c>
      <c r="F395" s="57" t="str">
        <f aca="false">Flights!$K$16</f>
        <v>BC</v>
      </c>
      <c r="G395" s="57" t="s">
        <v>420</v>
      </c>
      <c r="H395" s="57" t="s">
        <v>378</v>
      </c>
      <c r="I395" s="57" t="s">
        <v>428</v>
      </c>
      <c r="J395" s="57" t="s">
        <v>435</v>
      </c>
      <c r="K395" s="67" t="s">
        <v>1011</v>
      </c>
      <c r="L395" s="67" t="s">
        <v>422</v>
      </c>
      <c r="M395" s="67"/>
      <c r="N395" s="67" t="s">
        <v>383</v>
      </c>
      <c r="O395" s="67" t="s">
        <v>423</v>
      </c>
      <c r="P395" s="57" t="s">
        <v>187</v>
      </c>
      <c r="Q395" s="59" t="n">
        <f aca="false">ROUND((Flights!$AE$16)*1440,0)/1440</f>
        <v>46307.1006944444</v>
      </c>
      <c r="R395" s="59" t="n">
        <f aca="false">Q395+(IF(AND(INDEX(TZ_DSTS,MATCH(P395,TZ_STN,0))&lt;&gt;"",Q395&gt;=INDEX(TZ_DSTS,MATCH(P395,TZ_STN,0)),Q395&lt;INDEX(TZ_DSTE,MATCH(P395,TZ_STN,0))),INDEX(TZ_DST,MATCH(P395,TZ_STN,0)),INDEX(TZ_STD,MATCH(P395,TZ_STN,0))))/24</f>
        <v>46307.4340277778</v>
      </c>
      <c r="S395" s="60"/>
      <c r="T395" s="60"/>
      <c r="U395" s="60"/>
      <c r="V395" s="60"/>
      <c r="W395" s="61"/>
      <c r="X395" s="60"/>
      <c r="Y395" s="60"/>
      <c r="Z395" s="60"/>
      <c r="AA395" s="60"/>
      <c r="AB395" s="60"/>
      <c r="AC395" s="60"/>
      <c r="AD395" s="66"/>
      <c r="AE395" s="60"/>
      <c r="AF395" s="61" t="str">
        <f aca="false">IF(AND(ISNUMBER(X395),ISNUMBER(Y395)),Y395-X395,"")</f>
        <v/>
      </c>
      <c r="AG395" s="62" t="str">
        <f aca="false">IF(ISNUMBER(AD395),AD395-(IF(AND(INDEX(TZ_DSTS,MATCH(P395,TZ_STN,0))&lt;&gt;"",(AD395-INDEX(TZ_STD,MATCH(P395,TZ_STN,0))/24)&gt;=INDEX(TZ_DSTS,MATCH(P395,TZ_STN,0)),(AD395-INDEX(TZ_STD,MATCH(P395,TZ_STN,0))/24)&lt;INDEX(TZ_DSTE,MATCH(P395,TZ_STN,0))),INDEX(TZ_DST,MATCH(P395,TZ_STN,0)),INDEX(TZ_STD,MATCH(P395,TZ_STN,0))))/24,"")</f>
        <v/>
      </c>
      <c r="AH395" s="65" t="str">
        <f aca="false">IFERROR(IF(N395="N/A – rule",IF(OR(TRIM(U395)="",TRIM(U395)="N/A",TRIM(U395)="Not started"),"N/A – RULE","INVALID – this check does not apply to this aircraft: clear the status (or correct the fleet on Flights)"),IF(TRIM(U395)="N/A",IF(AT395=0,"INVALID – N/A not permitted for this check",IF(AND(TRIM(AB395)&lt;&gt;"",TRIM(AB395)&lt;&gt;"Closed"),"INVALID – corrective action still open",IF(AND(NOT(OR(LEN(AZ395)&lt;15,ISNUMBER(MATCH(AZ395,L_Placeholder,0)))),BK395=0,CG395&gt;=8,NOT(OR(LEN(AU395)&lt;2,ISNUMBER(MATCH(AU395,L_Placeholder,0)))),BR395&gt;=3,NOT(OR(LEN(AX395)&lt;2,ISNUMBER(MATCH(AX395,L_Placeholder,0)))),BS395&gt;=3,TRIM(AE395)&lt;&gt;TRIM(T395),AX395&lt;&gt;AU395,CE395=0),"N/A – JUSTIFIED","INVALID – N/A needs a real, settled reason (not 'not applicable' / 'as above' / TBC), a named PIC and a different named verifier"))),IF(OR(TRIM(U395)="Pass",TRIM(U395)="Pass after CA"),IF(NOT(ISNUMBER(AD395)),"INVALID – completion time missing",IF(OR(OR(LEN(AU395)&lt;2,ISNUMBER(MATCH(AU395,L_Placeholder,0))),BR395&lt;3),"INVALID – PIC missing or not a named person (a role such as QA / CSM is not a name)",IF(OR(LEN(AV395)&lt;2,ISNUMBER(MATCH(AV395,L_Placeholder,0))),"INVALID – result / assessment missing",IF(OR(OR(LEN(AW395)&lt;3,ISNUMBER(MATCH(AW395,L_Placeholder,0))),SUMPRODUCT(--ISNUMBER(SEARCH(" "&amp;L_EvidencePhrase&amp;" ",BD395)))&gt;0,BI395=1),"INVALID – evidence missing, placeholder or not yet on file",IF(ISNA(MATCH(TRIM(S395),L_EvidenceType,0)),"INVALID – choose the evidence type from the list (column S)",IF(BL395=0,"INVALID – evidence ID must be the record's own ID only (e.g. SF-2210, IMG_2231, 1045521); a link / file name needs type 'Link / file path'",IF(OR(OR(LEN(AX395)&lt;2,ISNUMBER(MATCH(AX395,L_Placeholder,0))),BS395&lt;3),"INVALID – verifier missing or not a named person (a role such as QA / CSM is not a name)",IF(OR(AX395=AU395,CE395=1,AND(LEN(AU395)&gt;=4,ISNUMBER(SEARCH(AU395,AX395))),AND(LEN(AX395)&gt;=4,ISNUMBER(SEARCH(AX395,AU395)))),"INVALID – verifier must be a different, named person (not the PIC or a role)",IF(BH395=1,"INVALID – result not yet available (awaiting / TBC)",IF(BG395=1,"INVALID – result describes a problem: record Fail, then Pass after CA (or reword if it is not a problem)",IF(BV395=1,"INVALID – wording says not on board: an on-board confirmation needs the item loaded",IF(AND(AQ395=1,OR(OR(LEN(AY395)&lt;3,ISNUMBER(MATCH(AY395,L_Placeholder,0))),BJ395=1,BQ395=0)),"INVALID – batch ID missing, placeholder or not an ID (e.g. PASB-261008-BC-017)",IF(AND(AR395=1,OR(NOT(ISNUMBER(X395)),NOT(ISNUMBER(Y395)))),"INVALID – expected/actual qty missing",IF(AND(AR395=1,OR(X395&lt;=0,Y395&lt;0)),"INVALID – expected qty must be above 0 and actual not negative",IF(BB395&lt;&gt;"",BB395,IF(AND(AS395=1,Documents!$J$16&lt;&gt;"ON FILE"),"INVALID – GLD not on file (Documents sheet)",IF(AND(AS395=2,Documents!$O$16&lt;&gt;"ON FILE"),"INVALID – menu checklist not on file (Documents sheet)",IF(AND(AS395=3,NOT(ISNUMBER(Flights!$AX$16))),"INVALID – enter carrying flight KUL departure (Flights AX)",IF(AND(AS395=3,OR(Flights!$AZ$16&gt;Flights!$AA$16,Flights!$AX$16&lt;Flights!$AA$16-3)),"INVALID – carrying flight (Flights AX) cannot arrive before this leg's STD, or is over 3 days early",IF(AG395&gt;AsOfUTC,"INVALID – completion time is in the future",IF(AND(ISNUMBER(BY395),AG395&lt;BY395),IF(H395="Physical uplift","INVALID – before uplift window (cannot confirm loading)","INVALID – before valid window"),IF(AG395&gt;Flights!$AA$16,"INVALID – completed after departure (cannot establish readiness)",IF(AND(H395="Preparation",AG395&gt;=IF(ISNUMBER(Flights!$BA$16),MIN(Flights!$BA$16,Flights!$AA$16),Flights!$AA$16)),"INVALID – completed after loading / departure (cannot establish readiness)",IF(AND(H395="Physical uplift",AG395&gt;Q395),"INVALID – recorded after the loading flight departed",IF(AG395&gt;Q395,"COMPLETE – LATE","COMPLETE"))))))))))))))))))))))))),IF(TRIM(U395)="Fail","FAIL – DISCREPANCY",IF(AND(TRIM(U395)&lt;&gt;"",TRIM(U395)&lt;&gt;"Not started",TRIM(U395)&lt;&gt;"In progress"),"INVALID – unrecognised status (use the list)",IF(AsOfUTC&gt;Q395,"OVERDUE",IF(N395="Clarification required","OPEN – CLARIFICATION","OPEN"))))))),"INVALID – error value in an input cell")</f>
        <v>OPEN</v>
      </c>
      <c r="AI395" s="61" t="n">
        <f aca="false">IF(OR(AH395="N/A – RULE",AH395="N/A – JUSTIFIED"),0,1)</f>
        <v>1</v>
      </c>
      <c r="AJ395" s="61" t="n">
        <f aca="false">IF(LEFT(AH395,8)="COMPLETE",1,0)</f>
        <v>0</v>
      </c>
      <c r="AK395" s="61" t="n">
        <f aca="false">IF(AND(AI395=1,AJ395=0,AsOfUTC&gt;Q395),1,0)</f>
        <v>0</v>
      </c>
      <c r="AL395" s="61" t="n">
        <f aca="false">IFERROR(IF(AND(AI395=1,OR(TRIM(U395)="Fail",AND(TRIM(AB395)&lt;&gt;"",TRIM(AB395)&lt;&gt;"Closed"),AND(ISNUMBER(AF395),AF395&lt;&gt;0,TRIM(U395)&lt;&gt;"Pass after CA"))),1,0),1)</f>
        <v>0</v>
      </c>
      <c r="AM395" s="61" t="n">
        <f aca="false">IF(LEFT(AH395,7)="INVALID",1,0)</f>
        <v>0</v>
      </c>
      <c r="AN395" s="61" t="n">
        <f aca="false">IF(AND(N395="Clarification required",AI395=1,AJ395=0),1,0)</f>
        <v>0</v>
      </c>
      <c r="AO395" s="61" t="str">
        <f aca="false">IF(AK395=1,SUM(AK$5:AK395),"")</f>
        <v/>
      </c>
      <c r="AP395" s="61" t="str">
        <f aca="false">IF(AL395=1,SUM(AL$5:AL395),"")</f>
        <v/>
      </c>
      <c r="AQ395" s="61" t="n">
        <v>0</v>
      </c>
      <c r="AR395" s="61" t="n">
        <v>1</v>
      </c>
      <c r="AS395" s="61" t="n">
        <v>0</v>
      </c>
      <c r="AT395" s="61" t="n">
        <v>0</v>
      </c>
      <c r="AU395" s="61" t="str">
        <f aca="false">SUBSTITUTE(SUBSTITUTE(SUBSTITUTE(SUBSTITUTE(SUBSTITUTE(SUBSTITUTE(SUBSTITUTE(SUBSTITUTE(SUBSTITUTE(SUBSTITUTE(SUBSTITUTE(SUBSTITUTE(SUBSTITUTE(SUBSTITUTE(SUBSTITUTE(SUBSTITUTE(LOWER(T395&amp;""),CHAR(10),""),CHAR(13),""),CHAR(9),""),CHAR(160),"")," ",""),".",""),"-",""),"/",""),"?",""),"_",""),",",""),"[",""),"]",""),"(",""),")",""),"*","")</f>
        <v/>
      </c>
      <c r="AV395" s="61" t="str">
        <f aca="false">SUBSTITUTE(SUBSTITUTE(SUBSTITUTE(SUBSTITUTE(SUBSTITUTE(SUBSTITUTE(SUBSTITUTE(SUBSTITUTE(SUBSTITUTE(SUBSTITUTE(SUBSTITUTE(SUBSTITUTE(SUBSTITUTE(SUBSTITUTE(SUBSTITUTE(SUBSTITUTE(LOWER(V395&amp;""),CHAR(10),""),CHAR(13),""),CHAR(9),""),CHAR(160),"")," ",""),".",""),"-",""),"/",""),"?",""),"_",""),",",""),"[",""),"]",""),"(",""),")",""),"*","")</f>
        <v/>
      </c>
      <c r="AW395" s="61" t="str">
        <f aca="false">SUBSTITUTE(SUBSTITUTE(SUBSTITUTE(SUBSTITUTE(SUBSTITUTE(SUBSTITUTE(SUBSTITUTE(SUBSTITUTE(SUBSTITUTE(SUBSTITUTE(SUBSTITUTE(SUBSTITUTE(SUBSTITUTE(SUBSTITUTE(SUBSTITUTE(SUBSTITUTE(LOWER(Z395&amp;""),CHAR(10),""),CHAR(13),""),CHAR(9),""),CHAR(160),"")," ",""),".",""),"-",""),"/",""),"?",""),"_",""),",",""),"[",""),"]",""),"(",""),")",""),"*","")</f>
        <v/>
      </c>
      <c r="AX395" s="61" t="str">
        <f aca="false">SUBSTITUTE(SUBSTITUTE(SUBSTITUTE(SUBSTITUTE(SUBSTITUTE(SUBSTITUTE(SUBSTITUTE(SUBSTITUTE(SUBSTITUTE(SUBSTITUTE(SUBSTITUTE(SUBSTITUTE(SUBSTITUTE(SUBSTITUTE(SUBSTITUTE(SUBSTITUTE(LOWER(AE395&amp;""),CHAR(10),""),CHAR(13),""),CHAR(9),""),CHAR(160),"")," ",""),".",""),"-",""),"/",""),"?",""),"_",""),",",""),"[",""),"]",""),"(",""),")",""),"*","")</f>
        <v/>
      </c>
      <c r="AY395" s="61" t="str">
        <f aca="false">SUBSTITUTE(SUBSTITUTE(SUBSTITUTE(SUBSTITUTE(SUBSTITUTE(SUBSTITUTE(SUBSTITUTE(SUBSTITUTE(SUBSTITUTE(SUBSTITUTE(SUBSTITUTE(SUBSTITUTE(SUBSTITUTE(SUBSTITUTE(SUBSTITUTE(SUBSTITUTE(LOWER(W395&amp;""),CHAR(10),""),CHAR(13),""),CHAR(9),""),CHAR(160),"")," ",""),".",""),"-",""),"/",""),"?",""),"_",""),",",""),"[",""),"]",""),"(",""),")",""),"*","")</f>
        <v/>
      </c>
      <c r="AZ395" s="61" t="str">
        <f aca="false">SUBSTITUTE(SUBSTITUTE(SUBSTITUTE(SUBSTITUTE(SUBSTITUTE(SUBSTITUTE(SUBSTITUTE(SUBSTITUTE(SUBSTITUTE(SUBSTITUTE(SUBSTITUTE(SUBSTITUTE(SUBSTITUTE(SUBSTITUTE(SUBSTITUTE(SUBSTITUTE(LOWER(AC395&amp;""),CHAR(10),""),CHAR(13),""),CHAR(9),""),CHAR(160),"")," ",""),".",""),"-",""),"/",""),"?",""),"_",""),",",""),"[",""),"]",""),"(",""),")",""),"*","")</f>
        <v/>
      </c>
      <c r="BA395" s="61" t="str">
        <f aca="false">SUBSTITUTE(SUBSTITUTE(SUBSTITUTE(SUBSTITUTE(SUBSTITUTE(SUBSTITUTE(SUBSTITUTE(SUBSTITUTE(SUBSTITUTE(SUBSTITUTE(SUBSTITUTE(SUBSTITUTE(SUBSTITUTE(SUBSTITUTE(SUBSTITUTE(SUBSTITUTE(LOWER(AA395&amp;""),CHAR(10),""),CHAR(13),""),CHAR(9),""),CHAR(160),"")," ",""),".",""),"-",""),"/",""),"?",""),"_",""),",",""),"[",""),"]",""),"(",""),")",""),"*","")</f>
        <v/>
      </c>
      <c r="BB395" s="61" t="str">
        <f aca="false">IF(AND(TRIM(U395)="Pass",ISNUMBER(AF395)),IF(AF395&lt;&gt;0,"INVALID – qty variance: use Fail or Pass after CA",""),"")&amp;IF(AND(TRIM(U395)="Pass after CA",ISNUMBER(AF395)),IF(AF395&lt;&gt;0,"INVALID – after the corrective action the actual qty must equal expected (update Actual)",""),"")&amp;IF(AND(TRIM(U395)="Pass",TRIM(AB395)&lt;&gt;"",TRIM(AB395)&lt;&gt;"Closed"),"INVALID – corrective action not closed: use Fail, then Pass after CA","")&amp;IF(AND(LEN(BA395)&gt;=2,ISNA(MATCH(LEFT(BA395,255),L_Placeholder,0)),TRIM(AB395)=""),"INVALID – CA status missing for the recorded corrective action","")&amp;IF(AND(TRIM(U395)="Pass after CA",OR(OR(LEN(BA395)&lt;5,ISNUMBER(MATCH(BA395,L_Placeholder,0))),TRIM(AB395)&lt;&gt;"Closed")),"INVALID – corrective action not recorded/closed","")</f>
        <v/>
      </c>
      <c r="BC395" s="61" t="str">
        <f aca="false">" "&amp;TRIM(SUBSTITUTE(SUBSTITUTE(SUBSTITUTE(SUBSTITUTE(SUBSTITUTE(SUBSTITUTE(SUBSTITUTE(SUBSTITUTE(SUBSTITUTE(SUBSTITUTE(SUBSTITUTE(SUBSTITUTE(SUBSTITUTE(SUBSTITUTE(SUBSTITUTE(SUBSTITUTE(SUBSTITUTE(SUBSTITUTE(SUBSTITUTE(SUBSTITUTE(SUBSTITUTE(SUBSTITUTE(SUBSTITUTE(SUBSTITUTE(LOWER(V395&amp;""),CHAR(10)," "),CHAR(13)," "),CHAR(9)," "),CHAR(160)," "),"."," "),","," "),"-"," "),"/"," "),"("," "),")"," "),":"," "),";"," "),"_"," "),"–"," "),"?"," "),"!"," "),"*"," "),"["," "),"]"," "),"'"," "),"#"," "),"+"," "),"&amp;"," "),"\"," "))&amp;" "</f>
        <v>  </v>
      </c>
      <c r="BD395" s="61" t="str">
        <f aca="false">" "&amp;TRIM(SUBSTITUTE(SUBSTITUTE(SUBSTITUTE(SUBSTITUTE(SUBSTITUTE(SUBSTITUTE(SUBSTITUTE(SUBSTITUTE(SUBSTITUTE(SUBSTITUTE(SUBSTITUTE(SUBSTITUTE(SUBSTITUTE(SUBSTITUTE(SUBSTITUTE(SUBSTITUTE(SUBSTITUTE(SUBSTITUTE(SUBSTITUTE(SUBSTITUTE(SUBSTITUTE(SUBSTITUTE(SUBSTITUTE(SUBSTITUTE(LOWER(Z395&amp;""),CHAR(10)," "),CHAR(13)," "),CHAR(9)," "),CHAR(160)," "),"."," "),","," "),"-"," "),"/"," "),"("," "),")"," "),":"," "),";"," "),"_"," "),"–"," "),"?"," "),"!"," "),"*"," "),"["," "),"]"," "),"'"," "),"#"," "),"+"," "),"&amp;"," "),"\"," "))&amp;" "</f>
        <v>  </v>
      </c>
      <c r="BE395" s="61" t="str">
        <f aca="false">" "&amp;TRIM(SUBSTITUTE(SUBSTITUTE(SUBSTITUTE(SUBSTITUTE(SUBSTITUTE(SUBSTITUTE(SUBSTITUTE(SUBSTITUTE(SUBSTITUTE(SUBSTITUTE(SUBSTITUTE(SUBSTITUTE(SUBSTITUTE(SUBSTITUTE(SUBSTITUTE(SUBSTITUTE(SUBSTITUTE(SUBSTITUTE(SUBSTITUTE(SUBSTITUTE(SUBSTITUTE(SUBSTITUTE(SUBSTITUTE(SUBSTITUTE(LOWER(W395&amp;""),CHAR(10)," "),CHAR(13)," "),CHAR(9)," "),CHAR(160)," "),"."," "),","," "),"-"," "),"/"," "),"("," "),")"," "),":"," "),";"," "),"_"," "),"–"," "),"?"," "),"!"," "),"*"," "),"["," "),"]"," "),"'"," "),"#"," "),"+"," "),"&amp;"," "),"\"," "))&amp;" "</f>
        <v>  </v>
      </c>
      <c r="BF395" s="61" t="str">
        <f aca="false">" "&amp;TRIM(SUBSTITUTE(SUBSTITUTE(SUBSTITUTE(SUBSTITUTE(SUBSTITUTE(SUBSTITUTE(SUBSTITUTE(SUBSTITUTE(SUBSTITUTE(SUBSTITUTE(SUBSTITUTE(SUBSTITUTE(SUBSTITUTE(SUBSTITUTE(SUBSTITUTE(SUBSTITUTE(SUBSTITUTE(SUBSTITUTE(SUBSTITUTE(SUBSTITUTE(SUBSTITUTE(SUBSTITUTE(SUBSTITUTE(SUBSTITUTE(LOWER(AC395&amp;""),CHAR(10)," "),CHAR(13)," "),CHAR(9)," "),CHAR(160)," "),"."," "),","," "),"-"," "),"/"," "),"("," "),")"," "),":"," "),";"," "),"_"," "),"–"," "),"?"," "),"!"," "),"*"," "),"["," "),"]"," "),"'"," "),"#"," "),"+"," "),"&amp;"," "),"\"," "))&amp;" "</f>
        <v>  </v>
      </c>
      <c r="BG395" s="61" t="n">
        <f aca="false">IFERROR(IF(AND(TRIM(U395)="Pass",SUMPRODUCT((LEN(BC395)-LEN(SUBSTITUTE(BC395," "&amp;L_ResultBad&amp;" "," ")))/(LEN(L_ResultBad)+1))&gt;SUMPRODUCT((LEN(BC395)-LEN(SUBSTITUTE(BC395," "&amp;L_NegPhrase&amp;" "," ")))/(LEN(L_NegPhrase)+1))),1,0),0)</f>
        <v>0</v>
      </c>
      <c r="BH395" s="61" t="n">
        <f aca="false">IFERROR(IF(SUMPRODUCT((LEN(BC395)-LEN(SUBSTITUTE(BC395," "&amp;L_Pending&amp;" "," ")))/(LEN(L_Pending)+1))&gt;SUMPRODUCT((LEN(BC395)-LEN(SUBSTITUTE(BC395," "&amp;L_PendNeg&amp;" "," ")))/(LEN(L_PendNeg)+1))+SUMPRODUCT((LEN(BC395)-LEN(SUBSTITUTE(BC395," "&amp;L_PendPrep&amp;" "," ")))/(LEN(L_PendPrep)+1)),1,0),1)</f>
        <v>0</v>
      </c>
      <c r="BI395" s="61" t="n">
        <f aca="false">IFERROR(IF(SUMPRODUCT((LEN(BD395)-LEN(SUBSTITUTE(BD395," "&amp;L_PendStrict&amp;" "," ")))/(LEN(L_PendStrict)+1))&gt;SUMPRODUCT((LEN(BD395)-LEN(SUBSTITUTE(BD395," "&amp;L_PendNeg&amp;" "," ")))/(LEN(L_PendNeg)+1)),1,0),1)</f>
        <v>0</v>
      </c>
      <c r="BJ395" s="61" t="n">
        <f aca="false">IFERROR(IF(SUMPRODUCT((LEN(BE395)-LEN(SUBSTITUTE(BE395," "&amp;L_Pending&amp;" "," ")))/(LEN(L_Pending)+1))&gt;SUMPRODUCT((LEN(BE395)-LEN(SUBSTITUTE(BE395," "&amp;L_PendNeg&amp;" "," ")))/(LEN(L_PendNeg)+1))+SUMPRODUCT((LEN(BE395)-LEN(SUBSTITUTE(BE395," "&amp;L_PendPrep&amp;" "," ")))/(LEN(L_PendPrep)+1)),1,0),1)</f>
        <v>0</v>
      </c>
      <c r="BK395" s="61" t="n">
        <f aca="false">IFERROR(IF(SUMPRODUCT((LEN(BF395)-LEN(SUBSTITUTE(BF395," "&amp;L_PendStrict&amp;" "," ")))/(LEN(L_PendStrict)+1))&gt;SUMPRODUCT((LEN(BF395)-LEN(SUBSTITUTE(BF395," "&amp;L_PendNeg&amp;" "," ")))/(LEN(L_PendNeg)+1)),1,0),1)</f>
        <v>0</v>
      </c>
      <c r="BL395" s="61" t="n">
        <f aca="false">IF(ISNA(MATCH(TRIM(S395),L_EvidenceType,0)),0,BZ395)</f>
        <v>0</v>
      </c>
      <c r="BM395" s="61" t="str">
        <f aca="false">SUBSTITUTE(SUBSTITUTE(SUBSTITUTE(SUBSTITUTE(SUBSTITUTE(SUBSTITUTE(SUBSTITUTE(SUBSTITUTE(SUBSTITUTE(LOWER(Z395&amp;""),"1","0"),"2","0"),"3","0"),"4","0"),"5","0"),"6","0"),"7","0"),"8","0"),"9","0")</f>
        <v/>
      </c>
      <c r="BN395" s="61" t="str">
        <f aca="false">SUBSTITUTE(SUBSTITUTE(SUBSTITUTE(SUBSTITUTE(SUBSTITUTE(SUBSTITUTE(SUBSTITUTE(SUBSTITUTE(SUBSTITUTE(SUBSTITUTE(SUBSTITUTE(SUBSTITUTE(SUBSTITUTE(SUBSTITUTE(SUBSTITUTE(SUBSTITUTE(SUBSTITUTE(SUBSTITUTE(SUBSTITUTE(SUBSTITUTE(SUBSTITUTE(SUBSTITUTE(SUBSTITUTE(SUBSTITUTE(SUBSTITUTE(BM395,"b","a"),"c","a"),"d","a"),"e","a"),"f","a"),"g","a"),"h","a"),"i","a"),"j","a"),"k","a"),"l","a"),"m","a"),"n","a"),"o","a"),"p","a"),"q","a"),"r","a"),"s","a"),"t","a"),"u","a"),"v","a"),"w","a"),"x","a"),"y","a"),"z","a")</f>
        <v/>
      </c>
      <c r="BO395" s="61" t="str">
        <f aca="false">SUBSTITUTE(SUBSTITUTE(SUBSTITUTE(SUBSTITUTE(SUBSTITUTE(SUBSTITUTE(SUBSTITUTE(SUBSTITUTE(SUBSTITUTE(LOWER(W395&amp;""),"1","0"),"2","0"),"3","0"),"4","0"),"5","0"),"6","0"),"7","0"),"8","0"),"9","0")</f>
        <v/>
      </c>
      <c r="BP395" s="61" t="str">
        <f aca="false">SUBSTITUTE(SUBSTITUTE(SUBSTITUTE(SUBSTITUTE(SUBSTITUTE(SUBSTITUTE(SUBSTITUTE(SUBSTITUTE(SUBSTITUTE(SUBSTITUTE(SUBSTITUTE(SUBSTITUTE(SUBSTITUTE(SUBSTITUTE(SUBSTITUTE(SUBSTITUTE(SUBSTITUTE(SUBSTITUTE(SUBSTITUTE(SUBSTITUTE(SUBSTITUTE(SUBSTITUTE(SUBSTITUTE(SUBSTITUTE(SUBSTITUTE(BO395,"b","a"),"c","a"),"d","a"),"e","a"),"f","a"),"g","a"),"h","a"),"i","a"),"j","a"),"k","a"),"l","a"),"m","a"),"n","a"),"o","a"),"p","a"),"q","a"),"r","a"),"s","a"),"t","a"),"u","a"),"v","a"),"w","a"),"x","a"),"y","a"),"z","a")</f>
        <v/>
      </c>
      <c r="BQ395" s="61" t="n">
        <f aca="false">IFERROR(IF(AND(ISERROR(SEARCH(" mh"," "&amp;LOWER(W395))),ISNA(MATCH(LEFT(TRIM(BP395),255),{"0000a","000a","00a","0000aa","000aa","00aa","0aa","0000aaa","000aaa","00a00","0a00","0000-0000","00:00","a00","a0","00.00.0000","00/00/0000","00-00-0000","0000-00-00","0000/00/00","0000.00.00","00.00.00","00/00/00","00-00-00","0.00.0000","0/00/0000","0-00-0000"},0)),ISNA(MATCH(LEFT(TRIM(CA395),255),{"0000a","000a","00a","0000aa","000aa","00aa","0aa","0000aaa","000aaa","00a00","0a00","0000-0000","00:00","a00","a0","00.00.0000","00/00/0000","00-00-0000","0000-00-00","0000/00/00","0000.00.00","00.00.00","00/00/00","00-00-00","0.00.0000","0/00/0000","0-00-0000"},0)),LEN(CB395)&gt;=3,NOT(OR(SUBSTITUTE(CB395,"0","")="",AND(LEN(CB395)&gt;=4,CB395=REPT(LEFT(CB395),LEN(CB395))),ISNUMBER(MATCH(CB395,{"123","1234","12345","123456","1234567","12345678","0123","01234","012345","98765","987654","54321"},0)),AND(LEN(CB395)=8,LEFT(CB395,3)="202"))),OR(AND((LEN(CA395)-LEN(SUBSTITUTE(CA395,"a","")))&gt;=1,SUMPRODUCT(--ISNUMBER(SEARCH({"a0","a-0","a_0","a/0","a.0","a#0","0a","0-a","0_a","0/a"},BP395)))&gt;0),ISNUMBER(SEARCH("000000",BP395)))),1,0),0)</f>
        <v>0</v>
      </c>
      <c r="BR395" s="61" t="n">
        <f aca="false">IFERROR(LEN(SUBSTITUTE(CC395," ",""))-SUMPRODUCT((LEN(CC395)-LEN(SUBSTITUTE(CC395," "&amp;L_Role&amp;" "," ")))/(LEN(L_Role)+1)*LEN(L_Role)),0)</f>
        <v>0</v>
      </c>
      <c r="BS395" s="61" t="n">
        <f aca="false">IFERROR(LEN(SUBSTITUTE(CD395," ",""))-SUMPRODUCT((LEN(CD395)-LEN(SUBSTITUTE(CD395," "&amp;L_Role&amp;" "," ")))/(LEN(L_Role)+1)*LEN(L_Role)),0)</f>
        <v>0</v>
      </c>
      <c r="BT3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395,"revision",""),"version",""),"jan",""),"feb",""),"mar",""),"apr",""),"may",""),"jun",""),"jul",""),"aug",""),"sep",""),"oct",""),"nov",""),"dec",""),"utc",""),"gmt",""),"myt",""),"bst",""),"rev",""),"ver",""),"b","a"),"c","a"),"d","a"),"e","a"),"f","a"),"g","a"),"h","a"),"i","a"),"j","a"),"k","a"),"l","a"),"m","a"),"n","a"),"o","a"),"p","a"),"q","a"),"r","a"),"s","a"),"t","a"),"u","a"),"v","a"),"w","a"),"x","a"),"y","a"),"z","a")</f>
        <v/>
      </c>
      <c r="BU395" s="61" t="str">
        <f aca="false">SUBSTITUTE(SUBSTITUTE(SUBSTITUTE(SUBSTITUTE(SUBSTITUTE(SUBSTITUTE(SUBSTITUTE(SUBSTITUTE(SUBSTITUTE(SUBSTITUTE(LEFT(BM395,FIND("0",BM395&amp;"0")-1),"-",""),"_",""),"/",""),".",""),"#",""),"\\",""),":","")," ",""),"(",""),")","")</f>
        <v/>
      </c>
      <c r="BV395" s="61" t="n">
        <f aca="false">0</f>
        <v>0</v>
      </c>
      <c r="BW3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395&amp;""),"a",""),"b",""),"c",""),"d",""),"e",""),"f",""),"g",""),"h",""),"i",""),"j",""),"k",""),"l",""),"m",""),"n",""),"o",""),"p",""),"q",""),"r",""),"s",""),"t",""),"u",""),"v",""),"w",""),"x",""),"y",""),"z",""),"-",""),"_",""),"/",""),".",""),"#",""),"\\",""),":","")," ",""),"(",""),")","")</f>
        <v/>
      </c>
      <c r="BX395" s="61" t="str">
        <f aca="false">SUBSTITUTE(SUBSTITUTE(SUBSTITUTE(SUBSTITUTE(SUBSTITUTE(SUBSTITUTE(SUBSTITUTE(SUBSTITUTE(SUBSTITUTE(SUBSTITUTE(SUBSTITUTE(BM395,"0",""),"-",""),"_",""),"/",""),".",""),"#",""),"\\",""),":","")," ",""),"(",""),")","")</f>
        <v/>
      </c>
      <c r="BY395" s="62" t="n">
        <f aca="false">Q395-T12EarlyH/24</f>
        <v>46306.6006944444</v>
      </c>
      <c r="BZ395" s="61" t="n">
        <f aca="false">IFERROR(IF(IF(TRIM(S395)="Link / file path",AND(LEN(TRIM(Z395))&gt;=5,SUMPRODUCT(--ISNUMBER(SEARCH({"http","www.","\\",":\",".pdf",".jpg",".jpeg",".png",".heic",".xls",".doc",".msg",".eml",".ppt",".txt",".zip"},Z395)))&gt;0),AND(ISERROR(FIND(" ",TRIM(Z395))),NOT(OR(SUMPRODUCT(--ISNUMBER(FIND({",",";","&amp;","+"},Z395)))&gt;0,SUMPRODUCT(--ISNUMBER(SEARCH({"0/aa","0\\aa"},BN395)))&gt;0)),NOT(SUMPRODUCT(--ISNUMBER(SEARCH({"http","www.","\\",":\",".pdf",".jpg",".jpeg",".png",".heic",".xls",".doc",".msg",".eml",".ppt",".txt",".zip"},Z395)))&gt;0),NOT(LOWER(TRIM(Z395))=LOWER(Flights!$F$16)),ISNA(MATCH(BU395,{"mh","rev","revision","ver","version","v","r","a","b","seat","tray","row","gate","bay","stand","page","pg","item","line","no","cart","galley","flight","flt","table","box","bag","oven","etd","eta","std","sta","atd","ata","qty","pax","x","time","tel","ph","mob","day","wk","week","utc","gmt","myt","lt"},0)),NOT(OR(ISNUMBER(MATCH(LEFT(BN395,255),{"0000a","000a","00a","0000aa","000aa","00aa","0aa","0000aaa","000aaa","00a00","0a00","0000-0000","00:00","a00","a0","00.00.0000","00/00/0000","00-00-0000","0000-00-00","0000/00/00","0000.00.00","00.00.00","00/00/00","00-00-00","0.00.0000","0/00/0000","0-00-0000"},0)),ISNUMBER(MATCH(LEFT(BT395,255),{"0000a","000a","00a","0000aa","000aa","00aa","0aa","0000aaa","000aaa","00a00","0a00","0000-0000","00:00","a00","a0","00.00.0000","00/00/0000","00-00-0000","0000-00-00","0000/00/00","0000.00.00","00.00.00","00/00/00","00-00-00","0.00.0000","0/00/0000","0-00-0000"},0)))),NOT(OR(AND(BW395&lt;&gt;"",SUBSTITUTE(BW395,"0","")=""),AND(LEN(BW395)&gt;=4,BW395=REPT(LEFT(BW395),LEN(BW395))),ISNUMBER(MATCH(BW395,{"123","1234","12345","123456","1234567","12345678","0123","01234","012345","98765","987654","54321"},0)),ISNUMBER(MATCH(BX395,{"x","xx","xxx","xxxx","xxxxx","abc","abcd","nil","na","nan","test","tbc","tba","tbd","dummy","sample","example","eg","zz","zzz","none","null","xyz","qwe","asd","id","ref"},0)),AND(LEN(BW395)=8,BX395="",OR(LEFT(BW395,3)="202",ISNUMBER(MATCH(RIGHT(BW395,4),{"2025","2026","2027"},0)))))),OR(AND((LEN(BT395)-LEN(SUBSTITUTE(BT395,"a","")))&gt;=1,(LEN(BN395)-LEN(SUBSTITUTE(BN395,"0","")))&gt;=2,SUMPRODUCT(--ISNUMBER(SEARCH({"a0","a-0","a_0","a/0","a.0","a#0","0a","0-a","0_a","0/a"},BN395)))&gt;0),AND((LEN(BN395)-LEN(SUBSTITUTE(BN395,"a","")))=0,(LEN(BN395)-LEN(SUBSTITUTE(BN395,"0","")))&gt;=5)))),1,0),0)</f>
        <v>0</v>
      </c>
      <c r="CA3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395,"revision",""),"version",""),"jan",""),"feb",""),"mar",""),"apr",""),"may",""),"jun",""),"jul",""),"aug",""),"sep",""),"oct",""),"nov",""),"dec",""),"utc",""),"gmt",""),"myt",""),"bst",""),"rev",""),"ver",""),"b","a"),"c","a"),"d","a"),"e","a"),"f","a"),"g","a"),"h","a"),"i","a"),"j","a"),"k","a"),"l","a"),"m","a"),"n","a"),"o","a"),"p","a"),"q","a"),"r","a"),"s","a"),"t","a"),"u","a"),"v","a"),"w","a"),"x","a"),"y","a"),"z","a")</f>
        <v/>
      </c>
      <c r="CB3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395&amp;""),"a",""),"b",""),"c",""),"d",""),"e",""),"f",""),"g",""),"h",""),"i",""),"j",""),"k",""),"l",""),"m",""),"n",""),"o",""),"p",""),"q",""),"r",""),"s",""),"t",""),"u",""),"v",""),"w",""),"x",""),"y",""),"z",""),"-",""),"_",""),"/",""),".",""),"#",""),"\\",""),":","")," ",""),"(",""),")","")</f>
        <v/>
      </c>
      <c r="CC395" s="0" t="str">
        <f aca="false">" "&amp;TRIM(SUBSTITUTE(SUBSTITUTE(SUBSTITUTE(SUBSTITUTE(SUBSTITUTE(SUBSTITUTE(SUBSTITUTE(SUBSTITUTE(SUBSTITUTE(SUBSTITUTE(SUBSTITUTE(SUBSTITUTE(SUBSTITUTE(SUBSTITUTE(SUBSTITUTE(SUBSTITUTE(SUBSTITUTE(SUBSTITUTE(SUBSTITUTE(SUBSTITUTE(SUBSTITUTE(SUBSTITUTE(SUBSTITUTE(SUBSTITUTE(LOWER(T395&amp;""),CHAR(10)," "),CHAR(13)," "),CHAR(9)," "),CHAR(160)," "),"."," "),","," "),"-"," "),"/"," "),"("," "),")"," "),":"," "),";"," "),"_"," "),"–"," "),"?"," "),"!"," "),"*"," "),"["," "),"]"," "),"'"," "),"#"," "),"+"," "),"&amp;"," "),"\"," "))&amp;" "</f>
        <v>  </v>
      </c>
      <c r="CD395" s="0" t="str">
        <f aca="false">" "&amp;TRIM(SUBSTITUTE(SUBSTITUTE(SUBSTITUTE(SUBSTITUTE(SUBSTITUTE(SUBSTITUTE(SUBSTITUTE(SUBSTITUTE(SUBSTITUTE(SUBSTITUTE(SUBSTITUTE(SUBSTITUTE(SUBSTITUTE(SUBSTITUTE(SUBSTITUTE(SUBSTITUTE(SUBSTITUTE(SUBSTITUTE(SUBSTITUTE(SUBSTITUTE(SUBSTITUTE(SUBSTITUTE(SUBSTITUTE(SUBSTITUTE(LOWER(AE395&amp;""),CHAR(10)," "),CHAR(13)," "),CHAR(9)," "),CHAR(160)," "),"."," "),","," "),"-"," "),"/"," "),"("," "),")"," "),":"," "),";"," "),"_"," "),"–"," "),"?"," "),"!"," "),"*"," "),"["," "),"]"," "),"'"," "),"#"," "),"+"," "),"&amp;"," "),"\"," "))&amp;" "</f>
        <v>  </v>
      </c>
      <c r="CE395" s="68" t="n">
        <f aca="false">IFERROR(IF(AND(LEN(AU395)&gt;0,LEN(AU395)=LEN(AX395),OR(TRIM(MID(SUBSTITUTE(TRIM(CC395)," ",REPT(" ",60)),1,60))="",ISNUMBER(SEARCH(" "&amp;TRIM(MID(SUBSTITUTE(TRIM(CC395)," ",REPT(" ",60)),1,60))&amp;" ",CD395))),OR(TRIM(MID(SUBSTITUTE(TRIM(CC395)," ",REPT(" ",60)),61,60))="",ISNUMBER(SEARCH(" "&amp;TRIM(MID(SUBSTITUTE(TRIM(CC395)," ",REPT(" ",60)),61,60))&amp;" ",CD395))),OR(TRIM(MID(SUBSTITUTE(TRIM(CC395)," ",REPT(" ",60)),121,60))="",ISNUMBER(SEARCH(" "&amp;TRIM(MID(SUBSTITUTE(TRIM(CC395)," ",REPT(" ",60)),121,60))&amp;" ",CD395)))),1,0),0)</f>
        <v>0</v>
      </c>
      <c r="CG395" s="68" t="n">
        <f aca="false">IFERROR(LEN(SUBSTITUTE(BF395," ",""))-SUMPRODUCT((LEN(BF395)-LEN(SUBSTITUTE(BF395," "&amp;L_NAFiller&amp;" "," ")))/(LEN(L_NAFiller)+1)*LEN(L_NAFiller)),0)</f>
        <v>0</v>
      </c>
    </row>
    <row r="396" customFormat="false" ht="39.75" hidden="false" customHeight="true" outlineLevel="0" collapsed="false">
      <c r="A396" s="57" t="s">
        <v>1012</v>
      </c>
      <c r="B396" s="57" t="s">
        <v>261</v>
      </c>
      <c r="C396" s="57" t="str">
        <f aca="false">Flights!$F$16</f>
        <v>MH0139</v>
      </c>
      <c r="D396" s="58" t="n">
        <f aca="false">Flights!$D$16</f>
        <v>46307</v>
      </c>
      <c r="E396" s="57" t="str">
        <f aca="false">Flights!$G$16&amp;"-"&amp;Flights!$H$16</f>
        <v>KUL-ADL</v>
      </c>
      <c r="F396" s="57" t="str">
        <f aca="false">Flights!$K$16</f>
        <v>BC</v>
      </c>
      <c r="G396" s="57" t="s">
        <v>420</v>
      </c>
      <c r="H396" s="57" t="s">
        <v>378</v>
      </c>
      <c r="I396" s="57" t="s">
        <v>428</v>
      </c>
      <c r="J396" s="57" t="s">
        <v>438</v>
      </c>
      <c r="K396" s="67"/>
      <c r="L396" s="67" t="s">
        <v>422</v>
      </c>
      <c r="M396" s="67"/>
      <c r="N396" s="67" t="s">
        <v>383</v>
      </c>
      <c r="O396" s="67" t="s">
        <v>423</v>
      </c>
      <c r="P396" s="57" t="s">
        <v>187</v>
      </c>
      <c r="Q396" s="59" t="n">
        <f aca="false">ROUND((Flights!$AE$16)*1440,0)/1440</f>
        <v>46307.1006944444</v>
      </c>
      <c r="R396" s="59" t="n">
        <f aca="false">Q396+(IF(AND(INDEX(TZ_DSTS,MATCH(P396,TZ_STN,0))&lt;&gt;"",Q396&gt;=INDEX(TZ_DSTS,MATCH(P396,TZ_STN,0)),Q396&lt;INDEX(TZ_DSTE,MATCH(P396,TZ_STN,0))),INDEX(TZ_DST,MATCH(P396,TZ_STN,0)),INDEX(TZ_STD,MATCH(P396,TZ_STN,0))))/24</f>
        <v>46307.4340277778</v>
      </c>
      <c r="S396" s="60"/>
      <c r="T396" s="60"/>
      <c r="U396" s="60"/>
      <c r="V396" s="60"/>
      <c r="W396" s="61"/>
      <c r="X396" s="60"/>
      <c r="Y396" s="60"/>
      <c r="Z396" s="60"/>
      <c r="AA396" s="60"/>
      <c r="AB396" s="60"/>
      <c r="AC396" s="60"/>
      <c r="AD396" s="66"/>
      <c r="AE396" s="60"/>
      <c r="AF396" s="61" t="str">
        <f aca="false">IF(AND(ISNUMBER(X396),ISNUMBER(Y396)),Y396-X396,"")</f>
        <v/>
      </c>
      <c r="AG396" s="62" t="str">
        <f aca="false">IF(ISNUMBER(AD396),AD396-(IF(AND(INDEX(TZ_DSTS,MATCH(P396,TZ_STN,0))&lt;&gt;"",(AD396-INDEX(TZ_STD,MATCH(P396,TZ_STN,0))/24)&gt;=INDEX(TZ_DSTS,MATCH(P396,TZ_STN,0)),(AD396-INDEX(TZ_STD,MATCH(P396,TZ_STN,0))/24)&lt;INDEX(TZ_DSTE,MATCH(P396,TZ_STN,0))),INDEX(TZ_DST,MATCH(P396,TZ_STN,0)),INDEX(TZ_STD,MATCH(P396,TZ_STN,0))))/24,"")</f>
        <v/>
      </c>
      <c r="AH396" s="65" t="str">
        <f aca="false">IFERROR(IF(N396="N/A – rule",IF(OR(TRIM(U396)="",TRIM(U396)="N/A",TRIM(U396)="Not started"),"N/A – RULE","INVALID – this check does not apply to this aircraft: clear the status (or correct the fleet on Flights)"),IF(TRIM(U396)="N/A",IF(AT396=0,"INVALID – N/A not permitted for this check",IF(AND(TRIM(AB396)&lt;&gt;"",TRIM(AB396)&lt;&gt;"Closed"),"INVALID – corrective action still open",IF(AND(NOT(OR(LEN(AZ396)&lt;15,ISNUMBER(MATCH(AZ396,L_Placeholder,0)))),BK396=0,CG396&gt;=8,NOT(OR(LEN(AU396)&lt;2,ISNUMBER(MATCH(AU396,L_Placeholder,0)))),BR396&gt;=3,NOT(OR(LEN(AX396)&lt;2,ISNUMBER(MATCH(AX396,L_Placeholder,0)))),BS396&gt;=3,TRIM(AE396)&lt;&gt;TRIM(T396),AX396&lt;&gt;AU396,CE396=0),"N/A – JUSTIFIED","INVALID – N/A needs a real, settled reason (not 'not applicable' / 'as above' / TBC), a named PIC and a different named verifier"))),IF(OR(TRIM(U396)="Pass",TRIM(U396)="Pass after CA"),IF(NOT(ISNUMBER(AD396)),"INVALID – completion time missing",IF(OR(OR(LEN(AU396)&lt;2,ISNUMBER(MATCH(AU396,L_Placeholder,0))),BR396&lt;3),"INVALID – PIC missing or not a named person (a role such as QA / CSM is not a name)",IF(OR(LEN(AV396)&lt;2,ISNUMBER(MATCH(AV396,L_Placeholder,0))),"INVALID – result / assessment missing",IF(OR(OR(LEN(AW396)&lt;3,ISNUMBER(MATCH(AW396,L_Placeholder,0))),SUMPRODUCT(--ISNUMBER(SEARCH(" "&amp;L_EvidencePhrase&amp;" ",BD396)))&gt;0,BI396=1),"INVALID – evidence missing, placeholder or not yet on file",IF(ISNA(MATCH(TRIM(S396),L_EvidenceType,0)),"INVALID – choose the evidence type from the list (column S)",IF(BL396=0,"INVALID – evidence ID must be the record's own ID only (e.g. SF-2210, IMG_2231, 1045521); a link / file name needs type 'Link / file path'",IF(OR(OR(LEN(AX396)&lt;2,ISNUMBER(MATCH(AX396,L_Placeholder,0))),BS396&lt;3),"INVALID – verifier missing or not a named person (a role such as QA / CSM is not a name)",IF(OR(AX396=AU396,CE396=1,AND(LEN(AU396)&gt;=4,ISNUMBER(SEARCH(AU396,AX396))),AND(LEN(AX396)&gt;=4,ISNUMBER(SEARCH(AX396,AU396)))),"INVALID – verifier must be a different, named person (not the PIC or a role)",IF(BH396=1,"INVALID – result not yet available (awaiting / TBC)",IF(BG396=1,"INVALID – result describes a problem: record Fail, then Pass after CA (or reword if it is not a problem)",IF(BV396=1,"INVALID – wording says not on board: an on-board confirmation needs the item loaded",IF(AND(AQ396=1,OR(OR(LEN(AY396)&lt;3,ISNUMBER(MATCH(AY396,L_Placeholder,0))),BJ396=1,BQ396=0)),"INVALID – batch ID missing, placeholder or not an ID (e.g. PASB-261008-BC-017)",IF(AND(AR396=1,OR(NOT(ISNUMBER(X396)),NOT(ISNUMBER(Y396)))),"INVALID – expected/actual qty missing",IF(AND(AR396=1,OR(X396&lt;=0,Y396&lt;0)),"INVALID – expected qty must be above 0 and actual not negative",IF(BB396&lt;&gt;"",BB396,IF(AND(AS396=1,Documents!$J$16&lt;&gt;"ON FILE"),"INVALID – GLD not on file (Documents sheet)",IF(AND(AS396=2,Documents!$O$16&lt;&gt;"ON FILE"),"INVALID – menu checklist not on file (Documents sheet)",IF(AND(AS396=3,NOT(ISNUMBER(Flights!$AX$16))),"INVALID – enter carrying flight KUL departure (Flights AX)",IF(AND(AS396=3,OR(Flights!$AZ$16&gt;Flights!$AA$16,Flights!$AX$16&lt;Flights!$AA$16-3)),"INVALID – carrying flight (Flights AX) cannot arrive before this leg's STD, or is over 3 days early",IF(AG396&gt;AsOfUTC,"INVALID – completion time is in the future",IF(AND(ISNUMBER(BY396),AG396&lt;BY396),IF(H396="Physical uplift","INVALID – before uplift window (cannot confirm loading)","INVALID – before valid window"),IF(AG396&gt;Flights!$AA$16,"INVALID – completed after departure (cannot establish readiness)",IF(AND(H396="Preparation",AG396&gt;=IF(ISNUMBER(Flights!$BA$16),MIN(Flights!$BA$16,Flights!$AA$16),Flights!$AA$16)),"INVALID – completed after loading / departure (cannot establish readiness)",IF(AND(H396="Physical uplift",AG396&gt;Q396),"INVALID – recorded after the loading flight departed",IF(AG396&gt;Q396,"COMPLETE – LATE","COMPLETE"))))))))))))))))))))))))),IF(TRIM(U396)="Fail","FAIL – DISCREPANCY",IF(AND(TRIM(U396)&lt;&gt;"",TRIM(U396)&lt;&gt;"Not started",TRIM(U396)&lt;&gt;"In progress"),"INVALID – unrecognised status (use the list)",IF(AsOfUTC&gt;Q396,"OVERDUE",IF(N396="Clarification required","OPEN – CLARIFICATION","OPEN"))))))),"INVALID – error value in an input cell")</f>
        <v>OPEN</v>
      </c>
      <c r="AI396" s="61" t="n">
        <f aca="false">IF(OR(AH396="N/A – RULE",AH396="N/A – JUSTIFIED"),0,1)</f>
        <v>1</v>
      </c>
      <c r="AJ396" s="61" t="n">
        <f aca="false">IF(LEFT(AH396,8)="COMPLETE",1,0)</f>
        <v>0</v>
      </c>
      <c r="AK396" s="61" t="n">
        <f aca="false">IF(AND(AI396=1,AJ396=0,AsOfUTC&gt;Q396),1,0)</f>
        <v>0</v>
      </c>
      <c r="AL396" s="61" t="n">
        <f aca="false">IFERROR(IF(AND(AI396=1,OR(TRIM(U396)="Fail",AND(TRIM(AB396)&lt;&gt;"",TRIM(AB396)&lt;&gt;"Closed"),AND(ISNUMBER(AF396),AF396&lt;&gt;0,TRIM(U396)&lt;&gt;"Pass after CA"))),1,0),1)</f>
        <v>0</v>
      </c>
      <c r="AM396" s="61" t="n">
        <f aca="false">IF(LEFT(AH396,7)="INVALID",1,0)</f>
        <v>0</v>
      </c>
      <c r="AN396" s="61" t="n">
        <f aca="false">IF(AND(N396="Clarification required",AI396=1,AJ396=0),1,0)</f>
        <v>0</v>
      </c>
      <c r="AO396" s="61" t="str">
        <f aca="false">IF(AK396=1,SUM(AK$5:AK396),"")</f>
        <v/>
      </c>
      <c r="AP396" s="61" t="str">
        <f aca="false">IF(AL396=1,SUM(AL$5:AL396),"")</f>
        <v/>
      </c>
      <c r="AQ396" s="61" t="n">
        <v>0</v>
      </c>
      <c r="AR396" s="61" t="n">
        <v>0</v>
      </c>
      <c r="AS396" s="61" t="n">
        <v>0</v>
      </c>
      <c r="AT396" s="61" t="n">
        <v>0</v>
      </c>
      <c r="AU396" s="61" t="str">
        <f aca="false">SUBSTITUTE(SUBSTITUTE(SUBSTITUTE(SUBSTITUTE(SUBSTITUTE(SUBSTITUTE(SUBSTITUTE(SUBSTITUTE(SUBSTITUTE(SUBSTITUTE(SUBSTITUTE(SUBSTITUTE(SUBSTITUTE(SUBSTITUTE(SUBSTITUTE(SUBSTITUTE(LOWER(T396&amp;""),CHAR(10),""),CHAR(13),""),CHAR(9),""),CHAR(160),"")," ",""),".",""),"-",""),"/",""),"?",""),"_",""),",",""),"[",""),"]",""),"(",""),")",""),"*","")</f>
        <v/>
      </c>
      <c r="AV396" s="61" t="str">
        <f aca="false">SUBSTITUTE(SUBSTITUTE(SUBSTITUTE(SUBSTITUTE(SUBSTITUTE(SUBSTITUTE(SUBSTITUTE(SUBSTITUTE(SUBSTITUTE(SUBSTITUTE(SUBSTITUTE(SUBSTITUTE(SUBSTITUTE(SUBSTITUTE(SUBSTITUTE(SUBSTITUTE(LOWER(V396&amp;""),CHAR(10),""),CHAR(13),""),CHAR(9),""),CHAR(160),"")," ",""),".",""),"-",""),"/",""),"?",""),"_",""),",",""),"[",""),"]",""),"(",""),")",""),"*","")</f>
        <v/>
      </c>
      <c r="AW396" s="61" t="str">
        <f aca="false">SUBSTITUTE(SUBSTITUTE(SUBSTITUTE(SUBSTITUTE(SUBSTITUTE(SUBSTITUTE(SUBSTITUTE(SUBSTITUTE(SUBSTITUTE(SUBSTITUTE(SUBSTITUTE(SUBSTITUTE(SUBSTITUTE(SUBSTITUTE(SUBSTITUTE(SUBSTITUTE(LOWER(Z396&amp;""),CHAR(10),""),CHAR(13),""),CHAR(9),""),CHAR(160),"")," ",""),".",""),"-",""),"/",""),"?",""),"_",""),",",""),"[",""),"]",""),"(",""),")",""),"*","")</f>
        <v/>
      </c>
      <c r="AX396" s="61" t="str">
        <f aca="false">SUBSTITUTE(SUBSTITUTE(SUBSTITUTE(SUBSTITUTE(SUBSTITUTE(SUBSTITUTE(SUBSTITUTE(SUBSTITUTE(SUBSTITUTE(SUBSTITUTE(SUBSTITUTE(SUBSTITUTE(SUBSTITUTE(SUBSTITUTE(SUBSTITUTE(SUBSTITUTE(LOWER(AE396&amp;""),CHAR(10),""),CHAR(13),""),CHAR(9),""),CHAR(160),"")," ",""),".",""),"-",""),"/",""),"?",""),"_",""),",",""),"[",""),"]",""),"(",""),")",""),"*","")</f>
        <v/>
      </c>
      <c r="AY396" s="61" t="str">
        <f aca="false">SUBSTITUTE(SUBSTITUTE(SUBSTITUTE(SUBSTITUTE(SUBSTITUTE(SUBSTITUTE(SUBSTITUTE(SUBSTITUTE(SUBSTITUTE(SUBSTITUTE(SUBSTITUTE(SUBSTITUTE(SUBSTITUTE(SUBSTITUTE(SUBSTITUTE(SUBSTITUTE(LOWER(W396&amp;""),CHAR(10),""),CHAR(13),""),CHAR(9),""),CHAR(160),"")," ",""),".",""),"-",""),"/",""),"?",""),"_",""),",",""),"[",""),"]",""),"(",""),")",""),"*","")</f>
        <v/>
      </c>
      <c r="AZ396" s="61" t="str">
        <f aca="false">SUBSTITUTE(SUBSTITUTE(SUBSTITUTE(SUBSTITUTE(SUBSTITUTE(SUBSTITUTE(SUBSTITUTE(SUBSTITUTE(SUBSTITUTE(SUBSTITUTE(SUBSTITUTE(SUBSTITUTE(SUBSTITUTE(SUBSTITUTE(SUBSTITUTE(SUBSTITUTE(LOWER(AC396&amp;""),CHAR(10),""),CHAR(13),""),CHAR(9),""),CHAR(160),"")," ",""),".",""),"-",""),"/",""),"?",""),"_",""),",",""),"[",""),"]",""),"(",""),")",""),"*","")</f>
        <v/>
      </c>
      <c r="BA396" s="61" t="str">
        <f aca="false">SUBSTITUTE(SUBSTITUTE(SUBSTITUTE(SUBSTITUTE(SUBSTITUTE(SUBSTITUTE(SUBSTITUTE(SUBSTITUTE(SUBSTITUTE(SUBSTITUTE(SUBSTITUTE(SUBSTITUTE(SUBSTITUTE(SUBSTITUTE(SUBSTITUTE(SUBSTITUTE(LOWER(AA396&amp;""),CHAR(10),""),CHAR(13),""),CHAR(9),""),CHAR(160),"")," ",""),".",""),"-",""),"/",""),"?",""),"_",""),",",""),"[",""),"]",""),"(",""),")",""),"*","")</f>
        <v/>
      </c>
      <c r="BB396" s="61" t="str">
        <f aca="false">IF(AND(TRIM(U396)="Pass",ISNUMBER(AF396)),IF(AF396&lt;&gt;0,"INVALID – qty variance: use Fail or Pass after CA",""),"")&amp;IF(AND(TRIM(U396)="Pass after CA",ISNUMBER(AF396)),IF(AF396&lt;&gt;0,"INVALID – after the corrective action the actual qty must equal expected (update Actual)",""),"")&amp;IF(AND(TRIM(U396)="Pass",TRIM(AB396)&lt;&gt;"",TRIM(AB396)&lt;&gt;"Closed"),"INVALID – corrective action not closed: use Fail, then Pass after CA","")&amp;IF(AND(LEN(BA396)&gt;=2,ISNA(MATCH(LEFT(BA396,255),L_Placeholder,0)),TRIM(AB396)=""),"INVALID – CA status missing for the recorded corrective action","")&amp;IF(AND(TRIM(U396)="Pass after CA",OR(OR(LEN(BA396)&lt;5,ISNUMBER(MATCH(BA396,L_Placeholder,0))),TRIM(AB396)&lt;&gt;"Closed")),"INVALID – corrective action not recorded/closed","")</f>
        <v/>
      </c>
      <c r="BC396" s="61" t="str">
        <f aca="false">" "&amp;TRIM(SUBSTITUTE(SUBSTITUTE(SUBSTITUTE(SUBSTITUTE(SUBSTITUTE(SUBSTITUTE(SUBSTITUTE(SUBSTITUTE(SUBSTITUTE(SUBSTITUTE(SUBSTITUTE(SUBSTITUTE(SUBSTITUTE(SUBSTITUTE(SUBSTITUTE(SUBSTITUTE(SUBSTITUTE(SUBSTITUTE(SUBSTITUTE(SUBSTITUTE(SUBSTITUTE(SUBSTITUTE(SUBSTITUTE(SUBSTITUTE(LOWER(V396&amp;""),CHAR(10)," "),CHAR(13)," "),CHAR(9)," "),CHAR(160)," "),"."," "),","," "),"-"," "),"/"," "),"("," "),")"," "),":"," "),";"," "),"_"," "),"–"," "),"?"," "),"!"," "),"*"," "),"["," "),"]"," "),"'"," "),"#"," "),"+"," "),"&amp;"," "),"\"," "))&amp;" "</f>
        <v>  </v>
      </c>
      <c r="BD396" s="61" t="str">
        <f aca="false">" "&amp;TRIM(SUBSTITUTE(SUBSTITUTE(SUBSTITUTE(SUBSTITUTE(SUBSTITUTE(SUBSTITUTE(SUBSTITUTE(SUBSTITUTE(SUBSTITUTE(SUBSTITUTE(SUBSTITUTE(SUBSTITUTE(SUBSTITUTE(SUBSTITUTE(SUBSTITUTE(SUBSTITUTE(SUBSTITUTE(SUBSTITUTE(SUBSTITUTE(SUBSTITUTE(SUBSTITUTE(SUBSTITUTE(SUBSTITUTE(SUBSTITUTE(LOWER(Z396&amp;""),CHAR(10)," "),CHAR(13)," "),CHAR(9)," "),CHAR(160)," "),"."," "),","," "),"-"," "),"/"," "),"("," "),")"," "),":"," "),";"," "),"_"," "),"–"," "),"?"," "),"!"," "),"*"," "),"["," "),"]"," "),"'"," "),"#"," "),"+"," "),"&amp;"," "),"\"," "))&amp;" "</f>
        <v>  </v>
      </c>
      <c r="BE396" s="61" t="str">
        <f aca="false">" "&amp;TRIM(SUBSTITUTE(SUBSTITUTE(SUBSTITUTE(SUBSTITUTE(SUBSTITUTE(SUBSTITUTE(SUBSTITUTE(SUBSTITUTE(SUBSTITUTE(SUBSTITUTE(SUBSTITUTE(SUBSTITUTE(SUBSTITUTE(SUBSTITUTE(SUBSTITUTE(SUBSTITUTE(SUBSTITUTE(SUBSTITUTE(SUBSTITUTE(SUBSTITUTE(SUBSTITUTE(SUBSTITUTE(SUBSTITUTE(SUBSTITUTE(LOWER(W396&amp;""),CHAR(10)," "),CHAR(13)," "),CHAR(9)," "),CHAR(160)," "),"."," "),","," "),"-"," "),"/"," "),"("," "),")"," "),":"," "),";"," "),"_"," "),"–"," "),"?"," "),"!"," "),"*"," "),"["," "),"]"," "),"'"," "),"#"," "),"+"," "),"&amp;"," "),"\"," "))&amp;" "</f>
        <v>  </v>
      </c>
      <c r="BF396" s="61" t="str">
        <f aca="false">" "&amp;TRIM(SUBSTITUTE(SUBSTITUTE(SUBSTITUTE(SUBSTITUTE(SUBSTITUTE(SUBSTITUTE(SUBSTITUTE(SUBSTITUTE(SUBSTITUTE(SUBSTITUTE(SUBSTITUTE(SUBSTITUTE(SUBSTITUTE(SUBSTITUTE(SUBSTITUTE(SUBSTITUTE(SUBSTITUTE(SUBSTITUTE(SUBSTITUTE(SUBSTITUTE(SUBSTITUTE(SUBSTITUTE(SUBSTITUTE(SUBSTITUTE(LOWER(AC396&amp;""),CHAR(10)," "),CHAR(13)," "),CHAR(9)," "),CHAR(160)," "),"."," "),","," "),"-"," "),"/"," "),"("," "),")"," "),":"," "),";"," "),"_"," "),"–"," "),"?"," "),"!"," "),"*"," "),"["," "),"]"," "),"'"," "),"#"," "),"+"," "),"&amp;"," "),"\"," "))&amp;" "</f>
        <v>  </v>
      </c>
      <c r="BG396" s="61" t="n">
        <f aca="false">IFERROR(IF(AND(TRIM(U396)="Pass",SUMPRODUCT((LEN(BC396)-LEN(SUBSTITUTE(BC396," "&amp;L_ResultBad&amp;" "," ")))/(LEN(L_ResultBad)+1))&gt;SUMPRODUCT((LEN(BC396)-LEN(SUBSTITUTE(BC396," "&amp;L_NegPhrase&amp;" "," ")))/(LEN(L_NegPhrase)+1))),1,0),0)</f>
        <v>0</v>
      </c>
      <c r="BH396" s="61" t="n">
        <f aca="false">IFERROR(IF(SUMPRODUCT((LEN(BC396)-LEN(SUBSTITUTE(BC396," "&amp;L_Pending&amp;" "," ")))/(LEN(L_Pending)+1))&gt;SUMPRODUCT((LEN(BC396)-LEN(SUBSTITUTE(BC396," "&amp;L_PendNeg&amp;" "," ")))/(LEN(L_PendNeg)+1))+SUMPRODUCT((LEN(BC396)-LEN(SUBSTITUTE(BC396," "&amp;L_PendPrep&amp;" "," ")))/(LEN(L_PendPrep)+1)),1,0),1)</f>
        <v>0</v>
      </c>
      <c r="BI396" s="61" t="n">
        <f aca="false">IFERROR(IF(SUMPRODUCT((LEN(BD396)-LEN(SUBSTITUTE(BD396," "&amp;L_PendStrict&amp;" "," ")))/(LEN(L_PendStrict)+1))&gt;SUMPRODUCT((LEN(BD396)-LEN(SUBSTITUTE(BD396," "&amp;L_PendNeg&amp;" "," ")))/(LEN(L_PendNeg)+1)),1,0),1)</f>
        <v>0</v>
      </c>
      <c r="BJ396" s="61" t="n">
        <f aca="false">IFERROR(IF(SUMPRODUCT((LEN(BE396)-LEN(SUBSTITUTE(BE396," "&amp;L_Pending&amp;" "," ")))/(LEN(L_Pending)+1))&gt;SUMPRODUCT((LEN(BE396)-LEN(SUBSTITUTE(BE396," "&amp;L_PendNeg&amp;" "," ")))/(LEN(L_PendNeg)+1))+SUMPRODUCT((LEN(BE396)-LEN(SUBSTITUTE(BE396," "&amp;L_PendPrep&amp;" "," ")))/(LEN(L_PendPrep)+1)),1,0),1)</f>
        <v>0</v>
      </c>
      <c r="BK396" s="61" t="n">
        <f aca="false">IFERROR(IF(SUMPRODUCT((LEN(BF396)-LEN(SUBSTITUTE(BF396," "&amp;L_PendStrict&amp;" "," ")))/(LEN(L_PendStrict)+1))&gt;SUMPRODUCT((LEN(BF396)-LEN(SUBSTITUTE(BF396," "&amp;L_PendNeg&amp;" "," ")))/(LEN(L_PendNeg)+1)),1,0),1)</f>
        <v>0</v>
      </c>
      <c r="BL396" s="61" t="n">
        <f aca="false">IF(ISNA(MATCH(TRIM(S396),L_EvidenceType,0)),0,BZ396)</f>
        <v>0</v>
      </c>
      <c r="BM396" s="61" t="str">
        <f aca="false">SUBSTITUTE(SUBSTITUTE(SUBSTITUTE(SUBSTITUTE(SUBSTITUTE(SUBSTITUTE(SUBSTITUTE(SUBSTITUTE(SUBSTITUTE(LOWER(Z396&amp;""),"1","0"),"2","0"),"3","0"),"4","0"),"5","0"),"6","0"),"7","0"),"8","0"),"9","0")</f>
        <v/>
      </c>
      <c r="BN396" s="61" t="str">
        <f aca="false">SUBSTITUTE(SUBSTITUTE(SUBSTITUTE(SUBSTITUTE(SUBSTITUTE(SUBSTITUTE(SUBSTITUTE(SUBSTITUTE(SUBSTITUTE(SUBSTITUTE(SUBSTITUTE(SUBSTITUTE(SUBSTITUTE(SUBSTITUTE(SUBSTITUTE(SUBSTITUTE(SUBSTITUTE(SUBSTITUTE(SUBSTITUTE(SUBSTITUTE(SUBSTITUTE(SUBSTITUTE(SUBSTITUTE(SUBSTITUTE(SUBSTITUTE(BM396,"b","a"),"c","a"),"d","a"),"e","a"),"f","a"),"g","a"),"h","a"),"i","a"),"j","a"),"k","a"),"l","a"),"m","a"),"n","a"),"o","a"),"p","a"),"q","a"),"r","a"),"s","a"),"t","a"),"u","a"),"v","a"),"w","a"),"x","a"),"y","a"),"z","a")</f>
        <v/>
      </c>
      <c r="BO396" s="61" t="str">
        <f aca="false">SUBSTITUTE(SUBSTITUTE(SUBSTITUTE(SUBSTITUTE(SUBSTITUTE(SUBSTITUTE(SUBSTITUTE(SUBSTITUTE(SUBSTITUTE(LOWER(W396&amp;""),"1","0"),"2","0"),"3","0"),"4","0"),"5","0"),"6","0"),"7","0"),"8","0"),"9","0")</f>
        <v/>
      </c>
      <c r="BP396" s="61" t="str">
        <f aca="false">SUBSTITUTE(SUBSTITUTE(SUBSTITUTE(SUBSTITUTE(SUBSTITUTE(SUBSTITUTE(SUBSTITUTE(SUBSTITUTE(SUBSTITUTE(SUBSTITUTE(SUBSTITUTE(SUBSTITUTE(SUBSTITUTE(SUBSTITUTE(SUBSTITUTE(SUBSTITUTE(SUBSTITUTE(SUBSTITUTE(SUBSTITUTE(SUBSTITUTE(SUBSTITUTE(SUBSTITUTE(SUBSTITUTE(SUBSTITUTE(SUBSTITUTE(BO396,"b","a"),"c","a"),"d","a"),"e","a"),"f","a"),"g","a"),"h","a"),"i","a"),"j","a"),"k","a"),"l","a"),"m","a"),"n","a"),"o","a"),"p","a"),"q","a"),"r","a"),"s","a"),"t","a"),"u","a"),"v","a"),"w","a"),"x","a"),"y","a"),"z","a")</f>
        <v/>
      </c>
      <c r="BQ396" s="61" t="n">
        <f aca="false">IFERROR(IF(AND(ISERROR(SEARCH(" mh"," "&amp;LOWER(W396))),ISNA(MATCH(LEFT(TRIM(BP396),255),{"0000a","000a","00a","0000aa","000aa","00aa","0aa","0000aaa","000aaa","00a00","0a00","0000-0000","00:00","a00","a0","00.00.0000","00/00/0000","00-00-0000","0000-00-00","0000/00/00","0000.00.00","00.00.00","00/00/00","00-00-00","0.00.0000","0/00/0000","0-00-0000"},0)),ISNA(MATCH(LEFT(TRIM(CA396),255),{"0000a","000a","00a","0000aa","000aa","00aa","0aa","0000aaa","000aaa","00a00","0a00","0000-0000","00:00","a00","a0","00.00.0000","00/00/0000","00-00-0000","0000-00-00","0000/00/00","0000.00.00","00.00.00","00/00/00","00-00-00","0.00.0000","0/00/0000","0-00-0000"},0)),LEN(CB396)&gt;=3,NOT(OR(SUBSTITUTE(CB396,"0","")="",AND(LEN(CB396)&gt;=4,CB396=REPT(LEFT(CB396),LEN(CB396))),ISNUMBER(MATCH(CB396,{"123","1234","12345","123456","1234567","12345678","0123","01234","012345","98765","987654","54321"},0)),AND(LEN(CB396)=8,LEFT(CB396,3)="202"))),OR(AND((LEN(CA396)-LEN(SUBSTITUTE(CA396,"a","")))&gt;=1,SUMPRODUCT(--ISNUMBER(SEARCH({"a0","a-0","a_0","a/0","a.0","a#0","0a","0-a","0_a","0/a"},BP396)))&gt;0),ISNUMBER(SEARCH("000000",BP396)))),1,0),0)</f>
        <v>0</v>
      </c>
      <c r="BR396" s="61" t="n">
        <f aca="false">IFERROR(LEN(SUBSTITUTE(CC396," ",""))-SUMPRODUCT((LEN(CC396)-LEN(SUBSTITUTE(CC396," "&amp;L_Role&amp;" "," ")))/(LEN(L_Role)+1)*LEN(L_Role)),0)</f>
        <v>0</v>
      </c>
      <c r="BS396" s="61" t="n">
        <f aca="false">IFERROR(LEN(SUBSTITUTE(CD396," ",""))-SUMPRODUCT((LEN(CD396)-LEN(SUBSTITUTE(CD396," "&amp;L_Role&amp;" "," ")))/(LEN(L_Role)+1)*LEN(L_Role)),0)</f>
        <v>0</v>
      </c>
      <c r="BT3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396,"revision",""),"version",""),"jan",""),"feb",""),"mar",""),"apr",""),"may",""),"jun",""),"jul",""),"aug",""),"sep",""),"oct",""),"nov",""),"dec",""),"utc",""),"gmt",""),"myt",""),"bst",""),"rev",""),"ver",""),"b","a"),"c","a"),"d","a"),"e","a"),"f","a"),"g","a"),"h","a"),"i","a"),"j","a"),"k","a"),"l","a"),"m","a"),"n","a"),"o","a"),"p","a"),"q","a"),"r","a"),"s","a"),"t","a"),"u","a"),"v","a"),"w","a"),"x","a"),"y","a"),"z","a")</f>
        <v/>
      </c>
      <c r="BU396" s="61" t="str">
        <f aca="false">SUBSTITUTE(SUBSTITUTE(SUBSTITUTE(SUBSTITUTE(SUBSTITUTE(SUBSTITUTE(SUBSTITUTE(SUBSTITUTE(SUBSTITUTE(SUBSTITUTE(LEFT(BM396,FIND("0",BM396&amp;"0")-1),"-",""),"_",""),"/",""),".",""),"#",""),"\\",""),":","")," ",""),"(",""),")","")</f>
        <v/>
      </c>
      <c r="BV396" s="61" t="n">
        <f aca="false">0</f>
        <v>0</v>
      </c>
      <c r="BW3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396&amp;""),"a",""),"b",""),"c",""),"d",""),"e",""),"f",""),"g",""),"h",""),"i",""),"j",""),"k",""),"l",""),"m",""),"n",""),"o",""),"p",""),"q",""),"r",""),"s",""),"t",""),"u",""),"v",""),"w",""),"x",""),"y",""),"z",""),"-",""),"_",""),"/",""),".",""),"#",""),"\\",""),":","")," ",""),"(",""),")","")</f>
        <v/>
      </c>
      <c r="BX396" s="61" t="str">
        <f aca="false">SUBSTITUTE(SUBSTITUTE(SUBSTITUTE(SUBSTITUTE(SUBSTITUTE(SUBSTITUTE(SUBSTITUTE(SUBSTITUTE(SUBSTITUTE(SUBSTITUTE(SUBSTITUTE(BM396,"0",""),"-",""),"_",""),"/",""),".",""),"#",""),"\\",""),":","")," ",""),"(",""),")","")</f>
        <v/>
      </c>
      <c r="BY396" s="62" t="n">
        <f aca="false">Q396-T12EarlyH/24</f>
        <v>46306.6006944444</v>
      </c>
      <c r="BZ396" s="61" t="n">
        <f aca="false">IFERROR(IF(IF(TRIM(S396)="Link / file path",AND(LEN(TRIM(Z396))&gt;=5,SUMPRODUCT(--ISNUMBER(SEARCH({"http","www.","\\",":\",".pdf",".jpg",".jpeg",".png",".heic",".xls",".doc",".msg",".eml",".ppt",".txt",".zip"},Z396)))&gt;0),AND(ISERROR(FIND(" ",TRIM(Z396))),NOT(OR(SUMPRODUCT(--ISNUMBER(FIND({",",";","&amp;","+"},Z396)))&gt;0,SUMPRODUCT(--ISNUMBER(SEARCH({"0/aa","0\\aa"},BN396)))&gt;0)),NOT(SUMPRODUCT(--ISNUMBER(SEARCH({"http","www.","\\",":\",".pdf",".jpg",".jpeg",".png",".heic",".xls",".doc",".msg",".eml",".ppt",".txt",".zip"},Z396)))&gt;0),NOT(LOWER(TRIM(Z396))=LOWER(Flights!$F$16)),ISNA(MATCH(BU396,{"mh","rev","revision","ver","version","v","r","a","b","seat","tray","row","gate","bay","stand","page","pg","item","line","no","cart","galley","flight","flt","table","box","bag","oven","etd","eta","std","sta","atd","ata","qty","pax","x","time","tel","ph","mob","day","wk","week","utc","gmt","myt","lt"},0)),NOT(OR(ISNUMBER(MATCH(LEFT(BN396,255),{"0000a","000a","00a","0000aa","000aa","00aa","0aa","0000aaa","000aaa","00a00","0a00","0000-0000","00:00","a00","a0","00.00.0000","00/00/0000","00-00-0000","0000-00-00","0000/00/00","0000.00.00","00.00.00","00/00/00","00-00-00","0.00.0000","0/00/0000","0-00-0000"},0)),ISNUMBER(MATCH(LEFT(BT396,255),{"0000a","000a","00a","0000aa","000aa","00aa","0aa","0000aaa","000aaa","00a00","0a00","0000-0000","00:00","a00","a0","00.00.0000","00/00/0000","00-00-0000","0000-00-00","0000/00/00","0000.00.00","00.00.00","00/00/00","00-00-00","0.00.0000","0/00/0000","0-00-0000"},0)))),NOT(OR(AND(BW396&lt;&gt;"",SUBSTITUTE(BW396,"0","")=""),AND(LEN(BW396)&gt;=4,BW396=REPT(LEFT(BW396),LEN(BW396))),ISNUMBER(MATCH(BW396,{"123","1234","12345","123456","1234567","12345678","0123","01234","012345","98765","987654","54321"},0)),ISNUMBER(MATCH(BX396,{"x","xx","xxx","xxxx","xxxxx","abc","abcd","nil","na","nan","test","tbc","tba","tbd","dummy","sample","example","eg","zz","zzz","none","null","xyz","qwe","asd","id","ref"},0)),AND(LEN(BW396)=8,BX396="",OR(LEFT(BW396,3)="202",ISNUMBER(MATCH(RIGHT(BW396,4),{"2025","2026","2027"},0)))))),OR(AND((LEN(BT396)-LEN(SUBSTITUTE(BT396,"a","")))&gt;=1,(LEN(BN396)-LEN(SUBSTITUTE(BN396,"0","")))&gt;=2,SUMPRODUCT(--ISNUMBER(SEARCH({"a0","a-0","a_0","a/0","a.0","a#0","0a","0-a","0_a","0/a"},BN396)))&gt;0),AND((LEN(BN396)-LEN(SUBSTITUTE(BN396,"a","")))=0,(LEN(BN396)-LEN(SUBSTITUTE(BN396,"0","")))&gt;=5)))),1,0),0)</f>
        <v>0</v>
      </c>
      <c r="CA3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396,"revision",""),"version",""),"jan",""),"feb",""),"mar",""),"apr",""),"may",""),"jun",""),"jul",""),"aug",""),"sep",""),"oct",""),"nov",""),"dec",""),"utc",""),"gmt",""),"myt",""),"bst",""),"rev",""),"ver",""),"b","a"),"c","a"),"d","a"),"e","a"),"f","a"),"g","a"),"h","a"),"i","a"),"j","a"),"k","a"),"l","a"),"m","a"),"n","a"),"o","a"),"p","a"),"q","a"),"r","a"),"s","a"),"t","a"),"u","a"),"v","a"),"w","a"),"x","a"),"y","a"),"z","a")</f>
        <v/>
      </c>
      <c r="CB3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396&amp;""),"a",""),"b",""),"c",""),"d",""),"e",""),"f",""),"g",""),"h",""),"i",""),"j",""),"k",""),"l",""),"m",""),"n",""),"o",""),"p",""),"q",""),"r",""),"s",""),"t",""),"u",""),"v",""),"w",""),"x",""),"y",""),"z",""),"-",""),"_",""),"/",""),".",""),"#",""),"\\",""),":","")," ",""),"(",""),")","")</f>
        <v/>
      </c>
      <c r="CC396" s="0" t="str">
        <f aca="false">" "&amp;TRIM(SUBSTITUTE(SUBSTITUTE(SUBSTITUTE(SUBSTITUTE(SUBSTITUTE(SUBSTITUTE(SUBSTITUTE(SUBSTITUTE(SUBSTITUTE(SUBSTITUTE(SUBSTITUTE(SUBSTITUTE(SUBSTITUTE(SUBSTITUTE(SUBSTITUTE(SUBSTITUTE(SUBSTITUTE(SUBSTITUTE(SUBSTITUTE(SUBSTITUTE(SUBSTITUTE(SUBSTITUTE(SUBSTITUTE(SUBSTITUTE(LOWER(T396&amp;""),CHAR(10)," "),CHAR(13)," "),CHAR(9)," "),CHAR(160)," "),"."," "),","," "),"-"," "),"/"," "),"("," "),")"," "),":"," "),";"," "),"_"," "),"–"," "),"?"," "),"!"," "),"*"," "),"["," "),"]"," "),"'"," "),"#"," "),"+"," "),"&amp;"," "),"\"," "))&amp;" "</f>
        <v>  </v>
      </c>
      <c r="CD396" s="0" t="str">
        <f aca="false">" "&amp;TRIM(SUBSTITUTE(SUBSTITUTE(SUBSTITUTE(SUBSTITUTE(SUBSTITUTE(SUBSTITUTE(SUBSTITUTE(SUBSTITUTE(SUBSTITUTE(SUBSTITUTE(SUBSTITUTE(SUBSTITUTE(SUBSTITUTE(SUBSTITUTE(SUBSTITUTE(SUBSTITUTE(SUBSTITUTE(SUBSTITUTE(SUBSTITUTE(SUBSTITUTE(SUBSTITUTE(SUBSTITUTE(SUBSTITUTE(SUBSTITUTE(LOWER(AE396&amp;""),CHAR(10)," "),CHAR(13)," "),CHAR(9)," "),CHAR(160)," "),"."," "),","," "),"-"," "),"/"," "),"("," "),")"," "),":"," "),";"," "),"_"," "),"–"," "),"?"," "),"!"," "),"*"," "),"["," "),"]"," "),"'"," "),"#"," "),"+"," "),"&amp;"," "),"\"," "))&amp;" "</f>
        <v>  </v>
      </c>
      <c r="CE396" s="68" t="n">
        <f aca="false">IFERROR(IF(AND(LEN(AU396)&gt;0,LEN(AU396)=LEN(AX396),OR(TRIM(MID(SUBSTITUTE(TRIM(CC396)," ",REPT(" ",60)),1,60))="",ISNUMBER(SEARCH(" "&amp;TRIM(MID(SUBSTITUTE(TRIM(CC396)," ",REPT(" ",60)),1,60))&amp;" ",CD396))),OR(TRIM(MID(SUBSTITUTE(TRIM(CC396)," ",REPT(" ",60)),61,60))="",ISNUMBER(SEARCH(" "&amp;TRIM(MID(SUBSTITUTE(TRIM(CC396)," ",REPT(" ",60)),61,60))&amp;" ",CD396))),OR(TRIM(MID(SUBSTITUTE(TRIM(CC396)," ",REPT(" ",60)),121,60))="",ISNUMBER(SEARCH(" "&amp;TRIM(MID(SUBSTITUTE(TRIM(CC396)," ",REPT(" ",60)),121,60))&amp;" ",CD396)))),1,0),0)</f>
        <v>0</v>
      </c>
      <c r="CG396" s="68" t="n">
        <f aca="false">IFERROR(LEN(SUBSTITUTE(BF396," ",""))-SUMPRODUCT((LEN(BF396)-LEN(SUBSTITUTE(BF396," "&amp;L_NAFiller&amp;" "," ")))/(LEN(L_NAFiller)+1)*LEN(L_NAFiller)),0)</f>
        <v>0</v>
      </c>
    </row>
    <row r="397" customFormat="false" ht="39.75" hidden="false" customHeight="true" outlineLevel="0" collapsed="false">
      <c r="A397" s="57" t="s">
        <v>1013</v>
      </c>
      <c r="B397" s="57" t="s">
        <v>261</v>
      </c>
      <c r="C397" s="57" t="str">
        <f aca="false">Flights!$F$16</f>
        <v>MH0139</v>
      </c>
      <c r="D397" s="58" t="n">
        <f aca="false">Flights!$D$16</f>
        <v>46307</v>
      </c>
      <c r="E397" s="57" t="str">
        <f aca="false">Flights!$G$16&amp;"-"&amp;Flights!$H$16</f>
        <v>KUL-ADL</v>
      </c>
      <c r="F397" s="57" t="str">
        <f aca="false">Flights!$K$16</f>
        <v>BC</v>
      </c>
      <c r="G397" s="57" t="s">
        <v>420</v>
      </c>
      <c r="H397" s="57" t="s">
        <v>378</v>
      </c>
      <c r="I397" s="57" t="s">
        <v>440</v>
      </c>
      <c r="J397" s="57" t="s">
        <v>441</v>
      </c>
      <c r="K397" s="67" t="s">
        <v>501</v>
      </c>
      <c r="L397" s="67" t="s">
        <v>1014</v>
      </c>
      <c r="M397" s="67" t="s">
        <v>187</v>
      </c>
      <c r="N397" s="67" t="s">
        <v>383</v>
      </c>
      <c r="O397" s="67"/>
      <c r="P397" s="57" t="s">
        <v>187</v>
      </c>
      <c r="Q397" s="59" t="n">
        <f aca="false">ROUND((Flights!$AE$16)*1440,0)/1440</f>
        <v>46307.1006944444</v>
      </c>
      <c r="R397" s="59" t="n">
        <f aca="false">Q397+(IF(AND(INDEX(TZ_DSTS,MATCH(P397,TZ_STN,0))&lt;&gt;"",Q397&gt;=INDEX(TZ_DSTS,MATCH(P397,TZ_STN,0)),Q397&lt;INDEX(TZ_DSTE,MATCH(P397,TZ_STN,0))),INDEX(TZ_DST,MATCH(P397,TZ_STN,0)),INDEX(TZ_STD,MATCH(P397,TZ_STN,0))))/24</f>
        <v>46307.4340277778</v>
      </c>
      <c r="S397" s="60"/>
      <c r="T397" s="60"/>
      <c r="U397" s="60"/>
      <c r="V397" s="60"/>
      <c r="W397" s="61"/>
      <c r="X397" s="60"/>
      <c r="Y397" s="60"/>
      <c r="Z397" s="60"/>
      <c r="AA397" s="60"/>
      <c r="AB397" s="60"/>
      <c r="AC397" s="60"/>
      <c r="AD397" s="66"/>
      <c r="AE397" s="60"/>
      <c r="AF397" s="61" t="str">
        <f aca="false">IF(AND(ISNUMBER(X397),ISNUMBER(Y397)),Y397-X397,"")</f>
        <v/>
      </c>
      <c r="AG397" s="62" t="str">
        <f aca="false">IF(ISNUMBER(AD397),AD397-(IF(AND(INDEX(TZ_DSTS,MATCH(P397,TZ_STN,0))&lt;&gt;"",(AD397-INDEX(TZ_STD,MATCH(P397,TZ_STN,0))/24)&gt;=INDEX(TZ_DSTS,MATCH(P397,TZ_STN,0)),(AD397-INDEX(TZ_STD,MATCH(P397,TZ_STN,0))/24)&lt;INDEX(TZ_DSTE,MATCH(P397,TZ_STN,0))),INDEX(TZ_DST,MATCH(P397,TZ_STN,0)),INDEX(TZ_STD,MATCH(P397,TZ_STN,0))))/24,"")</f>
        <v/>
      </c>
      <c r="AH397" s="65" t="str">
        <f aca="false">IFERROR(IF(N397="N/A – rule",IF(OR(TRIM(U397)="",TRIM(U397)="N/A",TRIM(U397)="Not started"),"N/A – RULE","INVALID – this check does not apply to this aircraft: clear the status (or correct the fleet on Flights)"),IF(TRIM(U397)="N/A",IF(AT397=0,"INVALID – N/A not permitted for this check",IF(AND(TRIM(AB397)&lt;&gt;"",TRIM(AB397)&lt;&gt;"Closed"),"INVALID – corrective action still open",IF(AND(NOT(OR(LEN(AZ397)&lt;15,ISNUMBER(MATCH(AZ397,L_Placeholder,0)))),BK397=0,CG397&gt;=8,NOT(OR(LEN(AU397)&lt;2,ISNUMBER(MATCH(AU397,L_Placeholder,0)))),BR397&gt;=3,NOT(OR(LEN(AX397)&lt;2,ISNUMBER(MATCH(AX397,L_Placeholder,0)))),BS397&gt;=3,TRIM(AE397)&lt;&gt;TRIM(T397),AX397&lt;&gt;AU397,CE397=0),"N/A – JUSTIFIED","INVALID – N/A needs a real, settled reason (not 'not applicable' / 'as above' / TBC), a named PIC and a different named verifier"))),IF(OR(TRIM(U397)="Pass",TRIM(U397)="Pass after CA"),IF(NOT(ISNUMBER(AD397)),"INVALID – completion time missing",IF(OR(OR(LEN(AU397)&lt;2,ISNUMBER(MATCH(AU397,L_Placeholder,0))),BR397&lt;3),"INVALID – PIC missing or not a named person (a role such as QA / CSM is not a name)",IF(OR(LEN(AV397)&lt;2,ISNUMBER(MATCH(AV397,L_Placeholder,0))),"INVALID – result / assessment missing",IF(OR(OR(LEN(AW397)&lt;3,ISNUMBER(MATCH(AW397,L_Placeholder,0))),SUMPRODUCT(--ISNUMBER(SEARCH(" "&amp;L_EvidencePhrase&amp;" ",BD397)))&gt;0,BI397=1),"INVALID – evidence missing, placeholder or not yet on file",IF(ISNA(MATCH(TRIM(S397),L_EvidenceType,0)),"INVALID – choose the evidence type from the list (column S)",IF(BL397=0,"INVALID – evidence ID must be the record's own ID only (e.g. SF-2210, IMG_2231, 1045521); a link / file name needs type 'Link / file path'",IF(OR(OR(LEN(AX397)&lt;2,ISNUMBER(MATCH(AX397,L_Placeholder,0))),BS397&lt;3),"INVALID – verifier missing or not a named person (a role such as QA / CSM is not a name)",IF(OR(AX397=AU397,CE397=1,AND(LEN(AU397)&gt;=4,ISNUMBER(SEARCH(AU397,AX397))),AND(LEN(AX397)&gt;=4,ISNUMBER(SEARCH(AX397,AU397)))),"INVALID – verifier must be a different, named person (not the PIC or a role)",IF(BH397=1,"INVALID – result not yet available (awaiting / TBC)",IF(BG397=1,"INVALID – result describes a problem: record Fail, then Pass after CA (or reword if it is not a problem)",IF(BV397=1,"INVALID – wording says not on board: an on-board confirmation needs the item loaded",IF(AND(AQ397=1,OR(OR(LEN(AY397)&lt;3,ISNUMBER(MATCH(AY397,L_Placeholder,0))),BJ397=1,BQ397=0)),"INVALID – batch ID missing, placeholder or not an ID (e.g. PASB-261008-BC-017)",IF(AND(AR397=1,OR(NOT(ISNUMBER(X397)),NOT(ISNUMBER(Y397)))),"INVALID – expected/actual qty missing",IF(AND(AR397=1,OR(X397&lt;=0,Y397&lt;0)),"INVALID – expected qty must be above 0 and actual not negative",IF(BB397&lt;&gt;"",BB397,IF(AND(AS397=1,Documents!$J$16&lt;&gt;"ON FILE"),"INVALID – GLD not on file (Documents sheet)",IF(AND(AS397=2,Documents!$O$16&lt;&gt;"ON FILE"),"INVALID – menu checklist not on file (Documents sheet)",IF(AND(AS397=3,NOT(ISNUMBER(Flights!$AX$16))),"INVALID – enter carrying flight KUL departure (Flights AX)",IF(AND(AS397=3,OR(Flights!$AZ$16&gt;Flights!$AA$16,Flights!$AX$16&lt;Flights!$AA$16-3)),"INVALID – carrying flight (Flights AX) cannot arrive before this leg's STD, or is over 3 days early",IF(AG397&gt;AsOfUTC,"INVALID – completion time is in the future",IF(AND(ISNUMBER(BY397),AG397&lt;BY397),IF(H397="Physical uplift","INVALID – before uplift window (cannot confirm loading)","INVALID – before valid window"),IF(AG397&gt;Flights!$AA$16,"INVALID – completed after departure (cannot establish readiness)",IF(AND(H397="Preparation",AG397&gt;=IF(ISNUMBER(Flights!$BA$16),MIN(Flights!$BA$16,Flights!$AA$16),Flights!$AA$16)),"INVALID – completed after loading / departure (cannot establish readiness)",IF(AND(H397="Physical uplift",AG397&gt;Q397),"INVALID – recorded after the loading flight departed",IF(AG397&gt;Q397,"COMPLETE – LATE","COMPLETE"))))))))))))))))))))))))),IF(TRIM(U397)="Fail","FAIL – DISCREPANCY",IF(AND(TRIM(U397)&lt;&gt;"",TRIM(U397)&lt;&gt;"Not started",TRIM(U397)&lt;&gt;"In progress"),"INVALID – unrecognised status (use the list)",IF(AsOfUTC&gt;Q397,"OVERDUE",IF(N397="Clarification required","OPEN – CLARIFICATION","OPEN"))))))),"INVALID – error value in an input cell")</f>
        <v>OPEN</v>
      </c>
      <c r="AI397" s="61" t="n">
        <f aca="false">IF(OR(AH397="N/A – RULE",AH397="N/A – JUSTIFIED"),0,1)</f>
        <v>1</v>
      </c>
      <c r="AJ397" s="61" t="n">
        <f aca="false">IF(LEFT(AH397,8)="COMPLETE",1,0)</f>
        <v>0</v>
      </c>
      <c r="AK397" s="61" t="n">
        <f aca="false">IF(AND(AI397=1,AJ397=0,AsOfUTC&gt;Q397),1,0)</f>
        <v>0</v>
      </c>
      <c r="AL397" s="61" t="n">
        <f aca="false">IFERROR(IF(AND(AI397=1,OR(TRIM(U397)="Fail",AND(TRIM(AB397)&lt;&gt;"",TRIM(AB397)&lt;&gt;"Closed"),AND(ISNUMBER(AF397),AF397&lt;&gt;0,TRIM(U397)&lt;&gt;"Pass after CA"))),1,0),1)</f>
        <v>0</v>
      </c>
      <c r="AM397" s="61" t="n">
        <f aca="false">IF(LEFT(AH397,7)="INVALID",1,0)</f>
        <v>0</v>
      </c>
      <c r="AN397" s="61" t="n">
        <f aca="false">IF(AND(N397="Clarification required",AI397=1,AJ397=0),1,0)</f>
        <v>0</v>
      </c>
      <c r="AO397" s="61" t="str">
        <f aca="false">IF(AK397=1,SUM(AK$5:AK397),"")</f>
        <v/>
      </c>
      <c r="AP397" s="61" t="str">
        <f aca="false">IF(AL397=1,SUM(AL$5:AL397),"")</f>
        <v/>
      </c>
      <c r="AQ397" s="61" t="n">
        <v>0</v>
      </c>
      <c r="AR397" s="61" t="n">
        <v>0</v>
      </c>
      <c r="AS397" s="61" t="n">
        <v>0</v>
      </c>
      <c r="AT397" s="61" t="n">
        <v>0</v>
      </c>
      <c r="AU397" s="61" t="str">
        <f aca="false">SUBSTITUTE(SUBSTITUTE(SUBSTITUTE(SUBSTITUTE(SUBSTITUTE(SUBSTITUTE(SUBSTITUTE(SUBSTITUTE(SUBSTITUTE(SUBSTITUTE(SUBSTITUTE(SUBSTITUTE(SUBSTITUTE(SUBSTITUTE(SUBSTITUTE(SUBSTITUTE(LOWER(T397&amp;""),CHAR(10),""),CHAR(13),""),CHAR(9),""),CHAR(160),"")," ",""),".",""),"-",""),"/",""),"?",""),"_",""),",",""),"[",""),"]",""),"(",""),")",""),"*","")</f>
        <v/>
      </c>
      <c r="AV397" s="61" t="str">
        <f aca="false">SUBSTITUTE(SUBSTITUTE(SUBSTITUTE(SUBSTITUTE(SUBSTITUTE(SUBSTITUTE(SUBSTITUTE(SUBSTITUTE(SUBSTITUTE(SUBSTITUTE(SUBSTITUTE(SUBSTITUTE(SUBSTITUTE(SUBSTITUTE(SUBSTITUTE(SUBSTITUTE(LOWER(V397&amp;""),CHAR(10),""),CHAR(13),""),CHAR(9),""),CHAR(160),"")," ",""),".",""),"-",""),"/",""),"?",""),"_",""),",",""),"[",""),"]",""),"(",""),")",""),"*","")</f>
        <v/>
      </c>
      <c r="AW397" s="61" t="str">
        <f aca="false">SUBSTITUTE(SUBSTITUTE(SUBSTITUTE(SUBSTITUTE(SUBSTITUTE(SUBSTITUTE(SUBSTITUTE(SUBSTITUTE(SUBSTITUTE(SUBSTITUTE(SUBSTITUTE(SUBSTITUTE(SUBSTITUTE(SUBSTITUTE(SUBSTITUTE(SUBSTITUTE(LOWER(Z397&amp;""),CHAR(10),""),CHAR(13),""),CHAR(9),""),CHAR(160),"")," ",""),".",""),"-",""),"/",""),"?",""),"_",""),",",""),"[",""),"]",""),"(",""),")",""),"*","")</f>
        <v/>
      </c>
      <c r="AX397" s="61" t="str">
        <f aca="false">SUBSTITUTE(SUBSTITUTE(SUBSTITUTE(SUBSTITUTE(SUBSTITUTE(SUBSTITUTE(SUBSTITUTE(SUBSTITUTE(SUBSTITUTE(SUBSTITUTE(SUBSTITUTE(SUBSTITUTE(SUBSTITUTE(SUBSTITUTE(SUBSTITUTE(SUBSTITUTE(LOWER(AE397&amp;""),CHAR(10),""),CHAR(13),""),CHAR(9),""),CHAR(160),"")," ",""),".",""),"-",""),"/",""),"?",""),"_",""),",",""),"[",""),"]",""),"(",""),")",""),"*","")</f>
        <v/>
      </c>
      <c r="AY397" s="61" t="str">
        <f aca="false">SUBSTITUTE(SUBSTITUTE(SUBSTITUTE(SUBSTITUTE(SUBSTITUTE(SUBSTITUTE(SUBSTITUTE(SUBSTITUTE(SUBSTITUTE(SUBSTITUTE(SUBSTITUTE(SUBSTITUTE(SUBSTITUTE(SUBSTITUTE(SUBSTITUTE(SUBSTITUTE(LOWER(W397&amp;""),CHAR(10),""),CHAR(13),""),CHAR(9),""),CHAR(160),"")," ",""),".",""),"-",""),"/",""),"?",""),"_",""),",",""),"[",""),"]",""),"(",""),")",""),"*","")</f>
        <v/>
      </c>
      <c r="AZ397" s="61" t="str">
        <f aca="false">SUBSTITUTE(SUBSTITUTE(SUBSTITUTE(SUBSTITUTE(SUBSTITUTE(SUBSTITUTE(SUBSTITUTE(SUBSTITUTE(SUBSTITUTE(SUBSTITUTE(SUBSTITUTE(SUBSTITUTE(SUBSTITUTE(SUBSTITUTE(SUBSTITUTE(SUBSTITUTE(LOWER(AC397&amp;""),CHAR(10),""),CHAR(13),""),CHAR(9),""),CHAR(160),"")," ",""),".",""),"-",""),"/",""),"?",""),"_",""),",",""),"[",""),"]",""),"(",""),")",""),"*","")</f>
        <v/>
      </c>
      <c r="BA397" s="61" t="str">
        <f aca="false">SUBSTITUTE(SUBSTITUTE(SUBSTITUTE(SUBSTITUTE(SUBSTITUTE(SUBSTITUTE(SUBSTITUTE(SUBSTITUTE(SUBSTITUTE(SUBSTITUTE(SUBSTITUTE(SUBSTITUTE(SUBSTITUTE(SUBSTITUTE(SUBSTITUTE(SUBSTITUTE(LOWER(AA397&amp;""),CHAR(10),""),CHAR(13),""),CHAR(9),""),CHAR(160),"")," ",""),".",""),"-",""),"/",""),"?",""),"_",""),",",""),"[",""),"]",""),"(",""),")",""),"*","")</f>
        <v/>
      </c>
      <c r="BB397" s="61" t="str">
        <f aca="false">IF(AND(TRIM(U397)="Pass",ISNUMBER(AF397)),IF(AF397&lt;&gt;0,"INVALID – qty variance: use Fail or Pass after CA",""),"")&amp;IF(AND(TRIM(U397)="Pass after CA",ISNUMBER(AF397)),IF(AF397&lt;&gt;0,"INVALID – after the corrective action the actual qty must equal expected (update Actual)",""),"")&amp;IF(AND(TRIM(U397)="Pass",TRIM(AB397)&lt;&gt;"",TRIM(AB397)&lt;&gt;"Closed"),"INVALID – corrective action not closed: use Fail, then Pass after CA","")&amp;IF(AND(LEN(BA397)&gt;=2,ISNA(MATCH(LEFT(BA397,255),L_Placeholder,0)),TRIM(AB397)=""),"INVALID – CA status missing for the recorded corrective action","")&amp;IF(AND(TRIM(U397)="Pass after CA",OR(OR(LEN(BA397)&lt;5,ISNUMBER(MATCH(BA397,L_Placeholder,0))),TRIM(AB397)&lt;&gt;"Closed")),"INVALID – corrective action not recorded/closed","")</f>
        <v/>
      </c>
      <c r="BC397" s="61" t="str">
        <f aca="false">" "&amp;TRIM(SUBSTITUTE(SUBSTITUTE(SUBSTITUTE(SUBSTITUTE(SUBSTITUTE(SUBSTITUTE(SUBSTITUTE(SUBSTITUTE(SUBSTITUTE(SUBSTITUTE(SUBSTITUTE(SUBSTITUTE(SUBSTITUTE(SUBSTITUTE(SUBSTITUTE(SUBSTITUTE(SUBSTITUTE(SUBSTITUTE(SUBSTITUTE(SUBSTITUTE(SUBSTITUTE(SUBSTITUTE(SUBSTITUTE(SUBSTITUTE(LOWER(V397&amp;""),CHAR(10)," "),CHAR(13)," "),CHAR(9)," "),CHAR(160)," "),"."," "),","," "),"-"," "),"/"," "),"("," "),")"," "),":"," "),";"," "),"_"," "),"–"," "),"?"," "),"!"," "),"*"," "),"["," "),"]"," "),"'"," "),"#"," "),"+"," "),"&amp;"," "),"\"," "))&amp;" "</f>
        <v>  </v>
      </c>
      <c r="BD397" s="61" t="str">
        <f aca="false">" "&amp;TRIM(SUBSTITUTE(SUBSTITUTE(SUBSTITUTE(SUBSTITUTE(SUBSTITUTE(SUBSTITUTE(SUBSTITUTE(SUBSTITUTE(SUBSTITUTE(SUBSTITUTE(SUBSTITUTE(SUBSTITUTE(SUBSTITUTE(SUBSTITUTE(SUBSTITUTE(SUBSTITUTE(SUBSTITUTE(SUBSTITUTE(SUBSTITUTE(SUBSTITUTE(SUBSTITUTE(SUBSTITUTE(SUBSTITUTE(SUBSTITUTE(LOWER(Z397&amp;""),CHAR(10)," "),CHAR(13)," "),CHAR(9)," "),CHAR(160)," "),"."," "),","," "),"-"," "),"/"," "),"("," "),")"," "),":"," "),";"," "),"_"," "),"–"," "),"?"," "),"!"," "),"*"," "),"["," "),"]"," "),"'"," "),"#"," "),"+"," "),"&amp;"," "),"\"," "))&amp;" "</f>
        <v>  </v>
      </c>
      <c r="BE397" s="61" t="str">
        <f aca="false">" "&amp;TRIM(SUBSTITUTE(SUBSTITUTE(SUBSTITUTE(SUBSTITUTE(SUBSTITUTE(SUBSTITUTE(SUBSTITUTE(SUBSTITUTE(SUBSTITUTE(SUBSTITUTE(SUBSTITUTE(SUBSTITUTE(SUBSTITUTE(SUBSTITUTE(SUBSTITUTE(SUBSTITUTE(SUBSTITUTE(SUBSTITUTE(SUBSTITUTE(SUBSTITUTE(SUBSTITUTE(SUBSTITUTE(SUBSTITUTE(SUBSTITUTE(LOWER(W397&amp;""),CHAR(10)," "),CHAR(13)," "),CHAR(9)," "),CHAR(160)," "),"."," "),","," "),"-"," "),"/"," "),"("," "),")"," "),":"," "),";"," "),"_"," "),"–"," "),"?"," "),"!"," "),"*"," "),"["," "),"]"," "),"'"," "),"#"," "),"+"," "),"&amp;"," "),"\"," "))&amp;" "</f>
        <v>  </v>
      </c>
      <c r="BF397" s="61" t="str">
        <f aca="false">" "&amp;TRIM(SUBSTITUTE(SUBSTITUTE(SUBSTITUTE(SUBSTITUTE(SUBSTITUTE(SUBSTITUTE(SUBSTITUTE(SUBSTITUTE(SUBSTITUTE(SUBSTITUTE(SUBSTITUTE(SUBSTITUTE(SUBSTITUTE(SUBSTITUTE(SUBSTITUTE(SUBSTITUTE(SUBSTITUTE(SUBSTITUTE(SUBSTITUTE(SUBSTITUTE(SUBSTITUTE(SUBSTITUTE(SUBSTITUTE(SUBSTITUTE(LOWER(AC397&amp;""),CHAR(10)," "),CHAR(13)," "),CHAR(9)," "),CHAR(160)," "),"."," "),","," "),"-"," "),"/"," "),"("," "),")"," "),":"," "),";"," "),"_"," "),"–"," "),"?"," "),"!"," "),"*"," "),"["," "),"]"," "),"'"," "),"#"," "),"+"," "),"&amp;"," "),"\"," "))&amp;" "</f>
        <v>  </v>
      </c>
      <c r="BG397" s="61" t="n">
        <f aca="false">IFERROR(IF(AND(TRIM(U397)="Pass",SUMPRODUCT((LEN(BC397)-LEN(SUBSTITUTE(BC397," "&amp;L_ResultBad&amp;" "," ")))/(LEN(L_ResultBad)+1))&gt;SUMPRODUCT((LEN(BC397)-LEN(SUBSTITUTE(BC397," "&amp;L_NegPhrase&amp;" "," ")))/(LEN(L_NegPhrase)+1))),1,0),0)</f>
        <v>0</v>
      </c>
      <c r="BH397" s="61" t="n">
        <f aca="false">IFERROR(IF(SUMPRODUCT((LEN(BC397)-LEN(SUBSTITUTE(BC397," "&amp;L_Pending&amp;" "," ")))/(LEN(L_Pending)+1))&gt;SUMPRODUCT((LEN(BC397)-LEN(SUBSTITUTE(BC397," "&amp;L_PendNeg&amp;" "," ")))/(LEN(L_PendNeg)+1))+SUMPRODUCT((LEN(BC397)-LEN(SUBSTITUTE(BC397," "&amp;L_PendPrep&amp;" "," ")))/(LEN(L_PendPrep)+1)),1,0),1)</f>
        <v>0</v>
      </c>
      <c r="BI397" s="61" t="n">
        <f aca="false">IFERROR(IF(SUMPRODUCT((LEN(BD397)-LEN(SUBSTITUTE(BD397," "&amp;L_PendStrict&amp;" "," ")))/(LEN(L_PendStrict)+1))&gt;SUMPRODUCT((LEN(BD397)-LEN(SUBSTITUTE(BD397," "&amp;L_PendNeg&amp;" "," ")))/(LEN(L_PendNeg)+1)),1,0),1)</f>
        <v>0</v>
      </c>
      <c r="BJ397" s="61" t="n">
        <f aca="false">IFERROR(IF(SUMPRODUCT((LEN(BE397)-LEN(SUBSTITUTE(BE397," "&amp;L_Pending&amp;" "," ")))/(LEN(L_Pending)+1))&gt;SUMPRODUCT((LEN(BE397)-LEN(SUBSTITUTE(BE397," "&amp;L_PendNeg&amp;" "," ")))/(LEN(L_PendNeg)+1))+SUMPRODUCT((LEN(BE397)-LEN(SUBSTITUTE(BE397," "&amp;L_PendPrep&amp;" "," ")))/(LEN(L_PendPrep)+1)),1,0),1)</f>
        <v>0</v>
      </c>
      <c r="BK397" s="61" t="n">
        <f aca="false">IFERROR(IF(SUMPRODUCT((LEN(BF397)-LEN(SUBSTITUTE(BF397," "&amp;L_PendStrict&amp;" "," ")))/(LEN(L_PendStrict)+1))&gt;SUMPRODUCT((LEN(BF397)-LEN(SUBSTITUTE(BF397," "&amp;L_PendNeg&amp;" "," ")))/(LEN(L_PendNeg)+1)),1,0),1)</f>
        <v>0</v>
      </c>
      <c r="BL397" s="61" t="n">
        <f aca="false">IF(ISNA(MATCH(TRIM(S397),L_EvidenceType,0)),0,BZ397)</f>
        <v>0</v>
      </c>
      <c r="BM397" s="61" t="str">
        <f aca="false">SUBSTITUTE(SUBSTITUTE(SUBSTITUTE(SUBSTITUTE(SUBSTITUTE(SUBSTITUTE(SUBSTITUTE(SUBSTITUTE(SUBSTITUTE(LOWER(Z397&amp;""),"1","0"),"2","0"),"3","0"),"4","0"),"5","0"),"6","0"),"7","0"),"8","0"),"9","0")</f>
        <v/>
      </c>
      <c r="BN397" s="61" t="str">
        <f aca="false">SUBSTITUTE(SUBSTITUTE(SUBSTITUTE(SUBSTITUTE(SUBSTITUTE(SUBSTITUTE(SUBSTITUTE(SUBSTITUTE(SUBSTITUTE(SUBSTITUTE(SUBSTITUTE(SUBSTITUTE(SUBSTITUTE(SUBSTITUTE(SUBSTITUTE(SUBSTITUTE(SUBSTITUTE(SUBSTITUTE(SUBSTITUTE(SUBSTITUTE(SUBSTITUTE(SUBSTITUTE(SUBSTITUTE(SUBSTITUTE(SUBSTITUTE(BM397,"b","a"),"c","a"),"d","a"),"e","a"),"f","a"),"g","a"),"h","a"),"i","a"),"j","a"),"k","a"),"l","a"),"m","a"),"n","a"),"o","a"),"p","a"),"q","a"),"r","a"),"s","a"),"t","a"),"u","a"),"v","a"),"w","a"),"x","a"),"y","a"),"z","a")</f>
        <v/>
      </c>
      <c r="BO397" s="61" t="str">
        <f aca="false">SUBSTITUTE(SUBSTITUTE(SUBSTITUTE(SUBSTITUTE(SUBSTITUTE(SUBSTITUTE(SUBSTITUTE(SUBSTITUTE(SUBSTITUTE(LOWER(W397&amp;""),"1","0"),"2","0"),"3","0"),"4","0"),"5","0"),"6","0"),"7","0"),"8","0"),"9","0")</f>
        <v/>
      </c>
      <c r="BP397" s="61" t="str">
        <f aca="false">SUBSTITUTE(SUBSTITUTE(SUBSTITUTE(SUBSTITUTE(SUBSTITUTE(SUBSTITUTE(SUBSTITUTE(SUBSTITUTE(SUBSTITUTE(SUBSTITUTE(SUBSTITUTE(SUBSTITUTE(SUBSTITUTE(SUBSTITUTE(SUBSTITUTE(SUBSTITUTE(SUBSTITUTE(SUBSTITUTE(SUBSTITUTE(SUBSTITUTE(SUBSTITUTE(SUBSTITUTE(SUBSTITUTE(SUBSTITUTE(SUBSTITUTE(BO397,"b","a"),"c","a"),"d","a"),"e","a"),"f","a"),"g","a"),"h","a"),"i","a"),"j","a"),"k","a"),"l","a"),"m","a"),"n","a"),"o","a"),"p","a"),"q","a"),"r","a"),"s","a"),"t","a"),"u","a"),"v","a"),"w","a"),"x","a"),"y","a"),"z","a")</f>
        <v/>
      </c>
      <c r="BQ397" s="61" t="n">
        <f aca="false">IFERROR(IF(AND(ISERROR(SEARCH(" mh"," "&amp;LOWER(W397))),ISNA(MATCH(LEFT(TRIM(BP397),255),{"0000a","000a","00a","0000aa","000aa","00aa","0aa","0000aaa","000aaa","00a00","0a00","0000-0000","00:00","a00","a0","00.00.0000","00/00/0000","00-00-0000","0000-00-00","0000/00/00","0000.00.00","00.00.00","00/00/00","00-00-00","0.00.0000","0/00/0000","0-00-0000"},0)),ISNA(MATCH(LEFT(TRIM(CA397),255),{"0000a","000a","00a","0000aa","000aa","00aa","0aa","0000aaa","000aaa","00a00","0a00","0000-0000","00:00","a00","a0","00.00.0000","00/00/0000","00-00-0000","0000-00-00","0000/00/00","0000.00.00","00.00.00","00/00/00","00-00-00","0.00.0000","0/00/0000","0-00-0000"},0)),LEN(CB397)&gt;=3,NOT(OR(SUBSTITUTE(CB397,"0","")="",AND(LEN(CB397)&gt;=4,CB397=REPT(LEFT(CB397),LEN(CB397))),ISNUMBER(MATCH(CB397,{"123","1234","12345","123456","1234567","12345678","0123","01234","012345","98765","987654","54321"},0)),AND(LEN(CB397)=8,LEFT(CB397,3)="202"))),OR(AND((LEN(CA397)-LEN(SUBSTITUTE(CA397,"a","")))&gt;=1,SUMPRODUCT(--ISNUMBER(SEARCH({"a0","a-0","a_0","a/0","a.0","a#0","0a","0-a","0_a","0/a"},BP397)))&gt;0),ISNUMBER(SEARCH("000000",BP397)))),1,0),0)</f>
        <v>0</v>
      </c>
      <c r="BR397" s="61" t="n">
        <f aca="false">IFERROR(LEN(SUBSTITUTE(CC397," ",""))-SUMPRODUCT((LEN(CC397)-LEN(SUBSTITUTE(CC397," "&amp;L_Role&amp;" "," ")))/(LEN(L_Role)+1)*LEN(L_Role)),0)</f>
        <v>0</v>
      </c>
      <c r="BS397" s="61" t="n">
        <f aca="false">IFERROR(LEN(SUBSTITUTE(CD397," ",""))-SUMPRODUCT((LEN(CD397)-LEN(SUBSTITUTE(CD397," "&amp;L_Role&amp;" "," ")))/(LEN(L_Role)+1)*LEN(L_Role)),0)</f>
        <v>0</v>
      </c>
      <c r="BT3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397,"revision",""),"version",""),"jan",""),"feb",""),"mar",""),"apr",""),"may",""),"jun",""),"jul",""),"aug",""),"sep",""),"oct",""),"nov",""),"dec",""),"utc",""),"gmt",""),"myt",""),"bst",""),"rev",""),"ver",""),"b","a"),"c","a"),"d","a"),"e","a"),"f","a"),"g","a"),"h","a"),"i","a"),"j","a"),"k","a"),"l","a"),"m","a"),"n","a"),"o","a"),"p","a"),"q","a"),"r","a"),"s","a"),"t","a"),"u","a"),"v","a"),"w","a"),"x","a"),"y","a"),"z","a")</f>
        <v/>
      </c>
      <c r="BU397" s="61" t="str">
        <f aca="false">SUBSTITUTE(SUBSTITUTE(SUBSTITUTE(SUBSTITUTE(SUBSTITUTE(SUBSTITUTE(SUBSTITUTE(SUBSTITUTE(SUBSTITUTE(SUBSTITUTE(LEFT(BM397,FIND("0",BM397&amp;"0")-1),"-",""),"_",""),"/",""),".",""),"#",""),"\\",""),":","")," ",""),"(",""),")","")</f>
        <v/>
      </c>
      <c r="BV397" s="61" t="n">
        <f aca="false">0</f>
        <v>0</v>
      </c>
      <c r="BW3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397&amp;""),"a",""),"b",""),"c",""),"d",""),"e",""),"f",""),"g",""),"h",""),"i",""),"j",""),"k",""),"l",""),"m",""),"n",""),"o",""),"p",""),"q",""),"r",""),"s",""),"t",""),"u",""),"v",""),"w",""),"x",""),"y",""),"z",""),"-",""),"_",""),"/",""),".",""),"#",""),"\\",""),":","")," ",""),"(",""),")","")</f>
        <v/>
      </c>
      <c r="BX397" s="61" t="str">
        <f aca="false">SUBSTITUTE(SUBSTITUTE(SUBSTITUTE(SUBSTITUTE(SUBSTITUTE(SUBSTITUTE(SUBSTITUTE(SUBSTITUTE(SUBSTITUTE(SUBSTITUTE(SUBSTITUTE(BM397,"0",""),"-",""),"_",""),"/",""),".",""),"#",""),"\\",""),":","")," ",""),"(",""),")","")</f>
        <v/>
      </c>
      <c r="BY397" s="62" t="n">
        <f aca="false">Q397-T12EarlyH/24</f>
        <v>46306.6006944444</v>
      </c>
      <c r="BZ397" s="61" t="n">
        <f aca="false">IFERROR(IF(IF(TRIM(S397)="Link / file path",AND(LEN(TRIM(Z397))&gt;=5,SUMPRODUCT(--ISNUMBER(SEARCH({"http","www.","\\",":\",".pdf",".jpg",".jpeg",".png",".heic",".xls",".doc",".msg",".eml",".ppt",".txt",".zip"},Z397)))&gt;0),AND(ISERROR(FIND(" ",TRIM(Z397))),NOT(OR(SUMPRODUCT(--ISNUMBER(FIND({",",";","&amp;","+"},Z397)))&gt;0,SUMPRODUCT(--ISNUMBER(SEARCH({"0/aa","0\\aa"},BN397)))&gt;0)),NOT(SUMPRODUCT(--ISNUMBER(SEARCH({"http","www.","\\",":\",".pdf",".jpg",".jpeg",".png",".heic",".xls",".doc",".msg",".eml",".ppt",".txt",".zip"},Z397)))&gt;0),NOT(LOWER(TRIM(Z397))=LOWER(Flights!$F$16)),ISNA(MATCH(BU397,{"mh","rev","revision","ver","version","v","r","a","b","seat","tray","row","gate","bay","stand","page","pg","item","line","no","cart","galley","flight","flt","table","box","bag","oven","etd","eta","std","sta","atd","ata","qty","pax","x","time","tel","ph","mob","day","wk","week","utc","gmt","myt","lt"},0)),NOT(OR(ISNUMBER(MATCH(LEFT(BN397,255),{"0000a","000a","00a","0000aa","000aa","00aa","0aa","0000aaa","000aaa","00a00","0a00","0000-0000","00:00","a00","a0","00.00.0000","00/00/0000","00-00-0000","0000-00-00","0000/00/00","0000.00.00","00.00.00","00/00/00","00-00-00","0.00.0000","0/00/0000","0-00-0000"},0)),ISNUMBER(MATCH(LEFT(BT397,255),{"0000a","000a","00a","0000aa","000aa","00aa","0aa","0000aaa","000aaa","00a00","0a00","0000-0000","00:00","a00","a0","00.00.0000","00/00/0000","00-00-0000","0000-00-00","0000/00/00","0000.00.00","00.00.00","00/00/00","00-00-00","0.00.0000","0/00/0000","0-00-0000"},0)))),NOT(OR(AND(BW397&lt;&gt;"",SUBSTITUTE(BW397,"0","")=""),AND(LEN(BW397)&gt;=4,BW397=REPT(LEFT(BW397),LEN(BW397))),ISNUMBER(MATCH(BW397,{"123","1234","12345","123456","1234567","12345678","0123","01234","012345","98765","987654","54321"},0)),ISNUMBER(MATCH(BX397,{"x","xx","xxx","xxxx","xxxxx","abc","abcd","nil","na","nan","test","tbc","tba","tbd","dummy","sample","example","eg","zz","zzz","none","null","xyz","qwe","asd","id","ref"},0)),AND(LEN(BW397)=8,BX397="",OR(LEFT(BW397,3)="202",ISNUMBER(MATCH(RIGHT(BW397,4),{"2025","2026","2027"},0)))))),OR(AND((LEN(BT397)-LEN(SUBSTITUTE(BT397,"a","")))&gt;=1,(LEN(BN397)-LEN(SUBSTITUTE(BN397,"0","")))&gt;=2,SUMPRODUCT(--ISNUMBER(SEARCH({"a0","a-0","a_0","a/0","a.0","a#0","0a","0-a","0_a","0/a"},BN397)))&gt;0),AND((LEN(BN397)-LEN(SUBSTITUTE(BN397,"a","")))=0,(LEN(BN397)-LEN(SUBSTITUTE(BN397,"0","")))&gt;=5)))),1,0),0)</f>
        <v>0</v>
      </c>
      <c r="CA3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397,"revision",""),"version",""),"jan",""),"feb",""),"mar",""),"apr",""),"may",""),"jun",""),"jul",""),"aug",""),"sep",""),"oct",""),"nov",""),"dec",""),"utc",""),"gmt",""),"myt",""),"bst",""),"rev",""),"ver",""),"b","a"),"c","a"),"d","a"),"e","a"),"f","a"),"g","a"),"h","a"),"i","a"),"j","a"),"k","a"),"l","a"),"m","a"),"n","a"),"o","a"),"p","a"),"q","a"),"r","a"),"s","a"),"t","a"),"u","a"),"v","a"),"w","a"),"x","a"),"y","a"),"z","a")</f>
        <v/>
      </c>
      <c r="CB3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397&amp;""),"a",""),"b",""),"c",""),"d",""),"e",""),"f",""),"g",""),"h",""),"i",""),"j",""),"k",""),"l",""),"m",""),"n",""),"o",""),"p",""),"q",""),"r",""),"s",""),"t",""),"u",""),"v",""),"w",""),"x",""),"y",""),"z",""),"-",""),"_",""),"/",""),".",""),"#",""),"\\",""),":","")," ",""),"(",""),")","")</f>
        <v/>
      </c>
      <c r="CC397" s="0" t="str">
        <f aca="false">" "&amp;TRIM(SUBSTITUTE(SUBSTITUTE(SUBSTITUTE(SUBSTITUTE(SUBSTITUTE(SUBSTITUTE(SUBSTITUTE(SUBSTITUTE(SUBSTITUTE(SUBSTITUTE(SUBSTITUTE(SUBSTITUTE(SUBSTITUTE(SUBSTITUTE(SUBSTITUTE(SUBSTITUTE(SUBSTITUTE(SUBSTITUTE(SUBSTITUTE(SUBSTITUTE(SUBSTITUTE(SUBSTITUTE(SUBSTITUTE(SUBSTITUTE(LOWER(T397&amp;""),CHAR(10)," "),CHAR(13)," "),CHAR(9)," "),CHAR(160)," "),"."," "),","," "),"-"," "),"/"," "),"("," "),")"," "),":"," "),";"," "),"_"," "),"–"," "),"?"," "),"!"," "),"*"," "),"["," "),"]"," "),"'"," "),"#"," "),"+"," "),"&amp;"," "),"\"," "))&amp;" "</f>
        <v>  </v>
      </c>
      <c r="CD397" s="0" t="str">
        <f aca="false">" "&amp;TRIM(SUBSTITUTE(SUBSTITUTE(SUBSTITUTE(SUBSTITUTE(SUBSTITUTE(SUBSTITUTE(SUBSTITUTE(SUBSTITUTE(SUBSTITUTE(SUBSTITUTE(SUBSTITUTE(SUBSTITUTE(SUBSTITUTE(SUBSTITUTE(SUBSTITUTE(SUBSTITUTE(SUBSTITUTE(SUBSTITUTE(SUBSTITUTE(SUBSTITUTE(SUBSTITUTE(SUBSTITUTE(SUBSTITUTE(SUBSTITUTE(LOWER(AE397&amp;""),CHAR(10)," "),CHAR(13)," "),CHAR(9)," "),CHAR(160)," "),"."," "),","," "),"-"," "),"/"," "),"("," "),")"," "),":"," "),";"," "),"_"," "),"–"," "),"?"," "),"!"," "),"*"," "),"["," "),"]"," "),"'"," "),"#"," "),"+"," "),"&amp;"," "),"\"," "))&amp;" "</f>
        <v>  </v>
      </c>
      <c r="CE397" s="68" t="n">
        <f aca="false">IFERROR(IF(AND(LEN(AU397)&gt;0,LEN(AU397)=LEN(AX397),OR(TRIM(MID(SUBSTITUTE(TRIM(CC397)," ",REPT(" ",60)),1,60))="",ISNUMBER(SEARCH(" "&amp;TRIM(MID(SUBSTITUTE(TRIM(CC397)," ",REPT(" ",60)),1,60))&amp;" ",CD397))),OR(TRIM(MID(SUBSTITUTE(TRIM(CC397)," ",REPT(" ",60)),61,60))="",ISNUMBER(SEARCH(" "&amp;TRIM(MID(SUBSTITUTE(TRIM(CC397)," ",REPT(" ",60)),61,60))&amp;" ",CD397))),OR(TRIM(MID(SUBSTITUTE(TRIM(CC397)," ",REPT(" ",60)),121,60))="",ISNUMBER(SEARCH(" "&amp;TRIM(MID(SUBSTITUTE(TRIM(CC397)," ",REPT(" ",60)),121,60))&amp;" ",CD397)))),1,0),0)</f>
        <v>0</v>
      </c>
      <c r="CG397" s="68" t="n">
        <f aca="false">IFERROR(LEN(SUBSTITUTE(BF397," ",""))-SUMPRODUCT((LEN(BF397)-LEN(SUBSTITUTE(BF397," "&amp;L_NAFiller&amp;" "," ")))/(LEN(L_NAFiller)+1)*LEN(L_NAFiller)),0)</f>
        <v>0</v>
      </c>
    </row>
    <row r="398" customFormat="false" ht="39.75" hidden="false" customHeight="true" outlineLevel="0" collapsed="false">
      <c r="A398" s="57" t="s">
        <v>1015</v>
      </c>
      <c r="B398" s="57" t="s">
        <v>261</v>
      </c>
      <c r="C398" s="57" t="str">
        <f aca="false">Flights!$F$16</f>
        <v>MH0139</v>
      </c>
      <c r="D398" s="58" t="n">
        <f aca="false">Flights!$D$16</f>
        <v>46307</v>
      </c>
      <c r="E398" s="57" t="str">
        <f aca="false">Flights!$G$16&amp;"-"&amp;Flights!$H$16</f>
        <v>KUL-ADL</v>
      </c>
      <c r="F398" s="57" t="str">
        <f aca="false">Flights!$K$16</f>
        <v>BC</v>
      </c>
      <c r="G398" s="57" t="s">
        <v>420</v>
      </c>
      <c r="H398" s="57" t="s">
        <v>378</v>
      </c>
      <c r="I398" s="57" t="s">
        <v>440</v>
      </c>
      <c r="J398" s="57" t="s">
        <v>603</v>
      </c>
      <c r="K398" s="67" t="s">
        <v>501</v>
      </c>
      <c r="L398" s="67" t="s">
        <v>1016</v>
      </c>
      <c r="M398" s="67" t="s">
        <v>187</v>
      </c>
      <c r="N398" s="67" t="s">
        <v>383</v>
      </c>
      <c r="O398" s="67"/>
      <c r="P398" s="57" t="s">
        <v>187</v>
      </c>
      <c r="Q398" s="59" t="n">
        <f aca="false">ROUND((Flights!$AE$16)*1440,0)/1440</f>
        <v>46307.1006944444</v>
      </c>
      <c r="R398" s="59" t="n">
        <f aca="false">Q398+(IF(AND(INDEX(TZ_DSTS,MATCH(P398,TZ_STN,0))&lt;&gt;"",Q398&gt;=INDEX(TZ_DSTS,MATCH(P398,TZ_STN,0)),Q398&lt;INDEX(TZ_DSTE,MATCH(P398,TZ_STN,0))),INDEX(TZ_DST,MATCH(P398,TZ_STN,0)),INDEX(TZ_STD,MATCH(P398,TZ_STN,0))))/24</f>
        <v>46307.4340277778</v>
      </c>
      <c r="S398" s="60"/>
      <c r="T398" s="60"/>
      <c r="U398" s="60"/>
      <c r="V398" s="60"/>
      <c r="W398" s="61"/>
      <c r="X398" s="60"/>
      <c r="Y398" s="60"/>
      <c r="Z398" s="60"/>
      <c r="AA398" s="60"/>
      <c r="AB398" s="60"/>
      <c r="AC398" s="60"/>
      <c r="AD398" s="66"/>
      <c r="AE398" s="60"/>
      <c r="AF398" s="61" t="str">
        <f aca="false">IF(AND(ISNUMBER(X398),ISNUMBER(Y398)),Y398-X398,"")</f>
        <v/>
      </c>
      <c r="AG398" s="62" t="str">
        <f aca="false">IF(ISNUMBER(AD398),AD398-(IF(AND(INDEX(TZ_DSTS,MATCH(P398,TZ_STN,0))&lt;&gt;"",(AD398-INDEX(TZ_STD,MATCH(P398,TZ_STN,0))/24)&gt;=INDEX(TZ_DSTS,MATCH(P398,TZ_STN,0)),(AD398-INDEX(TZ_STD,MATCH(P398,TZ_STN,0))/24)&lt;INDEX(TZ_DSTE,MATCH(P398,TZ_STN,0))),INDEX(TZ_DST,MATCH(P398,TZ_STN,0)),INDEX(TZ_STD,MATCH(P398,TZ_STN,0))))/24,"")</f>
        <v/>
      </c>
      <c r="AH398" s="65" t="str">
        <f aca="false">IFERROR(IF(N398="N/A – rule",IF(OR(TRIM(U398)="",TRIM(U398)="N/A",TRIM(U398)="Not started"),"N/A – RULE","INVALID – this check does not apply to this aircraft: clear the status (or correct the fleet on Flights)"),IF(TRIM(U398)="N/A",IF(AT398=0,"INVALID – N/A not permitted for this check",IF(AND(TRIM(AB398)&lt;&gt;"",TRIM(AB398)&lt;&gt;"Closed"),"INVALID – corrective action still open",IF(AND(NOT(OR(LEN(AZ398)&lt;15,ISNUMBER(MATCH(AZ398,L_Placeholder,0)))),BK398=0,CG398&gt;=8,NOT(OR(LEN(AU398)&lt;2,ISNUMBER(MATCH(AU398,L_Placeholder,0)))),BR398&gt;=3,NOT(OR(LEN(AX398)&lt;2,ISNUMBER(MATCH(AX398,L_Placeholder,0)))),BS398&gt;=3,TRIM(AE398)&lt;&gt;TRIM(T398),AX398&lt;&gt;AU398,CE398=0),"N/A – JUSTIFIED","INVALID – N/A needs a real, settled reason (not 'not applicable' / 'as above' / TBC), a named PIC and a different named verifier"))),IF(OR(TRIM(U398)="Pass",TRIM(U398)="Pass after CA"),IF(NOT(ISNUMBER(AD398)),"INVALID – completion time missing",IF(OR(OR(LEN(AU398)&lt;2,ISNUMBER(MATCH(AU398,L_Placeholder,0))),BR398&lt;3),"INVALID – PIC missing or not a named person (a role such as QA / CSM is not a name)",IF(OR(LEN(AV398)&lt;2,ISNUMBER(MATCH(AV398,L_Placeholder,0))),"INVALID – result / assessment missing",IF(OR(OR(LEN(AW398)&lt;3,ISNUMBER(MATCH(AW398,L_Placeholder,0))),SUMPRODUCT(--ISNUMBER(SEARCH(" "&amp;L_EvidencePhrase&amp;" ",BD398)))&gt;0,BI398=1),"INVALID – evidence missing, placeholder or not yet on file",IF(ISNA(MATCH(TRIM(S398),L_EvidenceType,0)),"INVALID – choose the evidence type from the list (column S)",IF(BL398=0,"INVALID – evidence ID must be the record's own ID only (e.g. SF-2210, IMG_2231, 1045521); a link / file name needs type 'Link / file path'",IF(OR(OR(LEN(AX398)&lt;2,ISNUMBER(MATCH(AX398,L_Placeholder,0))),BS398&lt;3),"INVALID – verifier missing or not a named person (a role such as QA / CSM is not a name)",IF(OR(AX398=AU398,CE398=1,AND(LEN(AU398)&gt;=4,ISNUMBER(SEARCH(AU398,AX398))),AND(LEN(AX398)&gt;=4,ISNUMBER(SEARCH(AX398,AU398)))),"INVALID – verifier must be a different, named person (not the PIC or a role)",IF(BH398=1,"INVALID – result not yet available (awaiting / TBC)",IF(BG398=1,"INVALID – result describes a problem: record Fail, then Pass after CA (or reword if it is not a problem)",IF(BV398=1,"INVALID – wording says not on board: an on-board confirmation needs the item loaded",IF(AND(AQ398=1,OR(OR(LEN(AY398)&lt;3,ISNUMBER(MATCH(AY398,L_Placeholder,0))),BJ398=1,BQ398=0)),"INVALID – batch ID missing, placeholder or not an ID (e.g. PASB-261008-BC-017)",IF(AND(AR398=1,OR(NOT(ISNUMBER(X398)),NOT(ISNUMBER(Y398)))),"INVALID – expected/actual qty missing",IF(AND(AR398=1,OR(X398&lt;=0,Y398&lt;0)),"INVALID – expected qty must be above 0 and actual not negative",IF(BB398&lt;&gt;"",BB398,IF(AND(AS398=1,Documents!$J$16&lt;&gt;"ON FILE"),"INVALID – GLD not on file (Documents sheet)",IF(AND(AS398=2,Documents!$O$16&lt;&gt;"ON FILE"),"INVALID – menu checklist not on file (Documents sheet)",IF(AND(AS398=3,NOT(ISNUMBER(Flights!$AX$16))),"INVALID – enter carrying flight KUL departure (Flights AX)",IF(AND(AS398=3,OR(Flights!$AZ$16&gt;Flights!$AA$16,Flights!$AX$16&lt;Flights!$AA$16-3)),"INVALID – carrying flight (Flights AX) cannot arrive before this leg's STD, or is over 3 days early",IF(AG398&gt;AsOfUTC,"INVALID – completion time is in the future",IF(AND(ISNUMBER(BY398),AG398&lt;BY398),IF(H398="Physical uplift","INVALID – before uplift window (cannot confirm loading)","INVALID – before valid window"),IF(AG398&gt;Flights!$AA$16,"INVALID – completed after departure (cannot establish readiness)",IF(AND(H398="Preparation",AG398&gt;=IF(ISNUMBER(Flights!$BA$16),MIN(Flights!$BA$16,Flights!$AA$16),Flights!$AA$16)),"INVALID – completed after loading / departure (cannot establish readiness)",IF(AND(H398="Physical uplift",AG398&gt;Q398),"INVALID – recorded after the loading flight departed",IF(AG398&gt;Q398,"COMPLETE – LATE","COMPLETE"))))))))))))))))))))))))),IF(TRIM(U398)="Fail","FAIL – DISCREPANCY",IF(AND(TRIM(U398)&lt;&gt;"",TRIM(U398)&lt;&gt;"Not started",TRIM(U398)&lt;&gt;"In progress"),"INVALID – unrecognised status (use the list)",IF(AsOfUTC&gt;Q398,"OVERDUE",IF(N398="Clarification required","OPEN – CLARIFICATION","OPEN"))))))),"INVALID – error value in an input cell")</f>
        <v>OPEN</v>
      </c>
      <c r="AI398" s="61" t="n">
        <f aca="false">IF(OR(AH398="N/A – RULE",AH398="N/A – JUSTIFIED"),0,1)</f>
        <v>1</v>
      </c>
      <c r="AJ398" s="61" t="n">
        <f aca="false">IF(LEFT(AH398,8)="COMPLETE",1,0)</f>
        <v>0</v>
      </c>
      <c r="AK398" s="61" t="n">
        <f aca="false">IF(AND(AI398=1,AJ398=0,AsOfUTC&gt;Q398),1,0)</f>
        <v>0</v>
      </c>
      <c r="AL398" s="61" t="n">
        <f aca="false">IFERROR(IF(AND(AI398=1,OR(TRIM(U398)="Fail",AND(TRIM(AB398)&lt;&gt;"",TRIM(AB398)&lt;&gt;"Closed"),AND(ISNUMBER(AF398),AF398&lt;&gt;0,TRIM(U398)&lt;&gt;"Pass after CA"))),1,0),1)</f>
        <v>0</v>
      </c>
      <c r="AM398" s="61" t="n">
        <f aca="false">IF(LEFT(AH398,7)="INVALID",1,0)</f>
        <v>0</v>
      </c>
      <c r="AN398" s="61" t="n">
        <f aca="false">IF(AND(N398="Clarification required",AI398=1,AJ398=0),1,0)</f>
        <v>0</v>
      </c>
      <c r="AO398" s="61" t="str">
        <f aca="false">IF(AK398=1,SUM(AK$5:AK398),"")</f>
        <v/>
      </c>
      <c r="AP398" s="61" t="str">
        <f aca="false">IF(AL398=1,SUM(AL$5:AL398),"")</f>
        <v/>
      </c>
      <c r="AQ398" s="61" t="n">
        <v>0</v>
      </c>
      <c r="AR398" s="61" t="n">
        <v>0</v>
      </c>
      <c r="AS398" s="61" t="n">
        <v>0</v>
      </c>
      <c r="AT398" s="61" t="n">
        <v>0</v>
      </c>
      <c r="AU398" s="61" t="str">
        <f aca="false">SUBSTITUTE(SUBSTITUTE(SUBSTITUTE(SUBSTITUTE(SUBSTITUTE(SUBSTITUTE(SUBSTITUTE(SUBSTITUTE(SUBSTITUTE(SUBSTITUTE(SUBSTITUTE(SUBSTITUTE(SUBSTITUTE(SUBSTITUTE(SUBSTITUTE(SUBSTITUTE(LOWER(T398&amp;""),CHAR(10),""),CHAR(13),""),CHAR(9),""),CHAR(160),"")," ",""),".",""),"-",""),"/",""),"?",""),"_",""),",",""),"[",""),"]",""),"(",""),")",""),"*","")</f>
        <v/>
      </c>
      <c r="AV398" s="61" t="str">
        <f aca="false">SUBSTITUTE(SUBSTITUTE(SUBSTITUTE(SUBSTITUTE(SUBSTITUTE(SUBSTITUTE(SUBSTITUTE(SUBSTITUTE(SUBSTITUTE(SUBSTITUTE(SUBSTITUTE(SUBSTITUTE(SUBSTITUTE(SUBSTITUTE(SUBSTITUTE(SUBSTITUTE(LOWER(V398&amp;""),CHAR(10),""),CHAR(13),""),CHAR(9),""),CHAR(160),"")," ",""),".",""),"-",""),"/",""),"?",""),"_",""),",",""),"[",""),"]",""),"(",""),")",""),"*","")</f>
        <v/>
      </c>
      <c r="AW398" s="61" t="str">
        <f aca="false">SUBSTITUTE(SUBSTITUTE(SUBSTITUTE(SUBSTITUTE(SUBSTITUTE(SUBSTITUTE(SUBSTITUTE(SUBSTITUTE(SUBSTITUTE(SUBSTITUTE(SUBSTITUTE(SUBSTITUTE(SUBSTITUTE(SUBSTITUTE(SUBSTITUTE(SUBSTITUTE(LOWER(Z398&amp;""),CHAR(10),""),CHAR(13),""),CHAR(9),""),CHAR(160),"")," ",""),".",""),"-",""),"/",""),"?",""),"_",""),",",""),"[",""),"]",""),"(",""),")",""),"*","")</f>
        <v/>
      </c>
      <c r="AX398" s="61" t="str">
        <f aca="false">SUBSTITUTE(SUBSTITUTE(SUBSTITUTE(SUBSTITUTE(SUBSTITUTE(SUBSTITUTE(SUBSTITUTE(SUBSTITUTE(SUBSTITUTE(SUBSTITUTE(SUBSTITUTE(SUBSTITUTE(SUBSTITUTE(SUBSTITUTE(SUBSTITUTE(SUBSTITUTE(LOWER(AE398&amp;""),CHAR(10),""),CHAR(13),""),CHAR(9),""),CHAR(160),"")," ",""),".",""),"-",""),"/",""),"?",""),"_",""),",",""),"[",""),"]",""),"(",""),")",""),"*","")</f>
        <v/>
      </c>
      <c r="AY398" s="61" t="str">
        <f aca="false">SUBSTITUTE(SUBSTITUTE(SUBSTITUTE(SUBSTITUTE(SUBSTITUTE(SUBSTITUTE(SUBSTITUTE(SUBSTITUTE(SUBSTITUTE(SUBSTITUTE(SUBSTITUTE(SUBSTITUTE(SUBSTITUTE(SUBSTITUTE(SUBSTITUTE(SUBSTITUTE(LOWER(W398&amp;""),CHAR(10),""),CHAR(13),""),CHAR(9),""),CHAR(160),"")," ",""),".",""),"-",""),"/",""),"?",""),"_",""),",",""),"[",""),"]",""),"(",""),")",""),"*","")</f>
        <v/>
      </c>
      <c r="AZ398" s="61" t="str">
        <f aca="false">SUBSTITUTE(SUBSTITUTE(SUBSTITUTE(SUBSTITUTE(SUBSTITUTE(SUBSTITUTE(SUBSTITUTE(SUBSTITUTE(SUBSTITUTE(SUBSTITUTE(SUBSTITUTE(SUBSTITUTE(SUBSTITUTE(SUBSTITUTE(SUBSTITUTE(SUBSTITUTE(LOWER(AC398&amp;""),CHAR(10),""),CHAR(13),""),CHAR(9),""),CHAR(160),"")," ",""),".",""),"-",""),"/",""),"?",""),"_",""),",",""),"[",""),"]",""),"(",""),")",""),"*","")</f>
        <v/>
      </c>
      <c r="BA398" s="61" t="str">
        <f aca="false">SUBSTITUTE(SUBSTITUTE(SUBSTITUTE(SUBSTITUTE(SUBSTITUTE(SUBSTITUTE(SUBSTITUTE(SUBSTITUTE(SUBSTITUTE(SUBSTITUTE(SUBSTITUTE(SUBSTITUTE(SUBSTITUTE(SUBSTITUTE(SUBSTITUTE(SUBSTITUTE(LOWER(AA398&amp;""),CHAR(10),""),CHAR(13),""),CHAR(9),""),CHAR(160),"")," ",""),".",""),"-",""),"/",""),"?",""),"_",""),",",""),"[",""),"]",""),"(",""),")",""),"*","")</f>
        <v/>
      </c>
      <c r="BB398" s="61" t="str">
        <f aca="false">IF(AND(TRIM(U398)="Pass",ISNUMBER(AF398)),IF(AF398&lt;&gt;0,"INVALID – qty variance: use Fail or Pass after CA",""),"")&amp;IF(AND(TRIM(U398)="Pass after CA",ISNUMBER(AF398)),IF(AF398&lt;&gt;0,"INVALID – after the corrective action the actual qty must equal expected (update Actual)",""),"")&amp;IF(AND(TRIM(U398)="Pass",TRIM(AB398)&lt;&gt;"",TRIM(AB398)&lt;&gt;"Closed"),"INVALID – corrective action not closed: use Fail, then Pass after CA","")&amp;IF(AND(LEN(BA398)&gt;=2,ISNA(MATCH(LEFT(BA398,255),L_Placeholder,0)),TRIM(AB398)=""),"INVALID – CA status missing for the recorded corrective action","")&amp;IF(AND(TRIM(U398)="Pass after CA",OR(OR(LEN(BA398)&lt;5,ISNUMBER(MATCH(BA398,L_Placeholder,0))),TRIM(AB398)&lt;&gt;"Closed")),"INVALID – corrective action not recorded/closed","")</f>
        <v/>
      </c>
      <c r="BC398" s="61" t="str">
        <f aca="false">" "&amp;TRIM(SUBSTITUTE(SUBSTITUTE(SUBSTITUTE(SUBSTITUTE(SUBSTITUTE(SUBSTITUTE(SUBSTITUTE(SUBSTITUTE(SUBSTITUTE(SUBSTITUTE(SUBSTITUTE(SUBSTITUTE(SUBSTITUTE(SUBSTITUTE(SUBSTITUTE(SUBSTITUTE(SUBSTITUTE(SUBSTITUTE(SUBSTITUTE(SUBSTITUTE(SUBSTITUTE(SUBSTITUTE(SUBSTITUTE(SUBSTITUTE(LOWER(V398&amp;""),CHAR(10)," "),CHAR(13)," "),CHAR(9)," "),CHAR(160)," "),"."," "),","," "),"-"," "),"/"," "),"("," "),")"," "),":"," "),";"," "),"_"," "),"–"," "),"?"," "),"!"," "),"*"," "),"["," "),"]"," "),"'"," "),"#"," "),"+"," "),"&amp;"," "),"\"," "))&amp;" "</f>
        <v>  </v>
      </c>
      <c r="BD398" s="61" t="str">
        <f aca="false">" "&amp;TRIM(SUBSTITUTE(SUBSTITUTE(SUBSTITUTE(SUBSTITUTE(SUBSTITUTE(SUBSTITUTE(SUBSTITUTE(SUBSTITUTE(SUBSTITUTE(SUBSTITUTE(SUBSTITUTE(SUBSTITUTE(SUBSTITUTE(SUBSTITUTE(SUBSTITUTE(SUBSTITUTE(SUBSTITUTE(SUBSTITUTE(SUBSTITUTE(SUBSTITUTE(SUBSTITUTE(SUBSTITUTE(SUBSTITUTE(SUBSTITUTE(LOWER(Z398&amp;""),CHAR(10)," "),CHAR(13)," "),CHAR(9)," "),CHAR(160)," "),"."," "),","," "),"-"," "),"/"," "),"("," "),")"," "),":"," "),";"," "),"_"," "),"–"," "),"?"," "),"!"," "),"*"," "),"["," "),"]"," "),"'"," "),"#"," "),"+"," "),"&amp;"," "),"\"," "))&amp;" "</f>
        <v>  </v>
      </c>
      <c r="BE398" s="61" t="str">
        <f aca="false">" "&amp;TRIM(SUBSTITUTE(SUBSTITUTE(SUBSTITUTE(SUBSTITUTE(SUBSTITUTE(SUBSTITUTE(SUBSTITUTE(SUBSTITUTE(SUBSTITUTE(SUBSTITUTE(SUBSTITUTE(SUBSTITUTE(SUBSTITUTE(SUBSTITUTE(SUBSTITUTE(SUBSTITUTE(SUBSTITUTE(SUBSTITUTE(SUBSTITUTE(SUBSTITUTE(SUBSTITUTE(SUBSTITUTE(SUBSTITUTE(SUBSTITUTE(LOWER(W398&amp;""),CHAR(10)," "),CHAR(13)," "),CHAR(9)," "),CHAR(160)," "),"."," "),","," "),"-"," "),"/"," "),"("," "),")"," "),":"," "),";"," "),"_"," "),"–"," "),"?"," "),"!"," "),"*"," "),"["," "),"]"," "),"'"," "),"#"," "),"+"," "),"&amp;"," "),"\"," "))&amp;" "</f>
        <v>  </v>
      </c>
      <c r="BF398" s="61" t="str">
        <f aca="false">" "&amp;TRIM(SUBSTITUTE(SUBSTITUTE(SUBSTITUTE(SUBSTITUTE(SUBSTITUTE(SUBSTITUTE(SUBSTITUTE(SUBSTITUTE(SUBSTITUTE(SUBSTITUTE(SUBSTITUTE(SUBSTITUTE(SUBSTITUTE(SUBSTITUTE(SUBSTITUTE(SUBSTITUTE(SUBSTITUTE(SUBSTITUTE(SUBSTITUTE(SUBSTITUTE(SUBSTITUTE(SUBSTITUTE(SUBSTITUTE(SUBSTITUTE(LOWER(AC398&amp;""),CHAR(10)," "),CHAR(13)," "),CHAR(9)," "),CHAR(160)," "),"."," "),","," "),"-"," "),"/"," "),"("," "),")"," "),":"," "),";"," "),"_"," "),"–"," "),"?"," "),"!"," "),"*"," "),"["," "),"]"," "),"'"," "),"#"," "),"+"," "),"&amp;"," "),"\"," "))&amp;" "</f>
        <v>  </v>
      </c>
      <c r="BG398" s="61" t="n">
        <f aca="false">IFERROR(IF(AND(TRIM(U398)="Pass",SUMPRODUCT((LEN(BC398)-LEN(SUBSTITUTE(BC398," "&amp;L_ResultBad&amp;" "," ")))/(LEN(L_ResultBad)+1))&gt;SUMPRODUCT((LEN(BC398)-LEN(SUBSTITUTE(BC398," "&amp;L_NegPhrase&amp;" "," ")))/(LEN(L_NegPhrase)+1))),1,0),0)</f>
        <v>0</v>
      </c>
      <c r="BH398" s="61" t="n">
        <f aca="false">IFERROR(IF(SUMPRODUCT((LEN(BC398)-LEN(SUBSTITUTE(BC398," "&amp;L_Pending&amp;" "," ")))/(LEN(L_Pending)+1))&gt;SUMPRODUCT((LEN(BC398)-LEN(SUBSTITUTE(BC398," "&amp;L_PendNeg&amp;" "," ")))/(LEN(L_PendNeg)+1))+SUMPRODUCT((LEN(BC398)-LEN(SUBSTITUTE(BC398," "&amp;L_PendPrep&amp;" "," ")))/(LEN(L_PendPrep)+1)),1,0),1)</f>
        <v>0</v>
      </c>
      <c r="BI398" s="61" t="n">
        <f aca="false">IFERROR(IF(SUMPRODUCT((LEN(BD398)-LEN(SUBSTITUTE(BD398," "&amp;L_PendStrict&amp;" "," ")))/(LEN(L_PendStrict)+1))&gt;SUMPRODUCT((LEN(BD398)-LEN(SUBSTITUTE(BD398," "&amp;L_PendNeg&amp;" "," ")))/(LEN(L_PendNeg)+1)),1,0),1)</f>
        <v>0</v>
      </c>
      <c r="BJ398" s="61" t="n">
        <f aca="false">IFERROR(IF(SUMPRODUCT((LEN(BE398)-LEN(SUBSTITUTE(BE398," "&amp;L_Pending&amp;" "," ")))/(LEN(L_Pending)+1))&gt;SUMPRODUCT((LEN(BE398)-LEN(SUBSTITUTE(BE398," "&amp;L_PendNeg&amp;" "," ")))/(LEN(L_PendNeg)+1))+SUMPRODUCT((LEN(BE398)-LEN(SUBSTITUTE(BE398," "&amp;L_PendPrep&amp;" "," ")))/(LEN(L_PendPrep)+1)),1,0),1)</f>
        <v>0</v>
      </c>
      <c r="BK398" s="61" t="n">
        <f aca="false">IFERROR(IF(SUMPRODUCT((LEN(BF398)-LEN(SUBSTITUTE(BF398," "&amp;L_PendStrict&amp;" "," ")))/(LEN(L_PendStrict)+1))&gt;SUMPRODUCT((LEN(BF398)-LEN(SUBSTITUTE(BF398," "&amp;L_PendNeg&amp;" "," ")))/(LEN(L_PendNeg)+1)),1,0),1)</f>
        <v>0</v>
      </c>
      <c r="BL398" s="61" t="n">
        <f aca="false">IF(ISNA(MATCH(TRIM(S398),L_EvidenceType,0)),0,BZ398)</f>
        <v>0</v>
      </c>
      <c r="BM398" s="61" t="str">
        <f aca="false">SUBSTITUTE(SUBSTITUTE(SUBSTITUTE(SUBSTITUTE(SUBSTITUTE(SUBSTITUTE(SUBSTITUTE(SUBSTITUTE(SUBSTITUTE(LOWER(Z398&amp;""),"1","0"),"2","0"),"3","0"),"4","0"),"5","0"),"6","0"),"7","0"),"8","0"),"9","0")</f>
        <v/>
      </c>
      <c r="BN398" s="61" t="str">
        <f aca="false">SUBSTITUTE(SUBSTITUTE(SUBSTITUTE(SUBSTITUTE(SUBSTITUTE(SUBSTITUTE(SUBSTITUTE(SUBSTITUTE(SUBSTITUTE(SUBSTITUTE(SUBSTITUTE(SUBSTITUTE(SUBSTITUTE(SUBSTITUTE(SUBSTITUTE(SUBSTITUTE(SUBSTITUTE(SUBSTITUTE(SUBSTITUTE(SUBSTITUTE(SUBSTITUTE(SUBSTITUTE(SUBSTITUTE(SUBSTITUTE(SUBSTITUTE(BM398,"b","a"),"c","a"),"d","a"),"e","a"),"f","a"),"g","a"),"h","a"),"i","a"),"j","a"),"k","a"),"l","a"),"m","a"),"n","a"),"o","a"),"p","a"),"q","a"),"r","a"),"s","a"),"t","a"),"u","a"),"v","a"),"w","a"),"x","a"),"y","a"),"z","a")</f>
        <v/>
      </c>
      <c r="BO398" s="61" t="str">
        <f aca="false">SUBSTITUTE(SUBSTITUTE(SUBSTITUTE(SUBSTITUTE(SUBSTITUTE(SUBSTITUTE(SUBSTITUTE(SUBSTITUTE(SUBSTITUTE(LOWER(W398&amp;""),"1","0"),"2","0"),"3","0"),"4","0"),"5","0"),"6","0"),"7","0"),"8","0"),"9","0")</f>
        <v/>
      </c>
      <c r="BP398" s="61" t="str">
        <f aca="false">SUBSTITUTE(SUBSTITUTE(SUBSTITUTE(SUBSTITUTE(SUBSTITUTE(SUBSTITUTE(SUBSTITUTE(SUBSTITUTE(SUBSTITUTE(SUBSTITUTE(SUBSTITUTE(SUBSTITUTE(SUBSTITUTE(SUBSTITUTE(SUBSTITUTE(SUBSTITUTE(SUBSTITUTE(SUBSTITUTE(SUBSTITUTE(SUBSTITUTE(SUBSTITUTE(SUBSTITUTE(SUBSTITUTE(SUBSTITUTE(SUBSTITUTE(BO398,"b","a"),"c","a"),"d","a"),"e","a"),"f","a"),"g","a"),"h","a"),"i","a"),"j","a"),"k","a"),"l","a"),"m","a"),"n","a"),"o","a"),"p","a"),"q","a"),"r","a"),"s","a"),"t","a"),"u","a"),"v","a"),"w","a"),"x","a"),"y","a"),"z","a")</f>
        <v/>
      </c>
      <c r="BQ398" s="61" t="n">
        <f aca="false">IFERROR(IF(AND(ISERROR(SEARCH(" mh"," "&amp;LOWER(W398))),ISNA(MATCH(LEFT(TRIM(BP398),255),{"0000a","000a","00a","0000aa","000aa","00aa","0aa","0000aaa","000aaa","00a00","0a00","0000-0000","00:00","a00","a0","00.00.0000","00/00/0000","00-00-0000","0000-00-00","0000/00/00","0000.00.00","00.00.00","00/00/00","00-00-00","0.00.0000","0/00/0000","0-00-0000"},0)),ISNA(MATCH(LEFT(TRIM(CA398),255),{"0000a","000a","00a","0000aa","000aa","00aa","0aa","0000aaa","000aaa","00a00","0a00","0000-0000","00:00","a00","a0","00.00.0000","00/00/0000","00-00-0000","0000-00-00","0000/00/00","0000.00.00","00.00.00","00/00/00","00-00-00","0.00.0000","0/00/0000","0-00-0000"},0)),LEN(CB398)&gt;=3,NOT(OR(SUBSTITUTE(CB398,"0","")="",AND(LEN(CB398)&gt;=4,CB398=REPT(LEFT(CB398),LEN(CB398))),ISNUMBER(MATCH(CB398,{"123","1234","12345","123456","1234567","12345678","0123","01234","012345","98765","987654","54321"},0)),AND(LEN(CB398)=8,LEFT(CB398,3)="202"))),OR(AND((LEN(CA398)-LEN(SUBSTITUTE(CA398,"a","")))&gt;=1,SUMPRODUCT(--ISNUMBER(SEARCH({"a0","a-0","a_0","a/0","a.0","a#0","0a","0-a","0_a","0/a"},BP398)))&gt;0),ISNUMBER(SEARCH("000000",BP398)))),1,0),0)</f>
        <v>0</v>
      </c>
      <c r="BR398" s="61" t="n">
        <f aca="false">IFERROR(LEN(SUBSTITUTE(CC398," ",""))-SUMPRODUCT((LEN(CC398)-LEN(SUBSTITUTE(CC398," "&amp;L_Role&amp;" "," ")))/(LEN(L_Role)+1)*LEN(L_Role)),0)</f>
        <v>0</v>
      </c>
      <c r="BS398" s="61" t="n">
        <f aca="false">IFERROR(LEN(SUBSTITUTE(CD398," ",""))-SUMPRODUCT((LEN(CD398)-LEN(SUBSTITUTE(CD398," "&amp;L_Role&amp;" "," ")))/(LEN(L_Role)+1)*LEN(L_Role)),0)</f>
        <v>0</v>
      </c>
      <c r="BT3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398,"revision",""),"version",""),"jan",""),"feb",""),"mar",""),"apr",""),"may",""),"jun",""),"jul",""),"aug",""),"sep",""),"oct",""),"nov",""),"dec",""),"utc",""),"gmt",""),"myt",""),"bst",""),"rev",""),"ver",""),"b","a"),"c","a"),"d","a"),"e","a"),"f","a"),"g","a"),"h","a"),"i","a"),"j","a"),"k","a"),"l","a"),"m","a"),"n","a"),"o","a"),"p","a"),"q","a"),"r","a"),"s","a"),"t","a"),"u","a"),"v","a"),"w","a"),"x","a"),"y","a"),"z","a")</f>
        <v/>
      </c>
      <c r="BU398" s="61" t="str">
        <f aca="false">SUBSTITUTE(SUBSTITUTE(SUBSTITUTE(SUBSTITUTE(SUBSTITUTE(SUBSTITUTE(SUBSTITUTE(SUBSTITUTE(SUBSTITUTE(SUBSTITUTE(LEFT(BM398,FIND("0",BM398&amp;"0")-1),"-",""),"_",""),"/",""),".",""),"#",""),"\\",""),":","")," ",""),"(",""),")","")</f>
        <v/>
      </c>
      <c r="BV398" s="61" t="n">
        <f aca="false">0</f>
        <v>0</v>
      </c>
      <c r="BW3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398&amp;""),"a",""),"b",""),"c",""),"d",""),"e",""),"f",""),"g",""),"h",""),"i",""),"j",""),"k",""),"l",""),"m",""),"n",""),"o",""),"p",""),"q",""),"r",""),"s",""),"t",""),"u",""),"v",""),"w",""),"x",""),"y",""),"z",""),"-",""),"_",""),"/",""),".",""),"#",""),"\\",""),":","")," ",""),"(",""),")","")</f>
        <v/>
      </c>
      <c r="BX398" s="61" t="str">
        <f aca="false">SUBSTITUTE(SUBSTITUTE(SUBSTITUTE(SUBSTITUTE(SUBSTITUTE(SUBSTITUTE(SUBSTITUTE(SUBSTITUTE(SUBSTITUTE(SUBSTITUTE(SUBSTITUTE(BM398,"0",""),"-",""),"_",""),"/",""),".",""),"#",""),"\\",""),":","")," ",""),"(",""),")","")</f>
        <v/>
      </c>
      <c r="BY398" s="62" t="n">
        <f aca="false">Q398-T12EarlyH/24</f>
        <v>46306.6006944444</v>
      </c>
      <c r="BZ398" s="61" t="n">
        <f aca="false">IFERROR(IF(IF(TRIM(S398)="Link / file path",AND(LEN(TRIM(Z398))&gt;=5,SUMPRODUCT(--ISNUMBER(SEARCH({"http","www.","\\",":\",".pdf",".jpg",".jpeg",".png",".heic",".xls",".doc",".msg",".eml",".ppt",".txt",".zip"},Z398)))&gt;0),AND(ISERROR(FIND(" ",TRIM(Z398))),NOT(OR(SUMPRODUCT(--ISNUMBER(FIND({",",";","&amp;","+"},Z398)))&gt;0,SUMPRODUCT(--ISNUMBER(SEARCH({"0/aa","0\\aa"},BN398)))&gt;0)),NOT(SUMPRODUCT(--ISNUMBER(SEARCH({"http","www.","\\",":\",".pdf",".jpg",".jpeg",".png",".heic",".xls",".doc",".msg",".eml",".ppt",".txt",".zip"},Z398)))&gt;0),NOT(LOWER(TRIM(Z398))=LOWER(Flights!$F$16)),ISNA(MATCH(BU398,{"mh","rev","revision","ver","version","v","r","a","b","seat","tray","row","gate","bay","stand","page","pg","item","line","no","cart","galley","flight","flt","table","box","bag","oven","etd","eta","std","sta","atd","ata","qty","pax","x","time","tel","ph","mob","day","wk","week","utc","gmt","myt","lt"},0)),NOT(OR(ISNUMBER(MATCH(LEFT(BN398,255),{"0000a","000a","00a","0000aa","000aa","00aa","0aa","0000aaa","000aaa","00a00","0a00","0000-0000","00:00","a00","a0","00.00.0000","00/00/0000","00-00-0000","0000-00-00","0000/00/00","0000.00.00","00.00.00","00/00/00","00-00-00","0.00.0000","0/00/0000","0-00-0000"},0)),ISNUMBER(MATCH(LEFT(BT398,255),{"0000a","000a","00a","0000aa","000aa","00aa","0aa","0000aaa","000aaa","00a00","0a00","0000-0000","00:00","a00","a0","00.00.0000","00/00/0000","00-00-0000","0000-00-00","0000/00/00","0000.00.00","00.00.00","00/00/00","00-00-00","0.00.0000","0/00/0000","0-00-0000"},0)))),NOT(OR(AND(BW398&lt;&gt;"",SUBSTITUTE(BW398,"0","")=""),AND(LEN(BW398)&gt;=4,BW398=REPT(LEFT(BW398),LEN(BW398))),ISNUMBER(MATCH(BW398,{"123","1234","12345","123456","1234567","12345678","0123","01234","012345","98765","987654","54321"},0)),ISNUMBER(MATCH(BX398,{"x","xx","xxx","xxxx","xxxxx","abc","abcd","nil","na","nan","test","tbc","tba","tbd","dummy","sample","example","eg","zz","zzz","none","null","xyz","qwe","asd","id","ref"},0)),AND(LEN(BW398)=8,BX398="",OR(LEFT(BW398,3)="202",ISNUMBER(MATCH(RIGHT(BW398,4),{"2025","2026","2027"},0)))))),OR(AND((LEN(BT398)-LEN(SUBSTITUTE(BT398,"a","")))&gt;=1,(LEN(BN398)-LEN(SUBSTITUTE(BN398,"0","")))&gt;=2,SUMPRODUCT(--ISNUMBER(SEARCH({"a0","a-0","a_0","a/0","a.0","a#0","0a","0-a","0_a","0/a"},BN398)))&gt;0),AND((LEN(BN398)-LEN(SUBSTITUTE(BN398,"a","")))=0,(LEN(BN398)-LEN(SUBSTITUTE(BN398,"0","")))&gt;=5)))),1,0),0)</f>
        <v>0</v>
      </c>
      <c r="CA3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398,"revision",""),"version",""),"jan",""),"feb",""),"mar",""),"apr",""),"may",""),"jun",""),"jul",""),"aug",""),"sep",""),"oct",""),"nov",""),"dec",""),"utc",""),"gmt",""),"myt",""),"bst",""),"rev",""),"ver",""),"b","a"),"c","a"),"d","a"),"e","a"),"f","a"),"g","a"),"h","a"),"i","a"),"j","a"),"k","a"),"l","a"),"m","a"),"n","a"),"o","a"),"p","a"),"q","a"),"r","a"),"s","a"),"t","a"),"u","a"),"v","a"),"w","a"),"x","a"),"y","a"),"z","a")</f>
        <v/>
      </c>
      <c r="CB3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398&amp;""),"a",""),"b",""),"c",""),"d",""),"e",""),"f",""),"g",""),"h",""),"i",""),"j",""),"k",""),"l",""),"m",""),"n",""),"o",""),"p",""),"q",""),"r",""),"s",""),"t",""),"u",""),"v",""),"w",""),"x",""),"y",""),"z",""),"-",""),"_",""),"/",""),".",""),"#",""),"\\",""),":","")," ",""),"(",""),")","")</f>
        <v/>
      </c>
      <c r="CC398" s="0" t="str">
        <f aca="false">" "&amp;TRIM(SUBSTITUTE(SUBSTITUTE(SUBSTITUTE(SUBSTITUTE(SUBSTITUTE(SUBSTITUTE(SUBSTITUTE(SUBSTITUTE(SUBSTITUTE(SUBSTITUTE(SUBSTITUTE(SUBSTITUTE(SUBSTITUTE(SUBSTITUTE(SUBSTITUTE(SUBSTITUTE(SUBSTITUTE(SUBSTITUTE(SUBSTITUTE(SUBSTITUTE(SUBSTITUTE(SUBSTITUTE(SUBSTITUTE(SUBSTITUTE(LOWER(T398&amp;""),CHAR(10)," "),CHAR(13)," "),CHAR(9)," "),CHAR(160)," "),"."," "),","," "),"-"," "),"/"," "),"("," "),")"," "),":"," "),";"," "),"_"," "),"–"," "),"?"," "),"!"," "),"*"," "),"["," "),"]"," "),"'"," "),"#"," "),"+"," "),"&amp;"," "),"\"," "))&amp;" "</f>
        <v>  </v>
      </c>
      <c r="CD398" s="0" t="str">
        <f aca="false">" "&amp;TRIM(SUBSTITUTE(SUBSTITUTE(SUBSTITUTE(SUBSTITUTE(SUBSTITUTE(SUBSTITUTE(SUBSTITUTE(SUBSTITUTE(SUBSTITUTE(SUBSTITUTE(SUBSTITUTE(SUBSTITUTE(SUBSTITUTE(SUBSTITUTE(SUBSTITUTE(SUBSTITUTE(SUBSTITUTE(SUBSTITUTE(SUBSTITUTE(SUBSTITUTE(SUBSTITUTE(SUBSTITUTE(SUBSTITUTE(SUBSTITUTE(LOWER(AE398&amp;""),CHAR(10)," "),CHAR(13)," "),CHAR(9)," "),CHAR(160)," "),"."," "),","," "),"-"," "),"/"," "),"("," "),")"," "),":"," "),";"," "),"_"," "),"–"," "),"?"," "),"!"," "),"*"," "),"["," "),"]"," "),"'"," "),"#"," "),"+"," "),"&amp;"," "),"\"," "))&amp;" "</f>
        <v>  </v>
      </c>
      <c r="CE398" s="68" t="n">
        <f aca="false">IFERROR(IF(AND(LEN(AU398)&gt;0,LEN(AU398)=LEN(AX398),OR(TRIM(MID(SUBSTITUTE(TRIM(CC398)," ",REPT(" ",60)),1,60))="",ISNUMBER(SEARCH(" "&amp;TRIM(MID(SUBSTITUTE(TRIM(CC398)," ",REPT(" ",60)),1,60))&amp;" ",CD398))),OR(TRIM(MID(SUBSTITUTE(TRIM(CC398)," ",REPT(" ",60)),61,60))="",ISNUMBER(SEARCH(" "&amp;TRIM(MID(SUBSTITUTE(TRIM(CC398)," ",REPT(" ",60)),61,60))&amp;" ",CD398))),OR(TRIM(MID(SUBSTITUTE(TRIM(CC398)," ",REPT(" ",60)),121,60))="",ISNUMBER(SEARCH(" "&amp;TRIM(MID(SUBSTITUTE(TRIM(CC398)," ",REPT(" ",60)),121,60))&amp;" ",CD398)))),1,0),0)</f>
        <v>0</v>
      </c>
      <c r="CG398" s="68" t="n">
        <f aca="false">IFERROR(LEN(SUBSTITUTE(BF398," ",""))-SUMPRODUCT((LEN(BF398)-LEN(SUBSTITUTE(BF398," "&amp;L_NAFiller&amp;" "," ")))/(LEN(L_NAFiller)+1)*LEN(L_NAFiller)),0)</f>
        <v>0</v>
      </c>
    </row>
    <row r="399" customFormat="false" ht="41.25" hidden="false" customHeight="true" outlineLevel="0" collapsed="false">
      <c r="A399" s="57" t="s">
        <v>1017</v>
      </c>
      <c r="B399" s="57" t="s">
        <v>261</v>
      </c>
      <c r="C399" s="57" t="str">
        <f aca="false">Flights!$F$16</f>
        <v>MH0139</v>
      </c>
      <c r="D399" s="58" t="n">
        <f aca="false">Flights!$D$16</f>
        <v>46307</v>
      </c>
      <c r="E399" s="57" t="str">
        <f aca="false">Flights!$G$16&amp;"-"&amp;Flights!$H$16</f>
        <v>KUL-ADL</v>
      </c>
      <c r="F399" s="57" t="str">
        <f aca="false">Flights!$K$16</f>
        <v>BC</v>
      </c>
      <c r="G399" s="57" t="s">
        <v>420</v>
      </c>
      <c r="H399" s="57" t="s">
        <v>378</v>
      </c>
      <c r="I399" s="57" t="s">
        <v>499</v>
      </c>
      <c r="J399" s="57" t="s">
        <v>500</v>
      </c>
      <c r="K399" s="67" t="s">
        <v>501</v>
      </c>
      <c r="L399" s="67" t="s">
        <v>1018</v>
      </c>
      <c r="M399" s="67" t="s">
        <v>451</v>
      </c>
      <c r="N399" s="67" t="s">
        <v>383</v>
      </c>
      <c r="O399" s="67" t="s">
        <v>503</v>
      </c>
      <c r="P399" s="57" t="s">
        <v>187</v>
      </c>
      <c r="Q399" s="59" t="n">
        <f aca="false">ROUND((Flights!$AE$16)*1440,0)/1440</f>
        <v>46307.1006944444</v>
      </c>
      <c r="R399" s="59" t="n">
        <f aca="false">Q399+(IF(AND(INDEX(TZ_DSTS,MATCH(P399,TZ_STN,0))&lt;&gt;"",Q399&gt;=INDEX(TZ_DSTS,MATCH(P399,TZ_STN,0)),Q399&lt;INDEX(TZ_DSTE,MATCH(P399,TZ_STN,0))),INDEX(TZ_DST,MATCH(P399,TZ_STN,0)),INDEX(TZ_STD,MATCH(P399,TZ_STN,0))))/24</f>
        <v>46307.4340277778</v>
      </c>
      <c r="S399" s="60"/>
      <c r="T399" s="60"/>
      <c r="U399" s="60"/>
      <c r="V399" s="60"/>
      <c r="W399" s="61"/>
      <c r="X399" s="60"/>
      <c r="Y399" s="60"/>
      <c r="Z399" s="60"/>
      <c r="AA399" s="60"/>
      <c r="AB399" s="60"/>
      <c r="AC399" s="60"/>
      <c r="AD399" s="66"/>
      <c r="AE399" s="60"/>
      <c r="AF399" s="61" t="str">
        <f aca="false">IF(AND(ISNUMBER(X399),ISNUMBER(Y399)),Y399-X399,"")</f>
        <v/>
      </c>
      <c r="AG399" s="62" t="str">
        <f aca="false">IF(ISNUMBER(AD399),AD399-(IF(AND(INDEX(TZ_DSTS,MATCH(P399,TZ_STN,0))&lt;&gt;"",(AD399-INDEX(TZ_STD,MATCH(P399,TZ_STN,0))/24)&gt;=INDEX(TZ_DSTS,MATCH(P399,TZ_STN,0)),(AD399-INDEX(TZ_STD,MATCH(P399,TZ_STN,0))/24)&lt;INDEX(TZ_DSTE,MATCH(P399,TZ_STN,0))),INDEX(TZ_DST,MATCH(P399,TZ_STN,0)),INDEX(TZ_STD,MATCH(P399,TZ_STN,0))))/24,"")</f>
        <v/>
      </c>
      <c r="AH399" s="65" t="str">
        <f aca="false">IFERROR(IF(N399="N/A – rule",IF(OR(TRIM(U399)="",TRIM(U399)="N/A",TRIM(U399)="Not started"),"N/A – RULE","INVALID – this check does not apply to this aircraft: clear the status (or correct the fleet on Flights)"),IF(TRIM(U399)="N/A",IF(AT399=0,"INVALID – N/A not permitted for this check",IF(AND(TRIM(AB399)&lt;&gt;"",TRIM(AB399)&lt;&gt;"Closed"),"INVALID – corrective action still open",IF(AND(NOT(OR(LEN(AZ399)&lt;15,ISNUMBER(MATCH(AZ399,L_Placeholder,0)))),BK399=0,CG399&gt;=8,NOT(OR(LEN(AU399)&lt;2,ISNUMBER(MATCH(AU399,L_Placeholder,0)))),BR399&gt;=3,NOT(OR(LEN(AX399)&lt;2,ISNUMBER(MATCH(AX399,L_Placeholder,0)))),BS399&gt;=3,TRIM(AE399)&lt;&gt;TRIM(T399),AX399&lt;&gt;AU399,CE399=0),"N/A – JUSTIFIED","INVALID – N/A needs a real, settled reason (not 'not applicable' / 'as above' / TBC), a named PIC and a different named verifier"))),IF(OR(TRIM(U399)="Pass",TRIM(U399)="Pass after CA"),IF(NOT(ISNUMBER(AD399)),"INVALID – completion time missing",IF(OR(OR(LEN(AU399)&lt;2,ISNUMBER(MATCH(AU399,L_Placeholder,0))),BR399&lt;3),"INVALID – PIC missing or not a named person (a role such as QA / CSM is not a name)",IF(OR(LEN(AV399)&lt;2,ISNUMBER(MATCH(AV399,L_Placeholder,0))),"INVALID – result / assessment missing",IF(OR(OR(LEN(AW399)&lt;3,ISNUMBER(MATCH(AW399,L_Placeholder,0))),SUMPRODUCT(--ISNUMBER(SEARCH(" "&amp;L_EvidencePhrase&amp;" ",BD399)))&gt;0,BI399=1),"INVALID – evidence missing, placeholder or not yet on file",IF(ISNA(MATCH(TRIM(S399),L_EvidenceType,0)),"INVALID – choose the evidence type from the list (column S)",IF(BL399=0,"INVALID – evidence ID must be the record's own ID only (e.g. SF-2210, IMG_2231, 1045521); a link / file name needs type 'Link / file path'",IF(OR(OR(LEN(AX399)&lt;2,ISNUMBER(MATCH(AX399,L_Placeholder,0))),BS399&lt;3),"INVALID – verifier missing or not a named person (a role such as QA / CSM is not a name)",IF(OR(AX399=AU399,CE399=1,AND(LEN(AU399)&gt;=4,ISNUMBER(SEARCH(AU399,AX399))),AND(LEN(AX399)&gt;=4,ISNUMBER(SEARCH(AX399,AU399)))),"INVALID – verifier must be a different, named person (not the PIC or a role)",IF(BH399=1,"INVALID – result not yet available (awaiting / TBC)",IF(BG399=1,"INVALID – result describes a problem: record Fail, then Pass after CA (or reword if it is not a problem)",IF(BV399=1,"INVALID – wording says not on board: an on-board confirmation needs the item loaded",IF(AND(AQ399=1,OR(OR(LEN(AY399)&lt;3,ISNUMBER(MATCH(AY399,L_Placeholder,0))),BJ399=1,BQ399=0)),"INVALID – batch ID missing, placeholder or not an ID (e.g. PASB-261008-BC-017)",IF(AND(AR399=1,OR(NOT(ISNUMBER(X399)),NOT(ISNUMBER(Y399)))),"INVALID – expected/actual qty missing",IF(AND(AR399=1,OR(X399&lt;=0,Y399&lt;0)),"INVALID – expected qty must be above 0 and actual not negative",IF(BB399&lt;&gt;"",BB399,IF(AND(AS399=1,Documents!$J$16&lt;&gt;"ON FILE"),"INVALID – GLD not on file (Documents sheet)",IF(AND(AS399=2,Documents!$O$16&lt;&gt;"ON FILE"),"INVALID – menu checklist not on file (Documents sheet)",IF(AND(AS399=3,NOT(ISNUMBER(Flights!$AX$16))),"INVALID – enter carrying flight KUL departure (Flights AX)",IF(AND(AS399=3,OR(Flights!$AZ$16&gt;Flights!$AA$16,Flights!$AX$16&lt;Flights!$AA$16-3)),"INVALID – carrying flight (Flights AX) cannot arrive before this leg's STD, or is over 3 days early",IF(AG399&gt;AsOfUTC,"INVALID – completion time is in the future",IF(AND(ISNUMBER(BY399),AG399&lt;BY399),IF(H399="Physical uplift","INVALID – before uplift window (cannot confirm loading)","INVALID – before valid window"),IF(AG399&gt;Flights!$AA$16,"INVALID – completed after departure (cannot establish readiness)",IF(AND(H399="Preparation",AG399&gt;=IF(ISNUMBER(Flights!$BA$16),MIN(Flights!$BA$16,Flights!$AA$16),Flights!$AA$16)),"INVALID – completed after loading / departure (cannot establish readiness)",IF(AND(H399="Physical uplift",AG399&gt;Q399),"INVALID – recorded after the loading flight departed",IF(AG399&gt;Q399,"COMPLETE – LATE","COMPLETE"))))))))))))))))))))))))),IF(TRIM(U399)="Fail","FAIL – DISCREPANCY",IF(AND(TRIM(U399)&lt;&gt;"",TRIM(U399)&lt;&gt;"Not started",TRIM(U399)&lt;&gt;"In progress"),"INVALID – unrecognised status (use the list)",IF(AsOfUTC&gt;Q399,"OVERDUE",IF(N399="Clarification required","OPEN – CLARIFICATION","OPEN"))))))),"INVALID – error value in an input cell")</f>
        <v>OPEN</v>
      </c>
      <c r="AI399" s="61" t="n">
        <f aca="false">IF(OR(AH399="N/A – RULE",AH399="N/A – JUSTIFIED"),0,1)</f>
        <v>1</v>
      </c>
      <c r="AJ399" s="61" t="n">
        <f aca="false">IF(LEFT(AH399,8)="COMPLETE",1,0)</f>
        <v>0</v>
      </c>
      <c r="AK399" s="61" t="n">
        <f aca="false">IF(AND(AI399=1,AJ399=0,AsOfUTC&gt;Q399),1,0)</f>
        <v>0</v>
      </c>
      <c r="AL399" s="61" t="n">
        <f aca="false">IFERROR(IF(AND(AI399=1,OR(TRIM(U399)="Fail",AND(TRIM(AB399)&lt;&gt;"",TRIM(AB399)&lt;&gt;"Closed"),AND(ISNUMBER(AF399),AF399&lt;&gt;0,TRIM(U399)&lt;&gt;"Pass after CA"))),1,0),1)</f>
        <v>0</v>
      </c>
      <c r="AM399" s="61" t="n">
        <f aca="false">IF(LEFT(AH399,7)="INVALID",1,0)</f>
        <v>0</v>
      </c>
      <c r="AN399" s="61" t="n">
        <f aca="false">IF(AND(N399="Clarification required",AI399=1,AJ399=0),1,0)</f>
        <v>0</v>
      </c>
      <c r="AO399" s="61" t="str">
        <f aca="false">IF(AK399=1,SUM(AK$5:AK399),"")</f>
        <v/>
      </c>
      <c r="AP399" s="61" t="str">
        <f aca="false">IF(AL399=1,SUM(AL$5:AL399),"")</f>
        <v/>
      </c>
      <c r="AQ399" s="61" t="n">
        <v>0</v>
      </c>
      <c r="AR399" s="61" t="n">
        <v>0</v>
      </c>
      <c r="AS399" s="61" t="n">
        <v>0</v>
      </c>
      <c r="AT399" s="61" t="n">
        <v>0</v>
      </c>
      <c r="AU399" s="61" t="str">
        <f aca="false">SUBSTITUTE(SUBSTITUTE(SUBSTITUTE(SUBSTITUTE(SUBSTITUTE(SUBSTITUTE(SUBSTITUTE(SUBSTITUTE(SUBSTITUTE(SUBSTITUTE(SUBSTITUTE(SUBSTITUTE(SUBSTITUTE(SUBSTITUTE(SUBSTITUTE(SUBSTITUTE(LOWER(T399&amp;""),CHAR(10),""),CHAR(13),""),CHAR(9),""),CHAR(160),"")," ",""),".",""),"-",""),"/",""),"?",""),"_",""),",",""),"[",""),"]",""),"(",""),")",""),"*","")</f>
        <v/>
      </c>
      <c r="AV399" s="61" t="str">
        <f aca="false">SUBSTITUTE(SUBSTITUTE(SUBSTITUTE(SUBSTITUTE(SUBSTITUTE(SUBSTITUTE(SUBSTITUTE(SUBSTITUTE(SUBSTITUTE(SUBSTITUTE(SUBSTITUTE(SUBSTITUTE(SUBSTITUTE(SUBSTITUTE(SUBSTITUTE(SUBSTITUTE(LOWER(V399&amp;""),CHAR(10),""),CHAR(13),""),CHAR(9),""),CHAR(160),"")," ",""),".",""),"-",""),"/",""),"?",""),"_",""),",",""),"[",""),"]",""),"(",""),")",""),"*","")</f>
        <v/>
      </c>
      <c r="AW399" s="61" t="str">
        <f aca="false">SUBSTITUTE(SUBSTITUTE(SUBSTITUTE(SUBSTITUTE(SUBSTITUTE(SUBSTITUTE(SUBSTITUTE(SUBSTITUTE(SUBSTITUTE(SUBSTITUTE(SUBSTITUTE(SUBSTITUTE(SUBSTITUTE(SUBSTITUTE(SUBSTITUTE(SUBSTITUTE(LOWER(Z399&amp;""),CHAR(10),""),CHAR(13),""),CHAR(9),""),CHAR(160),"")," ",""),".",""),"-",""),"/",""),"?",""),"_",""),",",""),"[",""),"]",""),"(",""),")",""),"*","")</f>
        <v/>
      </c>
      <c r="AX399" s="61" t="str">
        <f aca="false">SUBSTITUTE(SUBSTITUTE(SUBSTITUTE(SUBSTITUTE(SUBSTITUTE(SUBSTITUTE(SUBSTITUTE(SUBSTITUTE(SUBSTITUTE(SUBSTITUTE(SUBSTITUTE(SUBSTITUTE(SUBSTITUTE(SUBSTITUTE(SUBSTITUTE(SUBSTITUTE(LOWER(AE399&amp;""),CHAR(10),""),CHAR(13),""),CHAR(9),""),CHAR(160),"")," ",""),".",""),"-",""),"/",""),"?",""),"_",""),",",""),"[",""),"]",""),"(",""),")",""),"*","")</f>
        <v/>
      </c>
      <c r="AY399" s="61" t="str">
        <f aca="false">SUBSTITUTE(SUBSTITUTE(SUBSTITUTE(SUBSTITUTE(SUBSTITUTE(SUBSTITUTE(SUBSTITUTE(SUBSTITUTE(SUBSTITUTE(SUBSTITUTE(SUBSTITUTE(SUBSTITUTE(SUBSTITUTE(SUBSTITUTE(SUBSTITUTE(SUBSTITUTE(LOWER(W399&amp;""),CHAR(10),""),CHAR(13),""),CHAR(9),""),CHAR(160),"")," ",""),".",""),"-",""),"/",""),"?",""),"_",""),",",""),"[",""),"]",""),"(",""),")",""),"*","")</f>
        <v/>
      </c>
      <c r="AZ399" s="61" t="str">
        <f aca="false">SUBSTITUTE(SUBSTITUTE(SUBSTITUTE(SUBSTITUTE(SUBSTITUTE(SUBSTITUTE(SUBSTITUTE(SUBSTITUTE(SUBSTITUTE(SUBSTITUTE(SUBSTITUTE(SUBSTITUTE(SUBSTITUTE(SUBSTITUTE(SUBSTITUTE(SUBSTITUTE(LOWER(AC399&amp;""),CHAR(10),""),CHAR(13),""),CHAR(9),""),CHAR(160),"")," ",""),".",""),"-",""),"/",""),"?",""),"_",""),",",""),"[",""),"]",""),"(",""),")",""),"*","")</f>
        <v/>
      </c>
      <c r="BA399" s="61" t="str">
        <f aca="false">SUBSTITUTE(SUBSTITUTE(SUBSTITUTE(SUBSTITUTE(SUBSTITUTE(SUBSTITUTE(SUBSTITUTE(SUBSTITUTE(SUBSTITUTE(SUBSTITUTE(SUBSTITUTE(SUBSTITUTE(SUBSTITUTE(SUBSTITUTE(SUBSTITUTE(SUBSTITUTE(LOWER(AA399&amp;""),CHAR(10),""),CHAR(13),""),CHAR(9),""),CHAR(160),"")," ",""),".",""),"-",""),"/",""),"?",""),"_",""),",",""),"[",""),"]",""),"(",""),")",""),"*","")</f>
        <v/>
      </c>
      <c r="BB399" s="61" t="str">
        <f aca="false">IF(AND(TRIM(U399)="Pass",ISNUMBER(AF399)),IF(AF399&lt;&gt;0,"INVALID – qty variance: use Fail or Pass after CA",""),"")&amp;IF(AND(TRIM(U399)="Pass after CA",ISNUMBER(AF399)),IF(AF399&lt;&gt;0,"INVALID – after the corrective action the actual qty must equal expected (update Actual)",""),"")&amp;IF(AND(TRIM(U399)="Pass",TRIM(AB399)&lt;&gt;"",TRIM(AB399)&lt;&gt;"Closed"),"INVALID – corrective action not closed: use Fail, then Pass after CA","")&amp;IF(AND(LEN(BA399)&gt;=2,ISNA(MATCH(LEFT(BA399,255),L_Placeholder,0)),TRIM(AB399)=""),"INVALID – CA status missing for the recorded corrective action","")&amp;IF(AND(TRIM(U399)="Pass after CA",OR(OR(LEN(BA399)&lt;5,ISNUMBER(MATCH(BA399,L_Placeholder,0))),TRIM(AB399)&lt;&gt;"Closed")),"INVALID – corrective action not recorded/closed","")</f>
        <v/>
      </c>
      <c r="BC399" s="61" t="str">
        <f aca="false">" "&amp;TRIM(SUBSTITUTE(SUBSTITUTE(SUBSTITUTE(SUBSTITUTE(SUBSTITUTE(SUBSTITUTE(SUBSTITUTE(SUBSTITUTE(SUBSTITUTE(SUBSTITUTE(SUBSTITUTE(SUBSTITUTE(SUBSTITUTE(SUBSTITUTE(SUBSTITUTE(SUBSTITUTE(SUBSTITUTE(SUBSTITUTE(SUBSTITUTE(SUBSTITUTE(SUBSTITUTE(SUBSTITUTE(SUBSTITUTE(SUBSTITUTE(LOWER(V399&amp;""),CHAR(10)," "),CHAR(13)," "),CHAR(9)," "),CHAR(160)," "),"."," "),","," "),"-"," "),"/"," "),"("," "),")"," "),":"," "),";"," "),"_"," "),"–"," "),"?"," "),"!"," "),"*"," "),"["," "),"]"," "),"'"," "),"#"," "),"+"," "),"&amp;"," "),"\"," "))&amp;" "</f>
        <v>  </v>
      </c>
      <c r="BD399" s="61" t="str">
        <f aca="false">" "&amp;TRIM(SUBSTITUTE(SUBSTITUTE(SUBSTITUTE(SUBSTITUTE(SUBSTITUTE(SUBSTITUTE(SUBSTITUTE(SUBSTITUTE(SUBSTITUTE(SUBSTITUTE(SUBSTITUTE(SUBSTITUTE(SUBSTITUTE(SUBSTITUTE(SUBSTITUTE(SUBSTITUTE(SUBSTITUTE(SUBSTITUTE(SUBSTITUTE(SUBSTITUTE(SUBSTITUTE(SUBSTITUTE(SUBSTITUTE(SUBSTITUTE(LOWER(Z399&amp;""),CHAR(10)," "),CHAR(13)," "),CHAR(9)," "),CHAR(160)," "),"."," "),","," "),"-"," "),"/"," "),"("," "),")"," "),":"," "),";"," "),"_"," "),"–"," "),"?"," "),"!"," "),"*"," "),"["," "),"]"," "),"'"," "),"#"," "),"+"," "),"&amp;"," "),"\"," "))&amp;" "</f>
        <v>  </v>
      </c>
      <c r="BE399" s="61" t="str">
        <f aca="false">" "&amp;TRIM(SUBSTITUTE(SUBSTITUTE(SUBSTITUTE(SUBSTITUTE(SUBSTITUTE(SUBSTITUTE(SUBSTITUTE(SUBSTITUTE(SUBSTITUTE(SUBSTITUTE(SUBSTITUTE(SUBSTITUTE(SUBSTITUTE(SUBSTITUTE(SUBSTITUTE(SUBSTITUTE(SUBSTITUTE(SUBSTITUTE(SUBSTITUTE(SUBSTITUTE(SUBSTITUTE(SUBSTITUTE(SUBSTITUTE(SUBSTITUTE(LOWER(W399&amp;""),CHAR(10)," "),CHAR(13)," "),CHAR(9)," "),CHAR(160)," "),"."," "),","," "),"-"," "),"/"," "),"("," "),")"," "),":"," "),";"," "),"_"," "),"–"," "),"?"," "),"!"," "),"*"," "),"["," "),"]"," "),"'"," "),"#"," "),"+"," "),"&amp;"," "),"\"," "))&amp;" "</f>
        <v>  </v>
      </c>
      <c r="BF399" s="61" t="str">
        <f aca="false">" "&amp;TRIM(SUBSTITUTE(SUBSTITUTE(SUBSTITUTE(SUBSTITUTE(SUBSTITUTE(SUBSTITUTE(SUBSTITUTE(SUBSTITUTE(SUBSTITUTE(SUBSTITUTE(SUBSTITUTE(SUBSTITUTE(SUBSTITUTE(SUBSTITUTE(SUBSTITUTE(SUBSTITUTE(SUBSTITUTE(SUBSTITUTE(SUBSTITUTE(SUBSTITUTE(SUBSTITUTE(SUBSTITUTE(SUBSTITUTE(SUBSTITUTE(LOWER(AC399&amp;""),CHAR(10)," "),CHAR(13)," "),CHAR(9)," "),CHAR(160)," "),"."," "),","," "),"-"," "),"/"," "),"("," "),")"," "),":"," "),";"," "),"_"," "),"–"," "),"?"," "),"!"," "),"*"," "),"["," "),"]"," "),"'"," "),"#"," "),"+"," "),"&amp;"," "),"\"," "))&amp;" "</f>
        <v>  </v>
      </c>
      <c r="BG399" s="61" t="n">
        <f aca="false">IFERROR(IF(AND(TRIM(U399)="Pass",SUMPRODUCT((LEN(BC399)-LEN(SUBSTITUTE(BC399," "&amp;L_ResultBad&amp;" "," ")))/(LEN(L_ResultBad)+1))&gt;SUMPRODUCT((LEN(BC399)-LEN(SUBSTITUTE(BC399," "&amp;L_NegPhrase&amp;" "," ")))/(LEN(L_NegPhrase)+1))),1,0),0)</f>
        <v>0</v>
      </c>
      <c r="BH399" s="61" t="n">
        <f aca="false">IFERROR(IF(SUMPRODUCT((LEN(BC399)-LEN(SUBSTITUTE(BC399," "&amp;L_Pending&amp;" "," ")))/(LEN(L_Pending)+1))&gt;SUMPRODUCT((LEN(BC399)-LEN(SUBSTITUTE(BC399," "&amp;L_PendNeg&amp;" "," ")))/(LEN(L_PendNeg)+1))+SUMPRODUCT((LEN(BC399)-LEN(SUBSTITUTE(BC399," "&amp;L_PendPrep&amp;" "," ")))/(LEN(L_PendPrep)+1)),1,0),1)</f>
        <v>0</v>
      </c>
      <c r="BI399" s="61" t="n">
        <f aca="false">IFERROR(IF(SUMPRODUCT((LEN(BD399)-LEN(SUBSTITUTE(BD399," "&amp;L_PendStrict&amp;" "," ")))/(LEN(L_PendStrict)+1))&gt;SUMPRODUCT((LEN(BD399)-LEN(SUBSTITUTE(BD399," "&amp;L_PendNeg&amp;" "," ")))/(LEN(L_PendNeg)+1)),1,0),1)</f>
        <v>0</v>
      </c>
      <c r="BJ399" s="61" t="n">
        <f aca="false">IFERROR(IF(SUMPRODUCT((LEN(BE399)-LEN(SUBSTITUTE(BE399," "&amp;L_Pending&amp;" "," ")))/(LEN(L_Pending)+1))&gt;SUMPRODUCT((LEN(BE399)-LEN(SUBSTITUTE(BE399," "&amp;L_PendNeg&amp;" "," ")))/(LEN(L_PendNeg)+1))+SUMPRODUCT((LEN(BE399)-LEN(SUBSTITUTE(BE399," "&amp;L_PendPrep&amp;" "," ")))/(LEN(L_PendPrep)+1)),1,0),1)</f>
        <v>0</v>
      </c>
      <c r="BK399" s="61" t="n">
        <f aca="false">IFERROR(IF(SUMPRODUCT((LEN(BF399)-LEN(SUBSTITUTE(BF399," "&amp;L_PendStrict&amp;" "," ")))/(LEN(L_PendStrict)+1))&gt;SUMPRODUCT((LEN(BF399)-LEN(SUBSTITUTE(BF399," "&amp;L_PendNeg&amp;" "," ")))/(LEN(L_PendNeg)+1)),1,0),1)</f>
        <v>0</v>
      </c>
      <c r="BL399" s="61" t="n">
        <f aca="false">IF(ISNA(MATCH(TRIM(S399),L_EvidenceType,0)),0,BZ399)</f>
        <v>0</v>
      </c>
      <c r="BM399" s="61" t="str">
        <f aca="false">SUBSTITUTE(SUBSTITUTE(SUBSTITUTE(SUBSTITUTE(SUBSTITUTE(SUBSTITUTE(SUBSTITUTE(SUBSTITUTE(SUBSTITUTE(LOWER(Z399&amp;""),"1","0"),"2","0"),"3","0"),"4","0"),"5","0"),"6","0"),"7","0"),"8","0"),"9","0")</f>
        <v/>
      </c>
      <c r="BN399" s="61" t="str">
        <f aca="false">SUBSTITUTE(SUBSTITUTE(SUBSTITUTE(SUBSTITUTE(SUBSTITUTE(SUBSTITUTE(SUBSTITUTE(SUBSTITUTE(SUBSTITUTE(SUBSTITUTE(SUBSTITUTE(SUBSTITUTE(SUBSTITUTE(SUBSTITUTE(SUBSTITUTE(SUBSTITUTE(SUBSTITUTE(SUBSTITUTE(SUBSTITUTE(SUBSTITUTE(SUBSTITUTE(SUBSTITUTE(SUBSTITUTE(SUBSTITUTE(SUBSTITUTE(BM399,"b","a"),"c","a"),"d","a"),"e","a"),"f","a"),"g","a"),"h","a"),"i","a"),"j","a"),"k","a"),"l","a"),"m","a"),"n","a"),"o","a"),"p","a"),"q","a"),"r","a"),"s","a"),"t","a"),"u","a"),"v","a"),"w","a"),"x","a"),"y","a"),"z","a")</f>
        <v/>
      </c>
      <c r="BO399" s="61" t="str">
        <f aca="false">SUBSTITUTE(SUBSTITUTE(SUBSTITUTE(SUBSTITUTE(SUBSTITUTE(SUBSTITUTE(SUBSTITUTE(SUBSTITUTE(SUBSTITUTE(LOWER(W399&amp;""),"1","0"),"2","0"),"3","0"),"4","0"),"5","0"),"6","0"),"7","0"),"8","0"),"9","0")</f>
        <v/>
      </c>
      <c r="BP399" s="61" t="str">
        <f aca="false">SUBSTITUTE(SUBSTITUTE(SUBSTITUTE(SUBSTITUTE(SUBSTITUTE(SUBSTITUTE(SUBSTITUTE(SUBSTITUTE(SUBSTITUTE(SUBSTITUTE(SUBSTITUTE(SUBSTITUTE(SUBSTITUTE(SUBSTITUTE(SUBSTITUTE(SUBSTITUTE(SUBSTITUTE(SUBSTITUTE(SUBSTITUTE(SUBSTITUTE(SUBSTITUTE(SUBSTITUTE(SUBSTITUTE(SUBSTITUTE(SUBSTITUTE(BO399,"b","a"),"c","a"),"d","a"),"e","a"),"f","a"),"g","a"),"h","a"),"i","a"),"j","a"),"k","a"),"l","a"),"m","a"),"n","a"),"o","a"),"p","a"),"q","a"),"r","a"),"s","a"),"t","a"),"u","a"),"v","a"),"w","a"),"x","a"),"y","a"),"z","a")</f>
        <v/>
      </c>
      <c r="BQ399" s="61" t="n">
        <f aca="false">IFERROR(IF(AND(ISERROR(SEARCH(" mh"," "&amp;LOWER(W399))),ISNA(MATCH(LEFT(TRIM(BP399),255),{"0000a","000a","00a","0000aa","000aa","00aa","0aa","0000aaa","000aaa","00a00","0a00","0000-0000","00:00","a00","a0","00.00.0000","00/00/0000","00-00-0000","0000-00-00","0000/00/00","0000.00.00","00.00.00","00/00/00","00-00-00","0.00.0000","0/00/0000","0-00-0000"},0)),ISNA(MATCH(LEFT(TRIM(CA399),255),{"0000a","000a","00a","0000aa","000aa","00aa","0aa","0000aaa","000aaa","00a00","0a00","0000-0000","00:00","a00","a0","00.00.0000","00/00/0000","00-00-0000","0000-00-00","0000/00/00","0000.00.00","00.00.00","00/00/00","00-00-00","0.00.0000","0/00/0000","0-00-0000"},0)),LEN(CB399)&gt;=3,NOT(OR(SUBSTITUTE(CB399,"0","")="",AND(LEN(CB399)&gt;=4,CB399=REPT(LEFT(CB399),LEN(CB399))),ISNUMBER(MATCH(CB399,{"123","1234","12345","123456","1234567","12345678","0123","01234","012345","98765","987654","54321"},0)),AND(LEN(CB399)=8,LEFT(CB399,3)="202"))),OR(AND((LEN(CA399)-LEN(SUBSTITUTE(CA399,"a","")))&gt;=1,SUMPRODUCT(--ISNUMBER(SEARCH({"a0","a-0","a_0","a/0","a.0","a#0","0a","0-a","0_a","0/a"},BP399)))&gt;0),ISNUMBER(SEARCH("000000",BP399)))),1,0),0)</f>
        <v>0</v>
      </c>
      <c r="BR399" s="61" t="n">
        <f aca="false">IFERROR(LEN(SUBSTITUTE(CC399," ",""))-SUMPRODUCT((LEN(CC399)-LEN(SUBSTITUTE(CC399," "&amp;L_Role&amp;" "," ")))/(LEN(L_Role)+1)*LEN(L_Role)),0)</f>
        <v>0</v>
      </c>
      <c r="BS399" s="61" t="n">
        <f aca="false">IFERROR(LEN(SUBSTITUTE(CD399," ",""))-SUMPRODUCT((LEN(CD399)-LEN(SUBSTITUTE(CD399," "&amp;L_Role&amp;" "," ")))/(LEN(L_Role)+1)*LEN(L_Role)),0)</f>
        <v>0</v>
      </c>
      <c r="BT3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399,"revision",""),"version",""),"jan",""),"feb",""),"mar",""),"apr",""),"may",""),"jun",""),"jul",""),"aug",""),"sep",""),"oct",""),"nov",""),"dec",""),"utc",""),"gmt",""),"myt",""),"bst",""),"rev",""),"ver",""),"b","a"),"c","a"),"d","a"),"e","a"),"f","a"),"g","a"),"h","a"),"i","a"),"j","a"),"k","a"),"l","a"),"m","a"),"n","a"),"o","a"),"p","a"),"q","a"),"r","a"),"s","a"),"t","a"),"u","a"),"v","a"),"w","a"),"x","a"),"y","a"),"z","a")</f>
        <v/>
      </c>
      <c r="BU399" s="61" t="str">
        <f aca="false">SUBSTITUTE(SUBSTITUTE(SUBSTITUTE(SUBSTITUTE(SUBSTITUTE(SUBSTITUTE(SUBSTITUTE(SUBSTITUTE(SUBSTITUTE(SUBSTITUTE(LEFT(BM399,FIND("0",BM399&amp;"0")-1),"-",""),"_",""),"/",""),".",""),"#",""),"\\",""),":","")," ",""),"(",""),")","")</f>
        <v/>
      </c>
      <c r="BV399" s="61" t="n">
        <f aca="false">0</f>
        <v>0</v>
      </c>
      <c r="BW3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399&amp;""),"a",""),"b",""),"c",""),"d",""),"e",""),"f",""),"g",""),"h",""),"i",""),"j",""),"k",""),"l",""),"m",""),"n",""),"o",""),"p",""),"q",""),"r",""),"s",""),"t",""),"u",""),"v",""),"w",""),"x",""),"y",""),"z",""),"-",""),"_",""),"/",""),".",""),"#",""),"\\",""),":","")," ",""),"(",""),")","")</f>
        <v/>
      </c>
      <c r="BX399" s="61" t="str">
        <f aca="false">SUBSTITUTE(SUBSTITUTE(SUBSTITUTE(SUBSTITUTE(SUBSTITUTE(SUBSTITUTE(SUBSTITUTE(SUBSTITUTE(SUBSTITUTE(SUBSTITUTE(SUBSTITUTE(BM399,"0",""),"-",""),"_",""),"/",""),".",""),"#",""),"\\",""),":","")," ",""),"(",""),")","")</f>
        <v/>
      </c>
      <c r="BY399" s="62" t="n">
        <f aca="false">Q399-T12EarlyH/24</f>
        <v>46306.6006944444</v>
      </c>
      <c r="BZ399" s="61" t="n">
        <f aca="false">IFERROR(IF(IF(TRIM(S399)="Link / file path",AND(LEN(TRIM(Z399))&gt;=5,SUMPRODUCT(--ISNUMBER(SEARCH({"http","www.","\\",":\",".pdf",".jpg",".jpeg",".png",".heic",".xls",".doc",".msg",".eml",".ppt",".txt",".zip"},Z399)))&gt;0),AND(ISERROR(FIND(" ",TRIM(Z399))),NOT(OR(SUMPRODUCT(--ISNUMBER(FIND({",",";","&amp;","+"},Z399)))&gt;0,SUMPRODUCT(--ISNUMBER(SEARCH({"0/aa","0\\aa"},BN399)))&gt;0)),NOT(SUMPRODUCT(--ISNUMBER(SEARCH({"http","www.","\\",":\",".pdf",".jpg",".jpeg",".png",".heic",".xls",".doc",".msg",".eml",".ppt",".txt",".zip"},Z399)))&gt;0),NOT(LOWER(TRIM(Z399))=LOWER(Flights!$F$16)),ISNA(MATCH(BU399,{"mh","rev","revision","ver","version","v","r","a","b","seat","tray","row","gate","bay","stand","page","pg","item","line","no","cart","galley","flight","flt","table","box","bag","oven","etd","eta","std","sta","atd","ata","qty","pax","x","time","tel","ph","mob","day","wk","week","utc","gmt","myt","lt"},0)),NOT(OR(ISNUMBER(MATCH(LEFT(BN399,255),{"0000a","000a","00a","0000aa","000aa","00aa","0aa","0000aaa","000aaa","00a00","0a00","0000-0000","00:00","a00","a0","00.00.0000","00/00/0000","00-00-0000","0000-00-00","0000/00/00","0000.00.00","00.00.00","00/00/00","00-00-00","0.00.0000","0/00/0000","0-00-0000"},0)),ISNUMBER(MATCH(LEFT(BT399,255),{"0000a","000a","00a","0000aa","000aa","00aa","0aa","0000aaa","000aaa","00a00","0a00","0000-0000","00:00","a00","a0","00.00.0000","00/00/0000","00-00-0000","0000-00-00","0000/00/00","0000.00.00","00.00.00","00/00/00","00-00-00","0.00.0000","0/00/0000","0-00-0000"},0)))),NOT(OR(AND(BW399&lt;&gt;"",SUBSTITUTE(BW399,"0","")=""),AND(LEN(BW399)&gt;=4,BW399=REPT(LEFT(BW399),LEN(BW399))),ISNUMBER(MATCH(BW399,{"123","1234","12345","123456","1234567","12345678","0123","01234","012345","98765","987654","54321"},0)),ISNUMBER(MATCH(BX399,{"x","xx","xxx","xxxx","xxxxx","abc","abcd","nil","na","nan","test","tbc","tba","tbd","dummy","sample","example","eg","zz","zzz","none","null","xyz","qwe","asd","id","ref"},0)),AND(LEN(BW399)=8,BX399="",OR(LEFT(BW399,3)="202",ISNUMBER(MATCH(RIGHT(BW399,4),{"2025","2026","2027"},0)))))),OR(AND((LEN(BT399)-LEN(SUBSTITUTE(BT399,"a","")))&gt;=1,(LEN(BN399)-LEN(SUBSTITUTE(BN399,"0","")))&gt;=2,SUMPRODUCT(--ISNUMBER(SEARCH({"a0","a-0","a_0","a/0","a.0","a#0","0a","0-a","0_a","0/a"},BN399)))&gt;0),AND((LEN(BN399)-LEN(SUBSTITUTE(BN399,"a","")))=0,(LEN(BN399)-LEN(SUBSTITUTE(BN399,"0","")))&gt;=5)))),1,0),0)</f>
        <v>0</v>
      </c>
      <c r="CA3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399,"revision",""),"version",""),"jan",""),"feb",""),"mar",""),"apr",""),"may",""),"jun",""),"jul",""),"aug",""),"sep",""),"oct",""),"nov",""),"dec",""),"utc",""),"gmt",""),"myt",""),"bst",""),"rev",""),"ver",""),"b","a"),"c","a"),"d","a"),"e","a"),"f","a"),"g","a"),"h","a"),"i","a"),"j","a"),"k","a"),"l","a"),"m","a"),"n","a"),"o","a"),"p","a"),"q","a"),"r","a"),"s","a"),"t","a"),"u","a"),"v","a"),"w","a"),"x","a"),"y","a"),"z","a")</f>
        <v/>
      </c>
      <c r="CB3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399&amp;""),"a",""),"b",""),"c",""),"d",""),"e",""),"f",""),"g",""),"h",""),"i",""),"j",""),"k",""),"l",""),"m",""),"n",""),"o",""),"p",""),"q",""),"r",""),"s",""),"t",""),"u",""),"v",""),"w",""),"x",""),"y",""),"z",""),"-",""),"_",""),"/",""),".",""),"#",""),"\\",""),":","")," ",""),"(",""),")","")</f>
        <v/>
      </c>
      <c r="CC399" s="0" t="str">
        <f aca="false">" "&amp;TRIM(SUBSTITUTE(SUBSTITUTE(SUBSTITUTE(SUBSTITUTE(SUBSTITUTE(SUBSTITUTE(SUBSTITUTE(SUBSTITUTE(SUBSTITUTE(SUBSTITUTE(SUBSTITUTE(SUBSTITUTE(SUBSTITUTE(SUBSTITUTE(SUBSTITUTE(SUBSTITUTE(SUBSTITUTE(SUBSTITUTE(SUBSTITUTE(SUBSTITUTE(SUBSTITUTE(SUBSTITUTE(SUBSTITUTE(SUBSTITUTE(LOWER(T399&amp;""),CHAR(10)," "),CHAR(13)," "),CHAR(9)," "),CHAR(160)," "),"."," "),","," "),"-"," "),"/"," "),"("," "),")"," "),":"," "),";"," "),"_"," "),"–"," "),"?"," "),"!"," "),"*"," "),"["," "),"]"," "),"'"," "),"#"," "),"+"," "),"&amp;"," "),"\"," "))&amp;" "</f>
        <v>  </v>
      </c>
      <c r="CD399" s="0" t="str">
        <f aca="false">" "&amp;TRIM(SUBSTITUTE(SUBSTITUTE(SUBSTITUTE(SUBSTITUTE(SUBSTITUTE(SUBSTITUTE(SUBSTITUTE(SUBSTITUTE(SUBSTITUTE(SUBSTITUTE(SUBSTITUTE(SUBSTITUTE(SUBSTITUTE(SUBSTITUTE(SUBSTITUTE(SUBSTITUTE(SUBSTITUTE(SUBSTITUTE(SUBSTITUTE(SUBSTITUTE(SUBSTITUTE(SUBSTITUTE(SUBSTITUTE(SUBSTITUTE(LOWER(AE399&amp;""),CHAR(10)," "),CHAR(13)," "),CHAR(9)," "),CHAR(160)," "),"."," "),","," "),"-"," "),"/"," "),"("," "),")"," "),":"," "),";"," "),"_"," "),"–"," "),"?"," "),"!"," "),"*"," "),"["," "),"]"," "),"'"," "),"#"," "),"+"," "),"&amp;"," "),"\"," "))&amp;" "</f>
        <v>  </v>
      </c>
      <c r="CE399" s="68" t="n">
        <f aca="false">IFERROR(IF(AND(LEN(AU399)&gt;0,LEN(AU399)=LEN(AX399),OR(TRIM(MID(SUBSTITUTE(TRIM(CC399)," ",REPT(" ",60)),1,60))="",ISNUMBER(SEARCH(" "&amp;TRIM(MID(SUBSTITUTE(TRIM(CC399)," ",REPT(" ",60)),1,60))&amp;" ",CD399))),OR(TRIM(MID(SUBSTITUTE(TRIM(CC399)," ",REPT(" ",60)),61,60))="",ISNUMBER(SEARCH(" "&amp;TRIM(MID(SUBSTITUTE(TRIM(CC399)," ",REPT(" ",60)),61,60))&amp;" ",CD399))),OR(TRIM(MID(SUBSTITUTE(TRIM(CC399)," ",REPT(" ",60)),121,60))="",ISNUMBER(SEARCH(" "&amp;TRIM(MID(SUBSTITUTE(TRIM(CC399)," ",REPT(" ",60)),121,60))&amp;" ",CD399)))),1,0),0)</f>
        <v>0</v>
      </c>
      <c r="CG399" s="68" t="n">
        <f aca="false">IFERROR(LEN(SUBSTITUTE(BF399," ",""))-SUMPRODUCT((LEN(BF399)-LEN(SUBSTITUTE(BF399," "&amp;L_NAFiller&amp;" "," ")))/(LEN(L_NAFiller)+1)*LEN(L_NAFiller)),0)</f>
        <v>0</v>
      </c>
    </row>
    <row r="400" customFormat="false" ht="41.25" hidden="false" customHeight="true" outlineLevel="0" collapsed="false">
      <c r="A400" s="57" t="s">
        <v>1019</v>
      </c>
      <c r="B400" s="57" t="s">
        <v>261</v>
      </c>
      <c r="C400" s="57" t="str">
        <f aca="false">Flights!$F$16</f>
        <v>MH0139</v>
      </c>
      <c r="D400" s="58" t="n">
        <f aca="false">Flights!$D$16</f>
        <v>46307</v>
      </c>
      <c r="E400" s="57" t="str">
        <f aca="false">Flights!$G$16&amp;"-"&amp;Flights!$H$16</f>
        <v>KUL-ADL</v>
      </c>
      <c r="F400" s="57" t="str">
        <f aca="false">Flights!$K$16</f>
        <v>BC</v>
      </c>
      <c r="G400" s="57" t="s">
        <v>420</v>
      </c>
      <c r="H400" s="57" t="s">
        <v>378</v>
      </c>
      <c r="I400" s="57" t="s">
        <v>499</v>
      </c>
      <c r="J400" s="57" t="s">
        <v>505</v>
      </c>
      <c r="K400" s="67" t="s">
        <v>501</v>
      </c>
      <c r="L400" s="67" t="s">
        <v>1020</v>
      </c>
      <c r="M400" s="67" t="s">
        <v>451</v>
      </c>
      <c r="N400" s="67" t="s">
        <v>383</v>
      </c>
      <c r="O400" s="67" t="s">
        <v>503</v>
      </c>
      <c r="P400" s="57" t="s">
        <v>187</v>
      </c>
      <c r="Q400" s="59" t="n">
        <f aca="false">ROUND((Flights!$AE$16)*1440,0)/1440</f>
        <v>46307.1006944444</v>
      </c>
      <c r="R400" s="59" t="n">
        <f aca="false">Q400+(IF(AND(INDEX(TZ_DSTS,MATCH(P400,TZ_STN,0))&lt;&gt;"",Q400&gt;=INDEX(TZ_DSTS,MATCH(P400,TZ_STN,0)),Q400&lt;INDEX(TZ_DSTE,MATCH(P400,TZ_STN,0))),INDEX(TZ_DST,MATCH(P400,TZ_STN,0)),INDEX(TZ_STD,MATCH(P400,TZ_STN,0))))/24</f>
        <v>46307.4340277778</v>
      </c>
      <c r="S400" s="60"/>
      <c r="T400" s="60"/>
      <c r="U400" s="60"/>
      <c r="V400" s="60"/>
      <c r="W400" s="61"/>
      <c r="X400" s="60"/>
      <c r="Y400" s="60"/>
      <c r="Z400" s="60"/>
      <c r="AA400" s="60"/>
      <c r="AB400" s="60"/>
      <c r="AC400" s="60"/>
      <c r="AD400" s="66"/>
      <c r="AE400" s="60"/>
      <c r="AF400" s="61" t="str">
        <f aca="false">IF(AND(ISNUMBER(X400),ISNUMBER(Y400)),Y400-X400,"")</f>
        <v/>
      </c>
      <c r="AG400" s="62" t="str">
        <f aca="false">IF(ISNUMBER(AD400),AD400-(IF(AND(INDEX(TZ_DSTS,MATCH(P400,TZ_STN,0))&lt;&gt;"",(AD400-INDEX(TZ_STD,MATCH(P400,TZ_STN,0))/24)&gt;=INDEX(TZ_DSTS,MATCH(P400,TZ_STN,0)),(AD400-INDEX(TZ_STD,MATCH(P400,TZ_STN,0))/24)&lt;INDEX(TZ_DSTE,MATCH(P400,TZ_STN,0))),INDEX(TZ_DST,MATCH(P400,TZ_STN,0)),INDEX(TZ_STD,MATCH(P400,TZ_STN,0))))/24,"")</f>
        <v/>
      </c>
      <c r="AH400" s="65" t="str">
        <f aca="false">IFERROR(IF(N400="N/A – rule",IF(OR(TRIM(U400)="",TRIM(U400)="N/A",TRIM(U400)="Not started"),"N/A – RULE","INVALID – this check does not apply to this aircraft: clear the status (or correct the fleet on Flights)"),IF(TRIM(U400)="N/A",IF(AT400=0,"INVALID – N/A not permitted for this check",IF(AND(TRIM(AB400)&lt;&gt;"",TRIM(AB400)&lt;&gt;"Closed"),"INVALID – corrective action still open",IF(AND(NOT(OR(LEN(AZ400)&lt;15,ISNUMBER(MATCH(AZ400,L_Placeholder,0)))),BK400=0,CG400&gt;=8,NOT(OR(LEN(AU400)&lt;2,ISNUMBER(MATCH(AU400,L_Placeholder,0)))),BR400&gt;=3,NOT(OR(LEN(AX400)&lt;2,ISNUMBER(MATCH(AX400,L_Placeholder,0)))),BS400&gt;=3,TRIM(AE400)&lt;&gt;TRIM(T400),AX400&lt;&gt;AU400,CE400=0),"N/A – JUSTIFIED","INVALID – N/A needs a real, settled reason (not 'not applicable' / 'as above' / TBC), a named PIC and a different named verifier"))),IF(OR(TRIM(U400)="Pass",TRIM(U400)="Pass after CA"),IF(NOT(ISNUMBER(AD400)),"INVALID – completion time missing",IF(OR(OR(LEN(AU400)&lt;2,ISNUMBER(MATCH(AU400,L_Placeholder,0))),BR400&lt;3),"INVALID – PIC missing or not a named person (a role such as QA / CSM is not a name)",IF(OR(LEN(AV400)&lt;2,ISNUMBER(MATCH(AV400,L_Placeholder,0))),"INVALID – result / assessment missing",IF(OR(OR(LEN(AW400)&lt;3,ISNUMBER(MATCH(AW400,L_Placeholder,0))),SUMPRODUCT(--ISNUMBER(SEARCH(" "&amp;L_EvidencePhrase&amp;" ",BD400)))&gt;0,BI400=1),"INVALID – evidence missing, placeholder or not yet on file",IF(ISNA(MATCH(TRIM(S400),L_EvidenceType,0)),"INVALID – choose the evidence type from the list (column S)",IF(BL400=0,"INVALID – evidence ID must be the record's own ID only (e.g. SF-2210, IMG_2231, 1045521); a link / file name needs type 'Link / file path'",IF(OR(OR(LEN(AX400)&lt;2,ISNUMBER(MATCH(AX400,L_Placeholder,0))),BS400&lt;3),"INVALID – verifier missing or not a named person (a role such as QA / CSM is not a name)",IF(OR(AX400=AU400,CE400=1,AND(LEN(AU400)&gt;=4,ISNUMBER(SEARCH(AU400,AX400))),AND(LEN(AX400)&gt;=4,ISNUMBER(SEARCH(AX400,AU400)))),"INVALID – verifier must be a different, named person (not the PIC or a role)",IF(BH400=1,"INVALID – result not yet available (awaiting / TBC)",IF(BG400=1,"INVALID – result describes a problem: record Fail, then Pass after CA (or reword if it is not a problem)",IF(BV400=1,"INVALID – wording says not on board: an on-board confirmation needs the item loaded",IF(AND(AQ400=1,OR(OR(LEN(AY400)&lt;3,ISNUMBER(MATCH(AY400,L_Placeholder,0))),BJ400=1,BQ400=0)),"INVALID – batch ID missing, placeholder or not an ID (e.g. PASB-261008-BC-017)",IF(AND(AR400=1,OR(NOT(ISNUMBER(X400)),NOT(ISNUMBER(Y400)))),"INVALID – expected/actual qty missing",IF(AND(AR400=1,OR(X400&lt;=0,Y400&lt;0)),"INVALID – expected qty must be above 0 and actual not negative",IF(BB400&lt;&gt;"",BB400,IF(AND(AS400=1,Documents!$J$16&lt;&gt;"ON FILE"),"INVALID – GLD not on file (Documents sheet)",IF(AND(AS400=2,Documents!$O$16&lt;&gt;"ON FILE"),"INVALID – menu checklist not on file (Documents sheet)",IF(AND(AS400=3,NOT(ISNUMBER(Flights!$AX$16))),"INVALID – enter carrying flight KUL departure (Flights AX)",IF(AND(AS400=3,OR(Flights!$AZ$16&gt;Flights!$AA$16,Flights!$AX$16&lt;Flights!$AA$16-3)),"INVALID – carrying flight (Flights AX) cannot arrive before this leg's STD, or is over 3 days early",IF(AG400&gt;AsOfUTC,"INVALID – completion time is in the future",IF(AND(ISNUMBER(BY400),AG400&lt;BY400),IF(H400="Physical uplift","INVALID – before uplift window (cannot confirm loading)","INVALID – before valid window"),IF(AG400&gt;Flights!$AA$16,"INVALID – completed after departure (cannot establish readiness)",IF(AND(H400="Preparation",AG400&gt;=IF(ISNUMBER(Flights!$BA$16),MIN(Flights!$BA$16,Flights!$AA$16),Flights!$AA$16)),"INVALID – completed after loading / departure (cannot establish readiness)",IF(AND(H400="Physical uplift",AG400&gt;Q400),"INVALID – recorded after the loading flight departed",IF(AG400&gt;Q400,"COMPLETE – LATE","COMPLETE"))))))))))))))))))))))))),IF(TRIM(U400)="Fail","FAIL – DISCREPANCY",IF(AND(TRIM(U400)&lt;&gt;"",TRIM(U400)&lt;&gt;"Not started",TRIM(U400)&lt;&gt;"In progress"),"INVALID – unrecognised status (use the list)",IF(AsOfUTC&gt;Q400,"OVERDUE",IF(N400="Clarification required","OPEN – CLARIFICATION","OPEN"))))))),"INVALID – error value in an input cell")</f>
        <v>OPEN</v>
      </c>
      <c r="AI400" s="61" t="n">
        <f aca="false">IF(OR(AH400="N/A – RULE",AH400="N/A – JUSTIFIED"),0,1)</f>
        <v>1</v>
      </c>
      <c r="AJ400" s="61" t="n">
        <f aca="false">IF(LEFT(AH400,8)="COMPLETE",1,0)</f>
        <v>0</v>
      </c>
      <c r="AK400" s="61" t="n">
        <f aca="false">IF(AND(AI400=1,AJ400=0,AsOfUTC&gt;Q400),1,0)</f>
        <v>0</v>
      </c>
      <c r="AL400" s="61" t="n">
        <f aca="false">IFERROR(IF(AND(AI400=1,OR(TRIM(U400)="Fail",AND(TRIM(AB400)&lt;&gt;"",TRIM(AB400)&lt;&gt;"Closed"),AND(ISNUMBER(AF400),AF400&lt;&gt;0,TRIM(U400)&lt;&gt;"Pass after CA"))),1,0),1)</f>
        <v>0</v>
      </c>
      <c r="AM400" s="61" t="n">
        <f aca="false">IF(LEFT(AH400,7)="INVALID",1,0)</f>
        <v>0</v>
      </c>
      <c r="AN400" s="61" t="n">
        <f aca="false">IF(AND(N400="Clarification required",AI400=1,AJ400=0),1,0)</f>
        <v>0</v>
      </c>
      <c r="AO400" s="61" t="str">
        <f aca="false">IF(AK400=1,SUM(AK$5:AK400),"")</f>
        <v/>
      </c>
      <c r="AP400" s="61" t="str">
        <f aca="false">IF(AL400=1,SUM(AL$5:AL400),"")</f>
        <v/>
      </c>
      <c r="AQ400" s="61" t="n">
        <v>0</v>
      </c>
      <c r="AR400" s="61" t="n">
        <v>0</v>
      </c>
      <c r="AS400" s="61" t="n">
        <v>0</v>
      </c>
      <c r="AT400" s="61" t="n">
        <v>0</v>
      </c>
      <c r="AU400" s="61" t="str">
        <f aca="false">SUBSTITUTE(SUBSTITUTE(SUBSTITUTE(SUBSTITUTE(SUBSTITUTE(SUBSTITUTE(SUBSTITUTE(SUBSTITUTE(SUBSTITUTE(SUBSTITUTE(SUBSTITUTE(SUBSTITUTE(SUBSTITUTE(SUBSTITUTE(SUBSTITUTE(SUBSTITUTE(LOWER(T400&amp;""),CHAR(10),""),CHAR(13),""),CHAR(9),""),CHAR(160),"")," ",""),".",""),"-",""),"/",""),"?",""),"_",""),",",""),"[",""),"]",""),"(",""),")",""),"*","")</f>
        <v/>
      </c>
      <c r="AV400" s="61" t="str">
        <f aca="false">SUBSTITUTE(SUBSTITUTE(SUBSTITUTE(SUBSTITUTE(SUBSTITUTE(SUBSTITUTE(SUBSTITUTE(SUBSTITUTE(SUBSTITUTE(SUBSTITUTE(SUBSTITUTE(SUBSTITUTE(SUBSTITUTE(SUBSTITUTE(SUBSTITUTE(SUBSTITUTE(LOWER(V400&amp;""),CHAR(10),""),CHAR(13),""),CHAR(9),""),CHAR(160),"")," ",""),".",""),"-",""),"/",""),"?",""),"_",""),",",""),"[",""),"]",""),"(",""),")",""),"*","")</f>
        <v/>
      </c>
      <c r="AW400" s="61" t="str">
        <f aca="false">SUBSTITUTE(SUBSTITUTE(SUBSTITUTE(SUBSTITUTE(SUBSTITUTE(SUBSTITUTE(SUBSTITUTE(SUBSTITUTE(SUBSTITUTE(SUBSTITUTE(SUBSTITUTE(SUBSTITUTE(SUBSTITUTE(SUBSTITUTE(SUBSTITUTE(SUBSTITUTE(LOWER(Z400&amp;""),CHAR(10),""),CHAR(13),""),CHAR(9),""),CHAR(160),"")," ",""),".",""),"-",""),"/",""),"?",""),"_",""),",",""),"[",""),"]",""),"(",""),")",""),"*","")</f>
        <v/>
      </c>
      <c r="AX400" s="61" t="str">
        <f aca="false">SUBSTITUTE(SUBSTITUTE(SUBSTITUTE(SUBSTITUTE(SUBSTITUTE(SUBSTITUTE(SUBSTITUTE(SUBSTITUTE(SUBSTITUTE(SUBSTITUTE(SUBSTITUTE(SUBSTITUTE(SUBSTITUTE(SUBSTITUTE(SUBSTITUTE(SUBSTITUTE(LOWER(AE400&amp;""),CHAR(10),""),CHAR(13),""),CHAR(9),""),CHAR(160),"")," ",""),".",""),"-",""),"/",""),"?",""),"_",""),",",""),"[",""),"]",""),"(",""),")",""),"*","")</f>
        <v/>
      </c>
      <c r="AY400" s="61" t="str">
        <f aca="false">SUBSTITUTE(SUBSTITUTE(SUBSTITUTE(SUBSTITUTE(SUBSTITUTE(SUBSTITUTE(SUBSTITUTE(SUBSTITUTE(SUBSTITUTE(SUBSTITUTE(SUBSTITUTE(SUBSTITUTE(SUBSTITUTE(SUBSTITUTE(SUBSTITUTE(SUBSTITUTE(LOWER(W400&amp;""),CHAR(10),""),CHAR(13),""),CHAR(9),""),CHAR(160),"")," ",""),".",""),"-",""),"/",""),"?",""),"_",""),",",""),"[",""),"]",""),"(",""),")",""),"*","")</f>
        <v/>
      </c>
      <c r="AZ400" s="61" t="str">
        <f aca="false">SUBSTITUTE(SUBSTITUTE(SUBSTITUTE(SUBSTITUTE(SUBSTITUTE(SUBSTITUTE(SUBSTITUTE(SUBSTITUTE(SUBSTITUTE(SUBSTITUTE(SUBSTITUTE(SUBSTITUTE(SUBSTITUTE(SUBSTITUTE(SUBSTITUTE(SUBSTITUTE(LOWER(AC400&amp;""),CHAR(10),""),CHAR(13),""),CHAR(9),""),CHAR(160),"")," ",""),".",""),"-",""),"/",""),"?",""),"_",""),",",""),"[",""),"]",""),"(",""),")",""),"*","")</f>
        <v/>
      </c>
      <c r="BA400" s="61" t="str">
        <f aca="false">SUBSTITUTE(SUBSTITUTE(SUBSTITUTE(SUBSTITUTE(SUBSTITUTE(SUBSTITUTE(SUBSTITUTE(SUBSTITUTE(SUBSTITUTE(SUBSTITUTE(SUBSTITUTE(SUBSTITUTE(SUBSTITUTE(SUBSTITUTE(SUBSTITUTE(SUBSTITUTE(LOWER(AA400&amp;""),CHAR(10),""),CHAR(13),""),CHAR(9),""),CHAR(160),"")," ",""),".",""),"-",""),"/",""),"?",""),"_",""),",",""),"[",""),"]",""),"(",""),")",""),"*","")</f>
        <v/>
      </c>
      <c r="BB400" s="61" t="str">
        <f aca="false">IF(AND(TRIM(U400)="Pass",ISNUMBER(AF400)),IF(AF400&lt;&gt;0,"INVALID – qty variance: use Fail or Pass after CA",""),"")&amp;IF(AND(TRIM(U400)="Pass after CA",ISNUMBER(AF400)),IF(AF400&lt;&gt;0,"INVALID – after the corrective action the actual qty must equal expected (update Actual)",""),"")&amp;IF(AND(TRIM(U400)="Pass",TRIM(AB400)&lt;&gt;"",TRIM(AB400)&lt;&gt;"Closed"),"INVALID – corrective action not closed: use Fail, then Pass after CA","")&amp;IF(AND(LEN(BA400)&gt;=2,ISNA(MATCH(LEFT(BA400,255),L_Placeholder,0)),TRIM(AB400)=""),"INVALID – CA status missing for the recorded corrective action","")&amp;IF(AND(TRIM(U400)="Pass after CA",OR(OR(LEN(BA400)&lt;5,ISNUMBER(MATCH(BA400,L_Placeholder,0))),TRIM(AB400)&lt;&gt;"Closed")),"INVALID – corrective action not recorded/closed","")</f>
        <v/>
      </c>
      <c r="BC400" s="61" t="str">
        <f aca="false">" "&amp;TRIM(SUBSTITUTE(SUBSTITUTE(SUBSTITUTE(SUBSTITUTE(SUBSTITUTE(SUBSTITUTE(SUBSTITUTE(SUBSTITUTE(SUBSTITUTE(SUBSTITUTE(SUBSTITUTE(SUBSTITUTE(SUBSTITUTE(SUBSTITUTE(SUBSTITUTE(SUBSTITUTE(SUBSTITUTE(SUBSTITUTE(SUBSTITUTE(SUBSTITUTE(SUBSTITUTE(SUBSTITUTE(SUBSTITUTE(SUBSTITUTE(LOWER(V400&amp;""),CHAR(10)," "),CHAR(13)," "),CHAR(9)," "),CHAR(160)," "),"."," "),","," "),"-"," "),"/"," "),"("," "),")"," "),":"," "),";"," "),"_"," "),"–"," "),"?"," "),"!"," "),"*"," "),"["," "),"]"," "),"'"," "),"#"," "),"+"," "),"&amp;"," "),"\"," "))&amp;" "</f>
        <v>  </v>
      </c>
      <c r="BD400" s="61" t="str">
        <f aca="false">" "&amp;TRIM(SUBSTITUTE(SUBSTITUTE(SUBSTITUTE(SUBSTITUTE(SUBSTITUTE(SUBSTITUTE(SUBSTITUTE(SUBSTITUTE(SUBSTITUTE(SUBSTITUTE(SUBSTITUTE(SUBSTITUTE(SUBSTITUTE(SUBSTITUTE(SUBSTITUTE(SUBSTITUTE(SUBSTITUTE(SUBSTITUTE(SUBSTITUTE(SUBSTITUTE(SUBSTITUTE(SUBSTITUTE(SUBSTITUTE(SUBSTITUTE(LOWER(Z400&amp;""),CHAR(10)," "),CHAR(13)," "),CHAR(9)," "),CHAR(160)," "),"."," "),","," "),"-"," "),"/"," "),"("," "),")"," "),":"," "),";"," "),"_"," "),"–"," "),"?"," "),"!"," "),"*"," "),"["," "),"]"," "),"'"," "),"#"," "),"+"," "),"&amp;"," "),"\"," "))&amp;" "</f>
        <v>  </v>
      </c>
      <c r="BE400" s="61" t="str">
        <f aca="false">" "&amp;TRIM(SUBSTITUTE(SUBSTITUTE(SUBSTITUTE(SUBSTITUTE(SUBSTITUTE(SUBSTITUTE(SUBSTITUTE(SUBSTITUTE(SUBSTITUTE(SUBSTITUTE(SUBSTITUTE(SUBSTITUTE(SUBSTITUTE(SUBSTITUTE(SUBSTITUTE(SUBSTITUTE(SUBSTITUTE(SUBSTITUTE(SUBSTITUTE(SUBSTITUTE(SUBSTITUTE(SUBSTITUTE(SUBSTITUTE(SUBSTITUTE(LOWER(W400&amp;""),CHAR(10)," "),CHAR(13)," "),CHAR(9)," "),CHAR(160)," "),"."," "),","," "),"-"," "),"/"," "),"("," "),")"," "),":"," "),";"," "),"_"," "),"–"," "),"?"," "),"!"," "),"*"," "),"["," "),"]"," "),"'"," "),"#"," "),"+"," "),"&amp;"," "),"\"," "))&amp;" "</f>
        <v>  </v>
      </c>
      <c r="BF400" s="61" t="str">
        <f aca="false">" "&amp;TRIM(SUBSTITUTE(SUBSTITUTE(SUBSTITUTE(SUBSTITUTE(SUBSTITUTE(SUBSTITUTE(SUBSTITUTE(SUBSTITUTE(SUBSTITUTE(SUBSTITUTE(SUBSTITUTE(SUBSTITUTE(SUBSTITUTE(SUBSTITUTE(SUBSTITUTE(SUBSTITUTE(SUBSTITUTE(SUBSTITUTE(SUBSTITUTE(SUBSTITUTE(SUBSTITUTE(SUBSTITUTE(SUBSTITUTE(SUBSTITUTE(LOWER(AC400&amp;""),CHAR(10)," "),CHAR(13)," "),CHAR(9)," "),CHAR(160)," "),"."," "),","," "),"-"," "),"/"," "),"("," "),")"," "),":"," "),";"," "),"_"," "),"–"," "),"?"," "),"!"," "),"*"," "),"["," "),"]"," "),"'"," "),"#"," "),"+"," "),"&amp;"," "),"\"," "))&amp;" "</f>
        <v>  </v>
      </c>
      <c r="BG400" s="61" t="n">
        <f aca="false">IFERROR(IF(AND(TRIM(U400)="Pass",SUMPRODUCT((LEN(BC400)-LEN(SUBSTITUTE(BC400," "&amp;L_ResultBad&amp;" "," ")))/(LEN(L_ResultBad)+1))&gt;SUMPRODUCT((LEN(BC400)-LEN(SUBSTITUTE(BC400," "&amp;L_NegPhrase&amp;" "," ")))/(LEN(L_NegPhrase)+1))),1,0),0)</f>
        <v>0</v>
      </c>
      <c r="BH400" s="61" t="n">
        <f aca="false">IFERROR(IF(SUMPRODUCT((LEN(BC400)-LEN(SUBSTITUTE(BC400," "&amp;L_Pending&amp;" "," ")))/(LEN(L_Pending)+1))&gt;SUMPRODUCT((LEN(BC400)-LEN(SUBSTITUTE(BC400," "&amp;L_PendNeg&amp;" "," ")))/(LEN(L_PendNeg)+1))+SUMPRODUCT((LEN(BC400)-LEN(SUBSTITUTE(BC400," "&amp;L_PendPrep&amp;" "," ")))/(LEN(L_PendPrep)+1)),1,0),1)</f>
        <v>0</v>
      </c>
      <c r="BI400" s="61" t="n">
        <f aca="false">IFERROR(IF(SUMPRODUCT((LEN(BD400)-LEN(SUBSTITUTE(BD400," "&amp;L_PendStrict&amp;" "," ")))/(LEN(L_PendStrict)+1))&gt;SUMPRODUCT((LEN(BD400)-LEN(SUBSTITUTE(BD400," "&amp;L_PendNeg&amp;" "," ")))/(LEN(L_PendNeg)+1)),1,0),1)</f>
        <v>0</v>
      </c>
      <c r="BJ400" s="61" t="n">
        <f aca="false">IFERROR(IF(SUMPRODUCT((LEN(BE400)-LEN(SUBSTITUTE(BE400," "&amp;L_Pending&amp;" "," ")))/(LEN(L_Pending)+1))&gt;SUMPRODUCT((LEN(BE400)-LEN(SUBSTITUTE(BE400," "&amp;L_PendNeg&amp;" "," ")))/(LEN(L_PendNeg)+1))+SUMPRODUCT((LEN(BE400)-LEN(SUBSTITUTE(BE400," "&amp;L_PendPrep&amp;" "," ")))/(LEN(L_PendPrep)+1)),1,0),1)</f>
        <v>0</v>
      </c>
      <c r="BK400" s="61" t="n">
        <f aca="false">IFERROR(IF(SUMPRODUCT((LEN(BF400)-LEN(SUBSTITUTE(BF400," "&amp;L_PendStrict&amp;" "," ")))/(LEN(L_PendStrict)+1))&gt;SUMPRODUCT((LEN(BF400)-LEN(SUBSTITUTE(BF400," "&amp;L_PendNeg&amp;" "," ")))/(LEN(L_PendNeg)+1)),1,0),1)</f>
        <v>0</v>
      </c>
      <c r="BL400" s="61" t="n">
        <f aca="false">IF(ISNA(MATCH(TRIM(S400),L_EvidenceType,0)),0,BZ400)</f>
        <v>0</v>
      </c>
      <c r="BM400" s="61" t="str">
        <f aca="false">SUBSTITUTE(SUBSTITUTE(SUBSTITUTE(SUBSTITUTE(SUBSTITUTE(SUBSTITUTE(SUBSTITUTE(SUBSTITUTE(SUBSTITUTE(LOWER(Z400&amp;""),"1","0"),"2","0"),"3","0"),"4","0"),"5","0"),"6","0"),"7","0"),"8","0"),"9","0")</f>
        <v/>
      </c>
      <c r="BN400" s="61" t="str">
        <f aca="false">SUBSTITUTE(SUBSTITUTE(SUBSTITUTE(SUBSTITUTE(SUBSTITUTE(SUBSTITUTE(SUBSTITUTE(SUBSTITUTE(SUBSTITUTE(SUBSTITUTE(SUBSTITUTE(SUBSTITUTE(SUBSTITUTE(SUBSTITUTE(SUBSTITUTE(SUBSTITUTE(SUBSTITUTE(SUBSTITUTE(SUBSTITUTE(SUBSTITUTE(SUBSTITUTE(SUBSTITUTE(SUBSTITUTE(SUBSTITUTE(SUBSTITUTE(BM400,"b","a"),"c","a"),"d","a"),"e","a"),"f","a"),"g","a"),"h","a"),"i","a"),"j","a"),"k","a"),"l","a"),"m","a"),"n","a"),"o","a"),"p","a"),"q","a"),"r","a"),"s","a"),"t","a"),"u","a"),"v","a"),"w","a"),"x","a"),"y","a"),"z","a")</f>
        <v/>
      </c>
      <c r="BO400" s="61" t="str">
        <f aca="false">SUBSTITUTE(SUBSTITUTE(SUBSTITUTE(SUBSTITUTE(SUBSTITUTE(SUBSTITUTE(SUBSTITUTE(SUBSTITUTE(SUBSTITUTE(LOWER(W400&amp;""),"1","0"),"2","0"),"3","0"),"4","0"),"5","0"),"6","0"),"7","0"),"8","0"),"9","0")</f>
        <v/>
      </c>
      <c r="BP400" s="61" t="str">
        <f aca="false">SUBSTITUTE(SUBSTITUTE(SUBSTITUTE(SUBSTITUTE(SUBSTITUTE(SUBSTITUTE(SUBSTITUTE(SUBSTITUTE(SUBSTITUTE(SUBSTITUTE(SUBSTITUTE(SUBSTITUTE(SUBSTITUTE(SUBSTITUTE(SUBSTITUTE(SUBSTITUTE(SUBSTITUTE(SUBSTITUTE(SUBSTITUTE(SUBSTITUTE(SUBSTITUTE(SUBSTITUTE(SUBSTITUTE(SUBSTITUTE(SUBSTITUTE(BO400,"b","a"),"c","a"),"d","a"),"e","a"),"f","a"),"g","a"),"h","a"),"i","a"),"j","a"),"k","a"),"l","a"),"m","a"),"n","a"),"o","a"),"p","a"),"q","a"),"r","a"),"s","a"),"t","a"),"u","a"),"v","a"),"w","a"),"x","a"),"y","a"),"z","a")</f>
        <v/>
      </c>
      <c r="BQ400" s="61" t="n">
        <f aca="false">IFERROR(IF(AND(ISERROR(SEARCH(" mh"," "&amp;LOWER(W400))),ISNA(MATCH(LEFT(TRIM(BP400),255),{"0000a","000a","00a","0000aa","000aa","00aa","0aa","0000aaa","000aaa","00a00","0a00","0000-0000","00:00","a00","a0","00.00.0000","00/00/0000","00-00-0000","0000-00-00","0000/00/00","0000.00.00","00.00.00","00/00/00","00-00-00","0.00.0000","0/00/0000","0-00-0000"},0)),ISNA(MATCH(LEFT(TRIM(CA400),255),{"0000a","000a","00a","0000aa","000aa","00aa","0aa","0000aaa","000aaa","00a00","0a00","0000-0000","00:00","a00","a0","00.00.0000","00/00/0000","00-00-0000","0000-00-00","0000/00/00","0000.00.00","00.00.00","00/00/00","00-00-00","0.00.0000","0/00/0000","0-00-0000"},0)),LEN(CB400)&gt;=3,NOT(OR(SUBSTITUTE(CB400,"0","")="",AND(LEN(CB400)&gt;=4,CB400=REPT(LEFT(CB400),LEN(CB400))),ISNUMBER(MATCH(CB400,{"123","1234","12345","123456","1234567","12345678","0123","01234","012345","98765","987654","54321"},0)),AND(LEN(CB400)=8,LEFT(CB400,3)="202"))),OR(AND((LEN(CA400)-LEN(SUBSTITUTE(CA400,"a","")))&gt;=1,SUMPRODUCT(--ISNUMBER(SEARCH({"a0","a-0","a_0","a/0","a.0","a#0","0a","0-a","0_a","0/a"},BP400)))&gt;0),ISNUMBER(SEARCH("000000",BP400)))),1,0),0)</f>
        <v>0</v>
      </c>
      <c r="BR400" s="61" t="n">
        <f aca="false">IFERROR(LEN(SUBSTITUTE(CC400," ",""))-SUMPRODUCT((LEN(CC400)-LEN(SUBSTITUTE(CC400," "&amp;L_Role&amp;" "," ")))/(LEN(L_Role)+1)*LEN(L_Role)),0)</f>
        <v>0</v>
      </c>
      <c r="BS400" s="61" t="n">
        <f aca="false">IFERROR(LEN(SUBSTITUTE(CD400," ",""))-SUMPRODUCT((LEN(CD400)-LEN(SUBSTITUTE(CD400," "&amp;L_Role&amp;" "," ")))/(LEN(L_Role)+1)*LEN(L_Role)),0)</f>
        <v>0</v>
      </c>
      <c r="BT4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400,"revision",""),"version",""),"jan",""),"feb",""),"mar",""),"apr",""),"may",""),"jun",""),"jul",""),"aug",""),"sep",""),"oct",""),"nov",""),"dec",""),"utc",""),"gmt",""),"myt",""),"bst",""),"rev",""),"ver",""),"b","a"),"c","a"),"d","a"),"e","a"),"f","a"),"g","a"),"h","a"),"i","a"),"j","a"),"k","a"),"l","a"),"m","a"),"n","a"),"o","a"),"p","a"),"q","a"),"r","a"),"s","a"),"t","a"),"u","a"),"v","a"),"w","a"),"x","a"),"y","a"),"z","a")</f>
        <v/>
      </c>
      <c r="BU400" s="61" t="str">
        <f aca="false">SUBSTITUTE(SUBSTITUTE(SUBSTITUTE(SUBSTITUTE(SUBSTITUTE(SUBSTITUTE(SUBSTITUTE(SUBSTITUTE(SUBSTITUTE(SUBSTITUTE(LEFT(BM400,FIND("0",BM400&amp;"0")-1),"-",""),"_",""),"/",""),".",""),"#",""),"\\",""),":","")," ",""),"(",""),")","")</f>
        <v/>
      </c>
      <c r="BV400" s="61" t="n">
        <f aca="false">0</f>
        <v>0</v>
      </c>
      <c r="BW4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400&amp;""),"a",""),"b",""),"c",""),"d",""),"e",""),"f",""),"g",""),"h",""),"i",""),"j",""),"k",""),"l",""),"m",""),"n",""),"o",""),"p",""),"q",""),"r",""),"s",""),"t",""),"u",""),"v",""),"w",""),"x",""),"y",""),"z",""),"-",""),"_",""),"/",""),".",""),"#",""),"\\",""),":","")," ",""),"(",""),")","")</f>
        <v/>
      </c>
      <c r="BX400" s="61" t="str">
        <f aca="false">SUBSTITUTE(SUBSTITUTE(SUBSTITUTE(SUBSTITUTE(SUBSTITUTE(SUBSTITUTE(SUBSTITUTE(SUBSTITUTE(SUBSTITUTE(SUBSTITUTE(SUBSTITUTE(BM400,"0",""),"-",""),"_",""),"/",""),".",""),"#",""),"\\",""),":","")," ",""),"(",""),")","")</f>
        <v/>
      </c>
      <c r="BY400" s="62" t="n">
        <f aca="false">Q400-T12EarlyH/24</f>
        <v>46306.6006944444</v>
      </c>
      <c r="BZ400" s="61" t="n">
        <f aca="false">IFERROR(IF(IF(TRIM(S400)="Link / file path",AND(LEN(TRIM(Z400))&gt;=5,SUMPRODUCT(--ISNUMBER(SEARCH({"http","www.","\\",":\",".pdf",".jpg",".jpeg",".png",".heic",".xls",".doc",".msg",".eml",".ppt",".txt",".zip"},Z400)))&gt;0),AND(ISERROR(FIND(" ",TRIM(Z400))),NOT(OR(SUMPRODUCT(--ISNUMBER(FIND({",",";","&amp;","+"},Z400)))&gt;0,SUMPRODUCT(--ISNUMBER(SEARCH({"0/aa","0\\aa"},BN400)))&gt;0)),NOT(SUMPRODUCT(--ISNUMBER(SEARCH({"http","www.","\\",":\",".pdf",".jpg",".jpeg",".png",".heic",".xls",".doc",".msg",".eml",".ppt",".txt",".zip"},Z400)))&gt;0),NOT(LOWER(TRIM(Z400))=LOWER(Flights!$F$16)),ISNA(MATCH(BU400,{"mh","rev","revision","ver","version","v","r","a","b","seat","tray","row","gate","bay","stand","page","pg","item","line","no","cart","galley","flight","flt","table","box","bag","oven","etd","eta","std","sta","atd","ata","qty","pax","x","time","tel","ph","mob","day","wk","week","utc","gmt","myt","lt"},0)),NOT(OR(ISNUMBER(MATCH(LEFT(BN400,255),{"0000a","000a","00a","0000aa","000aa","00aa","0aa","0000aaa","000aaa","00a00","0a00","0000-0000","00:00","a00","a0","00.00.0000","00/00/0000","00-00-0000","0000-00-00","0000/00/00","0000.00.00","00.00.00","00/00/00","00-00-00","0.00.0000","0/00/0000","0-00-0000"},0)),ISNUMBER(MATCH(LEFT(BT400,255),{"0000a","000a","00a","0000aa","000aa","00aa","0aa","0000aaa","000aaa","00a00","0a00","0000-0000","00:00","a00","a0","00.00.0000","00/00/0000","00-00-0000","0000-00-00","0000/00/00","0000.00.00","00.00.00","00/00/00","00-00-00","0.00.0000","0/00/0000","0-00-0000"},0)))),NOT(OR(AND(BW400&lt;&gt;"",SUBSTITUTE(BW400,"0","")=""),AND(LEN(BW400)&gt;=4,BW400=REPT(LEFT(BW400),LEN(BW400))),ISNUMBER(MATCH(BW400,{"123","1234","12345","123456","1234567","12345678","0123","01234","012345","98765","987654","54321"},0)),ISNUMBER(MATCH(BX400,{"x","xx","xxx","xxxx","xxxxx","abc","abcd","nil","na","nan","test","tbc","tba","tbd","dummy","sample","example","eg","zz","zzz","none","null","xyz","qwe","asd","id","ref"},0)),AND(LEN(BW400)=8,BX400="",OR(LEFT(BW400,3)="202",ISNUMBER(MATCH(RIGHT(BW400,4),{"2025","2026","2027"},0)))))),OR(AND((LEN(BT400)-LEN(SUBSTITUTE(BT400,"a","")))&gt;=1,(LEN(BN400)-LEN(SUBSTITUTE(BN400,"0","")))&gt;=2,SUMPRODUCT(--ISNUMBER(SEARCH({"a0","a-0","a_0","a/0","a.0","a#0","0a","0-a","0_a","0/a"},BN400)))&gt;0),AND((LEN(BN400)-LEN(SUBSTITUTE(BN400,"a","")))=0,(LEN(BN400)-LEN(SUBSTITUTE(BN400,"0","")))&gt;=5)))),1,0),0)</f>
        <v>0</v>
      </c>
      <c r="CA4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400,"revision",""),"version",""),"jan",""),"feb",""),"mar",""),"apr",""),"may",""),"jun",""),"jul",""),"aug",""),"sep",""),"oct",""),"nov",""),"dec",""),"utc",""),"gmt",""),"myt",""),"bst",""),"rev",""),"ver",""),"b","a"),"c","a"),"d","a"),"e","a"),"f","a"),"g","a"),"h","a"),"i","a"),"j","a"),"k","a"),"l","a"),"m","a"),"n","a"),"o","a"),"p","a"),"q","a"),"r","a"),"s","a"),"t","a"),"u","a"),"v","a"),"w","a"),"x","a"),"y","a"),"z","a")</f>
        <v/>
      </c>
      <c r="CB4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400&amp;""),"a",""),"b",""),"c",""),"d",""),"e",""),"f",""),"g",""),"h",""),"i",""),"j",""),"k",""),"l",""),"m",""),"n",""),"o",""),"p",""),"q",""),"r",""),"s",""),"t",""),"u",""),"v",""),"w",""),"x",""),"y",""),"z",""),"-",""),"_",""),"/",""),".",""),"#",""),"\\",""),":","")," ",""),"(",""),")","")</f>
        <v/>
      </c>
      <c r="CC400" s="0" t="str">
        <f aca="false">" "&amp;TRIM(SUBSTITUTE(SUBSTITUTE(SUBSTITUTE(SUBSTITUTE(SUBSTITUTE(SUBSTITUTE(SUBSTITUTE(SUBSTITUTE(SUBSTITUTE(SUBSTITUTE(SUBSTITUTE(SUBSTITUTE(SUBSTITUTE(SUBSTITUTE(SUBSTITUTE(SUBSTITUTE(SUBSTITUTE(SUBSTITUTE(SUBSTITUTE(SUBSTITUTE(SUBSTITUTE(SUBSTITUTE(SUBSTITUTE(SUBSTITUTE(LOWER(T400&amp;""),CHAR(10)," "),CHAR(13)," "),CHAR(9)," "),CHAR(160)," "),"."," "),","," "),"-"," "),"/"," "),"("," "),")"," "),":"," "),";"," "),"_"," "),"–"," "),"?"," "),"!"," "),"*"," "),"["," "),"]"," "),"'"," "),"#"," "),"+"," "),"&amp;"," "),"\"," "))&amp;" "</f>
        <v>  </v>
      </c>
      <c r="CD400" s="0" t="str">
        <f aca="false">" "&amp;TRIM(SUBSTITUTE(SUBSTITUTE(SUBSTITUTE(SUBSTITUTE(SUBSTITUTE(SUBSTITUTE(SUBSTITUTE(SUBSTITUTE(SUBSTITUTE(SUBSTITUTE(SUBSTITUTE(SUBSTITUTE(SUBSTITUTE(SUBSTITUTE(SUBSTITUTE(SUBSTITUTE(SUBSTITUTE(SUBSTITUTE(SUBSTITUTE(SUBSTITUTE(SUBSTITUTE(SUBSTITUTE(SUBSTITUTE(SUBSTITUTE(LOWER(AE400&amp;""),CHAR(10)," "),CHAR(13)," "),CHAR(9)," "),CHAR(160)," "),"."," "),","," "),"-"," "),"/"," "),"("," "),")"," "),":"," "),";"," "),"_"," "),"–"," "),"?"," "),"!"," "),"*"," "),"["," "),"]"," "),"'"," "),"#"," "),"+"," "),"&amp;"," "),"\"," "))&amp;" "</f>
        <v>  </v>
      </c>
      <c r="CE400" s="68" t="n">
        <f aca="false">IFERROR(IF(AND(LEN(AU400)&gt;0,LEN(AU400)=LEN(AX400),OR(TRIM(MID(SUBSTITUTE(TRIM(CC400)," ",REPT(" ",60)),1,60))="",ISNUMBER(SEARCH(" "&amp;TRIM(MID(SUBSTITUTE(TRIM(CC400)," ",REPT(" ",60)),1,60))&amp;" ",CD400))),OR(TRIM(MID(SUBSTITUTE(TRIM(CC400)," ",REPT(" ",60)),61,60))="",ISNUMBER(SEARCH(" "&amp;TRIM(MID(SUBSTITUTE(TRIM(CC400)," ",REPT(" ",60)),61,60))&amp;" ",CD400))),OR(TRIM(MID(SUBSTITUTE(TRIM(CC400)," ",REPT(" ",60)),121,60))="",ISNUMBER(SEARCH(" "&amp;TRIM(MID(SUBSTITUTE(TRIM(CC400)," ",REPT(" ",60)),121,60))&amp;" ",CD400)))),1,0),0)</f>
        <v>0</v>
      </c>
      <c r="CG400" s="68" t="n">
        <f aca="false">IFERROR(LEN(SUBSTITUTE(BF400," ",""))-SUMPRODUCT((LEN(BF400)-LEN(SUBSTITUTE(BF400," "&amp;L_NAFiller&amp;" "," ")))/(LEN(L_NAFiller)+1)*LEN(L_NAFiller)),0)</f>
        <v>0</v>
      </c>
    </row>
    <row r="401" customFormat="false" ht="41.25" hidden="false" customHeight="true" outlineLevel="0" collapsed="false">
      <c r="A401" s="57" t="s">
        <v>1021</v>
      </c>
      <c r="B401" s="57" t="s">
        <v>261</v>
      </c>
      <c r="C401" s="57" t="str">
        <f aca="false">Flights!$F$16</f>
        <v>MH0139</v>
      </c>
      <c r="D401" s="58" t="n">
        <f aca="false">Flights!$D$16</f>
        <v>46307</v>
      </c>
      <c r="E401" s="57" t="str">
        <f aca="false">Flights!$G$16&amp;"-"&amp;Flights!$H$16</f>
        <v>KUL-ADL</v>
      </c>
      <c r="F401" s="57" t="str">
        <f aca="false">Flights!$K$16</f>
        <v>BC</v>
      </c>
      <c r="G401" s="57" t="s">
        <v>420</v>
      </c>
      <c r="H401" s="57" t="s">
        <v>378</v>
      </c>
      <c r="I401" s="57" t="s">
        <v>499</v>
      </c>
      <c r="J401" s="57" t="s">
        <v>508</v>
      </c>
      <c r="K401" s="67" t="s">
        <v>501</v>
      </c>
      <c r="L401" s="67" t="s">
        <v>1022</v>
      </c>
      <c r="M401" s="67" t="s">
        <v>451</v>
      </c>
      <c r="N401" s="67" t="s">
        <v>383</v>
      </c>
      <c r="O401" s="67" t="s">
        <v>503</v>
      </c>
      <c r="P401" s="57" t="s">
        <v>187</v>
      </c>
      <c r="Q401" s="59" t="n">
        <f aca="false">ROUND((Flights!$AE$16)*1440,0)/1440</f>
        <v>46307.1006944444</v>
      </c>
      <c r="R401" s="59" t="n">
        <f aca="false">Q401+(IF(AND(INDEX(TZ_DSTS,MATCH(P401,TZ_STN,0))&lt;&gt;"",Q401&gt;=INDEX(TZ_DSTS,MATCH(P401,TZ_STN,0)),Q401&lt;INDEX(TZ_DSTE,MATCH(P401,TZ_STN,0))),INDEX(TZ_DST,MATCH(P401,TZ_STN,0)),INDEX(TZ_STD,MATCH(P401,TZ_STN,0))))/24</f>
        <v>46307.4340277778</v>
      </c>
      <c r="S401" s="60"/>
      <c r="T401" s="60"/>
      <c r="U401" s="60"/>
      <c r="V401" s="60"/>
      <c r="W401" s="61"/>
      <c r="X401" s="60"/>
      <c r="Y401" s="60"/>
      <c r="Z401" s="60"/>
      <c r="AA401" s="60"/>
      <c r="AB401" s="60"/>
      <c r="AC401" s="60"/>
      <c r="AD401" s="66"/>
      <c r="AE401" s="60"/>
      <c r="AF401" s="61" t="str">
        <f aca="false">IF(AND(ISNUMBER(X401),ISNUMBER(Y401)),Y401-X401,"")</f>
        <v/>
      </c>
      <c r="AG401" s="62" t="str">
        <f aca="false">IF(ISNUMBER(AD401),AD401-(IF(AND(INDEX(TZ_DSTS,MATCH(P401,TZ_STN,0))&lt;&gt;"",(AD401-INDEX(TZ_STD,MATCH(P401,TZ_STN,0))/24)&gt;=INDEX(TZ_DSTS,MATCH(P401,TZ_STN,0)),(AD401-INDEX(TZ_STD,MATCH(P401,TZ_STN,0))/24)&lt;INDEX(TZ_DSTE,MATCH(P401,TZ_STN,0))),INDEX(TZ_DST,MATCH(P401,TZ_STN,0)),INDEX(TZ_STD,MATCH(P401,TZ_STN,0))))/24,"")</f>
        <v/>
      </c>
      <c r="AH401" s="65" t="str">
        <f aca="false">IFERROR(IF(N401="N/A – rule",IF(OR(TRIM(U401)="",TRIM(U401)="N/A",TRIM(U401)="Not started"),"N/A – RULE","INVALID – this check does not apply to this aircraft: clear the status (or correct the fleet on Flights)"),IF(TRIM(U401)="N/A",IF(AT401=0,"INVALID – N/A not permitted for this check",IF(AND(TRIM(AB401)&lt;&gt;"",TRIM(AB401)&lt;&gt;"Closed"),"INVALID – corrective action still open",IF(AND(NOT(OR(LEN(AZ401)&lt;15,ISNUMBER(MATCH(AZ401,L_Placeholder,0)))),BK401=0,CG401&gt;=8,NOT(OR(LEN(AU401)&lt;2,ISNUMBER(MATCH(AU401,L_Placeholder,0)))),BR401&gt;=3,NOT(OR(LEN(AX401)&lt;2,ISNUMBER(MATCH(AX401,L_Placeholder,0)))),BS401&gt;=3,TRIM(AE401)&lt;&gt;TRIM(T401),AX401&lt;&gt;AU401,CE401=0),"N/A – JUSTIFIED","INVALID – N/A needs a real, settled reason (not 'not applicable' / 'as above' / TBC), a named PIC and a different named verifier"))),IF(OR(TRIM(U401)="Pass",TRIM(U401)="Pass after CA"),IF(NOT(ISNUMBER(AD401)),"INVALID – completion time missing",IF(OR(OR(LEN(AU401)&lt;2,ISNUMBER(MATCH(AU401,L_Placeholder,0))),BR401&lt;3),"INVALID – PIC missing or not a named person (a role such as QA / CSM is not a name)",IF(OR(LEN(AV401)&lt;2,ISNUMBER(MATCH(AV401,L_Placeholder,0))),"INVALID – result / assessment missing",IF(OR(OR(LEN(AW401)&lt;3,ISNUMBER(MATCH(AW401,L_Placeholder,0))),SUMPRODUCT(--ISNUMBER(SEARCH(" "&amp;L_EvidencePhrase&amp;" ",BD401)))&gt;0,BI401=1),"INVALID – evidence missing, placeholder or not yet on file",IF(ISNA(MATCH(TRIM(S401),L_EvidenceType,0)),"INVALID – choose the evidence type from the list (column S)",IF(BL401=0,"INVALID – evidence ID must be the record's own ID only (e.g. SF-2210, IMG_2231, 1045521); a link / file name needs type 'Link / file path'",IF(OR(OR(LEN(AX401)&lt;2,ISNUMBER(MATCH(AX401,L_Placeholder,0))),BS401&lt;3),"INVALID – verifier missing or not a named person (a role such as QA / CSM is not a name)",IF(OR(AX401=AU401,CE401=1,AND(LEN(AU401)&gt;=4,ISNUMBER(SEARCH(AU401,AX401))),AND(LEN(AX401)&gt;=4,ISNUMBER(SEARCH(AX401,AU401)))),"INVALID – verifier must be a different, named person (not the PIC or a role)",IF(BH401=1,"INVALID – result not yet available (awaiting / TBC)",IF(BG401=1,"INVALID – result describes a problem: record Fail, then Pass after CA (or reword if it is not a problem)",IF(BV401=1,"INVALID – wording says not on board: an on-board confirmation needs the item loaded",IF(AND(AQ401=1,OR(OR(LEN(AY401)&lt;3,ISNUMBER(MATCH(AY401,L_Placeholder,0))),BJ401=1,BQ401=0)),"INVALID – batch ID missing, placeholder or not an ID (e.g. PASB-261008-BC-017)",IF(AND(AR401=1,OR(NOT(ISNUMBER(X401)),NOT(ISNUMBER(Y401)))),"INVALID – expected/actual qty missing",IF(AND(AR401=1,OR(X401&lt;=0,Y401&lt;0)),"INVALID – expected qty must be above 0 and actual not negative",IF(BB401&lt;&gt;"",BB401,IF(AND(AS401=1,Documents!$J$16&lt;&gt;"ON FILE"),"INVALID – GLD not on file (Documents sheet)",IF(AND(AS401=2,Documents!$O$16&lt;&gt;"ON FILE"),"INVALID – menu checklist not on file (Documents sheet)",IF(AND(AS401=3,NOT(ISNUMBER(Flights!$AX$16))),"INVALID – enter carrying flight KUL departure (Flights AX)",IF(AND(AS401=3,OR(Flights!$AZ$16&gt;Flights!$AA$16,Flights!$AX$16&lt;Flights!$AA$16-3)),"INVALID – carrying flight (Flights AX) cannot arrive before this leg's STD, or is over 3 days early",IF(AG401&gt;AsOfUTC,"INVALID – completion time is in the future",IF(AND(ISNUMBER(BY401),AG401&lt;BY401),IF(H401="Physical uplift","INVALID – before uplift window (cannot confirm loading)","INVALID – before valid window"),IF(AG401&gt;Flights!$AA$16,"INVALID – completed after departure (cannot establish readiness)",IF(AND(H401="Preparation",AG401&gt;=IF(ISNUMBER(Flights!$BA$16),MIN(Flights!$BA$16,Flights!$AA$16),Flights!$AA$16)),"INVALID – completed after loading / departure (cannot establish readiness)",IF(AND(H401="Physical uplift",AG401&gt;Q401),"INVALID – recorded after the loading flight departed",IF(AG401&gt;Q401,"COMPLETE – LATE","COMPLETE"))))))))))))))))))))))))),IF(TRIM(U401)="Fail","FAIL – DISCREPANCY",IF(AND(TRIM(U401)&lt;&gt;"",TRIM(U401)&lt;&gt;"Not started",TRIM(U401)&lt;&gt;"In progress"),"INVALID – unrecognised status (use the list)",IF(AsOfUTC&gt;Q401,"OVERDUE",IF(N401="Clarification required","OPEN – CLARIFICATION","OPEN"))))))),"INVALID – error value in an input cell")</f>
        <v>OPEN</v>
      </c>
      <c r="AI401" s="61" t="n">
        <f aca="false">IF(OR(AH401="N/A – RULE",AH401="N/A – JUSTIFIED"),0,1)</f>
        <v>1</v>
      </c>
      <c r="AJ401" s="61" t="n">
        <f aca="false">IF(LEFT(AH401,8)="COMPLETE",1,0)</f>
        <v>0</v>
      </c>
      <c r="AK401" s="61" t="n">
        <f aca="false">IF(AND(AI401=1,AJ401=0,AsOfUTC&gt;Q401),1,0)</f>
        <v>0</v>
      </c>
      <c r="AL401" s="61" t="n">
        <f aca="false">IFERROR(IF(AND(AI401=1,OR(TRIM(U401)="Fail",AND(TRIM(AB401)&lt;&gt;"",TRIM(AB401)&lt;&gt;"Closed"),AND(ISNUMBER(AF401),AF401&lt;&gt;0,TRIM(U401)&lt;&gt;"Pass after CA"))),1,0),1)</f>
        <v>0</v>
      </c>
      <c r="AM401" s="61" t="n">
        <f aca="false">IF(LEFT(AH401,7)="INVALID",1,0)</f>
        <v>0</v>
      </c>
      <c r="AN401" s="61" t="n">
        <f aca="false">IF(AND(N401="Clarification required",AI401=1,AJ401=0),1,0)</f>
        <v>0</v>
      </c>
      <c r="AO401" s="61" t="str">
        <f aca="false">IF(AK401=1,SUM(AK$5:AK401),"")</f>
        <v/>
      </c>
      <c r="AP401" s="61" t="str">
        <f aca="false">IF(AL401=1,SUM(AL$5:AL401),"")</f>
        <v/>
      </c>
      <c r="AQ401" s="61" t="n">
        <v>0</v>
      </c>
      <c r="AR401" s="61" t="n">
        <v>0</v>
      </c>
      <c r="AS401" s="61" t="n">
        <v>0</v>
      </c>
      <c r="AT401" s="61" t="n">
        <v>0</v>
      </c>
      <c r="AU401" s="61" t="str">
        <f aca="false">SUBSTITUTE(SUBSTITUTE(SUBSTITUTE(SUBSTITUTE(SUBSTITUTE(SUBSTITUTE(SUBSTITUTE(SUBSTITUTE(SUBSTITUTE(SUBSTITUTE(SUBSTITUTE(SUBSTITUTE(SUBSTITUTE(SUBSTITUTE(SUBSTITUTE(SUBSTITUTE(LOWER(T401&amp;""),CHAR(10),""),CHAR(13),""),CHAR(9),""),CHAR(160),"")," ",""),".",""),"-",""),"/",""),"?",""),"_",""),",",""),"[",""),"]",""),"(",""),")",""),"*","")</f>
        <v/>
      </c>
      <c r="AV401" s="61" t="str">
        <f aca="false">SUBSTITUTE(SUBSTITUTE(SUBSTITUTE(SUBSTITUTE(SUBSTITUTE(SUBSTITUTE(SUBSTITUTE(SUBSTITUTE(SUBSTITUTE(SUBSTITUTE(SUBSTITUTE(SUBSTITUTE(SUBSTITUTE(SUBSTITUTE(SUBSTITUTE(SUBSTITUTE(LOWER(V401&amp;""),CHAR(10),""),CHAR(13),""),CHAR(9),""),CHAR(160),"")," ",""),".",""),"-",""),"/",""),"?",""),"_",""),",",""),"[",""),"]",""),"(",""),")",""),"*","")</f>
        <v/>
      </c>
      <c r="AW401" s="61" t="str">
        <f aca="false">SUBSTITUTE(SUBSTITUTE(SUBSTITUTE(SUBSTITUTE(SUBSTITUTE(SUBSTITUTE(SUBSTITUTE(SUBSTITUTE(SUBSTITUTE(SUBSTITUTE(SUBSTITUTE(SUBSTITUTE(SUBSTITUTE(SUBSTITUTE(SUBSTITUTE(SUBSTITUTE(LOWER(Z401&amp;""),CHAR(10),""),CHAR(13),""),CHAR(9),""),CHAR(160),"")," ",""),".",""),"-",""),"/",""),"?",""),"_",""),",",""),"[",""),"]",""),"(",""),")",""),"*","")</f>
        <v/>
      </c>
      <c r="AX401" s="61" t="str">
        <f aca="false">SUBSTITUTE(SUBSTITUTE(SUBSTITUTE(SUBSTITUTE(SUBSTITUTE(SUBSTITUTE(SUBSTITUTE(SUBSTITUTE(SUBSTITUTE(SUBSTITUTE(SUBSTITUTE(SUBSTITUTE(SUBSTITUTE(SUBSTITUTE(SUBSTITUTE(SUBSTITUTE(LOWER(AE401&amp;""),CHAR(10),""),CHAR(13),""),CHAR(9),""),CHAR(160),"")," ",""),".",""),"-",""),"/",""),"?",""),"_",""),",",""),"[",""),"]",""),"(",""),")",""),"*","")</f>
        <v/>
      </c>
      <c r="AY401" s="61" t="str">
        <f aca="false">SUBSTITUTE(SUBSTITUTE(SUBSTITUTE(SUBSTITUTE(SUBSTITUTE(SUBSTITUTE(SUBSTITUTE(SUBSTITUTE(SUBSTITUTE(SUBSTITUTE(SUBSTITUTE(SUBSTITUTE(SUBSTITUTE(SUBSTITUTE(SUBSTITUTE(SUBSTITUTE(LOWER(W401&amp;""),CHAR(10),""),CHAR(13),""),CHAR(9),""),CHAR(160),"")," ",""),".",""),"-",""),"/",""),"?",""),"_",""),",",""),"[",""),"]",""),"(",""),")",""),"*","")</f>
        <v/>
      </c>
      <c r="AZ401" s="61" t="str">
        <f aca="false">SUBSTITUTE(SUBSTITUTE(SUBSTITUTE(SUBSTITUTE(SUBSTITUTE(SUBSTITUTE(SUBSTITUTE(SUBSTITUTE(SUBSTITUTE(SUBSTITUTE(SUBSTITUTE(SUBSTITUTE(SUBSTITUTE(SUBSTITUTE(SUBSTITUTE(SUBSTITUTE(LOWER(AC401&amp;""),CHAR(10),""),CHAR(13),""),CHAR(9),""),CHAR(160),"")," ",""),".",""),"-",""),"/",""),"?",""),"_",""),",",""),"[",""),"]",""),"(",""),")",""),"*","")</f>
        <v/>
      </c>
      <c r="BA401" s="61" t="str">
        <f aca="false">SUBSTITUTE(SUBSTITUTE(SUBSTITUTE(SUBSTITUTE(SUBSTITUTE(SUBSTITUTE(SUBSTITUTE(SUBSTITUTE(SUBSTITUTE(SUBSTITUTE(SUBSTITUTE(SUBSTITUTE(SUBSTITUTE(SUBSTITUTE(SUBSTITUTE(SUBSTITUTE(LOWER(AA401&amp;""),CHAR(10),""),CHAR(13),""),CHAR(9),""),CHAR(160),"")," ",""),".",""),"-",""),"/",""),"?",""),"_",""),",",""),"[",""),"]",""),"(",""),")",""),"*","")</f>
        <v/>
      </c>
      <c r="BB401" s="61" t="str">
        <f aca="false">IF(AND(TRIM(U401)="Pass",ISNUMBER(AF401)),IF(AF401&lt;&gt;0,"INVALID – qty variance: use Fail or Pass after CA",""),"")&amp;IF(AND(TRIM(U401)="Pass after CA",ISNUMBER(AF401)),IF(AF401&lt;&gt;0,"INVALID – after the corrective action the actual qty must equal expected (update Actual)",""),"")&amp;IF(AND(TRIM(U401)="Pass",TRIM(AB401)&lt;&gt;"",TRIM(AB401)&lt;&gt;"Closed"),"INVALID – corrective action not closed: use Fail, then Pass after CA","")&amp;IF(AND(LEN(BA401)&gt;=2,ISNA(MATCH(LEFT(BA401,255),L_Placeholder,0)),TRIM(AB401)=""),"INVALID – CA status missing for the recorded corrective action","")&amp;IF(AND(TRIM(U401)="Pass after CA",OR(OR(LEN(BA401)&lt;5,ISNUMBER(MATCH(BA401,L_Placeholder,0))),TRIM(AB401)&lt;&gt;"Closed")),"INVALID – corrective action not recorded/closed","")</f>
        <v/>
      </c>
      <c r="BC401" s="61" t="str">
        <f aca="false">" "&amp;TRIM(SUBSTITUTE(SUBSTITUTE(SUBSTITUTE(SUBSTITUTE(SUBSTITUTE(SUBSTITUTE(SUBSTITUTE(SUBSTITUTE(SUBSTITUTE(SUBSTITUTE(SUBSTITUTE(SUBSTITUTE(SUBSTITUTE(SUBSTITUTE(SUBSTITUTE(SUBSTITUTE(SUBSTITUTE(SUBSTITUTE(SUBSTITUTE(SUBSTITUTE(SUBSTITUTE(SUBSTITUTE(SUBSTITUTE(SUBSTITUTE(LOWER(V401&amp;""),CHAR(10)," "),CHAR(13)," "),CHAR(9)," "),CHAR(160)," "),"."," "),","," "),"-"," "),"/"," "),"("," "),")"," "),":"," "),";"," "),"_"," "),"–"," "),"?"," "),"!"," "),"*"," "),"["," "),"]"," "),"'"," "),"#"," "),"+"," "),"&amp;"," "),"\"," "))&amp;" "</f>
        <v>  </v>
      </c>
      <c r="BD401" s="61" t="str">
        <f aca="false">" "&amp;TRIM(SUBSTITUTE(SUBSTITUTE(SUBSTITUTE(SUBSTITUTE(SUBSTITUTE(SUBSTITUTE(SUBSTITUTE(SUBSTITUTE(SUBSTITUTE(SUBSTITUTE(SUBSTITUTE(SUBSTITUTE(SUBSTITUTE(SUBSTITUTE(SUBSTITUTE(SUBSTITUTE(SUBSTITUTE(SUBSTITUTE(SUBSTITUTE(SUBSTITUTE(SUBSTITUTE(SUBSTITUTE(SUBSTITUTE(SUBSTITUTE(LOWER(Z401&amp;""),CHAR(10)," "),CHAR(13)," "),CHAR(9)," "),CHAR(160)," "),"."," "),","," "),"-"," "),"/"," "),"("," "),")"," "),":"," "),";"," "),"_"," "),"–"," "),"?"," "),"!"," "),"*"," "),"["," "),"]"," "),"'"," "),"#"," "),"+"," "),"&amp;"," "),"\"," "))&amp;" "</f>
        <v>  </v>
      </c>
      <c r="BE401" s="61" t="str">
        <f aca="false">" "&amp;TRIM(SUBSTITUTE(SUBSTITUTE(SUBSTITUTE(SUBSTITUTE(SUBSTITUTE(SUBSTITUTE(SUBSTITUTE(SUBSTITUTE(SUBSTITUTE(SUBSTITUTE(SUBSTITUTE(SUBSTITUTE(SUBSTITUTE(SUBSTITUTE(SUBSTITUTE(SUBSTITUTE(SUBSTITUTE(SUBSTITUTE(SUBSTITUTE(SUBSTITUTE(SUBSTITUTE(SUBSTITUTE(SUBSTITUTE(SUBSTITUTE(LOWER(W401&amp;""),CHAR(10)," "),CHAR(13)," "),CHAR(9)," "),CHAR(160)," "),"."," "),","," "),"-"," "),"/"," "),"("," "),")"," "),":"," "),";"," "),"_"," "),"–"," "),"?"," "),"!"," "),"*"," "),"["," "),"]"," "),"'"," "),"#"," "),"+"," "),"&amp;"," "),"\"," "))&amp;" "</f>
        <v>  </v>
      </c>
      <c r="BF401" s="61" t="str">
        <f aca="false">" "&amp;TRIM(SUBSTITUTE(SUBSTITUTE(SUBSTITUTE(SUBSTITUTE(SUBSTITUTE(SUBSTITUTE(SUBSTITUTE(SUBSTITUTE(SUBSTITUTE(SUBSTITUTE(SUBSTITUTE(SUBSTITUTE(SUBSTITUTE(SUBSTITUTE(SUBSTITUTE(SUBSTITUTE(SUBSTITUTE(SUBSTITUTE(SUBSTITUTE(SUBSTITUTE(SUBSTITUTE(SUBSTITUTE(SUBSTITUTE(SUBSTITUTE(LOWER(AC401&amp;""),CHAR(10)," "),CHAR(13)," "),CHAR(9)," "),CHAR(160)," "),"."," "),","," "),"-"," "),"/"," "),"("," "),")"," "),":"," "),";"," "),"_"," "),"–"," "),"?"," "),"!"," "),"*"," "),"["," "),"]"," "),"'"," "),"#"," "),"+"," "),"&amp;"," "),"\"," "))&amp;" "</f>
        <v>  </v>
      </c>
      <c r="BG401" s="61" t="n">
        <f aca="false">IFERROR(IF(AND(TRIM(U401)="Pass",SUMPRODUCT((LEN(BC401)-LEN(SUBSTITUTE(BC401," "&amp;L_ResultBad&amp;" "," ")))/(LEN(L_ResultBad)+1))&gt;SUMPRODUCT((LEN(BC401)-LEN(SUBSTITUTE(BC401," "&amp;L_NegPhrase&amp;" "," ")))/(LEN(L_NegPhrase)+1))),1,0),0)</f>
        <v>0</v>
      </c>
      <c r="BH401" s="61" t="n">
        <f aca="false">IFERROR(IF(SUMPRODUCT((LEN(BC401)-LEN(SUBSTITUTE(BC401," "&amp;L_Pending&amp;" "," ")))/(LEN(L_Pending)+1))&gt;SUMPRODUCT((LEN(BC401)-LEN(SUBSTITUTE(BC401," "&amp;L_PendNeg&amp;" "," ")))/(LEN(L_PendNeg)+1))+SUMPRODUCT((LEN(BC401)-LEN(SUBSTITUTE(BC401," "&amp;L_PendPrep&amp;" "," ")))/(LEN(L_PendPrep)+1)),1,0),1)</f>
        <v>0</v>
      </c>
      <c r="BI401" s="61" t="n">
        <f aca="false">IFERROR(IF(SUMPRODUCT((LEN(BD401)-LEN(SUBSTITUTE(BD401," "&amp;L_PendStrict&amp;" "," ")))/(LEN(L_PendStrict)+1))&gt;SUMPRODUCT((LEN(BD401)-LEN(SUBSTITUTE(BD401," "&amp;L_PendNeg&amp;" "," ")))/(LEN(L_PendNeg)+1)),1,0),1)</f>
        <v>0</v>
      </c>
      <c r="BJ401" s="61" t="n">
        <f aca="false">IFERROR(IF(SUMPRODUCT((LEN(BE401)-LEN(SUBSTITUTE(BE401," "&amp;L_Pending&amp;" "," ")))/(LEN(L_Pending)+1))&gt;SUMPRODUCT((LEN(BE401)-LEN(SUBSTITUTE(BE401," "&amp;L_PendNeg&amp;" "," ")))/(LEN(L_PendNeg)+1))+SUMPRODUCT((LEN(BE401)-LEN(SUBSTITUTE(BE401," "&amp;L_PendPrep&amp;" "," ")))/(LEN(L_PendPrep)+1)),1,0),1)</f>
        <v>0</v>
      </c>
      <c r="BK401" s="61" t="n">
        <f aca="false">IFERROR(IF(SUMPRODUCT((LEN(BF401)-LEN(SUBSTITUTE(BF401," "&amp;L_PendStrict&amp;" "," ")))/(LEN(L_PendStrict)+1))&gt;SUMPRODUCT((LEN(BF401)-LEN(SUBSTITUTE(BF401," "&amp;L_PendNeg&amp;" "," ")))/(LEN(L_PendNeg)+1)),1,0),1)</f>
        <v>0</v>
      </c>
      <c r="BL401" s="61" t="n">
        <f aca="false">IF(ISNA(MATCH(TRIM(S401),L_EvidenceType,0)),0,BZ401)</f>
        <v>0</v>
      </c>
      <c r="BM401" s="61" t="str">
        <f aca="false">SUBSTITUTE(SUBSTITUTE(SUBSTITUTE(SUBSTITUTE(SUBSTITUTE(SUBSTITUTE(SUBSTITUTE(SUBSTITUTE(SUBSTITUTE(LOWER(Z401&amp;""),"1","0"),"2","0"),"3","0"),"4","0"),"5","0"),"6","0"),"7","0"),"8","0"),"9","0")</f>
        <v/>
      </c>
      <c r="BN401" s="61" t="str">
        <f aca="false">SUBSTITUTE(SUBSTITUTE(SUBSTITUTE(SUBSTITUTE(SUBSTITUTE(SUBSTITUTE(SUBSTITUTE(SUBSTITUTE(SUBSTITUTE(SUBSTITUTE(SUBSTITUTE(SUBSTITUTE(SUBSTITUTE(SUBSTITUTE(SUBSTITUTE(SUBSTITUTE(SUBSTITUTE(SUBSTITUTE(SUBSTITUTE(SUBSTITUTE(SUBSTITUTE(SUBSTITUTE(SUBSTITUTE(SUBSTITUTE(SUBSTITUTE(BM401,"b","a"),"c","a"),"d","a"),"e","a"),"f","a"),"g","a"),"h","a"),"i","a"),"j","a"),"k","a"),"l","a"),"m","a"),"n","a"),"o","a"),"p","a"),"q","a"),"r","a"),"s","a"),"t","a"),"u","a"),"v","a"),"w","a"),"x","a"),"y","a"),"z","a")</f>
        <v/>
      </c>
      <c r="BO401" s="61" t="str">
        <f aca="false">SUBSTITUTE(SUBSTITUTE(SUBSTITUTE(SUBSTITUTE(SUBSTITUTE(SUBSTITUTE(SUBSTITUTE(SUBSTITUTE(SUBSTITUTE(LOWER(W401&amp;""),"1","0"),"2","0"),"3","0"),"4","0"),"5","0"),"6","0"),"7","0"),"8","0"),"9","0")</f>
        <v/>
      </c>
      <c r="BP401" s="61" t="str">
        <f aca="false">SUBSTITUTE(SUBSTITUTE(SUBSTITUTE(SUBSTITUTE(SUBSTITUTE(SUBSTITUTE(SUBSTITUTE(SUBSTITUTE(SUBSTITUTE(SUBSTITUTE(SUBSTITUTE(SUBSTITUTE(SUBSTITUTE(SUBSTITUTE(SUBSTITUTE(SUBSTITUTE(SUBSTITUTE(SUBSTITUTE(SUBSTITUTE(SUBSTITUTE(SUBSTITUTE(SUBSTITUTE(SUBSTITUTE(SUBSTITUTE(SUBSTITUTE(BO401,"b","a"),"c","a"),"d","a"),"e","a"),"f","a"),"g","a"),"h","a"),"i","a"),"j","a"),"k","a"),"l","a"),"m","a"),"n","a"),"o","a"),"p","a"),"q","a"),"r","a"),"s","a"),"t","a"),"u","a"),"v","a"),"w","a"),"x","a"),"y","a"),"z","a")</f>
        <v/>
      </c>
      <c r="BQ401" s="61" t="n">
        <f aca="false">IFERROR(IF(AND(ISERROR(SEARCH(" mh"," "&amp;LOWER(W401))),ISNA(MATCH(LEFT(TRIM(BP401),255),{"0000a","000a","00a","0000aa","000aa","00aa","0aa","0000aaa","000aaa","00a00","0a00","0000-0000","00:00","a00","a0","00.00.0000","00/00/0000","00-00-0000","0000-00-00","0000/00/00","0000.00.00","00.00.00","00/00/00","00-00-00","0.00.0000","0/00/0000","0-00-0000"},0)),ISNA(MATCH(LEFT(TRIM(CA401),255),{"0000a","000a","00a","0000aa","000aa","00aa","0aa","0000aaa","000aaa","00a00","0a00","0000-0000","00:00","a00","a0","00.00.0000","00/00/0000","00-00-0000","0000-00-00","0000/00/00","0000.00.00","00.00.00","00/00/00","00-00-00","0.00.0000","0/00/0000","0-00-0000"},0)),LEN(CB401)&gt;=3,NOT(OR(SUBSTITUTE(CB401,"0","")="",AND(LEN(CB401)&gt;=4,CB401=REPT(LEFT(CB401),LEN(CB401))),ISNUMBER(MATCH(CB401,{"123","1234","12345","123456","1234567","12345678","0123","01234","012345","98765","987654","54321"},0)),AND(LEN(CB401)=8,LEFT(CB401,3)="202"))),OR(AND((LEN(CA401)-LEN(SUBSTITUTE(CA401,"a","")))&gt;=1,SUMPRODUCT(--ISNUMBER(SEARCH({"a0","a-0","a_0","a/0","a.0","a#0","0a","0-a","0_a","0/a"},BP401)))&gt;0),ISNUMBER(SEARCH("000000",BP401)))),1,0),0)</f>
        <v>0</v>
      </c>
      <c r="BR401" s="61" t="n">
        <f aca="false">IFERROR(LEN(SUBSTITUTE(CC401," ",""))-SUMPRODUCT((LEN(CC401)-LEN(SUBSTITUTE(CC401," "&amp;L_Role&amp;" "," ")))/(LEN(L_Role)+1)*LEN(L_Role)),0)</f>
        <v>0</v>
      </c>
      <c r="BS401" s="61" t="n">
        <f aca="false">IFERROR(LEN(SUBSTITUTE(CD401," ",""))-SUMPRODUCT((LEN(CD401)-LEN(SUBSTITUTE(CD401," "&amp;L_Role&amp;" "," ")))/(LEN(L_Role)+1)*LEN(L_Role)),0)</f>
        <v>0</v>
      </c>
      <c r="BT4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401,"revision",""),"version",""),"jan",""),"feb",""),"mar",""),"apr",""),"may",""),"jun",""),"jul",""),"aug",""),"sep",""),"oct",""),"nov",""),"dec",""),"utc",""),"gmt",""),"myt",""),"bst",""),"rev",""),"ver",""),"b","a"),"c","a"),"d","a"),"e","a"),"f","a"),"g","a"),"h","a"),"i","a"),"j","a"),"k","a"),"l","a"),"m","a"),"n","a"),"o","a"),"p","a"),"q","a"),"r","a"),"s","a"),"t","a"),"u","a"),"v","a"),"w","a"),"x","a"),"y","a"),"z","a")</f>
        <v/>
      </c>
      <c r="BU401" s="61" t="str">
        <f aca="false">SUBSTITUTE(SUBSTITUTE(SUBSTITUTE(SUBSTITUTE(SUBSTITUTE(SUBSTITUTE(SUBSTITUTE(SUBSTITUTE(SUBSTITUTE(SUBSTITUTE(LEFT(BM401,FIND("0",BM401&amp;"0")-1),"-",""),"_",""),"/",""),".",""),"#",""),"\\",""),":","")," ",""),"(",""),")","")</f>
        <v/>
      </c>
      <c r="BV401" s="61" t="n">
        <f aca="false">0</f>
        <v>0</v>
      </c>
      <c r="BW4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401&amp;""),"a",""),"b",""),"c",""),"d",""),"e",""),"f",""),"g",""),"h",""),"i",""),"j",""),"k",""),"l",""),"m",""),"n",""),"o",""),"p",""),"q",""),"r",""),"s",""),"t",""),"u",""),"v",""),"w",""),"x",""),"y",""),"z",""),"-",""),"_",""),"/",""),".",""),"#",""),"\\",""),":","")," ",""),"(",""),")","")</f>
        <v/>
      </c>
      <c r="BX401" s="61" t="str">
        <f aca="false">SUBSTITUTE(SUBSTITUTE(SUBSTITUTE(SUBSTITUTE(SUBSTITUTE(SUBSTITUTE(SUBSTITUTE(SUBSTITUTE(SUBSTITUTE(SUBSTITUTE(SUBSTITUTE(BM401,"0",""),"-",""),"_",""),"/",""),".",""),"#",""),"\\",""),":","")," ",""),"(",""),")","")</f>
        <v/>
      </c>
      <c r="BY401" s="62" t="n">
        <f aca="false">Q401-T12EarlyH/24</f>
        <v>46306.6006944444</v>
      </c>
      <c r="BZ401" s="61" t="n">
        <f aca="false">IFERROR(IF(IF(TRIM(S401)="Link / file path",AND(LEN(TRIM(Z401))&gt;=5,SUMPRODUCT(--ISNUMBER(SEARCH({"http","www.","\\",":\",".pdf",".jpg",".jpeg",".png",".heic",".xls",".doc",".msg",".eml",".ppt",".txt",".zip"},Z401)))&gt;0),AND(ISERROR(FIND(" ",TRIM(Z401))),NOT(OR(SUMPRODUCT(--ISNUMBER(FIND({",",";","&amp;","+"},Z401)))&gt;0,SUMPRODUCT(--ISNUMBER(SEARCH({"0/aa","0\\aa"},BN401)))&gt;0)),NOT(SUMPRODUCT(--ISNUMBER(SEARCH({"http","www.","\\",":\",".pdf",".jpg",".jpeg",".png",".heic",".xls",".doc",".msg",".eml",".ppt",".txt",".zip"},Z401)))&gt;0),NOT(LOWER(TRIM(Z401))=LOWER(Flights!$F$16)),ISNA(MATCH(BU401,{"mh","rev","revision","ver","version","v","r","a","b","seat","tray","row","gate","bay","stand","page","pg","item","line","no","cart","galley","flight","flt","table","box","bag","oven","etd","eta","std","sta","atd","ata","qty","pax","x","time","tel","ph","mob","day","wk","week","utc","gmt","myt","lt"},0)),NOT(OR(ISNUMBER(MATCH(LEFT(BN401,255),{"0000a","000a","00a","0000aa","000aa","00aa","0aa","0000aaa","000aaa","00a00","0a00","0000-0000","00:00","a00","a0","00.00.0000","00/00/0000","00-00-0000","0000-00-00","0000/00/00","0000.00.00","00.00.00","00/00/00","00-00-00","0.00.0000","0/00/0000","0-00-0000"},0)),ISNUMBER(MATCH(LEFT(BT401,255),{"0000a","000a","00a","0000aa","000aa","00aa","0aa","0000aaa","000aaa","00a00","0a00","0000-0000","00:00","a00","a0","00.00.0000","00/00/0000","00-00-0000","0000-00-00","0000/00/00","0000.00.00","00.00.00","00/00/00","00-00-00","0.00.0000","0/00/0000","0-00-0000"},0)))),NOT(OR(AND(BW401&lt;&gt;"",SUBSTITUTE(BW401,"0","")=""),AND(LEN(BW401)&gt;=4,BW401=REPT(LEFT(BW401),LEN(BW401))),ISNUMBER(MATCH(BW401,{"123","1234","12345","123456","1234567","12345678","0123","01234","012345","98765","987654","54321"},0)),ISNUMBER(MATCH(BX401,{"x","xx","xxx","xxxx","xxxxx","abc","abcd","nil","na","nan","test","tbc","tba","tbd","dummy","sample","example","eg","zz","zzz","none","null","xyz","qwe","asd","id","ref"},0)),AND(LEN(BW401)=8,BX401="",OR(LEFT(BW401,3)="202",ISNUMBER(MATCH(RIGHT(BW401,4),{"2025","2026","2027"},0)))))),OR(AND((LEN(BT401)-LEN(SUBSTITUTE(BT401,"a","")))&gt;=1,(LEN(BN401)-LEN(SUBSTITUTE(BN401,"0","")))&gt;=2,SUMPRODUCT(--ISNUMBER(SEARCH({"a0","a-0","a_0","a/0","a.0","a#0","0a","0-a","0_a","0/a"},BN401)))&gt;0),AND((LEN(BN401)-LEN(SUBSTITUTE(BN401,"a","")))=0,(LEN(BN401)-LEN(SUBSTITUTE(BN401,"0","")))&gt;=5)))),1,0),0)</f>
        <v>0</v>
      </c>
      <c r="CA4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401,"revision",""),"version",""),"jan",""),"feb",""),"mar",""),"apr",""),"may",""),"jun",""),"jul",""),"aug",""),"sep",""),"oct",""),"nov",""),"dec",""),"utc",""),"gmt",""),"myt",""),"bst",""),"rev",""),"ver",""),"b","a"),"c","a"),"d","a"),"e","a"),"f","a"),"g","a"),"h","a"),"i","a"),"j","a"),"k","a"),"l","a"),"m","a"),"n","a"),"o","a"),"p","a"),"q","a"),"r","a"),"s","a"),"t","a"),"u","a"),"v","a"),"w","a"),"x","a"),"y","a"),"z","a")</f>
        <v/>
      </c>
      <c r="CB4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401&amp;""),"a",""),"b",""),"c",""),"d",""),"e",""),"f",""),"g",""),"h",""),"i",""),"j",""),"k",""),"l",""),"m",""),"n",""),"o",""),"p",""),"q",""),"r",""),"s",""),"t",""),"u",""),"v",""),"w",""),"x",""),"y",""),"z",""),"-",""),"_",""),"/",""),".",""),"#",""),"\\",""),":","")," ",""),"(",""),")","")</f>
        <v/>
      </c>
      <c r="CC401" s="0" t="str">
        <f aca="false">" "&amp;TRIM(SUBSTITUTE(SUBSTITUTE(SUBSTITUTE(SUBSTITUTE(SUBSTITUTE(SUBSTITUTE(SUBSTITUTE(SUBSTITUTE(SUBSTITUTE(SUBSTITUTE(SUBSTITUTE(SUBSTITUTE(SUBSTITUTE(SUBSTITUTE(SUBSTITUTE(SUBSTITUTE(SUBSTITUTE(SUBSTITUTE(SUBSTITUTE(SUBSTITUTE(SUBSTITUTE(SUBSTITUTE(SUBSTITUTE(SUBSTITUTE(LOWER(T401&amp;""),CHAR(10)," "),CHAR(13)," "),CHAR(9)," "),CHAR(160)," "),"."," "),","," "),"-"," "),"/"," "),"("," "),")"," "),":"," "),";"," "),"_"," "),"–"," "),"?"," "),"!"," "),"*"," "),"["," "),"]"," "),"'"," "),"#"," "),"+"," "),"&amp;"," "),"\"," "))&amp;" "</f>
        <v>  </v>
      </c>
      <c r="CD401" s="0" t="str">
        <f aca="false">" "&amp;TRIM(SUBSTITUTE(SUBSTITUTE(SUBSTITUTE(SUBSTITUTE(SUBSTITUTE(SUBSTITUTE(SUBSTITUTE(SUBSTITUTE(SUBSTITUTE(SUBSTITUTE(SUBSTITUTE(SUBSTITUTE(SUBSTITUTE(SUBSTITUTE(SUBSTITUTE(SUBSTITUTE(SUBSTITUTE(SUBSTITUTE(SUBSTITUTE(SUBSTITUTE(SUBSTITUTE(SUBSTITUTE(SUBSTITUTE(SUBSTITUTE(LOWER(AE401&amp;""),CHAR(10)," "),CHAR(13)," "),CHAR(9)," "),CHAR(160)," "),"."," "),","," "),"-"," "),"/"," "),"("," "),")"," "),":"," "),";"," "),"_"," "),"–"," "),"?"," "),"!"," "),"*"," "),"["," "),"]"," "),"'"," "),"#"," "),"+"," "),"&amp;"," "),"\"," "))&amp;" "</f>
        <v>  </v>
      </c>
      <c r="CE401" s="68" t="n">
        <f aca="false">IFERROR(IF(AND(LEN(AU401)&gt;0,LEN(AU401)=LEN(AX401),OR(TRIM(MID(SUBSTITUTE(TRIM(CC401)," ",REPT(" ",60)),1,60))="",ISNUMBER(SEARCH(" "&amp;TRIM(MID(SUBSTITUTE(TRIM(CC401)," ",REPT(" ",60)),1,60))&amp;" ",CD401))),OR(TRIM(MID(SUBSTITUTE(TRIM(CC401)," ",REPT(" ",60)),61,60))="",ISNUMBER(SEARCH(" "&amp;TRIM(MID(SUBSTITUTE(TRIM(CC401)," ",REPT(" ",60)),61,60))&amp;" ",CD401))),OR(TRIM(MID(SUBSTITUTE(TRIM(CC401)," ",REPT(" ",60)),121,60))="",ISNUMBER(SEARCH(" "&amp;TRIM(MID(SUBSTITUTE(TRIM(CC401)," ",REPT(" ",60)),121,60))&amp;" ",CD401)))),1,0),0)</f>
        <v>0</v>
      </c>
      <c r="CG401" s="68" t="n">
        <f aca="false">IFERROR(LEN(SUBSTITUTE(BF401," ",""))-SUMPRODUCT((LEN(BF401)-LEN(SUBSTITUTE(BF401," "&amp;L_NAFiller&amp;" "," ")))/(LEN(L_NAFiller)+1)*LEN(L_NAFiller)),0)</f>
        <v>0</v>
      </c>
    </row>
    <row r="402" customFormat="false" ht="41.25" hidden="false" customHeight="true" outlineLevel="0" collapsed="false">
      <c r="A402" s="57" t="s">
        <v>1023</v>
      </c>
      <c r="B402" s="57" t="s">
        <v>261</v>
      </c>
      <c r="C402" s="57" t="str">
        <f aca="false">Flights!$F$16</f>
        <v>MH0139</v>
      </c>
      <c r="D402" s="58" t="n">
        <f aca="false">Flights!$D$16</f>
        <v>46307</v>
      </c>
      <c r="E402" s="57" t="str">
        <f aca="false">Flights!$G$16&amp;"-"&amp;Flights!$H$16</f>
        <v>KUL-ADL</v>
      </c>
      <c r="F402" s="57" t="str">
        <f aca="false">Flights!$K$16</f>
        <v>BC</v>
      </c>
      <c r="G402" s="57" t="s">
        <v>420</v>
      </c>
      <c r="H402" s="57" t="s">
        <v>378</v>
      </c>
      <c r="I402" s="57" t="s">
        <v>499</v>
      </c>
      <c r="J402" s="57" t="s">
        <v>511</v>
      </c>
      <c r="K402" s="67" t="s">
        <v>501</v>
      </c>
      <c r="L402" s="67" t="s">
        <v>1024</v>
      </c>
      <c r="M402" s="67" t="s">
        <v>451</v>
      </c>
      <c r="N402" s="67" t="s">
        <v>383</v>
      </c>
      <c r="O402" s="67" t="s">
        <v>503</v>
      </c>
      <c r="P402" s="57" t="s">
        <v>187</v>
      </c>
      <c r="Q402" s="59" t="n">
        <f aca="false">ROUND((Flights!$AE$16)*1440,0)/1440</f>
        <v>46307.1006944444</v>
      </c>
      <c r="R402" s="59" t="n">
        <f aca="false">Q402+(IF(AND(INDEX(TZ_DSTS,MATCH(P402,TZ_STN,0))&lt;&gt;"",Q402&gt;=INDEX(TZ_DSTS,MATCH(P402,TZ_STN,0)),Q402&lt;INDEX(TZ_DSTE,MATCH(P402,TZ_STN,0))),INDEX(TZ_DST,MATCH(P402,TZ_STN,0)),INDEX(TZ_STD,MATCH(P402,TZ_STN,0))))/24</f>
        <v>46307.4340277778</v>
      </c>
      <c r="S402" s="60"/>
      <c r="T402" s="60"/>
      <c r="U402" s="60"/>
      <c r="V402" s="60"/>
      <c r="W402" s="61"/>
      <c r="X402" s="60"/>
      <c r="Y402" s="60"/>
      <c r="Z402" s="60"/>
      <c r="AA402" s="60"/>
      <c r="AB402" s="60"/>
      <c r="AC402" s="60"/>
      <c r="AD402" s="66"/>
      <c r="AE402" s="60"/>
      <c r="AF402" s="61" t="str">
        <f aca="false">IF(AND(ISNUMBER(X402),ISNUMBER(Y402)),Y402-X402,"")</f>
        <v/>
      </c>
      <c r="AG402" s="62" t="str">
        <f aca="false">IF(ISNUMBER(AD402),AD402-(IF(AND(INDEX(TZ_DSTS,MATCH(P402,TZ_STN,0))&lt;&gt;"",(AD402-INDEX(TZ_STD,MATCH(P402,TZ_STN,0))/24)&gt;=INDEX(TZ_DSTS,MATCH(P402,TZ_STN,0)),(AD402-INDEX(TZ_STD,MATCH(P402,TZ_STN,0))/24)&lt;INDEX(TZ_DSTE,MATCH(P402,TZ_STN,0))),INDEX(TZ_DST,MATCH(P402,TZ_STN,0)),INDEX(TZ_STD,MATCH(P402,TZ_STN,0))))/24,"")</f>
        <v/>
      </c>
      <c r="AH402" s="65" t="str">
        <f aca="false">IFERROR(IF(N402="N/A – rule",IF(OR(TRIM(U402)="",TRIM(U402)="N/A",TRIM(U402)="Not started"),"N/A – RULE","INVALID – this check does not apply to this aircraft: clear the status (or correct the fleet on Flights)"),IF(TRIM(U402)="N/A",IF(AT402=0,"INVALID – N/A not permitted for this check",IF(AND(TRIM(AB402)&lt;&gt;"",TRIM(AB402)&lt;&gt;"Closed"),"INVALID – corrective action still open",IF(AND(NOT(OR(LEN(AZ402)&lt;15,ISNUMBER(MATCH(AZ402,L_Placeholder,0)))),BK402=0,CG402&gt;=8,NOT(OR(LEN(AU402)&lt;2,ISNUMBER(MATCH(AU402,L_Placeholder,0)))),BR402&gt;=3,NOT(OR(LEN(AX402)&lt;2,ISNUMBER(MATCH(AX402,L_Placeholder,0)))),BS402&gt;=3,TRIM(AE402)&lt;&gt;TRIM(T402),AX402&lt;&gt;AU402,CE402=0),"N/A – JUSTIFIED","INVALID – N/A needs a real, settled reason (not 'not applicable' / 'as above' / TBC), a named PIC and a different named verifier"))),IF(OR(TRIM(U402)="Pass",TRIM(U402)="Pass after CA"),IF(NOT(ISNUMBER(AD402)),"INVALID – completion time missing",IF(OR(OR(LEN(AU402)&lt;2,ISNUMBER(MATCH(AU402,L_Placeholder,0))),BR402&lt;3),"INVALID – PIC missing or not a named person (a role such as QA / CSM is not a name)",IF(OR(LEN(AV402)&lt;2,ISNUMBER(MATCH(AV402,L_Placeholder,0))),"INVALID – result / assessment missing",IF(OR(OR(LEN(AW402)&lt;3,ISNUMBER(MATCH(AW402,L_Placeholder,0))),SUMPRODUCT(--ISNUMBER(SEARCH(" "&amp;L_EvidencePhrase&amp;" ",BD402)))&gt;0,BI402=1),"INVALID – evidence missing, placeholder or not yet on file",IF(ISNA(MATCH(TRIM(S402),L_EvidenceType,0)),"INVALID – choose the evidence type from the list (column S)",IF(BL402=0,"INVALID – evidence ID must be the record's own ID only (e.g. SF-2210, IMG_2231, 1045521); a link / file name needs type 'Link / file path'",IF(OR(OR(LEN(AX402)&lt;2,ISNUMBER(MATCH(AX402,L_Placeholder,0))),BS402&lt;3),"INVALID – verifier missing or not a named person (a role such as QA / CSM is not a name)",IF(OR(AX402=AU402,CE402=1,AND(LEN(AU402)&gt;=4,ISNUMBER(SEARCH(AU402,AX402))),AND(LEN(AX402)&gt;=4,ISNUMBER(SEARCH(AX402,AU402)))),"INVALID – verifier must be a different, named person (not the PIC or a role)",IF(BH402=1,"INVALID – result not yet available (awaiting / TBC)",IF(BG402=1,"INVALID – result describes a problem: record Fail, then Pass after CA (or reword if it is not a problem)",IF(BV402=1,"INVALID – wording says not on board: an on-board confirmation needs the item loaded",IF(AND(AQ402=1,OR(OR(LEN(AY402)&lt;3,ISNUMBER(MATCH(AY402,L_Placeholder,0))),BJ402=1,BQ402=0)),"INVALID – batch ID missing, placeholder or not an ID (e.g. PASB-261008-BC-017)",IF(AND(AR402=1,OR(NOT(ISNUMBER(X402)),NOT(ISNUMBER(Y402)))),"INVALID – expected/actual qty missing",IF(AND(AR402=1,OR(X402&lt;=0,Y402&lt;0)),"INVALID – expected qty must be above 0 and actual not negative",IF(BB402&lt;&gt;"",BB402,IF(AND(AS402=1,Documents!$J$16&lt;&gt;"ON FILE"),"INVALID – GLD not on file (Documents sheet)",IF(AND(AS402=2,Documents!$O$16&lt;&gt;"ON FILE"),"INVALID – menu checklist not on file (Documents sheet)",IF(AND(AS402=3,NOT(ISNUMBER(Flights!$AX$16))),"INVALID – enter carrying flight KUL departure (Flights AX)",IF(AND(AS402=3,OR(Flights!$AZ$16&gt;Flights!$AA$16,Flights!$AX$16&lt;Flights!$AA$16-3)),"INVALID – carrying flight (Flights AX) cannot arrive before this leg's STD, or is over 3 days early",IF(AG402&gt;AsOfUTC,"INVALID – completion time is in the future",IF(AND(ISNUMBER(BY402),AG402&lt;BY402),IF(H402="Physical uplift","INVALID – before uplift window (cannot confirm loading)","INVALID – before valid window"),IF(AG402&gt;Flights!$AA$16,"INVALID – completed after departure (cannot establish readiness)",IF(AND(H402="Preparation",AG402&gt;=IF(ISNUMBER(Flights!$BA$16),MIN(Flights!$BA$16,Flights!$AA$16),Flights!$AA$16)),"INVALID – completed after loading / departure (cannot establish readiness)",IF(AND(H402="Physical uplift",AG402&gt;Q402),"INVALID – recorded after the loading flight departed",IF(AG402&gt;Q402,"COMPLETE – LATE","COMPLETE"))))))))))))))))))))))))),IF(TRIM(U402)="Fail","FAIL – DISCREPANCY",IF(AND(TRIM(U402)&lt;&gt;"",TRIM(U402)&lt;&gt;"Not started",TRIM(U402)&lt;&gt;"In progress"),"INVALID – unrecognised status (use the list)",IF(AsOfUTC&gt;Q402,"OVERDUE",IF(N402="Clarification required","OPEN – CLARIFICATION","OPEN"))))))),"INVALID – error value in an input cell")</f>
        <v>OPEN</v>
      </c>
      <c r="AI402" s="61" t="n">
        <f aca="false">IF(OR(AH402="N/A – RULE",AH402="N/A – JUSTIFIED"),0,1)</f>
        <v>1</v>
      </c>
      <c r="AJ402" s="61" t="n">
        <f aca="false">IF(LEFT(AH402,8)="COMPLETE",1,0)</f>
        <v>0</v>
      </c>
      <c r="AK402" s="61" t="n">
        <f aca="false">IF(AND(AI402=1,AJ402=0,AsOfUTC&gt;Q402),1,0)</f>
        <v>0</v>
      </c>
      <c r="AL402" s="61" t="n">
        <f aca="false">IFERROR(IF(AND(AI402=1,OR(TRIM(U402)="Fail",AND(TRIM(AB402)&lt;&gt;"",TRIM(AB402)&lt;&gt;"Closed"),AND(ISNUMBER(AF402),AF402&lt;&gt;0,TRIM(U402)&lt;&gt;"Pass after CA"))),1,0),1)</f>
        <v>0</v>
      </c>
      <c r="AM402" s="61" t="n">
        <f aca="false">IF(LEFT(AH402,7)="INVALID",1,0)</f>
        <v>0</v>
      </c>
      <c r="AN402" s="61" t="n">
        <f aca="false">IF(AND(N402="Clarification required",AI402=1,AJ402=0),1,0)</f>
        <v>0</v>
      </c>
      <c r="AO402" s="61" t="str">
        <f aca="false">IF(AK402=1,SUM(AK$5:AK402),"")</f>
        <v/>
      </c>
      <c r="AP402" s="61" t="str">
        <f aca="false">IF(AL402=1,SUM(AL$5:AL402),"")</f>
        <v/>
      </c>
      <c r="AQ402" s="61" t="n">
        <v>0</v>
      </c>
      <c r="AR402" s="61" t="n">
        <v>0</v>
      </c>
      <c r="AS402" s="61" t="n">
        <v>0</v>
      </c>
      <c r="AT402" s="61" t="n">
        <v>0</v>
      </c>
      <c r="AU402" s="61" t="str">
        <f aca="false">SUBSTITUTE(SUBSTITUTE(SUBSTITUTE(SUBSTITUTE(SUBSTITUTE(SUBSTITUTE(SUBSTITUTE(SUBSTITUTE(SUBSTITUTE(SUBSTITUTE(SUBSTITUTE(SUBSTITUTE(SUBSTITUTE(SUBSTITUTE(SUBSTITUTE(SUBSTITUTE(LOWER(T402&amp;""),CHAR(10),""),CHAR(13),""),CHAR(9),""),CHAR(160),"")," ",""),".",""),"-",""),"/",""),"?",""),"_",""),",",""),"[",""),"]",""),"(",""),")",""),"*","")</f>
        <v/>
      </c>
      <c r="AV402" s="61" t="str">
        <f aca="false">SUBSTITUTE(SUBSTITUTE(SUBSTITUTE(SUBSTITUTE(SUBSTITUTE(SUBSTITUTE(SUBSTITUTE(SUBSTITUTE(SUBSTITUTE(SUBSTITUTE(SUBSTITUTE(SUBSTITUTE(SUBSTITUTE(SUBSTITUTE(SUBSTITUTE(SUBSTITUTE(LOWER(V402&amp;""),CHAR(10),""),CHAR(13),""),CHAR(9),""),CHAR(160),"")," ",""),".",""),"-",""),"/",""),"?",""),"_",""),",",""),"[",""),"]",""),"(",""),")",""),"*","")</f>
        <v/>
      </c>
      <c r="AW402" s="61" t="str">
        <f aca="false">SUBSTITUTE(SUBSTITUTE(SUBSTITUTE(SUBSTITUTE(SUBSTITUTE(SUBSTITUTE(SUBSTITUTE(SUBSTITUTE(SUBSTITUTE(SUBSTITUTE(SUBSTITUTE(SUBSTITUTE(SUBSTITUTE(SUBSTITUTE(SUBSTITUTE(SUBSTITUTE(LOWER(Z402&amp;""),CHAR(10),""),CHAR(13),""),CHAR(9),""),CHAR(160),"")," ",""),".",""),"-",""),"/",""),"?",""),"_",""),",",""),"[",""),"]",""),"(",""),")",""),"*","")</f>
        <v/>
      </c>
      <c r="AX402" s="61" t="str">
        <f aca="false">SUBSTITUTE(SUBSTITUTE(SUBSTITUTE(SUBSTITUTE(SUBSTITUTE(SUBSTITUTE(SUBSTITUTE(SUBSTITUTE(SUBSTITUTE(SUBSTITUTE(SUBSTITUTE(SUBSTITUTE(SUBSTITUTE(SUBSTITUTE(SUBSTITUTE(SUBSTITUTE(LOWER(AE402&amp;""),CHAR(10),""),CHAR(13),""),CHAR(9),""),CHAR(160),"")," ",""),".",""),"-",""),"/",""),"?",""),"_",""),",",""),"[",""),"]",""),"(",""),")",""),"*","")</f>
        <v/>
      </c>
      <c r="AY402" s="61" t="str">
        <f aca="false">SUBSTITUTE(SUBSTITUTE(SUBSTITUTE(SUBSTITUTE(SUBSTITUTE(SUBSTITUTE(SUBSTITUTE(SUBSTITUTE(SUBSTITUTE(SUBSTITUTE(SUBSTITUTE(SUBSTITUTE(SUBSTITUTE(SUBSTITUTE(SUBSTITUTE(SUBSTITUTE(LOWER(W402&amp;""),CHAR(10),""),CHAR(13),""),CHAR(9),""),CHAR(160),"")," ",""),".",""),"-",""),"/",""),"?",""),"_",""),",",""),"[",""),"]",""),"(",""),")",""),"*","")</f>
        <v/>
      </c>
      <c r="AZ402" s="61" t="str">
        <f aca="false">SUBSTITUTE(SUBSTITUTE(SUBSTITUTE(SUBSTITUTE(SUBSTITUTE(SUBSTITUTE(SUBSTITUTE(SUBSTITUTE(SUBSTITUTE(SUBSTITUTE(SUBSTITUTE(SUBSTITUTE(SUBSTITUTE(SUBSTITUTE(SUBSTITUTE(SUBSTITUTE(LOWER(AC402&amp;""),CHAR(10),""),CHAR(13),""),CHAR(9),""),CHAR(160),"")," ",""),".",""),"-",""),"/",""),"?",""),"_",""),",",""),"[",""),"]",""),"(",""),")",""),"*","")</f>
        <v/>
      </c>
      <c r="BA402" s="61" t="str">
        <f aca="false">SUBSTITUTE(SUBSTITUTE(SUBSTITUTE(SUBSTITUTE(SUBSTITUTE(SUBSTITUTE(SUBSTITUTE(SUBSTITUTE(SUBSTITUTE(SUBSTITUTE(SUBSTITUTE(SUBSTITUTE(SUBSTITUTE(SUBSTITUTE(SUBSTITUTE(SUBSTITUTE(LOWER(AA402&amp;""),CHAR(10),""),CHAR(13),""),CHAR(9),""),CHAR(160),"")," ",""),".",""),"-",""),"/",""),"?",""),"_",""),",",""),"[",""),"]",""),"(",""),")",""),"*","")</f>
        <v/>
      </c>
      <c r="BB402" s="61" t="str">
        <f aca="false">IF(AND(TRIM(U402)="Pass",ISNUMBER(AF402)),IF(AF402&lt;&gt;0,"INVALID – qty variance: use Fail or Pass after CA",""),"")&amp;IF(AND(TRIM(U402)="Pass after CA",ISNUMBER(AF402)),IF(AF402&lt;&gt;0,"INVALID – after the corrective action the actual qty must equal expected (update Actual)",""),"")&amp;IF(AND(TRIM(U402)="Pass",TRIM(AB402)&lt;&gt;"",TRIM(AB402)&lt;&gt;"Closed"),"INVALID – corrective action not closed: use Fail, then Pass after CA","")&amp;IF(AND(LEN(BA402)&gt;=2,ISNA(MATCH(LEFT(BA402,255),L_Placeholder,0)),TRIM(AB402)=""),"INVALID – CA status missing for the recorded corrective action","")&amp;IF(AND(TRIM(U402)="Pass after CA",OR(OR(LEN(BA402)&lt;5,ISNUMBER(MATCH(BA402,L_Placeholder,0))),TRIM(AB402)&lt;&gt;"Closed")),"INVALID – corrective action not recorded/closed","")</f>
        <v/>
      </c>
      <c r="BC402" s="61" t="str">
        <f aca="false">" "&amp;TRIM(SUBSTITUTE(SUBSTITUTE(SUBSTITUTE(SUBSTITUTE(SUBSTITUTE(SUBSTITUTE(SUBSTITUTE(SUBSTITUTE(SUBSTITUTE(SUBSTITUTE(SUBSTITUTE(SUBSTITUTE(SUBSTITUTE(SUBSTITUTE(SUBSTITUTE(SUBSTITUTE(SUBSTITUTE(SUBSTITUTE(SUBSTITUTE(SUBSTITUTE(SUBSTITUTE(SUBSTITUTE(SUBSTITUTE(SUBSTITUTE(LOWER(V402&amp;""),CHAR(10)," "),CHAR(13)," "),CHAR(9)," "),CHAR(160)," "),"."," "),","," "),"-"," "),"/"," "),"("," "),")"," "),":"," "),";"," "),"_"," "),"–"," "),"?"," "),"!"," "),"*"," "),"["," "),"]"," "),"'"," "),"#"," "),"+"," "),"&amp;"," "),"\"," "))&amp;" "</f>
        <v>  </v>
      </c>
      <c r="BD402" s="61" t="str">
        <f aca="false">" "&amp;TRIM(SUBSTITUTE(SUBSTITUTE(SUBSTITUTE(SUBSTITUTE(SUBSTITUTE(SUBSTITUTE(SUBSTITUTE(SUBSTITUTE(SUBSTITUTE(SUBSTITUTE(SUBSTITUTE(SUBSTITUTE(SUBSTITUTE(SUBSTITUTE(SUBSTITUTE(SUBSTITUTE(SUBSTITUTE(SUBSTITUTE(SUBSTITUTE(SUBSTITUTE(SUBSTITUTE(SUBSTITUTE(SUBSTITUTE(SUBSTITUTE(LOWER(Z402&amp;""),CHAR(10)," "),CHAR(13)," "),CHAR(9)," "),CHAR(160)," "),"."," "),","," "),"-"," "),"/"," "),"("," "),")"," "),":"," "),";"," "),"_"," "),"–"," "),"?"," "),"!"," "),"*"," "),"["," "),"]"," "),"'"," "),"#"," "),"+"," "),"&amp;"," "),"\"," "))&amp;" "</f>
        <v>  </v>
      </c>
      <c r="BE402" s="61" t="str">
        <f aca="false">" "&amp;TRIM(SUBSTITUTE(SUBSTITUTE(SUBSTITUTE(SUBSTITUTE(SUBSTITUTE(SUBSTITUTE(SUBSTITUTE(SUBSTITUTE(SUBSTITUTE(SUBSTITUTE(SUBSTITUTE(SUBSTITUTE(SUBSTITUTE(SUBSTITUTE(SUBSTITUTE(SUBSTITUTE(SUBSTITUTE(SUBSTITUTE(SUBSTITUTE(SUBSTITUTE(SUBSTITUTE(SUBSTITUTE(SUBSTITUTE(SUBSTITUTE(LOWER(W402&amp;""),CHAR(10)," "),CHAR(13)," "),CHAR(9)," "),CHAR(160)," "),"."," "),","," "),"-"," "),"/"," "),"("," "),")"," "),":"," "),";"," "),"_"," "),"–"," "),"?"," "),"!"," "),"*"," "),"["," "),"]"," "),"'"," "),"#"," "),"+"," "),"&amp;"," "),"\"," "))&amp;" "</f>
        <v>  </v>
      </c>
      <c r="BF402" s="61" t="str">
        <f aca="false">" "&amp;TRIM(SUBSTITUTE(SUBSTITUTE(SUBSTITUTE(SUBSTITUTE(SUBSTITUTE(SUBSTITUTE(SUBSTITUTE(SUBSTITUTE(SUBSTITUTE(SUBSTITUTE(SUBSTITUTE(SUBSTITUTE(SUBSTITUTE(SUBSTITUTE(SUBSTITUTE(SUBSTITUTE(SUBSTITUTE(SUBSTITUTE(SUBSTITUTE(SUBSTITUTE(SUBSTITUTE(SUBSTITUTE(SUBSTITUTE(SUBSTITUTE(LOWER(AC402&amp;""),CHAR(10)," "),CHAR(13)," "),CHAR(9)," "),CHAR(160)," "),"."," "),","," "),"-"," "),"/"," "),"("," "),")"," "),":"," "),";"," "),"_"," "),"–"," "),"?"," "),"!"," "),"*"," "),"["," "),"]"," "),"'"," "),"#"," "),"+"," "),"&amp;"," "),"\"," "))&amp;" "</f>
        <v>  </v>
      </c>
      <c r="BG402" s="61" t="n">
        <f aca="false">IFERROR(IF(AND(TRIM(U402)="Pass",SUMPRODUCT((LEN(BC402)-LEN(SUBSTITUTE(BC402," "&amp;L_ResultBad&amp;" "," ")))/(LEN(L_ResultBad)+1))&gt;SUMPRODUCT((LEN(BC402)-LEN(SUBSTITUTE(BC402," "&amp;L_NegPhrase&amp;" "," ")))/(LEN(L_NegPhrase)+1))),1,0),0)</f>
        <v>0</v>
      </c>
      <c r="BH402" s="61" t="n">
        <f aca="false">IFERROR(IF(SUMPRODUCT((LEN(BC402)-LEN(SUBSTITUTE(BC402," "&amp;L_Pending&amp;" "," ")))/(LEN(L_Pending)+1))&gt;SUMPRODUCT((LEN(BC402)-LEN(SUBSTITUTE(BC402," "&amp;L_PendNeg&amp;" "," ")))/(LEN(L_PendNeg)+1))+SUMPRODUCT((LEN(BC402)-LEN(SUBSTITUTE(BC402," "&amp;L_PendPrep&amp;" "," ")))/(LEN(L_PendPrep)+1)),1,0),1)</f>
        <v>0</v>
      </c>
      <c r="BI402" s="61" t="n">
        <f aca="false">IFERROR(IF(SUMPRODUCT((LEN(BD402)-LEN(SUBSTITUTE(BD402," "&amp;L_PendStrict&amp;" "," ")))/(LEN(L_PendStrict)+1))&gt;SUMPRODUCT((LEN(BD402)-LEN(SUBSTITUTE(BD402," "&amp;L_PendNeg&amp;" "," ")))/(LEN(L_PendNeg)+1)),1,0),1)</f>
        <v>0</v>
      </c>
      <c r="BJ402" s="61" t="n">
        <f aca="false">IFERROR(IF(SUMPRODUCT((LEN(BE402)-LEN(SUBSTITUTE(BE402," "&amp;L_Pending&amp;" "," ")))/(LEN(L_Pending)+1))&gt;SUMPRODUCT((LEN(BE402)-LEN(SUBSTITUTE(BE402," "&amp;L_PendNeg&amp;" "," ")))/(LEN(L_PendNeg)+1))+SUMPRODUCT((LEN(BE402)-LEN(SUBSTITUTE(BE402," "&amp;L_PendPrep&amp;" "," ")))/(LEN(L_PendPrep)+1)),1,0),1)</f>
        <v>0</v>
      </c>
      <c r="BK402" s="61" t="n">
        <f aca="false">IFERROR(IF(SUMPRODUCT((LEN(BF402)-LEN(SUBSTITUTE(BF402," "&amp;L_PendStrict&amp;" "," ")))/(LEN(L_PendStrict)+1))&gt;SUMPRODUCT((LEN(BF402)-LEN(SUBSTITUTE(BF402," "&amp;L_PendNeg&amp;" "," ")))/(LEN(L_PendNeg)+1)),1,0),1)</f>
        <v>0</v>
      </c>
      <c r="BL402" s="61" t="n">
        <f aca="false">IF(ISNA(MATCH(TRIM(S402),L_EvidenceType,0)),0,BZ402)</f>
        <v>0</v>
      </c>
      <c r="BM402" s="61" t="str">
        <f aca="false">SUBSTITUTE(SUBSTITUTE(SUBSTITUTE(SUBSTITUTE(SUBSTITUTE(SUBSTITUTE(SUBSTITUTE(SUBSTITUTE(SUBSTITUTE(LOWER(Z402&amp;""),"1","0"),"2","0"),"3","0"),"4","0"),"5","0"),"6","0"),"7","0"),"8","0"),"9","0")</f>
        <v/>
      </c>
      <c r="BN402" s="61" t="str">
        <f aca="false">SUBSTITUTE(SUBSTITUTE(SUBSTITUTE(SUBSTITUTE(SUBSTITUTE(SUBSTITUTE(SUBSTITUTE(SUBSTITUTE(SUBSTITUTE(SUBSTITUTE(SUBSTITUTE(SUBSTITUTE(SUBSTITUTE(SUBSTITUTE(SUBSTITUTE(SUBSTITUTE(SUBSTITUTE(SUBSTITUTE(SUBSTITUTE(SUBSTITUTE(SUBSTITUTE(SUBSTITUTE(SUBSTITUTE(SUBSTITUTE(SUBSTITUTE(BM402,"b","a"),"c","a"),"d","a"),"e","a"),"f","a"),"g","a"),"h","a"),"i","a"),"j","a"),"k","a"),"l","a"),"m","a"),"n","a"),"o","a"),"p","a"),"q","a"),"r","a"),"s","a"),"t","a"),"u","a"),"v","a"),"w","a"),"x","a"),"y","a"),"z","a")</f>
        <v/>
      </c>
      <c r="BO402" s="61" t="str">
        <f aca="false">SUBSTITUTE(SUBSTITUTE(SUBSTITUTE(SUBSTITUTE(SUBSTITUTE(SUBSTITUTE(SUBSTITUTE(SUBSTITUTE(SUBSTITUTE(LOWER(W402&amp;""),"1","0"),"2","0"),"3","0"),"4","0"),"5","0"),"6","0"),"7","0"),"8","0"),"9","0")</f>
        <v/>
      </c>
      <c r="BP402" s="61" t="str">
        <f aca="false">SUBSTITUTE(SUBSTITUTE(SUBSTITUTE(SUBSTITUTE(SUBSTITUTE(SUBSTITUTE(SUBSTITUTE(SUBSTITUTE(SUBSTITUTE(SUBSTITUTE(SUBSTITUTE(SUBSTITUTE(SUBSTITUTE(SUBSTITUTE(SUBSTITUTE(SUBSTITUTE(SUBSTITUTE(SUBSTITUTE(SUBSTITUTE(SUBSTITUTE(SUBSTITUTE(SUBSTITUTE(SUBSTITUTE(SUBSTITUTE(SUBSTITUTE(BO402,"b","a"),"c","a"),"d","a"),"e","a"),"f","a"),"g","a"),"h","a"),"i","a"),"j","a"),"k","a"),"l","a"),"m","a"),"n","a"),"o","a"),"p","a"),"q","a"),"r","a"),"s","a"),"t","a"),"u","a"),"v","a"),"w","a"),"x","a"),"y","a"),"z","a")</f>
        <v/>
      </c>
      <c r="BQ402" s="61" t="n">
        <f aca="false">IFERROR(IF(AND(ISERROR(SEARCH(" mh"," "&amp;LOWER(W402))),ISNA(MATCH(LEFT(TRIM(BP402),255),{"0000a","000a","00a","0000aa","000aa","00aa","0aa","0000aaa","000aaa","00a00","0a00","0000-0000","00:00","a00","a0","00.00.0000","00/00/0000","00-00-0000","0000-00-00","0000/00/00","0000.00.00","00.00.00","00/00/00","00-00-00","0.00.0000","0/00/0000","0-00-0000"},0)),ISNA(MATCH(LEFT(TRIM(CA402),255),{"0000a","000a","00a","0000aa","000aa","00aa","0aa","0000aaa","000aaa","00a00","0a00","0000-0000","00:00","a00","a0","00.00.0000","00/00/0000","00-00-0000","0000-00-00","0000/00/00","0000.00.00","00.00.00","00/00/00","00-00-00","0.00.0000","0/00/0000","0-00-0000"},0)),LEN(CB402)&gt;=3,NOT(OR(SUBSTITUTE(CB402,"0","")="",AND(LEN(CB402)&gt;=4,CB402=REPT(LEFT(CB402),LEN(CB402))),ISNUMBER(MATCH(CB402,{"123","1234","12345","123456","1234567","12345678","0123","01234","012345","98765","987654","54321"},0)),AND(LEN(CB402)=8,LEFT(CB402,3)="202"))),OR(AND((LEN(CA402)-LEN(SUBSTITUTE(CA402,"a","")))&gt;=1,SUMPRODUCT(--ISNUMBER(SEARCH({"a0","a-0","a_0","a/0","a.0","a#0","0a","0-a","0_a","0/a"},BP402)))&gt;0),ISNUMBER(SEARCH("000000",BP402)))),1,0),0)</f>
        <v>0</v>
      </c>
      <c r="BR402" s="61" t="n">
        <f aca="false">IFERROR(LEN(SUBSTITUTE(CC402," ",""))-SUMPRODUCT((LEN(CC402)-LEN(SUBSTITUTE(CC402," "&amp;L_Role&amp;" "," ")))/(LEN(L_Role)+1)*LEN(L_Role)),0)</f>
        <v>0</v>
      </c>
      <c r="BS402" s="61" t="n">
        <f aca="false">IFERROR(LEN(SUBSTITUTE(CD402," ",""))-SUMPRODUCT((LEN(CD402)-LEN(SUBSTITUTE(CD402," "&amp;L_Role&amp;" "," ")))/(LEN(L_Role)+1)*LEN(L_Role)),0)</f>
        <v>0</v>
      </c>
      <c r="BT4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402,"revision",""),"version",""),"jan",""),"feb",""),"mar",""),"apr",""),"may",""),"jun",""),"jul",""),"aug",""),"sep",""),"oct",""),"nov",""),"dec",""),"utc",""),"gmt",""),"myt",""),"bst",""),"rev",""),"ver",""),"b","a"),"c","a"),"d","a"),"e","a"),"f","a"),"g","a"),"h","a"),"i","a"),"j","a"),"k","a"),"l","a"),"m","a"),"n","a"),"o","a"),"p","a"),"q","a"),"r","a"),"s","a"),"t","a"),"u","a"),"v","a"),"w","a"),"x","a"),"y","a"),"z","a")</f>
        <v/>
      </c>
      <c r="BU402" s="61" t="str">
        <f aca="false">SUBSTITUTE(SUBSTITUTE(SUBSTITUTE(SUBSTITUTE(SUBSTITUTE(SUBSTITUTE(SUBSTITUTE(SUBSTITUTE(SUBSTITUTE(SUBSTITUTE(LEFT(BM402,FIND("0",BM402&amp;"0")-1),"-",""),"_",""),"/",""),".",""),"#",""),"\\",""),":","")," ",""),"(",""),")","")</f>
        <v/>
      </c>
      <c r="BV402" s="61" t="n">
        <f aca="false">0</f>
        <v>0</v>
      </c>
      <c r="BW4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402&amp;""),"a",""),"b",""),"c",""),"d",""),"e",""),"f",""),"g",""),"h",""),"i",""),"j",""),"k",""),"l",""),"m",""),"n",""),"o",""),"p",""),"q",""),"r",""),"s",""),"t",""),"u",""),"v",""),"w",""),"x",""),"y",""),"z",""),"-",""),"_",""),"/",""),".",""),"#",""),"\\",""),":","")," ",""),"(",""),")","")</f>
        <v/>
      </c>
      <c r="BX402" s="61" t="str">
        <f aca="false">SUBSTITUTE(SUBSTITUTE(SUBSTITUTE(SUBSTITUTE(SUBSTITUTE(SUBSTITUTE(SUBSTITUTE(SUBSTITUTE(SUBSTITUTE(SUBSTITUTE(SUBSTITUTE(BM402,"0",""),"-",""),"_",""),"/",""),".",""),"#",""),"\\",""),":","")," ",""),"(",""),")","")</f>
        <v/>
      </c>
      <c r="BY402" s="62" t="n">
        <f aca="false">Q402-T12EarlyH/24</f>
        <v>46306.6006944444</v>
      </c>
      <c r="BZ402" s="61" t="n">
        <f aca="false">IFERROR(IF(IF(TRIM(S402)="Link / file path",AND(LEN(TRIM(Z402))&gt;=5,SUMPRODUCT(--ISNUMBER(SEARCH({"http","www.","\\",":\",".pdf",".jpg",".jpeg",".png",".heic",".xls",".doc",".msg",".eml",".ppt",".txt",".zip"},Z402)))&gt;0),AND(ISERROR(FIND(" ",TRIM(Z402))),NOT(OR(SUMPRODUCT(--ISNUMBER(FIND({",",";","&amp;","+"},Z402)))&gt;0,SUMPRODUCT(--ISNUMBER(SEARCH({"0/aa","0\\aa"},BN402)))&gt;0)),NOT(SUMPRODUCT(--ISNUMBER(SEARCH({"http","www.","\\",":\",".pdf",".jpg",".jpeg",".png",".heic",".xls",".doc",".msg",".eml",".ppt",".txt",".zip"},Z402)))&gt;0),NOT(LOWER(TRIM(Z402))=LOWER(Flights!$F$16)),ISNA(MATCH(BU402,{"mh","rev","revision","ver","version","v","r","a","b","seat","tray","row","gate","bay","stand","page","pg","item","line","no","cart","galley","flight","flt","table","box","bag","oven","etd","eta","std","sta","atd","ata","qty","pax","x","time","tel","ph","mob","day","wk","week","utc","gmt","myt","lt"},0)),NOT(OR(ISNUMBER(MATCH(LEFT(BN402,255),{"0000a","000a","00a","0000aa","000aa","00aa","0aa","0000aaa","000aaa","00a00","0a00","0000-0000","00:00","a00","a0","00.00.0000","00/00/0000","00-00-0000","0000-00-00","0000/00/00","0000.00.00","00.00.00","00/00/00","00-00-00","0.00.0000","0/00/0000","0-00-0000"},0)),ISNUMBER(MATCH(LEFT(BT402,255),{"0000a","000a","00a","0000aa","000aa","00aa","0aa","0000aaa","000aaa","00a00","0a00","0000-0000","00:00","a00","a0","00.00.0000","00/00/0000","00-00-0000","0000-00-00","0000/00/00","0000.00.00","00.00.00","00/00/00","00-00-00","0.00.0000","0/00/0000","0-00-0000"},0)))),NOT(OR(AND(BW402&lt;&gt;"",SUBSTITUTE(BW402,"0","")=""),AND(LEN(BW402)&gt;=4,BW402=REPT(LEFT(BW402),LEN(BW402))),ISNUMBER(MATCH(BW402,{"123","1234","12345","123456","1234567","12345678","0123","01234","012345","98765","987654","54321"},0)),ISNUMBER(MATCH(BX402,{"x","xx","xxx","xxxx","xxxxx","abc","abcd","nil","na","nan","test","tbc","tba","tbd","dummy","sample","example","eg","zz","zzz","none","null","xyz","qwe","asd","id","ref"},0)),AND(LEN(BW402)=8,BX402="",OR(LEFT(BW402,3)="202",ISNUMBER(MATCH(RIGHT(BW402,4),{"2025","2026","2027"},0)))))),OR(AND((LEN(BT402)-LEN(SUBSTITUTE(BT402,"a","")))&gt;=1,(LEN(BN402)-LEN(SUBSTITUTE(BN402,"0","")))&gt;=2,SUMPRODUCT(--ISNUMBER(SEARCH({"a0","a-0","a_0","a/0","a.0","a#0","0a","0-a","0_a","0/a"},BN402)))&gt;0),AND((LEN(BN402)-LEN(SUBSTITUTE(BN402,"a","")))=0,(LEN(BN402)-LEN(SUBSTITUTE(BN402,"0","")))&gt;=5)))),1,0),0)</f>
        <v>0</v>
      </c>
      <c r="CA4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402,"revision",""),"version",""),"jan",""),"feb",""),"mar",""),"apr",""),"may",""),"jun",""),"jul",""),"aug",""),"sep",""),"oct",""),"nov",""),"dec",""),"utc",""),"gmt",""),"myt",""),"bst",""),"rev",""),"ver",""),"b","a"),"c","a"),"d","a"),"e","a"),"f","a"),"g","a"),"h","a"),"i","a"),"j","a"),"k","a"),"l","a"),"m","a"),"n","a"),"o","a"),"p","a"),"q","a"),"r","a"),"s","a"),"t","a"),"u","a"),"v","a"),"w","a"),"x","a"),"y","a"),"z","a")</f>
        <v/>
      </c>
      <c r="CB4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402&amp;""),"a",""),"b",""),"c",""),"d",""),"e",""),"f",""),"g",""),"h",""),"i",""),"j",""),"k",""),"l",""),"m",""),"n",""),"o",""),"p",""),"q",""),"r",""),"s",""),"t",""),"u",""),"v",""),"w",""),"x",""),"y",""),"z",""),"-",""),"_",""),"/",""),".",""),"#",""),"\\",""),":","")," ",""),"(",""),")","")</f>
        <v/>
      </c>
      <c r="CC402" s="0" t="str">
        <f aca="false">" "&amp;TRIM(SUBSTITUTE(SUBSTITUTE(SUBSTITUTE(SUBSTITUTE(SUBSTITUTE(SUBSTITUTE(SUBSTITUTE(SUBSTITUTE(SUBSTITUTE(SUBSTITUTE(SUBSTITUTE(SUBSTITUTE(SUBSTITUTE(SUBSTITUTE(SUBSTITUTE(SUBSTITUTE(SUBSTITUTE(SUBSTITUTE(SUBSTITUTE(SUBSTITUTE(SUBSTITUTE(SUBSTITUTE(SUBSTITUTE(SUBSTITUTE(LOWER(T402&amp;""),CHAR(10)," "),CHAR(13)," "),CHAR(9)," "),CHAR(160)," "),"."," "),","," "),"-"," "),"/"," "),"("," "),")"," "),":"," "),";"," "),"_"," "),"–"," "),"?"," "),"!"," "),"*"," "),"["," "),"]"," "),"'"," "),"#"," "),"+"," "),"&amp;"," "),"\"," "))&amp;" "</f>
        <v>  </v>
      </c>
      <c r="CD402" s="0" t="str">
        <f aca="false">" "&amp;TRIM(SUBSTITUTE(SUBSTITUTE(SUBSTITUTE(SUBSTITUTE(SUBSTITUTE(SUBSTITUTE(SUBSTITUTE(SUBSTITUTE(SUBSTITUTE(SUBSTITUTE(SUBSTITUTE(SUBSTITUTE(SUBSTITUTE(SUBSTITUTE(SUBSTITUTE(SUBSTITUTE(SUBSTITUTE(SUBSTITUTE(SUBSTITUTE(SUBSTITUTE(SUBSTITUTE(SUBSTITUTE(SUBSTITUTE(SUBSTITUTE(LOWER(AE402&amp;""),CHAR(10)," "),CHAR(13)," "),CHAR(9)," "),CHAR(160)," "),"."," "),","," "),"-"," "),"/"," "),"("," "),")"," "),":"," "),";"," "),"_"," "),"–"," "),"?"," "),"!"," "),"*"," "),"["," "),"]"," "),"'"," "),"#"," "),"+"," "),"&amp;"," "),"\"," "))&amp;" "</f>
        <v>  </v>
      </c>
      <c r="CE402" s="68" t="n">
        <f aca="false">IFERROR(IF(AND(LEN(AU402)&gt;0,LEN(AU402)=LEN(AX402),OR(TRIM(MID(SUBSTITUTE(TRIM(CC402)," ",REPT(" ",60)),1,60))="",ISNUMBER(SEARCH(" "&amp;TRIM(MID(SUBSTITUTE(TRIM(CC402)," ",REPT(" ",60)),1,60))&amp;" ",CD402))),OR(TRIM(MID(SUBSTITUTE(TRIM(CC402)," ",REPT(" ",60)),61,60))="",ISNUMBER(SEARCH(" "&amp;TRIM(MID(SUBSTITUTE(TRIM(CC402)," ",REPT(" ",60)),61,60))&amp;" ",CD402))),OR(TRIM(MID(SUBSTITUTE(TRIM(CC402)," ",REPT(" ",60)),121,60))="",ISNUMBER(SEARCH(" "&amp;TRIM(MID(SUBSTITUTE(TRIM(CC402)," ",REPT(" ",60)),121,60))&amp;" ",CD402)))),1,0),0)</f>
        <v>0</v>
      </c>
      <c r="CG402" s="68" t="n">
        <f aca="false">IFERROR(LEN(SUBSTITUTE(BF402," ",""))-SUMPRODUCT((LEN(BF402)-LEN(SUBSTITUTE(BF402," "&amp;L_NAFiller&amp;" "," ")))/(LEN(L_NAFiller)+1)*LEN(L_NAFiller)),0)</f>
        <v>0</v>
      </c>
    </row>
    <row r="403" customFormat="false" ht="41.25" hidden="false" customHeight="true" outlineLevel="0" collapsed="false">
      <c r="A403" s="57" t="s">
        <v>1025</v>
      </c>
      <c r="B403" s="57" t="s">
        <v>261</v>
      </c>
      <c r="C403" s="57" t="str">
        <f aca="false">Flights!$F$16</f>
        <v>MH0139</v>
      </c>
      <c r="D403" s="58" t="n">
        <f aca="false">Flights!$D$16</f>
        <v>46307</v>
      </c>
      <c r="E403" s="57" t="str">
        <f aca="false">Flights!$G$16&amp;"-"&amp;Flights!$H$16</f>
        <v>KUL-ADL</v>
      </c>
      <c r="F403" s="57" t="str">
        <f aca="false">Flights!$K$16</f>
        <v>BC</v>
      </c>
      <c r="G403" s="57" t="s">
        <v>420</v>
      </c>
      <c r="H403" s="57" t="s">
        <v>378</v>
      </c>
      <c r="I403" s="57" t="s">
        <v>499</v>
      </c>
      <c r="J403" s="57" t="s">
        <v>515</v>
      </c>
      <c r="K403" s="67" t="s">
        <v>501</v>
      </c>
      <c r="L403" s="67" t="s">
        <v>1026</v>
      </c>
      <c r="M403" s="67" t="s">
        <v>451</v>
      </c>
      <c r="N403" s="67" t="s">
        <v>383</v>
      </c>
      <c r="O403" s="67" t="s">
        <v>503</v>
      </c>
      <c r="P403" s="57" t="s">
        <v>187</v>
      </c>
      <c r="Q403" s="59" t="n">
        <f aca="false">ROUND((Flights!$AE$16)*1440,0)/1440</f>
        <v>46307.1006944444</v>
      </c>
      <c r="R403" s="59" t="n">
        <f aca="false">Q403+(IF(AND(INDEX(TZ_DSTS,MATCH(P403,TZ_STN,0))&lt;&gt;"",Q403&gt;=INDEX(TZ_DSTS,MATCH(P403,TZ_STN,0)),Q403&lt;INDEX(TZ_DSTE,MATCH(P403,TZ_STN,0))),INDEX(TZ_DST,MATCH(P403,TZ_STN,0)),INDEX(TZ_STD,MATCH(P403,TZ_STN,0))))/24</f>
        <v>46307.4340277778</v>
      </c>
      <c r="S403" s="60"/>
      <c r="T403" s="60"/>
      <c r="U403" s="60"/>
      <c r="V403" s="60"/>
      <c r="W403" s="61"/>
      <c r="X403" s="60"/>
      <c r="Y403" s="60"/>
      <c r="Z403" s="60"/>
      <c r="AA403" s="60"/>
      <c r="AB403" s="60"/>
      <c r="AC403" s="60"/>
      <c r="AD403" s="66"/>
      <c r="AE403" s="60"/>
      <c r="AF403" s="61" t="str">
        <f aca="false">IF(AND(ISNUMBER(X403),ISNUMBER(Y403)),Y403-X403,"")</f>
        <v/>
      </c>
      <c r="AG403" s="62" t="str">
        <f aca="false">IF(ISNUMBER(AD403),AD403-(IF(AND(INDEX(TZ_DSTS,MATCH(P403,TZ_STN,0))&lt;&gt;"",(AD403-INDEX(TZ_STD,MATCH(P403,TZ_STN,0))/24)&gt;=INDEX(TZ_DSTS,MATCH(P403,TZ_STN,0)),(AD403-INDEX(TZ_STD,MATCH(P403,TZ_STN,0))/24)&lt;INDEX(TZ_DSTE,MATCH(P403,TZ_STN,0))),INDEX(TZ_DST,MATCH(P403,TZ_STN,0)),INDEX(TZ_STD,MATCH(P403,TZ_STN,0))))/24,"")</f>
        <v/>
      </c>
      <c r="AH403" s="65" t="str">
        <f aca="false">IFERROR(IF(N403="N/A – rule",IF(OR(TRIM(U403)="",TRIM(U403)="N/A",TRIM(U403)="Not started"),"N/A – RULE","INVALID – this check does not apply to this aircraft: clear the status (or correct the fleet on Flights)"),IF(TRIM(U403)="N/A",IF(AT403=0,"INVALID – N/A not permitted for this check",IF(AND(TRIM(AB403)&lt;&gt;"",TRIM(AB403)&lt;&gt;"Closed"),"INVALID – corrective action still open",IF(AND(NOT(OR(LEN(AZ403)&lt;15,ISNUMBER(MATCH(AZ403,L_Placeholder,0)))),BK403=0,CG403&gt;=8,NOT(OR(LEN(AU403)&lt;2,ISNUMBER(MATCH(AU403,L_Placeholder,0)))),BR403&gt;=3,NOT(OR(LEN(AX403)&lt;2,ISNUMBER(MATCH(AX403,L_Placeholder,0)))),BS403&gt;=3,TRIM(AE403)&lt;&gt;TRIM(T403),AX403&lt;&gt;AU403,CE403=0),"N/A – JUSTIFIED","INVALID – N/A needs a real, settled reason (not 'not applicable' / 'as above' / TBC), a named PIC and a different named verifier"))),IF(OR(TRIM(U403)="Pass",TRIM(U403)="Pass after CA"),IF(NOT(ISNUMBER(AD403)),"INVALID – completion time missing",IF(OR(OR(LEN(AU403)&lt;2,ISNUMBER(MATCH(AU403,L_Placeholder,0))),BR403&lt;3),"INVALID – PIC missing or not a named person (a role such as QA / CSM is not a name)",IF(OR(LEN(AV403)&lt;2,ISNUMBER(MATCH(AV403,L_Placeholder,0))),"INVALID – result / assessment missing",IF(OR(OR(LEN(AW403)&lt;3,ISNUMBER(MATCH(AW403,L_Placeholder,0))),SUMPRODUCT(--ISNUMBER(SEARCH(" "&amp;L_EvidencePhrase&amp;" ",BD403)))&gt;0,BI403=1),"INVALID – evidence missing, placeholder or not yet on file",IF(ISNA(MATCH(TRIM(S403),L_EvidenceType,0)),"INVALID – choose the evidence type from the list (column S)",IF(BL403=0,"INVALID – evidence ID must be the record's own ID only (e.g. SF-2210, IMG_2231, 1045521); a link / file name needs type 'Link / file path'",IF(OR(OR(LEN(AX403)&lt;2,ISNUMBER(MATCH(AX403,L_Placeholder,0))),BS403&lt;3),"INVALID – verifier missing or not a named person (a role such as QA / CSM is not a name)",IF(OR(AX403=AU403,CE403=1,AND(LEN(AU403)&gt;=4,ISNUMBER(SEARCH(AU403,AX403))),AND(LEN(AX403)&gt;=4,ISNUMBER(SEARCH(AX403,AU403)))),"INVALID – verifier must be a different, named person (not the PIC or a role)",IF(BH403=1,"INVALID – result not yet available (awaiting / TBC)",IF(BG403=1,"INVALID – result describes a problem: record Fail, then Pass after CA (or reword if it is not a problem)",IF(BV403=1,"INVALID – wording says not on board: an on-board confirmation needs the item loaded",IF(AND(AQ403=1,OR(OR(LEN(AY403)&lt;3,ISNUMBER(MATCH(AY403,L_Placeholder,0))),BJ403=1,BQ403=0)),"INVALID – batch ID missing, placeholder or not an ID (e.g. PASB-261008-BC-017)",IF(AND(AR403=1,OR(NOT(ISNUMBER(X403)),NOT(ISNUMBER(Y403)))),"INVALID – expected/actual qty missing",IF(AND(AR403=1,OR(X403&lt;=0,Y403&lt;0)),"INVALID – expected qty must be above 0 and actual not negative",IF(BB403&lt;&gt;"",BB403,IF(AND(AS403=1,Documents!$J$16&lt;&gt;"ON FILE"),"INVALID – GLD not on file (Documents sheet)",IF(AND(AS403=2,Documents!$O$16&lt;&gt;"ON FILE"),"INVALID – menu checklist not on file (Documents sheet)",IF(AND(AS403=3,NOT(ISNUMBER(Flights!$AX$16))),"INVALID – enter carrying flight KUL departure (Flights AX)",IF(AND(AS403=3,OR(Flights!$AZ$16&gt;Flights!$AA$16,Flights!$AX$16&lt;Flights!$AA$16-3)),"INVALID – carrying flight (Flights AX) cannot arrive before this leg's STD, or is over 3 days early",IF(AG403&gt;AsOfUTC,"INVALID – completion time is in the future",IF(AND(ISNUMBER(BY403),AG403&lt;BY403),IF(H403="Physical uplift","INVALID – before uplift window (cannot confirm loading)","INVALID – before valid window"),IF(AG403&gt;Flights!$AA$16,"INVALID – completed after departure (cannot establish readiness)",IF(AND(H403="Preparation",AG403&gt;=IF(ISNUMBER(Flights!$BA$16),MIN(Flights!$BA$16,Flights!$AA$16),Flights!$AA$16)),"INVALID – completed after loading / departure (cannot establish readiness)",IF(AND(H403="Physical uplift",AG403&gt;Q403),"INVALID – recorded after the loading flight departed",IF(AG403&gt;Q403,"COMPLETE – LATE","COMPLETE"))))))))))))))))))))))))),IF(TRIM(U403)="Fail","FAIL – DISCREPANCY",IF(AND(TRIM(U403)&lt;&gt;"",TRIM(U403)&lt;&gt;"Not started",TRIM(U403)&lt;&gt;"In progress"),"INVALID – unrecognised status (use the list)",IF(AsOfUTC&gt;Q403,"OVERDUE",IF(N403="Clarification required","OPEN – CLARIFICATION","OPEN"))))))),"INVALID – error value in an input cell")</f>
        <v>OPEN</v>
      </c>
      <c r="AI403" s="61" t="n">
        <f aca="false">IF(OR(AH403="N/A – RULE",AH403="N/A – JUSTIFIED"),0,1)</f>
        <v>1</v>
      </c>
      <c r="AJ403" s="61" t="n">
        <f aca="false">IF(LEFT(AH403,8)="COMPLETE",1,0)</f>
        <v>0</v>
      </c>
      <c r="AK403" s="61" t="n">
        <f aca="false">IF(AND(AI403=1,AJ403=0,AsOfUTC&gt;Q403),1,0)</f>
        <v>0</v>
      </c>
      <c r="AL403" s="61" t="n">
        <f aca="false">IFERROR(IF(AND(AI403=1,OR(TRIM(U403)="Fail",AND(TRIM(AB403)&lt;&gt;"",TRIM(AB403)&lt;&gt;"Closed"),AND(ISNUMBER(AF403),AF403&lt;&gt;0,TRIM(U403)&lt;&gt;"Pass after CA"))),1,0),1)</f>
        <v>0</v>
      </c>
      <c r="AM403" s="61" t="n">
        <f aca="false">IF(LEFT(AH403,7)="INVALID",1,0)</f>
        <v>0</v>
      </c>
      <c r="AN403" s="61" t="n">
        <f aca="false">IF(AND(N403="Clarification required",AI403=1,AJ403=0),1,0)</f>
        <v>0</v>
      </c>
      <c r="AO403" s="61" t="str">
        <f aca="false">IF(AK403=1,SUM(AK$5:AK403),"")</f>
        <v/>
      </c>
      <c r="AP403" s="61" t="str">
        <f aca="false">IF(AL403=1,SUM(AL$5:AL403),"")</f>
        <v/>
      </c>
      <c r="AQ403" s="61" t="n">
        <v>0</v>
      </c>
      <c r="AR403" s="61" t="n">
        <v>0</v>
      </c>
      <c r="AS403" s="61" t="n">
        <v>0</v>
      </c>
      <c r="AT403" s="61" t="n">
        <v>0</v>
      </c>
      <c r="AU403" s="61" t="str">
        <f aca="false">SUBSTITUTE(SUBSTITUTE(SUBSTITUTE(SUBSTITUTE(SUBSTITUTE(SUBSTITUTE(SUBSTITUTE(SUBSTITUTE(SUBSTITUTE(SUBSTITUTE(SUBSTITUTE(SUBSTITUTE(SUBSTITUTE(SUBSTITUTE(SUBSTITUTE(SUBSTITUTE(LOWER(T403&amp;""),CHAR(10),""),CHAR(13),""),CHAR(9),""),CHAR(160),"")," ",""),".",""),"-",""),"/",""),"?",""),"_",""),",",""),"[",""),"]",""),"(",""),")",""),"*","")</f>
        <v/>
      </c>
      <c r="AV403" s="61" t="str">
        <f aca="false">SUBSTITUTE(SUBSTITUTE(SUBSTITUTE(SUBSTITUTE(SUBSTITUTE(SUBSTITUTE(SUBSTITUTE(SUBSTITUTE(SUBSTITUTE(SUBSTITUTE(SUBSTITUTE(SUBSTITUTE(SUBSTITUTE(SUBSTITUTE(SUBSTITUTE(SUBSTITUTE(LOWER(V403&amp;""),CHAR(10),""),CHAR(13),""),CHAR(9),""),CHAR(160),"")," ",""),".",""),"-",""),"/",""),"?",""),"_",""),",",""),"[",""),"]",""),"(",""),")",""),"*","")</f>
        <v/>
      </c>
      <c r="AW403" s="61" t="str">
        <f aca="false">SUBSTITUTE(SUBSTITUTE(SUBSTITUTE(SUBSTITUTE(SUBSTITUTE(SUBSTITUTE(SUBSTITUTE(SUBSTITUTE(SUBSTITUTE(SUBSTITUTE(SUBSTITUTE(SUBSTITUTE(SUBSTITUTE(SUBSTITUTE(SUBSTITUTE(SUBSTITUTE(LOWER(Z403&amp;""),CHAR(10),""),CHAR(13),""),CHAR(9),""),CHAR(160),"")," ",""),".",""),"-",""),"/",""),"?",""),"_",""),",",""),"[",""),"]",""),"(",""),")",""),"*","")</f>
        <v/>
      </c>
      <c r="AX403" s="61" t="str">
        <f aca="false">SUBSTITUTE(SUBSTITUTE(SUBSTITUTE(SUBSTITUTE(SUBSTITUTE(SUBSTITUTE(SUBSTITUTE(SUBSTITUTE(SUBSTITUTE(SUBSTITUTE(SUBSTITUTE(SUBSTITUTE(SUBSTITUTE(SUBSTITUTE(SUBSTITUTE(SUBSTITUTE(LOWER(AE403&amp;""),CHAR(10),""),CHAR(13),""),CHAR(9),""),CHAR(160),"")," ",""),".",""),"-",""),"/",""),"?",""),"_",""),",",""),"[",""),"]",""),"(",""),")",""),"*","")</f>
        <v/>
      </c>
      <c r="AY403" s="61" t="str">
        <f aca="false">SUBSTITUTE(SUBSTITUTE(SUBSTITUTE(SUBSTITUTE(SUBSTITUTE(SUBSTITUTE(SUBSTITUTE(SUBSTITUTE(SUBSTITUTE(SUBSTITUTE(SUBSTITUTE(SUBSTITUTE(SUBSTITUTE(SUBSTITUTE(SUBSTITUTE(SUBSTITUTE(LOWER(W403&amp;""),CHAR(10),""),CHAR(13),""),CHAR(9),""),CHAR(160),"")," ",""),".",""),"-",""),"/",""),"?",""),"_",""),",",""),"[",""),"]",""),"(",""),")",""),"*","")</f>
        <v/>
      </c>
      <c r="AZ403" s="61" t="str">
        <f aca="false">SUBSTITUTE(SUBSTITUTE(SUBSTITUTE(SUBSTITUTE(SUBSTITUTE(SUBSTITUTE(SUBSTITUTE(SUBSTITUTE(SUBSTITUTE(SUBSTITUTE(SUBSTITUTE(SUBSTITUTE(SUBSTITUTE(SUBSTITUTE(SUBSTITUTE(SUBSTITUTE(LOWER(AC403&amp;""),CHAR(10),""),CHAR(13),""),CHAR(9),""),CHAR(160),"")," ",""),".",""),"-",""),"/",""),"?",""),"_",""),",",""),"[",""),"]",""),"(",""),")",""),"*","")</f>
        <v/>
      </c>
      <c r="BA403" s="61" t="str">
        <f aca="false">SUBSTITUTE(SUBSTITUTE(SUBSTITUTE(SUBSTITUTE(SUBSTITUTE(SUBSTITUTE(SUBSTITUTE(SUBSTITUTE(SUBSTITUTE(SUBSTITUTE(SUBSTITUTE(SUBSTITUTE(SUBSTITUTE(SUBSTITUTE(SUBSTITUTE(SUBSTITUTE(LOWER(AA403&amp;""),CHAR(10),""),CHAR(13),""),CHAR(9),""),CHAR(160),"")," ",""),".",""),"-",""),"/",""),"?",""),"_",""),",",""),"[",""),"]",""),"(",""),")",""),"*","")</f>
        <v/>
      </c>
      <c r="BB403" s="61" t="str">
        <f aca="false">IF(AND(TRIM(U403)="Pass",ISNUMBER(AF403)),IF(AF403&lt;&gt;0,"INVALID – qty variance: use Fail or Pass after CA",""),"")&amp;IF(AND(TRIM(U403)="Pass after CA",ISNUMBER(AF403)),IF(AF403&lt;&gt;0,"INVALID – after the corrective action the actual qty must equal expected (update Actual)",""),"")&amp;IF(AND(TRIM(U403)="Pass",TRIM(AB403)&lt;&gt;"",TRIM(AB403)&lt;&gt;"Closed"),"INVALID – corrective action not closed: use Fail, then Pass after CA","")&amp;IF(AND(LEN(BA403)&gt;=2,ISNA(MATCH(LEFT(BA403,255),L_Placeholder,0)),TRIM(AB403)=""),"INVALID – CA status missing for the recorded corrective action","")&amp;IF(AND(TRIM(U403)="Pass after CA",OR(OR(LEN(BA403)&lt;5,ISNUMBER(MATCH(BA403,L_Placeholder,0))),TRIM(AB403)&lt;&gt;"Closed")),"INVALID – corrective action not recorded/closed","")</f>
        <v/>
      </c>
      <c r="BC403" s="61" t="str">
        <f aca="false">" "&amp;TRIM(SUBSTITUTE(SUBSTITUTE(SUBSTITUTE(SUBSTITUTE(SUBSTITUTE(SUBSTITUTE(SUBSTITUTE(SUBSTITUTE(SUBSTITUTE(SUBSTITUTE(SUBSTITUTE(SUBSTITUTE(SUBSTITUTE(SUBSTITUTE(SUBSTITUTE(SUBSTITUTE(SUBSTITUTE(SUBSTITUTE(SUBSTITUTE(SUBSTITUTE(SUBSTITUTE(SUBSTITUTE(SUBSTITUTE(SUBSTITUTE(LOWER(V403&amp;""),CHAR(10)," "),CHAR(13)," "),CHAR(9)," "),CHAR(160)," "),"."," "),","," "),"-"," "),"/"," "),"("," "),")"," "),":"," "),";"," "),"_"," "),"–"," "),"?"," "),"!"," "),"*"," "),"["," "),"]"," "),"'"," "),"#"," "),"+"," "),"&amp;"," "),"\"," "))&amp;" "</f>
        <v>  </v>
      </c>
      <c r="BD403" s="61" t="str">
        <f aca="false">" "&amp;TRIM(SUBSTITUTE(SUBSTITUTE(SUBSTITUTE(SUBSTITUTE(SUBSTITUTE(SUBSTITUTE(SUBSTITUTE(SUBSTITUTE(SUBSTITUTE(SUBSTITUTE(SUBSTITUTE(SUBSTITUTE(SUBSTITUTE(SUBSTITUTE(SUBSTITUTE(SUBSTITUTE(SUBSTITUTE(SUBSTITUTE(SUBSTITUTE(SUBSTITUTE(SUBSTITUTE(SUBSTITUTE(SUBSTITUTE(SUBSTITUTE(LOWER(Z403&amp;""),CHAR(10)," "),CHAR(13)," "),CHAR(9)," "),CHAR(160)," "),"."," "),","," "),"-"," "),"/"," "),"("," "),")"," "),":"," "),";"," "),"_"," "),"–"," "),"?"," "),"!"," "),"*"," "),"["," "),"]"," "),"'"," "),"#"," "),"+"," "),"&amp;"," "),"\"," "))&amp;" "</f>
        <v>  </v>
      </c>
      <c r="BE403" s="61" t="str">
        <f aca="false">" "&amp;TRIM(SUBSTITUTE(SUBSTITUTE(SUBSTITUTE(SUBSTITUTE(SUBSTITUTE(SUBSTITUTE(SUBSTITUTE(SUBSTITUTE(SUBSTITUTE(SUBSTITUTE(SUBSTITUTE(SUBSTITUTE(SUBSTITUTE(SUBSTITUTE(SUBSTITUTE(SUBSTITUTE(SUBSTITUTE(SUBSTITUTE(SUBSTITUTE(SUBSTITUTE(SUBSTITUTE(SUBSTITUTE(SUBSTITUTE(SUBSTITUTE(LOWER(W403&amp;""),CHAR(10)," "),CHAR(13)," "),CHAR(9)," "),CHAR(160)," "),"."," "),","," "),"-"," "),"/"," "),"("," "),")"," "),":"," "),";"," "),"_"," "),"–"," "),"?"," "),"!"," "),"*"," "),"["," "),"]"," "),"'"," "),"#"," "),"+"," "),"&amp;"," "),"\"," "))&amp;" "</f>
        <v>  </v>
      </c>
      <c r="BF403" s="61" t="str">
        <f aca="false">" "&amp;TRIM(SUBSTITUTE(SUBSTITUTE(SUBSTITUTE(SUBSTITUTE(SUBSTITUTE(SUBSTITUTE(SUBSTITUTE(SUBSTITUTE(SUBSTITUTE(SUBSTITUTE(SUBSTITUTE(SUBSTITUTE(SUBSTITUTE(SUBSTITUTE(SUBSTITUTE(SUBSTITUTE(SUBSTITUTE(SUBSTITUTE(SUBSTITUTE(SUBSTITUTE(SUBSTITUTE(SUBSTITUTE(SUBSTITUTE(SUBSTITUTE(LOWER(AC403&amp;""),CHAR(10)," "),CHAR(13)," "),CHAR(9)," "),CHAR(160)," "),"."," "),","," "),"-"," "),"/"," "),"("," "),")"," "),":"," "),";"," "),"_"," "),"–"," "),"?"," "),"!"," "),"*"," "),"["," "),"]"," "),"'"," "),"#"," "),"+"," "),"&amp;"," "),"\"," "))&amp;" "</f>
        <v>  </v>
      </c>
      <c r="BG403" s="61" t="n">
        <f aca="false">IFERROR(IF(AND(TRIM(U403)="Pass",SUMPRODUCT((LEN(BC403)-LEN(SUBSTITUTE(BC403," "&amp;L_ResultBad&amp;" "," ")))/(LEN(L_ResultBad)+1))&gt;SUMPRODUCT((LEN(BC403)-LEN(SUBSTITUTE(BC403," "&amp;L_NegPhrase&amp;" "," ")))/(LEN(L_NegPhrase)+1))),1,0),0)</f>
        <v>0</v>
      </c>
      <c r="BH403" s="61" t="n">
        <f aca="false">IFERROR(IF(SUMPRODUCT((LEN(BC403)-LEN(SUBSTITUTE(BC403," "&amp;L_Pending&amp;" "," ")))/(LEN(L_Pending)+1))&gt;SUMPRODUCT((LEN(BC403)-LEN(SUBSTITUTE(BC403," "&amp;L_PendNeg&amp;" "," ")))/(LEN(L_PendNeg)+1))+SUMPRODUCT((LEN(BC403)-LEN(SUBSTITUTE(BC403," "&amp;L_PendPrep&amp;" "," ")))/(LEN(L_PendPrep)+1)),1,0),1)</f>
        <v>0</v>
      </c>
      <c r="BI403" s="61" t="n">
        <f aca="false">IFERROR(IF(SUMPRODUCT((LEN(BD403)-LEN(SUBSTITUTE(BD403," "&amp;L_PendStrict&amp;" "," ")))/(LEN(L_PendStrict)+1))&gt;SUMPRODUCT((LEN(BD403)-LEN(SUBSTITUTE(BD403," "&amp;L_PendNeg&amp;" "," ")))/(LEN(L_PendNeg)+1)),1,0),1)</f>
        <v>0</v>
      </c>
      <c r="BJ403" s="61" t="n">
        <f aca="false">IFERROR(IF(SUMPRODUCT((LEN(BE403)-LEN(SUBSTITUTE(BE403," "&amp;L_Pending&amp;" "," ")))/(LEN(L_Pending)+1))&gt;SUMPRODUCT((LEN(BE403)-LEN(SUBSTITUTE(BE403," "&amp;L_PendNeg&amp;" "," ")))/(LEN(L_PendNeg)+1))+SUMPRODUCT((LEN(BE403)-LEN(SUBSTITUTE(BE403," "&amp;L_PendPrep&amp;" "," ")))/(LEN(L_PendPrep)+1)),1,0),1)</f>
        <v>0</v>
      </c>
      <c r="BK403" s="61" t="n">
        <f aca="false">IFERROR(IF(SUMPRODUCT((LEN(BF403)-LEN(SUBSTITUTE(BF403," "&amp;L_PendStrict&amp;" "," ")))/(LEN(L_PendStrict)+1))&gt;SUMPRODUCT((LEN(BF403)-LEN(SUBSTITUTE(BF403," "&amp;L_PendNeg&amp;" "," ")))/(LEN(L_PendNeg)+1)),1,0),1)</f>
        <v>0</v>
      </c>
      <c r="BL403" s="61" t="n">
        <f aca="false">IF(ISNA(MATCH(TRIM(S403),L_EvidenceType,0)),0,BZ403)</f>
        <v>0</v>
      </c>
      <c r="BM403" s="61" t="str">
        <f aca="false">SUBSTITUTE(SUBSTITUTE(SUBSTITUTE(SUBSTITUTE(SUBSTITUTE(SUBSTITUTE(SUBSTITUTE(SUBSTITUTE(SUBSTITUTE(LOWER(Z403&amp;""),"1","0"),"2","0"),"3","0"),"4","0"),"5","0"),"6","0"),"7","0"),"8","0"),"9","0")</f>
        <v/>
      </c>
      <c r="BN403" s="61" t="str">
        <f aca="false">SUBSTITUTE(SUBSTITUTE(SUBSTITUTE(SUBSTITUTE(SUBSTITUTE(SUBSTITUTE(SUBSTITUTE(SUBSTITUTE(SUBSTITUTE(SUBSTITUTE(SUBSTITUTE(SUBSTITUTE(SUBSTITUTE(SUBSTITUTE(SUBSTITUTE(SUBSTITUTE(SUBSTITUTE(SUBSTITUTE(SUBSTITUTE(SUBSTITUTE(SUBSTITUTE(SUBSTITUTE(SUBSTITUTE(SUBSTITUTE(SUBSTITUTE(BM403,"b","a"),"c","a"),"d","a"),"e","a"),"f","a"),"g","a"),"h","a"),"i","a"),"j","a"),"k","a"),"l","a"),"m","a"),"n","a"),"o","a"),"p","a"),"q","a"),"r","a"),"s","a"),"t","a"),"u","a"),"v","a"),"w","a"),"x","a"),"y","a"),"z","a")</f>
        <v/>
      </c>
      <c r="BO403" s="61" t="str">
        <f aca="false">SUBSTITUTE(SUBSTITUTE(SUBSTITUTE(SUBSTITUTE(SUBSTITUTE(SUBSTITUTE(SUBSTITUTE(SUBSTITUTE(SUBSTITUTE(LOWER(W403&amp;""),"1","0"),"2","0"),"3","0"),"4","0"),"5","0"),"6","0"),"7","0"),"8","0"),"9","0")</f>
        <v/>
      </c>
      <c r="BP403" s="61" t="str">
        <f aca="false">SUBSTITUTE(SUBSTITUTE(SUBSTITUTE(SUBSTITUTE(SUBSTITUTE(SUBSTITUTE(SUBSTITUTE(SUBSTITUTE(SUBSTITUTE(SUBSTITUTE(SUBSTITUTE(SUBSTITUTE(SUBSTITUTE(SUBSTITUTE(SUBSTITUTE(SUBSTITUTE(SUBSTITUTE(SUBSTITUTE(SUBSTITUTE(SUBSTITUTE(SUBSTITUTE(SUBSTITUTE(SUBSTITUTE(SUBSTITUTE(SUBSTITUTE(BO403,"b","a"),"c","a"),"d","a"),"e","a"),"f","a"),"g","a"),"h","a"),"i","a"),"j","a"),"k","a"),"l","a"),"m","a"),"n","a"),"o","a"),"p","a"),"q","a"),"r","a"),"s","a"),"t","a"),"u","a"),"v","a"),"w","a"),"x","a"),"y","a"),"z","a")</f>
        <v/>
      </c>
      <c r="BQ403" s="61" t="n">
        <f aca="false">IFERROR(IF(AND(ISERROR(SEARCH(" mh"," "&amp;LOWER(W403))),ISNA(MATCH(LEFT(TRIM(BP403),255),{"0000a","000a","00a","0000aa","000aa","00aa","0aa","0000aaa","000aaa","00a00","0a00","0000-0000","00:00","a00","a0","00.00.0000","00/00/0000","00-00-0000","0000-00-00","0000/00/00","0000.00.00","00.00.00","00/00/00","00-00-00","0.00.0000","0/00/0000","0-00-0000"},0)),ISNA(MATCH(LEFT(TRIM(CA403),255),{"0000a","000a","00a","0000aa","000aa","00aa","0aa","0000aaa","000aaa","00a00","0a00","0000-0000","00:00","a00","a0","00.00.0000","00/00/0000","00-00-0000","0000-00-00","0000/00/00","0000.00.00","00.00.00","00/00/00","00-00-00","0.00.0000","0/00/0000","0-00-0000"},0)),LEN(CB403)&gt;=3,NOT(OR(SUBSTITUTE(CB403,"0","")="",AND(LEN(CB403)&gt;=4,CB403=REPT(LEFT(CB403),LEN(CB403))),ISNUMBER(MATCH(CB403,{"123","1234","12345","123456","1234567","12345678","0123","01234","012345","98765","987654","54321"},0)),AND(LEN(CB403)=8,LEFT(CB403,3)="202"))),OR(AND((LEN(CA403)-LEN(SUBSTITUTE(CA403,"a","")))&gt;=1,SUMPRODUCT(--ISNUMBER(SEARCH({"a0","a-0","a_0","a/0","a.0","a#0","0a","0-a","0_a","0/a"},BP403)))&gt;0),ISNUMBER(SEARCH("000000",BP403)))),1,0),0)</f>
        <v>0</v>
      </c>
      <c r="BR403" s="61" t="n">
        <f aca="false">IFERROR(LEN(SUBSTITUTE(CC403," ",""))-SUMPRODUCT((LEN(CC403)-LEN(SUBSTITUTE(CC403," "&amp;L_Role&amp;" "," ")))/(LEN(L_Role)+1)*LEN(L_Role)),0)</f>
        <v>0</v>
      </c>
      <c r="BS403" s="61" t="n">
        <f aca="false">IFERROR(LEN(SUBSTITUTE(CD403," ",""))-SUMPRODUCT((LEN(CD403)-LEN(SUBSTITUTE(CD403," "&amp;L_Role&amp;" "," ")))/(LEN(L_Role)+1)*LEN(L_Role)),0)</f>
        <v>0</v>
      </c>
      <c r="BT4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403,"revision",""),"version",""),"jan",""),"feb",""),"mar",""),"apr",""),"may",""),"jun",""),"jul",""),"aug",""),"sep",""),"oct",""),"nov",""),"dec",""),"utc",""),"gmt",""),"myt",""),"bst",""),"rev",""),"ver",""),"b","a"),"c","a"),"d","a"),"e","a"),"f","a"),"g","a"),"h","a"),"i","a"),"j","a"),"k","a"),"l","a"),"m","a"),"n","a"),"o","a"),"p","a"),"q","a"),"r","a"),"s","a"),"t","a"),"u","a"),"v","a"),"w","a"),"x","a"),"y","a"),"z","a")</f>
        <v/>
      </c>
      <c r="BU403" s="61" t="str">
        <f aca="false">SUBSTITUTE(SUBSTITUTE(SUBSTITUTE(SUBSTITUTE(SUBSTITUTE(SUBSTITUTE(SUBSTITUTE(SUBSTITUTE(SUBSTITUTE(SUBSTITUTE(LEFT(BM403,FIND("0",BM403&amp;"0")-1),"-",""),"_",""),"/",""),".",""),"#",""),"\\",""),":","")," ",""),"(",""),")","")</f>
        <v/>
      </c>
      <c r="BV403" s="61" t="n">
        <f aca="false">0</f>
        <v>0</v>
      </c>
      <c r="BW4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403&amp;""),"a",""),"b",""),"c",""),"d",""),"e",""),"f",""),"g",""),"h",""),"i",""),"j",""),"k",""),"l",""),"m",""),"n",""),"o",""),"p",""),"q",""),"r",""),"s",""),"t",""),"u",""),"v",""),"w",""),"x",""),"y",""),"z",""),"-",""),"_",""),"/",""),".",""),"#",""),"\\",""),":","")," ",""),"(",""),")","")</f>
        <v/>
      </c>
      <c r="BX403" s="61" t="str">
        <f aca="false">SUBSTITUTE(SUBSTITUTE(SUBSTITUTE(SUBSTITUTE(SUBSTITUTE(SUBSTITUTE(SUBSTITUTE(SUBSTITUTE(SUBSTITUTE(SUBSTITUTE(SUBSTITUTE(BM403,"0",""),"-",""),"_",""),"/",""),".",""),"#",""),"\\",""),":","")," ",""),"(",""),")","")</f>
        <v/>
      </c>
      <c r="BY403" s="62" t="n">
        <f aca="false">Q403-T12EarlyH/24</f>
        <v>46306.6006944444</v>
      </c>
      <c r="BZ403" s="61" t="n">
        <f aca="false">IFERROR(IF(IF(TRIM(S403)="Link / file path",AND(LEN(TRIM(Z403))&gt;=5,SUMPRODUCT(--ISNUMBER(SEARCH({"http","www.","\\",":\",".pdf",".jpg",".jpeg",".png",".heic",".xls",".doc",".msg",".eml",".ppt",".txt",".zip"},Z403)))&gt;0),AND(ISERROR(FIND(" ",TRIM(Z403))),NOT(OR(SUMPRODUCT(--ISNUMBER(FIND({",",";","&amp;","+"},Z403)))&gt;0,SUMPRODUCT(--ISNUMBER(SEARCH({"0/aa","0\\aa"},BN403)))&gt;0)),NOT(SUMPRODUCT(--ISNUMBER(SEARCH({"http","www.","\\",":\",".pdf",".jpg",".jpeg",".png",".heic",".xls",".doc",".msg",".eml",".ppt",".txt",".zip"},Z403)))&gt;0),NOT(LOWER(TRIM(Z403))=LOWER(Flights!$F$16)),ISNA(MATCH(BU403,{"mh","rev","revision","ver","version","v","r","a","b","seat","tray","row","gate","bay","stand","page","pg","item","line","no","cart","galley","flight","flt","table","box","bag","oven","etd","eta","std","sta","atd","ata","qty","pax","x","time","tel","ph","mob","day","wk","week","utc","gmt","myt","lt"},0)),NOT(OR(ISNUMBER(MATCH(LEFT(BN403,255),{"0000a","000a","00a","0000aa","000aa","00aa","0aa","0000aaa","000aaa","00a00","0a00","0000-0000","00:00","a00","a0","00.00.0000","00/00/0000","00-00-0000","0000-00-00","0000/00/00","0000.00.00","00.00.00","00/00/00","00-00-00","0.00.0000","0/00/0000","0-00-0000"},0)),ISNUMBER(MATCH(LEFT(BT403,255),{"0000a","000a","00a","0000aa","000aa","00aa","0aa","0000aaa","000aaa","00a00","0a00","0000-0000","00:00","a00","a0","00.00.0000","00/00/0000","00-00-0000","0000-00-00","0000/00/00","0000.00.00","00.00.00","00/00/00","00-00-00","0.00.0000","0/00/0000","0-00-0000"},0)))),NOT(OR(AND(BW403&lt;&gt;"",SUBSTITUTE(BW403,"0","")=""),AND(LEN(BW403)&gt;=4,BW403=REPT(LEFT(BW403),LEN(BW403))),ISNUMBER(MATCH(BW403,{"123","1234","12345","123456","1234567","12345678","0123","01234","012345","98765","987654","54321"},0)),ISNUMBER(MATCH(BX403,{"x","xx","xxx","xxxx","xxxxx","abc","abcd","nil","na","nan","test","tbc","tba","tbd","dummy","sample","example","eg","zz","zzz","none","null","xyz","qwe","asd","id","ref"},0)),AND(LEN(BW403)=8,BX403="",OR(LEFT(BW403,3)="202",ISNUMBER(MATCH(RIGHT(BW403,4),{"2025","2026","2027"},0)))))),OR(AND((LEN(BT403)-LEN(SUBSTITUTE(BT403,"a","")))&gt;=1,(LEN(BN403)-LEN(SUBSTITUTE(BN403,"0","")))&gt;=2,SUMPRODUCT(--ISNUMBER(SEARCH({"a0","a-0","a_0","a/0","a.0","a#0","0a","0-a","0_a","0/a"},BN403)))&gt;0),AND((LEN(BN403)-LEN(SUBSTITUTE(BN403,"a","")))=0,(LEN(BN403)-LEN(SUBSTITUTE(BN403,"0","")))&gt;=5)))),1,0),0)</f>
        <v>0</v>
      </c>
      <c r="CA4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403,"revision",""),"version",""),"jan",""),"feb",""),"mar",""),"apr",""),"may",""),"jun",""),"jul",""),"aug",""),"sep",""),"oct",""),"nov",""),"dec",""),"utc",""),"gmt",""),"myt",""),"bst",""),"rev",""),"ver",""),"b","a"),"c","a"),"d","a"),"e","a"),"f","a"),"g","a"),"h","a"),"i","a"),"j","a"),"k","a"),"l","a"),"m","a"),"n","a"),"o","a"),"p","a"),"q","a"),"r","a"),"s","a"),"t","a"),"u","a"),"v","a"),"w","a"),"x","a"),"y","a"),"z","a")</f>
        <v/>
      </c>
      <c r="CB4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403&amp;""),"a",""),"b",""),"c",""),"d",""),"e",""),"f",""),"g",""),"h",""),"i",""),"j",""),"k",""),"l",""),"m",""),"n",""),"o",""),"p",""),"q",""),"r",""),"s",""),"t",""),"u",""),"v",""),"w",""),"x",""),"y",""),"z",""),"-",""),"_",""),"/",""),".",""),"#",""),"\\",""),":","")," ",""),"(",""),")","")</f>
        <v/>
      </c>
      <c r="CC403" s="0" t="str">
        <f aca="false">" "&amp;TRIM(SUBSTITUTE(SUBSTITUTE(SUBSTITUTE(SUBSTITUTE(SUBSTITUTE(SUBSTITUTE(SUBSTITUTE(SUBSTITUTE(SUBSTITUTE(SUBSTITUTE(SUBSTITUTE(SUBSTITUTE(SUBSTITUTE(SUBSTITUTE(SUBSTITUTE(SUBSTITUTE(SUBSTITUTE(SUBSTITUTE(SUBSTITUTE(SUBSTITUTE(SUBSTITUTE(SUBSTITUTE(SUBSTITUTE(SUBSTITUTE(LOWER(T403&amp;""),CHAR(10)," "),CHAR(13)," "),CHAR(9)," "),CHAR(160)," "),"."," "),","," "),"-"," "),"/"," "),"("," "),")"," "),":"," "),";"," "),"_"," "),"–"," "),"?"," "),"!"," "),"*"," "),"["," "),"]"," "),"'"," "),"#"," "),"+"," "),"&amp;"," "),"\"," "))&amp;" "</f>
        <v>  </v>
      </c>
      <c r="CD403" s="0" t="str">
        <f aca="false">" "&amp;TRIM(SUBSTITUTE(SUBSTITUTE(SUBSTITUTE(SUBSTITUTE(SUBSTITUTE(SUBSTITUTE(SUBSTITUTE(SUBSTITUTE(SUBSTITUTE(SUBSTITUTE(SUBSTITUTE(SUBSTITUTE(SUBSTITUTE(SUBSTITUTE(SUBSTITUTE(SUBSTITUTE(SUBSTITUTE(SUBSTITUTE(SUBSTITUTE(SUBSTITUTE(SUBSTITUTE(SUBSTITUTE(SUBSTITUTE(SUBSTITUTE(LOWER(AE403&amp;""),CHAR(10)," "),CHAR(13)," "),CHAR(9)," "),CHAR(160)," "),"."," "),","," "),"-"," "),"/"," "),"("," "),")"," "),":"," "),";"," "),"_"," "),"–"," "),"?"," "),"!"," "),"*"," "),"["," "),"]"," "),"'"," "),"#"," "),"+"," "),"&amp;"," "),"\"," "))&amp;" "</f>
        <v>  </v>
      </c>
      <c r="CE403" s="68" t="n">
        <f aca="false">IFERROR(IF(AND(LEN(AU403)&gt;0,LEN(AU403)=LEN(AX403),OR(TRIM(MID(SUBSTITUTE(TRIM(CC403)," ",REPT(" ",60)),1,60))="",ISNUMBER(SEARCH(" "&amp;TRIM(MID(SUBSTITUTE(TRIM(CC403)," ",REPT(" ",60)),1,60))&amp;" ",CD403))),OR(TRIM(MID(SUBSTITUTE(TRIM(CC403)," ",REPT(" ",60)),61,60))="",ISNUMBER(SEARCH(" "&amp;TRIM(MID(SUBSTITUTE(TRIM(CC403)," ",REPT(" ",60)),61,60))&amp;" ",CD403))),OR(TRIM(MID(SUBSTITUTE(TRIM(CC403)," ",REPT(" ",60)),121,60))="",ISNUMBER(SEARCH(" "&amp;TRIM(MID(SUBSTITUTE(TRIM(CC403)," ",REPT(" ",60)),121,60))&amp;" ",CD403)))),1,0),0)</f>
        <v>0</v>
      </c>
      <c r="CG403" s="68" t="n">
        <f aca="false">IFERROR(LEN(SUBSTITUTE(BF403," ",""))-SUMPRODUCT((LEN(BF403)-LEN(SUBSTITUTE(BF403," "&amp;L_NAFiller&amp;" "," ")))/(LEN(L_NAFiller)+1)*LEN(L_NAFiller)),0)</f>
        <v>0</v>
      </c>
    </row>
    <row r="404" customFormat="false" ht="54" hidden="false" customHeight="true" outlineLevel="0" collapsed="false">
      <c r="A404" s="57" t="s">
        <v>1027</v>
      </c>
      <c r="B404" s="57" t="s">
        <v>261</v>
      </c>
      <c r="C404" s="57" t="str">
        <f aca="false">Flights!$F$16</f>
        <v>MH0139</v>
      </c>
      <c r="D404" s="58" t="n">
        <f aca="false">Flights!$D$16</f>
        <v>46307</v>
      </c>
      <c r="E404" s="57" t="str">
        <f aca="false">Flights!$G$16&amp;"-"&amp;Flights!$H$16</f>
        <v>KUL-ADL</v>
      </c>
      <c r="F404" s="57" t="str">
        <f aca="false">Flights!$K$16</f>
        <v>BC</v>
      </c>
      <c r="G404" s="57" t="s">
        <v>420</v>
      </c>
      <c r="H404" s="57" t="s">
        <v>378</v>
      </c>
      <c r="I404" s="57" t="s">
        <v>499</v>
      </c>
      <c r="J404" s="57" t="s">
        <v>518</v>
      </c>
      <c r="K404" s="67" t="s">
        <v>616</v>
      </c>
      <c r="L404" s="67" t="s">
        <v>1028</v>
      </c>
      <c r="M404" s="67" t="s">
        <v>451</v>
      </c>
      <c r="N404" s="67" t="s">
        <v>383</v>
      </c>
      <c r="O404" s="67" t="s">
        <v>521</v>
      </c>
      <c r="P404" s="57" t="s">
        <v>187</v>
      </c>
      <c r="Q404" s="59" t="n">
        <f aca="false">ROUND((Flights!$AE$16)*1440,0)/1440</f>
        <v>46307.1006944444</v>
      </c>
      <c r="R404" s="59" t="n">
        <f aca="false">Q404+(IF(AND(INDEX(TZ_DSTS,MATCH(P404,TZ_STN,0))&lt;&gt;"",Q404&gt;=INDEX(TZ_DSTS,MATCH(P404,TZ_STN,0)),Q404&lt;INDEX(TZ_DSTE,MATCH(P404,TZ_STN,0))),INDEX(TZ_DST,MATCH(P404,TZ_STN,0)),INDEX(TZ_STD,MATCH(P404,TZ_STN,0))))/24</f>
        <v>46307.4340277778</v>
      </c>
      <c r="S404" s="60"/>
      <c r="T404" s="60"/>
      <c r="U404" s="60"/>
      <c r="V404" s="60"/>
      <c r="W404" s="61"/>
      <c r="X404" s="60"/>
      <c r="Y404" s="60"/>
      <c r="Z404" s="60"/>
      <c r="AA404" s="60"/>
      <c r="AB404" s="60"/>
      <c r="AC404" s="60"/>
      <c r="AD404" s="66"/>
      <c r="AE404" s="60"/>
      <c r="AF404" s="61" t="str">
        <f aca="false">IF(AND(ISNUMBER(X404),ISNUMBER(Y404)),Y404-X404,"")</f>
        <v/>
      </c>
      <c r="AG404" s="62" t="str">
        <f aca="false">IF(ISNUMBER(AD404),AD404-(IF(AND(INDEX(TZ_DSTS,MATCH(P404,TZ_STN,0))&lt;&gt;"",(AD404-INDEX(TZ_STD,MATCH(P404,TZ_STN,0))/24)&gt;=INDEX(TZ_DSTS,MATCH(P404,TZ_STN,0)),(AD404-INDEX(TZ_STD,MATCH(P404,TZ_STN,0))/24)&lt;INDEX(TZ_DSTE,MATCH(P404,TZ_STN,0))),INDEX(TZ_DST,MATCH(P404,TZ_STN,0)),INDEX(TZ_STD,MATCH(P404,TZ_STN,0))))/24,"")</f>
        <v/>
      </c>
      <c r="AH404" s="65" t="str">
        <f aca="false">IFERROR(IF(N404="N/A – rule",IF(OR(TRIM(U404)="",TRIM(U404)="N/A",TRIM(U404)="Not started"),"N/A – RULE","INVALID – this check does not apply to this aircraft: clear the status (or correct the fleet on Flights)"),IF(TRIM(U404)="N/A",IF(AT404=0,"INVALID – N/A not permitted for this check",IF(AND(TRIM(AB404)&lt;&gt;"",TRIM(AB404)&lt;&gt;"Closed"),"INVALID – corrective action still open",IF(AND(NOT(OR(LEN(AZ404)&lt;15,ISNUMBER(MATCH(AZ404,L_Placeholder,0)))),BK404=0,CG404&gt;=8,NOT(OR(LEN(AU404)&lt;2,ISNUMBER(MATCH(AU404,L_Placeholder,0)))),BR404&gt;=3,NOT(OR(LEN(AX404)&lt;2,ISNUMBER(MATCH(AX404,L_Placeholder,0)))),BS404&gt;=3,TRIM(AE404)&lt;&gt;TRIM(T404),AX404&lt;&gt;AU404,CE404=0),"N/A – JUSTIFIED","INVALID – N/A needs a real, settled reason (not 'not applicable' / 'as above' / TBC), a named PIC and a different named verifier"))),IF(OR(TRIM(U404)="Pass",TRIM(U404)="Pass after CA"),IF(NOT(ISNUMBER(AD404)),"INVALID – completion time missing",IF(OR(OR(LEN(AU404)&lt;2,ISNUMBER(MATCH(AU404,L_Placeholder,0))),BR404&lt;3),"INVALID – PIC missing or not a named person (a role such as QA / CSM is not a name)",IF(OR(LEN(AV404)&lt;2,ISNUMBER(MATCH(AV404,L_Placeholder,0))),"INVALID – result / assessment missing",IF(OR(OR(LEN(AW404)&lt;3,ISNUMBER(MATCH(AW404,L_Placeholder,0))),SUMPRODUCT(--ISNUMBER(SEARCH(" "&amp;L_EvidencePhrase&amp;" ",BD404)))&gt;0,BI404=1),"INVALID – evidence missing, placeholder or not yet on file",IF(ISNA(MATCH(TRIM(S404),L_EvidenceType,0)),"INVALID – choose the evidence type from the list (column S)",IF(BL404=0,"INVALID – evidence ID must be the record's own ID only (e.g. SF-2210, IMG_2231, 1045521); a link / file name needs type 'Link / file path'",IF(OR(OR(LEN(AX404)&lt;2,ISNUMBER(MATCH(AX404,L_Placeholder,0))),BS404&lt;3),"INVALID – verifier missing or not a named person (a role such as QA / CSM is not a name)",IF(OR(AX404=AU404,CE404=1,AND(LEN(AU404)&gt;=4,ISNUMBER(SEARCH(AU404,AX404))),AND(LEN(AX404)&gt;=4,ISNUMBER(SEARCH(AX404,AU404)))),"INVALID – verifier must be a different, named person (not the PIC or a role)",IF(BH404=1,"INVALID – result not yet available (awaiting / TBC)",IF(BG404=1,"INVALID – result describes a problem: record Fail, then Pass after CA (or reword if it is not a problem)",IF(BV404=1,"INVALID – wording says not on board: an on-board confirmation needs the item loaded",IF(AND(AQ404=1,OR(OR(LEN(AY404)&lt;3,ISNUMBER(MATCH(AY404,L_Placeholder,0))),BJ404=1,BQ404=0)),"INVALID – batch ID missing, placeholder or not an ID (e.g. PASB-261008-BC-017)",IF(AND(AR404=1,OR(NOT(ISNUMBER(X404)),NOT(ISNUMBER(Y404)))),"INVALID – expected/actual qty missing",IF(AND(AR404=1,OR(X404&lt;=0,Y404&lt;0)),"INVALID – expected qty must be above 0 and actual not negative",IF(BB404&lt;&gt;"",BB404,IF(AND(AS404=1,Documents!$J$16&lt;&gt;"ON FILE"),"INVALID – GLD not on file (Documents sheet)",IF(AND(AS404=2,Documents!$O$16&lt;&gt;"ON FILE"),"INVALID – menu checklist not on file (Documents sheet)",IF(AND(AS404=3,NOT(ISNUMBER(Flights!$AX$16))),"INVALID – enter carrying flight KUL departure (Flights AX)",IF(AND(AS404=3,OR(Flights!$AZ$16&gt;Flights!$AA$16,Flights!$AX$16&lt;Flights!$AA$16-3)),"INVALID – carrying flight (Flights AX) cannot arrive before this leg's STD, or is over 3 days early",IF(AG404&gt;AsOfUTC,"INVALID – completion time is in the future",IF(AND(ISNUMBER(BY404),AG404&lt;BY404),IF(H404="Physical uplift","INVALID – before uplift window (cannot confirm loading)","INVALID – before valid window"),IF(AG404&gt;Flights!$AA$16,"INVALID – completed after departure (cannot establish readiness)",IF(AND(H404="Preparation",AG404&gt;=IF(ISNUMBER(Flights!$BA$16),MIN(Flights!$BA$16,Flights!$AA$16),Flights!$AA$16)),"INVALID – completed after loading / departure (cannot establish readiness)",IF(AND(H404="Physical uplift",AG404&gt;Q404),"INVALID – recorded after the loading flight departed",IF(AG404&gt;Q404,"COMPLETE – LATE","COMPLETE"))))))))))))))))))))))))),IF(TRIM(U404)="Fail","FAIL – DISCREPANCY",IF(AND(TRIM(U404)&lt;&gt;"",TRIM(U404)&lt;&gt;"Not started",TRIM(U404)&lt;&gt;"In progress"),"INVALID – unrecognised status (use the list)",IF(AsOfUTC&gt;Q404,"OVERDUE",IF(N404="Clarification required","OPEN – CLARIFICATION","OPEN"))))))),"INVALID – error value in an input cell")</f>
        <v>OPEN</v>
      </c>
      <c r="AI404" s="61" t="n">
        <f aca="false">IF(OR(AH404="N/A – RULE",AH404="N/A – JUSTIFIED"),0,1)</f>
        <v>1</v>
      </c>
      <c r="AJ404" s="61" t="n">
        <f aca="false">IF(LEFT(AH404,8)="COMPLETE",1,0)</f>
        <v>0</v>
      </c>
      <c r="AK404" s="61" t="n">
        <f aca="false">IF(AND(AI404=1,AJ404=0,AsOfUTC&gt;Q404),1,0)</f>
        <v>0</v>
      </c>
      <c r="AL404" s="61" t="n">
        <f aca="false">IFERROR(IF(AND(AI404=1,OR(TRIM(U404)="Fail",AND(TRIM(AB404)&lt;&gt;"",TRIM(AB404)&lt;&gt;"Closed"),AND(ISNUMBER(AF404),AF404&lt;&gt;0,TRIM(U404)&lt;&gt;"Pass after CA"))),1,0),1)</f>
        <v>0</v>
      </c>
      <c r="AM404" s="61" t="n">
        <f aca="false">IF(LEFT(AH404,7)="INVALID",1,0)</f>
        <v>0</v>
      </c>
      <c r="AN404" s="61" t="n">
        <f aca="false">IF(AND(N404="Clarification required",AI404=1,AJ404=0),1,0)</f>
        <v>0</v>
      </c>
      <c r="AO404" s="61" t="str">
        <f aca="false">IF(AK404=1,SUM(AK$5:AK404),"")</f>
        <v/>
      </c>
      <c r="AP404" s="61" t="str">
        <f aca="false">IF(AL404=1,SUM(AL$5:AL404),"")</f>
        <v/>
      </c>
      <c r="AQ404" s="61" t="n">
        <v>0</v>
      </c>
      <c r="AR404" s="61" t="n">
        <v>0</v>
      </c>
      <c r="AS404" s="61" t="n">
        <v>0</v>
      </c>
      <c r="AT404" s="61" t="n">
        <v>0</v>
      </c>
      <c r="AU404" s="61" t="str">
        <f aca="false">SUBSTITUTE(SUBSTITUTE(SUBSTITUTE(SUBSTITUTE(SUBSTITUTE(SUBSTITUTE(SUBSTITUTE(SUBSTITUTE(SUBSTITUTE(SUBSTITUTE(SUBSTITUTE(SUBSTITUTE(SUBSTITUTE(SUBSTITUTE(SUBSTITUTE(SUBSTITUTE(LOWER(T404&amp;""),CHAR(10),""),CHAR(13),""),CHAR(9),""),CHAR(160),"")," ",""),".",""),"-",""),"/",""),"?",""),"_",""),",",""),"[",""),"]",""),"(",""),")",""),"*","")</f>
        <v/>
      </c>
      <c r="AV404" s="61" t="str">
        <f aca="false">SUBSTITUTE(SUBSTITUTE(SUBSTITUTE(SUBSTITUTE(SUBSTITUTE(SUBSTITUTE(SUBSTITUTE(SUBSTITUTE(SUBSTITUTE(SUBSTITUTE(SUBSTITUTE(SUBSTITUTE(SUBSTITUTE(SUBSTITUTE(SUBSTITUTE(SUBSTITUTE(LOWER(V404&amp;""),CHAR(10),""),CHAR(13),""),CHAR(9),""),CHAR(160),"")," ",""),".",""),"-",""),"/",""),"?",""),"_",""),",",""),"[",""),"]",""),"(",""),")",""),"*","")</f>
        <v/>
      </c>
      <c r="AW404" s="61" t="str">
        <f aca="false">SUBSTITUTE(SUBSTITUTE(SUBSTITUTE(SUBSTITUTE(SUBSTITUTE(SUBSTITUTE(SUBSTITUTE(SUBSTITUTE(SUBSTITUTE(SUBSTITUTE(SUBSTITUTE(SUBSTITUTE(SUBSTITUTE(SUBSTITUTE(SUBSTITUTE(SUBSTITUTE(LOWER(Z404&amp;""),CHAR(10),""),CHAR(13),""),CHAR(9),""),CHAR(160),"")," ",""),".",""),"-",""),"/",""),"?",""),"_",""),",",""),"[",""),"]",""),"(",""),")",""),"*","")</f>
        <v/>
      </c>
      <c r="AX404" s="61" t="str">
        <f aca="false">SUBSTITUTE(SUBSTITUTE(SUBSTITUTE(SUBSTITUTE(SUBSTITUTE(SUBSTITUTE(SUBSTITUTE(SUBSTITUTE(SUBSTITUTE(SUBSTITUTE(SUBSTITUTE(SUBSTITUTE(SUBSTITUTE(SUBSTITUTE(SUBSTITUTE(SUBSTITUTE(LOWER(AE404&amp;""),CHAR(10),""),CHAR(13),""),CHAR(9),""),CHAR(160),"")," ",""),".",""),"-",""),"/",""),"?",""),"_",""),",",""),"[",""),"]",""),"(",""),")",""),"*","")</f>
        <v/>
      </c>
      <c r="AY404" s="61" t="str">
        <f aca="false">SUBSTITUTE(SUBSTITUTE(SUBSTITUTE(SUBSTITUTE(SUBSTITUTE(SUBSTITUTE(SUBSTITUTE(SUBSTITUTE(SUBSTITUTE(SUBSTITUTE(SUBSTITUTE(SUBSTITUTE(SUBSTITUTE(SUBSTITUTE(SUBSTITUTE(SUBSTITUTE(LOWER(W404&amp;""),CHAR(10),""),CHAR(13),""),CHAR(9),""),CHAR(160),"")," ",""),".",""),"-",""),"/",""),"?",""),"_",""),",",""),"[",""),"]",""),"(",""),")",""),"*","")</f>
        <v/>
      </c>
      <c r="AZ404" s="61" t="str">
        <f aca="false">SUBSTITUTE(SUBSTITUTE(SUBSTITUTE(SUBSTITUTE(SUBSTITUTE(SUBSTITUTE(SUBSTITUTE(SUBSTITUTE(SUBSTITUTE(SUBSTITUTE(SUBSTITUTE(SUBSTITUTE(SUBSTITUTE(SUBSTITUTE(SUBSTITUTE(SUBSTITUTE(LOWER(AC404&amp;""),CHAR(10),""),CHAR(13),""),CHAR(9),""),CHAR(160),"")," ",""),".",""),"-",""),"/",""),"?",""),"_",""),",",""),"[",""),"]",""),"(",""),")",""),"*","")</f>
        <v/>
      </c>
      <c r="BA404" s="61" t="str">
        <f aca="false">SUBSTITUTE(SUBSTITUTE(SUBSTITUTE(SUBSTITUTE(SUBSTITUTE(SUBSTITUTE(SUBSTITUTE(SUBSTITUTE(SUBSTITUTE(SUBSTITUTE(SUBSTITUTE(SUBSTITUTE(SUBSTITUTE(SUBSTITUTE(SUBSTITUTE(SUBSTITUTE(LOWER(AA404&amp;""),CHAR(10),""),CHAR(13),""),CHAR(9),""),CHAR(160),"")," ",""),".",""),"-",""),"/",""),"?",""),"_",""),",",""),"[",""),"]",""),"(",""),")",""),"*","")</f>
        <v/>
      </c>
      <c r="BB404" s="61" t="str">
        <f aca="false">IF(AND(TRIM(U404)="Pass",ISNUMBER(AF404)),IF(AF404&lt;&gt;0,"INVALID – qty variance: use Fail or Pass after CA",""),"")&amp;IF(AND(TRIM(U404)="Pass after CA",ISNUMBER(AF404)),IF(AF404&lt;&gt;0,"INVALID – after the corrective action the actual qty must equal expected (update Actual)",""),"")&amp;IF(AND(TRIM(U404)="Pass",TRIM(AB404)&lt;&gt;"",TRIM(AB404)&lt;&gt;"Closed"),"INVALID – corrective action not closed: use Fail, then Pass after CA","")&amp;IF(AND(LEN(BA404)&gt;=2,ISNA(MATCH(LEFT(BA404,255),L_Placeholder,0)),TRIM(AB404)=""),"INVALID – CA status missing for the recorded corrective action","")&amp;IF(AND(TRIM(U404)="Pass after CA",OR(OR(LEN(BA404)&lt;5,ISNUMBER(MATCH(BA404,L_Placeholder,0))),TRIM(AB404)&lt;&gt;"Closed")),"INVALID – corrective action not recorded/closed","")</f>
        <v/>
      </c>
      <c r="BC404" s="61" t="str">
        <f aca="false">" "&amp;TRIM(SUBSTITUTE(SUBSTITUTE(SUBSTITUTE(SUBSTITUTE(SUBSTITUTE(SUBSTITUTE(SUBSTITUTE(SUBSTITUTE(SUBSTITUTE(SUBSTITUTE(SUBSTITUTE(SUBSTITUTE(SUBSTITUTE(SUBSTITUTE(SUBSTITUTE(SUBSTITUTE(SUBSTITUTE(SUBSTITUTE(SUBSTITUTE(SUBSTITUTE(SUBSTITUTE(SUBSTITUTE(SUBSTITUTE(SUBSTITUTE(LOWER(V404&amp;""),CHAR(10)," "),CHAR(13)," "),CHAR(9)," "),CHAR(160)," "),"."," "),","," "),"-"," "),"/"," "),"("," "),")"," "),":"," "),";"," "),"_"," "),"–"," "),"?"," "),"!"," "),"*"," "),"["," "),"]"," "),"'"," "),"#"," "),"+"," "),"&amp;"," "),"\"," "))&amp;" "</f>
        <v>  </v>
      </c>
      <c r="BD404" s="61" t="str">
        <f aca="false">" "&amp;TRIM(SUBSTITUTE(SUBSTITUTE(SUBSTITUTE(SUBSTITUTE(SUBSTITUTE(SUBSTITUTE(SUBSTITUTE(SUBSTITUTE(SUBSTITUTE(SUBSTITUTE(SUBSTITUTE(SUBSTITUTE(SUBSTITUTE(SUBSTITUTE(SUBSTITUTE(SUBSTITUTE(SUBSTITUTE(SUBSTITUTE(SUBSTITUTE(SUBSTITUTE(SUBSTITUTE(SUBSTITUTE(SUBSTITUTE(SUBSTITUTE(LOWER(Z404&amp;""),CHAR(10)," "),CHAR(13)," "),CHAR(9)," "),CHAR(160)," "),"."," "),","," "),"-"," "),"/"," "),"("," "),")"," "),":"," "),";"," "),"_"," "),"–"," "),"?"," "),"!"," "),"*"," "),"["," "),"]"," "),"'"," "),"#"," "),"+"," "),"&amp;"," "),"\"," "))&amp;" "</f>
        <v>  </v>
      </c>
      <c r="BE404" s="61" t="str">
        <f aca="false">" "&amp;TRIM(SUBSTITUTE(SUBSTITUTE(SUBSTITUTE(SUBSTITUTE(SUBSTITUTE(SUBSTITUTE(SUBSTITUTE(SUBSTITUTE(SUBSTITUTE(SUBSTITUTE(SUBSTITUTE(SUBSTITUTE(SUBSTITUTE(SUBSTITUTE(SUBSTITUTE(SUBSTITUTE(SUBSTITUTE(SUBSTITUTE(SUBSTITUTE(SUBSTITUTE(SUBSTITUTE(SUBSTITUTE(SUBSTITUTE(SUBSTITUTE(LOWER(W404&amp;""),CHAR(10)," "),CHAR(13)," "),CHAR(9)," "),CHAR(160)," "),"."," "),","," "),"-"," "),"/"," "),"("," "),")"," "),":"," "),";"," "),"_"," "),"–"," "),"?"," "),"!"," "),"*"," "),"["," "),"]"," "),"'"," "),"#"," "),"+"," "),"&amp;"," "),"\"," "))&amp;" "</f>
        <v>  </v>
      </c>
      <c r="BF404" s="61" t="str">
        <f aca="false">" "&amp;TRIM(SUBSTITUTE(SUBSTITUTE(SUBSTITUTE(SUBSTITUTE(SUBSTITUTE(SUBSTITUTE(SUBSTITUTE(SUBSTITUTE(SUBSTITUTE(SUBSTITUTE(SUBSTITUTE(SUBSTITUTE(SUBSTITUTE(SUBSTITUTE(SUBSTITUTE(SUBSTITUTE(SUBSTITUTE(SUBSTITUTE(SUBSTITUTE(SUBSTITUTE(SUBSTITUTE(SUBSTITUTE(SUBSTITUTE(SUBSTITUTE(LOWER(AC404&amp;""),CHAR(10)," "),CHAR(13)," "),CHAR(9)," "),CHAR(160)," "),"."," "),","," "),"-"," "),"/"," "),"("," "),")"," "),":"," "),";"," "),"_"," "),"–"," "),"?"," "),"!"," "),"*"," "),"["," "),"]"," "),"'"," "),"#"," "),"+"," "),"&amp;"," "),"\"," "))&amp;" "</f>
        <v>  </v>
      </c>
      <c r="BG404" s="61" t="n">
        <f aca="false">IFERROR(IF(AND(TRIM(U404)="Pass",SUMPRODUCT((LEN(BC404)-LEN(SUBSTITUTE(BC404," "&amp;L_ResultBad&amp;" "," ")))/(LEN(L_ResultBad)+1))&gt;SUMPRODUCT((LEN(BC404)-LEN(SUBSTITUTE(BC404," "&amp;L_NegPhrase&amp;" "," ")))/(LEN(L_NegPhrase)+1))),1,0),0)</f>
        <v>0</v>
      </c>
      <c r="BH404" s="61" t="n">
        <f aca="false">IFERROR(IF(SUMPRODUCT((LEN(BC404)-LEN(SUBSTITUTE(BC404," "&amp;L_Pending&amp;" "," ")))/(LEN(L_Pending)+1))&gt;SUMPRODUCT((LEN(BC404)-LEN(SUBSTITUTE(BC404," "&amp;L_PendNeg&amp;" "," ")))/(LEN(L_PendNeg)+1))+SUMPRODUCT((LEN(BC404)-LEN(SUBSTITUTE(BC404," "&amp;L_PendPrep&amp;" "," ")))/(LEN(L_PendPrep)+1)),1,0),1)</f>
        <v>0</v>
      </c>
      <c r="BI404" s="61" t="n">
        <f aca="false">IFERROR(IF(SUMPRODUCT((LEN(BD404)-LEN(SUBSTITUTE(BD404," "&amp;L_PendStrict&amp;" "," ")))/(LEN(L_PendStrict)+1))&gt;SUMPRODUCT((LEN(BD404)-LEN(SUBSTITUTE(BD404," "&amp;L_PendNeg&amp;" "," ")))/(LEN(L_PendNeg)+1)),1,0),1)</f>
        <v>0</v>
      </c>
      <c r="BJ404" s="61" t="n">
        <f aca="false">IFERROR(IF(SUMPRODUCT((LEN(BE404)-LEN(SUBSTITUTE(BE404," "&amp;L_Pending&amp;" "," ")))/(LEN(L_Pending)+1))&gt;SUMPRODUCT((LEN(BE404)-LEN(SUBSTITUTE(BE404," "&amp;L_PendNeg&amp;" "," ")))/(LEN(L_PendNeg)+1))+SUMPRODUCT((LEN(BE404)-LEN(SUBSTITUTE(BE404," "&amp;L_PendPrep&amp;" "," ")))/(LEN(L_PendPrep)+1)),1,0),1)</f>
        <v>0</v>
      </c>
      <c r="BK404" s="61" t="n">
        <f aca="false">IFERROR(IF(SUMPRODUCT((LEN(BF404)-LEN(SUBSTITUTE(BF404," "&amp;L_PendStrict&amp;" "," ")))/(LEN(L_PendStrict)+1))&gt;SUMPRODUCT((LEN(BF404)-LEN(SUBSTITUTE(BF404," "&amp;L_PendNeg&amp;" "," ")))/(LEN(L_PendNeg)+1)),1,0),1)</f>
        <v>0</v>
      </c>
      <c r="BL404" s="61" t="n">
        <f aca="false">IF(ISNA(MATCH(TRIM(S404),L_EvidenceType,0)),0,BZ404)</f>
        <v>0</v>
      </c>
      <c r="BM404" s="61" t="str">
        <f aca="false">SUBSTITUTE(SUBSTITUTE(SUBSTITUTE(SUBSTITUTE(SUBSTITUTE(SUBSTITUTE(SUBSTITUTE(SUBSTITUTE(SUBSTITUTE(LOWER(Z404&amp;""),"1","0"),"2","0"),"3","0"),"4","0"),"5","0"),"6","0"),"7","0"),"8","0"),"9","0")</f>
        <v/>
      </c>
      <c r="BN404" s="61" t="str">
        <f aca="false">SUBSTITUTE(SUBSTITUTE(SUBSTITUTE(SUBSTITUTE(SUBSTITUTE(SUBSTITUTE(SUBSTITUTE(SUBSTITUTE(SUBSTITUTE(SUBSTITUTE(SUBSTITUTE(SUBSTITUTE(SUBSTITUTE(SUBSTITUTE(SUBSTITUTE(SUBSTITUTE(SUBSTITUTE(SUBSTITUTE(SUBSTITUTE(SUBSTITUTE(SUBSTITUTE(SUBSTITUTE(SUBSTITUTE(SUBSTITUTE(SUBSTITUTE(BM404,"b","a"),"c","a"),"d","a"),"e","a"),"f","a"),"g","a"),"h","a"),"i","a"),"j","a"),"k","a"),"l","a"),"m","a"),"n","a"),"o","a"),"p","a"),"q","a"),"r","a"),"s","a"),"t","a"),"u","a"),"v","a"),"w","a"),"x","a"),"y","a"),"z","a")</f>
        <v/>
      </c>
      <c r="BO404" s="61" t="str">
        <f aca="false">SUBSTITUTE(SUBSTITUTE(SUBSTITUTE(SUBSTITUTE(SUBSTITUTE(SUBSTITUTE(SUBSTITUTE(SUBSTITUTE(SUBSTITUTE(LOWER(W404&amp;""),"1","0"),"2","0"),"3","0"),"4","0"),"5","0"),"6","0"),"7","0"),"8","0"),"9","0")</f>
        <v/>
      </c>
      <c r="BP404" s="61" t="str">
        <f aca="false">SUBSTITUTE(SUBSTITUTE(SUBSTITUTE(SUBSTITUTE(SUBSTITUTE(SUBSTITUTE(SUBSTITUTE(SUBSTITUTE(SUBSTITUTE(SUBSTITUTE(SUBSTITUTE(SUBSTITUTE(SUBSTITUTE(SUBSTITUTE(SUBSTITUTE(SUBSTITUTE(SUBSTITUTE(SUBSTITUTE(SUBSTITUTE(SUBSTITUTE(SUBSTITUTE(SUBSTITUTE(SUBSTITUTE(SUBSTITUTE(SUBSTITUTE(BO404,"b","a"),"c","a"),"d","a"),"e","a"),"f","a"),"g","a"),"h","a"),"i","a"),"j","a"),"k","a"),"l","a"),"m","a"),"n","a"),"o","a"),"p","a"),"q","a"),"r","a"),"s","a"),"t","a"),"u","a"),"v","a"),"w","a"),"x","a"),"y","a"),"z","a")</f>
        <v/>
      </c>
      <c r="BQ404" s="61" t="n">
        <f aca="false">IFERROR(IF(AND(ISERROR(SEARCH(" mh"," "&amp;LOWER(W404))),ISNA(MATCH(LEFT(TRIM(BP404),255),{"0000a","000a","00a","0000aa","000aa","00aa","0aa","0000aaa","000aaa","00a00","0a00","0000-0000","00:00","a00","a0","00.00.0000","00/00/0000","00-00-0000","0000-00-00","0000/00/00","0000.00.00","00.00.00","00/00/00","00-00-00","0.00.0000","0/00/0000","0-00-0000"},0)),ISNA(MATCH(LEFT(TRIM(CA404),255),{"0000a","000a","00a","0000aa","000aa","00aa","0aa","0000aaa","000aaa","00a00","0a00","0000-0000","00:00","a00","a0","00.00.0000","00/00/0000","00-00-0000","0000-00-00","0000/00/00","0000.00.00","00.00.00","00/00/00","00-00-00","0.00.0000","0/00/0000","0-00-0000"},0)),LEN(CB404)&gt;=3,NOT(OR(SUBSTITUTE(CB404,"0","")="",AND(LEN(CB404)&gt;=4,CB404=REPT(LEFT(CB404),LEN(CB404))),ISNUMBER(MATCH(CB404,{"123","1234","12345","123456","1234567","12345678","0123","01234","012345","98765","987654","54321"},0)),AND(LEN(CB404)=8,LEFT(CB404,3)="202"))),OR(AND((LEN(CA404)-LEN(SUBSTITUTE(CA404,"a","")))&gt;=1,SUMPRODUCT(--ISNUMBER(SEARCH({"a0","a-0","a_0","a/0","a.0","a#0","0a","0-a","0_a","0/a"},BP404)))&gt;0),ISNUMBER(SEARCH("000000",BP404)))),1,0),0)</f>
        <v>0</v>
      </c>
      <c r="BR404" s="61" t="n">
        <f aca="false">IFERROR(LEN(SUBSTITUTE(CC404," ",""))-SUMPRODUCT((LEN(CC404)-LEN(SUBSTITUTE(CC404," "&amp;L_Role&amp;" "," ")))/(LEN(L_Role)+1)*LEN(L_Role)),0)</f>
        <v>0</v>
      </c>
      <c r="BS404" s="61" t="n">
        <f aca="false">IFERROR(LEN(SUBSTITUTE(CD404," ",""))-SUMPRODUCT((LEN(CD404)-LEN(SUBSTITUTE(CD404," "&amp;L_Role&amp;" "," ")))/(LEN(L_Role)+1)*LEN(L_Role)),0)</f>
        <v>0</v>
      </c>
      <c r="BT4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404,"revision",""),"version",""),"jan",""),"feb",""),"mar",""),"apr",""),"may",""),"jun",""),"jul",""),"aug",""),"sep",""),"oct",""),"nov",""),"dec",""),"utc",""),"gmt",""),"myt",""),"bst",""),"rev",""),"ver",""),"b","a"),"c","a"),"d","a"),"e","a"),"f","a"),"g","a"),"h","a"),"i","a"),"j","a"),"k","a"),"l","a"),"m","a"),"n","a"),"o","a"),"p","a"),"q","a"),"r","a"),"s","a"),"t","a"),"u","a"),"v","a"),"w","a"),"x","a"),"y","a"),"z","a")</f>
        <v/>
      </c>
      <c r="BU404" s="61" t="str">
        <f aca="false">SUBSTITUTE(SUBSTITUTE(SUBSTITUTE(SUBSTITUTE(SUBSTITUTE(SUBSTITUTE(SUBSTITUTE(SUBSTITUTE(SUBSTITUTE(SUBSTITUTE(LEFT(BM404,FIND("0",BM404&amp;"0")-1),"-",""),"_",""),"/",""),".",""),"#",""),"\\",""),":","")," ",""),"(",""),")","")</f>
        <v/>
      </c>
      <c r="BV404" s="61" t="n">
        <f aca="false">0</f>
        <v>0</v>
      </c>
      <c r="BW4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404&amp;""),"a",""),"b",""),"c",""),"d",""),"e",""),"f",""),"g",""),"h",""),"i",""),"j",""),"k",""),"l",""),"m",""),"n",""),"o",""),"p",""),"q",""),"r",""),"s",""),"t",""),"u",""),"v",""),"w",""),"x",""),"y",""),"z",""),"-",""),"_",""),"/",""),".",""),"#",""),"\\",""),":","")," ",""),"(",""),")","")</f>
        <v/>
      </c>
      <c r="BX404" s="61" t="str">
        <f aca="false">SUBSTITUTE(SUBSTITUTE(SUBSTITUTE(SUBSTITUTE(SUBSTITUTE(SUBSTITUTE(SUBSTITUTE(SUBSTITUTE(SUBSTITUTE(SUBSTITUTE(SUBSTITUTE(BM404,"0",""),"-",""),"_",""),"/",""),".",""),"#",""),"\\",""),":","")," ",""),"(",""),")","")</f>
        <v/>
      </c>
      <c r="BY404" s="62" t="n">
        <f aca="false">Q404-T12EarlyH/24</f>
        <v>46306.6006944444</v>
      </c>
      <c r="BZ404" s="61" t="n">
        <f aca="false">IFERROR(IF(IF(TRIM(S404)="Link / file path",AND(LEN(TRIM(Z404))&gt;=5,SUMPRODUCT(--ISNUMBER(SEARCH({"http","www.","\\",":\",".pdf",".jpg",".jpeg",".png",".heic",".xls",".doc",".msg",".eml",".ppt",".txt",".zip"},Z404)))&gt;0),AND(ISERROR(FIND(" ",TRIM(Z404))),NOT(OR(SUMPRODUCT(--ISNUMBER(FIND({",",";","&amp;","+"},Z404)))&gt;0,SUMPRODUCT(--ISNUMBER(SEARCH({"0/aa","0\\aa"},BN404)))&gt;0)),NOT(SUMPRODUCT(--ISNUMBER(SEARCH({"http","www.","\\",":\",".pdf",".jpg",".jpeg",".png",".heic",".xls",".doc",".msg",".eml",".ppt",".txt",".zip"},Z404)))&gt;0),NOT(LOWER(TRIM(Z404))=LOWER(Flights!$F$16)),ISNA(MATCH(BU404,{"mh","rev","revision","ver","version","v","r","a","b","seat","tray","row","gate","bay","stand","page","pg","item","line","no","cart","galley","flight","flt","table","box","bag","oven","etd","eta","std","sta","atd","ata","qty","pax","x","time","tel","ph","mob","day","wk","week","utc","gmt","myt","lt"},0)),NOT(OR(ISNUMBER(MATCH(LEFT(BN404,255),{"0000a","000a","00a","0000aa","000aa","00aa","0aa","0000aaa","000aaa","00a00","0a00","0000-0000","00:00","a00","a0","00.00.0000","00/00/0000","00-00-0000","0000-00-00","0000/00/00","0000.00.00","00.00.00","00/00/00","00-00-00","0.00.0000","0/00/0000","0-00-0000"},0)),ISNUMBER(MATCH(LEFT(BT404,255),{"0000a","000a","00a","0000aa","000aa","00aa","0aa","0000aaa","000aaa","00a00","0a00","0000-0000","00:00","a00","a0","00.00.0000","00/00/0000","00-00-0000","0000-00-00","0000/00/00","0000.00.00","00.00.00","00/00/00","00-00-00","0.00.0000","0/00/0000","0-00-0000"},0)))),NOT(OR(AND(BW404&lt;&gt;"",SUBSTITUTE(BW404,"0","")=""),AND(LEN(BW404)&gt;=4,BW404=REPT(LEFT(BW404),LEN(BW404))),ISNUMBER(MATCH(BW404,{"123","1234","12345","123456","1234567","12345678","0123","01234","012345","98765","987654","54321"},0)),ISNUMBER(MATCH(BX404,{"x","xx","xxx","xxxx","xxxxx","abc","abcd","nil","na","nan","test","tbc","tba","tbd","dummy","sample","example","eg","zz","zzz","none","null","xyz","qwe","asd","id","ref"},0)),AND(LEN(BW404)=8,BX404="",OR(LEFT(BW404,3)="202",ISNUMBER(MATCH(RIGHT(BW404,4),{"2025","2026","2027"},0)))))),OR(AND((LEN(BT404)-LEN(SUBSTITUTE(BT404,"a","")))&gt;=1,(LEN(BN404)-LEN(SUBSTITUTE(BN404,"0","")))&gt;=2,SUMPRODUCT(--ISNUMBER(SEARCH({"a0","a-0","a_0","a/0","a.0","a#0","0a","0-a","0_a","0/a"},BN404)))&gt;0),AND((LEN(BN404)-LEN(SUBSTITUTE(BN404,"a","")))=0,(LEN(BN404)-LEN(SUBSTITUTE(BN404,"0","")))&gt;=5)))),1,0),0)</f>
        <v>0</v>
      </c>
      <c r="CA4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404,"revision",""),"version",""),"jan",""),"feb",""),"mar",""),"apr",""),"may",""),"jun",""),"jul",""),"aug",""),"sep",""),"oct",""),"nov",""),"dec",""),"utc",""),"gmt",""),"myt",""),"bst",""),"rev",""),"ver",""),"b","a"),"c","a"),"d","a"),"e","a"),"f","a"),"g","a"),"h","a"),"i","a"),"j","a"),"k","a"),"l","a"),"m","a"),"n","a"),"o","a"),"p","a"),"q","a"),"r","a"),"s","a"),"t","a"),"u","a"),"v","a"),"w","a"),"x","a"),"y","a"),"z","a")</f>
        <v/>
      </c>
      <c r="CB4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404&amp;""),"a",""),"b",""),"c",""),"d",""),"e",""),"f",""),"g",""),"h",""),"i",""),"j",""),"k",""),"l",""),"m",""),"n",""),"o",""),"p",""),"q",""),"r",""),"s",""),"t",""),"u",""),"v",""),"w",""),"x",""),"y",""),"z",""),"-",""),"_",""),"/",""),".",""),"#",""),"\\",""),":","")," ",""),"(",""),")","")</f>
        <v/>
      </c>
      <c r="CC404" s="0" t="str">
        <f aca="false">" "&amp;TRIM(SUBSTITUTE(SUBSTITUTE(SUBSTITUTE(SUBSTITUTE(SUBSTITUTE(SUBSTITUTE(SUBSTITUTE(SUBSTITUTE(SUBSTITUTE(SUBSTITUTE(SUBSTITUTE(SUBSTITUTE(SUBSTITUTE(SUBSTITUTE(SUBSTITUTE(SUBSTITUTE(SUBSTITUTE(SUBSTITUTE(SUBSTITUTE(SUBSTITUTE(SUBSTITUTE(SUBSTITUTE(SUBSTITUTE(SUBSTITUTE(LOWER(T404&amp;""),CHAR(10)," "),CHAR(13)," "),CHAR(9)," "),CHAR(160)," "),"."," "),","," "),"-"," "),"/"," "),"("," "),")"," "),":"," "),";"," "),"_"," "),"–"," "),"?"," "),"!"," "),"*"," "),"["," "),"]"," "),"'"," "),"#"," "),"+"," "),"&amp;"," "),"\"," "))&amp;" "</f>
        <v>  </v>
      </c>
      <c r="CD404" s="0" t="str">
        <f aca="false">" "&amp;TRIM(SUBSTITUTE(SUBSTITUTE(SUBSTITUTE(SUBSTITUTE(SUBSTITUTE(SUBSTITUTE(SUBSTITUTE(SUBSTITUTE(SUBSTITUTE(SUBSTITUTE(SUBSTITUTE(SUBSTITUTE(SUBSTITUTE(SUBSTITUTE(SUBSTITUTE(SUBSTITUTE(SUBSTITUTE(SUBSTITUTE(SUBSTITUTE(SUBSTITUTE(SUBSTITUTE(SUBSTITUTE(SUBSTITUTE(SUBSTITUTE(LOWER(AE404&amp;""),CHAR(10)," "),CHAR(13)," "),CHAR(9)," "),CHAR(160)," "),"."," "),","," "),"-"," "),"/"," "),"("," "),")"," "),":"," "),";"," "),"_"," "),"–"," "),"?"," "),"!"," "),"*"," "),"["," "),"]"," "),"'"," "),"#"," "),"+"," "),"&amp;"," "),"\"," "))&amp;" "</f>
        <v>  </v>
      </c>
      <c r="CE404" s="68" t="n">
        <f aca="false">IFERROR(IF(AND(LEN(AU404)&gt;0,LEN(AU404)=LEN(AX404),OR(TRIM(MID(SUBSTITUTE(TRIM(CC404)," ",REPT(" ",60)),1,60))="",ISNUMBER(SEARCH(" "&amp;TRIM(MID(SUBSTITUTE(TRIM(CC404)," ",REPT(" ",60)),1,60))&amp;" ",CD404))),OR(TRIM(MID(SUBSTITUTE(TRIM(CC404)," ",REPT(" ",60)),61,60))="",ISNUMBER(SEARCH(" "&amp;TRIM(MID(SUBSTITUTE(TRIM(CC404)," ",REPT(" ",60)),61,60))&amp;" ",CD404))),OR(TRIM(MID(SUBSTITUTE(TRIM(CC404)," ",REPT(" ",60)),121,60))="",ISNUMBER(SEARCH(" "&amp;TRIM(MID(SUBSTITUTE(TRIM(CC404)," ",REPT(" ",60)),121,60))&amp;" ",CD404)))),1,0),0)</f>
        <v>0</v>
      </c>
      <c r="CG404" s="68" t="n">
        <f aca="false">IFERROR(LEN(SUBSTITUTE(BF404," ",""))-SUMPRODUCT((LEN(BF404)-LEN(SUBSTITUTE(BF404," "&amp;L_NAFiller&amp;" "," ")))/(LEN(L_NAFiller)+1)*LEN(L_NAFiller)),0)</f>
        <v>0</v>
      </c>
    </row>
    <row r="405" customFormat="false" ht="41.25" hidden="false" customHeight="true" outlineLevel="0" collapsed="false">
      <c r="A405" s="57" t="s">
        <v>1029</v>
      </c>
      <c r="B405" s="57" t="s">
        <v>261</v>
      </c>
      <c r="C405" s="57" t="str">
        <f aca="false">Flights!$F$16</f>
        <v>MH0139</v>
      </c>
      <c r="D405" s="58" t="n">
        <f aca="false">Flights!$D$16</f>
        <v>46307</v>
      </c>
      <c r="E405" s="57" t="str">
        <f aca="false">Flights!$G$16&amp;"-"&amp;Flights!$H$16</f>
        <v>KUL-ADL</v>
      </c>
      <c r="F405" s="57" t="str">
        <f aca="false">Flights!$K$16</f>
        <v>BC</v>
      </c>
      <c r="G405" s="57" t="s">
        <v>420</v>
      </c>
      <c r="H405" s="57" t="s">
        <v>378</v>
      </c>
      <c r="I405" s="57" t="s">
        <v>499</v>
      </c>
      <c r="J405" s="57" t="s">
        <v>523</v>
      </c>
      <c r="K405" s="67" t="s">
        <v>501</v>
      </c>
      <c r="L405" s="67" t="s">
        <v>1030</v>
      </c>
      <c r="M405" s="67" t="s">
        <v>451</v>
      </c>
      <c r="N405" s="67" t="s">
        <v>383</v>
      </c>
      <c r="O405" s="67" t="s">
        <v>503</v>
      </c>
      <c r="P405" s="57" t="s">
        <v>187</v>
      </c>
      <c r="Q405" s="59" t="n">
        <f aca="false">ROUND((Flights!$AE$16)*1440,0)/1440</f>
        <v>46307.1006944444</v>
      </c>
      <c r="R405" s="59" t="n">
        <f aca="false">Q405+(IF(AND(INDEX(TZ_DSTS,MATCH(P405,TZ_STN,0))&lt;&gt;"",Q405&gt;=INDEX(TZ_DSTS,MATCH(P405,TZ_STN,0)),Q405&lt;INDEX(TZ_DSTE,MATCH(P405,TZ_STN,0))),INDEX(TZ_DST,MATCH(P405,TZ_STN,0)),INDEX(TZ_STD,MATCH(P405,TZ_STN,0))))/24</f>
        <v>46307.4340277778</v>
      </c>
      <c r="S405" s="60"/>
      <c r="T405" s="60"/>
      <c r="U405" s="60"/>
      <c r="V405" s="60"/>
      <c r="W405" s="61"/>
      <c r="X405" s="60"/>
      <c r="Y405" s="60"/>
      <c r="Z405" s="60"/>
      <c r="AA405" s="60"/>
      <c r="AB405" s="60"/>
      <c r="AC405" s="60"/>
      <c r="AD405" s="66"/>
      <c r="AE405" s="60"/>
      <c r="AF405" s="61" t="str">
        <f aca="false">IF(AND(ISNUMBER(X405),ISNUMBER(Y405)),Y405-X405,"")</f>
        <v/>
      </c>
      <c r="AG405" s="62" t="str">
        <f aca="false">IF(ISNUMBER(AD405),AD405-(IF(AND(INDEX(TZ_DSTS,MATCH(P405,TZ_STN,0))&lt;&gt;"",(AD405-INDEX(TZ_STD,MATCH(P405,TZ_STN,0))/24)&gt;=INDEX(TZ_DSTS,MATCH(P405,TZ_STN,0)),(AD405-INDEX(TZ_STD,MATCH(P405,TZ_STN,0))/24)&lt;INDEX(TZ_DSTE,MATCH(P405,TZ_STN,0))),INDEX(TZ_DST,MATCH(P405,TZ_STN,0)),INDEX(TZ_STD,MATCH(P405,TZ_STN,0))))/24,"")</f>
        <v/>
      </c>
      <c r="AH405" s="65" t="str">
        <f aca="false">IFERROR(IF(N405="N/A – rule",IF(OR(TRIM(U405)="",TRIM(U405)="N/A",TRIM(U405)="Not started"),"N/A – RULE","INVALID – this check does not apply to this aircraft: clear the status (or correct the fleet on Flights)"),IF(TRIM(U405)="N/A",IF(AT405=0,"INVALID – N/A not permitted for this check",IF(AND(TRIM(AB405)&lt;&gt;"",TRIM(AB405)&lt;&gt;"Closed"),"INVALID – corrective action still open",IF(AND(NOT(OR(LEN(AZ405)&lt;15,ISNUMBER(MATCH(AZ405,L_Placeholder,0)))),BK405=0,CG405&gt;=8,NOT(OR(LEN(AU405)&lt;2,ISNUMBER(MATCH(AU405,L_Placeholder,0)))),BR405&gt;=3,NOT(OR(LEN(AX405)&lt;2,ISNUMBER(MATCH(AX405,L_Placeholder,0)))),BS405&gt;=3,TRIM(AE405)&lt;&gt;TRIM(T405),AX405&lt;&gt;AU405,CE405=0),"N/A – JUSTIFIED","INVALID – N/A needs a real, settled reason (not 'not applicable' / 'as above' / TBC), a named PIC and a different named verifier"))),IF(OR(TRIM(U405)="Pass",TRIM(U405)="Pass after CA"),IF(NOT(ISNUMBER(AD405)),"INVALID – completion time missing",IF(OR(OR(LEN(AU405)&lt;2,ISNUMBER(MATCH(AU405,L_Placeholder,0))),BR405&lt;3),"INVALID – PIC missing or not a named person (a role such as QA / CSM is not a name)",IF(OR(LEN(AV405)&lt;2,ISNUMBER(MATCH(AV405,L_Placeholder,0))),"INVALID – result / assessment missing",IF(OR(OR(LEN(AW405)&lt;3,ISNUMBER(MATCH(AW405,L_Placeholder,0))),SUMPRODUCT(--ISNUMBER(SEARCH(" "&amp;L_EvidencePhrase&amp;" ",BD405)))&gt;0,BI405=1),"INVALID – evidence missing, placeholder or not yet on file",IF(ISNA(MATCH(TRIM(S405),L_EvidenceType,0)),"INVALID – choose the evidence type from the list (column S)",IF(BL405=0,"INVALID – evidence ID must be the record's own ID only (e.g. SF-2210, IMG_2231, 1045521); a link / file name needs type 'Link / file path'",IF(OR(OR(LEN(AX405)&lt;2,ISNUMBER(MATCH(AX405,L_Placeholder,0))),BS405&lt;3),"INVALID – verifier missing or not a named person (a role such as QA / CSM is not a name)",IF(OR(AX405=AU405,CE405=1,AND(LEN(AU405)&gt;=4,ISNUMBER(SEARCH(AU405,AX405))),AND(LEN(AX405)&gt;=4,ISNUMBER(SEARCH(AX405,AU405)))),"INVALID – verifier must be a different, named person (not the PIC or a role)",IF(BH405=1,"INVALID – result not yet available (awaiting / TBC)",IF(BG405=1,"INVALID – result describes a problem: record Fail, then Pass after CA (or reword if it is not a problem)",IF(BV405=1,"INVALID – wording says not on board: an on-board confirmation needs the item loaded",IF(AND(AQ405=1,OR(OR(LEN(AY405)&lt;3,ISNUMBER(MATCH(AY405,L_Placeholder,0))),BJ405=1,BQ405=0)),"INVALID – batch ID missing, placeholder or not an ID (e.g. PASB-261008-BC-017)",IF(AND(AR405=1,OR(NOT(ISNUMBER(X405)),NOT(ISNUMBER(Y405)))),"INVALID – expected/actual qty missing",IF(AND(AR405=1,OR(X405&lt;=0,Y405&lt;0)),"INVALID – expected qty must be above 0 and actual not negative",IF(BB405&lt;&gt;"",BB405,IF(AND(AS405=1,Documents!$J$16&lt;&gt;"ON FILE"),"INVALID – GLD not on file (Documents sheet)",IF(AND(AS405=2,Documents!$O$16&lt;&gt;"ON FILE"),"INVALID – menu checklist not on file (Documents sheet)",IF(AND(AS405=3,NOT(ISNUMBER(Flights!$AX$16))),"INVALID – enter carrying flight KUL departure (Flights AX)",IF(AND(AS405=3,OR(Flights!$AZ$16&gt;Flights!$AA$16,Flights!$AX$16&lt;Flights!$AA$16-3)),"INVALID – carrying flight (Flights AX) cannot arrive before this leg's STD, or is over 3 days early",IF(AG405&gt;AsOfUTC,"INVALID – completion time is in the future",IF(AND(ISNUMBER(BY405),AG405&lt;BY405),IF(H405="Physical uplift","INVALID – before uplift window (cannot confirm loading)","INVALID – before valid window"),IF(AG405&gt;Flights!$AA$16,"INVALID – completed after departure (cannot establish readiness)",IF(AND(H405="Preparation",AG405&gt;=IF(ISNUMBER(Flights!$BA$16),MIN(Flights!$BA$16,Flights!$AA$16),Flights!$AA$16)),"INVALID – completed after loading / departure (cannot establish readiness)",IF(AND(H405="Physical uplift",AG405&gt;Q405),"INVALID – recorded after the loading flight departed",IF(AG405&gt;Q405,"COMPLETE – LATE","COMPLETE"))))))))))))))))))))))))),IF(TRIM(U405)="Fail","FAIL – DISCREPANCY",IF(AND(TRIM(U405)&lt;&gt;"",TRIM(U405)&lt;&gt;"Not started",TRIM(U405)&lt;&gt;"In progress"),"INVALID – unrecognised status (use the list)",IF(AsOfUTC&gt;Q405,"OVERDUE",IF(N405="Clarification required","OPEN – CLARIFICATION","OPEN"))))))),"INVALID – error value in an input cell")</f>
        <v>OPEN</v>
      </c>
      <c r="AI405" s="61" t="n">
        <f aca="false">IF(OR(AH405="N/A – RULE",AH405="N/A – JUSTIFIED"),0,1)</f>
        <v>1</v>
      </c>
      <c r="AJ405" s="61" t="n">
        <f aca="false">IF(LEFT(AH405,8)="COMPLETE",1,0)</f>
        <v>0</v>
      </c>
      <c r="AK405" s="61" t="n">
        <f aca="false">IF(AND(AI405=1,AJ405=0,AsOfUTC&gt;Q405),1,0)</f>
        <v>0</v>
      </c>
      <c r="AL405" s="61" t="n">
        <f aca="false">IFERROR(IF(AND(AI405=1,OR(TRIM(U405)="Fail",AND(TRIM(AB405)&lt;&gt;"",TRIM(AB405)&lt;&gt;"Closed"),AND(ISNUMBER(AF405),AF405&lt;&gt;0,TRIM(U405)&lt;&gt;"Pass after CA"))),1,0),1)</f>
        <v>0</v>
      </c>
      <c r="AM405" s="61" t="n">
        <f aca="false">IF(LEFT(AH405,7)="INVALID",1,0)</f>
        <v>0</v>
      </c>
      <c r="AN405" s="61" t="n">
        <f aca="false">IF(AND(N405="Clarification required",AI405=1,AJ405=0),1,0)</f>
        <v>0</v>
      </c>
      <c r="AO405" s="61" t="str">
        <f aca="false">IF(AK405=1,SUM(AK$5:AK405),"")</f>
        <v/>
      </c>
      <c r="AP405" s="61" t="str">
        <f aca="false">IF(AL405=1,SUM(AL$5:AL405),"")</f>
        <v/>
      </c>
      <c r="AQ405" s="61" t="n">
        <v>0</v>
      </c>
      <c r="AR405" s="61" t="n">
        <v>0</v>
      </c>
      <c r="AS405" s="61" t="n">
        <v>0</v>
      </c>
      <c r="AT405" s="61" t="n">
        <v>0</v>
      </c>
      <c r="AU405" s="61" t="str">
        <f aca="false">SUBSTITUTE(SUBSTITUTE(SUBSTITUTE(SUBSTITUTE(SUBSTITUTE(SUBSTITUTE(SUBSTITUTE(SUBSTITUTE(SUBSTITUTE(SUBSTITUTE(SUBSTITUTE(SUBSTITUTE(SUBSTITUTE(SUBSTITUTE(SUBSTITUTE(SUBSTITUTE(LOWER(T405&amp;""),CHAR(10),""),CHAR(13),""),CHAR(9),""),CHAR(160),"")," ",""),".",""),"-",""),"/",""),"?",""),"_",""),",",""),"[",""),"]",""),"(",""),")",""),"*","")</f>
        <v/>
      </c>
      <c r="AV405" s="61" t="str">
        <f aca="false">SUBSTITUTE(SUBSTITUTE(SUBSTITUTE(SUBSTITUTE(SUBSTITUTE(SUBSTITUTE(SUBSTITUTE(SUBSTITUTE(SUBSTITUTE(SUBSTITUTE(SUBSTITUTE(SUBSTITUTE(SUBSTITUTE(SUBSTITUTE(SUBSTITUTE(SUBSTITUTE(LOWER(V405&amp;""),CHAR(10),""),CHAR(13),""),CHAR(9),""),CHAR(160),"")," ",""),".",""),"-",""),"/",""),"?",""),"_",""),",",""),"[",""),"]",""),"(",""),")",""),"*","")</f>
        <v/>
      </c>
      <c r="AW405" s="61" t="str">
        <f aca="false">SUBSTITUTE(SUBSTITUTE(SUBSTITUTE(SUBSTITUTE(SUBSTITUTE(SUBSTITUTE(SUBSTITUTE(SUBSTITUTE(SUBSTITUTE(SUBSTITUTE(SUBSTITUTE(SUBSTITUTE(SUBSTITUTE(SUBSTITUTE(SUBSTITUTE(SUBSTITUTE(LOWER(Z405&amp;""),CHAR(10),""),CHAR(13),""),CHAR(9),""),CHAR(160),"")," ",""),".",""),"-",""),"/",""),"?",""),"_",""),",",""),"[",""),"]",""),"(",""),")",""),"*","")</f>
        <v/>
      </c>
      <c r="AX405" s="61" t="str">
        <f aca="false">SUBSTITUTE(SUBSTITUTE(SUBSTITUTE(SUBSTITUTE(SUBSTITUTE(SUBSTITUTE(SUBSTITUTE(SUBSTITUTE(SUBSTITUTE(SUBSTITUTE(SUBSTITUTE(SUBSTITUTE(SUBSTITUTE(SUBSTITUTE(SUBSTITUTE(SUBSTITUTE(LOWER(AE405&amp;""),CHAR(10),""),CHAR(13),""),CHAR(9),""),CHAR(160),"")," ",""),".",""),"-",""),"/",""),"?",""),"_",""),",",""),"[",""),"]",""),"(",""),")",""),"*","")</f>
        <v/>
      </c>
      <c r="AY405" s="61" t="str">
        <f aca="false">SUBSTITUTE(SUBSTITUTE(SUBSTITUTE(SUBSTITUTE(SUBSTITUTE(SUBSTITUTE(SUBSTITUTE(SUBSTITUTE(SUBSTITUTE(SUBSTITUTE(SUBSTITUTE(SUBSTITUTE(SUBSTITUTE(SUBSTITUTE(SUBSTITUTE(SUBSTITUTE(LOWER(W405&amp;""),CHAR(10),""),CHAR(13),""),CHAR(9),""),CHAR(160),"")," ",""),".",""),"-",""),"/",""),"?",""),"_",""),",",""),"[",""),"]",""),"(",""),")",""),"*","")</f>
        <v/>
      </c>
      <c r="AZ405" s="61" t="str">
        <f aca="false">SUBSTITUTE(SUBSTITUTE(SUBSTITUTE(SUBSTITUTE(SUBSTITUTE(SUBSTITUTE(SUBSTITUTE(SUBSTITUTE(SUBSTITUTE(SUBSTITUTE(SUBSTITUTE(SUBSTITUTE(SUBSTITUTE(SUBSTITUTE(SUBSTITUTE(SUBSTITUTE(LOWER(AC405&amp;""),CHAR(10),""),CHAR(13),""),CHAR(9),""),CHAR(160),"")," ",""),".",""),"-",""),"/",""),"?",""),"_",""),",",""),"[",""),"]",""),"(",""),")",""),"*","")</f>
        <v/>
      </c>
      <c r="BA405" s="61" t="str">
        <f aca="false">SUBSTITUTE(SUBSTITUTE(SUBSTITUTE(SUBSTITUTE(SUBSTITUTE(SUBSTITUTE(SUBSTITUTE(SUBSTITUTE(SUBSTITUTE(SUBSTITUTE(SUBSTITUTE(SUBSTITUTE(SUBSTITUTE(SUBSTITUTE(SUBSTITUTE(SUBSTITUTE(LOWER(AA405&amp;""),CHAR(10),""),CHAR(13),""),CHAR(9),""),CHAR(160),"")," ",""),".",""),"-",""),"/",""),"?",""),"_",""),",",""),"[",""),"]",""),"(",""),")",""),"*","")</f>
        <v/>
      </c>
      <c r="BB405" s="61" t="str">
        <f aca="false">IF(AND(TRIM(U405)="Pass",ISNUMBER(AF405)),IF(AF405&lt;&gt;0,"INVALID – qty variance: use Fail or Pass after CA",""),"")&amp;IF(AND(TRIM(U405)="Pass after CA",ISNUMBER(AF405)),IF(AF405&lt;&gt;0,"INVALID – after the corrective action the actual qty must equal expected (update Actual)",""),"")&amp;IF(AND(TRIM(U405)="Pass",TRIM(AB405)&lt;&gt;"",TRIM(AB405)&lt;&gt;"Closed"),"INVALID – corrective action not closed: use Fail, then Pass after CA","")&amp;IF(AND(LEN(BA405)&gt;=2,ISNA(MATCH(LEFT(BA405,255),L_Placeholder,0)),TRIM(AB405)=""),"INVALID – CA status missing for the recorded corrective action","")&amp;IF(AND(TRIM(U405)="Pass after CA",OR(OR(LEN(BA405)&lt;5,ISNUMBER(MATCH(BA405,L_Placeholder,0))),TRIM(AB405)&lt;&gt;"Closed")),"INVALID – corrective action not recorded/closed","")</f>
        <v/>
      </c>
      <c r="BC405" s="61" t="str">
        <f aca="false">" "&amp;TRIM(SUBSTITUTE(SUBSTITUTE(SUBSTITUTE(SUBSTITUTE(SUBSTITUTE(SUBSTITUTE(SUBSTITUTE(SUBSTITUTE(SUBSTITUTE(SUBSTITUTE(SUBSTITUTE(SUBSTITUTE(SUBSTITUTE(SUBSTITUTE(SUBSTITUTE(SUBSTITUTE(SUBSTITUTE(SUBSTITUTE(SUBSTITUTE(SUBSTITUTE(SUBSTITUTE(SUBSTITUTE(SUBSTITUTE(SUBSTITUTE(LOWER(V405&amp;""),CHAR(10)," "),CHAR(13)," "),CHAR(9)," "),CHAR(160)," "),"."," "),","," "),"-"," "),"/"," "),"("," "),")"," "),":"," "),";"," "),"_"," "),"–"," "),"?"," "),"!"," "),"*"," "),"["," "),"]"," "),"'"," "),"#"," "),"+"," "),"&amp;"," "),"\"," "))&amp;" "</f>
        <v>  </v>
      </c>
      <c r="BD405" s="61" t="str">
        <f aca="false">" "&amp;TRIM(SUBSTITUTE(SUBSTITUTE(SUBSTITUTE(SUBSTITUTE(SUBSTITUTE(SUBSTITUTE(SUBSTITUTE(SUBSTITUTE(SUBSTITUTE(SUBSTITUTE(SUBSTITUTE(SUBSTITUTE(SUBSTITUTE(SUBSTITUTE(SUBSTITUTE(SUBSTITUTE(SUBSTITUTE(SUBSTITUTE(SUBSTITUTE(SUBSTITUTE(SUBSTITUTE(SUBSTITUTE(SUBSTITUTE(SUBSTITUTE(LOWER(Z405&amp;""),CHAR(10)," "),CHAR(13)," "),CHAR(9)," "),CHAR(160)," "),"."," "),","," "),"-"," "),"/"," "),"("," "),")"," "),":"," "),";"," "),"_"," "),"–"," "),"?"," "),"!"," "),"*"," "),"["," "),"]"," "),"'"," "),"#"," "),"+"," "),"&amp;"," "),"\"," "))&amp;" "</f>
        <v>  </v>
      </c>
      <c r="BE405" s="61" t="str">
        <f aca="false">" "&amp;TRIM(SUBSTITUTE(SUBSTITUTE(SUBSTITUTE(SUBSTITUTE(SUBSTITUTE(SUBSTITUTE(SUBSTITUTE(SUBSTITUTE(SUBSTITUTE(SUBSTITUTE(SUBSTITUTE(SUBSTITUTE(SUBSTITUTE(SUBSTITUTE(SUBSTITUTE(SUBSTITUTE(SUBSTITUTE(SUBSTITUTE(SUBSTITUTE(SUBSTITUTE(SUBSTITUTE(SUBSTITUTE(SUBSTITUTE(SUBSTITUTE(LOWER(W405&amp;""),CHAR(10)," "),CHAR(13)," "),CHAR(9)," "),CHAR(160)," "),"."," "),","," "),"-"," "),"/"," "),"("," "),")"," "),":"," "),";"," "),"_"," "),"–"," "),"?"," "),"!"," "),"*"," "),"["," "),"]"," "),"'"," "),"#"," "),"+"," "),"&amp;"," "),"\"," "))&amp;" "</f>
        <v>  </v>
      </c>
      <c r="BF405" s="61" t="str">
        <f aca="false">" "&amp;TRIM(SUBSTITUTE(SUBSTITUTE(SUBSTITUTE(SUBSTITUTE(SUBSTITUTE(SUBSTITUTE(SUBSTITUTE(SUBSTITUTE(SUBSTITUTE(SUBSTITUTE(SUBSTITUTE(SUBSTITUTE(SUBSTITUTE(SUBSTITUTE(SUBSTITUTE(SUBSTITUTE(SUBSTITUTE(SUBSTITUTE(SUBSTITUTE(SUBSTITUTE(SUBSTITUTE(SUBSTITUTE(SUBSTITUTE(SUBSTITUTE(LOWER(AC405&amp;""),CHAR(10)," "),CHAR(13)," "),CHAR(9)," "),CHAR(160)," "),"."," "),","," "),"-"," "),"/"," "),"("," "),")"," "),":"," "),";"," "),"_"," "),"–"," "),"?"," "),"!"," "),"*"," "),"["," "),"]"," "),"'"," "),"#"," "),"+"," "),"&amp;"," "),"\"," "))&amp;" "</f>
        <v>  </v>
      </c>
      <c r="BG405" s="61" t="n">
        <f aca="false">IFERROR(IF(AND(TRIM(U405)="Pass",SUMPRODUCT((LEN(BC405)-LEN(SUBSTITUTE(BC405," "&amp;L_ResultBad&amp;" "," ")))/(LEN(L_ResultBad)+1))&gt;SUMPRODUCT((LEN(BC405)-LEN(SUBSTITUTE(BC405," "&amp;L_NegPhrase&amp;" "," ")))/(LEN(L_NegPhrase)+1))),1,0),0)</f>
        <v>0</v>
      </c>
      <c r="BH405" s="61" t="n">
        <f aca="false">IFERROR(IF(SUMPRODUCT((LEN(BC405)-LEN(SUBSTITUTE(BC405," "&amp;L_Pending&amp;" "," ")))/(LEN(L_Pending)+1))&gt;SUMPRODUCT((LEN(BC405)-LEN(SUBSTITUTE(BC405," "&amp;L_PendNeg&amp;" "," ")))/(LEN(L_PendNeg)+1))+SUMPRODUCT((LEN(BC405)-LEN(SUBSTITUTE(BC405," "&amp;L_PendPrep&amp;" "," ")))/(LEN(L_PendPrep)+1)),1,0),1)</f>
        <v>0</v>
      </c>
      <c r="BI405" s="61" t="n">
        <f aca="false">IFERROR(IF(SUMPRODUCT((LEN(BD405)-LEN(SUBSTITUTE(BD405," "&amp;L_PendStrict&amp;" "," ")))/(LEN(L_PendStrict)+1))&gt;SUMPRODUCT((LEN(BD405)-LEN(SUBSTITUTE(BD405," "&amp;L_PendNeg&amp;" "," ")))/(LEN(L_PendNeg)+1)),1,0),1)</f>
        <v>0</v>
      </c>
      <c r="BJ405" s="61" t="n">
        <f aca="false">IFERROR(IF(SUMPRODUCT((LEN(BE405)-LEN(SUBSTITUTE(BE405," "&amp;L_Pending&amp;" "," ")))/(LEN(L_Pending)+1))&gt;SUMPRODUCT((LEN(BE405)-LEN(SUBSTITUTE(BE405," "&amp;L_PendNeg&amp;" "," ")))/(LEN(L_PendNeg)+1))+SUMPRODUCT((LEN(BE405)-LEN(SUBSTITUTE(BE405," "&amp;L_PendPrep&amp;" "," ")))/(LEN(L_PendPrep)+1)),1,0),1)</f>
        <v>0</v>
      </c>
      <c r="BK405" s="61" t="n">
        <f aca="false">IFERROR(IF(SUMPRODUCT((LEN(BF405)-LEN(SUBSTITUTE(BF405," "&amp;L_PendStrict&amp;" "," ")))/(LEN(L_PendStrict)+1))&gt;SUMPRODUCT((LEN(BF405)-LEN(SUBSTITUTE(BF405," "&amp;L_PendNeg&amp;" "," ")))/(LEN(L_PendNeg)+1)),1,0),1)</f>
        <v>0</v>
      </c>
      <c r="BL405" s="61" t="n">
        <f aca="false">IF(ISNA(MATCH(TRIM(S405),L_EvidenceType,0)),0,BZ405)</f>
        <v>0</v>
      </c>
      <c r="BM405" s="61" t="str">
        <f aca="false">SUBSTITUTE(SUBSTITUTE(SUBSTITUTE(SUBSTITUTE(SUBSTITUTE(SUBSTITUTE(SUBSTITUTE(SUBSTITUTE(SUBSTITUTE(LOWER(Z405&amp;""),"1","0"),"2","0"),"3","0"),"4","0"),"5","0"),"6","0"),"7","0"),"8","0"),"9","0")</f>
        <v/>
      </c>
      <c r="BN405" s="61" t="str">
        <f aca="false">SUBSTITUTE(SUBSTITUTE(SUBSTITUTE(SUBSTITUTE(SUBSTITUTE(SUBSTITUTE(SUBSTITUTE(SUBSTITUTE(SUBSTITUTE(SUBSTITUTE(SUBSTITUTE(SUBSTITUTE(SUBSTITUTE(SUBSTITUTE(SUBSTITUTE(SUBSTITUTE(SUBSTITUTE(SUBSTITUTE(SUBSTITUTE(SUBSTITUTE(SUBSTITUTE(SUBSTITUTE(SUBSTITUTE(SUBSTITUTE(SUBSTITUTE(BM405,"b","a"),"c","a"),"d","a"),"e","a"),"f","a"),"g","a"),"h","a"),"i","a"),"j","a"),"k","a"),"l","a"),"m","a"),"n","a"),"o","a"),"p","a"),"q","a"),"r","a"),"s","a"),"t","a"),"u","a"),"v","a"),"w","a"),"x","a"),"y","a"),"z","a")</f>
        <v/>
      </c>
      <c r="BO405" s="61" t="str">
        <f aca="false">SUBSTITUTE(SUBSTITUTE(SUBSTITUTE(SUBSTITUTE(SUBSTITUTE(SUBSTITUTE(SUBSTITUTE(SUBSTITUTE(SUBSTITUTE(LOWER(W405&amp;""),"1","0"),"2","0"),"3","0"),"4","0"),"5","0"),"6","0"),"7","0"),"8","0"),"9","0")</f>
        <v/>
      </c>
      <c r="BP405" s="61" t="str">
        <f aca="false">SUBSTITUTE(SUBSTITUTE(SUBSTITUTE(SUBSTITUTE(SUBSTITUTE(SUBSTITUTE(SUBSTITUTE(SUBSTITUTE(SUBSTITUTE(SUBSTITUTE(SUBSTITUTE(SUBSTITUTE(SUBSTITUTE(SUBSTITUTE(SUBSTITUTE(SUBSTITUTE(SUBSTITUTE(SUBSTITUTE(SUBSTITUTE(SUBSTITUTE(SUBSTITUTE(SUBSTITUTE(SUBSTITUTE(SUBSTITUTE(SUBSTITUTE(BO405,"b","a"),"c","a"),"d","a"),"e","a"),"f","a"),"g","a"),"h","a"),"i","a"),"j","a"),"k","a"),"l","a"),"m","a"),"n","a"),"o","a"),"p","a"),"q","a"),"r","a"),"s","a"),"t","a"),"u","a"),"v","a"),"w","a"),"x","a"),"y","a"),"z","a")</f>
        <v/>
      </c>
      <c r="BQ405" s="61" t="n">
        <f aca="false">IFERROR(IF(AND(ISERROR(SEARCH(" mh"," "&amp;LOWER(W405))),ISNA(MATCH(LEFT(TRIM(BP405),255),{"0000a","000a","00a","0000aa","000aa","00aa","0aa","0000aaa","000aaa","00a00","0a00","0000-0000","00:00","a00","a0","00.00.0000","00/00/0000","00-00-0000","0000-00-00","0000/00/00","0000.00.00","00.00.00","00/00/00","00-00-00","0.00.0000","0/00/0000","0-00-0000"},0)),ISNA(MATCH(LEFT(TRIM(CA405),255),{"0000a","000a","00a","0000aa","000aa","00aa","0aa","0000aaa","000aaa","00a00","0a00","0000-0000","00:00","a00","a0","00.00.0000","00/00/0000","00-00-0000","0000-00-00","0000/00/00","0000.00.00","00.00.00","00/00/00","00-00-00","0.00.0000","0/00/0000","0-00-0000"},0)),LEN(CB405)&gt;=3,NOT(OR(SUBSTITUTE(CB405,"0","")="",AND(LEN(CB405)&gt;=4,CB405=REPT(LEFT(CB405),LEN(CB405))),ISNUMBER(MATCH(CB405,{"123","1234","12345","123456","1234567","12345678","0123","01234","012345","98765","987654","54321"},0)),AND(LEN(CB405)=8,LEFT(CB405,3)="202"))),OR(AND((LEN(CA405)-LEN(SUBSTITUTE(CA405,"a","")))&gt;=1,SUMPRODUCT(--ISNUMBER(SEARCH({"a0","a-0","a_0","a/0","a.0","a#0","0a","0-a","0_a","0/a"},BP405)))&gt;0),ISNUMBER(SEARCH("000000",BP405)))),1,0),0)</f>
        <v>0</v>
      </c>
      <c r="BR405" s="61" t="n">
        <f aca="false">IFERROR(LEN(SUBSTITUTE(CC405," ",""))-SUMPRODUCT((LEN(CC405)-LEN(SUBSTITUTE(CC405," "&amp;L_Role&amp;" "," ")))/(LEN(L_Role)+1)*LEN(L_Role)),0)</f>
        <v>0</v>
      </c>
      <c r="BS405" s="61" t="n">
        <f aca="false">IFERROR(LEN(SUBSTITUTE(CD405," ",""))-SUMPRODUCT((LEN(CD405)-LEN(SUBSTITUTE(CD405," "&amp;L_Role&amp;" "," ")))/(LEN(L_Role)+1)*LEN(L_Role)),0)</f>
        <v>0</v>
      </c>
      <c r="BT4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405,"revision",""),"version",""),"jan",""),"feb",""),"mar",""),"apr",""),"may",""),"jun",""),"jul",""),"aug",""),"sep",""),"oct",""),"nov",""),"dec",""),"utc",""),"gmt",""),"myt",""),"bst",""),"rev",""),"ver",""),"b","a"),"c","a"),"d","a"),"e","a"),"f","a"),"g","a"),"h","a"),"i","a"),"j","a"),"k","a"),"l","a"),"m","a"),"n","a"),"o","a"),"p","a"),"q","a"),"r","a"),"s","a"),"t","a"),"u","a"),"v","a"),"w","a"),"x","a"),"y","a"),"z","a")</f>
        <v/>
      </c>
      <c r="BU405" s="61" t="str">
        <f aca="false">SUBSTITUTE(SUBSTITUTE(SUBSTITUTE(SUBSTITUTE(SUBSTITUTE(SUBSTITUTE(SUBSTITUTE(SUBSTITUTE(SUBSTITUTE(SUBSTITUTE(LEFT(BM405,FIND("0",BM405&amp;"0")-1),"-",""),"_",""),"/",""),".",""),"#",""),"\\",""),":","")," ",""),"(",""),")","")</f>
        <v/>
      </c>
      <c r="BV405" s="61" t="n">
        <f aca="false">0</f>
        <v>0</v>
      </c>
      <c r="BW4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405&amp;""),"a",""),"b",""),"c",""),"d",""),"e",""),"f",""),"g",""),"h",""),"i",""),"j",""),"k",""),"l",""),"m",""),"n",""),"o",""),"p",""),"q",""),"r",""),"s",""),"t",""),"u",""),"v",""),"w",""),"x",""),"y",""),"z",""),"-",""),"_",""),"/",""),".",""),"#",""),"\\",""),":","")," ",""),"(",""),")","")</f>
        <v/>
      </c>
      <c r="BX405" s="61" t="str">
        <f aca="false">SUBSTITUTE(SUBSTITUTE(SUBSTITUTE(SUBSTITUTE(SUBSTITUTE(SUBSTITUTE(SUBSTITUTE(SUBSTITUTE(SUBSTITUTE(SUBSTITUTE(SUBSTITUTE(BM405,"0",""),"-",""),"_",""),"/",""),".",""),"#",""),"\\",""),":","")," ",""),"(",""),")","")</f>
        <v/>
      </c>
      <c r="BY405" s="62" t="n">
        <f aca="false">Q405-T12EarlyH/24</f>
        <v>46306.6006944444</v>
      </c>
      <c r="BZ405" s="61" t="n">
        <f aca="false">IFERROR(IF(IF(TRIM(S405)="Link / file path",AND(LEN(TRIM(Z405))&gt;=5,SUMPRODUCT(--ISNUMBER(SEARCH({"http","www.","\\",":\",".pdf",".jpg",".jpeg",".png",".heic",".xls",".doc",".msg",".eml",".ppt",".txt",".zip"},Z405)))&gt;0),AND(ISERROR(FIND(" ",TRIM(Z405))),NOT(OR(SUMPRODUCT(--ISNUMBER(FIND({",",";","&amp;","+"},Z405)))&gt;0,SUMPRODUCT(--ISNUMBER(SEARCH({"0/aa","0\\aa"},BN405)))&gt;0)),NOT(SUMPRODUCT(--ISNUMBER(SEARCH({"http","www.","\\",":\",".pdf",".jpg",".jpeg",".png",".heic",".xls",".doc",".msg",".eml",".ppt",".txt",".zip"},Z405)))&gt;0),NOT(LOWER(TRIM(Z405))=LOWER(Flights!$F$16)),ISNA(MATCH(BU405,{"mh","rev","revision","ver","version","v","r","a","b","seat","tray","row","gate","bay","stand","page","pg","item","line","no","cart","galley","flight","flt","table","box","bag","oven","etd","eta","std","sta","atd","ata","qty","pax","x","time","tel","ph","mob","day","wk","week","utc","gmt","myt","lt"},0)),NOT(OR(ISNUMBER(MATCH(LEFT(BN405,255),{"0000a","000a","00a","0000aa","000aa","00aa","0aa","0000aaa","000aaa","00a00","0a00","0000-0000","00:00","a00","a0","00.00.0000","00/00/0000","00-00-0000","0000-00-00","0000/00/00","0000.00.00","00.00.00","00/00/00","00-00-00","0.00.0000","0/00/0000","0-00-0000"},0)),ISNUMBER(MATCH(LEFT(BT405,255),{"0000a","000a","00a","0000aa","000aa","00aa","0aa","0000aaa","000aaa","00a00","0a00","0000-0000","00:00","a00","a0","00.00.0000","00/00/0000","00-00-0000","0000-00-00","0000/00/00","0000.00.00","00.00.00","00/00/00","00-00-00","0.00.0000","0/00/0000","0-00-0000"},0)))),NOT(OR(AND(BW405&lt;&gt;"",SUBSTITUTE(BW405,"0","")=""),AND(LEN(BW405)&gt;=4,BW405=REPT(LEFT(BW405),LEN(BW405))),ISNUMBER(MATCH(BW405,{"123","1234","12345","123456","1234567","12345678","0123","01234","012345","98765","987654","54321"},0)),ISNUMBER(MATCH(BX405,{"x","xx","xxx","xxxx","xxxxx","abc","abcd","nil","na","nan","test","tbc","tba","tbd","dummy","sample","example","eg","zz","zzz","none","null","xyz","qwe","asd","id","ref"},0)),AND(LEN(BW405)=8,BX405="",OR(LEFT(BW405,3)="202",ISNUMBER(MATCH(RIGHT(BW405,4),{"2025","2026","2027"},0)))))),OR(AND((LEN(BT405)-LEN(SUBSTITUTE(BT405,"a","")))&gt;=1,(LEN(BN405)-LEN(SUBSTITUTE(BN405,"0","")))&gt;=2,SUMPRODUCT(--ISNUMBER(SEARCH({"a0","a-0","a_0","a/0","a.0","a#0","0a","0-a","0_a","0/a"},BN405)))&gt;0),AND((LEN(BN405)-LEN(SUBSTITUTE(BN405,"a","")))=0,(LEN(BN405)-LEN(SUBSTITUTE(BN405,"0","")))&gt;=5)))),1,0),0)</f>
        <v>0</v>
      </c>
      <c r="CA4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405,"revision",""),"version",""),"jan",""),"feb",""),"mar",""),"apr",""),"may",""),"jun",""),"jul",""),"aug",""),"sep",""),"oct",""),"nov",""),"dec",""),"utc",""),"gmt",""),"myt",""),"bst",""),"rev",""),"ver",""),"b","a"),"c","a"),"d","a"),"e","a"),"f","a"),"g","a"),"h","a"),"i","a"),"j","a"),"k","a"),"l","a"),"m","a"),"n","a"),"o","a"),"p","a"),"q","a"),"r","a"),"s","a"),"t","a"),"u","a"),"v","a"),"w","a"),"x","a"),"y","a"),"z","a")</f>
        <v/>
      </c>
      <c r="CB4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405&amp;""),"a",""),"b",""),"c",""),"d",""),"e",""),"f",""),"g",""),"h",""),"i",""),"j",""),"k",""),"l",""),"m",""),"n",""),"o",""),"p",""),"q",""),"r",""),"s",""),"t",""),"u",""),"v",""),"w",""),"x",""),"y",""),"z",""),"-",""),"_",""),"/",""),".",""),"#",""),"\\",""),":","")," ",""),"(",""),")","")</f>
        <v/>
      </c>
      <c r="CC405" s="0" t="str">
        <f aca="false">" "&amp;TRIM(SUBSTITUTE(SUBSTITUTE(SUBSTITUTE(SUBSTITUTE(SUBSTITUTE(SUBSTITUTE(SUBSTITUTE(SUBSTITUTE(SUBSTITUTE(SUBSTITUTE(SUBSTITUTE(SUBSTITUTE(SUBSTITUTE(SUBSTITUTE(SUBSTITUTE(SUBSTITUTE(SUBSTITUTE(SUBSTITUTE(SUBSTITUTE(SUBSTITUTE(SUBSTITUTE(SUBSTITUTE(SUBSTITUTE(SUBSTITUTE(LOWER(T405&amp;""),CHAR(10)," "),CHAR(13)," "),CHAR(9)," "),CHAR(160)," "),"."," "),","," "),"-"," "),"/"," "),"("," "),")"," "),":"," "),";"," "),"_"," "),"–"," "),"?"," "),"!"," "),"*"," "),"["," "),"]"," "),"'"," "),"#"," "),"+"," "),"&amp;"," "),"\"," "))&amp;" "</f>
        <v>  </v>
      </c>
      <c r="CD405" s="0" t="str">
        <f aca="false">" "&amp;TRIM(SUBSTITUTE(SUBSTITUTE(SUBSTITUTE(SUBSTITUTE(SUBSTITUTE(SUBSTITUTE(SUBSTITUTE(SUBSTITUTE(SUBSTITUTE(SUBSTITUTE(SUBSTITUTE(SUBSTITUTE(SUBSTITUTE(SUBSTITUTE(SUBSTITUTE(SUBSTITUTE(SUBSTITUTE(SUBSTITUTE(SUBSTITUTE(SUBSTITUTE(SUBSTITUTE(SUBSTITUTE(SUBSTITUTE(SUBSTITUTE(LOWER(AE405&amp;""),CHAR(10)," "),CHAR(13)," "),CHAR(9)," "),CHAR(160)," "),"."," "),","," "),"-"," "),"/"," "),"("," "),")"," "),":"," "),";"," "),"_"," "),"–"," "),"?"," "),"!"," "),"*"," "),"["," "),"]"," "),"'"," "),"#"," "),"+"," "),"&amp;"," "),"\"," "))&amp;" "</f>
        <v>  </v>
      </c>
      <c r="CE405" s="68" t="n">
        <f aca="false">IFERROR(IF(AND(LEN(AU405)&gt;0,LEN(AU405)=LEN(AX405),OR(TRIM(MID(SUBSTITUTE(TRIM(CC405)," ",REPT(" ",60)),1,60))="",ISNUMBER(SEARCH(" "&amp;TRIM(MID(SUBSTITUTE(TRIM(CC405)," ",REPT(" ",60)),1,60))&amp;" ",CD405))),OR(TRIM(MID(SUBSTITUTE(TRIM(CC405)," ",REPT(" ",60)),61,60))="",ISNUMBER(SEARCH(" "&amp;TRIM(MID(SUBSTITUTE(TRIM(CC405)," ",REPT(" ",60)),61,60))&amp;" ",CD405))),OR(TRIM(MID(SUBSTITUTE(TRIM(CC405)," ",REPT(" ",60)),121,60))="",ISNUMBER(SEARCH(" "&amp;TRIM(MID(SUBSTITUTE(TRIM(CC405)," ",REPT(" ",60)),121,60))&amp;" ",CD405)))),1,0),0)</f>
        <v>0</v>
      </c>
      <c r="CG405" s="68" t="n">
        <f aca="false">IFERROR(LEN(SUBSTITUTE(BF405," ",""))-SUMPRODUCT((LEN(BF405)-LEN(SUBSTITUTE(BF405," "&amp;L_NAFiller&amp;" "," ")))/(LEN(L_NAFiller)+1)*LEN(L_NAFiller)),0)</f>
        <v>0</v>
      </c>
    </row>
    <row r="406" customFormat="false" ht="41.25" hidden="false" customHeight="true" outlineLevel="0" collapsed="false">
      <c r="A406" s="57" t="s">
        <v>1031</v>
      </c>
      <c r="B406" s="57" t="s">
        <v>261</v>
      </c>
      <c r="C406" s="57" t="str">
        <f aca="false">Flights!$F$16</f>
        <v>MH0139</v>
      </c>
      <c r="D406" s="58" t="n">
        <f aca="false">Flights!$D$16</f>
        <v>46307</v>
      </c>
      <c r="E406" s="57" t="str">
        <f aca="false">Flights!$G$16&amp;"-"&amp;Flights!$H$16</f>
        <v>KUL-ADL</v>
      </c>
      <c r="F406" s="57" t="str">
        <f aca="false">Flights!$K$16</f>
        <v>BC</v>
      </c>
      <c r="G406" s="57" t="s">
        <v>420</v>
      </c>
      <c r="H406" s="57" t="s">
        <v>378</v>
      </c>
      <c r="I406" s="57" t="s">
        <v>447</v>
      </c>
      <c r="J406" s="57" t="s">
        <v>526</v>
      </c>
      <c r="K406" s="67" t="s">
        <v>449</v>
      </c>
      <c r="L406" s="67" t="s">
        <v>1032</v>
      </c>
      <c r="M406" s="67" t="s">
        <v>451</v>
      </c>
      <c r="N406" s="67" t="s">
        <v>383</v>
      </c>
      <c r="O406" s="67" t="s">
        <v>503</v>
      </c>
      <c r="P406" s="57" t="s">
        <v>187</v>
      </c>
      <c r="Q406" s="59" t="n">
        <f aca="false">ROUND((Flights!$AE$16)*1440,0)/1440</f>
        <v>46307.1006944444</v>
      </c>
      <c r="R406" s="59" t="n">
        <f aca="false">Q406+(IF(AND(INDEX(TZ_DSTS,MATCH(P406,TZ_STN,0))&lt;&gt;"",Q406&gt;=INDEX(TZ_DSTS,MATCH(P406,TZ_STN,0)),Q406&lt;INDEX(TZ_DSTE,MATCH(P406,TZ_STN,0))),INDEX(TZ_DST,MATCH(P406,TZ_STN,0)),INDEX(TZ_STD,MATCH(P406,TZ_STN,0))))/24</f>
        <v>46307.4340277778</v>
      </c>
      <c r="S406" s="60"/>
      <c r="T406" s="60"/>
      <c r="U406" s="60"/>
      <c r="V406" s="60"/>
      <c r="W406" s="61"/>
      <c r="X406" s="60"/>
      <c r="Y406" s="60"/>
      <c r="Z406" s="60"/>
      <c r="AA406" s="60"/>
      <c r="AB406" s="60"/>
      <c r="AC406" s="60"/>
      <c r="AD406" s="66"/>
      <c r="AE406" s="60"/>
      <c r="AF406" s="61" t="str">
        <f aca="false">IF(AND(ISNUMBER(X406),ISNUMBER(Y406)),Y406-X406,"")</f>
        <v/>
      </c>
      <c r="AG406" s="62" t="str">
        <f aca="false">IF(ISNUMBER(AD406),AD406-(IF(AND(INDEX(TZ_DSTS,MATCH(P406,TZ_STN,0))&lt;&gt;"",(AD406-INDEX(TZ_STD,MATCH(P406,TZ_STN,0))/24)&gt;=INDEX(TZ_DSTS,MATCH(P406,TZ_STN,0)),(AD406-INDEX(TZ_STD,MATCH(P406,TZ_STN,0))/24)&lt;INDEX(TZ_DSTE,MATCH(P406,TZ_STN,0))),INDEX(TZ_DST,MATCH(P406,TZ_STN,0)),INDEX(TZ_STD,MATCH(P406,TZ_STN,0))))/24,"")</f>
        <v/>
      </c>
      <c r="AH406" s="65" t="str">
        <f aca="false">IFERROR(IF(N406="N/A – rule",IF(OR(TRIM(U406)="",TRIM(U406)="N/A",TRIM(U406)="Not started"),"N/A – RULE","INVALID – this check does not apply to this aircraft: clear the status (or correct the fleet on Flights)"),IF(TRIM(U406)="N/A",IF(AT406=0,"INVALID – N/A not permitted for this check",IF(AND(TRIM(AB406)&lt;&gt;"",TRIM(AB406)&lt;&gt;"Closed"),"INVALID – corrective action still open",IF(AND(NOT(OR(LEN(AZ406)&lt;15,ISNUMBER(MATCH(AZ406,L_Placeholder,0)))),BK406=0,CG406&gt;=8,NOT(OR(LEN(AU406)&lt;2,ISNUMBER(MATCH(AU406,L_Placeholder,0)))),BR406&gt;=3,NOT(OR(LEN(AX406)&lt;2,ISNUMBER(MATCH(AX406,L_Placeholder,0)))),BS406&gt;=3,TRIM(AE406)&lt;&gt;TRIM(T406),AX406&lt;&gt;AU406,CE406=0),"N/A – JUSTIFIED","INVALID – N/A needs a real, settled reason (not 'not applicable' / 'as above' / TBC), a named PIC and a different named verifier"))),IF(OR(TRIM(U406)="Pass",TRIM(U406)="Pass after CA"),IF(NOT(ISNUMBER(AD406)),"INVALID – completion time missing",IF(OR(OR(LEN(AU406)&lt;2,ISNUMBER(MATCH(AU406,L_Placeholder,0))),BR406&lt;3),"INVALID – PIC missing or not a named person (a role such as QA / CSM is not a name)",IF(OR(LEN(AV406)&lt;2,ISNUMBER(MATCH(AV406,L_Placeholder,0))),"INVALID – result / assessment missing",IF(OR(OR(LEN(AW406)&lt;3,ISNUMBER(MATCH(AW406,L_Placeholder,0))),SUMPRODUCT(--ISNUMBER(SEARCH(" "&amp;L_EvidencePhrase&amp;" ",BD406)))&gt;0,BI406=1),"INVALID – evidence missing, placeholder or not yet on file",IF(ISNA(MATCH(TRIM(S406),L_EvidenceType,0)),"INVALID – choose the evidence type from the list (column S)",IF(BL406=0,"INVALID – evidence ID must be the record's own ID only (e.g. SF-2210, IMG_2231, 1045521); a link / file name needs type 'Link / file path'",IF(OR(OR(LEN(AX406)&lt;2,ISNUMBER(MATCH(AX406,L_Placeholder,0))),BS406&lt;3),"INVALID – verifier missing or not a named person (a role such as QA / CSM is not a name)",IF(OR(AX406=AU406,CE406=1,AND(LEN(AU406)&gt;=4,ISNUMBER(SEARCH(AU406,AX406))),AND(LEN(AX406)&gt;=4,ISNUMBER(SEARCH(AX406,AU406)))),"INVALID – verifier must be a different, named person (not the PIC or a role)",IF(BH406=1,"INVALID – result not yet available (awaiting / TBC)",IF(BG406=1,"INVALID – result describes a problem: record Fail, then Pass after CA (or reword if it is not a problem)",IF(BV406=1,"INVALID – wording says not on board: an on-board confirmation needs the item loaded",IF(AND(AQ406=1,OR(OR(LEN(AY406)&lt;3,ISNUMBER(MATCH(AY406,L_Placeholder,0))),BJ406=1,BQ406=0)),"INVALID – batch ID missing, placeholder or not an ID (e.g. PASB-261008-BC-017)",IF(AND(AR406=1,OR(NOT(ISNUMBER(X406)),NOT(ISNUMBER(Y406)))),"INVALID – expected/actual qty missing",IF(AND(AR406=1,OR(X406&lt;=0,Y406&lt;0)),"INVALID – expected qty must be above 0 and actual not negative",IF(BB406&lt;&gt;"",BB406,IF(AND(AS406=1,Documents!$J$16&lt;&gt;"ON FILE"),"INVALID – GLD not on file (Documents sheet)",IF(AND(AS406=2,Documents!$O$16&lt;&gt;"ON FILE"),"INVALID – menu checklist not on file (Documents sheet)",IF(AND(AS406=3,NOT(ISNUMBER(Flights!$AX$16))),"INVALID – enter carrying flight KUL departure (Flights AX)",IF(AND(AS406=3,OR(Flights!$AZ$16&gt;Flights!$AA$16,Flights!$AX$16&lt;Flights!$AA$16-3)),"INVALID – carrying flight (Flights AX) cannot arrive before this leg's STD, or is over 3 days early",IF(AG406&gt;AsOfUTC,"INVALID – completion time is in the future",IF(AND(ISNUMBER(BY406),AG406&lt;BY406),IF(H406="Physical uplift","INVALID – before uplift window (cannot confirm loading)","INVALID – before valid window"),IF(AG406&gt;Flights!$AA$16,"INVALID – completed after departure (cannot establish readiness)",IF(AND(H406="Preparation",AG406&gt;=IF(ISNUMBER(Flights!$BA$16),MIN(Flights!$BA$16,Flights!$AA$16),Flights!$AA$16)),"INVALID – completed after loading / departure (cannot establish readiness)",IF(AND(H406="Physical uplift",AG406&gt;Q406),"INVALID – recorded after the loading flight departed",IF(AG406&gt;Q406,"COMPLETE – LATE","COMPLETE"))))))))))))))))))))))))),IF(TRIM(U406)="Fail","FAIL – DISCREPANCY",IF(AND(TRIM(U406)&lt;&gt;"",TRIM(U406)&lt;&gt;"Not started",TRIM(U406)&lt;&gt;"In progress"),"INVALID – unrecognised status (use the list)",IF(AsOfUTC&gt;Q406,"OVERDUE",IF(N406="Clarification required","OPEN – CLARIFICATION","OPEN"))))))),"INVALID – error value in an input cell")</f>
        <v>OPEN</v>
      </c>
      <c r="AI406" s="61" t="n">
        <f aca="false">IF(OR(AH406="N/A – RULE",AH406="N/A – JUSTIFIED"),0,1)</f>
        <v>1</v>
      </c>
      <c r="AJ406" s="61" t="n">
        <f aca="false">IF(LEFT(AH406,8)="COMPLETE",1,0)</f>
        <v>0</v>
      </c>
      <c r="AK406" s="61" t="n">
        <f aca="false">IF(AND(AI406=1,AJ406=0,AsOfUTC&gt;Q406),1,0)</f>
        <v>0</v>
      </c>
      <c r="AL406" s="61" t="n">
        <f aca="false">IFERROR(IF(AND(AI406=1,OR(TRIM(U406)="Fail",AND(TRIM(AB406)&lt;&gt;"",TRIM(AB406)&lt;&gt;"Closed"),AND(ISNUMBER(AF406),AF406&lt;&gt;0,TRIM(U406)&lt;&gt;"Pass after CA"))),1,0),1)</f>
        <v>0</v>
      </c>
      <c r="AM406" s="61" t="n">
        <f aca="false">IF(LEFT(AH406,7)="INVALID",1,0)</f>
        <v>0</v>
      </c>
      <c r="AN406" s="61" t="n">
        <f aca="false">IF(AND(N406="Clarification required",AI406=1,AJ406=0),1,0)</f>
        <v>0</v>
      </c>
      <c r="AO406" s="61" t="str">
        <f aca="false">IF(AK406=1,SUM(AK$5:AK406),"")</f>
        <v/>
      </c>
      <c r="AP406" s="61" t="str">
        <f aca="false">IF(AL406=1,SUM(AL$5:AL406),"")</f>
        <v/>
      </c>
      <c r="AQ406" s="61" t="n">
        <v>0</v>
      </c>
      <c r="AR406" s="61" t="n">
        <v>0</v>
      </c>
      <c r="AS406" s="61" t="n">
        <v>0</v>
      </c>
      <c r="AT406" s="61" t="n">
        <v>0</v>
      </c>
      <c r="AU406" s="61" t="str">
        <f aca="false">SUBSTITUTE(SUBSTITUTE(SUBSTITUTE(SUBSTITUTE(SUBSTITUTE(SUBSTITUTE(SUBSTITUTE(SUBSTITUTE(SUBSTITUTE(SUBSTITUTE(SUBSTITUTE(SUBSTITUTE(SUBSTITUTE(SUBSTITUTE(SUBSTITUTE(SUBSTITUTE(LOWER(T406&amp;""),CHAR(10),""),CHAR(13),""),CHAR(9),""),CHAR(160),"")," ",""),".",""),"-",""),"/",""),"?",""),"_",""),",",""),"[",""),"]",""),"(",""),")",""),"*","")</f>
        <v/>
      </c>
      <c r="AV406" s="61" t="str">
        <f aca="false">SUBSTITUTE(SUBSTITUTE(SUBSTITUTE(SUBSTITUTE(SUBSTITUTE(SUBSTITUTE(SUBSTITUTE(SUBSTITUTE(SUBSTITUTE(SUBSTITUTE(SUBSTITUTE(SUBSTITUTE(SUBSTITUTE(SUBSTITUTE(SUBSTITUTE(SUBSTITUTE(LOWER(V406&amp;""),CHAR(10),""),CHAR(13),""),CHAR(9),""),CHAR(160),"")," ",""),".",""),"-",""),"/",""),"?",""),"_",""),",",""),"[",""),"]",""),"(",""),")",""),"*","")</f>
        <v/>
      </c>
      <c r="AW406" s="61" t="str">
        <f aca="false">SUBSTITUTE(SUBSTITUTE(SUBSTITUTE(SUBSTITUTE(SUBSTITUTE(SUBSTITUTE(SUBSTITUTE(SUBSTITUTE(SUBSTITUTE(SUBSTITUTE(SUBSTITUTE(SUBSTITUTE(SUBSTITUTE(SUBSTITUTE(SUBSTITUTE(SUBSTITUTE(LOWER(Z406&amp;""),CHAR(10),""),CHAR(13),""),CHAR(9),""),CHAR(160),"")," ",""),".",""),"-",""),"/",""),"?",""),"_",""),",",""),"[",""),"]",""),"(",""),")",""),"*","")</f>
        <v/>
      </c>
      <c r="AX406" s="61" t="str">
        <f aca="false">SUBSTITUTE(SUBSTITUTE(SUBSTITUTE(SUBSTITUTE(SUBSTITUTE(SUBSTITUTE(SUBSTITUTE(SUBSTITUTE(SUBSTITUTE(SUBSTITUTE(SUBSTITUTE(SUBSTITUTE(SUBSTITUTE(SUBSTITUTE(SUBSTITUTE(SUBSTITUTE(LOWER(AE406&amp;""),CHAR(10),""),CHAR(13),""),CHAR(9),""),CHAR(160),"")," ",""),".",""),"-",""),"/",""),"?",""),"_",""),",",""),"[",""),"]",""),"(",""),")",""),"*","")</f>
        <v/>
      </c>
      <c r="AY406" s="61" t="str">
        <f aca="false">SUBSTITUTE(SUBSTITUTE(SUBSTITUTE(SUBSTITUTE(SUBSTITUTE(SUBSTITUTE(SUBSTITUTE(SUBSTITUTE(SUBSTITUTE(SUBSTITUTE(SUBSTITUTE(SUBSTITUTE(SUBSTITUTE(SUBSTITUTE(SUBSTITUTE(SUBSTITUTE(LOWER(W406&amp;""),CHAR(10),""),CHAR(13),""),CHAR(9),""),CHAR(160),"")," ",""),".",""),"-",""),"/",""),"?",""),"_",""),",",""),"[",""),"]",""),"(",""),")",""),"*","")</f>
        <v/>
      </c>
      <c r="AZ406" s="61" t="str">
        <f aca="false">SUBSTITUTE(SUBSTITUTE(SUBSTITUTE(SUBSTITUTE(SUBSTITUTE(SUBSTITUTE(SUBSTITUTE(SUBSTITUTE(SUBSTITUTE(SUBSTITUTE(SUBSTITUTE(SUBSTITUTE(SUBSTITUTE(SUBSTITUTE(SUBSTITUTE(SUBSTITUTE(LOWER(AC406&amp;""),CHAR(10),""),CHAR(13),""),CHAR(9),""),CHAR(160),"")," ",""),".",""),"-",""),"/",""),"?",""),"_",""),",",""),"[",""),"]",""),"(",""),")",""),"*","")</f>
        <v/>
      </c>
      <c r="BA406" s="61" t="str">
        <f aca="false">SUBSTITUTE(SUBSTITUTE(SUBSTITUTE(SUBSTITUTE(SUBSTITUTE(SUBSTITUTE(SUBSTITUTE(SUBSTITUTE(SUBSTITUTE(SUBSTITUTE(SUBSTITUTE(SUBSTITUTE(SUBSTITUTE(SUBSTITUTE(SUBSTITUTE(SUBSTITUTE(LOWER(AA406&amp;""),CHAR(10),""),CHAR(13),""),CHAR(9),""),CHAR(160),"")," ",""),".",""),"-",""),"/",""),"?",""),"_",""),",",""),"[",""),"]",""),"(",""),")",""),"*","")</f>
        <v/>
      </c>
      <c r="BB406" s="61" t="str">
        <f aca="false">IF(AND(TRIM(U406)="Pass",ISNUMBER(AF406)),IF(AF406&lt;&gt;0,"INVALID – qty variance: use Fail or Pass after CA",""),"")&amp;IF(AND(TRIM(U406)="Pass after CA",ISNUMBER(AF406)),IF(AF406&lt;&gt;0,"INVALID – after the corrective action the actual qty must equal expected (update Actual)",""),"")&amp;IF(AND(TRIM(U406)="Pass",TRIM(AB406)&lt;&gt;"",TRIM(AB406)&lt;&gt;"Closed"),"INVALID – corrective action not closed: use Fail, then Pass after CA","")&amp;IF(AND(LEN(BA406)&gt;=2,ISNA(MATCH(LEFT(BA406,255),L_Placeholder,0)),TRIM(AB406)=""),"INVALID – CA status missing for the recorded corrective action","")&amp;IF(AND(TRIM(U406)="Pass after CA",OR(OR(LEN(BA406)&lt;5,ISNUMBER(MATCH(BA406,L_Placeholder,0))),TRIM(AB406)&lt;&gt;"Closed")),"INVALID – corrective action not recorded/closed","")</f>
        <v/>
      </c>
      <c r="BC406" s="61" t="str">
        <f aca="false">" "&amp;TRIM(SUBSTITUTE(SUBSTITUTE(SUBSTITUTE(SUBSTITUTE(SUBSTITUTE(SUBSTITUTE(SUBSTITUTE(SUBSTITUTE(SUBSTITUTE(SUBSTITUTE(SUBSTITUTE(SUBSTITUTE(SUBSTITUTE(SUBSTITUTE(SUBSTITUTE(SUBSTITUTE(SUBSTITUTE(SUBSTITUTE(SUBSTITUTE(SUBSTITUTE(SUBSTITUTE(SUBSTITUTE(SUBSTITUTE(SUBSTITUTE(LOWER(V406&amp;""),CHAR(10)," "),CHAR(13)," "),CHAR(9)," "),CHAR(160)," "),"."," "),","," "),"-"," "),"/"," "),"("," "),")"," "),":"," "),";"," "),"_"," "),"–"," "),"?"," "),"!"," "),"*"," "),"["," "),"]"," "),"'"," "),"#"," "),"+"," "),"&amp;"," "),"\"," "))&amp;" "</f>
        <v>  </v>
      </c>
      <c r="BD406" s="61" t="str">
        <f aca="false">" "&amp;TRIM(SUBSTITUTE(SUBSTITUTE(SUBSTITUTE(SUBSTITUTE(SUBSTITUTE(SUBSTITUTE(SUBSTITUTE(SUBSTITUTE(SUBSTITUTE(SUBSTITUTE(SUBSTITUTE(SUBSTITUTE(SUBSTITUTE(SUBSTITUTE(SUBSTITUTE(SUBSTITUTE(SUBSTITUTE(SUBSTITUTE(SUBSTITUTE(SUBSTITUTE(SUBSTITUTE(SUBSTITUTE(SUBSTITUTE(SUBSTITUTE(LOWER(Z406&amp;""),CHAR(10)," "),CHAR(13)," "),CHAR(9)," "),CHAR(160)," "),"."," "),","," "),"-"," "),"/"," "),"("," "),")"," "),":"," "),";"," "),"_"," "),"–"," "),"?"," "),"!"," "),"*"," "),"["," "),"]"," "),"'"," "),"#"," "),"+"," "),"&amp;"," "),"\"," "))&amp;" "</f>
        <v>  </v>
      </c>
      <c r="BE406" s="61" t="str">
        <f aca="false">" "&amp;TRIM(SUBSTITUTE(SUBSTITUTE(SUBSTITUTE(SUBSTITUTE(SUBSTITUTE(SUBSTITUTE(SUBSTITUTE(SUBSTITUTE(SUBSTITUTE(SUBSTITUTE(SUBSTITUTE(SUBSTITUTE(SUBSTITUTE(SUBSTITUTE(SUBSTITUTE(SUBSTITUTE(SUBSTITUTE(SUBSTITUTE(SUBSTITUTE(SUBSTITUTE(SUBSTITUTE(SUBSTITUTE(SUBSTITUTE(SUBSTITUTE(LOWER(W406&amp;""),CHAR(10)," "),CHAR(13)," "),CHAR(9)," "),CHAR(160)," "),"."," "),","," "),"-"," "),"/"," "),"("," "),")"," "),":"," "),";"," "),"_"," "),"–"," "),"?"," "),"!"," "),"*"," "),"["," "),"]"," "),"'"," "),"#"," "),"+"," "),"&amp;"," "),"\"," "))&amp;" "</f>
        <v>  </v>
      </c>
      <c r="BF406" s="61" t="str">
        <f aca="false">" "&amp;TRIM(SUBSTITUTE(SUBSTITUTE(SUBSTITUTE(SUBSTITUTE(SUBSTITUTE(SUBSTITUTE(SUBSTITUTE(SUBSTITUTE(SUBSTITUTE(SUBSTITUTE(SUBSTITUTE(SUBSTITUTE(SUBSTITUTE(SUBSTITUTE(SUBSTITUTE(SUBSTITUTE(SUBSTITUTE(SUBSTITUTE(SUBSTITUTE(SUBSTITUTE(SUBSTITUTE(SUBSTITUTE(SUBSTITUTE(SUBSTITUTE(LOWER(AC406&amp;""),CHAR(10)," "),CHAR(13)," "),CHAR(9)," "),CHAR(160)," "),"."," "),","," "),"-"," "),"/"," "),"("," "),")"," "),":"," "),";"," "),"_"," "),"–"," "),"?"," "),"!"," "),"*"," "),"["," "),"]"," "),"'"," "),"#"," "),"+"," "),"&amp;"," "),"\"," "))&amp;" "</f>
        <v>  </v>
      </c>
      <c r="BG406" s="61" t="n">
        <f aca="false">IFERROR(IF(AND(TRIM(U406)="Pass",SUMPRODUCT((LEN(BC406)-LEN(SUBSTITUTE(BC406," "&amp;L_ResultBad&amp;" "," ")))/(LEN(L_ResultBad)+1))&gt;SUMPRODUCT((LEN(BC406)-LEN(SUBSTITUTE(BC406," "&amp;L_NegPhrase&amp;" "," ")))/(LEN(L_NegPhrase)+1))),1,0),0)</f>
        <v>0</v>
      </c>
      <c r="BH406" s="61" t="n">
        <f aca="false">IFERROR(IF(SUMPRODUCT((LEN(BC406)-LEN(SUBSTITUTE(BC406," "&amp;L_Pending&amp;" "," ")))/(LEN(L_Pending)+1))&gt;SUMPRODUCT((LEN(BC406)-LEN(SUBSTITUTE(BC406," "&amp;L_PendNeg&amp;" "," ")))/(LEN(L_PendNeg)+1))+SUMPRODUCT((LEN(BC406)-LEN(SUBSTITUTE(BC406," "&amp;L_PendPrep&amp;" "," ")))/(LEN(L_PendPrep)+1)),1,0),1)</f>
        <v>0</v>
      </c>
      <c r="BI406" s="61" t="n">
        <f aca="false">IFERROR(IF(SUMPRODUCT((LEN(BD406)-LEN(SUBSTITUTE(BD406," "&amp;L_PendStrict&amp;" "," ")))/(LEN(L_PendStrict)+1))&gt;SUMPRODUCT((LEN(BD406)-LEN(SUBSTITUTE(BD406," "&amp;L_PendNeg&amp;" "," ")))/(LEN(L_PendNeg)+1)),1,0),1)</f>
        <v>0</v>
      </c>
      <c r="BJ406" s="61" t="n">
        <f aca="false">IFERROR(IF(SUMPRODUCT((LEN(BE406)-LEN(SUBSTITUTE(BE406," "&amp;L_Pending&amp;" "," ")))/(LEN(L_Pending)+1))&gt;SUMPRODUCT((LEN(BE406)-LEN(SUBSTITUTE(BE406," "&amp;L_PendNeg&amp;" "," ")))/(LEN(L_PendNeg)+1))+SUMPRODUCT((LEN(BE406)-LEN(SUBSTITUTE(BE406," "&amp;L_PendPrep&amp;" "," ")))/(LEN(L_PendPrep)+1)),1,0),1)</f>
        <v>0</v>
      </c>
      <c r="BK406" s="61" t="n">
        <f aca="false">IFERROR(IF(SUMPRODUCT((LEN(BF406)-LEN(SUBSTITUTE(BF406," "&amp;L_PendStrict&amp;" "," ")))/(LEN(L_PendStrict)+1))&gt;SUMPRODUCT((LEN(BF406)-LEN(SUBSTITUTE(BF406," "&amp;L_PendNeg&amp;" "," ")))/(LEN(L_PendNeg)+1)),1,0),1)</f>
        <v>0</v>
      </c>
      <c r="BL406" s="61" t="n">
        <f aca="false">IF(ISNA(MATCH(TRIM(S406),L_EvidenceType,0)),0,BZ406)</f>
        <v>0</v>
      </c>
      <c r="BM406" s="61" t="str">
        <f aca="false">SUBSTITUTE(SUBSTITUTE(SUBSTITUTE(SUBSTITUTE(SUBSTITUTE(SUBSTITUTE(SUBSTITUTE(SUBSTITUTE(SUBSTITUTE(LOWER(Z406&amp;""),"1","0"),"2","0"),"3","0"),"4","0"),"5","0"),"6","0"),"7","0"),"8","0"),"9","0")</f>
        <v/>
      </c>
      <c r="BN406" s="61" t="str">
        <f aca="false">SUBSTITUTE(SUBSTITUTE(SUBSTITUTE(SUBSTITUTE(SUBSTITUTE(SUBSTITUTE(SUBSTITUTE(SUBSTITUTE(SUBSTITUTE(SUBSTITUTE(SUBSTITUTE(SUBSTITUTE(SUBSTITUTE(SUBSTITUTE(SUBSTITUTE(SUBSTITUTE(SUBSTITUTE(SUBSTITUTE(SUBSTITUTE(SUBSTITUTE(SUBSTITUTE(SUBSTITUTE(SUBSTITUTE(SUBSTITUTE(SUBSTITUTE(BM406,"b","a"),"c","a"),"d","a"),"e","a"),"f","a"),"g","a"),"h","a"),"i","a"),"j","a"),"k","a"),"l","a"),"m","a"),"n","a"),"o","a"),"p","a"),"q","a"),"r","a"),"s","a"),"t","a"),"u","a"),"v","a"),"w","a"),"x","a"),"y","a"),"z","a")</f>
        <v/>
      </c>
      <c r="BO406" s="61" t="str">
        <f aca="false">SUBSTITUTE(SUBSTITUTE(SUBSTITUTE(SUBSTITUTE(SUBSTITUTE(SUBSTITUTE(SUBSTITUTE(SUBSTITUTE(SUBSTITUTE(LOWER(W406&amp;""),"1","0"),"2","0"),"3","0"),"4","0"),"5","0"),"6","0"),"7","0"),"8","0"),"9","0")</f>
        <v/>
      </c>
      <c r="BP406" s="61" t="str">
        <f aca="false">SUBSTITUTE(SUBSTITUTE(SUBSTITUTE(SUBSTITUTE(SUBSTITUTE(SUBSTITUTE(SUBSTITUTE(SUBSTITUTE(SUBSTITUTE(SUBSTITUTE(SUBSTITUTE(SUBSTITUTE(SUBSTITUTE(SUBSTITUTE(SUBSTITUTE(SUBSTITUTE(SUBSTITUTE(SUBSTITUTE(SUBSTITUTE(SUBSTITUTE(SUBSTITUTE(SUBSTITUTE(SUBSTITUTE(SUBSTITUTE(SUBSTITUTE(BO406,"b","a"),"c","a"),"d","a"),"e","a"),"f","a"),"g","a"),"h","a"),"i","a"),"j","a"),"k","a"),"l","a"),"m","a"),"n","a"),"o","a"),"p","a"),"q","a"),"r","a"),"s","a"),"t","a"),"u","a"),"v","a"),"w","a"),"x","a"),"y","a"),"z","a")</f>
        <v/>
      </c>
      <c r="BQ406" s="61" t="n">
        <f aca="false">IFERROR(IF(AND(ISERROR(SEARCH(" mh"," "&amp;LOWER(W406))),ISNA(MATCH(LEFT(TRIM(BP406),255),{"0000a","000a","00a","0000aa","000aa","00aa","0aa","0000aaa","000aaa","00a00","0a00","0000-0000","00:00","a00","a0","00.00.0000","00/00/0000","00-00-0000","0000-00-00","0000/00/00","0000.00.00","00.00.00","00/00/00","00-00-00","0.00.0000","0/00/0000","0-00-0000"},0)),ISNA(MATCH(LEFT(TRIM(CA406),255),{"0000a","000a","00a","0000aa","000aa","00aa","0aa","0000aaa","000aaa","00a00","0a00","0000-0000","00:00","a00","a0","00.00.0000","00/00/0000","00-00-0000","0000-00-00","0000/00/00","0000.00.00","00.00.00","00/00/00","00-00-00","0.00.0000","0/00/0000","0-00-0000"},0)),LEN(CB406)&gt;=3,NOT(OR(SUBSTITUTE(CB406,"0","")="",AND(LEN(CB406)&gt;=4,CB406=REPT(LEFT(CB406),LEN(CB406))),ISNUMBER(MATCH(CB406,{"123","1234","12345","123456","1234567","12345678","0123","01234","012345","98765","987654","54321"},0)),AND(LEN(CB406)=8,LEFT(CB406,3)="202"))),OR(AND((LEN(CA406)-LEN(SUBSTITUTE(CA406,"a","")))&gt;=1,SUMPRODUCT(--ISNUMBER(SEARCH({"a0","a-0","a_0","a/0","a.0","a#0","0a","0-a","0_a","0/a"},BP406)))&gt;0),ISNUMBER(SEARCH("000000",BP406)))),1,0),0)</f>
        <v>0</v>
      </c>
      <c r="BR406" s="61" t="n">
        <f aca="false">IFERROR(LEN(SUBSTITUTE(CC406," ",""))-SUMPRODUCT((LEN(CC406)-LEN(SUBSTITUTE(CC406," "&amp;L_Role&amp;" "," ")))/(LEN(L_Role)+1)*LEN(L_Role)),0)</f>
        <v>0</v>
      </c>
      <c r="BS406" s="61" t="n">
        <f aca="false">IFERROR(LEN(SUBSTITUTE(CD406," ",""))-SUMPRODUCT((LEN(CD406)-LEN(SUBSTITUTE(CD406," "&amp;L_Role&amp;" "," ")))/(LEN(L_Role)+1)*LEN(L_Role)),0)</f>
        <v>0</v>
      </c>
      <c r="BT4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406,"revision",""),"version",""),"jan",""),"feb",""),"mar",""),"apr",""),"may",""),"jun",""),"jul",""),"aug",""),"sep",""),"oct",""),"nov",""),"dec",""),"utc",""),"gmt",""),"myt",""),"bst",""),"rev",""),"ver",""),"b","a"),"c","a"),"d","a"),"e","a"),"f","a"),"g","a"),"h","a"),"i","a"),"j","a"),"k","a"),"l","a"),"m","a"),"n","a"),"o","a"),"p","a"),"q","a"),"r","a"),"s","a"),"t","a"),"u","a"),"v","a"),"w","a"),"x","a"),"y","a"),"z","a")</f>
        <v/>
      </c>
      <c r="BU406" s="61" t="str">
        <f aca="false">SUBSTITUTE(SUBSTITUTE(SUBSTITUTE(SUBSTITUTE(SUBSTITUTE(SUBSTITUTE(SUBSTITUTE(SUBSTITUTE(SUBSTITUTE(SUBSTITUTE(LEFT(BM406,FIND("0",BM406&amp;"0")-1),"-",""),"_",""),"/",""),".",""),"#",""),"\\",""),":","")," ",""),"(",""),")","")</f>
        <v/>
      </c>
      <c r="BV406" s="61" t="n">
        <f aca="false">0</f>
        <v>0</v>
      </c>
      <c r="BW4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406&amp;""),"a",""),"b",""),"c",""),"d",""),"e",""),"f",""),"g",""),"h",""),"i",""),"j",""),"k",""),"l",""),"m",""),"n",""),"o",""),"p",""),"q",""),"r",""),"s",""),"t",""),"u",""),"v",""),"w",""),"x",""),"y",""),"z",""),"-",""),"_",""),"/",""),".",""),"#",""),"\\",""),":","")," ",""),"(",""),")","")</f>
        <v/>
      </c>
      <c r="BX406" s="61" t="str">
        <f aca="false">SUBSTITUTE(SUBSTITUTE(SUBSTITUTE(SUBSTITUTE(SUBSTITUTE(SUBSTITUTE(SUBSTITUTE(SUBSTITUTE(SUBSTITUTE(SUBSTITUTE(SUBSTITUTE(BM406,"0",""),"-",""),"_",""),"/",""),".",""),"#",""),"\\",""),":","")," ",""),"(",""),")","")</f>
        <v/>
      </c>
      <c r="BY406" s="62" t="n">
        <f aca="false">Q406-T12EarlyH/24</f>
        <v>46306.6006944444</v>
      </c>
      <c r="BZ406" s="61" t="n">
        <f aca="false">IFERROR(IF(IF(TRIM(S406)="Link / file path",AND(LEN(TRIM(Z406))&gt;=5,SUMPRODUCT(--ISNUMBER(SEARCH({"http","www.","\\",":\",".pdf",".jpg",".jpeg",".png",".heic",".xls",".doc",".msg",".eml",".ppt",".txt",".zip"},Z406)))&gt;0),AND(ISERROR(FIND(" ",TRIM(Z406))),NOT(OR(SUMPRODUCT(--ISNUMBER(FIND({",",";","&amp;","+"},Z406)))&gt;0,SUMPRODUCT(--ISNUMBER(SEARCH({"0/aa","0\\aa"},BN406)))&gt;0)),NOT(SUMPRODUCT(--ISNUMBER(SEARCH({"http","www.","\\",":\",".pdf",".jpg",".jpeg",".png",".heic",".xls",".doc",".msg",".eml",".ppt",".txt",".zip"},Z406)))&gt;0),NOT(LOWER(TRIM(Z406))=LOWER(Flights!$F$16)),ISNA(MATCH(BU406,{"mh","rev","revision","ver","version","v","r","a","b","seat","tray","row","gate","bay","stand","page","pg","item","line","no","cart","galley","flight","flt","table","box","bag","oven","etd","eta","std","sta","atd","ata","qty","pax","x","time","tel","ph","mob","day","wk","week","utc","gmt","myt","lt"},0)),NOT(OR(ISNUMBER(MATCH(LEFT(BN406,255),{"0000a","000a","00a","0000aa","000aa","00aa","0aa","0000aaa","000aaa","00a00","0a00","0000-0000","00:00","a00","a0","00.00.0000","00/00/0000","00-00-0000","0000-00-00","0000/00/00","0000.00.00","00.00.00","00/00/00","00-00-00","0.00.0000","0/00/0000","0-00-0000"},0)),ISNUMBER(MATCH(LEFT(BT406,255),{"0000a","000a","00a","0000aa","000aa","00aa","0aa","0000aaa","000aaa","00a00","0a00","0000-0000","00:00","a00","a0","00.00.0000","00/00/0000","00-00-0000","0000-00-00","0000/00/00","0000.00.00","00.00.00","00/00/00","00-00-00","0.00.0000","0/00/0000","0-00-0000"},0)))),NOT(OR(AND(BW406&lt;&gt;"",SUBSTITUTE(BW406,"0","")=""),AND(LEN(BW406)&gt;=4,BW406=REPT(LEFT(BW406),LEN(BW406))),ISNUMBER(MATCH(BW406,{"123","1234","12345","123456","1234567","12345678","0123","01234","012345","98765","987654","54321"},0)),ISNUMBER(MATCH(BX406,{"x","xx","xxx","xxxx","xxxxx","abc","abcd","nil","na","nan","test","tbc","tba","tbd","dummy","sample","example","eg","zz","zzz","none","null","xyz","qwe","asd","id","ref"},0)),AND(LEN(BW406)=8,BX406="",OR(LEFT(BW406,3)="202",ISNUMBER(MATCH(RIGHT(BW406,4),{"2025","2026","2027"},0)))))),OR(AND((LEN(BT406)-LEN(SUBSTITUTE(BT406,"a","")))&gt;=1,(LEN(BN406)-LEN(SUBSTITUTE(BN406,"0","")))&gt;=2,SUMPRODUCT(--ISNUMBER(SEARCH({"a0","a-0","a_0","a/0","a.0","a#0","0a","0-a","0_a","0/a"},BN406)))&gt;0),AND((LEN(BN406)-LEN(SUBSTITUTE(BN406,"a","")))=0,(LEN(BN406)-LEN(SUBSTITUTE(BN406,"0","")))&gt;=5)))),1,0),0)</f>
        <v>0</v>
      </c>
      <c r="CA4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406,"revision",""),"version",""),"jan",""),"feb",""),"mar",""),"apr",""),"may",""),"jun",""),"jul",""),"aug",""),"sep",""),"oct",""),"nov",""),"dec",""),"utc",""),"gmt",""),"myt",""),"bst",""),"rev",""),"ver",""),"b","a"),"c","a"),"d","a"),"e","a"),"f","a"),"g","a"),"h","a"),"i","a"),"j","a"),"k","a"),"l","a"),"m","a"),"n","a"),"o","a"),"p","a"),"q","a"),"r","a"),"s","a"),"t","a"),"u","a"),"v","a"),"w","a"),"x","a"),"y","a"),"z","a")</f>
        <v/>
      </c>
      <c r="CB4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406&amp;""),"a",""),"b",""),"c",""),"d",""),"e",""),"f",""),"g",""),"h",""),"i",""),"j",""),"k",""),"l",""),"m",""),"n",""),"o",""),"p",""),"q",""),"r",""),"s",""),"t",""),"u",""),"v",""),"w",""),"x",""),"y",""),"z",""),"-",""),"_",""),"/",""),".",""),"#",""),"\\",""),":","")," ",""),"(",""),")","")</f>
        <v/>
      </c>
      <c r="CC406" s="0" t="str">
        <f aca="false">" "&amp;TRIM(SUBSTITUTE(SUBSTITUTE(SUBSTITUTE(SUBSTITUTE(SUBSTITUTE(SUBSTITUTE(SUBSTITUTE(SUBSTITUTE(SUBSTITUTE(SUBSTITUTE(SUBSTITUTE(SUBSTITUTE(SUBSTITUTE(SUBSTITUTE(SUBSTITUTE(SUBSTITUTE(SUBSTITUTE(SUBSTITUTE(SUBSTITUTE(SUBSTITUTE(SUBSTITUTE(SUBSTITUTE(SUBSTITUTE(SUBSTITUTE(LOWER(T406&amp;""),CHAR(10)," "),CHAR(13)," "),CHAR(9)," "),CHAR(160)," "),"."," "),","," "),"-"," "),"/"," "),"("," "),")"," "),":"," "),";"," "),"_"," "),"–"," "),"?"," "),"!"," "),"*"," "),"["," "),"]"," "),"'"," "),"#"," "),"+"," "),"&amp;"," "),"\"," "))&amp;" "</f>
        <v>  </v>
      </c>
      <c r="CD406" s="0" t="str">
        <f aca="false">" "&amp;TRIM(SUBSTITUTE(SUBSTITUTE(SUBSTITUTE(SUBSTITUTE(SUBSTITUTE(SUBSTITUTE(SUBSTITUTE(SUBSTITUTE(SUBSTITUTE(SUBSTITUTE(SUBSTITUTE(SUBSTITUTE(SUBSTITUTE(SUBSTITUTE(SUBSTITUTE(SUBSTITUTE(SUBSTITUTE(SUBSTITUTE(SUBSTITUTE(SUBSTITUTE(SUBSTITUTE(SUBSTITUTE(SUBSTITUTE(SUBSTITUTE(LOWER(AE406&amp;""),CHAR(10)," "),CHAR(13)," "),CHAR(9)," "),CHAR(160)," "),"."," "),","," "),"-"," "),"/"," "),"("," "),")"," "),":"," "),";"," "),"_"," "),"–"," "),"?"," "),"!"," "),"*"," "),"["," "),"]"," "),"'"," "),"#"," "),"+"," "),"&amp;"," "),"\"," "))&amp;" "</f>
        <v>  </v>
      </c>
      <c r="CE406" s="68" t="n">
        <f aca="false">IFERROR(IF(AND(LEN(AU406)&gt;0,LEN(AU406)=LEN(AX406),OR(TRIM(MID(SUBSTITUTE(TRIM(CC406)," ",REPT(" ",60)),1,60))="",ISNUMBER(SEARCH(" "&amp;TRIM(MID(SUBSTITUTE(TRIM(CC406)," ",REPT(" ",60)),1,60))&amp;" ",CD406))),OR(TRIM(MID(SUBSTITUTE(TRIM(CC406)," ",REPT(" ",60)),61,60))="",ISNUMBER(SEARCH(" "&amp;TRIM(MID(SUBSTITUTE(TRIM(CC406)," ",REPT(" ",60)),61,60))&amp;" ",CD406))),OR(TRIM(MID(SUBSTITUTE(TRIM(CC406)," ",REPT(" ",60)),121,60))="",ISNUMBER(SEARCH(" "&amp;TRIM(MID(SUBSTITUTE(TRIM(CC406)," ",REPT(" ",60)),121,60))&amp;" ",CD406)))),1,0),0)</f>
        <v>0</v>
      </c>
      <c r="CG406" s="68" t="n">
        <f aca="false">IFERROR(LEN(SUBSTITUTE(BF406," ",""))-SUMPRODUCT((LEN(BF406)-LEN(SUBSTITUTE(BF406," "&amp;L_NAFiller&amp;" "," ")))/(LEN(L_NAFiller)+1)*LEN(L_NAFiller)),0)</f>
        <v>0</v>
      </c>
    </row>
    <row r="407" customFormat="false" ht="41.25" hidden="false" customHeight="true" outlineLevel="0" collapsed="false">
      <c r="A407" s="57" t="s">
        <v>1033</v>
      </c>
      <c r="B407" s="57" t="s">
        <v>261</v>
      </c>
      <c r="C407" s="57" t="str">
        <f aca="false">Flights!$F$16</f>
        <v>MH0139</v>
      </c>
      <c r="D407" s="58" t="n">
        <f aca="false">Flights!$D$16</f>
        <v>46307</v>
      </c>
      <c r="E407" s="57" t="str">
        <f aca="false">Flights!$G$16&amp;"-"&amp;Flights!$H$16</f>
        <v>KUL-ADL</v>
      </c>
      <c r="F407" s="57" t="str">
        <f aca="false">Flights!$K$16</f>
        <v>BC</v>
      </c>
      <c r="G407" s="57" t="s">
        <v>420</v>
      </c>
      <c r="H407" s="57" t="s">
        <v>378</v>
      </c>
      <c r="I407" s="57" t="s">
        <v>447</v>
      </c>
      <c r="J407" s="57" t="s">
        <v>623</v>
      </c>
      <c r="K407" s="67" t="s">
        <v>449</v>
      </c>
      <c r="L407" s="67" t="s">
        <v>1034</v>
      </c>
      <c r="M407" s="67" t="s">
        <v>451</v>
      </c>
      <c r="N407" s="67" t="s">
        <v>383</v>
      </c>
      <c r="O407" s="67" t="s">
        <v>503</v>
      </c>
      <c r="P407" s="57" t="s">
        <v>187</v>
      </c>
      <c r="Q407" s="59" t="n">
        <f aca="false">ROUND((Flights!$AE$16)*1440,0)/1440</f>
        <v>46307.1006944444</v>
      </c>
      <c r="R407" s="59" t="n">
        <f aca="false">Q407+(IF(AND(INDEX(TZ_DSTS,MATCH(P407,TZ_STN,0))&lt;&gt;"",Q407&gt;=INDEX(TZ_DSTS,MATCH(P407,TZ_STN,0)),Q407&lt;INDEX(TZ_DSTE,MATCH(P407,TZ_STN,0))),INDEX(TZ_DST,MATCH(P407,TZ_STN,0)),INDEX(TZ_STD,MATCH(P407,TZ_STN,0))))/24</f>
        <v>46307.4340277778</v>
      </c>
      <c r="S407" s="60"/>
      <c r="T407" s="60"/>
      <c r="U407" s="60"/>
      <c r="V407" s="60"/>
      <c r="W407" s="61"/>
      <c r="X407" s="60"/>
      <c r="Y407" s="60"/>
      <c r="Z407" s="60"/>
      <c r="AA407" s="60"/>
      <c r="AB407" s="60"/>
      <c r="AC407" s="60"/>
      <c r="AD407" s="66"/>
      <c r="AE407" s="60"/>
      <c r="AF407" s="61" t="str">
        <f aca="false">IF(AND(ISNUMBER(X407),ISNUMBER(Y407)),Y407-X407,"")</f>
        <v/>
      </c>
      <c r="AG407" s="62" t="str">
        <f aca="false">IF(ISNUMBER(AD407),AD407-(IF(AND(INDEX(TZ_DSTS,MATCH(P407,TZ_STN,0))&lt;&gt;"",(AD407-INDEX(TZ_STD,MATCH(P407,TZ_STN,0))/24)&gt;=INDEX(TZ_DSTS,MATCH(P407,TZ_STN,0)),(AD407-INDEX(TZ_STD,MATCH(P407,TZ_STN,0))/24)&lt;INDEX(TZ_DSTE,MATCH(P407,TZ_STN,0))),INDEX(TZ_DST,MATCH(P407,TZ_STN,0)),INDEX(TZ_STD,MATCH(P407,TZ_STN,0))))/24,"")</f>
        <v/>
      </c>
      <c r="AH407" s="65" t="str">
        <f aca="false">IFERROR(IF(N407="N/A – rule",IF(OR(TRIM(U407)="",TRIM(U407)="N/A",TRIM(U407)="Not started"),"N/A – RULE","INVALID – this check does not apply to this aircraft: clear the status (or correct the fleet on Flights)"),IF(TRIM(U407)="N/A",IF(AT407=0,"INVALID – N/A not permitted for this check",IF(AND(TRIM(AB407)&lt;&gt;"",TRIM(AB407)&lt;&gt;"Closed"),"INVALID – corrective action still open",IF(AND(NOT(OR(LEN(AZ407)&lt;15,ISNUMBER(MATCH(AZ407,L_Placeholder,0)))),BK407=0,CG407&gt;=8,NOT(OR(LEN(AU407)&lt;2,ISNUMBER(MATCH(AU407,L_Placeholder,0)))),BR407&gt;=3,NOT(OR(LEN(AX407)&lt;2,ISNUMBER(MATCH(AX407,L_Placeholder,0)))),BS407&gt;=3,TRIM(AE407)&lt;&gt;TRIM(T407),AX407&lt;&gt;AU407,CE407=0),"N/A – JUSTIFIED","INVALID – N/A needs a real, settled reason (not 'not applicable' / 'as above' / TBC), a named PIC and a different named verifier"))),IF(OR(TRIM(U407)="Pass",TRIM(U407)="Pass after CA"),IF(NOT(ISNUMBER(AD407)),"INVALID – completion time missing",IF(OR(OR(LEN(AU407)&lt;2,ISNUMBER(MATCH(AU407,L_Placeholder,0))),BR407&lt;3),"INVALID – PIC missing or not a named person (a role such as QA / CSM is not a name)",IF(OR(LEN(AV407)&lt;2,ISNUMBER(MATCH(AV407,L_Placeholder,0))),"INVALID – result / assessment missing",IF(OR(OR(LEN(AW407)&lt;3,ISNUMBER(MATCH(AW407,L_Placeholder,0))),SUMPRODUCT(--ISNUMBER(SEARCH(" "&amp;L_EvidencePhrase&amp;" ",BD407)))&gt;0,BI407=1),"INVALID – evidence missing, placeholder or not yet on file",IF(ISNA(MATCH(TRIM(S407),L_EvidenceType,0)),"INVALID – choose the evidence type from the list (column S)",IF(BL407=0,"INVALID – evidence ID must be the record's own ID only (e.g. SF-2210, IMG_2231, 1045521); a link / file name needs type 'Link / file path'",IF(OR(OR(LEN(AX407)&lt;2,ISNUMBER(MATCH(AX407,L_Placeholder,0))),BS407&lt;3),"INVALID – verifier missing or not a named person (a role such as QA / CSM is not a name)",IF(OR(AX407=AU407,CE407=1,AND(LEN(AU407)&gt;=4,ISNUMBER(SEARCH(AU407,AX407))),AND(LEN(AX407)&gt;=4,ISNUMBER(SEARCH(AX407,AU407)))),"INVALID – verifier must be a different, named person (not the PIC or a role)",IF(BH407=1,"INVALID – result not yet available (awaiting / TBC)",IF(BG407=1,"INVALID – result describes a problem: record Fail, then Pass after CA (or reword if it is not a problem)",IF(BV407=1,"INVALID – wording says not on board: an on-board confirmation needs the item loaded",IF(AND(AQ407=1,OR(OR(LEN(AY407)&lt;3,ISNUMBER(MATCH(AY407,L_Placeholder,0))),BJ407=1,BQ407=0)),"INVALID – batch ID missing, placeholder or not an ID (e.g. PASB-261008-BC-017)",IF(AND(AR407=1,OR(NOT(ISNUMBER(X407)),NOT(ISNUMBER(Y407)))),"INVALID – expected/actual qty missing",IF(AND(AR407=1,OR(X407&lt;=0,Y407&lt;0)),"INVALID – expected qty must be above 0 and actual not negative",IF(BB407&lt;&gt;"",BB407,IF(AND(AS407=1,Documents!$J$16&lt;&gt;"ON FILE"),"INVALID – GLD not on file (Documents sheet)",IF(AND(AS407=2,Documents!$O$16&lt;&gt;"ON FILE"),"INVALID – menu checklist not on file (Documents sheet)",IF(AND(AS407=3,NOT(ISNUMBER(Flights!$AX$16))),"INVALID – enter carrying flight KUL departure (Flights AX)",IF(AND(AS407=3,OR(Flights!$AZ$16&gt;Flights!$AA$16,Flights!$AX$16&lt;Flights!$AA$16-3)),"INVALID – carrying flight (Flights AX) cannot arrive before this leg's STD, or is over 3 days early",IF(AG407&gt;AsOfUTC,"INVALID – completion time is in the future",IF(AND(ISNUMBER(BY407),AG407&lt;BY407),IF(H407="Physical uplift","INVALID – before uplift window (cannot confirm loading)","INVALID – before valid window"),IF(AG407&gt;Flights!$AA$16,"INVALID – completed after departure (cannot establish readiness)",IF(AND(H407="Preparation",AG407&gt;=IF(ISNUMBER(Flights!$BA$16),MIN(Flights!$BA$16,Flights!$AA$16),Flights!$AA$16)),"INVALID – completed after loading / departure (cannot establish readiness)",IF(AND(H407="Physical uplift",AG407&gt;Q407),"INVALID – recorded after the loading flight departed",IF(AG407&gt;Q407,"COMPLETE – LATE","COMPLETE"))))))))))))))))))))))))),IF(TRIM(U407)="Fail","FAIL – DISCREPANCY",IF(AND(TRIM(U407)&lt;&gt;"",TRIM(U407)&lt;&gt;"Not started",TRIM(U407)&lt;&gt;"In progress"),"INVALID – unrecognised status (use the list)",IF(AsOfUTC&gt;Q407,"OVERDUE",IF(N407="Clarification required","OPEN – CLARIFICATION","OPEN"))))))),"INVALID – error value in an input cell")</f>
        <v>OPEN</v>
      </c>
      <c r="AI407" s="61" t="n">
        <f aca="false">IF(OR(AH407="N/A – RULE",AH407="N/A – JUSTIFIED"),0,1)</f>
        <v>1</v>
      </c>
      <c r="AJ407" s="61" t="n">
        <f aca="false">IF(LEFT(AH407,8)="COMPLETE",1,0)</f>
        <v>0</v>
      </c>
      <c r="AK407" s="61" t="n">
        <f aca="false">IF(AND(AI407=1,AJ407=0,AsOfUTC&gt;Q407),1,0)</f>
        <v>0</v>
      </c>
      <c r="AL407" s="61" t="n">
        <f aca="false">IFERROR(IF(AND(AI407=1,OR(TRIM(U407)="Fail",AND(TRIM(AB407)&lt;&gt;"",TRIM(AB407)&lt;&gt;"Closed"),AND(ISNUMBER(AF407),AF407&lt;&gt;0,TRIM(U407)&lt;&gt;"Pass after CA"))),1,0),1)</f>
        <v>0</v>
      </c>
      <c r="AM407" s="61" t="n">
        <f aca="false">IF(LEFT(AH407,7)="INVALID",1,0)</f>
        <v>0</v>
      </c>
      <c r="AN407" s="61" t="n">
        <f aca="false">IF(AND(N407="Clarification required",AI407=1,AJ407=0),1,0)</f>
        <v>0</v>
      </c>
      <c r="AO407" s="61" t="str">
        <f aca="false">IF(AK407=1,SUM(AK$5:AK407),"")</f>
        <v/>
      </c>
      <c r="AP407" s="61" t="str">
        <f aca="false">IF(AL407=1,SUM(AL$5:AL407),"")</f>
        <v/>
      </c>
      <c r="AQ407" s="61" t="n">
        <v>0</v>
      </c>
      <c r="AR407" s="61" t="n">
        <v>0</v>
      </c>
      <c r="AS407" s="61" t="n">
        <v>0</v>
      </c>
      <c r="AT407" s="61" t="n">
        <v>0</v>
      </c>
      <c r="AU407" s="61" t="str">
        <f aca="false">SUBSTITUTE(SUBSTITUTE(SUBSTITUTE(SUBSTITUTE(SUBSTITUTE(SUBSTITUTE(SUBSTITUTE(SUBSTITUTE(SUBSTITUTE(SUBSTITUTE(SUBSTITUTE(SUBSTITUTE(SUBSTITUTE(SUBSTITUTE(SUBSTITUTE(SUBSTITUTE(LOWER(T407&amp;""),CHAR(10),""),CHAR(13),""),CHAR(9),""),CHAR(160),"")," ",""),".",""),"-",""),"/",""),"?",""),"_",""),",",""),"[",""),"]",""),"(",""),")",""),"*","")</f>
        <v/>
      </c>
      <c r="AV407" s="61" t="str">
        <f aca="false">SUBSTITUTE(SUBSTITUTE(SUBSTITUTE(SUBSTITUTE(SUBSTITUTE(SUBSTITUTE(SUBSTITUTE(SUBSTITUTE(SUBSTITUTE(SUBSTITUTE(SUBSTITUTE(SUBSTITUTE(SUBSTITUTE(SUBSTITUTE(SUBSTITUTE(SUBSTITUTE(LOWER(V407&amp;""),CHAR(10),""),CHAR(13),""),CHAR(9),""),CHAR(160),"")," ",""),".",""),"-",""),"/",""),"?",""),"_",""),",",""),"[",""),"]",""),"(",""),")",""),"*","")</f>
        <v/>
      </c>
      <c r="AW407" s="61" t="str">
        <f aca="false">SUBSTITUTE(SUBSTITUTE(SUBSTITUTE(SUBSTITUTE(SUBSTITUTE(SUBSTITUTE(SUBSTITUTE(SUBSTITUTE(SUBSTITUTE(SUBSTITUTE(SUBSTITUTE(SUBSTITUTE(SUBSTITUTE(SUBSTITUTE(SUBSTITUTE(SUBSTITUTE(LOWER(Z407&amp;""),CHAR(10),""),CHAR(13),""),CHAR(9),""),CHAR(160),"")," ",""),".",""),"-",""),"/",""),"?",""),"_",""),",",""),"[",""),"]",""),"(",""),")",""),"*","")</f>
        <v/>
      </c>
      <c r="AX407" s="61" t="str">
        <f aca="false">SUBSTITUTE(SUBSTITUTE(SUBSTITUTE(SUBSTITUTE(SUBSTITUTE(SUBSTITUTE(SUBSTITUTE(SUBSTITUTE(SUBSTITUTE(SUBSTITUTE(SUBSTITUTE(SUBSTITUTE(SUBSTITUTE(SUBSTITUTE(SUBSTITUTE(SUBSTITUTE(LOWER(AE407&amp;""),CHAR(10),""),CHAR(13),""),CHAR(9),""),CHAR(160),"")," ",""),".",""),"-",""),"/",""),"?",""),"_",""),",",""),"[",""),"]",""),"(",""),")",""),"*","")</f>
        <v/>
      </c>
      <c r="AY407" s="61" t="str">
        <f aca="false">SUBSTITUTE(SUBSTITUTE(SUBSTITUTE(SUBSTITUTE(SUBSTITUTE(SUBSTITUTE(SUBSTITUTE(SUBSTITUTE(SUBSTITUTE(SUBSTITUTE(SUBSTITUTE(SUBSTITUTE(SUBSTITUTE(SUBSTITUTE(SUBSTITUTE(SUBSTITUTE(LOWER(W407&amp;""),CHAR(10),""),CHAR(13),""),CHAR(9),""),CHAR(160),"")," ",""),".",""),"-",""),"/",""),"?",""),"_",""),",",""),"[",""),"]",""),"(",""),")",""),"*","")</f>
        <v/>
      </c>
      <c r="AZ407" s="61" t="str">
        <f aca="false">SUBSTITUTE(SUBSTITUTE(SUBSTITUTE(SUBSTITUTE(SUBSTITUTE(SUBSTITUTE(SUBSTITUTE(SUBSTITUTE(SUBSTITUTE(SUBSTITUTE(SUBSTITUTE(SUBSTITUTE(SUBSTITUTE(SUBSTITUTE(SUBSTITUTE(SUBSTITUTE(LOWER(AC407&amp;""),CHAR(10),""),CHAR(13),""),CHAR(9),""),CHAR(160),"")," ",""),".",""),"-",""),"/",""),"?",""),"_",""),",",""),"[",""),"]",""),"(",""),")",""),"*","")</f>
        <v/>
      </c>
      <c r="BA407" s="61" t="str">
        <f aca="false">SUBSTITUTE(SUBSTITUTE(SUBSTITUTE(SUBSTITUTE(SUBSTITUTE(SUBSTITUTE(SUBSTITUTE(SUBSTITUTE(SUBSTITUTE(SUBSTITUTE(SUBSTITUTE(SUBSTITUTE(SUBSTITUTE(SUBSTITUTE(SUBSTITUTE(SUBSTITUTE(LOWER(AA407&amp;""),CHAR(10),""),CHAR(13),""),CHAR(9),""),CHAR(160),"")," ",""),".",""),"-",""),"/",""),"?",""),"_",""),",",""),"[",""),"]",""),"(",""),")",""),"*","")</f>
        <v/>
      </c>
      <c r="BB407" s="61" t="str">
        <f aca="false">IF(AND(TRIM(U407)="Pass",ISNUMBER(AF407)),IF(AF407&lt;&gt;0,"INVALID – qty variance: use Fail or Pass after CA",""),"")&amp;IF(AND(TRIM(U407)="Pass after CA",ISNUMBER(AF407)),IF(AF407&lt;&gt;0,"INVALID – after the corrective action the actual qty must equal expected (update Actual)",""),"")&amp;IF(AND(TRIM(U407)="Pass",TRIM(AB407)&lt;&gt;"",TRIM(AB407)&lt;&gt;"Closed"),"INVALID – corrective action not closed: use Fail, then Pass after CA","")&amp;IF(AND(LEN(BA407)&gt;=2,ISNA(MATCH(LEFT(BA407,255),L_Placeholder,0)),TRIM(AB407)=""),"INVALID – CA status missing for the recorded corrective action","")&amp;IF(AND(TRIM(U407)="Pass after CA",OR(OR(LEN(BA407)&lt;5,ISNUMBER(MATCH(BA407,L_Placeholder,0))),TRIM(AB407)&lt;&gt;"Closed")),"INVALID – corrective action not recorded/closed","")</f>
        <v/>
      </c>
      <c r="BC407" s="61" t="str">
        <f aca="false">" "&amp;TRIM(SUBSTITUTE(SUBSTITUTE(SUBSTITUTE(SUBSTITUTE(SUBSTITUTE(SUBSTITUTE(SUBSTITUTE(SUBSTITUTE(SUBSTITUTE(SUBSTITUTE(SUBSTITUTE(SUBSTITUTE(SUBSTITUTE(SUBSTITUTE(SUBSTITUTE(SUBSTITUTE(SUBSTITUTE(SUBSTITUTE(SUBSTITUTE(SUBSTITUTE(SUBSTITUTE(SUBSTITUTE(SUBSTITUTE(SUBSTITUTE(LOWER(V407&amp;""),CHAR(10)," "),CHAR(13)," "),CHAR(9)," "),CHAR(160)," "),"."," "),","," "),"-"," "),"/"," "),"("," "),")"," "),":"," "),";"," "),"_"," "),"–"," "),"?"," "),"!"," "),"*"," "),"["," "),"]"," "),"'"," "),"#"," "),"+"," "),"&amp;"," "),"\"," "))&amp;" "</f>
        <v>  </v>
      </c>
      <c r="BD407" s="61" t="str">
        <f aca="false">" "&amp;TRIM(SUBSTITUTE(SUBSTITUTE(SUBSTITUTE(SUBSTITUTE(SUBSTITUTE(SUBSTITUTE(SUBSTITUTE(SUBSTITUTE(SUBSTITUTE(SUBSTITUTE(SUBSTITUTE(SUBSTITUTE(SUBSTITUTE(SUBSTITUTE(SUBSTITUTE(SUBSTITUTE(SUBSTITUTE(SUBSTITUTE(SUBSTITUTE(SUBSTITUTE(SUBSTITUTE(SUBSTITUTE(SUBSTITUTE(SUBSTITUTE(LOWER(Z407&amp;""),CHAR(10)," "),CHAR(13)," "),CHAR(9)," "),CHAR(160)," "),"."," "),","," "),"-"," "),"/"," "),"("," "),")"," "),":"," "),";"," "),"_"," "),"–"," "),"?"," "),"!"," "),"*"," "),"["," "),"]"," "),"'"," "),"#"," "),"+"," "),"&amp;"," "),"\"," "))&amp;" "</f>
        <v>  </v>
      </c>
      <c r="BE407" s="61" t="str">
        <f aca="false">" "&amp;TRIM(SUBSTITUTE(SUBSTITUTE(SUBSTITUTE(SUBSTITUTE(SUBSTITUTE(SUBSTITUTE(SUBSTITUTE(SUBSTITUTE(SUBSTITUTE(SUBSTITUTE(SUBSTITUTE(SUBSTITUTE(SUBSTITUTE(SUBSTITUTE(SUBSTITUTE(SUBSTITUTE(SUBSTITUTE(SUBSTITUTE(SUBSTITUTE(SUBSTITUTE(SUBSTITUTE(SUBSTITUTE(SUBSTITUTE(SUBSTITUTE(LOWER(W407&amp;""),CHAR(10)," "),CHAR(13)," "),CHAR(9)," "),CHAR(160)," "),"."," "),","," "),"-"," "),"/"," "),"("," "),")"," "),":"," "),";"," "),"_"," "),"–"," "),"?"," "),"!"," "),"*"," "),"["," "),"]"," "),"'"," "),"#"," "),"+"," "),"&amp;"," "),"\"," "))&amp;" "</f>
        <v>  </v>
      </c>
      <c r="BF407" s="61" t="str">
        <f aca="false">" "&amp;TRIM(SUBSTITUTE(SUBSTITUTE(SUBSTITUTE(SUBSTITUTE(SUBSTITUTE(SUBSTITUTE(SUBSTITUTE(SUBSTITUTE(SUBSTITUTE(SUBSTITUTE(SUBSTITUTE(SUBSTITUTE(SUBSTITUTE(SUBSTITUTE(SUBSTITUTE(SUBSTITUTE(SUBSTITUTE(SUBSTITUTE(SUBSTITUTE(SUBSTITUTE(SUBSTITUTE(SUBSTITUTE(SUBSTITUTE(SUBSTITUTE(LOWER(AC407&amp;""),CHAR(10)," "),CHAR(13)," "),CHAR(9)," "),CHAR(160)," "),"."," "),","," "),"-"," "),"/"," "),"("," "),")"," "),":"," "),";"," "),"_"," "),"–"," "),"?"," "),"!"," "),"*"," "),"["," "),"]"," "),"'"," "),"#"," "),"+"," "),"&amp;"," "),"\"," "))&amp;" "</f>
        <v>  </v>
      </c>
      <c r="BG407" s="61" t="n">
        <f aca="false">IFERROR(IF(AND(TRIM(U407)="Pass",SUMPRODUCT((LEN(BC407)-LEN(SUBSTITUTE(BC407," "&amp;L_ResultBad&amp;" "," ")))/(LEN(L_ResultBad)+1))&gt;SUMPRODUCT((LEN(BC407)-LEN(SUBSTITUTE(BC407," "&amp;L_NegPhrase&amp;" "," ")))/(LEN(L_NegPhrase)+1))),1,0),0)</f>
        <v>0</v>
      </c>
      <c r="BH407" s="61" t="n">
        <f aca="false">IFERROR(IF(SUMPRODUCT((LEN(BC407)-LEN(SUBSTITUTE(BC407," "&amp;L_Pending&amp;" "," ")))/(LEN(L_Pending)+1))&gt;SUMPRODUCT((LEN(BC407)-LEN(SUBSTITUTE(BC407," "&amp;L_PendNeg&amp;" "," ")))/(LEN(L_PendNeg)+1))+SUMPRODUCT((LEN(BC407)-LEN(SUBSTITUTE(BC407," "&amp;L_PendPrep&amp;" "," ")))/(LEN(L_PendPrep)+1)),1,0),1)</f>
        <v>0</v>
      </c>
      <c r="BI407" s="61" t="n">
        <f aca="false">IFERROR(IF(SUMPRODUCT((LEN(BD407)-LEN(SUBSTITUTE(BD407," "&amp;L_PendStrict&amp;" "," ")))/(LEN(L_PendStrict)+1))&gt;SUMPRODUCT((LEN(BD407)-LEN(SUBSTITUTE(BD407," "&amp;L_PendNeg&amp;" "," ")))/(LEN(L_PendNeg)+1)),1,0),1)</f>
        <v>0</v>
      </c>
      <c r="BJ407" s="61" t="n">
        <f aca="false">IFERROR(IF(SUMPRODUCT((LEN(BE407)-LEN(SUBSTITUTE(BE407," "&amp;L_Pending&amp;" "," ")))/(LEN(L_Pending)+1))&gt;SUMPRODUCT((LEN(BE407)-LEN(SUBSTITUTE(BE407," "&amp;L_PendNeg&amp;" "," ")))/(LEN(L_PendNeg)+1))+SUMPRODUCT((LEN(BE407)-LEN(SUBSTITUTE(BE407," "&amp;L_PendPrep&amp;" "," ")))/(LEN(L_PendPrep)+1)),1,0),1)</f>
        <v>0</v>
      </c>
      <c r="BK407" s="61" t="n">
        <f aca="false">IFERROR(IF(SUMPRODUCT((LEN(BF407)-LEN(SUBSTITUTE(BF407," "&amp;L_PendStrict&amp;" "," ")))/(LEN(L_PendStrict)+1))&gt;SUMPRODUCT((LEN(BF407)-LEN(SUBSTITUTE(BF407," "&amp;L_PendNeg&amp;" "," ")))/(LEN(L_PendNeg)+1)),1,0),1)</f>
        <v>0</v>
      </c>
      <c r="BL407" s="61" t="n">
        <f aca="false">IF(ISNA(MATCH(TRIM(S407),L_EvidenceType,0)),0,BZ407)</f>
        <v>0</v>
      </c>
      <c r="BM407" s="61" t="str">
        <f aca="false">SUBSTITUTE(SUBSTITUTE(SUBSTITUTE(SUBSTITUTE(SUBSTITUTE(SUBSTITUTE(SUBSTITUTE(SUBSTITUTE(SUBSTITUTE(LOWER(Z407&amp;""),"1","0"),"2","0"),"3","0"),"4","0"),"5","0"),"6","0"),"7","0"),"8","0"),"9","0")</f>
        <v/>
      </c>
      <c r="BN407" s="61" t="str">
        <f aca="false">SUBSTITUTE(SUBSTITUTE(SUBSTITUTE(SUBSTITUTE(SUBSTITUTE(SUBSTITUTE(SUBSTITUTE(SUBSTITUTE(SUBSTITUTE(SUBSTITUTE(SUBSTITUTE(SUBSTITUTE(SUBSTITUTE(SUBSTITUTE(SUBSTITUTE(SUBSTITUTE(SUBSTITUTE(SUBSTITUTE(SUBSTITUTE(SUBSTITUTE(SUBSTITUTE(SUBSTITUTE(SUBSTITUTE(SUBSTITUTE(SUBSTITUTE(BM407,"b","a"),"c","a"),"d","a"),"e","a"),"f","a"),"g","a"),"h","a"),"i","a"),"j","a"),"k","a"),"l","a"),"m","a"),"n","a"),"o","a"),"p","a"),"q","a"),"r","a"),"s","a"),"t","a"),"u","a"),"v","a"),"w","a"),"x","a"),"y","a"),"z","a")</f>
        <v/>
      </c>
      <c r="BO407" s="61" t="str">
        <f aca="false">SUBSTITUTE(SUBSTITUTE(SUBSTITUTE(SUBSTITUTE(SUBSTITUTE(SUBSTITUTE(SUBSTITUTE(SUBSTITUTE(SUBSTITUTE(LOWER(W407&amp;""),"1","0"),"2","0"),"3","0"),"4","0"),"5","0"),"6","0"),"7","0"),"8","0"),"9","0")</f>
        <v/>
      </c>
      <c r="BP407" s="61" t="str">
        <f aca="false">SUBSTITUTE(SUBSTITUTE(SUBSTITUTE(SUBSTITUTE(SUBSTITUTE(SUBSTITUTE(SUBSTITUTE(SUBSTITUTE(SUBSTITUTE(SUBSTITUTE(SUBSTITUTE(SUBSTITUTE(SUBSTITUTE(SUBSTITUTE(SUBSTITUTE(SUBSTITUTE(SUBSTITUTE(SUBSTITUTE(SUBSTITUTE(SUBSTITUTE(SUBSTITUTE(SUBSTITUTE(SUBSTITUTE(SUBSTITUTE(SUBSTITUTE(BO407,"b","a"),"c","a"),"d","a"),"e","a"),"f","a"),"g","a"),"h","a"),"i","a"),"j","a"),"k","a"),"l","a"),"m","a"),"n","a"),"o","a"),"p","a"),"q","a"),"r","a"),"s","a"),"t","a"),"u","a"),"v","a"),"w","a"),"x","a"),"y","a"),"z","a")</f>
        <v/>
      </c>
      <c r="BQ407" s="61" t="n">
        <f aca="false">IFERROR(IF(AND(ISERROR(SEARCH(" mh"," "&amp;LOWER(W407))),ISNA(MATCH(LEFT(TRIM(BP407),255),{"0000a","000a","00a","0000aa","000aa","00aa","0aa","0000aaa","000aaa","00a00","0a00","0000-0000","00:00","a00","a0","00.00.0000","00/00/0000","00-00-0000","0000-00-00","0000/00/00","0000.00.00","00.00.00","00/00/00","00-00-00","0.00.0000","0/00/0000","0-00-0000"},0)),ISNA(MATCH(LEFT(TRIM(CA407),255),{"0000a","000a","00a","0000aa","000aa","00aa","0aa","0000aaa","000aaa","00a00","0a00","0000-0000","00:00","a00","a0","00.00.0000","00/00/0000","00-00-0000","0000-00-00","0000/00/00","0000.00.00","00.00.00","00/00/00","00-00-00","0.00.0000","0/00/0000","0-00-0000"},0)),LEN(CB407)&gt;=3,NOT(OR(SUBSTITUTE(CB407,"0","")="",AND(LEN(CB407)&gt;=4,CB407=REPT(LEFT(CB407),LEN(CB407))),ISNUMBER(MATCH(CB407,{"123","1234","12345","123456","1234567","12345678","0123","01234","012345","98765","987654","54321"},0)),AND(LEN(CB407)=8,LEFT(CB407,3)="202"))),OR(AND((LEN(CA407)-LEN(SUBSTITUTE(CA407,"a","")))&gt;=1,SUMPRODUCT(--ISNUMBER(SEARCH({"a0","a-0","a_0","a/0","a.0","a#0","0a","0-a","0_a","0/a"},BP407)))&gt;0),ISNUMBER(SEARCH("000000",BP407)))),1,0),0)</f>
        <v>0</v>
      </c>
      <c r="BR407" s="61" t="n">
        <f aca="false">IFERROR(LEN(SUBSTITUTE(CC407," ",""))-SUMPRODUCT((LEN(CC407)-LEN(SUBSTITUTE(CC407," "&amp;L_Role&amp;" "," ")))/(LEN(L_Role)+1)*LEN(L_Role)),0)</f>
        <v>0</v>
      </c>
      <c r="BS407" s="61" t="n">
        <f aca="false">IFERROR(LEN(SUBSTITUTE(CD407," ",""))-SUMPRODUCT((LEN(CD407)-LEN(SUBSTITUTE(CD407," "&amp;L_Role&amp;" "," ")))/(LEN(L_Role)+1)*LEN(L_Role)),0)</f>
        <v>0</v>
      </c>
      <c r="BT4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407,"revision",""),"version",""),"jan",""),"feb",""),"mar",""),"apr",""),"may",""),"jun",""),"jul",""),"aug",""),"sep",""),"oct",""),"nov",""),"dec",""),"utc",""),"gmt",""),"myt",""),"bst",""),"rev",""),"ver",""),"b","a"),"c","a"),"d","a"),"e","a"),"f","a"),"g","a"),"h","a"),"i","a"),"j","a"),"k","a"),"l","a"),"m","a"),"n","a"),"o","a"),"p","a"),"q","a"),"r","a"),"s","a"),"t","a"),"u","a"),"v","a"),"w","a"),"x","a"),"y","a"),"z","a")</f>
        <v/>
      </c>
      <c r="BU407" s="61" t="str">
        <f aca="false">SUBSTITUTE(SUBSTITUTE(SUBSTITUTE(SUBSTITUTE(SUBSTITUTE(SUBSTITUTE(SUBSTITUTE(SUBSTITUTE(SUBSTITUTE(SUBSTITUTE(LEFT(BM407,FIND("0",BM407&amp;"0")-1),"-",""),"_",""),"/",""),".",""),"#",""),"\\",""),":","")," ",""),"(",""),")","")</f>
        <v/>
      </c>
      <c r="BV407" s="61" t="n">
        <f aca="false">0</f>
        <v>0</v>
      </c>
      <c r="BW4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407&amp;""),"a",""),"b",""),"c",""),"d",""),"e",""),"f",""),"g",""),"h",""),"i",""),"j",""),"k",""),"l",""),"m",""),"n",""),"o",""),"p",""),"q",""),"r",""),"s",""),"t",""),"u",""),"v",""),"w",""),"x",""),"y",""),"z",""),"-",""),"_",""),"/",""),".",""),"#",""),"\\",""),":","")," ",""),"(",""),")","")</f>
        <v/>
      </c>
      <c r="BX407" s="61" t="str">
        <f aca="false">SUBSTITUTE(SUBSTITUTE(SUBSTITUTE(SUBSTITUTE(SUBSTITUTE(SUBSTITUTE(SUBSTITUTE(SUBSTITUTE(SUBSTITUTE(SUBSTITUTE(SUBSTITUTE(BM407,"0",""),"-",""),"_",""),"/",""),".",""),"#",""),"\\",""),":","")," ",""),"(",""),")","")</f>
        <v/>
      </c>
      <c r="BY407" s="62" t="n">
        <f aca="false">Q407-T12EarlyH/24</f>
        <v>46306.6006944444</v>
      </c>
      <c r="BZ407" s="61" t="n">
        <f aca="false">IFERROR(IF(IF(TRIM(S407)="Link / file path",AND(LEN(TRIM(Z407))&gt;=5,SUMPRODUCT(--ISNUMBER(SEARCH({"http","www.","\\",":\",".pdf",".jpg",".jpeg",".png",".heic",".xls",".doc",".msg",".eml",".ppt",".txt",".zip"},Z407)))&gt;0),AND(ISERROR(FIND(" ",TRIM(Z407))),NOT(OR(SUMPRODUCT(--ISNUMBER(FIND({",",";","&amp;","+"},Z407)))&gt;0,SUMPRODUCT(--ISNUMBER(SEARCH({"0/aa","0\\aa"},BN407)))&gt;0)),NOT(SUMPRODUCT(--ISNUMBER(SEARCH({"http","www.","\\",":\",".pdf",".jpg",".jpeg",".png",".heic",".xls",".doc",".msg",".eml",".ppt",".txt",".zip"},Z407)))&gt;0),NOT(LOWER(TRIM(Z407))=LOWER(Flights!$F$16)),ISNA(MATCH(BU407,{"mh","rev","revision","ver","version","v","r","a","b","seat","tray","row","gate","bay","stand","page","pg","item","line","no","cart","galley","flight","flt","table","box","bag","oven","etd","eta","std","sta","atd","ata","qty","pax","x","time","tel","ph","mob","day","wk","week","utc","gmt","myt","lt"},0)),NOT(OR(ISNUMBER(MATCH(LEFT(BN407,255),{"0000a","000a","00a","0000aa","000aa","00aa","0aa","0000aaa","000aaa","00a00","0a00","0000-0000","00:00","a00","a0","00.00.0000","00/00/0000","00-00-0000","0000-00-00","0000/00/00","0000.00.00","00.00.00","00/00/00","00-00-00","0.00.0000","0/00/0000","0-00-0000"},0)),ISNUMBER(MATCH(LEFT(BT407,255),{"0000a","000a","00a","0000aa","000aa","00aa","0aa","0000aaa","000aaa","00a00","0a00","0000-0000","00:00","a00","a0","00.00.0000","00/00/0000","00-00-0000","0000-00-00","0000/00/00","0000.00.00","00.00.00","00/00/00","00-00-00","0.00.0000","0/00/0000","0-00-0000"},0)))),NOT(OR(AND(BW407&lt;&gt;"",SUBSTITUTE(BW407,"0","")=""),AND(LEN(BW407)&gt;=4,BW407=REPT(LEFT(BW407),LEN(BW407))),ISNUMBER(MATCH(BW407,{"123","1234","12345","123456","1234567","12345678","0123","01234","012345","98765","987654","54321"},0)),ISNUMBER(MATCH(BX407,{"x","xx","xxx","xxxx","xxxxx","abc","abcd","nil","na","nan","test","tbc","tba","tbd","dummy","sample","example","eg","zz","zzz","none","null","xyz","qwe","asd","id","ref"},0)),AND(LEN(BW407)=8,BX407="",OR(LEFT(BW407,3)="202",ISNUMBER(MATCH(RIGHT(BW407,4),{"2025","2026","2027"},0)))))),OR(AND((LEN(BT407)-LEN(SUBSTITUTE(BT407,"a","")))&gt;=1,(LEN(BN407)-LEN(SUBSTITUTE(BN407,"0","")))&gt;=2,SUMPRODUCT(--ISNUMBER(SEARCH({"a0","a-0","a_0","a/0","a.0","a#0","0a","0-a","0_a","0/a"},BN407)))&gt;0),AND((LEN(BN407)-LEN(SUBSTITUTE(BN407,"a","")))=0,(LEN(BN407)-LEN(SUBSTITUTE(BN407,"0","")))&gt;=5)))),1,0),0)</f>
        <v>0</v>
      </c>
      <c r="CA4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407,"revision",""),"version",""),"jan",""),"feb",""),"mar",""),"apr",""),"may",""),"jun",""),"jul",""),"aug",""),"sep",""),"oct",""),"nov",""),"dec",""),"utc",""),"gmt",""),"myt",""),"bst",""),"rev",""),"ver",""),"b","a"),"c","a"),"d","a"),"e","a"),"f","a"),"g","a"),"h","a"),"i","a"),"j","a"),"k","a"),"l","a"),"m","a"),"n","a"),"o","a"),"p","a"),"q","a"),"r","a"),"s","a"),"t","a"),"u","a"),"v","a"),"w","a"),"x","a"),"y","a"),"z","a")</f>
        <v/>
      </c>
      <c r="CB4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407&amp;""),"a",""),"b",""),"c",""),"d",""),"e",""),"f",""),"g",""),"h",""),"i",""),"j",""),"k",""),"l",""),"m",""),"n",""),"o",""),"p",""),"q",""),"r",""),"s",""),"t",""),"u",""),"v",""),"w",""),"x",""),"y",""),"z",""),"-",""),"_",""),"/",""),".",""),"#",""),"\\",""),":","")," ",""),"(",""),")","")</f>
        <v/>
      </c>
      <c r="CC407" s="0" t="str">
        <f aca="false">" "&amp;TRIM(SUBSTITUTE(SUBSTITUTE(SUBSTITUTE(SUBSTITUTE(SUBSTITUTE(SUBSTITUTE(SUBSTITUTE(SUBSTITUTE(SUBSTITUTE(SUBSTITUTE(SUBSTITUTE(SUBSTITUTE(SUBSTITUTE(SUBSTITUTE(SUBSTITUTE(SUBSTITUTE(SUBSTITUTE(SUBSTITUTE(SUBSTITUTE(SUBSTITUTE(SUBSTITUTE(SUBSTITUTE(SUBSTITUTE(SUBSTITUTE(LOWER(T407&amp;""),CHAR(10)," "),CHAR(13)," "),CHAR(9)," "),CHAR(160)," "),"."," "),","," "),"-"," "),"/"," "),"("," "),")"," "),":"," "),";"," "),"_"," "),"–"," "),"?"," "),"!"," "),"*"," "),"["," "),"]"," "),"'"," "),"#"," "),"+"," "),"&amp;"," "),"\"," "))&amp;" "</f>
        <v>  </v>
      </c>
      <c r="CD407" s="0" t="str">
        <f aca="false">" "&amp;TRIM(SUBSTITUTE(SUBSTITUTE(SUBSTITUTE(SUBSTITUTE(SUBSTITUTE(SUBSTITUTE(SUBSTITUTE(SUBSTITUTE(SUBSTITUTE(SUBSTITUTE(SUBSTITUTE(SUBSTITUTE(SUBSTITUTE(SUBSTITUTE(SUBSTITUTE(SUBSTITUTE(SUBSTITUTE(SUBSTITUTE(SUBSTITUTE(SUBSTITUTE(SUBSTITUTE(SUBSTITUTE(SUBSTITUTE(SUBSTITUTE(LOWER(AE407&amp;""),CHAR(10)," "),CHAR(13)," "),CHAR(9)," "),CHAR(160)," "),"."," "),","," "),"-"," "),"/"," "),"("," "),")"," "),":"," "),";"," "),"_"," "),"–"," "),"?"," "),"!"," "),"*"," "),"["," "),"]"," "),"'"," "),"#"," "),"+"," "),"&amp;"," "),"\"," "))&amp;" "</f>
        <v>  </v>
      </c>
      <c r="CE407" s="68" t="n">
        <f aca="false">IFERROR(IF(AND(LEN(AU407)&gt;0,LEN(AU407)=LEN(AX407),OR(TRIM(MID(SUBSTITUTE(TRIM(CC407)," ",REPT(" ",60)),1,60))="",ISNUMBER(SEARCH(" "&amp;TRIM(MID(SUBSTITUTE(TRIM(CC407)," ",REPT(" ",60)),1,60))&amp;" ",CD407))),OR(TRIM(MID(SUBSTITUTE(TRIM(CC407)," ",REPT(" ",60)),61,60))="",ISNUMBER(SEARCH(" "&amp;TRIM(MID(SUBSTITUTE(TRIM(CC407)," ",REPT(" ",60)),61,60))&amp;" ",CD407))),OR(TRIM(MID(SUBSTITUTE(TRIM(CC407)," ",REPT(" ",60)),121,60))="",ISNUMBER(SEARCH(" "&amp;TRIM(MID(SUBSTITUTE(TRIM(CC407)," ",REPT(" ",60)),121,60))&amp;" ",CD407)))),1,0),0)</f>
        <v>0</v>
      </c>
      <c r="CG407" s="68" t="n">
        <f aca="false">IFERROR(LEN(SUBSTITUTE(BF407," ",""))-SUMPRODUCT((LEN(BF407)-LEN(SUBSTITUTE(BF407," "&amp;L_NAFiller&amp;" "," ")))/(LEN(L_NAFiller)+1)*LEN(L_NAFiller)),0)</f>
        <v>0</v>
      </c>
    </row>
    <row r="408" customFormat="false" ht="41.25" hidden="false" customHeight="true" outlineLevel="0" collapsed="false">
      <c r="A408" s="57" t="s">
        <v>1035</v>
      </c>
      <c r="B408" s="57" t="s">
        <v>261</v>
      </c>
      <c r="C408" s="57" t="str">
        <f aca="false">Flights!$F$16</f>
        <v>MH0139</v>
      </c>
      <c r="D408" s="58" t="n">
        <f aca="false">Flights!$D$16</f>
        <v>46307</v>
      </c>
      <c r="E408" s="57" t="str">
        <f aca="false">Flights!$G$16&amp;"-"&amp;Flights!$H$16</f>
        <v>KUL-ADL</v>
      </c>
      <c r="F408" s="57" t="str">
        <f aca="false">Flights!$K$16</f>
        <v>BC</v>
      </c>
      <c r="G408" s="57" t="s">
        <v>420</v>
      </c>
      <c r="H408" s="57" t="s">
        <v>378</v>
      </c>
      <c r="I408" s="57" t="s">
        <v>447</v>
      </c>
      <c r="J408" s="57" t="s">
        <v>626</v>
      </c>
      <c r="K408" s="67" t="s">
        <v>449</v>
      </c>
      <c r="L408" s="67" t="s">
        <v>1036</v>
      </c>
      <c r="M408" s="67" t="s">
        <v>451</v>
      </c>
      <c r="N408" s="67" t="s">
        <v>383</v>
      </c>
      <c r="O408" s="67" t="s">
        <v>503</v>
      </c>
      <c r="P408" s="57" t="s">
        <v>187</v>
      </c>
      <c r="Q408" s="59" t="n">
        <f aca="false">ROUND((Flights!$AE$16)*1440,0)/1440</f>
        <v>46307.1006944444</v>
      </c>
      <c r="R408" s="59" t="n">
        <f aca="false">Q408+(IF(AND(INDEX(TZ_DSTS,MATCH(P408,TZ_STN,0))&lt;&gt;"",Q408&gt;=INDEX(TZ_DSTS,MATCH(P408,TZ_STN,0)),Q408&lt;INDEX(TZ_DSTE,MATCH(P408,TZ_STN,0))),INDEX(TZ_DST,MATCH(P408,TZ_STN,0)),INDEX(TZ_STD,MATCH(P408,TZ_STN,0))))/24</f>
        <v>46307.4340277778</v>
      </c>
      <c r="S408" s="60"/>
      <c r="T408" s="60"/>
      <c r="U408" s="60"/>
      <c r="V408" s="60"/>
      <c r="W408" s="61"/>
      <c r="X408" s="60"/>
      <c r="Y408" s="60"/>
      <c r="Z408" s="60"/>
      <c r="AA408" s="60"/>
      <c r="AB408" s="60"/>
      <c r="AC408" s="60"/>
      <c r="AD408" s="66"/>
      <c r="AE408" s="60"/>
      <c r="AF408" s="61" t="str">
        <f aca="false">IF(AND(ISNUMBER(X408),ISNUMBER(Y408)),Y408-X408,"")</f>
        <v/>
      </c>
      <c r="AG408" s="62" t="str">
        <f aca="false">IF(ISNUMBER(AD408),AD408-(IF(AND(INDEX(TZ_DSTS,MATCH(P408,TZ_STN,0))&lt;&gt;"",(AD408-INDEX(TZ_STD,MATCH(P408,TZ_STN,0))/24)&gt;=INDEX(TZ_DSTS,MATCH(P408,TZ_STN,0)),(AD408-INDEX(TZ_STD,MATCH(P408,TZ_STN,0))/24)&lt;INDEX(TZ_DSTE,MATCH(P408,TZ_STN,0))),INDEX(TZ_DST,MATCH(P408,TZ_STN,0)),INDEX(TZ_STD,MATCH(P408,TZ_STN,0))))/24,"")</f>
        <v/>
      </c>
      <c r="AH408" s="65" t="str">
        <f aca="false">IFERROR(IF(N408="N/A – rule",IF(OR(TRIM(U408)="",TRIM(U408)="N/A",TRIM(U408)="Not started"),"N/A – RULE","INVALID – this check does not apply to this aircraft: clear the status (or correct the fleet on Flights)"),IF(TRIM(U408)="N/A",IF(AT408=0,"INVALID – N/A not permitted for this check",IF(AND(TRIM(AB408)&lt;&gt;"",TRIM(AB408)&lt;&gt;"Closed"),"INVALID – corrective action still open",IF(AND(NOT(OR(LEN(AZ408)&lt;15,ISNUMBER(MATCH(AZ408,L_Placeholder,0)))),BK408=0,CG408&gt;=8,NOT(OR(LEN(AU408)&lt;2,ISNUMBER(MATCH(AU408,L_Placeholder,0)))),BR408&gt;=3,NOT(OR(LEN(AX408)&lt;2,ISNUMBER(MATCH(AX408,L_Placeholder,0)))),BS408&gt;=3,TRIM(AE408)&lt;&gt;TRIM(T408),AX408&lt;&gt;AU408,CE408=0),"N/A – JUSTIFIED","INVALID – N/A needs a real, settled reason (not 'not applicable' / 'as above' / TBC), a named PIC and a different named verifier"))),IF(OR(TRIM(U408)="Pass",TRIM(U408)="Pass after CA"),IF(NOT(ISNUMBER(AD408)),"INVALID – completion time missing",IF(OR(OR(LEN(AU408)&lt;2,ISNUMBER(MATCH(AU408,L_Placeholder,0))),BR408&lt;3),"INVALID – PIC missing or not a named person (a role such as QA / CSM is not a name)",IF(OR(LEN(AV408)&lt;2,ISNUMBER(MATCH(AV408,L_Placeholder,0))),"INVALID – result / assessment missing",IF(OR(OR(LEN(AW408)&lt;3,ISNUMBER(MATCH(AW408,L_Placeholder,0))),SUMPRODUCT(--ISNUMBER(SEARCH(" "&amp;L_EvidencePhrase&amp;" ",BD408)))&gt;0,BI408=1),"INVALID – evidence missing, placeholder or not yet on file",IF(ISNA(MATCH(TRIM(S408),L_EvidenceType,0)),"INVALID – choose the evidence type from the list (column S)",IF(BL408=0,"INVALID – evidence ID must be the record's own ID only (e.g. SF-2210, IMG_2231, 1045521); a link / file name needs type 'Link / file path'",IF(OR(OR(LEN(AX408)&lt;2,ISNUMBER(MATCH(AX408,L_Placeholder,0))),BS408&lt;3),"INVALID – verifier missing or not a named person (a role such as QA / CSM is not a name)",IF(OR(AX408=AU408,CE408=1,AND(LEN(AU408)&gt;=4,ISNUMBER(SEARCH(AU408,AX408))),AND(LEN(AX408)&gt;=4,ISNUMBER(SEARCH(AX408,AU408)))),"INVALID – verifier must be a different, named person (not the PIC or a role)",IF(BH408=1,"INVALID – result not yet available (awaiting / TBC)",IF(BG408=1,"INVALID – result describes a problem: record Fail, then Pass after CA (or reword if it is not a problem)",IF(BV408=1,"INVALID – wording says not on board: an on-board confirmation needs the item loaded",IF(AND(AQ408=1,OR(OR(LEN(AY408)&lt;3,ISNUMBER(MATCH(AY408,L_Placeholder,0))),BJ408=1,BQ408=0)),"INVALID – batch ID missing, placeholder or not an ID (e.g. PASB-261008-BC-017)",IF(AND(AR408=1,OR(NOT(ISNUMBER(X408)),NOT(ISNUMBER(Y408)))),"INVALID – expected/actual qty missing",IF(AND(AR408=1,OR(X408&lt;=0,Y408&lt;0)),"INVALID – expected qty must be above 0 and actual not negative",IF(BB408&lt;&gt;"",BB408,IF(AND(AS408=1,Documents!$J$16&lt;&gt;"ON FILE"),"INVALID – GLD not on file (Documents sheet)",IF(AND(AS408=2,Documents!$O$16&lt;&gt;"ON FILE"),"INVALID – menu checklist not on file (Documents sheet)",IF(AND(AS408=3,NOT(ISNUMBER(Flights!$AX$16))),"INVALID – enter carrying flight KUL departure (Flights AX)",IF(AND(AS408=3,OR(Flights!$AZ$16&gt;Flights!$AA$16,Flights!$AX$16&lt;Flights!$AA$16-3)),"INVALID – carrying flight (Flights AX) cannot arrive before this leg's STD, or is over 3 days early",IF(AG408&gt;AsOfUTC,"INVALID – completion time is in the future",IF(AND(ISNUMBER(BY408),AG408&lt;BY408),IF(H408="Physical uplift","INVALID – before uplift window (cannot confirm loading)","INVALID – before valid window"),IF(AG408&gt;Flights!$AA$16,"INVALID – completed after departure (cannot establish readiness)",IF(AND(H408="Preparation",AG408&gt;=IF(ISNUMBER(Flights!$BA$16),MIN(Flights!$BA$16,Flights!$AA$16),Flights!$AA$16)),"INVALID – completed after loading / departure (cannot establish readiness)",IF(AND(H408="Physical uplift",AG408&gt;Q408),"INVALID – recorded after the loading flight departed",IF(AG408&gt;Q408,"COMPLETE – LATE","COMPLETE"))))))))))))))))))))))))),IF(TRIM(U408)="Fail","FAIL – DISCREPANCY",IF(AND(TRIM(U408)&lt;&gt;"",TRIM(U408)&lt;&gt;"Not started",TRIM(U408)&lt;&gt;"In progress"),"INVALID – unrecognised status (use the list)",IF(AsOfUTC&gt;Q408,"OVERDUE",IF(N408="Clarification required","OPEN – CLARIFICATION","OPEN"))))))),"INVALID – error value in an input cell")</f>
        <v>OPEN</v>
      </c>
      <c r="AI408" s="61" t="n">
        <f aca="false">IF(OR(AH408="N/A – RULE",AH408="N/A – JUSTIFIED"),0,1)</f>
        <v>1</v>
      </c>
      <c r="AJ408" s="61" t="n">
        <f aca="false">IF(LEFT(AH408,8)="COMPLETE",1,0)</f>
        <v>0</v>
      </c>
      <c r="AK408" s="61" t="n">
        <f aca="false">IF(AND(AI408=1,AJ408=0,AsOfUTC&gt;Q408),1,0)</f>
        <v>0</v>
      </c>
      <c r="AL408" s="61" t="n">
        <f aca="false">IFERROR(IF(AND(AI408=1,OR(TRIM(U408)="Fail",AND(TRIM(AB408)&lt;&gt;"",TRIM(AB408)&lt;&gt;"Closed"),AND(ISNUMBER(AF408),AF408&lt;&gt;0,TRIM(U408)&lt;&gt;"Pass after CA"))),1,0),1)</f>
        <v>0</v>
      </c>
      <c r="AM408" s="61" t="n">
        <f aca="false">IF(LEFT(AH408,7)="INVALID",1,0)</f>
        <v>0</v>
      </c>
      <c r="AN408" s="61" t="n">
        <f aca="false">IF(AND(N408="Clarification required",AI408=1,AJ408=0),1,0)</f>
        <v>0</v>
      </c>
      <c r="AO408" s="61" t="str">
        <f aca="false">IF(AK408=1,SUM(AK$5:AK408),"")</f>
        <v/>
      </c>
      <c r="AP408" s="61" t="str">
        <f aca="false">IF(AL408=1,SUM(AL$5:AL408),"")</f>
        <v/>
      </c>
      <c r="AQ408" s="61" t="n">
        <v>0</v>
      </c>
      <c r="AR408" s="61" t="n">
        <v>0</v>
      </c>
      <c r="AS408" s="61" t="n">
        <v>0</v>
      </c>
      <c r="AT408" s="61" t="n">
        <v>0</v>
      </c>
      <c r="AU408" s="61" t="str">
        <f aca="false">SUBSTITUTE(SUBSTITUTE(SUBSTITUTE(SUBSTITUTE(SUBSTITUTE(SUBSTITUTE(SUBSTITUTE(SUBSTITUTE(SUBSTITUTE(SUBSTITUTE(SUBSTITUTE(SUBSTITUTE(SUBSTITUTE(SUBSTITUTE(SUBSTITUTE(SUBSTITUTE(LOWER(T408&amp;""),CHAR(10),""),CHAR(13),""),CHAR(9),""),CHAR(160),"")," ",""),".",""),"-",""),"/",""),"?",""),"_",""),",",""),"[",""),"]",""),"(",""),")",""),"*","")</f>
        <v/>
      </c>
      <c r="AV408" s="61" t="str">
        <f aca="false">SUBSTITUTE(SUBSTITUTE(SUBSTITUTE(SUBSTITUTE(SUBSTITUTE(SUBSTITUTE(SUBSTITUTE(SUBSTITUTE(SUBSTITUTE(SUBSTITUTE(SUBSTITUTE(SUBSTITUTE(SUBSTITUTE(SUBSTITUTE(SUBSTITUTE(SUBSTITUTE(LOWER(V408&amp;""),CHAR(10),""),CHAR(13),""),CHAR(9),""),CHAR(160),"")," ",""),".",""),"-",""),"/",""),"?",""),"_",""),",",""),"[",""),"]",""),"(",""),")",""),"*","")</f>
        <v/>
      </c>
      <c r="AW408" s="61" t="str">
        <f aca="false">SUBSTITUTE(SUBSTITUTE(SUBSTITUTE(SUBSTITUTE(SUBSTITUTE(SUBSTITUTE(SUBSTITUTE(SUBSTITUTE(SUBSTITUTE(SUBSTITUTE(SUBSTITUTE(SUBSTITUTE(SUBSTITUTE(SUBSTITUTE(SUBSTITUTE(SUBSTITUTE(LOWER(Z408&amp;""),CHAR(10),""),CHAR(13),""),CHAR(9),""),CHAR(160),"")," ",""),".",""),"-",""),"/",""),"?",""),"_",""),",",""),"[",""),"]",""),"(",""),")",""),"*","")</f>
        <v/>
      </c>
      <c r="AX408" s="61" t="str">
        <f aca="false">SUBSTITUTE(SUBSTITUTE(SUBSTITUTE(SUBSTITUTE(SUBSTITUTE(SUBSTITUTE(SUBSTITUTE(SUBSTITUTE(SUBSTITUTE(SUBSTITUTE(SUBSTITUTE(SUBSTITUTE(SUBSTITUTE(SUBSTITUTE(SUBSTITUTE(SUBSTITUTE(LOWER(AE408&amp;""),CHAR(10),""),CHAR(13),""),CHAR(9),""),CHAR(160),"")," ",""),".",""),"-",""),"/",""),"?",""),"_",""),",",""),"[",""),"]",""),"(",""),")",""),"*","")</f>
        <v/>
      </c>
      <c r="AY408" s="61" t="str">
        <f aca="false">SUBSTITUTE(SUBSTITUTE(SUBSTITUTE(SUBSTITUTE(SUBSTITUTE(SUBSTITUTE(SUBSTITUTE(SUBSTITUTE(SUBSTITUTE(SUBSTITUTE(SUBSTITUTE(SUBSTITUTE(SUBSTITUTE(SUBSTITUTE(SUBSTITUTE(SUBSTITUTE(LOWER(W408&amp;""),CHAR(10),""),CHAR(13),""),CHAR(9),""),CHAR(160),"")," ",""),".",""),"-",""),"/",""),"?",""),"_",""),",",""),"[",""),"]",""),"(",""),")",""),"*","")</f>
        <v/>
      </c>
      <c r="AZ408" s="61" t="str">
        <f aca="false">SUBSTITUTE(SUBSTITUTE(SUBSTITUTE(SUBSTITUTE(SUBSTITUTE(SUBSTITUTE(SUBSTITUTE(SUBSTITUTE(SUBSTITUTE(SUBSTITUTE(SUBSTITUTE(SUBSTITUTE(SUBSTITUTE(SUBSTITUTE(SUBSTITUTE(SUBSTITUTE(LOWER(AC408&amp;""),CHAR(10),""),CHAR(13),""),CHAR(9),""),CHAR(160),"")," ",""),".",""),"-",""),"/",""),"?",""),"_",""),",",""),"[",""),"]",""),"(",""),")",""),"*","")</f>
        <v/>
      </c>
      <c r="BA408" s="61" t="str">
        <f aca="false">SUBSTITUTE(SUBSTITUTE(SUBSTITUTE(SUBSTITUTE(SUBSTITUTE(SUBSTITUTE(SUBSTITUTE(SUBSTITUTE(SUBSTITUTE(SUBSTITUTE(SUBSTITUTE(SUBSTITUTE(SUBSTITUTE(SUBSTITUTE(SUBSTITUTE(SUBSTITUTE(LOWER(AA408&amp;""),CHAR(10),""),CHAR(13),""),CHAR(9),""),CHAR(160),"")," ",""),".",""),"-",""),"/",""),"?",""),"_",""),",",""),"[",""),"]",""),"(",""),")",""),"*","")</f>
        <v/>
      </c>
      <c r="BB408" s="61" t="str">
        <f aca="false">IF(AND(TRIM(U408)="Pass",ISNUMBER(AF408)),IF(AF408&lt;&gt;0,"INVALID – qty variance: use Fail or Pass after CA",""),"")&amp;IF(AND(TRIM(U408)="Pass after CA",ISNUMBER(AF408)),IF(AF408&lt;&gt;0,"INVALID – after the corrective action the actual qty must equal expected (update Actual)",""),"")&amp;IF(AND(TRIM(U408)="Pass",TRIM(AB408)&lt;&gt;"",TRIM(AB408)&lt;&gt;"Closed"),"INVALID – corrective action not closed: use Fail, then Pass after CA","")&amp;IF(AND(LEN(BA408)&gt;=2,ISNA(MATCH(LEFT(BA408,255),L_Placeholder,0)),TRIM(AB408)=""),"INVALID – CA status missing for the recorded corrective action","")&amp;IF(AND(TRIM(U408)="Pass after CA",OR(OR(LEN(BA408)&lt;5,ISNUMBER(MATCH(BA408,L_Placeholder,0))),TRIM(AB408)&lt;&gt;"Closed")),"INVALID – corrective action not recorded/closed","")</f>
        <v/>
      </c>
      <c r="BC408" s="61" t="str">
        <f aca="false">" "&amp;TRIM(SUBSTITUTE(SUBSTITUTE(SUBSTITUTE(SUBSTITUTE(SUBSTITUTE(SUBSTITUTE(SUBSTITUTE(SUBSTITUTE(SUBSTITUTE(SUBSTITUTE(SUBSTITUTE(SUBSTITUTE(SUBSTITUTE(SUBSTITUTE(SUBSTITUTE(SUBSTITUTE(SUBSTITUTE(SUBSTITUTE(SUBSTITUTE(SUBSTITUTE(SUBSTITUTE(SUBSTITUTE(SUBSTITUTE(SUBSTITUTE(LOWER(V408&amp;""),CHAR(10)," "),CHAR(13)," "),CHAR(9)," "),CHAR(160)," "),"."," "),","," "),"-"," "),"/"," "),"("," "),")"," "),":"," "),";"," "),"_"," "),"–"," "),"?"," "),"!"," "),"*"," "),"["," "),"]"," "),"'"," "),"#"," "),"+"," "),"&amp;"," "),"\"," "))&amp;" "</f>
        <v>  </v>
      </c>
      <c r="BD408" s="61" t="str">
        <f aca="false">" "&amp;TRIM(SUBSTITUTE(SUBSTITUTE(SUBSTITUTE(SUBSTITUTE(SUBSTITUTE(SUBSTITUTE(SUBSTITUTE(SUBSTITUTE(SUBSTITUTE(SUBSTITUTE(SUBSTITUTE(SUBSTITUTE(SUBSTITUTE(SUBSTITUTE(SUBSTITUTE(SUBSTITUTE(SUBSTITUTE(SUBSTITUTE(SUBSTITUTE(SUBSTITUTE(SUBSTITUTE(SUBSTITUTE(SUBSTITUTE(SUBSTITUTE(LOWER(Z408&amp;""),CHAR(10)," "),CHAR(13)," "),CHAR(9)," "),CHAR(160)," "),"."," "),","," "),"-"," "),"/"," "),"("," "),")"," "),":"," "),";"," "),"_"," "),"–"," "),"?"," "),"!"," "),"*"," "),"["," "),"]"," "),"'"," "),"#"," "),"+"," "),"&amp;"," "),"\"," "))&amp;" "</f>
        <v>  </v>
      </c>
      <c r="BE408" s="61" t="str">
        <f aca="false">" "&amp;TRIM(SUBSTITUTE(SUBSTITUTE(SUBSTITUTE(SUBSTITUTE(SUBSTITUTE(SUBSTITUTE(SUBSTITUTE(SUBSTITUTE(SUBSTITUTE(SUBSTITUTE(SUBSTITUTE(SUBSTITUTE(SUBSTITUTE(SUBSTITUTE(SUBSTITUTE(SUBSTITUTE(SUBSTITUTE(SUBSTITUTE(SUBSTITUTE(SUBSTITUTE(SUBSTITUTE(SUBSTITUTE(SUBSTITUTE(SUBSTITUTE(LOWER(W408&amp;""),CHAR(10)," "),CHAR(13)," "),CHAR(9)," "),CHAR(160)," "),"."," "),","," "),"-"," "),"/"," "),"("," "),")"," "),":"," "),";"," "),"_"," "),"–"," "),"?"," "),"!"," "),"*"," "),"["," "),"]"," "),"'"," "),"#"," "),"+"," "),"&amp;"," "),"\"," "))&amp;" "</f>
        <v>  </v>
      </c>
      <c r="BF408" s="61" t="str">
        <f aca="false">" "&amp;TRIM(SUBSTITUTE(SUBSTITUTE(SUBSTITUTE(SUBSTITUTE(SUBSTITUTE(SUBSTITUTE(SUBSTITUTE(SUBSTITUTE(SUBSTITUTE(SUBSTITUTE(SUBSTITUTE(SUBSTITUTE(SUBSTITUTE(SUBSTITUTE(SUBSTITUTE(SUBSTITUTE(SUBSTITUTE(SUBSTITUTE(SUBSTITUTE(SUBSTITUTE(SUBSTITUTE(SUBSTITUTE(SUBSTITUTE(SUBSTITUTE(LOWER(AC408&amp;""),CHAR(10)," "),CHAR(13)," "),CHAR(9)," "),CHAR(160)," "),"."," "),","," "),"-"," "),"/"," "),"("," "),")"," "),":"," "),";"," "),"_"," "),"–"," "),"?"," "),"!"," "),"*"," "),"["," "),"]"," "),"'"," "),"#"," "),"+"," "),"&amp;"," "),"\"," "))&amp;" "</f>
        <v>  </v>
      </c>
      <c r="BG408" s="61" t="n">
        <f aca="false">IFERROR(IF(AND(TRIM(U408)="Pass",SUMPRODUCT((LEN(BC408)-LEN(SUBSTITUTE(BC408," "&amp;L_ResultBad&amp;" "," ")))/(LEN(L_ResultBad)+1))&gt;SUMPRODUCT((LEN(BC408)-LEN(SUBSTITUTE(BC408," "&amp;L_NegPhrase&amp;" "," ")))/(LEN(L_NegPhrase)+1))),1,0),0)</f>
        <v>0</v>
      </c>
      <c r="BH408" s="61" t="n">
        <f aca="false">IFERROR(IF(SUMPRODUCT((LEN(BC408)-LEN(SUBSTITUTE(BC408," "&amp;L_Pending&amp;" "," ")))/(LEN(L_Pending)+1))&gt;SUMPRODUCT((LEN(BC408)-LEN(SUBSTITUTE(BC408," "&amp;L_PendNeg&amp;" "," ")))/(LEN(L_PendNeg)+1))+SUMPRODUCT((LEN(BC408)-LEN(SUBSTITUTE(BC408," "&amp;L_PendPrep&amp;" "," ")))/(LEN(L_PendPrep)+1)),1,0),1)</f>
        <v>0</v>
      </c>
      <c r="BI408" s="61" t="n">
        <f aca="false">IFERROR(IF(SUMPRODUCT((LEN(BD408)-LEN(SUBSTITUTE(BD408," "&amp;L_PendStrict&amp;" "," ")))/(LEN(L_PendStrict)+1))&gt;SUMPRODUCT((LEN(BD408)-LEN(SUBSTITUTE(BD408," "&amp;L_PendNeg&amp;" "," ")))/(LEN(L_PendNeg)+1)),1,0),1)</f>
        <v>0</v>
      </c>
      <c r="BJ408" s="61" t="n">
        <f aca="false">IFERROR(IF(SUMPRODUCT((LEN(BE408)-LEN(SUBSTITUTE(BE408," "&amp;L_Pending&amp;" "," ")))/(LEN(L_Pending)+1))&gt;SUMPRODUCT((LEN(BE408)-LEN(SUBSTITUTE(BE408," "&amp;L_PendNeg&amp;" "," ")))/(LEN(L_PendNeg)+1))+SUMPRODUCT((LEN(BE408)-LEN(SUBSTITUTE(BE408," "&amp;L_PendPrep&amp;" "," ")))/(LEN(L_PendPrep)+1)),1,0),1)</f>
        <v>0</v>
      </c>
      <c r="BK408" s="61" t="n">
        <f aca="false">IFERROR(IF(SUMPRODUCT((LEN(BF408)-LEN(SUBSTITUTE(BF408," "&amp;L_PendStrict&amp;" "," ")))/(LEN(L_PendStrict)+1))&gt;SUMPRODUCT((LEN(BF408)-LEN(SUBSTITUTE(BF408," "&amp;L_PendNeg&amp;" "," ")))/(LEN(L_PendNeg)+1)),1,0),1)</f>
        <v>0</v>
      </c>
      <c r="BL408" s="61" t="n">
        <f aca="false">IF(ISNA(MATCH(TRIM(S408),L_EvidenceType,0)),0,BZ408)</f>
        <v>0</v>
      </c>
      <c r="BM408" s="61" t="str">
        <f aca="false">SUBSTITUTE(SUBSTITUTE(SUBSTITUTE(SUBSTITUTE(SUBSTITUTE(SUBSTITUTE(SUBSTITUTE(SUBSTITUTE(SUBSTITUTE(LOWER(Z408&amp;""),"1","0"),"2","0"),"3","0"),"4","0"),"5","0"),"6","0"),"7","0"),"8","0"),"9","0")</f>
        <v/>
      </c>
      <c r="BN408" s="61" t="str">
        <f aca="false">SUBSTITUTE(SUBSTITUTE(SUBSTITUTE(SUBSTITUTE(SUBSTITUTE(SUBSTITUTE(SUBSTITUTE(SUBSTITUTE(SUBSTITUTE(SUBSTITUTE(SUBSTITUTE(SUBSTITUTE(SUBSTITUTE(SUBSTITUTE(SUBSTITUTE(SUBSTITUTE(SUBSTITUTE(SUBSTITUTE(SUBSTITUTE(SUBSTITUTE(SUBSTITUTE(SUBSTITUTE(SUBSTITUTE(SUBSTITUTE(SUBSTITUTE(BM408,"b","a"),"c","a"),"d","a"),"e","a"),"f","a"),"g","a"),"h","a"),"i","a"),"j","a"),"k","a"),"l","a"),"m","a"),"n","a"),"o","a"),"p","a"),"q","a"),"r","a"),"s","a"),"t","a"),"u","a"),"v","a"),"w","a"),"x","a"),"y","a"),"z","a")</f>
        <v/>
      </c>
      <c r="BO408" s="61" t="str">
        <f aca="false">SUBSTITUTE(SUBSTITUTE(SUBSTITUTE(SUBSTITUTE(SUBSTITUTE(SUBSTITUTE(SUBSTITUTE(SUBSTITUTE(SUBSTITUTE(LOWER(W408&amp;""),"1","0"),"2","0"),"3","0"),"4","0"),"5","0"),"6","0"),"7","0"),"8","0"),"9","0")</f>
        <v/>
      </c>
      <c r="BP408" s="61" t="str">
        <f aca="false">SUBSTITUTE(SUBSTITUTE(SUBSTITUTE(SUBSTITUTE(SUBSTITUTE(SUBSTITUTE(SUBSTITUTE(SUBSTITUTE(SUBSTITUTE(SUBSTITUTE(SUBSTITUTE(SUBSTITUTE(SUBSTITUTE(SUBSTITUTE(SUBSTITUTE(SUBSTITUTE(SUBSTITUTE(SUBSTITUTE(SUBSTITUTE(SUBSTITUTE(SUBSTITUTE(SUBSTITUTE(SUBSTITUTE(SUBSTITUTE(SUBSTITUTE(BO408,"b","a"),"c","a"),"d","a"),"e","a"),"f","a"),"g","a"),"h","a"),"i","a"),"j","a"),"k","a"),"l","a"),"m","a"),"n","a"),"o","a"),"p","a"),"q","a"),"r","a"),"s","a"),"t","a"),"u","a"),"v","a"),"w","a"),"x","a"),"y","a"),"z","a")</f>
        <v/>
      </c>
      <c r="BQ408" s="61" t="n">
        <f aca="false">IFERROR(IF(AND(ISERROR(SEARCH(" mh"," "&amp;LOWER(W408))),ISNA(MATCH(LEFT(TRIM(BP408),255),{"0000a","000a","00a","0000aa","000aa","00aa","0aa","0000aaa","000aaa","00a00","0a00","0000-0000","00:00","a00","a0","00.00.0000","00/00/0000","00-00-0000","0000-00-00","0000/00/00","0000.00.00","00.00.00","00/00/00","00-00-00","0.00.0000","0/00/0000","0-00-0000"},0)),ISNA(MATCH(LEFT(TRIM(CA408),255),{"0000a","000a","00a","0000aa","000aa","00aa","0aa","0000aaa","000aaa","00a00","0a00","0000-0000","00:00","a00","a0","00.00.0000","00/00/0000","00-00-0000","0000-00-00","0000/00/00","0000.00.00","00.00.00","00/00/00","00-00-00","0.00.0000","0/00/0000","0-00-0000"},0)),LEN(CB408)&gt;=3,NOT(OR(SUBSTITUTE(CB408,"0","")="",AND(LEN(CB408)&gt;=4,CB408=REPT(LEFT(CB408),LEN(CB408))),ISNUMBER(MATCH(CB408,{"123","1234","12345","123456","1234567","12345678","0123","01234","012345","98765","987654","54321"},0)),AND(LEN(CB408)=8,LEFT(CB408,3)="202"))),OR(AND((LEN(CA408)-LEN(SUBSTITUTE(CA408,"a","")))&gt;=1,SUMPRODUCT(--ISNUMBER(SEARCH({"a0","a-0","a_0","a/0","a.0","a#0","0a","0-a","0_a","0/a"},BP408)))&gt;0),ISNUMBER(SEARCH("000000",BP408)))),1,0),0)</f>
        <v>0</v>
      </c>
      <c r="BR408" s="61" t="n">
        <f aca="false">IFERROR(LEN(SUBSTITUTE(CC408," ",""))-SUMPRODUCT((LEN(CC408)-LEN(SUBSTITUTE(CC408," "&amp;L_Role&amp;" "," ")))/(LEN(L_Role)+1)*LEN(L_Role)),0)</f>
        <v>0</v>
      </c>
      <c r="BS408" s="61" t="n">
        <f aca="false">IFERROR(LEN(SUBSTITUTE(CD408," ",""))-SUMPRODUCT((LEN(CD408)-LEN(SUBSTITUTE(CD408," "&amp;L_Role&amp;" "," ")))/(LEN(L_Role)+1)*LEN(L_Role)),0)</f>
        <v>0</v>
      </c>
      <c r="BT4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408,"revision",""),"version",""),"jan",""),"feb",""),"mar",""),"apr",""),"may",""),"jun",""),"jul",""),"aug",""),"sep",""),"oct",""),"nov",""),"dec",""),"utc",""),"gmt",""),"myt",""),"bst",""),"rev",""),"ver",""),"b","a"),"c","a"),"d","a"),"e","a"),"f","a"),"g","a"),"h","a"),"i","a"),"j","a"),"k","a"),"l","a"),"m","a"),"n","a"),"o","a"),"p","a"),"q","a"),"r","a"),"s","a"),"t","a"),"u","a"),"v","a"),"w","a"),"x","a"),"y","a"),"z","a")</f>
        <v/>
      </c>
      <c r="BU408" s="61" t="str">
        <f aca="false">SUBSTITUTE(SUBSTITUTE(SUBSTITUTE(SUBSTITUTE(SUBSTITUTE(SUBSTITUTE(SUBSTITUTE(SUBSTITUTE(SUBSTITUTE(SUBSTITUTE(LEFT(BM408,FIND("0",BM408&amp;"0")-1),"-",""),"_",""),"/",""),".",""),"#",""),"\\",""),":","")," ",""),"(",""),")","")</f>
        <v/>
      </c>
      <c r="BV408" s="61" t="n">
        <f aca="false">0</f>
        <v>0</v>
      </c>
      <c r="BW4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408&amp;""),"a",""),"b",""),"c",""),"d",""),"e",""),"f",""),"g",""),"h",""),"i",""),"j",""),"k",""),"l",""),"m",""),"n",""),"o",""),"p",""),"q",""),"r",""),"s",""),"t",""),"u",""),"v",""),"w",""),"x",""),"y",""),"z",""),"-",""),"_",""),"/",""),".",""),"#",""),"\\",""),":","")," ",""),"(",""),")","")</f>
        <v/>
      </c>
      <c r="BX408" s="61" t="str">
        <f aca="false">SUBSTITUTE(SUBSTITUTE(SUBSTITUTE(SUBSTITUTE(SUBSTITUTE(SUBSTITUTE(SUBSTITUTE(SUBSTITUTE(SUBSTITUTE(SUBSTITUTE(SUBSTITUTE(BM408,"0",""),"-",""),"_",""),"/",""),".",""),"#",""),"\\",""),":","")," ",""),"(",""),")","")</f>
        <v/>
      </c>
      <c r="BY408" s="62" t="n">
        <f aca="false">Q408-T12EarlyH/24</f>
        <v>46306.6006944444</v>
      </c>
      <c r="BZ408" s="61" t="n">
        <f aca="false">IFERROR(IF(IF(TRIM(S408)="Link / file path",AND(LEN(TRIM(Z408))&gt;=5,SUMPRODUCT(--ISNUMBER(SEARCH({"http","www.","\\",":\",".pdf",".jpg",".jpeg",".png",".heic",".xls",".doc",".msg",".eml",".ppt",".txt",".zip"},Z408)))&gt;0),AND(ISERROR(FIND(" ",TRIM(Z408))),NOT(OR(SUMPRODUCT(--ISNUMBER(FIND({",",";","&amp;","+"},Z408)))&gt;0,SUMPRODUCT(--ISNUMBER(SEARCH({"0/aa","0\\aa"},BN408)))&gt;0)),NOT(SUMPRODUCT(--ISNUMBER(SEARCH({"http","www.","\\",":\",".pdf",".jpg",".jpeg",".png",".heic",".xls",".doc",".msg",".eml",".ppt",".txt",".zip"},Z408)))&gt;0),NOT(LOWER(TRIM(Z408))=LOWER(Flights!$F$16)),ISNA(MATCH(BU408,{"mh","rev","revision","ver","version","v","r","a","b","seat","tray","row","gate","bay","stand","page","pg","item","line","no","cart","galley","flight","flt","table","box","bag","oven","etd","eta","std","sta","atd","ata","qty","pax","x","time","tel","ph","mob","day","wk","week","utc","gmt","myt","lt"},0)),NOT(OR(ISNUMBER(MATCH(LEFT(BN408,255),{"0000a","000a","00a","0000aa","000aa","00aa","0aa","0000aaa","000aaa","00a00","0a00","0000-0000","00:00","a00","a0","00.00.0000","00/00/0000","00-00-0000","0000-00-00","0000/00/00","0000.00.00","00.00.00","00/00/00","00-00-00","0.00.0000","0/00/0000","0-00-0000"},0)),ISNUMBER(MATCH(LEFT(BT408,255),{"0000a","000a","00a","0000aa","000aa","00aa","0aa","0000aaa","000aaa","00a00","0a00","0000-0000","00:00","a00","a0","00.00.0000","00/00/0000","00-00-0000","0000-00-00","0000/00/00","0000.00.00","00.00.00","00/00/00","00-00-00","0.00.0000","0/00/0000","0-00-0000"},0)))),NOT(OR(AND(BW408&lt;&gt;"",SUBSTITUTE(BW408,"0","")=""),AND(LEN(BW408)&gt;=4,BW408=REPT(LEFT(BW408),LEN(BW408))),ISNUMBER(MATCH(BW408,{"123","1234","12345","123456","1234567","12345678","0123","01234","012345","98765","987654","54321"},0)),ISNUMBER(MATCH(BX408,{"x","xx","xxx","xxxx","xxxxx","abc","abcd","nil","na","nan","test","tbc","tba","tbd","dummy","sample","example","eg","zz","zzz","none","null","xyz","qwe","asd","id","ref"},0)),AND(LEN(BW408)=8,BX408="",OR(LEFT(BW408,3)="202",ISNUMBER(MATCH(RIGHT(BW408,4),{"2025","2026","2027"},0)))))),OR(AND((LEN(BT408)-LEN(SUBSTITUTE(BT408,"a","")))&gt;=1,(LEN(BN408)-LEN(SUBSTITUTE(BN408,"0","")))&gt;=2,SUMPRODUCT(--ISNUMBER(SEARCH({"a0","a-0","a_0","a/0","a.0","a#0","0a","0-a","0_a","0/a"},BN408)))&gt;0),AND((LEN(BN408)-LEN(SUBSTITUTE(BN408,"a","")))=0,(LEN(BN408)-LEN(SUBSTITUTE(BN408,"0","")))&gt;=5)))),1,0),0)</f>
        <v>0</v>
      </c>
      <c r="CA4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408,"revision",""),"version",""),"jan",""),"feb",""),"mar",""),"apr",""),"may",""),"jun",""),"jul",""),"aug",""),"sep",""),"oct",""),"nov",""),"dec",""),"utc",""),"gmt",""),"myt",""),"bst",""),"rev",""),"ver",""),"b","a"),"c","a"),"d","a"),"e","a"),"f","a"),"g","a"),"h","a"),"i","a"),"j","a"),"k","a"),"l","a"),"m","a"),"n","a"),"o","a"),"p","a"),"q","a"),"r","a"),"s","a"),"t","a"),"u","a"),"v","a"),"w","a"),"x","a"),"y","a"),"z","a")</f>
        <v/>
      </c>
      <c r="CB4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408&amp;""),"a",""),"b",""),"c",""),"d",""),"e",""),"f",""),"g",""),"h",""),"i",""),"j",""),"k",""),"l",""),"m",""),"n",""),"o",""),"p",""),"q",""),"r",""),"s",""),"t",""),"u",""),"v",""),"w",""),"x",""),"y",""),"z",""),"-",""),"_",""),"/",""),".",""),"#",""),"\\",""),":","")," ",""),"(",""),")","")</f>
        <v/>
      </c>
      <c r="CC408" s="0" t="str">
        <f aca="false">" "&amp;TRIM(SUBSTITUTE(SUBSTITUTE(SUBSTITUTE(SUBSTITUTE(SUBSTITUTE(SUBSTITUTE(SUBSTITUTE(SUBSTITUTE(SUBSTITUTE(SUBSTITUTE(SUBSTITUTE(SUBSTITUTE(SUBSTITUTE(SUBSTITUTE(SUBSTITUTE(SUBSTITUTE(SUBSTITUTE(SUBSTITUTE(SUBSTITUTE(SUBSTITUTE(SUBSTITUTE(SUBSTITUTE(SUBSTITUTE(SUBSTITUTE(LOWER(T408&amp;""),CHAR(10)," "),CHAR(13)," "),CHAR(9)," "),CHAR(160)," "),"."," "),","," "),"-"," "),"/"," "),"("," "),")"," "),":"," "),";"," "),"_"," "),"–"," "),"?"," "),"!"," "),"*"," "),"["," "),"]"," "),"'"," "),"#"," "),"+"," "),"&amp;"," "),"\"," "))&amp;" "</f>
        <v>  </v>
      </c>
      <c r="CD408" s="0" t="str">
        <f aca="false">" "&amp;TRIM(SUBSTITUTE(SUBSTITUTE(SUBSTITUTE(SUBSTITUTE(SUBSTITUTE(SUBSTITUTE(SUBSTITUTE(SUBSTITUTE(SUBSTITUTE(SUBSTITUTE(SUBSTITUTE(SUBSTITUTE(SUBSTITUTE(SUBSTITUTE(SUBSTITUTE(SUBSTITUTE(SUBSTITUTE(SUBSTITUTE(SUBSTITUTE(SUBSTITUTE(SUBSTITUTE(SUBSTITUTE(SUBSTITUTE(SUBSTITUTE(LOWER(AE408&amp;""),CHAR(10)," "),CHAR(13)," "),CHAR(9)," "),CHAR(160)," "),"."," "),","," "),"-"," "),"/"," "),"("," "),")"," "),":"," "),";"," "),"_"," "),"–"," "),"?"," "),"!"," "),"*"," "),"["," "),"]"," "),"'"," "),"#"," "),"+"," "),"&amp;"," "),"\"," "))&amp;" "</f>
        <v>  </v>
      </c>
      <c r="CE408" s="68" t="n">
        <f aca="false">IFERROR(IF(AND(LEN(AU408)&gt;0,LEN(AU408)=LEN(AX408),OR(TRIM(MID(SUBSTITUTE(TRIM(CC408)," ",REPT(" ",60)),1,60))="",ISNUMBER(SEARCH(" "&amp;TRIM(MID(SUBSTITUTE(TRIM(CC408)," ",REPT(" ",60)),1,60))&amp;" ",CD408))),OR(TRIM(MID(SUBSTITUTE(TRIM(CC408)," ",REPT(" ",60)),61,60))="",ISNUMBER(SEARCH(" "&amp;TRIM(MID(SUBSTITUTE(TRIM(CC408)," ",REPT(" ",60)),61,60))&amp;" ",CD408))),OR(TRIM(MID(SUBSTITUTE(TRIM(CC408)," ",REPT(" ",60)),121,60))="",ISNUMBER(SEARCH(" "&amp;TRIM(MID(SUBSTITUTE(TRIM(CC408)," ",REPT(" ",60)),121,60))&amp;" ",CD408)))),1,0),0)</f>
        <v>0</v>
      </c>
      <c r="CG408" s="68" t="n">
        <f aca="false">IFERROR(LEN(SUBSTITUTE(BF408," ",""))-SUMPRODUCT((LEN(BF408)-LEN(SUBSTITUTE(BF408," "&amp;L_NAFiller&amp;" "," ")))/(LEN(L_NAFiller)+1)*LEN(L_NAFiller)),0)</f>
        <v>0</v>
      </c>
    </row>
    <row r="409" customFormat="false" ht="39.75" hidden="false" customHeight="true" outlineLevel="0" collapsed="false">
      <c r="A409" s="57" t="s">
        <v>1037</v>
      </c>
      <c r="B409" s="57" t="s">
        <v>261</v>
      </c>
      <c r="C409" s="57" t="str">
        <f aca="false">Flights!$F$16</f>
        <v>MH0139</v>
      </c>
      <c r="D409" s="58" t="n">
        <f aca="false">Flights!$D$16</f>
        <v>46307</v>
      </c>
      <c r="E409" s="57" t="str">
        <f aca="false">Flights!$G$16&amp;"-"&amp;Flights!$H$16</f>
        <v>KUL-ADL</v>
      </c>
      <c r="F409" s="57" t="str">
        <f aca="false">Flights!$K$16</f>
        <v>BC</v>
      </c>
      <c r="G409" s="57" t="s">
        <v>420</v>
      </c>
      <c r="H409" s="57" t="s">
        <v>378</v>
      </c>
      <c r="I409" s="57" t="s">
        <v>629</v>
      </c>
      <c r="J409" s="57" t="s">
        <v>630</v>
      </c>
      <c r="K409" s="67" t="s">
        <v>501</v>
      </c>
      <c r="L409" s="67" t="s">
        <v>1038</v>
      </c>
      <c r="M409" s="67" t="s">
        <v>187</v>
      </c>
      <c r="N409" s="67" t="s">
        <v>383</v>
      </c>
      <c r="O409" s="67" t="s">
        <v>632</v>
      </c>
      <c r="P409" s="57" t="s">
        <v>187</v>
      </c>
      <c r="Q409" s="59" t="n">
        <f aca="false">ROUND((Flights!$AE$16)*1440,0)/1440</f>
        <v>46307.1006944444</v>
      </c>
      <c r="R409" s="59" t="n">
        <f aca="false">Q409+(IF(AND(INDEX(TZ_DSTS,MATCH(P409,TZ_STN,0))&lt;&gt;"",Q409&gt;=INDEX(TZ_DSTS,MATCH(P409,TZ_STN,0)),Q409&lt;INDEX(TZ_DSTE,MATCH(P409,TZ_STN,0))),INDEX(TZ_DST,MATCH(P409,TZ_STN,0)),INDEX(TZ_STD,MATCH(P409,TZ_STN,0))))/24</f>
        <v>46307.4340277778</v>
      </c>
      <c r="S409" s="60"/>
      <c r="T409" s="60"/>
      <c r="U409" s="60"/>
      <c r="V409" s="60"/>
      <c r="W409" s="61"/>
      <c r="X409" s="60"/>
      <c r="Y409" s="60"/>
      <c r="Z409" s="60"/>
      <c r="AA409" s="60"/>
      <c r="AB409" s="60"/>
      <c r="AC409" s="60"/>
      <c r="AD409" s="66"/>
      <c r="AE409" s="60"/>
      <c r="AF409" s="61" t="str">
        <f aca="false">IF(AND(ISNUMBER(X409),ISNUMBER(Y409)),Y409-X409,"")</f>
        <v/>
      </c>
      <c r="AG409" s="62" t="str">
        <f aca="false">IF(ISNUMBER(AD409),AD409-(IF(AND(INDEX(TZ_DSTS,MATCH(P409,TZ_STN,0))&lt;&gt;"",(AD409-INDEX(TZ_STD,MATCH(P409,TZ_STN,0))/24)&gt;=INDEX(TZ_DSTS,MATCH(P409,TZ_STN,0)),(AD409-INDEX(TZ_STD,MATCH(P409,TZ_STN,0))/24)&lt;INDEX(TZ_DSTE,MATCH(P409,TZ_STN,0))),INDEX(TZ_DST,MATCH(P409,TZ_STN,0)),INDEX(TZ_STD,MATCH(P409,TZ_STN,0))))/24,"")</f>
        <v/>
      </c>
      <c r="AH409" s="65" t="str">
        <f aca="false">IFERROR(IF(N409="N/A – rule",IF(OR(TRIM(U409)="",TRIM(U409)="N/A",TRIM(U409)="Not started"),"N/A – RULE","INVALID – this check does not apply to this aircraft: clear the status (or correct the fleet on Flights)"),IF(TRIM(U409)="N/A",IF(AT409=0,"INVALID – N/A not permitted for this check",IF(AND(TRIM(AB409)&lt;&gt;"",TRIM(AB409)&lt;&gt;"Closed"),"INVALID – corrective action still open",IF(AND(NOT(OR(LEN(AZ409)&lt;15,ISNUMBER(MATCH(AZ409,L_Placeholder,0)))),BK409=0,CG409&gt;=8,NOT(OR(LEN(AU409)&lt;2,ISNUMBER(MATCH(AU409,L_Placeholder,0)))),BR409&gt;=3,NOT(OR(LEN(AX409)&lt;2,ISNUMBER(MATCH(AX409,L_Placeholder,0)))),BS409&gt;=3,TRIM(AE409)&lt;&gt;TRIM(T409),AX409&lt;&gt;AU409,CE409=0),"N/A – JUSTIFIED","INVALID – N/A needs a real, settled reason (not 'not applicable' / 'as above' / TBC), a named PIC and a different named verifier"))),IF(OR(TRIM(U409)="Pass",TRIM(U409)="Pass after CA"),IF(NOT(ISNUMBER(AD409)),"INVALID – completion time missing",IF(OR(OR(LEN(AU409)&lt;2,ISNUMBER(MATCH(AU409,L_Placeholder,0))),BR409&lt;3),"INVALID – PIC missing or not a named person (a role such as QA / CSM is not a name)",IF(OR(LEN(AV409)&lt;2,ISNUMBER(MATCH(AV409,L_Placeholder,0))),"INVALID – result / assessment missing",IF(OR(OR(LEN(AW409)&lt;3,ISNUMBER(MATCH(AW409,L_Placeholder,0))),SUMPRODUCT(--ISNUMBER(SEARCH(" "&amp;L_EvidencePhrase&amp;" ",BD409)))&gt;0,BI409=1),"INVALID – evidence missing, placeholder or not yet on file",IF(ISNA(MATCH(TRIM(S409),L_EvidenceType,0)),"INVALID – choose the evidence type from the list (column S)",IF(BL409=0,"INVALID – evidence ID must be the record's own ID only (e.g. SF-2210, IMG_2231, 1045521); a link / file name needs type 'Link / file path'",IF(OR(OR(LEN(AX409)&lt;2,ISNUMBER(MATCH(AX409,L_Placeholder,0))),BS409&lt;3),"INVALID – verifier missing or not a named person (a role such as QA / CSM is not a name)",IF(OR(AX409=AU409,CE409=1,AND(LEN(AU409)&gt;=4,ISNUMBER(SEARCH(AU409,AX409))),AND(LEN(AX409)&gt;=4,ISNUMBER(SEARCH(AX409,AU409)))),"INVALID – verifier must be a different, named person (not the PIC or a role)",IF(BH409=1,"INVALID – result not yet available (awaiting / TBC)",IF(BG409=1,"INVALID – result describes a problem: record Fail, then Pass after CA (or reword if it is not a problem)",IF(BV409=1,"INVALID – wording says not on board: an on-board confirmation needs the item loaded",IF(AND(AQ409=1,OR(OR(LEN(AY409)&lt;3,ISNUMBER(MATCH(AY409,L_Placeholder,0))),BJ409=1,BQ409=0)),"INVALID – batch ID missing, placeholder or not an ID (e.g. PASB-261008-BC-017)",IF(AND(AR409=1,OR(NOT(ISNUMBER(X409)),NOT(ISNUMBER(Y409)))),"INVALID – expected/actual qty missing",IF(AND(AR409=1,OR(X409&lt;=0,Y409&lt;0)),"INVALID – expected qty must be above 0 and actual not negative",IF(BB409&lt;&gt;"",BB409,IF(AND(AS409=1,Documents!$J$16&lt;&gt;"ON FILE"),"INVALID – GLD not on file (Documents sheet)",IF(AND(AS409=2,Documents!$O$16&lt;&gt;"ON FILE"),"INVALID – menu checklist not on file (Documents sheet)",IF(AND(AS409=3,NOT(ISNUMBER(Flights!$AX$16))),"INVALID – enter carrying flight KUL departure (Flights AX)",IF(AND(AS409=3,OR(Flights!$AZ$16&gt;Flights!$AA$16,Flights!$AX$16&lt;Flights!$AA$16-3)),"INVALID – carrying flight (Flights AX) cannot arrive before this leg's STD, or is over 3 days early",IF(AG409&gt;AsOfUTC,"INVALID – completion time is in the future",IF(AND(ISNUMBER(BY409),AG409&lt;BY409),IF(H409="Physical uplift","INVALID – before uplift window (cannot confirm loading)","INVALID – before valid window"),IF(AG409&gt;Flights!$AA$16,"INVALID – completed after departure (cannot establish readiness)",IF(AND(H409="Preparation",AG409&gt;=IF(ISNUMBER(Flights!$BA$16),MIN(Flights!$BA$16,Flights!$AA$16),Flights!$AA$16)),"INVALID – completed after loading / departure (cannot establish readiness)",IF(AND(H409="Physical uplift",AG409&gt;Q409),"INVALID – recorded after the loading flight departed",IF(AG409&gt;Q409,"COMPLETE – LATE","COMPLETE"))))))))))))))))))))))))),IF(TRIM(U409)="Fail","FAIL – DISCREPANCY",IF(AND(TRIM(U409)&lt;&gt;"",TRIM(U409)&lt;&gt;"Not started",TRIM(U409)&lt;&gt;"In progress"),"INVALID – unrecognised status (use the list)",IF(AsOfUTC&gt;Q409,"OVERDUE",IF(N409="Clarification required","OPEN – CLARIFICATION","OPEN"))))))),"INVALID – error value in an input cell")</f>
        <v>OPEN</v>
      </c>
      <c r="AI409" s="61" t="n">
        <f aca="false">IF(OR(AH409="N/A – RULE",AH409="N/A – JUSTIFIED"),0,1)</f>
        <v>1</v>
      </c>
      <c r="AJ409" s="61" t="n">
        <f aca="false">IF(LEFT(AH409,8)="COMPLETE",1,0)</f>
        <v>0</v>
      </c>
      <c r="AK409" s="61" t="n">
        <f aca="false">IF(AND(AI409=1,AJ409=0,AsOfUTC&gt;Q409),1,0)</f>
        <v>0</v>
      </c>
      <c r="AL409" s="61" t="n">
        <f aca="false">IFERROR(IF(AND(AI409=1,OR(TRIM(U409)="Fail",AND(TRIM(AB409)&lt;&gt;"",TRIM(AB409)&lt;&gt;"Closed"),AND(ISNUMBER(AF409),AF409&lt;&gt;0,TRIM(U409)&lt;&gt;"Pass after CA"))),1,0),1)</f>
        <v>0</v>
      </c>
      <c r="AM409" s="61" t="n">
        <f aca="false">IF(LEFT(AH409,7)="INVALID",1,0)</f>
        <v>0</v>
      </c>
      <c r="AN409" s="61" t="n">
        <f aca="false">IF(AND(N409="Clarification required",AI409=1,AJ409=0),1,0)</f>
        <v>0</v>
      </c>
      <c r="AO409" s="61" t="str">
        <f aca="false">IF(AK409=1,SUM(AK$5:AK409),"")</f>
        <v/>
      </c>
      <c r="AP409" s="61" t="str">
        <f aca="false">IF(AL409=1,SUM(AL$5:AL409),"")</f>
        <v/>
      </c>
      <c r="AQ409" s="61" t="n">
        <v>0</v>
      </c>
      <c r="AR409" s="61" t="n">
        <v>0</v>
      </c>
      <c r="AS409" s="61" t="n">
        <v>0</v>
      </c>
      <c r="AT409" s="61" t="n">
        <v>0</v>
      </c>
      <c r="AU409" s="61" t="str">
        <f aca="false">SUBSTITUTE(SUBSTITUTE(SUBSTITUTE(SUBSTITUTE(SUBSTITUTE(SUBSTITUTE(SUBSTITUTE(SUBSTITUTE(SUBSTITUTE(SUBSTITUTE(SUBSTITUTE(SUBSTITUTE(SUBSTITUTE(SUBSTITUTE(SUBSTITUTE(SUBSTITUTE(LOWER(T409&amp;""),CHAR(10),""),CHAR(13),""),CHAR(9),""),CHAR(160),"")," ",""),".",""),"-",""),"/",""),"?",""),"_",""),",",""),"[",""),"]",""),"(",""),")",""),"*","")</f>
        <v/>
      </c>
      <c r="AV409" s="61" t="str">
        <f aca="false">SUBSTITUTE(SUBSTITUTE(SUBSTITUTE(SUBSTITUTE(SUBSTITUTE(SUBSTITUTE(SUBSTITUTE(SUBSTITUTE(SUBSTITUTE(SUBSTITUTE(SUBSTITUTE(SUBSTITUTE(SUBSTITUTE(SUBSTITUTE(SUBSTITUTE(SUBSTITUTE(LOWER(V409&amp;""),CHAR(10),""),CHAR(13),""),CHAR(9),""),CHAR(160),"")," ",""),".",""),"-",""),"/",""),"?",""),"_",""),",",""),"[",""),"]",""),"(",""),")",""),"*","")</f>
        <v/>
      </c>
      <c r="AW409" s="61" t="str">
        <f aca="false">SUBSTITUTE(SUBSTITUTE(SUBSTITUTE(SUBSTITUTE(SUBSTITUTE(SUBSTITUTE(SUBSTITUTE(SUBSTITUTE(SUBSTITUTE(SUBSTITUTE(SUBSTITUTE(SUBSTITUTE(SUBSTITUTE(SUBSTITUTE(SUBSTITUTE(SUBSTITUTE(LOWER(Z409&amp;""),CHAR(10),""),CHAR(13),""),CHAR(9),""),CHAR(160),"")," ",""),".",""),"-",""),"/",""),"?",""),"_",""),",",""),"[",""),"]",""),"(",""),")",""),"*","")</f>
        <v/>
      </c>
      <c r="AX409" s="61" t="str">
        <f aca="false">SUBSTITUTE(SUBSTITUTE(SUBSTITUTE(SUBSTITUTE(SUBSTITUTE(SUBSTITUTE(SUBSTITUTE(SUBSTITUTE(SUBSTITUTE(SUBSTITUTE(SUBSTITUTE(SUBSTITUTE(SUBSTITUTE(SUBSTITUTE(SUBSTITUTE(SUBSTITUTE(LOWER(AE409&amp;""),CHAR(10),""),CHAR(13),""),CHAR(9),""),CHAR(160),"")," ",""),".",""),"-",""),"/",""),"?",""),"_",""),",",""),"[",""),"]",""),"(",""),")",""),"*","")</f>
        <v/>
      </c>
      <c r="AY409" s="61" t="str">
        <f aca="false">SUBSTITUTE(SUBSTITUTE(SUBSTITUTE(SUBSTITUTE(SUBSTITUTE(SUBSTITUTE(SUBSTITUTE(SUBSTITUTE(SUBSTITUTE(SUBSTITUTE(SUBSTITUTE(SUBSTITUTE(SUBSTITUTE(SUBSTITUTE(SUBSTITUTE(SUBSTITUTE(LOWER(W409&amp;""),CHAR(10),""),CHAR(13),""),CHAR(9),""),CHAR(160),"")," ",""),".",""),"-",""),"/",""),"?",""),"_",""),",",""),"[",""),"]",""),"(",""),")",""),"*","")</f>
        <v/>
      </c>
      <c r="AZ409" s="61" t="str">
        <f aca="false">SUBSTITUTE(SUBSTITUTE(SUBSTITUTE(SUBSTITUTE(SUBSTITUTE(SUBSTITUTE(SUBSTITUTE(SUBSTITUTE(SUBSTITUTE(SUBSTITUTE(SUBSTITUTE(SUBSTITUTE(SUBSTITUTE(SUBSTITUTE(SUBSTITUTE(SUBSTITUTE(LOWER(AC409&amp;""),CHAR(10),""),CHAR(13),""),CHAR(9),""),CHAR(160),"")," ",""),".",""),"-",""),"/",""),"?",""),"_",""),",",""),"[",""),"]",""),"(",""),")",""),"*","")</f>
        <v/>
      </c>
      <c r="BA409" s="61" t="str">
        <f aca="false">SUBSTITUTE(SUBSTITUTE(SUBSTITUTE(SUBSTITUTE(SUBSTITUTE(SUBSTITUTE(SUBSTITUTE(SUBSTITUTE(SUBSTITUTE(SUBSTITUTE(SUBSTITUTE(SUBSTITUTE(SUBSTITUTE(SUBSTITUTE(SUBSTITUTE(SUBSTITUTE(LOWER(AA409&amp;""),CHAR(10),""),CHAR(13),""),CHAR(9),""),CHAR(160),"")," ",""),".",""),"-",""),"/",""),"?",""),"_",""),",",""),"[",""),"]",""),"(",""),")",""),"*","")</f>
        <v/>
      </c>
      <c r="BB409" s="61" t="str">
        <f aca="false">IF(AND(TRIM(U409)="Pass",ISNUMBER(AF409)),IF(AF409&lt;&gt;0,"INVALID – qty variance: use Fail or Pass after CA",""),"")&amp;IF(AND(TRIM(U409)="Pass after CA",ISNUMBER(AF409)),IF(AF409&lt;&gt;0,"INVALID – after the corrective action the actual qty must equal expected (update Actual)",""),"")&amp;IF(AND(TRIM(U409)="Pass",TRIM(AB409)&lt;&gt;"",TRIM(AB409)&lt;&gt;"Closed"),"INVALID – corrective action not closed: use Fail, then Pass after CA","")&amp;IF(AND(LEN(BA409)&gt;=2,ISNA(MATCH(LEFT(BA409,255),L_Placeholder,0)),TRIM(AB409)=""),"INVALID – CA status missing for the recorded corrective action","")&amp;IF(AND(TRIM(U409)="Pass after CA",OR(OR(LEN(BA409)&lt;5,ISNUMBER(MATCH(BA409,L_Placeholder,0))),TRIM(AB409)&lt;&gt;"Closed")),"INVALID – corrective action not recorded/closed","")</f>
        <v/>
      </c>
      <c r="BC409" s="61" t="str">
        <f aca="false">" "&amp;TRIM(SUBSTITUTE(SUBSTITUTE(SUBSTITUTE(SUBSTITUTE(SUBSTITUTE(SUBSTITUTE(SUBSTITUTE(SUBSTITUTE(SUBSTITUTE(SUBSTITUTE(SUBSTITUTE(SUBSTITUTE(SUBSTITUTE(SUBSTITUTE(SUBSTITUTE(SUBSTITUTE(SUBSTITUTE(SUBSTITUTE(SUBSTITUTE(SUBSTITUTE(SUBSTITUTE(SUBSTITUTE(SUBSTITUTE(SUBSTITUTE(LOWER(V409&amp;""),CHAR(10)," "),CHAR(13)," "),CHAR(9)," "),CHAR(160)," "),"."," "),","," "),"-"," "),"/"," "),"("," "),")"," "),":"," "),";"," "),"_"," "),"–"," "),"?"," "),"!"," "),"*"," "),"["," "),"]"," "),"'"," "),"#"," "),"+"," "),"&amp;"," "),"\"," "))&amp;" "</f>
        <v>  </v>
      </c>
      <c r="BD409" s="61" t="str">
        <f aca="false">" "&amp;TRIM(SUBSTITUTE(SUBSTITUTE(SUBSTITUTE(SUBSTITUTE(SUBSTITUTE(SUBSTITUTE(SUBSTITUTE(SUBSTITUTE(SUBSTITUTE(SUBSTITUTE(SUBSTITUTE(SUBSTITUTE(SUBSTITUTE(SUBSTITUTE(SUBSTITUTE(SUBSTITUTE(SUBSTITUTE(SUBSTITUTE(SUBSTITUTE(SUBSTITUTE(SUBSTITUTE(SUBSTITUTE(SUBSTITUTE(SUBSTITUTE(LOWER(Z409&amp;""),CHAR(10)," "),CHAR(13)," "),CHAR(9)," "),CHAR(160)," "),"."," "),","," "),"-"," "),"/"," "),"("," "),")"," "),":"," "),";"," "),"_"," "),"–"," "),"?"," "),"!"," "),"*"," "),"["," "),"]"," "),"'"," "),"#"," "),"+"," "),"&amp;"," "),"\"," "))&amp;" "</f>
        <v>  </v>
      </c>
      <c r="BE409" s="61" t="str">
        <f aca="false">" "&amp;TRIM(SUBSTITUTE(SUBSTITUTE(SUBSTITUTE(SUBSTITUTE(SUBSTITUTE(SUBSTITUTE(SUBSTITUTE(SUBSTITUTE(SUBSTITUTE(SUBSTITUTE(SUBSTITUTE(SUBSTITUTE(SUBSTITUTE(SUBSTITUTE(SUBSTITUTE(SUBSTITUTE(SUBSTITUTE(SUBSTITUTE(SUBSTITUTE(SUBSTITUTE(SUBSTITUTE(SUBSTITUTE(SUBSTITUTE(SUBSTITUTE(LOWER(W409&amp;""),CHAR(10)," "),CHAR(13)," "),CHAR(9)," "),CHAR(160)," "),"."," "),","," "),"-"," "),"/"," "),"("," "),")"," "),":"," "),";"," "),"_"," "),"–"," "),"?"," "),"!"," "),"*"," "),"["," "),"]"," "),"'"," "),"#"," "),"+"," "),"&amp;"," "),"\"," "))&amp;" "</f>
        <v>  </v>
      </c>
      <c r="BF409" s="61" t="str">
        <f aca="false">" "&amp;TRIM(SUBSTITUTE(SUBSTITUTE(SUBSTITUTE(SUBSTITUTE(SUBSTITUTE(SUBSTITUTE(SUBSTITUTE(SUBSTITUTE(SUBSTITUTE(SUBSTITUTE(SUBSTITUTE(SUBSTITUTE(SUBSTITUTE(SUBSTITUTE(SUBSTITUTE(SUBSTITUTE(SUBSTITUTE(SUBSTITUTE(SUBSTITUTE(SUBSTITUTE(SUBSTITUTE(SUBSTITUTE(SUBSTITUTE(SUBSTITUTE(LOWER(AC409&amp;""),CHAR(10)," "),CHAR(13)," "),CHAR(9)," "),CHAR(160)," "),"."," "),","," "),"-"," "),"/"," "),"("," "),")"," "),":"," "),";"," "),"_"," "),"–"," "),"?"," "),"!"," "),"*"," "),"["," "),"]"," "),"'"," "),"#"," "),"+"," "),"&amp;"," "),"\"," "))&amp;" "</f>
        <v>  </v>
      </c>
      <c r="BG409" s="61" t="n">
        <f aca="false">IFERROR(IF(AND(TRIM(U409)="Pass",SUMPRODUCT((LEN(BC409)-LEN(SUBSTITUTE(BC409," "&amp;L_ResultBad&amp;" "," ")))/(LEN(L_ResultBad)+1))&gt;SUMPRODUCT((LEN(BC409)-LEN(SUBSTITUTE(BC409," "&amp;L_NegPhrase&amp;" "," ")))/(LEN(L_NegPhrase)+1))),1,0),0)</f>
        <v>0</v>
      </c>
      <c r="BH409" s="61" t="n">
        <f aca="false">IFERROR(IF(SUMPRODUCT((LEN(BC409)-LEN(SUBSTITUTE(BC409," "&amp;L_Pending&amp;" "," ")))/(LEN(L_Pending)+1))&gt;SUMPRODUCT((LEN(BC409)-LEN(SUBSTITUTE(BC409," "&amp;L_PendNeg&amp;" "," ")))/(LEN(L_PendNeg)+1))+SUMPRODUCT((LEN(BC409)-LEN(SUBSTITUTE(BC409," "&amp;L_PendPrep&amp;" "," ")))/(LEN(L_PendPrep)+1)),1,0),1)</f>
        <v>0</v>
      </c>
      <c r="BI409" s="61" t="n">
        <f aca="false">IFERROR(IF(SUMPRODUCT((LEN(BD409)-LEN(SUBSTITUTE(BD409," "&amp;L_PendStrict&amp;" "," ")))/(LEN(L_PendStrict)+1))&gt;SUMPRODUCT((LEN(BD409)-LEN(SUBSTITUTE(BD409," "&amp;L_PendNeg&amp;" "," ")))/(LEN(L_PendNeg)+1)),1,0),1)</f>
        <v>0</v>
      </c>
      <c r="BJ409" s="61" t="n">
        <f aca="false">IFERROR(IF(SUMPRODUCT((LEN(BE409)-LEN(SUBSTITUTE(BE409," "&amp;L_Pending&amp;" "," ")))/(LEN(L_Pending)+1))&gt;SUMPRODUCT((LEN(BE409)-LEN(SUBSTITUTE(BE409," "&amp;L_PendNeg&amp;" "," ")))/(LEN(L_PendNeg)+1))+SUMPRODUCT((LEN(BE409)-LEN(SUBSTITUTE(BE409," "&amp;L_PendPrep&amp;" "," ")))/(LEN(L_PendPrep)+1)),1,0),1)</f>
        <v>0</v>
      </c>
      <c r="BK409" s="61" t="n">
        <f aca="false">IFERROR(IF(SUMPRODUCT((LEN(BF409)-LEN(SUBSTITUTE(BF409," "&amp;L_PendStrict&amp;" "," ")))/(LEN(L_PendStrict)+1))&gt;SUMPRODUCT((LEN(BF409)-LEN(SUBSTITUTE(BF409," "&amp;L_PendNeg&amp;" "," ")))/(LEN(L_PendNeg)+1)),1,0),1)</f>
        <v>0</v>
      </c>
      <c r="BL409" s="61" t="n">
        <f aca="false">IF(ISNA(MATCH(TRIM(S409),L_EvidenceType,0)),0,BZ409)</f>
        <v>0</v>
      </c>
      <c r="BM409" s="61" t="str">
        <f aca="false">SUBSTITUTE(SUBSTITUTE(SUBSTITUTE(SUBSTITUTE(SUBSTITUTE(SUBSTITUTE(SUBSTITUTE(SUBSTITUTE(SUBSTITUTE(LOWER(Z409&amp;""),"1","0"),"2","0"),"3","0"),"4","0"),"5","0"),"6","0"),"7","0"),"8","0"),"9","0")</f>
        <v/>
      </c>
      <c r="BN409" s="61" t="str">
        <f aca="false">SUBSTITUTE(SUBSTITUTE(SUBSTITUTE(SUBSTITUTE(SUBSTITUTE(SUBSTITUTE(SUBSTITUTE(SUBSTITUTE(SUBSTITUTE(SUBSTITUTE(SUBSTITUTE(SUBSTITUTE(SUBSTITUTE(SUBSTITUTE(SUBSTITUTE(SUBSTITUTE(SUBSTITUTE(SUBSTITUTE(SUBSTITUTE(SUBSTITUTE(SUBSTITUTE(SUBSTITUTE(SUBSTITUTE(SUBSTITUTE(SUBSTITUTE(BM409,"b","a"),"c","a"),"d","a"),"e","a"),"f","a"),"g","a"),"h","a"),"i","a"),"j","a"),"k","a"),"l","a"),"m","a"),"n","a"),"o","a"),"p","a"),"q","a"),"r","a"),"s","a"),"t","a"),"u","a"),"v","a"),"w","a"),"x","a"),"y","a"),"z","a")</f>
        <v/>
      </c>
      <c r="BO409" s="61" t="str">
        <f aca="false">SUBSTITUTE(SUBSTITUTE(SUBSTITUTE(SUBSTITUTE(SUBSTITUTE(SUBSTITUTE(SUBSTITUTE(SUBSTITUTE(SUBSTITUTE(LOWER(W409&amp;""),"1","0"),"2","0"),"3","0"),"4","0"),"5","0"),"6","0"),"7","0"),"8","0"),"9","0")</f>
        <v/>
      </c>
      <c r="BP409" s="61" t="str">
        <f aca="false">SUBSTITUTE(SUBSTITUTE(SUBSTITUTE(SUBSTITUTE(SUBSTITUTE(SUBSTITUTE(SUBSTITUTE(SUBSTITUTE(SUBSTITUTE(SUBSTITUTE(SUBSTITUTE(SUBSTITUTE(SUBSTITUTE(SUBSTITUTE(SUBSTITUTE(SUBSTITUTE(SUBSTITUTE(SUBSTITUTE(SUBSTITUTE(SUBSTITUTE(SUBSTITUTE(SUBSTITUTE(SUBSTITUTE(SUBSTITUTE(SUBSTITUTE(BO409,"b","a"),"c","a"),"d","a"),"e","a"),"f","a"),"g","a"),"h","a"),"i","a"),"j","a"),"k","a"),"l","a"),"m","a"),"n","a"),"o","a"),"p","a"),"q","a"),"r","a"),"s","a"),"t","a"),"u","a"),"v","a"),"w","a"),"x","a"),"y","a"),"z","a")</f>
        <v/>
      </c>
      <c r="BQ409" s="61" t="n">
        <f aca="false">IFERROR(IF(AND(ISERROR(SEARCH(" mh"," "&amp;LOWER(W409))),ISNA(MATCH(LEFT(TRIM(BP409),255),{"0000a","000a","00a","0000aa","000aa","00aa","0aa","0000aaa","000aaa","00a00","0a00","0000-0000","00:00","a00","a0","00.00.0000","00/00/0000","00-00-0000","0000-00-00","0000/00/00","0000.00.00","00.00.00","00/00/00","00-00-00","0.00.0000","0/00/0000","0-00-0000"},0)),ISNA(MATCH(LEFT(TRIM(CA409),255),{"0000a","000a","00a","0000aa","000aa","00aa","0aa","0000aaa","000aaa","00a00","0a00","0000-0000","00:00","a00","a0","00.00.0000","00/00/0000","00-00-0000","0000-00-00","0000/00/00","0000.00.00","00.00.00","00/00/00","00-00-00","0.00.0000","0/00/0000","0-00-0000"},0)),LEN(CB409)&gt;=3,NOT(OR(SUBSTITUTE(CB409,"0","")="",AND(LEN(CB409)&gt;=4,CB409=REPT(LEFT(CB409),LEN(CB409))),ISNUMBER(MATCH(CB409,{"123","1234","12345","123456","1234567","12345678","0123","01234","012345","98765","987654","54321"},0)),AND(LEN(CB409)=8,LEFT(CB409,3)="202"))),OR(AND((LEN(CA409)-LEN(SUBSTITUTE(CA409,"a","")))&gt;=1,SUMPRODUCT(--ISNUMBER(SEARCH({"a0","a-0","a_0","a/0","a.0","a#0","0a","0-a","0_a","0/a"},BP409)))&gt;0),ISNUMBER(SEARCH("000000",BP409)))),1,0),0)</f>
        <v>0</v>
      </c>
      <c r="BR409" s="61" t="n">
        <f aca="false">IFERROR(LEN(SUBSTITUTE(CC409," ",""))-SUMPRODUCT((LEN(CC409)-LEN(SUBSTITUTE(CC409," "&amp;L_Role&amp;" "," ")))/(LEN(L_Role)+1)*LEN(L_Role)),0)</f>
        <v>0</v>
      </c>
      <c r="BS409" s="61" t="n">
        <f aca="false">IFERROR(LEN(SUBSTITUTE(CD409," ",""))-SUMPRODUCT((LEN(CD409)-LEN(SUBSTITUTE(CD409," "&amp;L_Role&amp;" "," ")))/(LEN(L_Role)+1)*LEN(L_Role)),0)</f>
        <v>0</v>
      </c>
      <c r="BT4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409,"revision",""),"version",""),"jan",""),"feb",""),"mar",""),"apr",""),"may",""),"jun",""),"jul",""),"aug",""),"sep",""),"oct",""),"nov",""),"dec",""),"utc",""),"gmt",""),"myt",""),"bst",""),"rev",""),"ver",""),"b","a"),"c","a"),"d","a"),"e","a"),"f","a"),"g","a"),"h","a"),"i","a"),"j","a"),"k","a"),"l","a"),"m","a"),"n","a"),"o","a"),"p","a"),"q","a"),"r","a"),"s","a"),"t","a"),"u","a"),"v","a"),"w","a"),"x","a"),"y","a"),"z","a")</f>
        <v/>
      </c>
      <c r="BU409" s="61" t="str">
        <f aca="false">SUBSTITUTE(SUBSTITUTE(SUBSTITUTE(SUBSTITUTE(SUBSTITUTE(SUBSTITUTE(SUBSTITUTE(SUBSTITUTE(SUBSTITUTE(SUBSTITUTE(LEFT(BM409,FIND("0",BM409&amp;"0")-1),"-",""),"_",""),"/",""),".",""),"#",""),"\\",""),":","")," ",""),"(",""),")","")</f>
        <v/>
      </c>
      <c r="BV409" s="61" t="n">
        <f aca="false">0</f>
        <v>0</v>
      </c>
      <c r="BW4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409&amp;""),"a",""),"b",""),"c",""),"d",""),"e",""),"f",""),"g",""),"h",""),"i",""),"j",""),"k",""),"l",""),"m",""),"n",""),"o",""),"p",""),"q",""),"r",""),"s",""),"t",""),"u",""),"v",""),"w",""),"x",""),"y",""),"z",""),"-",""),"_",""),"/",""),".",""),"#",""),"\\",""),":","")," ",""),"(",""),")","")</f>
        <v/>
      </c>
      <c r="BX409" s="61" t="str">
        <f aca="false">SUBSTITUTE(SUBSTITUTE(SUBSTITUTE(SUBSTITUTE(SUBSTITUTE(SUBSTITUTE(SUBSTITUTE(SUBSTITUTE(SUBSTITUTE(SUBSTITUTE(SUBSTITUTE(BM409,"0",""),"-",""),"_",""),"/",""),".",""),"#",""),"\\",""),":","")," ",""),"(",""),")","")</f>
        <v/>
      </c>
      <c r="BY409" s="62" t="n">
        <f aca="false">Q409-T12EarlyH/24</f>
        <v>46306.6006944444</v>
      </c>
      <c r="BZ409" s="61" t="n">
        <f aca="false">IFERROR(IF(IF(TRIM(S409)="Link / file path",AND(LEN(TRIM(Z409))&gt;=5,SUMPRODUCT(--ISNUMBER(SEARCH({"http","www.","\\",":\",".pdf",".jpg",".jpeg",".png",".heic",".xls",".doc",".msg",".eml",".ppt",".txt",".zip"},Z409)))&gt;0),AND(ISERROR(FIND(" ",TRIM(Z409))),NOT(OR(SUMPRODUCT(--ISNUMBER(FIND({",",";","&amp;","+"},Z409)))&gt;0,SUMPRODUCT(--ISNUMBER(SEARCH({"0/aa","0\\aa"},BN409)))&gt;0)),NOT(SUMPRODUCT(--ISNUMBER(SEARCH({"http","www.","\\",":\",".pdf",".jpg",".jpeg",".png",".heic",".xls",".doc",".msg",".eml",".ppt",".txt",".zip"},Z409)))&gt;0),NOT(LOWER(TRIM(Z409))=LOWER(Flights!$F$16)),ISNA(MATCH(BU409,{"mh","rev","revision","ver","version","v","r","a","b","seat","tray","row","gate","bay","stand","page","pg","item","line","no","cart","galley","flight","flt","table","box","bag","oven","etd","eta","std","sta","atd","ata","qty","pax","x","time","tel","ph","mob","day","wk","week","utc","gmt","myt","lt"},0)),NOT(OR(ISNUMBER(MATCH(LEFT(BN409,255),{"0000a","000a","00a","0000aa","000aa","00aa","0aa","0000aaa","000aaa","00a00","0a00","0000-0000","00:00","a00","a0","00.00.0000","00/00/0000","00-00-0000","0000-00-00","0000/00/00","0000.00.00","00.00.00","00/00/00","00-00-00","0.00.0000","0/00/0000","0-00-0000"},0)),ISNUMBER(MATCH(LEFT(BT409,255),{"0000a","000a","00a","0000aa","000aa","00aa","0aa","0000aaa","000aaa","00a00","0a00","0000-0000","00:00","a00","a0","00.00.0000","00/00/0000","00-00-0000","0000-00-00","0000/00/00","0000.00.00","00.00.00","00/00/00","00-00-00","0.00.0000","0/00/0000","0-00-0000"},0)))),NOT(OR(AND(BW409&lt;&gt;"",SUBSTITUTE(BW409,"0","")=""),AND(LEN(BW409)&gt;=4,BW409=REPT(LEFT(BW409),LEN(BW409))),ISNUMBER(MATCH(BW409,{"123","1234","12345","123456","1234567","12345678","0123","01234","012345","98765","987654","54321"},0)),ISNUMBER(MATCH(BX409,{"x","xx","xxx","xxxx","xxxxx","abc","abcd","nil","na","nan","test","tbc","tba","tbd","dummy","sample","example","eg","zz","zzz","none","null","xyz","qwe","asd","id","ref"},0)),AND(LEN(BW409)=8,BX409="",OR(LEFT(BW409,3)="202",ISNUMBER(MATCH(RIGHT(BW409,4),{"2025","2026","2027"},0)))))),OR(AND((LEN(BT409)-LEN(SUBSTITUTE(BT409,"a","")))&gt;=1,(LEN(BN409)-LEN(SUBSTITUTE(BN409,"0","")))&gt;=2,SUMPRODUCT(--ISNUMBER(SEARCH({"a0","a-0","a_0","a/0","a.0","a#0","0a","0-a","0_a","0/a"},BN409)))&gt;0),AND((LEN(BN409)-LEN(SUBSTITUTE(BN409,"a","")))=0,(LEN(BN409)-LEN(SUBSTITUTE(BN409,"0","")))&gt;=5)))),1,0),0)</f>
        <v>0</v>
      </c>
      <c r="CA4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409,"revision",""),"version",""),"jan",""),"feb",""),"mar",""),"apr",""),"may",""),"jun",""),"jul",""),"aug",""),"sep",""),"oct",""),"nov",""),"dec",""),"utc",""),"gmt",""),"myt",""),"bst",""),"rev",""),"ver",""),"b","a"),"c","a"),"d","a"),"e","a"),"f","a"),"g","a"),"h","a"),"i","a"),"j","a"),"k","a"),"l","a"),"m","a"),"n","a"),"o","a"),"p","a"),"q","a"),"r","a"),"s","a"),"t","a"),"u","a"),"v","a"),"w","a"),"x","a"),"y","a"),"z","a")</f>
        <v/>
      </c>
      <c r="CB4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409&amp;""),"a",""),"b",""),"c",""),"d",""),"e",""),"f",""),"g",""),"h",""),"i",""),"j",""),"k",""),"l",""),"m",""),"n",""),"o",""),"p",""),"q",""),"r",""),"s",""),"t",""),"u",""),"v",""),"w",""),"x",""),"y",""),"z",""),"-",""),"_",""),"/",""),".",""),"#",""),"\\",""),":","")," ",""),"(",""),")","")</f>
        <v/>
      </c>
      <c r="CC409" s="0" t="str">
        <f aca="false">" "&amp;TRIM(SUBSTITUTE(SUBSTITUTE(SUBSTITUTE(SUBSTITUTE(SUBSTITUTE(SUBSTITUTE(SUBSTITUTE(SUBSTITUTE(SUBSTITUTE(SUBSTITUTE(SUBSTITUTE(SUBSTITUTE(SUBSTITUTE(SUBSTITUTE(SUBSTITUTE(SUBSTITUTE(SUBSTITUTE(SUBSTITUTE(SUBSTITUTE(SUBSTITUTE(SUBSTITUTE(SUBSTITUTE(SUBSTITUTE(SUBSTITUTE(LOWER(T409&amp;""),CHAR(10)," "),CHAR(13)," "),CHAR(9)," "),CHAR(160)," "),"."," "),","," "),"-"," "),"/"," "),"("," "),")"," "),":"," "),";"," "),"_"," "),"–"," "),"?"," "),"!"," "),"*"," "),"["," "),"]"," "),"'"," "),"#"," "),"+"," "),"&amp;"," "),"\"," "))&amp;" "</f>
        <v>  </v>
      </c>
      <c r="CD409" s="0" t="str">
        <f aca="false">" "&amp;TRIM(SUBSTITUTE(SUBSTITUTE(SUBSTITUTE(SUBSTITUTE(SUBSTITUTE(SUBSTITUTE(SUBSTITUTE(SUBSTITUTE(SUBSTITUTE(SUBSTITUTE(SUBSTITUTE(SUBSTITUTE(SUBSTITUTE(SUBSTITUTE(SUBSTITUTE(SUBSTITUTE(SUBSTITUTE(SUBSTITUTE(SUBSTITUTE(SUBSTITUTE(SUBSTITUTE(SUBSTITUTE(SUBSTITUTE(SUBSTITUTE(LOWER(AE409&amp;""),CHAR(10)," "),CHAR(13)," "),CHAR(9)," "),CHAR(160)," "),"."," "),","," "),"-"," "),"/"," "),"("," "),")"," "),":"," "),";"," "),"_"," "),"–"," "),"?"," "),"!"," "),"*"," "),"["," "),"]"," "),"'"," "),"#"," "),"+"," "),"&amp;"," "),"\"," "))&amp;" "</f>
        <v>  </v>
      </c>
      <c r="CE409" s="68" t="n">
        <f aca="false">IFERROR(IF(AND(LEN(AU409)&gt;0,LEN(AU409)=LEN(AX409),OR(TRIM(MID(SUBSTITUTE(TRIM(CC409)," ",REPT(" ",60)),1,60))="",ISNUMBER(SEARCH(" "&amp;TRIM(MID(SUBSTITUTE(TRIM(CC409)," ",REPT(" ",60)),1,60))&amp;" ",CD409))),OR(TRIM(MID(SUBSTITUTE(TRIM(CC409)," ",REPT(" ",60)),61,60))="",ISNUMBER(SEARCH(" "&amp;TRIM(MID(SUBSTITUTE(TRIM(CC409)," ",REPT(" ",60)),61,60))&amp;" ",CD409))),OR(TRIM(MID(SUBSTITUTE(TRIM(CC409)," ",REPT(" ",60)),121,60))="",ISNUMBER(SEARCH(" "&amp;TRIM(MID(SUBSTITUTE(TRIM(CC409)," ",REPT(" ",60)),121,60))&amp;" ",CD409)))),1,0),0)</f>
        <v>0</v>
      </c>
      <c r="CG409" s="68" t="n">
        <f aca="false">IFERROR(LEN(SUBSTITUTE(BF409," ",""))-SUMPRODUCT((LEN(BF409)-LEN(SUBSTITUTE(BF409," "&amp;L_NAFiller&amp;" "," ")))/(LEN(L_NAFiller)+1)*LEN(L_NAFiller)),0)</f>
        <v>0</v>
      </c>
    </row>
    <row r="410" customFormat="false" ht="41.25" hidden="false" customHeight="true" outlineLevel="0" collapsed="false">
      <c r="A410" s="57" t="s">
        <v>1039</v>
      </c>
      <c r="B410" s="57" t="s">
        <v>261</v>
      </c>
      <c r="C410" s="57" t="str">
        <f aca="false">Flights!$F$16</f>
        <v>MH0139</v>
      </c>
      <c r="D410" s="58" t="n">
        <f aca="false">Flights!$D$16</f>
        <v>46307</v>
      </c>
      <c r="E410" s="57" t="str">
        <f aca="false">Flights!$G$16&amp;"-"&amp;Flights!$H$16</f>
        <v>KUL-ADL</v>
      </c>
      <c r="F410" s="57" t="str">
        <f aca="false">Flights!$K$16</f>
        <v>BC</v>
      </c>
      <c r="G410" s="57" t="s">
        <v>420</v>
      </c>
      <c r="H410" s="57" t="s">
        <v>378</v>
      </c>
      <c r="I410" s="57" t="s">
        <v>634</v>
      </c>
      <c r="J410" s="57" t="s">
        <v>635</v>
      </c>
      <c r="K410" s="67" t="s">
        <v>1040</v>
      </c>
      <c r="L410" s="67" t="s">
        <v>1041</v>
      </c>
      <c r="M410" s="67" t="s">
        <v>451</v>
      </c>
      <c r="N410" s="67" t="s">
        <v>383</v>
      </c>
      <c r="O410" s="67" t="s">
        <v>1042</v>
      </c>
      <c r="P410" s="57" t="s">
        <v>187</v>
      </c>
      <c r="Q410" s="59" t="n">
        <f aca="false">ROUND((Flights!$AE$16)*1440,0)/1440</f>
        <v>46307.1006944444</v>
      </c>
      <c r="R410" s="59" t="n">
        <f aca="false">Q410+(IF(AND(INDEX(TZ_DSTS,MATCH(P410,TZ_STN,0))&lt;&gt;"",Q410&gt;=INDEX(TZ_DSTS,MATCH(P410,TZ_STN,0)),Q410&lt;INDEX(TZ_DSTE,MATCH(P410,TZ_STN,0))),INDEX(TZ_DST,MATCH(P410,TZ_STN,0)),INDEX(TZ_STD,MATCH(P410,TZ_STN,0))))/24</f>
        <v>46307.4340277778</v>
      </c>
      <c r="S410" s="60"/>
      <c r="T410" s="60"/>
      <c r="U410" s="60"/>
      <c r="V410" s="60"/>
      <c r="W410" s="61"/>
      <c r="X410" s="60"/>
      <c r="Y410" s="60"/>
      <c r="Z410" s="60"/>
      <c r="AA410" s="60"/>
      <c r="AB410" s="60"/>
      <c r="AC410" s="60"/>
      <c r="AD410" s="66"/>
      <c r="AE410" s="60"/>
      <c r="AF410" s="61" t="str">
        <f aca="false">IF(AND(ISNUMBER(X410),ISNUMBER(Y410)),Y410-X410,"")</f>
        <v/>
      </c>
      <c r="AG410" s="62" t="str">
        <f aca="false">IF(ISNUMBER(AD410),AD410-(IF(AND(INDEX(TZ_DSTS,MATCH(P410,TZ_STN,0))&lt;&gt;"",(AD410-INDEX(TZ_STD,MATCH(P410,TZ_STN,0))/24)&gt;=INDEX(TZ_DSTS,MATCH(P410,TZ_STN,0)),(AD410-INDEX(TZ_STD,MATCH(P410,TZ_STN,0))/24)&lt;INDEX(TZ_DSTE,MATCH(P410,TZ_STN,0))),INDEX(TZ_DST,MATCH(P410,TZ_STN,0)),INDEX(TZ_STD,MATCH(P410,TZ_STN,0))))/24,"")</f>
        <v/>
      </c>
      <c r="AH410" s="65" t="str">
        <f aca="false">IFERROR(IF(N410="N/A – rule",IF(OR(TRIM(U410)="",TRIM(U410)="N/A",TRIM(U410)="Not started"),"N/A – RULE","INVALID – this check does not apply to this aircraft: clear the status (or correct the fleet on Flights)"),IF(TRIM(U410)="N/A",IF(AT410=0,"INVALID – N/A not permitted for this check",IF(AND(TRIM(AB410)&lt;&gt;"",TRIM(AB410)&lt;&gt;"Closed"),"INVALID – corrective action still open",IF(AND(NOT(OR(LEN(AZ410)&lt;15,ISNUMBER(MATCH(AZ410,L_Placeholder,0)))),BK410=0,CG410&gt;=8,NOT(OR(LEN(AU410)&lt;2,ISNUMBER(MATCH(AU410,L_Placeholder,0)))),BR410&gt;=3,NOT(OR(LEN(AX410)&lt;2,ISNUMBER(MATCH(AX410,L_Placeholder,0)))),BS410&gt;=3,TRIM(AE410)&lt;&gt;TRIM(T410),AX410&lt;&gt;AU410,CE410=0),"N/A – JUSTIFIED","INVALID – N/A needs a real, settled reason (not 'not applicable' / 'as above' / TBC), a named PIC and a different named verifier"))),IF(OR(TRIM(U410)="Pass",TRIM(U410)="Pass after CA"),IF(NOT(ISNUMBER(AD410)),"INVALID – completion time missing",IF(OR(OR(LEN(AU410)&lt;2,ISNUMBER(MATCH(AU410,L_Placeholder,0))),BR410&lt;3),"INVALID – PIC missing or not a named person (a role such as QA / CSM is not a name)",IF(OR(LEN(AV410)&lt;2,ISNUMBER(MATCH(AV410,L_Placeholder,0))),"INVALID – result / assessment missing",IF(OR(OR(LEN(AW410)&lt;3,ISNUMBER(MATCH(AW410,L_Placeholder,0))),SUMPRODUCT(--ISNUMBER(SEARCH(" "&amp;L_EvidencePhrase&amp;" ",BD410)))&gt;0,BI410=1),"INVALID – evidence missing, placeholder or not yet on file",IF(ISNA(MATCH(TRIM(S410),L_EvidenceType,0)),"INVALID – choose the evidence type from the list (column S)",IF(BL410=0,"INVALID – evidence ID must be the record's own ID only (e.g. SF-2210, IMG_2231, 1045521); a link / file name needs type 'Link / file path'",IF(OR(OR(LEN(AX410)&lt;2,ISNUMBER(MATCH(AX410,L_Placeholder,0))),BS410&lt;3),"INVALID – verifier missing or not a named person (a role such as QA / CSM is not a name)",IF(OR(AX410=AU410,CE410=1,AND(LEN(AU410)&gt;=4,ISNUMBER(SEARCH(AU410,AX410))),AND(LEN(AX410)&gt;=4,ISNUMBER(SEARCH(AX410,AU410)))),"INVALID – verifier must be a different, named person (not the PIC or a role)",IF(BH410=1,"INVALID – result not yet available (awaiting / TBC)",IF(BG410=1,"INVALID – result describes a problem: record Fail, then Pass after CA (or reword if it is not a problem)",IF(BV410=1,"INVALID – wording says not on board: an on-board confirmation needs the item loaded",IF(AND(AQ410=1,OR(OR(LEN(AY410)&lt;3,ISNUMBER(MATCH(AY410,L_Placeholder,0))),BJ410=1,BQ410=0)),"INVALID – batch ID missing, placeholder or not an ID (e.g. PASB-261008-BC-017)",IF(AND(AR410=1,OR(NOT(ISNUMBER(X410)),NOT(ISNUMBER(Y410)))),"INVALID – expected/actual qty missing",IF(AND(AR410=1,OR(X410&lt;=0,Y410&lt;0)),"INVALID – expected qty must be above 0 and actual not negative",IF(BB410&lt;&gt;"",BB410,IF(AND(AS410=1,Documents!$J$16&lt;&gt;"ON FILE"),"INVALID – GLD not on file (Documents sheet)",IF(AND(AS410=2,Documents!$O$16&lt;&gt;"ON FILE"),"INVALID – menu checklist not on file (Documents sheet)",IF(AND(AS410=3,NOT(ISNUMBER(Flights!$AX$16))),"INVALID – enter carrying flight KUL departure (Flights AX)",IF(AND(AS410=3,OR(Flights!$AZ$16&gt;Flights!$AA$16,Flights!$AX$16&lt;Flights!$AA$16-3)),"INVALID – carrying flight (Flights AX) cannot arrive before this leg's STD, or is over 3 days early",IF(AG410&gt;AsOfUTC,"INVALID – completion time is in the future",IF(AND(ISNUMBER(BY410),AG410&lt;BY410),IF(H410="Physical uplift","INVALID – before uplift window (cannot confirm loading)","INVALID – before valid window"),IF(AG410&gt;Flights!$AA$16,"INVALID – completed after departure (cannot establish readiness)",IF(AND(H410="Preparation",AG410&gt;=IF(ISNUMBER(Flights!$BA$16),MIN(Flights!$BA$16,Flights!$AA$16),Flights!$AA$16)),"INVALID – completed after loading / departure (cannot establish readiness)",IF(AND(H410="Physical uplift",AG410&gt;Q410),"INVALID – recorded after the loading flight departed",IF(AG410&gt;Q410,"COMPLETE – LATE","COMPLETE"))))))))))))))))))))))))),IF(TRIM(U410)="Fail","FAIL – DISCREPANCY",IF(AND(TRIM(U410)&lt;&gt;"",TRIM(U410)&lt;&gt;"Not started",TRIM(U410)&lt;&gt;"In progress"),"INVALID – unrecognised status (use the list)",IF(AsOfUTC&gt;Q410,"OVERDUE",IF(N410="Clarification required","OPEN – CLARIFICATION","OPEN"))))))),"INVALID – error value in an input cell")</f>
        <v>OPEN</v>
      </c>
      <c r="AI410" s="61" t="n">
        <f aca="false">IF(OR(AH410="N/A – RULE",AH410="N/A – JUSTIFIED"),0,1)</f>
        <v>1</v>
      </c>
      <c r="AJ410" s="61" t="n">
        <f aca="false">IF(LEFT(AH410,8)="COMPLETE",1,0)</f>
        <v>0</v>
      </c>
      <c r="AK410" s="61" t="n">
        <f aca="false">IF(AND(AI410=1,AJ410=0,AsOfUTC&gt;Q410),1,0)</f>
        <v>0</v>
      </c>
      <c r="AL410" s="61" t="n">
        <f aca="false">IFERROR(IF(AND(AI410=1,OR(TRIM(U410)="Fail",AND(TRIM(AB410)&lt;&gt;"",TRIM(AB410)&lt;&gt;"Closed"),AND(ISNUMBER(AF410),AF410&lt;&gt;0,TRIM(U410)&lt;&gt;"Pass after CA"))),1,0),1)</f>
        <v>0</v>
      </c>
      <c r="AM410" s="61" t="n">
        <f aca="false">IF(LEFT(AH410,7)="INVALID",1,0)</f>
        <v>0</v>
      </c>
      <c r="AN410" s="61" t="n">
        <f aca="false">IF(AND(N410="Clarification required",AI410=1,AJ410=0),1,0)</f>
        <v>0</v>
      </c>
      <c r="AO410" s="61" t="str">
        <f aca="false">IF(AK410=1,SUM(AK$5:AK410),"")</f>
        <v/>
      </c>
      <c r="AP410" s="61" t="str">
        <f aca="false">IF(AL410=1,SUM(AL$5:AL410),"")</f>
        <v/>
      </c>
      <c r="AQ410" s="61" t="n">
        <v>0</v>
      </c>
      <c r="AR410" s="61" t="n">
        <v>0</v>
      </c>
      <c r="AS410" s="61" t="n">
        <v>0</v>
      </c>
      <c r="AT410" s="61" t="n">
        <v>0</v>
      </c>
      <c r="AU410" s="61" t="str">
        <f aca="false">SUBSTITUTE(SUBSTITUTE(SUBSTITUTE(SUBSTITUTE(SUBSTITUTE(SUBSTITUTE(SUBSTITUTE(SUBSTITUTE(SUBSTITUTE(SUBSTITUTE(SUBSTITUTE(SUBSTITUTE(SUBSTITUTE(SUBSTITUTE(SUBSTITUTE(SUBSTITUTE(LOWER(T410&amp;""),CHAR(10),""),CHAR(13),""),CHAR(9),""),CHAR(160),"")," ",""),".",""),"-",""),"/",""),"?",""),"_",""),",",""),"[",""),"]",""),"(",""),")",""),"*","")</f>
        <v/>
      </c>
      <c r="AV410" s="61" t="str">
        <f aca="false">SUBSTITUTE(SUBSTITUTE(SUBSTITUTE(SUBSTITUTE(SUBSTITUTE(SUBSTITUTE(SUBSTITUTE(SUBSTITUTE(SUBSTITUTE(SUBSTITUTE(SUBSTITUTE(SUBSTITUTE(SUBSTITUTE(SUBSTITUTE(SUBSTITUTE(SUBSTITUTE(LOWER(V410&amp;""),CHAR(10),""),CHAR(13),""),CHAR(9),""),CHAR(160),"")," ",""),".",""),"-",""),"/",""),"?",""),"_",""),",",""),"[",""),"]",""),"(",""),")",""),"*","")</f>
        <v/>
      </c>
      <c r="AW410" s="61" t="str">
        <f aca="false">SUBSTITUTE(SUBSTITUTE(SUBSTITUTE(SUBSTITUTE(SUBSTITUTE(SUBSTITUTE(SUBSTITUTE(SUBSTITUTE(SUBSTITUTE(SUBSTITUTE(SUBSTITUTE(SUBSTITUTE(SUBSTITUTE(SUBSTITUTE(SUBSTITUTE(SUBSTITUTE(LOWER(Z410&amp;""),CHAR(10),""),CHAR(13),""),CHAR(9),""),CHAR(160),"")," ",""),".",""),"-",""),"/",""),"?",""),"_",""),",",""),"[",""),"]",""),"(",""),")",""),"*","")</f>
        <v/>
      </c>
      <c r="AX410" s="61" t="str">
        <f aca="false">SUBSTITUTE(SUBSTITUTE(SUBSTITUTE(SUBSTITUTE(SUBSTITUTE(SUBSTITUTE(SUBSTITUTE(SUBSTITUTE(SUBSTITUTE(SUBSTITUTE(SUBSTITUTE(SUBSTITUTE(SUBSTITUTE(SUBSTITUTE(SUBSTITUTE(SUBSTITUTE(LOWER(AE410&amp;""),CHAR(10),""),CHAR(13),""),CHAR(9),""),CHAR(160),"")," ",""),".",""),"-",""),"/",""),"?",""),"_",""),",",""),"[",""),"]",""),"(",""),")",""),"*","")</f>
        <v/>
      </c>
      <c r="AY410" s="61" t="str">
        <f aca="false">SUBSTITUTE(SUBSTITUTE(SUBSTITUTE(SUBSTITUTE(SUBSTITUTE(SUBSTITUTE(SUBSTITUTE(SUBSTITUTE(SUBSTITUTE(SUBSTITUTE(SUBSTITUTE(SUBSTITUTE(SUBSTITUTE(SUBSTITUTE(SUBSTITUTE(SUBSTITUTE(LOWER(W410&amp;""),CHAR(10),""),CHAR(13),""),CHAR(9),""),CHAR(160),"")," ",""),".",""),"-",""),"/",""),"?",""),"_",""),",",""),"[",""),"]",""),"(",""),")",""),"*","")</f>
        <v/>
      </c>
      <c r="AZ410" s="61" t="str">
        <f aca="false">SUBSTITUTE(SUBSTITUTE(SUBSTITUTE(SUBSTITUTE(SUBSTITUTE(SUBSTITUTE(SUBSTITUTE(SUBSTITUTE(SUBSTITUTE(SUBSTITUTE(SUBSTITUTE(SUBSTITUTE(SUBSTITUTE(SUBSTITUTE(SUBSTITUTE(SUBSTITUTE(LOWER(AC410&amp;""),CHAR(10),""),CHAR(13),""),CHAR(9),""),CHAR(160),"")," ",""),".",""),"-",""),"/",""),"?",""),"_",""),",",""),"[",""),"]",""),"(",""),")",""),"*","")</f>
        <v/>
      </c>
      <c r="BA410" s="61" t="str">
        <f aca="false">SUBSTITUTE(SUBSTITUTE(SUBSTITUTE(SUBSTITUTE(SUBSTITUTE(SUBSTITUTE(SUBSTITUTE(SUBSTITUTE(SUBSTITUTE(SUBSTITUTE(SUBSTITUTE(SUBSTITUTE(SUBSTITUTE(SUBSTITUTE(SUBSTITUTE(SUBSTITUTE(LOWER(AA410&amp;""),CHAR(10),""),CHAR(13),""),CHAR(9),""),CHAR(160),"")," ",""),".",""),"-",""),"/",""),"?",""),"_",""),",",""),"[",""),"]",""),"(",""),")",""),"*","")</f>
        <v/>
      </c>
      <c r="BB410" s="61" t="str">
        <f aca="false">IF(AND(TRIM(U410)="Pass",ISNUMBER(AF410)),IF(AF410&lt;&gt;0,"INVALID – qty variance: use Fail or Pass after CA",""),"")&amp;IF(AND(TRIM(U410)="Pass after CA",ISNUMBER(AF410)),IF(AF410&lt;&gt;0,"INVALID – after the corrective action the actual qty must equal expected (update Actual)",""),"")&amp;IF(AND(TRIM(U410)="Pass",TRIM(AB410)&lt;&gt;"",TRIM(AB410)&lt;&gt;"Closed"),"INVALID – corrective action not closed: use Fail, then Pass after CA","")&amp;IF(AND(LEN(BA410)&gt;=2,ISNA(MATCH(LEFT(BA410,255),L_Placeholder,0)),TRIM(AB410)=""),"INVALID – CA status missing for the recorded corrective action","")&amp;IF(AND(TRIM(U410)="Pass after CA",OR(OR(LEN(BA410)&lt;5,ISNUMBER(MATCH(BA410,L_Placeholder,0))),TRIM(AB410)&lt;&gt;"Closed")),"INVALID – corrective action not recorded/closed","")</f>
        <v/>
      </c>
      <c r="BC410" s="61" t="str">
        <f aca="false">" "&amp;TRIM(SUBSTITUTE(SUBSTITUTE(SUBSTITUTE(SUBSTITUTE(SUBSTITUTE(SUBSTITUTE(SUBSTITUTE(SUBSTITUTE(SUBSTITUTE(SUBSTITUTE(SUBSTITUTE(SUBSTITUTE(SUBSTITUTE(SUBSTITUTE(SUBSTITUTE(SUBSTITUTE(SUBSTITUTE(SUBSTITUTE(SUBSTITUTE(SUBSTITUTE(SUBSTITUTE(SUBSTITUTE(SUBSTITUTE(SUBSTITUTE(LOWER(V410&amp;""),CHAR(10)," "),CHAR(13)," "),CHAR(9)," "),CHAR(160)," "),"."," "),","," "),"-"," "),"/"," "),"("," "),")"," "),":"," "),";"," "),"_"," "),"–"," "),"?"," "),"!"," "),"*"," "),"["," "),"]"," "),"'"," "),"#"," "),"+"," "),"&amp;"," "),"\"," "))&amp;" "</f>
        <v>  </v>
      </c>
      <c r="BD410" s="61" t="str">
        <f aca="false">" "&amp;TRIM(SUBSTITUTE(SUBSTITUTE(SUBSTITUTE(SUBSTITUTE(SUBSTITUTE(SUBSTITUTE(SUBSTITUTE(SUBSTITUTE(SUBSTITUTE(SUBSTITUTE(SUBSTITUTE(SUBSTITUTE(SUBSTITUTE(SUBSTITUTE(SUBSTITUTE(SUBSTITUTE(SUBSTITUTE(SUBSTITUTE(SUBSTITUTE(SUBSTITUTE(SUBSTITUTE(SUBSTITUTE(SUBSTITUTE(SUBSTITUTE(LOWER(Z410&amp;""),CHAR(10)," "),CHAR(13)," "),CHAR(9)," "),CHAR(160)," "),"."," "),","," "),"-"," "),"/"," "),"("," "),")"," "),":"," "),";"," "),"_"," "),"–"," "),"?"," "),"!"," "),"*"," "),"["," "),"]"," "),"'"," "),"#"," "),"+"," "),"&amp;"," "),"\"," "))&amp;" "</f>
        <v>  </v>
      </c>
      <c r="BE410" s="61" t="str">
        <f aca="false">" "&amp;TRIM(SUBSTITUTE(SUBSTITUTE(SUBSTITUTE(SUBSTITUTE(SUBSTITUTE(SUBSTITUTE(SUBSTITUTE(SUBSTITUTE(SUBSTITUTE(SUBSTITUTE(SUBSTITUTE(SUBSTITUTE(SUBSTITUTE(SUBSTITUTE(SUBSTITUTE(SUBSTITUTE(SUBSTITUTE(SUBSTITUTE(SUBSTITUTE(SUBSTITUTE(SUBSTITUTE(SUBSTITUTE(SUBSTITUTE(SUBSTITUTE(LOWER(W410&amp;""),CHAR(10)," "),CHAR(13)," "),CHAR(9)," "),CHAR(160)," "),"."," "),","," "),"-"," "),"/"," "),"("," "),")"," "),":"," "),";"," "),"_"," "),"–"," "),"?"," "),"!"," "),"*"," "),"["," "),"]"," "),"'"," "),"#"," "),"+"," "),"&amp;"," "),"\"," "))&amp;" "</f>
        <v>  </v>
      </c>
      <c r="BF410" s="61" t="str">
        <f aca="false">" "&amp;TRIM(SUBSTITUTE(SUBSTITUTE(SUBSTITUTE(SUBSTITUTE(SUBSTITUTE(SUBSTITUTE(SUBSTITUTE(SUBSTITUTE(SUBSTITUTE(SUBSTITUTE(SUBSTITUTE(SUBSTITUTE(SUBSTITUTE(SUBSTITUTE(SUBSTITUTE(SUBSTITUTE(SUBSTITUTE(SUBSTITUTE(SUBSTITUTE(SUBSTITUTE(SUBSTITUTE(SUBSTITUTE(SUBSTITUTE(SUBSTITUTE(LOWER(AC410&amp;""),CHAR(10)," "),CHAR(13)," "),CHAR(9)," "),CHAR(160)," "),"."," "),","," "),"-"," "),"/"," "),"("," "),")"," "),":"," "),";"," "),"_"," "),"–"," "),"?"," "),"!"," "),"*"," "),"["," "),"]"," "),"'"," "),"#"," "),"+"," "),"&amp;"," "),"\"," "))&amp;" "</f>
        <v>  </v>
      </c>
      <c r="BG410" s="61" t="n">
        <f aca="false">IFERROR(IF(AND(TRIM(U410)="Pass",SUMPRODUCT((LEN(BC410)-LEN(SUBSTITUTE(BC410," "&amp;L_ResultBad&amp;" "," ")))/(LEN(L_ResultBad)+1))&gt;SUMPRODUCT((LEN(BC410)-LEN(SUBSTITUTE(BC410," "&amp;L_NegPhrase&amp;" "," ")))/(LEN(L_NegPhrase)+1))),1,0),0)</f>
        <v>0</v>
      </c>
      <c r="BH410" s="61" t="n">
        <f aca="false">IFERROR(IF(SUMPRODUCT((LEN(BC410)-LEN(SUBSTITUTE(BC410," "&amp;L_Pending&amp;" "," ")))/(LEN(L_Pending)+1))&gt;SUMPRODUCT((LEN(BC410)-LEN(SUBSTITUTE(BC410," "&amp;L_PendNeg&amp;" "," ")))/(LEN(L_PendNeg)+1))+SUMPRODUCT((LEN(BC410)-LEN(SUBSTITUTE(BC410," "&amp;L_PendPrep&amp;" "," ")))/(LEN(L_PendPrep)+1)),1,0),1)</f>
        <v>0</v>
      </c>
      <c r="BI410" s="61" t="n">
        <f aca="false">IFERROR(IF(SUMPRODUCT((LEN(BD410)-LEN(SUBSTITUTE(BD410," "&amp;L_PendStrict&amp;" "," ")))/(LEN(L_PendStrict)+1))&gt;SUMPRODUCT((LEN(BD410)-LEN(SUBSTITUTE(BD410," "&amp;L_PendNeg&amp;" "," ")))/(LEN(L_PendNeg)+1)),1,0),1)</f>
        <v>0</v>
      </c>
      <c r="BJ410" s="61" t="n">
        <f aca="false">IFERROR(IF(SUMPRODUCT((LEN(BE410)-LEN(SUBSTITUTE(BE410," "&amp;L_Pending&amp;" "," ")))/(LEN(L_Pending)+1))&gt;SUMPRODUCT((LEN(BE410)-LEN(SUBSTITUTE(BE410," "&amp;L_PendNeg&amp;" "," ")))/(LEN(L_PendNeg)+1))+SUMPRODUCT((LEN(BE410)-LEN(SUBSTITUTE(BE410," "&amp;L_PendPrep&amp;" "," ")))/(LEN(L_PendPrep)+1)),1,0),1)</f>
        <v>0</v>
      </c>
      <c r="BK410" s="61" t="n">
        <f aca="false">IFERROR(IF(SUMPRODUCT((LEN(BF410)-LEN(SUBSTITUTE(BF410," "&amp;L_PendStrict&amp;" "," ")))/(LEN(L_PendStrict)+1))&gt;SUMPRODUCT((LEN(BF410)-LEN(SUBSTITUTE(BF410," "&amp;L_PendNeg&amp;" "," ")))/(LEN(L_PendNeg)+1)),1,0),1)</f>
        <v>0</v>
      </c>
      <c r="BL410" s="61" t="n">
        <f aca="false">IF(ISNA(MATCH(TRIM(S410),L_EvidenceType,0)),0,BZ410)</f>
        <v>0</v>
      </c>
      <c r="BM410" s="61" t="str">
        <f aca="false">SUBSTITUTE(SUBSTITUTE(SUBSTITUTE(SUBSTITUTE(SUBSTITUTE(SUBSTITUTE(SUBSTITUTE(SUBSTITUTE(SUBSTITUTE(LOWER(Z410&amp;""),"1","0"),"2","0"),"3","0"),"4","0"),"5","0"),"6","0"),"7","0"),"8","0"),"9","0")</f>
        <v/>
      </c>
      <c r="BN410" s="61" t="str">
        <f aca="false">SUBSTITUTE(SUBSTITUTE(SUBSTITUTE(SUBSTITUTE(SUBSTITUTE(SUBSTITUTE(SUBSTITUTE(SUBSTITUTE(SUBSTITUTE(SUBSTITUTE(SUBSTITUTE(SUBSTITUTE(SUBSTITUTE(SUBSTITUTE(SUBSTITUTE(SUBSTITUTE(SUBSTITUTE(SUBSTITUTE(SUBSTITUTE(SUBSTITUTE(SUBSTITUTE(SUBSTITUTE(SUBSTITUTE(SUBSTITUTE(SUBSTITUTE(BM410,"b","a"),"c","a"),"d","a"),"e","a"),"f","a"),"g","a"),"h","a"),"i","a"),"j","a"),"k","a"),"l","a"),"m","a"),"n","a"),"o","a"),"p","a"),"q","a"),"r","a"),"s","a"),"t","a"),"u","a"),"v","a"),"w","a"),"x","a"),"y","a"),"z","a")</f>
        <v/>
      </c>
      <c r="BO410" s="61" t="str">
        <f aca="false">SUBSTITUTE(SUBSTITUTE(SUBSTITUTE(SUBSTITUTE(SUBSTITUTE(SUBSTITUTE(SUBSTITUTE(SUBSTITUTE(SUBSTITUTE(LOWER(W410&amp;""),"1","0"),"2","0"),"3","0"),"4","0"),"5","0"),"6","0"),"7","0"),"8","0"),"9","0")</f>
        <v/>
      </c>
      <c r="BP410" s="61" t="str">
        <f aca="false">SUBSTITUTE(SUBSTITUTE(SUBSTITUTE(SUBSTITUTE(SUBSTITUTE(SUBSTITUTE(SUBSTITUTE(SUBSTITUTE(SUBSTITUTE(SUBSTITUTE(SUBSTITUTE(SUBSTITUTE(SUBSTITUTE(SUBSTITUTE(SUBSTITUTE(SUBSTITUTE(SUBSTITUTE(SUBSTITUTE(SUBSTITUTE(SUBSTITUTE(SUBSTITUTE(SUBSTITUTE(SUBSTITUTE(SUBSTITUTE(SUBSTITUTE(BO410,"b","a"),"c","a"),"d","a"),"e","a"),"f","a"),"g","a"),"h","a"),"i","a"),"j","a"),"k","a"),"l","a"),"m","a"),"n","a"),"o","a"),"p","a"),"q","a"),"r","a"),"s","a"),"t","a"),"u","a"),"v","a"),"w","a"),"x","a"),"y","a"),"z","a")</f>
        <v/>
      </c>
      <c r="BQ410" s="61" t="n">
        <f aca="false">IFERROR(IF(AND(ISERROR(SEARCH(" mh"," "&amp;LOWER(W410))),ISNA(MATCH(LEFT(TRIM(BP410),255),{"0000a","000a","00a","0000aa","000aa","00aa","0aa","0000aaa","000aaa","00a00","0a00","0000-0000","00:00","a00","a0","00.00.0000","00/00/0000","00-00-0000","0000-00-00","0000/00/00","0000.00.00","00.00.00","00/00/00","00-00-00","0.00.0000","0/00/0000","0-00-0000"},0)),ISNA(MATCH(LEFT(TRIM(CA410),255),{"0000a","000a","00a","0000aa","000aa","00aa","0aa","0000aaa","000aaa","00a00","0a00","0000-0000","00:00","a00","a0","00.00.0000","00/00/0000","00-00-0000","0000-00-00","0000/00/00","0000.00.00","00.00.00","00/00/00","00-00-00","0.00.0000","0/00/0000","0-00-0000"},0)),LEN(CB410)&gt;=3,NOT(OR(SUBSTITUTE(CB410,"0","")="",AND(LEN(CB410)&gt;=4,CB410=REPT(LEFT(CB410),LEN(CB410))),ISNUMBER(MATCH(CB410,{"123","1234","12345","123456","1234567","12345678","0123","01234","012345","98765","987654","54321"},0)),AND(LEN(CB410)=8,LEFT(CB410,3)="202"))),OR(AND((LEN(CA410)-LEN(SUBSTITUTE(CA410,"a","")))&gt;=1,SUMPRODUCT(--ISNUMBER(SEARCH({"a0","a-0","a_0","a/0","a.0","a#0","0a","0-a","0_a","0/a"},BP410)))&gt;0),ISNUMBER(SEARCH("000000",BP410)))),1,0),0)</f>
        <v>0</v>
      </c>
      <c r="BR410" s="61" t="n">
        <f aca="false">IFERROR(LEN(SUBSTITUTE(CC410," ",""))-SUMPRODUCT((LEN(CC410)-LEN(SUBSTITUTE(CC410," "&amp;L_Role&amp;" "," ")))/(LEN(L_Role)+1)*LEN(L_Role)),0)</f>
        <v>0</v>
      </c>
      <c r="BS410" s="61" t="n">
        <f aca="false">IFERROR(LEN(SUBSTITUTE(CD410," ",""))-SUMPRODUCT((LEN(CD410)-LEN(SUBSTITUTE(CD410," "&amp;L_Role&amp;" "," ")))/(LEN(L_Role)+1)*LEN(L_Role)),0)</f>
        <v>0</v>
      </c>
      <c r="BT4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410,"revision",""),"version",""),"jan",""),"feb",""),"mar",""),"apr",""),"may",""),"jun",""),"jul",""),"aug",""),"sep",""),"oct",""),"nov",""),"dec",""),"utc",""),"gmt",""),"myt",""),"bst",""),"rev",""),"ver",""),"b","a"),"c","a"),"d","a"),"e","a"),"f","a"),"g","a"),"h","a"),"i","a"),"j","a"),"k","a"),"l","a"),"m","a"),"n","a"),"o","a"),"p","a"),"q","a"),"r","a"),"s","a"),"t","a"),"u","a"),"v","a"),"w","a"),"x","a"),"y","a"),"z","a")</f>
        <v/>
      </c>
      <c r="BU410" s="61" t="str">
        <f aca="false">SUBSTITUTE(SUBSTITUTE(SUBSTITUTE(SUBSTITUTE(SUBSTITUTE(SUBSTITUTE(SUBSTITUTE(SUBSTITUTE(SUBSTITUTE(SUBSTITUTE(LEFT(BM410,FIND("0",BM410&amp;"0")-1),"-",""),"_",""),"/",""),".",""),"#",""),"\\",""),":","")," ",""),"(",""),")","")</f>
        <v/>
      </c>
      <c r="BV410" s="61" t="n">
        <f aca="false">0</f>
        <v>0</v>
      </c>
      <c r="BW4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410&amp;""),"a",""),"b",""),"c",""),"d",""),"e",""),"f",""),"g",""),"h",""),"i",""),"j",""),"k",""),"l",""),"m",""),"n",""),"o",""),"p",""),"q",""),"r",""),"s",""),"t",""),"u",""),"v",""),"w",""),"x",""),"y",""),"z",""),"-",""),"_",""),"/",""),".",""),"#",""),"\\",""),":","")," ",""),"(",""),")","")</f>
        <v/>
      </c>
      <c r="BX410" s="61" t="str">
        <f aca="false">SUBSTITUTE(SUBSTITUTE(SUBSTITUTE(SUBSTITUTE(SUBSTITUTE(SUBSTITUTE(SUBSTITUTE(SUBSTITUTE(SUBSTITUTE(SUBSTITUTE(SUBSTITUTE(BM410,"0",""),"-",""),"_",""),"/",""),".",""),"#",""),"\\",""),":","")," ",""),"(",""),")","")</f>
        <v/>
      </c>
      <c r="BY410" s="62" t="n">
        <f aca="false">Q410-T12EarlyH/24</f>
        <v>46306.6006944444</v>
      </c>
      <c r="BZ410" s="61" t="n">
        <f aca="false">IFERROR(IF(IF(TRIM(S410)="Link / file path",AND(LEN(TRIM(Z410))&gt;=5,SUMPRODUCT(--ISNUMBER(SEARCH({"http","www.","\\",":\",".pdf",".jpg",".jpeg",".png",".heic",".xls",".doc",".msg",".eml",".ppt",".txt",".zip"},Z410)))&gt;0),AND(ISERROR(FIND(" ",TRIM(Z410))),NOT(OR(SUMPRODUCT(--ISNUMBER(FIND({",",";","&amp;","+"},Z410)))&gt;0,SUMPRODUCT(--ISNUMBER(SEARCH({"0/aa","0\\aa"},BN410)))&gt;0)),NOT(SUMPRODUCT(--ISNUMBER(SEARCH({"http","www.","\\",":\",".pdf",".jpg",".jpeg",".png",".heic",".xls",".doc",".msg",".eml",".ppt",".txt",".zip"},Z410)))&gt;0),NOT(LOWER(TRIM(Z410))=LOWER(Flights!$F$16)),ISNA(MATCH(BU410,{"mh","rev","revision","ver","version","v","r","a","b","seat","tray","row","gate","bay","stand","page","pg","item","line","no","cart","galley","flight","flt","table","box","bag","oven","etd","eta","std","sta","atd","ata","qty","pax","x","time","tel","ph","mob","day","wk","week","utc","gmt","myt","lt"},0)),NOT(OR(ISNUMBER(MATCH(LEFT(BN410,255),{"0000a","000a","00a","0000aa","000aa","00aa","0aa","0000aaa","000aaa","00a00","0a00","0000-0000","00:00","a00","a0","00.00.0000","00/00/0000","00-00-0000","0000-00-00","0000/00/00","0000.00.00","00.00.00","00/00/00","00-00-00","0.00.0000","0/00/0000","0-00-0000"},0)),ISNUMBER(MATCH(LEFT(BT410,255),{"0000a","000a","00a","0000aa","000aa","00aa","0aa","0000aaa","000aaa","00a00","0a00","0000-0000","00:00","a00","a0","00.00.0000","00/00/0000","00-00-0000","0000-00-00","0000/00/00","0000.00.00","00.00.00","00/00/00","00-00-00","0.00.0000","0/00/0000","0-00-0000"},0)))),NOT(OR(AND(BW410&lt;&gt;"",SUBSTITUTE(BW410,"0","")=""),AND(LEN(BW410)&gt;=4,BW410=REPT(LEFT(BW410),LEN(BW410))),ISNUMBER(MATCH(BW410,{"123","1234","12345","123456","1234567","12345678","0123","01234","012345","98765","987654","54321"},0)),ISNUMBER(MATCH(BX410,{"x","xx","xxx","xxxx","xxxxx","abc","abcd","nil","na","nan","test","tbc","tba","tbd","dummy","sample","example","eg","zz","zzz","none","null","xyz","qwe","asd","id","ref"},0)),AND(LEN(BW410)=8,BX410="",OR(LEFT(BW410,3)="202",ISNUMBER(MATCH(RIGHT(BW410,4),{"2025","2026","2027"},0)))))),OR(AND((LEN(BT410)-LEN(SUBSTITUTE(BT410,"a","")))&gt;=1,(LEN(BN410)-LEN(SUBSTITUTE(BN410,"0","")))&gt;=2,SUMPRODUCT(--ISNUMBER(SEARCH({"a0","a-0","a_0","a/0","a.0","a#0","0a","0-a","0_a","0/a"},BN410)))&gt;0),AND((LEN(BN410)-LEN(SUBSTITUTE(BN410,"a","")))=0,(LEN(BN410)-LEN(SUBSTITUTE(BN410,"0","")))&gt;=5)))),1,0),0)</f>
        <v>0</v>
      </c>
      <c r="CA4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410,"revision",""),"version",""),"jan",""),"feb",""),"mar",""),"apr",""),"may",""),"jun",""),"jul",""),"aug",""),"sep",""),"oct",""),"nov",""),"dec",""),"utc",""),"gmt",""),"myt",""),"bst",""),"rev",""),"ver",""),"b","a"),"c","a"),"d","a"),"e","a"),"f","a"),"g","a"),"h","a"),"i","a"),"j","a"),"k","a"),"l","a"),"m","a"),"n","a"),"o","a"),"p","a"),"q","a"),"r","a"),"s","a"),"t","a"),"u","a"),"v","a"),"w","a"),"x","a"),"y","a"),"z","a")</f>
        <v/>
      </c>
      <c r="CB4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410&amp;""),"a",""),"b",""),"c",""),"d",""),"e",""),"f",""),"g",""),"h",""),"i",""),"j",""),"k",""),"l",""),"m",""),"n",""),"o",""),"p",""),"q",""),"r",""),"s",""),"t",""),"u",""),"v",""),"w",""),"x",""),"y",""),"z",""),"-",""),"_",""),"/",""),".",""),"#",""),"\\",""),":","")," ",""),"(",""),")","")</f>
        <v/>
      </c>
      <c r="CC410" s="0" t="str">
        <f aca="false">" "&amp;TRIM(SUBSTITUTE(SUBSTITUTE(SUBSTITUTE(SUBSTITUTE(SUBSTITUTE(SUBSTITUTE(SUBSTITUTE(SUBSTITUTE(SUBSTITUTE(SUBSTITUTE(SUBSTITUTE(SUBSTITUTE(SUBSTITUTE(SUBSTITUTE(SUBSTITUTE(SUBSTITUTE(SUBSTITUTE(SUBSTITUTE(SUBSTITUTE(SUBSTITUTE(SUBSTITUTE(SUBSTITUTE(SUBSTITUTE(SUBSTITUTE(LOWER(T410&amp;""),CHAR(10)," "),CHAR(13)," "),CHAR(9)," "),CHAR(160)," "),"."," "),","," "),"-"," "),"/"," "),"("," "),")"," "),":"," "),";"," "),"_"," "),"–"," "),"?"," "),"!"," "),"*"," "),"["," "),"]"," "),"'"," "),"#"," "),"+"," "),"&amp;"," "),"\"," "))&amp;" "</f>
        <v>  </v>
      </c>
      <c r="CD410" s="0" t="str">
        <f aca="false">" "&amp;TRIM(SUBSTITUTE(SUBSTITUTE(SUBSTITUTE(SUBSTITUTE(SUBSTITUTE(SUBSTITUTE(SUBSTITUTE(SUBSTITUTE(SUBSTITUTE(SUBSTITUTE(SUBSTITUTE(SUBSTITUTE(SUBSTITUTE(SUBSTITUTE(SUBSTITUTE(SUBSTITUTE(SUBSTITUTE(SUBSTITUTE(SUBSTITUTE(SUBSTITUTE(SUBSTITUTE(SUBSTITUTE(SUBSTITUTE(SUBSTITUTE(LOWER(AE410&amp;""),CHAR(10)," "),CHAR(13)," "),CHAR(9)," "),CHAR(160)," "),"."," "),","," "),"-"," "),"/"," "),"("," "),")"," "),":"," "),";"," "),"_"," "),"–"," "),"?"," "),"!"," "),"*"," "),"["," "),"]"," "),"'"," "),"#"," "),"+"," "),"&amp;"," "),"\"," "))&amp;" "</f>
        <v>  </v>
      </c>
      <c r="CE410" s="68" t="n">
        <f aca="false">IFERROR(IF(AND(LEN(AU410)&gt;0,LEN(AU410)=LEN(AX410),OR(TRIM(MID(SUBSTITUTE(TRIM(CC410)," ",REPT(" ",60)),1,60))="",ISNUMBER(SEARCH(" "&amp;TRIM(MID(SUBSTITUTE(TRIM(CC410)," ",REPT(" ",60)),1,60))&amp;" ",CD410))),OR(TRIM(MID(SUBSTITUTE(TRIM(CC410)," ",REPT(" ",60)),61,60))="",ISNUMBER(SEARCH(" "&amp;TRIM(MID(SUBSTITUTE(TRIM(CC410)," ",REPT(" ",60)),61,60))&amp;" ",CD410))),OR(TRIM(MID(SUBSTITUTE(TRIM(CC410)," ",REPT(" ",60)),121,60))="",ISNUMBER(SEARCH(" "&amp;TRIM(MID(SUBSTITUTE(TRIM(CC410)," ",REPT(" ",60)),121,60))&amp;" ",CD410)))),1,0),0)</f>
        <v>0</v>
      </c>
      <c r="CG410" s="68" t="n">
        <f aca="false">IFERROR(LEN(SUBSTITUTE(BF410," ",""))-SUMPRODUCT((LEN(BF410)-LEN(SUBSTITUTE(BF410," "&amp;L_NAFiller&amp;" "," ")))/(LEN(L_NAFiller)+1)*LEN(L_NAFiller)),0)</f>
        <v>0</v>
      </c>
    </row>
    <row r="411" customFormat="false" ht="39.75" hidden="false" customHeight="true" outlineLevel="0" collapsed="false">
      <c r="A411" s="57" t="s">
        <v>1043</v>
      </c>
      <c r="B411" s="57" t="s">
        <v>261</v>
      </c>
      <c r="C411" s="57" t="str">
        <f aca="false">Flights!$F$16</f>
        <v>MH0139</v>
      </c>
      <c r="D411" s="58" t="n">
        <f aca="false">Flights!$D$16</f>
        <v>46307</v>
      </c>
      <c r="E411" s="57" t="str">
        <f aca="false">Flights!$G$16&amp;"-"&amp;Flights!$H$16</f>
        <v>KUL-ADL</v>
      </c>
      <c r="F411" s="57" t="str">
        <f aca="false">Flights!$K$16</f>
        <v>BC</v>
      </c>
      <c r="G411" s="57" t="s">
        <v>459</v>
      </c>
      <c r="H411" s="57" t="s">
        <v>460</v>
      </c>
      <c r="I411" s="57" t="s">
        <v>379</v>
      </c>
      <c r="J411" s="57" t="s">
        <v>461</v>
      </c>
      <c r="K411" s="67" t="s">
        <v>426</v>
      </c>
      <c r="L411" s="67" t="s">
        <v>462</v>
      </c>
      <c r="M411" s="67"/>
      <c r="N411" s="67" t="s">
        <v>383</v>
      </c>
      <c r="O411" s="67" t="s">
        <v>463</v>
      </c>
      <c r="P411" s="57" t="s">
        <v>187</v>
      </c>
      <c r="Q411" s="59" t="n">
        <f aca="false">ROUND((Flights!$AF$16)*1440,0)/1440</f>
        <v>46307.6006944444</v>
      </c>
      <c r="R411" s="59" t="n">
        <f aca="false">Q411+(IF(AND(INDEX(TZ_DSTS,MATCH(P411,TZ_STN,0))&lt;&gt;"",Q411&gt;=INDEX(TZ_DSTS,MATCH(P411,TZ_STN,0)),Q411&lt;INDEX(TZ_DSTE,MATCH(P411,TZ_STN,0))),INDEX(TZ_DST,MATCH(P411,TZ_STN,0)),INDEX(TZ_STD,MATCH(P411,TZ_STN,0))))/24</f>
        <v>46307.9340277778</v>
      </c>
      <c r="S411" s="60"/>
      <c r="T411" s="60"/>
      <c r="U411" s="60"/>
      <c r="V411" s="60"/>
      <c r="W411" s="61"/>
      <c r="X411" s="60"/>
      <c r="Y411" s="60"/>
      <c r="Z411" s="60"/>
      <c r="AA411" s="60"/>
      <c r="AB411" s="60"/>
      <c r="AC411" s="60"/>
      <c r="AD411" s="66"/>
      <c r="AE411" s="60"/>
      <c r="AF411" s="61" t="str">
        <f aca="false">IF(AND(ISNUMBER(X411),ISNUMBER(Y411)),Y411-X411,"")</f>
        <v/>
      </c>
      <c r="AG411" s="62" t="str">
        <f aca="false">IF(ISNUMBER(AD411),AD411-(IF(AND(INDEX(TZ_DSTS,MATCH(P411,TZ_STN,0))&lt;&gt;"",(AD411-INDEX(TZ_STD,MATCH(P411,TZ_STN,0))/24)&gt;=INDEX(TZ_DSTS,MATCH(P411,TZ_STN,0)),(AD411-INDEX(TZ_STD,MATCH(P411,TZ_STN,0))/24)&lt;INDEX(TZ_DSTE,MATCH(P411,TZ_STN,0))),INDEX(TZ_DST,MATCH(P411,TZ_STN,0)),INDEX(TZ_STD,MATCH(P411,TZ_STN,0))))/24,"")</f>
        <v/>
      </c>
      <c r="AH411" s="65" t="str">
        <f aca="false">IFERROR(IF(N411="N/A – rule",IF(OR(TRIM(U411)="",TRIM(U411)="N/A",TRIM(U411)="Not started"),"N/A – RULE","INVALID – this check does not apply to this aircraft: clear the status (or correct the fleet on Flights)"),IF(TRIM(U411)="N/A",IF(AT411=0,"INVALID – N/A not permitted for this check",IF(AND(TRIM(AB411)&lt;&gt;"",TRIM(AB411)&lt;&gt;"Closed"),"INVALID – corrective action still open",IF(AND(NOT(OR(LEN(AZ411)&lt;15,ISNUMBER(MATCH(AZ411,L_Placeholder,0)))),BK411=0,CG411&gt;=8,NOT(OR(LEN(AU411)&lt;2,ISNUMBER(MATCH(AU411,L_Placeholder,0)))),BR411&gt;=3,NOT(OR(LEN(AX411)&lt;2,ISNUMBER(MATCH(AX411,L_Placeholder,0)))),BS411&gt;=3,TRIM(AE411)&lt;&gt;TRIM(T411),AX411&lt;&gt;AU411,CE411=0),"N/A – JUSTIFIED","INVALID – N/A needs a real, settled reason (not 'not applicable' / 'as above' / TBC), a named PIC and a different named verifier"))),IF(OR(TRIM(U411)="Pass",TRIM(U411)="Pass after CA"),IF(NOT(ISNUMBER(AD411)),"INVALID – completion time missing",IF(OR(OR(LEN(AU411)&lt;2,ISNUMBER(MATCH(AU411,L_Placeholder,0))),BR411&lt;3),"INVALID – PIC missing or not a named person (a role such as QA / CSM is not a name)",IF(OR(LEN(AV411)&lt;2,ISNUMBER(MATCH(AV411,L_Placeholder,0))),"INVALID – result / assessment missing",IF(OR(OR(LEN(AW411)&lt;3,ISNUMBER(MATCH(AW411,L_Placeholder,0))),SUMPRODUCT(--ISNUMBER(SEARCH(" "&amp;L_EvidencePhrase&amp;" ",BD411)))&gt;0,BI411=1),"INVALID – evidence missing, placeholder or not yet on file",IF(ISNA(MATCH(TRIM(S411),L_EvidenceType,0)),"INVALID – choose the evidence type from the list (column S)",IF(BL411=0,"INVALID – evidence ID must be the record's own ID only (e.g. SF-2210, IMG_2231, 1045521); a link / file name needs type 'Link / file path'",IF(OR(OR(LEN(AX411)&lt;2,ISNUMBER(MATCH(AX411,L_Placeholder,0))),BS411&lt;3),"INVALID – verifier missing or not a named person (a role such as QA / CSM is not a name)",IF(OR(AX411=AU411,CE411=1,AND(LEN(AU411)&gt;=4,ISNUMBER(SEARCH(AU411,AX411))),AND(LEN(AX411)&gt;=4,ISNUMBER(SEARCH(AX411,AU411)))),"INVALID – verifier must be a different, named person (not the PIC or a role)",IF(BH411=1,"INVALID – result not yet available (awaiting / TBC)",IF(BG411=1,"INVALID – result describes a problem: record Fail, then Pass after CA (or reword if it is not a problem)",IF(BV411=1,"INVALID – wording says not on board: an on-board confirmation needs the item loaded",IF(AND(AQ411=1,OR(OR(LEN(AY411)&lt;3,ISNUMBER(MATCH(AY411,L_Placeholder,0))),BJ411=1,BQ411=0)),"INVALID – batch ID missing, placeholder or not an ID (e.g. PASB-261008-BC-017)",IF(AND(AR411=1,OR(NOT(ISNUMBER(X411)),NOT(ISNUMBER(Y411)))),"INVALID – expected/actual qty missing",IF(AND(AR411=1,OR(X411&lt;=0,Y411&lt;0)),"INVALID – expected qty must be above 0 and actual not negative",IF(AH391="N/A – JUSTIFIED","INVALID – preparation row F12-T12-02 is N/A",IF(AND(AR411=1,ISNUMBER(X391),X411&lt;&gt;X391,TRIM(U411)&lt;&gt;"Pass after CA"),"INVALID – expected qty differs from preparation check F12-T12-02: record the load change as a corrective action (Pass after CA)",IF(BB411&lt;&gt;"",BB411,IF(AND(AS411=1,Documents!$J$16&lt;&gt;"ON FILE"),"INVALID – GLD not on file (Documents sheet)",IF(AND(AS411=2,Documents!$O$16&lt;&gt;"ON FILE"),"INVALID – menu checklist not on file (Documents sheet)",IF(AND(AS411=3,NOT(ISNUMBER(Flights!$AX$16))),"INVALID – enter carrying flight KUL departure (Flights AX)",IF(AND(AS411=3,OR(Flights!$AZ$16&gt;Flights!$AA$16,Flights!$AX$16&lt;Flights!$AA$16-3)),"INVALID – carrying flight (Flights AX) cannot arrive before this leg's STD, or is over 3 days early",IF(AG411&gt;AsOfUTC,"INVALID – completion time is in the future",IF(AND(ISNUMBER(BY411),AG411&lt;BY411),IF(H411="Physical uplift","INVALID – before uplift window (cannot confirm loading)","INVALID – before valid window"),IF(AG411&gt;Flights!$AA$16,"INVALID – completed after departure (cannot establish readiness)",IF(AND(H411="Preparation",AG411&gt;=IF(ISNUMBER(Flights!$BA$16),MIN(Flights!$BA$16,Flights!$AA$16),Flights!$AA$16)),"INVALID – completed after loading / departure (cannot establish readiness)",IF(AND(H411="Physical uplift",AG411&gt;Q411),"INVALID – recorded after the loading flight departed",IF(AG411&gt;Q411,"COMPLETE – LATE","COMPLETE"))))))))))))))))))))))))))),IF(TRIM(U411)="Fail","FAIL – DISCREPANCY",IF(AND(TRIM(U411)&lt;&gt;"",TRIM(U411)&lt;&gt;"Not started",TRIM(U411)&lt;&gt;"In progress"),"INVALID – unrecognised status (use the list)",IF(AsOfUTC&gt;Q411,"OVERDUE",IF(N411="Clarification required","OPEN – CLARIFICATION","OPEN"))))))),"INVALID – error value in an input cell")</f>
        <v>OPEN</v>
      </c>
      <c r="AI411" s="61" t="n">
        <f aca="false">IF(OR(AH411="N/A – RULE",AH411="N/A – JUSTIFIED"),0,1)</f>
        <v>1</v>
      </c>
      <c r="AJ411" s="61" t="n">
        <f aca="false">IF(LEFT(AH411,8)="COMPLETE",1,0)</f>
        <v>0</v>
      </c>
      <c r="AK411" s="61" t="n">
        <f aca="false">IF(AND(AI411=1,AJ411=0,AsOfUTC&gt;Q411),1,0)</f>
        <v>0</v>
      </c>
      <c r="AL411" s="61" t="n">
        <f aca="false">IFERROR(IF(AND(AI411=1,OR(TRIM(U411)="Fail",AND(TRIM(AB411)&lt;&gt;"",TRIM(AB411)&lt;&gt;"Closed"),AND(ISNUMBER(AF411),AF411&lt;&gt;0,TRIM(U411)&lt;&gt;"Pass after CA"))),1,0),1)</f>
        <v>0</v>
      </c>
      <c r="AM411" s="61" t="n">
        <f aca="false">IF(LEFT(AH411,7)="INVALID",1,0)</f>
        <v>0</v>
      </c>
      <c r="AN411" s="61" t="n">
        <f aca="false">IF(AND(N411="Clarification required",AI411=1,AJ411=0),1,0)</f>
        <v>0</v>
      </c>
      <c r="AO411" s="61" t="str">
        <f aca="false">IF(AK411=1,SUM(AK$5:AK411),"")</f>
        <v/>
      </c>
      <c r="AP411" s="61" t="str">
        <f aca="false">IF(AL411=1,SUM(AL$5:AL411),"")</f>
        <v/>
      </c>
      <c r="AQ411" s="61" t="n">
        <v>0</v>
      </c>
      <c r="AR411" s="61" t="n">
        <v>1</v>
      </c>
      <c r="AS411" s="61" t="n">
        <v>0</v>
      </c>
      <c r="AT411" s="61" t="n">
        <v>0</v>
      </c>
      <c r="AU411" s="61" t="str">
        <f aca="false">SUBSTITUTE(SUBSTITUTE(SUBSTITUTE(SUBSTITUTE(SUBSTITUTE(SUBSTITUTE(SUBSTITUTE(SUBSTITUTE(SUBSTITUTE(SUBSTITUTE(SUBSTITUTE(SUBSTITUTE(SUBSTITUTE(SUBSTITUTE(SUBSTITUTE(SUBSTITUTE(LOWER(T411&amp;""),CHAR(10),""),CHAR(13),""),CHAR(9),""),CHAR(160),"")," ",""),".",""),"-",""),"/",""),"?",""),"_",""),",",""),"[",""),"]",""),"(",""),")",""),"*","")</f>
        <v/>
      </c>
      <c r="AV411" s="61" t="str">
        <f aca="false">SUBSTITUTE(SUBSTITUTE(SUBSTITUTE(SUBSTITUTE(SUBSTITUTE(SUBSTITUTE(SUBSTITUTE(SUBSTITUTE(SUBSTITUTE(SUBSTITUTE(SUBSTITUTE(SUBSTITUTE(SUBSTITUTE(SUBSTITUTE(SUBSTITUTE(SUBSTITUTE(LOWER(V411&amp;""),CHAR(10),""),CHAR(13),""),CHAR(9),""),CHAR(160),"")," ",""),".",""),"-",""),"/",""),"?",""),"_",""),",",""),"[",""),"]",""),"(",""),")",""),"*","")</f>
        <v/>
      </c>
      <c r="AW411" s="61" t="str">
        <f aca="false">SUBSTITUTE(SUBSTITUTE(SUBSTITUTE(SUBSTITUTE(SUBSTITUTE(SUBSTITUTE(SUBSTITUTE(SUBSTITUTE(SUBSTITUTE(SUBSTITUTE(SUBSTITUTE(SUBSTITUTE(SUBSTITUTE(SUBSTITUTE(SUBSTITUTE(SUBSTITUTE(LOWER(Z411&amp;""),CHAR(10),""),CHAR(13),""),CHAR(9),""),CHAR(160),"")," ",""),".",""),"-",""),"/",""),"?",""),"_",""),",",""),"[",""),"]",""),"(",""),")",""),"*","")</f>
        <v/>
      </c>
      <c r="AX411" s="61" t="str">
        <f aca="false">SUBSTITUTE(SUBSTITUTE(SUBSTITUTE(SUBSTITUTE(SUBSTITUTE(SUBSTITUTE(SUBSTITUTE(SUBSTITUTE(SUBSTITUTE(SUBSTITUTE(SUBSTITUTE(SUBSTITUTE(SUBSTITUTE(SUBSTITUTE(SUBSTITUTE(SUBSTITUTE(LOWER(AE411&amp;""),CHAR(10),""),CHAR(13),""),CHAR(9),""),CHAR(160),"")," ",""),".",""),"-",""),"/",""),"?",""),"_",""),",",""),"[",""),"]",""),"(",""),")",""),"*","")</f>
        <v/>
      </c>
      <c r="AY411" s="61" t="str">
        <f aca="false">SUBSTITUTE(SUBSTITUTE(SUBSTITUTE(SUBSTITUTE(SUBSTITUTE(SUBSTITUTE(SUBSTITUTE(SUBSTITUTE(SUBSTITUTE(SUBSTITUTE(SUBSTITUTE(SUBSTITUTE(SUBSTITUTE(SUBSTITUTE(SUBSTITUTE(SUBSTITUTE(LOWER(W411&amp;""),CHAR(10),""),CHAR(13),""),CHAR(9),""),CHAR(160),"")," ",""),".",""),"-",""),"/",""),"?",""),"_",""),",",""),"[",""),"]",""),"(",""),")",""),"*","")</f>
        <v/>
      </c>
      <c r="AZ411" s="61" t="str">
        <f aca="false">SUBSTITUTE(SUBSTITUTE(SUBSTITUTE(SUBSTITUTE(SUBSTITUTE(SUBSTITUTE(SUBSTITUTE(SUBSTITUTE(SUBSTITUTE(SUBSTITUTE(SUBSTITUTE(SUBSTITUTE(SUBSTITUTE(SUBSTITUTE(SUBSTITUTE(SUBSTITUTE(LOWER(AC411&amp;""),CHAR(10),""),CHAR(13),""),CHAR(9),""),CHAR(160),"")," ",""),".",""),"-",""),"/",""),"?",""),"_",""),",",""),"[",""),"]",""),"(",""),")",""),"*","")</f>
        <v/>
      </c>
      <c r="BA411" s="61" t="str">
        <f aca="false">SUBSTITUTE(SUBSTITUTE(SUBSTITUTE(SUBSTITUTE(SUBSTITUTE(SUBSTITUTE(SUBSTITUTE(SUBSTITUTE(SUBSTITUTE(SUBSTITUTE(SUBSTITUTE(SUBSTITUTE(SUBSTITUTE(SUBSTITUTE(SUBSTITUTE(SUBSTITUTE(LOWER(AA411&amp;""),CHAR(10),""),CHAR(13),""),CHAR(9),""),CHAR(160),"")," ",""),".",""),"-",""),"/",""),"?",""),"_",""),",",""),"[",""),"]",""),"(",""),")",""),"*","")</f>
        <v/>
      </c>
      <c r="BB411" s="61" t="str">
        <f aca="false">IF(AND(TRIM(U411)="Pass",ISNUMBER(AF411)),IF(AF411&lt;&gt;0,"INVALID – qty variance: use Fail or Pass after CA",""),"")&amp;IF(AND(TRIM(U411)="Pass after CA",ISNUMBER(AF411)),IF(AF411&lt;&gt;0,"INVALID – after the corrective action the actual qty must equal expected (update Actual)",""),"")&amp;IF(AND(TRIM(U411)="Pass",TRIM(AB411)&lt;&gt;"",TRIM(AB411)&lt;&gt;"Closed"),"INVALID – corrective action not closed: use Fail, then Pass after CA","")&amp;IF(AND(LEN(BA411)&gt;=2,ISNA(MATCH(LEFT(BA411,255),L_Placeholder,0)),TRIM(AB411)=""),"INVALID – CA status missing for the recorded corrective action","")&amp;IF(AND(TRIM(U411)="Pass after CA",OR(OR(LEN(BA411)&lt;5,ISNUMBER(MATCH(BA411,L_Placeholder,0))),TRIM(AB411)&lt;&gt;"Closed")),"INVALID – corrective action not recorded/closed","")</f>
        <v/>
      </c>
      <c r="BC411" s="61" t="str">
        <f aca="false">" "&amp;TRIM(SUBSTITUTE(SUBSTITUTE(SUBSTITUTE(SUBSTITUTE(SUBSTITUTE(SUBSTITUTE(SUBSTITUTE(SUBSTITUTE(SUBSTITUTE(SUBSTITUTE(SUBSTITUTE(SUBSTITUTE(SUBSTITUTE(SUBSTITUTE(SUBSTITUTE(SUBSTITUTE(SUBSTITUTE(SUBSTITUTE(SUBSTITUTE(SUBSTITUTE(SUBSTITUTE(SUBSTITUTE(SUBSTITUTE(SUBSTITUTE(LOWER(V411&amp;""),CHAR(10)," "),CHAR(13)," "),CHAR(9)," "),CHAR(160)," "),"."," "),","," "),"-"," "),"/"," "),"("," "),")"," "),":"," "),";"," "),"_"," "),"–"," "),"?"," "),"!"," "),"*"," "),"["," "),"]"," "),"'"," "),"#"," "),"+"," "),"&amp;"," "),"\"," "))&amp;" "</f>
        <v>  </v>
      </c>
      <c r="BD411" s="61" t="str">
        <f aca="false">" "&amp;TRIM(SUBSTITUTE(SUBSTITUTE(SUBSTITUTE(SUBSTITUTE(SUBSTITUTE(SUBSTITUTE(SUBSTITUTE(SUBSTITUTE(SUBSTITUTE(SUBSTITUTE(SUBSTITUTE(SUBSTITUTE(SUBSTITUTE(SUBSTITUTE(SUBSTITUTE(SUBSTITUTE(SUBSTITUTE(SUBSTITUTE(SUBSTITUTE(SUBSTITUTE(SUBSTITUTE(SUBSTITUTE(SUBSTITUTE(SUBSTITUTE(LOWER(Z411&amp;""),CHAR(10)," "),CHAR(13)," "),CHAR(9)," "),CHAR(160)," "),"."," "),","," "),"-"," "),"/"," "),"("," "),")"," "),":"," "),";"," "),"_"," "),"–"," "),"?"," "),"!"," "),"*"," "),"["," "),"]"," "),"'"," "),"#"," "),"+"," "),"&amp;"," "),"\"," "))&amp;" "</f>
        <v>  </v>
      </c>
      <c r="BE411" s="61" t="str">
        <f aca="false">" "&amp;TRIM(SUBSTITUTE(SUBSTITUTE(SUBSTITUTE(SUBSTITUTE(SUBSTITUTE(SUBSTITUTE(SUBSTITUTE(SUBSTITUTE(SUBSTITUTE(SUBSTITUTE(SUBSTITUTE(SUBSTITUTE(SUBSTITUTE(SUBSTITUTE(SUBSTITUTE(SUBSTITUTE(SUBSTITUTE(SUBSTITUTE(SUBSTITUTE(SUBSTITUTE(SUBSTITUTE(SUBSTITUTE(SUBSTITUTE(SUBSTITUTE(LOWER(W411&amp;""),CHAR(10)," "),CHAR(13)," "),CHAR(9)," "),CHAR(160)," "),"."," "),","," "),"-"," "),"/"," "),"("," "),")"," "),":"," "),";"," "),"_"," "),"–"," "),"?"," "),"!"," "),"*"," "),"["," "),"]"," "),"'"," "),"#"," "),"+"," "),"&amp;"," "),"\"," "))&amp;" "</f>
        <v>  </v>
      </c>
      <c r="BF411" s="61" t="str">
        <f aca="false">" "&amp;TRIM(SUBSTITUTE(SUBSTITUTE(SUBSTITUTE(SUBSTITUTE(SUBSTITUTE(SUBSTITUTE(SUBSTITUTE(SUBSTITUTE(SUBSTITUTE(SUBSTITUTE(SUBSTITUTE(SUBSTITUTE(SUBSTITUTE(SUBSTITUTE(SUBSTITUTE(SUBSTITUTE(SUBSTITUTE(SUBSTITUTE(SUBSTITUTE(SUBSTITUTE(SUBSTITUTE(SUBSTITUTE(SUBSTITUTE(SUBSTITUTE(LOWER(AC411&amp;""),CHAR(10)," "),CHAR(13)," "),CHAR(9)," "),CHAR(160)," "),"."," "),","," "),"-"," "),"/"," "),"("," "),")"," "),":"," "),";"," "),"_"," "),"–"," "),"?"," "),"!"," "),"*"," "),"["," "),"]"," "),"'"," "),"#"," "),"+"," "),"&amp;"," "),"\"," "))&amp;" "</f>
        <v>  </v>
      </c>
      <c r="BG411" s="61" t="n">
        <f aca="false">IFERROR(IF(AND(TRIM(U411)="Pass",SUMPRODUCT((LEN(BC411)-LEN(SUBSTITUTE(BC411," "&amp;L_ResultBad&amp;" "," ")))/(LEN(L_ResultBad)+1))&gt;SUMPRODUCT((LEN(BC411)-LEN(SUBSTITUTE(BC411," "&amp;L_NegPhrase&amp;" "," ")))/(LEN(L_NegPhrase)+1))),1,0),0)</f>
        <v>0</v>
      </c>
      <c r="BH411" s="61" t="n">
        <f aca="false">IFERROR(IF(SUMPRODUCT((LEN(BC411)-LEN(SUBSTITUTE(BC411," "&amp;L_Pending&amp;" "," ")))/(LEN(L_Pending)+1))&gt;SUMPRODUCT((LEN(BC411)-LEN(SUBSTITUTE(BC411," "&amp;L_PendNeg&amp;" "," ")))/(LEN(L_PendNeg)+1)),1,0),1)</f>
        <v>0</v>
      </c>
      <c r="BI411" s="61" t="n">
        <f aca="false">IFERROR(IF(SUMPRODUCT((LEN(BD411)-LEN(SUBSTITUTE(BD411," "&amp;L_PendStrict&amp;" "," ")))/(LEN(L_PendStrict)+1))&gt;SUMPRODUCT((LEN(BD411)-LEN(SUBSTITUTE(BD411," "&amp;L_PendNeg&amp;" "," ")))/(LEN(L_PendNeg)+1)),1,0),1)</f>
        <v>0</v>
      </c>
      <c r="BJ411" s="61" t="n">
        <f aca="false">IFERROR(IF(SUMPRODUCT((LEN(BE411)-LEN(SUBSTITUTE(BE411," "&amp;L_Pending&amp;" "," ")))/(LEN(L_Pending)+1))&gt;SUMPRODUCT((LEN(BE411)-LEN(SUBSTITUTE(BE411," "&amp;L_PendNeg&amp;" "," ")))/(LEN(L_PendNeg)+1)),1,0),1)</f>
        <v>0</v>
      </c>
      <c r="BK411" s="61" t="n">
        <f aca="false">IFERROR(IF(SUMPRODUCT((LEN(BF411)-LEN(SUBSTITUTE(BF411," "&amp;L_PendStrict&amp;" "," ")))/(LEN(L_PendStrict)+1))&gt;SUMPRODUCT((LEN(BF411)-LEN(SUBSTITUTE(BF411," "&amp;L_PendNeg&amp;" "," ")))/(LEN(L_PendNeg)+1)),1,0),1)</f>
        <v>0</v>
      </c>
      <c r="BL411" s="61" t="n">
        <f aca="false">IF(ISNA(MATCH(TRIM(S411),L_EvidenceType,0)),0,BZ411)</f>
        <v>0</v>
      </c>
      <c r="BM411" s="61" t="str">
        <f aca="false">SUBSTITUTE(SUBSTITUTE(SUBSTITUTE(SUBSTITUTE(SUBSTITUTE(SUBSTITUTE(SUBSTITUTE(SUBSTITUTE(SUBSTITUTE(LOWER(Z411&amp;""),"1","0"),"2","0"),"3","0"),"4","0"),"5","0"),"6","0"),"7","0"),"8","0"),"9","0")</f>
        <v/>
      </c>
      <c r="BN411" s="61" t="str">
        <f aca="false">SUBSTITUTE(SUBSTITUTE(SUBSTITUTE(SUBSTITUTE(SUBSTITUTE(SUBSTITUTE(SUBSTITUTE(SUBSTITUTE(SUBSTITUTE(SUBSTITUTE(SUBSTITUTE(SUBSTITUTE(SUBSTITUTE(SUBSTITUTE(SUBSTITUTE(SUBSTITUTE(SUBSTITUTE(SUBSTITUTE(SUBSTITUTE(SUBSTITUTE(SUBSTITUTE(SUBSTITUTE(SUBSTITUTE(SUBSTITUTE(SUBSTITUTE(BM411,"b","a"),"c","a"),"d","a"),"e","a"),"f","a"),"g","a"),"h","a"),"i","a"),"j","a"),"k","a"),"l","a"),"m","a"),"n","a"),"o","a"),"p","a"),"q","a"),"r","a"),"s","a"),"t","a"),"u","a"),"v","a"),"w","a"),"x","a"),"y","a"),"z","a")</f>
        <v/>
      </c>
      <c r="BO411" s="61" t="str">
        <f aca="false">SUBSTITUTE(SUBSTITUTE(SUBSTITUTE(SUBSTITUTE(SUBSTITUTE(SUBSTITUTE(SUBSTITUTE(SUBSTITUTE(SUBSTITUTE(LOWER(W411&amp;""),"1","0"),"2","0"),"3","0"),"4","0"),"5","0"),"6","0"),"7","0"),"8","0"),"9","0")</f>
        <v/>
      </c>
      <c r="BP411" s="61" t="str">
        <f aca="false">SUBSTITUTE(SUBSTITUTE(SUBSTITUTE(SUBSTITUTE(SUBSTITUTE(SUBSTITUTE(SUBSTITUTE(SUBSTITUTE(SUBSTITUTE(SUBSTITUTE(SUBSTITUTE(SUBSTITUTE(SUBSTITUTE(SUBSTITUTE(SUBSTITUTE(SUBSTITUTE(SUBSTITUTE(SUBSTITUTE(SUBSTITUTE(SUBSTITUTE(SUBSTITUTE(SUBSTITUTE(SUBSTITUTE(SUBSTITUTE(SUBSTITUTE(BO411,"b","a"),"c","a"),"d","a"),"e","a"),"f","a"),"g","a"),"h","a"),"i","a"),"j","a"),"k","a"),"l","a"),"m","a"),"n","a"),"o","a"),"p","a"),"q","a"),"r","a"),"s","a"),"t","a"),"u","a"),"v","a"),"w","a"),"x","a"),"y","a"),"z","a")</f>
        <v/>
      </c>
      <c r="BQ411" s="61" t="n">
        <f aca="false">IFERROR(IF(AND(ISERROR(SEARCH(" mh"," "&amp;LOWER(W411))),ISNA(MATCH(LEFT(TRIM(BP411),255),{"0000a","000a","00a","0000aa","000aa","00aa","0aa","0000aaa","000aaa","00a00","0a00","0000-0000","00:00","a00","a0","00.00.0000","00/00/0000","00-00-0000","0000-00-00","0000/00/00","0000.00.00","00.00.00","00/00/00","00-00-00","0.00.0000","0/00/0000","0-00-0000"},0)),ISNA(MATCH(LEFT(TRIM(CA411),255),{"0000a","000a","00a","0000aa","000aa","00aa","0aa","0000aaa","000aaa","00a00","0a00","0000-0000","00:00","a00","a0","00.00.0000","00/00/0000","00-00-0000","0000-00-00","0000/00/00","0000.00.00","00.00.00","00/00/00","00-00-00","0.00.0000","0/00/0000","0-00-0000"},0)),LEN(CB411)&gt;=3,NOT(OR(SUBSTITUTE(CB411,"0","")="",AND(LEN(CB411)&gt;=4,CB411=REPT(LEFT(CB411),LEN(CB411))),ISNUMBER(MATCH(CB411,{"123","1234","12345","123456","1234567","12345678","0123","01234","012345","98765","987654","54321"},0)),AND(LEN(CB411)=8,LEFT(CB411,3)="202"))),OR(AND((LEN(CA411)-LEN(SUBSTITUTE(CA411,"a","")))&gt;=1,SUMPRODUCT(--ISNUMBER(SEARCH({"a0","a-0","a_0","a/0","a.0","a#0","0a","0-a","0_a","0/a"},BP411)))&gt;0),ISNUMBER(SEARCH("000000",BP411)))),1,0),0)</f>
        <v>0</v>
      </c>
      <c r="BR411" s="61" t="n">
        <f aca="false">IFERROR(LEN(SUBSTITUTE(CC411," ",""))-SUMPRODUCT((LEN(CC411)-LEN(SUBSTITUTE(CC411," "&amp;L_Role&amp;" "," ")))/(LEN(L_Role)+1)*LEN(L_Role)),0)</f>
        <v>0</v>
      </c>
      <c r="BS411" s="61" t="n">
        <f aca="false">IFERROR(LEN(SUBSTITUTE(CD411," ",""))-SUMPRODUCT((LEN(CD411)-LEN(SUBSTITUTE(CD411," "&amp;L_Role&amp;" "," ")))/(LEN(L_Role)+1)*LEN(L_Role)),0)</f>
        <v>0</v>
      </c>
      <c r="BT4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411,"revision",""),"version",""),"jan",""),"feb",""),"mar",""),"apr",""),"may",""),"jun",""),"jul",""),"aug",""),"sep",""),"oct",""),"nov",""),"dec",""),"utc",""),"gmt",""),"myt",""),"bst",""),"rev",""),"ver",""),"b","a"),"c","a"),"d","a"),"e","a"),"f","a"),"g","a"),"h","a"),"i","a"),"j","a"),"k","a"),"l","a"),"m","a"),"n","a"),"o","a"),"p","a"),"q","a"),"r","a"),"s","a"),"t","a"),"u","a"),"v","a"),"w","a"),"x","a"),"y","a"),"z","a")</f>
        <v/>
      </c>
      <c r="BU411" s="61" t="str">
        <f aca="false">SUBSTITUTE(SUBSTITUTE(SUBSTITUTE(SUBSTITUTE(SUBSTITUTE(SUBSTITUTE(SUBSTITUTE(SUBSTITUTE(SUBSTITUTE(SUBSTITUTE(LEFT(BM411,FIND("0",BM411&amp;"0")-1),"-",""),"_",""),"/",""),".",""),"#",""),"\\",""),":","")," ",""),"(",""),")","")</f>
        <v/>
      </c>
      <c r="BV411" s="61" t="n">
        <f aca="false">IFERROR(IF(OR(SUMPRODUCT((LEN(BC411)-LEN(SUBSTITUTE(BC411," "&amp;L_NotLoaded&amp;" "," ")))/(LEN(L_NotLoaded)+1))&gt;SUMPRODUCT((LEN(BC411)-LEN(SUBSTITUTE(BC411," "&amp;L_NotLoadedNeg&amp;" "," ")))/(LEN(L_NotLoadedNeg)+1)),SUMPRODUCT((LEN(BD411)-LEN(SUBSTITUTE(BD411," "&amp;L_NotLoaded&amp;" "," ")))/(LEN(L_NotLoaded)+1))&gt;SUMPRODUCT((LEN(BD411)-LEN(SUBSTITUTE(BD411," "&amp;L_NotLoadedNeg&amp;" "," ")))/(LEN(L_NotLoadedNeg)+1))),1,0),0)</f>
        <v>0</v>
      </c>
      <c r="BW4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411&amp;""),"a",""),"b",""),"c",""),"d",""),"e",""),"f",""),"g",""),"h",""),"i",""),"j",""),"k",""),"l",""),"m",""),"n",""),"o",""),"p",""),"q",""),"r",""),"s",""),"t",""),"u",""),"v",""),"w",""),"x",""),"y",""),"z",""),"-",""),"_",""),"/",""),".",""),"#",""),"\\",""),":","")," ",""),"(",""),")","")</f>
        <v/>
      </c>
      <c r="BX411" s="61" t="str">
        <f aca="false">SUBSTITUTE(SUBSTITUTE(SUBSTITUTE(SUBSTITUTE(SUBSTITUTE(SUBSTITUTE(SUBSTITUTE(SUBSTITUTE(SUBSTITUTE(SUBSTITUTE(SUBSTITUTE(BM411,"0",""),"-",""),"_",""),"/",""),".",""),"#",""),"\\",""),":","")," ",""),"(",""),")","")</f>
        <v/>
      </c>
      <c r="BY411" s="62" t="n">
        <f aca="false">IF(ISNUMBER(Flights!$AZ$16),MAX(Q411-UpliftWindowH/24,Flights!$AZ$16),Q411-UpliftWindowH/24)</f>
        <v>46307.3506944444</v>
      </c>
      <c r="BZ411" s="61" t="n">
        <f aca="false">IFERROR(IF(IF(TRIM(S411)="Link / file path",AND(LEN(TRIM(Z411))&gt;=5,SUMPRODUCT(--ISNUMBER(SEARCH({"http","www.","\\",":\",".pdf",".jpg",".jpeg",".png",".heic",".xls",".doc",".msg",".eml",".ppt",".txt",".zip"},Z411)))&gt;0),AND(ISERROR(FIND(" ",TRIM(Z411))),NOT(OR(SUMPRODUCT(--ISNUMBER(FIND({",",";","&amp;","+"},Z411)))&gt;0,SUMPRODUCT(--ISNUMBER(SEARCH({"0/aa","0\\aa"},BN411)))&gt;0)),NOT(SUMPRODUCT(--ISNUMBER(SEARCH({"http","www.","\\",":\",".pdf",".jpg",".jpeg",".png",".heic",".xls",".doc",".msg",".eml",".ppt",".txt",".zip"},Z411)))&gt;0),NOT(LOWER(TRIM(Z411))=LOWER(Flights!$F$16)),ISNA(MATCH(BU411,{"mh","rev","revision","ver","version","v","r","a","b","seat","tray","row","gate","bay","stand","page","pg","item","line","no","cart","galley","flight","flt","table","box","bag","oven","etd","eta","std","sta","atd","ata","qty","pax","x","time","tel","ph","mob","day","wk","week","utc","gmt","myt","lt"},0)),NOT(OR(ISNUMBER(MATCH(LEFT(BN411,255),{"0000a","000a","00a","0000aa","000aa","00aa","0aa","0000aaa","000aaa","00a00","0a00","0000-0000","00:00","a00","a0","00.00.0000","00/00/0000","00-00-0000","0000-00-00","0000/00/00","0000.00.00","00.00.00","00/00/00","00-00-00","0.00.0000","0/00/0000","0-00-0000"},0)),ISNUMBER(MATCH(LEFT(BT411,255),{"0000a","000a","00a","0000aa","000aa","00aa","0aa","0000aaa","000aaa","00a00","0a00","0000-0000","00:00","a00","a0","00.00.0000","00/00/0000","00-00-0000","0000-00-00","0000/00/00","0000.00.00","00.00.00","00/00/00","00-00-00","0.00.0000","0/00/0000","0-00-0000"},0)))),NOT(OR(AND(BW411&lt;&gt;"",SUBSTITUTE(BW411,"0","")=""),AND(LEN(BW411)&gt;=4,BW411=REPT(LEFT(BW411),LEN(BW411))),ISNUMBER(MATCH(BW411,{"123","1234","12345","123456","1234567","12345678","0123","01234","012345","98765","987654","54321"},0)),ISNUMBER(MATCH(BX411,{"x","xx","xxx","xxxx","xxxxx","abc","abcd","nil","na","nan","test","tbc","tba","tbd","dummy","sample","example","eg","zz","zzz","none","null","xyz","qwe","asd","id","ref"},0)),AND(LEN(BW411)=8,BX411="",OR(LEFT(BW411,3)="202",ISNUMBER(MATCH(RIGHT(BW411,4),{"2025","2026","2027"},0)))))),OR(AND((LEN(BT411)-LEN(SUBSTITUTE(BT411,"a","")))&gt;=1,(LEN(BN411)-LEN(SUBSTITUTE(BN411,"0","")))&gt;=2,SUMPRODUCT(--ISNUMBER(SEARCH({"a0","a-0","a_0","a/0","a.0","a#0","0a","0-a","0_a","0/a"},BN411)))&gt;0),AND((LEN(BN411)-LEN(SUBSTITUTE(BN411,"a","")))=0,(LEN(BN411)-LEN(SUBSTITUTE(BN411,"0","")))&gt;=5)))),1,0),0)</f>
        <v>0</v>
      </c>
      <c r="CA4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411,"revision",""),"version",""),"jan",""),"feb",""),"mar",""),"apr",""),"may",""),"jun",""),"jul",""),"aug",""),"sep",""),"oct",""),"nov",""),"dec",""),"utc",""),"gmt",""),"myt",""),"bst",""),"rev",""),"ver",""),"b","a"),"c","a"),"d","a"),"e","a"),"f","a"),"g","a"),"h","a"),"i","a"),"j","a"),"k","a"),"l","a"),"m","a"),"n","a"),"o","a"),"p","a"),"q","a"),"r","a"),"s","a"),"t","a"),"u","a"),"v","a"),"w","a"),"x","a"),"y","a"),"z","a")</f>
        <v/>
      </c>
      <c r="CB4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411&amp;""),"a",""),"b",""),"c",""),"d",""),"e",""),"f",""),"g",""),"h",""),"i",""),"j",""),"k",""),"l",""),"m",""),"n",""),"o",""),"p",""),"q",""),"r",""),"s",""),"t",""),"u",""),"v",""),"w",""),"x",""),"y",""),"z",""),"-",""),"_",""),"/",""),".",""),"#",""),"\\",""),":","")," ",""),"(",""),")","")</f>
        <v/>
      </c>
      <c r="CC411" s="0" t="str">
        <f aca="false">" "&amp;TRIM(SUBSTITUTE(SUBSTITUTE(SUBSTITUTE(SUBSTITUTE(SUBSTITUTE(SUBSTITUTE(SUBSTITUTE(SUBSTITUTE(SUBSTITUTE(SUBSTITUTE(SUBSTITUTE(SUBSTITUTE(SUBSTITUTE(SUBSTITUTE(SUBSTITUTE(SUBSTITUTE(SUBSTITUTE(SUBSTITUTE(SUBSTITUTE(SUBSTITUTE(SUBSTITUTE(SUBSTITUTE(SUBSTITUTE(SUBSTITUTE(LOWER(T411&amp;""),CHAR(10)," "),CHAR(13)," "),CHAR(9)," "),CHAR(160)," "),"."," "),","," "),"-"," "),"/"," "),"("," "),")"," "),":"," "),";"," "),"_"," "),"–"," "),"?"," "),"!"," "),"*"," "),"["," "),"]"," "),"'"," "),"#"," "),"+"," "),"&amp;"," "),"\"," "))&amp;" "</f>
        <v>  </v>
      </c>
      <c r="CD411" s="0" t="str">
        <f aca="false">" "&amp;TRIM(SUBSTITUTE(SUBSTITUTE(SUBSTITUTE(SUBSTITUTE(SUBSTITUTE(SUBSTITUTE(SUBSTITUTE(SUBSTITUTE(SUBSTITUTE(SUBSTITUTE(SUBSTITUTE(SUBSTITUTE(SUBSTITUTE(SUBSTITUTE(SUBSTITUTE(SUBSTITUTE(SUBSTITUTE(SUBSTITUTE(SUBSTITUTE(SUBSTITUTE(SUBSTITUTE(SUBSTITUTE(SUBSTITUTE(SUBSTITUTE(LOWER(AE411&amp;""),CHAR(10)," "),CHAR(13)," "),CHAR(9)," "),CHAR(160)," "),"."," "),","," "),"-"," "),"/"," "),"("," "),")"," "),":"," "),";"," "),"_"," "),"–"," "),"?"," "),"!"," "),"*"," "),"["," "),"]"," "),"'"," "),"#"," "),"+"," "),"&amp;"," "),"\"," "))&amp;" "</f>
        <v>  </v>
      </c>
      <c r="CE411" s="68" t="n">
        <f aca="false">IFERROR(IF(AND(LEN(AU411)&gt;0,LEN(AU411)=LEN(AX411),OR(TRIM(MID(SUBSTITUTE(TRIM(CC411)," ",REPT(" ",60)),1,60))="",ISNUMBER(SEARCH(" "&amp;TRIM(MID(SUBSTITUTE(TRIM(CC411)," ",REPT(" ",60)),1,60))&amp;" ",CD411))),OR(TRIM(MID(SUBSTITUTE(TRIM(CC411)," ",REPT(" ",60)),61,60))="",ISNUMBER(SEARCH(" "&amp;TRIM(MID(SUBSTITUTE(TRIM(CC411)," ",REPT(" ",60)),61,60))&amp;" ",CD411))),OR(TRIM(MID(SUBSTITUTE(TRIM(CC411)," ",REPT(" ",60)),121,60))="",ISNUMBER(SEARCH(" "&amp;TRIM(MID(SUBSTITUTE(TRIM(CC411)," ",REPT(" ",60)),121,60))&amp;" ",CD411)))),1,0),0)</f>
        <v>0</v>
      </c>
      <c r="CG411" s="68" t="n">
        <f aca="false">IFERROR(LEN(SUBSTITUTE(BF411," ",""))-SUMPRODUCT((LEN(BF411)-LEN(SUBSTITUTE(BF411," "&amp;L_NAFiller&amp;" "," ")))/(LEN(L_NAFiller)+1)*LEN(L_NAFiller)),0)</f>
        <v>0</v>
      </c>
    </row>
    <row r="412" customFormat="false" ht="39.75" hidden="false" customHeight="true" outlineLevel="0" collapsed="false">
      <c r="A412" s="57" t="s">
        <v>1044</v>
      </c>
      <c r="B412" s="57" t="s">
        <v>261</v>
      </c>
      <c r="C412" s="57" t="str">
        <f aca="false">Flights!$F$16</f>
        <v>MH0139</v>
      </c>
      <c r="D412" s="58" t="n">
        <f aca="false">Flights!$D$16</f>
        <v>46307</v>
      </c>
      <c r="E412" s="57" t="str">
        <f aca="false">Flights!$G$16&amp;"-"&amp;Flights!$H$16</f>
        <v>KUL-ADL</v>
      </c>
      <c r="F412" s="57" t="str">
        <f aca="false">Flights!$K$16</f>
        <v>BC</v>
      </c>
      <c r="G412" s="57" t="s">
        <v>459</v>
      </c>
      <c r="H412" s="57" t="s">
        <v>460</v>
      </c>
      <c r="I412" s="57" t="s">
        <v>428</v>
      </c>
      <c r="J412" s="57" t="s">
        <v>465</v>
      </c>
      <c r="K412" s="67" t="s">
        <v>426</v>
      </c>
      <c r="L412" s="67" t="s">
        <v>462</v>
      </c>
      <c r="M412" s="67"/>
      <c r="N412" s="67" t="s">
        <v>383</v>
      </c>
      <c r="O412" s="67" t="s">
        <v>463</v>
      </c>
      <c r="P412" s="57" t="s">
        <v>187</v>
      </c>
      <c r="Q412" s="59" t="n">
        <f aca="false">ROUND((Flights!$AF$16)*1440,0)/1440</f>
        <v>46307.6006944444</v>
      </c>
      <c r="R412" s="59" t="n">
        <f aca="false">Q412+(IF(AND(INDEX(TZ_DSTS,MATCH(P412,TZ_STN,0))&lt;&gt;"",Q412&gt;=INDEX(TZ_DSTS,MATCH(P412,TZ_STN,0)),Q412&lt;INDEX(TZ_DSTE,MATCH(P412,TZ_STN,0))),INDEX(TZ_DST,MATCH(P412,TZ_STN,0)),INDEX(TZ_STD,MATCH(P412,TZ_STN,0))))/24</f>
        <v>46307.9340277778</v>
      </c>
      <c r="S412" s="60"/>
      <c r="T412" s="60"/>
      <c r="U412" s="60"/>
      <c r="V412" s="60"/>
      <c r="W412" s="61"/>
      <c r="X412" s="60"/>
      <c r="Y412" s="60"/>
      <c r="Z412" s="60"/>
      <c r="AA412" s="60"/>
      <c r="AB412" s="60"/>
      <c r="AC412" s="60"/>
      <c r="AD412" s="66"/>
      <c r="AE412" s="60"/>
      <c r="AF412" s="61" t="str">
        <f aca="false">IF(AND(ISNUMBER(X412),ISNUMBER(Y412)),Y412-X412,"")</f>
        <v/>
      </c>
      <c r="AG412" s="62" t="str">
        <f aca="false">IF(ISNUMBER(AD412),AD412-(IF(AND(INDEX(TZ_DSTS,MATCH(P412,TZ_STN,0))&lt;&gt;"",(AD412-INDEX(TZ_STD,MATCH(P412,TZ_STN,0))/24)&gt;=INDEX(TZ_DSTS,MATCH(P412,TZ_STN,0)),(AD412-INDEX(TZ_STD,MATCH(P412,TZ_STN,0))/24)&lt;INDEX(TZ_DSTE,MATCH(P412,TZ_STN,0))),INDEX(TZ_DST,MATCH(P412,TZ_STN,0)),INDEX(TZ_STD,MATCH(P412,TZ_STN,0))))/24,"")</f>
        <v/>
      </c>
      <c r="AH412" s="65" t="str">
        <f aca="false">IFERROR(IF(N412="N/A – rule",IF(OR(TRIM(U412)="",TRIM(U412)="N/A",TRIM(U412)="Not started"),"N/A – RULE","INVALID – this check does not apply to this aircraft: clear the status (or correct the fleet on Flights)"),IF(TRIM(U412)="N/A",IF(AT412=0,"INVALID – N/A not permitted for this check",IF(AND(TRIM(AB412)&lt;&gt;"",TRIM(AB412)&lt;&gt;"Closed"),"INVALID – corrective action still open",IF(AND(NOT(OR(LEN(AZ412)&lt;15,ISNUMBER(MATCH(AZ412,L_Placeholder,0)))),BK412=0,CG412&gt;=8,NOT(OR(LEN(AU412)&lt;2,ISNUMBER(MATCH(AU412,L_Placeholder,0)))),BR412&gt;=3,NOT(OR(LEN(AX412)&lt;2,ISNUMBER(MATCH(AX412,L_Placeholder,0)))),BS412&gt;=3,TRIM(AE412)&lt;&gt;TRIM(T412),AX412&lt;&gt;AU412,CE412=0),"N/A – JUSTIFIED","INVALID – N/A needs a real, settled reason (not 'not applicable' / 'as above' / TBC), a named PIC and a different named verifier"))),IF(OR(TRIM(U412)="Pass",TRIM(U412)="Pass after CA"),IF(NOT(ISNUMBER(AD412)),"INVALID – completion time missing",IF(OR(OR(LEN(AU412)&lt;2,ISNUMBER(MATCH(AU412,L_Placeholder,0))),BR412&lt;3),"INVALID – PIC missing or not a named person (a role such as QA / CSM is not a name)",IF(OR(LEN(AV412)&lt;2,ISNUMBER(MATCH(AV412,L_Placeholder,0))),"INVALID – result / assessment missing",IF(OR(OR(LEN(AW412)&lt;3,ISNUMBER(MATCH(AW412,L_Placeholder,0))),SUMPRODUCT(--ISNUMBER(SEARCH(" "&amp;L_EvidencePhrase&amp;" ",BD412)))&gt;0,BI412=1),"INVALID – evidence missing, placeholder or not yet on file",IF(ISNA(MATCH(TRIM(S412),L_EvidenceType,0)),"INVALID – choose the evidence type from the list (column S)",IF(BL412=0,"INVALID – evidence ID must be the record's own ID only (e.g. SF-2210, IMG_2231, 1045521); a link / file name needs type 'Link / file path'",IF(OR(OR(LEN(AX412)&lt;2,ISNUMBER(MATCH(AX412,L_Placeholder,0))),BS412&lt;3),"INVALID – verifier missing or not a named person (a role such as QA / CSM is not a name)",IF(OR(AX412=AU412,CE412=1,AND(LEN(AU412)&gt;=4,ISNUMBER(SEARCH(AU412,AX412))),AND(LEN(AX412)&gt;=4,ISNUMBER(SEARCH(AX412,AU412)))),"INVALID – verifier must be a different, named person (not the PIC or a role)",IF(BH412=1,"INVALID – result not yet available (awaiting / TBC)",IF(BG412=1,"INVALID – result describes a problem: record Fail, then Pass after CA (or reword if it is not a problem)",IF(BV412=1,"INVALID – wording says not on board: an on-board confirmation needs the item loaded",IF(AND(AQ412=1,OR(OR(LEN(AY412)&lt;3,ISNUMBER(MATCH(AY412,L_Placeholder,0))),BJ412=1,BQ412=0)),"INVALID – batch ID missing, placeholder or not an ID (e.g. PASB-261008-BC-017)",IF(AND(AR412=1,OR(NOT(ISNUMBER(X412)),NOT(ISNUMBER(Y412)))),"INVALID – expected/actual qty missing",IF(AND(AR412=1,OR(X412&lt;=0,Y412&lt;0)),"INVALID – expected qty must be above 0 and actual not negative",IF(AH395="N/A – JUSTIFIED","INVALID – preparation row F12-T12-06 is N/A",IF(AND(AR412=1,ISNUMBER(X395),X412&lt;&gt;X395,TRIM(U412)&lt;&gt;"Pass after CA"),"INVALID – expected qty differs from preparation check F12-T12-06: record the load change as a corrective action (Pass after CA)",IF(BB412&lt;&gt;"",BB412,IF(AND(AS412=1,Documents!$J$16&lt;&gt;"ON FILE"),"INVALID – GLD not on file (Documents sheet)",IF(AND(AS412=2,Documents!$O$16&lt;&gt;"ON FILE"),"INVALID – menu checklist not on file (Documents sheet)",IF(AND(AS412=3,NOT(ISNUMBER(Flights!$AX$16))),"INVALID – enter carrying flight KUL departure (Flights AX)",IF(AND(AS412=3,OR(Flights!$AZ$16&gt;Flights!$AA$16,Flights!$AX$16&lt;Flights!$AA$16-3)),"INVALID – carrying flight (Flights AX) cannot arrive before this leg's STD, or is over 3 days early",IF(AG412&gt;AsOfUTC,"INVALID – completion time is in the future",IF(AND(ISNUMBER(BY412),AG412&lt;BY412),IF(H412="Physical uplift","INVALID – before uplift window (cannot confirm loading)","INVALID – before valid window"),IF(AG412&gt;Flights!$AA$16,"INVALID – completed after departure (cannot establish readiness)",IF(AND(H412="Preparation",AG412&gt;=IF(ISNUMBER(Flights!$BA$16),MIN(Flights!$BA$16,Flights!$AA$16),Flights!$AA$16)),"INVALID – completed after loading / departure (cannot establish readiness)",IF(AND(H412="Physical uplift",AG412&gt;Q412),"INVALID – recorded after the loading flight departed",IF(AG412&gt;Q412,"COMPLETE – LATE","COMPLETE"))))))))))))))))))))))))))),IF(TRIM(U412)="Fail","FAIL – DISCREPANCY",IF(AND(TRIM(U412)&lt;&gt;"",TRIM(U412)&lt;&gt;"Not started",TRIM(U412)&lt;&gt;"In progress"),"INVALID – unrecognised status (use the list)",IF(AsOfUTC&gt;Q412,"OVERDUE",IF(N412="Clarification required","OPEN – CLARIFICATION","OPEN"))))))),"INVALID – error value in an input cell")</f>
        <v>OPEN</v>
      </c>
      <c r="AI412" s="61" t="n">
        <f aca="false">IF(OR(AH412="N/A – RULE",AH412="N/A – JUSTIFIED"),0,1)</f>
        <v>1</v>
      </c>
      <c r="AJ412" s="61" t="n">
        <f aca="false">IF(LEFT(AH412,8)="COMPLETE",1,0)</f>
        <v>0</v>
      </c>
      <c r="AK412" s="61" t="n">
        <f aca="false">IF(AND(AI412=1,AJ412=0,AsOfUTC&gt;Q412),1,0)</f>
        <v>0</v>
      </c>
      <c r="AL412" s="61" t="n">
        <f aca="false">IFERROR(IF(AND(AI412=1,OR(TRIM(U412)="Fail",AND(TRIM(AB412)&lt;&gt;"",TRIM(AB412)&lt;&gt;"Closed"),AND(ISNUMBER(AF412),AF412&lt;&gt;0,TRIM(U412)&lt;&gt;"Pass after CA"))),1,0),1)</f>
        <v>0</v>
      </c>
      <c r="AM412" s="61" t="n">
        <f aca="false">IF(LEFT(AH412,7)="INVALID",1,0)</f>
        <v>0</v>
      </c>
      <c r="AN412" s="61" t="n">
        <f aca="false">IF(AND(N412="Clarification required",AI412=1,AJ412=0),1,0)</f>
        <v>0</v>
      </c>
      <c r="AO412" s="61" t="str">
        <f aca="false">IF(AK412=1,SUM(AK$5:AK412),"")</f>
        <v/>
      </c>
      <c r="AP412" s="61" t="str">
        <f aca="false">IF(AL412=1,SUM(AL$5:AL412),"")</f>
        <v/>
      </c>
      <c r="AQ412" s="61" t="n">
        <v>0</v>
      </c>
      <c r="AR412" s="61" t="n">
        <v>1</v>
      </c>
      <c r="AS412" s="61" t="n">
        <v>0</v>
      </c>
      <c r="AT412" s="61" t="n">
        <v>0</v>
      </c>
      <c r="AU412" s="61" t="str">
        <f aca="false">SUBSTITUTE(SUBSTITUTE(SUBSTITUTE(SUBSTITUTE(SUBSTITUTE(SUBSTITUTE(SUBSTITUTE(SUBSTITUTE(SUBSTITUTE(SUBSTITUTE(SUBSTITUTE(SUBSTITUTE(SUBSTITUTE(SUBSTITUTE(SUBSTITUTE(SUBSTITUTE(LOWER(T412&amp;""),CHAR(10),""),CHAR(13),""),CHAR(9),""),CHAR(160),"")," ",""),".",""),"-",""),"/",""),"?",""),"_",""),",",""),"[",""),"]",""),"(",""),")",""),"*","")</f>
        <v/>
      </c>
      <c r="AV412" s="61" t="str">
        <f aca="false">SUBSTITUTE(SUBSTITUTE(SUBSTITUTE(SUBSTITUTE(SUBSTITUTE(SUBSTITUTE(SUBSTITUTE(SUBSTITUTE(SUBSTITUTE(SUBSTITUTE(SUBSTITUTE(SUBSTITUTE(SUBSTITUTE(SUBSTITUTE(SUBSTITUTE(SUBSTITUTE(LOWER(V412&amp;""),CHAR(10),""),CHAR(13),""),CHAR(9),""),CHAR(160),"")," ",""),".",""),"-",""),"/",""),"?",""),"_",""),",",""),"[",""),"]",""),"(",""),")",""),"*","")</f>
        <v/>
      </c>
      <c r="AW412" s="61" t="str">
        <f aca="false">SUBSTITUTE(SUBSTITUTE(SUBSTITUTE(SUBSTITUTE(SUBSTITUTE(SUBSTITUTE(SUBSTITUTE(SUBSTITUTE(SUBSTITUTE(SUBSTITUTE(SUBSTITUTE(SUBSTITUTE(SUBSTITUTE(SUBSTITUTE(SUBSTITUTE(SUBSTITUTE(LOWER(Z412&amp;""),CHAR(10),""),CHAR(13),""),CHAR(9),""),CHAR(160),"")," ",""),".",""),"-",""),"/",""),"?",""),"_",""),",",""),"[",""),"]",""),"(",""),")",""),"*","")</f>
        <v/>
      </c>
      <c r="AX412" s="61" t="str">
        <f aca="false">SUBSTITUTE(SUBSTITUTE(SUBSTITUTE(SUBSTITUTE(SUBSTITUTE(SUBSTITUTE(SUBSTITUTE(SUBSTITUTE(SUBSTITUTE(SUBSTITUTE(SUBSTITUTE(SUBSTITUTE(SUBSTITUTE(SUBSTITUTE(SUBSTITUTE(SUBSTITUTE(LOWER(AE412&amp;""),CHAR(10),""),CHAR(13),""),CHAR(9),""),CHAR(160),"")," ",""),".",""),"-",""),"/",""),"?",""),"_",""),",",""),"[",""),"]",""),"(",""),")",""),"*","")</f>
        <v/>
      </c>
      <c r="AY412" s="61" t="str">
        <f aca="false">SUBSTITUTE(SUBSTITUTE(SUBSTITUTE(SUBSTITUTE(SUBSTITUTE(SUBSTITUTE(SUBSTITUTE(SUBSTITUTE(SUBSTITUTE(SUBSTITUTE(SUBSTITUTE(SUBSTITUTE(SUBSTITUTE(SUBSTITUTE(SUBSTITUTE(SUBSTITUTE(LOWER(W412&amp;""),CHAR(10),""),CHAR(13),""),CHAR(9),""),CHAR(160),"")," ",""),".",""),"-",""),"/",""),"?",""),"_",""),",",""),"[",""),"]",""),"(",""),")",""),"*","")</f>
        <v/>
      </c>
      <c r="AZ412" s="61" t="str">
        <f aca="false">SUBSTITUTE(SUBSTITUTE(SUBSTITUTE(SUBSTITUTE(SUBSTITUTE(SUBSTITUTE(SUBSTITUTE(SUBSTITUTE(SUBSTITUTE(SUBSTITUTE(SUBSTITUTE(SUBSTITUTE(SUBSTITUTE(SUBSTITUTE(SUBSTITUTE(SUBSTITUTE(LOWER(AC412&amp;""),CHAR(10),""),CHAR(13),""),CHAR(9),""),CHAR(160),"")," ",""),".",""),"-",""),"/",""),"?",""),"_",""),",",""),"[",""),"]",""),"(",""),")",""),"*","")</f>
        <v/>
      </c>
      <c r="BA412" s="61" t="str">
        <f aca="false">SUBSTITUTE(SUBSTITUTE(SUBSTITUTE(SUBSTITUTE(SUBSTITUTE(SUBSTITUTE(SUBSTITUTE(SUBSTITUTE(SUBSTITUTE(SUBSTITUTE(SUBSTITUTE(SUBSTITUTE(SUBSTITUTE(SUBSTITUTE(SUBSTITUTE(SUBSTITUTE(LOWER(AA412&amp;""),CHAR(10),""),CHAR(13),""),CHAR(9),""),CHAR(160),"")," ",""),".",""),"-",""),"/",""),"?",""),"_",""),",",""),"[",""),"]",""),"(",""),")",""),"*","")</f>
        <v/>
      </c>
      <c r="BB412" s="61" t="str">
        <f aca="false">IF(AND(TRIM(U412)="Pass",ISNUMBER(AF412)),IF(AF412&lt;&gt;0,"INVALID – qty variance: use Fail or Pass after CA",""),"")&amp;IF(AND(TRIM(U412)="Pass after CA",ISNUMBER(AF412)),IF(AF412&lt;&gt;0,"INVALID – after the corrective action the actual qty must equal expected (update Actual)",""),"")&amp;IF(AND(TRIM(U412)="Pass",TRIM(AB412)&lt;&gt;"",TRIM(AB412)&lt;&gt;"Closed"),"INVALID – corrective action not closed: use Fail, then Pass after CA","")&amp;IF(AND(LEN(BA412)&gt;=2,ISNA(MATCH(LEFT(BA412,255),L_Placeholder,0)),TRIM(AB412)=""),"INVALID – CA status missing for the recorded corrective action","")&amp;IF(AND(TRIM(U412)="Pass after CA",OR(OR(LEN(BA412)&lt;5,ISNUMBER(MATCH(BA412,L_Placeholder,0))),TRIM(AB412)&lt;&gt;"Closed")),"INVALID – corrective action not recorded/closed","")</f>
        <v/>
      </c>
      <c r="BC412" s="61" t="str">
        <f aca="false">" "&amp;TRIM(SUBSTITUTE(SUBSTITUTE(SUBSTITUTE(SUBSTITUTE(SUBSTITUTE(SUBSTITUTE(SUBSTITUTE(SUBSTITUTE(SUBSTITUTE(SUBSTITUTE(SUBSTITUTE(SUBSTITUTE(SUBSTITUTE(SUBSTITUTE(SUBSTITUTE(SUBSTITUTE(SUBSTITUTE(SUBSTITUTE(SUBSTITUTE(SUBSTITUTE(SUBSTITUTE(SUBSTITUTE(SUBSTITUTE(SUBSTITUTE(LOWER(V412&amp;""),CHAR(10)," "),CHAR(13)," "),CHAR(9)," "),CHAR(160)," "),"."," "),","," "),"-"," "),"/"," "),"("," "),")"," "),":"," "),";"," "),"_"," "),"–"," "),"?"," "),"!"," "),"*"," "),"["," "),"]"," "),"'"," "),"#"," "),"+"," "),"&amp;"," "),"\"," "))&amp;" "</f>
        <v>  </v>
      </c>
      <c r="BD412" s="61" t="str">
        <f aca="false">" "&amp;TRIM(SUBSTITUTE(SUBSTITUTE(SUBSTITUTE(SUBSTITUTE(SUBSTITUTE(SUBSTITUTE(SUBSTITUTE(SUBSTITUTE(SUBSTITUTE(SUBSTITUTE(SUBSTITUTE(SUBSTITUTE(SUBSTITUTE(SUBSTITUTE(SUBSTITUTE(SUBSTITUTE(SUBSTITUTE(SUBSTITUTE(SUBSTITUTE(SUBSTITUTE(SUBSTITUTE(SUBSTITUTE(SUBSTITUTE(SUBSTITUTE(LOWER(Z412&amp;""),CHAR(10)," "),CHAR(13)," "),CHAR(9)," "),CHAR(160)," "),"."," "),","," "),"-"," "),"/"," "),"("," "),")"," "),":"," "),";"," "),"_"," "),"–"," "),"?"," "),"!"," "),"*"," "),"["," "),"]"," "),"'"," "),"#"," "),"+"," "),"&amp;"," "),"\"," "))&amp;" "</f>
        <v>  </v>
      </c>
      <c r="BE412" s="61" t="str">
        <f aca="false">" "&amp;TRIM(SUBSTITUTE(SUBSTITUTE(SUBSTITUTE(SUBSTITUTE(SUBSTITUTE(SUBSTITUTE(SUBSTITUTE(SUBSTITUTE(SUBSTITUTE(SUBSTITUTE(SUBSTITUTE(SUBSTITUTE(SUBSTITUTE(SUBSTITUTE(SUBSTITUTE(SUBSTITUTE(SUBSTITUTE(SUBSTITUTE(SUBSTITUTE(SUBSTITUTE(SUBSTITUTE(SUBSTITUTE(SUBSTITUTE(SUBSTITUTE(LOWER(W412&amp;""),CHAR(10)," "),CHAR(13)," "),CHAR(9)," "),CHAR(160)," "),"."," "),","," "),"-"," "),"/"," "),"("," "),")"," "),":"," "),";"," "),"_"," "),"–"," "),"?"," "),"!"," "),"*"," "),"["," "),"]"," "),"'"," "),"#"," "),"+"," "),"&amp;"," "),"\"," "))&amp;" "</f>
        <v>  </v>
      </c>
      <c r="BF412" s="61" t="str">
        <f aca="false">" "&amp;TRIM(SUBSTITUTE(SUBSTITUTE(SUBSTITUTE(SUBSTITUTE(SUBSTITUTE(SUBSTITUTE(SUBSTITUTE(SUBSTITUTE(SUBSTITUTE(SUBSTITUTE(SUBSTITUTE(SUBSTITUTE(SUBSTITUTE(SUBSTITUTE(SUBSTITUTE(SUBSTITUTE(SUBSTITUTE(SUBSTITUTE(SUBSTITUTE(SUBSTITUTE(SUBSTITUTE(SUBSTITUTE(SUBSTITUTE(SUBSTITUTE(LOWER(AC412&amp;""),CHAR(10)," "),CHAR(13)," "),CHAR(9)," "),CHAR(160)," "),"."," "),","," "),"-"," "),"/"," "),"("," "),")"," "),":"," "),";"," "),"_"," "),"–"," "),"?"," "),"!"," "),"*"," "),"["," "),"]"," "),"'"," "),"#"," "),"+"," "),"&amp;"," "),"\"," "))&amp;" "</f>
        <v>  </v>
      </c>
      <c r="BG412" s="61" t="n">
        <f aca="false">IFERROR(IF(AND(TRIM(U412)="Pass",SUMPRODUCT((LEN(BC412)-LEN(SUBSTITUTE(BC412," "&amp;L_ResultBad&amp;" "," ")))/(LEN(L_ResultBad)+1))&gt;SUMPRODUCT((LEN(BC412)-LEN(SUBSTITUTE(BC412," "&amp;L_NegPhrase&amp;" "," ")))/(LEN(L_NegPhrase)+1))),1,0),0)</f>
        <v>0</v>
      </c>
      <c r="BH412" s="61" t="n">
        <f aca="false">IFERROR(IF(SUMPRODUCT((LEN(BC412)-LEN(SUBSTITUTE(BC412," "&amp;L_Pending&amp;" "," ")))/(LEN(L_Pending)+1))&gt;SUMPRODUCT((LEN(BC412)-LEN(SUBSTITUTE(BC412," "&amp;L_PendNeg&amp;" "," ")))/(LEN(L_PendNeg)+1)),1,0),1)</f>
        <v>0</v>
      </c>
      <c r="BI412" s="61" t="n">
        <f aca="false">IFERROR(IF(SUMPRODUCT((LEN(BD412)-LEN(SUBSTITUTE(BD412," "&amp;L_PendStrict&amp;" "," ")))/(LEN(L_PendStrict)+1))&gt;SUMPRODUCT((LEN(BD412)-LEN(SUBSTITUTE(BD412," "&amp;L_PendNeg&amp;" "," ")))/(LEN(L_PendNeg)+1)),1,0),1)</f>
        <v>0</v>
      </c>
      <c r="BJ412" s="61" t="n">
        <f aca="false">IFERROR(IF(SUMPRODUCT((LEN(BE412)-LEN(SUBSTITUTE(BE412," "&amp;L_Pending&amp;" "," ")))/(LEN(L_Pending)+1))&gt;SUMPRODUCT((LEN(BE412)-LEN(SUBSTITUTE(BE412," "&amp;L_PendNeg&amp;" "," ")))/(LEN(L_PendNeg)+1)),1,0),1)</f>
        <v>0</v>
      </c>
      <c r="BK412" s="61" t="n">
        <f aca="false">IFERROR(IF(SUMPRODUCT((LEN(BF412)-LEN(SUBSTITUTE(BF412," "&amp;L_PendStrict&amp;" "," ")))/(LEN(L_PendStrict)+1))&gt;SUMPRODUCT((LEN(BF412)-LEN(SUBSTITUTE(BF412," "&amp;L_PendNeg&amp;" "," ")))/(LEN(L_PendNeg)+1)),1,0),1)</f>
        <v>0</v>
      </c>
      <c r="BL412" s="61" t="n">
        <f aca="false">IF(ISNA(MATCH(TRIM(S412),L_EvidenceType,0)),0,BZ412)</f>
        <v>0</v>
      </c>
      <c r="BM412" s="61" t="str">
        <f aca="false">SUBSTITUTE(SUBSTITUTE(SUBSTITUTE(SUBSTITUTE(SUBSTITUTE(SUBSTITUTE(SUBSTITUTE(SUBSTITUTE(SUBSTITUTE(LOWER(Z412&amp;""),"1","0"),"2","0"),"3","0"),"4","0"),"5","0"),"6","0"),"7","0"),"8","0"),"9","0")</f>
        <v/>
      </c>
      <c r="BN412" s="61" t="str">
        <f aca="false">SUBSTITUTE(SUBSTITUTE(SUBSTITUTE(SUBSTITUTE(SUBSTITUTE(SUBSTITUTE(SUBSTITUTE(SUBSTITUTE(SUBSTITUTE(SUBSTITUTE(SUBSTITUTE(SUBSTITUTE(SUBSTITUTE(SUBSTITUTE(SUBSTITUTE(SUBSTITUTE(SUBSTITUTE(SUBSTITUTE(SUBSTITUTE(SUBSTITUTE(SUBSTITUTE(SUBSTITUTE(SUBSTITUTE(SUBSTITUTE(SUBSTITUTE(BM412,"b","a"),"c","a"),"d","a"),"e","a"),"f","a"),"g","a"),"h","a"),"i","a"),"j","a"),"k","a"),"l","a"),"m","a"),"n","a"),"o","a"),"p","a"),"q","a"),"r","a"),"s","a"),"t","a"),"u","a"),"v","a"),"w","a"),"x","a"),"y","a"),"z","a")</f>
        <v/>
      </c>
      <c r="BO412" s="61" t="str">
        <f aca="false">SUBSTITUTE(SUBSTITUTE(SUBSTITUTE(SUBSTITUTE(SUBSTITUTE(SUBSTITUTE(SUBSTITUTE(SUBSTITUTE(SUBSTITUTE(LOWER(W412&amp;""),"1","0"),"2","0"),"3","0"),"4","0"),"5","0"),"6","0"),"7","0"),"8","0"),"9","0")</f>
        <v/>
      </c>
      <c r="BP412" s="61" t="str">
        <f aca="false">SUBSTITUTE(SUBSTITUTE(SUBSTITUTE(SUBSTITUTE(SUBSTITUTE(SUBSTITUTE(SUBSTITUTE(SUBSTITUTE(SUBSTITUTE(SUBSTITUTE(SUBSTITUTE(SUBSTITUTE(SUBSTITUTE(SUBSTITUTE(SUBSTITUTE(SUBSTITUTE(SUBSTITUTE(SUBSTITUTE(SUBSTITUTE(SUBSTITUTE(SUBSTITUTE(SUBSTITUTE(SUBSTITUTE(SUBSTITUTE(SUBSTITUTE(BO412,"b","a"),"c","a"),"d","a"),"e","a"),"f","a"),"g","a"),"h","a"),"i","a"),"j","a"),"k","a"),"l","a"),"m","a"),"n","a"),"o","a"),"p","a"),"q","a"),"r","a"),"s","a"),"t","a"),"u","a"),"v","a"),"w","a"),"x","a"),"y","a"),"z","a")</f>
        <v/>
      </c>
      <c r="BQ412" s="61" t="n">
        <f aca="false">IFERROR(IF(AND(ISERROR(SEARCH(" mh"," "&amp;LOWER(W412))),ISNA(MATCH(LEFT(TRIM(BP412),255),{"0000a","000a","00a","0000aa","000aa","00aa","0aa","0000aaa","000aaa","00a00","0a00","0000-0000","00:00","a00","a0","00.00.0000","00/00/0000","00-00-0000","0000-00-00","0000/00/00","0000.00.00","00.00.00","00/00/00","00-00-00","0.00.0000","0/00/0000","0-00-0000"},0)),ISNA(MATCH(LEFT(TRIM(CA412),255),{"0000a","000a","00a","0000aa","000aa","00aa","0aa","0000aaa","000aaa","00a00","0a00","0000-0000","00:00","a00","a0","00.00.0000","00/00/0000","00-00-0000","0000-00-00","0000/00/00","0000.00.00","00.00.00","00/00/00","00-00-00","0.00.0000","0/00/0000","0-00-0000"},0)),LEN(CB412)&gt;=3,NOT(OR(SUBSTITUTE(CB412,"0","")="",AND(LEN(CB412)&gt;=4,CB412=REPT(LEFT(CB412),LEN(CB412))),ISNUMBER(MATCH(CB412,{"123","1234","12345","123456","1234567","12345678","0123","01234","012345","98765","987654","54321"},0)),AND(LEN(CB412)=8,LEFT(CB412,3)="202"))),OR(AND((LEN(CA412)-LEN(SUBSTITUTE(CA412,"a","")))&gt;=1,SUMPRODUCT(--ISNUMBER(SEARCH({"a0","a-0","a_0","a/0","a.0","a#0","0a","0-a","0_a","0/a"},BP412)))&gt;0),ISNUMBER(SEARCH("000000",BP412)))),1,0),0)</f>
        <v>0</v>
      </c>
      <c r="BR412" s="61" t="n">
        <f aca="false">IFERROR(LEN(SUBSTITUTE(CC412," ",""))-SUMPRODUCT((LEN(CC412)-LEN(SUBSTITUTE(CC412," "&amp;L_Role&amp;" "," ")))/(LEN(L_Role)+1)*LEN(L_Role)),0)</f>
        <v>0</v>
      </c>
      <c r="BS412" s="61" t="n">
        <f aca="false">IFERROR(LEN(SUBSTITUTE(CD412," ",""))-SUMPRODUCT((LEN(CD412)-LEN(SUBSTITUTE(CD412," "&amp;L_Role&amp;" "," ")))/(LEN(L_Role)+1)*LEN(L_Role)),0)</f>
        <v>0</v>
      </c>
      <c r="BT4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412,"revision",""),"version",""),"jan",""),"feb",""),"mar",""),"apr",""),"may",""),"jun",""),"jul",""),"aug",""),"sep",""),"oct",""),"nov",""),"dec",""),"utc",""),"gmt",""),"myt",""),"bst",""),"rev",""),"ver",""),"b","a"),"c","a"),"d","a"),"e","a"),"f","a"),"g","a"),"h","a"),"i","a"),"j","a"),"k","a"),"l","a"),"m","a"),"n","a"),"o","a"),"p","a"),"q","a"),"r","a"),"s","a"),"t","a"),"u","a"),"v","a"),"w","a"),"x","a"),"y","a"),"z","a")</f>
        <v/>
      </c>
      <c r="BU412" s="61" t="str">
        <f aca="false">SUBSTITUTE(SUBSTITUTE(SUBSTITUTE(SUBSTITUTE(SUBSTITUTE(SUBSTITUTE(SUBSTITUTE(SUBSTITUTE(SUBSTITUTE(SUBSTITUTE(LEFT(BM412,FIND("0",BM412&amp;"0")-1),"-",""),"_",""),"/",""),".",""),"#",""),"\\",""),":","")," ",""),"(",""),")","")</f>
        <v/>
      </c>
      <c r="BV412" s="61" t="n">
        <f aca="false">IFERROR(IF(OR(SUMPRODUCT((LEN(BC412)-LEN(SUBSTITUTE(BC412," "&amp;L_NotLoaded&amp;" "," ")))/(LEN(L_NotLoaded)+1))&gt;SUMPRODUCT((LEN(BC412)-LEN(SUBSTITUTE(BC412," "&amp;L_NotLoadedNeg&amp;" "," ")))/(LEN(L_NotLoadedNeg)+1)),SUMPRODUCT((LEN(BD412)-LEN(SUBSTITUTE(BD412," "&amp;L_NotLoaded&amp;" "," ")))/(LEN(L_NotLoaded)+1))&gt;SUMPRODUCT((LEN(BD412)-LEN(SUBSTITUTE(BD412," "&amp;L_NotLoadedNeg&amp;" "," ")))/(LEN(L_NotLoadedNeg)+1))),1,0),0)</f>
        <v>0</v>
      </c>
      <c r="BW4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412&amp;""),"a",""),"b",""),"c",""),"d",""),"e",""),"f",""),"g",""),"h",""),"i",""),"j",""),"k",""),"l",""),"m",""),"n",""),"o",""),"p",""),"q",""),"r",""),"s",""),"t",""),"u",""),"v",""),"w",""),"x",""),"y",""),"z",""),"-",""),"_",""),"/",""),".",""),"#",""),"\\",""),":","")," ",""),"(",""),")","")</f>
        <v/>
      </c>
      <c r="BX412" s="61" t="str">
        <f aca="false">SUBSTITUTE(SUBSTITUTE(SUBSTITUTE(SUBSTITUTE(SUBSTITUTE(SUBSTITUTE(SUBSTITUTE(SUBSTITUTE(SUBSTITUTE(SUBSTITUTE(SUBSTITUTE(BM412,"0",""),"-",""),"_",""),"/",""),".",""),"#",""),"\\",""),":","")," ",""),"(",""),")","")</f>
        <v/>
      </c>
      <c r="BY412" s="62" t="n">
        <f aca="false">IF(ISNUMBER(Flights!$AZ$16),MAX(Q412-UpliftWindowH/24,Flights!$AZ$16),Q412-UpliftWindowH/24)</f>
        <v>46307.3506944444</v>
      </c>
      <c r="BZ412" s="61" t="n">
        <f aca="false">IFERROR(IF(IF(TRIM(S412)="Link / file path",AND(LEN(TRIM(Z412))&gt;=5,SUMPRODUCT(--ISNUMBER(SEARCH({"http","www.","\\",":\",".pdf",".jpg",".jpeg",".png",".heic",".xls",".doc",".msg",".eml",".ppt",".txt",".zip"},Z412)))&gt;0),AND(ISERROR(FIND(" ",TRIM(Z412))),NOT(OR(SUMPRODUCT(--ISNUMBER(FIND({",",";","&amp;","+"},Z412)))&gt;0,SUMPRODUCT(--ISNUMBER(SEARCH({"0/aa","0\\aa"},BN412)))&gt;0)),NOT(SUMPRODUCT(--ISNUMBER(SEARCH({"http","www.","\\",":\",".pdf",".jpg",".jpeg",".png",".heic",".xls",".doc",".msg",".eml",".ppt",".txt",".zip"},Z412)))&gt;0),NOT(LOWER(TRIM(Z412))=LOWER(Flights!$F$16)),ISNA(MATCH(BU412,{"mh","rev","revision","ver","version","v","r","a","b","seat","tray","row","gate","bay","stand","page","pg","item","line","no","cart","galley","flight","flt","table","box","bag","oven","etd","eta","std","sta","atd","ata","qty","pax","x","time","tel","ph","mob","day","wk","week","utc","gmt","myt","lt"},0)),NOT(OR(ISNUMBER(MATCH(LEFT(BN412,255),{"0000a","000a","00a","0000aa","000aa","00aa","0aa","0000aaa","000aaa","00a00","0a00","0000-0000","00:00","a00","a0","00.00.0000","00/00/0000","00-00-0000","0000-00-00","0000/00/00","0000.00.00","00.00.00","00/00/00","00-00-00","0.00.0000","0/00/0000","0-00-0000"},0)),ISNUMBER(MATCH(LEFT(BT412,255),{"0000a","000a","00a","0000aa","000aa","00aa","0aa","0000aaa","000aaa","00a00","0a00","0000-0000","00:00","a00","a0","00.00.0000","00/00/0000","00-00-0000","0000-00-00","0000/00/00","0000.00.00","00.00.00","00/00/00","00-00-00","0.00.0000","0/00/0000","0-00-0000"},0)))),NOT(OR(AND(BW412&lt;&gt;"",SUBSTITUTE(BW412,"0","")=""),AND(LEN(BW412)&gt;=4,BW412=REPT(LEFT(BW412),LEN(BW412))),ISNUMBER(MATCH(BW412,{"123","1234","12345","123456","1234567","12345678","0123","01234","012345","98765","987654","54321"},0)),ISNUMBER(MATCH(BX412,{"x","xx","xxx","xxxx","xxxxx","abc","abcd","nil","na","nan","test","tbc","tba","tbd","dummy","sample","example","eg","zz","zzz","none","null","xyz","qwe","asd","id","ref"},0)),AND(LEN(BW412)=8,BX412="",OR(LEFT(BW412,3)="202",ISNUMBER(MATCH(RIGHT(BW412,4),{"2025","2026","2027"},0)))))),OR(AND((LEN(BT412)-LEN(SUBSTITUTE(BT412,"a","")))&gt;=1,(LEN(BN412)-LEN(SUBSTITUTE(BN412,"0","")))&gt;=2,SUMPRODUCT(--ISNUMBER(SEARCH({"a0","a-0","a_0","a/0","a.0","a#0","0a","0-a","0_a","0/a"},BN412)))&gt;0),AND((LEN(BN412)-LEN(SUBSTITUTE(BN412,"a","")))=0,(LEN(BN412)-LEN(SUBSTITUTE(BN412,"0","")))&gt;=5)))),1,0),0)</f>
        <v>0</v>
      </c>
      <c r="CA4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412,"revision",""),"version",""),"jan",""),"feb",""),"mar",""),"apr",""),"may",""),"jun",""),"jul",""),"aug",""),"sep",""),"oct",""),"nov",""),"dec",""),"utc",""),"gmt",""),"myt",""),"bst",""),"rev",""),"ver",""),"b","a"),"c","a"),"d","a"),"e","a"),"f","a"),"g","a"),"h","a"),"i","a"),"j","a"),"k","a"),"l","a"),"m","a"),"n","a"),"o","a"),"p","a"),"q","a"),"r","a"),"s","a"),"t","a"),"u","a"),"v","a"),"w","a"),"x","a"),"y","a"),"z","a")</f>
        <v/>
      </c>
      <c r="CB4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412&amp;""),"a",""),"b",""),"c",""),"d",""),"e",""),"f",""),"g",""),"h",""),"i",""),"j",""),"k",""),"l",""),"m",""),"n",""),"o",""),"p",""),"q",""),"r",""),"s",""),"t",""),"u",""),"v",""),"w",""),"x",""),"y",""),"z",""),"-",""),"_",""),"/",""),".",""),"#",""),"\\",""),":","")," ",""),"(",""),")","")</f>
        <v/>
      </c>
      <c r="CC412" s="0" t="str">
        <f aca="false">" "&amp;TRIM(SUBSTITUTE(SUBSTITUTE(SUBSTITUTE(SUBSTITUTE(SUBSTITUTE(SUBSTITUTE(SUBSTITUTE(SUBSTITUTE(SUBSTITUTE(SUBSTITUTE(SUBSTITUTE(SUBSTITUTE(SUBSTITUTE(SUBSTITUTE(SUBSTITUTE(SUBSTITUTE(SUBSTITUTE(SUBSTITUTE(SUBSTITUTE(SUBSTITUTE(SUBSTITUTE(SUBSTITUTE(SUBSTITUTE(SUBSTITUTE(LOWER(T412&amp;""),CHAR(10)," "),CHAR(13)," "),CHAR(9)," "),CHAR(160)," "),"."," "),","," "),"-"," "),"/"," "),"("," "),")"," "),":"," "),";"," "),"_"," "),"–"," "),"?"," "),"!"," "),"*"," "),"["," "),"]"," "),"'"," "),"#"," "),"+"," "),"&amp;"," "),"\"," "))&amp;" "</f>
        <v>  </v>
      </c>
      <c r="CD412" s="0" t="str">
        <f aca="false">" "&amp;TRIM(SUBSTITUTE(SUBSTITUTE(SUBSTITUTE(SUBSTITUTE(SUBSTITUTE(SUBSTITUTE(SUBSTITUTE(SUBSTITUTE(SUBSTITUTE(SUBSTITUTE(SUBSTITUTE(SUBSTITUTE(SUBSTITUTE(SUBSTITUTE(SUBSTITUTE(SUBSTITUTE(SUBSTITUTE(SUBSTITUTE(SUBSTITUTE(SUBSTITUTE(SUBSTITUTE(SUBSTITUTE(SUBSTITUTE(SUBSTITUTE(LOWER(AE412&amp;""),CHAR(10)," "),CHAR(13)," "),CHAR(9)," "),CHAR(160)," "),"."," "),","," "),"-"," "),"/"," "),"("," "),")"," "),":"," "),";"," "),"_"," "),"–"," "),"?"," "),"!"," "),"*"," "),"["," "),"]"," "),"'"," "),"#"," "),"+"," "),"&amp;"," "),"\"," "))&amp;" "</f>
        <v>  </v>
      </c>
      <c r="CE412" s="68" t="n">
        <f aca="false">IFERROR(IF(AND(LEN(AU412)&gt;0,LEN(AU412)=LEN(AX412),OR(TRIM(MID(SUBSTITUTE(TRIM(CC412)," ",REPT(" ",60)),1,60))="",ISNUMBER(SEARCH(" "&amp;TRIM(MID(SUBSTITUTE(TRIM(CC412)," ",REPT(" ",60)),1,60))&amp;" ",CD412))),OR(TRIM(MID(SUBSTITUTE(TRIM(CC412)," ",REPT(" ",60)),61,60))="",ISNUMBER(SEARCH(" "&amp;TRIM(MID(SUBSTITUTE(TRIM(CC412)," ",REPT(" ",60)),61,60))&amp;" ",CD412))),OR(TRIM(MID(SUBSTITUTE(TRIM(CC412)," ",REPT(" ",60)),121,60))="",ISNUMBER(SEARCH(" "&amp;TRIM(MID(SUBSTITUTE(TRIM(CC412)," ",REPT(" ",60)),121,60))&amp;" ",CD412)))),1,0),0)</f>
        <v>0</v>
      </c>
      <c r="CG412" s="68" t="n">
        <f aca="false">IFERROR(LEN(SUBSTITUTE(BF412," ",""))-SUMPRODUCT((LEN(BF412)-LEN(SUBSTITUTE(BF412," "&amp;L_NAFiller&amp;" "," ")))/(LEN(L_NAFiller)+1)*LEN(L_NAFiller)),0)</f>
        <v>0</v>
      </c>
    </row>
    <row r="413" customFormat="false" ht="39.75" hidden="false" customHeight="true" outlineLevel="0" collapsed="false">
      <c r="A413" s="57" t="s">
        <v>1045</v>
      </c>
      <c r="B413" s="57" t="s">
        <v>261</v>
      </c>
      <c r="C413" s="57" t="str">
        <f aca="false">Flights!$F$16</f>
        <v>MH0139</v>
      </c>
      <c r="D413" s="58" t="n">
        <f aca="false">Flights!$D$16</f>
        <v>46307</v>
      </c>
      <c r="E413" s="57" t="str">
        <f aca="false">Flights!$G$16&amp;"-"&amp;Flights!$H$16</f>
        <v>KUL-ADL</v>
      </c>
      <c r="F413" s="57" t="str">
        <f aca="false">Flights!$K$16</f>
        <v>BC</v>
      </c>
      <c r="G413" s="57" t="s">
        <v>459</v>
      </c>
      <c r="H413" s="57" t="s">
        <v>460</v>
      </c>
      <c r="I413" s="57" t="s">
        <v>440</v>
      </c>
      <c r="J413" s="57" t="s">
        <v>467</v>
      </c>
      <c r="K413" s="67" t="s">
        <v>501</v>
      </c>
      <c r="L413" s="67" t="s">
        <v>1014</v>
      </c>
      <c r="M413" s="67" t="s">
        <v>187</v>
      </c>
      <c r="N413" s="67" t="s">
        <v>383</v>
      </c>
      <c r="O413" s="67"/>
      <c r="P413" s="57" t="s">
        <v>187</v>
      </c>
      <c r="Q413" s="59" t="n">
        <f aca="false">ROUND((Flights!$AF$16)*1440,0)/1440</f>
        <v>46307.6006944444</v>
      </c>
      <c r="R413" s="59" t="n">
        <f aca="false">Q413+(IF(AND(INDEX(TZ_DSTS,MATCH(P413,TZ_STN,0))&lt;&gt;"",Q413&gt;=INDEX(TZ_DSTS,MATCH(P413,TZ_STN,0)),Q413&lt;INDEX(TZ_DSTE,MATCH(P413,TZ_STN,0))),INDEX(TZ_DST,MATCH(P413,TZ_STN,0)),INDEX(TZ_STD,MATCH(P413,TZ_STN,0))))/24</f>
        <v>46307.9340277778</v>
      </c>
      <c r="S413" s="60"/>
      <c r="T413" s="60"/>
      <c r="U413" s="60"/>
      <c r="V413" s="60"/>
      <c r="W413" s="61"/>
      <c r="X413" s="60"/>
      <c r="Y413" s="60"/>
      <c r="Z413" s="60"/>
      <c r="AA413" s="60"/>
      <c r="AB413" s="60"/>
      <c r="AC413" s="60"/>
      <c r="AD413" s="66"/>
      <c r="AE413" s="60"/>
      <c r="AF413" s="61" t="str">
        <f aca="false">IF(AND(ISNUMBER(X413),ISNUMBER(Y413)),Y413-X413,"")</f>
        <v/>
      </c>
      <c r="AG413" s="62" t="str">
        <f aca="false">IF(ISNUMBER(AD413),AD413-(IF(AND(INDEX(TZ_DSTS,MATCH(P413,TZ_STN,0))&lt;&gt;"",(AD413-INDEX(TZ_STD,MATCH(P413,TZ_STN,0))/24)&gt;=INDEX(TZ_DSTS,MATCH(P413,TZ_STN,0)),(AD413-INDEX(TZ_STD,MATCH(P413,TZ_STN,0))/24)&lt;INDEX(TZ_DSTE,MATCH(P413,TZ_STN,0))),INDEX(TZ_DST,MATCH(P413,TZ_STN,0)),INDEX(TZ_STD,MATCH(P413,TZ_STN,0))))/24,"")</f>
        <v/>
      </c>
      <c r="AH413" s="65" t="str">
        <f aca="false">IFERROR(IF(N413="N/A – rule",IF(OR(TRIM(U413)="",TRIM(U413)="N/A",TRIM(U413)="Not started"),"N/A – RULE","INVALID – this check does not apply to this aircraft: clear the status (or correct the fleet on Flights)"),IF(TRIM(U413)="N/A",IF(AT413=0,"INVALID – N/A not permitted for this check",IF(AND(TRIM(AB413)&lt;&gt;"",TRIM(AB413)&lt;&gt;"Closed"),"INVALID – corrective action still open",IF(AND(NOT(OR(LEN(AZ413)&lt;15,ISNUMBER(MATCH(AZ413,L_Placeholder,0)))),BK413=0,CG413&gt;=8,NOT(OR(LEN(AU413)&lt;2,ISNUMBER(MATCH(AU413,L_Placeholder,0)))),BR413&gt;=3,NOT(OR(LEN(AX413)&lt;2,ISNUMBER(MATCH(AX413,L_Placeholder,0)))),BS413&gt;=3,TRIM(AE413)&lt;&gt;TRIM(T413),AX413&lt;&gt;AU413,CE413=0),"N/A – JUSTIFIED","INVALID – N/A needs a real, settled reason (not 'not applicable' / 'as above' / TBC), a named PIC and a different named verifier"))),IF(OR(TRIM(U413)="Pass",TRIM(U413)="Pass after CA"),IF(NOT(ISNUMBER(AD413)),"INVALID – completion time missing",IF(OR(OR(LEN(AU413)&lt;2,ISNUMBER(MATCH(AU413,L_Placeholder,0))),BR413&lt;3),"INVALID – PIC missing or not a named person (a role such as QA / CSM is not a name)",IF(OR(LEN(AV413)&lt;2,ISNUMBER(MATCH(AV413,L_Placeholder,0))),"INVALID – result / assessment missing",IF(OR(OR(LEN(AW413)&lt;3,ISNUMBER(MATCH(AW413,L_Placeholder,0))),SUMPRODUCT(--ISNUMBER(SEARCH(" "&amp;L_EvidencePhrase&amp;" ",BD413)))&gt;0,BI413=1),"INVALID – evidence missing, placeholder or not yet on file",IF(ISNA(MATCH(TRIM(S413),L_EvidenceType,0)),"INVALID – choose the evidence type from the list (column S)",IF(BL413=0,"INVALID – evidence ID must be the record's own ID only (e.g. SF-2210, IMG_2231, 1045521); a link / file name needs type 'Link / file path'",IF(OR(OR(LEN(AX413)&lt;2,ISNUMBER(MATCH(AX413,L_Placeholder,0))),BS413&lt;3),"INVALID – verifier missing or not a named person (a role such as QA / CSM is not a name)",IF(OR(AX413=AU413,CE413=1,AND(LEN(AU413)&gt;=4,ISNUMBER(SEARCH(AU413,AX413))),AND(LEN(AX413)&gt;=4,ISNUMBER(SEARCH(AX413,AU413)))),"INVALID – verifier must be a different, named person (not the PIC or a role)",IF(BH413=1,"INVALID – result not yet available (awaiting / TBC)",IF(BG413=1,"INVALID – result describes a problem: record Fail, then Pass after CA (or reword if it is not a problem)",IF(BV413=1,"INVALID – wording says not on board: an on-board confirmation needs the item loaded",IF(AND(AQ413=1,OR(OR(LEN(AY413)&lt;3,ISNUMBER(MATCH(AY413,L_Placeholder,0))),BJ413=1,BQ413=0)),"INVALID – batch ID missing, placeholder or not an ID (e.g. PASB-261008-BC-017)",IF(AND(AR413=1,OR(NOT(ISNUMBER(X413)),NOT(ISNUMBER(Y413)))),"INVALID – expected/actual qty missing",IF(AND(AR413=1,OR(X413&lt;=0,Y413&lt;0)),"INVALID – expected qty must be above 0 and actual not negative",IF(AH397="N/A – JUSTIFIED","INVALID – preparation row F12-T12-08 is N/A",IF(AND(AR413=1,ISNUMBER(X397),X413&lt;&gt;X397,TRIM(U413)&lt;&gt;"Pass after CA"),"INVALID – expected qty differs from preparation check F12-T12-08: record the load change as a corrective action (Pass after CA)",IF(BB413&lt;&gt;"",BB413,IF(AND(AS413=1,Documents!$J$16&lt;&gt;"ON FILE"),"INVALID – GLD not on file (Documents sheet)",IF(AND(AS413=2,Documents!$O$16&lt;&gt;"ON FILE"),"INVALID – menu checklist not on file (Documents sheet)",IF(AND(AS413=3,NOT(ISNUMBER(Flights!$AX$16))),"INVALID – enter carrying flight KUL departure (Flights AX)",IF(AND(AS413=3,OR(Flights!$AZ$16&gt;Flights!$AA$16,Flights!$AX$16&lt;Flights!$AA$16-3)),"INVALID – carrying flight (Flights AX) cannot arrive before this leg's STD, or is over 3 days early",IF(AG413&gt;AsOfUTC,"INVALID – completion time is in the future",IF(AND(ISNUMBER(BY413),AG413&lt;BY413),IF(H413="Physical uplift","INVALID – before uplift window (cannot confirm loading)","INVALID – before valid window"),IF(AG413&gt;Flights!$AA$16,"INVALID – completed after departure (cannot establish readiness)",IF(AND(H413="Preparation",AG413&gt;=IF(ISNUMBER(Flights!$BA$16),MIN(Flights!$BA$16,Flights!$AA$16),Flights!$AA$16)),"INVALID – completed after loading / departure (cannot establish readiness)",IF(AND(H413="Physical uplift",AG413&gt;Q413),"INVALID – recorded after the loading flight departed",IF(AG413&gt;Q413,"COMPLETE – LATE","COMPLETE"))))))))))))))))))))))))))),IF(TRIM(U413)="Fail","FAIL – DISCREPANCY",IF(AND(TRIM(U413)&lt;&gt;"",TRIM(U413)&lt;&gt;"Not started",TRIM(U413)&lt;&gt;"In progress"),"INVALID – unrecognised status (use the list)",IF(AsOfUTC&gt;Q413,"OVERDUE",IF(N413="Clarification required","OPEN – CLARIFICATION","OPEN"))))))),"INVALID – error value in an input cell")</f>
        <v>OPEN</v>
      </c>
      <c r="AI413" s="61" t="n">
        <f aca="false">IF(OR(AH413="N/A – RULE",AH413="N/A – JUSTIFIED"),0,1)</f>
        <v>1</v>
      </c>
      <c r="AJ413" s="61" t="n">
        <f aca="false">IF(LEFT(AH413,8)="COMPLETE",1,0)</f>
        <v>0</v>
      </c>
      <c r="AK413" s="61" t="n">
        <f aca="false">IF(AND(AI413=1,AJ413=0,AsOfUTC&gt;Q413),1,0)</f>
        <v>0</v>
      </c>
      <c r="AL413" s="61" t="n">
        <f aca="false">IFERROR(IF(AND(AI413=1,OR(TRIM(U413)="Fail",AND(TRIM(AB413)&lt;&gt;"",TRIM(AB413)&lt;&gt;"Closed"),AND(ISNUMBER(AF413),AF413&lt;&gt;0,TRIM(U413)&lt;&gt;"Pass after CA"))),1,0),1)</f>
        <v>0</v>
      </c>
      <c r="AM413" s="61" t="n">
        <f aca="false">IF(LEFT(AH413,7)="INVALID",1,0)</f>
        <v>0</v>
      </c>
      <c r="AN413" s="61" t="n">
        <f aca="false">IF(AND(N413="Clarification required",AI413=1,AJ413=0),1,0)</f>
        <v>0</v>
      </c>
      <c r="AO413" s="61" t="str">
        <f aca="false">IF(AK413=1,SUM(AK$5:AK413),"")</f>
        <v/>
      </c>
      <c r="AP413" s="61" t="str">
        <f aca="false">IF(AL413=1,SUM(AL$5:AL413),"")</f>
        <v/>
      </c>
      <c r="AQ413" s="61" t="n">
        <v>0</v>
      </c>
      <c r="AR413" s="61" t="n">
        <v>0</v>
      </c>
      <c r="AS413" s="61" t="n">
        <v>0</v>
      </c>
      <c r="AT413" s="61" t="n">
        <v>0</v>
      </c>
      <c r="AU413" s="61" t="str">
        <f aca="false">SUBSTITUTE(SUBSTITUTE(SUBSTITUTE(SUBSTITUTE(SUBSTITUTE(SUBSTITUTE(SUBSTITUTE(SUBSTITUTE(SUBSTITUTE(SUBSTITUTE(SUBSTITUTE(SUBSTITUTE(SUBSTITUTE(SUBSTITUTE(SUBSTITUTE(SUBSTITUTE(LOWER(T413&amp;""),CHAR(10),""),CHAR(13),""),CHAR(9),""),CHAR(160),"")," ",""),".",""),"-",""),"/",""),"?",""),"_",""),",",""),"[",""),"]",""),"(",""),")",""),"*","")</f>
        <v/>
      </c>
      <c r="AV413" s="61" t="str">
        <f aca="false">SUBSTITUTE(SUBSTITUTE(SUBSTITUTE(SUBSTITUTE(SUBSTITUTE(SUBSTITUTE(SUBSTITUTE(SUBSTITUTE(SUBSTITUTE(SUBSTITUTE(SUBSTITUTE(SUBSTITUTE(SUBSTITUTE(SUBSTITUTE(SUBSTITUTE(SUBSTITUTE(LOWER(V413&amp;""),CHAR(10),""),CHAR(13),""),CHAR(9),""),CHAR(160),"")," ",""),".",""),"-",""),"/",""),"?",""),"_",""),",",""),"[",""),"]",""),"(",""),")",""),"*","")</f>
        <v/>
      </c>
      <c r="AW413" s="61" t="str">
        <f aca="false">SUBSTITUTE(SUBSTITUTE(SUBSTITUTE(SUBSTITUTE(SUBSTITUTE(SUBSTITUTE(SUBSTITUTE(SUBSTITUTE(SUBSTITUTE(SUBSTITUTE(SUBSTITUTE(SUBSTITUTE(SUBSTITUTE(SUBSTITUTE(SUBSTITUTE(SUBSTITUTE(LOWER(Z413&amp;""),CHAR(10),""),CHAR(13),""),CHAR(9),""),CHAR(160),"")," ",""),".",""),"-",""),"/",""),"?",""),"_",""),",",""),"[",""),"]",""),"(",""),")",""),"*","")</f>
        <v/>
      </c>
      <c r="AX413" s="61" t="str">
        <f aca="false">SUBSTITUTE(SUBSTITUTE(SUBSTITUTE(SUBSTITUTE(SUBSTITUTE(SUBSTITUTE(SUBSTITUTE(SUBSTITUTE(SUBSTITUTE(SUBSTITUTE(SUBSTITUTE(SUBSTITUTE(SUBSTITUTE(SUBSTITUTE(SUBSTITUTE(SUBSTITUTE(LOWER(AE413&amp;""),CHAR(10),""),CHAR(13),""),CHAR(9),""),CHAR(160),"")," ",""),".",""),"-",""),"/",""),"?",""),"_",""),",",""),"[",""),"]",""),"(",""),")",""),"*","")</f>
        <v/>
      </c>
      <c r="AY413" s="61" t="str">
        <f aca="false">SUBSTITUTE(SUBSTITUTE(SUBSTITUTE(SUBSTITUTE(SUBSTITUTE(SUBSTITUTE(SUBSTITUTE(SUBSTITUTE(SUBSTITUTE(SUBSTITUTE(SUBSTITUTE(SUBSTITUTE(SUBSTITUTE(SUBSTITUTE(SUBSTITUTE(SUBSTITUTE(LOWER(W413&amp;""),CHAR(10),""),CHAR(13),""),CHAR(9),""),CHAR(160),"")," ",""),".",""),"-",""),"/",""),"?",""),"_",""),",",""),"[",""),"]",""),"(",""),")",""),"*","")</f>
        <v/>
      </c>
      <c r="AZ413" s="61" t="str">
        <f aca="false">SUBSTITUTE(SUBSTITUTE(SUBSTITUTE(SUBSTITUTE(SUBSTITUTE(SUBSTITUTE(SUBSTITUTE(SUBSTITUTE(SUBSTITUTE(SUBSTITUTE(SUBSTITUTE(SUBSTITUTE(SUBSTITUTE(SUBSTITUTE(SUBSTITUTE(SUBSTITUTE(LOWER(AC413&amp;""),CHAR(10),""),CHAR(13),""),CHAR(9),""),CHAR(160),"")," ",""),".",""),"-",""),"/",""),"?",""),"_",""),",",""),"[",""),"]",""),"(",""),")",""),"*","")</f>
        <v/>
      </c>
      <c r="BA413" s="61" t="str">
        <f aca="false">SUBSTITUTE(SUBSTITUTE(SUBSTITUTE(SUBSTITUTE(SUBSTITUTE(SUBSTITUTE(SUBSTITUTE(SUBSTITUTE(SUBSTITUTE(SUBSTITUTE(SUBSTITUTE(SUBSTITUTE(SUBSTITUTE(SUBSTITUTE(SUBSTITUTE(SUBSTITUTE(LOWER(AA413&amp;""),CHAR(10),""),CHAR(13),""),CHAR(9),""),CHAR(160),"")," ",""),".",""),"-",""),"/",""),"?",""),"_",""),",",""),"[",""),"]",""),"(",""),")",""),"*","")</f>
        <v/>
      </c>
      <c r="BB413" s="61" t="str">
        <f aca="false">IF(AND(TRIM(U413)="Pass",ISNUMBER(AF413)),IF(AF413&lt;&gt;0,"INVALID – qty variance: use Fail or Pass after CA",""),"")&amp;IF(AND(TRIM(U413)="Pass after CA",ISNUMBER(AF413)),IF(AF413&lt;&gt;0,"INVALID – after the corrective action the actual qty must equal expected (update Actual)",""),"")&amp;IF(AND(TRIM(U413)="Pass",TRIM(AB413)&lt;&gt;"",TRIM(AB413)&lt;&gt;"Closed"),"INVALID – corrective action not closed: use Fail, then Pass after CA","")&amp;IF(AND(LEN(BA413)&gt;=2,ISNA(MATCH(LEFT(BA413,255),L_Placeholder,0)),TRIM(AB413)=""),"INVALID – CA status missing for the recorded corrective action","")&amp;IF(AND(TRIM(U413)="Pass after CA",OR(OR(LEN(BA413)&lt;5,ISNUMBER(MATCH(BA413,L_Placeholder,0))),TRIM(AB413)&lt;&gt;"Closed")),"INVALID – corrective action not recorded/closed","")</f>
        <v/>
      </c>
      <c r="BC413" s="61" t="str">
        <f aca="false">" "&amp;TRIM(SUBSTITUTE(SUBSTITUTE(SUBSTITUTE(SUBSTITUTE(SUBSTITUTE(SUBSTITUTE(SUBSTITUTE(SUBSTITUTE(SUBSTITUTE(SUBSTITUTE(SUBSTITUTE(SUBSTITUTE(SUBSTITUTE(SUBSTITUTE(SUBSTITUTE(SUBSTITUTE(SUBSTITUTE(SUBSTITUTE(SUBSTITUTE(SUBSTITUTE(SUBSTITUTE(SUBSTITUTE(SUBSTITUTE(SUBSTITUTE(LOWER(V413&amp;""),CHAR(10)," "),CHAR(13)," "),CHAR(9)," "),CHAR(160)," "),"."," "),","," "),"-"," "),"/"," "),"("," "),")"," "),":"," "),";"," "),"_"," "),"–"," "),"?"," "),"!"," "),"*"," "),"["," "),"]"," "),"'"," "),"#"," "),"+"," "),"&amp;"," "),"\"," "))&amp;" "</f>
        <v>  </v>
      </c>
      <c r="BD413" s="61" t="str">
        <f aca="false">" "&amp;TRIM(SUBSTITUTE(SUBSTITUTE(SUBSTITUTE(SUBSTITUTE(SUBSTITUTE(SUBSTITUTE(SUBSTITUTE(SUBSTITUTE(SUBSTITUTE(SUBSTITUTE(SUBSTITUTE(SUBSTITUTE(SUBSTITUTE(SUBSTITUTE(SUBSTITUTE(SUBSTITUTE(SUBSTITUTE(SUBSTITUTE(SUBSTITUTE(SUBSTITUTE(SUBSTITUTE(SUBSTITUTE(SUBSTITUTE(SUBSTITUTE(LOWER(Z413&amp;""),CHAR(10)," "),CHAR(13)," "),CHAR(9)," "),CHAR(160)," "),"."," "),","," "),"-"," "),"/"," "),"("," "),")"," "),":"," "),";"," "),"_"," "),"–"," "),"?"," "),"!"," "),"*"," "),"["," "),"]"," "),"'"," "),"#"," "),"+"," "),"&amp;"," "),"\"," "))&amp;" "</f>
        <v>  </v>
      </c>
      <c r="BE413" s="61" t="str">
        <f aca="false">" "&amp;TRIM(SUBSTITUTE(SUBSTITUTE(SUBSTITUTE(SUBSTITUTE(SUBSTITUTE(SUBSTITUTE(SUBSTITUTE(SUBSTITUTE(SUBSTITUTE(SUBSTITUTE(SUBSTITUTE(SUBSTITUTE(SUBSTITUTE(SUBSTITUTE(SUBSTITUTE(SUBSTITUTE(SUBSTITUTE(SUBSTITUTE(SUBSTITUTE(SUBSTITUTE(SUBSTITUTE(SUBSTITUTE(SUBSTITUTE(SUBSTITUTE(LOWER(W413&amp;""),CHAR(10)," "),CHAR(13)," "),CHAR(9)," "),CHAR(160)," "),"."," "),","," "),"-"," "),"/"," "),"("," "),")"," "),":"," "),";"," "),"_"," "),"–"," "),"?"," "),"!"," "),"*"," "),"["," "),"]"," "),"'"," "),"#"," "),"+"," "),"&amp;"," "),"\"," "))&amp;" "</f>
        <v>  </v>
      </c>
      <c r="BF413" s="61" t="str">
        <f aca="false">" "&amp;TRIM(SUBSTITUTE(SUBSTITUTE(SUBSTITUTE(SUBSTITUTE(SUBSTITUTE(SUBSTITUTE(SUBSTITUTE(SUBSTITUTE(SUBSTITUTE(SUBSTITUTE(SUBSTITUTE(SUBSTITUTE(SUBSTITUTE(SUBSTITUTE(SUBSTITUTE(SUBSTITUTE(SUBSTITUTE(SUBSTITUTE(SUBSTITUTE(SUBSTITUTE(SUBSTITUTE(SUBSTITUTE(SUBSTITUTE(SUBSTITUTE(LOWER(AC413&amp;""),CHAR(10)," "),CHAR(13)," "),CHAR(9)," "),CHAR(160)," "),"."," "),","," "),"-"," "),"/"," "),"("," "),")"," "),":"," "),";"," "),"_"," "),"–"," "),"?"," "),"!"," "),"*"," "),"["," "),"]"," "),"'"," "),"#"," "),"+"," "),"&amp;"," "),"\"," "))&amp;" "</f>
        <v>  </v>
      </c>
      <c r="BG413" s="61" t="n">
        <f aca="false">IFERROR(IF(AND(TRIM(U413)="Pass",SUMPRODUCT((LEN(BC413)-LEN(SUBSTITUTE(BC413," "&amp;L_ResultBad&amp;" "," ")))/(LEN(L_ResultBad)+1))&gt;SUMPRODUCT((LEN(BC413)-LEN(SUBSTITUTE(BC413," "&amp;L_NegPhrase&amp;" "," ")))/(LEN(L_NegPhrase)+1))),1,0),0)</f>
        <v>0</v>
      </c>
      <c r="BH413" s="61" t="n">
        <f aca="false">IFERROR(IF(SUMPRODUCT((LEN(BC413)-LEN(SUBSTITUTE(BC413," "&amp;L_Pending&amp;" "," ")))/(LEN(L_Pending)+1))&gt;SUMPRODUCT((LEN(BC413)-LEN(SUBSTITUTE(BC413," "&amp;L_PendNeg&amp;" "," ")))/(LEN(L_PendNeg)+1)),1,0),1)</f>
        <v>0</v>
      </c>
      <c r="BI413" s="61" t="n">
        <f aca="false">IFERROR(IF(SUMPRODUCT((LEN(BD413)-LEN(SUBSTITUTE(BD413," "&amp;L_PendStrict&amp;" "," ")))/(LEN(L_PendStrict)+1))&gt;SUMPRODUCT((LEN(BD413)-LEN(SUBSTITUTE(BD413," "&amp;L_PendNeg&amp;" "," ")))/(LEN(L_PendNeg)+1)),1,0),1)</f>
        <v>0</v>
      </c>
      <c r="BJ413" s="61" t="n">
        <f aca="false">IFERROR(IF(SUMPRODUCT((LEN(BE413)-LEN(SUBSTITUTE(BE413," "&amp;L_Pending&amp;" "," ")))/(LEN(L_Pending)+1))&gt;SUMPRODUCT((LEN(BE413)-LEN(SUBSTITUTE(BE413," "&amp;L_PendNeg&amp;" "," ")))/(LEN(L_PendNeg)+1)),1,0),1)</f>
        <v>0</v>
      </c>
      <c r="BK413" s="61" t="n">
        <f aca="false">IFERROR(IF(SUMPRODUCT((LEN(BF413)-LEN(SUBSTITUTE(BF413," "&amp;L_PendStrict&amp;" "," ")))/(LEN(L_PendStrict)+1))&gt;SUMPRODUCT((LEN(BF413)-LEN(SUBSTITUTE(BF413," "&amp;L_PendNeg&amp;" "," ")))/(LEN(L_PendNeg)+1)),1,0),1)</f>
        <v>0</v>
      </c>
      <c r="BL413" s="61" t="n">
        <f aca="false">IF(ISNA(MATCH(TRIM(S413),L_EvidenceType,0)),0,BZ413)</f>
        <v>0</v>
      </c>
      <c r="BM413" s="61" t="str">
        <f aca="false">SUBSTITUTE(SUBSTITUTE(SUBSTITUTE(SUBSTITUTE(SUBSTITUTE(SUBSTITUTE(SUBSTITUTE(SUBSTITUTE(SUBSTITUTE(LOWER(Z413&amp;""),"1","0"),"2","0"),"3","0"),"4","0"),"5","0"),"6","0"),"7","0"),"8","0"),"9","0")</f>
        <v/>
      </c>
      <c r="BN413" s="61" t="str">
        <f aca="false">SUBSTITUTE(SUBSTITUTE(SUBSTITUTE(SUBSTITUTE(SUBSTITUTE(SUBSTITUTE(SUBSTITUTE(SUBSTITUTE(SUBSTITUTE(SUBSTITUTE(SUBSTITUTE(SUBSTITUTE(SUBSTITUTE(SUBSTITUTE(SUBSTITUTE(SUBSTITUTE(SUBSTITUTE(SUBSTITUTE(SUBSTITUTE(SUBSTITUTE(SUBSTITUTE(SUBSTITUTE(SUBSTITUTE(SUBSTITUTE(SUBSTITUTE(BM413,"b","a"),"c","a"),"d","a"),"e","a"),"f","a"),"g","a"),"h","a"),"i","a"),"j","a"),"k","a"),"l","a"),"m","a"),"n","a"),"o","a"),"p","a"),"q","a"),"r","a"),"s","a"),"t","a"),"u","a"),"v","a"),"w","a"),"x","a"),"y","a"),"z","a")</f>
        <v/>
      </c>
      <c r="BO413" s="61" t="str">
        <f aca="false">SUBSTITUTE(SUBSTITUTE(SUBSTITUTE(SUBSTITUTE(SUBSTITUTE(SUBSTITUTE(SUBSTITUTE(SUBSTITUTE(SUBSTITUTE(LOWER(W413&amp;""),"1","0"),"2","0"),"3","0"),"4","0"),"5","0"),"6","0"),"7","0"),"8","0"),"9","0")</f>
        <v/>
      </c>
      <c r="BP413" s="61" t="str">
        <f aca="false">SUBSTITUTE(SUBSTITUTE(SUBSTITUTE(SUBSTITUTE(SUBSTITUTE(SUBSTITUTE(SUBSTITUTE(SUBSTITUTE(SUBSTITUTE(SUBSTITUTE(SUBSTITUTE(SUBSTITUTE(SUBSTITUTE(SUBSTITUTE(SUBSTITUTE(SUBSTITUTE(SUBSTITUTE(SUBSTITUTE(SUBSTITUTE(SUBSTITUTE(SUBSTITUTE(SUBSTITUTE(SUBSTITUTE(SUBSTITUTE(SUBSTITUTE(BO413,"b","a"),"c","a"),"d","a"),"e","a"),"f","a"),"g","a"),"h","a"),"i","a"),"j","a"),"k","a"),"l","a"),"m","a"),"n","a"),"o","a"),"p","a"),"q","a"),"r","a"),"s","a"),"t","a"),"u","a"),"v","a"),"w","a"),"x","a"),"y","a"),"z","a")</f>
        <v/>
      </c>
      <c r="BQ413" s="61" t="n">
        <f aca="false">IFERROR(IF(AND(ISERROR(SEARCH(" mh"," "&amp;LOWER(W413))),ISNA(MATCH(LEFT(TRIM(BP413),255),{"0000a","000a","00a","0000aa","000aa","00aa","0aa","0000aaa","000aaa","00a00","0a00","0000-0000","00:00","a00","a0","00.00.0000","00/00/0000","00-00-0000","0000-00-00","0000/00/00","0000.00.00","00.00.00","00/00/00","00-00-00","0.00.0000","0/00/0000","0-00-0000"},0)),ISNA(MATCH(LEFT(TRIM(CA413),255),{"0000a","000a","00a","0000aa","000aa","00aa","0aa","0000aaa","000aaa","00a00","0a00","0000-0000","00:00","a00","a0","00.00.0000","00/00/0000","00-00-0000","0000-00-00","0000/00/00","0000.00.00","00.00.00","00/00/00","00-00-00","0.00.0000","0/00/0000","0-00-0000"},0)),LEN(CB413)&gt;=3,NOT(OR(SUBSTITUTE(CB413,"0","")="",AND(LEN(CB413)&gt;=4,CB413=REPT(LEFT(CB413),LEN(CB413))),ISNUMBER(MATCH(CB413,{"123","1234","12345","123456","1234567","12345678","0123","01234","012345","98765","987654","54321"},0)),AND(LEN(CB413)=8,LEFT(CB413,3)="202"))),OR(AND((LEN(CA413)-LEN(SUBSTITUTE(CA413,"a","")))&gt;=1,SUMPRODUCT(--ISNUMBER(SEARCH({"a0","a-0","a_0","a/0","a.0","a#0","0a","0-a","0_a","0/a"},BP413)))&gt;0),ISNUMBER(SEARCH("000000",BP413)))),1,0),0)</f>
        <v>0</v>
      </c>
      <c r="BR413" s="61" t="n">
        <f aca="false">IFERROR(LEN(SUBSTITUTE(CC413," ",""))-SUMPRODUCT((LEN(CC413)-LEN(SUBSTITUTE(CC413," "&amp;L_Role&amp;" "," ")))/(LEN(L_Role)+1)*LEN(L_Role)),0)</f>
        <v>0</v>
      </c>
      <c r="BS413" s="61" t="n">
        <f aca="false">IFERROR(LEN(SUBSTITUTE(CD413," ",""))-SUMPRODUCT((LEN(CD413)-LEN(SUBSTITUTE(CD413," "&amp;L_Role&amp;" "," ")))/(LEN(L_Role)+1)*LEN(L_Role)),0)</f>
        <v>0</v>
      </c>
      <c r="BT4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413,"revision",""),"version",""),"jan",""),"feb",""),"mar",""),"apr",""),"may",""),"jun",""),"jul",""),"aug",""),"sep",""),"oct",""),"nov",""),"dec",""),"utc",""),"gmt",""),"myt",""),"bst",""),"rev",""),"ver",""),"b","a"),"c","a"),"d","a"),"e","a"),"f","a"),"g","a"),"h","a"),"i","a"),"j","a"),"k","a"),"l","a"),"m","a"),"n","a"),"o","a"),"p","a"),"q","a"),"r","a"),"s","a"),"t","a"),"u","a"),"v","a"),"w","a"),"x","a"),"y","a"),"z","a")</f>
        <v/>
      </c>
      <c r="BU413" s="61" t="str">
        <f aca="false">SUBSTITUTE(SUBSTITUTE(SUBSTITUTE(SUBSTITUTE(SUBSTITUTE(SUBSTITUTE(SUBSTITUTE(SUBSTITUTE(SUBSTITUTE(SUBSTITUTE(LEFT(BM413,FIND("0",BM413&amp;"0")-1),"-",""),"_",""),"/",""),".",""),"#",""),"\\",""),":","")," ",""),"(",""),")","")</f>
        <v/>
      </c>
      <c r="BV413" s="61" t="n">
        <f aca="false">IFERROR(IF(OR(SUMPRODUCT((LEN(BC413)-LEN(SUBSTITUTE(BC413," "&amp;L_NotLoaded&amp;" "," ")))/(LEN(L_NotLoaded)+1))&gt;SUMPRODUCT((LEN(BC413)-LEN(SUBSTITUTE(BC413," "&amp;L_NotLoadedNeg&amp;" "," ")))/(LEN(L_NotLoadedNeg)+1)),SUMPRODUCT((LEN(BD413)-LEN(SUBSTITUTE(BD413," "&amp;L_NotLoaded&amp;" "," ")))/(LEN(L_NotLoaded)+1))&gt;SUMPRODUCT((LEN(BD413)-LEN(SUBSTITUTE(BD413," "&amp;L_NotLoadedNeg&amp;" "," ")))/(LEN(L_NotLoadedNeg)+1))),1,0),0)</f>
        <v>0</v>
      </c>
      <c r="BW4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413&amp;""),"a",""),"b",""),"c",""),"d",""),"e",""),"f",""),"g",""),"h",""),"i",""),"j",""),"k",""),"l",""),"m",""),"n",""),"o",""),"p",""),"q",""),"r",""),"s",""),"t",""),"u",""),"v",""),"w",""),"x",""),"y",""),"z",""),"-",""),"_",""),"/",""),".",""),"#",""),"\\",""),":","")," ",""),"(",""),")","")</f>
        <v/>
      </c>
      <c r="BX413" s="61" t="str">
        <f aca="false">SUBSTITUTE(SUBSTITUTE(SUBSTITUTE(SUBSTITUTE(SUBSTITUTE(SUBSTITUTE(SUBSTITUTE(SUBSTITUTE(SUBSTITUTE(SUBSTITUTE(SUBSTITUTE(BM413,"0",""),"-",""),"_",""),"/",""),".",""),"#",""),"\\",""),":","")," ",""),"(",""),")","")</f>
        <v/>
      </c>
      <c r="BY413" s="62" t="n">
        <f aca="false">IF(ISNUMBER(Flights!$AZ$16),MAX(Q413-UpliftWindowH/24,Flights!$AZ$16),Q413-UpliftWindowH/24)</f>
        <v>46307.3506944444</v>
      </c>
      <c r="BZ413" s="61" t="n">
        <f aca="false">IFERROR(IF(IF(TRIM(S413)="Link / file path",AND(LEN(TRIM(Z413))&gt;=5,SUMPRODUCT(--ISNUMBER(SEARCH({"http","www.","\\",":\",".pdf",".jpg",".jpeg",".png",".heic",".xls",".doc",".msg",".eml",".ppt",".txt",".zip"},Z413)))&gt;0),AND(ISERROR(FIND(" ",TRIM(Z413))),NOT(OR(SUMPRODUCT(--ISNUMBER(FIND({",",";","&amp;","+"},Z413)))&gt;0,SUMPRODUCT(--ISNUMBER(SEARCH({"0/aa","0\\aa"},BN413)))&gt;0)),NOT(SUMPRODUCT(--ISNUMBER(SEARCH({"http","www.","\\",":\",".pdf",".jpg",".jpeg",".png",".heic",".xls",".doc",".msg",".eml",".ppt",".txt",".zip"},Z413)))&gt;0),NOT(LOWER(TRIM(Z413))=LOWER(Flights!$F$16)),ISNA(MATCH(BU413,{"mh","rev","revision","ver","version","v","r","a","b","seat","tray","row","gate","bay","stand","page","pg","item","line","no","cart","galley","flight","flt","table","box","bag","oven","etd","eta","std","sta","atd","ata","qty","pax","x","time","tel","ph","mob","day","wk","week","utc","gmt","myt","lt"},0)),NOT(OR(ISNUMBER(MATCH(LEFT(BN413,255),{"0000a","000a","00a","0000aa","000aa","00aa","0aa","0000aaa","000aaa","00a00","0a00","0000-0000","00:00","a00","a0","00.00.0000","00/00/0000","00-00-0000","0000-00-00","0000/00/00","0000.00.00","00.00.00","00/00/00","00-00-00","0.00.0000","0/00/0000","0-00-0000"},0)),ISNUMBER(MATCH(LEFT(BT413,255),{"0000a","000a","00a","0000aa","000aa","00aa","0aa","0000aaa","000aaa","00a00","0a00","0000-0000","00:00","a00","a0","00.00.0000","00/00/0000","00-00-0000","0000-00-00","0000/00/00","0000.00.00","00.00.00","00/00/00","00-00-00","0.00.0000","0/00/0000","0-00-0000"},0)))),NOT(OR(AND(BW413&lt;&gt;"",SUBSTITUTE(BW413,"0","")=""),AND(LEN(BW413)&gt;=4,BW413=REPT(LEFT(BW413),LEN(BW413))),ISNUMBER(MATCH(BW413,{"123","1234","12345","123456","1234567","12345678","0123","01234","012345","98765","987654","54321"},0)),ISNUMBER(MATCH(BX413,{"x","xx","xxx","xxxx","xxxxx","abc","abcd","nil","na","nan","test","tbc","tba","tbd","dummy","sample","example","eg","zz","zzz","none","null","xyz","qwe","asd","id","ref"},0)),AND(LEN(BW413)=8,BX413="",OR(LEFT(BW413,3)="202",ISNUMBER(MATCH(RIGHT(BW413,4),{"2025","2026","2027"},0)))))),OR(AND((LEN(BT413)-LEN(SUBSTITUTE(BT413,"a","")))&gt;=1,(LEN(BN413)-LEN(SUBSTITUTE(BN413,"0","")))&gt;=2,SUMPRODUCT(--ISNUMBER(SEARCH({"a0","a-0","a_0","a/0","a.0","a#0","0a","0-a","0_a","0/a"},BN413)))&gt;0),AND((LEN(BN413)-LEN(SUBSTITUTE(BN413,"a","")))=0,(LEN(BN413)-LEN(SUBSTITUTE(BN413,"0","")))&gt;=5)))),1,0),0)</f>
        <v>0</v>
      </c>
      <c r="CA4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413,"revision",""),"version",""),"jan",""),"feb",""),"mar",""),"apr",""),"may",""),"jun",""),"jul",""),"aug",""),"sep",""),"oct",""),"nov",""),"dec",""),"utc",""),"gmt",""),"myt",""),"bst",""),"rev",""),"ver",""),"b","a"),"c","a"),"d","a"),"e","a"),"f","a"),"g","a"),"h","a"),"i","a"),"j","a"),"k","a"),"l","a"),"m","a"),"n","a"),"o","a"),"p","a"),"q","a"),"r","a"),"s","a"),"t","a"),"u","a"),"v","a"),"w","a"),"x","a"),"y","a"),"z","a")</f>
        <v/>
      </c>
      <c r="CB4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413&amp;""),"a",""),"b",""),"c",""),"d",""),"e",""),"f",""),"g",""),"h",""),"i",""),"j",""),"k",""),"l",""),"m",""),"n",""),"o",""),"p",""),"q",""),"r",""),"s",""),"t",""),"u",""),"v",""),"w",""),"x",""),"y",""),"z",""),"-",""),"_",""),"/",""),".",""),"#",""),"\\",""),":","")," ",""),"(",""),")","")</f>
        <v/>
      </c>
      <c r="CC413" s="0" t="str">
        <f aca="false">" "&amp;TRIM(SUBSTITUTE(SUBSTITUTE(SUBSTITUTE(SUBSTITUTE(SUBSTITUTE(SUBSTITUTE(SUBSTITUTE(SUBSTITUTE(SUBSTITUTE(SUBSTITUTE(SUBSTITUTE(SUBSTITUTE(SUBSTITUTE(SUBSTITUTE(SUBSTITUTE(SUBSTITUTE(SUBSTITUTE(SUBSTITUTE(SUBSTITUTE(SUBSTITUTE(SUBSTITUTE(SUBSTITUTE(SUBSTITUTE(SUBSTITUTE(LOWER(T413&amp;""),CHAR(10)," "),CHAR(13)," "),CHAR(9)," "),CHAR(160)," "),"."," "),","," "),"-"," "),"/"," "),"("," "),")"," "),":"," "),";"," "),"_"," "),"–"," "),"?"," "),"!"," "),"*"," "),"["," "),"]"," "),"'"," "),"#"," "),"+"," "),"&amp;"," "),"\"," "))&amp;" "</f>
        <v>  </v>
      </c>
      <c r="CD413" s="0" t="str">
        <f aca="false">" "&amp;TRIM(SUBSTITUTE(SUBSTITUTE(SUBSTITUTE(SUBSTITUTE(SUBSTITUTE(SUBSTITUTE(SUBSTITUTE(SUBSTITUTE(SUBSTITUTE(SUBSTITUTE(SUBSTITUTE(SUBSTITUTE(SUBSTITUTE(SUBSTITUTE(SUBSTITUTE(SUBSTITUTE(SUBSTITUTE(SUBSTITUTE(SUBSTITUTE(SUBSTITUTE(SUBSTITUTE(SUBSTITUTE(SUBSTITUTE(SUBSTITUTE(LOWER(AE413&amp;""),CHAR(10)," "),CHAR(13)," "),CHAR(9)," "),CHAR(160)," "),"."," "),","," "),"-"," "),"/"," "),"("," "),")"," "),":"," "),";"," "),"_"," "),"–"," "),"?"," "),"!"," "),"*"," "),"["," "),"]"," "),"'"," "),"#"," "),"+"," "),"&amp;"," "),"\"," "))&amp;" "</f>
        <v>  </v>
      </c>
      <c r="CE413" s="68" t="n">
        <f aca="false">IFERROR(IF(AND(LEN(AU413)&gt;0,LEN(AU413)=LEN(AX413),OR(TRIM(MID(SUBSTITUTE(TRIM(CC413)," ",REPT(" ",60)),1,60))="",ISNUMBER(SEARCH(" "&amp;TRIM(MID(SUBSTITUTE(TRIM(CC413)," ",REPT(" ",60)),1,60))&amp;" ",CD413))),OR(TRIM(MID(SUBSTITUTE(TRIM(CC413)," ",REPT(" ",60)),61,60))="",ISNUMBER(SEARCH(" "&amp;TRIM(MID(SUBSTITUTE(TRIM(CC413)," ",REPT(" ",60)),61,60))&amp;" ",CD413))),OR(TRIM(MID(SUBSTITUTE(TRIM(CC413)," ",REPT(" ",60)),121,60))="",ISNUMBER(SEARCH(" "&amp;TRIM(MID(SUBSTITUTE(TRIM(CC413)," ",REPT(" ",60)),121,60))&amp;" ",CD413)))),1,0),0)</f>
        <v>0</v>
      </c>
      <c r="CG413" s="68" t="n">
        <f aca="false">IFERROR(LEN(SUBSTITUTE(BF413," ",""))-SUMPRODUCT((LEN(BF413)-LEN(SUBSTITUTE(BF413," "&amp;L_NAFiller&amp;" "," ")))/(LEN(L_NAFiller)+1)*LEN(L_NAFiller)),0)</f>
        <v>0</v>
      </c>
    </row>
    <row r="414" customFormat="false" ht="39.75" hidden="false" customHeight="true" outlineLevel="0" collapsed="false">
      <c r="A414" s="57" t="s">
        <v>1046</v>
      </c>
      <c r="B414" s="57" t="s">
        <v>261</v>
      </c>
      <c r="C414" s="57" t="str">
        <f aca="false">Flights!$F$16</f>
        <v>MH0139</v>
      </c>
      <c r="D414" s="58" t="n">
        <f aca="false">Flights!$D$16</f>
        <v>46307</v>
      </c>
      <c r="E414" s="57" t="str">
        <f aca="false">Flights!$G$16&amp;"-"&amp;Flights!$H$16</f>
        <v>KUL-ADL</v>
      </c>
      <c r="F414" s="57" t="str">
        <f aca="false">Flights!$K$16</f>
        <v>BC</v>
      </c>
      <c r="G414" s="57" t="s">
        <v>459</v>
      </c>
      <c r="H414" s="57" t="s">
        <v>460</v>
      </c>
      <c r="I414" s="57" t="s">
        <v>440</v>
      </c>
      <c r="J414" s="57" t="s">
        <v>643</v>
      </c>
      <c r="K414" s="67" t="s">
        <v>501</v>
      </c>
      <c r="L414" s="67" t="s">
        <v>1016</v>
      </c>
      <c r="M414" s="67" t="s">
        <v>187</v>
      </c>
      <c r="N414" s="67" t="s">
        <v>383</v>
      </c>
      <c r="O414" s="67"/>
      <c r="P414" s="57" t="s">
        <v>187</v>
      </c>
      <c r="Q414" s="59" t="n">
        <f aca="false">ROUND((Flights!$AF$16)*1440,0)/1440</f>
        <v>46307.6006944444</v>
      </c>
      <c r="R414" s="59" t="n">
        <f aca="false">Q414+(IF(AND(INDEX(TZ_DSTS,MATCH(P414,TZ_STN,0))&lt;&gt;"",Q414&gt;=INDEX(TZ_DSTS,MATCH(P414,TZ_STN,0)),Q414&lt;INDEX(TZ_DSTE,MATCH(P414,TZ_STN,0))),INDEX(TZ_DST,MATCH(P414,TZ_STN,0)),INDEX(TZ_STD,MATCH(P414,TZ_STN,0))))/24</f>
        <v>46307.9340277778</v>
      </c>
      <c r="S414" s="60"/>
      <c r="T414" s="60"/>
      <c r="U414" s="60"/>
      <c r="V414" s="60"/>
      <c r="W414" s="61"/>
      <c r="X414" s="60"/>
      <c r="Y414" s="60"/>
      <c r="Z414" s="60"/>
      <c r="AA414" s="60"/>
      <c r="AB414" s="60"/>
      <c r="AC414" s="60"/>
      <c r="AD414" s="66"/>
      <c r="AE414" s="60"/>
      <c r="AF414" s="61" t="str">
        <f aca="false">IF(AND(ISNUMBER(X414),ISNUMBER(Y414)),Y414-X414,"")</f>
        <v/>
      </c>
      <c r="AG414" s="62" t="str">
        <f aca="false">IF(ISNUMBER(AD414),AD414-(IF(AND(INDEX(TZ_DSTS,MATCH(P414,TZ_STN,0))&lt;&gt;"",(AD414-INDEX(TZ_STD,MATCH(P414,TZ_STN,0))/24)&gt;=INDEX(TZ_DSTS,MATCH(P414,TZ_STN,0)),(AD414-INDEX(TZ_STD,MATCH(P414,TZ_STN,0))/24)&lt;INDEX(TZ_DSTE,MATCH(P414,TZ_STN,0))),INDEX(TZ_DST,MATCH(P414,TZ_STN,0)),INDEX(TZ_STD,MATCH(P414,TZ_STN,0))))/24,"")</f>
        <v/>
      </c>
      <c r="AH414" s="65" t="str">
        <f aca="false">IFERROR(IF(N414="N/A – rule",IF(OR(TRIM(U414)="",TRIM(U414)="N/A",TRIM(U414)="Not started"),"N/A – RULE","INVALID – this check does not apply to this aircraft: clear the status (or correct the fleet on Flights)"),IF(TRIM(U414)="N/A",IF(AT414=0,"INVALID – N/A not permitted for this check",IF(AND(TRIM(AB414)&lt;&gt;"",TRIM(AB414)&lt;&gt;"Closed"),"INVALID – corrective action still open",IF(AND(NOT(OR(LEN(AZ414)&lt;15,ISNUMBER(MATCH(AZ414,L_Placeholder,0)))),BK414=0,CG414&gt;=8,NOT(OR(LEN(AU414)&lt;2,ISNUMBER(MATCH(AU414,L_Placeholder,0)))),BR414&gt;=3,NOT(OR(LEN(AX414)&lt;2,ISNUMBER(MATCH(AX414,L_Placeholder,0)))),BS414&gt;=3,TRIM(AE414)&lt;&gt;TRIM(T414),AX414&lt;&gt;AU414,CE414=0),"N/A – JUSTIFIED","INVALID – N/A needs a real, settled reason (not 'not applicable' / 'as above' / TBC), a named PIC and a different named verifier"))),IF(OR(TRIM(U414)="Pass",TRIM(U414)="Pass after CA"),IF(NOT(ISNUMBER(AD414)),"INVALID – completion time missing",IF(OR(OR(LEN(AU414)&lt;2,ISNUMBER(MATCH(AU414,L_Placeholder,0))),BR414&lt;3),"INVALID – PIC missing or not a named person (a role such as QA / CSM is not a name)",IF(OR(LEN(AV414)&lt;2,ISNUMBER(MATCH(AV414,L_Placeholder,0))),"INVALID – result / assessment missing",IF(OR(OR(LEN(AW414)&lt;3,ISNUMBER(MATCH(AW414,L_Placeholder,0))),SUMPRODUCT(--ISNUMBER(SEARCH(" "&amp;L_EvidencePhrase&amp;" ",BD414)))&gt;0,BI414=1),"INVALID – evidence missing, placeholder or not yet on file",IF(ISNA(MATCH(TRIM(S414),L_EvidenceType,0)),"INVALID – choose the evidence type from the list (column S)",IF(BL414=0,"INVALID – evidence ID must be the record's own ID only (e.g. SF-2210, IMG_2231, 1045521); a link / file name needs type 'Link / file path'",IF(OR(OR(LEN(AX414)&lt;2,ISNUMBER(MATCH(AX414,L_Placeholder,0))),BS414&lt;3),"INVALID – verifier missing or not a named person (a role such as QA / CSM is not a name)",IF(OR(AX414=AU414,CE414=1,AND(LEN(AU414)&gt;=4,ISNUMBER(SEARCH(AU414,AX414))),AND(LEN(AX414)&gt;=4,ISNUMBER(SEARCH(AX414,AU414)))),"INVALID – verifier must be a different, named person (not the PIC or a role)",IF(BH414=1,"INVALID – result not yet available (awaiting / TBC)",IF(BG414=1,"INVALID – result describes a problem: record Fail, then Pass after CA (or reword if it is not a problem)",IF(BV414=1,"INVALID – wording says not on board: an on-board confirmation needs the item loaded",IF(AND(AQ414=1,OR(OR(LEN(AY414)&lt;3,ISNUMBER(MATCH(AY414,L_Placeholder,0))),BJ414=1,BQ414=0)),"INVALID – batch ID missing, placeholder or not an ID (e.g. PASB-261008-BC-017)",IF(AND(AR414=1,OR(NOT(ISNUMBER(X414)),NOT(ISNUMBER(Y414)))),"INVALID – expected/actual qty missing",IF(AND(AR414=1,OR(X414&lt;=0,Y414&lt;0)),"INVALID – expected qty must be above 0 and actual not negative",IF(AH398="N/A – JUSTIFIED","INVALID – preparation row F12-T12-09 is N/A",IF(AND(AR414=1,ISNUMBER(X398),X414&lt;&gt;X398,TRIM(U414)&lt;&gt;"Pass after CA"),"INVALID – expected qty differs from preparation check F12-T12-09: record the load change as a corrective action (Pass after CA)",IF(BB414&lt;&gt;"",BB414,IF(AND(AS414=1,Documents!$J$16&lt;&gt;"ON FILE"),"INVALID – GLD not on file (Documents sheet)",IF(AND(AS414=2,Documents!$O$16&lt;&gt;"ON FILE"),"INVALID – menu checklist not on file (Documents sheet)",IF(AND(AS414=3,NOT(ISNUMBER(Flights!$AX$16))),"INVALID – enter carrying flight KUL departure (Flights AX)",IF(AND(AS414=3,OR(Flights!$AZ$16&gt;Flights!$AA$16,Flights!$AX$16&lt;Flights!$AA$16-3)),"INVALID – carrying flight (Flights AX) cannot arrive before this leg's STD, or is over 3 days early",IF(AG414&gt;AsOfUTC,"INVALID – completion time is in the future",IF(AND(ISNUMBER(BY414),AG414&lt;BY414),IF(H414="Physical uplift","INVALID – before uplift window (cannot confirm loading)","INVALID – before valid window"),IF(AG414&gt;Flights!$AA$16,"INVALID – completed after departure (cannot establish readiness)",IF(AND(H414="Preparation",AG414&gt;=IF(ISNUMBER(Flights!$BA$16),MIN(Flights!$BA$16,Flights!$AA$16),Flights!$AA$16)),"INVALID – completed after loading / departure (cannot establish readiness)",IF(AND(H414="Physical uplift",AG414&gt;Q414),"INVALID – recorded after the loading flight departed",IF(AG414&gt;Q414,"COMPLETE – LATE","COMPLETE"))))))))))))))))))))))))))),IF(TRIM(U414)="Fail","FAIL – DISCREPANCY",IF(AND(TRIM(U414)&lt;&gt;"",TRIM(U414)&lt;&gt;"Not started",TRIM(U414)&lt;&gt;"In progress"),"INVALID – unrecognised status (use the list)",IF(AsOfUTC&gt;Q414,"OVERDUE",IF(N414="Clarification required","OPEN – CLARIFICATION","OPEN"))))))),"INVALID – error value in an input cell")</f>
        <v>OPEN</v>
      </c>
      <c r="AI414" s="61" t="n">
        <f aca="false">IF(OR(AH414="N/A – RULE",AH414="N/A – JUSTIFIED"),0,1)</f>
        <v>1</v>
      </c>
      <c r="AJ414" s="61" t="n">
        <f aca="false">IF(LEFT(AH414,8)="COMPLETE",1,0)</f>
        <v>0</v>
      </c>
      <c r="AK414" s="61" t="n">
        <f aca="false">IF(AND(AI414=1,AJ414=0,AsOfUTC&gt;Q414),1,0)</f>
        <v>0</v>
      </c>
      <c r="AL414" s="61" t="n">
        <f aca="false">IFERROR(IF(AND(AI414=1,OR(TRIM(U414)="Fail",AND(TRIM(AB414)&lt;&gt;"",TRIM(AB414)&lt;&gt;"Closed"),AND(ISNUMBER(AF414),AF414&lt;&gt;0,TRIM(U414)&lt;&gt;"Pass after CA"))),1,0),1)</f>
        <v>0</v>
      </c>
      <c r="AM414" s="61" t="n">
        <f aca="false">IF(LEFT(AH414,7)="INVALID",1,0)</f>
        <v>0</v>
      </c>
      <c r="AN414" s="61" t="n">
        <f aca="false">IF(AND(N414="Clarification required",AI414=1,AJ414=0),1,0)</f>
        <v>0</v>
      </c>
      <c r="AO414" s="61" t="str">
        <f aca="false">IF(AK414=1,SUM(AK$5:AK414),"")</f>
        <v/>
      </c>
      <c r="AP414" s="61" t="str">
        <f aca="false">IF(AL414=1,SUM(AL$5:AL414),"")</f>
        <v/>
      </c>
      <c r="AQ414" s="61" t="n">
        <v>0</v>
      </c>
      <c r="AR414" s="61" t="n">
        <v>0</v>
      </c>
      <c r="AS414" s="61" t="n">
        <v>0</v>
      </c>
      <c r="AT414" s="61" t="n">
        <v>0</v>
      </c>
      <c r="AU414" s="61" t="str">
        <f aca="false">SUBSTITUTE(SUBSTITUTE(SUBSTITUTE(SUBSTITUTE(SUBSTITUTE(SUBSTITUTE(SUBSTITUTE(SUBSTITUTE(SUBSTITUTE(SUBSTITUTE(SUBSTITUTE(SUBSTITUTE(SUBSTITUTE(SUBSTITUTE(SUBSTITUTE(SUBSTITUTE(LOWER(T414&amp;""),CHAR(10),""),CHAR(13),""),CHAR(9),""),CHAR(160),"")," ",""),".",""),"-",""),"/",""),"?",""),"_",""),",",""),"[",""),"]",""),"(",""),")",""),"*","")</f>
        <v/>
      </c>
      <c r="AV414" s="61" t="str">
        <f aca="false">SUBSTITUTE(SUBSTITUTE(SUBSTITUTE(SUBSTITUTE(SUBSTITUTE(SUBSTITUTE(SUBSTITUTE(SUBSTITUTE(SUBSTITUTE(SUBSTITUTE(SUBSTITUTE(SUBSTITUTE(SUBSTITUTE(SUBSTITUTE(SUBSTITUTE(SUBSTITUTE(LOWER(V414&amp;""),CHAR(10),""),CHAR(13),""),CHAR(9),""),CHAR(160),"")," ",""),".",""),"-",""),"/",""),"?",""),"_",""),",",""),"[",""),"]",""),"(",""),")",""),"*","")</f>
        <v/>
      </c>
      <c r="AW414" s="61" t="str">
        <f aca="false">SUBSTITUTE(SUBSTITUTE(SUBSTITUTE(SUBSTITUTE(SUBSTITUTE(SUBSTITUTE(SUBSTITUTE(SUBSTITUTE(SUBSTITUTE(SUBSTITUTE(SUBSTITUTE(SUBSTITUTE(SUBSTITUTE(SUBSTITUTE(SUBSTITUTE(SUBSTITUTE(LOWER(Z414&amp;""),CHAR(10),""),CHAR(13),""),CHAR(9),""),CHAR(160),"")," ",""),".",""),"-",""),"/",""),"?",""),"_",""),",",""),"[",""),"]",""),"(",""),")",""),"*","")</f>
        <v/>
      </c>
      <c r="AX414" s="61" t="str">
        <f aca="false">SUBSTITUTE(SUBSTITUTE(SUBSTITUTE(SUBSTITUTE(SUBSTITUTE(SUBSTITUTE(SUBSTITUTE(SUBSTITUTE(SUBSTITUTE(SUBSTITUTE(SUBSTITUTE(SUBSTITUTE(SUBSTITUTE(SUBSTITUTE(SUBSTITUTE(SUBSTITUTE(LOWER(AE414&amp;""),CHAR(10),""),CHAR(13),""),CHAR(9),""),CHAR(160),"")," ",""),".",""),"-",""),"/",""),"?",""),"_",""),",",""),"[",""),"]",""),"(",""),")",""),"*","")</f>
        <v/>
      </c>
      <c r="AY414" s="61" t="str">
        <f aca="false">SUBSTITUTE(SUBSTITUTE(SUBSTITUTE(SUBSTITUTE(SUBSTITUTE(SUBSTITUTE(SUBSTITUTE(SUBSTITUTE(SUBSTITUTE(SUBSTITUTE(SUBSTITUTE(SUBSTITUTE(SUBSTITUTE(SUBSTITUTE(SUBSTITUTE(SUBSTITUTE(LOWER(W414&amp;""),CHAR(10),""),CHAR(13),""),CHAR(9),""),CHAR(160),"")," ",""),".",""),"-",""),"/",""),"?",""),"_",""),",",""),"[",""),"]",""),"(",""),")",""),"*","")</f>
        <v/>
      </c>
      <c r="AZ414" s="61" t="str">
        <f aca="false">SUBSTITUTE(SUBSTITUTE(SUBSTITUTE(SUBSTITUTE(SUBSTITUTE(SUBSTITUTE(SUBSTITUTE(SUBSTITUTE(SUBSTITUTE(SUBSTITUTE(SUBSTITUTE(SUBSTITUTE(SUBSTITUTE(SUBSTITUTE(SUBSTITUTE(SUBSTITUTE(LOWER(AC414&amp;""),CHAR(10),""),CHAR(13),""),CHAR(9),""),CHAR(160),"")," ",""),".",""),"-",""),"/",""),"?",""),"_",""),",",""),"[",""),"]",""),"(",""),")",""),"*","")</f>
        <v/>
      </c>
      <c r="BA414" s="61" t="str">
        <f aca="false">SUBSTITUTE(SUBSTITUTE(SUBSTITUTE(SUBSTITUTE(SUBSTITUTE(SUBSTITUTE(SUBSTITUTE(SUBSTITUTE(SUBSTITUTE(SUBSTITUTE(SUBSTITUTE(SUBSTITUTE(SUBSTITUTE(SUBSTITUTE(SUBSTITUTE(SUBSTITUTE(LOWER(AA414&amp;""),CHAR(10),""),CHAR(13),""),CHAR(9),""),CHAR(160),"")," ",""),".",""),"-",""),"/",""),"?",""),"_",""),",",""),"[",""),"]",""),"(",""),")",""),"*","")</f>
        <v/>
      </c>
      <c r="BB414" s="61" t="str">
        <f aca="false">IF(AND(TRIM(U414)="Pass",ISNUMBER(AF414)),IF(AF414&lt;&gt;0,"INVALID – qty variance: use Fail or Pass after CA",""),"")&amp;IF(AND(TRIM(U414)="Pass after CA",ISNUMBER(AF414)),IF(AF414&lt;&gt;0,"INVALID – after the corrective action the actual qty must equal expected (update Actual)",""),"")&amp;IF(AND(TRIM(U414)="Pass",TRIM(AB414)&lt;&gt;"",TRIM(AB414)&lt;&gt;"Closed"),"INVALID – corrective action not closed: use Fail, then Pass after CA","")&amp;IF(AND(LEN(BA414)&gt;=2,ISNA(MATCH(LEFT(BA414,255),L_Placeholder,0)),TRIM(AB414)=""),"INVALID – CA status missing for the recorded corrective action","")&amp;IF(AND(TRIM(U414)="Pass after CA",OR(OR(LEN(BA414)&lt;5,ISNUMBER(MATCH(BA414,L_Placeholder,0))),TRIM(AB414)&lt;&gt;"Closed")),"INVALID – corrective action not recorded/closed","")</f>
        <v/>
      </c>
      <c r="BC414" s="61" t="str">
        <f aca="false">" "&amp;TRIM(SUBSTITUTE(SUBSTITUTE(SUBSTITUTE(SUBSTITUTE(SUBSTITUTE(SUBSTITUTE(SUBSTITUTE(SUBSTITUTE(SUBSTITUTE(SUBSTITUTE(SUBSTITUTE(SUBSTITUTE(SUBSTITUTE(SUBSTITUTE(SUBSTITUTE(SUBSTITUTE(SUBSTITUTE(SUBSTITUTE(SUBSTITUTE(SUBSTITUTE(SUBSTITUTE(SUBSTITUTE(SUBSTITUTE(SUBSTITUTE(LOWER(V414&amp;""),CHAR(10)," "),CHAR(13)," "),CHAR(9)," "),CHAR(160)," "),"."," "),","," "),"-"," "),"/"," "),"("," "),")"," "),":"," "),";"," "),"_"," "),"–"," "),"?"," "),"!"," "),"*"," "),"["," "),"]"," "),"'"," "),"#"," "),"+"," "),"&amp;"," "),"\"," "))&amp;" "</f>
        <v>  </v>
      </c>
      <c r="BD414" s="61" t="str">
        <f aca="false">" "&amp;TRIM(SUBSTITUTE(SUBSTITUTE(SUBSTITUTE(SUBSTITUTE(SUBSTITUTE(SUBSTITUTE(SUBSTITUTE(SUBSTITUTE(SUBSTITUTE(SUBSTITUTE(SUBSTITUTE(SUBSTITUTE(SUBSTITUTE(SUBSTITUTE(SUBSTITUTE(SUBSTITUTE(SUBSTITUTE(SUBSTITUTE(SUBSTITUTE(SUBSTITUTE(SUBSTITUTE(SUBSTITUTE(SUBSTITUTE(SUBSTITUTE(LOWER(Z414&amp;""),CHAR(10)," "),CHAR(13)," "),CHAR(9)," "),CHAR(160)," "),"."," "),","," "),"-"," "),"/"," "),"("," "),")"," "),":"," "),";"," "),"_"," "),"–"," "),"?"," "),"!"," "),"*"," "),"["," "),"]"," "),"'"," "),"#"," "),"+"," "),"&amp;"," "),"\"," "))&amp;" "</f>
        <v>  </v>
      </c>
      <c r="BE414" s="61" t="str">
        <f aca="false">" "&amp;TRIM(SUBSTITUTE(SUBSTITUTE(SUBSTITUTE(SUBSTITUTE(SUBSTITUTE(SUBSTITUTE(SUBSTITUTE(SUBSTITUTE(SUBSTITUTE(SUBSTITUTE(SUBSTITUTE(SUBSTITUTE(SUBSTITUTE(SUBSTITUTE(SUBSTITUTE(SUBSTITUTE(SUBSTITUTE(SUBSTITUTE(SUBSTITUTE(SUBSTITUTE(SUBSTITUTE(SUBSTITUTE(SUBSTITUTE(SUBSTITUTE(LOWER(W414&amp;""),CHAR(10)," "),CHAR(13)," "),CHAR(9)," "),CHAR(160)," "),"."," "),","," "),"-"," "),"/"," "),"("," "),")"," "),":"," "),";"," "),"_"," "),"–"," "),"?"," "),"!"," "),"*"," "),"["," "),"]"," "),"'"," "),"#"," "),"+"," "),"&amp;"," "),"\"," "))&amp;" "</f>
        <v>  </v>
      </c>
      <c r="BF414" s="61" t="str">
        <f aca="false">" "&amp;TRIM(SUBSTITUTE(SUBSTITUTE(SUBSTITUTE(SUBSTITUTE(SUBSTITUTE(SUBSTITUTE(SUBSTITUTE(SUBSTITUTE(SUBSTITUTE(SUBSTITUTE(SUBSTITUTE(SUBSTITUTE(SUBSTITUTE(SUBSTITUTE(SUBSTITUTE(SUBSTITUTE(SUBSTITUTE(SUBSTITUTE(SUBSTITUTE(SUBSTITUTE(SUBSTITUTE(SUBSTITUTE(SUBSTITUTE(SUBSTITUTE(LOWER(AC414&amp;""),CHAR(10)," "),CHAR(13)," "),CHAR(9)," "),CHAR(160)," "),"."," "),","," "),"-"," "),"/"," "),"("," "),")"," "),":"," "),";"," "),"_"," "),"–"," "),"?"," "),"!"," "),"*"," "),"["," "),"]"," "),"'"," "),"#"," "),"+"," "),"&amp;"," "),"\"," "))&amp;" "</f>
        <v>  </v>
      </c>
      <c r="BG414" s="61" t="n">
        <f aca="false">IFERROR(IF(AND(TRIM(U414)="Pass",SUMPRODUCT((LEN(BC414)-LEN(SUBSTITUTE(BC414," "&amp;L_ResultBad&amp;" "," ")))/(LEN(L_ResultBad)+1))&gt;SUMPRODUCT((LEN(BC414)-LEN(SUBSTITUTE(BC414," "&amp;L_NegPhrase&amp;" "," ")))/(LEN(L_NegPhrase)+1))),1,0),0)</f>
        <v>0</v>
      </c>
      <c r="BH414" s="61" t="n">
        <f aca="false">IFERROR(IF(SUMPRODUCT((LEN(BC414)-LEN(SUBSTITUTE(BC414," "&amp;L_Pending&amp;" "," ")))/(LEN(L_Pending)+1))&gt;SUMPRODUCT((LEN(BC414)-LEN(SUBSTITUTE(BC414," "&amp;L_PendNeg&amp;" "," ")))/(LEN(L_PendNeg)+1)),1,0),1)</f>
        <v>0</v>
      </c>
      <c r="BI414" s="61" t="n">
        <f aca="false">IFERROR(IF(SUMPRODUCT((LEN(BD414)-LEN(SUBSTITUTE(BD414," "&amp;L_PendStrict&amp;" "," ")))/(LEN(L_PendStrict)+1))&gt;SUMPRODUCT((LEN(BD414)-LEN(SUBSTITUTE(BD414," "&amp;L_PendNeg&amp;" "," ")))/(LEN(L_PendNeg)+1)),1,0),1)</f>
        <v>0</v>
      </c>
      <c r="BJ414" s="61" t="n">
        <f aca="false">IFERROR(IF(SUMPRODUCT((LEN(BE414)-LEN(SUBSTITUTE(BE414," "&amp;L_Pending&amp;" "," ")))/(LEN(L_Pending)+1))&gt;SUMPRODUCT((LEN(BE414)-LEN(SUBSTITUTE(BE414," "&amp;L_PendNeg&amp;" "," ")))/(LEN(L_PendNeg)+1)),1,0),1)</f>
        <v>0</v>
      </c>
      <c r="BK414" s="61" t="n">
        <f aca="false">IFERROR(IF(SUMPRODUCT((LEN(BF414)-LEN(SUBSTITUTE(BF414," "&amp;L_PendStrict&amp;" "," ")))/(LEN(L_PendStrict)+1))&gt;SUMPRODUCT((LEN(BF414)-LEN(SUBSTITUTE(BF414," "&amp;L_PendNeg&amp;" "," ")))/(LEN(L_PendNeg)+1)),1,0),1)</f>
        <v>0</v>
      </c>
      <c r="BL414" s="61" t="n">
        <f aca="false">IF(ISNA(MATCH(TRIM(S414),L_EvidenceType,0)),0,BZ414)</f>
        <v>0</v>
      </c>
      <c r="BM414" s="61" t="str">
        <f aca="false">SUBSTITUTE(SUBSTITUTE(SUBSTITUTE(SUBSTITUTE(SUBSTITUTE(SUBSTITUTE(SUBSTITUTE(SUBSTITUTE(SUBSTITUTE(LOWER(Z414&amp;""),"1","0"),"2","0"),"3","0"),"4","0"),"5","0"),"6","0"),"7","0"),"8","0"),"9","0")</f>
        <v/>
      </c>
      <c r="BN414" s="61" t="str">
        <f aca="false">SUBSTITUTE(SUBSTITUTE(SUBSTITUTE(SUBSTITUTE(SUBSTITUTE(SUBSTITUTE(SUBSTITUTE(SUBSTITUTE(SUBSTITUTE(SUBSTITUTE(SUBSTITUTE(SUBSTITUTE(SUBSTITUTE(SUBSTITUTE(SUBSTITUTE(SUBSTITUTE(SUBSTITUTE(SUBSTITUTE(SUBSTITUTE(SUBSTITUTE(SUBSTITUTE(SUBSTITUTE(SUBSTITUTE(SUBSTITUTE(SUBSTITUTE(BM414,"b","a"),"c","a"),"d","a"),"e","a"),"f","a"),"g","a"),"h","a"),"i","a"),"j","a"),"k","a"),"l","a"),"m","a"),"n","a"),"o","a"),"p","a"),"q","a"),"r","a"),"s","a"),"t","a"),"u","a"),"v","a"),"w","a"),"x","a"),"y","a"),"z","a")</f>
        <v/>
      </c>
      <c r="BO414" s="61" t="str">
        <f aca="false">SUBSTITUTE(SUBSTITUTE(SUBSTITUTE(SUBSTITUTE(SUBSTITUTE(SUBSTITUTE(SUBSTITUTE(SUBSTITUTE(SUBSTITUTE(LOWER(W414&amp;""),"1","0"),"2","0"),"3","0"),"4","0"),"5","0"),"6","0"),"7","0"),"8","0"),"9","0")</f>
        <v/>
      </c>
      <c r="BP414" s="61" t="str">
        <f aca="false">SUBSTITUTE(SUBSTITUTE(SUBSTITUTE(SUBSTITUTE(SUBSTITUTE(SUBSTITUTE(SUBSTITUTE(SUBSTITUTE(SUBSTITUTE(SUBSTITUTE(SUBSTITUTE(SUBSTITUTE(SUBSTITUTE(SUBSTITUTE(SUBSTITUTE(SUBSTITUTE(SUBSTITUTE(SUBSTITUTE(SUBSTITUTE(SUBSTITUTE(SUBSTITUTE(SUBSTITUTE(SUBSTITUTE(SUBSTITUTE(SUBSTITUTE(BO414,"b","a"),"c","a"),"d","a"),"e","a"),"f","a"),"g","a"),"h","a"),"i","a"),"j","a"),"k","a"),"l","a"),"m","a"),"n","a"),"o","a"),"p","a"),"q","a"),"r","a"),"s","a"),"t","a"),"u","a"),"v","a"),"w","a"),"x","a"),"y","a"),"z","a")</f>
        <v/>
      </c>
      <c r="BQ414" s="61" t="n">
        <f aca="false">IFERROR(IF(AND(ISERROR(SEARCH(" mh"," "&amp;LOWER(W414))),ISNA(MATCH(LEFT(TRIM(BP414),255),{"0000a","000a","00a","0000aa","000aa","00aa","0aa","0000aaa","000aaa","00a00","0a00","0000-0000","00:00","a00","a0","00.00.0000","00/00/0000","00-00-0000","0000-00-00","0000/00/00","0000.00.00","00.00.00","00/00/00","00-00-00","0.00.0000","0/00/0000","0-00-0000"},0)),ISNA(MATCH(LEFT(TRIM(CA414),255),{"0000a","000a","00a","0000aa","000aa","00aa","0aa","0000aaa","000aaa","00a00","0a00","0000-0000","00:00","a00","a0","00.00.0000","00/00/0000","00-00-0000","0000-00-00","0000/00/00","0000.00.00","00.00.00","00/00/00","00-00-00","0.00.0000","0/00/0000","0-00-0000"},0)),LEN(CB414)&gt;=3,NOT(OR(SUBSTITUTE(CB414,"0","")="",AND(LEN(CB414)&gt;=4,CB414=REPT(LEFT(CB414),LEN(CB414))),ISNUMBER(MATCH(CB414,{"123","1234","12345","123456","1234567","12345678","0123","01234","012345","98765","987654","54321"},0)),AND(LEN(CB414)=8,LEFT(CB414,3)="202"))),OR(AND((LEN(CA414)-LEN(SUBSTITUTE(CA414,"a","")))&gt;=1,SUMPRODUCT(--ISNUMBER(SEARCH({"a0","a-0","a_0","a/0","a.0","a#0","0a","0-a","0_a","0/a"},BP414)))&gt;0),ISNUMBER(SEARCH("000000",BP414)))),1,0),0)</f>
        <v>0</v>
      </c>
      <c r="BR414" s="61" t="n">
        <f aca="false">IFERROR(LEN(SUBSTITUTE(CC414," ",""))-SUMPRODUCT((LEN(CC414)-LEN(SUBSTITUTE(CC414," "&amp;L_Role&amp;" "," ")))/(LEN(L_Role)+1)*LEN(L_Role)),0)</f>
        <v>0</v>
      </c>
      <c r="BS414" s="61" t="n">
        <f aca="false">IFERROR(LEN(SUBSTITUTE(CD414," ",""))-SUMPRODUCT((LEN(CD414)-LEN(SUBSTITUTE(CD414," "&amp;L_Role&amp;" "," ")))/(LEN(L_Role)+1)*LEN(L_Role)),0)</f>
        <v>0</v>
      </c>
      <c r="BT4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414,"revision",""),"version",""),"jan",""),"feb",""),"mar",""),"apr",""),"may",""),"jun",""),"jul",""),"aug",""),"sep",""),"oct",""),"nov",""),"dec",""),"utc",""),"gmt",""),"myt",""),"bst",""),"rev",""),"ver",""),"b","a"),"c","a"),"d","a"),"e","a"),"f","a"),"g","a"),"h","a"),"i","a"),"j","a"),"k","a"),"l","a"),"m","a"),"n","a"),"o","a"),"p","a"),"q","a"),"r","a"),"s","a"),"t","a"),"u","a"),"v","a"),"w","a"),"x","a"),"y","a"),"z","a")</f>
        <v/>
      </c>
      <c r="BU414" s="61" t="str">
        <f aca="false">SUBSTITUTE(SUBSTITUTE(SUBSTITUTE(SUBSTITUTE(SUBSTITUTE(SUBSTITUTE(SUBSTITUTE(SUBSTITUTE(SUBSTITUTE(SUBSTITUTE(LEFT(BM414,FIND("0",BM414&amp;"0")-1),"-",""),"_",""),"/",""),".",""),"#",""),"\\",""),":","")," ",""),"(",""),")","")</f>
        <v/>
      </c>
      <c r="BV414" s="61" t="n">
        <f aca="false">IFERROR(IF(OR(SUMPRODUCT((LEN(BC414)-LEN(SUBSTITUTE(BC414," "&amp;L_NotLoaded&amp;" "," ")))/(LEN(L_NotLoaded)+1))&gt;SUMPRODUCT((LEN(BC414)-LEN(SUBSTITUTE(BC414," "&amp;L_NotLoadedNeg&amp;" "," ")))/(LEN(L_NotLoadedNeg)+1)),SUMPRODUCT((LEN(BD414)-LEN(SUBSTITUTE(BD414," "&amp;L_NotLoaded&amp;" "," ")))/(LEN(L_NotLoaded)+1))&gt;SUMPRODUCT((LEN(BD414)-LEN(SUBSTITUTE(BD414," "&amp;L_NotLoadedNeg&amp;" "," ")))/(LEN(L_NotLoadedNeg)+1))),1,0),0)</f>
        <v>0</v>
      </c>
      <c r="BW4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414&amp;""),"a",""),"b",""),"c",""),"d",""),"e",""),"f",""),"g",""),"h",""),"i",""),"j",""),"k",""),"l",""),"m",""),"n",""),"o",""),"p",""),"q",""),"r",""),"s",""),"t",""),"u",""),"v",""),"w",""),"x",""),"y",""),"z",""),"-",""),"_",""),"/",""),".",""),"#",""),"\\",""),":","")," ",""),"(",""),")","")</f>
        <v/>
      </c>
      <c r="BX414" s="61" t="str">
        <f aca="false">SUBSTITUTE(SUBSTITUTE(SUBSTITUTE(SUBSTITUTE(SUBSTITUTE(SUBSTITUTE(SUBSTITUTE(SUBSTITUTE(SUBSTITUTE(SUBSTITUTE(SUBSTITUTE(BM414,"0",""),"-",""),"_",""),"/",""),".",""),"#",""),"\\",""),":","")," ",""),"(",""),")","")</f>
        <v/>
      </c>
      <c r="BY414" s="62" t="n">
        <f aca="false">IF(ISNUMBER(Flights!$AZ$16),MAX(Q414-UpliftWindowH/24,Flights!$AZ$16),Q414-UpliftWindowH/24)</f>
        <v>46307.3506944444</v>
      </c>
      <c r="BZ414" s="61" t="n">
        <f aca="false">IFERROR(IF(IF(TRIM(S414)="Link / file path",AND(LEN(TRIM(Z414))&gt;=5,SUMPRODUCT(--ISNUMBER(SEARCH({"http","www.","\\",":\",".pdf",".jpg",".jpeg",".png",".heic",".xls",".doc",".msg",".eml",".ppt",".txt",".zip"},Z414)))&gt;0),AND(ISERROR(FIND(" ",TRIM(Z414))),NOT(OR(SUMPRODUCT(--ISNUMBER(FIND({",",";","&amp;","+"},Z414)))&gt;0,SUMPRODUCT(--ISNUMBER(SEARCH({"0/aa","0\\aa"},BN414)))&gt;0)),NOT(SUMPRODUCT(--ISNUMBER(SEARCH({"http","www.","\\",":\",".pdf",".jpg",".jpeg",".png",".heic",".xls",".doc",".msg",".eml",".ppt",".txt",".zip"},Z414)))&gt;0),NOT(LOWER(TRIM(Z414))=LOWER(Flights!$F$16)),ISNA(MATCH(BU414,{"mh","rev","revision","ver","version","v","r","a","b","seat","tray","row","gate","bay","stand","page","pg","item","line","no","cart","galley","flight","flt","table","box","bag","oven","etd","eta","std","sta","atd","ata","qty","pax","x","time","tel","ph","mob","day","wk","week","utc","gmt","myt","lt"},0)),NOT(OR(ISNUMBER(MATCH(LEFT(BN414,255),{"0000a","000a","00a","0000aa","000aa","00aa","0aa","0000aaa","000aaa","00a00","0a00","0000-0000","00:00","a00","a0","00.00.0000","00/00/0000","00-00-0000","0000-00-00","0000/00/00","0000.00.00","00.00.00","00/00/00","00-00-00","0.00.0000","0/00/0000","0-00-0000"},0)),ISNUMBER(MATCH(LEFT(BT414,255),{"0000a","000a","00a","0000aa","000aa","00aa","0aa","0000aaa","000aaa","00a00","0a00","0000-0000","00:00","a00","a0","00.00.0000","00/00/0000","00-00-0000","0000-00-00","0000/00/00","0000.00.00","00.00.00","00/00/00","00-00-00","0.00.0000","0/00/0000","0-00-0000"},0)))),NOT(OR(AND(BW414&lt;&gt;"",SUBSTITUTE(BW414,"0","")=""),AND(LEN(BW414)&gt;=4,BW414=REPT(LEFT(BW414),LEN(BW414))),ISNUMBER(MATCH(BW414,{"123","1234","12345","123456","1234567","12345678","0123","01234","012345","98765","987654","54321"},0)),ISNUMBER(MATCH(BX414,{"x","xx","xxx","xxxx","xxxxx","abc","abcd","nil","na","nan","test","tbc","tba","tbd","dummy","sample","example","eg","zz","zzz","none","null","xyz","qwe","asd","id","ref"},0)),AND(LEN(BW414)=8,BX414="",OR(LEFT(BW414,3)="202",ISNUMBER(MATCH(RIGHT(BW414,4),{"2025","2026","2027"},0)))))),OR(AND((LEN(BT414)-LEN(SUBSTITUTE(BT414,"a","")))&gt;=1,(LEN(BN414)-LEN(SUBSTITUTE(BN414,"0","")))&gt;=2,SUMPRODUCT(--ISNUMBER(SEARCH({"a0","a-0","a_0","a/0","a.0","a#0","0a","0-a","0_a","0/a"},BN414)))&gt;0),AND((LEN(BN414)-LEN(SUBSTITUTE(BN414,"a","")))=0,(LEN(BN414)-LEN(SUBSTITUTE(BN414,"0","")))&gt;=5)))),1,0),0)</f>
        <v>0</v>
      </c>
      <c r="CA4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414,"revision",""),"version",""),"jan",""),"feb",""),"mar",""),"apr",""),"may",""),"jun",""),"jul",""),"aug",""),"sep",""),"oct",""),"nov",""),"dec",""),"utc",""),"gmt",""),"myt",""),"bst",""),"rev",""),"ver",""),"b","a"),"c","a"),"d","a"),"e","a"),"f","a"),"g","a"),"h","a"),"i","a"),"j","a"),"k","a"),"l","a"),"m","a"),"n","a"),"o","a"),"p","a"),"q","a"),"r","a"),"s","a"),"t","a"),"u","a"),"v","a"),"w","a"),"x","a"),"y","a"),"z","a")</f>
        <v/>
      </c>
      <c r="CB4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414&amp;""),"a",""),"b",""),"c",""),"d",""),"e",""),"f",""),"g",""),"h",""),"i",""),"j",""),"k",""),"l",""),"m",""),"n",""),"o",""),"p",""),"q",""),"r",""),"s",""),"t",""),"u",""),"v",""),"w",""),"x",""),"y",""),"z",""),"-",""),"_",""),"/",""),".",""),"#",""),"\\",""),":","")," ",""),"(",""),")","")</f>
        <v/>
      </c>
      <c r="CC414" s="0" t="str">
        <f aca="false">" "&amp;TRIM(SUBSTITUTE(SUBSTITUTE(SUBSTITUTE(SUBSTITUTE(SUBSTITUTE(SUBSTITUTE(SUBSTITUTE(SUBSTITUTE(SUBSTITUTE(SUBSTITUTE(SUBSTITUTE(SUBSTITUTE(SUBSTITUTE(SUBSTITUTE(SUBSTITUTE(SUBSTITUTE(SUBSTITUTE(SUBSTITUTE(SUBSTITUTE(SUBSTITUTE(SUBSTITUTE(SUBSTITUTE(SUBSTITUTE(SUBSTITUTE(LOWER(T414&amp;""),CHAR(10)," "),CHAR(13)," "),CHAR(9)," "),CHAR(160)," "),"."," "),","," "),"-"," "),"/"," "),"("," "),")"," "),":"," "),";"," "),"_"," "),"–"," "),"?"," "),"!"," "),"*"," "),"["," "),"]"," "),"'"," "),"#"," "),"+"," "),"&amp;"," "),"\"," "))&amp;" "</f>
        <v>  </v>
      </c>
      <c r="CD414" s="0" t="str">
        <f aca="false">" "&amp;TRIM(SUBSTITUTE(SUBSTITUTE(SUBSTITUTE(SUBSTITUTE(SUBSTITUTE(SUBSTITUTE(SUBSTITUTE(SUBSTITUTE(SUBSTITUTE(SUBSTITUTE(SUBSTITUTE(SUBSTITUTE(SUBSTITUTE(SUBSTITUTE(SUBSTITUTE(SUBSTITUTE(SUBSTITUTE(SUBSTITUTE(SUBSTITUTE(SUBSTITUTE(SUBSTITUTE(SUBSTITUTE(SUBSTITUTE(SUBSTITUTE(LOWER(AE414&amp;""),CHAR(10)," "),CHAR(13)," "),CHAR(9)," "),CHAR(160)," "),"."," "),","," "),"-"," "),"/"," "),"("," "),")"," "),":"," "),";"," "),"_"," "),"–"," "),"?"," "),"!"," "),"*"," "),"["," "),"]"," "),"'"," "),"#"," "),"+"," "),"&amp;"," "),"\"," "))&amp;" "</f>
        <v>  </v>
      </c>
      <c r="CE414" s="68" t="n">
        <f aca="false">IFERROR(IF(AND(LEN(AU414)&gt;0,LEN(AU414)=LEN(AX414),OR(TRIM(MID(SUBSTITUTE(TRIM(CC414)," ",REPT(" ",60)),1,60))="",ISNUMBER(SEARCH(" "&amp;TRIM(MID(SUBSTITUTE(TRIM(CC414)," ",REPT(" ",60)),1,60))&amp;" ",CD414))),OR(TRIM(MID(SUBSTITUTE(TRIM(CC414)," ",REPT(" ",60)),61,60))="",ISNUMBER(SEARCH(" "&amp;TRIM(MID(SUBSTITUTE(TRIM(CC414)," ",REPT(" ",60)),61,60))&amp;" ",CD414))),OR(TRIM(MID(SUBSTITUTE(TRIM(CC414)," ",REPT(" ",60)),121,60))="",ISNUMBER(SEARCH(" "&amp;TRIM(MID(SUBSTITUTE(TRIM(CC414)," ",REPT(" ",60)),121,60))&amp;" ",CD414)))),1,0),0)</f>
        <v>0</v>
      </c>
      <c r="CG414" s="68" t="n">
        <f aca="false">IFERROR(LEN(SUBSTITUTE(BF414," ",""))-SUMPRODUCT((LEN(BF414)-LEN(SUBSTITUTE(BF414," "&amp;L_NAFiller&amp;" "," ")))/(LEN(L_NAFiller)+1)*LEN(L_NAFiller)),0)</f>
        <v>0</v>
      </c>
    </row>
    <row r="415" customFormat="false" ht="39.75" hidden="false" customHeight="true" outlineLevel="0" collapsed="false">
      <c r="A415" s="57" t="s">
        <v>1047</v>
      </c>
      <c r="B415" s="57" t="s">
        <v>261</v>
      </c>
      <c r="C415" s="57" t="str">
        <f aca="false">Flights!$F$16</f>
        <v>MH0139</v>
      </c>
      <c r="D415" s="58" t="n">
        <f aca="false">Flights!$D$16</f>
        <v>46307</v>
      </c>
      <c r="E415" s="57" t="str">
        <f aca="false">Flights!$G$16&amp;"-"&amp;Flights!$H$16</f>
        <v>KUL-ADL</v>
      </c>
      <c r="F415" s="57" t="str">
        <f aca="false">Flights!$K$16</f>
        <v>BC</v>
      </c>
      <c r="G415" s="57" t="s">
        <v>459</v>
      </c>
      <c r="H415" s="57" t="s">
        <v>460</v>
      </c>
      <c r="I415" s="57" t="s">
        <v>499</v>
      </c>
      <c r="J415" s="57" t="s">
        <v>537</v>
      </c>
      <c r="K415" s="67" t="s">
        <v>501</v>
      </c>
      <c r="L415" s="67" t="s">
        <v>1018</v>
      </c>
      <c r="M415" s="67" t="s">
        <v>451</v>
      </c>
      <c r="N415" s="67" t="s">
        <v>383</v>
      </c>
      <c r="O415" s="67"/>
      <c r="P415" s="57" t="s">
        <v>187</v>
      </c>
      <c r="Q415" s="59" t="n">
        <f aca="false">ROUND((Flights!$AF$16)*1440,0)/1440</f>
        <v>46307.6006944444</v>
      </c>
      <c r="R415" s="59" t="n">
        <f aca="false">Q415+(IF(AND(INDEX(TZ_DSTS,MATCH(P415,TZ_STN,0))&lt;&gt;"",Q415&gt;=INDEX(TZ_DSTS,MATCH(P415,TZ_STN,0)),Q415&lt;INDEX(TZ_DSTE,MATCH(P415,TZ_STN,0))),INDEX(TZ_DST,MATCH(P415,TZ_STN,0)),INDEX(TZ_STD,MATCH(P415,TZ_STN,0))))/24</f>
        <v>46307.9340277778</v>
      </c>
      <c r="S415" s="60"/>
      <c r="T415" s="60"/>
      <c r="U415" s="60"/>
      <c r="V415" s="60"/>
      <c r="W415" s="61"/>
      <c r="X415" s="60"/>
      <c r="Y415" s="60"/>
      <c r="Z415" s="60"/>
      <c r="AA415" s="60"/>
      <c r="AB415" s="60"/>
      <c r="AC415" s="60"/>
      <c r="AD415" s="66"/>
      <c r="AE415" s="60"/>
      <c r="AF415" s="61" t="str">
        <f aca="false">IF(AND(ISNUMBER(X415),ISNUMBER(Y415)),Y415-X415,"")</f>
        <v/>
      </c>
      <c r="AG415" s="62" t="str">
        <f aca="false">IF(ISNUMBER(AD415),AD415-(IF(AND(INDEX(TZ_DSTS,MATCH(P415,TZ_STN,0))&lt;&gt;"",(AD415-INDEX(TZ_STD,MATCH(P415,TZ_STN,0))/24)&gt;=INDEX(TZ_DSTS,MATCH(P415,TZ_STN,0)),(AD415-INDEX(TZ_STD,MATCH(P415,TZ_STN,0))/24)&lt;INDEX(TZ_DSTE,MATCH(P415,TZ_STN,0))),INDEX(TZ_DST,MATCH(P415,TZ_STN,0)),INDEX(TZ_STD,MATCH(P415,TZ_STN,0))))/24,"")</f>
        <v/>
      </c>
      <c r="AH415" s="65" t="str">
        <f aca="false">IFERROR(IF(N415="N/A – rule",IF(OR(TRIM(U415)="",TRIM(U415)="N/A",TRIM(U415)="Not started"),"N/A – RULE","INVALID – this check does not apply to this aircraft: clear the status (or correct the fleet on Flights)"),IF(TRIM(U415)="N/A",IF(AT415=0,"INVALID – N/A not permitted for this check",IF(AND(TRIM(AB415)&lt;&gt;"",TRIM(AB415)&lt;&gt;"Closed"),"INVALID – corrective action still open",IF(AND(NOT(OR(LEN(AZ415)&lt;15,ISNUMBER(MATCH(AZ415,L_Placeholder,0)))),BK415=0,CG415&gt;=8,NOT(OR(LEN(AU415)&lt;2,ISNUMBER(MATCH(AU415,L_Placeholder,0)))),BR415&gt;=3,NOT(OR(LEN(AX415)&lt;2,ISNUMBER(MATCH(AX415,L_Placeholder,0)))),BS415&gt;=3,TRIM(AE415)&lt;&gt;TRIM(T415),AX415&lt;&gt;AU415,CE415=0),"N/A – JUSTIFIED","INVALID – N/A needs a real, settled reason (not 'not applicable' / 'as above' / TBC), a named PIC and a different named verifier"))),IF(OR(TRIM(U415)="Pass",TRIM(U415)="Pass after CA"),IF(NOT(ISNUMBER(AD415)),"INVALID – completion time missing",IF(OR(OR(LEN(AU415)&lt;2,ISNUMBER(MATCH(AU415,L_Placeholder,0))),BR415&lt;3),"INVALID – PIC missing or not a named person (a role such as QA / CSM is not a name)",IF(OR(LEN(AV415)&lt;2,ISNUMBER(MATCH(AV415,L_Placeholder,0))),"INVALID – result / assessment missing",IF(OR(OR(LEN(AW415)&lt;3,ISNUMBER(MATCH(AW415,L_Placeholder,0))),SUMPRODUCT(--ISNUMBER(SEARCH(" "&amp;L_EvidencePhrase&amp;" ",BD415)))&gt;0,BI415=1),"INVALID – evidence missing, placeholder or not yet on file",IF(ISNA(MATCH(TRIM(S415),L_EvidenceType,0)),"INVALID – choose the evidence type from the list (column S)",IF(BL415=0,"INVALID – evidence ID must be the record's own ID only (e.g. SF-2210, IMG_2231, 1045521); a link / file name needs type 'Link / file path'",IF(OR(OR(LEN(AX415)&lt;2,ISNUMBER(MATCH(AX415,L_Placeholder,0))),BS415&lt;3),"INVALID – verifier missing or not a named person (a role such as QA / CSM is not a name)",IF(OR(AX415=AU415,CE415=1,AND(LEN(AU415)&gt;=4,ISNUMBER(SEARCH(AU415,AX415))),AND(LEN(AX415)&gt;=4,ISNUMBER(SEARCH(AX415,AU415)))),"INVALID – verifier must be a different, named person (not the PIC or a role)",IF(BH415=1,"INVALID – result not yet available (awaiting / TBC)",IF(BG415=1,"INVALID – result describes a problem: record Fail, then Pass after CA (or reword if it is not a problem)",IF(BV415=1,"INVALID – wording says not on board: an on-board confirmation needs the item loaded",IF(AND(AQ415=1,OR(OR(LEN(AY415)&lt;3,ISNUMBER(MATCH(AY415,L_Placeholder,0))),BJ415=1,BQ415=0)),"INVALID – batch ID missing, placeholder or not an ID (e.g. PASB-261008-BC-017)",IF(AND(AR415=1,OR(NOT(ISNUMBER(X415)),NOT(ISNUMBER(Y415)))),"INVALID – expected/actual qty missing",IF(AND(AR415=1,OR(X415&lt;=0,Y415&lt;0)),"INVALID – expected qty must be above 0 and actual not negative",IF(AH399="N/A – JUSTIFIED","INVALID – preparation row F12-T12-10 is N/A",IF(AND(AR415=1,ISNUMBER(X399),X415&lt;&gt;X399,TRIM(U415)&lt;&gt;"Pass after CA"),"INVALID – expected qty differs from preparation check F12-T12-10: record the load change as a corrective action (Pass after CA)",IF(BB415&lt;&gt;"",BB415,IF(AND(AS415=1,Documents!$J$16&lt;&gt;"ON FILE"),"INVALID – GLD not on file (Documents sheet)",IF(AND(AS415=2,Documents!$O$16&lt;&gt;"ON FILE"),"INVALID – menu checklist not on file (Documents sheet)",IF(AND(AS415=3,NOT(ISNUMBER(Flights!$AX$16))),"INVALID – enter carrying flight KUL departure (Flights AX)",IF(AND(AS415=3,OR(Flights!$AZ$16&gt;Flights!$AA$16,Flights!$AX$16&lt;Flights!$AA$16-3)),"INVALID – carrying flight (Flights AX) cannot arrive before this leg's STD, or is over 3 days early",IF(AG415&gt;AsOfUTC,"INVALID – completion time is in the future",IF(AND(ISNUMBER(BY415),AG415&lt;BY415),IF(H415="Physical uplift","INVALID – before uplift window (cannot confirm loading)","INVALID – before valid window"),IF(AG415&gt;Flights!$AA$16,"INVALID – completed after departure (cannot establish readiness)",IF(AND(H415="Preparation",AG415&gt;=IF(ISNUMBER(Flights!$BA$16),MIN(Flights!$BA$16,Flights!$AA$16),Flights!$AA$16)),"INVALID – completed after loading / departure (cannot establish readiness)",IF(AND(H415="Physical uplift",AG415&gt;Q415),"INVALID – recorded after the loading flight departed",IF(AG415&gt;Q415,"COMPLETE – LATE","COMPLETE"))))))))))))))))))))))))))),IF(TRIM(U415)="Fail","FAIL – DISCREPANCY",IF(AND(TRIM(U415)&lt;&gt;"",TRIM(U415)&lt;&gt;"Not started",TRIM(U415)&lt;&gt;"In progress"),"INVALID – unrecognised status (use the list)",IF(AsOfUTC&gt;Q415,"OVERDUE",IF(N415="Clarification required","OPEN – CLARIFICATION","OPEN"))))))),"INVALID – error value in an input cell")</f>
        <v>OPEN</v>
      </c>
      <c r="AI415" s="61" t="n">
        <f aca="false">IF(OR(AH415="N/A – RULE",AH415="N/A – JUSTIFIED"),0,1)</f>
        <v>1</v>
      </c>
      <c r="AJ415" s="61" t="n">
        <f aca="false">IF(LEFT(AH415,8)="COMPLETE",1,0)</f>
        <v>0</v>
      </c>
      <c r="AK415" s="61" t="n">
        <f aca="false">IF(AND(AI415=1,AJ415=0,AsOfUTC&gt;Q415),1,0)</f>
        <v>0</v>
      </c>
      <c r="AL415" s="61" t="n">
        <f aca="false">IFERROR(IF(AND(AI415=1,OR(TRIM(U415)="Fail",AND(TRIM(AB415)&lt;&gt;"",TRIM(AB415)&lt;&gt;"Closed"),AND(ISNUMBER(AF415),AF415&lt;&gt;0,TRIM(U415)&lt;&gt;"Pass after CA"))),1,0),1)</f>
        <v>0</v>
      </c>
      <c r="AM415" s="61" t="n">
        <f aca="false">IF(LEFT(AH415,7)="INVALID",1,0)</f>
        <v>0</v>
      </c>
      <c r="AN415" s="61" t="n">
        <f aca="false">IF(AND(N415="Clarification required",AI415=1,AJ415=0),1,0)</f>
        <v>0</v>
      </c>
      <c r="AO415" s="61" t="str">
        <f aca="false">IF(AK415=1,SUM(AK$5:AK415),"")</f>
        <v/>
      </c>
      <c r="AP415" s="61" t="str">
        <f aca="false">IF(AL415=1,SUM(AL$5:AL415),"")</f>
        <v/>
      </c>
      <c r="AQ415" s="61" t="n">
        <v>0</v>
      </c>
      <c r="AR415" s="61" t="n">
        <v>0</v>
      </c>
      <c r="AS415" s="61" t="n">
        <v>0</v>
      </c>
      <c r="AT415" s="61" t="n">
        <v>0</v>
      </c>
      <c r="AU415" s="61" t="str">
        <f aca="false">SUBSTITUTE(SUBSTITUTE(SUBSTITUTE(SUBSTITUTE(SUBSTITUTE(SUBSTITUTE(SUBSTITUTE(SUBSTITUTE(SUBSTITUTE(SUBSTITUTE(SUBSTITUTE(SUBSTITUTE(SUBSTITUTE(SUBSTITUTE(SUBSTITUTE(SUBSTITUTE(LOWER(T415&amp;""),CHAR(10),""),CHAR(13),""),CHAR(9),""),CHAR(160),"")," ",""),".",""),"-",""),"/",""),"?",""),"_",""),",",""),"[",""),"]",""),"(",""),")",""),"*","")</f>
        <v/>
      </c>
      <c r="AV415" s="61" t="str">
        <f aca="false">SUBSTITUTE(SUBSTITUTE(SUBSTITUTE(SUBSTITUTE(SUBSTITUTE(SUBSTITUTE(SUBSTITUTE(SUBSTITUTE(SUBSTITUTE(SUBSTITUTE(SUBSTITUTE(SUBSTITUTE(SUBSTITUTE(SUBSTITUTE(SUBSTITUTE(SUBSTITUTE(LOWER(V415&amp;""),CHAR(10),""),CHAR(13),""),CHAR(9),""),CHAR(160),"")," ",""),".",""),"-",""),"/",""),"?",""),"_",""),",",""),"[",""),"]",""),"(",""),")",""),"*","")</f>
        <v/>
      </c>
      <c r="AW415" s="61" t="str">
        <f aca="false">SUBSTITUTE(SUBSTITUTE(SUBSTITUTE(SUBSTITUTE(SUBSTITUTE(SUBSTITUTE(SUBSTITUTE(SUBSTITUTE(SUBSTITUTE(SUBSTITUTE(SUBSTITUTE(SUBSTITUTE(SUBSTITUTE(SUBSTITUTE(SUBSTITUTE(SUBSTITUTE(LOWER(Z415&amp;""),CHAR(10),""),CHAR(13),""),CHAR(9),""),CHAR(160),"")," ",""),".",""),"-",""),"/",""),"?",""),"_",""),",",""),"[",""),"]",""),"(",""),")",""),"*","")</f>
        <v/>
      </c>
      <c r="AX415" s="61" t="str">
        <f aca="false">SUBSTITUTE(SUBSTITUTE(SUBSTITUTE(SUBSTITUTE(SUBSTITUTE(SUBSTITUTE(SUBSTITUTE(SUBSTITUTE(SUBSTITUTE(SUBSTITUTE(SUBSTITUTE(SUBSTITUTE(SUBSTITUTE(SUBSTITUTE(SUBSTITUTE(SUBSTITUTE(LOWER(AE415&amp;""),CHAR(10),""),CHAR(13),""),CHAR(9),""),CHAR(160),"")," ",""),".",""),"-",""),"/",""),"?",""),"_",""),",",""),"[",""),"]",""),"(",""),")",""),"*","")</f>
        <v/>
      </c>
      <c r="AY415" s="61" t="str">
        <f aca="false">SUBSTITUTE(SUBSTITUTE(SUBSTITUTE(SUBSTITUTE(SUBSTITUTE(SUBSTITUTE(SUBSTITUTE(SUBSTITUTE(SUBSTITUTE(SUBSTITUTE(SUBSTITUTE(SUBSTITUTE(SUBSTITUTE(SUBSTITUTE(SUBSTITUTE(SUBSTITUTE(LOWER(W415&amp;""),CHAR(10),""),CHAR(13),""),CHAR(9),""),CHAR(160),"")," ",""),".",""),"-",""),"/",""),"?",""),"_",""),",",""),"[",""),"]",""),"(",""),")",""),"*","")</f>
        <v/>
      </c>
      <c r="AZ415" s="61" t="str">
        <f aca="false">SUBSTITUTE(SUBSTITUTE(SUBSTITUTE(SUBSTITUTE(SUBSTITUTE(SUBSTITUTE(SUBSTITUTE(SUBSTITUTE(SUBSTITUTE(SUBSTITUTE(SUBSTITUTE(SUBSTITUTE(SUBSTITUTE(SUBSTITUTE(SUBSTITUTE(SUBSTITUTE(LOWER(AC415&amp;""),CHAR(10),""),CHAR(13),""),CHAR(9),""),CHAR(160),"")," ",""),".",""),"-",""),"/",""),"?",""),"_",""),",",""),"[",""),"]",""),"(",""),")",""),"*","")</f>
        <v/>
      </c>
      <c r="BA415" s="61" t="str">
        <f aca="false">SUBSTITUTE(SUBSTITUTE(SUBSTITUTE(SUBSTITUTE(SUBSTITUTE(SUBSTITUTE(SUBSTITUTE(SUBSTITUTE(SUBSTITUTE(SUBSTITUTE(SUBSTITUTE(SUBSTITUTE(SUBSTITUTE(SUBSTITUTE(SUBSTITUTE(SUBSTITUTE(LOWER(AA415&amp;""),CHAR(10),""),CHAR(13),""),CHAR(9),""),CHAR(160),"")," ",""),".",""),"-",""),"/",""),"?",""),"_",""),",",""),"[",""),"]",""),"(",""),")",""),"*","")</f>
        <v/>
      </c>
      <c r="BB415" s="61" t="str">
        <f aca="false">IF(AND(TRIM(U415)="Pass",ISNUMBER(AF415)),IF(AF415&lt;&gt;0,"INVALID – qty variance: use Fail or Pass after CA",""),"")&amp;IF(AND(TRIM(U415)="Pass after CA",ISNUMBER(AF415)),IF(AF415&lt;&gt;0,"INVALID – after the corrective action the actual qty must equal expected (update Actual)",""),"")&amp;IF(AND(TRIM(U415)="Pass",TRIM(AB415)&lt;&gt;"",TRIM(AB415)&lt;&gt;"Closed"),"INVALID – corrective action not closed: use Fail, then Pass after CA","")&amp;IF(AND(LEN(BA415)&gt;=2,ISNA(MATCH(LEFT(BA415,255),L_Placeholder,0)),TRIM(AB415)=""),"INVALID – CA status missing for the recorded corrective action","")&amp;IF(AND(TRIM(U415)="Pass after CA",OR(OR(LEN(BA415)&lt;5,ISNUMBER(MATCH(BA415,L_Placeholder,0))),TRIM(AB415)&lt;&gt;"Closed")),"INVALID – corrective action not recorded/closed","")</f>
        <v/>
      </c>
      <c r="BC415" s="61" t="str">
        <f aca="false">" "&amp;TRIM(SUBSTITUTE(SUBSTITUTE(SUBSTITUTE(SUBSTITUTE(SUBSTITUTE(SUBSTITUTE(SUBSTITUTE(SUBSTITUTE(SUBSTITUTE(SUBSTITUTE(SUBSTITUTE(SUBSTITUTE(SUBSTITUTE(SUBSTITUTE(SUBSTITUTE(SUBSTITUTE(SUBSTITUTE(SUBSTITUTE(SUBSTITUTE(SUBSTITUTE(SUBSTITUTE(SUBSTITUTE(SUBSTITUTE(SUBSTITUTE(LOWER(V415&amp;""),CHAR(10)," "),CHAR(13)," "),CHAR(9)," "),CHAR(160)," "),"."," "),","," "),"-"," "),"/"," "),"("," "),")"," "),":"," "),";"," "),"_"," "),"–"," "),"?"," "),"!"," "),"*"," "),"["," "),"]"," "),"'"," "),"#"," "),"+"," "),"&amp;"," "),"\"," "))&amp;" "</f>
        <v>  </v>
      </c>
      <c r="BD415" s="61" t="str">
        <f aca="false">" "&amp;TRIM(SUBSTITUTE(SUBSTITUTE(SUBSTITUTE(SUBSTITUTE(SUBSTITUTE(SUBSTITUTE(SUBSTITUTE(SUBSTITUTE(SUBSTITUTE(SUBSTITUTE(SUBSTITUTE(SUBSTITUTE(SUBSTITUTE(SUBSTITUTE(SUBSTITUTE(SUBSTITUTE(SUBSTITUTE(SUBSTITUTE(SUBSTITUTE(SUBSTITUTE(SUBSTITUTE(SUBSTITUTE(SUBSTITUTE(SUBSTITUTE(LOWER(Z415&amp;""),CHAR(10)," "),CHAR(13)," "),CHAR(9)," "),CHAR(160)," "),"."," "),","," "),"-"," "),"/"," "),"("," "),")"," "),":"," "),";"," "),"_"," "),"–"," "),"?"," "),"!"," "),"*"," "),"["," "),"]"," "),"'"," "),"#"," "),"+"," "),"&amp;"," "),"\"," "))&amp;" "</f>
        <v>  </v>
      </c>
      <c r="BE415" s="61" t="str">
        <f aca="false">" "&amp;TRIM(SUBSTITUTE(SUBSTITUTE(SUBSTITUTE(SUBSTITUTE(SUBSTITUTE(SUBSTITUTE(SUBSTITUTE(SUBSTITUTE(SUBSTITUTE(SUBSTITUTE(SUBSTITUTE(SUBSTITUTE(SUBSTITUTE(SUBSTITUTE(SUBSTITUTE(SUBSTITUTE(SUBSTITUTE(SUBSTITUTE(SUBSTITUTE(SUBSTITUTE(SUBSTITUTE(SUBSTITUTE(SUBSTITUTE(SUBSTITUTE(LOWER(W415&amp;""),CHAR(10)," "),CHAR(13)," "),CHAR(9)," "),CHAR(160)," "),"."," "),","," "),"-"," "),"/"," "),"("," "),")"," "),":"," "),";"," "),"_"," "),"–"," "),"?"," "),"!"," "),"*"," "),"["," "),"]"," "),"'"," "),"#"," "),"+"," "),"&amp;"," "),"\"," "))&amp;" "</f>
        <v>  </v>
      </c>
      <c r="BF415" s="61" t="str">
        <f aca="false">" "&amp;TRIM(SUBSTITUTE(SUBSTITUTE(SUBSTITUTE(SUBSTITUTE(SUBSTITUTE(SUBSTITUTE(SUBSTITUTE(SUBSTITUTE(SUBSTITUTE(SUBSTITUTE(SUBSTITUTE(SUBSTITUTE(SUBSTITUTE(SUBSTITUTE(SUBSTITUTE(SUBSTITUTE(SUBSTITUTE(SUBSTITUTE(SUBSTITUTE(SUBSTITUTE(SUBSTITUTE(SUBSTITUTE(SUBSTITUTE(SUBSTITUTE(LOWER(AC415&amp;""),CHAR(10)," "),CHAR(13)," "),CHAR(9)," "),CHAR(160)," "),"."," "),","," "),"-"," "),"/"," "),"("," "),")"," "),":"," "),";"," "),"_"," "),"–"," "),"?"," "),"!"," "),"*"," "),"["," "),"]"," "),"'"," "),"#"," "),"+"," "),"&amp;"," "),"\"," "))&amp;" "</f>
        <v>  </v>
      </c>
      <c r="BG415" s="61" t="n">
        <f aca="false">IFERROR(IF(AND(TRIM(U415)="Pass",SUMPRODUCT((LEN(BC415)-LEN(SUBSTITUTE(BC415," "&amp;L_ResultBad&amp;" "," ")))/(LEN(L_ResultBad)+1))&gt;SUMPRODUCT((LEN(BC415)-LEN(SUBSTITUTE(BC415," "&amp;L_NegPhrase&amp;" "," ")))/(LEN(L_NegPhrase)+1))),1,0),0)</f>
        <v>0</v>
      </c>
      <c r="BH415" s="61" t="n">
        <f aca="false">IFERROR(IF(SUMPRODUCT((LEN(BC415)-LEN(SUBSTITUTE(BC415," "&amp;L_Pending&amp;" "," ")))/(LEN(L_Pending)+1))&gt;SUMPRODUCT((LEN(BC415)-LEN(SUBSTITUTE(BC415," "&amp;L_PendNeg&amp;" "," ")))/(LEN(L_PendNeg)+1)),1,0),1)</f>
        <v>0</v>
      </c>
      <c r="BI415" s="61" t="n">
        <f aca="false">IFERROR(IF(SUMPRODUCT((LEN(BD415)-LEN(SUBSTITUTE(BD415," "&amp;L_PendStrict&amp;" "," ")))/(LEN(L_PendStrict)+1))&gt;SUMPRODUCT((LEN(BD415)-LEN(SUBSTITUTE(BD415," "&amp;L_PendNeg&amp;" "," ")))/(LEN(L_PendNeg)+1)),1,0),1)</f>
        <v>0</v>
      </c>
      <c r="BJ415" s="61" t="n">
        <f aca="false">IFERROR(IF(SUMPRODUCT((LEN(BE415)-LEN(SUBSTITUTE(BE415," "&amp;L_Pending&amp;" "," ")))/(LEN(L_Pending)+1))&gt;SUMPRODUCT((LEN(BE415)-LEN(SUBSTITUTE(BE415," "&amp;L_PendNeg&amp;" "," ")))/(LEN(L_PendNeg)+1)),1,0),1)</f>
        <v>0</v>
      </c>
      <c r="BK415" s="61" t="n">
        <f aca="false">IFERROR(IF(SUMPRODUCT((LEN(BF415)-LEN(SUBSTITUTE(BF415," "&amp;L_PendStrict&amp;" "," ")))/(LEN(L_PendStrict)+1))&gt;SUMPRODUCT((LEN(BF415)-LEN(SUBSTITUTE(BF415," "&amp;L_PendNeg&amp;" "," ")))/(LEN(L_PendNeg)+1)),1,0),1)</f>
        <v>0</v>
      </c>
      <c r="BL415" s="61" t="n">
        <f aca="false">IF(ISNA(MATCH(TRIM(S415),L_EvidenceType,0)),0,BZ415)</f>
        <v>0</v>
      </c>
      <c r="BM415" s="61" t="str">
        <f aca="false">SUBSTITUTE(SUBSTITUTE(SUBSTITUTE(SUBSTITUTE(SUBSTITUTE(SUBSTITUTE(SUBSTITUTE(SUBSTITUTE(SUBSTITUTE(LOWER(Z415&amp;""),"1","0"),"2","0"),"3","0"),"4","0"),"5","0"),"6","0"),"7","0"),"8","0"),"9","0")</f>
        <v/>
      </c>
      <c r="BN415" s="61" t="str">
        <f aca="false">SUBSTITUTE(SUBSTITUTE(SUBSTITUTE(SUBSTITUTE(SUBSTITUTE(SUBSTITUTE(SUBSTITUTE(SUBSTITUTE(SUBSTITUTE(SUBSTITUTE(SUBSTITUTE(SUBSTITUTE(SUBSTITUTE(SUBSTITUTE(SUBSTITUTE(SUBSTITUTE(SUBSTITUTE(SUBSTITUTE(SUBSTITUTE(SUBSTITUTE(SUBSTITUTE(SUBSTITUTE(SUBSTITUTE(SUBSTITUTE(SUBSTITUTE(BM415,"b","a"),"c","a"),"d","a"),"e","a"),"f","a"),"g","a"),"h","a"),"i","a"),"j","a"),"k","a"),"l","a"),"m","a"),"n","a"),"o","a"),"p","a"),"q","a"),"r","a"),"s","a"),"t","a"),"u","a"),"v","a"),"w","a"),"x","a"),"y","a"),"z","a")</f>
        <v/>
      </c>
      <c r="BO415" s="61" t="str">
        <f aca="false">SUBSTITUTE(SUBSTITUTE(SUBSTITUTE(SUBSTITUTE(SUBSTITUTE(SUBSTITUTE(SUBSTITUTE(SUBSTITUTE(SUBSTITUTE(LOWER(W415&amp;""),"1","0"),"2","0"),"3","0"),"4","0"),"5","0"),"6","0"),"7","0"),"8","0"),"9","0")</f>
        <v/>
      </c>
      <c r="BP415" s="61" t="str">
        <f aca="false">SUBSTITUTE(SUBSTITUTE(SUBSTITUTE(SUBSTITUTE(SUBSTITUTE(SUBSTITUTE(SUBSTITUTE(SUBSTITUTE(SUBSTITUTE(SUBSTITUTE(SUBSTITUTE(SUBSTITUTE(SUBSTITUTE(SUBSTITUTE(SUBSTITUTE(SUBSTITUTE(SUBSTITUTE(SUBSTITUTE(SUBSTITUTE(SUBSTITUTE(SUBSTITUTE(SUBSTITUTE(SUBSTITUTE(SUBSTITUTE(SUBSTITUTE(BO415,"b","a"),"c","a"),"d","a"),"e","a"),"f","a"),"g","a"),"h","a"),"i","a"),"j","a"),"k","a"),"l","a"),"m","a"),"n","a"),"o","a"),"p","a"),"q","a"),"r","a"),"s","a"),"t","a"),"u","a"),"v","a"),"w","a"),"x","a"),"y","a"),"z","a")</f>
        <v/>
      </c>
      <c r="BQ415" s="61" t="n">
        <f aca="false">IFERROR(IF(AND(ISERROR(SEARCH(" mh"," "&amp;LOWER(W415))),ISNA(MATCH(LEFT(TRIM(BP415),255),{"0000a","000a","00a","0000aa","000aa","00aa","0aa","0000aaa","000aaa","00a00","0a00","0000-0000","00:00","a00","a0","00.00.0000","00/00/0000","00-00-0000","0000-00-00","0000/00/00","0000.00.00","00.00.00","00/00/00","00-00-00","0.00.0000","0/00/0000","0-00-0000"},0)),ISNA(MATCH(LEFT(TRIM(CA415),255),{"0000a","000a","00a","0000aa","000aa","00aa","0aa","0000aaa","000aaa","00a00","0a00","0000-0000","00:00","a00","a0","00.00.0000","00/00/0000","00-00-0000","0000-00-00","0000/00/00","0000.00.00","00.00.00","00/00/00","00-00-00","0.00.0000","0/00/0000","0-00-0000"},0)),LEN(CB415)&gt;=3,NOT(OR(SUBSTITUTE(CB415,"0","")="",AND(LEN(CB415)&gt;=4,CB415=REPT(LEFT(CB415),LEN(CB415))),ISNUMBER(MATCH(CB415,{"123","1234","12345","123456","1234567","12345678","0123","01234","012345","98765","987654","54321"},0)),AND(LEN(CB415)=8,LEFT(CB415,3)="202"))),OR(AND((LEN(CA415)-LEN(SUBSTITUTE(CA415,"a","")))&gt;=1,SUMPRODUCT(--ISNUMBER(SEARCH({"a0","a-0","a_0","a/0","a.0","a#0","0a","0-a","0_a","0/a"},BP415)))&gt;0),ISNUMBER(SEARCH("000000",BP415)))),1,0),0)</f>
        <v>0</v>
      </c>
      <c r="BR415" s="61" t="n">
        <f aca="false">IFERROR(LEN(SUBSTITUTE(CC415," ",""))-SUMPRODUCT((LEN(CC415)-LEN(SUBSTITUTE(CC415," "&amp;L_Role&amp;" "," ")))/(LEN(L_Role)+1)*LEN(L_Role)),0)</f>
        <v>0</v>
      </c>
      <c r="BS415" s="61" t="n">
        <f aca="false">IFERROR(LEN(SUBSTITUTE(CD415," ",""))-SUMPRODUCT((LEN(CD415)-LEN(SUBSTITUTE(CD415," "&amp;L_Role&amp;" "," ")))/(LEN(L_Role)+1)*LEN(L_Role)),0)</f>
        <v>0</v>
      </c>
      <c r="BT4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415,"revision",""),"version",""),"jan",""),"feb",""),"mar",""),"apr",""),"may",""),"jun",""),"jul",""),"aug",""),"sep",""),"oct",""),"nov",""),"dec",""),"utc",""),"gmt",""),"myt",""),"bst",""),"rev",""),"ver",""),"b","a"),"c","a"),"d","a"),"e","a"),"f","a"),"g","a"),"h","a"),"i","a"),"j","a"),"k","a"),"l","a"),"m","a"),"n","a"),"o","a"),"p","a"),"q","a"),"r","a"),"s","a"),"t","a"),"u","a"),"v","a"),"w","a"),"x","a"),"y","a"),"z","a")</f>
        <v/>
      </c>
      <c r="BU415" s="61" t="str">
        <f aca="false">SUBSTITUTE(SUBSTITUTE(SUBSTITUTE(SUBSTITUTE(SUBSTITUTE(SUBSTITUTE(SUBSTITUTE(SUBSTITUTE(SUBSTITUTE(SUBSTITUTE(LEFT(BM415,FIND("0",BM415&amp;"0")-1),"-",""),"_",""),"/",""),".",""),"#",""),"\\",""),":","")," ",""),"(",""),")","")</f>
        <v/>
      </c>
      <c r="BV415" s="61" t="n">
        <f aca="false">IFERROR(IF(OR(SUMPRODUCT((LEN(BC415)-LEN(SUBSTITUTE(BC415," "&amp;L_NotLoaded&amp;" "," ")))/(LEN(L_NotLoaded)+1))&gt;SUMPRODUCT((LEN(BC415)-LEN(SUBSTITUTE(BC415," "&amp;L_NotLoadedNeg&amp;" "," ")))/(LEN(L_NotLoadedNeg)+1)),SUMPRODUCT((LEN(BD415)-LEN(SUBSTITUTE(BD415," "&amp;L_NotLoaded&amp;" "," ")))/(LEN(L_NotLoaded)+1))&gt;SUMPRODUCT((LEN(BD415)-LEN(SUBSTITUTE(BD415," "&amp;L_NotLoadedNeg&amp;" "," ")))/(LEN(L_NotLoadedNeg)+1))),1,0),0)</f>
        <v>0</v>
      </c>
      <c r="BW4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415&amp;""),"a",""),"b",""),"c",""),"d",""),"e",""),"f",""),"g",""),"h",""),"i",""),"j",""),"k",""),"l",""),"m",""),"n",""),"o",""),"p",""),"q",""),"r",""),"s",""),"t",""),"u",""),"v",""),"w",""),"x",""),"y",""),"z",""),"-",""),"_",""),"/",""),".",""),"#",""),"\\",""),":","")," ",""),"(",""),")","")</f>
        <v/>
      </c>
      <c r="BX415" s="61" t="str">
        <f aca="false">SUBSTITUTE(SUBSTITUTE(SUBSTITUTE(SUBSTITUTE(SUBSTITUTE(SUBSTITUTE(SUBSTITUTE(SUBSTITUTE(SUBSTITUTE(SUBSTITUTE(SUBSTITUTE(BM415,"0",""),"-",""),"_",""),"/",""),".",""),"#",""),"\\",""),":","")," ",""),"(",""),")","")</f>
        <v/>
      </c>
      <c r="BY415" s="62" t="n">
        <f aca="false">IF(ISNUMBER(Flights!$AZ$16),MAX(Q415-UpliftWindowH/24,Flights!$AZ$16),Q415-UpliftWindowH/24)</f>
        <v>46307.3506944444</v>
      </c>
      <c r="BZ415" s="61" t="n">
        <f aca="false">IFERROR(IF(IF(TRIM(S415)="Link / file path",AND(LEN(TRIM(Z415))&gt;=5,SUMPRODUCT(--ISNUMBER(SEARCH({"http","www.","\\",":\",".pdf",".jpg",".jpeg",".png",".heic",".xls",".doc",".msg",".eml",".ppt",".txt",".zip"},Z415)))&gt;0),AND(ISERROR(FIND(" ",TRIM(Z415))),NOT(OR(SUMPRODUCT(--ISNUMBER(FIND({",",";","&amp;","+"},Z415)))&gt;0,SUMPRODUCT(--ISNUMBER(SEARCH({"0/aa","0\\aa"},BN415)))&gt;0)),NOT(SUMPRODUCT(--ISNUMBER(SEARCH({"http","www.","\\",":\",".pdf",".jpg",".jpeg",".png",".heic",".xls",".doc",".msg",".eml",".ppt",".txt",".zip"},Z415)))&gt;0),NOT(LOWER(TRIM(Z415))=LOWER(Flights!$F$16)),ISNA(MATCH(BU415,{"mh","rev","revision","ver","version","v","r","a","b","seat","tray","row","gate","bay","stand","page","pg","item","line","no","cart","galley","flight","flt","table","box","bag","oven","etd","eta","std","sta","atd","ata","qty","pax","x","time","tel","ph","mob","day","wk","week","utc","gmt","myt","lt"},0)),NOT(OR(ISNUMBER(MATCH(LEFT(BN415,255),{"0000a","000a","00a","0000aa","000aa","00aa","0aa","0000aaa","000aaa","00a00","0a00","0000-0000","00:00","a00","a0","00.00.0000","00/00/0000","00-00-0000","0000-00-00","0000/00/00","0000.00.00","00.00.00","00/00/00","00-00-00","0.00.0000","0/00/0000","0-00-0000"},0)),ISNUMBER(MATCH(LEFT(BT415,255),{"0000a","000a","00a","0000aa","000aa","00aa","0aa","0000aaa","000aaa","00a00","0a00","0000-0000","00:00","a00","a0","00.00.0000","00/00/0000","00-00-0000","0000-00-00","0000/00/00","0000.00.00","00.00.00","00/00/00","00-00-00","0.00.0000","0/00/0000","0-00-0000"},0)))),NOT(OR(AND(BW415&lt;&gt;"",SUBSTITUTE(BW415,"0","")=""),AND(LEN(BW415)&gt;=4,BW415=REPT(LEFT(BW415),LEN(BW415))),ISNUMBER(MATCH(BW415,{"123","1234","12345","123456","1234567","12345678","0123","01234","012345","98765","987654","54321"},0)),ISNUMBER(MATCH(BX415,{"x","xx","xxx","xxxx","xxxxx","abc","abcd","nil","na","nan","test","tbc","tba","tbd","dummy","sample","example","eg","zz","zzz","none","null","xyz","qwe","asd","id","ref"},0)),AND(LEN(BW415)=8,BX415="",OR(LEFT(BW415,3)="202",ISNUMBER(MATCH(RIGHT(BW415,4),{"2025","2026","2027"},0)))))),OR(AND((LEN(BT415)-LEN(SUBSTITUTE(BT415,"a","")))&gt;=1,(LEN(BN415)-LEN(SUBSTITUTE(BN415,"0","")))&gt;=2,SUMPRODUCT(--ISNUMBER(SEARCH({"a0","a-0","a_0","a/0","a.0","a#0","0a","0-a","0_a","0/a"},BN415)))&gt;0),AND((LEN(BN415)-LEN(SUBSTITUTE(BN415,"a","")))=0,(LEN(BN415)-LEN(SUBSTITUTE(BN415,"0","")))&gt;=5)))),1,0),0)</f>
        <v>0</v>
      </c>
      <c r="CA4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415,"revision",""),"version",""),"jan",""),"feb",""),"mar",""),"apr",""),"may",""),"jun",""),"jul",""),"aug",""),"sep",""),"oct",""),"nov",""),"dec",""),"utc",""),"gmt",""),"myt",""),"bst",""),"rev",""),"ver",""),"b","a"),"c","a"),"d","a"),"e","a"),"f","a"),"g","a"),"h","a"),"i","a"),"j","a"),"k","a"),"l","a"),"m","a"),"n","a"),"o","a"),"p","a"),"q","a"),"r","a"),"s","a"),"t","a"),"u","a"),"v","a"),"w","a"),"x","a"),"y","a"),"z","a")</f>
        <v/>
      </c>
      <c r="CB4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415&amp;""),"a",""),"b",""),"c",""),"d",""),"e",""),"f",""),"g",""),"h",""),"i",""),"j",""),"k",""),"l",""),"m",""),"n",""),"o",""),"p",""),"q",""),"r",""),"s",""),"t",""),"u",""),"v",""),"w",""),"x",""),"y",""),"z",""),"-",""),"_",""),"/",""),".",""),"#",""),"\\",""),":","")," ",""),"(",""),")","")</f>
        <v/>
      </c>
      <c r="CC415" s="0" t="str">
        <f aca="false">" "&amp;TRIM(SUBSTITUTE(SUBSTITUTE(SUBSTITUTE(SUBSTITUTE(SUBSTITUTE(SUBSTITUTE(SUBSTITUTE(SUBSTITUTE(SUBSTITUTE(SUBSTITUTE(SUBSTITUTE(SUBSTITUTE(SUBSTITUTE(SUBSTITUTE(SUBSTITUTE(SUBSTITUTE(SUBSTITUTE(SUBSTITUTE(SUBSTITUTE(SUBSTITUTE(SUBSTITUTE(SUBSTITUTE(SUBSTITUTE(SUBSTITUTE(LOWER(T415&amp;""),CHAR(10)," "),CHAR(13)," "),CHAR(9)," "),CHAR(160)," "),"."," "),","," "),"-"," "),"/"," "),"("," "),")"," "),":"," "),";"," "),"_"," "),"–"," "),"?"," "),"!"," "),"*"," "),"["," "),"]"," "),"'"," "),"#"," "),"+"," "),"&amp;"," "),"\"," "))&amp;" "</f>
        <v>  </v>
      </c>
      <c r="CD415" s="0" t="str">
        <f aca="false">" "&amp;TRIM(SUBSTITUTE(SUBSTITUTE(SUBSTITUTE(SUBSTITUTE(SUBSTITUTE(SUBSTITUTE(SUBSTITUTE(SUBSTITUTE(SUBSTITUTE(SUBSTITUTE(SUBSTITUTE(SUBSTITUTE(SUBSTITUTE(SUBSTITUTE(SUBSTITUTE(SUBSTITUTE(SUBSTITUTE(SUBSTITUTE(SUBSTITUTE(SUBSTITUTE(SUBSTITUTE(SUBSTITUTE(SUBSTITUTE(SUBSTITUTE(LOWER(AE415&amp;""),CHAR(10)," "),CHAR(13)," "),CHAR(9)," "),CHAR(160)," "),"."," "),","," "),"-"," "),"/"," "),"("," "),")"," "),":"," "),";"," "),"_"," "),"–"," "),"?"," "),"!"," "),"*"," "),"["," "),"]"," "),"'"," "),"#"," "),"+"," "),"&amp;"," "),"\"," "))&amp;" "</f>
        <v>  </v>
      </c>
      <c r="CE415" s="68" t="n">
        <f aca="false">IFERROR(IF(AND(LEN(AU415)&gt;0,LEN(AU415)=LEN(AX415),OR(TRIM(MID(SUBSTITUTE(TRIM(CC415)," ",REPT(" ",60)),1,60))="",ISNUMBER(SEARCH(" "&amp;TRIM(MID(SUBSTITUTE(TRIM(CC415)," ",REPT(" ",60)),1,60))&amp;" ",CD415))),OR(TRIM(MID(SUBSTITUTE(TRIM(CC415)," ",REPT(" ",60)),61,60))="",ISNUMBER(SEARCH(" "&amp;TRIM(MID(SUBSTITUTE(TRIM(CC415)," ",REPT(" ",60)),61,60))&amp;" ",CD415))),OR(TRIM(MID(SUBSTITUTE(TRIM(CC415)," ",REPT(" ",60)),121,60))="",ISNUMBER(SEARCH(" "&amp;TRIM(MID(SUBSTITUTE(TRIM(CC415)," ",REPT(" ",60)),121,60))&amp;" ",CD415)))),1,0),0)</f>
        <v>0</v>
      </c>
      <c r="CG415" s="68" t="n">
        <f aca="false">IFERROR(LEN(SUBSTITUTE(BF415," ",""))-SUMPRODUCT((LEN(BF415)-LEN(SUBSTITUTE(BF415," "&amp;L_NAFiller&amp;" "," ")))/(LEN(L_NAFiller)+1)*LEN(L_NAFiller)),0)</f>
        <v>0</v>
      </c>
    </row>
    <row r="416" customFormat="false" ht="39.75" hidden="false" customHeight="true" outlineLevel="0" collapsed="false">
      <c r="A416" s="57" t="s">
        <v>1048</v>
      </c>
      <c r="B416" s="57" t="s">
        <v>261</v>
      </c>
      <c r="C416" s="57" t="str">
        <f aca="false">Flights!$F$16</f>
        <v>MH0139</v>
      </c>
      <c r="D416" s="58" t="n">
        <f aca="false">Flights!$D$16</f>
        <v>46307</v>
      </c>
      <c r="E416" s="57" t="str">
        <f aca="false">Flights!$G$16&amp;"-"&amp;Flights!$H$16</f>
        <v>KUL-ADL</v>
      </c>
      <c r="F416" s="57" t="str">
        <f aca="false">Flights!$K$16</f>
        <v>BC</v>
      </c>
      <c r="G416" s="57" t="s">
        <v>459</v>
      </c>
      <c r="H416" s="57" t="s">
        <v>460</v>
      </c>
      <c r="I416" s="57" t="s">
        <v>499</v>
      </c>
      <c r="J416" s="57" t="s">
        <v>539</v>
      </c>
      <c r="K416" s="67" t="s">
        <v>501</v>
      </c>
      <c r="L416" s="67" t="s">
        <v>1020</v>
      </c>
      <c r="M416" s="67" t="s">
        <v>451</v>
      </c>
      <c r="N416" s="67" t="s">
        <v>383</v>
      </c>
      <c r="O416" s="67"/>
      <c r="P416" s="57" t="s">
        <v>187</v>
      </c>
      <c r="Q416" s="59" t="n">
        <f aca="false">ROUND((Flights!$AF$16)*1440,0)/1440</f>
        <v>46307.6006944444</v>
      </c>
      <c r="R416" s="59" t="n">
        <f aca="false">Q416+(IF(AND(INDEX(TZ_DSTS,MATCH(P416,TZ_STN,0))&lt;&gt;"",Q416&gt;=INDEX(TZ_DSTS,MATCH(P416,TZ_STN,0)),Q416&lt;INDEX(TZ_DSTE,MATCH(P416,TZ_STN,0))),INDEX(TZ_DST,MATCH(P416,TZ_STN,0)),INDEX(TZ_STD,MATCH(P416,TZ_STN,0))))/24</f>
        <v>46307.9340277778</v>
      </c>
      <c r="S416" s="60"/>
      <c r="T416" s="60"/>
      <c r="U416" s="60"/>
      <c r="V416" s="60"/>
      <c r="W416" s="61"/>
      <c r="X416" s="60"/>
      <c r="Y416" s="60"/>
      <c r="Z416" s="60"/>
      <c r="AA416" s="60"/>
      <c r="AB416" s="60"/>
      <c r="AC416" s="60"/>
      <c r="AD416" s="66"/>
      <c r="AE416" s="60"/>
      <c r="AF416" s="61" t="str">
        <f aca="false">IF(AND(ISNUMBER(X416),ISNUMBER(Y416)),Y416-X416,"")</f>
        <v/>
      </c>
      <c r="AG416" s="62" t="str">
        <f aca="false">IF(ISNUMBER(AD416),AD416-(IF(AND(INDEX(TZ_DSTS,MATCH(P416,TZ_STN,0))&lt;&gt;"",(AD416-INDEX(TZ_STD,MATCH(P416,TZ_STN,0))/24)&gt;=INDEX(TZ_DSTS,MATCH(P416,TZ_STN,0)),(AD416-INDEX(TZ_STD,MATCH(P416,TZ_STN,0))/24)&lt;INDEX(TZ_DSTE,MATCH(P416,TZ_STN,0))),INDEX(TZ_DST,MATCH(P416,TZ_STN,0)),INDEX(TZ_STD,MATCH(P416,TZ_STN,0))))/24,"")</f>
        <v/>
      </c>
      <c r="AH416" s="65" t="str">
        <f aca="false">IFERROR(IF(N416="N/A – rule",IF(OR(TRIM(U416)="",TRIM(U416)="N/A",TRIM(U416)="Not started"),"N/A – RULE","INVALID – this check does not apply to this aircraft: clear the status (or correct the fleet on Flights)"),IF(TRIM(U416)="N/A",IF(AT416=0,"INVALID – N/A not permitted for this check",IF(AND(TRIM(AB416)&lt;&gt;"",TRIM(AB416)&lt;&gt;"Closed"),"INVALID – corrective action still open",IF(AND(NOT(OR(LEN(AZ416)&lt;15,ISNUMBER(MATCH(AZ416,L_Placeholder,0)))),BK416=0,CG416&gt;=8,NOT(OR(LEN(AU416)&lt;2,ISNUMBER(MATCH(AU416,L_Placeholder,0)))),BR416&gt;=3,NOT(OR(LEN(AX416)&lt;2,ISNUMBER(MATCH(AX416,L_Placeholder,0)))),BS416&gt;=3,TRIM(AE416)&lt;&gt;TRIM(T416),AX416&lt;&gt;AU416,CE416=0),"N/A – JUSTIFIED","INVALID – N/A needs a real, settled reason (not 'not applicable' / 'as above' / TBC), a named PIC and a different named verifier"))),IF(OR(TRIM(U416)="Pass",TRIM(U416)="Pass after CA"),IF(NOT(ISNUMBER(AD416)),"INVALID – completion time missing",IF(OR(OR(LEN(AU416)&lt;2,ISNUMBER(MATCH(AU416,L_Placeholder,0))),BR416&lt;3),"INVALID – PIC missing or not a named person (a role such as QA / CSM is not a name)",IF(OR(LEN(AV416)&lt;2,ISNUMBER(MATCH(AV416,L_Placeholder,0))),"INVALID – result / assessment missing",IF(OR(OR(LEN(AW416)&lt;3,ISNUMBER(MATCH(AW416,L_Placeholder,0))),SUMPRODUCT(--ISNUMBER(SEARCH(" "&amp;L_EvidencePhrase&amp;" ",BD416)))&gt;0,BI416=1),"INVALID – evidence missing, placeholder or not yet on file",IF(ISNA(MATCH(TRIM(S416),L_EvidenceType,0)),"INVALID – choose the evidence type from the list (column S)",IF(BL416=0,"INVALID – evidence ID must be the record's own ID only (e.g. SF-2210, IMG_2231, 1045521); a link / file name needs type 'Link / file path'",IF(OR(OR(LEN(AX416)&lt;2,ISNUMBER(MATCH(AX416,L_Placeholder,0))),BS416&lt;3),"INVALID – verifier missing or not a named person (a role such as QA / CSM is not a name)",IF(OR(AX416=AU416,CE416=1,AND(LEN(AU416)&gt;=4,ISNUMBER(SEARCH(AU416,AX416))),AND(LEN(AX416)&gt;=4,ISNUMBER(SEARCH(AX416,AU416)))),"INVALID – verifier must be a different, named person (not the PIC or a role)",IF(BH416=1,"INVALID – result not yet available (awaiting / TBC)",IF(BG416=1,"INVALID – result describes a problem: record Fail, then Pass after CA (or reword if it is not a problem)",IF(BV416=1,"INVALID – wording says not on board: an on-board confirmation needs the item loaded",IF(AND(AQ416=1,OR(OR(LEN(AY416)&lt;3,ISNUMBER(MATCH(AY416,L_Placeholder,0))),BJ416=1,BQ416=0)),"INVALID – batch ID missing, placeholder or not an ID (e.g. PASB-261008-BC-017)",IF(AND(AR416=1,OR(NOT(ISNUMBER(X416)),NOT(ISNUMBER(Y416)))),"INVALID – expected/actual qty missing",IF(AND(AR416=1,OR(X416&lt;=0,Y416&lt;0)),"INVALID – expected qty must be above 0 and actual not negative",IF(AH400="N/A – JUSTIFIED","INVALID – preparation row F12-T12-11 is N/A",IF(AND(AR416=1,ISNUMBER(X400),X416&lt;&gt;X400,TRIM(U416)&lt;&gt;"Pass after CA"),"INVALID – expected qty differs from preparation check F12-T12-11: record the load change as a corrective action (Pass after CA)",IF(BB416&lt;&gt;"",BB416,IF(AND(AS416=1,Documents!$J$16&lt;&gt;"ON FILE"),"INVALID – GLD not on file (Documents sheet)",IF(AND(AS416=2,Documents!$O$16&lt;&gt;"ON FILE"),"INVALID – menu checklist not on file (Documents sheet)",IF(AND(AS416=3,NOT(ISNUMBER(Flights!$AX$16))),"INVALID – enter carrying flight KUL departure (Flights AX)",IF(AND(AS416=3,OR(Flights!$AZ$16&gt;Flights!$AA$16,Flights!$AX$16&lt;Flights!$AA$16-3)),"INVALID – carrying flight (Flights AX) cannot arrive before this leg's STD, or is over 3 days early",IF(AG416&gt;AsOfUTC,"INVALID – completion time is in the future",IF(AND(ISNUMBER(BY416),AG416&lt;BY416),IF(H416="Physical uplift","INVALID – before uplift window (cannot confirm loading)","INVALID – before valid window"),IF(AG416&gt;Flights!$AA$16,"INVALID – completed after departure (cannot establish readiness)",IF(AND(H416="Preparation",AG416&gt;=IF(ISNUMBER(Flights!$BA$16),MIN(Flights!$BA$16,Flights!$AA$16),Flights!$AA$16)),"INVALID – completed after loading / departure (cannot establish readiness)",IF(AND(H416="Physical uplift",AG416&gt;Q416),"INVALID – recorded after the loading flight departed",IF(AG416&gt;Q416,"COMPLETE – LATE","COMPLETE"))))))))))))))))))))))))))),IF(TRIM(U416)="Fail","FAIL – DISCREPANCY",IF(AND(TRIM(U416)&lt;&gt;"",TRIM(U416)&lt;&gt;"Not started",TRIM(U416)&lt;&gt;"In progress"),"INVALID – unrecognised status (use the list)",IF(AsOfUTC&gt;Q416,"OVERDUE",IF(N416="Clarification required","OPEN – CLARIFICATION","OPEN"))))))),"INVALID – error value in an input cell")</f>
        <v>OPEN</v>
      </c>
      <c r="AI416" s="61" t="n">
        <f aca="false">IF(OR(AH416="N/A – RULE",AH416="N/A – JUSTIFIED"),0,1)</f>
        <v>1</v>
      </c>
      <c r="AJ416" s="61" t="n">
        <f aca="false">IF(LEFT(AH416,8)="COMPLETE",1,0)</f>
        <v>0</v>
      </c>
      <c r="AK416" s="61" t="n">
        <f aca="false">IF(AND(AI416=1,AJ416=0,AsOfUTC&gt;Q416),1,0)</f>
        <v>0</v>
      </c>
      <c r="AL416" s="61" t="n">
        <f aca="false">IFERROR(IF(AND(AI416=1,OR(TRIM(U416)="Fail",AND(TRIM(AB416)&lt;&gt;"",TRIM(AB416)&lt;&gt;"Closed"),AND(ISNUMBER(AF416),AF416&lt;&gt;0,TRIM(U416)&lt;&gt;"Pass after CA"))),1,0),1)</f>
        <v>0</v>
      </c>
      <c r="AM416" s="61" t="n">
        <f aca="false">IF(LEFT(AH416,7)="INVALID",1,0)</f>
        <v>0</v>
      </c>
      <c r="AN416" s="61" t="n">
        <f aca="false">IF(AND(N416="Clarification required",AI416=1,AJ416=0),1,0)</f>
        <v>0</v>
      </c>
      <c r="AO416" s="61" t="str">
        <f aca="false">IF(AK416=1,SUM(AK$5:AK416),"")</f>
        <v/>
      </c>
      <c r="AP416" s="61" t="str">
        <f aca="false">IF(AL416=1,SUM(AL$5:AL416),"")</f>
        <v/>
      </c>
      <c r="AQ416" s="61" t="n">
        <v>0</v>
      </c>
      <c r="AR416" s="61" t="n">
        <v>0</v>
      </c>
      <c r="AS416" s="61" t="n">
        <v>0</v>
      </c>
      <c r="AT416" s="61" t="n">
        <v>0</v>
      </c>
      <c r="AU416" s="61" t="str">
        <f aca="false">SUBSTITUTE(SUBSTITUTE(SUBSTITUTE(SUBSTITUTE(SUBSTITUTE(SUBSTITUTE(SUBSTITUTE(SUBSTITUTE(SUBSTITUTE(SUBSTITUTE(SUBSTITUTE(SUBSTITUTE(SUBSTITUTE(SUBSTITUTE(SUBSTITUTE(SUBSTITUTE(LOWER(T416&amp;""),CHAR(10),""),CHAR(13),""),CHAR(9),""),CHAR(160),"")," ",""),".",""),"-",""),"/",""),"?",""),"_",""),",",""),"[",""),"]",""),"(",""),")",""),"*","")</f>
        <v/>
      </c>
      <c r="AV416" s="61" t="str">
        <f aca="false">SUBSTITUTE(SUBSTITUTE(SUBSTITUTE(SUBSTITUTE(SUBSTITUTE(SUBSTITUTE(SUBSTITUTE(SUBSTITUTE(SUBSTITUTE(SUBSTITUTE(SUBSTITUTE(SUBSTITUTE(SUBSTITUTE(SUBSTITUTE(SUBSTITUTE(SUBSTITUTE(LOWER(V416&amp;""),CHAR(10),""),CHAR(13),""),CHAR(9),""),CHAR(160),"")," ",""),".",""),"-",""),"/",""),"?",""),"_",""),",",""),"[",""),"]",""),"(",""),")",""),"*","")</f>
        <v/>
      </c>
      <c r="AW416" s="61" t="str">
        <f aca="false">SUBSTITUTE(SUBSTITUTE(SUBSTITUTE(SUBSTITUTE(SUBSTITUTE(SUBSTITUTE(SUBSTITUTE(SUBSTITUTE(SUBSTITUTE(SUBSTITUTE(SUBSTITUTE(SUBSTITUTE(SUBSTITUTE(SUBSTITUTE(SUBSTITUTE(SUBSTITUTE(LOWER(Z416&amp;""),CHAR(10),""),CHAR(13),""),CHAR(9),""),CHAR(160),"")," ",""),".",""),"-",""),"/",""),"?",""),"_",""),",",""),"[",""),"]",""),"(",""),")",""),"*","")</f>
        <v/>
      </c>
      <c r="AX416" s="61" t="str">
        <f aca="false">SUBSTITUTE(SUBSTITUTE(SUBSTITUTE(SUBSTITUTE(SUBSTITUTE(SUBSTITUTE(SUBSTITUTE(SUBSTITUTE(SUBSTITUTE(SUBSTITUTE(SUBSTITUTE(SUBSTITUTE(SUBSTITUTE(SUBSTITUTE(SUBSTITUTE(SUBSTITUTE(LOWER(AE416&amp;""),CHAR(10),""),CHAR(13),""),CHAR(9),""),CHAR(160),"")," ",""),".",""),"-",""),"/",""),"?",""),"_",""),",",""),"[",""),"]",""),"(",""),")",""),"*","")</f>
        <v/>
      </c>
      <c r="AY416" s="61" t="str">
        <f aca="false">SUBSTITUTE(SUBSTITUTE(SUBSTITUTE(SUBSTITUTE(SUBSTITUTE(SUBSTITUTE(SUBSTITUTE(SUBSTITUTE(SUBSTITUTE(SUBSTITUTE(SUBSTITUTE(SUBSTITUTE(SUBSTITUTE(SUBSTITUTE(SUBSTITUTE(SUBSTITUTE(LOWER(W416&amp;""),CHAR(10),""),CHAR(13),""),CHAR(9),""),CHAR(160),"")," ",""),".",""),"-",""),"/",""),"?",""),"_",""),",",""),"[",""),"]",""),"(",""),")",""),"*","")</f>
        <v/>
      </c>
      <c r="AZ416" s="61" t="str">
        <f aca="false">SUBSTITUTE(SUBSTITUTE(SUBSTITUTE(SUBSTITUTE(SUBSTITUTE(SUBSTITUTE(SUBSTITUTE(SUBSTITUTE(SUBSTITUTE(SUBSTITUTE(SUBSTITUTE(SUBSTITUTE(SUBSTITUTE(SUBSTITUTE(SUBSTITUTE(SUBSTITUTE(LOWER(AC416&amp;""),CHAR(10),""),CHAR(13),""),CHAR(9),""),CHAR(160),"")," ",""),".",""),"-",""),"/",""),"?",""),"_",""),",",""),"[",""),"]",""),"(",""),")",""),"*","")</f>
        <v/>
      </c>
      <c r="BA416" s="61" t="str">
        <f aca="false">SUBSTITUTE(SUBSTITUTE(SUBSTITUTE(SUBSTITUTE(SUBSTITUTE(SUBSTITUTE(SUBSTITUTE(SUBSTITUTE(SUBSTITUTE(SUBSTITUTE(SUBSTITUTE(SUBSTITUTE(SUBSTITUTE(SUBSTITUTE(SUBSTITUTE(SUBSTITUTE(LOWER(AA416&amp;""),CHAR(10),""),CHAR(13),""),CHAR(9),""),CHAR(160),"")," ",""),".",""),"-",""),"/",""),"?",""),"_",""),",",""),"[",""),"]",""),"(",""),")",""),"*","")</f>
        <v/>
      </c>
      <c r="BB416" s="61" t="str">
        <f aca="false">IF(AND(TRIM(U416)="Pass",ISNUMBER(AF416)),IF(AF416&lt;&gt;0,"INVALID – qty variance: use Fail or Pass after CA",""),"")&amp;IF(AND(TRIM(U416)="Pass after CA",ISNUMBER(AF416)),IF(AF416&lt;&gt;0,"INVALID – after the corrective action the actual qty must equal expected (update Actual)",""),"")&amp;IF(AND(TRIM(U416)="Pass",TRIM(AB416)&lt;&gt;"",TRIM(AB416)&lt;&gt;"Closed"),"INVALID – corrective action not closed: use Fail, then Pass after CA","")&amp;IF(AND(LEN(BA416)&gt;=2,ISNA(MATCH(LEFT(BA416,255),L_Placeholder,0)),TRIM(AB416)=""),"INVALID – CA status missing for the recorded corrective action","")&amp;IF(AND(TRIM(U416)="Pass after CA",OR(OR(LEN(BA416)&lt;5,ISNUMBER(MATCH(BA416,L_Placeholder,0))),TRIM(AB416)&lt;&gt;"Closed")),"INVALID – corrective action not recorded/closed","")</f>
        <v/>
      </c>
      <c r="BC416" s="61" t="str">
        <f aca="false">" "&amp;TRIM(SUBSTITUTE(SUBSTITUTE(SUBSTITUTE(SUBSTITUTE(SUBSTITUTE(SUBSTITUTE(SUBSTITUTE(SUBSTITUTE(SUBSTITUTE(SUBSTITUTE(SUBSTITUTE(SUBSTITUTE(SUBSTITUTE(SUBSTITUTE(SUBSTITUTE(SUBSTITUTE(SUBSTITUTE(SUBSTITUTE(SUBSTITUTE(SUBSTITUTE(SUBSTITUTE(SUBSTITUTE(SUBSTITUTE(SUBSTITUTE(LOWER(V416&amp;""),CHAR(10)," "),CHAR(13)," "),CHAR(9)," "),CHAR(160)," "),"."," "),","," "),"-"," "),"/"," "),"("," "),")"," "),":"," "),";"," "),"_"," "),"–"," "),"?"," "),"!"," "),"*"," "),"["," "),"]"," "),"'"," "),"#"," "),"+"," "),"&amp;"," "),"\"," "))&amp;" "</f>
        <v>  </v>
      </c>
      <c r="BD416" s="61" t="str">
        <f aca="false">" "&amp;TRIM(SUBSTITUTE(SUBSTITUTE(SUBSTITUTE(SUBSTITUTE(SUBSTITUTE(SUBSTITUTE(SUBSTITUTE(SUBSTITUTE(SUBSTITUTE(SUBSTITUTE(SUBSTITUTE(SUBSTITUTE(SUBSTITUTE(SUBSTITUTE(SUBSTITUTE(SUBSTITUTE(SUBSTITUTE(SUBSTITUTE(SUBSTITUTE(SUBSTITUTE(SUBSTITUTE(SUBSTITUTE(SUBSTITUTE(SUBSTITUTE(LOWER(Z416&amp;""),CHAR(10)," "),CHAR(13)," "),CHAR(9)," "),CHAR(160)," "),"."," "),","," "),"-"," "),"/"," "),"("," "),")"," "),":"," "),";"," "),"_"," "),"–"," "),"?"," "),"!"," "),"*"," "),"["," "),"]"," "),"'"," "),"#"," "),"+"," "),"&amp;"," "),"\"," "))&amp;" "</f>
        <v>  </v>
      </c>
      <c r="BE416" s="61" t="str">
        <f aca="false">" "&amp;TRIM(SUBSTITUTE(SUBSTITUTE(SUBSTITUTE(SUBSTITUTE(SUBSTITUTE(SUBSTITUTE(SUBSTITUTE(SUBSTITUTE(SUBSTITUTE(SUBSTITUTE(SUBSTITUTE(SUBSTITUTE(SUBSTITUTE(SUBSTITUTE(SUBSTITUTE(SUBSTITUTE(SUBSTITUTE(SUBSTITUTE(SUBSTITUTE(SUBSTITUTE(SUBSTITUTE(SUBSTITUTE(SUBSTITUTE(SUBSTITUTE(LOWER(W416&amp;""),CHAR(10)," "),CHAR(13)," "),CHAR(9)," "),CHAR(160)," "),"."," "),","," "),"-"," "),"/"," "),"("," "),")"," "),":"," "),";"," "),"_"," "),"–"," "),"?"," "),"!"," "),"*"," "),"["," "),"]"," "),"'"," "),"#"," "),"+"," "),"&amp;"," "),"\"," "))&amp;" "</f>
        <v>  </v>
      </c>
      <c r="BF416" s="61" t="str">
        <f aca="false">" "&amp;TRIM(SUBSTITUTE(SUBSTITUTE(SUBSTITUTE(SUBSTITUTE(SUBSTITUTE(SUBSTITUTE(SUBSTITUTE(SUBSTITUTE(SUBSTITUTE(SUBSTITUTE(SUBSTITUTE(SUBSTITUTE(SUBSTITUTE(SUBSTITUTE(SUBSTITUTE(SUBSTITUTE(SUBSTITUTE(SUBSTITUTE(SUBSTITUTE(SUBSTITUTE(SUBSTITUTE(SUBSTITUTE(SUBSTITUTE(SUBSTITUTE(LOWER(AC416&amp;""),CHAR(10)," "),CHAR(13)," "),CHAR(9)," "),CHAR(160)," "),"."," "),","," "),"-"," "),"/"," "),"("," "),")"," "),":"," "),";"," "),"_"," "),"–"," "),"?"," "),"!"," "),"*"," "),"["," "),"]"," "),"'"," "),"#"," "),"+"," "),"&amp;"," "),"\"," "))&amp;" "</f>
        <v>  </v>
      </c>
      <c r="BG416" s="61" t="n">
        <f aca="false">IFERROR(IF(AND(TRIM(U416)="Pass",SUMPRODUCT((LEN(BC416)-LEN(SUBSTITUTE(BC416," "&amp;L_ResultBad&amp;" "," ")))/(LEN(L_ResultBad)+1))&gt;SUMPRODUCT((LEN(BC416)-LEN(SUBSTITUTE(BC416," "&amp;L_NegPhrase&amp;" "," ")))/(LEN(L_NegPhrase)+1))),1,0),0)</f>
        <v>0</v>
      </c>
      <c r="BH416" s="61" t="n">
        <f aca="false">IFERROR(IF(SUMPRODUCT((LEN(BC416)-LEN(SUBSTITUTE(BC416," "&amp;L_Pending&amp;" "," ")))/(LEN(L_Pending)+1))&gt;SUMPRODUCT((LEN(BC416)-LEN(SUBSTITUTE(BC416," "&amp;L_PendNeg&amp;" "," ")))/(LEN(L_PendNeg)+1)),1,0),1)</f>
        <v>0</v>
      </c>
      <c r="BI416" s="61" t="n">
        <f aca="false">IFERROR(IF(SUMPRODUCT((LEN(BD416)-LEN(SUBSTITUTE(BD416," "&amp;L_PendStrict&amp;" "," ")))/(LEN(L_PendStrict)+1))&gt;SUMPRODUCT((LEN(BD416)-LEN(SUBSTITUTE(BD416," "&amp;L_PendNeg&amp;" "," ")))/(LEN(L_PendNeg)+1)),1,0),1)</f>
        <v>0</v>
      </c>
      <c r="BJ416" s="61" t="n">
        <f aca="false">IFERROR(IF(SUMPRODUCT((LEN(BE416)-LEN(SUBSTITUTE(BE416," "&amp;L_Pending&amp;" "," ")))/(LEN(L_Pending)+1))&gt;SUMPRODUCT((LEN(BE416)-LEN(SUBSTITUTE(BE416," "&amp;L_PendNeg&amp;" "," ")))/(LEN(L_PendNeg)+1)),1,0),1)</f>
        <v>0</v>
      </c>
      <c r="BK416" s="61" t="n">
        <f aca="false">IFERROR(IF(SUMPRODUCT((LEN(BF416)-LEN(SUBSTITUTE(BF416," "&amp;L_PendStrict&amp;" "," ")))/(LEN(L_PendStrict)+1))&gt;SUMPRODUCT((LEN(BF416)-LEN(SUBSTITUTE(BF416," "&amp;L_PendNeg&amp;" "," ")))/(LEN(L_PendNeg)+1)),1,0),1)</f>
        <v>0</v>
      </c>
      <c r="BL416" s="61" t="n">
        <f aca="false">IF(ISNA(MATCH(TRIM(S416),L_EvidenceType,0)),0,BZ416)</f>
        <v>0</v>
      </c>
      <c r="BM416" s="61" t="str">
        <f aca="false">SUBSTITUTE(SUBSTITUTE(SUBSTITUTE(SUBSTITUTE(SUBSTITUTE(SUBSTITUTE(SUBSTITUTE(SUBSTITUTE(SUBSTITUTE(LOWER(Z416&amp;""),"1","0"),"2","0"),"3","0"),"4","0"),"5","0"),"6","0"),"7","0"),"8","0"),"9","0")</f>
        <v/>
      </c>
      <c r="BN416" s="61" t="str">
        <f aca="false">SUBSTITUTE(SUBSTITUTE(SUBSTITUTE(SUBSTITUTE(SUBSTITUTE(SUBSTITUTE(SUBSTITUTE(SUBSTITUTE(SUBSTITUTE(SUBSTITUTE(SUBSTITUTE(SUBSTITUTE(SUBSTITUTE(SUBSTITUTE(SUBSTITUTE(SUBSTITUTE(SUBSTITUTE(SUBSTITUTE(SUBSTITUTE(SUBSTITUTE(SUBSTITUTE(SUBSTITUTE(SUBSTITUTE(SUBSTITUTE(SUBSTITUTE(BM416,"b","a"),"c","a"),"d","a"),"e","a"),"f","a"),"g","a"),"h","a"),"i","a"),"j","a"),"k","a"),"l","a"),"m","a"),"n","a"),"o","a"),"p","a"),"q","a"),"r","a"),"s","a"),"t","a"),"u","a"),"v","a"),"w","a"),"x","a"),"y","a"),"z","a")</f>
        <v/>
      </c>
      <c r="BO416" s="61" t="str">
        <f aca="false">SUBSTITUTE(SUBSTITUTE(SUBSTITUTE(SUBSTITUTE(SUBSTITUTE(SUBSTITUTE(SUBSTITUTE(SUBSTITUTE(SUBSTITUTE(LOWER(W416&amp;""),"1","0"),"2","0"),"3","0"),"4","0"),"5","0"),"6","0"),"7","0"),"8","0"),"9","0")</f>
        <v/>
      </c>
      <c r="BP416" s="61" t="str">
        <f aca="false">SUBSTITUTE(SUBSTITUTE(SUBSTITUTE(SUBSTITUTE(SUBSTITUTE(SUBSTITUTE(SUBSTITUTE(SUBSTITUTE(SUBSTITUTE(SUBSTITUTE(SUBSTITUTE(SUBSTITUTE(SUBSTITUTE(SUBSTITUTE(SUBSTITUTE(SUBSTITUTE(SUBSTITUTE(SUBSTITUTE(SUBSTITUTE(SUBSTITUTE(SUBSTITUTE(SUBSTITUTE(SUBSTITUTE(SUBSTITUTE(SUBSTITUTE(BO416,"b","a"),"c","a"),"d","a"),"e","a"),"f","a"),"g","a"),"h","a"),"i","a"),"j","a"),"k","a"),"l","a"),"m","a"),"n","a"),"o","a"),"p","a"),"q","a"),"r","a"),"s","a"),"t","a"),"u","a"),"v","a"),"w","a"),"x","a"),"y","a"),"z","a")</f>
        <v/>
      </c>
      <c r="BQ416" s="61" t="n">
        <f aca="false">IFERROR(IF(AND(ISERROR(SEARCH(" mh"," "&amp;LOWER(W416))),ISNA(MATCH(LEFT(TRIM(BP416),255),{"0000a","000a","00a","0000aa","000aa","00aa","0aa","0000aaa","000aaa","00a00","0a00","0000-0000","00:00","a00","a0","00.00.0000","00/00/0000","00-00-0000","0000-00-00","0000/00/00","0000.00.00","00.00.00","00/00/00","00-00-00","0.00.0000","0/00/0000","0-00-0000"},0)),ISNA(MATCH(LEFT(TRIM(CA416),255),{"0000a","000a","00a","0000aa","000aa","00aa","0aa","0000aaa","000aaa","00a00","0a00","0000-0000","00:00","a00","a0","00.00.0000","00/00/0000","00-00-0000","0000-00-00","0000/00/00","0000.00.00","00.00.00","00/00/00","00-00-00","0.00.0000","0/00/0000","0-00-0000"},0)),LEN(CB416)&gt;=3,NOT(OR(SUBSTITUTE(CB416,"0","")="",AND(LEN(CB416)&gt;=4,CB416=REPT(LEFT(CB416),LEN(CB416))),ISNUMBER(MATCH(CB416,{"123","1234","12345","123456","1234567","12345678","0123","01234","012345","98765","987654","54321"},0)),AND(LEN(CB416)=8,LEFT(CB416,3)="202"))),OR(AND((LEN(CA416)-LEN(SUBSTITUTE(CA416,"a","")))&gt;=1,SUMPRODUCT(--ISNUMBER(SEARCH({"a0","a-0","a_0","a/0","a.0","a#0","0a","0-a","0_a","0/a"},BP416)))&gt;0),ISNUMBER(SEARCH("000000",BP416)))),1,0),0)</f>
        <v>0</v>
      </c>
      <c r="BR416" s="61" t="n">
        <f aca="false">IFERROR(LEN(SUBSTITUTE(CC416," ",""))-SUMPRODUCT((LEN(CC416)-LEN(SUBSTITUTE(CC416," "&amp;L_Role&amp;" "," ")))/(LEN(L_Role)+1)*LEN(L_Role)),0)</f>
        <v>0</v>
      </c>
      <c r="BS416" s="61" t="n">
        <f aca="false">IFERROR(LEN(SUBSTITUTE(CD416," ",""))-SUMPRODUCT((LEN(CD416)-LEN(SUBSTITUTE(CD416," "&amp;L_Role&amp;" "," ")))/(LEN(L_Role)+1)*LEN(L_Role)),0)</f>
        <v>0</v>
      </c>
      <c r="BT4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416,"revision",""),"version",""),"jan",""),"feb",""),"mar",""),"apr",""),"may",""),"jun",""),"jul",""),"aug",""),"sep",""),"oct",""),"nov",""),"dec",""),"utc",""),"gmt",""),"myt",""),"bst",""),"rev",""),"ver",""),"b","a"),"c","a"),"d","a"),"e","a"),"f","a"),"g","a"),"h","a"),"i","a"),"j","a"),"k","a"),"l","a"),"m","a"),"n","a"),"o","a"),"p","a"),"q","a"),"r","a"),"s","a"),"t","a"),"u","a"),"v","a"),"w","a"),"x","a"),"y","a"),"z","a")</f>
        <v/>
      </c>
      <c r="BU416" s="61" t="str">
        <f aca="false">SUBSTITUTE(SUBSTITUTE(SUBSTITUTE(SUBSTITUTE(SUBSTITUTE(SUBSTITUTE(SUBSTITUTE(SUBSTITUTE(SUBSTITUTE(SUBSTITUTE(LEFT(BM416,FIND("0",BM416&amp;"0")-1),"-",""),"_",""),"/",""),".",""),"#",""),"\\",""),":","")," ",""),"(",""),")","")</f>
        <v/>
      </c>
      <c r="BV416" s="61" t="n">
        <f aca="false">IFERROR(IF(OR(SUMPRODUCT((LEN(BC416)-LEN(SUBSTITUTE(BC416," "&amp;L_NotLoaded&amp;" "," ")))/(LEN(L_NotLoaded)+1))&gt;SUMPRODUCT((LEN(BC416)-LEN(SUBSTITUTE(BC416," "&amp;L_NotLoadedNeg&amp;" "," ")))/(LEN(L_NotLoadedNeg)+1)),SUMPRODUCT((LEN(BD416)-LEN(SUBSTITUTE(BD416," "&amp;L_NotLoaded&amp;" "," ")))/(LEN(L_NotLoaded)+1))&gt;SUMPRODUCT((LEN(BD416)-LEN(SUBSTITUTE(BD416," "&amp;L_NotLoadedNeg&amp;" "," ")))/(LEN(L_NotLoadedNeg)+1))),1,0),0)</f>
        <v>0</v>
      </c>
      <c r="BW4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416&amp;""),"a",""),"b",""),"c",""),"d",""),"e",""),"f",""),"g",""),"h",""),"i",""),"j",""),"k",""),"l",""),"m",""),"n",""),"o",""),"p",""),"q",""),"r",""),"s",""),"t",""),"u",""),"v",""),"w",""),"x",""),"y",""),"z",""),"-",""),"_",""),"/",""),".",""),"#",""),"\\",""),":","")," ",""),"(",""),")","")</f>
        <v/>
      </c>
      <c r="BX416" s="61" t="str">
        <f aca="false">SUBSTITUTE(SUBSTITUTE(SUBSTITUTE(SUBSTITUTE(SUBSTITUTE(SUBSTITUTE(SUBSTITUTE(SUBSTITUTE(SUBSTITUTE(SUBSTITUTE(SUBSTITUTE(BM416,"0",""),"-",""),"_",""),"/",""),".",""),"#",""),"\\",""),":","")," ",""),"(",""),")","")</f>
        <v/>
      </c>
      <c r="BY416" s="62" t="n">
        <f aca="false">IF(ISNUMBER(Flights!$AZ$16),MAX(Q416-UpliftWindowH/24,Flights!$AZ$16),Q416-UpliftWindowH/24)</f>
        <v>46307.3506944444</v>
      </c>
      <c r="BZ416" s="61" t="n">
        <f aca="false">IFERROR(IF(IF(TRIM(S416)="Link / file path",AND(LEN(TRIM(Z416))&gt;=5,SUMPRODUCT(--ISNUMBER(SEARCH({"http","www.","\\",":\",".pdf",".jpg",".jpeg",".png",".heic",".xls",".doc",".msg",".eml",".ppt",".txt",".zip"},Z416)))&gt;0),AND(ISERROR(FIND(" ",TRIM(Z416))),NOT(OR(SUMPRODUCT(--ISNUMBER(FIND({",",";","&amp;","+"},Z416)))&gt;0,SUMPRODUCT(--ISNUMBER(SEARCH({"0/aa","0\\aa"},BN416)))&gt;0)),NOT(SUMPRODUCT(--ISNUMBER(SEARCH({"http","www.","\\",":\",".pdf",".jpg",".jpeg",".png",".heic",".xls",".doc",".msg",".eml",".ppt",".txt",".zip"},Z416)))&gt;0),NOT(LOWER(TRIM(Z416))=LOWER(Flights!$F$16)),ISNA(MATCH(BU416,{"mh","rev","revision","ver","version","v","r","a","b","seat","tray","row","gate","bay","stand","page","pg","item","line","no","cart","galley","flight","flt","table","box","bag","oven","etd","eta","std","sta","atd","ata","qty","pax","x","time","tel","ph","mob","day","wk","week","utc","gmt","myt","lt"},0)),NOT(OR(ISNUMBER(MATCH(LEFT(BN416,255),{"0000a","000a","00a","0000aa","000aa","00aa","0aa","0000aaa","000aaa","00a00","0a00","0000-0000","00:00","a00","a0","00.00.0000","00/00/0000","00-00-0000","0000-00-00","0000/00/00","0000.00.00","00.00.00","00/00/00","00-00-00","0.00.0000","0/00/0000","0-00-0000"},0)),ISNUMBER(MATCH(LEFT(BT416,255),{"0000a","000a","00a","0000aa","000aa","00aa","0aa","0000aaa","000aaa","00a00","0a00","0000-0000","00:00","a00","a0","00.00.0000","00/00/0000","00-00-0000","0000-00-00","0000/00/00","0000.00.00","00.00.00","00/00/00","00-00-00","0.00.0000","0/00/0000","0-00-0000"},0)))),NOT(OR(AND(BW416&lt;&gt;"",SUBSTITUTE(BW416,"0","")=""),AND(LEN(BW416)&gt;=4,BW416=REPT(LEFT(BW416),LEN(BW416))),ISNUMBER(MATCH(BW416,{"123","1234","12345","123456","1234567","12345678","0123","01234","012345","98765","987654","54321"},0)),ISNUMBER(MATCH(BX416,{"x","xx","xxx","xxxx","xxxxx","abc","abcd","nil","na","nan","test","tbc","tba","tbd","dummy","sample","example","eg","zz","zzz","none","null","xyz","qwe","asd","id","ref"},0)),AND(LEN(BW416)=8,BX416="",OR(LEFT(BW416,3)="202",ISNUMBER(MATCH(RIGHT(BW416,4),{"2025","2026","2027"},0)))))),OR(AND((LEN(BT416)-LEN(SUBSTITUTE(BT416,"a","")))&gt;=1,(LEN(BN416)-LEN(SUBSTITUTE(BN416,"0","")))&gt;=2,SUMPRODUCT(--ISNUMBER(SEARCH({"a0","a-0","a_0","a/0","a.0","a#0","0a","0-a","0_a","0/a"},BN416)))&gt;0),AND((LEN(BN416)-LEN(SUBSTITUTE(BN416,"a","")))=0,(LEN(BN416)-LEN(SUBSTITUTE(BN416,"0","")))&gt;=5)))),1,0),0)</f>
        <v>0</v>
      </c>
      <c r="CA4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416,"revision",""),"version",""),"jan",""),"feb",""),"mar",""),"apr",""),"may",""),"jun",""),"jul",""),"aug",""),"sep",""),"oct",""),"nov",""),"dec",""),"utc",""),"gmt",""),"myt",""),"bst",""),"rev",""),"ver",""),"b","a"),"c","a"),"d","a"),"e","a"),"f","a"),"g","a"),"h","a"),"i","a"),"j","a"),"k","a"),"l","a"),"m","a"),"n","a"),"o","a"),"p","a"),"q","a"),"r","a"),"s","a"),"t","a"),"u","a"),"v","a"),"w","a"),"x","a"),"y","a"),"z","a")</f>
        <v/>
      </c>
      <c r="CB4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416&amp;""),"a",""),"b",""),"c",""),"d",""),"e",""),"f",""),"g",""),"h",""),"i",""),"j",""),"k",""),"l",""),"m",""),"n",""),"o",""),"p",""),"q",""),"r",""),"s",""),"t",""),"u",""),"v",""),"w",""),"x",""),"y",""),"z",""),"-",""),"_",""),"/",""),".",""),"#",""),"\\",""),":","")," ",""),"(",""),")","")</f>
        <v/>
      </c>
      <c r="CC416" s="0" t="str">
        <f aca="false">" "&amp;TRIM(SUBSTITUTE(SUBSTITUTE(SUBSTITUTE(SUBSTITUTE(SUBSTITUTE(SUBSTITUTE(SUBSTITUTE(SUBSTITUTE(SUBSTITUTE(SUBSTITUTE(SUBSTITUTE(SUBSTITUTE(SUBSTITUTE(SUBSTITUTE(SUBSTITUTE(SUBSTITUTE(SUBSTITUTE(SUBSTITUTE(SUBSTITUTE(SUBSTITUTE(SUBSTITUTE(SUBSTITUTE(SUBSTITUTE(SUBSTITUTE(LOWER(T416&amp;""),CHAR(10)," "),CHAR(13)," "),CHAR(9)," "),CHAR(160)," "),"."," "),","," "),"-"," "),"/"," "),"("," "),")"," "),":"," "),";"," "),"_"," "),"–"," "),"?"," "),"!"," "),"*"," "),"["," "),"]"," "),"'"," "),"#"," "),"+"," "),"&amp;"," "),"\"," "))&amp;" "</f>
        <v>  </v>
      </c>
      <c r="CD416" s="0" t="str">
        <f aca="false">" "&amp;TRIM(SUBSTITUTE(SUBSTITUTE(SUBSTITUTE(SUBSTITUTE(SUBSTITUTE(SUBSTITUTE(SUBSTITUTE(SUBSTITUTE(SUBSTITUTE(SUBSTITUTE(SUBSTITUTE(SUBSTITUTE(SUBSTITUTE(SUBSTITUTE(SUBSTITUTE(SUBSTITUTE(SUBSTITUTE(SUBSTITUTE(SUBSTITUTE(SUBSTITUTE(SUBSTITUTE(SUBSTITUTE(SUBSTITUTE(SUBSTITUTE(LOWER(AE416&amp;""),CHAR(10)," "),CHAR(13)," "),CHAR(9)," "),CHAR(160)," "),"."," "),","," "),"-"," "),"/"," "),"("," "),")"," "),":"," "),";"," "),"_"," "),"–"," "),"?"," "),"!"," "),"*"," "),"["," "),"]"," "),"'"," "),"#"," "),"+"," "),"&amp;"," "),"\"," "))&amp;" "</f>
        <v>  </v>
      </c>
      <c r="CE416" s="68" t="n">
        <f aca="false">IFERROR(IF(AND(LEN(AU416)&gt;0,LEN(AU416)=LEN(AX416),OR(TRIM(MID(SUBSTITUTE(TRIM(CC416)," ",REPT(" ",60)),1,60))="",ISNUMBER(SEARCH(" "&amp;TRIM(MID(SUBSTITUTE(TRIM(CC416)," ",REPT(" ",60)),1,60))&amp;" ",CD416))),OR(TRIM(MID(SUBSTITUTE(TRIM(CC416)," ",REPT(" ",60)),61,60))="",ISNUMBER(SEARCH(" "&amp;TRIM(MID(SUBSTITUTE(TRIM(CC416)," ",REPT(" ",60)),61,60))&amp;" ",CD416))),OR(TRIM(MID(SUBSTITUTE(TRIM(CC416)," ",REPT(" ",60)),121,60))="",ISNUMBER(SEARCH(" "&amp;TRIM(MID(SUBSTITUTE(TRIM(CC416)," ",REPT(" ",60)),121,60))&amp;" ",CD416)))),1,0),0)</f>
        <v>0</v>
      </c>
      <c r="CG416" s="68" t="n">
        <f aca="false">IFERROR(LEN(SUBSTITUTE(BF416," ",""))-SUMPRODUCT((LEN(BF416)-LEN(SUBSTITUTE(BF416," "&amp;L_NAFiller&amp;" "," ")))/(LEN(L_NAFiller)+1)*LEN(L_NAFiller)),0)</f>
        <v>0</v>
      </c>
    </row>
    <row r="417" customFormat="false" ht="39.75" hidden="false" customHeight="true" outlineLevel="0" collapsed="false">
      <c r="A417" s="57" t="s">
        <v>1049</v>
      </c>
      <c r="B417" s="57" t="s">
        <v>261</v>
      </c>
      <c r="C417" s="57" t="str">
        <f aca="false">Flights!$F$16</f>
        <v>MH0139</v>
      </c>
      <c r="D417" s="58" t="n">
        <f aca="false">Flights!$D$16</f>
        <v>46307</v>
      </c>
      <c r="E417" s="57" t="str">
        <f aca="false">Flights!$G$16&amp;"-"&amp;Flights!$H$16</f>
        <v>KUL-ADL</v>
      </c>
      <c r="F417" s="57" t="str">
        <f aca="false">Flights!$K$16</f>
        <v>BC</v>
      </c>
      <c r="G417" s="57" t="s">
        <v>459</v>
      </c>
      <c r="H417" s="57" t="s">
        <v>460</v>
      </c>
      <c r="I417" s="57" t="s">
        <v>499</v>
      </c>
      <c r="J417" s="57" t="s">
        <v>541</v>
      </c>
      <c r="K417" s="67" t="s">
        <v>501</v>
      </c>
      <c r="L417" s="67" t="s">
        <v>1022</v>
      </c>
      <c r="M417" s="67" t="s">
        <v>451</v>
      </c>
      <c r="N417" s="67" t="s">
        <v>383</v>
      </c>
      <c r="O417" s="67"/>
      <c r="P417" s="57" t="s">
        <v>187</v>
      </c>
      <c r="Q417" s="59" t="n">
        <f aca="false">ROUND((Flights!$AF$16)*1440,0)/1440</f>
        <v>46307.6006944444</v>
      </c>
      <c r="R417" s="59" t="n">
        <f aca="false">Q417+(IF(AND(INDEX(TZ_DSTS,MATCH(P417,TZ_STN,0))&lt;&gt;"",Q417&gt;=INDEX(TZ_DSTS,MATCH(P417,TZ_STN,0)),Q417&lt;INDEX(TZ_DSTE,MATCH(P417,TZ_STN,0))),INDEX(TZ_DST,MATCH(P417,TZ_STN,0)),INDEX(TZ_STD,MATCH(P417,TZ_STN,0))))/24</f>
        <v>46307.9340277778</v>
      </c>
      <c r="S417" s="60"/>
      <c r="T417" s="60"/>
      <c r="U417" s="60"/>
      <c r="V417" s="60"/>
      <c r="W417" s="61"/>
      <c r="X417" s="60"/>
      <c r="Y417" s="60"/>
      <c r="Z417" s="60"/>
      <c r="AA417" s="60"/>
      <c r="AB417" s="60"/>
      <c r="AC417" s="60"/>
      <c r="AD417" s="66"/>
      <c r="AE417" s="60"/>
      <c r="AF417" s="61" t="str">
        <f aca="false">IF(AND(ISNUMBER(X417),ISNUMBER(Y417)),Y417-X417,"")</f>
        <v/>
      </c>
      <c r="AG417" s="62" t="str">
        <f aca="false">IF(ISNUMBER(AD417),AD417-(IF(AND(INDEX(TZ_DSTS,MATCH(P417,TZ_STN,0))&lt;&gt;"",(AD417-INDEX(TZ_STD,MATCH(P417,TZ_STN,0))/24)&gt;=INDEX(TZ_DSTS,MATCH(P417,TZ_STN,0)),(AD417-INDEX(TZ_STD,MATCH(P417,TZ_STN,0))/24)&lt;INDEX(TZ_DSTE,MATCH(P417,TZ_STN,0))),INDEX(TZ_DST,MATCH(P417,TZ_STN,0)),INDEX(TZ_STD,MATCH(P417,TZ_STN,0))))/24,"")</f>
        <v/>
      </c>
      <c r="AH417" s="65" t="str">
        <f aca="false">IFERROR(IF(N417="N/A – rule",IF(OR(TRIM(U417)="",TRIM(U417)="N/A",TRIM(U417)="Not started"),"N/A – RULE","INVALID – this check does not apply to this aircraft: clear the status (or correct the fleet on Flights)"),IF(TRIM(U417)="N/A",IF(AT417=0,"INVALID – N/A not permitted for this check",IF(AND(TRIM(AB417)&lt;&gt;"",TRIM(AB417)&lt;&gt;"Closed"),"INVALID – corrective action still open",IF(AND(NOT(OR(LEN(AZ417)&lt;15,ISNUMBER(MATCH(AZ417,L_Placeholder,0)))),BK417=0,CG417&gt;=8,NOT(OR(LEN(AU417)&lt;2,ISNUMBER(MATCH(AU417,L_Placeholder,0)))),BR417&gt;=3,NOT(OR(LEN(AX417)&lt;2,ISNUMBER(MATCH(AX417,L_Placeholder,0)))),BS417&gt;=3,TRIM(AE417)&lt;&gt;TRIM(T417),AX417&lt;&gt;AU417,CE417=0),"N/A – JUSTIFIED","INVALID – N/A needs a real, settled reason (not 'not applicable' / 'as above' / TBC), a named PIC and a different named verifier"))),IF(OR(TRIM(U417)="Pass",TRIM(U417)="Pass after CA"),IF(NOT(ISNUMBER(AD417)),"INVALID – completion time missing",IF(OR(OR(LEN(AU417)&lt;2,ISNUMBER(MATCH(AU417,L_Placeholder,0))),BR417&lt;3),"INVALID – PIC missing or not a named person (a role such as QA / CSM is not a name)",IF(OR(LEN(AV417)&lt;2,ISNUMBER(MATCH(AV417,L_Placeholder,0))),"INVALID – result / assessment missing",IF(OR(OR(LEN(AW417)&lt;3,ISNUMBER(MATCH(AW417,L_Placeholder,0))),SUMPRODUCT(--ISNUMBER(SEARCH(" "&amp;L_EvidencePhrase&amp;" ",BD417)))&gt;0,BI417=1),"INVALID – evidence missing, placeholder or not yet on file",IF(ISNA(MATCH(TRIM(S417),L_EvidenceType,0)),"INVALID – choose the evidence type from the list (column S)",IF(BL417=0,"INVALID – evidence ID must be the record's own ID only (e.g. SF-2210, IMG_2231, 1045521); a link / file name needs type 'Link / file path'",IF(OR(OR(LEN(AX417)&lt;2,ISNUMBER(MATCH(AX417,L_Placeholder,0))),BS417&lt;3),"INVALID – verifier missing or not a named person (a role such as QA / CSM is not a name)",IF(OR(AX417=AU417,CE417=1,AND(LEN(AU417)&gt;=4,ISNUMBER(SEARCH(AU417,AX417))),AND(LEN(AX417)&gt;=4,ISNUMBER(SEARCH(AX417,AU417)))),"INVALID – verifier must be a different, named person (not the PIC or a role)",IF(BH417=1,"INVALID – result not yet available (awaiting / TBC)",IF(BG417=1,"INVALID – result describes a problem: record Fail, then Pass after CA (or reword if it is not a problem)",IF(BV417=1,"INVALID – wording says not on board: an on-board confirmation needs the item loaded",IF(AND(AQ417=1,OR(OR(LEN(AY417)&lt;3,ISNUMBER(MATCH(AY417,L_Placeholder,0))),BJ417=1,BQ417=0)),"INVALID – batch ID missing, placeholder or not an ID (e.g. PASB-261008-BC-017)",IF(AND(AR417=1,OR(NOT(ISNUMBER(X417)),NOT(ISNUMBER(Y417)))),"INVALID – expected/actual qty missing",IF(AND(AR417=1,OR(X417&lt;=0,Y417&lt;0)),"INVALID – expected qty must be above 0 and actual not negative",IF(AH401="N/A – JUSTIFIED","INVALID – preparation row F12-T12-12 is N/A",IF(AND(AR417=1,ISNUMBER(X401),X417&lt;&gt;X401,TRIM(U417)&lt;&gt;"Pass after CA"),"INVALID – expected qty differs from preparation check F12-T12-12: record the load change as a corrective action (Pass after CA)",IF(BB417&lt;&gt;"",BB417,IF(AND(AS417=1,Documents!$J$16&lt;&gt;"ON FILE"),"INVALID – GLD not on file (Documents sheet)",IF(AND(AS417=2,Documents!$O$16&lt;&gt;"ON FILE"),"INVALID – menu checklist not on file (Documents sheet)",IF(AND(AS417=3,NOT(ISNUMBER(Flights!$AX$16))),"INVALID – enter carrying flight KUL departure (Flights AX)",IF(AND(AS417=3,OR(Flights!$AZ$16&gt;Flights!$AA$16,Flights!$AX$16&lt;Flights!$AA$16-3)),"INVALID – carrying flight (Flights AX) cannot arrive before this leg's STD, or is over 3 days early",IF(AG417&gt;AsOfUTC,"INVALID – completion time is in the future",IF(AND(ISNUMBER(BY417),AG417&lt;BY417),IF(H417="Physical uplift","INVALID – before uplift window (cannot confirm loading)","INVALID – before valid window"),IF(AG417&gt;Flights!$AA$16,"INVALID – completed after departure (cannot establish readiness)",IF(AND(H417="Preparation",AG417&gt;=IF(ISNUMBER(Flights!$BA$16),MIN(Flights!$BA$16,Flights!$AA$16),Flights!$AA$16)),"INVALID – completed after loading / departure (cannot establish readiness)",IF(AND(H417="Physical uplift",AG417&gt;Q417),"INVALID – recorded after the loading flight departed",IF(AG417&gt;Q417,"COMPLETE – LATE","COMPLETE"))))))))))))))))))))))))))),IF(TRIM(U417)="Fail","FAIL – DISCREPANCY",IF(AND(TRIM(U417)&lt;&gt;"",TRIM(U417)&lt;&gt;"Not started",TRIM(U417)&lt;&gt;"In progress"),"INVALID – unrecognised status (use the list)",IF(AsOfUTC&gt;Q417,"OVERDUE",IF(N417="Clarification required","OPEN – CLARIFICATION","OPEN"))))))),"INVALID – error value in an input cell")</f>
        <v>OPEN</v>
      </c>
      <c r="AI417" s="61" t="n">
        <f aca="false">IF(OR(AH417="N/A – RULE",AH417="N/A – JUSTIFIED"),0,1)</f>
        <v>1</v>
      </c>
      <c r="AJ417" s="61" t="n">
        <f aca="false">IF(LEFT(AH417,8)="COMPLETE",1,0)</f>
        <v>0</v>
      </c>
      <c r="AK417" s="61" t="n">
        <f aca="false">IF(AND(AI417=1,AJ417=0,AsOfUTC&gt;Q417),1,0)</f>
        <v>0</v>
      </c>
      <c r="AL417" s="61" t="n">
        <f aca="false">IFERROR(IF(AND(AI417=1,OR(TRIM(U417)="Fail",AND(TRIM(AB417)&lt;&gt;"",TRIM(AB417)&lt;&gt;"Closed"),AND(ISNUMBER(AF417),AF417&lt;&gt;0,TRIM(U417)&lt;&gt;"Pass after CA"))),1,0),1)</f>
        <v>0</v>
      </c>
      <c r="AM417" s="61" t="n">
        <f aca="false">IF(LEFT(AH417,7)="INVALID",1,0)</f>
        <v>0</v>
      </c>
      <c r="AN417" s="61" t="n">
        <f aca="false">IF(AND(N417="Clarification required",AI417=1,AJ417=0),1,0)</f>
        <v>0</v>
      </c>
      <c r="AO417" s="61" t="str">
        <f aca="false">IF(AK417=1,SUM(AK$5:AK417),"")</f>
        <v/>
      </c>
      <c r="AP417" s="61" t="str">
        <f aca="false">IF(AL417=1,SUM(AL$5:AL417),"")</f>
        <v/>
      </c>
      <c r="AQ417" s="61" t="n">
        <v>0</v>
      </c>
      <c r="AR417" s="61" t="n">
        <v>0</v>
      </c>
      <c r="AS417" s="61" t="n">
        <v>0</v>
      </c>
      <c r="AT417" s="61" t="n">
        <v>0</v>
      </c>
      <c r="AU417" s="61" t="str">
        <f aca="false">SUBSTITUTE(SUBSTITUTE(SUBSTITUTE(SUBSTITUTE(SUBSTITUTE(SUBSTITUTE(SUBSTITUTE(SUBSTITUTE(SUBSTITUTE(SUBSTITUTE(SUBSTITUTE(SUBSTITUTE(SUBSTITUTE(SUBSTITUTE(SUBSTITUTE(SUBSTITUTE(LOWER(T417&amp;""),CHAR(10),""),CHAR(13),""),CHAR(9),""),CHAR(160),"")," ",""),".",""),"-",""),"/",""),"?",""),"_",""),",",""),"[",""),"]",""),"(",""),")",""),"*","")</f>
        <v/>
      </c>
      <c r="AV417" s="61" t="str">
        <f aca="false">SUBSTITUTE(SUBSTITUTE(SUBSTITUTE(SUBSTITUTE(SUBSTITUTE(SUBSTITUTE(SUBSTITUTE(SUBSTITUTE(SUBSTITUTE(SUBSTITUTE(SUBSTITUTE(SUBSTITUTE(SUBSTITUTE(SUBSTITUTE(SUBSTITUTE(SUBSTITUTE(LOWER(V417&amp;""),CHAR(10),""),CHAR(13),""),CHAR(9),""),CHAR(160),"")," ",""),".",""),"-",""),"/",""),"?",""),"_",""),",",""),"[",""),"]",""),"(",""),")",""),"*","")</f>
        <v/>
      </c>
      <c r="AW417" s="61" t="str">
        <f aca="false">SUBSTITUTE(SUBSTITUTE(SUBSTITUTE(SUBSTITUTE(SUBSTITUTE(SUBSTITUTE(SUBSTITUTE(SUBSTITUTE(SUBSTITUTE(SUBSTITUTE(SUBSTITUTE(SUBSTITUTE(SUBSTITUTE(SUBSTITUTE(SUBSTITUTE(SUBSTITUTE(LOWER(Z417&amp;""),CHAR(10),""),CHAR(13),""),CHAR(9),""),CHAR(160),"")," ",""),".",""),"-",""),"/",""),"?",""),"_",""),",",""),"[",""),"]",""),"(",""),")",""),"*","")</f>
        <v/>
      </c>
      <c r="AX417" s="61" t="str">
        <f aca="false">SUBSTITUTE(SUBSTITUTE(SUBSTITUTE(SUBSTITUTE(SUBSTITUTE(SUBSTITUTE(SUBSTITUTE(SUBSTITUTE(SUBSTITUTE(SUBSTITUTE(SUBSTITUTE(SUBSTITUTE(SUBSTITUTE(SUBSTITUTE(SUBSTITUTE(SUBSTITUTE(LOWER(AE417&amp;""),CHAR(10),""),CHAR(13),""),CHAR(9),""),CHAR(160),"")," ",""),".",""),"-",""),"/",""),"?",""),"_",""),",",""),"[",""),"]",""),"(",""),")",""),"*","")</f>
        <v/>
      </c>
      <c r="AY417" s="61" t="str">
        <f aca="false">SUBSTITUTE(SUBSTITUTE(SUBSTITUTE(SUBSTITUTE(SUBSTITUTE(SUBSTITUTE(SUBSTITUTE(SUBSTITUTE(SUBSTITUTE(SUBSTITUTE(SUBSTITUTE(SUBSTITUTE(SUBSTITUTE(SUBSTITUTE(SUBSTITUTE(SUBSTITUTE(LOWER(W417&amp;""),CHAR(10),""),CHAR(13),""),CHAR(9),""),CHAR(160),"")," ",""),".",""),"-",""),"/",""),"?",""),"_",""),",",""),"[",""),"]",""),"(",""),")",""),"*","")</f>
        <v/>
      </c>
      <c r="AZ417" s="61" t="str">
        <f aca="false">SUBSTITUTE(SUBSTITUTE(SUBSTITUTE(SUBSTITUTE(SUBSTITUTE(SUBSTITUTE(SUBSTITUTE(SUBSTITUTE(SUBSTITUTE(SUBSTITUTE(SUBSTITUTE(SUBSTITUTE(SUBSTITUTE(SUBSTITUTE(SUBSTITUTE(SUBSTITUTE(LOWER(AC417&amp;""),CHAR(10),""),CHAR(13),""),CHAR(9),""),CHAR(160),"")," ",""),".",""),"-",""),"/",""),"?",""),"_",""),",",""),"[",""),"]",""),"(",""),")",""),"*","")</f>
        <v/>
      </c>
      <c r="BA417" s="61" t="str">
        <f aca="false">SUBSTITUTE(SUBSTITUTE(SUBSTITUTE(SUBSTITUTE(SUBSTITUTE(SUBSTITUTE(SUBSTITUTE(SUBSTITUTE(SUBSTITUTE(SUBSTITUTE(SUBSTITUTE(SUBSTITUTE(SUBSTITUTE(SUBSTITUTE(SUBSTITUTE(SUBSTITUTE(LOWER(AA417&amp;""),CHAR(10),""),CHAR(13),""),CHAR(9),""),CHAR(160),"")," ",""),".",""),"-",""),"/",""),"?",""),"_",""),",",""),"[",""),"]",""),"(",""),")",""),"*","")</f>
        <v/>
      </c>
      <c r="BB417" s="61" t="str">
        <f aca="false">IF(AND(TRIM(U417)="Pass",ISNUMBER(AF417)),IF(AF417&lt;&gt;0,"INVALID – qty variance: use Fail or Pass after CA",""),"")&amp;IF(AND(TRIM(U417)="Pass after CA",ISNUMBER(AF417)),IF(AF417&lt;&gt;0,"INVALID – after the corrective action the actual qty must equal expected (update Actual)",""),"")&amp;IF(AND(TRIM(U417)="Pass",TRIM(AB417)&lt;&gt;"",TRIM(AB417)&lt;&gt;"Closed"),"INVALID – corrective action not closed: use Fail, then Pass after CA","")&amp;IF(AND(LEN(BA417)&gt;=2,ISNA(MATCH(LEFT(BA417,255),L_Placeholder,0)),TRIM(AB417)=""),"INVALID – CA status missing for the recorded corrective action","")&amp;IF(AND(TRIM(U417)="Pass after CA",OR(OR(LEN(BA417)&lt;5,ISNUMBER(MATCH(BA417,L_Placeholder,0))),TRIM(AB417)&lt;&gt;"Closed")),"INVALID – corrective action not recorded/closed","")</f>
        <v/>
      </c>
      <c r="BC417" s="61" t="str">
        <f aca="false">" "&amp;TRIM(SUBSTITUTE(SUBSTITUTE(SUBSTITUTE(SUBSTITUTE(SUBSTITUTE(SUBSTITUTE(SUBSTITUTE(SUBSTITUTE(SUBSTITUTE(SUBSTITUTE(SUBSTITUTE(SUBSTITUTE(SUBSTITUTE(SUBSTITUTE(SUBSTITUTE(SUBSTITUTE(SUBSTITUTE(SUBSTITUTE(SUBSTITUTE(SUBSTITUTE(SUBSTITUTE(SUBSTITUTE(SUBSTITUTE(SUBSTITUTE(LOWER(V417&amp;""),CHAR(10)," "),CHAR(13)," "),CHAR(9)," "),CHAR(160)," "),"."," "),","," "),"-"," "),"/"," "),"("," "),")"," "),":"," "),";"," "),"_"," "),"–"," "),"?"," "),"!"," "),"*"," "),"["," "),"]"," "),"'"," "),"#"," "),"+"," "),"&amp;"," "),"\"," "))&amp;" "</f>
        <v>  </v>
      </c>
      <c r="BD417" s="61" t="str">
        <f aca="false">" "&amp;TRIM(SUBSTITUTE(SUBSTITUTE(SUBSTITUTE(SUBSTITUTE(SUBSTITUTE(SUBSTITUTE(SUBSTITUTE(SUBSTITUTE(SUBSTITUTE(SUBSTITUTE(SUBSTITUTE(SUBSTITUTE(SUBSTITUTE(SUBSTITUTE(SUBSTITUTE(SUBSTITUTE(SUBSTITUTE(SUBSTITUTE(SUBSTITUTE(SUBSTITUTE(SUBSTITUTE(SUBSTITUTE(SUBSTITUTE(SUBSTITUTE(LOWER(Z417&amp;""),CHAR(10)," "),CHAR(13)," "),CHAR(9)," "),CHAR(160)," "),"."," "),","," "),"-"," "),"/"," "),"("," "),")"," "),":"," "),";"," "),"_"," "),"–"," "),"?"," "),"!"," "),"*"," "),"["," "),"]"," "),"'"," "),"#"," "),"+"," "),"&amp;"," "),"\"," "))&amp;" "</f>
        <v>  </v>
      </c>
      <c r="BE417" s="61" t="str">
        <f aca="false">" "&amp;TRIM(SUBSTITUTE(SUBSTITUTE(SUBSTITUTE(SUBSTITUTE(SUBSTITUTE(SUBSTITUTE(SUBSTITUTE(SUBSTITUTE(SUBSTITUTE(SUBSTITUTE(SUBSTITUTE(SUBSTITUTE(SUBSTITUTE(SUBSTITUTE(SUBSTITUTE(SUBSTITUTE(SUBSTITUTE(SUBSTITUTE(SUBSTITUTE(SUBSTITUTE(SUBSTITUTE(SUBSTITUTE(SUBSTITUTE(SUBSTITUTE(LOWER(W417&amp;""),CHAR(10)," "),CHAR(13)," "),CHAR(9)," "),CHAR(160)," "),"."," "),","," "),"-"," "),"/"," "),"("," "),")"," "),":"," "),";"," "),"_"," "),"–"," "),"?"," "),"!"," "),"*"," "),"["," "),"]"," "),"'"," "),"#"," "),"+"," "),"&amp;"," "),"\"," "))&amp;" "</f>
        <v>  </v>
      </c>
      <c r="BF417" s="61" t="str">
        <f aca="false">" "&amp;TRIM(SUBSTITUTE(SUBSTITUTE(SUBSTITUTE(SUBSTITUTE(SUBSTITUTE(SUBSTITUTE(SUBSTITUTE(SUBSTITUTE(SUBSTITUTE(SUBSTITUTE(SUBSTITUTE(SUBSTITUTE(SUBSTITUTE(SUBSTITUTE(SUBSTITUTE(SUBSTITUTE(SUBSTITUTE(SUBSTITUTE(SUBSTITUTE(SUBSTITUTE(SUBSTITUTE(SUBSTITUTE(SUBSTITUTE(SUBSTITUTE(LOWER(AC417&amp;""),CHAR(10)," "),CHAR(13)," "),CHAR(9)," "),CHAR(160)," "),"."," "),","," "),"-"," "),"/"," "),"("," "),")"," "),":"," "),";"," "),"_"," "),"–"," "),"?"," "),"!"," "),"*"," "),"["," "),"]"," "),"'"," "),"#"," "),"+"," "),"&amp;"," "),"\"," "))&amp;" "</f>
        <v>  </v>
      </c>
      <c r="BG417" s="61" t="n">
        <f aca="false">IFERROR(IF(AND(TRIM(U417)="Pass",SUMPRODUCT((LEN(BC417)-LEN(SUBSTITUTE(BC417," "&amp;L_ResultBad&amp;" "," ")))/(LEN(L_ResultBad)+1))&gt;SUMPRODUCT((LEN(BC417)-LEN(SUBSTITUTE(BC417," "&amp;L_NegPhrase&amp;" "," ")))/(LEN(L_NegPhrase)+1))),1,0),0)</f>
        <v>0</v>
      </c>
      <c r="BH417" s="61" t="n">
        <f aca="false">IFERROR(IF(SUMPRODUCT((LEN(BC417)-LEN(SUBSTITUTE(BC417," "&amp;L_Pending&amp;" "," ")))/(LEN(L_Pending)+1))&gt;SUMPRODUCT((LEN(BC417)-LEN(SUBSTITUTE(BC417," "&amp;L_PendNeg&amp;" "," ")))/(LEN(L_PendNeg)+1)),1,0),1)</f>
        <v>0</v>
      </c>
      <c r="BI417" s="61" t="n">
        <f aca="false">IFERROR(IF(SUMPRODUCT((LEN(BD417)-LEN(SUBSTITUTE(BD417," "&amp;L_PendStrict&amp;" "," ")))/(LEN(L_PendStrict)+1))&gt;SUMPRODUCT((LEN(BD417)-LEN(SUBSTITUTE(BD417," "&amp;L_PendNeg&amp;" "," ")))/(LEN(L_PendNeg)+1)),1,0),1)</f>
        <v>0</v>
      </c>
      <c r="BJ417" s="61" t="n">
        <f aca="false">IFERROR(IF(SUMPRODUCT((LEN(BE417)-LEN(SUBSTITUTE(BE417," "&amp;L_Pending&amp;" "," ")))/(LEN(L_Pending)+1))&gt;SUMPRODUCT((LEN(BE417)-LEN(SUBSTITUTE(BE417," "&amp;L_PendNeg&amp;" "," ")))/(LEN(L_PendNeg)+1)),1,0),1)</f>
        <v>0</v>
      </c>
      <c r="BK417" s="61" t="n">
        <f aca="false">IFERROR(IF(SUMPRODUCT((LEN(BF417)-LEN(SUBSTITUTE(BF417," "&amp;L_PendStrict&amp;" "," ")))/(LEN(L_PendStrict)+1))&gt;SUMPRODUCT((LEN(BF417)-LEN(SUBSTITUTE(BF417," "&amp;L_PendNeg&amp;" "," ")))/(LEN(L_PendNeg)+1)),1,0),1)</f>
        <v>0</v>
      </c>
      <c r="BL417" s="61" t="n">
        <f aca="false">IF(ISNA(MATCH(TRIM(S417),L_EvidenceType,0)),0,BZ417)</f>
        <v>0</v>
      </c>
      <c r="BM417" s="61" t="str">
        <f aca="false">SUBSTITUTE(SUBSTITUTE(SUBSTITUTE(SUBSTITUTE(SUBSTITUTE(SUBSTITUTE(SUBSTITUTE(SUBSTITUTE(SUBSTITUTE(LOWER(Z417&amp;""),"1","0"),"2","0"),"3","0"),"4","0"),"5","0"),"6","0"),"7","0"),"8","0"),"9","0")</f>
        <v/>
      </c>
      <c r="BN417" s="61" t="str">
        <f aca="false">SUBSTITUTE(SUBSTITUTE(SUBSTITUTE(SUBSTITUTE(SUBSTITUTE(SUBSTITUTE(SUBSTITUTE(SUBSTITUTE(SUBSTITUTE(SUBSTITUTE(SUBSTITUTE(SUBSTITUTE(SUBSTITUTE(SUBSTITUTE(SUBSTITUTE(SUBSTITUTE(SUBSTITUTE(SUBSTITUTE(SUBSTITUTE(SUBSTITUTE(SUBSTITUTE(SUBSTITUTE(SUBSTITUTE(SUBSTITUTE(SUBSTITUTE(BM417,"b","a"),"c","a"),"d","a"),"e","a"),"f","a"),"g","a"),"h","a"),"i","a"),"j","a"),"k","a"),"l","a"),"m","a"),"n","a"),"o","a"),"p","a"),"q","a"),"r","a"),"s","a"),"t","a"),"u","a"),"v","a"),"w","a"),"x","a"),"y","a"),"z","a")</f>
        <v/>
      </c>
      <c r="BO417" s="61" t="str">
        <f aca="false">SUBSTITUTE(SUBSTITUTE(SUBSTITUTE(SUBSTITUTE(SUBSTITUTE(SUBSTITUTE(SUBSTITUTE(SUBSTITUTE(SUBSTITUTE(LOWER(W417&amp;""),"1","0"),"2","0"),"3","0"),"4","0"),"5","0"),"6","0"),"7","0"),"8","0"),"9","0")</f>
        <v/>
      </c>
      <c r="BP417" s="61" t="str">
        <f aca="false">SUBSTITUTE(SUBSTITUTE(SUBSTITUTE(SUBSTITUTE(SUBSTITUTE(SUBSTITUTE(SUBSTITUTE(SUBSTITUTE(SUBSTITUTE(SUBSTITUTE(SUBSTITUTE(SUBSTITUTE(SUBSTITUTE(SUBSTITUTE(SUBSTITUTE(SUBSTITUTE(SUBSTITUTE(SUBSTITUTE(SUBSTITUTE(SUBSTITUTE(SUBSTITUTE(SUBSTITUTE(SUBSTITUTE(SUBSTITUTE(SUBSTITUTE(BO417,"b","a"),"c","a"),"d","a"),"e","a"),"f","a"),"g","a"),"h","a"),"i","a"),"j","a"),"k","a"),"l","a"),"m","a"),"n","a"),"o","a"),"p","a"),"q","a"),"r","a"),"s","a"),"t","a"),"u","a"),"v","a"),"w","a"),"x","a"),"y","a"),"z","a")</f>
        <v/>
      </c>
      <c r="BQ417" s="61" t="n">
        <f aca="false">IFERROR(IF(AND(ISERROR(SEARCH(" mh"," "&amp;LOWER(W417))),ISNA(MATCH(LEFT(TRIM(BP417),255),{"0000a","000a","00a","0000aa","000aa","00aa","0aa","0000aaa","000aaa","00a00","0a00","0000-0000","00:00","a00","a0","00.00.0000","00/00/0000","00-00-0000","0000-00-00","0000/00/00","0000.00.00","00.00.00","00/00/00","00-00-00","0.00.0000","0/00/0000","0-00-0000"},0)),ISNA(MATCH(LEFT(TRIM(CA417),255),{"0000a","000a","00a","0000aa","000aa","00aa","0aa","0000aaa","000aaa","00a00","0a00","0000-0000","00:00","a00","a0","00.00.0000","00/00/0000","00-00-0000","0000-00-00","0000/00/00","0000.00.00","00.00.00","00/00/00","00-00-00","0.00.0000","0/00/0000","0-00-0000"},0)),LEN(CB417)&gt;=3,NOT(OR(SUBSTITUTE(CB417,"0","")="",AND(LEN(CB417)&gt;=4,CB417=REPT(LEFT(CB417),LEN(CB417))),ISNUMBER(MATCH(CB417,{"123","1234","12345","123456","1234567","12345678","0123","01234","012345","98765","987654","54321"},0)),AND(LEN(CB417)=8,LEFT(CB417,3)="202"))),OR(AND((LEN(CA417)-LEN(SUBSTITUTE(CA417,"a","")))&gt;=1,SUMPRODUCT(--ISNUMBER(SEARCH({"a0","a-0","a_0","a/0","a.0","a#0","0a","0-a","0_a","0/a"},BP417)))&gt;0),ISNUMBER(SEARCH("000000",BP417)))),1,0),0)</f>
        <v>0</v>
      </c>
      <c r="BR417" s="61" t="n">
        <f aca="false">IFERROR(LEN(SUBSTITUTE(CC417," ",""))-SUMPRODUCT((LEN(CC417)-LEN(SUBSTITUTE(CC417," "&amp;L_Role&amp;" "," ")))/(LEN(L_Role)+1)*LEN(L_Role)),0)</f>
        <v>0</v>
      </c>
      <c r="BS417" s="61" t="n">
        <f aca="false">IFERROR(LEN(SUBSTITUTE(CD417," ",""))-SUMPRODUCT((LEN(CD417)-LEN(SUBSTITUTE(CD417," "&amp;L_Role&amp;" "," ")))/(LEN(L_Role)+1)*LEN(L_Role)),0)</f>
        <v>0</v>
      </c>
      <c r="BT4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417,"revision",""),"version",""),"jan",""),"feb",""),"mar",""),"apr",""),"may",""),"jun",""),"jul",""),"aug",""),"sep",""),"oct",""),"nov",""),"dec",""),"utc",""),"gmt",""),"myt",""),"bst",""),"rev",""),"ver",""),"b","a"),"c","a"),"d","a"),"e","a"),"f","a"),"g","a"),"h","a"),"i","a"),"j","a"),"k","a"),"l","a"),"m","a"),"n","a"),"o","a"),"p","a"),"q","a"),"r","a"),"s","a"),"t","a"),"u","a"),"v","a"),"w","a"),"x","a"),"y","a"),"z","a")</f>
        <v/>
      </c>
      <c r="BU417" s="61" t="str">
        <f aca="false">SUBSTITUTE(SUBSTITUTE(SUBSTITUTE(SUBSTITUTE(SUBSTITUTE(SUBSTITUTE(SUBSTITUTE(SUBSTITUTE(SUBSTITUTE(SUBSTITUTE(LEFT(BM417,FIND("0",BM417&amp;"0")-1),"-",""),"_",""),"/",""),".",""),"#",""),"\\",""),":","")," ",""),"(",""),")","")</f>
        <v/>
      </c>
      <c r="BV417" s="61" t="n">
        <f aca="false">IFERROR(IF(OR(SUMPRODUCT((LEN(BC417)-LEN(SUBSTITUTE(BC417," "&amp;L_NotLoaded&amp;" "," ")))/(LEN(L_NotLoaded)+1))&gt;SUMPRODUCT((LEN(BC417)-LEN(SUBSTITUTE(BC417," "&amp;L_NotLoadedNeg&amp;" "," ")))/(LEN(L_NotLoadedNeg)+1)),SUMPRODUCT((LEN(BD417)-LEN(SUBSTITUTE(BD417," "&amp;L_NotLoaded&amp;" "," ")))/(LEN(L_NotLoaded)+1))&gt;SUMPRODUCT((LEN(BD417)-LEN(SUBSTITUTE(BD417," "&amp;L_NotLoadedNeg&amp;" "," ")))/(LEN(L_NotLoadedNeg)+1))),1,0),0)</f>
        <v>0</v>
      </c>
      <c r="BW4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417&amp;""),"a",""),"b",""),"c",""),"d",""),"e",""),"f",""),"g",""),"h",""),"i",""),"j",""),"k",""),"l",""),"m",""),"n",""),"o",""),"p",""),"q",""),"r",""),"s",""),"t",""),"u",""),"v",""),"w",""),"x",""),"y",""),"z",""),"-",""),"_",""),"/",""),".",""),"#",""),"\\",""),":","")," ",""),"(",""),")","")</f>
        <v/>
      </c>
      <c r="BX417" s="61" t="str">
        <f aca="false">SUBSTITUTE(SUBSTITUTE(SUBSTITUTE(SUBSTITUTE(SUBSTITUTE(SUBSTITUTE(SUBSTITUTE(SUBSTITUTE(SUBSTITUTE(SUBSTITUTE(SUBSTITUTE(BM417,"0",""),"-",""),"_",""),"/",""),".",""),"#",""),"\\",""),":","")," ",""),"(",""),")","")</f>
        <v/>
      </c>
      <c r="BY417" s="62" t="n">
        <f aca="false">IF(ISNUMBER(Flights!$AZ$16),MAX(Q417-UpliftWindowH/24,Flights!$AZ$16),Q417-UpliftWindowH/24)</f>
        <v>46307.3506944444</v>
      </c>
      <c r="BZ417" s="61" t="n">
        <f aca="false">IFERROR(IF(IF(TRIM(S417)="Link / file path",AND(LEN(TRIM(Z417))&gt;=5,SUMPRODUCT(--ISNUMBER(SEARCH({"http","www.","\\",":\",".pdf",".jpg",".jpeg",".png",".heic",".xls",".doc",".msg",".eml",".ppt",".txt",".zip"},Z417)))&gt;0),AND(ISERROR(FIND(" ",TRIM(Z417))),NOT(OR(SUMPRODUCT(--ISNUMBER(FIND({",",";","&amp;","+"},Z417)))&gt;0,SUMPRODUCT(--ISNUMBER(SEARCH({"0/aa","0\\aa"},BN417)))&gt;0)),NOT(SUMPRODUCT(--ISNUMBER(SEARCH({"http","www.","\\",":\",".pdf",".jpg",".jpeg",".png",".heic",".xls",".doc",".msg",".eml",".ppt",".txt",".zip"},Z417)))&gt;0),NOT(LOWER(TRIM(Z417))=LOWER(Flights!$F$16)),ISNA(MATCH(BU417,{"mh","rev","revision","ver","version","v","r","a","b","seat","tray","row","gate","bay","stand","page","pg","item","line","no","cart","galley","flight","flt","table","box","bag","oven","etd","eta","std","sta","atd","ata","qty","pax","x","time","tel","ph","mob","day","wk","week","utc","gmt","myt","lt"},0)),NOT(OR(ISNUMBER(MATCH(LEFT(BN417,255),{"0000a","000a","00a","0000aa","000aa","00aa","0aa","0000aaa","000aaa","00a00","0a00","0000-0000","00:00","a00","a0","00.00.0000","00/00/0000","00-00-0000","0000-00-00","0000/00/00","0000.00.00","00.00.00","00/00/00","00-00-00","0.00.0000","0/00/0000","0-00-0000"},0)),ISNUMBER(MATCH(LEFT(BT417,255),{"0000a","000a","00a","0000aa","000aa","00aa","0aa","0000aaa","000aaa","00a00","0a00","0000-0000","00:00","a00","a0","00.00.0000","00/00/0000","00-00-0000","0000-00-00","0000/00/00","0000.00.00","00.00.00","00/00/00","00-00-00","0.00.0000","0/00/0000","0-00-0000"},0)))),NOT(OR(AND(BW417&lt;&gt;"",SUBSTITUTE(BW417,"0","")=""),AND(LEN(BW417)&gt;=4,BW417=REPT(LEFT(BW417),LEN(BW417))),ISNUMBER(MATCH(BW417,{"123","1234","12345","123456","1234567","12345678","0123","01234","012345","98765","987654","54321"},0)),ISNUMBER(MATCH(BX417,{"x","xx","xxx","xxxx","xxxxx","abc","abcd","nil","na","nan","test","tbc","tba","tbd","dummy","sample","example","eg","zz","zzz","none","null","xyz","qwe","asd","id","ref"},0)),AND(LEN(BW417)=8,BX417="",OR(LEFT(BW417,3)="202",ISNUMBER(MATCH(RIGHT(BW417,4),{"2025","2026","2027"},0)))))),OR(AND((LEN(BT417)-LEN(SUBSTITUTE(BT417,"a","")))&gt;=1,(LEN(BN417)-LEN(SUBSTITUTE(BN417,"0","")))&gt;=2,SUMPRODUCT(--ISNUMBER(SEARCH({"a0","a-0","a_0","a/0","a.0","a#0","0a","0-a","0_a","0/a"},BN417)))&gt;0),AND((LEN(BN417)-LEN(SUBSTITUTE(BN417,"a","")))=0,(LEN(BN417)-LEN(SUBSTITUTE(BN417,"0","")))&gt;=5)))),1,0),0)</f>
        <v>0</v>
      </c>
      <c r="CA4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417,"revision",""),"version",""),"jan",""),"feb",""),"mar",""),"apr",""),"may",""),"jun",""),"jul",""),"aug",""),"sep",""),"oct",""),"nov",""),"dec",""),"utc",""),"gmt",""),"myt",""),"bst",""),"rev",""),"ver",""),"b","a"),"c","a"),"d","a"),"e","a"),"f","a"),"g","a"),"h","a"),"i","a"),"j","a"),"k","a"),"l","a"),"m","a"),"n","a"),"o","a"),"p","a"),"q","a"),"r","a"),"s","a"),"t","a"),"u","a"),"v","a"),"w","a"),"x","a"),"y","a"),"z","a")</f>
        <v/>
      </c>
      <c r="CB4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417&amp;""),"a",""),"b",""),"c",""),"d",""),"e",""),"f",""),"g",""),"h",""),"i",""),"j",""),"k",""),"l",""),"m",""),"n",""),"o",""),"p",""),"q",""),"r",""),"s",""),"t",""),"u",""),"v",""),"w",""),"x",""),"y",""),"z",""),"-",""),"_",""),"/",""),".",""),"#",""),"\\",""),":","")," ",""),"(",""),")","")</f>
        <v/>
      </c>
      <c r="CC417" s="0" t="str">
        <f aca="false">" "&amp;TRIM(SUBSTITUTE(SUBSTITUTE(SUBSTITUTE(SUBSTITUTE(SUBSTITUTE(SUBSTITUTE(SUBSTITUTE(SUBSTITUTE(SUBSTITUTE(SUBSTITUTE(SUBSTITUTE(SUBSTITUTE(SUBSTITUTE(SUBSTITUTE(SUBSTITUTE(SUBSTITUTE(SUBSTITUTE(SUBSTITUTE(SUBSTITUTE(SUBSTITUTE(SUBSTITUTE(SUBSTITUTE(SUBSTITUTE(SUBSTITUTE(LOWER(T417&amp;""),CHAR(10)," "),CHAR(13)," "),CHAR(9)," "),CHAR(160)," "),"."," "),","," "),"-"," "),"/"," "),"("," "),")"," "),":"," "),";"," "),"_"," "),"–"," "),"?"," "),"!"," "),"*"," "),"["," "),"]"," "),"'"," "),"#"," "),"+"," "),"&amp;"," "),"\"," "))&amp;" "</f>
        <v>  </v>
      </c>
      <c r="CD417" s="0" t="str">
        <f aca="false">" "&amp;TRIM(SUBSTITUTE(SUBSTITUTE(SUBSTITUTE(SUBSTITUTE(SUBSTITUTE(SUBSTITUTE(SUBSTITUTE(SUBSTITUTE(SUBSTITUTE(SUBSTITUTE(SUBSTITUTE(SUBSTITUTE(SUBSTITUTE(SUBSTITUTE(SUBSTITUTE(SUBSTITUTE(SUBSTITUTE(SUBSTITUTE(SUBSTITUTE(SUBSTITUTE(SUBSTITUTE(SUBSTITUTE(SUBSTITUTE(SUBSTITUTE(LOWER(AE417&amp;""),CHAR(10)," "),CHAR(13)," "),CHAR(9)," "),CHAR(160)," "),"."," "),","," "),"-"," "),"/"," "),"("," "),")"," "),":"," "),";"," "),"_"," "),"–"," "),"?"," "),"!"," "),"*"," "),"["," "),"]"," "),"'"," "),"#"," "),"+"," "),"&amp;"," "),"\"," "))&amp;" "</f>
        <v>  </v>
      </c>
      <c r="CE417" s="68" t="n">
        <f aca="false">IFERROR(IF(AND(LEN(AU417)&gt;0,LEN(AU417)=LEN(AX417),OR(TRIM(MID(SUBSTITUTE(TRIM(CC417)," ",REPT(" ",60)),1,60))="",ISNUMBER(SEARCH(" "&amp;TRIM(MID(SUBSTITUTE(TRIM(CC417)," ",REPT(" ",60)),1,60))&amp;" ",CD417))),OR(TRIM(MID(SUBSTITUTE(TRIM(CC417)," ",REPT(" ",60)),61,60))="",ISNUMBER(SEARCH(" "&amp;TRIM(MID(SUBSTITUTE(TRIM(CC417)," ",REPT(" ",60)),61,60))&amp;" ",CD417))),OR(TRIM(MID(SUBSTITUTE(TRIM(CC417)," ",REPT(" ",60)),121,60))="",ISNUMBER(SEARCH(" "&amp;TRIM(MID(SUBSTITUTE(TRIM(CC417)," ",REPT(" ",60)),121,60))&amp;" ",CD417)))),1,0),0)</f>
        <v>0</v>
      </c>
      <c r="CG417" s="68" t="n">
        <f aca="false">IFERROR(LEN(SUBSTITUTE(BF417," ",""))-SUMPRODUCT((LEN(BF417)-LEN(SUBSTITUTE(BF417," "&amp;L_NAFiller&amp;" "," ")))/(LEN(L_NAFiller)+1)*LEN(L_NAFiller)),0)</f>
        <v>0</v>
      </c>
    </row>
    <row r="418" customFormat="false" ht="39.75" hidden="false" customHeight="true" outlineLevel="0" collapsed="false">
      <c r="A418" s="57" t="s">
        <v>1050</v>
      </c>
      <c r="B418" s="57" t="s">
        <v>261</v>
      </c>
      <c r="C418" s="57" t="str">
        <f aca="false">Flights!$F$16</f>
        <v>MH0139</v>
      </c>
      <c r="D418" s="58" t="n">
        <f aca="false">Flights!$D$16</f>
        <v>46307</v>
      </c>
      <c r="E418" s="57" t="str">
        <f aca="false">Flights!$G$16&amp;"-"&amp;Flights!$H$16</f>
        <v>KUL-ADL</v>
      </c>
      <c r="F418" s="57" t="str">
        <f aca="false">Flights!$K$16</f>
        <v>BC</v>
      </c>
      <c r="G418" s="57" t="s">
        <v>459</v>
      </c>
      <c r="H418" s="57" t="s">
        <v>460</v>
      </c>
      <c r="I418" s="57" t="s">
        <v>499</v>
      </c>
      <c r="J418" s="57" t="s">
        <v>543</v>
      </c>
      <c r="K418" s="67" t="s">
        <v>501</v>
      </c>
      <c r="L418" s="67" t="s">
        <v>1024</v>
      </c>
      <c r="M418" s="67" t="s">
        <v>451</v>
      </c>
      <c r="N418" s="67" t="s">
        <v>383</v>
      </c>
      <c r="O418" s="67"/>
      <c r="P418" s="57" t="s">
        <v>187</v>
      </c>
      <c r="Q418" s="59" t="n">
        <f aca="false">ROUND((Flights!$AF$16)*1440,0)/1440</f>
        <v>46307.6006944444</v>
      </c>
      <c r="R418" s="59" t="n">
        <f aca="false">Q418+(IF(AND(INDEX(TZ_DSTS,MATCH(P418,TZ_STN,0))&lt;&gt;"",Q418&gt;=INDEX(TZ_DSTS,MATCH(P418,TZ_STN,0)),Q418&lt;INDEX(TZ_DSTE,MATCH(P418,TZ_STN,0))),INDEX(TZ_DST,MATCH(P418,TZ_STN,0)),INDEX(TZ_STD,MATCH(P418,TZ_STN,0))))/24</f>
        <v>46307.9340277778</v>
      </c>
      <c r="S418" s="60"/>
      <c r="T418" s="60"/>
      <c r="U418" s="60"/>
      <c r="V418" s="60"/>
      <c r="W418" s="61"/>
      <c r="X418" s="60"/>
      <c r="Y418" s="60"/>
      <c r="Z418" s="60"/>
      <c r="AA418" s="60"/>
      <c r="AB418" s="60"/>
      <c r="AC418" s="60"/>
      <c r="AD418" s="66"/>
      <c r="AE418" s="60"/>
      <c r="AF418" s="61" t="str">
        <f aca="false">IF(AND(ISNUMBER(X418),ISNUMBER(Y418)),Y418-X418,"")</f>
        <v/>
      </c>
      <c r="AG418" s="62" t="str">
        <f aca="false">IF(ISNUMBER(AD418),AD418-(IF(AND(INDEX(TZ_DSTS,MATCH(P418,TZ_STN,0))&lt;&gt;"",(AD418-INDEX(TZ_STD,MATCH(P418,TZ_STN,0))/24)&gt;=INDEX(TZ_DSTS,MATCH(P418,TZ_STN,0)),(AD418-INDEX(TZ_STD,MATCH(P418,TZ_STN,0))/24)&lt;INDEX(TZ_DSTE,MATCH(P418,TZ_STN,0))),INDEX(TZ_DST,MATCH(P418,TZ_STN,0)),INDEX(TZ_STD,MATCH(P418,TZ_STN,0))))/24,"")</f>
        <v/>
      </c>
      <c r="AH418" s="65" t="str">
        <f aca="false">IFERROR(IF(N418="N/A – rule",IF(OR(TRIM(U418)="",TRIM(U418)="N/A",TRIM(U418)="Not started"),"N/A – RULE","INVALID – this check does not apply to this aircraft: clear the status (or correct the fleet on Flights)"),IF(TRIM(U418)="N/A",IF(AT418=0,"INVALID – N/A not permitted for this check",IF(AND(TRIM(AB418)&lt;&gt;"",TRIM(AB418)&lt;&gt;"Closed"),"INVALID – corrective action still open",IF(AND(NOT(OR(LEN(AZ418)&lt;15,ISNUMBER(MATCH(AZ418,L_Placeholder,0)))),BK418=0,CG418&gt;=8,NOT(OR(LEN(AU418)&lt;2,ISNUMBER(MATCH(AU418,L_Placeholder,0)))),BR418&gt;=3,NOT(OR(LEN(AX418)&lt;2,ISNUMBER(MATCH(AX418,L_Placeholder,0)))),BS418&gt;=3,TRIM(AE418)&lt;&gt;TRIM(T418),AX418&lt;&gt;AU418,CE418=0),"N/A – JUSTIFIED","INVALID – N/A needs a real, settled reason (not 'not applicable' / 'as above' / TBC), a named PIC and a different named verifier"))),IF(OR(TRIM(U418)="Pass",TRIM(U418)="Pass after CA"),IF(NOT(ISNUMBER(AD418)),"INVALID – completion time missing",IF(OR(OR(LEN(AU418)&lt;2,ISNUMBER(MATCH(AU418,L_Placeholder,0))),BR418&lt;3),"INVALID – PIC missing or not a named person (a role such as QA / CSM is not a name)",IF(OR(LEN(AV418)&lt;2,ISNUMBER(MATCH(AV418,L_Placeholder,0))),"INVALID – result / assessment missing",IF(OR(OR(LEN(AW418)&lt;3,ISNUMBER(MATCH(AW418,L_Placeholder,0))),SUMPRODUCT(--ISNUMBER(SEARCH(" "&amp;L_EvidencePhrase&amp;" ",BD418)))&gt;0,BI418=1),"INVALID – evidence missing, placeholder or not yet on file",IF(ISNA(MATCH(TRIM(S418),L_EvidenceType,0)),"INVALID – choose the evidence type from the list (column S)",IF(BL418=0,"INVALID – evidence ID must be the record's own ID only (e.g. SF-2210, IMG_2231, 1045521); a link / file name needs type 'Link / file path'",IF(OR(OR(LEN(AX418)&lt;2,ISNUMBER(MATCH(AX418,L_Placeholder,0))),BS418&lt;3),"INVALID – verifier missing or not a named person (a role such as QA / CSM is not a name)",IF(OR(AX418=AU418,CE418=1,AND(LEN(AU418)&gt;=4,ISNUMBER(SEARCH(AU418,AX418))),AND(LEN(AX418)&gt;=4,ISNUMBER(SEARCH(AX418,AU418)))),"INVALID – verifier must be a different, named person (not the PIC or a role)",IF(BH418=1,"INVALID – result not yet available (awaiting / TBC)",IF(BG418=1,"INVALID – result describes a problem: record Fail, then Pass after CA (or reword if it is not a problem)",IF(BV418=1,"INVALID – wording says not on board: an on-board confirmation needs the item loaded",IF(AND(AQ418=1,OR(OR(LEN(AY418)&lt;3,ISNUMBER(MATCH(AY418,L_Placeholder,0))),BJ418=1,BQ418=0)),"INVALID – batch ID missing, placeholder or not an ID (e.g. PASB-261008-BC-017)",IF(AND(AR418=1,OR(NOT(ISNUMBER(X418)),NOT(ISNUMBER(Y418)))),"INVALID – expected/actual qty missing",IF(AND(AR418=1,OR(X418&lt;=0,Y418&lt;0)),"INVALID – expected qty must be above 0 and actual not negative",IF(AH402="N/A – JUSTIFIED","INVALID – preparation row F12-T12-13 is N/A",IF(AND(AR418=1,ISNUMBER(X402),X418&lt;&gt;X402,TRIM(U418)&lt;&gt;"Pass after CA"),"INVALID – expected qty differs from preparation check F12-T12-13: record the load change as a corrective action (Pass after CA)",IF(BB418&lt;&gt;"",BB418,IF(AND(AS418=1,Documents!$J$16&lt;&gt;"ON FILE"),"INVALID – GLD not on file (Documents sheet)",IF(AND(AS418=2,Documents!$O$16&lt;&gt;"ON FILE"),"INVALID – menu checklist not on file (Documents sheet)",IF(AND(AS418=3,NOT(ISNUMBER(Flights!$AX$16))),"INVALID – enter carrying flight KUL departure (Flights AX)",IF(AND(AS418=3,OR(Flights!$AZ$16&gt;Flights!$AA$16,Flights!$AX$16&lt;Flights!$AA$16-3)),"INVALID – carrying flight (Flights AX) cannot arrive before this leg's STD, or is over 3 days early",IF(AG418&gt;AsOfUTC,"INVALID – completion time is in the future",IF(AND(ISNUMBER(BY418),AG418&lt;BY418),IF(H418="Physical uplift","INVALID – before uplift window (cannot confirm loading)","INVALID – before valid window"),IF(AG418&gt;Flights!$AA$16,"INVALID – completed after departure (cannot establish readiness)",IF(AND(H418="Preparation",AG418&gt;=IF(ISNUMBER(Flights!$BA$16),MIN(Flights!$BA$16,Flights!$AA$16),Flights!$AA$16)),"INVALID – completed after loading / departure (cannot establish readiness)",IF(AND(H418="Physical uplift",AG418&gt;Q418),"INVALID – recorded after the loading flight departed",IF(AG418&gt;Q418,"COMPLETE – LATE","COMPLETE"))))))))))))))))))))))))))),IF(TRIM(U418)="Fail","FAIL – DISCREPANCY",IF(AND(TRIM(U418)&lt;&gt;"",TRIM(U418)&lt;&gt;"Not started",TRIM(U418)&lt;&gt;"In progress"),"INVALID – unrecognised status (use the list)",IF(AsOfUTC&gt;Q418,"OVERDUE",IF(N418="Clarification required","OPEN – CLARIFICATION","OPEN"))))))),"INVALID – error value in an input cell")</f>
        <v>OPEN</v>
      </c>
      <c r="AI418" s="61" t="n">
        <f aca="false">IF(OR(AH418="N/A – RULE",AH418="N/A – JUSTIFIED"),0,1)</f>
        <v>1</v>
      </c>
      <c r="AJ418" s="61" t="n">
        <f aca="false">IF(LEFT(AH418,8)="COMPLETE",1,0)</f>
        <v>0</v>
      </c>
      <c r="AK418" s="61" t="n">
        <f aca="false">IF(AND(AI418=1,AJ418=0,AsOfUTC&gt;Q418),1,0)</f>
        <v>0</v>
      </c>
      <c r="AL418" s="61" t="n">
        <f aca="false">IFERROR(IF(AND(AI418=1,OR(TRIM(U418)="Fail",AND(TRIM(AB418)&lt;&gt;"",TRIM(AB418)&lt;&gt;"Closed"),AND(ISNUMBER(AF418),AF418&lt;&gt;0,TRIM(U418)&lt;&gt;"Pass after CA"))),1,0),1)</f>
        <v>0</v>
      </c>
      <c r="AM418" s="61" t="n">
        <f aca="false">IF(LEFT(AH418,7)="INVALID",1,0)</f>
        <v>0</v>
      </c>
      <c r="AN418" s="61" t="n">
        <f aca="false">IF(AND(N418="Clarification required",AI418=1,AJ418=0),1,0)</f>
        <v>0</v>
      </c>
      <c r="AO418" s="61" t="str">
        <f aca="false">IF(AK418=1,SUM(AK$5:AK418),"")</f>
        <v/>
      </c>
      <c r="AP418" s="61" t="str">
        <f aca="false">IF(AL418=1,SUM(AL$5:AL418),"")</f>
        <v/>
      </c>
      <c r="AQ418" s="61" t="n">
        <v>0</v>
      </c>
      <c r="AR418" s="61" t="n">
        <v>0</v>
      </c>
      <c r="AS418" s="61" t="n">
        <v>0</v>
      </c>
      <c r="AT418" s="61" t="n">
        <v>0</v>
      </c>
      <c r="AU418" s="61" t="str">
        <f aca="false">SUBSTITUTE(SUBSTITUTE(SUBSTITUTE(SUBSTITUTE(SUBSTITUTE(SUBSTITUTE(SUBSTITUTE(SUBSTITUTE(SUBSTITUTE(SUBSTITUTE(SUBSTITUTE(SUBSTITUTE(SUBSTITUTE(SUBSTITUTE(SUBSTITUTE(SUBSTITUTE(LOWER(T418&amp;""),CHAR(10),""),CHAR(13),""),CHAR(9),""),CHAR(160),"")," ",""),".",""),"-",""),"/",""),"?",""),"_",""),",",""),"[",""),"]",""),"(",""),")",""),"*","")</f>
        <v/>
      </c>
      <c r="AV418" s="61" t="str">
        <f aca="false">SUBSTITUTE(SUBSTITUTE(SUBSTITUTE(SUBSTITUTE(SUBSTITUTE(SUBSTITUTE(SUBSTITUTE(SUBSTITUTE(SUBSTITUTE(SUBSTITUTE(SUBSTITUTE(SUBSTITUTE(SUBSTITUTE(SUBSTITUTE(SUBSTITUTE(SUBSTITUTE(LOWER(V418&amp;""),CHAR(10),""),CHAR(13),""),CHAR(9),""),CHAR(160),"")," ",""),".",""),"-",""),"/",""),"?",""),"_",""),",",""),"[",""),"]",""),"(",""),")",""),"*","")</f>
        <v/>
      </c>
      <c r="AW418" s="61" t="str">
        <f aca="false">SUBSTITUTE(SUBSTITUTE(SUBSTITUTE(SUBSTITUTE(SUBSTITUTE(SUBSTITUTE(SUBSTITUTE(SUBSTITUTE(SUBSTITUTE(SUBSTITUTE(SUBSTITUTE(SUBSTITUTE(SUBSTITUTE(SUBSTITUTE(SUBSTITUTE(SUBSTITUTE(LOWER(Z418&amp;""),CHAR(10),""),CHAR(13),""),CHAR(9),""),CHAR(160),"")," ",""),".",""),"-",""),"/",""),"?",""),"_",""),",",""),"[",""),"]",""),"(",""),")",""),"*","")</f>
        <v/>
      </c>
      <c r="AX418" s="61" t="str">
        <f aca="false">SUBSTITUTE(SUBSTITUTE(SUBSTITUTE(SUBSTITUTE(SUBSTITUTE(SUBSTITUTE(SUBSTITUTE(SUBSTITUTE(SUBSTITUTE(SUBSTITUTE(SUBSTITUTE(SUBSTITUTE(SUBSTITUTE(SUBSTITUTE(SUBSTITUTE(SUBSTITUTE(LOWER(AE418&amp;""),CHAR(10),""),CHAR(13),""),CHAR(9),""),CHAR(160),"")," ",""),".",""),"-",""),"/",""),"?",""),"_",""),",",""),"[",""),"]",""),"(",""),")",""),"*","")</f>
        <v/>
      </c>
      <c r="AY418" s="61" t="str">
        <f aca="false">SUBSTITUTE(SUBSTITUTE(SUBSTITUTE(SUBSTITUTE(SUBSTITUTE(SUBSTITUTE(SUBSTITUTE(SUBSTITUTE(SUBSTITUTE(SUBSTITUTE(SUBSTITUTE(SUBSTITUTE(SUBSTITUTE(SUBSTITUTE(SUBSTITUTE(SUBSTITUTE(LOWER(W418&amp;""),CHAR(10),""),CHAR(13),""),CHAR(9),""),CHAR(160),"")," ",""),".",""),"-",""),"/",""),"?",""),"_",""),",",""),"[",""),"]",""),"(",""),")",""),"*","")</f>
        <v/>
      </c>
      <c r="AZ418" s="61" t="str">
        <f aca="false">SUBSTITUTE(SUBSTITUTE(SUBSTITUTE(SUBSTITUTE(SUBSTITUTE(SUBSTITUTE(SUBSTITUTE(SUBSTITUTE(SUBSTITUTE(SUBSTITUTE(SUBSTITUTE(SUBSTITUTE(SUBSTITUTE(SUBSTITUTE(SUBSTITUTE(SUBSTITUTE(LOWER(AC418&amp;""),CHAR(10),""),CHAR(13),""),CHAR(9),""),CHAR(160),"")," ",""),".",""),"-",""),"/",""),"?",""),"_",""),",",""),"[",""),"]",""),"(",""),")",""),"*","")</f>
        <v/>
      </c>
      <c r="BA418" s="61" t="str">
        <f aca="false">SUBSTITUTE(SUBSTITUTE(SUBSTITUTE(SUBSTITUTE(SUBSTITUTE(SUBSTITUTE(SUBSTITUTE(SUBSTITUTE(SUBSTITUTE(SUBSTITUTE(SUBSTITUTE(SUBSTITUTE(SUBSTITUTE(SUBSTITUTE(SUBSTITUTE(SUBSTITUTE(LOWER(AA418&amp;""),CHAR(10),""),CHAR(13),""),CHAR(9),""),CHAR(160),"")," ",""),".",""),"-",""),"/",""),"?",""),"_",""),",",""),"[",""),"]",""),"(",""),")",""),"*","")</f>
        <v/>
      </c>
      <c r="BB418" s="61" t="str">
        <f aca="false">IF(AND(TRIM(U418)="Pass",ISNUMBER(AF418)),IF(AF418&lt;&gt;0,"INVALID – qty variance: use Fail or Pass after CA",""),"")&amp;IF(AND(TRIM(U418)="Pass after CA",ISNUMBER(AF418)),IF(AF418&lt;&gt;0,"INVALID – after the corrective action the actual qty must equal expected (update Actual)",""),"")&amp;IF(AND(TRIM(U418)="Pass",TRIM(AB418)&lt;&gt;"",TRIM(AB418)&lt;&gt;"Closed"),"INVALID – corrective action not closed: use Fail, then Pass after CA","")&amp;IF(AND(LEN(BA418)&gt;=2,ISNA(MATCH(LEFT(BA418,255),L_Placeholder,0)),TRIM(AB418)=""),"INVALID – CA status missing for the recorded corrective action","")&amp;IF(AND(TRIM(U418)="Pass after CA",OR(OR(LEN(BA418)&lt;5,ISNUMBER(MATCH(BA418,L_Placeholder,0))),TRIM(AB418)&lt;&gt;"Closed")),"INVALID – corrective action not recorded/closed","")</f>
        <v/>
      </c>
      <c r="BC418" s="61" t="str">
        <f aca="false">" "&amp;TRIM(SUBSTITUTE(SUBSTITUTE(SUBSTITUTE(SUBSTITUTE(SUBSTITUTE(SUBSTITUTE(SUBSTITUTE(SUBSTITUTE(SUBSTITUTE(SUBSTITUTE(SUBSTITUTE(SUBSTITUTE(SUBSTITUTE(SUBSTITUTE(SUBSTITUTE(SUBSTITUTE(SUBSTITUTE(SUBSTITUTE(SUBSTITUTE(SUBSTITUTE(SUBSTITUTE(SUBSTITUTE(SUBSTITUTE(SUBSTITUTE(LOWER(V418&amp;""),CHAR(10)," "),CHAR(13)," "),CHAR(9)," "),CHAR(160)," "),"."," "),","," "),"-"," "),"/"," "),"("," "),")"," "),":"," "),";"," "),"_"," "),"–"," "),"?"," "),"!"," "),"*"," "),"["," "),"]"," "),"'"," "),"#"," "),"+"," "),"&amp;"," "),"\"," "))&amp;" "</f>
        <v>  </v>
      </c>
      <c r="BD418" s="61" t="str">
        <f aca="false">" "&amp;TRIM(SUBSTITUTE(SUBSTITUTE(SUBSTITUTE(SUBSTITUTE(SUBSTITUTE(SUBSTITUTE(SUBSTITUTE(SUBSTITUTE(SUBSTITUTE(SUBSTITUTE(SUBSTITUTE(SUBSTITUTE(SUBSTITUTE(SUBSTITUTE(SUBSTITUTE(SUBSTITUTE(SUBSTITUTE(SUBSTITUTE(SUBSTITUTE(SUBSTITUTE(SUBSTITUTE(SUBSTITUTE(SUBSTITUTE(SUBSTITUTE(LOWER(Z418&amp;""),CHAR(10)," "),CHAR(13)," "),CHAR(9)," "),CHAR(160)," "),"."," "),","," "),"-"," "),"/"," "),"("," "),")"," "),":"," "),";"," "),"_"," "),"–"," "),"?"," "),"!"," "),"*"," "),"["," "),"]"," "),"'"," "),"#"," "),"+"," "),"&amp;"," "),"\"," "))&amp;" "</f>
        <v>  </v>
      </c>
      <c r="BE418" s="61" t="str">
        <f aca="false">" "&amp;TRIM(SUBSTITUTE(SUBSTITUTE(SUBSTITUTE(SUBSTITUTE(SUBSTITUTE(SUBSTITUTE(SUBSTITUTE(SUBSTITUTE(SUBSTITUTE(SUBSTITUTE(SUBSTITUTE(SUBSTITUTE(SUBSTITUTE(SUBSTITUTE(SUBSTITUTE(SUBSTITUTE(SUBSTITUTE(SUBSTITUTE(SUBSTITUTE(SUBSTITUTE(SUBSTITUTE(SUBSTITUTE(SUBSTITUTE(SUBSTITUTE(LOWER(W418&amp;""),CHAR(10)," "),CHAR(13)," "),CHAR(9)," "),CHAR(160)," "),"."," "),","," "),"-"," "),"/"," "),"("," "),")"," "),":"," "),";"," "),"_"," "),"–"," "),"?"," "),"!"," "),"*"," "),"["," "),"]"," "),"'"," "),"#"," "),"+"," "),"&amp;"," "),"\"," "))&amp;" "</f>
        <v>  </v>
      </c>
      <c r="BF418" s="61" t="str">
        <f aca="false">" "&amp;TRIM(SUBSTITUTE(SUBSTITUTE(SUBSTITUTE(SUBSTITUTE(SUBSTITUTE(SUBSTITUTE(SUBSTITUTE(SUBSTITUTE(SUBSTITUTE(SUBSTITUTE(SUBSTITUTE(SUBSTITUTE(SUBSTITUTE(SUBSTITUTE(SUBSTITUTE(SUBSTITUTE(SUBSTITUTE(SUBSTITUTE(SUBSTITUTE(SUBSTITUTE(SUBSTITUTE(SUBSTITUTE(SUBSTITUTE(SUBSTITUTE(LOWER(AC418&amp;""),CHAR(10)," "),CHAR(13)," "),CHAR(9)," "),CHAR(160)," "),"."," "),","," "),"-"," "),"/"," "),"("," "),")"," "),":"," "),";"," "),"_"," "),"–"," "),"?"," "),"!"," "),"*"," "),"["," "),"]"," "),"'"," "),"#"," "),"+"," "),"&amp;"," "),"\"," "))&amp;" "</f>
        <v>  </v>
      </c>
      <c r="BG418" s="61" t="n">
        <f aca="false">IFERROR(IF(AND(TRIM(U418)="Pass",SUMPRODUCT((LEN(BC418)-LEN(SUBSTITUTE(BC418," "&amp;L_ResultBad&amp;" "," ")))/(LEN(L_ResultBad)+1))&gt;SUMPRODUCT((LEN(BC418)-LEN(SUBSTITUTE(BC418," "&amp;L_NegPhrase&amp;" "," ")))/(LEN(L_NegPhrase)+1))),1,0),0)</f>
        <v>0</v>
      </c>
      <c r="BH418" s="61" t="n">
        <f aca="false">IFERROR(IF(SUMPRODUCT((LEN(BC418)-LEN(SUBSTITUTE(BC418," "&amp;L_Pending&amp;" "," ")))/(LEN(L_Pending)+1))&gt;SUMPRODUCT((LEN(BC418)-LEN(SUBSTITUTE(BC418," "&amp;L_PendNeg&amp;" "," ")))/(LEN(L_PendNeg)+1)),1,0),1)</f>
        <v>0</v>
      </c>
      <c r="BI418" s="61" t="n">
        <f aca="false">IFERROR(IF(SUMPRODUCT((LEN(BD418)-LEN(SUBSTITUTE(BD418," "&amp;L_PendStrict&amp;" "," ")))/(LEN(L_PendStrict)+1))&gt;SUMPRODUCT((LEN(BD418)-LEN(SUBSTITUTE(BD418," "&amp;L_PendNeg&amp;" "," ")))/(LEN(L_PendNeg)+1)),1,0),1)</f>
        <v>0</v>
      </c>
      <c r="BJ418" s="61" t="n">
        <f aca="false">IFERROR(IF(SUMPRODUCT((LEN(BE418)-LEN(SUBSTITUTE(BE418," "&amp;L_Pending&amp;" "," ")))/(LEN(L_Pending)+1))&gt;SUMPRODUCT((LEN(BE418)-LEN(SUBSTITUTE(BE418," "&amp;L_PendNeg&amp;" "," ")))/(LEN(L_PendNeg)+1)),1,0),1)</f>
        <v>0</v>
      </c>
      <c r="BK418" s="61" t="n">
        <f aca="false">IFERROR(IF(SUMPRODUCT((LEN(BF418)-LEN(SUBSTITUTE(BF418," "&amp;L_PendStrict&amp;" "," ")))/(LEN(L_PendStrict)+1))&gt;SUMPRODUCT((LEN(BF418)-LEN(SUBSTITUTE(BF418," "&amp;L_PendNeg&amp;" "," ")))/(LEN(L_PendNeg)+1)),1,0),1)</f>
        <v>0</v>
      </c>
      <c r="BL418" s="61" t="n">
        <f aca="false">IF(ISNA(MATCH(TRIM(S418),L_EvidenceType,0)),0,BZ418)</f>
        <v>0</v>
      </c>
      <c r="BM418" s="61" t="str">
        <f aca="false">SUBSTITUTE(SUBSTITUTE(SUBSTITUTE(SUBSTITUTE(SUBSTITUTE(SUBSTITUTE(SUBSTITUTE(SUBSTITUTE(SUBSTITUTE(LOWER(Z418&amp;""),"1","0"),"2","0"),"3","0"),"4","0"),"5","0"),"6","0"),"7","0"),"8","0"),"9","0")</f>
        <v/>
      </c>
      <c r="BN418" s="61" t="str">
        <f aca="false">SUBSTITUTE(SUBSTITUTE(SUBSTITUTE(SUBSTITUTE(SUBSTITUTE(SUBSTITUTE(SUBSTITUTE(SUBSTITUTE(SUBSTITUTE(SUBSTITUTE(SUBSTITUTE(SUBSTITUTE(SUBSTITUTE(SUBSTITUTE(SUBSTITUTE(SUBSTITUTE(SUBSTITUTE(SUBSTITUTE(SUBSTITUTE(SUBSTITUTE(SUBSTITUTE(SUBSTITUTE(SUBSTITUTE(SUBSTITUTE(SUBSTITUTE(BM418,"b","a"),"c","a"),"d","a"),"e","a"),"f","a"),"g","a"),"h","a"),"i","a"),"j","a"),"k","a"),"l","a"),"m","a"),"n","a"),"o","a"),"p","a"),"q","a"),"r","a"),"s","a"),"t","a"),"u","a"),"v","a"),"w","a"),"x","a"),"y","a"),"z","a")</f>
        <v/>
      </c>
      <c r="BO418" s="61" t="str">
        <f aca="false">SUBSTITUTE(SUBSTITUTE(SUBSTITUTE(SUBSTITUTE(SUBSTITUTE(SUBSTITUTE(SUBSTITUTE(SUBSTITUTE(SUBSTITUTE(LOWER(W418&amp;""),"1","0"),"2","0"),"3","0"),"4","0"),"5","0"),"6","0"),"7","0"),"8","0"),"9","0")</f>
        <v/>
      </c>
      <c r="BP418" s="61" t="str">
        <f aca="false">SUBSTITUTE(SUBSTITUTE(SUBSTITUTE(SUBSTITUTE(SUBSTITUTE(SUBSTITUTE(SUBSTITUTE(SUBSTITUTE(SUBSTITUTE(SUBSTITUTE(SUBSTITUTE(SUBSTITUTE(SUBSTITUTE(SUBSTITUTE(SUBSTITUTE(SUBSTITUTE(SUBSTITUTE(SUBSTITUTE(SUBSTITUTE(SUBSTITUTE(SUBSTITUTE(SUBSTITUTE(SUBSTITUTE(SUBSTITUTE(SUBSTITUTE(BO418,"b","a"),"c","a"),"d","a"),"e","a"),"f","a"),"g","a"),"h","a"),"i","a"),"j","a"),"k","a"),"l","a"),"m","a"),"n","a"),"o","a"),"p","a"),"q","a"),"r","a"),"s","a"),"t","a"),"u","a"),"v","a"),"w","a"),"x","a"),"y","a"),"z","a")</f>
        <v/>
      </c>
      <c r="BQ418" s="61" t="n">
        <f aca="false">IFERROR(IF(AND(ISERROR(SEARCH(" mh"," "&amp;LOWER(W418))),ISNA(MATCH(LEFT(TRIM(BP418),255),{"0000a","000a","00a","0000aa","000aa","00aa","0aa","0000aaa","000aaa","00a00","0a00","0000-0000","00:00","a00","a0","00.00.0000","00/00/0000","00-00-0000","0000-00-00","0000/00/00","0000.00.00","00.00.00","00/00/00","00-00-00","0.00.0000","0/00/0000","0-00-0000"},0)),ISNA(MATCH(LEFT(TRIM(CA418),255),{"0000a","000a","00a","0000aa","000aa","00aa","0aa","0000aaa","000aaa","00a00","0a00","0000-0000","00:00","a00","a0","00.00.0000","00/00/0000","00-00-0000","0000-00-00","0000/00/00","0000.00.00","00.00.00","00/00/00","00-00-00","0.00.0000","0/00/0000","0-00-0000"},0)),LEN(CB418)&gt;=3,NOT(OR(SUBSTITUTE(CB418,"0","")="",AND(LEN(CB418)&gt;=4,CB418=REPT(LEFT(CB418),LEN(CB418))),ISNUMBER(MATCH(CB418,{"123","1234","12345","123456","1234567","12345678","0123","01234","012345","98765","987654","54321"},0)),AND(LEN(CB418)=8,LEFT(CB418,3)="202"))),OR(AND((LEN(CA418)-LEN(SUBSTITUTE(CA418,"a","")))&gt;=1,SUMPRODUCT(--ISNUMBER(SEARCH({"a0","a-0","a_0","a/0","a.0","a#0","0a","0-a","0_a","0/a"},BP418)))&gt;0),ISNUMBER(SEARCH("000000",BP418)))),1,0),0)</f>
        <v>0</v>
      </c>
      <c r="BR418" s="61" t="n">
        <f aca="false">IFERROR(LEN(SUBSTITUTE(CC418," ",""))-SUMPRODUCT((LEN(CC418)-LEN(SUBSTITUTE(CC418," "&amp;L_Role&amp;" "," ")))/(LEN(L_Role)+1)*LEN(L_Role)),0)</f>
        <v>0</v>
      </c>
      <c r="BS418" s="61" t="n">
        <f aca="false">IFERROR(LEN(SUBSTITUTE(CD418," ",""))-SUMPRODUCT((LEN(CD418)-LEN(SUBSTITUTE(CD418," "&amp;L_Role&amp;" "," ")))/(LEN(L_Role)+1)*LEN(L_Role)),0)</f>
        <v>0</v>
      </c>
      <c r="BT4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418,"revision",""),"version",""),"jan",""),"feb",""),"mar",""),"apr",""),"may",""),"jun",""),"jul",""),"aug",""),"sep",""),"oct",""),"nov",""),"dec",""),"utc",""),"gmt",""),"myt",""),"bst",""),"rev",""),"ver",""),"b","a"),"c","a"),"d","a"),"e","a"),"f","a"),"g","a"),"h","a"),"i","a"),"j","a"),"k","a"),"l","a"),"m","a"),"n","a"),"o","a"),"p","a"),"q","a"),"r","a"),"s","a"),"t","a"),"u","a"),"v","a"),"w","a"),"x","a"),"y","a"),"z","a")</f>
        <v/>
      </c>
      <c r="BU418" s="61" t="str">
        <f aca="false">SUBSTITUTE(SUBSTITUTE(SUBSTITUTE(SUBSTITUTE(SUBSTITUTE(SUBSTITUTE(SUBSTITUTE(SUBSTITUTE(SUBSTITUTE(SUBSTITUTE(LEFT(BM418,FIND("0",BM418&amp;"0")-1),"-",""),"_",""),"/",""),".",""),"#",""),"\\",""),":","")," ",""),"(",""),")","")</f>
        <v/>
      </c>
      <c r="BV418" s="61" t="n">
        <f aca="false">IFERROR(IF(OR(SUMPRODUCT((LEN(BC418)-LEN(SUBSTITUTE(BC418," "&amp;L_NotLoaded&amp;" "," ")))/(LEN(L_NotLoaded)+1))&gt;SUMPRODUCT((LEN(BC418)-LEN(SUBSTITUTE(BC418," "&amp;L_NotLoadedNeg&amp;" "," ")))/(LEN(L_NotLoadedNeg)+1)),SUMPRODUCT((LEN(BD418)-LEN(SUBSTITUTE(BD418," "&amp;L_NotLoaded&amp;" "," ")))/(LEN(L_NotLoaded)+1))&gt;SUMPRODUCT((LEN(BD418)-LEN(SUBSTITUTE(BD418," "&amp;L_NotLoadedNeg&amp;" "," ")))/(LEN(L_NotLoadedNeg)+1))),1,0),0)</f>
        <v>0</v>
      </c>
      <c r="BW4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418&amp;""),"a",""),"b",""),"c",""),"d",""),"e",""),"f",""),"g",""),"h",""),"i",""),"j",""),"k",""),"l",""),"m",""),"n",""),"o",""),"p",""),"q",""),"r",""),"s",""),"t",""),"u",""),"v",""),"w",""),"x",""),"y",""),"z",""),"-",""),"_",""),"/",""),".",""),"#",""),"\\",""),":","")," ",""),"(",""),")","")</f>
        <v/>
      </c>
      <c r="BX418" s="61" t="str">
        <f aca="false">SUBSTITUTE(SUBSTITUTE(SUBSTITUTE(SUBSTITUTE(SUBSTITUTE(SUBSTITUTE(SUBSTITUTE(SUBSTITUTE(SUBSTITUTE(SUBSTITUTE(SUBSTITUTE(BM418,"0",""),"-",""),"_",""),"/",""),".",""),"#",""),"\\",""),":","")," ",""),"(",""),")","")</f>
        <v/>
      </c>
      <c r="BY418" s="62" t="n">
        <f aca="false">IF(ISNUMBER(Flights!$AZ$16),MAX(Q418-UpliftWindowH/24,Flights!$AZ$16),Q418-UpliftWindowH/24)</f>
        <v>46307.3506944444</v>
      </c>
      <c r="BZ418" s="61" t="n">
        <f aca="false">IFERROR(IF(IF(TRIM(S418)="Link / file path",AND(LEN(TRIM(Z418))&gt;=5,SUMPRODUCT(--ISNUMBER(SEARCH({"http","www.","\\",":\",".pdf",".jpg",".jpeg",".png",".heic",".xls",".doc",".msg",".eml",".ppt",".txt",".zip"},Z418)))&gt;0),AND(ISERROR(FIND(" ",TRIM(Z418))),NOT(OR(SUMPRODUCT(--ISNUMBER(FIND({",",";","&amp;","+"},Z418)))&gt;0,SUMPRODUCT(--ISNUMBER(SEARCH({"0/aa","0\\aa"},BN418)))&gt;0)),NOT(SUMPRODUCT(--ISNUMBER(SEARCH({"http","www.","\\",":\",".pdf",".jpg",".jpeg",".png",".heic",".xls",".doc",".msg",".eml",".ppt",".txt",".zip"},Z418)))&gt;0),NOT(LOWER(TRIM(Z418))=LOWER(Flights!$F$16)),ISNA(MATCH(BU418,{"mh","rev","revision","ver","version","v","r","a","b","seat","tray","row","gate","bay","stand","page","pg","item","line","no","cart","galley","flight","flt","table","box","bag","oven","etd","eta","std","sta","atd","ata","qty","pax","x","time","tel","ph","mob","day","wk","week","utc","gmt","myt","lt"},0)),NOT(OR(ISNUMBER(MATCH(LEFT(BN418,255),{"0000a","000a","00a","0000aa","000aa","00aa","0aa","0000aaa","000aaa","00a00","0a00","0000-0000","00:00","a00","a0","00.00.0000","00/00/0000","00-00-0000","0000-00-00","0000/00/00","0000.00.00","00.00.00","00/00/00","00-00-00","0.00.0000","0/00/0000","0-00-0000"},0)),ISNUMBER(MATCH(LEFT(BT418,255),{"0000a","000a","00a","0000aa","000aa","00aa","0aa","0000aaa","000aaa","00a00","0a00","0000-0000","00:00","a00","a0","00.00.0000","00/00/0000","00-00-0000","0000-00-00","0000/00/00","0000.00.00","00.00.00","00/00/00","00-00-00","0.00.0000","0/00/0000","0-00-0000"},0)))),NOT(OR(AND(BW418&lt;&gt;"",SUBSTITUTE(BW418,"0","")=""),AND(LEN(BW418)&gt;=4,BW418=REPT(LEFT(BW418),LEN(BW418))),ISNUMBER(MATCH(BW418,{"123","1234","12345","123456","1234567","12345678","0123","01234","012345","98765","987654","54321"},0)),ISNUMBER(MATCH(BX418,{"x","xx","xxx","xxxx","xxxxx","abc","abcd","nil","na","nan","test","tbc","tba","tbd","dummy","sample","example","eg","zz","zzz","none","null","xyz","qwe","asd","id","ref"},0)),AND(LEN(BW418)=8,BX418="",OR(LEFT(BW418,3)="202",ISNUMBER(MATCH(RIGHT(BW418,4),{"2025","2026","2027"},0)))))),OR(AND((LEN(BT418)-LEN(SUBSTITUTE(BT418,"a","")))&gt;=1,(LEN(BN418)-LEN(SUBSTITUTE(BN418,"0","")))&gt;=2,SUMPRODUCT(--ISNUMBER(SEARCH({"a0","a-0","a_0","a/0","a.0","a#0","0a","0-a","0_a","0/a"},BN418)))&gt;0),AND((LEN(BN418)-LEN(SUBSTITUTE(BN418,"a","")))=0,(LEN(BN418)-LEN(SUBSTITUTE(BN418,"0","")))&gt;=5)))),1,0),0)</f>
        <v>0</v>
      </c>
      <c r="CA4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418,"revision",""),"version",""),"jan",""),"feb",""),"mar",""),"apr",""),"may",""),"jun",""),"jul",""),"aug",""),"sep",""),"oct",""),"nov",""),"dec",""),"utc",""),"gmt",""),"myt",""),"bst",""),"rev",""),"ver",""),"b","a"),"c","a"),"d","a"),"e","a"),"f","a"),"g","a"),"h","a"),"i","a"),"j","a"),"k","a"),"l","a"),"m","a"),"n","a"),"o","a"),"p","a"),"q","a"),"r","a"),"s","a"),"t","a"),"u","a"),"v","a"),"w","a"),"x","a"),"y","a"),"z","a")</f>
        <v/>
      </c>
      <c r="CB4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418&amp;""),"a",""),"b",""),"c",""),"d",""),"e",""),"f",""),"g",""),"h",""),"i",""),"j",""),"k",""),"l",""),"m",""),"n",""),"o",""),"p",""),"q",""),"r",""),"s",""),"t",""),"u",""),"v",""),"w",""),"x",""),"y",""),"z",""),"-",""),"_",""),"/",""),".",""),"#",""),"\\",""),":","")," ",""),"(",""),")","")</f>
        <v/>
      </c>
      <c r="CC418" s="0" t="str">
        <f aca="false">" "&amp;TRIM(SUBSTITUTE(SUBSTITUTE(SUBSTITUTE(SUBSTITUTE(SUBSTITUTE(SUBSTITUTE(SUBSTITUTE(SUBSTITUTE(SUBSTITUTE(SUBSTITUTE(SUBSTITUTE(SUBSTITUTE(SUBSTITUTE(SUBSTITUTE(SUBSTITUTE(SUBSTITUTE(SUBSTITUTE(SUBSTITUTE(SUBSTITUTE(SUBSTITUTE(SUBSTITUTE(SUBSTITUTE(SUBSTITUTE(SUBSTITUTE(LOWER(T418&amp;""),CHAR(10)," "),CHAR(13)," "),CHAR(9)," "),CHAR(160)," "),"."," "),","," "),"-"," "),"/"," "),"("," "),")"," "),":"," "),";"," "),"_"," "),"–"," "),"?"," "),"!"," "),"*"," "),"["," "),"]"," "),"'"," "),"#"," "),"+"," "),"&amp;"," "),"\"," "))&amp;" "</f>
        <v>  </v>
      </c>
      <c r="CD418" s="0" t="str">
        <f aca="false">" "&amp;TRIM(SUBSTITUTE(SUBSTITUTE(SUBSTITUTE(SUBSTITUTE(SUBSTITUTE(SUBSTITUTE(SUBSTITUTE(SUBSTITUTE(SUBSTITUTE(SUBSTITUTE(SUBSTITUTE(SUBSTITUTE(SUBSTITUTE(SUBSTITUTE(SUBSTITUTE(SUBSTITUTE(SUBSTITUTE(SUBSTITUTE(SUBSTITUTE(SUBSTITUTE(SUBSTITUTE(SUBSTITUTE(SUBSTITUTE(SUBSTITUTE(LOWER(AE418&amp;""),CHAR(10)," "),CHAR(13)," "),CHAR(9)," "),CHAR(160)," "),"."," "),","," "),"-"," "),"/"," "),"("," "),")"," "),":"," "),";"," "),"_"," "),"–"," "),"?"," "),"!"," "),"*"," "),"["," "),"]"," "),"'"," "),"#"," "),"+"," "),"&amp;"," "),"\"," "))&amp;" "</f>
        <v>  </v>
      </c>
      <c r="CE418" s="68" t="n">
        <f aca="false">IFERROR(IF(AND(LEN(AU418)&gt;0,LEN(AU418)=LEN(AX418),OR(TRIM(MID(SUBSTITUTE(TRIM(CC418)," ",REPT(" ",60)),1,60))="",ISNUMBER(SEARCH(" "&amp;TRIM(MID(SUBSTITUTE(TRIM(CC418)," ",REPT(" ",60)),1,60))&amp;" ",CD418))),OR(TRIM(MID(SUBSTITUTE(TRIM(CC418)," ",REPT(" ",60)),61,60))="",ISNUMBER(SEARCH(" "&amp;TRIM(MID(SUBSTITUTE(TRIM(CC418)," ",REPT(" ",60)),61,60))&amp;" ",CD418))),OR(TRIM(MID(SUBSTITUTE(TRIM(CC418)," ",REPT(" ",60)),121,60))="",ISNUMBER(SEARCH(" "&amp;TRIM(MID(SUBSTITUTE(TRIM(CC418)," ",REPT(" ",60)),121,60))&amp;" ",CD418)))),1,0),0)</f>
        <v>0</v>
      </c>
      <c r="CG418" s="68" t="n">
        <f aca="false">IFERROR(LEN(SUBSTITUTE(BF418," ",""))-SUMPRODUCT((LEN(BF418)-LEN(SUBSTITUTE(BF418," "&amp;L_NAFiller&amp;" "," ")))/(LEN(L_NAFiller)+1)*LEN(L_NAFiller)),0)</f>
        <v>0</v>
      </c>
    </row>
    <row r="419" customFormat="false" ht="39.75" hidden="false" customHeight="true" outlineLevel="0" collapsed="false">
      <c r="A419" s="57" t="s">
        <v>1051</v>
      </c>
      <c r="B419" s="57" t="s">
        <v>261</v>
      </c>
      <c r="C419" s="57" t="str">
        <f aca="false">Flights!$F$16</f>
        <v>MH0139</v>
      </c>
      <c r="D419" s="58" t="n">
        <f aca="false">Flights!$D$16</f>
        <v>46307</v>
      </c>
      <c r="E419" s="57" t="str">
        <f aca="false">Flights!$G$16&amp;"-"&amp;Flights!$H$16</f>
        <v>KUL-ADL</v>
      </c>
      <c r="F419" s="57" t="str">
        <f aca="false">Flights!$K$16</f>
        <v>BC</v>
      </c>
      <c r="G419" s="57" t="s">
        <v>459</v>
      </c>
      <c r="H419" s="57" t="s">
        <v>460</v>
      </c>
      <c r="I419" s="57" t="s">
        <v>499</v>
      </c>
      <c r="J419" s="57" t="s">
        <v>546</v>
      </c>
      <c r="K419" s="67" t="s">
        <v>501</v>
      </c>
      <c r="L419" s="67" t="s">
        <v>1026</v>
      </c>
      <c r="M419" s="67" t="s">
        <v>451</v>
      </c>
      <c r="N419" s="67" t="s">
        <v>383</v>
      </c>
      <c r="O419" s="67"/>
      <c r="P419" s="57" t="s">
        <v>187</v>
      </c>
      <c r="Q419" s="59" t="n">
        <f aca="false">ROUND((Flights!$AF$16)*1440,0)/1440</f>
        <v>46307.6006944444</v>
      </c>
      <c r="R419" s="59" t="n">
        <f aca="false">Q419+(IF(AND(INDEX(TZ_DSTS,MATCH(P419,TZ_STN,0))&lt;&gt;"",Q419&gt;=INDEX(TZ_DSTS,MATCH(P419,TZ_STN,0)),Q419&lt;INDEX(TZ_DSTE,MATCH(P419,TZ_STN,0))),INDEX(TZ_DST,MATCH(P419,TZ_STN,0)),INDEX(TZ_STD,MATCH(P419,TZ_STN,0))))/24</f>
        <v>46307.9340277778</v>
      </c>
      <c r="S419" s="60"/>
      <c r="T419" s="60"/>
      <c r="U419" s="60"/>
      <c r="V419" s="60"/>
      <c r="W419" s="61"/>
      <c r="X419" s="60"/>
      <c r="Y419" s="60"/>
      <c r="Z419" s="60"/>
      <c r="AA419" s="60"/>
      <c r="AB419" s="60"/>
      <c r="AC419" s="60"/>
      <c r="AD419" s="66"/>
      <c r="AE419" s="60"/>
      <c r="AF419" s="61" t="str">
        <f aca="false">IF(AND(ISNUMBER(X419),ISNUMBER(Y419)),Y419-X419,"")</f>
        <v/>
      </c>
      <c r="AG419" s="62" t="str">
        <f aca="false">IF(ISNUMBER(AD419),AD419-(IF(AND(INDEX(TZ_DSTS,MATCH(P419,TZ_STN,0))&lt;&gt;"",(AD419-INDEX(TZ_STD,MATCH(P419,TZ_STN,0))/24)&gt;=INDEX(TZ_DSTS,MATCH(P419,TZ_STN,0)),(AD419-INDEX(TZ_STD,MATCH(P419,TZ_STN,0))/24)&lt;INDEX(TZ_DSTE,MATCH(P419,TZ_STN,0))),INDEX(TZ_DST,MATCH(P419,TZ_STN,0)),INDEX(TZ_STD,MATCH(P419,TZ_STN,0))))/24,"")</f>
        <v/>
      </c>
      <c r="AH419" s="65" t="str">
        <f aca="false">IFERROR(IF(N419="N/A – rule",IF(OR(TRIM(U419)="",TRIM(U419)="N/A",TRIM(U419)="Not started"),"N/A – RULE","INVALID – this check does not apply to this aircraft: clear the status (or correct the fleet on Flights)"),IF(TRIM(U419)="N/A",IF(AT419=0,"INVALID – N/A not permitted for this check",IF(AND(TRIM(AB419)&lt;&gt;"",TRIM(AB419)&lt;&gt;"Closed"),"INVALID – corrective action still open",IF(AND(NOT(OR(LEN(AZ419)&lt;15,ISNUMBER(MATCH(AZ419,L_Placeholder,0)))),BK419=0,CG419&gt;=8,NOT(OR(LEN(AU419)&lt;2,ISNUMBER(MATCH(AU419,L_Placeholder,0)))),BR419&gt;=3,NOT(OR(LEN(AX419)&lt;2,ISNUMBER(MATCH(AX419,L_Placeholder,0)))),BS419&gt;=3,TRIM(AE419)&lt;&gt;TRIM(T419),AX419&lt;&gt;AU419,CE419=0),"N/A – JUSTIFIED","INVALID – N/A needs a real, settled reason (not 'not applicable' / 'as above' / TBC), a named PIC and a different named verifier"))),IF(OR(TRIM(U419)="Pass",TRIM(U419)="Pass after CA"),IF(NOT(ISNUMBER(AD419)),"INVALID – completion time missing",IF(OR(OR(LEN(AU419)&lt;2,ISNUMBER(MATCH(AU419,L_Placeholder,0))),BR419&lt;3),"INVALID – PIC missing or not a named person (a role such as QA / CSM is not a name)",IF(OR(LEN(AV419)&lt;2,ISNUMBER(MATCH(AV419,L_Placeholder,0))),"INVALID – result / assessment missing",IF(OR(OR(LEN(AW419)&lt;3,ISNUMBER(MATCH(AW419,L_Placeholder,0))),SUMPRODUCT(--ISNUMBER(SEARCH(" "&amp;L_EvidencePhrase&amp;" ",BD419)))&gt;0,BI419=1),"INVALID – evidence missing, placeholder or not yet on file",IF(ISNA(MATCH(TRIM(S419),L_EvidenceType,0)),"INVALID – choose the evidence type from the list (column S)",IF(BL419=0,"INVALID – evidence ID must be the record's own ID only (e.g. SF-2210, IMG_2231, 1045521); a link / file name needs type 'Link / file path'",IF(OR(OR(LEN(AX419)&lt;2,ISNUMBER(MATCH(AX419,L_Placeholder,0))),BS419&lt;3),"INVALID – verifier missing or not a named person (a role such as QA / CSM is not a name)",IF(OR(AX419=AU419,CE419=1,AND(LEN(AU419)&gt;=4,ISNUMBER(SEARCH(AU419,AX419))),AND(LEN(AX419)&gt;=4,ISNUMBER(SEARCH(AX419,AU419)))),"INVALID – verifier must be a different, named person (not the PIC or a role)",IF(BH419=1,"INVALID – result not yet available (awaiting / TBC)",IF(BG419=1,"INVALID – result describes a problem: record Fail, then Pass after CA (or reword if it is not a problem)",IF(BV419=1,"INVALID – wording says not on board: an on-board confirmation needs the item loaded",IF(AND(AQ419=1,OR(OR(LEN(AY419)&lt;3,ISNUMBER(MATCH(AY419,L_Placeholder,0))),BJ419=1,BQ419=0)),"INVALID – batch ID missing, placeholder or not an ID (e.g. PASB-261008-BC-017)",IF(AND(AR419=1,OR(NOT(ISNUMBER(X419)),NOT(ISNUMBER(Y419)))),"INVALID – expected/actual qty missing",IF(AND(AR419=1,OR(X419&lt;=0,Y419&lt;0)),"INVALID – expected qty must be above 0 and actual not negative",IF(AH403="N/A – JUSTIFIED","INVALID – preparation row F12-T12-14 is N/A",IF(AND(AR419=1,ISNUMBER(X403),X419&lt;&gt;X403,TRIM(U419)&lt;&gt;"Pass after CA"),"INVALID – expected qty differs from preparation check F12-T12-14: record the load change as a corrective action (Pass after CA)",IF(BB419&lt;&gt;"",BB419,IF(AND(AS419=1,Documents!$J$16&lt;&gt;"ON FILE"),"INVALID – GLD not on file (Documents sheet)",IF(AND(AS419=2,Documents!$O$16&lt;&gt;"ON FILE"),"INVALID – menu checklist not on file (Documents sheet)",IF(AND(AS419=3,NOT(ISNUMBER(Flights!$AX$16))),"INVALID – enter carrying flight KUL departure (Flights AX)",IF(AND(AS419=3,OR(Flights!$AZ$16&gt;Flights!$AA$16,Flights!$AX$16&lt;Flights!$AA$16-3)),"INVALID – carrying flight (Flights AX) cannot arrive before this leg's STD, or is over 3 days early",IF(AG419&gt;AsOfUTC,"INVALID – completion time is in the future",IF(AND(ISNUMBER(BY419),AG419&lt;BY419),IF(H419="Physical uplift","INVALID – before uplift window (cannot confirm loading)","INVALID – before valid window"),IF(AG419&gt;Flights!$AA$16,"INVALID – completed after departure (cannot establish readiness)",IF(AND(H419="Preparation",AG419&gt;=IF(ISNUMBER(Flights!$BA$16),MIN(Flights!$BA$16,Flights!$AA$16),Flights!$AA$16)),"INVALID – completed after loading / departure (cannot establish readiness)",IF(AND(H419="Physical uplift",AG419&gt;Q419),"INVALID – recorded after the loading flight departed",IF(AG419&gt;Q419,"COMPLETE – LATE","COMPLETE"))))))))))))))))))))))))))),IF(TRIM(U419)="Fail","FAIL – DISCREPANCY",IF(AND(TRIM(U419)&lt;&gt;"",TRIM(U419)&lt;&gt;"Not started",TRIM(U419)&lt;&gt;"In progress"),"INVALID – unrecognised status (use the list)",IF(AsOfUTC&gt;Q419,"OVERDUE",IF(N419="Clarification required","OPEN – CLARIFICATION","OPEN"))))))),"INVALID – error value in an input cell")</f>
        <v>OPEN</v>
      </c>
      <c r="AI419" s="61" t="n">
        <f aca="false">IF(OR(AH419="N/A – RULE",AH419="N/A – JUSTIFIED"),0,1)</f>
        <v>1</v>
      </c>
      <c r="AJ419" s="61" t="n">
        <f aca="false">IF(LEFT(AH419,8)="COMPLETE",1,0)</f>
        <v>0</v>
      </c>
      <c r="AK419" s="61" t="n">
        <f aca="false">IF(AND(AI419=1,AJ419=0,AsOfUTC&gt;Q419),1,0)</f>
        <v>0</v>
      </c>
      <c r="AL419" s="61" t="n">
        <f aca="false">IFERROR(IF(AND(AI419=1,OR(TRIM(U419)="Fail",AND(TRIM(AB419)&lt;&gt;"",TRIM(AB419)&lt;&gt;"Closed"),AND(ISNUMBER(AF419),AF419&lt;&gt;0,TRIM(U419)&lt;&gt;"Pass after CA"))),1,0),1)</f>
        <v>0</v>
      </c>
      <c r="AM419" s="61" t="n">
        <f aca="false">IF(LEFT(AH419,7)="INVALID",1,0)</f>
        <v>0</v>
      </c>
      <c r="AN419" s="61" t="n">
        <f aca="false">IF(AND(N419="Clarification required",AI419=1,AJ419=0),1,0)</f>
        <v>0</v>
      </c>
      <c r="AO419" s="61" t="str">
        <f aca="false">IF(AK419=1,SUM(AK$5:AK419),"")</f>
        <v/>
      </c>
      <c r="AP419" s="61" t="str">
        <f aca="false">IF(AL419=1,SUM(AL$5:AL419),"")</f>
        <v/>
      </c>
      <c r="AQ419" s="61" t="n">
        <v>0</v>
      </c>
      <c r="AR419" s="61" t="n">
        <v>0</v>
      </c>
      <c r="AS419" s="61" t="n">
        <v>0</v>
      </c>
      <c r="AT419" s="61" t="n">
        <v>0</v>
      </c>
      <c r="AU419" s="61" t="str">
        <f aca="false">SUBSTITUTE(SUBSTITUTE(SUBSTITUTE(SUBSTITUTE(SUBSTITUTE(SUBSTITUTE(SUBSTITUTE(SUBSTITUTE(SUBSTITUTE(SUBSTITUTE(SUBSTITUTE(SUBSTITUTE(SUBSTITUTE(SUBSTITUTE(SUBSTITUTE(SUBSTITUTE(LOWER(T419&amp;""),CHAR(10),""),CHAR(13),""),CHAR(9),""),CHAR(160),"")," ",""),".",""),"-",""),"/",""),"?",""),"_",""),",",""),"[",""),"]",""),"(",""),")",""),"*","")</f>
        <v/>
      </c>
      <c r="AV419" s="61" t="str">
        <f aca="false">SUBSTITUTE(SUBSTITUTE(SUBSTITUTE(SUBSTITUTE(SUBSTITUTE(SUBSTITUTE(SUBSTITUTE(SUBSTITUTE(SUBSTITUTE(SUBSTITUTE(SUBSTITUTE(SUBSTITUTE(SUBSTITUTE(SUBSTITUTE(SUBSTITUTE(SUBSTITUTE(LOWER(V419&amp;""),CHAR(10),""),CHAR(13),""),CHAR(9),""),CHAR(160),"")," ",""),".",""),"-",""),"/",""),"?",""),"_",""),",",""),"[",""),"]",""),"(",""),")",""),"*","")</f>
        <v/>
      </c>
      <c r="AW419" s="61" t="str">
        <f aca="false">SUBSTITUTE(SUBSTITUTE(SUBSTITUTE(SUBSTITUTE(SUBSTITUTE(SUBSTITUTE(SUBSTITUTE(SUBSTITUTE(SUBSTITUTE(SUBSTITUTE(SUBSTITUTE(SUBSTITUTE(SUBSTITUTE(SUBSTITUTE(SUBSTITUTE(SUBSTITUTE(LOWER(Z419&amp;""),CHAR(10),""),CHAR(13),""),CHAR(9),""),CHAR(160),"")," ",""),".",""),"-",""),"/",""),"?",""),"_",""),",",""),"[",""),"]",""),"(",""),")",""),"*","")</f>
        <v/>
      </c>
      <c r="AX419" s="61" t="str">
        <f aca="false">SUBSTITUTE(SUBSTITUTE(SUBSTITUTE(SUBSTITUTE(SUBSTITUTE(SUBSTITUTE(SUBSTITUTE(SUBSTITUTE(SUBSTITUTE(SUBSTITUTE(SUBSTITUTE(SUBSTITUTE(SUBSTITUTE(SUBSTITUTE(SUBSTITUTE(SUBSTITUTE(LOWER(AE419&amp;""),CHAR(10),""),CHAR(13),""),CHAR(9),""),CHAR(160),"")," ",""),".",""),"-",""),"/",""),"?",""),"_",""),",",""),"[",""),"]",""),"(",""),")",""),"*","")</f>
        <v/>
      </c>
      <c r="AY419" s="61" t="str">
        <f aca="false">SUBSTITUTE(SUBSTITUTE(SUBSTITUTE(SUBSTITUTE(SUBSTITUTE(SUBSTITUTE(SUBSTITUTE(SUBSTITUTE(SUBSTITUTE(SUBSTITUTE(SUBSTITUTE(SUBSTITUTE(SUBSTITUTE(SUBSTITUTE(SUBSTITUTE(SUBSTITUTE(LOWER(W419&amp;""),CHAR(10),""),CHAR(13),""),CHAR(9),""),CHAR(160),"")," ",""),".",""),"-",""),"/",""),"?",""),"_",""),",",""),"[",""),"]",""),"(",""),")",""),"*","")</f>
        <v/>
      </c>
      <c r="AZ419" s="61" t="str">
        <f aca="false">SUBSTITUTE(SUBSTITUTE(SUBSTITUTE(SUBSTITUTE(SUBSTITUTE(SUBSTITUTE(SUBSTITUTE(SUBSTITUTE(SUBSTITUTE(SUBSTITUTE(SUBSTITUTE(SUBSTITUTE(SUBSTITUTE(SUBSTITUTE(SUBSTITUTE(SUBSTITUTE(LOWER(AC419&amp;""),CHAR(10),""),CHAR(13),""),CHAR(9),""),CHAR(160),"")," ",""),".",""),"-",""),"/",""),"?",""),"_",""),",",""),"[",""),"]",""),"(",""),")",""),"*","")</f>
        <v/>
      </c>
      <c r="BA419" s="61" t="str">
        <f aca="false">SUBSTITUTE(SUBSTITUTE(SUBSTITUTE(SUBSTITUTE(SUBSTITUTE(SUBSTITUTE(SUBSTITUTE(SUBSTITUTE(SUBSTITUTE(SUBSTITUTE(SUBSTITUTE(SUBSTITUTE(SUBSTITUTE(SUBSTITUTE(SUBSTITUTE(SUBSTITUTE(LOWER(AA419&amp;""),CHAR(10),""),CHAR(13),""),CHAR(9),""),CHAR(160),"")," ",""),".",""),"-",""),"/",""),"?",""),"_",""),",",""),"[",""),"]",""),"(",""),")",""),"*","")</f>
        <v/>
      </c>
      <c r="BB419" s="61" t="str">
        <f aca="false">IF(AND(TRIM(U419)="Pass",ISNUMBER(AF419)),IF(AF419&lt;&gt;0,"INVALID – qty variance: use Fail or Pass after CA",""),"")&amp;IF(AND(TRIM(U419)="Pass after CA",ISNUMBER(AF419)),IF(AF419&lt;&gt;0,"INVALID – after the corrective action the actual qty must equal expected (update Actual)",""),"")&amp;IF(AND(TRIM(U419)="Pass",TRIM(AB419)&lt;&gt;"",TRIM(AB419)&lt;&gt;"Closed"),"INVALID – corrective action not closed: use Fail, then Pass after CA","")&amp;IF(AND(LEN(BA419)&gt;=2,ISNA(MATCH(LEFT(BA419,255),L_Placeholder,0)),TRIM(AB419)=""),"INVALID – CA status missing for the recorded corrective action","")&amp;IF(AND(TRIM(U419)="Pass after CA",OR(OR(LEN(BA419)&lt;5,ISNUMBER(MATCH(BA419,L_Placeholder,0))),TRIM(AB419)&lt;&gt;"Closed")),"INVALID – corrective action not recorded/closed","")</f>
        <v/>
      </c>
      <c r="BC419" s="61" t="str">
        <f aca="false">" "&amp;TRIM(SUBSTITUTE(SUBSTITUTE(SUBSTITUTE(SUBSTITUTE(SUBSTITUTE(SUBSTITUTE(SUBSTITUTE(SUBSTITUTE(SUBSTITUTE(SUBSTITUTE(SUBSTITUTE(SUBSTITUTE(SUBSTITUTE(SUBSTITUTE(SUBSTITUTE(SUBSTITUTE(SUBSTITUTE(SUBSTITUTE(SUBSTITUTE(SUBSTITUTE(SUBSTITUTE(SUBSTITUTE(SUBSTITUTE(SUBSTITUTE(LOWER(V419&amp;""),CHAR(10)," "),CHAR(13)," "),CHAR(9)," "),CHAR(160)," "),"."," "),","," "),"-"," "),"/"," "),"("," "),")"," "),":"," "),";"," "),"_"," "),"–"," "),"?"," "),"!"," "),"*"," "),"["," "),"]"," "),"'"," "),"#"," "),"+"," "),"&amp;"," "),"\"," "))&amp;" "</f>
        <v>  </v>
      </c>
      <c r="BD419" s="61" t="str">
        <f aca="false">" "&amp;TRIM(SUBSTITUTE(SUBSTITUTE(SUBSTITUTE(SUBSTITUTE(SUBSTITUTE(SUBSTITUTE(SUBSTITUTE(SUBSTITUTE(SUBSTITUTE(SUBSTITUTE(SUBSTITUTE(SUBSTITUTE(SUBSTITUTE(SUBSTITUTE(SUBSTITUTE(SUBSTITUTE(SUBSTITUTE(SUBSTITUTE(SUBSTITUTE(SUBSTITUTE(SUBSTITUTE(SUBSTITUTE(SUBSTITUTE(SUBSTITUTE(LOWER(Z419&amp;""),CHAR(10)," "),CHAR(13)," "),CHAR(9)," "),CHAR(160)," "),"."," "),","," "),"-"," "),"/"," "),"("," "),")"," "),":"," "),";"," "),"_"," "),"–"," "),"?"," "),"!"," "),"*"," "),"["," "),"]"," "),"'"," "),"#"," "),"+"," "),"&amp;"," "),"\"," "))&amp;" "</f>
        <v>  </v>
      </c>
      <c r="BE419" s="61" t="str">
        <f aca="false">" "&amp;TRIM(SUBSTITUTE(SUBSTITUTE(SUBSTITUTE(SUBSTITUTE(SUBSTITUTE(SUBSTITUTE(SUBSTITUTE(SUBSTITUTE(SUBSTITUTE(SUBSTITUTE(SUBSTITUTE(SUBSTITUTE(SUBSTITUTE(SUBSTITUTE(SUBSTITUTE(SUBSTITUTE(SUBSTITUTE(SUBSTITUTE(SUBSTITUTE(SUBSTITUTE(SUBSTITUTE(SUBSTITUTE(SUBSTITUTE(SUBSTITUTE(LOWER(W419&amp;""),CHAR(10)," "),CHAR(13)," "),CHAR(9)," "),CHAR(160)," "),"."," "),","," "),"-"," "),"/"," "),"("," "),")"," "),":"," "),";"," "),"_"," "),"–"," "),"?"," "),"!"," "),"*"," "),"["," "),"]"," "),"'"," "),"#"," "),"+"," "),"&amp;"," "),"\"," "))&amp;" "</f>
        <v>  </v>
      </c>
      <c r="BF419" s="61" t="str">
        <f aca="false">" "&amp;TRIM(SUBSTITUTE(SUBSTITUTE(SUBSTITUTE(SUBSTITUTE(SUBSTITUTE(SUBSTITUTE(SUBSTITUTE(SUBSTITUTE(SUBSTITUTE(SUBSTITUTE(SUBSTITUTE(SUBSTITUTE(SUBSTITUTE(SUBSTITUTE(SUBSTITUTE(SUBSTITUTE(SUBSTITUTE(SUBSTITUTE(SUBSTITUTE(SUBSTITUTE(SUBSTITUTE(SUBSTITUTE(SUBSTITUTE(SUBSTITUTE(LOWER(AC419&amp;""),CHAR(10)," "),CHAR(13)," "),CHAR(9)," "),CHAR(160)," "),"."," "),","," "),"-"," "),"/"," "),"("," "),")"," "),":"," "),";"," "),"_"," "),"–"," "),"?"," "),"!"," "),"*"," "),"["," "),"]"," "),"'"," "),"#"," "),"+"," "),"&amp;"," "),"\"," "))&amp;" "</f>
        <v>  </v>
      </c>
      <c r="BG419" s="61" t="n">
        <f aca="false">IFERROR(IF(AND(TRIM(U419)="Pass",SUMPRODUCT((LEN(BC419)-LEN(SUBSTITUTE(BC419," "&amp;L_ResultBad&amp;" "," ")))/(LEN(L_ResultBad)+1))&gt;SUMPRODUCT((LEN(BC419)-LEN(SUBSTITUTE(BC419," "&amp;L_NegPhrase&amp;" "," ")))/(LEN(L_NegPhrase)+1))),1,0),0)</f>
        <v>0</v>
      </c>
      <c r="BH419" s="61" t="n">
        <f aca="false">IFERROR(IF(SUMPRODUCT((LEN(BC419)-LEN(SUBSTITUTE(BC419," "&amp;L_Pending&amp;" "," ")))/(LEN(L_Pending)+1))&gt;SUMPRODUCT((LEN(BC419)-LEN(SUBSTITUTE(BC419," "&amp;L_PendNeg&amp;" "," ")))/(LEN(L_PendNeg)+1)),1,0),1)</f>
        <v>0</v>
      </c>
      <c r="BI419" s="61" t="n">
        <f aca="false">IFERROR(IF(SUMPRODUCT((LEN(BD419)-LEN(SUBSTITUTE(BD419," "&amp;L_PendStrict&amp;" "," ")))/(LEN(L_PendStrict)+1))&gt;SUMPRODUCT((LEN(BD419)-LEN(SUBSTITUTE(BD419," "&amp;L_PendNeg&amp;" "," ")))/(LEN(L_PendNeg)+1)),1,0),1)</f>
        <v>0</v>
      </c>
      <c r="BJ419" s="61" t="n">
        <f aca="false">IFERROR(IF(SUMPRODUCT((LEN(BE419)-LEN(SUBSTITUTE(BE419," "&amp;L_Pending&amp;" "," ")))/(LEN(L_Pending)+1))&gt;SUMPRODUCT((LEN(BE419)-LEN(SUBSTITUTE(BE419," "&amp;L_PendNeg&amp;" "," ")))/(LEN(L_PendNeg)+1)),1,0),1)</f>
        <v>0</v>
      </c>
      <c r="BK419" s="61" t="n">
        <f aca="false">IFERROR(IF(SUMPRODUCT((LEN(BF419)-LEN(SUBSTITUTE(BF419," "&amp;L_PendStrict&amp;" "," ")))/(LEN(L_PendStrict)+1))&gt;SUMPRODUCT((LEN(BF419)-LEN(SUBSTITUTE(BF419," "&amp;L_PendNeg&amp;" "," ")))/(LEN(L_PendNeg)+1)),1,0),1)</f>
        <v>0</v>
      </c>
      <c r="BL419" s="61" t="n">
        <f aca="false">IF(ISNA(MATCH(TRIM(S419),L_EvidenceType,0)),0,BZ419)</f>
        <v>0</v>
      </c>
      <c r="BM419" s="61" t="str">
        <f aca="false">SUBSTITUTE(SUBSTITUTE(SUBSTITUTE(SUBSTITUTE(SUBSTITUTE(SUBSTITUTE(SUBSTITUTE(SUBSTITUTE(SUBSTITUTE(LOWER(Z419&amp;""),"1","0"),"2","0"),"3","0"),"4","0"),"5","0"),"6","0"),"7","0"),"8","0"),"9","0")</f>
        <v/>
      </c>
      <c r="BN419" s="61" t="str">
        <f aca="false">SUBSTITUTE(SUBSTITUTE(SUBSTITUTE(SUBSTITUTE(SUBSTITUTE(SUBSTITUTE(SUBSTITUTE(SUBSTITUTE(SUBSTITUTE(SUBSTITUTE(SUBSTITUTE(SUBSTITUTE(SUBSTITUTE(SUBSTITUTE(SUBSTITUTE(SUBSTITUTE(SUBSTITUTE(SUBSTITUTE(SUBSTITUTE(SUBSTITUTE(SUBSTITUTE(SUBSTITUTE(SUBSTITUTE(SUBSTITUTE(SUBSTITUTE(BM419,"b","a"),"c","a"),"d","a"),"e","a"),"f","a"),"g","a"),"h","a"),"i","a"),"j","a"),"k","a"),"l","a"),"m","a"),"n","a"),"o","a"),"p","a"),"q","a"),"r","a"),"s","a"),"t","a"),"u","a"),"v","a"),"w","a"),"x","a"),"y","a"),"z","a")</f>
        <v/>
      </c>
      <c r="BO419" s="61" t="str">
        <f aca="false">SUBSTITUTE(SUBSTITUTE(SUBSTITUTE(SUBSTITUTE(SUBSTITUTE(SUBSTITUTE(SUBSTITUTE(SUBSTITUTE(SUBSTITUTE(LOWER(W419&amp;""),"1","0"),"2","0"),"3","0"),"4","0"),"5","0"),"6","0"),"7","0"),"8","0"),"9","0")</f>
        <v/>
      </c>
      <c r="BP419" s="61" t="str">
        <f aca="false">SUBSTITUTE(SUBSTITUTE(SUBSTITUTE(SUBSTITUTE(SUBSTITUTE(SUBSTITUTE(SUBSTITUTE(SUBSTITUTE(SUBSTITUTE(SUBSTITUTE(SUBSTITUTE(SUBSTITUTE(SUBSTITUTE(SUBSTITUTE(SUBSTITUTE(SUBSTITUTE(SUBSTITUTE(SUBSTITUTE(SUBSTITUTE(SUBSTITUTE(SUBSTITUTE(SUBSTITUTE(SUBSTITUTE(SUBSTITUTE(SUBSTITUTE(BO419,"b","a"),"c","a"),"d","a"),"e","a"),"f","a"),"g","a"),"h","a"),"i","a"),"j","a"),"k","a"),"l","a"),"m","a"),"n","a"),"o","a"),"p","a"),"q","a"),"r","a"),"s","a"),"t","a"),"u","a"),"v","a"),"w","a"),"x","a"),"y","a"),"z","a")</f>
        <v/>
      </c>
      <c r="BQ419" s="61" t="n">
        <f aca="false">IFERROR(IF(AND(ISERROR(SEARCH(" mh"," "&amp;LOWER(W419))),ISNA(MATCH(LEFT(TRIM(BP419),255),{"0000a","000a","00a","0000aa","000aa","00aa","0aa","0000aaa","000aaa","00a00","0a00","0000-0000","00:00","a00","a0","00.00.0000","00/00/0000","00-00-0000","0000-00-00","0000/00/00","0000.00.00","00.00.00","00/00/00","00-00-00","0.00.0000","0/00/0000","0-00-0000"},0)),ISNA(MATCH(LEFT(TRIM(CA419),255),{"0000a","000a","00a","0000aa","000aa","00aa","0aa","0000aaa","000aaa","00a00","0a00","0000-0000","00:00","a00","a0","00.00.0000","00/00/0000","00-00-0000","0000-00-00","0000/00/00","0000.00.00","00.00.00","00/00/00","00-00-00","0.00.0000","0/00/0000","0-00-0000"},0)),LEN(CB419)&gt;=3,NOT(OR(SUBSTITUTE(CB419,"0","")="",AND(LEN(CB419)&gt;=4,CB419=REPT(LEFT(CB419),LEN(CB419))),ISNUMBER(MATCH(CB419,{"123","1234","12345","123456","1234567","12345678","0123","01234","012345","98765","987654","54321"},0)),AND(LEN(CB419)=8,LEFT(CB419,3)="202"))),OR(AND((LEN(CA419)-LEN(SUBSTITUTE(CA419,"a","")))&gt;=1,SUMPRODUCT(--ISNUMBER(SEARCH({"a0","a-0","a_0","a/0","a.0","a#0","0a","0-a","0_a","0/a"},BP419)))&gt;0),ISNUMBER(SEARCH("000000",BP419)))),1,0),0)</f>
        <v>0</v>
      </c>
      <c r="BR419" s="61" t="n">
        <f aca="false">IFERROR(LEN(SUBSTITUTE(CC419," ",""))-SUMPRODUCT((LEN(CC419)-LEN(SUBSTITUTE(CC419," "&amp;L_Role&amp;" "," ")))/(LEN(L_Role)+1)*LEN(L_Role)),0)</f>
        <v>0</v>
      </c>
      <c r="BS419" s="61" t="n">
        <f aca="false">IFERROR(LEN(SUBSTITUTE(CD419," ",""))-SUMPRODUCT((LEN(CD419)-LEN(SUBSTITUTE(CD419," "&amp;L_Role&amp;" "," ")))/(LEN(L_Role)+1)*LEN(L_Role)),0)</f>
        <v>0</v>
      </c>
      <c r="BT4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419,"revision",""),"version",""),"jan",""),"feb",""),"mar",""),"apr",""),"may",""),"jun",""),"jul",""),"aug",""),"sep",""),"oct",""),"nov",""),"dec",""),"utc",""),"gmt",""),"myt",""),"bst",""),"rev",""),"ver",""),"b","a"),"c","a"),"d","a"),"e","a"),"f","a"),"g","a"),"h","a"),"i","a"),"j","a"),"k","a"),"l","a"),"m","a"),"n","a"),"o","a"),"p","a"),"q","a"),"r","a"),"s","a"),"t","a"),"u","a"),"v","a"),"w","a"),"x","a"),"y","a"),"z","a")</f>
        <v/>
      </c>
      <c r="BU419" s="61" t="str">
        <f aca="false">SUBSTITUTE(SUBSTITUTE(SUBSTITUTE(SUBSTITUTE(SUBSTITUTE(SUBSTITUTE(SUBSTITUTE(SUBSTITUTE(SUBSTITUTE(SUBSTITUTE(LEFT(BM419,FIND("0",BM419&amp;"0")-1),"-",""),"_",""),"/",""),".",""),"#",""),"\\",""),":","")," ",""),"(",""),")","")</f>
        <v/>
      </c>
      <c r="BV419" s="61" t="n">
        <f aca="false">IFERROR(IF(OR(SUMPRODUCT((LEN(BC419)-LEN(SUBSTITUTE(BC419," "&amp;L_NotLoaded&amp;" "," ")))/(LEN(L_NotLoaded)+1))&gt;SUMPRODUCT((LEN(BC419)-LEN(SUBSTITUTE(BC419," "&amp;L_NotLoadedNeg&amp;" "," ")))/(LEN(L_NotLoadedNeg)+1)),SUMPRODUCT((LEN(BD419)-LEN(SUBSTITUTE(BD419," "&amp;L_NotLoaded&amp;" "," ")))/(LEN(L_NotLoaded)+1))&gt;SUMPRODUCT((LEN(BD419)-LEN(SUBSTITUTE(BD419," "&amp;L_NotLoadedNeg&amp;" "," ")))/(LEN(L_NotLoadedNeg)+1))),1,0),0)</f>
        <v>0</v>
      </c>
      <c r="BW4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419&amp;""),"a",""),"b",""),"c",""),"d",""),"e",""),"f",""),"g",""),"h",""),"i",""),"j",""),"k",""),"l",""),"m",""),"n",""),"o",""),"p",""),"q",""),"r",""),"s",""),"t",""),"u",""),"v",""),"w",""),"x",""),"y",""),"z",""),"-",""),"_",""),"/",""),".",""),"#",""),"\\",""),":","")," ",""),"(",""),")","")</f>
        <v/>
      </c>
      <c r="BX419" s="61" t="str">
        <f aca="false">SUBSTITUTE(SUBSTITUTE(SUBSTITUTE(SUBSTITUTE(SUBSTITUTE(SUBSTITUTE(SUBSTITUTE(SUBSTITUTE(SUBSTITUTE(SUBSTITUTE(SUBSTITUTE(BM419,"0",""),"-",""),"_",""),"/",""),".",""),"#",""),"\\",""),":","")," ",""),"(",""),")","")</f>
        <v/>
      </c>
      <c r="BY419" s="62" t="n">
        <f aca="false">IF(ISNUMBER(Flights!$AZ$16),MAX(Q419-UpliftWindowH/24,Flights!$AZ$16),Q419-UpliftWindowH/24)</f>
        <v>46307.3506944444</v>
      </c>
      <c r="BZ419" s="61" t="n">
        <f aca="false">IFERROR(IF(IF(TRIM(S419)="Link / file path",AND(LEN(TRIM(Z419))&gt;=5,SUMPRODUCT(--ISNUMBER(SEARCH({"http","www.","\\",":\",".pdf",".jpg",".jpeg",".png",".heic",".xls",".doc",".msg",".eml",".ppt",".txt",".zip"},Z419)))&gt;0),AND(ISERROR(FIND(" ",TRIM(Z419))),NOT(OR(SUMPRODUCT(--ISNUMBER(FIND({",",";","&amp;","+"},Z419)))&gt;0,SUMPRODUCT(--ISNUMBER(SEARCH({"0/aa","0\\aa"},BN419)))&gt;0)),NOT(SUMPRODUCT(--ISNUMBER(SEARCH({"http","www.","\\",":\",".pdf",".jpg",".jpeg",".png",".heic",".xls",".doc",".msg",".eml",".ppt",".txt",".zip"},Z419)))&gt;0),NOT(LOWER(TRIM(Z419))=LOWER(Flights!$F$16)),ISNA(MATCH(BU419,{"mh","rev","revision","ver","version","v","r","a","b","seat","tray","row","gate","bay","stand","page","pg","item","line","no","cart","galley","flight","flt","table","box","bag","oven","etd","eta","std","sta","atd","ata","qty","pax","x","time","tel","ph","mob","day","wk","week","utc","gmt","myt","lt"},0)),NOT(OR(ISNUMBER(MATCH(LEFT(BN419,255),{"0000a","000a","00a","0000aa","000aa","00aa","0aa","0000aaa","000aaa","00a00","0a00","0000-0000","00:00","a00","a0","00.00.0000","00/00/0000","00-00-0000","0000-00-00","0000/00/00","0000.00.00","00.00.00","00/00/00","00-00-00","0.00.0000","0/00/0000","0-00-0000"},0)),ISNUMBER(MATCH(LEFT(BT419,255),{"0000a","000a","00a","0000aa","000aa","00aa","0aa","0000aaa","000aaa","00a00","0a00","0000-0000","00:00","a00","a0","00.00.0000","00/00/0000","00-00-0000","0000-00-00","0000/00/00","0000.00.00","00.00.00","00/00/00","00-00-00","0.00.0000","0/00/0000","0-00-0000"},0)))),NOT(OR(AND(BW419&lt;&gt;"",SUBSTITUTE(BW419,"0","")=""),AND(LEN(BW419)&gt;=4,BW419=REPT(LEFT(BW419),LEN(BW419))),ISNUMBER(MATCH(BW419,{"123","1234","12345","123456","1234567","12345678","0123","01234","012345","98765","987654","54321"},0)),ISNUMBER(MATCH(BX419,{"x","xx","xxx","xxxx","xxxxx","abc","abcd","nil","na","nan","test","tbc","tba","tbd","dummy","sample","example","eg","zz","zzz","none","null","xyz","qwe","asd","id","ref"},0)),AND(LEN(BW419)=8,BX419="",OR(LEFT(BW419,3)="202",ISNUMBER(MATCH(RIGHT(BW419,4),{"2025","2026","2027"},0)))))),OR(AND((LEN(BT419)-LEN(SUBSTITUTE(BT419,"a","")))&gt;=1,(LEN(BN419)-LEN(SUBSTITUTE(BN419,"0","")))&gt;=2,SUMPRODUCT(--ISNUMBER(SEARCH({"a0","a-0","a_0","a/0","a.0","a#0","0a","0-a","0_a","0/a"},BN419)))&gt;0),AND((LEN(BN419)-LEN(SUBSTITUTE(BN419,"a","")))=0,(LEN(BN419)-LEN(SUBSTITUTE(BN419,"0","")))&gt;=5)))),1,0),0)</f>
        <v>0</v>
      </c>
      <c r="CA4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419,"revision",""),"version",""),"jan",""),"feb",""),"mar",""),"apr",""),"may",""),"jun",""),"jul",""),"aug",""),"sep",""),"oct",""),"nov",""),"dec",""),"utc",""),"gmt",""),"myt",""),"bst",""),"rev",""),"ver",""),"b","a"),"c","a"),"d","a"),"e","a"),"f","a"),"g","a"),"h","a"),"i","a"),"j","a"),"k","a"),"l","a"),"m","a"),"n","a"),"o","a"),"p","a"),"q","a"),"r","a"),"s","a"),"t","a"),"u","a"),"v","a"),"w","a"),"x","a"),"y","a"),"z","a")</f>
        <v/>
      </c>
      <c r="CB4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419&amp;""),"a",""),"b",""),"c",""),"d",""),"e",""),"f",""),"g",""),"h",""),"i",""),"j",""),"k",""),"l",""),"m",""),"n",""),"o",""),"p",""),"q",""),"r",""),"s",""),"t",""),"u",""),"v",""),"w",""),"x",""),"y",""),"z",""),"-",""),"_",""),"/",""),".",""),"#",""),"\\",""),":","")," ",""),"(",""),")","")</f>
        <v/>
      </c>
      <c r="CC419" s="0" t="str">
        <f aca="false">" "&amp;TRIM(SUBSTITUTE(SUBSTITUTE(SUBSTITUTE(SUBSTITUTE(SUBSTITUTE(SUBSTITUTE(SUBSTITUTE(SUBSTITUTE(SUBSTITUTE(SUBSTITUTE(SUBSTITUTE(SUBSTITUTE(SUBSTITUTE(SUBSTITUTE(SUBSTITUTE(SUBSTITUTE(SUBSTITUTE(SUBSTITUTE(SUBSTITUTE(SUBSTITUTE(SUBSTITUTE(SUBSTITUTE(SUBSTITUTE(SUBSTITUTE(LOWER(T419&amp;""),CHAR(10)," "),CHAR(13)," "),CHAR(9)," "),CHAR(160)," "),"."," "),","," "),"-"," "),"/"," "),"("," "),")"," "),":"," "),";"," "),"_"," "),"–"," "),"?"," "),"!"," "),"*"," "),"["," "),"]"," "),"'"," "),"#"," "),"+"," "),"&amp;"," "),"\"," "))&amp;" "</f>
        <v>  </v>
      </c>
      <c r="CD419" s="0" t="str">
        <f aca="false">" "&amp;TRIM(SUBSTITUTE(SUBSTITUTE(SUBSTITUTE(SUBSTITUTE(SUBSTITUTE(SUBSTITUTE(SUBSTITUTE(SUBSTITUTE(SUBSTITUTE(SUBSTITUTE(SUBSTITUTE(SUBSTITUTE(SUBSTITUTE(SUBSTITUTE(SUBSTITUTE(SUBSTITUTE(SUBSTITUTE(SUBSTITUTE(SUBSTITUTE(SUBSTITUTE(SUBSTITUTE(SUBSTITUTE(SUBSTITUTE(SUBSTITUTE(LOWER(AE419&amp;""),CHAR(10)," "),CHAR(13)," "),CHAR(9)," "),CHAR(160)," "),"."," "),","," "),"-"," "),"/"," "),"("," "),")"," "),":"," "),";"," "),"_"," "),"–"," "),"?"," "),"!"," "),"*"," "),"["," "),"]"," "),"'"," "),"#"," "),"+"," "),"&amp;"," "),"\"," "))&amp;" "</f>
        <v>  </v>
      </c>
      <c r="CE419" s="68" t="n">
        <f aca="false">IFERROR(IF(AND(LEN(AU419)&gt;0,LEN(AU419)=LEN(AX419),OR(TRIM(MID(SUBSTITUTE(TRIM(CC419)," ",REPT(" ",60)),1,60))="",ISNUMBER(SEARCH(" "&amp;TRIM(MID(SUBSTITUTE(TRIM(CC419)," ",REPT(" ",60)),1,60))&amp;" ",CD419))),OR(TRIM(MID(SUBSTITUTE(TRIM(CC419)," ",REPT(" ",60)),61,60))="",ISNUMBER(SEARCH(" "&amp;TRIM(MID(SUBSTITUTE(TRIM(CC419)," ",REPT(" ",60)),61,60))&amp;" ",CD419))),OR(TRIM(MID(SUBSTITUTE(TRIM(CC419)," ",REPT(" ",60)),121,60))="",ISNUMBER(SEARCH(" "&amp;TRIM(MID(SUBSTITUTE(TRIM(CC419)," ",REPT(" ",60)),121,60))&amp;" ",CD419)))),1,0),0)</f>
        <v>0</v>
      </c>
      <c r="CG419" s="68" t="n">
        <f aca="false">IFERROR(LEN(SUBSTITUTE(BF419," ",""))-SUMPRODUCT((LEN(BF419)-LEN(SUBSTITUTE(BF419," "&amp;L_NAFiller&amp;" "," ")))/(LEN(L_NAFiller)+1)*LEN(L_NAFiller)),0)</f>
        <v>0</v>
      </c>
    </row>
    <row r="420" customFormat="false" ht="39.75" hidden="false" customHeight="true" outlineLevel="0" collapsed="false">
      <c r="A420" s="57" t="s">
        <v>1052</v>
      </c>
      <c r="B420" s="57" t="s">
        <v>261</v>
      </c>
      <c r="C420" s="57" t="str">
        <f aca="false">Flights!$F$16</f>
        <v>MH0139</v>
      </c>
      <c r="D420" s="58" t="n">
        <f aca="false">Flights!$D$16</f>
        <v>46307</v>
      </c>
      <c r="E420" s="57" t="str">
        <f aca="false">Flights!$G$16&amp;"-"&amp;Flights!$H$16</f>
        <v>KUL-ADL</v>
      </c>
      <c r="F420" s="57" t="str">
        <f aca="false">Flights!$K$16</f>
        <v>BC</v>
      </c>
      <c r="G420" s="57" t="s">
        <v>459</v>
      </c>
      <c r="H420" s="57" t="s">
        <v>460</v>
      </c>
      <c r="I420" s="57" t="s">
        <v>499</v>
      </c>
      <c r="J420" s="57" t="s">
        <v>548</v>
      </c>
      <c r="K420" s="67" t="s">
        <v>616</v>
      </c>
      <c r="L420" s="67" t="s">
        <v>1028</v>
      </c>
      <c r="M420" s="67" t="s">
        <v>451</v>
      </c>
      <c r="N420" s="67" t="s">
        <v>383</v>
      </c>
      <c r="O420" s="67" t="s">
        <v>549</v>
      </c>
      <c r="P420" s="57" t="s">
        <v>187</v>
      </c>
      <c r="Q420" s="59" t="n">
        <f aca="false">ROUND((Flights!$AF$16)*1440,0)/1440</f>
        <v>46307.6006944444</v>
      </c>
      <c r="R420" s="59" t="n">
        <f aca="false">Q420+(IF(AND(INDEX(TZ_DSTS,MATCH(P420,TZ_STN,0))&lt;&gt;"",Q420&gt;=INDEX(TZ_DSTS,MATCH(P420,TZ_STN,0)),Q420&lt;INDEX(TZ_DSTE,MATCH(P420,TZ_STN,0))),INDEX(TZ_DST,MATCH(P420,TZ_STN,0)),INDEX(TZ_STD,MATCH(P420,TZ_STN,0))))/24</f>
        <v>46307.9340277778</v>
      </c>
      <c r="S420" s="60"/>
      <c r="T420" s="60"/>
      <c r="U420" s="60"/>
      <c r="V420" s="60"/>
      <c r="W420" s="61"/>
      <c r="X420" s="60"/>
      <c r="Y420" s="60"/>
      <c r="Z420" s="60"/>
      <c r="AA420" s="60"/>
      <c r="AB420" s="60"/>
      <c r="AC420" s="60"/>
      <c r="AD420" s="66"/>
      <c r="AE420" s="60"/>
      <c r="AF420" s="61" t="str">
        <f aca="false">IF(AND(ISNUMBER(X420),ISNUMBER(Y420)),Y420-X420,"")</f>
        <v/>
      </c>
      <c r="AG420" s="62" t="str">
        <f aca="false">IF(ISNUMBER(AD420),AD420-(IF(AND(INDEX(TZ_DSTS,MATCH(P420,TZ_STN,0))&lt;&gt;"",(AD420-INDEX(TZ_STD,MATCH(P420,TZ_STN,0))/24)&gt;=INDEX(TZ_DSTS,MATCH(P420,TZ_STN,0)),(AD420-INDEX(TZ_STD,MATCH(P420,TZ_STN,0))/24)&lt;INDEX(TZ_DSTE,MATCH(P420,TZ_STN,0))),INDEX(TZ_DST,MATCH(P420,TZ_STN,0)),INDEX(TZ_STD,MATCH(P420,TZ_STN,0))))/24,"")</f>
        <v/>
      </c>
      <c r="AH420" s="65" t="str">
        <f aca="false">IFERROR(IF(N420="N/A – rule",IF(OR(TRIM(U420)="",TRIM(U420)="N/A",TRIM(U420)="Not started"),"N/A – RULE","INVALID – this check does not apply to this aircraft: clear the status (or correct the fleet on Flights)"),IF(TRIM(U420)="N/A",IF(AT420=0,"INVALID – N/A not permitted for this check",IF(AND(TRIM(AB420)&lt;&gt;"",TRIM(AB420)&lt;&gt;"Closed"),"INVALID – corrective action still open",IF(AND(NOT(OR(LEN(AZ420)&lt;15,ISNUMBER(MATCH(AZ420,L_Placeholder,0)))),BK420=0,CG420&gt;=8,NOT(OR(LEN(AU420)&lt;2,ISNUMBER(MATCH(AU420,L_Placeholder,0)))),BR420&gt;=3,NOT(OR(LEN(AX420)&lt;2,ISNUMBER(MATCH(AX420,L_Placeholder,0)))),BS420&gt;=3,TRIM(AE420)&lt;&gt;TRIM(T420),AX420&lt;&gt;AU420,CE420=0),"N/A – JUSTIFIED","INVALID – N/A needs a real, settled reason (not 'not applicable' / 'as above' / TBC), a named PIC and a different named verifier"))),IF(OR(TRIM(U420)="Pass",TRIM(U420)="Pass after CA"),IF(NOT(ISNUMBER(AD420)),"INVALID – completion time missing",IF(OR(OR(LEN(AU420)&lt;2,ISNUMBER(MATCH(AU420,L_Placeholder,0))),BR420&lt;3),"INVALID – PIC missing or not a named person (a role such as QA / CSM is not a name)",IF(OR(LEN(AV420)&lt;2,ISNUMBER(MATCH(AV420,L_Placeholder,0))),"INVALID – result / assessment missing",IF(OR(OR(LEN(AW420)&lt;3,ISNUMBER(MATCH(AW420,L_Placeholder,0))),SUMPRODUCT(--ISNUMBER(SEARCH(" "&amp;L_EvidencePhrase&amp;" ",BD420)))&gt;0,BI420=1),"INVALID – evidence missing, placeholder or not yet on file",IF(ISNA(MATCH(TRIM(S420),L_EvidenceType,0)),"INVALID – choose the evidence type from the list (column S)",IF(BL420=0,"INVALID – evidence ID must be the record's own ID only (e.g. SF-2210, IMG_2231, 1045521); a link / file name needs type 'Link / file path'",IF(OR(OR(LEN(AX420)&lt;2,ISNUMBER(MATCH(AX420,L_Placeholder,0))),BS420&lt;3),"INVALID – verifier missing or not a named person (a role such as QA / CSM is not a name)",IF(OR(AX420=AU420,CE420=1,AND(LEN(AU420)&gt;=4,ISNUMBER(SEARCH(AU420,AX420))),AND(LEN(AX420)&gt;=4,ISNUMBER(SEARCH(AX420,AU420)))),"INVALID – verifier must be a different, named person (not the PIC or a role)",IF(BH420=1,"INVALID – result not yet available (awaiting / TBC)",IF(BG420=1,"INVALID – result describes a problem: record Fail, then Pass after CA (or reword if it is not a problem)",IF(BV420=1,"INVALID – wording says not on board: an on-board confirmation needs the item loaded",IF(AND(AQ420=1,OR(OR(LEN(AY420)&lt;3,ISNUMBER(MATCH(AY420,L_Placeholder,0))),BJ420=1,BQ420=0)),"INVALID – batch ID missing, placeholder or not an ID (e.g. PASB-261008-BC-017)",IF(AND(AR420=1,OR(NOT(ISNUMBER(X420)),NOT(ISNUMBER(Y420)))),"INVALID – expected/actual qty missing",IF(AND(AR420=1,OR(X420&lt;=0,Y420&lt;0)),"INVALID – expected qty must be above 0 and actual not negative",IF(AH404="N/A – JUSTIFIED","INVALID – preparation row F12-T12-15 is N/A",IF(AND(AR420=1,ISNUMBER(X404),X420&lt;&gt;X404,TRIM(U420)&lt;&gt;"Pass after CA"),"INVALID – expected qty differs from preparation check F12-T12-15: record the load change as a corrective action (Pass after CA)",IF(BB420&lt;&gt;"",BB420,IF(AND(AS420=1,Documents!$J$16&lt;&gt;"ON FILE"),"INVALID – GLD not on file (Documents sheet)",IF(AND(AS420=2,Documents!$O$16&lt;&gt;"ON FILE"),"INVALID – menu checklist not on file (Documents sheet)",IF(AND(AS420=3,NOT(ISNUMBER(Flights!$AX$16))),"INVALID – enter carrying flight KUL departure (Flights AX)",IF(AND(AS420=3,OR(Flights!$AZ$16&gt;Flights!$AA$16,Flights!$AX$16&lt;Flights!$AA$16-3)),"INVALID – carrying flight (Flights AX) cannot arrive before this leg's STD, or is over 3 days early",IF(AG420&gt;AsOfUTC,"INVALID – completion time is in the future",IF(AND(ISNUMBER(BY420),AG420&lt;BY420),IF(H420="Physical uplift","INVALID – before uplift window (cannot confirm loading)","INVALID – before valid window"),IF(AG420&gt;Flights!$AA$16,"INVALID – completed after departure (cannot establish readiness)",IF(AND(H420="Preparation",AG420&gt;=IF(ISNUMBER(Flights!$BA$16),MIN(Flights!$BA$16,Flights!$AA$16),Flights!$AA$16)),"INVALID – completed after loading / departure (cannot establish readiness)",IF(AND(H420="Physical uplift",AG420&gt;Q420),"INVALID – recorded after the loading flight departed",IF(AG420&gt;Q420,"COMPLETE – LATE","COMPLETE"))))))))))))))))))))))))))),IF(TRIM(U420)="Fail","FAIL – DISCREPANCY",IF(AND(TRIM(U420)&lt;&gt;"",TRIM(U420)&lt;&gt;"Not started",TRIM(U420)&lt;&gt;"In progress"),"INVALID – unrecognised status (use the list)",IF(AsOfUTC&gt;Q420,"OVERDUE",IF(N420="Clarification required","OPEN – CLARIFICATION","OPEN"))))))),"INVALID – error value in an input cell")</f>
        <v>OPEN</v>
      </c>
      <c r="AI420" s="61" t="n">
        <f aca="false">IF(OR(AH420="N/A – RULE",AH420="N/A – JUSTIFIED"),0,1)</f>
        <v>1</v>
      </c>
      <c r="AJ420" s="61" t="n">
        <f aca="false">IF(LEFT(AH420,8)="COMPLETE",1,0)</f>
        <v>0</v>
      </c>
      <c r="AK420" s="61" t="n">
        <f aca="false">IF(AND(AI420=1,AJ420=0,AsOfUTC&gt;Q420),1,0)</f>
        <v>0</v>
      </c>
      <c r="AL420" s="61" t="n">
        <f aca="false">IFERROR(IF(AND(AI420=1,OR(TRIM(U420)="Fail",AND(TRIM(AB420)&lt;&gt;"",TRIM(AB420)&lt;&gt;"Closed"),AND(ISNUMBER(AF420),AF420&lt;&gt;0,TRIM(U420)&lt;&gt;"Pass after CA"))),1,0),1)</f>
        <v>0</v>
      </c>
      <c r="AM420" s="61" t="n">
        <f aca="false">IF(LEFT(AH420,7)="INVALID",1,0)</f>
        <v>0</v>
      </c>
      <c r="AN420" s="61" t="n">
        <f aca="false">IF(AND(N420="Clarification required",AI420=1,AJ420=0),1,0)</f>
        <v>0</v>
      </c>
      <c r="AO420" s="61" t="str">
        <f aca="false">IF(AK420=1,SUM(AK$5:AK420),"")</f>
        <v/>
      </c>
      <c r="AP420" s="61" t="str">
        <f aca="false">IF(AL420=1,SUM(AL$5:AL420),"")</f>
        <v/>
      </c>
      <c r="AQ420" s="61" t="n">
        <v>0</v>
      </c>
      <c r="AR420" s="61" t="n">
        <v>0</v>
      </c>
      <c r="AS420" s="61" t="n">
        <v>0</v>
      </c>
      <c r="AT420" s="61" t="n">
        <v>0</v>
      </c>
      <c r="AU420" s="61" t="str">
        <f aca="false">SUBSTITUTE(SUBSTITUTE(SUBSTITUTE(SUBSTITUTE(SUBSTITUTE(SUBSTITUTE(SUBSTITUTE(SUBSTITUTE(SUBSTITUTE(SUBSTITUTE(SUBSTITUTE(SUBSTITUTE(SUBSTITUTE(SUBSTITUTE(SUBSTITUTE(SUBSTITUTE(LOWER(T420&amp;""),CHAR(10),""),CHAR(13),""),CHAR(9),""),CHAR(160),"")," ",""),".",""),"-",""),"/",""),"?",""),"_",""),",",""),"[",""),"]",""),"(",""),")",""),"*","")</f>
        <v/>
      </c>
      <c r="AV420" s="61" t="str">
        <f aca="false">SUBSTITUTE(SUBSTITUTE(SUBSTITUTE(SUBSTITUTE(SUBSTITUTE(SUBSTITUTE(SUBSTITUTE(SUBSTITUTE(SUBSTITUTE(SUBSTITUTE(SUBSTITUTE(SUBSTITUTE(SUBSTITUTE(SUBSTITUTE(SUBSTITUTE(SUBSTITUTE(LOWER(V420&amp;""),CHAR(10),""),CHAR(13),""),CHAR(9),""),CHAR(160),"")," ",""),".",""),"-",""),"/",""),"?",""),"_",""),",",""),"[",""),"]",""),"(",""),")",""),"*","")</f>
        <v/>
      </c>
      <c r="AW420" s="61" t="str">
        <f aca="false">SUBSTITUTE(SUBSTITUTE(SUBSTITUTE(SUBSTITUTE(SUBSTITUTE(SUBSTITUTE(SUBSTITUTE(SUBSTITUTE(SUBSTITUTE(SUBSTITUTE(SUBSTITUTE(SUBSTITUTE(SUBSTITUTE(SUBSTITUTE(SUBSTITUTE(SUBSTITUTE(LOWER(Z420&amp;""),CHAR(10),""),CHAR(13),""),CHAR(9),""),CHAR(160),"")," ",""),".",""),"-",""),"/",""),"?",""),"_",""),",",""),"[",""),"]",""),"(",""),")",""),"*","")</f>
        <v/>
      </c>
      <c r="AX420" s="61" t="str">
        <f aca="false">SUBSTITUTE(SUBSTITUTE(SUBSTITUTE(SUBSTITUTE(SUBSTITUTE(SUBSTITUTE(SUBSTITUTE(SUBSTITUTE(SUBSTITUTE(SUBSTITUTE(SUBSTITUTE(SUBSTITUTE(SUBSTITUTE(SUBSTITUTE(SUBSTITUTE(SUBSTITUTE(LOWER(AE420&amp;""),CHAR(10),""),CHAR(13),""),CHAR(9),""),CHAR(160),"")," ",""),".",""),"-",""),"/",""),"?",""),"_",""),",",""),"[",""),"]",""),"(",""),")",""),"*","")</f>
        <v/>
      </c>
      <c r="AY420" s="61" t="str">
        <f aca="false">SUBSTITUTE(SUBSTITUTE(SUBSTITUTE(SUBSTITUTE(SUBSTITUTE(SUBSTITUTE(SUBSTITUTE(SUBSTITUTE(SUBSTITUTE(SUBSTITUTE(SUBSTITUTE(SUBSTITUTE(SUBSTITUTE(SUBSTITUTE(SUBSTITUTE(SUBSTITUTE(LOWER(W420&amp;""),CHAR(10),""),CHAR(13),""),CHAR(9),""),CHAR(160),"")," ",""),".",""),"-",""),"/",""),"?",""),"_",""),",",""),"[",""),"]",""),"(",""),")",""),"*","")</f>
        <v/>
      </c>
      <c r="AZ420" s="61" t="str">
        <f aca="false">SUBSTITUTE(SUBSTITUTE(SUBSTITUTE(SUBSTITUTE(SUBSTITUTE(SUBSTITUTE(SUBSTITUTE(SUBSTITUTE(SUBSTITUTE(SUBSTITUTE(SUBSTITUTE(SUBSTITUTE(SUBSTITUTE(SUBSTITUTE(SUBSTITUTE(SUBSTITUTE(LOWER(AC420&amp;""),CHAR(10),""),CHAR(13),""),CHAR(9),""),CHAR(160),"")," ",""),".",""),"-",""),"/",""),"?",""),"_",""),",",""),"[",""),"]",""),"(",""),")",""),"*","")</f>
        <v/>
      </c>
      <c r="BA420" s="61" t="str">
        <f aca="false">SUBSTITUTE(SUBSTITUTE(SUBSTITUTE(SUBSTITUTE(SUBSTITUTE(SUBSTITUTE(SUBSTITUTE(SUBSTITUTE(SUBSTITUTE(SUBSTITUTE(SUBSTITUTE(SUBSTITUTE(SUBSTITUTE(SUBSTITUTE(SUBSTITUTE(SUBSTITUTE(LOWER(AA420&amp;""),CHAR(10),""),CHAR(13),""),CHAR(9),""),CHAR(160),"")," ",""),".",""),"-",""),"/",""),"?",""),"_",""),",",""),"[",""),"]",""),"(",""),")",""),"*","")</f>
        <v/>
      </c>
      <c r="BB420" s="61" t="str">
        <f aca="false">IF(AND(TRIM(U420)="Pass",ISNUMBER(AF420)),IF(AF420&lt;&gt;0,"INVALID – qty variance: use Fail or Pass after CA",""),"")&amp;IF(AND(TRIM(U420)="Pass after CA",ISNUMBER(AF420)),IF(AF420&lt;&gt;0,"INVALID – after the corrective action the actual qty must equal expected (update Actual)",""),"")&amp;IF(AND(TRIM(U420)="Pass",TRIM(AB420)&lt;&gt;"",TRIM(AB420)&lt;&gt;"Closed"),"INVALID – corrective action not closed: use Fail, then Pass after CA","")&amp;IF(AND(LEN(BA420)&gt;=2,ISNA(MATCH(LEFT(BA420,255),L_Placeholder,0)),TRIM(AB420)=""),"INVALID – CA status missing for the recorded corrective action","")&amp;IF(AND(TRIM(U420)="Pass after CA",OR(OR(LEN(BA420)&lt;5,ISNUMBER(MATCH(BA420,L_Placeholder,0))),TRIM(AB420)&lt;&gt;"Closed")),"INVALID – corrective action not recorded/closed","")</f>
        <v/>
      </c>
      <c r="BC420" s="61" t="str">
        <f aca="false">" "&amp;TRIM(SUBSTITUTE(SUBSTITUTE(SUBSTITUTE(SUBSTITUTE(SUBSTITUTE(SUBSTITUTE(SUBSTITUTE(SUBSTITUTE(SUBSTITUTE(SUBSTITUTE(SUBSTITUTE(SUBSTITUTE(SUBSTITUTE(SUBSTITUTE(SUBSTITUTE(SUBSTITUTE(SUBSTITUTE(SUBSTITUTE(SUBSTITUTE(SUBSTITUTE(SUBSTITUTE(SUBSTITUTE(SUBSTITUTE(SUBSTITUTE(LOWER(V420&amp;""),CHAR(10)," "),CHAR(13)," "),CHAR(9)," "),CHAR(160)," "),"."," "),","," "),"-"," "),"/"," "),"("," "),")"," "),":"," "),";"," "),"_"," "),"–"," "),"?"," "),"!"," "),"*"," "),"["," "),"]"," "),"'"," "),"#"," "),"+"," "),"&amp;"," "),"\"," "))&amp;" "</f>
        <v>  </v>
      </c>
      <c r="BD420" s="61" t="str">
        <f aca="false">" "&amp;TRIM(SUBSTITUTE(SUBSTITUTE(SUBSTITUTE(SUBSTITUTE(SUBSTITUTE(SUBSTITUTE(SUBSTITUTE(SUBSTITUTE(SUBSTITUTE(SUBSTITUTE(SUBSTITUTE(SUBSTITUTE(SUBSTITUTE(SUBSTITUTE(SUBSTITUTE(SUBSTITUTE(SUBSTITUTE(SUBSTITUTE(SUBSTITUTE(SUBSTITUTE(SUBSTITUTE(SUBSTITUTE(SUBSTITUTE(SUBSTITUTE(LOWER(Z420&amp;""),CHAR(10)," "),CHAR(13)," "),CHAR(9)," "),CHAR(160)," "),"."," "),","," "),"-"," "),"/"," "),"("," "),")"," "),":"," "),";"," "),"_"," "),"–"," "),"?"," "),"!"," "),"*"," "),"["," "),"]"," "),"'"," "),"#"," "),"+"," "),"&amp;"," "),"\"," "))&amp;" "</f>
        <v>  </v>
      </c>
      <c r="BE420" s="61" t="str">
        <f aca="false">" "&amp;TRIM(SUBSTITUTE(SUBSTITUTE(SUBSTITUTE(SUBSTITUTE(SUBSTITUTE(SUBSTITUTE(SUBSTITUTE(SUBSTITUTE(SUBSTITUTE(SUBSTITUTE(SUBSTITUTE(SUBSTITUTE(SUBSTITUTE(SUBSTITUTE(SUBSTITUTE(SUBSTITUTE(SUBSTITUTE(SUBSTITUTE(SUBSTITUTE(SUBSTITUTE(SUBSTITUTE(SUBSTITUTE(SUBSTITUTE(SUBSTITUTE(LOWER(W420&amp;""),CHAR(10)," "),CHAR(13)," "),CHAR(9)," "),CHAR(160)," "),"."," "),","," "),"-"," "),"/"," "),"("," "),")"," "),":"," "),";"," "),"_"," "),"–"," "),"?"," "),"!"," "),"*"," "),"["," "),"]"," "),"'"," "),"#"," "),"+"," "),"&amp;"," "),"\"," "))&amp;" "</f>
        <v>  </v>
      </c>
      <c r="BF420" s="61" t="str">
        <f aca="false">" "&amp;TRIM(SUBSTITUTE(SUBSTITUTE(SUBSTITUTE(SUBSTITUTE(SUBSTITUTE(SUBSTITUTE(SUBSTITUTE(SUBSTITUTE(SUBSTITUTE(SUBSTITUTE(SUBSTITUTE(SUBSTITUTE(SUBSTITUTE(SUBSTITUTE(SUBSTITUTE(SUBSTITUTE(SUBSTITUTE(SUBSTITUTE(SUBSTITUTE(SUBSTITUTE(SUBSTITUTE(SUBSTITUTE(SUBSTITUTE(SUBSTITUTE(LOWER(AC420&amp;""),CHAR(10)," "),CHAR(13)," "),CHAR(9)," "),CHAR(160)," "),"."," "),","," "),"-"," "),"/"," "),"("," "),")"," "),":"," "),";"," "),"_"," "),"–"," "),"?"," "),"!"," "),"*"," "),"["," "),"]"," "),"'"," "),"#"," "),"+"," "),"&amp;"," "),"\"," "))&amp;" "</f>
        <v>  </v>
      </c>
      <c r="BG420" s="61" t="n">
        <f aca="false">IFERROR(IF(AND(TRIM(U420)="Pass",SUMPRODUCT((LEN(BC420)-LEN(SUBSTITUTE(BC420," "&amp;L_ResultBad&amp;" "," ")))/(LEN(L_ResultBad)+1))&gt;SUMPRODUCT((LEN(BC420)-LEN(SUBSTITUTE(BC420," "&amp;L_NegPhrase&amp;" "," ")))/(LEN(L_NegPhrase)+1))),1,0),0)</f>
        <v>0</v>
      </c>
      <c r="BH420" s="61" t="n">
        <f aca="false">IFERROR(IF(SUMPRODUCT((LEN(BC420)-LEN(SUBSTITUTE(BC420," "&amp;L_Pending&amp;" "," ")))/(LEN(L_Pending)+1))&gt;SUMPRODUCT((LEN(BC420)-LEN(SUBSTITUTE(BC420," "&amp;L_PendNeg&amp;" "," ")))/(LEN(L_PendNeg)+1)),1,0),1)</f>
        <v>0</v>
      </c>
      <c r="BI420" s="61" t="n">
        <f aca="false">IFERROR(IF(SUMPRODUCT((LEN(BD420)-LEN(SUBSTITUTE(BD420," "&amp;L_PendStrict&amp;" "," ")))/(LEN(L_PendStrict)+1))&gt;SUMPRODUCT((LEN(BD420)-LEN(SUBSTITUTE(BD420," "&amp;L_PendNeg&amp;" "," ")))/(LEN(L_PendNeg)+1)),1,0),1)</f>
        <v>0</v>
      </c>
      <c r="BJ420" s="61" t="n">
        <f aca="false">IFERROR(IF(SUMPRODUCT((LEN(BE420)-LEN(SUBSTITUTE(BE420," "&amp;L_Pending&amp;" "," ")))/(LEN(L_Pending)+1))&gt;SUMPRODUCT((LEN(BE420)-LEN(SUBSTITUTE(BE420," "&amp;L_PendNeg&amp;" "," ")))/(LEN(L_PendNeg)+1)),1,0),1)</f>
        <v>0</v>
      </c>
      <c r="BK420" s="61" t="n">
        <f aca="false">IFERROR(IF(SUMPRODUCT((LEN(BF420)-LEN(SUBSTITUTE(BF420," "&amp;L_PendStrict&amp;" "," ")))/(LEN(L_PendStrict)+1))&gt;SUMPRODUCT((LEN(BF420)-LEN(SUBSTITUTE(BF420," "&amp;L_PendNeg&amp;" "," ")))/(LEN(L_PendNeg)+1)),1,0),1)</f>
        <v>0</v>
      </c>
      <c r="BL420" s="61" t="n">
        <f aca="false">IF(ISNA(MATCH(TRIM(S420),L_EvidenceType,0)),0,BZ420)</f>
        <v>0</v>
      </c>
      <c r="BM420" s="61" t="str">
        <f aca="false">SUBSTITUTE(SUBSTITUTE(SUBSTITUTE(SUBSTITUTE(SUBSTITUTE(SUBSTITUTE(SUBSTITUTE(SUBSTITUTE(SUBSTITUTE(LOWER(Z420&amp;""),"1","0"),"2","0"),"3","0"),"4","0"),"5","0"),"6","0"),"7","0"),"8","0"),"9","0")</f>
        <v/>
      </c>
      <c r="BN420" s="61" t="str">
        <f aca="false">SUBSTITUTE(SUBSTITUTE(SUBSTITUTE(SUBSTITUTE(SUBSTITUTE(SUBSTITUTE(SUBSTITUTE(SUBSTITUTE(SUBSTITUTE(SUBSTITUTE(SUBSTITUTE(SUBSTITUTE(SUBSTITUTE(SUBSTITUTE(SUBSTITUTE(SUBSTITUTE(SUBSTITUTE(SUBSTITUTE(SUBSTITUTE(SUBSTITUTE(SUBSTITUTE(SUBSTITUTE(SUBSTITUTE(SUBSTITUTE(SUBSTITUTE(BM420,"b","a"),"c","a"),"d","a"),"e","a"),"f","a"),"g","a"),"h","a"),"i","a"),"j","a"),"k","a"),"l","a"),"m","a"),"n","a"),"o","a"),"p","a"),"q","a"),"r","a"),"s","a"),"t","a"),"u","a"),"v","a"),"w","a"),"x","a"),"y","a"),"z","a")</f>
        <v/>
      </c>
      <c r="BO420" s="61" t="str">
        <f aca="false">SUBSTITUTE(SUBSTITUTE(SUBSTITUTE(SUBSTITUTE(SUBSTITUTE(SUBSTITUTE(SUBSTITUTE(SUBSTITUTE(SUBSTITUTE(LOWER(W420&amp;""),"1","0"),"2","0"),"3","0"),"4","0"),"5","0"),"6","0"),"7","0"),"8","0"),"9","0")</f>
        <v/>
      </c>
      <c r="BP420" s="61" t="str">
        <f aca="false">SUBSTITUTE(SUBSTITUTE(SUBSTITUTE(SUBSTITUTE(SUBSTITUTE(SUBSTITUTE(SUBSTITUTE(SUBSTITUTE(SUBSTITUTE(SUBSTITUTE(SUBSTITUTE(SUBSTITUTE(SUBSTITUTE(SUBSTITUTE(SUBSTITUTE(SUBSTITUTE(SUBSTITUTE(SUBSTITUTE(SUBSTITUTE(SUBSTITUTE(SUBSTITUTE(SUBSTITUTE(SUBSTITUTE(SUBSTITUTE(SUBSTITUTE(BO420,"b","a"),"c","a"),"d","a"),"e","a"),"f","a"),"g","a"),"h","a"),"i","a"),"j","a"),"k","a"),"l","a"),"m","a"),"n","a"),"o","a"),"p","a"),"q","a"),"r","a"),"s","a"),"t","a"),"u","a"),"v","a"),"w","a"),"x","a"),"y","a"),"z","a")</f>
        <v/>
      </c>
      <c r="BQ420" s="61" t="n">
        <f aca="false">IFERROR(IF(AND(ISERROR(SEARCH(" mh"," "&amp;LOWER(W420))),ISNA(MATCH(LEFT(TRIM(BP420),255),{"0000a","000a","00a","0000aa","000aa","00aa","0aa","0000aaa","000aaa","00a00","0a00","0000-0000","00:00","a00","a0","00.00.0000","00/00/0000","00-00-0000","0000-00-00","0000/00/00","0000.00.00","00.00.00","00/00/00","00-00-00","0.00.0000","0/00/0000","0-00-0000"},0)),ISNA(MATCH(LEFT(TRIM(CA420),255),{"0000a","000a","00a","0000aa","000aa","00aa","0aa","0000aaa","000aaa","00a00","0a00","0000-0000","00:00","a00","a0","00.00.0000","00/00/0000","00-00-0000","0000-00-00","0000/00/00","0000.00.00","00.00.00","00/00/00","00-00-00","0.00.0000","0/00/0000","0-00-0000"},0)),LEN(CB420)&gt;=3,NOT(OR(SUBSTITUTE(CB420,"0","")="",AND(LEN(CB420)&gt;=4,CB420=REPT(LEFT(CB420),LEN(CB420))),ISNUMBER(MATCH(CB420,{"123","1234","12345","123456","1234567","12345678","0123","01234","012345","98765","987654","54321"},0)),AND(LEN(CB420)=8,LEFT(CB420,3)="202"))),OR(AND((LEN(CA420)-LEN(SUBSTITUTE(CA420,"a","")))&gt;=1,SUMPRODUCT(--ISNUMBER(SEARCH({"a0","a-0","a_0","a/0","a.0","a#0","0a","0-a","0_a","0/a"},BP420)))&gt;0),ISNUMBER(SEARCH("000000",BP420)))),1,0),0)</f>
        <v>0</v>
      </c>
      <c r="BR420" s="61" t="n">
        <f aca="false">IFERROR(LEN(SUBSTITUTE(CC420," ",""))-SUMPRODUCT((LEN(CC420)-LEN(SUBSTITUTE(CC420," "&amp;L_Role&amp;" "," ")))/(LEN(L_Role)+1)*LEN(L_Role)),0)</f>
        <v>0</v>
      </c>
      <c r="BS420" s="61" t="n">
        <f aca="false">IFERROR(LEN(SUBSTITUTE(CD420," ",""))-SUMPRODUCT((LEN(CD420)-LEN(SUBSTITUTE(CD420," "&amp;L_Role&amp;" "," ")))/(LEN(L_Role)+1)*LEN(L_Role)),0)</f>
        <v>0</v>
      </c>
      <c r="BT4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420,"revision",""),"version",""),"jan",""),"feb",""),"mar",""),"apr",""),"may",""),"jun",""),"jul",""),"aug",""),"sep",""),"oct",""),"nov",""),"dec",""),"utc",""),"gmt",""),"myt",""),"bst",""),"rev",""),"ver",""),"b","a"),"c","a"),"d","a"),"e","a"),"f","a"),"g","a"),"h","a"),"i","a"),"j","a"),"k","a"),"l","a"),"m","a"),"n","a"),"o","a"),"p","a"),"q","a"),"r","a"),"s","a"),"t","a"),"u","a"),"v","a"),"w","a"),"x","a"),"y","a"),"z","a")</f>
        <v/>
      </c>
      <c r="BU420" s="61" t="str">
        <f aca="false">SUBSTITUTE(SUBSTITUTE(SUBSTITUTE(SUBSTITUTE(SUBSTITUTE(SUBSTITUTE(SUBSTITUTE(SUBSTITUTE(SUBSTITUTE(SUBSTITUTE(LEFT(BM420,FIND("0",BM420&amp;"0")-1),"-",""),"_",""),"/",""),".",""),"#",""),"\\",""),":","")," ",""),"(",""),")","")</f>
        <v/>
      </c>
      <c r="BV420" s="61" t="n">
        <f aca="false">IFERROR(IF(OR(SUMPRODUCT((LEN(BC420)-LEN(SUBSTITUTE(BC420," "&amp;L_NotLoaded&amp;" "," ")))/(LEN(L_NotLoaded)+1))&gt;SUMPRODUCT((LEN(BC420)-LEN(SUBSTITUTE(BC420," "&amp;L_NotLoadedNeg&amp;" "," ")))/(LEN(L_NotLoadedNeg)+1)),SUMPRODUCT((LEN(BD420)-LEN(SUBSTITUTE(BD420," "&amp;L_NotLoaded&amp;" "," ")))/(LEN(L_NotLoaded)+1))&gt;SUMPRODUCT((LEN(BD420)-LEN(SUBSTITUTE(BD420," "&amp;L_NotLoadedNeg&amp;" "," ")))/(LEN(L_NotLoadedNeg)+1))),1,0),0)</f>
        <v>0</v>
      </c>
      <c r="BW4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420&amp;""),"a",""),"b",""),"c",""),"d",""),"e",""),"f",""),"g",""),"h",""),"i",""),"j",""),"k",""),"l",""),"m",""),"n",""),"o",""),"p",""),"q",""),"r",""),"s",""),"t",""),"u",""),"v",""),"w",""),"x",""),"y",""),"z",""),"-",""),"_",""),"/",""),".",""),"#",""),"\\",""),":","")," ",""),"(",""),")","")</f>
        <v/>
      </c>
      <c r="BX420" s="61" t="str">
        <f aca="false">SUBSTITUTE(SUBSTITUTE(SUBSTITUTE(SUBSTITUTE(SUBSTITUTE(SUBSTITUTE(SUBSTITUTE(SUBSTITUTE(SUBSTITUTE(SUBSTITUTE(SUBSTITUTE(BM420,"0",""),"-",""),"_",""),"/",""),".",""),"#",""),"\\",""),":","")," ",""),"(",""),")","")</f>
        <v/>
      </c>
      <c r="BY420" s="62" t="n">
        <f aca="false">IF(ISNUMBER(Flights!$AZ$16),MAX(Q420-UpliftWindowH/24,Flights!$AZ$16),Q420-UpliftWindowH/24)</f>
        <v>46307.3506944444</v>
      </c>
      <c r="BZ420" s="61" t="n">
        <f aca="false">IFERROR(IF(IF(TRIM(S420)="Link / file path",AND(LEN(TRIM(Z420))&gt;=5,SUMPRODUCT(--ISNUMBER(SEARCH({"http","www.","\\",":\",".pdf",".jpg",".jpeg",".png",".heic",".xls",".doc",".msg",".eml",".ppt",".txt",".zip"},Z420)))&gt;0),AND(ISERROR(FIND(" ",TRIM(Z420))),NOT(OR(SUMPRODUCT(--ISNUMBER(FIND({",",";","&amp;","+"},Z420)))&gt;0,SUMPRODUCT(--ISNUMBER(SEARCH({"0/aa","0\\aa"},BN420)))&gt;0)),NOT(SUMPRODUCT(--ISNUMBER(SEARCH({"http","www.","\\",":\",".pdf",".jpg",".jpeg",".png",".heic",".xls",".doc",".msg",".eml",".ppt",".txt",".zip"},Z420)))&gt;0),NOT(LOWER(TRIM(Z420))=LOWER(Flights!$F$16)),ISNA(MATCH(BU420,{"mh","rev","revision","ver","version","v","r","a","b","seat","tray","row","gate","bay","stand","page","pg","item","line","no","cart","galley","flight","flt","table","box","bag","oven","etd","eta","std","sta","atd","ata","qty","pax","x","time","tel","ph","mob","day","wk","week","utc","gmt","myt","lt"},0)),NOT(OR(ISNUMBER(MATCH(LEFT(BN420,255),{"0000a","000a","00a","0000aa","000aa","00aa","0aa","0000aaa","000aaa","00a00","0a00","0000-0000","00:00","a00","a0","00.00.0000","00/00/0000","00-00-0000","0000-00-00","0000/00/00","0000.00.00","00.00.00","00/00/00","00-00-00","0.00.0000","0/00/0000","0-00-0000"},0)),ISNUMBER(MATCH(LEFT(BT420,255),{"0000a","000a","00a","0000aa","000aa","00aa","0aa","0000aaa","000aaa","00a00","0a00","0000-0000","00:00","a00","a0","00.00.0000","00/00/0000","00-00-0000","0000-00-00","0000/00/00","0000.00.00","00.00.00","00/00/00","00-00-00","0.00.0000","0/00/0000","0-00-0000"},0)))),NOT(OR(AND(BW420&lt;&gt;"",SUBSTITUTE(BW420,"0","")=""),AND(LEN(BW420)&gt;=4,BW420=REPT(LEFT(BW420),LEN(BW420))),ISNUMBER(MATCH(BW420,{"123","1234","12345","123456","1234567","12345678","0123","01234","012345","98765","987654","54321"},0)),ISNUMBER(MATCH(BX420,{"x","xx","xxx","xxxx","xxxxx","abc","abcd","nil","na","nan","test","tbc","tba","tbd","dummy","sample","example","eg","zz","zzz","none","null","xyz","qwe","asd","id","ref"},0)),AND(LEN(BW420)=8,BX420="",OR(LEFT(BW420,3)="202",ISNUMBER(MATCH(RIGHT(BW420,4),{"2025","2026","2027"},0)))))),OR(AND((LEN(BT420)-LEN(SUBSTITUTE(BT420,"a","")))&gt;=1,(LEN(BN420)-LEN(SUBSTITUTE(BN420,"0","")))&gt;=2,SUMPRODUCT(--ISNUMBER(SEARCH({"a0","a-0","a_0","a/0","a.0","a#0","0a","0-a","0_a","0/a"},BN420)))&gt;0),AND((LEN(BN420)-LEN(SUBSTITUTE(BN420,"a","")))=0,(LEN(BN420)-LEN(SUBSTITUTE(BN420,"0","")))&gt;=5)))),1,0),0)</f>
        <v>0</v>
      </c>
      <c r="CA4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420,"revision",""),"version",""),"jan",""),"feb",""),"mar",""),"apr",""),"may",""),"jun",""),"jul",""),"aug",""),"sep",""),"oct",""),"nov",""),"dec",""),"utc",""),"gmt",""),"myt",""),"bst",""),"rev",""),"ver",""),"b","a"),"c","a"),"d","a"),"e","a"),"f","a"),"g","a"),"h","a"),"i","a"),"j","a"),"k","a"),"l","a"),"m","a"),"n","a"),"o","a"),"p","a"),"q","a"),"r","a"),"s","a"),"t","a"),"u","a"),"v","a"),"w","a"),"x","a"),"y","a"),"z","a")</f>
        <v/>
      </c>
      <c r="CB4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420&amp;""),"a",""),"b",""),"c",""),"d",""),"e",""),"f",""),"g",""),"h",""),"i",""),"j",""),"k",""),"l",""),"m",""),"n",""),"o",""),"p",""),"q",""),"r",""),"s",""),"t",""),"u",""),"v",""),"w",""),"x",""),"y",""),"z",""),"-",""),"_",""),"/",""),".",""),"#",""),"\\",""),":","")," ",""),"(",""),")","")</f>
        <v/>
      </c>
      <c r="CC420" s="0" t="str">
        <f aca="false">" "&amp;TRIM(SUBSTITUTE(SUBSTITUTE(SUBSTITUTE(SUBSTITUTE(SUBSTITUTE(SUBSTITUTE(SUBSTITUTE(SUBSTITUTE(SUBSTITUTE(SUBSTITUTE(SUBSTITUTE(SUBSTITUTE(SUBSTITUTE(SUBSTITUTE(SUBSTITUTE(SUBSTITUTE(SUBSTITUTE(SUBSTITUTE(SUBSTITUTE(SUBSTITUTE(SUBSTITUTE(SUBSTITUTE(SUBSTITUTE(SUBSTITUTE(LOWER(T420&amp;""),CHAR(10)," "),CHAR(13)," "),CHAR(9)," "),CHAR(160)," "),"."," "),","," "),"-"," "),"/"," "),"("," "),")"," "),":"," "),";"," "),"_"," "),"–"," "),"?"," "),"!"," "),"*"," "),"["," "),"]"," "),"'"," "),"#"," "),"+"," "),"&amp;"," "),"\"," "))&amp;" "</f>
        <v>  </v>
      </c>
      <c r="CD420" s="0" t="str">
        <f aca="false">" "&amp;TRIM(SUBSTITUTE(SUBSTITUTE(SUBSTITUTE(SUBSTITUTE(SUBSTITUTE(SUBSTITUTE(SUBSTITUTE(SUBSTITUTE(SUBSTITUTE(SUBSTITUTE(SUBSTITUTE(SUBSTITUTE(SUBSTITUTE(SUBSTITUTE(SUBSTITUTE(SUBSTITUTE(SUBSTITUTE(SUBSTITUTE(SUBSTITUTE(SUBSTITUTE(SUBSTITUTE(SUBSTITUTE(SUBSTITUTE(SUBSTITUTE(LOWER(AE420&amp;""),CHAR(10)," "),CHAR(13)," "),CHAR(9)," "),CHAR(160)," "),"."," "),","," "),"-"," "),"/"," "),"("," "),")"," "),":"," "),";"," "),"_"," "),"–"," "),"?"," "),"!"," "),"*"," "),"["," "),"]"," "),"'"," "),"#"," "),"+"," "),"&amp;"," "),"\"," "))&amp;" "</f>
        <v>  </v>
      </c>
      <c r="CE420" s="68" t="n">
        <f aca="false">IFERROR(IF(AND(LEN(AU420)&gt;0,LEN(AU420)=LEN(AX420),OR(TRIM(MID(SUBSTITUTE(TRIM(CC420)," ",REPT(" ",60)),1,60))="",ISNUMBER(SEARCH(" "&amp;TRIM(MID(SUBSTITUTE(TRIM(CC420)," ",REPT(" ",60)),1,60))&amp;" ",CD420))),OR(TRIM(MID(SUBSTITUTE(TRIM(CC420)," ",REPT(" ",60)),61,60))="",ISNUMBER(SEARCH(" "&amp;TRIM(MID(SUBSTITUTE(TRIM(CC420)," ",REPT(" ",60)),61,60))&amp;" ",CD420))),OR(TRIM(MID(SUBSTITUTE(TRIM(CC420)," ",REPT(" ",60)),121,60))="",ISNUMBER(SEARCH(" "&amp;TRIM(MID(SUBSTITUTE(TRIM(CC420)," ",REPT(" ",60)),121,60))&amp;" ",CD420)))),1,0),0)</f>
        <v>0</v>
      </c>
      <c r="CG420" s="68" t="n">
        <f aca="false">IFERROR(LEN(SUBSTITUTE(BF420," ",""))-SUMPRODUCT((LEN(BF420)-LEN(SUBSTITUTE(BF420," "&amp;L_NAFiller&amp;" "," ")))/(LEN(L_NAFiller)+1)*LEN(L_NAFiller)),0)</f>
        <v>0</v>
      </c>
    </row>
    <row r="421" customFormat="false" ht="39.75" hidden="false" customHeight="true" outlineLevel="0" collapsed="false">
      <c r="A421" s="57" t="s">
        <v>1053</v>
      </c>
      <c r="B421" s="57" t="s">
        <v>261</v>
      </c>
      <c r="C421" s="57" t="str">
        <f aca="false">Flights!$F$16</f>
        <v>MH0139</v>
      </c>
      <c r="D421" s="58" t="n">
        <f aca="false">Flights!$D$16</f>
        <v>46307</v>
      </c>
      <c r="E421" s="57" t="str">
        <f aca="false">Flights!$G$16&amp;"-"&amp;Flights!$H$16</f>
        <v>KUL-ADL</v>
      </c>
      <c r="F421" s="57" t="str">
        <f aca="false">Flights!$K$16</f>
        <v>BC</v>
      </c>
      <c r="G421" s="57" t="s">
        <v>459</v>
      </c>
      <c r="H421" s="57" t="s">
        <v>460</v>
      </c>
      <c r="I421" s="57" t="s">
        <v>499</v>
      </c>
      <c r="J421" s="57" t="s">
        <v>551</v>
      </c>
      <c r="K421" s="67" t="s">
        <v>501</v>
      </c>
      <c r="L421" s="67" t="s">
        <v>1030</v>
      </c>
      <c r="M421" s="67" t="s">
        <v>451</v>
      </c>
      <c r="N421" s="67" t="s">
        <v>383</v>
      </c>
      <c r="O421" s="67"/>
      <c r="P421" s="57" t="s">
        <v>187</v>
      </c>
      <c r="Q421" s="59" t="n">
        <f aca="false">ROUND((Flights!$AF$16)*1440,0)/1440</f>
        <v>46307.6006944444</v>
      </c>
      <c r="R421" s="59" t="n">
        <f aca="false">Q421+(IF(AND(INDEX(TZ_DSTS,MATCH(P421,TZ_STN,0))&lt;&gt;"",Q421&gt;=INDEX(TZ_DSTS,MATCH(P421,TZ_STN,0)),Q421&lt;INDEX(TZ_DSTE,MATCH(P421,TZ_STN,0))),INDEX(TZ_DST,MATCH(P421,TZ_STN,0)),INDEX(TZ_STD,MATCH(P421,TZ_STN,0))))/24</f>
        <v>46307.9340277778</v>
      </c>
      <c r="S421" s="60"/>
      <c r="T421" s="60"/>
      <c r="U421" s="60"/>
      <c r="V421" s="60"/>
      <c r="W421" s="61"/>
      <c r="X421" s="60"/>
      <c r="Y421" s="60"/>
      <c r="Z421" s="60"/>
      <c r="AA421" s="60"/>
      <c r="AB421" s="60"/>
      <c r="AC421" s="60"/>
      <c r="AD421" s="66"/>
      <c r="AE421" s="60"/>
      <c r="AF421" s="61" t="str">
        <f aca="false">IF(AND(ISNUMBER(X421),ISNUMBER(Y421)),Y421-X421,"")</f>
        <v/>
      </c>
      <c r="AG421" s="62" t="str">
        <f aca="false">IF(ISNUMBER(AD421),AD421-(IF(AND(INDEX(TZ_DSTS,MATCH(P421,TZ_STN,0))&lt;&gt;"",(AD421-INDEX(TZ_STD,MATCH(P421,TZ_STN,0))/24)&gt;=INDEX(TZ_DSTS,MATCH(P421,TZ_STN,0)),(AD421-INDEX(TZ_STD,MATCH(P421,TZ_STN,0))/24)&lt;INDEX(TZ_DSTE,MATCH(P421,TZ_STN,0))),INDEX(TZ_DST,MATCH(P421,TZ_STN,0)),INDEX(TZ_STD,MATCH(P421,TZ_STN,0))))/24,"")</f>
        <v/>
      </c>
      <c r="AH421" s="65" t="str">
        <f aca="false">IFERROR(IF(N421="N/A – rule",IF(OR(TRIM(U421)="",TRIM(U421)="N/A",TRIM(U421)="Not started"),"N/A – RULE","INVALID – this check does not apply to this aircraft: clear the status (or correct the fleet on Flights)"),IF(TRIM(U421)="N/A",IF(AT421=0,"INVALID – N/A not permitted for this check",IF(AND(TRIM(AB421)&lt;&gt;"",TRIM(AB421)&lt;&gt;"Closed"),"INVALID – corrective action still open",IF(AND(NOT(OR(LEN(AZ421)&lt;15,ISNUMBER(MATCH(AZ421,L_Placeholder,0)))),BK421=0,CG421&gt;=8,NOT(OR(LEN(AU421)&lt;2,ISNUMBER(MATCH(AU421,L_Placeholder,0)))),BR421&gt;=3,NOT(OR(LEN(AX421)&lt;2,ISNUMBER(MATCH(AX421,L_Placeholder,0)))),BS421&gt;=3,TRIM(AE421)&lt;&gt;TRIM(T421),AX421&lt;&gt;AU421,CE421=0),"N/A – JUSTIFIED","INVALID – N/A needs a real, settled reason (not 'not applicable' / 'as above' / TBC), a named PIC and a different named verifier"))),IF(OR(TRIM(U421)="Pass",TRIM(U421)="Pass after CA"),IF(NOT(ISNUMBER(AD421)),"INVALID – completion time missing",IF(OR(OR(LEN(AU421)&lt;2,ISNUMBER(MATCH(AU421,L_Placeholder,0))),BR421&lt;3),"INVALID – PIC missing or not a named person (a role such as QA / CSM is not a name)",IF(OR(LEN(AV421)&lt;2,ISNUMBER(MATCH(AV421,L_Placeholder,0))),"INVALID – result / assessment missing",IF(OR(OR(LEN(AW421)&lt;3,ISNUMBER(MATCH(AW421,L_Placeholder,0))),SUMPRODUCT(--ISNUMBER(SEARCH(" "&amp;L_EvidencePhrase&amp;" ",BD421)))&gt;0,BI421=1),"INVALID – evidence missing, placeholder or not yet on file",IF(ISNA(MATCH(TRIM(S421),L_EvidenceType,0)),"INVALID – choose the evidence type from the list (column S)",IF(BL421=0,"INVALID – evidence ID must be the record's own ID only (e.g. SF-2210, IMG_2231, 1045521); a link / file name needs type 'Link / file path'",IF(OR(OR(LEN(AX421)&lt;2,ISNUMBER(MATCH(AX421,L_Placeholder,0))),BS421&lt;3),"INVALID – verifier missing or not a named person (a role such as QA / CSM is not a name)",IF(OR(AX421=AU421,CE421=1,AND(LEN(AU421)&gt;=4,ISNUMBER(SEARCH(AU421,AX421))),AND(LEN(AX421)&gt;=4,ISNUMBER(SEARCH(AX421,AU421)))),"INVALID – verifier must be a different, named person (not the PIC or a role)",IF(BH421=1,"INVALID – result not yet available (awaiting / TBC)",IF(BG421=1,"INVALID – result describes a problem: record Fail, then Pass after CA (or reword if it is not a problem)",IF(BV421=1,"INVALID – wording says not on board: an on-board confirmation needs the item loaded",IF(AND(AQ421=1,OR(OR(LEN(AY421)&lt;3,ISNUMBER(MATCH(AY421,L_Placeholder,0))),BJ421=1,BQ421=0)),"INVALID – batch ID missing, placeholder or not an ID (e.g. PASB-261008-BC-017)",IF(AND(AR421=1,OR(NOT(ISNUMBER(X421)),NOT(ISNUMBER(Y421)))),"INVALID – expected/actual qty missing",IF(AND(AR421=1,OR(X421&lt;=0,Y421&lt;0)),"INVALID – expected qty must be above 0 and actual not negative",IF(AH405="N/A – JUSTIFIED","INVALID – preparation row F12-T12-16 is N/A",IF(AND(AR421=1,ISNUMBER(X405),X421&lt;&gt;X405,TRIM(U421)&lt;&gt;"Pass after CA"),"INVALID – expected qty differs from preparation check F12-T12-16: record the load change as a corrective action (Pass after CA)",IF(BB421&lt;&gt;"",BB421,IF(AND(AS421=1,Documents!$J$16&lt;&gt;"ON FILE"),"INVALID – GLD not on file (Documents sheet)",IF(AND(AS421=2,Documents!$O$16&lt;&gt;"ON FILE"),"INVALID – menu checklist not on file (Documents sheet)",IF(AND(AS421=3,NOT(ISNUMBER(Flights!$AX$16))),"INVALID – enter carrying flight KUL departure (Flights AX)",IF(AND(AS421=3,OR(Flights!$AZ$16&gt;Flights!$AA$16,Flights!$AX$16&lt;Flights!$AA$16-3)),"INVALID – carrying flight (Flights AX) cannot arrive before this leg's STD, or is over 3 days early",IF(AG421&gt;AsOfUTC,"INVALID – completion time is in the future",IF(AND(ISNUMBER(BY421),AG421&lt;BY421),IF(H421="Physical uplift","INVALID – before uplift window (cannot confirm loading)","INVALID – before valid window"),IF(AG421&gt;Flights!$AA$16,"INVALID – completed after departure (cannot establish readiness)",IF(AND(H421="Preparation",AG421&gt;=IF(ISNUMBER(Flights!$BA$16),MIN(Flights!$BA$16,Flights!$AA$16),Flights!$AA$16)),"INVALID – completed after loading / departure (cannot establish readiness)",IF(AND(H421="Physical uplift",AG421&gt;Q421),"INVALID – recorded after the loading flight departed",IF(AG421&gt;Q421,"COMPLETE – LATE","COMPLETE"))))))))))))))))))))))))))),IF(TRIM(U421)="Fail","FAIL – DISCREPANCY",IF(AND(TRIM(U421)&lt;&gt;"",TRIM(U421)&lt;&gt;"Not started",TRIM(U421)&lt;&gt;"In progress"),"INVALID – unrecognised status (use the list)",IF(AsOfUTC&gt;Q421,"OVERDUE",IF(N421="Clarification required","OPEN – CLARIFICATION","OPEN"))))))),"INVALID – error value in an input cell")</f>
        <v>OPEN</v>
      </c>
      <c r="AI421" s="61" t="n">
        <f aca="false">IF(OR(AH421="N/A – RULE",AH421="N/A – JUSTIFIED"),0,1)</f>
        <v>1</v>
      </c>
      <c r="AJ421" s="61" t="n">
        <f aca="false">IF(LEFT(AH421,8)="COMPLETE",1,0)</f>
        <v>0</v>
      </c>
      <c r="AK421" s="61" t="n">
        <f aca="false">IF(AND(AI421=1,AJ421=0,AsOfUTC&gt;Q421),1,0)</f>
        <v>0</v>
      </c>
      <c r="AL421" s="61" t="n">
        <f aca="false">IFERROR(IF(AND(AI421=1,OR(TRIM(U421)="Fail",AND(TRIM(AB421)&lt;&gt;"",TRIM(AB421)&lt;&gt;"Closed"),AND(ISNUMBER(AF421),AF421&lt;&gt;0,TRIM(U421)&lt;&gt;"Pass after CA"))),1,0),1)</f>
        <v>0</v>
      </c>
      <c r="AM421" s="61" t="n">
        <f aca="false">IF(LEFT(AH421,7)="INVALID",1,0)</f>
        <v>0</v>
      </c>
      <c r="AN421" s="61" t="n">
        <f aca="false">IF(AND(N421="Clarification required",AI421=1,AJ421=0),1,0)</f>
        <v>0</v>
      </c>
      <c r="AO421" s="61" t="str">
        <f aca="false">IF(AK421=1,SUM(AK$5:AK421),"")</f>
        <v/>
      </c>
      <c r="AP421" s="61" t="str">
        <f aca="false">IF(AL421=1,SUM(AL$5:AL421),"")</f>
        <v/>
      </c>
      <c r="AQ421" s="61" t="n">
        <v>0</v>
      </c>
      <c r="AR421" s="61" t="n">
        <v>0</v>
      </c>
      <c r="AS421" s="61" t="n">
        <v>0</v>
      </c>
      <c r="AT421" s="61" t="n">
        <v>0</v>
      </c>
      <c r="AU421" s="61" t="str">
        <f aca="false">SUBSTITUTE(SUBSTITUTE(SUBSTITUTE(SUBSTITUTE(SUBSTITUTE(SUBSTITUTE(SUBSTITUTE(SUBSTITUTE(SUBSTITUTE(SUBSTITUTE(SUBSTITUTE(SUBSTITUTE(SUBSTITUTE(SUBSTITUTE(SUBSTITUTE(SUBSTITUTE(LOWER(T421&amp;""),CHAR(10),""),CHAR(13),""),CHAR(9),""),CHAR(160),"")," ",""),".",""),"-",""),"/",""),"?",""),"_",""),",",""),"[",""),"]",""),"(",""),")",""),"*","")</f>
        <v/>
      </c>
      <c r="AV421" s="61" t="str">
        <f aca="false">SUBSTITUTE(SUBSTITUTE(SUBSTITUTE(SUBSTITUTE(SUBSTITUTE(SUBSTITUTE(SUBSTITUTE(SUBSTITUTE(SUBSTITUTE(SUBSTITUTE(SUBSTITUTE(SUBSTITUTE(SUBSTITUTE(SUBSTITUTE(SUBSTITUTE(SUBSTITUTE(LOWER(V421&amp;""),CHAR(10),""),CHAR(13),""),CHAR(9),""),CHAR(160),"")," ",""),".",""),"-",""),"/",""),"?",""),"_",""),",",""),"[",""),"]",""),"(",""),")",""),"*","")</f>
        <v/>
      </c>
      <c r="AW421" s="61" t="str">
        <f aca="false">SUBSTITUTE(SUBSTITUTE(SUBSTITUTE(SUBSTITUTE(SUBSTITUTE(SUBSTITUTE(SUBSTITUTE(SUBSTITUTE(SUBSTITUTE(SUBSTITUTE(SUBSTITUTE(SUBSTITUTE(SUBSTITUTE(SUBSTITUTE(SUBSTITUTE(SUBSTITUTE(LOWER(Z421&amp;""),CHAR(10),""),CHAR(13),""),CHAR(9),""),CHAR(160),"")," ",""),".",""),"-",""),"/",""),"?",""),"_",""),",",""),"[",""),"]",""),"(",""),")",""),"*","")</f>
        <v/>
      </c>
      <c r="AX421" s="61" t="str">
        <f aca="false">SUBSTITUTE(SUBSTITUTE(SUBSTITUTE(SUBSTITUTE(SUBSTITUTE(SUBSTITUTE(SUBSTITUTE(SUBSTITUTE(SUBSTITUTE(SUBSTITUTE(SUBSTITUTE(SUBSTITUTE(SUBSTITUTE(SUBSTITUTE(SUBSTITUTE(SUBSTITUTE(LOWER(AE421&amp;""),CHAR(10),""),CHAR(13),""),CHAR(9),""),CHAR(160),"")," ",""),".",""),"-",""),"/",""),"?",""),"_",""),",",""),"[",""),"]",""),"(",""),")",""),"*","")</f>
        <v/>
      </c>
      <c r="AY421" s="61" t="str">
        <f aca="false">SUBSTITUTE(SUBSTITUTE(SUBSTITUTE(SUBSTITUTE(SUBSTITUTE(SUBSTITUTE(SUBSTITUTE(SUBSTITUTE(SUBSTITUTE(SUBSTITUTE(SUBSTITUTE(SUBSTITUTE(SUBSTITUTE(SUBSTITUTE(SUBSTITUTE(SUBSTITUTE(LOWER(W421&amp;""),CHAR(10),""),CHAR(13),""),CHAR(9),""),CHAR(160),"")," ",""),".",""),"-",""),"/",""),"?",""),"_",""),",",""),"[",""),"]",""),"(",""),")",""),"*","")</f>
        <v/>
      </c>
      <c r="AZ421" s="61" t="str">
        <f aca="false">SUBSTITUTE(SUBSTITUTE(SUBSTITUTE(SUBSTITUTE(SUBSTITUTE(SUBSTITUTE(SUBSTITUTE(SUBSTITUTE(SUBSTITUTE(SUBSTITUTE(SUBSTITUTE(SUBSTITUTE(SUBSTITUTE(SUBSTITUTE(SUBSTITUTE(SUBSTITUTE(LOWER(AC421&amp;""),CHAR(10),""),CHAR(13),""),CHAR(9),""),CHAR(160),"")," ",""),".",""),"-",""),"/",""),"?",""),"_",""),",",""),"[",""),"]",""),"(",""),")",""),"*","")</f>
        <v/>
      </c>
      <c r="BA421" s="61" t="str">
        <f aca="false">SUBSTITUTE(SUBSTITUTE(SUBSTITUTE(SUBSTITUTE(SUBSTITUTE(SUBSTITUTE(SUBSTITUTE(SUBSTITUTE(SUBSTITUTE(SUBSTITUTE(SUBSTITUTE(SUBSTITUTE(SUBSTITUTE(SUBSTITUTE(SUBSTITUTE(SUBSTITUTE(LOWER(AA421&amp;""),CHAR(10),""),CHAR(13),""),CHAR(9),""),CHAR(160),"")," ",""),".",""),"-",""),"/",""),"?",""),"_",""),",",""),"[",""),"]",""),"(",""),")",""),"*","")</f>
        <v/>
      </c>
      <c r="BB421" s="61" t="str">
        <f aca="false">IF(AND(TRIM(U421)="Pass",ISNUMBER(AF421)),IF(AF421&lt;&gt;0,"INVALID – qty variance: use Fail or Pass after CA",""),"")&amp;IF(AND(TRIM(U421)="Pass after CA",ISNUMBER(AF421)),IF(AF421&lt;&gt;0,"INVALID – after the corrective action the actual qty must equal expected (update Actual)",""),"")&amp;IF(AND(TRIM(U421)="Pass",TRIM(AB421)&lt;&gt;"",TRIM(AB421)&lt;&gt;"Closed"),"INVALID – corrective action not closed: use Fail, then Pass after CA","")&amp;IF(AND(LEN(BA421)&gt;=2,ISNA(MATCH(LEFT(BA421,255),L_Placeholder,0)),TRIM(AB421)=""),"INVALID – CA status missing for the recorded corrective action","")&amp;IF(AND(TRIM(U421)="Pass after CA",OR(OR(LEN(BA421)&lt;5,ISNUMBER(MATCH(BA421,L_Placeholder,0))),TRIM(AB421)&lt;&gt;"Closed")),"INVALID – corrective action not recorded/closed","")</f>
        <v/>
      </c>
      <c r="BC421" s="61" t="str">
        <f aca="false">" "&amp;TRIM(SUBSTITUTE(SUBSTITUTE(SUBSTITUTE(SUBSTITUTE(SUBSTITUTE(SUBSTITUTE(SUBSTITUTE(SUBSTITUTE(SUBSTITUTE(SUBSTITUTE(SUBSTITUTE(SUBSTITUTE(SUBSTITUTE(SUBSTITUTE(SUBSTITUTE(SUBSTITUTE(SUBSTITUTE(SUBSTITUTE(SUBSTITUTE(SUBSTITUTE(SUBSTITUTE(SUBSTITUTE(SUBSTITUTE(SUBSTITUTE(LOWER(V421&amp;""),CHAR(10)," "),CHAR(13)," "),CHAR(9)," "),CHAR(160)," "),"."," "),","," "),"-"," "),"/"," "),"("," "),")"," "),":"," "),";"," "),"_"," "),"–"," "),"?"," "),"!"," "),"*"," "),"["," "),"]"," "),"'"," "),"#"," "),"+"," "),"&amp;"," "),"\"," "))&amp;" "</f>
        <v>  </v>
      </c>
      <c r="BD421" s="61" t="str">
        <f aca="false">" "&amp;TRIM(SUBSTITUTE(SUBSTITUTE(SUBSTITUTE(SUBSTITUTE(SUBSTITUTE(SUBSTITUTE(SUBSTITUTE(SUBSTITUTE(SUBSTITUTE(SUBSTITUTE(SUBSTITUTE(SUBSTITUTE(SUBSTITUTE(SUBSTITUTE(SUBSTITUTE(SUBSTITUTE(SUBSTITUTE(SUBSTITUTE(SUBSTITUTE(SUBSTITUTE(SUBSTITUTE(SUBSTITUTE(SUBSTITUTE(SUBSTITUTE(LOWER(Z421&amp;""),CHAR(10)," "),CHAR(13)," "),CHAR(9)," "),CHAR(160)," "),"."," "),","," "),"-"," "),"/"," "),"("," "),")"," "),":"," "),";"," "),"_"," "),"–"," "),"?"," "),"!"," "),"*"," "),"["," "),"]"," "),"'"," "),"#"," "),"+"," "),"&amp;"," "),"\"," "))&amp;" "</f>
        <v>  </v>
      </c>
      <c r="BE421" s="61" t="str">
        <f aca="false">" "&amp;TRIM(SUBSTITUTE(SUBSTITUTE(SUBSTITUTE(SUBSTITUTE(SUBSTITUTE(SUBSTITUTE(SUBSTITUTE(SUBSTITUTE(SUBSTITUTE(SUBSTITUTE(SUBSTITUTE(SUBSTITUTE(SUBSTITUTE(SUBSTITUTE(SUBSTITUTE(SUBSTITUTE(SUBSTITUTE(SUBSTITUTE(SUBSTITUTE(SUBSTITUTE(SUBSTITUTE(SUBSTITUTE(SUBSTITUTE(SUBSTITUTE(LOWER(W421&amp;""),CHAR(10)," "),CHAR(13)," "),CHAR(9)," "),CHAR(160)," "),"."," "),","," "),"-"," "),"/"," "),"("," "),")"," "),":"," "),";"," "),"_"," "),"–"," "),"?"," "),"!"," "),"*"," "),"["," "),"]"," "),"'"," "),"#"," "),"+"," "),"&amp;"," "),"\"," "))&amp;" "</f>
        <v>  </v>
      </c>
      <c r="BF421" s="61" t="str">
        <f aca="false">" "&amp;TRIM(SUBSTITUTE(SUBSTITUTE(SUBSTITUTE(SUBSTITUTE(SUBSTITUTE(SUBSTITUTE(SUBSTITUTE(SUBSTITUTE(SUBSTITUTE(SUBSTITUTE(SUBSTITUTE(SUBSTITUTE(SUBSTITUTE(SUBSTITUTE(SUBSTITUTE(SUBSTITUTE(SUBSTITUTE(SUBSTITUTE(SUBSTITUTE(SUBSTITUTE(SUBSTITUTE(SUBSTITUTE(SUBSTITUTE(SUBSTITUTE(LOWER(AC421&amp;""),CHAR(10)," "),CHAR(13)," "),CHAR(9)," "),CHAR(160)," "),"."," "),","," "),"-"," "),"/"," "),"("," "),")"," "),":"," "),";"," "),"_"," "),"–"," "),"?"," "),"!"," "),"*"," "),"["," "),"]"," "),"'"," "),"#"," "),"+"," "),"&amp;"," "),"\"," "))&amp;" "</f>
        <v>  </v>
      </c>
      <c r="BG421" s="61" t="n">
        <f aca="false">IFERROR(IF(AND(TRIM(U421)="Pass",SUMPRODUCT((LEN(BC421)-LEN(SUBSTITUTE(BC421," "&amp;L_ResultBad&amp;" "," ")))/(LEN(L_ResultBad)+1))&gt;SUMPRODUCT((LEN(BC421)-LEN(SUBSTITUTE(BC421," "&amp;L_NegPhrase&amp;" "," ")))/(LEN(L_NegPhrase)+1))),1,0),0)</f>
        <v>0</v>
      </c>
      <c r="BH421" s="61" t="n">
        <f aca="false">IFERROR(IF(SUMPRODUCT((LEN(BC421)-LEN(SUBSTITUTE(BC421," "&amp;L_Pending&amp;" "," ")))/(LEN(L_Pending)+1))&gt;SUMPRODUCT((LEN(BC421)-LEN(SUBSTITUTE(BC421," "&amp;L_PendNeg&amp;" "," ")))/(LEN(L_PendNeg)+1)),1,0),1)</f>
        <v>0</v>
      </c>
      <c r="BI421" s="61" t="n">
        <f aca="false">IFERROR(IF(SUMPRODUCT((LEN(BD421)-LEN(SUBSTITUTE(BD421," "&amp;L_PendStrict&amp;" "," ")))/(LEN(L_PendStrict)+1))&gt;SUMPRODUCT((LEN(BD421)-LEN(SUBSTITUTE(BD421," "&amp;L_PendNeg&amp;" "," ")))/(LEN(L_PendNeg)+1)),1,0),1)</f>
        <v>0</v>
      </c>
      <c r="BJ421" s="61" t="n">
        <f aca="false">IFERROR(IF(SUMPRODUCT((LEN(BE421)-LEN(SUBSTITUTE(BE421," "&amp;L_Pending&amp;" "," ")))/(LEN(L_Pending)+1))&gt;SUMPRODUCT((LEN(BE421)-LEN(SUBSTITUTE(BE421," "&amp;L_PendNeg&amp;" "," ")))/(LEN(L_PendNeg)+1)),1,0),1)</f>
        <v>0</v>
      </c>
      <c r="BK421" s="61" t="n">
        <f aca="false">IFERROR(IF(SUMPRODUCT((LEN(BF421)-LEN(SUBSTITUTE(BF421," "&amp;L_PendStrict&amp;" "," ")))/(LEN(L_PendStrict)+1))&gt;SUMPRODUCT((LEN(BF421)-LEN(SUBSTITUTE(BF421," "&amp;L_PendNeg&amp;" "," ")))/(LEN(L_PendNeg)+1)),1,0),1)</f>
        <v>0</v>
      </c>
      <c r="BL421" s="61" t="n">
        <f aca="false">IF(ISNA(MATCH(TRIM(S421),L_EvidenceType,0)),0,BZ421)</f>
        <v>0</v>
      </c>
      <c r="BM421" s="61" t="str">
        <f aca="false">SUBSTITUTE(SUBSTITUTE(SUBSTITUTE(SUBSTITUTE(SUBSTITUTE(SUBSTITUTE(SUBSTITUTE(SUBSTITUTE(SUBSTITUTE(LOWER(Z421&amp;""),"1","0"),"2","0"),"3","0"),"4","0"),"5","0"),"6","0"),"7","0"),"8","0"),"9","0")</f>
        <v/>
      </c>
      <c r="BN421" s="61" t="str">
        <f aca="false">SUBSTITUTE(SUBSTITUTE(SUBSTITUTE(SUBSTITUTE(SUBSTITUTE(SUBSTITUTE(SUBSTITUTE(SUBSTITUTE(SUBSTITUTE(SUBSTITUTE(SUBSTITUTE(SUBSTITUTE(SUBSTITUTE(SUBSTITUTE(SUBSTITUTE(SUBSTITUTE(SUBSTITUTE(SUBSTITUTE(SUBSTITUTE(SUBSTITUTE(SUBSTITUTE(SUBSTITUTE(SUBSTITUTE(SUBSTITUTE(SUBSTITUTE(BM421,"b","a"),"c","a"),"d","a"),"e","a"),"f","a"),"g","a"),"h","a"),"i","a"),"j","a"),"k","a"),"l","a"),"m","a"),"n","a"),"o","a"),"p","a"),"q","a"),"r","a"),"s","a"),"t","a"),"u","a"),"v","a"),"w","a"),"x","a"),"y","a"),"z","a")</f>
        <v/>
      </c>
      <c r="BO421" s="61" t="str">
        <f aca="false">SUBSTITUTE(SUBSTITUTE(SUBSTITUTE(SUBSTITUTE(SUBSTITUTE(SUBSTITUTE(SUBSTITUTE(SUBSTITUTE(SUBSTITUTE(LOWER(W421&amp;""),"1","0"),"2","0"),"3","0"),"4","0"),"5","0"),"6","0"),"7","0"),"8","0"),"9","0")</f>
        <v/>
      </c>
      <c r="BP421" s="61" t="str">
        <f aca="false">SUBSTITUTE(SUBSTITUTE(SUBSTITUTE(SUBSTITUTE(SUBSTITUTE(SUBSTITUTE(SUBSTITUTE(SUBSTITUTE(SUBSTITUTE(SUBSTITUTE(SUBSTITUTE(SUBSTITUTE(SUBSTITUTE(SUBSTITUTE(SUBSTITUTE(SUBSTITUTE(SUBSTITUTE(SUBSTITUTE(SUBSTITUTE(SUBSTITUTE(SUBSTITUTE(SUBSTITUTE(SUBSTITUTE(SUBSTITUTE(SUBSTITUTE(BO421,"b","a"),"c","a"),"d","a"),"e","a"),"f","a"),"g","a"),"h","a"),"i","a"),"j","a"),"k","a"),"l","a"),"m","a"),"n","a"),"o","a"),"p","a"),"q","a"),"r","a"),"s","a"),"t","a"),"u","a"),"v","a"),"w","a"),"x","a"),"y","a"),"z","a")</f>
        <v/>
      </c>
      <c r="BQ421" s="61" t="n">
        <f aca="false">IFERROR(IF(AND(ISERROR(SEARCH(" mh"," "&amp;LOWER(W421))),ISNA(MATCH(LEFT(TRIM(BP421),255),{"0000a","000a","00a","0000aa","000aa","00aa","0aa","0000aaa","000aaa","00a00","0a00","0000-0000","00:00","a00","a0","00.00.0000","00/00/0000","00-00-0000","0000-00-00","0000/00/00","0000.00.00","00.00.00","00/00/00","00-00-00","0.00.0000","0/00/0000","0-00-0000"},0)),ISNA(MATCH(LEFT(TRIM(CA421),255),{"0000a","000a","00a","0000aa","000aa","00aa","0aa","0000aaa","000aaa","00a00","0a00","0000-0000","00:00","a00","a0","00.00.0000","00/00/0000","00-00-0000","0000-00-00","0000/00/00","0000.00.00","00.00.00","00/00/00","00-00-00","0.00.0000","0/00/0000","0-00-0000"},0)),LEN(CB421)&gt;=3,NOT(OR(SUBSTITUTE(CB421,"0","")="",AND(LEN(CB421)&gt;=4,CB421=REPT(LEFT(CB421),LEN(CB421))),ISNUMBER(MATCH(CB421,{"123","1234","12345","123456","1234567","12345678","0123","01234","012345","98765","987654","54321"},0)),AND(LEN(CB421)=8,LEFT(CB421,3)="202"))),OR(AND((LEN(CA421)-LEN(SUBSTITUTE(CA421,"a","")))&gt;=1,SUMPRODUCT(--ISNUMBER(SEARCH({"a0","a-0","a_0","a/0","a.0","a#0","0a","0-a","0_a","0/a"},BP421)))&gt;0),ISNUMBER(SEARCH("000000",BP421)))),1,0),0)</f>
        <v>0</v>
      </c>
      <c r="BR421" s="61" t="n">
        <f aca="false">IFERROR(LEN(SUBSTITUTE(CC421," ",""))-SUMPRODUCT((LEN(CC421)-LEN(SUBSTITUTE(CC421," "&amp;L_Role&amp;" "," ")))/(LEN(L_Role)+1)*LEN(L_Role)),0)</f>
        <v>0</v>
      </c>
      <c r="BS421" s="61" t="n">
        <f aca="false">IFERROR(LEN(SUBSTITUTE(CD421," ",""))-SUMPRODUCT((LEN(CD421)-LEN(SUBSTITUTE(CD421," "&amp;L_Role&amp;" "," ")))/(LEN(L_Role)+1)*LEN(L_Role)),0)</f>
        <v>0</v>
      </c>
      <c r="BT4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421,"revision",""),"version",""),"jan",""),"feb",""),"mar",""),"apr",""),"may",""),"jun",""),"jul",""),"aug",""),"sep",""),"oct",""),"nov",""),"dec",""),"utc",""),"gmt",""),"myt",""),"bst",""),"rev",""),"ver",""),"b","a"),"c","a"),"d","a"),"e","a"),"f","a"),"g","a"),"h","a"),"i","a"),"j","a"),"k","a"),"l","a"),"m","a"),"n","a"),"o","a"),"p","a"),"q","a"),"r","a"),"s","a"),"t","a"),"u","a"),"v","a"),"w","a"),"x","a"),"y","a"),"z","a")</f>
        <v/>
      </c>
      <c r="BU421" s="61" t="str">
        <f aca="false">SUBSTITUTE(SUBSTITUTE(SUBSTITUTE(SUBSTITUTE(SUBSTITUTE(SUBSTITUTE(SUBSTITUTE(SUBSTITUTE(SUBSTITUTE(SUBSTITUTE(LEFT(BM421,FIND("0",BM421&amp;"0")-1),"-",""),"_",""),"/",""),".",""),"#",""),"\\",""),":","")," ",""),"(",""),")","")</f>
        <v/>
      </c>
      <c r="BV421" s="61" t="n">
        <f aca="false">IFERROR(IF(OR(SUMPRODUCT((LEN(BC421)-LEN(SUBSTITUTE(BC421," "&amp;L_NotLoaded&amp;" "," ")))/(LEN(L_NotLoaded)+1))&gt;SUMPRODUCT((LEN(BC421)-LEN(SUBSTITUTE(BC421," "&amp;L_NotLoadedNeg&amp;" "," ")))/(LEN(L_NotLoadedNeg)+1)),SUMPRODUCT((LEN(BD421)-LEN(SUBSTITUTE(BD421," "&amp;L_NotLoaded&amp;" "," ")))/(LEN(L_NotLoaded)+1))&gt;SUMPRODUCT((LEN(BD421)-LEN(SUBSTITUTE(BD421," "&amp;L_NotLoadedNeg&amp;" "," ")))/(LEN(L_NotLoadedNeg)+1))),1,0),0)</f>
        <v>0</v>
      </c>
      <c r="BW4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421&amp;""),"a",""),"b",""),"c",""),"d",""),"e",""),"f",""),"g",""),"h",""),"i",""),"j",""),"k",""),"l",""),"m",""),"n",""),"o",""),"p",""),"q",""),"r",""),"s",""),"t",""),"u",""),"v",""),"w",""),"x",""),"y",""),"z",""),"-",""),"_",""),"/",""),".",""),"#",""),"\\",""),":","")," ",""),"(",""),")","")</f>
        <v/>
      </c>
      <c r="BX421" s="61" t="str">
        <f aca="false">SUBSTITUTE(SUBSTITUTE(SUBSTITUTE(SUBSTITUTE(SUBSTITUTE(SUBSTITUTE(SUBSTITUTE(SUBSTITUTE(SUBSTITUTE(SUBSTITUTE(SUBSTITUTE(BM421,"0",""),"-",""),"_",""),"/",""),".",""),"#",""),"\\",""),":","")," ",""),"(",""),")","")</f>
        <v/>
      </c>
      <c r="BY421" s="62" t="n">
        <f aca="false">IF(ISNUMBER(Flights!$AZ$16),MAX(Q421-UpliftWindowH/24,Flights!$AZ$16),Q421-UpliftWindowH/24)</f>
        <v>46307.3506944444</v>
      </c>
      <c r="BZ421" s="61" t="n">
        <f aca="false">IFERROR(IF(IF(TRIM(S421)="Link / file path",AND(LEN(TRIM(Z421))&gt;=5,SUMPRODUCT(--ISNUMBER(SEARCH({"http","www.","\\",":\",".pdf",".jpg",".jpeg",".png",".heic",".xls",".doc",".msg",".eml",".ppt",".txt",".zip"},Z421)))&gt;0),AND(ISERROR(FIND(" ",TRIM(Z421))),NOT(OR(SUMPRODUCT(--ISNUMBER(FIND({",",";","&amp;","+"},Z421)))&gt;0,SUMPRODUCT(--ISNUMBER(SEARCH({"0/aa","0\\aa"},BN421)))&gt;0)),NOT(SUMPRODUCT(--ISNUMBER(SEARCH({"http","www.","\\",":\",".pdf",".jpg",".jpeg",".png",".heic",".xls",".doc",".msg",".eml",".ppt",".txt",".zip"},Z421)))&gt;0),NOT(LOWER(TRIM(Z421))=LOWER(Flights!$F$16)),ISNA(MATCH(BU421,{"mh","rev","revision","ver","version","v","r","a","b","seat","tray","row","gate","bay","stand","page","pg","item","line","no","cart","galley","flight","flt","table","box","bag","oven","etd","eta","std","sta","atd","ata","qty","pax","x","time","tel","ph","mob","day","wk","week","utc","gmt","myt","lt"},0)),NOT(OR(ISNUMBER(MATCH(LEFT(BN421,255),{"0000a","000a","00a","0000aa","000aa","00aa","0aa","0000aaa","000aaa","00a00","0a00","0000-0000","00:00","a00","a0","00.00.0000","00/00/0000","00-00-0000","0000-00-00","0000/00/00","0000.00.00","00.00.00","00/00/00","00-00-00","0.00.0000","0/00/0000","0-00-0000"},0)),ISNUMBER(MATCH(LEFT(BT421,255),{"0000a","000a","00a","0000aa","000aa","00aa","0aa","0000aaa","000aaa","00a00","0a00","0000-0000","00:00","a00","a0","00.00.0000","00/00/0000","00-00-0000","0000-00-00","0000/00/00","0000.00.00","00.00.00","00/00/00","00-00-00","0.00.0000","0/00/0000","0-00-0000"},0)))),NOT(OR(AND(BW421&lt;&gt;"",SUBSTITUTE(BW421,"0","")=""),AND(LEN(BW421)&gt;=4,BW421=REPT(LEFT(BW421),LEN(BW421))),ISNUMBER(MATCH(BW421,{"123","1234","12345","123456","1234567","12345678","0123","01234","012345","98765","987654","54321"},0)),ISNUMBER(MATCH(BX421,{"x","xx","xxx","xxxx","xxxxx","abc","abcd","nil","na","nan","test","tbc","tba","tbd","dummy","sample","example","eg","zz","zzz","none","null","xyz","qwe","asd","id","ref"},0)),AND(LEN(BW421)=8,BX421="",OR(LEFT(BW421,3)="202",ISNUMBER(MATCH(RIGHT(BW421,4),{"2025","2026","2027"},0)))))),OR(AND((LEN(BT421)-LEN(SUBSTITUTE(BT421,"a","")))&gt;=1,(LEN(BN421)-LEN(SUBSTITUTE(BN421,"0","")))&gt;=2,SUMPRODUCT(--ISNUMBER(SEARCH({"a0","a-0","a_0","a/0","a.0","a#0","0a","0-a","0_a","0/a"},BN421)))&gt;0),AND((LEN(BN421)-LEN(SUBSTITUTE(BN421,"a","")))=0,(LEN(BN421)-LEN(SUBSTITUTE(BN421,"0","")))&gt;=5)))),1,0),0)</f>
        <v>0</v>
      </c>
      <c r="CA4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421,"revision",""),"version",""),"jan",""),"feb",""),"mar",""),"apr",""),"may",""),"jun",""),"jul",""),"aug",""),"sep",""),"oct",""),"nov",""),"dec",""),"utc",""),"gmt",""),"myt",""),"bst",""),"rev",""),"ver",""),"b","a"),"c","a"),"d","a"),"e","a"),"f","a"),"g","a"),"h","a"),"i","a"),"j","a"),"k","a"),"l","a"),"m","a"),"n","a"),"o","a"),"p","a"),"q","a"),"r","a"),"s","a"),"t","a"),"u","a"),"v","a"),"w","a"),"x","a"),"y","a"),"z","a")</f>
        <v/>
      </c>
      <c r="CB4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421&amp;""),"a",""),"b",""),"c",""),"d",""),"e",""),"f",""),"g",""),"h",""),"i",""),"j",""),"k",""),"l",""),"m",""),"n",""),"o",""),"p",""),"q",""),"r",""),"s",""),"t",""),"u",""),"v",""),"w",""),"x",""),"y",""),"z",""),"-",""),"_",""),"/",""),".",""),"#",""),"\\",""),":","")," ",""),"(",""),")","")</f>
        <v/>
      </c>
      <c r="CC421" s="0" t="str">
        <f aca="false">" "&amp;TRIM(SUBSTITUTE(SUBSTITUTE(SUBSTITUTE(SUBSTITUTE(SUBSTITUTE(SUBSTITUTE(SUBSTITUTE(SUBSTITUTE(SUBSTITUTE(SUBSTITUTE(SUBSTITUTE(SUBSTITUTE(SUBSTITUTE(SUBSTITUTE(SUBSTITUTE(SUBSTITUTE(SUBSTITUTE(SUBSTITUTE(SUBSTITUTE(SUBSTITUTE(SUBSTITUTE(SUBSTITUTE(SUBSTITUTE(SUBSTITUTE(LOWER(T421&amp;""),CHAR(10)," "),CHAR(13)," "),CHAR(9)," "),CHAR(160)," "),"."," "),","," "),"-"," "),"/"," "),"("," "),")"," "),":"," "),";"," "),"_"," "),"–"," "),"?"," "),"!"," "),"*"," "),"["," "),"]"," "),"'"," "),"#"," "),"+"," "),"&amp;"," "),"\"," "))&amp;" "</f>
        <v>  </v>
      </c>
      <c r="CD421" s="0" t="str">
        <f aca="false">" "&amp;TRIM(SUBSTITUTE(SUBSTITUTE(SUBSTITUTE(SUBSTITUTE(SUBSTITUTE(SUBSTITUTE(SUBSTITUTE(SUBSTITUTE(SUBSTITUTE(SUBSTITUTE(SUBSTITUTE(SUBSTITUTE(SUBSTITUTE(SUBSTITUTE(SUBSTITUTE(SUBSTITUTE(SUBSTITUTE(SUBSTITUTE(SUBSTITUTE(SUBSTITUTE(SUBSTITUTE(SUBSTITUTE(SUBSTITUTE(SUBSTITUTE(LOWER(AE421&amp;""),CHAR(10)," "),CHAR(13)," "),CHAR(9)," "),CHAR(160)," "),"."," "),","," "),"-"," "),"/"," "),"("," "),")"," "),":"," "),";"," "),"_"," "),"–"," "),"?"," "),"!"," "),"*"," "),"["," "),"]"," "),"'"," "),"#"," "),"+"," "),"&amp;"," "),"\"," "))&amp;" "</f>
        <v>  </v>
      </c>
      <c r="CE421" s="68" t="n">
        <f aca="false">IFERROR(IF(AND(LEN(AU421)&gt;0,LEN(AU421)=LEN(AX421),OR(TRIM(MID(SUBSTITUTE(TRIM(CC421)," ",REPT(" ",60)),1,60))="",ISNUMBER(SEARCH(" "&amp;TRIM(MID(SUBSTITUTE(TRIM(CC421)," ",REPT(" ",60)),1,60))&amp;" ",CD421))),OR(TRIM(MID(SUBSTITUTE(TRIM(CC421)," ",REPT(" ",60)),61,60))="",ISNUMBER(SEARCH(" "&amp;TRIM(MID(SUBSTITUTE(TRIM(CC421)," ",REPT(" ",60)),61,60))&amp;" ",CD421))),OR(TRIM(MID(SUBSTITUTE(TRIM(CC421)," ",REPT(" ",60)),121,60))="",ISNUMBER(SEARCH(" "&amp;TRIM(MID(SUBSTITUTE(TRIM(CC421)," ",REPT(" ",60)),121,60))&amp;" ",CD421)))),1,0),0)</f>
        <v>0</v>
      </c>
      <c r="CG421" s="68" t="n">
        <f aca="false">IFERROR(LEN(SUBSTITUTE(BF421," ",""))-SUMPRODUCT((LEN(BF421)-LEN(SUBSTITUTE(BF421," "&amp;L_NAFiller&amp;" "," ")))/(LEN(L_NAFiller)+1)*LEN(L_NAFiller)),0)</f>
        <v>0</v>
      </c>
    </row>
    <row r="422" customFormat="false" ht="39.75" hidden="false" customHeight="true" outlineLevel="0" collapsed="false">
      <c r="A422" s="57" t="s">
        <v>1054</v>
      </c>
      <c r="B422" s="57" t="s">
        <v>261</v>
      </c>
      <c r="C422" s="57" t="str">
        <f aca="false">Flights!$F$16</f>
        <v>MH0139</v>
      </c>
      <c r="D422" s="58" t="n">
        <f aca="false">Flights!$D$16</f>
        <v>46307</v>
      </c>
      <c r="E422" s="57" t="str">
        <f aca="false">Flights!$G$16&amp;"-"&amp;Flights!$H$16</f>
        <v>KUL-ADL</v>
      </c>
      <c r="F422" s="57" t="str">
        <f aca="false">Flights!$K$16</f>
        <v>BC</v>
      </c>
      <c r="G422" s="57" t="s">
        <v>459</v>
      </c>
      <c r="H422" s="57" t="s">
        <v>460</v>
      </c>
      <c r="I422" s="57" t="s">
        <v>447</v>
      </c>
      <c r="J422" s="57" t="s">
        <v>553</v>
      </c>
      <c r="K422" s="67" t="s">
        <v>449</v>
      </c>
      <c r="L422" s="67" t="s">
        <v>1032</v>
      </c>
      <c r="M422" s="67" t="s">
        <v>451</v>
      </c>
      <c r="N422" s="67" t="s">
        <v>383</v>
      </c>
      <c r="O422" s="67"/>
      <c r="P422" s="57" t="s">
        <v>187</v>
      </c>
      <c r="Q422" s="59" t="n">
        <f aca="false">ROUND((Flights!$AF$16)*1440,0)/1440</f>
        <v>46307.6006944444</v>
      </c>
      <c r="R422" s="59" t="n">
        <f aca="false">Q422+(IF(AND(INDEX(TZ_DSTS,MATCH(P422,TZ_STN,0))&lt;&gt;"",Q422&gt;=INDEX(TZ_DSTS,MATCH(P422,TZ_STN,0)),Q422&lt;INDEX(TZ_DSTE,MATCH(P422,TZ_STN,0))),INDEX(TZ_DST,MATCH(P422,TZ_STN,0)),INDEX(TZ_STD,MATCH(P422,TZ_STN,0))))/24</f>
        <v>46307.9340277778</v>
      </c>
      <c r="S422" s="60"/>
      <c r="T422" s="60"/>
      <c r="U422" s="60"/>
      <c r="V422" s="60"/>
      <c r="W422" s="61"/>
      <c r="X422" s="60"/>
      <c r="Y422" s="60"/>
      <c r="Z422" s="60"/>
      <c r="AA422" s="60"/>
      <c r="AB422" s="60"/>
      <c r="AC422" s="60"/>
      <c r="AD422" s="66"/>
      <c r="AE422" s="60"/>
      <c r="AF422" s="61" t="str">
        <f aca="false">IF(AND(ISNUMBER(X422),ISNUMBER(Y422)),Y422-X422,"")</f>
        <v/>
      </c>
      <c r="AG422" s="62" t="str">
        <f aca="false">IF(ISNUMBER(AD422),AD422-(IF(AND(INDEX(TZ_DSTS,MATCH(P422,TZ_STN,0))&lt;&gt;"",(AD422-INDEX(TZ_STD,MATCH(P422,TZ_STN,0))/24)&gt;=INDEX(TZ_DSTS,MATCH(P422,TZ_STN,0)),(AD422-INDEX(TZ_STD,MATCH(P422,TZ_STN,0))/24)&lt;INDEX(TZ_DSTE,MATCH(P422,TZ_STN,0))),INDEX(TZ_DST,MATCH(P422,TZ_STN,0)),INDEX(TZ_STD,MATCH(P422,TZ_STN,0))))/24,"")</f>
        <v/>
      </c>
      <c r="AH422" s="65" t="str">
        <f aca="false">IFERROR(IF(N422="N/A – rule",IF(OR(TRIM(U422)="",TRIM(U422)="N/A",TRIM(U422)="Not started"),"N/A – RULE","INVALID – this check does not apply to this aircraft: clear the status (or correct the fleet on Flights)"),IF(TRIM(U422)="N/A",IF(AT422=0,"INVALID – N/A not permitted for this check",IF(AND(TRIM(AB422)&lt;&gt;"",TRIM(AB422)&lt;&gt;"Closed"),"INVALID – corrective action still open",IF(AND(NOT(OR(LEN(AZ422)&lt;15,ISNUMBER(MATCH(AZ422,L_Placeholder,0)))),BK422=0,CG422&gt;=8,NOT(OR(LEN(AU422)&lt;2,ISNUMBER(MATCH(AU422,L_Placeholder,0)))),BR422&gt;=3,NOT(OR(LEN(AX422)&lt;2,ISNUMBER(MATCH(AX422,L_Placeholder,0)))),BS422&gt;=3,TRIM(AE422)&lt;&gt;TRIM(T422),AX422&lt;&gt;AU422,CE422=0),"N/A – JUSTIFIED","INVALID – N/A needs a real, settled reason (not 'not applicable' / 'as above' / TBC), a named PIC and a different named verifier"))),IF(OR(TRIM(U422)="Pass",TRIM(U422)="Pass after CA"),IF(NOT(ISNUMBER(AD422)),"INVALID – completion time missing",IF(OR(OR(LEN(AU422)&lt;2,ISNUMBER(MATCH(AU422,L_Placeholder,0))),BR422&lt;3),"INVALID – PIC missing or not a named person (a role such as QA / CSM is not a name)",IF(OR(LEN(AV422)&lt;2,ISNUMBER(MATCH(AV422,L_Placeholder,0))),"INVALID – result / assessment missing",IF(OR(OR(LEN(AW422)&lt;3,ISNUMBER(MATCH(AW422,L_Placeholder,0))),SUMPRODUCT(--ISNUMBER(SEARCH(" "&amp;L_EvidencePhrase&amp;" ",BD422)))&gt;0,BI422=1),"INVALID – evidence missing, placeholder or not yet on file",IF(ISNA(MATCH(TRIM(S422),L_EvidenceType,0)),"INVALID – choose the evidence type from the list (column S)",IF(BL422=0,"INVALID – evidence ID must be the record's own ID only (e.g. SF-2210, IMG_2231, 1045521); a link / file name needs type 'Link / file path'",IF(OR(OR(LEN(AX422)&lt;2,ISNUMBER(MATCH(AX422,L_Placeholder,0))),BS422&lt;3),"INVALID – verifier missing or not a named person (a role such as QA / CSM is not a name)",IF(OR(AX422=AU422,CE422=1,AND(LEN(AU422)&gt;=4,ISNUMBER(SEARCH(AU422,AX422))),AND(LEN(AX422)&gt;=4,ISNUMBER(SEARCH(AX422,AU422)))),"INVALID – verifier must be a different, named person (not the PIC or a role)",IF(BH422=1,"INVALID – result not yet available (awaiting / TBC)",IF(BG422=1,"INVALID – result describes a problem: record Fail, then Pass after CA (or reword if it is not a problem)",IF(BV422=1,"INVALID – wording says not on board: an on-board confirmation needs the item loaded",IF(AND(AQ422=1,OR(OR(LEN(AY422)&lt;3,ISNUMBER(MATCH(AY422,L_Placeholder,0))),BJ422=1,BQ422=0)),"INVALID – batch ID missing, placeholder or not an ID (e.g. PASB-261008-BC-017)",IF(AND(AR422=1,OR(NOT(ISNUMBER(X422)),NOT(ISNUMBER(Y422)))),"INVALID – expected/actual qty missing",IF(AND(AR422=1,OR(X422&lt;=0,Y422&lt;0)),"INVALID – expected qty must be above 0 and actual not negative",IF(AH406="N/A – JUSTIFIED","INVALID – preparation row F12-T12-17 is N/A",IF(AND(AR422=1,ISNUMBER(X406),X422&lt;&gt;X406,TRIM(U422)&lt;&gt;"Pass after CA"),"INVALID – expected qty differs from preparation check F12-T12-17: record the load change as a corrective action (Pass after CA)",IF(BB422&lt;&gt;"",BB422,IF(AND(AS422=1,Documents!$J$16&lt;&gt;"ON FILE"),"INVALID – GLD not on file (Documents sheet)",IF(AND(AS422=2,Documents!$O$16&lt;&gt;"ON FILE"),"INVALID – menu checklist not on file (Documents sheet)",IF(AND(AS422=3,NOT(ISNUMBER(Flights!$AX$16))),"INVALID – enter carrying flight KUL departure (Flights AX)",IF(AND(AS422=3,OR(Flights!$AZ$16&gt;Flights!$AA$16,Flights!$AX$16&lt;Flights!$AA$16-3)),"INVALID – carrying flight (Flights AX) cannot arrive before this leg's STD, or is over 3 days early",IF(AG422&gt;AsOfUTC,"INVALID – completion time is in the future",IF(AND(ISNUMBER(BY422),AG422&lt;BY422),IF(H422="Physical uplift","INVALID – before uplift window (cannot confirm loading)","INVALID – before valid window"),IF(AG422&gt;Flights!$AA$16,"INVALID – completed after departure (cannot establish readiness)",IF(AND(H422="Preparation",AG422&gt;=IF(ISNUMBER(Flights!$BA$16),MIN(Flights!$BA$16,Flights!$AA$16),Flights!$AA$16)),"INVALID – completed after loading / departure (cannot establish readiness)",IF(AND(H422="Physical uplift",AG422&gt;Q422),"INVALID – recorded after the loading flight departed",IF(AG422&gt;Q422,"COMPLETE – LATE","COMPLETE"))))))))))))))))))))))))))),IF(TRIM(U422)="Fail","FAIL – DISCREPANCY",IF(AND(TRIM(U422)&lt;&gt;"",TRIM(U422)&lt;&gt;"Not started",TRIM(U422)&lt;&gt;"In progress"),"INVALID – unrecognised status (use the list)",IF(AsOfUTC&gt;Q422,"OVERDUE",IF(N422="Clarification required","OPEN – CLARIFICATION","OPEN"))))))),"INVALID – error value in an input cell")</f>
        <v>OPEN</v>
      </c>
      <c r="AI422" s="61" t="n">
        <f aca="false">IF(OR(AH422="N/A – RULE",AH422="N/A – JUSTIFIED"),0,1)</f>
        <v>1</v>
      </c>
      <c r="AJ422" s="61" t="n">
        <f aca="false">IF(LEFT(AH422,8)="COMPLETE",1,0)</f>
        <v>0</v>
      </c>
      <c r="AK422" s="61" t="n">
        <f aca="false">IF(AND(AI422=1,AJ422=0,AsOfUTC&gt;Q422),1,0)</f>
        <v>0</v>
      </c>
      <c r="AL422" s="61" t="n">
        <f aca="false">IFERROR(IF(AND(AI422=1,OR(TRIM(U422)="Fail",AND(TRIM(AB422)&lt;&gt;"",TRIM(AB422)&lt;&gt;"Closed"),AND(ISNUMBER(AF422),AF422&lt;&gt;0,TRIM(U422)&lt;&gt;"Pass after CA"))),1,0),1)</f>
        <v>0</v>
      </c>
      <c r="AM422" s="61" t="n">
        <f aca="false">IF(LEFT(AH422,7)="INVALID",1,0)</f>
        <v>0</v>
      </c>
      <c r="AN422" s="61" t="n">
        <f aca="false">IF(AND(N422="Clarification required",AI422=1,AJ422=0),1,0)</f>
        <v>0</v>
      </c>
      <c r="AO422" s="61" t="str">
        <f aca="false">IF(AK422=1,SUM(AK$5:AK422),"")</f>
        <v/>
      </c>
      <c r="AP422" s="61" t="str">
        <f aca="false">IF(AL422=1,SUM(AL$5:AL422),"")</f>
        <v/>
      </c>
      <c r="AQ422" s="61" t="n">
        <v>0</v>
      </c>
      <c r="AR422" s="61" t="n">
        <v>0</v>
      </c>
      <c r="AS422" s="61" t="n">
        <v>0</v>
      </c>
      <c r="AT422" s="61" t="n">
        <v>0</v>
      </c>
      <c r="AU422" s="61" t="str">
        <f aca="false">SUBSTITUTE(SUBSTITUTE(SUBSTITUTE(SUBSTITUTE(SUBSTITUTE(SUBSTITUTE(SUBSTITUTE(SUBSTITUTE(SUBSTITUTE(SUBSTITUTE(SUBSTITUTE(SUBSTITUTE(SUBSTITUTE(SUBSTITUTE(SUBSTITUTE(SUBSTITUTE(LOWER(T422&amp;""),CHAR(10),""),CHAR(13),""),CHAR(9),""),CHAR(160),"")," ",""),".",""),"-",""),"/",""),"?",""),"_",""),",",""),"[",""),"]",""),"(",""),")",""),"*","")</f>
        <v/>
      </c>
      <c r="AV422" s="61" t="str">
        <f aca="false">SUBSTITUTE(SUBSTITUTE(SUBSTITUTE(SUBSTITUTE(SUBSTITUTE(SUBSTITUTE(SUBSTITUTE(SUBSTITUTE(SUBSTITUTE(SUBSTITUTE(SUBSTITUTE(SUBSTITUTE(SUBSTITUTE(SUBSTITUTE(SUBSTITUTE(SUBSTITUTE(LOWER(V422&amp;""),CHAR(10),""),CHAR(13),""),CHAR(9),""),CHAR(160),"")," ",""),".",""),"-",""),"/",""),"?",""),"_",""),",",""),"[",""),"]",""),"(",""),")",""),"*","")</f>
        <v/>
      </c>
      <c r="AW422" s="61" t="str">
        <f aca="false">SUBSTITUTE(SUBSTITUTE(SUBSTITUTE(SUBSTITUTE(SUBSTITUTE(SUBSTITUTE(SUBSTITUTE(SUBSTITUTE(SUBSTITUTE(SUBSTITUTE(SUBSTITUTE(SUBSTITUTE(SUBSTITUTE(SUBSTITUTE(SUBSTITUTE(SUBSTITUTE(LOWER(Z422&amp;""),CHAR(10),""),CHAR(13),""),CHAR(9),""),CHAR(160),"")," ",""),".",""),"-",""),"/",""),"?",""),"_",""),",",""),"[",""),"]",""),"(",""),")",""),"*","")</f>
        <v/>
      </c>
      <c r="AX422" s="61" t="str">
        <f aca="false">SUBSTITUTE(SUBSTITUTE(SUBSTITUTE(SUBSTITUTE(SUBSTITUTE(SUBSTITUTE(SUBSTITUTE(SUBSTITUTE(SUBSTITUTE(SUBSTITUTE(SUBSTITUTE(SUBSTITUTE(SUBSTITUTE(SUBSTITUTE(SUBSTITUTE(SUBSTITUTE(LOWER(AE422&amp;""),CHAR(10),""),CHAR(13),""),CHAR(9),""),CHAR(160),"")," ",""),".",""),"-",""),"/",""),"?",""),"_",""),",",""),"[",""),"]",""),"(",""),")",""),"*","")</f>
        <v/>
      </c>
      <c r="AY422" s="61" t="str">
        <f aca="false">SUBSTITUTE(SUBSTITUTE(SUBSTITUTE(SUBSTITUTE(SUBSTITUTE(SUBSTITUTE(SUBSTITUTE(SUBSTITUTE(SUBSTITUTE(SUBSTITUTE(SUBSTITUTE(SUBSTITUTE(SUBSTITUTE(SUBSTITUTE(SUBSTITUTE(SUBSTITUTE(LOWER(W422&amp;""),CHAR(10),""),CHAR(13),""),CHAR(9),""),CHAR(160),"")," ",""),".",""),"-",""),"/",""),"?",""),"_",""),",",""),"[",""),"]",""),"(",""),")",""),"*","")</f>
        <v/>
      </c>
      <c r="AZ422" s="61" t="str">
        <f aca="false">SUBSTITUTE(SUBSTITUTE(SUBSTITUTE(SUBSTITUTE(SUBSTITUTE(SUBSTITUTE(SUBSTITUTE(SUBSTITUTE(SUBSTITUTE(SUBSTITUTE(SUBSTITUTE(SUBSTITUTE(SUBSTITUTE(SUBSTITUTE(SUBSTITUTE(SUBSTITUTE(LOWER(AC422&amp;""),CHAR(10),""),CHAR(13),""),CHAR(9),""),CHAR(160),"")," ",""),".",""),"-",""),"/",""),"?",""),"_",""),",",""),"[",""),"]",""),"(",""),")",""),"*","")</f>
        <v/>
      </c>
      <c r="BA422" s="61" t="str">
        <f aca="false">SUBSTITUTE(SUBSTITUTE(SUBSTITUTE(SUBSTITUTE(SUBSTITUTE(SUBSTITUTE(SUBSTITUTE(SUBSTITUTE(SUBSTITUTE(SUBSTITUTE(SUBSTITUTE(SUBSTITUTE(SUBSTITUTE(SUBSTITUTE(SUBSTITUTE(SUBSTITUTE(LOWER(AA422&amp;""),CHAR(10),""),CHAR(13),""),CHAR(9),""),CHAR(160),"")," ",""),".",""),"-",""),"/",""),"?",""),"_",""),",",""),"[",""),"]",""),"(",""),")",""),"*","")</f>
        <v/>
      </c>
      <c r="BB422" s="61" t="str">
        <f aca="false">IF(AND(TRIM(U422)="Pass",ISNUMBER(AF422)),IF(AF422&lt;&gt;0,"INVALID – qty variance: use Fail or Pass after CA",""),"")&amp;IF(AND(TRIM(U422)="Pass after CA",ISNUMBER(AF422)),IF(AF422&lt;&gt;0,"INVALID – after the corrective action the actual qty must equal expected (update Actual)",""),"")&amp;IF(AND(TRIM(U422)="Pass",TRIM(AB422)&lt;&gt;"",TRIM(AB422)&lt;&gt;"Closed"),"INVALID – corrective action not closed: use Fail, then Pass after CA","")&amp;IF(AND(LEN(BA422)&gt;=2,ISNA(MATCH(LEFT(BA422,255),L_Placeholder,0)),TRIM(AB422)=""),"INVALID – CA status missing for the recorded corrective action","")&amp;IF(AND(TRIM(U422)="Pass after CA",OR(OR(LEN(BA422)&lt;5,ISNUMBER(MATCH(BA422,L_Placeholder,0))),TRIM(AB422)&lt;&gt;"Closed")),"INVALID – corrective action not recorded/closed","")</f>
        <v/>
      </c>
      <c r="BC422" s="61" t="str">
        <f aca="false">" "&amp;TRIM(SUBSTITUTE(SUBSTITUTE(SUBSTITUTE(SUBSTITUTE(SUBSTITUTE(SUBSTITUTE(SUBSTITUTE(SUBSTITUTE(SUBSTITUTE(SUBSTITUTE(SUBSTITUTE(SUBSTITUTE(SUBSTITUTE(SUBSTITUTE(SUBSTITUTE(SUBSTITUTE(SUBSTITUTE(SUBSTITUTE(SUBSTITUTE(SUBSTITUTE(SUBSTITUTE(SUBSTITUTE(SUBSTITUTE(SUBSTITUTE(LOWER(V422&amp;""),CHAR(10)," "),CHAR(13)," "),CHAR(9)," "),CHAR(160)," "),"."," "),","," "),"-"," "),"/"," "),"("," "),")"," "),":"," "),";"," "),"_"," "),"–"," "),"?"," "),"!"," "),"*"," "),"["," "),"]"," "),"'"," "),"#"," "),"+"," "),"&amp;"," "),"\"," "))&amp;" "</f>
        <v>  </v>
      </c>
      <c r="BD422" s="61" t="str">
        <f aca="false">" "&amp;TRIM(SUBSTITUTE(SUBSTITUTE(SUBSTITUTE(SUBSTITUTE(SUBSTITUTE(SUBSTITUTE(SUBSTITUTE(SUBSTITUTE(SUBSTITUTE(SUBSTITUTE(SUBSTITUTE(SUBSTITUTE(SUBSTITUTE(SUBSTITUTE(SUBSTITUTE(SUBSTITUTE(SUBSTITUTE(SUBSTITUTE(SUBSTITUTE(SUBSTITUTE(SUBSTITUTE(SUBSTITUTE(SUBSTITUTE(SUBSTITUTE(LOWER(Z422&amp;""),CHAR(10)," "),CHAR(13)," "),CHAR(9)," "),CHAR(160)," "),"."," "),","," "),"-"," "),"/"," "),"("," "),")"," "),":"," "),";"," "),"_"," "),"–"," "),"?"," "),"!"," "),"*"," "),"["," "),"]"," "),"'"," "),"#"," "),"+"," "),"&amp;"," "),"\"," "))&amp;" "</f>
        <v>  </v>
      </c>
      <c r="BE422" s="61" t="str">
        <f aca="false">" "&amp;TRIM(SUBSTITUTE(SUBSTITUTE(SUBSTITUTE(SUBSTITUTE(SUBSTITUTE(SUBSTITUTE(SUBSTITUTE(SUBSTITUTE(SUBSTITUTE(SUBSTITUTE(SUBSTITUTE(SUBSTITUTE(SUBSTITUTE(SUBSTITUTE(SUBSTITUTE(SUBSTITUTE(SUBSTITUTE(SUBSTITUTE(SUBSTITUTE(SUBSTITUTE(SUBSTITUTE(SUBSTITUTE(SUBSTITUTE(SUBSTITUTE(LOWER(W422&amp;""),CHAR(10)," "),CHAR(13)," "),CHAR(9)," "),CHAR(160)," "),"."," "),","," "),"-"," "),"/"," "),"("," "),")"," "),":"," "),";"," "),"_"," "),"–"," "),"?"," "),"!"," "),"*"," "),"["," "),"]"," "),"'"," "),"#"," "),"+"," "),"&amp;"," "),"\"," "))&amp;" "</f>
        <v>  </v>
      </c>
      <c r="BF422" s="61" t="str">
        <f aca="false">" "&amp;TRIM(SUBSTITUTE(SUBSTITUTE(SUBSTITUTE(SUBSTITUTE(SUBSTITUTE(SUBSTITUTE(SUBSTITUTE(SUBSTITUTE(SUBSTITUTE(SUBSTITUTE(SUBSTITUTE(SUBSTITUTE(SUBSTITUTE(SUBSTITUTE(SUBSTITUTE(SUBSTITUTE(SUBSTITUTE(SUBSTITUTE(SUBSTITUTE(SUBSTITUTE(SUBSTITUTE(SUBSTITUTE(SUBSTITUTE(SUBSTITUTE(LOWER(AC422&amp;""),CHAR(10)," "),CHAR(13)," "),CHAR(9)," "),CHAR(160)," "),"."," "),","," "),"-"," "),"/"," "),"("," "),")"," "),":"," "),";"," "),"_"," "),"–"," "),"?"," "),"!"," "),"*"," "),"["," "),"]"," "),"'"," "),"#"," "),"+"," "),"&amp;"," "),"\"," "))&amp;" "</f>
        <v>  </v>
      </c>
      <c r="BG422" s="61" t="n">
        <f aca="false">IFERROR(IF(AND(TRIM(U422)="Pass",SUMPRODUCT((LEN(BC422)-LEN(SUBSTITUTE(BC422," "&amp;L_ResultBad&amp;" "," ")))/(LEN(L_ResultBad)+1))&gt;SUMPRODUCT((LEN(BC422)-LEN(SUBSTITUTE(BC422," "&amp;L_NegPhrase&amp;" "," ")))/(LEN(L_NegPhrase)+1))),1,0),0)</f>
        <v>0</v>
      </c>
      <c r="BH422" s="61" t="n">
        <f aca="false">IFERROR(IF(SUMPRODUCT((LEN(BC422)-LEN(SUBSTITUTE(BC422," "&amp;L_Pending&amp;" "," ")))/(LEN(L_Pending)+1))&gt;SUMPRODUCT((LEN(BC422)-LEN(SUBSTITUTE(BC422," "&amp;L_PendNeg&amp;" "," ")))/(LEN(L_PendNeg)+1)),1,0),1)</f>
        <v>0</v>
      </c>
      <c r="BI422" s="61" t="n">
        <f aca="false">IFERROR(IF(SUMPRODUCT((LEN(BD422)-LEN(SUBSTITUTE(BD422," "&amp;L_PendStrict&amp;" "," ")))/(LEN(L_PendStrict)+1))&gt;SUMPRODUCT((LEN(BD422)-LEN(SUBSTITUTE(BD422," "&amp;L_PendNeg&amp;" "," ")))/(LEN(L_PendNeg)+1)),1,0),1)</f>
        <v>0</v>
      </c>
      <c r="BJ422" s="61" t="n">
        <f aca="false">IFERROR(IF(SUMPRODUCT((LEN(BE422)-LEN(SUBSTITUTE(BE422," "&amp;L_Pending&amp;" "," ")))/(LEN(L_Pending)+1))&gt;SUMPRODUCT((LEN(BE422)-LEN(SUBSTITUTE(BE422," "&amp;L_PendNeg&amp;" "," ")))/(LEN(L_PendNeg)+1)),1,0),1)</f>
        <v>0</v>
      </c>
      <c r="BK422" s="61" t="n">
        <f aca="false">IFERROR(IF(SUMPRODUCT((LEN(BF422)-LEN(SUBSTITUTE(BF422," "&amp;L_PendStrict&amp;" "," ")))/(LEN(L_PendStrict)+1))&gt;SUMPRODUCT((LEN(BF422)-LEN(SUBSTITUTE(BF422," "&amp;L_PendNeg&amp;" "," ")))/(LEN(L_PendNeg)+1)),1,0),1)</f>
        <v>0</v>
      </c>
      <c r="BL422" s="61" t="n">
        <f aca="false">IF(ISNA(MATCH(TRIM(S422),L_EvidenceType,0)),0,BZ422)</f>
        <v>0</v>
      </c>
      <c r="BM422" s="61" t="str">
        <f aca="false">SUBSTITUTE(SUBSTITUTE(SUBSTITUTE(SUBSTITUTE(SUBSTITUTE(SUBSTITUTE(SUBSTITUTE(SUBSTITUTE(SUBSTITUTE(LOWER(Z422&amp;""),"1","0"),"2","0"),"3","0"),"4","0"),"5","0"),"6","0"),"7","0"),"8","0"),"9","0")</f>
        <v/>
      </c>
      <c r="BN422" s="61" t="str">
        <f aca="false">SUBSTITUTE(SUBSTITUTE(SUBSTITUTE(SUBSTITUTE(SUBSTITUTE(SUBSTITUTE(SUBSTITUTE(SUBSTITUTE(SUBSTITUTE(SUBSTITUTE(SUBSTITUTE(SUBSTITUTE(SUBSTITUTE(SUBSTITUTE(SUBSTITUTE(SUBSTITUTE(SUBSTITUTE(SUBSTITUTE(SUBSTITUTE(SUBSTITUTE(SUBSTITUTE(SUBSTITUTE(SUBSTITUTE(SUBSTITUTE(SUBSTITUTE(BM422,"b","a"),"c","a"),"d","a"),"e","a"),"f","a"),"g","a"),"h","a"),"i","a"),"j","a"),"k","a"),"l","a"),"m","a"),"n","a"),"o","a"),"p","a"),"q","a"),"r","a"),"s","a"),"t","a"),"u","a"),"v","a"),"w","a"),"x","a"),"y","a"),"z","a")</f>
        <v/>
      </c>
      <c r="BO422" s="61" t="str">
        <f aca="false">SUBSTITUTE(SUBSTITUTE(SUBSTITUTE(SUBSTITUTE(SUBSTITUTE(SUBSTITUTE(SUBSTITUTE(SUBSTITUTE(SUBSTITUTE(LOWER(W422&amp;""),"1","0"),"2","0"),"3","0"),"4","0"),"5","0"),"6","0"),"7","0"),"8","0"),"9","0")</f>
        <v/>
      </c>
      <c r="BP422" s="61" t="str">
        <f aca="false">SUBSTITUTE(SUBSTITUTE(SUBSTITUTE(SUBSTITUTE(SUBSTITUTE(SUBSTITUTE(SUBSTITUTE(SUBSTITUTE(SUBSTITUTE(SUBSTITUTE(SUBSTITUTE(SUBSTITUTE(SUBSTITUTE(SUBSTITUTE(SUBSTITUTE(SUBSTITUTE(SUBSTITUTE(SUBSTITUTE(SUBSTITUTE(SUBSTITUTE(SUBSTITUTE(SUBSTITUTE(SUBSTITUTE(SUBSTITUTE(SUBSTITUTE(BO422,"b","a"),"c","a"),"d","a"),"e","a"),"f","a"),"g","a"),"h","a"),"i","a"),"j","a"),"k","a"),"l","a"),"m","a"),"n","a"),"o","a"),"p","a"),"q","a"),"r","a"),"s","a"),"t","a"),"u","a"),"v","a"),"w","a"),"x","a"),"y","a"),"z","a")</f>
        <v/>
      </c>
      <c r="BQ422" s="61" t="n">
        <f aca="false">IFERROR(IF(AND(ISERROR(SEARCH(" mh"," "&amp;LOWER(W422))),ISNA(MATCH(LEFT(TRIM(BP422),255),{"0000a","000a","00a","0000aa","000aa","00aa","0aa","0000aaa","000aaa","00a00","0a00","0000-0000","00:00","a00","a0","00.00.0000","00/00/0000","00-00-0000","0000-00-00","0000/00/00","0000.00.00","00.00.00","00/00/00","00-00-00","0.00.0000","0/00/0000","0-00-0000"},0)),ISNA(MATCH(LEFT(TRIM(CA422),255),{"0000a","000a","00a","0000aa","000aa","00aa","0aa","0000aaa","000aaa","00a00","0a00","0000-0000","00:00","a00","a0","00.00.0000","00/00/0000","00-00-0000","0000-00-00","0000/00/00","0000.00.00","00.00.00","00/00/00","00-00-00","0.00.0000","0/00/0000","0-00-0000"},0)),LEN(CB422)&gt;=3,NOT(OR(SUBSTITUTE(CB422,"0","")="",AND(LEN(CB422)&gt;=4,CB422=REPT(LEFT(CB422),LEN(CB422))),ISNUMBER(MATCH(CB422,{"123","1234","12345","123456","1234567","12345678","0123","01234","012345","98765","987654","54321"},0)),AND(LEN(CB422)=8,LEFT(CB422,3)="202"))),OR(AND((LEN(CA422)-LEN(SUBSTITUTE(CA422,"a","")))&gt;=1,SUMPRODUCT(--ISNUMBER(SEARCH({"a0","a-0","a_0","a/0","a.0","a#0","0a","0-a","0_a","0/a"},BP422)))&gt;0),ISNUMBER(SEARCH("000000",BP422)))),1,0),0)</f>
        <v>0</v>
      </c>
      <c r="BR422" s="61" t="n">
        <f aca="false">IFERROR(LEN(SUBSTITUTE(CC422," ",""))-SUMPRODUCT((LEN(CC422)-LEN(SUBSTITUTE(CC422," "&amp;L_Role&amp;" "," ")))/(LEN(L_Role)+1)*LEN(L_Role)),0)</f>
        <v>0</v>
      </c>
      <c r="BS422" s="61" t="n">
        <f aca="false">IFERROR(LEN(SUBSTITUTE(CD422," ",""))-SUMPRODUCT((LEN(CD422)-LEN(SUBSTITUTE(CD422," "&amp;L_Role&amp;" "," ")))/(LEN(L_Role)+1)*LEN(L_Role)),0)</f>
        <v>0</v>
      </c>
      <c r="BT4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422,"revision",""),"version",""),"jan",""),"feb",""),"mar",""),"apr",""),"may",""),"jun",""),"jul",""),"aug",""),"sep",""),"oct",""),"nov",""),"dec",""),"utc",""),"gmt",""),"myt",""),"bst",""),"rev",""),"ver",""),"b","a"),"c","a"),"d","a"),"e","a"),"f","a"),"g","a"),"h","a"),"i","a"),"j","a"),"k","a"),"l","a"),"m","a"),"n","a"),"o","a"),"p","a"),"q","a"),"r","a"),"s","a"),"t","a"),"u","a"),"v","a"),"w","a"),"x","a"),"y","a"),"z","a")</f>
        <v/>
      </c>
      <c r="BU422" s="61" t="str">
        <f aca="false">SUBSTITUTE(SUBSTITUTE(SUBSTITUTE(SUBSTITUTE(SUBSTITUTE(SUBSTITUTE(SUBSTITUTE(SUBSTITUTE(SUBSTITUTE(SUBSTITUTE(LEFT(BM422,FIND("0",BM422&amp;"0")-1),"-",""),"_",""),"/",""),".",""),"#",""),"\\",""),":","")," ",""),"(",""),")","")</f>
        <v/>
      </c>
      <c r="BV422" s="61" t="n">
        <f aca="false">IFERROR(IF(OR(SUMPRODUCT((LEN(BC422)-LEN(SUBSTITUTE(BC422," "&amp;L_NotLoaded&amp;" "," ")))/(LEN(L_NotLoaded)+1))&gt;SUMPRODUCT((LEN(BC422)-LEN(SUBSTITUTE(BC422," "&amp;L_NotLoadedNeg&amp;" "," ")))/(LEN(L_NotLoadedNeg)+1)),SUMPRODUCT((LEN(BD422)-LEN(SUBSTITUTE(BD422," "&amp;L_NotLoaded&amp;" "," ")))/(LEN(L_NotLoaded)+1))&gt;SUMPRODUCT((LEN(BD422)-LEN(SUBSTITUTE(BD422," "&amp;L_NotLoadedNeg&amp;" "," ")))/(LEN(L_NotLoadedNeg)+1))),1,0),0)</f>
        <v>0</v>
      </c>
      <c r="BW4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422&amp;""),"a",""),"b",""),"c",""),"d",""),"e",""),"f",""),"g",""),"h",""),"i",""),"j",""),"k",""),"l",""),"m",""),"n",""),"o",""),"p",""),"q",""),"r",""),"s",""),"t",""),"u",""),"v",""),"w",""),"x",""),"y",""),"z",""),"-",""),"_",""),"/",""),".",""),"#",""),"\\",""),":","")," ",""),"(",""),")","")</f>
        <v/>
      </c>
      <c r="BX422" s="61" t="str">
        <f aca="false">SUBSTITUTE(SUBSTITUTE(SUBSTITUTE(SUBSTITUTE(SUBSTITUTE(SUBSTITUTE(SUBSTITUTE(SUBSTITUTE(SUBSTITUTE(SUBSTITUTE(SUBSTITUTE(BM422,"0",""),"-",""),"_",""),"/",""),".",""),"#",""),"\\",""),":","")," ",""),"(",""),")","")</f>
        <v/>
      </c>
      <c r="BY422" s="62" t="n">
        <f aca="false">IF(ISNUMBER(Flights!$AZ$16),MAX(Q422-UpliftWindowH/24,Flights!$AZ$16),Q422-UpliftWindowH/24)</f>
        <v>46307.3506944444</v>
      </c>
      <c r="BZ422" s="61" t="n">
        <f aca="false">IFERROR(IF(IF(TRIM(S422)="Link / file path",AND(LEN(TRIM(Z422))&gt;=5,SUMPRODUCT(--ISNUMBER(SEARCH({"http","www.","\\",":\",".pdf",".jpg",".jpeg",".png",".heic",".xls",".doc",".msg",".eml",".ppt",".txt",".zip"},Z422)))&gt;0),AND(ISERROR(FIND(" ",TRIM(Z422))),NOT(OR(SUMPRODUCT(--ISNUMBER(FIND({",",";","&amp;","+"},Z422)))&gt;0,SUMPRODUCT(--ISNUMBER(SEARCH({"0/aa","0\\aa"},BN422)))&gt;0)),NOT(SUMPRODUCT(--ISNUMBER(SEARCH({"http","www.","\\",":\",".pdf",".jpg",".jpeg",".png",".heic",".xls",".doc",".msg",".eml",".ppt",".txt",".zip"},Z422)))&gt;0),NOT(LOWER(TRIM(Z422))=LOWER(Flights!$F$16)),ISNA(MATCH(BU422,{"mh","rev","revision","ver","version","v","r","a","b","seat","tray","row","gate","bay","stand","page","pg","item","line","no","cart","galley","flight","flt","table","box","bag","oven","etd","eta","std","sta","atd","ata","qty","pax","x","time","tel","ph","mob","day","wk","week","utc","gmt","myt","lt"},0)),NOT(OR(ISNUMBER(MATCH(LEFT(BN422,255),{"0000a","000a","00a","0000aa","000aa","00aa","0aa","0000aaa","000aaa","00a00","0a00","0000-0000","00:00","a00","a0","00.00.0000","00/00/0000","00-00-0000","0000-00-00","0000/00/00","0000.00.00","00.00.00","00/00/00","00-00-00","0.00.0000","0/00/0000","0-00-0000"},0)),ISNUMBER(MATCH(LEFT(BT422,255),{"0000a","000a","00a","0000aa","000aa","00aa","0aa","0000aaa","000aaa","00a00","0a00","0000-0000","00:00","a00","a0","00.00.0000","00/00/0000","00-00-0000","0000-00-00","0000/00/00","0000.00.00","00.00.00","00/00/00","00-00-00","0.00.0000","0/00/0000","0-00-0000"},0)))),NOT(OR(AND(BW422&lt;&gt;"",SUBSTITUTE(BW422,"0","")=""),AND(LEN(BW422)&gt;=4,BW422=REPT(LEFT(BW422),LEN(BW422))),ISNUMBER(MATCH(BW422,{"123","1234","12345","123456","1234567","12345678","0123","01234","012345","98765","987654","54321"},0)),ISNUMBER(MATCH(BX422,{"x","xx","xxx","xxxx","xxxxx","abc","abcd","nil","na","nan","test","tbc","tba","tbd","dummy","sample","example","eg","zz","zzz","none","null","xyz","qwe","asd","id","ref"},0)),AND(LEN(BW422)=8,BX422="",OR(LEFT(BW422,3)="202",ISNUMBER(MATCH(RIGHT(BW422,4),{"2025","2026","2027"},0)))))),OR(AND((LEN(BT422)-LEN(SUBSTITUTE(BT422,"a","")))&gt;=1,(LEN(BN422)-LEN(SUBSTITUTE(BN422,"0","")))&gt;=2,SUMPRODUCT(--ISNUMBER(SEARCH({"a0","a-0","a_0","a/0","a.0","a#0","0a","0-a","0_a","0/a"},BN422)))&gt;0),AND((LEN(BN422)-LEN(SUBSTITUTE(BN422,"a","")))=0,(LEN(BN422)-LEN(SUBSTITUTE(BN422,"0","")))&gt;=5)))),1,0),0)</f>
        <v>0</v>
      </c>
      <c r="CA4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422,"revision",""),"version",""),"jan",""),"feb",""),"mar",""),"apr",""),"may",""),"jun",""),"jul",""),"aug",""),"sep",""),"oct",""),"nov",""),"dec",""),"utc",""),"gmt",""),"myt",""),"bst",""),"rev",""),"ver",""),"b","a"),"c","a"),"d","a"),"e","a"),"f","a"),"g","a"),"h","a"),"i","a"),"j","a"),"k","a"),"l","a"),"m","a"),"n","a"),"o","a"),"p","a"),"q","a"),"r","a"),"s","a"),"t","a"),"u","a"),"v","a"),"w","a"),"x","a"),"y","a"),"z","a")</f>
        <v/>
      </c>
      <c r="CB4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422&amp;""),"a",""),"b",""),"c",""),"d",""),"e",""),"f",""),"g",""),"h",""),"i",""),"j",""),"k",""),"l",""),"m",""),"n",""),"o",""),"p",""),"q",""),"r",""),"s",""),"t",""),"u",""),"v",""),"w",""),"x",""),"y",""),"z",""),"-",""),"_",""),"/",""),".",""),"#",""),"\\",""),":","")," ",""),"(",""),")","")</f>
        <v/>
      </c>
      <c r="CC422" s="0" t="str">
        <f aca="false">" "&amp;TRIM(SUBSTITUTE(SUBSTITUTE(SUBSTITUTE(SUBSTITUTE(SUBSTITUTE(SUBSTITUTE(SUBSTITUTE(SUBSTITUTE(SUBSTITUTE(SUBSTITUTE(SUBSTITUTE(SUBSTITUTE(SUBSTITUTE(SUBSTITUTE(SUBSTITUTE(SUBSTITUTE(SUBSTITUTE(SUBSTITUTE(SUBSTITUTE(SUBSTITUTE(SUBSTITUTE(SUBSTITUTE(SUBSTITUTE(SUBSTITUTE(LOWER(T422&amp;""),CHAR(10)," "),CHAR(13)," "),CHAR(9)," "),CHAR(160)," "),"."," "),","," "),"-"," "),"/"," "),"("," "),")"," "),":"," "),";"," "),"_"," "),"–"," "),"?"," "),"!"," "),"*"," "),"["," "),"]"," "),"'"," "),"#"," "),"+"," "),"&amp;"," "),"\"," "))&amp;" "</f>
        <v>  </v>
      </c>
      <c r="CD422" s="0" t="str">
        <f aca="false">" "&amp;TRIM(SUBSTITUTE(SUBSTITUTE(SUBSTITUTE(SUBSTITUTE(SUBSTITUTE(SUBSTITUTE(SUBSTITUTE(SUBSTITUTE(SUBSTITUTE(SUBSTITUTE(SUBSTITUTE(SUBSTITUTE(SUBSTITUTE(SUBSTITUTE(SUBSTITUTE(SUBSTITUTE(SUBSTITUTE(SUBSTITUTE(SUBSTITUTE(SUBSTITUTE(SUBSTITUTE(SUBSTITUTE(SUBSTITUTE(SUBSTITUTE(LOWER(AE422&amp;""),CHAR(10)," "),CHAR(13)," "),CHAR(9)," "),CHAR(160)," "),"."," "),","," "),"-"," "),"/"," "),"("," "),")"," "),":"," "),";"," "),"_"," "),"–"," "),"?"," "),"!"," "),"*"," "),"["," "),"]"," "),"'"," "),"#"," "),"+"," "),"&amp;"," "),"\"," "))&amp;" "</f>
        <v>  </v>
      </c>
      <c r="CE422" s="68" t="n">
        <f aca="false">IFERROR(IF(AND(LEN(AU422)&gt;0,LEN(AU422)=LEN(AX422),OR(TRIM(MID(SUBSTITUTE(TRIM(CC422)," ",REPT(" ",60)),1,60))="",ISNUMBER(SEARCH(" "&amp;TRIM(MID(SUBSTITUTE(TRIM(CC422)," ",REPT(" ",60)),1,60))&amp;" ",CD422))),OR(TRIM(MID(SUBSTITUTE(TRIM(CC422)," ",REPT(" ",60)),61,60))="",ISNUMBER(SEARCH(" "&amp;TRIM(MID(SUBSTITUTE(TRIM(CC422)," ",REPT(" ",60)),61,60))&amp;" ",CD422))),OR(TRIM(MID(SUBSTITUTE(TRIM(CC422)," ",REPT(" ",60)),121,60))="",ISNUMBER(SEARCH(" "&amp;TRIM(MID(SUBSTITUTE(TRIM(CC422)," ",REPT(" ",60)),121,60))&amp;" ",CD422)))),1,0),0)</f>
        <v>0</v>
      </c>
      <c r="CG422" s="68" t="n">
        <f aca="false">IFERROR(LEN(SUBSTITUTE(BF422," ",""))-SUMPRODUCT((LEN(BF422)-LEN(SUBSTITUTE(BF422," "&amp;L_NAFiller&amp;" "," ")))/(LEN(L_NAFiller)+1)*LEN(L_NAFiller)),0)</f>
        <v>0</v>
      </c>
    </row>
    <row r="423" customFormat="false" ht="39.75" hidden="false" customHeight="true" outlineLevel="0" collapsed="false">
      <c r="A423" s="57" t="s">
        <v>1055</v>
      </c>
      <c r="B423" s="57" t="s">
        <v>261</v>
      </c>
      <c r="C423" s="57" t="str">
        <f aca="false">Flights!$F$16</f>
        <v>MH0139</v>
      </c>
      <c r="D423" s="58" t="n">
        <f aca="false">Flights!$D$16</f>
        <v>46307</v>
      </c>
      <c r="E423" s="57" t="str">
        <f aca="false">Flights!$G$16&amp;"-"&amp;Flights!$H$16</f>
        <v>KUL-ADL</v>
      </c>
      <c r="F423" s="57" t="str">
        <f aca="false">Flights!$K$16</f>
        <v>BC</v>
      </c>
      <c r="G423" s="57" t="s">
        <v>459</v>
      </c>
      <c r="H423" s="57" t="s">
        <v>460</v>
      </c>
      <c r="I423" s="57" t="s">
        <v>447</v>
      </c>
      <c r="J423" s="57" t="s">
        <v>653</v>
      </c>
      <c r="K423" s="67" t="s">
        <v>449</v>
      </c>
      <c r="L423" s="67" t="s">
        <v>1034</v>
      </c>
      <c r="M423" s="67" t="s">
        <v>451</v>
      </c>
      <c r="N423" s="67" t="s">
        <v>383</v>
      </c>
      <c r="O423" s="67"/>
      <c r="P423" s="57" t="s">
        <v>187</v>
      </c>
      <c r="Q423" s="59" t="n">
        <f aca="false">ROUND((Flights!$AF$16)*1440,0)/1440</f>
        <v>46307.6006944444</v>
      </c>
      <c r="R423" s="59" t="n">
        <f aca="false">Q423+(IF(AND(INDEX(TZ_DSTS,MATCH(P423,TZ_STN,0))&lt;&gt;"",Q423&gt;=INDEX(TZ_DSTS,MATCH(P423,TZ_STN,0)),Q423&lt;INDEX(TZ_DSTE,MATCH(P423,TZ_STN,0))),INDEX(TZ_DST,MATCH(P423,TZ_STN,0)),INDEX(TZ_STD,MATCH(P423,TZ_STN,0))))/24</f>
        <v>46307.9340277778</v>
      </c>
      <c r="S423" s="60"/>
      <c r="T423" s="60"/>
      <c r="U423" s="60"/>
      <c r="V423" s="60"/>
      <c r="W423" s="61"/>
      <c r="X423" s="60"/>
      <c r="Y423" s="60"/>
      <c r="Z423" s="60"/>
      <c r="AA423" s="60"/>
      <c r="AB423" s="60"/>
      <c r="AC423" s="60"/>
      <c r="AD423" s="66"/>
      <c r="AE423" s="60"/>
      <c r="AF423" s="61" t="str">
        <f aca="false">IF(AND(ISNUMBER(X423),ISNUMBER(Y423)),Y423-X423,"")</f>
        <v/>
      </c>
      <c r="AG423" s="62" t="str">
        <f aca="false">IF(ISNUMBER(AD423),AD423-(IF(AND(INDEX(TZ_DSTS,MATCH(P423,TZ_STN,0))&lt;&gt;"",(AD423-INDEX(TZ_STD,MATCH(P423,TZ_STN,0))/24)&gt;=INDEX(TZ_DSTS,MATCH(P423,TZ_STN,0)),(AD423-INDEX(TZ_STD,MATCH(P423,TZ_STN,0))/24)&lt;INDEX(TZ_DSTE,MATCH(P423,TZ_STN,0))),INDEX(TZ_DST,MATCH(P423,TZ_STN,0)),INDEX(TZ_STD,MATCH(P423,TZ_STN,0))))/24,"")</f>
        <v/>
      </c>
      <c r="AH423" s="65" t="str">
        <f aca="false">IFERROR(IF(N423="N/A – rule",IF(OR(TRIM(U423)="",TRIM(U423)="N/A",TRIM(U423)="Not started"),"N/A – RULE","INVALID – this check does not apply to this aircraft: clear the status (or correct the fleet on Flights)"),IF(TRIM(U423)="N/A",IF(AT423=0,"INVALID – N/A not permitted for this check",IF(AND(TRIM(AB423)&lt;&gt;"",TRIM(AB423)&lt;&gt;"Closed"),"INVALID – corrective action still open",IF(AND(NOT(OR(LEN(AZ423)&lt;15,ISNUMBER(MATCH(AZ423,L_Placeholder,0)))),BK423=0,CG423&gt;=8,NOT(OR(LEN(AU423)&lt;2,ISNUMBER(MATCH(AU423,L_Placeholder,0)))),BR423&gt;=3,NOT(OR(LEN(AX423)&lt;2,ISNUMBER(MATCH(AX423,L_Placeholder,0)))),BS423&gt;=3,TRIM(AE423)&lt;&gt;TRIM(T423),AX423&lt;&gt;AU423,CE423=0),"N/A – JUSTIFIED","INVALID – N/A needs a real, settled reason (not 'not applicable' / 'as above' / TBC), a named PIC and a different named verifier"))),IF(OR(TRIM(U423)="Pass",TRIM(U423)="Pass after CA"),IF(NOT(ISNUMBER(AD423)),"INVALID – completion time missing",IF(OR(OR(LEN(AU423)&lt;2,ISNUMBER(MATCH(AU423,L_Placeholder,0))),BR423&lt;3),"INVALID – PIC missing or not a named person (a role such as QA / CSM is not a name)",IF(OR(LEN(AV423)&lt;2,ISNUMBER(MATCH(AV423,L_Placeholder,0))),"INVALID – result / assessment missing",IF(OR(OR(LEN(AW423)&lt;3,ISNUMBER(MATCH(AW423,L_Placeholder,0))),SUMPRODUCT(--ISNUMBER(SEARCH(" "&amp;L_EvidencePhrase&amp;" ",BD423)))&gt;0,BI423=1),"INVALID – evidence missing, placeholder or not yet on file",IF(ISNA(MATCH(TRIM(S423),L_EvidenceType,0)),"INVALID – choose the evidence type from the list (column S)",IF(BL423=0,"INVALID – evidence ID must be the record's own ID only (e.g. SF-2210, IMG_2231, 1045521); a link / file name needs type 'Link / file path'",IF(OR(OR(LEN(AX423)&lt;2,ISNUMBER(MATCH(AX423,L_Placeholder,0))),BS423&lt;3),"INVALID – verifier missing or not a named person (a role such as QA / CSM is not a name)",IF(OR(AX423=AU423,CE423=1,AND(LEN(AU423)&gt;=4,ISNUMBER(SEARCH(AU423,AX423))),AND(LEN(AX423)&gt;=4,ISNUMBER(SEARCH(AX423,AU423)))),"INVALID – verifier must be a different, named person (not the PIC or a role)",IF(BH423=1,"INVALID – result not yet available (awaiting / TBC)",IF(BG423=1,"INVALID – result describes a problem: record Fail, then Pass after CA (or reword if it is not a problem)",IF(BV423=1,"INVALID – wording says not on board: an on-board confirmation needs the item loaded",IF(AND(AQ423=1,OR(OR(LEN(AY423)&lt;3,ISNUMBER(MATCH(AY423,L_Placeholder,0))),BJ423=1,BQ423=0)),"INVALID – batch ID missing, placeholder or not an ID (e.g. PASB-261008-BC-017)",IF(AND(AR423=1,OR(NOT(ISNUMBER(X423)),NOT(ISNUMBER(Y423)))),"INVALID – expected/actual qty missing",IF(AND(AR423=1,OR(X423&lt;=0,Y423&lt;0)),"INVALID – expected qty must be above 0 and actual not negative",IF(AH407="N/A – JUSTIFIED","INVALID – preparation row F12-T12-18 is N/A",IF(AND(AR423=1,ISNUMBER(X407),X423&lt;&gt;X407,TRIM(U423)&lt;&gt;"Pass after CA"),"INVALID – expected qty differs from preparation check F12-T12-18: record the load change as a corrective action (Pass after CA)",IF(BB423&lt;&gt;"",BB423,IF(AND(AS423=1,Documents!$J$16&lt;&gt;"ON FILE"),"INVALID – GLD not on file (Documents sheet)",IF(AND(AS423=2,Documents!$O$16&lt;&gt;"ON FILE"),"INVALID – menu checklist not on file (Documents sheet)",IF(AND(AS423=3,NOT(ISNUMBER(Flights!$AX$16))),"INVALID – enter carrying flight KUL departure (Flights AX)",IF(AND(AS423=3,OR(Flights!$AZ$16&gt;Flights!$AA$16,Flights!$AX$16&lt;Flights!$AA$16-3)),"INVALID – carrying flight (Flights AX) cannot arrive before this leg's STD, or is over 3 days early",IF(AG423&gt;AsOfUTC,"INVALID – completion time is in the future",IF(AND(ISNUMBER(BY423),AG423&lt;BY423),IF(H423="Physical uplift","INVALID – before uplift window (cannot confirm loading)","INVALID – before valid window"),IF(AG423&gt;Flights!$AA$16,"INVALID – completed after departure (cannot establish readiness)",IF(AND(H423="Preparation",AG423&gt;=IF(ISNUMBER(Flights!$BA$16),MIN(Flights!$BA$16,Flights!$AA$16),Flights!$AA$16)),"INVALID – completed after loading / departure (cannot establish readiness)",IF(AND(H423="Physical uplift",AG423&gt;Q423),"INVALID – recorded after the loading flight departed",IF(AG423&gt;Q423,"COMPLETE – LATE","COMPLETE"))))))))))))))))))))))))))),IF(TRIM(U423)="Fail","FAIL – DISCREPANCY",IF(AND(TRIM(U423)&lt;&gt;"",TRIM(U423)&lt;&gt;"Not started",TRIM(U423)&lt;&gt;"In progress"),"INVALID – unrecognised status (use the list)",IF(AsOfUTC&gt;Q423,"OVERDUE",IF(N423="Clarification required","OPEN – CLARIFICATION","OPEN"))))))),"INVALID – error value in an input cell")</f>
        <v>OPEN</v>
      </c>
      <c r="AI423" s="61" t="n">
        <f aca="false">IF(OR(AH423="N/A – RULE",AH423="N/A – JUSTIFIED"),0,1)</f>
        <v>1</v>
      </c>
      <c r="AJ423" s="61" t="n">
        <f aca="false">IF(LEFT(AH423,8)="COMPLETE",1,0)</f>
        <v>0</v>
      </c>
      <c r="AK423" s="61" t="n">
        <f aca="false">IF(AND(AI423=1,AJ423=0,AsOfUTC&gt;Q423),1,0)</f>
        <v>0</v>
      </c>
      <c r="AL423" s="61" t="n">
        <f aca="false">IFERROR(IF(AND(AI423=1,OR(TRIM(U423)="Fail",AND(TRIM(AB423)&lt;&gt;"",TRIM(AB423)&lt;&gt;"Closed"),AND(ISNUMBER(AF423),AF423&lt;&gt;0,TRIM(U423)&lt;&gt;"Pass after CA"))),1,0),1)</f>
        <v>0</v>
      </c>
      <c r="AM423" s="61" t="n">
        <f aca="false">IF(LEFT(AH423,7)="INVALID",1,0)</f>
        <v>0</v>
      </c>
      <c r="AN423" s="61" t="n">
        <f aca="false">IF(AND(N423="Clarification required",AI423=1,AJ423=0),1,0)</f>
        <v>0</v>
      </c>
      <c r="AO423" s="61" t="str">
        <f aca="false">IF(AK423=1,SUM(AK$5:AK423),"")</f>
        <v/>
      </c>
      <c r="AP423" s="61" t="str">
        <f aca="false">IF(AL423=1,SUM(AL$5:AL423),"")</f>
        <v/>
      </c>
      <c r="AQ423" s="61" t="n">
        <v>0</v>
      </c>
      <c r="AR423" s="61" t="n">
        <v>0</v>
      </c>
      <c r="AS423" s="61" t="n">
        <v>0</v>
      </c>
      <c r="AT423" s="61" t="n">
        <v>0</v>
      </c>
      <c r="AU423" s="61" t="str">
        <f aca="false">SUBSTITUTE(SUBSTITUTE(SUBSTITUTE(SUBSTITUTE(SUBSTITUTE(SUBSTITUTE(SUBSTITUTE(SUBSTITUTE(SUBSTITUTE(SUBSTITUTE(SUBSTITUTE(SUBSTITUTE(SUBSTITUTE(SUBSTITUTE(SUBSTITUTE(SUBSTITUTE(LOWER(T423&amp;""),CHAR(10),""),CHAR(13),""),CHAR(9),""),CHAR(160),"")," ",""),".",""),"-",""),"/",""),"?",""),"_",""),",",""),"[",""),"]",""),"(",""),")",""),"*","")</f>
        <v/>
      </c>
      <c r="AV423" s="61" t="str">
        <f aca="false">SUBSTITUTE(SUBSTITUTE(SUBSTITUTE(SUBSTITUTE(SUBSTITUTE(SUBSTITUTE(SUBSTITUTE(SUBSTITUTE(SUBSTITUTE(SUBSTITUTE(SUBSTITUTE(SUBSTITUTE(SUBSTITUTE(SUBSTITUTE(SUBSTITUTE(SUBSTITUTE(LOWER(V423&amp;""),CHAR(10),""),CHAR(13),""),CHAR(9),""),CHAR(160),"")," ",""),".",""),"-",""),"/",""),"?",""),"_",""),",",""),"[",""),"]",""),"(",""),")",""),"*","")</f>
        <v/>
      </c>
      <c r="AW423" s="61" t="str">
        <f aca="false">SUBSTITUTE(SUBSTITUTE(SUBSTITUTE(SUBSTITUTE(SUBSTITUTE(SUBSTITUTE(SUBSTITUTE(SUBSTITUTE(SUBSTITUTE(SUBSTITUTE(SUBSTITUTE(SUBSTITUTE(SUBSTITUTE(SUBSTITUTE(SUBSTITUTE(SUBSTITUTE(LOWER(Z423&amp;""),CHAR(10),""),CHAR(13),""),CHAR(9),""),CHAR(160),"")," ",""),".",""),"-",""),"/",""),"?",""),"_",""),",",""),"[",""),"]",""),"(",""),")",""),"*","")</f>
        <v/>
      </c>
      <c r="AX423" s="61" t="str">
        <f aca="false">SUBSTITUTE(SUBSTITUTE(SUBSTITUTE(SUBSTITUTE(SUBSTITUTE(SUBSTITUTE(SUBSTITUTE(SUBSTITUTE(SUBSTITUTE(SUBSTITUTE(SUBSTITUTE(SUBSTITUTE(SUBSTITUTE(SUBSTITUTE(SUBSTITUTE(SUBSTITUTE(LOWER(AE423&amp;""),CHAR(10),""),CHAR(13),""),CHAR(9),""),CHAR(160),"")," ",""),".",""),"-",""),"/",""),"?",""),"_",""),",",""),"[",""),"]",""),"(",""),")",""),"*","")</f>
        <v/>
      </c>
      <c r="AY423" s="61" t="str">
        <f aca="false">SUBSTITUTE(SUBSTITUTE(SUBSTITUTE(SUBSTITUTE(SUBSTITUTE(SUBSTITUTE(SUBSTITUTE(SUBSTITUTE(SUBSTITUTE(SUBSTITUTE(SUBSTITUTE(SUBSTITUTE(SUBSTITUTE(SUBSTITUTE(SUBSTITUTE(SUBSTITUTE(LOWER(W423&amp;""),CHAR(10),""),CHAR(13),""),CHAR(9),""),CHAR(160),"")," ",""),".",""),"-",""),"/",""),"?",""),"_",""),",",""),"[",""),"]",""),"(",""),")",""),"*","")</f>
        <v/>
      </c>
      <c r="AZ423" s="61" t="str">
        <f aca="false">SUBSTITUTE(SUBSTITUTE(SUBSTITUTE(SUBSTITUTE(SUBSTITUTE(SUBSTITUTE(SUBSTITUTE(SUBSTITUTE(SUBSTITUTE(SUBSTITUTE(SUBSTITUTE(SUBSTITUTE(SUBSTITUTE(SUBSTITUTE(SUBSTITUTE(SUBSTITUTE(LOWER(AC423&amp;""),CHAR(10),""),CHAR(13),""),CHAR(9),""),CHAR(160),"")," ",""),".",""),"-",""),"/",""),"?",""),"_",""),",",""),"[",""),"]",""),"(",""),")",""),"*","")</f>
        <v/>
      </c>
      <c r="BA423" s="61" t="str">
        <f aca="false">SUBSTITUTE(SUBSTITUTE(SUBSTITUTE(SUBSTITUTE(SUBSTITUTE(SUBSTITUTE(SUBSTITUTE(SUBSTITUTE(SUBSTITUTE(SUBSTITUTE(SUBSTITUTE(SUBSTITUTE(SUBSTITUTE(SUBSTITUTE(SUBSTITUTE(SUBSTITUTE(LOWER(AA423&amp;""),CHAR(10),""),CHAR(13),""),CHAR(9),""),CHAR(160),"")," ",""),".",""),"-",""),"/",""),"?",""),"_",""),",",""),"[",""),"]",""),"(",""),")",""),"*","")</f>
        <v/>
      </c>
      <c r="BB423" s="61" t="str">
        <f aca="false">IF(AND(TRIM(U423)="Pass",ISNUMBER(AF423)),IF(AF423&lt;&gt;0,"INVALID – qty variance: use Fail or Pass after CA",""),"")&amp;IF(AND(TRIM(U423)="Pass after CA",ISNUMBER(AF423)),IF(AF423&lt;&gt;0,"INVALID – after the corrective action the actual qty must equal expected (update Actual)",""),"")&amp;IF(AND(TRIM(U423)="Pass",TRIM(AB423)&lt;&gt;"",TRIM(AB423)&lt;&gt;"Closed"),"INVALID – corrective action not closed: use Fail, then Pass after CA","")&amp;IF(AND(LEN(BA423)&gt;=2,ISNA(MATCH(LEFT(BA423,255),L_Placeholder,0)),TRIM(AB423)=""),"INVALID – CA status missing for the recorded corrective action","")&amp;IF(AND(TRIM(U423)="Pass after CA",OR(OR(LEN(BA423)&lt;5,ISNUMBER(MATCH(BA423,L_Placeholder,0))),TRIM(AB423)&lt;&gt;"Closed")),"INVALID – corrective action not recorded/closed","")</f>
        <v/>
      </c>
      <c r="BC423" s="61" t="str">
        <f aca="false">" "&amp;TRIM(SUBSTITUTE(SUBSTITUTE(SUBSTITUTE(SUBSTITUTE(SUBSTITUTE(SUBSTITUTE(SUBSTITUTE(SUBSTITUTE(SUBSTITUTE(SUBSTITUTE(SUBSTITUTE(SUBSTITUTE(SUBSTITUTE(SUBSTITUTE(SUBSTITUTE(SUBSTITUTE(SUBSTITUTE(SUBSTITUTE(SUBSTITUTE(SUBSTITUTE(SUBSTITUTE(SUBSTITUTE(SUBSTITUTE(SUBSTITUTE(LOWER(V423&amp;""),CHAR(10)," "),CHAR(13)," "),CHAR(9)," "),CHAR(160)," "),"."," "),","," "),"-"," "),"/"," "),"("," "),")"," "),":"," "),";"," "),"_"," "),"–"," "),"?"," "),"!"," "),"*"," "),"["," "),"]"," "),"'"," "),"#"," "),"+"," "),"&amp;"," "),"\"," "))&amp;" "</f>
        <v>  </v>
      </c>
      <c r="BD423" s="61" t="str">
        <f aca="false">" "&amp;TRIM(SUBSTITUTE(SUBSTITUTE(SUBSTITUTE(SUBSTITUTE(SUBSTITUTE(SUBSTITUTE(SUBSTITUTE(SUBSTITUTE(SUBSTITUTE(SUBSTITUTE(SUBSTITUTE(SUBSTITUTE(SUBSTITUTE(SUBSTITUTE(SUBSTITUTE(SUBSTITUTE(SUBSTITUTE(SUBSTITUTE(SUBSTITUTE(SUBSTITUTE(SUBSTITUTE(SUBSTITUTE(SUBSTITUTE(SUBSTITUTE(LOWER(Z423&amp;""),CHAR(10)," "),CHAR(13)," "),CHAR(9)," "),CHAR(160)," "),"."," "),","," "),"-"," "),"/"," "),"("," "),")"," "),":"," "),";"," "),"_"," "),"–"," "),"?"," "),"!"," "),"*"," "),"["," "),"]"," "),"'"," "),"#"," "),"+"," "),"&amp;"," "),"\"," "))&amp;" "</f>
        <v>  </v>
      </c>
      <c r="BE423" s="61" t="str">
        <f aca="false">" "&amp;TRIM(SUBSTITUTE(SUBSTITUTE(SUBSTITUTE(SUBSTITUTE(SUBSTITUTE(SUBSTITUTE(SUBSTITUTE(SUBSTITUTE(SUBSTITUTE(SUBSTITUTE(SUBSTITUTE(SUBSTITUTE(SUBSTITUTE(SUBSTITUTE(SUBSTITUTE(SUBSTITUTE(SUBSTITUTE(SUBSTITUTE(SUBSTITUTE(SUBSTITUTE(SUBSTITUTE(SUBSTITUTE(SUBSTITUTE(SUBSTITUTE(LOWER(W423&amp;""),CHAR(10)," "),CHAR(13)," "),CHAR(9)," "),CHAR(160)," "),"."," "),","," "),"-"," "),"/"," "),"("," "),")"," "),":"," "),";"," "),"_"," "),"–"," "),"?"," "),"!"," "),"*"," "),"["," "),"]"," "),"'"," "),"#"," "),"+"," "),"&amp;"," "),"\"," "))&amp;" "</f>
        <v>  </v>
      </c>
      <c r="BF423" s="61" t="str">
        <f aca="false">" "&amp;TRIM(SUBSTITUTE(SUBSTITUTE(SUBSTITUTE(SUBSTITUTE(SUBSTITUTE(SUBSTITUTE(SUBSTITUTE(SUBSTITUTE(SUBSTITUTE(SUBSTITUTE(SUBSTITUTE(SUBSTITUTE(SUBSTITUTE(SUBSTITUTE(SUBSTITUTE(SUBSTITUTE(SUBSTITUTE(SUBSTITUTE(SUBSTITUTE(SUBSTITUTE(SUBSTITUTE(SUBSTITUTE(SUBSTITUTE(SUBSTITUTE(LOWER(AC423&amp;""),CHAR(10)," "),CHAR(13)," "),CHAR(9)," "),CHAR(160)," "),"."," "),","," "),"-"," "),"/"," "),"("," "),")"," "),":"," "),";"," "),"_"," "),"–"," "),"?"," "),"!"," "),"*"," "),"["," "),"]"," "),"'"," "),"#"," "),"+"," "),"&amp;"," "),"\"," "))&amp;" "</f>
        <v>  </v>
      </c>
      <c r="BG423" s="61" t="n">
        <f aca="false">IFERROR(IF(AND(TRIM(U423)="Pass",SUMPRODUCT((LEN(BC423)-LEN(SUBSTITUTE(BC423," "&amp;L_ResultBad&amp;" "," ")))/(LEN(L_ResultBad)+1))&gt;SUMPRODUCT((LEN(BC423)-LEN(SUBSTITUTE(BC423," "&amp;L_NegPhrase&amp;" "," ")))/(LEN(L_NegPhrase)+1))),1,0),0)</f>
        <v>0</v>
      </c>
      <c r="BH423" s="61" t="n">
        <f aca="false">IFERROR(IF(SUMPRODUCT((LEN(BC423)-LEN(SUBSTITUTE(BC423," "&amp;L_Pending&amp;" "," ")))/(LEN(L_Pending)+1))&gt;SUMPRODUCT((LEN(BC423)-LEN(SUBSTITUTE(BC423," "&amp;L_PendNeg&amp;" "," ")))/(LEN(L_PendNeg)+1)),1,0),1)</f>
        <v>0</v>
      </c>
      <c r="BI423" s="61" t="n">
        <f aca="false">IFERROR(IF(SUMPRODUCT((LEN(BD423)-LEN(SUBSTITUTE(BD423," "&amp;L_PendStrict&amp;" "," ")))/(LEN(L_PendStrict)+1))&gt;SUMPRODUCT((LEN(BD423)-LEN(SUBSTITUTE(BD423," "&amp;L_PendNeg&amp;" "," ")))/(LEN(L_PendNeg)+1)),1,0),1)</f>
        <v>0</v>
      </c>
      <c r="BJ423" s="61" t="n">
        <f aca="false">IFERROR(IF(SUMPRODUCT((LEN(BE423)-LEN(SUBSTITUTE(BE423," "&amp;L_Pending&amp;" "," ")))/(LEN(L_Pending)+1))&gt;SUMPRODUCT((LEN(BE423)-LEN(SUBSTITUTE(BE423," "&amp;L_PendNeg&amp;" "," ")))/(LEN(L_PendNeg)+1)),1,0),1)</f>
        <v>0</v>
      </c>
      <c r="BK423" s="61" t="n">
        <f aca="false">IFERROR(IF(SUMPRODUCT((LEN(BF423)-LEN(SUBSTITUTE(BF423," "&amp;L_PendStrict&amp;" "," ")))/(LEN(L_PendStrict)+1))&gt;SUMPRODUCT((LEN(BF423)-LEN(SUBSTITUTE(BF423," "&amp;L_PendNeg&amp;" "," ")))/(LEN(L_PendNeg)+1)),1,0),1)</f>
        <v>0</v>
      </c>
      <c r="BL423" s="61" t="n">
        <f aca="false">IF(ISNA(MATCH(TRIM(S423),L_EvidenceType,0)),0,BZ423)</f>
        <v>0</v>
      </c>
      <c r="BM423" s="61" t="str">
        <f aca="false">SUBSTITUTE(SUBSTITUTE(SUBSTITUTE(SUBSTITUTE(SUBSTITUTE(SUBSTITUTE(SUBSTITUTE(SUBSTITUTE(SUBSTITUTE(LOWER(Z423&amp;""),"1","0"),"2","0"),"3","0"),"4","0"),"5","0"),"6","0"),"7","0"),"8","0"),"9","0")</f>
        <v/>
      </c>
      <c r="BN423" s="61" t="str">
        <f aca="false">SUBSTITUTE(SUBSTITUTE(SUBSTITUTE(SUBSTITUTE(SUBSTITUTE(SUBSTITUTE(SUBSTITUTE(SUBSTITUTE(SUBSTITUTE(SUBSTITUTE(SUBSTITUTE(SUBSTITUTE(SUBSTITUTE(SUBSTITUTE(SUBSTITUTE(SUBSTITUTE(SUBSTITUTE(SUBSTITUTE(SUBSTITUTE(SUBSTITUTE(SUBSTITUTE(SUBSTITUTE(SUBSTITUTE(SUBSTITUTE(SUBSTITUTE(BM423,"b","a"),"c","a"),"d","a"),"e","a"),"f","a"),"g","a"),"h","a"),"i","a"),"j","a"),"k","a"),"l","a"),"m","a"),"n","a"),"o","a"),"p","a"),"q","a"),"r","a"),"s","a"),"t","a"),"u","a"),"v","a"),"w","a"),"x","a"),"y","a"),"z","a")</f>
        <v/>
      </c>
      <c r="BO423" s="61" t="str">
        <f aca="false">SUBSTITUTE(SUBSTITUTE(SUBSTITUTE(SUBSTITUTE(SUBSTITUTE(SUBSTITUTE(SUBSTITUTE(SUBSTITUTE(SUBSTITUTE(LOWER(W423&amp;""),"1","0"),"2","0"),"3","0"),"4","0"),"5","0"),"6","0"),"7","0"),"8","0"),"9","0")</f>
        <v/>
      </c>
      <c r="BP423" s="61" t="str">
        <f aca="false">SUBSTITUTE(SUBSTITUTE(SUBSTITUTE(SUBSTITUTE(SUBSTITUTE(SUBSTITUTE(SUBSTITUTE(SUBSTITUTE(SUBSTITUTE(SUBSTITUTE(SUBSTITUTE(SUBSTITUTE(SUBSTITUTE(SUBSTITUTE(SUBSTITUTE(SUBSTITUTE(SUBSTITUTE(SUBSTITUTE(SUBSTITUTE(SUBSTITUTE(SUBSTITUTE(SUBSTITUTE(SUBSTITUTE(SUBSTITUTE(SUBSTITUTE(BO423,"b","a"),"c","a"),"d","a"),"e","a"),"f","a"),"g","a"),"h","a"),"i","a"),"j","a"),"k","a"),"l","a"),"m","a"),"n","a"),"o","a"),"p","a"),"q","a"),"r","a"),"s","a"),"t","a"),"u","a"),"v","a"),"w","a"),"x","a"),"y","a"),"z","a")</f>
        <v/>
      </c>
      <c r="BQ423" s="61" t="n">
        <f aca="false">IFERROR(IF(AND(ISERROR(SEARCH(" mh"," "&amp;LOWER(W423))),ISNA(MATCH(LEFT(TRIM(BP423),255),{"0000a","000a","00a","0000aa","000aa","00aa","0aa","0000aaa","000aaa","00a00","0a00","0000-0000","00:00","a00","a0","00.00.0000","00/00/0000","00-00-0000","0000-00-00","0000/00/00","0000.00.00","00.00.00","00/00/00","00-00-00","0.00.0000","0/00/0000","0-00-0000"},0)),ISNA(MATCH(LEFT(TRIM(CA423),255),{"0000a","000a","00a","0000aa","000aa","00aa","0aa","0000aaa","000aaa","00a00","0a00","0000-0000","00:00","a00","a0","00.00.0000","00/00/0000","00-00-0000","0000-00-00","0000/00/00","0000.00.00","00.00.00","00/00/00","00-00-00","0.00.0000","0/00/0000","0-00-0000"},0)),LEN(CB423)&gt;=3,NOT(OR(SUBSTITUTE(CB423,"0","")="",AND(LEN(CB423)&gt;=4,CB423=REPT(LEFT(CB423),LEN(CB423))),ISNUMBER(MATCH(CB423,{"123","1234","12345","123456","1234567","12345678","0123","01234","012345","98765","987654","54321"},0)),AND(LEN(CB423)=8,LEFT(CB423,3)="202"))),OR(AND((LEN(CA423)-LEN(SUBSTITUTE(CA423,"a","")))&gt;=1,SUMPRODUCT(--ISNUMBER(SEARCH({"a0","a-0","a_0","a/0","a.0","a#0","0a","0-a","0_a","0/a"},BP423)))&gt;0),ISNUMBER(SEARCH("000000",BP423)))),1,0),0)</f>
        <v>0</v>
      </c>
      <c r="BR423" s="61" t="n">
        <f aca="false">IFERROR(LEN(SUBSTITUTE(CC423," ",""))-SUMPRODUCT((LEN(CC423)-LEN(SUBSTITUTE(CC423," "&amp;L_Role&amp;" "," ")))/(LEN(L_Role)+1)*LEN(L_Role)),0)</f>
        <v>0</v>
      </c>
      <c r="BS423" s="61" t="n">
        <f aca="false">IFERROR(LEN(SUBSTITUTE(CD423," ",""))-SUMPRODUCT((LEN(CD423)-LEN(SUBSTITUTE(CD423," "&amp;L_Role&amp;" "," ")))/(LEN(L_Role)+1)*LEN(L_Role)),0)</f>
        <v>0</v>
      </c>
      <c r="BT4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423,"revision",""),"version",""),"jan",""),"feb",""),"mar",""),"apr",""),"may",""),"jun",""),"jul",""),"aug",""),"sep",""),"oct",""),"nov",""),"dec",""),"utc",""),"gmt",""),"myt",""),"bst",""),"rev",""),"ver",""),"b","a"),"c","a"),"d","a"),"e","a"),"f","a"),"g","a"),"h","a"),"i","a"),"j","a"),"k","a"),"l","a"),"m","a"),"n","a"),"o","a"),"p","a"),"q","a"),"r","a"),"s","a"),"t","a"),"u","a"),"v","a"),"w","a"),"x","a"),"y","a"),"z","a")</f>
        <v/>
      </c>
      <c r="BU423" s="61" t="str">
        <f aca="false">SUBSTITUTE(SUBSTITUTE(SUBSTITUTE(SUBSTITUTE(SUBSTITUTE(SUBSTITUTE(SUBSTITUTE(SUBSTITUTE(SUBSTITUTE(SUBSTITUTE(LEFT(BM423,FIND("0",BM423&amp;"0")-1),"-",""),"_",""),"/",""),".",""),"#",""),"\\",""),":","")," ",""),"(",""),")","")</f>
        <v/>
      </c>
      <c r="BV423" s="61" t="n">
        <f aca="false">IFERROR(IF(OR(SUMPRODUCT((LEN(BC423)-LEN(SUBSTITUTE(BC423," "&amp;L_NotLoaded&amp;" "," ")))/(LEN(L_NotLoaded)+1))&gt;SUMPRODUCT((LEN(BC423)-LEN(SUBSTITUTE(BC423," "&amp;L_NotLoadedNeg&amp;" "," ")))/(LEN(L_NotLoadedNeg)+1)),SUMPRODUCT((LEN(BD423)-LEN(SUBSTITUTE(BD423," "&amp;L_NotLoaded&amp;" "," ")))/(LEN(L_NotLoaded)+1))&gt;SUMPRODUCT((LEN(BD423)-LEN(SUBSTITUTE(BD423," "&amp;L_NotLoadedNeg&amp;" "," ")))/(LEN(L_NotLoadedNeg)+1))),1,0),0)</f>
        <v>0</v>
      </c>
      <c r="BW4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423&amp;""),"a",""),"b",""),"c",""),"d",""),"e",""),"f",""),"g",""),"h",""),"i",""),"j",""),"k",""),"l",""),"m",""),"n",""),"o",""),"p",""),"q",""),"r",""),"s",""),"t",""),"u",""),"v",""),"w",""),"x",""),"y",""),"z",""),"-",""),"_",""),"/",""),".",""),"#",""),"\\",""),":","")," ",""),"(",""),")","")</f>
        <v/>
      </c>
      <c r="BX423" s="61" t="str">
        <f aca="false">SUBSTITUTE(SUBSTITUTE(SUBSTITUTE(SUBSTITUTE(SUBSTITUTE(SUBSTITUTE(SUBSTITUTE(SUBSTITUTE(SUBSTITUTE(SUBSTITUTE(SUBSTITUTE(BM423,"0",""),"-",""),"_",""),"/",""),".",""),"#",""),"\\",""),":","")," ",""),"(",""),")","")</f>
        <v/>
      </c>
      <c r="BY423" s="62" t="n">
        <f aca="false">IF(ISNUMBER(Flights!$AZ$16),MAX(Q423-UpliftWindowH/24,Flights!$AZ$16),Q423-UpliftWindowH/24)</f>
        <v>46307.3506944444</v>
      </c>
      <c r="BZ423" s="61" t="n">
        <f aca="false">IFERROR(IF(IF(TRIM(S423)="Link / file path",AND(LEN(TRIM(Z423))&gt;=5,SUMPRODUCT(--ISNUMBER(SEARCH({"http","www.","\\",":\",".pdf",".jpg",".jpeg",".png",".heic",".xls",".doc",".msg",".eml",".ppt",".txt",".zip"},Z423)))&gt;0),AND(ISERROR(FIND(" ",TRIM(Z423))),NOT(OR(SUMPRODUCT(--ISNUMBER(FIND({",",";","&amp;","+"},Z423)))&gt;0,SUMPRODUCT(--ISNUMBER(SEARCH({"0/aa","0\\aa"},BN423)))&gt;0)),NOT(SUMPRODUCT(--ISNUMBER(SEARCH({"http","www.","\\",":\",".pdf",".jpg",".jpeg",".png",".heic",".xls",".doc",".msg",".eml",".ppt",".txt",".zip"},Z423)))&gt;0),NOT(LOWER(TRIM(Z423))=LOWER(Flights!$F$16)),ISNA(MATCH(BU423,{"mh","rev","revision","ver","version","v","r","a","b","seat","tray","row","gate","bay","stand","page","pg","item","line","no","cart","galley","flight","flt","table","box","bag","oven","etd","eta","std","sta","atd","ata","qty","pax","x","time","tel","ph","mob","day","wk","week","utc","gmt","myt","lt"},0)),NOT(OR(ISNUMBER(MATCH(LEFT(BN423,255),{"0000a","000a","00a","0000aa","000aa","00aa","0aa","0000aaa","000aaa","00a00","0a00","0000-0000","00:00","a00","a0","00.00.0000","00/00/0000","00-00-0000","0000-00-00","0000/00/00","0000.00.00","00.00.00","00/00/00","00-00-00","0.00.0000","0/00/0000","0-00-0000"},0)),ISNUMBER(MATCH(LEFT(BT423,255),{"0000a","000a","00a","0000aa","000aa","00aa","0aa","0000aaa","000aaa","00a00","0a00","0000-0000","00:00","a00","a0","00.00.0000","00/00/0000","00-00-0000","0000-00-00","0000/00/00","0000.00.00","00.00.00","00/00/00","00-00-00","0.00.0000","0/00/0000","0-00-0000"},0)))),NOT(OR(AND(BW423&lt;&gt;"",SUBSTITUTE(BW423,"0","")=""),AND(LEN(BW423)&gt;=4,BW423=REPT(LEFT(BW423),LEN(BW423))),ISNUMBER(MATCH(BW423,{"123","1234","12345","123456","1234567","12345678","0123","01234","012345","98765","987654","54321"},0)),ISNUMBER(MATCH(BX423,{"x","xx","xxx","xxxx","xxxxx","abc","abcd","nil","na","nan","test","tbc","tba","tbd","dummy","sample","example","eg","zz","zzz","none","null","xyz","qwe","asd","id","ref"},0)),AND(LEN(BW423)=8,BX423="",OR(LEFT(BW423,3)="202",ISNUMBER(MATCH(RIGHT(BW423,4),{"2025","2026","2027"},0)))))),OR(AND((LEN(BT423)-LEN(SUBSTITUTE(BT423,"a","")))&gt;=1,(LEN(BN423)-LEN(SUBSTITUTE(BN423,"0","")))&gt;=2,SUMPRODUCT(--ISNUMBER(SEARCH({"a0","a-0","a_0","a/0","a.0","a#0","0a","0-a","0_a","0/a"},BN423)))&gt;0),AND((LEN(BN423)-LEN(SUBSTITUTE(BN423,"a","")))=0,(LEN(BN423)-LEN(SUBSTITUTE(BN423,"0","")))&gt;=5)))),1,0),0)</f>
        <v>0</v>
      </c>
      <c r="CA4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423,"revision",""),"version",""),"jan",""),"feb",""),"mar",""),"apr",""),"may",""),"jun",""),"jul",""),"aug",""),"sep",""),"oct",""),"nov",""),"dec",""),"utc",""),"gmt",""),"myt",""),"bst",""),"rev",""),"ver",""),"b","a"),"c","a"),"d","a"),"e","a"),"f","a"),"g","a"),"h","a"),"i","a"),"j","a"),"k","a"),"l","a"),"m","a"),"n","a"),"o","a"),"p","a"),"q","a"),"r","a"),"s","a"),"t","a"),"u","a"),"v","a"),"w","a"),"x","a"),"y","a"),"z","a")</f>
        <v/>
      </c>
      <c r="CB4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423&amp;""),"a",""),"b",""),"c",""),"d",""),"e",""),"f",""),"g",""),"h",""),"i",""),"j",""),"k",""),"l",""),"m",""),"n",""),"o",""),"p",""),"q",""),"r",""),"s",""),"t",""),"u",""),"v",""),"w",""),"x",""),"y",""),"z",""),"-",""),"_",""),"/",""),".",""),"#",""),"\\",""),":","")," ",""),"(",""),")","")</f>
        <v/>
      </c>
      <c r="CC423" s="0" t="str">
        <f aca="false">" "&amp;TRIM(SUBSTITUTE(SUBSTITUTE(SUBSTITUTE(SUBSTITUTE(SUBSTITUTE(SUBSTITUTE(SUBSTITUTE(SUBSTITUTE(SUBSTITUTE(SUBSTITUTE(SUBSTITUTE(SUBSTITUTE(SUBSTITUTE(SUBSTITUTE(SUBSTITUTE(SUBSTITUTE(SUBSTITUTE(SUBSTITUTE(SUBSTITUTE(SUBSTITUTE(SUBSTITUTE(SUBSTITUTE(SUBSTITUTE(SUBSTITUTE(LOWER(T423&amp;""),CHAR(10)," "),CHAR(13)," "),CHAR(9)," "),CHAR(160)," "),"."," "),","," "),"-"," "),"/"," "),"("," "),")"," "),":"," "),";"," "),"_"," "),"–"," "),"?"," "),"!"," "),"*"," "),"["," "),"]"," "),"'"," "),"#"," "),"+"," "),"&amp;"," "),"\"," "))&amp;" "</f>
        <v>  </v>
      </c>
      <c r="CD423" s="0" t="str">
        <f aca="false">" "&amp;TRIM(SUBSTITUTE(SUBSTITUTE(SUBSTITUTE(SUBSTITUTE(SUBSTITUTE(SUBSTITUTE(SUBSTITUTE(SUBSTITUTE(SUBSTITUTE(SUBSTITUTE(SUBSTITUTE(SUBSTITUTE(SUBSTITUTE(SUBSTITUTE(SUBSTITUTE(SUBSTITUTE(SUBSTITUTE(SUBSTITUTE(SUBSTITUTE(SUBSTITUTE(SUBSTITUTE(SUBSTITUTE(SUBSTITUTE(SUBSTITUTE(LOWER(AE423&amp;""),CHAR(10)," "),CHAR(13)," "),CHAR(9)," "),CHAR(160)," "),"."," "),","," "),"-"," "),"/"," "),"("," "),")"," "),":"," "),";"," "),"_"," "),"–"," "),"?"," "),"!"," "),"*"," "),"["," "),"]"," "),"'"," "),"#"," "),"+"," "),"&amp;"," "),"\"," "))&amp;" "</f>
        <v>  </v>
      </c>
      <c r="CE423" s="68" t="n">
        <f aca="false">IFERROR(IF(AND(LEN(AU423)&gt;0,LEN(AU423)=LEN(AX423),OR(TRIM(MID(SUBSTITUTE(TRIM(CC423)," ",REPT(" ",60)),1,60))="",ISNUMBER(SEARCH(" "&amp;TRIM(MID(SUBSTITUTE(TRIM(CC423)," ",REPT(" ",60)),1,60))&amp;" ",CD423))),OR(TRIM(MID(SUBSTITUTE(TRIM(CC423)," ",REPT(" ",60)),61,60))="",ISNUMBER(SEARCH(" "&amp;TRIM(MID(SUBSTITUTE(TRIM(CC423)," ",REPT(" ",60)),61,60))&amp;" ",CD423))),OR(TRIM(MID(SUBSTITUTE(TRIM(CC423)," ",REPT(" ",60)),121,60))="",ISNUMBER(SEARCH(" "&amp;TRIM(MID(SUBSTITUTE(TRIM(CC423)," ",REPT(" ",60)),121,60))&amp;" ",CD423)))),1,0),0)</f>
        <v>0</v>
      </c>
      <c r="CG423" s="68" t="n">
        <f aca="false">IFERROR(LEN(SUBSTITUTE(BF423," ",""))-SUMPRODUCT((LEN(BF423)-LEN(SUBSTITUTE(BF423," "&amp;L_NAFiller&amp;" "," ")))/(LEN(L_NAFiller)+1)*LEN(L_NAFiller)),0)</f>
        <v>0</v>
      </c>
    </row>
    <row r="424" customFormat="false" ht="39.75" hidden="false" customHeight="true" outlineLevel="0" collapsed="false">
      <c r="A424" s="57" t="s">
        <v>1056</v>
      </c>
      <c r="B424" s="57" t="s">
        <v>261</v>
      </c>
      <c r="C424" s="57" t="str">
        <f aca="false">Flights!$F$16</f>
        <v>MH0139</v>
      </c>
      <c r="D424" s="58" t="n">
        <f aca="false">Flights!$D$16</f>
        <v>46307</v>
      </c>
      <c r="E424" s="57" t="str">
        <f aca="false">Flights!$G$16&amp;"-"&amp;Flights!$H$16</f>
        <v>KUL-ADL</v>
      </c>
      <c r="F424" s="57" t="str">
        <f aca="false">Flights!$K$16</f>
        <v>BC</v>
      </c>
      <c r="G424" s="57" t="s">
        <v>459</v>
      </c>
      <c r="H424" s="57" t="s">
        <v>460</v>
      </c>
      <c r="I424" s="57" t="s">
        <v>447</v>
      </c>
      <c r="J424" s="57" t="s">
        <v>655</v>
      </c>
      <c r="K424" s="67" t="s">
        <v>449</v>
      </c>
      <c r="L424" s="67" t="s">
        <v>1036</v>
      </c>
      <c r="M424" s="67" t="s">
        <v>451</v>
      </c>
      <c r="N424" s="67" t="s">
        <v>383</v>
      </c>
      <c r="O424" s="67"/>
      <c r="P424" s="57" t="s">
        <v>187</v>
      </c>
      <c r="Q424" s="59" t="n">
        <f aca="false">ROUND((Flights!$AF$16)*1440,0)/1440</f>
        <v>46307.6006944444</v>
      </c>
      <c r="R424" s="59" t="n">
        <f aca="false">Q424+(IF(AND(INDEX(TZ_DSTS,MATCH(P424,TZ_STN,0))&lt;&gt;"",Q424&gt;=INDEX(TZ_DSTS,MATCH(P424,TZ_STN,0)),Q424&lt;INDEX(TZ_DSTE,MATCH(P424,TZ_STN,0))),INDEX(TZ_DST,MATCH(P424,TZ_STN,0)),INDEX(TZ_STD,MATCH(P424,TZ_STN,0))))/24</f>
        <v>46307.9340277778</v>
      </c>
      <c r="S424" s="60"/>
      <c r="T424" s="60"/>
      <c r="U424" s="60"/>
      <c r="V424" s="60"/>
      <c r="W424" s="61"/>
      <c r="X424" s="60"/>
      <c r="Y424" s="60"/>
      <c r="Z424" s="60"/>
      <c r="AA424" s="60"/>
      <c r="AB424" s="60"/>
      <c r="AC424" s="60"/>
      <c r="AD424" s="66"/>
      <c r="AE424" s="60"/>
      <c r="AF424" s="61" t="str">
        <f aca="false">IF(AND(ISNUMBER(X424),ISNUMBER(Y424)),Y424-X424,"")</f>
        <v/>
      </c>
      <c r="AG424" s="62" t="str">
        <f aca="false">IF(ISNUMBER(AD424),AD424-(IF(AND(INDEX(TZ_DSTS,MATCH(P424,TZ_STN,0))&lt;&gt;"",(AD424-INDEX(TZ_STD,MATCH(P424,TZ_STN,0))/24)&gt;=INDEX(TZ_DSTS,MATCH(P424,TZ_STN,0)),(AD424-INDEX(TZ_STD,MATCH(P424,TZ_STN,0))/24)&lt;INDEX(TZ_DSTE,MATCH(P424,TZ_STN,0))),INDEX(TZ_DST,MATCH(P424,TZ_STN,0)),INDEX(TZ_STD,MATCH(P424,TZ_STN,0))))/24,"")</f>
        <v/>
      </c>
      <c r="AH424" s="65" t="str">
        <f aca="false">IFERROR(IF(N424="N/A – rule",IF(OR(TRIM(U424)="",TRIM(U424)="N/A",TRIM(U424)="Not started"),"N/A – RULE","INVALID – this check does not apply to this aircraft: clear the status (or correct the fleet on Flights)"),IF(TRIM(U424)="N/A",IF(AT424=0,"INVALID – N/A not permitted for this check",IF(AND(TRIM(AB424)&lt;&gt;"",TRIM(AB424)&lt;&gt;"Closed"),"INVALID – corrective action still open",IF(AND(NOT(OR(LEN(AZ424)&lt;15,ISNUMBER(MATCH(AZ424,L_Placeholder,0)))),BK424=0,CG424&gt;=8,NOT(OR(LEN(AU424)&lt;2,ISNUMBER(MATCH(AU424,L_Placeholder,0)))),BR424&gt;=3,NOT(OR(LEN(AX424)&lt;2,ISNUMBER(MATCH(AX424,L_Placeholder,0)))),BS424&gt;=3,TRIM(AE424)&lt;&gt;TRIM(T424),AX424&lt;&gt;AU424,CE424=0),"N/A – JUSTIFIED","INVALID – N/A needs a real, settled reason (not 'not applicable' / 'as above' / TBC), a named PIC and a different named verifier"))),IF(OR(TRIM(U424)="Pass",TRIM(U424)="Pass after CA"),IF(NOT(ISNUMBER(AD424)),"INVALID – completion time missing",IF(OR(OR(LEN(AU424)&lt;2,ISNUMBER(MATCH(AU424,L_Placeholder,0))),BR424&lt;3),"INVALID – PIC missing or not a named person (a role such as QA / CSM is not a name)",IF(OR(LEN(AV424)&lt;2,ISNUMBER(MATCH(AV424,L_Placeholder,0))),"INVALID – result / assessment missing",IF(OR(OR(LEN(AW424)&lt;3,ISNUMBER(MATCH(AW424,L_Placeholder,0))),SUMPRODUCT(--ISNUMBER(SEARCH(" "&amp;L_EvidencePhrase&amp;" ",BD424)))&gt;0,BI424=1),"INVALID – evidence missing, placeholder or not yet on file",IF(ISNA(MATCH(TRIM(S424),L_EvidenceType,0)),"INVALID – choose the evidence type from the list (column S)",IF(BL424=0,"INVALID – evidence ID must be the record's own ID only (e.g. SF-2210, IMG_2231, 1045521); a link / file name needs type 'Link / file path'",IF(OR(OR(LEN(AX424)&lt;2,ISNUMBER(MATCH(AX424,L_Placeholder,0))),BS424&lt;3),"INVALID – verifier missing or not a named person (a role such as QA / CSM is not a name)",IF(OR(AX424=AU424,CE424=1,AND(LEN(AU424)&gt;=4,ISNUMBER(SEARCH(AU424,AX424))),AND(LEN(AX424)&gt;=4,ISNUMBER(SEARCH(AX424,AU424)))),"INVALID – verifier must be a different, named person (not the PIC or a role)",IF(BH424=1,"INVALID – result not yet available (awaiting / TBC)",IF(BG424=1,"INVALID – result describes a problem: record Fail, then Pass after CA (or reword if it is not a problem)",IF(BV424=1,"INVALID – wording says not on board: an on-board confirmation needs the item loaded",IF(AND(AQ424=1,OR(OR(LEN(AY424)&lt;3,ISNUMBER(MATCH(AY424,L_Placeholder,0))),BJ424=1,BQ424=0)),"INVALID – batch ID missing, placeholder or not an ID (e.g. PASB-261008-BC-017)",IF(AND(AR424=1,OR(NOT(ISNUMBER(X424)),NOT(ISNUMBER(Y424)))),"INVALID – expected/actual qty missing",IF(AND(AR424=1,OR(X424&lt;=0,Y424&lt;0)),"INVALID – expected qty must be above 0 and actual not negative",IF(AH408="N/A – JUSTIFIED","INVALID – preparation row F12-T12-19 is N/A",IF(AND(AR424=1,ISNUMBER(X408),X424&lt;&gt;X408,TRIM(U424)&lt;&gt;"Pass after CA"),"INVALID – expected qty differs from preparation check F12-T12-19: record the load change as a corrective action (Pass after CA)",IF(BB424&lt;&gt;"",BB424,IF(AND(AS424=1,Documents!$J$16&lt;&gt;"ON FILE"),"INVALID – GLD not on file (Documents sheet)",IF(AND(AS424=2,Documents!$O$16&lt;&gt;"ON FILE"),"INVALID – menu checklist not on file (Documents sheet)",IF(AND(AS424=3,NOT(ISNUMBER(Flights!$AX$16))),"INVALID – enter carrying flight KUL departure (Flights AX)",IF(AND(AS424=3,OR(Flights!$AZ$16&gt;Flights!$AA$16,Flights!$AX$16&lt;Flights!$AA$16-3)),"INVALID – carrying flight (Flights AX) cannot arrive before this leg's STD, or is over 3 days early",IF(AG424&gt;AsOfUTC,"INVALID – completion time is in the future",IF(AND(ISNUMBER(BY424),AG424&lt;BY424),IF(H424="Physical uplift","INVALID – before uplift window (cannot confirm loading)","INVALID – before valid window"),IF(AG424&gt;Flights!$AA$16,"INVALID – completed after departure (cannot establish readiness)",IF(AND(H424="Preparation",AG424&gt;=IF(ISNUMBER(Flights!$BA$16),MIN(Flights!$BA$16,Flights!$AA$16),Flights!$AA$16)),"INVALID – completed after loading / departure (cannot establish readiness)",IF(AND(H424="Physical uplift",AG424&gt;Q424),"INVALID – recorded after the loading flight departed",IF(AG424&gt;Q424,"COMPLETE – LATE","COMPLETE"))))))))))))))))))))))))))),IF(TRIM(U424)="Fail","FAIL – DISCREPANCY",IF(AND(TRIM(U424)&lt;&gt;"",TRIM(U424)&lt;&gt;"Not started",TRIM(U424)&lt;&gt;"In progress"),"INVALID – unrecognised status (use the list)",IF(AsOfUTC&gt;Q424,"OVERDUE",IF(N424="Clarification required","OPEN – CLARIFICATION","OPEN"))))))),"INVALID – error value in an input cell")</f>
        <v>OPEN</v>
      </c>
      <c r="AI424" s="61" t="n">
        <f aca="false">IF(OR(AH424="N/A – RULE",AH424="N/A – JUSTIFIED"),0,1)</f>
        <v>1</v>
      </c>
      <c r="AJ424" s="61" t="n">
        <f aca="false">IF(LEFT(AH424,8)="COMPLETE",1,0)</f>
        <v>0</v>
      </c>
      <c r="AK424" s="61" t="n">
        <f aca="false">IF(AND(AI424=1,AJ424=0,AsOfUTC&gt;Q424),1,0)</f>
        <v>0</v>
      </c>
      <c r="AL424" s="61" t="n">
        <f aca="false">IFERROR(IF(AND(AI424=1,OR(TRIM(U424)="Fail",AND(TRIM(AB424)&lt;&gt;"",TRIM(AB424)&lt;&gt;"Closed"),AND(ISNUMBER(AF424),AF424&lt;&gt;0,TRIM(U424)&lt;&gt;"Pass after CA"))),1,0),1)</f>
        <v>0</v>
      </c>
      <c r="AM424" s="61" t="n">
        <f aca="false">IF(LEFT(AH424,7)="INVALID",1,0)</f>
        <v>0</v>
      </c>
      <c r="AN424" s="61" t="n">
        <f aca="false">IF(AND(N424="Clarification required",AI424=1,AJ424=0),1,0)</f>
        <v>0</v>
      </c>
      <c r="AO424" s="61" t="str">
        <f aca="false">IF(AK424=1,SUM(AK$5:AK424),"")</f>
        <v/>
      </c>
      <c r="AP424" s="61" t="str">
        <f aca="false">IF(AL424=1,SUM(AL$5:AL424),"")</f>
        <v/>
      </c>
      <c r="AQ424" s="61" t="n">
        <v>0</v>
      </c>
      <c r="AR424" s="61" t="n">
        <v>0</v>
      </c>
      <c r="AS424" s="61" t="n">
        <v>0</v>
      </c>
      <c r="AT424" s="61" t="n">
        <v>0</v>
      </c>
      <c r="AU424" s="61" t="str">
        <f aca="false">SUBSTITUTE(SUBSTITUTE(SUBSTITUTE(SUBSTITUTE(SUBSTITUTE(SUBSTITUTE(SUBSTITUTE(SUBSTITUTE(SUBSTITUTE(SUBSTITUTE(SUBSTITUTE(SUBSTITUTE(SUBSTITUTE(SUBSTITUTE(SUBSTITUTE(SUBSTITUTE(LOWER(T424&amp;""),CHAR(10),""),CHAR(13),""),CHAR(9),""),CHAR(160),"")," ",""),".",""),"-",""),"/",""),"?",""),"_",""),",",""),"[",""),"]",""),"(",""),")",""),"*","")</f>
        <v/>
      </c>
      <c r="AV424" s="61" t="str">
        <f aca="false">SUBSTITUTE(SUBSTITUTE(SUBSTITUTE(SUBSTITUTE(SUBSTITUTE(SUBSTITUTE(SUBSTITUTE(SUBSTITUTE(SUBSTITUTE(SUBSTITUTE(SUBSTITUTE(SUBSTITUTE(SUBSTITUTE(SUBSTITUTE(SUBSTITUTE(SUBSTITUTE(LOWER(V424&amp;""),CHAR(10),""),CHAR(13),""),CHAR(9),""),CHAR(160),"")," ",""),".",""),"-",""),"/",""),"?",""),"_",""),",",""),"[",""),"]",""),"(",""),")",""),"*","")</f>
        <v/>
      </c>
      <c r="AW424" s="61" t="str">
        <f aca="false">SUBSTITUTE(SUBSTITUTE(SUBSTITUTE(SUBSTITUTE(SUBSTITUTE(SUBSTITUTE(SUBSTITUTE(SUBSTITUTE(SUBSTITUTE(SUBSTITUTE(SUBSTITUTE(SUBSTITUTE(SUBSTITUTE(SUBSTITUTE(SUBSTITUTE(SUBSTITUTE(LOWER(Z424&amp;""),CHAR(10),""),CHAR(13),""),CHAR(9),""),CHAR(160),"")," ",""),".",""),"-",""),"/",""),"?",""),"_",""),",",""),"[",""),"]",""),"(",""),")",""),"*","")</f>
        <v/>
      </c>
      <c r="AX424" s="61" t="str">
        <f aca="false">SUBSTITUTE(SUBSTITUTE(SUBSTITUTE(SUBSTITUTE(SUBSTITUTE(SUBSTITUTE(SUBSTITUTE(SUBSTITUTE(SUBSTITUTE(SUBSTITUTE(SUBSTITUTE(SUBSTITUTE(SUBSTITUTE(SUBSTITUTE(SUBSTITUTE(SUBSTITUTE(LOWER(AE424&amp;""),CHAR(10),""),CHAR(13),""),CHAR(9),""),CHAR(160),"")," ",""),".",""),"-",""),"/",""),"?",""),"_",""),",",""),"[",""),"]",""),"(",""),")",""),"*","")</f>
        <v/>
      </c>
      <c r="AY424" s="61" t="str">
        <f aca="false">SUBSTITUTE(SUBSTITUTE(SUBSTITUTE(SUBSTITUTE(SUBSTITUTE(SUBSTITUTE(SUBSTITUTE(SUBSTITUTE(SUBSTITUTE(SUBSTITUTE(SUBSTITUTE(SUBSTITUTE(SUBSTITUTE(SUBSTITUTE(SUBSTITUTE(SUBSTITUTE(LOWER(W424&amp;""),CHAR(10),""),CHAR(13),""),CHAR(9),""),CHAR(160),"")," ",""),".",""),"-",""),"/",""),"?",""),"_",""),",",""),"[",""),"]",""),"(",""),")",""),"*","")</f>
        <v/>
      </c>
      <c r="AZ424" s="61" t="str">
        <f aca="false">SUBSTITUTE(SUBSTITUTE(SUBSTITUTE(SUBSTITUTE(SUBSTITUTE(SUBSTITUTE(SUBSTITUTE(SUBSTITUTE(SUBSTITUTE(SUBSTITUTE(SUBSTITUTE(SUBSTITUTE(SUBSTITUTE(SUBSTITUTE(SUBSTITUTE(SUBSTITUTE(LOWER(AC424&amp;""),CHAR(10),""),CHAR(13),""),CHAR(9),""),CHAR(160),"")," ",""),".",""),"-",""),"/",""),"?",""),"_",""),",",""),"[",""),"]",""),"(",""),")",""),"*","")</f>
        <v/>
      </c>
      <c r="BA424" s="61" t="str">
        <f aca="false">SUBSTITUTE(SUBSTITUTE(SUBSTITUTE(SUBSTITUTE(SUBSTITUTE(SUBSTITUTE(SUBSTITUTE(SUBSTITUTE(SUBSTITUTE(SUBSTITUTE(SUBSTITUTE(SUBSTITUTE(SUBSTITUTE(SUBSTITUTE(SUBSTITUTE(SUBSTITUTE(LOWER(AA424&amp;""),CHAR(10),""),CHAR(13),""),CHAR(9),""),CHAR(160),"")," ",""),".",""),"-",""),"/",""),"?",""),"_",""),",",""),"[",""),"]",""),"(",""),")",""),"*","")</f>
        <v/>
      </c>
      <c r="BB424" s="61" t="str">
        <f aca="false">IF(AND(TRIM(U424)="Pass",ISNUMBER(AF424)),IF(AF424&lt;&gt;0,"INVALID – qty variance: use Fail or Pass after CA",""),"")&amp;IF(AND(TRIM(U424)="Pass after CA",ISNUMBER(AF424)),IF(AF424&lt;&gt;0,"INVALID – after the corrective action the actual qty must equal expected (update Actual)",""),"")&amp;IF(AND(TRIM(U424)="Pass",TRIM(AB424)&lt;&gt;"",TRIM(AB424)&lt;&gt;"Closed"),"INVALID – corrective action not closed: use Fail, then Pass after CA","")&amp;IF(AND(LEN(BA424)&gt;=2,ISNA(MATCH(LEFT(BA424,255),L_Placeholder,0)),TRIM(AB424)=""),"INVALID – CA status missing for the recorded corrective action","")&amp;IF(AND(TRIM(U424)="Pass after CA",OR(OR(LEN(BA424)&lt;5,ISNUMBER(MATCH(BA424,L_Placeholder,0))),TRIM(AB424)&lt;&gt;"Closed")),"INVALID – corrective action not recorded/closed","")</f>
        <v/>
      </c>
      <c r="BC424" s="61" t="str">
        <f aca="false">" "&amp;TRIM(SUBSTITUTE(SUBSTITUTE(SUBSTITUTE(SUBSTITUTE(SUBSTITUTE(SUBSTITUTE(SUBSTITUTE(SUBSTITUTE(SUBSTITUTE(SUBSTITUTE(SUBSTITUTE(SUBSTITUTE(SUBSTITUTE(SUBSTITUTE(SUBSTITUTE(SUBSTITUTE(SUBSTITUTE(SUBSTITUTE(SUBSTITUTE(SUBSTITUTE(SUBSTITUTE(SUBSTITUTE(SUBSTITUTE(SUBSTITUTE(LOWER(V424&amp;""),CHAR(10)," "),CHAR(13)," "),CHAR(9)," "),CHAR(160)," "),"."," "),","," "),"-"," "),"/"," "),"("," "),")"," "),":"," "),";"," "),"_"," "),"–"," "),"?"," "),"!"," "),"*"," "),"["," "),"]"," "),"'"," "),"#"," "),"+"," "),"&amp;"," "),"\"," "))&amp;" "</f>
        <v>  </v>
      </c>
      <c r="BD424" s="61" t="str">
        <f aca="false">" "&amp;TRIM(SUBSTITUTE(SUBSTITUTE(SUBSTITUTE(SUBSTITUTE(SUBSTITUTE(SUBSTITUTE(SUBSTITUTE(SUBSTITUTE(SUBSTITUTE(SUBSTITUTE(SUBSTITUTE(SUBSTITUTE(SUBSTITUTE(SUBSTITUTE(SUBSTITUTE(SUBSTITUTE(SUBSTITUTE(SUBSTITUTE(SUBSTITUTE(SUBSTITUTE(SUBSTITUTE(SUBSTITUTE(SUBSTITUTE(SUBSTITUTE(LOWER(Z424&amp;""),CHAR(10)," "),CHAR(13)," "),CHAR(9)," "),CHAR(160)," "),"."," "),","," "),"-"," "),"/"," "),"("," "),")"," "),":"," "),";"," "),"_"," "),"–"," "),"?"," "),"!"," "),"*"," "),"["," "),"]"," "),"'"," "),"#"," "),"+"," "),"&amp;"," "),"\"," "))&amp;" "</f>
        <v>  </v>
      </c>
      <c r="BE424" s="61" t="str">
        <f aca="false">" "&amp;TRIM(SUBSTITUTE(SUBSTITUTE(SUBSTITUTE(SUBSTITUTE(SUBSTITUTE(SUBSTITUTE(SUBSTITUTE(SUBSTITUTE(SUBSTITUTE(SUBSTITUTE(SUBSTITUTE(SUBSTITUTE(SUBSTITUTE(SUBSTITUTE(SUBSTITUTE(SUBSTITUTE(SUBSTITUTE(SUBSTITUTE(SUBSTITUTE(SUBSTITUTE(SUBSTITUTE(SUBSTITUTE(SUBSTITUTE(SUBSTITUTE(LOWER(W424&amp;""),CHAR(10)," "),CHAR(13)," "),CHAR(9)," "),CHAR(160)," "),"."," "),","," "),"-"," "),"/"," "),"("," "),")"," "),":"," "),";"," "),"_"," "),"–"," "),"?"," "),"!"," "),"*"," "),"["," "),"]"," "),"'"," "),"#"," "),"+"," "),"&amp;"," "),"\"," "))&amp;" "</f>
        <v>  </v>
      </c>
      <c r="BF424" s="61" t="str">
        <f aca="false">" "&amp;TRIM(SUBSTITUTE(SUBSTITUTE(SUBSTITUTE(SUBSTITUTE(SUBSTITUTE(SUBSTITUTE(SUBSTITUTE(SUBSTITUTE(SUBSTITUTE(SUBSTITUTE(SUBSTITUTE(SUBSTITUTE(SUBSTITUTE(SUBSTITUTE(SUBSTITUTE(SUBSTITUTE(SUBSTITUTE(SUBSTITUTE(SUBSTITUTE(SUBSTITUTE(SUBSTITUTE(SUBSTITUTE(SUBSTITUTE(SUBSTITUTE(LOWER(AC424&amp;""),CHAR(10)," "),CHAR(13)," "),CHAR(9)," "),CHAR(160)," "),"."," "),","," "),"-"," "),"/"," "),"("," "),")"," "),":"," "),";"," "),"_"," "),"–"," "),"?"," "),"!"," "),"*"," "),"["," "),"]"," "),"'"," "),"#"," "),"+"," "),"&amp;"," "),"\"," "))&amp;" "</f>
        <v>  </v>
      </c>
      <c r="BG424" s="61" t="n">
        <f aca="false">IFERROR(IF(AND(TRIM(U424)="Pass",SUMPRODUCT((LEN(BC424)-LEN(SUBSTITUTE(BC424," "&amp;L_ResultBad&amp;" "," ")))/(LEN(L_ResultBad)+1))&gt;SUMPRODUCT((LEN(BC424)-LEN(SUBSTITUTE(BC424," "&amp;L_NegPhrase&amp;" "," ")))/(LEN(L_NegPhrase)+1))),1,0),0)</f>
        <v>0</v>
      </c>
      <c r="BH424" s="61" t="n">
        <f aca="false">IFERROR(IF(SUMPRODUCT((LEN(BC424)-LEN(SUBSTITUTE(BC424," "&amp;L_Pending&amp;" "," ")))/(LEN(L_Pending)+1))&gt;SUMPRODUCT((LEN(BC424)-LEN(SUBSTITUTE(BC424," "&amp;L_PendNeg&amp;" "," ")))/(LEN(L_PendNeg)+1)),1,0),1)</f>
        <v>0</v>
      </c>
      <c r="BI424" s="61" t="n">
        <f aca="false">IFERROR(IF(SUMPRODUCT((LEN(BD424)-LEN(SUBSTITUTE(BD424," "&amp;L_PendStrict&amp;" "," ")))/(LEN(L_PendStrict)+1))&gt;SUMPRODUCT((LEN(BD424)-LEN(SUBSTITUTE(BD424," "&amp;L_PendNeg&amp;" "," ")))/(LEN(L_PendNeg)+1)),1,0),1)</f>
        <v>0</v>
      </c>
      <c r="BJ424" s="61" t="n">
        <f aca="false">IFERROR(IF(SUMPRODUCT((LEN(BE424)-LEN(SUBSTITUTE(BE424," "&amp;L_Pending&amp;" "," ")))/(LEN(L_Pending)+1))&gt;SUMPRODUCT((LEN(BE424)-LEN(SUBSTITUTE(BE424," "&amp;L_PendNeg&amp;" "," ")))/(LEN(L_PendNeg)+1)),1,0),1)</f>
        <v>0</v>
      </c>
      <c r="BK424" s="61" t="n">
        <f aca="false">IFERROR(IF(SUMPRODUCT((LEN(BF424)-LEN(SUBSTITUTE(BF424," "&amp;L_PendStrict&amp;" "," ")))/(LEN(L_PendStrict)+1))&gt;SUMPRODUCT((LEN(BF424)-LEN(SUBSTITUTE(BF424," "&amp;L_PendNeg&amp;" "," ")))/(LEN(L_PendNeg)+1)),1,0),1)</f>
        <v>0</v>
      </c>
      <c r="BL424" s="61" t="n">
        <f aca="false">IF(ISNA(MATCH(TRIM(S424),L_EvidenceType,0)),0,BZ424)</f>
        <v>0</v>
      </c>
      <c r="BM424" s="61" t="str">
        <f aca="false">SUBSTITUTE(SUBSTITUTE(SUBSTITUTE(SUBSTITUTE(SUBSTITUTE(SUBSTITUTE(SUBSTITUTE(SUBSTITUTE(SUBSTITUTE(LOWER(Z424&amp;""),"1","0"),"2","0"),"3","0"),"4","0"),"5","0"),"6","0"),"7","0"),"8","0"),"9","0")</f>
        <v/>
      </c>
      <c r="BN424" s="61" t="str">
        <f aca="false">SUBSTITUTE(SUBSTITUTE(SUBSTITUTE(SUBSTITUTE(SUBSTITUTE(SUBSTITUTE(SUBSTITUTE(SUBSTITUTE(SUBSTITUTE(SUBSTITUTE(SUBSTITUTE(SUBSTITUTE(SUBSTITUTE(SUBSTITUTE(SUBSTITUTE(SUBSTITUTE(SUBSTITUTE(SUBSTITUTE(SUBSTITUTE(SUBSTITUTE(SUBSTITUTE(SUBSTITUTE(SUBSTITUTE(SUBSTITUTE(SUBSTITUTE(BM424,"b","a"),"c","a"),"d","a"),"e","a"),"f","a"),"g","a"),"h","a"),"i","a"),"j","a"),"k","a"),"l","a"),"m","a"),"n","a"),"o","a"),"p","a"),"q","a"),"r","a"),"s","a"),"t","a"),"u","a"),"v","a"),"w","a"),"x","a"),"y","a"),"z","a")</f>
        <v/>
      </c>
      <c r="BO424" s="61" t="str">
        <f aca="false">SUBSTITUTE(SUBSTITUTE(SUBSTITUTE(SUBSTITUTE(SUBSTITUTE(SUBSTITUTE(SUBSTITUTE(SUBSTITUTE(SUBSTITUTE(LOWER(W424&amp;""),"1","0"),"2","0"),"3","0"),"4","0"),"5","0"),"6","0"),"7","0"),"8","0"),"9","0")</f>
        <v/>
      </c>
      <c r="BP424" s="61" t="str">
        <f aca="false">SUBSTITUTE(SUBSTITUTE(SUBSTITUTE(SUBSTITUTE(SUBSTITUTE(SUBSTITUTE(SUBSTITUTE(SUBSTITUTE(SUBSTITUTE(SUBSTITUTE(SUBSTITUTE(SUBSTITUTE(SUBSTITUTE(SUBSTITUTE(SUBSTITUTE(SUBSTITUTE(SUBSTITUTE(SUBSTITUTE(SUBSTITUTE(SUBSTITUTE(SUBSTITUTE(SUBSTITUTE(SUBSTITUTE(SUBSTITUTE(SUBSTITUTE(BO424,"b","a"),"c","a"),"d","a"),"e","a"),"f","a"),"g","a"),"h","a"),"i","a"),"j","a"),"k","a"),"l","a"),"m","a"),"n","a"),"o","a"),"p","a"),"q","a"),"r","a"),"s","a"),"t","a"),"u","a"),"v","a"),"w","a"),"x","a"),"y","a"),"z","a")</f>
        <v/>
      </c>
      <c r="BQ424" s="61" t="n">
        <f aca="false">IFERROR(IF(AND(ISERROR(SEARCH(" mh"," "&amp;LOWER(W424))),ISNA(MATCH(LEFT(TRIM(BP424),255),{"0000a","000a","00a","0000aa","000aa","00aa","0aa","0000aaa","000aaa","00a00","0a00","0000-0000","00:00","a00","a0","00.00.0000","00/00/0000","00-00-0000","0000-00-00","0000/00/00","0000.00.00","00.00.00","00/00/00","00-00-00","0.00.0000","0/00/0000","0-00-0000"},0)),ISNA(MATCH(LEFT(TRIM(CA424),255),{"0000a","000a","00a","0000aa","000aa","00aa","0aa","0000aaa","000aaa","00a00","0a00","0000-0000","00:00","a00","a0","00.00.0000","00/00/0000","00-00-0000","0000-00-00","0000/00/00","0000.00.00","00.00.00","00/00/00","00-00-00","0.00.0000","0/00/0000","0-00-0000"},0)),LEN(CB424)&gt;=3,NOT(OR(SUBSTITUTE(CB424,"0","")="",AND(LEN(CB424)&gt;=4,CB424=REPT(LEFT(CB424),LEN(CB424))),ISNUMBER(MATCH(CB424,{"123","1234","12345","123456","1234567","12345678","0123","01234","012345","98765","987654","54321"},0)),AND(LEN(CB424)=8,LEFT(CB424,3)="202"))),OR(AND((LEN(CA424)-LEN(SUBSTITUTE(CA424,"a","")))&gt;=1,SUMPRODUCT(--ISNUMBER(SEARCH({"a0","a-0","a_0","a/0","a.0","a#0","0a","0-a","0_a","0/a"},BP424)))&gt;0),ISNUMBER(SEARCH("000000",BP424)))),1,0),0)</f>
        <v>0</v>
      </c>
      <c r="BR424" s="61" t="n">
        <f aca="false">IFERROR(LEN(SUBSTITUTE(CC424," ",""))-SUMPRODUCT((LEN(CC424)-LEN(SUBSTITUTE(CC424," "&amp;L_Role&amp;" "," ")))/(LEN(L_Role)+1)*LEN(L_Role)),0)</f>
        <v>0</v>
      </c>
      <c r="BS424" s="61" t="n">
        <f aca="false">IFERROR(LEN(SUBSTITUTE(CD424," ",""))-SUMPRODUCT((LEN(CD424)-LEN(SUBSTITUTE(CD424," "&amp;L_Role&amp;" "," ")))/(LEN(L_Role)+1)*LEN(L_Role)),0)</f>
        <v>0</v>
      </c>
      <c r="BT4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424,"revision",""),"version",""),"jan",""),"feb",""),"mar",""),"apr",""),"may",""),"jun",""),"jul",""),"aug",""),"sep",""),"oct",""),"nov",""),"dec",""),"utc",""),"gmt",""),"myt",""),"bst",""),"rev",""),"ver",""),"b","a"),"c","a"),"d","a"),"e","a"),"f","a"),"g","a"),"h","a"),"i","a"),"j","a"),"k","a"),"l","a"),"m","a"),"n","a"),"o","a"),"p","a"),"q","a"),"r","a"),"s","a"),"t","a"),"u","a"),"v","a"),"w","a"),"x","a"),"y","a"),"z","a")</f>
        <v/>
      </c>
      <c r="BU424" s="61" t="str">
        <f aca="false">SUBSTITUTE(SUBSTITUTE(SUBSTITUTE(SUBSTITUTE(SUBSTITUTE(SUBSTITUTE(SUBSTITUTE(SUBSTITUTE(SUBSTITUTE(SUBSTITUTE(LEFT(BM424,FIND("0",BM424&amp;"0")-1),"-",""),"_",""),"/",""),".",""),"#",""),"\\",""),":","")," ",""),"(",""),")","")</f>
        <v/>
      </c>
      <c r="BV424" s="61" t="n">
        <f aca="false">IFERROR(IF(OR(SUMPRODUCT((LEN(BC424)-LEN(SUBSTITUTE(BC424," "&amp;L_NotLoaded&amp;" "," ")))/(LEN(L_NotLoaded)+1))&gt;SUMPRODUCT((LEN(BC424)-LEN(SUBSTITUTE(BC424," "&amp;L_NotLoadedNeg&amp;" "," ")))/(LEN(L_NotLoadedNeg)+1)),SUMPRODUCT((LEN(BD424)-LEN(SUBSTITUTE(BD424," "&amp;L_NotLoaded&amp;" "," ")))/(LEN(L_NotLoaded)+1))&gt;SUMPRODUCT((LEN(BD424)-LEN(SUBSTITUTE(BD424," "&amp;L_NotLoadedNeg&amp;" "," ")))/(LEN(L_NotLoadedNeg)+1))),1,0),0)</f>
        <v>0</v>
      </c>
      <c r="BW4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424&amp;""),"a",""),"b",""),"c",""),"d",""),"e",""),"f",""),"g",""),"h",""),"i",""),"j",""),"k",""),"l",""),"m",""),"n",""),"o",""),"p",""),"q",""),"r",""),"s",""),"t",""),"u",""),"v",""),"w",""),"x",""),"y",""),"z",""),"-",""),"_",""),"/",""),".",""),"#",""),"\\",""),":","")," ",""),"(",""),")","")</f>
        <v/>
      </c>
      <c r="BX424" s="61" t="str">
        <f aca="false">SUBSTITUTE(SUBSTITUTE(SUBSTITUTE(SUBSTITUTE(SUBSTITUTE(SUBSTITUTE(SUBSTITUTE(SUBSTITUTE(SUBSTITUTE(SUBSTITUTE(SUBSTITUTE(BM424,"0",""),"-",""),"_",""),"/",""),".",""),"#",""),"\\",""),":","")," ",""),"(",""),")","")</f>
        <v/>
      </c>
      <c r="BY424" s="62" t="n">
        <f aca="false">IF(ISNUMBER(Flights!$AZ$16),MAX(Q424-UpliftWindowH/24,Flights!$AZ$16),Q424-UpliftWindowH/24)</f>
        <v>46307.3506944444</v>
      </c>
      <c r="BZ424" s="61" t="n">
        <f aca="false">IFERROR(IF(IF(TRIM(S424)="Link / file path",AND(LEN(TRIM(Z424))&gt;=5,SUMPRODUCT(--ISNUMBER(SEARCH({"http","www.","\\",":\",".pdf",".jpg",".jpeg",".png",".heic",".xls",".doc",".msg",".eml",".ppt",".txt",".zip"},Z424)))&gt;0),AND(ISERROR(FIND(" ",TRIM(Z424))),NOT(OR(SUMPRODUCT(--ISNUMBER(FIND({",",";","&amp;","+"},Z424)))&gt;0,SUMPRODUCT(--ISNUMBER(SEARCH({"0/aa","0\\aa"},BN424)))&gt;0)),NOT(SUMPRODUCT(--ISNUMBER(SEARCH({"http","www.","\\",":\",".pdf",".jpg",".jpeg",".png",".heic",".xls",".doc",".msg",".eml",".ppt",".txt",".zip"},Z424)))&gt;0),NOT(LOWER(TRIM(Z424))=LOWER(Flights!$F$16)),ISNA(MATCH(BU424,{"mh","rev","revision","ver","version","v","r","a","b","seat","tray","row","gate","bay","stand","page","pg","item","line","no","cart","galley","flight","flt","table","box","bag","oven","etd","eta","std","sta","atd","ata","qty","pax","x","time","tel","ph","mob","day","wk","week","utc","gmt","myt","lt"},0)),NOT(OR(ISNUMBER(MATCH(LEFT(BN424,255),{"0000a","000a","00a","0000aa","000aa","00aa","0aa","0000aaa","000aaa","00a00","0a00","0000-0000","00:00","a00","a0","00.00.0000","00/00/0000","00-00-0000","0000-00-00","0000/00/00","0000.00.00","00.00.00","00/00/00","00-00-00","0.00.0000","0/00/0000","0-00-0000"},0)),ISNUMBER(MATCH(LEFT(BT424,255),{"0000a","000a","00a","0000aa","000aa","00aa","0aa","0000aaa","000aaa","00a00","0a00","0000-0000","00:00","a00","a0","00.00.0000","00/00/0000","00-00-0000","0000-00-00","0000/00/00","0000.00.00","00.00.00","00/00/00","00-00-00","0.00.0000","0/00/0000","0-00-0000"},0)))),NOT(OR(AND(BW424&lt;&gt;"",SUBSTITUTE(BW424,"0","")=""),AND(LEN(BW424)&gt;=4,BW424=REPT(LEFT(BW424),LEN(BW424))),ISNUMBER(MATCH(BW424,{"123","1234","12345","123456","1234567","12345678","0123","01234","012345","98765","987654","54321"},0)),ISNUMBER(MATCH(BX424,{"x","xx","xxx","xxxx","xxxxx","abc","abcd","nil","na","nan","test","tbc","tba","tbd","dummy","sample","example","eg","zz","zzz","none","null","xyz","qwe","asd","id","ref"},0)),AND(LEN(BW424)=8,BX424="",OR(LEFT(BW424,3)="202",ISNUMBER(MATCH(RIGHT(BW424,4),{"2025","2026","2027"},0)))))),OR(AND((LEN(BT424)-LEN(SUBSTITUTE(BT424,"a","")))&gt;=1,(LEN(BN424)-LEN(SUBSTITUTE(BN424,"0","")))&gt;=2,SUMPRODUCT(--ISNUMBER(SEARCH({"a0","a-0","a_0","a/0","a.0","a#0","0a","0-a","0_a","0/a"},BN424)))&gt;0),AND((LEN(BN424)-LEN(SUBSTITUTE(BN424,"a","")))=0,(LEN(BN424)-LEN(SUBSTITUTE(BN424,"0","")))&gt;=5)))),1,0),0)</f>
        <v>0</v>
      </c>
      <c r="CA4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424,"revision",""),"version",""),"jan",""),"feb",""),"mar",""),"apr",""),"may",""),"jun",""),"jul",""),"aug",""),"sep",""),"oct",""),"nov",""),"dec",""),"utc",""),"gmt",""),"myt",""),"bst",""),"rev",""),"ver",""),"b","a"),"c","a"),"d","a"),"e","a"),"f","a"),"g","a"),"h","a"),"i","a"),"j","a"),"k","a"),"l","a"),"m","a"),"n","a"),"o","a"),"p","a"),"q","a"),"r","a"),"s","a"),"t","a"),"u","a"),"v","a"),"w","a"),"x","a"),"y","a"),"z","a")</f>
        <v/>
      </c>
      <c r="CB4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424&amp;""),"a",""),"b",""),"c",""),"d",""),"e",""),"f",""),"g",""),"h",""),"i",""),"j",""),"k",""),"l",""),"m",""),"n",""),"o",""),"p",""),"q",""),"r",""),"s",""),"t",""),"u",""),"v",""),"w",""),"x",""),"y",""),"z",""),"-",""),"_",""),"/",""),".",""),"#",""),"\\",""),":","")," ",""),"(",""),")","")</f>
        <v/>
      </c>
      <c r="CC424" s="0" t="str">
        <f aca="false">" "&amp;TRIM(SUBSTITUTE(SUBSTITUTE(SUBSTITUTE(SUBSTITUTE(SUBSTITUTE(SUBSTITUTE(SUBSTITUTE(SUBSTITUTE(SUBSTITUTE(SUBSTITUTE(SUBSTITUTE(SUBSTITUTE(SUBSTITUTE(SUBSTITUTE(SUBSTITUTE(SUBSTITUTE(SUBSTITUTE(SUBSTITUTE(SUBSTITUTE(SUBSTITUTE(SUBSTITUTE(SUBSTITUTE(SUBSTITUTE(SUBSTITUTE(LOWER(T424&amp;""),CHAR(10)," "),CHAR(13)," "),CHAR(9)," "),CHAR(160)," "),"."," "),","," "),"-"," "),"/"," "),"("," "),")"," "),":"," "),";"," "),"_"," "),"–"," "),"?"," "),"!"," "),"*"," "),"["," "),"]"," "),"'"," "),"#"," "),"+"," "),"&amp;"," "),"\"," "))&amp;" "</f>
        <v>  </v>
      </c>
      <c r="CD424" s="0" t="str">
        <f aca="false">" "&amp;TRIM(SUBSTITUTE(SUBSTITUTE(SUBSTITUTE(SUBSTITUTE(SUBSTITUTE(SUBSTITUTE(SUBSTITUTE(SUBSTITUTE(SUBSTITUTE(SUBSTITUTE(SUBSTITUTE(SUBSTITUTE(SUBSTITUTE(SUBSTITUTE(SUBSTITUTE(SUBSTITUTE(SUBSTITUTE(SUBSTITUTE(SUBSTITUTE(SUBSTITUTE(SUBSTITUTE(SUBSTITUTE(SUBSTITUTE(SUBSTITUTE(LOWER(AE424&amp;""),CHAR(10)," "),CHAR(13)," "),CHAR(9)," "),CHAR(160)," "),"."," "),","," "),"-"," "),"/"," "),"("," "),")"," "),":"," "),";"," "),"_"," "),"–"," "),"?"," "),"!"," "),"*"," "),"["," "),"]"," "),"'"," "),"#"," "),"+"," "),"&amp;"," "),"\"," "))&amp;" "</f>
        <v>  </v>
      </c>
      <c r="CE424" s="68" t="n">
        <f aca="false">IFERROR(IF(AND(LEN(AU424)&gt;0,LEN(AU424)=LEN(AX424),OR(TRIM(MID(SUBSTITUTE(TRIM(CC424)," ",REPT(" ",60)),1,60))="",ISNUMBER(SEARCH(" "&amp;TRIM(MID(SUBSTITUTE(TRIM(CC424)," ",REPT(" ",60)),1,60))&amp;" ",CD424))),OR(TRIM(MID(SUBSTITUTE(TRIM(CC424)," ",REPT(" ",60)),61,60))="",ISNUMBER(SEARCH(" "&amp;TRIM(MID(SUBSTITUTE(TRIM(CC424)," ",REPT(" ",60)),61,60))&amp;" ",CD424))),OR(TRIM(MID(SUBSTITUTE(TRIM(CC424)," ",REPT(" ",60)),121,60))="",ISNUMBER(SEARCH(" "&amp;TRIM(MID(SUBSTITUTE(TRIM(CC424)," ",REPT(" ",60)),121,60))&amp;" ",CD424)))),1,0),0)</f>
        <v>0</v>
      </c>
      <c r="CG424" s="68" t="n">
        <f aca="false">IFERROR(LEN(SUBSTITUTE(BF424," ",""))-SUMPRODUCT((LEN(BF424)-LEN(SUBSTITUTE(BF424," "&amp;L_NAFiller&amp;" "," ")))/(LEN(L_NAFiller)+1)*LEN(L_NAFiller)),0)</f>
        <v>0</v>
      </c>
    </row>
    <row r="425" customFormat="false" ht="39.75" hidden="false" customHeight="true" outlineLevel="0" collapsed="false">
      <c r="A425" s="57" t="s">
        <v>1057</v>
      </c>
      <c r="B425" s="57" t="s">
        <v>261</v>
      </c>
      <c r="C425" s="57" t="str">
        <f aca="false">Flights!$F$16</f>
        <v>MH0139</v>
      </c>
      <c r="D425" s="58" t="n">
        <f aca="false">Flights!$D$16</f>
        <v>46307</v>
      </c>
      <c r="E425" s="57" t="str">
        <f aca="false">Flights!$G$16&amp;"-"&amp;Flights!$H$16</f>
        <v>KUL-ADL</v>
      </c>
      <c r="F425" s="57" t="str">
        <f aca="false">Flights!$K$16</f>
        <v>BC</v>
      </c>
      <c r="G425" s="57" t="s">
        <v>459</v>
      </c>
      <c r="H425" s="57" t="s">
        <v>460</v>
      </c>
      <c r="I425" s="57" t="s">
        <v>629</v>
      </c>
      <c r="J425" s="57" t="s">
        <v>657</v>
      </c>
      <c r="K425" s="67" t="s">
        <v>501</v>
      </c>
      <c r="L425" s="67" t="s">
        <v>1038</v>
      </c>
      <c r="M425" s="67" t="s">
        <v>187</v>
      </c>
      <c r="N425" s="67" t="s">
        <v>383</v>
      </c>
      <c r="O425" s="67" t="s">
        <v>632</v>
      </c>
      <c r="P425" s="57" t="s">
        <v>187</v>
      </c>
      <c r="Q425" s="59" t="n">
        <f aca="false">ROUND((Flights!$AF$16)*1440,0)/1440</f>
        <v>46307.6006944444</v>
      </c>
      <c r="R425" s="59" t="n">
        <f aca="false">Q425+(IF(AND(INDEX(TZ_DSTS,MATCH(P425,TZ_STN,0))&lt;&gt;"",Q425&gt;=INDEX(TZ_DSTS,MATCH(P425,TZ_STN,0)),Q425&lt;INDEX(TZ_DSTE,MATCH(P425,TZ_STN,0))),INDEX(TZ_DST,MATCH(P425,TZ_STN,0)),INDEX(TZ_STD,MATCH(P425,TZ_STN,0))))/24</f>
        <v>46307.9340277778</v>
      </c>
      <c r="S425" s="60"/>
      <c r="T425" s="60"/>
      <c r="U425" s="60"/>
      <c r="V425" s="60"/>
      <c r="W425" s="61"/>
      <c r="X425" s="60"/>
      <c r="Y425" s="60"/>
      <c r="Z425" s="60"/>
      <c r="AA425" s="60"/>
      <c r="AB425" s="60"/>
      <c r="AC425" s="60"/>
      <c r="AD425" s="66"/>
      <c r="AE425" s="60"/>
      <c r="AF425" s="61" t="str">
        <f aca="false">IF(AND(ISNUMBER(X425),ISNUMBER(Y425)),Y425-X425,"")</f>
        <v/>
      </c>
      <c r="AG425" s="62" t="str">
        <f aca="false">IF(ISNUMBER(AD425),AD425-(IF(AND(INDEX(TZ_DSTS,MATCH(P425,TZ_STN,0))&lt;&gt;"",(AD425-INDEX(TZ_STD,MATCH(P425,TZ_STN,0))/24)&gt;=INDEX(TZ_DSTS,MATCH(P425,TZ_STN,0)),(AD425-INDEX(TZ_STD,MATCH(P425,TZ_STN,0))/24)&lt;INDEX(TZ_DSTE,MATCH(P425,TZ_STN,0))),INDEX(TZ_DST,MATCH(P425,TZ_STN,0)),INDEX(TZ_STD,MATCH(P425,TZ_STN,0))))/24,"")</f>
        <v/>
      </c>
      <c r="AH425" s="65" t="str">
        <f aca="false">IFERROR(IF(N425="N/A – rule",IF(OR(TRIM(U425)="",TRIM(U425)="N/A",TRIM(U425)="Not started"),"N/A – RULE","INVALID – this check does not apply to this aircraft: clear the status (or correct the fleet on Flights)"),IF(TRIM(U425)="N/A",IF(AT425=0,"INVALID – N/A not permitted for this check",IF(AND(TRIM(AB425)&lt;&gt;"",TRIM(AB425)&lt;&gt;"Closed"),"INVALID – corrective action still open",IF(AND(NOT(OR(LEN(AZ425)&lt;15,ISNUMBER(MATCH(AZ425,L_Placeholder,0)))),BK425=0,CG425&gt;=8,NOT(OR(LEN(AU425)&lt;2,ISNUMBER(MATCH(AU425,L_Placeholder,0)))),BR425&gt;=3,NOT(OR(LEN(AX425)&lt;2,ISNUMBER(MATCH(AX425,L_Placeholder,0)))),BS425&gt;=3,TRIM(AE425)&lt;&gt;TRIM(T425),AX425&lt;&gt;AU425,CE425=0),"N/A – JUSTIFIED","INVALID – N/A needs a real, settled reason (not 'not applicable' / 'as above' / TBC), a named PIC and a different named verifier"))),IF(OR(TRIM(U425)="Pass",TRIM(U425)="Pass after CA"),IF(NOT(ISNUMBER(AD425)),"INVALID – completion time missing",IF(OR(OR(LEN(AU425)&lt;2,ISNUMBER(MATCH(AU425,L_Placeholder,0))),BR425&lt;3),"INVALID – PIC missing or not a named person (a role such as QA / CSM is not a name)",IF(OR(LEN(AV425)&lt;2,ISNUMBER(MATCH(AV425,L_Placeholder,0))),"INVALID – result / assessment missing",IF(OR(OR(LEN(AW425)&lt;3,ISNUMBER(MATCH(AW425,L_Placeholder,0))),SUMPRODUCT(--ISNUMBER(SEARCH(" "&amp;L_EvidencePhrase&amp;" ",BD425)))&gt;0,BI425=1),"INVALID – evidence missing, placeholder or not yet on file",IF(ISNA(MATCH(TRIM(S425),L_EvidenceType,0)),"INVALID – choose the evidence type from the list (column S)",IF(BL425=0,"INVALID – evidence ID must be the record's own ID only (e.g. SF-2210, IMG_2231, 1045521); a link / file name needs type 'Link / file path'",IF(OR(OR(LEN(AX425)&lt;2,ISNUMBER(MATCH(AX425,L_Placeholder,0))),BS425&lt;3),"INVALID – verifier missing or not a named person (a role such as QA / CSM is not a name)",IF(OR(AX425=AU425,CE425=1,AND(LEN(AU425)&gt;=4,ISNUMBER(SEARCH(AU425,AX425))),AND(LEN(AX425)&gt;=4,ISNUMBER(SEARCH(AX425,AU425)))),"INVALID – verifier must be a different, named person (not the PIC or a role)",IF(BH425=1,"INVALID – result not yet available (awaiting / TBC)",IF(BG425=1,"INVALID – result describes a problem: record Fail, then Pass after CA (or reword if it is not a problem)",IF(BV425=1,"INVALID – wording says not on board: an on-board confirmation needs the item loaded",IF(AND(AQ425=1,OR(OR(LEN(AY425)&lt;3,ISNUMBER(MATCH(AY425,L_Placeholder,0))),BJ425=1,BQ425=0)),"INVALID – batch ID missing, placeholder or not an ID (e.g. PASB-261008-BC-017)",IF(AND(AR425=1,OR(NOT(ISNUMBER(X425)),NOT(ISNUMBER(Y425)))),"INVALID – expected/actual qty missing",IF(AND(AR425=1,OR(X425&lt;=0,Y425&lt;0)),"INVALID – expected qty must be above 0 and actual not negative",IF(AH409="N/A – JUSTIFIED","INVALID – preparation row F12-T12-20 is N/A",IF(AND(AR425=1,ISNUMBER(X409),X425&lt;&gt;X409,TRIM(U425)&lt;&gt;"Pass after CA"),"INVALID – expected qty differs from preparation check F12-T12-20: record the load change as a corrective action (Pass after CA)",IF(BB425&lt;&gt;"",BB425,IF(AND(AS425=1,Documents!$J$16&lt;&gt;"ON FILE"),"INVALID – GLD not on file (Documents sheet)",IF(AND(AS425=2,Documents!$O$16&lt;&gt;"ON FILE"),"INVALID – menu checklist not on file (Documents sheet)",IF(AND(AS425=3,NOT(ISNUMBER(Flights!$AX$16))),"INVALID – enter carrying flight KUL departure (Flights AX)",IF(AND(AS425=3,OR(Flights!$AZ$16&gt;Flights!$AA$16,Flights!$AX$16&lt;Flights!$AA$16-3)),"INVALID – carrying flight (Flights AX) cannot arrive before this leg's STD, or is over 3 days early",IF(AG425&gt;AsOfUTC,"INVALID – completion time is in the future",IF(AND(ISNUMBER(BY425),AG425&lt;BY425),IF(H425="Physical uplift","INVALID – before uplift window (cannot confirm loading)","INVALID – before valid window"),IF(AG425&gt;Flights!$AA$16,"INVALID – completed after departure (cannot establish readiness)",IF(AND(H425="Preparation",AG425&gt;=IF(ISNUMBER(Flights!$BA$16),MIN(Flights!$BA$16,Flights!$AA$16),Flights!$AA$16)),"INVALID – completed after loading / departure (cannot establish readiness)",IF(AND(H425="Physical uplift",AG425&gt;Q425),"INVALID – recorded after the loading flight departed",IF(AG425&gt;Q425,"COMPLETE – LATE","COMPLETE"))))))))))))))))))))))))))),IF(TRIM(U425)="Fail","FAIL – DISCREPANCY",IF(AND(TRIM(U425)&lt;&gt;"",TRIM(U425)&lt;&gt;"Not started",TRIM(U425)&lt;&gt;"In progress"),"INVALID – unrecognised status (use the list)",IF(AsOfUTC&gt;Q425,"OVERDUE",IF(N425="Clarification required","OPEN – CLARIFICATION","OPEN"))))))),"INVALID – error value in an input cell")</f>
        <v>OPEN</v>
      </c>
      <c r="AI425" s="61" t="n">
        <f aca="false">IF(OR(AH425="N/A – RULE",AH425="N/A – JUSTIFIED"),0,1)</f>
        <v>1</v>
      </c>
      <c r="AJ425" s="61" t="n">
        <f aca="false">IF(LEFT(AH425,8)="COMPLETE",1,0)</f>
        <v>0</v>
      </c>
      <c r="AK425" s="61" t="n">
        <f aca="false">IF(AND(AI425=1,AJ425=0,AsOfUTC&gt;Q425),1,0)</f>
        <v>0</v>
      </c>
      <c r="AL425" s="61" t="n">
        <f aca="false">IFERROR(IF(AND(AI425=1,OR(TRIM(U425)="Fail",AND(TRIM(AB425)&lt;&gt;"",TRIM(AB425)&lt;&gt;"Closed"),AND(ISNUMBER(AF425),AF425&lt;&gt;0,TRIM(U425)&lt;&gt;"Pass after CA"))),1,0),1)</f>
        <v>0</v>
      </c>
      <c r="AM425" s="61" t="n">
        <f aca="false">IF(LEFT(AH425,7)="INVALID",1,0)</f>
        <v>0</v>
      </c>
      <c r="AN425" s="61" t="n">
        <f aca="false">IF(AND(N425="Clarification required",AI425=1,AJ425=0),1,0)</f>
        <v>0</v>
      </c>
      <c r="AO425" s="61" t="str">
        <f aca="false">IF(AK425=1,SUM(AK$5:AK425),"")</f>
        <v/>
      </c>
      <c r="AP425" s="61" t="str">
        <f aca="false">IF(AL425=1,SUM(AL$5:AL425),"")</f>
        <v/>
      </c>
      <c r="AQ425" s="61" t="n">
        <v>0</v>
      </c>
      <c r="AR425" s="61" t="n">
        <v>0</v>
      </c>
      <c r="AS425" s="61" t="n">
        <v>0</v>
      </c>
      <c r="AT425" s="61" t="n">
        <v>0</v>
      </c>
      <c r="AU425" s="61" t="str">
        <f aca="false">SUBSTITUTE(SUBSTITUTE(SUBSTITUTE(SUBSTITUTE(SUBSTITUTE(SUBSTITUTE(SUBSTITUTE(SUBSTITUTE(SUBSTITUTE(SUBSTITUTE(SUBSTITUTE(SUBSTITUTE(SUBSTITUTE(SUBSTITUTE(SUBSTITUTE(SUBSTITUTE(LOWER(T425&amp;""),CHAR(10),""),CHAR(13),""),CHAR(9),""),CHAR(160),"")," ",""),".",""),"-",""),"/",""),"?",""),"_",""),",",""),"[",""),"]",""),"(",""),")",""),"*","")</f>
        <v/>
      </c>
      <c r="AV425" s="61" t="str">
        <f aca="false">SUBSTITUTE(SUBSTITUTE(SUBSTITUTE(SUBSTITUTE(SUBSTITUTE(SUBSTITUTE(SUBSTITUTE(SUBSTITUTE(SUBSTITUTE(SUBSTITUTE(SUBSTITUTE(SUBSTITUTE(SUBSTITUTE(SUBSTITUTE(SUBSTITUTE(SUBSTITUTE(LOWER(V425&amp;""),CHAR(10),""),CHAR(13),""),CHAR(9),""),CHAR(160),"")," ",""),".",""),"-",""),"/",""),"?",""),"_",""),",",""),"[",""),"]",""),"(",""),")",""),"*","")</f>
        <v/>
      </c>
      <c r="AW425" s="61" t="str">
        <f aca="false">SUBSTITUTE(SUBSTITUTE(SUBSTITUTE(SUBSTITUTE(SUBSTITUTE(SUBSTITUTE(SUBSTITUTE(SUBSTITUTE(SUBSTITUTE(SUBSTITUTE(SUBSTITUTE(SUBSTITUTE(SUBSTITUTE(SUBSTITUTE(SUBSTITUTE(SUBSTITUTE(LOWER(Z425&amp;""),CHAR(10),""),CHAR(13),""),CHAR(9),""),CHAR(160),"")," ",""),".",""),"-",""),"/",""),"?",""),"_",""),",",""),"[",""),"]",""),"(",""),")",""),"*","")</f>
        <v/>
      </c>
      <c r="AX425" s="61" t="str">
        <f aca="false">SUBSTITUTE(SUBSTITUTE(SUBSTITUTE(SUBSTITUTE(SUBSTITUTE(SUBSTITUTE(SUBSTITUTE(SUBSTITUTE(SUBSTITUTE(SUBSTITUTE(SUBSTITUTE(SUBSTITUTE(SUBSTITUTE(SUBSTITUTE(SUBSTITUTE(SUBSTITUTE(LOWER(AE425&amp;""),CHAR(10),""),CHAR(13),""),CHAR(9),""),CHAR(160),"")," ",""),".",""),"-",""),"/",""),"?",""),"_",""),",",""),"[",""),"]",""),"(",""),")",""),"*","")</f>
        <v/>
      </c>
      <c r="AY425" s="61" t="str">
        <f aca="false">SUBSTITUTE(SUBSTITUTE(SUBSTITUTE(SUBSTITUTE(SUBSTITUTE(SUBSTITUTE(SUBSTITUTE(SUBSTITUTE(SUBSTITUTE(SUBSTITUTE(SUBSTITUTE(SUBSTITUTE(SUBSTITUTE(SUBSTITUTE(SUBSTITUTE(SUBSTITUTE(LOWER(W425&amp;""),CHAR(10),""),CHAR(13),""),CHAR(9),""),CHAR(160),"")," ",""),".",""),"-",""),"/",""),"?",""),"_",""),",",""),"[",""),"]",""),"(",""),")",""),"*","")</f>
        <v/>
      </c>
      <c r="AZ425" s="61" t="str">
        <f aca="false">SUBSTITUTE(SUBSTITUTE(SUBSTITUTE(SUBSTITUTE(SUBSTITUTE(SUBSTITUTE(SUBSTITUTE(SUBSTITUTE(SUBSTITUTE(SUBSTITUTE(SUBSTITUTE(SUBSTITUTE(SUBSTITUTE(SUBSTITUTE(SUBSTITUTE(SUBSTITUTE(LOWER(AC425&amp;""),CHAR(10),""),CHAR(13),""),CHAR(9),""),CHAR(160),"")," ",""),".",""),"-",""),"/",""),"?",""),"_",""),",",""),"[",""),"]",""),"(",""),")",""),"*","")</f>
        <v/>
      </c>
      <c r="BA425" s="61" t="str">
        <f aca="false">SUBSTITUTE(SUBSTITUTE(SUBSTITUTE(SUBSTITUTE(SUBSTITUTE(SUBSTITUTE(SUBSTITUTE(SUBSTITUTE(SUBSTITUTE(SUBSTITUTE(SUBSTITUTE(SUBSTITUTE(SUBSTITUTE(SUBSTITUTE(SUBSTITUTE(SUBSTITUTE(LOWER(AA425&amp;""),CHAR(10),""),CHAR(13),""),CHAR(9),""),CHAR(160),"")," ",""),".",""),"-",""),"/",""),"?",""),"_",""),",",""),"[",""),"]",""),"(",""),")",""),"*","")</f>
        <v/>
      </c>
      <c r="BB425" s="61" t="str">
        <f aca="false">IF(AND(TRIM(U425)="Pass",ISNUMBER(AF425)),IF(AF425&lt;&gt;0,"INVALID – qty variance: use Fail or Pass after CA",""),"")&amp;IF(AND(TRIM(U425)="Pass after CA",ISNUMBER(AF425)),IF(AF425&lt;&gt;0,"INVALID – after the corrective action the actual qty must equal expected (update Actual)",""),"")&amp;IF(AND(TRIM(U425)="Pass",TRIM(AB425)&lt;&gt;"",TRIM(AB425)&lt;&gt;"Closed"),"INVALID – corrective action not closed: use Fail, then Pass after CA","")&amp;IF(AND(LEN(BA425)&gt;=2,ISNA(MATCH(LEFT(BA425,255),L_Placeholder,0)),TRIM(AB425)=""),"INVALID – CA status missing for the recorded corrective action","")&amp;IF(AND(TRIM(U425)="Pass after CA",OR(OR(LEN(BA425)&lt;5,ISNUMBER(MATCH(BA425,L_Placeholder,0))),TRIM(AB425)&lt;&gt;"Closed")),"INVALID – corrective action not recorded/closed","")</f>
        <v/>
      </c>
      <c r="BC425" s="61" t="str">
        <f aca="false">" "&amp;TRIM(SUBSTITUTE(SUBSTITUTE(SUBSTITUTE(SUBSTITUTE(SUBSTITUTE(SUBSTITUTE(SUBSTITUTE(SUBSTITUTE(SUBSTITUTE(SUBSTITUTE(SUBSTITUTE(SUBSTITUTE(SUBSTITUTE(SUBSTITUTE(SUBSTITUTE(SUBSTITUTE(SUBSTITUTE(SUBSTITUTE(SUBSTITUTE(SUBSTITUTE(SUBSTITUTE(SUBSTITUTE(SUBSTITUTE(SUBSTITUTE(LOWER(V425&amp;""),CHAR(10)," "),CHAR(13)," "),CHAR(9)," "),CHAR(160)," "),"."," "),","," "),"-"," "),"/"," "),"("," "),")"," "),":"," "),";"," "),"_"," "),"–"," "),"?"," "),"!"," "),"*"," "),"["," "),"]"," "),"'"," "),"#"," "),"+"," "),"&amp;"," "),"\"," "))&amp;" "</f>
        <v>  </v>
      </c>
      <c r="BD425" s="61" t="str">
        <f aca="false">" "&amp;TRIM(SUBSTITUTE(SUBSTITUTE(SUBSTITUTE(SUBSTITUTE(SUBSTITUTE(SUBSTITUTE(SUBSTITUTE(SUBSTITUTE(SUBSTITUTE(SUBSTITUTE(SUBSTITUTE(SUBSTITUTE(SUBSTITUTE(SUBSTITUTE(SUBSTITUTE(SUBSTITUTE(SUBSTITUTE(SUBSTITUTE(SUBSTITUTE(SUBSTITUTE(SUBSTITUTE(SUBSTITUTE(SUBSTITUTE(SUBSTITUTE(LOWER(Z425&amp;""),CHAR(10)," "),CHAR(13)," "),CHAR(9)," "),CHAR(160)," "),"."," "),","," "),"-"," "),"/"," "),"("," "),")"," "),":"," "),";"," "),"_"," "),"–"," "),"?"," "),"!"," "),"*"," "),"["," "),"]"," "),"'"," "),"#"," "),"+"," "),"&amp;"," "),"\"," "))&amp;" "</f>
        <v>  </v>
      </c>
      <c r="BE425" s="61" t="str">
        <f aca="false">" "&amp;TRIM(SUBSTITUTE(SUBSTITUTE(SUBSTITUTE(SUBSTITUTE(SUBSTITUTE(SUBSTITUTE(SUBSTITUTE(SUBSTITUTE(SUBSTITUTE(SUBSTITUTE(SUBSTITUTE(SUBSTITUTE(SUBSTITUTE(SUBSTITUTE(SUBSTITUTE(SUBSTITUTE(SUBSTITUTE(SUBSTITUTE(SUBSTITUTE(SUBSTITUTE(SUBSTITUTE(SUBSTITUTE(SUBSTITUTE(SUBSTITUTE(LOWER(W425&amp;""),CHAR(10)," "),CHAR(13)," "),CHAR(9)," "),CHAR(160)," "),"."," "),","," "),"-"," "),"/"," "),"("," "),")"," "),":"," "),";"," "),"_"," "),"–"," "),"?"," "),"!"," "),"*"," "),"["," "),"]"," "),"'"," "),"#"," "),"+"," "),"&amp;"," "),"\"," "))&amp;" "</f>
        <v>  </v>
      </c>
      <c r="BF425" s="61" t="str">
        <f aca="false">" "&amp;TRIM(SUBSTITUTE(SUBSTITUTE(SUBSTITUTE(SUBSTITUTE(SUBSTITUTE(SUBSTITUTE(SUBSTITUTE(SUBSTITUTE(SUBSTITUTE(SUBSTITUTE(SUBSTITUTE(SUBSTITUTE(SUBSTITUTE(SUBSTITUTE(SUBSTITUTE(SUBSTITUTE(SUBSTITUTE(SUBSTITUTE(SUBSTITUTE(SUBSTITUTE(SUBSTITUTE(SUBSTITUTE(SUBSTITUTE(SUBSTITUTE(LOWER(AC425&amp;""),CHAR(10)," "),CHAR(13)," "),CHAR(9)," "),CHAR(160)," "),"."," "),","," "),"-"," "),"/"," "),"("," "),")"," "),":"," "),";"," "),"_"," "),"–"," "),"?"," "),"!"," "),"*"," "),"["," "),"]"," "),"'"," "),"#"," "),"+"," "),"&amp;"," "),"\"," "))&amp;" "</f>
        <v>  </v>
      </c>
      <c r="BG425" s="61" t="n">
        <f aca="false">IFERROR(IF(AND(TRIM(U425)="Pass",SUMPRODUCT((LEN(BC425)-LEN(SUBSTITUTE(BC425," "&amp;L_ResultBad&amp;" "," ")))/(LEN(L_ResultBad)+1))&gt;SUMPRODUCT((LEN(BC425)-LEN(SUBSTITUTE(BC425," "&amp;L_NegPhrase&amp;" "," ")))/(LEN(L_NegPhrase)+1))),1,0),0)</f>
        <v>0</v>
      </c>
      <c r="BH425" s="61" t="n">
        <f aca="false">IFERROR(IF(SUMPRODUCT((LEN(BC425)-LEN(SUBSTITUTE(BC425," "&amp;L_Pending&amp;" "," ")))/(LEN(L_Pending)+1))&gt;SUMPRODUCT((LEN(BC425)-LEN(SUBSTITUTE(BC425," "&amp;L_PendNeg&amp;" "," ")))/(LEN(L_PendNeg)+1)),1,0),1)</f>
        <v>0</v>
      </c>
      <c r="BI425" s="61" t="n">
        <f aca="false">IFERROR(IF(SUMPRODUCT((LEN(BD425)-LEN(SUBSTITUTE(BD425," "&amp;L_PendStrict&amp;" "," ")))/(LEN(L_PendStrict)+1))&gt;SUMPRODUCT((LEN(BD425)-LEN(SUBSTITUTE(BD425," "&amp;L_PendNeg&amp;" "," ")))/(LEN(L_PendNeg)+1)),1,0),1)</f>
        <v>0</v>
      </c>
      <c r="BJ425" s="61" t="n">
        <f aca="false">IFERROR(IF(SUMPRODUCT((LEN(BE425)-LEN(SUBSTITUTE(BE425," "&amp;L_Pending&amp;" "," ")))/(LEN(L_Pending)+1))&gt;SUMPRODUCT((LEN(BE425)-LEN(SUBSTITUTE(BE425," "&amp;L_PendNeg&amp;" "," ")))/(LEN(L_PendNeg)+1)),1,0),1)</f>
        <v>0</v>
      </c>
      <c r="BK425" s="61" t="n">
        <f aca="false">IFERROR(IF(SUMPRODUCT((LEN(BF425)-LEN(SUBSTITUTE(BF425," "&amp;L_PendStrict&amp;" "," ")))/(LEN(L_PendStrict)+1))&gt;SUMPRODUCT((LEN(BF425)-LEN(SUBSTITUTE(BF425," "&amp;L_PendNeg&amp;" "," ")))/(LEN(L_PendNeg)+1)),1,0),1)</f>
        <v>0</v>
      </c>
      <c r="BL425" s="61" t="n">
        <f aca="false">IF(ISNA(MATCH(TRIM(S425),L_EvidenceType,0)),0,BZ425)</f>
        <v>0</v>
      </c>
      <c r="BM425" s="61" t="str">
        <f aca="false">SUBSTITUTE(SUBSTITUTE(SUBSTITUTE(SUBSTITUTE(SUBSTITUTE(SUBSTITUTE(SUBSTITUTE(SUBSTITUTE(SUBSTITUTE(LOWER(Z425&amp;""),"1","0"),"2","0"),"3","0"),"4","0"),"5","0"),"6","0"),"7","0"),"8","0"),"9","0")</f>
        <v/>
      </c>
      <c r="BN425" s="61" t="str">
        <f aca="false">SUBSTITUTE(SUBSTITUTE(SUBSTITUTE(SUBSTITUTE(SUBSTITUTE(SUBSTITUTE(SUBSTITUTE(SUBSTITUTE(SUBSTITUTE(SUBSTITUTE(SUBSTITUTE(SUBSTITUTE(SUBSTITUTE(SUBSTITUTE(SUBSTITUTE(SUBSTITUTE(SUBSTITUTE(SUBSTITUTE(SUBSTITUTE(SUBSTITUTE(SUBSTITUTE(SUBSTITUTE(SUBSTITUTE(SUBSTITUTE(SUBSTITUTE(BM425,"b","a"),"c","a"),"d","a"),"e","a"),"f","a"),"g","a"),"h","a"),"i","a"),"j","a"),"k","a"),"l","a"),"m","a"),"n","a"),"o","a"),"p","a"),"q","a"),"r","a"),"s","a"),"t","a"),"u","a"),"v","a"),"w","a"),"x","a"),"y","a"),"z","a")</f>
        <v/>
      </c>
      <c r="BO425" s="61" t="str">
        <f aca="false">SUBSTITUTE(SUBSTITUTE(SUBSTITUTE(SUBSTITUTE(SUBSTITUTE(SUBSTITUTE(SUBSTITUTE(SUBSTITUTE(SUBSTITUTE(LOWER(W425&amp;""),"1","0"),"2","0"),"3","0"),"4","0"),"5","0"),"6","0"),"7","0"),"8","0"),"9","0")</f>
        <v/>
      </c>
      <c r="BP425" s="61" t="str">
        <f aca="false">SUBSTITUTE(SUBSTITUTE(SUBSTITUTE(SUBSTITUTE(SUBSTITUTE(SUBSTITUTE(SUBSTITUTE(SUBSTITUTE(SUBSTITUTE(SUBSTITUTE(SUBSTITUTE(SUBSTITUTE(SUBSTITUTE(SUBSTITUTE(SUBSTITUTE(SUBSTITUTE(SUBSTITUTE(SUBSTITUTE(SUBSTITUTE(SUBSTITUTE(SUBSTITUTE(SUBSTITUTE(SUBSTITUTE(SUBSTITUTE(SUBSTITUTE(BO425,"b","a"),"c","a"),"d","a"),"e","a"),"f","a"),"g","a"),"h","a"),"i","a"),"j","a"),"k","a"),"l","a"),"m","a"),"n","a"),"o","a"),"p","a"),"q","a"),"r","a"),"s","a"),"t","a"),"u","a"),"v","a"),"w","a"),"x","a"),"y","a"),"z","a")</f>
        <v/>
      </c>
      <c r="BQ425" s="61" t="n">
        <f aca="false">IFERROR(IF(AND(ISERROR(SEARCH(" mh"," "&amp;LOWER(W425))),ISNA(MATCH(LEFT(TRIM(BP425),255),{"0000a","000a","00a","0000aa","000aa","00aa","0aa","0000aaa","000aaa","00a00","0a00","0000-0000","00:00","a00","a0","00.00.0000","00/00/0000","00-00-0000","0000-00-00","0000/00/00","0000.00.00","00.00.00","00/00/00","00-00-00","0.00.0000","0/00/0000","0-00-0000"},0)),ISNA(MATCH(LEFT(TRIM(CA425),255),{"0000a","000a","00a","0000aa","000aa","00aa","0aa","0000aaa","000aaa","00a00","0a00","0000-0000","00:00","a00","a0","00.00.0000","00/00/0000","00-00-0000","0000-00-00","0000/00/00","0000.00.00","00.00.00","00/00/00","00-00-00","0.00.0000","0/00/0000","0-00-0000"},0)),LEN(CB425)&gt;=3,NOT(OR(SUBSTITUTE(CB425,"0","")="",AND(LEN(CB425)&gt;=4,CB425=REPT(LEFT(CB425),LEN(CB425))),ISNUMBER(MATCH(CB425,{"123","1234","12345","123456","1234567","12345678","0123","01234","012345","98765","987654","54321"},0)),AND(LEN(CB425)=8,LEFT(CB425,3)="202"))),OR(AND((LEN(CA425)-LEN(SUBSTITUTE(CA425,"a","")))&gt;=1,SUMPRODUCT(--ISNUMBER(SEARCH({"a0","a-0","a_0","a/0","a.0","a#0","0a","0-a","0_a","0/a"},BP425)))&gt;0),ISNUMBER(SEARCH("000000",BP425)))),1,0),0)</f>
        <v>0</v>
      </c>
      <c r="BR425" s="61" t="n">
        <f aca="false">IFERROR(LEN(SUBSTITUTE(CC425," ",""))-SUMPRODUCT((LEN(CC425)-LEN(SUBSTITUTE(CC425," "&amp;L_Role&amp;" "," ")))/(LEN(L_Role)+1)*LEN(L_Role)),0)</f>
        <v>0</v>
      </c>
      <c r="BS425" s="61" t="n">
        <f aca="false">IFERROR(LEN(SUBSTITUTE(CD425," ",""))-SUMPRODUCT((LEN(CD425)-LEN(SUBSTITUTE(CD425," "&amp;L_Role&amp;" "," ")))/(LEN(L_Role)+1)*LEN(L_Role)),0)</f>
        <v>0</v>
      </c>
      <c r="BT4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425,"revision",""),"version",""),"jan",""),"feb",""),"mar",""),"apr",""),"may",""),"jun",""),"jul",""),"aug",""),"sep",""),"oct",""),"nov",""),"dec",""),"utc",""),"gmt",""),"myt",""),"bst",""),"rev",""),"ver",""),"b","a"),"c","a"),"d","a"),"e","a"),"f","a"),"g","a"),"h","a"),"i","a"),"j","a"),"k","a"),"l","a"),"m","a"),"n","a"),"o","a"),"p","a"),"q","a"),"r","a"),"s","a"),"t","a"),"u","a"),"v","a"),"w","a"),"x","a"),"y","a"),"z","a")</f>
        <v/>
      </c>
      <c r="BU425" s="61" t="str">
        <f aca="false">SUBSTITUTE(SUBSTITUTE(SUBSTITUTE(SUBSTITUTE(SUBSTITUTE(SUBSTITUTE(SUBSTITUTE(SUBSTITUTE(SUBSTITUTE(SUBSTITUTE(LEFT(BM425,FIND("0",BM425&amp;"0")-1),"-",""),"_",""),"/",""),".",""),"#",""),"\\",""),":","")," ",""),"(",""),")","")</f>
        <v/>
      </c>
      <c r="BV425" s="61" t="n">
        <f aca="false">IFERROR(IF(OR(SUMPRODUCT((LEN(BC425)-LEN(SUBSTITUTE(BC425," "&amp;L_NotLoaded&amp;" "," ")))/(LEN(L_NotLoaded)+1))&gt;SUMPRODUCT((LEN(BC425)-LEN(SUBSTITUTE(BC425," "&amp;L_NotLoadedNeg&amp;" "," ")))/(LEN(L_NotLoadedNeg)+1)),SUMPRODUCT((LEN(BD425)-LEN(SUBSTITUTE(BD425," "&amp;L_NotLoaded&amp;" "," ")))/(LEN(L_NotLoaded)+1))&gt;SUMPRODUCT((LEN(BD425)-LEN(SUBSTITUTE(BD425," "&amp;L_NotLoadedNeg&amp;" "," ")))/(LEN(L_NotLoadedNeg)+1))),1,0),0)</f>
        <v>0</v>
      </c>
      <c r="BW4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425&amp;""),"a",""),"b",""),"c",""),"d",""),"e",""),"f",""),"g",""),"h",""),"i",""),"j",""),"k",""),"l",""),"m",""),"n",""),"o",""),"p",""),"q",""),"r",""),"s",""),"t",""),"u",""),"v",""),"w",""),"x",""),"y",""),"z",""),"-",""),"_",""),"/",""),".",""),"#",""),"\\",""),":","")," ",""),"(",""),")","")</f>
        <v/>
      </c>
      <c r="BX425" s="61" t="str">
        <f aca="false">SUBSTITUTE(SUBSTITUTE(SUBSTITUTE(SUBSTITUTE(SUBSTITUTE(SUBSTITUTE(SUBSTITUTE(SUBSTITUTE(SUBSTITUTE(SUBSTITUTE(SUBSTITUTE(BM425,"0",""),"-",""),"_",""),"/",""),".",""),"#",""),"\\",""),":","")," ",""),"(",""),")","")</f>
        <v/>
      </c>
      <c r="BY425" s="62" t="n">
        <f aca="false">IF(ISNUMBER(Flights!$AZ$16),MAX(Q425-UpliftWindowH/24,Flights!$AZ$16),Q425-UpliftWindowH/24)</f>
        <v>46307.3506944444</v>
      </c>
      <c r="BZ425" s="61" t="n">
        <f aca="false">IFERROR(IF(IF(TRIM(S425)="Link / file path",AND(LEN(TRIM(Z425))&gt;=5,SUMPRODUCT(--ISNUMBER(SEARCH({"http","www.","\\",":\",".pdf",".jpg",".jpeg",".png",".heic",".xls",".doc",".msg",".eml",".ppt",".txt",".zip"},Z425)))&gt;0),AND(ISERROR(FIND(" ",TRIM(Z425))),NOT(OR(SUMPRODUCT(--ISNUMBER(FIND({",",";","&amp;","+"},Z425)))&gt;0,SUMPRODUCT(--ISNUMBER(SEARCH({"0/aa","0\\aa"},BN425)))&gt;0)),NOT(SUMPRODUCT(--ISNUMBER(SEARCH({"http","www.","\\",":\",".pdf",".jpg",".jpeg",".png",".heic",".xls",".doc",".msg",".eml",".ppt",".txt",".zip"},Z425)))&gt;0),NOT(LOWER(TRIM(Z425))=LOWER(Flights!$F$16)),ISNA(MATCH(BU425,{"mh","rev","revision","ver","version","v","r","a","b","seat","tray","row","gate","bay","stand","page","pg","item","line","no","cart","galley","flight","flt","table","box","bag","oven","etd","eta","std","sta","atd","ata","qty","pax","x","time","tel","ph","mob","day","wk","week","utc","gmt","myt","lt"},0)),NOT(OR(ISNUMBER(MATCH(LEFT(BN425,255),{"0000a","000a","00a","0000aa","000aa","00aa","0aa","0000aaa","000aaa","00a00","0a00","0000-0000","00:00","a00","a0","00.00.0000","00/00/0000","00-00-0000","0000-00-00","0000/00/00","0000.00.00","00.00.00","00/00/00","00-00-00","0.00.0000","0/00/0000","0-00-0000"},0)),ISNUMBER(MATCH(LEFT(BT425,255),{"0000a","000a","00a","0000aa","000aa","00aa","0aa","0000aaa","000aaa","00a00","0a00","0000-0000","00:00","a00","a0","00.00.0000","00/00/0000","00-00-0000","0000-00-00","0000/00/00","0000.00.00","00.00.00","00/00/00","00-00-00","0.00.0000","0/00/0000","0-00-0000"},0)))),NOT(OR(AND(BW425&lt;&gt;"",SUBSTITUTE(BW425,"0","")=""),AND(LEN(BW425)&gt;=4,BW425=REPT(LEFT(BW425),LEN(BW425))),ISNUMBER(MATCH(BW425,{"123","1234","12345","123456","1234567","12345678","0123","01234","012345","98765","987654","54321"},0)),ISNUMBER(MATCH(BX425,{"x","xx","xxx","xxxx","xxxxx","abc","abcd","nil","na","nan","test","tbc","tba","tbd","dummy","sample","example","eg","zz","zzz","none","null","xyz","qwe","asd","id","ref"},0)),AND(LEN(BW425)=8,BX425="",OR(LEFT(BW425,3)="202",ISNUMBER(MATCH(RIGHT(BW425,4),{"2025","2026","2027"},0)))))),OR(AND((LEN(BT425)-LEN(SUBSTITUTE(BT425,"a","")))&gt;=1,(LEN(BN425)-LEN(SUBSTITUTE(BN425,"0","")))&gt;=2,SUMPRODUCT(--ISNUMBER(SEARCH({"a0","a-0","a_0","a/0","a.0","a#0","0a","0-a","0_a","0/a"},BN425)))&gt;0),AND((LEN(BN425)-LEN(SUBSTITUTE(BN425,"a","")))=0,(LEN(BN425)-LEN(SUBSTITUTE(BN425,"0","")))&gt;=5)))),1,0),0)</f>
        <v>0</v>
      </c>
      <c r="CA4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425,"revision",""),"version",""),"jan",""),"feb",""),"mar",""),"apr",""),"may",""),"jun",""),"jul",""),"aug",""),"sep",""),"oct",""),"nov",""),"dec",""),"utc",""),"gmt",""),"myt",""),"bst",""),"rev",""),"ver",""),"b","a"),"c","a"),"d","a"),"e","a"),"f","a"),"g","a"),"h","a"),"i","a"),"j","a"),"k","a"),"l","a"),"m","a"),"n","a"),"o","a"),"p","a"),"q","a"),"r","a"),"s","a"),"t","a"),"u","a"),"v","a"),"w","a"),"x","a"),"y","a"),"z","a")</f>
        <v/>
      </c>
      <c r="CB4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425&amp;""),"a",""),"b",""),"c",""),"d",""),"e",""),"f",""),"g",""),"h",""),"i",""),"j",""),"k",""),"l",""),"m",""),"n",""),"o",""),"p",""),"q",""),"r",""),"s",""),"t",""),"u",""),"v",""),"w",""),"x",""),"y",""),"z",""),"-",""),"_",""),"/",""),".",""),"#",""),"\\",""),":","")," ",""),"(",""),")","")</f>
        <v/>
      </c>
      <c r="CC425" s="0" t="str">
        <f aca="false">" "&amp;TRIM(SUBSTITUTE(SUBSTITUTE(SUBSTITUTE(SUBSTITUTE(SUBSTITUTE(SUBSTITUTE(SUBSTITUTE(SUBSTITUTE(SUBSTITUTE(SUBSTITUTE(SUBSTITUTE(SUBSTITUTE(SUBSTITUTE(SUBSTITUTE(SUBSTITUTE(SUBSTITUTE(SUBSTITUTE(SUBSTITUTE(SUBSTITUTE(SUBSTITUTE(SUBSTITUTE(SUBSTITUTE(SUBSTITUTE(SUBSTITUTE(LOWER(T425&amp;""),CHAR(10)," "),CHAR(13)," "),CHAR(9)," "),CHAR(160)," "),"."," "),","," "),"-"," "),"/"," "),"("," "),")"," "),":"," "),";"," "),"_"," "),"–"," "),"?"," "),"!"," "),"*"," "),"["," "),"]"," "),"'"," "),"#"," "),"+"," "),"&amp;"," "),"\"," "))&amp;" "</f>
        <v>  </v>
      </c>
      <c r="CD425" s="0" t="str">
        <f aca="false">" "&amp;TRIM(SUBSTITUTE(SUBSTITUTE(SUBSTITUTE(SUBSTITUTE(SUBSTITUTE(SUBSTITUTE(SUBSTITUTE(SUBSTITUTE(SUBSTITUTE(SUBSTITUTE(SUBSTITUTE(SUBSTITUTE(SUBSTITUTE(SUBSTITUTE(SUBSTITUTE(SUBSTITUTE(SUBSTITUTE(SUBSTITUTE(SUBSTITUTE(SUBSTITUTE(SUBSTITUTE(SUBSTITUTE(SUBSTITUTE(SUBSTITUTE(LOWER(AE425&amp;""),CHAR(10)," "),CHAR(13)," "),CHAR(9)," "),CHAR(160)," "),"."," "),","," "),"-"," "),"/"," "),"("," "),")"," "),":"," "),";"," "),"_"," "),"–"," "),"?"," "),"!"," "),"*"," "),"["," "),"]"," "),"'"," "),"#"," "),"+"," "),"&amp;"," "),"\"," "))&amp;" "</f>
        <v>  </v>
      </c>
      <c r="CE425" s="68" t="n">
        <f aca="false">IFERROR(IF(AND(LEN(AU425)&gt;0,LEN(AU425)=LEN(AX425),OR(TRIM(MID(SUBSTITUTE(TRIM(CC425)," ",REPT(" ",60)),1,60))="",ISNUMBER(SEARCH(" "&amp;TRIM(MID(SUBSTITUTE(TRIM(CC425)," ",REPT(" ",60)),1,60))&amp;" ",CD425))),OR(TRIM(MID(SUBSTITUTE(TRIM(CC425)," ",REPT(" ",60)),61,60))="",ISNUMBER(SEARCH(" "&amp;TRIM(MID(SUBSTITUTE(TRIM(CC425)," ",REPT(" ",60)),61,60))&amp;" ",CD425))),OR(TRIM(MID(SUBSTITUTE(TRIM(CC425)," ",REPT(" ",60)),121,60))="",ISNUMBER(SEARCH(" "&amp;TRIM(MID(SUBSTITUTE(TRIM(CC425)," ",REPT(" ",60)),121,60))&amp;" ",CD425)))),1,0),0)</f>
        <v>0</v>
      </c>
      <c r="CG425" s="68" t="n">
        <f aca="false">IFERROR(LEN(SUBSTITUTE(BF425," ",""))-SUMPRODUCT((LEN(BF425)-LEN(SUBSTITUTE(BF425," "&amp;L_NAFiller&amp;" "," ")))/(LEN(L_NAFiller)+1)*LEN(L_NAFiller)),0)</f>
        <v>0</v>
      </c>
    </row>
    <row r="426" customFormat="false" ht="39.75" hidden="false" customHeight="true" outlineLevel="0" collapsed="false">
      <c r="A426" s="57" t="s">
        <v>1058</v>
      </c>
      <c r="B426" s="57" t="s">
        <v>261</v>
      </c>
      <c r="C426" s="57" t="str">
        <f aca="false">Flights!$F$16</f>
        <v>MH0139</v>
      </c>
      <c r="D426" s="58" t="n">
        <f aca="false">Flights!$D$16</f>
        <v>46307</v>
      </c>
      <c r="E426" s="57" t="str">
        <f aca="false">Flights!$G$16&amp;"-"&amp;Flights!$H$16</f>
        <v>KUL-ADL</v>
      </c>
      <c r="F426" s="57" t="str">
        <f aca="false">Flights!$K$16</f>
        <v>BC</v>
      </c>
      <c r="G426" s="57" t="s">
        <v>459</v>
      </c>
      <c r="H426" s="57" t="s">
        <v>460</v>
      </c>
      <c r="I426" s="57" t="s">
        <v>634</v>
      </c>
      <c r="J426" s="57" t="s">
        <v>659</v>
      </c>
      <c r="K426" s="67" t="s">
        <v>1040</v>
      </c>
      <c r="L426" s="67" t="s">
        <v>1041</v>
      </c>
      <c r="M426" s="67" t="s">
        <v>451</v>
      </c>
      <c r="N426" s="67" t="s">
        <v>383</v>
      </c>
      <c r="O426" s="67" t="s">
        <v>1059</v>
      </c>
      <c r="P426" s="57" t="s">
        <v>187</v>
      </c>
      <c r="Q426" s="59" t="n">
        <f aca="false">ROUND((Flights!$AF$16)*1440,0)/1440</f>
        <v>46307.6006944444</v>
      </c>
      <c r="R426" s="59" t="n">
        <f aca="false">Q426+(IF(AND(INDEX(TZ_DSTS,MATCH(P426,TZ_STN,0))&lt;&gt;"",Q426&gt;=INDEX(TZ_DSTS,MATCH(P426,TZ_STN,0)),Q426&lt;INDEX(TZ_DSTE,MATCH(P426,TZ_STN,0))),INDEX(TZ_DST,MATCH(P426,TZ_STN,0)),INDEX(TZ_STD,MATCH(P426,TZ_STN,0))))/24</f>
        <v>46307.9340277778</v>
      </c>
      <c r="S426" s="60"/>
      <c r="T426" s="60"/>
      <c r="U426" s="60"/>
      <c r="V426" s="60"/>
      <c r="W426" s="61"/>
      <c r="X426" s="60"/>
      <c r="Y426" s="60"/>
      <c r="Z426" s="60"/>
      <c r="AA426" s="60"/>
      <c r="AB426" s="60"/>
      <c r="AC426" s="60"/>
      <c r="AD426" s="66"/>
      <c r="AE426" s="60"/>
      <c r="AF426" s="61" t="str">
        <f aca="false">IF(AND(ISNUMBER(X426),ISNUMBER(Y426)),Y426-X426,"")</f>
        <v/>
      </c>
      <c r="AG426" s="62" t="str">
        <f aca="false">IF(ISNUMBER(AD426),AD426-(IF(AND(INDEX(TZ_DSTS,MATCH(P426,TZ_STN,0))&lt;&gt;"",(AD426-INDEX(TZ_STD,MATCH(P426,TZ_STN,0))/24)&gt;=INDEX(TZ_DSTS,MATCH(P426,TZ_STN,0)),(AD426-INDEX(TZ_STD,MATCH(P426,TZ_STN,0))/24)&lt;INDEX(TZ_DSTE,MATCH(P426,TZ_STN,0))),INDEX(TZ_DST,MATCH(P426,TZ_STN,0)),INDEX(TZ_STD,MATCH(P426,TZ_STN,0))))/24,"")</f>
        <v/>
      </c>
      <c r="AH426" s="65" t="str">
        <f aca="false">IFERROR(IF(N426="N/A – rule",IF(OR(TRIM(U426)="",TRIM(U426)="N/A",TRIM(U426)="Not started"),"N/A – RULE","INVALID – this check does not apply to this aircraft: clear the status (or correct the fleet on Flights)"),IF(TRIM(U426)="N/A",IF(AT426=0,"INVALID – N/A not permitted for this check",IF(AND(TRIM(AB426)&lt;&gt;"",TRIM(AB426)&lt;&gt;"Closed"),"INVALID – corrective action still open",IF(AND(NOT(OR(LEN(AZ426)&lt;15,ISNUMBER(MATCH(AZ426,L_Placeholder,0)))),BK426=0,CG426&gt;=8,NOT(OR(LEN(AU426)&lt;2,ISNUMBER(MATCH(AU426,L_Placeholder,0)))),BR426&gt;=3,NOT(OR(LEN(AX426)&lt;2,ISNUMBER(MATCH(AX426,L_Placeholder,0)))),BS426&gt;=3,TRIM(AE426)&lt;&gt;TRIM(T426),AX426&lt;&gt;AU426,CE426=0),"N/A – JUSTIFIED","INVALID – N/A needs a real, settled reason (not 'not applicable' / 'as above' / TBC), a named PIC and a different named verifier"))),IF(OR(TRIM(U426)="Pass",TRIM(U426)="Pass after CA"),IF(NOT(ISNUMBER(AD426)),"INVALID – completion time missing",IF(OR(OR(LEN(AU426)&lt;2,ISNUMBER(MATCH(AU426,L_Placeholder,0))),BR426&lt;3),"INVALID – PIC missing or not a named person (a role such as QA / CSM is not a name)",IF(OR(LEN(AV426)&lt;2,ISNUMBER(MATCH(AV426,L_Placeholder,0))),"INVALID – result / assessment missing",IF(OR(OR(LEN(AW426)&lt;3,ISNUMBER(MATCH(AW426,L_Placeholder,0))),SUMPRODUCT(--ISNUMBER(SEARCH(" "&amp;L_EvidencePhrase&amp;" ",BD426)))&gt;0,BI426=1),"INVALID – evidence missing, placeholder or not yet on file",IF(ISNA(MATCH(TRIM(S426),L_EvidenceType,0)),"INVALID – choose the evidence type from the list (column S)",IF(BL426=0,"INVALID – evidence ID must be the record's own ID only (e.g. SF-2210, IMG_2231, 1045521); a link / file name needs type 'Link / file path'",IF(OR(OR(LEN(AX426)&lt;2,ISNUMBER(MATCH(AX426,L_Placeholder,0))),BS426&lt;3),"INVALID – verifier missing or not a named person (a role such as QA / CSM is not a name)",IF(OR(AX426=AU426,CE426=1,AND(LEN(AU426)&gt;=4,ISNUMBER(SEARCH(AU426,AX426))),AND(LEN(AX426)&gt;=4,ISNUMBER(SEARCH(AX426,AU426)))),"INVALID – verifier must be a different, named person (not the PIC or a role)",IF(BH426=1,"INVALID – result not yet available (awaiting / TBC)",IF(BG426=1,"INVALID – result describes a problem: record Fail, then Pass after CA (or reword if it is not a problem)",IF(BV426=1,"INVALID – wording says not on board: an on-board confirmation needs the item loaded",IF(AND(AQ426=1,OR(OR(LEN(AY426)&lt;3,ISNUMBER(MATCH(AY426,L_Placeholder,0))),BJ426=1,BQ426=0)),"INVALID – batch ID missing, placeholder or not an ID (e.g. PASB-261008-BC-017)",IF(AND(AR426=1,OR(NOT(ISNUMBER(X426)),NOT(ISNUMBER(Y426)))),"INVALID – expected/actual qty missing",IF(AND(AR426=1,OR(X426&lt;=0,Y426&lt;0)),"INVALID – expected qty must be above 0 and actual not negative",IF(AH410="N/A – JUSTIFIED","INVALID – preparation row F12-T12-21 is N/A",IF(AND(AR426=1,ISNUMBER(X410),X426&lt;&gt;X410,TRIM(U426)&lt;&gt;"Pass after CA"),"INVALID – expected qty differs from preparation check F12-T12-21: record the load change as a corrective action (Pass after CA)",IF(BB426&lt;&gt;"",BB426,IF(AND(AS426=1,Documents!$J$16&lt;&gt;"ON FILE"),"INVALID – GLD not on file (Documents sheet)",IF(AND(AS426=2,Documents!$O$16&lt;&gt;"ON FILE"),"INVALID – menu checklist not on file (Documents sheet)",IF(AND(AS426=3,NOT(ISNUMBER(Flights!$AX$16))),"INVALID – enter carrying flight KUL departure (Flights AX)",IF(AND(AS426=3,OR(Flights!$AZ$16&gt;Flights!$AA$16,Flights!$AX$16&lt;Flights!$AA$16-3)),"INVALID – carrying flight (Flights AX) cannot arrive before this leg's STD, or is over 3 days early",IF(AG426&gt;AsOfUTC,"INVALID – completion time is in the future",IF(AND(ISNUMBER(BY426),AG426&lt;BY426),IF(H426="Physical uplift","INVALID – before uplift window (cannot confirm loading)","INVALID – before valid window"),IF(AG426&gt;Flights!$AA$16,"INVALID – completed after departure (cannot establish readiness)",IF(AND(H426="Preparation",AG426&gt;=IF(ISNUMBER(Flights!$BA$16),MIN(Flights!$BA$16,Flights!$AA$16),Flights!$AA$16)),"INVALID – completed after loading / departure (cannot establish readiness)",IF(AND(H426="Physical uplift",AG426&gt;Q426),"INVALID – recorded after the loading flight departed",IF(AG426&gt;Q426,"COMPLETE – LATE","COMPLETE"))))))))))))))))))))))))))),IF(TRIM(U426)="Fail","FAIL – DISCREPANCY",IF(AND(TRIM(U426)&lt;&gt;"",TRIM(U426)&lt;&gt;"Not started",TRIM(U426)&lt;&gt;"In progress"),"INVALID – unrecognised status (use the list)",IF(AsOfUTC&gt;Q426,"OVERDUE",IF(N426="Clarification required","OPEN – CLARIFICATION","OPEN"))))))),"INVALID – error value in an input cell")</f>
        <v>OPEN</v>
      </c>
      <c r="AI426" s="61" t="n">
        <f aca="false">IF(OR(AH426="N/A – RULE",AH426="N/A – JUSTIFIED"),0,1)</f>
        <v>1</v>
      </c>
      <c r="AJ426" s="61" t="n">
        <f aca="false">IF(LEFT(AH426,8)="COMPLETE",1,0)</f>
        <v>0</v>
      </c>
      <c r="AK426" s="61" t="n">
        <f aca="false">IF(AND(AI426=1,AJ426=0,AsOfUTC&gt;Q426),1,0)</f>
        <v>0</v>
      </c>
      <c r="AL426" s="61" t="n">
        <f aca="false">IFERROR(IF(AND(AI426=1,OR(TRIM(U426)="Fail",AND(TRIM(AB426)&lt;&gt;"",TRIM(AB426)&lt;&gt;"Closed"),AND(ISNUMBER(AF426),AF426&lt;&gt;0,TRIM(U426)&lt;&gt;"Pass after CA"))),1,0),1)</f>
        <v>0</v>
      </c>
      <c r="AM426" s="61" t="n">
        <f aca="false">IF(LEFT(AH426,7)="INVALID",1,0)</f>
        <v>0</v>
      </c>
      <c r="AN426" s="61" t="n">
        <f aca="false">IF(AND(N426="Clarification required",AI426=1,AJ426=0),1,0)</f>
        <v>0</v>
      </c>
      <c r="AO426" s="61" t="str">
        <f aca="false">IF(AK426=1,SUM(AK$5:AK426),"")</f>
        <v/>
      </c>
      <c r="AP426" s="61" t="str">
        <f aca="false">IF(AL426=1,SUM(AL$5:AL426),"")</f>
        <v/>
      </c>
      <c r="AQ426" s="61" t="n">
        <v>0</v>
      </c>
      <c r="AR426" s="61" t="n">
        <v>0</v>
      </c>
      <c r="AS426" s="61" t="n">
        <v>0</v>
      </c>
      <c r="AT426" s="61" t="n">
        <v>0</v>
      </c>
      <c r="AU426" s="61" t="str">
        <f aca="false">SUBSTITUTE(SUBSTITUTE(SUBSTITUTE(SUBSTITUTE(SUBSTITUTE(SUBSTITUTE(SUBSTITUTE(SUBSTITUTE(SUBSTITUTE(SUBSTITUTE(SUBSTITUTE(SUBSTITUTE(SUBSTITUTE(SUBSTITUTE(SUBSTITUTE(SUBSTITUTE(LOWER(T426&amp;""),CHAR(10),""),CHAR(13),""),CHAR(9),""),CHAR(160),"")," ",""),".",""),"-",""),"/",""),"?",""),"_",""),",",""),"[",""),"]",""),"(",""),")",""),"*","")</f>
        <v/>
      </c>
      <c r="AV426" s="61" t="str">
        <f aca="false">SUBSTITUTE(SUBSTITUTE(SUBSTITUTE(SUBSTITUTE(SUBSTITUTE(SUBSTITUTE(SUBSTITUTE(SUBSTITUTE(SUBSTITUTE(SUBSTITUTE(SUBSTITUTE(SUBSTITUTE(SUBSTITUTE(SUBSTITUTE(SUBSTITUTE(SUBSTITUTE(LOWER(V426&amp;""),CHAR(10),""),CHAR(13),""),CHAR(9),""),CHAR(160),"")," ",""),".",""),"-",""),"/",""),"?",""),"_",""),",",""),"[",""),"]",""),"(",""),")",""),"*","")</f>
        <v/>
      </c>
      <c r="AW426" s="61" t="str">
        <f aca="false">SUBSTITUTE(SUBSTITUTE(SUBSTITUTE(SUBSTITUTE(SUBSTITUTE(SUBSTITUTE(SUBSTITUTE(SUBSTITUTE(SUBSTITUTE(SUBSTITUTE(SUBSTITUTE(SUBSTITUTE(SUBSTITUTE(SUBSTITUTE(SUBSTITUTE(SUBSTITUTE(LOWER(Z426&amp;""),CHAR(10),""),CHAR(13),""),CHAR(9),""),CHAR(160),"")," ",""),".",""),"-",""),"/",""),"?",""),"_",""),",",""),"[",""),"]",""),"(",""),")",""),"*","")</f>
        <v/>
      </c>
      <c r="AX426" s="61" t="str">
        <f aca="false">SUBSTITUTE(SUBSTITUTE(SUBSTITUTE(SUBSTITUTE(SUBSTITUTE(SUBSTITUTE(SUBSTITUTE(SUBSTITUTE(SUBSTITUTE(SUBSTITUTE(SUBSTITUTE(SUBSTITUTE(SUBSTITUTE(SUBSTITUTE(SUBSTITUTE(SUBSTITUTE(LOWER(AE426&amp;""),CHAR(10),""),CHAR(13),""),CHAR(9),""),CHAR(160),"")," ",""),".",""),"-",""),"/",""),"?",""),"_",""),",",""),"[",""),"]",""),"(",""),")",""),"*","")</f>
        <v/>
      </c>
      <c r="AY426" s="61" t="str">
        <f aca="false">SUBSTITUTE(SUBSTITUTE(SUBSTITUTE(SUBSTITUTE(SUBSTITUTE(SUBSTITUTE(SUBSTITUTE(SUBSTITUTE(SUBSTITUTE(SUBSTITUTE(SUBSTITUTE(SUBSTITUTE(SUBSTITUTE(SUBSTITUTE(SUBSTITUTE(SUBSTITUTE(LOWER(W426&amp;""),CHAR(10),""),CHAR(13),""),CHAR(9),""),CHAR(160),"")," ",""),".",""),"-",""),"/",""),"?",""),"_",""),",",""),"[",""),"]",""),"(",""),")",""),"*","")</f>
        <v/>
      </c>
      <c r="AZ426" s="61" t="str">
        <f aca="false">SUBSTITUTE(SUBSTITUTE(SUBSTITUTE(SUBSTITUTE(SUBSTITUTE(SUBSTITUTE(SUBSTITUTE(SUBSTITUTE(SUBSTITUTE(SUBSTITUTE(SUBSTITUTE(SUBSTITUTE(SUBSTITUTE(SUBSTITUTE(SUBSTITUTE(SUBSTITUTE(LOWER(AC426&amp;""),CHAR(10),""),CHAR(13),""),CHAR(9),""),CHAR(160),"")," ",""),".",""),"-",""),"/",""),"?",""),"_",""),",",""),"[",""),"]",""),"(",""),")",""),"*","")</f>
        <v/>
      </c>
      <c r="BA426" s="61" t="str">
        <f aca="false">SUBSTITUTE(SUBSTITUTE(SUBSTITUTE(SUBSTITUTE(SUBSTITUTE(SUBSTITUTE(SUBSTITUTE(SUBSTITUTE(SUBSTITUTE(SUBSTITUTE(SUBSTITUTE(SUBSTITUTE(SUBSTITUTE(SUBSTITUTE(SUBSTITUTE(SUBSTITUTE(LOWER(AA426&amp;""),CHAR(10),""),CHAR(13),""),CHAR(9),""),CHAR(160),"")," ",""),".",""),"-",""),"/",""),"?",""),"_",""),",",""),"[",""),"]",""),"(",""),")",""),"*","")</f>
        <v/>
      </c>
      <c r="BB426" s="61" t="str">
        <f aca="false">IF(AND(TRIM(U426)="Pass",ISNUMBER(AF426)),IF(AF426&lt;&gt;0,"INVALID – qty variance: use Fail or Pass after CA",""),"")&amp;IF(AND(TRIM(U426)="Pass after CA",ISNUMBER(AF426)),IF(AF426&lt;&gt;0,"INVALID – after the corrective action the actual qty must equal expected (update Actual)",""),"")&amp;IF(AND(TRIM(U426)="Pass",TRIM(AB426)&lt;&gt;"",TRIM(AB426)&lt;&gt;"Closed"),"INVALID – corrective action not closed: use Fail, then Pass after CA","")&amp;IF(AND(LEN(BA426)&gt;=2,ISNA(MATCH(LEFT(BA426,255),L_Placeholder,0)),TRIM(AB426)=""),"INVALID – CA status missing for the recorded corrective action","")&amp;IF(AND(TRIM(U426)="Pass after CA",OR(OR(LEN(BA426)&lt;5,ISNUMBER(MATCH(BA426,L_Placeholder,0))),TRIM(AB426)&lt;&gt;"Closed")),"INVALID – corrective action not recorded/closed","")</f>
        <v/>
      </c>
      <c r="BC426" s="61" t="str">
        <f aca="false">" "&amp;TRIM(SUBSTITUTE(SUBSTITUTE(SUBSTITUTE(SUBSTITUTE(SUBSTITUTE(SUBSTITUTE(SUBSTITUTE(SUBSTITUTE(SUBSTITUTE(SUBSTITUTE(SUBSTITUTE(SUBSTITUTE(SUBSTITUTE(SUBSTITUTE(SUBSTITUTE(SUBSTITUTE(SUBSTITUTE(SUBSTITUTE(SUBSTITUTE(SUBSTITUTE(SUBSTITUTE(SUBSTITUTE(SUBSTITUTE(SUBSTITUTE(LOWER(V426&amp;""),CHAR(10)," "),CHAR(13)," "),CHAR(9)," "),CHAR(160)," "),"."," "),","," "),"-"," "),"/"," "),"("," "),")"," "),":"," "),";"," "),"_"," "),"–"," "),"?"," "),"!"," "),"*"," "),"["," "),"]"," "),"'"," "),"#"," "),"+"," "),"&amp;"," "),"\"," "))&amp;" "</f>
        <v>  </v>
      </c>
      <c r="BD426" s="61" t="str">
        <f aca="false">" "&amp;TRIM(SUBSTITUTE(SUBSTITUTE(SUBSTITUTE(SUBSTITUTE(SUBSTITUTE(SUBSTITUTE(SUBSTITUTE(SUBSTITUTE(SUBSTITUTE(SUBSTITUTE(SUBSTITUTE(SUBSTITUTE(SUBSTITUTE(SUBSTITUTE(SUBSTITUTE(SUBSTITUTE(SUBSTITUTE(SUBSTITUTE(SUBSTITUTE(SUBSTITUTE(SUBSTITUTE(SUBSTITUTE(SUBSTITUTE(SUBSTITUTE(LOWER(Z426&amp;""),CHAR(10)," "),CHAR(13)," "),CHAR(9)," "),CHAR(160)," "),"."," "),","," "),"-"," "),"/"," "),"("," "),")"," "),":"," "),";"," "),"_"," "),"–"," "),"?"," "),"!"," "),"*"," "),"["," "),"]"," "),"'"," "),"#"," "),"+"," "),"&amp;"," "),"\"," "))&amp;" "</f>
        <v>  </v>
      </c>
      <c r="BE426" s="61" t="str">
        <f aca="false">" "&amp;TRIM(SUBSTITUTE(SUBSTITUTE(SUBSTITUTE(SUBSTITUTE(SUBSTITUTE(SUBSTITUTE(SUBSTITUTE(SUBSTITUTE(SUBSTITUTE(SUBSTITUTE(SUBSTITUTE(SUBSTITUTE(SUBSTITUTE(SUBSTITUTE(SUBSTITUTE(SUBSTITUTE(SUBSTITUTE(SUBSTITUTE(SUBSTITUTE(SUBSTITUTE(SUBSTITUTE(SUBSTITUTE(SUBSTITUTE(SUBSTITUTE(LOWER(W426&amp;""),CHAR(10)," "),CHAR(13)," "),CHAR(9)," "),CHAR(160)," "),"."," "),","," "),"-"," "),"/"," "),"("," "),")"," "),":"," "),";"," "),"_"," "),"–"," "),"?"," "),"!"," "),"*"," "),"["," "),"]"," "),"'"," "),"#"," "),"+"," "),"&amp;"," "),"\"," "))&amp;" "</f>
        <v>  </v>
      </c>
      <c r="BF426" s="61" t="str">
        <f aca="false">" "&amp;TRIM(SUBSTITUTE(SUBSTITUTE(SUBSTITUTE(SUBSTITUTE(SUBSTITUTE(SUBSTITUTE(SUBSTITUTE(SUBSTITUTE(SUBSTITUTE(SUBSTITUTE(SUBSTITUTE(SUBSTITUTE(SUBSTITUTE(SUBSTITUTE(SUBSTITUTE(SUBSTITUTE(SUBSTITUTE(SUBSTITUTE(SUBSTITUTE(SUBSTITUTE(SUBSTITUTE(SUBSTITUTE(SUBSTITUTE(SUBSTITUTE(LOWER(AC426&amp;""),CHAR(10)," "),CHAR(13)," "),CHAR(9)," "),CHAR(160)," "),"."," "),","," "),"-"," "),"/"," "),"("," "),")"," "),":"," "),";"," "),"_"," "),"–"," "),"?"," "),"!"," "),"*"," "),"["," "),"]"," "),"'"," "),"#"," "),"+"," "),"&amp;"," "),"\"," "))&amp;" "</f>
        <v>  </v>
      </c>
      <c r="BG426" s="61" t="n">
        <f aca="false">IFERROR(IF(AND(TRIM(U426)="Pass",SUMPRODUCT((LEN(BC426)-LEN(SUBSTITUTE(BC426," "&amp;L_ResultBad&amp;" "," ")))/(LEN(L_ResultBad)+1))&gt;SUMPRODUCT((LEN(BC426)-LEN(SUBSTITUTE(BC426," "&amp;L_NegPhrase&amp;" "," ")))/(LEN(L_NegPhrase)+1))),1,0),0)</f>
        <v>0</v>
      </c>
      <c r="BH426" s="61" t="n">
        <f aca="false">IFERROR(IF(SUMPRODUCT((LEN(BC426)-LEN(SUBSTITUTE(BC426," "&amp;L_Pending&amp;" "," ")))/(LEN(L_Pending)+1))&gt;SUMPRODUCT((LEN(BC426)-LEN(SUBSTITUTE(BC426," "&amp;L_PendNeg&amp;" "," ")))/(LEN(L_PendNeg)+1)),1,0),1)</f>
        <v>0</v>
      </c>
      <c r="BI426" s="61" t="n">
        <f aca="false">IFERROR(IF(SUMPRODUCT((LEN(BD426)-LEN(SUBSTITUTE(BD426," "&amp;L_PendStrict&amp;" "," ")))/(LEN(L_PendStrict)+1))&gt;SUMPRODUCT((LEN(BD426)-LEN(SUBSTITUTE(BD426," "&amp;L_PendNeg&amp;" "," ")))/(LEN(L_PendNeg)+1)),1,0),1)</f>
        <v>0</v>
      </c>
      <c r="BJ426" s="61" t="n">
        <f aca="false">IFERROR(IF(SUMPRODUCT((LEN(BE426)-LEN(SUBSTITUTE(BE426," "&amp;L_Pending&amp;" "," ")))/(LEN(L_Pending)+1))&gt;SUMPRODUCT((LEN(BE426)-LEN(SUBSTITUTE(BE426," "&amp;L_PendNeg&amp;" "," ")))/(LEN(L_PendNeg)+1)),1,0),1)</f>
        <v>0</v>
      </c>
      <c r="BK426" s="61" t="n">
        <f aca="false">IFERROR(IF(SUMPRODUCT((LEN(BF426)-LEN(SUBSTITUTE(BF426," "&amp;L_PendStrict&amp;" "," ")))/(LEN(L_PendStrict)+1))&gt;SUMPRODUCT((LEN(BF426)-LEN(SUBSTITUTE(BF426," "&amp;L_PendNeg&amp;" "," ")))/(LEN(L_PendNeg)+1)),1,0),1)</f>
        <v>0</v>
      </c>
      <c r="BL426" s="61" t="n">
        <f aca="false">IF(ISNA(MATCH(TRIM(S426),L_EvidenceType,0)),0,BZ426)</f>
        <v>0</v>
      </c>
      <c r="BM426" s="61" t="str">
        <f aca="false">SUBSTITUTE(SUBSTITUTE(SUBSTITUTE(SUBSTITUTE(SUBSTITUTE(SUBSTITUTE(SUBSTITUTE(SUBSTITUTE(SUBSTITUTE(LOWER(Z426&amp;""),"1","0"),"2","0"),"3","0"),"4","0"),"5","0"),"6","0"),"7","0"),"8","0"),"9","0")</f>
        <v/>
      </c>
      <c r="BN426" s="61" t="str">
        <f aca="false">SUBSTITUTE(SUBSTITUTE(SUBSTITUTE(SUBSTITUTE(SUBSTITUTE(SUBSTITUTE(SUBSTITUTE(SUBSTITUTE(SUBSTITUTE(SUBSTITUTE(SUBSTITUTE(SUBSTITUTE(SUBSTITUTE(SUBSTITUTE(SUBSTITUTE(SUBSTITUTE(SUBSTITUTE(SUBSTITUTE(SUBSTITUTE(SUBSTITUTE(SUBSTITUTE(SUBSTITUTE(SUBSTITUTE(SUBSTITUTE(SUBSTITUTE(BM426,"b","a"),"c","a"),"d","a"),"e","a"),"f","a"),"g","a"),"h","a"),"i","a"),"j","a"),"k","a"),"l","a"),"m","a"),"n","a"),"o","a"),"p","a"),"q","a"),"r","a"),"s","a"),"t","a"),"u","a"),"v","a"),"w","a"),"x","a"),"y","a"),"z","a")</f>
        <v/>
      </c>
      <c r="BO426" s="61" t="str">
        <f aca="false">SUBSTITUTE(SUBSTITUTE(SUBSTITUTE(SUBSTITUTE(SUBSTITUTE(SUBSTITUTE(SUBSTITUTE(SUBSTITUTE(SUBSTITUTE(LOWER(W426&amp;""),"1","0"),"2","0"),"3","0"),"4","0"),"5","0"),"6","0"),"7","0"),"8","0"),"9","0")</f>
        <v/>
      </c>
      <c r="BP426" s="61" t="str">
        <f aca="false">SUBSTITUTE(SUBSTITUTE(SUBSTITUTE(SUBSTITUTE(SUBSTITUTE(SUBSTITUTE(SUBSTITUTE(SUBSTITUTE(SUBSTITUTE(SUBSTITUTE(SUBSTITUTE(SUBSTITUTE(SUBSTITUTE(SUBSTITUTE(SUBSTITUTE(SUBSTITUTE(SUBSTITUTE(SUBSTITUTE(SUBSTITUTE(SUBSTITUTE(SUBSTITUTE(SUBSTITUTE(SUBSTITUTE(SUBSTITUTE(SUBSTITUTE(BO426,"b","a"),"c","a"),"d","a"),"e","a"),"f","a"),"g","a"),"h","a"),"i","a"),"j","a"),"k","a"),"l","a"),"m","a"),"n","a"),"o","a"),"p","a"),"q","a"),"r","a"),"s","a"),"t","a"),"u","a"),"v","a"),"w","a"),"x","a"),"y","a"),"z","a")</f>
        <v/>
      </c>
      <c r="BQ426" s="61" t="n">
        <f aca="false">IFERROR(IF(AND(ISERROR(SEARCH(" mh"," "&amp;LOWER(W426))),ISNA(MATCH(LEFT(TRIM(BP426),255),{"0000a","000a","00a","0000aa","000aa","00aa","0aa","0000aaa","000aaa","00a00","0a00","0000-0000","00:00","a00","a0","00.00.0000","00/00/0000","00-00-0000","0000-00-00","0000/00/00","0000.00.00","00.00.00","00/00/00","00-00-00","0.00.0000","0/00/0000","0-00-0000"},0)),ISNA(MATCH(LEFT(TRIM(CA426),255),{"0000a","000a","00a","0000aa","000aa","00aa","0aa","0000aaa","000aaa","00a00","0a00","0000-0000","00:00","a00","a0","00.00.0000","00/00/0000","00-00-0000","0000-00-00","0000/00/00","0000.00.00","00.00.00","00/00/00","00-00-00","0.00.0000","0/00/0000","0-00-0000"},0)),LEN(CB426)&gt;=3,NOT(OR(SUBSTITUTE(CB426,"0","")="",AND(LEN(CB426)&gt;=4,CB426=REPT(LEFT(CB426),LEN(CB426))),ISNUMBER(MATCH(CB426,{"123","1234","12345","123456","1234567","12345678","0123","01234","012345","98765","987654","54321"},0)),AND(LEN(CB426)=8,LEFT(CB426,3)="202"))),OR(AND((LEN(CA426)-LEN(SUBSTITUTE(CA426,"a","")))&gt;=1,SUMPRODUCT(--ISNUMBER(SEARCH({"a0","a-0","a_0","a/0","a.0","a#0","0a","0-a","0_a","0/a"},BP426)))&gt;0),ISNUMBER(SEARCH("000000",BP426)))),1,0),0)</f>
        <v>0</v>
      </c>
      <c r="BR426" s="61" t="n">
        <f aca="false">IFERROR(LEN(SUBSTITUTE(CC426," ",""))-SUMPRODUCT((LEN(CC426)-LEN(SUBSTITUTE(CC426," "&amp;L_Role&amp;" "," ")))/(LEN(L_Role)+1)*LEN(L_Role)),0)</f>
        <v>0</v>
      </c>
      <c r="BS426" s="61" t="n">
        <f aca="false">IFERROR(LEN(SUBSTITUTE(CD426," ",""))-SUMPRODUCT((LEN(CD426)-LEN(SUBSTITUTE(CD426," "&amp;L_Role&amp;" "," ")))/(LEN(L_Role)+1)*LEN(L_Role)),0)</f>
        <v>0</v>
      </c>
      <c r="BT4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426,"revision",""),"version",""),"jan",""),"feb",""),"mar",""),"apr",""),"may",""),"jun",""),"jul",""),"aug",""),"sep",""),"oct",""),"nov",""),"dec",""),"utc",""),"gmt",""),"myt",""),"bst",""),"rev",""),"ver",""),"b","a"),"c","a"),"d","a"),"e","a"),"f","a"),"g","a"),"h","a"),"i","a"),"j","a"),"k","a"),"l","a"),"m","a"),"n","a"),"o","a"),"p","a"),"q","a"),"r","a"),"s","a"),"t","a"),"u","a"),"v","a"),"w","a"),"x","a"),"y","a"),"z","a")</f>
        <v/>
      </c>
      <c r="BU426" s="61" t="str">
        <f aca="false">SUBSTITUTE(SUBSTITUTE(SUBSTITUTE(SUBSTITUTE(SUBSTITUTE(SUBSTITUTE(SUBSTITUTE(SUBSTITUTE(SUBSTITUTE(SUBSTITUTE(LEFT(BM426,FIND("0",BM426&amp;"0")-1),"-",""),"_",""),"/",""),".",""),"#",""),"\\",""),":","")," ",""),"(",""),")","")</f>
        <v/>
      </c>
      <c r="BV426" s="61" t="n">
        <f aca="false">IFERROR(IF(OR(SUMPRODUCT((LEN(BC426)-LEN(SUBSTITUTE(BC426," "&amp;L_NotLoaded&amp;" "," ")))/(LEN(L_NotLoaded)+1))&gt;SUMPRODUCT((LEN(BC426)-LEN(SUBSTITUTE(BC426," "&amp;L_NotLoadedNeg&amp;" "," ")))/(LEN(L_NotLoadedNeg)+1)),SUMPRODUCT((LEN(BD426)-LEN(SUBSTITUTE(BD426," "&amp;L_NotLoaded&amp;" "," ")))/(LEN(L_NotLoaded)+1))&gt;SUMPRODUCT((LEN(BD426)-LEN(SUBSTITUTE(BD426," "&amp;L_NotLoadedNeg&amp;" "," ")))/(LEN(L_NotLoadedNeg)+1))),1,0),0)</f>
        <v>0</v>
      </c>
      <c r="BW4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426&amp;""),"a",""),"b",""),"c",""),"d",""),"e",""),"f",""),"g",""),"h",""),"i",""),"j",""),"k",""),"l",""),"m",""),"n",""),"o",""),"p",""),"q",""),"r",""),"s",""),"t",""),"u",""),"v",""),"w",""),"x",""),"y",""),"z",""),"-",""),"_",""),"/",""),".",""),"#",""),"\\",""),":","")," ",""),"(",""),")","")</f>
        <v/>
      </c>
      <c r="BX426" s="61" t="str">
        <f aca="false">SUBSTITUTE(SUBSTITUTE(SUBSTITUTE(SUBSTITUTE(SUBSTITUTE(SUBSTITUTE(SUBSTITUTE(SUBSTITUTE(SUBSTITUTE(SUBSTITUTE(SUBSTITUTE(BM426,"0",""),"-",""),"_",""),"/",""),".",""),"#",""),"\\",""),":","")," ",""),"(",""),")","")</f>
        <v/>
      </c>
      <c r="BY426" s="62" t="n">
        <f aca="false">IF(ISNUMBER(Flights!$AZ$16),MAX(Q426-UpliftWindowH/24,Flights!$AZ$16),Q426-UpliftWindowH/24)</f>
        <v>46307.3506944444</v>
      </c>
      <c r="BZ426" s="61" t="n">
        <f aca="false">IFERROR(IF(IF(TRIM(S426)="Link / file path",AND(LEN(TRIM(Z426))&gt;=5,SUMPRODUCT(--ISNUMBER(SEARCH({"http","www.","\\",":\",".pdf",".jpg",".jpeg",".png",".heic",".xls",".doc",".msg",".eml",".ppt",".txt",".zip"},Z426)))&gt;0),AND(ISERROR(FIND(" ",TRIM(Z426))),NOT(OR(SUMPRODUCT(--ISNUMBER(FIND({",",";","&amp;","+"},Z426)))&gt;0,SUMPRODUCT(--ISNUMBER(SEARCH({"0/aa","0\\aa"},BN426)))&gt;0)),NOT(SUMPRODUCT(--ISNUMBER(SEARCH({"http","www.","\\",":\",".pdf",".jpg",".jpeg",".png",".heic",".xls",".doc",".msg",".eml",".ppt",".txt",".zip"},Z426)))&gt;0),NOT(LOWER(TRIM(Z426))=LOWER(Flights!$F$16)),ISNA(MATCH(BU426,{"mh","rev","revision","ver","version","v","r","a","b","seat","tray","row","gate","bay","stand","page","pg","item","line","no","cart","galley","flight","flt","table","box","bag","oven","etd","eta","std","sta","atd","ata","qty","pax","x","time","tel","ph","mob","day","wk","week","utc","gmt","myt","lt"},0)),NOT(OR(ISNUMBER(MATCH(LEFT(BN426,255),{"0000a","000a","00a","0000aa","000aa","00aa","0aa","0000aaa","000aaa","00a00","0a00","0000-0000","00:00","a00","a0","00.00.0000","00/00/0000","00-00-0000","0000-00-00","0000/00/00","0000.00.00","00.00.00","00/00/00","00-00-00","0.00.0000","0/00/0000","0-00-0000"},0)),ISNUMBER(MATCH(LEFT(BT426,255),{"0000a","000a","00a","0000aa","000aa","00aa","0aa","0000aaa","000aaa","00a00","0a00","0000-0000","00:00","a00","a0","00.00.0000","00/00/0000","00-00-0000","0000-00-00","0000/00/00","0000.00.00","00.00.00","00/00/00","00-00-00","0.00.0000","0/00/0000","0-00-0000"},0)))),NOT(OR(AND(BW426&lt;&gt;"",SUBSTITUTE(BW426,"0","")=""),AND(LEN(BW426)&gt;=4,BW426=REPT(LEFT(BW426),LEN(BW426))),ISNUMBER(MATCH(BW426,{"123","1234","12345","123456","1234567","12345678","0123","01234","012345","98765","987654","54321"},0)),ISNUMBER(MATCH(BX426,{"x","xx","xxx","xxxx","xxxxx","abc","abcd","nil","na","nan","test","tbc","tba","tbd","dummy","sample","example","eg","zz","zzz","none","null","xyz","qwe","asd","id","ref"},0)),AND(LEN(BW426)=8,BX426="",OR(LEFT(BW426,3)="202",ISNUMBER(MATCH(RIGHT(BW426,4),{"2025","2026","2027"},0)))))),OR(AND((LEN(BT426)-LEN(SUBSTITUTE(BT426,"a","")))&gt;=1,(LEN(BN426)-LEN(SUBSTITUTE(BN426,"0","")))&gt;=2,SUMPRODUCT(--ISNUMBER(SEARCH({"a0","a-0","a_0","a/0","a.0","a#0","0a","0-a","0_a","0/a"},BN426)))&gt;0),AND((LEN(BN426)-LEN(SUBSTITUTE(BN426,"a","")))=0,(LEN(BN426)-LEN(SUBSTITUTE(BN426,"0","")))&gt;=5)))),1,0),0)</f>
        <v>0</v>
      </c>
      <c r="CA4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426,"revision",""),"version",""),"jan",""),"feb",""),"mar",""),"apr",""),"may",""),"jun",""),"jul",""),"aug",""),"sep",""),"oct",""),"nov",""),"dec",""),"utc",""),"gmt",""),"myt",""),"bst",""),"rev",""),"ver",""),"b","a"),"c","a"),"d","a"),"e","a"),"f","a"),"g","a"),"h","a"),"i","a"),"j","a"),"k","a"),"l","a"),"m","a"),"n","a"),"o","a"),"p","a"),"q","a"),"r","a"),"s","a"),"t","a"),"u","a"),"v","a"),"w","a"),"x","a"),"y","a"),"z","a")</f>
        <v/>
      </c>
      <c r="CB4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426&amp;""),"a",""),"b",""),"c",""),"d",""),"e",""),"f",""),"g",""),"h",""),"i",""),"j",""),"k",""),"l",""),"m",""),"n",""),"o",""),"p",""),"q",""),"r",""),"s",""),"t",""),"u",""),"v",""),"w",""),"x",""),"y",""),"z",""),"-",""),"_",""),"/",""),".",""),"#",""),"\\",""),":","")," ",""),"(",""),")","")</f>
        <v/>
      </c>
      <c r="CC426" s="0" t="str">
        <f aca="false">" "&amp;TRIM(SUBSTITUTE(SUBSTITUTE(SUBSTITUTE(SUBSTITUTE(SUBSTITUTE(SUBSTITUTE(SUBSTITUTE(SUBSTITUTE(SUBSTITUTE(SUBSTITUTE(SUBSTITUTE(SUBSTITUTE(SUBSTITUTE(SUBSTITUTE(SUBSTITUTE(SUBSTITUTE(SUBSTITUTE(SUBSTITUTE(SUBSTITUTE(SUBSTITUTE(SUBSTITUTE(SUBSTITUTE(SUBSTITUTE(SUBSTITUTE(LOWER(T426&amp;""),CHAR(10)," "),CHAR(13)," "),CHAR(9)," "),CHAR(160)," "),"."," "),","," "),"-"," "),"/"," "),"("," "),")"," "),":"," "),";"," "),"_"," "),"–"," "),"?"," "),"!"," "),"*"," "),"["," "),"]"," "),"'"," "),"#"," "),"+"," "),"&amp;"," "),"\"," "))&amp;" "</f>
        <v>  </v>
      </c>
      <c r="CD426" s="0" t="str">
        <f aca="false">" "&amp;TRIM(SUBSTITUTE(SUBSTITUTE(SUBSTITUTE(SUBSTITUTE(SUBSTITUTE(SUBSTITUTE(SUBSTITUTE(SUBSTITUTE(SUBSTITUTE(SUBSTITUTE(SUBSTITUTE(SUBSTITUTE(SUBSTITUTE(SUBSTITUTE(SUBSTITUTE(SUBSTITUTE(SUBSTITUTE(SUBSTITUTE(SUBSTITUTE(SUBSTITUTE(SUBSTITUTE(SUBSTITUTE(SUBSTITUTE(SUBSTITUTE(LOWER(AE426&amp;""),CHAR(10)," "),CHAR(13)," "),CHAR(9)," "),CHAR(160)," "),"."," "),","," "),"-"," "),"/"," "),"("," "),")"," "),":"," "),";"," "),"_"," "),"–"," "),"?"," "),"!"," "),"*"," "),"["," "),"]"," "),"'"," "),"#"," "),"+"," "),"&amp;"," "),"\"," "))&amp;" "</f>
        <v>  </v>
      </c>
      <c r="CE426" s="68" t="n">
        <f aca="false">IFERROR(IF(AND(LEN(AU426)&gt;0,LEN(AU426)=LEN(AX426),OR(TRIM(MID(SUBSTITUTE(TRIM(CC426)," ",REPT(" ",60)),1,60))="",ISNUMBER(SEARCH(" "&amp;TRIM(MID(SUBSTITUTE(TRIM(CC426)," ",REPT(" ",60)),1,60))&amp;" ",CD426))),OR(TRIM(MID(SUBSTITUTE(TRIM(CC426)," ",REPT(" ",60)),61,60))="",ISNUMBER(SEARCH(" "&amp;TRIM(MID(SUBSTITUTE(TRIM(CC426)," ",REPT(" ",60)),61,60))&amp;" ",CD426))),OR(TRIM(MID(SUBSTITUTE(TRIM(CC426)," ",REPT(" ",60)),121,60))="",ISNUMBER(SEARCH(" "&amp;TRIM(MID(SUBSTITUTE(TRIM(CC426)," ",REPT(" ",60)),121,60))&amp;" ",CD426)))),1,0),0)</f>
        <v>0</v>
      </c>
      <c r="CG426" s="68" t="n">
        <f aca="false">IFERROR(LEN(SUBSTITUTE(BF426," ",""))-SUMPRODUCT((LEN(BF426)-LEN(SUBSTITUTE(BF426," "&amp;L_NAFiller&amp;" "," ")))/(LEN(L_NAFiller)+1)*LEN(L_NAFiller)),0)</f>
        <v>0</v>
      </c>
    </row>
    <row r="427" customFormat="false" ht="39.75" hidden="false" customHeight="true" outlineLevel="0" collapsed="false">
      <c r="A427" s="57" t="s">
        <v>1060</v>
      </c>
      <c r="B427" s="57" t="s">
        <v>272</v>
      </c>
      <c r="C427" s="57" t="str">
        <f aca="false">Flights!$F$17</f>
        <v>MH0138</v>
      </c>
      <c r="D427" s="58" t="n">
        <f aca="false">Flights!$D$17</f>
        <v>46309</v>
      </c>
      <c r="E427" s="57" t="str">
        <f aca="false">Flights!$G$17&amp;"-"&amp;Flights!$H$17</f>
        <v>ADL-KUL</v>
      </c>
      <c r="F427" s="57" t="str">
        <f aca="false">Flights!$K$17</f>
        <v>EY</v>
      </c>
      <c r="G427" s="57" t="s">
        <v>81</v>
      </c>
      <c r="H427" s="57" t="s">
        <v>378</v>
      </c>
      <c r="I427" s="57" t="s">
        <v>379</v>
      </c>
      <c r="J427" s="57" t="s">
        <v>380</v>
      </c>
      <c r="K427" s="67" t="s">
        <v>381</v>
      </c>
      <c r="L427" s="67" t="s">
        <v>382</v>
      </c>
      <c r="M427" s="67"/>
      <c r="N427" s="67" t="s">
        <v>383</v>
      </c>
      <c r="O427" s="67"/>
      <c r="P427" s="57" t="s">
        <v>263</v>
      </c>
      <c r="Q427" s="59" t="n">
        <f aca="false">ROUND((Flights!$AC$17)*1440,0)/1440</f>
        <v>46302.0104166667</v>
      </c>
      <c r="R427" s="59" t="n">
        <f aca="false">Q427+(IF(AND(INDEX(TZ_DSTS,MATCH(P427,TZ_STN,0))&lt;&gt;"",Q427&gt;=INDEX(TZ_DSTS,MATCH(P427,TZ_STN,0)),Q427&lt;INDEX(TZ_DSTE,MATCH(P427,TZ_STN,0))),INDEX(TZ_DST,MATCH(P427,TZ_STN,0)),INDEX(TZ_STD,MATCH(P427,TZ_STN,0))))/24</f>
        <v>46302.4479166667</v>
      </c>
      <c r="S427" s="60"/>
      <c r="T427" s="60"/>
      <c r="U427" s="60"/>
      <c r="V427" s="60"/>
      <c r="W427" s="61"/>
      <c r="X427" s="60"/>
      <c r="Y427" s="60"/>
      <c r="Z427" s="60"/>
      <c r="AA427" s="60"/>
      <c r="AB427" s="60"/>
      <c r="AC427" s="60"/>
      <c r="AD427" s="66"/>
      <c r="AE427" s="60"/>
      <c r="AF427" s="61" t="str">
        <f aca="false">IF(AND(ISNUMBER(X427),ISNUMBER(Y427)),Y427-X427,"")</f>
        <v/>
      </c>
      <c r="AG427" s="62" t="str">
        <f aca="false">IF(ISNUMBER(AD427),AD427-(IF(AND(INDEX(TZ_DSTS,MATCH(P427,TZ_STN,0))&lt;&gt;"",(AD427-INDEX(TZ_STD,MATCH(P427,TZ_STN,0))/24)&gt;=INDEX(TZ_DSTS,MATCH(P427,TZ_STN,0)),(AD427-INDEX(TZ_STD,MATCH(P427,TZ_STN,0))/24)&lt;INDEX(TZ_DSTE,MATCH(P427,TZ_STN,0))),INDEX(TZ_DST,MATCH(P427,TZ_STN,0)),INDEX(TZ_STD,MATCH(P427,TZ_STN,0))))/24,"")</f>
        <v/>
      </c>
      <c r="AH427" s="65" t="str">
        <f aca="false">IFERROR(IF(N427="N/A – rule",IF(OR(TRIM(U427)="",TRIM(U427)="N/A",TRIM(U427)="Not started"),"N/A – RULE","INVALID – this check does not apply to this aircraft: clear the status (or correct the fleet on Flights)"),IF(TRIM(U427)="N/A",IF(AT427=0,"INVALID – N/A not permitted for this check",IF(AND(TRIM(AB427)&lt;&gt;"",TRIM(AB427)&lt;&gt;"Closed"),"INVALID – corrective action still open",IF(AND(NOT(OR(LEN(AZ427)&lt;15,ISNUMBER(MATCH(AZ427,L_Placeholder,0)))),BK427=0,CG427&gt;=8,NOT(OR(LEN(AU427)&lt;2,ISNUMBER(MATCH(AU427,L_Placeholder,0)))),BR427&gt;=3,NOT(OR(LEN(AX427)&lt;2,ISNUMBER(MATCH(AX427,L_Placeholder,0)))),BS427&gt;=3,TRIM(AE427)&lt;&gt;TRIM(T427),AX427&lt;&gt;AU427,CE427=0),"N/A – JUSTIFIED","INVALID – N/A needs a real, settled reason (not 'not applicable' / 'as above' / TBC), a named PIC and a different named verifier"))),IF(OR(TRIM(U427)="Pass",TRIM(U427)="Pass after CA"),IF(NOT(ISNUMBER(AD427)),"INVALID – completion time missing",IF(OR(OR(LEN(AU427)&lt;2,ISNUMBER(MATCH(AU427,L_Placeholder,0))),BR427&lt;3),"INVALID – PIC missing or not a named person (a role such as QA / CSM is not a name)",IF(OR(LEN(AV427)&lt;2,ISNUMBER(MATCH(AV427,L_Placeholder,0))),"INVALID – result / assessment missing",IF(OR(OR(LEN(AW427)&lt;3,ISNUMBER(MATCH(AW427,L_Placeholder,0))),SUMPRODUCT(--ISNUMBER(SEARCH(" "&amp;L_EvidencePhrase&amp;" ",BD427)))&gt;0,BI427=1),"INVALID – evidence missing, placeholder or not yet on file",IF(ISNA(MATCH(TRIM(S427),L_EvidenceType,0)),"INVALID – choose the evidence type from the list (column S)",IF(BL427=0,"INVALID – evidence ID must be the record's own ID only (e.g. SF-2210, IMG_2231, 1045521); a link / file name needs type 'Link / file path'",IF(OR(OR(LEN(AX427)&lt;2,ISNUMBER(MATCH(AX427,L_Placeholder,0))),BS427&lt;3),"INVALID – verifier missing or not a named person (a role such as QA / CSM is not a name)",IF(OR(AX427=AU427,CE427=1,AND(LEN(AU427)&gt;=4,ISNUMBER(SEARCH(AU427,AX427))),AND(LEN(AX427)&gt;=4,ISNUMBER(SEARCH(AX427,AU427)))),"INVALID – verifier must be a different, named person (not the PIC or a role)",IF(BH427=1,"INVALID – result not yet available (awaiting / TBC)",IF(BG427=1,"INVALID – result describes a problem: record Fail, then Pass after CA (or reword if it is not a problem)",IF(BV427=1,"INVALID – wording says not on board: an on-board confirmation needs the item loaded",IF(AND(AQ427=1,OR(OR(LEN(AY427)&lt;3,ISNUMBER(MATCH(AY427,L_Placeholder,0))),BJ427=1,BQ427=0)),"INVALID – batch ID missing, placeholder or not an ID (e.g. PASB-261008-BC-017)",IF(AND(AR427=1,OR(NOT(ISNUMBER(X427)),NOT(ISNUMBER(Y427)))),"INVALID – expected/actual qty missing",IF(AND(AR427=1,OR(X427&lt;=0,Y427&lt;0)),"INVALID – expected qty must be above 0 and actual not negative",IF(BB427&lt;&gt;"",BB427,IF(AND(AS427=1,Documents!$J$17&lt;&gt;"ON FILE"),"INVALID – GLD not on file (Documents sheet)",IF(AND(AS427=2,Documents!$O$17&lt;&gt;"ON FILE"),"INVALID – menu checklist not on file (Documents sheet)",IF(AND(AS427=3,NOT(ISNUMBER(Flights!$AX$17))),"INVALID – enter carrying flight KUL departure (Flights AX)",IF(AND(AS427=3,OR(Flights!$AZ$17&gt;Flights!$AA$17,Flights!$AX$17&lt;Flights!$AA$17-3)),"INVALID – carrying flight (Flights AX) cannot arrive before this leg's STD, or is over 3 days early",IF(AG427&gt;AsOfUTC,"INVALID – completion time is in the future",IF(AND(ISNUMBER(BY427),AG427&lt;BY427),IF(H427="Physical uplift","INVALID – before uplift window (cannot confirm loading)","INVALID – before valid window"),IF(AG427&gt;Flights!$AA$17,"INVALID – completed after departure (cannot establish readiness)",IF(AND(H427="Preparation",AG427&gt;=IF(ISNUMBER(Flights!$BA$17),MIN(Flights!$BA$17,Flights!$AA$17),Flights!$AA$17)),"INVALID – completed after loading / departure (cannot establish readiness)",IF(AND(H427="Physical uplift",AG427&gt;Q427),"INVALID – recorded after the loading flight departed",IF(AG427&gt;Q427,"COMPLETE – LATE","COMPLETE"))))))))))))))))))))))))),IF(TRIM(U427)="Fail","FAIL – DISCREPANCY",IF(AND(TRIM(U427)&lt;&gt;"",TRIM(U427)&lt;&gt;"Not started",TRIM(U427)&lt;&gt;"In progress"),"INVALID – unrecognised status (use the list)",IF(AsOfUTC&gt;Q427,"OVERDUE",IF(N427="Clarification required","OPEN – CLARIFICATION","OPEN"))))))),"INVALID – error value in an input cell")</f>
        <v>OPEN</v>
      </c>
      <c r="AI427" s="61" t="n">
        <f aca="false">IF(OR(AH427="N/A – RULE",AH427="N/A – JUSTIFIED"),0,1)</f>
        <v>1</v>
      </c>
      <c r="AJ427" s="61" t="n">
        <f aca="false">IF(LEFT(AH427,8)="COMPLETE",1,0)</f>
        <v>0</v>
      </c>
      <c r="AK427" s="61" t="n">
        <f aca="false">IF(AND(AI427=1,AJ427=0,AsOfUTC&gt;Q427),1,0)</f>
        <v>0</v>
      </c>
      <c r="AL427" s="61" t="n">
        <f aca="false">IFERROR(IF(AND(AI427=1,OR(TRIM(U427)="Fail",AND(TRIM(AB427)&lt;&gt;"",TRIM(AB427)&lt;&gt;"Closed"),AND(ISNUMBER(AF427),AF427&lt;&gt;0,TRIM(U427)&lt;&gt;"Pass after CA"))),1,0),1)</f>
        <v>0</v>
      </c>
      <c r="AM427" s="61" t="n">
        <f aca="false">IF(LEFT(AH427,7)="INVALID",1,0)</f>
        <v>0</v>
      </c>
      <c r="AN427" s="61" t="n">
        <f aca="false">IF(AND(N427="Clarification required",AI427=1,AJ427=0),1,0)</f>
        <v>0</v>
      </c>
      <c r="AO427" s="61" t="str">
        <f aca="false">IF(AK427=1,SUM(AK$5:AK427),"")</f>
        <v/>
      </c>
      <c r="AP427" s="61" t="str">
        <f aca="false">IF(AL427=1,SUM(AL$5:AL427),"")</f>
        <v/>
      </c>
      <c r="AQ427" s="61" t="n">
        <v>0</v>
      </c>
      <c r="AR427" s="61" t="n">
        <v>0</v>
      </c>
      <c r="AS427" s="61" t="n">
        <v>0</v>
      </c>
      <c r="AT427" s="61" t="n">
        <v>0</v>
      </c>
      <c r="AU427" s="61" t="str">
        <f aca="false">SUBSTITUTE(SUBSTITUTE(SUBSTITUTE(SUBSTITUTE(SUBSTITUTE(SUBSTITUTE(SUBSTITUTE(SUBSTITUTE(SUBSTITUTE(SUBSTITUTE(SUBSTITUTE(SUBSTITUTE(SUBSTITUTE(SUBSTITUTE(SUBSTITUTE(SUBSTITUTE(LOWER(T427&amp;""),CHAR(10),""),CHAR(13),""),CHAR(9),""),CHAR(160),"")," ",""),".",""),"-",""),"/",""),"?",""),"_",""),",",""),"[",""),"]",""),"(",""),")",""),"*","")</f>
        <v/>
      </c>
      <c r="AV427" s="61" t="str">
        <f aca="false">SUBSTITUTE(SUBSTITUTE(SUBSTITUTE(SUBSTITUTE(SUBSTITUTE(SUBSTITUTE(SUBSTITUTE(SUBSTITUTE(SUBSTITUTE(SUBSTITUTE(SUBSTITUTE(SUBSTITUTE(SUBSTITUTE(SUBSTITUTE(SUBSTITUTE(SUBSTITUTE(LOWER(V427&amp;""),CHAR(10),""),CHAR(13),""),CHAR(9),""),CHAR(160),"")," ",""),".",""),"-",""),"/",""),"?",""),"_",""),",",""),"[",""),"]",""),"(",""),")",""),"*","")</f>
        <v/>
      </c>
      <c r="AW427" s="61" t="str">
        <f aca="false">SUBSTITUTE(SUBSTITUTE(SUBSTITUTE(SUBSTITUTE(SUBSTITUTE(SUBSTITUTE(SUBSTITUTE(SUBSTITUTE(SUBSTITUTE(SUBSTITUTE(SUBSTITUTE(SUBSTITUTE(SUBSTITUTE(SUBSTITUTE(SUBSTITUTE(SUBSTITUTE(LOWER(Z427&amp;""),CHAR(10),""),CHAR(13),""),CHAR(9),""),CHAR(160),"")," ",""),".",""),"-",""),"/",""),"?",""),"_",""),",",""),"[",""),"]",""),"(",""),")",""),"*","")</f>
        <v/>
      </c>
      <c r="AX427" s="61" t="str">
        <f aca="false">SUBSTITUTE(SUBSTITUTE(SUBSTITUTE(SUBSTITUTE(SUBSTITUTE(SUBSTITUTE(SUBSTITUTE(SUBSTITUTE(SUBSTITUTE(SUBSTITUTE(SUBSTITUTE(SUBSTITUTE(SUBSTITUTE(SUBSTITUTE(SUBSTITUTE(SUBSTITUTE(LOWER(AE427&amp;""),CHAR(10),""),CHAR(13),""),CHAR(9),""),CHAR(160),"")," ",""),".",""),"-",""),"/",""),"?",""),"_",""),",",""),"[",""),"]",""),"(",""),")",""),"*","")</f>
        <v/>
      </c>
      <c r="AY427" s="61" t="str">
        <f aca="false">SUBSTITUTE(SUBSTITUTE(SUBSTITUTE(SUBSTITUTE(SUBSTITUTE(SUBSTITUTE(SUBSTITUTE(SUBSTITUTE(SUBSTITUTE(SUBSTITUTE(SUBSTITUTE(SUBSTITUTE(SUBSTITUTE(SUBSTITUTE(SUBSTITUTE(SUBSTITUTE(LOWER(W427&amp;""),CHAR(10),""),CHAR(13),""),CHAR(9),""),CHAR(160),"")," ",""),".",""),"-",""),"/",""),"?",""),"_",""),",",""),"[",""),"]",""),"(",""),")",""),"*","")</f>
        <v/>
      </c>
      <c r="AZ427" s="61" t="str">
        <f aca="false">SUBSTITUTE(SUBSTITUTE(SUBSTITUTE(SUBSTITUTE(SUBSTITUTE(SUBSTITUTE(SUBSTITUTE(SUBSTITUTE(SUBSTITUTE(SUBSTITUTE(SUBSTITUTE(SUBSTITUTE(SUBSTITUTE(SUBSTITUTE(SUBSTITUTE(SUBSTITUTE(LOWER(AC427&amp;""),CHAR(10),""),CHAR(13),""),CHAR(9),""),CHAR(160),"")," ",""),".",""),"-",""),"/",""),"?",""),"_",""),",",""),"[",""),"]",""),"(",""),")",""),"*","")</f>
        <v/>
      </c>
      <c r="BA427" s="61" t="str">
        <f aca="false">SUBSTITUTE(SUBSTITUTE(SUBSTITUTE(SUBSTITUTE(SUBSTITUTE(SUBSTITUTE(SUBSTITUTE(SUBSTITUTE(SUBSTITUTE(SUBSTITUTE(SUBSTITUTE(SUBSTITUTE(SUBSTITUTE(SUBSTITUTE(SUBSTITUTE(SUBSTITUTE(LOWER(AA427&amp;""),CHAR(10),""),CHAR(13),""),CHAR(9),""),CHAR(160),"")," ",""),".",""),"-",""),"/",""),"?",""),"_",""),",",""),"[",""),"]",""),"(",""),")",""),"*","")</f>
        <v/>
      </c>
      <c r="BB427" s="61" t="str">
        <f aca="false">IF(AND(TRIM(U427)="Pass",ISNUMBER(AF427)),IF(AF427&lt;&gt;0,"INVALID – qty variance: use Fail or Pass after CA",""),"")&amp;IF(AND(TRIM(U427)="Pass after CA",ISNUMBER(AF427)),IF(AF427&lt;&gt;0,"INVALID – after the corrective action the actual qty must equal expected (update Actual)",""),"")&amp;IF(AND(TRIM(U427)="Pass",TRIM(AB427)&lt;&gt;"",TRIM(AB427)&lt;&gt;"Closed"),"INVALID – corrective action not closed: use Fail, then Pass after CA","")&amp;IF(AND(LEN(BA427)&gt;=2,ISNA(MATCH(LEFT(BA427,255),L_Placeholder,0)),TRIM(AB427)=""),"INVALID – CA status missing for the recorded corrective action","")&amp;IF(AND(TRIM(U427)="Pass after CA",OR(OR(LEN(BA427)&lt;5,ISNUMBER(MATCH(BA427,L_Placeholder,0))),TRIM(AB427)&lt;&gt;"Closed")),"INVALID – corrective action not recorded/closed","")</f>
        <v/>
      </c>
      <c r="BC427" s="61" t="str">
        <f aca="false">" "&amp;TRIM(SUBSTITUTE(SUBSTITUTE(SUBSTITUTE(SUBSTITUTE(SUBSTITUTE(SUBSTITUTE(SUBSTITUTE(SUBSTITUTE(SUBSTITUTE(SUBSTITUTE(SUBSTITUTE(SUBSTITUTE(SUBSTITUTE(SUBSTITUTE(SUBSTITUTE(SUBSTITUTE(SUBSTITUTE(SUBSTITUTE(SUBSTITUTE(SUBSTITUTE(SUBSTITUTE(SUBSTITUTE(SUBSTITUTE(SUBSTITUTE(LOWER(V427&amp;""),CHAR(10)," "),CHAR(13)," "),CHAR(9)," "),CHAR(160)," "),"."," "),","," "),"-"," "),"/"," "),"("," "),")"," "),":"," "),";"," "),"_"," "),"–"," "),"?"," "),"!"," "),"*"," "),"["," "),"]"," "),"'"," "),"#"," "),"+"," "),"&amp;"," "),"\"," "))&amp;" "</f>
        <v>  </v>
      </c>
      <c r="BD427" s="61" t="str">
        <f aca="false">" "&amp;TRIM(SUBSTITUTE(SUBSTITUTE(SUBSTITUTE(SUBSTITUTE(SUBSTITUTE(SUBSTITUTE(SUBSTITUTE(SUBSTITUTE(SUBSTITUTE(SUBSTITUTE(SUBSTITUTE(SUBSTITUTE(SUBSTITUTE(SUBSTITUTE(SUBSTITUTE(SUBSTITUTE(SUBSTITUTE(SUBSTITUTE(SUBSTITUTE(SUBSTITUTE(SUBSTITUTE(SUBSTITUTE(SUBSTITUTE(SUBSTITUTE(LOWER(Z427&amp;""),CHAR(10)," "),CHAR(13)," "),CHAR(9)," "),CHAR(160)," "),"."," "),","," "),"-"," "),"/"," "),"("," "),")"," "),":"," "),";"," "),"_"," "),"–"," "),"?"," "),"!"," "),"*"," "),"["," "),"]"," "),"'"," "),"#"," "),"+"," "),"&amp;"," "),"\"," "))&amp;" "</f>
        <v>  </v>
      </c>
      <c r="BE427" s="61" t="str">
        <f aca="false">" "&amp;TRIM(SUBSTITUTE(SUBSTITUTE(SUBSTITUTE(SUBSTITUTE(SUBSTITUTE(SUBSTITUTE(SUBSTITUTE(SUBSTITUTE(SUBSTITUTE(SUBSTITUTE(SUBSTITUTE(SUBSTITUTE(SUBSTITUTE(SUBSTITUTE(SUBSTITUTE(SUBSTITUTE(SUBSTITUTE(SUBSTITUTE(SUBSTITUTE(SUBSTITUTE(SUBSTITUTE(SUBSTITUTE(SUBSTITUTE(SUBSTITUTE(LOWER(W427&amp;""),CHAR(10)," "),CHAR(13)," "),CHAR(9)," "),CHAR(160)," "),"."," "),","," "),"-"," "),"/"," "),"("," "),")"," "),":"," "),";"," "),"_"," "),"–"," "),"?"," "),"!"," "),"*"," "),"["," "),"]"," "),"'"," "),"#"," "),"+"," "),"&amp;"," "),"\"," "))&amp;" "</f>
        <v>  </v>
      </c>
      <c r="BF427" s="61" t="str">
        <f aca="false">" "&amp;TRIM(SUBSTITUTE(SUBSTITUTE(SUBSTITUTE(SUBSTITUTE(SUBSTITUTE(SUBSTITUTE(SUBSTITUTE(SUBSTITUTE(SUBSTITUTE(SUBSTITUTE(SUBSTITUTE(SUBSTITUTE(SUBSTITUTE(SUBSTITUTE(SUBSTITUTE(SUBSTITUTE(SUBSTITUTE(SUBSTITUTE(SUBSTITUTE(SUBSTITUTE(SUBSTITUTE(SUBSTITUTE(SUBSTITUTE(SUBSTITUTE(LOWER(AC427&amp;""),CHAR(10)," "),CHAR(13)," "),CHAR(9)," "),CHAR(160)," "),"."," "),","," "),"-"," "),"/"," "),"("," "),")"," "),":"," "),";"," "),"_"," "),"–"," "),"?"," "),"!"," "),"*"," "),"["," "),"]"," "),"'"," "),"#"," "),"+"," "),"&amp;"," "),"\"," "))&amp;" "</f>
        <v>  </v>
      </c>
      <c r="BG427" s="61" t="n">
        <f aca="false">IFERROR(IF(AND(TRIM(U427)="Pass",SUMPRODUCT((LEN(BC427)-LEN(SUBSTITUTE(BC427," "&amp;L_ResultBad&amp;" "," ")))/(LEN(L_ResultBad)+1))&gt;SUMPRODUCT((LEN(BC427)-LEN(SUBSTITUTE(BC427," "&amp;L_NegPhrase&amp;" "," ")))/(LEN(L_NegPhrase)+1))),1,0),0)</f>
        <v>0</v>
      </c>
      <c r="BH427" s="61" t="n">
        <f aca="false">IFERROR(IF(SUMPRODUCT((LEN(BC427)-LEN(SUBSTITUTE(BC427," "&amp;L_Pending&amp;" "," ")))/(LEN(L_Pending)+1))&gt;SUMPRODUCT((LEN(BC427)-LEN(SUBSTITUTE(BC427," "&amp;L_PendNeg&amp;" "," ")))/(LEN(L_PendNeg)+1))+SUMPRODUCT((LEN(BC427)-LEN(SUBSTITUTE(BC427," "&amp;L_PendPrep&amp;" "," ")))/(LEN(L_PendPrep)+1)),1,0),1)</f>
        <v>0</v>
      </c>
      <c r="BI427" s="61" t="n">
        <f aca="false">IFERROR(IF(SUMPRODUCT((LEN(BD427)-LEN(SUBSTITUTE(BD427," "&amp;L_PendStrict&amp;" "," ")))/(LEN(L_PendStrict)+1))&gt;SUMPRODUCT((LEN(BD427)-LEN(SUBSTITUTE(BD427," "&amp;L_PendNeg&amp;" "," ")))/(LEN(L_PendNeg)+1)),1,0),1)</f>
        <v>0</v>
      </c>
      <c r="BJ427" s="61" t="n">
        <f aca="false">IFERROR(IF(SUMPRODUCT((LEN(BE427)-LEN(SUBSTITUTE(BE427," "&amp;L_Pending&amp;" "," ")))/(LEN(L_Pending)+1))&gt;SUMPRODUCT((LEN(BE427)-LEN(SUBSTITUTE(BE427," "&amp;L_PendNeg&amp;" "," ")))/(LEN(L_PendNeg)+1))+SUMPRODUCT((LEN(BE427)-LEN(SUBSTITUTE(BE427," "&amp;L_PendPrep&amp;" "," ")))/(LEN(L_PendPrep)+1)),1,0),1)</f>
        <v>0</v>
      </c>
      <c r="BK427" s="61" t="n">
        <f aca="false">IFERROR(IF(SUMPRODUCT((LEN(BF427)-LEN(SUBSTITUTE(BF427," "&amp;L_PendStrict&amp;" "," ")))/(LEN(L_PendStrict)+1))&gt;SUMPRODUCT((LEN(BF427)-LEN(SUBSTITUTE(BF427," "&amp;L_PendNeg&amp;" "," ")))/(LEN(L_PendNeg)+1)),1,0),1)</f>
        <v>0</v>
      </c>
      <c r="BL427" s="61" t="n">
        <f aca="false">IF(ISNA(MATCH(TRIM(S427),L_EvidenceType,0)),0,BZ427)</f>
        <v>0</v>
      </c>
      <c r="BM427" s="61" t="str">
        <f aca="false">SUBSTITUTE(SUBSTITUTE(SUBSTITUTE(SUBSTITUTE(SUBSTITUTE(SUBSTITUTE(SUBSTITUTE(SUBSTITUTE(SUBSTITUTE(LOWER(Z427&amp;""),"1","0"),"2","0"),"3","0"),"4","0"),"5","0"),"6","0"),"7","0"),"8","0"),"9","0")</f>
        <v/>
      </c>
      <c r="BN427" s="61" t="str">
        <f aca="false">SUBSTITUTE(SUBSTITUTE(SUBSTITUTE(SUBSTITUTE(SUBSTITUTE(SUBSTITUTE(SUBSTITUTE(SUBSTITUTE(SUBSTITUTE(SUBSTITUTE(SUBSTITUTE(SUBSTITUTE(SUBSTITUTE(SUBSTITUTE(SUBSTITUTE(SUBSTITUTE(SUBSTITUTE(SUBSTITUTE(SUBSTITUTE(SUBSTITUTE(SUBSTITUTE(SUBSTITUTE(SUBSTITUTE(SUBSTITUTE(SUBSTITUTE(BM427,"b","a"),"c","a"),"d","a"),"e","a"),"f","a"),"g","a"),"h","a"),"i","a"),"j","a"),"k","a"),"l","a"),"m","a"),"n","a"),"o","a"),"p","a"),"q","a"),"r","a"),"s","a"),"t","a"),"u","a"),"v","a"),"w","a"),"x","a"),"y","a"),"z","a")</f>
        <v/>
      </c>
      <c r="BO427" s="61" t="str">
        <f aca="false">SUBSTITUTE(SUBSTITUTE(SUBSTITUTE(SUBSTITUTE(SUBSTITUTE(SUBSTITUTE(SUBSTITUTE(SUBSTITUTE(SUBSTITUTE(LOWER(W427&amp;""),"1","0"),"2","0"),"3","0"),"4","0"),"5","0"),"6","0"),"7","0"),"8","0"),"9","0")</f>
        <v/>
      </c>
      <c r="BP427" s="61" t="str">
        <f aca="false">SUBSTITUTE(SUBSTITUTE(SUBSTITUTE(SUBSTITUTE(SUBSTITUTE(SUBSTITUTE(SUBSTITUTE(SUBSTITUTE(SUBSTITUTE(SUBSTITUTE(SUBSTITUTE(SUBSTITUTE(SUBSTITUTE(SUBSTITUTE(SUBSTITUTE(SUBSTITUTE(SUBSTITUTE(SUBSTITUTE(SUBSTITUTE(SUBSTITUTE(SUBSTITUTE(SUBSTITUTE(SUBSTITUTE(SUBSTITUTE(SUBSTITUTE(BO427,"b","a"),"c","a"),"d","a"),"e","a"),"f","a"),"g","a"),"h","a"),"i","a"),"j","a"),"k","a"),"l","a"),"m","a"),"n","a"),"o","a"),"p","a"),"q","a"),"r","a"),"s","a"),"t","a"),"u","a"),"v","a"),"w","a"),"x","a"),"y","a"),"z","a")</f>
        <v/>
      </c>
      <c r="BQ427" s="61" t="n">
        <f aca="false">IFERROR(IF(AND(ISERROR(SEARCH(" mh"," "&amp;LOWER(W427))),ISNA(MATCH(LEFT(TRIM(BP427),255),{"0000a","000a","00a","0000aa","000aa","00aa","0aa","0000aaa","000aaa","00a00","0a00","0000-0000","00:00","a00","a0","00.00.0000","00/00/0000","00-00-0000","0000-00-00","0000/00/00","0000.00.00","00.00.00","00/00/00","00-00-00","0.00.0000","0/00/0000","0-00-0000"},0)),ISNA(MATCH(LEFT(TRIM(CA427),255),{"0000a","000a","00a","0000aa","000aa","00aa","0aa","0000aaa","000aaa","00a00","0a00","0000-0000","00:00","a00","a0","00.00.0000","00/00/0000","00-00-0000","0000-00-00","0000/00/00","0000.00.00","00.00.00","00/00/00","00-00-00","0.00.0000","0/00/0000","0-00-0000"},0)),LEN(CB427)&gt;=3,NOT(OR(SUBSTITUTE(CB427,"0","")="",AND(LEN(CB427)&gt;=4,CB427=REPT(LEFT(CB427),LEN(CB427))),ISNUMBER(MATCH(CB427,{"123","1234","12345","123456","1234567","12345678","0123","01234","012345","98765","987654","54321"},0)),AND(LEN(CB427)=8,LEFT(CB427,3)="202"))),OR(AND((LEN(CA427)-LEN(SUBSTITUTE(CA427,"a","")))&gt;=1,SUMPRODUCT(--ISNUMBER(SEARCH({"a0","a-0","a_0","a/0","a.0","a#0","0a","0-a","0_a","0/a"},BP427)))&gt;0),ISNUMBER(SEARCH("000000",BP427)))),1,0),0)</f>
        <v>0</v>
      </c>
      <c r="BR427" s="61" t="n">
        <f aca="false">IFERROR(LEN(SUBSTITUTE(CC427," ",""))-SUMPRODUCT((LEN(CC427)-LEN(SUBSTITUTE(CC427," "&amp;L_Role&amp;" "," ")))/(LEN(L_Role)+1)*LEN(L_Role)),0)</f>
        <v>0</v>
      </c>
      <c r="BS427" s="61" t="n">
        <f aca="false">IFERROR(LEN(SUBSTITUTE(CD427," ",""))-SUMPRODUCT((LEN(CD427)-LEN(SUBSTITUTE(CD427," "&amp;L_Role&amp;" "," ")))/(LEN(L_Role)+1)*LEN(L_Role)),0)</f>
        <v>0</v>
      </c>
      <c r="BT4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427,"revision",""),"version",""),"jan",""),"feb",""),"mar",""),"apr",""),"may",""),"jun",""),"jul",""),"aug",""),"sep",""),"oct",""),"nov",""),"dec",""),"utc",""),"gmt",""),"myt",""),"bst",""),"rev",""),"ver",""),"b","a"),"c","a"),"d","a"),"e","a"),"f","a"),"g","a"),"h","a"),"i","a"),"j","a"),"k","a"),"l","a"),"m","a"),"n","a"),"o","a"),"p","a"),"q","a"),"r","a"),"s","a"),"t","a"),"u","a"),"v","a"),"w","a"),"x","a"),"y","a"),"z","a")</f>
        <v/>
      </c>
      <c r="BU427" s="61" t="str">
        <f aca="false">SUBSTITUTE(SUBSTITUTE(SUBSTITUTE(SUBSTITUTE(SUBSTITUTE(SUBSTITUTE(SUBSTITUTE(SUBSTITUTE(SUBSTITUTE(SUBSTITUTE(LEFT(BM427,FIND("0",BM427&amp;"0")-1),"-",""),"_",""),"/",""),".",""),"#",""),"\\",""),":","")," ",""),"(",""),")","")</f>
        <v/>
      </c>
      <c r="BV427" s="61" t="n">
        <f aca="false">0</f>
        <v>0</v>
      </c>
      <c r="BW4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427&amp;""),"a",""),"b",""),"c",""),"d",""),"e",""),"f",""),"g",""),"h",""),"i",""),"j",""),"k",""),"l",""),"m",""),"n",""),"o",""),"p",""),"q",""),"r",""),"s",""),"t",""),"u",""),"v",""),"w",""),"x",""),"y",""),"z",""),"-",""),"_",""),"/",""),".",""),"#",""),"\\",""),":","")," ",""),"(",""),")","")</f>
        <v/>
      </c>
      <c r="BX427" s="61" t="str">
        <f aca="false">SUBSTITUTE(SUBSTITUTE(SUBSTITUTE(SUBSTITUTE(SUBSTITUTE(SUBSTITUTE(SUBSTITUTE(SUBSTITUTE(SUBSTITUTE(SUBSTITUTE(SUBSTITUTE(BM427,"0",""),"-",""),"_",""),"/",""),".",""),"#",""),"\\",""),":","")," ",""),"(",""),")","")</f>
        <v/>
      </c>
      <c r="BY427" s="62" t="n">
        <f aca="false">Q427-T7EarlyD*24/24</f>
        <v>46288.0104166667</v>
      </c>
      <c r="BZ427" s="61" t="n">
        <f aca="false">IFERROR(IF(IF(TRIM(S427)="Link / file path",AND(LEN(TRIM(Z427))&gt;=5,SUMPRODUCT(--ISNUMBER(SEARCH({"http","www.","\\",":\",".pdf",".jpg",".jpeg",".png",".heic",".xls",".doc",".msg",".eml",".ppt",".txt",".zip"},Z427)))&gt;0),AND(ISERROR(FIND(" ",TRIM(Z427))),NOT(OR(SUMPRODUCT(--ISNUMBER(FIND({",",";","&amp;","+"},Z427)))&gt;0,SUMPRODUCT(--ISNUMBER(SEARCH({"0/aa","0\\aa"},BN427)))&gt;0)),NOT(SUMPRODUCT(--ISNUMBER(SEARCH({"http","www.","\\",":\",".pdf",".jpg",".jpeg",".png",".heic",".xls",".doc",".msg",".eml",".ppt",".txt",".zip"},Z427)))&gt;0),NOT(LOWER(TRIM(Z427))=LOWER(Flights!$F$17)),ISNA(MATCH(BU427,{"mh","rev","revision","ver","version","v","r","a","b","seat","tray","row","gate","bay","stand","page","pg","item","line","no","cart","galley","flight","flt","table","box","bag","oven","etd","eta","std","sta","atd","ata","qty","pax","x","time","tel","ph","mob","day","wk","week","utc","gmt","myt","lt"},0)),NOT(OR(ISNUMBER(MATCH(LEFT(BN427,255),{"0000a","000a","00a","0000aa","000aa","00aa","0aa","0000aaa","000aaa","00a00","0a00","0000-0000","00:00","a00","a0","00.00.0000","00/00/0000","00-00-0000","0000-00-00","0000/00/00","0000.00.00","00.00.00","00/00/00","00-00-00","0.00.0000","0/00/0000","0-00-0000"},0)),ISNUMBER(MATCH(LEFT(BT427,255),{"0000a","000a","00a","0000aa","000aa","00aa","0aa","0000aaa","000aaa","00a00","0a00","0000-0000","00:00","a00","a0","00.00.0000","00/00/0000","00-00-0000","0000-00-00","0000/00/00","0000.00.00","00.00.00","00/00/00","00-00-00","0.00.0000","0/00/0000","0-00-0000"},0)))),NOT(OR(AND(BW427&lt;&gt;"",SUBSTITUTE(BW427,"0","")=""),AND(LEN(BW427)&gt;=4,BW427=REPT(LEFT(BW427),LEN(BW427))),ISNUMBER(MATCH(BW427,{"123","1234","12345","123456","1234567","12345678","0123","01234","012345","98765","987654","54321"},0)),ISNUMBER(MATCH(BX427,{"x","xx","xxx","xxxx","xxxxx","abc","abcd","nil","na","nan","test","tbc","tba","tbd","dummy","sample","example","eg","zz","zzz","none","null","xyz","qwe","asd","id","ref"},0)),AND(LEN(BW427)=8,BX427="",OR(LEFT(BW427,3)="202",ISNUMBER(MATCH(RIGHT(BW427,4),{"2025","2026","2027"},0)))))),OR(AND((LEN(BT427)-LEN(SUBSTITUTE(BT427,"a","")))&gt;=1,(LEN(BN427)-LEN(SUBSTITUTE(BN427,"0","")))&gt;=2,SUMPRODUCT(--ISNUMBER(SEARCH({"a0","a-0","a_0","a/0","a.0","a#0","0a","0-a","0_a","0/a"},BN427)))&gt;0),AND((LEN(BN427)-LEN(SUBSTITUTE(BN427,"a","")))=0,(LEN(BN427)-LEN(SUBSTITUTE(BN427,"0","")))&gt;=5)))),1,0),0)</f>
        <v>0</v>
      </c>
      <c r="CA4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427,"revision",""),"version",""),"jan",""),"feb",""),"mar",""),"apr",""),"may",""),"jun",""),"jul",""),"aug",""),"sep",""),"oct",""),"nov",""),"dec",""),"utc",""),"gmt",""),"myt",""),"bst",""),"rev",""),"ver",""),"b","a"),"c","a"),"d","a"),"e","a"),"f","a"),"g","a"),"h","a"),"i","a"),"j","a"),"k","a"),"l","a"),"m","a"),"n","a"),"o","a"),"p","a"),"q","a"),"r","a"),"s","a"),"t","a"),"u","a"),"v","a"),"w","a"),"x","a"),"y","a"),"z","a")</f>
        <v/>
      </c>
      <c r="CB4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427&amp;""),"a",""),"b",""),"c",""),"d",""),"e",""),"f",""),"g",""),"h",""),"i",""),"j",""),"k",""),"l",""),"m",""),"n",""),"o",""),"p",""),"q",""),"r",""),"s",""),"t",""),"u",""),"v",""),"w",""),"x",""),"y",""),"z",""),"-",""),"_",""),"/",""),".",""),"#",""),"\\",""),":","")," ",""),"(",""),")","")</f>
        <v/>
      </c>
      <c r="CC427" s="0" t="str">
        <f aca="false">" "&amp;TRIM(SUBSTITUTE(SUBSTITUTE(SUBSTITUTE(SUBSTITUTE(SUBSTITUTE(SUBSTITUTE(SUBSTITUTE(SUBSTITUTE(SUBSTITUTE(SUBSTITUTE(SUBSTITUTE(SUBSTITUTE(SUBSTITUTE(SUBSTITUTE(SUBSTITUTE(SUBSTITUTE(SUBSTITUTE(SUBSTITUTE(SUBSTITUTE(SUBSTITUTE(SUBSTITUTE(SUBSTITUTE(SUBSTITUTE(SUBSTITUTE(LOWER(T427&amp;""),CHAR(10)," "),CHAR(13)," "),CHAR(9)," "),CHAR(160)," "),"."," "),","," "),"-"," "),"/"," "),"("," "),")"," "),":"," "),";"," "),"_"," "),"–"," "),"?"," "),"!"," "),"*"," "),"["," "),"]"," "),"'"," "),"#"," "),"+"," "),"&amp;"," "),"\"," "))&amp;" "</f>
        <v>  </v>
      </c>
      <c r="CD427" s="0" t="str">
        <f aca="false">" "&amp;TRIM(SUBSTITUTE(SUBSTITUTE(SUBSTITUTE(SUBSTITUTE(SUBSTITUTE(SUBSTITUTE(SUBSTITUTE(SUBSTITUTE(SUBSTITUTE(SUBSTITUTE(SUBSTITUTE(SUBSTITUTE(SUBSTITUTE(SUBSTITUTE(SUBSTITUTE(SUBSTITUTE(SUBSTITUTE(SUBSTITUTE(SUBSTITUTE(SUBSTITUTE(SUBSTITUTE(SUBSTITUTE(SUBSTITUTE(SUBSTITUTE(LOWER(AE427&amp;""),CHAR(10)," "),CHAR(13)," "),CHAR(9)," "),CHAR(160)," "),"."," "),","," "),"-"," "),"/"," "),"("," "),")"," "),":"," "),";"," "),"_"," "),"–"," "),"?"," "),"!"," "),"*"," "),"["," "),"]"," "),"'"," "),"#"," "),"+"," "),"&amp;"," "),"\"," "))&amp;" "</f>
        <v>  </v>
      </c>
      <c r="CE427" s="68" t="n">
        <f aca="false">IFERROR(IF(AND(LEN(AU427)&gt;0,LEN(AU427)=LEN(AX427),OR(TRIM(MID(SUBSTITUTE(TRIM(CC427)," ",REPT(" ",60)),1,60))="",ISNUMBER(SEARCH(" "&amp;TRIM(MID(SUBSTITUTE(TRIM(CC427)," ",REPT(" ",60)),1,60))&amp;" ",CD427))),OR(TRIM(MID(SUBSTITUTE(TRIM(CC427)," ",REPT(" ",60)),61,60))="",ISNUMBER(SEARCH(" "&amp;TRIM(MID(SUBSTITUTE(TRIM(CC427)," ",REPT(" ",60)),61,60))&amp;" ",CD427))),OR(TRIM(MID(SUBSTITUTE(TRIM(CC427)," ",REPT(" ",60)),121,60))="",ISNUMBER(SEARCH(" "&amp;TRIM(MID(SUBSTITUTE(TRIM(CC427)," ",REPT(" ",60)),121,60))&amp;" ",CD427)))),1,0),0)</f>
        <v>0</v>
      </c>
      <c r="CG427" s="68" t="n">
        <f aca="false">IFERROR(LEN(SUBSTITUTE(BF427," ",""))-SUMPRODUCT((LEN(BF427)-LEN(SUBSTITUTE(BF427," "&amp;L_NAFiller&amp;" "," ")))/(LEN(L_NAFiller)+1)*LEN(L_NAFiller)),0)</f>
        <v>0</v>
      </c>
    </row>
    <row r="428" customFormat="false" ht="39.75" hidden="false" customHeight="true" outlineLevel="0" collapsed="false">
      <c r="A428" s="57" t="s">
        <v>1061</v>
      </c>
      <c r="B428" s="57" t="s">
        <v>272</v>
      </c>
      <c r="C428" s="57" t="str">
        <f aca="false">Flights!$F$17</f>
        <v>MH0138</v>
      </c>
      <c r="D428" s="58" t="n">
        <f aca="false">Flights!$D$17</f>
        <v>46309</v>
      </c>
      <c r="E428" s="57" t="str">
        <f aca="false">Flights!$G$17&amp;"-"&amp;Flights!$H$17</f>
        <v>ADL-KUL</v>
      </c>
      <c r="F428" s="57" t="str">
        <f aca="false">Flights!$K$17</f>
        <v>EY</v>
      </c>
      <c r="G428" s="57" t="s">
        <v>81</v>
      </c>
      <c r="H428" s="57" t="s">
        <v>378</v>
      </c>
      <c r="I428" s="57" t="s">
        <v>385</v>
      </c>
      <c r="J428" s="57" t="s">
        <v>386</v>
      </c>
      <c r="K428" s="67" t="s">
        <v>387</v>
      </c>
      <c r="L428" s="67" t="s">
        <v>382</v>
      </c>
      <c r="M428" s="67"/>
      <c r="N428" s="67" t="s">
        <v>383</v>
      </c>
      <c r="O428" s="67"/>
      <c r="P428" s="57" t="s">
        <v>263</v>
      </c>
      <c r="Q428" s="59" t="n">
        <f aca="false">ROUND((Flights!$AC$17)*1440,0)/1440</f>
        <v>46302.0104166667</v>
      </c>
      <c r="R428" s="59" t="n">
        <f aca="false">Q428+(IF(AND(INDEX(TZ_DSTS,MATCH(P428,TZ_STN,0))&lt;&gt;"",Q428&gt;=INDEX(TZ_DSTS,MATCH(P428,TZ_STN,0)),Q428&lt;INDEX(TZ_DSTE,MATCH(P428,TZ_STN,0))),INDEX(TZ_DST,MATCH(P428,TZ_STN,0)),INDEX(TZ_STD,MATCH(P428,TZ_STN,0))))/24</f>
        <v>46302.4479166667</v>
      </c>
      <c r="S428" s="60"/>
      <c r="T428" s="60"/>
      <c r="U428" s="60"/>
      <c r="V428" s="60"/>
      <c r="W428" s="61"/>
      <c r="X428" s="60"/>
      <c r="Y428" s="60"/>
      <c r="Z428" s="60"/>
      <c r="AA428" s="60"/>
      <c r="AB428" s="60"/>
      <c r="AC428" s="60"/>
      <c r="AD428" s="66"/>
      <c r="AE428" s="60"/>
      <c r="AF428" s="61" t="str">
        <f aca="false">IF(AND(ISNUMBER(X428),ISNUMBER(Y428)),Y428-X428,"")</f>
        <v/>
      </c>
      <c r="AG428" s="62" t="str">
        <f aca="false">IF(ISNUMBER(AD428),AD428-(IF(AND(INDEX(TZ_DSTS,MATCH(P428,TZ_STN,0))&lt;&gt;"",(AD428-INDEX(TZ_STD,MATCH(P428,TZ_STN,0))/24)&gt;=INDEX(TZ_DSTS,MATCH(P428,TZ_STN,0)),(AD428-INDEX(TZ_STD,MATCH(P428,TZ_STN,0))/24)&lt;INDEX(TZ_DSTE,MATCH(P428,TZ_STN,0))),INDEX(TZ_DST,MATCH(P428,TZ_STN,0)),INDEX(TZ_STD,MATCH(P428,TZ_STN,0))))/24,"")</f>
        <v/>
      </c>
      <c r="AH428" s="65" t="str">
        <f aca="false">IFERROR(IF(N428="N/A – rule",IF(OR(TRIM(U428)="",TRIM(U428)="N/A",TRIM(U428)="Not started"),"N/A – RULE","INVALID – this check does not apply to this aircraft: clear the status (or correct the fleet on Flights)"),IF(TRIM(U428)="N/A",IF(AT428=0,"INVALID – N/A not permitted for this check",IF(AND(TRIM(AB428)&lt;&gt;"",TRIM(AB428)&lt;&gt;"Closed"),"INVALID – corrective action still open",IF(AND(NOT(OR(LEN(AZ428)&lt;15,ISNUMBER(MATCH(AZ428,L_Placeholder,0)))),BK428=0,CG428&gt;=8,NOT(OR(LEN(AU428)&lt;2,ISNUMBER(MATCH(AU428,L_Placeholder,0)))),BR428&gt;=3,NOT(OR(LEN(AX428)&lt;2,ISNUMBER(MATCH(AX428,L_Placeholder,0)))),BS428&gt;=3,TRIM(AE428)&lt;&gt;TRIM(T428),AX428&lt;&gt;AU428,CE428=0),"N/A – JUSTIFIED","INVALID – N/A needs a real, settled reason (not 'not applicable' / 'as above' / TBC), a named PIC and a different named verifier"))),IF(OR(TRIM(U428)="Pass",TRIM(U428)="Pass after CA"),IF(NOT(ISNUMBER(AD428)),"INVALID – completion time missing",IF(OR(OR(LEN(AU428)&lt;2,ISNUMBER(MATCH(AU428,L_Placeholder,0))),BR428&lt;3),"INVALID – PIC missing or not a named person (a role such as QA / CSM is not a name)",IF(OR(LEN(AV428)&lt;2,ISNUMBER(MATCH(AV428,L_Placeholder,0))),"INVALID – result / assessment missing",IF(OR(OR(LEN(AW428)&lt;3,ISNUMBER(MATCH(AW428,L_Placeholder,0))),SUMPRODUCT(--ISNUMBER(SEARCH(" "&amp;L_EvidencePhrase&amp;" ",BD428)))&gt;0,BI428=1),"INVALID – evidence missing, placeholder or not yet on file",IF(ISNA(MATCH(TRIM(S428),L_EvidenceType,0)),"INVALID – choose the evidence type from the list (column S)",IF(BL428=0,"INVALID – evidence ID must be the record's own ID only (e.g. SF-2210, IMG_2231, 1045521); a link / file name needs type 'Link / file path'",IF(OR(OR(LEN(AX428)&lt;2,ISNUMBER(MATCH(AX428,L_Placeholder,0))),BS428&lt;3),"INVALID – verifier missing or not a named person (a role such as QA / CSM is not a name)",IF(OR(AX428=AU428,CE428=1,AND(LEN(AU428)&gt;=4,ISNUMBER(SEARCH(AU428,AX428))),AND(LEN(AX428)&gt;=4,ISNUMBER(SEARCH(AX428,AU428)))),"INVALID – verifier must be a different, named person (not the PIC or a role)",IF(BH428=1,"INVALID – result not yet available (awaiting / TBC)",IF(BG428=1,"INVALID – result describes a problem: record Fail, then Pass after CA (or reword if it is not a problem)",IF(BV428=1,"INVALID – wording says not on board: an on-board confirmation needs the item loaded",IF(AND(AQ428=1,OR(OR(LEN(AY428)&lt;3,ISNUMBER(MATCH(AY428,L_Placeholder,0))),BJ428=1,BQ428=0)),"INVALID – batch ID missing, placeholder or not an ID (e.g. PASB-261008-BC-017)",IF(AND(AR428=1,OR(NOT(ISNUMBER(X428)),NOT(ISNUMBER(Y428)))),"INVALID – expected/actual qty missing",IF(AND(AR428=1,OR(X428&lt;=0,Y428&lt;0)),"INVALID – expected qty must be above 0 and actual not negative",IF(BB428&lt;&gt;"",BB428,IF(AND(AS428=1,Documents!$J$17&lt;&gt;"ON FILE"),"INVALID – GLD not on file (Documents sheet)",IF(AND(AS428=2,Documents!$O$17&lt;&gt;"ON FILE"),"INVALID – menu checklist not on file (Documents sheet)",IF(AND(AS428=3,NOT(ISNUMBER(Flights!$AX$17))),"INVALID – enter carrying flight KUL departure (Flights AX)",IF(AND(AS428=3,OR(Flights!$AZ$17&gt;Flights!$AA$17,Flights!$AX$17&lt;Flights!$AA$17-3)),"INVALID – carrying flight (Flights AX) cannot arrive before this leg's STD, or is over 3 days early",IF(AG428&gt;AsOfUTC,"INVALID – completion time is in the future",IF(AND(ISNUMBER(BY428),AG428&lt;BY428),IF(H428="Physical uplift","INVALID – before uplift window (cannot confirm loading)","INVALID – before valid window"),IF(AG428&gt;Flights!$AA$17,"INVALID – completed after departure (cannot establish readiness)",IF(AND(H428="Preparation",AG428&gt;=IF(ISNUMBER(Flights!$BA$17),MIN(Flights!$BA$17,Flights!$AA$17),Flights!$AA$17)),"INVALID – completed after loading / departure (cannot establish readiness)",IF(AND(H428="Physical uplift",AG428&gt;Q428),"INVALID – recorded after the loading flight departed",IF(AG428&gt;Q428,"COMPLETE – LATE","COMPLETE"))))))))))))))))))))))))),IF(TRIM(U428)="Fail","FAIL – DISCREPANCY",IF(AND(TRIM(U428)&lt;&gt;"",TRIM(U428)&lt;&gt;"Not started",TRIM(U428)&lt;&gt;"In progress"),"INVALID – unrecognised status (use the list)",IF(AsOfUTC&gt;Q428,"OVERDUE",IF(N428="Clarification required","OPEN – CLARIFICATION","OPEN"))))))),"INVALID – error value in an input cell")</f>
        <v>OPEN</v>
      </c>
      <c r="AI428" s="61" t="n">
        <f aca="false">IF(OR(AH428="N/A – RULE",AH428="N/A – JUSTIFIED"),0,1)</f>
        <v>1</v>
      </c>
      <c r="AJ428" s="61" t="n">
        <f aca="false">IF(LEFT(AH428,8)="COMPLETE",1,0)</f>
        <v>0</v>
      </c>
      <c r="AK428" s="61" t="n">
        <f aca="false">IF(AND(AI428=1,AJ428=0,AsOfUTC&gt;Q428),1,0)</f>
        <v>0</v>
      </c>
      <c r="AL428" s="61" t="n">
        <f aca="false">IFERROR(IF(AND(AI428=1,OR(TRIM(U428)="Fail",AND(TRIM(AB428)&lt;&gt;"",TRIM(AB428)&lt;&gt;"Closed"),AND(ISNUMBER(AF428),AF428&lt;&gt;0,TRIM(U428)&lt;&gt;"Pass after CA"))),1,0),1)</f>
        <v>0</v>
      </c>
      <c r="AM428" s="61" t="n">
        <f aca="false">IF(LEFT(AH428,7)="INVALID",1,0)</f>
        <v>0</v>
      </c>
      <c r="AN428" s="61" t="n">
        <f aca="false">IF(AND(N428="Clarification required",AI428=1,AJ428=0),1,0)</f>
        <v>0</v>
      </c>
      <c r="AO428" s="61" t="str">
        <f aca="false">IF(AK428=1,SUM(AK$5:AK428),"")</f>
        <v/>
      </c>
      <c r="AP428" s="61" t="str">
        <f aca="false">IF(AL428=1,SUM(AL$5:AL428),"")</f>
        <v/>
      </c>
      <c r="AQ428" s="61" t="n">
        <v>0</v>
      </c>
      <c r="AR428" s="61" t="n">
        <v>0</v>
      </c>
      <c r="AS428" s="61" t="n">
        <v>0</v>
      </c>
      <c r="AT428" s="61" t="n">
        <v>0</v>
      </c>
      <c r="AU428" s="61" t="str">
        <f aca="false">SUBSTITUTE(SUBSTITUTE(SUBSTITUTE(SUBSTITUTE(SUBSTITUTE(SUBSTITUTE(SUBSTITUTE(SUBSTITUTE(SUBSTITUTE(SUBSTITUTE(SUBSTITUTE(SUBSTITUTE(SUBSTITUTE(SUBSTITUTE(SUBSTITUTE(SUBSTITUTE(LOWER(T428&amp;""),CHAR(10),""),CHAR(13),""),CHAR(9),""),CHAR(160),"")," ",""),".",""),"-",""),"/",""),"?",""),"_",""),",",""),"[",""),"]",""),"(",""),")",""),"*","")</f>
        <v/>
      </c>
      <c r="AV428" s="61" t="str">
        <f aca="false">SUBSTITUTE(SUBSTITUTE(SUBSTITUTE(SUBSTITUTE(SUBSTITUTE(SUBSTITUTE(SUBSTITUTE(SUBSTITUTE(SUBSTITUTE(SUBSTITUTE(SUBSTITUTE(SUBSTITUTE(SUBSTITUTE(SUBSTITUTE(SUBSTITUTE(SUBSTITUTE(LOWER(V428&amp;""),CHAR(10),""),CHAR(13),""),CHAR(9),""),CHAR(160),"")," ",""),".",""),"-",""),"/",""),"?",""),"_",""),",",""),"[",""),"]",""),"(",""),")",""),"*","")</f>
        <v/>
      </c>
      <c r="AW428" s="61" t="str">
        <f aca="false">SUBSTITUTE(SUBSTITUTE(SUBSTITUTE(SUBSTITUTE(SUBSTITUTE(SUBSTITUTE(SUBSTITUTE(SUBSTITUTE(SUBSTITUTE(SUBSTITUTE(SUBSTITUTE(SUBSTITUTE(SUBSTITUTE(SUBSTITUTE(SUBSTITUTE(SUBSTITUTE(LOWER(Z428&amp;""),CHAR(10),""),CHAR(13),""),CHAR(9),""),CHAR(160),"")," ",""),".",""),"-",""),"/",""),"?",""),"_",""),",",""),"[",""),"]",""),"(",""),")",""),"*","")</f>
        <v/>
      </c>
      <c r="AX428" s="61" t="str">
        <f aca="false">SUBSTITUTE(SUBSTITUTE(SUBSTITUTE(SUBSTITUTE(SUBSTITUTE(SUBSTITUTE(SUBSTITUTE(SUBSTITUTE(SUBSTITUTE(SUBSTITUTE(SUBSTITUTE(SUBSTITUTE(SUBSTITUTE(SUBSTITUTE(SUBSTITUTE(SUBSTITUTE(LOWER(AE428&amp;""),CHAR(10),""),CHAR(13),""),CHAR(9),""),CHAR(160),"")," ",""),".",""),"-",""),"/",""),"?",""),"_",""),",",""),"[",""),"]",""),"(",""),")",""),"*","")</f>
        <v/>
      </c>
      <c r="AY428" s="61" t="str">
        <f aca="false">SUBSTITUTE(SUBSTITUTE(SUBSTITUTE(SUBSTITUTE(SUBSTITUTE(SUBSTITUTE(SUBSTITUTE(SUBSTITUTE(SUBSTITUTE(SUBSTITUTE(SUBSTITUTE(SUBSTITUTE(SUBSTITUTE(SUBSTITUTE(SUBSTITUTE(SUBSTITUTE(LOWER(W428&amp;""),CHAR(10),""),CHAR(13),""),CHAR(9),""),CHAR(160),"")," ",""),".",""),"-",""),"/",""),"?",""),"_",""),",",""),"[",""),"]",""),"(",""),")",""),"*","")</f>
        <v/>
      </c>
      <c r="AZ428" s="61" t="str">
        <f aca="false">SUBSTITUTE(SUBSTITUTE(SUBSTITUTE(SUBSTITUTE(SUBSTITUTE(SUBSTITUTE(SUBSTITUTE(SUBSTITUTE(SUBSTITUTE(SUBSTITUTE(SUBSTITUTE(SUBSTITUTE(SUBSTITUTE(SUBSTITUTE(SUBSTITUTE(SUBSTITUTE(LOWER(AC428&amp;""),CHAR(10),""),CHAR(13),""),CHAR(9),""),CHAR(160),"")," ",""),".",""),"-",""),"/",""),"?",""),"_",""),",",""),"[",""),"]",""),"(",""),")",""),"*","")</f>
        <v/>
      </c>
      <c r="BA428" s="61" t="str">
        <f aca="false">SUBSTITUTE(SUBSTITUTE(SUBSTITUTE(SUBSTITUTE(SUBSTITUTE(SUBSTITUTE(SUBSTITUTE(SUBSTITUTE(SUBSTITUTE(SUBSTITUTE(SUBSTITUTE(SUBSTITUTE(SUBSTITUTE(SUBSTITUTE(SUBSTITUTE(SUBSTITUTE(LOWER(AA428&amp;""),CHAR(10),""),CHAR(13),""),CHAR(9),""),CHAR(160),"")," ",""),".",""),"-",""),"/",""),"?",""),"_",""),",",""),"[",""),"]",""),"(",""),")",""),"*","")</f>
        <v/>
      </c>
      <c r="BB428" s="61" t="str">
        <f aca="false">IF(AND(TRIM(U428)="Pass",ISNUMBER(AF428)),IF(AF428&lt;&gt;0,"INVALID – qty variance: use Fail or Pass after CA",""),"")&amp;IF(AND(TRIM(U428)="Pass after CA",ISNUMBER(AF428)),IF(AF428&lt;&gt;0,"INVALID – after the corrective action the actual qty must equal expected (update Actual)",""),"")&amp;IF(AND(TRIM(U428)="Pass",TRIM(AB428)&lt;&gt;"",TRIM(AB428)&lt;&gt;"Closed"),"INVALID – corrective action not closed: use Fail, then Pass after CA","")&amp;IF(AND(LEN(BA428)&gt;=2,ISNA(MATCH(LEFT(BA428,255),L_Placeholder,0)),TRIM(AB428)=""),"INVALID – CA status missing for the recorded corrective action","")&amp;IF(AND(TRIM(U428)="Pass after CA",OR(OR(LEN(BA428)&lt;5,ISNUMBER(MATCH(BA428,L_Placeholder,0))),TRIM(AB428)&lt;&gt;"Closed")),"INVALID – corrective action not recorded/closed","")</f>
        <v/>
      </c>
      <c r="BC428" s="61" t="str">
        <f aca="false">" "&amp;TRIM(SUBSTITUTE(SUBSTITUTE(SUBSTITUTE(SUBSTITUTE(SUBSTITUTE(SUBSTITUTE(SUBSTITUTE(SUBSTITUTE(SUBSTITUTE(SUBSTITUTE(SUBSTITUTE(SUBSTITUTE(SUBSTITUTE(SUBSTITUTE(SUBSTITUTE(SUBSTITUTE(SUBSTITUTE(SUBSTITUTE(SUBSTITUTE(SUBSTITUTE(SUBSTITUTE(SUBSTITUTE(SUBSTITUTE(SUBSTITUTE(LOWER(V428&amp;""),CHAR(10)," "),CHAR(13)," "),CHAR(9)," "),CHAR(160)," "),"."," "),","," "),"-"," "),"/"," "),"("," "),")"," "),":"," "),";"," "),"_"," "),"–"," "),"?"," "),"!"," "),"*"," "),"["," "),"]"," "),"'"," "),"#"," "),"+"," "),"&amp;"," "),"\"," "))&amp;" "</f>
        <v>  </v>
      </c>
      <c r="BD428" s="61" t="str">
        <f aca="false">" "&amp;TRIM(SUBSTITUTE(SUBSTITUTE(SUBSTITUTE(SUBSTITUTE(SUBSTITUTE(SUBSTITUTE(SUBSTITUTE(SUBSTITUTE(SUBSTITUTE(SUBSTITUTE(SUBSTITUTE(SUBSTITUTE(SUBSTITUTE(SUBSTITUTE(SUBSTITUTE(SUBSTITUTE(SUBSTITUTE(SUBSTITUTE(SUBSTITUTE(SUBSTITUTE(SUBSTITUTE(SUBSTITUTE(SUBSTITUTE(SUBSTITUTE(LOWER(Z428&amp;""),CHAR(10)," "),CHAR(13)," "),CHAR(9)," "),CHAR(160)," "),"."," "),","," "),"-"," "),"/"," "),"("," "),")"," "),":"," "),";"," "),"_"," "),"–"," "),"?"," "),"!"," "),"*"," "),"["," "),"]"," "),"'"," "),"#"," "),"+"," "),"&amp;"," "),"\"," "))&amp;" "</f>
        <v>  </v>
      </c>
      <c r="BE428" s="61" t="str">
        <f aca="false">" "&amp;TRIM(SUBSTITUTE(SUBSTITUTE(SUBSTITUTE(SUBSTITUTE(SUBSTITUTE(SUBSTITUTE(SUBSTITUTE(SUBSTITUTE(SUBSTITUTE(SUBSTITUTE(SUBSTITUTE(SUBSTITUTE(SUBSTITUTE(SUBSTITUTE(SUBSTITUTE(SUBSTITUTE(SUBSTITUTE(SUBSTITUTE(SUBSTITUTE(SUBSTITUTE(SUBSTITUTE(SUBSTITUTE(SUBSTITUTE(SUBSTITUTE(LOWER(W428&amp;""),CHAR(10)," "),CHAR(13)," "),CHAR(9)," "),CHAR(160)," "),"."," "),","," "),"-"," "),"/"," "),"("," "),")"," "),":"," "),";"," "),"_"," "),"–"," "),"?"," "),"!"," "),"*"," "),"["," "),"]"," "),"'"," "),"#"," "),"+"," "),"&amp;"," "),"\"," "))&amp;" "</f>
        <v>  </v>
      </c>
      <c r="BF428" s="61" t="str">
        <f aca="false">" "&amp;TRIM(SUBSTITUTE(SUBSTITUTE(SUBSTITUTE(SUBSTITUTE(SUBSTITUTE(SUBSTITUTE(SUBSTITUTE(SUBSTITUTE(SUBSTITUTE(SUBSTITUTE(SUBSTITUTE(SUBSTITUTE(SUBSTITUTE(SUBSTITUTE(SUBSTITUTE(SUBSTITUTE(SUBSTITUTE(SUBSTITUTE(SUBSTITUTE(SUBSTITUTE(SUBSTITUTE(SUBSTITUTE(SUBSTITUTE(SUBSTITUTE(LOWER(AC428&amp;""),CHAR(10)," "),CHAR(13)," "),CHAR(9)," "),CHAR(160)," "),"."," "),","," "),"-"," "),"/"," "),"("," "),")"," "),":"," "),";"," "),"_"," "),"–"," "),"?"," "),"!"," "),"*"," "),"["," "),"]"," "),"'"," "),"#"," "),"+"," "),"&amp;"," "),"\"," "))&amp;" "</f>
        <v>  </v>
      </c>
      <c r="BG428" s="61" t="n">
        <f aca="false">IFERROR(IF(AND(TRIM(U428)="Pass",SUMPRODUCT((LEN(BC428)-LEN(SUBSTITUTE(BC428," "&amp;L_ResultBad&amp;" "," ")))/(LEN(L_ResultBad)+1))&gt;SUMPRODUCT((LEN(BC428)-LEN(SUBSTITUTE(BC428," "&amp;L_NegPhrase&amp;" "," ")))/(LEN(L_NegPhrase)+1))),1,0),0)</f>
        <v>0</v>
      </c>
      <c r="BH428" s="61" t="n">
        <f aca="false">IFERROR(IF(SUMPRODUCT((LEN(BC428)-LEN(SUBSTITUTE(BC428," "&amp;L_Pending&amp;" "," ")))/(LEN(L_Pending)+1))&gt;SUMPRODUCT((LEN(BC428)-LEN(SUBSTITUTE(BC428," "&amp;L_PendNeg&amp;" "," ")))/(LEN(L_PendNeg)+1))+SUMPRODUCT((LEN(BC428)-LEN(SUBSTITUTE(BC428," "&amp;L_PendPrep&amp;" "," ")))/(LEN(L_PendPrep)+1)),1,0),1)</f>
        <v>0</v>
      </c>
      <c r="BI428" s="61" t="n">
        <f aca="false">IFERROR(IF(SUMPRODUCT((LEN(BD428)-LEN(SUBSTITUTE(BD428," "&amp;L_PendStrict&amp;" "," ")))/(LEN(L_PendStrict)+1))&gt;SUMPRODUCT((LEN(BD428)-LEN(SUBSTITUTE(BD428," "&amp;L_PendNeg&amp;" "," ")))/(LEN(L_PendNeg)+1)),1,0),1)</f>
        <v>0</v>
      </c>
      <c r="BJ428" s="61" t="n">
        <f aca="false">IFERROR(IF(SUMPRODUCT((LEN(BE428)-LEN(SUBSTITUTE(BE428," "&amp;L_Pending&amp;" "," ")))/(LEN(L_Pending)+1))&gt;SUMPRODUCT((LEN(BE428)-LEN(SUBSTITUTE(BE428," "&amp;L_PendNeg&amp;" "," ")))/(LEN(L_PendNeg)+1))+SUMPRODUCT((LEN(BE428)-LEN(SUBSTITUTE(BE428," "&amp;L_PendPrep&amp;" "," ")))/(LEN(L_PendPrep)+1)),1,0),1)</f>
        <v>0</v>
      </c>
      <c r="BK428" s="61" t="n">
        <f aca="false">IFERROR(IF(SUMPRODUCT((LEN(BF428)-LEN(SUBSTITUTE(BF428," "&amp;L_PendStrict&amp;" "," ")))/(LEN(L_PendStrict)+1))&gt;SUMPRODUCT((LEN(BF428)-LEN(SUBSTITUTE(BF428," "&amp;L_PendNeg&amp;" "," ")))/(LEN(L_PendNeg)+1)),1,0),1)</f>
        <v>0</v>
      </c>
      <c r="BL428" s="61" t="n">
        <f aca="false">IF(ISNA(MATCH(TRIM(S428),L_EvidenceType,0)),0,BZ428)</f>
        <v>0</v>
      </c>
      <c r="BM428" s="61" t="str">
        <f aca="false">SUBSTITUTE(SUBSTITUTE(SUBSTITUTE(SUBSTITUTE(SUBSTITUTE(SUBSTITUTE(SUBSTITUTE(SUBSTITUTE(SUBSTITUTE(LOWER(Z428&amp;""),"1","0"),"2","0"),"3","0"),"4","0"),"5","0"),"6","0"),"7","0"),"8","0"),"9","0")</f>
        <v/>
      </c>
      <c r="BN428" s="61" t="str">
        <f aca="false">SUBSTITUTE(SUBSTITUTE(SUBSTITUTE(SUBSTITUTE(SUBSTITUTE(SUBSTITUTE(SUBSTITUTE(SUBSTITUTE(SUBSTITUTE(SUBSTITUTE(SUBSTITUTE(SUBSTITUTE(SUBSTITUTE(SUBSTITUTE(SUBSTITUTE(SUBSTITUTE(SUBSTITUTE(SUBSTITUTE(SUBSTITUTE(SUBSTITUTE(SUBSTITUTE(SUBSTITUTE(SUBSTITUTE(SUBSTITUTE(SUBSTITUTE(BM428,"b","a"),"c","a"),"d","a"),"e","a"),"f","a"),"g","a"),"h","a"),"i","a"),"j","a"),"k","a"),"l","a"),"m","a"),"n","a"),"o","a"),"p","a"),"q","a"),"r","a"),"s","a"),"t","a"),"u","a"),"v","a"),"w","a"),"x","a"),"y","a"),"z","a")</f>
        <v/>
      </c>
      <c r="BO428" s="61" t="str">
        <f aca="false">SUBSTITUTE(SUBSTITUTE(SUBSTITUTE(SUBSTITUTE(SUBSTITUTE(SUBSTITUTE(SUBSTITUTE(SUBSTITUTE(SUBSTITUTE(LOWER(W428&amp;""),"1","0"),"2","0"),"3","0"),"4","0"),"5","0"),"6","0"),"7","0"),"8","0"),"9","0")</f>
        <v/>
      </c>
      <c r="BP428" s="61" t="str">
        <f aca="false">SUBSTITUTE(SUBSTITUTE(SUBSTITUTE(SUBSTITUTE(SUBSTITUTE(SUBSTITUTE(SUBSTITUTE(SUBSTITUTE(SUBSTITUTE(SUBSTITUTE(SUBSTITUTE(SUBSTITUTE(SUBSTITUTE(SUBSTITUTE(SUBSTITUTE(SUBSTITUTE(SUBSTITUTE(SUBSTITUTE(SUBSTITUTE(SUBSTITUTE(SUBSTITUTE(SUBSTITUTE(SUBSTITUTE(SUBSTITUTE(SUBSTITUTE(BO428,"b","a"),"c","a"),"d","a"),"e","a"),"f","a"),"g","a"),"h","a"),"i","a"),"j","a"),"k","a"),"l","a"),"m","a"),"n","a"),"o","a"),"p","a"),"q","a"),"r","a"),"s","a"),"t","a"),"u","a"),"v","a"),"w","a"),"x","a"),"y","a"),"z","a")</f>
        <v/>
      </c>
      <c r="BQ428" s="61" t="n">
        <f aca="false">IFERROR(IF(AND(ISERROR(SEARCH(" mh"," "&amp;LOWER(W428))),ISNA(MATCH(LEFT(TRIM(BP428),255),{"0000a","000a","00a","0000aa","000aa","00aa","0aa","0000aaa","000aaa","00a00","0a00","0000-0000","00:00","a00","a0","00.00.0000","00/00/0000","00-00-0000","0000-00-00","0000/00/00","0000.00.00","00.00.00","00/00/00","00-00-00","0.00.0000","0/00/0000","0-00-0000"},0)),ISNA(MATCH(LEFT(TRIM(CA428),255),{"0000a","000a","00a","0000aa","000aa","00aa","0aa","0000aaa","000aaa","00a00","0a00","0000-0000","00:00","a00","a0","00.00.0000","00/00/0000","00-00-0000","0000-00-00","0000/00/00","0000.00.00","00.00.00","00/00/00","00-00-00","0.00.0000","0/00/0000","0-00-0000"},0)),LEN(CB428)&gt;=3,NOT(OR(SUBSTITUTE(CB428,"0","")="",AND(LEN(CB428)&gt;=4,CB428=REPT(LEFT(CB428),LEN(CB428))),ISNUMBER(MATCH(CB428,{"123","1234","12345","123456","1234567","12345678","0123","01234","012345","98765","987654","54321"},0)),AND(LEN(CB428)=8,LEFT(CB428,3)="202"))),OR(AND((LEN(CA428)-LEN(SUBSTITUTE(CA428,"a","")))&gt;=1,SUMPRODUCT(--ISNUMBER(SEARCH({"a0","a-0","a_0","a/0","a.0","a#0","0a","0-a","0_a","0/a"},BP428)))&gt;0),ISNUMBER(SEARCH("000000",BP428)))),1,0),0)</f>
        <v>0</v>
      </c>
      <c r="BR428" s="61" t="n">
        <f aca="false">IFERROR(LEN(SUBSTITUTE(CC428," ",""))-SUMPRODUCT((LEN(CC428)-LEN(SUBSTITUTE(CC428," "&amp;L_Role&amp;" "," ")))/(LEN(L_Role)+1)*LEN(L_Role)),0)</f>
        <v>0</v>
      </c>
      <c r="BS428" s="61" t="n">
        <f aca="false">IFERROR(LEN(SUBSTITUTE(CD428," ",""))-SUMPRODUCT((LEN(CD428)-LEN(SUBSTITUTE(CD428," "&amp;L_Role&amp;" "," ")))/(LEN(L_Role)+1)*LEN(L_Role)),0)</f>
        <v>0</v>
      </c>
      <c r="BT4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428,"revision",""),"version",""),"jan",""),"feb",""),"mar",""),"apr",""),"may",""),"jun",""),"jul",""),"aug",""),"sep",""),"oct",""),"nov",""),"dec",""),"utc",""),"gmt",""),"myt",""),"bst",""),"rev",""),"ver",""),"b","a"),"c","a"),"d","a"),"e","a"),"f","a"),"g","a"),"h","a"),"i","a"),"j","a"),"k","a"),"l","a"),"m","a"),"n","a"),"o","a"),"p","a"),"q","a"),"r","a"),"s","a"),"t","a"),"u","a"),"v","a"),"w","a"),"x","a"),"y","a"),"z","a")</f>
        <v/>
      </c>
      <c r="BU428" s="61" t="str">
        <f aca="false">SUBSTITUTE(SUBSTITUTE(SUBSTITUTE(SUBSTITUTE(SUBSTITUTE(SUBSTITUTE(SUBSTITUTE(SUBSTITUTE(SUBSTITUTE(SUBSTITUTE(LEFT(BM428,FIND("0",BM428&amp;"0")-1),"-",""),"_",""),"/",""),".",""),"#",""),"\\",""),":","")," ",""),"(",""),")","")</f>
        <v/>
      </c>
      <c r="BV428" s="61" t="n">
        <f aca="false">0</f>
        <v>0</v>
      </c>
      <c r="BW4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428&amp;""),"a",""),"b",""),"c",""),"d",""),"e",""),"f",""),"g",""),"h",""),"i",""),"j",""),"k",""),"l",""),"m",""),"n",""),"o",""),"p",""),"q",""),"r",""),"s",""),"t",""),"u",""),"v",""),"w",""),"x",""),"y",""),"z",""),"-",""),"_",""),"/",""),".",""),"#",""),"\\",""),":","")," ",""),"(",""),")","")</f>
        <v/>
      </c>
      <c r="BX428" s="61" t="str">
        <f aca="false">SUBSTITUTE(SUBSTITUTE(SUBSTITUTE(SUBSTITUTE(SUBSTITUTE(SUBSTITUTE(SUBSTITUTE(SUBSTITUTE(SUBSTITUTE(SUBSTITUTE(SUBSTITUTE(BM428,"0",""),"-",""),"_",""),"/",""),".",""),"#",""),"\\",""),":","")," ",""),"(",""),")","")</f>
        <v/>
      </c>
      <c r="BY428" s="62" t="n">
        <f aca="false">Q428-T7EarlyD*24/24</f>
        <v>46288.0104166667</v>
      </c>
      <c r="BZ428" s="61" t="n">
        <f aca="false">IFERROR(IF(IF(TRIM(S428)="Link / file path",AND(LEN(TRIM(Z428))&gt;=5,SUMPRODUCT(--ISNUMBER(SEARCH({"http","www.","\\",":\",".pdf",".jpg",".jpeg",".png",".heic",".xls",".doc",".msg",".eml",".ppt",".txt",".zip"},Z428)))&gt;0),AND(ISERROR(FIND(" ",TRIM(Z428))),NOT(OR(SUMPRODUCT(--ISNUMBER(FIND({",",";","&amp;","+"},Z428)))&gt;0,SUMPRODUCT(--ISNUMBER(SEARCH({"0/aa","0\\aa"},BN428)))&gt;0)),NOT(SUMPRODUCT(--ISNUMBER(SEARCH({"http","www.","\\",":\",".pdf",".jpg",".jpeg",".png",".heic",".xls",".doc",".msg",".eml",".ppt",".txt",".zip"},Z428)))&gt;0),NOT(LOWER(TRIM(Z428))=LOWER(Flights!$F$17)),ISNA(MATCH(BU428,{"mh","rev","revision","ver","version","v","r","a","b","seat","tray","row","gate","bay","stand","page","pg","item","line","no","cart","galley","flight","flt","table","box","bag","oven","etd","eta","std","sta","atd","ata","qty","pax","x","time","tel","ph","mob","day","wk","week","utc","gmt","myt","lt"},0)),NOT(OR(ISNUMBER(MATCH(LEFT(BN428,255),{"0000a","000a","00a","0000aa","000aa","00aa","0aa","0000aaa","000aaa","00a00","0a00","0000-0000","00:00","a00","a0","00.00.0000","00/00/0000","00-00-0000","0000-00-00","0000/00/00","0000.00.00","00.00.00","00/00/00","00-00-00","0.00.0000","0/00/0000","0-00-0000"},0)),ISNUMBER(MATCH(LEFT(BT428,255),{"0000a","000a","00a","0000aa","000aa","00aa","0aa","0000aaa","000aaa","00a00","0a00","0000-0000","00:00","a00","a0","00.00.0000","00/00/0000","00-00-0000","0000-00-00","0000/00/00","0000.00.00","00.00.00","00/00/00","00-00-00","0.00.0000","0/00/0000","0-00-0000"},0)))),NOT(OR(AND(BW428&lt;&gt;"",SUBSTITUTE(BW428,"0","")=""),AND(LEN(BW428)&gt;=4,BW428=REPT(LEFT(BW428),LEN(BW428))),ISNUMBER(MATCH(BW428,{"123","1234","12345","123456","1234567","12345678","0123","01234","012345","98765","987654","54321"},0)),ISNUMBER(MATCH(BX428,{"x","xx","xxx","xxxx","xxxxx","abc","abcd","nil","na","nan","test","tbc","tba","tbd","dummy","sample","example","eg","zz","zzz","none","null","xyz","qwe","asd","id","ref"},0)),AND(LEN(BW428)=8,BX428="",OR(LEFT(BW428,3)="202",ISNUMBER(MATCH(RIGHT(BW428,4),{"2025","2026","2027"},0)))))),OR(AND((LEN(BT428)-LEN(SUBSTITUTE(BT428,"a","")))&gt;=1,(LEN(BN428)-LEN(SUBSTITUTE(BN428,"0","")))&gt;=2,SUMPRODUCT(--ISNUMBER(SEARCH({"a0","a-0","a_0","a/0","a.0","a#0","0a","0-a","0_a","0/a"},BN428)))&gt;0),AND((LEN(BN428)-LEN(SUBSTITUTE(BN428,"a","")))=0,(LEN(BN428)-LEN(SUBSTITUTE(BN428,"0","")))&gt;=5)))),1,0),0)</f>
        <v>0</v>
      </c>
      <c r="CA4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428,"revision",""),"version",""),"jan",""),"feb",""),"mar",""),"apr",""),"may",""),"jun",""),"jul",""),"aug",""),"sep",""),"oct",""),"nov",""),"dec",""),"utc",""),"gmt",""),"myt",""),"bst",""),"rev",""),"ver",""),"b","a"),"c","a"),"d","a"),"e","a"),"f","a"),"g","a"),"h","a"),"i","a"),"j","a"),"k","a"),"l","a"),"m","a"),"n","a"),"o","a"),"p","a"),"q","a"),"r","a"),"s","a"),"t","a"),"u","a"),"v","a"),"w","a"),"x","a"),"y","a"),"z","a")</f>
        <v/>
      </c>
      <c r="CB4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428&amp;""),"a",""),"b",""),"c",""),"d",""),"e",""),"f",""),"g",""),"h",""),"i",""),"j",""),"k",""),"l",""),"m",""),"n",""),"o",""),"p",""),"q",""),"r",""),"s",""),"t",""),"u",""),"v",""),"w",""),"x",""),"y",""),"z",""),"-",""),"_",""),"/",""),".",""),"#",""),"\\",""),":","")," ",""),"(",""),")","")</f>
        <v/>
      </c>
      <c r="CC428" s="0" t="str">
        <f aca="false">" "&amp;TRIM(SUBSTITUTE(SUBSTITUTE(SUBSTITUTE(SUBSTITUTE(SUBSTITUTE(SUBSTITUTE(SUBSTITUTE(SUBSTITUTE(SUBSTITUTE(SUBSTITUTE(SUBSTITUTE(SUBSTITUTE(SUBSTITUTE(SUBSTITUTE(SUBSTITUTE(SUBSTITUTE(SUBSTITUTE(SUBSTITUTE(SUBSTITUTE(SUBSTITUTE(SUBSTITUTE(SUBSTITUTE(SUBSTITUTE(SUBSTITUTE(LOWER(T428&amp;""),CHAR(10)," "),CHAR(13)," "),CHAR(9)," "),CHAR(160)," "),"."," "),","," "),"-"," "),"/"," "),"("," "),")"," "),":"," "),";"," "),"_"," "),"–"," "),"?"," "),"!"," "),"*"," "),"["," "),"]"," "),"'"," "),"#"," "),"+"," "),"&amp;"," "),"\"," "))&amp;" "</f>
        <v>  </v>
      </c>
      <c r="CD428" s="0" t="str">
        <f aca="false">" "&amp;TRIM(SUBSTITUTE(SUBSTITUTE(SUBSTITUTE(SUBSTITUTE(SUBSTITUTE(SUBSTITUTE(SUBSTITUTE(SUBSTITUTE(SUBSTITUTE(SUBSTITUTE(SUBSTITUTE(SUBSTITUTE(SUBSTITUTE(SUBSTITUTE(SUBSTITUTE(SUBSTITUTE(SUBSTITUTE(SUBSTITUTE(SUBSTITUTE(SUBSTITUTE(SUBSTITUTE(SUBSTITUTE(SUBSTITUTE(SUBSTITUTE(LOWER(AE428&amp;""),CHAR(10)," "),CHAR(13)," "),CHAR(9)," "),CHAR(160)," "),"."," "),","," "),"-"," "),"/"," "),"("," "),")"," "),":"," "),";"," "),"_"," "),"–"," "),"?"," "),"!"," "),"*"," "),"["," "),"]"," "),"'"," "),"#"," "),"+"," "),"&amp;"," "),"\"," "))&amp;" "</f>
        <v>  </v>
      </c>
      <c r="CE428" s="68" t="n">
        <f aca="false">IFERROR(IF(AND(LEN(AU428)&gt;0,LEN(AU428)=LEN(AX428),OR(TRIM(MID(SUBSTITUTE(TRIM(CC428)," ",REPT(" ",60)),1,60))="",ISNUMBER(SEARCH(" "&amp;TRIM(MID(SUBSTITUTE(TRIM(CC428)," ",REPT(" ",60)),1,60))&amp;" ",CD428))),OR(TRIM(MID(SUBSTITUTE(TRIM(CC428)," ",REPT(" ",60)),61,60))="",ISNUMBER(SEARCH(" "&amp;TRIM(MID(SUBSTITUTE(TRIM(CC428)," ",REPT(" ",60)),61,60))&amp;" ",CD428))),OR(TRIM(MID(SUBSTITUTE(TRIM(CC428)," ",REPT(" ",60)),121,60))="",ISNUMBER(SEARCH(" "&amp;TRIM(MID(SUBSTITUTE(TRIM(CC428)," ",REPT(" ",60)),121,60))&amp;" ",CD428)))),1,0),0)</f>
        <v>0</v>
      </c>
      <c r="CG428" s="68" t="n">
        <f aca="false">IFERROR(LEN(SUBSTITUTE(BF428," ",""))-SUMPRODUCT((LEN(BF428)-LEN(SUBSTITUTE(BF428," "&amp;L_NAFiller&amp;" "," ")))/(LEN(L_NAFiller)+1)*LEN(L_NAFiller)),0)</f>
        <v>0</v>
      </c>
    </row>
    <row r="429" customFormat="false" ht="41.25" hidden="false" customHeight="true" outlineLevel="0" collapsed="false">
      <c r="A429" s="57" t="s">
        <v>1062</v>
      </c>
      <c r="B429" s="57" t="s">
        <v>272</v>
      </c>
      <c r="C429" s="57" t="str">
        <f aca="false">Flights!$F$17</f>
        <v>MH0138</v>
      </c>
      <c r="D429" s="58" t="n">
        <f aca="false">Flights!$D$17</f>
        <v>46309</v>
      </c>
      <c r="E429" s="57" t="str">
        <f aca="false">Flights!$G$17&amp;"-"&amp;Flights!$H$17</f>
        <v>ADL-KUL</v>
      </c>
      <c r="F429" s="57" t="str">
        <f aca="false">Flights!$K$17</f>
        <v>EY</v>
      </c>
      <c r="G429" s="57" t="s">
        <v>81</v>
      </c>
      <c r="H429" s="57" t="s">
        <v>378</v>
      </c>
      <c r="I429" s="57" t="s">
        <v>389</v>
      </c>
      <c r="J429" s="57" t="s">
        <v>390</v>
      </c>
      <c r="K429" s="67" t="s">
        <v>391</v>
      </c>
      <c r="L429" s="67" t="s">
        <v>382</v>
      </c>
      <c r="M429" s="67"/>
      <c r="N429" s="67" t="str">
        <f aca="false">IF(TRIM(Flights!$L$17)="A339","Required","N/A – rule")</f>
        <v>Required</v>
      </c>
      <c r="O429" s="67" t="s">
        <v>392</v>
      </c>
      <c r="P429" s="57" t="s">
        <v>263</v>
      </c>
      <c r="Q429" s="59" t="n">
        <f aca="false">ROUND((Flights!$AC$17)*1440,0)/1440</f>
        <v>46302.0104166667</v>
      </c>
      <c r="R429" s="59" t="n">
        <f aca="false">Q429+(IF(AND(INDEX(TZ_DSTS,MATCH(P429,TZ_STN,0))&lt;&gt;"",Q429&gt;=INDEX(TZ_DSTS,MATCH(P429,TZ_STN,0)),Q429&lt;INDEX(TZ_DSTE,MATCH(P429,TZ_STN,0))),INDEX(TZ_DST,MATCH(P429,TZ_STN,0)),INDEX(TZ_STD,MATCH(P429,TZ_STN,0))))/24</f>
        <v>46302.4479166667</v>
      </c>
      <c r="S429" s="60"/>
      <c r="T429" s="60"/>
      <c r="U429" s="60"/>
      <c r="V429" s="60"/>
      <c r="W429" s="61"/>
      <c r="X429" s="60"/>
      <c r="Y429" s="60"/>
      <c r="Z429" s="60"/>
      <c r="AA429" s="60"/>
      <c r="AB429" s="60"/>
      <c r="AC429" s="60"/>
      <c r="AD429" s="66"/>
      <c r="AE429" s="60"/>
      <c r="AF429" s="61" t="str">
        <f aca="false">IF(AND(ISNUMBER(X429),ISNUMBER(Y429)),Y429-X429,"")</f>
        <v/>
      </c>
      <c r="AG429" s="62" t="str">
        <f aca="false">IF(ISNUMBER(AD429),AD429-(IF(AND(INDEX(TZ_DSTS,MATCH(P429,TZ_STN,0))&lt;&gt;"",(AD429-INDEX(TZ_STD,MATCH(P429,TZ_STN,0))/24)&gt;=INDEX(TZ_DSTS,MATCH(P429,TZ_STN,0)),(AD429-INDEX(TZ_STD,MATCH(P429,TZ_STN,0))/24)&lt;INDEX(TZ_DSTE,MATCH(P429,TZ_STN,0))),INDEX(TZ_DST,MATCH(P429,TZ_STN,0)),INDEX(TZ_STD,MATCH(P429,TZ_STN,0))))/24,"")</f>
        <v/>
      </c>
      <c r="AH429" s="65" t="str">
        <f aca="false">IFERROR(IF(N429="N/A – rule",IF(OR(TRIM(U429)="",TRIM(U429)="N/A",TRIM(U429)="Not started"),"N/A – RULE","INVALID – this check does not apply to this aircraft: clear the status (or correct the fleet on Flights)"),IF(TRIM(U429)="N/A",IF(AT429=0,"INVALID – N/A not permitted for this check",IF(AND(TRIM(AB429)&lt;&gt;"",TRIM(AB429)&lt;&gt;"Closed"),"INVALID – corrective action still open",IF(AND(NOT(OR(LEN(AZ429)&lt;15,ISNUMBER(MATCH(AZ429,L_Placeholder,0)))),BK429=0,CG429&gt;=8,NOT(OR(LEN(AU429)&lt;2,ISNUMBER(MATCH(AU429,L_Placeholder,0)))),BR429&gt;=3,NOT(OR(LEN(AX429)&lt;2,ISNUMBER(MATCH(AX429,L_Placeholder,0)))),BS429&gt;=3,TRIM(AE429)&lt;&gt;TRIM(T429),AX429&lt;&gt;AU429,CE429=0),"N/A – JUSTIFIED","INVALID – N/A needs a real, settled reason (not 'not applicable' / 'as above' / TBC), a named PIC and a different named verifier"))),IF(OR(TRIM(U429)="Pass",TRIM(U429)="Pass after CA"),IF(NOT(ISNUMBER(AD429)),"INVALID – completion time missing",IF(OR(OR(LEN(AU429)&lt;2,ISNUMBER(MATCH(AU429,L_Placeholder,0))),BR429&lt;3),"INVALID – PIC missing or not a named person (a role such as QA / CSM is not a name)",IF(OR(LEN(AV429)&lt;2,ISNUMBER(MATCH(AV429,L_Placeholder,0))),"INVALID – result / assessment missing",IF(OR(OR(LEN(AW429)&lt;3,ISNUMBER(MATCH(AW429,L_Placeholder,0))),SUMPRODUCT(--ISNUMBER(SEARCH(" "&amp;L_EvidencePhrase&amp;" ",BD429)))&gt;0,BI429=1),"INVALID – evidence missing, placeholder or not yet on file",IF(ISNA(MATCH(TRIM(S429),L_EvidenceType,0)),"INVALID – choose the evidence type from the list (column S)",IF(BL429=0,"INVALID – evidence ID must be the record's own ID only (e.g. SF-2210, IMG_2231, 1045521); a link / file name needs type 'Link / file path'",IF(OR(OR(LEN(AX429)&lt;2,ISNUMBER(MATCH(AX429,L_Placeholder,0))),BS429&lt;3),"INVALID – verifier missing or not a named person (a role such as QA / CSM is not a name)",IF(OR(AX429=AU429,CE429=1,AND(LEN(AU429)&gt;=4,ISNUMBER(SEARCH(AU429,AX429))),AND(LEN(AX429)&gt;=4,ISNUMBER(SEARCH(AX429,AU429)))),"INVALID – verifier must be a different, named person (not the PIC or a role)",IF(BH429=1,"INVALID – result not yet available (awaiting / TBC)",IF(BG429=1,"INVALID – result describes a problem: record Fail, then Pass after CA (or reword if it is not a problem)",IF(BV429=1,"INVALID – wording says not on board: an on-board confirmation needs the item loaded",IF(AND(AQ429=1,OR(OR(LEN(AY429)&lt;3,ISNUMBER(MATCH(AY429,L_Placeholder,0))),BJ429=1,BQ429=0)),"INVALID – batch ID missing, placeholder or not an ID (e.g. PASB-261008-BC-017)",IF(AND(AR429=1,OR(NOT(ISNUMBER(X429)),NOT(ISNUMBER(Y429)))),"INVALID – expected/actual qty missing",IF(AND(AR429=1,OR(X429&lt;=0,Y429&lt;0)),"INVALID – expected qty must be above 0 and actual not negative",IF(BB429&lt;&gt;"",BB429,IF(AND(AS429=1,Documents!$J$17&lt;&gt;"ON FILE"),"INVALID – GLD not on file (Documents sheet)",IF(AND(AS429=2,Documents!$O$17&lt;&gt;"ON FILE"),"INVALID – menu checklist not on file (Documents sheet)",IF(AND(AS429=3,NOT(ISNUMBER(Flights!$AX$17))),"INVALID – enter carrying flight KUL departure (Flights AX)",IF(AND(AS429=3,OR(Flights!$AZ$17&gt;Flights!$AA$17,Flights!$AX$17&lt;Flights!$AA$17-3)),"INVALID – carrying flight (Flights AX) cannot arrive before this leg's STD, or is over 3 days early",IF(AG429&gt;AsOfUTC,"INVALID – completion time is in the future",IF(AND(ISNUMBER(BY429),AG429&lt;BY429),IF(H429="Physical uplift","INVALID – before uplift window (cannot confirm loading)","INVALID – before valid window"),IF(AG429&gt;Flights!$AA$17,"INVALID – completed after departure (cannot establish readiness)",IF(AND(H429="Preparation",AG429&gt;=IF(ISNUMBER(Flights!$BA$17),MIN(Flights!$BA$17,Flights!$AA$17),Flights!$AA$17)),"INVALID – completed after loading / departure (cannot establish readiness)",IF(AND(H429="Physical uplift",AG429&gt;Q429),"INVALID – recorded after the loading flight departed",IF(AG429&gt;Q429,"COMPLETE – LATE","COMPLETE"))))))))))))))))))))))))),IF(TRIM(U429)="Fail","FAIL – DISCREPANCY",IF(AND(TRIM(U429)&lt;&gt;"",TRIM(U429)&lt;&gt;"Not started",TRIM(U429)&lt;&gt;"In progress"),"INVALID – unrecognised status (use the list)",IF(AsOfUTC&gt;Q429,"OVERDUE",IF(N429="Clarification required","OPEN – CLARIFICATION","OPEN"))))))),"INVALID – error value in an input cell")</f>
        <v>OPEN</v>
      </c>
      <c r="AI429" s="61" t="n">
        <f aca="false">IF(OR(AH429="N/A – RULE",AH429="N/A – JUSTIFIED"),0,1)</f>
        <v>1</v>
      </c>
      <c r="AJ429" s="61" t="n">
        <f aca="false">IF(LEFT(AH429,8)="COMPLETE",1,0)</f>
        <v>0</v>
      </c>
      <c r="AK429" s="61" t="n">
        <f aca="false">IF(AND(AI429=1,AJ429=0,AsOfUTC&gt;Q429),1,0)</f>
        <v>0</v>
      </c>
      <c r="AL429" s="61" t="n">
        <f aca="false">IFERROR(IF(AND(AI429=1,OR(TRIM(U429)="Fail",AND(TRIM(AB429)&lt;&gt;"",TRIM(AB429)&lt;&gt;"Closed"),AND(ISNUMBER(AF429),AF429&lt;&gt;0,TRIM(U429)&lt;&gt;"Pass after CA"))),1,0),1)</f>
        <v>0</v>
      </c>
      <c r="AM429" s="61" t="n">
        <f aca="false">IF(LEFT(AH429,7)="INVALID",1,0)</f>
        <v>0</v>
      </c>
      <c r="AN429" s="61" t="n">
        <f aca="false">IF(AND(N429="Clarification required",AI429=1,AJ429=0),1,0)</f>
        <v>0</v>
      </c>
      <c r="AO429" s="61" t="str">
        <f aca="false">IF(AK429=1,SUM(AK$5:AK429),"")</f>
        <v/>
      </c>
      <c r="AP429" s="61" t="str">
        <f aca="false">IF(AL429=1,SUM(AL$5:AL429),"")</f>
        <v/>
      </c>
      <c r="AQ429" s="61" t="n">
        <v>0</v>
      </c>
      <c r="AR429" s="61" t="n">
        <v>0</v>
      </c>
      <c r="AS429" s="61" t="n">
        <v>0</v>
      </c>
      <c r="AT429" s="61" t="n">
        <v>0</v>
      </c>
      <c r="AU429" s="61" t="str">
        <f aca="false">SUBSTITUTE(SUBSTITUTE(SUBSTITUTE(SUBSTITUTE(SUBSTITUTE(SUBSTITUTE(SUBSTITUTE(SUBSTITUTE(SUBSTITUTE(SUBSTITUTE(SUBSTITUTE(SUBSTITUTE(SUBSTITUTE(SUBSTITUTE(SUBSTITUTE(SUBSTITUTE(LOWER(T429&amp;""),CHAR(10),""),CHAR(13),""),CHAR(9),""),CHAR(160),"")," ",""),".",""),"-",""),"/",""),"?",""),"_",""),",",""),"[",""),"]",""),"(",""),")",""),"*","")</f>
        <v/>
      </c>
      <c r="AV429" s="61" t="str">
        <f aca="false">SUBSTITUTE(SUBSTITUTE(SUBSTITUTE(SUBSTITUTE(SUBSTITUTE(SUBSTITUTE(SUBSTITUTE(SUBSTITUTE(SUBSTITUTE(SUBSTITUTE(SUBSTITUTE(SUBSTITUTE(SUBSTITUTE(SUBSTITUTE(SUBSTITUTE(SUBSTITUTE(LOWER(V429&amp;""),CHAR(10),""),CHAR(13),""),CHAR(9),""),CHAR(160),"")," ",""),".",""),"-",""),"/",""),"?",""),"_",""),",",""),"[",""),"]",""),"(",""),")",""),"*","")</f>
        <v/>
      </c>
      <c r="AW429" s="61" t="str">
        <f aca="false">SUBSTITUTE(SUBSTITUTE(SUBSTITUTE(SUBSTITUTE(SUBSTITUTE(SUBSTITUTE(SUBSTITUTE(SUBSTITUTE(SUBSTITUTE(SUBSTITUTE(SUBSTITUTE(SUBSTITUTE(SUBSTITUTE(SUBSTITUTE(SUBSTITUTE(SUBSTITUTE(LOWER(Z429&amp;""),CHAR(10),""),CHAR(13),""),CHAR(9),""),CHAR(160),"")," ",""),".",""),"-",""),"/",""),"?",""),"_",""),",",""),"[",""),"]",""),"(",""),")",""),"*","")</f>
        <v/>
      </c>
      <c r="AX429" s="61" t="str">
        <f aca="false">SUBSTITUTE(SUBSTITUTE(SUBSTITUTE(SUBSTITUTE(SUBSTITUTE(SUBSTITUTE(SUBSTITUTE(SUBSTITUTE(SUBSTITUTE(SUBSTITUTE(SUBSTITUTE(SUBSTITUTE(SUBSTITUTE(SUBSTITUTE(SUBSTITUTE(SUBSTITUTE(LOWER(AE429&amp;""),CHAR(10),""),CHAR(13),""),CHAR(9),""),CHAR(160),"")," ",""),".",""),"-",""),"/",""),"?",""),"_",""),",",""),"[",""),"]",""),"(",""),")",""),"*","")</f>
        <v/>
      </c>
      <c r="AY429" s="61" t="str">
        <f aca="false">SUBSTITUTE(SUBSTITUTE(SUBSTITUTE(SUBSTITUTE(SUBSTITUTE(SUBSTITUTE(SUBSTITUTE(SUBSTITUTE(SUBSTITUTE(SUBSTITUTE(SUBSTITUTE(SUBSTITUTE(SUBSTITUTE(SUBSTITUTE(SUBSTITUTE(SUBSTITUTE(LOWER(W429&amp;""),CHAR(10),""),CHAR(13),""),CHAR(9),""),CHAR(160),"")," ",""),".",""),"-",""),"/",""),"?",""),"_",""),",",""),"[",""),"]",""),"(",""),")",""),"*","")</f>
        <v/>
      </c>
      <c r="AZ429" s="61" t="str">
        <f aca="false">SUBSTITUTE(SUBSTITUTE(SUBSTITUTE(SUBSTITUTE(SUBSTITUTE(SUBSTITUTE(SUBSTITUTE(SUBSTITUTE(SUBSTITUTE(SUBSTITUTE(SUBSTITUTE(SUBSTITUTE(SUBSTITUTE(SUBSTITUTE(SUBSTITUTE(SUBSTITUTE(LOWER(AC429&amp;""),CHAR(10),""),CHAR(13),""),CHAR(9),""),CHAR(160),"")," ",""),".",""),"-",""),"/",""),"?",""),"_",""),",",""),"[",""),"]",""),"(",""),")",""),"*","")</f>
        <v/>
      </c>
      <c r="BA429" s="61" t="str">
        <f aca="false">SUBSTITUTE(SUBSTITUTE(SUBSTITUTE(SUBSTITUTE(SUBSTITUTE(SUBSTITUTE(SUBSTITUTE(SUBSTITUTE(SUBSTITUTE(SUBSTITUTE(SUBSTITUTE(SUBSTITUTE(SUBSTITUTE(SUBSTITUTE(SUBSTITUTE(SUBSTITUTE(LOWER(AA429&amp;""),CHAR(10),""),CHAR(13),""),CHAR(9),""),CHAR(160),"")," ",""),".",""),"-",""),"/",""),"?",""),"_",""),",",""),"[",""),"]",""),"(",""),")",""),"*","")</f>
        <v/>
      </c>
      <c r="BB429" s="61" t="str">
        <f aca="false">IF(AND(TRIM(U429)="Pass",ISNUMBER(AF429)),IF(AF429&lt;&gt;0,"INVALID – qty variance: use Fail or Pass after CA",""),"")&amp;IF(AND(TRIM(U429)="Pass after CA",ISNUMBER(AF429)),IF(AF429&lt;&gt;0,"INVALID – after the corrective action the actual qty must equal expected (update Actual)",""),"")&amp;IF(AND(TRIM(U429)="Pass",TRIM(AB429)&lt;&gt;"",TRIM(AB429)&lt;&gt;"Closed"),"INVALID – corrective action not closed: use Fail, then Pass after CA","")&amp;IF(AND(LEN(BA429)&gt;=2,ISNA(MATCH(LEFT(BA429,255),L_Placeholder,0)),TRIM(AB429)=""),"INVALID – CA status missing for the recorded corrective action","")&amp;IF(AND(TRIM(U429)="Pass after CA",OR(OR(LEN(BA429)&lt;5,ISNUMBER(MATCH(BA429,L_Placeholder,0))),TRIM(AB429)&lt;&gt;"Closed")),"INVALID – corrective action not recorded/closed","")</f>
        <v/>
      </c>
      <c r="BC429" s="61" t="str">
        <f aca="false">" "&amp;TRIM(SUBSTITUTE(SUBSTITUTE(SUBSTITUTE(SUBSTITUTE(SUBSTITUTE(SUBSTITUTE(SUBSTITUTE(SUBSTITUTE(SUBSTITUTE(SUBSTITUTE(SUBSTITUTE(SUBSTITUTE(SUBSTITUTE(SUBSTITUTE(SUBSTITUTE(SUBSTITUTE(SUBSTITUTE(SUBSTITUTE(SUBSTITUTE(SUBSTITUTE(SUBSTITUTE(SUBSTITUTE(SUBSTITUTE(SUBSTITUTE(LOWER(V429&amp;""),CHAR(10)," "),CHAR(13)," "),CHAR(9)," "),CHAR(160)," "),"."," "),","," "),"-"," "),"/"," "),"("," "),")"," "),":"," "),";"," "),"_"," "),"–"," "),"?"," "),"!"," "),"*"," "),"["," "),"]"," "),"'"," "),"#"," "),"+"," "),"&amp;"," "),"\"," "))&amp;" "</f>
        <v>  </v>
      </c>
      <c r="BD429" s="61" t="str">
        <f aca="false">" "&amp;TRIM(SUBSTITUTE(SUBSTITUTE(SUBSTITUTE(SUBSTITUTE(SUBSTITUTE(SUBSTITUTE(SUBSTITUTE(SUBSTITUTE(SUBSTITUTE(SUBSTITUTE(SUBSTITUTE(SUBSTITUTE(SUBSTITUTE(SUBSTITUTE(SUBSTITUTE(SUBSTITUTE(SUBSTITUTE(SUBSTITUTE(SUBSTITUTE(SUBSTITUTE(SUBSTITUTE(SUBSTITUTE(SUBSTITUTE(SUBSTITUTE(LOWER(Z429&amp;""),CHAR(10)," "),CHAR(13)," "),CHAR(9)," "),CHAR(160)," "),"."," "),","," "),"-"," "),"/"," "),"("," "),")"," "),":"," "),";"," "),"_"," "),"–"," "),"?"," "),"!"," "),"*"," "),"["," "),"]"," "),"'"," "),"#"," "),"+"," "),"&amp;"," "),"\"," "))&amp;" "</f>
        <v>  </v>
      </c>
      <c r="BE429" s="61" t="str">
        <f aca="false">" "&amp;TRIM(SUBSTITUTE(SUBSTITUTE(SUBSTITUTE(SUBSTITUTE(SUBSTITUTE(SUBSTITUTE(SUBSTITUTE(SUBSTITUTE(SUBSTITUTE(SUBSTITUTE(SUBSTITUTE(SUBSTITUTE(SUBSTITUTE(SUBSTITUTE(SUBSTITUTE(SUBSTITUTE(SUBSTITUTE(SUBSTITUTE(SUBSTITUTE(SUBSTITUTE(SUBSTITUTE(SUBSTITUTE(SUBSTITUTE(SUBSTITUTE(LOWER(W429&amp;""),CHAR(10)," "),CHAR(13)," "),CHAR(9)," "),CHAR(160)," "),"."," "),","," "),"-"," "),"/"," "),"("," "),")"," "),":"," "),";"," "),"_"," "),"–"," "),"?"," "),"!"," "),"*"," "),"["," "),"]"," "),"'"," "),"#"," "),"+"," "),"&amp;"," "),"\"," "))&amp;" "</f>
        <v>  </v>
      </c>
      <c r="BF429" s="61" t="str">
        <f aca="false">" "&amp;TRIM(SUBSTITUTE(SUBSTITUTE(SUBSTITUTE(SUBSTITUTE(SUBSTITUTE(SUBSTITUTE(SUBSTITUTE(SUBSTITUTE(SUBSTITUTE(SUBSTITUTE(SUBSTITUTE(SUBSTITUTE(SUBSTITUTE(SUBSTITUTE(SUBSTITUTE(SUBSTITUTE(SUBSTITUTE(SUBSTITUTE(SUBSTITUTE(SUBSTITUTE(SUBSTITUTE(SUBSTITUTE(SUBSTITUTE(SUBSTITUTE(LOWER(AC429&amp;""),CHAR(10)," "),CHAR(13)," "),CHAR(9)," "),CHAR(160)," "),"."," "),","," "),"-"," "),"/"," "),"("," "),")"," "),":"," "),";"," "),"_"," "),"–"," "),"?"," "),"!"," "),"*"," "),"["," "),"]"," "),"'"," "),"#"," "),"+"," "),"&amp;"," "),"\"," "))&amp;" "</f>
        <v>  </v>
      </c>
      <c r="BG429" s="61" t="n">
        <f aca="false">IFERROR(IF(AND(TRIM(U429)="Pass",SUMPRODUCT((LEN(BC429)-LEN(SUBSTITUTE(BC429," "&amp;L_ResultBad&amp;" "," ")))/(LEN(L_ResultBad)+1))&gt;SUMPRODUCT((LEN(BC429)-LEN(SUBSTITUTE(BC429," "&amp;L_NegPhrase&amp;" "," ")))/(LEN(L_NegPhrase)+1))),1,0),0)</f>
        <v>0</v>
      </c>
      <c r="BH429" s="61" t="n">
        <f aca="false">IFERROR(IF(SUMPRODUCT((LEN(BC429)-LEN(SUBSTITUTE(BC429," "&amp;L_Pending&amp;" "," ")))/(LEN(L_Pending)+1))&gt;SUMPRODUCT((LEN(BC429)-LEN(SUBSTITUTE(BC429," "&amp;L_PendNeg&amp;" "," ")))/(LEN(L_PendNeg)+1))+SUMPRODUCT((LEN(BC429)-LEN(SUBSTITUTE(BC429," "&amp;L_PendPrep&amp;" "," ")))/(LEN(L_PendPrep)+1)),1,0),1)</f>
        <v>0</v>
      </c>
      <c r="BI429" s="61" t="n">
        <f aca="false">IFERROR(IF(SUMPRODUCT((LEN(BD429)-LEN(SUBSTITUTE(BD429," "&amp;L_PendStrict&amp;" "," ")))/(LEN(L_PendStrict)+1))&gt;SUMPRODUCT((LEN(BD429)-LEN(SUBSTITUTE(BD429," "&amp;L_PendNeg&amp;" "," ")))/(LEN(L_PendNeg)+1)),1,0),1)</f>
        <v>0</v>
      </c>
      <c r="BJ429" s="61" t="n">
        <f aca="false">IFERROR(IF(SUMPRODUCT((LEN(BE429)-LEN(SUBSTITUTE(BE429," "&amp;L_Pending&amp;" "," ")))/(LEN(L_Pending)+1))&gt;SUMPRODUCT((LEN(BE429)-LEN(SUBSTITUTE(BE429," "&amp;L_PendNeg&amp;" "," ")))/(LEN(L_PendNeg)+1))+SUMPRODUCT((LEN(BE429)-LEN(SUBSTITUTE(BE429," "&amp;L_PendPrep&amp;" "," ")))/(LEN(L_PendPrep)+1)),1,0),1)</f>
        <v>0</v>
      </c>
      <c r="BK429" s="61" t="n">
        <f aca="false">IFERROR(IF(SUMPRODUCT((LEN(BF429)-LEN(SUBSTITUTE(BF429," "&amp;L_PendStrict&amp;" "," ")))/(LEN(L_PendStrict)+1))&gt;SUMPRODUCT((LEN(BF429)-LEN(SUBSTITUTE(BF429," "&amp;L_PendNeg&amp;" "," ")))/(LEN(L_PendNeg)+1)),1,0),1)</f>
        <v>0</v>
      </c>
      <c r="BL429" s="61" t="n">
        <f aca="false">IF(ISNA(MATCH(TRIM(S429),L_EvidenceType,0)),0,BZ429)</f>
        <v>0</v>
      </c>
      <c r="BM429" s="61" t="str">
        <f aca="false">SUBSTITUTE(SUBSTITUTE(SUBSTITUTE(SUBSTITUTE(SUBSTITUTE(SUBSTITUTE(SUBSTITUTE(SUBSTITUTE(SUBSTITUTE(LOWER(Z429&amp;""),"1","0"),"2","0"),"3","0"),"4","0"),"5","0"),"6","0"),"7","0"),"8","0"),"9","0")</f>
        <v/>
      </c>
      <c r="BN429" s="61" t="str">
        <f aca="false">SUBSTITUTE(SUBSTITUTE(SUBSTITUTE(SUBSTITUTE(SUBSTITUTE(SUBSTITUTE(SUBSTITUTE(SUBSTITUTE(SUBSTITUTE(SUBSTITUTE(SUBSTITUTE(SUBSTITUTE(SUBSTITUTE(SUBSTITUTE(SUBSTITUTE(SUBSTITUTE(SUBSTITUTE(SUBSTITUTE(SUBSTITUTE(SUBSTITUTE(SUBSTITUTE(SUBSTITUTE(SUBSTITUTE(SUBSTITUTE(SUBSTITUTE(BM429,"b","a"),"c","a"),"d","a"),"e","a"),"f","a"),"g","a"),"h","a"),"i","a"),"j","a"),"k","a"),"l","a"),"m","a"),"n","a"),"o","a"),"p","a"),"q","a"),"r","a"),"s","a"),"t","a"),"u","a"),"v","a"),"w","a"),"x","a"),"y","a"),"z","a")</f>
        <v/>
      </c>
      <c r="BO429" s="61" t="str">
        <f aca="false">SUBSTITUTE(SUBSTITUTE(SUBSTITUTE(SUBSTITUTE(SUBSTITUTE(SUBSTITUTE(SUBSTITUTE(SUBSTITUTE(SUBSTITUTE(LOWER(W429&amp;""),"1","0"),"2","0"),"3","0"),"4","0"),"5","0"),"6","0"),"7","0"),"8","0"),"9","0")</f>
        <v/>
      </c>
      <c r="BP429" s="61" t="str">
        <f aca="false">SUBSTITUTE(SUBSTITUTE(SUBSTITUTE(SUBSTITUTE(SUBSTITUTE(SUBSTITUTE(SUBSTITUTE(SUBSTITUTE(SUBSTITUTE(SUBSTITUTE(SUBSTITUTE(SUBSTITUTE(SUBSTITUTE(SUBSTITUTE(SUBSTITUTE(SUBSTITUTE(SUBSTITUTE(SUBSTITUTE(SUBSTITUTE(SUBSTITUTE(SUBSTITUTE(SUBSTITUTE(SUBSTITUTE(SUBSTITUTE(SUBSTITUTE(BO429,"b","a"),"c","a"),"d","a"),"e","a"),"f","a"),"g","a"),"h","a"),"i","a"),"j","a"),"k","a"),"l","a"),"m","a"),"n","a"),"o","a"),"p","a"),"q","a"),"r","a"),"s","a"),"t","a"),"u","a"),"v","a"),"w","a"),"x","a"),"y","a"),"z","a")</f>
        <v/>
      </c>
      <c r="BQ429" s="61" t="n">
        <f aca="false">IFERROR(IF(AND(ISERROR(SEARCH(" mh"," "&amp;LOWER(W429))),ISNA(MATCH(LEFT(TRIM(BP429),255),{"0000a","000a","00a","0000aa","000aa","00aa","0aa","0000aaa","000aaa","00a00","0a00","0000-0000","00:00","a00","a0","00.00.0000","00/00/0000","00-00-0000","0000-00-00","0000/00/00","0000.00.00","00.00.00","00/00/00","00-00-00","0.00.0000","0/00/0000","0-00-0000"},0)),ISNA(MATCH(LEFT(TRIM(CA429),255),{"0000a","000a","00a","0000aa","000aa","00aa","0aa","0000aaa","000aaa","00a00","0a00","0000-0000","00:00","a00","a0","00.00.0000","00/00/0000","00-00-0000","0000-00-00","0000/00/00","0000.00.00","00.00.00","00/00/00","00-00-00","0.00.0000","0/00/0000","0-00-0000"},0)),LEN(CB429)&gt;=3,NOT(OR(SUBSTITUTE(CB429,"0","")="",AND(LEN(CB429)&gt;=4,CB429=REPT(LEFT(CB429),LEN(CB429))),ISNUMBER(MATCH(CB429,{"123","1234","12345","123456","1234567","12345678","0123","01234","012345","98765","987654","54321"},0)),AND(LEN(CB429)=8,LEFT(CB429,3)="202"))),OR(AND((LEN(CA429)-LEN(SUBSTITUTE(CA429,"a","")))&gt;=1,SUMPRODUCT(--ISNUMBER(SEARCH({"a0","a-0","a_0","a/0","a.0","a#0","0a","0-a","0_a","0/a"},BP429)))&gt;0),ISNUMBER(SEARCH("000000",BP429)))),1,0),0)</f>
        <v>0</v>
      </c>
      <c r="BR429" s="61" t="n">
        <f aca="false">IFERROR(LEN(SUBSTITUTE(CC429," ",""))-SUMPRODUCT((LEN(CC429)-LEN(SUBSTITUTE(CC429," "&amp;L_Role&amp;" "," ")))/(LEN(L_Role)+1)*LEN(L_Role)),0)</f>
        <v>0</v>
      </c>
      <c r="BS429" s="61" t="n">
        <f aca="false">IFERROR(LEN(SUBSTITUTE(CD429," ",""))-SUMPRODUCT((LEN(CD429)-LEN(SUBSTITUTE(CD429," "&amp;L_Role&amp;" "," ")))/(LEN(L_Role)+1)*LEN(L_Role)),0)</f>
        <v>0</v>
      </c>
      <c r="BT4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429,"revision",""),"version",""),"jan",""),"feb",""),"mar",""),"apr",""),"may",""),"jun",""),"jul",""),"aug",""),"sep",""),"oct",""),"nov",""),"dec",""),"utc",""),"gmt",""),"myt",""),"bst",""),"rev",""),"ver",""),"b","a"),"c","a"),"d","a"),"e","a"),"f","a"),"g","a"),"h","a"),"i","a"),"j","a"),"k","a"),"l","a"),"m","a"),"n","a"),"o","a"),"p","a"),"q","a"),"r","a"),"s","a"),"t","a"),"u","a"),"v","a"),"w","a"),"x","a"),"y","a"),"z","a")</f>
        <v/>
      </c>
      <c r="BU429" s="61" t="str">
        <f aca="false">SUBSTITUTE(SUBSTITUTE(SUBSTITUTE(SUBSTITUTE(SUBSTITUTE(SUBSTITUTE(SUBSTITUTE(SUBSTITUTE(SUBSTITUTE(SUBSTITUTE(LEFT(BM429,FIND("0",BM429&amp;"0")-1),"-",""),"_",""),"/",""),".",""),"#",""),"\\",""),":","")," ",""),"(",""),")","")</f>
        <v/>
      </c>
      <c r="BV429" s="61" t="n">
        <f aca="false">0</f>
        <v>0</v>
      </c>
      <c r="BW4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429&amp;""),"a",""),"b",""),"c",""),"d",""),"e",""),"f",""),"g",""),"h",""),"i",""),"j",""),"k",""),"l",""),"m",""),"n",""),"o",""),"p",""),"q",""),"r",""),"s",""),"t",""),"u",""),"v",""),"w",""),"x",""),"y",""),"z",""),"-",""),"_",""),"/",""),".",""),"#",""),"\\",""),":","")," ",""),"(",""),")","")</f>
        <v/>
      </c>
      <c r="BX429" s="61" t="str">
        <f aca="false">SUBSTITUTE(SUBSTITUTE(SUBSTITUTE(SUBSTITUTE(SUBSTITUTE(SUBSTITUTE(SUBSTITUTE(SUBSTITUTE(SUBSTITUTE(SUBSTITUTE(SUBSTITUTE(BM429,"0",""),"-",""),"_",""),"/",""),".",""),"#",""),"\\",""),":","")," ",""),"(",""),")","")</f>
        <v/>
      </c>
      <c r="BY429" s="62" t="n">
        <f aca="false">Q429-T7EarlyD*24/24</f>
        <v>46288.0104166667</v>
      </c>
      <c r="BZ429" s="61" t="n">
        <f aca="false">IFERROR(IF(IF(TRIM(S429)="Link / file path",AND(LEN(TRIM(Z429))&gt;=5,SUMPRODUCT(--ISNUMBER(SEARCH({"http","www.","\\",":\",".pdf",".jpg",".jpeg",".png",".heic",".xls",".doc",".msg",".eml",".ppt",".txt",".zip"},Z429)))&gt;0),AND(ISERROR(FIND(" ",TRIM(Z429))),NOT(OR(SUMPRODUCT(--ISNUMBER(FIND({",",";","&amp;","+"},Z429)))&gt;0,SUMPRODUCT(--ISNUMBER(SEARCH({"0/aa","0\\aa"},BN429)))&gt;0)),NOT(SUMPRODUCT(--ISNUMBER(SEARCH({"http","www.","\\",":\",".pdf",".jpg",".jpeg",".png",".heic",".xls",".doc",".msg",".eml",".ppt",".txt",".zip"},Z429)))&gt;0),NOT(LOWER(TRIM(Z429))=LOWER(Flights!$F$17)),ISNA(MATCH(BU429,{"mh","rev","revision","ver","version","v","r","a","b","seat","tray","row","gate","bay","stand","page","pg","item","line","no","cart","galley","flight","flt","table","box","bag","oven","etd","eta","std","sta","atd","ata","qty","pax","x","time","tel","ph","mob","day","wk","week","utc","gmt","myt","lt"},0)),NOT(OR(ISNUMBER(MATCH(LEFT(BN429,255),{"0000a","000a","00a","0000aa","000aa","00aa","0aa","0000aaa","000aaa","00a00","0a00","0000-0000","00:00","a00","a0","00.00.0000","00/00/0000","00-00-0000","0000-00-00","0000/00/00","0000.00.00","00.00.00","00/00/00","00-00-00","0.00.0000","0/00/0000","0-00-0000"},0)),ISNUMBER(MATCH(LEFT(BT429,255),{"0000a","000a","00a","0000aa","000aa","00aa","0aa","0000aaa","000aaa","00a00","0a00","0000-0000","00:00","a00","a0","00.00.0000","00/00/0000","00-00-0000","0000-00-00","0000/00/00","0000.00.00","00.00.00","00/00/00","00-00-00","0.00.0000","0/00/0000","0-00-0000"},0)))),NOT(OR(AND(BW429&lt;&gt;"",SUBSTITUTE(BW429,"0","")=""),AND(LEN(BW429)&gt;=4,BW429=REPT(LEFT(BW429),LEN(BW429))),ISNUMBER(MATCH(BW429,{"123","1234","12345","123456","1234567","12345678","0123","01234","012345","98765","987654","54321"},0)),ISNUMBER(MATCH(BX429,{"x","xx","xxx","xxxx","xxxxx","abc","abcd","nil","na","nan","test","tbc","tba","tbd","dummy","sample","example","eg","zz","zzz","none","null","xyz","qwe","asd","id","ref"},0)),AND(LEN(BW429)=8,BX429="",OR(LEFT(BW429,3)="202",ISNUMBER(MATCH(RIGHT(BW429,4),{"2025","2026","2027"},0)))))),OR(AND((LEN(BT429)-LEN(SUBSTITUTE(BT429,"a","")))&gt;=1,(LEN(BN429)-LEN(SUBSTITUTE(BN429,"0","")))&gt;=2,SUMPRODUCT(--ISNUMBER(SEARCH({"a0","a-0","a_0","a/0","a.0","a#0","0a","0-a","0_a","0/a"},BN429)))&gt;0),AND((LEN(BN429)-LEN(SUBSTITUTE(BN429,"a","")))=0,(LEN(BN429)-LEN(SUBSTITUTE(BN429,"0","")))&gt;=5)))),1,0),0)</f>
        <v>0</v>
      </c>
      <c r="CA4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429,"revision",""),"version",""),"jan",""),"feb",""),"mar",""),"apr",""),"may",""),"jun",""),"jul",""),"aug",""),"sep",""),"oct",""),"nov",""),"dec",""),"utc",""),"gmt",""),"myt",""),"bst",""),"rev",""),"ver",""),"b","a"),"c","a"),"d","a"),"e","a"),"f","a"),"g","a"),"h","a"),"i","a"),"j","a"),"k","a"),"l","a"),"m","a"),"n","a"),"o","a"),"p","a"),"q","a"),"r","a"),"s","a"),"t","a"),"u","a"),"v","a"),"w","a"),"x","a"),"y","a"),"z","a")</f>
        <v/>
      </c>
      <c r="CB4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429&amp;""),"a",""),"b",""),"c",""),"d",""),"e",""),"f",""),"g",""),"h",""),"i",""),"j",""),"k",""),"l",""),"m",""),"n",""),"o",""),"p",""),"q",""),"r",""),"s",""),"t",""),"u",""),"v",""),"w",""),"x",""),"y",""),"z",""),"-",""),"_",""),"/",""),".",""),"#",""),"\\",""),":","")," ",""),"(",""),")","")</f>
        <v/>
      </c>
      <c r="CC429" s="0" t="str">
        <f aca="false">" "&amp;TRIM(SUBSTITUTE(SUBSTITUTE(SUBSTITUTE(SUBSTITUTE(SUBSTITUTE(SUBSTITUTE(SUBSTITUTE(SUBSTITUTE(SUBSTITUTE(SUBSTITUTE(SUBSTITUTE(SUBSTITUTE(SUBSTITUTE(SUBSTITUTE(SUBSTITUTE(SUBSTITUTE(SUBSTITUTE(SUBSTITUTE(SUBSTITUTE(SUBSTITUTE(SUBSTITUTE(SUBSTITUTE(SUBSTITUTE(SUBSTITUTE(LOWER(T429&amp;""),CHAR(10)," "),CHAR(13)," "),CHAR(9)," "),CHAR(160)," "),"."," "),","," "),"-"," "),"/"," "),"("," "),")"," "),":"," "),";"," "),"_"," "),"–"," "),"?"," "),"!"," "),"*"," "),"["," "),"]"," "),"'"," "),"#"," "),"+"," "),"&amp;"," "),"\"," "))&amp;" "</f>
        <v>  </v>
      </c>
      <c r="CD429" s="0" t="str">
        <f aca="false">" "&amp;TRIM(SUBSTITUTE(SUBSTITUTE(SUBSTITUTE(SUBSTITUTE(SUBSTITUTE(SUBSTITUTE(SUBSTITUTE(SUBSTITUTE(SUBSTITUTE(SUBSTITUTE(SUBSTITUTE(SUBSTITUTE(SUBSTITUTE(SUBSTITUTE(SUBSTITUTE(SUBSTITUTE(SUBSTITUTE(SUBSTITUTE(SUBSTITUTE(SUBSTITUTE(SUBSTITUTE(SUBSTITUTE(SUBSTITUTE(SUBSTITUTE(LOWER(AE429&amp;""),CHAR(10)," "),CHAR(13)," "),CHAR(9)," "),CHAR(160)," "),"."," "),","," "),"-"," "),"/"," "),"("," "),")"," "),":"," "),";"," "),"_"," "),"–"," "),"?"," "),"!"," "),"*"," "),"["," "),"]"," "),"'"," "),"#"," "),"+"," "),"&amp;"," "),"\"," "))&amp;" "</f>
        <v>  </v>
      </c>
      <c r="CE429" s="68" t="n">
        <f aca="false">IFERROR(IF(AND(LEN(AU429)&gt;0,LEN(AU429)=LEN(AX429),OR(TRIM(MID(SUBSTITUTE(TRIM(CC429)," ",REPT(" ",60)),1,60))="",ISNUMBER(SEARCH(" "&amp;TRIM(MID(SUBSTITUTE(TRIM(CC429)," ",REPT(" ",60)),1,60))&amp;" ",CD429))),OR(TRIM(MID(SUBSTITUTE(TRIM(CC429)," ",REPT(" ",60)),61,60))="",ISNUMBER(SEARCH(" "&amp;TRIM(MID(SUBSTITUTE(TRIM(CC429)," ",REPT(" ",60)),61,60))&amp;" ",CD429))),OR(TRIM(MID(SUBSTITUTE(TRIM(CC429)," ",REPT(" ",60)),121,60))="",ISNUMBER(SEARCH(" "&amp;TRIM(MID(SUBSTITUTE(TRIM(CC429)," ",REPT(" ",60)),121,60))&amp;" ",CD429)))),1,0),0)</f>
        <v>0</v>
      </c>
      <c r="CG429" s="68" t="n">
        <f aca="false">IFERROR(LEN(SUBSTITUTE(BF429," ",""))-SUMPRODUCT((LEN(BF429)-LEN(SUBSTITUTE(BF429," "&amp;L_NAFiller&amp;" "," ")))/(LEN(L_NAFiller)+1)*LEN(L_NAFiller)),0)</f>
        <v>0</v>
      </c>
    </row>
    <row r="430" customFormat="false" ht="39.75" hidden="false" customHeight="true" outlineLevel="0" collapsed="false">
      <c r="A430" s="57" t="s">
        <v>1063</v>
      </c>
      <c r="B430" s="57" t="s">
        <v>272</v>
      </c>
      <c r="C430" s="57" t="str">
        <f aca="false">Flights!$F$17</f>
        <v>MH0138</v>
      </c>
      <c r="D430" s="58" t="n">
        <f aca="false">Flights!$D$17</f>
        <v>46309</v>
      </c>
      <c r="E430" s="57" t="str">
        <f aca="false">Flights!$G$17&amp;"-"&amp;Flights!$H$17</f>
        <v>ADL-KUL</v>
      </c>
      <c r="F430" s="57" t="str">
        <f aca="false">Flights!$K$17</f>
        <v>EY</v>
      </c>
      <c r="G430" s="57" t="s">
        <v>81</v>
      </c>
      <c r="H430" s="57" t="s">
        <v>378</v>
      </c>
      <c r="I430" s="57" t="s">
        <v>394</v>
      </c>
      <c r="J430" s="57" t="s">
        <v>395</v>
      </c>
      <c r="K430" s="67" t="s">
        <v>396</v>
      </c>
      <c r="L430" s="67" t="s">
        <v>382</v>
      </c>
      <c r="M430" s="67"/>
      <c r="N430" s="67" t="s">
        <v>383</v>
      </c>
      <c r="O430" s="67"/>
      <c r="P430" s="57" t="s">
        <v>263</v>
      </c>
      <c r="Q430" s="59" t="n">
        <f aca="false">ROUND((Flights!$AC$17)*1440,0)/1440</f>
        <v>46302.0104166667</v>
      </c>
      <c r="R430" s="59" t="n">
        <f aca="false">Q430+(IF(AND(INDEX(TZ_DSTS,MATCH(P430,TZ_STN,0))&lt;&gt;"",Q430&gt;=INDEX(TZ_DSTS,MATCH(P430,TZ_STN,0)),Q430&lt;INDEX(TZ_DSTE,MATCH(P430,TZ_STN,0))),INDEX(TZ_DST,MATCH(P430,TZ_STN,0)),INDEX(TZ_STD,MATCH(P430,TZ_STN,0))))/24</f>
        <v>46302.4479166667</v>
      </c>
      <c r="S430" s="60"/>
      <c r="T430" s="60"/>
      <c r="U430" s="60"/>
      <c r="V430" s="60"/>
      <c r="W430" s="61"/>
      <c r="X430" s="60"/>
      <c r="Y430" s="60"/>
      <c r="Z430" s="60"/>
      <c r="AA430" s="60"/>
      <c r="AB430" s="60"/>
      <c r="AC430" s="60"/>
      <c r="AD430" s="66"/>
      <c r="AE430" s="60"/>
      <c r="AF430" s="61" t="str">
        <f aca="false">IF(AND(ISNUMBER(X430),ISNUMBER(Y430)),Y430-X430,"")</f>
        <v/>
      </c>
      <c r="AG430" s="62" t="str">
        <f aca="false">IF(ISNUMBER(AD430),AD430-(IF(AND(INDEX(TZ_DSTS,MATCH(P430,TZ_STN,0))&lt;&gt;"",(AD430-INDEX(TZ_STD,MATCH(P430,TZ_STN,0))/24)&gt;=INDEX(TZ_DSTS,MATCH(P430,TZ_STN,0)),(AD430-INDEX(TZ_STD,MATCH(P430,TZ_STN,0))/24)&lt;INDEX(TZ_DSTE,MATCH(P430,TZ_STN,0))),INDEX(TZ_DST,MATCH(P430,TZ_STN,0)),INDEX(TZ_STD,MATCH(P430,TZ_STN,0))))/24,"")</f>
        <v/>
      </c>
      <c r="AH430" s="65" t="str">
        <f aca="false">IFERROR(IF(N430="N/A – rule",IF(OR(TRIM(U430)="",TRIM(U430)="N/A",TRIM(U430)="Not started"),"N/A – RULE","INVALID – this check does not apply to this aircraft: clear the status (or correct the fleet on Flights)"),IF(TRIM(U430)="N/A",IF(AT430=0,"INVALID – N/A not permitted for this check",IF(AND(TRIM(AB430)&lt;&gt;"",TRIM(AB430)&lt;&gt;"Closed"),"INVALID – corrective action still open",IF(AND(NOT(OR(LEN(AZ430)&lt;15,ISNUMBER(MATCH(AZ430,L_Placeholder,0)))),BK430=0,CG430&gt;=8,NOT(OR(LEN(AU430)&lt;2,ISNUMBER(MATCH(AU430,L_Placeholder,0)))),BR430&gt;=3,NOT(OR(LEN(AX430)&lt;2,ISNUMBER(MATCH(AX430,L_Placeholder,0)))),BS430&gt;=3,TRIM(AE430)&lt;&gt;TRIM(T430),AX430&lt;&gt;AU430,CE430=0),"N/A – JUSTIFIED","INVALID – N/A needs a real, settled reason (not 'not applicable' / 'as above' / TBC), a named PIC and a different named verifier"))),IF(OR(TRIM(U430)="Pass",TRIM(U430)="Pass after CA"),IF(NOT(ISNUMBER(AD430)),"INVALID – completion time missing",IF(OR(OR(LEN(AU430)&lt;2,ISNUMBER(MATCH(AU430,L_Placeholder,0))),BR430&lt;3),"INVALID – PIC missing or not a named person (a role such as QA / CSM is not a name)",IF(OR(LEN(AV430)&lt;2,ISNUMBER(MATCH(AV430,L_Placeholder,0))),"INVALID – result / assessment missing",IF(OR(OR(LEN(AW430)&lt;3,ISNUMBER(MATCH(AW430,L_Placeholder,0))),SUMPRODUCT(--ISNUMBER(SEARCH(" "&amp;L_EvidencePhrase&amp;" ",BD430)))&gt;0,BI430=1),"INVALID – evidence missing, placeholder or not yet on file",IF(ISNA(MATCH(TRIM(S430),L_EvidenceType,0)),"INVALID – choose the evidence type from the list (column S)",IF(BL430=0,"INVALID – evidence ID must be the record's own ID only (e.g. SF-2210, IMG_2231, 1045521); a link / file name needs type 'Link / file path'",IF(OR(OR(LEN(AX430)&lt;2,ISNUMBER(MATCH(AX430,L_Placeholder,0))),BS430&lt;3),"INVALID – verifier missing or not a named person (a role such as QA / CSM is not a name)",IF(OR(AX430=AU430,CE430=1,AND(LEN(AU430)&gt;=4,ISNUMBER(SEARCH(AU430,AX430))),AND(LEN(AX430)&gt;=4,ISNUMBER(SEARCH(AX430,AU430)))),"INVALID – verifier must be a different, named person (not the PIC or a role)",IF(BH430=1,"INVALID – result not yet available (awaiting / TBC)",IF(BG430=1,"INVALID – result describes a problem: record Fail, then Pass after CA (or reword if it is not a problem)",IF(BV430=1,"INVALID – wording says not on board: an on-board confirmation needs the item loaded",IF(AND(AQ430=1,OR(OR(LEN(AY430)&lt;3,ISNUMBER(MATCH(AY430,L_Placeholder,0))),BJ430=1,BQ430=0)),"INVALID – batch ID missing, placeholder or not an ID (e.g. PASB-261008-BC-017)",IF(AND(AR430=1,OR(NOT(ISNUMBER(X430)),NOT(ISNUMBER(Y430)))),"INVALID – expected/actual qty missing",IF(AND(AR430=1,OR(X430&lt;=0,Y430&lt;0)),"INVALID – expected qty must be above 0 and actual not negative",IF(BB430&lt;&gt;"",BB430,IF(AND(AS430=1,Documents!$J$17&lt;&gt;"ON FILE"),"INVALID – GLD not on file (Documents sheet)",IF(AND(AS430=2,Documents!$O$17&lt;&gt;"ON FILE"),"INVALID – menu checklist not on file (Documents sheet)",IF(AND(AS430=3,NOT(ISNUMBER(Flights!$AX$17))),"INVALID – enter carrying flight KUL departure (Flights AX)",IF(AND(AS430=3,OR(Flights!$AZ$17&gt;Flights!$AA$17,Flights!$AX$17&lt;Flights!$AA$17-3)),"INVALID – carrying flight (Flights AX) cannot arrive before this leg's STD, or is over 3 days early",IF(AG430&gt;AsOfUTC,"INVALID – completion time is in the future",IF(AND(ISNUMBER(BY430),AG430&lt;BY430),IF(H430="Physical uplift","INVALID – before uplift window (cannot confirm loading)","INVALID – before valid window"),IF(AG430&gt;Flights!$AA$17,"INVALID – completed after departure (cannot establish readiness)",IF(AND(H430="Preparation",AG430&gt;=IF(ISNUMBER(Flights!$BA$17),MIN(Flights!$BA$17,Flights!$AA$17),Flights!$AA$17)),"INVALID – completed after loading / departure (cannot establish readiness)",IF(AND(H430="Physical uplift",AG430&gt;Q430),"INVALID – recorded after the loading flight departed",IF(AG430&gt;Q430,"COMPLETE – LATE","COMPLETE"))))))))))))))))))))))))),IF(TRIM(U430)="Fail","FAIL – DISCREPANCY",IF(AND(TRIM(U430)&lt;&gt;"",TRIM(U430)&lt;&gt;"Not started",TRIM(U430)&lt;&gt;"In progress"),"INVALID – unrecognised status (use the list)",IF(AsOfUTC&gt;Q430,"OVERDUE",IF(N430="Clarification required","OPEN – CLARIFICATION","OPEN"))))))),"INVALID – error value in an input cell")</f>
        <v>OPEN</v>
      </c>
      <c r="AI430" s="61" t="n">
        <f aca="false">IF(OR(AH430="N/A – RULE",AH430="N/A – JUSTIFIED"),0,1)</f>
        <v>1</v>
      </c>
      <c r="AJ430" s="61" t="n">
        <f aca="false">IF(LEFT(AH430,8)="COMPLETE",1,0)</f>
        <v>0</v>
      </c>
      <c r="AK430" s="61" t="n">
        <f aca="false">IF(AND(AI430=1,AJ430=0,AsOfUTC&gt;Q430),1,0)</f>
        <v>0</v>
      </c>
      <c r="AL430" s="61" t="n">
        <f aca="false">IFERROR(IF(AND(AI430=1,OR(TRIM(U430)="Fail",AND(TRIM(AB430)&lt;&gt;"",TRIM(AB430)&lt;&gt;"Closed"),AND(ISNUMBER(AF430),AF430&lt;&gt;0,TRIM(U430)&lt;&gt;"Pass after CA"))),1,0),1)</f>
        <v>0</v>
      </c>
      <c r="AM430" s="61" t="n">
        <f aca="false">IF(LEFT(AH430,7)="INVALID",1,0)</f>
        <v>0</v>
      </c>
      <c r="AN430" s="61" t="n">
        <f aca="false">IF(AND(N430="Clarification required",AI430=1,AJ430=0),1,0)</f>
        <v>0</v>
      </c>
      <c r="AO430" s="61" t="str">
        <f aca="false">IF(AK430=1,SUM(AK$5:AK430),"")</f>
        <v/>
      </c>
      <c r="AP430" s="61" t="str">
        <f aca="false">IF(AL430=1,SUM(AL$5:AL430),"")</f>
        <v/>
      </c>
      <c r="AQ430" s="61" t="n">
        <v>0</v>
      </c>
      <c r="AR430" s="61" t="n">
        <v>0</v>
      </c>
      <c r="AS430" s="61" t="n">
        <v>0</v>
      </c>
      <c r="AT430" s="61" t="n">
        <v>0</v>
      </c>
      <c r="AU430" s="61" t="str">
        <f aca="false">SUBSTITUTE(SUBSTITUTE(SUBSTITUTE(SUBSTITUTE(SUBSTITUTE(SUBSTITUTE(SUBSTITUTE(SUBSTITUTE(SUBSTITUTE(SUBSTITUTE(SUBSTITUTE(SUBSTITUTE(SUBSTITUTE(SUBSTITUTE(SUBSTITUTE(SUBSTITUTE(LOWER(T430&amp;""),CHAR(10),""),CHAR(13),""),CHAR(9),""),CHAR(160),"")," ",""),".",""),"-",""),"/",""),"?",""),"_",""),",",""),"[",""),"]",""),"(",""),")",""),"*","")</f>
        <v/>
      </c>
      <c r="AV430" s="61" t="str">
        <f aca="false">SUBSTITUTE(SUBSTITUTE(SUBSTITUTE(SUBSTITUTE(SUBSTITUTE(SUBSTITUTE(SUBSTITUTE(SUBSTITUTE(SUBSTITUTE(SUBSTITUTE(SUBSTITUTE(SUBSTITUTE(SUBSTITUTE(SUBSTITUTE(SUBSTITUTE(SUBSTITUTE(LOWER(V430&amp;""),CHAR(10),""),CHAR(13),""),CHAR(9),""),CHAR(160),"")," ",""),".",""),"-",""),"/",""),"?",""),"_",""),",",""),"[",""),"]",""),"(",""),")",""),"*","")</f>
        <v/>
      </c>
      <c r="AW430" s="61" t="str">
        <f aca="false">SUBSTITUTE(SUBSTITUTE(SUBSTITUTE(SUBSTITUTE(SUBSTITUTE(SUBSTITUTE(SUBSTITUTE(SUBSTITUTE(SUBSTITUTE(SUBSTITUTE(SUBSTITUTE(SUBSTITUTE(SUBSTITUTE(SUBSTITUTE(SUBSTITUTE(SUBSTITUTE(LOWER(Z430&amp;""),CHAR(10),""),CHAR(13),""),CHAR(9),""),CHAR(160),"")," ",""),".",""),"-",""),"/",""),"?",""),"_",""),",",""),"[",""),"]",""),"(",""),")",""),"*","")</f>
        <v/>
      </c>
      <c r="AX430" s="61" t="str">
        <f aca="false">SUBSTITUTE(SUBSTITUTE(SUBSTITUTE(SUBSTITUTE(SUBSTITUTE(SUBSTITUTE(SUBSTITUTE(SUBSTITUTE(SUBSTITUTE(SUBSTITUTE(SUBSTITUTE(SUBSTITUTE(SUBSTITUTE(SUBSTITUTE(SUBSTITUTE(SUBSTITUTE(LOWER(AE430&amp;""),CHAR(10),""),CHAR(13),""),CHAR(9),""),CHAR(160),"")," ",""),".",""),"-",""),"/",""),"?",""),"_",""),",",""),"[",""),"]",""),"(",""),")",""),"*","")</f>
        <v/>
      </c>
      <c r="AY430" s="61" t="str">
        <f aca="false">SUBSTITUTE(SUBSTITUTE(SUBSTITUTE(SUBSTITUTE(SUBSTITUTE(SUBSTITUTE(SUBSTITUTE(SUBSTITUTE(SUBSTITUTE(SUBSTITUTE(SUBSTITUTE(SUBSTITUTE(SUBSTITUTE(SUBSTITUTE(SUBSTITUTE(SUBSTITUTE(LOWER(W430&amp;""),CHAR(10),""),CHAR(13),""),CHAR(9),""),CHAR(160),"")," ",""),".",""),"-",""),"/",""),"?",""),"_",""),",",""),"[",""),"]",""),"(",""),")",""),"*","")</f>
        <v/>
      </c>
      <c r="AZ430" s="61" t="str">
        <f aca="false">SUBSTITUTE(SUBSTITUTE(SUBSTITUTE(SUBSTITUTE(SUBSTITUTE(SUBSTITUTE(SUBSTITUTE(SUBSTITUTE(SUBSTITUTE(SUBSTITUTE(SUBSTITUTE(SUBSTITUTE(SUBSTITUTE(SUBSTITUTE(SUBSTITUTE(SUBSTITUTE(LOWER(AC430&amp;""),CHAR(10),""),CHAR(13),""),CHAR(9),""),CHAR(160),"")," ",""),".",""),"-",""),"/",""),"?",""),"_",""),",",""),"[",""),"]",""),"(",""),")",""),"*","")</f>
        <v/>
      </c>
      <c r="BA430" s="61" t="str">
        <f aca="false">SUBSTITUTE(SUBSTITUTE(SUBSTITUTE(SUBSTITUTE(SUBSTITUTE(SUBSTITUTE(SUBSTITUTE(SUBSTITUTE(SUBSTITUTE(SUBSTITUTE(SUBSTITUTE(SUBSTITUTE(SUBSTITUTE(SUBSTITUTE(SUBSTITUTE(SUBSTITUTE(LOWER(AA430&amp;""),CHAR(10),""),CHAR(13),""),CHAR(9),""),CHAR(160),"")," ",""),".",""),"-",""),"/",""),"?",""),"_",""),",",""),"[",""),"]",""),"(",""),")",""),"*","")</f>
        <v/>
      </c>
      <c r="BB430" s="61" t="str">
        <f aca="false">IF(AND(TRIM(U430)="Pass",ISNUMBER(AF430)),IF(AF430&lt;&gt;0,"INVALID – qty variance: use Fail or Pass after CA",""),"")&amp;IF(AND(TRIM(U430)="Pass after CA",ISNUMBER(AF430)),IF(AF430&lt;&gt;0,"INVALID – after the corrective action the actual qty must equal expected (update Actual)",""),"")&amp;IF(AND(TRIM(U430)="Pass",TRIM(AB430)&lt;&gt;"",TRIM(AB430)&lt;&gt;"Closed"),"INVALID – corrective action not closed: use Fail, then Pass after CA","")&amp;IF(AND(LEN(BA430)&gt;=2,ISNA(MATCH(LEFT(BA430,255),L_Placeholder,0)),TRIM(AB430)=""),"INVALID – CA status missing for the recorded corrective action","")&amp;IF(AND(TRIM(U430)="Pass after CA",OR(OR(LEN(BA430)&lt;5,ISNUMBER(MATCH(BA430,L_Placeholder,0))),TRIM(AB430)&lt;&gt;"Closed")),"INVALID – corrective action not recorded/closed","")</f>
        <v/>
      </c>
      <c r="BC430" s="61" t="str">
        <f aca="false">" "&amp;TRIM(SUBSTITUTE(SUBSTITUTE(SUBSTITUTE(SUBSTITUTE(SUBSTITUTE(SUBSTITUTE(SUBSTITUTE(SUBSTITUTE(SUBSTITUTE(SUBSTITUTE(SUBSTITUTE(SUBSTITUTE(SUBSTITUTE(SUBSTITUTE(SUBSTITUTE(SUBSTITUTE(SUBSTITUTE(SUBSTITUTE(SUBSTITUTE(SUBSTITUTE(SUBSTITUTE(SUBSTITUTE(SUBSTITUTE(SUBSTITUTE(LOWER(V430&amp;""),CHAR(10)," "),CHAR(13)," "),CHAR(9)," "),CHAR(160)," "),"."," "),","," "),"-"," "),"/"," "),"("," "),")"," "),":"," "),";"," "),"_"," "),"–"," "),"?"," "),"!"," "),"*"," "),"["," "),"]"," "),"'"," "),"#"," "),"+"," "),"&amp;"," "),"\"," "))&amp;" "</f>
        <v>  </v>
      </c>
      <c r="BD430" s="61" t="str">
        <f aca="false">" "&amp;TRIM(SUBSTITUTE(SUBSTITUTE(SUBSTITUTE(SUBSTITUTE(SUBSTITUTE(SUBSTITUTE(SUBSTITUTE(SUBSTITUTE(SUBSTITUTE(SUBSTITUTE(SUBSTITUTE(SUBSTITUTE(SUBSTITUTE(SUBSTITUTE(SUBSTITUTE(SUBSTITUTE(SUBSTITUTE(SUBSTITUTE(SUBSTITUTE(SUBSTITUTE(SUBSTITUTE(SUBSTITUTE(SUBSTITUTE(SUBSTITUTE(LOWER(Z430&amp;""),CHAR(10)," "),CHAR(13)," "),CHAR(9)," "),CHAR(160)," "),"."," "),","," "),"-"," "),"/"," "),"("," "),")"," "),":"," "),";"," "),"_"," "),"–"," "),"?"," "),"!"," "),"*"," "),"["," "),"]"," "),"'"," "),"#"," "),"+"," "),"&amp;"," "),"\"," "))&amp;" "</f>
        <v>  </v>
      </c>
      <c r="BE430" s="61" t="str">
        <f aca="false">" "&amp;TRIM(SUBSTITUTE(SUBSTITUTE(SUBSTITUTE(SUBSTITUTE(SUBSTITUTE(SUBSTITUTE(SUBSTITUTE(SUBSTITUTE(SUBSTITUTE(SUBSTITUTE(SUBSTITUTE(SUBSTITUTE(SUBSTITUTE(SUBSTITUTE(SUBSTITUTE(SUBSTITUTE(SUBSTITUTE(SUBSTITUTE(SUBSTITUTE(SUBSTITUTE(SUBSTITUTE(SUBSTITUTE(SUBSTITUTE(SUBSTITUTE(LOWER(W430&amp;""),CHAR(10)," "),CHAR(13)," "),CHAR(9)," "),CHAR(160)," "),"."," "),","," "),"-"," "),"/"," "),"("," "),")"," "),":"," "),";"," "),"_"," "),"–"," "),"?"," "),"!"," "),"*"," "),"["," "),"]"," "),"'"," "),"#"," "),"+"," "),"&amp;"," "),"\"," "))&amp;" "</f>
        <v>  </v>
      </c>
      <c r="BF430" s="61" t="str">
        <f aca="false">" "&amp;TRIM(SUBSTITUTE(SUBSTITUTE(SUBSTITUTE(SUBSTITUTE(SUBSTITUTE(SUBSTITUTE(SUBSTITUTE(SUBSTITUTE(SUBSTITUTE(SUBSTITUTE(SUBSTITUTE(SUBSTITUTE(SUBSTITUTE(SUBSTITUTE(SUBSTITUTE(SUBSTITUTE(SUBSTITUTE(SUBSTITUTE(SUBSTITUTE(SUBSTITUTE(SUBSTITUTE(SUBSTITUTE(SUBSTITUTE(SUBSTITUTE(LOWER(AC430&amp;""),CHAR(10)," "),CHAR(13)," "),CHAR(9)," "),CHAR(160)," "),"."," "),","," "),"-"," "),"/"," "),"("," "),")"," "),":"," "),";"," "),"_"," "),"–"," "),"?"," "),"!"," "),"*"," "),"["," "),"]"," "),"'"," "),"#"," "),"+"," "),"&amp;"," "),"\"," "))&amp;" "</f>
        <v>  </v>
      </c>
      <c r="BG430" s="61" t="n">
        <f aca="false">IFERROR(IF(AND(TRIM(U430)="Pass",SUMPRODUCT((LEN(BC430)-LEN(SUBSTITUTE(BC430," "&amp;L_ResultBad&amp;" "," ")))/(LEN(L_ResultBad)+1))&gt;SUMPRODUCT((LEN(BC430)-LEN(SUBSTITUTE(BC430," "&amp;L_NegPhrase&amp;" "," ")))/(LEN(L_NegPhrase)+1))),1,0),0)</f>
        <v>0</v>
      </c>
      <c r="BH430" s="61" t="n">
        <f aca="false">IFERROR(IF(SUMPRODUCT((LEN(BC430)-LEN(SUBSTITUTE(BC430," "&amp;L_Pending&amp;" "," ")))/(LEN(L_Pending)+1))&gt;SUMPRODUCT((LEN(BC430)-LEN(SUBSTITUTE(BC430," "&amp;L_PendNeg&amp;" "," ")))/(LEN(L_PendNeg)+1))+SUMPRODUCT((LEN(BC430)-LEN(SUBSTITUTE(BC430," "&amp;L_PendPrep&amp;" "," ")))/(LEN(L_PendPrep)+1)),1,0),1)</f>
        <v>0</v>
      </c>
      <c r="BI430" s="61" t="n">
        <f aca="false">IFERROR(IF(SUMPRODUCT((LEN(BD430)-LEN(SUBSTITUTE(BD430," "&amp;L_PendStrict&amp;" "," ")))/(LEN(L_PendStrict)+1))&gt;SUMPRODUCT((LEN(BD430)-LEN(SUBSTITUTE(BD430," "&amp;L_PendNeg&amp;" "," ")))/(LEN(L_PendNeg)+1)),1,0),1)</f>
        <v>0</v>
      </c>
      <c r="BJ430" s="61" t="n">
        <f aca="false">IFERROR(IF(SUMPRODUCT((LEN(BE430)-LEN(SUBSTITUTE(BE430," "&amp;L_Pending&amp;" "," ")))/(LEN(L_Pending)+1))&gt;SUMPRODUCT((LEN(BE430)-LEN(SUBSTITUTE(BE430," "&amp;L_PendNeg&amp;" "," ")))/(LEN(L_PendNeg)+1))+SUMPRODUCT((LEN(BE430)-LEN(SUBSTITUTE(BE430," "&amp;L_PendPrep&amp;" "," ")))/(LEN(L_PendPrep)+1)),1,0),1)</f>
        <v>0</v>
      </c>
      <c r="BK430" s="61" t="n">
        <f aca="false">IFERROR(IF(SUMPRODUCT((LEN(BF430)-LEN(SUBSTITUTE(BF430," "&amp;L_PendStrict&amp;" "," ")))/(LEN(L_PendStrict)+1))&gt;SUMPRODUCT((LEN(BF430)-LEN(SUBSTITUTE(BF430," "&amp;L_PendNeg&amp;" "," ")))/(LEN(L_PendNeg)+1)),1,0),1)</f>
        <v>0</v>
      </c>
      <c r="BL430" s="61" t="n">
        <f aca="false">IF(ISNA(MATCH(TRIM(S430),L_EvidenceType,0)),0,BZ430)</f>
        <v>0</v>
      </c>
      <c r="BM430" s="61" t="str">
        <f aca="false">SUBSTITUTE(SUBSTITUTE(SUBSTITUTE(SUBSTITUTE(SUBSTITUTE(SUBSTITUTE(SUBSTITUTE(SUBSTITUTE(SUBSTITUTE(LOWER(Z430&amp;""),"1","0"),"2","0"),"3","0"),"4","0"),"5","0"),"6","0"),"7","0"),"8","0"),"9","0")</f>
        <v/>
      </c>
      <c r="BN430" s="61" t="str">
        <f aca="false">SUBSTITUTE(SUBSTITUTE(SUBSTITUTE(SUBSTITUTE(SUBSTITUTE(SUBSTITUTE(SUBSTITUTE(SUBSTITUTE(SUBSTITUTE(SUBSTITUTE(SUBSTITUTE(SUBSTITUTE(SUBSTITUTE(SUBSTITUTE(SUBSTITUTE(SUBSTITUTE(SUBSTITUTE(SUBSTITUTE(SUBSTITUTE(SUBSTITUTE(SUBSTITUTE(SUBSTITUTE(SUBSTITUTE(SUBSTITUTE(SUBSTITUTE(BM430,"b","a"),"c","a"),"d","a"),"e","a"),"f","a"),"g","a"),"h","a"),"i","a"),"j","a"),"k","a"),"l","a"),"m","a"),"n","a"),"o","a"),"p","a"),"q","a"),"r","a"),"s","a"),"t","a"),"u","a"),"v","a"),"w","a"),"x","a"),"y","a"),"z","a")</f>
        <v/>
      </c>
      <c r="BO430" s="61" t="str">
        <f aca="false">SUBSTITUTE(SUBSTITUTE(SUBSTITUTE(SUBSTITUTE(SUBSTITUTE(SUBSTITUTE(SUBSTITUTE(SUBSTITUTE(SUBSTITUTE(LOWER(W430&amp;""),"1","0"),"2","0"),"3","0"),"4","0"),"5","0"),"6","0"),"7","0"),"8","0"),"9","0")</f>
        <v/>
      </c>
      <c r="BP430" s="61" t="str">
        <f aca="false">SUBSTITUTE(SUBSTITUTE(SUBSTITUTE(SUBSTITUTE(SUBSTITUTE(SUBSTITUTE(SUBSTITUTE(SUBSTITUTE(SUBSTITUTE(SUBSTITUTE(SUBSTITUTE(SUBSTITUTE(SUBSTITUTE(SUBSTITUTE(SUBSTITUTE(SUBSTITUTE(SUBSTITUTE(SUBSTITUTE(SUBSTITUTE(SUBSTITUTE(SUBSTITUTE(SUBSTITUTE(SUBSTITUTE(SUBSTITUTE(SUBSTITUTE(BO430,"b","a"),"c","a"),"d","a"),"e","a"),"f","a"),"g","a"),"h","a"),"i","a"),"j","a"),"k","a"),"l","a"),"m","a"),"n","a"),"o","a"),"p","a"),"q","a"),"r","a"),"s","a"),"t","a"),"u","a"),"v","a"),"w","a"),"x","a"),"y","a"),"z","a")</f>
        <v/>
      </c>
      <c r="BQ430" s="61" t="n">
        <f aca="false">IFERROR(IF(AND(ISERROR(SEARCH(" mh"," "&amp;LOWER(W430))),ISNA(MATCH(LEFT(TRIM(BP430),255),{"0000a","000a","00a","0000aa","000aa","00aa","0aa","0000aaa","000aaa","00a00","0a00","0000-0000","00:00","a00","a0","00.00.0000","00/00/0000","00-00-0000","0000-00-00","0000/00/00","0000.00.00","00.00.00","00/00/00","00-00-00","0.00.0000","0/00/0000","0-00-0000"},0)),ISNA(MATCH(LEFT(TRIM(CA430),255),{"0000a","000a","00a","0000aa","000aa","00aa","0aa","0000aaa","000aaa","00a00","0a00","0000-0000","00:00","a00","a0","00.00.0000","00/00/0000","00-00-0000","0000-00-00","0000/00/00","0000.00.00","00.00.00","00/00/00","00-00-00","0.00.0000","0/00/0000","0-00-0000"},0)),LEN(CB430)&gt;=3,NOT(OR(SUBSTITUTE(CB430,"0","")="",AND(LEN(CB430)&gt;=4,CB430=REPT(LEFT(CB430),LEN(CB430))),ISNUMBER(MATCH(CB430,{"123","1234","12345","123456","1234567","12345678","0123","01234","012345","98765","987654","54321"},0)),AND(LEN(CB430)=8,LEFT(CB430,3)="202"))),OR(AND((LEN(CA430)-LEN(SUBSTITUTE(CA430,"a","")))&gt;=1,SUMPRODUCT(--ISNUMBER(SEARCH({"a0","a-0","a_0","a/0","a.0","a#0","0a","0-a","0_a","0/a"},BP430)))&gt;0),ISNUMBER(SEARCH("000000",BP430)))),1,0),0)</f>
        <v>0</v>
      </c>
      <c r="BR430" s="61" t="n">
        <f aca="false">IFERROR(LEN(SUBSTITUTE(CC430," ",""))-SUMPRODUCT((LEN(CC430)-LEN(SUBSTITUTE(CC430," "&amp;L_Role&amp;" "," ")))/(LEN(L_Role)+1)*LEN(L_Role)),0)</f>
        <v>0</v>
      </c>
      <c r="BS430" s="61" t="n">
        <f aca="false">IFERROR(LEN(SUBSTITUTE(CD430," ",""))-SUMPRODUCT((LEN(CD430)-LEN(SUBSTITUTE(CD430," "&amp;L_Role&amp;" "," ")))/(LEN(L_Role)+1)*LEN(L_Role)),0)</f>
        <v>0</v>
      </c>
      <c r="BT4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430,"revision",""),"version",""),"jan",""),"feb",""),"mar",""),"apr",""),"may",""),"jun",""),"jul",""),"aug",""),"sep",""),"oct",""),"nov",""),"dec",""),"utc",""),"gmt",""),"myt",""),"bst",""),"rev",""),"ver",""),"b","a"),"c","a"),"d","a"),"e","a"),"f","a"),"g","a"),"h","a"),"i","a"),"j","a"),"k","a"),"l","a"),"m","a"),"n","a"),"o","a"),"p","a"),"q","a"),"r","a"),"s","a"),"t","a"),"u","a"),"v","a"),"w","a"),"x","a"),"y","a"),"z","a")</f>
        <v/>
      </c>
      <c r="BU430" s="61" t="str">
        <f aca="false">SUBSTITUTE(SUBSTITUTE(SUBSTITUTE(SUBSTITUTE(SUBSTITUTE(SUBSTITUTE(SUBSTITUTE(SUBSTITUTE(SUBSTITUTE(SUBSTITUTE(LEFT(BM430,FIND("0",BM430&amp;"0")-1),"-",""),"_",""),"/",""),".",""),"#",""),"\\",""),":","")," ",""),"(",""),")","")</f>
        <v/>
      </c>
      <c r="BV430" s="61" t="n">
        <f aca="false">0</f>
        <v>0</v>
      </c>
      <c r="BW4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430&amp;""),"a",""),"b",""),"c",""),"d",""),"e",""),"f",""),"g",""),"h",""),"i",""),"j",""),"k",""),"l",""),"m",""),"n",""),"o",""),"p",""),"q",""),"r",""),"s",""),"t",""),"u",""),"v",""),"w",""),"x",""),"y",""),"z",""),"-",""),"_",""),"/",""),".",""),"#",""),"\\",""),":","")," ",""),"(",""),")","")</f>
        <v/>
      </c>
      <c r="BX430" s="61" t="str">
        <f aca="false">SUBSTITUTE(SUBSTITUTE(SUBSTITUTE(SUBSTITUTE(SUBSTITUTE(SUBSTITUTE(SUBSTITUTE(SUBSTITUTE(SUBSTITUTE(SUBSTITUTE(SUBSTITUTE(BM430,"0",""),"-",""),"_",""),"/",""),".",""),"#",""),"\\",""),":","")," ",""),"(",""),")","")</f>
        <v/>
      </c>
      <c r="BY430" s="62" t="n">
        <f aca="false">Q430-T7EarlyD*24/24</f>
        <v>46288.0104166667</v>
      </c>
      <c r="BZ430" s="61" t="n">
        <f aca="false">IFERROR(IF(IF(TRIM(S430)="Link / file path",AND(LEN(TRIM(Z430))&gt;=5,SUMPRODUCT(--ISNUMBER(SEARCH({"http","www.","\\",":\",".pdf",".jpg",".jpeg",".png",".heic",".xls",".doc",".msg",".eml",".ppt",".txt",".zip"},Z430)))&gt;0),AND(ISERROR(FIND(" ",TRIM(Z430))),NOT(OR(SUMPRODUCT(--ISNUMBER(FIND({",",";","&amp;","+"},Z430)))&gt;0,SUMPRODUCT(--ISNUMBER(SEARCH({"0/aa","0\\aa"},BN430)))&gt;0)),NOT(SUMPRODUCT(--ISNUMBER(SEARCH({"http","www.","\\",":\",".pdf",".jpg",".jpeg",".png",".heic",".xls",".doc",".msg",".eml",".ppt",".txt",".zip"},Z430)))&gt;0),NOT(LOWER(TRIM(Z430))=LOWER(Flights!$F$17)),ISNA(MATCH(BU430,{"mh","rev","revision","ver","version","v","r","a","b","seat","tray","row","gate","bay","stand","page","pg","item","line","no","cart","galley","flight","flt","table","box","bag","oven","etd","eta","std","sta","atd","ata","qty","pax","x","time","tel","ph","mob","day","wk","week","utc","gmt","myt","lt"},0)),NOT(OR(ISNUMBER(MATCH(LEFT(BN430,255),{"0000a","000a","00a","0000aa","000aa","00aa","0aa","0000aaa","000aaa","00a00","0a00","0000-0000","00:00","a00","a0","00.00.0000","00/00/0000","00-00-0000","0000-00-00","0000/00/00","0000.00.00","00.00.00","00/00/00","00-00-00","0.00.0000","0/00/0000","0-00-0000"},0)),ISNUMBER(MATCH(LEFT(BT430,255),{"0000a","000a","00a","0000aa","000aa","00aa","0aa","0000aaa","000aaa","00a00","0a00","0000-0000","00:00","a00","a0","00.00.0000","00/00/0000","00-00-0000","0000-00-00","0000/00/00","0000.00.00","00.00.00","00/00/00","00-00-00","0.00.0000","0/00/0000","0-00-0000"},0)))),NOT(OR(AND(BW430&lt;&gt;"",SUBSTITUTE(BW430,"0","")=""),AND(LEN(BW430)&gt;=4,BW430=REPT(LEFT(BW430),LEN(BW430))),ISNUMBER(MATCH(BW430,{"123","1234","12345","123456","1234567","12345678","0123","01234","012345","98765","987654","54321"},0)),ISNUMBER(MATCH(BX430,{"x","xx","xxx","xxxx","xxxxx","abc","abcd","nil","na","nan","test","tbc","tba","tbd","dummy","sample","example","eg","zz","zzz","none","null","xyz","qwe","asd","id","ref"},0)),AND(LEN(BW430)=8,BX430="",OR(LEFT(BW430,3)="202",ISNUMBER(MATCH(RIGHT(BW430,4),{"2025","2026","2027"},0)))))),OR(AND((LEN(BT430)-LEN(SUBSTITUTE(BT430,"a","")))&gt;=1,(LEN(BN430)-LEN(SUBSTITUTE(BN430,"0","")))&gt;=2,SUMPRODUCT(--ISNUMBER(SEARCH({"a0","a-0","a_0","a/0","a.0","a#0","0a","0-a","0_a","0/a"},BN430)))&gt;0),AND((LEN(BN430)-LEN(SUBSTITUTE(BN430,"a","")))=0,(LEN(BN430)-LEN(SUBSTITUTE(BN430,"0","")))&gt;=5)))),1,0),0)</f>
        <v>0</v>
      </c>
      <c r="CA4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430,"revision",""),"version",""),"jan",""),"feb",""),"mar",""),"apr",""),"may",""),"jun",""),"jul",""),"aug",""),"sep",""),"oct",""),"nov",""),"dec",""),"utc",""),"gmt",""),"myt",""),"bst",""),"rev",""),"ver",""),"b","a"),"c","a"),"d","a"),"e","a"),"f","a"),"g","a"),"h","a"),"i","a"),"j","a"),"k","a"),"l","a"),"m","a"),"n","a"),"o","a"),"p","a"),"q","a"),"r","a"),"s","a"),"t","a"),"u","a"),"v","a"),"w","a"),"x","a"),"y","a"),"z","a")</f>
        <v/>
      </c>
      <c r="CB4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430&amp;""),"a",""),"b",""),"c",""),"d",""),"e",""),"f",""),"g",""),"h",""),"i",""),"j",""),"k",""),"l",""),"m",""),"n",""),"o",""),"p",""),"q",""),"r",""),"s",""),"t",""),"u",""),"v",""),"w",""),"x",""),"y",""),"z",""),"-",""),"_",""),"/",""),".",""),"#",""),"\\",""),":","")," ",""),"(",""),")","")</f>
        <v/>
      </c>
      <c r="CC430" s="0" t="str">
        <f aca="false">" "&amp;TRIM(SUBSTITUTE(SUBSTITUTE(SUBSTITUTE(SUBSTITUTE(SUBSTITUTE(SUBSTITUTE(SUBSTITUTE(SUBSTITUTE(SUBSTITUTE(SUBSTITUTE(SUBSTITUTE(SUBSTITUTE(SUBSTITUTE(SUBSTITUTE(SUBSTITUTE(SUBSTITUTE(SUBSTITUTE(SUBSTITUTE(SUBSTITUTE(SUBSTITUTE(SUBSTITUTE(SUBSTITUTE(SUBSTITUTE(SUBSTITUTE(LOWER(T430&amp;""),CHAR(10)," "),CHAR(13)," "),CHAR(9)," "),CHAR(160)," "),"."," "),","," "),"-"," "),"/"," "),"("," "),")"," "),":"," "),";"," "),"_"," "),"–"," "),"?"," "),"!"," "),"*"," "),"["," "),"]"," "),"'"," "),"#"," "),"+"," "),"&amp;"," "),"\"," "))&amp;" "</f>
        <v>  </v>
      </c>
      <c r="CD430" s="0" t="str">
        <f aca="false">" "&amp;TRIM(SUBSTITUTE(SUBSTITUTE(SUBSTITUTE(SUBSTITUTE(SUBSTITUTE(SUBSTITUTE(SUBSTITUTE(SUBSTITUTE(SUBSTITUTE(SUBSTITUTE(SUBSTITUTE(SUBSTITUTE(SUBSTITUTE(SUBSTITUTE(SUBSTITUTE(SUBSTITUTE(SUBSTITUTE(SUBSTITUTE(SUBSTITUTE(SUBSTITUTE(SUBSTITUTE(SUBSTITUTE(SUBSTITUTE(SUBSTITUTE(LOWER(AE430&amp;""),CHAR(10)," "),CHAR(13)," "),CHAR(9)," "),CHAR(160)," "),"."," "),","," "),"-"," "),"/"," "),"("," "),")"," "),":"," "),";"," "),"_"," "),"–"," "),"?"," "),"!"," "),"*"," "),"["," "),"]"," "),"'"," "),"#"," "),"+"," "),"&amp;"," "),"\"," "))&amp;" "</f>
        <v>  </v>
      </c>
      <c r="CE430" s="68" t="n">
        <f aca="false">IFERROR(IF(AND(LEN(AU430)&gt;0,LEN(AU430)=LEN(AX430),OR(TRIM(MID(SUBSTITUTE(TRIM(CC430)," ",REPT(" ",60)),1,60))="",ISNUMBER(SEARCH(" "&amp;TRIM(MID(SUBSTITUTE(TRIM(CC430)," ",REPT(" ",60)),1,60))&amp;" ",CD430))),OR(TRIM(MID(SUBSTITUTE(TRIM(CC430)," ",REPT(" ",60)),61,60))="",ISNUMBER(SEARCH(" "&amp;TRIM(MID(SUBSTITUTE(TRIM(CC430)," ",REPT(" ",60)),61,60))&amp;" ",CD430))),OR(TRIM(MID(SUBSTITUTE(TRIM(CC430)," ",REPT(" ",60)),121,60))="",ISNUMBER(SEARCH(" "&amp;TRIM(MID(SUBSTITUTE(TRIM(CC430)," ",REPT(" ",60)),121,60))&amp;" ",CD430)))),1,0),0)</f>
        <v>0</v>
      </c>
      <c r="CG430" s="68" t="n">
        <f aca="false">IFERROR(LEN(SUBSTITUTE(BF430," ",""))-SUMPRODUCT((LEN(BF430)-LEN(SUBSTITUTE(BF430," "&amp;L_NAFiller&amp;" "," ")))/(LEN(L_NAFiller)+1)*LEN(L_NAFiller)),0)</f>
        <v>0</v>
      </c>
    </row>
    <row r="431" customFormat="false" ht="39.75" hidden="false" customHeight="true" outlineLevel="0" collapsed="false">
      <c r="A431" s="57" t="s">
        <v>1064</v>
      </c>
      <c r="B431" s="57" t="s">
        <v>272</v>
      </c>
      <c r="C431" s="57" t="str">
        <f aca="false">Flights!$F$17</f>
        <v>MH0138</v>
      </c>
      <c r="D431" s="58" t="n">
        <f aca="false">Flights!$D$17</f>
        <v>46309</v>
      </c>
      <c r="E431" s="57" t="str">
        <f aca="false">Flights!$G$17&amp;"-"&amp;Flights!$H$17</f>
        <v>ADL-KUL</v>
      </c>
      <c r="F431" s="57" t="str">
        <f aca="false">Flights!$K$17</f>
        <v>EY</v>
      </c>
      <c r="G431" s="57" t="s">
        <v>81</v>
      </c>
      <c r="H431" s="57" t="s">
        <v>378</v>
      </c>
      <c r="I431" s="57" t="s">
        <v>398</v>
      </c>
      <c r="J431" s="57" t="s">
        <v>399</v>
      </c>
      <c r="K431" s="67" t="s">
        <v>400</v>
      </c>
      <c r="L431" s="67" t="s">
        <v>382</v>
      </c>
      <c r="M431" s="67"/>
      <c r="N431" s="67" t="s">
        <v>383</v>
      </c>
      <c r="O431" s="67"/>
      <c r="P431" s="57" t="s">
        <v>263</v>
      </c>
      <c r="Q431" s="59" t="n">
        <f aca="false">ROUND((Flights!$AC$17)*1440,0)/1440</f>
        <v>46302.0104166667</v>
      </c>
      <c r="R431" s="59" t="n">
        <f aca="false">Q431+(IF(AND(INDEX(TZ_DSTS,MATCH(P431,TZ_STN,0))&lt;&gt;"",Q431&gt;=INDEX(TZ_DSTS,MATCH(P431,TZ_STN,0)),Q431&lt;INDEX(TZ_DSTE,MATCH(P431,TZ_STN,0))),INDEX(TZ_DST,MATCH(P431,TZ_STN,0)),INDEX(TZ_STD,MATCH(P431,TZ_STN,0))))/24</f>
        <v>46302.4479166667</v>
      </c>
      <c r="S431" s="60"/>
      <c r="T431" s="60"/>
      <c r="U431" s="60"/>
      <c r="V431" s="60"/>
      <c r="W431" s="61"/>
      <c r="X431" s="60"/>
      <c r="Y431" s="60"/>
      <c r="Z431" s="60"/>
      <c r="AA431" s="60"/>
      <c r="AB431" s="60"/>
      <c r="AC431" s="60"/>
      <c r="AD431" s="66"/>
      <c r="AE431" s="60"/>
      <c r="AF431" s="61" t="str">
        <f aca="false">IF(AND(ISNUMBER(X431),ISNUMBER(Y431)),Y431-X431,"")</f>
        <v/>
      </c>
      <c r="AG431" s="62" t="str">
        <f aca="false">IF(ISNUMBER(AD431),AD431-(IF(AND(INDEX(TZ_DSTS,MATCH(P431,TZ_STN,0))&lt;&gt;"",(AD431-INDEX(TZ_STD,MATCH(P431,TZ_STN,0))/24)&gt;=INDEX(TZ_DSTS,MATCH(P431,TZ_STN,0)),(AD431-INDEX(TZ_STD,MATCH(P431,TZ_STN,0))/24)&lt;INDEX(TZ_DSTE,MATCH(P431,TZ_STN,0))),INDEX(TZ_DST,MATCH(P431,TZ_STN,0)),INDEX(TZ_STD,MATCH(P431,TZ_STN,0))))/24,"")</f>
        <v/>
      </c>
      <c r="AH431" s="65" t="str">
        <f aca="false">IFERROR(IF(N431="N/A – rule",IF(OR(TRIM(U431)="",TRIM(U431)="N/A",TRIM(U431)="Not started"),"N/A – RULE","INVALID – this check does not apply to this aircraft: clear the status (or correct the fleet on Flights)"),IF(TRIM(U431)="N/A",IF(AT431=0,"INVALID – N/A not permitted for this check",IF(AND(TRIM(AB431)&lt;&gt;"",TRIM(AB431)&lt;&gt;"Closed"),"INVALID – corrective action still open",IF(AND(NOT(OR(LEN(AZ431)&lt;15,ISNUMBER(MATCH(AZ431,L_Placeholder,0)))),BK431=0,CG431&gt;=8,NOT(OR(LEN(AU431)&lt;2,ISNUMBER(MATCH(AU431,L_Placeholder,0)))),BR431&gt;=3,NOT(OR(LEN(AX431)&lt;2,ISNUMBER(MATCH(AX431,L_Placeholder,0)))),BS431&gt;=3,TRIM(AE431)&lt;&gt;TRIM(T431),AX431&lt;&gt;AU431,CE431=0),"N/A – JUSTIFIED","INVALID – N/A needs a real, settled reason (not 'not applicable' / 'as above' / TBC), a named PIC and a different named verifier"))),IF(OR(TRIM(U431)="Pass",TRIM(U431)="Pass after CA"),IF(NOT(ISNUMBER(AD431)),"INVALID – completion time missing",IF(OR(OR(LEN(AU431)&lt;2,ISNUMBER(MATCH(AU431,L_Placeholder,0))),BR431&lt;3),"INVALID – PIC missing or not a named person (a role such as QA / CSM is not a name)",IF(OR(LEN(AV431)&lt;2,ISNUMBER(MATCH(AV431,L_Placeholder,0))),"INVALID – result / assessment missing",IF(OR(OR(LEN(AW431)&lt;3,ISNUMBER(MATCH(AW431,L_Placeholder,0))),SUMPRODUCT(--ISNUMBER(SEARCH(" "&amp;L_EvidencePhrase&amp;" ",BD431)))&gt;0,BI431=1),"INVALID – evidence missing, placeholder or not yet on file",IF(ISNA(MATCH(TRIM(S431),L_EvidenceType,0)),"INVALID – choose the evidence type from the list (column S)",IF(BL431=0,"INVALID – evidence ID must be the record's own ID only (e.g. SF-2210, IMG_2231, 1045521); a link / file name needs type 'Link / file path'",IF(OR(OR(LEN(AX431)&lt;2,ISNUMBER(MATCH(AX431,L_Placeholder,0))),BS431&lt;3),"INVALID – verifier missing or not a named person (a role such as QA / CSM is not a name)",IF(OR(AX431=AU431,CE431=1,AND(LEN(AU431)&gt;=4,ISNUMBER(SEARCH(AU431,AX431))),AND(LEN(AX431)&gt;=4,ISNUMBER(SEARCH(AX431,AU431)))),"INVALID – verifier must be a different, named person (not the PIC or a role)",IF(BH431=1,"INVALID – result not yet available (awaiting / TBC)",IF(BG431=1,"INVALID – result describes a problem: record Fail, then Pass after CA (or reword if it is not a problem)",IF(BV431=1,"INVALID – wording says not on board: an on-board confirmation needs the item loaded",IF(AND(AQ431=1,OR(OR(LEN(AY431)&lt;3,ISNUMBER(MATCH(AY431,L_Placeholder,0))),BJ431=1,BQ431=0)),"INVALID – batch ID missing, placeholder or not an ID (e.g. PASB-261008-BC-017)",IF(AND(AR431=1,OR(NOT(ISNUMBER(X431)),NOT(ISNUMBER(Y431)))),"INVALID – expected/actual qty missing",IF(AND(AR431=1,OR(X431&lt;=0,Y431&lt;0)),"INVALID – expected qty must be above 0 and actual not negative",IF(BB431&lt;&gt;"",BB431,IF(AND(AS431=1,Documents!$J$17&lt;&gt;"ON FILE"),"INVALID – GLD not on file (Documents sheet)",IF(AND(AS431=2,Documents!$O$17&lt;&gt;"ON FILE"),"INVALID – menu checklist not on file (Documents sheet)",IF(AND(AS431=3,NOT(ISNUMBER(Flights!$AX$17))),"INVALID – enter carrying flight KUL departure (Flights AX)",IF(AND(AS431=3,OR(Flights!$AZ$17&gt;Flights!$AA$17,Flights!$AX$17&lt;Flights!$AA$17-3)),"INVALID – carrying flight (Flights AX) cannot arrive before this leg's STD, or is over 3 days early",IF(AG431&gt;AsOfUTC,"INVALID – completion time is in the future",IF(AND(ISNUMBER(BY431),AG431&lt;BY431),IF(H431="Physical uplift","INVALID – before uplift window (cannot confirm loading)","INVALID – before valid window"),IF(AG431&gt;Flights!$AA$17,"INVALID – completed after departure (cannot establish readiness)",IF(AND(H431="Preparation",AG431&gt;=IF(ISNUMBER(Flights!$BA$17),MIN(Flights!$BA$17,Flights!$AA$17),Flights!$AA$17)),"INVALID – completed after loading / departure (cannot establish readiness)",IF(AND(H431="Physical uplift",AG431&gt;Q431),"INVALID – recorded after the loading flight departed",IF(AG431&gt;Q431,"COMPLETE – LATE","COMPLETE"))))))))))))))))))))))))),IF(TRIM(U431)="Fail","FAIL – DISCREPANCY",IF(AND(TRIM(U431)&lt;&gt;"",TRIM(U431)&lt;&gt;"Not started",TRIM(U431)&lt;&gt;"In progress"),"INVALID – unrecognised status (use the list)",IF(AsOfUTC&gt;Q431,"OVERDUE",IF(N431="Clarification required","OPEN – CLARIFICATION","OPEN"))))))),"INVALID – error value in an input cell")</f>
        <v>OPEN</v>
      </c>
      <c r="AI431" s="61" t="n">
        <f aca="false">IF(OR(AH431="N/A – RULE",AH431="N/A – JUSTIFIED"),0,1)</f>
        <v>1</v>
      </c>
      <c r="AJ431" s="61" t="n">
        <f aca="false">IF(LEFT(AH431,8)="COMPLETE",1,0)</f>
        <v>0</v>
      </c>
      <c r="AK431" s="61" t="n">
        <f aca="false">IF(AND(AI431=1,AJ431=0,AsOfUTC&gt;Q431),1,0)</f>
        <v>0</v>
      </c>
      <c r="AL431" s="61" t="n">
        <f aca="false">IFERROR(IF(AND(AI431=1,OR(TRIM(U431)="Fail",AND(TRIM(AB431)&lt;&gt;"",TRIM(AB431)&lt;&gt;"Closed"),AND(ISNUMBER(AF431),AF431&lt;&gt;0,TRIM(U431)&lt;&gt;"Pass after CA"))),1,0),1)</f>
        <v>0</v>
      </c>
      <c r="AM431" s="61" t="n">
        <f aca="false">IF(LEFT(AH431,7)="INVALID",1,0)</f>
        <v>0</v>
      </c>
      <c r="AN431" s="61" t="n">
        <f aca="false">IF(AND(N431="Clarification required",AI431=1,AJ431=0),1,0)</f>
        <v>0</v>
      </c>
      <c r="AO431" s="61" t="str">
        <f aca="false">IF(AK431=1,SUM(AK$5:AK431),"")</f>
        <v/>
      </c>
      <c r="AP431" s="61" t="str">
        <f aca="false">IF(AL431=1,SUM(AL$5:AL431),"")</f>
        <v/>
      </c>
      <c r="AQ431" s="61" t="n">
        <v>0</v>
      </c>
      <c r="AR431" s="61" t="n">
        <v>0</v>
      </c>
      <c r="AS431" s="61" t="n">
        <v>0</v>
      </c>
      <c r="AT431" s="61" t="n">
        <v>0</v>
      </c>
      <c r="AU431" s="61" t="str">
        <f aca="false">SUBSTITUTE(SUBSTITUTE(SUBSTITUTE(SUBSTITUTE(SUBSTITUTE(SUBSTITUTE(SUBSTITUTE(SUBSTITUTE(SUBSTITUTE(SUBSTITUTE(SUBSTITUTE(SUBSTITUTE(SUBSTITUTE(SUBSTITUTE(SUBSTITUTE(SUBSTITUTE(LOWER(T431&amp;""),CHAR(10),""),CHAR(13),""),CHAR(9),""),CHAR(160),"")," ",""),".",""),"-",""),"/",""),"?",""),"_",""),",",""),"[",""),"]",""),"(",""),")",""),"*","")</f>
        <v/>
      </c>
      <c r="AV431" s="61" t="str">
        <f aca="false">SUBSTITUTE(SUBSTITUTE(SUBSTITUTE(SUBSTITUTE(SUBSTITUTE(SUBSTITUTE(SUBSTITUTE(SUBSTITUTE(SUBSTITUTE(SUBSTITUTE(SUBSTITUTE(SUBSTITUTE(SUBSTITUTE(SUBSTITUTE(SUBSTITUTE(SUBSTITUTE(LOWER(V431&amp;""),CHAR(10),""),CHAR(13),""),CHAR(9),""),CHAR(160),"")," ",""),".",""),"-",""),"/",""),"?",""),"_",""),",",""),"[",""),"]",""),"(",""),")",""),"*","")</f>
        <v/>
      </c>
      <c r="AW431" s="61" t="str">
        <f aca="false">SUBSTITUTE(SUBSTITUTE(SUBSTITUTE(SUBSTITUTE(SUBSTITUTE(SUBSTITUTE(SUBSTITUTE(SUBSTITUTE(SUBSTITUTE(SUBSTITUTE(SUBSTITUTE(SUBSTITUTE(SUBSTITUTE(SUBSTITUTE(SUBSTITUTE(SUBSTITUTE(LOWER(Z431&amp;""),CHAR(10),""),CHAR(13),""),CHAR(9),""),CHAR(160),"")," ",""),".",""),"-",""),"/",""),"?",""),"_",""),",",""),"[",""),"]",""),"(",""),")",""),"*","")</f>
        <v/>
      </c>
      <c r="AX431" s="61" t="str">
        <f aca="false">SUBSTITUTE(SUBSTITUTE(SUBSTITUTE(SUBSTITUTE(SUBSTITUTE(SUBSTITUTE(SUBSTITUTE(SUBSTITUTE(SUBSTITUTE(SUBSTITUTE(SUBSTITUTE(SUBSTITUTE(SUBSTITUTE(SUBSTITUTE(SUBSTITUTE(SUBSTITUTE(LOWER(AE431&amp;""),CHAR(10),""),CHAR(13),""),CHAR(9),""),CHAR(160),"")," ",""),".",""),"-",""),"/",""),"?",""),"_",""),",",""),"[",""),"]",""),"(",""),")",""),"*","")</f>
        <v/>
      </c>
      <c r="AY431" s="61" t="str">
        <f aca="false">SUBSTITUTE(SUBSTITUTE(SUBSTITUTE(SUBSTITUTE(SUBSTITUTE(SUBSTITUTE(SUBSTITUTE(SUBSTITUTE(SUBSTITUTE(SUBSTITUTE(SUBSTITUTE(SUBSTITUTE(SUBSTITUTE(SUBSTITUTE(SUBSTITUTE(SUBSTITUTE(LOWER(W431&amp;""),CHAR(10),""),CHAR(13),""),CHAR(9),""),CHAR(160),"")," ",""),".",""),"-",""),"/",""),"?",""),"_",""),",",""),"[",""),"]",""),"(",""),")",""),"*","")</f>
        <v/>
      </c>
      <c r="AZ431" s="61" t="str">
        <f aca="false">SUBSTITUTE(SUBSTITUTE(SUBSTITUTE(SUBSTITUTE(SUBSTITUTE(SUBSTITUTE(SUBSTITUTE(SUBSTITUTE(SUBSTITUTE(SUBSTITUTE(SUBSTITUTE(SUBSTITUTE(SUBSTITUTE(SUBSTITUTE(SUBSTITUTE(SUBSTITUTE(LOWER(AC431&amp;""),CHAR(10),""),CHAR(13),""),CHAR(9),""),CHAR(160),"")," ",""),".",""),"-",""),"/",""),"?",""),"_",""),",",""),"[",""),"]",""),"(",""),")",""),"*","")</f>
        <v/>
      </c>
      <c r="BA431" s="61" t="str">
        <f aca="false">SUBSTITUTE(SUBSTITUTE(SUBSTITUTE(SUBSTITUTE(SUBSTITUTE(SUBSTITUTE(SUBSTITUTE(SUBSTITUTE(SUBSTITUTE(SUBSTITUTE(SUBSTITUTE(SUBSTITUTE(SUBSTITUTE(SUBSTITUTE(SUBSTITUTE(SUBSTITUTE(LOWER(AA431&amp;""),CHAR(10),""),CHAR(13),""),CHAR(9),""),CHAR(160),"")," ",""),".",""),"-",""),"/",""),"?",""),"_",""),",",""),"[",""),"]",""),"(",""),")",""),"*","")</f>
        <v/>
      </c>
      <c r="BB431" s="61" t="str">
        <f aca="false">IF(AND(TRIM(U431)="Pass",ISNUMBER(AF431)),IF(AF431&lt;&gt;0,"INVALID – qty variance: use Fail or Pass after CA",""),"")&amp;IF(AND(TRIM(U431)="Pass after CA",ISNUMBER(AF431)),IF(AF431&lt;&gt;0,"INVALID – after the corrective action the actual qty must equal expected (update Actual)",""),"")&amp;IF(AND(TRIM(U431)="Pass",TRIM(AB431)&lt;&gt;"",TRIM(AB431)&lt;&gt;"Closed"),"INVALID – corrective action not closed: use Fail, then Pass after CA","")&amp;IF(AND(LEN(BA431)&gt;=2,ISNA(MATCH(LEFT(BA431,255),L_Placeholder,0)),TRIM(AB431)=""),"INVALID – CA status missing for the recorded corrective action","")&amp;IF(AND(TRIM(U431)="Pass after CA",OR(OR(LEN(BA431)&lt;5,ISNUMBER(MATCH(BA431,L_Placeholder,0))),TRIM(AB431)&lt;&gt;"Closed")),"INVALID – corrective action not recorded/closed","")</f>
        <v/>
      </c>
      <c r="BC431" s="61" t="str">
        <f aca="false">" "&amp;TRIM(SUBSTITUTE(SUBSTITUTE(SUBSTITUTE(SUBSTITUTE(SUBSTITUTE(SUBSTITUTE(SUBSTITUTE(SUBSTITUTE(SUBSTITUTE(SUBSTITUTE(SUBSTITUTE(SUBSTITUTE(SUBSTITUTE(SUBSTITUTE(SUBSTITUTE(SUBSTITUTE(SUBSTITUTE(SUBSTITUTE(SUBSTITUTE(SUBSTITUTE(SUBSTITUTE(SUBSTITUTE(SUBSTITUTE(SUBSTITUTE(LOWER(V431&amp;""),CHAR(10)," "),CHAR(13)," "),CHAR(9)," "),CHAR(160)," "),"."," "),","," "),"-"," "),"/"," "),"("," "),")"," "),":"," "),";"," "),"_"," "),"–"," "),"?"," "),"!"," "),"*"," "),"["," "),"]"," "),"'"," "),"#"," "),"+"," "),"&amp;"," "),"\"," "))&amp;" "</f>
        <v>  </v>
      </c>
      <c r="BD431" s="61" t="str">
        <f aca="false">" "&amp;TRIM(SUBSTITUTE(SUBSTITUTE(SUBSTITUTE(SUBSTITUTE(SUBSTITUTE(SUBSTITUTE(SUBSTITUTE(SUBSTITUTE(SUBSTITUTE(SUBSTITUTE(SUBSTITUTE(SUBSTITUTE(SUBSTITUTE(SUBSTITUTE(SUBSTITUTE(SUBSTITUTE(SUBSTITUTE(SUBSTITUTE(SUBSTITUTE(SUBSTITUTE(SUBSTITUTE(SUBSTITUTE(SUBSTITUTE(SUBSTITUTE(LOWER(Z431&amp;""),CHAR(10)," "),CHAR(13)," "),CHAR(9)," "),CHAR(160)," "),"."," "),","," "),"-"," "),"/"," "),"("," "),")"," "),":"," "),";"," "),"_"," "),"–"," "),"?"," "),"!"," "),"*"," "),"["," "),"]"," "),"'"," "),"#"," "),"+"," "),"&amp;"," "),"\"," "))&amp;" "</f>
        <v>  </v>
      </c>
      <c r="BE431" s="61" t="str">
        <f aca="false">" "&amp;TRIM(SUBSTITUTE(SUBSTITUTE(SUBSTITUTE(SUBSTITUTE(SUBSTITUTE(SUBSTITUTE(SUBSTITUTE(SUBSTITUTE(SUBSTITUTE(SUBSTITUTE(SUBSTITUTE(SUBSTITUTE(SUBSTITUTE(SUBSTITUTE(SUBSTITUTE(SUBSTITUTE(SUBSTITUTE(SUBSTITUTE(SUBSTITUTE(SUBSTITUTE(SUBSTITUTE(SUBSTITUTE(SUBSTITUTE(SUBSTITUTE(LOWER(W431&amp;""),CHAR(10)," "),CHAR(13)," "),CHAR(9)," "),CHAR(160)," "),"."," "),","," "),"-"," "),"/"," "),"("," "),")"," "),":"," "),";"," "),"_"," "),"–"," "),"?"," "),"!"," "),"*"," "),"["," "),"]"," "),"'"," "),"#"," "),"+"," "),"&amp;"," "),"\"," "))&amp;" "</f>
        <v>  </v>
      </c>
      <c r="BF431" s="61" t="str">
        <f aca="false">" "&amp;TRIM(SUBSTITUTE(SUBSTITUTE(SUBSTITUTE(SUBSTITUTE(SUBSTITUTE(SUBSTITUTE(SUBSTITUTE(SUBSTITUTE(SUBSTITUTE(SUBSTITUTE(SUBSTITUTE(SUBSTITUTE(SUBSTITUTE(SUBSTITUTE(SUBSTITUTE(SUBSTITUTE(SUBSTITUTE(SUBSTITUTE(SUBSTITUTE(SUBSTITUTE(SUBSTITUTE(SUBSTITUTE(SUBSTITUTE(SUBSTITUTE(LOWER(AC431&amp;""),CHAR(10)," "),CHAR(13)," "),CHAR(9)," "),CHAR(160)," "),"."," "),","," "),"-"," "),"/"," "),"("," "),")"," "),":"," "),";"," "),"_"," "),"–"," "),"?"," "),"!"," "),"*"," "),"["," "),"]"," "),"'"," "),"#"," "),"+"," "),"&amp;"," "),"\"," "))&amp;" "</f>
        <v>  </v>
      </c>
      <c r="BG431" s="61" t="n">
        <f aca="false">IFERROR(IF(AND(TRIM(U431)="Pass",SUMPRODUCT((LEN(BC431)-LEN(SUBSTITUTE(BC431," "&amp;L_ResultBad&amp;" "," ")))/(LEN(L_ResultBad)+1))&gt;SUMPRODUCT((LEN(BC431)-LEN(SUBSTITUTE(BC431," "&amp;L_NegPhrase&amp;" "," ")))/(LEN(L_NegPhrase)+1))),1,0),0)</f>
        <v>0</v>
      </c>
      <c r="BH431" s="61" t="n">
        <f aca="false">IFERROR(IF(SUMPRODUCT((LEN(BC431)-LEN(SUBSTITUTE(BC431," "&amp;L_Pending&amp;" "," ")))/(LEN(L_Pending)+1))&gt;SUMPRODUCT((LEN(BC431)-LEN(SUBSTITUTE(BC431," "&amp;L_PendNeg&amp;" "," ")))/(LEN(L_PendNeg)+1))+SUMPRODUCT((LEN(BC431)-LEN(SUBSTITUTE(BC431," "&amp;L_PendPrep&amp;" "," ")))/(LEN(L_PendPrep)+1)),1,0),1)</f>
        <v>0</v>
      </c>
      <c r="BI431" s="61" t="n">
        <f aca="false">IFERROR(IF(SUMPRODUCT((LEN(BD431)-LEN(SUBSTITUTE(BD431," "&amp;L_PendStrict&amp;" "," ")))/(LEN(L_PendStrict)+1))&gt;SUMPRODUCT((LEN(BD431)-LEN(SUBSTITUTE(BD431," "&amp;L_PendNeg&amp;" "," ")))/(LEN(L_PendNeg)+1)),1,0),1)</f>
        <v>0</v>
      </c>
      <c r="BJ431" s="61" t="n">
        <f aca="false">IFERROR(IF(SUMPRODUCT((LEN(BE431)-LEN(SUBSTITUTE(BE431," "&amp;L_Pending&amp;" "," ")))/(LEN(L_Pending)+1))&gt;SUMPRODUCT((LEN(BE431)-LEN(SUBSTITUTE(BE431," "&amp;L_PendNeg&amp;" "," ")))/(LEN(L_PendNeg)+1))+SUMPRODUCT((LEN(BE431)-LEN(SUBSTITUTE(BE431," "&amp;L_PendPrep&amp;" "," ")))/(LEN(L_PendPrep)+1)),1,0),1)</f>
        <v>0</v>
      </c>
      <c r="BK431" s="61" t="n">
        <f aca="false">IFERROR(IF(SUMPRODUCT((LEN(BF431)-LEN(SUBSTITUTE(BF431," "&amp;L_PendStrict&amp;" "," ")))/(LEN(L_PendStrict)+1))&gt;SUMPRODUCT((LEN(BF431)-LEN(SUBSTITUTE(BF431," "&amp;L_PendNeg&amp;" "," ")))/(LEN(L_PendNeg)+1)),1,0),1)</f>
        <v>0</v>
      </c>
      <c r="BL431" s="61" t="n">
        <f aca="false">IF(ISNA(MATCH(TRIM(S431),L_EvidenceType,0)),0,BZ431)</f>
        <v>0</v>
      </c>
      <c r="BM431" s="61" t="str">
        <f aca="false">SUBSTITUTE(SUBSTITUTE(SUBSTITUTE(SUBSTITUTE(SUBSTITUTE(SUBSTITUTE(SUBSTITUTE(SUBSTITUTE(SUBSTITUTE(LOWER(Z431&amp;""),"1","0"),"2","0"),"3","0"),"4","0"),"5","0"),"6","0"),"7","0"),"8","0"),"9","0")</f>
        <v/>
      </c>
      <c r="BN431" s="61" t="str">
        <f aca="false">SUBSTITUTE(SUBSTITUTE(SUBSTITUTE(SUBSTITUTE(SUBSTITUTE(SUBSTITUTE(SUBSTITUTE(SUBSTITUTE(SUBSTITUTE(SUBSTITUTE(SUBSTITUTE(SUBSTITUTE(SUBSTITUTE(SUBSTITUTE(SUBSTITUTE(SUBSTITUTE(SUBSTITUTE(SUBSTITUTE(SUBSTITUTE(SUBSTITUTE(SUBSTITUTE(SUBSTITUTE(SUBSTITUTE(SUBSTITUTE(SUBSTITUTE(BM431,"b","a"),"c","a"),"d","a"),"e","a"),"f","a"),"g","a"),"h","a"),"i","a"),"j","a"),"k","a"),"l","a"),"m","a"),"n","a"),"o","a"),"p","a"),"q","a"),"r","a"),"s","a"),"t","a"),"u","a"),"v","a"),"w","a"),"x","a"),"y","a"),"z","a")</f>
        <v/>
      </c>
      <c r="BO431" s="61" t="str">
        <f aca="false">SUBSTITUTE(SUBSTITUTE(SUBSTITUTE(SUBSTITUTE(SUBSTITUTE(SUBSTITUTE(SUBSTITUTE(SUBSTITUTE(SUBSTITUTE(LOWER(W431&amp;""),"1","0"),"2","0"),"3","0"),"4","0"),"5","0"),"6","0"),"7","0"),"8","0"),"9","0")</f>
        <v/>
      </c>
      <c r="BP431" s="61" t="str">
        <f aca="false">SUBSTITUTE(SUBSTITUTE(SUBSTITUTE(SUBSTITUTE(SUBSTITUTE(SUBSTITUTE(SUBSTITUTE(SUBSTITUTE(SUBSTITUTE(SUBSTITUTE(SUBSTITUTE(SUBSTITUTE(SUBSTITUTE(SUBSTITUTE(SUBSTITUTE(SUBSTITUTE(SUBSTITUTE(SUBSTITUTE(SUBSTITUTE(SUBSTITUTE(SUBSTITUTE(SUBSTITUTE(SUBSTITUTE(SUBSTITUTE(SUBSTITUTE(BO431,"b","a"),"c","a"),"d","a"),"e","a"),"f","a"),"g","a"),"h","a"),"i","a"),"j","a"),"k","a"),"l","a"),"m","a"),"n","a"),"o","a"),"p","a"),"q","a"),"r","a"),"s","a"),"t","a"),"u","a"),"v","a"),"w","a"),"x","a"),"y","a"),"z","a")</f>
        <v/>
      </c>
      <c r="BQ431" s="61" t="n">
        <f aca="false">IFERROR(IF(AND(ISERROR(SEARCH(" mh"," "&amp;LOWER(W431))),ISNA(MATCH(LEFT(TRIM(BP431),255),{"0000a","000a","00a","0000aa","000aa","00aa","0aa","0000aaa","000aaa","00a00","0a00","0000-0000","00:00","a00","a0","00.00.0000","00/00/0000","00-00-0000","0000-00-00","0000/00/00","0000.00.00","00.00.00","00/00/00","00-00-00","0.00.0000","0/00/0000","0-00-0000"},0)),ISNA(MATCH(LEFT(TRIM(CA431),255),{"0000a","000a","00a","0000aa","000aa","00aa","0aa","0000aaa","000aaa","00a00","0a00","0000-0000","00:00","a00","a0","00.00.0000","00/00/0000","00-00-0000","0000-00-00","0000/00/00","0000.00.00","00.00.00","00/00/00","00-00-00","0.00.0000","0/00/0000","0-00-0000"},0)),LEN(CB431)&gt;=3,NOT(OR(SUBSTITUTE(CB431,"0","")="",AND(LEN(CB431)&gt;=4,CB431=REPT(LEFT(CB431),LEN(CB431))),ISNUMBER(MATCH(CB431,{"123","1234","12345","123456","1234567","12345678","0123","01234","012345","98765","987654","54321"},0)),AND(LEN(CB431)=8,LEFT(CB431,3)="202"))),OR(AND((LEN(CA431)-LEN(SUBSTITUTE(CA431,"a","")))&gt;=1,SUMPRODUCT(--ISNUMBER(SEARCH({"a0","a-0","a_0","a/0","a.0","a#0","0a","0-a","0_a","0/a"},BP431)))&gt;0),ISNUMBER(SEARCH("000000",BP431)))),1,0),0)</f>
        <v>0</v>
      </c>
      <c r="BR431" s="61" t="n">
        <f aca="false">IFERROR(LEN(SUBSTITUTE(CC431," ",""))-SUMPRODUCT((LEN(CC431)-LEN(SUBSTITUTE(CC431," "&amp;L_Role&amp;" "," ")))/(LEN(L_Role)+1)*LEN(L_Role)),0)</f>
        <v>0</v>
      </c>
      <c r="BS431" s="61" t="n">
        <f aca="false">IFERROR(LEN(SUBSTITUTE(CD431," ",""))-SUMPRODUCT((LEN(CD431)-LEN(SUBSTITUTE(CD431," "&amp;L_Role&amp;" "," ")))/(LEN(L_Role)+1)*LEN(L_Role)),0)</f>
        <v>0</v>
      </c>
      <c r="BT4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431,"revision",""),"version",""),"jan",""),"feb",""),"mar",""),"apr",""),"may",""),"jun",""),"jul",""),"aug",""),"sep",""),"oct",""),"nov",""),"dec",""),"utc",""),"gmt",""),"myt",""),"bst",""),"rev",""),"ver",""),"b","a"),"c","a"),"d","a"),"e","a"),"f","a"),"g","a"),"h","a"),"i","a"),"j","a"),"k","a"),"l","a"),"m","a"),"n","a"),"o","a"),"p","a"),"q","a"),"r","a"),"s","a"),"t","a"),"u","a"),"v","a"),"w","a"),"x","a"),"y","a"),"z","a")</f>
        <v/>
      </c>
      <c r="BU431" s="61" t="str">
        <f aca="false">SUBSTITUTE(SUBSTITUTE(SUBSTITUTE(SUBSTITUTE(SUBSTITUTE(SUBSTITUTE(SUBSTITUTE(SUBSTITUTE(SUBSTITUTE(SUBSTITUTE(LEFT(BM431,FIND("0",BM431&amp;"0")-1),"-",""),"_",""),"/",""),".",""),"#",""),"\\",""),":","")," ",""),"(",""),")","")</f>
        <v/>
      </c>
      <c r="BV431" s="61" t="n">
        <f aca="false">0</f>
        <v>0</v>
      </c>
      <c r="BW4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431&amp;""),"a",""),"b",""),"c",""),"d",""),"e",""),"f",""),"g",""),"h",""),"i",""),"j",""),"k",""),"l",""),"m",""),"n",""),"o",""),"p",""),"q",""),"r",""),"s",""),"t",""),"u",""),"v",""),"w",""),"x",""),"y",""),"z",""),"-",""),"_",""),"/",""),".",""),"#",""),"\\",""),":","")," ",""),"(",""),")","")</f>
        <v/>
      </c>
      <c r="BX431" s="61" t="str">
        <f aca="false">SUBSTITUTE(SUBSTITUTE(SUBSTITUTE(SUBSTITUTE(SUBSTITUTE(SUBSTITUTE(SUBSTITUTE(SUBSTITUTE(SUBSTITUTE(SUBSTITUTE(SUBSTITUTE(BM431,"0",""),"-",""),"_",""),"/",""),".",""),"#",""),"\\",""),":","")," ",""),"(",""),")","")</f>
        <v/>
      </c>
      <c r="BY431" s="62" t="n">
        <f aca="false">Q431-T7EarlyD*24/24</f>
        <v>46288.0104166667</v>
      </c>
      <c r="BZ431" s="61" t="n">
        <f aca="false">IFERROR(IF(IF(TRIM(S431)="Link / file path",AND(LEN(TRIM(Z431))&gt;=5,SUMPRODUCT(--ISNUMBER(SEARCH({"http","www.","\\",":\",".pdf",".jpg",".jpeg",".png",".heic",".xls",".doc",".msg",".eml",".ppt",".txt",".zip"},Z431)))&gt;0),AND(ISERROR(FIND(" ",TRIM(Z431))),NOT(OR(SUMPRODUCT(--ISNUMBER(FIND({",",";","&amp;","+"},Z431)))&gt;0,SUMPRODUCT(--ISNUMBER(SEARCH({"0/aa","0\\aa"},BN431)))&gt;0)),NOT(SUMPRODUCT(--ISNUMBER(SEARCH({"http","www.","\\",":\",".pdf",".jpg",".jpeg",".png",".heic",".xls",".doc",".msg",".eml",".ppt",".txt",".zip"},Z431)))&gt;0),NOT(LOWER(TRIM(Z431))=LOWER(Flights!$F$17)),ISNA(MATCH(BU431,{"mh","rev","revision","ver","version","v","r","a","b","seat","tray","row","gate","bay","stand","page","pg","item","line","no","cart","galley","flight","flt","table","box","bag","oven","etd","eta","std","sta","atd","ata","qty","pax","x","time","tel","ph","mob","day","wk","week","utc","gmt","myt","lt"},0)),NOT(OR(ISNUMBER(MATCH(LEFT(BN431,255),{"0000a","000a","00a","0000aa","000aa","00aa","0aa","0000aaa","000aaa","00a00","0a00","0000-0000","00:00","a00","a0","00.00.0000","00/00/0000","00-00-0000","0000-00-00","0000/00/00","0000.00.00","00.00.00","00/00/00","00-00-00","0.00.0000","0/00/0000","0-00-0000"},0)),ISNUMBER(MATCH(LEFT(BT431,255),{"0000a","000a","00a","0000aa","000aa","00aa","0aa","0000aaa","000aaa","00a00","0a00","0000-0000","00:00","a00","a0","00.00.0000","00/00/0000","00-00-0000","0000-00-00","0000/00/00","0000.00.00","00.00.00","00/00/00","00-00-00","0.00.0000","0/00/0000","0-00-0000"},0)))),NOT(OR(AND(BW431&lt;&gt;"",SUBSTITUTE(BW431,"0","")=""),AND(LEN(BW431)&gt;=4,BW431=REPT(LEFT(BW431),LEN(BW431))),ISNUMBER(MATCH(BW431,{"123","1234","12345","123456","1234567","12345678","0123","01234","012345","98765","987654","54321"},0)),ISNUMBER(MATCH(BX431,{"x","xx","xxx","xxxx","xxxxx","abc","abcd","nil","na","nan","test","tbc","tba","tbd","dummy","sample","example","eg","zz","zzz","none","null","xyz","qwe","asd","id","ref"},0)),AND(LEN(BW431)=8,BX431="",OR(LEFT(BW431,3)="202",ISNUMBER(MATCH(RIGHT(BW431,4),{"2025","2026","2027"},0)))))),OR(AND((LEN(BT431)-LEN(SUBSTITUTE(BT431,"a","")))&gt;=1,(LEN(BN431)-LEN(SUBSTITUTE(BN431,"0","")))&gt;=2,SUMPRODUCT(--ISNUMBER(SEARCH({"a0","a-0","a_0","a/0","a.0","a#0","0a","0-a","0_a","0/a"},BN431)))&gt;0),AND((LEN(BN431)-LEN(SUBSTITUTE(BN431,"a","")))=0,(LEN(BN431)-LEN(SUBSTITUTE(BN431,"0","")))&gt;=5)))),1,0),0)</f>
        <v>0</v>
      </c>
      <c r="CA4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431,"revision",""),"version",""),"jan",""),"feb",""),"mar",""),"apr",""),"may",""),"jun",""),"jul",""),"aug",""),"sep",""),"oct",""),"nov",""),"dec",""),"utc",""),"gmt",""),"myt",""),"bst",""),"rev",""),"ver",""),"b","a"),"c","a"),"d","a"),"e","a"),"f","a"),"g","a"),"h","a"),"i","a"),"j","a"),"k","a"),"l","a"),"m","a"),"n","a"),"o","a"),"p","a"),"q","a"),"r","a"),"s","a"),"t","a"),"u","a"),"v","a"),"w","a"),"x","a"),"y","a"),"z","a")</f>
        <v/>
      </c>
      <c r="CB4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431&amp;""),"a",""),"b",""),"c",""),"d",""),"e",""),"f",""),"g",""),"h",""),"i",""),"j",""),"k",""),"l",""),"m",""),"n",""),"o",""),"p",""),"q",""),"r",""),"s",""),"t",""),"u",""),"v",""),"w",""),"x",""),"y",""),"z",""),"-",""),"_",""),"/",""),".",""),"#",""),"\\",""),":","")," ",""),"(",""),")","")</f>
        <v/>
      </c>
      <c r="CC431" s="0" t="str">
        <f aca="false">" "&amp;TRIM(SUBSTITUTE(SUBSTITUTE(SUBSTITUTE(SUBSTITUTE(SUBSTITUTE(SUBSTITUTE(SUBSTITUTE(SUBSTITUTE(SUBSTITUTE(SUBSTITUTE(SUBSTITUTE(SUBSTITUTE(SUBSTITUTE(SUBSTITUTE(SUBSTITUTE(SUBSTITUTE(SUBSTITUTE(SUBSTITUTE(SUBSTITUTE(SUBSTITUTE(SUBSTITUTE(SUBSTITUTE(SUBSTITUTE(SUBSTITUTE(LOWER(T431&amp;""),CHAR(10)," "),CHAR(13)," "),CHAR(9)," "),CHAR(160)," "),"."," "),","," "),"-"," "),"/"," "),"("," "),")"," "),":"," "),";"," "),"_"," "),"–"," "),"?"," "),"!"," "),"*"," "),"["," "),"]"," "),"'"," "),"#"," "),"+"," "),"&amp;"," "),"\"," "))&amp;" "</f>
        <v>  </v>
      </c>
      <c r="CD431" s="0" t="str">
        <f aca="false">" "&amp;TRIM(SUBSTITUTE(SUBSTITUTE(SUBSTITUTE(SUBSTITUTE(SUBSTITUTE(SUBSTITUTE(SUBSTITUTE(SUBSTITUTE(SUBSTITUTE(SUBSTITUTE(SUBSTITUTE(SUBSTITUTE(SUBSTITUTE(SUBSTITUTE(SUBSTITUTE(SUBSTITUTE(SUBSTITUTE(SUBSTITUTE(SUBSTITUTE(SUBSTITUTE(SUBSTITUTE(SUBSTITUTE(SUBSTITUTE(SUBSTITUTE(LOWER(AE431&amp;""),CHAR(10)," "),CHAR(13)," "),CHAR(9)," "),CHAR(160)," "),"."," "),","," "),"-"," "),"/"," "),"("," "),")"," "),":"," "),";"," "),"_"," "),"–"," "),"?"," "),"!"," "),"*"," "),"["," "),"]"," "),"'"," "),"#"," "),"+"," "),"&amp;"," "),"\"," "))&amp;" "</f>
        <v>  </v>
      </c>
      <c r="CE431" s="68" t="n">
        <f aca="false">IFERROR(IF(AND(LEN(AU431)&gt;0,LEN(AU431)=LEN(AX431),OR(TRIM(MID(SUBSTITUTE(TRIM(CC431)," ",REPT(" ",60)),1,60))="",ISNUMBER(SEARCH(" "&amp;TRIM(MID(SUBSTITUTE(TRIM(CC431)," ",REPT(" ",60)),1,60))&amp;" ",CD431))),OR(TRIM(MID(SUBSTITUTE(TRIM(CC431)," ",REPT(" ",60)),61,60))="",ISNUMBER(SEARCH(" "&amp;TRIM(MID(SUBSTITUTE(TRIM(CC431)," ",REPT(" ",60)),61,60))&amp;" ",CD431))),OR(TRIM(MID(SUBSTITUTE(TRIM(CC431)," ",REPT(" ",60)),121,60))="",ISNUMBER(SEARCH(" "&amp;TRIM(MID(SUBSTITUTE(TRIM(CC431)," ",REPT(" ",60)),121,60))&amp;" ",CD431)))),1,0),0)</f>
        <v>0</v>
      </c>
      <c r="CG431" s="68" t="n">
        <f aca="false">IFERROR(LEN(SUBSTITUTE(BF431," ",""))-SUMPRODUCT((LEN(BF431)-LEN(SUBSTITUTE(BF431," "&amp;L_NAFiller&amp;" "," ")))/(LEN(L_NAFiller)+1)*LEN(L_NAFiller)),0)</f>
        <v>0</v>
      </c>
    </row>
    <row r="432" customFormat="false" ht="39.75" hidden="false" customHeight="true" outlineLevel="0" collapsed="false">
      <c r="A432" s="57" t="s">
        <v>1065</v>
      </c>
      <c r="B432" s="57" t="s">
        <v>272</v>
      </c>
      <c r="C432" s="57" t="str">
        <f aca="false">Flights!$F$17</f>
        <v>MH0138</v>
      </c>
      <c r="D432" s="58" t="n">
        <f aca="false">Flights!$D$17</f>
        <v>46309</v>
      </c>
      <c r="E432" s="57" t="str">
        <f aca="false">Flights!$G$17&amp;"-"&amp;Flights!$H$17</f>
        <v>ADL-KUL</v>
      </c>
      <c r="F432" s="57" t="str">
        <f aca="false">Flights!$K$17</f>
        <v>EY</v>
      </c>
      <c r="G432" s="57" t="s">
        <v>81</v>
      </c>
      <c r="H432" s="57" t="s">
        <v>378</v>
      </c>
      <c r="I432" s="57" t="s">
        <v>398</v>
      </c>
      <c r="J432" s="57" t="s">
        <v>402</v>
      </c>
      <c r="K432" s="67" t="s">
        <v>403</v>
      </c>
      <c r="L432" s="67" t="s">
        <v>382</v>
      </c>
      <c r="M432" s="67"/>
      <c r="N432" s="67" t="s">
        <v>383</v>
      </c>
      <c r="O432" s="67"/>
      <c r="P432" s="57" t="s">
        <v>263</v>
      </c>
      <c r="Q432" s="59" t="n">
        <f aca="false">ROUND((Flights!$AC$17)*1440,0)/1440</f>
        <v>46302.0104166667</v>
      </c>
      <c r="R432" s="59" t="n">
        <f aca="false">Q432+(IF(AND(INDEX(TZ_DSTS,MATCH(P432,TZ_STN,0))&lt;&gt;"",Q432&gt;=INDEX(TZ_DSTS,MATCH(P432,TZ_STN,0)),Q432&lt;INDEX(TZ_DSTE,MATCH(P432,TZ_STN,0))),INDEX(TZ_DST,MATCH(P432,TZ_STN,0)),INDEX(TZ_STD,MATCH(P432,TZ_STN,0))))/24</f>
        <v>46302.4479166667</v>
      </c>
      <c r="S432" s="60"/>
      <c r="T432" s="60"/>
      <c r="U432" s="60"/>
      <c r="V432" s="60"/>
      <c r="W432" s="61"/>
      <c r="X432" s="60"/>
      <c r="Y432" s="60"/>
      <c r="Z432" s="60"/>
      <c r="AA432" s="60"/>
      <c r="AB432" s="60"/>
      <c r="AC432" s="60"/>
      <c r="AD432" s="66"/>
      <c r="AE432" s="60"/>
      <c r="AF432" s="61" t="str">
        <f aca="false">IF(AND(ISNUMBER(X432),ISNUMBER(Y432)),Y432-X432,"")</f>
        <v/>
      </c>
      <c r="AG432" s="62" t="str">
        <f aca="false">IF(ISNUMBER(AD432),AD432-(IF(AND(INDEX(TZ_DSTS,MATCH(P432,TZ_STN,0))&lt;&gt;"",(AD432-INDEX(TZ_STD,MATCH(P432,TZ_STN,0))/24)&gt;=INDEX(TZ_DSTS,MATCH(P432,TZ_STN,0)),(AD432-INDEX(TZ_STD,MATCH(P432,TZ_STN,0))/24)&lt;INDEX(TZ_DSTE,MATCH(P432,TZ_STN,0))),INDEX(TZ_DST,MATCH(P432,TZ_STN,0)),INDEX(TZ_STD,MATCH(P432,TZ_STN,0))))/24,"")</f>
        <v/>
      </c>
      <c r="AH432" s="65" t="str">
        <f aca="false">IFERROR(IF(N432="N/A – rule",IF(OR(TRIM(U432)="",TRIM(U432)="N/A",TRIM(U432)="Not started"),"N/A – RULE","INVALID – this check does not apply to this aircraft: clear the status (or correct the fleet on Flights)"),IF(TRIM(U432)="N/A",IF(AT432=0,"INVALID – N/A not permitted for this check",IF(AND(TRIM(AB432)&lt;&gt;"",TRIM(AB432)&lt;&gt;"Closed"),"INVALID – corrective action still open",IF(AND(NOT(OR(LEN(AZ432)&lt;15,ISNUMBER(MATCH(AZ432,L_Placeholder,0)))),BK432=0,CG432&gt;=8,NOT(OR(LEN(AU432)&lt;2,ISNUMBER(MATCH(AU432,L_Placeholder,0)))),BR432&gt;=3,NOT(OR(LEN(AX432)&lt;2,ISNUMBER(MATCH(AX432,L_Placeholder,0)))),BS432&gt;=3,TRIM(AE432)&lt;&gt;TRIM(T432),AX432&lt;&gt;AU432,CE432=0),"N/A – JUSTIFIED","INVALID – N/A needs a real, settled reason (not 'not applicable' / 'as above' / TBC), a named PIC and a different named verifier"))),IF(OR(TRIM(U432)="Pass",TRIM(U432)="Pass after CA"),IF(NOT(ISNUMBER(AD432)),"INVALID – completion time missing",IF(OR(OR(LEN(AU432)&lt;2,ISNUMBER(MATCH(AU432,L_Placeholder,0))),BR432&lt;3),"INVALID – PIC missing or not a named person (a role such as QA / CSM is not a name)",IF(OR(LEN(AV432)&lt;2,ISNUMBER(MATCH(AV432,L_Placeholder,0))),"INVALID – result / assessment missing",IF(OR(OR(LEN(AW432)&lt;3,ISNUMBER(MATCH(AW432,L_Placeholder,0))),SUMPRODUCT(--ISNUMBER(SEARCH(" "&amp;L_EvidencePhrase&amp;" ",BD432)))&gt;0,BI432=1),"INVALID – evidence missing, placeholder or not yet on file",IF(ISNA(MATCH(TRIM(S432),L_EvidenceType,0)),"INVALID – choose the evidence type from the list (column S)",IF(BL432=0,"INVALID – evidence ID must be the record's own ID only (e.g. SF-2210, IMG_2231, 1045521); a link / file name needs type 'Link / file path'",IF(OR(OR(LEN(AX432)&lt;2,ISNUMBER(MATCH(AX432,L_Placeholder,0))),BS432&lt;3),"INVALID – verifier missing or not a named person (a role such as QA / CSM is not a name)",IF(OR(AX432=AU432,CE432=1,AND(LEN(AU432)&gt;=4,ISNUMBER(SEARCH(AU432,AX432))),AND(LEN(AX432)&gt;=4,ISNUMBER(SEARCH(AX432,AU432)))),"INVALID – verifier must be a different, named person (not the PIC or a role)",IF(BH432=1,"INVALID – result not yet available (awaiting / TBC)",IF(BG432=1,"INVALID – result describes a problem: record Fail, then Pass after CA (or reword if it is not a problem)",IF(BV432=1,"INVALID – wording says not on board: an on-board confirmation needs the item loaded",IF(AND(AQ432=1,OR(OR(LEN(AY432)&lt;3,ISNUMBER(MATCH(AY432,L_Placeholder,0))),BJ432=1,BQ432=0)),"INVALID – batch ID missing, placeholder or not an ID (e.g. PASB-261008-BC-017)",IF(AND(AR432=1,OR(NOT(ISNUMBER(X432)),NOT(ISNUMBER(Y432)))),"INVALID – expected/actual qty missing",IF(AND(AR432=1,OR(X432&lt;=0,Y432&lt;0)),"INVALID – expected qty must be above 0 and actual not negative",IF(BB432&lt;&gt;"",BB432,IF(AND(AS432=1,Documents!$J$17&lt;&gt;"ON FILE"),"INVALID – GLD not on file (Documents sheet)",IF(AND(AS432=2,Documents!$O$17&lt;&gt;"ON FILE"),"INVALID – menu checklist not on file (Documents sheet)",IF(AND(AS432=3,NOT(ISNUMBER(Flights!$AX$17))),"INVALID – enter carrying flight KUL departure (Flights AX)",IF(AND(AS432=3,OR(Flights!$AZ$17&gt;Flights!$AA$17,Flights!$AX$17&lt;Flights!$AA$17-3)),"INVALID – carrying flight (Flights AX) cannot arrive before this leg's STD, or is over 3 days early",IF(AG432&gt;AsOfUTC,"INVALID – completion time is in the future",IF(AND(ISNUMBER(BY432),AG432&lt;BY432),IF(H432="Physical uplift","INVALID – before uplift window (cannot confirm loading)","INVALID – before valid window"),IF(AG432&gt;Flights!$AA$17,"INVALID – completed after departure (cannot establish readiness)",IF(AND(H432="Preparation",AG432&gt;=IF(ISNUMBER(Flights!$BA$17),MIN(Flights!$BA$17,Flights!$AA$17),Flights!$AA$17)),"INVALID – completed after loading / departure (cannot establish readiness)",IF(AND(H432="Physical uplift",AG432&gt;Q432),"INVALID – recorded after the loading flight departed",IF(AG432&gt;Q432,"COMPLETE – LATE","COMPLETE"))))))))))))))))))))))))),IF(TRIM(U432)="Fail","FAIL – DISCREPANCY",IF(AND(TRIM(U432)&lt;&gt;"",TRIM(U432)&lt;&gt;"Not started",TRIM(U432)&lt;&gt;"In progress"),"INVALID – unrecognised status (use the list)",IF(AsOfUTC&gt;Q432,"OVERDUE",IF(N432="Clarification required","OPEN – CLARIFICATION","OPEN"))))))),"INVALID – error value in an input cell")</f>
        <v>OPEN</v>
      </c>
      <c r="AI432" s="61" t="n">
        <f aca="false">IF(OR(AH432="N/A – RULE",AH432="N/A – JUSTIFIED"),0,1)</f>
        <v>1</v>
      </c>
      <c r="AJ432" s="61" t="n">
        <f aca="false">IF(LEFT(AH432,8)="COMPLETE",1,0)</f>
        <v>0</v>
      </c>
      <c r="AK432" s="61" t="n">
        <f aca="false">IF(AND(AI432=1,AJ432=0,AsOfUTC&gt;Q432),1,0)</f>
        <v>0</v>
      </c>
      <c r="AL432" s="61" t="n">
        <f aca="false">IFERROR(IF(AND(AI432=1,OR(TRIM(U432)="Fail",AND(TRIM(AB432)&lt;&gt;"",TRIM(AB432)&lt;&gt;"Closed"),AND(ISNUMBER(AF432),AF432&lt;&gt;0,TRIM(U432)&lt;&gt;"Pass after CA"))),1,0),1)</f>
        <v>0</v>
      </c>
      <c r="AM432" s="61" t="n">
        <f aca="false">IF(LEFT(AH432,7)="INVALID",1,0)</f>
        <v>0</v>
      </c>
      <c r="AN432" s="61" t="n">
        <f aca="false">IF(AND(N432="Clarification required",AI432=1,AJ432=0),1,0)</f>
        <v>0</v>
      </c>
      <c r="AO432" s="61" t="str">
        <f aca="false">IF(AK432=1,SUM(AK$5:AK432),"")</f>
        <v/>
      </c>
      <c r="AP432" s="61" t="str">
        <f aca="false">IF(AL432=1,SUM(AL$5:AL432),"")</f>
        <v/>
      </c>
      <c r="AQ432" s="61" t="n">
        <v>0</v>
      </c>
      <c r="AR432" s="61" t="n">
        <v>0</v>
      </c>
      <c r="AS432" s="61" t="n">
        <v>0</v>
      </c>
      <c r="AT432" s="61" t="n">
        <v>0</v>
      </c>
      <c r="AU432" s="61" t="str">
        <f aca="false">SUBSTITUTE(SUBSTITUTE(SUBSTITUTE(SUBSTITUTE(SUBSTITUTE(SUBSTITUTE(SUBSTITUTE(SUBSTITUTE(SUBSTITUTE(SUBSTITUTE(SUBSTITUTE(SUBSTITUTE(SUBSTITUTE(SUBSTITUTE(SUBSTITUTE(SUBSTITUTE(LOWER(T432&amp;""),CHAR(10),""),CHAR(13),""),CHAR(9),""),CHAR(160),"")," ",""),".",""),"-",""),"/",""),"?",""),"_",""),",",""),"[",""),"]",""),"(",""),")",""),"*","")</f>
        <v/>
      </c>
      <c r="AV432" s="61" t="str">
        <f aca="false">SUBSTITUTE(SUBSTITUTE(SUBSTITUTE(SUBSTITUTE(SUBSTITUTE(SUBSTITUTE(SUBSTITUTE(SUBSTITUTE(SUBSTITUTE(SUBSTITUTE(SUBSTITUTE(SUBSTITUTE(SUBSTITUTE(SUBSTITUTE(SUBSTITUTE(SUBSTITUTE(LOWER(V432&amp;""),CHAR(10),""),CHAR(13),""),CHAR(9),""),CHAR(160),"")," ",""),".",""),"-",""),"/",""),"?",""),"_",""),",",""),"[",""),"]",""),"(",""),")",""),"*","")</f>
        <v/>
      </c>
      <c r="AW432" s="61" t="str">
        <f aca="false">SUBSTITUTE(SUBSTITUTE(SUBSTITUTE(SUBSTITUTE(SUBSTITUTE(SUBSTITUTE(SUBSTITUTE(SUBSTITUTE(SUBSTITUTE(SUBSTITUTE(SUBSTITUTE(SUBSTITUTE(SUBSTITUTE(SUBSTITUTE(SUBSTITUTE(SUBSTITUTE(LOWER(Z432&amp;""),CHAR(10),""),CHAR(13),""),CHAR(9),""),CHAR(160),"")," ",""),".",""),"-",""),"/",""),"?",""),"_",""),",",""),"[",""),"]",""),"(",""),")",""),"*","")</f>
        <v/>
      </c>
      <c r="AX432" s="61" t="str">
        <f aca="false">SUBSTITUTE(SUBSTITUTE(SUBSTITUTE(SUBSTITUTE(SUBSTITUTE(SUBSTITUTE(SUBSTITUTE(SUBSTITUTE(SUBSTITUTE(SUBSTITUTE(SUBSTITUTE(SUBSTITUTE(SUBSTITUTE(SUBSTITUTE(SUBSTITUTE(SUBSTITUTE(LOWER(AE432&amp;""),CHAR(10),""),CHAR(13),""),CHAR(9),""),CHAR(160),"")," ",""),".",""),"-",""),"/",""),"?",""),"_",""),",",""),"[",""),"]",""),"(",""),")",""),"*","")</f>
        <v/>
      </c>
      <c r="AY432" s="61" t="str">
        <f aca="false">SUBSTITUTE(SUBSTITUTE(SUBSTITUTE(SUBSTITUTE(SUBSTITUTE(SUBSTITUTE(SUBSTITUTE(SUBSTITUTE(SUBSTITUTE(SUBSTITUTE(SUBSTITUTE(SUBSTITUTE(SUBSTITUTE(SUBSTITUTE(SUBSTITUTE(SUBSTITUTE(LOWER(W432&amp;""),CHAR(10),""),CHAR(13),""),CHAR(9),""),CHAR(160),"")," ",""),".",""),"-",""),"/",""),"?",""),"_",""),",",""),"[",""),"]",""),"(",""),")",""),"*","")</f>
        <v/>
      </c>
      <c r="AZ432" s="61" t="str">
        <f aca="false">SUBSTITUTE(SUBSTITUTE(SUBSTITUTE(SUBSTITUTE(SUBSTITUTE(SUBSTITUTE(SUBSTITUTE(SUBSTITUTE(SUBSTITUTE(SUBSTITUTE(SUBSTITUTE(SUBSTITUTE(SUBSTITUTE(SUBSTITUTE(SUBSTITUTE(SUBSTITUTE(LOWER(AC432&amp;""),CHAR(10),""),CHAR(13),""),CHAR(9),""),CHAR(160),"")," ",""),".",""),"-",""),"/",""),"?",""),"_",""),",",""),"[",""),"]",""),"(",""),")",""),"*","")</f>
        <v/>
      </c>
      <c r="BA432" s="61" t="str">
        <f aca="false">SUBSTITUTE(SUBSTITUTE(SUBSTITUTE(SUBSTITUTE(SUBSTITUTE(SUBSTITUTE(SUBSTITUTE(SUBSTITUTE(SUBSTITUTE(SUBSTITUTE(SUBSTITUTE(SUBSTITUTE(SUBSTITUTE(SUBSTITUTE(SUBSTITUTE(SUBSTITUTE(LOWER(AA432&amp;""),CHAR(10),""),CHAR(13),""),CHAR(9),""),CHAR(160),"")," ",""),".",""),"-",""),"/",""),"?",""),"_",""),",",""),"[",""),"]",""),"(",""),")",""),"*","")</f>
        <v/>
      </c>
      <c r="BB432" s="61" t="str">
        <f aca="false">IF(AND(TRIM(U432)="Pass",ISNUMBER(AF432)),IF(AF432&lt;&gt;0,"INVALID – qty variance: use Fail or Pass after CA",""),"")&amp;IF(AND(TRIM(U432)="Pass after CA",ISNUMBER(AF432)),IF(AF432&lt;&gt;0,"INVALID – after the corrective action the actual qty must equal expected (update Actual)",""),"")&amp;IF(AND(TRIM(U432)="Pass",TRIM(AB432)&lt;&gt;"",TRIM(AB432)&lt;&gt;"Closed"),"INVALID – corrective action not closed: use Fail, then Pass after CA","")&amp;IF(AND(LEN(BA432)&gt;=2,ISNA(MATCH(LEFT(BA432,255),L_Placeholder,0)),TRIM(AB432)=""),"INVALID – CA status missing for the recorded corrective action","")&amp;IF(AND(TRIM(U432)="Pass after CA",OR(OR(LEN(BA432)&lt;5,ISNUMBER(MATCH(BA432,L_Placeholder,0))),TRIM(AB432)&lt;&gt;"Closed")),"INVALID – corrective action not recorded/closed","")</f>
        <v/>
      </c>
      <c r="BC432" s="61" t="str">
        <f aca="false">" "&amp;TRIM(SUBSTITUTE(SUBSTITUTE(SUBSTITUTE(SUBSTITUTE(SUBSTITUTE(SUBSTITUTE(SUBSTITUTE(SUBSTITUTE(SUBSTITUTE(SUBSTITUTE(SUBSTITUTE(SUBSTITUTE(SUBSTITUTE(SUBSTITUTE(SUBSTITUTE(SUBSTITUTE(SUBSTITUTE(SUBSTITUTE(SUBSTITUTE(SUBSTITUTE(SUBSTITUTE(SUBSTITUTE(SUBSTITUTE(SUBSTITUTE(LOWER(V432&amp;""),CHAR(10)," "),CHAR(13)," "),CHAR(9)," "),CHAR(160)," "),"."," "),","," "),"-"," "),"/"," "),"("," "),")"," "),":"," "),";"," "),"_"," "),"–"," "),"?"," "),"!"," "),"*"," "),"["," "),"]"," "),"'"," "),"#"," "),"+"," "),"&amp;"," "),"\"," "))&amp;" "</f>
        <v>  </v>
      </c>
      <c r="BD432" s="61" t="str">
        <f aca="false">" "&amp;TRIM(SUBSTITUTE(SUBSTITUTE(SUBSTITUTE(SUBSTITUTE(SUBSTITUTE(SUBSTITUTE(SUBSTITUTE(SUBSTITUTE(SUBSTITUTE(SUBSTITUTE(SUBSTITUTE(SUBSTITUTE(SUBSTITUTE(SUBSTITUTE(SUBSTITUTE(SUBSTITUTE(SUBSTITUTE(SUBSTITUTE(SUBSTITUTE(SUBSTITUTE(SUBSTITUTE(SUBSTITUTE(SUBSTITUTE(SUBSTITUTE(LOWER(Z432&amp;""),CHAR(10)," "),CHAR(13)," "),CHAR(9)," "),CHAR(160)," "),"."," "),","," "),"-"," "),"/"," "),"("," "),")"," "),":"," "),";"," "),"_"," "),"–"," "),"?"," "),"!"," "),"*"," "),"["," "),"]"," "),"'"," "),"#"," "),"+"," "),"&amp;"," "),"\"," "))&amp;" "</f>
        <v>  </v>
      </c>
      <c r="BE432" s="61" t="str">
        <f aca="false">" "&amp;TRIM(SUBSTITUTE(SUBSTITUTE(SUBSTITUTE(SUBSTITUTE(SUBSTITUTE(SUBSTITUTE(SUBSTITUTE(SUBSTITUTE(SUBSTITUTE(SUBSTITUTE(SUBSTITUTE(SUBSTITUTE(SUBSTITUTE(SUBSTITUTE(SUBSTITUTE(SUBSTITUTE(SUBSTITUTE(SUBSTITUTE(SUBSTITUTE(SUBSTITUTE(SUBSTITUTE(SUBSTITUTE(SUBSTITUTE(SUBSTITUTE(LOWER(W432&amp;""),CHAR(10)," "),CHAR(13)," "),CHAR(9)," "),CHAR(160)," "),"."," "),","," "),"-"," "),"/"," "),"("," "),")"," "),":"," "),";"," "),"_"," "),"–"," "),"?"," "),"!"," "),"*"," "),"["," "),"]"," "),"'"," "),"#"," "),"+"," "),"&amp;"," "),"\"," "))&amp;" "</f>
        <v>  </v>
      </c>
      <c r="BF432" s="61" t="str">
        <f aca="false">" "&amp;TRIM(SUBSTITUTE(SUBSTITUTE(SUBSTITUTE(SUBSTITUTE(SUBSTITUTE(SUBSTITUTE(SUBSTITUTE(SUBSTITUTE(SUBSTITUTE(SUBSTITUTE(SUBSTITUTE(SUBSTITUTE(SUBSTITUTE(SUBSTITUTE(SUBSTITUTE(SUBSTITUTE(SUBSTITUTE(SUBSTITUTE(SUBSTITUTE(SUBSTITUTE(SUBSTITUTE(SUBSTITUTE(SUBSTITUTE(SUBSTITUTE(LOWER(AC432&amp;""),CHAR(10)," "),CHAR(13)," "),CHAR(9)," "),CHAR(160)," "),"."," "),","," "),"-"," "),"/"," "),"("," "),")"," "),":"," "),";"," "),"_"," "),"–"," "),"?"," "),"!"," "),"*"," "),"["," "),"]"," "),"'"," "),"#"," "),"+"," "),"&amp;"," "),"\"," "))&amp;" "</f>
        <v>  </v>
      </c>
      <c r="BG432" s="61" t="n">
        <f aca="false">IFERROR(IF(AND(TRIM(U432)="Pass",SUMPRODUCT((LEN(BC432)-LEN(SUBSTITUTE(BC432," "&amp;L_ResultBad&amp;" "," ")))/(LEN(L_ResultBad)+1))&gt;SUMPRODUCT((LEN(BC432)-LEN(SUBSTITUTE(BC432," "&amp;L_NegPhrase&amp;" "," ")))/(LEN(L_NegPhrase)+1))),1,0),0)</f>
        <v>0</v>
      </c>
      <c r="BH432" s="61" t="n">
        <f aca="false">IFERROR(IF(SUMPRODUCT((LEN(BC432)-LEN(SUBSTITUTE(BC432," "&amp;L_Pending&amp;" "," ")))/(LEN(L_Pending)+1))&gt;SUMPRODUCT((LEN(BC432)-LEN(SUBSTITUTE(BC432," "&amp;L_PendNeg&amp;" "," ")))/(LEN(L_PendNeg)+1))+SUMPRODUCT((LEN(BC432)-LEN(SUBSTITUTE(BC432," "&amp;L_PendPrep&amp;" "," ")))/(LEN(L_PendPrep)+1)),1,0),1)</f>
        <v>0</v>
      </c>
      <c r="BI432" s="61" t="n">
        <f aca="false">IFERROR(IF(SUMPRODUCT((LEN(BD432)-LEN(SUBSTITUTE(BD432," "&amp;L_PendStrict&amp;" "," ")))/(LEN(L_PendStrict)+1))&gt;SUMPRODUCT((LEN(BD432)-LEN(SUBSTITUTE(BD432," "&amp;L_PendNeg&amp;" "," ")))/(LEN(L_PendNeg)+1)),1,0),1)</f>
        <v>0</v>
      </c>
      <c r="BJ432" s="61" t="n">
        <f aca="false">IFERROR(IF(SUMPRODUCT((LEN(BE432)-LEN(SUBSTITUTE(BE432," "&amp;L_Pending&amp;" "," ")))/(LEN(L_Pending)+1))&gt;SUMPRODUCT((LEN(BE432)-LEN(SUBSTITUTE(BE432," "&amp;L_PendNeg&amp;" "," ")))/(LEN(L_PendNeg)+1))+SUMPRODUCT((LEN(BE432)-LEN(SUBSTITUTE(BE432," "&amp;L_PendPrep&amp;" "," ")))/(LEN(L_PendPrep)+1)),1,0),1)</f>
        <v>0</v>
      </c>
      <c r="BK432" s="61" t="n">
        <f aca="false">IFERROR(IF(SUMPRODUCT((LEN(BF432)-LEN(SUBSTITUTE(BF432," "&amp;L_PendStrict&amp;" "," ")))/(LEN(L_PendStrict)+1))&gt;SUMPRODUCT((LEN(BF432)-LEN(SUBSTITUTE(BF432," "&amp;L_PendNeg&amp;" "," ")))/(LEN(L_PendNeg)+1)),1,0),1)</f>
        <v>0</v>
      </c>
      <c r="BL432" s="61" t="n">
        <f aca="false">IF(ISNA(MATCH(TRIM(S432),L_EvidenceType,0)),0,BZ432)</f>
        <v>0</v>
      </c>
      <c r="BM432" s="61" t="str">
        <f aca="false">SUBSTITUTE(SUBSTITUTE(SUBSTITUTE(SUBSTITUTE(SUBSTITUTE(SUBSTITUTE(SUBSTITUTE(SUBSTITUTE(SUBSTITUTE(LOWER(Z432&amp;""),"1","0"),"2","0"),"3","0"),"4","0"),"5","0"),"6","0"),"7","0"),"8","0"),"9","0")</f>
        <v/>
      </c>
      <c r="BN432" s="61" t="str">
        <f aca="false">SUBSTITUTE(SUBSTITUTE(SUBSTITUTE(SUBSTITUTE(SUBSTITUTE(SUBSTITUTE(SUBSTITUTE(SUBSTITUTE(SUBSTITUTE(SUBSTITUTE(SUBSTITUTE(SUBSTITUTE(SUBSTITUTE(SUBSTITUTE(SUBSTITUTE(SUBSTITUTE(SUBSTITUTE(SUBSTITUTE(SUBSTITUTE(SUBSTITUTE(SUBSTITUTE(SUBSTITUTE(SUBSTITUTE(SUBSTITUTE(SUBSTITUTE(BM432,"b","a"),"c","a"),"d","a"),"e","a"),"f","a"),"g","a"),"h","a"),"i","a"),"j","a"),"k","a"),"l","a"),"m","a"),"n","a"),"o","a"),"p","a"),"q","a"),"r","a"),"s","a"),"t","a"),"u","a"),"v","a"),"w","a"),"x","a"),"y","a"),"z","a")</f>
        <v/>
      </c>
      <c r="BO432" s="61" t="str">
        <f aca="false">SUBSTITUTE(SUBSTITUTE(SUBSTITUTE(SUBSTITUTE(SUBSTITUTE(SUBSTITUTE(SUBSTITUTE(SUBSTITUTE(SUBSTITUTE(LOWER(W432&amp;""),"1","0"),"2","0"),"3","0"),"4","0"),"5","0"),"6","0"),"7","0"),"8","0"),"9","0")</f>
        <v/>
      </c>
      <c r="BP432" s="61" t="str">
        <f aca="false">SUBSTITUTE(SUBSTITUTE(SUBSTITUTE(SUBSTITUTE(SUBSTITUTE(SUBSTITUTE(SUBSTITUTE(SUBSTITUTE(SUBSTITUTE(SUBSTITUTE(SUBSTITUTE(SUBSTITUTE(SUBSTITUTE(SUBSTITUTE(SUBSTITUTE(SUBSTITUTE(SUBSTITUTE(SUBSTITUTE(SUBSTITUTE(SUBSTITUTE(SUBSTITUTE(SUBSTITUTE(SUBSTITUTE(SUBSTITUTE(SUBSTITUTE(BO432,"b","a"),"c","a"),"d","a"),"e","a"),"f","a"),"g","a"),"h","a"),"i","a"),"j","a"),"k","a"),"l","a"),"m","a"),"n","a"),"o","a"),"p","a"),"q","a"),"r","a"),"s","a"),"t","a"),"u","a"),"v","a"),"w","a"),"x","a"),"y","a"),"z","a")</f>
        <v/>
      </c>
      <c r="BQ432" s="61" t="n">
        <f aca="false">IFERROR(IF(AND(ISERROR(SEARCH(" mh"," "&amp;LOWER(W432))),ISNA(MATCH(LEFT(TRIM(BP432),255),{"0000a","000a","00a","0000aa","000aa","00aa","0aa","0000aaa","000aaa","00a00","0a00","0000-0000","00:00","a00","a0","00.00.0000","00/00/0000","00-00-0000","0000-00-00","0000/00/00","0000.00.00","00.00.00","00/00/00","00-00-00","0.00.0000","0/00/0000","0-00-0000"},0)),ISNA(MATCH(LEFT(TRIM(CA432),255),{"0000a","000a","00a","0000aa","000aa","00aa","0aa","0000aaa","000aaa","00a00","0a00","0000-0000","00:00","a00","a0","00.00.0000","00/00/0000","00-00-0000","0000-00-00","0000/00/00","0000.00.00","00.00.00","00/00/00","00-00-00","0.00.0000","0/00/0000","0-00-0000"},0)),LEN(CB432)&gt;=3,NOT(OR(SUBSTITUTE(CB432,"0","")="",AND(LEN(CB432)&gt;=4,CB432=REPT(LEFT(CB432),LEN(CB432))),ISNUMBER(MATCH(CB432,{"123","1234","12345","123456","1234567","12345678","0123","01234","012345","98765","987654","54321"},0)),AND(LEN(CB432)=8,LEFT(CB432,3)="202"))),OR(AND((LEN(CA432)-LEN(SUBSTITUTE(CA432,"a","")))&gt;=1,SUMPRODUCT(--ISNUMBER(SEARCH({"a0","a-0","a_0","a/0","a.0","a#0","0a","0-a","0_a","0/a"},BP432)))&gt;0),ISNUMBER(SEARCH("000000",BP432)))),1,0),0)</f>
        <v>0</v>
      </c>
      <c r="BR432" s="61" t="n">
        <f aca="false">IFERROR(LEN(SUBSTITUTE(CC432," ",""))-SUMPRODUCT((LEN(CC432)-LEN(SUBSTITUTE(CC432," "&amp;L_Role&amp;" "," ")))/(LEN(L_Role)+1)*LEN(L_Role)),0)</f>
        <v>0</v>
      </c>
      <c r="BS432" s="61" t="n">
        <f aca="false">IFERROR(LEN(SUBSTITUTE(CD432," ",""))-SUMPRODUCT((LEN(CD432)-LEN(SUBSTITUTE(CD432," "&amp;L_Role&amp;" "," ")))/(LEN(L_Role)+1)*LEN(L_Role)),0)</f>
        <v>0</v>
      </c>
      <c r="BT4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432,"revision",""),"version",""),"jan",""),"feb",""),"mar",""),"apr",""),"may",""),"jun",""),"jul",""),"aug",""),"sep",""),"oct",""),"nov",""),"dec",""),"utc",""),"gmt",""),"myt",""),"bst",""),"rev",""),"ver",""),"b","a"),"c","a"),"d","a"),"e","a"),"f","a"),"g","a"),"h","a"),"i","a"),"j","a"),"k","a"),"l","a"),"m","a"),"n","a"),"o","a"),"p","a"),"q","a"),"r","a"),"s","a"),"t","a"),"u","a"),"v","a"),"w","a"),"x","a"),"y","a"),"z","a")</f>
        <v/>
      </c>
      <c r="BU432" s="61" t="str">
        <f aca="false">SUBSTITUTE(SUBSTITUTE(SUBSTITUTE(SUBSTITUTE(SUBSTITUTE(SUBSTITUTE(SUBSTITUTE(SUBSTITUTE(SUBSTITUTE(SUBSTITUTE(LEFT(BM432,FIND("0",BM432&amp;"0")-1),"-",""),"_",""),"/",""),".",""),"#",""),"\\",""),":","")," ",""),"(",""),")","")</f>
        <v/>
      </c>
      <c r="BV432" s="61" t="n">
        <f aca="false">0</f>
        <v>0</v>
      </c>
      <c r="BW4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432&amp;""),"a",""),"b",""),"c",""),"d",""),"e",""),"f",""),"g",""),"h",""),"i",""),"j",""),"k",""),"l",""),"m",""),"n",""),"o",""),"p",""),"q",""),"r",""),"s",""),"t",""),"u",""),"v",""),"w",""),"x",""),"y",""),"z",""),"-",""),"_",""),"/",""),".",""),"#",""),"\\",""),":","")," ",""),"(",""),")","")</f>
        <v/>
      </c>
      <c r="BX432" s="61" t="str">
        <f aca="false">SUBSTITUTE(SUBSTITUTE(SUBSTITUTE(SUBSTITUTE(SUBSTITUTE(SUBSTITUTE(SUBSTITUTE(SUBSTITUTE(SUBSTITUTE(SUBSTITUTE(SUBSTITUTE(BM432,"0",""),"-",""),"_",""),"/",""),".",""),"#",""),"\\",""),":","")," ",""),"(",""),")","")</f>
        <v/>
      </c>
      <c r="BY432" s="62" t="n">
        <f aca="false">Q432-T7EarlyD*24/24</f>
        <v>46288.0104166667</v>
      </c>
      <c r="BZ432" s="61" t="n">
        <f aca="false">IFERROR(IF(IF(TRIM(S432)="Link / file path",AND(LEN(TRIM(Z432))&gt;=5,SUMPRODUCT(--ISNUMBER(SEARCH({"http","www.","\\",":\",".pdf",".jpg",".jpeg",".png",".heic",".xls",".doc",".msg",".eml",".ppt",".txt",".zip"},Z432)))&gt;0),AND(ISERROR(FIND(" ",TRIM(Z432))),NOT(OR(SUMPRODUCT(--ISNUMBER(FIND({",",";","&amp;","+"},Z432)))&gt;0,SUMPRODUCT(--ISNUMBER(SEARCH({"0/aa","0\\aa"},BN432)))&gt;0)),NOT(SUMPRODUCT(--ISNUMBER(SEARCH({"http","www.","\\",":\",".pdf",".jpg",".jpeg",".png",".heic",".xls",".doc",".msg",".eml",".ppt",".txt",".zip"},Z432)))&gt;0),NOT(LOWER(TRIM(Z432))=LOWER(Flights!$F$17)),ISNA(MATCH(BU432,{"mh","rev","revision","ver","version","v","r","a","b","seat","tray","row","gate","bay","stand","page","pg","item","line","no","cart","galley","flight","flt","table","box","bag","oven","etd","eta","std","sta","atd","ata","qty","pax","x","time","tel","ph","mob","day","wk","week","utc","gmt","myt","lt"},0)),NOT(OR(ISNUMBER(MATCH(LEFT(BN432,255),{"0000a","000a","00a","0000aa","000aa","00aa","0aa","0000aaa","000aaa","00a00","0a00","0000-0000","00:00","a00","a0","00.00.0000","00/00/0000","00-00-0000","0000-00-00","0000/00/00","0000.00.00","00.00.00","00/00/00","00-00-00","0.00.0000","0/00/0000","0-00-0000"},0)),ISNUMBER(MATCH(LEFT(BT432,255),{"0000a","000a","00a","0000aa","000aa","00aa","0aa","0000aaa","000aaa","00a00","0a00","0000-0000","00:00","a00","a0","00.00.0000","00/00/0000","00-00-0000","0000-00-00","0000/00/00","0000.00.00","00.00.00","00/00/00","00-00-00","0.00.0000","0/00/0000","0-00-0000"},0)))),NOT(OR(AND(BW432&lt;&gt;"",SUBSTITUTE(BW432,"0","")=""),AND(LEN(BW432)&gt;=4,BW432=REPT(LEFT(BW432),LEN(BW432))),ISNUMBER(MATCH(BW432,{"123","1234","12345","123456","1234567","12345678","0123","01234","012345","98765","987654","54321"},0)),ISNUMBER(MATCH(BX432,{"x","xx","xxx","xxxx","xxxxx","abc","abcd","nil","na","nan","test","tbc","tba","tbd","dummy","sample","example","eg","zz","zzz","none","null","xyz","qwe","asd","id","ref"},0)),AND(LEN(BW432)=8,BX432="",OR(LEFT(BW432,3)="202",ISNUMBER(MATCH(RIGHT(BW432,4),{"2025","2026","2027"},0)))))),OR(AND((LEN(BT432)-LEN(SUBSTITUTE(BT432,"a","")))&gt;=1,(LEN(BN432)-LEN(SUBSTITUTE(BN432,"0","")))&gt;=2,SUMPRODUCT(--ISNUMBER(SEARCH({"a0","a-0","a_0","a/0","a.0","a#0","0a","0-a","0_a","0/a"},BN432)))&gt;0),AND((LEN(BN432)-LEN(SUBSTITUTE(BN432,"a","")))=0,(LEN(BN432)-LEN(SUBSTITUTE(BN432,"0","")))&gt;=5)))),1,0),0)</f>
        <v>0</v>
      </c>
      <c r="CA4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432,"revision",""),"version",""),"jan",""),"feb",""),"mar",""),"apr",""),"may",""),"jun",""),"jul",""),"aug",""),"sep",""),"oct",""),"nov",""),"dec",""),"utc",""),"gmt",""),"myt",""),"bst",""),"rev",""),"ver",""),"b","a"),"c","a"),"d","a"),"e","a"),"f","a"),"g","a"),"h","a"),"i","a"),"j","a"),"k","a"),"l","a"),"m","a"),"n","a"),"o","a"),"p","a"),"q","a"),"r","a"),"s","a"),"t","a"),"u","a"),"v","a"),"w","a"),"x","a"),"y","a"),"z","a")</f>
        <v/>
      </c>
      <c r="CB4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432&amp;""),"a",""),"b",""),"c",""),"d",""),"e",""),"f",""),"g",""),"h",""),"i",""),"j",""),"k",""),"l",""),"m",""),"n",""),"o",""),"p",""),"q",""),"r",""),"s",""),"t",""),"u",""),"v",""),"w",""),"x",""),"y",""),"z",""),"-",""),"_",""),"/",""),".",""),"#",""),"\\",""),":","")," ",""),"(",""),")","")</f>
        <v/>
      </c>
      <c r="CC432" s="0" t="str">
        <f aca="false">" "&amp;TRIM(SUBSTITUTE(SUBSTITUTE(SUBSTITUTE(SUBSTITUTE(SUBSTITUTE(SUBSTITUTE(SUBSTITUTE(SUBSTITUTE(SUBSTITUTE(SUBSTITUTE(SUBSTITUTE(SUBSTITUTE(SUBSTITUTE(SUBSTITUTE(SUBSTITUTE(SUBSTITUTE(SUBSTITUTE(SUBSTITUTE(SUBSTITUTE(SUBSTITUTE(SUBSTITUTE(SUBSTITUTE(SUBSTITUTE(SUBSTITUTE(LOWER(T432&amp;""),CHAR(10)," "),CHAR(13)," "),CHAR(9)," "),CHAR(160)," "),"."," "),","," "),"-"," "),"/"," "),"("," "),")"," "),":"," "),";"," "),"_"," "),"–"," "),"?"," "),"!"," "),"*"," "),"["," "),"]"," "),"'"," "),"#"," "),"+"," "),"&amp;"," "),"\"," "))&amp;" "</f>
        <v>  </v>
      </c>
      <c r="CD432" s="0" t="str">
        <f aca="false">" "&amp;TRIM(SUBSTITUTE(SUBSTITUTE(SUBSTITUTE(SUBSTITUTE(SUBSTITUTE(SUBSTITUTE(SUBSTITUTE(SUBSTITUTE(SUBSTITUTE(SUBSTITUTE(SUBSTITUTE(SUBSTITUTE(SUBSTITUTE(SUBSTITUTE(SUBSTITUTE(SUBSTITUTE(SUBSTITUTE(SUBSTITUTE(SUBSTITUTE(SUBSTITUTE(SUBSTITUTE(SUBSTITUTE(SUBSTITUTE(SUBSTITUTE(LOWER(AE432&amp;""),CHAR(10)," "),CHAR(13)," "),CHAR(9)," "),CHAR(160)," "),"."," "),","," "),"-"," "),"/"," "),"("," "),")"," "),":"," "),";"," "),"_"," "),"–"," "),"?"," "),"!"," "),"*"," "),"["," "),"]"," "),"'"," "),"#"," "),"+"," "),"&amp;"," "),"\"," "))&amp;" "</f>
        <v>  </v>
      </c>
      <c r="CE432" s="68" t="n">
        <f aca="false">IFERROR(IF(AND(LEN(AU432)&gt;0,LEN(AU432)=LEN(AX432),OR(TRIM(MID(SUBSTITUTE(TRIM(CC432)," ",REPT(" ",60)),1,60))="",ISNUMBER(SEARCH(" "&amp;TRIM(MID(SUBSTITUTE(TRIM(CC432)," ",REPT(" ",60)),1,60))&amp;" ",CD432))),OR(TRIM(MID(SUBSTITUTE(TRIM(CC432)," ",REPT(" ",60)),61,60))="",ISNUMBER(SEARCH(" "&amp;TRIM(MID(SUBSTITUTE(TRIM(CC432)," ",REPT(" ",60)),61,60))&amp;" ",CD432))),OR(TRIM(MID(SUBSTITUTE(TRIM(CC432)," ",REPT(" ",60)),121,60))="",ISNUMBER(SEARCH(" "&amp;TRIM(MID(SUBSTITUTE(TRIM(CC432)," ",REPT(" ",60)),121,60))&amp;" ",CD432)))),1,0),0)</f>
        <v>0</v>
      </c>
      <c r="CG432" s="68" t="n">
        <f aca="false">IFERROR(LEN(SUBSTITUTE(BF432," ",""))-SUMPRODUCT((LEN(BF432)-LEN(SUBSTITUTE(BF432," "&amp;L_NAFiller&amp;" "," ")))/(LEN(L_NAFiller)+1)*LEN(L_NAFiller)),0)</f>
        <v>0</v>
      </c>
    </row>
    <row r="433" customFormat="false" ht="39.75" hidden="false" customHeight="true" outlineLevel="0" collapsed="false">
      <c r="A433" s="57" t="s">
        <v>1066</v>
      </c>
      <c r="B433" s="57" t="s">
        <v>272</v>
      </c>
      <c r="C433" s="57" t="str">
        <f aca="false">Flights!$F$17</f>
        <v>MH0138</v>
      </c>
      <c r="D433" s="58" t="n">
        <f aca="false">Flights!$D$17</f>
        <v>46309</v>
      </c>
      <c r="E433" s="57" t="str">
        <f aca="false">Flights!$G$17&amp;"-"&amp;Flights!$H$17</f>
        <v>ADL-KUL</v>
      </c>
      <c r="F433" s="57" t="str">
        <f aca="false">Flights!$K$17</f>
        <v>EY</v>
      </c>
      <c r="G433" s="57" t="s">
        <v>81</v>
      </c>
      <c r="H433" s="57" t="s">
        <v>378</v>
      </c>
      <c r="I433" s="57" t="s">
        <v>405</v>
      </c>
      <c r="J433" s="57" t="s">
        <v>406</v>
      </c>
      <c r="K433" s="67" t="s">
        <v>407</v>
      </c>
      <c r="L433" s="67" t="s">
        <v>382</v>
      </c>
      <c r="M433" s="67"/>
      <c r="N433" s="67" t="s">
        <v>383</v>
      </c>
      <c r="O433" s="67"/>
      <c r="P433" s="57" t="s">
        <v>263</v>
      </c>
      <c r="Q433" s="59" t="n">
        <f aca="false">ROUND((Flights!$AC$17)*1440,0)/1440</f>
        <v>46302.0104166667</v>
      </c>
      <c r="R433" s="59" t="n">
        <f aca="false">Q433+(IF(AND(INDEX(TZ_DSTS,MATCH(P433,TZ_STN,0))&lt;&gt;"",Q433&gt;=INDEX(TZ_DSTS,MATCH(P433,TZ_STN,0)),Q433&lt;INDEX(TZ_DSTE,MATCH(P433,TZ_STN,0))),INDEX(TZ_DST,MATCH(P433,TZ_STN,0)),INDEX(TZ_STD,MATCH(P433,TZ_STN,0))))/24</f>
        <v>46302.4479166667</v>
      </c>
      <c r="S433" s="60"/>
      <c r="T433" s="60"/>
      <c r="U433" s="60"/>
      <c r="V433" s="60"/>
      <c r="W433" s="61"/>
      <c r="X433" s="60"/>
      <c r="Y433" s="60"/>
      <c r="Z433" s="60"/>
      <c r="AA433" s="60"/>
      <c r="AB433" s="60"/>
      <c r="AC433" s="60"/>
      <c r="AD433" s="66"/>
      <c r="AE433" s="60"/>
      <c r="AF433" s="61" t="str">
        <f aca="false">IF(AND(ISNUMBER(X433),ISNUMBER(Y433)),Y433-X433,"")</f>
        <v/>
      </c>
      <c r="AG433" s="62" t="str">
        <f aca="false">IF(ISNUMBER(AD433),AD433-(IF(AND(INDEX(TZ_DSTS,MATCH(P433,TZ_STN,0))&lt;&gt;"",(AD433-INDEX(TZ_STD,MATCH(P433,TZ_STN,0))/24)&gt;=INDEX(TZ_DSTS,MATCH(P433,TZ_STN,0)),(AD433-INDEX(TZ_STD,MATCH(P433,TZ_STN,0))/24)&lt;INDEX(TZ_DSTE,MATCH(P433,TZ_STN,0))),INDEX(TZ_DST,MATCH(P433,TZ_STN,0)),INDEX(TZ_STD,MATCH(P433,TZ_STN,0))))/24,"")</f>
        <v/>
      </c>
      <c r="AH433" s="65" t="str">
        <f aca="false">IFERROR(IF(N433="N/A – rule",IF(OR(TRIM(U433)="",TRIM(U433)="N/A",TRIM(U433)="Not started"),"N/A – RULE","INVALID – this check does not apply to this aircraft: clear the status (or correct the fleet on Flights)"),IF(TRIM(U433)="N/A",IF(AT433=0,"INVALID – N/A not permitted for this check",IF(AND(TRIM(AB433)&lt;&gt;"",TRIM(AB433)&lt;&gt;"Closed"),"INVALID – corrective action still open",IF(AND(NOT(OR(LEN(AZ433)&lt;15,ISNUMBER(MATCH(AZ433,L_Placeholder,0)))),BK433=0,CG433&gt;=8,NOT(OR(LEN(AU433)&lt;2,ISNUMBER(MATCH(AU433,L_Placeholder,0)))),BR433&gt;=3,NOT(OR(LEN(AX433)&lt;2,ISNUMBER(MATCH(AX433,L_Placeholder,0)))),BS433&gt;=3,TRIM(AE433)&lt;&gt;TRIM(T433),AX433&lt;&gt;AU433,CE433=0),"N/A – JUSTIFIED","INVALID – N/A needs a real, settled reason (not 'not applicable' / 'as above' / TBC), a named PIC and a different named verifier"))),IF(OR(TRIM(U433)="Pass",TRIM(U433)="Pass after CA"),IF(NOT(ISNUMBER(AD433)),"INVALID – completion time missing",IF(OR(OR(LEN(AU433)&lt;2,ISNUMBER(MATCH(AU433,L_Placeholder,0))),BR433&lt;3),"INVALID – PIC missing or not a named person (a role such as QA / CSM is not a name)",IF(OR(LEN(AV433)&lt;2,ISNUMBER(MATCH(AV433,L_Placeholder,0))),"INVALID – result / assessment missing",IF(OR(OR(LEN(AW433)&lt;3,ISNUMBER(MATCH(AW433,L_Placeholder,0))),SUMPRODUCT(--ISNUMBER(SEARCH(" "&amp;L_EvidencePhrase&amp;" ",BD433)))&gt;0,BI433=1),"INVALID – evidence missing, placeholder or not yet on file",IF(ISNA(MATCH(TRIM(S433),L_EvidenceType,0)),"INVALID – choose the evidence type from the list (column S)",IF(BL433=0,"INVALID – evidence ID must be the record's own ID only (e.g. SF-2210, IMG_2231, 1045521); a link / file name needs type 'Link / file path'",IF(OR(OR(LEN(AX433)&lt;2,ISNUMBER(MATCH(AX433,L_Placeholder,0))),BS433&lt;3),"INVALID – verifier missing or not a named person (a role such as QA / CSM is not a name)",IF(OR(AX433=AU433,CE433=1,AND(LEN(AU433)&gt;=4,ISNUMBER(SEARCH(AU433,AX433))),AND(LEN(AX433)&gt;=4,ISNUMBER(SEARCH(AX433,AU433)))),"INVALID – verifier must be a different, named person (not the PIC or a role)",IF(BH433=1,"INVALID – result not yet available (awaiting / TBC)",IF(BG433=1,"INVALID – result describes a problem: record Fail, then Pass after CA (or reword if it is not a problem)",IF(BV433=1,"INVALID – wording says not on board: an on-board confirmation needs the item loaded",IF(AND(AQ433=1,OR(OR(LEN(AY433)&lt;3,ISNUMBER(MATCH(AY433,L_Placeholder,0))),BJ433=1,BQ433=0)),"INVALID – batch ID missing, placeholder or not an ID (e.g. PASB-261008-BC-017)",IF(AND(AR433=1,OR(NOT(ISNUMBER(X433)),NOT(ISNUMBER(Y433)))),"INVALID – expected/actual qty missing",IF(AND(AR433=1,OR(X433&lt;=0,Y433&lt;0)),"INVALID – expected qty must be above 0 and actual not negative",IF(BB433&lt;&gt;"",BB433,IF(AND(AS433=1,Documents!$J$17&lt;&gt;"ON FILE"),"INVALID – GLD not on file (Documents sheet)",IF(AND(AS433=2,Documents!$O$17&lt;&gt;"ON FILE"),"INVALID – menu checklist not on file (Documents sheet)",IF(AND(AS433=3,NOT(ISNUMBER(Flights!$AX$17))),"INVALID – enter carrying flight KUL departure (Flights AX)",IF(AND(AS433=3,OR(Flights!$AZ$17&gt;Flights!$AA$17,Flights!$AX$17&lt;Flights!$AA$17-3)),"INVALID – carrying flight (Flights AX) cannot arrive before this leg's STD, or is over 3 days early",IF(AG433&gt;AsOfUTC,"INVALID – completion time is in the future",IF(AND(ISNUMBER(BY433),AG433&lt;BY433),IF(H433="Physical uplift","INVALID – before uplift window (cannot confirm loading)","INVALID – before valid window"),IF(AG433&gt;Flights!$AA$17,"INVALID – completed after departure (cannot establish readiness)",IF(AND(H433="Preparation",AG433&gt;=IF(ISNUMBER(Flights!$BA$17),MIN(Flights!$BA$17,Flights!$AA$17),Flights!$AA$17)),"INVALID – completed after loading / departure (cannot establish readiness)",IF(AND(H433="Physical uplift",AG433&gt;Q433),"INVALID – recorded after the loading flight departed",IF(AG433&gt;Q433,"COMPLETE – LATE","COMPLETE"))))))))))))))))))))))))),IF(TRIM(U433)="Fail","FAIL – DISCREPANCY",IF(AND(TRIM(U433)&lt;&gt;"",TRIM(U433)&lt;&gt;"Not started",TRIM(U433)&lt;&gt;"In progress"),"INVALID – unrecognised status (use the list)",IF(AsOfUTC&gt;Q433,"OVERDUE",IF(N433="Clarification required","OPEN – CLARIFICATION","OPEN"))))))),"INVALID – error value in an input cell")</f>
        <v>OPEN</v>
      </c>
      <c r="AI433" s="61" t="n">
        <f aca="false">IF(OR(AH433="N/A – RULE",AH433="N/A – JUSTIFIED"),0,1)</f>
        <v>1</v>
      </c>
      <c r="AJ433" s="61" t="n">
        <f aca="false">IF(LEFT(AH433,8)="COMPLETE",1,0)</f>
        <v>0</v>
      </c>
      <c r="AK433" s="61" t="n">
        <f aca="false">IF(AND(AI433=1,AJ433=0,AsOfUTC&gt;Q433),1,0)</f>
        <v>0</v>
      </c>
      <c r="AL433" s="61" t="n">
        <f aca="false">IFERROR(IF(AND(AI433=1,OR(TRIM(U433)="Fail",AND(TRIM(AB433)&lt;&gt;"",TRIM(AB433)&lt;&gt;"Closed"),AND(ISNUMBER(AF433),AF433&lt;&gt;0,TRIM(U433)&lt;&gt;"Pass after CA"))),1,0),1)</f>
        <v>0</v>
      </c>
      <c r="AM433" s="61" t="n">
        <f aca="false">IF(LEFT(AH433,7)="INVALID",1,0)</f>
        <v>0</v>
      </c>
      <c r="AN433" s="61" t="n">
        <f aca="false">IF(AND(N433="Clarification required",AI433=1,AJ433=0),1,0)</f>
        <v>0</v>
      </c>
      <c r="AO433" s="61" t="str">
        <f aca="false">IF(AK433=1,SUM(AK$5:AK433),"")</f>
        <v/>
      </c>
      <c r="AP433" s="61" t="str">
        <f aca="false">IF(AL433=1,SUM(AL$5:AL433),"")</f>
        <v/>
      </c>
      <c r="AQ433" s="61" t="n">
        <v>0</v>
      </c>
      <c r="AR433" s="61" t="n">
        <v>0</v>
      </c>
      <c r="AS433" s="61" t="n">
        <v>1</v>
      </c>
      <c r="AT433" s="61" t="n">
        <v>0</v>
      </c>
      <c r="AU433" s="61" t="str">
        <f aca="false">SUBSTITUTE(SUBSTITUTE(SUBSTITUTE(SUBSTITUTE(SUBSTITUTE(SUBSTITUTE(SUBSTITUTE(SUBSTITUTE(SUBSTITUTE(SUBSTITUTE(SUBSTITUTE(SUBSTITUTE(SUBSTITUTE(SUBSTITUTE(SUBSTITUTE(SUBSTITUTE(LOWER(T433&amp;""),CHAR(10),""),CHAR(13),""),CHAR(9),""),CHAR(160),"")," ",""),".",""),"-",""),"/",""),"?",""),"_",""),",",""),"[",""),"]",""),"(",""),")",""),"*","")</f>
        <v/>
      </c>
      <c r="AV433" s="61" t="str">
        <f aca="false">SUBSTITUTE(SUBSTITUTE(SUBSTITUTE(SUBSTITUTE(SUBSTITUTE(SUBSTITUTE(SUBSTITUTE(SUBSTITUTE(SUBSTITUTE(SUBSTITUTE(SUBSTITUTE(SUBSTITUTE(SUBSTITUTE(SUBSTITUTE(SUBSTITUTE(SUBSTITUTE(LOWER(V433&amp;""),CHAR(10),""),CHAR(13),""),CHAR(9),""),CHAR(160),"")," ",""),".",""),"-",""),"/",""),"?",""),"_",""),",",""),"[",""),"]",""),"(",""),")",""),"*","")</f>
        <v/>
      </c>
      <c r="AW433" s="61" t="str">
        <f aca="false">SUBSTITUTE(SUBSTITUTE(SUBSTITUTE(SUBSTITUTE(SUBSTITUTE(SUBSTITUTE(SUBSTITUTE(SUBSTITUTE(SUBSTITUTE(SUBSTITUTE(SUBSTITUTE(SUBSTITUTE(SUBSTITUTE(SUBSTITUTE(SUBSTITUTE(SUBSTITUTE(LOWER(Z433&amp;""),CHAR(10),""),CHAR(13),""),CHAR(9),""),CHAR(160),"")," ",""),".",""),"-",""),"/",""),"?",""),"_",""),",",""),"[",""),"]",""),"(",""),")",""),"*","")</f>
        <v/>
      </c>
      <c r="AX433" s="61" t="str">
        <f aca="false">SUBSTITUTE(SUBSTITUTE(SUBSTITUTE(SUBSTITUTE(SUBSTITUTE(SUBSTITUTE(SUBSTITUTE(SUBSTITUTE(SUBSTITUTE(SUBSTITUTE(SUBSTITUTE(SUBSTITUTE(SUBSTITUTE(SUBSTITUTE(SUBSTITUTE(SUBSTITUTE(LOWER(AE433&amp;""),CHAR(10),""),CHAR(13),""),CHAR(9),""),CHAR(160),"")," ",""),".",""),"-",""),"/",""),"?",""),"_",""),",",""),"[",""),"]",""),"(",""),")",""),"*","")</f>
        <v/>
      </c>
      <c r="AY433" s="61" t="str">
        <f aca="false">SUBSTITUTE(SUBSTITUTE(SUBSTITUTE(SUBSTITUTE(SUBSTITUTE(SUBSTITUTE(SUBSTITUTE(SUBSTITUTE(SUBSTITUTE(SUBSTITUTE(SUBSTITUTE(SUBSTITUTE(SUBSTITUTE(SUBSTITUTE(SUBSTITUTE(SUBSTITUTE(LOWER(W433&amp;""),CHAR(10),""),CHAR(13),""),CHAR(9),""),CHAR(160),"")," ",""),".",""),"-",""),"/",""),"?",""),"_",""),",",""),"[",""),"]",""),"(",""),")",""),"*","")</f>
        <v/>
      </c>
      <c r="AZ433" s="61" t="str">
        <f aca="false">SUBSTITUTE(SUBSTITUTE(SUBSTITUTE(SUBSTITUTE(SUBSTITUTE(SUBSTITUTE(SUBSTITUTE(SUBSTITUTE(SUBSTITUTE(SUBSTITUTE(SUBSTITUTE(SUBSTITUTE(SUBSTITUTE(SUBSTITUTE(SUBSTITUTE(SUBSTITUTE(LOWER(AC433&amp;""),CHAR(10),""),CHAR(13),""),CHAR(9),""),CHAR(160),"")," ",""),".",""),"-",""),"/",""),"?",""),"_",""),",",""),"[",""),"]",""),"(",""),")",""),"*","")</f>
        <v/>
      </c>
      <c r="BA433" s="61" t="str">
        <f aca="false">SUBSTITUTE(SUBSTITUTE(SUBSTITUTE(SUBSTITUTE(SUBSTITUTE(SUBSTITUTE(SUBSTITUTE(SUBSTITUTE(SUBSTITUTE(SUBSTITUTE(SUBSTITUTE(SUBSTITUTE(SUBSTITUTE(SUBSTITUTE(SUBSTITUTE(SUBSTITUTE(LOWER(AA433&amp;""),CHAR(10),""),CHAR(13),""),CHAR(9),""),CHAR(160),"")," ",""),".",""),"-",""),"/",""),"?",""),"_",""),",",""),"[",""),"]",""),"(",""),")",""),"*","")</f>
        <v/>
      </c>
      <c r="BB433" s="61" t="str">
        <f aca="false">IF(AND(TRIM(U433)="Pass",ISNUMBER(AF433)),IF(AF433&lt;&gt;0,"INVALID – qty variance: use Fail or Pass after CA",""),"")&amp;IF(AND(TRIM(U433)="Pass after CA",ISNUMBER(AF433)),IF(AF433&lt;&gt;0,"INVALID – after the corrective action the actual qty must equal expected (update Actual)",""),"")&amp;IF(AND(TRIM(U433)="Pass",TRIM(AB433)&lt;&gt;"",TRIM(AB433)&lt;&gt;"Closed"),"INVALID – corrective action not closed: use Fail, then Pass after CA","")&amp;IF(AND(LEN(BA433)&gt;=2,ISNA(MATCH(LEFT(BA433,255),L_Placeholder,0)),TRIM(AB433)=""),"INVALID – CA status missing for the recorded corrective action","")&amp;IF(AND(TRIM(U433)="Pass after CA",OR(OR(LEN(BA433)&lt;5,ISNUMBER(MATCH(BA433,L_Placeholder,0))),TRIM(AB433)&lt;&gt;"Closed")),"INVALID – corrective action not recorded/closed","")</f>
        <v/>
      </c>
      <c r="BC433" s="61" t="str">
        <f aca="false">" "&amp;TRIM(SUBSTITUTE(SUBSTITUTE(SUBSTITUTE(SUBSTITUTE(SUBSTITUTE(SUBSTITUTE(SUBSTITUTE(SUBSTITUTE(SUBSTITUTE(SUBSTITUTE(SUBSTITUTE(SUBSTITUTE(SUBSTITUTE(SUBSTITUTE(SUBSTITUTE(SUBSTITUTE(SUBSTITUTE(SUBSTITUTE(SUBSTITUTE(SUBSTITUTE(SUBSTITUTE(SUBSTITUTE(SUBSTITUTE(SUBSTITUTE(LOWER(V433&amp;""),CHAR(10)," "),CHAR(13)," "),CHAR(9)," "),CHAR(160)," "),"."," "),","," "),"-"," "),"/"," "),"("," "),")"," "),":"," "),";"," "),"_"," "),"–"," "),"?"," "),"!"," "),"*"," "),"["," "),"]"," "),"'"," "),"#"," "),"+"," "),"&amp;"," "),"\"," "))&amp;" "</f>
        <v>  </v>
      </c>
      <c r="BD433" s="61" t="str">
        <f aca="false">" "&amp;TRIM(SUBSTITUTE(SUBSTITUTE(SUBSTITUTE(SUBSTITUTE(SUBSTITUTE(SUBSTITUTE(SUBSTITUTE(SUBSTITUTE(SUBSTITUTE(SUBSTITUTE(SUBSTITUTE(SUBSTITUTE(SUBSTITUTE(SUBSTITUTE(SUBSTITUTE(SUBSTITUTE(SUBSTITUTE(SUBSTITUTE(SUBSTITUTE(SUBSTITUTE(SUBSTITUTE(SUBSTITUTE(SUBSTITUTE(SUBSTITUTE(LOWER(Z433&amp;""),CHAR(10)," "),CHAR(13)," "),CHAR(9)," "),CHAR(160)," "),"."," "),","," "),"-"," "),"/"," "),"("," "),")"," "),":"," "),";"," "),"_"," "),"–"," "),"?"," "),"!"," "),"*"," "),"["," "),"]"," "),"'"," "),"#"," "),"+"," "),"&amp;"," "),"\"," "))&amp;" "</f>
        <v>  </v>
      </c>
      <c r="BE433" s="61" t="str">
        <f aca="false">" "&amp;TRIM(SUBSTITUTE(SUBSTITUTE(SUBSTITUTE(SUBSTITUTE(SUBSTITUTE(SUBSTITUTE(SUBSTITUTE(SUBSTITUTE(SUBSTITUTE(SUBSTITUTE(SUBSTITUTE(SUBSTITUTE(SUBSTITUTE(SUBSTITUTE(SUBSTITUTE(SUBSTITUTE(SUBSTITUTE(SUBSTITUTE(SUBSTITUTE(SUBSTITUTE(SUBSTITUTE(SUBSTITUTE(SUBSTITUTE(SUBSTITUTE(LOWER(W433&amp;""),CHAR(10)," "),CHAR(13)," "),CHAR(9)," "),CHAR(160)," "),"."," "),","," "),"-"," "),"/"," "),"("," "),")"," "),":"," "),";"," "),"_"," "),"–"," "),"?"," "),"!"," "),"*"," "),"["," "),"]"," "),"'"," "),"#"," "),"+"," "),"&amp;"," "),"\"," "))&amp;" "</f>
        <v>  </v>
      </c>
      <c r="BF433" s="61" t="str">
        <f aca="false">" "&amp;TRIM(SUBSTITUTE(SUBSTITUTE(SUBSTITUTE(SUBSTITUTE(SUBSTITUTE(SUBSTITUTE(SUBSTITUTE(SUBSTITUTE(SUBSTITUTE(SUBSTITUTE(SUBSTITUTE(SUBSTITUTE(SUBSTITUTE(SUBSTITUTE(SUBSTITUTE(SUBSTITUTE(SUBSTITUTE(SUBSTITUTE(SUBSTITUTE(SUBSTITUTE(SUBSTITUTE(SUBSTITUTE(SUBSTITUTE(SUBSTITUTE(LOWER(AC433&amp;""),CHAR(10)," "),CHAR(13)," "),CHAR(9)," "),CHAR(160)," "),"."," "),","," "),"-"," "),"/"," "),"("," "),")"," "),":"," "),";"," "),"_"," "),"–"," "),"?"," "),"!"," "),"*"," "),"["," "),"]"," "),"'"," "),"#"," "),"+"," "),"&amp;"," "),"\"," "))&amp;" "</f>
        <v>  </v>
      </c>
      <c r="BG433" s="61" t="n">
        <f aca="false">IFERROR(IF(AND(TRIM(U433)="Pass",SUMPRODUCT((LEN(BC433)-LEN(SUBSTITUTE(BC433," "&amp;L_ResultBad&amp;" "," ")))/(LEN(L_ResultBad)+1))&gt;SUMPRODUCT((LEN(BC433)-LEN(SUBSTITUTE(BC433," "&amp;L_NegPhrase&amp;" "," ")))/(LEN(L_NegPhrase)+1))),1,0),0)</f>
        <v>0</v>
      </c>
      <c r="BH433" s="61" t="n">
        <f aca="false">IFERROR(IF(SUMPRODUCT((LEN(BC433)-LEN(SUBSTITUTE(BC433," "&amp;L_Pending&amp;" "," ")))/(LEN(L_Pending)+1))&gt;SUMPRODUCT((LEN(BC433)-LEN(SUBSTITUTE(BC433," "&amp;L_PendNeg&amp;" "," ")))/(LEN(L_PendNeg)+1))+SUMPRODUCT((LEN(BC433)-LEN(SUBSTITUTE(BC433," "&amp;L_PendPrep&amp;" "," ")))/(LEN(L_PendPrep)+1)),1,0),1)</f>
        <v>0</v>
      </c>
      <c r="BI433" s="61" t="n">
        <f aca="false">IFERROR(IF(SUMPRODUCT((LEN(BD433)-LEN(SUBSTITUTE(BD433," "&amp;L_PendStrict&amp;" "," ")))/(LEN(L_PendStrict)+1))&gt;SUMPRODUCT((LEN(BD433)-LEN(SUBSTITUTE(BD433," "&amp;L_PendNeg&amp;" "," ")))/(LEN(L_PendNeg)+1)),1,0),1)</f>
        <v>0</v>
      </c>
      <c r="BJ433" s="61" t="n">
        <f aca="false">IFERROR(IF(SUMPRODUCT((LEN(BE433)-LEN(SUBSTITUTE(BE433," "&amp;L_Pending&amp;" "," ")))/(LEN(L_Pending)+1))&gt;SUMPRODUCT((LEN(BE433)-LEN(SUBSTITUTE(BE433," "&amp;L_PendNeg&amp;" "," ")))/(LEN(L_PendNeg)+1))+SUMPRODUCT((LEN(BE433)-LEN(SUBSTITUTE(BE433," "&amp;L_PendPrep&amp;" "," ")))/(LEN(L_PendPrep)+1)),1,0),1)</f>
        <v>0</v>
      </c>
      <c r="BK433" s="61" t="n">
        <f aca="false">IFERROR(IF(SUMPRODUCT((LEN(BF433)-LEN(SUBSTITUTE(BF433," "&amp;L_PendStrict&amp;" "," ")))/(LEN(L_PendStrict)+1))&gt;SUMPRODUCT((LEN(BF433)-LEN(SUBSTITUTE(BF433," "&amp;L_PendNeg&amp;" "," ")))/(LEN(L_PendNeg)+1)),1,0),1)</f>
        <v>0</v>
      </c>
      <c r="BL433" s="61" t="n">
        <f aca="false">IF(ISNA(MATCH(TRIM(S433),L_EvidenceType,0)),0,BZ433)</f>
        <v>0</v>
      </c>
      <c r="BM433" s="61" t="str">
        <f aca="false">SUBSTITUTE(SUBSTITUTE(SUBSTITUTE(SUBSTITUTE(SUBSTITUTE(SUBSTITUTE(SUBSTITUTE(SUBSTITUTE(SUBSTITUTE(LOWER(Z433&amp;""),"1","0"),"2","0"),"3","0"),"4","0"),"5","0"),"6","0"),"7","0"),"8","0"),"9","0")</f>
        <v/>
      </c>
      <c r="BN433" s="61" t="str">
        <f aca="false">SUBSTITUTE(SUBSTITUTE(SUBSTITUTE(SUBSTITUTE(SUBSTITUTE(SUBSTITUTE(SUBSTITUTE(SUBSTITUTE(SUBSTITUTE(SUBSTITUTE(SUBSTITUTE(SUBSTITUTE(SUBSTITUTE(SUBSTITUTE(SUBSTITUTE(SUBSTITUTE(SUBSTITUTE(SUBSTITUTE(SUBSTITUTE(SUBSTITUTE(SUBSTITUTE(SUBSTITUTE(SUBSTITUTE(SUBSTITUTE(SUBSTITUTE(BM433,"b","a"),"c","a"),"d","a"),"e","a"),"f","a"),"g","a"),"h","a"),"i","a"),"j","a"),"k","a"),"l","a"),"m","a"),"n","a"),"o","a"),"p","a"),"q","a"),"r","a"),"s","a"),"t","a"),"u","a"),"v","a"),"w","a"),"x","a"),"y","a"),"z","a")</f>
        <v/>
      </c>
      <c r="BO433" s="61" t="str">
        <f aca="false">SUBSTITUTE(SUBSTITUTE(SUBSTITUTE(SUBSTITUTE(SUBSTITUTE(SUBSTITUTE(SUBSTITUTE(SUBSTITUTE(SUBSTITUTE(LOWER(W433&amp;""),"1","0"),"2","0"),"3","0"),"4","0"),"5","0"),"6","0"),"7","0"),"8","0"),"9","0")</f>
        <v/>
      </c>
      <c r="BP433" s="61" t="str">
        <f aca="false">SUBSTITUTE(SUBSTITUTE(SUBSTITUTE(SUBSTITUTE(SUBSTITUTE(SUBSTITUTE(SUBSTITUTE(SUBSTITUTE(SUBSTITUTE(SUBSTITUTE(SUBSTITUTE(SUBSTITUTE(SUBSTITUTE(SUBSTITUTE(SUBSTITUTE(SUBSTITUTE(SUBSTITUTE(SUBSTITUTE(SUBSTITUTE(SUBSTITUTE(SUBSTITUTE(SUBSTITUTE(SUBSTITUTE(SUBSTITUTE(SUBSTITUTE(BO433,"b","a"),"c","a"),"d","a"),"e","a"),"f","a"),"g","a"),"h","a"),"i","a"),"j","a"),"k","a"),"l","a"),"m","a"),"n","a"),"o","a"),"p","a"),"q","a"),"r","a"),"s","a"),"t","a"),"u","a"),"v","a"),"w","a"),"x","a"),"y","a"),"z","a")</f>
        <v/>
      </c>
      <c r="BQ433" s="61" t="n">
        <f aca="false">IFERROR(IF(AND(ISERROR(SEARCH(" mh"," "&amp;LOWER(W433))),ISNA(MATCH(LEFT(TRIM(BP433),255),{"0000a","000a","00a","0000aa","000aa","00aa","0aa","0000aaa","000aaa","00a00","0a00","0000-0000","00:00","a00","a0","00.00.0000","00/00/0000","00-00-0000","0000-00-00","0000/00/00","0000.00.00","00.00.00","00/00/00","00-00-00","0.00.0000","0/00/0000","0-00-0000"},0)),ISNA(MATCH(LEFT(TRIM(CA433),255),{"0000a","000a","00a","0000aa","000aa","00aa","0aa","0000aaa","000aaa","00a00","0a00","0000-0000","00:00","a00","a0","00.00.0000","00/00/0000","00-00-0000","0000-00-00","0000/00/00","0000.00.00","00.00.00","00/00/00","00-00-00","0.00.0000","0/00/0000","0-00-0000"},0)),LEN(CB433)&gt;=3,NOT(OR(SUBSTITUTE(CB433,"0","")="",AND(LEN(CB433)&gt;=4,CB433=REPT(LEFT(CB433),LEN(CB433))),ISNUMBER(MATCH(CB433,{"123","1234","12345","123456","1234567","12345678","0123","01234","012345","98765","987654","54321"},0)),AND(LEN(CB433)=8,LEFT(CB433,3)="202"))),OR(AND((LEN(CA433)-LEN(SUBSTITUTE(CA433,"a","")))&gt;=1,SUMPRODUCT(--ISNUMBER(SEARCH({"a0","a-0","a_0","a/0","a.0","a#0","0a","0-a","0_a","0/a"},BP433)))&gt;0),ISNUMBER(SEARCH("000000",BP433)))),1,0),0)</f>
        <v>0</v>
      </c>
      <c r="BR433" s="61" t="n">
        <f aca="false">IFERROR(LEN(SUBSTITUTE(CC433," ",""))-SUMPRODUCT((LEN(CC433)-LEN(SUBSTITUTE(CC433," "&amp;L_Role&amp;" "," ")))/(LEN(L_Role)+1)*LEN(L_Role)),0)</f>
        <v>0</v>
      </c>
      <c r="BS433" s="61" t="n">
        <f aca="false">IFERROR(LEN(SUBSTITUTE(CD433," ",""))-SUMPRODUCT((LEN(CD433)-LEN(SUBSTITUTE(CD433," "&amp;L_Role&amp;" "," ")))/(LEN(L_Role)+1)*LEN(L_Role)),0)</f>
        <v>0</v>
      </c>
      <c r="BT4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433,"revision",""),"version",""),"jan",""),"feb",""),"mar",""),"apr",""),"may",""),"jun",""),"jul",""),"aug",""),"sep",""),"oct",""),"nov",""),"dec",""),"utc",""),"gmt",""),"myt",""),"bst",""),"rev",""),"ver",""),"b","a"),"c","a"),"d","a"),"e","a"),"f","a"),"g","a"),"h","a"),"i","a"),"j","a"),"k","a"),"l","a"),"m","a"),"n","a"),"o","a"),"p","a"),"q","a"),"r","a"),"s","a"),"t","a"),"u","a"),"v","a"),"w","a"),"x","a"),"y","a"),"z","a")</f>
        <v/>
      </c>
      <c r="BU433" s="61" t="str">
        <f aca="false">SUBSTITUTE(SUBSTITUTE(SUBSTITUTE(SUBSTITUTE(SUBSTITUTE(SUBSTITUTE(SUBSTITUTE(SUBSTITUTE(SUBSTITUTE(SUBSTITUTE(LEFT(BM433,FIND("0",BM433&amp;"0")-1),"-",""),"_",""),"/",""),".",""),"#",""),"\\",""),":","")," ",""),"(",""),")","")</f>
        <v/>
      </c>
      <c r="BV433" s="61" t="n">
        <f aca="false">0</f>
        <v>0</v>
      </c>
      <c r="BW4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433&amp;""),"a",""),"b",""),"c",""),"d",""),"e",""),"f",""),"g",""),"h",""),"i",""),"j",""),"k",""),"l",""),"m",""),"n",""),"o",""),"p",""),"q",""),"r",""),"s",""),"t",""),"u",""),"v",""),"w",""),"x",""),"y",""),"z",""),"-",""),"_",""),"/",""),".",""),"#",""),"\\",""),":","")," ",""),"(",""),")","")</f>
        <v/>
      </c>
      <c r="BX433" s="61" t="str">
        <f aca="false">SUBSTITUTE(SUBSTITUTE(SUBSTITUTE(SUBSTITUTE(SUBSTITUTE(SUBSTITUTE(SUBSTITUTE(SUBSTITUTE(SUBSTITUTE(SUBSTITUTE(SUBSTITUTE(BM433,"0",""),"-",""),"_",""),"/",""),".",""),"#",""),"\\",""),":","")," ",""),"(",""),")","")</f>
        <v/>
      </c>
      <c r="BY433" s="62" t="n">
        <f aca="false">Q433-T7EarlyD*24/24</f>
        <v>46288.0104166667</v>
      </c>
      <c r="BZ433" s="61" t="n">
        <f aca="false">IFERROR(IF(IF(TRIM(S433)="Link / file path",AND(LEN(TRIM(Z433))&gt;=5,SUMPRODUCT(--ISNUMBER(SEARCH({"http","www.","\\",":\",".pdf",".jpg",".jpeg",".png",".heic",".xls",".doc",".msg",".eml",".ppt",".txt",".zip"},Z433)))&gt;0),AND(ISERROR(FIND(" ",TRIM(Z433))),NOT(OR(SUMPRODUCT(--ISNUMBER(FIND({",",";","&amp;","+"},Z433)))&gt;0,SUMPRODUCT(--ISNUMBER(SEARCH({"0/aa","0\\aa"},BN433)))&gt;0)),NOT(SUMPRODUCT(--ISNUMBER(SEARCH({"http","www.","\\",":\",".pdf",".jpg",".jpeg",".png",".heic",".xls",".doc",".msg",".eml",".ppt",".txt",".zip"},Z433)))&gt;0),NOT(LOWER(TRIM(Z433))=LOWER(Flights!$F$17)),ISNA(MATCH(BU433,{"mh","rev","revision","ver","version","v","r","a","b","seat","tray","row","gate","bay","stand","page","pg","item","line","no","cart","galley","flight","flt","table","box","bag","oven","etd","eta","std","sta","atd","ata","qty","pax","x","time","tel","ph","mob","day","wk","week","utc","gmt","myt","lt"},0)),NOT(OR(ISNUMBER(MATCH(LEFT(BN433,255),{"0000a","000a","00a","0000aa","000aa","00aa","0aa","0000aaa","000aaa","00a00","0a00","0000-0000","00:00","a00","a0","00.00.0000","00/00/0000","00-00-0000","0000-00-00","0000/00/00","0000.00.00","00.00.00","00/00/00","00-00-00","0.00.0000","0/00/0000","0-00-0000"},0)),ISNUMBER(MATCH(LEFT(BT433,255),{"0000a","000a","00a","0000aa","000aa","00aa","0aa","0000aaa","000aaa","00a00","0a00","0000-0000","00:00","a00","a0","00.00.0000","00/00/0000","00-00-0000","0000-00-00","0000/00/00","0000.00.00","00.00.00","00/00/00","00-00-00","0.00.0000","0/00/0000","0-00-0000"},0)))),NOT(OR(AND(BW433&lt;&gt;"",SUBSTITUTE(BW433,"0","")=""),AND(LEN(BW433)&gt;=4,BW433=REPT(LEFT(BW433),LEN(BW433))),ISNUMBER(MATCH(BW433,{"123","1234","12345","123456","1234567","12345678","0123","01234","012345","98765","987654","54321"},0)),ISNUMBER(MATCH(BX433,{"x","xx","xxx","xxxx","xxxxx","abc","abcd","nil","na","nan","test","tbc","tba","tbd","dummy","sample","example","eg","zz","zzz","none","null","xyz","qwe","asd","id","ref"},0)),AND(LEN(BW433)=8,BX433="",OR(LEFT(BW433,3)="202",ISNUMBER(MATCH(RIGHT(BW433,4),{"2025","2026","2027"},0)))))),OR(AND((LEN(BT433)-LEN(SUBSTITUTE(BT433,"a","")))&gt;=1,(LEN(BN433)-LEN(SUBSTITUTE(BN433,"0","")))&gt;=2,SUMPRODUCT(--ISNUMBER(SEARCH({"a0","a-0","a_0","a/0","a.0","a#0","0a","0-a","0_a","0/a"},BN433)))&gt;0),AND((LEN(BN433)-LEN(SUBSTITUTE(BN433,"a","")))=0,(LEN(BN433)-LEN(SUBSTITUTE(BN433,"0","")))&gt;=5)))),1,0),0)</f>
        <v>0</v>
      </c>
      <c r="CA4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433,"revision",""),"version",""),"jan",""),"feb",""),"mar",""),"apr",""),"may",""),"jun",""),"jul",""),"aug",""),"sep",""),"oct",""),"nov",""),"dec",""),"utc",""),"gmt",""),"myt",""),"bst",""),"rev",""),"ver",""),"b","a"),"c","a"),"d","a"),"e","a"),"f","a"),"g","a"),"h","a"),"i","a"),"j","a"),"k","a"),"l","a"),"m","a"),"n","a"),"o","a"),"p","a"),"q","a"),"r","a"),"s","a"),"t","a"),"u","a"),"v","a"),"w","a"),"x","a"),"y","a"),"z","a")</f>
        <v/>
      </c>
      <c r="CB4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433&amp;""),"a",""),"b",""),"c",""),"d",""),"e",""),"f",""),"g",""),"h",""),"i",""),"j",""),"k",""),"l",""),"m",""),"n",""),"o",""),"p",""),"q",""),"r",""),"s",""),"t",""),"u",""),"v",""),"w",""),"x",""),"y",""),"z",""),"-",""),"_",""),"/",""),".",""),"#",""),"\\",""),":","")," ",""),"(",""),")","")</f>
        <v/>
      </c>
      <c r="CC433" s="0" t="str">
        <f aca="false">" "&amp;TRIM(SUBSTITUTE(SUBSTITUTE(SUBSTITUTE(SUBSTITUTE(SUBSTITUTE(SUBSTITUTE(SUBSTITUTE(SUBSTITUTE(SUBSTITUTE(SUBSTITUTE(SUBSTITUTE(SUBSTITUTE(SUBSTITUTE(SUBSTITUTE(SUBSTITUTE(SUBSTITUTE(SUBSTITUTE(SUBSTITUTE(SUBSTITUTE(SUBSTITUTE(SUBSTITUTE(SUBSTITUTE(SUBSTITUTE(SUBSTITUTE(LOWER(T433&amp;""),CHAR(10)," "),CHAR(13)," "),CHAR(9)," "),CHAR(160)," "),"."," "),","," "),"-"," "),"/"," "),"("," "),")"," "),":"," "),";"," "),"_"," "),"–"," "),"?"," "),"!"," "),"*"," "),"["," "),"]"," "),"'"," "),"#"," "),"+"," "),"&amp;"," "),"\"," "))&amp;" "</f>
        <v>  </v>
      </c>
      <c r="CD433" s="0" t="str">
        <f aca="false">" "&amp;TRIM(SUBSTITUTE(SUBSTITUTE(SUBSTITUTE(SUBSTITUTE(SUBSTITUTE(SUBSTITUTE(SUBSTITUTE(SUBSTITUTE(SUBSTITUTE(SUBSTITUTE(SUBSTITUTE(SUBSTITUTE(SUBSTITUTE(SUBSTITUTE(SUBSTITUTE(SUBSTITUTE(SUBSTITUTE(SUBSTITUTE(SUBSTITUTE(SUBSTITUTE(SUBSTITUTE(SUBSTITUTE(SUBSTITUTE(SUBSTITUTE(LOWER(AE433&amp;""),CHAR(10)," "),CHAR(13)," "),CHAR(9)," "),CHAR(160)," "),"."," "),","," "),"-"," "),"/"," "),"("," "),")"," "),":"," "),";"," "),"_"," "),"–"," "),"?"," "),"!"," "),"*"," "),"["," "),"]"," "),"'"," "),"#"," "),"+"," "),"&amp;"," "),"\"," "))&amp;" "</f>
        <v>  </v>
      </c>
      <c r="CE433" s="68" t="n">
        <f aca="false">IFERROR(IF(AND(LEN(AU433)&gt;0,LEN(AU433)=LEN(AX433),OR(TRIM(MID(SUBSTITUTE(TRIM(CC433)," ",REPT(" ",60)),1,60))="",ISNUMBER(SEARCH(" "&amp;TRIM(MID(SUBSTITUTE(TRIM(CC433)," ",REPT(" ",60)),1,60))&amp;" ",CD433))),OR(TRIM(MID(SUBSTITUTE(TRIM(CC433)," ",REPT(" ",60)),61,60))="",ISNUMBER(SEARCH(" "&amp;TRIM(MID(SUBSTITUTE(TRIM(CC433)," ",REPT(" ",60)),61,60))&amp;" ",CD433))),OR(TRIM(MID(SUBSTITUTE(TRIM(CC433)," ",REPT(" ",60)),121,60))="",ISNUMBER(SEARCH(" "&amp;TRIM(MID(SUBSTITUTE(TRIM(CC433)," ",REPT(" ",60)),121,60))&amp;" ",CD433)))),1,0),0)</f>
        <v>0</v>
      </c>
      <c r="CG433" s="68" t="n">
        <f aca="false">IFERROR(LEN(SUBSTITUTE(BF433," ",""))-SUMPRODUCT((LEN(BF433)-LEN(SUBSTITUTE(BF433," "&amp;L_NAFiller&amp;" "," ")))/(LEN(L_NAFiller)+1)*LEN(L_NAFiller)),0)</f>
        <v>0</v>
      </c>
    </row>
    <row r="434" customFormat="false" ht="39.75" hidden="false" customHeight="true" outlineLevel="0" collapsed="false">
      <c r="A434" s="57" t="s">
        <v>1067</v>
      </c>
      <c r="B434" s="57" t="s">
        <v>272</v>
      </c>
      <c r="C434" s="57" t="str">
        <f aca="false">Flights!$F$17</f>
        <v>MH0138</v>
      </c>
      <c r="D434" s="58" t="n">
        <f aca="false">Flights!$D$17</f>
        <v>46309</v>
      </c>
      <c r="E434" s="57" t="str">
        <f aca="false">Flights!$G$17&amp;"-"&amp;Flights!$H$17</f>
        <v>ADL-KUL</v>
      </c>
      <c r="F434" s="57" t="str">
        <f aca="false">Flights!$K$17</f>
        <v>EY</v>
      </c>
      <c r="G434" s="57" t="s">
        <v>81</v>
      </c>
      <c r="H434" s="57" t="s">
        <v>378</v>
      </c>
      <c r="I434" s="57" t="s">
        <v>405</v>
      </c>
      <c r="J434" s="57" t="s">
        <v>409</v>
      </c>
      <c r="K434" s="67" t="s">
        <v>407</v>
      </c>
      <c r="L434" s="67" t="s">
        <v>382</v>
      </c>
      <c r="M434" s="67"/>
      <c r="N434" s="67" t="s">
        <v>383</v>
      </c>
      <c r="O434" s="67"/>
      <c r="P434" s="57" t="s">
        <v>263</v>
      </c>
      <c r="Q434" s="59" t="n">
        <f aca="false">ROUND((Flights!$AC$17)*1440,0)/1440</f>
        <v>46302.0104166667</v>
      </c>
      <c r="R434" s="59" t="n">
        <f aca="false">Q434+(IF(AND(INDEX(TZ_DSTS,MATCH(P434,TZ_STN,0))&lt;&gt;"",Q434&gt;=INDEX(TZ_DSTS,MATCH(P434,TZ_STN,0)),Q434&lt;INDEX(TZ_DSTE,MATCH(P434,TZ_STN,0))),INDEX(TZ_DST,MATCH(P434,TZ_STN,0)),INDEX(TZ_STD,MATCH(P434,TZ_STN,0))))/24</f>
        <v>46302.4479166667</v>
      </c>
      <c r="S434" s="60"/>
      <c r="T434" s="60"/>
      <c r="U434" s="60"/>
      <c r="V434" s="60"/>
      <c r="W434" s="61"/>
      <c r="X434" s="60"/>
      <c r="Y434" s="60"/>
      <c r="Z434" s="60"/>
      <c r="AA434" s="60"/>
      <c r="AB434" s="60"/>
      <c r="AC434" s="60"/>
      <c r="AD434" s="66"/>
      <c r="AE434" s="60"/>
      <c r="AF434" s="61" t="str">
        <f aca="false">IF(AND(ISNUMBER(X434),ISNUMBER(Y434)),Y434-X434,"")</f>
        <v/>
      </c>
      <c r="AG434" s="62" t="str">
        <f aca="false">IF(ISNUMBER(AD434),AD434-(IF(AND(INDEX(TZ_DSTS,MATCH(P434,TZ_STN,0))&lt;&gt;"",(AD434-INDEX(TZ_STD,MATCH(P434,TZ_STN,0))/24)&gt;=INDEX(TZ_DSTS,MATCH(P434,TZ_STN,0)),(AD434-INDEX(TZ_STD,MATCH(P434,TZ_STN,0))/24)&lt;INDEX(TZ_DSTE,MATCH(P434,TZ_STN,0))),INDEX(TZ_DST,MATCH(P434,TZ_STN,0)),INDEX(TZ_STD,MATCH(P434,TZ_STN,0))))/24,"")</f>
        <v/>
      </c>
      <c r="AH434" s="65" t="str">
        <f aca="false">IFERROR(IF(N434="N/A – rule",IF(OR(TRIM(U434)="",TRIM(U434)="N/A",TRIM(U434)="Not started"),"N/A – RULE","INVALID – this check does not apply to this aircraft: clear the status (or correct the fleet on Flights)"),IF(TRIM(U434)="N/A",IF(AT434=0,"INVALID – N/A not permitted for this check",IF(AND(TRIM(AB434)&lt;&gt;"",TRIM(AB434)&lt;&gt;"Closed"),"INVALID – corrective action still open",IF(AND(NOT(OR(LEN(AZ434)&lt;15,ISNUMBER(MATCH(AZ434,L_Placeholder,0)))),BK434=0,CG434&gt;=8,NOT(OR(LEN(AU434)&lt;2,ISNUMBER(MATCH(AU434,L_Placeholder,0)))),BR434&gt;=3,NOT(OR(LEN(AX434)&lt;2,ISNUMBER(MATCH(AX434,L_Placeholder,0)))),BS434&gt;=3,TRIM(AE434)&lt;&gt;TRIM(T434),AX434&lt;&gt;AU434,CE434=0),"N/A – JUSTIFIED","INVALID – N/A needs a real, settled reason (not 'not applicable' / 'as above' / TBC), a named PIC and a different named verifier"))),IF(OR(TRIM(U434)="Pass",TRIM(U434)="Pass after CA"),IF(NOT(ISNUMBER(AD434)),"INVALID – completion time missing",IF(OR(OR(LEN(AU434)&lt;2,ISNUMBER(MATCH(AU434,L_Placeholder,0))),BR434&lt;3),"INVALID – PIC missing or not a named person (a role such as QA / CSM is not a name)",IF(OR(LEN(AV434)&lt;2,ISNUMBER(MATCH(AV434,L_Placeholder,0))),"INVALID – result / assessment missing",IF(OR(OR(LEN(AW434)&lt;3,ISNUMBER(MATCH(AW434,L_Placeholder,0))),SUMPRODUCT(--ISNUMBER(SEARCH(" "&amp;L_EvidencePhrase&amp;" ",BD434)))&gt;0,BI434=1),"INVALID – evidence missing, placeholder or not yet on file",IF(ISNA(MATCH(TRIM(S434),L_EvidenceType,0)),"INVALID – choose the evidence type from the list (column S)",IF(BL434=0,"INVALID – evidence ID must be the record's own ID only (e.g. SF-2210, IMG_2231, 1045521); a link / file name needs type 'Link / file path'",IF(OR(OR(LEN(AX434)&lt;2,ISNUMBER(MATCH(AX434,L_Placeholder,0))),BS434&lt;3),"INVALID – verifier missing or not a named person (a role such as QA / CSM is not a name)",IF(OR(AX434=AU434,CE434=1,AND(LEN(AU434)&gt;=4,ISNUMBER(SEARCH(AU434,AX434))),AND(LEN(AX434)&gt;=4,ISNUMBER(SEARCH(AX434,AU434)))),"INVALID – verifier must be a different, named person (not the PIC or a role)",IF(BH434=1,"INVALID – result not yet available (awaiting / TBC)",IF(BG434=1,"INVALID – result describes a problem: record Fail, then Pass after CA (or reword if it is not a problem)",IF(BV434=1,"INVALID – wording says not on board: an on-board confirmation needs the item loaded",IF(AND(AQ434=1,OR(OR(LEN(AY434)&lt;3,ISNUMBER(MATCH(AY434,L_Placeholder,0))),BJ434=1,BQ434=0)),"INVALID – batch ID missing, placeholder or not an ID (e.g. PASB-261008-BC-017)",IF(AND(AR434=1,OR(NOT(ISNUMBER(X434)),NOT(ISNUMBER(Y434)))),"INVALID – expected/actual qty missing",IF(AND(AR434=1,OR(X434&lt;=0,Y434&lt;0)),"INVALID – expected qty must be above 0 and actual not negative",IF(BB434&lt;&gt;"",BB434,IF(AND(AS434=1,Documents!$J$17&lt;&gt;"ON FILE"),"INVALID – GLD not on file (Documents sheet)",IF(AND(AS434=2,Documents!$O$17&lt;&gt;"ON FILE"),"INVALID – menu checklist not on file (Documents sheet)",IF(AND(AS434=3,NOT(ISNUMBER(Flights!$AX$17))),"INVALID – enter carrying flight KUL departure (Flights AX)",IF(AND(AS434=3,OR(Flights!$AZ$17&gt;Flights!$AA$17,Flights!$AX$17&lt;Flights!$AA$17-3)),"INVALID – carrying flight (Flights AX) cannot arrive before this leg's STD, or is over 3 days early",IF(AG434&gt;AsOfUTC,"INVALID – completion time is in the future",IF(AND(ISNUMBER(BY434),AG434&lt;BY434),IF(H434="Physical uplift","INVALID – before uplift window (cannot confirm loading)","INVALID – before valid window"),IF(AG434&gt;Flights!$AA$17,"INVALID – completed after departure (cannot establish readiness)",IF(AND(H434="Preparation",AG434&gt;=IF(ISNUMBER(Flights!$BA$17),MIN(Flights!$BA$17,Flights!$AA$17),Flights!$AA$17)),"INVALID – completed after loading / departure (cannot establish readiness)",IF(AND(H434="Physical uplift",AG434&gt;Q434),"INVALID – recorded after the loading flight departed",IF(AG434&gt;Q434,"COMPLETE – LATE","COMPLETE"))))))))))))))))))))))))),IF(TRIM(U434)="Fail","FAIL – DISCREPANCY",IF(AND(TRIM(U434)&lt;&gt;"",TRIM(U434)&lt;&gt;"Not started",TRIM(U434)&lt;&gt;"In progress"),"INVALID – unrecognised status (use the list)",IF(AsOfUTC&gt;Q434,"OVERDUE",IF(N434="Clarification required","OPEN – CLARIFICATION","OPEN"))))))),"INVALID – error value in an input cell")</f>
        <v>OPEN</v>
      </c>
      <c r="AI434" s="61" t="n">
        <f aca="false">IF(OR(AH434="N/A – RULE",AH434="N/A – JUSTIFIED"),0,1)</f>
        <v>1</v>
      </c>
      <c r="AJ434" s="61" t="n">
        <f aca="false">IF(LEFT(AH434,8)="COMPLETE",1,0)</f>
        <v>0</v>
      </c>
      <c r="AK434" s="61" t="n">
        <f aca="false">IF(AND(AI434=1,AJ434=0,AsOfUTC&gt;Q434),1,0)</f>
        <v>0</v>
      </c>
      <c r="AL434" s="61" t="n">
        <f aca="false">IFERROR(IF(AND(AI434=1,OR(TRIM(U434)="Fail",AND(TRIM(AB434)&lt;&gt;"",TRIM(AB434)&lt;&gt;"Closed"),AND(ISNUMBER(AF434),AF434&lt;&gt;0,TRIM(U434)&lt;&gt;"Pass after CA"))),1,0),1)</f>
        <v>0</v>
      </c>
      <c r="AM434" s="61" t="n">
        <f aca="false">IF(LEFT(AH434,7)="INVALID",1,0)</f>
        <v>0</v>
      </c>
      <c r="AN434" s="61" t="n">
        <f aca="false">IF(AND(N434="Clarification required",AI434=1,AJ434=0),1,0)</f>
        <v>0</v>
      </c>
      <c r="AO434" s="61" t="str">
        <f aca="false">IF(AK434=1,SUM(AK$5:AK434),"")</f>
        <v/>
      </c>
      <c r="AP434" s="61" t="str">
        <f aca="false">IF(AL434=1,SUM(AL$5:AL434),"")</f>
        <v/>
      </c>
      <c r="AQ434" s="61" t="n">
        <v>0</v>
      </c>
      <c r="AR434" s="61" t="n">
        <v>0</v>
      </c>
      <c r="AS434" s="61" t="n">
        <v>2</v>
      </c>
      <c r="AT434" s="61" t="n">
        <v>0</v>
      </c>
      <c r="AU434" s="61" t="str">
        <f aca="false">SUBSTITUTE(SUBSTITUTE(SUBSTITUTE(SUBSTITUTE(SUBSTITUTE(SUBSTITUTE(SUBSTITUTE(SUBSTITUTE(SUBSTITUTE(SUBSTITUTE(SUBSTITUTE(SUBSTITUTE(SUBSTITUTE(SUBSTITUTE(SUBSTITUTE(SUBSTITUTE(LOWER(T434&amp;""),CHAR(10),""),CHAR(13),""),CHAR(9),""),CHAR(160),"")," ",""),".",""),"-",""),"/",""),"?",""),"_",""),",",""),"[",""),"]",""),"(",""),")",""),"*","")</f>
        <v/>
      </c>
      <c r="AV434" s="61" t="str">
        <f aca="false">SUBSTITUTE(SUBSTITUTE(SUBSTITUTE(SUBSTITUTE(SUBSTITUTE(SUBSTITUTE(SUBSTITUTE(SUBSTITUTE(SUBSTITUTE(SUBSTITUTE(SUBSTITUTE(SUBSTITUTE(SUBSTITUTE(SUBSTITUTE(SUBSTITUTE(SUBSTITUTE(LOWER(V434&amp;""),CHAR(10),""),CHAR(13),""),CHAR(9),""),CHAR(160),"")," ",""),".",""),"-",""),"/",""),"?",""),"_",""),",",""),"[",""),"]",""),"(",""),")",""),"*","")</f>
        <v/>
      </c>
      <c r="AW434" s="61" t="str">
        <f aca="false">SUBSTITUTE(SUBSTITUTE(SUBSTITUTE(SUBSTITUTE(SUBSTITUTE(SUBSTITUTE(SUBSTITUTE(SUBSTITUTE(SUBSTITUTE(SUBSTITUTE(SUBSTITUTE(SUBSTITUTE(SUBSTITUTE(SUBSTITUTE(SUBSTITUTE(SUBSTITUTE(LOWER(Z434&amp;""),CHAR(10),""),CHAR(13),""),CHAR(9),""),CHAR(160),"")," ",""),".",""),"-",""),"/",""),"?",""),"_",""),",",""),"[",""),"]",""),"(",""),")",""),"*","")</f>
        <v/>
      </c>
      <c r="AX434" s="61" t="str">
        <f aca="false">SUBSTITUTE(SUBSTITUTE(SUBSTITUTE(SUBSTITUTE(SUBSTITUTE(SUBSTITUTE(SUBSTITUTE(SUBSTITUTE(SUBSTITUTE(SUBSTITUTE(SUBSTITUTE(SUBSTITUTE(SUBSTITUTE(SUBSTITUTE(SUBSTITUTE(SUBSTITUTE(LOWER(AE434&amp;""),CHAR(10),""),CHAR(13),""),CHAR(9),""),CHAR(160),"")," ",""),".",""),"-",""),"/",""),"?",""),"_",""),",",""),"[",""),"]",""),"(",""),")",""),"*","")</f>
        <v/>
      </c>
      <c r="AY434" s="61" t="str">
        <f aca="false">SUBSTITUTE(SUBSTITUTE(SUBSTITUTE(SUBSTITUTE(SUBSTITUTE(SUBSTITUTE(SUBSTITUTE(SUBSTITUTE(SUBSTITUTE(SUBSTITUTE(SUBSTITUTE(SUBSTITUTE(SUBSTITUTE(SUBSTITUTE(SUBSTITUTE(SUBSTITUTE(LOWER(W434&amp;""),CHAR(10),""),CHAR(13),""),CHAR(9),""),CHAR(160),"")," ",""),".",""),"-",""),"/",""),"?",""),"_",""),",",""),"[",""),"]",""),"(",""),")",""),"*","")</f>
        <v/>
      </c>
      <c r="AZ434" s="61" t="str">
        <f aca="false">SUBSTITUTE(SUBSTITUTE(SUBSTITUTE(SUBSTITUTE(SUBSTITUTE(SUBSTITUTE(SUBSTITUTE(SUBSTITUTE(SUBSTITUTE(SUBSTITUTE(SUBSTITUTE(SUBSTITUTE(SUBSTITUTE(SUBSTITUTE(SUBSTITUTE(SUBSTITUTE(LOWER(AC434&amp;""),CHAR(10),""),CHAR(13),""),CHAR(9),""),CHAR(160),"")," ",""),".",""),"-",""),"/",""),"?",""),"_",""),",",""),"[",""),"]",""),"(",""),")",""),"*","")</f>
        <v/>
      </c>
      <c r="BA434" s="61" t="str">
        <f aca="false">SUBSTITUTE(SUBSTITUTE(SUBSTITUTE(SUBSTITUTE(SUBSTITUTE(SUBSTITUTE(SUBSTITUTE(SUBSTITUTE(SUBSTITUTE(SUBSTITUTE(SUBSTITUTE(SUBSTITUTE(SUBSTITUTE(SUBSTITUTE(SUBSTITUTE(SUBSTITUTE(LOWER(AA434&amp;""),CHAR(10),""),CHAR(13),""),CHAR(9),""),CHAR(160),"")," ",""),".",""),"-",""),"/",""),"?",""),"_",""),",",""),"[",""),"]",""),"(",""),")",""),"*","")</f>
        <v/>
      </c>
      <c r="BB434" s="61" t="str">
        <f aca="false">IF(AND(TRIM(U434)="Pass",ISNUMBER(AF434)),IF(AF434&lt;&gt;0,"INVALID – qty variance: use Fail or Pass after CA",""),"")&amp;IF(AND(TRIM(U434)="Pass after CA",ISNUMBER(AF434)),IF(AF434&lt;&gt;0,"INVALID – after the corrective action the actual qty must equal expected (update Actual)",""),"")&amp;IF(AND(TRIM(U434)="Pass",TRIM(AB434)&lt;&gt;"",TRIM(AB434)&lt;&gt;"Closed"),"INVALID – corrective action not closed: use Fail, then Pass after CA","")&amp;IF(AND(LEN(BA434)&gt;=2,ISNA(MATCH(LEFT(BA434,255),L_Placeholder,0)),TRIM(AB434)=""),"INVALID – CA status missing for the recorded corrective action","")&amp;IF(AND(TRIM(U434)="Pass after CA",OR(OR(LEN(BA434)&lt;5,ISNUMBER(MATCH(BA434,L_Placeholder,0))),TRIM(AB434)&lt;&gt;"Closed")),"INVALID – corrective action not recorded/closed","")</f>
        <v/>
      </c>
      <c r="BC434" s="61" t="str">
        <f aca="false">" "&amp;TRIM(SUBSTITUTE(SUBSTITUTE(SUBSTITUTE(SUBSTITUTE(SUBSTITUTE(SUBSTITUTE(SUBSTITUTE(SUBSTITUTE(SUBSTITUTE(SUBSTITUTE(SUBSTITUTE(SUBSTITUTE(SUBSTITUTE(SUBSTITUTE(SUBSTITUTE(SUBSTITUTE(SUBSTITUTE(SUBSTITUTE(SUBSTITUTE(SUBSTITUTE(SUBSTITUTE(SUBSTITUTE(SUBSTITUTE(SUBSTITUTE(LOWER(V434&amp;""),CHAR(10)," "),CHAR(13)," "),CHAR(9)," "),CHAR(160)," "),"."," "),","," "),"-"," "),"/"," "),"("," "),")"," "),":"," "),";"," "),"_"," "),"–"," "),"?"," "),"!"," "),"*"," "),"["," "),"]"," "),"'"," "),"#"," "),"+"," "),"&amp;"," "),"\"," "))&amp;" "</f>
        <v>  </v>
      </c>
      <c r="BD434" s="61" t="str">
        <f aca="false">" "&amp;TRIM(SUBSTITUTE(SUBSTITUTE(SUBSTITUTE(SUBSTITUTE(SUBSTITUTE(SUBSTITUTE(SUBSTITUTE(SUBSTITUTE(SUBSTITUTE(SUBSTITUTE(SUBSTITUTE(SUBSTITUTE(SUBSTITUTE(SUBSTITUTE(SUBSTITUTE(SUBSTITUTE(SUBSTITUTE(SUBSTITUTE(SUBSTITUTE(SUBSTITUTE(SUBSTITUTE(SUBSTITUTE(SUBSTITUTE(SUBSTITUTE(LOWER(Z434&amp;""),CHAR(10)," "),CHAR(13)," "),CHAR(9)," "),CHAR(160)," "),"."," "),","," "),"-"," "),"/"," "),"("," "),")"," "),":"," "),";"," "),"_"," "),"–"," "),"?"," "),"!"," "),"*"," "),"["," "),"]"," "),"'"," "),"#"," "),"+"," "),"&amp;"," "),"\"," "))&amp;" "</f>
        <v>  </v>
      </c>
      <c r="BE434" s="61" t="str">
        <f aca="false">" "&amp;TRIM(SUBSTITUTE(SUBSTITUTE(SUBSTITUTE(SUBSTITUTE(SUBSTITUTE(SUBSTITUTE(SUBSTITUTE(SUBSTITUTE(SUBSTITUTE(SUBSTITUTE(SUBSTITUTE(SUBSTITUTE(SUBSTITUTE(SUBSTITUTE(SUBSTITUTE(SUBSTITUTE(SUBSTITUTE(SUBSTITUTE(SUBSTITUTE(SUBSTITUTE(SUBSTITUTE(SUBSTITUTE(SUBSTITUTE(SUBSTITUTE(LOWER(W434&amp;""),CHAR(10)," "),CHAR(13)," "),CHAR(9)," "),CHAR(160)," "),"."," "),","," "),"-"," "),"/"," "),"("," "),")"," "),":"," "),";"," "),"_"," "),"–"," "),"?"," "),"!"," "),"*"," "),"["," "),"]"," "),"'"," "),"#"," "),"+"," "),"&amp;"," "),"\"," "))&amp;" "</f>
        <v>  </v>
      </c>
      <c r="BF434" s="61" t="str">
        <f aca="false">" "&amp;TRIM(SUBSTITUTE(SUBSTITUTE(SUBSTITUTE(SUBSTITUTE(SUBSTITUTE(SUBSTITUTE(SUBSTITUTE(SUBSTITUTE(SUBSTITUTE(SUBSTITUTE(SUBSTITUTE(SUBSTITUTE(SUBSTITUTE(SUBSTITUTE(SUBSTITUTE(SUBSTITUTE(SUBSTITUTE(SUBSTITUTE(SUBSTITUTE(SUBSTITUTE(SUBSTITUTE(SUBSTITUTE(SUBSTITUTE(SUBSTITUTE(LOWER(AC434&amp;""),CHAR(10)," "),CHAR(13)," "),CHAR(9)," "),CHAR(160)," "),"."," "),","," "),"-"," "),"/"," "),"("," "),")"," "),":"," "),";"," "),"_"," "),"–"," "),"?"," "),"!"," "),"*"," "),"["," "),"]"," "),"'"," "),"#"," "),"+"," "),"&amp;"," "),"\"," "))&amp;" "</f>
        <v>  </v>
      </c>
      <c r="BG434" s="61" t="n">
        <f aca="false">IFERROR(IF(AND(TRIM(U434)="Pass",SUMPRODUCT((LEN(BC434)-LEN(SUBSTITUTE(BC434," "&amp;L_ResultBad&amp;" "," ")))/(LEN(L_ResultBad)+1))&gt;SUMPRODUCT((LEN(BC434)-LEN(SUBSTITUTE(BC434," "&amp;L_NegPhrase&amp;" "," ")))/(LEN(L_NegPhrase)+1))),1,0),0)</f>
        <v>0</v>
      </c>
      <c r="BH434" s="61" t="n">
        <f aca="false">IFERROR(IF(SUMPRODUCT((LEN(BC434)-LEN(SUBSTITUTE(BC434," "&amp;L_Pending&amp;" "," ")))/(LEN(L_Pending)+1))&gt;SUMPRODUCT((LEN(BC434)-LEN(SUBSTITUTE(BC434," "&amp;L_PendNeg&amp;" "," ")))/(LEN(L_PendNeg)+1))+SUMPRODUCT((LEN(BC434)-LEN(SUBSTITUTE(BC434," "&amp;L_PendPrep&amp;" "," ")))/(LEN(L_PendPrep)+1)),1,0),1)</f>
        <v>0</v>
      </c>
      <c r="BI434" s="61" t="n">
        <f aca="false">IFERROR(IF(SUMPRODUCT((LEN(BD434)-LEN(SUBSTITUTE(BD434," "&amp;L_PendStrict&amp;" "," ")))/(LEN(L_PendStrict)+1))&gt;SUMPRODUCT((LEN(BD434)-LEN(SUBSTITUTE(BD434," "&amp;L_PendNeg&amp;" "," ")))/(LEN(L_PendNeg)+1)),1,0),1)</f>
        <v>0</v>
      </c>
      <c r="BJ434" s="61" t="n">
        <f aca="false">IFERROR(IF(SUMPRODUCT((LEN(BE434)-LEN(SUBSTITUTE(BE434," "&amp;L_Pending&amp;" "," ")))/(LEN(L_Pending)+1))&gt;SUMPRODUCT((LEN(BE434)-LEN(SUBSTITUTE(BE434," "&amp;L_PendNeg&amp;" "," ")))/(LEN(L_PendNeg)+1))+SUMPRODUCT((LEN(BE434)-LEN(SUBSTITUTE(BE434," "&amp;L_PendPrep&amp;" "," ")))/(LEN(L_PendPrep)+1)),1,0),1)</f>
        <v>0</v>
      </c>
      <c r="BK434" s="61" t="n">
        <f aca="false">IFERROR(IF(SUMPRODUCT((LEN(BF434)-LEN(SUBSTITUTE(BF434," "&amp;L_PendStrict&amp;" "," ")))/(LEN(L_PendStrict)+1))&gt;SUMPRODUCT((LEN(BF434)-LEN(SUBSTITUTE(BF434," "&amp;L_PendNeg&amp;" "," ")))/(LEN(L_PendNeg)+1)),1,0),1)</f>
        <v>0</v>
      </c>
      <c r="BL434" s="61" t="n">
        <f aca="false">IF(ISNA(MATCH(TRIM(S434),L_EvidenceType,0)),0,BZ434)</f>
        <v>0</v>
      </c>
      <c r="BM434" s="61" t="str">
        <f aca="false">SUBSTITUTE(SUBSTITUTE(SUBSTITUTE(SUBSTITUTE(SUBSTITUTE(SUBSTITUTE(SUBSTITUTE(SUBSTITUTE(SUBSTITUTE(LOWER(Z434&amp;""),"1","0"),"2","0"),"3","0"),"4","0"),"5","0"),"6","0"),"7","0"),"8","0"),"9","0")</f>
        <v/>
      </c>
      <c r="BN434" s="61" t="str">
        <f aca="false">SUBSTITUTE(SUBSTITUTE(SUBSTITUTE(SUBSTITUTE(SUBSTITUTE(SUBSTITUTE(SUBSTITUTE(SUBSTITUTE(SUBSTITUTE(SUBSTITUTE(SUBSTITUTE(SUBSTITUTE(SUBSTITUTE(SUBSTITUTE(SUBSTITUTE(SUBSTITUTE(SUBSTITUTE(SUBSTITUTE(SUBSTITUTE(SUBSTITUTE(SUBSTITUTE(SUBSTITUTE(SUBSTITUTE(SUBSTITUTE(SUBSTITUTE(BM434,"b","a"),"c","a"),"d","a"),"e","a"),"f","a"),"g","a"),"h","a"),"i","a"),"j","a"),"k","a"),"l","a"),"m","a"),"n","a"),"o","a"),"p","a"),"q","a"),"r","a"),"s","a"),"t","a"),"u","a"),"v","a"),"w","a"),"x","a"),"y","a"),"z","a")</f>
        <v/>
      </c>
      <c r="BO434" s="61" t="str">
        <f aca="false">SUBSTITUTE(SUBSTITUTE(SUBSTITUTE(SUBSTITUTE(SUBSTITUTE(SUBSTITUTE(SUBSTITUTE(SUBSTITUTE(SUBSTITUTE(LOWER(W434&amp;""),"1","0"),"2","0"),"3","0"),"4","0"),"5","0"),"6","0"),"7","0"),"8","0"),"9","0")</f>
        <v/>
      </c>
      <c r="BP434" s="61" t="str">
        <f aca="false">SUBSTITUTE(SUBSTITUTE(SUBSTITUTE(SUBSTITUTE(SUBSTITUTE(SUBSTITUTE(SUBSTITUTE(SUBSTITUTE(SUBSTITUTE(SUBSTITUTE(SUBSTITUTE(SUBSTITUTE(SUBSTITUTE(SUBSTITUTE(SUBSTITUTE(SUBSTITUTE(SUBSTITUTE(SUBSTITUTE(SUBSTITUTE(SUBSTITUTE(SUBSTITUTE(SUBSTITUTE(SUBSTITUTE(SUBSTITUTE(SUBSTITUTE(BO434,"b","a"),"c","a"),"d","a"),"e","a"),"f","a"),"g","a"),"h","a"),"i","a"),"j","a"),"k","a"),"l","a"),"m","a"),"n","a"),"o","a"),"p","a"),"q","a"),"r","a"),"s","a"),"t","a"),"u","a"),"v","a"),"w","a"),"x","a"),"y","a"),"z","a")</f>
        <v/>
      </c>
      <c r="BQ434" s="61" t="n">
        <f aca="false">IFERROR(IF(AND(ISERROR(SEARCH(" mh"," "&amp;LOWER(W434))),ISNA(MATCH(LEFT(TRIM(BP434),255),{"0000a","000a","00a","0000aa","000aa","00aa","0aa","0000aaa","000aaa","00a00","0a00","0000-0000","00:00","a00","a0","00.00.0000","00/00/0000","00-00-0000","0000-00-00","0000/00/00","0000.00.00","00.00.00","00/00/00","00-00-00","0.00.0000","0/00/0000","0-00-0000"},0)),ISNA(MATCH(LEFT(TRIM(CA434),255),{"0000a","000a","00a","0000aa","000aa","00aa","0aa","0000aaa","000aaa","00a00","0a00","0000-0000","00:00","a00","a0","00.00.0000","00/00/0000","00-00-0000","0000-00-00","0000/00/00","0000.00.00","00.00.00","00/00/00","00-00-00","0.00.0000","0/00/0000","0-00-0000"},0)),LEN(CB434)&gt;=3,NOT(OR(SUBSTITUTE(CB434,"0","")="",AND(LEN(CB434)&gt;=4,CB434=REPT(LEFT(CB434),LEN(CB434))),ISNUMBER(MATCH(CB434,{"123","1234","12345","123456","1234567","12345678","0123","01234","012345","98765","987654","54321"},0)),AND(LEN(CB434)=8,LEFT(CB434,3)="202"))),OR(AND((LEN(CA434)-LEN(SUBSTITUTE(CA434,"a","")))&gt;=1,SUMPRODUCT(--ISNUMBER(SEARCH({"a0","a-0","a_0","a/0","a.0","a#0","0a","0-a","0_a","0/a"},BP434)))&gt;0),ISNUMBER(SEARCH("000000",BP434)))),1,0),0)</f>
        <v>0</v>
      </c>
      <c r="BR434" s="61" t="n">
        <f aca="false">IFERROR(LEN(SUBSTITUTE(CC434," ",""))-SUMPRODUCT((LEN(CC434)-LEN(SUBSTITUTE(CC434," "&amp;L_Role&amp;" "," ")))/(LEN(L_Role)+1)*LEN(L_Role)),0)</f>
        <v>0</v>
      </c>
      <c r="BS434" s="61" t="n">
        <f aca="false">IFERROR(LEN(SUBSTITUTE(CD434," ",""))-SUMPRODUCT((LEN(CD434)-LEN(SUBSTITUTE(CD434," "&amp;L_Role&amp;" "," ")))/(LEN(L_Role)+1)*LEN(L_Role)),0)</f>
        <v>0</v>
      </c>
      <c r="BT4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434,"revision",""),"version",""),"jan",""),"feb",""),"mar",""),"apr",""),"may",""),"jun",""),"jul",""),"aug",""),"sep",""),"oct",""),"nov",""),"dec",""),"utc",""),"gmt",""),"myt",""),"bst",""),"rev",""),"ver",""),"b","a"),"c","a"),"d","a"),"e","a"),"f","a"),"g","a"),"h","a"),"i","a"),"j","a"),"k","a"),"l","a"),"m","a"),"n","a"),"o","a"),"p","a"),"q","a"),"r","a"),"s","a"),"t","a"),"u","a"),"v","a"),"w","a"),"x","a"),"y","a"),"z","a")</f>
        <v/>
      </c>
      <c r="BU434" s="61" t="str">
        <f aca="false">SUBSTITUTE(SUBSTITUTE(SUBSTITUTE(SUBSTITUTE(SUBSTITUTE(SUBSTITUTE(SUBSTITUTE(SUBSTITUTE(SUBSTITUTE(SUBSTITUTE(LEFT(BM434,FIND("0",BM434&amp;"0")-1),"-",""),"_",""),"/",""),".",""),"#",""),"\\",""),":","")," ",""),"(",""),")","")</f>
        <v/>
      </c>
      <c r="BV434" s="61" t="n">
        <f aca="false">0</f>
        <v>0</v>
      </c>
      <c r="BW4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434&amp;""),"a",""),"b",""),"c",""),"d",""),"e",""),"f",""),"g",""),"h",""),"i",""),"j",""),"k",""),"l",""),"m",""),"n",""),"o",""),"p",""),"q",""),"r",""),"s",""),"t",""),"u",""),"v",""),"w",""),"x",""),"y",""),"z",""),"-",""),"_",""),"/",""),".",""),"#",""),"\\",""),":","")," ",""),"(",""),")","")</f>
        <v/>
      </c>
      <c r="BX434" s="61" t="str">
        <f aca="false">SUBSTITUTE(SUBSTITUTE(SUBSTITUTE(SUBSTITUTE(SUBSTITUTE(SUBSTITUTE(SUBSTITUTE(SUBSTITUTE(SUBSTITUTE(SUBSTITUTE(SUBSTITUTE(BM434,"0",""),"-",""),"_",""),"/",""),".",""),"#",""),"\\",""),":","")," ",""),"(",""),")","")</f>
        <v/>
      </c>
      <c r="BY434" s="62" t="n">
        <f aca="false">Q434-T7EarlyD*24/24</f>
        <v>46288.0104166667</v>
      </c>
      <c r="BZ434" s="61" t="n">
        <f aca="false">IFERROR(IF(IF(TRIM(S434)="Link / file path",AND(LEN(TRIM(Z434))&gt;=5,SUMPRODUCT(--ISNUMBER(SEARCH({"http","www.","\\",":\",".pdf",".jpg",".jpeg",".png",".heic",".xls",".doc",".msg",".eml",".ppt",".txt",".zip"},Z434)))&gt;0),AND(ISERROR(FIND(" ",TRIM(Z434))),NOT(OR(SUMPRODUCT(--ISNUMBER(FIND({",",";","&amp;","+"},Z434)))&gt;0,SUMPRODUCT(--ISNUMBER(SEARCH({"0/aa","0\\aa"},BN434)))&gt;0)),NOT(SUMPRODUCT(--ISNUMBER(SEARCH({"http","www.","\\",":\",".pdf",".jpg",".jpeg",".png",".heic",".xls",".doc",".msg",".eml",".ppt",".txt",".zip"},Z434)))&gt;0),NOT(LOWER(TRIM(Z434))=LOWER(Flights!$F$17)),ISNA(MATCH(BU434,{"mh","rev","revision","ver","version","v","r","a","b","seat","tray","row","gate","bay","stand","page","pg","item","line","no","cart","galley","flight","flt","table","box","bag","oven","etd","eta","std","sta","atd","ata","qty","pax","x","time","tel","ph","mob","day","wk","week","utc","gmt","myt","lt"},0)),NOT(OR(ISNUMBER(MATCH(LEFT(BN434,255),{"0000a","000a","00a","0000aa","000aa","00aa","0aa","0000aaa","000aaa","00a00","0a00","0000-0000","00:00","a00","a0","00.00.0000","00/00/0000","00-00-0000","0000-00-00","0000/00/00","0000.00.00","00.00.00","00/00/00","00-00-00","0.00.0000","0/00/0000","0-00-0000"},0)),ISNUMBER(MATCH(LEFT(BT434,255),{"0000a","000a","00a","0000aa","000aa","00aa","0aa","0000aaa","000aaa","00a00","0a00","0000-0000","00:00","a00","a0","00.00.0000","00/00/0000","00-00-0000","0000-00-00","0000/00/00","0000.00.00","00.00.00","00/00/00","00-00-00","0.00.0000","0/00/0000","0-00-0000"},0)))),NOT(OR(AND(BW434&lt;&gt;"",SUBSTITUTE(BW434,"0","")=""),AND(LEN(BW434)&gt;=4,BW434=REPT(LEFT(BW434),LEN(BW434))),ISNUMBER(MATCH(BW434,{"123","1234","12345","123456","1234567","12345678","0123","01234","012345","98765","987654","54321"},0)),ISNUMBER(MATCH(BX434,{"x","xx","xxx","xxxx","xxxxx","abc","abcd","nil","na","nan","test","tbc","tba","tbd","dummy","sample","example","eg","zz","zzz","none","null","xyz","qwe","asd","id","ref"},0)),AND(LEN(BW434)=8,BX434="",OR(LEFT(BW434,3)="202",ISNUMBER(MATCH(RIGHT(BW434,4),{"2025","2026","2027"},0)))))),OR(AND((LEN(BT434)-LEN(SUBSTITUTE(BT434,"a","")))&gt;=1,(LEN(BN434)-LEN(SUBSTITUTE(BN434,"0","")))&gt;=2,SUMPRODUCT(--ISNUMBER(SEARCH({"a0","a-0","a_0","a/0","a.0","a#0","0a","0-a","0_a","0/a"},BN434)))&gt;0),AND((LEN(BN434)-LEN(SUBSTITUTE(BN434,"a","")))=0,(LEN(BN434)-LEN(SUBSTITUTE(BN434,"0","")))&gt;=5)))),1,0),0)</f>
        <v>0</v>
      </c>
      <c r="CA4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434,"revision",""),"version",""),"jan",""),"feb",""),"mar",""),"apr",""),"may",""),"jun",""),"jul",""),"aug",""),"sep",""),"oct",""),"nov",""),"dec",""),"utc",""),"gmt",""),"myt",""),"bst",""),"rev",""),"ver",""),"b","a"),"c","a"),"d","a"),"e","a"),"f","a"),"g","a"),"h","a"),"i","a"),"j","a"),"k","a"),"l","a"),"m","a"),"n","a"),"o","a"),"p","a"),"q","a"),"r","a"),"s","a"),"t","a"),"u","a"),"v","a"),"w","a"),"x","a"),"y","a"),"z","a")</f>
        <v/>
      </c>
      <c r="CB4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434&amp;""),"a",""),"b",""),"c",""),"d",""),"e",""),"f",""),"g",""),"h",""),"i",""),"j",""),"k",""),"l",""),"m",""),"n",""),"o",""),"p",""),"q",""),"r",""),"s",""),"t",""),"u",""),"v",""),"w",""),"x",""),"y",""),"z",""),"-",""),"_",""),"/",""),".",""),"#",""),"\\",""),":","")," ",""),"(",""),")","")</f>
        <v/>
      </c>
      <c r="CC434" s="0" t="str">
        <f aca="false">" "&amp;TRIM(SUBSTITUTE(SUBSTITUTE(SUBSTITUTE(SUBSTITUTE(SUBSTITUTE(SUBSTITUTE(SUBSTITUTE(SUBSTITUTE(SUBSTITUTE(SUBSTITUTE(SUBSTITUTE(SUBSTITUTE(SUBSTITUTE(SUBSTITUTE(SUBSTITUTE(SUBSTITUTE(SUBSTITUTE(SUBSTITUTE(SUBSTITUTE(SUBSTITUTE(SUBSTITUTE(SUBSTITUTE(SUBSTITUTE(SUBSTITUTE(LOWER(T434&amp;""),CHAR(10)," "),CHAR(13)," "),CHAR(9)," "),CHAR(160)," "),"."," "),","," "),"-"," "),"/"," "),"("," "),")"," "),":"," "),";"," "),"_"," "),"–"," "),"?"," "),"!"," "),"*"," "),"["," "),"]"," "),"'"," "),"#"," "),"+"," "),"&amp;"," "),"\"," "))&amp;" "</f>
        <v>  </v>
      </c>
      <c r="CD434" s="0" t="str">
        <f aca="false">" "&amp;TRIM(SUBSTITUTE(SUBSTITUTE(SUBSTITUTE(SUBSTITUTE(SUBSTITUTE(SUBSTITUTE(SUBSTITUTE(SUBSTITUTE(SUBSTITUTE(SUBSTITUTE(SUBSTITUTE(SUBSTITUTE(SUBSTITUTE(SUBSTITUTE(SUBSTITUTE(SUBSTITUTE(SUBSTITUTE(SUBSTITUTE(SUBSTITUTE(SUBSTITUTE(SUBSTITUTE(SUBSTITUTE(SUBSTITUTE(SUBSTITUTE(LOWER(AE434&amp;""),CHAR(10)," "),CHAR(13)," "),CHAR(9)," "),CHAR(160)," "),"."," "),","," "),"-"," "),"/"," "),"("," "),")"," "),":"," "),";"," "),"_"," "),"–"," "),"?"," "),"!"," "),"*"," "),"["," "),"]"," "),"'"," "),"#"," "),"+"," "),"&amp;"," "),"\"," "))&amp;" "</f>
        <v>  </v>
      </c>
      <c r="CE434" s="68" t="n">
        <f aca="false">IFERROR(IF(AND(LEN(AU434)&gt;0,LEN(AU434)=LEN(AX434),OR(TRIM(MID(SUBSTITUTE(TRIM(CC434)," ",REPT(" ",60)),1,60))="",ISNUMBER(SEARCH(" "&amp;TRIM(MID(SUBSTITUTE(TRIM(CC434)," ",REPT(" ",60)),1,60))&amp;" ",CD434))),OR(TRIM(MID(SUBSTITUTE(TRIM(CC434)," ",REPT(" ",60)),61,60))="",ISNUMBER(SEARCH(" "&amp;TRIM(MID(SUBSTITUTE(TRIM(CC434)," ",REPT(" ",60)),61,60))&amp;" ",CD434))),OR(TRIM(MID(SUBSTITUTE(TRIM(CC434)," ",REPT(" ",60)),121,60))="",ISNUMBER(SEARCH(" "&amp;TRIM(MID(SUBSTITUTE(TRIM(CC434)," ",REPT(" ",60)),121,60))&amp;" ",CD434)))),1,0),0)</f>
        <v>0</v>
      </c>
      <c r="CG434" s="68" t="n">
        <f aca="false">IFERROR(LEN(SUBSTITUTE(BF434," ",""))-SUMPRODUCT((LEN(BF434)-LEN(SUBSTITUTE(BF434," "&amp;L_NAFiller&amp;" "," ")))/(LEN(L_NAFiller)+1)*LEN(L_NAFiller)),0)</f>
        <v>0</v>
      </c>
    </row>
    <row r="435" customFormat="false" ht="39.75" hidden="false" customHeight="true" outlineLevel="0" collapsed="false">
      <c r="A435" s="57" t="s">
        <v>1068</v>
      </c>
      <c r="B435" s="57" t="s">
        <v>272</v>
      </c>
      <c r="C435" s="57" t="str">
        <f aca="false">Flights!$F$17</f>
        <v>MH0138</v>
      </c>
      <c r="D435" s="58" t="n">
        <f aca="false">Flights!$D$17</f>
        <v>46309</v>
      </c>
      <c r="E435" s="57" t="str">
        <f aca="false">Flights!$G$17&amp;"-"&amp;Flights!$H$17</f>
        <v>ADL-KUL</v>
      </c>
      <c r="F435" s="57" t="str">
        <f aca="false">Flights!$K$17</f>
        <v>EY</v>
      </c>
      <c r="G435" s="57" t="s">
        <v>81</v>
      </c>
      <c r="H435" s="57" t="s">
        <v>378</v>
      </c>
      <c r="I435" s="57" t="s">
        <v>411</v>
      </c>
      <c r="J435" s="57" t="s">
        <v>412</v>
      </c>
      <c r="K435" s="67" t="s">
        <v>1069</v>
      </c>
      <c r="L435" s="67" t="s">
        <v>1003</v>
      </c>
      <c r="M435" s="67"/>
      <c r="N435" s="67" t="s">
        <v>383</v>
      </c>
      <c r="O435" s="67"/>
      <c r="P435" s="57" t="s">
        <v>263</v>
      </c>
      <c r="Q435" s="59" t="n">
        <f aca="false">ROUND((Flights!$AC$17)*1440,0)/1440</f>
        <v>46302.0104166667</v>
      </c>
      <c r="R435" s="59" t="n">
        <f aca="false">Q435+(IF(AND(INDEX(TZ_DSTS,MATCH(P435,TZ_STN,0))&lt;&gt;"",Q435&gt;=INDEX(TZ_DSTS,MATCH(P435,TZ_STN,0)),Q435&lt;INDEX(TZ_DSTE,MATCH(P435,TZ_STN,0))),INDEX(TZ_DST,MATCH(P435,TZ_STN,0)),INDEX(TZ_STD,MATCH(P435,TZ_STN,0))))/24</f>
        <v>46302.4479166667</v>
      </c>
      <c r="S435" s="60"/>
      <c r="T435" s="60"/>
      <c r="U435" s="60"/>
      <c r="V435" s="60"/>
      <c r="W435" s="61"/>
      <c r="X435" s="60"/>
      <c r="Y435" s="60"/>
      <c r="Z435" s="60"/>
      <c r="AA435" s="60"/>
      <c r="AB435" s="60"/>
      <c r="AC435" s="60"/>
      <c r="AD435" s="66"/>
      <c r="AE435" s="60"/>
      <c r="AF435" s="61" t="str">
        <f aca="false">IF(AND(ISNUMBER(X435),ISNUMBER(Y435)),Y435-X435,"")</f>
        <v/>
      </c>
      <c r="AG435" s="62" t="str">
        <f aca="false">IF(ISNUMBER(AD435),AD435-(IF(AND(INDEX(TZ_DSTS,MATCH(P435,TZ_STN,0))&lt;&gt;"",(AD435-INDEX(TZ_STD,MATCH(P435,TZ_STN,0))/24)&gt;=INDEX(TZ_DSTS,MATCH(P435,TZ_STN,0)),(AD435-INDEX(TZ_STD,MATCH(P435,TZ_STN,0))/24)&lt;INDEX(TZ_DSTE,MATCH(P435,TZ_STN,0))),INDEX(TZ_DST,MATCH(P435,TZ_STN,0)),INDEX(TZ_STD,MATCH(P435,TZ_STN,0))))/24,"")</f>
        <v/>
      </c>
      <c r="AH435" s="65" t="str">
        <f aca="false">IFERROR(IF(N435="N/A – rule",IF(OR(TRIM(U435)="",TRIM(U435)="N/A",TRIM(U435)="Not started"),"N/A – RULE","INVALID – this check does not apply to this aircraft: clear the status (or correct the fleet on Flights)"),IF(TRIM(U435)="N/A",IF(AT435=0,"INVALID – N/A not permitted for this check",IF(AND(TRIM(AB435)&lt;&gt;"",TRIM(AB435)&lt;&gt;"Closed"),"INVALID – corrective action still open",IF(AND(NOT(OR(LEN(AZ435)&lt;15,ISNUMBER(MATCH(AZ435,L_Placeholder,0)))),BK435=0,CG435&gt;=8,NOT(OR(LEN(AU435)&lt;2,ISNUMBER(MATCH(AU435,L_Placeholder,0)))),BR435&gt;=3,NOT(OR(LEN(AX435)&lt;2,ISNUMBER(MATCH(AX435,L_Placeholder,0)))),BS435&gt;=3,TRIM(AE435)&lt;&gt;TRIM(T435),AX435&lt;&gt;AU435,CE435=0),"N/A – JUSTIFIED","INVALID – N/A needs a real, settled reason (not 'not applicable' / 'as above' / TBC), a named PIC and a different named verifier"))),IF(OR(TRIM(U435)="Pass",TRIM(U435)="Pass after CA"),IF(NOT(ISNUMBER(AD435)),"INVALID – completion time missing",IF(OR(OR(LEN(AU435)&lt;2,ISNUMBER(MATCH(AU435,L_Placeholder,0))),BR435&lt;3),"INVALID – PIC missing or not a named person (a role such as QA / CSM is not a name)",IF(OR(LEN(AV435)&lt;2,ISNUMBER(MATCH(AV435,L_Placeholder,0))),"INVALID – result / assessment missing",IF(OR(OR(LEN(AW435)&lt;3,ISNUMBER(MATCH(AW435,L_Placeholder,0))),SUMPRODUCT(--ISNUMBER(SEARCH(" "&amp;L_EvidencePhrase&amp;" ",BD435)))&gt;0,BI435=1),"INVALID – evidence missing, placeholder or not yet on file",IF(ISNA(MATCH(TRIM(S435),L_EvidenceType,0)),"INVALID – choose the evidence type from the list (column S)",IF(BL435=0,"INVALID – evidence ID must be the record's own ID only (e.g. SF-2210, IMG_2231, 1045521); a link / file name needs type 'Link / file path'",IF(OR(OR(LEN(AX435)&lt;2,ISNUMBER(MATCH(AX435,L_Placeholder,0))),BS435&lt;3),"INVALID – verifier missing or not a named person (a role such as QA / CSM is not a name)",IF(OR(AX435=AU435,CE435=1,AND(LEN(AU435)&gt;=4,ISNUMBER(SEARCH(AU435,AX435))),AND(LEN(AX435)&gt;=4,ISNUMBER(SEARCH(AX435,AU435)))),"INVALID – verifier must be a different, named person (not the PIC or a role)",IF(BH435=1,"INVALID – result not yet available (awaiting / TBC)",IF(BG435=1,"INVALID – result describes a problem: record Fail, then Pass after CA (or reword if it is not a problem)",IF(BV435=1,"INVALID – wording says not on board: an on-board confirmation needs the item loaded",IF(AND(AQ435=1,OR(OR(LEN(AY435)&lt;3,ISNUMBER(MATCH(AY435,L_Placeholder,0))),BJ435=1,BQ435=0)),"INVALID – batch ID missing, placeholder or not an ID (e.g. PASB-261008-BC-017)",IF(AND(AR435=1,OR(NOT(ISNUMBER(X435)),NOT(ISNUMBER(Y435)))),"INVALID – expected/actual qty missing",IF(AND(AR435=1,OR(X435&lt;=0,Y435&lt;0)),"INVALID – expected qty must be above 0 and actual not negative",IF(BB435&lt;&gt;"",BB435,IF(AND(AS435=1,Documents!$J$17&lt;&gt;"ON FILE"),"INVALID – GLD not on file (Documents sheet)",IF(AND(AS435=2,Documents!$O$17&lt;&gt;"ON FILE"),"INVALID – menu checklist not on file (Documents sheet)",IF(AND(AS435=3,NOT(ISNUMBER(Flights!$AX$17))),"INVALID – enter carrying flight KUL departure (Flights AX)",IF(AND(AS435=3,OR(Flights!$AZ$17&gt;Flights!$AA$17,Flights!$AX$17&lt;Flights!$AA$17-3)),"INVALID – carrying flight (Flights AX) cannot arrive before this leg's STD, or is over 3 days early",IF(AG435&gt;AsOfUTC,"INVALID – completion time is in the future",IF(AND(ISNUMBER(BY435),AG435&lt;BY435),IF(H435="Physical uplift","INVALID – before uplift window (cannot confirm loading)","INVALID – before valid window"),IF(AG435&gt;Flights!$AA$17,"INVALID – completed after departure (cannot establish readiness)",IF(AND(H435="Preparation",AG435&gt;=IF(ISNUMBER(Flights!$BA$17),MIN(Flights!$BA$17,Flights!$AA$17),Flights!$AA$17)),"INVALID – completed after loading / departure (cannot establish readiness)",IF(AND(H435="Physical uplift",AG435&gt;Q435),"INVALID – recorded after the loading flight departed",IF(AG435&gt;Q435,"COMPLETE – LATE","COMPLETE"))))))))))))))))))))))))),IF(TRIM(U435)="Fail","FAIL – DISCREPANCY",IF(AND(TRIM(U435)&lt;&gt;"",TRIM(U435)&lt;&gt;"Not started",TRIM(U435)&lt;&gt;"In progress"),"INVALID – unrecognised status (use the list)",IF(AsOfUTC&gt;Q435,"OVERDUE",IF(N435="Clarification required","OPEN – CLARIFICATION","OPEN"))))))),"INVALID – error value in an input cell")</f>
        <v>OPEN</v>
      </c>
      <c r="AI435" s="61" t="n">
        <f aca="false">IF(OR(AH435="N/A – RULE",AH435="N/A – JUSTIFIED"),0,1)</f>
        <v>1</v>
      </c>
      <c r="AJ435" s="61" t="n">
        <f aca="false">IF(LEFT(AH435,8)="COMPLETE",1,0)</f>
        <v>0</v>
      </c>
      <c r="AK435" s="61" t="n">
        <f aca="false">IF(AND(AI435=1,AJ435=0,AsOfUTC&gt;Q435),1,0)</f>
        <v>0</v>
      </c>
      <c r="AL435" s="61" t="n">
        <f aca="false">IFERROR(IF(AND(AI435=1,OR(TRIM(U435)="Fail",AND(TRIM(AB435)&lt;&gt;"",TRIM(AB435)&lt;&gt;"Closed"),AND(ISNUMBER(AF435),AF435&lt;&gt;0,TRIM(U435)&lt;&gt;"Pass after CA"))),1,0),1)</f>
        <v>0</v>
      </c>
      <c r="AM435" s="61" t="n">
        <f aca="false">IF(LEFT(AH435,7)="INVALID",1,0)</f>
        <v>0</v>
      </c>
      <c r="AN435" s="61" t="n">
        <f aca="false">IF(AND(N435="Clarification required",AI435=1,AJ435=0),1,0)</f>
        <v>0</v>
      </c>
      <c r="AO435" s="61" t="str">
        <f aca="false">IF(AK435=1,SUM(AK$5:AK435),"")</f>
        <v/>
      </c>
      <c r="AP435" s="61" t="str">
        <f aca="false">IF(AL435=1,SUM(AL$5:AL435),"")</f>
        <v/>
      </c>
      <c r="AQ435" s="61" t="n">
        <v>0</v>
      </c>
      <c r="AR435" s="61" t="n">
        <v>0</v>
      </c>
      <c r="AS435" s="61" t="n">
        <v>0</v>
      </c>
      <c r="AT435" s="61" t="n">
        <v>0</v>
      </c>
      <c r="AU435" s="61" t="str">
        <f aca="false">SUBSTITUTE(SUBSTITUTE(SUBSTITUTE(SUBSTITUTE(SUBSTITUTE(SUBSTITUTE(SUBSTITUTE(SUBSTITUTE(SUBSTITUTE(SUBSTITUTE(SUBSTITUTE(SUBSTITUTE(SUBSTITUTE(SUBSTITUTE(SUBSTITUTE(SUBSTITUTE(LOWER(T435&amp;""),CHAR(10),""),CHAR(13),""),CHAR(9),""),CHAR(160),"")," ",""),".",""),"-",""),"/",""),"?",""),"_",""),",",""),"[",""),"]",""),"(",""),")",""),"*","")</f>
        <v/>
      </c>
      <c r="AV435" s="61" t="str">
        <f aca="false">SUBSTITUTE(SUBSTITUTE(SUBSTITUTE(SUBSTITUTE(SUBSTITUTE(SUBSTITUTE(SUBSTITUTE(SUBSTITUTE(SUBSTITUTE(SUBSTITUTE(SUBSTITUTE(SUBSTITUTE(SUBSTITUTE(SUBSTITUTE(SUBSTITUTE(SUBSTITUTE(LOWER(V435&amp;""),CHAR(10),""),CHAR(13),""),CHAR(9),""),CHAR(160),"")," ",""),".",""),"-",""),"/",""),"?",""),"_",""),",",""),"[",""),"]",""),"(",""),")",""),"*","")</f>
        <v/>
      </c>
      <c r="AW435" s="61" t="str">
        <f aca="false">SUBSTITUTE(SUBSTITUTE(SUBSTITUTE(SUBSTITUTE(SUBSTITUTE(SUBSTITUTE(SUBSTITUTE(SUBSTITUTE(SUBSTITUTE(SUBSTITUTE(SUBSTITUTE(SUBSTITUTE(SUBSTITUTE(SUBSTITUTE(SUBSTITUTE(SUBSTITUTE(LOWER(Z435&amp;""),CHAR(10),""),CHAR(13),""),CHAR(9),""),CHAR(160),"")," ",""),".",""),"-",""),"/",""),"?",""),"_",""),",",""),"[",""),"]",""),"(",""),")",""),"*","")</f>
        <v/>
      </c>
      <c r="AX435" s="61" t="str">
        <f aca="false">SUBSTITUTE(SUBSTITUTE(SUBSTITUTE(SUBSTITUTE(SUBSTITUTE(SUBSTITUTE(SUBSTITUTE(SUBSTITUTE(SUBSTITUTE(SUBSTITUTE(SUBSTITUTE(SUBSTITUTE(SUBSTITUTE(SUBSTITUTE(SUBSTITUTE(SUBSTITUTE(LOWER(AE435&amp;""),CHAR(10),""),CHAR(13),""),CHAR(9),""),CHAR(160),"")," ",""),".",""),"-",""),"/",""),"?",""),"_",""),",",""),"[",""),"]",""),"(",""),")",""),"*","")</f>
        <v/>
      </c>
      <c r="AY435" s="61" t="str">
        <f aca="false">SUBSTITUTE(SUBSTITUTE(SUBSTITUTE(SUBSTITUTE(SUBSTITUTE(SUBSTITUTE(SUBSTITUTE(SUBSTITUTE(SUBSTITUTE(SUBSTITUTE(SUBSTITUTE(SUBSTITUTE(SUBSTITUTE(SUBSTITUTE(SUBSTITUTE(SUBSTITUTE(LOWER(W435&amp;""),CHAR(10),""),CHAR(13),""),CHAR(9),""),CHAR(160),"")," ",""),".",""),"-",""),"/",""),"?",""),"_",""),",",""),"[",""),"]",""),"(",""),")",""),"*","")</f>
        <v/>
      </c>
      <c r="AZ435" s="61" t="str">
        <f aca="false">SUBSTITUTE(SUBSTITUTE(SUBSTITUTE(SUBSTITUTE(SUBSTITUTE(SUBSTITUTE(SUBSTITUTE(SUBSTITUTE(SUBSTITUTE(SUBSTITUTE(SUBSTITUTE(SUBSTITUTE(SUBSTITUTE(SUBSTITUTE(SUBSTITUTE(SUBSTITUTE(LOWER(AC435&amp;""),CHAR(10),""),CHAR(13),""),CHAR(9),""),CHAR(160),"")," ",""),".",""),"-",""),"/",""),"?",""),"_",""),",",""),"[",""),"]",""),"(",""),")",""),"*","")</f>
        <v/>
      </c>
      <c r="BA435" s="61" t="str">
        <f aca="false">SUBSTITUTE(SUBSTITUTE(SUBSTITUTE(SUBSTITUTE(SUBSTITUTE(SUBSTITUTE(SUBSTITUTE(SUBSTITUTE(SUBSTITUTE(SUBSTITUTE(SUBSTITUTE(SUBSTITUTE(SUBSTITUTE(SUBSTITUTE(SUBSTITUTE(SUBSTITUTE(LOWER(AA435&amp;""),CHAR(10),""),CHAR(13),""),CHAR(9),""),CHAR(160),"")," ",""),".",""),"-",""),"/",""),"?",""),"_",""),",",""),"[",""),"]",""),"(",""),")",""),"*","")</f>
        <v/>
      </c>
      <c r="BB435" s="61" t="str">
        <f aca="false">IF(AND(TRIM(U435)="Pass",ISNUMBER(AF435)),IF(AF435&lt;&gt;0,"INVALID – qty variance: use Fail or Pass after CA",""),"")&amp;IF(AND(TRIM(U435)="Pass after CA",ISNUMBER(AF435)),IF(AF435&lt;&gt;0,"INVALID – after the corrective action the actual qty must equal expected (update Actual)",""),"")&amp;IF(AND(TRIM(U435)="Pass",TRIM(AB435)&lt;&gt;"",TRIM(AB435)&lt;&gt;"Closed"),"INVALID – corrective action not closed: use Fail, then Pass after CA","")&amp;IF(AND(LEN(BA435)&gt;=2,ISNA(MATCH(LEFT(BA435,255),L_Placeholder,0)),TRIM(AB435)=""),"INVALID – CA status missing for the recorded corrective action","")&amp;IF(AND(TRIM(U435)="Pass after CA",OR(OR(LEN(BA435)&lt;5,ISNUMBER(MATCH(BA435,L_Placeholder,0))),TRIM(AB435)&lt;&gt;"Closed")),"INVALID – corrective action not recorded/closed","")</f>
        <v/>
      </c>
      <c r="BC435" s="61" t="str">
        <f aca="false">" "&amp;TRIM(SUBSTITUTE(SUBSTITUTE(SUBSTITUTE(SUBSTITUTE(SUBSTITUTE(SUBSTITUTE(SUBSTITUTE(SUBSTITUTE(SUBSTITUTE(SUBSTITUTE(SUBSTITUTE(SUBSTITUTE(SUBSTITUTE(SUBSTITUTE(SUBSTITUTE(SUBSTITUTE(SUBSTITUTE(SUBSTITUTE(SUBSTITUTE(SUBSTITUTE(SUBSTITUTE(SUBSTITUTE(SUBSTITUTE(SUBSTITUTE(LOWER(V435&amp;""),CHAR(10)," "),CHAR(13)," "),CHAR(9)," "),CHAR(160)," "),"."," "),","," "),"-"," "),"/"," "),"("," "),")"," "),":"," "),";"," "),"_"," "),"–"," "),"?"," "),"!"," "),"*"," "),"["," "),"]"," "),"'"," "),"#"," "),"+"," "),"&amp;"," "),"\"," "))&amp;" "</f>
        <v>  </v>
      </c>
      <c r="BD435" s="61" t="str">
        <f aca="false">" "&amp;TRIM(SUBSTITUTE(SUBSTITUTE(SUBSTITUTE(SUBSTITUTE(SUBSTITUTE(SUBSTITUTE(SUBSTITUTE(SUBSTITUTE(SUBSTITUTE(SUBSTITUTE(SUBSTITUTE(SUBSTITUTE(SUBSTITUTE(SUBSTITUTE(SUBSTITUTE(SUBSTITUTE(SUBSTITUTE(SUBSTITUTE(SUBSTITUTE(SUBSTITUTE(SUBSTITUTE(SUBSTITUTE(SUBSTITUTE(SUBSTITUTE(LOWER(Z435&amp;""),CHAR(10)," "),CHAR(13)," "),CHAR(9)," "),CHAR(160)," "),"."," "),","," "),"-"," "),"/"," "),"("," "),")"," "),":"," "),";"," "),"_"," "),"–"," "),"?"," "),"!"," "),"*"," "),"["," "),"]"," "),"'"," "),"#"," "),"+"," "),"&amp;"," "),"\"," "))&amp;" "</f>
        <v>  </v>
      </c>
      <c r="BE435" s="61" t="str">
        <f aca="false">" "&amp;TRIM(SUBSTITUTE(SUBSTITUTE(SUBSTITUTE(SUBSTITUTE(SUBSTITUTE(SUBSTITUTE(SUBSTITUTE(SUBSTITUTE(SUBSTITUTE(SUBSTITUTE(SUBSTITUTE(SUBSTITUTE(SUBSTITUTE(SUBSTITUTE(SUBSTITUTE(SUBSTITUTE(SUBSTITUTE(SUBSTITUTE(SUBSTITUTE(SUBSTITUTE(SUBSTITUTE(SUBSTITUTE(SUBSTITUTE(SUBSTITUTE(LOWER(W435&amp;""),CHAR(10)," "),CHAR(13)," "),CHAR(9)," "),CHAR(160)," "),"."," "),","," "),"-"," "),"/"," "),"("," "),")"," "),":"," "),";"," "),"_"," "),"–"," "),"?"," "),"!"," "),"*"," "),"["," "),"]"," "),"'"," "),"#"," "),"+"," "),"&amp;"," "),"\"," "))&amp;" "</f>
        <v>  </v>
      </c>
      <c r="BF435" s="61" t="str">
        <f aca="false">" "&amp;TRIM(SUBSTITUTE(SUBSTITUTE(SUBSTITUTE(SUBSTITUTE(SUBSTITUTE(SUBSTITUTE(SUBSTITUTE(SUBSTITUTE(SUBSTITUTE(SUBSTITUTE(SUBSTITUTE(SUBSTITUTE(SUBSTITUTE(SUBSTITUTE(SUBSTITUTE(SUBSTITUTE(SUBSTITUTE(SUBSTITUTE(SUBSTITUTE(SUBSTITUTE(SUBSTITUTE(SUBSTITUTE(SUBSTITUTE(SUBSTITUTE(LOWER(AC435&amp;""),CHAR(10)," "),CHAR(13)," "),CHAR(9)," "),CHAR(160)," "),"."," "),","," "),"-"," "),"/"," "),"("," "),")"," "),":"," "),";"," "),"_"," "),"–"," "),"?"," "),"!"," "),"*"," "),"["," "),"]"," "),"'"," "),"#"," "),"+"," "),"&amp;"," "),"\"," "))&amp;" "</f>
        <v>  </v>
      </c>
      <c r="BG435" s="61" t="n">
        <f aca="false">IFERROR(IF(AND(TRIM(U435)="Pass",SUMPRODUCT((LEN(BC435)-LEN(SUBSTITUTE(BC435," "&amp;L_ResultBad&amp;" "," ")))/(LEN(L_ResultBad)+1))&gt;SUMPRODUCT((LEN(BC435)-LEN(SUBSTITUTE(BC435," "&amp;L_NegPhrase&amp;" "," ")))/(LEN(L_NegPhrase)+1))),1,0),0)</f>
        <v>0</v>
      </c>
      <c r="BH435" s="61" t="n">
        <f aca="false">IFERROR(IF(SUMPRODUCT((LEN(BC435)-LEN(SUBSTITUTE(BC435," "&amp;L_Pending&amp;" "," ")))/(LEN(L_Pending)+1))&gt;SUMPRODUCT((LEN(BC435)-LEN(SUBSTITUTE(BC435," "&amp;L_PendNeg&amp;" "," ")))/(LEN(L_PendNeg)+1))+SUMPRODUCT((LEN(BC435)-LEN(SUBSTITUTE(BC435," "&amp;L_PendPrep&amp;" "," ")))/(LEN(L_PendPrep)+1)),1,0),1)</f>
        <v>0</v>
      </c>
      <c r="BI435" s="61" t="n">
        <f aca="false">IFERROR(IF(SUMPRODUCT((LEN(BD435)-LEN(SUBSTITUTE(BD435," "&amp;L_PendStrict&amp;" "," ")))/(LEN(L_PendStrict)+1))&gt;SUMPRODUCT((LEN(BD435)-LEN(SUBSTITUTE(BD435," "&amp;L_PendNeg&amp;" "," ")))/(LEN(L_PendNeg)+1)),1,0),1)</f>
        <v>0</v>
      </c>
      <c r="BJ435" s="61" t="n">
        <f aca="false">IFERROR(IF(SUMPRODUCT((LEN(BE435)-LEN(SUBSTITUTE(BE435," "&amp;L_Pending&amp;" "," ")))/(LEN(L_Pending)+1))&gt;SUMPRODUCT((LEN(BE435)-LEN(SUBSTITUTE(BE435," "&amp;L_PendNeg&amp;" "," ")))/(LEN(L_PendNeg)+1))+SUMPRODUCT((LEN(BE435)-LEN(SUBSTITUTE(BE435," "&amp;L_PendPrep&amp;" "," ")))/(LEN(L_PendPrep)+1)),1,0),1)</f>
        <v>0</v>
      </c>
      <c r="BK435" s="61" t="n">
        <f aca="false">IFERROR(IF(SUMPRODUCT((LEN(BF435)-LEN(SUBSTITUTE(BF435," "&amp;L_PendStrict&amp;" "," ")))/(LEN(L_PendStrict)+1))&gt;SUMPRODUCT((LEN(BF435)-LEN(SUBSTITUTE(BF435," "&amp;L_PendNeg&amp;" "," ")))/(LEN(L_PendNeg)+1)),1,0),1)</f>
        <v>0</v>
      </c>
      <c r="BL435" s="61" t="n">
        <f aca="false">IF(ISNA(MATCH(TRIM(S435),L_EvidenceType,0)),0,BZ435)</f>
        <v>0</v>
      </c>
      <c r="BM435" s="61" t="str">
        <f aca="false">SUBSTITUTE(SUBSTITUTE(SUBSTITUTE(SUBSTITUTE(SUBSTITUTE(SUBSTITUTE(SUBSTITUTE(SUBSTITUTE(SUBSTITUTE(LOWER(Z435&amp;""),"1","0"),"2","0"),"3","0"),"4","0"),"5","0"),"6","0"),"7","0"),"8","0"),"9","0")</f>
        <v/>
      </c>
      <c r="BN435" s="61" t="str">
        <f aca="false">SUBSTITUTE(SUBSTITUTE(SUBSTITUTE(SUBSTITUTE(SUBSTITUTE(SUBSTITUTE(SUBSTITUTE(SUBSTITUTE(SUBSTITUTE(SUBSTITUTE(SUBSTITUTE(SUBSTITUTE(SUBSTITUTE(SUBSTITUTE(SUBSTITUTE(SUBSTITUTE(SUBSTITUTE(SUBSTITUTE(SUBSTITUTE(SUBSTITUTE(SUBSTITUTE(SUBSTITUTE(SUBSTITUTE(SUBSTITUTE(SUBSTITUTE(BM435,"b","a"),"c","a"),"d","a"),"e","a"),"f","a"),"g","a"),"h","a"),"i","a"),"j","a"),"k","a"),"l","a"),"m","a"),"n","a"),"o","a"),"p","a"),"q","a"),"r","a"),"s","a"),"t","a"),"u","a"),"v","a"),"w","a"),"x","a"),"y","a"),"z","a")</f>
        <v/>
      </c>
      <c r="BO435" s="61" t="str">
        <f aca="false">SUBSTITUTE(SUBSTITUTE(SUBSTITUTE(SUBSTITUTE(SUBSTITUTE(SUBSTITUTE(SUBSTITUTE(SUBSTITUTE(SUBSTITUTE(LOWER(W435&amp;""),"1","0"),"2","0"),"3","0"),"4","0"),"5","0"),"6","0"),"7","0"),"8","0"),"9","0")</f>
        <v/>
      </c>
      <c r="BP435" s="61" t="str">
        <f aca="false">SUBSTITUTE(SUBSTITUTE(SUBSTITUTE(SUBSTITUTE(SUBSTITUTE(SUBSTITUTE(SUBSTITUTE(SUBSTITUTE(SUBSTITUTE(SUBSTITUTE(SUBSTITUTE(SUBSTITUTE(SUBSTITUTE(SUBSTITUTE(SUBSTITUTE(SUBSTITUTE(SUBSTITUTE(SUBSTITUTE(SUBSTITUTE(SUBSTITUTE(SUBSTITUTE(SUBSTITUTE(SUBSTITUTE(SUBSTITUTE(SUBSTITUTE(BO435,"b","a"),"c","a"),"d","a"),"e","a"),"f","a"),"g","a"),"h","a"),"i","a"),"j","a"),"k","a"),"l","a"),"m","a"),"n","a"),"o","a"),"p","a"),"q","a"),"r","a"),"s","a"),"t","a"),"u","a"),"v","a"),"w","a"),"x","a"),"y","a"),"z","a")</f>
        <v/>
      </c>
      <c r="BQ435" s="61" t="n">
        <f aca="false">IFERROR(IF(AND(ISERROR(SEARCH(" mh"," "&amp;LOWER(W435))),ISNA(MATCH(LEFT(TRIM(BP435),255),{"0000a","000a","00a","0000aa","000aa","00aa","0aa","0000aaa","000aaa","00a00","0a00","0000-0000","00:00","a00","a0","00.00.0000","00/00/0000","00-00-0000","0000-00-00","0000/00/00","0000.00.00","00.00.00","00/00/00","00-00-00","0.00.0000","0/00/0000","0-00-0000"},0)),ISNA(MATCH(LEFT(TRIM(CA435),255),{"0000a","000a","00a","0000aa","000aa","00aa","0aa","0000aaa","000aaa","00a00","0a00","0000-0000","00:00","a00","a0","00.00.0000","00/00/0000","00-00-0000","0000-00-00","0000/00/00","0000.00.00","00.00.00","00/00/00","00-00-00","0.00.0000","0/00/0000","0-00-0000"},0)),LEN(CB435)&gt;=3,NOT(OR(SUBSTITUTE(CB435,"0","")="",AND(LEN(CB435)&gt;=4,CB435=REPT(LEFT(CB435),LEN(CB435))),ISNUMBER(MATCH(CB435,{"123","1234","12345","123456","1234567","12345678","0123","01234","012345","98765","987654","54321"},0)),AND(LEN(CB435)=8,LEFT(CB435,3)="202"))),OR(AND((LEN(CA435)-LEN(SUBSTITUTE(CA435,"a","")))&gt;=1,SUMPRODUCT(--ISNUMBER(SEARCH({"a0","a-0","a_0","a/0","a.0","a#0","0a","0-a","0_a","0/a"},BP435)))&gt;0),ISNUMBER(SEARCH("000000",BP435)))),1,0),0)</f>
        <v>0</v>
      </c>
      <c r="BR435" s="61" t="n">
        <f aca="false">IFERROR(LEN(SUBSTITUTE(CC435," ",""))-SUMPRODUCT((LEN(CC435)-LEN(SUBSTITUTE(CC435," "&amp;L_Role&amp;" "," ")))/(LEN(L_Role)+1)*LEN(L_Role)),0)</f>
        <v>0</v>
      </c>
      <c r="BS435" s="61" t="n">
        <f aca="false">IFERROR(LEN(SUBSTITUTE(CD435," ",""))-SUMPRODUCT((LEN(CD435)-LEN(SUBSTITUTE(CD435," "&amp;L_Role&amp;" "," ")))/(LEN(L_Role)+1)*LEN(L_Role)),0)</f>
        <v>0</v>
      </c>
      <c r="BT4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435,"revision",""),"version",""),"jan",""),"feb",""),"mar",""),"apr",""),"may",""),"jun",""),"jul",""),"aug",""),"sep",""),"oct",""),"nov",""),"dec",""),"utc",""),"gmt",""),"myt",""),"bst",""),"rev",""),"ver",""),"b","a"),"c","a"),"d","a"),"e","a"),"f","a"),"g","a"),"h","a"),"i","a"),"j","a"),"k","a"),"l","a"),"m","a"),"n","a"),"o","a"),"p","a"),"q","a"),"r","a"),"s","a"),"t","a"),"u","a"),"v","a"),"w","a"),"x","a"),"y","a"),"z","a")</f>
        <v/>
      </c>
      <c r="BU435" s="61" t="str">
        <f aca="false">SUBSTITUTE(SUBSTITUTE(SUBSTITUTE(SUBSTITUTE(SUBSTITUTE(SUBSTITUTE(SUBSTITUTE(SUBSTITUTE(SUBSTITUTE(SUBSTITUTE(LEFT(BM435,FIND("0",BM435&amp;"0")-1),"-",""),"_",""),"/",""),".",""),"#",""),"\\",""),":","")," ",""),"(",""),")","")</f>
        <v/>
      </c>
      <c r="BV435" s="61" t="n">
        <f aca="false">0</f>
        <v>0</v>
      </c>
      <c r="BW4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435&amp;""),"a",""),"b",""),"c",""),"d",""),"e",""),"f",""),"g",""),"h",""),"i",""),"j",""),"k",""),"l",""),"m",""),"n",""),"o",""),"p",""),"q",""),"r",""),"s",""),"t",""),"u",""),"v",""),"w",""),"x",""),"y",""),"z",""),"-",""),"_",""),"/",""),".",""),"#",""),"\\",""),":","")," ",""),"(",""),")","")</f>
        <v/>
      </c>
      <c r="BX435" s="61" t="str">
        <f aca="false">SUBSTITUTE(SUBSTITUTE(SUBSTITUTE(SUBSTITUTE(SUBSTITUTE(SUBSTITUTE(SUBSTITUTE(SUBSTITUTE(SUBSTITUTE(SUBSTITUTE(SUBSTITUTE(BM435,"0",""),"-",""),"_",""),"/",""),".",""),"#",""),"\\",""),":","")," ",""),"(",""),")","")</f>
        <v/>
      </c>
      <c r="BY435" s="62" t="n">
        <f aca="false">Q435-T7EarlyD*24/24</f>
        <v>46288.0104166667</v>
      </c>
      <c r="BZ435" s="61" t="n">
        <f aca="false">IFERROR(IF(IF(TRIM(S435)="Link / file path",AND(LEN(TRIM(Z435))&gt;=5,SUMPRODUCT(--ISNUMBER(SEARCH({"http","www.","\\",":\",".pdf",".jpg",".jpeg",".png",".heic",".xls",".doc",".msg",".eml",".ppt",".txt",".zip"},Z435)))&gt;0),AND(ISERROR(FIND(" ",TRIM(Z435))),NOT(OR(SUMPRODUCT(--ISNUMBER(FIND({",",";","&amp;","+"},Z435)))&gt;0,SUMPRODUCT(--ISNUMBER(SEARCH({"0/aa","0\\aa"},BN435)))&gt;0)),NOT(SUMPRODUCT(--ISNUMBER(SEARCH({"http","www.","\\",":\",".pdf",".jpg",".jpeg",".png",".heic",".xls",".doc",".msg",".eml",".ppt",".txt",".zip"},Z435)))&gt;0),NOT(LOWER(TRIM(Z435))=LOWER(Flights!$F$17)),ISNA(MATCH(BU435,{"mh","rev","revision","ver","version","v","r","a","b","seat","tray","row","gate","bay","stand","page","pg","item","line","no","cart","galley","flight","flt","table","box","bag","oven","etd","eta","std","sta","atd","ata","qty","pax","x","time","tel","ph","mob","day","wk","week","utc","gmt","myt","lt"},0)),NOT(OR(ISNUMBER(MATCH(LEFT(BN435,255),{"0000a","000a","00a","0000aa","000aa","00aa","0aa","0000aaa","000aaa","00a00","0a00","0000-0000","00:00","a00","a0","00.00.0000","00/00/0000","00-00-0000","0000-00-00","0000/00/00","0000.00.00","00.00.00","00/00/00","00-00-00","0.00.0000","0/00/0000","0-00-0000"},0)),ISNUMBER(MATCH(LEFT(BT435,255),{"0000a","000a","00a","0000aa","000aa","00aa","0aa","0000aaa","000aaa","00a00","0a00","0000-0000","00:00","a00","a0","00.00.0000","00/00/0000","00-00-0000","0000-00-00","0000/00/00","0000.00.00","00.00.00","00/00/00","00-00-00","0.00.0000","0/00/0000","0-00-0000"},0)))),NOT(OR(AND(BW435&lt;&gt;"",SUBSTITUTE(BW435,"0","")=""),AND(LEN(BW435)&gt;=4,BW435=REPT(LEFT(BW435),LEN(BW435))),ISNUMBER(MATCH(BW435,{"123","1234","12345","123456","1234567","12345678","0123","01234","012345","98765","987654","54321"},0)),ISNUMBER(MATCH(BX435,{"x","xx","xxx","xxxx","xxxxx","abc","abcd","nil","na","nan","test","tbc","tba","tbd","dummy","sample","example","eg","zz","zzz","none","null","xyz","qwe","asd","id","ref"},0)),AND(LEN(BW435)=8,BX435="",OR(LEFT(BW435,3)="202",ISNUMBER(MATCH(RIGHT(BW435,4),{"2025","2026","2027"},0)))))),OR(AND((LEN(BT435)-LEN(SUBSTITUTE(BT435,"a","")))&gt;=1,(LEN(BN435)-LEN(SUBSTITUTE(BN435,"0","")))&gt;=2,SUMPRODUCT(--ISNUMBER(SEARCH({"a0","a-0","a_0","a/0","a.0","a#0","0a","0-a","0_a","0/a"},BN435)))&gt;0),AND((LEN(BN435)-LEN(SUBSTITUTE(BN435,"a","")))=0,(LEN(BN435)-LEN(SUBSTITUTE(BN435,"0","")))&gt;=5)))),1,0),0)</f>
        <v>0</v>
      </c>
      <c r="CA4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435,"revision",""),"version",""),"jan",""),"feb",""),"mar",""),"apr",""),"may",""),"jun",""),"jul",""),"aug",""),"sep",""),"oct",""),"nov",""),"dec",""),"utc",""),"gmt",""),"myt",""),"bst",""),"rev",""),"ver",""),"b","a"),"c","a"),"d","a"),"e","a"),"f","a"),"g","a"),"h","a"),"i","a"),"j","a"),"k","a"),"l","a"),"m","a"),"n","a"),"o","a"),"p","a"),"q","a"),"r","a"),"s","a"),"t","a"),"u","a"),"v","a"),"w","a"),"x","a"),"y","a"),"z","a")</f>
        <v/>
      </c>
      <c r="CB4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435&amp;""),"a",""),"b",""),"c",""),"d",""),"e",""),"f",""),"g",""),"h",""),"i",""),"j",""),"k",""),"l",""),"m",""),"n",""),"o",""),"p",""),"q",""),"r",""),"s",""),"t",""),"u",""),"v",""),"w",""),"x",""),"y",""),"z",""),"-",""),"_",""),"/",""),".",""),"#",""),"\\",""),":","")," ",""),"(",""),")","")</f>
        <v/>
      </c>
      <c r="CC435" s="0" t="str">
        <f aca="false">" "&amp;TRIM(SUBSTITUTE(SUBSTITUTE(SUBSTITUTE(SUBSTITUTE(SUBSTITUTE(SUBSTITUTE(SUBSTITUTE(SUBSTITUTE(SUBSTITUTE(SUBSTITUTE(SUBSTITUTE(SUBSTITUTE(SUBSTITUTE(SUBSTITUTE(SUBSTITUTE(SUBSTITUTE(SUBSTITUTE(SUBSTITUTE(SUBSTITUTE(SUBSTITUTE(SUBSTITUTE(SUBSTITUTE(SUBSTITUTE(SUBSTITUTE(LOWER(T435&amp;""),CHAR(10)," "),CHAR(13)," "),CHAR(9)," "),CHAR(160)," "),"."," "),","," "),"-"," "),"/"," "),"("," "),")"," "),":"," "),";"," "),"_"," "),"–"," "),"?"," "),"!"," "),"*"," "),"["," "),"]"," "),"'"," "),"#"," "),"+"," "),"&amp;"," "),"\"," "))&amp;" "</f>
        <v>  </v>
      </c>
      <c r="CD435" s="0" t="str">
        <f aca="false">" "&amp;TRIM(SUBSTITUTE(SUBSTITUTE(SUBSTITUTE(SUBSTITUTE(SUBSTITUTE(SUBSTITUTE(SUBSTITUTE(SUBSTITUTE(SUBSTITUTE(SUBSTITUTE(SUBSTITUTE(SUBSTITUTE(SUBSTITUTE(SUBSTITUTE(SUBSTITUTE(SUBSTITUTE(SUBSTITUTE(SUBSTITUTE(SUBSTITUTE(SUBSTITUTE(SUBSTITUTE(SUBSTITUTE(SUBSTITUTE(SUBSTITUTE(LOWER(AE435&amp;""),CHAR(10)," "),CHAR(13)," "),CHAR(9)," "),CHAR(160)," "),"."," "),","," "),"-"," "),"/"," "),"("," "),")"," "),":"," "),";"," "),"_"," "),"–"," "),"?"," "),"!"," "),"*"," "),"["," "),"]"," "),"'"," "),"#"," "),"+"," "),"&amp;"," "),"\"," "))&amp;" "</f>
        <v>  </v>
      </c>
      <c r="CE435" s="68" t="n">
        <f aca="false">IFERROR(IF(AND(LEN(AU435)&gt;0,LEN(AU435)=LEN(AX435),OR(TRIM(MID(SUBSTITUTE(TRIM(CC435)," ",REPT(" ",60)),1,60))="",ISNUMBER(SEARCH(" "&amp;TRIM(MID(SUBSTITUTE(TRIM(CC435)," ",REPT(" ",60)),1,60))&amp;" ",CD435))),OR(TRIM(MID(SUBSTITUTE(TRIM(CC435)," ",REPT(" ",60)),61,60))="",ISNUMBER(SEARCH(" "&amp;TRIM(MID(SUBSTITUTE(TRIM(CC435)," ",REPT(" ",60)),61,60))&amp;" ",CD435))),OR(TRIM(MID(SUBSTITUTE(TRIM(CC435)," ",REPT(" ",60)),121,60))="",ISNUMBER(SEARCH(" "&amp;TRIM(MID(SUBSTITUTE(TRIM(CC435)," ",REPT(" ",60)),121,60))&amp;" ",CD435)))),1,0),0)</f>
        <v>0</v>
      </c>
      <c r="CG435" s="68" t="n">
        <f aca="false">IFERROR(LEN(SUBSTITUTE(BF435," ",""))-SUMPRODUCT((LEN(BF435)-LEN(SUBSTITUTE(BF435," "&amp;L_NAFiller&amp;" "," ")))/(LEN(L_NAFiller)+1)*LEN(L_NAFiller)),0)</f>
        <v>0</v>
      </c>
    </row>
    <row r="436" customFormat="false" ht="91.5" hidden="false" customHeight="true" outlineLevel="0" collapsed="false">
      <c r="A436" s="57" t="s">
        <v>1070</v>
      </c>
      <c r="B436" s="57" t="s">
        <v>272</v>
      </c>
      <c r="C436" s="57" t="str">
        <f aca="false">Flights!$F$17</f>
        <v>MH0138</v>
      </c>
      <c r="D436" s="58" t="n">
        <f aca="false">Flights!$D$17</f>
        <v>46309</v>
      </c>
      <c r="E436" s="57" t="str">
        <f aca="false">Flights!$G$17&amp;"-"&amp;Flights!$H$17</f>
        <v>ADL-KUL</v>
      </c>
      <c r="F436" s="57" t="str">
        <f aca="false">Flights!$K$17</f>
        <v>EY</v>
      </c>
      <c r="G436" s="57" t="s">
        <v>81</v>
      </c>
      <c r="H436" s="57" t="s">
        <v>378</v>
      </c>
      <c r="I436" s="57" t="s">
        <v>411</v>
      </c>
      <c r="J436" s="57" t="s">
        <v>1071</v>
      </c>
      <c r="K436" s="67" t="s">
        <v>1072</v>
      </c>
      <c r="L436" s="67" t="s">
        <v>674</v>
      </c>
      <c r="M436" s="67"/>
      <c r="N436" s="67" t="s">
        <v>444</v>
      </c>
      <c r="O436" s="67" t="s">
        <v>1073</v>
      </c>
      <c r="P436" s="57" t="s">
        <v>187</v>
      </c>
      <c r="Q436" s="59" t="n">
        <f aca="false">ROUND((Flights!$AC$17)*1440,0)/1440</f>
        <v>46302.0104166667</v>
      </c>
      <c r="R436" s="59" t="n">
        <f aca="false">Q436+(IF(AND(INDEX(TZ_DSTS,MATCH(P436,TZ_STN,0))&lt;&gt;"",Q436&gt;=INDEX(TZ_DSTS,MATCH(P436,TZ_STN,0)),Q436&lt;INDEX(TZ_DSTE,MATCH(P436,TZ_STN,0))),INDEX(TZ_DST,MATCH(P436,TZ_STN,0)),INDEX(TZ_STD,MATCH(P436,TZ_STN,0))))/24</f>
        <v>46302.34375</v>
      </c>
      <c r="S436" s="60"/>
      <c r="T436" s="60"/>
      <c r="U436" s="60"/>
      <c r="V436" s="60"/>
      <c r="W436" s="61"/>
      <c r="X436" s="60"/>
      <c r="Y436" s="60"/>
      <c r="Z436" s="60"/>
      <c r="AA436" s="60"/>
      <c r="AB436" s="60"/>
      <c r="AC436" s="60"/>
      <c r="AD436" s="66"/>
      <c r="AE436" s="60"/>
      <c r="AF436" s="61" t="str">
        <f aca="false">IF(AND(ISNUMBER(X436),ISNUMBER(Y436)),Y436-X436,"")</f>
        <v/>
      </c>
      <c r="AG436" s="62" t="str">
        <f aca="false">IF(ISNUMBER(AD436),AD436-(IF(AND(INDEX(TZ_DSTS,MATCH(P436,TZ_STN,0))&lt;&gt;"",(AD436-INDEX(TZ_STD,MATCH(P436,TZ_STN,0))/24)&gt;=INDEX(TZ_DSTS,MATCH(P436,TZ_STN,0)),(AD436-INDEX(TZ_STD,MATCH(P436,TZ_STN,0))/24)&lt;INDEX(TZ_DSTE,MATCH(P436,TZ_STN,0))),INDEX(TZ_DST,MATCH(P436,TZ_STN,0)),INDEX(TZ_STD,MATCH(P436,TZ_STN,0))))/24,"")</f>
        <v/>
      </c>
      <c r="AH436" s="65" t="str">
        <f aca="false">IFERROR(IF(N436="N/A – rule",IF(OR(TRIM(U436)="",TRIM(U436)="N/A",TRIM(U436)="Not started"),"N/A – RULE","INVALID – this check does not apply to this aircraft: clear the status (or correct the fleet on Flights)"),IF(TRIM(U436)="N/A",IF(AT436=0,"INVALID – N/A not permitted for this check",IF(AND(TRIM(AB436)&lt;&gt;"",TRIM(AB436)&lt;&gt;"Closed"),"INVALID – corrective action still open",IF(AND(NOT(OR(LEN(AZ436)&lt;15,ISNUMBER(MATCH(AZ436,L_Placeholder,0)))),BK436=0,CG436&gt;=8,NOT(OR(LEN(AU436)&lt;2,ISNUMBER(MATCH(AU436,L_Placeholder,0)))),BR436&gt;=3,NOT(OR(LEN(AX436)&lt;2,ISNUMBER(MATCH(AX436,L_Placeholder,0)))),BS436&gt;=3,TRIM(AE436)&lt;&gt;TRIM(T436),AX436&lt;&gt;AU436,CE436=0),"N/A – JUSTIFIED","INVALID – N/A needs a real, settled reason (not 'not applicable' / 'as above' / TBC), a named PIC and a different named verifier"))),IF(OR(TRIM(U436)="Pass",TRIM(U436)="Pass after CA"),IF(NOT(ISNUMBER(AD436)),"INVALID – completion time missing",IF(OR(OR(LEN(AU436)&lt;2,ISNUMBER(MATCH(AU436,L_Placeholder,0))),BR436&lt;3),"INVALID – PIC missing or not a named person (a role such as QA / CSM is not a name)",IF(OR(LEN(AV436)&lt;2,ISNUMBER(MATCH(AV436,L_Placeholder,0))),"INVALID – result / assessment missing",IF(OR(OR(LEN(AW436)&lt;3,ISNUMBER(MATCH(AW436,L_Placeholder,0))),SUMPRODUCT(--ISNUMBER(SEARCH(" "&amp;L_EvidencePhrase&amp;" ",BD436)))&gt;0,BI436=1),"INVALID – evidence missing, placeholder or not yet on file",IF(ISNA(MATCH(TRIM(S436),L_EvidenceType,0)),"INVALID – choose the evidence type from the list (column S)",IF(BL436=0,"INVALID – evidence ID must be the record's own ID only (e.g. SF-2210, IMG_2231, 1045521); a link / file name needs type 'Link / file path'",IF(OR(OR(LEN(AX436)&lt;2,ISNUMBER(MATCH(AX436,L_Placeholder,0))),BS436&lt;3),"INVALID – verifier missing or not a named person (a role such as QA / CSM is not a name)",IF(OR(AX436=AU436,CE436=1,AND(LEN(AU436)&gt;=4,ISNUMBER(SEARCH(AU436,AX436))),AND(LEN(AX436)&gt;=4,ISNUMBER(SEARCH(AX436,AU436)))),"INVALID – verifier must be a different, named person (not the PIC or a role)",IF(BH436=1,"INVALID – result not yet available (awaiting / TBC)",IF(BG436=1,"INVALID – result describes a problem: record Fail, then Pass after CA (or reword if it is not a problem)",IF(BV436=1,"INVALID – wording says not on board: an on-board confirmation needs the item loaded",IF(AND(AQ436=1,OR(OR(LEN(AY436)&lt;3,ISNUMBER(MATCH(AY436,L_Placeholder,0))),BJ436=1,BQ436=0)),"INVALID – batch ID missing, placeholder or not an ID (e.g. PASB-261008-BC-017)",IF(AND(AR436=1,OR(NOT(ISNUMBER(X436)),NOT(ISNUMBER(Y436)))),"INVALID – expected/actual qty missing",IF(AND(AR436=1,OR(X436&lt;=0,Y436&lt;0)),"INVALID – expected qty must be above 0 and actual not negative",IF(BB436&lt;&gt;"",BB436,IF(AND(AS436=1,Documents!$J$17&lt;&gt;"ON FILE"),"INVALID – GLD not on file (Documents sheet)",IF(AND(AS436=2,Documents!$O$17&lt;&gt;"ON FILE"),"INVALID – menu checklist not on file (Documents sheet)",IF(AND(AS436=3,NOT(ISNUMBER(Flights!$AX$17))),"INVALID – enter carrying flight KUL departure (Flights AX)",IF(AND(AS436=3,OR(Flights!$AZ$17&gt;Flights!$AA$17,Flights!$AX$17&lt;Flights!$AA$17-3)),"INVALID – carrying flight (Flights AX) cannot arrive before this leg's STD, or is over 3 days early",IF(AG436&gt;AsOfUTC,"INVALID – completion time is in the future",IF(AND(ISNUMBER(BY436),AG436&lt;BY436),IF(H436="Physical uplift","INVALID – before uplift window (cannot confirm loading)","INVALID – before valid window"),IF(AG436&gt;Flights!$AA$17,"INVALID – completed after departure (cannot establish readiness)",IF(AND(H436="Preparation",AG436&gt;=IF(ISNUMBER(Flights!$BA$17),MIN(Flights!$BA$17,Flights!$AA$17),Flights!$AA$17)),"INVALID – completed after loading / departure (cannot establish readiness)",IF(AND(H436="Physical uplift",AG436&gt;Q436),"INVALID – recorded after the loading flight departed",IF(AG436&gt;Q436,"COMPLETE – LATE","COMPLETE"))))))))))))))))))))))))),IF(TRIM(U436)="Fail","FAIL – DISCREPANCY",IF(AND(TRIM(U436)&lt;&gt;"",TRIM(U436)&lt;&gt;"Not started",TRIM(U436)&lt;&gt;"In progress"),"INVALID – unrecognised status (use the list)",IF(AsOfUTC&gt;Q436,"OVERDUE",IF(N436="Clarification required","OPEN – CLARIFICATION","OPEN"))))))),"INVALID – error value in an input cell")</f>
        <v>OPEN – CLARIFICATION</v>
      </c>
      <c r="AI436" s="61" t="n">
        <f aca="false">IF(OR(AH436="N/A – RULE",AH436="N/A – JUSTIFIED"),0,1)</f>
        <v>1</v>
      </c>
      <c r="AJ436" s="61" t="n">
        <f aca="false">IF(LEFT(AH436,8)="COMPLETE",1,0)</f>
        <v>0</v>
      </c>
      <c r="AK436" s="61" t="n">
        <f aca="false">IF(AND(AI436=1,AJ436=0,AsOfUTC&gt;Q436),1,0)</f>
        <v>0</v>
      </c>
      <c r="AL436" s="61" t="n">
        <f aca="false">IFERROR(IF(AND(AI436=1,OR(TRIM(U436)="Fail",AND(TRIM(AB436)&lt;&gt;"",TRIM(AB436)&lt;&gt;"Closed"),AND(ISNUMBER(AF436),AF436&lt;&gt;0,TRIM(U436)&lt;&gt;"Pass after CA"))),1,0),1)</f>
        <v>0</v>
      </c>
      <c r="AM436" s="61" t="n">
        <f aca="false">IF(LEFT(AH436,7)="INVALID",1,0)</f>
        <v>0</v>
      </c>
      <c r="AN436" s="61" t="n">
        <f aca="false">IF(AND(N436="Clarification required",AI436=1,AJ436=0),1,0)</f>
        <v>1</v>
      </c>
      <c r="AO436" s="61" t="str">
        <f aca="false">IF(AK436=1,SUM(AK$5:AK436),"")</f>
        <v/>
      </c>
      <c r="AP436" s="61" t="str">
        <f aca="false">IF(AL436=1,SUM(AL$5:AL436),"")</f>
        <v/>
      </c>
      <c r="AQ436" s="61" t="n">
        <v>0</v>
      </c>
      <c r="AR436" s="61" t="n">
        <v>0</v>
      </c>
      <c r="AS436" s="61" t="n">
        <v>3</v>
      </c>
      <c r="AT436" s="61" t="n">
        <v>0</v>
      </c>
      <c r="AU436" s="61" t="str">
        <f aca="false">SUBSTITUTE(SUBSTITUTE(SUBSTITUTE(SUBSTITUTE(SUBSTITUTE(SUBSTITUTE(SUBSTITUTE(SUBSTITUTE(SUBSTITUTE(SUBSTITUTE(SUBSTITUTE(SUBSTITUTE(SUBSTITUTE(SUBSTITUTE(SUBSTITUTE(SUBSTITUTE(LOWER(T436&amp;""),CHAR(10),""),CHAR(13),""),CHAR(9),""),CHAR(160),"")," ",""),".",""),"-",""),"/",""),"?",""),"_",""),",",""),"[",""),"]",""),"(",""),")",""),"*","")</f>
        <v/>
      </c>
      <c r="AV436" s="61" t="str">
        <f aca="false">SUBSTITUTE(SUBSTITUTE(SUBSTITUTE(SUBSTITUTE(SUBSTITUTE(SUBSTITUTE(SUBSTITUTE(SUBSTITUTE(SUBSTITUTE(SUBSTITUTE(SUBSTITUTE(SUBSTITUTE(SUBSTITUTE(SUBSTITUTE(SUBSTITUTE(SUBSTITUTE(LOWER(V436&amp;""),CHAR(10),""),CHAR(13),""),CHAR(9),""),CHAR(160),"")," ",""),".",""),"-",""),"/",""),"?",""),"_",""),",",""),"[",""),"]",""),"(",""),")",""),"*","")</f>
        <v/>
      </c>
      <c r="AW436" s="61" t="str">
        <f aca="false">SUBSTITUTE(SUBSTITUTE(SUBSTITUTE(SUBSTITUTE(SUBSTITUTE(SUBSTITUTE(SUBSTITUTE(SUBSTITUTE(SUBSTITUTE(SUBSTITUTE(SUBSTITUTE(SUBSTITUTE(SUBSTITUTE(SUBSTITUTE(SUBSTITUTE(SUBSTITUTE(LOWER(Z436&amp;""),CHAR(10),""),CHAR(13),""),CHAR(9),""),CHAR(160),"")," ",""),".",""),"-",""),"/",""),"?",""),"_",""),",",""),"[",""),"]",""),"(",""),")",""),"*","")</f>
        <v/>
      </c>
      <c r="AX436" s="61" t="str">
        <f aca="false">SUBSTITUTE(SUBSTITUTE(SUBSTITUTE(SUBSTITUTE(SUBSTITUTE(SUBSTITUTE(SUBSTITUTE(SUBSTITUTE(SUBSTITUTE(SUBSTITUTE(SUBSTITUTE(SUBSTITUTE(SUBSTITUTE(SUBSTITUTE(SUBSTITUTE(SUBSTITUTE(LOWER(AE436&amp;""),CHAR(10),""),CHAR(13),""),CHAR(9),""),CHAR(160),"")," ",""),".",""),"-",""),"/",""),"?",""),"_",""),",",""),"[",""),"]",""),"(",""),")",""),"*","")</f>
        <v/>
      </c>
      <c r="AY436" s="61" t="str">
        <f aca="false">SUBSTITUTE(SUBSTITUTE(SUBSTITUTE(SUBSTITUTE(SUBSTITUTE(SUBSTITUTE(SUBSTITUTE(SUBSTITUTE(SUBSTITUTE(SUBSTITUTE(SUBSTITUTE(SUBSTITUTE(SUBSTITUTE(SUBSTITUTE(SUBSTITUTE(SUBSTITUTE(LOWER(W436&amp;""),CHAR(10),""),CHAR(13),""),CHAR(9),""),CHAR(160),"")," ",""),".",""),"-",""),"/",""),"?",""),"_",""),",",""),"[",""),"]",""),"(",""),")",""),"*","")</f>
        <v/>
      </c>
      <c r="AZ436" s="61" t="str">
        <f aca="false">SUBSTITUTE(SUBSTITUTE(SUBSTITUTE(SUBSTITUTE(SUBSTITUTE(SUBSTITUTE(SUBSTITUTE(SUBSTITUTE(SUBSTITUTE(SUBSTITUTE(SUBSTITUTE(SUBSTITUTE(SUBSTITUTE(SUBSTITUTE(SUBSTITUTE(SUBSTITUTE(LOWER(AC436&amp;""),CHAR(10),""),CHAR(13),""),CHAR(9),""),CHAR(160),"")," ",""),".",""),"-",""),"/",""),"?",""),"_",""),",",""),"[",""),"]",""),"(",""),")",""),"*","")</f>
        <v/>
      </c>
      <c r="BA436" s="61" t="str">
        <f aca="false">SUBSTITUTE(SUBSTITUTE(SUBSTITUTE(SUBSTITUTE(SUBSTITUTE(SUBSTITUTE(SUBSTITUTE(SUBSTITUTE(SUBSTITUTE(SUBSTITUTE(SUBSTITUTE(SUBSTITUTE(SUBSTITUTE(SUBSTITUTE(SUBSTITUTE(SUBSTITUTE(LOWER(AA436&amp;""),CHAR(10),""),CHAR(13),""),CHAR(9),""),CHAR(160),"")," ",""),".",""),"-",""),"/",""),"?",""),"_",""),",",""),"[",""),"]",""),"(",""),")",""),"*","")</f>
        <v/>
      </c>
      <c r="BB436" s="61" t="str">
        <f aca="false">IF(AND(TRIM(U436)="Pass",ISNUMBER(AF436)),IF(AF436&lt;&gt;0,"INVALID – qty variance: use Fail or Pass after CA",""),"")&amp;IF(AND(TRIM(U436)="Pass after CA",ISNUMBER(AF436)),IF(AF436&lt;&gt;0,"INVALID – after the corrective action the actual qty must equal expected (update Actual)",""),"")&amp;IF(AND(TRIM(U436)="Pass",TRIM(AB436)&lt;&gt;"",TRIM(AB436)&lt;&gt;"Closed"),"INVALID – corrective action not closed: use Fail, then Pass after CA","")&amp;IF(AND(LEN(BA436)&gt;=2,ISNA(MATCH(LEFT(BA436,255),L_Placeholder,0)),TRIM(AB436)=""),"INVALID – CA status missing for the recorded corrective action","")&amp;IF(AND(TRIM(U436)="Pass after CA",OR(OR(LEN(BA436)&lt;5,ISNUMBER(MATCH(BA436,L_Placeholder,0))),TRIM(AB436)&lt;&gt;"Closed")),"INVALID – corrective action not recorded/closed","")</f>
        <v/>
      </c>
      <c r="BC436" s="61" t="str">
        <f aca="false">" "&amp;TRIM(SUBSTITUTE(SUBSTITUTE(SUBSTITUTE(SUBSTITUTE(SUBSTITUTE(SUBSTITUTE(SUBSTITUTE(SUBSTITUTE(SUBSTITUTE(SUBSTITUTE(SUBSTITUTE(SUBSTITUTE(SUBSTITUTE(SUBSTITUTE(SUBSTITUTE(SUBSTITUTE(SUBSTITUTE(SUBSTITUTE(SUBSTITUTE(SUBSTITUTE(SUBSTITUTE(SUBSTITUTE(SUBSTITUTE(SUBSTITUTE(LOWER(V436&amp;""),CHAR(10)," "),CHAR(13)," "),CHAR(9)," "),CHAR(160)," "),"."," "),","," "),"-"," "),"/"," "),"("," "),")"," "),":"," "),";"," "),"_"," "),"–"," "),"?"," "),"!"," "),"*"," "),"["," "),"]"," "),"'"," "),"#"," "),"+"," "),"&amp;"," "),"\"," "))&amp;" "</f>
        <v>  </v>
      </c>
      <c r="BD436" s="61" t="str">
        <f aca="false">" "&amp;TRIM(SUBSTITUTE(SUBSTITUTE(SUBSTITUTE(SUBSTITUTE(SUBSTITUTE(SUBSTITUTE(SUBSTITUTE(SUBSTITUTE(SUBSTITUTE(SUBSTITUTE(SUBSTITUTE(SUBSTITUTE(SUBSTITUTE(SUBSTITUTE(SUBSTITUTE(SUBSTITUTE(SUBSTITUTE(SUBSTITUTE(SUBSTITUTE(SUBSTITUTE(SUBSTITUTE(SUBSTITUTE(SUBSTITUTE(SUBSTITUTE(LOWER(Z436&amp;""),CHAR(10)," "),CHAR(13)," "),CHAR(9)," "),CHAR(160)," "),"."," "),","," "),"-"," "),"/"," "),"("," "),")"," "),":"," "),";"," "),"_"," "),"–"," "),"?"," "),"!"," "),"*"," "),"["," "),"]"," "),"'"," "),"#"," "),"+"," "),"&amp;"," "),"\"," "))&amp;" "</f>
        <v>  </v>
      </c>
      <c r="BE436" s="61" t="str">
        <f aca="false">" "&amp;TRIM(SUBSTITUTE(SUBSTITUTE(SUBSTITUTE(SUBSTITUTE(SUBSTITUTE(SUBSTITUTE(SUBSTITUTE(SUBSTITUTE(SUBSTITUTE(SUBSTITUTE(SUBSTITUTE(SUBSTITUTE(SUBSTITUTE(SUBSTITUTE(SUBSTITUTE(SUBSTITUTE(SUBSTITUTE(SUBSTITUTE(SUBSTITUTE(SUBSTITUTE(SUBSTITUTE(SUBSTITUTE(SUBSTITUTE(SUBSTITUTE(LOWER(W436&amp;""),CHAR(10)," "),CHAR(13)," "),CHAR(9)," "),CHAR(160)," "),"."," "),","," "),"-"," "),"/"," "),"("," "),")"," "),":"," "),";"," "),"_"," "),"–"," "),"?"," "),"!"," "),"*"," "),"["," "),"]"," "),"'"," "),"#"," "),"+"," "),"&amp;"," "),"\"," "))&amp;" "</f>
        <v>  </v>
      </c>
      <c r="BF436" s="61" t="str">
        <f aca="false">" "&amp;TRIM(SUBSTITUTE(SUBSTITUTE(SUBSTITUTE(SUBSTITUTE(SUBSTITUTE(SUBSTITUTE(SUBSTITUTE(SUBSTITUTE(SUBSTITUTE(SUBSTITUTE(SUBSTITUTE(SUBSTITUTE(SUBSTITUTE(SUBSTITUTE(SUBSTITUTE(SUBSTITUTE(SUBSTITUTE(SUBSTITUTE(SUBSTITUTE(SUBSTITUTE(SUBSTITUTE(SUBSTITUTE(SUBSTITUTE(SUBSTITUTE(LOWER(AC436&amp;""),CHAR(10)," "),CHAR(13)," "),CHAR(9)," "),CHAR(160)," "),"."," "),","," "),"-"," "),"/"," "),"("," "),")"," "),":"," "),";"," "),"_"," "),"–"," "),"?"," "),"!"," "),"*"," "),"["," "),"]"," "),"'"," "),"#"," "),"+"," "),"&amp;"," "),"\"," "))&amp;" "</f>
        <v>  </v>
      </c>
      <c r="BG436" s="61" t="n">
        <f aca="false">IFERROR(IF(AND(TRIM(U436)="Pass",SUMPRODUCT((LEN(BC436)-LEN(SUBSTITUTE(BC436," "&amp;L_ResultBad&amp;" "," ")))/(LEN(L_ResultBad)+1))&gt;SUMPRODUCT((LEN(BC436)-LEN(SUBSTITUTE(BC436," "&amp;L_NegPhrase&amp;" "," ")))/(LEN(L_NegPhrase)+1))),1,0),0)</f>
        <v>0</v>
      </c>
      <c r="BH436" s="61" t="n">
        <f aca="false">IFERROR(IF(SUMPRODUCT((LEN(BC436)-LEN(SUBSTITUTE(BC436," "&amp;L_Pending&amp;" "," ")))/(LEN(L_Pending)+1))&gt;SUMPRODUCT((LEN(BC436)-LEN(SUBSTITUTE(BC436," "&amp;L_PendNeg&amp;" "," ")))/(LEN(L_PendNeg)+1))+SUMPRODUCT((LEN(BC436)-LEN(SUBSTITUTE(BC436," "&amp;L_PendPrep&amp;" "," ")))/(LEN(L_PendPrep)+1)),1,0),1)</f>
        <v>0</v>
      </c>
      <c r="BI436" s="61" t="n">
        <f aca="false">IFERROR(IF(SUMPRODUCT((LEN(BD436)-LEN(SUBSTITUTE(BD436," "&amp;L_PendStrict&amp;" "," ")))/(LEN(L_PendStrict)+1))&gt;SUMPRODUCT((LEN(BD436)-LEN(SUBSTITUTE(BD436," "&amp;L_PendNeg&amp;" "," ")))/(LEN(L_PendNeg)+1)),1,0),1)</f>
        <v>0</v>
      </c>
      <c r="BJ436" s="61" t="n">
        <f aca="false">IFERROR(IF(SUMPRODUCT((LEN(BE436)-LEN(SUBSTITUTE(BE436," "&amp;L_Pending&amp;" "," ")))/(LEN(L_Pending)+1))&gt;SUMPRODUCT((LEN(BE436)-LEN(SUBSTITUTE(BE436," "&amp;L_PendNeg&amp;" "," ")))/(LEN(L_PendNeg)+1))+SUMPRODUCT((LEN(BE436)-LEN(SUBSTITUTE(BE436," "&amp;L_PendPrep&amp;" "," ")))/(LEN(L_PendPrep)+1)),1,0),1)</f>
        <v>0</v>
      </c>
      <c r="BK436" s="61" t="n">
        <f aca="false">IFERROR(IF(SUMPRODUCT((LEN(BF436)-LEN(SUBSTITUTE(BF436," "&amp;L_PendStrict&amp;" "," ")))/(LEN(L_PendStrict)+1))&gt;SUMPRODUCT((LEN(BF436)-LEN(SUBSTITUTE(BF436," "&amp;L_PendNeg&amp;" "," ")))/(LEN(L_PendNeg)+1)),1,0),1)</f>
        <v>0</v>
      </c>
      <c r="BL436" s="61" t="n">
        <f aca="false">IF(ISNA(MATCH(TRIM(S436),L_EvidenceType,0)),0,BZ436)</f>
        <v>0</v>
      </c>
      <c r="BM436" s="61" t="str">
        <f aca="false">SUBSTITUTE(SUBSTITUTE(SUBSTITUTE(SUBSTITUTE(SUBSTITUTE(SUBSTITUTE(SUBSTITUTE(SUBSTITUTE(SUBSTITUTE(LOWER(Z436&amp;""),"1","0"),"2","0"),"3","0"),"4","0"),"5","0"),"6","0"),"7","0"),"8","0"),"9","0")</f>
        <v/>
      </c>
      <c r="BN436" s="61" t="str">
        <f aca="false">SUBSTITUTE(SUBSTITUTE(SUBSTITUTE(SUBSTITUTE(SUBSTITUTE(SUBSTITUTE(SUBSTITUTE(SUBSTITUTE(SUBSTITUTE(SUBSTITUTE(SUBSTITUTE(SUBSTITUTE(SUBSTITUTE(SUBSTITUTE(SUBSTITUTE(SUBSTITUTE(SUBSTITUTE(SUBSTITUTE(SUBSTITUTE(SUBSTITUTE(SUBSTITUTE(SUBSTITUTE(SUBSTITUTE(SUBSTITUTE(SUBSTITUTE(BM436,"b","a"),"c","a"),"d","a"),"e","a"),"f","a"),"g","a"),"h","a"),"i","a"),"j","a"),"k","a"),"l","a"),"m","a"),"n","a"),"o","a"),"p","a"),"q","a"),"r","a"),"s","a"),"t","a"),"u","a"),"v","a"),"w","a"),"x","a"),"y","a"),"z","a")</f>
        <v/>
      </c>
      <c r="BO436" s="61" t="str">
        <f aca="false">SUBSTITUTE(SUBSTITUTE(SUBSTITUTE(SUBSTITUTE(SUBSTITUTE(SUBSTITUTE(SUBSTITUTE(SUBSTITUTE(SUBSTITUTE(LOWER(W436&amp;""),"1","0"),"2","0"),"3","0"),"4","0"),"5","0"),"6","0"),"7","0"),"8","0"),"9","0")</f>
        <v/>
      </c>
      <c r="BP436" s="61" t="str">
        <f aca="false">SUBSTITUTE(SUBSTITUTE(SUBSTITUTE(SUBSTITUTE(SUBSTITUTE(SUBSTITUTE(SUBSTITUTE(SUBSTITUTE(SUBSTITUTE(SUBSTITUTE(SUBSTITUTE(SUBSTITUTE(SUBSTITUTE(SUBSTITUTE(SUBSTITUTE(SUBSTITUTE(SUBSTITUTE(SUBSTITUTE(SUBSTITUTE(SUBSTITUTE(SUBSTITUTE(SUBSTITUTE(SUBSTITUTE(SUBSTITUTE(SUBSTITUTE(BO436,"b","a"),"c","a"),"d","a"),"e","a"),"f","a"),"g","a"),"h","a"),"i","a"),"j","a"),"k","a"),"l","a"),"m","a"),"n","a"),"o","a"),"p","a"),"q","a"),"r","a"),"s","a"),"t","a"),"u","a"),"v","a"),"w","a"),"x","a"),"y","a"),"z","a")</f>
        <v/>
      </c>
      <c r="BQ436" s="61" t="n">
        <f aca="false">IFERROR(IF(AND(ISERROR(SEARCH(" mh"," "&amp;LOWER(W436))),ISNA(MATCH(LEFT(TRIM(BP436),255),{"0000a","000a","00a","0000aa","000aa","00aa","0aa","0000aaa","000aaa","00a00","0a00","0000-0000","00:00","a00","a0","00.00.0000","00/00/0000","00-00-0000","0000-00-00","0000/00/00","0000.00.00","00.00.00","00/00/00","00-00-00","0.00.0000","0/00/0000","0-00-0000"},0)),ISNA(MATCH(LEFT(TRIM(CA436),255),{"0000a","000a","00a","0000aa","000aa","00aa","0aa","0000aaa","000aaa","00a00","0a00","0000-0000","00:00","a00","a0","00.00.0000","00/00/0000","00-00-0000","0000-00-00","0000/00/00","0000.00.00","00.00.00","00/00/00","00-00-00","0.00.0000","0/00/0000","0-00-0000"},0)),LEN(CB436)&gt;=3,NOT(OR(SUBSTITUTE(CB436,"0","")="",AND(LEN(CB436)&gt;=4,CB436=REPT(LEFT(CB436),LEN(CB436))),ISNUMBER(MATCH(CB436,{"123","1234","12345","123456","1234567","12345678","0123","01234","012345","98765","987654","54321"},0)),AND(LEN(CB436)=8,LEFT(CB436,3)="202"))),OR(AND((LEN(CA436)-LEN(SUBSTITUTE(CA436,"a","")))&gt;=1,SUMPRODUCT(--ISNUMBER(SEARCH({"a0","a-0","a_0","a/0","a.0","a#0","0a","0-a","0_a","0/a"},BP436)))&gt;0),ISNUMBER(SEARCH("000000",BP436)))),1,0),0)</f>
        <v>0</v>
      </c>
      <c r="BR436" s="61" t="n">
        <f aca="false">IFERROR(LEN(SUBSTITUTE(CC436," ",""))-SUMPRODUCT((LEN(CC436)-LEN(SUBSTITUTE(CC436," "&amp;L_Role&amp;" "," ")))/(LEN(L_Role)+1)*LEN(L_Role)),0)</f>
        <v>0</v>
      </c>
      <c r="BS436" s="61" t="n">
        <f aca="false">IFERROR(LEN(SUBSTITUTE(CD436," ",""))-SUMPRODUCT((LEN(CD436)-LEN(SUBSTITUTE(CD436," "&amp;L_Role&amp;" "," ")))/(LEN(L_Role)+1)*LEN(L_Role)),0)</f>
        <v>0</v>
      </c>
      <c r="BT4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436,"revision",""),"version",""),"jan",""),"feb",""),"mar",""),"apr",""),"may",""),"jun",""),"jul",""),"aug",""),"sep",""),"oct",""),"nov",""),"dec",""),"utc",""),"gmt",""),"myt",""),"bst",""),"rev",""),"ver",""),"b","a"),"c","a"),"d","a"),"e","a"),"f","a"),"g","a"),"h","a"),"i","a"),"j","a"),"k","a"),"l","a"),"m","a"),"n","a"),"o","a"),"p","a"),"q","a"),"r","a"),"s","a"),"t","a"),"u","a"),"v","a"),"w","a"),"x","a"),"y","a"),"z","a")</f>
        <v/>
      </c>
      <c r="BU436" s="61" t="str">
        <f aca="false">SUBSTITUTE(SUBSTITUTE(SUBSTITUTE(SUBSTITUTE(SUBSTITUTE(SUBSTITUTE(SUBSTITUTE(SUBSTITUTE(SUBSTITUTE(SUBSTITUTE(LEFT(BM436,FIND("0",BM436&amp;"0")-1),"-",""),"_",""),"/",""),".",""),"#",""),"\\",""),":","")," ",""),"(",""),")","")</f>
        <v/>
      </c>
      <c r="BV436" s="61" t="n">
        <f aca="false">0</f>
        <v>0</v>
      </c>
      <c r="BW4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436&amp;""),"a",""),"b",""),"c",""),"d",""),"e",""),"f",""),"g",""),"h",""),"i",""),"j",""),"k",""),"l",""),"m",""),"n",""),"o",""),"p",""),"q",""),"r",""),"s",""),"t",""),"u",""),"v",""),"w",""),"x",""),"y",""),"z",""),"-",""),"_",""),"/",""),".",""),"#",""),"\\",""),":","")," ",""),"(",""),")","")</f>
        <v/>
      </c>
      <c r="BX436" s="61" t="str">
        <f aca="false">SUBSTITUTE(SUBSTITUTE(SUBSTITUTE(SUBSTITUTE(SUBSTITUTE(SUBSTITUTE(SUBSTITUTE(SUBSTITUTE(SUBSTITUTE(SUBSTITUTE(SUBSTITUTE(BM436,"0",""),"-",""),"_",""),"/",""),".",""),"#",""),"\\",""),":","")," ",""),"(",""),")","")</f>
        <v/>
      </c>
      <c r="BY436" s="62" t="n">
        <f aca="false">Q436-T7EarlyD*24/24</f>
        <v>46288.0104166667</v>
      </c>
      <c r="BZ436" s="61" t="n">
        <f aca="false">IFERROR(IF(IF(TRIM(S436)="Link / file path",AND(LEN(TRIM(Z436))&gt;=5,SUMPRODUCT(--ISNUMBER(SEARCH({"http","www.","\\",":\",".pdf",".jpg",".jpeg",".png",".heic",".xls",".doc",".msg",".eml",".ppt",".txt",".zip"},Z436)))&gt;0),AND(ISERROR(FIND(" ",TRIM(Z436))),NOT(OR(SUMPRODUCT(--ISNUMBER(FIND({",",";","&amp;","+"},Z436)))&gt;0,SUMPRODUCT(--ISNUMBER(SEARCH({"0/aa","0\\aa"},BN436)))&gt;0)),NOT(SUMPRODUCT(--ISNUMBER(SEARCH({"http","www.","\\",":\",".pdf",".jpg",".jpeg",".png",".heic",".xls",".doc",".msg",".eml",".ppt",".txt",".zip"},Z436)))&gt;0),NOT(LOWER(TRIM(Z436))=LOWER(Flights!$F$17)),ISNA(MATCH(BU436,{"mh","rev","revision","ver","version","v","r","a","b","seat","tray","row","gate","bay","stand","page","pg","item","line","no","cart","galley","flight","flt","table","box","bag","oven","etd","eta","std","sta","atd","ata","qty","pax","x","time","tel","ph","mob","day","wk","week","utc","gmt","myt","lt"},0)),NOT(OR(ISNUMBER(MATCH(LEFT(BN436,255),{"0000a","000a","00a","0000aa","000aa","00aa","0aa","0000aaa","000aaa","00a00","0a00","0000-0000","00:00","a00","a0","00.00.0000","00/00/0000","00-00-0000","0000-00-00","0000/00/00","0000.00.00","00.00.00","00/00/00","00-00-00","0.00.0000","0/00/0000","0-00-0000"},0)),ISNUMBER(MATCH(LEFT(BT436,255),{"0000a","000a","00a","0000aa","000aa","00aa","0aa","0000aaa","000aaa","00a00","0a00","0000-0000","00:00","a00","a0","00.00.0000","00/00/0000","00-00-0000","0000-00-00","0000/00/00","0000.00.00","00.00.00","00/00/00","00-00-00","0.00.0000","0/00/0000","0-00-0000"},0)))),NOT(OR(AND(BW436&lt;&gt;"",SUBSTITUTE(BW436,"0","")=""),AND(LEN(BW436)&gt;=4,BW436=REPT(LEFT(BW436),LEN(BW436))),ISNUMBER(MATCH(BW436,{"123","1234","12345","123456","1234567","12345678","0123","01234","012345","98765","987654","54321"},0)),ISNUMBER(MATCH(BX436,{"x","xx","xxx","xxxx","xxxxx","abc","abcd","nil","na","nan","test","tbc","tba","tbd","dummy","sample","example","eg","zz","zzz","none","null","xyz","qwe","asd","id","ref"},0)),AND(LEN(BW436)=8,BX436="",OR(LEFT(BW436,3)="202",ISNUMBER(MATCH(RIGHT(BW436,4),{"2025","2026","2027"},0)))))),OR(AND((LEN(BT436)-LEN(SUBSTITUTE(BT436,"a","")))&gt;=1,(LEN(BN436)-LEN(SUBSTITUTE(BN436,"0","")))&gt;=2,SUMPRODUCT(--ISNUMBER(SEARCH({"a0","a-0","a_0","a/0","a.0","a#0","0a","0-a","0_a","0/a"},BN436)))&gt;0),AND((LEN(BN436)-LEN(SUBSTITUTE(BN436,"a","")))=0,(LEN(BN436)-LEN(SUBSTITUTE(BN436,"0","")))&gt;=5)))),1,0),0)</f>
        <v>0</v>
      </c>
      <c r="CA4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436,"revision",""),"version",""),"jan",""),"feb",""),"mar",""),"apr",""),"may",""),"jun",""),"jul",""),"aug",""),"sep",""),"oct",""),"nov",""),"dec",""),"utc",""),"gmt",""),"myt",""),"bst",""),"rev",""),"ver",""),"b","a"),"c","a"),"d","a"),"e","a"),"f","a"),"g","a"),"h","a"),"i","a"),"j","a"),"k","a"),"l","a"),"m","a"),"n","a"),"o","a"),"p","a"),"q","a"),"r","a"),"s","a"),"t","a"),"u","a"),"v","a"),"w","a"),"x","a"),"y","a"),"z","a")</f>
        <v/>
      </c>
      <c r="CB4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436&amp;""),"a",""),"b",""),"c",""),"d",""),"e",""),"f",""),"g",""),"h",""),"i",""),"j",""),"k",""),"l",""),"m",""),"n",""),"o",""),"p",""),"q",""),"r",""),"s",""),"t",""),"u",""),"v",""),"w",""),"x",""),"y",""),"z",""),"-",""),"_",""),"/",""),".",""),"#",""),"\\",""),":","")," ",""),"(",""),")","")</f>
        <v/>
      </c>
      <c r="CC436" s="0" t="str">
        <f aca="false">" "&amp;TRIM(SUBSTITUTE(SUBSTITUTE(SUBSTITUTE(SUBSTITUTE(SUBSTITUTE(SUBSTITUTE(SUBSTITUTE(SUBSTITUTE(SUBSTITUTE(SUBSTITUTE(SUBSTITUTE(SUBSTITUTE(SUBSTITUTE(SUBSTITUTE(SUBSTITUTE(SUBSTITUTE(SUBSTITUTE(SUBSTITUTE(SUBSTITUTE(SUBSTITUTE(SUBSTITUTE(SUBSTITUTE(SUBSTITUTE(SUBSTITUTE(LOWER(T436&amp;""),CHAR(10)," "),CHAR(13)," "),CHAR(9)," "),CHAR(160)," "),"."," "),","," "),"-"," "),"/"," "),"("," "),")"," "),":"," "),";"," "),"_"," "),"–"," "),"?"," "),"!"," "),"*"," "),"["," "),"]"," "),"'"," "),"#"," "),"+"," "),"&amp;"," "),"\"," "))&amp;" "</f>
        <v>  </v>
      </c>
      <c r="CD436" s="0" t="str">
        <f aca="false">" "&amp;TRIM(SUBSTITUTE(SUBSTITUTE(SUBSTITUTE(SUBSTITUTE(SUBSTITUTE(SUBSTITUTE(SUBSTITUTE(SUBSTITUTE(SUBSTITUTE(SUBSTITUTE(SUBSTITUTE(SUBSTITUTE(SUBSTITUTE(SUBSTITUTE(SUBSTITUTE(SUBSTITUTE(SUBSTITUTE(SUBSTITUTE(SUBSTITUTE(SUBSTITUTE(SUBSTITUTE(SUBSTITUTE(SUBSTITUTE(SUBSTITUTE(LOWER(AE436&amp;""),CHAR(10)," "),CHAR(13)," "),CHAR(9)," "),CHAR(160)," "),"."," "),","," "),"-"," "),"/"," "),"("," "),")"," "),":"," "),";"," "),"_"," "),"–"," "),"?"," "),"!"," "),"*"," "),"["," "),"]"," "),"'"," "),"#"," "),"+"," "),"&amp;"," "),"\"," "))&amp;" "</f>
        <v>  </v>
      </c>
      <c r="CE436" s="68" t="n">
        <f aca="false">IFERROR(IF(AND(LEN(AU436)&gt;0,LEN(AU436)=LEN(AX436),OR(TRIM(MID(SUBSTITUTE(TRIM(CC436)," ",REPT(" ",60)),1,60))="",ISNUMBER(SEARCH(" "&amp;TRIM(MID(SUBSTITUTE(TRIM(CC436)," ",REPT(" ",60)),1,60))&amp;" ",CD436))),OR(TRIM(MID(SUBSTITUTE(TRIM(CC436)," ",REPT(" ",60)),61,60))="",ISNUMBER(SEARCH(" "&amp;TRIM(MID(SUBSTITUTE(TRIM(CC436)," ",REPT(" ",60)),61,60))&amp;" ",CD436))),OR(TRIM(MID(SUBSTITUTE(TRIM(CC436)," ",REPT(" ",60)),121,60))="",ISNUMBER(SEARCH(" "&amp;TRIM(MID(SUBSTITUTE(TRIM(CC436)," ",REPT(" ",60)),121,60))&amp;" ",CD436)))),1,0),0)</f>
        <v>0</v>
      </c>
      <c r="CG436" s="68" t="n">
        <f aca="false">IFERROR(LEN(SUBSTITUTE(BF436," ",""))-SUMPRODUCT((LEN(BF436)-LEN(SUBSTITUTE(BF436," "&amp;L_NAFiller&amp;" "," ")))/(LEN(L_NAFiller)+1)*LEN(L_NAFiller)),0)</f>
        <v>0</v>
      </c>
    </row>
    <row r="437" customFormat="false" ht="39.75" hidden="false" customHeight="true" outlineLevel="0" collapsed="false">
      <c r="A437" s="57" t="s">
        <v>1074</v>
      </c>
      <c r="B437" s="57" t="s">
        <v>272</v>
      </c>
      <c r="C437" s="57" t="str">
        <f aca="false">Flights!$F$17</f>
        <v>MH0138</v>
      </c>
      <c r="D437" s="58" t="n">
        <f aca="false">Flights!$D$17</f>
        <v>46309</v>
      </c>
      <c r="E437" s="57" t="str">
        <f aca="false">Flights!$G$17&amp;"-"&amp;Flights!$H$17</f>
        <v>ADL-KUL</v>
      </c>
      <c r="F437" s="57" t="str">
        <f aca="false">Flights!$K$17</f>
        <v>EY</v>
      </c>
      <c r="G437" s="57" t="s">
        <v>83</v>
      </c>
      <c r="H437" s="57" t="s">
        <v>378</v>
      </c>
      <c r="I437" s="57" t="s">
        <v>379</v>
      </c>
      <c r="J437" s="57" t="s">
        <v>416</v>
      </c>
      <c r="K437" s="67" t="s">
        <v>417</v>
      </c>
      <c r="L437" s="67" t="s">
        <v>418</v>
      </c>
      <c r="M437" s="67"/>
      <c r="N437" s="67" t="s">
        <v>383</v>
      </c>
      <c r="O437" s="67"/>
      <c r="P437" s="57" t="s">
        <v>263</v>
      </c>
      <c r="Q437" s="59" t="n">
        <f aca="false">ROUND((Flights!$AD$17)*1440,0)/1440</f>
        <v>46308.0104166667</v>
      </c>
      <c r="R437" s="59" t="n">
        <f aca="false">Q437+(IF(AND(INDEX(TZ_DSTS,MATCH(P437,TZ_STN,0))&lt;&gt;"",Q437&gt;=INDEX(TZ_DSTS,MATCH(P437,TZ_STN,0)),Q437&lt;INDEX(TZ_DSTE,MATCH(P437,TZ_STN,0))),INDEX(TZ_DST,MATCH(P437,TZ_STN,0)),INDEX(TZ_STD,MATCH(P437,TZ_STN,0))))/24</f>
        <v>46308.4479166667</v>
      </c>
      <c r="S437" s="60"/>
      <c r="T437" s="60"/>
      <c r="U437" s="60"/>
      <c r="V437" s="60"/>
      <c r="W437" s="60"/>
      <c r="X437" s="60"/>
      <c r="Y437" s="60"/>
      <c r="Z437" s="60"/>
      <c r="AA437" s="60"/>
      <c r="AB437" s="60"/>
      <c r="AC437" s="60"/>
      <c r="AD437" s="66"/>
      <c r="AE437" s="60"/>
      <c r="AF437" s="61" t="str">
        <f aca="false">IF(AND(ISNUMBER(X437),ISNUMBER(Y437)),Y437-X437,"")</f>
        <v/>
      </c>
      <c r="AG437" s="62" t="str">
        <f aca="false">IF(ISNUMBER(AD437),AD437-(IF(AND(INDEX(TZ_DSTS,MATCH(P437,TZ_STN,0))&lt;&gt;"",(AD437-INDEX(TZ_STD,MATCH(P437,TZ_STN,0))/24)&gt;=INDEX(TZ_DSTS,MATCH(P437,TZ_STN,0)),(AD437-INDEX(TZ_STD,MATCH(P437,TZ_STN,0))/24)&lt;INDEX(TZ_DSTE,MATCH(P437,TZ_STN,0))),INDEX(TZ_DST,MATCH(P437,TZ_STN,0)),INDEX(TZ_STD,MATCH(P437,TZ_STN,0))))/24,"")</f>
        <v/>
      </c>
      <c r="AH437" s="65" t="str">
        <f aca="false">IFERROR(IF(N437="N/A – rule",IF(OR(TRIM(U437)="",TRIM(U437)="N/A",TRIM(U437)="Not started"),"N/A – RULE","INVALID – this check does not apply to this aircraft: clear the status (or correct the fleet on Flights)"),IF(TRIM(U437)="N/A",IF(AT437=0,"INVALID – N/A not permitted for this check",IF(AND(TRIM(AB437)&lt;&gt;"",TRIM(AB437)&lt;&gt;"Closed"),"INVALID – corrective action still open",IF(AND(NOT(OR(LEN(AZ437)&lt;15,ISNUMBER(MATCH(AZ437,L_Placeholder,0)))),BK437=0,CG437&gt;=8,NOT(OR(LEN(AU437)&lt;2,ISNUMBER(MATCH(AU437,L_Placeholder,0)))),BR437&gt;=3,NOT(OR(LEN(AX437)&lt;2,ISNUMBER(MATCH(AX437,L_Placeholder,0)))),BS437&gt;=3,TRIM(AE437)&lt;&gt;TRIM(T437),AX437&lt;&gt;AU437,CE437=0),"N/A – JUSTIFIED","INVALID – N/A needs a real, settled reason (not 'not applicable' / 'as above' / TBC), a named PIC and a different named verifier"))),IF(OR(TRIM(U437)="Pass",TRIM(U437)="Pass after CA"),IF(NOT(ISNUMBER(AD437)),"INVALID – completion time missing",IF(OR(OR(LEN(AU437)&lt;2,ISNUMBER(MATCH(AU437,L_Placeholder,0))),BR437&lt;3),"INVALID – PIC missing or not a named person (a role such as QA / CSM is not a name)",IF(OR(LEN(AV437)&lt;2,ISNUMBER(MATCH(AV437,L_Placeholder,0))),"INVALID – result / assessment missing",IF(OR(OR(LEN(AW437)&lt;3,ISNUMBER(MATCH(AW437,L_Placeholder,0))),SUMPRODUCT(--ISNUMBER(SEARCH(" "&amp;L_EvidencePhrase&amp;" ",BD437)))&gt;0,BI437=1),"INVALID – evidence missing, placeholder or not yet on file",IF(ISNA(MATCH(TRIM(S437),L_EvidenceType,0)),"INVALID – choose the evidence type from the list (column S)",IF(BL437=0,"INVALID – evidence ID must be the record's own ID only (e.g. SF-2210, IMG_2231, 1045521); a link / file name needs type 'Link / file path'",IF(OR(OR(LEN(AX437)&lt;2,ISNUMBER(MATCH(AX437,L_Placeholder,0))),BS437&lt;3),"INVALID – verifier missing or not a named person (a role such as QA / CSM is not a name)",IF(OR(AX437=AU437,CE437=1,AND(LEN(AU437)&gt;=4,ISNUMBER(SEARCH(AU437,AX437))),AND(LEN(AX437)&gt;=4,ISNUMBER(SEARCH(AX437,AU437)))),"INVALID – verifier must be a different, named person (not the PIC or a role)",IF(BH437=1,"INVALID – result not yet available (awaiting / TBC)",IF(BG437=1,"INVALID – result describes a problem: record Fail, then Pass after CA (or reword if it is not a problem)",IF(BV437=1,"INVALID – wording says not on board: an on-board confirmation needs the item loaded",IF(AND(AQ437=1,OR(OR(LEN(AY437)&lt;3,ISNUMBER(MATCH(AY437,L_Placeholder,0))),BJ437=1,BQ437=0)),"INVALID – batch ID missing, placeholder or not an ID (e.g. PASB-261008-BC-017)",IF(AND(AR437=1,OR(NOT(ISNUMBER(X437)),NOT(ISNUMBER(Y437)))),"INVALID – expected/actual qty missing",IF(AND(AR437=1,OR(X437&lt;=0,Y437&lt;0)),"INVALID – expected qty must be above 0 and actual not negative",IF(BB437&lt;&gt;"",BB437,IF(AND(AS437=1,Documents!$J$17&lt;&gt;"ON FILE"),"INVALID – GLD not on file (Documents sheet)",IF(AND(AS437=2,Documents!$O$17&lt;&gt;"ON FILE"),"INVALID – menu checklist not on file (Documents sheet)",IF(AND(AS437=3,NOT(ISNUMBER(Flights!$AX$17))),"INVALID – enter carrying flight KUL departure (Flights AX)",IF(AND(AS437=3,OR(Flights!$AZ$17&gt;Flights!$AA$17,Flights!$AX$17&lt;Flights!$AA$17-3)),"INVALID – carrying flight (Flights AX) cannot arrive before this leg's STD, or is over 3 days early",IF(AG437&gt;AsOfUTC,"INVALID – completion time is in the future",IF(AND(ISNUMBER(BY437),AG437&lt;BY437),IF(H437="Physical uplift","INVALID – before uplift window (cannot confirm loading)","INVALID – before valid window"),IF(AG437&gt;Flights!$AA$17,"INVALID – completed after departure (cannot establish readiness)",IF(AND(H437="Preparation",AG437&gt;=IF(ISNUMBER(Flights!$BA$17),MIN(Flights!$BA$17,Flights!$AA$17),Flights!$AA$17)),"INVALID – completed after loading / departure (cannot establish readiness)",IF(AND(H437="Physical uplift",AG437&gt;Q437),"INVALID – recorded after the loading flight departed",IF(AG437&gt;Q437,"COMPLETE – LATE","COMPLETE"))))))))))))))))))))))))),IF(TRIM(U437)="Fail","FAIL – DISCREPANCY",IF(AND(TRIM(U437)&lt;&gt;"",TRIM(U437)&lt;&gt;"Not started",TRIM(U437)&lt;&gt;"In progress"),"INVALID – unrecognised status (use the list)",IF(AsOfUTC&gt;Q437,"OVERDUE",IF(N437="Clarification required","OPEN – CLARIFICATION","OPEN"))))))),"INVALID – error value in an input cell")</f>
        <v>OPEN</v>
      </c>
      <c r="AI437" s="61" t="n">
        <f aca="false">IF(OR(AH437="N/A – RULE",AH437="N/A – JUSTIFIED"),0,1)</f>
        <v>1</v>
      </c>
      <c r="AJ437" s="61" t="n">
        <f aca="false">IF(LEFT(AH437,8)="COMPLETE",1,0)</f>
        <v>0</v>
      </c>
      <c r="AK437" s="61" t="n">
        <f aca="false">IF(AND(AI437=1,AJ437=0,AsOfUTC&gt;Q437),1,0)</f>
        <v>0</v>
      </c>
      <c r="AL437" s="61" t="n">
        <f aca="false">IFERROR(IF(AND(AI437=1,OR(TRIM(U437)="Fail",AND(TRIM(AB437)&lt;&gt;"",TRIM(AB437)&lt;&gt;"Closed"),AND(ISNUMBER(AF437),AF437&lt;&gt;0,TRIM(U437)&lt;&gt;"Pass after CA"))),1,0),1)</f>
        <v>0</v>
      </c>
      <c r="AM437" s="61" t="n">
        <f aca="false">IF(LEFT(AH437,7)="INVALID",1,0)</f>
        <v>0</v>
      </c>
      <c r="AN437" s="61" t="n">
        <f aca="false">IF(AND(N437="Clarification required",AI437=1,AJ437=0),1,0)</f>
        <v>0</v>
      </c>
      <c r="AO437" s="61" t="str">
        <f aca="false">IF(AK437=1,SUM(AK$5:AK437),"")</f>
        <v/>
      </c>
      <c r="AP437" s="61" t="str">
        <f aca="false">IF(AL437=1,SUM(AL$5:AL437),"")</f>
        <v/>
      </c>
      <c r="AQ437" s="61" t="n">
        <v>1</v>
      </c>
      <c r="AR437" s="61" t="n">
        <v>0</v>
      </c>
      <c r="AS437" s="61" t="n">
        <v>0</v>
      </c>
      <c r="AT437" s="61" t="n">
        <v>0</v>
      </c>
      <c r="AU437" s="61" t="str">
        <f aca="false">SUBSTITUTE(SUBSTITUTE(SUBSTITUTE(SUBSTITUTE(SUBSTITUTE(SUBSTITUTE(SUBSTITUTE(SUBSTITUTE(SUBSTITUTE(SUBSTITUTE(SUBSTITUTE(SUBSTITUTE(SUBSTITUTE(SUBSTITUTE(SUBSTITUTE(SUBSTITUTE(LOWER(T437&amp;""),CHAR(10),""),CHAR(13),""),CHAR(9),""),CHAR(160),"")," ",""),".",""),"-",""),"/",""),"?",""),"_",""),",",""),"[",""),"]",""),"(",""),")",""),"*","")</f>
        <v/>
      </c>
      <c r="AV437" s="61" t="str">
        <f aca="false">SUBSTITUTE(SUBSTITUTE(SUBSTITUTE(SUBSTITUTE(SUBSTITUTE(SUBSTITUTE(SUBSTITUTE(SUBSTITUTE(SUBSTITUTE(SUBSTITUTE(SUBSTITUTE(SUBSTITUTE(SUBSTITUTE(SUBSTITUTE(SUBSTITUTE(SUBSTITUTE(LOWER(V437&amp;""),CHAR(10),""),CHAR(13),""),CHAR(9),""),CHAR(160),"")," ",""),".",""),"-",""),"/",""),"?",""),"_",""),",",""),"[",""),"]",""),"(",""),")",""),"*","")</f>
        <v/>
      </c>
      <c r="AW437" s="61" t="str">
        <f aca="false">SUBSTITUTE(SUBSTITUTE(SUBSTITUTE(SUBSTITUTE(SUBSTITUTE(SUBSTITUTE(SUBSTITUTE(SUBSTITUTE(SUBSTITUTE(SUBSTITUTE(SUBSTITUTE(SUBSTITUTE(SUBSTITUTE(SUBSTITUTE(SUBSTITUTE(SUBSTITUTE(LOWER(Z437&amp;""),CHAR(10),""),CHAR(13),""),CHAR(9),""),CHAR(160),"")," ",""),".",""),"-",""),"/",""),"?",""),"_",""),",",""),"[",""),"]",""),"(",""),")",""),"*","")</f>
        <v/>
      </c>
      <c r="AX437" s="61" t="str">
        <f aca="false">SUBSTITUTE(SUBSTITUTE(SUBSTITUTE(SUBSTITUTE(SUBSTITUTE(SUBSTITUTE(SUBSTITUTE(SUBSTITUTE(SUBSTITUTE(SUBSTITUTE(SUBSTITUTE(SUBSTITUTE(SUBSTITUTE(SUBSTITUTE(SUBSTITUTE(SUBSTITUTE(LOWER(AE437&amp;""),CHAR(10),""),CHAR(13),""),CHAR(9),""),CHAR(160),"")," ",""),".",""),"-",""),"/",""),"?",""),"_",""),",",""),"[",""),"]",""),"(",""),")",""),"*","")</f>
        <v/>
      </c>
      <c r="AY437" s="61" t="str">
        <f aca="false">SUBSTITUTE(SUBSTITUTE(SUBSTITUTE(SUBSTITUTE(SUBSTITUTE(SUBSTITUTE(SUBSTITUTE(SUBSTITUTE(SUBSTITUTE(SUBSTITUTE(SUBSTITUTE(SUBSTITUTE(SUBSTITUTE(SUBSTITUTE(SUBSTITUTE(SUBSTITUTE(LOWER(W437&amp;""),CHAR(10),""),CHAR(13),""),CHAR(9),""),CHAR(160),"")," ",""),".",""),"-",""),"/",""),"?",""),"_",""),",",""),"[",""),"]",""),"(",""),")",""),"*","")</f>
        <v/>
      </c>
      <c r="AZ437" s="61" t="str">
        <f aca="false">SUBSTITUTE(SUBSTITUTE(SUBSTITUTE(SUBSTITUTE(SUBSTITUTE(SUBSTITUTE(SUBSTITUTE(SUBSTITUTE(SUBSTITUTE(SUBSTITUTE(SUBSTITUTE(SUBSTITUTE(SUBSTITUTE(SUBSTITUTE(SUBSTITUTE(SUBSTITUTE(LOWER(AC437&amp;""),CHAR(10),""),CHAR(13),""),CHAR(9),""),CHAR(160),"")," ",""),".",""),"-",""),"/",""),"?",""),"_",""),",",""),"[",""),"]",""),"(",""),")",""),"*","")</f>
        <v/>
      </c>
      <c r="BA437" s="61" t="str">
        <f aca="false">SUBSTITUTE(SUBSTITUTE(SUBSTITUTE(SUBSTITUTE(SUBSTITUTE(SUBSTITUTE(SUBSTITUTE(SUBSTITUTE(SUBSTITUTE(SUBSTITUTE(SUBSTITUTE(SUBSTITUTE(SUBSTITUTE(SUBSTITUTE(SUBSTITUTE(SUBSTITUTE(LOWER(AA437&amp;""),CHAR(10),""),CHAR(13),""),CHAR(9),""),CHAR(160),"")," ",""),".",""),"-",""),"/",""),"?",""),"_",""),",",""),"[",""),"]",""),"(",""),")",""),"*","")</f>
        <v/>
      </c>
      <c r="BB437" s="61" t="str">
        <f aca="false">IF(AND(TRIM(U437)="Pass",ISNUMBER(AF437)),IF(AF437&lt;&gt;0,"INVALID – qty variance: use Fail or Pass after CA",""),"")&amp;IF(AND(TRIM(U437)="Pass after CA",ISNUMBER(AF437)),IF(AF437&lt;&gt;0,"INVALID – after the corrective action the actual qty must equal expected (update Actual)",""),"")&amp;IF(AND(TRIM(U437)="Pass",TRIM(AB437)&lt;&gt;"",TRIM(AB437)&lt;&gt;"Closed"),"INVALID – corrective action not closed: use Fail, then Pass after CA","")&amp;IF(AND(LEN(BA437)&gt;=2,ISNA(MATCH(LEFT(BA437,255),L_Placeholder,0)),TRIM(AB437)=""),"INVALID – CA status missing for the recorded corrective action","")&amp;IF(AND(TRIM(U437)="Pass after CA",OR(OR(LEN(BA437)&lt;5,ISNUMBER(MATCH(BA437,L_Placeholder,0))),TRIM(AB437)&lt;&gt;"Closed")),"INVALID – corrective action not recorded/closed","")</f>
        <v/>
      </c>
      <c r="BC437" s="61" t="str">
        <f aca="false">" "&amp;TRIM(SUBSTITUTE(SUBSTITUTE(SUBSTITUTE(SUBSTITUTE(SUBSTITUTE(SUBSTITUTE(SUBSTITUTE(SUBSTITUTE(SUBSTITUTE(SUBSTITUTE(SUBSTITUTE(SUBSTITUTE(SUBSTITUTE(SUBSTITUTE(SUBSTITUTE(SUBSTITUTE(SUBSTITUTE(SUBSTITUTE(SUBSTITUTE(SUBSTITUTE(SUBSTITUTE(SUBSTITUTE(SUBSTITUTE(SUBSTITUTE(LOWER(V437&amp;""),CHAR(10)," "),CHAR(13)," "),CHAR(9)," "),CHAR(160)," "),"."," "),","," "),"-"," "),"/"," "),"("," "),")"," "),":"," "),";"," "),"_"," "),"–"," "),"?"," "),"!"," "),"*"," "),"["," "),"]"," "),"'"," "),"#"," "),"+"," "),"&amp;"," "),"\"," "))&amp;" "</f>
        <v>  </v>
      </c>
      <c r="BD437" s="61" t="str">
        <f aca="false">" "&amp;TRIM(SUBSTITUTE(SUBSTITUTE(SUBSTITUTE(SUBSTITUTE(SUBSTITUTE(SUBSTITUTE(SUBSTITUTE(SUBSTITUTE(SUBSTITUTE(SUBSTITUTE(SUBSTITUTE(SUBSTITUTE(SUBSTITUTE(SUBSTITUTE(SUBSTITUTE(SUBSTITUTE(SUBSTITUTE(SUBSTITUTE(SUBSTITUTE(SUBSTITUTE(SUBSTITUTE(SUBSTITUTE(SUBSTITUTE(SUBSTITUTE(LOWER(Z437&amp;""),CHAR(10)," "),CHAR(13)," "),CHAR(9)," "),CHAR(160)," "),"."," "),","," "),"-"," "),"/"," "),"("," "),")"," "),":"," "),";"," "),"_"," "),"–"," "),"?"," "),"!"," "),"*"," "),"["," "),"]"," "),"'"," "),"#"," "),"+"," "),"&amp;"," "),"\"," "))&amp;" "</f>
        <v>  </v>
      </c>
      <c r="BE437" s="61" t="str">
        <f aca="false">" "&amp;TRIM(SUBSTITUTE(SUBSTITUTE(SUBSTITUTE(SUBSTITUTE(SUBSTITUTE(SUBSTITUTE(SUBSTITUTE(SUBSTITUTE(SUBSTITUTE(SUBSTITUTE(SUBSTITUTE(SUBSTITUTE(SUBSTITUTE(SUBSTITUTE(SUBSTITUTE(SUBSTITUTE(SUBSTITUTE(SUBSTITUTE(SUBSTITUTE(SUBSTITUTE(SUBSTITUTE(SUBSTITUTE(SUBSTITUTE(SUBSTITUTE(LOWER(W437&amp;""),CHAR(10)," "),CHAR(13)," "),CHAR(9)," "),CHAR(160)," "),"."," "),","," "),"-"," "),"/"," "),"("," "),")"," "),":"," "),";"," "),"_"," "),"–"," "),"?"," "),"!"," "),"*"," "),"["," "),"]"," "),"'"," "),"#"," "),"+"," "),"&amp;"," "),"\"," "))&amp;" "</f>
        <v>  </v>
      </c>
      <c r="BF437" s="61" t="str">
        <f aca="false">" "&amp;TRIM(SUBSTITUTE(SUBSTITUTE(SUBSTITUTE(SUBSTITUTE(SUBSTITUTE(SUBSTITUTE(SUBSTITUTE(SUBSTITUTE(SUBSTITUTE(SUBSTITUTE(SUBSTITUTE(SUBSTITUTE(SUBSTITUTE(SUBSTITUTE(SUBSTITUTE(SUBSTITUTE(SUBSTITUTE(SUBSTITUTE(SUBSTITUTE(SUBSTITUTE(SUBSTITUTE(SUBSTITUTE(SUBSTITUTE(SUBSTITUTE(LOWER(AC437&amp;""),CHAR(10)," "),CHAR(13)," "),CHAR(9)," "),CHAR(160)," "),"."," "),","," "),"-"," "),"/"," "),"("," "),")"," "),":"," "),";"," "),"_"," "),"–"," "),"?"," "),"!"," "),"*"," "),"["," "),"]"," "),"'"," "),"#"," "),"+"," "),"&amp;"," "),"\"," "))&amp;" "</f>
        <v>  </v>
      </c>
      <c r="BG437" s="61" t="n">
        <f aca="false">IFERROR(IF(AND(TRIM(U437)="Pass",SUMPRODUCT((LEN(BC437)-LEN(SUBSTITUTE(BC437," "&amp;L_ResultBad&amp;" "," ")))/(LEN(L_ResultBad)+1))&gt;SUMPRODUCT((LEN(BC437)-LEN(SUBSTITUTE(BC437," "&amp;L_NegPhrase&amp;" "," ")))/(LEN(L_NegPhrase)+1))),1,0),0)</f>
        <v>0</v>
      </c>
      <c r="BH437" s="61" t="n">
        <f aca="false">IFERROR(IF(SUMPRODUCT((LEN(BC437)-LEN(SUBSTITUTE(BC437," "&amp;L_Pending&amp;" "," ")))/(LEN(L_Pending)+1))&gt;SUMPRODUCT((LEN(BC437)-LEN(SUBSTITUTE(BC437," "&amp;L_PendNeg&amp;" "," ")))/(LEN(L_PendNeg)+1))+SUMPRODUCT((LEN(BC437)-LEN(SUBSTITUTE(BC437," "&amp;L_PendPrep&amp;" "," ")))/(LEN(L_PendPrep)+1)),1,0),1)</f>
        <v>0</v>
      </c>
      <c r="BI437" s="61" t="n">
        <f aca="false">IFERROR(IF(SUMPRODUCT((LEN(BD437)-LEN(SUBSTITUTE(BD437," "&amp;L_PendStrict&amp;" "," ")))/(LEN(L_PendStrict)+1))&gt;SUMPRODUCT((LEN(BD437)-LEN(SUBSTITUTE(BD437," "&amp;L_PendNeg&amp;" "," ")))/(LEN(L_PendNeg)+1)),1,0),1)</f>
        <v>0</v>
      </c>
      <c r="BJ437" s="61" t="n">
        <f aca="false">IFERROR(IF(SUMPRODUCT((LEN(BE437)-LEN(SUBSTITUTE(BE437," "&amp;L_Pending&amp;" "," ")))/(LEN(L_Pending)+1))&gt;SUMPRODUCT((LEN(BE437)-LEN(SUBSTITUTE(BE437," "&amp;L_PendNeg&amp;" "," ")))/(LEN(L_PendNeg)+1))+SUMPRODUCT((LEN(BE437)-LEN(SUBSTITUTE(BE437," "&amp;L_PendPrep&amp;" "," ")))/(LEN(L_PendPrep)+1)),1,0),1)</f>
        <v>0</v>
      </c>
      <c r="BK437" s="61" t="n">
        <f aca="false">IFERROR(IF(SUMPRODUCT((LEN(BF437)-LEN(SUBSTITUTE(BF437," "&amp;L_PendStrict&amp;" "," ")))/(LEN(L_PendStrict)+1))&gt;SUMPRODUCT((LEN(BF437)-LEN(SUBSTITUTE(BF437," "&amp;L_PendNeg&amp;" "," ")))/(LEN(L_PendNeg)+1)),1,0),1)</f>
        <v>0</v>
      </c>
      <c r="BL437" s="61" t="n">
        <f aca="false">IF(ISNA(MATCH(TRIM(S437),L_EvidenceType,0)),0,BZ437)</f>
        <v>0</v>
      </c>
      <c r="BM437" s="61" t="str">
        <f aca="false">SUBSTITUTE(SUBSTITUTE(SUBSTITUTE(SUBSTITUTE(SUBSTITUTE(SUBSTITUTE(SUBSTITUTE(SUBSTITUTE(SUBSTITUTE(LOWER(Z437&amp;""),"1","0"),"2","0"),"3","0"),"4","0"),"5","0"),"6","0"),"7","0"),"8","0"),"9","0")</f>
        <v/>
      </c>
      <c r="BN437" s="61" t="str">
        <f aca="false">SUBSTITUTE(SUBSTITUTE(SUBSTITUTE(SUBSTITUTE(SUBSTITUTE(SUBSTITUTE(SUBSTITUTE(SUBSTITUTE(SUBSTITUTE(SUBSTITUTE(SUBSTITUTE(SUBSTITUTE(SUBSTITUTE(SUBSTITUTE(SUBSTITUTE(SUBSTITUTE(SUBSTITUTE(SUBSTITUTE(SUBSTITUTE(SUBSTITUTE(SUBSTITUTE(SUBSTITUTE(SUBSTITUTE(SUBSTITUTE(SUBSTITUTE(BM437,"b","a"),"c","a"),"d","a"),"e","a"),"f","a"),"g","a"),"h","a"),"i","a"),"j","a"),"k","a"),"l","a"),"m","a"),"n","a"),"o","a"),"p","a"),"q","a"),"r","a"),"s","a"),"t","a"),"u","a"),"v","a"),"w","a"),"x","a"),"y","a"),"z","a")</f>
        <v/>
      </c>
      <c r="BO437" s="61" t="str">
        <f aca="false">SUBSTITUTE(SUBSTITUTE(SUBSTITUTE(SUBSTITUTE(SUBSTITUTE(SUBSTITUTE(SUBSTITUTE(SUBSTITUTE(SUBSTITUTE(LOWER(W437&amp;""),"1","0"),"2","0"),"3","0"),"4","0"),"5","0"),"6","0"),"7","0"),"8","0"),"9","0")</f>
        <v/>
      </c>
      <c r="BP437" s="61" t="str">
        <f aca="false">SUBSTITUTE(SUBSTITUTE(SUBSTITUTE(SUBSTITUTE(SUBSTITUTE(SUBSTITUTE(SUBSTITUTE(SUBSTITUTE(SUBSTITUTE(SUBSTITUTE(SUBSTITUTE(SUBSTITUTE(SUBSTITUTE(SUBSTITUTE(SUBSTITUTE(SUBSTITUTE(SUBSTITUTE(SUBSTITUTE(SUBSTITUTE(SUBSTITUTE(SUBSTITUTE(SUBSTITUTE(SUBSTITUTE(SUBSTITUTE(SUBSTITUTE(BO437,"b","a"),"c","a"),"d","a"),"e","a"),"f","a"),"g","a"),"h","a"),"i","a"),"j","a"),"k","a"),"l","a"),"m","a"),"n","a"),"o","a"),"p","a"),"q","a"),"r","a"),"s","a"),"t","a"),"u","a"),"v","a"),"w","a"),"x","a"),"y","a"),"z","a")</f>
        <v/>
      </c>
      <c r="BQ437" s="61" t="n">
        <f aca="false">IFERROR(IF(AND(ISERROR(SEARCH(" mh"," "&amp;LOWER(W437))),ISNA(MATCH(LEFT(TRIM(BP437),255),{"0000a","000a","00a","0000aa","000aa","00aa","0aa","0000aaa","000aaa","00a00","0a00","0000-0000","00:00","a00","a0","00.00.0000","00/00/0000","00-00-0000","0000-00-00","0000/00/00","0000.00.00","00.00.00","00/00/00","00-00-00","0.00.0000","0/00/0000","0-00-0000"},0)),ISNA(MATCH(LEFT(TRIM(CA437),255),{"0000a","000a","00a","0000aa","000aa","00aa","0aa","0000aaa","000aaa","00a00","0a00","0000-0000","00:00","a00","a0","00.00.0000","00/00/0000","00-00-0000","0000-00-00","0000/00/00","0000.00.00","00.00.00","00/00/00","00-00-00","0.00.0000","0/00/0000","0-00-0000"},0)),LEN(CB437)&gt;=3,NOT(OR(SUBSTITUTE(CB437,"0","")="",AND(LEN(CB437)&gt;=4,CB437=REPT(LEFT(CB437),LEN(CB437))),ISNUMBER(MATCH(CB437,{"123","1234","12345","123456","1234567","12345678","0123","01234","012345","98765","987654","54321"},0)),AND(LEN(CB437)=8,LEFT(CB437,3)="202"))),OR(AND((LEN(CA437)-LEN(SUBSTITUTE(CA437,"a","")))&gt;=1,SUMPRODUCT(--ISNUMBER(SEARCH({"a0","a-0","a_0","a/0","a.0","a#0","0a","0-a","0_a","0/a"},BP437)))&gt;0),ISNUMBER(SEARCH("000000",BP437)))),1,0),0)</f>
        <v>0</v>
      </c>
      <c r="BR437" s="61" t="n">
        <f aca="false">IFERROR(LEN(SUBSTITUTE(CC437," ",""))-SUMPRODUCT((LEN(CC437)-LEN(SUBSTITUTE(CC437," "&amp;L_Role&amp;" "," ")))/(LEN(L_Role)+1)*LEN(L_Role)),0)</f>
        <v>0</v>
      </c>
      <c r="BS437" s="61" t="n">
        <f aca="false">IFERROR(LEN(SUBSTITUTE(CD437," ",""))-SUMPRODUCT((LEN(CD437)-LEN(SUBSTITUTE(CD437," "&amp;L_Role&amp;" "," ")))/(LEN(L_Role)+1)*LEN(L_Role)),0)</f>
        <v>0</v>
      </c>
      <c r="BT4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437,"revision",""),"version",""),"jan",""),"feb",""),"mar",""),"apr",""),"may",""),"jun",""),"jul",""),"aug",""),"sep",""),"oct",""),"nov",""),"dec",""),"utc",""),"gmt",""),"myt",""),"bst",""),"rev",""),"ver",""),"b","a"),"c","a"),"d","a"),"e","a"),"f","a"),"g","a"),"h","a"),"i","a"),"j","a"),"k","a"),"l","a"),"m","a"),"n","a"),"o","a"),"p","a"),"q","a"),"r","a"),"s","a"),"t","a"),"u","a"),"v","a"),"w","a"),"x","a"),"y","a"),"z","a")</f>
        <v/>
      </c>
      <c r="BU437" s="61" t="str">
        <f aca="false">SUBSTITUTE(SUBSTITUTE(SUBSTITUTE(SUBSTITUTE(SUBSTITUTE(SUBSTITUTE(SUBSTITUTE(SUBSTITUTE(SUBSTITUTE(SUBSTITUTE(LEFT(BM437,FIND("0",BM437&amp;"0")-1),"-",""),"_",""),"/",""),".",""),"#",""),"\\",""),":","")," ",""),"(",""),")","")</f>
        <v/>
      </c>
      <c r="BV437" s="61" t="n">
        <f aca="false">0</f>
        <v>0</v>
      </c>
      <c r="BW4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437&amp;""),"a",""),"b",""),"c",""),"d",""),"e",""),"f",""),"g",""),"h",""),"i",""),"j",""),"k",""),"l",""),"m",""),"n",""),"o",""),"p",""),"q",""),"r",""),"s",""),"t",""),"u",""),"v",""),"w",""),"x",""),"y",""),"z",""),"-",""),"_",""),"/",""),".",""),"#",""),"\\",""),":","")," ",""),"(",""),")","")</f>
        <v/>
      </c>
      <c r="BX437" s="61" t="str">
        <f aca="false">SUBSTITUTE(SUBSTITUTE(SUBSTITUTE(SUBSTITUTE(SUBSTITUTE(SUBSTITUTE(SUBSTITUTE(SUBSTITUTE(SUBSTITUTE(SUBSTITUTE(SUBSTITUTE(BM437,"0",""),"-",""),"_",""),"/",""),".",""),"#",""),"\\",""),":","")," ",""),"(",""),")","")</f>
        <v/>
      </c>
      <c r="BY437" s="62" t="n">
        <f aca="false">Q437-T24EarlyH/24</f>
        <v>46307.0104166667</v>
      </c>
      <c r="BZ437" s="61" t="n">
        <f aca="false">IFERROR(IF(IF(TRIM(S437)="Link / file path",AND(LEN(TRIM(Z437))&gt;=5,SUMPRODUCT(--ISNUMBER(SEARCH({"http","www.","\\",":\",".pdf",".jpg",".jpeg",".png",".heic",".xls",".doc",".msg",".eml",".ppt",".txt",".zip"},Z437)))&gt;0),AND(ISERROR(FIND(" ",TRIM(Z437))),NOT(OR(SUMPRODUCT(--ISNUMBER(FIND({",",";","&amp;","+"},Z437)))&gt;0,SUMPRODUCT(--ISNUMBER(SEARCH({"0/aa","0\\aa"},BN437)))&gt;0)),NOT(SUMPRODUCT(--ISNUMBER(SEARCH({"http","www.","\\",":\",".pdf",".jpg",".jpeg",".png",".heic",".xls",".doc",".msg",".eml",".ppt",".txt",".zip"},Z437)))&gt;0),NOT(LOWER(TRIM(Z437))=LOWER(Flights!$F$17)),ISNA(MATCH(BU437,{"mh","rev","revision","ver","version","v","r","a","b","seat","tray","row","gate","bay","stand","page","pg","item","line","no","cart","galley","flight","flt","table","box","bag","oven","etd","eta","std","sta","atd","ata","qty","pax","x","time","tel","ph","mob","day","wk","week","utc","gmt","myt","lt"},0)),NOT(OR(ISNUMBER(MATCH(LEFT(BN437,255),{"0000a","000a","00a","0000aa","000aa","00aa","0aa","0000aaa","000aaa","00a00","0a00","0000-0000","00:00","a00","a0","00.00.0000","00/00/0000","00-00-0000","0000-00-00","0000/00/00","0000.00.00","00.00.00","00/00/00","00-00-00","0.00.0000","0/00/0000","0-00-0000"},0)),ISNUMBER(MATCH(LEFT(BT437,255),{"0000a","000a","00a","0000aa","000aa","00aa","0aa","0000aaa","000aaa","00a00","0a00","0000-0000","00:00","a00","a0","00.00.0000","00/00/0000","00-00-0000","0000-00-00","0000/00/00","0000.00.00","00.00.00","00/00/00","00-00-00","0.00.0000","0/00/0000","0-00-0000"},0)))),NOT(OR(AND(BW437&lt;&gt;"",SUBSTITUTE(BW437,"0","")=""),AND(LEN(BW437)&gt;=4,BW437=REPT(LEFT(BW437),LEN(BW437))),ISNUMBER(MATCH(BW437,{"123","1234","12345","123456","1234567","12345678","0123","01234","012345","98765","987654","54321"},0)),ISNUMBER(MATCH(BX437,{"x","xx","xxx","xxxx","xxxxx","abc","abcd","nil","na","nan","test","tbc","tba","tbd","dummy","sample","example","eg","zz","zzz","none","null","xyz","qwe","asd","id","ref"},0)),AND(LEN(BW437)=8,BX437="",OR(LEFT(BW437,3)="202",ISNUMBER(MATCH(RIGHT(BW437,4),{"2025","2026","2027"},0)))))),OR(AND((LEN(BT437)-LEN(SUBSTITUTE(BT437,"a","")))&gt;=1,(LEN(BN437)-LEN(SUBSTITUTE(BN437,"0","")))&gt;=2,SUMPRODUCT(--ISNUMBER(SEARCH({"a0","a-0","a_0","a/0","a.0","a#0","0a","0-a","0_a","0/a"},BN437)))&gt;0),AND((LEN(BN437)-LEN(SUBSTITUTE(BN437,"a","")))=0,(LEN(BN437)-LEN(SUBSTITUTE(BN437,"0","")))&gt;=5)))),1,0),0)</f>
        <v>0</v>
      </c>
      <c r="CA4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437,"revision",""),"version",""),"jan",""),"feb",""),"mar",""),"apr",""),"may",""),"jun",""),"jul",""),"aug",""),"sep",""),"oct",""),"nov",""),"dec",""),"utc",""),"gmt",""),"myt",""),"bst",""),"rev",""),"ver",""),"b","a"),"c","a"),"d","a"),"e","a"),"f","a"),"g","a"),"h","a"),"i","a"),"j","a"),"k","a"),"l","a"),"m","a"),"n","a"),"o","a"),"p","a"),"q","a"),"r","a"),"s","a"),"t","a"),"u","a"),"v","a"),"w","a"),"x","a"),"y","a"),"z","a")</f>
        <v/>
      </c>
      <c r="CB4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437&amp;""),"a",""),"b",""),"c",""),"d",""),"e",""),"f",""),"g",""),"h",""),"i",""),"j",""),"k",""),"l",""),"m",""),"n",""),"o",""),"p",""),"q",""),"r",""),"s",""),"t",""),"u",""),"v",""),"w",""),"x",""),"y",""),"z",""),"-",""),"_",""),"/",""),".",""),"#",""),"\\",""),":","")," ",""),"(",""),")","")</f>
        <v/>
      </c>
      <c r="CC437" s="0" t="str">
        <f aca="false">" "&amp;TRIM(SUBSTITUTE(SUBSTITUTE(SUBSTITUTE(SUBSTITUTE(SUBSTITUTE(SUBSTITUTE(SUBSTITUTE(SUBSTITUTE(SUBSTITUTE(SUBSTITUTE(SUBSTITUTE(SUBSTITUTE(SUBSTITUTE(SUBSTITUTE(SUBSTITUTE(SUBSTITUTE(SUBSTITUTE(SUBSTITUTE(SUBSTITUTE(SUBSTITUTE(SUBSTITUTE(SUBSTITUTE(SUBSTITUTE(SUBSTITUTE(LOWER(T437&amp;""),CHAR(10)," "),CHAR(13)," "),CHAR(9)," "),CHAR(160)," "),"."," "),","," "),"-"," "),"/"," "),"("," "),")"," "),":"," "),";"," "),"_"," "),"–"," "),"?"," "),"!"," "),"*"," "),"["," "),"]"," "),"'"," "),"#"," "),"+"," "),"&amp;"," "),"\"," "))&amp;" "</f>
        <v>  </v>
      </c>
      <c r="CD437" s="0" t="str">
        <f aca="false">" "&amp;TRIM(SUBSTITUTE(SUBSTITUTE(SUBSTITUTE(SUBSTITUTE(SUBSTITUTE(SUBSTITUTE(SUBSTITUTE(SUBSTITUTE(SUBSTITUTE(SUBSTITUTE(SUBSTITUTE(SUBSTITUTE(SUBSTITUTE(SUBSTITUTE(SUBSTITUTE(SUBSTITUTE(SUBSTITUTE(SUBSTITUTE(SUBSTITUTE(SUBSTITUTE(SUBSTITUTE(SUBSTITUTE(SUBSTITUTE(SUBSTITUTE(LOWER(AE437&amp;""),CHAR(10)," "),CHAR(13)," "),CHAR(9)," "),CHAR(160)," "),"."," "),","," "),"-"," "),"/"," "),"("," "),")"," "),":"," "),";"," "),"_"," "),"–"," "),"?"," "),"!"," "),"*"," "),"["," "),"]"," "),"'"," "),"#"," "),"+"," "),"&amp;"," "),"\"," "))&amp;" "</f>
        <v>  </v>
      </c>
      <c r="CE437" s="68" t="n">
        <f aca="false">IFERROR(IF(AND(LEN(AU437)&gt;0,LEN(AU437)=LEN(AX437),OR(TRIM(MID(SUBSTITUTE(TRIM(CC437)," ",REPT(" ",60)),1,60))="",ISNUMBER(SEARCH(" "&amp;TRIM(MID(SUBSTITUTE(TRIM(CC437)," ",REPT(" ",60)),1,60))&amp;" ",CD437))),OR(TRIM(MID(SUBSTITUTE(TRIM(CC437)," ",REPT(" ",60)),61,60))="",ISNUMBER(SEARCH(" "&amp;TRIM(MID(SUBSTITUTE(TRIM(CC437)," ",REPT(" ",60)),61,60))&amp;" ",CD437))),OR(TRIM(MID(SUBSTITUTE(TRIM(CC437)," ",REPT(" ",60)),121,60))="",ISNUMBER(SEARCH(" "&amp;TRIM(MID(SUBSTITUTE(TRIM(CC437)," ",REPT(" ",60)),121,60))&amp;" ",CD437)))),1,0),0)</f>
        <v>0</v>
      </c>
      <c r="CG437" s="68" t="n">
        <f aca="false">IFERROR(LEN(SUBSTITUTE(BF437," ",""))-SUMPRODUCT((LEN(BF437)-LEN(SUBSTITUTE(BF437," "&amp;L_NAFiller&amp;" "," ")))/(LEN(L_NAFiller)+1)*LEN(L_NAFiller)),0)</f>
        <v>0</v>
      </c>
    </row>
    <row r="438" customFormat="false" ht="39.75" hidden="false" customHeight="true" outlineLevel="0" collapsed="false">
      <c r="A438" s="57" t="s">
        <v>1075</v>
      </c>
      <c r="B438" s="57" t="s">
        <v>272</v>
      </c>
      <c r="C438" s="57" t="str">
        <f aca="false">Flights!$F$17</f>
        <v>MH0138</v>
      </c>
      <c r="D438" s="58" t="n">
        <f aca="false">Flights!$D$17</f>
        <v>46309</v>
      </c>
      <c r="E438" s="57" t="str">
        <f aca="false">Flights!$G$17&amp;"-"&amp;Flights!$H$17</f>
        <v>ADL-KUL</v>
      </c>
      <c r="F438" s="57" t="str">
        <f aca="false">Flights!$K$17</f>
        <v>EY</v>
      </c>
      <c r="G438" s="57" t="s">
        <v>420</v>
      </c>
      <c r="H438" s="57" t="s">
        <v>378</v>
      </c>
      <c r="I438" s="57" t="s">
        <v>379</v>
      </c>
      <c r="J438" s="57" t="s">
        <v>421</v>
      </c>
      <c r="K438" s="67"/>
      <c r="L438" s="67" t="s">
        <v>422</v>
      </c>
      <c r="M438" s="67"/>
      <c r="N438" s="67" t="s">
        <v>383</v>
      </c>
      <c r="O438" s="67" t="s">
        <v>423</v>
      </c>
      <c r="P438" s="57" t="s">
        <v>263</v>
      </c>
      <c r="Q438" s="59" t="n">
        <f aca="false">ROUND((Flights!$AE$17)*1440,0)/1440</f>
        <v>46308.5104166667</v>
      </c>
      <c r="R438" s="59" t="n">
        <f aca="false">Q438+(IF(AND(INDEX(TZ_DSTS,MATCH(P438,TZ_STN,0))&lt;&gt;"",Q438&gt;=INDEX(TZ_DSTS,MATCH(P438,TZ_STN,0)),Q438&lt;INDEX(TZ_DSTE,MATCH(P438,TZ_STN,0))),INDEX(TZ_DST,MATCH(P438,TZ_STN,0)),INDEX(TZ_STD,MATCH(P438,TZ_STN,0))))/24</f>
        <v>46308.9479166667</v>
      </c>
      <c r="S438" s="60"/>
      <c r="T438" s="60"/>
      <c r="U438" s="60"/>
      <c r="V438" s="60"/>
      <c r="W438" s="61"/>
      <c r="X438" s="60"/>
      <c r="Y438" s="60"/>
      <c r="Z438" s="60"/>
      <c r="AA438" s="60"/>
      <c r="AB438" s="60"/>
      <c r="AC438" s="60"/>
      <c r="AD438" s="66"/>
      <c r="AE438" s="60"/>
      <c r="AF438" s="61" t="str">
        <f aca="false">IF(AND(ISNUMBER(X438),ISNUMBER(Y438)),Y438-X438,"")</f>
        <v/>
      </c>
      <c r="AG438" s="62" t="str">
        <f aca="false">IF(ISNUMBER(AD438),AD438-(IF(AND(INDEX(TZ_DSTS,MATCH(P438,TZ_STN,0))&lt;&gt;"",(AD438-INDEX(TZ_STD,MATCH(P438,TZ_STN,0))/24)&gt;=INDEX(TZ_DSTS,MATCH(P438,TZ_STN,0)),(AD438-INDEX(TZ_STD,MATCH(P438,TZ_STN,0))/24)&lt;INDEX(TZ_DSTE,MATCH(P438,TZ_STN,0))),INDEX(TZ_DST,MATCH(P438,TZ_STN,0)),INDEX(TZ_STD,MATCH(P438,TZ_STN,0))))/24,"")</f>
        <v/>
      </c>
      <c r="AH438" s="65" t="str">
        <f aca="false">IFERROR(IF(N438="N/A – rule",IF(OR(TRIM(U438)="",TRIM(U438)="N/A",TRIM(U438)="Not started"),"N/A – RULE","INVALID – this check does not apply to this aircraft: clear the status (or correct the fleet on Flights)"),IF(TRIM(U438)="N/A",IF(AT438=0,"INVALID – N/A not permitted for this check",IF(AND(TRIM(AB438)&lt;&gt;"",TRIM(AB438)&lt;&gt;"Closed"),"INVALID – corrective action still open",IF(AND(NOT(OR(LEN(AZ438)&lt;15,ISNUMBER(MATCH(AZ438,L_Placeholder,0)))),BK438=0,CG438&gt;=8,NOT(OR(LEN(AU438)&lt;2,ISNUMBER(MATCH(AU438,L_Placeholder,0)))),BR438&gt;=3,NOT(OR(LEN(AX438)&lt;2,ISNUMBER(MATCH(AX438,L_Placeholder,0)))),BS438&gt;=3,TRIM(AE438)&lt;&gt;TRIM(T438),AX438&lt;&gt;AU438,CE438=0),"N/A – JUSTIFIED","INVALID – N/A needs a real, settled reason (not 'not applicable' / 'as above' / TBC), a named PIC and a different named verifier"))),IF(OR(TRIM(U438)="Pass",TRIM(U438)="Pass after CA"),IF(NOT(ISNUMBER(AD438)),"INVALID – completion time missing",IF(OR(OR(LEN(AU438)&lt;2,ISNUMBER(MATCH(AU438,L_Placeholder,0))),BR438&lt;3),"INVALID – PIC missing or not a named person (a role such as QA / CSM is not a name)",IF(OR(LEN(AV438)&lt;2,ISNUMBER(MATCH(AV438,L_Placeholder,0))),"INVALID – result / assessment missing",IF(OR(OR(LEN(AW438)&lt;3,ISNUMBER(MATCH(AW438,L_Placeholder,0))),SUMPRODUCT(--ISNUMBER(SEARCH(" "&amp;L_EvidencePhrase&amp;" ",BD438)))&gt;0,BI438=1),"INVALID – evidence missing, placeholder or not yet on file",IF(ISNA(MATCH(TRIM(S438),L_EvidenceType,0)),"INVALID – choose the evidence type from the list (column S)",IF(BL438=0,"INVALID – evidence ID must be the record's own ID only (e.g. SF-2210, IMG_2231, 1045521); a link / file name needs type 'Link / file path'",IF(OR(OR(LEN(AX438)&lt;2,ISNUMBER(MATCH(AX438,L_Placeholder,0))),BS438&lt;3),"INVALID – verifier missing or not a named person (a role such as QA / CSM is not a name)",IF(OR(AX438=AU438,CE438=1,AND(LEN(AU438)&gt;=4,ISNUMBER(SEARCH(AU438,AX438))),AND(LEN(AX438)&gt;=4,ISNUMBER(SEARCH(AX438,AU438)))),"INVALID – verifier must be a different, named person (not the PIC or a role)",IF(BH438=1,"INVALID – result not yet available (awaiting / TBC)",IF(BG438=1,"INVALID – result describes a problem: record Fail, then Pass after CA (or reword if it is not a problem)",IF(BV438=1,"INVALID – wording says not on board: an on-board confirmation needs the item loaded",IF(AND(AQ438=1,OR(OR(LEN(AY438)&lt;3,ISNUMBER(MATCH(AY438,L_Placeholder,0))),BJ438=1,BQ438=0)),"INVALID – batch ID missing, placeholder or not an ID (e.g. PASB-261008-BC-017)",IF(AND(AR438=1,OR(NOT(ISNUMBER(X438)),NOT(ISNUMBER(Y438)))),"INVALID – expected/actual qty missing",IF(AND(AR438=1,OR(X438&lt;=0,Y438&lt;0)),"INVALID – expected qty must be above 0 and actual not negative",IF(BB438&lt;&gt;"",BB438,IF(AND(AS438=1,Documents!$J$17&lt;&gt;"ON FILE"),"INVALID – GLD not on file (Documents sheet)",IF(AND(AS438=2,Documents!$O$17&lt;&gt;"ON FILE"),"INVALID – menu checklist not on file (Documents sheet)",IF(AND(AS438=3,NOT(ISNUMBER(Flights!$AX$17))),"INVALID – enter carrying flight KUL departure (Flights AX)",IF(AND(AS438=3,OR(Flights!$AZ$17&gt;Flights!$AA$17,Flights!$AX$17&lt;Flights!$AA$17-3)),"INVALID – carrying flight (Flights AX) cannot arrive before this leg's STD, or is over 3 days early",IF(AG438&gt;AsOfUTC,"INVALID – completion time is in the future",IF(AND(ISNUMBER(BY438),AG438&lt;BY438),IF(H438="Physical uplift","INVALID – before uplift window (cannot confirm loading)","INVALID – before valid window"),IF(AG438&gt;Flights!$AA$17,"INVALID – completed after departure (cannot establish readiness)",IF(AND(H438="Preparation",AG438&gt;=IF(ISNUMBER(Flights!$BA$17),MIN(Flights!$BA$17,Flights!$AA$17),Flights!$AA$17)),"INVALID – completed after loading / departure (cannot establish readiness)",IF(AND(H438="Physical uplift",AG438&gt;Q438),"INVALID – recorded after the loading flight departed",IF(AG438&gt;Q438,"COMPLETE – LATE","COMPLETE"))))))))))))))))))))))))),IF(TRIM(U438)="Fail","FAIL – DISCREPANCY",IF(AND(TRIM(U438)&lt;&gt;"",TRIM(U438)&lt;&gt;"Not started",TRIM(U438)&lt;&gt;"In progress"),"INVALID – unrecognised status (use the list)",IF(AsOfUTC&gt;Q438,"OVERDUE",IF(N438="Clarification required","OPEN – CLARIFICATION","OPEN"))))))),"INVALID – error value in an input cell")</f>
        <v>OPEN</v>
      </c>
      <c r="AI438" s="61" t="n">
        <f aca="false">IF(OR(AH438="N/A – RULE",AH438="N/A – JUSTIFIED"),0,1)</f>
        <v>1</v>
      </c>
      <c r="AJ438" s="61" t="n">
        <f aca="false">IF(LEFT(AH438,8)="COMPLETE",1,0)</f>
        <v>0</v>
      </c>
      <c r="AK438" s="61" t="n">
        <f aca="false">IF(AND(AI438=1,AJ438=0,AsOfUTC&gt;Q438),1,0)</f>
        <v>0</v>
      </c>
      <c r="AL438" s="61" t="n">
        <f aca="false">IFERROR(IF(AND(AI438=1,OR(TRIM(U438)="Fail",AND(TRIM(AB438)&lt;&gt;"",TRIM(AB438)&lt;&gt;"Closed"),AND(ISNUMBER(AF438),AF438&lt;&gt;0,TRIM(U438)&lt;&gt;"Pass after CA"))),1,0),1)</f>
        <v>0</v>
      </c>
      <c r="AM438" s="61" t="n">
        <f aca="false">IF(LEFT(AH438,7)="INVALID",1,0)</f>
        <v>0</v>
      </c>
      <c r="AN438" s="61" t="n">
        <f aca="false">IF(AND(N438="Clarification required",AI438=1,AJ438=0),1,0)</f>
        <v>0</v>
      </c>
      <c r="AO438" s="61" t="str">
        <f aca="false">IF(AK438=1,SUM(AK$5:AK438),"")</f>
        <v/>
      </c>
      <c r="AP438" s="61" t="str">
        <f aca="false">IF(AL438=1,SUM(AL$5:AL438),"")</f>
        <v/>
      </c>
      <c r="AQ438" s="61" t="n">
        <v>0</v>
      </c>
      <c r="AR438" s="61" t="n">
        <v>0</v>
      </c>
      <c r="AS438" s="61" t="n">
        <v>0</v>
      </c>
      <c r="AT438" s="61" t="n">
        <v>0</v>
      </c>
      <c r="AU438" s="61" t="str">
        <f aca="false">SUBSTITUTE(SUBSTITUTE(SUBSTITUTE(SUBSTITUTE(SUBSTITUTE(SUBSTITUTE(SUBSTITUTE(SUBSTITUTE(SUBSTITUTE(SUBSTITUTE(SUBSTITUTE(SUBSTITUTE(SUBSTITUTE(SUBSTITUTE(SUBSTITUTE(SUBSTITUTE(LOWER(T438&amp;""),CHAR(10),""),CHAR(13),""),CHAR(9),""),CHAR(160),"")," ",""),".",""),"-",""),"/",""),"?",""),"_",""),",",""),"[",""),"]",""),"(",""),")",""),"*","")</f>
        <v/>
      </c>
      <c r="AV438" s="61" t="str">
        <f aca="false">SUBSTITUTE(SUBSTITUTE(SUBSTITUTE(SUBSTITUTE(SUBSTITUTE(SUBSTITUTE(SUBSTITUTE(SUBSTITUTE(SUBSTITUTE(SUBSTITUTE(SUBSTITUTE(SUBSTITUTE(SUBSTITUTE(SUBSTITUTE(SUBSTITUTE(SUBSTITUTE(LOWER(V438&amp;""),CHAR(10),""),CHAR(13),""),CHAR(9),""),CHAR(160),"")," ",""),".",""),"-",""),"/",""),"?",""),"_",""),",",""),"[",""),"]",""),"(",""),")",""),"*","")</f>
        <v/>
      </c>
      <c r="AW438" s="61" t="str">
        <f aca="false">SUBSTITUTE(SUBSTITUTE(SUBSTITUTE(SUBSTITUTE(SUBSTITUTE(SUBSTITUTE(SUBSTITUTE(SUBSTITUTE(SUBSTITUTE(SUBSTITUTE(SUBSTITUTE(SUBSTITUTE(SUBSTITUTE(SUBSTITUTE(SUBSTITUTE(SUBSTITUTE(LOWER(Z438&amp;""),CHAR(10),""),CHAR(13),""),CHAR(9),""),CHAR(160),"")," ",""),".",""),"-",""),"/",""),"?",""),"_",""),",",""),"[",""),"]",""),"(",""),")",""),"*","")</f>
        <v/>
      </c>
      <c r="AX438" s="61" t="str">
        <f aca="false">SUBSTITUTE(SUBSTITUTE(SUBSTITUTE(SUBSTITUTE(SUBSTITUTE(SUBSTITUTE(SUBSTITUTE(SUBSTITUTE(SUBSTITUTE(SUBSTITUTE(SUBSTITUTE(SUBSTITUTE(SUBSTITUTE(SUBSTITUTE(SUBSTITUTE(SUBSTITUTE(LOWER(AE438&amp;""),CHAR(10),""),CHAR(13),""),CHAR(9),""),CHAR(160),"")," ",""),".",""),"-",""),"/",""),"?",""),"_",""),",",""),"[",""),"]",""),"(",""),")",""),"*","")</f>
        <v/>
      </c>
      <c r="AY438" s="61" t="str">
        <f aca="false">SUBSTITUTE(SUBSTITUTE(SUBSTITUTE(SUBSTITUTE(SUBSTITUTE(SUBSTITUTE(SUBSTITUTE(SUBSTITUTE(SUBSTITUTE(SUBSTITUTE(SUBSTITUTE(SUBSTITUTE(SUBSTITUTE(SUBSTITUTE(SUBSTITUTE(SUBSTITUTE(LOWER(W438&amp;""),CHAR(10),""),CHAR(13),""),CHAR(9),""),CHAR(160),"")," ",""),".",""),"-",""),"/",""),"?",""),"_",""),",",""),"[",""),"]",""),"(",""),")",""),"*","")</f>
        <v/>
      </c>
      <c r="AZ438" s="61" t="str">
        <f aca="false">SUBSTITUTE(SUBSTITUTE(SUBSTITUTE(SUBSTITUTE(SUBSTITUTE(SUBSTITUTE(SUBSTITUTE(SUBSTITUTE(SUBSTITUTE(SUBSTITUTE(SUBSTITUTE(SUBSTITUTE(SUBSTITUTE(SUBSTITUTE(SUBSTITUTE(SUBSTITUTE(LOWER(AC438&amp;""),CHAR(10),""),CHAR(13),""),CHAR(9),""),CHAR(160),"")," ",""),".",""),"-",""),"/",""),"?",""),"_",""),",",""),"[",""),"]",""),"(",""),")",""),"*","")</f>
        <v/>
      </c>
      <c r="BA438" s="61" t="str">
        <f aca="false">SUBSTITUTE(SUBSTITUTE(SUBSTITUTE(SUBSTITUTE(SUBSTITUTE(SUBSTITUTE(SUBSTITUTE(SUBSTITUTE(SUBSTITUTE(SUBSTITUTE(SUBSTITUTE(SUBSTITUTE(SUBSTITUTE(SUBSTITUTE(SUBSTITUTE(SUBSTITUTE(LOWER(AA438&amp;""),CHAR(10),""),CHAR(13),""),CHAR(9),""),CHAR(160),"")," ",""),".",""),"-",""),"/",""),"?",""),"_",""),",",""),"[",""),"]",""),"(",""),")",""),"*","")</f>
        <v/>
      </c>
      <c r="BB438" s="61" t="str">
        <f aca="false">IF(AND(TRIM(U438)="Pass",ISNUMBER(AF438)),IF(AF438&lt;&gt;0,"INVALID – qty variance: use Fail or Pass after CA",""),"")&amp;IF(AND(TRIM(U438)="Pass after CA",ISNUMBER(AF438)),IF(AF438&lt;&gt;0,"INVALID – after the corrective action the actual qty must equal expected (update Actual)",""),"")&amp;IF(AND(TRIM(U438)="Pass",TRIM(AB438)&lt;&gt;"",TRIM(AB438)&lt;&gt;"Closed"),"INVALID – corrective action not closed: use Fail, then Pass after CA","")&amp;IF(AND(LEN(BA438)&gt;=2,ISNA(MATCH(LEFT(BA438,255),L_Placeholder,0)),TRIM(AB438)=""),"INVALID – CA status missing for the recorded corrective action","")&amp;IF(AND(TRIM(U438)="Pass after CA",OR(OR(LEN(BA438)&lt;5,ISNUMBER(MATCH(BA438,L_Placeholder,0))),TRIM(AB438)&lt;&gt;"Closed")),"INVALID – corrective action not recorded/closed","")</f>
        <v/>
      </c>
      <c r="BC438" s="61" t="str">
        <f aca="false">" "&amp;TRIM(SUBSTITUTE(SUBSTITUTE(SUBSTITUTE(SUBSTITUTE(SUBSTITUTE(SUBSTITUTE(SUBSTITUTE(SUBSTITUTE(SUBSTITUTE(SUBSTITUTE(SUBSTITUTE(SUBSTITUTE(SUBSTITUTE(SUBSTITUTE(SUBSTITUTE(SUBSTITUTE(SUBSTITUTE(SUBSTITUTE(SUBSTITUTE(SUBSTITUTE(SUBSTITUTE(SUBSTITUTE(SUBSTITUTE(SUBSTITUTE(LOWER(V438&amp;""),CHAR(10)," "),CHAR(13)," "),CHAR(9)," "),CHAR(160)," "),"."," "),","," "),"-"," "),"/"," "),"("," "),")"," "),":"," "),";"," "),"_"," "),"–"," "),"?"," "),"!"," "),"*"," "),"["," "),"]"," "),"'"," "),"#"," "),"+"," "),"&amp;"," "),"\"," "))&amp;" "</f>
        <v>  </v>
      </c>
      <c r="BD438" s="61" t="str">
        <f aca="false">" "&amp;TRIM(SUBSTITUTE(SUBSTITUTE(SUBSTITUTE(SUBSTITUTE(SUBSTITUTE(SUBSTITUTE(SUBSTITUTE(SUBSTITUTE(SUBSTITUTE(SUBSTITUTE(SUBSTITUTE(SUBSTITUTE(SUBSTITUTE(SUBSTITUTE(SUBSTITUTE(SUBSTITUTE(SUBSTITUTE(SUBSTITUTE(SUBSTITUTE(SUBSTITUTE(SUBSTITUTE(SUBSTITUTE(SUBSTITUTE(SUBSTITUTE(LOWER(Z438&amp;""),CHAR(10)," "),CHAR(13)," "),CHAR(9)," "),CHAR(160)," "),"."," "),","," "),"-"," "),"/"," "),"("," "),")"," "),":"," "),";"," "),"_"," "),"–"," "),"?"," "),"!"," "),"*"," "),"["," "),"]"," "),"'"," "),"#"," "),"+"," "),"&amp;"," "),"\"," "))&amp;" "</f>
        <v>  </v>
      </c>
      <c r="BE438" s="61" t="str">
        <f aca="false">" "&amp;TRIM(SUBSTITUTE(SUBSTITUTE(SUBSTITUTE(SUBSTITUTE(SUBSTITUTE(SUBSTITUTE(SUBSTITUTE(SUBSTITUTE(SUBSTITUTE(SUBSTITUTE(SUBSTITUTE(SUBSTITUTE(SUBSTITUTE(SUBSTITUTE(SUBSTITUTE(SUBSTITUTE(SUBSTITUTE(SUBSTITUTE(SUBSTITUTE(SUBSTITUTE(SUBSTITUTE(SUBSTITUTE(SUBSTITUTE(SUBSTITUTE(LOWER(W438&amp;""),CHAR(10)," "),CHAR(13)," "),CHAR(9)," "),CHAR(160)," "),"."," "),","," "),"-"," "),"/"," "),"("," "),")"," "),":"," "),";"," "),"_"," "),"–"," "),"?"," "),"!"," "),"*"," "),"["," "),"]"," "),"'"," "),"#"," "),"+"," "),"&amp;"," "),"\"," "))&amp;" "</f>
        <v>  </v>
      </c>
      <c r="BF438" s="61" t="str">
        <f aca="false">" "&amp;TRIM(SUBSTITUTE(SUBSTITUTE(SUBSTITUTE(SUBSTITUTE(SUBSTITUTE(SUBSTITUTE(SUBSTITUTE(SUBSTITUTE(SUBSTITUTE(SUBSTITUTE(SUBSTITUTE(SUBSTITUTE(SUBSTITUTE(SUBSTITUTE(SUBSTITUTE(SUBSTITUTE(SUBSTITUTE(SUBSTITUTE(SUBSTITUTE(SUBSTITUTE(SUBSTITUTE(SUBSTITUTE(SUBSTITUTE(SUBSTITUTE(LOWER(AC438&amp;""),CHAR(10)," "),CHAR(13)," "),CHAR(9)," "),CHAR(160)," "),"."," "),","," "),"-"," "),"/"," "),"("," "),")"," "),":"," "),";"," "),"_"," "),"–"," "),"?"," "),"!"," "),"*"," "),"["," "),"]"," "),"'"," "),"#"," "),"+"," "),"&amp;"," "),"\"," "))&amp;" "</f>
        <v>  </v>
      </c>
      <c r="BG438" s="61" t="n">
        <f aca="false">IFERROR(IF(AND(TRIM(U438)="Pass",SUMPRODUCT((LEN(BC438)-LEN(SUBSTITUTE(BC438," "&amp;L_ResultBad&amp;" "," ")))/(LEN(L_ResultBad)+1))&gt;SUMPRODUCT((LEN(BC438)-LEN(SUBSTITUTE(BC438," "&amp;L_NegPhrase&amp;" "," ")))/(LEN(L_NegPhrase)+1))),1,0),0)</f>
        <v>0</v>
      </c>
      <c r="BH438" s="61" t="n">
        <f aca="false">IFERROR(IF(SUMPRODUCT((LEN(BC438)-LEN(SUBSTITUTE(BC438," "&amp;L_Pending&amp;" "," ")))/(LEN(L_Pending)+1))&gt;SUMPRODUCT((LEN(BC438)-LEN(SUBSTITUTE(BC438," "&amp;L_PendNeg&amp;" "," ")))/(LEN(L_PendNeg)+1))+SUMPRODUCT((LEN(BC438)-LEN(SUBSTITUTE(BC438," "&amp;L_PendPrep&amp;" "," ")))/(LEN(L_PendPrep)+1)),1,0),1)</f>
        <v>0</v>
      </c>
      <c r="BI438" s="61" t="n">
        <f aca="false">IFERROR(IF(SUMPRODUCT((LEN(BD438)-LEN(SUBSTITUTE(BD438," "&amp;L_PendStrict&amp;" "," ")))/(LEN(L_PendStrict)+1))&gt;SUMPRODUCT((LEN(BD438)-LEN(SUBSTITUTE(BD438," "&amp;L_PendNeg&amp;" "," ")))/(LEN(L_PendNeg)+1)),1,0),1)</f>
        <v>0</v>
      </c>
      <c r="BJ438" s="61" t="n">
        <f aca="false">IFERROR(IF(SUMPRODUCT((LEN(BE438)-LEN(SUBSTITUTE(BE438," "&amp;L_Pending&amp;" "," ")))/(LEN(L_Pending)+1))&gt;SUMPRODUCT((LEN(BE438)-LEN(SUBSTITUTE(BE438," "&amp;L_PendNeg&amp;" "," ")))/(LEN(L_PendNeg)+1))+SUMPRODUCT((LEN(BE438)-LEN(SUBSTITUTE(BE438," "&amp;L_PendPrep&amp;" "," ")))/(LEN(L_PendPrep)+1)),1,0),1)</f>
        <v>0</v>
      </c>
      <c r="BK438" s="61" t="n">
        <f aca="false">IFERROR(IF(SUMPRODUCT((LEN(BF438)-LEN(SUBSTITUTE(BF438," "&amp;L_PendStrict&amp;" "," ")))/(LEN(L_PendStrict)+1))&gt;SUMPRODUCT((LEN(BF438)-LEN(SUBSTITUTE(BF438," "&amp;L_PendNeg&amp;" "," ")))/(LEN(L_PendNeg)+1)),1,0),1)</f>
        <v>0</v>
      </c>
      <c r="BL438" s="61" t="n">
        <f aca="false">IF(ISNA(MATCH(TRIM(S438),L_EvidenceType,0)),0,BZ438)</f>
        <v>0</v>
      </c>
      <c r="BM438" s="61" t="str">
        <f aca="false">SUBSTITUTE(SUBSTITUTE(SUBSTITUTE(SUBSTITUTE(SUBSTITUTE(SUBSTITUTE(SUBSTITUTE(SUBSTITUTE(SUBSTITUTE(LOWER(Z438&amp;""),"1","0"),"2","0"),"3","0"),"4","0"),"5","0"),"6","0"),"7","0"),"8","0"),"9","0")</f>
        <v/>
      </c>
      <c r="BN438" s="61" t="str">
        <f aca="false">SUBSTITUTE(SUBSTITUTE(SUBSTITUTE(SUBSTITUTE(SUBSTITUTE(SUBSTITUTE(SUBSTITUTE(SUBSTITUTE(SUBSTITUTE(SUBSTITUTE(SUBSTITUTE(SUBSTITUTE(SUBSTITUTE(SUBSTITUTE(SUBSTITUTE(SUBSTITUTE(SUBSTITUTE(SUBSTITUTE(SUBSTITUTE(SUBSTITUTE(SUBSTITUTE(SUBSTITUTE(SUBSTITUTE(SUBSTITUTE(SUBSTITUTE(BM438,"b","a"),"c","a"),"d","a"),"e","a"),"f","a"),"g","a"),"h","a"),"i","a"),"j","a"),"k","a"),"l","a"),"m","a"),"n","a"),"o","a"),"p","a"),"q","a"),"r","a"),"s","a"),"t","a"),"u","a"),"v","a"),"w","a"),"x","a"),"y","a"),"z","a")</f>
        <v/>
      </c>
      <c r="BO438" s="61" t="str">
        <f aca="false">SUBSTITUTE(SUBSTITUTE(SUBSTITUTE(SUBSTITUTE(SUBSTITUTE(SUBSTITUTE(SUBSTITUTE(SUBSTITUTE(SUBSTITUTE(LOWER(W438&amp;""),"1","0"),"2","0"),"3","0"),"4","0"),"5","0"),"6","0"),"7","0"),"8","0"),"9","0")</f>
        <v/>
      </c>
      <c r="BP438" s="61" t="str">
        <f aca="false">SUBSTITUTE(SUBSTITUTE(SUBSTITUTE(SUBSTITUTE(SUBSTITUTE(SUBSTITUTE(SUBSTITUTE(SUBSTITUTE(SUBSTITUTE(SUBSTITUTE(SUBSTITUTE(SUBSTITUTE(SUBSTITUTE(SUBSTITUTE(SUBSTITUTE(SUBSTITUTE(SUBSTITUTE(SUBSTITUTE(SUBSTITUTE(SUBSTITUTE(SUBSTITUTE(SUBSTITUTE(SUBSTITUTE(SUBSTITUTE(SUBSTITUTE(BO438,"b","a"),"c","a"),"d","a"),"e","a"),"f","a"),"g","a"),"h","a"),"i","a"),"j","a"),"k","a"),"l","a"),"m","a"),"n","a"),"o","a"),"p","a"),"q","a"),"r","a"),"s","a"),"t","a"),"u","a"),"v","a"),"w","a"),"x","a"),"y","a"),"z","a")</f>
        <v/>
      </c>
      <c r="BQ438" s="61" t="n">
        <f aca="false">IFERROR(IF(AND(ISERROR(SEARCH(" mh"," "&amp;LOWER(W438))),ISNA(MATCH(LEFT(TRIM(BP438),255),{"0000a","000a","00a","0000aa","000aa","00aa","0aa","0000aaa","000aaa","00a00","0a00","0000-0000","00:00","a00","a0","00.00.0000","00/00/0000","00-00-0000","0000-00-00","0000/00/00","0000.00.00","00.00.00","00/00/00","00-00-00","0.00.0000","0/00/0000","0-00-0000"},0)),ISNA(MATCH(LEFT(TRIM(CA438),255),{"0000a","000a","00a","0000aa","000aa","00aa","0aa","0000aaa","000aaa","00a00","0a00","0000-0000","00:00","a00","a0","00.00.0000","00/00/0000","00-00-0000","0000-00-00","0000/00/00","0000.00.00","00.00.00","00/00/00","00-00-00","0.00.0000","0/00/0000","0-00-0000"},0)),LEN(CB438)&gt;=3,NOT(OR(SUBSTITUTE(CB438,"0","")="",AND(LEN(CB438)&gt;=4,CB438=REPT(LEFT(CB438),LEN(CB438))),ISNUMBER(MATCH(CB438,{"123","1234","12345","123456","1234567","12345678","0123","01234","012345","98765","987654","54321"},0)),AND(LEN(CB438)=8,LEFT(CB438,3)="202"))),OR(AND((LEN(CA438)-LEN(SUBSTITUTE(CA438,"a","")))&gt;=1,SUMPRODUCT(--ISNUMBER(SEARCH({"a0","a-0","a_0","a/0","a.0","a#0","0a","0-a","0_a","0/a"},BP438)))&gt;0),ISNUMBER(SEARCH("000000",BP438)))),1,0),0)</f>
        <v>0</v>
      </c>
      <c r="BR438" s="61" t="n">
        <f aca="false">IFERROR(LEN(SUBSTITUTE(CC438," ",""))-SUMPRODUCT((LEN(CC438)-LEN(SUBSTITUTE(CC438," "&amp;L_Role&amp;" "," ")))/(LEN(L_Role)+1)*LEN(L_Role)),0)</f>
        <v>0</v>
      </c>
      <c r="BS438" s="61" t="n">
        <f aca="false">IFERROR(LEN(SUBSTITUTE(CD438," ",""))-SUMPRODUCT((LEN(CD438)-LEN(SUBSTITUTE(CD438," "&amp;L_Role&amp;" "," ")))/(LEN(L_Role)+1)*LEN(L_Role)),0)</f>
        <v>0</v>
      </c>
      <c r="BT4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438,"revision",""),"version",""),"jan",""),"feb",""),"mar",""),"apr",""),"may",""),"jun",""),"jul",""),"aug",""),"sep",""),"oct",""),"nov",""),"dec",""),"utc",""),"gmt",""),"myt",""),"bst",""),"rev",""),"ver",""),"b","a"),"c","a"),"d","a"),"e","a"),"f","a"),"g","a"),"h","a"),"i","a"),"j","a"),"k","a"),"l","a"),"m","a"),"n","a"),"o","a"),"p","a"),"q","a"),"r","a"),"s","a"),"t","a"),"u","a"),"v","a"),"w","a"),"x","a"),"y","a"),"z","a")</f>
        <v/>
      </c>
      <c r="BU438" s="61" t="str">
        <f aca="false">SUBSTITUTE(SUBSTITUTE(SUBSTITUTE(SUBSTITUTE(SUBSTITUTE(SUBSTITUTE(SUBSTITUTE(SUBSTITUTE(SUBSTITUTE(SUBSTITUTE(LEFT(BM438,FIND("0",BM438&amp;"0")-1),"-",""),"_",""),"/",""),".",""),"#",""),"\\",""),":","")," ",""),"(",""),")","")</f>
        <v/>
      </c>
      <c r="BV438" s="61" t="n">
        <f aca="false">0</f>
        <v>0</v>
      </c>
      <c r="BW4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438&amp;""),"a",""),"b",""),"c",""),"d",""),"e",""),"f",""),"g",""),"h",""),"i",""),"j",""),"k",""),"l",""),"m",""),"n",""),"o",""),"p",""),"q",""),"r",""),"s",""),"t",""),"u",""),"v",""),"w",""),"x",""),"y",""),"z",""),"-",""),"_",""),"/",""),".",""),"#",""),"\\",""),":","")," ",""),"(",""),")","")</f>
        <v/>
      </c>
      <c r="BX438" s="61" t="str">
        <f aca="false">SUBSTITUTE(SUBSTITUTE(SUBSTITUTE(SUBSTITUTE(SUBSTITUTE(SUBSTITUTE(SUBSTITUTE(SUBSTITUTE(SUBSTITUTE(SUBSTITUTE(SUBSTITUTE(BM438,"0",""),"-",""),"_",""),"/",""),".",""),"#",""),"\\",""),":","")," ",""),"(",""),")","")</f>
        <v/>
      </c>
      <c r="BY438" s="62" t="n">
        <f aca="false">Q438-T12EarlyH/24</f>
        <v>46308.0104166667</v>
      </c>
      <c r="BZ438" s="61" t="n">
        <f aca="false">IFERROR(IF(IF(TRIM(S438)="Link / file path",AND(LEN(TRIM(Z438))&gt;=5,SUMPRODUCT(--ISNUMBER(SEARCH({"http","www.","\\",":\",".pdf",".jpg",".jpeg",".png",".heic",".xls",".doc",".msg",".eml",".ppt",".txt",".zip"},Z438)))&gt;0),AND(ISERROR(FIND(" ",TRIM(Z438))),NOT(OR(SUMPRODUCT(--ISNUMBER(FIND({",",";","&amp;","+"},Z438)))&gt;0,SUMPRODUCT(--ISNUMBER(SEARCH({"0/aa","0\\aa"},BN438)))&gt;0)),NOT(SUMPRODUCT(--ISNUMBER(SEARCH({"http","www.","\\",":\",".pdf",".jpg",".jpeg",".png",".heic",".xls",".doc",".msg",".eml",".ppt",".txt",".zip"},Z438)))&gt;0),NOT(LOWER(TRIM(Z438))=LOWER(Flights!$F$17)),ISNA(MATCH(BU438,{"mh","rev","revision","ver","version","v","r","a","b","seat","tray","row","gate","bay","stand","page","pg","item","line","no","cart","galley","flight","flt","table","box","bag","oven","etd","eta","std","sta","atd","ata","qty","pax","x","time","tel","ph","mob","day","wk","week","utc","gmt","myt","lt"},0)),NOT(OR(ISNUMBER(MATCH(LEFT(BN438,255),{"0000a","000a","00a","0000aa","000aa","00aa","0aa","0000aaa","000aaa","00a00","0a00","0000-0000","00:00","a00","a0","00.00.0000","00/00/0000","00-00-0000","0000-00-00","0000/00/00","0000.00.00","00.00.00","00/00/00","00-00-00","0.00.0000","0/00/0000","0-00-0000"},0)),ISNUMBER(MATCH(LEFT(BT438,255),{"0000a","000a","00a","0000aa","000aa","00aa","0aa","0000aaa","000aaa","00a00","0a00","0000-0000","00:00","a00","a0","00.00.0000","00/00/0000","00-00-0000","0000-00-00","0000/00/00","0000.00.00","00.00.00","00/00/00","00-00-00","0.00.0000","0/00/0000","0-00-0000"},0)))),NOT(OR(AND(BW438&lt;&gt;"",SUBSTITUTE(BW438,"0","")=""),AND(LEN(BW438)&gt;=4,BW438=REPT(LEFT(BW438),LEN(BW438))),ISNUMBER(MATCH(BW438,{"123","1234","12345","123456","1234567","12345678","0123","01234","012345","98765","987654","54321"},0)),ISNUMBER(MATCH(BX438,{"x","xx","xxx","xxxx","xxxxx","abc","abcd","nil","na","nan","test","tbc","tba","tbd","dummy","sample","example","eg","zz","zzz","none","null","xyz","qwe","asd","id","ref"},0)),AND(LEN(BW438)=8,BX438="",OR(LEFT(BW438,3)="202",ISNUMBER(MATCH(RIGHT(BW438,4),{"2025","2026","2027"},0)))))),OR(AND((LEN(BT438)-LEN(SUBSTITUTE(BT438,"a","")))&gt;=1,(LEN(BN438)-LEN(SUBSTITUTE(BN438,"0","")))&gt;=2,SUMPRODUCT(--ISNUMBER(SEARCH({"a0","a-0","a_0","a/0","a.0","a#0","0a","0-a","0_a","0/a"},BN438)))&gt;0),AND((LEN(BN438)-LEN(SUBSTITUTE(BN438,"a","")))=0,(LEN(BN438)-LEN(SUBSTITUTE(BN438,"0","")))&gt;=5)))),1,0),0)</f>
        <v>0</v>
      </c>
      <c r="CA4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438,"revision",""),"version",""),"jan",""),"feb",""),"mar",""),"apr",""),"may",""),"jun",""),"jul",""),"aug",""),"sep",""),"oct",""),"nov",""),"dec",""),"utc",""),"gmt",""),"myt",""),"bst",""),"rev",""),"ver",""),"b","a"),"c","a"),"d","a"),"e","a"),"f","a"),"g","a"),"h","a"),"i","a"),"j","a"),"k","a"),"l","a"),"m","a"),"n","a"),"o","a"),"p","a"),"q","a"),"r","a"),"s","a"),"t","a"),"u","a"),"v","a"),"w","a"),"x","a"),"y","a"),"z","a")</f>
        <v/>
      </c>
      <c r="CB4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438&amp;""),"a",""),"b",""),"c",""),"d",""),"e",""),"f",""),"g",""),"h",""),"i",""),"j",""),"k",""),"l",""),"m",""),"n",""),"o",""),"p",""),"q",""),"r",""),"s",""),"t",""),"u",""),"v",""),"w",""),"x",""),"y",""),"z",""),"-",""),"_",""),"/",""),".",""),"#",""),"\\",""),":","")," ",""),"(",""),")","")</f>
        <v/>
      </c>
      <c r="CC438" s="0" t="str">
        <f aca="false">" "&amp;TRIM(SUBSTITUTE(SUBSTITUTE(SUBSTITUTE(SUBSTITUTE(SUBSTITUTE(SUBSTITUTE(SUBSTITUTE(SUBSTITUTE(SUBSTITUTE(SUBSTITUTE(SUBSTITUTE(SUBSTITUTE(SUBSTITUTE(SUBSTITUTE(SUBSTITUTE(SUBSTITUTE(SUBSTITUTE(SUBSTITUTE(SUBSTITUTE(SUBSTITUTE(SUBSTITUTE(SUBSTITUTE(SUBSTITUTE(SUBSTITUTE(LOWER(T438&amp;""),CHAR(10)," "),CHAR(13)," "),CHAR(9)," "),CHAR(160)," "),"."," "),","," "),"-"," "),"/"," "),"("," "),")"," "),":"," "),";"," "),"_"," "),"–"," "),"?"," "),"!"," "),"*"," "),"["," "),"]"," "),"'"," "),"#"," "),"+"," "),"&amp;"," "),"\"," "))&amp;" "</f>
        <v>  </v>
      </c>
      <c r="CD438" s="0" t="str">
        <f aca="false">" "&amp;TRIM(SUBSTITUTE(SUBSTITUTE(SUBSTITUTE(SUBSTITUTE(SUBSTITUTE(SUBSTITUTE(SUBSTITUTE(SUBSTITUTE(SUBSTITUTE(SUBSTITUTE(SUBSTITUTE(SUBSTITUTE(SUBSTITUTE(SUBSTITUTE(SUBSTITUTE(SUBSTITUTE(SUBSTITUTE(SUBSTITUTE(SUBSTITUTE(SUBSTITUTE(SUBSTITUTE(SUBSTITUTE(SUBSTITUTE(SUBSTITUTE(LOWER(AE438&amp;""),CHAR(10)," "),CHAR(13)," "),CHAR(9)," "),CHAR(160)," "),"."," "),","," "),"-"," "),"/"," "),"("," "),")"," "),":"," "),";"," "),"_"," "),"–"," "),"?"," "),"!"," "),"*"," "),"["," "),"]"," "),"'"," "),"#"," "),"+"," "),"&amp;"," "),"\"," "))&amp;" "</f>
        <v>  </v>
      </c>
      <c r="CE438" s="68" t="n">
        <f aca="false">IFERROR(IF(AND(LEN(AU438)&gt;0,LEN(AU438)=LEN(AX438),OR(TRIM(MID(SUBSTITUTE(TRIM(CC438)," ",REPT(" ",60)),1,60))="",ISNUMBER(SEARCH(" "&amp;TRIM(MID(SUBSTITUTE(TRIM(CC438)," ",REPT(" ",60)),1,60))&amp;" ",CD438))),OR(TRIM(MID(SUBSTITUTE(TRIM(CC438)," ",REPT(" ",60)),61,60))="",ISNUMBER(SEARCH(" "&amp;TRIM(MID(SUBSTITUTE(TRIM(CC438)," ",REPT(" ",60)),61,60))&amp;" ",CD438))),OR(TRIM(MID(SUBSTITUTE(TRIM(CC438)," ",REPT(" ",60)),121,60))="",ISNUMBER(SEARCH(" "&amp;TRIM(MID(SUBSTITUTE(TRIM(CC438)," ",REPT(" ",60)),121,60))&amp;" ",CD438)))),1,0),0)</f>
        <v>0</v>
      </c>
      <c r="CG438" s="68" t="n">
        <f aca="false">IFERROR(LEN(SUBSTITUTE(BF438," ",""))-SUMPRODUCT((LEN(BF438)-LEN(SUBSTITUTE(BF438," "&amp;L_NAFiller&amp;" "," ")))/(LEN(L_NAFiller)+1)*LEN(L_NAFiller)),0)</f>
        <v>0</v>
      </c>
    </row>
    <row r="439" customFormat="false" ht="39.75" hidden="false" customHeight="true" outlineLevel="0" collapsed="false">
      <c r="A439" s="57" t="s">
        <v>1076</v>
      </c>
      <c r="B439" s="57" t="s">
        <v>272</v>
      </c>
      <c r="C439" s="57" t="str">
        <f aca="false">Flights!$F$17</f>
        <v>MH0138</v>
      </c>
      <c r="D439" s="58" t="n">
        <f aca="false">Flights!$D$17</f>
        <v>46309</v>
      </c>
      <c r="E439" s="57" t="str">
        <f aca="false">Flights!$G$17&amp;"-"&amp;Flights!$H$17</f>
        <v>ADL-KUL</v>
      </c>
      <c r="F439" s="57" t="str">
        <f aca="false">Flights!$K$17</f>
        <v>EY</v>
      </c>
      <c r="G439" s="57" t="s">
        <v>420</v>
      </c>
      <c r="H439" s="57" t="s">
        <v>378</v>
      </c>
      <c r="I439" s="57" t="s">
        <v>379</v>
      </c>
      <c r="J439" s="57" t="s">
        <v>425</v>
      </c>
      <c r="K439" s="67" t="s">
        <v>426</v>
      </c>
      <c r="L439" s="67" t="s">
        <v>422</v>
      </c>
      <c r="M439" s="67"/>
      <c r="N439" s="67" t="s">
        <v>383</v>
      </c>
      <c r="O439" s="67" t="s">
        <v>423</v>
      </c>
      <c r="P439" s="57" t="s">
        <v>263</v>
      </c>
      <c r="Q439" s="59" t="n">
        <f aca="false">ROUND((Flights!$AE$17)*1440,0)/1440</f>
        <v>46308.5104166667</v>
      </c>
      <c r="R439" s="59" t="n">
        <f aca="false">Q439+(IF(AND(INDEX(TZ_DSTS,MATCH(P439,TZ_STN,0))&lt;&gt;"",Q439&gt;=INDEX(TZ_DSTS,MATCH(P439,TZ_STN,0)),Q439&lt;INDEX(TZ_DSTE,MATCH(P439,TZ_STN,0))),INDEX(TZ_DST,MATCH(P439,TZ_STN,0)),INDEX(TZ_STD,MATCH(P439,TZ_STN,0))))/24</f>
        <v>46308.9479166667</v>
      </c>
      <c r="S439" s="60"/>
      <c r="T439" s="60"/>
      <c r="U439" s="60"/>
      <c r="V439" s="60"/>
      <c r="W439" s="61"/>
      <c r="X439" s="60"/>
      <c r="Y439" s="60"/>
      <c r="Z439" s="60"/>
      <c r="AA439" s="60"/>
      <c r="AB439" s="60"/>
      <c r="AC439" s="60"/>
      <c r="AD439" s="66"/>
      <c r="AE439" s="60"/>
      <c r="AF439" s="61" t="str">
        <f aca="false">IF(AND(ISNUMBER(X439),ISNUMBER(Y439)),Y439-X439,"")</f>
        <v/>
      </c>
      <c r="AG439" s="62" t="str">
        <f aca="false">IF(ISNUMBER(AD439),AD439-(IF(AND(INDEX(TZ_DSTS,MATCH(P439,TZ_STN,0))&lt;&gt;"",(AD439-INDEX(TZ_STD,MATCH(P439,TZ_STN,0))/24)&gt;=INDEX(TZ_DSTS,MATCH(P439,TZ_STN,0)),(AD439-INDEX(TZ_STD,MATCH(P439,TZ_STN,0))/24)&lt;INDEX(TZ_DSTE,MATCH(P439,TZ_STN,0))),INDEX(TZ_DST,MATCH(P439,TZ_STN,0)),INDEX(TZ_STD,MATCH(P439,TZ_STN,0))))/24,"")</f>
        <v/>
      </c>
      <c r="AH439" s="65" t="str">
        <f aca="false">IFERROR(IF(N439="N/A – rule",IF(OR(TRIM(U439)="",TRIM(U439)="N/A",TRIM(U439)="Not started"),"N/A – RULE","INVALID – this check does not apply to this aircraft: clear the status (or correct the fleet on Flights)"),IF(TRIM(U439)="N/A",IF(AT439=0,"INVALID – N/A not permitted for this check",IF(AND(TRIM(AB439)&lt;&gt;"",TRIM(AB439)&lt;&gt;"Closed"),"INVALID – corrective action still open",IF(AND(NOT(OR(LEN(AZ439)&lt;15,ISNUMBER(MATCH(AZ439,L_Placeholder,0)))),BK439=0,CG439&gt;=8,NOT(OR(LEN(AU439)&lt;2,ISNUMBER(MATCH(AU439,L_Placeholder,0)))),BR439&gt;=3,NOT(OR(LEN(AX439)&lt;2,ISNUMBER(MATCH(AX439,L_Placeholder,0)))),BS439&gt;=3,TRIM(AE439)&lt;&gt;TRIM(T439),AX439&lt;&gt;AU439,CE439=0),"N/A – JUSTIFIED","INVALID – N/A needs a real, settled reason (not 'not applicable' / 'as above' / TBC), a named PIC and a different named verifier"))),IF(OR(TRIM(U439)="Pass",TRIM(U439)="Pass after CA"),IF(NOT(ISNUMBER(AD439)),"INVALID – completion time missing",IF(OR(OR(LEN(AU439)&lt;2,ISNUMBER(MATCH(AU439,L_Placeholder,0))),BR439&lt;3),"INVALID – PIC missing or not a named person (a role such as QA / CSM is not a name)",IF(OR(LEN(AV439)&lt;2,ISNUMBER(MATCH(AV439,L_Placeholder,0))),"INVALID – result / assessment missing",IF(OR(OR(LEN(AW439)&lt;3,ISNUMBER(MATCH(AW439,L_Placeholder,0))),SUMPRODUCT(--ISNUMBER(SEARCH(" "&amp;L_EvidencePhrase&amp;" ",BD439)))&gt;0,BI439=1),"INVALID – evidence missing, placeholder or not yet on file",IF(ISNA(MATCH(TRIM(S439),L_EvidenceType,0)),"INVALID – choose the evidence type from the list (column S)",IF(BL439=0,"INVALID – evidence ID must be the record's own ID only (e.g. SF-2210, IMG_2231, 1045521); a link / file name needs type 'Link / file path'",IF(OR(OR(LEN(AX439)&lt;2,ISNUMBER(MATCH(AX439,L_Placeholder,0))),BS439&lt;3),"INVALID – verifier missing or not a named person (a role such as QA / CSM is not a name)",IF(OR(AX439=AU439,CE439=1,AND(LEN(AU439)&gt;=4,ISNUMBER(SEARCH(AU439,AX439))),AND(LEN(AX439)&gt;=4,ISNUMBER(SEARCH(AX439,AU439)))),"INVALID – verifier must be a different, named person (not the PIC or a role)",IF(BH439=1,"INVALID – result not yet available (awaiting / TBC)",IF(BG439=1,"INVALID – result describes a problem: record Fail, then Pass after CA (or reword if it is not a problem)",IF(BV439=1,"INVALID – wording says not on board: an on-board confirmation needs the item loaded",IF(AND(AQ439=1,OR(OR(LEN(AY439)&lt;3,ISNUMBER(MATCH(AY439,L_Placeholder,0))),BJ439=1,BQ439=0)),"INVALID – batch ID missing, placeholder or not an ID (e.g. PASB-261008-BC-017)",IF(AND(AR439=1,OR(NOT(ISNUMBER(X439)),NOT(ISNUMBER(Y439)))),"INVALID – expected/actual qty missing",IF(AND(AR439=1,OR(X439&lt;=0,Y439&lt;0)),"INVALID – expected qty must be above 0 and actual not negative",IF(BB439&lt;&gt;"",BB439,IF(AND(AS439=1,Documents!$J$17&lt;&gt;"ON FILE"),"INVALID – GLD not on file (Documents sheet)",IF(AND(AS439=2,Documents!$O$17&lt;&gt;"ON FILE"),"INVALID – menu checklist not on file (Documents sheet)",IF(AND(AS439=3,NOT(ISNUMBER(Flights!$AX$17))),"INVALID – enter carrying flight KUL departure (Flights AX)",IF(AND(AS439=3,OR(Flights!$AZ$17&gt;Flights!$AA$17,Flights!$AX$17&lt;Flights!$AA$17-3)),"INVALID – carrying flight (Flights AX) cannot arrive before this leg's STD, or is over 3 days early",IF(AG439&gt;AsOfUTC,"INVALID – completion time is in the future",IF(AND(ISNUMBER(BY439),AG439&lt;BY439),IF(H439="Physical uplift","INVALID – before uplift window (cannot confirm loading)","INVALID – before valid window"),IF(AG439&gt;Flights!$AA$17,"INVALID – completed after departure (cannot establish readiness)",IF(AND(H439="Preparation",AG439&gt;=IF(ISNUMBER(Flights!$BA$17),MIN(Flights!$BA$17,Flights!$AA$17),Flights!$AA$17)),"INVALID – completed after loading / departure (cannot establish readiness)",IF(AND(H439="Physical uplift",AG439&gt;Q439),"INVALID – recorded after the loading flight departed",IF(AG439&gt;Q439,"COMPLETE – LATE","COMPLETE"))))))))))))))))))))))))),IF(TRIM(U439)="Fail","FAIL – DISCREPANCY",IF(AND(TRIM(U439)&lt;&gt;"",TRIM(U439)&lt;&gt;"Not started",TRIM(U439)&lt;&gt;"In progress"),"INVALID – unrecognised status (use the list)",IF(AsOfUTC&gt;Q439,"OVERDUE",IF(N439="Clarification required","OPEN – CLARIFICATION","OPEN"))))))),"INVALID – error value in an input cell")</f>
        <v>OPEN</v>
      </c>
      <c r="AI439" s="61" t="n">
        <f aca="false">IF(OR(AH439="N/A – RULE",AH439="N/A – JUSTIFIED"),0,1)</f>
        <v>1</v>
      </c>
      <c r="AJ439" s="61" t="n">
        <f aca="false">IF(LEFT(AH439,8)="COMPLETE",1,0)</f>
        <v>0</v>
      </c>
      <c r="AK439" s="61" t="n">
        <f aca="false">IF(AND(AI439=1,AJ439=0,AsOfUTC&gt;Q439),1,0)</f>
        <v>0</v>
      </c>
      <c r="AL439" s="61" t="n">
        <f aca="false">IFERROR(IF(AND(AI439=1,OR(TRIM(U439)="Fail",AND(TRIM(AB439)&lt;&gt;"",TRIM(AB439)&lt;&gt;"Closed"),AND(ISNUMBER(AF439),AF439&lt;&gt;0,TRIM(U439)&lt;&gt;"Pass after CA"))),1,0),1)</f>
        <v>0</v>
      </c>
      <c r="AM439" s="61" t="n">
        <f aca="false">IF(LEFT(AH439,7)="INVALID",1,0)</f>
        <v>0</v>
      </c>
      <c r="AN439" s="61" t="n">
        <f aca="false">IF(AND(N439="Clarification required",AI439=1,AJ439=0),1,0)</f>
        <v>0</v>
      </c>
      <c r="AO439" s="61" t="str">
        <f aca="false">IF(AK439=1,SUM(AK$5:AK439),"")</f>
        <v/>
      </c>
      <c r="AP439" s="61" t="str">
        <f aca="false">IF(AL439=1,SUM(AL$5:AL439),"")</f>
        <v/>
      </c>
      <c r="AQ439" s="61" t="n">
        <v>0</v>
      </c>
      <c r="AR439" s="61" t="n">
        <v>1</v>
      </c>
      <c r="AS439" s="61" t="n">
        <v>0</v>
      </c>
      <c r="AT439" s="61" t="n">
        <v>0</v>
      </c>
      <c r="AU439" s="61" t="str">
        <f aca="false">SUBSTITUTE(SUBSTITUTE(SUBSTITUTE(SUBSTITUTE(SUBSTITUTE(SUBSTITUTE(SUBSTITUTE(SUBSTITUTE(SUBSTITUTE(SUBSTITUTE(SUBSTITUTE(SUBSTITUTE(SUBSTITUTE(SUBSTITUTE(SUBSTITUTE(SUBSTITUTE(LOWER(T439&amp;""),CHAR(10),""),CHAR(13),""),CHAR(9),""),CHAR(160),"")," ",""),".",""),"-",""),"/",""),"?",""),"_",""),",",""),"[",""),"]",""),"(",""),")",""),"*","")</f>
        <v/>
      </c>
      <c r="AV439" s="61" t="str">
        <f aca="false">SUBSTITUTE(SUBSTITUTE(SUBSTITUTE(SUBSTITUTE(SUBSTITUTE(SUBSTITUTE(SUBSTITUTE(SUBSTITUTE(SUBSTITUTE(SUBSTITUTE(SUBSTITUTE(SUBSTITUTE(SUBSTITUTE(SUBSTITUTE(SUBSTITUTE(SUBSTITUTE(LOWER(V439&amp;""),CHAR(10),""),CHAR(13),""),CHAR(9),""),CHAR(160),"")," ",""),".",""),"-",""),"/",""),"?",""),"_",""),",",""),"[",""),"]",""),"(",""),")",""),"*","")</f>
        <v/>
      </c>
      <c r="AW439" s="61" t="str">
        <f aca="false">SUBSTITUTE(SUBSTITUTE(SUBSTITUTE(SUBSTITUTE(SUBSTITUTE(SUBSTITUTE(SUBSTITUTE(SUBSTITUTE(SUBSTITUTE(SUBSTITUTE(SUBSTITUTE(SUBSTITUTE(SUBSTITUTE(SUBSTITUTE(SUBSTITUTE(SUBSTITUTE(LOWER(Z439&amp;""),CHAR(10),""),CHAR(13),""),CHAR(9),""),CHAR(160),"")," ",""),".",""),"-",""),"/",""),"?",""),"_",""),",",""),"[",""),"]",""),"(",""),")",""),"*","")</f>
        <v/>
      </c>
      <c r="AX439" s="61" t="str">
        <f aca="false">SUBSTITUTE(SUBSTITUTE(SUBSTITUTE(SUBSTITUTE(SUBSTITUTE(SUBSTITUTE(SUBSTITUTE(SUBSTITUTE(SUBSTITUTE(SUBSTITUTE(SUBSTITUTE(SUBSTITUTE(SUBSTITUTE(SUBSTITUTE(SUBSTITUTE(SUBSTITUTE(LOWER(AE439&amp;""),CHAR(10),""),CHAR(13),""),CHAR(9),""),CHAR(160),"")," ",""),".",""),"-",""),"/",""),"?",""),"_",""),",",""),"[",""),"]",""),"(",""),")",""),"*","")</f>
        <v/>
      </c>
      <c r="AY439" s="61" t="str">
        <f aca="false">SUBSTITUTE(SUBSTITUTE(SUBSTITUTE(SUBSTITUTE(SUBSTITUTE(SUBSTITUTE(SUBSTITUTE(SUBSTITUTE(SUBSTITUTE(SUBSTITUTE(SUBSTITUTE(SUBSTITUTE(SUBSTITUTE(SUBSTITUTE(SUBSTITUTE(SUBSTITUTE(LOWER(W439&amp;""),CHAR(10),""),CHAR(13),""),CHAR(9),""),CHAR(160),"")," ",""),".",""),"-",""),"/",""),"?",""),"_",""),",",""),"[",""),"]",""),"(",""),")",""),"*","")</f>
        <v/>
      </c>
      <c r="AZ439" s="61" t="str">
        <f aca="false">SUBSTITUTE(SUBSTITUTE(SUBSTITUTE(SUBSTITUTE(SUBSTITUTE(SUBSTITUTE(SUBSTITUTE(SUBSTITUTE(SUBSTITUTE(SUBSTITUTE(SUBSTITUTE(SUBSTITUTE(SUBSTITUTE(SUBSTITUTE(SUBSTITUTE(SUBSTITUTE(LOWER(AC439&amp;""),CHAR(10),""),CHAR(13),""),CHAR(9),""),CHAR(160),"")," ",""),".",""),"-",""),"/",""),"?",""),"_",""),",",""),"[",""),"]",""),"(",""),")",""),"*","")</f>
        <v/>
      </c>
      <c r="BA439" s="61" t="str">
        <f aca="false">SUBSTITUTE(SUBSTITUTE(SUBSTITUTE(SUBSTITUTE(SUBSTITUTE(SUBSTITUTE(SUBSTITUTE(SUBSTITUTE(SUBSTITUTE(SUBSTITUTE(SUBSTITUTE(SUBSTITUTE(SUBSTITUTE(SUBSTITUTE(SUBSTITUTE(SUBSTITUTE(LOWER(AA439&amp;""),CHAR(10),""),CHAR(13),""),CHAR(9),""),CHAR(160),"")," ",""),".",""),"-",""),"/",""),"?",""),"_",""),",",""),"[",""),"]",""),"(",""),")",""),"*","")</f>
        <v/>
      </c>
      <c r="BB439" s="61" t="str">
        <f aca="false">IF(AND(TRIM(U439)="Pass",ISNUMBER(AF439)),IF(AF439&lt;&gt;0,"INVALID – qty variance: use Fail or Pass after CA",""),"")&amp;IF(AND(TRIM(U439)="Pass after CA",ISNUMBER(AF439)),IF(AF439&lt;&gt;0,"INVALID – after the corrective action the actual qty must equal expected (update Actual)",""),"")&amp;IF(AND(TRIM(U439)="Pass",TRIM(AB439)&lt;&gt;"",TRIM(AB439)&lt;&gt;"Closed"),"INVALID – corrective action not closed: use Fail, then Pass after CA","")&amp;IF(AND(LEN(BA439)&gt;=2,ISNA(MATCH(LEFT(BA439,255),L_Placeholder,0)),TRIM(AB439)=""),"INVALID – CA status missing for the recorded corrective action","")&amp;IF(AND(TRIM(U439)="Pass after CA",OR(OR(LEN(BA439)&lt;5,ISNUMBER(MATCH(BA439,L_Placeholder,0))),TRIM(AB439)&lt;&gt;"Closed")),"INVALID – corrective action not recorded/closed","")</f>
        <v/>
      </c>
      <c r="BC439" s="61" t="str">
        <f aca="false">" "&amp;TRIM(SUBSTITUTE(SUBSTITUTE(SUBSTITUTE(SUBSTITUTE(SUBSTITUTE(SUBSTITUTE(SUBSTITUTE(SUBSTITUTE(SUBSTITUTE(SUBSTITUTE(SUBSTITUTE(SUBSTITUTE(SUBSTITUTE(SUBSTITUTE(SUBSTITUTE(SUBSTITUTE(SUBSTITUTE(SUBSTITUTE(SUBSTITUTE(SUBSTITUTE(SUBSTITUTE(SUBSTITUTE(SUBSTITUTE(SUBSTITUTE(LOWER(V439&amp;""),CHAR(10)," "),CHAR(13)," "),CHAR(9)," "),CHAR(160)," "),"."," "),","," "),"-"," "),"/"," "),"("," "),")"," "),":"," "),";"," "),"_"," "),"–"," "),"?"," "),"!"," "),"*"," "),"["," "),"]"," "),"'"," "),"#"," "),"+"," "),"&amp;"," "),"\"," "))&amp;" "</f>
        <v>  </v>
      </c>
      <c r="BD439" s="61" t="str">
        <f aca="false">" "&amp;TRIM(SUBSTITUTE(SUBSTITUTE(SUBSTITUTE(SUBSTITUTE(SUBSTITUTE(SUBSTITUTE(SUBSTITUTE(SUBSTITUTE(SUBSTITUTE(SUBSTITUTE(SUBSTITUTE(SUBSTITUTE(SUBSTITUTE(SUBSTITUTE(SUBSTITUTE(SUBSTITUTE(SUBSTITUTE(SUBSTITUTE(SUBSTITUTE(SUBSTITUTE(SUBSTITUTE(SUBSTITUTE(SUBSTITUTE(SUBSTITUTE(LOWER(Z439&amp;""),CHAR(10)," "),CHAR(13)," "),CHAR(9)," "),CHAR(160)," "),"."," "),","," "),"-"," "),"/"," "),"("," "),")"," "),":"," "),";"," "),"_"," "),"–"," "),"?"," "),"!"," "),"*"," "),"["," "),"]"," "),"'"," "),"#"," "),"+"," "),"&amp;"," "),"\"," "))&amp;" "</f>
        <v>  </v>
      </c>
      <c r="BE439" s="61" t="str">
        <f aca="false">" "&amp;TRIM(SUBSTITUTE(SUBSTITUTE(SUBSTITUTE(SUBSTITUTE(SUBSTITUTE(SUBSTITUTE(SUBSTITUTE(SUBSTITUTE(SUBSTITUTE(SUBSTITUTE(SUBSTITUTE(SUBSTITUTE(SUBSTITUTE(SUBSTITUTE(SUBSTITUTE(SUBSTITUTE(SUBSTITUTE(SUBSTITUTE(SUBSTITUTE(SUBSTITUTE(SUBSTITUTE(SUBSTITUTE(SUBSTITUTE(SUBSTITUTE(LOWER(W439&amp;""),CHAR(10)," "),CHAR(13)," "),CHAR(9)," "),CHAR(160)," "),"."," "),","," "),"-"," "),"/"," "),"("," "),")"," "),":"," "),";"," "),"_"," "),"–"," "),"?"," "),"!"," "),"*"," "),"["," "),"]"," "),"'"," "),"#"," "),"+"," "),"&amp;"," "),"\"," "))&amp;" "</f>
        <v>  </v>
      </c>
      <c r="BF439" s="61" t="str">
        <f aca="false">" "&amp;TRIM(SUBSTITUTE(SUBSTITUTE(SUBSTITUTE(SUBSTITUTE(SUBSTITUTE(SUBSTITUTE(SUBSTITUTE(SUBSTITUTE(SUBSTITUTE(SUBSTITUTE(SUBSTITUTE(SUBSTITUTE(SUBSTITUTE(SUBSTITUTE(SUBSTITUTE(SUBSTITUTE(SUBSTITUTE(SUBSTITUTE(SUBSTITUTE(SUBSTITUTE(SUBSTITUTE(SUBSTITUTE(SUBSTITUTE(SUBSTITUTE(LOWER(AC439&amp;""),CHAR(10)," "),CHAR(13)," "),CHAR(9)," "),CHAR(160)," "),"."," "),","," "),"-"," "),"/"," "),"("," "),")"," "),":"," "),";"," "),"_"," "),"–"," "),"?"," "),"!"," "),"*"," "),"["," "),"]"," "),"'"," "),"#"," "),"+"," "),"&amp;"," "),"\"," "))&amp;" "</f>
        <v>  </v>
      </c>
      <c r="BG439" s="61" t="n">
        <f aca="false">IFERROR(IF(AND(TRIM(U439)="Pass",SUMPRODUCT((LEN(BC439)-LEN(SUBSTITUTE(BC439," "&amp;L_ResultBad&amp;" "," ")))/(LEN(L_ResultBad)+1))&gt;SUMPRODUCT((LEN(BC439)-LEN(SUBSTITUTE(BC439," "&amp;L_NegPhrase&amp;" "," ")))/(LEN(L_NegPhrase)+1))),1,0),0)</f>
        <v>0</v>
      </c>
      <c r="BH439" s="61" t="n">
        <f aca="false">IFERROR(IF(SUMPRODUCT((LEN(BC439)-LEN(SUBSTITUTE(BC439," "&amp;L_Pending&amp;" "," ")))/(LEN(L_Pending)+1))&gt;SUMPRODUCT((LEN(BC439)-LEN(SUBSTITUTE(BC439," "&amp;L_PendNeg&amp;" "," ")))/(LEN(L_PendNeg)+1))+SUMPRODUCT((LEN(BC439)-LEN(SUBSTITUTE(BC439," "&amp;L_PendPrep&amp;" "," ")))/(LEN(L_PendPrep)+1)),1,0),1)</f>
        <v>0</v>
      </c>
      <c r="BI439" s="61" t="n">
        <f aca="false">IFERROR(IF(SUMPRODUCT((LEN(BD439)-LEN(SUBSTITUTE(BD439," "&amp;L_PendStrict&amp;" "," ")))/(LEN(L_PendStrict)+1))&gt;SUMPRODUCT((LEN(BD439)-LEN(SUBSTITUTE(BD439," "&amp;L_PendNeg&amp;" "," ")))/(LEN(L_PendNeg)+1)),1,0),1)</f>
        <v>0</v>
      </c>
      <c r="BJ439" s="61" t="n">
        <f aca="false">IFERROR(IF(SUMPRODUCT((LEN(BE439)-LEN(SUBSTITUTE(BE439," "&amp;L_Pending&amp;" "," ")))/(LEN(L_Pending)+1))&gt;SUMPRODUCT((LEN(BE439)-LEN(SUBSTITUTE(BE439," "&amp;L_PendNeg&amp;" "," ")))/(LEN(L_PendNeg)+1))+SUMPRODUCT((LEN(BE439)-LEN(SUBSTITUTE(BE439," "&amp;L_PendPrep&amp;" "," ")))/(LEN(L_PendPrep)+1)),1,0),1)</f>
        <v>0</v>
      </c>
      <c r="BK439" s="61" t="n">
        <f aca="false">IFERROR(IF(SUMPRODUCT((LEN(BF439)-LEN(SUBSTITUTE(BF439," "&amp;L_PendStrict&amp;" "," ")))/(LEN(L_PendStrict)+1))&gt;SUMPRODUCT((LEN(BF439)-LEN(SUBSTITUTE(BF439," "&amp;L_PendNeg&amp;" "," ")))/(LEN(L_PendNeg)+1)),1,0),1)</f>
        <v>0</v>
      </c>
      <c r="BL439" s="61" t="n">
        <f aca="false">IF(ISNA(MATCH(TRIM(S439),L_EvidenceType,0)),0,BZ439)</f>
        <v>0</v>
      </c>
      <c r="BM439" s="61" t="str">
        <f aca="false">SUBSTITUTE(SUBSTITUTE(SUBSTITUTE(SUBSTITUTE(SUBSTITUTE(SUBSTITUTE(SUBSTITUTE(SUBSTITUTE(SUBSTITUTE(LOWER(Z439&amp;""),"1","0"),"2","0"),"3","0"),"4","0"),"5","0"),"6","0"),"7","0"),"8","0"),"9","0")</f>
        <v/>
      </c>
      <c r="BN439" s="61" t="str">
        <f aca="false">SUBSTITUTE(SUBSTITUTE(SUBSTITUTE(SUBSTITUTE(SUBSTITUTE(SUBSTITUTE(SUBSTITUTE(SUBSTITUTE(SUBSTITUTE(SUBSTITUTE(SUBSTITUTE(SUBSTITUTE(SUBSTITUTE(SUBSTITUTE(SUBSTITUTE(SUBSTITUTE(SUBSTITUTE(SUBSTITUTE(SUBSTITUTE(SUBSTITUTE(SUBSTITUTE(SUBSTITUTE(SUBSTITUTE(SUBSTITUTE(SUBSTITUTE(BM439,"b","a"),"c","a"),"d","a"),"e","a"),"f","a"),"g","a"),"h","a"),"i","a"),"j","a"),"k","a"),"l","a"),"m","a"),"n","a"),"o","a"),"p","a"),"q","a"),"r","a"),"s","a"),"t","a"),"u","a"),"v","a"),"w","a"),"x","a"),"y","a"),"z","a")</f>
        <v/>
      </c>
      <c r="BO439" s="61" t="str">
        <f aca="false">SUBSTITUTE(SUBSTITUTE(SUBSTITUTE(SUBSTITUTE(SUBSTITUTE(SUBSTITUTE(SUBSTITUTE(SUBSTITUTE(SUBSTITUTE(LOWER(W439&amp;""),"1","0"),"2","0"),"3","0"),"4","0"),"5","0"),"6","0"),"7","0"),"8","0"),"9","0")</f>
        <v/>
      </c>
      <c r="BP439" s="61" t="str">
        <f aca="false">SUBSTITUTE(SUBSTITUTE(SUBSTITUTE(SUBSTITUTE(SUBSTITUTE(SUBSTITUTE(SUBSTITUTE(SUBSTITUTE(SUBSTITUTE(SUBSTITUTE(SUBSTITUTE(SUBSTITUTE(SUBSTITUTE(SUBSTITUTE(SUBSTITUTE(SUBSTITUTE(SUBSTITUTE(SUBSTITUTE(SUBSTITUTE(SUBSTITUTE(SUBSTITUTE(SUBSTITUTE(SUBSTITUTE(SUBSTITUTE(SUBSTITUTE(BO439,"b","a"),"c","a"),"d","a"),"e","a"),"f","a"),"g","a"),"h","a"),"i","a"),"j","a"),"k","a"),"l","a"),"m","a"),"n","a"),"o","a"),"p","a"),"q","a"),"r","a"),"s","a"),"t","a"),"u","a"),"v","a"),"w","a"),"x","a"),"y","a"),"z","a")</f>
        <v/>
      </c>
      <c r="BQ439" s="61" t="n">
        <f aca="false">IFERROR(IF(AND(ISERROR(SEARCH(" mh"," "&amp;LOWER(W439))),ISNA(MATCH(LEFT(TRIM(BP439),255),{"0000a","000a","00a","0000aa","000aa","00aa","0aa","0000aaa","000aaa","00a00","0a00","0000-0000","00:00","a00","a0","00.00.0000","00/00/0000","00-00-0000","0000-00-00","0000/00/00","0000.00.00","00.00.00","00/00/00","00-00-00","0.00.0000","0/00/0000","0-00-0000"},0)),ISNA(MATCH(LEFT(TRIM(CA439),255),{"0000a","000a","00a","0000aa","000aa","00aa","0aa","0000aaa","000aaa","00a00","0a00","0000-0000","00:00","a00","a0","00.00.0000","00/00/0000","00-00-0000","0000-00-00","0000/00/00","0000.00.00","00.00.00","00/00/00","00-00-00","0.00.0000","0/00/0000","0-00-0000"},0)),LEN(CB439)&gt;=3,NOT(OR(SUBSTITUTE(CB439,"0","")="",AND(LEN(CB439)&gt;=4,CB439=REPT(LEFT(CB439),LEN(CB439))),ISNUMBER(MATCH(CB439,{"123","1234","12345","123456","1234567","12345678","0123","01234","012345","98765","987654","54321"},0)),AND(LEN(CB439)=8,LEFT(CB439,3)="202"))),OR(AND((LEN(CA439)-LEN(SUBSTITUTE(CA439,"a","")))&gt;=1,SUMPRODUCT(--ISNUMBER(SEARCH({"a0","a-0","a_0","a/0","a.0","a#0","0a","0-a","0_a","0/a"},BP439)))&gt;0),ISNUMBER(SEARCH("000000",BP439)))),1,0),0)</f>
        <v>0</v>
      </c>
      <c r="BR439" s="61" t="n">
        <f aca="false">IFERROR(LEN(SUBSTITUTE(CC439," ",""))-SUMPRODUCT((LEN(CC439)-LEN(SUBSTITUTE(CC439," "&amp;L_Role&amp;" "," ")))/(LEN(L_Role)+1)*LEN(L_Role)),0)</f>
        <v>0</v>
      </c>
      <c r="BS439" s="61" t="n">
        <f aca="false">IFERROR(LEN(SUBSTITUTE(CD439," ",""))-SUMPRODUCT((LEN(CD439)-LEN(SUBSTITUTE(CD439," "&amp;L_Role&amp;" "," ")))/(LEN(L_Role)+1)*LEN(L_Role)),0)</f>
        <v>0</v>
      </c>
      <c r="BT4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439,"revision",""),"version",""),"jan",""),"feb",""),"mar",""),"apr",""),"may",""),"jun",""),"jul",""),"aug",""),"sep",""),"oct",""),"nov",""),"dec",""),"utc",""),"gmt",""),"myt",""),"bst",""),"rev",""),"ver",""),"b","a"),"c","a"),"d","a"),"e","a"),"f","a"),"g","a"),"h","a"),"i","a"),"j","a"),"k","a"),"l","a"),"m","a"),"n","a"),"o","a"),"p","a"),"q","a"),"r","a"),"s","a"),"t","a"),"u","a"),"v","a"),"w","a"),"x","a"),"y","a"),"z","a")</f>
        <v/>
      </c>
      <c r="BU439" s="61" t="str">
        <f aca="false">SUBSTITUTE(SUBSTITUTE(SUBSTITUTE(SUBSTITUTE(SUBSTITUTE(SUBSTITUTE(SUBSTITUTE(SUBSTITUTE(SUBSTITUTE(SUBSTITUTE(LEFT(BM439,FIND("0",BM439&amp;"0")-1),"-",""),"_",""),"/",""),".",""),"#",""),"\\",""),":","")," ",""),"(",""),")","")</f>
        <v/>
      </c>
      <c r="BV439" s="61" t="n">
        <f aca="false">0</f>
        <v>0</v>
      </c>
      <c r="BW4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439&amp;""),"a",""),"b",""),"c",""),"d",""),"e",""),"f",""),"g",""),"h",""),"i",""),"j",""),"k",""),"l",""),"m",""),"n",""),"o",""),"p",""),"q",""),"r",""),"s",""),"t",""),"u",""),"v",""),"w",""),"x",""),"y",""),"z",""),"-",""),"_",""),"/",""),".",""),"#",""),"\\",""),":","")," ",""),"(",""),")","")</f>
        <v/>
      </c>
      <c r="BX439" s="61" t="str">
        <f aca="false">SUBSTITUTE(SUBSTITUTE(SUBSTITUTE(SUBSTITUTE(SUBSTITUTE(SUBSTITUTE(SUBSTITUTE(SUBSTITUTE(SUBSTITUTE(SUBSTITUTE(SUBSTITUTE(BM439,"0",""),"-",""),"_",""),"/",""),".",""),"#",""),"\\",""),":","")," ",""),"(",""),")","")</f>
        <v/>
      </c>
      <c r="BY439" s="62" t="n">
        <f aca="false">Q439-T12EarlyH/24</f>
        <v>46308.0104166667</v>
      </c>
      <c r="BZ439" s="61" t="n">
        <f aca="false">IFERROR(IF(IF(TRIM(S439)="Link / file path",AND(LEN(TRIM(Z439))&gt;=5,SUMPRODUCT(--ISNUMBER(SEARCH({"http","www.","\\",":\",".pdf",".jpg",".jpeg",".png",".heic",".xls",".doc",".msg",".eml",".ppt",".txt",".zip"},Z439)))&gt;0),AND(ISERROR(FIND(" ",TRIM(Z439))),NOT(OR(SUMPRODUCT(--ISNUMBER(FIND({",",";","&amp;","+"},Z439)))&gt;0,SUMPRODUCT(--ISNUMBER(SEARCH({"0/aa","0\\aa"},BN439)))&gt;0)),NOT(SUMPRODUCT(--ISNUMBER(SEARCH({"http","www.","\\",":\",".pdf",".jpg",".jpeg",".png",".heic",".xls",".doc",".msg",".eml",".ppt",".txt",".zip"},Z439)))&gt;0),NOT(LOWER(TRIM(Z439))=LOWER(Flights!$F$17)),ISNA(MATCH(BU439,{"mh","rev","revision","ver","version","v","r","a","b","seat","tray","row","gate","bay","stand","page","pg","item","line","no","cart","galley","flight","flt","table","box","bag","oven","etd","eta","std","sta","atd","ata","qty","pax","x","time","tel","ph","mob","day","wk","week","utc","gmt","myt","lt"},0)),NOT(OR(ISNUMBER(MATCH(LEFT(BN439,255),{"0000a","000a","00a","0000aa","000aa","00aa","0aa","0000aaa","000aaa","00a00","0a00","0000-0000","00:00","a00","a0","00.00.0000","00/00/0000","00-00-0000","0000-00-00","0000/00/00","0000.00.00","00.00.00","00/00/00","00-00-00","0.00.0000","0/00/0000","0-00-0000"},0)),ISNUMBER(MATCH(LEFT(BT439,255),{"0000a","000a","00a","0000aa","000aa","00aa","0aa","0000aaa","000aaa","00a00","0a00","0000-0000","00:00","a00","a0","00.00.0000","00/00/0000","00-00-0000","0000-00-00","0000/00/00","0000.00.00","00.00.00","00/00/00","00-00-00","0.00.0000","0/00/0000","0-00-0000"},0)))),NOT(OR(AND(BW439&lt;&gt;"",SUBSTITUTE(BW439,"0","")=""),AND(LEN(BW439)&gt;=4,BW439=REPT(LEFT(BW439),LEN(BW439))),ISNUMBER(MATCH(BW439,{"123","1234","12345","123456","1234567","12345678","0123","01234","012345","98765","987654","54321"},0)),ISNUMBER(MATCH(BX439,{"x","xx","xxx","xxxx","xxxxx","abc","abcd","nil","na","nan","test","tbc","tba","tbd","dummy","sample","example","eg","zz","zzz","none","null","xyz","qwe","asd","id","ref"},0)),AND(LEN(BW439)=8,BX439="",OR(LEFT(BW439,3)="202",ISNUMBER(MATCH(RIGHT(BW439,4),{"2025","2026","2027"},0)))))),OR(AND((LEN(BT439)-LEN(SUBSTITUTE(BT439,"a","")))&gt;=1,(LEN(BN439)-LEN(SUBSTITUTE(BN439,"0","")))&gt;=2,SUMPRODUCT(--ISNUMBER(SEARCH({"a0","a-0","a_0","a/0","a.0","a#0","0a","0-a","0_a","0/a"},BN439)))&gt;0),AND((LEN(BN439)-LEN(SUBSTITUTE(BN439,"a","")))=0,(LEN(BN439)-LEN(SUBSTITUTE(BN439,"0","")))&gt;=5)))),1,0),0)</f>
        <v>0</v>
      </c>
      <c r="CA4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439,"revision",""),"version",""),"jan",""),"feb",""),"mar",""),"apr",""),"may",""),"jun",""),"jul",""),"aug",""),"sep",""),"oct",""),"nov",""),"dec",""),"utc",""),"gmt",""),"myt",""),"bst",""),"rev",""),"ver",""),"b","a"),"c","a"),"d","a"),"e","a"),"f","a"),"g","a"),"h","a"),"i","a"),"j","a"),"k","a"),"l","a"),"m","a"),"n","a"),"o","a"),"p","a"),"q","a"),"r","a"),"s","a"),"t","a"),"u","a"),"v","a"),"w","a"),"x","a"),"y","a"),"z","a")</f>
        <v/>
      </c>
      <c r="CB4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439&amp;""),"a",""),"b",""),"c",""),"d",""),"e",""),"f",""),"g",""),"h",""),"i",""),"j",""),"k",""),"l",""),"m",""),"n",""),"o",""),"p",""),"q",""),"r",""),"s",""),"t",""),"u",""),"v",""),"w",""),"x",""),"y",""),"z",""),"-",""),"_",""),"/",""),".",""),"#",""),"\\",""),":","")," ",""),"(",""),")","")</f>
        <v/>
      </c>
      <c r="CC439" s="0" t="str">
        <f aca="false">" "&amp;TRIM(SUBSTITUTE(SUBSTITUTE(SUBSTITUTE(SUBSTITUTE(SUBSTITUTE(SUBSTITUTE(SUBSTITUTE(SUBSTITUTE(SUBSTITUTE(SUBSTITUTE(SUBSTITUTE(SUBSTITUTE(SUBSTITUTE(SUBSTITUTE(SUBSTITUTE(SUBSTITUTE(SUBSTITUTE(SUBSTITUTE(SUBSTITUTE(SUBSTITUTE(SUBSTITUTE(SUBSTITUTE(SUBSTITUTE(SUBSTITUTE(LOWER(T439&amp;""),CHAR(10)," "),CHAR(13)," "),CHAR(9)," "),CHAR(160)," "),"."," "),","," "),"-"," "),"/"," "),"("," "),")"," "),":"," "),";"," "),"_"," "),"–"," "),"?"," "),"!"," "),"*"," "),"["," "),"]"," "),"'"," "),"#"," "),"+"," "),"&amp;"," "),"\"," "))&amp;" "</f>
        <v>  </v>
      </c>
      <c r="CD439" s="0" t="str">
        <f aca="false">" "&amp;TRIM(SUBSTITUTE(SUBSTITUTE(SUBSTITUTE(SUBSTITUTE(SUBSTITUTE(SUBSTITUTE(SUBSTITUTE(SUBSTITUTE(SUBSTITUTE(SUBSTITUTE(SUBSTITUTE(SUBSTITUTE(SUBSTITUTE(SUBSTITUTE(SUBSTITUTE(SUBSTITUTE(SUBSTITUTE(SUBSTITUTE(SUBSTITUTE(SUBSTITUTE(SUBSTITUTE(SUBSTITUTE(SUBSTITUTE(SUBSTITUTE(LOWER(AE439&amp;""),CHAR(10)," "),CHAR(13)," "),CHAR(9)," "),CHAR(160)," "),"."," "),","," "),"-"," "),"/"," "),"("," "),")"," "),":"," "),";"," "),"_"," "),"–"," "),"?"," "),"!"," "),"*"," "),"["," "),"]"," "),"'"," "),"#"," "),"+"," "),"&amp;"," "),"\"," "))&amp;" "</f>
        <v>  </v>
      </c>
      <c r="CE439" s="68" t="n">
        <f aca="false">IFERROR(IF(AND(LEN(AU439)&gt;0,LEN(AU439)=LEN(AX439),OR(TRIM(MID(SUBSTITUTE(TRIM(CC439)," ",REPT(" ",60)),1,60))="",ISNUMBER(SEARCH(" "&amp;TRIM(MID(SUBSTITUTE(TRIM(CC439)," ",REPT(" ",60)),1,60))&amp;" ",CD439))),OR(TRIM(MID(SUBSTITUTE(TRIM(CC439)," ",REPT(" ",60)),61,60))="",ISNUMBER(SEARCH(" "&amp;TRIM(MID(SUBSTITUTE(TRIM(CC439)," ",REPT(" ",60)),61,60))&amp;" ",CD439))),OR(TRIM(MID(SUBSTITUTE(TRIM(CC439)," ",REPT(" ",60)),121,60))="",ISNUMBER(SEARCH(" "&amp;TRIM(MID(SUBSTITUTE(TRIM(CC439)," ",REPT(" ",60)),121,60))&amp;" ",CD439)))),1,0),0)</f>
        <v>0</v>
      </c>
      <c r="CG439" s="68" t="n">
        <f aca="false">IFERROR(LEN(SUBSTITUTE(BF439," ",""))-SUMPRODUCT((LEN(BF439)-LEN(SUBSTITUTE(BF439," "&amp;L_NAFiller&amp;" "," ")))/(LEN(L_NAFiller)+1)*LEN(L_NAFiller)),0)</f>
        <v>0</v>
      </c>
    </row>
    <row r="440" customFormat="false" ht="39.75" hidden="false" customHeight="true" outlineLevel="0" collapsed="false">
      <c r="A440" s="57" t="s">
        <v>1077</v>
      </c>
      <c r="B440" s="57" t="s">
        <v>272</v>
      </c>
      <c r="C440" s="57" t="str">
        <f aca="false">Flights!$F$17</f>
        <v>MH0138</v>
      </c>
      <c r="D440" s="58" t="n">
        <f aca="false">Flights!$D$17</f>
        <v>46309</v>
      </c>
      <c r="E440" s="57" t="str">
        <f aca="false">Flights!$G$17&amp;"-"&amp;Flights!$H$17</f>
        <v>ADL-KUL</v>
      </c>
      <c r="F440" s="57" t="str">
        <f aca="false">Flights!$K$17</f>
        <v>EY</v>
      </c>
      <c r="G440" s="57" t="s">
        <v>420</v>
      </c>
      <c r="H440" s="57" t="s">
        <v>378</v>
      </c>
      <c r="I440" s="57" t="s">
        <v>428</v>
      </c>
      <c r="J440" s="57" t="s">
        <v>429</v>
      </c>
      <c r="K440" s="67"/>
      <c r="L440" s="67" t="s">
        <v>422</v>
      </c>
      <c r="M440" s="67"/>
      <c r="N440" s="67" t="s">
        <v>383</v>
      </c>
      <c r="O440" s="67" t="s">
        <v>423</v>
      </c>
      <c r="P440" s="57" t="s">
        <v>263</v>
      </c>
      <c r="Q440" s="59" t="n">
        <f aca="false">ROUND((Flights!$AE$17)*1440,0)/1440</f>
        <v>46308.5104166667</v>
      </c>
      <c r="R440" s="59" t="n">
        <f aca="false">Q440+(IF(AND(INDEX(TZ_DSTS,MATCH(P440,TZ_STN,0))&lt;&gt;"",Q440&gt;=INDEX(TZ_DSTS,MATCH(P440,TZ_STN,0)),Q440&lt;INDEX(TZ_DSTE,MATCH(P440,TZ_STN,0))),INDEX(TZ_DST,MATCH(P440,TZ_STN,0)),INDEX(TZ_STD,MATCH(P440,TZ_STN,0))))/24</f>
        <v>46308.9479166667</v>
      </c>
      <c r="S440" s="60"/>
      <c r="T440" s="60"/>
      <c r="U440" s="60"/>
      <c r="V440" s="60"/>
      <c r="W440" s="61"/>
      <c r="X440" s="60"/>
      <c r="Y440" s="60"/>
      <c r="Z440" s="60"/>
      <c r="AA440" s="60"/>
      <c r="AB440" s="60"/>
      <c r="AC440" s="60"/>
      <c r="AD440" s="66"/>
      <c r="AE440" s="60"/>
      <c r="AF440" s="61" t="str">
        <f aca="false">IF(AND(ISNUMBER(X440),ISNUMBER(Y440)),Y440-X440,"")</f>
        <v/>
      </c>
      <c r="AG440" s="62" t="str">
        <f aca="false">IF(ISNUMBER(AD440),AD440-(IF(AND(INDEX(TZ_DSTS,MATCH(P440,TZ_STN,0))&lt;&gt;"",(AD440-INDEX(TZ_STD,MATCH(P440,TZ_STN,0))/24)&gt;=INDEX(TZ_DSTS,MATCH(P440,TZ_STN,0)),(AD440-INDEX(TZ_STD,MATCH(P440,TZ_STN,0))/24)&lt;INDEX(TZ_DSTE,MATCH(P440,TZ_STN,0))),INDEX(TZ_DST,MATCH(P440,TZ_STN,0)),INDEX(TZ_STD,MATCH(P440,TZ_STN,0))))/24,"")</f>
        <v/>
      </c>
      <c r="AH440" s="65" t="str">
        <f aca="false">IFERROR(IF(N440="N/A – rule",IF(OR(TRIM(U440)="",TRIM(U440)="N/A",TRIM(U440)="Not started"),"N/A – RULE","INVALID – this check does not apply to this aircraft: clear the status (or correct the fleet on Flights)"),IF(TRIM(U440)="N/A",IF(AT440=0,"INVALID – N/A not permitted for this check",IF(AND(TRIM(AB440)&lt;&gt;"",TRIM(AB440)&lt;&gt;"Closed"),"INVALID – corrective action still open",IF(AND(NOT(OR(LEN(AZ440)&lt;15,ISNUMBER(MATCH(AZ440,L_Placeholder,0)))),BK440=0,CG440&gt;=8,NOT(OR(LEN(AU440)&lt;2,ISNUMBER(MATCH(AU440,L_Placeholder,0)))),BR440&gt;=3,NOT(OR(LEN(AX440)&lt;2,ISNUMBER(MATCH(AX440,L_Placeholder,0)))),BS440&gt;=3,TRIM(AE440)&lt;&gt;TRIM(T440),AX440&lt;&gt;AU440,CE440=0),"N/A – JUSTIFIED","INVALID – N/A needs a real, settled reason (not 'not applicable' / 'as above' / TBC), a named PIC and a different named verifier"))),IF(OR(TRIM(U440)="Pass",TRIM(U440)="Pass after CA"),IF(NOT(ISNUMBER(AD440)),"INVALID – completion time missing",IF(OR(OR(LEN(AU440)&lt;2,ISNUMBER(MATCH(AU440,L_Placeholder,0))),BR440&lt;3),"INVALID – PIC missing or not a named person (a role such as QA / CSM is not a name)",IF(OR(LEN(AV440)&lt;2,ISNUMBER(MATCH(AV440,L_Placeholder,0))),"INVALID – result / assessment missing",IF(OR(OR(LEN(AW440)&lt;3,ISNUMBER(MATCH(AW440,L_Placeholder,0))),SUMPRODUCT(--ISNUMBER(SEARCH(" "&amp;L_EvidencePhrase&amp;" ",BD440)))&gt;0,BI440=1),"INVALID – evidence missing, placeholder or not yet on file",IF(ISNA(MATCH(TRIM(S440),L_EvidenceType,0)),"INVALID – choose the evidence type from the list (column S)",IF(BL440=0,"INVALID – evidence ID must be the record's own ID only (e.g. SF-2210, IMG_2231, 1045521); a link / file name needs type 'Link / file path'",IF(OR(OR(LEN(AX440)&lt;2,ISNUMBER(MATCH(AX440,L_Placeholder,0))),BS440&lt;3),"INVALID – verifier missing or not a named person (a role such as QA / CSM is not a name)",IF(OR(AX440=AU440,CE440=1,AND(LEN(AU440)&gt;=4,ISNUMBER(SEARCH(AU440,AX440))),AND(LEN(AX440)&gt;=4,ISNUMBER(SEARCH(AX440,AU440)))),"INVALID – verifier must be a different, named person (not the PIC or a role)",IF(BH440=1,"INVALID – result not yet available (awaiting / TBC)",IF(BG440=1,"INVALID – result describes a problem: record Fail, then Pass after CA (or reword if it is not a problem)",IF(BV440=1,"INVALID – wording says not on board: an on-board confirmation needs the item loaded",IF(AND(AQ440=1,OR(OR(LEN(AY440)&lt;3,ISNUMBER(MATCH(AY440,L_Placeholder,0))),BJ440=1,BQ440=0)),"INVALID – batch ID missing, placeholder or not an ID (e.g. PASB-261008-BC-017)",IF(AND(AR440=1,OR(NOT(ISNUMBER(X440)),NOT(ISNUMBER(Y440)))),"INVALID – expected/actual qty missing",IF(AND(AR440=1,OR(X440&lt;=0,Y440&lt;0)),"INVALID – expected qty must be above 0 and actual not negative",IF(BB440&lt;&gt;"",BB440,IF(AND(AS440=1,Documents!$J$17&lt;&gt;"ON FILE"),"INVALID – GLD not on file (Documents sheet)",IF(AND(AS440=2,Documents!$O$17&lt;&gt;"ON FILE"),"INVALID – menu checklist not on file (Documents sheet)",IF(AND(AS440=3,NOT(ISNUMBER(Flights!$AX$17))),"INVALID – enter carrying flight KUL departure (Flights AX)",IF(AND(AS440=3,OR(Flights!$AZ$17&gt;Flights!$AA$17,Flights!$AX$17&lt;Flights!$AA$17-3)),"INVALID – carrying flight (Flights AX) cannot arrive before this leg's STD, or is over 3 days early",IF(AG440&gt;AsOfUTC,"INVALID – completion time is in the future",IF(AND(ISNUMBER(BY440),AG440&lt;BY440),IF(H440="Physical uplift","INVALID – before uplift window (cannot confirm loading)","INVALID – before valid window"),IF(AG440&gt;Flights!$AA$17,"INVALID – completed after departure (cannot establish readiness)",IF(AND(H440="Preparation",AG440&gt;=IF(ISNUMBER(Flights!$BA$17),MIN(Flights!$BA$17,Flights!$AA$17),Flights!$AA$17)),"INVALID – completed after loading / departure (cannot establish readiness)",IF(AND(H440="Physical uplift",AG440&gt;Q440),"INVALID – recorded after the loading flight departed",IF(AG440&gt;Q440,"COMPLETE – LATE","COMPLETE"))))))))))))))))))))))))),IF(TRIM(U440)="Fail","FAIL – DISCREPANCY",IF(AND(TRIM(U440)&lt;&gt;"",TRIM(U440)&lt;&gt;"Not started",TRIM(U440)&lt;&gt;"In progress"),"INVALID – unrecognised status (use the list)",IF(AsOfUTC&gt;Q440,"OVERDUE",IF(N440="Clarification required","OPEN – CLARIFICATION","OPEN"))))))),"INVALID – error value in an input cell")</f>
        <v>OPEN</v>
      </c>
      <c r="AI440" s="61" t="n">
        <f aca="false">IF(OR(AH440="N/A – RULE",AH440="N/A – JUSTIFIED"),0,1)</f>
        <v>1</v>
      </c>
      <c r="AJ440" s="61" t="n">
        <f aca="false">IF(LEFT(AH440,8)="COMPLETE",1,0)</f>
        <v>0</v>
      </c>
      <c r="AK440" s="61" t="n">
        <f aca="false">IF(AND(AI440=1,AJ440=0,AsOfUTC&gt;Q440),1,0)</f>
        <v>0</v>
      </c>
      <c r="AL440" s="61" t="n">
        <f aca="false">IFERROR(IF(AND(AI440=1,OR(TRIM(U440)="Fail",AND(TRIM(AB440)&lt;&gt;"",TRIM(AB440)&lt;&gt;"Closed"),AND(ISNUMBER(AF440),AF440&lt;&gt;0,TRIM(U440)&lt;&gt;"Pass after CA"))),1,0),1)</f>
        <v>0</v>
      </c>
      <c r="AM440" s="61" t="n">
        <f aca="false">IF(LEFT(AH440,7)="INVALID",1,0)</f>
        <v>0</v>
      </c>
      <c r="AN440" s="61" t="n">
        <f aca="false">IF(AND(N440="Clarification required",AI440=1,AJ440=0),1,0)</f>
        <v>0</v>
      </c>
      <c r="AO440" s="61" t="str">
        <f aca="false">IF(AK440=1,SUM(AK$5:AK440),"")</f>
        <v/>
      </c>
      <c r="AP440" s="61" t="str">
        <f aca="false">IF(AL440=1,SUM(AL$5:AL440),"")</f>
        <v/>
      </c>
      <c r="AQ440" s="61" t="n">
        <v>0</v>
      </c>
      <c r="AR440" s="61" t="n">
        <v>0</v>
      </c>
      <c r="AS440" s="61" t="n">
        <v>0</v>
      </c>
      <c r="AT440" s="61" t="n">
        <v>0</v>
      </c>
      <c r="AU440" s="61" t="str">
        <f aca="false">SUBSTITUTE(SUBSTITUTE(SUBSTITUTE(SUBSTITUTE(SUBSTITUTE(SUBSTITUTE(SUBSTITUTE(SUBSTITUTE(SUBSTITUTE(SUBSTITUTE(SUBSTITUTE(SUBSTITUTE(SUBSTITUTE(SUBSTITUTE(SUBSTITUTE(SUBSTITUTE(LOWER(T440&amp;""),CHAR(10),""),CHAR(13),""),CHAR(9),""),CHAR(160),"")," ",""),".",""),"-",""),"/",""),"?",""),"_",""),",",""),"[",""),"]",""),"(",""),")",""),"*","")</f>
        <v/>
      </c>
      <c r="AV440" s="61" t="str">
        <f aca="false">SUBSTITUTE(SUBSTITUTE(SUBSTITUTE(SUBSTITUTE(SUBSTITUTE(SUBSTITUTE(SUBSTITUTE(SUBSTITUTE(SUBSTITUTE(SUBSTITUTE(SUBSTITUTE(SUBSTITUTE(SUBSTITUTE(SUBSTITUTE(SUBSTITUTE(SUBSTITUTE(LOWER(V440&amp;""),CHAR(10),""),CHAR(13),""),CHAR(9),""),CHAR(160),"")," ",""),".",""),"-",""),"/",""),"?",""),"_",""),",",""),"[",""),"]",""),"(",""),")",""),"*","")</f>
        <v/>
      </c>
      <c r="AW440" s="61" t="str">
        <f aca="false">SUBSTITUTE(SUBSTITUTE(SUBSTITUTE(SUBSTITUTE(SUBSTITUTE(SUBSTITUTE(SUBSTITUTE(SUBSTITUTE(SUBSTITUTE(SUBSTITUTE(SUBSTITUTE(SUBSTITUTE(SUBSTITUTE(SUBSTITUTE(SUBSTITUTE(SUBSTITUTE(LOWER(Z440&amp;""),CHAR(10),""),CHAR(13),""),CHAR(9),""),CHAR(160),"")," ",""),".",""),"-",""),"/",""),"?",""),"_",""),",",""),"[",""),"]",""),"(",""),")",""),"*","")</f>
        <v/>
      </c>
      <c r="AX440" s="61" t="str">
        <f aca="false">SUBSTITUTE(SUBSTITUTE(SUBSTITUTE(SUBSTITUTE(SUBSTITUTE(SUBSTITUTE(SUBSTITUTE(SUBSTITUTE(SUBSTITUTE(SUBSTITUTE(SUBSTITUTE(SUBSTITUTE(SUBSTITUTE(SUBSTITUTE(SUBSTITUTE(SUBSTITUTE(LOWER(AE440&amp;""),CHAR(10),""),CHAR(13),""),CHAR(9),""),CHAR(160),"")," ",""),".",""),"-",""),"/",""),"?",""),"_",""),",",""),"[",""),"]",""),"(",""),")",""),"*","")</f>
        <v/>
      </c>
      <c r="AY440" s="61" t="str">
        <f aca="false">SUBSTITUTE(SUBSTITUTE(SUBSTITUTE(SUBSTITUTE(SUBSTITUTE(SUBSTITUTE(SUBSTITUTE(SUBSTITUTE(SUBSTITUTE(SUBSTITUTE(SUBSTITUTE(SUBSTITUTE(SUBSTITUTE(SUBSTITUTE(SUBSTITUTE(SUBSTITUTE(LOWER(W440&amp;""),CHAR(10),""),CHAR(13),""),CHAR(9),""),CHAR(160),"")," ",""),".",""),"-",""),"/",""),"?",""),"_",""),",",""),"[",""),"]",""),"(",""),")",""),"*","")</f>
        <v/>
      </c>
      <c r="AZ440" s="61" t="str">
        <f aca="false">SUBSTITUTE(SUBSTITUTE(SUBSTITUTE(SUBSTITUTE(SUBSTITUTE(SUBSTITUTE(SUBSTITUTE(SUBSTITUTE(SUBSTITUTE(SUBSTITUTE(SUBSTITUTE(SUBSTITUTE(SUBSTITUTE(SUBSTITUTE(SUBSTITUTE(SUBSTITUTE(LOWER(AC440&amp;""),CHAR(10),""),CHAR(13),""),CHAR(9),""),CHAR(160),"")," ",""),".",""),"-",""),"/",""),"?",""),"_",""),",",""),"[",""),"]",""),"(",""),")",""),"*","")</f>
        <v/>
      </c>
      <c r="BA440" s="61" t="str">
        <f aca="false">SUBSTITUTE(SUBSTITUTE(SUBSTITUTE(SUBSTITUTE(SUBSTITUTE(SUBSTITUTE(SUBSTITUTE(SUBSTITUTE(SUBSTITUTE(SUBSTITUTE(SUBSTITUTE(SUBSTITUTE(SUBSTITUTE(SUBSTITUTE(SUBSTITUTE(SUBSTITUTE(LOWER(AA440&amp;""),CHAR(10),""),CHAR(13),""),CHAR(9),""),CHAR(160),"")," ",""),".",""),"-",""),"/",""),"?",""),"_",""),",",""),"[",""),"]",""),"(",""),")",""),"*","")</f>
        <v/>
      </c>
      <c r="BB440" s="61" t="str">
        <f aca="false">IF(AND(TRIM(U440)="Pass",ISNUMBER(AF440)),IF(AF440&lt;&gt;0,"INVALID – qty variance: use Fail or Pass after CA",""),"")&amp;IF(AND(TRIM(U440)="Pass after CA",ISNUMBER(AF440)),IF(AF440&lt;&gt;0,"INVALID – after the corrective action the actual qty must equal expected (update Actual)",""),"")&amp;IF(AND(TRIM(U440)="Pass",TRIM(AB440)&lt;&gt;"",TRIM(AB440)&lt;&gt;"Closed"),"INVALID – corrective action not closed: use Fail, then Pass after CA","")&amp;IF(AND(LEN(BA440)&gt;=2,ISNA(MATCH(LEFT(BA440,255),L_Placeholder,0)),TRIM(AB440)=""),"INVALID – CA status missing for the recorded corrective action","")&amp;IF(AND(TRIM(U440)="Pass after CA",OR(OR(LEN(BA440)&lt;5,ISNUMBER(MATCH(BA440,L_Placeholder,0))),TRIM(AB440)&lt;&gt;"Closed")),"INVALID – corrective action not recorded/closed","")</f>
        <v/>
      </c>
      <c r="BC440" s="61" t="str">
        <f aca="false">" "&amp;TRIM(SUBSTITUTE(SUBSTITUTE(SUBSTITUTE(SUBSTITUTE(SUBSTITUTE(SUBSTITUTE(SUBSTITUTE(SUBSTITUTE(SUBSTITUTE(SUBSTITUTE(SUBSTITUTE(SUBSTITUTE(SUBSTITUTE(SUBSTITUTE(SUBSTITUTE(SUBSTITUTE(SUBSTITUTE(SUBSTITUTE(SUBSTITUTE(SUBSTITUTE(SUBSTITUTE(SUBSTITUTE(SUBSTITUTE(SUBSTITUTE(LOWER(V440&amp;""),CHAR(10)," "),CHAR(13)," "),CHAR(9)," "),CHAR(160)," "),"."," "),","," "),"-"," "),"/"," "),"("," "),")"," "),":"," "),";"," "),"_"," "),"–"," "),"?"," "),"!"," "),"*"," "),"["," "),"]"," "),"'"," "),"#"," "),"+"," "),"&amp;"," "),"\"," "))&amp;" "</f>
        <v>  </v>
      </c>
      <c r="BD440" s="61" t="str">
        <f aca="false">" "&amp;TRIM(SUBSTITUTE(SUBSTITUTE(SUBSTITUTE(SUBSTITUTE(SUBSTITUTE(SUBSTITUTE(SUBSTITUTE(SUBSTITUTE(SUBSTITUTE(SUBSTITUTE(SUBSTITUTE(SUBSTITUTE(SUBSTITUTE(SUBSTITUTE(SUBSTITUTE(SUBSTITUTE(SUBSTITUTE(SUBSTITUTE(SUBSTITUTE(SUBSTITUTE(SUBSTITUTE(SUBSTITUTE(SUBSTITUTE(SUBSTITUTE(LOWER(Z440&amp;""),CHAR(10)," "),CHAR(13)," "),CHAR(9)," "),CHAR(160)," "),"."," "),","," "),"-"," "),"/"," "),"("," "),")"," "),":"," "),";"," "),"_"," "),"–"," "),"?"," "),"!"," "),"*"," "),"["," "),"]"," "),"'"," "),"#"," "),"+"," "),"&amp;"," "),"\"," "))&amp;" "</f>
        <v>  </v>
      </c>
      <c r="BE440" s="61" t="str">
        <f aca="false">" "&amp;TRIM(SUBSTITUTE(SUBSTITUTE(SUBSTITUTE(SUBSTITUTE(SUBSTITUTE(SUBSTITUTE(SUBSTITUTE(SUBSTITUTE(SUBSTITUTE(SUBSTITUTE(SUBSTITUTE(SUBSTITUTE(SUBSTITUTE(SUBSTITUTE(SUBSTITUTE(SUBSTITUTE(SUBSTITUTE(SUBSTITUTE(SUBSTITUTE(SUBSTITUTE(SUBSTITUTE(SUBSTITUTE(SUBSTITUTE(SUBSTITUTE(LOWER(W440&amp;""),CHAR(10)," "),CHAR(13)," "),CHAR(9)," "),CHAR(160)," "),"."," "),","," "),"-"," "),"/"," "),"("," "),")"," "),":"," "),";"," "),"_"," "),"–"," "),"?"," "),"!"," "),"*"," "),"["," "),"]"," "),"'"," "),"#"," "),"+"," "),"&amp;"," "),"\"," "))&amp;" "</f>
        <v>  </v>
      </c>
      <c r="BF440" s="61" t="str">
        <f aca="false">" "&amp;TRIM(SUBSTITUTE(SUBSTITUTE(SUBSTITUTE(SUBSTITUTE(SUBSTITUTE(SUBSTITUTE(SUBSTITUTE(SUBSTITUTE(SUBSTITUTE(SUBSTITUTE(SUBSTITUTE(SUBSTITUTE(SUBSTITUTE(SUBSTITUTE(SUBSTITUTE(SUBSTITUTE(SUBSTITUTE(SUBSTITUTE(SUBSTITUTE(SUBSTITUTE(SUBSTITUTE(SUBSTITUTE(SUBSTITUTE(SUBSTITUTE(LOWER(AC440&amp;""),CHAR(10)," "),CHAR(13)," "),CHAR(9)," "),CHAR(160)," "),"."," "),","," "),"-"," "),"/"," "),"("," "),")"," "),":"," "),";"," "),"_"," "),"–"," "),"?"," "),"!"," "),"*"," "),"["," "),"]"," "),"'"," "),"#"," "),"+"," "),"&amp;"," "),"\"," "))&amp;" "</f>
        <v>  </v>
      </c>
      <c r="BG440" s="61" t="n">
        <f aca="false">IFERROR(IF(AND(TRIM(U440)="Pass",SUMPRODUCT((LEN(BC440)-LEN(SUBSTITUTE(BC440," "&amp;L_ResultBad&amp;" "," ")))/(LEN(L_ResultBad)+1))&gt;SUMPRODUCT((LEN(BC440)-LEN(SUBSTITUTE(BC440," "&amp;L_NegPhrase&amp;" "," ")))/(LEN(L_NegPhrase)+1))),1,0),0)</f>
        <v>0</v>
      </c>
      <c r="BH440" s="61" t="n">
        <f aca="false">IFERROR(IF(SUMPRODUCT((LEN(BC440)-LEN(SUBSTITUTE(BC440," "&amp;L_Pending&amp;" "," ")))/(LEN(L_Pending)+1))&gt;SUMPRODUCT((LEN(BC440)-LEN(SUBSTITUTE(BC440," "&amp;L_PendNeg&amp;" "," ")))/(LEN(L_PendNeg)+1))+SUMPRODUCT((LEN(BC440)-LEN(SUBSTITUTE(BC440," "&amp;L_PendPrep&amp;" "," ")))/(LEN(L_PendPrep)+1)),1,0),1)</f>
        <v>0</v>
      </c>
      <c r="BI440" s="61" t="n">
        <f aca="false">IFERROR(IF(SUMPRODUCT((LEN(BD440)-LEN(SUBSTITUTE(BD440," "&amp;L_PendStrict&amp;" "," ")))/(LEN(L_PendStrict)+1))&gt;SUMPRODUCT((LEN(BD440)-LEN(SUBSTITUTE(BD440," "&amp;L_PendNeg&amp;" "," ")))/(LEN(L_PendNeg)+1)),1,0),1)</f>
        <v>0</v>
      </c>
      <c r="BJ440" s="61" t="n">
        <f aca="false">IFERROR(IF(SUMPRODUCT((LEN(BE440)-LEN(SUBSTITUTE(BE440," "&amp;L_Pending&amp;" "," ")))/(LEN(L_Pending)+1))&gt;SUMPRODUCT((LEN(BE440)-LEN(SUBSTITUTE(BE440," "&amp;L_PendNeg&amp;" "," ")))/(LEN(L_PendNeg)+1))+SUMPRODUCT((LEN(BE440)-LEN(SUBSTITUTE(BE440," "&amp;L_PendPrep&amp;" "," ")))/(LEN(L_PendPrep)+1)),1,0),1)</f>
        <v>0</v>
      </c>
      <c r="BK440" s="61" t="n">
        <f aca="false">IFERROR(IF(SUMPRODUCT((LEN(BF440)-LEN(SUBSTITUTE(BF440," "&amp;L_PendStrict&amp;" "," ")))/(LEN(L_PendStrict)+1))&gt;SUMPRODUCT((LEN(BF440)-LEN(SUBSTITUTE(BF440," "&amp;L_PendNeg&amp;" "," ")))/(LEN(L_PendNeg)+1)),1,0),1)</f>
        <v>0</v>
      </c>
      <c r="BL440" s="61" t="n">
        <f aca="false">IF(ISNA(MATCH(TRIM(S440),L_EvidenceType,0)),0,BZ440)</f>
        <v>0</v>
      </c>
      <c r="BM440" s="61" t="str">
        <f aca="false">SUBSTITUTE(SUBSTITUTE(SUBSTITUTE(SUBSTITUTE(SUBSTITUTE(SUBSTITUTE(SUBSTITUTE(SUBSTITUTE(SUBSTITUTE(LOWER(Z440&amp;""),"1","0"),"2","0"),"3","0"),"4","0"),"5","0"),"6","0"),"7","0"),"8","0"),"9","0")</f>
        <v/>
      </c>
      <c r="BN440" s="61" t="str">
        <f aca="false">SUBSTITUTE(SUBSTITUTE(SUBSTITUTE(SUBSTITUTE(SUBSTITUTE(SUBSTITUTE(SUBSTITUTE(SUBSTITUTE(SUBSTITUTE(SUBSTITUTE(SUBSTITUTE(SUBSTITUTE(SUBSTITUTE(SUBSTITUTE(SUBSTITUTE(SUBSTITUTE(SUBSTITUTE(SUBSTITUTE(SUBSTITUTE(SUBSTITUTE(SUBSTITUTE(SUBSTITUTE(SUBSTITUTE(SUBSTITUTE(SUBSTITUTE(BM440,"b","a"),"c","a"),"d","a"),"e","a"),"f","a"),"g","a"),"h","a"),"i","a"),"j","a"),"k","a"),"l","a"),"m","a"),"n","a"),"o","a"),"p","a"),"q","a"),"r","a"),"s","a"),"t","a"),"u","a"),"v","a"),"w","a"),"x","a"),"y","a"),"z","a")</f>
        <v/>
      </c>
      <c r="BO440" s="61" t="str">
        <f aca="false">SUBSTITUTE(SUBSTITUTE(SUBSTITUTE(SUBSTITUTE(SUBSTITUTE(SUBSTITUTE(SUBSTITUTE(SUBSTITUTE(SUBSTITUTE(LOWER(W440&amp;""),"1","0"),"2","0"),"3","0"),"4","0"),"5","0"),"6","0"),"7","0"),"8","0"),"9","0")</f>
        <v/>
      </c>
      <c r="BP440" s="61" t="str">
        <f aca="false">SUBSTITUTE(SUBSTITUTE(SUBSTITUTE(SUBSTITUTE(SUBSTITUTE(SUBSTITUTE(SUBSTITUTE(SUBSTITUTE(SUBSTITUTE(SUBSTITUTE(SUBSTITUTE(SUBSTITUTE(SUBSTITUTE(SUBSTITUTE(SUBSTITUTE(SUBSTITUTE(SUBSTITUTE(SUBSTITUTE(SUBSTITUTE(SUBSTITUTE(SUBSTITUTE(SUBSTITUTE(SUBSTITUTE(SUBSTITUTE(SUBSTITUTE(BO440,"b","a"),"c","a"),"d","a"),"e","a"),"f","a"),"g","a"),"h","a"),"i","a"),"j","a"),"k","a"),"l","a"),"m","a"),"n","a"),"o","a"),"p","a"),"q","a"),"r","a"),"s","a"),"t","a"),"u","a"),"v","a"),"w","a"),"x","a"),"y","a"),"z","a")</f>
        <v/>
      </c>
      <c r="BQ440" s="61" t="n">
        <f aca="false">IFERROR(IF(AND(ISERROR(SEARCH(" mh"," "&amp;LOWER(W440))),ISNA(MATCH(LEFT(TRIM(BP440),255),{"0000a","000a","00a","0000aa","000aa","00aa","0aa","0000aaa","000aaa","00a00","0a00","0000-0000","00:00","a00","a0","00.00.0000","00/00/0000","00-00-0000","0000-00-00","0000/00/00","0000.00.00","00.00.00","00/00/00","00-00-00","0.00.0000","0/00/0000","0-00-0000"},0)),ISNA(MATCH(LEFT(TRIM(CA440),255),{"0000a","000a","00a","0000aa","000aa","00aa","0aa","0000aaa","000aaa","00a00","0a00","0000-0000","00:00","a00","a0","00.00.0000","00/00/0000","00-00-0000","0000-00-00","0000/00/00","0000.00.00","00.00.00","00/00/00","00-00-00","0.00.0000","0/00/0000","0-00-0000"},0)),LEN(CB440)&gt;=3,NOT(OR(SUBSTITUTE(CB440,"0","")="",AND(LEN(CB440)&gt;=4,CB440=REPT(LEFT(CB440),LEN(CB440))),ISNUMBER(MATCH(CB440,{"123","1234","12345","123456","1234567","12345678","0123","01234","012345","98765","987654","54321"},0)),AND(LEN(CB440)=8,LEFT(CB440,3)="202"))),OR(AND((LEN(CA440)-LEN(SUBSTITUTE(CA440,"a","")))&gt;=1,SUMPRODUCT(--ISNUMBER(SEARCH({"a0","a-0","a_0","a/0","a.0","a#0","0a","0-a","0_a","0/a"},BP440)))&gt;0),ISNUMBER(SEARCH("000000",BP440)))),1,0),0)</f>
        <v>0</v>
      </c>
      <c r="BR440" s="61" t="n">
        <f aca="false">IFERROR(LEN(SUBSTITUTE(CC440," ",""))-SUMPRODUCT((LEN(CC440)-LEN(SUBSTITUTE(CC440," "&amp;L_Role&amp;" "," ")))/(LEN(L_Role)+1)*LEN(L_Role)),0)</f>
        <v>0</v>
      </c>
      <c r="BS440" s="61" t="n">
        <f aca="false">IFERROR(LEN(SUBSTITUTE(CD440," ",""))-SUMPRODUCT((LEN(CD440)-LEN(SUBSTITUTE(CD440," "&amp;L_Role&amp;" "," ")))/(LEN(L_Role)+1)*LEN(L_Role)),0)</f>
        <v>0</v>
      </c>
      <c r="BT4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440,"revision",""),"version",""),"jan",""),"feb",""),"mar",""),"apr",""),"may",""),"jun",""),"jul",""),"aug",""),"sep",""),"oct",""),"nov",""),"dec",""),"utc",""),"gmt",""),"myt",""),"bst",""),"rev",""),"ver",""),"b","a"),"c","a"),"d","a"),"e","a"),"f","a"),"g","a"),"h","a"),"i","a"),"j","a"),"k","a"),"l","a"),"m","a"),"n","a"),"o","a"),"p","a"),"q","a"),"r","a"),"s","a"),"t","a"),"u","a"),"v","a"),"w","a"),"x","a"),"y","a"),"z","a")</f>
        <v/>
      </c>
      <c r="BU440" s="61" t="str">
        <f aca="false">SUBSTITUTE(SUBSTITUTE(SUBSTITUTE(SUBSTITUTE(SUBSTITUTE(SUBSTITUTE(SUBSTITUTE(SUBSTITUTE(SUBSTITUTE(SUBSTITUTE(LEFT(BM440,FIND("0",BM440&amp;"0")-1),"-",""),"_",""),"/",""),".",""),"#",""),"\\",""),":","")," ",""),"(",""),")","")</f>
        <v/>
      </c>
      <c r="BV440" s="61" t="n">
        <f aca="false">0</f>
        <v>0</v>
      </c>
      <c r="BW4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440&amp;""),"a",""),"b",""),"c",""),"d",""),"e",""),"f",""),"g",""),"h",""),"i",""),"j",""),"k",""),"l",""),"m",""),"n",""),"o",""),"p",""),"q",""),"r",""),"s",""),"t",""),"u",""),"v",""),"w",""),"x",""),"y",""),"z",""),"-",""),"_",""),"/",""),".",""),"#",""),"\\",""),":","")," ",""),"(",""),")","")</f>
        <v/>
      </c>
      <c r="BX440" s="61" t="str">
        <f aca="false">SUBSTITUTE(SUBSTITUTE(SUBSTITUTE(SUBSTITUTE(SUBSTITUTE(SUBSTITUTE(SUBSTITUTE(SUBSTITUTE(SUBSTITUTE(SUBSTITUTE(SUBSTITUTE(BM440,"0",""),"-",""),"_",""),"/",""),".",""),"#",""),"\\",""),":","")," ",""),"(",""),")","")</f>
        <v/>
      </c>
      <c r="BY440" s="62" t="n">
        <f aca="false">Q440-T12EarlyH/24</f>
        <v>46308.0104166667</v>
      </c>
      <c r="BZ440" s="61" t="n">
        <f aca="false">IFERROR(IF(IF(TRIM(S440)="Link / file path",AND(LEN(TRIM(Z440))&gt;=5,SUMPRODUCT(--ISNUMBER(SEARCH({"http","www.","\\",":\",".pdf",".jpg",".jpeg",".png",".heic",".xls",".doc",".msg",".eml",".ppt",".txt",".zip"},Z440)))&gt;0),AND(ISERROR(FIND(" ",TRIM(Z440))),NOT(OR(SUMPRODUCT(--ISNUMBER(FIND({",",";","&amp;","+"},Z440)))&gt;0,SUMPRODUCT(--ISNUMBER(SEARCH({"0/aa","0\\aa"},BN440)))&gt;0)),NOT(SUMPRODUCT(--ISNUMBER(SEARCH({"http","www.","\\",":\",".pdf",".jpg",".jpeg",".png",".heic",".xls",".doc",".msg",".eml",".ppt",".txt",".zip"},Z440)))&gt;0),NOT(LOWER(TRIM(Z440))=LOWER(Flights!$F$17)),ISNA(MATCH(BU440,{"mh","rev","revision","ver","version","v","r","a","b","seat","tray","row","gate","bay","stand","page","pg","item","line","no","cart","galley","flight","flt","table","box","bag","oven","etd","eta","std","sta","atd","ata","qty","pax","x","time","tel","ph","mob","day","wk","week","utc","gmt","myt","lt"},0)),NOT(OR(ISNUMBER(MATCH(LEFT(BN440,255),{"0000a","000a","00a","0000aa","000aa","00aa","0aa","0000aaa","000aaa","00a00","0a00","0000-0000","00:00","a00","a0","00.00.0000","00/00/0000","00-00-0000","0000-00-00","0000/00/00","0000.00.00","00.00.00","00/00/00","00-00-00","0.00.0000","0/00/0000","0-00-0000"},0)),ISNUMBER(MATCH(LEFT(BT440,255),{"0000a","000a","00a","0000aa","000aa","00aa","0aa","0000aaa","000aaa","00a00","0a00","0000-0000","00:00","a00","a0","00.00.0000","00/00/0000","00-00-0000","0000-00-00","0000/00/00","0000.00.00","00.00.00","00/00/00","00-00-00","0.00.0000","0/00/0000","0-00-0000"},0)))),NOT(OR(AND(BW440&lt;&gt;"",SUBSTITUTE(BW440,"0","")=""),AND(LEN(BW440)&gt;=4,BW440=REPT(LEFT(BW440),LEN(BW440))),ISNUMBER(MATCH(BW440,{"123","1234","12345","123456","1234567","12345678","0123","01234","012345","98765","987654","54321"},0)),ISNUMBER(MATCH(BX440,{"x","xx","xxx","xxxx","xxxxx","abc","abcd","nil","na","nan","test","tbc","tba","tbd","dummy","sample","example","eg","zz","zzz","none","null","xyz","qwe","asd","id","ref"},0)),AND(LEN(BW440)=8,BX440="",OR(LEFT(BW440,3)="202",ISNUMBER(MATCH(RIGHT(BW440,4),{"2025","2026","2027"},0)))))),OR(AND((LEN(BT440)-LEN(SUBSTITUTE(BT440,"a","")))&gt;=1,(LEN(BN440)-LEN(SUBSTITUTE(BN440,"0","")))&gt;=2,SUMPRODUCT(--ISNUMBER(SEARCH({"a0","a-0","a_0","a/0","a.0","a#0","0a","0-a","0_a","0/a"},BN440)))&gt;0),AND((LEN(BN440)-LEN(SUBSTITUTE(BN440,"a","")))=0,(LEN(BN440)-LEN(SUBSTITUTE(BN440,"0","")))&gt;=5)))),1,0),0)</f>
        <v>0</v>
      </c>
      <c r="CA4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440,"revision",""),"version",""),"jan",""),"feb",""),"mar",""),"apr",""),"may",""),"jun",""),"jul",""),"aug",""),"sep",""),"oct",""),"nov",""),"dec",""),"utc",""),"gmt",""),"myt",""),"bst",""),"rev",""),"ver",""),"b","a"),"c","a"),"d","a"),"e","a"),"f","a"),"g","a"),"h","a"),"i","a"),"j","a"),"k","a"),"l","a"),"m","a"),"n","a"),"o","a"),"p","a"),"q","a"),"r","a"),"s","a"),"t","a"),"u","a"),"v","a"),"w","a"),"x","a"),"y","a"),"z","a")</f>
        <v/>
      </c>
      <c r="CB4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440&amp;""),"a",""),"b",""),"c",""),"d",""),"e",""),"f",""),"g",""),"h",""),"i",""),"j",""),"k",""),"l",""),"m",""),"n",""),"o",""),"p",""),"q",""),"r",""),"s",""),"t",""),"u",""),"v",""),"w",""),"x",""),"y",""),"z",""),"-",""),"_",""),"/",""),".",""),"#",""),"\\",""),":","")," ",""),"(",""),")","")</f>
        <v/>
      </c>
      <c r="CC440" s="0" t="str">
        <f aca="false">" "&amp;TRIM(SUBSTITUTE(SUBSTITUTE(SUBSTITUTE(SUBSTITUTE(SUBSTITUTE(SUBSTITUTE(SUBSTITUTE(SUBSTITUTE(SUBSTITUTE(SUBSTITUTE(SUBSTITUTE(SUBSTITUTE(SUBSTITUTE(SUBSTITUTE(SUBSTITUTE(SUBSTITUTE(SUBSTITUTE(SUBSTITUTE(SUBSTITUTE(SUBSTITUTE(SUBSTITUTE(SUBSTITUTE(SUBSTITUTE(SUBSTITUTE(LOWER(T440&amp;""),CHAR(10)," "),CHAR(13)," "),CHAR(9)," "),CHAR(160)," "),"."," "),","," "),"-"," "),"/"," "),"("," "),")"," "),":"," "),";"," "),"_"," "),"–"," "),"?"," "),"!"," "),"*"," "),"["," "),"]"," "),"'"," "),"#"," "),"+"," "),"&amp;"," "),"\"," "))&amp;" "</f>
        <v>  </v>
      </c>
      <c r="CD440" s="0" t="str">
        <f aca="false">" "&amp;TRIM(SUBSTITUTE(SUBSTITUTE(SUBSTITUTE(SUBSTITUTE(SUBSTITUTE(SUBSTITUTE(SUBSTITUTE(SUBSTITUTE(SUBSTITUTE(SUBSTITUTE(SUBSTITUTE(SUBSTITUTE(SUBSTITUTE(SUBSTITUTE(SUBSTITUTE(SUBSTITUTE(SUBSTITUTE(SUBSTITUTE(SUBSTITUTE(SUBSTITUTE(SUBSTITUTE(SUBSTITUTE(SUBSTITUTE(SUBSTITUTE(LOWER(AE440&amp;""),CHAR(10)," "),CHAR(13)," "),CHAR(9)," "),CHAR(160)," "),"."," "),","," "),"-"," "),"/"," "),"("," "),")"," "),":"," "),";"," "),"_"," "),"–"," "),"?"," "),"!"," "),"*"," "),"["," "),"]"," "),"'"," "),"#"," "),"+"," "),"&amp;"," "),"\"," "))&amp;" "</f>
        <v>  </v>
      </c>
      <c r="CE440" s="68" t="n">
        <f aca="false">IFERROR(IF(AND(LEN(AU440)&gt;0,LEN(AU440)=LEN(AX440),OR(TRIM(MID(SUBSTITUTE(TRIM(CC440)," ",REPT(" ",60)),1,60))="",ISNUMBER(SEARCH(" "&amp;TRIM(MID(SUBSTITUTE(TRIM(CC440)," ",REPT(" ",60)),1,60))&amp;" ",CD440))),OR(TRIM(MID(SUBSTITUTE(TRIM(CC440)," ",REPT(" ",60)),61,60))="",ISNUMBER(SEARCH(" "&amp;TRIM(MID(SUBSTITUTE(TRIM(CC440)," ",REPT(" ",60)),61,60))&amp;" ",CD440))),OR(TRIM(MID(SUBSTITUTE(TRIM(CC440)," ",REPT(" ",60)),121,60))="",ISNUMBER(SEARCH(" "&amp;TRIM(MID(SUBSTITUTE(TRIM(CC440)," ",REPT(" ",60)),121,60))&amp;" ",CD440)))),1,0),0)</f>
        <v>0</v>
      </c>
      <c r="CG440" s="68" t="n">
        <f aca="false">IFERROR(LEN(SUBSTITUTE(BF440," ",""))-SUMPRODUCT((LEN(BF440)-LEN(SUBSTITUTE(BF440," "&amp;L_NAFiller&amp;" "," ")))/(LEN(L_NAFiller)+1)*LEN(L_NAFiller)),0)</f>
        <v>0</v>
      </c>
    </row>
    <row r="441" customFormat="false" ht="39.75" hidden="false" customHeight="true" outlineLevel="0" collapsed="false">
      <c r="A441" s="57" t="s">
        <v>1078</v>
      </c>
      <c r="B441" s="57" t="s">
        <v>272</v>
      </c>
      <c r="C441" s="57" t="str">
        <f aca="false">Flights!$F$17</f>
        <v>MH0138</v>
      </c>
      <c r="D441" s="58" t="n">
        <f aca="false">Flights!$D$17</f>
        <v>46309</v>
      </c>
      <c r="E441" s="57" t="str">
        <f aca="false">Flights!$G$17&amp;"-"&amp;Flights!$H$17</f>
        <v>ADL-KUL</v>
      </c>
      <c r="F441" s="57" t="str">
        <f aca="false">Flights!$K$17</f>
        <v>EY</v>
      </c>
      <c r="G441" s="57" t="s">
        <v>420</v>
      </c>
      <c r="H441" s="57" t="s">
        <v>378</v>
      </c>
      <c r="I441" s="57" t="s">
        <v>428</v>
      </c>
      <c r="J441" s="57" t="s">
        <v>431</v>
      </c>
      <c r="K441" s="67"/>
      <c r="L441" s="67" t="s">
        <v>422</v>
      </c>
      <c r="M441" s="67"/>
      <c r="N441" s="67" t="s">
        <v>383</v>
      </c>
      <c r="O441" s="67" t="s">
        <v>423</v>
      </c>
      <c r="P441" s="57" t="s">
        <v>263</v>
      </c>
      <c r="Q441" s="59" t="n">
        <f aca="false">ROUND((Flights!$AE$17)*1440,0)/1440</f>
        <v>46308.5104166667</v>
      </c>
      <c r="R441" s="59" t="n">
        <f aca="false">Q441+(IF(AND(INDEX(TZ_DSTS,MATCH(P441,TZ_STN,0))&lt;&gt;"",Q441&gt;=INDEX(TZ_DSTS,MATCH(P441,TZ_STN,0)),Q441&lt;INDEX(TZ_DSTE,MATCH(P441,TZ_STN,0))),INDEX(TZ_DST,MATCH(P441,TZ_STN,0)),INDEX(TZ_STD,MATCH(P441,TZ_STN,0))))/24</f>
        <v>46308.9479166667</v>
      </c>
      <c r="S441" s="60"/>
      <c r="T441" s="60"/>
      <c r="U441" s="60"/>
      <c r="V441" s="60"/>
      <c r="W441" s="61"/>
      <c r="X441" s="60"/>
      <c r="Y441" s="60"/>
      <c r="Z441" s="60"/>
      <c r="AA441" s="60"/>
      <c r="AB441" s="60"/>
      <c r="AC441" s="60"/>
      <c r="AD441" s="66"/>
      <c r="AE441" s="60"/>
      <c r="AF441" s="61" t="str">
        <f aca="false">IF(AND(ISNUMBER(X441),ISNUMBER(Y441)),Y441-X441,"")</f>
        <v/>
      </c>
      <c r="AG441" s="62" t="str">
        <f aca="false">IF(ISNUMBER(AD441),AD441-(IF(AND(INDEX(TZ_DSTS,MATCH(P441,TZ_STN,0))&lt;&gt;"",(AD441-INDEX(TZ_STD,MATCH(P441,TZ_STN,0))/24)&gt;=INDEX(TZ_DSTS,MATCH(P441,TZ_STN,0)),(AD441-INDEX(TZ_STD,MATCH(P441,TZ_STN,0))/24)&lt;INDEX(TZ_DSTE,MATCH(P441,TZ_STN,0))),INDEX(TZ_DST,MATCH(P441,TZ_STN,0)),INDEX(TZ_STD,MATCH(P441,TZ_STN,0))))/24,"")</f>
        <v/>
      </c>
      <c r="AH441" s="65" t="str">
        <f aca="false">IFERROR(IF(N441="N/A – rule",IF(OR(TRIM(U441)="",TRIM(U441)="N/A",TRIM(U441)="Not started"),"N/A – RULE","INVALID – this check does not apply to this aircraft: clear the status (or correct the fleet on Flights)"),IF(TRIM(U441)="N/A",IF(AT441=0,"INVALID – N/A not permitted for this check",IF(AND(TRIM(AB441)&lt;&gt;"",TRIM(AB441)&lt;&gt;"Closed"),"INVALID – corrective action still open",IF(AND(NOT(OR(LEN(AZ441)&lt;15,ISNUMBER(MATCH(AZ441,L_Placeholder,0)))),BK441=0,CG441&gt;=8,NOT(OR(LEN(AU441)&lt;2,ISNUMBER(MATCH(AU441,L_Placeholder,0)))),BR441&gt;=3,NOT(OR(LEN(AX441)&lt;2,ISNUMBER(MATCH(AX441,L_Placeholder,0)))),BS441&gt;=3,TRIM(AE441)&lt;&gt;TRIM(T441),AX441&lt;&gt;AU441,CE441=0),"N/A – JUSTIFIED","INVALID – N/A needs a real, settled reason (not 'not applicable' / 'as above' / TBC), a named PIC and a different named verifier"))),IF(OR(TRIM(U441)="Pass",TRIM(U441)="Pass after CA"),IF(NOT(ISNUMBER(AD441)),"INVALID – completion time missing",IF(OR(OR(LEN(AU441)&lt;2,ISNUMBER(MATCH(AU441,L_Placeholder,0))),BR441&lt;3),"INVALID – PIC missing or not a named person (a role such as QA / CSM is not a name)",IF(OR(LEN(AV441)&lt;2,ISNUMBER(MATCH(AV441,L_Placeholder,0))),"INVALID – result / assessment missing",IF(OR(OR(LEN(AW441)&lt;3,ISNUMBER(MATCH(AW441,L_Placeholder,0))),SUMPRODUCT(--ISNUMBER(SEARCH(" "&amp;L_EvidencePhrase&amp;" ",BD441)))&gt;0,BI441=1),"INVALID – evidence missing, placeholder or not yet on file",IF(ISNA(MATCH(TRIM(S441),L_EvidenceType,0)),"INVALID – choose the evidence type from the list (column S)",IF(BL441=0,"INVALID – evidence ID must be the record's own ID only (e.g. SF-2210, IMG_2231, 1045521); a link / file name needs type 'Link / file path'",IF(OR(OR(LEN(AX441)&lt;2,ISNUMBER(MATCH(AX441,L_Placeholder,0))),BS441&lt;3),"INVALID – verifier missing or not a named person (a role such as QA / CSM is not a name)",IF(OR(AX441=AU441,CE441=1,AND(LEN(AU441)&gt;=4,ISNUMBER(SEARCH(AU441,AX441))),AND(LEN(AX441)&gt;=4,ISNUMBER(SEARCH(AX441,AU441)))),"INVALID – verifier must be a different, named person (not the PIC or a role)",IF(BH441=1,"INVALID – result not yet available (awaiting / TBC)",IF(BG441=1,"INVALID – result describes a problem: record Fail, then Pass after CA (or reword if it is not a problem)",IF(BV441=1,"INVALID – wording says not on board: an on-board confirmation needs the item loaded",IF(AND(AQ441=1,OR(OR(LEN(AY441)&lt;3,ISNUMBER(MATCH(AY441,L_Placeholder,0))),BJ441=1,BQ441=0)),"INVALID – batch ID missing, placeholder or not an ID (e.g. PASB-261008-BC-017)",IF(AND(AR441=1,OR(NOT(ISNUMBER(X441)),NOT(ISNUMBER(Y441)))),"INVALID – expected/actual qty missing",IF(AND(AR441=1,OR(X441&lt;=0,Y441&lt;0)),"INVALID – expected qty must be above 0 and actual not negative",IF(BB441&lt;&gt;"",BB441,IF(AND(AS441=1,Documents!$J$17&lt;&gt;"ON FILE"),"INVALID – GLD not on file (Documents sheet)",IF(AND(AS441=2,Documents!$O$17&lt;&gt;"ON FILE"),"INVALID – menu checklist not on file (Documents sheet)",IF(AND(AS441=3,NOT(ISNUMBER(Flights!$AX$17))),"INVALID – enter carrying flight KUL departure (Flights AX)",IF(AND(AS441=3,OR(Flights!$AZ$17&gt;Flights!$AA$17,Flights!$AX$17&lt;Flights!$AA$17-3)),"INVALID – carrying flight (Flights AX) cannot arrive before this leg's STD, or is over 3 days early",IF(AG441&gt;AsOfUTC,"INVALID – completion time is in the future",IF(AND(ISNUMBER(BY441),AG441&lt;BY441),IF(H441="Physical uplift","INVALID – before uplift window (cannot confirm loading)","INVALID – before valid window"),IF(AG441&gt;Flights!$AA$17,"INVALID – completed after departure (cannot establish readiness)",IF(AND(H441="Preparation",AG441&gt;=IF(ISNUMBER(Flights!$BA$17),MIN(Flights!$BA$17,Flights!$AA$17),Flights!$AA$17)),"INVALID – completed after loading / departure (cannot establish readiness)",IF(AND(H441="Physical uplift",AG441&gt;Q441),"INVALID – recorded after the loading flight departed",IF(AG441&gt;Q441,"COMPLETE – LATE","COMPLETE"))))))))))))))))))))))))),IF(TRIM(U441)="Fail","FAIL – DISCREPANCY",IF(AND(TRIM(U441)&lt;&gt;"",TRIM(U441)&lt;&gt;"Not started",TRIM(U441)&lt;&gt;"In progress"),"INVALID – unrecognised status (use the list)",IF(AsOfUTC&gt;Q441,"OVERDUE",IF(N441="Clarification required","OPEN – CLARIFICATION","OPEN"))))))),"INVALID – error value in an input cell")</f>
        <v>OPEN</v>
      </c>
      <c r="AI441" s="61" t="n">
        <f aca="false">IF(OR(AH441="N/A – RULE",AH441="N/A – JUSTIFIED"),0,1)</f>
        <v>1</v>
      </c>
      <c r="AJ441" s="61" t="n">
        <f aca="false">IF(LEFT(AH441,8)="COMPLETE",1,0)</f>
        <v>0</v>
      </c>
      <c r="AK441" s="61" t="n">
        <f aca="false">IF(AND(AI441=1,AJ441=0,AsOfUTC&gt;Q441),1,0)</f>
        <v>0</v>
      </c>
      <c r="AL441" s="61" t="n">
        <f aca="false">IFERROR(IF(AND(AI441=1,OR(TRIM(U441)="Fail",AND(TRIM(AB441)&lt;&gt;"",TRIM(AB441)&lt;&gt;"Closed"),AND(ISNUMBER(AF441),AF441&lt;&gt;0,TRIM(U441)&lt;&gt;"Pass after CA"))),1,0),1)</f>
        <v>0</v>
      </c>
      <c r="AM441" s="61" t="n">
        <f aca="false">IF(LEFT(AH441,7)="INVALID",1,0)</f>
        <v>0</v>
      </c>
      <c r="AN441" s="61" t="n">
        <f aca="false">IF(AND(N441="Clarification required",AI441=1,AJ441=0),1,0)</f>
        <v>0</v>
      </c>
      <c r="AO441" s="61" t="str">
        <f aca="false">IF(AK441=1,SUM(AK$5:AK441),"")</f>
        <v/>
      </c>
      <c r="AP441" s="61" t="str">
        <f aca="false">IF(AL441=1,SUM(AL$5:AL441),"")</f>
        <v/>
      </c>
      <c r="AQ441" s="61" t="n">
        <v>0</v>
      </c>
      <c r="AR441" s="61" t="n">
        <v>0</v>
      </c>
      <c r="AS441" s="61" t="n">
        <v>0</v>
      </c>
      <c r="AT441" s="61" t="n">
        <v>0</v>
      </c>
      <c r="AU441" s="61" t="str">
        <f aca="false">SUBSTITUTE(SUBSTITUTE(SUBSTITUTE(SUBSTITUTE(SUBSTITUTE(SUBSTITUTE(SUBSTITUTE(SUBSTITUTE(SUBSTITUTE(SUBSTITUTE(SUBSTITUTE(SUBSTITUTE(SUBSTITUTE(SUBSTITUTE(SUBSTITUTE(SUBSTITUTE(LOWER(T441&amp;""),CHAR(10),""),CHAR(13),""),CHAR(9),""),CHAR(160),"")," ",""),".",""),"-",""),"/",""),"?",""),"_",""),",",""),"[",""),"]",""),"(",""),")",""),"*","")</f>
        <v/>
      </c>
      <c r="AV441" s="61" t="str">
        <f aca="false">SUBSTITUTE(SUBSTITUTE(SUBSTITUTE(SUBSTITUTE(SUBSTITUTE(SUBSTITUTE(SUBSTITUTE(SUBSTITUTE(SUBSTITUTE(SUBSTITUTE(SUBSTITUTE(SUBSTITUTE(SUBSTITUTE(SUBSTITUTE(SUBSTITUTE(SUBSTITUTE(LOWER(V441&amp;""),CHAR(10),""),CHAR(13),""),CHAR(9),""),CHAR(160),"")," ",""),".",""),"-",""),"/",""),"?",""),"_",""),",",""),"[",""),"]",""),"(",""),")",""),"*","")</f>
        <v/>
      </c>
      <c r="AW441" s="61" t="str">
        <f aca="false">SUBSTITUTE(SUBSTITUTE(SUBSTITUTE(SUBSTITUTE(SUBSTITUTE(SUBSTITUTE(SUBSTITUTE(SUBSTITUTE(SUBSTITUTE(SUBSTITUTE(SUBSTITUTE(SUBSTITUTE(SUBSTITUTE(SUBSTITUTE(SUBSTITUTE(SUBSTITUTE(LOWER(Z441&amp;""),CHAR(10),""),CHAR(13),""),CHAR(9),""),CHAR(160),"")," ",""),".",""),"-",""),"/",""),"?",""),"_",""),",",""),"[",""),"]",""),"(",""),")",""),"*","")</f>
        <v/>
      </c>
      <c r="AX441" s="61" t="str">
        <f aca="false">SUBSTITUTE(SUBSTITUTE(SUBSTITUTE(SUBSTITUTE(SUBSTITUTE(SUBSTITUTE(SUBSTITUTE(SUBSTITUTE(SUBSTITUTE(SUBSTITUTE(SUBSTITUTE(SUBSTITUTE(SUBSTITUTE(SUBSTITUTE(SUBSTITUTE(SUBSTITUTE(LOWER(AE441&amp;""),CHAR(10),""),CHAR(13),""),CHAR(9),""),CHAR(160),"")," ",""),".",""),"-",""),"/",""),"?",""),"_",""),",",""),"[",""),"]",""),"(",""),")",""),"*","")</f>
        <v/>
      </c>
      <c r="AY441" s="61" t="str">
        <f aca="false">SUBSTITUTE(SUBSTITUTE(SUBSTITUTE(SUBSTITUTE(SUBSTITUTE(SUBSTITUTE(SUBSTITUTE(SUBSTITUTE(SUBSTITUTE(SUBSTITUTE(SUBSTITUTE(SUBSTITUTE(SUBSTITUTE(SUBSTITUTE(SUBSTITUTE(SUBSTITUTE(LOWER(W441&amp;""),CHAR(10),""),CHAR(13),""),CHAR(9),""),CHAR(160),"")," ",""),".",""),"-",""),"/",""),"?",""),"_",""),",",""),"[",""),"]",""),"(",""),")",""),"*","")</f>
        <v/>
      </c>
      <c r="AZ441" s="61" t="str">
        <f aca="false">SUBSTITUTE(SUBSTITUTE(SUBSTITUTE(SUBSTITUTE(SUBSTITUTE(SUBSTITUTE(SUBSTITUTE(SUBSTITUTE(SUBSTITUTE(SUBSTITUTE(SUBSTITUTE(SUBSTITUTE(SUBSTITUTE(SUBSTITUTE(SUBSTITUTE(SUBSTITUTE(LOWER(AC441&amp;""),CHAR(10),""),CHAR(13),""),CHAR(9),""),CHAR(160),"")," ",""),".",""),"-",""),"/",""),"?",""),"_",""),",",""),"[",""),"]",""),"(",""),")",""),"*","")</f>
        <v/>
      </c>
      <c r="BA441" s="61" t="str">
        <f aca="false">SUBSTITUTE(SUBSTITUTE(SUBSTITUTE(SUBSTITUTE(SUBSTITUTE(SUBSTITUTE(SUBSTITUTE(SUBSTITUTE(SUBSTITUTE(SUBSTITUTE(SUBSTITUTE(SUBSTITUTE(SUBSTITUTE(SUBSTITUTE(SUBSTITUTE(SUBSTITUTE(LOWER(AA441&amp;""),CHAR(10),""),CHAR(13),""),CHAR(9),""),CHAR(160),"")," ",""),".",""),"-",""),"/",""),"?",""),"_",""),",",""),"[",""),"]",""),"(",""),")",""),"*","")</f>
        <v/>
      </c>
      <c r="BB441" s="61" t="str">
        <f aca="false">IF(AND(TRIM(U441)="Pass",ISNUMBER(AF441)),IF(AF441&lt;&gt;0,"INVALID – qty variance: use Fail or Pass after CA",""),"")&amp;IF(AND(TRIM(U441)="Pass after CA",ISNUMBER(AF441)),IF(AF441&lt;&gt;0,"INVALID – after the corrective action the actual qty must equal expected (update Actual)",""),"")&amp;IF(AND(TRIM(U441)="Pass",TRIM(AB441)&lt;&gt;"",TRIM(AB441)&lt;&gt;"Closed"),"INVALID – corrective action not closed: use Fail, then Pass after CA","")&amp;IF(AND(LEN(BA441)&gt;=2,ISNA(MATCH(LEFT(BA441,255),L_Placeholder,0)),TRIM(AB441)=""),"INVALID – CA status missing for the recorded corrective action","")&amp;IF(AND(TRIM(U441)="Pass after CA",OR(OR(LEN(BA441)&lt;5,ISNUMBER(MATCH(BA441,L_Placeholder,0))),TRIM(AB441)&lt;&gt;"Closed")),"INVALID – corrective action not recorded/closed","")</f>
        <v/>
      </c>
      <c r="BC441" s="61" t="str">
        <f aca="false">" "&amp;TRIM(SUBSTITUTE(SUBSTITUTE(SUBSTITUTE(SUBSTITUTE(SUBSTITUTE(SUBSTITUTE(SUBSTITUTE(SUBSTITUTE(SUBSTITUTE(SUBSTITUTE(SUBSTITUTE(SUBSTITUTE(SUBSTITUTE(SUBSTITUTE(SUBSTITUTE(SUBSTITUTE(SUBSTITUTE(SUBSTITUTE(SUBSTITUTE(SUBSTITUTE(SUBSTITUTE(SUBSTITUTE(SUBSTITUTE(SUBSTITUTE(LOWER(V441&amp;""),CHAR(10)," "),CHAR(13)," "),CHAR(9)," "),CHAR(160)," "),"."," "),","," "),"-"," "),"/"," "),"("," "),")"," "),":"," "),";"," "),"_"," "),"–"," "),"?"," "),"!"," "),"*"," "),"["," "),"]"," "),"'"," "),"#"," "),"+"," "),"&amp;"," "),"\"," "))&amp;" "</f>
        <v>  </v>
      </c>
      <c r="BD441" s="61" t="str">
        <f aca="false">" "&amp;TRIM(SUBSTITUTE(SUBSTITUTE(SUBSTITUTE(SUBSTITUTE(SUBSTITUTE(SUBSTITUTE(SUBSTITUTE(SUBSTITUTE(SUBSTITUTE(SUBSTITUTE(SUBSTITUTE(SUBSTITUTE(SUBSTITUTE(SUBSTITUTE(SUBSTITUTE(SUBSTITUTE(SUBSTITUTE(SUBSTITUTE(SUBSTITUTE(SUBSTITUTE(SUBSTITUTE(SUBSTITUTE(SUBSTITUTE(SUBSTITUTE(LOWER(Z441&amp;""),CHAR(10)," "),CHAR(13)," "),CHAR(9)," "),CHAR(160)," "),"."," "),","," "),"-"," "),"/"," "),"("," "),")"," "),":"," "),";"," "),"_"," "),"–"," "),"?"," "),"!"," "),"*"," "),"["," "),"]"," "),"'"," "),"#"," "),"+"," "),"&amp;"," "),"\"," "))&amp;" "</f>
        <v>  </v>
      </c>
      <c r="BE441" s="61" t="str">
        <f aca="false">" "&amp;TRIM(SUBSTITUTE(SUBSTITUTE(SUBSTITUTE(SUBSTITUTE(SUBSTITUTE(SUBSTITUTE(SUBSTITUTE(SUBSTITUTE(SUBSTITUTE(SUBSTITUTE(SUBSTITUTE(SUBSTITUTE(SUBSTITUTE(SUBSTITUTE(SUBSTITUTE(SUBSTITUTE(SUBSTITUTE(SUBSTITUTE(SUBSTITUTE(SUBSTITUTE(SUBSTITUTE(SUBSTITUTE(SUBSTITUTE(SUBSTITUTE(LOWER(W441&amp;""),CHAR(10)," "),CHAR(13)," "),CHAR(9)," "),CHAR(160)," "),"."," "),","," "),"-"," "),"/"," "),"("," "),")"," "),":"," "),";"," "),"_"," "),"–"," "),"?"," "),"!"," "),"*"," "),"["," "),"]"," "),"'"," "),"#"," "),"+"," "),"&amp;"," "),"\"," "))&amp;" "</f>
        <v>  </v>
      </c>
      <c r="BF441" s="61" t="str">
        <f aca="false">" "&amp;TRIM(SUBSTITUTE(SUBSTITUTE(SUBSTITUTE(SUBSTITUTE(SUBSTITUTE(SUBSTITUTE(SUBSTITUTE(SUBSTITUTE(SUBSTITUTE(SUBSTITUTE(SUBSTITUTE(SUBSTITUTE(SUBSTITUTE(SUBSTITUTE(SUBSTITUTE(SUBSTITUTE(SUBSTITUTE(SUBSTITUTE(SUBSTITUTE(SUBSTITUTE(SUBSTITUTE(SUBSTITUTE(SUBSTITUTE(SUBSTITUTE(LOWER(AC441&amp;""),CHAR(10)," "),CHAR(13)," "),CHAR(9)," "),CHAR(160)," "),"."," "),","," "),"-"," "),"/"," "),"("," "),")"," "),":"," "),";"," "),"_"," "),"–"," "),"?"," "),"!"," "),"*"," "),"["," "),"]"," "),"'"," "),"#"," "),"+"," "),"&amp;"," "),"\"," "))&amp;" "</f>
        <v>  </v>
      </c>
      <c r="BG441" s="61" t="n">
        <f aca="false">IFERROR(IF(AND(TRIM(U441)="Pass",SUMPRODUCT((LEN(BC441)-LEN(SUBSTITUTE(BC441," "&amp;L_ResultBad&amp;" "," ")))/(LEN(L_ResultBad)+1))&gt;SUMPRODUCT((LEN(BC441)-LEN(SUBSTITUTE(BC441," "&amp;L_NegPhrase&amp;" "," ")))/(LEN(L_NegPhrase)+1))),1,0),0)</f>
        <v>0</v>
      </c>
      <c r="BH441" s="61" t="n">
        <f aca="false">IFERROR(IF(SUMPRODUCT((LEN(BC441)-LEN(SUBSTITUTE(BC441," "&amp;L_Pending&amp;" "," ")))/(LEN(L_Pending)+1))&gt;SUMPRODUCT((LEN(BC441)-LEN(SUBSTITUTE(BC441," "&amp;L_PendNeg&amp;" "," ")))/(LEN(L_PendNeg)+1))+SUMPRODUCT((LEN(BC441)-LEN(SUBSTITUTE(BC441," "&amp;L_PendPrep&amp;" "," ")))/(LEN(L_PendPrep)+1)),1,0),1)</f>
        <v>0</v>
      </c>
      <c r="BI441" s="61" t="n">
        <f aca="false">IFERROR(IF(SUMPRODUCT((LEN(BD441)-LEN(SUBSTITUTE(BD441," "&amp;L_PendStrict&amp;" "," ")))/(LEN(L_PendStrict)+1))&gt;SUMPRODUCT((LEN(BD441)-LEN(SUBSTITUTE(BD441," "&amp;L_PendNeg&amp;" "," ")))/(LEN(L_PendNeg)+1)),1,0),1)</f>
        <v>0</v>
      </c>
      <c r="BJ441" s="61" t="n">
        <f aca="false">IFERROR(IF(SUMPRODUCT((LEN(BE441)-LEN(SUBSTITUTE(BE441," "&amp;L_Pending&amp;" "," ")))/(LEN(L_Pending)+1))&gt;SUMPRODUCT((LEN(BE441)-LEN(SUBSTITUTE(BE441," "&amp;L_PendNeg&amp;" "," ")))/(LEN(L_PendNeg)+1))+SUMPRODUCT((LEN(BE441)-LEN(SUBSTITUTE(BE441," "&amp;L_PendPrep&amp;" "," ")))/(LEN(L_PendPrep)+1)),1,0),1)</f>
        <v>0</v>
      </c>
      <c r="BK441" s="61" t="n">
        <f aca="false">IFERROR(IF(SUMPRODUCT((LEN(BF441)-LEN(SUBSTITUTE(BF441," "&amp;L_PendStrict&amp;" "," ")))/(LEN(L_PendStrict)+1))&gt;SUMPRODUCT((LEN(BF441)-LEN(SUBSTITUTE(BF441," "&amp;L_PendNeg&amp;" "," ")))/(LEN(L_PendNeg)+1)),1,0),1)</f>
        <v>0</v>
      </c>
      <c r="BL441" s="61" t="n">
        <f aca="false">IF(ISNA(MATCH(TRIM(S441),L_EvidenceType,0)),0,BZ441)</f>
        <v>0</v>
      </c>
      <c r="BM441" s="61" t="str">
        <f aca="false">SUBSTITUTE(SUBSTITUTE(SUBSTITUTE(SUBSTITUTE(SUBSTITUTE(SUBSTITUTE(SUBSTITUTE(SUBSTITUTE(SUBSTITUTE(LOWER(Z441&amp;""),"1","0"),"2","0"),"3","0"),"4","0"),"5","0"),"6","0"),"7","0"),"8","0"),"9","0")</f>
        <v/>
      </c>
      <c r="BN441" s="61" t="str">
        <f aca="false">SUBSTITUTE(SUBSTITUTE(SUBSTITUTE(SUBSTITUTE(SUBSTITUTE(SUBSTITUTE(SUBSTITUTE(SUBSTITUTE(SUBSTITUTE(SUBSTITUTE(SUBSTITUTE(SUBSTITUTE(SUBSTITUTE(SUBSTITUTE(SUBSTITUTE(SUBSTITUTE(SUBSTITUTE(SUBSTITUTE(SUBSTITUTE(SUBSTITUTE(SUBSTITUTE(SUBSTITUTE(SUBSTITUTE(SUBSTITUTE(SUBSTITUTE(BM441,"b","a"),"c","a"),"d","a"),"e","a"),"f","a"),"g","a"),"h","a"),"i","a"),"j","a"),"k","a"),"l","a"),"m","a"),"n","a"),"o","a"),"p","a"),"q","a"),"r","a"),"s","a"),"t","a"),"u","a"),"v","a"),"w","a"),"x","a"),"y","a"),"z","a")</f>
        <v/>
      </c>
      <c r="BO441" s="61" t="str">
        <f aca="false">SUBSTITUTE(SUBSTITUTE(SUBSTITUTE(SUBSTITUTE(SUBSTITUTE(SUBSTITUTE(SUBSTITUTE(SUBSTITUTE(SUBSTITUTE(LOWER(W441&amp;""),"1","0"),"2","0"),"3","0"),"4","0"),"5","0"),"6","0"),"7","0"),"8","0"),"9","0")</f>
        <v/>
      </c>
      <c r="BP441" s="61" t="str">
        <f aca="false">SUBSTITUTE(SUBSTITUTE(SUBSTITUTE(SUBSTITUTE(SUBSTITUTE(SUBSTITUTE(SUBSTITUTE(SUBSTITUTE(SUBSTITUTE(SUBSTITUTE(SUBSTITUTE(SUBSTITUTE(SUBSTITUTE(SUBSTITUTE(SUBSTITUTE(SUBSTITUTE(SUBSTITUTE(SUBSTITUTE(SUBSTITUTE(SUBSTITUTE(SUBSTITUTE(SUBSTITUTE(SUBSTITUTE(SUBSTITUTE(SUBSTITUTE(BO441,"b","a"),"c","a"),"d","a"),"e","a"),"f","a"),"g","a"),"h","a"),"i","a"),"j","a"),"k","a"),"l","a"),"m","a"),"n","a"),"o","a"),"p","a"),"q","a"),"r","a"),"s","a"),"t","a"),"u","a"),"v","a"),"w","a"),"x","a"),"y","a"),"z","a")</f>
        <v/>
      </c>
      <c r="BQ441" s="61" t="n">
        <f aca="false">IFERROR(IF(AND(ISERROR(SEARCH(" mh"," "&amp;LOWER(W441))),ISNA(MATCH(LEFT(TRIM(BP441),255),{"0000a","000a","00a","0000aa","000aa","00aa","0aa","0000aaa","000aaa","00a00","0a00","0000-0000","00:00","a00","a0","00.00.0000","00/00/0000","00-00-0000","0000-00-00","0000/00/00","0000.00.00","00.00.00","00/00/00","00-00-00","0.00.0000","0/00/0000","0-00-0000"},0)),ISNA(MATCH(LEFT(TRIM(CA441),255),{"0000a","000a","00a","0000aa","000aa","00aa","0aa","0000aaa","000aaa","00a00","0a00","0000-0000","00:00","a00","a0","00.00.0000","00/00/0000","00-00-0000","0000-00-00","0000/00/00","0000.00.00","00.00.00","00/00/00","00-00-00","0.00.0000","0/00/0000","0-00-0000"},0)),LEN(CB441)&gt;=3,NOT(OR(SUBSTITUTE(CB441,"0","")="",AND(LEN(CB441)&gt;=4,CB441=REPT(LEFT(CB441),LEN(CB441))),ISNUMBER(MATCH(CB441,{"123","1234","12345","123456","1234567","12345678","0123","01234","012345","98765","987654","54321"},0)),AND(LEN(CB441)=8,LEFT(CB441,3)="202"))),OR(AND((LEN(CA441)-LEN(SUBSTITUTE(CA441,"a","")))&gt;=1,SUMPRODUCT(--ISNUMBER(SEARCH({"a0","a-0","a_0","a/0","a.0","a#0","0a","0-a","0_a","0/a"},BP441)))&gt;0),ISNUMBER(SEARCH("000000",BP441)))),1,0),0)</f>
        <v>0</v>
      </c>
      <c r="BR441" s="61" t="n">
        <f aca="false">IFERROR(LEN(SUBSTITUTE(CC441," ",""))-SUMPRODUCT((LEN(CC441)-LEN(SUBSTITUTE(CC441," "&amp;L_Role&amp;" "," ")))/(LEN(L_Role)+1)*LEN(L_Role)),0)</f>
        <v>0</v>
      </c>
      <c r="BS441" s="61" t="n">
        <f aca="false">IFERROR(LEN(SUBSTITUTE(CD441," ",""))-SUMPRODUCT((LEN(CD441)-LEN(SUBSTITUTE(CD441," "&amp;L_Role&amp;" "," ")))/(LEN(L_Role)+1)*LEN(L_Role)),0)</f>
        <v>0</v>
      </c>
      <c r="BT4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441,"revision",""),"version",""),"jan",""),"feb",""),"mar",""),"apr",""),"may",""),"jun",""),"jul",""),"aug",""),"sep",""),"oct",""),"nov",""),"dec",""),"utc",""),"gmt",""),"myt",""),"bst",""),"rev",""),"ver",""),"b","a"),"c","a"),"d","a"),"e","a"),"f","a"),"g","a"),"h","a"),"i","a"),"j","a"),"k","a"),"l","a"),"m","a"),"n","a"),"o","a"),"p","a"),"q","a"),"r","a"),"s","a"),"t","a"),"u","a"),"v","a"),"w","a"),"x","a"),"y","a"),"z","a")</f>
        <v/>
      </c>
      <c r="BU441" s="61" t="str">
        <f aca="false">SUBSTITUTE(SUBSTITUTE(SUBSTITUTE(SUBSTITUTE(SUBSTITUTE(SUBSTITUTE(SUBSTITUTE(SUBSTITUTE(SUBSTITUTE(SUBSTITUTE(LEFT(BM441,FIND("0",BM441&amp;"0")-1),"-",""),"_",""),"/",""),".",""),"#",""),"\\",""),":","")," ",""),"(",""),")","")</f>
        <v/>
      </c>
      <c r="BV441" s="61" t="n">
        <f aca="false">0</f>
        <v>0</v>
      </c>
      <c r="BW4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441&amp;""),"a",""),"b",""),"c",""),"d",""),"e",""),"f",""),"g",""),"h",""),"i",""),"j",""),"k",""),"l",""),"m",""),"n",""),"o",""),"p",""),"q",""),"r",""),"s",""),"t",""),"u",""),"v",""),"w",""),"x",""),"y",""),"z",""),"-",""),"_",""),"/",""),".",""),"#",""),"\\",""),":","")," ",""),"(",""),")","")</f>
        <v/>
      </c>
      <c r="BX441" s="61" t="str">
        <f aca="false">SUBSTITUTE(SUBSTITUTE(SUBSTITUTE(SUBSTITUTE(SUBSTITUTE(SUBSTITUTE(SUBSTITUTE(SUBSTITUTE(SUBSTITUTE(SUBSTITUTE(SUBSTITUTE(BM441,"0",""),"-",""),"_",""),"/",""),".",""),"#",""),"\\",""),":","")," ",""),"(",""),")","")</f>
        <v/>
      </c>
      <c r="BY441" s="62" t="n">
        <f aca="false">Q441-T12EarlyH/24</f>
        <v>46308.0104166667</v>
      </c>
      <c r="BZ441" s="61" t="n">
        <f aca="false">IFERROR(IF(IF(TRIM(S441)="Link / file path",AND(LEN(TRIM(Z441))&gt;=5,SUMPRODUCT(--ISNUMBER(SEARCH({"http","www.","\\",":\",".pdf",".jpg",".jpeg",".png",".heic",".xls",".doc",".msg",".eml",".ppt",".txt",".zip"},Z441)))&gt;0),AND(ISERROR(FIND(" ",TRIM(Z441))),NOT(OR(SUMPRODUCT(--ISNUMBER(FIND({",",";","&amp;","+"},Z441)))&gt;0,SUMPRODUCT(--ISNUMBER(SEARCH({"0/aa","0\\aa"},BN441)))&gt;0)),NOT(SUMPRODUCT(--ISNUMBER(SEARCH({"http","www.","\\",":\",".pdf",".jpg",".jpeg",".png",".heic",".xls",".doc",".msg",".eml",".ppt",".txt",".zip"},Z441)))&gt;0),NOT(LOWER(TRIM(Z441))=LOWER(Flights!$F$17)),ISNA(MATCH(BU441,{"mh","rev","revision","ver","version","v","r","a","b","seat","tray","row","gate","bay","stand","page","pg","item","line","no","cart","galley","flight","flt","table","box","bag","oven","etd","eta","std","sta","atd","ata","qty","pax","x","time","tel","ph","mob","day","wk","week","utc","gmt","myt","lt"},0)),NOT(OR(ISNUMBER(MATCH(LEFT(BN441,255),{"0000a","000a","00a","0000aa","000aa","00aa","0aa","0000aaa","000aaa","00a00","0a00","0000-0000","00:00","a00","a0","00.00.0000","00/00/0000","00-00-0000","0000-00-00","0000/00/00","0000.00.00","00.00.00","00/00/00","00-00-00","0.00.0000","0/00/0000","0-00-0000"},0)),ISNUMBER(MATCH(LEFT(BT441,255),{"0000a","000a","00a","0000aa","000aa","00aa","0aa","0000aaa","000aaa","00a00","0a00","0000-0000","00:00","a00","a0","00.00.0000","00/00/0000","00-00-0000","0000-00-00","0000/00/00","0000.00.00","00.00.00","00/00/00","00-00-00","0.00.0000","0/00/0000","0-00-0000"},0)))),NOT(OR(AND(BW441&lt;&gt;"",SUBSTITUTE(BW441,"0","")=""),AND(LEN(BW441)&gt;=4,BW441=REPT(LEFT(BW441),LEN(BW441))),ISNUMBER(MATCH(BW441,{"123","1234","12345","123456","1234567","12345678","0123","01234","012345","98765","987654","54321"},0)),ISNUMBER(MATCH(BX441,{"x","xx","xxx","xxxx","xxxxx","abc","abcd","nil","na","nan","test","tbc","tba","tbd","dummy","sample","example","eg","zz","zzz","none","null","xyz","qwe","asd","id","ref"},0)),AND(LEN(BW441)=8,BX441="",OR(LEFT(BW441,3)="202",ISNUMBER(MATCH(RIGHT(BW441,4),{"2025","2026","2027"},0)))))),OR(AND((LEN(BT441)-LEN(SUBSTITUTE(BT441,"a","")))&gt;=1,(LEN(BN441)-LEN(SUBSTITUTE(BN441,"0","")))&gt;=2,SUMPRODUCT(--ISNUMBER(SEARCH({"a0","a-0","a_0","a/0","a.0","a#0","0a","0-a","0_a","0/a"},BN441)))&gt;0),AND((LEN(BN441)-LEN(SUBSTITUTE(BN441,"a","")))=0,(LEN(BN441)-LEN(SUBSTITUTE(BN441,"0","")))&gt;=5)))),1,0),0)</f>
        <v>0</v>
      </c>
      <c r="CA4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441,"revision",""),"version",""),"jan",""),"feb",""),"mar",""),"apr",""),"may",""),"jun",""),"jul",""),"aug",""),"sep",""),"oct",""),"nov",""),"dec",""),"utc",""),"gmt",""),"myt",""),"bst",""),"rev",""),"ver",""),"b","a"),"c","a"),"d","a"),"e","a"),"f","a"),"g","a"),"h","a"),"i","a"),"j","a"),"k","a"),"l","a"),"m","a"),"n","a"),"o","a"),"p","a"),"q","a"),"r","a"),"s","a"),"t","a"),"u","a"),"v","a"),"w","a"),"x","a"),"y","a"),"z","a")</f>
        <v/>
      </c>
      <c r="CB4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441&amp;""),"a",""),"b",""),"c",""),"d",""),"e",""),"f",""),"g",""),"h",""),"i",""),"j",""),"k",""),"l",""),"m",""),"n",""),"o",""),"p",""),"q",""),"r",""),"s",""),"t",""),"u",""),"v",""),"w",""),"x",""),"y",""),"z",""),"-",""),"_",""),"/",""),".",""),"#",""),"\\",""),":","")," ",""),"(",""),")","")</f>
        <v/>
      </c>
      <c r="CC441" s="0" t="str">
        <f aca="false">" "&amp;TRIM(SUBSTITUTE(SUBSTITUTE(SUBSTITUTE(SUBSTITUTE(SUBSTITUTE(SUBSTITUTE(SUBSTITUTE(SUBSTITUTE(SUBSTITUTE(SUBSTITUTE(SUBSTITUTE(SUBSTITUTE(SUBSTITUTE(SUBSTITUTE(SUBSTITUTE(SUBSTITUTE(SUBSTITUTE(SUBSTITUTE(SUBSTITUTE(SUBSTITUTE(SUBSTITUTE(SUBSTITUTE(SUBSTITUTE(SUBSTITUTE(LOWER(T441&amp;""),CHAR(10)," "),CHAR(13)," "),CHAR(9)," "),CHAR(160)," "),"."," "),","," "),"-"," "),"/"," "),"("," "),")"," "),":"," "),";"," "),"_"," "),"–"," "),"?"," "),"!"," "),"*"," "),"["," "),"]"," "),"'"," "),"#"," "),"+"," "),"&amp;"," "),"\"," "))&amp;" "</f>
        <v>  </v>
      </c>
      <c r="CD441" s="0" t="str">
        <f aca="false">" "&amp;TRIM(SUBSTITUTE(SUBSTITUTE(SUBSTITUTE(SUBSTITUTE(SUBSTITUTE(SUBSTITUTE(SUBSTITUTE(SUBSTITUTE(SUBSTITUTE(SUBSTITUTE(SUBSTITUTE(SUBSTITUTE(SUBSTITUTE(SUBSTITUTE(SUBSTITUTE(SUBSTITUTE(SUBSTITUTE(SUBSTITUTE(SUBSTITUTE(SUBSTITUTE(SUBSTITUTE(SUBSTITUTE(SUBSTITUTE(SUBSTITUTE(LOWER(AE441&amp;""),CHAR(10)," "),CHAR(13)," "),CHAR(9)," "),CHAR(160)," "),"."," "),","," "),"-"," "),"/"," "),"("," "),")"," "),":"," "),";"," "),"_"," "),"–"," "),"?"," "),"!"," "),"*"," "),"["," "),"]"," "),"'"," "),"#"," "),"+"," "),"&amp;"," "),"\"," "))&amp;" "</f>
        <v>  </v>
      </c>
      <c r="CE441" s="68" t="n">
        <f aca="false">IFERROR(IF(AND(LEN(AU441)&gt;0,LEN(AU441)=LEN(AX441),OR(TRIM(MID(SUBSTITUTE(TRIM(CC441)," ",REPT(" ",60)),1,60))="",ISNUMBER(SEARCH(" "&amp;TRIM(MID(SUBSTITUTE(TRIM(CC441)," ",REPT(" ",60)),1,60))&amp;" ",CD441))),OR(TRIM(MID(SUBSTITUTE(TRIM(CC441)," ",REPT(" ",60)),61,60))="",ISNUMBER(SEARCH(" "&amp;TRIM(MID(SUBSTITUTE(TRIM(CC441)," ",REPT(" ",60)),61,60))&amp;" ",CD441))),OR(TRIM(MID(SUBSTITUTE(TRIM(CC441)," ",REPT(" ",60)),121,60))="",ISNUMBER(SEARCH(" "&amp;TRIM(MID(SUBSTITUTE(TRIM(CC441)," ",REPT(" ",60)),121,60))&amp;" ",CD441)))),1,0),0)</f>
        <v>0</v>
      </c>
      <c r="CG441" s="68" t="n">
        <f aca="false">IFERROR(LEN(SUBSTITUTE(BF441," ",""))-SUMPRODUCT((LEN(BF441)-LEN(SUBSTITUTE(BF441," "&amp;L_NAFiller&amp;" "," ")))/(LEN(L_NAFiller)+1)*LEN(L_NAFiller)),0)</f>
        <v>0</v>
      </c>
    </row>
    <row r="442" customFormat="false" ht="39.75" hidden="false" customHeight="true" outlineLevel="0" collapsed="false">
      <c r="A442" s="57" t="s">
        <v>1079</v>
      </c>
      <c r="B442" s="57" t="s">
        <v>272</v>
      </c>
      <c r="C442" s="57" t="str">
        <f aca="false">Flights!$F$17</f>
        <v>MH0138</v>
      </c>
      <c r="D442" s="58" t="n">
        <f aca="false">Flights!$D$17</f>
        <v>46309</v>
      </c>
      <c r="E442" s="57" t="str">
        <f aca="false">Flights!$G$17&amp;"-"&amp;Flights!$H$17</f>
        <v>ADL-KUL</v>
      </c>
      <c r="F442" s="57" t="str">
        <f aca="false">Flights!$K$17</f>
        <v>EY</v>
      </c>
      <c r="G442" s="57" t="s">
        <v>420</v>
      </c>
      <c r="H442" s="57" t="s">
        <v>378</v>
      </c>
      <c r="I442" s="57" t="s">
        <v>428</v>
      </c>
      <c r="J442" s="57" t="s">
        <v>433</v>
      </c>
      <c r="K442" s="67"/>
      <c r="L442" s="67" t="s">
        <v>422</v>
      </c>
      <c r="M442" s="67"/>
      <c r="N442" s="67" t="s">
        <v>383</v>
      </c>
      <c r="O442" s="67" t="s">
        <v>423</v>
      </c>
      <c r="P442" s="57" t="s">
        <v>263</v>
      </c>
      <c r="Q442" s="59" t="n">
        <f aca="false">ROUND((Flights!$AE$17)*1440,0)/1440</f>
        <v>46308.5104166667</v>
      </c>
      <c r="R442" s="59" t="n">
        <f aca="false">Q442+(IF(AND(INDEX(TZ_DSTS,MATCH(P442,TZ_STN,0))&lt;&gt;"",Q442&gt;=INDEX(TZ_DSTS,MATCH(P442,TZ_STN,0)),Q442&lt;INDEX(TZ_DSTE,MATCH(P442,TZ_STN,0))),INDEX(TZ_DST,MATCH(P442,TZ_STN,0)),INDEX(TZ_STD,MATCH(P442,TZ_STN,0))))/24</f>
        <v>46308.9479166667</v>
      </c>
      <c r="S442" s="60"/>
      <c r="T442" s="60"/>
      <c r="U442" s="60"/>
      <c r="V442" s="60"/>
      <c r="W442" s="61"/>
      <c r="X442" s="60"/>
      <c r="Y442" s="60"/>
      <c r="Z442" s="60"/>
      <c r="AA442" s="60"/>
      <c r="AB442" s="60"/>
      <c r="AC442" s="60"/>
      <c r="AD442" s="66"/>
      <c r="AE442" s="60"/>
      <c r="AF442" s="61" t="str">
        <f aca="false">IF(AND(ISNUMBER(X442),ISNUMBER(Y442)),Y442-X442,"")</f>
        <v/>
      </c>
      <c r="AG442" s="62" t="str">
        <f aca="false">IF(ISNUMBER(AD442),AD442-(IF(AND(INDEX(TZ_DSTS,MATCH(P442,TZ_STN,0))&lt;&gt;"",(AD442-INDEX(TZ_STD,MATCH(P442,TZ_STN,0))/24)&gt;=INDEX(TZ_DSTS,MATCH(P442,TZ_STN,0)),(AD442-INDEX(TZ_STD,MATCH(P442,TZ_STN,0))/24)&lt;INDEX(TZ_DSTE,MATCH(P442,TZ_STN,0))),INDEX(TZ_DST,MATCH(P442,TZ_STN,0)),INDEX(TZ_STD,MATCH(P442,TZ_STN,0))))/24,"")</f>
        <v/>
      </c>
      <c r="AH442" s="65" t="str">
        <f aca="false">IFERROR(IF(N442="N/A – rule",IF(OR(TRIM(U442)="",TRIM(U442)="N/A",TRIM(U442)="Not started"),"N/A – RULE","INVALID – this check does not apply to this aircraft: clear the status (or correct the fleet on Flights)"),IF(TRIM(U442)="N/A",IF(AT442=0,"INVALID – N/A not permitted for this check",IF(AND(TRIM(AB442)&lt;&gt;"",TRIM(AB442)&lt;&gt;"Closed"),"INVALID – corrective action still open",IF(AND(NOT(OR(LEN(AZ442)&lt;15,ISNUMBER(MATCH(AZ442,L_Placeholder,0)))),BK442=0,CG442&gt;=8,NOT(OR(LEN(AU442)&lt;2,ISNUMBER(MATCH(AU442,L_Placeholder,0)))),BR442&gt;=3,NOT(OR(LEN(AX442)&lt;2,ISNUMBER(MATCH(AX442,L_Placeholder,0)))),BS442&gt;=3,TRIM(AE442)&lt;&gt;TRIM(T442),AX442&lt;&gt;AU442,CE442=0),"N/A – JUSTIFIED","INVALID – N/A needs a real, settled reason (not 'not applicable' / 'as above' / TBC), a named PIC and a different named verifier"))),IF(OR(TRIM(U442)="Pass",TRIM(U442)="Pass after CA"),IF(NOT(ISNUMBER(AD442)),"INVALID – completion time missing",IF(OR(OR(LEN(AU442)&lt;2,ISNUMBER(MATCH(AU442,L_Placeholder,0))),BR442&lt;3),"INVALID – PIC missing or not a named person (a role such as QA / CSM is not a name)",IF(OR(LEN(AV442)&lt;2,ISNUMBER(MATCH(AV442,L_Placeholder,0))),"INVALID – result / assessment missing",IF(OR(OR(LEN(AW442)&lt;3,ISNUMBER(MATCH(AW442,L_Placeholder,0))),SUMPRODUCT(--ISNUMBER(SEARCH(" "&amp;L_EvidencePhrase&amp;" ",BD442)))&gt;0,BI442=1),"INVALID – evidence missing, placeholder or not yet on file",IF(ISNA(MATCH(TRIM(S442),L_EvidenceType,0)),"INVALID – choose the evidence type from the list (column S)",IF(BL442=0,"INVALID – evidence ID must be the record's own ID only (e.g. SF-2210, IMG_2231, 1045521); a link / file name needs type 'Link / file path'",IF(OR(OR(LEN(AX442)&lt;2,ISNUMBER(MATCH(AX442,L_Placeholder,0))),BS442&lt;3),"INVALID – verifier missing or not a named person (a role such as QA / CSM is not a name)",IF(OR(AX442=AU442,CE442=1,AND(LEN(AU442)&gt;=4,ISNUMBER(SEARCH(AU442,AX442))),AND(LEN(AX442)&gt;=4,ISNUMBER(SEARCH(AX442,AU442)))),"INVALID – verifier must be a different, named person (not the PIC or a role)",IF(BH442=1,"INVALID – result not yet available (awaiting / TBC)",IF(BG442=1,"INVALID – result describes a problem: record Fail, then Pass after CA (or reword if it is not a problem)",IF(BV442=1,"INVALID – wording says not on board: an on-board confirmation needs the item loaded",IF(AND(AQ442=1,OR(OR(LEN(AY442)&lt;3,ISNUMBER(MATCH(AY442,L_Placeholder,0))),BJ442=1,BQ442=0)),"INVALID – batch ID missing, placeholder or not an ID (e.g. PASB-261008-BC-017)",IF(AND(AR442=1,OR(NOT(ISNUMBER(X442)),NOT(ISNUMBER(Y442)))),"INVALID – expected/actual qty missing",IF(AND(AR442=1,OR(X442&lt;=0,Y442&lt;0)),"INVALID – expected qty must be above 0 and actual not negative",IF(BB442&lt;&gt;"",BB442,IF(AND(AS442=1,Documents!$J$17&lt;&gt;"ON FILE"),"INVALID – GLD not on file (Documents sheet)",IF(AND(AS442=2,Documents!$O$17&lt;&gt;"ON FILE"),"INVALID – menu checklist not on file (Documents sheet)",IF(AND(AS442=3,NOT(ISNUMBER(Flights!$AX$17))),"INVALID – enter carrying flight KUL departure (Flights AX)",IF(AND(AS442=3,OR(Flights!$AZ$17&gt;Flights!$AA$17,Flights!$AX$17&lt;Flights!$AA$17-3)),"INVALID – carrying flight (Flights AX) cannot arrive before this leg's STD, or is over 3 days early",IF(AG442&gt;AsOfUTC,"INVALID – completion time is in the future",IF(AND(ISNUMBER(BY442),AG442&lt;BY442),IF(H442="Physical uplift","INVALID – before uplift window (cannot confirm loading)","INVALID – before valid window"),IF(AG442&gt;Flights!$AA$17,"INVALID – completed after departure (cannot establish readiness)",IF(AND(H442="Preparation",AG442&gt;=IF(ISNUMBER(Flights!$BA$17),MIN(Flights!$BA$17,Flights!$AA$17),Flights!$AA$17)),"INVALID – completed after loading / departure (cannot establish readiness)",IF(AND(H442="Physical uplift",AG442&gt;Q442),"INVALID – recorded after the loading flight departed",IF(AG442&gt;Q442,"COMPLETE – LATE","COMPLETE"))))))))))))))))))))))))),IF(TRIM(U442)="Fail","FAIL – DISCREPANCY",IF(AND(TRIM(U442)&lt;&gt;"",TRIM(U442)&lt;&gt;"Not started",TRIM(U442)&lt;&gt;"In progress"),"INVALID – unrecognised status (use the list)",IF(AsOfUTC&gt;Q442,"OVERDUE",IF(N442="Clarification required","OPEN – CLARIFICATION","OPEN"))))))),"INVALID – error value in an input cell")</f>
        <v>OPEN</v>
      </c>
      <c r="AI442" s="61" t="n">
        <f aca="false">IF(OR(AH442="N/A – RULE",AH442="N/A – JUSTIFIED"),0,1)</f>
        <v>1</v>
      </c>
      <c r="AJ442" s="61" t="n">
        <f aca="false">IF(LEFT(AH442,8)="COMPLETE",1,0)</f>
        <v>0</v>
      </c>
      <c r="AK442" s="61" t="n">
        <f aca="false">IF(AND(AI442=1,AJ442=0,AsOfUTC&gt;Q442),1,0)</f>
        <v>0</v>
      </c>
      <c r="AL442" s="61" t="n">
        <f aca="false">IFERROR(IF(AND(AI442=1,OR(TRIM(U442)="Fail",AND(TRIM(AB442)&lt;&gt;"",TRIM(AB442)&lt;&gt;"Closed"),AND(ISNUMBER(AF442),AF442&lt;&gt;0,TRIM(U442)&lt;&gt;"Pass after CA"))),1,0),1)</f>
        <v>0</v>
      </c>
      <c r="AM442" s="61" t="n">
        <f aca="false">IF(LEFT(AH442,7)="INVALID",1,0)</f>
        <v>0</v>
      </c>
      <c r="AN442" s="61" t="n">
        <f aca="false">IF(AND(N442="Clarification required",AI442=1,AJ442=0),1,0)</f>
        <v>0</v>
      </c>
      <c r="AO442" s="61" t="str">
        <f aca="false">IF(AK442=1,SUM(AK$5:AK442),"")</f>
        <v/>
      </c>
      <c r="AP442" s="61" t="str">
        <f aca="false">IF(AL442=1,SUM(AL$5:AL442),"")</f>
        <v/>
      </c>
      <c r="AQ442" s="61" t="n">
        <v>0</v>
      </c>
      <c r="AR442" s="61" t="n">
        <v>0</v>
      </c>
      <c r="AS442" s="61" t="n">
        <v>0</v>
      </c>
      <c r="AT442" s="61" t="n">
        <v>0</v>
      </c>
      <c r="AU442" s="61" t="str">
        <f aca="false">SUBSTITUTE(SUBSTITUTE(SUBSTITUTE(SUBSTITUTE(SUBSTITUTE(SUBSTITUTE(SUBSTITUTE(SUBSTITUTE(SUBSTITUTE(SUBSTITUTE(SUBSTITUTE(SUBSTITUTE(SUBSTITUTE(SUBSTITUTE(SUBSTITUTE(SUBSTITUTE(LOWER(T442&amp;""),CHAR(10),""),CHAR(13),""),CHAR(9),""),CHAR(160),"")," ",""),".",""),"-",""),"/",""),"?",""),"_",""),",",""),"[",""),"]",""),"(",""),")",""),"*","")</f>
        <v/>
      </c>
      <c r="AV442" s="61" t="str">
        <f aca="false">SUBSTITUTE(SUBSTITUTE(SUBSTITUTE(SUBSTITUTE(SUBSTITUTE(SUBSTITUTE(SUBSTITUTE(SUBSTITUTE(SUBSTITUTE(SUBSTITUTE(SUBSTITUTE(SUBSTITUTE(SUBSTITUTE(SUBSTITUTE(SUBSTITUTE(SUBSTITUTE(LOWER(V442&amp;""),CHAR(10),""),CHAR(13),""),CHAR(9),""),CHAR(160),"")," ",""),".",""),"-",""),"/",""),"?",""),"_",""),",",""),"[",""),"]",""),"(",""),")",""),"*","")</f>
        <v/>
      </c>
      <c r="AW442" s="61" t="str">
        <f aca="false">SUBSTITUTE(SUBSTITUTE(SUBSTITUTE(SUBSTITUTE(SUBSTITUTE(SUBSTITUTE(SUBSTITUTE(SUBSTITUTE(SUBSTITUTE(SUBSTITUTE(SUBSTITUTE(SUBSTITUTE(SUBSTITUTE(SUBSTITUTE(SUBSTITUTE(SUBSTITUTE(LOWER(Z442&amp;""),CHAR(10),""),CHAR(13),""),CHAR(9),""),CHAR(160),"")," ",""),".",""),"-",""),"/",""),"?",""),"_",""),",",""),"[",""),"]",""),"(",""),")",""),"*","")</f>
        <v/>
      </c>
      <c r="AX442" s="61" t="str">
        <f aca="false">SUBSTITUTE(SUBSTITUTE(SUBSTITUTE(SUBSTITUTE(SUBSTITUTE(SUBSTITUTE(SUBSTITUTE(SUBSTITUTE(SUBSTITUTE(SUBSTITUTE(SUBSTITUTE(SUBSTITUTE(SUBSTITUTE(SUBSTITUTE(SUBSTITUTE(SUBSTITUTE(LOWER(AE442&amp;""),CHAR(10),""),CHAR(13),""),CHAR(9),""),CHAR(160),"")," ",""),".",""),"-",""),"/",""),"?",""),"_",""),",",""),"[",""),"]",""),"(",""),")",""),"*","")</f>
        <v/>
      </c>
      <c r="AY442" s="61" t="str">
        <f aca="false">SUBSTITUTE(SUBSTITUTE(SUBSTITUTE(SUBSTITUTE(SUBSTITUTE(SUBSTITUTE(SUBSTITUTE(SUBSTITUTE(SUBSTITUTE(SUBSTITUTE(SUBSTITUTE(SUBSTITUTE(SUBSTITUTE(SUBSTITUTE(SUBSTITUTE(SUBSTITUTE(LOWER(W442&amp;""),CHAR(10),""),CHAR(13),""),CHAR(9),""),CHAR(160),"")," ",""),".",""),"-",""),"/",""),"?",""),"_",""),",",""),"[",""),"]",""),"(",""),")",""),"*","")</f>
        <v/>
      </c>
      <c r="AZ442" s="61" t="str">
        <f aca="false">SUBSTITUTE(SUBSTITUTE(SUBSTITUTE(SUBSTITUTE(SUBSTITUTE(SUBSTITUTE(SUBSTITUTE(SUBSTITUTE(SUBSTITUTE(SUBSTITUTE(SUBSTITUTE(SUBSTITUTE(SUBSTITUTE(SUBSTITUTE(SUBSTITUTE(SUBSTITUTE(LOWER(AC442&amp;""),CHAR(10),""),CHAR(13),""),CHAR(9),""),CHAR(160),"")," ",""),".",""),"-",""),"/",""),"?",""),"_",""),",",""),"[",""),"]",""),"(",""),")",""),"*","")</f>
        <v/>
      </c>
      <c r="BA442" s="61" t="str">
        <f aca="false">SUBSTITUTE(SUBSTITUTE(SUBSTITUTE(SUBSTITUTE(SUBSTITUTE(SUBSTITUTE(SUBSTITUTE(SUBSTITUTE(SUBSTITUTE(SUBSTITUTE(SUBSTITUTE(SUBSTITUTE(SUBSTITUTE(SUBSTITUTE(SUBSTITUTE(SUBSTITUTE(LOWER(AA442&amp;""),CHAR(10),""),CHAR(13),""),CHAR(9),""),CHAR(160),"")," ",""),".",""),"-",""),"/",""),"?",""),"_",""),",",""),"[",""),"]",""),"(",""),")",""),"*","")</f>
        <v/>
      </c>
      <c r="BB442" s="61" t="str">
        <f aca="false">IF(AND(TRIM(U442)="Pass",ISNUMBER(AF442)),IF(AF442&lt;&gt;0,"INVALID – qty variance: use Fail or Pass after CA",""),"")&amp;IF(AND(TRIM(U442)="Pass after CA",ISNUMBER(AF442)),IF(AF442&lt;&gt;0,"INVALID – after the corrective action the actual qty must equal expected (update Actual)",""),"")&amp;IF(AND(TRIM(U442)="Pass",TRIM(AB442)&lt;&gt;"",TRIM(AB442)&lt;&gt;"Closed"),"INVALID – corrective action not closed: use Fail, then Pass after CA","")&amp;IF(AND(LEN(BA442)&gt;=2,ISNA(MATCH(LEFT(BA442,255),L_Placeholder,0)),TRIM(AB442)=""),"INVALID – CA status missing for the recorded corrective action","")&amp;IF(AND(TRIM(U442)="Pass after CA",OR(OR(LEN(BA442)&lt;5,ISNUMBER(MATCH(BA442,L_Placeholder,0))),TRIM(AB442)&lt;&gt;"Closed")),"INVALID – corrective action not recorded/closed","")</f>
        <v/>
      </c>
      <c r="BC442" s="61" t="str">
        <f aca="false">" "&amp;TRIM(SUBSTITUTE(SUBSTITUTE(SUBSTITUTE(SUBSTITUTE(SUBSTITUTE(SUBSTITUTE(SUBSTITUTE(SUBSTITUTE(SUBSTITUTE(SUBSTITUTE(SUBSTITUTE(SUBSTITUTE(SUBSTITUTE(SUBSTITUTE(SUBSTITUTE(SUBSTITUTE(SUBSTITUTE(SUBSTITUTE(SUBSTITUTE(SUBSTITUTE(SUBSTITUTE(SUBSTITUTE(SUBSTITUTE(SUBSTITUTE(LOWER(V442&amp;""),CHAR(10)," "),CHAR(13)," "),CHAR(9)," "),CHAR(160)," "),"."," "),","," "),"-"," "),"/"," "),"("," "),")"," "),":"," "),";"," "),"_"," "),"–"," "),"?"," "),"!"," "),"*"," "),"["," "),"]"," "),"'"," "),"#"," "),"+"," "),"&amp;"," "),"\"," "))&amp;" "</f>
        <v>  </v>
      </c>
      <c r="BD442" s="61" t="str">
        <f aca="false">" "&amp;TRIM(SUBSTITUTE(SUBSTITUTE(SUBSTITUTE(SUBSTITUTE(SUBSTITUTE(SUBSTITUTE(SUBSTITUTE(SUBSTITUTE(SUBSTITUTE(SUBSTITUTE(SUBSTITUTE(SUBSTITUTE(SUBSTITUTE(SUBSTITUTE(SUBSTITUTE(SUBSTITUTE(SUBSTITUTE(SUBSTITUTE(SUBSTITUTE(SUBSTITUTE(SUBSTITUTE(SUBSTITUTE(SUBSTITUTE(SUBSTITUTE(LOWER(Z442&amp;""),CHAR(10)," "),CHAR(13)," "),CHAR(9)," "),CHAR(160)," "),"."," "),","," "),"-"," "),"/"," "),"("," "),")"," "),":"," "),";"," "),"_"," "),"–"," "),"?"," "),"!"," "),"*"," "),"["," "),"]"," "),"'"," "),"#"," "),"+"," "),"&amp;"," "),"\"," "))&amp;" "</f>
        <v>  </v>
      </c>
      <c r="BE442" s="61" t="str">
        <f aca="false">" "&amp;TRIM(SUBSTITUTE(SUBSTITUTE(SUBSTITUTE(SUBSTITUTE(SUBSTITUTE(SUBSTITUTE(SUBSTITUTE(SUBSTITUTE(SUBSTITUTE(SUBSTITUTE(SUBSTITUTE(SUBSTITUTE(SUBSTITUTE(SUBSTITUTE(SUBSTITUTE(SUBSTITUTE(SUBSTITUTE(SUBSTITUTE(SUBSTITUTE(SUBSTITUTE(SUBSTITUTE(SUBSTITUTE(SUBSTITUTE(SUBSTITUTE(LOWER(W442&amp;""),CHAR(10)," "),CHAR(13)," "),CHAR(9)," "),CHAR(160)," "),"."," "),","," "),"-"," "),"/"," "),"("," "),")"," "),":"," "),";"," "),"_"," "),"–"," "),"?"," "),"!"," "),"*"," "),"["," "),"]"," "),"'"," "),"#"," "),"+"," "),"&amp;"," "),"\"," "))&amp;" "</f>
        <v>  </v>
      </c>
      <c r="BF442" s="61" t="str">
        <f aca="false">" "&amp;TRIM(SUBSTITUTE(SUBSTITUTE(SUBSTITUTE(SUBSTITUTE(SUBSTITUTE(SUBSTITUTE(SUBSTITUTE(SUBSTITUTE(SUBSTITUTE(SUBSTITUTE(SUBSTITUTE(SUBSTITUTE(SUBSTITUTE(SUBSTITUTE(SUBSTITUTE(SUBSTITUTE(SUBSTITUTE(SUBSTITUTE(SUBSTITUTE(SUBSTITUTE(SUBSTITUTE(SUBSTITUTE(SUBSTITUTE(SUBSTITUTE(LOWER(AC442&amp;""),CHAR(10)," "),CHAR(13)," "),CHAR(9)," "),CHAR(160)," "),"."," "),","," "),"-"," "),"/"," "),"("," "),")"," "),":"," "),";"," "),"_"," "),"–"," "),"?"," "),"!"," "),"*"," "),"["," "),"]"," "),"'"," "),"#"," "),"+"," "),"&amp;"," "),"\"," "))&amp;" "</f>
        <v>  </v>
      </c>
      <c r="BG442" s="61" t="n">
        <f aca="false">IFERROR(IF(AND(TRIM(U442)="Pass",SUMPRODUCT((LEN(BC442)-LEN(SUBSTITUTE(BC442," "&amp;L_ResultBad&amp;" "," ")))/(LEN(L_ResultBad)+1))&gt;SUMPRODUCT((LEN(BC442)-LEN(SUBSTITUTE(BC442," "&amp;L_NegPhrase&amp;" "," ")))/(LEN(L_NegPhrase)+1))),1,0),0)</f>
        <v>0</v>
      </c>
      <c r="BH442" s="61" t="n">
        <f aca="false">IFERROR(IF(SUMPRODUCT((LEN(BC442)-LEN(SUBSTITUTE(BC442," "&amp;L_Pending&amp;" "," ")))/(LEN(L_Pending)+1))&gt;SUMPRODUCT((LEN(BC442)-LEN(SUBSTITUTE(BC442," "&amp;L_PendNeg&amp;" "," ")))/(LEN(L_PendNeg)+1))+SUMPRODUCT((LEN(BC442)-LEN(SUBSTITUTE(BC442," "&amp;L_PendPrep&amp;" "," ")))/(LEN(L_PendPrep)+1)),1,0),1)</f>
        <v>0</v>
      </c>
      <c r="BI442" s="61" t="n">
        <f aca="false">IFERROR(IF(SUMPRODUCT((LEN(BD442)-LEN(SUBSTITUTE(BD442," "&amp;L_PendStrict&amp;" "," ")))/(LEN(L_PendStrict)+1))&gt;SUMPRODUCT((LEN(BD442)-LEN(SUBSTITUTE(BD442," "&amp;L_PendNeg&amp;" "," ")))/(LEN(L_PendNeg)+1)),1,0),1)</f>
        <v>0</v>
      </c>
      <c r="BJ442" s="61" t="n">
        <f aca="false">IFERROR(IF(SUMPRODUCT((LEN(BE442)-LEN(SUBSTITUTE(BE442," "&amp;L_Pending&amp;" "," ")))/(LEN(L_Pending)+1))&gt;SUMPRODUCT((LEN(BE442)-LEN(SUBSTITUTE(BE442," "&amp;L_PendNeg&amp;" "," ")))/(LEN(L_PendNeg)+1))+SUMPRODUCT((LEN(BE442)-LEN(SUBSTITUTE(BE442," "&amp;L_PendPrep&amp;" "," ")))/(LEN(L_PendPrep)+1)),1,0),1)</f>
        <v>0</v>
      </c>
      <c r="BK442" s="61" t="n">
        <f aca="false">IFERROR(IF(SUMPRODUCT((LEN(BF442)-LEN(SUBSTITUTE(BF442," "&amp;L_PendStrict&amp;" "," ")))/(LEN(L_PendStrict)+1))&gt;SUMPRODUCT((LEN(BF442)-LEN(SUBSTITUTE(BF442," "&amp;L_PendNeg&amp;" "," ")))/(LEN(L_PendNeg)+1)),1,0),1)</f>
        <v>0</v>
      </c>
      <c r="BL442" s="61" t="n">
        <f aca="false">IF(ISNA(MATCH(TRIM(S442),L_EvidenceType,0)),0,BZ442)</f>
        <v>0</v>
      </c>
      <c r="BM442" s="61" t="str">
        <f aca="false">SUBSTITUTE(SUBSTITUTE(SUBSTITUTE(SUBSTITUTE(SUBSTITUTE(SUBSTITUTE(SUBSTITUTE(SUBSTITUTE(SUBSTITUTE(LOWER(Z442&amp;""),"1","0"),"2","0"),"3","0"),"4","0"),"5","0"),"6","0"),"7","0"),"8","0"),"9","0")</f>
        <v/>
      </c>
      <c r="BN442" s="61" t="str">
        <f aca="false">SUBSTITUTE(SUBSTITUTE(SUBSTITUTE(SUBSTITUTE(SUBSTITUTE(SUBSTITUTE(SUBSTITUTE(SUBSTITUTE(SUBSTITUTE(SUBSTITUTE(SUBSTITUTE(SUBSTITUTE(SUBSTITUTE(SUBSTITUTE(SUBSTITUTE(SUBSTITUTE(SUBSTITUTE(SUBSTITUTE(SUBSTITUTE(SUBSTITUTE(SUBSTITUTE(SUBSTITUTE(SUBSTITUTE(SUBSTITUTE(SUBSTITUTE(BM442,"b","a"),"c","a"),"d","a"),"e","a"),"f","a"),"g","a"),"h","a"),"i","a"),"j","a"),"k","a"),"l","a"),"m","a"),"n","a"),"o","a"),"p","a"),"q","a"),"r","a"),"s","a"),"t","a"),"u","a"),"v","a"),"w","a"),"x","a"),"y","a"),"z","a")</f>
        <v/>
      </c>
      <c r="BO442" s="61" t="str">
        <f aca="false">SUBSTITUTE(SUBSTITUTE(SUBSTITUTE(SUBSTITUTE(SUBSTITUTE(SUBSTITUTE(SUBSTITUTE(SUBSTITUTE(SUBSTITUTE(LOWER(W442&amp;""),"1","0"),"2","0"),"3","0"),"4","0"),"5","0"),"6","0"),"7","0"),"8","0"),"9","0")</f>
        <v/>
      </c>
      <c r="BP442" s="61" t="str">
        <f aca="false">SUBSTITUTE(SUBSTITUTE(SUBSTITUTE(SUBSTITUTE(SUBSTITUTE(SUBSTITUTE(SUBSTITUTE(SUBSTITUTE(SUBSTITUTE(SUBSTITUTE(SUBSTITUTE(SUBSTITUTE(SUBSTITUTE(SUBSTITUTE(SUBSTITUTE(SUBSTITUTE(SUBSTITUTE(SUBSTITUTE(SUBSTITUTE(SUBSTITUTE(SUBSTITUTE(SUBSTITUTE(SUBSTITUTE(SUBSTITUTE(SUBSTITUTE(BO442,"b","a"),"c","a"),"d","a"),"e","a"),"f","a"),"g","a"),"h","a"),"i","a"),"j","a"),"k","a"),"l","a"),"m","a"),"n","a"),"o","a"),"p","a"),"q","a"),"r","a"),"s","a"),"t","a"),"u","a"),"v","a"),"w","a"),"x","a"),"y","a"),"z","a")</f>
        <v/>
      </c>
      <c r="BQ442" s="61" t="n">
        <f aca="false">IFERROR(IF(AND(ISERROR(SEARCH(" mh"," "&amp;LOWER(W442))),ISNA(MATCH(LEFT(TRIM(BP442),255),{"0000a","000a","00a","0000aa","000aa","00aa","0aa","0000aaa","000aaa","00a00","0a00","0000-0000","00:00","a00","a0","00.00.0000","00/00/0000","00-00-0000","0000-00-00","0000/00/00","0000.00.00","00.00.00","00/00/00","00-00-00","0.00.0000","0/00/0000","0-00-0000"},0)),ISNA(MATCH(LEFT(TRIM(CA442),255),{"0000a","000a","00a","0000aa","000aa","00aa","0aa","0000aaa","000aaa","00a00","0a00","0000-0000","00:00","a00","a0","00.00.0000","00/00/0000","00-00-0000","0000-00-00","0000/00/00","0000.00.00","00.00.00","00/00/00","00-00-00","0.00.0000","0/00/0000","0-00-0000"},0)),LEN(CB442)&gt;=3,NOT(OR(SUBSTITUTE(CB442,"0","")="",AND(LEN(CB442)&gt;=4,CB442=REPT(LEFT(CB442),LEN(CB442))),ISNUMBER(MATCH(CB442,{"123","1234","12345","123456","1234567","12345678","0123","01234","012345","98765","987654","54321"},0)),AND(LEN(CB442)=8,LEFT(CB442,3)="202"))),OR(AND((LEN(CA442)-LEN(SUBSTITUTE(CA442,"a","")))&gt;=1,SUMPRODUCT(--ISNUMBER(SEARCH({"a0","a-0","a_0","a/0","a.0","a#0","0a","0-a","0_a","0/a"},BP442)))&gt;0),ISNUMBER(SEARCH("000000",BP442)))),1,0),0)</f>
        <v>0</v>
      </c>
      <c r="BR442" s="61" t="n">
        <f aca="false">IFERROR(LEN(SUBSTITUTE(CC442," ",""))-SUMPRODUCT((LEN(CC442)-LEN(SUBSTITUTE(CC442," "&amp;L_Role&amp;" "," ")))/(LEN(L_Role)+1)*LEN(L_Role)),0)</f>
        <v>0</v>
      </c>
      <c r="BS442" s="61" t="n">
        <f aca="false">IFERROR(LEN(SUBSTITUTE(CD442," ",""))-SUMPRODUCT((LEN(CD442)-LEN(SUBSTITUTE(CD442," "&amp;L_Role&amp;" "," ")))/(LEN(L_Role)+1)*LEN(L_Role)),0)</f>
        <v>0</v>
      </c>
      <c r="BT4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442,"revision",""),"version",""),"jan",""),"feb",""),"mar",""),"apr",""),"may",""),"jun",""),"jul",""),"aug",""),"sep",""),"oct",""),"nov",""),"dec",""),"utc",""),"gmt",""),"myt",""),"bst",""),"rev",""),"ver",""),"b","a"),"c","a"),"d","a"),"e","a"),"f","a"),"g","a"),"h","a"),"i","a"),"j","a"),"k","a"),"l","a"),"m","a"),"n","a"),"o","a"),"p","a"),"q","a"),"r","a"),"s","a"),"t","a"),"u","a"),"v","a"),"w","a"),"x","a"),"y","a"),"z","a")</f>
        <v/>
      </c>
      <c r="BU442" s="61" t="str">
        <f aca="false">SUBSTITUTE(SUBSTITUTE(SUBSTITUTE(SUBSTITUTE(SUBSTITUTE(SUBSTITUTE(SUBSTITUTE(SUBSTITUTE(SUBSTITUTE(SUBSTITUTE(LEFT(BM442,FIND("0",BM442&amp;"0")-1),"-",""),"_",""),"/",""),".",""),"#",""),"\\",""),":","")," ",""),"(",""),")","")</f>
        <v/>
      </c>
      <c r="BV442" s="61" t="n">
        <f aca="false">0</f>
        <v>0</v>
      </c>
      <c r="BW4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442&amp;""),"a",""),"b",""),"c",""),"d",""),"e",""),"f",""),"g",""),"h",""),"i",""),"j",""),"k",""),"l",""),"m",""),"n",""),"o",""),"p",""),"q",""),"r",""),"s",""),"t",""),"u",""),"v",""),"w",""),"x",""),"y",""),"z",""),"-",""),"_",""),"/",""),".",""),"#",""),"\\",""),":","")," ",""),"(",""),")","")</f>
        <v/>
      </c>
      <c r="BX442" s="61" t="str">
        <f aca="false">SUBSTITUTE(SUBSTITUTE(SUBSTITUTE(SUBSTITUTE(SUBSTITUTE(SUBSTITUTE(SUBSTITUTE(SUBSTITUTE(SUBSTITUTE(SUBSTITUTE(SUBSTITUTE(BM442,"0",""),"-",""),"_",""),"/",""),".",""),"#",""),"\\",""),":","")," ",""),"(",""),")","")</f>
        <v/>
      </c>
      <c r="BY442" s="62" t="n">
        <f aca="false">Q442-T12EarlyH/24</f>
        <v>46308.0104166667</v>
      </c>
      <c r="BZ442" s="61" t="n">
        <f aca="false">IFERROR(IF(IF(TRIM(S442)="Link / file path",AND(LEN(TRIM(Z442))&gt;=5,SUMPRODUCT(--ISNUMBER(SEARCH({"http","www.","\\",":\",".pdf",".jpg",".jpeg",".png",".heic",".xls",".doc",".msg",".eml",".ppt",".txt",".zip"},Z442)))&gt;0),AND(ISERROR(FIND(" ",TRIM(Z442))),NOT(OR(SUMPRODUCT(--ISNUMBER(FIND({",",";","&amp;","+"},Z442)))&gt;0,SUMPRODUCT(--ISNUMBER(SEARCH({"0/aa","0\\aa"},BN442)))&gt;0)),NOT(SUMPRODUCT(--ISNUMBER(SEARCH({"http","www.","\\",":\",".pdf",".jpg",".jpeg",".png",".heic",".xls",".doc",".msg",".eml",".ppt",".txt",".zip"},Z442)))&gt;0),NOT(LOWER(TRIM(Z442))=LOWER(Flights!$F$17)),ISNA(MATCH(BU442,{"mh","rev","revision","ver","version","v","r","a","b","seat","tray","row","gate","bay","stand","page","pg","item","line","no","cart","galley","flight","flt","table","box","bag","oven","etd","eta","std","sta","atd","ata","qty","pax","x","time","tel","ph","mob","day","wk","week","utc","gmt","myt","lt"},0)),NOT(OR(ISNUMBER(MATCH(LEFT(BN442,255),{"0000a","000a","00a","0000aa","000aa","00aa","0aa","0000aaa","000aaa","00a00","0a00","0000-0000","00:00","a00","a0","00.00.0000","00/00/0000","00-00-0000","0000-00-00","0000/00/00","0000.00.00","00.00.00","00/00/00","00-00-00","0.00.0000","0/00/0000","0-00-0000"},0)),ISNUMBER(MATCH(LEFT(BT442,255),{"0000a","000a","00a","0000aa","000aa","00aa","0aa","0000aaa","000aaa","00a00","0a00","0000-0000","00:00","a00","a0","00.00.0000","00/00/0000","00-00-0000","0000-00-00","0000/00/00","0000.00.00","00.00.00","00/00/00","00-00-00","0.00.0000","0/00/0000","0-00-0000"},0)))),NOT(OR(AND(BW442&lt;&gt;"",SUBSTITUTE(BW442,"0","")=""),AND(LEN(BW442)&gt;=4,BW442=REPT(LEFT(BW442),LEN(BW442))),ISNUMBER(MATCH(BW442,{"123","1234","12345","123456","1234567","12345678","0123","01234","012345","98765","987654","54321"},0)),ISNUMBER(MATCH(BX442,{"x","xx","xxx","xxxx","xxxxx","abc","abcd","nil","na","nan","test","tbc","tba","tbd","dummy","sample","example","eg","zz","zzz","none","null","xyz","qwe","asd","id","ref"},0)),AND(LEN(BW442)=8,BX442="",OR(LEFT(BW442,3)="202",ISNUMBER(MATCH(RIGHT(BW442,4),{"2025","2026","2027"},0)))))),OR(AND((LEN(BT442)-LEN(SUBSTITUTE(BT442,"a","")))&gt;=1,(LEN(BN442)-LEN(SUBSTITUTE(BN442,"0","")))&gt;=2,SUMPRODUCT(--ISNUMBER(SEARCH({"a0","a-0","a_0","a/0","a.0","a#0","0a","0-a","0_a","0/a"},BN442)))&gt;0),AND((LEN(BN442)-LEN(SUBSTITUTE(BN442,"a","")))=0,(LEN(BN442)-LEN(SUBSTITUTE(BN442,"0","")))&gt;=5)))),1,0),0)</f>
        <v>0</v>
      </c>
      <c r="CA4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442,"revision",""),"version",""),"jan",""),"feb",""),"mar",""),"apr",""),"may",""),"jun",""),"jul",""),"aug",""),"sep",""),"oct",""),"nov",""),"dec",""),"utc",""),"gmt",""),"myt",""),"bst",""),"rev",""),"ver",""),"b","a"),"c","a"),"d","a"),"e","a"),"f","a"),"g","a"),"h","a"),"i","a"),"j","a"),"k","a"),"l","a"),"m","a"),"n","a"),"o","a"),"p","a"),"q","a"),"r","a"),"s","a"),"t","a"),"u","a"),"v","a"),"w","a"),"x","a"),"y","a"),"z","a")</f>
        <v/>
      </c>
      <c r="CB4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442&amp;""),"a",""),"b",""),"c",""),"d",""),"e",""),"f",""),"g",""),"h",""),"i",""),"j",""),"k",""),"l",""),"m",""),"n",""),"o",""),"p",""),"q",""),"r",""),"s",""),"t",""),"u",""),"v",""),"w",""),"x",""),"y",""),"z",""),"-",""),"_",""),"/",""),".",""),"#",""),"\\",""),":","")," ",""),"(",""),")","")</f>
        <v/>
      </c>
      <c r="CC442" s="0" t="str">
        <f aca="false">" "&amp;TRIM(SUBSTITUTE(SUBSTITUTE(SUBSTITUTE(SUBSTITUTE(SUBSTITUTE(SUBSTITUTE(SUBSTITUTE(SUBSTITUTE(SUBSTITUTE(SUBSTITUTE(SUBSTITUTE(SUBSTITUTE(SUBSTITUTE(SUBSTITUTE(SUBSTITUTE(SUBSTITUTE(SUBSTITUTE(SUBSTITUTE(SUBSTITUTE(SUBSTITUTE(SUBSTITUTE(SUBSTITUTE(SUBSTITUTE(SUBSTITUTE(LOWER(T442&amp;""),CHAR(10)," "),CHAR(13)," "),CHAR(9)," "),CHAR(160)," "),"."," "),","," "),"-"," "),"/"," "),"("," "),")"," "),":"," "),";"," "),"_"," "),"–"," "),"?"," "),"!"," "),"*"," "),"["," "),"]"," "),"'"," "),"#"," "),"+"," "),"&amp;"," "),"\"," "))&amp;" "</f>
        <v>  </v>
      </c>
      <c r="CD442" s="0" t="str">
        <f aca="false">" "&amp;TRIM(SUBSTITUTE(SUBSTITUTE(SUBSTITUTE(SUBSTITUTE(SUBSTITUTE(SUBSTITUTE(SUBSTITUTE(SUBSTITUTE(SUBSTITUTE(SUBSTITUTE(SUBSTITUTE(SUBSTITUTE(SUBSTITUTE(SUBSTITUTE(SUBSTITUTE(SUBSTITUTE(SUBSTITUTE(SUBSTITUTE(SUBSTITUTE(SUBSTITUTE(SUBSTITUTE(SUBSTITUTE(SUBSTITUTE(SUBSTITUTE(LOWER(AE442&amp;""),CHAR(10)," "),CHAR(13)," "),CHAR(9)," "),CHAR(160)," "),"."," "),","," "),"-"," "),"/"," "),"("," "),")"," "),":"," "),";"," "),"_"," "),"–"," "),"?"," "),"!"," "),"*"," "),"["," "),"]"," "),"'"," "),"#"," "),"+"," "),"&amp;"," "),"\"," "))&amp;" "</f>
        <v>  </v>
      </c>
      <c r="CE442" s="68" t="n">
        <f aca="false">IFERROR(IF(AND(LEN(AU442)&gt;0,LEN(AU442)=LEN(AX442),OR(TRIM(MID(SUBSTITUTE(TRIM(CC442)," ",REPT(" ",60)),1,60))="",ISNUMBER(SEARCH(" "&amp;TRIM(MID(SUBSTITUTE(TRIM(CC442)," ",REPT(" ",60)),1,60))&amp;" ",CD442))),OR(TRIM(MID(SUBSTITUTE(TRIM(CC442)," ",REPT(" ",60)),61,60))="",ISNUMBER(SEARCH(" "&amp;TRIM(MID(SUBSTITUTE(TRIM(CC442)," ",REPT(" ",60)),61,60))&amp;" ",CD442))),OR(TRIM(MID(SUBSTITUTE(TRIM(CC442)," ",REPT(" ",60)),121,60))="",ISNUMBER(SEARCH(" "&amp;TRIM(MID(SUBSTITUTE(TRIM(CC442)," ",REPT(" ",60)),121,60))&amp;" ",CD442)))),1,0),0)</f>
        <v>0</v>
      </c>
      <c r="CG442" s="68" t="n">
        <f aca="false">IFERROR(LEN(SUBSTITUTE(BF442," ",""))-SUMPRODUCT((LEN(BF442)-LEN(SUBSTITUTE(BF442," "&amp;L_NAFiller&amp;" "," ")))/(LEN(L_NAFiller)+1)*LEN(L_NAFiller)),0)</f>
        <v>0</v>
      </c>
    </row>
    <row r="443" customFormat="false" ht="78.75" hidden="false" customHeight="true" outlineLevel="0" collapsed="false">
      <c r="A443" s="57" t="s">
        <v>1080</v>
      </c>
      <c r="B443" s="57" t="s">
        <v>272</v>
      </c>
      <c r="C443" s="57" t="str">
        <f aca="false">Flights!$F$17</f>
        <v>MH0138</v>
      </c>
      <c r="D443" s="58" t="n">
        <f aca="false">Flights!$D$17</f>
        <v>46309</v>
      </c>
      <c r="E443" s="57" t="str">
        <f aca="false">Flights!$G$17&amp;"-"&amp;Flights!$H$17</f>
        <v>ADL-KUL</v>
      </c>
      <c r="F443" s="57" t="str">
        <f aca="false">Flights!$K$17</f>
        <v>EY</v>
      </c>
      <c r="G443" s="57" t="s">
        <v>420</v>
      </c>
      <c r="H443" s="57" t="s">
        <v>378</v>
      </c>
      <c r="I443" s="57" t="s">
        <v>428</v>
      </c>
      <c r="J443" s="57" t="s">
        <v>435</v>
      </c>
      <c r="K443" s="67" t="s">
        <v>1011</v>
      </c>
      <c r="L443" s="67" t="s">
        <v>422</v>
      </c>
      <c r="M443" s="67"/>
      <c r="N443" s="67" t="s">
        <v>383</v>
      </c>
      <c r="O443" s="67" t="s">
        <v>423</v>
      </c>
      <c r="P443" s="57" t="s">
        <v>263</v>
      </c>
      <c r="Q443" s="59" t="n">
        <f aca="false">ROUND((Flights!$AE$17)*1440,0)/1440</f>
        <v>46308.5104166667</v>
      </c>
      <c r="R443" s="59" t="n">
        <f aca="false">Q443+(IF(AND(INDEX(TZ_DSTS,MATCH(P443,TZ_STN,0))&lt;&gt;"",Q443&gt;=INDEX(TZ_DSTS,MATCH(P443,TZ_STN,0)),Q443&lt;INDEX(TZ_DSTE,MATCH(P443,TZ_STN,0))),INDEX(TZ_DST,MATCH(P443,TZ_STN,0)),INDEX(TZ_STD,MATCH(P443,TZ_STN,0))))/24</f>
        <v>46308.9479166667</v>
      </c>
      <c r="S443" s="60"/>
      <c r="T443" s="60"/>
      <c r="U443" s="60"/>
      <c r="V443" s="60"/>
      <c r="W443" s="61"/>
      <c r="X443" s="60"/>
      <c r="Y443" s="60"/>
      <c r="Z443" s="60"/>
      <c r="AA443" s="60"/>
      <c r="AB443" s="60"/>
      <c r="AC443" s="60"/>
      <c r="AD443" s="66"/>
      <c r="AE443" s="60"/>
      <c r="AF443" s="61" t="str">
        <f aca="false">IF(AND(ISNUMBER(X443),ISNUMBER(Y443)),Y443-X443,"")</f>
        <v/>
      </c>
      <c r="AG443" s="62" t="str">
        <f aca="false">IF(ISNUMBER(AD443),AD443-(IF(AND(INDEX(TZ_DSTS,MATCH(P443,TZ_STN,0))&lt;&gt;"",(AD443-INDEX(TZ_STD,MATCH(P443,TZ_STN,0))/24)&gt;=INDEX(TZ_DSTS,MATCH(P443,TZ_STN,0)),(AD443-INDEX(TZ_STD,MATCH(P443,TZ_STN,0))/24)&lt;INDEX(TZ_DSTE,MATCH(P443,TZ_STN,0))),INDEX(TZ_DST,MATCH(P443,TZ_STN,0)),INDEX(TZ_STD,MATCH(P443,TZ_STN,0))))/24,"")</f>
        <v/>
      </c>
      <c r="AH443" s="65" t="str">
        <f aca="false">IFERROR(IF(N443="N/A – rule",IF(OR(TRIM(U443)="",TRIM(U443)="N/A",TRIM(U443)="Not started"),"N/A – RULE","INVALID – this check does not apply to this aircraft: clear the status (or correct the fleet on Flights)"),IF(TRIM(U443)="N/A",IF(AT443=0,"INVALID – N/A not permitted for this check",IF(AND(TRIM(AB443)&lt;&gt;"",TRIM(AB443)&lt;&gt;"Closed"),"INVALID – corrective action still open",IF(AND(NOT(OR(LEN(AZ443)&lt;15,ISNUMBER(MATCH(AZ443,L_Placeholder,0)))),BK443=0,CG443&gt;=8,NOT(OR(LEN(AU443)&lt;2,ISNUMBER(MATCH(AU443,L_Placeholder,0)))),BR443&gt;=3,NOT(OR(LEN(AX443)&lt;2,ISNUMBER(MATCH(AX443,L_Placeholder,0)))),BS443&gt;=3,TRIM(AE443)&lt;&gt;TRIM(T443),AX443&lt;&gt;AU443,CE443=0),"N/A – JUSTIFIED","INVALID – N/A needs a real, settled reason (not 'not applicable' / 'as above' / TBC), a named PIC and a different named verifier"))),IF(OR(TRIM(U443)="Pass",TRIM(U443)="Pass after CA"),IF(NOT(ISNUMBER(AD443)),"INVALID – completion time missing",IF(OR(OR(LEN(AU443)&lt;2,ISNUMBER(MATCH(AU443,L_Placeholder,0))),BR443&lt;3),"INVALID – PIC missing or not a named person (a role such as QA / CSM is not a name)",IF(OR(LEN(AV443)&lt;2,ISNUMBER(MATCH(AV443,L_Placeholder,0))),"INVALID – result / assessment missing",IF(OR(OR(LEN(AW443)&lt;3,ISNUMBER(MATCH(AW443,L_Placeholder,0))),SUMPRODUCT(--ISNUMBER(SEARCH(" "&amp;L_EvidencePhrase&amp;" ",BD443)))&gt;0,BI443=1),"INVALID – evidence missing, placeholder or not yet on file",IF(ISNA(MATCH(TRIM(S443),L_EvidenceType,0)),"INVALID – choose the evidence type from the list (column S)",IF(BL443=0,"INVALID – evidence ID must be the record's own ID only (e.g. SF-2210, IMG_2231, 1045521); a link / file name needs type 'Link / file path'",IF(OR(OR(LEN(AX443)&lt;2,ISNUMBER(MATCH(AX443,L_Placeholder,0))),BS443&lt;3),"INVALID – verifier missing or not a named person (a role such as QA / CSM is not a name)",IF(OR(AX443=AU443,CE443=1,AND(LEN(AU443)&gt;=4,ISNUMBER(SEARCH(AU443,AX443))),AND(LEN(AX443)&gt;=4,ISNUMBER(SEARCH(AX443,AU443)))),"INVALID – verifier must be a different, named person (not the PIC or a role)",IF(BH443=1,"INVALID – result not yet available (awaiting / TBC)",IF(BG443=1,"INVALID – result describes a problem: record Fail, then Pass after CA (or reword if it is not a problem)",IF(BV443=1,"INVALID – wording says not on board: an on-board confirmation needs the item loaded",IF(AND(AQ443=1,OR(OR(LEN(AY443)&lt;3,ISNUMBER(MATCH(AY443,L_Placeholder,0))),BJ443=1,BQ443=0)),"INVALID – batch ID missing, placeholder or not an ID (e.g. PASB-261008-BC-017)",IF(AND(AR443=1,OR(NOT(ISNUMBER(X443)),NOT(ISNUMBER(Y443)))),"INVALID – expected/actual qty missing",IF(AND(AR443=1,OR(X443&lt;=0,Y443&lt;0)),"INVALID – expected qty must be above 0 and actual not negative",IF(BB443&lt;&gt;"",BB443,IF(AND(AS443=1,Documents!$J$17&lt;&gt;"ON FILE"),"INVALID – GLD not on file (Documents sheet)",IF(AND(AS443=2,Documents!$O$17&lt;&gt;"ON FILE"),"INVALID – menu checklist not on file (Documents sheet)",IF(AND(AS443=3,NOT(ISNUMBER(Flights!$AX$17))),"INVALID – enter carrying flight KUL departure (Flights AX)",IF(AND(AS443=3,OR(Flights!$AZ$17&gt;Flights!$AA$17,Flights!$AX$17&lt;Flights!$AA$17-3)),"INVALID – carrying flight (Flights AX) cannot arrive before this leg's STD, or is over 3 days early",IF(AG443&gt;AsOfUTC,"INVALID – completion time is in the future",IF(AND(ISNUMBER(BY443),AG443&lt;BY443),IF(H443="Physical uplift","INVALID – before uplift window (cannot confirm loading)","INVALID – before valid window"),IF(AG443&gt;Flights!$AA$17,"INVALID – completed after departure (cannot establish readiness)",IF(AND(H443="Preparation",AG443&gt;=IF(ISNUMBER(Flights!$BA$17),MIN(Flights!$BA$17,Flights!$AA$17),Flights!$AA$17)),"INVALID – completed after loading / departure (cannot establish readiness)",IF(AND(H443="Physical uplift",AG443&gt;Q443),"INVALID – recorded after the loading flight departed",IF(AG443&gt;Q443,"COMPLETE – LATE","COMPLETE"))))))))))))))))))))))))),IF(TRIM(U443)="Fail","FAIL – DISCREPANCY",IF(AND(TRIM(U443)&lt;&gt;"",TRIM(U443)&lt;&gt;"Not started",TRIM(U443)&lt;&gt;"In progress"),"INVALID – unrecognised status (use the list)",IF(AsOfUTC&gt;Q443,"OVERDUE",IF(N443="Clarification required","OPEN – CLARIFICATION","OPEN"))))))),"INVALID – error value in an input cell")</f>
        <v>OPEN</v>
      </c>
      <c r="AI443" s="61" t="n">
        <f aca="false">IF(OR(AH443="N/A – RULE",AH443="N/A – JUSTIFIED"),0,1)</f>
        <v>1</v>
      </c>
      <c r="AJ443" s="61" t="n">
        <f aca="false">IF(LEFT(AH443,8)="COMPLETE",1,0)</f>
        <v>0</v>
      </c>
      <c r="AK443" s="61" t="n">
        <f aca="false">IF(AND(AI443=1,AJ443=0,AsOfUTC&gt;Q443),1,0)</f>
        <v>0</v>
      </c>
      <c r="AL443" s="61" t="n">
        <f aca="false">IFERROR(IF(AND(AI443=1,OR(TRIM(U443)="Fail",AND(TRIM(AB443)&lt;&gt;"",TRIM(AB443)&lt;&gt;"Closed"),AND(ISNUMBER(AF443),AF443&lt;&gt;0,TRIM(U443)&lt;&gt;"Pass after CA"))),1,0),1)</f>
        <v>0</v>
      </c>
      <c r="AM443" s="61" t="n">
        <f aca="false">IF(LEFT(AH443,7)="INVALID",1,0)</f>
        <v>0</v>
      </c>
      <c r="AN443" s="61" t="n">
        <f aca="false">IF(AND(N443="Clarification required",AI443=1,AJ443=0),1,0)</f>
        <v>0</v>
      </c>
      <c r="AO443" s="61" t="str">
        <f aca="false">IF(AK443=1,SUM(AK$5:AK443),"")</f>
        <v/>
      </c>
      <c r="AP443" s="61" t="str">
        <f aca="false">IF(AL443=1,SUM(AL$5:AL443),"")</f>
        <v/>
      </c>
      <c r="AQ443" s="61" t="n">
        <v>0</v>
      </c>
      <c r="AR443" s="61" t="n">
        <v>1</v>
      </c>
      <c r="AS443" s="61" t="n">
        <v>0</v>
      </c>
      <c r="AT443" s="61" t="n">
        <v>0</v>
      </c>
      <c r="AU443" s="61" t="str">
        <f aca="false">SUBSTITUTE(SUBSTITUTE(SUBSTITUTE(SUBSTITUTE(SUBSTITUTE(SUBSTITUTE(SUBSTITUTE(SUBSTITUTE(SUBSTITUTE(SUBSTITUTE(SUBSTITUTE(SUBSTITUTE(SUBSTITUTE(SUBSTITUTE(SUBSTITUTE(SUBSTITUTE(LOWER(T443&amp;""),CHAR(10),""),CHAR(13),""),CHAR(9),""),CHAR(160),"")," ",""),".",""),"-",""),"/",""),"?",""),"_",""),",",""),"[",""),"]",""),"(",""),")",""),"*","")</f>
        <v/>
      </c>
      <c r="AV443" s="61" t="str">
        <f aca="false">SUBSTITUTE(SUBSTITUTE(SUBSTITUTE(SUBSTITUTE(SUBSTITUTE(SUBSTITUTE(SUBSTITUTE(SUBSTITUTE(SUBSTITUTE(SUBSTITUTE(SUBSTITUTE(SUBSTITUTE(SUBSTITUTE(SUBSTITUTE(SUBSTITUTE(SUBSTITUTE(LOWER(V443&amp;""),CHAR(10),""),CHAR(13),""),CHAR(9),""),CHAR(160),"")," ",""),".",""),"-",""),"/",""),"?",""),"_",""),",",""),"[",""),"]",""),"(",""),")",""),"*","")</f>
        <v/>
      </c>
      <c r="AW443" s="61" t="str">
        <f aca="false">SUBSTITUTE(SUBSTITUTE(SUBSTITUTE(SUBSTITUTE(SUBSTITUTE(SUBSTITUTE(SUBSTITUTE(SUBSTITUTE(SUBSTITUTE(SUBSTITUTE(SUBSTITUTE(SUBSTITUTE(SUBSTITUTE(SUBSTITUTE(SUBSTITUTE(SUBSTITUTE(LOWER(Z443&amp;""),CHAR(10),""),CHAR(13),""),CHAR(9),""),CHAR(160),"")," ",""),".",""),"-",""),"/",""),"?",""),"_",""),",",""),"[",""),"]",""),"(",""),")",""),"*","")</f>
        <v/>
      </c>
      <c r="AX443" s="61" t="str">
        <f aca="false">SUBSTITUTE(SUBSTITUTE(SUBSTITUTE(SUBSTITUTE(SUBSTITUTE(SUBSTITUTE(SUBSTITUTE(SUBSTITUTE(SUBSTITUTE(SUBSTITUTE(SUBSTITUTE(SUBSTITUTE(SUBSTITUTE(SUBSTITUTE(SUBSTITUTE(SUBSTITUTE(LOWER(AE443&amp;""),CHAR(10),""),CHAR(13),""),CHAR(9),""),CHAR(160),"")," ",""),".",""),"-",""),"/",""),"?",""),"_",""),",",""),"[",""),"]",""),"(",""),")",""),"*","")</f>
        <v/>
      </c>
      <c r="AY443" s="61" t="str">
        <f aca="false">SUBSTITUTE(SUBSTITUTE(SUBSTITUTE(SUBSTITUTE(SUBSTITUTE(SUBSTITUTE(SUBSTITUTE(SUBSTITUTE(SUBSTITUTE(SUBSTITUTE(SUBSTITUTE(SUBSTITUTE(SUBSTITUTE(SUBSTITUTE(SUBSTITUTE(SUBSTITUTE(LOWER(W443&amp;""),CHAR(10),""),CHAR(13),""),CHAR(9),""),CHAR(160),"")," ",""),".",""),"-",""),"/",""),"?",""),"_",""),",",""),"[",""),"]",""),"(",""),")",""),"*","")</f>
        <v/>
      </c>
      <c r="AZ443" s="61" t="str">
        <f aca="false">SUBSTITUTE(SUBSTITUTE(SUBSTITUTE(SUBSTITUTE(SUBSTITUTE(SUBSTITUTE(SUBSTITUTE(SUBSTITUTE(SUBSTITUTE(SUBSTITUTE(SUBSTITUTE(SUBSTITUTE(SUBSTITUTE(SUBSTITUTE(SUBSTITUTE(SUBSTITUTE(LOWER(AC443&amp;""),CHAR(10),""),CHAR(13),""),CHAR(9),""),CHAR(160),"")," ",""),".",""),"-",""),"/",""),"?",""),"_",""),",",""),"[",""),"]",""),"(",""),")",""),"*","")</f>
        <v/>
      </c>
      <c r="BA443" s="61" t="str">
        <f aca="false">SUBSTITUTE(SUBSTITUTE(SUBSTITUTE(SUBSTITUTE(SUBSTITUTE(SUBSTITUTE(SUBSTITUTE(SUBSTITUTE(SUBSTITUTE(SUBSTITUTE(SUBSTITUTE(SUBSTITUTE(SUBSTITUTE(SUBSTITUTE(SUBSTITUTE(SUBSTITUTE(LOWER(AA443&amp;""),CHAR(10),""),CHAR(13),""),CHAR(9),""),CHAR(160),"")," ",""),".",""),"-",""),"/",""),"?",""),"_",""),",",""),"[",""),"]",""),"(",""),")",""),"*","")</f>
        <v/>
      </c>
      <c r="BB443" s="61" t="str">
        <f aca="false">IF(AND(TRIM(U443)="Pass",ISNUMBER(AF443)),IF(AF443&lt;&gt;0,"INVALID – qty variance: use Fail or Pass after CA",""),"")&amp;IF(AND(TRIM(U443)="Pass after CA",ISNUMBER(AF443)),IF(AF443&lt;&gt;0,"INVALID – after the corrective action the actual qty must equal expected (update Actual)",""),"")&amp;IF(AND(TRIM(U443)="Pass",TRIM(AB443)&lt;&gt;"",TRIM(AB443)&lt;&gt;"Closed"),"INVALID – corrective action not closed: use Fail, then Pass after CA","")&amp;IF(AND(LEN(BA443)&gt;=2,ISNA(MATCH(LEFT(BA443,255),L_Placeholder,0)),TRIM(AB443)=""),"INVALID – CA status missing for the recorded corrective action","")&amp;IF(AND(TRIM(U443)="Pass after CA",OR(OR(LEN(BA443)&lt;5,ISNUMBER(MATCH(BA443,L_Placeholder,0))),TRIM(AB443)&lt;&gt;"Closed")),"INVALID – corrective action not recorded/closed","")</f>
        <v/>
      </c>
      <c r="BC443" s="61" t="str">
        <f aca="false">" "&amp;TRIM(SUBSTITUTE(SUBSTITUTE(SUBSTITUTE(SUBSTITUTE(SUBSTITUTE(SUBSTITUTE(SUBSTITUTE(SUBSTITUTE(SUBSTITUTE(SUBSTITUTE(SUBSTITUTE(SUBSTITUTE(SUBSTITUTE(SUBSTITUTE(SUBSTITUTE(SUBSTITUTE(SUBSTITUTE(SUBSTITUTE(SUBSTITUTE(SUBSTITUTE(SUBSTITUTE(SUBSTITUTE(SUBSTITUTE(SUBSTITUTE(LOWER(V443&amp;""),CHAR(10)," "),CHAR(13)," "),CHAR(9)," "),CHAR(160)," "),"."," "),","," "),"-"," "),"/"," "),"("," "),")"," "),":"," "),";"," "),"_"," "),"–"," "),"?"," "),"!"," "),"*"," "),"["," "),"]"," "),"'"," "),"#"," "),"+"," "),"&amp;"," "),"\"," "))&amp;" "</f>
        <v>  </v>
      </c>
      <c r="BD443" s="61" t="str">
        <f aca="false">" "&amp;TRIM(SUBSTITUTE(SUBSTITUTE(SUBSTITUTE(SUBSTITUTE(SUBSTITUTE(SUBSTITUTE(SUBSTITUTE(SUBSTITUTE(SUBSTITUTE(SUBSTITUTE(SUBSTITUTE(SUBSTITUTE(SUBSTITUTE(SUBSTITUTE(SUBSTITUTE(SUBSTITUTE(SUBSTITUTE(SUBSTITUTE(SUBSTITUTE(SUBSTITUTE(SUBSTITUTE(SUBSTITUTE(SUBSTITUTE(SUBSTITUTE(LOWER(Z443&amp;""),CHAR(10)," "),CHAR(13)," "),CHAR(9)," "),CHAR(160)," "),"."," "),","," "),"-"," "),"/"," "),"("," "),")"," "),":"," "),";"," "),"_"," "),"–"," "),"?"," "),"!"," "),"*"," "),"["," "),"]"," "),"'"," "),"#"," "),"+"," "),"&amp;"," "),"\"," "))&amp;" "</f>
        <v>  </v>
      </c>
      <c r="BE443" s="61" t="str">
        <f aca="false">" "&amp;TRIM(SUBSTITUTE(SUBSTITUTE(SUBSTITUTE(SUBSTITUTE(SUBSTITUTE(SUBSTITUTE(SUBSTITUTE(SUBSTITUTE(SUBSTITUTE(SUBSTITUTE(SUBSTITUTE(SUBSTITUTE(SUBSTITUTE(SUBSTITUTE(SUBSTITUTE(SUBSTITUTE(SUBSTITUTE(SUBSTITUTE(SUBSTITUTE(SUBSTITUTE(SUBSTITUTE(SUBSTITUTE(SUBSTITUTE(SUBSTITUTE(LOWER(W443&amp;""),CHAR(10)," "),CHAR(13)," "),CHAR(9)," "),CHAR(160)," "),"."," "),","," "),"-"," "),"/"," "),"("," "),")"," "),":"," "),";"," "),"_"," "),"–"," "),"?"," "),"!"," "),"*"," "),"["," "),"]"," "),"'"," "),"#"," "),"+"," "),"&amp;"," "),"\"," "))&amp;" "</f>
        <v>  </v>
      </c>
      <c r="BF443" s="61" t="str">
        <f aca="false">" "&amp;TRIM(SUBSTITUTE(SUBSTITUTE(SUBSTITUTE(SUBSTITUTE(SUBSTITUTE(SUBSTITUTE(SUBSTITUTE(SUBSTITUTE(SUBSTITUTE(SUBSTITUTE(SUBSTITUTE(SUBSTITUTE(SUBSTITUTE(SUBSTITUTE(SUBSTITUTE(SUBSTITUTE(SUBSTITUTE(SUBSTITUTE(SUBSTITUTE(SUBSTITUTE(SUBSTITUTE(SUBSTITUTE(SUBSTITUTE(SUBSTITUTE(LOWER(AC443&amp;""),CHAR(10)," "),CHAR(13)," "),CHAR(9)," "),CHAR(160)," "),"."," "),","," "),"-"," "),"/"," "),"("," "),")"," "),":"," "),";"," "),"_"," "),"–"," "),"?"," "),"!"," "),"*"," "),"["," "),"]"," "),"'"," "),"#"," "),"+"," "),"&amp;"," "),"\"," "))&amp;" "</f>
        <v>  </v>
      </c>
      <c r="BG443" s="61" t="n">
        <f aca="false">IFERROR(IF(AND(TRIM(U443)="Pass",SUMPRODUCT((LEN(BC443)-LEN(SUBSTITUTE(BC443," "&amp;L_ResultBad&amp;" "," ")))/(LEN(L_ResultBad)+1))&gt;SUMPRODUCT((LEN(BC443)-LEN(SUBSTITUTE(BC443," "&amp;L_NegPhrase&amp;" "," ")))/(LEN(L_NegPhrase)+1))),1,0),0)</f>
        <v>0</v>
      </c>
      <c r="BH443" s="61" t="n">
        <f aca="false">IFERROR(IF(SUMPRODUCT((LEN(BC443)-LEN(SUBSTITUTE(BC443," "&amp;L_Pending&amp;" "," ")))/(LEN(L_Pending)+1))&gt;SUMPRODUCT((LEN(BC443)-LEN(SUBSTITUTE(BC443," "&amp;L_PendNeg&amp;" "," ")))/(LEN(L_PendNeg)+1))+SUMPRODUCT((LEN(BC443)-LEN(SUBSTITUTE(BC443," "&amp;L_PendPrep&amp;" "," ")))/(LEN(L_PendPrep)+1)),1,0),1)</f>
        <v>0</v>
      </c>
      <c r="BI443" s="61" t="n">
        <f aca="false">IFERROR(IF(SUMPRODUCT((LEN(BD443)-LEN(SUBSTITUTE(BD443," "&amp;L_PendStrict&amp;" "," ")))/(LEN(L_PendStrict)+1))&gt;SUMPRODUCT((LEN(BD443)-LEN(SUBSTITUTE(BD443," "&amp;L_PendNeg&amp;" "," ")))/(LEN(L_PendNeg)+1)),1,0),1)</f>
        <v>0</v>
      </c>
      <c r="BJ443" s="61" t="n">
        <f aca="false">IFERROR(IF(SUMPRODUCT((LEN(BE443)-LEN(SUBSTITUTE(BE443," "&amp;L_Pending&amp;" "," ")))/(LEN(L_Pending)+1))&gt;SUMPRODUCT((LEN(BE443)-LEN(SUBSTITUTE(BE443," "&amp;L_PendNeg&amp;" "," ")))/(LEN(L_PendNeg)+1))+SUMPRODUCT((LEN(BE443)-LEN(SUBSTITUTE(BE443," "&amp;L_PendPrep&amp;" "," ")))/(LEN(L_PendPrep)+1)),1,0),1)</f>
        <v>0</v>
      </c>
      <c r="BK443" s="61" t="n">
        <f aca="false">IFERROR(IF(SUMPRODUCT((LEN(BF443)-LEN(SUBSTITUTE(BF443," "&amp;L_PendStrict&amp;" "," ")))/(LEN(L_PendStrict)+1))&gt;SUMPRODUCT((LEN(BF443)-LEN(SUBSTITUTE(BF443," "&amp;L_PendNeg&amp;" "," ")))/(LEN(L_PendNeg)+1)),1,0),1)</f>
        <v>0</v>
      </c>
      <c r="BL443" s="61" t="n">
        <f aca="false">IF(ISNA(MATCH(TRIM(S443),L_EvidenceType,0)),0,BZ443)</f>
        <v>0</v>
      </c>
      <c r="BM443" s="61" t="str">
        <f aca="false">SUBSTITUTE(SUBSTITUTE(SUBSTITUTE(SUBSTITUTE(SUBSTITUTE(SUBSTITUTE(SUBSTITUTE(SUBSTITUTE(SUBSTITUTE(LOWER(Z443&amp;""),"1","0"),"2","0"),"3","0"),"4","0"),"5","0"),"6","0"),"7","0"),"8","0"),"9","0")</f>
        <v/>
      </c>
      <c r="BN443" s="61" t="str">
        <f aca="false">SUBSTITUTE(SUBSTITUTE(SUBSTITUTE(SUBSTITUTE(SUBSTITUTE(SUBSTITUTE(SUBSTITUTE(SUBSTITUTE(SUBSTITUTE(SUBSTITUTE(SUBSTITUTE(SUBSTITUTE(SUBSTITUTE(SUBSTITUTE(SUBSTITUTE(SUBSTITUTE(SUBSTITUTE(SUBSTITUTE(SUBSTITUTE(SUBSTITUTE(SUBSTITUTE(SUBSTITUTE(SUBSTITUTE(SUBSTITUTE(SUBSTITUTE(BM443,"b","a"),"c","a"),"d","a"),"e","a"),"f","a"),"g","a"),"h","a"),"i","a"),"j","a"),"k","a"),"l","a"),"m","a"),"n","a"),"o","a"),"p","a"),"q","a"),"r","a"),"s","a"),"t","a"),"u","a"),"v","a"),"w","a"),"x","a"),"y","a"),"z","a")</f>
        <v/>
      </c>
      <c r="BO443" s="61" t="str">
        <f aca="false">SUBSTITUTE(SUBSTITUTE(SUBSTITUTE(SUBSTITUTE(SUBSTITUTE(SUBSTITUTE(SUBSTITUTE(SUBSTITUTE(SUBSTITUTE(LOWER(W443&amp;""),"1","0"),"2","0"),"3","0"),"4","0"),"5","0"),"6","0"),"7","0"),"8","0"),"9","0")</f>
        <v/>
      </c>
      <c r="BP443" s="61" t="str">
        <f aca="false">SUBSTITUTE(SUBSTITUTE(SUBSTITUTE(SUBSTITUTE(SUBSTITUTE(SUBSTITUTE(SUBSTITUTE(SUBSTITUTE(SUBSTITUTE(SUBSTITUTE(SUBSTITUTE(SUBSTITUTE(SUBSTITUTE(SUBSTITUTE(SUBSTITUTE(SUBSTITUTE(SUBSTITUTE(SUBSTITUTE(SUBSTITUTE(SUBSTITUTE(SUBSTITUTE(SUBSTITUTE(SUBSTITUTE(SUBSTITUTE(SUBSTITUTE(BO443,"b","a"),"c","a"),"d","a"),"e","a"),"f","a"),"g","a"),"h","a"),"i","a"),"j","a"),"k","a"),"l","a"),"m","a"),"n","a"),"o","a"),"p","a"),"q","a"),"r","a"),"s","a"),"t","a"),"u","a"),"v","a"),"w","a"),"x","a"),"y","a"),"z","a")</f>
        <v/>
      </c>
      <c r="BQ443" s="61" t="n">
        <f aca="false">IFERROR(IF(AND(ISERROR(SEARCH(" mh"," "&amp;LOWER(W443))),ISNA(MATCH(LEFT(TRIM(BP443),255),{"0000a","000a","00a","0000aa","000aa","00aa","0aa","0000aaa","000aaa","00a00","0a00","0000-0000","00:00","a00","a0","00.00.0000","00/00/0000","00-00-0000","0000-00-00","0000/00/00","0000.00.00","00.00.00","00/00/00","00-00-00","0.00.0000","0/00/0000","0-00-0000"},0)),ISNA(MATCH(LEFT(TRIM(CA443),255),{"0000a","000a","00a","0000aa","000aa","00aa","0aa","0000aaa","000aaa","00a00","0a00","0000-0000","00:00","a00","a0","00.00.0000","00/00/0000","00-00-0000","0000-00-00","0000/00/00","0000.00.00","00.00.00","00/00/00","00-00-00","0.00.0000","0/00/0000","0-00-0000"},0)),LEN(CB443)&gt;=3,NOT(OR(SUBSTITUTE(CB443,"0","")="",AND(LEN(CB443)&gt;=4,CB443=REPT(LEFT(CB443),LEN(CB443))),ISNUMBER(MATCH(CB443,{"123","1234","12345","123456","1234567","12345678","0123","01234","012345","98765","987654","54321"},0)),AND(LEN(CB443)=8,LEFT(CB443,3)="202"))),OR(AND((LEN(CA443)-LEN(SUBSTITUTE(CA443,"a","")))&gt;=1,SUMPRODUCT(--ISNUMBER(SEARCH({"a0","a-0","a_0","a/0","a.0","a#0","0a","0-a","0_a","0/a"},BP443)))&gt;0),ISNUMBER(SEARCH("000000",BP443)))),1,0),0)</f>
        <v>0</v>
      </c>
      <c r="BR443" s="61" t="n">
        <f aca="false">IFERROR(LEN(SUBSTITUTE(CC443," ",""))-SUMPRODUCT((LEN(CC443)-LEN(SUBSTITUTE(CC443," "&amp;L_Role&amp;" "," ")))/(LEN(L_Role)+1)*LEN(L_Role)),0)</f>
        <v>0</v>
      </c>
      <c r="BS443" s="61" t="n">
        <f aca="false">IFERROR(LEN(SUBSTITUTE(CD443," ",""))-SUMPRODUCT((LEN(CD443)-LEN(SUBSTITUTE(CD443," "&amp;L_Role&amp;" "," ")))/(LEN(L_Role)+1)*LEN(L_Role)),0)</f>
        <v>0</v>
      </c>
      <c r="BT4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443,"revision",""),"version",""),"jan",""),"feb",""),"mar",""),"apr",""),"may",""),"jun",""),"jul",""),"aug",""),"sep",""),"oct",""),"nov",""),"dec",""),"utc",""),"gmt",""),"myt",""),"bst",""),"rev",""),"ver",""),"b","a"),"c","a"),"d","a"),"e","a"),"f","a"),"g","a"),"h","a"),"i","a"),"j","a"),"k","a"),"l","a"),"m","a"),"n","a"),"o","a"),"p","a"),"q","a"),"r","a"),"s","a"),"t","a"),"u","a"),"v","a"),"w","a"),"x","a"),"y","a"),"z","a")</f>
        <v/>
      </c>
      <c r="BU443" s="61" t="str">
        <f aca="false">SUBSTITUTE(SUBSTITUTE(SUBSTITUTE(SUBSTITUTE(SUBSTITUTE(SUBSTITUTE(SUBSTITUTE(SUBSTITUTE(SUBSTITUTE(SUBSTITUTE(LEFT(BM443,FIND("0",BM443&amp;"0")-1),"-",""),"_",""),"/",""),".",""),"#",""),"\\",""),":","")," ",""),"(",""),")","")</f>
        <v/>
      </c>
      <c r="BV443" s="61" t="n">
        <f aca="false">0</f>
        <v>0</v>
      </c>
      <c r="BW4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443&amp;""),"a",""),"b",""),"c",""),"d",""),"e",""),"f",""),"g",""),"h",""),"i",""),"j",""),"k",""),"l",""),"m",""),"n",""),"o",""),"p",""),"q",""),"r",""),"s",""),"t",""),"u",""),"v",""),"w",""),"x",""),"y",""),"z",""),"-",""),"_",""),"/",""),".",""),"#",""),"\\",""),":","")," ",""),"(",""),")","")</f>
        <v/>
      </c>
      <c r="BX443" s="61" t="str">
        <f aca="false">SUBSTITUTE(SUBSTITUTE(SUBSTITUTE(SUBSTITUTE(SUBSTITUTE(SUBSTITUTE(SUBSTITUTE(SUBSTITUTE(SUBSTITUTE(SUBSTITUTE(SUBSTITUTE(BM443,"0",""),"-",""),"_",""),"/",""),".",""),"#",""),"\\",""),":","")," ",""),"(",""),")","")</f>
        <v/>
      </c>
      <c r="BY443" s="62" t="n">
        <f aca="false">Q443-T12EarlyH/24</f>
        <v>46308.0104166667</v>
      </c>
      <c r="BZ443" s="61" t="n">
        <f aca="false">IFERROR(IF(IF(TRIM(S443)="Link / file path",AND(LEN(TRIM(Z443))&gt;=5,SUMPRODUCT(--ISNUMBER(SEARCH({"http","www.","\\",":\",".pdf",".jpg",".jpeg",".png",".heic",".xls",".doc",".msg",".eml",".ppt",".txt",".zip"},Z443)))&gt;0),AND(ISERROR(FIND(" ",TRIM(Z443))),NOT(OR(SUMPRODUCT(--ISNUMBER(FIND({",",";","&amp;","+"},Z443)))&gt;0,SUMPRODUCT(--ISNUMBER(SEARCH({"0/aa","0\\aa"},BN443)))&gt;0)),NOT(SUMPRODUCT(--ISNUMBER(SEARCH({"http","www.","\\",":\",".pdf",".jpg",".jpeg",".png",".heic",".xls",".doc",".msg",".eml",".ppt",".txt",".zip"},Z443)))&gt;0),NOT(LOWER(TRIM(Z443))=LOWER(Flights!$F$17)),ISNA(MATCH(BU443,{"mh","rev","revision","ver","version","v","r","a","b","seat","tray","row","gate","bay","stand","page","pg","item","line","no","cart","galley","flight","flt","table","box","bag","oven","etd","eta","std","sta","atd","ata","qty","pax","x","time","tel","ph","mob","day","wk","week","utc","gmt","myt","lt"},0)),NOT(OR(ISNUMBER(MATCH(LEFT(BN443,255),{"0000a","000a","00a","0000aa","000aa","00aa","0aa","0000aaa","000aaa","00a00","0a00","0000-0000","00:00","a00","a0","00.00.0000","00/00/0000","00-00-0000","0000-00-00","0000/00/00","0000.00.00","00.00.00","00/00/00","00-00-00","0.00.0000","0/00/0000","0-00-0000"},0)),ISNUMBER(MATCH(LEFT(BT443,255),{"0000a","000a","00a","0000aa","000aa","00aa","0aa","0000aaa","000aaa","00a00","0a00","0000-0000","00:00","a00","a0","00.00.0000","00/00/0000","00-00-0000","0000-00-00","0000/00/00","0000.00.00","00.00.00","00/00/00","00-00-00","0.00.0000","0/00/0000","0-00-0000"},0)))),NOT(OR(AND(BW443&lt;&gt;"",SUBSTITUTE(BW443,"0","")=""),AND(LEN(BW443)&gt;=4,BW443=REPT(LEFT(BW443),LEN(BW443))),ISNUMBER(MATCH(BW443,{"123","1234","12345","123456","1234567","12345678","0123","01234","012345","98765","987654","54321"},0)),ISNUMBER(MATCH(BX443,{"x","xx","xxx","xxxx","xxxxx","abc","abcd","nil","na","nan","test","tbc","tba","tbd","dummy","sample","example","eg","zz","zzz","none","null","xyz","qwe","asd","id","ref"},0)),AND(LEN(BW443)=8,BX443="",OR(LEFT(BW443,3)="202",ISNUMBER(MATCH(RIGHT(BW443,4),{"2025","2026","2027"},0)))))),OR(AND((LEN(BT443)-LEN(SUBSTITUTE(BT443,"a","")))&gt;=1,(LEN(BN443)-LEN(SUBSTITUTE(BN443,"0","")))&gt;=2,SUMPRODUCT(--ISNUMBER(SEARCH({"a0","a-0","a_0","a/0","a.0","a#0","0a","0-a","0_a","0/a"},BN443)))&gt;0),AND((LEN(BN443)-LEN(SUBSTITUTE(BN443,"a","")))=0,(LEN(BN443)-LEN(SUBSTITUTE(BN443,"0","")))&gt;=5)))),1,0),0)</f>
        <v>0</v>
      </c>
      <c r="CA4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443,"revision",""),"version",""),"jan",""),"feb",""),"mar",""),"apr",""),"may",""),"jun",""),"jul",""),"aug",""),"sep",""),"oct",""),"nov",""),"dec",""),"utc",""),"gmt",""),"myt",""),"bst",""),"rev",""),"ver",""),"b","a"),"c","a"),"d","a"),"e","a"),"f","a"),"g","a"),"h","a"),"i","a"),"j","a"),"k","a"),"l","a"),"m","a"),"n","a"),"o","a"),"p","a"),"q","a"),"r","a"),"s","a"),"t","a"),"u","a"),"v","a"),"w","a"),"x","a"),"y","a"),"z","a")</f>
        <v/>
      </c>
      <c r="CB4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443&amp;""),"a",""),"b",""),"c",""),"d",""),"e",""),"f",""),"g",""),"h",""),"i",""),"j",""),"k",""),"l",""),"m",""),"n",""),"o",""),"p",""),"q",""),"r",""),"s",""),"t",""),"u",""),"v",""),"w",""),"x",""),"y",""),"z",""),"-",""),"_",""),"/",""),".",""),"#",""),"\\",""),":","")," ",""),"(",""),")","")</f>
        <v/>
      </c>
      <c r="CC443" s="0" t="str">
        <f aca="false">" "&amp;TRIM(SUBSTITUTE(SUBSTITUTE(SUBSTITUTE(SUBSTITUTE(SUBSTITUTE(SUBSTITUTE(SUBSTITUTE(SUBSTITUTE(SUBSTITUTE(SUBSTITUTE(SUBSTITUTE(SUBSTITUTE(SUBSTITUTE(SUBSTITUTE(SUBSTITUTE(SUBSTITUTE(SUBSTITUTE(SUBSTITUTE(SUBSTITUTE(SUBSTITUTE(SUBSTITUTE(SUBSTITUTE(SUBSTITUTE(SUBSTITUTE(LOWER(T443&amp;""),CHAR(10)," "),CHAR(13)," "),CHAR(9)," "),CHAR(160)," "),"."," "),","," "),"-"," "),"/"," "),"("," "),")"," "),":"," "),";"," "),"_"," "),"–"," "),"?"," "),"!"," "),"*"," "),"["," "),"]"," "),"'"," "),"#"," "),"+"," "),"&amp;"," "),"\"," "))&amp;" "</f>
        <v>  </v>
      </c>
      <c r="CD443" s="0" t="str">
        <f aca="false">" "&amp;TRIM(SUBSTITUTE(SUBSTITUTE(SUBSTITUTE(SUBSTITUTE(SUBSTITUTE(SUBSTITUTE(SUBSTITUTE(SUBSTITUTE(SUBSTITUTE(SUBSTITUTE(SUBSTITUTE(SUBSTITUTE(SUBSTITUTE(SUBSTITUTE(SUBSTITUTE(SUBSTITUTE(SUBSTITUTE(SUBSTITUTE(SUBSTITUTE(SUBSTITUTE(SUBSTITUTE(SUBSTITUTE(SUBSTITUTE(SUBSTITUTE(LOWER(AE443&amp;""),CHAR(10)," "),CHAR(13)," "),CHAR(9)," "),CHAR(160)," "),"."," "),","," "),"-"," "),"/"," "),"("," "),")"," "),":"," "),";"," "),"_"," "),"–"," "),"?"," "),"!"," "),"*"," "),"["," "),"]"," "),"'"," "),"#"," "),"+"," "),"&amp;"," "),"\"," "))&amp;" "</f>
        <v>  </v>
      </c>
      <c r="CE443" s="68" t="n">
        <f aca="false">IFERROR(IF(AND(LEN(AU443)&gt;0,LEN(AU443)=LEN(AX443),OR(TRIM(MID(SUBSTITUTE(TRIM(CC443)," ",REPT(" ",60)),1,60))="",ISNUMBER(SEARCH(" "&amp;TRIM(MID(SUBSTITUTE(TRIM(CC443)," ",REPT(" ",60)),1,60))&amp;" ",CD443))),OR(TRIM(MID(SUBSTITUTE(TRIM(CC443)," ",REPT(" ",60)),61,60))="",ISNUMBER(SEARCH(" "&amp;TRIM(MID(SUBSTITUTE(TRIM(CC443)," ",REPT(" ",60)),61,60))&amp;" ",CD443))),OR(TRIM(MID(SUBSTITUTE(TRIM(CC443)," ",REPT(" ",60)),121,60))="",ISNUMBER(SEARCH(" "&amp;TRIM(MID(SUBSTITUTE(TRIM(CC443)," ",REPT(" ",60)),121,60))&amp;" ",CD443)))),1,0),0)</f>
        <v>0</v>
      </c>
      <c r="CG443" s="68" t="n">
        <f aca="false">IFERROR(LEN(SUBSTITUTE(BF443," ",""))-SUMPRODUCT((LEN(BF443)-LEN(SUBSTITUTE(BF443," "&amp;L_NAFiller&amp;" "," ")))/(LEN(L_NAFiller)+1)*LEN(L_NAFiller)),0)</f>
        <v>0</v>
      </c>
    </row>
    <row r="444" customFormat="false" ht="39.75" hidden="false" customHeight="true" outlineLevel="0" collapsed="false">
      <c r="A444" s="57" t="s">
        <v>1081</v>
      </c>
      <c r="B444" s="57" t="s">
        <v>272</v>
      </c>
      <c r="C444" s="57" t="str">
        <f aca="false">Flights!$F$17</f>
        <v>MH0138</v>
      </c>
      <c r="D444" s="58" t="n">
        <f aca="false">Flights!$D$17</f>
        <v>46309</v>
      </c>
      <c r="E444" s="57" t="str">
        <f aca="false">Flights!$G$17&amp;"-"&amp;Flights!$H$17</f>
        <v>ADL-KUL</v>
      </c>
      <c r="F444" s="57" t="str">
        <f aca="false">Flights!$K$17</f>
        <v>EY</v>
      </c>
      <c r="G444" s="57" t="s">
        <v>420</v>
      </c>
      <c r="H444" s="57" t="s">
        <v>378</v>
      </c>
      <c r="I444" s="57" t="s">
        <v>428</v>
      </c>
      <c r="J444" s="57" t="s">
        <v>438</v>
      </c>
      <c r="K444" s="67"/>
      <c r="L444" s="67" t="s">
        <v>422</v>
      </c>
      <c r="M444" s="67"/>
      <c r="N444" s="67" t="s">
        <v>383</v>
      </c>
      <c r="O444" s="67" t="s">
        <v>423</v>
      </c>
      <c r="P444" s="57" t="s">
        <v>263</v>
      </c>
      <c r="Q444" s="59" t="n">
        <f aca="false">ROUND((Flights!$AE$17)*1440,0)/1440</f>
        <v>46308.5104166667</v>
      </c>
      <c r="R444" s="59" t="n">
        <f aca="false">Q444+(IF(AND(INDEX(TZ_DSTS,MATCH(P444,TZ_STN,0))&lt;&gt;"",Q444&gt;=INDEX(TZ_DSTS,MATCH(P444,TZ_STN,0)),Q444&lt;INDEX(TZ_DSTE,MATCH(P444,TZ_STN,0))),INDEX(TZ_DST,MATCH(P444,TZ_STN,0)),INDEX(TZ_STD,MATCH(P444,TZ_STN,0))))/24</f>
        <v>46308.9479166667</v>
      </c>
      <c r="S444" s="60"/>
      <c r="T444" s="60"/>
      <c r="U444" s="60"/>
      <c r="V444" s="60"/>
      <c r="W444" s="61"/>
      <c r="X444" s="60"/>
      <c r="Y444" s="60"/>
      <c r="Z444" s="60"/>
      <c r="AA444" s="60"/>
      <c r="AB444" s="60"/>
      <c r="AC444" s="60"/>
      <c r="AD444" s="66"/>
      <c r="AE444" s="60"/>
      <c r="AF444" s="61" t="str">
        <f aca="false">IF(AND(ISNUMBER(X444),ISNUMBER(Y444)),Y444-X444,"")</f>
        <v/>
      </c>
      <c r="AG444" s="62" t="str">
        <f aca="false">IF(ISNUMBER(AD444),AD444-(IF(AND(INDEX(TZ_DSTS,MATCH(P444,TZ_STN,0))&lt;&gt;"",(AD444-INDEX(TZ_STD,MATCH(P444,TZ_STN,0))/24)&gt;=INDEX(TZ_DSTS,MATCH(P444,TZ_STN,0)),(AD444-INDEX(TZ_STD,MATCH(P444,TZ_STN,0))/24)&lt;INDEX(TZ_DSTE,MATCH(P444,TZ_STN,0))),INDEX(TZ_DST,MATCH(P444,TZ_STN,0)),INDEX(TZ_STD,MATCH(P444,TZ_STN,0))))/24,"")</f>
        <v/>
      </c>
      <c r="AH444" s="65" t="str">
        <f aca="false">IFERROR(IF(N444="N/A – rule",IF(OR(TRIM(U444)="",TRIM(U444)="N/A",TRIM(U444)="Not started"),"N/A – RULE","INVALID – this check does not apply to this aircraft: clear the status (or correct the fleet on Flights)"),IF(TRIM(U444)="N/A",IF(AT444=0,"INVALID – N/A not permitted for this check",IF(AND(TRIM(AB444)&lt;&gt;"",TRIM(AB444)&lt;&gt;"Closed"),"INVALID – corrective action still open",IF(AND(NOT(OR(LEN(AZ444)&lt;15,ISNUMBER(MATCH(AZ444,L_Placeholder,0)))),BK444=0,CG444&gt;=8,NOT(OR(LEN(AU444)&lt;2,ISNUMBER(MATCH(AU444,L_Placeholder,0)))),BR444&gt;=3,NOT(OR(LEN(AX444)&lt;2,ISNUMBER(MATCH(AX444,L_Placeholder,0)))),BS444&gt;=3,TRIM(AE444)&lt;&gt;TRIM(T444),AX444&lt;&gt;AU444,CE444=0),"N/A – JUSTIFIED","INVALID – N/A needs a real, settled reason (not 'not applicable' / 'as above' / TBC), a named PIC and a different named verifier"))),IF(OR(TRIM(U444)="Pass",TRIM(U444)="Pass after CA"),IF(NOT(ISNUMBER(AD444)),"INVALID – completion time missing",IF(OR(OR(LEN(AU444)&lt;2,ISNUMBER(MATCH(AU444,L_Placeholder,0))),BR444&lt;3),"INVALID – PIC missing or not a named person (a role such as QA / CSM is not a name)",IF(OR(LEN(AV444)&lt;2,ISNUMBER(MATCH(AV444,L_Placeholder,0))),"INVALID – result / assessment missing",IF(OR(OR(LEN(AW444)&lt;3,ISNUMBER(MATCH(AW444,L_Placeholder,0))),SUMPRODUCT(--ISNUMBER(SEARCH(" "&amp;L_EvidencePhrase&amp;" ",BD444)))&gt;0,BI444=1),"INVALID – evidence missing, placeholder or not yet on file",IF(ISNA(MATCH(TRIM(S444),L_EvidenceType,0)),"INVALID – choose the evidence type from the list (column S)",IF(BL444=0,"INVALID – evidence ID must be the record's own ID only (e.g. SF-2210, IMG_2231, 1045521); a link / file name needs type 'Link / file path'",IF(OR(OR(LEN(AX444)&lt;2,ISNUMBER(MATCH(AX444,L_Placeholder,0))),BS444&lt;3),"INVALID – verifier missing or not a named person (a role such as QA / CSM is not a name)",IF(OR(AX444=AU444,CE444=1,AND(LEN(AU444)&gt;=4,ISNUMBER(SEARCH(AU444,AX444))),AND(LEN(AX444)&gt;=4,ISNUMBER(SEARCH(AX444,AU444)))),"INVALID – verifier must be a different, named person (not the PIC or a role)",IF(BH444=1,"INVALID – result not yet available (awaiting / TBC)",IF(BG444=1,"INVALID – result describes a problem: record Fail, then Pass after CA (or reword if it is not a problem)",IF(BV444=1,"INVALID – wording says not on board: an on-board confirmation needs the item loaded",IF(AND(AQ444=1,OR(OR(LEN(AY444)&lt;3,ISNUMBER(MATCH(AY444,L_Placeholder,0))),BJ444=1,BQ444=0)),"INVALID – batch ID missing, placeholder or not an ID (e.g. PASB-261008-BC-017)",IF(AND(AR444=1,OR(NOT(ISNUMBER(X444)),NOT(ISNUMBER(Y444)))),"INVALID – expected/actual qty missing",IF(AND(AR444=1,OR(X444&lt;=0,Y444&lt;0)),"INVALID – expected qty must be above 0 and actual not negative",IF(BB444&lt;&gt;"",BB444,IF(AND(AS444=1,Documents!$J$17&lt;&gt;"ON FILE"),"INVALID – GLD not on file (Documents sheet)",IF(AND(AS444=2,Documents!$O$17&lt;&gt;"ON FILE"),"INVALID – menu checklist not on file (Documents sheet)",IF(AND(AS444=3,NOT(ISNUMBER(Flights!$AX$17))),"INVALID – enter carrying flight KUL departure (Flights AX)",IF(AND(AS444=3,OR(Flights!$AZ$17&gt;Flights!$AA$17,Flights!$AX$17&lt;Flights!$AA$17-3)),"INVALID – carrying flight (Flights AX) cannot arrive before this leg's STD, or is over 3 days early",IF(AG444&gt;AsOfUTC,"INVALID – completion time is in the future",IF(AND(ISNUMBER(BY444),AG444&lt;BY444),IF(H444="Physical uplift","INVALID – before uplift window (cannot confirm loading)","INVALID – before valid window"),IF(AG444&gt;Flights!$AA$17,"INVALID – completed after departure (cannot establish readiness)",IF(AND(H444="Preparation",AG444&gt;=IF(ISNUMBER(Flights!$BA$17),MIN(Flights!$BA$17,Flights!$AA$17),Flights!$AA$17)),"INVALID – completed after loading / departure (cannot establish readiness)",IF(AND(H444="Physical uplift",AG444&gt;Q444),"INVALID – recorded after the loading flight departed",IF(AG444&gt;Q444,"COMPLETE – LATE","COMPLETE"))))))))))))))))))))))))),IF(TRIM(U444)="Fail","FAIL – DISCREPANCY",IF(AND(TRIM(U444)&lt;&gt;"",TRIM(U444)&lt;&gt;"Not started",TRIM(U444)&lt;&gt;"In progress"),"INVALID – unrecognised status (use the list)",IF(AsOfUTC&gt;Q444,"OVERDUE",IF(N444="Clarification required","OPEN – CLARIFICATION","OPEN"))))))),"INVALID – error value in an input cell")</f>
        <v>OPEN</v>
      </c>
      <c r="AI444" s="61" t="n">
        <f aca="false">IF(OR(AH444="N/A – RULE",AH444="N/A – JUSTIFIED"),0,1)</f>
        <v>1</v>
      </c>
      <c r="AJ444" s="61" t="n">
        <f aca="false">IF(LEFT(AH444,8)="COMPLETE",1,0)</f>
        <v>0</v>
      </c>
      <c r="AK444" s="61" t="n">
        <f aca="false">IF(AND(AI444=1,AJ444=0,AsOfUTC&gt;Q444),1,0)</f>
        <v>0</v>
      </c>
      <c r="AL444" s="61" t="n">
        <f aca="false">IFERROR(IF(AND(AI444=1,OR(TRIM(U444)="Fail",AND(TRIM(AB444)&lt;&gt;"",TRIM(AB444)&lt;&gt;"Closed"),AND(ISNUMBER(AF444),AF444&lt;&gt;0,TRIM(U444)&lt;&gt;"Pass after CA"))),1,0),1)</f>
        <v>0</v>
      </c>
      <c r="AM444" s="61" t="n">
        <f aca="false">IF(LEFT(AH444,7)="INVALID",1,0)</f>
        <v>0</v>
      </c>
      <c r="AN444" s="61" t="n">
        <f aca="false">IF(AND(N444="Clarification required",AI444=1,AJ444=0),1,0)</f>
        <v>0</v>
      </c>
      <c r="AO444" s="61" t="str">
        <f aca="false">IF(AK444=1,SUM(AK$5:AK444),"")</f>
        <v/>
      </c>
      <c r="AP444" s="61" t="str">
        <f aca="false">IF(AL444=1,SUM(AL$5:AL444),"")</f>
        <v/>
      </c>
      <c r="AQ444" s="61" t="n">
        <v>0</v>
      </c>
      <c r="AR444" s="61" t="n">
        <v>0</v>
      </c>
      <c r="AS444" s="61" t="n">
        <v>0</v>
      </c>
      <c r="AT444" s="61" t="n">
        <v>0</v>
      </c>
      <c r="AU444" s="61" t="str">
        <f aca="false">SUBSTITUTE(SUBSTITUTE(SUBSTITUTE(SUBSTITUTE(SUBSTITUTE(SUBSTITUTE(SUBSTITUTE(SUBSTITUTE(SUBSTITUTE(SUBSTITUTE(SUBSTITUTE(SUBSTITUTE(SUBSTITUTE(SUBSTITUTE(SUBSTITUTE(SUBSTITUTE(LOWER(T444&amp;""),CHAR(10),""),CHAR(13),""),CHAR(9),""),CHAR(160),"")," ",""),".",""),"-",""),"/",""),"?",""),"_",""),",",""),"[",""),"]",""),"(",""),")",""),"*","")</f>
        <v/>
      </c>
      <c r="AV444" s="61" t="str">
        <f aca="false">SUBSTITUTE(SUBSTITUTE(SUBSTITUTE(SUBSTITUTE(SUBSTITUTE(SUBSTITUTE(SUBSTITUTE(SUBSTITUTE(SUBSTITUTE(SUBSTITUTE(SUBSTITUTE(SUBSTITUTE(SUBSTITUTE(SUBSTITUTE(SUBSTITUTE(SUBSTITUTE(LOWER(V444&amp;""),CHAR(10),""),CHAR(13),""),CHAR(9),""),CHAR(160),"")," ",""),".",""),"-",""),"/",""),"?",""),"_",""),",",""),"[",""),"]",""),"(",""),")",""),"*","")</f>
        <v/>
      </c>
      <c r="AW444" s="61" t="str">
        <f aca="false">SUBSTITUTE(SUBSTITUTE(SUBSTITUTE(SUBSTITUTE(SUBSTITUTE(SUBSTITUTE(SUBSTITUTE(SUBSTITUTE(SUBSTITUTE(SUBSTITUTE(SUBSTITUTE(SUBSTITUTE(SUBSTITUTE(SUBSTITUTE(SUBSTITUTE(SUBSTITUTE(LOWER(Z444&amp;""),CHAR(10),""),CHAR(13),""),CHAR(9),""),CHAR(160),"")," ",""),".",""),"-",""),"/",""),"?",""),"_",""),",",""),"[",""),"]",""),"(",""),")",""),"*","")</f>
        <v/>
      </c>
      <c r="AX444" s="61" t="str">
        <f aca="false">SUBSTITUTE(SUBSTITUTE(SUBSTITUTE(SUBSTITUTE(SUBSTITUTE(SUBSTITUTE(SUBSTITUTE(SUBSTITUTE(SUBSTITUTE(SUBSTITUTE(SUBSTITUTE(SUBSTITUTE(SUBSTITUTE(SUBSTITUTE(SUBSTITUTE(SUBSTITUTE(LOWER(AE444&amp;""),CHAR(10),""),CHAR(13),""),CHAR(9),""),CHAR(160),"")," ",""),".",""),"-",""),"/",""),"?",""),"_",""),",",""),"[",""),"]",""),"(",""),")",""),"*","")</f>
        <v/>
      </c>
      <c r="AY444" s="61" t="str">
        <f aca="false">SUBSTITUTE(SUBSTITUTE(SUBSTITUTE(SUBSTITUTE(SUBSTITUTE(SUBSTITUTE(SUBSTITUTE(SUBSTITUTE(SUBSTITUTE(SUBSTITUTE(SUBSTITUTE(SUBSTITUTE(SUBSTITUTE(SUBSTITUTE(SUBSTITUTE(SUBSTITUTE(LOWER(W444&amp;""),CHAR(10),""),CHAR(13),""),CHAR(9),""),CHAR(160),"")," ",""),".",""),"-",""),"/",""),"?",""),"_",""),",",""),"[",""),"]",""),"(",""),")",""),"*","")</f>
        <v/>
      </c>
      <c r="AZ444" s="61" t="str">
        <f aca="false">SUBSTITUTE(SUBSTITUTE(SUBSTITUTE(SUBSTITUTE(SUBSTITUTE(SUBSTITUTE(SUBSTITUTE(SUBSTITUTE(SUBSTITUTE(SUBSTITUTE(SUBSTITUTE(SUBSTITUTE(SUBSTITUTE(SUBSTITUTE(SUBSTITUTE(SUBSTITUTE(LOWER(AC444&amp;""),CHAR(10),""),CHAR(13),""),CHAR(9),""),CHAR(160),"")," ",""),".",""),"-",""),"/",""),"?",""),"_",""),",",""),"[",""),"]",""),"(",""),")",""),"*","")</f>
        <v/>
      </c>
      <c r="BA444" s="61" t="str">
        <f aca="false">SUBSTITUTE(SUBSTITUTE(SUBSTITUTE(SUBSTITUTE(SUBSTITUTE(SUBSTITUTE(SUBSTITUTE(SUBSTITUTE(SUBSTITUTE(SUBSTITUTE(SUBSTITUTE(SUBSTITUTE(SUBSTITUTE(SUBSTITUTE(SUBSTITUTE(SUBSTITUTE(LOWER(AA444&amp;""),CHAR(10),""),CHAR(13),""),CHAR(9),""),CHAR(160),"")," ",""),".",""),"-",""),"/",""),"?",""),"_",""),",",""),"[",""),"]",""),"(",""),")",""),"*","")</f>
        <v/>
      </c>
      <c r="BB444" s="61" t="str">
        <f aca="false">IF(AND(TRIM(U444)="Pass",ISNUMBER(AF444)),IF(AF444&lt;&gt;0,"INVALID – qty variance: use Fail or Pass after CA",""),"")&amp;IF(AND(TRIM(U444)="Pass after CA",ISNUMBER(AF444)),IF(AF444&lt;&gt;0,"INVALID – after the corrective action the actual qty must equal expected (update Actual)",""),"")&amp;IF(AND(TRIM(U444)="Pass",TRIM(AB444)&lt;&gt;"",TRIM(AB444)&lt;&gt;"Closed"),"INVALID – corrective action not closed: use Fail, then Pass after CA","")&amp;IF(AND(LEN(BA444)&gt;=2,ISNA(MATCH(LEFT(BA444,255),L_Placeholder,0)),TRIM(AB444)=""),"INVALID – CA status missing for the recorded corrective action","")&amp;IF(AND(TRIM(U444)="Pass after CA",OR(OR(LEN(BA444)&lt;5,ISNUMBER(MATCH(BA444,L_Placeholder,0))),TRIM(AB444)&lt;&gt;"Closed")),"INVALID – corrective action not recorded/closed","")</f>
        <v/>
      </c>
      <c r="BC444" s="61" t="str">
        <f aca="false">" "&amp;TRIM(SUBSTITUTE(SUBSTITUTE(SUBSTITUTE(SUBSTITUTE(SUBSTITUTE(SUBSTITUTE(SUBSTITUTE(SUBSTITUTE(SUBSTITUTE(SUBSTITUTE(SUBSTITUTE(SUBSTITUTE(SUBSTITUTE(SUBSTITUTE(SUBSTITUTE(SUBSTITUTE(SUBSTITUTE(SUBSTITUTE(SUBSTITUTE(SUBSTITUTE(SUBSTITUTE(SUBSTITUTE(SUBSTITUTE(SUBSTITUTE(LOWER(V444&amp;""),CHAR(10)," "),CHAR(13)," "),CHAR(9)," "),CHAR(160)," "),"."," "),","," "),"-"," "),"/"," "),"("," "),")"," "),":"," "),";"," "),"_"," "),"–"," "),"?"," "),"!"," "),"*"," "),"["," "),"]"," "),"'"," "),"#"," "),"+"," "),"&amp;"," "),"\"," "))&amp;" "</f>
        <v>  </v>
      </c>
      <c r="BD444" s="61" t="str">
        <f aca="false">" "&amp;TRIM(SUBSTITUTE(SUBSTITUTE(SUBSTITUTE(SUBSTITUTE(SUBSTITUTE(SUBSTITUTE(SUBSTITUTE(SUBSTITUTE(SUBSTITUTE(SUBSTITUTE(SUBSTITUTE(SUBSTITUTE(SUBSTITUTE(SUBSTITUTE(SUBSTITUTE(SUBSTITUTE(SUBSTITUTE(SUBSTITUTE(SUBSTITUTE(SUBSTITUTE(SUBSTITUTE(SUBSTITUTE(SUBSTITUTE(SUBSTITUTE(LOWER(Z444&amp;""),CHAR(10)," "),CHAR(13)," "),CHAR(9)," "),CHAR(160)," "),"."," "),","," "),"-"," "),"/"," "),"("," "),")"," "),":"," "),";"," "),"_"," "),"–"," "),"?"," "),"!"," "),"*"," "),"["," "),"]"," "),"'"," "),"#"," "),"+"," "),"&amp;"," "),"\"," "))&amp;" "</f>
        <v>  </v>
      </c>
      <c r="BE444" s="61" t="str">
        <f aca="false">" "&amp;TRIM(SUBSTITUTE(SUBSTITUTE(SUBSTITUTE(SUBSTITUTE(SUBSTITUTE(SUBSTITUTE(SUBSTITUTE(SUBSTITUTE(SUBSTITUTE(SUBSTITUTE(SUBSTITUTE(SUBSTITUTE(SUBSTITUTE(SUBSTITUTE(SUBSTITUTE(SUBSTITUTE(SUBSTITUTE(SUBSTITUTE(SUBSTITUTE(SUBSTITUTE(SUBSTITUTE(SUBSTITUTE(SUBSTITUTE(SUBSTITUTE(LOWER(W444&amp;""),CHAR(10)," "),CHAR(13)," "),CHAR(9)," "),CHAR(160)," "),"."," "),","," "),"-"," "),"/"," "),"("," "),")"," "),":"," "),";"," "),"_"," "),"–"," "),"?"," "),"!"," "),"*"," "),"["," "),"]"," "),"'"," "),"#"," "),"+"," "),"&amp;"," "),"\"," "))&amp;" "</f>
        <v>  </v>
      </c>
      <c r="BF444" s="61" t="str">
        <f aca="false">" "&amp;TRIM(SUBSTITUTE(SUBSTITUTE(SUBSTITUTE(SUBSTITUTE(SUBSTITUTE(SUBSTITUTE(SUBSTITUTE(SUBSTITUTE(SUBSTITUTE(SUBSTITUTE(SUBSTITUTE(SUBSTITUTE(SUBSTITUTE(SUBSTITUTE(SUBSTITUTE(SUBSTITUTE(SUBSTITUTE(SUBSTITUTE(SUBSTITUTE(SUBSTITUTE(SUBSTITUTE(SUBSTITUTE(SUBSTITUTE(SUBSTITUTE(LOWER(AC444&amp;""),CHAR(10)," "),CHAR(13)," "),CHAR(9)," "),CHAR(160)," "),"."," "),","," "),"-"," "),"/"," "),"("," "),")"," "),":"," "),";"," "),"_"," "),"–"," "),"?"," "),"!"," "),"*"," "),"["," "),"]"," "),"'"," "),"#"," "),"+"," "),"&amp;"," "),"\"," "))&amp;" "</f>
        <v>  </v>
      </c>
      <c r="BG444" s="61" t="n">
        <f aca="false">IFERROR(IF(AND(TRIM(U444)="Pass",SUMPRODUCT((LEN(BC444)-LEN(SUBSTITUTE(BC444," "&amp;L_ResultBad&amp;" "," ")))/(LEN(L_ResultBad)+1))&gt;SUMPRODUCT((LEN(BC444)-LEN(SUBSTITUTE(BC444," "&amp;L_NegPhrase&amp;" "," ")))/(LEN(L_NegPhrase)+1))),1,0),0)</f>
        <v>0</v>
      </c>
      <c r="BH444" s="61" t="n">
        <f aca="false">IFERROR(IF(SUMPRODUCT((LEN(BC444)-LEN(SUBSTITUTE(BC444," "&amp;L_Pending&amp;" "," ")))/(LEN(L_Pending)+1))&gt;SUMPRODUCT((LEN(BC444)-LEN(SUBSTITUTE(BC444," "&amp;L_PendNeg&amp;" "," ")))/(LEN(L_PendNeg)+1))+SUMPRODUCT((LEN(BC444)-LEN(SUBSTITUTE(BC444," "&amp;L_PendPrep&amp;" "," ")))/(LEN(L_PendPrep)+1)),1,0),1)</f>
        <v>0</v>
      </c>
      <c r="BI444" s="61" t="n">
        <f aca="false">IFERROR(IF(SUMPRODUCT((LEN(BD444)-LEN(SUBSTITUTE(BD444," "&amp;L_PendStrict&amp;" "," ")))/(LEN(L_PendStrict)+1))&gt;SUMPRODUCT((LEN(BD444)-LEN(SUBSTITUTE(BD444," "&amp;L_PendNeg&amp;" "," ")))/(LEN(L_PendNeg)+1)),1,0),1)</f>
        <v>0</v>
      </c>
      <c r="BJ444" s="61" t="n">
        <f aca="false">IFERROR(IF(SUMPRODUCT((LEN(BE444)-LEN(SUBSTITUTE(BE444," "&amp;L_Pending&amp;" "," ")))/(LEN(L_Pending)+1))&gt;SUMPRODUCT((LEN(BE444)-LEN(SUBSTITUTE(BE444," "&amp;L_PendNeg&amp;" "," ")))/(LEN(L_PendNeg)+1))+SUMPRODUCT((LEN(BE444)-LEN(SUBSTITUTE(BE444," "&amp;L_PendPrep&amp;" "," ")))/(LEN(L_PendPrep)+1)),1,0),1)</f>
        <v>0</v>
      </c>
      <c r="BK444" s="61" t="n">
        <f aca="false">IFERROR(IF(SUMPRODUCT((LEN(BF444)-LEN(SUBSTITUTE(BF444," "&amp;L_PendStrict&amp;" "," ")))/(LEN(L_PendStrict)+1))&gt;SUMPRODUCT((LEN(BF444)-LEN(SUBSTITUTE(BF444," "&amp;L_PendNeg&amp;" "," ")))/(LEN(L_PendNeg)+1)),1,0),1)</f>
        <v>0</v>
      </c>
      <c r="BL444" s="61" t="n">
        <f aca="false">IF(ISNA(MATCH(TRIM(S444),L_EvidenceType,0)),0,BZ444)</f>
        <v>0</v>
      </c>
      <c r="BM444" s="61" t="str">
        <f aca="false">SUBSTITUTE(SUBSTITUTE(SUBSTITUTE(SUBSTITUTE(SUBSTITUTE(SUBSTITUTE(SUBSTITUTE(SUBSTITUTE(SUBSTITUTE(LOWER(Z444&amp;""),"1","0"),"2","0"),"3","0"),"4","0"),"5","0"),"6","0"),"7","0"),"8","0"),"9","0")</f>
        <v/>
      </c>
      <c r="BN444" s="61" t="str">
        <f aca="false">SUBSTITUTE(SUBSTITUTE(SUBSTITUTE(SUBSTITUTE(SUBSTITUTE(SUBSTITUTE(SUBSTITUTE(SUBSTITUTE(SUBSTITUTE(SUBSTITUTE(SUBSTITUTE(SUBSTITUTE(SUBSTITUTE(SUBSTITUTE(SUBSTITUTE(SUBSTITUTE(SUBSTITUTE(SUBSTITUTE(SUBSTITUTE(SUBSTITUTE(SUBSTITUTE(SUBSTITUTE(SUBSTITUTE(SUBSTITUTE(SUBSTITUTE(BM444,"b","a"),"c","a"),"d","a"),"e","a"),"f","a"),"g","a"),"h","a"),"i","a"),"j","a"),"k","a"),"l","a"),"m","a"),"n","a"),"o","a"),"p","a"),"q","a"),"r","a"),"s","a"),"t","a"),"u","a"),"v","a"),"w","a"),"x","a"),"y","a"),"z","a")</f>
        <v/>
      </c>
      <c r="BO444" s="61" t="str">
        <f aca="false">SUBSTITUTE(SUBSTITUTE(SUBSTITUTE(SUBSTITUTE(SUBSTITUTE(SUBSTITUTE(SUBSTITUTE(SUBSTITUTE(SUBSTITUTE(LOWER(W444&amp;""),"1","0"),"2","0"),"3","0"),"4","0"),"5","0"),"6","0"),"7","0"),"8","0"),"9","0")</f>
        <v/>
      </c>
      <c r="BP444" s="61" t="str">
        <f aca="false">SUBSTITUTE(SUBSTITUTE(SUBSTITUTE(SUBSTITUTE(SUBSTITUTE(SUBSTITUTE(SUBSTITUTE(SUBSTITUTE(SUBSTITUTE(SUBSTITUTE(SUBSTITUTE(SUBSTITUTE(SUBSTITUTE(SUBSTITUTE(SUBSTITUTE(SUBSTITUTE(SUBSTITUTE(SUBSTITUTE(SUBSTITUTE(SUBSTITUTE(SUBSTITUTE(SUBSTITUTE(SUBSTITUTE(SUBSTITUTE(SUBSTITUTE(BO444,"b","a"),"c","a"),"d","a"),"e","a"),"f","a"),"g","a"),"h","a"),"i","a"),"j","a"),"k","a"),"l","a"),"m","a"),"n","a"),"o","a"),"p","a"),"q","a"),"r","a"),"s","a"),"t","a"),"u","a"),"v","a"),"w","a"),"x","a"),"y","a"),"z","a")</f>
        <v/>
      </c>
      <c r="BQ444" s="61" t="n">
        <f aca="false">IFERROR(IF(AND(ISERROR(SEARCH(" mh"," "&amp;LOWER(W444))),ISNA(MATCH(LEFT(TRIM(BP444),255),{"0000a","000a","00a","0000aa","000aa","00aa","0aa","0000aaa","000aaa","00a00","0a00","0000-0000","00:00","a00","a0","00.00.0000","00/00/0000","00-00-0000","0000-00-00","0000/00/00","0000.00.00","00.00.00","00/00/00","00-00-00","0.00.0000","0/00/0000","0-00-0000"},0)),ISNA(MATCH(LEFT(TRIM(CA444),255),{"0000a","000a","00a","0000aa","000aa","00aa","0aa","0000aaa","000aaa","00a00","0a00","0000-0000","00:00","a00","a0","00.00.0000","00/00/0000","00-00-0000","0000-00-00","0000/00/00","0000.00.00","00.00.00","00/00/00","00-00-00","0.00.0000","0/00/0000","0-00-0000"},0)),LEN(CB444)&gt;=3,NOT(OR(SUBSTITUTE(CB444,"0","")="",AND(LEN(CB444)&gt;=4,CB444=REPT(LEFT(CB444),LEN(CB444))),ISNUMBER(MATCH(CB444,{"123","1234","12345","123456","1234567","12345678","0123","01234","012345","98765","987654","54321"},0)),AND(LEN(CB444)=8,LEFT(CB444,3)="202"))),OR(AND((LEN(CA444)-LEN(SUBSTITUTE(CA444,"a","")))&gt;=1,SUMPRODUCT(--ISNUMBER(SEARCH({"a0","a-0","a_0","a/0","a.0","a#0","0a","0-a","0_a","0/a"},BP444)))&gt;0),ISNUMBER(SEARCH("000000",BP444)))),1,0),0)</f>
        <v>0</v>
      </c>
      <c r="BR444" s="61" t="n">
        <f aca="false">IFERROR(LEN(SUBSTITUTE(CC444," ",""))-SUMPRODUCT((LEN(CC444)-LEN(SUBSTITUTE(CC444," "&amp;L_Role&amp;" "," ")))/(LEN(L_Role)+1)*LEN(L_Role)),0)</f>
        <v>0</v>
      </c>
      <c r="BS444" s="61" t="n">
        <f aca="false">IFERROR(LEN(SUBSTITUTE(CD444," ",""))-SUMPRODUCT((LEN(CD444)-LEN(SUBSTITUTE(CD444," "&amp;L_Role&amp;" "," ")))/(LEN(L_Role)+1)*LEN(L_Role)),0)</f>
        <v>0</v>
      </c>
      <c r="BT4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444,"revision",""),"version",""),"jan",""),"feb",""),"mar",""),"apr",""),"may",""),"jun",""),"jul",""),"aug",""),"sep",""),"oct",""),"nov",""),"dec",""),"utc",""),"gmt",""),"myt",""),"bst",""),"rev",""),"ver",""),"b","a"),"c","a"),"d","a"),"e","a"),"f","a"),"g","a"),"h","a"),"i","a"),"j","a"),"k","a"),"l","a"),"m","a"),"n","a"),"o","a"),"p","a"),"q","a"),"r","a"),"s","a"),"t","a"),"u","a"),"v","a"),"w","a"),"x","a"),"y","a"),"z","a")</f>
        <v/>
      </c>
      <c r="BU444" s="61" t="str">
        <f aca="false">SUBSTITUTE(SUBSTITUTE(SUBSTITUTE(SUBSTITUTE(SUBSTITUTE(SUBSTITUTE(SUBSTITUTE(SUBSTITUTE(SUBSTITUTE(SUBSTITUTE(LEFT(BM444,FIND("0",BM444&amp;"0")-1),"-",""),"_",""),"/",""),".",""),"#",""),"\\",""),":","")," ",""),"(",""),")","")</f>
        <v/>
      </c>
      <c r="BV444" s="61" t="n">
        <f aca="false">0</f>
        <v>0</v>
      </c>
      <c r="BW4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444&amp;""),"a",""),"b",""),"c",""),"d",""),"e",""),"f",""),"g",""),"h",""),"i",""),"j",""),"k",""),"l",""),"m",""),"n",""),"o",""),"p",""),"q",""),"r",""),"s",""),"t",""),"u",""),"v",""),"w",""),"x",""),"y",""),"z",""),"-",""),"_",""),"/",""),".",""),"#",""),"\\",""),":","")," ",""),"(",""),")","")</f>
        <v/>
      </c>
      <c r="BX444" s="61" t="str">
        <f aca="false">SUBSTITUTE(SUBSTITUTE(SUBSTITUTE(SUBSTITUTE(SUBSTITUTE(SUBSTITUTE(SUBSTITUTE(SUBSTITUTE(SUBSTITUTE(SUBSTITUTE(SUBSTITUTE(BM444,"0",""),"-",""),"_",""),"/",""),".",""),"#",""),"\\",""),":","")," ",""),"(",""),")","")</f>
        <v/>
      </c>
      <c r="BY444" s="62" t="n">
        <f aca="false">Q444-T12EarlyH/24</f>
        <v>46308.0104166667</v>
      </c>
      <c r="BZ444" s="61" t="n">
        <f aca="false">IFERROR(IF(IF(TRIM(S444)="Link / file path",AND(LEN(TRIM(Z444))&gt;=5,SUMPRODUCT(--ISNUMBER(SEARCH({"http","www.","\\",":\",".pdf",".jpg",".jpeg",".png",".heic",".xls",".doc",".msg",".eml",".ppt",".txt",".zip"},Z444)))&gt;0),AND(ISERROR(FIND(" ",TRIM(Z444))),NOT(OR(SUMPRODUCT(--ISNUMBER(FIND({",",";","&amp;","+"},Z444)))&gt;0,SUMPRODUCT(--ISNUMBER(SEARCH({"0/aa","0\\aa"},BN444)))&gt;0)),NOT(SUMPRODUCT(--ISNUMBER(SEARCH({"http","www.","\\",":\",".pdf",".jpg",".jpeg",".png",".heic",".xls",".doc",".msg",".eml",".ppt",".txt",".zip"},Z444)))&gt;0),NOT(LOWER(TRIM(Z444))=LOWER(Flights!$F$17)),ISNA(MATCH(BU444,{"mh","rev","revision","ver","version","v","r","a","b","seat","tray","row","gate","bay","stand","page","pg","item","line","no","cart","galley","flight","flt","table","box","bag","oven","etd","eta","std","sta","atd","ata","qty","pax","x","time","tel","ph","mob","day","wk","week","utc","gmt","myt","lt"},0)),NOT(OR(ISNUMBER(MATCH(LEFT(BN444,255),{"0000a","000a","00a","0000aa","000aa","00aa","0aa","0000aaa","000aaa","00a00","0a00","0000-0000","00:00","a00","a0","00.00.0000","00/00/0000","00-00-0000","0000-00-00","0000/00/00","0000.00.00","00.00.00","00/00/00","00-00-00","0.00.0000","0/00/0000","0-00-0000"},0)),ISNUMBER(MATCH(LEFT(BT444,255),{"0000a","000a","00a","0000aa","000aa","00aa","0aa","0000aaa","000aaa","00a00","0a00","0000-0000","00:00","a00","a0","00.00.0000","00/00/0000","00-00-0000","0000-00-00","0000/00/00","0000.00.00","00.00.00","00/00/00","00-00-00","0.00.0000","0/00/0000","0-00-0000"},0)))),NOT(OR(AND(BW444&lt;&gt;"",SUBSTITUTE(BW444,"0","")=""),AND(LEN(BW444)&gt;=4,BW444=REPT(LEFT(BW444),LEN(BW444))),ISNUMBER(MATCH(BW444,{"123","1234","12345","123456","1234567","12345678","0123","01234","012345","98765","987654","54321"},0)),ISNUMBER(MATCH(BX444,{"x","xx","xxx","xxxx","xxxxx","abc","abcd","nil","na","nan","test","tbc","tba","tbd","dummy","sample","example","eg","zz","zzz","none","null","xyz","qwe","asd","id","ref"},0)),AND(LEN(BW444)=8,BX444="",OR(LEFT(BW444,3)="202",ISNUMBER(MATCH(RIGHT(BW444,4),{"2025","2026","2027"},0)))))),OR(AND((LEN(BT444)-LEN(SUBSTITUTE(BT444,"a","")))&gt;=1,(LEN(BN444)-LEN(SUBSTITUTE(BN444,"0","")))&gt;=2,SUMPRODUCT(--ISNUMBER(SEARCH({"a0","a-0","a_0","a/0","a.0","a#0","0a","0-a","0_a","0/a"},BN444)))&gt;0),AND((LEN(BN444)-LEN(SUBSTITUTE(BN444,"a","")))=0,(LEN(BN444)-LEN(SUBSTITUTE(BN444,"0","")))&gt;=5)))),1,0),0)</f>
        <v>0</v>
      </c>
      <c r="CA4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444,"revision",""),"version",""),"jan",""),"feb",""),"mar",""),"apr",""),"may",""),"jun",""),"jul",""),"aug",""),"sep",""),"oct",""),"nov",""),"dec",""),"utc",""),"gmt",""),"myt",""),"bst",""),"rev",""),"ver",""),"b","a"),"c","a"),"d","a"),"e","a"),"f","a"),"g","a"),"h","a"),"i","a"),"j","a"),"k","a"),"l","a"),"m","a"),"n","a"),"o","a"),"p","a"),"q","a"),"r","a"),"s","a"),"t","a"),"u","a"),"v","a"),"w","a"),"x","a"),"y","a"),"z","a")</f>
        <v/>
      </c>
      <c r="CB4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444&amp;""),"a",""),"b",""),"c",""),"d",""),"e",""),"f",""),"g",""),"h",""),"i",""),"j",""),"k",""),"l",""),"m",""),"n",""),"o",""),"p",""),"q",""),"r",""),"s",""),"t",""),"u",""),"v",""),"w",""),"x",""),"y",""),"z",""),"-",""),"_",""),"/",""),".",""),"#",""),"\\",""),":","")," ",""),"(",""),")","")</f>
        <v/>
      </c>
      <c r="CC444" s="0" t="str">
        <f aca="false">" "&amp;TRIM(SUBSTITUTE(SUBSTITUTE(SUBSTITUTE(SUBSTITUTE(SUBSTITUTE(SUBSTITUTE(SUBSTITUTE(SUBSTITUTE(SUBSTITUTE(SUBSTITUTE(SUBSTITUTE(SUBSTITUTE(SUBSTITUTE(SUBSTITUTE(SUBSTITUTE(SUBSTITUTE(SUBSTITUTE(SUBSTITUTE(SUBSTITUTE(SUBSTITUTE(SUBSTITUTE(SUBSTITUTE(SUBSTITUTE(SUBSTITUTE(LOWER(T444&amp;""),CHAR(10)," "),CHAR(13)," "),CHAR(9)," "),CHAR(160)," "),"."," "),","," "),"-"," "),"/"," "),"("," "),")"," "),":"," "),";"," "),"_"," "),"–"," "),"?"," "),"!"," "),"*"," "),"["," "),"]"," "),"'"," "),"#"," "),"+"," "),"&amp;"," "),"\"," "))&amp;" "</f>
        <v>  </v>
      </c>
      <c r="CD444" s="0" t="str">
        <f aca="false">" "&amp;TRIM(SUBSTITUTE(SUBSTITUTE(SUBSTITUTE(SUBSTITUTE(SUBSTITUTE(SUBSTITUTE(SUBSTITUTE(SUBSTITUTE(SUBSTITUTE(SUBSTITUTE(SUBSTITUTE(SUBSTITUTE(SUBSTITUTE(SUBSTITUTE(SUBSTITUTE(SUBSTITUTE(SUBSTITUTE(SUBSTITUTE(SUBSTITUTE(SUBSTITUTE(SUBSTITUTE(SUBSTITUTE(SUBSTITUTE(SUBSTITUTE(LOWER(AE444&amp;""),CHAR(10)," "),CHAR(13)," "),CHAR(9)," "),CHAR(160)," "),"."," "),","," "),"-"," "),"/"," "),"("," "),")"," "),":"," "),";"," "),"_"," "),"–"," "),"?"," "),"!"," "),"*"," "),"["," "),"]"," "),"'"," "),"#"," "),"+"," "),"&amp;"," "),"\"," "))&amp;" "</f>
        <v>  </v>
      </c>
      <c r="CE444" s="68" t="n">
        <f aca="false">IFERROR(IF(AND(LEN(AU444)&gt;0,LEN(AU444)=LEN(AX444),OR(TRIM(MID(SUBSTITUTE(TRIM(CC444)," ",REPT(" ",60)),1,60))="",ISNUMBER(SEARCH(" "&amp;TRIM(MID(SUBSTITUTE(TRIM(CC444)," ",REPT(" ",60)),1,60))&amp;" ",CD444))),OR(TRIM(MID(SUBSTITUTE(TRIM(CC444)," ",REPT(" ",60)),61,60))="",ISNUMBER(SEARCH(" "&amp;TRIM(MID(SUBSTITUTE(TRIM(CC444)," ",REPT(" ",60)),61,60))&amp;" ",CD444))),OR(TRIM(MID(SUBSTITUTE(TRIM(CC444)," ",REPT(" ",60)),121,60))="",ISNUMBER(SEARCH(" "&amp;TRIM(MID(SUBSTITUTE(TRIM(CC444)," ",REPT(" ",60)),121,60))&amp;" ",CD444)))),1,0),0)</f>
        <v>0</v>
      </c>
      <c r="CG444" s="68" t="n">
        <f aca="false">IFERROR(LEN(SUBSTITUTE(BF444," ",""))-SUMPRODUCT((LEN(BF444)-LEN(SUBSTITUTE(BF444," "&amp;L_NAFiller&amp;" "," ")))/(LEN(L_NAFiller)+1)*LEN(L_NAFiller)),0)</f>
        <v>0</v>
      </c>
    </row>
    <row r="445" customFormat="false" ht="78.75" hidden="false" customHeight="true" outlineLevel="0" collapsed="false">
      <c r="A445" s="57" t="s">
        <v>1082</v>
      </c>
      <c r="B445" s="57" t="s">
        <v>272</v>
      </c>
      <c r="C445" s="57" t="str">
        <f aca="false">Flights!$F$17</f>
        <v>MH0138</v>
      </c>
      <c r="D445" s="58" t="n">
        <f aca="false">Flights!$D$17</f>
        <v>46309</v>
      </c>
      <c r="E445" s="57" t="str">
        <f aca="false">Flights!$G$17&amp;"-"&amp;Flights!$H$17</f>
        <v>ADL-KUL</v>
      </c>
      <c r="F445" s="57" t="str">
        <f aca="false">Flights!$K$17</f>
        <v>EY</v>
      </c>
      <c r="G445" s="57" t="s">
        <v>420</v>
      </c>
      <c r="H445" s="57" t="s">
        <v>378</v>
      </c>
      <c r="I445" s="57" t="s">
        <v>440</v>
      </c>
      <c r="J445" s="57" t="s">
        <v>441</v>
      </c>
      <c r="K445" s="67" t="s">
        <v>442</v>
      </c>
      <c r="L445" s="67" t="s">
        <v>1014</v>
      </c>
      <c r="M445" s="67" t="s">
        <v>187</v>
      </c>
      <c r="N445" s="67" t="s">
        <v>444</v>
      </c>
      <c r="O445" s="67" t="s">
        <v>1083</v>
      </c>
      <c r="P445" s="57" t="s">
        <v>187</v>
      </c>
      <c r="Q445" s="59" t="n">
        <f aca="false">ROUND((MIN(Flights!$AE$17,Flights!$AY$17))*1440,0)/1440</f>
        <v>46307.3506944444</v>
      </c>
      <c r="R445" s="59" t="n">
        <f aca="false">Q445+(IF(AND(INDEX(TZ_DSTS,MATCH(P445,TZ_STN,0))&lt;&gt;"",Q445&gt;=INDEX(TZ_DSTS,MATCH(P445,TZ_STN,0)),Q445&lt;INDEX(TZ_DSTE,MATCH(P445,TZ_STN,0))),INDEX(TZ_DST,MATCH(P445,TZ_STN,0)),INDEX(TZ_STD,MATCH(P445,TZ_STN,0))))/24</f>
        <v>46307.6840277778</v>
      </c>
      <c r="S445" s="60"/>
      <c r="T445" s="60"/>
      <c r="U445" s="60"/>
      <c r="V445" s="60"/>
      <c r="W445" s="61"/>
      <c r="X445" s="60"/>
      <c r="Y445" s="60"/>
      <c r="Z445" s="60"/>
      <c r="AA445" s="60"/>
      <c r="AB445" s="60"/>
      <c r="AC445" s="60"/>
      <c r="AD445" s="66"/>
      <c r="AE445" s="60"/>
      <c r="AF445" s="61" t="str">
        <f aca="false">IF(AND(ISNUMBER(X445),ISNUMBER(Y445)),Y445-X445,"")</f>
        <v/>
      </c>
      <c r="AG445" s="62" t="str">
        <f aca="false">IF(ISNUMBER(AD445),AD445-(IF(AND(INDEX(TZ_DSTS,MATCH(P445,TZ_STN,0))&lt;&gt;"",(AD445-INDEX(TZ_STD,MATCH(P445,TZ_STN,0))/24)&gt;=INDEX(TZ_DSTS,MATCH(P445,TZ_STN,0)),(AD445-INDEX(TZ_STD,MATCH(P445,TZ_STN,0))/24)&lt;INDEX(TZ_DSTE,MATCH(P445,TZ_STN,0))),INDEX(TZ_DST,MATCH(P445,TZ_STN,0)),INDEX(TZ_STD,MATCH(P445,TZ_STN,0))))/24,"")</f>
        <v/>
      </c>
      <c r="AH445" s="65" t="str">
        <f aca="false">IFERROR(IF(N445="N/A – rule",IF(OR(TRIM(U445)="",TRIM(U445)="N/A",TRIM(U445)="Not started"),"N/A – RULE","INVALID – this check does not apply to this aircraft: clear the status (or correct the fleet on Flights)"),IF(TRIM(U445)="N/A",IF(AT445=0,"INVALID – N/A not permitted for this check",IF(AND(TRIM(AB445)&lt;&gt;"",TRIM(AB445)&lt;&gt;"Closed"),"INVALID – corrective action still open",IF(AND(NOT(OR(LEN(AZ445)&lt;15,ISNUMBER(MATCH(AZ445,L_Placeholder,0)))),BK445=0,CG445&gt;=8,NOT(OR(LEN(AU445)&lt;2,ISNUMBER(MATCH(AU445,L_Placeholder,0)))),BR445&gt;=3,NOT(OR(LEN(AX445)&lt;2,ISNUMBER(MATCH(AX445,L_Placeholder,0)))),BS445&gt;=3,TRIM(AE445)&lt;&gt;TRIM(T445),AX445&lt;&gt;AU445,CE445=0),"N/A – JUSTIFIED","INVALID – N/A needs a real, settled reason (not 'not applicable' / 'as above' / TBC), a named PIC and a different named verifier"))),IF(OR(TRIM(U445)="Pass",TRIM(U445)="Pass after CA"),IF(NOT(ISNUMBER(AD445)),"INVALID – completion time missing",IF(OR(OR(LEN(AU445)&lt;2,ISNUMBER(MATCH(AU445,L_Placeholder,0))),BR445&lt;3),"INVALID – PIC missing or not a named person (a role such as QA / CSM is not a name)",IF(OR(LEN(AV445)&lt;2,ISNUMBER(MATCH(AV445,L_Placeholder,0))),"INVALID – result / assessment missing",IF(OR(OR(LEN(AW445)&lt;3,ISNUMBER(MATCH(AW445,L_Placeholder,0))),SUMPRODUCT(--ISNUMBER(SEARCH(" "&amp;L_EvidencePhrase&amp;" ",BD445)))&gt;0,BI445=1),"INVALID – evidence missing, placeholder or not yet on file",IF(ISNA(MATCH(TRIM(S445),L_EvidenceType,0)),"INVALID – choose the evidence type from the list (column S)",IF(BL445=0,"INVALID – evidence ID must be the record's own ID only (e.g. SF-2210, IMG_2231, 1045521); a link / file name needs type 'Link / file path'",IF(OR(OR(LEN(AX445)&lt;2,ISNUMBER(MATCH(AX445,L_Placeholder,0))),BS445&lt;3),"INVALID – verifier missing or not a named person (a role such as QA / CSM is not a name)",IF(OR(AX445=AU445,CE445=1,AND(LEN(AU445)&gt;=4,ISNUMBER(SEARCH(AU445,AX445))),AND(LEN(AX445)&gt;=4,ISNUMBER(SEARCH(AX445,AU445)))),"INVALID – verifier must be a different, named person (not the PIC or a role)",IF(BH445=1,"INVALID – result not yet available (awaiting / TBC)",IF(BG445=1,"INVALID – result describes a problem: record Fail, then Pass after CA (or reword if it is not a problem)",IF(BV445=1,"INVALID – wording says not on board: an on-board confirmation needs the item loaded",IF(AND(AQ445=1,OR(OR(LEN(AY445)&lt;3,ISNUMBER(MATCH(AY445,L_Placeholder,0))),BJ445=1,BQ445=0)),"INVALID – batch ID missing, placeholder or not an ID (e.g. PASB-261008-BC-017)",IF(AND(AR445=1,OR(NOT(ISNUMBER(X445)),NOT(ISNUMBER(Y445)))),"INVALID – expected/actual qty missing",IF(AND(AR445=1,OR(X445&lt;=0,Y445&lt;0)),"INVALID – expected qty must be above 0 and actual not negative",IF(BB445&lt;&gt;"",BB445,IF(AND(AS445=1,Documents!$J$17&lt;&gt;"ON FILE"),"INVALID – GLD not on file (Documents sheet)",IF(AND(AS445=2,Documents!$O$17&lt;&gt;"ON FILE"),"INVALID – menu checklist not on file (Documents sheet)",IF(AND(AS445=3,NOT(ISNUMBER(Flights!$AX$17))),"INVALID – enter carrying flight KUL departure (Flights AX)",IF(AND(AS445=3,OR(Flights!$AZ$17&gt;Flights!$AA$17,Flights!$AX$17&lt;Flights!$AA$17-3)),"INVALID – carrying flight (Flights AX) cannot arrive before this leg's STD, or is over 3 days early",IF(AG445&gt;AsOfUTC,"INVALID – completion time is in the future",IF(AND(ISNUMBER(BY445),AG445&lt;BY445),IF(H445="Physical uplift","INVALID – before uplift window (cannot confirm loading)","INVALID – before valid window"),IF(AG445&gt;Flights!$AA$17,"INVALID – completed after departure (cannot establish readiness)",IF(AND(H445="Preparation",AG445&gt;=Flights!$AY$17+UpliftWindowH/24),"INVALID – completed after the carrying flight left KUL",IF(AND(H445="Physical uplift",AG445&gt;Q445),"INVALID – recorded after the loading flight departed",IF(AG445&gt;Q445,"COMPLETE – LATE","COMPLETE"))))))))))))))))))))))))),IF(TRIM(U445)="Fail","FAIL – DISCREPANCY",IF(AND(TRIM(U445)&lt;&gt;"",TRIM(U445)&lt;&gt;"Not started",TRIM(U445)&lt;&gt;"In progress"),"INVALID – unrecognised status (use the list)",IF(AsOfUTC&gt;Q445,"OVERDUE",IF(N445="Clarification required","OPEN – CLARIFICATION","OPEN"))))))),"INVALID – error value in an input cell")</f>
        <v>OPEN – CLARIFICATION</v>
      </c>
      <c r="AI445" s="61" t="n">
        <f aca="false">IF(OR(AH445="N/A – RULE",AH445="N/A – JUSTIFIED"),0,1)</f>
        <v>1</v>
      </c>
      <c r="AJ445" s="61" t="n">
        <f aca="false">IF(LEFT(AH445,8)="COMPLETE",1,0)</f>
        <v>0</v>
      </c>
      <c r="AK445" s="61" t="n">
        <f aca="false">IF(AND(AI445=1,AJ445=0,AsOfUTC&gt;Q445),1,0)</f>
        <v>0</v>
      </c>
      <c r="AL445" s="61" t="n">
        <f aca="false">IFERROR(IF(AND(AI445=1,OR(TRIM(U445)="Fail",AND(TRIM(AB445)&lt;&gt;"",TRIM(AB445)&lt;&gt;"Closed"),AND(ISNUMBER(AF445),AF445&lt;&gt;0,TRIM(U445)&lt;&gt;"Pass after CA"))),1,0),1)</f>
        <v>0</v>
      </c>
      <c r="AM445" s="61" t="n">
        <f aca="false">IF(LEFT(AH445,7)="INVALID",1,0)</f>
        <v>0</v>
      </c>
      <c r="AN445" s="61" t="n">
        <f aca="false">IF(AND(N445="Clarification required",AI445=1,AJ445=0),1,0)</f>
        <v>1</v>
      </c>
      <c r="AO445" s="61" t="str">
        <f aca="false">IF(AK445=1,SUM(AK$5:AK445),"")</f>
        <v/>
      </c>
      <c r="AP445" s="61" t="str">
        <f aca="false">IF(AL445=1,SUM(AL$5:AL445),"")</f>
        <v/>
      </c>
      <c r="AQ445" s="61" t="n">
        <v>0</v>
      </c>
      <c r="AR445" s="61" t="n">
        <v>0</v>
      </c>
      <c r="AS445" s="61" t="n">
        <v>0</v>
      </c>
      <c r="AT445" s="61" t="n">
        <v>1</v>
      </c>
      <c r="AU445" s="61" t="str">
        <f aca="false">SUBSTITUTE(SUBSTITUTE(SUBSTITUTE(SUBSTITUTE(SUBSTITUTE(SUBSTITUTE(SUBSTITUTE(SUBSTITUTE(SUBSTITUTE(SUBSTITUTE(SUBSTITUTE(SUBSTITUTE(SUBSTITUTE(SUBSTITUTE(SUBSTITUTE(SUBSTITUTE(LOWER(T445&amp;""),CHAR(10),""),CHAR(13),""),CHAR(9),""),CHAR(160),"")," ",""),".",""),"-",""),"/",""),"?",""),"_",""),",",""),"[",""),"]",""),"(",""),")",""),"*","")</f>
        <v/>
      </c>
      <c r="AV445" s="61" t="str">
        <f aca="false">SUBSTITUTE(SUBSTITUTE(SUBSTITUTE(SUBSTITUTE(SUBSTITUTE(SUBSTITUTE(SUBSTITUTE(SUBSTITUTE(SUBSTITUTE(SUBSTITUTE(SUBSTITUTE(SUBSTITUTE(SUBSTITUTE(SUBSTITUTE(SUBSTITUTE(SUBSTITUTE(LOWER(V445&amp;""),CHAR(10),""),CHAR(13),""),CHAR(9),""),CHAR(160),"")," ",""),".",""),"-",""),"/",""),"?",""),"_",""),",",""),"[",""),"]",""),"(",""),")",""),"*","")</f>
        <v/>
      </c>
      <c r="AW445" s="61" t="str">
        <f aca="false">SUBSTITUTE(SUBSTITUTE(SUBSTITUTE(SUBSTITUTE(SUBSTITUTE(SUBSTITUTE(SUBSTITUTE(SUBSTITUTE(SUBSTITUTE(SUBSTITUTE(SUBSTITUTE(SUBSTITUTE(SUBSTITUTE(SUBSTITUTE(SUBSTITUTE(SUBSTITUTE(LOWER(Z445&amp;""),CHAR(10),""),CHAR(13),""),CHAR(9),""),CHAR(160),"")," ",""),".",""),"-",""),"/",""),"?",""),"_",""),",",""),"[",""),"]",""),"(",""),")",""),"*","")</f>
        <v/>
      </c>
      <c r="AX445" s="61" t="str">
        <f aca="false">SUBSTITUTE(SUBSTITUTE(SUBSTITUTE(SUBSTITUTE(SUBSTITUTE(SUBSTITUTE(SUBSTITUTE(SUBSTITUTE(SUBSTITUTE(SUBSTITUTE(SUBSTITUTE(SUBSTITUTE(SUBSTITUTE(SUBSTITUTE(SUBSTITUTE(SUBSTITUTE(LOWER(AE445&amp;""),CHAR(10),""),CHAR(13),""),CHAR(9),""),CHAR(160),"")," ",""),".",""),"-",""),"/",""),"?",""),"_",""),",",""),"[",""),"]",""),"(",""),")",""),"*","")</f>
        <v/>
      </c>
      <c r="AY445" s="61" t="str">
        <f aca="false">SUBSTITUTE(SUBSTITUTE(SUBSTITUTE(SUBSTITUTE(SUBSTITUTE(SUBSTITUTE(SUBSTITUTE(SUBSTITUTE(SUBSTITUTE(SUBSTITUTE(SUBSTITUTE(SUBSTITUTE(SUBSTITUTE(SUBSTITUTE(SUBSTITUTE(SUBSTITUTE(LOWER(W445&amp;""),CHAR(10),""),CHAR(13),""),CHAR(9),""),CHAR(160),"")," ",""),".",""),"-",""),"/",""),"?",""),"_",""),",",""),"[",""),"]",""),"(",""),")",""),"*","")</f>
        <v/>
      </c>
      <c r="AZ445" s="61" t="str">
        <f aca="false">SUBSTITUTE(SUBSTITUTE(SUBSTITUTE(SUBSTITUTE(SUBSTITUTE(SUBSTITUTE(SUBSTITUTE(SUBSTITUTE(SUBSTITUTE(SUBSTITUTE(SUBSTITUTE(SUBSTITUTE(SUBSTITUTE(SUBSTITUTE(SUBSTITUTE(SUBSTITUTE(LOWER(AC445&amp;""),CHAR(10),""),CHAR(13),""),CHAR(9),""),CHAR(160),"")," ",""),".",""),"-",""),"/",""),"?",""),"_",""),",",""),"[",""),"]",""),"(",""),")",""),"*","")</f>
        <v/>
      </c>
      <c r="BA445" s="61" t="str">
        <f aca="false">SUBSTITUTE(SUBSTITUTE(SUBSTITUTE(SUBSTITUTE(SUBSTITUTE(SUBSTITUTE(SUBSTITUTE(SUBSTITUTE(SUBSTITUTE(SUBSTITUTE(SUBSTITUTE(SUBSTITUTE(SUBSTITUTE(SUBSTITUTE(SUBSTITUTE(SUBSTITUTE(LOWER(AA445&amp;""),CHAR(10),""),CHAR(13),""),CHAR(9),""),CHAR(160),"")," ",""),".",""),"-",""),"/",""),"?",""),"_",""),",",""),"[",""),"]",""),"(",""),")",""),"*","")</f>
        <v/>
      </c>
      <c r="BB445" s="61" t="str">
        <f aca="false">IF(AND(TRIM(U445)="Pass",ISNUMBER(AF445)),IF(AF445&lt;&gt;0,"INVALID – qty variance: use Fail or Pass after CA",""),"")&amp;IF(AND(TRIM(U445)="Pass after CA",ISNUMBER(AF445)),IF(AF445&lt;&gt;0,"INVALID – after the corrective action the actual qty must equal expected (update Actual)",""),"")&amp;IF(AND(TRIM(U445)="Pass",TRIM(AB445)&lt;&gt;"",TRIM(AB445)&lt;&gt;"Closed"),"INVALID – corrective action not closed: use Fail, then Pass after CA","")&amp;IF(AND(LEN(BA445)&gt;=2,ISNA(MATCH(LEFT(BA445,255),L_Placeholder,0)),TRIM(AB445)=""),"INVALID – CA status missing for the recorded corrective action","")&amp;IF(AND(TRIM(U445)="Pass after CA",OR(OR(LEN(BA445)&lt;5,ISNUMBER(MATCH(BA445,L_Placeholder,0))),TRIM(AB445)&lt;&gt;"Closed")),"INVALID – corrective action not recorded/closed","")</f>
        <v/>
      </c>
      <c r="BC445" s="61" t="str">
        <f aca="false">" "&amp;TRIM(SUBSTITUTE(SUBSTITUTE(SUBSTITUTE(SUBSTITUTE(SUBSTITUTE(SUBSTITUTE(SUBSTITUTE(SUBSTITUTE(SUBSTITUTE(SUBSTITUTE(SUBSTITUTE(SUBSTITUTE(SUBSTITUTE(SUBSTITUTE(SUBSTITUTE(SUBSTITUTE(SUBSTITUTE(SUBSTITUTE(SUBSTITUTE(SUBSTITUTE(SUBSTITUTE(SUBSTITUTE(SUBSTITUTE(SUBSTITUTE(LOWER(V445&amp;""),CHAR(10)," "),CHAR(13)," "),CHAR(9)," "),CHAR(160)," "),"."," "),","," "),"-"," "),"/"," "),"("," "),")"," "),":"," "),";"," "),"_"," "),"–"," "),"?"," "),"!"," "),"*"," "),"["," "),"]"," "),"'"," "),"#"," "),"+"," "),"&amp;"," "),"\"," "))&amp;" "</f>
        <v>  </v>
      </c>
      <c r="BD445" s="61" t="str">
        <f aca="false">" "&amp;TRIM(SUBSTITUTE(SUBSTITUTE(SUBSTITUTE(SUBSTITUTE(SUBSTITUTE(SUBSTITUTE(SUBSTITUTE(SUBSTITUTE(SUBSTITUTE(SUBSTITUTE(SUBSTITUTE(SUBSTITUTE(SUBSTITUTE(SUBSTITUTE(SUBSTITUTE(SUBSTITUTE(SUBSTITUTE(SUBSTITUTE(SUBSTITUTE(SUBSTITUTE(SUBSTITUTE(SUBSTITUTE(SUBSTITUTE(SUBSTITUTE(LOWER(Z445&amp;""),CHAR(10)," "),CHAR(13)," "),CHAR(9)," "),CHAR(160)," "),"."," "),","," "),"-"," "),"/"," "),"("," "),")"," "),":"," "),";"," "),"_"," "),"–"," "),"?"," "),"!"," "),"*"," "),"["," "),"]"," "),"'"," "),"#"," "),"+"," "),"&amp;"," "),"\"," "))&amp;" "</f>
        <v>  </v>
      </c>
      <c r="BE445" s="61" t="str">
        <f aca="false">" "&amp;TRIM(SUBSTITUTE(SUBSTITUTE(SUBSTITUTE(SUBSTITUTE(SUBSTITUTE(SUBSTITUTE(SUBSTITUTE(SUBSTITUTE(SUBSTITUTE(SUBSTITUTE(SUBSTITUTE(SUBSTITUTE(SUBSTITUTE(SUBSTITUTE(SUBSTITUTE(SUBSTITUTE(SUBSTITUTE(SUBSTITUTE(SUBSTITUTE(SUBSTITUTE(SUBSTITUTE(SUBSTITUTE(SUBSTITUTE(SUBSTITUTE(LOWER(W445&amp;""),CHAR(10)," "),CHAR(13)," "),CHAR(9)," "),CHAR(160)," "),"."," "),","," "),"-"," "),"/"," "),"("," "),")"," "),":"," "),";"," "),"_"," "),"–"," "),"?"," "),"!"," "),"*"," "),"["," "),"]"," "),"'"," "),"#"," "),"+"," "),"&amp;"," "),"\"," "))&amp;" "</f>
        <v>  </v>
      </c>
      <c r="BF445" s="61" t="str">
        <f aca="false">" "&amp;TRIM(SUBSTITUTE(SUBSTITUTE(SUBSTITUTE(SUBSTITUTE(SUBSTITUTE(SUBSTITUTE(SUBSTITUTE(SUBSTITUTE(SUBSTITUTE(SUBSTITUTE(SUBSTITUTE(SUBSTITUTE(SUBSTITUTE(SUBSTITUTE(SUBSTITUTE(SUBSTITUTE(SUBSTITUTE(SUBSTITUTE(SUBSTITUTE(SUBSTITUTE(SUBSTITUTE(SUBSTITUTE(SUBSTITUTE(SUBSTITUTE(LOWER(AC445&amp;""),CHAR(10)," "),CHAR(13)," "),CHAR(9)," "),CHAR(160)," "),"."," "),","," "),"-"," "),"/"," "),"("," "),")"," "),":"," "),";"," "),"_"," "),"–"," "),"?"," "),"!"," "),"*"," "),"["," "),"]"," "),"'"," "),"#"," "),"+"," "),"&amp;"," "),"\"," "))&amp;" "</f>
        <v>  </v>
      </c>
      <c r="BG445" s="61" t="n">
        <f aca="false">IFERROR(IF(AND(TRIM(U445)="Pass",SUMPRODUCT((LEN(BC445)-LEN(SUBSTITUTE(BC445," "&amp;L_ResultBad&amp;" "," ")))/(LEN(L_ResultBad)+1))&gt;SUMPRODUCT((LEN(BC445)-LEN(SUBSTITUTE(BC445," "&amp;L_NegPhrase&amp;" "," ")))/(LEN(L_NegPhrase)+1))),1,0),0)</f>
        <v>0</v>
      </c>
      <c r="BH445" s="61" t="n">
        <f aca="false">IFERROR(IF(SUMPRODUCT((LEN(BC445)-LEN(SUBSTITUTE(BC445," "&amp;L_Pending&amp;" "," ")))/(LEN(L_Pending)+1))&gt;SUMPRODUCT((LEN(BC445)-LEN(SUBSTITUTE(BC445," "&amp;L_PendNeg&amp;" "," ")))/(LEN(L_PendNeg)+1))+SUMPRODUCT((LEN(BC445)-LEN(SUBSTITUTE(BC445," "&amp;L_PendPrep&amp;" "," ")))/(LEN(L_PendPrep)+1)),1,0),1)</f>
        <v>0</v>
      </c>
      <c r="BI445" s="61" t="n">
        <f aca="false">IFERROR(IF(SUMPRODUCT((LEN(BD445)-LEN(SUBSTITUTE(BD445," "&amp;L_PendStrict&amp;" "," ")))/(LEN(L_PendStrict)+1))&gt;SUMPRODUCT((LEN(BD445)-LEN(SUBSTITUTE(BD445," "&amp;L_PendNeg&amp;" "," ")))/(LEN(L_PendNeg)+1)),1,0),1)</f>
        <v>0</v>
      </c>
      <c r="BJ445" s="61" t="n">
        <f aca="false">IFERROR(IF(SUMPRODUCT((LEN(BE445)-LEN(SUBSTITUTE(BE445," "&amp;L_Pending&amp;" "," ")))/(LEN(L_Pending)+1))&gt;SUMPRODUCT((LEN(BE445)-LEN(SUBSTITUTE(BE445," "&amp;L_PendNeg&amp;" "," ")))/(LEN(L_PendNeg)+1))+SUMPRODUCT((LEN(BE445)-LEN(SUBSTITUTE(BE445," "&amp;L_PendPrep&amp;" "," ")))/(LEN(L_PendPrep)+1)),1,0),1)</f>
        <v>0</v>
      </c>
      <c r="BK445" s="61" t="n">
        <f aca="false">IFERROR(IF(SUMPRODUCT((LEN(BF445)-LEN(SUBSTITUTE(BF445," "&amp;L_PendStrict&amp;" "," ")))/(LEN(L_PendStrict)+1))&gt;SUMPRODUCT((LEN(BF445)-LEN(SUBSTITUTE(BF445," "&amp;L_PendNeg&amp;" "," ")))/(LEN(L_PendNeg)+1)),1,0),1)</f>
        <v>0</v>
      </c>
      <c r="BL445" s="61" t="n">
        <f aca="false">IF(ISNA(MATCH(TRIM(S445),L_EvidenceType,0)),0,BZ445)</f>
        <v>0</v>
      </c>
      <c r="BM445" s="61" t="str">
        <f aca="false">SUBSTITUTE(SUBSTITUTE(SUBSTITUTE(SUBSTITUTE(SUBSTITUTE(SUBSTITUTE(SUBSTITUTE(SUBSTITUTE(SUBSTITUTE(LOWER(Z445&amp;""),"1","0"),"2","0"),"3","0"),"4","0"),"5","0"),"6","0"),"7","0"),"8","0"),"9","0")</f>
        <v/>
      </c>
      <c r="BN445" s="61" t="str">
        <f aca="false">SUBSTITUTE(SUBSTITUTE(SUBSTITUTE(SUBSTITUTE(SUBSTITUTE(SUBSTITUTE(SUBSTITUTE(SUBSTITUTE(SUBSTITUTE(SUBSTITUTE(SUBSTITUTE(SUBSTITUTE(SUBSTITUTE(SUBSTITUTE(SUBSTITUTE(SUBSTITUTE(SUBSTITUTE(SUBSTITUTE(SUBSTITUTE(SUBSTITUTE(SUBSTITUTE(SUBSTITUTE(SUBSTITUTE(SUBSTITUTE(SUBSTITUTE(BM445,"b","a"),"c","a"),"d","a"),"e","a"),"f","a"),"g","a"),"h","a"),"i","a"),"j","a"),"k","a"),"l","a"),"m","a"),"n","a"),"o","a"),"p","a"),"q","a"),"r","a"),"s","a"),"t","a"),"u","a"),"v","a"),"w","a"),"x","a"),"y","a"),"z","a")</f>
        <v/>
      </c>
      <c r="BO445" s="61" t="str">
        <f aca="false">SUBSTITUTE(SUBSTITUTE(SUBSTITUTE(SUBSTITUTE(SUBSTITUTE(SUBSTITUTE(SUBSTITUTE(SUBSTITUTE(SUBSTITUTE(LOWER(W445&amp;""),"1","0"),"2","0"),"3","0"),"4","0"),"5","0"),"6","0"),"7","0"),"8","0"),"9","0")</f>
        <v/>
      </c>
      <c r="BP445" s="61" t="str">
        <f aca="false">SUBSTITUTE(SUBSTITUTE(SUBSTITUTE(SUBSTITUTE(SUBSTITUTE(SUBSTITUTE(SUBSTITUTE(SUBSTITUTE(SUBSTITUTE(SUBSTITUTE(SUBSTITUTE(SUBSTITUTE(SUBSTITUTE(SUBSTITUTE(SUBSTITUTE(SUBSTITUTE(SUBSTITUTE(SUBSTITUTE(SUBSTITUTE(SUBSTITUTE(SUBSTITUTE(SUBSTITUTE(SUBSTITUTE(SUBSTITUTE(SUBSTITUTE(BO445,"b","a"),"c","a"),"d","a"),"e","a"),"f","a"),"g","a"),"h","a"),"i","a"),"j","a"),"k","a"),"l","a"),"m","a"),"n","a"),"o","a"),"p","a"),"q","a"),"r","a"),"s","a"),"t","a"),"u","a"),"v","a"),"w","a"),"x","a"),"y","a"),"z","a")</f>
        <v/>
      </c>
      <c r="BQ445" s="61" t="n">
        <f aca="false">IFERROR(IF(AND(ISERROR(SEARCH(" mh"," "&amp;LOWER(W445))),ISNA(MATCH(LEFT(TRIM(BP445),255),{"0000a","000a","00a","0000aa","000aa","00aa","0aa","0000aaa","000aaa","00a00","0a00","0000-0000","00:00","a00","a0","00.00.0000","00/00/0000","00-00-0000","0000-00-00","0000/00/00","0000.00.00","00.00.00","00/00/00","00-00-00","0.00.0000","0/00/0000","0-00-0000"},0)),ISNA(MATCH(LEFT(TRIM(CA445),255),{"0000a","000a","00a","0000aa","000aa","00aa","0aa","0000aaa","000aaa","00a00","0a00","0000-0000","00:00","a00","a0","00.00.0000","00/00/0000","00-00-0000","0000-00-00","0000/00/00","0000.00.00","00.00.00","00/00/00","00-00-00","0.00.0000","0/00/0000","0-00-0000"},0)),LEN(CB445)&gt;=3,NOT(OR(SUBSTITUTE(CB445,"0","")="",AND(LEN(CB445)&gt;=4,CB445=REPT(LEFT(CB445),LEN(CB445))),ISNUMBER(MATCH(CB445,{"123","1234","12345","123456","1234567","12345678","0123","01234","012345","98765","987654","54321"},0)),AND(LEN(CB445)=8,LEFT(CB445,3)="202"))),OR(AND((LEN(CA445)-LEN(SUBSTITUTE(CA445,"a","")))&gt;=1,SUMPRODUCT(--ISNUMBER(SEARCH({"a0","a-0","a_0","a/0","a.0","a#0","0a","0-a","0_a","0/a"},BP445)))&gt;0),ISNUMBER(SEARCH("000000",BP445)))),1,0),0)</f>
        <v>0</v>
      </c>
      <c r="BR445" s="61" t="n">
        <f aca="false">IFERROR(LEN(SUBSTITUTE(CC445," ",""))-SUMPRODUCT((LEN(CC445)-LEN(SUBSTITUTE(CC445," "&amp;L_Role&amp;" "," ")))/(LEN(L_Role)+1)*LEN(L_Role)),0)</f>
        <v>0</v>
      </c>
      <c r="BS445" s="61" t="n">
        <f aca="false">IFERROR(LEN(SUBSTITUTE(CD445," ",""))-SUMPRODUCT((LEN(CD445)-LEN(SUBSTITUTE(CD445," "&amp;L_Role&amp;" "," ")))/(LEN(L_Role)+1)*LEN(L_Role)),0)</f>
        <v>0</v>
      </c>
      <c r="BT4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445,"revision",""),"version",""),"jan",""),"feb",""),"mar",""),"apr",""),"may",""),"jun",""),"jul",""),"aug",""),"sep",""),"oct",""),"nov",""),"dec",""),"utc",""),"gmt",""),"myt",""),"bst",""),"rev",""),"ver",""),"b","a"),"c","a"),"d","a"),"e","a"),"f","a"),"g","a"),"h","a"),"i","a"),"j","a"),"k","a"),"l","a"),"m","a"),"n","a"),"o","a"),"p","a"),"q","a"),"r","a"),"s","a"),"t","a"),"u","a"),"v","a"),"w","a"),"x","a"),"y","a"),"z","a")</f>
        <v/>
      </c>
      <c r="BU445" s="61" t="str">
        <f aca="false">SUBSTITUTE(SUBSTITUTE(SUBSTITUTE(SUBSTITUTE(SUBSTITUTE(SUBSTITUTE(SUBSTITUTE(SUBSTITUTE(SUBSTITUTE(SUBSTITUTE(LEFT(BM445,FIND("0",BM445&amp;"0")-1),"-",""),"_",""),"/",""),".",""),"#",""),"\\",""),":","")," ",""),"(",""),")","")</f>
        <v/>
      </c>
      <c r="BV445" s="61" t="n">
        <f aca="false">0</f>
        <v>0</v>
      </c>
      <c r="BW4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445&amp;""),"a",""),"b",""),"c",""),"d",""),"e",""),"f",""),"g",""),"h",""),"i",""),"j",""),"k",""),"l",""),"m",""),"n",""),"o",""),"p",""),"q",""),"r",""),"s",""),"t",""),"u",""),"v",""),"w",""),"x",""),"y",""),"z",""),"-",""),"_",""),"/",""),".",""),"#",""),"\\",""),":","")," ",""),"(",""),")","")</f>
        <v/>
      </c>
      <c r="BX445" s="61" t="str">
        <f aca="false">SUBSTITUTE(SUBSTITUTE(SUBSTITUTE(SUBSTITUTE(SUBSTITUTE(SUBSTITUTE(SUBSTITUTE(SUBSTITUTE(SUBSTITUTE(SUBSTITUTE(SUBSTITUTE(BM445,"0",""),"-",""),"_",""),"/",""),".",""),"#",""),"\\",""),":","")," ",""),"(",""),")","")</f>
        <v/>
      </c>
      <c r="BY445" s="62" t="n">
        <f aca="false">Q445-T12EarlyH/24</f>
        <v>46306.8506944444</v>
      </c>
      <c r="BZ445" s="61" t="n">
        <f aca="false">IFERROR(IF(IF(TRIM(S445)="Link / file path",AND(LEN(TRIM(Z445))&gt;=5,SUMPRODUCT(--ISNUMBER(SEARCH({"http","www.","\\",":\",".pdf",".jpg",".jpeg",".png",".heic",".xls",".doc",".msg",".eml",".ppt",".txt",".zip"},Z445)))&gt;0),AND(ISERROR(FIND(" ",TRIM(Z445))),NOT(OR(SUMPRODUCT(--ISNUMBER(FIND({",",";","&amp;","+"},Z445)))&gt;0,SUMPRODUCT(--ISNUMBER(SEARCH({"0/aa","0\\aa"},BN445)))&gt;0)),NOT(SUMPRODUCT(--ISNUMBER(SEARCH({"http","www.","\\",":\",".pdf",".jpg",".jpeg",".png",".heic",".xls",".doc",".msg",".eml",".ppt",".txt",".zip"},Z445)))&gt;0),NOT(LOWER(TRIM(Z445))=LOWER(Flights!$F$17)),ISNA(MATCH(BU445,{"mh","rev","revision","ver","version","v","r","a","b","seat","tray","row","gate","bay","stand","page","pg","item","line","no","cart","galley","flight","flt","table","box","bag","oven","etd","eta","std","sta","atd","ata","qty","pax","x","time","tel","ph","mob","day","wk","week","utc","gmt","myt","lt"},0)),NOT(OR(ISNUMBER(MATCH(LEFT(BN445,255),{"0000a","000a","00a","0000aa","000aa","00aa","0aa","0000aaa","000aaa","00a00","0a00","0000-0000","00:00","a00","a0","00.00.0000","00/00/0000","00-00-0000","0000-00-00","0000/00/00","0000.00.00","00.00.00","00/00/00","00-00-00","0.00.0000","0/00/0000","0-00-0000"},0)),ISNUMBER(MATCH(LEFT(BT445,255),{"0000a","000a","00a","0000aa","000aa","00aa","0aa","0000aaa","000aaa","00a00","0a00","0000-0000","00:00","a00","a0","00.00.0000","00/00/0000","00-00-0000","0000-00-00","0000/00/00","0000.00.00","00.00.00","00/00/00","00-00-00","0.00.0000","0/00/0000","0-00-0000"},0)))),NOT(OR(AND(BW445&lt;&gt;"",SUBSTITUTE(BW445,"0","")=""),AND(LEN(BW445)&gt;=4,BW445=REPT(LEFT(BW445),LEN(BW445))),ISNUMBER(MATCH(BW445,{"123","1234","12345","123456","1234567","12345678","0123","01234","012345","98765","987654","54321"},0)),ISNUMBER(MATCH(BX445,{"x","xx","xxx","xxxx","xxxxx","abc","abcd","nil","na","nan","test","tbc","tba","tbd","dummy","sample","example","eg","zz","zzz","none","null","xyz","qwe","asd","id","ref"},0)),AND(LEN(BW445)=8,BX445="",OR(LEFT(BW445,3)="202",ISNUMBER(MATCH(RIGHT(BW445,4),{"2025","2026","2027"},0)))))),OR(AND((LEN(BT445)-LEN(SUBSTITUTE(BT445,"a","")))&gt;=1,(LEN(BN445)-LEN(SUBSTITUTE(BN445,"0","")))&gt;=2,SUMPRODUCT(--ISNUMBER(SEARCH({"a0","a-0","a_0","a/0","a.0","a#0","0a","0-a","0_a","0/a"},BN445)))&gt;0),AND((LEN(BN445)-LEN(SUBSTITUTE(BN445,"a","")))=0,(LEN(BN445)-LEN(SUBSTITUTE(BN445,"0","")))&gt;=5)))),1,0),0)</f>
        <v>0</v>
      </c>
      <c r="CA4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445,"revision",""),"version",""),"jan",""),"feb",""),"mar",""),"apr",""),"may",""),"jun",""),"jul",""),"aug",""),"sep",""),"oct",""),"nov",""),"dec",""),"utc",""),"gmt",""),"myt",""),"bst",""),"rev",""),"ver",""),"b","a"),"c","a"),"d","a"),"e","a"),"f","a"),"g","a"),"h","a"),"i","a"),"j","a"),"k","a"),"l","a"),"m","a"),"n","a"),"o","a"),"p","a"),"q","a"),"r","a"),"s","a"),"t","a"),"u","a"),"v","a"),"w","a"),"x","a"),"y","a"),"z","a")</f>
        <v/>
      </c>
      <c r="CB4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445&amp;""),"a",""),"b",""),"c",""),"d",""),"e",""),"f",""),"g",""),"h",""),"i",""),"j",""),"k",""),"l",""),"m",""),"n",""),"o",""),"p",""),"q",""),"r",""),"s",""),"t",""),"u",""),"v",""),"w",""),"x",""),"y",""),"z",""),"-",""),"_",""),"/",""),".",""),"#",""),"\\",""),":","")," ",""),"(",""),")","")</f>
        <v/>
      </c>
      <c r="CC445" s="0" t="str">
        <f aca="false">" "&amp;TRIM(SUBSTITUTE(SUBSTITUTE(SUBSTITUTE(SUBSTITUTE(SUBSTITUTE(SUBSTITUTE(SUBSTITUTE(SUBSTITUTE(SUBSTITUTE(SUBSTITUTE(SUBSTITUTE(SUBSTITUTE(SUBSTITUTE(SUBSTITUTE(SUBSTITUTE(SUBSTITUTE(SUBSTITUTE(SUBSTITUTE(SUBSTITUTE(SUBSTITUTE(SUBSTITUTE(SUBSTITUTE(SUBSTITUTE(SUBSTITUTE(LOWER(T445&amp;""),CHAR(10)," "),CHAR(13)," "),CHAR(9)," "),CHAR(160)," "),"."," "),","," "),"-"," "),"/"," "),"("," "),")"," "),":"," "),";"," "),"_"," "),"–"," "),"?"," "),"!"," "),"*"," "),"["," "),"]"," "),"'"," "),"#"," "),"+"," "),"&amp;"," "),"\"," "))&amp;" "</f>
        <v>  </v>
      </c>
      <c r="CD445" s="0" t="str">
        <f aca="false">" "&amp;TRIM(SUBSTITUTE(SUBSTITUTE(SUBSTITUTE(SUBSTITUTE(SUBSTITUTE(SUBSTITUTE(SUBSTITUTE(SUBSTITUTE(SUBSTITUTE(SUBSTITUTE(SUBSTITUTE(SUBSTITUTE(SUBSTITUTE(SUBSTITUTE(SUBSTITUTE(SUBSTITUTE(SUBSTITUTE(SUBSTITUTE(SUBSTITUTE(SUBSTITUTE(SUBSTITUTE(SUBSTITUTE(SUBSTITUTE(SUBSTITUTE(LOWER(AE445&amp;""),CHAR(10)," "),CHAR(13)," "),CHAR(9)," "),CHAR(160)," "),"."," "),","," "),"-"," "),"/"," "),"("," "),")"," "),":"," "),";"," "),"_"," "),"–"," "),"?"," "),"!"," "),"*"," "),"["," "),"]"," "),"'"," "),"#"," "),"+"," "),"&amp;"," "),"\"," "))&amp;" "</f>
        <v>  </v>
      </c>
      <c r="CE445" s="68" t="n">
        <f aca="false">IFERROR(IF(AND(LEN(AU445)&gt;0,LEN(AU445)=LEN(AX445),OR(TRIM(MID(SUBSTITUTE(TRIM(CC445)," ",REPT(" ",60)),1,60))="",ISNUMBER(SEARCH(" "&amp;TRIM(MID(SUBSTITUTE(TRIM(CC445)," ",REPT(" ",60)),1,60))&amp;" ",CD445))),OR(TRIM(MID(SUBSTITUTE(TRIM(CC445)," ",REPT(" ",60)),61,60))="",ISNUMBER(SEARCH(" "&amp;TRIM(MID(SUBSTITUTE(TRIM(CC445)," ",REPT(" ",60)),61,60))&amp;" ",CD445))),OR(TRIM(MID(SUBSTITUTE(TRIM(CC445)," ",REPT(" ",60)),121,60))="",ISNUMBER(SEARCH(" "&amp;TRIM(MID(SUBSTITUTE(TRIM(CC445)," ",REPT(" ",60)),121,60))&amp;" ",CD445)))),1,0),0)</f>
        <v>0</v>
      </c>
      <c r="CG445" s="68" t="n">
        <f aca="false">IFERROR(LEN(SUBSTITUTE(BF445," ",""))-SUMPRODUCT((LEN(BF445)-LEN(SUBSTITUTE(BF445," "&amp;L_NAFiller&amp;" "," ")))/(LEN(L_NAFiller)+1)*LEN(L_NAFiller)),0)</f>
        <v>0</v>
      </c>
    </row>
    <row r="446" customFormat="false" ht="41.25" hidden="false" customHeight="true" outlineLevel="0" collapsed="false">
      <c r="A446" s="57" t="s">
        <v>1084</v>
      </c>
      <c r="B446" s="57" t="s">
        <v>272</v>
      </c>
      <c r="C446" s="57" t="str">
        <f aca="false">Flights!$F$17</f>
        <v>MH0138</v>
      </c>
      <c r="D446" s="58" t="n">
        <f aca="false">Flights!$D$17</f>
        <v>46309</v>
      </c>
      <c r="E446" s="57" t="str">
        <f aca="false">Flights!$G$17&amp;"-"&amp;Flights!$H$17</f>
        <v>ADL-KUL</v>
      </c>
      <c r="F446" s="57" t="str">
        <f aca="false">Flights!$K$17</f>
        <v>EY</v>
      </c>
      <c r="G446" s="57" t="s">
        <v>420</v>
      </c>
      <c r="H446" s="57" t="s">
        <v>378</v>
      </c>
      <c r="I446" s="57" t="s">
        <v>447</v>
      </c>
      <c r="J446" s="57" t="s">
        <v>448</v>
      </c>
      <c r="K446" s="67" t="s">
        <v>449</v>
      </c>
      <c r="L446" s="67" t="s">
        <v>1085</v>
      </c>
      <c r="M446" s="67" t="s">
        <v>451</v>
      </c>
      <c r="N446" s="67" t="s">
        <v>383</v>
      </c>
      <c r="O446" s="67" t="s">
        <v>1086</v>
      </c>
      <c r="P446" s="57" t="s">
        <v>263</v>
      </c>
      <c r="Q446" s="59" t="n">
        <f aca="false">ROUND((Flights!$AE$17)*1440,0)/1440</f>
        <v>46308.5104166667</v>
      </c>
      <c r="R446" s="59" t="n">
        <f aca="false">Q446+(IF(AND(INDEX(TZ_DSTS,MATCH(P446,TZ_STN,0))&lt;&gt;"",Q446&gt;=INDEX(TZ_DSTS,MATCH(P446,TZ_STN,0)),Q446&lt;INDEX(TZ_DSTE,MATCH(P446,TZ_STN,0))),INDEX(TZ_DST,MATCH(P446,TZ_STN,0)),INDEX(TZ_STD,MATCH(P446,TZ_STN,0))))/24</f>
        <v>46308.9479166667</v>
      </c>
      <c r="S446" s="60"/>
      <c r="T446" s="60"/>
      <c r="U446" s="60"/>
      <c r="V446" s="60"/>
      <c r="W446" s="61"/>
      <c r="X446" s="60"/>
      <c r="Y446" s="60"/>
      <c r="Z446" s="60"/>
      <c r="AA446" s="60"/>
      <c r="AB446" s="60"/>
      <c r="AC446" s="60"/>
      <c r="AD446" s="66"/>
      <c r="AE446" s="60"/>
      <c r="AF446" s="61" t="str">
        <f aca="false">IF(AND(ISNUMBER(X446),ISNUMBER(Y446)),Y446-X446,"")</f>
        <v/>
      </c>
      <c r="AG446" s="62" t="str">
        <f aca="false">IF(ISNUMBER(AD446),AD446-(IF(AND(INDEX(TZ_DSTS,MATCH(P446,TZ_STN,0))&lt;&gt;"",(AD446-INDEX(TZ_STD,MATCH(P446,TZ_STN,0))/24)&gt;=INDEX(TZ_DSTS,MATCH(P446,TZ_STN,0)),(AD446-INDEX(TZ_STD,MATCH(P446,TZ_STN,0))/24)&lt;INDEX(TZ_DSTE,MATCH(P446,TZ_STN,0))),INDEX(TZ_DST,MATCH(P446,TZ_STN,0)),INDEX(TZ_STD,MATCH(P446,TZ_STN,0))))/24,"")</f>
        <v/>
      </c>
      <c r="AH446" s="65" t="str">
        <f aca="false">IFERROR(IF(N446="N/A – rule",IF(OR(TRIM(U446)="",TRIM(U446)="N/A",TRIM(U446)="Not started"),"N/A – RULE","INVALID – this check does not apply to this aircraft: clear the status (or correct the fleet on Flights)"),IF(TRIM(U446)="N/A",IF(AT446=0,"INVALID – N/A not permitted for this check",IF(AND(TRIM(AB446)&lt;&gt;"",TRIM(AB446)&lt;&gt;"Closed"),"INVALID – corrective action still open",IF(AND(NOT(OR(LEN(AZ446)&lt;15,ISNUMBER(MATCH(AZ446,L_Placeholder,0)))),BK446=0,CG446&gt;=8,NOT(OR(LEN(AU446)&lt;2,ISNUMBER(MATCH(AU446,L_Placeholder,0)))),BR446&gt;=3,NOT(OR(LEN(AX446)&lt;2,ISNUMBER(MATCH(AX446,L_Placeholder,0)))),BS446&gt;=3,TRIM(AE446)&lt;&gt;TRIM(T446),AX446&lt;&gt;AU446,CE446=0),"N/A – JUSTIFIED","INVALID – N/A needs a real, settled reason (not 'not applicable' / 'as above' / TBC), a named PIC and a different named verifier"))),IF(OR(TRIM(U446)="Pass",TRIM(U446)="Pass after CA"),IF(NOT(ISNUMBER(AD446)),"INVALID – completion time missing",IF(OR(OR(LEN(AU446)&lt;2,ISNUMBER(MATCH(AU446,L_Placeholder,0))),BR446&lt;3),"INVALID – PIC missing or not a named person (a role such as QA / CSM is not a name)",IF(OR(LEN(AV446)&lt;2,ISNUMBER(MATCH(AV446,L_Placeholder,0))),"INVALID – result / assessment missing",IF(OR(OR(LEN(AW446)&lt;3,ISNUMBER(MATCH(AW446,L_Placeholder,0))),SUMPRODUCT(--ISNUMBER(SEARCH(" "&amp;L_EvidencePhrase&amp;" ",BD446)))&gt;0,BI446=1),"INVALID – evidence missing, placeholder or not yet on file",IF(ISNA(MATCH(TRIM(S446),L_EvidenceType,0)),"INVALID – choose the evidence type from the list (column S)",IF(BL446=0,"INVALID – evidence ID must be the record's own ID only (e.g. SF-2210, IMG_2231, 1045521); a link / file name needs type 'Link / file path'",IF(OR(OR(LEN(AX446)&lt;2,ISNUMBER(MATCH(AX446,L_Placeholder,0))),BS446&lt;3),"INVALID – verifier missing or not a named person (a role such as QA / CSM is not a name)",IF(OR(AX446=AU446,CE446=1,AND(LEN(AU446)&gt;=4,ISNUMBER(SEARCH(AU446,AX446))),AND(LEN(AX446)&gt;=4,ISNUMBER(SEARCH(AX446,AU446)))),"INVALID – verifier must be a different, named person (not the PIC or a role)",IF(BH446=1,"INVALID – result not yet available (awaiting / TBC)",IF(BG446=1,"INVALID – result describes a problem: record Fail, then Pass after CA (or reword if it is not a problem)",IF(BV446=1,"INVALID – wording says not on board: an on-board confirmation needs the item loaded",IF(AND(AQ446=1,OR(OR(LEN(AY446)&lt;3,ISNUMBER(MATCH(AY446,L_Placeholder,0))),BJ446=1,BQ446=0)),"INVALID – batch ID missing, placeholder or not an ID (e.g. PASB-261008-BC-017)",IF(AND(AR446=1,OR(NOT(ISNUMBER(X446)),NOT(ISNUMBER(Y446)))),"INVALID – expected/actual qty missing",IF(AND(AR446=1,OR(X446&lt;=0,Y446&lt;0)),"INVALID – expected qty must be above 0 and actual not negative",IF(BB446&lt;&gt;"",BB446,IF(AND(AS446=1,Documents!$J$17&lt;&gt;"ON FILE"),"INVALID – GLD not on file (Documents sheet)",IF(AND(AS446=2,Documents!$O$17&lt;&gt;"ON FILE"),"INVALID – menu checklist not on file (Documents sheet)",IF(AND(AS446=3,NOT(ISNUMBER(Flights!$AX$17))),"INVALID – enter carrying flight KUL departure (Flights AX)",IF(AND(AS446=3,OR(Flights!$AZ$17&gt;Flights!$AA$17,Flights!$AX$17&lt;Flights!$AA$17-3)),"INVALID – carrying flight (Flights AX) cannot arrive before this leg's STD, or is over 3 days early",IF(AG446&gt;AsOfUTC,"INVALID – completion time is in the future",IF(AND(ISNUMBER(BY446),AG446&lt;BY446),IF(H446="Physical uplift","INVALID – before uplift window (cannot confirm loading)","INVALID – before valid window"),IF(AG446&gt;Flights!$AA$17,"INVALID – completed after departure (cannot establish readiness)",IF(AND(H446="Preparation",AG446&gt;=IF(ISNUMBER(Flights!$BA$17),MIN(Flights!$BA$17,Flights!$AA$17),Flights!$AA$17)),"INVALID – completed after loading / departure (cannot establish readiness)",IF(AND(H446="Physical uplift",AG446&gt;Q446),"INVALID – recorded after the loading flight departed",IF(AG446&gt;Q446,"COMPLETE – LATE","COMPLETE"))))))))))))))))))))))))),IF(TRIM(U446)="Fail","FAIL – DISCREPANCY",IF(AND(TRIM(U446)&lt;&gt;"",TRIM(U446)&lt;&gt;"Not started",TRIM(U446)&lt;&gt;"In progress"),"INVALID – unrecognised status (use the list)",IF(AsOfUTC&gt;Q446,"OVERDUE",IF(N446="Clarification required","OPEN – CLARIFICATION","OPEN"))))))),"INVALID – error value in an input cell")</f>
        <v>OPEN</v>
      </c>
      <c r="AI446" s="61" t="n">
        <f aca="false">IF(OR(AH446="N/A – RULE",AH446="N/A – JUSTIFIED"),0,1)</f>
        <v>1</v>
      </c>
      <c r="AJ446" s="61" t="n">
        <f aca="false">IF(LEFT(AH446,8)="COMPLETE",1,0)</f>
        <v>0</v>
      </c>
      <c r="AK446" s="61" t="n">
        <f aca="false">IF(AND(AI446=1,AJ446=0,AsOfUTC&gt;Q446),1,0)</f>
        <v>0</v>
      </c>
      <c r="AL446" s="61" t="n">
        <f aca="false">IFERROR(IF(AND(AI446=1,OR(TRIM(U446)="Fail",AND(TRIM(AB446)&lt;&gt;"",TRIM(AB446)&lt;&gt;"Closed"),AND(ISNUMBER(AF446),AF446&lt;&gt;0,TRIM(U446)&lt;&gt;"Pass after CA"))),1,0),1)</f>
        <v>0</v>
      </c>
      <c r="AM446" s="61" t="n">
        <f aca="false">IF(LEFT(AH446,7)="INVALID",1,0)</f>
        <v>0</v>
      </c>
      <c r="AN446" s="61" t="n">
        <f aca="false">IF(AND(N446="Clarification required",AI446=1,AJ446=0),1,0)</f>
        <v>0</v>
      </c>
      <c r="AO446" s="61" t="str">
        <f aca="false">IF(AK446=1,SUM(AK$5:AK446),"")</f>
        <v/>
      </c>
      <c r="AP446" s="61" t="str">
        <f aca="false">IF(AL446=1,SUM(AL$5:AL446),"")</f>
        <v/>
      </c>
      <c r="AQ446" s="61" t="n">
        <v>0</v>
      </c>
      <c r="AR446" s="61" t="n">
        <v>0</v>
      </c>
      <c r="AS446" s="61" t="n">
        <v>0</v>
      </c>
      <c r="AT446" s="61" t="n">
        <v>0</v>
      </c>
      <c r="AU446" s="61" t="str">
        <f aca="false">SUBSTITUTE(SUBSTITUTE(SUBSTITUTE(SUBSTITUTE(SUBSTITUTE(SUBSTITUTE(SUBSTITUTE(SUBSTITUTE(SUBSTITUTE(SUBSTITUTE(SUBSTITUTE(SUBSTITUTE(SUBSTITUTE(SUBSTITUTE(SUBSTITUTE(SUBSTITUTE(LOWER(T446&amp;""),CHAR(10),""),CHAR(13),""),CHAR(9),""),CHAR(160),"")," ",""),".",""),"-",""),"/",""),"?",""),"_",""),",",""),"[",""),"]",""),"(",""),")",""),"*","")</f>
        <v/>
      </c>
      <c r="AV446" s="61" t="str">
        <f aca="false">SUBSTITUTE(SUBSTITUTE(SUBSTITUTE(SUBSTITUTE(SUBSTITUTE(SUBSTITUTE(SUBSTITUTE(SUBSTITUTE(SUBSTITUTE(SUBSTITUTE(SUBSTITUTE(SUBSTITUTE(SUBSTITUTE(SUBSTITUTE(SUBSTITUTE(SUBSTITUTE(LOWER(V446&amp;""),CHAR(10),""),CHAR(13),""),CHAR(9),""),CHAR(160),"")," ",""),".",""),"-",""),"/",""),"?",""),"_",""),",",""),"[",""),"]",""),"(",""),")",""),"*","")</f>
        <v/>
      </c>
      <c r="AW446" s="61" t="str">
        <f aca="false">SUBSTITUTE(SUBSTITUTE(SUBSTITUTE(SUBSTITUTE(SUBSTITUTE(SUBSTITUTE(SUBSTITUTE(SUBSTITUTE(SUBSTITUTE(SUBSTITUTE(SUBSTITUTE(SUBSTITUTE(SUBSTITUTE(SUBSTITUTE(SUBSTITUTE(SUBSTITUTE(LOWER(Z446&amp;""),CHAR(10),""),CHAR(13),""),CHAR(9),""),CHAR(160),"")," ",""),".",""),"-",""),"/",""),"?",""),"_",""),",",""),"[",""),"]",""),"(",""),")",""),"*","")</f>
        <v/>
      </c>
      <c r="AX446" s="61" t="str">
        <f aca="false">SUBSTITUTE(SUBSTITUTE(SUBSTITUTE(SUBSTITUTE(SUBSTITUTE(SUBSTITUTE(SUBSTITUTE(SUBSTITUTE(SUBSTITUTE(SUBSTITUTE(SUBSTITUTE(SUBSTITUTE(SUBSTITUTE(SUBSTITUTE(SUBSTITUTE(SUBSTITUTE(LOWER(AE446&amp;""),CHAR(10),""),CHAR(13),""),CHAR(9),""),CHAR(160),"")," ",""),".",""),"-",""),"/",""),"?",""),"_",""),",",""),"[",""),"]",""),"(",""),")",""),"*","")</f>
        <v/>
      </c>
      <c r="AY446" s="61" t="str">
        <f aca="false">SUBSTITUTE(SUBSTITUTE(SUBSTITUTE(SUBSTITUTE(SUBSTITUTE(SUBSTITUTE(SUBSTITUTE(SUBSTITUTE(SUBSTITUTE(SUBSTITUTE(SUBSTITUTE(SUBSTITUTE(SUBSTITUTE(SUBSTITUTE(SUBSTITUTE(SUBSTITUTE(LOWER(W446&amp;""),CHAR(10),""),CHAR(13),""),CHAR(9),""),CHAR(160),"")," ",""),".",""),"-",""),"/",""),"?",""),"_",""),",",""),"[",""),"]",""),"(",""),")",""),"*","")</f>
        <v/>
      </c>
      <c r="AZ446" s="61" t="str">
        <f aca="false">SUBSTITUTE(SUBSTITUTE(SUBSTITUTE(SUBSTITUTE(SUBSTITUTE(SUBSTITUTE(SUBSTITUTE(SUBSTITUTE(SUBSTITUTE(SUBSTITUTE(SUBSTITUTE(SUBSTITUTE(SUBSTITUTE(SUBSTITUTE(SUBSTITUTE(SUBSTITUTE(LOWER(AC446&amp;""),CHAR(10),""),CHAR(13),""),CHAR(9),""),CHAR(160),"")," ",""),".",""),"-",""),"/",""),"?",""),"_",""),",",""),"[",""),"]",""),"(",""),")",""),"*","")</f>
        <v/>
      </c>
      <c r="BA446" s="61" t="str">
        <f aca="false">SUBSTITUTE(SUBSTITUTE(SUBSTITUTE(SUBSTITUTE(SUBSTITUTE(SUBSTITUTE(SUBSTITUTE(SUBSTITUTE(SUBSTITUTE(SUBSTITUTE(SUBSTITUTE(SUBSTITUTE(SUBSTITUTE(SUBSTITUTE(SUBSTITUTE(SUBSTITUTE(LOWER(AA446&amp;""),CHAR(10),""),CHAR(13),""),CHAR(9),""),CHAR(160),"")," ",""),".",""),"-",""),"/",""),"?",""),"_",""),",",""),"[",""),"]",""),"(",""),")",""),"*","")</f>
        <v/>
      </c>
      <c r="BB446" s="61" t="str">
        <f aca="false">IF(AND(TRIM(U446)="Pass",ISNUMBER(AF446)),IF(AF446&lt;&gt;0,"INVALID – qty variance: use Fail or Pass after CA",""),"")&amp;IF(AND(TRIM(U446)="Pass after CA",ISNUMBER(AF446)),IF(AF446&lt;&gt;0,"INVALID – after the corrective action the actual qty must equal expected (update Actual)",""),"")&amp;IF(AND(TRIM(U446)="Pass",TRIM(AB446)&lt;&gt;"",TRIM(AB446)&lt;&gt;"Closed"),"INVALID – corrective action not closed: use Fail, then Pass after CA","")&amp;IF(AND(LEN(BA446)&gt;=2,ISNA(MATCH(LEFT(BA446,255),L_Placeholder,0)),TRIM(AB446)=""),"INVALID – CA status missing for the recorded corrective action","")&amp;IF(AND(TRIM(U446)="Pass after CA",OR(OR(LEN(BA446)&lt;5,ISNUMBER(MATCH(BA446,L_Placeholder,0))),TRIM(AB446)&lt;&gt;"Closed")),"INVALID – corrective action not recorded/closed","")</f>
        <v/>
      </c>
      <c r="BC446" s="61" t="str">
        <f aca="false">" "&amp;TRIM(SUBSTITUTE(SUBSTITUTE(SUBSTITUTE(SUBSTITUTE(SUBSTITUTE(SUBSTITUTE(SUBSTITUTE(SUBSTITUTE(SUBSTITUTE(SUBSTITUTE(SUBSTITUTE(SUBSTITUTE(SUBSTITUTE(SUBSTITUTE(SUBSTITUTE(SUBSTITUTE(SUBSTITUTE(SUBSTITUTE(SUBSTITUTE(SUBSTITUTE(SUBSTITUTE(SUBSTITUTE(SUBSTITUTE(SUBSTITUTE(LOWER(V446&amp;""),CHAR(10)," "),CHAR(13)," "),CHAR(9)," "),CHAR(160)," "),"."," "),","," "),"-"," "),"/"," "),"("," "),")"," "),":"," "),";"," "),"_"," "),"–"," "),"?"," "),"!"," "),"*"," "),"["," "),"]"," "),"'"," "),"#"," "),"+"," "),"&amp;"," "),"\"," "))&amp;" "</f>
        <v>  </v>
      </c>
      <c r="BD446" s="61" t="str">
        <f aca="false">" "&amp;TRIM(SUBSTITUTE(SUBSTITUTE(SUBSTITUTE(SUBSTITUTE(SUBSTITUTE(SUBSTITUTE(SUBSTITUTE(SUBSTITUTE(SUBSTITUTE(SUBSTITUTE(SUBSTITUTE(SUBSTITUTE(SUBSTITUTE(SUBSTITUTE(SUBSTITUTE(SUBSTITUTE(SUBSTITUTE(SUBSTITUTE(SUBSTITUTE(SUBSTITUTE(SUBSTITUTE(SUBSTITUTE(SUBSTITUTE(SUBSTITUTE(LOWER(Z446&amp;""),CHAR(10)," "),CHAR(13)," "),CHAR(9)," "),CHAR(160)," "),"."," "),","," "),"-"," "),"/"," "),"("," "),")"," "),":"," "),";"," "),"_"," "),"–"," "),"?"," "),"!"," "),"*"," "),"["," "),"]"," "),"'"," "),"#"," "),"+"," "),"&amp;"," "),"\"," "))&amp;" "</f>
        <v>  </v>
      </c>
      <c r="BE446" s="61" t="str">
        <f aca="false">" "&amp;TRIM(SUBSTITUTE(SUBSTITUTE(SUBSTITUTE(SUBSTITUTE(SUBSTITUTE(SUBSTITUTE(SUBSTITUTE(SUBSTITUTE(SUBSTITUTE(SUBSTITUTE(SUBSTITUTE(SUBSTITUTE(SUBSTITUTE(SUBSTITUTE(SUBSTITUTE(SUBSTITUTE(SUBSTITUTE(SUBSTITUTE(SUBSTITUTE(SUBSTITUTE(SUBSTITUTE(SUBSTITUTE(SUBSTITUTE(SUBSTITUTE(LOWER(W446&amp;""),CHAR(10)," "),CHAR(13)," "),CHAR(9)," "),CHAR(160)," "),"."," "),","," "),"-"," "),"/"," "),"("," "),")"," "),":"," "),";"," "),"_"," "),"–"," "),"?"," "),"!"," "),"*"," "),"["," "),"]"," "),"'"," "),"#"," "),"+"," "),"&amp;"," "),"\"," "))&amp;" "</f>
        <v>  </v>
      </c>
      <c r="BF446" s="61" t="str">
        <f aca="false">" "&amp;TRIM(SUBSTITUTE(SUBSTITUTE(SUBSTITUTE(SUBSTITUTE(SUBSTITUTE(SUBSTITUTE(SUBSTITUTE(SUBSTITUTE(SUBSTITUTE(SUBSTITUTE(SUBSTITUTE(SUBSTITUTE(SUBSTITUTE(SUBSTITUTE(SUBSTITUTE(SUBSTITUTE(SUBSTITUTE(SUBSTITUTE(SUBSTITUTE(SUBSTITUTE(SUBSTITUTE(SUBSTITUTE(SUBSTITUTE(SUBSTITUTE(LOWER(AC446&amp;""),CHAR(10)," "),CHAR(13)," "),CHAR(9)," "),CHAR(160)," "),"."," "),","," "),"-"," "),"/"," "),"("," "),")"," "),":"," "),";"," "),"_"," "),"–"," "),"?"," "),"!"," "),"*"," "),"["," "),"]"," "),"'"," "),"#"," "),"+"," "),"&amp;"," "),"\"," "))&amp;" "</f>
        <v>  </v>
      </c>
      <c r="BG446" s="61" t="n">
        <f aca="false">IFERROR(IF(AND(TRIM(U446)="Pass",SUMPRODUCT((LEN(BC446)-LEN(SUBSTITUTE(BC446," "&amp;L_ResultBad&amp;" "," ")))/(LEN(L_ResultBad)+1))&gt;SUMPRODUCT((LEN(BC446)-LEN(SUBSTITUTE(BC446," "&amp;L_NegPhrase&amp;" "," ")))/(LEN(L_NegPhrase)+1))),1,0),0)</f>
        <v>0</v>
      </c>
      <c r="BH446" s="61" t="n">
        <f aca="false">IFERROR(IF(SUMPRODUCT((LEN(BC446)-LEN(SUBSTITUTE(BC446," "&amp;L_Pending&amp;" "," ")))/(LEN(L_Pending)+1))&gt;SUMPRODUCT((LEN(BC446)-LEN(SUBSTITUTE(BC446," "&amp;L_PendNeg&amp;" "," ")))/(LEN(L_PendNeg)+1))+SUMPRODUCT((LEN(BC446)-LEN(SUBSTITUTE(BC446," "&amp;L_PendPrep&amp;" "," ")))/(LEN(L_PendPrep)+1)),1,0),1)</f>
        <v>0</v>
      </c>
      <c r="BI446" s="61" t="n">
        <f aca="false">IFERROR(IF(SUMPRODUCT((LEN(BD446)-LEN(SUBSTITUTE(BD446," "&amp;L_PendStrict&amp;" "," ")))/(LEN(L_PendStrict)+1))&gt;SUMPRODUCT((LEN(BD446)-LEN(SUBSTITUTE(BD446," "&amp;L_PendNeg&amp;" "," ")))/(LEN(L_PendNeg)+1)),1,0),1)</f>
        <v>0</v>
      </c>
      <c r="BJ446" s="61" t="n">
        <f aca="false">IFERROR(IF(SUMPRODUCT((LEN(BE446)-LEN(SUBSTITUTE(BE446," "&amp;L_Pending&amp;" "," ")))/(LEN(L_Pending)+1))&gt;SUMPRODUCT((LEN(BE446)-LEN(SUBSTITUTE(BE446," "&amp;L_PendNeg&amp;" "," ")))/(LEN(L_PendNeg)+1))+SUMPRODUCT((LEN(BE446)-LEN(SUBSTITUTE(BE446," "&amp;L_PendPrep&amp;" "," ")))/(LEN(L_PendPrep)+1)),1,0),1)</f>
        <v>0</v>
      </c>
      <c r="BK446" s="61" t="n">
        <f aca="false">IFERROR(IF(SUMPRODUCT((LEN(BF446)-LEN(SUBSTITUTE(BF446," "&amp;L_PendStrict&amp;" "," ")))/(LEN(L_PendStrict)+1))&gt;SUMPRODUCT((LEN(BF446)-LEN(SUBSTITUTE(BF446," "&amp;L_PendNeg&amp;" "," ")))/(LEN(L_PendNeg)+1)),1,0),1)</f>
        <v>0</v>
      </c>
      <c r="BL446" s="61" t="n">
        <f aca="false">IF(ISNA(MATCH(TRIM(S446),L_EvidenceType,0)),0,BZ446)</f>
        <v>0</v>
      </c>
      <c r="BM446" s="61" t="str">
        <f aca="false">SUBSTITUTE(SUBSTITUTE(SUBSTITUTE(SUBSTITUTE(SUBSTITUTE(SUBSTITUTE(SUBSTITUTE(SUBSTITUTE(SUBSTITUTE(LOWER(Z446&amp;""),"1","0"),"2","0"),"3","0"),"4","0"),"5","0"),"6","0"),"7","0"),"8","0"),"9","0")</f>
        <v/>
      </c>
      <c r="BN446" s="61" t="str">
        <f aca="false">SUBSTITUTE(SUBSTITUTE(SUBSTITUTE(SUBSTITUTE(SUBSTITUTE(SUBSTITUTE(SUBSTITUTE(SUBSTITUTE(SUBSTITUTE(SUBSTITUTE(SUBSTITUTE(SUBSTITUTE(SUBSTITUTE(SUBSTITUTE(SUBSTITUTE(SUBSTITUTE(SUBSTITUTE(SUBSTITUTE(SUBSTITUTE(SUBSTITUTE(SUBSTITUTE(SUBSTITUTE(SUBSTITUTE(SUBSTITUTE(SUBSTITUTE(BM446,"b","a"),"c","a"),"d","a"),"e","a"),"f","a"),"g","a"),"h","a"),"i","a"),"j","a"),"k","a"),"l","a"),"m","a"),"n","a"),"o","a"),"p","a"),"q","a"),"r","a"),"s","a"),"t","a"),"u","a"),"v","a"),"w","a"),"x","a"),"y","a"),"z","a")</f>
        <v/>
      </c>
      <c r="BO446" s="61" t="str">
        <f aca="false">SUBSTITUTE(SUBSTITUTE(SUBSTITUTE(SUBSTITUTE(SUBSTITUTE(SUBSTITUTE(SUBSTITUTE(SUBSTITUTE(SUBSTITUTE(LOWER(W446&amp;""),"1","0"),"2","0"),"3","0"),"4","0"),"5","0"),"6","0"),"7","0"),"8","0"),"9","0")</f>
        <v/>
      </c>
      <c r="BP446" s="61" t="str">
        <f aca="false">SUBSTITUTE(SUBSTITUTE(SUBSTITUTE(SUBSTITUTE(SUBSTITUTE(SUBSTITUTE(SUBSTITUTE(SUBSTITUTE(SUBSTITUTE(SUBSTITUTE(SUBSTITUTE(SUBSTITUTE(SUBSTITUTE(SUBSTITUTE(SUBSTITUTE(SUBSTITUTE(SUBSTITUTE(SUBSTITUTE(SUBSTITUTE(SUBSTITUTE(SUBSTITUTE(SUBSTITUTE(SUBSTITUTE(SUBSTITUTE(SUBSTITUTE(BO446,"b","a"),"c","a"),"d","a"),"e","a"),"f","a"),"g","a"),"h","a"),"i","a"),"j","a"),"k","a"),"l","a"),"m","a"),"n","a"),"o","a"),"p","a"),"q","a"),"r","a"),"s","a"),"t","a"),"u","a"),"v","a"),"w","a"),"x","a"),"y","a"),"z","a")</f>
        <v/>
      </c>
      <c r="BQ446" s="61" t="n">
        <f aca="false">IFERROR(IF(AND(ISERROR(SEARCH(" mh"," "&amp;LOWER(W446))),ISNA(MATCH(LEFT(TRIM(BP446),255),{"0000a","000a","00a","0000aa","000aa","00aa","0aa","0000aaa","000aaa","00a00","0a00","0000-0000","00:00","a00","a0","00.00.0000","00/00/0000","00-00-0000","0000-00-00","0000/00/00","0000.00.00","00.00.00","00/00/00","00-00-00","0.00.0000","0/00/0000","0-00-0000"},0)),ISNA(MATCH(LEFT(TRIM(CA446),255),{"0000a","000a","00a","0000aa","000aa","00aa","0aa","0000aaa","000aaa","00a00","0a00","0000-0000","00:00","a00","a0","00.00.0000","00/00/0000","00-00-0000","0000-00-00","0000/00/00","0000.00.00","00.00.00","00/00/00","00-00-00","0.00.0000","0/00/0000","0-00-0000"},0)),LEN(CB446)&gt;=3,NOT(OR(SUBSTITUTE(CB446,"0","")="",AND(LEN(CB446)&gt;=4,CB446=REPT(LEFT(CB446),LEN(CB446))),ISNUMBER(MATCH(CB446,{"123","1234","12345","123456","1234567","12345678","0123","01234","012345","98765","987654","54321"},0)),AND(LEN(CB446)=8,LEFT(CB446,3)="202"))),OR(AND((LEN(CA446)-LEN(SUBSTITUTE(CA446,"a","")))&gt;=1,SUMPRODUCT(--ISNUMBER(SEARCH({"a0","a-0","a_0","a/0","a.0","a#0","0a","0-a","0_a","0/a"},BP446)))&gt;0),ISNUMBER(SEARCH("000000",BP446)))),1,0),0)</f>
        <v>0</v>
      </c>
      <c r="BR446" s="61" t="n">
        <f aca="false">IFERROR(LEN(SUBSTITUTE(CC446," ",""))-SUMPRODUCT((LEN(CC446)-LEN(SUBSTITUTE(CC446," "&amp;L_Role&amp;" "," ")))/(LEN(L_Role)+1)*LEN(L_Role)),0)</f>
        <v>0</v>
      </c>
      <c r="BS446" s="61" t="n">
        <f aca="false">IFERROR(LEN(SUBSTITUTE(CD446," ",""))-SUMPRODUCT((LEN(CD446)-LEN(SUBSTITUTE(CD446," "&amp;L_Role&amp;" "," ")))/(LEN(L_Role)+1)*LEN(L_Role)),0)</f>
        <v>0</v>
      </c>
      <c r="BT4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446,"revision",""),"version",""),"jan",""),"feb",""),"mar",""),"apr",""),"may",""),"jun",""),"jul",""),"aug",""),"sep",""),"oct",""),"nov",""),"dec",""),"utc",""),"gmt",""),"myt",""),"bst",""),"rev",""),"ver",""),"b","a"),"c","a"),"d","a"),"e","a"),"f","a"),"g","a"),"h","a"),"i","a"),"j","a"),"k","a"),"l","a"),"m","a"),"n","a"),"o","a"),"p","a"),"q","a"),"r","a"),"s","a"),"t","a"),"u","a"),"v","a"),"w","a"),"x","a"),"y","a"),"z","a")</f>
        <v/>
      </c>
      <c r="BU446" s="61" t="str">
        <f aca="false">SUBSTITUTE(SUBSTITUTE(SUBSTITUTE(SUBSTITUTE(SUBSTITUTE(SUBSTITUTE(SUBSTITUTE(SUBSTITUTE(SUBSTITUTE(SUBSTITUTE(LEFT(BM446,FIND("0",BM446&amp;"0")-1),"-",""),"_",""),"/",""),".",""),"#",""),"\\",""),":","")," ",""),"(",""),")","")</f>
        <v/>
      </c>
      <c r="BV446" s="61" t="n">
        <f aca="false">0</f>
        <v>0</v>
      </c>
      <c r="BW4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446&amp;""),"a",""),"b",""),"c",""),"d",""),"e",""),"f",""),"g",""),"h",""),"i",""),"j",""),"k",""),"l",""),"m",""),"n",""),"o",""),"p",""),"q",""),"r",""),"s",""),"t",""),"u",""),"v",""),"w",""),"x",""),"y",""),"z",""),"-",""),"_",""),"/",""),".",""),"#",""),"\\",""),":","")," ",""),"(",""),")","")</f>
        <v/>
      </c>
      <c r="BX446" s="61" t="str">
        <f aca="false">SUBSTITUTE(SUBSTITUTE(SUBSTITUTE(SUBSTITUTE(SUBSTITUTE(SUBSTITUTE(SUBSTITUTE(SUBSTITUTE(SUBSTITUTE(SUBSTITUTE(SUBSTITUTE(BM446,"0",""),"-",""),"_",""),"/",""),".",""),"#",""),"\\",""),":","")," ",""),"(",""),")","")</f>
        <v/>
      </c>
      <c r="BY446" s="62" t="n">
        <f aca="false">Q446-T12EarlyH/24</f>
        <v>46308.0104166667</v>
      </c>
      <c r="BZ446" s="61" t="n">
        <f aca="false">IFERROR(IF(IF(TRIM(S446)="Link / file path",AND(LEN(TRIM(Z446))&gt;=5,SUMPRODUCT(--ISNUMBER(SEARCH({"http","www.","\\",":\",".pdf",".jpg",".jpeg",".png",".heic",".xls",".doc",".msg",".eml",".ppt",".txt",".zip"},Z446)))&gt;0),AND(ISERROR(FIND(" ",TRIM(Z446))),NOT(OR(SUMPRODUCT(--ISNUMBER(FIND({",",";","&amp;","+"},Z446)))&gt;0,SUMPRODUCT(--ISNUMBER(SEARCH({"0/aa","0\\aa"},BN446)))&gt;0)),NOT(SUMPRODUCT(--ISNUMBER(SEARCH({"http","www.","\\",":\",".pdf",".jpg",".jpeg",".png",".heic",".xls",".doc",".msg",".eml",".ppt",".txt",".zip"},Z446)))&gt;0),NOT(LOWER(TRIM(Z446))=LOWER(Flights!$F$17)),ISNA(MATCH(BU446,{"mh","rev","revision","ver","version","v","r","a","b","seat","tray","row","gate","bay","stand","page","pg","item","line","no","cart","galley","flight","flt","table","box","bag","oven","etd","eta","std","sta","atd","ata","qty","pax","x","time","tel","ph","mob","day","wk","week","utc","gmt","myt","lt"},0)),NOT(OR(ISNUMBER(MATCH(LEFT(BN446,255),{"0000a","000a","00a","0000aa","000aa","00aa","0aa","0000aaa","000aaa","00a00","0a00","0000-0000","00:00","a00","a0","00.00.0000","00/00/0000","00-00-0000","0000-00-00","0000/00/00","0000.00.00","00.00.00","00/00/00","00-00-00","0.00.0000","0/00/0000","0-00-0000"},0)),ISNUMBER(MATCH(LEFT(BT446,255),{"0000a","000a","00a","0000aa","000aa","00aa","0aa","0000aaa","000aaa","00a00","0a00","0000-0000","00:00","a00","a0","00.00.0000","00/00/0000","00-00-0000","0000-00-00","0000/00/00","0000.00.00","00.00.00","00/00/00","00-00-00","0.00.0000","0/00/0000","0-00-0000"},0)))),NOT(OR(AND(BW446&lt;&gt;"",SUBSTITUTE(BW446,"0","")=""),AND(LEN(BW446)&gt;=4,BW446=REPT(LEFT(BW446),LEN(BW446))),ISNUMBER(MATCH(BW446,{"123","1234","12345","123456","1234567","12345678","0123","01234","012345","98765","987654","54321"},0)),ISNUMBER(MATCH(BX446,{"x","xx","xxx","xxxx","xxxxx","abc","abcd","nil","na","nan","test","tbc","tba","tbd","dummy","sample","example","eg","zz","zzz","none","null","xyz","qwe","asd","id","ref"},0)),AND(LEN(BW446)=8,BX446="",OR(LEFT(BW446,3)="202",ISNUMBER(MATCH(RIGHT(BW446,4),{"2025","2026","2027"},0)))))),OR(AND((LEN(BT446)-LEN(SUBSTITUTE(BT446,"a","")))&gt;=1,(LEN(BN446)-LEN(SUBSTITUTE(BN446,"0","")))&gt;=2,SUMPRODUCT(--ISNUMBER(SEARCH({"a0","a-0","a_0","a/0","a.0","a#0","0a","0-a","0_a","0/a"},BN446)))&gt;0),AND((LEN(BN446)-LEN(SUBSTITUTE(BN446,"a","")))=0,(LEN(BN446)-LEN(SUBSTITUTE(BN446,"0","")))&gt;=5)))),1,0),0)</f>
        <v>0</v>
      </c>
      <c r="CA4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446,"revision",""),"version",""),"jan",""),"feb",""),"mar",""),"apr",""),"may",""),"jun",""),"jul",""),"aug",""),"sep",""),"oct",""),"nov",""),"dec",""),"utc",""),"gmt",""),"myt",""),"bst",""),"rev",""),"ver",""),"b","a"),"c","a"),"d","a"),"e","a"),"f","a"),"g","a"),"h","a"),"i","a"),"j","a"),"k","a"),"l","a"),"m","a"),"n","a"),"o","a"),"p","a"),"q","a"),"r","a"),"s","a"),"t","a"),"u","a"),"v","a"),"w","a"),"x","a"),"y","a"),"z","a")</f>
        <v/>
      </c>
      <c r="CB4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446&amp;""),"a",""),"b",""),"c",""),"d",""),"e",""),"f",""),"g",""),"h",""),"i",""),"j",""),"k",""),"l",""),"m",""),"n",""),"o",""),"p",""),"q",""),"r",""),"s",""),"t",""),"u",""),"v",""),"w",""),"x",""),"y",""),"z",""),"-",""),"_",""),"/",""),".",""),"#",""),"\\",""),":","")," ",""),"(",""),")","")</f>
        <v/>
      </c>
      <c r="CC446" s="0" t="str">
        <f aca="false">" "&amp;TRIM(SUBSTITUTE(SUBSTITUTE(SUBSTITUTE(SUBSTITUTE(SUBSTITUTE(SUBSTITUTE(SUBSTITUTE(SUBSTITUTE(SUBSTITUTE(SUBSTITUTE(SUBSTITUTE(SUBSTITUTE(SUBSTITUTE(SUBSTITUTE(SUBSTITUTE(SUBSTITUTE(SUBSTITUTE(SUBSTITUTE(SUBSTITUTE(SUBSTITUTE(SUBSTITUTE(SUBSTITUTE(SUBSTITUTE(SUBSTITUTE(LOWER(T446&amp;""),CHAR(10)," "),CHAR(13)," "),CHAR(9)," "),CHAR(160)," "),"."," "),","," "),"-"," "),"/"," "),"("," "),")"," "),":"," "),";"," "),"_"," "),"–"," "),"?"," "),"!"," "),"*"," "),"["," "),"]"," "),"'"," "),"#"," "),"+"," "),"&amp;"," "),"\"," "))&amp;" "</f>
        <v>  </v>
      </c>
      <c r="CD446" s="0" t="str">
        <f aca="false">" "&amp;TRIM(SUBSTITUTE(SUBSTITUTE(SUBSTITUTE(SUBSTITUTE(SUBSTITUTE(SUBSTITUTE(SUBSTITUTE(SUBSTITUTE(SUBSTITUTE(SUBSTITUTE(SUBSTITUTE(SUBSTITUTE(SUBSTITUTE(SUBSTITUTE(SUBSTITUTE(SUBSTITUTE(SUBSTITUTE(SUBSTITUTE(SUBSTITUTE(SUBSTITUTE(SUBSTITUTE(SUBSTITUTE(SUBSTITUTE(SUBSTITUTE(LOWER(AE446&amp;""),CHAR(10)," "),CHAR(13)," "),CHAR(9)," "),CHAR(160)," "),"."," "),","," "),"-"," "),"/"," "),"("," "),")"," "),":"," "),";"," "),"_"," "),"–"," "),"?"," "),"!"," "),"*"," "),"["," "),"]"," "),"'"," "),"#"," "),"+"," "),"&amp;"," "),"\"," "))&amp;" "</f>
        <v>  </v>
      </c>
      <c r="CE446" s="68" t="n">
        <f aca="false">IFERROR(IF(AND(LEN(AU446)&gt;0,LEN(AU446)=LEN(AX446),OR(TRIM(MID(SUBSTITUTE(TRIM(CC446)," ",REPT(" ",60)),1,60))="",ISNUMBER(SEARCH(" "&amp;TRIM(MID(SUBSTITUTE(TRIM(CC446)," ",REPT(" ",60)),1,60))&amp;" ",CD446))),OR(TRIM(MID(SUBSTITUTE(TRIM(CC446)," ",REPT(" ",60)),61,60))="",ISNUMBER(SEARCH(" "&amp;TRIM(MID(SUBSTITUTE(TRIM(CC446)," ",REPT(" ",60)),61,60))&amp;" ",CD446))),OR(TRIM(MID(SUBSTITUTE(TRIM(CC446)," ",REPT(" ",60)),121,60))="",ISNUMBER(SEARCH(" "&amp;TRIM(MID(SUBSTITUTE(TRIM(CC446)," ",REPT(" ",60)),121,60))&amp;" ",CD446)))),1,0),0)</f>
        <v>0</v>
      </c>
      <c r="CG446" s="68" t="n">
        <f aca="false">IFERROR(LEN(SUBSTITUTE(BF446," ",""))-SUMPRODUCT((LEN(BF446)-LEN(SUBSTITUTE(BF446," "&amp;L_NAFiller&amp;" "," ")))/(LEN(L_NAFiller)+1)*LEN(L_NAFiller)),0)</f>
        <v>0</v>
      </c>
    </row>
    <row r="447" customFormat="false" ht="78.75" hidden="false" customHeight="true" outlineLevel="0" collapsed="false">
      <c r="A447" s="57" t="s">
        <v>1087</v>
      </c>
      <c r="B447" s="57" t="s">
        <v>272</v>
      </c>
      <c r="C447" s="57" t="str">
        <f aca="false">Flights!$F$17</f>
        <v>MH0138</v>
      </c>
      <c r="D447" s="58" t="n">
        <f aca="false">Flights!$D$17</f>
        <v>46309</v>
      </c>
      <c r="E447" s="57" t="str">
        <f aca="false">Flights!$G$17&amp;"-"&amp;Flights!$H$17</f>
        <v>ADL-KUL</v>
      </c>
      <c r="F447" s="57" t="str">
        <f aca="false">Flights!$K$17</f>
        <v>EY</v>
      </c>
      <c r="G447" s="57" t="s">
        <v>420</v>
      </c>
      <c r="H447" s="57" t="s">
        <v>378</v>
      </c>
      <c r="I447" s="57" t="s">
        <v>447</v>
      </c>
      <c r="J447" s="57" t="s">
        <v>454</v>
      </c>
      <c r="K447" s="67" t="s">
        <v>1088</v>
      </c>
      <c r="L447" s="67" t="s">
        <v>1089</v>
      </c>
      <c r="M447" s="67" t="s">
        <v>451</v>
      </c>
      <c r="N447" s="67" t="s">
        <v>383</v>
      </c>
      <c r="O447" s="67" t="s">
        <v>1090</v>
      </c>
      <c r="P447" s="57" t="s">
        <v>263</v>
      </c>
      <c r="Q447" s="59" t="n">
        <f aca="false">ROUND((Flights!$AE$17)*1440,0)/1440</f>
        <v>46308.5104166667</v>
      </c>
      <c r="R447" s="59" t="n">
        <f aca="false">Q447+(IF(AND(INDEX(TZ_DSTS,MATCH(P447,TZ_STN,0))&lt;&gt;"",Q447&gt;=INDEX(TZ_DSTS,MATCH(P447,TZ_STN,0)),Q447&lt;INDEX(TZ_DSTE,MATCH(P447,TZ_STN,0))),INDEX(TZ_DST,MATCH(P447,TZ_STN,0)),INDEX(TZ_STD,MATCH(P447,TZ_STN,0))))/24</f>
        <v>46308.9479166667</v>
      </c>
      <c r="S447" s="60"/>
      <c r="T447" s="60"/>
      <c r="U447" s="60"/>
      <c r="V447" s="60"/>
      <c r="W447" s="61"/>
      <c r="X447" s="69" t="n">
        <v>280</v>
      </c>
      <c r="Y447" s="60"/>
      <c r="Z447" s="60"/>
      <c r="AA447" s="60"/>
      <c r="AB447" s="60"/>
      <c r="AC447" s="60"/>
      <c r="AD447" s="66"/>
      <c r="AE447" s="60"/>
      <c r="AF447" s="61" t="str">
        <f aca="false">IF(AND(ISNUMBER(X447),ISNUMBER(Y447)),Y447-X447,"")</f>
        <v/>
      </c>
      <c r="AG447" s="62" t="str">
        <f aca="false">IF(ISNUMBER(AD447),AD447-(IF(AND(INDEX(TZ_DSTS,MATCH(P447,TZ_STN,0))&lt;&gt;"",(AD447-INDEX(TZ_STD,MATCH(P447,TZ_STN,0))/24)&gt;=INDEX(TZ_DSTS,MATCH(P447,TZ_STN,0)),(AD447-INDEX(TZ_STD,MATCH(P447,TZ_STN,0))/24)&lt;INDEX(TZ_DSTE,MATCH(P447,TZ_STN,0))),INDEX(TZ_DST,MATCH(P447,TZ_STN,0)),INDEX(TZ_STD,MATCH(P447,TZ_STN,0))))/24,"")</f>
        <v/>
      </c>
      <c r="AH447" s="65" t="str">
        <f aca="false">IFERROR(IF(N447="N/A – rule",IF(OR(TRIM(U447)="",TRIM(U447)="N/A",TRIM(U447)="Not started"),"N/A – RULE","INVALID – this check does not apply to this aircraft: clear the status (or correct the fleet on Flights)"),IF(TRIM(U447)="N/A",IF(AT447=0,"INVALID – N/A not permitted for this check",IF(AND(TRIM(AB447)&lt;&gt;"",TRIM(AB447)&lt;&gt;"Closed"),"INVALID – corrective action still open",IF(AND(NOT(OR(LEN(AZ447)&lt;15,ISNUMBER(MATCH(AZ447,L_Placeholder,0)))),BK447=0,CG447&gt;=8,NOT(OR(LEN(AU447)&lt;2,ISNUMBER(MATCH(AU447,L_Placeholder,0)))),BR447&gt;=3,NOT(OR(LEN(AX447)&lt;2,ISNUMBER(MATCH(AX447,L_Placeholder,0)))),BS447&gt;=3,TRIM(AE447)&lt;&gt;TRIM(T447),AX447&lt;&gt;AU447,CE447=0),"N/A – JUSTIFIED","INVALID – N/A needs a real, settled reason (not 'not applicable' / 'as above' / TBC), a named PIC and a different named verifier"))),IF(OR(TRIM(U447)="Pass",TRIM(U447)="Pass after CA"),IF(NOT(ISNUMBER(AD447)),"INVALID – completion time missing",IF(OR(OR(LEN(AU447)&lt;2,ISNUMBER(MATCH(AU447,L_Placeholder,0))),BR447&lt;3),"INVALID – PIC missing or not a named person (a role such as QA / CSM is not a name)",IF(OR(LEN(AV447)&lt;2,ISNUMBER(MATCH(AV447,L_Placeholder,0))),"INVALID – result / assessment missing",IF(OR(OR(LEN(AW447)&lt;3,ISNUMBER(MATCH(AW447,L_Placeholder,0))),SUMPRODUCT(--ISNUMBER(SEARCH(" "&amp;L_EvidencePhrase&amp;" ",BD447)))&gt;0,BI447=1),"INVALID – evidence missing, placeholder or not yet on file",IF(ISNA(MATCH(TRIM(S447),L_EvidenceType,0)),"INVALID – choose the evidence type from the list (column S)",IF(BL447=0,"INVALID – evidence ID must be the record's own ID only (e.g. SF-2210, IMG_2231, 1045521); a link / file name needs type 'Link / file path'",IF(OR(OR(LEN(AX447)&lt;2,ISNUMBER(MATCH(AX447,L_Placeholder,0))),BS447&lt;3),"INVALID – verifier missing or not a named person (a role such as QA / CSM is not a name)",IF(OR(AX447=AU447,CE447=1,AND(LEN(AU447)&gt;=4,ISNUMBER(SEARCH(AU447,AX447))),AND(LEN(AX447)&gt;=4,ISNUMBER(SEARCH(AX447,AU447)))),"INVALID – verifier must be a different, named person (not the PIC or a role)",IF(BH447=1,"INVALID – result not yet available (awaiting / TBC)",IF(BG447=1,"INVALID – result describes a problem: record Fail, then Pass after CA (or reword if it is not a problem)",IF(BV447=1,"INVALID – wording says not on board: an on-board confirmation needs the item loaded",IF(AND(AQ447=1,OR(OR(LEN(AY447)&lt;3,ISNUMBER(MATCH(AY447,L_Placeholder,0))),BJ447=1,BQ447=0)),"INVALID – batch ID missing, placeholder or not an ID (e.g. PASB-261008-BC-017)",IF(AND(AR447=1,OR(NOT(ISNUMBER(X447)),NOT(ISNUMBER(Y447)))),"INVALID – expected/actual qty missing",IF(AND(AR447=1,OR(X447&lt;=0,Y447&lt;0)),"INVALID – expected qty must be above 0 and actual not negative",IF(BB447&lt;&gt;"",BB447,IF(AND(AS447=1,Documents!$J$17&lt;&gt;"ON FILE"),"INVALID – GLD not on file (Documents sheet)",IF(AND(AS447=2,Documents!$O$17&lt;&gt;"ON FILE"),"INVALID – menu checklist not on file (Documents sheet)",IF(AND(AS447=3,NOT(ISNUMBER(Flights!$AX$17))),"INVALID – enter carrying flight KUL departure (Flights AX)",IF(AND(AS447=3,OR(Flights!$AZ$17&gt;Flights!$AA$17,Flights!$AX$17&lt;Flights!$AA$17-3)),"INVALID – carrying flight (Flights AX) cannot arrive before this leg's STD, or is over 3 days early",IF(AG447&gt;AsOfUTC,"INVALID – completion time is in the future",IF(AND(ISNUMBER(BY447),AG447&lt;BY447),IF(H447="Physical uplift","INVALID – before uplift window (cannot confirm loading)","INVALID – before valid window"),IF(AG447&gt;Flights!$AA$17,"INVALID – completed after departure (cannot establish readiness)",IF(AND(H447="Preparation",AG447&gt;=IF(ISNUMBER(Flights!$BA$17),MIN(Flights!$BA$17,Flights!$AA$17),Flights!$AA$17)),"INVALID – completed after loading / departure (cannot establish readiness)",IF(AND(H447="Physical uplift",AG447&gt;Q447),"INVALID – recorded after the loading flight departed",IF(AG447&gt;Q447,"COMPLETE – LATE","COMPLETE"))))))))))))))))))))))))),IF(TRIM(U447)="Fail","FAIL – DISCREPANCY",IF(AND(TRIM(U447)&lt;&gt;"",TRIM(U447)&lt;&gt;"Not started",TRIM(U447)&lt;&gt;"In progress"),"INVALID – unrecognised status (use the list)",IF(AsOfUTC&gt;Q447,"OVERDUE",IF(N447="Clarification required","OPEN – CLARIFICATION","OPEN"))))))),"INVALID – error value in an input cell")</f>
        <v>OPEN</v>
      </c>
      <c r="AI447" s="61" t="n">
        <f aca="false">IF(OR(AH447="N/A – RULE",AH447="N/A – JUSTIFIED"),0,1)</f>
        <v>1</v>
      </c>
      <c r="AJ447" s="61" t="n">
        <f aca="false">IF(LEFT(AH447,8)="COMPLETE",1,0)</f>
        <v>0</v>
      </c>
      <c r="AK447" s="61" t="n">
        <f aca="false">IF(AND(AI447=1,AJ447=0,AsOfUTC&gt;Q447),1,0)</f>
        <v>0</v>
      </c>
      <c r="AL447" s="61" t="n">
        <f aca="false">IFERROR(IF(AND(AI447=1,OR(TRIM(U447)="Fail",AND(TRIM(AB447)&lt;&gt;"",TRIM(AB447)&lt;&gt;"Closed"),AND(ISNUMBER(AF447),AF447&lt;&gt;0,TRIM(U447)&lt;&gt;"Pass after CA"))),1,0),1)</f>
        <v>0</v>
      </c>
      <c r="AM447" s="61" t="n">
        <f aca="false">IF(LEFT(AH447,7)="INVALID",1,0)</f>
        <v>0</v>
      </c>
      <c r="AN447" s="61" t="n">
        <f aca="false">IF(AND(N447="Clarification required",AI447=1,AJ447=0),1,0)</f>
        <v>0</v>
      </c>
      <c r="AO447" s="61" t="str">
        <f aca="false">IF(AK447=1,SUM(AK$5:AK447),"")</f>
        <v/>
      </c>
      <c r="AP447" s="61" t="str">
        <f aca="false">IF(AL447=1,SUM(AL$5:AL447),"")</f>
        <v/>
      </c>
      <c r="AQ447" s="61" t="n">
        <v>0</v>
      </c>
      <c r="AR447" s="61" t="n">
        <v>1</v>
      </c>
      <c r="AS447" s="61" t="n">
        <v>0</v>
      </c>
      <c r="AT447" s="61" t="n">
        <v>0</v>
      </c>
      <c r="AU447" s="61" t="str">
        <f aca="false">SUBSTITUTE(SUBSTITUTE(SUBSTITUTE(SUBSTITUTE(SUBSTITUTE(SUBSTITUTE(SUBSTITUTE(SUBSTITUTE(SUBSTITUTE(SUBSTITUTE(SUBSTITUTE(SUBSTITUTE(SUBSTITUTE(SUBSTITUTE(SUBSTITUTE(SUBSTITUTE(LOWER(T447&amp;""),CHAR(10),""),CHAR(13),""),CHAR(9),""),CHAR(160),"")," ",""),".",""),"-",""),"/",""),"?",""),"_",""),",",""),"[",""),"]",""),"(",""),")",""),"*","")</f>
        <v/>
      </c>
      <c r="AV447" s="61" t="str">
        <f aca="false">SUBSTITUTE(SUBSTITUTE(SUBSTITUTE(SUBSTITUTE(SUBSTITUTE(SUBSTITUTE(SUBSTITUTE(SUBSTITUTE(SUBSTITUTE(SUBSTITUTE(SUBSTITUTE(SUBSTITUTE(SUBSTITUTE(SUBSTITUTE(SUBSTITUTE(SUBSTITUTE(LOWER(V447&amp;""),CHAR(10),""),CHAR(13),""),CHAR(9),""),CHAR(160),"")," ",""),".",""),"-",""),"/",""),"?",""),"_",""),",",""),"[",""),"]",""),"(",""),")",""),"*","")</f>
        <v/>
      </c>
      <c r="AW447" s="61" t="str">
        <f aca="false">SUBSTITUTE(SUBSTITUTE(SUBSTITUTE(SUBSTITUTE(SUBSTITUTE(SUBSTITUTE(SUBSTITUTE(SUBSTITUTE(SUBSTITUTE(SUBSTITUTE(SUBSTITUTE(SUBSTITUTE(SUBSTITUTE(SUBSTITUTE(SUBSTITUTE(SUBSTITUTE(LOWER(Z447&amp;""),CHAR(10),""),CHAR(13),""),CHAR(9),""),CHAR(160),"")," ",""),".",""),"-",""),"/",""),"?",""),"_",""),",",""),"[",""),"]",""),"(",""),")",""),"*","")</f>
        <v/>
      </c>
      <c r="AX447" s="61" t="str">
        <f aca="false">SUBSTITUTE(SUBSTITUTE(SUBSTITUTE(SUBSTITUTE(SUBSTITUTE(SUBSTITUTE(SUBSTITUTE(SUBSTITUTE(SUBSTITUTE(SUBSTITUTE(SUBSTITUTE(SUBSTITUTE(SUBSTITUTE(SUBSTITUTE(SUBSTITUTE(SUBSTITUTE(LOWER(AE447&amp;""),CHAR(10),""),CHAR(13),""),CHAR(9),""),CHAR(160),"")," ",""),".",""),"-",""),"/",""),"?",""),"_",""),",",""),"[",""),"]",""),"(",""),")",""),"*","")</f>
        <v/>
      </c>
      <c r="AY447" s="61" t="str">
        <f aca="false">SUBSTITUTE(SUBSTITUTE(SUBSTITUTE(SUBSTITUTE(SUBSTITUTE(SUBSTITUTE(SUBSTITUTE(SUBSTITUTE(SUBSTITUTE(SUBSTITUTE(SUBSTITUTE(SUBSTITUTE(SUBSTITUTE(SUBSTITUTE(SUBSTITUTE(SUBSTITUTE(LOWER(W447&amp;""),CHAR(10),""),CHAR(13),""),CHAR(9),""),CHAR(160),"")," ",""),".",""),"-",""),"/",""),"?",""),"_",""),",",""),"[",""),"]",""),"(",""),")",""),"*","")</f>
        <v/>
      </c>
      <c r="AZ447" s="61" t="str">
        <f aca="false">SUBSTITUTE(SUBSTITUTE(SUBSTITUTE(SUBSTITUTE(SUBSTITUTE(SUBSTITUTE(SUBSTITUTE(SUBSTITUTE(SUBSTITUTE(SUBSTITUTE(SUBSTITUTE(SUBSTITUTE(SUBSTITUTE(SUBSTITUTE(SUBSTITUTE(SUBSTITUTE(LOWER(AC447&amp;""),CHAR(10),""),CHAR(13),""),CHAR(9),""),CHAR(160),"")," ",""),".",""),"-",""),"/",""),"?",""),"_",""),",",""),"[",""),"]",""),"(",""),")",""),"*","")</f>
        <v/>
      </c>
      <c r="BA447" s="61" t="str">
        <f aca="false">SUBSTITUTE(SUBSTITUTE(SUBSTITUTE(SUBSTITUTE(SUBSTITUTE(SUBSTITUTE(SUBSTITUTE(SUBSTITUTE(SUBSTITUTE(SUBSTITUTE(SUBSTITUTE(SUBSTITUTE(SUBSTITUTE(SUBSTITUTE(SUBSTITUTE(SUBSTITUTE(LOWER(AA447&amp;""),CHAR(10),""),CHAR(13),""),CHAR(9),""),CHAR(160),"")," ",""),".",""),"-",""),"/",""),"?",""),"_",""),",",""),"[",""),"]",""),"(",""),")",""),"*","")</f>
        <v/>
      </c>
      <c r="BB447" s="61" t="str">
        <f aca="false">IF(AND(TRIM(U447)="Pass",ISNUMBER(AF447)),IF(AF447&lt;&gt;0,"INVALID – qty variance: use Fail or Pass after CA",""),"")&amp;IF(AND(TRIM(U447)="Pass after CA",ISNUMBER(AF447)),IF(AF447&lt;&gt;0,"INVALID – after the corrective action the actual qty must equal expected (update Actual)",""),"")&amp;IF(AND(TRIM(U447)="Pass",TRIM(AB447)&lt;&gt;"",TRIM(AB447)&lt;&gt;"Closed"),"INVALID – corrective action not closed: use Fail, then Pass after CA","")&amp;IF(AND(LEN(BA447)&gt;=2,ISNA(MATCH(LEFT(BA447,255),L_Placeholder,0)),TRIM(AB447)=""),"INVALID – CA status missing for the recorded corrective action","")&amp;IF(AND(TRIM(U447)="Pass after CA",OR(OR(LEN(BA447)&lt;5,ISNUMBER(MATCH(BA447,L_Placeholder,0))),TRIM(AB447)&lt;&gt;"Closed")),"INVALID – corrective action not recorded/closed","")</f>
        <v/>
      </c>
      <c r="BC447" s="61" t="str">
        <f aca="false">" "&amp;TRIM(SUBSTITUTE(SUBSTITUTE(SUBSTITUTE(SUBSTITUTE(SUBSTITUTE(SUBSTITUTE(SUBSTITUTE(SUBSTITUTE(SUBSTITUTE(SUBSTITUTE(SUBSTITUTE(SUBSTITUTE(SUBSTITUTE(SUBSTITUTE(SUBSTITUTE(SUBSTITUTE(SUBSTITUTE(SUBSTITUTE(SUBSTITUTE(SUBSTITUTE(SUBSTITUTE(SUBSTITUTE(SUBSTITUTE(SUBSTITUTE(LOWER(V447&amp;""),CHAR(10)," "),CHAR(13)," "),CHAR(9)," "),CHAR(160)," "),"."," "),","," "),"-"," "),"/"," "),"("," "),")"," "),":"," "),";"," "),"_"," "),"–"," "),"?"," "),"!"," "),"*"," "),"["," "),"]"," "),"'"," "),"#"," "),"+"," "),"&amp;"," "),"\"," "))&amp;" "</f>
        <v>  </v>
      </c>
      <c r="BD447" s="61" t="str">
        <f aca="false">" "&amp;TRIM(SUBSTITUTE(SUBSTITUTE(SUBSTITUTE(SUBSTITUTE(SUBSTITUTE(SUBSTITUTE(SUBSTITUTE(SUBSTITUTE(SUBSTITUTE(SUBSTITUTE(SUBSTITUTE(SUBSTITUTE(SUBSTITUTE(SUBSTITUTE(SUBSTITUTE(SUBSTITUTE(SUBSTITUTE(SUBSTITUTE(SUBSTITUTE(SUBSTITUTE(SUBSTITUTE(SUBSTITUTE(SUBSTITUTE(SUBSTITUTE(LOWER(Z447&amp;""),CHAR(10)," "),CHAR(13)," "),CHAR(9)," "),CHAR(160)," "),"."," "),","," "),"-"," "),"/"," "),"("," "),")"," "),":"," "),";"," "),"_"," "),"–"," "),"?"," "),"!"," "),"*"," "),"["," "),"]"," "),"'"," "),"#"," "),"+"," "),"&amp;"," "),"\"," "))&amp;" "</f>
        <v>  </v>
      </c>
      <c r="BE447" s="61" t="str">
        <f aca="false">" "&amp;TRIM(SUBSTITUTE(SUBSTITUTE(SUBSTITUTE(SUBSTITUTE(SUBSTITUTE(SUBSTITUTE(SUBSTITUTE(SUBSTITUTE(SUBSTITUTE(SUBSTITUTE(SUBSTITUTE(SUBSTITUTE(SUBSTITUTE(SUBSTITUTE(SUBSTITUTE(SUBSTITUTE(SUBSTITUTE(SUBSTITUTE(SUBSTITUTE(SUBSTITUTE(SUBSTITUTE(SUBSTITUTE(SUBSTITUTE(SUBSTITUTE(LOWER(W447&amp;""),CHAR(10)," "),CHAR(13)," "),CHAR(9)," "),CHAR(160)," "),"."," "),","," "),"-"," "),"/"," "),"("," "),")"," "),":"," "),";"," "),"_"," "),"–"," "),"?"," "),"!"," "),"*"," "),"["," "),"]"," "),"'"," "),"#"," "),"+"," "),"&amp;"," "),"\"," "))&amp;" "</f>
        <v>  </v>
      </c>
      <c r="BF447" s="61" t="str">
        <f aca="false">" "&amp;TRIM(SUBSTITUTE(SUBSTITUTE(SUBSTITUTE(SUBSTITUTE(SUBSTITUTE(SUBSTITUTE(SUBSTITUTE(SUBSTITUTE(SUBSTITUTE(SUBSTITUTE(SUBSTITUTE(SUBSTITUTE(SUBSTITUTE(SUBSTITUTE(SUBSTITUTE(SUBSTITUTE(SUBSTITUTE(SUBSTITUTE(SUBSTITUTE(SUBSTITUTE(SUBSTITUTE(SUBSTITUTE(SUBSTITUTE(SUBSTITUTE(LOWER(AC447&amp;""),CHAR(10)," "),CHAR(13)," "),CHAR(9)," "),CHAR(160)," "),"."," "),","," "),"-"," "),"/"," "),"("," "),")"," "),":"," "),";"," "),"_"," "),"–"," "),"?"," "),"!"," "),"*"," "),"["," "),"]"," "),"'"," "),"#"," "),"+"," "),"&amp;"," "),"\"," "))&amp;" "</f>
        <v>  </v>
      </c>
      <c r="BG447" s="61" t="n">
        <f aca="false">IFERROR(IF(AND(TRIM(U447)="Pass",SUMPRODUCT((LEN(BC447)-LEN(SUBSTITUTE(BC447," "&amp;L_ResultBad&amp;" "," ")))/(LEN(L_ResultBad)+1))&gt;SUMPRODUCT((LEN(BC447)-LEN(SUBSTITUTE(BC447," "&amp;L_NegPhrase&amp;" "," ")))/(LEN(L_NegPhrase)+1))),1,0),0)</f>
        <v>0</v>
      </c>
      <c r="BH447" s="61" t="n">
        <f aca="false">IFERROR(IF(SUMPRODUCT((LEN(BC447)-LEN(SUBSTITUTE(BC447," "&amp;L_Pending&amp;" "," ")))/(LEN(L_Pending)+1))&gt;SUMPRODUCT((LEN(BC447)-LEN(SUBSTITUTE(BC447," "&amp;L_PendNeg&amp;" "," ")))/(LEN(L_PendNeg)+1))+SUMPRODUCT((LEN(BC447)-LEN(SUBSTITUTE(BC447," "&amp;L_PendPrep&amp;" "," ")))/(LEN(L_PendPrep)+1)),1,0),1)</f>
        <v>0</v>
      </c>
      <c r="BI447" s="61" t="n">
        <f aca="false">IFERROR(IF(SUMPRODUCT((LEN(BD447)-LEN(SUBSTITUTE(BD447," "&amp;L_PendStrict&amp;" "," ")))/(LEN(L_PendStrict)+1))&gt;SUMPRODUCT((LEN(BD447)-LEN(SUBSTITUTE(BD447," "&amp;L_PendNeg&amp;" "," ")))/(LEN(L_PendNeg)+1)),1,0),1)</f>
        <v>0</v>
      </c>
      <c r="BJ447" s="61" t="n">
        <f aca="false">IFERROR(IF(SUMPRODUCT((LEN(BE447)-LEN(SUBSTITUTE(BE447," "&amp;L_Pending&amp;" "," ")))/(LEN(L_Pending)+1))&gt;SUMPRODUCT((LEN(BE447)-LEN(SUBSTITUTE(BE447," "&amp;L_PendNeg&amp;" "," ")))/(LEN(L_PendNeg)+1))+SUMPRODUCT((LEN(BE447)-LEN(SUBSTITUTE(BE447," "&amp;L_PendPrep&amp;" "," ")))/(LEN(L_PendPrep)+1)),1,0),1)</f>
        <v>0</v>
      </c>
      <c r="BK447" s="61" t="n">
        <f aca="false">IFERROR(IF(SUMPRODUCT((LEN(BF447)-LEN(SUBSTITUTE(BF447," "&amp;L_PendStrict&amp;" "," ")))/(LEN(L_PendStrict)+1))&gt;SUMPRODUCT((LEN(BF447)-LEN(SUBSTITUTE(BF447," "&amp;L_PendNeg&amp;" "," ")))/(LEN(L_PendNeg)+1)),1,0),1)</f>
        <v>0</v>
      </c>
      <c r="BL447" s="61" t="n">
        <f aca="false">IF(ISNA(MATCH(TRIM(S447),L_EvidenceType,0)),0,BZ447)</f>
        <v>0</v>
      </c>
      <c r="BM447" s="61" t="str">
        <f aca="false">SUBSTITUTE(SUBSTITUTE(SUBSTITUTE(SUBSTITUTE(SUBSTITUTE(SUBSTITUTE(SUBSTITUTE(SUBSTITUTE(SUBSTITUTE(LOWER(Z447&amp;""),"1","0"),"2","0"),"3","0"),"4","0"),"5","0"),"6","0"),"7","0"),"8","0"),"9","0")</f>
        <v/>
      </c>
      <c r="BN447" s="61" t="str">
        <f aca="false">SUBSTITUTE(SUBSTITUTE(SUBSTITUTE(SUBSTITUTE(SUBSTITUTE(SUBSTITUTE(SUBSTITUTE(SUBSTITUTE(SUBSTITUTE(SUBSTITUTE(SUBSTITUTE(SUBSTITUTE(SUBSTITUTE(SUBSTITUTE(SUBSTITUTE(SUBSTITUTE(SUBSTITUTE(SUBSTITUTE(SUBSTITUTE(SUBSTITUTE(SUBSTITUTE(SUBSTITUTE(SUBSTITUTE(SUBSTITUTE(SUBSTITUTE(BM447,"b","a"),"c","a"),"d","a"),"e","a"),"f","a"),"g","a"),"h","a"),"i","a"),"j","a"),"k","a"),"l","a"),"m","a"),"n","a"),"o","a"),"p","a"),"q","a"),"r","a"),"s","a"),"t","a"),"u","a"),"v","a"),"w","a"),"x","a"),"y","a"),"z","a")</f>
        <v/>
      </c>
      <c r="BO447" s="61" t="str">
        <f aca="false">SUBSTITUTE(SUBSTITUTE(SUBSTITUTE(SUBSTITUTE(SUBSTITUTE(SUBSTITUTE(SUBSTITUTE(SUBSTITUTE(SUBSTITUTE(LOWER(W447&amp;""),"1","0"),"2","0"),"3","0"),"4","0"),"5","0"),"6","0"),"7","0"),"8","0"),"9","0")</f>
        <v/>
      </c>
      <c r="BP447" s="61" t="str">
        <f aca="false">SUBSTITUTE(SUBSTITUTE(SUBSTITUTE(SUBSTITUTE(SUBSTITUTE(SUBSTITUTE(SUBSTITUTE(SUBSTITUTE(SUBSTITUTE(SUBSTITUTE(SUBSTITUTE(SUBSTITUTE(SUBSTITUTE(SUBSTITUTE(SUBSTITUTE(SUBSTITUTE(SUBSTITUTE(SUBSTITUTE(SUBSTITUTE(SUBSTITUTE(SUBSTITUTE(SUBSTITUTE(SUBSTITUTE(SUBSTITUTE(SUBSTITUTE(BO447,"b","a"),"c","a"),"d","a"),"e","a"),"f","a"),"g","a"),"h","a"),"i","a"),"j","a"),"k","a"),"l","a"),"m","a"),"n","a"),"o","a"),"p","a"),"q","a"),"r","a"),"s","a"),"t","a"),"u","a"),"v","a"),"w","a"),"x","a"),"y","a"),"z","a")</f>
        <v/>
      </c>
      <c r="BQ447" s="61" t="n">
        <f aca="false">IFERROR(IF(AND(ISERROR(SEARCH(" mh"," "&amp;LOWER(W447))),ISNA(MATCH(LEFT(TRIM(BP447),255),{"0000a","000a","00a","0000aa","000aa","00aa","0aa","0000aaa","000aaa","00a00","0a00","0000-0000","00:00","a00","a0","00.00.0000","00/00/0000","00-00-0000","0000-00-00","0000/00/00","0000.00.00","00.00.00","00/00/00","00-00-00","0.00.0000","0/00/0000","0-00-0000"},0)),ISNA(MATCH(LEFT(TRIM(CA447),255),{"0000a","000a","00a","0000aa","000aa","00aa","0aa","0000aaa","000aaa","00a00","0a00","0000-0000","00:00","a00","a0","00.00.0000","00/00/0000","00-00-0000","0000-00-00","0000/00/00","0000.00.00","00.00.00","00/00/00","00-00-00","0.00.0000","0/00/0000","0-00-0000"},0)),LEN(CB447)&gt;=3,NOT(OR(SUBSTITUTE(CB447,"0","")="",AND(LEN(CB447)&gt;=4,CB447=REPT(LEFT(CB447),LEN(CB447))),ISNUMBER(MATCH(CB447,{"123","1234","12345","123456","1234567","12345678","0123","01234","012345","98765","987654","54321"},0)),AND(LEN(CB447)=8,LEFT(CB447,3)="202"))),OR(AND((LEN(CA447)-LEN(SUBSTITUTE(CA447,"a","")))&gt;=1,SUMPRODUCT(--ISNUMBER(SEARCH({"a0","a-0","a_0","a/0","a.0","a#0","0a","0-a","0_a","0/a"},BP447)))&gt;0),ISNUMBER(SEARCH("000000",BP447)))),1,0),0)</f>
        <v>0</v>
      </c>
      <c r="BR447" s="61" t="n">
        <f aca="false">IFERROR(LEN(SUBSTITUTE(CC447," ",""))-SUMPRODUCT((LEN(CC447)-LEN(SUBSTITUTE(CC447," "&amp;L_Role&amp;" "," ")))/(LEN(L_Role)+1)*LEN(L_Role)),0)</f>
        <v>0</v>
      </c>
      <c r="BS447" s="61" t="n">
        <f aca="false">IFERROR(LEN(SUBSTITUTE(CD447," ",""))-SUMPRODUCT((LEN(CD447)-LEN(SUBSTITUTE(CD447," "&amp;L_Role&amp;" "," ")))/(LEN(L_Role)+1)*LEN(L_Role)),0)</f>
        <v>0</v>
      </c>
      <c r="BT4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447,"revision",""),"version",""),"jan",""),"feb",""),"mar",""),"apr",""),"may",""),"jun",""),"jul",""),"aug",""),"sep",""),"oct",""),"nov",""),"dec",""),"utc",""),"gmt",""),"myt",""),"bst",""),"rev",""),"ver",""),"b","a"),"c","a"),"d","a"),"e","a"),"f","a"),"g","a"),"h","a"),"i","a"),"j","a"),"k","a"),"l","a"),"m","a"),"n","a"),"o","a"),"p","a"),"q","a"),"r","a"),"s","a"),"t","a"),"u","a"),"v","a"),"w","a"),"x","a"),"y","a"),"z","a")</f>
        <v/>
      </c>
      <c r="BU447" s="61" t="str">
        <f aca="false">SUBSTITUTE(SUBSTITUTE(SUBSTITUTE(SUBSTITUTE(SUBSTITUTE(SUBSTITUTE(SUBSTITUTE(SUBSTITUTE(SUBSTITUTE(SUBSTITUTE(LEFT(BM447,FIND("0",BM447&amp;"0")-1),"-",""),"_",""),"/",""),".",""),"#",""),"\\",""),":","")," ",""),"(",""),")","")</f>
        <v/>
      </c>
      <c r="BV447" s="61" t="n">
        <f aca="false">0</f>
        <v>0</v>
      </c>
      <c r="BW4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447&amp;""),"a",""),"b",""),"c",""),"d",""),"e",""),"f",""),"g",""),"h",""),"i",""),"j",""),"k",""),"l",""),"m",""),"n",""),"o",""),"p",""),"q",""),"r",""),"s",""),"t",""),"u",""),"v",""),"w",""),"x",""),"y",""),"z",""),"-",""),"_",""),"/",""),".",""),"#",""),"\\",""),":","")," ",""),"(",""),")","")</f>
        <v/>
      </c>
      <c r="BX447" s="61" t="str">
        <f aca="false">SUBSTITUTE(SUBSTITUTE(SUBSTITUTE(SUBSTITUTE(SUBSTITUTE(SUBSTITUTE(SUBSTITUTE(SUBSTITUTE(SUBSTITUTE(SUBSTITUTE(SUBSTITUTE(BM447,"0",""),"-",""),"_",""),"/",""),".",""),"#",""),"\\",""),":","")," ",""),"(",""),")","")</f>
        <v/>
      </c>
      <c r="BY447" s="62" t="n">
        <f aca="false">Q447-T12EarlyH/24</f>
        <v>46308.0104166667</v>
      </c>
      <c r="BZ447" s="61" t="n">
        <f aca="false">IFERROR(IF(IF(TRIM(S447)="Link / file path",AND(LEN(TRIM(Z447))&gt;=5,SUMPRODUCT(--ISNUMBER(SEARCH({"http","www.","\\",":\",".pdf",".jpg",".jpeg",".png",".heic",".xls",".doc",".msg",".eml",".ppt",".txt",".zip"},Z447)))&gt;0),AND(ISERROR(FIND(" ",TRIM(Z447))),NOT(OR(SUMPRODUCT(--ISNUMBER(FIND({",",";","&amp;","+"},Z447)))&gt;0,SUMPRODUCT(--ISNUMBER(SEARCH({"0/aa","0\\aa"},BN447)))&gt;0)),NOT(SUMPRODUCT(--ISNUMBER(SEARCH({"http","www.","\\",":\",".pdf",".jpg",".jpeg",".png",".heic",".xls",".doc",".msg",".eml",".ppt",".txt",".zip"},Z447)))&gt;0),NOT(LOWER(TRIM(Z447))=LOWER(Flights!$F$17)),ISNA(MATCH(BU447,{"mh","rev","revision","ver","version","v","r","a","b","seat","tray","row","gate","bay","stand","page","pg","item","line","no","cart","galley","flight","flt","table","box","bag","oven","etd","eta","std","sta","atd","ata","qty","pax","x","time","tel","ph","mob","day","wk","week","utc","gmt","myt","lt"},0)),NOT(OR(ISNUMBER(MATCH(LEFT(BN447,255),{"0000a","000a","00a","0000aa","000aa","00aa","0aa","0000aaa","000aaa","00a00","0a00","0000-0000","00:00","a00","a0","00.00.0000","00/00/0000","00-00-0000","0000-00-00","0000/00/00","0000.00.00","00.00.00","00/00/00","00-00-00","0.00.0000","0/00/0000","0-00-0000"},0)),ISNUMBER(MATCH(LEFT(BT447,255),{"0000a","000a","00a","0000aa","000aa","00aa","0aa","0000aaa","000aaa","00a00","0a00","0000-0000","00:00","a00","a0","00.00.0000","00/00/0000","00-00-0000","0000-00-00","0000/00/00","0000.00.00","00.00.00","00/00/00","00-00-00","0.00.0000","0/00/0000","0-00-0000"},0)))),NOT(OR(AND(BW447&lt;&gt;"",SUBSTITUTE(BW447,"0","")=""),AND(LEN(BW447)&gt;=4,BW447=REPT(LEFT(BW447),LEN(BW447))),ISNUMBER(MATCH(BW447,{"123","1234","12345","123456","1234567","12345678","0123","01234","012345","98765","987654","54321"},0)),ISNUMBER(MATCH(BX447,{"x","xx","xxx","xxxx","xxxxx","abc","abcd","nil","na","nan","test","tbc","tba","tbd","dummy","sample","example","eg","zz","zzz","none","null","xyz","qwe","asd","id","ref"},0)),AND(LEN(BW447)=8,BX447="",OR(LEFT(BW447,3)="202",ISNUMBER(MATCH(RIGHT(BW447,4),{"2025","2026","2027"},0)))))),OR(AND((LEN(BT447)-LEN(SUBSTITUTE(BT447,"a","")))&gt;=1,(LEN(BN447)-LEN(SUBSTITUTE(BN447,"0","")))&gt;=2,SUMPRODUCT(--ISNUMBER(SEARCH({"a0","a-0","a_0","a/0","a.0","a#0","0a","0-a","0_a","0/a"},BN447)))&gt;0),AND((LEN(BN447)-LEN(SUBSTITUTE(BN447,"a","")))=0,(LEN(BN447)-LEN(SUBSTITUTE(BN447,"0","")))&gt;=5)))),1,0),0)</f>
        <v>0</v>
      </c>
      <c r="CA4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447,"revision",""),"version",""),"jan",""),"feb",""),"mar",""),"apr",""),"may",""),"jun",""),"jul",""),"aug",""),"sep",""),"oct",""),"nov",""),"dec",""),"utc",""),"gmt",""),"myt",""),"bst",""),"rev",""),"ver",""),"b","a"),"c","a"),"d","a"),"e","a"),"f","a"),"g","a"),"h","a"),"i","a"),"j","a"),"k","a"),"l","a"),"m","a"),"n","a"),"o","a"),"p","a"),"q","a"),"r","a"),"s","a"),"t","a"),"u","a"),"v","a"),"w","a"),"x","a"),"y","a"),"z","a")</f>
        <v/>
      </c>
      <c r="CB4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447&amp;""),"a",""),"b",""),"c",""),"d",""),"e",""),"f",""),"g",""),"h",""),"i",""),"j",""),"k",""),"l",""),"m",""),"n",""),"o",""),"p",""),"q",""),"r",""),"s",""),"t",""),"u",""),"v",""),"w",""),"x",""),"y",""),"z",""),"-",""),"_",""),"/",""),".",""),"#",""),"\\",""),":","")," ",""),"(",""),")","")</f>
        <v/>
      </c>
      <c r="CC447" s="0" t="str">
        <f aca="false">" "&amp;TRIM(SUBSTITUTE(SUBSTITUTE(SUBSTITUTE(SUBSTITUTE(SUBSTITUTE(SUBSTITUTE(SUBSTITUTE(SUBSTITUTE(SUBSTITUTE(SUBSTITUTE(SUBSTITUTE(SUBSTITUTE(SUBSTITUTE(SUBSTITUTE(SUBSTITUTE(SUBSTITUTE(SUBSTITUTE(SUBSTITUTE(SUBSTITUTE(SUBSTITUTE(SUBSTITUTE(SUBSTITUTE(SUBSTITUTE(SUBSTITUTE(LOWER(T447&amp;""),CHAR(10)," "),CHAR(13)," "),CHAR(9)," "),CHAR(160)," "),"."," "),","," "),"-"," "),"/"," "),"("," "),")"," "),":"," "),";"," "),"_"," "),"–"," "),"?"," "),"!"," "),"*"," "),"["," "),"]"," "),"'"," "),"#"," "),"+"," "),"&amp;"," "),"\"," "))&amp;" "</f>
        <v>  </v>
      </c>
      <c r="CD447" s="0" t="str">
        <f aca="false">" "&amp;TRIM(SUBSTITUTE(SUBSTITUTE(SUBSTITUTE(SUBSTITUTE(SUBSTITUTE(SUBSTITUTE(SUBSTITUTE(SUBSTITUTE(SUBSTITUTE(SUBSTITUTE(SUBSTITUTE(SUBSTITUTE(SUBSTITUTE(SUBSTITUTE(SUBSTITUTE(SUBSTITUTE(SUBSTITUTE(SUBSTITUTE(SUBSTITUTE(SUBSTITUTE(SUBSTITUTE(SUBSTITUTE(SUBSTITUTE(SUBSTITUTE(LOWER(AE447&amp;""),CHAR(10)," "),CHAR(13)," "),CHAR(9)," "),CHAR(160)," "),"."," "),","," "),"-"," "),"/"," "),"("," "),")"," "),":"," "),";"," "),"_"," "),"–"," "),"?"," "),"!"," "),"*"," "),"["," "),"]"," "),"'"," "),"#"," "),"+"," "),"&amp;"," "),"\"," "))&amp;" "</f>
        <v>  </v>
      </c>
      <c r="CE447" s="68" t="n">
        <f aca="false">IFERROR(IF(AND(LEN(AU447)&gt;0,LEN(AU447)=LEN(AX447),OR(TRIM(MID(SUBSTITUTE(TRIM(CC447)," ",REPT(" ",60)),1,60))="",ISNUMBER(SEARCH(" "&amp;TRIM(MID(SUBSTITUTE(TRIM(CC447)," ",REPT(" ",60)),1,60))&amp;" ",CD447))),OR(TRIM(MID(SUBSTITUTE(TRIM(CC447)," ",REPT(" ",60)),61,60))="",ISNUMBER(SEARCH(" "&amp;TRIM(MID(SUBSTITUTE(TRIM(CC447)," ",REPT(" ",60)),61,60))&amp;" ",CD447))),OR(TRIM(MID(SUBSTITUTE(TRIM(CC447)," ",REPT(" ",60)),121,60))="",ISNUMBER(SEARCH(" "&amp;TRIM(MID(SUBSTITUTE(TRIM(CC447)," ",REPT(" ",60)),121,60))&amp;" ",CD447)))),1,0),0)</f>
        <v>0</v>
      </c>
      <c r="CG447" s="68" t="n">
        <f aca="false">IFERROR(LEN(SUBSTITUTE(BF447," ",""))-SUMPRODUCT((LEN(BF447)-LEN(SUBSTITUTE(BF447," "&amp;L_NAFiller&amp;" "," ")))/(LEN(L_NAFiller)+1)*LEN(L_NAFiller)),0)</f>
        <v>0</v>
      </c>
    </row>
    <row r="448" customFormat="false" ht="91.5" hidden="false" customHeight="true" outlineLevel="0" collapsed="false">
      <c r="A448" s="57" t="s">
        <v>1091</v>
      </c>
      <c r="B448" s="57" t="s">
        <v>272</v>
      </c>
      <c r="C448" s="57" t="str">
        <f aca="false">Flights!$F$17</f>
        <v>MH0138</v>
      </c>
      <c r="D448" s="58" t="n">
        <f aca="false">Flights!$D$17</f>
        <v>46309</v>
      </c>
      <c r="E448" s="57" t="str">
        <f aca="false">Flights!$G$17&amp;"-"&amp;Flights!$H$17</f>
        <v>ADL-KUL</v>
      </c>
      <c r="F448" s="57" t="str">
        <f aca="false">Flights!$K$17</f>
        <v>EY</v>
      </c>
      <c r="G448" s="57" t="s">
        <v>420</v>
      </c>
      <c r="H448" s="57" t="s">
        <v>378</v>
      </c>
      <c r="I448" s="57" t="s">
        <v>634</v>
      </c>
      <c r="J448" s="57" t="s">
        <v>635</v>
      </c>
      <c r="K448" s="67" t="s">
        <v>1040</v>
      </c>
      <c r="L448" s="67" t="s">
        <v>1041</v>
      </c>
      <c r="M448" s="67" t="s">
        <v>451</v>
      </c>
      <c r="N448" s="67" t="s">
        <v>444</v>
      </c>
      <c r="O448" s="67" t="s">
        <v>1092</v>
      </c>
      <c r="P448" s="57" t="s">
        <v>263</v>
      </c>
      <c r="Q448" s="59" t="n">
        <f aca="false">ROUND((Flights!$AE$17)*1440,0)/1440</f>
        <v>46308.5104166667</v>
      </c>
      <c r="R448" s="59" t="n">
        <f aca="false">Q448+(IF(AND(INDEX(TZ_DSTS,MATCH(P448,TZ_STN,0))&lt;&gt;"",Q448&gt;=INDEX(TZ_DSTS,MATCH(P448,TZ_STN,0)),Q448&lt;INDEX(TZ_DSTE,MATCH(P448,TZ_STN,0))),INDEX(TZ_DST,MATCH(P448,TZ_STN,0)),INDEX(TZ_STD,MATCH(P448,TZ_STN,0))))/24</f>
        <v>46308.9479166667</v>
      </c>
      <c r="S448" s="60"/>
      <c r="T448" s="60"/>
      <c r="U448" s="60"/>
      <c r="V448" s="60"/>
      <c r="W448" s="61"/>
      <c r="X448" s="60"/>
      <c r="Y448" s="60"/>
      <c r="Z448" s="60"/>
      <c r="AA448" s="60"/>
      <c r="AB448" s="60"/>
      <c r="AC448" s="60"/>
      <c r="AD448" s="66"/>
      <c r="AE448" s="60"/>
      <c r="AF448" s="61" t="str">
        <f aca="false">IF(AND(ISNUMBER(X448),ISNUMBER(Y448)),Y448-X448,"")</f>
        <v/>
      </c>
      <c r="AG448" s="62" t="str">
        <f aca="false">IF(ISNUMBER(AD448),AD448-(IF(AND(INDEX(TZ_DSTS,MATCH(P448,TZ_STN,0))&lt;&gt;"",(AD448-INDEX(TZ_STD,MATCH(P448,TZ_STN,0))/24)&gt;=INDEX(TZ_DSTS,MATCH(P448,TZ_STN,0)),(AD448-INDEX(TZ_STD,MATCH(P448,TZ_STN,0))/24)&lt;INDEX(TZ_DSTE,MATCH(P448,TZ_STN,0))),INDEX(TZ_DST,MATCH(P448,TZ_STN,0)),INDEX(TZ_STD,MATCH(P448,TZ_STN,0))))/24,"")</f>
        <v/>
      </c>
      <c r="AH448" s="65" t="str">
        <f aca="false">IFERROR(IF(N448="N/A – rule",IF(OR(TRIM(U448)="",TRIM(U448)="N/A",TRIM(U448)="Not started"),"N/A – RULE","INVALID – this check does not apply to this aircraft: clear the status (or correct the fleet on Flights)"),IF(TRIM(U448)="N/A",IF(AT448=0,"INVALID – N/A not permitted for this check",IF(AND(TRIM(AB448)&lt;&gt;"",TRIM(AB448)&lt;&gt;"Closed"),"INVALID – corrective action still open",IF(AND(NOT(OR(LEN(AZ448)&lt;15,ISNUMBER(MATCH(AZ448,L_Placeholder,0)))),BK448=0,CG448&gt;=8,NOT(OR(LEN(AU448)&lt;2,ISNUMBER(MATCH(AU448,L_Placeholder,0)))),BR448&gt;=3,NOT(OR(LEN(AX448)&lt;2,ISNUMBER(MATCH(AX448,L_Placeholder,0)))),BS448&gt;=3,TRIM(AE448)&lt;&gt;TRIM(T448),AX448&lt;&gt;AU448,CE448=0),"N/A – JUSTIFIED","INVALID – N/A needs a real, settled reason (not 'not applicable' / 'as above' / TBC), a named PIC and a different named verifier"))),IF(OR(TRIM(U448)="Pass",TRIM(U448)="Pass after CA"),IF(NOT(ISNUMBER(AD448)),"INVALID – completion time missing",IF(OR(OR(LEN(AU448)&lt;2,ISNUMBER(MATCH(AU448,L_Placeholder,0))),BR448&lt;3),"INVALID – PIC missing or not a named person (a role such as QA / CSM is not a name)",IF(OR(LEN(AV448)&lt;2,ISNUMBER(MATCH(AV448,L_Placeholder,0))),"INVALID – result / assessment missing",IF(OR(OR(LEN(AW448)&lt;3,ISNUMBER(MATCH(AW448,L_Placeholder,0))),SUMPRODUCT(--ISNUMBER(SEARCH(" "&amp;L_EvidencePhrase&amp;" ",BD448)))&gt;0,BI448=1),"INVALID – evidence missing, placeholder or not yet on file",IF(ISNA(MATCH(TRIM(S448),L_EvidenceType,0)),"INVALID – choose the evidence type from the list (column S)",IF(BL448=0,"INVALID – evidence ID must be the record's own ID only (e.g. SF-2210, IMG_2231, 1045521); a link / file name needs type 'Link / file path'",IF(OR(OR(LEN(AX448)&lt;2,ISNUMBER(MATCH(AX448,L_Placeholder,0))),BS448&lt;3),"INVALID – verifier missing or not a named person (a role such as QA / CSM is not a name)",IF(OR(AX448=AU448,CE448=1,AND(LEN(AU448)&gt;=4,ISNUMBER(SEARCH(AU448,AX448))),AND(LEN(AX448)&gt;=4,ISNUMBER(SEARCH(AX448,AU448)))),"INVALID – verifier must be a different, named person (not the PIC or a role)",IF(BH448=1,"INVALID – result not yet available (awaiting / TBC)",IF(BG448=1,"INVALID – result describes a problem: record Fail, then Pass after CA (or reword if it is not a problem)",IF(BV448=1,"INVALID – wording says not on board: an on-board confirmation needs the item loaded",IF(AND(AQ448=1,OR(OR(LEN(AY448)&lt;3,ISNUMBER(MATCH(AY448,L_Placeholder,0))),BJ448=1,BQ448=0)),"INVALID – batch ID missing, placeholder or not an ID (e.g. PASB-261008-BC-017)",IF(AND(AR448=1,OR(NOT(ISNUMBER(X448)),NOT(ISNUMBER(Y448)))),"INVALID – expected/actual qty missing",IF(AND(AR448=1,OR(X448&lt;=0,Y448&lt;0)),"INVALID – expected qty must be above 0 and actual not negative",IF(BB448&lt;&gt;"",BB448,IF(AND(AS448=1,Documents!$J$17&lt;&gt;"ON FILE"),"INVALID – GLD not on file (Documents sheet)",IF(AND(AS448=2,Documents!$O$17&lt;&gt;"ON FILE"),"INVALID – menu checklist not on file (Documents sheet)",IF(AND(AS448=3,NOT(ISNUMBER(Flights!$AX$17))),"INVALID – enter carrying flight KUL departure (Flights AX)",IF(AND(AS448=3,OR(Flights!$AZ$17&gt;Flights!$AA$17,Flights!$AX$17&lt;Flights!$AA$17-3)),"INVALID – carrying flight (Flights AX) cannot arrive before this leg's STD, or is over 3 days early",IF(AG448&gt;AsOfUTC,"INVALID – completion time is in the future",IF(AND(ISNUMBER(BY448),AG448&lt;BY448),IF(H448="Physical uplift","INVALID – before uplift window (cannot confirm loading)","INVALID – before valid window"),IF(AG448&gt;Flights!$AA$17,"INVALID – completed after departure (cannot establish readiness)",IF(AND(H448="Preparation",AG448&gt;=IF(ISNUMBER(Flights!$BA$17),MIN(Flights!$BA$17,Flights!$AA$17),Flights!$AA$17)),"INVALID – completed after loading / departure (cannot establish readiness)",IF(AND(H448="Physical uplift",AG448&gt;Q448),"INVALID – recorded after the loading flight departed",IF(AG448&gt;Q448,"COMPLETE – LATE","COMPLETE"))))))))))))))))))))))))),IF(TRIM(U448)="Fail","FAIL – DISCREPANCY",IF(AND(TRIM(U448)&lt;&gt;"",TRIM(U448)&lt;&gt;"Not started",TRIM(U448)&lt;&gt;"In progress"),"INVALID – unrecognised status (use the list)",IF(AsOfUTC&gt;Q448,"OVERDUE",IF(N448="Clarification required","OPEN – CLARIFICATION","OPEN"))))))),"INVALID – error value in an input cell")</f>
        <v>OPEN – CLARIFICATION</v>
      </c>
      <c r="AI448" s="61" t="n">
        <f aca="false">IF(OR(AH448="N/A – RULE",AH448="N/A – JUSTIFIED"),0,1)</f>
        <v>1</v>
      </c>
      <c r="AJ448" s="61" t="n">
        <f aca="false">IF(LEFT(AH448,8)="COMPLETE",1,0)</f>
        <v>0</v>
      </c>
      <c r="AK448" s="61" t="n">
        <f aca="false">IF(AND(AI448=1,AJ448=0,AsOfUTC&gt;Q448),1,0)</f>
        <v>0</v>
      </c>
      <c r="AL448" s="61" t="n">
        <f aca="false">IFERROR(IF(AND(AI448=1,OR(TRIM(U448)="Fail",AND(TRIM(AB448)&lt;&gt;"",TRIM(AB448)&lt;&gt;"Closed"),AND(ISNUMBER(AF448),AF448&lt;&gt;0,TRIM(U448)&lt;&gt;"Pass after CA"))),1,0),1)</f>
        <v>0</v>
      </c>
      <c r="AM448" s="61" t="n">
        <f aca="false">IF(LEFT(AH448,7)="INVALID",1,0)</f>
        <v>0</v>
      </c>
      <c r="AN448" s="61" t="n">
        <f aca="false">IF(AND(N448="Clarification required",AI448=1,AJ448=0),1,0)</f>
        <v>1</v>
      </c>
      <c r="AO448" s="61" t="str">
        <f aca="false">IF(AK448=1,SUM(AK$5:AK448),"")</f>
        <v/>
      </c>
      <c r="AP448" s="61" t="str">
        <f aca="false">IF(AL448=1,SUM(AL$5:AL448),"")</f>
        <v/>
      </c>
      <c r="AQ448" s="61" t="n">
        <v>0</v>
      </c>
      <c r="AR448" s="61" t="n">
        <v>0</v>
      </c>
      <c r="AS448" s="61" t="n">
        <v>0</v>
      </c>
      <c r="AT448" s="61" t="n">
        <v>1</v>
      </c>
      <c r="AU448" s="61" t="str">
        <f aca="false">SUBSTITUTE(SUBSTITUTE(SUBSTITUTE(SUBSTITUTE(SUBSTITUTE(SUBSTITUTE(SUBSTITUTE(SUBSTITUTE(SUBSTITUTE(SUBSTITUTE(SUBSTITUTE(SUBSTITUTE(SUBSTITUTE(SUBSTITUTE(SUBSTITUTE(SUBSTITUTE(LOWER(T448&amp;""),CHAR(10),""),CHAR(13),""),CHAR(9),""),CHAR(160),"")," ",""),".",""),"-",""),"/",""),"?",""),"_",""),",",""),"[",""),"]",""),"(",""),")",""),"*","")</f>
        <v/>
      </c>
      <c r="AV448" s="61" t="str">
        <f aca="false">SUBSTITUTE(SUBSTITUTE(SUBSTITUTE(SUBSTITUTE(SUBSTITUTE(SUBSTITUTE(SUBSTITUTE(SUBSTITUTE(SUBSTITUTE(SUBSTITUTE(SUBSTITUTE(SUBSTITUTE(SUBSTITUTE(SUBSTITUTE(SUBSTITUTE(SUBSTITUTE(LOWER(V448&amp;""),CHAR(10),""),CHAR(13),""),CHAR(9),""),CHAR(160),"")," ",""),".",""),"-",""),"/",""),"?",""),"_",""),",",""),"[",""),"]",""),"(",""),")",""),"*","")</f>
        <v/>
      </c>
      <c r="AW448" s="61" t="str">
        <f aca="false">SUBSTITUTE(SUBSTITUTE(SUBSTITUTE(SUBSTITUTE(SUBSTITUTE(SUBSTITUTE(SUBSTITUTE(SUBSTITUTE(SUBSTITUTE(SUBSTITUTE(SUBSTITUTE(SUBSTITUTE(SUBSTITUTE(SUBSTITUTE(SUBSTITUTE(SUBSTITUTE(LOWER(Z448&amp;""),CHAR(10),""),CHAR(13),""),CHAR(9),""),CHAR(160),"")," ",""),".",""),"-",""),"/",""),"?",""),"_",""),",",""),"[",""),"]",""),"(",""),")",""),"*","")</f>
        <v/>
      </c>
      <c r="AX448" s="61" t="str">
        <f aca="false">SUBSTITUTE(SUBSTITUTE(SUBSTITUTE(SUBSTITUTE(SUBSTITUTE(SUBSTITUTE(SUBSTITUTE(SUBSTITUTE(SUBSTITUTE(SUBSTITUTE(SUBSTITUTE(SUBSTITUTE(SUBSTITUTE(SUBSTITUTE(SUBSTITUTE(SUBSTITUTE(LOWER(AE448&amp;""),CHAR(10),""),CHAR(13),""),CHAR(9),""),CHAR(160),"")," ",""),".",""),"-",""),"/",""),"?",""),"_",""),",",""),"[",""),"]",""),"(",""),")",""),"*","")</f>
        <v/>
      </c>
      <c r="AY448" s="61" t="str">
        <f aca="false">SUBSTITUTE(SUBSTITUTE(SUBSTITUTE(SUBSTITUTE(SUBSTITUTE(SUBSTITUTE(SUBSTITUTE(SUBSTITUTE(SUBSTITUTE(SUBSTITUTE(SUBSTITUTE(SUBSTITUTE(SUBSTITUTE(SUBSTITUTE(SUBSTITUTE(SUBSTITUTE(LOWER(W448&amp;""),CHAR(10),""),CHAR(13),""),CHAR(9),""),CHAR(160),"")," ",""),".",""),"-",""),"/",""),"?",""),"_",""),",",""),"[",""),"]",""),"(",""),")",""),"*","")</f>
        <v/>
      </c>
      <c r="AZ448" s="61" t="str">
        <f aca="false">SUBSTITUTE(SUBSTITUTE(SUBSTITUTE(SUBSTITUTE(SUBSTITUTE(SUBSTITUTE(SUBSTITUTE(SUBSTITUTE(SUBSTITUTE(SUBSTITUTE(SUBSTITUTE(SUBSTITUTE(SUBSTITUTE(SUBSTITUTE(SUBSTITUTE(SUBSTITUTE(LOWER(AC448&amp;""),CHAR(10),""),CHAR(13),""),CHAR(9),""),CHAR(160),"")," ",""),".",""),"-",""),"/",""),"?",""),"_",""),",",""),"[",""),"]",""),"(",""),")",""),"*","")</f>
        <v/>
      </c>
      <c r="BA448" s="61" t="str">
        <f aca="false">SUBSTITUTE(SUBSTITUTE(SUBSTITUTE(SUBSTITUTE(SUBSTITUTE(SUBSTITUTE(SUBSTITUTE(SUBSTITUTE(SUBSTITUTE(SUBSTITUTE(SUBSTITUTE(SUBSTITUTE(SUBSTITUTE(SUBSTITUTE(SUBSTITUTE(SUBSTITUTE(LOWER(AA448&amp;""),CHAR(10),""),CHAR(13),""),CHAR(9),""),CHAR(160),"")," ",""),".",""),"-",""),"/",""),"?",""),"_",""),",",""),"[",""),"]",""),"(",""),")",""),"*","")</f>
        <v/>
      </c>
      <c r="BB448" s="61" t="str">
        <f aca="false">IF(AND(TRIM(U448)="Pass",ISNUMBER(AF448)),IF(AF448&lt;&gt;0,"INVALID – qty variance: use Fail or Pass after CA",""),"")&amp;IF(AND(TRIM(U448)="Pass after CA",ISNUMBER(AF448)),IF(AF448&lt;&gt;0,"INVALID – after the corrective action the actual qty must equal expected (update Actual)",""),"")&amp;IF(AND(TRIM(U448)="Pass",TRIM(AB448)&lt;&gt;"",TRIM(AB448)&lt;&gt;"Closed"),"INVALID – corrective action not closed: use Fail, then Pass after CA","")&amp;IF(AND(LEN(BA448)&gt;=2,ISNA(MATCH(LEFT(BA448,255),L_Placeholder,0)),TRIM(AB448)=""),"INVALID – CA status missing for the recorded corrective action","")&amp;IF(AND(TRIM(U448)="Pass after CA",OR(OR(LEN(BA448)&lt;5,ISNUMBER(MATCH(BA448,L_Placeholder,0))),TRIM(AB448)&lt;&gt;"Closed")),"INVALID – corrective action not recorded/closed","")</f>
        <v/>
      </c>
      <c r="BC448" s="61" t="str">
        <f aca="false">" "&amp;TRIM(SUBSTITUTE(SUBSTITUTE(SUBSTITUTE(SUBSTITUTE(SUBSTITUTE(SUBSTITUTE(SUBSTITUTE(SUBSTITUTE(SUBSTITUTE(SUBSTITUTE(SUBSTITUTE(SUBSTITUTE(SUBSTITUTE(SUBSTITUTE(SUBSTITUTE(SUBSTITUTE(SUBSTITUTE(SUBSTITUTE(SUBSTITUTE(SUBSTITUTE(SUBSTITUTE(SUBSTITUTE(SUBSTITUTE(SUBSTITUTE(LOWER(V448&amp;""),CHAR(10)," "),CHAR(13)," "),CHAR(9)," "),CHAR(160)," "),"."," "),","," "),"-"," "),"/"," "),"("," "),")"," "),":"," "),";"," "),"_"," "),"–"," "),"?"," "),"!"," "),"*"," "),"["," "),"]"," "),"'"," "),"#"," "),"+"," "),"&amp;"," "),"\"," "))&amp;" "</f>
        <v>  </v>
      </c>
      <c r="BD448" s="61" t="str">
        <f aca="false">" "&amp;TRIM(SUBSTITUTE(SUBSTITUTE(SUBSTITUTE(SUBSTITUTE(SUBSTITUTE(SUBSTITUTE(SUBSTITUTE(SUBSTITUTE(SUBSTITUTE(SUBSTITUTE(SUBSTITUTE(SUBSTITUTE(SUBSTITUTE(SUBSTITUTE(SUBSTITUTE(SUBSTITUTE(SUBSTITUTE(SUBSTITUTE(SUBSTITUTE(SUBSTITUTE(SUBSTITUTE(SUBSTITUTE(SUBSTITUTE(SUBSTITUTE(LOWER(Z448&amp;""),CHAR(10)," "),CHAR(13)," "),CHAR(9)," "),CHAR(160)," "),"."," "),","," "),"-"," "),"/"," "),"("," "),")"," "),":"," "),";"," "),"_"," "),"–"," "),"?"," "),"!"," "),"*"," "),"["," "),"]"," "),"'"," "),"#"," "),"+"," "),"&amp;"," "),"\"," "))&amp;" "</f>
        <v>  </v>
      </c>
      <c r="BE448" s="61" t="str">
        <f aca="false">" "&amp;TRIM(SUBSTITUTE(SUBSTITUTE(SUBSTITUTE(SUBSTITUTE(SUBSTITUTE(SUBSTITUTE(SUBSTITUTE(SUBSTITUTE(SUBSTITUTE(SUBSTITUTE(SUBSTITUTE(SUBSTITUTE(SUBSTITUTE(SUBSTITUTE(SUBSTITUTE(SUBSTITUTE(SUBSTITUTE(SUBSTITUTE(SUBSTITUTE(SUBSTITUTE(SUBSTITUTE(SUBSTITUTE(SUBSTITUTE(SUBSTITUTE(LOWER(W448&amp;""),CHAR(10)," "),CHAR(13)," "),CHAR(9)," "),CHAR(160)," "),"."," "),","," "),"-"," "),"/"," "),"("," "),")"," "),":"," "),";"," "),"_"," "),"–"," "),"?"," "),"!"," "),"*"," "),"["," "),"]"," "),"'"," "),"#"," "),"+"," "),"&amp;"," "),"\"," "))&amp;" "</f>
        <v>  </v>
      </c>
      <c r="BF448" s="61" t="str">
        <f aca="false">" "&amp;TRIM(SUBSTITUTE(SUBSTITUTE(SUBSTITUTE(SUBSTITUTE(SUBSTITUTE(SUBSTITUTE(SUBSTITUTE(SUBSTITUTE(SUBSTITUTE(SUBSTITUTE(SUBSTITUTE(SUBSTITUTE(SUBSTITUTE(SUBSTITUTE(SUBSTITUTE(SUBSTITUTE(SUBSTITUTE(SUBSTITUTE(SUBSTITUTE(SUBSTITUTE(SUBSTITUTE(SUBSTITUTE(SUBSTITUTE(SUBSTITUTE(LOWER(AC448&amp;""),CHAR(10)," "),CHAR(13)," "),CHAR(9)," "),CHAR(160)," "),"."," "),","," "),"-"," "),"/"," "),"("," "),")"," "),":"," "),";"," "),"_"," "),"–"," "),"?"," "),"!"," "),"*"," "),"["," "),"]"," "),"'"," "),"#"," "),"+"," "),"&amp;"," "),"\"," "))&amp;" "</f>
        <v>  </v>
      </c>
      <c r="BG448" s="61" t="n">
        <f aca="false">IFERROR(IF(AND(TRIM(U448)="Pass",SUMPRODUCT((LEN(BC448)-LEN(SUBSTITUTE(BC448," "&amp;L_ResultBad&amp;" "," ")))/(LEN(L_ResultBad)+1))&gt;SUMPRODUCT((LEN(BC448)-LEN(SUBSTITUTE(BC448," "&amp;L_NegPhrase&amp;" "," ")))/(LEN(L_NegPhrase)+1))),1,0),0)</f>
        <v>0</v>
      </c>
      <c r="BH448" s="61" t="n">
        <f aca="false">IFERROR(IF(SUMPRODUCT((LEN(BC448)-LEN(SUBSTITUTE(BC448," "&amp;L_Pending&amp;" "," ")))/(LEN(L_Pending)+1))&gt;SUMPRODUCT((LEN(BC448)-LEN(SUBSTITUTE(BC448," "&amp;L_PendNeg&amp;" "," ")))/(LEN(L_PendNeg)+1))+SUMPRODUCT((LEN(BC448)-LEN(SUBSTITUTE(BC448," "&amp;L_PendPrep&amp;" "," ")))/(LEN(L_PendPrep)+1)),1,0),1)</f>
        <v>0</v>
      </c>
      <c r="BI448" s="61" t="n">
        <f aca="false">IFERROR(IF(SUMPRODUCT((LEN(BD448)-LEN(SUBSTITUTE(BD448," "&amp;L_PendStrict&amp;" "," ")))/(LEN(L_PendStrict)+1))&gt;SUMPRODUCT((LEN(BD448)-LEN(SUBSTITUTE(BD448," "&amp;L_PendNeg&amp;" "," ")))/(LEN(L_PendNeg)+1)),1,0),1)</f>
        <v>0</v>
      </c>
      <c r="BJ448" s="61" t="n">
        <f aca="false">IFERROR(IF(SUMPRODUCT((LEN(BE448)-LEN(SUBSTITUTE(BE448," "&amp;L_Pending&amp;" "," ")))/(LEN(L_Pending)+1))&gt;SUMPRODUCT((LEN(BE448)-LEN(SUBSTITUTE(BE448," "&amp;L_PendNeg&amp;" "," ")))/(LEN(L_PendNeg)+1))+SUMPRODUCT((LEN(BE448)-LEN(SUBSTITUTE(BE448," "&amp;L_PendPrep&amp;" "," ")))/(LEN(L_PendPrep)+1)),1,0),1)</f>
        <v>0</v>
      </c>
      <c r="BK448" s="61" t="n">
        <f aca="false">IFERROR(IF(SUMPRODUCT((LEN(BF448)-LEN(SUBSTITUTE(BF448," "&amp;L_PendStrict&amp;" "," ")))/(LEN(L_PendStrict)+1))&gt;SUMPRODUCT((LEN(BF448)-LEN(SUBSTITUTE(BF448," "&amp;L_PendNeg&amp;" "," ")))/(LEN(L_PendNeg)+1)),1,0),1)</f>
        <v>0</v>
      </c>
      <c r="BL448" s="61" t="n">
        <f aca="false">IF(ISNA(MATCH(TRIM(S448),L_EvidenceType,0)),0,BZ448)</f>
        <v>0</v>
      </c>
      <c r="BM448" s="61" t="str">
        <f aca="false">SUBSTITUTE(SUBSTITUTE(SUBSTITUTE(SUBSTITUTE(SUBSTITUTE(SUBSTITUTE(SUBSTITUTE(SUBSTITUTE(SUBSTITUTE(LOWER(Z448&amp;""),"1","0"),"2","0"),"3","0"),"4","0"),"5","0"),"6","0"),"7","0"),"8","0"),"9","0")</f>
        <v/>
      </c>
      <c r="BN448" s="61" t="str">
        <f aca="false">SUBSTITUTE(SUBSTITUTE(SUBSTITUTE(SUBSTITUTE(SUBSTITUTE(SUBSTITUTE(SUBSTITUTE(SUBSTITUTE(SUBSTITUTE(SUBSTITUTE(SUBSTITUTE(SUBSTITUTE(SUBSTITUTE(SUBSTITUTE(SUBSTITUTE(SUBSTITUTE(SUBSTITUTE(SUBSTITUTE(SUBSTITUTE(SUBSTITUTE(SUBSTITUTE(SUBSTITUTE(SUBSTITUTE(SUBSTITUTE(SUBSTITUTE(BM448,"b","a"),"c","a"),"d","a"),"e","a"),"f","a"),"g","a"),"h","a"),"i","a"),"j","a"),"k","a"),"l","a"),"m","a"),"n","a"),"o","a"),"p","a"),"q","a"),"r","a"),"s","a"),"t","a"),"u","a"),"v","a"),"w","a"),"x","a"),"y","a"),"z","a")</f>
        <v/>
      </c>
      <c r="BO448" s="61" t="str">
        <f aca="false">SUBSTITUTE(SUBSTITUTE(SUBSTITUTE(SUBSTITUTE(SUBSTITUTE(SUBSTITUTE(SUBSTITUTE(SUBSTITUTE(SUBSTITUTE(LOWER(W448&amp;""),"1","0"),"2","0"),"3","0"),"4","0"),"5","0"),"6","0"),"7","0"),"8","0"),"9","0")</f>
        <v/>
      </c>
      <c r="BP448" s="61" t="str">
        <f aca="false">SUBSTITUTE(SUBSTITUTE(SUBSTITUTE(SUBSTITUTE(SUBSTITUTE(SUBSTITUTE(SUBSTITUTE(SUBSTITUTE(SUBSTITUTE(SUBSTITUTE(SUBSTITUTE(SUBSTITUTE(SUBSTITUTE(SUBSTITUTE(SUBSTITUTE(SUBSTITUTE(SUBSTITUTE(SUBSTITUTE(SUBSTITUTE(SUBSTITUTE(SUBSTITUTE(SUBSTITUTE(SUBSTITUTE(SUBSTITUTE(SUBSTITUTE(BO448,"b","a"),"c","a"),"d","a"),"e","a"),"f","a"),"g","a"),"h","a"),"i","a"),"j","a"),"k","a"),"l","a"),"m","a"),"n","a"),"o","a"),"p","a"),"q","a"),"r","a"),"s","a"),"t","a"),"u","a"),"v","a"),"w","a"),"x","a"),"y","a"),"z","a")</f>
        <v/>
      </c>
      <c r="BQ448" s="61" t="n">
        <f aca="false">IFERROR(IF(AND(ISERROR(SEARCH(" mh"," "&amp;LOWER(W448))),ISNA(MATCH(LEFT(TRIM(BP448),255),{"0000a","000a","00a","0000aa","000aa","00aa","0aa","0000aaa","000aaa","00a00","0a00","0000-0000","00:00","a00","a0","00.00.0000","00/00/0000","00-00-0000","0000-00-00","0000/00/00","0000.00.00","00.00.00","00/00/00","00-00-00","0.00.0000","0/00/0000","0-00-0000"},0)),ISNA(MATCH(LEFT(TRIM(CA448),255),{"0000a","000a","00a","0000aa","000aa","00aa","0aa","0000aaa","000aaa","00a00","0a00","0000-0000","00:00","a00","a0","00.00.0000","00/00/0000","00-00-0000","0000-00-00","0000/00/00","0000.00.00","00.00.00","00/00/00","00-00-00","0.00.0000","0/00/0000","0-00-0000"},0)),LEN(CB448)&gt;=3,NOT(OR(SUBSTITUTE(CB448,"0","")="",AND(LEN(CB448)&gt;=4,CB448=REPT(LEFT(CB448),LEN(CB448))),ISNUMBER(MATCH(CB448,{"123","1234","12345","123456","1234567","12345678","0123","01234","012345","98765","987654","54321"},0)),AND(LEN(CB448)=8,LEFT(CB448,3)="202"))),OR(AND((LEN(CA448)-LEN(SUBSTITUTE(CA448,"a","")))&gt;=1,SUMPRODUCT(--ISNUMBER(SEARCH({"a0","a-0","a_0","a/0","a.0","a#0","0a","0-a","0_a","0/a"},BP448)))&gt;0),ISNUMBER(SEARCH("000000",BP448)))),1,0),0)</f>
        <v>0</v>
      </c>
      <c r="BR448" s="61" t="n">
        <f aca="false">IFERROR(LEN(SUBSTITUTE(CC448," ",""))-SUMPRODUCT((LEN(CC448)-LEN(SUBSTITUTE(CC448," "&amp;L_Role&amp;" "," ")))/(LEN(L_Role)+1)*LEN(L_Role)),0)</f>
        <v>0</v>
      </c>
      <c r="BS448" s="61" t="n">
        <f aca="false">IFERROR(LEN(SUBSTITUTE(CD448," ",""))-SUMPRODUCT((LEN(CD448)-LEN(SUBSTITUTE(CD448," "&amp;L_Role&amp;" "," ")))/(LEN(L_Role)+1)*LEN(L_Role)),0)</f>
        <v>0</v>
      </c>
      <c r="BT4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448,"revision",""),"version",""),"jan",""),"feb",""),"mar",""),"apr",""),"may",""),"jun",""),"jul",""),"aug",""),"sep",""),"oct",""),"nov",""),"dec",""),"utc",""),"gmt",""),"myt",""),"bst",""),"rev",""),"ver",""),"b","a"),"c","a"),"d","a"),"e","a"),"f","a"),"g","a"),"h","a"),"i","a"),"j","a"),"k","a"),"l","a"),"m","a"),"n","a"),"o","a"),"p","a"),"q","a"),"r","a"),"s","a"),"t","a"),"u","a"),"v","a"),"w","a"),"x","a"),"y","a"),"z","a")</f>
        <v/>
      </c>
      <c r="BU448" s="61" t="str">
        <f aca="false">SUBSTITUTE(SUBSTITUTE(SUBSTITUTE(SUBSTITUTE(SUBSTITUTE(SUBSTITUTE(SUBSTITUTE(SUBSTITUTE(SUBSTITUTE(SUBSTITUTE(LEFT(BM448,FIND("0",BM448&amp;"0")-1),"-",""),"_",""),"/",""),".",""),"#",""),"\\",""),":","")," ",""),"(",""),")","")</f>
        <v/>
      </c>
      <c r="BV448" s="61" t="n">
        <f aca="false">0</f>
        <v>0</v>
      </c>
      <c r="BW4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448&amp;""),"a",""),"b",""),"c",""),"d",""),"e",""),"f",""),"g",""),"h",""),"i",""),"j",""),"k",""),"l",""),"m",""),"n",""),"o",""),"p",""),"q",""),"r",""),"s",""),"t",""),"u",""),"v",""),"w",""),"x",""),"y",""),"z",""),"-",""),"_",""),"/",""),".",""),"#",""),"\\",""),":","")," ",""),"(",""),")","")</f>
        <v/>
      </c>
      <c r="BX448" s="61" t="str">
        <f aca="false">SUBSTITUTE(SUBSTITUTE(SUBSTITUTE(SUBSTITUTE(SUBSTITUTE(SUBSTITUTE(SUBSTITUTE(SUBSTITUTE(SUBSTITUTE(SUBSTITUTE(SUBSTITUTE(BM448,"0",""),"-",""),"_",""),"/",""),".",""),"#",""),"\\",""),":","")," ",""),"(",""),")","")</f>
        <v/>
      </c>
      <c r="BY448" s="62" t="n">
        <f aca="false">Q448-T12EarlyH/24</f>
        <v>46308.0104166667</v>
      </c>
      <c r="BZ448" s="61" t="n">
        <f aca="false">IFERROR(IF(IF(TRIM(S448)="Link / file path",AND(LEN(TRIM(Z448))&gt;=5,SUMPRODUCT(--ISNUMBER(SEARCH({"http","www.","\\",":\",".pdf",".jpg",".jpeg",".png",".heic",".xls",".doc",".msg",".eml",".ppt",".txt",".zip"},Z448)))&gt;0),AND(ISERROR(FIND(" ",TRIM(Z448))),NOT(OR(SUMPRODUCT(--ISNUMBER(FIND({",",";","&amp;","+"},Z448)))&gt;0,SUMPRODUCT(--ISNUMBER(SEARCH({"0/aa","0\\aa"},BN448)))&gt;0)),NOT(SUMPRODUCT(--ISNUMBER(SEARCH({"http","www.","\\",":\",".pdf",".jpg",".jpeg",".png",".heic",".xls",".doc",".msg",".eml",".ppt",".txt",".zip"},Z448)))&gt;0),NOT(LOWER(TRIM(Z448))=LOWER(Flights!$F$17)),ISNA(MATCH(BU448,{"mh","rev","revision","ver","version","v","r","a","b","seat","tray","row","gate","bay","stand","page","pg","item","line","no","cart","galley","flight","flt","table","box","bag","oven","etd","eta","std","sta","atd","ata","qty","pax","x","time","tel","ph","mob","day","wk","week","utc","gmt","myt","lt"},0)),NOT(OR(ISNUMBER(MATCH(LEFT(BN448,255),{"0000a","000a","00a","0000aa","000aa","00aa","0aa","0000aaa","000aaa","00a00","0a00","0000-0000","00:00","a00","a0","00.00.0000","00/00/0000","00-00-0000","0000-00-00","0000/00/00","0000.00.00","00.00.00","00/00/00","00-00-00","0.00.0000","0/00/0000","0-00-0000"},0)),ISNUMBER(MATCH(LEFT(BT448,255),{"0000a","000a","00a","0000aa","000aa","00aa","0aa","0000aaa","000aaa","00a00","0a00","0000-0000","00:00","a00","a0","00.00.0000","00/00/0000","00-00-0000","0000-00-00","0000/00/00","0000.00.00","00.00.00","00/00/00","00-00-00","0.00.0000","0/00/0000","0-00-0000"},0)))),NOT(OR(AND(BW448&lt;&gt;"",SUBSTITUTE(BW448,"0","")=""),AND(LEN(BW448)&gt;=4,BW448=REPT(LEFT(BW448),LEN(BW448))),ISNUMBER(MATCH(BW448,{"123","1234","12345","123456","1234567","12345678","0123","01234","012345","98765","987654","54321"},0)),ISNUMBER(MATCH(BX448,{"x","xx","xxx","xxxx","xxxxx","abc","abcd","nil","na","nan","test","tbc","tba","tbd","dummy","sample","example","eg","zz","zzz","none","null","xyz","qwe","asd","id","ref"},0)),AND(LEN(BW448)=8,BX448="",OR(LEFT(BW448,3)="202",ISNUMBER(MATCH(RIGHT(BW448,4),{"2025","2026","2027"},0)))))),OR(AND((LEN(BT448)-LEN(SUBSTITUTE(BT448,"a","")))&gt;=1,(LEN(BN448)-LEN(SUBSTITUTE(BN448,"0","")))&gt;=2,SUMPRODUCT(--ISNUMBER(SEARCH({"a0","a-0","a_0","a/0","a.0","a#0","0a","0-a","0_a","0/a"},BN448)))&gt;0),AND((LEN(BN448)-LEN(SUBSTITUTE(BN448,"a","")))=0,(LEN(BN448)-LEN(SUBSTITUTE(BN448,"0","")))&gt;=5)))),1,0),0)</f>
        <v>0</v>
      </c>
      <c r="CA4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448,"revision",""),"version",""),"jan",""),"feb",""),"mar",""),"apr",""),"may",""),"jun",""),"jul",""),"aug",""),"sep",""),"oct",""),"nov",""),"dec",""),"utc",""),"gmt",""),"myt",""),"bst",""),"rev",""),"ver",""),"b","a"),"c","a"),"d","a"),"e","a"),"f","a"),"g","a"),"h","a"),"i","a"),"j","a"),"k","a"),"l","a"),"m","a"),"n","a"),"o","a"),"p","a"),"q","a"),"r","a"),"s","a"),"t","a"),"u","a"),"v","a"),"w","a"),"x","a"),"y","a"),"z","a")</f>
        <v/>
      </c>
      <c r="CB4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448&amp;""),"a",""),"b",""),"c",""),"d",""),"e",""),"f",""),"g",""),"h",""),"i",""),"j",""),"k",""),"l",""),"m",""),"n",""),"o",""),"p",""),"q",""),"r",""),"s",""),"t",""),"u",""),"v",""),"w",""),"x",""),"y",""),"z",""),"-",""),"_",""),"/",""),".",""),"#",""),"\\",""),":","")," ",""),"(",""),")","")</f>
        <v/>
      </c>
      <c r="CC448" s="0" t="str">
        <f aca="false">" "&amp;TRIM(SUBSTITUTE(SUBSTITUTE(SUBSTITUTE(SUBSTITUTE(SUBSTITUTE(SUBSTITUTE(SUBSTITUTE(SUBSTITUTE(SUBSTITUTE(SUBSTITUTE(SUBSTITUTE(SUBSTITUTE(SUBSTITUTE(SUBSTITUTE(SUBSTITUTE(SUBSTITUTE(SUBSTITUTE(SUBSTITUTE(SUBSTITUTE(SUBSTITUTE(SUBSTITUTE(SUBSTITUTE(SUBSTITUTE(SUBSTITUTE(LOWER(T448&amp;""),CHAR(10)," "),CHAR(13)," "),CHAR(9)," "),CHAR(160)," "),"."," "),","," "),"-"," "),"/"," "),"("," "),")"," "),":"," "),";"," "),"_"," "),"–"," "),"?"," "),"!"," "),"*"," "),"["," "),"]"," "),"'"," "),"#"," "),"+"," "),"&amp;"," "),"\"," "))&amp;" "</f>
        <v>  </v>
      </c>
      <c r="CD448" s="0" t="str">
        <f aca="false">" "&amp;TRIM(SUBSTITUTE(SUBSTITUTE(SUBSTITUTE(SUBSTITUTE(SUBSTITUTE(SUBSTITUTE(SUBSTITUTE(SUBSTITUTE(SUBSTITUTE(SUBSTITUTE(SUBSTITUTE(SUBSTITUTE(SUBSTITUTE(SUBSTITUTE(SUBSTITUTE(SUBSTITUTE(SUBSTITUTE(SUBSTITUTE(SUBSTITUTE(SUBSTITUTE(SUBSTITUTE(SUBSTITUTE(SUBSTITUTE(SUBSTITUTE(LOWER(AE448&amp;""),CHAR(10)," "),CHAR(13)," "),CHAR(9)," "),CHAR(160)," "),"."," "),","," "),"-"," "),"/"," "),"("," "),")"," "),":"," "),";"," "),"_"," "),"–"," "),"?"," "),"!"," "),"*"," "),"["," "),"]"," "),"'"," "),"#"," "),"+"," "),"&amp;"," "),"\"," "))&amp;" "</f>
        <v>  </v>
      </c>
      <c r="CE448" s="68" t="n">
        <f aca="false">IFERROR(IF(AND(LEN(AU448)&gt;0,LEN(AU448)=LEN(AX448),OR(TRIM(MID(SUBSTITUTE(TRIM(CC448)," ",REPT(" ",60)),1,60))="",ISNUMBER(SEARCH(" "&amp;TRIM(MID(SUBSTITUTE(TRIM(CC448)," ",REPT(" ",60)),1,60))&amp;" ",CD448))),OR(TRIM(MID(SUBSTITUTE(TRIM(CC448)," ",REPT(" ",60)),61,60))="",ISNUMBER(SEARCH(" "&amp;TRIM(MID(SUBSTITUTE(TRIM(CC448)," ",REPT(" ",60)),61,60))&amp;" ",CD448))),OR(TRIM(MID(SUBSTITUTE(TRIM(CC448)," ",REPT(" ",60)),121,60))="",ISNUMBER(SEARCH(" "&amp;TRIM(MID(SUBSTITUTE(TRIM(CC448)," ",REPT(" ",60)),121,60))&amp;" ",CD448)))),1,0),0)</f>
        <v>0</v>
      </c>
      <c r="CG448" s="68" t="n">
        <f aca="false">IFERROR(LEN(SUBSTITUTE(BF448," ",""))-SUMPRODUCT((LEN(BF448)-LEN(SUBSTITUTE(BF448," "&amp;L_NAFiller&amp;" "," ")))/(LEN(L_NAFiller)+1)*LEN(L_NAFiller)),0)</f>
        <v>0</v>
      </c>
    </row>
    <row r="449" customFormat="false" ht="39.75" hidden="false" customHeight="true" outlineLevel="0" collapsed="false">
      <c r="A449" s="57" t="s">
        <v>1093</v>
      </c>
      <c r="B449" s="57" t="s">
        <v>272</v>
      </c>
      <c r="C449" s="57" t="str">
        <f aca="false">Flights!$F$17</f>
        <v>MH0138</v>
      </c>
      <c r="D449" s="58" t="n">
        <f aca="false">Flights!$D$17</f>
        <v>46309</v>
      </c>
      <c r="E449" s="57" t="str">
        <f aca="false">Flights!$G$17&amp;"-"&amp;Flights!$H$17</f>
        <v>ADL-KUL</v>
      </c>
      <c r="F449" s="57" t="str">
        <f aca="false">Flights!$K$17</f>
        <v>EY</v>
      </c>
      <c r="G449" s="57" t="s">
        <v>459</v>
      </c>
      <c r="H449" s="57" t="s">
        <v>460</v>
      </c>
      <c r="I449" s="57" t="s">
        <v>379</v>
      </c>
      <c r="J449" s="57" t="s">
        <v>461</v>
      </c>
      <c r="K449" s="67" t="s">
        <v>426</v>
      </c>
      <c r="L449" s="67" t="s">
        <v>462</v>
      </c>
      <c r="M449" s="67"/>
      <c r="N449" s="67" t="s">
        <v>383</v>
      </c>
      <c r="O449" s="67" t="s">
        <v>463</v>
      </c>
      <c r="P449" s="57" t="s">
        <v>263</v>
      </c>
      <c r="Q449" s="59" t="n">
        <f aca="false">ROUND((Flights!$AF$17)*1440,0)/1440</f>
        <v>46309.0104166667</v>
      </c>
      <c r="R449" s="59" t="n">
        <f aca="false">Q449+(IF(AND(INDEX(TZ_DSTS,MATCH(P449,TZ_STN,0))&lt;&gt;"",Q449&gt;=INDEX(TZ_DSTS,MATCH(P449,TZ_STN,0)),Q449&lt;INDEX(TZ_DSTE,MATCH(P449,TZ_STN,0))),INDEX(TZ_DST,MATCH(P449,TZ_STN,0)),INDEX(TZ_STD,MATCH(P449,TZ_STN,0))))/24</f>
        <v>46309.4479166667</v>
      </c>
      <c r="S449" s="60"/>
      <c r="T449" s="60"/>
      <c r="U449" s="60"/>
      <c r="V449" s="60"/>
      <c r="W449" s="61"/>
      <c r="X449" s="60"/>
      <c r="Y449" s="60"/>
      <c r="Z449" s="60"/>
      <c r="AA449" s="60"/>
      <c r="AB449" s="60"/>
      <c r="AC449" s="60"/>
      <c r="AD449" s="66"/>
      <c r="AE449" s="60"/>
      <c r="AF449" s="61" t="str">
        <f aca="false">IF(AND(ISNUMBER(X449),ISNUMBER(Y449)),Y449-X449,"")</f>
        <v/>
      </c>
      <c r="AG449" s="62" t="str">
        <f aca="false">IF(ISNUMBER(AD449),AD449-(IF(AND(INDEX(TZ_DSTS,MATCH(P449,TZ_STN,0))&lt;&gt;"",(AD449-INDEX(TZ_STD,MATCH(P449,TZ_STN,0))/24)&gt;=INDEX(TZ_DSTS,MATCH(P449,TZ_STN,0)),(AD449-INDEX(TZ_STD,MATCH(P449,TZ_STN,0))/24)&lt;INDEX(TZ_DSTE,MATCH(P449,TZ_STN,0))),INDEX(TZ_DST,MATCH(P449,TZ_STN,0)),INDEX(TZ_STD,MATCH(P449,TZ_STN,0))))/24,"")</f>
        <v/>
      </c>
      <c r="AH449" s="65" t="str">
        <f aca="false">IFERROR(IF(N449="N/A – rule",IF(OR(TRIM(U449)="",TRIM(U449)="N/A",TRIM(U449)="Not started"),"N/A – RULE","INVALID – this check does not apply to this aircraft: clear the status (or correct the fleet on Flights)"),IF(TRIM(U449)="N/A",IF(AT449=0,"INVALID – N/A not permitted for this check",IF(AND(TRIM(AB449)&lt;&gt;"",TRIM(AB449)&lt;&gt;"Closed"),"INVALID – corrective action still open",IF(AND(NOT(OR(LEN(AZ449)&lt;15,ISNUMBER(MATCH(AZ449,L_Placeholder,0)))),BK449=0,CG449&gt;=8,NOT(OR(LEN(AU449)&lt;2,ISNUMBER(MATCH(AU449,L_Placeholder,0)))),BR449&gt;=3,NOT(OR(LEN(AX449)&lt;2,ISNUMBER(MATCH(AX449,L_Placeholder,0)))),BS449&gt;=3,TRIM(AE449)&lt;&gt;TRIM(T449),AX449&lt;&gt;AU449,CE449=0),"N/A – JUSTIFIED","INVALID – N/A needs a real, settled reason (not 'not applicable' / 'as above' / TBC), a named PIC and a different named verifier"))),IF(OR(TRIM(U449)="Pass",TRIM(U449)="Pass after CA"),IF(NOT(ISNUMBER(AD449)),"INVALID – completion time missing",IF(OR(OR(LEN(AU449)&lt;2,ISNUMBER(MATCH(AU449,L_Placeholder,0))),BR449&lt;3),"INVALID – PIC missing or not a named person (a role such as QA / CSM is not a name)",IF(OR(LEN(AV449)&lt;2,ISNUMBER(MATCH(AV449,L_Placeholder,0))),"INVALID – result / assessment missing",IF(OR(OR(LEN(AW449)&lt;3,ISNUMBER(MATCH(AW449,L_Placeholder,0))),SUMPRODUCT(--ISNUMBER(SEARCH(" "&amp;L_EvidencePhrase&amp;" ",BD449)))&gt;0,BI449=1),"INVALID – evidence missing, placeholder or not yet on file",IF(ISNA(MATCH(TRIM(S449),L_EvidenceType,0)),"INVALID – choose the evidence type from the list (column S)",IF(BL449=0,"INVALID – evidence ID must be the record's own ID only (e.g. SF-2210, IMG_2231, 1045521); a link / file name needs type 'Link / file path'",IF(OR(OR(LEN(AX449)&lt;2,ISNUMBER(MATCH(AX449,L_Placeholder,0))),BS449&lt;3),"INVALID – verifier missing or not a named person (a role such as QA / CSM is not a name)",IF(OR(AX449=AU449,CE449=1,AND(LEN(AU449)&gt;=4,ISNUMBER(SEARCH(AU449,AX449))),AND(LEN(AX449)&gt;=4,ISNUMBER(SEARCH(AX449,AU449)))),"INVALID – verifier must be a different, named person (not the PIC or a role)",IF(BH449=1,"INVALID – result not yet available (awaiting / TBC)",IF(BG449=1,"INVALID – result describes a problem: record Fail, then Pass after CA (or reword if it is not a problem)",IF(BV449=1,"INVALID – wording says not on board: an on-board confirmation needs the item loaded",IF(AND(AQ449=1,OR(OR(LEN(AY449)&lt;3,ISNUMBER(MATCH(AY449,L_Placeholder,0))),BJ449=1,BQ449=0)),"INVALID – batch ID missing, placeholder or not an ID (e.g. PASB-261008-BC-017)",IF(AND(AR449=1,OR(NOT(ISNUMBER(X449)),NOT(ISNUMBER(Y449)))),"INVALID – expected/actual qty missing",IF(AND(AR449=1,OR(X449&lt;=0,Y449&lt;0)),"INVALID – expected qty must be above 0 and actual not negative",IF(AH439="N/A – JUSTIFIED","INVALID – preparation row F13-T12-02 is N/A",IF(AND(AR449=1,ISNUMBER(X439),X449&lt;&gt;X439,TRIM(U449)&lt;&gt;"Pass after CA"),"INVALID – expected qty differs from preparation check F13-T12-02: record the load change as a corrective action (Pass after CA)",IF(BB449&lt;&gt;"",BB449,IF(AND(AS449=1,Documents!$J$17&lt;&gt;"ON FILE"),"INVALID – GLD not on file (Documents sheet)",IF(AND(AS449=2,Documents!$O$17&lt;&gt;"ON FILE"),"INVALID – menu checklist not on file (Documents sheet)",IF(AND(AS449=3,NOT(ISNUMBER(Flights!$AX$17))),"INVALID – enter carrying flight KUL departure (Flights AX)",IF(AND(AS449=3,OR(Flights!$AZ$17&gt;Flights!$AA$17,Flights!$AX$17&lt;Flights!$AA$17-3)),"INVALID – carrying flight (Flights AX) cannot arrive before this leg's STD, or is over 3 days early",IF(AG449&gt;AsOfUTC,"INVALID – completion time is in the future",IF(AND(ISNUMBER(BY449),AG449&lt;BY449),IF(H449="Physical uplift","INVALID – before uplift window (cannot confirm loading)","INVALID – before valid window"),IF(AG449&gt;Flights!$AA$17,"INVALID – completed after departure (cannot establish readiness)",IF(AND(H449="Preparation",AG449&gt;=IF(ISNUMBER(Flights!$BA$17),MIN(Flights!$BA$17,Flights!$AA$17),Flights!$AA$17)),"INVALID – completed after loading / departure (cannot establish readiness)",IF(AND(H449="Physical uplift",AG449&gt;Q449),"INVALID – recorded after the loading flight departed",IF(AG449&gt;Q449,"COMPLETE – LATE","COMPLETE"))))))))))))))))))))))))))),IF(TRIM(U449)="Fail","FAIL – DISCREPANCY",IF(AND(TRIM(U449)&lt;&gt;"",TRIM(U449)&lt;&gt;"Not started",TRIM(U449)&lt;&gt;"In progress"),"INVALID – unrecognised status (use the list)",IF(AsOfUTC&gt;Q449,"OVERDUE",IF(N449="Clarification required","OPEN – CLARIFICATION","OPEN"))))))),"INVALID – error value in an input cell")</f>
        <v>OPEN</v>
      </c>
      <c r="AI449" s="61" t="n">
        <f aca="false">IF(OR(AH449="N/A – RULE",AH449="N/A – JUSTIFIED"),0,1)</f>
        <v>1</v>
      </c>
      <c r="AJ449" s="61" t="n">
        <f aca="false">IF(LEFT(AH449,8)="COMPLETE",1,0)</f>
        <v>0</v>
      </c>
      <c r="AK449" s="61" t="n">
        <f aca="false">IF(AND(AI449=1,AJ449=0,AsOfUTC&gt;Q449),1,0)</f>
        <v>0</v>
      </c>
      <c r="AL449" s="61" t="n">
        <f aca="false">IFERROR(IF(AND(AI449=1,OR(TRIM(U449)="Fail",AND(TRIM(AB449)&lt;&gt;"",TRIM(AB449)&lt;&gt;"Closed"),AND(ISNUMBER(AF449),AF449&lt;&gt;0,TRIM(U449)&lt;&gt;"Pass after CA"))),1,0),1)</f>
        <v>0</v>
      </c>
      <c r="AM449" s="61" t="n">
        <f aca="false">IF(LEFT(AH449,7)="INVALID",1,0)</f>
        <v>0</v>
      </c>
      <c r="AN449" s="61" t="n">
        <f aca="false">IF(AND(N449="Clarification required",AI449=1,AJ449=0),1,0)</f>
        <v>0</v>
      </c>
      <c r="AO449" s="61" t="str">
        <f aca="false">IF(AK449=1,SUM(AK$5:AK449),"")</f>
        <v/>
      </c>
      <c r="AP449" s="61" t="str">
        <f aca="false">IF(AL449=1,SUM(AL$5:AL449),"")</f>
        <v/>
      </c>
      <c r="AQ449" s="61" t="n">
        <v>0</v>
      </c>
      <c r="AR449" s="61" t="n">
        <v>1</v>
      </c>
      <c r="AS449" s="61" t="n">
        <v>0</v>
      </c>
      <c r="AT449" s="61" t="n">
        <v>0</v>
      </c>
      <c r="AU449" s="61" t="str">
        <f aca="false">SUBSTITUTE(SUBSTITUTE(SUBSTITUTE(SUBSTITUTE(SUBSTITUTE(SUBSTITUTE(SUBSTITUTE(SUBSTITUTE(SUBSTITUTE(SUBSTITUTE(SUBSTITUTE(SUBSTITUTE(SUBSTITUTE(SUBSTITUTE(SUBSTITUTE(SUBSTITUTE(LOWER(T449&amp;""),CHAR(10),""),CHAR(13),""),CHAR(9),""),CHAR(160),"")," ",""),".",""),"-",""),"/",""),"?",""),"_",""),",",""),"[",""),"]",""),"(",""),")",""),"*","")</f>
        <v/>
      </c>
      <c r="AV449" s="61" t="str">
        <f aca="false">SUBSTITUTE(SUBSTITUTE(SUBSTITUTE(SUBSTITUTE(SUBSTITUTE(SUBSTITUTE(SUBSTITUTE(SUBSTITUTE(SUBSTITUTE(SUBSTITUTE(SUBSTITUTE(SUBSTITUTE(SUBSTITUTE(SUBSTITUTE(SUBSTITUTE(SUBSTITUTE(LOWER(V449&amp;""),CHAR(10),""),CHAR(13),""),CHAR(9),""),CHAR(160),"")," ",""),".",""),"-",""),"/",""),"?",""),"_",""),",",""),"[",""),"]",""),"(",""),")",""),"*","")</f>
        <v/>
      </c>
      <c r="AW449" s="61" t="str">
        <f aca="false">SUBSTITUTE(SUBSTITUTE(SUBSTITUTE(SUBSTITUTE(SUBSTITUTE(SUBSTITUTE(SUBSTITUTE(SUBSTITUTE(SUBSTITUTE(SUBSTITUTE(SUBSTITUTE(SUBSTITUTE(SUBSTITUTE(SUBSTITUTE(SUBSTITUTE(SUBSTITUTE(LOWER(Z449&amp;""),CHAR(10),""),CHAR(13),""),CHAR(9),""),CHAR(160),"")," ",""),".",""),"-",""),"/",""),"?",""),"_",""),",",""),"[",""),"]",""),"(",""),")",""),"*","")</f>
        <v/>
      </c>
      <c r="AX449" s="61" t="str">
        <f aca="false">SUBSTITUTE(SUBSTITUTE(SUBSTITUTE(SUBSTITUTE(SUBSTITUTE(SUBSTITUTE(SUBSTITUTE(SUBSTITUTE(SUBSTITUTE(SUBSTITUTE(SUBSTITUTE(SUBSTITUTE(SUBSTITUTE(SUBSTITUTE(SUBSTITUTE(SUBSTITUTE(LOWER(AE449&amp;""),CHAR(10),""),CHAR(13),""),CHAR(9),""),CHAR(160),"")," ",""),".",""),"-",""),"/",""),"?",""),"_",""),",",""),"[",""),"]",""),"(",""),")",""),"*","")</f>
        <v/>
      </c>
      <c r="AY449" s="61" t="str">
        <f aca="false">SUBSTITUTE(SUBSTITUTE(SUBSTITUTE(SUBSTITUTE(SUBSTITUTE(SUBSTITUTE(SUBSTITUTE(SUBSTITUTE(SUBSTITUTE(SUBSTITUTE(SUBSTITUTE(SUBSTITUTE(SUBSTITUTE(SUBSTITUTE(SUBSTITUTE(SUBSTITUTE(LOWER(W449&amp;""),CHAR(10),""),CHAR(13),""),CHAR(9),""),CHAR(160),"")," ",""),".",""),"-",""),"/",""),"?",""),"_",""),",",""),"[",""),"]",""),"(",""),")",""),"*","")</f>
        <v/>
      </c>
      <c r="AZ449" s="61" t="str">
        <f aca="false">SUBSTITUTE(SUBSTITUTE(SUBSTITUTE(SUBSTITUTE(SUBSTITUTE(SUBSTITUTE(SUBSTITUTE(SUBSTITUTE(SUBSTITUTE(SUBSTITUTE(SUBSTITUTE(SUBSTITUTE(SUBSTITUTE(SUBSTITUTE(SUBSTITUTE(SUBSTITUTE(LOWER(AC449&amp;""),CHAR(10),""),CHAR(13),""),CHAR(9),""),CHAR(160),"")," ",""),".",""),"-",""),"/",""),"?",""),"_",""),",",""),"[",""),"]",""),"(",""),")",""),"*","")</f>
        <v/>
      </c>
      <c r="BA449" s="61" t="str">
        <f aca="false">SUBSTITUTE(SUBSTITUTE(SUBSTITUTE(SUBSTITUTE(SUBSTITUTE(SUBSTITUTE(SUBSTITUTE(SUBSTITUTE(SUBSTITUTE(SUBSTITUTE(SUBSTITUTE(SUBSTITUTE(SUBSTITUTE(SUBSTITUTE(SUBSTITUTE(SUBSTITUTE(LOWER(AA449&amp;""),CHAR(10),""),CHAR(13),""),CHAR(9),""),CHAR(160),"")," ",""),".",""),"-",""),"/",""),"?",""),"_",""),",",""),"[",""),"]",""),"(",""),")",""),"*","")</f>
        <v/>
      </c>
      <c r="BB449" s="61" t="str">
        <f aca="false">IF(AND(TRIM(U449)="Pass",ISNUMBER(AF449)),IF(AF449&lt;&gt;0,"INVALID – qty variance: use Fail or Pass after CA",""),"")&amp;IF(AND(TRIM(U449)="Pass after CA",ISNUMBER(AF449)),IF(AF449&lt;&gt;0,"INVALID – after the corrective action the actual qty must equal expected (update Actual)",""),"")&amp;IF(AND(TRIM(U449)="Pass",TRIM(AB449)&lt;&gt;"",TRIM(AB449)&lt;&gt;"Closed"),"INVALID – corrective action not closed: use Fail, then Pass after CA","")&amp;IF(AND(LEN(BA449)&gt;=2,ISNA(MATCH(LEFT(BA449,255),L_Placeholder,0)),TRIM(AB449)=""),"INVALID – CA status missing for the recorded corrective action","")&amp;IF(AND(TRIM(U449)="Pass after CA",OR(OR(LEN(BA449)&lt;5,ISNUMBER(MATCH(BA449,L_Placeholder,0))),TRIM(AB449)&lt;&gt;"Closed")),"INVALID – corrective action not recorded/closed","")</f>
        <v/>
      </c>
      <c r="BC449" s="61" t="str">
        <f aca="false">" "&amp;TRIM(SUBSTITUTE(SUBSTITUTE(SUBSTITUTE(SUBSTITUTE(SUBSTITUTE(SUBSTITUTE(SUBSTITUTE(SUBSTITUTE(SUBSTITUTE(SUBSTITUTE(SUBSTITUTE(SUBSTITUTE(SUBSTITUTE(SUBSTITUTE(SUBSTITUTE(SUBSTITUTE(SUBSTITUTE(SUBSTITUTE(SUBSTITUTE(SUBSTITUTE(SUBSTITUTE(SUBSTITUTE(SUBSTITUTE(SUBSTITUTE(LOWER(V449&amp;""),CHAR(10)," "),CHAR(13)," "),CHAR(9)," "),CHAR(160)," "),"."," "),","," "),"-"," "),"/"," "),"("," "),")"," "),":"," "),";"," "),"_"," "),"–"," "),"?"," "),"!"," "),"*"," "),"["," "),"]"," "),"'"," "),"#"," "),"+"," "),"&amp;"," "),"\"," "))&amp;" "</f>
        <v>  </v>
      </c>
      <c r="BD449" s="61" t="str">
        <f aca="false">" "&amp;TRIM(SUBSTITUTE(SUBSTITUTE(SUBSTITUTE(SUBSTITUTE(SUBSTITUTE(SUBSTITUTE(SUBSTITUTE(SUBSTITUTE(SUBSTITUTE(SUBSTITUTE(SUBSTITUTE(SUBSTITUTE(SUBSTITUTE(SUBSTITUTE(SUBSTITUTE(SUBSTITUTE(SUBSTITUTE(SUBSTITUTE(SUBSTITUTE(SUBSTITUTE(SUBSTITUTE(SUBSTITUTE(SUBSTITUTE(SUBSTITUTE(LOWER(Z449&amp;""),CHAR(10)," "),CHAR(13)," "),CHAR(9)," "),CHAR(160)," "),"."," "),","," "),"-"," "),"/"," "),"("," "),")"," "),":"," "),";"," "),"_"," "),"–"," "),"?"," "),"!"," "),"*"," "),"["," "),"]"," "),"'"," "),"#"," "),"+"," "),"&amp;"," "),"\"," "))&amp;" "</f>
        <v>  </v>
      </c>
      <c r="BE449" s="61" t="str">
        <f aca="false">" "&amp;TRIM(SUBSTITUTE(SUBSTITUTE(SUBSTITUTE(SUBSTITUTE(SUBSTITUTE(SUBSTITUTE(SUBSTITUTE(SUBSTITUTE(SUBSTITUTE(SUBSTITUTE(SUBSTITUTE(SUBSTITUTE(SUBSTITUTE(SUBSTITUTE(SUBSTITUTE(SUBSTITUTE(SUBSTITUTE(SUBSTITUTE(SUBSTITUTE(SUBSTITUTE(SUBSTITUTE(SUBSTITUTE(SUBSTITUTE(SUBSTITUTE(LOWER(W449&amp;""),CHAR(10)," "),CHAR(13)," "),CHAR(9)," "),CHAR(160)," "),"."," "),","," "),"-"," "),"/"," "),"("," "),")"," "),":"," "),";"," "),"_"," "),"–"," "),"?"," "),"!"," "),"*"," "),"["," "),"]"," "),"'"," "),"#"," "),"+"," "),"&amp;"," "),"\"," "))&amp;" "</f>
        <v>  </v>
      </c>
      <c r="BF449" s="61" t="str">
        <f aca="false">" "&amp;TRIM(SUBSTITUTE(SUBSTITUTE(SUBSTITUTE(SUBSTITUTE(SUBSTITUTE(SUBSTITUTE(SUBSTITUTE(SUBSTITUTE(SUBSTITUTE(SUBSTITUTE(SUBSTITUTE(SUBSTITUTE(SUBSTITUTE(SUBSTITUTE(SUBSTITUTE(SUBSTITUTE(SUBSTITUTE(SUBSTITUTE(SUBSTITUTE(SUBSTITUTE(SUBSTITUTE(SUBSTITUTE(SUBSTITUTE(SUBSTITUTE(LOWER(AC449&amp;""),CHAR(10)," "),CHAR(13)," "),CHAR(9)," "),CHAR(160)," "),"."," "),","," "),"-"," "),"/"," "),"("," "),")"," "),":"," "),";"," "),"_"," "),"–"," "),"?"," "),"!"," "),"*"," "),"["," "),"]"," "),"'"," "),"#"," "),"+"," "),"&amp;"," "),"\"," "))&amp;" "</f>
        <v>  </v>
      </c>
      <c r="BG449" s="61" t="n">
        <f aca="false">IFERROR(IF(AND(TRIM(U449)="Pass",SUMPRODUCT((LEN(BC449)-LEN(SUBSTITUTE(BC449," "&amp;L_ResultBad&amp;" "," ")))/(LEN(L_ResultBad)+1))&gt;SUMPRODUCT((LEN(BC449)-LEN(SUBSTITUTE(BC449," "&amp;L_NegPhrase&amp;" "," ")))/(LEN(L_NegPhrase)+1))),1,0),0)</f>
        <v>0</v>
      </c>
      <c r="BH449" s="61" t="n">
        <f aca="false">IFERROR(IF(SUMPRODUCT((LEN(BC449)-LEN(SUBSTITUTE(BC449," "&amp;L_Pending&amp;" "," ")))/(LEN(L_Pending)+1))&gt;SUMPRODUCT((LEN(BC449)-LEN(SUBSTITUTE(BC449," "&amp;L_PendNeg&amp;" "," ")))/(LEN(L_PendNeg)+1)),1,0),1)</f>
        <v>0</v>
      </c>
      <c r="BI449" s="61" t="n">
        <f aca="false">IFERROR(IF(SUMPRODUCT((LEN(BD449)-LEN(SUBSTITUTE(BD449," "&amp;L_PendStrict&amp;" "," ")))/(LEN(L_PendStrict)+1))&gt;SUMPRODUCT((LEN(BD449)-LEN(SUBSTITUTE(BD449," "&amp;L_PendNeg&amp;" "," ")))/(LEN(L_PendNeg)+1)),1,0),1)</f>
        <v>0</v>
      </c>
      <c r="BJ449" s="61" t="n">
        <f aca="false">IFERROR(IF(SUMPRODUCT((LEN(BE449)-LEN(SUBSTITUTE(BE449," "&amp;L_Pending&amp;" "," ")))/(LEN(L_Pending)+1))&gt;SUMPRODUCT((LEN(BE449)-LEN(SUBSTITUTE(BE449," "&amp;L_PendNeg&amp;" "," ")))/(LEN(L_PendNeg)+1)),1,0),1)</f>
        <v>0</v>
      </c>
      <c r="BK449" s="61" t="n">
        <f aca="false">IFERROR(IF(SUMPRODUCT((LEN(BF449)-LEN(SUBSTITUTE(BF449," "&amp;L_PendStrict&amp;" "," ")))/(LEN(L_PendStrict)+1))&gt;SUMPRODUCT((LEN(BF449)-LEN(SUBSTITUTE(BF449," "&amp;L_PendNeg&amp;" "," ")))/(LEN(L_PendNeg)+1)),1,0),1)</f>
        <v>0</v>
      </c>
      <c r="BL449" s="61" t="n">
        <f aca="false">IF(ISNA(MATCH(TRIM(S449),L_EvidenceType,0)),0,BZ449)</f>
        <v>0</v>
      </c>
      <c r="BM449" s="61" t="str">
        <f aca="false">SUBSTITUTE(SUBSTITUTE(SUBSTITUTE(SUBSTITUTE(SUBSTITUTE(SUBSTITUTE(SUBSTITUTE(SUBSTITUTE(SUBSTITUTE(LOWER(Z449&amp;""),"1","0"),"2","0"),"3","0"),"4","0"),"5","0"),"6","0"),"7","0"),"8","0"),"9","0")</f>
        <v/>
      </c>
      <c r="BN449" s="61" t="str">
        <f aca="false">SUBSTITUTE(SUBSTITUTE(SUBSTITUTE(SUBSTITUTE(SUBSTITUTE(SUBSTITUTE(SUBSTITUTE(SUBSTITUTE(SUBSTITUTE(SUBSTITUTE(SUBSTITUTE(SUBSTITUTE(SUBSTITUTE(SUBSTITUTE(SUBSTITUTE(SUBSTITUTE(SUBSTITUTE(SUBSTITUTE(SUBSTITUTE(SUBSTITUTE(SUBSTITUTE(SUBSTITUTE(SUBSTITUTE(SUBSTITUTE(SUBSTITUTE(BM449,"b","a"),"c","a"),"d","a"),"e","a"),"f","a"),"g","a"),"h","a"),"i","a"),"j","a"),"k","a"),"l","a"),"m","a"),"n","a"),"o","a"),"p","a"),"q","a"),"r","a"),"s","a"),"t","a"),"u","a"),"v","a"),"w","a"),"x","a"),"y","a"),"z","a")</f>
        <v/>
      </c>
      <c r="BO449" s="61" t="str">
        <f aca="false">SUBSTITUTE(SUBSTITUTE(SUBSTITUTE(SUBSTITUTE(SUBSTITUTE(SUBSTITUTE(SUBSTITUTE(SUBSTITUTE(SUBSTITUTE(LOWER(W449&amp;""),"1","0"),"2","0"),"3","0"),"4","0"),"5","0"),"6","0"),"7","0"),"8","0"),"9","0")</f>
        <v/>
      </c>
      <c r="BP449" s="61" t="str">
        <f aca="false">SUBSTITUTE(SUBSTITUTE(SUBSTITUTE(SUBSTITUTE(SUBSTITUTE(SUBSTITUTE(SUBSTITUTE(SUBSTITUTE(SUBSTITUTE(SUBSTITUTE(SUBSTITUTE(SUBSTITUTE(SUBSTITUTE(SUBSTITUTE(SUBSTITUTE(SUBSTITUTE(SUBSTITUTE(SUBSTITUTE(SUBSTITUTE(SUBSTITUTE(SUBSTITUTE(SUBSTITUTE(SUBSTITUTE(SUBSTITUTE(SUBSTITUTE(BO449,"b","a"),"c","a"),"d","a"),"e","a"),"f","a"),"g","a"),"h","a"),"i","a"),"j","a"),"k","a"),"l","a"),"m","a"),"n","a"),"o","a"),"p","a"),"q","a"),"r","a"),"s","a"),"t","a"),"u","a"),"v","a"),"w","a"),"x","a"),"y","a"),"z","a")</f>
        <v/>
      </c>
      <c r="BQ449" s="61" t="n">
        <f aca="false">IFERROR(IF(AND(ISERROR(SEARCH(" mh"," "&amp;LOWER(W449))),ISNA(MATCH(LEFT(TRIM(BP449),255),{"0000a","000a","00a","0000aa","000aa","00aa","0aa","0000aaa","000aaa","00a00","0a00","0000-0000","00:00","a00","a0","00.00.0000","00/00/0000","00-00-0000","0000-00-00","0000/00/00","0000.00.00","00.00.00","00/00/00","00-00-00","0.00.0000","0/00/0000","0-00-0000"},0)),ISNA(MATCH(LEFT(TRIM(CA449),255),{"0000a","000a","00a","0000aa","000aa","00aa","0aa","0000aaa","000aaa","00a00","0a00","0000-0000","00:00","a00","a0","00.00.0000","00/00/0000","00-00-0000","0000-00-00","0000/00/00","0000.00.00","00.00.00","00/00/00","00-00-00","0.00.0000","0/00/0000","0-00-0000"},0)),LEN(CB449)&gt;=3,NOT(OR(SUBSTITUTE(CB449,"0","")="",AND(LEN(CB449)&gt;=4,CB449=REPT(LEFT(CB449),LEN(CB449))),ISNUMBER(MATCH(CB449,{"123","1234","12345","123456","1234567","12345678","0123","01234","012345","98765","987654","54321"},0)),AND(LEN(CB449)=8,LEFT(CB449,3)="202"))),OR(AND((LEN(CA449)-LEN(SUBSTITUTE(CA449,"a","")))&gt;=1,SUMPRODUCT(--ISNUMBER(SEARCH({"a0","a-0","a_0","a/0","a.0","a#0","0a","0-a","0_a","0/a"},BP449)))&gt;0),ISNUMBER(SEARCH("000000",BP449)))),1,0),0)</f>
        <v>0</v>
      </c>
      <c r="BR449" s="61" t="n">
        <f aca="false">IFERROR(LEN(SUBSTITUTE(CC449," ",""))-SUMPRODUCT((LEN(CC449)-LEN(SUBSTITUTE(CC449," "&amp;L_Role&amp;" "," ")))/(LEN(L_Role)+1)*LEN(L_Role)),0)</f>
        <v>0</v>
      </c>
      <c r="BS449" s="61" t="n">
        <f aca="false">IFERROR(LEN(SUBSTITUTE(CD449," ",""))-SUMPRODUCT((LEN(CD449)-LEN(SUBSTITUTE(CD449," "&amp;L_Role&amp;" "," ")))/(LEN(L_Role)+1)*LEN(L_Role)),0)</f>
        <v>0</v>
      </c>
      <c r="BT4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449,"revision",""),"version",""),"jan",""),"feb",""),"mar",""),"apr",""),"may",""),"jun",""),"jul",""),"aug",""),"sep",""),"oct",""),"nov",""),"dec",""),"utc",""),"gmt",""),"myt",""),"bst",""),"rev",""),"ver",""),"b","a"),"c","a"),"d","a"),"e","a"),"f","a"),"g","a"),"h","a"),"i","a"),"j","a"),"k","a"),"l","a"),"m","a"),"n","a"),"o","a"),"p","a"),"q","a"),"r","a"),"s","a"),"t","a"),"u","a"),"v","a"),"w","a"),"x","a"),"y","a"),"z","a")</f>
        <v/>
      </c>
      <c r="BU449" s="61" t="str">
        <f aca="false">SUBSTITUTE(SUBSTITUTE(SUBSTITUTE(SUBSTITUTE(SUBSTITUTE(SUBSTITUTE(SUBSTITUTE(SUBSTITUTE(SUBSTITUTE(SUBSTITUTE(LEFT(BM449,FIND("0",BM449&amp;"0")-1),"-",""),"_",""),"/",""),".",""),"#",""),"\\",""),":","")," ",""),"(",""),")","")</f>
        <v/>
      </c>
      <c r="BV449" s="61" t="n">
        <f aca="false">IFERROR(IF(OR(SUMPRODUCT((LEN(BC449)-LEN(SUBSTITUTE(BC449," "&amp;L_NotLoaded&amp;" "," ")))/(LEN(L_NotLoaded)+1))&gt;SUMPRODUCT((LEN(BC449)-LEN(SUBSTITUTE(BC449," "&amp;L_NotLoadedNeg&amp;" "," ")))/(LEN(L_NotLoadedNeg)+1)),SUMPRODUCT((LEN(BD449)-LEN(SUBSTITUTE(BD449," "&amp;L_NotLoaded&amp;" "," ")))/(LEN(L_NotLoaded)+1))&gt;SUMPRODUCT((LEN(BD449)-LEN(SUBSTITUTE(BD449," "&amp;L_NotLoadedNeg&amp;" "," ")))/(LEN(L_NotLoadedNeg)+1))),1,0),0)</f>
        <v>0</v>
      </c>
      <c r="BW4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449&amp;""),"a",""),"b",""),"c",""),"d",""),"e",""),"f",""),"g",""),"h",""),"i",""),"j",""),"k",""),"l",""),"m",""),"n",""),"o",""),"p",""),"q",""),"r",""),"s",""),"t",""),"u",""),"v",""),"w",""),"x",""),"y",""),"z",""),"-",""),"_",""),"/",""),".",""),"#",""),"\\",""),":","")," ",""),"(",""),")","")</f>
        <v/>
      </c>
      <c r="BX449" s="61" t="str">
        <f aca="false">SUBSTITUTE(SUBSTITUTE(SUBSTITUTE(SUBSTITUTE(SUBSTITUTE(SUBSTITUTE(SUBSTITUTE(SUBSTITUTE(SUBSTITUTE(SUBSTITUTE(SUBSTITUTE(BM449,"0",""),"-",""),"_",""),"/",""),".",""),"#",""),"\\",""),":","")," ",""),"(",""),")","")</f>
        <v/>
      </c>
      <c r="BY449" s="62" t="n">
        <f aca="false">IF(ISNUMBER(Flights!$AZ$17),MAX(Q449-UpliftWindowH/24,Flights!$AZ$17),Q449-UpliftWindowH/24)</f>
        <v>46308.7604166667</v>
      </c>
      <c r="BZ449" s="61" t="n">
        <f aca="false">IFERROR(IF(IF(TRIM(S449)="Link / file path",AND(LEN(TRIM(Z449))&gt;=5,SUMPRODUCT(--ISNUMBER(SEARCH({"http","www.","\\",":\",".pdf",".jpg",".jpeg",".png",".heic",".xls",".doc",".msg",".eml",".ppt",".txt",".zip"},Z449)))&gt;0),AND(ISERROR(FIND(" ",TRIM(Z449))),NOT(OR(SUMPRODUCT(--ISNUMBER(FIND({",",";","&amp;","+"},Z449)))&gt;0,SUMPRODUCT(--ISNUMBER(SEARCH({"0/aa","0\\aa"},BN449)))&gt;0)),NOT(SUMPRODUCT(--ISNUMBER(SEARCH({"http","www.","\\",":\",".pdf",".jpg",".jpeg",".png",".heic",".xls",".doc",".msg",".eml",".ppt",".txt",".zip"},Z449)))&gt;0),NOT(LOWER(TRIM(Z449))=LOWER(Flights!$F$17)),ISNA(MATCH(BU449,{"mh","rev","revision","ver","version","v","r","a","b","seat","tray","row","gate","bay","stand","page","pg","item","line","no","cart","galley","flight","flt","table","box","bag","oven","etd","eta","std","sta","atd","ata","qty","pax","x","time","tel","ph","mob","day","wk","week","utc","gmt","myt","lt"},0)),NOT(OR(ISNUMBER(MATCH(LEFT(BN449,255),{"0000a","000a","00a","0000aa","000aa","00aa","0aa","0000aaa","000aaa","00a00","0a00","0000-0000","00:00","a00","a0","00.00.0000","00/00/0000","00-00-0000","0000-00-00","0000/00/00","0000.00.00","00.00.00","00/00/00","00-00-00","0.00.0000","0/00/0000","0-00-0000"},0)),ISNUMBER(MATCH(LEFT(BT449,255),{"0000a","000a","00a","0000aa","000aa","00aa","0aa","0000aaa","000aaa","00a00","0a00","0000-0000","00:00","a00","a0","00.00.0000","00/00/0000","00-00-0000","0000-00-00","0000/00/00","0000.00.00","00.00.00","00/00/00","00-00-00","0.00.0000","0/00/0000","0-00-0000"},0)))),NOT(OR(AND(BW449&lt;&gt;"",SUBSTITUTE(BW449,"0","")=""),AND(LEN(BW449)&gt;=4,BW449=REPT(LEFT(BW449),LEN(BW449))),ISNUMBER(MATCH(BW449,{"123","1234","12345","123456","1234567","12345678","0123","01234","012345","98765","987654","54321"},0)),ISNUMBER(MATCH(BX449,{"x","xx","xxx","xxxx","xxxxx","abc","abcd","nil","na","nan","test","tbc","tba","tbd","dummy","sample","example","eg","zz","zzz","none","null","xyz","qwe","asd","id","ref"},0)),AND(LEN(BW449)=8,BX449="",OR(LEFT(BW449,3)="202",ISNUMBER(MATCH(RIGHT(BW449,4),{"2025","2026","2027"},0)))))),OR(AND((LEN(BT449)-LEN(SUBSTITUTE(BT449,"a","")))&gt;=1,(LEN(BN449)-LEN(SUBSTITUTE(BN449,"0","")))&gt;=2,SUMPRODUCT(--ISNUMBER(SEARCH({"a0","a-0","a_0","a/0","a.0","a#0","0a","0-a","0_a","0/a"},BN449)))&gt;0),AND((LEN(BN449)-LEN(SUBSTITUTE(BN449,"a","")))=0,(LEN(BN449)-LEN(SUBSTITUTE(BN449,"0","")))&gt;=5)))),1,0),0)</f>
        <v>0</v>
      </c>
      <c r="CA4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449,"revision",""),"version",""),"jan",""),"feb",""),"mar",""),"apr",""),"may",""),"jun",""),"jul",""),"aug",""),"sep",""),"oct",""),"nov",""),"dec",""),"utc",""),"gmt",""),"myt",""),"bst",""),"rev",""),"ver",""),"b","a"),"c","a"),"d","a"),"e","a"),"f","a"),"g","a"),"h","a"),"i","a"),"j","a"),"k","a"),"l","a"),"m","a"),"n","a"),"o","a"),"p","a"),"q","a"),"r","a"),"s","a"),"t","a"),"u","a"),"v","a"),"w","a"),"x","a"),"y","a"),"z","a")</f>
        <v/>
      </c>
      <c r="CB4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449&amp;""),"a",""),"b",""),"c",""),"d",""),"e",""),"f",""),"g",""),"h",""),"i",""),"j",""),"k",""),"l",""),"m",""),"n",""),"o",""),"p",""),"q",""),"r",""),"s",""),"t",""),"u",""),"v",""),"w",""),"x",""),"y",""),"z",""),"-",""),"_",""),"/",""),".",""),"#",""),"\\",""),":","")," ",""),"(",""),")","")</f>
        <v/>
      </c>
      <c r="CC449" s="0" t="str">
        <f aca="false">" "&amp;TRIM(SUBSTITUTE(SUBSTITUTE(SUBSTITUTE(SUBSTITUTE(SUBSTITUTE(SUBSTITUTE(SUBSTITUTE(SUBSTITUTE(SUBSTITUTE(SUBSTITUTE(SUBSTITUTE(SUBSTITUTE(SUBSTITUTE(SUBSTITUTE(SUBSTITUTE(SUBSTITUTE(SUBSTITUTE(SUBSTITUTE(SUBSTITUTE(SUBSTITUTE(SUBSTITUTE(SUBSTITUTE(SUBSTITUTE(SUBSTITUTE(LOWER(T449&amp;""),CHAR(10)," "),CHAR(13)," "),CHAR(9)," "),CHAR(160)," "),"."," "),","," "),"-"," "),"/"," "),"("," "),")"," "),":"," "),";"," "),"_"," "),"–"," "),"?"," "),"!"," "),"*"," "),"["," "),"]"," "),"'"," "),"#"," "),"+"," "),"&amp;"," "),"\"," "))&amp;" "</f>
        <v>  </v>
      </c>
      <c r="CD449" s="0" t="str">
        <f aca="false">" "&amp;TRIM(SUBSTITUTE(SUBSTITUTE(SUBSTITUTE(SUBSTITUTE(SUBSTITUTE(SUBSTITUTE(SUBSTITUTE(SUBSTITUTE(SUBSTITUTE(SUBSTITUTE(SUBSTITUTE(SUBSTITUTE(SUBSTITUTE(SUBSTITUTE(SUBSTITUTE(SUBSTITUTE(SUBSTITUTE(SUBSTITUTE(SUBSTITUTE(SUBSTITUTE(SUBSTITUTE(SUBSTITUTE(SUBSTITUTE(SUBSTITUTE(LOWER(AE449&amp;""),CHAR(10)," "),CHAR(13)," "),CHAR(9)," "),CHAR(160)," "),"."," "),","," "),"-"," "),"/"," "),"("," "),")"," "),":"," "),";"," "),"_"," "),"–"," "),"?"," "),"!"," "),"*"," "),"["," "),"]"," "),"'"," "),"#"," "),"+"," "),"&amp;"," "),"\"," "))&amp;" "</f>
        <v>  </v>
      </c>
      <c r="CE449" s="68" t="n">
        <f aca="false">IFERROR(IF(AND(LEN(AU449)&gt;0,LEN(AU449)=LEN(AX449),OR(TRIM(MID(SUBSTITUTE(TRIM(CC449)," ",REPT(" ",60)),1,60))="",ISNUMBER(SEARCH(" "&amp;TRIM(MID(SUBSTITUTE(TRIM(CC449)," ",REPT(" ",60)),1,60))&amp;" ",CD449))),OR(TRIM(MID(SUBSTITUTE(TRIM(CC449)," ",REPT(" ",60)),61,60))="",ISNUMBER(SEARCH(" "&amp;TRIM(MID(SUBSTITUTE(TRIM(CC449)," ",REPT(" ",60)),61,60))&amp;" ",CD449))),OR(TRIM(MID(SUBSTITUTE(TRIM(CC449)," ",REPT(" ",60)),121,60))="",ISNUMBER(SEARCH(" "&amp;TRIM(MID(SUBSTITUTE(TRIM(CC449)," ",REPT(" ",60)),121,60))&amp;" ",CD449)))),1,0),0)</f>
        <v>0</v>
      </c>
      <c r="CG449" s="68" t="n">
        <f aca="false">IFERROR(LEN(SUBSTITUTE(BF449," ",""))-SUMPRODUCT((LEN(BF449)-LEN(SUBSTITUTE(BF449," "&amp;L_NAFiller&amp;" "," ")))/(LEN(L_NAFiller)+1)*LEN(L_NAFiller)),0)</f>
        <v>0</v>
      </c>
    </row>
    <row r="450" customFormat="false" ht="39.75" hidden="false" customHeight="true" outlineLevel="0" collapsed="false">
      <c r="A450" s="57" t="s">
        <v>1094</v>
      </c>
      <c r="B450" s="57" t="s">
        <v>272</v>
      </c>
      <c r="C450" s="57" t="str">
        <f aca="false">Flights!$F$17</f>
        <v>MH0138</v>
      </c>
      <c r="D450" s="58" t="n">
        <f aca="false">Flights!$D$17</f>
        <v>46309</v>
      </c>
      <c r="E450" s="57" t="str">
        <f aca="false">Flights!$G$17&amp;"-"&amp;Flights!$H$17</f>
        <v>ADL-KUL</v>
      </c>
      <c r="F450" s="57" t="str">
        <f aca="false">Flights!$K$17</f>
        <v>EY</v>
      </c>
      <c r="G450" s="57" t="s">
        <v>459</v>
      </c>
      <c r="H450" s="57" t="s">
        <v>460</v>
      </c>
      <c r="I450" s="57" t="s">
        <v>428</v>
      </c>
      <c r="J450" s="57" t="s">
        <v>465</v>
      </c>
      <c r="K450" s="67" t="s">
        <v>426</v>
      </c>
      <c r="L450" s="67" t="s">
        <v>462</v>
      </c>
      <c r="M450" s="67"/>
      <c r="N450" s="67" t="s">
        <v>383</v>
      </c>
      <c r="O450" s="67" t="s">
        <v>463</v>
      </c>
      <c r="P450" s="57" t="s">
        <v>263</v>
      </c>
      <c r="Q450" s="59" t="n">
        <f aca="false">ROUND((Flights!$AF$17)*1440,0)/1440</f>
        <v>46309.0104166667</v>
      </c>
      <c r="R450" s="59" t="n">
        <f aca="false">Q450+(IF(AND(INDEX(TZ_DSTS,MATCH(P450,TZ_STN,0))&lt;&gt;"",Q450&gt;=INDEX(TZ_DSTS,MATCH(P450,TZ_STN,0)),Q450&lt;INDEX(TZ_DSTE,MATCH(P450,TZ_STN,0))),INDEX(TZ_DST,MATCH(P450,TZ_STN,0)),INDEX(TZ_STD,MATCH(P450,TZ_STN,0))))/24</f>
        <v>46309.4479166667</v>
      </c>
      <c r="S450" s="60"/>
      <c r="T450" s="60"/>
      <c r="U450" s="60"/>
      <c r="V450" s="60"/>
      <c r="W450" s="61"/>
      <c r="X450" s="60"/>
      <c r="Y450" s="60"/>
      <c r="Z450" s="60"/>
      <c r="AA450" s="60"/>
      <c r="AB450" s="60"/>
      <c r="AC450" s="60"/>
      <c r="AD450" s="66"/>
      <c r="AE450" s="60"/>
      <c r="AF450" s="61" t="str">
        <f aca="false">IF(AND(ISNUMBER(X450),ISNUMBER(Y450)),Y450-X450,"")</f>
        <v/>
      </c>
      <c r="AG450" s="62" t="str">
        <f aca="false">IF(ISNUMBER(AD450),AD450-(IF(AND(INDEX(TZ_DSTS,MATCH(P450,TZ_STN,0))&lt;&gt;"",(AD450-INDEX(TZ_STD,MATCH(P450,TZ_STN,0))/24)&gt;=INDEX(TZ_DSTS,MATCH(P450,TZ_STN,0)),(AD450-INDEX(TZ_STD,MATCH(P450,TZ_STN,0))/24)&lt;INDEX(TZ_DSTE,MATCH(P450,TZ_STN,0))),INDEX(TZ_DST,MATCH(P450,TZ_STN,0)),INDEX(TZ_STD,MATCH(P450,TZ_STN,0))))/24,"")</f>
        <v/>
      </c>
      <c r="AH450" s="65" t="str">
        <f aca="false">IFERROR(IF(N450="N/A – rule",IF(OR(TRIM(U450)="",TRIM(U450)="N/A",TRIM(U450)="Not started"),"N/A – RULE","INVALID – this check does not apply to this aircraft: clear the status (or correct the fleet on Flights)"),IF(TRIM(U450)="N/A",IF(AT450=0,"INVALID – N/A not permitted for this check",IF(AND(TRIM(AB450)&lt;&gt;"",TRIM(AB450)&lt;&gt;"Closed"),"INVALID – corrective action still open",IF(AND(NOT(OR(LEN(AZ450)&lt;15,ISNUMBER(MATCH(AZ450,L_Placeholder,0)))),BK450=0,CG450&gt;=8,NOT(OR(LEN(AU450)&lt;2,ISNUMBER(MATCH(AU450,L_Placeholder,0)))),BR450&gt;=3,NOT(OR(LEN(AX450)&lt;2,ISNUMBER(MATCH(AX450,L_Placeholder,0)))),BS450&gt;=3,TRIM(AE450)&lt;&gt;TRIM(T450),AX450&lt;&gt;AU450,CE450=0),"N/A – JUSTIFIED","INVALID – N/A needs a real, settled reason (not 'not applicable' / 'as above' / TBC), a named PIC and a different named verifier"))),IF(OR(TRIM(U450)="Pass",TRIM(U450)="Pass after CA"),IF(NOT(ISNUMBER(AD450)),"INVALID – completion time missing",IF(OR(OR(LEN(AU450)&lt;2,ISNUMBER(MATCH(AU450,L_Placeholder,0))),BR450&lt;3),"INVALID – PIC missing or not a named person (a role such as QA / CSM is not a name)",IF(OR(LEN(AV450)&lt;2,ISNUMBER(MATCH(AV450,L_Placeholder,0))),"INVALID – result / assessment missing",IF(OR(OR(LEN(AW450)&lt;3,ISNUMBER(MATCH(AW450,L_Placeholder,0))),SUMPRODUCT(--ISNUMBER(SEARCH(" "&amp;L_EvidencePhrase&amp;" ",BD450)))&gt;0,BI450=1),"INVALID – evidence missing, placeholder or not yet on file",IF(ISNA(MATCH(TRIM(S450),L_EvidenceType,0)),"INVALID – choose the evidence type from the list (column S)",IF(BL450=0,"INVALID – evidence ID must be the record's own ID only (e.g. SF-2210, IMG_2231, 1045521); a link / file name needs type 'Link / file path'",IF(OR(OR(LEN(AX450)&lt;2,ISNUMBER(MATCH(AX450,L_Placeholder,0))),BS450&lt;3),"INVALID – verifier missing or not a named person (a role such as QA / CSM is not a name)",IF(OR(AX450=AU450,CE450=1,AND(LEN(AU450)&gt;=4,ISNUMBER(SEARCH(AU450,AX450))),AND(LEN(AX450)&gt;=4,ISNUMBER(SEARCH(AX450,AU450)))),"INVALID – verifier must be a different, named person (not the PIC or a role)",IF(BH450=1,"INVALID – result not yet available (awaiting / TBC)",IF(BG450=1,"INVALID – result describes a problem: record Fail, then Pass after CA (or reword if it is not a problem)",IF(BV450=1,"INVALID – wording says not on board: an on-board confirmation needs the item loaded",IF(AND(AQ450=1,OR(OR(LEN(AY450)&lt;3,ISNUMBER(MATCH(AY450,L_Placeholder,0))),BJ450=1,BQ450=0)),"INVALID – batch ID missing, placeholder or not an ID (e.g. PASB-261008-BC-017)",IF(AND(AR450=1,OR(NOT(ISNUMBER(X450)),NOT(ISNUMBER(Y450)))),"INVALID – expected/actual qty missing",IF(AND(AR450=1,OR(X450&lt;=0,Y450&lt;0)),"INVALID – expected qty must be above 0 and actual not negative",IF(AH443="N/A – JUSTIFIED","INVALID – preparation row F13-T12-06 is N/A",IF(AND(AR450=1,ISNUMBER(X443),X450&lt;&gt;X443,TRIM(U450)&lt;&gt;"Pass after CA"),"INVALID – expected qty differs from preparation check F13-T12-06: record the load change as a corrective action (Pass after CA)",IF(BB450&lt;&gt;"",BB450,IF(AND(AS450=1,Documents!$J$17&lt;&gt;"ON FILE"),"INVALID – GLD not on file (Documents sheet)",IF(AND(AS450=2,Documents!$O$17&lt;&gt;"ON FILE"),"INVALID – menu checklist not on file (Documents sheet)",IF(AND(AS450=3,NOT(ISNUMBER(Flights!$AX$17))),"INVALID – enter carrying flight KUL departure (Flights AX)",IF(AND(AS450=3,OR(Flights!$AZ$17&gt;Flights!$AA$17,Flights!$AX$17&lt;Flights!$AA$17-3)),"INVALID – carrying flight (Flights AX) cannot arrive before this leg's STD, or is over 3 days early",IF(AG450&gt;AsOfUTC,"INVALID – completion time is in the future",IF(AND(ISNUMBER(BY450),AG450&lt;BY450),IF(H450="Physical uplift","INVALID – before uplift window (cannot confirm loading)","INVALID – before valid window"),IF(AG450&gt;Flights!$AA$17,"INVALID – completed after departure (cannot establish readiness)",IF(AND(H450="Preparation",AG450&gt;=IF(ISNUMBER(Flights!$BA$17),MIN(Flights!$BA$17,Flights!$AA$17),Flights!$AA$17)),"INVALID – completed after loading / departure (cannot establish readiness)",IF(AND(H450="Physical uplift",AG450&gt;Q450),"INVALID – recorded after the loading flight departed",IF(AG450&gt;Q450,"COMPLETE – LATE","COMPLETE"))))))))))))))))))))))))))),IF(TRIM(U450)="Fail","FAIL – DISCREPANCY",IF(AND(TRIM(U450)&lt;&gt;"",TRIM(U450)&lt;&gt;"Not started",TRIM(U450)&lt;&gt;"In progress"),"INVALID – unrecognised status (use the list)",IF(AsOfUTC&gt;Q450,"OVERDUE",IF(N450="Clarification required","OPEN – CLARIFICATION","OPEN"))))))),"INVALID – error value in an input cell")</f>
        <v>OPEN</v>
      </c>
      <c r="AI450" s="61" t="n">
        <f aca="false">IF(OR(AH450="N/A – RULE",AH450="N/A – JUSTIFIED"),0,1)</f>
        <v>1</v>
      </c>
      <c r="AJ450" s="61" t="n">
        <f aca="false">IF(LEFT(AH450,8)="COMPLETE",1,0)</f>
        <v>0</v>
      </c>
      <c r="AK450" s="61" t="n">
        <f aca="false">IF(AND(AI450=1,AJ450=0,AsOfUTC&gt;Q450),1,0)</f>
        <v>0</v>
      </c>
      <c r="AL450" s="61" t="n">
        <f aca="false">IFERROR(IF(AND(AI450=1,OR(TRIM(U450)="Fail",AND(TRIM(AB450)&lt;&gt;"",TRIM(AB450)&lt;&gt;"Closed"),AND(ISNUMBER(AF450),AF450&lt;&gt;0,TRIM(U450)&lt;&gt;"Pass after CA"))),1,0),1)</f>
        <v>0</v>
      </c>
      <c r="AM450" s="61" t="n">
        <f aca="false">IF(LEFT(AH450,7)="INVALID",1,0)</f>
        <v>0</v>
      </c>
      <c r="AN450" s="61" t="n">
        <f aca="false">IF(AND(N450="Clarification required",AI450=1,AJ450=0),1,0)</f>
        <v>0</v>
      </c>
      <c r="AO450" s="61" t="str">
        <f aca="false">IF(AK450=1,SUM(AK$5:AK450),"")</f>
        <v/>
      </c>
      <c r="AP450" s="61" t="str">
        <f aca="false">IF(AL450=1,SUM(AL$5:AL450),"")</f>
        <v/>
      </c>
      <c r="AQ450" s="61" t="n">
        <v>0</v>
      </c>
      <c r="AR450" s="61" t="n">
        <v>1</v>
      </c>
      <c r="AS450" s="61" t="n">
        <v>0</v>
      </c>
      <c r="AT450" s="61" t="n">
        <v>0</v>
      </c>
      <c r="AU450" s="61" t="str">
        <f aca="false">SUBSTITUTE(SUBSTITUTE(SUBSTITUTE(SUBSTITUTE(SUBSTITUTE(SUBSTITUTE(SUBSTITUTE(SUBSTITUTE(SUBSTITUTE(SUBSTITUTE(SUBSTITUTE(SUBSTITUTE(SUBSTITUTE(SUBSTITUTE(SUBSTITUTE(SUBSTITUTE(LOWER(T450&amp;""),CHAR(10),""),CHAR(13),""),CHAR(9),""),CHAR(160),"")," ",""),".",""),"-",""),"/",""),"?",""),"_",""),",",""),"[",""),"]",""),"(",""),")",""),"*","")</f>
        <v/>
      </c>
      <c r="AV450" s="61" t="str">
        <f aca="false">SUBSTITUTE(SUBSTITUTE(SUBSTITUTE(SUBSTITUTE(SUBSTITUTE(SUBSTITUTE(SUBSTITUTE(SUBSTITUTE(SUBSTITUTE(SUBSTITUTE(SUBSTITUTE(SUBSTITUTE(SUBSTITUTE(SUBSTITUTE(SUBSTITUTE(SUBSTITUTE(LOWER(V450&amp;""),CHAR(10),""),CHAR(13),""),CHAR(9),""),CHAR(160),"")," ",""),".",""),"-",""),"/",""),"?",""),"_",""),",",""),"[",""),"]",""),"(",""),")",""),"*","")</f>
        <v/>
      </c>
      <c r="AW450" s="61" t="str">
        <f aca="false">SUBSTITUTE(SUBSTITUTE(SUBSTITUTE(SUBSTITUTE(SUBSTITUTE(SUBSTITUTE(SUBSTITUTE(SUBSTITUTE(SUBSTITUTE(SUBSTITUTE(SUBSTITUTE(SUBSTITUTE(SUBSTITUTE(SUBSTITUTE(SUBSTITUTE(SUBSTITUTE(LOWER(Z450&amp;""),CHAR(10),""),CHAR(13),""),CHAR(9),""),CHAR(160),"")," ",""),".",""),"-",""),"/",""),"?",""),"_",""),",",""),"[",""),"]",""),"(",""),")",""),"*","")</f>
        <v/>
      </c>
      <c r="AX450" s="61" t="str">
        <f aca="false">SUBSTITUTE(SUBSTITUTE(SUBSTITUTE(SUBSTITUTE(SUBSTITUTE(SUBSTITUTE(SUBSTITUTE(SUBSTITUTE(SUBSTITUTE(SUBSTITUTE(SUBSTITUTE(SUBSTITUTE(SUBSTITUTE(SUBSTITUTE(SUBSTITUTE(SUBSTITUTE(LOWER(AE450&amp;""),CHAR(10),""),CHAR(13),""),CHAR(9),""),CHAR(160),"")," ",""),".",""),"-",""),"/",""),"?",""),"_",""),",",""),"[",""),"]",""),"(",""),")",""),"*","")</f>
        <v/>
      </c>
      <c r="AY450" s="61" t="str">
        <f aca="false">SUBSTITUTE(SUBSTITUTE(SUBSTITUTE(SUBSTITUTE(SUBSTITUTE(SUBSTITUTE(SUBSTITUTE(SUBSTITUTE(SUBSTITUTE(SUBSTITUTE(SUBSTITUTE(SUBSTITUTE(SUBSTITUTE(SUBSTITUTE(SUBSTITUTE(SUBSTITUTE(LOWER(W450&amp;""),CHAR(10),""),CHAR(13),""),CHAR(9),""),CHAR(160),"")," ",""),".",""),"-",""),"/",""),"?",""),"_",""),",",""),"[",""),"]",""),"(",""),")",""),"*","")</f>
        <v/>
      </c>
      <c r="AZ450" s="61" t="str">
        <f aca="false">SUBSTITUTE(SUBSTITUTE(SUBSTITUTE(SUBSTITUTE(SUBSTITUTE(SUBSTITUTE(SUBSTITUTE(SUBSTITUTE(SUBSTITUTE(SUBSTITUTE(SUBSTITUTE(SUBSTITUTE(SUBSTITUTE(SUBSTITUTE(SUBSTITUTE(SUBSTITUTE(LOWER(AC450&amp;""),CHAR(10),""),CHAR(13),""),CHAR(9),""),CHAR(160),"")," ",""),".",""),"-",""),"/",""),"?",""),"_",""),",",""),"[",""),"]",""),"(",""),")",""),"*","")</f>
        <v/>
      </c>
      <c r="BA450" s="61" t="str">
        <f aca="false">SUBSTITUTE(SUBSTITUTE(SUBSTITUTE(SUBSTITUTE(SUBSTITUTE(SUBSTITUTE(SUBSTITUTE(SUBSTITUTE(SUBSTITUTE(SUBSTITUTE(SUBSTITUTE(SUBSTITUTE(SUBSTITUTE(SUBSTITUTE(SUBSTITUTE(SUBSTITUTE(LOWER(AA450&amp;""),CHAR(10),""),CHAR(13),""),CHAR(9),""),CHAR(160),"")," ",""),".",""),"-",""),"/",""),"?",""),"_",""),",",""),"[",""),"]",""),"(",""),")",""),"*","")</f>
        <v/>
      </c>
      <c r="BB450" s="61" t="str">
        <f aca="false">IF(AND(TRIM(U450)="Pass",ISNUMBER(AF450)),IF(AF450&lt;&gt;0,"INVALID – qty variance: use Fail or Pass after CA",""),"")&amp;IF(AND(TRIM(U450)="Pass after CA",ISNUMBER(AF450)),IF(AF450&lt;&gt;0,"INVALID – after the corrective action the actual qty must equal expected (update Actual)",""),"")&amp;IF(AND(TRIM(U450)="Pass",TRIM(AB450)&lt;&gt;"",TRIM(AB450)&lt;&gt;"Closed"),"INVALID – corrective action not closed: use Fail, then Pass after CA","")&amp;IF(AND(LEN(BA450)&gt;=2,ISNA(MATCH(LEFT(BA450,255),L_Placeholder,0)),TRIM(AB450)=""),"INVALID – CA status missing for the recorded corrective action","")&amp;IF(AND(TRIM(U450)="Pass after CA",OR(OR(LEN(BA450)&lt;5,ISNUMBER(MATCH(BA450,L_Placeholder,0))),TRIM(AB450)&lt;&gt;"Closed")),"INVALID – corrective action not recorded/closed","")</f>
        <v/>
      </c>
      <c r="BC450" s="61" t="str">
        <f aca="false">" "&amp;TRIM(SUBSTITUTE(SUBSTITUTE(SUBSTITUTE(SUBSTITUTE(SUBSTITUTE(SUBSTITUTE(SUBSTITUTE(SUBSTITUTE(SUBSTITUTE(SUBSTITUTE(SUBSTITUTE(SUBSTITUTE(SUBSTITUTE(SUBSTITUTE(SUBSTITUTE(SUBSTITUTE(SUBSTITUTE(SUBSTITUTE(SUBSTITUTE(SUBSTITUTE(SUBSTITUTE(SUBSTITUTE(SUBSTITUTE(SUBSTITUTE(LOWER(V450&amp;""),CHAR(10)," "),CHAR(13)," "),CHAR(9)," "),CHAR(160)," "),"."," "),","," "),"-"," "),"/"," "),"("," "),")"," "),":"," "),";"," "),"_"," "),"–"," "),"?"," "),"!"," "),"*"," "),"["," "),"]"," "),"'"," "),"#"," "),"+"," "),"&amp;"," "),"\"," "))&amp;" "</f>
        <v>  </v>
      </c>
      <c r="BD450" s="61" t="str">
        <f aca="false">" "&amp;TRIM(SUBSTITUTE(SUBSTITUTE(SUBSTITUTE(SUBSTITUTE(SUBSTITUTE(SUBSTITUTE(SUBSTITUTE(SUBSTITUTE(SUBSTITUTE(SUBSTITUTE(SUBSTITUTE(SUBSTITUTE(SUBSTITUTE(SUBSTITUTE(SUBSTITUTE(SUBSTITUTE(SUBSTITUTE(SUBSTITUTE(SUBSTITUTE(SUBSTITUTE(SUBSTITUTE(SUBSTITUTE(SUBSTITUTE(SUBSTITUTE(LOWER(Z450&amp;""),CHAR(10)," "),CHAR(13)," "),CHAR(9)," "),CHAR(160)," "),"."," "),","," "),"-"," "),"/"," "),"("," "),")"," "),":"," "),";"," "),"_"," "),"–"," "),"?"," "),"!"," "),"*"," "),"["," "),"]"," "),"'"," "),"#"," "),"+"," "),"&amp;"," "),"\"," "))&amp;" "</f>
        <v>  </v>
      </c>
      <c r="BE450" s="61" t="str">
        <f aca="false">" "&amp;TRIM(SUBSTITUTE(SUBSTITUTE(SUBSTITUTE(SUBSTITUTE(SUBSTITUTE(SUBSTITUTE(SUBSTITUTE(SUBSTITUTE(SUBSTITUTE(SUBSTITUTE(SUBSTITUTE(SUBSTITUTE(SUBSTITUTE(SUBSTITUTE(SUBSTITUTE(SUBSTITUTE(SUBSTITUTE(SUBSTITUTE(SUBSTITUTE(SUBSTITUTE(SUBSTITUTE(SUBSTITUTE(SUBSTITUTE(SUBSTITUTE(LOWER(W450&amp;""),CHAR(10)," "),CHAR(13)," "),CHAR(9)," "),CHAR(160)," "),"."," "),","," "),"-"," "),"/"," "),"("," "),")"," "),":"," "),";"," "),"_"," "),"–"," "),"?"," "),"!"," "),"*"," "),"["," "),"]"," "),"'"," "),"#"," "),"+"," "),"&amp;"," "),"\"," "))&amp;" "</f>
        <v>  </v>
      </c>
      <c r="BF450" s="61" t="str">
        <f aca="false">" "&amp;TRIM(SUBSTITUTE(SUBSTITUTE(SUBSTITUTE(SUBSTITUTE(SUBSTITUTE(SUBSTITUTE(SUBSTITUTE(SUBSTITUTE(SUBSTITUTE(SUBSTITUTE(SUBSTITUTE(SUBSTITUTE(SUBSTITUTE(SUBSTITUTE(SUBSTITUTE(SUBSTITUTE(SUBSTITUTE(SUBSTITUTE(SUBSTITUTE(SUBSTITUTE(SUBSTITUTE(SUBSTITUTE(SUBSTITUTE(SUBSTITUTE(LOWER(AC450&amp;""),CHAR(10)," "),CHAR(13)," "),CHAR(9)," "),CHAR(160)," "),"."," "),","," "),"-"," "),"/"," "),"("," "),")"," "),":"," "),";"," "),"_"," "),"–"," "),"?"," "),"!"," "),"*"," "),"["," "),"]"," "),"'"," "),"#"," "),"+"," "),"&amp;"," "),"\"," "))&amp;" "</f>
        <v>  </v>
      </c>
      <c r="BG450" s="61" t="n">
        <f aca="false">IFERROR(IF(AND(TRIM(U450)="Pass",SUMPRODUCT((LEN(BC450)-LEN(SUBSTITUTE(BC450," "&amp;L_ResultBad&amp;" "," ")))/(LEN(L_ResultBad)+1))&gt;SUMPRODUCT((LEN(BC450)-LEN(SUBSTITUTE(BC450," "&amp;L_NegPhrase&amp;" "," ")))/(LEN(L_NegPhrase)+1))),1,0),0)</f>
        <v>0</v>
      </c>
      <c r="BH450" s="61" t="n">
        <f aca="false">IFERROR(IF(SUMPRODUCT((LEN(BC450)-LEN(SUBSTITUTE(BC450," "&amp;L_Pending&amp;" "," ")))/(LEN(L_Pending)+1))&gt;SUMPRODUCT((LEN(BC450)-LEN(SUBSTITUTE(BC450," "&amp;L_PendNeg&amp;" "," ")))/(LEN(L_PendNeg)+1)),1,0),1)</f>
        <v>0</v>
      </c>
      <c r="BI450" s="61" t="n">
        <f aca="false">IFERROR(IF(SUMPRODUCT((LEN(BD450)-LEN(SUBSTITUTE(BD450," "&amp;L_PendStrict&amp;" "," ")))/(LEN(L_PendStrict)+1))&gt;SUMPRODUCT((LEN(BD450)-LEN(SUBSTITUTE(BD450," "&amp;L_PendNeg&amp;" "," ")))/(LEN(L_PendNeg)+1)),1,0),1)</f>
        <v>0</v>
      </c>
      <c r="BJ450" s="61" t="n">
        <f aca="false">IFERROR(IF(SUMPRODUCT((LEN(BE450)-LEN(SUBSTITUTE(BE450," "&amp;L_Pending&amp;" "," ")))/(LEN(L_Pending)+1))&gt;SUMPRODUCT((LEN(BE450)-LEN(SUBSTITUTE(BE450," "&amp;L_PendNeg&amp;" "," ")))/(LEN(L_PendNeg)+1)),1,0),1)</f>
        <v>0</v>
      </c>
      <c r="BK450" s="61" t="n">
        <f aca="false">IFERROR(IF(SUMPRODUCT((LEN(BF450)-LEN(SUBSTITUTE(BF450," "&amp;L_PendStrict&amp;" "," ")))/(LEN(L_PendStrict)+1))&gt;SUMPRODUCT((LEN(BF450)-LEN(SUBSTITUTE(BF450," "&amp;L_PendNeg&amp;" "," ")))/(LEN(L_PendNeg)+1)),1,0),1)</f>
        <v>0</v>
      </c>
      <c r="BL450" s="61" t="n">
        <f aca="false">IF(ISNA(MATCH(TRIM(S450),L_EvidenceType,0)),0,BZ450)</f>
        <v>0</v>
      </c>
      <c r="BM450" s="61" t="str">
        <f aca="false">SUBSTITUTE(SUBSTITUTE(SUBSTITUTE(SUBSTITUTE(SUBSTITUTE(SUBSTITUTE(SUBSTITUTE(SUBSTITUTE(SUBSTITUTE(LOWER(Z450&amp;""),"1","0"),"2","0"),"3","0"),"4","0"),"5","0"),"6","0"),"7","0"),"8","0"),"9","0")</f>
        <v/>
      </c>
      <c r="BN450" s="61" t="str">
        <f aca="false">SUBSTITUTE(SUBSTITUTE(SUBSTITUTE(SUBSTITUTE(SUBSTITUTE(SUBSTITUTE(SUBSTITUTE(SUBSTITUTE(SUBSTITUTE(SUBSTITUTE(SUBSTITUTE(SUBSTITUTE(SUBSTITUTE(SUBSTITUTE(SUBSTITUTE(SUBSTITUTE(SUBSTITUTE(SUBSTITUTE(SUBSTITUTE(SUBSTITUTE(SUBSTITUTE(SUBSTITUTE(SUBSTITUTE(SUBSTITUTE(SUBSTITUTE(BM450,"b","a"),"c","a"),"d","a"),"e","a"),"f","a"),"g","a"),"h","a"),"i","a"),"j","a"),"k","a"),"l","a"),"m","a"),"n","a"),"o","a"),"p","a"),"q","a"),"r","a"),"s","a"),"t","a"),"u","a"),"v","a"),"w","a"),"x","a"),"y","a"),"z","a")</f>
        <v/>
      </c>
      <c r="BO450" s="61" t="str">
        <f aca="false">SUBSTITUTE(SUBSTITUTE(SUBSTITUTE(SUBSTITUTE(SUBSTITUTE(SUBSTITUTE(SUBSTITUTE(SUBSTITUTE(SUBSTITUTE(LOWER(W450&amp;""),"1","0"),"2","0"),"3","0"),"4","0"),"5","0"),"6","0"),"7","0"),"8","0"),"9","0")</f>
        <v/>
      </c>
      <c r="BP450" s="61" t="str">
        <f aca="false">SUBSTITUTE(SUBSTITUTE(SUBSTITUTE(SUBSTITUTE(SUBSTITUTE(SUBSTITUTE(SUBSTITUTE(SUBSTITUTE(SUBSTITUTE(SUBSTITUTE(SUBSTITUTE(SUBSTITUTE(SUBSTITUTE(SUBSTITUTE(SUBSTITUTE(SUBSTITUTE(SUBSTITUTE(SUBSTITUTE(SUBSTITUTE(SUBSTITUTE(SUBSTITUTE(SUBSTITUTE(SUBSTITUTE(SUBSTITUTE(SUBSTITUTE(BO450,"b","a"),"c","a"),"d","a"),"e","a"),"f","a"),"g","a"),"h","a"),"i","a"),"j","a"),"k","a"),"l","a"),"m","a"),"n","a"),"o","a"),"p","a"),"q","a"),"r","a"),"s","a"),"t","a"),"u","a"),"v","a"),"w","a"),"x","a"),"y","a"),"z","a")</f>
        <v/>
      </c>
      <c r="BQ450" s="61" t="n">
        <f aca="false">IFERROR(IF(AND(ISERROR(SEARCH(" mh"," "&amp;LOWER(W450))),ISNA(MATCH(LEFT(TRIM(BP450),255),{"0000a","000a","00a","0000aa","000aa","00aa","0aa","0000aaa","000aaa","00a00","0a00","0000-0000","00:00","a00","a0","00.00.0000","00/00/0000","00-00-0000","0000-00-00","0000/00/00","0000.00.00","00.00.00","00/00/00","00-00-00","0.00.0000","0/00/0000","0-00-0000"},0)),ISNA(MATCH(LEFT(TRIM(CA450),255),{"0000a","000a","00a","0000aa","000aa","00aa","0aa","0000aaa","000aaa","00a00","0a00","0000-0000","00:00","a00","a0","00.00.0000","00/00/0000","00-00-0000","0000-00-00","0000/00/00","0000.00.00","00.00.00","00/00/00","00-00-00","0.00.0000","0/00/0000","0-00-0000"},0)),LEN(CB450)&gt;=3,NOT(OR(SUBSTITUTE(CB450,"0","")="",AND(LEN(CB450)&gt;=4,CB450=REPT(LEFT(CB450),LEN(CB450))),ISNUMBER(MATCH(CB450,{"123","1234","12345","123456","1234567","12345678","0123","01234","012345","98765","987654","54321"},0)),AND(LEN(CB450)=8,LEFT(CB450,3)="202"))),OR(AND((LEN(CA450)-LEN(SUBSTITUTE(CA450,"a","")))&gt;=1,SUMPRODUCT(--ISNUMBER(SEARCH({"a0","a-0","a_0","a/0","a.0","a#0","0a","0-a","0_a","0/a"},BP450)))&gt;0),ISNUMBER(SEARCH("000000",BP450)))),1,0),0)</f>
        <v>0</v>
      </c>
      <c r="BR450" s="61" t="n">
        <f aca="false">IFERROR(LEN(SUBSTITUTE(CC450," ",""))-SUMPRODUCT((LEN(CC450)-LEN(SUBSTITUTE(CC450," "&amp;L_Role&amp;" "," ")))/(LEN(L_Role)+1)*LEN(L_Role)),0)</f>
        <v>0</v>
      </c>
      <c r="BS450" s="61" t="n">
        <f aca="false">IFERROR(LEN(SUBSTITUTE(CD450," ",""))-SUMPRODUCT((LEN(CD450)-LEN(SUBSTITUTE(CD450," "&amp;L_Role&amp;" "," ")))/(LEN(L_Role)+1)*LEN(L_Role)),0)</f>
        <v>0</v>
      </c>
      <c r="BT4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450,"revision",""),"version",""),"jan",""),"feb",""),"mar",""),"apr",""),"may",""),"jun",""),"jul",""),"aug",""),"sep",""),"oct",""),"nov",""),"dec",""),"utc",""),"gmt",""),"myt",""),"bst",""),"rev",""),"ver",""),"b","a"),"c","a"),"d","a"),"e","a"),"f","a"),"g","a"),"h","a"),"i","a"),"j","a"),"k","a"),"l","a"),"m","a"),"n","a"),"o","a"),"p","a"),"q","a"),"r","a"),"s","a"),"t","a"),"u","a"),"v","a"),"w","a"),"x","a"),"y","a"),"z","a")</f>
        <v/>
      </c>
      <c r="BU450" s="61" t="str">
        <f aca="false">SUBSTITUTE(SUBSTITUTE(SUBSTITUTE(SUBSTITUTE(SUBSTITUTE(SUBSTITUTE(SUBSTITUTE(SUBSTITUTE(SUBSTITUTE(SUBSTITUTE(LEFT(BM450,FIND("0",BM450&amp;"0")-1),"-",""),"_",""),"/",""),".",""),"#",""),"\\",""),":","")," ",""),"(",""),")","")</f>
        <v/>
      </c>
      <c r="BV450" s="61" t="n">
        <f aca="false">IFERROR(IF(OR(SUMPRODUCT((LEN(BC450)-LEN(SUBSTITUTE(BC450," "&amp;L_NotLoaded&amp;" "," ")))/(LEN(L_NotLoaded)+1))&gt;SUMPRODUCT((LEN(BC450)-LEN(SUBSTITUTE(BC450," "&amp;L_NotLoadedNeg&amp;" "," ")))/(LEN(L_NotLoadedNeg)+1)),SUMPRODUCT((LEN(BD450)-LEN(SUBSTITUTE(BD450," "&amp;L_NotLoaded&amp;" "," ")))/(LEN(L_NotLoaded)+1))&gt;SUMPRODUCT((LEN(BD450)-LEN(SUBSTITUTE(BD450," "&amp;L_NotLoadedNeg&amp;" "," ")))/(LEN(L_NotLoadedNeg)+1))),1,0),0)</f>
        <v>0</v>
      </c>
      <c r="BW4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450&amp;""),"a",""),"b",""),"c",""),"d",""),"e",""),"f",""),"g",""),"h",""),"i",""),"j",""),"k",""),"l",""),"m",""),"n",""),"o",""),"p",""),"q",""),"r",""),"s",""),"t",""),"u",""),"v",""),"w",""),"x",""),"y",""),"z",""),"-",""),"_",""),"/",""),".",""),"#",""),"\\",""),":","")," ",""),"(",""),")","")</f>
        <v/>
      </c>
      <c r="BX450" s="61" t="str">
        <f aca="false">SUBSTITUTE(SUBSTITUTE(SUBSTITUTE(SUBSTITUTE(SUBSTITUTE(SUBSTITUTE(SUBSTITUTE(SUBSTITUTE(SUBSTITUTE(SUBSTITUTE(SUBSTITUTE(BM450,"0",""),"-",""),"_",""),"/",""),".",""),"#",""),"\\",""),":","")," ",""),"(",""),")","")</f>
        <v/>
      </c>
      <c r="BY450" s="62" t="n">
        <f aca="false">IF(ISNUMBER(Flights!$AZ$17),MAX(Q450-UpliftWindowH/24,Flights!$AZ$17),Q450-UpliftWindowH/24)</f>
        <v>46308.7604166667</v>
      </c>
      <c r="BZ450" s="61" t="n">
        <f aca="false">IFERROR(IF(IF(TRIM(S450)="Link / file path",AND(LEN(TRIM(Z450))&gt;=5,SUMPRODUCT(--ISNUMBER(SEARCH({"http","www.","\\",":\",".pdf",".jpg",".jpeg",".png",".heic",".xls",".doc",".msg",".eml",".ppt",".txt",".zip"},Z450)))&gt;0),AND(ISERROR(FIND(" ",TRIM(Z450))),NOT(OR(SUMPRODUCT(--ISNUMBER(FIND({",",";","&amp;","+"},Z450)))&gt;0,SUMPRODUCT(--ISNUMBER(SEARCH({"0/aa","0\\aa"},BN450)))&gt;0)),NOT(SUMPRODUCT(--ISNUMBER(SEARCH({"http","www.","\\",":\",".pdf",".jpg",".jpeg",".png",".heic",".xls",".doc",".msg",".eml",".ppt",".txt",".zip"},Z450)))&gt;0),NOT(LOWER(TRIM(Z450))=LOWER(Flights!$F$17)),ISNA(MATCH(BU450,{"mh","rev","revision","ver","version","v","r","a","b","seat","tray","row","gate","bay","stand","page","pg","item","line","no","cart","galley","flight","flt","table","box","bag","oven","etd","eta","std","sta","atd","ata","qty","pax","x","time","tel","ph","mob","day","wk","week","utc","gmt","myt","lt"},0)),NOT(OR(ISNUMBER(MATCH(LEFT(BN450,255),{"0000a","000a","00a","0000aa","000aa","00aa","0aa","0000aaa","000aaa","00a00","0a00","0000-0000","00:00","a00","a0","00.00.0000","00/00/0000","00-00-0000","0000-00-00","0000/00/00","0000.00.00","00.00.00","00/00/00","00-00-00","0.00.0000","0/00/0000","0-00-0000"},0)),ISNUMBER(MATCH(LEFT(BT450,255),{"0000a","000a","00a","0000aa","000aa","00aa","0aa","0000aaa","000aaa","00a00","0a00","0000-0000","00:00","a00","a0","00.00.0000","00/00/0000","00-00-0000","0000-00-00","0000/00/00","0000.00.00","00.00.00","00/00/00","00-00-00","0.00.0000","0/00/0000","0-00-0000"},0)))),NOT(OR(AND(BW450&lt;&gt;"",SUBSTITUTE(BW450,"0","")=""),AND(LEN(BW450)&gt;=4,BW450=REPT(LEFT(BW450),LEN(BW450))),ISNUMBER(MATCH(BW450,{"123","1234","12345","123456","1234567","12345678","0123","01234","012345","98765","987654","54321"},0)),ISNUMBER(MATCH(BX450,{"x","xx","xxx","xxxx","xxxxx","abc","abcd","nil","na","nan","test","tbc","tba","tbd","dummy","sample","example","eg","zz","zzz","none","null","xyz","qwe","asd","id","ref"},0)),AND(LEN(BW450)=8,BX450="",OR(LEFT(BW450,3)="202",ISNUMBER(MATCH(RIGHT(BW450,4),{"2025","2026","2027"},0)))))),OR(AND((LEN(BT450)-LEN(SUBSTITUTE(BT450,"a","")))&gt;=1,(LEN(BN450)-LEN(SUBSTITUTE(BN450,"0","")))&gt;=2,SUMPRODUCT(--ISNUMBER(SEARCH({"a0","a-0","a_0","a/0","a.0","a#0","0a","0-a","0_a","0/a"},BN450)))&gt;0),AND((LEN(BN450)-LEN(SUBSTITUTE(BN450,"a","")))=0,(LEN(BN450)-LEN(SUBSTITUTE(BN450,"0","")))&gt;=5)))),1,0),0)</f>
        <v>0</v>
      </c>
      <c r="CA4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450,"revision",""),"version",""),"jan",""),"feb",""),"mar",""),"apr",""),"may",""),"jun",""),"jul",""),"aug",""),"sep",""),"oct",""),"nov",""),"dec",""),"utc",""),"gmt",""),"myt",""),"bst",""),"rev",""),"ver",""),"b","a"),"c","a"),"d","a"),"e","a"),"f","a"),"g","a"),"h","a"),"i","a"),"j","a"),"k","a"),"l","a"),"m","a"),"n","a"),"o","a"),"p","a"),"q","a"),"r","a"),"s","a"),"t","a"),"u","a"),"v","a"),"w","a"),"x","a"),"y","a"),"z","a")</f>
        <v/>
      </c>
      <c r="CB4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450&amp;""),"a",""),"b",""),"c",""),"d",""),"e",""),"f",""),"g",""),"h",""),"i",""),"j",""),"k",""),"l",""),"m",""),"n",""),"o",""),"p",""),"q",""),"r",""),"s",""),"t",""),"u",""),"v",""),"w",""),"x",""),"y",""),"z",""),"-",""),"_",""),"/",""),".",""),"#",""),"\\",""),":","")," ",""),"(",""),")","")</f>
        <v/>
      </c>
      <c r="CC450" s="0" t="str">
        <f aca="false">" "&amp;TRIM(SUBSTITUTE(SUBSTITUTE(SUBSTITUTE(SUBSTITUTE(SUBSTITUTE(SUBSTITUTE(SUBSTITUTE(SUBSTITUTE(SUBSTITUTE(SUBSTITUTE(SUBSTITUTE(SUBSTITUTE(SUBSTITUTE(SUBSTITUTE(SUBSTITUTE(SUBSTITUTE(SUBSTITUTE(SUBSTITUTE(SUBSTITUTE(SUBSTITUTE(SUBSTITUTE(SUBSTITUTE(SUBSTITUTE(SUBSTITUTE(LOWER(T450&amp;""),CHAR(10)," "),CHAR(13)," "),CHAR(9)," "),CHAR(160)," "),"."," "),","," "),"-"," "),"/"," "),"("," "),")"," "),":"," "),";"," "),"_"," "),"–"," "),"?"," "),"!"," "),"*"," "),"["," "),"]"," "),"'"," "),"#"," "),"+"," "),"&amp;"," "),"\"," "))&amp;" "</f>
        <v>  </v>
      </c>
      <c r="CD450" s="0" t="str">
        <f aca="false">" "&amp;TRIM(SUBSTITUTE(SUBSTITUTE(SUBSTITUTE(SUBSTITUTE(SUBSTITUTE(SUBSTITUTE(SUBSTITUTE(SUBSTITUTE(SUBSTITUTE(SUBSTITUTE(SUBSTITUTE(SUBSTITUTE(SUBSTITUTE(SUBSTITUTE(SUBSTITUTE(SUBSTITUTE(SUBSTITUTE(SUBSTITUTE(SUBSTITUTE(SUBSTITUTE(SUBSTITUTE(SUBSTITUTE(SUBSTITUTE(SUBSTITUTE(LOWER(AE450&amp;""),CHAR(10)," "),CHAR(13)," "),CHAR(9)," "),CHAR(160)," "),"."," "),","," "),"-"," "),"/"," "),"("," "),")"," "),":"," "),";"," "),"_"," "),"–"," "),"?"," "),"!"," "),"*"," "),"["," "),"]"," "),"'"," "),"#"," "),"+"," "),"&amp;"," "),"\"," "))&amp;" "</f>
        <v>  </v>
      </c>
      <c r="CE450" s="68" t="n">
        <f aca="false">IFERROR(IF(AND(LEN(AU450)&gt;0,LEN(AU450)=LEN(AX450),OR(TRIM(MID(SUBSTITUTE(TRIM(CC450)," ",REPT(" ",60)),1,60))="",ISNUMBER(SEARCH(" "&amp;TRIM(MID(SUBSTITUTE(TRIM(CC450)," ",REPT(" ",60)),1,60))&amp;" ",CD450))),OR(TRIM(MID(SUBSTITUTE(TRIM(CC450)," ",REPT(" ",60)),61,60))="",ISNUMBER(SEARCH(" "&amp;TRIM(MID(SUBSTITUTE(TRIM(CC450)," ",REPT(" ",60)),61,60))&amp;" ",CD450))),OR(TRIM(MID(SUBSTITUTE(TRIM(CC450)," ",REPT(" ",60)),121,60))="",ISNUMBER(SEARCH(" "&amp;TRIM(MID(SUBSTITUTE(TRIM(CC450)," ",REPT(" ",60)),121,60))&amp;" ",CD450)))),1,0),0)</f>
        <v>0</v>
      </c>
      <c r="CG450" s="68" t="n">
        <f aca="false">IFERROR(LEN(SUBSTITUTE(BF450," ",""))-SUMPRODUCT((LEN(BF450)-LEN(SUBSTITUTE(BF450," "&amp;L_NAFiller&amp;" "," ")))/(LEN(L_NAFiller)+1)*LEN(L_NAFiller)),0)</f>
        <v>0</v>
      </c>
    </row>
    <row r="451" customFormat="false" ht="41.25" hidden="false" customHeight="true" outlineLevel="0" collapsed="false">
      <c r="A451" s="57" t="s">
        <v>1095</v>
      </c>
      <c r="B451" s="57" t="s">
        <v>272</v>
      </c>
      <c r="C451" s="57" t="str">
        <f aca="false">Flights!$F$17</f>
        <v>MH0138</v>
      </c>
      <c r="D451" s="58" t="n">
        <f aca="false">Flights!$D$17</f>
        <v>46309</v>
      </c>
      <c r="E451" s="57" t="str">
        <f aca="false">Flights!$G$17&amp;"-"&amp;Flights!$H$17</f>
        <v>ADL-KUL</v>
      </c>
      <c r="F451" s="57" t="str">
        <f aca="false">Flights!$K$17</f>
        <v>EY</v>
      </c>
      <c r="G451" s="57" t="s">
        <v>459</v>
      </c>
      <c r="H451" s="57" t="s">
        <v>460</v>
      </c>
      <c r="I451" s="57" t="s">
        <v>411</v>
      </c>
      <c r="J451" s="57" t="s">
        <v>1096</v>
      </c>
      <c r="K451" s="67" t="s">
        <v>698</v>
      </c>
      <c r="L451" s="67" t="s">
        <v>699</v>
      </c>
      <c r="M451" s="67"/>
      <c r="N451" s="67" t="s">
        <v>383</v>
      </c>
      <c r="O451" s="67" t="s">
        <v>700</v>
      </c>
      <c r="P451" s="57" t="s">
        <v>187</v>
      </c>
      <c r="Q451" s="59" t="n">
        <f aca="false">ROUND((Flights!$AY$17+UpliftWindowH/24)*1440,0)/1440</f>
        <v>46307.6006944444</v>
      </c>
      <c r="R451" s="59" t="n">
        <f aca="false">Q451+(IF(AND(INDEX(TZ_DSTS,MATCH(P451,TZ_STN,0))&lt;&gt;"",Q451&gt;=INDEX(TZ_DSTS,MATCH(P451,TZ_STN,0)),Q451&lt;INDEX(TZ_DSTE,MATCH(P451,TZ_STN,0))),INDEX(TZ_DST,MATCH(P451,TZ_STN,0)),INDEX(TZ_STD,MATCH(P451,TZ_STN,0))))/24</f>
        <v>46307.9340277778</v>
      </c>
      <c r="S451" s="60"/>
      <c r="T451" s="60"/>
      <c r="U451" s="60"/>
      <c r="V451" s="60"/>
      <c r="W451" s="61"/>
      <c r="X451" s="60"/>
      <c r="Y451" s="60"/>
      <c r="Z451" s="60"/>
      <c r="AA451" s="60"/>
      <c r="AB451" s="60"/>
      <c r="AC451" s="60"/>
      <c r="AD451" s="66"/>
      <c r="AE451" s="60"/>
      <c r="AF451" s="61" t="str">
        <f aca="false">IF(AND(ISNUMBER(X451),ISNUMBER(Y451)),Y451-X451,"")</f>
        <v/>
      </c>
      <c r="AG451" s="62" t="str">
        <f aca="false">IF(ISNUMBER(AD451),AD451-(IF(AND(INDEX(TZ_DSTS,MATCH(P451,TZ_STN,0))&lt;&gt;"",(AD451-INDEX(TZ_STD,MATCH(P451,TZ_STN,0))/24)&gt;=INDEX(TZ_DSTS,MATCH(P451,TZ_STN,0)),(AD451-INDEX(TZ_STD,MATCH(P451,TZ_STN,0))/24)&lt;INDEX(TZ_DSTE,MATCH(P451,TZ_STN,0))),INDEX(TZ_DST,MATCH(P451,TZ_STN,0)),INDEX(TZ_STD,MATCH(P451,TZ_STN,0))))/24,"")</f>
        <v/>
      </c>
      <c r="AH451" s="65" t="str">
        <f aca="false">IFERROR(IF(N451="N/A – rule",IF(OR(TRIM(U451)="",TRIM(U451)="N/A",TRIM(U451)="Not started"),"N/A – RULE","INVALID – this check does not apply to this aircraft: clear the status (or correct the fleet on Flights)"),IF(TRIM(U451)="N/A",IF(AT451=0,"INVALID – N/A not permitted for this check",IF(AND(TRIM(AB451)&lt;&gt;"",TRIM(AB451)&lt;&gt;"Closed"),"INVALID – corrective action still open",IF(AND(NOT(OR(LEN(AZ451)&lt;15,ISNUMBER(MATCH(AZ451,L_Placeholder,0)))),BK451=0,CG451&gt;=8,NOT(OR(LEN(AU451)&lt;2,ISNUMBER(MATCH(AU451,L_Placeholder,0)))),BR451&gt;=3,NOT(OR(LEN(AX451)&lt;2,ISNUMBER(MATCH(AX451,L_Placeholder,0)))),BS451&gt;=3,TRIM(AE451)&lt;&gt;TRIM(T451),AX451&lt;&gt;AU451,CE451=0),"N/A – JUSTIFIED","INVALID – N/A needs a real, settled reason (not 'not applicable' / 'as above' / TBC), a named PIC and a different named verifier"))),IF(OR(TRIM(U451)="Pass",TRIM(U451)="Pass after CA"),IF(NOT(ISNUMBER(AD451)),"INVALID – completion time missing",IF(OR(OR(LEN(AU451)&lt;2,ISNUMBER(MATCH(AU451,L_Placeholder,0))),BR451&lt;3),"INVALID – PIC missing or not a named person (a role such as QA / CSM is not a name)",IF(OR(LEN(AV451)&lt;2,ISNUMBER(MATCH(AV451,L_Placeholder,0))),"INVALID – result / assessment missing",IF(OR(OR(LEN(AW451)&lt;3,ISNUMBER(MATCH(AW451,L_Placeholder,0))),SUMPRODUCT(--ISNUMBER(SEARCH(" "&amp;L_EvidencePhrase&amp;" ",BD451)))&gt;0,BI451=1),"INVALID – evidence missing, placeholder or not yet on file",IF(ISNA(MATCH(TRIM(S451),L_EvidenceType,0)),"INVALID – choose the evidence type from the list (column S)",IF(BL451=0,"INVALID – evidence ID must be the record's own ID only (e.g. SF-2210, IMG_2231, 1045521); a link / file name needs type 'Link / file path'",IF(OR(OR(LEN(AX451)&lt;2,ISNUMBER(MATCH(AX451,L_Placeholder,0))),BS451&lt;3),"INVALID – verifier missing or not a named person (a role such as QA / CSM is not a name)",IF(OR(AX451=AU451,CE451=1,AND(LEN(AU451)&gt;=4,ISNUMBER(SEARCH(AU451,AX451))),AND(LEN(AX451)&gt;=4,ISNUMBER(SEARCH(AX451,AU451)))),"INVALID – verifier must be a different, named person (not the PIC or a role)",IF(BH451=1,"INVALID – result not yet available (awaiting / TBC)",IF(BG451=1,"INVALID – result describes a problem: record Fail, then Pass after CA (or reword if it is not a problem)",IF(BV451=1,"INVALID – wording says not on board: an on-board confirmation needs the item loaded",IF(AND(AQ451=1,OR(OR(LEN(AY451)&lt;3,ISNUMBER(MATCH(AY451,L_Placeholder,0))),BJ451=1,BQ451=0)),"INVALID – batch ID missing, placeholder or not an ID (e.g. PASB-261008-BC-017)",IF(AND(AR451=1,OR(NOT(ISNUMBER(X451)),NOT(ISNUMBER(Y451)))),"INVALID – expected/actual qty missing",IF(AND(AR451=1,OR(X451&lt;=0,Y451&lt;0)),"INVALID – expected qty must be above 0 and actual not negative",IF(BB451&lt;&gt;"",BB451,IF(AND(AS451=1,Documents!$J$17&lt;&gt;"ON FILE"),"INVALID – GLD not on file (Documents sheet)",IF(AND(AS451=2,Documents!$O$17&lt;&gt;"ON FILE"),"INVALID – menu checklist not on file (Documents sheet)",IF(AND(AS451=3,NOT(ISNUMBER(Flights!$AX$17))),"INVALID – enter carrying flight KUL departure (Flights AX)",IF(AND(AS451=3,OR(Flights!$AZ$17&gt;Flights!$AA$17,Flights!$AX$17&lt;Flights!$AA$17-3)),"INVALID – carrying flight (Flights AX) cannot arrive before this leg's STD, or is over 3 days early",IF(AG451&gt;AsOfUTC,"INVALID – completion time is in the future",IF(AND(ISNUMBER(BY451),AG451&lt;BY451),IF(H451="Physical uplift","INVALID – before uplift window (cannot confirm loading)","INVALID – before valid window"),IF(AG451&gt;Flights!$AA$17,"INVALID – completed after departure (cannot establish readiness)",IF(AND(H451="Preparation",AG451&gt;=Flights!$AY$17+UpliftWindowH/24),"INVALID – completed after the carrying flight left KUL",IF(AND(H451="Physical uplift",AG451&gt;Q451),"INVALID – recorded after the loading flight departed",IF(AG451&gt;Q451,"COMPLETE – LATE","COMPLETE"))))))))))))))))))))))))),IF(TRIM(U451)="Fail","FAIL – DISCREPANCY",IF(AND(TRIM(U451)&lt;&gt;"",TRIM(U451)&lt;&gt;"Not started",TRIM(U451)&lt;&gt;"In progress"),"INVALID – unrecognised status (use the list)",IF(AsOfUTC&gt;Q451,"OVERDUE",IF(N451="Clarification required","OPEN – CLARIFICATION","OPEN"))))))),"INVALID – error value in an input cell")</f>
        <v>OPEN</v>
      </c>
      <c r="AI451" s="61" t="n">
        <f aca="false">IF(OR(AH451="N/A – RULE",AH451="N/A – JUSTIFIED"),0,1)</f>
        <v>1</v>
      </c>
      <c r="AJ451" s="61" t="n">
        <f aca="false">IF(LEFT(AH451,8)="COMPLETE",1,0)</f>
        <v>0</v>
      </c>
      <c r="AK451" s="61" t="n">
        <f aca="false">IF(AND(AI451=1,AJ451=0,AsOfUTC&gt;Q451),1,0)</f>
        <v>0</v>
      </c>
      <c r="AL451" s="61" t="n">
        <f aca="false">IFERROR(IF(AND(AI451=1,OR(TRIM(U451)="Fail",AND(TRIM(AB451)&lt;&gt;"",TRIM(AB451)&lt;&gt;"Closed"),AND(ISNUMBER(AF451),AF451&lt;&gt;0,TRIM(U451)&lt;&gt;"Pass after CA"))),1,0),1)</f>
        <v>0</v>
      </c>
      <c r="AM451" s="61" t="n">
        <f aca="false">IF(LEFT(AH451,7)="INVALID",1,0)</f>
        <v>0</v>
      </c>
      <c r="AN451" s="61" t="n">
        <f aca="false">IF(AND(N451="Clarification required",AI451=1,AJ451=0),1,0)</f>
        <v>0</v>
      </c>
      <c r="AO451" s="61" t="str">
        <f aca="false">IF(AK451=1,SUM(AK$5:AK451),"")</f>
        <v/>
      </c>
      <c r="AP451" s="61" t="str">
        <f aca="false">IF(AL451=1,SUM(AL$5:AL451),"")</f>
        <v/>
      </c>
      <c r="AQ451" s="61" t="n">
        <v>0</v>
      </c>
      <c r="AR451" s="61" t="n">
        <v>0</v>
      </c>
      <c r="AS451" s="61" t="n">
        <v>0</v>
      </c>
      <c r="AT451" s="61" t="n">
        <v>0</v>
      </c>
      <c r="AU451" s="61" t="str">
        <f aca="false">SUBSTITUTE(SUBSTITUTE(SUBSTITUTE(SUBSTITUTE(SUBSTITUTE(SUBSTITUTE(SUBSTITUTE(SUBSTITUTE(SUBSTITUTE(SUBSTITUTE(SUBSTITUTE(SUBSTITUTE(SUBSTITUTE(SUBSTITUTE(SUBSTITUTE(SUBSTITUTE(LOWER(T451&amp;""),CHAR(10),""),CHAR(13),""),CHAR(9),""),CHAR(160),"")," ",""),".",""),"-",""),"/",""),"?",""),"_",""),",",""),"[",""),"]",""),"(",""),")",""),"*","")</f>
        <v/>
      </c>
      <c r="AV451" s="61" t="str">
        <f aca="false">SUBSTITUTE(SUBSTITUTE(SUBSTITUTE(SUBSTITUTE(SUBSTITUTE(SUBSTITUTE(SUBSTITUTE(SUBSTITUTE(SUBSTITUTE(SUBSTITUTE(SUBSTITUTE(SUBSTITUTE(SUBSTITUTE(SUBSTITUTE(SUBSTITUTE(SUBSTITUTE(LOWER(V451&amp;""),CHAR(10),""),CHAR(13),""),CHAR(9),""),CHAR(160),"")," ",""),".",""),"-",""),"/",""),"?",""),"_",""),",",""),"[",""),"]",""),"(",""),")",""),"*","")</f>
        <v/>
      </c>
      <c r="AW451" s="61" t="str">
        <f aca="false">SUBSTITUTE(SUBSTITUTE(SUBSTITUTE(SUBSTITUTE(SUBSTITUTE(SUBSTITUTE(SUBSTITUTE(SUBSTITUTE(SUBSTITUTE(SUBSTITUTE(SUBSTITUTE(SUBSTITUTE(SUBSTITUTE(SUBSTITUTE(SUBSTITUTE(SUBSTITUTE(LOWER(Z451&amp;""),CHAR(10),""),CHAR(13),""),CHAR(9),""),CHAR(160),"")," ",""),".",""),"-",""),"/",""),"?",""),"_",""),",",""),"[",""),"]",""),"(",""),")",""),"*","")</f>
        <v/>
      </c>
      <c r="AX451" s="61" t="str">
        <f aca="false">SUBSTITUTE(SUBSTITUTE(SUBSTITUTE(SUBSTITUTE(SUBSTITUTE(SUBSTITUTE(SUBSTITUTE(SUBSTITUTE(SUBSTITUTE(SUBSTITUTE(SUBSTITUTE(SUBSTITUTE(SUBSTITUTE(SUBSTITUTE(SUBSTITUTE(SUBSTITUTE(LOWER(AE451&amp;""),CHAR(10),""),CHAR(13),""),CHAR(9),""),CHAR(160),"")," ",""),".",""),"-",""),"/",""),"?",""),"_",""),",",""),"[",""),"]",""),"(",""),")",""),"*","")</f>
        <v/>
      </c>
      <c r="AY451" s="61" t="str">
        <f aca="false">SUBSTITUTE(SUBSTITUTE(SUBSTITUTE(SUBSTITUTE(SUBSTITUTE(SUBSTITUTE(SUBSTITUTE(SUBSTITUTE(SUBSTITUTE(SUBSTITUTE(SUBSTITUTE(SUBSTITUTE(SUBSTITUTE(SUBSTITUTE(SUBSTITUTE(SUBSTITUTE(LOWER(W451&amp;""),CHAR(10),""),CHAR(13),""),CHAR(9),""),CHAR(160),"")," ",""),".",""),"-",""),"/",""),"?",""),"_",""),",",""),"[",""),"]",""),"(",""),")",""),"*","")</f>
        <v/>
      </c>
      <c r="AZ451" s="61" t="str">
        <f aca="false">SUBSTITUTE(SUBSTITUTE(SUBSTITUTE(SUBSTITUTE(SUBSTITUTE(SUBSTITUTE(SUBSTITUTE(SUBSTITUTE(SUBSTITUTE(SUBSTITUTE(SUBSTITUTE(SUBSTITUTE(SUBSTITUTE(SUBSTITUTE(SUBSTITUTE(SUBSTITUTE(LOWER(AC451&amp;""),CHAR(10),""),CHAR(13),""),CHAR(9),""),CHAR(160),"")," ",""),".",""),"-",""),"/",""),"?",""),"_",""),",",""),"[",""),"]",""),"(",""),")",""),"*","")</f>
        <v/>
      </c>
      <c r="BA451" s="61" t="str">
        <f aca="false">SUBSTITUTE(SUBSTITUTE(SUBSTITUTE(SUBSTITUTE(SUBSTITUTE(SUBSTITUTE(SUBSTITUTE(SUBSTITUTE(SUBSTITUTE(SUBSTITUTE(SUBSTITUTE(SUBSTITUTE(SUBSTITUTE(SUBSTITUTE(SUBSTITUTE(SUBSTITUTE(LOWER(AA451&amp;""),CHAR(10),""),CHAR(13),""),CHAR(9),""),CHAR(160),"")," ",""),".",""),"-",""),"/",""),"?",""),"_",""),",",""),"[",""),"]",""),"(",""),")",""),"*","")</f>
        <v/>
      </c>
      <c r="BB451" s="61" t="str">
        <f aca="false">IF(AND(TRIM(U451)="Pass",ISNUMBER(AF451)),IF(AF451&lt;&gt;0,"INVALID – qty variance: use Fail or Pass after CA",""),"")&amp;IF(AND(TRIM(U451)="Pass after CA",ISNUMBER(AF451)),IF(AF451&lt;&gt;0,"INVALID – after the corrective action the actual qty must equal expected (update Actual)",""),"")&amp;IF(AND(TRIM(U451)="Pass",TRIM(AB451)&lt;&gt;"",TRIM(AB451)&lt;&gt;"Closed"),"INVALID – corrective action not closed: use Fail, then Pass after CA","")&amp;IF(AND(LEN(BA451)&gt;=2,ISNA(MATCH(LEFT(BA451,255),L_Placeholder,0)),TRIM(AB451)=""),"INVALID – CA status missing for the recorded corrective action","")&amp;IF(AND(TRIM(U451)="Pass after CA",OR(OR(LEN(BA451)&lt;5,ISNUMBER(MATCH(BA451,L_Placeholder,0))),TRIM(AB451)&lt;&gt;"Closed")),"INVALID – corrective action not recorded/closed","")</f>
        <v/>
      </c>
      <c r="BC451" s="61" t="str">
        <f aca="false">" "&amp;TRIM(SUBSTITUTE(SUBSTITUTE(SUBSTITUTE(SUBSTITUTE(SUBSTITUTE(SUBSTITUTE(SUBSTITUTE(SUBSTITUTE(SUBSTITUTE(SUBSTITUTE(SUBSTITUTE(SUBSTITUTE(SUBSTITUTE(SUBSTITUTE(SUBSTITUTE(SUBSTITUTE(SUBSTITUTE(SUBSTITUTE(SUBSTITUTE(SUBSTITUTE(SUBSTITUTE(SUBSTITUTE(SUBSTITUTE(SUBSTITUTE(LOWER(V451&amp;""),CHAR(10)," "),CHAR(13)," "),CHAR(9)," "),CHAR(160)," "),"."," "),","," "),"-"," "),"/"," "),"("," "),")"," "),":"," "),";"," "),"_"," "),"–"," "),"?"," "),"!"," "),"*"," "),"["," "),"]"," "),"'"," "),"#"," "),"+"," "),"&amp;"," "),"\"," "))&amp;" "</f>
        <v>  </v>
      </c>
      <c r="BD451" s="61" t="str">
        <f aca="false">" "&amp;TRIM(SUBSTITUTE(SUBSTITUTE(SUBSTITUTE(SUBSTITUTE(SUBSTITUTE(SUBSTITUTE(SUBSTITUTE(SUBSTITUTE(SUBSTITUTE(SUBSTITUTE(SUBSTITUTE(SUBSTITUTE(SUBSTITUTE(SUBSTITUTE(SUBSTITUTE(SUBSTITUTE(SUBSTITUTE(SUBSTITUTE(SUBSTITUTE(SUBSTITUTE(SUBSTITUTE(SUBSTITUTE(SUBSTITUTE(SUBSTITUTE(LOWER(Z451&amp;""),CHAR(10)," "),CHAR(13)," "),CHAR(9)," "),CHAR(160)," "),"."," "),","," "),"-"," "),"/"," "),"("," "),")"," "),":"," "),";"," "),"_"," "),"–"," "),"?"," "),"!"," "),"*"," "),"["," "),"]"," "),"'"," "),"#"," "),"+"," "),"&amp;"," "),"\"," "))&amp;" "</f>
        <v>  </v>
      </c>
      <c r="BE451" s="61" t="str">
        <f aca="false">" "&amp;TRIM(SUBSTITUTE(SUBSTITUTE(SUBSTITUTE(SUBSTITUTE(SUBSTITUTE(SUBSTITUTE(SUBSTITUTE(SUBSTITUTE(SUBSTITUTE(SUBSTITUTE(SUBSTITUTE(SUBSTITUTE(SUBSTITUTE(SUBSTITUTE(SUBSTITUTE(SUBSTITUTE(SUBSTITUTE(SUBSTITUTE(SUBSTITUTE(SUBSTITUTE(SUBSTITUTE(SUBSTITUTE(SUBSTITUTE(SUBSTITUTE(LOWER(W451&amp;""),CHAR(10)," "),CHAR(13)," "),CHAR(9)," "),CHAR(160)," "),"."," "),","," "),"-"," "),"/"," "),"("," "),")"," "),":"," "),";"," "),"_"," "),"–"," "),"?"," "),"!"," "),"*"," "),"["," "),"]"," "),"'"," "),"#"," "),"+"," "),"&amp;"," "),"\"," "))&amp;" "</f>
        <v>  </v>
      </c>
      <c r="BF451" s="61" t="str">
        <f aca="false">" "&amp;TRIM(SUBSTITUTE(SUBSTITUTE(SUBSTITUTE(SUBSTITUTE(SUBSTITUTE(SUBSTITUTE(SUBSTITUTE(SUBSTITUTE(SUBSTITUTE(SUBSTITUTE(SUBSTITUTE(SUBSTITUTE(SUBSTITUTE(SUBSTITUTE(SUBSTITUTE(SUBSTITUTE(SUBSTITUTE(SUBSTITUTE(SUBSTITUTE(SUBSTITUTE(SUBSTITUTE(SUBSTITUTE(SUBSTITUTE(SUBSTITUTE(LOWER(AC451&amp;""),CHAR(10)," "),CHAR(13)," "),CHAR(9)," "),CHAR(160)," "),"."," "),","," "),"-"," "),"/"," "),"("," "),")"," "),":"," "),";"," "),"_"," "),"–"," "),"?"," "),"!"," "),"*"," "),"["," "),"]"," "),"'"," "),"#"," "),"+"," "),"&amp;"," "),"\"," "))&amp;" "</f>
        <v>  </v>
      </c>
      <c r="BG451" s="61" t="n">
        <f aca="false">IFERROR(IF(AND(TRIM(U451)="Pass",SUMPRODUCT((LEN(BC451)-LEN(SUBSTITUTE(BC451," "&amp;L_ResultBad&amp;" "," ")))/(LEN(L_ResultBad)+1))&gt;SUMPRODUCT((LEN(BC451)-LEN(SUBSTITUTE(BC451," "&amp;L_NegPhrase&amp;" "," ")))/(LEN(L_NegPhrase)+1))),1,0),0)</f>
        <v>0</v>
      </c>
      <c r="BH451" s="61" t="n">
        <f aca="false">IFERROR(IF(SUMPRODUCT((LEN(BC451)-LEN(SUBSTITUTE(BC451," "&amp;L_Pending&amp;" "," ")))/(LEN(L_Pending)+1))&gt;SUMPRODUCT((LEN(BC451)-LEN(SUBSTITUTE(BC451," "&amp;L_PendNeg&amp;" "," ")))/(LEN(L_PendNeg)+1)),1,0),1)</f>
        <v>0</v>
      </c>
      <c r="BI451" s="61" t="n">
        <f aca="false">IFERROR(IF(SUMPRODUCT((LEN(BD451)-LEN(SUBSTITUTE(BD451," "&amp;L_PendStrict&amp;" "," ")))/(LEN(L_PendStrict)+1))&gt;SUMPRODUCT((LEN(BD451)-LEN(SUBSTITUTE(BD451," "&amp;L_PendNeg&amp;" "," ")))/(LEN(L_PendNeg)+1)),1,0),1)</f>
        <v>0</v>
      </c>
      <c r="BJ451" s="61" t="n">
        <f aca="false">IFERROR(IF(SUMPRODUCT((LEN(BE451)-LEN(SUBSTITUTE(BE451," "&amp;L_Pending&amp;" "," ")))/(LEN(L_Pending)+1))&gt;SUMPRODUCT((LEN(BE451)-LEN(SUBSTITUTE(BE451," "&amp;L_PendNeg&amp;" "," ")))/(LEN(L_PendNeg)+1)),1,0),1)</f>
        <v>0</v>
      </c>
      <c r="BK451" s="61" t="n">
        <f aca="false">IFERROR(IF(SUMPRODUCT((LEN(BF451)-LEN(SUBSTITUTE(BF451," "&amp;L_PendStrict&amp;" "," ")))/(LEN(L_PendStrict)+1))&gt;SUMPRODUCT((LEN(BF451)-LEN(SUBSTITUTE(BF451," "&amp;L_PendNeg&amp;" "," ")))/(LEN(L_PendNeg)+1)),1,0),1)</f>
        <v>0</v>
      </c>
      <c r="BL451" s="61" t="n">
        <f aca="false">IF(ISNA(MATCH(TRIM(S451),L_EvidenceType,0)),0,BZ451)</f>
        <v>0</v>
      </c>
      <c r="BM451" s="61" t="str">
        <f aca="false">SUBSTITUTE(SUBSTITUTE(SUBSTITUTE(SUBSTITUTE(SUBSTITUTE(SUBSTITUTE(SUBSTITUTE(SUBSTITUTE(SUBSTITUTE(LOWER(Z451&amp;""),"1","0"),"2","0"),"3","0"),"4","0"),"5","0"),"6","0"),"7","0"),"8","0"),"9","0")</f>
        <v/>
      </c>
      <c r="BN451" s="61" t="str">
        <f aca="false">SUBSTITUTE(SUBSTITUTE(SUBSTITUTE(SUBSTITUTE(SUBSTITUTE(SUBSTITUTE(SUBSTITUTE(SUBSTITUTE(SUBSTITUTE(SUBSTITUTE(SUBSTITUTE(SUBSTITUTE(SUBSTITUTE(SUBSTITUTE(SUBSTITUTE(SUBSTITUTE(SUBSTITUTE(SUBSTITUTE(SUBSTITUTE(SUBSTITUTE(SUBSTITUTE(SUBSTITUTE(SUBSTITUTE(SUBSTITUTE(SUBSTITUTE(BM451,"b","a"),"c","a"),"d","a"),"e","a"),"f","a"),"g","a"),"h","a"),"i","a"),"j","a"),"k","a"),"l","a"),"m","a"),"n","a"),"o","a"),"p","a"),"q","a"),"r","a"),"s","a"),"t","a"),"u","a"),"v","a"),"w","a"),"x","a"),"y","a"),"z","a")</f>
        <v/>
      </c>
      <c r="BO451" s="61" t="str">
        <f aca="false">SUBSTITUTE(SUBSTITUTE(SUBSTITUTE(SUBSTITUTE(SUBSTITUTE(SUBSTITUTE(SUBSTITUTE(SUBSTITUTE(SUBSTITUTE(LOWER(W451&amp;""),"1","0"),"2","0"),"3","0"),"4","0"),"5","0"),"6","0"),"7","0"),"8","0"),"9","0")</f>
        <v/>
      </c>
      <c r="BP451" s="61" t="str">
        <f aca="false">SUBSTITUTE(SUBSTITUTE(SUBSTITUTE(SUBSTITUTE(SUBSTITUTE(SUBSTITUTE(SUBSTITUTE(SUBSTITUTE(SUBSTITUTE(SUBSTITUTE(SUBSTITUTE(SUBSTITUTE(SUBSTITUTE(SUBSTITUTE(SUBSTITUTE(SUBSTITUTE(SUBSTITUTE(SUBSTITUTE(SUBSTITUTE(SUBSTITUTE(SUBSTITUTE(SUBSTITUTE(SUBSTITUTE(SUBSTITUTE(SUBSTITUTE(BO451,"b","a"),"c","a"),"d","a"),"e","a"),"f","a"),"g","a"),"h","a"),"i","a"),"j","a"),"k","a"),"l","a"),"m","a"),"n","a"),"o","a"),"p","a"),"q","a"),"r","a"),"s","a"),"t","a"),"u","a"),"v","a"),"w","a"),"x","a"),"y","a"),"z","a")</f>
        <v/>
      </c>
      <c r="BQ451" s="61" t="n">
        <f aca="false">IFERROR(IF(AND(ISERROR(SEARCH(" mh"," "&amp;LOWER(W451))),ISNA(MATCH(LEFT(TRIM(BP451),255),{"0000a","000a","00a","0000aa","000aa","00aa","0aa","0000aaa","000aaa","00a00","0a00","0000-0000","00:00","a00","a0","00.00.0000","00/00/0000","00-00-0000","0000-00-00","0000/00/00","0000.00.00","00.00.00","00/00/00","00-00-00","0.00.0000","0/00/0000","0-00-0000"},0)),ISNA(MATCH(LEFT(TRIM(CA451),255),{"0000a","000a","00a","0000aa","000aa","00aa","0aa","0000aaa","000aaa","00a00","0a00","0000-0000","00:00","a00","a0","00.00.0000","00/00/0000","00-00-0000","0000-00-00","0000/00/00","0000.00.00","00.00.00","00/00/00","00-00-00","0.00.0000","0/00/0000","0-00-0000"},0)),LEN(CB451)&gt;=3,NOT(OR(SUBSTITUTE(CB451,"0","")="",AND(LEN(CB451)&gt;=4,CB451=REPT(LEFT(CB451),LEN(CB451))),ISNUMBER(MATCH(CB451,{"123","1234","12345","123456","1234567","12345678","0123","01234","012345","98765","987654","54321"},0)),AND(LEN(CB451)=8,LEFT(CB451,3)="202"))),OR(AND((LEN(CA451)-LEN(SUBSTITUTE(CA451,"a","")))&gt;=1,SUMPRODUCT(--ISNUMBER(SEARCH({"a0","a-0","a_0","a/0","a.0","a#0","0a","0-a","0_a","0/a"},BP451)))&gt;0),ISNUMBER(SEARCH("000000",BP451)))),1,0),0)</f>
        <v>0</v>
      </c>
      <c r="BR451" s="61" t="n">
        <f aca="false">IFERROR(LEN(SUBSTITUTE(CC451," ",""))-SUMPRODUCT((LEN(CC451)-LEN(SUBSTITUTE(CC451," "&amp;L_Role&amp;" "," ")))/(LEN(L_Role)+1)*LEN(L_Role)),0)</f>
        <v>0</v>
      </c>
      <c r="BS451" s="61" t="n">
        <f aca="false">IFERROR(LEN(SUBSTITUTE(CD451," ",""))-SUMPRODUCT((LEN(CD451)-LEN(SUBSTITUTE(CD451," "&amp;L_Role&amp;" "," ")))/(LEN(L_Role)+1)*LEN(L_Role)),0)</f>
        <v>0</v>
      </c>
      <c r="BT4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451,"revision",""),"version",""),"jan",""),"feb",""),"mar",""),"apr",""),"may",""),"jun",""),"jul",""),"aug",""),"sep",""),"oct",""),"nov",""),"dec",""),"utc",""),"gmt",""),"myt",""),"bst",""),"rev",""),"ver",""),"b","a"),"c","a"),"d","a"),"e","a"),"f","a"),"g","a"),"h","a"),"i","a"),"j","a"),"k","a"),"l","a"),"m","a"),"n","a"),"o","a"),"p","a"),"q","a"),"r","a"),"s","a"),"t","a"),"u","a"),"v","a"),"w","a"),"x","a"),"y","a"),"z","a")</f>
        <v/>
      </c>
      <c r="BU451" s="61" t="str">
        <f aca="false">SUBSTITUTE(SUBSTITUTE(SUBSTITUTE(SUBSTITUTE(SUBSTITUTE(SUBSTITUTE(SUBSTITUTE(SUBSTITUTE(SUBSTITUTE(SUBSTITUTE(LEFT(BM451,FIND("0",BM451&amp;"0")-1),"-",""),"_",""),"/",""),".",""),"#",""),"\\",""),":","")," ",""),"(",""),")","")</f>
        <v/>
      </c>
      <c r="BV451" s="61" t="n">
        <f aca="false">IFERROR(IF(OR(SUMPRODUCT((LEN(BC451)-LEN(SUBSTITUTE(BC451," "&amp;L_NotLoaded&amp;" "," ")))/(LEN(L_NotLoaded)+1))&gt;SUMPRODUCT((LEN(BC451)-LEN(SUBSTITUTE(BC451," "&amp;L_NotLoadedNeg&amp;" "," ")))/(LEN(L_NotLoadedNeg)+1)),SUMPRODUCT((LEN(BD451)-LEN(SUBSTITUTE(BD451," "&amp;L_NotLoaded&amp;" "," ")))/(LEN(L_NotLoaded)+1))&gt;SUMPRODUCT((LEN(BD451)-LEN(SUBSTITUTE(BD451," "&amp;L_NotLoadedNeg&amp;" "," ")))/(LEN(L_NotLoadedNeg)+1))),1,0),0)</f>
        <v>0</v>
      </c>
      <c r="BW4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451&amp;""),"a",""),"b",""),"c",""),"d",""),"e",""),"f",""),"g",""),"h",""),"i",""),"j",""),"k",""),"l",""),"m",""),"n",""),"o",""),"p",""),"q",""),"r",""),"s",""),"t",""),"u",""),"v",""),"w",""),"x",""),"y",""),"z",""),"-",""),"_",""),"/",""),".",""),"#",""),"\\",""),":","")," ",""),"(",""),")","")</f>
        <v/>
      </c>
      <c r="BX451" s="61" t="str">
        <f aca="false">SUBSTITUTE(SUBSTITUTE(SUBSTITUTE(SUBSTITUTE(SUBSTITUTE(SUBSTITUTE(SUBSTITUTE(SUBSTITUTE(SUBSTITUTE(SUBSTITUTE(SUBSTITUTE(BM451,"0",""),"-",""),"_",""),"/",""),".",""),"#",""),"\\",""),":","")," ",""),"(",""),")","")</f>
        <v/>
      </c>
      <c r="BY451" s="62" t="n">
        <f aca="false">Q451-UpliftWindowH/24</f>
        <v>46307.3506944444</v>
      </c>
      <c r="BZ451" s="61" t="n">
        <f aca="false">IFERROR(IF(IF(TRIM(S451)="Link / file path",AND(LEN(TRIM(Z451))&gt;=5,SUMPRODUCT(--ISNUMBER(SEARCH({"http","www.","\\",":\",".pdf",".jpg",".jpeg",".png",".heic",".xls",".doc",".msg",".eml",".ppt",".txt",".zip"},Z451)))&gt;0),AND(ISERROR(FIND(" ",TRIM(Z451))),NOT(OR(SUMPRODUCT(--ISNUMBER(FIND({",",";","&amp;","+"},Z451)))&gt;0,SUMPRODUCT(--ISNUMBER(SEARCH({"0/aa","0\\aa"},BN451)))&gt;0)),NOT(SUMPRODUCT(--ISNUMBER(SEARCH({"http","www.","\\",":\",".pdf",".jpg",".jpeg",".png",".heic",".xls",".doc",".msg",".eml",".ppt",".txt",".zip"},Z451)))&gt;0),NOT(LOWER(TRIM(Z451))=LOWER(Flights!$F$17)),ISNA(MATCH(BU451,{"mh","rev","revision","ver","version","v","r","a","b","seat","tray","row","gate","bay","stand","page","pg","item","line","no","cart","galley","flight","flt","table","box","bag","oven","etd","eta","std","sta","atd","ata","qty","pax","x","time","tel","ph","mob","day","wk","week","utc","gmt","myt","lt"},0)),NOT(OR(ISNUMBER(MATCH(LEFT(BN451,255),{"0000a","000a","00a","0000aa","000aa","00aa","0aa","0000aaa","000aaa","00a00","0a00","0000-0000","00:00","a00","a0","00.00.0000","00/00/0000","00-00-0000","0000-00-00","0000/00/00","0000.00.00","00.00.00","00/00/00","00-00-00","0.00.0000","0/00/0000","0-00-0000"},0)),ISNUMBER(MATCH(LEFT(BT451,255),{"0000a","000a","00a","0000aa","000aa","00aa","0aa","0000aaa","000aaa","00a00","0a00","0000-0000","00:00","a00","a0","00.00.0000","00/00/0000","00-00-0000","0000-00-00","0000/00/00","0000.00.00","00.00.00","00/00/00","00-00-00","0.00.0000","0/00/0000","0-00-0000"},0)))),NOT(OR(AND(BW451&lt;&gt;"",SUBSTITUTE(BW451,"0","")=""),AND(LEN(BW451)&gt;=4,BW451=REPT(LEFT(BW451),LEN(BW451))),ISNUMBER(MATCH(BW451,{"123","1234","12345","123456","1234567","12345678","0123","01234","012345","98765","987654","54321"},0)),ISNUMBER(MATCH(BX451,{"x","xx","xxx","xxxx","xxxxx","abc","abcd","nil","na","nan","test","tbc","tba","tbd","dummy","sample","example","eg","zz","zzz","none","null","xyz","qwe","asd","id","ref"},0)),AND(LEN(BW451)=8,BX451="",OR(LEFT(BW451,3)="202",ISNUMBER(MATCH(RIGHT(BW451,4),{"2025","2026","2027"},0)))))),OR(AND((LEN(BT451)-LEN(SUBSTITUTE(BT451,"a","")))&gt;=1,(LEN(BN451)-LEN(SUBSTITUTE(BN451,"0","")))&gt;=2,SUMPRODUCT(--ISNUMBER(SEARCH({"a0","a-0","a_0","a/0","a.0","a#0","0a","0-a","0_a","0/a"},BN451)))&gt;0),AND((LEN(BN451)-LEN(SUBSTITUTE(BN451,"a","")))=0,(LEN(BN451)-LEN(SUBSTITUTE(BN451,"0","")))&gt;=5)))),1,0),0)</f>
        <v>0</v>
      </c>
      <c r="CA4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451,"revision",""),"version",""),"jan",""),"feb",""),"mar",""),"apr",""),"may",""),"jun",""),"jul",""),"aug",""),"sep",""),"oct",""),"nov",""),"dec",""),"utc",""),"gmt",""),"myt",""),"bst",""),"rev",""),"ver",""),"b","a"),"c","a"),"d","a"),"e","a"),"f","a"),"g","a"),"h","a"),"i","a"),"j","a"),"k","a"),"l","a"),"m","a"),"n","a"),"o","a"),"p","a"),"q","a"),"r","a"),"s","a"),"t","a"),"u","a"),"v","a"),"w","a"),"x","a"),"y","a"),"z","a")</f>
        <v/>
      </c>
      <c r="CB4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451&amp;""),"a",""),"b",""),"c",""),"d",""),"e",""),"f",""),"g",""),"h",""),"i",""),"j",""),"k",""),"l",""),"m",""),"n",""),"o",""),"p",""),"q",""),"r",""),"s",""),"t",""),"u",""),"v",""),"w",""),"x",""),"y",""),"z",""),"-",""),"_",""),"/",""),".",""),"#",""),"\\",""),":","")," ",""),"(",""),")","")</f>
        <v/>
      </c>
      <c r="CC451" s="0" t="str">
        <f aca="false">" "&amp;TRIM(SUBSTITUTE(SUBSTITUTE(SUBSTITUTE(SUBSTITUTE(SUBSTITUTE(SUBSTITUTE(SUBSTITUTE(SUBSTITUTE(SUBSTITUTE(SUBSTITUTE(SUBSTITUTE(SUBSTITUTE(SUBSTITUTE(SUBSTITUTE(SUBSTITUTE(SUBSTITUTE(SUBSTITUTE(SUBSTITUTE(SUBSTITUTE(SUBSTITUTE(SUBSTITUTE(SUBSTITUTE(SUBSTITUTE(SUBSTITUTE(LOWER(T451&amp;""),CHAR(10)," "),CHAR(13)," "),CHAR(9)," "),CHAR(160)," "),"."," "),","," "),"-"," "),"/"," "),"("," "),")"," "),":"," "),";"," "),"_"," "),"–"," "),"?"," "),"!"," "),"*"," "),"["," "),"]"," "),"'"," "),"#"," "),"+"," "),"&amp;"," "),"\"," "))&amp;" "</f>
        <v>  </v>
      </c>
      <c r="CD451" s="0" t="str">
        <f aca="false">" "&amp;TRIM(SUBSTITUTE(SUBSTITUTE(SUBSTITUTE(SUBSTITUTE(SUBSTITUTE(SUBSTITUTE(SUBSTITUTE(SUBSTITUTE(SUBSTITUTE(SUBSTITUTE(SUBSTITUTE(SUBSTITUTE(SUBSTITUTE(SUBSTITUTE(SUBSTITUTE(SUBSTITUTE(SUBSTITUTE(SUBSTITUTE(SUBSTITUTE(SUBSTITUTE(SUBSTITUTE(SUBSTITUTE(SUBSTITUTE(SUBSTITUTE(LOWER(AE451&amp;""),CHAR(10)," "),CHAR(13)," "),CHAR(9)," "),CHAR(160)," "),"."," "),","," "),"-"," "),"/"," "),"("," "),")"," "),":"," "),";"," "),"_"," "),"–"," "),"?"," "),"!"," "),"*"," "),"["," "),"]"," "),"'"," "),"#"," "),"+"," "),"&amp;"," "),"\"," "))&amp;" "</f>
        <v>  </v>
      </c>
      <c r="CE451" s="68" t="n">
        <f aca="false">IFERROR(IF(AND(LEN(AU451)&gt;0,LEN(AU451)=LEN(AX451),OR(TRIM(MID(SUBSTITUTE(TRIM(CC451)," ",REPT(" ",60)),1,60))="",ISNUMBER(SEARCH(" "&amp;TRIM(MID(SUBSTITUTE(TRIM(CC451)," ",REPT(" ",60)),1,60))&amp;" ",CD451))),OR(TRIM(MID(SUBSTITUTE(TRIM(CC451)," ",REPT(" ",60)),61,60))="",ISNUMBER(SEARCH(" "&amp;TRIM(MID(SUBSTITUTE(TRIM(CC451)," ",REPT(" ",60)),61,60))&amp;" ",CD451))),OR(TRIM(MID(SUBSTITUTE(TRIM(CC451)," ",REPT(" ",60)),121,60))="",ISNUMBER(SEARCH(" "&amp;TRIM(MID(SUBSTITUTE(TRIM(CC451)," ",REPT(" ",60)),121,60))&amp;" ",CD451)))),1,0),0)</f>
        <v>0</v>
      </c>
      <c r="CG451" s="68" t="n">
        <f aca="false">IFERROR(LEN(SUBSTITUTE(BF451," ",""))-SUMPRODUCT((LEN(BF451)-LEN(SUBSTITUTE(BF451," "&amp;L_NAFiller&amp;" "," ")))/(LEN(L_NAFiller)+1)*LEN(L_NAFiller)),0)</f>
        <v>0</v>
      </c>
    </row>
    <row r="452" customFormat="false" ht="54" hidden="false" customHeight="true" outlineLevel="0" collapsed="false">
      <c r="A452" s="57" t="s">
        <v>1097</v>
      </c>
      <c r="B452" s="57" t="s">
        <v>272</v>
      </c>
      <c r="C452" s="57" t="str">
        <f aca="false">Flights!$F$17</f>
        <v>MH0138</v>
      </c>
      <c r="D452" s="58" t="n">
        <f aca="false">Flights!$D$17</f>
        <v>46309</v>
      </c>
      <c r="E452" s="57" t="str">
        <f aca="false">Flights!$G$17&amp;"-"&amp;Flights!$H$17</f>
        <v>ADL-KUL</v>
      </c>
      <c r="F452" s="57" t="str">
        <f aca="false">Flights!$K$17</f>
        <v>EY</v>
      </c>
      <c r="G452" s="57" t="s">
        <v>459</v>
      </c>
      <c r="H452" s="57" t="s">
        <v>460</v>
      </c>
      <c r="I452" s="57" t="s">
        <v>440</v>
      </c>
      <c r="J452" s="57" t="s">
        <v>467</v>
      </c>
      <c r="K452" s="67" t="s">
        <v>442</v>
      </c>
      <c r="L452" s="67" t="s">
        <v>1014</v>
      </c>
      <c r="M452" s="67" t="s">
        <v>187</v>
      </c>
      <c r="N452" s="67" t="s">
        <v>444</v>
      </c>
      <c r="O452" s="67" t="s">
        <v>445</v>
      </c>
      <c r="P452" s="57" t="s">
        <v>263</v>
      </c>
      <c r="Q452" s="59" t="n">
        <f aca="false">ROUND((Flights!$AF$17)*1440,0)/1440</f>
        <v>46309.0104166667</v>
      </c>
      <c r="R452" s="59" t="n">
        <f aca="false">Q452+(IF(AND(INDEX(TZ_DSTS,MATCH(P452,TZ_STN,0))&lt;&gt;"",Q452&gt;=INDEX(TZ_DSTS,MATCH(P452,TZ_STN,0)),Q452&lt;INDEX(TZ_DSTE,MATCH(P452,TZ_STN,0))),INDEX(TZ_DST,MATCH(P452,TZ_STN,0)),INDEX(TZ_STD,MATCH(P452,TZ_STN,0))))/24</f>
        <v>46309.4479166667</v>
      </c>
      <c r="S452" s="60"/>
      <c r="T452" s="60"/>
      <c r="U452" s="60"/>
      <c r="V452" s="60"/>
      <c r="W452" s="61"/>
      <c r="X452" s="60"/>
      <c r="Y452" s="60"/>
      <c r="Z452" s="60"/>
      <c r="AA452" s="60"/>
      <c r="AB452" s="60"/>
      <c r="AC452" s="60"/>
      <c r="AD452" s="66"/>
      <c r="AE452" s="60"/>
      <c r="AF452" s="61" t="str">
        <f aca="false">IF(AND(ISNUMBER(X452),ISNUMBER(Y452)),Y452-X452,"")</f>
        <v/>
      </c>
      <c r="AG452" s="62" t="str">
        <f aca="false">IF(ISNUMBER(AD452),AD452-(IF(AND(INDEX(TZ_DSTS,MATCH(P452,TZ_STN,0))&lt;&gt;"",(AD452-INDEX(TZ_STD,MATCH(P452,TZ_STN,0))/24)&gt;=INDEX(TZ_DSTS,MATCH(P452,TZ_STN,0)),(AD452-INDEX(TZ_STD,MATCH(P452,TZ_STN,0))/24)&lt;INDEX(TZ_DSTE,MATCH(P452,TZ_STN,0))),INDEX(TZ_DST,MATCH(P452,TZ_STN,0)),INDEX(TZ_STD,MATCH(P452,TZ_STN,0))))/24,"")</f>
        <v/>
      </c>
      <c r="AH452" s="65" t="str">
        <f aca="false">IFERROR(IF(N452="N/A – rule",IF(OR(TRIM(U452)="",TRIM(U452)="N/A",TRIM(U452)="Not started"),"N/A – RULE","INVALID – this check does not apply to this aircraft: clear the status (or correct the fleet on Flights)"),IF(TRIM(U452)="N/A",IF(AT452=0,"INVALID – N/A not permitted for this check",IF(AND(TRIM(AB452)&lt;&gt;"",TRIM(AB452)&lt;&gt;"Closed"),"INVALID – corrective action still open",IF(AND(NOT(OR(LEN(AZ452)&lt;15,ISNUMBER(MATCH(AZ452,L_Placeholder,0)))),BK452=0,CG452&gt;=8,NOT(OR(LEN(AU452)&lt;2,ISNUMBER(MATCH(AU452,L_Placeholder,0)))),BR452&gt;=3,NOT(OR(LEN(AX452)&lt;2,ISNUMBER(MATCH(AX452,L_Placeholder,0)))),BS452&gt;=3,TRIM(AE452)&lt;&gt;TRIM(T452),AX452&lt;&gt;AU452,CE452=0),"N/A – JUSTIFIED","INVALID – N/A needs a real, settled reason (not 'not applicable' / 'as above' / TBC), a named PIC and a different named verifier"))),IF(OR(TRIM(U452)="Pass",TRIM(U452)="Pass after CA"),IF(NOT(ISNUMBER(AD452)),"INVALID – completion time missing",IF(OR(OR(LEN(AU452)&lt;2,ISNUMBER(MATCH(AU452,L_Placeholder,0))),BR452&lt;3),"INVALID – PIC missing or not a named person (a role such as QA / CSM is not a name)",IF(OR(LEN(AV452)&lt;2,ISNUMBER(MATCH(AV452,L_Placeholder,0))),"INVALID – result / assessment missing",IF(OR(OR(LEN(AW452)&lt;3,ISNUMBER(MATCH(AW452,L_Placeholder,0))),SUMPRODUCT(--ISNUMBER(SEARCH(" "&amp;L_EvidencePhrase&amp;" ",BD452)))&gt;0,BI452=1),"INVALID – evidence missing, placeholder or not yet on file",IF(ISNA(MATCH(TRIM(S452),L_EvidenceType,0)),"INVALID – choose the evidence type from the list (column S)",IF(BL452=0,"INVALID – evidence ID must be the record's own ID only (e.g. SF-2210, IMG_2231, 1045521); a link / file name needs type 'Link / file path'",IF(OR(OR(LEN(AX452)&lt;2,ISNUMBER(MATCH(AX452,L_Placeholder,0))),BS452&lt;3),"INVALID – verifier missing or not a named person (a role such as QA / CSM is not a name)",IF(OR(AX452=AU452,CE452=1,AND(LEN(AU452)&gt;=4,ISNUMBER(SEARCH(AU452,AX452))),AND(LEN(AX452)&gt;=4,ISNUMBER(SEARCH(AX452,AU452)))),"INVALID – verifier must be a different, named person (not the PIC or a role)",IF(BH452=1,"INVALID – result not yet available (awaiting / TBC)",IF(BG452=1,"INVALID – result describes a problem: record Fail, then Pass after CA (or reword if it is not a problem)",IF(BV452=1,"INVALID – wording says not on board: an on-board confirmation needs the item loaded",IF(AND(AQ452=1,OR(OR(LEN(AY452)&lt;3,ISNUMBER(MATCH(AY452,L_Placeholder,0))),BJ452=1,BQ452=0)),"INVALID – batch ID missing, placeholder or not an ID (e.g. PASB-261008-BC-017)",IF(AND(AR452=1,OR(NOT(ISNUMBER(X452)),NOT(ISNUMBER(Y452)))),"INVALID – expected/actual qty missing",IF(AND(AR452=1,OR(X452&lt;=0,Y452&lt;0)),"INVALID – expected qty must be above 0 and actual not negative",IF(AH445="N/A – JUSTIFIED","INVALID – preparation row F13-T12-08 is N/A",IF(AND(AR452=1,ISNUMBER(X445),X452&lt;&gt;X445,TRIM(U452)&lt;&gt;"Pass after CA"),"INVALID – expected qty differs from preparation check F13-T12-08: record the load change as a corrective action (Pass after CA)",IF(BB452&lt;&gt;"",BB452,IF(AND(AS452=1,Documents!$J$17&lt;&gt;"ON FILE"),"INVALID – GLD not on file (Documents sheet)",IF(AND(AS452=2,Documents!$O$17&lt;&gt;"ON FILE"),"INVALID – menu checklist not on file (Documents sheet)",IF(AND(AS452=3,NOT(ISNUMBER(Flights!$AX$17))),"INVALID – enter carrying flight KUL departure (Flights AX)",IF(AND(AS452=3,OR(Flights!$AZ$17&gt;Flights!$AA$17,Flights!$AX$17&lt;Flights!$AA$17-3)),"INVALID – carrying flight (Flights AX) cannot arrive before this leg's STD, or is over 3 days early",IF(AG452&gt;AsOfUTC,"INVALID – completion time is in the future",IF(AND(ISNUMBER(BY452),AG452&lt;BY452),IF(H452="Physical uplift","INVALID – before uplift window (cannot confirm loading)","INVALID – before valid window"),IF(AG452&gt;Flights!$AA$17,"INVALID – completed after departure (cannot establish readiness)",IF(AND(H452="Preparation",AG452&gt;=IF(ISNUMBER(Flights!$BA$17),MIN(Flights!$BA$17,Flights!$AA$17),Flights!$AA$17)),"INVALID – completed after loading / departure (cannot establish readiness)",IF(AND(H452="Physical uplift",AG452&gt;Q452),"INVALID – recorded after the loading flight departed",IF(AG452&gt;Q452,"COMPLETE – LATE","COMPLETE"))))))))))))))))))))))))))),IF(TRIM(U452)="Fail","FAIL – DISCREPANCY",IF(AND(TRIM(U452)&lt;&gt;"",TRIM(U452)&lt;&gt;"Not started",TRIM(U452)&lt;&gt;"In progress"),"INVALID – unrecognised status (use the list)",IF(AsOfUTC&gt;Q452,"OVERDUE",IF(N452="Clarification required","OPEN – CLARIFICATION","OPEN"))))))),"INVALID – error value in an input cell")</f>
        <v>OPEN – CLARIFICATION</v>
      </c>
      <c r="AI452" s="61" t="n">
        <f aca="false">IF(OR(AH452="N/A – RULE",AH452="N/A – JUSTIFIED"),0,1)</f>
        <v>1</v>
      </c>
      <c r="AJ452" s="61" t="n">
        <f aca="false">IF(LEFT(AH452,8)="COMPLETE",1,0)</f>
        <v>0</v>
      </c>
      <c r="AK452" s="61" t="n">
        <f aca="false">IF(AND(AI452=1,AJ452=0,AsOfUTC&gt;Q452),1,0)</f>
        <v>0</v>
      </c>
      <c r="AL452" s="61" t="n">
        <f aca="false">IFERROR(IF(AND(AI452=1,OR(TRIM(U452)="Fail",AND(TRIM(AB452)&lt;&gt;"",TRIM(AB452)&lt;&gt;"Closed"),AND(ISNUMBER(AF452),AF452&lt;&gt;0,TRIM(U452)&lt;&gt;"Pass after CA"))),1,0),1)</f>
        <v>0</v>
      </c>
      <c r="AM452" s="61" t="n">
        <f aca="false">IF(LEFT(AH452,7)="INVALID",1,0)</f>
        <v>0</v>
      </c>
      <c r="AN452" s="61" t="n">
        <f aca="false">IF(AND(N452="Clarification required",AI452=1,AJ452=0),1,0)</f>
        <v>1</v>
      </c>
      <c r="AO452" s="61" t="str">
        <f aca="false">IF(AK452=1,SUM(AK$5:AK452),"")</f>
        <v/>
      </c>
      <c r="AP452" s="61" t="str">
        <f aca="false">IF(AL452=1,SUM(AL$5:AL452),"")</f>
        <v/>
      </c>
      <c r="AQ452" s="61" t="n">
        <v>0</v>
      </c>
      <c r="AR452" s="61" t="n">
        <v>0</v>
      </c>
      <c r="AS452" s="61" t="n">
        <v>0</v>
      </c>
      <c r="AT452" s="61" t="n">
        <v>1</v>
      </c>
      <c r="AU452" s="61" t="str">
        <f aca="false">SUBSTITUTE(SUBSTITUTE(SUBSTITUTE(SUBSTITUTE(SUBSTITUTE(SUBSTITUTE(SUBSTITUTE(SUBSTITUTE(SUBSTITUTE(SUBSTITUTE(SUBSTITUTE(SUBSTITUTE(SUBSTITUTE(SUBSTITUTE(SUBSTITUTE(SUBSTITUTE(LOWER(T452&amp;""),CHAR(10),""),CHAR(13),""),CHAR(9),""),CHAR(160),"")," ",""),".",""),"-",""),"/",""),"?",""),"_",""),",",""),"[",""),"]",""),"(",""),")",""),"*","")</f>
        <v/>
      </c>
      <c r="AV452" s="61" t="str">
        <f aca="false">SUBSTITUTE(SUBSTITUTE(SUBSTITUTE(SUBSTITUTE(SUBSTITUTE(SUBSTITUTE(SUBSTITUTE(SUBSTITUTE(SUBSTITUTE(SUBSTITUTE(SUBSTITUTE(SUBSTITUTE(SUBSTITUTE(SUBSTITUTE(SUBSTITUTE(SUBSTITUTE(LOWER(V452&amp;""),CHAR(10),""),CHAR(13),""),CHAR(9),""),CHAR(160),"")," ",""),".",""),"-",""),"/",""),"?",""),"_",""),",",""),"[",""),"]",""),"(",""),")",""),"*","")</f>
        <v/>
      </c>
      <c r="AW452" s="61" t="str">
        <f aca="false">SUBSTITUTE(SUBSTITUTE(SUBSTITUTE(SUBSTITUTE(SUBSTITUTE(SUBSTITUTE(SUBSTITUTE(SUBSTITUTE(SUBSTITUTE(SUBSTITUTE(SUBSTITUTE(SUBSTITUTE(SUBSTITUTE(SUBSTITUTE(SUBSTITUTE(SUBSTITUTE(LOWER(Z452&amp;""),CHAR(10),""),CHAR(13),""),CHAR(9),""),CHAR(160),"")," ",""),".",""),"-",""),"/",""),"?",""),"_",""),",",""),"[",""),"]",""),"(",""),")",""),"*","")</f>
        <v/>
      </c>
      <c r="AX452" s="61" t="str">
        <f aca="false">SUBSTITUTE(SUBSTITUTE(SUBSTITUTE(SUBSTITUTE(SUBSTITUTE(SUBSTITUTE(SUBSTITUTE(SUBSTITUTE(SUBSTITUTE(SUBSTITUTE(SUBSTITUTE(SUBSTITUTE(SUBSTITUTE(SUBSTITUTE(SUBSTITUTE(SUBSTITUTE(LOWER(AE452&amp;""),CHAR(10),""),CHAR(13),""),CHAR(9),""),CHAR(160),"")," ",""),".",""),"-",""),"/",""),"?",""),"_",""),",",""),"[",""),"]",""),"(",""),")",""),"*","")</f>
        <v/>
      </c>
      <c r="AY452" s="61" t="str">
        <f aca="false">SUBSTITUTE(SUBSTITUTE(SUBSTITUTE(SUBSTITUTE(SUBSTITUTE(SUBSTITUTE(SUBSTITUTE(SUBSTITUTE(SUBSTITUTE(SUBSTITUTE(SUBSTITUTE(SUBSTITUTE(SUBSTITUTE(SUBSTITUTE(SUBSTITUTE(SUBSTITUTE(LOWER(W452&amp;""),CHAR(10),""),CHAR(13),""),CHAR(9),""),CHAR(160),"")," ",""),".",""),"-",""),"/",""),"?",""),"_",""),",",""),"[",""),"]",""),"(",""),")",""),"*","")</f>
        <v/>
      </c>
      <c r="AZ452" s="61" t="str">
        <f aca="false">SUBSTITUTE(SUBSTITUTE(SUBSTITUTE(SUBSTITUTE(SUBSTITUTE(SUBSTITUTE(SUBSTITUTE(SUBSTITUTE(SUBSTITUTE(SUBSTITUTE(SUBSTITUTE(SUBSTITUTE(SUBSTITUTE(SUBSTITUTE(SUBSTITUTE(SUBSTITUTE(LOWER(AC452&amp;""),CHAR(10),""),CHAR(13),""),CHAR(9),""),CHAR(160),"")," ",""),".",""),"-",""),"/",""),"?",""),"_",""),",",""),"[",""),"]",""),"(",""),")",""),"*","")</f>
        <v/>
      </c>
      <c r="BA452" s="61" t="str">
        <f aca="false">SUBSTITUTE(SUBSTITUTE(SUBSTITUTE(SUBSTITUTE(SUBSTITUTE(SUBSTITUTE(SUBSTITUTE(SUBSTITUTE(SUBSTITUTE(SUBSTITUTE(SUBSTITUTE(SUBSTITUTE(SUBSTITUTE(SUBSTITUTE(SUBSTITUTE(SUBSTITUTE(LOWER(AA452&amp;""),CHAR(10),""),CHAR(13),""),CHAR(9),""),CHAR(160),"")," ",""),".",""),"-",""),"/",""),"?",""),"_",""),",",""),"[",""),"]",""),"(",""),")",""),"*","")</f>
        <v/>
      </c>
      <c r="BB452" s="61" t="str">
        <f aca="false">IF(AND(TRIM(U452)="Pass",ISNUMBER(AF452)),IF(AF452&lt;&gt;0,"INVALID – qty variance: use Fail or Pass after CA",""),"")&amp;IF(AND(TRIM(U452)="Pass after CA",ISNUMBER(AF452)),IF(AF452&lt;&gt;0,"INVALID – after the corrective action the actual qty must equal expected (update Actual)",""),"")&amp;IF(AND(TRIM(U452)="Pass",TRIM(AB452)&lt;&gt;"",TRIM(AB452)&lt;&gt;"Closed"),"INVALID – corrective action not closed: use Fail, then Pass after CA","")&amp;IF(AND(LEN(BA452)&gt;=2,ISNA(MATCH(LEFT(BA452,255),L_Placeholder,0)),TRIM(AB452)=""),"INVALID – CA status missing for the recorded corrective action","")&amp;IF(AND(TRIM(U452)="Pass after CA",OR(OR(LEN(BA452)&lt;5,ISNUMBER(MATCH(BA452,L_Placeholder,0))),TRIM(AB452)&lt;&gt;"Closed")),"INVALID – corrective action not recorded/closed","")</f>
        <v/>
      </c>
      <c r="BC452" s="61" t="str">
        <f aca="false">" "&amp;TRIM(SUBSTITUTE(SUBSTITUTE(SUBSTITUTE(SUBSTITUTE(SUBSTITUTE(SUBSTITUTE(SUBSTITUTE(SUBSTITUTE(SUBSTITUTE(SUBSTITUTE(SUBSTITUTE(SUBSTITUTE(SUBSTITUTE(SUBSTITUTE(SUBSTITUTE(SUBSTITUTE(SUBSTITUTE(SUBSTITUTE(SUBSTITUTE(SUBSTITUTE(SUBSTITUTE(SUBSTITUTE(SUBSTITUTE(SUBSTITUTE(LOWER(V452&amp;""),CHAR(10)," "),CHAR(13)," "),CHAR(9)," "),CHAR(160)," "),"."," "),","," "),"-"," "),"/"," "),"("," "),")"," "),":"," "),";"," "),"_"," "),"–"," "),"?"," "),"!"," "),"*"," "),"["," "),"]"," "),"'"," "),"#"," "),"+"," "),"&amp;"," "),"\"," "))&amp;" "</f>
        <v>  </v>
      </c>
      <c r="BD452" s="61" t="str">
        <f aca="false">" "&amp;TRIM(SUBSTITUTE(SUBSTITUTE(SUBSTITUTE(SUBSTITUTE(SUBSTITUTE(SUBSTITUTE(SUBSTITUTE(SUBSTITUTE(SUBSTITUTE(SUBSTITUTE(SUBSTITUTE(SUBSTITUTE(SUBSTITUTE(SUBSTITUTE(SUBSTITUTE(SUBSTITUTE(SUBSTITUTE(SUBSTITUTE(SUBSTITUTE(SUBSTITUTE(SUBSTITUTE(SUBSTITUTE(SUBSTITUTE(SUBSTITUTE(LOWER(Z452&amp;""),CHAR(10)," "),CHAR(13)," "),CHAR(9)," "),CHAR(160)," "),"."," "),","," "),"-"," "),"/"," "),"("," "),")"," "),":"," "),";"," "),"_"," "),"–"," "),"?"," "),"!"," "),"*"," "),"["," "),"]"," "),"'"," "),"#"," "),"+"," "),"&amp;"," "),"\"," "))&amp;" "</f>
        <v>  </v>
      </c>
      <c r="BE452" s="61" t="str">
        <f aca="false">" "&amp;TRIM(SUBSTITUTE(SUBSTITUTE(SUBSTITUTE(SUBSTITUTE(SUBSTITUTE(SUBSTITUTE(SUBSTITUTE(SUBSTITUTE(SUBSTITUTE(SUBSTITUTE(SUBSTITUTE(SUBSTITUTE(SUBSTITUTE(SUBSTITUTE(SUBSTITUTE(SUBSTITUTE(SUBSTITUTE(SUBSTITUTE(SUBSTITUTE(SUBSTITUTE(SUBSTITUTE(SUBSTITUTE(SUBSTITUTE(SUBSTITUTE(LOWER(W452&amp;""),CHAR(10)," "),CHAR(13)," "),CHAR(9)," "),CHAR(160)," "),"."," "),","," "),"-"," "),"/"," "),"("," "),")"," "),":"," "),";"," "),"_"," "),"–"," "),"?"," "),"!"," "),"*"," "),"["," "),"]"," "),"'"," "),"#"," "),"+"," "),"&amp;"," "),"\"," "))&amp;" "</f>
        <v>  </v>
      </c>
      <c r="BF452" s="61" t="str">
        <f aca="false">" "&amp;TRIM(SUBSTITUTE(SUBSTITUTE(SUBSTITUTE(SUBSTITUTE(SUBSTITUTE(SUBSTITUTE(SUBSTITUTE(SUBSTITUTE(SUBSTITUTE(SUBSTITUTE(SUBSTITUTE(SUBSTITUTE(SUBSTITUTE(SUBSTITUTE(SUBSTITUTE(SUBSTITUTE(SUBSTITUTE(SUBSTITUTE(SUBSTITUTE(SUBSTITUTE(SUBSTITUTE(SUBSTITUTE(SUBSTITUTE(SUBSTITUTE(LOWER(AC452&amp;""),CHAR(10)," "),CHAR(13)," "),CHAR(9)," "),CHAR(160)," "),"."," "),","," "),"-"," "),"/"," "),"("," "),")"," "),":"," "),";"," "),"_"," "),"–"," "),"?"," "),"!"," "),"*"," "),"["," "),"]"," "),"'"," "),"#"," "),"+"," "),"&amp;"," "),"\"," "))&amp;" "</f>
        <v>  </v>
      </c>
      <c r="BG452" s="61" t="n">
        <f aca="false">IFERROR(IF(AND(TRIM(U452)="Pass",SUMPRODUCT((LEN(BC452)-LEN(SUBSTITUTE(BC452," "&amp;L_ResultBad&amp;" "," ")))/(LEN(L_ResultBad)+1))&gt;SUMPRODUCT((LEN(BC452)-LEN(SUBSTITUTE(BC452," "&amp;L_NegPhrase&amp;" "," ")))/(LEN(L_NegPhrase)+1))),1,0),0)</f>
        <v>0</v>
      </c>
      <c r="BH452" s="61" t="n">
        <f aca="false">IFERROR(IF(SUMPRODUCT((LEN(BC452)-LEN(SUBSTITUTE(BC452," "&amp;L_Pending&amp;" "," ")))/(LEN(L_Pending)+1))&gt;SUMPRODUCT((LEN(BC452)-LEN(SUBSTITUTE(BC452," "&amp;L_PendNeg&amp;" "," ")))/(LEN(L_PendNeg)+1)),1,0),1)</f>
        <v>0</v>
      </c>
      <c r="BI452" s="61" t="n">
        <f aca="false">IFERROR(IF(SUMPRODUCT((LEN(BD452)-LEN(SUBSTITUTE(BD452," "&amp;L_PendStrict&amp;" "," ")))/(LEN(L_PendStrict)+1))&gt;SUMPRODUCT((LEN(BD452)-LEN(SUBSTITUTE(BD452," "&amp;L_PendNeg&amp;" "," ")))/(LEN(L_PendNeg)+1)),1,0),1)</f>
        <v>0</v>
      </c>
      <c r="BJ452" s="61" t="n">
        <f aca="false">IFERROR(IF(SUMPRODUCT((LEN(BE452)-LEN(SUBSTITUTE(BE452," "&amp;L_Pending&amp;" "," ")))/(LEN(L_Pending)+1))&gt;SUMPRODUCT((LEN(BE452)-LEN(SUBSTITUTE(BE452," "&amp;L_PendNeg&amp;" "," ")))/(LEN(L_PendNeg)+1)),1,0),1)</f>
        <v>0</v>
      </c>
      <c r="BK452" s="61" t="n">
        <f aca="false">IFERROR(IF(SUMPRODUCT((LEN(BF452)-LEN(SUBSTITUTE(BF452," "&amp;L_PendStrict&amp;" "," ")))/(LEN(L_PendStrict)+1))&gt;SUMPRODUCT((LEN(BF452)-LEN(SUBSTITUTE(BF452," "&amp;L_PendNeg&amp;" "," ")))/(LEN(L_PendNeg)+1)),1,0),1)</f>
        <v>0</v>
      </c>
      <c r="BL452" s="61" t="n">
        <f aca="false">IF(ISNA(MATCH(TRIM(S452),L_EvidenceType,0)),0,BZ452)</f>
        <v>0</v>
      </c>
      <c r="BM452" s="61" t="str">
        <f aca="false">SUBSTITUTE(SUBSTITUTE(SUBSTITUTE(SUBSTITUTE(SUBSTITUTE(SUBSTITUTE(SUBSTITUTE(SUBSTITUTE(SUBSTITUTE(LOWER(Z452&amp;""),"1","0"),"2","0"),"3","0"),"4","0"),"5","0"),"6","0"),"7","0"),"8","0"),"9","0")</f>
        <v/>
      </c>
      <c r="BN452" s="61" t="str">
        <f aca="false">SUBSTITUTE(SUBSTITUTE(SUBSTITUTE(SUBSTITUTE(SUBSTITUTE(SUBSTITUTE(SUBSTITUTE(SUBSTITUTE(SUBSTITUTE(SUBSTITUTE(SUBSTITUTE(SUBSTITUTE(SUBSTITUTE(SUBSTITUTE(SUBSTITUTE(SUBSTITUTE(SUBSTITUTE(SUBSTITUTE(SUBSTITUTE(SUBSTITUTE(SUBSTITUTE(SUBSTITUTE(SUBSTITUTE(SUBSTITUTE(SUBSTITUTE(BM452,"b","a"),"c","a"),"d","a"),"e","a"),"f","a"),"g","a"),"h","a"),"i","a"),"j","a"),"k","a"),"l","a"),"m","a"),"n","a"),"o","a"),"p","a"),"q","a"),"r","a"),"s","a"),"t","a"),"u","a"),"v","a"),"w","a"),"x","a"),"y","a"),"z","a")</f>
        <v/>
      </c>
      <c r="BO452" s="61" t="str">
        <f aca="false">SUBSTITUTE(SUBSTITUTE(SUBSTITUTE(SUBSTITUTE(SUBSTITUTE(SUBSTITUTE(SUBSTITUTE(SUBSTITUTE(SUBSTITUTE(LOWER(W452&amp;""),"1","0"),"2","0"),"3","0"),"4","0"),"5","0"),"6","0"),"7","0"),"8","0"),"9","0")</f>
        <v/>
      </c>
      <c r="BP452" s="61" t="str">
        <f aca="false">SUBSTITUTE(SUBSTITUTE(SUBSTITUTE(SUBSTITUTE(SUBSTITUTE(SUBSTITUTE(SUBSTITUTE(SUBSTITUTE(SUBSTITUTE(SUBSTITUTE(SUBSTITUTE(SUBSTITUTE(SUBSTITUTE(SUBSTITUTE(SUBSTITUTE(SUBSTITUTE(SUBSTITUTE(SUBSTITUTE(SUBSTITUTE(SUBSTITUTE(SUBSTITUTE(SUBSTITUTE(SUBSTITUTE(SUBSTITUTE(SUBSTITUTE(BO452,"b","a"),"c","a"),"d","a"),"e","a"),"f","a"),"g","a"),"h","a"),"i","a"),"j","a"),"k","a"),"l","a"),"m","a"),"n","a"),"o","a"),"p","a"),"q","a"),"r","a"),"s","a"),"t","a"),"u","a"),"v","a"),"w","a"),"x","a"),"y","a"),"z","a")</f>
        <v/>
      </c>
      <c r="BQ452" s="61" t="n">
        <f aca="false">IFERROR(IF(AND(ISERROR(SEARCH(" mh"," "&amp;LOWER(W452))),ISNA(MATCH(LEFT(TRIM(BP452),255),{"0000a","000a","00a","0000aa","000aa","00aa","0aa","0000aaa","000aaa","00a00","0a00","0000-0000","00:00","a00","a0","00.00.0000","00/00/0000","00-00-0000","0000-00-00","0000/00/00","0000.00.00","00.00.00","00/00/00","00-00-00","0.00.0000","0/00/0000","0-00-0000"},0)),ISNA(MATCH(LEFT(TRIM(CA452),255),{"0000a","000a","00a","0000aa","000aa","00aa","0aa","0000aaa","000aaa","00a00","0a00","0000-0000","00:00","a00","a0","00.00.0000","00/00/0000","00-00-0000","0000-00-00","0000/00/00","0000.00.00","00.00.00","00/00/00","00-00-00","0.00.0000","0/00/0000","0-00-0000"},0)),LEN(CB452)&gt;=3,NOT(OR(SUBSTITUTE(CB452,"0","")="",AND(LEN(CB452)&gt;=4,CB452=REPT(LEFT(CB452),LEN(CB452))),ISNUMBER(MATCH(CB452,{"123","1234","12345","123456","1234567","12345678","0123","01234","012345","98765","987654","54321"},0)),AND(LEN(CB452)=8,LEFT(CB452,3)="202"))),OR(AND((LEN(CA452)-LEN(SUBSTITUTE(CA452,"a","")))&gt;=1,SUMPRODUCT(--ISNUMBER(SEARCH({"a0","a-0","a_0","a/0","a.0","a#0","0a","0-a","0_a","0/a"},BP452)))&gt;0),ISNUMBER(SEARCH("000000",BP452)))),1,0),0)</f>
        <v>0</v>
      </c>
      <c r="BR452" s="61" t="n">
        <f aca="false">IFERROR(LEN(SUBSTITUTE(CC452," ",""))-SUMPRODUCT((LEN(CC452)-LEN(SUBSTITUTE(CC452," "&amp;L_Role&amp;" "," ")))/(LEN(L_Role)+1)*LEN(L_Role)),0)</f>
        <v>0</v>
      </c>
      <c r="BS452" s="61" t="n">
        <f aca="false">IFERROR(LEN(SUBSTITUTE(CD452," ",""))-SUMPRODUCT((LEN(CD452)-LEN(SUBSTITUTE(CD452," "&amp;L_Role&amp;" "," ")))/(LEN(L_Role)+1)*LEN(L_Role)),0)</f>
        <v>0</v>
      </c>
      <c r="BT4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452,"revision",""),"version",""),"jan",""),"feb",""),"mar",""),"apr",""),"may",""),"jun",""),"jul",""),"aug",""),"sep",""),"oct",""),"nov",""),"dec",""),"utc",""),"gmt",""),"myt",""),"bst",""),"rev",""),"ver",""),"b","a"),"c","a"),"d","a"),"e","a"),"f","a"),"g","a"),"h","a"),"i","a"),"j","a"),"k","a"),"l","a"),"m","a"),"n","a"),"o","a"),"p","a"),"q","a"),"r","a"),"s","a"),"t","a"),"u","a"),"v","a"),"w","a"),"x","a"),"y","a"),"z","a")</f>
        <v/>
      </c>
      <c r="BU452" s="61" t="str">
        <f aca="false">SUBSTITUTE(SUBSTITUTE(SUBSTITUTE(SUBSTITUTE(SUBSTITUTE(SUBSTITUTE(SUBSTITUTE(SUBSTITUTE(SUBSTITUTE(SUBSTITUTE(LEFT(BM452,FIND("0",BM452&amp;"0")-1),"-",""),"_",""),"/",""),".",""),"#",""),"\\",""),":","")," ",""),"(",""),")","")</f>
        <v/>
      </c>
      <c r="BV452" s="61" t="n">
        <f aca="false">IFERROR(IF(OR(SUMPRODUCT((LEN(BC452)-LEN(SUBSTITUTE(BC452," "&amp;L_NotLoaded&amp;" "," ")))/(LEN(L_NotLoaded)+1))&gt;SUMPRODUCT((LEN(BC452)-LEN(SUBSTITUTE(BC452," "&amp;L_NotLoadedNeg&amp;" "," ")))/(LEN(L_NotLoadedNeg)+1)),SUMPRODUCT((LEN(BD452)-LEN(SUBSTITUTE(BD452," "&amp;L_NotLoaded&amp;" "," ")))/(LEN(L_NotLoaded)+1))&gt;SUMPRODUCT((LEN(BD452)-LEN(SUBSTITUTE(BD452," "&amp;L_NotLoadedNeg&amp;" "," ")))/(LEN(L_NotLoadedNeg)+1))),1,0),0)</f>
        <v>0</v>
      </c>
      <c r="BW4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452&amp;""),"a",""),"b",""),"c",""),"d",""),"e",""),"f",""),"g",""),"h",""),"i",""),"j",""),"k",""),"l",""),"m",""),"n",""),"o",""),"p",""),"q",""),"r",""),"s",""),"t",""),"u",""),"v",""),"w",""),"x",""),"y",""),"z",""),"-",""),"_",""),"/",""),".",""),"#",""),"\\",""),":","")," ",""),"(",""),")","")</f>
        <v/>
      </c>
      <c r="BX452" s="61" t="str">
        <f aca="false">SUBSTITUTE(SUBSTITUTE(SUBSTITUTE(SUBSTITUTE(SUBSTITUTE(SUBSTITUTE(SUBSTITUTE(SUBSTITUTE(SUBSTITUTE(SUBSTITUTE(SUBSTITUTE(BM452,"0",""),"-",""),"_",""),"/",""),".",""),"#",""),"\\",""),":","")," ",""),"(",""),")","")</f>
        <v/>
      </c>
      <c r="BY452" s="62" t="n">
        <f aca="false">IF(ISNUMBER(Flights!$AZ$17),MAX(Q452-UpliftWindowH/24,Flights!$AZ$17),Q452-UpliftWindowH/24)</f>
        <v>46308.7604166667</v>
      </c>
      <c r="BZ452" s="61" t="n">
        <f aca="false">IFERROR(IF(IF(TRIM(S452)="Link / file path",AND(LEN(TRIM(Z452))&gt;=5,SUMPRODUCT(--ISNUMBER(SEARCH({"http","www.","\\",":\",".pdf",".jpg",".jpeg",".png",".heic",".xls",".doc",".msg",".eml",".ppt",".txt",".zip"},Z452)))&gt;0),AND(ISERROR(FIND(" ",TRIM(Z452))),NOT(OR(SUMPRODUCT(--ISNUMBER(FIND({",",";","&amp;","+"},Z452)))&gt;0,SUMPRODUCT(--ISNUMBER(SEARCH({"0/aa","0\\aa"},BN452)))&gt;0)),NOT(SUMPRODUCT(--ISNUMBER(SEARCH({"http","www.","\\",":\",".pdf",".jpg",".jpeg",".png",".heic",".xls",".doc",".msg",".eml",".ppt",".txt",".zip"},Z452)))&gt;0),NOT(LOWER(TRIM(Z452))=LOWER(Flights!$F$17)),ISNA(MATCH(BU452,{"mh","rev","revision","ver","version","v","r","a","b","seat","tray","row","gate","bay","stand","page","pg","item","line","no","cart","galley","flight","flt","table","box","bag","oven","etd","eta","std","sta","atd","ata","qty","pax","x","time","tel","ph","mob","day","wk","week","utc","gmt","myt","lt"},0)),NOT(OR(ISNUMBER(MATCH(LEFT(BN452,255),{"0000a","000a","00a","0000aa","000aa","00aa","0aa","0000aaa","000aaa","00a00","0a00","0000-0000","00:00","a00","a0","00.00.0000","00/00/0000","00-00-0000","0000-00-00","0000/00/00","0000.00.00","00.00.00","00/00/00","00-00-00","0.00.0000","0/00/0000","0-00-0000"},0)),ISNUMBER(MATCH(LEFT(BT452,255),{"0000a","000a","00a","0000aa","000aa","00aa","0aa","0000aaa","000aaa","00a00","0a00","0000-0000","00:00","a00","a0","00.00.0000","00/00/0000","00-00-0000","0000-00-00","0000/00/00","0000.00.00","00.00.00","00/00/00","00-00-00","0.00.0000","0/00/0000","0-00-0000"},0)))),NOT(OR(AND(BW452&lt;&gt;"",SUBSTITUTE(BW452,"0","")=""),AND(LEN(BW452)&gt;=4,BW452=REPT(LEFT(BW452),LEN(BW452))),ISNUMBER(MATCH(BW452,{"123","1234","12345","123456","1234567","12345678","0123","01234","012345","98765","987654","54321"},0)),ISNUMBER(MATCH(BX452,{"x","xx","xxx","xxxx","xxxxx","abc","abcd","nil","na","nan","test","tbc","tba","tbd","dummy","sample","example","eg","zz","zzz","none","null","xyz","qwe","asd","id","ref"},0)),AND(LEN(BW452)=8,BX452="",OR(LEFT(BW452,3)="202",ISNUMBER(MATCH(RIGHT(BW452,4),{"2025","2026","2027"},0)))))),OR(AND((LEN(BT452)-LEN(SUBSTITUTE(BT452,"a","")))&gt;=1,(LEN(BN452)-LEN(SUBSTITUTE(BN452,"0","")))&gt;=2,SUMPRODUCT(--ISNUMBER(SEARCH({"a0","a-0","a_0","a/0","a.0","a#0","0a","0-a","0_a","0/a"},BN452)))&gt;0),AND((LEN(BN452)-LEN(SUBSTITUTE(BN452,"a","")))=0,(LEN(BN452)-LEN(SUBSTITUTE(BN452,"0","")))&gt;=5)))),1,0),0)</f>
        <v>0</v>
      </c>
      <c r="CA4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452,"revision",""),"version",""),"jan",""),"feb",""),"mar",""),"apr",""),"may",""),"jun",""),"jul",""),"aug",""),"sep",""),"oct",""),"nov",""),"dec",""),"utc",""),"gmt",""),"myt",""),"bst",""),"rev",""),"ver",""),"b","a"),"c","a"),"d","a"),"e","a"),"f","a"),"g","a"),"h","a"),"i","a"),"j","a"),"k","a"),"l","a"),"m","a"),"n","a"),"o","a"),"p","a"),"q","a"),"r","a"),"s","a"),"t","a"),"u","a"),"v","a"),"w","a"),"x","a"),"y","a"),"z","a")</f>
        <v/>
      </c>
      <c r="CB4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452&amp;""),"a",""),"b",""),"c",""),"d",""),"e",""),"f",""),"g",""),"h",""),"i",""),"j",""),"k",""),"l",""),"m",""),"n",""),"o",""),"p",""),"q",""),"r",""),"s",""),"t",""),"u",""),"v",""),"w",""),"x",""),"y",""),"z",""),"-",""),"_",""),"/",""),".",""),"#",""),"\\",""),":","")," ",""),"(",""),")","")</f>
        <v/>
      </c>
      <c r="CC452" s="0" t="str">
        <f aca="false">" "&amp;TRIM(SUBSTITUTE(SUBSTITUTE(SUBSTITUTE(SUBSTITUTE(SUBSTITUTE(SUBSTITUTE(SUBSTITUTE(SUBSTITUTE(SUBSTITUTE(SUBSTITUTE(SUBSTITUTE(SUBSTITUTE(SUBSTITUTE(SUBSTITUTE(SUBSTITUTE(SUBSTITUTE(SUBSTITUTE(SUBSTITUTE(SUBSTITUTE(SUBSTITUTE(SUBSTITUTE(SUBSTITUTE(SUBSTITUTE(SUBSTITUTE(LOWER(T452&amp;""),CHAR(10)," "),CHAR(13)," "),CHAR(9)," "),CHAR(160)," "),"."," "),","," "),"-"," "),"/"," "),"("," "),")"," "),":"," "),";"," "),"_"," "),"–"," "),"?"," "),"!"," "),"*"," "),"["," "),"]"," "),"'"," "),"#"," "),"+"," "),"&amp;"," "),"\"," "))&amp;" "</f>
        <v>  </v>
      </c>
      <c r="CD452" s="0" t="str">
        <f aca="false">" "&amp;TRIM(SUBSTITUTE(SUBSTITUTE(SUBSTITUTE(SUBSTITUTE(SUBSTITUTE(SUBSTITUTE(SUBSTITUTE(SUBSTITUTE(SUBSTITUTE(SUBSTITUTE(SUBSTITUTE(SUBSTITUTE(SUBSTITUTE(SUBSTITUTE(SUBSTITUTE(SUBSTITUTE(SUBSTITUTE(SUBSTITUTE(SUBSTITUTE(SUBSTITUTE(SUBSTITUTE(SUBSTITUTE(SUBSTITUTE(SUBSTITUTE(LOWER(AE452&amp;""),CHAR(10)," "),CHAR(13)," "),CHAR(9)," "),CHAR(160)," "),"."," "),","," "),"-"," "),"/"," "),"("," "),")"," "),":"," "),";"," "),"_"," "),"–"," "),"?"," "),"!"," "),"*"," "),"["," "),"]"," "),"'"," "),"#"," "),"+"," "),"&amp;"," "),"\"," "))&amp;" "</f>
        <v>  </v>
      </c>
      <c r="CE452" s="68" t="n">
        <f aca="false">IFERROR(IF(AND(LEN(AU452)&gt;0,LEN(AU452)=LEN(AX452),OR(TRIM(MID(SUBSTITUTE(TRIM(CC452)," ",REPT(" ",60)),1,60))="",ISNUMBER(SEARCH(" "&amp;TRIM(MID(SUBSTITUTE(TRIM(CC452)," ",REPT(" ",60)),1,60))&amp;" ",CD452))),OR(TRIM(MID(SUBSTITUTE(TRIM(CC452)," ",REPT(" ",60)),61,60))="",ISNUMBER(SEARCH(" "&amp;TRIM(MID(SUBSTITUTE(TRIM(CC452)," ",REPT(" ",60)),61,60))&amp;" ",CD452))),OR(TRIM(MID(SUBSTITUTE(TRIM(CC452)," ",REPT(" ",60)),121,60))="",ISNUMBER(SEARCH(" "&amp;TRIM(MID(SUBSTITUTE(TRIM(CC452)," ",REPT(" ",60)),121,60))&amp;" ",CD452)))),1,0),0)</f>
        <v>0</v>
      </c>
      <c r="CG452" s="68" t="n">
        <f aca="false">IFERROR(LEN(SUBSTITUTE(BF452," ",""))-SUMPRODUCT((LEN(BF452)-LEN(SUBSTITUTE(BF452," "&amp;L_NAFiller&amp;" "," ")))/(LEN(L_NAFiller)+1)*LEN(L_NAFiller)),0)</f>
        <v>0</v>
      </c>
    </row>
    <row r="453" customFormat="false" ht="39.75" hidden="false" customHeight="true" outlineLevel="0" collapsed="false">
      <c r="A453" s="57" t="s">
        <v>1098</v>
      </c>
      <c r="B453" s="57" t="s">
        <v>272</v>
      </c>
      <c r="C453" s="57" t="str">
        <f aca="false">Flights!$F$17</f>
        <v>MH0138</v>
      </c>
      <c r="D453" s="58" t="n">
        <f aca="false">Flights!$D$17</f>
        <v>46309</v>
      </c>
      <c r="E453" s="57" t="str">
        <f aca="false">Flights!$G$17&amp;"-"&amp;Flights!$H$17</f>
        <v>ADL-KUL</v>
      </c>
      <c r="F453" s="57" t="str">
        <f aca="false">Flights!$K$17</f>
        <v>EY</v>
      </c>
      <c r="G453" s="57" t="s">
        <v>459</v>
      </c>
      <c r="H453" s="57" t="s">
        <v>460</v>
      </c>
      <c r="I453" s="57" t="s">
        <v>447</v>
      </c>
      <c r="J453" s="57" t="s">
        <v>469</v>
      </c>
      <c r="K453" s="67" t="s">
        <v>449</v>
      </c>
      <c r="L453" s="67" t="s">
        <v>1085</v>
      </c>
      <c r="M453" s="67" t="s">
        <v>451</v>
      </c>
      <c r="N453" s="67" t="s">
        <v>383</v>
      </c>
      <c r="O453" s="67"/>
      <c r="P453" s="57" t="s">
        <v>263</v>
      </c>
      <c r="Q453" s="59" t="n">
        <f aca="false">ROUND((Flights!$AF$17)*1440,0)/1440</f>
        <v>46309.0104166667</v>
      </c>
      <c r="R453" s="59" t="n">
        <f aca="false">Q453+(IF(AND(INDEX(TZ_DSTS,MATCH(P453,TZ_STN,0))&lt;&gt;"",Q453&gt;=INDEX(TZ_DSTS,MATCH(P453,TZ_STN,0)),Q453&lt;INDEX(TZ_DSTE,MATCH(P453,TZ_STN,0))),INDEX(TZ_DST,MATCH(P453,TZ_STN,0)),INDEX(TZ_STD,MATCH(P453,TZ_STN,0))))/24</f>
        <v>46309.4479166667</v>
      </c>
      <c r="S453" s="60"/>
      <c r="T453" s="60"/>
      <c r="U453" s="60"/>
      <c r="V453" s="60"/>
      <c r="W453" s="61"/>
      <c r="X453" s="60"/>
      <c r="Y453" s="60"/>
      <c r="Z453" s="60"/>
      <c r="AA453" s="60"/>
      <c r="AB453" s="60"/>
      <c r="AC453" s="60"/>
      <c r="AD453" s="66"/>
      <c r="AE453" s="60"/>
      <c r="AF453" s="61" t="str">
        <f aca="false">IF(AND(ISNUMBER(X453),ISNUMBER(Y453)),Y453-X453,"")</f>
        <v/>
      </c>
      <c r="AG453" s="62" t="str">
        <f aca="false">IF(ISNUMBER(AD453),AD453-(IF(AND(INDEX(TZ_DSTS,MATCH(P453,TZ_STN,0))&lt;&gt;"",(AD453-INDEX(TZ_STD,MATCH(P453,TZ_STN,0))/24)&gt;=INDEX(TZ_DSTS,MATCH(P453,TZ_STN,0)),(AD453-INDEX(TZ_STD,MATCH(P453,TZ_STN,0))/24)&lt;INDEX(TZ_DSTE,MATCH(P453,TZ_STN,0))),INDEX(TZ_DST,MATCH(P453,TZ_STN,0)),INDEX(TZ_STD,MATCH(P453,TZ_STN,0))))/24,"")</f>
        <v/>
      </c>
      <c r="AH453" s="65" t="str">
        <f aca="false">IFERROR(IF(N453="N/A – rule",IF(OR(TRIM(U453)="",TRIM(U453)="N/A",TRIM(U453)="Not started"),"N/A – RULE","INVALID – this check does not apply to this aircraft: clear the status (or correct the fleet on Flights)"),IF(TRIM(U453)="N/A",IF(AT453=0,"INVALID – N/A not permitted for this check",IF(AND(TRIM(AB453)&lt;&gt;"",TRIM(AB453)&lt;&gt;"Closed"),"INVALID – corrective action still open",IF(AND(NOT(OR(LEN(AZ453)&lt;15,ISNUMBER(MATCH(AZ453,L_Placeholder,0)))),BK453=0,CG453&gt;=8,NOT(OR(LEN(AU453)&lt;2,ISNUMBER(MATCH(AU453,L_Placeholder,0)))),BR453&gt;=3,NOT(OR(LEN(AX453)&lt;2,ISNUMBER(MATCH(AX453,L_Placeholder,0)))),BS453&gt;=3,TRIM(AE453)&lt;&gt;TRIM(T453),AX453&lt;&gt;AU453,CE453=0),"N/A – JUSTIFIED","INVALID – N/A needs a real, settled reason (not 'not applicable' / 'as above' / TBC), a named PIC and a different named verifier"))),IF(OR(TRIM(U453)="Pass",TRIM(U453)="Pass after CA"),IF(NOT(ISNUMBER(AD453)),"INVALID – completion time missing",IF(OR(OR(LEN(AU453)&lt;2,ISNUMBER(MATCH(AU453,L_Placeholder,0))),BR453&lt;3),"INVALID – PIC missing or not a named person (a role such as QA / CSM is not a name)",IF(OR(LEN(AV453)&lt;2,ISNUMBER(MATCH(AV453,L_Placeholder,0))),"INVALID – result / assessment missing",IF(OR(OR(LEN(AW453)&lt;3,ISNUMBER(MATCH(AW453,L_Placeholder,0))),SUMPRODUCT(--ISNUMBER(SEARCH(" "&amp;L_EvidencePhrase&amp;" ",BD453)))&gt;0,BI453=1),"INVALID – evidence missing, placeholder or not yet on file",IF(ISNA(MATCH(TRIM(S453),L_EvidenceType,0)),"INVALID – choose the evidence type from the list (column S)",IF(BL453=0,"INVALID – evidence ID must be the record's own ID only (e.g. SF-2210, IMG_2231, 1045521); a link / file name needs type 'Link / file path'",IF(OR(OR(LEN(AX453)&lt;2,ISNUMBER(MATCH(AX453,L_Placeholder,0))),BS453&lt;3),"INVALID – verifier missing or not a named person (a role such as QA / CSM is not a name)",IF(OR(AX453=AU453,CE453=1,AND(LEN(AU453)&gt;=4,ISNUMBER(SEARCH(AU453,AX453))),AND(LEN(AX453)&gt;=4,ISNUMBER(SEARCH(AX453,AU453)))),"INVALID – verifier must be a different, named person (not the PIC or a role)",IF(BH453=1,"INVALID – result not yet available (awaiting / TBC)",IF(BG453=1,"INVALID – result describes a problem: record Fail, then Pass after CA (or reword if it is not a problem)",IF(BV453=1,"INVALID – wording says not on board: an on-board confirmation needs the item loaded",IF(AND(AQ453=1,OR(OR(LEN(AY453)&lt;3,ISNUMBER(MATCH(AY453,L_Placeholder,0))),BJ453=1,BQ453=0)),"INVALID – batch ID missing, placeholder or not an ID (e.g. PASB-261008-BC-017)",IF(AND(AR453=1,OR(NOT(ISNUMBER(X453)),NOT(ISNUMBER(Y453)))),"INVALID – expected/actual qty missing",IF(AND(AR453=1,OR(X453&lt;=0,Y453&lt;0)),"INVALID – expected qty must be above 0 and actual not negative",IF(AH446="N/A – JUSTIFIED","INVALID – preparation row F13-T12-09 is N/A",IF(AND(AR453=1,ISNUMBER(X446),X453&lt;&gt;X446,TRIM(U453)&lt;&gt;"Pass after CA"),"INVALID – expected qty differs from preparation check F13-T12-09: record the load change as a corrective action (Pass after CA)",IF(BB453&lt;&gt;"",BB453,IF(AND(AS453=1,Documents!$J$17&lt;&gt;"ON FILE"),"INVALID – GLD not on file (Documents sheet)",IF(AND(AS453=2,Documents!$O$17&lt;&gt;"ON FILE"),"INVALID – menu checklist not on file (Documents sheet)",IF(AND(AS453=3,NOT(ISNUMBER(Flights!$AX$17))),"INVALID – enter carrying flight KUL departure (Flights AX)",IF(AND(AS453=3,OR(Flights!$AZ$17&gt;Flights!$AA$17,Flights!$AX$17&lt;Flights!$AA$17-3)),"INVALID – carrying flight (Flights AX) cannot arrive before this leg's STD, or is over 3 days early",IF(AG453&gt;AsOfUTC,"INVALID – completion time is in the future",IF(AND(ISNUMBER(BY453),AG453&lt;BY453),IF(H453="Physical uplift","INVALID – before uplift window (cannot confirm loading)","INVALID – before valid window"),IF(AG453&gt;Flights!$AA$17,"INVALID – completed after departure (cannot establish readiness)",IF(AND(H453="Preparation",AG453&gt;=IF(ISNUMBER(Flights!$BA$17),MIN(Flights!$BA$17,Flights!$AA$17),Flights!$AA$17)),"INVALID – completed after loading / departure (cannot establish readiness)",IF(AND(H453="Physical uplift",AG453&gt;Q453),"INVALID – recorded after the loading flight departed",IF(AG453&gt;Q453,"COMPLETE – LATE","COMPLETE"))))))))))))))))))))))))))),IF(TRIM(U453)="Fail","FAIL – DISCREPANCY",IF(AND(TRIM(U453)&lt;&gt;"",TRIM(U453)&lt;&gt;"Not started",TRIM(U453)&lt;&gt;"In progress"),"INVALID – unrecognised status (use the list)",IF(AsOfUTC&gt;Q453,"OVERDUE",IF(N453="Clarification required","OPEN – CLARIFICATION","OPEN"))))))),"INVALID – error value in an input cell")</f>
        <v>OPEN</v>
      </c>
      <c r="AI453" s="61" t="n">
        <f aca="false">IF(OR(AH453="N/A – RULE",AH453="N/A – JUSTIFIED"),0,1)</f>
        <v>1</v>
      </c>
      <c r="AJ453" s="61" t="n">
        <f aca="false">IF(LEFT(AH453,8)="COMPLETE",1,0)</f>
        <v>0</v>
      </c>
      <c r="AK453" s="61" t="n">
        <f aca="false">IF(AND(AI453=1,AJ453=0,AsOfUTC&gt;Q453),1,0)</f>
        <v>0</v>
      </c>
      <c r="AL453" s="61" t="n">
        <f aca="false">IFERROR(IF(AND(AI453=1,OR(TRIM(U453)="Fail",AND(TRIM(AB453)&lt;&gt;"",TRIM(AB453)&lt;&gt;"Closed"),AND(ISNUMBER(AF453),AF453&lt;&gt;0,TRIM(U453)&lt;&gt;"Pass after CA"))),1,0),1)</f>
        <v>0</v>
      </c>
      <c r="AM453" s="61" t="n">
        <f aca="false">IF(LEFT(AH453,7)="INVALID",1,0)</f>
        <v>0</v>
      </c>
      <c r="AN453" s="61" t="n">
        <f aca="false">IF(AND(N453="Clarification required",AI453=1,AJ453=0),1,0)</f>
        <v>0</v>
      </c>
      <c r="AO453" s="61" t="str">
        <f aca="false">IF(AK453=1,SUM(AK$5:AK453),"")</f>
        <v/>
      </c>
      <c r="AP453" s="61" t="str">
        <f aca="false">IF(AL453=1,SUM(AL$5:AL453),"")</f>
        <v/>
      </c>
      <c r="AQ453" s="61" t="n">
        <v>0</v>
      </c>
      <c r="AR453" s="61" t="n">
        <v>0</v>
      </c>
      <c r="AS453" s="61" t="n">
        <v>0</v>
      </c>
      <c r="AT453" s="61" t="n">
        <v>0</v>
      </c>
      <c r="AU453" s="61" t="str">
        <f aca="false">SUBSTITUTE(SUBSTITUTE(SUBSTITUTE(SUBSTITUTE(SUBSTITUTE(SUBSTITUTE(SUBSTITUTE(SUBSTITUTE(SUBSTITUTE(SUBSTITUTE(SUBSTITUTE(SUBSTITUTE(SUBSTITUTE(SUBSTITUTE(SUBSTITUTE(SUBSTITUTE(LOWER(T453&amp;""),CHAR(10),""),CHAR(13),""),CHAR(9),""),CHAR(160),"")," ",""),".",""),"-",""),"/",""),"?",""),"_",""),",",""),"[",""),"]",""),"(",""),")",""),"*","")</f>
        <v/>
      </c>
      <c r="AV453" s="61" t="str">
        <f aca="false">SUBSTITUTE(SUBSTITUTE(SUBSTITUTE(SUBSTITUTE(SUBSTITUTE(SUBSTITUTE(SUBSTITUTE(SUBSTITUTE(SUBSTITUTE(SUBSTITUTE(SUBSTITUTE(SUBSTITUTE(SUBSTITUTE(SUBSTITUTE(SUBSTITUTE(SUBSTITUTE(LOWER(V453&amp;""),CHAR(10),""),CHAR(13),""),CHAR(9),""),CHAR(160),"")," ",""),".",""),"-",""),"/",""),"?",""),"_",""),",",""),"[",""),"]",""),"(",""),")",""),"*","")</f>
        <v/>
      </c>
      <c r="AW453" s="61" t="str">
        <f aca="false">SUBSTITUTE(SUBSTITUTE(SUBSTITUTE(SUBSTITUTE(SUBSTITUTE(SUBSTITUTE(SUBSTITUTE(SUBSTITUTE(SUBSTITUTE(SUBSTITUTE(SUBSTITUTE(SUBSTITUTE(SUBSTITUTE(SUBSTITUTE(SUBSTITUTE(SUBSTITUTE(LOWER(Z453&amp;""),CHAR(10),""),CHAR(13),""),CHAR(9),""),CHAR(160),"")," ",""),".",""),"-",""),"/",""),"?",""),"_",""),",",""),"[",""),"]",""),"(",""),")",""),"*","")</f>
        <v/>
      </c>
      <c r="AX453" s="61" t="str">
        <f aca="false">SUBSTITUTE(SUBSTITUTE(SUBSTITUTE(SUBSTITUTE(SUBSTITUTE(SUBSTITUTE(SUBSTITUTE(SUBSTITUTE(SUBSTITUTE(SUBSTITUTE(SUBSTITUTE(SUBSTITUTE(SUBSTITUTE(SUBSTITUTE(SUBSTITUTE(SUBSTITUTE(LOWER(AE453&amp;""),CHAR(10),""),CHAR(13),""),CHAR(9),""),CHAR(160),"")," ",""),".",""),"-",""),"/",""),"?",""),"_",""),",",""),"[",""),"]",""),"(",""),")",""),"*","")</f>
        <v/>
      </c>
      <c r="AY453" s="61" t="str">
        <f aca="false">SUBSTITUTE(SUBSTITUTE(SUBSTITUTE(SUBSTITUTE(SUBSTITUTE(SUBSTITUTE(SUBSTITUTE(SUBSTITUTE(SUBSTITUTE(SUBSTITUTE(SUBSTITUTE(SUBSTITUTE(SUBSTITUTE(SUBSTITUTE(SUBSTITUTE(SUBSTITUTE(LOWER(W453&amp;""),CHAR(10),""),CHAR(13),""),CHAR(9),""),CHAR(160),"")," ",""),".",""),"-",""),"/",""),"?",""),"_",""),",",""),"[",""),"]",""),"(",""),")",""),"*","")</f>
        <v/>
      </c>
      <c r="AZ453" s="61" t="str">
        <f aca="false">SUBSTITUTE(SUBSTITUTE(SUBSTITUTE(SUBSTITUTE(SUBSTITUTE(SUBSTITUTE(SUBSTITUTE(SUBSTITUTE(SUBSTITUTE(SUBSTITUTE(SUBSTITUTE(SUBSTITUTE(SUBSTITUTE(SUBSTITUTE(SUBSTITUTE(SUBSTITUTE(LOWER(AC453&amp;""),CHAR(10),""),CHAR(13),""),CHAR(9),""),CHAR(160),"")," ",""),".",""),"-",""),"/",""),"?",""),"_",""),",",""),"[",""),"]",""),"(",""),")",""),"*","")</f>
        <v/>
      </c>
      <c r="BA453" s="61" t="str">
        <f aca="false">SUBSTITUTE(SUBSTITUTE(SUBSTITUTE(SUBSTITUTE(SUBSTITUTE(SUBSTITUTE(SUBSTITUTE(SUBSTITUTE(SUBSTITUTE(SUBSTITUTE(SUBSTITUTE(SUBSTITUTE(SUBSTITUTE(SUBSTITUTE(SUBSTITUTE(SUBSTITUTE(LOWER(AA453&amp;""),CHAR(10),""),CHAR(13),""),CHAR(9),""),CHAR(160),"")," ",""),".",""),"-",""),"/",""),"?",""),"_",""),",",""),"[",""),"]",""),"(",""),")",""),"*","")</f>
        <v/>
      </c>
      <c r="BB453" s="61" t="str">
        <f aca="false">IF(AND(TRIM(U453)="Pass",ISNUMBER(AF453)),IF(AF453&lt;&gt;0,"INVALID – qty variance: use Fail or Pass after CA",""),"")&amp;IF(AND(TRIM(U453)="Pass after CA",ISNUMBER(AF453)),IF(AF453&lt;&gt;0,"INVALID – after the corrective action the actual qty must equal expected (update Actual)",""),"")&amp;IF(AND(TRIM(U453)="Pass",TRIM(AB453)&lt;&gt;"",TRIM(AB453)&lt;&gt;"Closed"),"INVALID – corrective action not closed: use Fail, then Pass after CA","")&amp;IF(AND(LEN(BA453)&gt;=2,ISNA(MATCH(LEFT(BA453,255),L_Placeholder,0)),TRIM(AB453)=""),"INVALID – CA status missing for the recorded corrective action","")&amp;IF(AND(TRIM(U453)="Pass after CA",OR(OR(LEN(BA453)&lt;5,ISNUMBER(MATCH(BA453,L_Placeholder,0))),TRIM(AB453)&lt;&gt;"Closed")),"INVALID – corrective action not recorded/closed","")</f>
        <v/>
      </c>
      <c r="BC453" s="61" t="str">
        <f aca="false">" "&amp;TRIM(SUBSTITUTE(SUBSTITUTE(SUBSTITUTE(SUBSTITUTE(SUBSTITUTE(SUBSTITUTE(SUBSTITUTE(SUBSTITUTE(SUBSTITUTE(SUBSTITUTE(SUBSTITUTE(SUBSTITUTE(SUBSTITUTE(SUBSTITUTE(SUBSTITUTE(SUBSTITUTE(SUBSTITUTE(SUBSTITUTE(SUBSTITUTE(SUBSTITUTE(SUBSTITUTE(SUBSTITUTE(SUBSTITUTE(SUBSTITUTE(LOWER(V453&amp;""),CHAR(10)," "),CHAR(13)," "),CHAR(9)," "),CHAR(160)," "),"."," "),","," "),"-"," "),"/"," "),"("," "),")"," "),":"," "),";"," "),"_"," "),"–"," "),"?"," "),"!"," "),"*"," "),"["," "),"]"," "),"'"," "),"#"," "),"+"," "),"&amp;"," "),"\"," "))&amp;" "</f>
        <v>  </v>
      </c>
      <c r="BD453" s="61" t="str">
        <f aca="false">" "&amp;TRIM(SUBSTITUTE(SUBSTITUTE(SUBSTITUTE(SUBSTITUTE(SUBSTITUTE(SUBSTITUTE(SUBSTITUTE(SUBSTITUTE(SUBSTITUTE(SUBSTITUTE(SUBSTITUTE(SUBSTITUTE(SUBSTITUTE(SUBSTITUTE(SUBSTITUTE(SUBSTITUTE(SUBSTITUTE(SUBSTITUTE(SUBSTITUTE(SUBSTITUTE(SUBSTITUTE(SUBSTITUTE(SUBSTITUTE(SUBSTITUTE(LOWER(Z453&amp;""),CHAR(10)," "),CHAR(13)," "),CHAR(9)," "),CHAR(160)," "),"."," "),","," "),"-"," "),"/"," "),"("," "),")"," "),":"," "),";"," "),"_"," "),"–"," "),"?"," "),"!"," "),"*"," "),"["," "),"]"," "),"'"," "),"#"," "),"+"," "),"&amp;"," "),"\"," "))&amp;" "</f>
        <v>  </v>
      </c>
      <c r="BE453" s="61" t="str">
        <f aca="false">" "&amp;TRIM(SUBSTITUTE(SUBSTITUTE(SUBSTITUTE(SUBSTITUTE(SUBSTITUTE(SUBSTITUTE(SUBSTITUTE(SUBSTITUTE(SUBSTITUTE(SUBSTITUTE(SUBSTITUTE(SUBSTITUTE(SUBSTITUTE(SUBSTITUTE(SUBSTITUTE(SUBSTITUTE(SUBSTITUTE(SUBSTITUTE(SUBSTITUTE(SUBSTITUTE(SUBSTITUTE(SUBSTITUTE(SUBSTITUTE(SUBSTITUTE(LOWER(W453&amp;""),CHAR(10)," "),CHAR(13)," "),CHAR(9)," "),CHAR(160)," "),"."," "),","," "),"-"," "),"/"," "),"("," "),")"," "),":"," "),";"," "),"_"," "),"–"," "),"?"," "),"!"," "),"*"," "),"["," "),"]"," "),"'"," "),"#"," "),"+"," "),"&amp;"," "),"\"," "))&amp;" "</f>
        <v>  </v>
      </c>
      <c r="BF453" s="61" t="str">
        <f aca="false">" "&amp;TRIM(SUBSTITUTE(SUBSTITUTE(SUBSTITUTE(SUBSTITUTE(SUBSTITUTE(SUBSTITUTE(SUBSTITUTE(SUBSTITUTE(SUBSTITUTE(SUBSTITUTE(SUBSTITUTE(SUBSTITUTE(SUBSTITUTE(SUBSTITUTE(SUBSTITUTE(SUBSTITUTE(SUBSTITUTE(SUBSTITUTE(SUBSTITUTE(SUBSTITUTE(SUBSTITUTE(SUBSTITUTE(SUBSTITUTE(SUBSTITUTE(LOWER(AC453&amp;""),CHAR(10)," "),CHAR(13)," "),CHAR(9)," "),CHAR(160)," "),"."," "),","," "),"-"," "),"/"," "),"("," "),")"," "),":"," "),";"," "),"_"," "),"–"," "),"?"," "),"!"," "),"*"," "),"["," "),"]"," "),"'"," "),"#"," "),"+"," "),"&amp;"," "),"\"," "))&amp;" "</f>
        <v>  </v>
      </c>
      <c r="BG453" s="61" t="n">
        <f aca="false">IFERROR(IF(AND(TRIM(U453)="Pass",SUMPRODUCT((LEN(BC453)-LEN(SUBSTITUTE(BC453," "&amp;L_ResultBad&amp;" "," ")))/(LEN(L_ResultBad)+1))&gt;SUMPRODUCT((LEN(BC453)-LEN(SUBSTITUTE(BC453," "&amp;L_NegPhrase&amp;" "," ")))/(LEN(L_NegPhrase)+1))),1,0),0)</f>
        <v>0</v>
      </c>
      <c r="BH453" s="61" t="n">
        <f aca="false">IFERROR(IF(SUMPRODUCT((LEN(BC453)-LEN(SUBSTITUTE(BC453," "&amp;L_Pending&amp;" "," ")))/(LEN(L_Pending)+1))&gt;SUMPRODUCT((LEN(BC453)-LEN(SUBSTITUTE(BC453," "&amp;L_PendNeg&amp;" "," ")))/(LEN(L_PendNeg)+1)),1,0),1)</f>
        <v>0</v>
      </c>
      <c r="BI453" s="61" t="n">
        <f aca="false">IFERROR(IF(SUMPRODUCT((LEN(BD453)-LEN(SUBSTITUTE(BD453," "&amp;L_PendStrict&amp;" "," ")))/(LEN(L_PendStrict)+1))&gt;SUMPRODUCT((LEN(BD453)-LEN(SUBSTITUTE(BD453," "&amp;L_PendNeg&amp;" "," ")))/(LEN(L_PendNeg)+1)),1,0),1)</f>
        <v>0</v>
      </c>
      <c r="BJ453" s="61" t="n">
        <f aca="false">IFERROR(IF(SUMPRODUCT((LEN(BE453)-LEN(SUBSTITUTE(BE453," "&amp;L_Pending&amp;" "," ")))/(LEN(L_Pending)+1))&gt;SUMPRODUCT((LEN(BE453)-LEN(SUBSTITUTE(BE453," "&amp;L_PendNeg&amp;" "," ")))/(LEN(L_PendNeg)+1)),1,0),1)</f>
        <v>0</v>
      </c>
      <c r="BK453" s="61" t="n">
        <f aca="false">IFERROR(IF(SUMPRODUCT((LEN(BF453)-LEN(SUBSTITUTE(BF453," "&amp;L_PendStrict&amp;" "," ")))/(LEN(L_PendStrict)+1))&gt;SUMPRODUCT((LEN(BF453)-LEN(SUBSTITUTE(BF453," "&amp;L_PendNeg&amp;" "," ")))/(LEN(L_PendNeg)+1)),1,0),1)</f>
        <v>0</v>
      </c>
      <c r="BL453" s="61" t="n">
        <f aca="false">IF(ISNA(MATCH(TRIM(S453),L_EvidenceType,0)),0,BZ453)</f>
        <v>0</v>
      </c>
      <c r="BM453" s="61" t="str">
        <f aca="false">SUBSTITUTE(SUBSTITUTE(SUBSTITUTE(SUBSTITUTE(SUBSTITUTE(SUBSTITUTE(SUBSTITUTE(SUBSTITUTE(SUBSTITUTE(LOWER(Z453&amp;""),"1","0"),"2","0"),"3","0"),"4","0"),"5","0"),"6","0"),"7","0"),"8","0"),"9","0")</f>
        <v/>
      </c>
      <c r="BN453" s="61" t="str">
        <f aca="false">SUBSTITUTE(SUBSTITUTE(SUBSTITUTE(SUBSTITUTE(SUBSTITUTE(SUBSTITUTE(SUBSTITUTE(SUBSTITUTE(SUBSTITUTE(SUBSTITUTE(SUBSTITUTE(SUBSTITUTE(SUBSTITUTE(SUBSTITUTE(SUBSTITUTE(SUBSTITUTE(SUBSTITUTE(SUBSTITUTE(SUBSTITUTE(SUBSTITUTE(SUBSTITUTE(SUBSTITUTE(SUBSTITUTE(SUBSTITUTE(SUBSTITUTE(BM453,"b","a"),"c","a"),"d","a"),"e","a"),"f","a"),"g","a"),"h","a"),"i","a"),"j","a"),"k","a"),"l","a"),"m","a"),"n","a"),"o","a"),"p","a"),"q","a"),"r","a"),"s","a"),"t","a"),"u","a"),"v","a"),"w","a"),"x","a"),"y","a"),"z","a")</f>
        <v/>
      </c>
      <c r="BO453" s="61" t="str">
        <f aca="false">SUBSTITUTE(SUBSTITUTE(SUBSTITUTE(SUBSTITUTE(SUBSTITUTE(SUBSTITUTE(SUBSTITUTE(SUBSTITUTE(SUBSTITUTE(LOWER(W453&amp;""),"1","0"),"2","0"),"3","0"),"4","0"),"5","0"),"6","0"),"7","0"),"8","0"),"9","0")</f>
        <v/>
      </c>
      <c r="BP453" s="61" t="str">
        <f aca="false">SUBSTITUTE(SUBSTITUTE(SUBSTITUTE(SUBSTITUTE(SUBSTITUTE(SUBSTITUTE(SUBSTITUTE(SUBSTITUTE(SUBSTITUTE(SUBSTITUTE(SUBSTITUTE(SUBSTITUTE(SUBSTITUTE(SUBSTITUTE(SUBSTITUTE(SUBSTITUTE(SUBSTITUTE(SUBSTITUTE(SUBSTITUTE(SUBSTITUTE(SUBSTITUTE(SUBSTITUTE(SUBSTITUTE(SUBSTITUTE(SUBSTITUTE(BO453,"b","a"),"c","a"),"d","a"),"e","a"),"f","a"),"g","a"),"h","a"),"i","a"),"j","a"),"k","a"),"l","a"),"m","a"),"n","a"),"o","a"),"p","a"),"q","a"),"r","a"),"s","a"),"t","a"),"u","a"),"v","a"),"w","a"),"x","a"),"y","a"),"z","a")</f>
        <v/>
      </c>
      <c r="BQ453" s="61" t="n">
        <f aca="false">IFERROR(IF(AND(ISERROR(SEARCH(" mh"," "&amp;LOWER(W453))),ISNA(MATCH(LEFT(TRIM(BP453),255),{"0000a","000a","00a","0000aa","000aa","00aa","0aa","0000aaa","000aaa","00a00","0a00","0000-0000","00:00","a00","a0","00.00.0000","00/00/0000","00-00-0000","0000-00-00","0000/00/00","0000.00.00","00.00.00","00/00/00","00-00-00","0.00.0000","0/00/0000","0-00-0000"},0)),ISNA(MATCH(LEFT(TRIM(CA453),255),{"0000a","000a","00a","0000aa","000aa","00aa","0aa","0000aaa","000aaa","00a00","0a00","0000-0000","00:00","a00","a0","00.00.0000","00/00/0000","00-00-0000","0000-00-00","0000/00/00","0000.00.00","00.00.00","00/00/00","00-00-00","0.00.0000","0/00/0000","0-00-0000"},0)),LEN(CB453)&gt;=3,NOT(OR(SUBSTITUTE(CB453,"0","")="",AND(LEN(CB453)&gt;=4,CB453=REPT(LEFT(CB453),LEN(CB453))),ISNUMBER(MATCH(CB453,{"123","1234","12345","123456","1234567","12345678","0123","01234","012345","98765","987654","54321"},0)),AND(LEN(CB453)=8,LEFT(CB453,3)="202"))),OR(AND((LEN(CA453)-LEN(SUBSTITUTE(CA453,"a","")))&gt;=1,SUMPRODUCT(--ISNUMBER(SEARCH({"a0","a-0","a_0","a/0","a.0","a#0","0a","0-a","0_a","0/a"},BP453)))&gt;0),ISNUMBER(SEARCH("000000",BP453)))),1,0),0)</f>
        <v>0</v>
      </c>
      <c r="BR453" s="61" t="n">
        <f aca="false">IFERROR(LEN(SUBSTITUTE(CC453," ",""))-SUMPRODUCT((LEN(CC453)-LEN(SUBSTITUTE(CC453," "&amp;L_Role&amp;" "," ")))/(LEN(L_Role)+1)*LEN(L_Role)),0)</f>
        <v>0</v>
      </c>
      <c r="BS453" s="61" t="n">
        <f aca="false">IFERROR(LEN(SUBSTITUTE(CD453," ",""))-SUMPRODUCT((LEN(CD453)-LEN(SUBSTITUTE(CD453," "&amp;L_Role&amp;" "," ")))/(LEN(L_Role)+1)*LEN(L_Role)),0)</f>
        <v>0</v>
      </c>
      <c r="BT4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453,"revision",""),"version",""),"jan",""),"feb",""),"mar",""),"apr",""),"may",""),"jun",""),"jul",""),"aug",""),"sep",""),"oct",""),"nov",""),"dec",""),"utc",""),"gmt",""),"myt",""),"bst",""),"rev",""),"ver",""),"b","a"),"c","a"),"d","a"),"e","a"),"f","a"),"g","a"),"h","a"),"i","a"),"j","a"),"k","a"),"l","a"),"m","a"),"n","a"),"o","a"),"p","a"),"q","a"),"r","a"),"s","a"),"t","a"),"u","a"),"v","a"),"w","a"),"x","a"),"y","a"),"z","a")</f>
        <v/>
      </c>
      <c r="BU453" s="61" t="str">
        <f aca="false">SUBSTITUTE(SUBSTITUTE(SUBSTITUTE(SUBSTITUTE(SUBSTITUTE(SUBSTITUTE(SUBSTITUTE(SUBSTITUTE(SUBSTITUTE(SUBSTITUTE(LEFT(BM453,FIND("0",BM453&amp;"0")-1),"-",""),"_",""),"/",""),".",""),"#",""),"\\",""),":","")," ",""),"(",""),")","")</f>
        <v/>
      </c>
      <c r="BV453" s="61" t="n">
        <f aca="false">IFERROR(IF(OR(SUMPRODUCT((LEN(BC453)-LEN(SUBSTITUTE(BC453," "&amp;L_NotLoaded&amp;" "," ")))/(LEN(L_NotLoaded)+1))&gt;SUMPRODUCT((LEN(BC453)-LEN(SUBSTITUTE(BC453," "&amp;L_NotLoadedNeg&amp;" "," ")))/(LEN(L_NotLoadedNeg)+1)),SUMPRODUCT((LEN(BD453)-LEN(SUBSTITUTE(BD453," "&amp;L_NotLoaded&amp;" "," ")))/(LEN(L_NotLoaded)+1))&gt;SUMPRODUCT((LEN(BD453)-LEN(SUBSTITUTE(BD453," "&amp;L_NotLoadedNeg&amp;" "," ")))/(LEN(L_NotLoadedNeg)+1))),1,0),0)</f>
        <v>0</v>
      </c>
      <c r="BW4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453&amp;""),"a",""),"b",""),"c",""),"d",""),"e",""),"f",""),"g",""),"h",""),"i",""),"j",""),"k",""),"l",""),"m",""),"n",""),"o",""),"p",""),"q",""),"r",""),"s",""),"t",""),"u",""),"v",""),"w",""),"x",""),"y",""),"z",""),"-",""),"_",""),"/",""),".",""),"#",""),"\\",""),":","")," ",""),"(",""),")","")</f>
        <v/>
      </c>
      <c r="BX453" s="61" t="str">
        <f aca="false">SUBSTITUTE(SUBSTITUTE(SUBSTITUTE(SUBSTITUTE(SUBSTITUTE(SUBSTITUTE(SUBSTITUTE(SUBSTITUTE(SUBSTITUTE(SUBSTITUTE(SUBSTITUTE(BM453,"0",""),"-",""),"_",""),"/",""),".",""),"#",""),"\\",""),":","")," ",""),"(",""),")","")</f>
        <v/>
      </c>
      <c r="BY453" s="62" t="n">
        <f aca="false">IF(ISNUMBER(Flights!$AZ$17),MAX(Q453-UpliftWindowH/24,Flights!$AZ$17),Q453-UpliftWindowH/24)</f>
        <v>46308.7604166667</v>
      </c>
      <c r="BZ453" s="61" t="n">
        <f aca="false">IFERROR(IF(IF(TRIM(S453)="Link / file path",AND(LEN(TRIM(Z453))&gt;=5,SUMPRODUCT(--ISNUMBER(SEARCH({"http","www.","\\",":\",".pdf",".jpg",".jpeg",".png",".heic",".xls",".doc",".msg",".eml",".ppt",".txt",".zip"},Z453)))&gt;0),AND(ISERROR(FIND(" ",TRIM(Z453))),NOT(OR(SUMPRODUCT(--ISNUMBER(FIND({",",";","&amp;","+"},Z453)))&gt;0,SUMPRODUCT(--ISNUMBER(SEARCH({"0/aa","0\\aa"},BN453)))&gt;0)),NOT(SUMPRODUCT(--ISNUMBER(SEARCH({"http","www.","\\",":\",".pdf",".jpg",".jpeg",".png",".heic",".xls",".doc",".msg",".eml",".ppt",".txt",".zip"},Z453)))&gt;0),NOT(LOWER(TRIM(Z453))=LOWER(Flights!$F$17)),ISNA(MATCH(BU453,{"mh","rev","revision","ver","version","v","r","a","b","seat","tray","row","gate","bay","stand","page","pg","item","line","no","cart","galley","flight","flt","table","box","bag","oven","etd","eta","std","sta","atd","ata","qty","pax","x","time","tel","ph","mob","day","wk","week","utc","gmt","myt","lt"},0)),NOT(OR(ISNUMBER(MATCH(LEFT(BN453,255),{"0000a","000a","00a","0000aa","000aa","00aa","0aa","0000aaa","000aaa","00a00","0a00","0000-0000","00:00","a00","a0","00.00.0000","00/00/0000","00-00-0000","0000-00-00","0000/00/00","0000.00.00","00.00.00","00/00/00","00-00-00","0.00.0000","0/00/0000","0-00-0000"},0)),ISNUMBER(MATCH(LEFT(BT453,255),{"0000a","000a","00a","0000aa","000aa","00aa","0aa","0000aaa","000aaa","00a00","0a00","0000-0000","00:00","a00","a0","00.00.0000","00/00/0000","00-00-0000","0000-00-00","0000/00/00","0000.00.00","00.00.00","00/00/00","00-00-00","0.00.0000","0/00/0000","0-00-0000"},0)))),NOT(OR(AND(BW453&lt;&gt;"",SUBSTITUTE(BW453,"0","")=""),AND(LEN(BW453)&gt;=4,BW453=REPT(LEFT(BW453),LEN(BW453))),ISNUMBER(MATCH(BW453,{"123","1234","12345","123456","1234567","12345678","0123","01234","012345","98765","987654","54321"},0)),ISNUMBER(MATCH(BX453,{"x","xx","xxx","xxxx","xxxxx","abc","abcd","nil","na","nan","test","tbc","tba","tbd","dummy","sample","example","eg","zz","zzz","none","null","xyz","qwe","asd","id","ref"},0)),AND(LEN(BW453)=8,BX453="",OR(LEFT(BW453,3)="202",ISNUMBER(MATCH(RIGHT(BW453,4),{"2025","2026","2027"},0)))))),OR(AND((LEN(BT453)-LEN(SUBSTITUTE(BT453,"a","")))&gt;=1,(LEN(BN453)-LEN(SUBSTITUTE(BN453,"0","")))&gt;=2,SUMPRODUCT(--ISNUMBER(SEARCH({"a0","a-0","a_0","a/0","a.0","a#0","0a","0-a","0_a","0/a"},BN453)))&gt;0),AND((LEN(BN453)-LEN(SUBSTITUTE(BN453,"a","")))=0,(LEN(BN453)-LEN(SUBSTITUTE(BN453,"0","")))&gt;=5)))),1,0),0)</f>
        <v>0</v>
      </c>
      <c r="CA4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453,"revision",""),"version",""),"jan",""),"feb",""),"mar",""),"apr",""),"may",""),"jun",""),"jul",""),"aug",""),"sep",""),"oct",""),"nov",""),"dec",""),"utc",""),"gmt",""),"myt",""),"bst",""),"rev",""),"ver",""),"b","a"),"c","a"),"d","a"),"e","a"),"f","a"),"g","a"),"h","a"),"i","a"),"j","a"),"k","a"),"l","a"),"m","a"),"n","a"),"o","a"),"p","a"),"q","a"),"r","a"),"s","a"),"t","a"),"u","a"),"v","a"),"w","a"),"x","a"),"y","a"),"z","a")</f>
        <v/>
      </c>
      <c r="CB4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453&amp;""),"a",""),"b",""),"c",""),"d",""),"e",""),"f",""),"g",""),"h",""),"i",""),"j",""),"k",""),"l",""),"m",""),"n",""),"o",""),"p",""),"q",""),"r",""),"s",""),"t",""),"u",""),"v",""),"w",""),"x",""),"y",""),"z",""),"-",""),"_",""),"/",""),".",""),"#",""),"\\",""),":","")," ",""),"(",""),")","")</f>
        <v/>
      </c>
      <c r="CC453" s="0" t="str">
        <f aca="false">" "&amp;TRIM(SUBSTITUTE(SUBSTITUTE(SUBSTITUTE(SUBSTITUTE(SUBSTITUTE(SUBSTITUTE(SUBSTITUTE(SUBSTITUTE(SUBSTITUTE(SUBSTITUTE(SUBSTITUTE(SUBSTITUTE(SUBSTITUTE(SUBSTITUTE(SUBSTITUTE(SUBSTITUTE(SUBSTITUTE(SUBSTITUTE(SUBSTITUTE(SUBSTITUTE(SUBSTITUTE(SUBSTITUTE(SUBSTITUTE(SUBSTITUTE(LOWER(T453&amp;""),CHAR(10)," "),CHAR(13)," "),CHAR(9)," "),CHAR(160)," "),"."," "),","," "),"-"," "),"/"," "),"("," "),")"," "),":"," "),";"," "),"_"," "),"–"," "),"?"," "),"!"," "),"*"," "),"["," "),"]"," "),"'"," "),"#"," "),"+"," "),"&amp;"," "),"\"," "))&amp;" "</f>
        <v>  </v>
      </c>
      <c r="CD453" s="0" t="str">
        <f aca="false">" "&amp;TRIM(SUBSTITUTE(SUBSTITUTE(SUBSTITUTE(SUBSTITUTE(SUBSTITUTE(SUBSTITUTE(SUBSTITUTE(SUBSTITUTE(SUBSTITUTE(SUBSTITUTE(SUBSTITUTE(SUBSTITUTE(SUBSTITUTE(SUBSTITUTE(SUBSTITUTE(SUBSTITUTE(SUBSTITUTE(SUBSTITUTE(SUBSTITUTE(SUBSTITUTE(SUBSTITUTE(SUBSTITUTE(SUBSTITUTE(SUBSTITUTE(LOWER(AE453&amp;""),CHAR(10)," "),CHAR(13)," "),CHAR(9)," "),CHAR(160)," "),"."," "),","," "),"-"," "),"/"," "),"("," "),")"," "),":"," "),";"," "),"_"," "),"–"," "),"?"," "),"!"," "),"*"," "),"["," "),"]"," "),"'"," "),"#"," "),"+"," "),"&amp;"," "),"\"," "))&amp;" "</f>
        <v>  </v>
      </c>
      <c r="CE453" s="68" t="n">
        <f aca="false">IFERROR(IF(AND(LEN(AU453)&gt;0,LEN(AU453)=LEN(AX453),OR(TRIM(MID(SUBSTITUTE(TRIM(CC453)," ",REPT(" ",60)),1,60))="",ISNUMBER(SEARCH(" "&amp;TRIM(MID(SUBSTITUTE(TRIM(CC453)," ",REPT(" ",60)),1,60))&amp;" ",CD453))),OR(TRIM(MID(SUBSTITUTE(TRIM(CC453)," ",REPT(" ",60)),61,60))="",ISNUMBER(SEARCH(" "&amp;TRIM(MID(SUBSTITUTE(TRIM(CC453)," ",REPT(" ",60)),61,60))&amp;" ",CD453))),OR(TRIM(MID(SUBSTITUTE(TRIM(CC453)," ",REPT(" ",60)),121,60))="",ISNUMBER(SEARCH(" "&amp;TRIM(MID(SUBSTITUTE(TRIM(CC453)," ",REPT(" ",60)),121,60))&amp;" ",CD453)))),1,0),0)</f>
        <v>0</v>
      </c>
      <c r="CG453" s="68" t="n">
        <f aca="false">IFERROR(LEN(SUBSTITUTE(BF453," ",""))-SUMPRODUCT((LEN(BF453)-LEN(SUBSTITUTE(BF453," "&amp;L_NAFiller&amp;" "," ")))/(LEN(L_NAFiller)+1)*LEN(L_NAFiller)),0)</f>
        <v>0</v>
      </c>
    </row>
    <row r="454" customFormat="false" ht="54" hidden="false" customHeight="true" outlineLevel="0" collapsed="false">
      <c r="A454" s="57" t="s">
        <v>1099</v>
      </c>
      <c r="B454" s="57" t="s">
        <v>272</v>
      </c>
      <c r="C454" s="57" t="str">
        <f aca="false">Flights!$F$17</f>
        <v>MH0138</v>
      </c>
      <c r="D454" s="58" t="n">
        <f aca="false">Flights!$D$17</f>
        <v>46309</v>
      </c>
      <c r="E454" s="57" t="str">
        <f aca="false">Flights!$G$17&amp;"-"&amp;Flights!$H$17</f>
        <v>ADL-KUL</v>
      </c>
      <c r="F454" s="57" t="str">
        <f aca="false">Flights!$K$17</f>
        <v>EY</v>
      </c>
      <c r="G454" s="57" t="s">
        <v>459</v>
      </c>
      <c r="H454" s="57" t="s">
        <v>460</v>
      </c>
      <c r="I454" s="57" t="s">
        <v>447</v>
      </c>
      <c r="J454" s="57" t="s">
        <v>471</v>
      </c>
      <c r="K454" s="67" t="s">
        <v>1088</v>
      </c>
      <c r="L454" s="67" t="s">
        <v>1089</v>
      </c>
      <c r="M454" s="67" t="s">
        <v>451</v>
      </c>
      <c r="N454" s="67" t="s">
        <v>383</v>
      </c>
      <c r="O454" s="67" t="s">
        <v>1100</v>
      </c>
      <c r="P454" s="57" t="s">
        <v>263</v>
      </c>
      <c r="Q454" s="59" t="n">
        <f aca="false">ROUND((Flights!$AF$17)*1440,0)/1440</f>
        <v>46309.0104166667</v>
      </c>
      <c r="R454" s="59" t="n">
        <f aca="false">Q454+(IF(AND(INDEX(TZ_DSTS,MATCH(P454,TZ_STN,0))&lt;&gt;"",Q454&gt;=INDEX(TZ_DSTS,MATCH(P454,TZ_STN,0)),Q454&lt;INDEX(TZ_DSTE,MATCH(P454,TZ_STN,0))),INDEX(TZ_DST,MATCH(P454,TZ_STN,0)),INDEX(TZ_STD,MATCH(P454,TZ_STN,0))))/24</f>
        <v>46309.4479166667</v>
      </c>
      <c r="S454" s="60"/>
      <c r="T454" s="60"/>
      <c r="U454" s="60"/>
      <c r="V454" s="60"/>
      <c r="W454" s="61"/>
      <c r="X454" s="69" t="n">
        <v>280</v>
      </c>
      <c r="Y454" s="60"/>
      <c r="Z454" s="60"/>
      <c r="AA454" s="60"/>
      <c r="AB454" s="60"/>
      <c r="AC454" s="60"/>
      <c r="AD454" s="66"/>
      <c r="AE454" s="60"/>
      <c r="AF454" s="61" t="str">
        <f aca="false">IF(AND(ISNUMBER(X454),ISNUMBER(Y454)),Y454-X454,"")</f>
        <v/>
      </c>
      <c r="AG454" s="62" t="str">
        <f aca="false">IF(ISNUMBER(AD454),AD454-(IF(AND(INDEX(TZ_DSTS,MATCH(P454,TZ_STN,0))&lt;&gt;"",(AD454-INDEX(TZ_STD,MATCH(P454,TZ_STN,0))/24)&gt;=INDEX(TZ_DSTS,MATCH(P454,TZ_STN,0)),(AD454-INDEX(TZ_STD,MATCH(P454,TZ_STN,0))/24)&lt;INDEX(TZ_DSTE,MATCH(P454,TZ_STN,0))),INDEX(TZ_DST,MATCH(P454,TZ_STN,0)),INDEX(TZ_STD,MATCH(P454,TZ_STN,0))))/24,"")</f>
        <v/>
      </c>
      <c r="AH454" s="65" t="str">
        <f aca="false">IFERROR(IF(N454="N/A – rule",IF(OR(TRIM(U454)="",TRIM(U454)="N/A",TRIM(U454)="Not started"),"N/A – RULE","INVALID – this check does not apply to this aircraft: clear the status (or correct the fleet on Flights)"),IF(TRIM(U454)="N/A",IF(AT454=0,"INVALID – N/A not permitted for this check",IF(AND(TRIM(AB454)&lt;&gt;"",TRIM(AB454)&lt;&gt;"Closed"),"INVALID – corrective action still open",IF(AND(NOT(OR(LEN(AZ454)&lt;15,ISNUMBER(MATCH(AZ454,L_Placeholder,0)))),BK454=0,CG454&gt;=8,NOT(OR(LEN(AU454)&lt;2,ISNUMBER(MATCH(AU454,L_Placeholder,0)))),BR454&gt;=3,NOT(OR(LEN(AX454)&lt;2,ISNUMBER(MATCH(AX454,L_Placeholder,0)))),BS454&gt;=3,TRIM(AE454)&lt;&gt;TRIM(T454),AX454&lt;&gt;AU454,CE454=0),"N/A – JUSTIFIED","INVALID – N/A needs a real, settled reason (not 'not applicable' / 'as above' / TBC), a named PIC and a different named verifier"))),IF(OR(TRIM(U454)="Pass",TRIM(U454)="Pass after CA"),IF(NOT(ISNUMBER(AD454)),"INVALID – completion time missing",IF(OR(OR(LEN(AU454)&lt;2,ISNUMBER(MATCH(AU454,L_Placeholder,0))),BR454&lt;3),"INVALID – PIC missing or not a named person (a role such as QA / CSM is not a name)",IF(OR(LEN(AV454)&lt;2,ISNUMBER(MATCH(AV454,L_Placeholder,0))),"INVALID – result / assessment missing",IF(OR(OR(LEN(AW454)&lt;3,ISNUMBER(MATCH(AW454,L_Placeholder,0))),SUMPRODUCT(--ISNUMBER(SEARCH(" "&amp;L_EvidencePhrase&amp;" ",BD454)))&gt;0,BI454=1),"INVALID – evidence missing, placeholder or not yet on file",IF(ISNA(MATCH(TRIM(S454),L_EvidenceType,0)),"INVALID – choose the evidence type from the list (column S)",IF(BL454=0,"INVALID – evidence ID must be the record's own ID only (e.g. SF-2210, IMG_2231, 1045521); a link / file name needs type 'Link / file path'",IF(OR(OR(LEN(AX454)&lt;2,ISNUMBER(MATCH(AX454,L_Placeholder,0))),BS454&lt;3),"INVALID – verifier missing or not a named person (a role such as QA / CSM is not a name)",IF(OR(AX454=AU454,CE454=1,AND(LEN(AU454)&gt;=4,ISNUMBER(SEARCH(AU454,AX454))),AND(LEN(AX454)&gt;=4,ISNUMBER(SEARCH(AX454,AU454)))),"INVALID – verifier must be a different, named person (not the PIC or a role)",IF(BH454=1,"INVALID – result not yet available (awaiting / TBC)",IF(BG454=1,"INVALID – result describes a problem: record Fail, then Pass after CA (or reword if it is not a problem)",IF(BV454=1,"INVALID – wording says not on board: an on-board confirmation needs the item loaded",IF(AND(AQ454=1,OR(OR(LEN(AY454)&lt;3,ISNUMBER(MATCH(AY454,L_Placeholder,0))),BJ454=1,BQ454=0)),"INVALID – batch ID missing, placeholder or not an ID (e.g. PASB-261008-BC-017)",IF(AND(AR454=1,OR(NOT(ISNUMBER(X454)),NOT(ISNUMBER(Y454)))),"INVALID – expected/actual qty missing",IF(AND(AR454=1,OR(X454&lt;=0,Y454&lt;0)),"INVALID – expected qty must be above 0 and actual not negative",IF(AH447="N/A – JUSTIFIED","INVALID – preparation row F13-T12-10 is N/A",IF(AND(AR454=1,ISNUMBER(X447),X454&lt;&gt;X447,TRIM(U454)&lt;&gt;"Pass after CA"),"INVALID – expected qty differs from preparation check F13-T12-10: record the load change as a corrective action (Pass after CA)",IF(BB454&lt;&gt;"",BB454,IF(AND(AS454=1,Documents!$J$17&lt;&gt;"ON FILE"),"INVALID – GLD not on file (Documents sheet)",IF(AND(AS454=2,Documents!$O$17&lt;&gt;"ON FILE"),"INVALID – menu checklist not on file (Documents sheet)",IF(AND(AS454=3,NOT(ISNUMBER(Flights!$AX$17))),"INVALID – enter carrying flight KUL departure (Flights AX)",IF(AND(AS454=3,OR(Flights!$AZ$17&gt;Flights!$AA$17,Flights!$AX$17&lt;Flights!$AA$17-3)),"INVALID – carrying flight (Flights AX) cannot arrive before this leg's STD, or is over 3 days early",IF(AG454&gt;AsOfUTC,"INVALID – completion time is in the future",IF(AND(ISNUMBER(BY454),AG454&lt;BY454),IF(H454="Physical uplift","INVALID – before uplift window (cannot confirm loading)","INVALID – before valid window"),IF(AG454&gt;Flights!$AA$17,"INVALID – completed after departure (cannot establish readiness)",IF(AND(H454="Preparation",AG454&gt;=IF(ISNUMBER(Flights!$BA$17),MIN(Flights!$BA$17,Flights!$AA$17),Flights!$AA$17)),"INVALID – completed after loading / departure (cannot establish readiness)",IF(AND(H454="Physical uplift",AG454&gt;Q454),"INVALID – recorded after the loading flight departed",IF(AG454&gt;Q454,"COMPLETE – LATE","COMPLETE"))))))))))))))))))))))))))),IF(TRIM(U454)="Fail","FAIL – DISCREPANCY",IF(AND(TRIM(U454)&lt;&gt;"",TRIM(U454)&lt;&gt;"Not started",TRIM(U454)&lt;&gt;"In progress"),"INVALID – unrecognised status (use the list)",IF(AsOfUTC&gt;Q454,"OVERDUE",IF(N454="Clarification required","OPEN – CLARIFICATION","OPEN"))))))),"INVALID – error value in an input cell")</f>
        <v>OPEN</v>
      </c>
      <c r="AI454" s="61" t="n">
        <f aca="false">IF(OR(AH454="N/A – RULE",AH454="N/A – JUSTIFIED"),0,1)</f>
        <v>1</v>
      </c>
      <c r="AJ454" s="61" t="n">
        <f aca="false">IF(LEFT(AH454,8)="COMPLETE",1,0)</f>
        <v>0</v>
      </c>
      <c r="AK454" s="61" t="n">
        <f aca="false">IF(AND(AI454=1,AJ454=0,AsOfUTC&gt;Q454),1,0)</f>
        <v>0</v>
      </c>
      <c r="AL454" s="61" t="n">
        <f aca="false">IFERROR(IF(AND(AI454=1,OR(TRIM(U454)="Fail",AND(TRIM(AB454)&lt;&gt;"",TRIM(AB454)&lt;&gt;"Closed"),AND(ISNUMBER(AF454),AF454&lt;&gt;0,TRIM(U454)&lt;&gt;"Pass after CA"))),1,0),1)</f>
        <v>0</v>
      </c>
      <c r="AM454" s="61" t="n">
        <f aca="false">IF(LEFT(AH454,7)="INVALID",1,0)</f>
        <v>0</v>
      </c>
      <c r="AN454" s="61" t="n">
        <f aca="false">IF(AND(N454="Clarification required",AI454=1,AJ454=0),1,0)</f>
        <v>0</v>
      </c>
      <c r="AO454" s="61" t="str">
        <f aca="false">IF(AK454=1,SUM(AK$5:AK454),"")</f>
        <v/>
      </c>
      <c r="AP454" s="61" t="str">
        <f aca="false">IF(AL454=1,SUM(AL$5:AL454),"")</f>
        <v/>
      </c>
      <c r="AQ454" s="61" t="n">
        <v>0</v>
      </c>
      <c r="AR454" s="61" t="n">
        <v>1</v>
      </c>
      <c r="AS454" s="61" t="n">
        <v>0</v>
      </c>
      <c r="AT454" s="61" t="n">
        <v>0</v>
      </c>
      <c r="AU454" s="61" t="str">
        <f aca="false">SUBSTITUTE(SUBSTITUTE(SUBSTITUTE(SUBSTITUTE(SUBSTITUTE(SUBSTITUTE(SUBSTITUTE(SUBSTITUTE(SUBSTITUTE(SUBSTITUTE(SUBSTITUTE(SUBSTITUTE(SUBSTITUTE(SUBSTITUTE(SUBSTITUTE(SUBSTITUTE(LOWER(T454&amp;""),CHAR(10),""),CHAR(13),""),CHAR(9),""),CHAR(160),"")," ",""),".",""),"-",""),"/",""),"?",""),"_",""),",",""),"[",""),"]",""),"(",""),")",""),"*","")</f>
        <v/>
      </c>
      <c r="AV454" s="61" t="str">
        <f aca="false">SUBSTITUTE(SUBSTITUTE(SUBSTITUTE(SUBSTITUTE(SUBSTITUTE(SUBSTITUTE(SUBSTITUTE(SUBSTITUTE(SUBSTITUTE(SUBSTITUTE(SUBSTITUTE(SUBSTITUTE(SUBSTITUTE(SUBSTITUTE(SUBSTITUTE(SUBSTITUTE(LOWER(V454&amp;""),CHAR(10),""),CHAR(13),""),CHAR(9),""),CHAR(160),"")," ",""),".",""),"-",""),"/",""),"?",""),"_",""),",",""),"[",""),"]",""),"(",""),")",""),"*","")</f>
        <v/>
      </c>
      <c r="AW454" s="61" t="str">
        <f aca="false">SUBSTITUTE(SUBSTITUTE(SUBSTITUTE(SUBSTITUTE(SUBSTITUTE(SUBSTITUTE(SUBSTITUTE(SUBSTITUTE(SUBSTITUTE(SUBSTITUTE(SUBSTITUTE(SUBSTITUTE(SUBSTITUTE(SUBSTITUTE(SUBSTITUTE(SUBSTITUTE(LOWER(Z454&amp;""),CHAR(10),""),CHAR(13),""),CHAR(9),""),CHAR(160),"")," ",""),".",""),"-",""),"/",""),"?",""),"_",""),",",""),"[",""),"]",""),"(",""),")",""),"*","")</f>
        <v/>
      </c>
      <c r="AX454" s="61" t="str">
        <f aca="false">SUBSTITUTE(SUBSTITUTE(SUBSTITUTE(SUBSTITUTE(SUBSTITUTE(SUBSTITUTE(SUBSTITUTE(SUBSTITUTE(SUBSTITUTE(SUBSTITUTE(SUBSTITUTE(SUBSTITUTE(SUBSTITUTE(SUBSTITUTE(SUBSTITUTE(SUBSTITUTE(LOWER(AE454&amp;""),CHAR(10),""),CHAR(13),""),CHAR(9),""),CHAR(160),"")," ",""),".",""),"-",""),"/",""),"?",""),"_",""),",",""),"[",""),"]",""),"(",""),")",""),"*","")</f>
        <v/>
      </c>
      <c r="AY454" s="61" t="str">
        <f aca="false">SUBSTITUTE(SUBSTITUTE(SUBSTITUTE(SUBSTITUTE(SUBSTITUTE(SUBSTITUTE(SUBSTITUTE(SUBSTITUTE(SUBSTITUTE(SUBSTITUTE(SUBSTITUTE(SUBSTITUTE(SUBSTITUTE(SUBSTITUTE(SUBSTITUTE(SUBSTITUTE(LOWER(W454&amp;""),CHAR(10),""),CHAR(13),""),CHAR(9),""),CHAR(160),"")," ",""),".",""),"-",""),"/",""),"?",""),"_",""),",",""),"[",""),"]",""),"(",""),")",""),"*","")</f>
        <v/>
      </c>
      <c r="AZ454" s="61" t="str">
        <f aca="false">SUBSTITUTE(SUBSTITUTE(SUBSTITUTE(SUBSTITUTE(SUBSTITUTE(SUBSTITUTE(SUBSTITUTE(SUBSTITUTE(SUBSTITUTE(SUBSTITUTE(SUBSTITUTE(SUBSTITUTE(SUBSTITUTE(SUBSTITUTE(SUBSTITUTE(SUBSTITUTE(LOWER(AC454&amp;""),CHAR(10),""),CHAR(13),""),CHAR(9),""),CHAR(160),"")," ",""),".",""),"-",""),"/",""),"?",""),"_",""),",",""),"[",""),"]",""),"(",""),")",""),"*","")</f>
        <v/>
      </c>
      <c r="BA454" s="61" t="str">
        <f aca="false">SUBSTITUTE(SUBSTITUTE(SUBSTITUTE(SUBSTITUTE(SUBSTITUTE(SUBSTITUTE(SUBSTITUTE(SUBSTITUTE(SUBSTITUTE(SUBSTITUTE(SUBSTITUTE(SUBSTITUTE(SUBSTITUTE(SUBSTITUTE(SUBSTITUTE(SUBSTITUTE(LOWER(AA454&amp;""),CHAR(10),""),CHAR(13),""),CHAR(9),""),CHAR(160),"")," ",""),".",""),"-",""),"/",""),"?",""),"_",""),",",""),"[",""),"]",""),"(",""),")",""),"*","")</f>
        <v/>
      </c>
      <c r="BB454" s="61" t="str">
        <f aca="false">IF(AND(TRIM(U454)="Pass",ISNUMBER(AF454)),IF(AF454&lt;&gt;0,"INVALID – qty variance: use Fail or Pass after CA",""),"")&amp;IF(AND(TRIM(U454)="Pass after CA",ISNUMBER(AF454)),IF(AF454&lt;&gt;0,"INVALID – after the corrective action the actual qty must equal expected (update Actual)",""),"")&amp;IF(AND(TRIM(U454)="Pass",TRIM(AB454)&lt;&gt;"",TRIM(AB454)&lt;&gt;"Closed"),"INVALID – corrective action not closed: use Fail, then Pass after CA","")&amp;IF(AND(LEN(BA454)&gt;=2,ISNA(MATCH(LEFT(BA454,255),L_Placeholder,0)),TRIM(AB454)=""),"INVALID – CA status missing for the recorded corrective action","")&amp;IF(AND(TRIM(U454)="Pass after CA",OR(OR(LEN(BA454)&lt;5,ISNUMBER(MATCH(BA454,L_Placeholder,0))),TRIM(AB454)&lt;&gt;"Closed")),"INVALID – corrective action not recorded/closed","")</f>
        <v/>
      </c>
      <c r="BC454" s="61" t="str">
        <f aca="false">" "&amp;TRIM(SUBSTITUTE(SUBSTITUTE(SUBSTITUTE(SUBSTITUTE(SUBSTITUTE(SUBSTITUTE(SUBSTITUTE(SUBSTITUTE(SUBSTITUTE(SUBSTITUTE(SUBSTITUTE(SUBSTITUTE(SUBSTITUTE(SUBSTITUTE(SUBSTITUTE(SUBSTITUTE(SUBSTITUTE(SUBSTITUTE(SUBSTITUTE(SUBSTITUTE(SUBSTITUTE(SUBSTITUTE(SUBSTITUTE(SUBSTITUTE(LOWER(V454&amp;""),CHAR(10)," "),CHAR(13)," "),CHAR(9)," "),CHAR(160)," "),"."," "),","," "),"-"," "),"/"," "),"("," "),")"," "),":"," "),";"," "),"_"," "),"–"," "),"?"," "),"!"," "),"*"," "),"["," "),"]"," "),"'"," "),"#"," "),"+"," "),"&amp;"," "),"\"," "))&amp;" "</f>
        <v>  </v>
      </c>
      <c r="BD454" s="61" t="str">
        <f aca="false">" "&amp;TRIM(SUBSTITUTE(SUBSTITUTE(SUBSTITUTE(SUBSTITUTE(SUBSTITUTE(SUBSTITUTE(SUBSTITUTE(SUBSTITUTE(SUBSTITUTE(SUBSTITUTE(SUBSTITUTE(SUBSTITUTE(SUBSTITUTE(SUBSTITUTE(SUBSTITUTE(SUBSTITUTE(SUBSTITUTE(SUBSTITUTE(SUBSTITUTE(SUBSTITUTE(SUBSTITUTE(SUBSTITUTE(SUBSTITUTE(SUBSTITUTE(LOWER(Z454&amp;""),CHAR(10)," "),CHAR(13)," "),CHAR(9)," "),CHAR(160)," "),"."," "),","," "),"-"," "),"/"," "),"("," "),")"," "),":"," "),";"," "),"_"," "),"–"," "),"?"," "),"!"," "),"*"," "),"["," "),"]"," "),"'"," "),"#"," "),"+"," "),"&amp;"," "),"\"," "))&amp;" "</f>
        <v>  </v>
      </c>
      <c r="BE454" s="61" t="str">
        <f aca="false">" "&amp;TRIM(SUBSTITUTE(SUBSTITUTE(SUBSTITUTE(SUBSTITUTE(SUBSTITUTE(SUBSTITUTE(SUBSTITUTE(SUBSTITUTE(SUBSTITUTE(SUBSTITUTE(SUBSTITUTE(SUBSTITUTE(SUBSTITUTE(SUBSTITUTE(SUBSTITUTE(SUBSTITUTE(SUBSTITUTE(SUBSTITUTE(SUBSTITUTE(SUBSTITUTE(SUBSTITUTE(SUBSTITUTE(SUBSTITUTE(SUBSTITUTE(LOWER(W454&amp;""),CHAR(10)," "),CHAR(13)," "),CHAR(9)," "),CHAR(160)," "),"."," "),","," "),"-"," "),"/"," "),"("," "),")"," "),":"," "),";"," "),"_"," "),"–"," "),"?"," "),"!"," "),"*"," "),"["," "),"]"," "),"'"," "),"#"," "),"+"," "),"&amp;"," "),"\"," "))&amp;" "</f>
        <v>  </v>
      </c>
      <c r="BF454" s="61" t="str">
        <f aca="false">" "&amp;TRIM(SUBSTITUTE(SUBSTITUTE(SUBSTITUTE(SUBSTITUTE(SUBSTITUTE(SUBSTITUTE(SUBSTITUTE(SUBSTITUTE(SUBSTITUTE(SUBSTITUTE(SUBSTITUTE(SUBSTITUTE(SUBSTITUTE(SUBSTITUTE(SUBSTITUTE(SUBSTITUTE(SUBSTITUTE(SUBSTITUTE(SUBSTITUTE(SUBSTITUTE(SUBSTITUTE(SUBSTITUTE(SUBSTITUTE(SUBSTITUTE(LOWER(AC454&amp;""),CHAR(10)," "),CHAR(13)," "),CHAR(9)," "),CHAR(160)," "),"."," "),","," "),"-"," "),"/"," "),"("," "),")"," "),":"," "),";"," "),"_"," "),"–"," "),"?"," "),"!"," "),"*"," "),"["," "),"]"," "),"'"," "),"#"," "),"+"," "),"&amp;"," "),"\"," "))&amp;" "</f>
        <v>  </v>
      </c>
      <c r="BG454" s="61" t="n">
        <f aca="false">IFERROR(IF(AND(TRIM(U454)="Pass",SUMPRODUCT((LEN(BC454)-LEN(SUBSTITUTE(BC454," "&amp;L_ResultBad&amp;" "," ")))/(LEN(L_ResultBad)+1))&gt;SUMPRODUCT((LEN(BC454)-LEN(SUBSTITUTE(BC454," "&amp;L_NegPhrase&amp;" "," ")))/(LEN(L_NegPhrase)+1))),1,0),0)</f>
        <v>0</v>
      </c>
      <c r="BH454" s="61" t="n">
        <f aca="false">IFERROR(IF(SUMPRODUCT((LEN(BC454)-LEN(SUBSTITUTE(BC454," "&amp;L_Pending&amp;" "," ")))/(LEN(L_Pending)+1))&gt;SUMPRODUCT((LEN(BC454)-LEN(SUBSTITUTE(BC454," "&amp;L_PendNeg&amp;" "," ")))/(LEN(L_PendNeg)+1)),1,0),1)</f>
        <v>0</v>
      </c>
      <c r="BI454" s="61" t="n">
        <f aca="false">IFERROR(IF(SUMPRODUCT((LEN(BD454)-LEN(SUBSTITUTE(BD454," "&amp;L_PendStrict&amp;" "," ")))/(LEN(L_PendStrict)+1))&gt;SUMPRODUCT((LEN(BD454)-LEN(SUBSTITUTE(BD454," "&amp;L_PendNeg&amp;" "," ")))/(LEN(L_PendNeg)+1)),1,0),1)</f>
        <v>0</v>
      </c>
      <c r="BJ454" s="61" t="n">
        <f aca="false">IFERROR(IF(SUMPRODUCT((LEN(BE454)-LEN(SUBSTITUTE(BE454," "&amp;L_Pending&amp;" "," ")))/(LEN(L_Pending)+1))&gt;SUMPRODUCT((LEN(BE454)-LEN(SUBSTITUTE(BE454," "&amp;L_PendNeg&amp;" "," ")))/(LEN(L_PendNeg)+1)),1,0),1)</f>
        <v>0</v>
      </c>
      <c r="BK454" s="61" t="n">
        <f aca="false">IFERROR(IF(SUMPRODUCT((LEN(BF454)-LEN(SUBSTITUTE(BF454," "&amp;L_PendStrict&amp;" "," ")))/(LEN(L_PendStrict)+1))&gt;SUMPRODUCT((LEN(BF454)-LEN(SUBSTITUTE(BF454," "&amp;L_PendNeg&amp;" "," ")))/(LEN(L_PendNeg)+1)),1,0),1)</f>
        <v>0</v>
      </c>
      <c r="BL454" s="61" t="n">
        <f aca="false">IF(ISNA(MATCH(TRIM(S454),L_EvidenceType,0)),0,BZ454)</f>
        <v>0</v>
      </c>
      <c r="BM454" s="61" t="str">
        <f aca="false">SUBSTITUTE(SUBSTITUTE(SUBSTITUTE(SUBSTITUTE(SUBSTITUTE(SUBSTITUTE(SUBSTITUTE(SUBSTITUTE(SUBSTITUTE(LOWER(Z454&amp;""),"1","0"),"2","0"),"3","0"),"4","0"),"5","0"),"6","0"),"7","0"),"8","0"),"9","0")</f>
        <v/>
      </c>
      <c r="BN454" s="61" t="str">
        <f aca="false">SUBSTITUTE(SUBSTITUTE(SUBSTITUTE(SUBSTITUTE(SUBSTITUTE(SUBSTITUTE(SUBSTITUTE(SUBSTITUTE(SUBSTITUTE(SUBSTITUTE(SUBSTITUTE(SUBSTITUTE(SUBSTITUTE(SUBSTITUTE(SUBSTITUTE(SUBSTITUTE(SUBSTITUTE(SUBSTITUTE(SUBSTITUTE(SUBSTITUTE(SUBSTITUTE(SUBSTITUTE(SUBSTITUTE(SUBSTITUTE(SUBSTITUTE(BM454,"b","a"),"c","a"),"d","a"),"e","a"),"f","a"),"g","a"),"h","a"),"i","a"),"j","a"),"k","a"),"l","a"),"m","a"),"n","a"),"o","a"),"p","a"),"q","a"),"r","a"),"s","a"),"t","a"),"u","a"),"v","a"),"w","a"),"x","a"),"y","a"),"z","a")</f>
        <v/>
      </c>
      <c r="BO454" s="61" t="str">
        <f aca="false">SUBSTITUTE(SUBSTITUTE(SUBSTITUTE(SUBSTITUTE(SUBSTITUTE(SUBSTITUTE(SUBSTITUTE(SUBSTITUTE(SUBSTITUTE(LOWER(W454&amp;""),"1","0"),"2","0"),"3","0"),"4","0"),"5","0"),"6","0"),"7","0"),"8","0"),"9","0")</f>
        <v/>
      </c>
      <c r="BP454" s="61" t="str">
        <f aca="false">SUBSTITUTE(SUBSTITUTE(SUBSTITUTE(SUBSTITUTE(SUBSTITUTE(SUBSTITUTE(SUBSTITUTE(SUBSTITUTE(SUBSTITUTE(SUBSTITUTE(SUBSTITUTE(SUBSTITUTE(SUBSTITUTE(SUBSTITUTE(SUBSTITUTE(SUBSTITUTE(SUBSTITUTE(SUBSTITUTE(SUBSTITUTE(SUBSTITUTE(SUBSTITUTE(SUBSTITUTE(SUBSTITUTE(SUBSTITUTE(SUBSTITUTE(BO454,"b","a"),"c","a"),"d","a"),"e","a"),"f","a"),"g","a"),"h","a"),"i","a"),"j","a"),"k","a"),"l","a"),"m","a"),"n","a"),"o","a"),"p","a"),"q","a"),"r","a"),"s","a"),"t","a"),"u","a"),"v","a"),"w","a"),"x","a"),"y","a"),"z","a")</f>
        <v/>
      </c>
      <c r="BQ454" s="61" t="n">
        <f aca="false">IFERROR(IF(AND(ISERROR(SEARCH(" mh"," "&amp;LOWER(W454))),ISNA(MATCH(LEFT(TRIM(BP454),255),{"0000a","000a","00a","0000aa","000aa","00aa","0aa","0000aaa","000aaa","00a00","0a00","0000-0000","00:00","a00","a0","00.00.0000","00/00/0000","00-00-0000","0000-00-00","0000/00/00","0000.00.00","00.00.00","00/00/00","00-00-00","0.00.0000","0/00/0000","0-00-0000"},0)),ISNA(MATCH(LEFT(TRIM(CA454),255),{"0000a","000a","00a","0000aa","000aa","00aa","0aa","0000aaa","000aaa","00a00","0a00","0000-0000","00:00","a00","a0","00.00.0000","00/00/0000","00-00-0000","0000-00-00","0000/00/00","0000.00.00","00.00.00","00/00/00","00-00-00","0.00.0000","0/00/0000","0-00-0000"},0)),LEN(CB454)&gt;=3,NOT(OR(SUBSTITUTE(CB454,"0","")="",AND(LEN(CB454)&gt;=4,CB454=REPT(LEFT(CB454),LEN(CB454))),ISNUMBER(MATCH(CB454,{"123","1234","12345","123456","1234567","12345678","0123","01234","012345","98765","987654","54321"},0)),AND(LEN(CB454)=8,LEFT(CB454,3)="202"))),OR(AND((LEN(CA454)-LEN(SUBSTITUTE(CA454,"a","")))&gt;=1,SUMPRODUCT(--ISNUMBER(SEARCH({"a0","a-0","a_0","a/0","a.0","a#0","0a","0-a","0_a","0/a"},BP454)))&gt;0),ISNUMBER(SEARCH("000000",BP454)))),1,0),0)</f>
        <v>0</v>
      </c>
      <c r="BR454" s="61" t="n">
        <f aca="false">IFERROR(LEN(SUBSTITUTE(CC454," ",""))-SUMPRODUCT((LEN(CC454)-LEN(SUBSTITUTE(CC454," "&amp;L_Role&amp;" "," ")))/(LEN(L_Role)+1)*LEN(L_Role)),0)</f>
        <v>0</v>
      </c>
      <c r="BS454" s="61" t="n">
        <f aca="false">IFERROR(LEN(SUBSTITUTE(CD454," ",""))-SUMPRODUCT((LEN(CD454)-LEN(SUBSTITUTE(CD454," "&amp;L_Role&amp;" "," ")))/(LEN(L_Role)+1)*LEN(L_Role)),0)</f>
        <v>0</v>
      </c>
      <c r="BT4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454,"revision",""),"version",""),"jan",""),"feb",""),"mar",""),"apr",""),"may",""),"jun",""),"jul",""),"aug",""),"sep",""),"oct",""),"nov",""),"dec",""),"utc",""),"gmt",""),"myt",""),"bst",""),"rev",""),"ver",""),"b","a"),"c","a"),"d","a"),"e","a"),"f","a"),"g","a"),"h","a"),"i","a"),"j","a"),"k","a"),"l","a"),"m","a"),"n","a"),"o","a"),"p","a"),"q","a"),"r","a"),"s","a"),"t","a"),"u","a"),"v","a"),"w","a"),"x","a"),"y","a"),"z","a")</f>
        <v/>
      </c>
      <c r="BU454" s="61" t="str">
        <f aca="false">SUBSTITUTE(SUBSTITUTE(SUBSTITUTE(SUBSTITUTE(SUBSTITUTE(SUBSTITUTE(SUBSTITUTE(SUBSTITUTE(SUBSTITUTE(SUBSTITUTE(LEFT(BM454,FIND("0",BM454&amp;"0")-1),"-",""),"_",""),"/",""),".",""),"#",""),"\\",""),":","")," ",""),"(",""),")","")</f>
        <v/>
      </c>
      <c r="BV454" s="61" t="n">
        <f aca="false">IFERROR(IF(OR(SUMPRODUCT((LEN(BC454)-LEN(SUBSTITUTE(BC454," "&amp;L_NotLoaded&amp;" "," ")))/(LEN(L_NotLoaded)+1))&gt;SUMPRODUCT((LEN(BC454)-LEN(SUBSTITUTE(BC454," "&amp;L_NotLoadedNeg&amp;" "," ")))/(LEN(L_NotLoadedNeg)+1)),SUMPRODUCT((LEN(BD454)-LEN(SUBSTITUTE(BD454," "&amp;L_NotLoaded&amp;" "," ")))/(LEN(L_NotLoaded)+1))&gt;SUMPRODUCT((LEN(BD454)-LEN(SUBSTITUTE(BD454," "&amp;L_NotLoadedNeg&amp;" "," ")))/(LEN(L_NotLoadedNeg)+1))),1,0),0)</f>
        <v>0</v>
      </c>
      <c r="BW4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454&amp;""),"a",""),"b",""),"c",""),"d",""),"e",""),"f",""),"g",""),"h",""),"i",""),"j",""),"k",""),"l",""),"m",""),"n",""),"o",""),"p",""),"q",""),"r",""),"s",""),"t",""),"u",""),"v",""),"w",""),"x",""),"y",""),"z",""),"-",""),"_",""),"/",""),".",""),"#",""),"\\",""),":","")," ",""),"(",""),")","")</f>
        <v/>
      </c>
      <c r="BX454" s="61" t="str">
        <f aca="false">SUBSTITUTE(SUBSTITUTE(SUBSTITUTE(SUBSTITUTE(SUBSTITUTE(SUBSTITUTE(SUBSTITUTE(SUBSTITUTE(SUBSTITUTE(SUBSTITUTE(SUBSTITUTE(BM454,"0",""),"-",""),"_",""),"/",""),".",""),"#",""),"\\",""),":","")," ",""),"(",""),")","")</f>
        <v/>
      </c>
      <c r="BY454" s="62" t="n">
        <f aca="false">IF(ISNUMBER(Flights!$AZ$17),MAX(Q454-UpliftWindowH/24,Flights!$AZ$17),Q454-UpliftWindowH/24)</f>
        <v>46308.7604166667</v>
      </c>
      <c r="BZ454" s="61" t="n">
        <f aca="false">IFERROR(IF(IF(TRIM(S454)="Link / file path",AND(LEN(TRIM(Z454))&gt;=5,SUMPRODUCT(--ISNUMBER(SEARCH({"http","www.","\\",":\",".pdf",".jpg",".jpeg",".png",".heic",".xls",".doc",".msg",".eml",".ppt",".txt",".zip"},Z454)))&gt;0),AND(ISERROR(FIND(" ",TRIM(Z454))),NOT(OR(SUMPRODUCT(--ISNUMBER(FIND({",",";","&amp;","+"},Z454)))&gt;0,SUMPRODUCT(--ISNUMBER(SEARCH({"0/aa","0\\aa"},BN454)))&gt;0)),NOT(SUMPRODUCT(--ISNUMBER(SEARCH({"http","www.","\\",":\",".pdf",".jpg",".jpeg",".png",".heic",".xls",".doc",".msg",".eml",".ppt",".txt",".zip"},Z454)))&gt;0),NOT(LOWER(TRIM(Z454))=LOWER(Flights!$F$17)),ISNA(MATCH(BU454,{"mh","rev","revision","ver","version","v","r","a","b","seat","tray","row","gate","bay","stand","page","pg","item","line","no","cart","galley","flight","flt","table","box","bag","oven","etd","eta","std","sta","atd","ata","qty","pax","x","time","tel","ph","mob","day","wk","week","utc","gmt","myt","lt"},0)),NOT(OR(ISNUMBER(MATCH(LEFT(BN454,255),{"0000a","000a","00a","0000aa","000aa","00aa","0aa","0000aaa","000aaa","00a00","0a00","0000-0000","00:00","a00","a0","00.00.0000","00/00/0000","00-00-0000","0000-00-00","0000/00/00","0000.00.00","00.00.00","00/00/00","00-00-00","0.00.0000","0/00/0000","0-00-0000"},0)),ISNUMBER(MATCH(LEFT(BT454,255),{"0000a","000a","00a","0000aa","000aa","00aa","0aa","0000aaa","000aaa","00a00","0a00","0000-0000","00:00","a00","a0","00.00.0000","00/00/0000","00-00-0000","0000-00-00","0000/00/00","0000.00.00","00.00.00","00/00/00","00-00-00","0.00.0000","0/00/0000","0-00-0000"},0)))),NOT(OR(AND(BW454&lt;&gt;"",SUBSTITUTE(BW454,"0","")=""),AND(LEN(BW454)&gt;=4,BW454=REPT(LEFT(BW454),LEN(BW454))),ISNUMBER(MATCH(BW454,{"123","1234","12345","123456","1234567","12345678","0123","01234","012345","98765","987654","54321"},0)),ISNUMBER(MATCH(BX454,{"x","xx","xxx","xxxx","xxxxx","abc","abcd","nil","na","nan","test","tbc","tba","tbd","dummy","sample","example","eg","zz","zzz","none","null","xyz","qwe","asd","id","ref"},0)),AND(LEN(BW454)=8,BX454="",OR(LEFT(BW454,3)="202",ISNUMBER(MATCH(RIGHT(BW454,4),{"2025","2026","2027"},0)))))),OR(AND((LEN(BT454)-LEN(SUBSTITUTE(BT454,"a","")))&gt;=1,(LEN(BN454)-LEN(SUBSTITUTE(BN454,"0","")))&gt;=2,SUMPRODUCT(--ISNUMBER(SEARCH({"a0","a-0","a_0","a/0","a.0","a#0","0a","0-a","0_a","0/a"},BN454)))&gt;0),AND((LEN(BN454)-LEN(SUBSTITUTE(BN454,"a","")))=0,(LEN(BN454)-LEN(SUBSTITUTE(BN454,"0","")))&gt;=5)))),1,0),0)</f>
        <v>0</v>
      </c>
      <c r="CA4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454,"revision",""),"version",""),"jan",""),"feb",""),"mar",""),"apr",""),"may",""),"jun",""),"jul",""),"aug",""),"sep",""),"oct",""),"nov",""),"dec",""),"utc",""),"gmt",""),"myt",""),"bst",""),"rev",""),"ver",""),"b","a"),"c","a"),"d","a"),"e","a"),"f","a"),"g","a"),"h","a"),"i","a"),"j","a"),"k","a"),"l","a"),"m","a"),"n","a"),"o","a"),"p","a"),"q","a"),"r","a"),"s","a"),"t","a"),"u","a"),"v","a"),"w","a"),"x","a"),"y","a"),"z","a")</f>
        <v/>
      </c>
      <c r="CB4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454&amp;""),"a",""),"b",""),"c",""),"d",""),"e",""),"f",""),"g",""),"h",""),"i",""),"j",""),"k",""),"l",""),"m",""),"n",""),"o",""),"p",""),"q",""),"r",""),"s",""),"t",""),"u",""),"v",""),"w",""),"x",""),"y",""),"z",""),"-",""),"_",""),"/",""),".",""),"#",""),"\\",""),":","")," ",""),"(",""),")","")</f>
        <v/>
      </c>
      <c r="CC454" s="0" t="str">
        <f aca="false">" "&amp;TRIM(SUBSTITUTE(SUBSTITUTE(SUBSTITUTE(SUBSTITUTE(SUBSTITUTE(SUBSTITUTE(SUBSTITUTE(SUBSTITUTE(SUBSTITUTE(SUBSTITUTE(SUBSTITUTE(SUBSTITUTE(SUBSTITUTE(SUBSTITUTE(SUBSTITUTE(SUBSTITUTE(SUBSTITUTE(SUBSTITUTE(SUBSTITUTE(SUBSTITUTE(SUBSTITUTE(SUBSTITUTE(SUBSTITUTE(SUBSTITUTE(LOWER(T454&amp;""),CHAR(10)," "),CHAR(13)," "),CHAR(9)," "),CHAR(160)," "),"."," "),","," "),"-"," "),"/"," "),"("," "),")"," "),":"," "),";"," "),"_"," "),"–"," "),"?"," "),"!"," "),"*"," "),"["," "),"]"," "),"'"," "),"#"," "),"+"," "),"&amp;"," "),"\"," "))&amp;" "</f>
        <v>  </v>
      </c>
      <c r="CD454" s="0" t="str">
        <f aca="false">" "&amp;TRIM(SUBSTITUTE(SUBSTITUTE(SUBSTITUTE(SUBSTITUTE(SUBSTITUTE(SUBSTITUTE(SUBSTITUTE(SUBSTITUTE(SUBSTITUTE(SUBSTITUTE(SUBSTITUTE(SUBSTITUTE(SUBSTITUTE(SUBSTITUTE(SUBSTITUTE(SUBSTITUTE(SUBSTITUTE(SUBSTITUTE(SUBSTITUTE(SUBSTITUTE(SUBSTITUTE(SUBSTITUTE(SUBSTITUTE(SUBSTITUTE(LOWER(AE454&amp;""),CHAR(10)," "),CHAR(13)," "),CHAR(9)," "),CHAR(160)," "),"."," "),","," "),"-"," "),"/"," "),"("," "),")"," "),":"," "),";"," "),"_"," "),"–"," "),"?"," "),"!"," "),"*"," "),"["," "),"]"," "),"'"," "),"#"," "),"+"," "),"&amp;"," "),"\"," "))&amp;" "</f>
        <v>  </v>
      </c>
      <c r="CE454" s="68" t="n">
        <f aca="false">IFERROR(IF(AND(LEN(AU454)&gt;0,LEN(AU454)=LEN(AX454),OR(TRIM(MID(SUBSTITUTE(TRIM(CC454)," ",REPT(" ",60)),1,60))="",ISNUMBER(SEARCH(" "&amp;TRIM(MID(SUBSTITUTE(TRIM(CC454)," ",REPT(" ",60)),1,60))&amp;" ",CD454))),OR(TRIM(MID(SUBSTITUTE(TRIM(CC454)," ",REPT(" ",60)),61,60))="",ISNUMBER(SEARCH(" "&amp;TRIM(MID(SUBSTITUTE(TRIM(CC454)," ",REPT(" ",60)),61,60))&amp;" ",CD454))),OR(TRIM(MID(SUBSTITUTE(TRIM(CC454)," ",REPT(" ",60)),121,60))="",ISNUMBER(SEARCH(" "&amp;TRIM(MID(SUBSTITUTE(TRIM(CC454)," ",REPT(" ",60)),121,60))&amp;" ",CD454)))),1,0),0)</f>
        <v>0</v>
      </c>
      <c r="CG454" s="68" t="n">
        <f aca="false">IFERROR(LEN(SUBSTITUTE(BF454," ",""))-SUMPRODUCT((LEN(BF454)-LEN(SUBSTITUTE(BF454," "&amp;L_NAFiller&amp;" "," ")))/(LEN(L_NAFiller)+1)*LEN(L_NAFiller)),0)</f>
        <v>0</v>
      </c>
    </row>
    <row r="455" customFormat="false" ht="54" hidden="false" customHeight="true" outlineLevel="0" collapsed="false">
      <c r="A455" s="57" t="s">
        <v>1101</v>
      </c>
      <c r="B455" s="57" t="s">
        <v>272</v>
      </c>
      <c r="C455" s="57" t="str">
        <f aca="false">Flights!$F$17</f>
        <v>MH0138</v>
      </c>
      <c r="D455" s="58" t="n">
        <f aca="false">Flights!$D$17</f>
        <v>46309</v>
      </c>
      <c r="E455" s="57" t="str">
        <f aca="false">Flights!$G$17&amp;"-"&amp;Flights!$H$17</f>
        <v>ADL-KUL</v>
      </c>
      <c r="F455" s="57" t="str">
        <f aca="false">Flights!$K$17</f>
        <v>EY</v>
      </c>
      <c r="G455" s="57" t="s">
        <v>459</v>
      </c>
      <c r="H455" s="57" t="s">
        <v>460</v>
      </c>
      <c r="I455" s="57" t="s">
        <v>634</v>
      </c>
      <c r="J455" s="57" t="s">
        <v>659</v>
      </c>
      <c r="K455" s="67" t="s">
        <v>1040</v>
      </c>
      <c r="L455" s="67" t="s">
        <v>1041</v>
      </c>
      <c r="M455" s="67" t="s">
        <v>451</v>
      </c>
      <c r="N455" s="67" t="s">
        <v>444</v>
      </c>
      <c r="O455" s="67" t="s">
        <v>1102</v>
      </c>
      <c r="P455" s="57" t="s">
        <v>263</v>
      </c>
      <c r="Q455" s="59" t="n">
        <f aca="false">ROUND((Flights!$AF$17)*1440,0)/1440</f>
        <v>46309.0104166667</v>
      </c>
      <c r="R455" s="59" t="n">
        <f aca="false">Q455+(IF(AND(INDEX(TZ_DSTS,MATCH(P455,TZ_STN,0))&lt;&gt;"",Q455&gt;=INDEX(TZ_DSTS,MATCH(P455,TZ_STN,0)),Q455&lt;INDEX(TZ_DSTE,MATCH(P455,TZ_STN,0))),INDEX(TZ_DST,MATCH(P455,TZ_STN,0)),INDEX(TZ_STD,MATCH(P455,TZ_STN,0))))/24</f>
        <v>46309.4479166667</v>
      </c>
      <c r="S455" s="60"/>
      <c r="T455" s="60"/>
      <c r="U455" s="60"/>
      <c r="V455" s="60"/>
      <c r="W455" s="61"/>
      <c r="X455" s="60"/>
      <c r="Y455" s="60"/>
      <c r="Z455" s="60"/>
      <c r="AA455" s="60"/>
      <c r="AB455" s="60"/>
      <c r="AC455" s="60"/>
      <c r="AD455" s="66"/>
      <c r="AE455" s="60"/>
      <c r="AF455" s="61" t="str">
        <f aca="false">IF(AND(ISNUMBER(X455),ISNUMBER(Y455)),Y455-X455,"")</f>
        <v/>
      </c>
      <c r="AG455" s="62" t="str">
        <f aca="false">IF(ISNUMBER(AD455),AD455-(IF(AND(INDEX(TZ_DSTS,MATCH(P455,TZ_STN,0))&lt;&gt;"",(AD455-INDEX(TZ_STD,MATCH(P455,TZ_STN,0))/24)&gt;=INDEX(TZ_DSTS,MATCH(P455,TZ_STN,0)),(AD455-INDEX(TZ_STD,MATCH(P455,TZ_STN,0))/24)&lt;INDEX(TZ_DSTE,MATCH(P455,TZ_STN,0))),INDEX(TZ_DST,MATCH(P455,TZ_STN,0)),INDEX(TZ_STD,MATCH(P455,TZ_STN,0))))/24,"")</f>
        <v/>
      </c>
      <c r="AH455" s="65" t="str">
        <f aca="false">IFERROR(IF(N455="N/A – rule",IF(OR(TRIM(U455)="",TRIM(U455)="N/A",TRIM(U455)="Not started"),"N/A – RULE","INVALID – this check does not apply to this aircraft: clear the status (or correct the fleet on Flights)"),IF(TRIM(U455)="N/A",IF(AT455=0,"INVALID – N/A not permitted for this check",IF(AND(TRIM(AB455)&lt;&gt;"",TRIM(AB455)&lt;&gt;"Closed"),"INVALID – corrective action still open",IF(AND(NOT(OR(LEN(AZ455)&lt;15,ISNUMBER(MATCH(AZ455,L_Placeholder,0)))),BK455=0,CG455&gt;=8,NOT(OR(LEN(AU455)&lt;2,ISNUMBER(MATCH(AU455,L_Placeholder,0)))),BR455&gt;=3,NOT(OR(LEN(AX455)&lt;2,ISNUMBER(MATCH(AX455,L_Placeholder,0)))),BS455&gt;=3,TRIM(AE455)&lt;&gt;TRIM(T455),AX455&lt;&gt;AU455,CE455=0),"N/A – JUSTIFIED","INVALID – N/A needs a real, settled reason (not 'not applicable' / 'as above' / TBC), a named PIC and a different named verifier"))),IF(OR(TRIM(U455)="Pass",TRIM(U455)="Pass after CA"),IF(NOT(ISNUMBER(AD455)),"INVALID – completion time missing",IF(OR(OR(LEN(AU455)&lt;2,ISNUMBER(MATCH(AU455,L_Placeholder,0))),BR455&lt;3),"INVALID – PIC missing or not a named person (a role such as QA / CSM is not a name)",IF(OR(LEN(AV455)&lt;2,ISNUMBER(MATCH(AV455,L_Placeholder,0))),"INVALID – result / assessment missing",IF(OR(OR(LEN(AW455)&lt;3,ISNUMBER(MATCH(AW455,L_Placeholder,0))),SUMPRODUCT(--ISNUMBER(SEARCH(" "&amp;L_EvidencePhrase&amp;" ",BD455)))&gt;0,BI455=1),"INVALID – evidence missing, placeholder or not yet on file",IF(ISNA(MATCH(TRIM(S455),L_EvidenceType,0)),"INVALID – choose the evidence type from the list (column S)",IF(BL455=0,"INVALID – evidence ID must be the record's own ID only (e.g. SF-2210, IMG_2231, 1045521); a link / file name needs type 'Link / file path'",IF(OR(OR(LEN(AX455)&lt;2,ISNUMBER(MATCH(AX455,L_Placeholder,0))),BS455&lt;3),"INVALID – verifier missing or not a named person (a role such as QA / CSM is not a name)",IF(OR(AX455=AU455,CE455=1,AND(LEN(AU455)&gt;=4,ISNUMBER(SEARCH(AU455,AX455))),AND(LEN(AX455)&gt;=4,ISNUMBER(SEARCH(AX455,AU455)))),"INVALID – verifier must be a different, named person (not the PIC or a role)",IF(BH455=1,"INVALID – result not yet available (awaiting / TBC)",IF(BG455=1,"INVALID – result describes a problem: record Fail, then Pass after CA (or reword if it is not a problem)",IF(BV455=1,"INVALID – wording says not on board: an on-board confirmation needs the item loaded",IF(AND(AQ455=1,OR(OR(LEN(AY455)&lt;3,ISNUMBER(MATCH(AY455,L_Placeholder,0))),BJ455=1,BQ455=0)),"INVALID – batch ID missing, placeholder or not an ID (e.g. PASB-261008-BC-017)",IF(AND(AR455=1,OR(NOT(ISNUMBER(X455)),NOT(ISNUMBER(Y455)))),"INVALID – expected/actual qty missing",IF(AND(AR455=1,OR(X455&lt;=0,Y455&lt;0)),"INVALID – expected qty must be above 0 and actual not negative",IF(AH448="N/A – JUSTIFIED","INVALID – preparation row F13-T12-11 is N/A",IF(AND(AR455=1,ISNUMBER(X448),X455&lt;&gt;X448,TRIM(U455)&lt;&gt;"Pass after CA"),"INVALID – expected qty differs from preparation check F13-T12-11: record the load change as a corrective action (Pass after CA)",IF(BB455&lt;&gt;"",BB455,IF(AND(AS455=1,Documents!$J$17&lt;&gt;"ON FILE"),"INVALID – GLD not on file (Documents sheet)",IF(AND(AS455=2,Documents!$O$17&lt;&gt;"ON FILE"),"INVALID – menu checklist not on file (Documents sheet)",IF(AND(AS455=3,NOT(ISNUMBER(Flights!$AX$17))),"INVALID – enter carrying flight KUL departure (Flights AX)",IF(AND(AS455=3,OR(Flights!$AZ$17&gt;Flights!$AA$17,Flights!$AX$17&lt;Flights!$AA$17-3)),"INVALID – carrying flight (Flights AX) cannot arrive before this leg's STD, or is over 3 days early",IF(AG455&gt;AsOfUTC,"INVALID – completion time is in the future",IF(AND(ISNUMBER(BY455),AG455&lt;BY455),IF(H455="Physical uplift","INVALID – before uplift window (cannot confirm loading)","INVALID – before valid window"),IF(AG455&gt;Flights!$AA$17,"INVALID – completed after departure (cannot establish readiness)",IF(AND(H455="Preparation",AG455&gt;=IF(ISNUMBER(Flights!$BA$17),MIN(Flights!$BA$17,Flights!$AA$17),Flights!$AA$17)),"INVALID – completed after loading / departure (cannot establish readiness)",IF(AND(H455="Physical uplift",AG455&gt;Q455),"INVALID – recorded after the loading flight departed",IF(AG455&gt;Q455,"COMPLETE – LATE","COMPLETE"))))))))))))))))))))))))))),IF(TRIM(U455)="Fail","FAIL – DISCREPANCY",IF(AND(TRIM(U455)&lt;&gt;"",TRIM(U455)&lt;&gt;"Not started",TRIM(U455)&lt;&gt;"In progress"),"INVALID – unrecognised status (use the list)",IF(AsOfUTC&gt;Q455,"OVERDUE",IF(N455="Clarification required","OPEN – CLARIFICATION","OPEN"))))))),"INVALID – error value in an input cell")</f>
        <v>OPEN – CLARIFICATION</v>
      </c>
      <c r="AI455" s="61" t="n">
        <f aca="false">IF(OR(AH455="N/A – RULE",AH455="N/A – JUSTIFIED"),0,1)</f>
        <v>1</v>
      </c>
      <c r="AJ455" s="61" t="n">
        <f aca="false">IF(LEFT(AH455,8)="COMPLETE",1,0)</f>
        <v>0</v>
      </c>
      <c r="AK455" s="61" t="n">
        <f aca="false">IF(AND(AI455=1,AJ455=0,AsOfUTC&gt;Q455),1,0)</f>
        <v>0</v>
      </c>
      <c r="AL455" s="61" t="n">
        <f aca="false">IFERROR(IF(AND(AI455=1,OR(TRIM(U455)="Fail",AND(TRIM(AB455)&lt;&gt;"",TRIM(AB455)&lt;&gt;"Closed"),AND(ISNUMBER(AF455),AF455&lt;&gt;0,TRIM(U455)&lt;&gt;"Pass after CA"))),1,0),1)</f>
        <v>0</v>
      </c>
      <c r="AM455" s="61" t="n">
        <f aca="false">IF(LEFT(AH455,7)="INVALID",1,0)</f>
        <v>0</v>
      </c>
      <c r="AN455" s="61" t="n">
        <f aca="false">IF(AND(N455="Clarification required",AI455=1,AJ455=0),1,0)</f>
        <v>1</v>
      </c>
      <c r="AO455" s="61" t="str">
        <f aca="false">IF(AK455=1,SUM(AK$5:AK455),"")</f>
        <v/>
      </c>
      <c r="AP455" s="61" t="str">
        <f aca="false">IF(AL455=1,SUM(AL$5:AL455),"")</f>
        <v/>
      </c>
      <c r="AQ455" s="61" t="n">
        <v>0</v>
      </c>
      <c r="AR455" s="61" t="n">
        <v>0</v>
      </c>
      <c r="AS455" s="61" t="n">
        <v>0</v>
      </c>
      <c r="AT455" s="61" t="n">
        <v>1</v>
      </c>
      <c r="AU455" s="61" t="str">
        <f aca="false">SUBSTITUTE(SUBSTITUTE(SUBSTITUTE(SUBSTITUTE(SUBSTITUTE(SUBSTITUTE(SUBSTITUTE(SUBSTITUTE(SUBSTITUTE(SUBSTITUTE(SUBSTITUTE(SUBSTITUTE(SUBSTITUTE(SUBSTITUTE(SUBSTITUTE(SUBSTITUTE(LOWER(T455&amp;""),CHAR(10),""),CHAR(13),""),CHAR(9),""),CHAR(160),"")," ",""),".",""),"-",""),"/",""),"?",""),"_",""),",",""),"[",""),"]",""),"(",""),")",""),"*","")</f>
        <v/>
      </c>
      <c r="AV455" s="61" t="str">
        <f aca="false">SUBSTITUTE(SUBSTITUTE(SUBSTITUTE(SUBSTITUTE(SUBSTITUTE(SUBSTITUTE(SUBSTITUTE(SUBSTITUTE(SUBSTITUTE(SUBSTITUTE(SUBSTITUTE(SUBSTITUTE(SUBSTITUTE(SUBSTITUTE(SUBSTITUTE(SUBSTITUTE(LOWER(V455&amp;""),CHAR(10),""),CHAR(13),""),CHAR(9),""),CHAR(160),"")," ",""),".",""),"-",""),"/",""),"?",""),"_",""),",",""),"[",""),"]",""),"(",""),")",""),"*","")</f>
        <v/>
      </c>
      <c r="AW455" s="61" t="str">
        <f aca="false">SUBSTITUTE(SUBSTITUTE(SUBSTITUTE(SUBSTITUTE(SUBSTITUTE(SUBSTITUTE(SUBSTITUTE(SUBSTITUTE(SUBSTITUTE(SUBSTITUTE(SUBSTITUTE(SUBSTITUTE(SUBSTITUTE(SUBSTITUTE(SUBSTITUTE(SUBSTITUTE(LOWER(Z455&amp;""),CHAR(10),""),CHAR(13),""),CHAR(9),""),CHAR(160),"")," ",""),".",""),"-",""),"/",""),"?",""),"_",""),",",""),"[",""),"]",""),"(",""),")",""),"*","")</f>
        <v/>
      </c>
      <c r="AX455" s="61" t="str">
        <f aca="false">SUBSTITUTE(SUBSTITUTE(SUBSTITUTE(SUBSTITUTE(SUBSTITUTE(SUBSTITUTE(SUBSTITUTE(SUBSTITUTE(SUBSTITUTE(SUBSTITUTE(SUBSTITUTE(SUBSTITUTE(SUBSTITUTE(SUBSTITUTE(SUBSTITUTE(SUBSTITUTE(LOWER(AE455&amp;""),CHAR(10),""),CHAR(13),""),CHAR(9),""),CHAR(160),"")," ",""),".",""),"-",""),"/",""),"?",""),"_",""),",",""),"[",""),"]",""),"(",""),")",""),"*","")</f>
        <v/>
      </c>
      <c r="AY455" s="61" t="str">
        <f aca="false">SUBSTITUTE(SUBSTITUTE(SUBSTITUTE(SUBSTITUTE(SUBSTITUTE(SUBSTITUTE(SUBSTITUTE(SUBSTITUTE(SUBSTITUTE(SUBSTITUTE(SUBSTITUTE(SUBSTITUTE(SUBSTITUTE(SUBSTITUTE(SUBSTITUTE(SUBSTITUTE(LOWER(W455&amp;""),CHAR(10),""),CHAR(13),""),CHAR(9),""),CHAR(160),"")," ",""),".",""),"-",""),"/",""),"?",""),"_",""),",",""),"[",""),"]",""),"(",""),")",""),"*","")</f>
        <v/>
      </c>
      <c r="AZ455" s="61" t="str">
        <f aca="false">SUBSTITUTE(SUBSTITUTE(SUBSTITUTE(SUBSTITUTE(SUBSTITUTE(SUBSTITUTE(SUBSTITUTE(SUBSTITUTE(SUBSTITUTE(SUBSTITUTE(SUBSTITUTE(SUBSTITUTE(SUBSTITUTE(SUBSTITUTE(SUBSTITUTE(SUBSTITUTE(LOWER(AC455&amp;""),CHAR(10),""),CHAR(13),""),CHAR(9),""),CHAR(160),"")," ",""),".",""),"-",""),"/",""),"?",""),"_",""),",",""),"[",""),"]",""),"(",""),")",""),"*","")</f>
        <v/>
      </c>
      <c r="BA455" s="61" t="str">
        <f aca="false">SUBSTITUTE(SUBSTITUTE(SUBSTITUTE(SUBSTITUTE(SUBSTITUTE(SUBSTITUTE(SUBSTITUTE(SUBSTITUTE(SUBSTITUTE(SUBSTITUTE(SUBSTITUTE(SUBSTITUTE(SUBSTITUTE(SUBSTITUTE(SUBSTITUTE(SUBSTITUTE(LOWER(AA455&amp;""),CHAR(10),""),CHAR(13),""),CHAR(9),""),CHAR(160),"")," ",""),".",""),"-",""),"/",""),"?",""),"_",""),",",""),"[",""),"]",""),"(",""),")",""),"*","")</f>
        <v/>
      </c>
      <c r="BB455" s="61" t="str">
        <f aca="false">IF(AND(TRIM(U455)="Pass",ISNUMBER(AF455)),IF(AF455&lt;&gt;0,"INVALID – qty variance: use Fail or Pass after CA",""),"")&amp;IF(AND(TRIM(U455)="Pass after CA",ISNUMBER(AF455)),IF(AF455&lt;&gt;0,"INVALID – after the corrective action the actual qty must equal expected (update Actual)",""),"")&amp;IF(AND(TRIM(U455)="Pass",TRIM(AB455)&lt;&gt;"",TRIM(AB455)&lt;&gt;"Closed"),"INVALID – corrective action not closed: use Fail, then Pass after CA","")&amp;IF(AND(LEN(BA455)&gt;=2,ISNA(MATCH(LEFT(BA455,255),L_Placeholder,0)),TRIM(AB455)=""),"INVALID – CA status missing for the recorded corrective action","")&amp;IF(AND(TRIM(U455)="Pass after CA",OR(OR(LEN(BA455)&lt;5,ISNUMBER(MATCH(BA455,L_Placeholder,0))),TRIM(AB455)&lt;&gt;"Closed")),"INVALID – corrective action not recorded/closed","")</f>
        <v/>
      </c>
      <c r="BC455" s="61" t="str">
        <f aca="false">" "&amp;TRIM(SUBSTITUTE(SUBSTITUTE(SUBSTITUTE(SUBSTITUTE(SUBSTITUTE(SUBSTITUTE(SUBSTITUTE(SUBSTITUTE(SUBSTITUTE(SUBSTITUTE(SUBSTITUTE(SUBSTITUTE(SUBSTITUTE(SUBSTITUTE(SUBSTITUTE(SUBSTITUTE(SUBSTITUTE(SUBSTITUTE(SUBSTITUTE(SUBSTITUTE(SUBSTITUTE(SUBSTITUTE(SUBSTITUTE(SUBSTITUTE(LOWER(V455&amp;""),CHAR(10)," "),CHAR(13)," "),CHAR(9)," "),CHAR(160)," "),"."," "),","," "),"-"," "),"/"," "),"("," "),")"," "),":"," "),";"," "),"_"," "),"–"," "),"?"," "),"!"," "),"*"," "),"["," "),"]"," "),"'"," "),"#"," "),"+"," "),"&amp;"," "),"\"," "))&amp;" "</f>
        <v>  </v>
      </c>
      <c r="BD455" s="61" t="str">
        <f aca="false">" "&amp;TRIM(SUBSTITUTE(SUBSTITUTE(SUBSTITUTE(SUBSTITUTE(SUBSTITUTE(SUBSTITUTE(SUBSTITUTE(SUBSTITUTE(SUBSTITUTE(SUBSTITUTE(SUBSTITUTE(SUBSTITUTE(SUBSTITUTE(SUBSTITUTE(SUBSTITUTE(SUBSTITUTE(SUBSTITUTE(SUBSTITUTE(SUBSTITUTE(SUBSTITUTE(SUBSTITUTE(SUBSTITUTE(SUBSTITUTE(SUBSTITUTE(LOWER(Z455&amp;""),CHAR(10)," "),CHAR(13)," "),CHAR(9)," "),CHAR(160)," "),"."," "),","," "),"-"," "),"/"," "),"("," "),")"," "),":"," "),";"," "),"_"," "),"–"," "),"?"," "),"!"," "),"*"," "),"["," "),"]"," "),"'"," "),"#"," "),"+"," "),"&amp;"," "),"\"," "))&amp;" "</f>
        <v>  </v>
      </c>
      <c r="BE455" s="61" t="str">
        <f aca="false">" "&amp;TRIM(SUBSTITUTE(SUBSTITUTE(SUBSTITUTE(SUBSTITUTE(SUBSTITUTE(SUBSTITUTE(SUBSTITUTE(SUBSTITUTE(SUBSTITUTE(SUBSTITUTE(SUBSTITUTE(SUBSTITUTE(SUBSTITUTE(SUBSTITUTE(SUBSTITUTE(SUBSTITUTE(SUBSTITUTE(SUBSTITUTE(SUBSTITUTE(SUBSTITUTE(SUBSTITUTE(SUBSTITUTE(SUBSTITUTE(SUBSTITUTE(LOWER(W455&amp;""),CHAR(10)," "),CHAR(13)," "),CHAR(9)," "),CHAR(160)," "),"."," "),","," "),"-"," "),"/"," "),"("," "),")"," "),":"," "),";"," "),"_"," "),"–"," "),"?"," "),"!"," "),"*"," "),"["," "),"]"," "),"'"," "),"#"," "),"+"," "),"&amp;"," "),"\"," "))&amp;" "</f>
        <v>  </v>
      </c>
      <c r="BF455" s="61" t="str">
        <f aca="false">" "&amp;TRIM(SUBSTITUTE(SUBSTITUTE(SUBSTITUTE(SUBSTITUTE(SUBSTITUTE(SUBSTITUTE(SUBSTITUTE(SUBSTITUTE(SUBSTITUTE(SUBSTITUTE(SUBSTITUTE(SUBSTITUTE(SUBSTITUTE(SUBSTITUTE(SUBSTITUTE(SUBSTITUTE(SUBSTITUTE(SUBSTITUTE(SUBSTITUTE(SUBSTITUTE(SUBSTITUTE(SUBSTITUTE(SUBSTITUTE(SUBSTITUTE(LOWER(AC455&amp;""),CHAR(10)," "),CHAR(13)," "),CHAR(9)," "),CHAR(160)," "),"."," "),","," "),"-"," "),"/"," "),"("," "),")"," "),":"," "),";"," "),"_"," "),"–"," "),"?"," "),"!"," "),"*"," "),"["," "),"]"," "),"'"," "),"#"," "),"+"," "),"&amp;"," "),"\"," "))&amp;" "</f>
        <v>  </v>
      </c>
      <c r="BG455" s="61" t="n">
        <f aca="false">IFERROR(IF(AND(TRIM(U455)="Pass",SUMPRODUCT((LEN(BC455)-LEN(SUBSTITUTE(BC455," "&amp;L_ResultBad&amp;" "," ")))/(LEN(L_ResultBad)+1))&gt;SUMPRODUCT((LEN(BC455)-LEN(SUBSTITUTE(BC455," "&amp;L_NegPhrase&amp;" "," ")))/(LEN(L_NegPhrase)+1))),1,0),0)</f>
        <v>0</v>
      </c>
      <c r="BH455" s="61" t="n">
        <f aca="false">IFERROR(IF(SUMPRODUCT((LEN(BC455)-LEN(SUBSTITUTE(BC455," "&amp;L_Pending&amp;" "," ")))/(LEN(L_Pending)+1))&gt;SUMPRODUCT((LEN(BC455)-LEN(SUBSTITUTE(BC455," "&amp;L_PendNeg&amp;" "," ")))/(LEN(L_PendNeg)+1)),1,0),1)</f>
        <v>0</v>
      </c>
      <c r="BI455" s="61" t="n">
        <f aca="false">IFERROR(IF(SUMPRODUCT((LEN(BD455)-LEN(SUBSTITUTE(BD455," "&amp;L_PendStrict&amp;" "," ")))/(LEN(L_PendStrict)+1))&gt;SUMPRODUCT((LEN(BD455)-LEN(SUBSTITUTE(BD455," "&amp;L_PendNeg&amp;" "," ")))/(LEN(L_PendNeg)+1)),1,0),1)</f>
        <v>0</v>
      </c>
      <c r="BJ455" s="61" t="n">
        <f aca="false">IFERROR(IF(SUMPRODUCT((LEN(BE455)-LEN(SUBSTITUTE(BE455," "&amp;L_Pending&amp;" "," ")))/(LEN(L_Pending)+1))&gt;SUMPRODUCT((LEN(BE455)-LEN(SUBSTITUTE(BE455," "&amp;L_PendNeg&amp;" "," ")))/(LEN(L_PendNeg)+1)),1,0),1)</f>
        <v>0</v>
      </c>
      <c r="BK455" s="61" t="n">
        <f aca="false">IFERROR(IF(SUMPRODUCT((LEN(BF455)-LEN(SUBSTITUTE(BF455," "&amp;L_PendStrict&amp;" "," ")))/(LEN(L_PendStrict)+1))&gt;SUMPRODUCT((LEN(BF455)-LEN(SUBSTITUTE(BF455," "&amp;L_PendNeg&amp;" "," ")))/(LEN(L_PendNeg)+1)),1,0),1)</f>
        <v>0</v>
      </c>
      <c r="BL455" s="61" t="n">
        <f aca="false">IF(ISNA(MATCH(TRIM(S455),L_EvidenceType,0)),0,BZ455)</f>
        <v>0</v>
      </c>
      <c r="BM455" s="61" t="str">
        <f aca="false">SUBSTITUTE(SUBSTITUTE(SUBSTITUTE(SUBSTITUTE(SUBSTITUTE(SUBSTITUTE(SUBSTITUTE(SUBSTITUTE(SUBSTITUTE(LOWER(Z455&amp;""),"1","0"),"2","0"),"3","0"),"4","0"),"5","0"),"6","0"),"7","0"),"8","0"),"9","0")</f>
        <v/>
      </c>
      <c r="BN455" s="61" t="str">
        <f aca="false">SUBSTITUTE(SUBSTITUTE(SUBSTITUTE(SUBSTITUTE(SUBSTITUTE(SUBSTITUTE(SUBSTITUTE(SUBSTITUTE(SUBSTITUTE(SUBSTITUTE(SUBSTITUTE(SUBSTITUTE(SUBSTITUTE(SUBSTITUTE(SUBSTITUTE(SUBSTITUTE(SUBSTITUTE(SUBSTITUTE(SUBSTITUTE(SUBSTITUTE(SUBSTITUTE(SUBSTITUTE(SUBSTITUTE(SUBSTITUTE(SUBSTITUTE(BM455,"b","a"),"c","a"),"d","a"),"e","a"),"f","a"),"g","a"),"h","a"),"i","a"),"j","a"),"k","a"),"l","a"),"m","a"),"n","a"),"o","a"),"p","a"),"q","a"),"r","a"),"s","a"),"t","a"),"u","a"),"v","a"),"w","a"),"x","a"),"y","a"),"z","a")</f>
        <v/>
      </c>
      <c r="BO455" s="61" t="str">
        <f aca="false">SUBSTITUTE(SUBSTITUTE(SUBSTITUTE(SUBSTITUTE(SUBSTITUTE(SUBSTITUTE(SUBSTITUTE(SUBSTITUTE(SUBSTITUTE(LOWER(W455&amp;""),"1","0"),"2","0"),"3","0"),"4","0"),"5","0"),"6","0"),"7","0"),"8","0"),"9","0")</f>
        <v/>
      </c>
      <c r="BP455" s="61" t="str">
        <f aca="false">SUBSTITUTE(SUBSTITUTE(SUBSTITUTE(SUBSTITUTE(SUBSTITUTE(SUBSTITUTE(SUBSTITUTE(SUBSTITUTE(SUBSTITUTE(SUBSTITUTE(SUBSTITUTE(SUBSTITUTE(SUBSTITUTE(SUBSTITUTE(SUBSTITUTE(SUBSTITUTE(SUBSTITUTE(SUBSTITUTE(SUBSTITUTE(SUBSTITUTE(SUBSTITUTE(SUBSTITUTE(SUBSTITUTE(SUBSTITUTE(SUBSTITUTE(BO455,"b","a"),"c","a"),"d","a"),"e","a"),"f","a"),"g","a"),"h","a"),"i","a"),"j","a"),"k","a"),"l","a"),"m","a"),"n","a"),"o","a"),"p","a"),"q","a"),"r","a"),"s","a"),"t","a"),"u","a"),"v","a"),"w","a"),"x","a"),"y","a"),"z","a")</f>
        <v/>
      </c>
      <c r="BQ455" s="61" t="n">
        <f aca="false">IFERROR(IF(AND(ISERROR(SEARCH(" mh"," "&amp;LOWER(W455))),ISNA(MATCH(LEFT(TRIM(BP455),255),{"0000a","000a","00a","0000aa","000aa","00aa","0aa","0000aaa","000aaa","00a00","0a00","0000-0000","00:00","a00","a0","00.00.0000","00/00/0000","00-00-0000","0000-00-00","0000/00/00","0000.00.00","00.00.00","00/00/00","00-00-00","0.00.0000","0/00/0000","0-00-0000"},0)),ISNA(MATCH(LEFT(TRIM(CA455),255),{"0000a","000a","00a","0000aa","000aa","00aa","0aa","0000aaa","000aaa","00a00","0a00","0000-0000","00:00","a00","a0","00.00.0000","00/00/0000","00-00-0000","0000-00-00","0000/00/00","0000.00.00","00.00.00","00/00/00","00-00-00","0.00.0000","0/00/0000","0-00-0000"},0)),LEN(CB455)&gt;=3,NOT(OR(SUBSTITUTE(CB455,"0","")="",AND(LEN(CB455)&gt;=4,CB455=REPT(LEFT(CB455),LEN(CB455))),ISNUMBER(MATCH(CB455,{"123","1234","12345","123456","1234567","12345678","0123","01234","012345","98765","987654","54321"},0)),AND(LEN(CB455)=8,LEFT(CB455,3)="202"))),OR(AND((LEN(CA455)-LEN(SUBSTITUTE(CA455,"a","")))&gt;=1,SUMPRODUCT(--ISNUMBER(SEARCH({"a0","a-0","a_0","a/0","a.0","a#0","0a","0-a","0_a","0/a"},BP455)))&gt;0),ISNUMBER(SEARCH("000000",BP455)))),1,0),0)</f>
        <v>0</v>
      </c>
      <c r="BR455" s="61" t="n">
        <f aca="false">IFERROR(LEN(SUBSTITUTE(CC455," ",""))-SUMPRODUCT((LEN(CC455)-LEN(SUBSTITUTE(CC455," "&amp;L_Role&amp;" "," ")))/(LEN(L_Role)+1)*LEN(L_Role)),0)</f>
        <v>0</v>
      </c>
      <c r="BS455" s="61" t="n">
        <f aca="false">IFERROR(LEN(SUBSTITUTE(CD455," ",""))-SUMPRODUCT((LEN(CD455)-LEN(SUBSTITUTE(CD455," "&amp;L_Role&amp;" "," ")))/(LEN(L_Role)+1)*LEN(L_Role)),0)</f>
        <v>0</v>
      </c>
      <c r="BT4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455,"revision",""),"version",""),"jan",""),"feb",""),"mar",""),"apr",""),"may",""),"jun",""),"jul",""),"aug",""),"sep",""),"oct",""),"nov",""),"dec",""),"utc",""),"gmt",""),"myt",""),"bst",""),"rev",""),"ver",""),"b","a"),"c","a"),"d","a"),"e","a"),"f","a"),"g","a"),"h","a"),"i","a"),"j","a"),"k","a"),"l","a"),"m","a"),"n","a"),"o","a"),"p","a"),"q","a"),"r","a"),"s","a"),"t","a"),"u","a"),"v","a"),"w","a"),"x","a"),"y","a"),"z","a")</f>
        <v/>
      </c>
      <c r="BU455" s="61" t="str">
        <f aca="false">SUBSTITUTE(SUBSTITUTE(SUBSTITUTE(SUBSTITUTE(SUBSTITUTE(SUBSTITUTE(SUBSTITUTE(SUBSTITUTE(SUBSTITUTE(SUBSTITUTE(LEFT(BM455,FIND("0",BM455&amp;"0")-1),"-",""),"_",""),"/",""),".",""),"#",""),"\\",""),":","")," ",""),"(",""),")","")</f>
        <v/>
      </c>
      <c r="BV455" s="61" t="n">
        <f aca="false">IFERROR(IF(OR(SUMPRODUCT((LEN(BC455)-LEN(SUBSTITUTE(BC455," "&amp;L_NotLoaded&amp;" "," ")))/(LEN(L_NotLoaded)+1))&gt;SUMPRODUCT((LEN(BC455)-LEN(SUBSTITUTE(BC455," "&amp;L_NotLoadedNeg&amp;" "," ")))/(LEN(L_NotLoadedNeg)+1)),SUMPRODUCT((LEN(BD455)-LEN(SUBSTITUTE(BD455," "&amp;L_NotLoaded&amp;" "," ")))/(LEN(L_NotLoaded)+1))&gt;SUMPRODUCT((LEN(BD455)-LEN(SUBSTITUTE(BD455," "&amp;L_NotLoadedNeg&amp;" "," ")))/(LEN(L_NotLoadedNeg)+1))),1,0),0)</f>
        <v>0</v>
      </c>
      <c r="BW4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455&amp;""),"a",""),"b",""),"c",""),"d",""),"e",""),"f",""),"g",""),"h",""),"i",""),"j",""),"k",""),"l",""),"m",""),"n",""),"o",""),"p",""),"q",""),"r",""),"s",""),"t",""),"u",""),"v",""),"w",""),"x",""),"y",""),"z",""),"-",""),"_",""),"/",""),".",""),"#",""),"\\",""),":","")," ",""),"(",""),")","")</f>
        <v/>
      </c>
      <c r="BX455" s="61" t="str">
        <f aca="false">SUBSTITUTE(SUBSTITUTE(SUBSTITUTE(SUBSTITUTE(SUBSTITUTE(SUBSTITUTE(SUBSTITUTE(SUBSTITUTE(SUBSTITUTE(SUBSTITUTE(SUBSTITUTE(BM455,"0",""),"-",""),"_",""),"/",""),".",""),"#",""),"\\",""),":","")," ",""),"(",""),")","")</f>
        <v/>
      </c>
      <c r="BY455" s="62" t="n">
        <f aca="false">IF(ISNUMBER(Flights!$AZ$17),MAX(Q455-UpliftWindowH/24,Flights!$AZ$17),Q455-UpliftWindowH/24)</f>
        <v>46308.7604166667</v>
      </c>
      <c r="BZ455" s="61" t="n">
        <f aca="false">IFERROR(IF(IF(TRIM(S455)="Link / file path",AND(LEN(TRIM(Z455))&gt;=5,SUMPRODUCT(--ISNUMBER(SEARCH({"http","www.","\\",":\",".pdf",".jpg",".jpeg",".png",".heic",".xls",".doc",".msg",".eml",".ppt",".txt",".zip"},Z455)))&gt;0),AND(ISERROR(FIND(" ",TRIM(Z455))),NOT(OR(SUMPRODUCT(--ISNUMBER(FIND({",",";","&amp;","+"},Z455)))&gt;0,SUMPRODUCT(--ISNUMBER(SEARCH({"0/aa","0\\aa"},BN455)))&gt;0)),NOT(SUMPRODUCT(--ISNUMBER(SEARCH({"http","www.","\\",":\",".pdf",".jpg",".jpeg",".png",".heic",".xls",".doc",".msg",".eml",".ppt",".txt",".zip"},Z455)))&gt;0),NOT(LOWER(TRIM(Z455))=LOWER(Flights!$F$17)),ISNA(MATCH(BU455,{"mh","rev","revision","ver","version","v","r","a","b","seat","tray","row","gate","bay","stand","page","pg","item","line","no","cart","galley","flight","flt","table","box","bag","oven","etd","eta","std","sta","atd","ata","qty","pax","x","time","tel","ph","mob","day","wk","week","utc","gmt","myt","lt"},0)),NOT(OR(ISNUMBER(MATCH(LEFT(BN455,255),{"0000a","000a","00a","0000aa","000aa","00aa","0aa","0000aaa","000aaa","00a00","0a00","0000-0000","00:00","a00","a0","00.00.0000","00/00/0000","00-00-0000","0000-00-00","0000/00/00","0000.00.00","00.00.00","00/00/00","00-00-00","0.00.0000","0/00/0000","0-00-0000"},0)),ISNUMBER(MATCH(LEFT(BT455,255),{"0000a","000a","00a","0000aa","000aa","00aa","0aa","0000aaa","000aaa","00a00","0a00","0000-0000","00:00","a00","a0","00.00.0000","00/00/0000","00-00-0000","0000-00-00","0000/00/00","0000.00.00","00.00.00","00/00/00","00-00-00","0.00.0000","0/00/0000","0-00-0000"},0)))),NOT(OR(AND(BW455&lt;&gt;"",SUBSTITUTE(BW455,"0","")=""),AND(LEN(BW455)&gt;=4,BW455=REPT(LEFT(BW455),LEN(BW455))),ISNUMBER(MATCH(BW455,{"123","1234","12345","123456","1234567","12345678","0123","01234","012345","98765","987654","54321"},0)),ISNUMBER(MATCH(BX455,{"x","xx","xxx","xxxx","xxxxx","abc","abcd","nil","na","nan","test","tbc","tba","tbd","dummy","sample","example","eg","zz","zzz","none","null","xyz","qwe","asd","id","ref"},0)),AND(LEN(BW455)=8,BX455="",OR(LEFT(BW455,3)="202",ISNUMBER(MATCH(RIGHT(BW455,4),{"2025","2026","2027"},0)))))),OR(AND((LEN(BT455)-LEN(SUBSTITUTE(BT455,"a","")))&gt;=1,(LEN(BN455)-LEN(SUBSTITUTE(BN455,"0","")))&gt;=2,SUMPRODUCT(--ISNUMBER(SEARCH({"a0","a-0","a_0","a/0","a.0","a#0","0a","0-a","0_a","0/a"},BN455)))&gt;0),AND((LEN(BN455)-LEN(SUBSTITUTE(BN455,"a","")))=0,(LEN(BN455)-LEN(SUBSTITUTE(BN455,"0","")))&gt;=5)))),1,0),0)</f>
        <v>0</v>
      </c>
      <c r="CA4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455,"revision",""),"version",""),"jan",""),"feb",""),"mar",""),"apr",""),"may",""),"jun",""),"jul",""),"aug",""),"sep",""),"oct",""),"nov",""),"dec",""),"utc",""),"gmt",""),"myt",""),"bst",""),"rev",""),"ver",""),"b","a"),"c","a"),"d","a"),"e","a"),"f","a"),"g","a"),"h","a"),"i","a"),"j","a"),"k","a"),"l","a"),"m","a"),"n","a"),"o","a"),"p","a"),"q","a"),"r","a"),"s","a"),"t","a"),"u","a"),"v","a"),"w","a"),"x","a"),"y","a"),"z","a")</f>
        <v/>
      </c>
      <c r="CB4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455&amp;""),"a",""),"b",""),"c",""),"d",""),"e",""),"f",""),"g",""),"h",""),"i",""),"j",""),"k",""),"l",""),"m",""),"n",""),"o",""),"p",""),"q",""),"r",""),"s",""),"t",""),"u",""),"v",""),"w",""),"x",""),"y",""),"z",""),"-",""),"_",""),"/",""),".",""),"#",""),"\\",""),":","")," ",""),"(",""),")","")</f>
        <v/>
      </c>
      <c r="CC455" s="0" t="str">
        <f aca="false">" "&amp;TRIM(SUBSTITUTE(SUBSTITUTE(SUBSTITUTE(SUBSTITUTE(SUBSTITUTE(SUBSTITUTE(SUBSTITUTE(SUBSTITUTE(SUBSTITUTE(SUBSTITUTE(SUBSTITUTE(SUBSTITUTE(SUBSTITUTE(SUBSTITUTE(SUBSTITUTE(SUBSTITUTE(SUBSTITUTE(SUBSTITUTE(SUBSTITUTE(SUBSTITUTE(SUBSTITUTE(SUBSTITUTE(SUBSTITUTE(SUBSTITUTE(LOWER(T455&amp;""),CHAR(10)," "),CHAR(13)," "),CHAR(9)," "),CHAR(160)," "),"."," "),","," "),"-"," "),"/"," "),"("," "),")"," "),":"," "),";"," "),"_"," "),"–"," "),"?"," "),"!"," "),"*"," "),"["," "),"]"," "),"'"," "),"#"," "),"+"," "),"&amp;"," "),"\"," "))&amp;" "</f>
        <v>  </v>
      </c>
      <c r="CD455" s="0" t="str">
        <f aca="false">" "&amp;TRIM(SUBSTITUTE(SUBSTITUTE(SUBSTITUTE(SUBSTITUTE(SUBSTITUTE(SUBSTITUTE(SUBSTITUTE(SUBSTITUTE(SUBSTITUTE(SUBSTITUTE(SUBSTITUTE(SUBSTITUTE(SUBSTITUTE(SUBSTITUTE(SUBSTITUTE(SUBSTITUTE(SUBSTITUTE(SUBSTITUTE(SUBSTITUTE(SUBSTITUTE(SUBSTITUTE(SUBSTITUTE(SUBSTITUTE(SUBSTITUTE(LOWER(AE455&amp;""),CHAR(10)," "),CHAR(13)," "),CHAR(9)," "),CHAR(160)," "),"."," "),","," "),"-"," "),"/"," "),"("," "),")"," "),":"," "),";"," "),"_"," "),"–"," "),"?"," "),"!"," "),"*"," "),"["," "),"]"," "),"'"," "),"#"," "),"+"," "),"&amp;"," "),"\"," "))&amp;" "</f>
        <v>  </v>
      </c>
      <c r="CE455" s="68" t="n">
        <f aca="false">IFERROR(IF(AND(LEN(AU455)&gt;0,LEN(AU455)=LEN(AX455),OR(TRIM(MID(SUBSTITUTE(TRIM(CC455)," ",REPT(" ",60)),1,60))="",ISNUMBER(SEARCH(" "&amp;TRIM(MID(SUBSTITUTE(TRIM(CC455)," ",REPT(" ",60)),1,60))&amp;" ",CD455))),OR(TRIM(MID(SUBSTITUTE(TRIM(CC455)," ",REPT(" ",60)),61,60))="",ISNUMBER(SEARCH(" "&amp;TRIM(MID(SUBSTITUTE(TRIM(CC455)," ",REPT(" ",60)),61,60))&amp;" ",CD455))),OR(TRIM(MID(SUBSTITUTE(TRIM(CC455)," ",REPT(" ",60)),121,60))="",ISNUMBER(SEARCH(" "&amp;TRIM(MID(SUBSTITUTE(TRIM(CC455)," ",REPT(" ",60)),121,60))&amp;" ",CD455)))),1,0),0)</f>
        <v>0</v>
      </c>
      <c r="CG455" s="68" t="n">
        <f aca="false">IFERROR(LEN(SUBSTITUTE(BF455," ",""))-SUMPRODUCT((LEN(BF455)-LEN(SUBSTITUTE(BF455," "&amp;L_NAFiller&amp;" "," ")))/(LEN(L_NAFiller)+1)*LEN(L_NAFiller)),0)</f>
        <v>0</v>
      </c>
    </row>
    <row r="456" customFormat="false" ht="39.75" hidden="false" customHeight="true" outlineLevel="0" collapsed="false">
      <c r="A456" s="57" t="s">
        <v>1103</v>
      </c>
      <c r="B456" s="57" t="s">
        <v>276</v>
      </c>
      <c r="C456" s="57" t="str">
        <f aca="false">Flights!$F$18</f>
        <v>MH0004</v>
      </c>
      <c r="D456" s="58" t="n">
        <f aca="false">Flights!$D$18</f>
        <v>46310</v>
      </c>
      <c r="E456" s="57" t="str">
        <f aca="false">Flights!$G$18&amp;"-"&amp;Flights!$H$18</f>
        <v>KUL-LHR</v>
      </c>
      <c r="F456" s="57" t="str">
        <f aca="false">Flights!$K$18</f>
        <v>EY</v>
      </c>
      <c r="G456" s="57" t="s">
        <v>81</v>
      </c>
      <c r="H456" s="57" t="s">
        <v>378</v>
      </c>
      <c r="I456" s="57" t="s">
        <v>379</v>
      </c>
      <c r="J456" s="57" t="s">
        <v>380</v>
      </c>
      <c r="K456" s="67" t="s">
        <v>381</v>
      </c>
      <c r="L456" s="67" t="s">
        <v>382</v>
      </c>
      <c r="M456" s="67"/>
      <c r="N456" s="67" t="s">
        <v>383</v>
      </c>
      <c r="O456" s="67"/>
      <c r="P456" s="57" t="s">
        <v>187</v>
      </c>
      <c r="Q456" s="59" t="n">
        <f aca="false">ROUND((Flights!$AC$18)*1440,0)/1440</f>
        <v>46303.0763888889</v>
      </c>
      <c r="R456" s="59" t="n">
        <f aca="false">Q456+(IF(AND(INDEX(TZ_DSTS,MATCH(P456,TZ_STN,0))&lt;&gt;"",Q456&gt;=INDEX(TZ_DSTS,MATCH(P456,TZ_STN,0)),Q456&lt;INDEX(TZ_DSTE,MATCH(P456,TZ_STN,0))),INDEX(TZ_DST,MATCH(P456,TZ_STN,0)),INDEX(TZ_STD,MATCH(P456,TZ_STN,0))))/24</f>
        <v>46303.4097222222</v>
      </c>
      <c r="S456" s="60"/>
      <c r="T456" s="60"/>
      <c r="U456" s="60"/>
      <c r="V456" s="60"/>
      <c r="W456" s="61"/>
      <c r="X456" s="60"/>
      <c r="Y456" s="60"/>
      <c r="Z456" s="60"/>
      <c r="AA456" s="60"/>
      <c r="AB456" s="60"/>
      <c r="AC456" s="60"/>
      <c r="AD456" s="66"/>
      <c r="AE456" s="60"/>
      <c r="AF456" s="61" t="str">
        <f aca="false">IF(AND(ISNUMBER(X456),ISNUMBER(Y456)),Y456-X456,"")</f>
        <v/>
      </c>
      <c r="AG456" s="62" t="str">
        <f aca="false">IF(ISNUMBER(AD456),AD456-(IF(AND(INDEX(TZ_DSTS,MATCH(P456,TZ_STN,0))&lt;&gt;"",(AD456-INDEX(TZ_STD,MATCH(P456,TZ_STN,0))/24)&gt;=INDEX(TZ_DSTS,MATCH(P456,TZ_STN,0)),(AD456-INDEX(TZ_STD,MATCH(P456,TZ_STN,0))/24)&lt;INDEX(TZ_DSTE,MATCH(P456,TZ_STN,0))),INDEX(TZ_DST,MATCH(P456,TZ_STN,0)),INDEX(TZ_STD,MATCH(P456,TZ_STN,0))))/24,"")</f>
        <v/>
      </c>
      <c r="AH456" s="65" t="str">
        <f aca="false">IFERROR(IF(N456="N/A – rule",IF(OR(TRIM(U456)="",TRIM(U456)="N/A",TRIM(U456)="Not started"),"N/A – RULE","INVALID – this check does not apply to this aircraft: clear the status (or correct the fleet on Flights)"),IF(TRIM(U456)="N/A",IF(AT456=0,"INVALID – N/A not permitted for this check",IF(AND(TRIM(AB456)&lt;&gt;"",TRIM(AB456)&lt;&gt;"Closed"),"INVALID – corrective action still open",IF(AND(NOT(OR(LEN(AZ456)&lt;15,ISNUMBER(MATCH(AZ456,L_Placeholder,0)))),BK456=0,CG456&gt;=8,NOT(OR(LEN(AU456)&lt;2,ISNUMBER(MATCH(AU456,L_Placeholder,0)))),BR456&gt;=3,NOT(OR(LEN(AX456)&lt;2,ISNUMBER(MATCH(AX456,L_Placeholder,0)))),BS456&gt;=3,TRIM(AE456)&lt;&gt;TRIM(T456),AX456&lt;&gt;AU456,CE456=0),"N/A – JUSTIFIED","INVALID – N/A needs a real, settled reason (not 'not applicable' / 'as above' / TBC), a named PIC and a different named verifier"))),IF(OR(TRIM(U456)="Pass",TRIM(U456)="Pass after CA"),IF(NOT(ISNUMBER(AD456)),"INVALID – completion time missing",IF(OR(OR(LEN(AU456)&lt;2,ISNUMBER(MATCH(AU456,L_Placeholder,0))),BR456&lt;3),"INVALID – PIC missing or not a named person (a role such as QA / CSM is not a name)",IF(OR(LEN(AV456)&lt;2,ISNUMBER(MATCH(AV456,L_Placeholder,0))),"INVALID – result / assessment missing",IF(OR(OR(LEN(AW456)&lt;3,ISNUMBER(MATCH(AW456,L_Placeholder,0))),SUMPRODUCT(--ISNUMBER(SEARCH(" "&amp;L_EvidencePhrase&amp;" ",BD456)))&gt;0,BI456=1),"INVALID – evidence missing, placeholder or not yet on file",IF(ISNA(MATCH(TRIM(S456),L_EvidenceType,0)),"INVALID – choose the evidence type from the list (column S)",IF(BL456=0,"INVALID – evidence ID must be the record's own ID only (e.g. SF-2210, IMG_2231, 1045521); a link / file name needs type 'Link / file path'",IF(OR(OR(LEN(AX456)&lt;2,ISNUMBER(MATCH(AX456,L_Placeholder,0))),BS456&lt;3),"INVALID – verifier missing or not a named person (a role such as QA / CSM is not a name)",IF(OR(AX456=AU456,CE456=1,AND(LEN(AU456)&gt;=4,ISNUMBER(SEARCH(AU456,AX456))),AND(LEN(AX456)&gt;=4,ISNUMBER(SEARCH(AX456,AU456)))),"INVALID – verifier must be a different, named person (not the PIC or a role)",IF(BH456=1,"INVALID – result not yet available (awaiting / TBC)",IF(BG456=1,"INVALID – result describes a problem: record Fail, then Pass after CA (or reword if it is not a problem)",IF(BV456=1,"INVALID – wording says not on board: an on-board confirmation needs the item loaded",IF(AND(AQ456=1,OR(OR(LEN(AY456)&lt;3,ISNUMBER(MATCH(AY456,L_Placeholder,0))),BJ456=1,BQ456=0)),"INVALID – batch ID missing, placeholder or not an ID (e.g. PASB-261008-BC-017)",IF(AND(AR456=1,OR(NOT(ISNUMBER(X456)),NOT(ISNUMBER(Y456)))),"INVALID – expected/actual qty missing",IF(AND(AR456=1,OR(X456&lt;=0,Y456&lt;0)),"INVALID – expected qty must be above 0 and actual not negative",IF(BB456&lt;&gt;"",BB456,IF(AND(AS456=1,Documents!$J$18&lt;&gt;"ON FILE"),"INVALID – GLD not on file (Documents sheet)",IF(AND(AS456=2,Documents!$O$18&lt;&gt;"ON FILE"),"INVALID – menu checklist not on file (Documents sheet)",IF(AND(AS456=3,NOT(ISNUMBER(Flights!$AX$18))),"INVALID – enter carrying flight KUL departure (Flights AX)",IF(AND(AS456=3,OR(Flights!$AZ$18&gt;Flights!$AA$18,Flights!$AX$18&lt;Flights!$AA$18-3)),"INVALID – carrying flight (Flights AX) cannot arrive before this leg's STD, or is over 3 days early",IF(AG456&gt;AsOfUTC,"INVALID – completion time is in the future",IF(AND(ISNUMBER(BY456),AG456&lt;BY456),IF(H456="Physical uplift","INVALID – before uplift window (cannot confirm loading)","INVALID – before valid window"),IF(AG456&gt;Flights!$AA$18,"INVALID – completed after departure (cannot establish readiness)",IF(AND(H456="Preparation",AG456&gt;=IF(ISNUMBER(Flights!$BA$18),MIN(Flights!$BA$18,Flights!$AA$18),Flights!$AA$18)),"INVALID – completed after loading / departure (cannot establish readiness)",IF(AND(H456="Physical uplift",AG456&gt;Q456),"INVALID – recorded after the loading flight departed",IF(AG456&gt;Q456,"COMPLETE – LATE","COMPLETE"))))))))))))))))))))))))),IF(TRIM(U456)="Fail","FAIL – DISCREPANCY",IF(AND(TRIM(U456)&lt;&gt;"",TRIM(U456)&lt;&gt;"Not started",TRIM(U456)&lt;&gt;"In progress"),"INVALID – unrecognised status (use the list)",IF(AsOfUTC&gt;Q456,"OVERDUE",IF(N456="Clarification required","OPEN – CLARIFICATION","OPEN"))))))),"INVALID – error value in an input cell")</f>
        <v>OPEN</v>
      </c>
      <c r="AI456" s="61" t="n">
        <f aca="false">IF(OR(AH456="N/A – RULE",AH456="N/A – JUSTIFIED"),0,1)</f>
        <v>1</v>
      </c>
      <c r="AJ456" s="61" t="n">
        <f aca="false">IF(LEFT(AH456,8)="COMPLETE",1,0)</f>
        <v>0</v>
      </c>
      <c r="AK456" s="61" t="n">
        <f aca="false">IF(AND(AI456=1,AJ456=0,AsOfUTC&gt;Q456),1,0)</f>
        <v>0</v>
      </c>
      <c r="AL456" s="61" t="n">
        <f aca="false">IFERROR(IF(AND(AI456=1,OR(TRIM(U456)="Fail",AND(TRIM(AB456)&lt;&gt;"",TRIM(AB456)&lt;&gt;"Closed"),AND(ISNUMBER(AF456),AF456&lt;&gt;0,TRIM(U456)&lt;&gt;"Pass after CA"))),1,0),1)</f>
        <v>0</v>
      </c>
      <c r="AM456" s="61" t="n">
        <f aca="false">IF(LEFT(AH456,7)="INVALID",1,0)</f>
        <v>0</v>
      </c>
      <c r="AN456" s="61" t="n">
        <f aca="false">IF(AND(N456="Clarification required",AI456=1,AJ456=0),1,0)</f>
        <v>0</v>
      </c>
      <c r="AO456" s="61" t="str">
        <f aca="false">IF(AK456=1,SUM(AK$5:AK456),"")</f>
        <v/>
      </c>
      <c r="AP456" s="61" t="str">
        <f aca="false">IF(AL456=1,SUM(AL$5:AL456),"")</f>
        <v/>
      </c>
      <c r="AQ456" s="61" t="n">
        <v>0</v>
      </c>
      <c r="AR456" s="61" t="n">
        <v>0</v>
      </c>
      <c r="AS456" s="61" t="n">
        <v>0</v>
      </c>
      <c r="AT456" s="61" t="n">
        <v>0</v>
      </c>
      <c r="AU456" s="61" t="str">
        <f aca="false">SUBSTITUTE(SUBSTITUTE(SUBSTITUTE(SUBSTITUTE(SUBSTITUTE(SUBSTITUTE(SUBSTITUTE(SUBSTITUTE(SUBSTITUTE(SUBSTITUTE(SUBSTITUTE(SUBSTITUTE(SUBSTITUTE(SUBSTITUTE(SUBSTITUTE(SUBSTITUTE(LOWER(T456&amp;""),CHAR(10),""),CHAR(13),""),CHAR(9),""),CHAR(160),"")," ",""),".",""),"-",""),"/",""),"?",""),"_",""),",",""),"[",""),"]",""),"(",""),")",""),"*","")</f>
        <v/>
      </c>
      <c r="AV456" s="61" t="str">
        <f aca="false">SUBSTITUTE(SUBSTITUTE(SUBSTITUTE(SUBSTITUTE(SUBSTITUTE(SUBSTITUTE(SUBSTITUTE(SUBSTITUTE(SUBSTITUTE(SUBSTITUTE(SUBSTITUTE(SUBSTITUTE(SUBSTITUTE(SUBSTITUTE(SUBSTITUTE(SUBSTITUTE(LOWER(V456&amp;""),CHAR(10),""),CHAR(13),""),CHAR(9),""),CHAR(160),"")," ",""),".",""),"-",""),"/",""),"?",""),"_",""),",",""),"[",""),"]",""),"(",""),")",""),"*","")</f>
        <v/>
      </c>
      <c r="AW456" s="61" t="str">
        <f aca="false">SUBSTITUTE(SUBSTITUTE(SUBSTITUTE(SUBSTITUTE(SUBSTITUTE(SUBSTITUTE(SUBSTITUTE(SUBSTITUTE(SUBSTITUTE(SUBSTITUTE(SUBSTITUTE(SUBSTITUTE(SUBSTITUTE(SUBSTITUTE(SUBSTITUTE(SUBSTITUTE(LOWER(Z456&amp;""),CHAR(10),""),CHAR(13),""),CHAR(9),""),CHAR(160),"")," ",""),".",""),"-",""),"/",""),"?",""),"_",""),",",""),"[",""),"]",""),"(",""),")",""),"*","")</f>
        <v/>
      </c>
      <c r="AX456" s="61" t="str">
        <f aca="false">SUBSTITUTE(SUBSTITUTE(SUBSTITUTE(SUBSTITUTE(SUBSTITUTE(SUBSTITUTE(SUBSTITUTE(SUBSTITUTE(SUBSTITUTE(SUBSTITUTE(SUBSTITUTE(SUBSTITUTE(SUBSTITUTE(SUBSTITUTE(SUBSTITUTE(SUBSTITUTE(LOWER(AE456&amp;""),CHAR(10),""),CHAR(13),""),CHAR(9),""),CHAR(160),"")," ",""),".",""),"-",""),"/",""),"?",""),"_",""),",",""),"[",""),"]",""),"(",""),")",""),"*","")</f>
        <v/>
      </c>
      <c r="AY456" s="61" t="str">
        <f aca="false">SUBSTITUTE(SUBSTITUTE(SUBSTITUTE(SUBSTITUTE(SUBSTITUTE(SUBSTITUTE(SUBSTITUTE(SUBSTITUTE(SUBSTITUTE(SUBSTITUTE(SUBSTITUTE(SUBSTITUTE(SUBSTITUTE(SUBSTITUTE(SUBSTITUTE(SUBSTITUTE(LOWER(W456&amp;""),CHAR(10),""),CHAR(13),""),CHAR(9),""),CHAR(160),"")," ",""),".",""),"-",""),"/",""),"?",""),"_",""),",",""),"[",""),"]",""),"(",""),")",""),"*","")</f>
        <v/>
      </c>
      <c r="AZ456" s="61" t="str">
        <f aca="false">SUBSTITUTE(SUBSTITUTE(SUBSTITUTE(SUBSTITUTE(SUBSTITUTE(SUBSTITUTE(SUBSTITUTE(SUBSTITUTE(SUBSTITUTE(SUBSTITUTE(SUBSTITUTE(SUBSTITUTE(SUBSTITUTE(SUBSTITUTE(SUBSTITUTE(SUBSTITUTE(LOWER(AC456&amp;""),CHAR(10),""),CHAR(13),""),CHAR(9),""),CHAR(160),"")," ",""),".",""),"-",""),"/",""),"?",""),"_",""),",",""),"[",""),"]",""),"(",""),")",""),"*","")</f>
        <v/>
      </c>
      <c r="BA456" s="61" t="str">
        <f aca="false">SUBSTITUTE(SUBSTITUTE(SUBSTITUTE(SUBSTITUTE(SUBSTITUTE(SUBSTITUTE(SUBSTITUTE(SUBSTITUTE(SUBSTITUTE(SUBSTITUTE(SUBSTITUTE(SUBSTITUTE(SUBSTITUTE(SUBSTITUTE(SUBSTITUTE(SUBSTITUTE(LOWER(AA456&amp;""),CHAR(10),""),CHAR(13),""),CHAR(9),""),CHAR(160),"")," ",""),".",""),"-",""),"/",""),"?",""),"_",""),",",""),"[",""),"]",""),"(",""),")",""),"*","")</f>
        <v/>
      </c>
      <c r="BB456" s="61" t="str">
        <f aca="false">IF(AND(TRIM(U456)="Pass",ISNUMBER(AF456)),IF(AF456&lt;&gt;0,"INVALID – qty variance: use Fail or Pass after CA",""),"")&amp;IF(AND(TRIM(U456)="Pass after CA",ISNUMBER(AF456)),IF(AF456&lt;&gt;0,"INVALID – after the corrective action the actual qty must equal expected (update Actual)",""),"")&amp;IF(AND(TRIM(U456)="Pass",TRIM(AB456)&lt;&gt;"",TRIM(AB456)&lt;&gt;"Closed"),"INVALID – corrective action not closed: use Fail, then Pass after CA","")&amp;IF(AND(LEN(BA456)&gt;=2,ISNA(MATCH(LEFT(BA456,255),L_Placeholder,0)),TRIM(AB456)=""),"INVALID – CA status missing for the recorded corrective action","")&amp;IF(AND(TRIM(U456)="Pass after CA",OR(OR(LEN(BA456)&lt;5,ISNUMBER(MATCH(BA456,L_Placeholder,0))),TRIM(AB456)&lt;&gt;"Closed")),"INVALID – corrective action not recorded/closed","")</f>
        <v/>
      </c>
      <c r="BC456" s="61" t="str">
        <f aca="false">" "&amp;TRIM(SUBSTITUTE(SUBSTITUTE(SUBSTITUTE(SUBSTITUTE(SUBSTITUTE(SUBSTITUTE(SUBSTITUTE(SUBSTITUTE(SUBSTITUTE(SUBSTITUTE(SUBSTITUTE(SUBSTITUTE(SUBSTITUTE(SUBSTITUTE(SUBSTITUTE(SUBSTITUTE(SUBSTITUTE(SUBSTITUTE(SUBSTITUTE(SUBSTITUTE(SUBSTITUTE(SUBSTITUTE(SUBSTITUTE(SUBSTITUTE(LOWER(V456&amp;""),CHAR(10)," "),CHAR(13)," "),CHAR(9)," "),CHAR(160)," "),"."," "),","," "),"-"," "),"/"," "),"("," "),")"," "),":"," "),";"," "),"_"," "),"–"," "),"?"," "),"!"," "),"*"," "),"["," "),"]"," "),"'"," "),"#"," "),"+"," "),"&amp;"," "),"\"," "))&amp;" "</f>
        <v>  </v>
      </c>
      <c r="BD456" s="61" t="str">
        <f aca="false">" "&amp;TRIM(SUBSTITUTE(SUBSTITUTE(SUBSTITUTE(SUBSTITUTE(SUBSTITUTE(SUBSTITUTE(SUBSTITUTE(SUBSTITUTE(SUBSTITUTE(SUBSTITUTE(SUBSTITUTE(SUBSTITUTE(SUBSTITUTE(SUBSTITUTE(SUBSTITUTE(SUBSTITUTE(SUBSTITUTE(SUBSTITUTE(SUBSTITUTE(SUBSTITUTE(SUBSTITUTE(SUBSTITUTE(SUBSTITUTE(SUBSTITUTE(LOWER(Z456&amp;""),CHAR(10)," "),CHAR(13)," "),CHAR(9)," "),CHAR(160)," "),"."," "),","," "),"-"," "),"/"," "),"("," "),")"," "),":"," "),";"," "),"_"," "),"–"," "),"?"," "),"!"," "),"*"," "),"["," "),"]"," "),"'"," "),"#"," "),"+"," "),"&amp;"," "),"\"," "))&amp;" "</f>
        <v>  </v>
      </c>
      <c r="BE456" s="61" t="str">
        <f aca="false">" "&amp;TRIM(SUBSTITUTE(SUBSTITUTE(SUBSTITUTE(SUBSTITUTE(SUBSTITUTE(SUBSTITUTE(SUBSTITUTE(SUBSTITUTE(SUBSTITUTE(SUBSTITUTE(SUBSTITUTE(SUBSTITUTE(SUBSTITUTE(SUBSTITUTE(SUBSTITUTE(SUBSTITUTE(SUBSTITUTE(SUBSTITUTE(SUBSTITUTE(SUBSTITUTE(SUBSTITUTE(SUBSTITUTE(SUBSTITUTE(SUBSTITUTE(LOWER(W456&amp;""),CHAR(10)," "),CHAR(13)," "),CHAR(9)," "),CHAR(160)," "),"."," "),","," "),"-"," "),"/"," "),"("," "),")"," "),":"," "),";"," "),"_"," "),"–"," "),"?"," "),"!"," "),"*"," "),"["," "),"]"," "),"'"," "),"#"," "),"+"," "),"&amp;"," "),"\"," "))&amp;" "</f>
        <v>  </v>
      </c>
      <c r="BF456" s="61" t="str">
        <f aca="false">" "&amp;TRIM(SUBSTITUTE(SUBSTITUTE(SUBSTITUTE(SUBSTITUTE(SUBSTITUTE(SUBSTITUTE(SUBSTITUTE(SUBSTITUTE(SUBSTITUTE(SUBSTITUTE(SUBSTITUTE(SUBSTITUTE(SUBSTITUTE(SUBSTITUTE(SUBSTITUTE(SUBSTITUTE(SUBSTITUTE(SUBSTITUTE(SUBSTITUTE(SUBSTITUTE(SUBSTITUTE(SUBSTITUTE(SUBSTITUTE(SUBSTITUTE(LOWER(AC456&amp;""),CHAR(10)," "),CHAR(13)," "),CHAR(9)," "),CHAR(160)," "),"."," "),","," "),"-"," "),"/"," "),"("," "),")"," "),":"," "),";"," "),"_"," "),"–"," "),"?"," "),"!"," "),"*"," "),"["," "),"]"," "),"'"," "),"#"," "),"+"," "),"&amp;"," "),"\"," "))&amp;" "</f>
        <v>  </v>
      </c>
      <c r="BG456" s="61" t="n">
        <f aca="false">IFERROR(IF(AND(TRIM(U456)="Pass",SUMPRODUCT((LEN(BC456)-LEN(SUBSTITUTE(BC456," "&amp;L_ResultBad&amp;" "," ")))/(LEN(L_ResultBad)+1))&gt;SUMPRODUCT((LEN(BC456)-LEN(SUBSTITUTE(BC456," "&amp;L_NegPhrase&amp;" "," ")))/(LEN(L_NegPhrase)+1))),1,0),0)</f>
        <v>0</v>
      </c>
      <c r="BH456" s="61" t="n">
        <f aca="false">IFERROR(IF(SUMPRODUCT((LEN(BC456)-LEN(SUBSTITUTE(BC456," "&amp;L_Pending&amp;" "," ")))/(LEN(L_Pending)+1))&gt;SUMPRODUCT((LEN(BC456)-LEN(SUBSTITUTE(BC456," "&amp;L_PendNeg&amp;" "," ")))/(LEN(L_PendNeg)+1))+SUMPRODUCT((LEN(BC456)-LEN(SUBSTITUTE(BC456," "&amp;L_PendPrep&amp;" "," ")))/(LEN(L_PendPrep)+1)),1,0),1)</f>
        <v>0</v>
      </c>
      <c r="BI456" s="61" t="n">
        <f aca="false">IFERROR(IF(SUMPRODUCT((LEN(BD456)-LEN(SUBSTITUTE(BD456," "&amp;L_PendStrict&amp;" "," ")))/(LEN(L_PendStrict)+1))&gt;SUMPRODUCT((LEN(BD456)-LEN(SUBSTITUTE(BD456," "&amp;L_PendNeg&amp;" "," ")))/(LEN(L_PendNeg)+1)),1,0),1)</f>
        <v>0</v>
      </c>
      <c r="BJ456" s="61" t="n">
        <f aca="false">IFERROR(IF(SUMPRODUCT((LEN(BE456)-LEN(SUBSTITUTE(BE456," "&amp;L_Pending&amp;" "," ")))/(LEN(L_Pending)+1))&gt;SUMPRODUCT((LEN(BE456)-LEN(SUBSTITUTE(BE456," "&amp;L_PendNeg&amp;" "," ")))/(LEN(L_PendNeg)+1))+SUMPRODUCT((LEN(BE456)-LEN(SUBSTITUTE(BE456," "&amp;L_PendPrep&amp;" "," ")))/(LEN(L_PendPrep)+1)),1,0),1)</f>
        <v>0</v>
      </c>
      <c r="BK456" s="61" t="n">
        <f aca="false">IFERROR(IF(SUMPRODUCT((LEN(BF456)-LEN(SUBSTITUTE(BF456," "&amp;L_PendStrict&amp;" "," ")))/(LEN(L_PendStrict)+1))&gt;SUMPRODUCT((LEN(BF456)-LEN(SUBSTITUTE(BF456," "&amp;L_PendNeg&amp;" "," ")))/(LEN(L_PendNeg)+1)),1,0),1)</f>
        <v>0</v>
      </c>
      <c r="BL456" s="61" t="n">
        <f aca="false">IF(ISNA(MATCH(TRIM(S456),L_EvidenceType,0)),0,BZ456)</f>
        <v>0</v>
      </c>
      <c r="BM456" s="61" t="str">
        <f aca="false">SUBSTITUTE(SUBSTITUTE(SUBSTITUTE(SUBSTITUTE(SUBSTITUTE(SUBSTITUTE(SUBSTITUTE(SUBSTITUTE(SUBSTITUTE(LOWER(Z456&amp;""),"1","0"),"2","0"),"3","0"),"4","0"),"5","0"),"6","0"),"7","0"),"8","0"),"9","0")</f>
        <v/>
      </c>
      <c r="BN456" s="61" t="str">
        <f aca="false">SUBSTITUTE(SUBSTITUTE(SUBSTITUTE(SUBSTITUTE(SUBSTITUTE(SUBSTITUTE(SUBSTITUTE(SUBSTITUTE(SUBSTITUTE(SUBSTITUTE(SUBSTITUTE(SUBSTITUTE(SUBSTITUTE(SUBSTITUTE(SUBSTITUTE(SUBSTITUTE(SUBSTITUTE(SUBSTITUTE(SUBSTITUTE(SUBSTITUTE(SUBSTITUTE(SUBSTITUTE(SUBSTITUTE(SUBSTITUTE(SUBSTITUTE(BM456,"b","a"),"c","a"),"d","a"),"e","a"),"f","a"),"g","a"),"h","a"),"i","a"),"j","a"),"k","a"),"l","a"),"m","a"),"n","a"),"o","a"),"p","a"),"q","a"),"r","a"),"s","a"),"t","a"),"u","a"),"v","a"),"w","a"),"x","a"),"y","a"),"z","a")</f>
        <v/>
      </c>
      <c r="BO456" s="61" t="str">
        <f aca="false">SUBSTITUTE(SUBSTITUTE(SUBSTITUTE(SUBSTITUTE(SUBSTITUTE(SUBSTITUTE(SUBSTITUTE(SUBSTITUTE(SUBSTITUTE(LOWER(W456&amp;""),"1","0"),"2","0"),"3","0"),"4","0"),"5","0"),"6","0"),"7","0"),"8","0"),"9","0")</f>
        <v/>
      </c>
      <c r="BP456" s="61" t="str">
        <f aca="false">SUBSTITUTE(SUBSTITUTE(SUBSTITUTE(SUBSTITUTE(SUBSTITUTE(SUBSTITUTE(SUBSTITUTE(SUBSTITUTE(SUBSTITUTE(SUBSTITUTE(SUBSTITUTE(SUBSTITUTE(SUBSTITUTE(SUBSTITUTE(SUBSTITUTE(SUBSTITUTE(SUBSTITUTE(SUBSTITUTE(SUBSTITUTE(SUBSTITUTE(SUBSTITUTE(SUBSTITUTE(SUBSTITUTE(SUBSTITUTE(SUBSTITUTE(BO456,"b","a"),"c","a"),"d","a"),"e","a"),"f","a"),"g","a"),"h","a"),"i","a"),"j","a"),"k","a"),"l","a"),"m","a"),"n","a"),"o","a"),"p","a"),"q","a"),"r","a"),"s","a"),"t","a"),"u","a"),"v","a"),"w","a"),"x","a"),"y","a"),"z","a")</f>
        <v/>
      </c>
      <c r="BQ456" s="61" t="n">
        <f aca="false">IFERROR(IF(AND(ISERROR(SEARCH(" mh"," "&amp;LOWER(W456))),ISNA(MATCH(LEFT(TRIM(BP456),255),{"0000a","000a","00a","0000aa","000aa","00aa","0aa","0000aaa","000aaa","00a00","0a00","0000-0000","00:00","a00","a0","00.00.0000","00/00/0000","00-00-0000","0000-00-00","0000/00/00","0000.00.00","00.00.00","00/00/00","00-00-00","0.00.0000","0/00/0000","0-00-0000"},0)),ISNA(MATCH(LEFT(TRIM(CA456),255),{"0000a","000a","00a","0000aa","000aa","00aa","0aa","0000aaa","000aaa","00a00","0a00","0000-0000","00:00","a00","a0","00.00.0000","00/00/0000","00-00-0000","0000-00-00","0000/00/00","0000.00.00","00.00.00","00/00/00","00-00-00","0.00.0000","0/00/0000","0-00-0000"},0)),LEN(CB456)&gt;=3,NOT(OR(SUBSTITUTE(CB456,"0","")="",AND(LEN(CB456)&gt;=4,CB456=REPT(LEFT(CB456),LEN(CB456))),ISNUMBER(MATCH(CB456,{"123","1234","12345","123456","1234567","12345678","0123","01234","012345","98765","987654","54321"},0)),AND(LEN(CB456)=8,LEFT(CB456,3)="202"))),OR(AND((LEN(CA456)-LEN(SUBSTITUTE(CA456,"a","")))&gt;=1,SUMPRODUCT(--ISNUMBER(SEARCH({"a0","a-0","a_0","a/0","a.0","a#0","0a","0-a","0_a","0/a"},BP456)))&gt;0),ISNUMBER(SEARCH("000000",BP456)))),1,0),0)</f>
        <v>0</v>
      </c>
      <c r="BR456" s="61" t="n">
        <f aca="false">IFERROR(LEN(SUBSTITUTE(CC456," ",""))-SUMPRODUCT((LEN(CC456)-LEN(SUBSTITUTE(CC456," "&amp;L_Role&amp;" "," ")))/(LEN(L_Role)+1)*LEN(L_Role)),0)</f>
        <v>0</v>
      </c>
      <c r="BS456" s="61" t="n">
        <f aca="false">IFERROR(LEN(SUBSTITUTE(CD456," ",""))-SUMPRODUCT((LEN(CD456)-LEN(SUBSTITUTE(CD456," "&amp;L_Role&amp;" "," ")))/(LEN(L_Role)+1)*LEN(L_Role)),0)</f>
        <v>0</v>
      </c>
      <c r="BT4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456,"revision",""),"version",""),"jan",""),"feb",""),"mar",""),"apr",""),"may",""),"jun",""),"jul",""),"aug",""),"sep",""),"oct",""),"nov",""),"dec",""),"utc",""),"gmt",""),"myt",""),"bst",""),"rev",""),"ver",""),"b","a"),"c","a"),"d","a"),"e","a"),"f","a"),"g","a"),"h","a"),"i","a"),"j","a"),"k","a"),"l","a"),"m","a"),"n","a"),"o","a"),"p","a"),"q","a"),"r","a"),"s","a"),"t","a"),"u","a"),"v","a"),"w","a"),"x","a"),"y","a"),"z","a")</f>
        <v/>
      </c>
      <c r="BU456" s="61" t="str">
        <f aca="false">SUBSTITUTE(SUBSTITUTE(SUBSTITUTE(SUBSTITUTE(SUBSTITUTE(SUBSTITUTE(SUBSTITUTE(SUBSTITUTE(SUBSTITUTE(SUBSTITUTE(LEFT(BM456,FIND("0",BM456&amp;"0")-1),"-",""),"_",""),"/",""),".",""),"#",""),"\\",""),":","")," ",""),"(",""),")","")</f>
        <v/>
      </c>
      <c r="BV456" s="61" t="n">
        <f aca="false">0</f>
        <v>0</v>
      </c>
      <c r="BW4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456&amp;""),"a",""),"b",""),"c",""),"d",""),"e",""),"f",""),"g",""),"h",""),"i",""),"j",""),"k",""),"l",""),"m",""),"n",""),"o",""),"p",""),"q",""),"r",""),"s",""),"t",""),"u",""),"v",""),"w",""),"x",""),"y",""),"z",""),"-",""),"_",""),"/",""),".",""),"#",""),"\\",""),":","")," ",""),"(",""),")","")</f>
        <v/>
      </c>
      <c r="BX456" s="61" t="str">
        <f aca="false">SUBSTITUTE(SUBSTITUTE(SUBSTITUTE(SUBSTITUTE(SUBSTITUTE(SUBSTITUTE(SUBSTITUTE(SUBSTITUTE(SUBSTITUTE(SUBSTITUTE(SUBSTITUTE(BM456,"0",""),"-",""),"_",""),"/",""),".",""),"#",""),"\\",""),":","")," ",""),"(",""),")","")</f>
        <v/>
      </c>
      <c r="BY456" s="62" t="n">
        <f aca="false">Q456-T7EarlyD*24/24</f>
        <v>46289.0763888889</v>
      </c>
      <c r="BZ456" s="61" t="n">
        <f aca="false">IFERROR(IF(IF(TRIM(S456)="Link / file path",AND(LEN(TRIM(Z456))&gt;=5,SUMPRODUCT(--ISNUMBER(SEARCH({"http","www.","\\",":\",".pdf",".jpg",".jpeg",".png",".heic",".xls",".doc",".msg",".eml",".ppt",".txt",".zip"},Z456)))&gt;0),AND(ISERROR(FIND(" ",TRIM(Z456))),NOT(OR(SUMPRODUCT(--ISNUMBER(FIND({",",";","&amp;","+"},Z456)))&gt;0,SUMPRODUCT(--ISNUMBER(SEARCH({"0/aa","0\\aa"},BN456)))&gt;0)),NOT(SUMPRODUCT(--ISNUMBER(SEARCH({"http","www.","\\",":\",".pdf",".jpg",".jpeg",".png",".heic",".xls",".doc",".msg",".eml",".ppt",".txt",".zip"},Z456)))&gt;0),NOT(LOWER(TRIM(Z456))=LOWER(Flights!$F$18)),ISNA(MATCH(BU456,{"mh","rev","revision","ver","version","v","r","a","b","seat","tray","row","gate","bay","stand","page","pg","item","line","no","cart","galley","flight","flt","table","box","bag","oven","etd","eta","std","sta","atd","ata","qty","pax","x","time","tel","ph","mob","day","wk","week","utc","gmt","myt","lt"},0)),NOT(OR(ISNUMBER(MATCH(LEFT(BN456,255),{"0000a","000a","00a","0000aa","000aa","00aa","0aa","0000aaa","000aaa","00a00","0a00","0000-0000","00:00","a00","a0","00.00.0000","00/00/0000","00-00-0000","0000-00-00","0000/00/00","0000.00.00","00.00.00","00/00/00","00-00-00","0.00.0000","0/00/0000","0-00-0000"},0)),ISNUMBER(MATCH(LEFT(BT456,255),{"0000a","000a","00a","0000aa","000aa","00aa","0aa","0000aaa","000aaa","00a00","0a00","0000-0000","00:00","a00","a0","00.00.0000","00/00/0000","00-00-0000","0000-00-00","0000/00/00","0000.00.00","00.00.00","00/00/00","00-00-00","0.00.0000","0/00/0000","0-00-0000"},0)))),NOT(OR(AND(BW456&lt;&gt;"",SUBSTITUTE(BW456,"0","")=""),AND(LEN(BW456)&gt;=4,BW456=REPT(LEFT(BW456),LEN(BW456))),ISNUMBER(MATCH(BW456,{"123","1234","12345","123456","1234567","12345678","0123","01234","012345","98765","987654","54321"},0)),ISNUMBER(MATCH(BX456,{"x","xx","xxx","xxxx","xxxxx","abc","abcd","nil","na","nan","test","tbc","tba","tbd","dummy","sample","example","eg","zz","zzz","none","null","xyz","qwe","asd","id","ref"},0)),AND(LEN(BW456)=8,BX456="",OR(LEFT(BW456,3)="202",ISNUMBER(MATCH(RIGHT(BW456,4),{"2025","2026","2027"},0)))))),OR(AND((LEN(BT456)-LEN(SUBSTITUTE(BT456,"a","")))&gt;=1,(LEN(BN456)-LEN(SUBSTITUTE(BN456,"0","")))&gt;=2,SUMPRODUCT(--ISNUMBER(SEARCH({"a0","a-0","a_0","a/0","a.0","a#0","0a","0-a","0_a","0/a"},BN456)))&gt;0),AND((LEN(BN456)-LEN(SUBSTITUTE(BN456,"a","")))=0,(LEN(BN456)-LEN(SUBSTITUTE(BN456,"0","")))&gt;=5)))),1,0),0)</f>
        <v>0</v>
      </c>
      <c r="CA4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456,"revision",""),"version",""),"jan",""),"feb",""),"mar",""),"apr",""),"may",""),"jun",""),"jul",""),"aug",""),"sep",""),"oct",""),"nov",""),"dec",""),"utc",""),"gmt",""),"myt",""),"bst",""),"rev",""),"ver",""),"b","a"),"c","a"),"d","a"),"e","a"),"f","a"),"g","a"),"h","a"),"i","a"),"j","a"),"k","a"),"l","a"),"m","a"),"n","a"),"o","a"),"p","a"),"q","a"),"r","a"),"s","a"),"t","a"),"u","a"),"v","a"),"w","a"),"x","a"),"y","a"),"z","a")</f>
        <v/>
      </c>
      <c r="CB4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456&amp;""),"a",""),"b",""),"c",""),"d",""),"e",""),"f",""),"g",""),"h",""),"i",""),"j",""),"k",""),"l",""),"m",""),"n",""),"o",""),"p",""),"q",""),"r",""),"s",""),"t",""),"u",""),"v",""),"w",""),"x",""),"y",""),"z",""),"-",""),"_",""),"/",""),".",""),"#",""),"\\",""),":","")," ",""),"(",""),")","")</f>
        <v/>
      </c>
      <c r="CC456" s="0" t="str">
        <f aca="false">" "&amp;TRIM(SUBSTITUTE(SUBSTITUTE(SUBSTITUTE(SUBSTITUTE(SUBSTITUTE(SUBSTITUTE(SUBSTITUTE(SUBSTITUTE(SUBSTITUTE(SUBSTITUTE(SUBSTITUTE(SUBSTITUTE(SUBSTITUTE(SUBSTITUTE(SUBSTITUTE(SUBSTITUTE(SUBSTITUTE(SUBSTITUTE(SUBSTITUTE(SUBSTITUTE(SUBSTITUTE(SUBSTITUTE(SUBSTITUTE(SUBSTITUTE(LOWER(T456&amp;""),CHAR(10)," "),CHAR(13)," "),CHAR(9)," "),CHAR(160)," "),"."," "),","," "),"-"," "),"/"," "),"("," "),")"," "),":"," "),";"," "),"_"," "),"–"," "),"?"," "),"!"," "),"*"," "),"["," "),"]"," "),"'"," "),"#"," "),"+"," "),"&amp;"," "),"\"," "))&amp;" "</f>
        <v>  </v>
      </c>
      <c r="CD456" s="0" t="str">
        <f aca="false">" "&amp;TRIM(SUBSTITUTE(SUBSTITUTE(SUBSTITUTE(SUBSTITUTE(SUBSTITUTE(SUBSTITUTE(SUBSTITUTE(SUBSTITUTE(SUBSTITUTE(SUBSTITUTE(SUBSTITUTE(SUBSTITUTE(SUBSTITUTE(SUBSTITUTE(SUBSTITUTE(SUBSTITUTE(SUBSTITUTE(SUBSTITUTE(SUBSTITUTE(SUBSTITUTE(SUBSTITUTE(SUBSTITUTE(SUBSTITUTE(SUBSTITUTE(LOWER(AE456&amp;""),CHAR(10)," "),CHAR(13)," "),CHAR(9)," "),CHAR(160)," "),"."," "),","," "),"-"," "),"/"," "),"("," "),")"," "),":"," "),";"," "),"_"," "),"–"," "),"?"," "),"!"," "),"*"," "),"["," "),"]"," "),"'"," "),"#"," "),"+"," "),"&amp;"," "),"\"," "))&amp;" "</f>
        <v>  </v>
      </c>
      <c r="CE456" s="68" t="n">
        <f aca="false">IFERROR(IF(AND(LEN(AU456)&gt;0,LEN(AU456)=LEN(AX456),OR(TRIM(MID(SUBSTITUTE(TRIM(CC456)," ",REPT(" ",60)),1,60))="",ISNUMBER(SEARCH(" "&amp;TRIM(MID(SUBSTITUTE(TRIM(CC456)," ",REPT(" ",60)),1,60))&amp;" ",CD456))),OR(TRIM(MID(SUBSTITUTE(TRIM(CC456)," ",REPT(" ",60)),61,60))="",ISNUMBER(SEARCH(" "&amp;TRIM(MID(SUBSTITUTE(TRIM(CC456)," ",REPT(" ",60)),61,60))&amp;" ",CD456))),OR(TRIM(MID(SUBSTITUTE(TRIM(CC456)," ",REPT(" ",60)),121,60))="",ISNUMBER(SEARCH(" "&amp;TRIM(MID(SUBSTITUTE(TRIM(CC456)," ",REPT(" ",60)),121,60))&amp;" ",CD456)))),1,0),0)</f>
        <v>0</v>
      </c>
      <c r="CG456" s="68" t="n">
        <f aca="false">IFERROR(LEN(SUBSTITUTE(BF456," ",""))-SUMPRODUCT((LEN(BF456)-LEN(SUBSTITUTE(BF456," "&amp;L_NAFiller&amp;" "," ")))/(LEN(L_NAFiller)+1)*LEN(L_NAFiller)),0)</f>
        <v>0</v>
      </c>
    </row>
    <row r="457" customFormat="false" ht="39.75" hidden="false" customHeight="true" outlineLevel="0" collapsed="false">
      <c r="A457" s="57" t="s">
        <v>1104</v>
      </c>
      <c r="B457" s="57" t="s">
        <v>276</v>
      </c>
      <c r="C457" s="57" t="str">
        <f aca="false">Flights!$F$18</f>
        <v>MH0004</v>
      </c>
      <c r="D457" s="58" t="n">
        <f aca="false">Flights!$D$18</f>
        <v>46310</v>
      </c>
      <c r="E457" s="57" t="str">
        <f aca="false">Flights!$G$18&amp;"-"&amp;Flights!$H$18</f>
        <v>KUL-LHR</v>
      </c>
      <c r="F457" s="57" t="str">
        <f aca="false">Flights!$K$18</f>
        <v>EY</v>
      </c>
      <c r="G457" s="57" t="s">
        <v>81</v>
      </c>
      <c r="H457" s="57" t="s">
        <v>378</v>
      </c>
      <c r="I457" s="57" t="s">
        <v>385</v>
      </c>
      <c r="J457" s="57" t="s">
        <v>386</v>
      </c>
      <c r="K457" s="67" t="s">
        <v>387</v>
      </c>
      <c r="L457" s="67" t="s">
        <v>382</v>
      </c>
      <c r="M457" s="67"/>
      <c r="N457" s="67" t="s">
        <v>383</v>
      </c>
      <c r="O457" s="67"/>
      <c r="P457" s="57" t="s">
        <v>187</v>
      </c>
      <c r="Q457" s="59" t="n">
        <f aca="false">ROUND((Flights!$AC$18)*1440,0)/1440</f>
        <v>46303.0763888889</v>
      </c>
      <c r="R457" s="59" t="n">
        <f aca="false">Q457+(IF(AND(INDEX(TZ_DSTS,MATCH(P457,TZ_STN,0))&lt;&gt;"",Q457&gt;=INDEX(TZ_DSTS,MATCH(P457,TZ_STN,0)),Q457&lt;INDEX(TZ_DSTE,MATCH(P457,TZ_STN,0))),INDEX(TZ_DST,MATCH(P457,TZ_STN,0)),INDEX(TZ_STD,MATCH(P457,TZ_STN,0))))/24</f>
        <v>46303.4097222222</v>
      </c>
      <c r="S457" s="60"/>
      <c r="T457" s="60"/>
      <c r="U457" s="60"/>
      <c r="V457" s="60"/>
      <c r="W457" s="61"/>
      <c r="X457" s="60"/>
      <c r="Y457" s="60"/>
      <c r="Z457" s="60"/>
      <c r="AA457" s="60"/>
      <c r="AB457" s="60"/>
      <c r="AC457" s="60"/>
      <c r="AD457" s="66"/>
      <c r="AE457" s="60"/>
      <c r="AF457" s="61" t="str">
        <f aca="false">IF(AND(ISNUMBER(X457),ISNUMBER(Y457)),Y457-X457,"")</f>
        <v/>
      </c>
      <c r="AG457" s="62" t="str">
        <f aca="false">IF(ISNUMBER(AD457),AD457-(IF(AND(INDEX(TZ_DSTS,MATCH(P457,TZ_STN,0))&lt;&gt;"",(AD457-INDEX(TZ_STD,MATCH(P457,TZ_STN,0))/24)&gt;=INDEX(TZ_DSTS,MATCH(P457,TZ_STN,0)),(AD457-INDEX(TZ_STD,MATCH(P457,TZ_STN,0))/24)&lt;INDEX(TZ_DSTE,MATCH(P457,TZ_STN,0))),INDEX(TZ_DST,MATCH(P457,TZ_STN,0)),INDEX(TZ_STD,MATCH(P457,TZ_STN,0))))/24,"")</f>
        <v/>
      </c>
      <c r="AH457" s="65" t="str">
        <f aca="false">IFERROR(IF(N457="N/A – rule",IF(OR(TRIM(U457)="",TRIM(U457)="N/A",TRIM(U457)="Not started"),"N/A – RULE","INVALID – this check does not apply to this aircraft: clear the status (or correct the fleet on Flights)"),IF(TRIM(U457)="N/A",IF(AT457=0,"INVALID – N/A not permitted for this check",IF(AND(TRIM(AB457)&lt;&gt;"",TRIM(AB457)&lt;&gt;"Closed"),"INVALID – corrective action still open",IF(AND(NOT(OR(LEN(AZ457)&lt;15,ISNUMBER(MATCH(AZ457,L_Placeholder,0)))),BK457=0,CG457&gt;=8,NOT(OR(LEN(AU457)&lt;2,ISNUMBER(MATCH(AU457,L_Placeholder,0)))),BR457&gt;=3,NOT(OR(LEN(AX457)&lt;2,ISNUMBER(MATCH(AX457,L_Placeholder,0)))),BS457&gt;=3,TRIM(AE457)&lt;&gt;TRIM(T457),AX457&lt;&gt;AU457,CE457=0),"N/A – JUSTIFIED","INVALID – N/A needs a real, settled reason (not 'not applicable' / 'as above' / TBC), a named PIC and a different named verifier"))),IF(OR(TRIM(U457)="Pass",TRIM(U457)="Pass after CA"),IF(NOT(ISNUMBER(AD457)),"INVALID – completion time missing",IF(OR(OR(LEN(AU457)&lt;2,ISNUMBER(MATCH(AU457,L_Placeholder,0))),BR457&lt;3),"INVALID – PIC missing or not a named person (a role such as QA / CSM is not a name)",IF(OR(LEN(AV457)&lt;2,ISNUMBER(MATCH(AV457,L_Placeholder,0))),"INVALID – result / assessment missing",IF(OR(OR(LEN(AW457)&lt;3,ISNUMBER(MATCH(AW457,L_Placeholder,0))),SUMPRODUCT(--ISNUMBER(SEARCH(" "&amp;L_EvidencePhrase&amp;" ",BD457)))&gt;0,BI457=1),"INVALID – evidence missing, placeholder or not yet on file",IF(ISNA(MATCH(TRIM(S457),L_EvidenceType,0)),"INVALID – choose the evidence type from the list (column S)",IF(BL457=0,"INVALID – evidence ID must be the record's own ID only (e.g. SF-2210, IMG_2231, 1045521); a link / file name needs type 'Link / file path'",IF(OR(OR(LEN(AX457)&lt;2,ISNUMBER(MATCH(AX457,L_Placeholder,0))),BS457&lt;3),"INVALID – verifier missing or not a named person (a role such as QA / CSM is not a name)",IF(OR(AX457=AU457,CE457=1,AND(LEN(AU457)&gt;=4,ISNUMBER(SEARCH(AU457,AX457))),AND(LEN(AX457)&gt;=4,ISNUMBER(SEARCH(AX457,AU457)))),"INVALID – verifier must be a different, named person (not the PIC or a role)",IF(BH457=1,"INVALID – result not yet available (awaiting / TBC)",IF(BG457=1,"INVALID – result describes a problem: record Fail, then Pass after CA (or reword if it is not a problem)",IF(BV457=1,"INVALID – wording says not on board: an on-board confirmation needs the item loaded",IF(AND(AQ457=1,OR(OR(LEN(AY457)&lt;3,ISNUMBER(MATCH(AY457,L_Placeholder,0))),BJ457=1,BQ457=0)),"INVALID – batch ID missing, placeholder or not an ID (e.g. PASB-261008-BC-017)",IF(AND(AR457=1,OR(NOT(ISNUMBER(X457)),NOT(ISNUMBER(Y457)))),"INVALID – expected/actual qty missing",IF(AND(AR457=1,OR(X457&lt;=0,Y457&lt;0)),"INVALID – expected qty must be above 0 and actual not negative",IF(BB457&lt;&gt;"",BB457,IF(AND(AS457=1,Documents!$J$18&lt;&gt;"ON FILE"),"INVALID – GLD not on file (Documents sheet)",IF(AND(AS457=2,Documents!$O$18&lt;&gt;"ON FILE"),"INVALID – menu checklist not on file (Documents sheet)",IF(AND(AS457=3,NOT(ISNUMBER(Flights!$AX$18))),"INVALID – enter carrying flight KUL departure (Flights AX)",IF(AND(AS457=3,OR(Flights!$AZ$18&gt;Flights!$AA$18,Flights!$AX$18&lt;Flights!$AA$18-3)),"INVALID – carrying flight (Flights AX) cannot arrive before this leg's STD, or is over 3 days early",IF(AG457&gt;AsOfUTC,"INVALID – completion time is in the future",IF(AND(ISNUMBER(BY457),AG457&lt;BY457),IF(H457="Physical uplift","INVALID – before uplift window (cannot confirm loading)","INVALID – before valid window"),IF(AG457&gt;Flights!$AA$18,"INVALID – completed after departure (cannot establish readiness)",IF(AND(H457="Preparation",AG457&gt;=IF(ISNUMBER(Flights!$BA$18),MIN(Flights!$BA$18,Flights!$AA$18),Flights!$AA$18)),"INVALID – completed after loading / departure (cannot establish readiness)",IF(AND(H457="Physical uplift",AG457&gt;Q457),"INVALID – recorded after the loading flight departed",IF(AG457&gt;Q457,"COMPLETE – LATE","COMPLETE"))))))))))))))))))))))))),IF(TRIM(U457)="Fail","FAIL – DISCREPANCY",IF(AND(TRIM(U457)&lt;&gt;"",TRIM(U457)&lt;&gt;"Not started",TRIM(U457)&lt;&gt;"In progress"),"INVALID – unrecognised status (use the list)",IF(AsOfUTC&gt;Q457,"OVERDUE",IF(N457="Clarification required","OPEN – CLARIFICATION","OPEN"))))))),"INVALID – error value in an input cell")</f>
        <v>OPEN</v>
      </c>
      <c r="AI457" s="61" t="n">
        <f aca="false">IF(OR(AH457="N/A – RULE",AH457="N/A – JUSTIFIED"),0,1)</f>
        <v>1</v>
      </c>
      <c r="AJ457" s="61" t="n">
        <f aca="false">IF(LEFT(AH457,8)="COMPLETE",1,0)</f>
        <v>0</v>
      </c>
      <c r="AK457" s="61" t="n">
        <f aca="false">IF(AND(AI457=1,AJ457=0,AsOfUTC&gt;Q457),1,0)</f>
        <v>0</v>
      </c>
      <c r="AL457" s="61" t="n">
        <f aca="false">IFERROR(IF(AND(AI457=1,OR(TRIM(U457)="Fail",AND(TRIM(AB457)&lt;&gt;"",TRIM(AB457)&lt;&gt;"Closed"),AND(ISNUMBER(AF457),AF457&lt;&gt;0,TRIM(U457)&lt;&gt;"Pass after CA"))),1,0),1)</f>
        <v>0</v>
      </c>
      <c r="AM457" s="61" t="n">
        <f aca="false">IF(LEFT(AH457,7)="INVALID",1,0)</f>
        <v>0</v>
      </c>
      <c r="AN457" s="61" t="n">
        <f aca="false">IF(AND(N457="Clarification required",AI457=1,AJ457=0),1,0)</f>
        <v>0</v>
      </c>
      <c r="AO457" s="61" t="str">
        <f aca="false">IF(AK457=1,SUM(AK$5:AK457),"")</f>
        <v/>
      </c>
      <c r="AP457" s="61" t="str">
        <f aca="false">IF(AL457=1,SUM(AL$5:AL457),"")</f>
        <v/>
      </c>
      <c r="AQ457" s="61" t="n">
        <v>0</v>
      </c>
      <c r="AR457" s="61" t="n">
        <v>0</v>
      </c>
      <c r="AS457" s="61" t="n">
        <v>0</v>
      </c>
      <c r="AT457" s="61" t="n">
        <v>0</v>
      </c>
      <c r="AU457" s="61" t="str">
        <f aca="false">SUBSTITUTE(SUBSTITUTE(SUBSTITUTE(SUBSTITUTE(SUBSTITUTE(SUBSTITUTE(SUBSTITUTE(SUBSTITUTE(SUBSTITUTE(SUBSTITUTE(SUBSTITUTE(SUBSTITUTE(SUBSTITUTE(SUBSTITUTE(SUBSTITUTE(SUBSTITUTE(LOWER(T457&amp;""),CHAR(10),""),CHAR(13),""),CHAR(9),""),CHAR(160),"")," ",""),".",""),"-",""),"/",""),"?",""),"_",""),",",""),"[",""),"]",""),"(",""),")",""),"*","")</f>
        <v/>
      </c>
      <c r="AV457" s="61" t="str">
        <f aca="false">SUBSTITUTE(SUBSTITUTE(SUBSTITUTE(SUBSTITUTE(SUBSTITUTE(SUBSTITUTE(SUBSTITUTE(SUBSTITUTE(SUBSTITUTE(SUBSTITUTE(SUBSTITUTE(SUBSTITUTE(SUBSTITUTE(SUBSTITUTE(SUBSTITUTE(SUBSTITUTE(LOWER(V457&amp;""),CHAR(10),""),CHAR(13),""),CHAR(9),""),CHAR(160),"")," ",""),".",""),"-",""),"/",""),"?",""),"_",""),",",""),"[",""),"]",""),"(",""),")",""),"*","")</f>
        <v/>
      </c>
      <c r="AW457" s="61" t="str">
        <f aca="false">SUBSTITUTE(SUBSTITUTE(SUBSTITUTE(SUBSTITUTE(SUBSTITUTE(SUBSTITUTE(SUBSTITUTE(SUBSTITUTE(SUBSTITUTE(SUBSTITUTE(SUBSTITUTE(SUBSTITUTE(SUBSTITUTE(SUBSTITUTE(SUBSTITUTE(SUBSTITUTE(LOWER(Z457&amp;""),CHAR(10),""),CHAR(13),""),CHAR(9),""),CHAR(160),"")," ",""),".",""),"-",""),"/",""),"?",""),"_",""),",",""),"[",""),"]",""),"(",""),")",""),"*","")</f>
        <v/>
      </c>
      <c r="AX457" s="61" t="str">
        <f aca="false">SUBSTITUTE(SUBSTITUTE(SUBSTITUTE(SUBSTITUTE(SUBSTITUTE(SUBSTITUTE(SUBSTITUTE(SUBSTITUTE(SUBSTITUTE(SUBSTITUTE(SUBSTITUTE(SUBSTITUTE(SUBSTITUTE(SUBSTITUTE(SUBSTITUTE(SUBSTITUTE(LOWER(AE457&amp;""),CHAR(10),""),CHAR(13),""),CHAR(9),""),CHAR(160),"")," ",""),".",""),"-",""),"/",""),"?",""),"_",""),",",""),"[",""),"]",""),"(",""),")",""),"*","")</f>
        <v/>
      </c>
      <c r="AY457" s="61" t="str">
        <f aca="false">SUBSTITUTE(SUBSTITUTE(SUBSTITUTE(SUBSTITUTE(SUBSTITUTE(SUBSTITUTE(SUBSTITUTE(SUBSTITUTE(SUBSTITUTE(SUBSTITUTE(SUBSTITUTE(SUBSTITUTE(SUBSTITUTE(SUBSTITUTE(SUBSTITUTE(SUBSTITUTE(LOWER(W457&amp;""),CHAR(10),""),CHAR(13),""),CHAR(9),""),CHAR(160),"")," ",""),".",""),"-",""),"/",""),"?",""),"_",""),",",""),"[",""),"]",""),"(",""),")",""),"*","")</f>
        <v/>
      </c>
      <c r="AZ457" s="61" t="str">
        <f aca="false">SUBSTITUTE(SUBSTITUTE(SUBSTITUTE(SUBSTITUTE(SUBSTITUTE(SUBSTITUTE(SUBSTITUTE(SUBSTITUTE(SUBSTITUTE(SUBSTITUTE(SUBSTITUTE(SUBSTITUTE(SUBSTITUTE(SUBSTITUTE(SUBSTITUTE(SUBSTITUTE(LOWER(AC457&amp;""),CHAR(10),""),CHAR(13),""),CHAR(9),""),CHAR(160),"")," ",""),".",""),"-",""),"/",""),"?",""),"_",""),",",""),"[",""),"]",""),"(",""),")",""),"*","")</f>
        <v/>
      </c>
      <c r="BA457" s="61" t="str">
        <f aca="false">SUBSTITUTE(SUBSTITUTE(SUBSTITUTE(SUBSTITUTE(SUBSTITUTE(SUBSTITUTE(SUBSTITUTE(SUBSTITUTE(SUBSTITUTE(SUBSTITUTE(SUBSTITUTE(SUBSTITUTE(SUBSTITUTE(SUBSTITUTE(SUBSTITUTE(SUBSTITUTE(LOWER(AA457&amp;""),CHAR(10),""),CHAR(13),""),CHAR(9),""),CHAR(160),"")," ",""),".",""),"-",""),"/",""),"?",""),"_",""),",",""),"[",""),"]",""),"(",""),")",""),"*","")</f>
        <v/>
      </c>
      <c r="BB457" s="61" t="str">
        <f aca="false">IF(AND(TRIM(U457)="Pass",ISNUMBER(AF457)),IF(AF457&lt;&gt;0,"INVALID – qty variance: use Fail or Pass after CA",""),"")&amp;IF(AND(TRIM(U457)="Pass after CA",ISNUMBER(AF457)),IF(AF457&lt;&gt;0,"INVALID – after the corrective action the actual qty must equal expected (update Actual)",""),"")&amp;IF(AND(TRIM(U457)="Pass",TRIM(AB457)&lt;&gt;"",TRIM(AB457)&lt;&gt;"Closed"),"INVALID – corrective action not closed: use Fail, then Pass after CA","")&amp;IF(AND(LEN(BA457)&gt;=2,ISNA(MATCH(LEFT(BA457,255),L_Placeholder,0)),TRIM(AB457)=""),"INVALID – CA status missing for the recorded corrective action","")&amp;IF(AND(TRIM(U457)="Pass after CA",OR(OR(LEN(BA457)&lt;5,ISNUMBER(MATCH(BA457,L_Placeholder,0))),TRIM(AB457)&lt;&gt;"Closed")),"INVALID – corrective action not recorded/closed","")</f>
        <v/>
      </c>
      <c r="BC457" s="61" t="str">
        <f aca="false">" "&amp;TRIM(SUBSTITUTE(SUBSTITUTE(SUBSTITUTE(SUBSTITUTE(SUBSTITUTE(SUBSTITUTE(SUBSTITUTE(SUBSTITUTE(SUBSTITUTE(SUBSTITUTE(SUBSTITUTE(SUBSTITUTE(SUBSTITUTE(SUBSTITUTE(SUBSTITUTE(SUBSTITUTE(SUBSTITUTE(SUBSTITUTE(SUBSTITUTE(SUBSTITUTE(SUBSTITUTE(SUBSTITUTE(SUBSTITUTE(SUBSTITUTE(LOWER(V457&amp;""),CHAR(10)," "),CHAR(13)," "),CHAR(9)," "),CHAR(160)," "),"."," "),","," "),"-"," "),"/"," "),"("," "),")"," "),":"," "),";"," "),"_"," "),"–"," "),"?"," "),"!"," "),"*"," "),"["," "),"]"," "),"'"," "),"#"," "),"+"," "),"&amp;"," "),"\"," "))&amp;" "</f>
        <v>  </v>
      </c>
      <c r="BD457" s="61" t="str">
        <f aca="false">" "&amp;TRIM(SUBSTITUTE(SUBSTITUTE(SUBSTITUTE(SUBSTITUTE(SUBSTITUTE(SUBSTITUTE(SUBSTITUTE(SUBSTITUTE(SUBSTITUTE(SUBSTITUTE(SUBSTITUTE(SUBSTITUTE(SUBSTITUTE(SUBSTITUTE(SUBSTITUTE(SUBSTITUTE(SUBSTITUTE(SUBSTITUTE(SUBSTITUTE(SUBSTITUTE(SUBSTITUTE(SUBSTITUTE(SUBSTITUTE(SUBSTITUTE(LOWER(Z457&amp;""),CHAR(10)," "),CHAR(13)," "),CHAR(9)," "),CHAR(160)," "),"."," "),","," "),"-"," "),"/"," "),"("," "),")"," "),":"," "),";"," "),"_"," "),"–"," "),"?"," "),"!"," "),"*"," "),"["," "),"]"," "),"'"," "),"#"," "),"+"," "),"&amp;"," "),"\"," "))&amp;" "</f>
        <v>  </v>
      </c>
      <c r="BE457" s="61" t="str">
        <f aca="false">" "&amp;TRIM(SUBSTITUTE(SUBSTITUTE(SUBSTITUTE(SUBSTITUTE(SUBSTITUTE(SUBSTITUTE(SUBSTITUTE(SUBSTITUTE(SUBSTITUTE(SUBSTITUTE(SUBSTITUTE(SUBSTITUTE(SUBSTITUTE(SUBSTITUTE(SUBSTITUTE(SUBSTITUTE(SUBSTITUTE(SUBSTITUTE(SUBSTITUTE(SUBSTITUTE(SUBSTITUTE(SUBSTITUTE(SUBSTITUTE(SUBSTITUTE(LOWER(W457&amp;""),CHAR(10)," "),CHAR(13)," "),CHAR(9)," "),CHAR(160)," "),"."," "),","," "),"-"," "),"/"," "),"("," "),")"," "),":"," "),";"," "),"_"," "),"–"," "),"?"," "),"!"," "),"*"," "),"["," "),"]"," "),"'"," "),"#"," "),"+"," "),"&amp;"," "),"\"," "))&amp;" "</f>
        <v>  </v>
      </c>
      <c r="BF457" s="61" t="str">
        <f aca="false">" "&amp;TRIM(SUBSTITUTE(SUBSTITUTE(SUBSTITUTE(SUBSTITUTE(SUBSTITUTE(SUBSTITUTE(SUBSTITUTE(SUBSTITUTE(SUBSTITUTE(SUBSTITUTE(SUBSTITUTE(SUBSTITUTE(SUBSTITUTE(SUBSTITUTE(SUBSTITUTE(SUBSTITUTE(SUBSTITUTE(SUBSTITUTE(SUBSTITUTE(SUBSTITUTE(SUBSTITUTE(SUBSTITUTE(SUBSTITUTE(SUBSTITUTE(LOWER(AC457&amp;""),CHAR(10)," "),CHAR(13)," "),CHAR(9)," "),CHAR(160)," "),"."," "),","," "),"-"," "),"/"," "),"("," "),")"," "),":"," "),";"," "),"_"," "),"–"," "),"?"," "),"!"," "),"*"," "),"["," "),"]"," "),"'"," "),"#"," "),"+"," "),"&amp;"," "),"\"," "))&amp;" "</f>
        <v>  </v>
      </c>
      <c r="BG457" s="61" t="n">
        <f aca="false">IFERROR(IF(AND(TRIM(U457)="Pass",SUMPRODUCT((LEN(BC457)-LEN(SUBSTITUTE(BC457," "&amp;L_ResultBad&amp;" "," ")))/(LEN(L_ResultBad)+1))&gt;SUMPRODUCT((LEN(BC457)-LEN(SUBSTITUTE(BC457," "&amp;L_NegPhrase&amp;" "," ")))/(LEN(L_NegPhrase)+1))),1,0),0)</f>
        <v>0</v>
      </c>
      <c r="BH457" s="61" t="n">
        <f aca="false">IFERROR(IF(SUMPRODUCT((LEN(BC457)-LEN(SUBSTITUTE(BC457," "&amp;L_Pending&amp;" "," ")))/(LEN(L_Pending)+1))&gt;SUMPRODUCT((LEN(BC457)-LEN(SUBSTITUTE(BC457," "&amp;L_PendNeg&amp;" "," ")))/(LEN(L_PendNeg)+1))+SUMPRODUCT((LEN(BC457)-LEN(SUBSTITUTE(BC457," "&amp;L_PendPrep&amp;" "," ")))/(LEN(L_PendPrep)+1)),1,0),1)</f>
        <v>0</v>
      </c>
      <c r="BI457" s="61" t="n">
        <f aca="false">IFERROR(IF(SUMPRODUCT((LEN(BD457)-LEN(SUBSTITUTE(BD457," "&amp;L_PendStrict&amp;" "," ")))/(LEN(L_PendStrict)+1))&gt;SUMPRODUCT((LEN(BD457)-LEN(SUBSTITUTE(BD457," "&amp;L_PendNeg&amp;" "," ")))/(LEN(L_PendNeg)+1)),1,0),1)</f>
        <v>0</v>
      </c>
      <c r="BJ457" s="61" t="n">
        <f aca="false">IFERROR(IF(SUMPRODUCT((LEN(BE457)-LEN(SUBSTITUTE(BE457," "&amp;L_Pending&amp;" "," ")))/(LEN(L_Pending)+1))&gt;SUMPRODUCT((LEN(BE457)-LEN(SUBSTITUTE(BE457," "&amp;L_PendNeg&amp;" "," ")))/(LEN(L_PendNeg)+1))+SUMPRODUCT((LEN(BE457)-LEN(SUBSTITUTE(BE457," "&amp;L_PendPrep&amp;" "," ")))/(LEN(L_PendPrep)+1)),1,0),1)</f>
        <v>0</v>
      </c>
      <c r="BK457" s="61" t="n">
        <f aca="false">IFERROR(IF(SUMPRODUCT((LEN(BF457)-LEN(SUBSTITUTE(BF457," "&amp;L_PendStrict&amp;" "," ")))/(LEN(L_PendStrict)+1))&gt;SUMPRODUCT((LEN(BF457)-LEN(SUBSTITUTE(BF457," "&amp;L_PendNeg&amp;" "," ")))/(LEN(L_PendNeg)+1)),1,0),1)</f>
        <v>0</v>
      </c>
      <c r="BL457" s="61" t="n">
        <f aca="false">IF(ISNA(MATCH(TRIM(S457),L_EvidenceType,0)),0,BZ457)</f>
        <v>0</v>
      </c>
      <c r="BM457" s="61" t="str">
        <f aca="false">SUBSTITUTE(SUBSTITUTE(SUBSTITUTE(SUBSTITUTE(SUBSTITUTE(SUBSTITUTE(SUBSTITUTE(SUBSTITUTE(SUBSTITUTE(LOWER(Z457&amp;""),"1","0"),"2","0"),"3","0"),"4","0"),"5","0"),"6","0"),"7","0"),"8","0"),"9","0")</f>
        <v/>
      </c>
      <c r="BN457" s="61" t="str">
        <f aca="false">SUBSTITUTE(SUBSTITUTE(SUBSTITUTE(SUBSTITUTE(SUBSTITUTE(SUBSTITUTE(SUBSTITUTE(SUBSTITUTE(SUBSTITUTE(SUBSTITUTE(SUBSTITUTE(SUBSTITUTE(SUBSTITUTE(SUBSTITUTE(SUBSTITUTE(SUBSTITUTE(SUBSTITUTE(SUBSTITUTE(SUBSTITUTE(SUBSTITUTE(SUBSTITUTE(SUBSTITUTE(SUBSTITUTE(SUBSTITUTE(SUBSTITUTE(BM457,"b","a"),"c","a"),"d","a"),"e","a"),"f","a"),"g","a"),"h","a"),"i","a"),"j","a"),"k","a"),"l","a"),"m","a"),"n","a"),"o","a"),"p","a"),"q","a"),"r","a"),"s","a"),"t","a"),"u","a"),"v","a"),"w","a"),"x","a"),"y","a"),"z","a")</f>
        <v/>
      </c>
      <c r="BO457" s="61" t="str">
        <f aca="false">SUBSTITUTE(SUBSTITUTE(SUBSTITUTE(SUBSTITUTE(SUBSTITUTE(SUBSTITUTE(SUBSTITUTE(SUBSTITUTE(SUBSTITUTE(LOWER(W457&amp;""),"1","0"),"2","0"),"3","0"),"4","0"),"5","0"),"6","0"),"7","0"),"8","0"),"9","0")</f>
        <v/>
      </c>
      <c r="BP457" s="61" t="str">
        <f aca="false">SUBSTITUTE(SUBSTITUTE(SUBSTITUTE(SUBSTITUTE(SUBSTITUTE(SUBSTITUTE(SUBSTITUTE(SUBSTITUTE(SUBSTITUTE(SUBSTITUTE(SUBSTITUTE(SUBSTITUTE(SUBSTITUTE(SUBSTITUTE(SUBSTITUTE(SUBSTITUTE(SUBSTITUTE(SUBSTITUTE(SUBSTITUTE(SUBSTITUTE(SUBSTITUTE(SUBSTITUTE(SUBSTITUTE(SUBSTITUTE(SUBSTITUTE(BO457,"b","a"),"c","a"),"d","a"),"e","a"),"f","a"),"g","a"),"h","a"),"i","a"),"j","a"),"k","a"),"l","a"),"m","a"),"n","a"),"o","a"),"p","a"),"q","a"),"r","a"),"s","a"),"t","a"),"u","a"),"v","a"),"w","a"),"x","a"),"y","a"),"z","a")</f>
        <v/>
      </c>
      <c r="BQ457" s="61" t="n">
        <f aca="false">IFERROR(IF(AND(ISERROR(SEARCH(" mh"," "&amp;LOWER(W457))),ISNA(MATCH(LEFT(TRIM(BP457),255),{"0000a","000a","00a","0000aa","000aa","00aa","0aa","0000aaa","000aaa","00a00","0a00","0000-0000","00:00","a00","a0","00.00.0000","00/00/0000","00-00-0000","0000-00-00","0000/00/00","0000.00.00","00.00.00","00/00/00","00-00-00","0.00.0000","0/00/0000","0-00-0000"},0)),ISNA(MATCH(LEFT(TRIM(CA457),255),{"0000a","000a","00a","0000aa","000aa","00aa","0aa","0000aaa","000aaa","00a00","0a00","0000-0000","00:00","a00","a0","00.00.0000","00/00/0000","00-00-0000","0000-00-00","0000/00/00","0000.00.00","00.00.00","00/00/00","00-00-00","0.00.0000","0/00/0000","0-00-0000"},0)),LEN(CB457)&gt;=3,NOT(OR(SUBSTITUTE(CB457,"0","")="",AND(LEN(CB457)&gt;=4,CB457=REPT(LEFT(CB457),LEN(CB457))),ISNUMBER(MATCH(CB457,{"123","1234","12345","123456","1234567","12345678","0123","01234","012345","98765","987654","54321"},0)),AND(LEN(CB457)=8,LEFT(CB457,3)="202"))),OR(AND((LEN(CA457)-LEN(SUBSTITUTE(CA457,"a","")))&gt;=1,SUMPRODUCT(--ISNUMBER(SEARCH({"a0","a-0","a_0","a/0","a.0","a#0","0a","0-a","0_a","0/a"},BP457)))&gt;0),ISNUMBER(SEARCH("000000",BP457)))),1,0),0)</f>
        <v>0</v>
      </c>
      <c r="BR457" s="61" t="n">
        <f aca="false">IFERROR(LEN(SUBSTITUTE(CC457," ",""))-SUMPRODUCT((LEN(CC457)-LEN(SUBSTITUTE(CC457," "&amp;L_Role&amp;" "," ")))/(LEN(L_Role)+1)*LEN(L_Role)),0)</f>
        <v>0</v>
      </c>
      <c r="BS457" s="61" t="n">
        <f aca="false">IFERROR(LEN(SUBSTITUTE(CD457," ",""))-SUMPRODUCT((LEN(CD457)-LEN(SUBSTITUTE(CD457," "&amp;L_Role&amp;" "," ")))/(LEN(L_Role)+1)*LEN(L_Role)),0)</f>
        <v>0</v>
      </c>
      <c r="BT4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457,"revision",""),"version",""),"jan",""),"feb",""),"mar",""),"apr",""),"may",""),"jun",""),"jul",""),"aug",""),"sep",""),"oct",""),"nov",""),"dec",""),"utc",""),"gmt",""),"myt",""),"bst",""),"rev",""),"ver",""),"b","a"),"c","a"),"d","a"),"e","a"),"f","a"),"g","a"),"h","a"),"i","a"),"j","a"),"k","a"),"l","a"),"m","a"),"n","a"),"o","a"),"p","a"),"q","a"),"r","a"),"s","a"),"t","a"),"u","a"),"v","a"),"w","a"),"x","a"),"y","a"),"z","a")</f>
        <v/>
      </c>
      <c r="BU457" s="61" t="str">
        <f aca="false">SUBSTITUTE(SUBSTITUTE(SUBSTITUTE(SUBSTITUTE(SUBSTITUTE(SUBSTITUTE(SUBSTITUTE(SUBSTITUTE(SUBSTITUTE(SUBSTITUTE(LEFT(BM457,FIND("0",BM457&amp;"0")-1),"-",""),"_",""),"/",""),".",""),"#",""),"\\",""),":","")," ",""),"(",""),")","")</f>
        <v/>
      </c>
      <c r="BV457" s="61" t="n">
        <f aca="false">0</f>
        <v>0</v>
      </c>
      <c r="BW4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457&amp;""),"a",""),"b",""),"c",""),"d",""),"e",""),"f",""),"g",""),"h",""),"i",""),"j",""),"k",""),"l",""),"m",""),"n",""),"o",""),"p",""),"q",""),"r",""),"s",""),"t",""),"u",""),"v",""),"w",""),"x",""),"y",""),"z",""),"-",""),"_",""),"/",""),".",""),"#",""),"\\",""),":","")," ",""),"(",""),")","")</f>
        <v/>
      </c>
      <c r="BX457" s="61" t="str">
        <f aca="false">SUBSTITUTE(SUBSTITUTE(SUBSTITUTE(SUBSTITUTE(SUBSTITUTE(SUBSTITUTE(SUBSTITUTE(SUBSTITUTE(SUBSTITUTE(SUBSTITUTE(SUBSTITUTE(BM457,"0",""),"-",""),"_",""),"/",""),".",""),"#",""),"\\",""),":","")," ",""),"(",""),")","")</f>
        <v/>
      </c>
      <c r="BY457" s="62" t="n">
        <f aca="false">Q457-T7EarlyD*24/24</f>
        <v>46289.0763888889</v>
      </c>
      <c r="BZ457" s="61" t="n">
        <f aca="false">IFERROR(IF(IF(TRIM(S457)="Link / file path",AND(LEN(TRIM(Z457))&gt;=5,SUMPRODUCT(--ISNUMBER(SEARCH({"http","www.","\\",":\",".pdf",".jpg",".jpeg",".png",".heic",".xls",".doc",".msg",".eml",".ppt",".txt",".zip"},Z457)))&gt;0),AND(ISERROR(FIND(" ",TRIM(Z457))),NOT(OR(SUMPRODUCT(--ISNUMBER(FIND({",",";","&amp;","+"},Z457)))&gt;0,SUMPRODUCT(--ISNUMBER(SEARCH({"0/aa","0\\aa"},BN457)))&gt;0)),NOT(SUMPRODUCT(--ISNUMBER(SEARCH({"http","www.","\\",":\",".pdf",".jpg",".jpeg",".png",".heic",".xls",".doc",".msg",".eml",".ppt",".txt",".zip"},Z457)))&gt;0),NOT(LOWER(TRIM(Z457))=LOWER(Flights!$F$18)),ISNA(MATCH(BU457,{"mh","rev","revision","ver","version","v","r","a","b","seat","tray","row","gate","bay","stand","page","pg","item","line","no","cart","galley","flight","flt","table","box","bag","oven","etd","eta","std","sta","atd","ata","qty","pax","x","time","tel","ph","mob","day","wk","week","utc","gmt","myt","lt"},0)),NOT(OR(ISNUMBER(MATCH(LEFT(BN457,255),{"0000a","000a","00a","0000aa","000aa","00aa","0aa","0000aaa","000aaa","00a00","0a00","0000-0000","00:00","a00","a0","00.00.0000","00/00/0000","00-00-0000","0000-00-00","0000/00/00","0000.00.00","00.00.00","00/00/00","00-00-00","0.00.0000","0/00/0000","0-00-0000"},0)),ISNUMBER(MATCH(LEFT(BT457,255),{"0000a","000a","00a","0000aa","000aa","00aa","0aa","0000aaa","000aaa","00a00","0a00","0000-0000","00:00","a00","a0","00.00.0000","00/00/0000","00-00-0000","0000-00-00","0000/00/00","0000.00.00","00.00.00","00/00/00","00-00-00","0.00.0000","0/00/0000","0-00-0000"},0)))),NOT(OR(AND(BW457&lt;&gt;"",SUBSTITUTE(BW457,"0","")=""),AND(LEN(BW457)&gt;=4,BW457=REPT(LEFT(BW457),LEN(BW457))),ISNUMBER(MATCH(BW457,{"123","1234","12345","123456","1234567","12345678","0123","01234","012345","98765","987654","54321"},0)),ISNUMBER(MATCH(BX457,{"x","xx","xxx","xxxx","xxxxx","abc","abcd","nil","na","nan","test","tbc","tba","tbd","dummy","sample","example","eg","zz","zzz","none","null","xyz","qwe","asd","id","ref"},0)),AND(LEN(BW457)=8,BX457="",OR(LEFT(BW457,3)="202",ISNUMBER(MATCH(RIGHT(BW457,4),{"2025","2026","2027"},0)))))),OR(AND((LEN(BT457)-LEN(SUBSTITUTE(BT457,"a","")))&gt;=1,(LEN(BN457)-LEN(SUBSTITUTE(BN457,"0","")))&gt;=2,SUMPRODUCT(--ISNUMBER(SEARCH({"a0","a-0","a_0","a/0","a.0","a#0","0a","0-a","0_a","0/a"},BN457)))&gt;0),AND((LEN(BN457)-LEN(SUBSTITUTE(BN457,"a","")))=0,(LEN(BN457)-LEN(SUBSTITUTE(BN457,"0","")))&gt;=5)))),1,0),0)</f>
        <v>0</v>
      </c>
      <c r="CA4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457,"revision",""),"version",""),"jan",""),"feb",""),"mar",""),"apr",""),"may",""),"jun",""),"jul",""),"aug",""),"sep",""),"oct",""),"nov",""),"dec",""),"utc",""),"gmt",""),"myt",""),"bst",""),"rev",""),"ver",""),"b","a"),"c","a"),"d","a"),"e","a"),"f","a"),"g","a"),"h","a"),"i","a"),"j","a"),"k","a"),"l","a"),"m","a"),"n","a"),"o","a"),"p","a"),"q","a"),"r","a"),"s","a"),"t","a"),"u","a"),"v","a"),"w","a"),"x","a"),"y","a"),"z","a")</f>
        <v/>
      </c>
      <c r="CB4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457&amp;""),"a",""),"b",""),"c",""),"d",""),"e",""),"f",""),"g",""),"h",""),"i",""),"j",""),"k",""),"l",""),"m",""),"n",""),"o",""),"p",""),"q",""),"r",""),"s",""),"t",""),"u",""),"v",""),"w",""),"x",""),"y",""),"z",""),"-",""),"_",""),"/",""),".",""),"#",""),"\\",""),":","")," ",""),"(",""),")","")</f>
        <v/>
      </c>
      <c r="CC457" s="0" t="str">
        <f aca="false">" "&amp;TRIM(SUBSTITUTE(SUBSTITUTE(SUBSTITUTE(SUBSTITUTE(SUBSTITUTE(SUBSTITUTE(SUBSTITUTE(SUBSTITUTE(SUBSTITUTE(SUBSTITUTE(SUBSTITUTE(SUBSTITUTE(SUBSTITUTE(SUBSTITUTE(SUBSTITUTE(SUBSTITUTE(SUBSTITUTE(SUBSTITUTE(SUBSTITUTE(SUBSTITUTE(SUBSTITUTE(SUBSTITUTE(SUBSTITUTE(SUBSTITUTE(LOWER(T457&amp;""),CHAR(10)," "),CHAR(13)," "),CHAR(9)," "),CHAR(160)," "),"."," "),","," "),"-"," "),"/"," "),"("," "),")"," "),":"," "),";"," "),"_"," "),"–"," "),"?"," "),"!"," "),"*"," "),"["," "),"]"," "),"'"," "),"#"," "),"+"," "),"&amp;"," "),"\"," "))&amp;" "</f>
        <v>  </v>
      </c>
      <c r="CD457" s="0" t="str">
        <f aca="false">" "&amp;TRIM(SUBSTITUTE(SUBSTITUTE(SUBSTITUTE(SUBSTITUTE(SUBSTITUTE(SUBSTITUTE(SUBSTITUTE(SUBSTITUTE(SUBSTITUTE(SUBSTITUTE(SUBSTITUTE(SUBSTITUTE(SUBSTITUTE(SUBSTITUTE(SUBSTITUTE(SUBSTITUTE(SUBSTITUTE(SUBSTITUTE(SUBSTITUTE(SUBSTITUTE(SUBSTITUTE(SUBSTITUTE(SUBSTITUTE(SUBSTITUTE(LOWER(AE457&amp;""),CHAR(10)," "),CHAR(13)," "),CHAR(9)," "),CHAR(160)," "),"."," "),","," "),"-"," "),"/"," "),"("," "),")"," "),":"," "),";"," "),"_"," "),"–"," "),"?"," "),"!"," "),"*"," "),"["," "),"]"," "),"'"," "),"#"," "),"+"," "),"&amp;"," "),"\"," "))&amp;" "</f>
        <v>  </v>
      </c>
      <c r="CE457" s="68" t="n">
        <f aca="false">IFERROR(IF(AND(LEN(AU457)&gt;0,LEN(AU457)=LEN(AX457),OR(TRIM(MID(SUBSTITUTE(TRIM(CC457)," ",REPT(" ",60)),1,60))="",ISNUMBER(SEARCH(" "&amp;TRIM(MID(SUBSTITUTE(TRIM(CC457)," ",REPT(" ",60)),1,60))&amp;" ",CD457))),OR(TRIM(MID(SUBSTITUTE(TRIM(CC457)," ",REPT(" ",60)),61,60))="",ISNUMBER(SEARCH(" "&amp;TRIM(MID(SUBSTITUTE(TRIM(CC457)," ",REPT(" ",60)),61,60))&amp;" ",CD457))),OR(TRIM(MID(SUBSTITUTE(TRIM(CC457)," ",REPT(" ",60)),121,60))="",ISNUMBER(SEARCH(" "&amp;TRIM(MID(SUBSTITUTE(TRIM(CC457)," ",REPT(" ",60)),121,60))&amp;" ",CD457)))),1,0),0)</f>
        <v>0</v>
      </c>
      <c r="CG457" s="68" t="n">
        <f aca="false">IFERROR(LEN(SUBSTITUTE(BF457," ",""))-SUMPRODUCT((LEN(BF457)-LEN(SUBSTITUTE(BF457," "&amp;L_NAFiller&amp;" "," ")))/(LEN(L_NAFiller)+1)*LEN(L_NAFiller)),0)</f>
        <v>0</v>
      </c>
    </row>
    <row r="458" customFormat="false" ht="41.25" hidden="false" customHeight="true" outlineLevel="0" collapsed="false">
      <c r="A458" s="57" t="s">
        <v>1105</v>
      </c>
      <c r="B458" s="57" t="s">
        <v>276</v>
      </c>
      <c r="C458" s="57" t="str">
        <f aca="false">Flights!$F$18</f>
        <v>MH0004</v>
      </c>
      <c r="D458" s="58" t="n">
        <f aca="false">Flights!$D$18</f>
        <v>46310</v>
      </c>
      <c r="E458" s="57" t="str">
        <f aca="false">Flights!$G$18&amp;"-"&amp;Flights!$H$18</f>
        <v>KUL-LHR</v>
      </c>
      <c r="F458" s="57" t="str">
        <f aca="false">Flights!$K$18</f>
        <v>EY</v>
      </c>
      <c r="G458" s="57" t="s">
        <v>81</v>
      </c>
      <c r="H458" s="57" t="s">
        <v>378</v>
      </c>
      <c r="I458" s="57" t="s">
        <v>389</v>
      </c>
      <c r="J458" s="57" t="s">
        <v>390</v>
      </c>
      <c r="K458" s="67" t="s">
        <v>391</v>
      </c>
      <c r="L458" s="67" t="s">
        <v>382</v>
      </c>
      <c r="M458" s="67"/>
      <c r="N458" s="67" t="str">
        <f aca="false">IF(TRIM(Flights!$L$18)="A339","Required","N/A – rule")</f>
        <v>N/A – rule</v>
      </c>
      <c r="O458" s="67" t="s">
        <v>392</v>
      </c>
      <c r="P458" s="57" t="s">
        <v>187</v>
      </c>
      <c r="Q458" s="59" t="n">
        <f aca="false">ROUND((Flights!$AC$18)*1440,0)/1440</f>
        <v>46303.0763888889</v>
      </c>
      <c r="R458" s="59" t="n">
        <f aca="false">Q458+(IF(AND(INDEX(TZ_DSTS,MATCH(P458,TZ_STN,0))&lt;&gt;"",Q458&gt;=INDEX(TZ_DSTS,MATCH(P458,TZ_STN,0)),Q458&lt;INDEX(TZ_DSTE,MATCH(P458,TZ_STN,0))),INDEX(TZ_DST,MATCH(P458,TZ_STN,0)),INDEX(TZ_STD,MATCH(P458,TZ_STN,0))))/24</f>
        <v>46303.4097222222</v>
      </c>
      <c r="S458" s="60"/>
      <c r="T458" s="60"/>
      <c r="U458" s="60"/>
      <c r="V458" s="60"/>
      <c r="W458" s="61"/>
      <c r="X458" s="60"/>
      <c r="Y458" s="60"/>
      <c r="Z458" s="60"/>
      <c r="AA458" s="60"/>
      <c r="AB458" s="60"/>
      <c r="AC458" s="60"/>
      <c r="AD458" s="66"/>
      <c r="AE458" s="60"/>
      <c r="AF458" s="61" t="str">
        <f aca="false">IF(AND(ISNUMBER(X458),ISNUMBER(Y458)),Y458-X458,"")</f>
        <v/>
      </c>
      <c r="AG458" s="62" t="str">
        <f aca="false">IF(ISNUMBER(AD458),AD458-(IF(AND(INDEX(TZ_DSTS,MATCH(P458,TZ_STN,0))&lt;&gt;"",(AD458-INDEX(TZ_STD,MATCH(P458,TZ_STN,0))/24)&gt;=INDEX(TZ_DSTS,MATCH(P458,TZ_STN,0)),(AD458-INDEX(TZ_STD,MATCH(P458,TZ_STN,0))/24)&lt;INDEX(TZ_DSTE,MATCH(P458,TZ_STN,0))),INDEX(TZ_DST,MATCH(P458,TZ_STN,0)),INDEX(TZ_STD,MATCH(P458,TZ_STN,0))))/24,"")</f>
        <v/>
      </c>
      <c r="AH458" s="65" t="str">
        <f aca="false">IFERROR(IF(N458="N/A – rule",IF(OR(TRIM(U458)="",TRIM(U458)="N/A",TRIM(U458)="Not started"),"N/A – RULE","INVALID – this check does not apply to this aircraft: clear the status (or correct the fleet on Flights)"),IF(TRIM(U458)="N/A",IF(AT458=0,"INVALID – N/A not permitted for this check",IF(AND(TRIM(AB458)&lt;&gt;"",TRIM(AB458)&lt;&gt;"Closed"),"INVALID – corrective action still open",IF(AND(NOT(OR(LEN(AZ458)&lt;15,ISNUMBER(MATCH(AZ458,L_Placeholder,0)))),BK458=0,CG458&gt;=8,NOT(OR(LEN(AU458)&lt;2,ISNUMBER(MATCH(AU458,L_Placeholder,0)))),BR458&gt;=3,NOT(OR(LEN(AX458)&lt;2,ISNUMBER(MATCH(AX458,L_Placeholder,0)))),BS458&gt;=3,TRIM(AE458)&lt;&gt;TRIM(T458),AX458&lt;&gt;AU458,CE458=0),"N/A – JUSTIFIED","INVALID – N/A needs a real, settled reason (not 'not applicable' / 'as above' / TBC), a named PIC and a different named verifier"))),IF(OR(TRIM(U458)="Pass",TRIM(U458)="Pass after CA"),IF(NOT(ISNUMBER(AD458)),"INVALID – completion time missing",IF(OR(OR(LEN(AU458)&lt;2,ISNUMBER(MATCH(AU458,L_Placeholder,0))),BR458&lt;3),"INVALID – PIC missing or not a named person (a role such as QA / CSM is not a name)",IF(OR(LEN(AV458)&lt;2,ISNUMBER(MATCH(AV458,L_Placeholder,0))),"INVALID – result / assessment missing",IF(OR(OR(LEN(AW458)&lt;3,ISNUMBER(MATCH(AW458,L_Placeholder,0))),SUMPRODUCT(--ISNUMBER(SEARCH(" "&amp;L_EvidencePhrase&amp;" ",BD458)))&gt;0,BI458=1),"INVALID – evidence missing, placeholder or not yet on file",IF(ISNA(MATCH(TRIM(S458),L_EvidenceType,0)),"INVALID – choose the evidence type from the list (column S)",IF(BL458=0,"INVALID – evidence ID must be the record's own ID only (e.g. SF-2210, IMG_2231, 1045521); a link / file name needs type 'Link / file path'",IF(OR(OR(LEN(AX458)&lt;2,ISNUMBER(MATCH(AX458,L_Placeholder,0))),BS458&lt;3),"INVALID – verifier missing or not a named person (a role such as QA / CSM is not a name)",IF(OR(AX458=AU458,CE458=1,AND(LEN(AU458)&gt;=4,ISNUMBER(SEARCH(AU458,AX458))),AND(LEN(AX458)&gt;=4,ISNUMBER(SEARCH(AX458,AU458)))),"INVALID – verifier must be a different, named person (not the PIC or a role)",IF(BH458=1,"INVALID – result not yet available (awaiting / TBC)",IF(BG458=1,"INVALID – result describes a problem: record Fail, then Pass after CA (or reword if it is not a problem)",IF(BV458=1,"INVALID – wording says not on board: an on-board confirmation needs the item loaded",IF(AND(AQ458=1,OR(OR(LEN(AY458)&lt;3,ISNUMBER(MATCH(AY458,L_Placeholder,0))),BJ458=1,BQ458=0)),"INVALID – batch ID missing, placeholder or not an ID (e.g. PASB-261008-BC-017)",IF(AND(AR458=1,OR(NOT(ISNUMBER(X458)),NOT(ISNUMBER(Y458)))),"INVALID – expected/actual qty missing",IF(AND(AR458=1,OR(X458&lt;=0,Y458&lt;0)),"INVALID – expected qty must be above 0 and actual not negative",IF(BB458&lt;&gt;"",BB458,IF(AND(AS458=1,Documents!$J$18&lt;&gt;"ON FILE"),"INVALID – GLD not on file (Documents sheet)",IF(AND(AS458=2,Documents!$O$18&lt;&gt;"ON FILE"),"INVALID – menu checklist not on file (Documents sheet)",IF(AND(AS458=3,NOT(ISNUMBER(Flights!$AX$18))),"INVALID – enter carrying flight KUL departure (Flights AX)",IF(AND(AS458=3,OR(Flights!$AZ$18&gt;Flights!$AA$18,Flights!$AX$18&lt;Flights!$AA$18-3)),"INVALID – carrying flight (Flights AX) cannot arrive before this leg's STD, or is over 3 days early",IF(AG458&gt;AsOfUTC,"INVALID – completion time is in the future",IF(AND(ISNUMBER(BY458),AG458&lt;BY458),IF(H458="Physical uplift","INVALID – before uplift window (cannot confirm loading)","INVALID – before valid window"),IF(AG458&gt;Flights!$AA$18,"INVALID – completed after departure (cannot establish readiness)",IF(AND(H458="Preparation",AG458&gt;=IF(ISNUMBER(Flights!$BA$18),MIN(Flights!$BA$18,Flights!$AA$18),Flights!$AA$18)),"INVALID – completed after loading / departure (cannot establish readiness)",IF(AND(H458="Physical uplift",AG458&gt;Q458),"INVALID – recorded after the loading flight departed",IF(AG458&gt;Q458,"COMPLETE – LATE","COMPLETE"))))))))))))))))))))))))),IF(TRIM(U458)="Fail","FAIL – DISCREPANCY",IF(AND(TRIM(U458)&lt;&gt;"",TRIM(U458)&lt;&gt;"Not started",TRIM(U458)&lt;&gt;"In progress"),"INVALID – unrecognised status (use the list)",IF(AsOfUTC&gt;Q458,"OVERDUE",IF(N458="Clarification required","OPEN – CLARIFICATION","OPEN"))))))),"INVALID – error value in an input cell")</f>
        <v>N/A – RULE</v>
      </c>
      <c r="AI458" s="61" t="n">
        <f aca="false">IF(OR(AH458="N/A – RULE",AH458="N/A – JUSTIFIED"),0,1)</f>
        <v>0</v>
      </c>
      <c r="AJ458" s="61" t="n">
        <f aca="false">IF(LEFT(AH458,8)="COMPLETE",1,0)</f>
        <v>0</v>
      </c>
      <c r="AK458" s="61" t="n">
        <f aca="false">IF(AND(AI458=1,AJ458=0,AsOfUTC&gt;Q458),1,0)</f>
        <v>0</v>
      </c>
      <c r="AL458" s="61" t="n">
        <f aca="false">IFERROR(IF(AND(AI458=1,OR(TRIM(U458)="Fail",AND(TRIM(AB458)&lt;&gt;"",TRIM(AB458)&lt;&gt;"Closed"),AND(ISNUMBER(AF458),AF458&lt;&gt;0,TRIM(U458)&lt;&gt;"Pass after CA"))),1,0),1)</f>
        <v>0</v>
      </c>
      <c r="AM458" s="61" t="n">
        <f aca="false">IF(LEFT(AH458,7)="INVALID",1,0)</f>
        <v>0</v>
      </c>
      <c r="AN458" s="61" t="n">
        <f aca="false">IF(AND(N458="Clarification required",AI458=1,AJ458=0),1,0)</f>
        <v>0</v>
      </c>
      <c r="AO458" s="61" t="str">
        <f aca="false">IF(AK458=1,SUM(AK$5:AK458),"")</f>
        <v/>
      </c>
      <c r="AP458" s="61" t="str">
        <f aca="false">IF(AL458=1,SUM(AL$5:AL458),"")</f>
        <v/>
      </c>
      <c r="AQ458" s="61" t="n">
        <v>0</v>
      </c>
      <c r="AR458" s="61" t="n">
        <v>0</v>
      </c>
      <c r="AS458" s="61" t="n">
        <v>0</v>
      </c>
      <c r="AT458" s="61" t="n">
        <v>0</v>
      </c>
      <c r="AU458" s="61" t="str">
        <f aca="false">SUBSTITUTE(SUBSTITUTE(SUBSTITUTE(SUBSTITUTE(SUBSTITUTE(SUBSTITUTE(SUBSTITUTE(SUBSTITUTE(SUBSTITUTE(SUBSTITUTE(SUBSTITUTE(SUBSTITUTE(SUBSTITUTE(SUBSTITUTE(SUBSTITUTE(SUBSTITUTE(LOWER(T458&amp;""),CHAR(10),""),CHAR(13),""),CHAR(9),""),CHAR(160),"")," ",""),".",""),"-",""),"/",""),"?",""),"_",""),",",""),"[",""),"]",""),"(",""),")",""),"*","")</f>
        <v/>
      </c>
      <c r="AV458" s="61" t="str">
        <f aca="false">SUBSTITUTE(SUBSTITUTE(SUBSTITUTE(SUBSTITUTE(SUBSTITUTE(SUBSTITUTE(SUBSTITUTE(SUBSTITUTE(SUBSTITUTE(SUBSTITUTE(SUBSTITUTE(SUBSTITUTE(SUBSTITUTE(SUBSTITUTE(SUBSTITUTE(SUBSTITUTE(LOWER(V458&amp;""),CHAR(10),""),CHAR(13),""),CHAR(9),""),CHAR(160),"")," ",""),".",""),"-",""),"/",""),"?",""),"_",""),",",""),"[",""),"]",""),"(",""),")",""),"*","")</f>
        <v/>
      </c>
      <c r="AW458" s="61" t="str">
        <f aca="false">SUBSTITUTE(SUBSTITUTE(SUBSTITUTE(SUBSTITUTE(SUBSTITUTE(SUBSTITUTE(SUBSTITUTE(SUBSTITUTE(SUBSTITUTE(SUBSTITUTE(SUBSTITUTE(SUBSTITUTE(SUBSTITUTE(SUBSTITUTE(SUBSTITUTE(SUBSTITUTE(LOWER(Z458&amp;""),CHAR(10),""),CHAR(13),""),CHAR(9),""),CHAR(160),"")," ",""),".",""),"-",""),"/",""),"?",""),"_",""),",",""),"[",""),"]",""),"(",""),")",""),"*","")</f>
        <v/>
      </c>
      <c r="AX458" s="61" t="str">
        <f aca="false">SUBSTITUTE(SUBSTITUTE(SUBSTITUTE(SUBSTITUTE(SUBSTITUTE(SUBSTITUTE(SUBSTITUTE(SUBSTITUTE(SUBSTITUTE(SUBSTITUTE(SUBSTITUTE(SUBSTITUTE(SUBSTITUTE(SUBSTITUTE(SUBSTITUTE(SUBSTITUTE(LOWER(AE458&amp;""),CHAR(10),""),CHAR(13),""),CHAR(9),""),CHAR(160),"")," ",""),".",""),"-",""),"/",""),"?",""),"_",""),",",""),"[",""),"]",""),"(",""),")",""),"*","")</f>
        <v/>
      </c>
      <c r="AY458" s="61" t="str">
        <f aca="false">SUBSTITUTE(SUBSTITUTE(SUBSTITUTE(SUBSTITUTE(SUBSTITUTE(SUBSTITUTE(SUBSTITUTE(SUBSTITUTE(SUBSTITUTE(SUBSTITUTE(SUBSTITUTE(SUBSTITUTE(SUBSTITUTE(SUBSTITUTE(SUBSTITUTE(SUBSTITUTE(LOWER(W458&amp;""),CHAR(10),""),CHAR(13),""),CHAR(9),""),CHAR(160),"")," ",""),".",""),"-",""),"/",""),"?",""),"_",""),",",""),"[",""),"]",""),"(",""),")",""),"*","")</f>
        <v/>
      </c>
      <c r="AZ458" s="61" t="str">
        <f aca="false">SUBSTITUTE(SUBSTITUTE(SUBSTITUTE(SUBSTITUTE(SUBSTITUTE(SUBSTITUTE(SUBSTITUTE(SUBSTITUTE(SUBSTITUTE(SUBSTITUTE(SUBSTITUTE(SUBSTITUTE(SUBSTITUTE(SUBSTITUTE(SUBSTITUTE(SUBSTITUTE(LOWER(AC458&amp;""),CHAR(10),""),CHAR(13),""),CHAR(9),""),CHAR(160),"")," ",""),".",""),"-",""),"/",""),"?",""),"_",""),",",""),"[",""),"]",""),"(",""),")",""),"*","")</f>
        <v/>
      </c>
      <c r="BA458" s="61" t="str">
        <f aca="false">SUBSTITUTE(SUBSTITUTE(SUBSTITUTE(SUBSTITUTE(SUBSTITUTE(SUBSTITUTE(SUBSTITUTE(SUBSTITUTE(SUBSTITUTE(SUBSTITUTE(SUBSTITUTE(SUBSTITUTE(SUBSTITUTE(SUBSTITUTE(SUBSTITUTE(SUBSTITUTE(LOWER(AA458&amp;""),CHAR(10),""),CHAR(13),""),CHAR(9),""),CHAR(160),"")," ",""),".",""),"-",""),"/",""),"?",""),"_",""),",",""),"[",""),"]",""),"(",""),")",""),"*","")</f>
        <v/>
      </c>
      <c r="BB458" s="61" t="str">
        <f aca="false">IF(AND(TRIM(U458)="Pass",ISNUMBER(AF458)),IF(AF458&lt;&gt;0,"INVALID – qty variance: use Fail or Pass after CA",""),"")&amp;IF(AND(TRIM(U458)="Pass after CA",ISNUMBER(AF458)),IF(AF458&lt;&gt;0,"INVALID – after the corrective action the actual qty must equal expected (update Actual)",""),"")&amp;IF(AND(TRIM(U458)="Pass",TRIM(AB458)&lt;&gt;"",TRIM(AB458)&lt;&gt;"Closed"),"INVALID – corrective action not closed: use Fail, then Pass after CA","")&amp;IF(AND(LEN(BA458)&gt;=2,ISNA(MATCH(LEFT(BA458,255),L_Placeholder,0)),TRIM(AB458)=""),"INVALID – CA status missing for the recorded corrective action","")&amp;IF(AND(TRIM(U458)="Pass after CA",OR(OR(LEN(BA458)&lt;5,ISNUMBER(MATCH(BA458,L_Placeholder,0))),TRIM(AB458)&lt;&gt;"Closed")),"INVALID – corrective action not recorded/closed","")</f>
        <v/>
      </c>
      <c r="BC458" s="61" t="str">
        <f aca="false">" "&amp;TRIM(SUBSTITUTE(SUBSTITUTE(SUBSTITUTE(SUBSTITUTE(SUBSTITUTE(SUBSTITUTE(SUBSTITUTE(SUBSTITUTE(SUBSTITUTE(SUBSTITUTE(SUBSTITUTE(SUBSTITUTE(SUBSTITUTE(SUBSTITUTE(SUBSTITUTE(SUBSTITUTE(SUBSTITUTE(SUBSTITUTE(SUBSTITUTE(SUBSTITUTE(SUBSTITUTE(SUBSTITUTE(SUBSTITUTE(SUBSTITUTE(LOWER(V458&amp;""),CHAR(10)," "),CHAR(13)," "),CHAR(9)," "),CHAR(160)," "),"."," "),","," "),"-"," "),"/"," "),"("," "),")"," "),":"," "),";"," "),"_"," "),"–"," "),"?"," "),"!"," "),"*"," "),"["," "),"]"," "),"'"," "),"#"," "),"+"," "),"&amp;"," "),"\"," "))&amp;" "</f>
        <v>  </v>
      </c>
      <c r="BD458" s="61" t="str">
        <f aca="false">" "&amp;TRIM(SUBSTITUTE(SUBSTITUTE(SUBSTITUTE(SUBSTITUTE(SUBSTITUTE(SUBSTITUTE(SUBSTITUTE(SUBSTITUTE(SUBSTITUTE(SUBSTITUTE(SUBSTITUTE(SUBSTITUTE(SUBSTITUTE(SUBSTITUTE(SUBSTITUTE(SUBSTITUTE(SUBSTITUTE(SUBSTITUTE(SUBSTITUTE(SUBSTITUTE(SUBSTITUTE(SUBSTITUTE(SUBSTITUTE(SUBSTITUTE(LOWER(Z458&amp;""),CHAR(10)," "),CHAR(13)," "),CHAR(9)," "),CHAR(160)," "),"."," "),","," "),"-"," "),"/"," "),"("," "),")"," "),":"," "),";"," "),"_"," "),"–"," "),"?"," "),"!"," "),"*"," "),"["," "),"]"," "),"'"," "),"#"," "),"+"," "),"&amp;"," "),"\"," "))&amp;" "</f>
        <v>  </v>
      </c>
      <c r="BE458" s="61" t="str">
        <f aca="false">" "&amp;TRIM(SUBSTITUTE(SUBSTITUTE(SUBSTITUTE(SUBSTITUTE(SUBSTITUTE(SUBSTITUTE(SUBSTITUTE(SUBSTITUTE(SUBSTITUTE(SUBSTITUTE(SUBSTITUTE(SUBSTITUTE(SUBSTITUTE(SUBSTITUTE(SUBSTITUTE(SUBSTITUTE(SUBSTITUTE(SUBSTITUTE(SUBSTITUTE(SUBSTITUTE(SUBSTITUTE(SUBSTITUTE(SUBSTITUTE(SUBSTITUTE(LOWER(W458&amp;""),CHAR(10)," "),CHAR(13)," "),CHAR(9)," "),CHAR(160)," "),"."," "),","," "),"-"," "),"/"," "),"("," "),")"," "),":"," "),";"," "),"_"," "),"–"," "),"?"," "),"!"," "),"*"," "),"["," "),"]"," "),"'"," "),"#"," "),"+"," "),"&amp;"," "),"\"," "))&amp;" "</f>
        <v>  </v>
      </c>
      <c r="BF458" s="61" t="str">
        <f aca="false">" "&amp;TRIM(SUBSTITUTE(SUBSTITUTE(SUBSTITUTE(SUBSTITUTE(SUBSTITUTE(SUBSTITUTE(SUBSTITUTE(SUBSTITUTE(SUBSTITUTE(SUBSTITUTE(SUBSTITUTE(SUBSTITUTE(SUBSTITUTE(SUBSTITUTE(SUBSTITUTE(SUBSTITUTE(SUBSTITUTE(SUBSTITUTE(SUBSTITUTE(SUBSTITUTE(SUBSTITUTE(SUBSTITUTE(SUBSTITUTE(SUBSTITUTE(LOWER(AC458&amp;""),CHAR(10)," "),CHAR(13)," "),CHAR(9)," "),CHAR(160)," "),"."," "),","," "),"-"," "),"/"," "),"("," "),")"," "),":"," "),";"," "),"_"," "),"–"," "),"?"," "),"!"," "),"*"," "),"["," "),"]"," "),"'"," "),"#"," "),"+"," "),"&amp;"," "),"\"," "))&amp;" "</f>
        <v>  </v>
      </c>
      <c r="BG458" s="61" t="n">
        <f aca="false">IFERROR(IF(AND(TRIM(U458)="Pass",SUMPRODUCT((LEN(BC458)-LEN(SUBSTITUTE(BC458," "&amp;L_ResultBad&amp;" "," ")))/(LEN(L_ResultBad)+1))&gt;SUMPRODUCT((LEN(BC458)-LEN(SUBSTITUTE(BC458," "&amp;L_NegPhrase&amp;" "," ")))/(LEN(L_NegPhrase)+1))),1,0),0)</f>
        <v>0</v>
      </c>
      <c r="BH458" s="61" t="n">
        <f aca="false">IFERROR(IF(SUMPRODUCT((LEN(BC458)-LEN(SUBSTITUTE(BC458," "&amp;L_Pending&amp;" "," ")))/(LEN(L_Pending)+1))&gt;SUMPRODUCT((LEN(BC458)-LEN(SUBSTITUTE(BC458," "&amp;L_PendNeg&amp;" "," ")))/(LEN(L_PendNeg)+1))+SUMPRODUCT((LEN(BC458)-LEN(SUBSTITUTE(BC458," "&amp;L_PendPrep&amp;" "," ")))/(LEN(L_PendPrep)+1)),1,0),1)</f>
        <v>0</v>
      </c>
      <c r="BI458" s="61" t="n">
        <f aca="false">IFERROR(IF(SUMPRODUCT((LEN(BD458)-LEN(SUBSTITUTE(BD458," "&amp;L_PendStrict&amp;" "," ")))/(LEN(L_PendStrict)+1))&gt;SUMPRODUCT((LEN(BD458)-LEN(SUBSTITUTE(BD458," "&amp;L_PendNeg&amp;" "," ")))/(LEN(L_PendNeg)+1)),1,0),1)</f>
        <v>0</v>
      </c>
      <c r="BJ458" s="61" t="n">
        <f aca="false">IFERROR(IF(SUMPRODUCT((LEN(BE458)-LEN(SUBSTITUTE(BE458," "&amp;L_Pending&amp;" "," ")))/(LEN(L_Pending)+1))&gt;SUMPRODUCT((LEN(BE458)-LEN(SUBSTITUTE(BE458," "&amp;L_PendNeg&amp;" "," ")))/(LEN(L_PendNeg)+1))+SUMPRODUCT((LEN(BE458)-LEN(SUBSTITUTE(BE458," "&amp;L_PendPrep&amp;" "," ")))/(LEN(L_PendPrep)+1)),1,0),1)</f>
        <v>0</v>
      </c>
      <c r="BK458" s="61" t="n">
        <f aca="false">IFERROR(IF(SUMPRODUCT((LEN(BF458)-LEN(SUBSTITUTE(BF458," "&amp;L_PendStrict&amp;" "," ")))/(LEN(L_PendStrict)+1))&gt;SUMPRODUCT((LEN(BF458)-LEN(SUBSTITUTE(BF458," "&amp;L_PendNeg&amp;" "," ")))/(LEN(L_PendNeg)+1)),1,0),1)</f>
        <v>0</v>
      </c>
      <c r="BL458" s="61" t="n">
        <f aca="false">IF(ISNA(MATCH(TRIM(S458),L_EvidenceType,0)),0,BZ458)</f>
        <v>0</v>
      </c>
      <c r="BM458" s="61" t="str">
        <f aca="false">SUBSTITUTE(SUBSTITUTE(SUBSTITUTE(SUBSTITUTE(SUBSTITUTE(SUBSTITUTE(SUBSTITUTE(SUBSTITUTE(SUBSTITUTE(LOWER(Z458&amp;""),"1","0"),"2","0"),"3","0"),"4","0"),"5","0"),"6","0"),"7","0"),"8","0"),"9","0")</f>
        <v/>
      </c>
      <c r="BN458" s="61" t="str">
        <f aca="false">SUBSTITUTE(SUBSTITUTE(SUBSTITUTE(SUBSTITUTE(SUBSTITUTE(SUBSTITUTE(SUBSTITUTE(SUBSTITUTE(SUBSTITUTE(SUBSTITUTE(SUBSTITUTE(SUBSTITUTE(SUBSTITUTE(SUBSTITUTE(SUBSTITUTE(SUBSTITUTE(SUBSTITUTE(SUBSTITUTE(SUBSTITUTE(SUBSTITUTE(SUBSTITUTE(SUBSTITUTE(SUBSTITUTE(SUBSTITUTE(SUBSTITUTE(BM458,"b","a"),"c","a"),"d","a"),"e","a"),"f","a"),"g","a"),"h","a"),"i","a"),"j","a"),"k","a"),"l","a"),"m","a"),"n","a"),"o","a"),"p","a"),"q","a"),"r","a"),"s","a"),"t","a"),"u","a"),"v","a"),"w","a"),"x","a"),"y","a"),"z","a")</f>
        <v/>
      </c>
      <c r="BO458" s="61" t="str">
        <f aca="false">SUBSTITUTE(SUBSTITUTE(SUBSTITUTE(SUBSTITUTE(SUBSTITUTE(SUBSTITUTE(SUBSTITUTE(SUBSTITUTE(SUBSTITUTE(LOWER(W458&amp;""),"1","0"),"2","0"),"3","0"),"4","0"),"5","0"),"6","0"),"7","0"),"8","0"),"9","0")</f>
        <v/>
      </c>
      <c r="BP458" s="61" t="str">
        <f aca="false">SUBSTITUTE(SUBSTITUTE(SUBSTITUTE(SUBSTITUTE(SUBSTITUTE(SUBSTITUTE(SUBSTITUTE(SUBSTITUTE(SUBSTITUTE(SUBSTITUTE(SUBSTITUTE(SUBSTITUTE(SUBSTITUTE(SUBSTITUTE(SUBSTITUTE(SUBSTITUTE(SUBSTITUTE(SUBSTITUTE(SUBSTITUTE(SUBSTITUTE(SUBSTITUTE(SUBSTITUTE(SUBSTITUTE(SUBSTITUTE(SUBSTITUTE(BO458,"b","a"),"c","a"),"d","a"),"e","a"),"f","a"),"g","a"),"h","a"),"i","a"),"j","a"),"k","a"),"l","a"),"m","a"),"n","a"),"o","a"),"p","a"),"q","a"),"r","a"),"s","a"),"t","a"),"u","a"),"v","a"),"w","a"),"x","a"),"y","a"),"z","a")</f>
        <v/>
      </c>
      <c r="BQ458" s="61" t="n">
        <f aca="false">IFERROR(IF(AND(ISERROR(SEARCH(" mh"," "&amp;LOWER(W458))),ISNA(MATCH(LEFT(TRIM(BP458),255),{"0000a","000a","00a","0000aa","000aa","00aa","0aa","0000aaa","000aaa","00a00","0a00","0000-0000","00:00","a00","a0","00.00.0000","00/00/0000","00-00-0000","0000-00-00","0000/00/00","0000.00.00","00.00.00","00/00/00","00-00-00","0.00.0000","0/00/0000","0-00-0000"},0)),ISNA(MATCH(LEFT(TRIM(CA458),255),{"0000a","000a","00a","0000aa","000aa","00aa","0aa","0000aaa","000aaa","00a00","0a00","0000-0000","00:00","a00","a0","00.00.0000","00/00/0000","00-00-0000","0000-00-00","0000/00/00","0000.00.00","00.00.00","00/00/00","00-00-00","0.00.0000","0/00/0000","0-00-0000"},0)),LEN(CB458)&gt;=3,NOT(OR(SUBSTITUTE(CB458,"0","")="",AND(LEN(CB458)&gt;=4,CB458=REPT(LEFT(CB458),LEN(CB458))),ISNUMBER(MATCH(CB458,{"123","1234","12345","123456","1234567","12345678","0123","01234","012345","98765","987654","54321"},0)),AND(LEN(CB458)=8,LEFT(CB458,3)="202"))),OR(AND((LEN(CA458)-LEN(SUBSTITUTE(CA458,"a","")))&gt;=1,SUMPRODUCT(--ISNUMBER(SEARCH({"a0","a-0","a_0","a/0","a.0","a#0","0a","0-a","0_a","0/a"},BP458)))&gt;0),ISNUMBER(SEARCH("000000",BP458)))),1,0),0)</f>
        <v>0</v>
      </c>
      <c r="BR458" s="61" t="n">
        <f aca="false">IFERROR(LEN(SUBSTITUTE(CC458," ",""))-SUMPRODUCT((LEN(CC458)-LEN(SUBSTITUTE(CC458," "&amp;L_Role&amp;" "," ")))/(LEN(L_Role)+1)*LEN(L_Role)),0)</f>
        <v>0</v>
      </c>
      <c r="BS458" s="61" t="n">
        <f aca="false">IFERROR(LEN(SUBSTITUTE(CD458," ",""))-SUMPRODUCT((LEN(CD458)-LEN(SUBSTITUTE(CD458," "&amp;L_Role&amp;" "," ")))/(LEN(L_Role)+1)*LEN(L_Role)),0)</f>
        <v>0</v>
      </c>
      <c r="BT4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458,"revision",""),"version",""),"jan",""),"feb",""),"mar",""),"apr",""),"may",""),"jun",""),"jul",""),"aug",""),"sep",""),"oct",""),"nov",""),"dec",""),"utc",""),"gmt",""),"myt",""),"bst",""),"rev",""),"ver",""),"b","a"),"c","a"),"d","a"),"e","a"),"f","a"),"g","a"),"h","a"),"i","a"),"j","a"),"k","a"),"l","a"),"m","a"),"n","a"),"o","a"),"p","a"),"q","a"),"r","a"),"s","a"),"t","a"),"u","a"),"v","a"),"w","a"),"x","a"),"y","a"),"z","a")</f>
        <v/>
      </c>
      <c r="BU458" s="61" t="str">
        <f aca="false">SUBSTITUTE(SUBSTITUTE(SUBSTITUTE(SUBSTITUTE(SUBSTITUTE(SUBSTITUTE(SUBSTITUTE(SUBSTITUTE(SUBSTITUTE(SUBSTITUTE(LEFT(BM458,FIND("0",BM458&amp;"0")-1),"-",""),"_",""),"/",""),".",""),"#",""),"\\",""),":","")," ",""),"(",""),")","")</f>
        <v/>
      </c>
      <c r="BV458" s="61" t="n">
        <f aca="false">0</f>
        <v>0</v>
      </c>
      <c r="BW4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458&amp;""),"a",""),"b",""),"c",""),"d",""),"e",""),"f",""),"g",""),"h",""),"i",""),"j",""),"k",""),"l",""),"m",""),"n",""),"o",""),"p",""),"q",""),"r",""),"s",""),"t",""),"u",""),"v",""),"w",""),"x",""),"y",""),"z",""),"-",""),"_",""),"/",""),".",""),"#",""),"\\",""),":","")," ",""),"(",""),")","")</f>
        <v/>
      </c>
      <c r="BX458" s="61" t="str">
        <f aca="false">SUBSTITUTE(SUBSTITUTE(SUBSTITUTE(SUBSTITUTE(SUBSTITUTE(SUBSTITUTE(SUBSTITUTE(SUBSTITUTE(SUBSTITUTE(SUBSTITUTE(SUBSTITUTE(BM458,"0",""),"-",""),"_",""),"/",""),".",""),"#",""),"\\",""),":","")," ",""),"(",""),")","")</f>
        <v/>
      </c>
      <c r="BY458" s="62" t="n">
        <f aca="false">Q458-T7EarlyD*24/24</f>
        <v>46289.0763888889</v>
      </c>
      <c r="BZ458" s="61" t="n">
        <f aca="false">IFERROR(IF(IF(TRIM(S458)="Link / file path",AND(LEN(TRIM(Z458))&gt;=5,SUMPRODUCT(--ISNUMBER(SEARCH({"http","www.","\\",":\",".pdf",".jpg",".jpeg",".png",".heic",".xls",".doc",".msg",".eml",".ppt",".txt",".zip"},Z458)))&gt;0),AND(ISERROR(FIND(" ",TRIM(Z458))),NOT(OR(SUMPRODUCT(--ISNUMBER(FIND({",",";","&amp;","+"},Z458)))&gt;0,SUMPRODUCT(--ISNUMBER(SEARCH({"0/aa","0\\aa"},BN458)))&gt;0)),NOT(SUMPRODUCT(--ISNUMBER(SEARCH({"http","www.","\\",":\",".pdf",".jpg",".jpeg",".png",".heic",".xls",".doc",".msg",".eml",".ppt",".txt",".zip"},Z458)))&gt;0),NOT(LOWER(TRIM(Z458))=LOWER(Flights!$F$18)),ISNA(MATCH(BU458,{"mh","rev","revision","ver","version","v","r","a","b","seat","tray","row","gate","bay","stand","page","pg","item","line","no","cart","galley","flight","flt","table","box","bag","oven","etd","eta","std","sta","atd","ata","qty","pax","x","time","tel","ph","mob","day","wk","week","utc","gmt","myt","lt"},0)),NOT(OR(ISNUMBER(MATCH(LEFT(BN458,255),{"0000a","000a","00a","0000aa","000aa","00aa","0aa","0000aaa","000aaa","00a00","0a00","0000-0000","00:00","a00","a0","00.00.0000","00/00/0000","00-00-0000","0000-00-00","0000/00/00","0000.00.00","00.00.00","00/00/00","00-00-00","0.00.0000","0/00/0000","0-00-0000"},0)),ISNUMBER(MATCH(LEFT(BT458,255),{"0000a","000a","00a","0000aa","000aa","00aa","0aa","0000aaa","000aaa","00a00","0a00","0000-0000","00:00","a00","a0","00.00.0000","00/00/0000","00-00-0000","0000-00-00","0000/00/00","0000.00.00","00.00.00","00/00/00","00-00-00","0.00.0000","0/00/0000","0-00-0000"},0)))),NOT(OR(AND(BW458&lt;&gt;"",SUBSTITUTE(BW458,"0","")=""),AND(LEN(BW458)&gt;=4,BW458=REPT(LEFT(BW458),LEN(BW458))),ISNUMBER(MATCH(BW458,{"123","1234","12345","123456","1234567","12345678","0123","01234","012345","98765","987654","54321"},0)),ISNUMBER(MATCH(BX458,{"x","xx","xxx","xxxx","xxxxx","abc","abcd","nil","na","nan","test","tbc","tba","tbd","dummy","sample","example","eg","zz","zzz","none","null","xyz","qwe","asd","id","ref"},0)),AND(LEN(BW458)=8,BX458="",OR(LEFT(BW458,3)="202",ISNUMBER(MATCH(RIGHT(BW458,4),{"2025","2026","2027"},0)))))),OR(AND((LEN(BT458)-LEN(SUBSTITUTE(BT458,"a","")))&gt;=1,(LEN(BN458)-LEN(SUBSTITUTE(BN458,"0","")))&gt;=2,SUMPRODUCT(--ISNUMBER(SEARCH({"a0","a-0","a_0","a/0","a.0","a#0","0a","0-a","0_a","0/a"},BN458)))&gt;0),AND((LEN(BN458)-LEN(SUBSTITUTE(BN458,"a","")))=0,(LEN(BN458)-LEN(SUBSTITUTE(BN458,"0","")))&gt;=5)))),1,0),0)</f>
        <v>0</v>
      </c>
      <c r="CA4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458,"revision",""),"version",""),"jan",""),"feb",""),"mar",""),"apr",""),"may",""),"jun",""),"jul",""),"aug",""),"sep",""),"oct",""),"nov",""),"dec",""),"utc",""),"gmt",""),"myt",""),"bst",""),"rev",""),"ver",""),"b","a"),"c","a"),"d","a"),"e","a"),"f","a"),"g","a"),"h","a"),"i","a"),"j","a"),"k","a"),"l","a"),"m","a"),"n","a"),"o","a"),"p","a"),"q","a"),"r","a"),"s","a"),"t","a"),"u","a"),"v","a"),"w","a"),"x","a"),"y","a"),"z","a")</f>
        <v/>
      </c>
      <c r="CB4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458&amp;""),"a",""),"b",""),"c",""),"d",""),"e",""),"f",""),"g",""),"h",""),"i",""),"j",""),"k",""),"l",""),"m",""),"n",""),"o",""),"p",""),"q",""),"r",""),"s",""),"t",""),"u",""),"v",""),"w",""),"x",""),"y",""),"z",""),"-",""),"_",""),"/",""),".",""),"#",""),"\\",""),":","")," ",""),"(",""),")","")</f>
        <v/>
      </c>
      <c r="CC458" s="0" t="str">
        <f aca="false">" "&amp;TRIM(SUBSTITUTE(SUBSTITUTE(SUBSTITUTE(SUBSTITUTE(SUBSTITUTE(SUBSTITUTE(SUBSTITUTE(SUBSTITUTE(SUBSTITUTE(SUBSTITUTE(SUBSTITUTE(SUBSTITUTE(SUBSTITUTE(SUBSTITUTE(SUBSTITUTE(SUBSTITUTE(SUBSTITUTE(SUBSTITUTE(SUBSTITUTE(SUBSTITUTE(SUBSTITUTE(SUBSTITUTE(SUBSTITUTE(SUBSTITUTE(LOWER(T458&amp;""),CHAR(10)," "),CHAR(13)," "),CHAR(9)," "),CHAR(160)," "),"."," "),","," "),"-"," "),"/"," "),"("," "),")"," "),":"," "),";"," "),"_"," "),"–"," "),"?"," "),"!"," "),"*"," "),"["," "),"]"," "),"'"," "),"#"," "),"+"," "),"&amp;"," "),"\"," "))&amp;" "</f>
        <v>  </v>
      </c>
      <c r="CD458" s="0" t="str">
        <f aca="false">" "&amp;TRIM(SUBSTITUTE(SUBSTITUTE(SUBSTITUTE(SUBSTITUTE(SUBSTITUTE(SUBSTITUTE(SUBSTITUTE(SUBSTITUTE(SUBSTITUTE(SUBSTITUTE(SUBSTITUTE(SUBSTITUTE(SUBSTITUTE(SUBSTITUTE(SUBSTITUTE(SUBSTITUTE(SUBSTITUTE(SUBSTITUTE(SUBSTITUTE(SUBSTITUTE(SUBSTITUTE(SUBSTITUTE(SUBSTITUTE(SUBSTITUTE(LOWER(AE458&amp;""),CHAR(10)," "),CHAR(13)," "),CHAR(9)," "),CHAR(160)," "),"."," "),","," "),"-"," "),"/"," "),"("," "),")"," "),":"," "),";"," "),"_"," "),"–"," "),"?"," "),"!"," "),"*"," "),"["," "),"]"," "),"'"," "),"#"," "),"+"," "),"&amp;"," "),"\"," "))&amp;" "</f>
        <v>  </v>
      </c>
      <c r="CE458" s="68" t="n">
        <f aca="false">IFERROR(IF(AND(LEN(AU458)&gt;0,LEN(AU458)=LEN(AX458),OR(TRIM(MID(SUBSTITUTE(TRIM(CC458)," ",REPT(" ",60)),1,60))="",ISNUMBER(SEARCH(" "&amp;TRIM(MID(SUBSTITUTE(TRIM(CC458)," ",REPT(" ",60)),1,60))&amp;" ",CD458))),OR(TRIM(MID(SUBSTITUTE(TRIM(CC458)," ",REPT(" ",60)),61,60))="",ISNUMBER(SEARCH(" "&amp;TRIM(MID(SUBSTITUTE(TRIM(CC458)," ",REPT(" ",60)),61,60))&amp;" ",CD458))),OR(TRIM(MID(SUBSTITUTE(TRIM(CC458)," ",REPT(" ",60)),121,60))="",ISNUMBER(SEARCH(" "&amp;TRIM(MID(SUBSTITUTE(TRIM(CC458)," ",REPT(" ",60)),121,60))&amp;" ",CD458)))),1,0),0)</f>
        <v>0</v>
      </c>
      <c r="CG458" s="68" t="n">
        <f aca="false">IFERROR(LEN(SUBSTITUTE(BF458," ",""))-SUMPRODUCT((LEN(BF458)-LEN(SUBSTITUTE(BF458," "&amp;L_NAFiller&amp;" "," ")))/(LEN(L_NAFiller)+1)*LEN(L_NAFiller)),0)</f>
        <v>0</v>
      </c>
    </row>
    <row r="459" customFormat="false" ht="39.75" hidden="false" customHeight="true" outlineLevel="0" collapsed="false">
      <c r="A459" s="57" t="s">
        <v>1106</v>
      </c>
      <c r="B459" s="57" t="s">
        <v>276</v>
      </c>
      <c r="C459" s="57" t="str">
        <f aca="false">Flights!$F$18</f>
        <v>MH0004</v>
      </c>
      <c r="D459" s="58" t="n">
        <f aca="false">Flights!$D$18</f>
        <v>46310</v>
      </c>
      <c r="E459" s="57" t="str">
        <f aca="false">Flights!$G$18&amp;"-"&amp;Flights!$H$18</f>
        <v>KUL-LHR</v>
      </c>
      <c r="F459" s="57" t="str">
        <f aca="false">Flights!$K$18</f>
        <v>EY</v>
      </c>
      <c r="G459" s="57" t="s">
        <v>81</v>
      </c>
      <c r="H459" s="57" t="s">
        <v>378</v>
      </c>
      <c r="I459" s="57" t="s">
        <v>394</v>
      </c>
      <c r="J459" s="57" t="s">
        <v>395</v>
      </c>
      <c r="K459" s="67" t="s">
        <v>396</v>
      </c>
      <c r="L459" s="67" t="s">
        <v>382</v>
      </c>
      <c r="M459" s="67"/>
      <c r="N459" s="67" t="s">
        <v>383</v>
      </c>
      <c r="O459" s="67"/>
      <c r="P459" s="57" t="s">
        <v>187</v>
      </c>
      <c r="Q459" s="59" t="n">
        <f aca="false">ROUND((Flights!$AC$18)*1440,0)/1440</f>
        <v>46303.0763888889</v>
      </c>
      <c r="R459" s="59" t="n">
        <f aca="false">Q459+(IF(AND(INDEX(TZ_DSTS,MATCH(P459,TZ_STN,0))&lt;&gt;"",Q459&gt;=INDEX(TZ_DSTS,MATCH(P459,TZ_STN,0)),Q459&lt;INDEX(TZ_DSTE,MATCH(P459,TZ_STN,0))),INDEX(TZ_DST,MATCH(P459,TZ_STN,0)),INDEX(TZ_STD,MATCH(P459,TZ_STN,0))))/24</f>
        <v>46303.4097222222</v>
      </c>
      <c r="S459" s="60"/>
      <c r="T459" s="60"/>
      <c r="U459" s="60"/>
      <c r="V459" s="60"/>
      <c r="W459" s="61"/>
      <c r="X459" s="60"/>
      <c r="Y459" s="60"/>
      <c r="Z459" s="60"/>
      <c r="AA459" s="60"/>
      <c r="AB459" s="60"/>
      <c r="AC459" s="60"/>
      <c r="AD459" s="66"/>
      <c r="AE459" s="60"/>
      <c r="AF459" s="61" t="str">
        <f aca="false">IF(AND(ISNUMBER(X459),ISNUMBER(Y459)),Y459-X459,"")</f>
        <v/>
      </c>
      <c r="AG459" s="62" t="str">
        <f aca="false">IF(ISNUMBER(AD459),AD459-(IF(AND(INDEX(TZ_DSTS,MATCH(P459,TZ_STN,0))&lt;&gt;"",(AD459-INDEX(TZ_STD,MATCH(P459,TZ_STN,0))/24)&gt;=INDEX(TZ_DSTS,MATCH(P459,TZ_STN,0)),(AD459-INDEX(TZ_STD,MATCH(P459,TZ_STN,0))/24)&lt;INDEX(TZ_DSTE,MATCH(P459,TZ_STN,0))),INDEX(TZ_DST,MATCH(P459,TZ_STN,0)),INDEX(TZ_STD,MATCH(P459,TZ_STN,0))))/24,"")</f>
        <v/>
      </c>
      <c r="AH459" s="65" t="str">
        <f aca="false">IFERROR(IF(N459="N/A – rule",IF(OR(TRIM(U459)="",TRIM(U459)="N/A",TRIM(U459)="Not started"),"N/A – RULE","INVALID – this check does not apply to this aircraft: clear the status (or correct the fleet on Flights)"),IF(TRIM(U459)="N/A",IF(AT459=0,"INVALID – N/A not permitted for this check",IF(AND(TRIM(AB459)&lt;&gt;"",TRIM(AB459)&lt;&gt;"Closed"),"INVALID – corrective action still open",IF(AND(NOT(OR(LEN(AZ459)&lt;15,ISNUMBER(MATCH(AZ459,L_Placeholder,0)))),BK459=0,CG459&gt;=8,NOT(OR(LEN(AU459)&lt;2,ISNUMBER(MATCH(AU459,L_Placeholder,0)))),BR459&gt;=3,NOT(OR(LEN(AX459)&lt;2,ISNUMBER(MATCH(AX459,L_Placeholder,0)))),BS459&gt;=3,TRIM(AE459)&lt;&gt;TRIM(T459),AX459&lt;&gt;AU459,CE459=0),"N/A – JUSTIFIED","INVALID – N/A needs a real, settled reason (not 'not applicable' / 'as above' / TBC), a named PIC and a different named verifier"))),IF(OR(TRIM(U459)="Pass",TRIM(U459)="Pass after CA"),IF(NOT(ISNUMBER(AD459)),"INVALID – completion time missing",IF(OR(OR(LEN(AU459)&lt;2,ISNUMBER(MATCH(AU459,L_Placeholder,0))),BR459&lt;3),"INVALID – PIC missing or not a named person (a role such as QA / CSM is not a name)",IF(OR(LEN(AV459)&lt;2,ISNUMBER(MATCH(AV459,L_Placeholder,0))),"INVALID – result / assessment missing",IF(OR(OR(LEN(AW459)&lt;3,ISNUMBER(MATCH(AW459,L_Placeholder,0))),SUMPRODUCT(--ISNUMBER(SEARCH(" "&amp;L_EvidencePhrase&amp;" ",BD459)))&gt;0,BI459=1),"INVALID – evidence missing, placeholder or not yet on file",IF(ISNA(MATCH(TRIM(S459),L_EvidenceType,0)),"INVALID – choose the evidence type from the list (column S)",IF(BL459=0,"INVALID – evidence ID must be the record's own ID only (e.g. SF-2210, IMG_2231, 1045521); a link / file name needs type 'Link / file path'",IF(OR(OR(LEN(AX459)&lt;2,ISNUMBER(MATCH(AX459,L_Placeholder,0))),BS459&lt;3),"INVALID – verifier missing or not a named person (a role such as QA / CSM is not a name)",IF(OR(AX459=AU459,CE459=1,AND(LEN(AU459)&gt;=4,ISNUMBER(SEARCH(AU459,AX459))),AND(LEN(AX459)&gt;=4,ISNUMBER(SEARCH(AX459,AU459)))),"INVALID – verifier must be a different, named person (not the PIC or a role)",IF(BH459=1,"INVALID – result not yet available (awaiting / TBC)",IF(BG459=1,"INVALID – result describes a problem: record Fail, then Pass after CA (or reword if it is not a problem)",IF(BV459=1,"INVALID – wording says not on board: an on-board confirmation needs the item loaded",IF(AND(AQ459=1,OR(OR(LEN(AY459)&lt;3,ISNUMBER(MATCH(AY459,L_Placeholder,0))),BJ459=1,BQ459=0)),"INVALID – batch ID missing, placeholder or not an ID (e.g. PASB-261008-BC-017)",IF(AND(AR459=1,OR(NOT(ISNUMBER(X459)),NOT(ISNUMBER(Y459)))),"INVALID – expected/actual qty missing",IF(AND(AR459=1,OR(X459&lt;=0,Y459&lt;0)),"INVALID – expected qty must be above 0 and actual not negative",IF(BB459&lt;&gt;"",BB459,IF(AND(AS459=1,Documents!$J$18&lt;&gt;"ON FILE"),"INVALID – GLD not on file (Documents sheet)",IF(AND(AS459=2,Documents!$O$18&lt;&gt;"ON FILE"),"INVALID – menu checklist not on file (Documents sheet)",IF(AND(AS459=3,NOT(ISNUMBER(Flights!$AX$18))),"INVALID – enter carrying flight KUL departure (Flights AX)",IF(AND(AS459=3,OR(Flights!$AZ$18&gt;Flights!$AA$18,Flights!$AX$18&lt;Flights!$AA$18-3)),"INVALID – carrying flight (Flights AX) cannot arrive before this leg's STD, or is over 3 days early",IF(AG459&gt;AsOfUTC,"INVALID – completion time is in the future",IF(AND(ISNUMBER(BY459),AG459&lt;BY459),IF(H459="Physical uplift","INVALID – before uplift window (cannot confirm loading)","INVALID – before valid window"),IF(AG459&gt;Flights!$AA$18,"INVALID – completed after departure (cannot establish readiness)",IF(AND(H459="Preparation",AG459&gt;=IF(ISNUMBER(Flights!$BA$18),MIN(Flights!$BA$18,Flights!$AA$18),Flights!$AA$18)),"INVALID – completed after loading / departure (cannot establish readiness)",IF(AND(H459="Physical uplift",AG459&gt;Q459),"INVALID – recorded after the loading flight departed",IF(AG459&gt;Q459,"COMPLETE – LATE","COMPLETE"))))))))))))))))))))))))),IF(TRIM(U459)="Fail","FAIL – DISCREPANCY",IF(AND(TRIM(U459)&lt;&gt;"",TRIM(U459)&lt;&gt;"Not started",TRIM(U459)&lt;&gt;"In progress"),"INVALID – unrecognised status (use the list)",IF(AsOfUTC&gt;Q459,"OVERDUE",IF(N459="Clarification required","OPEN – CLARIFICATION","OPEN"))))))),"INVALID – error value in an input cell")</f>
        <v>OPEN</v>
      </c>
      <c r="AI459" s="61" t="n">
        <f aca="false">IF(OR(AH459="N/A – RULE",AH459="N/A – JUSTIFIED"),0,1)</f>
        <v>1</v>
      </c>
      <c r="AJ459" s="61" t="n">
        <f aca="false">IF(LEFT(AH459,8)="COMPLETE",1,0)</f>
        <v>0</v>
      </c>
      <c r="AK459" s="61" t="n">
        <f aca="false">IF(AND(AI459=1,AJ459=0,AsOfUTC&gt;Q459),1,0)</f>
        <v>0</v>
      </c>
      <c r="AL459" s="61" t="n">
        <f aca="false">IFERROR(IF(AND(AI459=1,OR(TRIM(U459)="Fail",AND(TRIM(AB459)&lt;&gt;"",TRIM(AB459)&lt;&gt;"Closed"),AND(ISNUMBER(AF459),AF459&lt;&gt;0,TRIM(U459)&lt;&gt;"Pass after CA"))),1,0),1)</f>
        <v>0</v>
      </c>
      <c r="AM459" s="61" t="n">
        <f aca="false">IF(LEFT(AH459,7)="INVALID",1,0)</f>
        <v>0</v>
      </c>
      <c r="AN459" s="61" t="n">
        <f aca="false">IF(AND(N459="Clarification required",AI459=1,AJ459=0),1,0)</f>
        <v>0</v>
      </c>
      <c r="AO459" s="61" t="str">
        <f aca="false">IF(AK459=1,SUM(AK$5:AK459),"")</f>
        <v/>
      </c>
      <c r="AP459" s="61" t="str">
        <f aca="false">IF(AL459=1,SUM(AL$5:AL459),"")</f>
        <v/>
      </c>
      <c r="AQ459" s="61" t="n">
        <v>0</v>
      </c>
      <c r="AR459" s="61" t="n">
        <v>0</v>
      </c>
      <c r="AS459" s="61" t="n">
        <v>0</v>
      </c>
      <c r="AT459" s="61" t="n">
        <v>0</v>
      </c>
      <c r="AU459" s="61" t="str">
        <f aca="false">SUBSTITUTE(SUBSTITUTE(SUBSTITUTE(SUBSTITUTE(SUBSTITUTE(SUBSTITUTE(SUBSTITUTE(SUBSTITUTE(SUBSTITUTE(SUBSTITUTE(SUBSTITUTE(SUBSTITUTE(SUBSTITUTE(SUBSTITUTE(SUBSTITUTE(SUBSTITUTE(LOWER(T459&amp;""),CHAR(10),""),CHAR(13),""),CHAR(9),""),CHAR(160),"")," ",""),".",""),"-",""),"/",""),"?",""),"_",""),",",""),"[",""),"]",""),"(",""),")",""),"*","")</f>
        <v/>
      </c>
      <c r="AV459" s="61" t="str">
        <f aca="false">SUBSTITUTE(SUBSTITUTE(SUBSTITUTE(SUBSTITUTE(SUBSTITUTE(SUBSTITUTE(SUBSTITUTE(SUBSTITUTE(SUBSTITUTE(SUBSTITUTE(SUBSTITUTE(SUBSTITUTE(SUBSTITUTE(SUBSTITUTE(SUBSTITUTE(SUBSTITUTE(LOWER(V459&amp;""),CHAR(10),""),CHAR(13),""),CHAR(9),""),CHAR(160),"")," ",""),".",""),"-",""),"/",""),"?",""),"_",""),",",""),"[",""),"]",""),"(",""),")",""),"*","")</f>
        <v/>
      </c>
      <c r="AW459" s="61" t="str">
        <f aca="false">SUBSTITUTE(SUBSTITUTE(SUBSTITUTE(SUBSTITUTE(SUBSTITUTE(SUBSTITUTE(SUBSTITUTE(SUBSTITUTE(SUBSTITUTE(SUBSTITUTE(SUBSTITUTE(SUBSTITUTE(SUBSTITUTE(SUBSTITUTE(SUBSTITUTE(SUBSTITUTE(LOWER(Z459&amp;""),CHAR(10),""),CHAR(13),""),CHAR(9),""),CHAR(160),"")," ",""),".",""),"-",""),"/",""),"?",""),"_",""),",",""),"[",""),"]",""),"(",""),")",""),"*","")</f>
        <v/>
      </c>
      <c r="AX459" s="61" t="str">
        <f aca="false">SUBSTITUTE(SUBSTITUTE(SUBSTITUTE(SUBSTITUTE(SUBSTITUTE(SUBSTITUTE(SUBSTITUTE(SUBSTITUTE(SUBSTITUTE(SUBSTITUTE(SUBSTITUTE(SUBSTITUTE(SUBSTITUTE(SUBSTITUTE(SUBSTITUTE(SUBSTITUTE(LOWER(AE459&amp;""),CHAR(10),""),CHAR(13),""),CHAR(9),""),CHAR(160),"")," ",""),".",""),"-",""),"/",""),"?",""),"_",""),",",""),"[",""),"]",""),"(",""),")",""),"*","")</f>
        <v/>
      </c>
      <c r="AY459" s="61" t="str">
        <f aca="false">SUBSTITUTE(SUBSTITUTE(SUBSTITUTE(SUBSTITUTE(SUBSTITUTE(SUBSTITUTE(SUBSTITUTE(SUBSTITUTE(SUBSTITUTE(SUBSTITUTE(SUBSTITUTE(SUBSTITUTE(SUBSTITUTE(SUBSTITUTE(SUBSTITUTE(SUBSTITUTE(LOWER(W459&amp;""),CHAR(10),""),CHAR(13),""),CHAR(9),""),CHAR(160),"")," ",""),".",""),"-",""),"/",""),"?",""),"_",""),",",""),"[",""),"]",""),"(",""),")",""),"*","")</f>
        <v/>
      </c>
      <c r="AZ459" s="61" t="str">
        <f aca="false">SUBSTITUTE(SUBSTITUTE(SUBSTITUTE(SUBSTITUTE(SUBSTITUTE(SUBSTITUTE(SUBSTITUTE(SUBSTITUTE(SUBSTITUTE(SUBSTITUTE(SUBSTITUTE(SUBSTITUTE(SUBSTITUTE(SUBSTITUTE(SUBSTITUTE(SUBSTITUTE(LOWER(AC459&amp;""),CHAR(10),""),CHAR(13),""),CHAR(9),""),CHAR(160),"")," ",""),".",""),"-",""),"/",""),"?",""),"_",""),",",""),"[",""),"]",""),"(",""),")",""),"*","")</f>
        <v/>
      </c>
      <c r="BA459" s="61" t="str">
        <f aca="false">SUBSTITUTE(SUBSTITUTE(SUBSTITUTE(SUBSTITUTE(SUBSTITUTE(SUBSTITUTE(SUBSTITUTE(SUBSTITUTE(SUBSTITUTE(SUBSTITUTE(SUBSTITUTE(SUBSTITUTE(SUBSTITUTE(SUBSTITUTE(SUBSTITUTE(SUBSTITUTE(LOWER(AA459&amp;""),CHAR(10),""),CHAR(13),""),CHAR(9),""),CHAR(160),"")," ",""),".",""),"-",""),"/",""),"?",""),"_",""),",",""),"[",""),"]",""),"(",""),")",""),"*","")</f>
        <v/>
      </c>
      <c r="BB459" s="61" t="str">
        <f aca="false">IF(AND(TRIM(U459)="Pass",ISNUMBER(AF459)),IF(AF459&lt;&gt;0,"INVALID – qty variance: use Fail or Pass after CA",""),"")&amp;IF(AND(TRIM(U459)="Pass after CA",ISNUMBER(AF459)),IF(AF459&lt;&gt;0,"INVALID – after the corrective action the actual qty must equal expected (update Actual)",""),"")&amp;IF(AND(TRIM(U459)="Pass",TRIM(AB459)&lt;&gt;"",TRIM(AB459)&lt;&gt;"Closed"),"INVALID – corrective action not closed: use Fail, then Pass after CA","")&amp;IF(AND(LEN(BA459)&gt;=2,ISNA(MATCH(LEFT(BA459,255),L_Placeholder,0)),TRIM(AB459)=""),"INVALID – CA status missing for the recorded corrective action","")&amp;IF(AND(TRIM(U459)="Pass after CA",OR(OR(LEN(BA459)&lt;5,ISNUMBER(MATCH(BA459,L_Placeholder,0))),TRIM(AB459)&lt;&gt;"Closed")),"INVALID – corrective action not recorded/closed","")</f>
        <v/>
      </c>
      <c r="BC459" s="61" t="str">
        <f aca="false">" "&amp;TRIM(SUBSTITUTE(SUBSTITUTE(SUBSTITUTE(SUBSTITUTE(SUBSTITUTE(SUBSTITUTE(SUBSTITUTE(SUBSTITUTE(SUBSTITUTE(SUBSTITUTE(SUBSTITUTE(SUBSTITUTE(SUBSTITUTE(SUBSTITUTE(SUBSTITUTE(SUBSTITUTE(SUBSTITUTE(SUBSTITUTE(SUBSTITUTE(SUBSTITUTE(SUBSTITUTE(SUBSTITUTE(SUBSTITUTE(SUBSTITUTE(LOWER(V459&amp;""),CHAR(10)," "),CHAR(13)," "),CHAR(9)," "),CHAR(160)," "),"."," "),","," "),"-"," "),"/"," "),"("," "),")"," "),":"," "),";"," "),"_"," "),"–"," "),"?"," "),"!"," "),"*"," "),"["," "),"]"," "),"'"," "),"#"," "),"+"," "),"&amp;"," "),"\"," "))&amp;" "</f>
        <v>  </v>
      </c>
      <c r="BD459" s="61" t="str">
        <f aca="false">" "&amp;TRIM(SUBSTITUTE(SUBSTITUTE(SUBSTITUTE(SUBSTITUTE(SUBSTITUTE(SUBSTITUTE(SUBSTITUTE(SUBSTITUTE(SUBSTITUTE(SUBSTITUTE(SUBSTITUTE(SUBSTITUTE(SUBSTITUTE(SUBSTITUTE(SUBSTITUTE(SUBSTITUTE(SUBSTITUTE(SUBSTITUTE(SUBSTITUTE(SUBSTITUTE(SUBSTITUTE(SUBSTITUTE(SUBSTITUTE(SUBSTITUTE(LOWER(Z459&amp;""),CHAR(10)," "),CHAR(13)," "),CHAR(9)," "),CHAR(160)," "),"."," "),","," "),"-"," "),"/"," "),"("," "),")"," "),":"," "),";"," "),"_"," "),"–"," "),"?"," "),"!"," "),"*"," "),"["," "),"]"," "),"'"," "),"#"," "),"+"," "),"&amp;"," "),"\"," "))&amp;" "</f>
        <v>  </v>
      </c>
      <c r="BE459" s="61" t="str">
        <f aca="false">" "&amp;TRIM(SUBSTITUTE(SUBSTITUTE(SUBSTITUTE(SUBSTITUTE(SUBSTITUTE(SUBSTITUTE(SUBSTITUTE(SUBSTITUTE(SUBSTITUTE(SUBSTITUTE(SUBSTITUTE(SUBSTITUTE(SUBSTITUTE(SUBSTITUTE(SUBSTITUTE(SUBSTITUTE(SUBSTITUTE(SUBSTITUTE(SUBSTITUTE(SUBSTITUTE(SUBSTITUTE(SUBSTITUTE(SUBSTITUTE(SUBSTITUTE(LOWER(W459&amp;""),CHAR(10)," "),CHAR(13)," "),CHAR(9)," "),CHAR(160)," "),"."," "),","," "),"-"," "),"/"," "),"("," "),")"," "),":"," "),";"," "),"_"," "),"–"," "),"?"," "),"!"," "),"*"," "),"["," "),"]"," "),"'"," "),"#"," "),"+"," "),"&amp;"," "),"\"," "))&amp;" "</f>
        <v>  </v>
      </c>
      <c r="BF459" s="61" t="str">
        <f aca="false">" "&amp;TRIM(SUBSTITUTE(SUBSTITUTE(SUBSTITUTE(SUBSTITUTE(SUBSTITUTE(SUBSTITUTE(SUBSTITUTE(SUBSTITUTE(SUBSTITUTE(SUBSTITUTE(SUBSTITUTE(SUBSTITUTE(SUBSTITUTE(SUBSTITUTE(SUBSTITUTE(SUBSTITUTE(SUBSTITUTE(SUBSTITUTE(SUBSTITUTE(SUBSTITUTE(SUBSTITUTE(SUBSTITUTE(SUBSTITUTE(SUBSTITUTE(LOWER(AC459&amp;""),CHAR(10)," "),CHAR(13)," "),CHAR(9)," "),CHAR(160)," "),"."," "),","," "),"-"," "),"/"," "),"("," "),")"," "),":"," "),";"," "),"_"," "),"–"," "),"?"," "),"!"," "),"*"," "),"["," "),"]"," "),"'"," "),"#"," "),"+"," "),"&amp;"," "),"\"," "))&amp;" "</f>
        <v>  </v>
      </c>
      <c r="BG459" s="61" t="n">
        <f aca="false">IFERROR(IF(AND(TRIM(U459)="Pass",SUMPRODUCT((LEN(BC459)-LEN(SUBSTITUTE(BC459," "&amp;L_ResultBad&amp;" "," ")))/(LEN(L_ResultBad)+1))&gt;SUMPRODUCT((LEN(BC459)-LEN(SUBSTITUTE(BC459," "&amp;L_NegPhrase&amp;" "," ")))/(LEN(L_NegPhrase)+1))),1,0),0)</f>
        <v>0</v>
      </c>
      <c r="BH459" s="61" t="n">
        <f aca="false">IFERROR(IF(SUMPRODUCT((LEN(BC459)-LEN(SUBSTITUTE(BC459," "&amp;L_Pending&amp;" "," ")))/(LEN(L_Pending)+1))&gt;SUMPRODUCT((LEN(BC459)-LEN(SUBSTITUTE(BC459," "&amp;L_PendNeg&amp;" "," ")))/(LEN(L_PendNeg)+1))+SUMPRODUCT((LEN(BC459)-LEN(SUBSTITUTE(BC459," "&amp;L_PendPrep&amp;" "," ")))/(LEN(L_PendPrep)+1)),1,0),1)</f>
        <v>0</v>
      </c>
      <c r="BI459" s="61" t="n">
        <f aca="false">IFERROR(IF(SUMPRODUCT((LEN(BD459)-LEN(SUBSTITUTE(BD459," "&amp;L_PendStrict&amp;" "," ")))/(LEN(L_PendStrict)+1))&gt;SUMPRODUCT((LEN(BD459)-LEN(SUBSTITUTE(BD459," "&amp;L_PendNeg&amp;" "," ")))/(LEN(L_PendNeg)+1)),1,0),1)</f>
        <v>0</v>
      </c>
      <c r="BJ459" s="61" t="n">
        <f aca="false">IFERROR(IF(SUMPRODUCT((LEN(BE459)-LEN(SUBSTITUTE(BE459," "&amp;L_Pending&amp;" "," ")))/(LEN(L_Pending)+1))&gt;SUMPRODUCT((LEN(BE459)-LEN(SUBSTITUTE(BE459," "&amp;L_PendNeg&amp;" "," ")))/(LEN(L_PendNeg)+1))+SUMPRODUCT((LEN(BE459)-LEN(SUBSTITUTE(BE459," "&amp;L_PendPrep&amp;" "," ")))/(LEN(L_PendPrep)+1)),1,0),1)</f>
        <v>0</v>
      </c>
      <c r="BK459" s="61" t="n">
        <f aca="false">IFERROR(IF(SUMPRODUCT((LEN(BF459)-LEN(SUBSTITUTE(BF459," "&amp;L_PendStrict&amp;" "," ")))/(LEN(L_PendStrict)+1))&gt;SUMPRODUCT((LEN(BF459)-LEN(SUBSTITUTE(BF459," "&amp;L_PendNeg&amp;" "," ")))/(LEN(L_PendNeg)+1)),1,0),1)</f>
        <v>0</v>
      </c>
      <c r="BL459" s="61" t="n">
        <f aca="false">IF(ISNA(MATCH(TRIM(S459),L_EvidenceType,0)),0,BZ459)</f>
        <v>0</v>
      </c>
      <c r="BM459" s="61" t="str">
        <f aca="false">SUBSTITUTE(SUBSTITUTE(SUBSTITUTE(SUBSTITUTE(SUBSTITUTE(SUBSTITUTE(SUBSTITUTE(SUBSTITUTE(SUBSTITUTE(LOWER(Z459&amp;""),"1","0"),"2","0"),"3","0"),"4","0"),"5","0"),"6","0"),"7","0"),"8","0"),"9","0")</f>
        <v/>
      </c>
      <c r="BN459" s="61" t="str">
        <f aca="false">SUBSTITUTE(SUBSTITUTE(SUBSTITUTE(SUBSTITUTE(SUBSTITUTE(SUBSTITUTE(SUBSTITUTE(SUBSTITUTE(SUBSTITUTE(SUBSTITUTE(SUBSTITUTE(SUBSTITUTE(SUBSTITUTE(SUBSTITUTE(SUBSTITUTE(SUBSTITUTE(SUBSTITUTE(SUBSTITUTE(SUBSTITUTE(SUBSTITUTE(SUBSTITUTE(SUBSTITUTE(SUBSTITUTE(SUBSTITUTE(SUBSTITUTE(BM459,"b","a"),"c","a"),"d","a"),"e","a"),"f","a"),"g","a"),"h","a"),"i","a"),"j","a"),"k","a"),"l","a"),"m","a"),"n","a"),"o","a"),"p","a"),"q","a"),"r","a"),"s","a"),"t","a"),"u","a"),"v","a"),"w","a"),"x","a"),"y","a"),"z","a")</f>
        <v/>
      </c>
      <c r="BO459" s="61" t="str">
        <f aca="false">SUBSTITUTE(SUBSTITUTE(SUBSTITUTE(SUBSTITUTE(SUBSTITUTE(SUBSTITUTE(SUBSTITUTE(SUBSTITUTE(SUBSTITUTE(LOWER(W459&amp;""),"1","0"),"2","0"),"3","0"),"4","0"),"5","0"),"6","0"),"7","0"),"8","0"),"9","0")</f>
        <v/>
      </c>
      <c r="BP459" s="61" t="str">
        <f aca="false">SUBSTITUTE(SUBSTITUTE(SUBSTITUTE(SUBSTITUTE(SUBSTITUTE(SUBSTITUTE(SUBSTITUTE(SUBSTITUTE(SUBSTITUTE(SUBSTITUTE(SUBSTITUTE(SUBSTITUTE(SUBSTITUTE(SUBSTITUTE(SUBSTITUTE(SUBSTITUTE(SUBSTITUTE(SUBSTITUTE(SUBSTITUTE(SUBSTITUTE(SUBSTITUTE(SUBSTITUTE(SUBSTITUTE(SUBSTITUTE(SUBSTITUTE(BO459,"b","a"),"c","a"),"d","a"),"e","a"),"f","a"),"g","a"),"h","a"),"i","a"),"j","a"),"k","a"),"l","a"),"m","a"),"n","a"),"o","a"),"p","a"),"q","a"),"r","a"),"s","a"),"t","a"),"u","a"),"v","a"),"w","a"),"x","a"),"y","a"),"z","a")</f>
        <v/>
      </c>
      <c r="BQ459" s="61" t="n">
        <f aca="false">IFERROR(IF(AND(ISERROR(SEARCH(" mh"," "&amp;LOWER(W459))),ISNA(MATCH(LEFT(TRIM(BP459),255),{"0000a","000a","00a","0000aa","000aa","00aa","0aa","0000aaa","000aaa","00a00","0a00","0000-0000","00:00","a00","a0","00.00.0000","00/00/0000","00-00-0000","0000-00-00","0000/00/00","0000.00.00","00.00.00","00/00/00","00-00-00","0.00.0000","0/00/0000","0-00-0000"},0)),ISNA(MATCH(LEFT(TRIM(CA459),255),{"0000a","000a","00a","0000aa","000aa","00aa","0aa","0000aaa","000aaa","00a00","0a00","0000-0000","00:00","a00","a0","00.00.0000","00/00/0000","00-00-0000","0000-00-00","0000/00/00","0000.00.00","00.00.00","00/00/00","00-00-00","0.00.0000","0/00/0000","0-00-0000"},0)),LEN(CB459)&gt;=3,NOT(OR(SUBSTITUTE(CB459,"0","")="",AND(LEN(CB459)&gt;=4,CB459=REPT(LEFT(CB459),LEN(CB459))),ISNUMBER(MATCH(CB459,{"123","1234","12345","123456","1234567","12345678","0123","01234","012345","98765","987654","54321"},0)),AND(LEN(CB459)=8,LEFT(CB459,3)="202"))),OR(AND((LEN(CA459)-LEN(SUBSTITUTE(CA459,"a","")))&gt;=1,SUMPRODUCT(--ISNUMBER(SEARCH({"a0","a-0","a_0","a/0","a.0","a#0","0a","0-a","0_a","0/a"},BP459)))&gt;0),ISNUMBER(SEARCH("000000",BP459)))),1,0),0)</f>
        <v>0</v>
      </c>
      <c r="BR459" s="61" t="n">
        <f aca="false">IFERROR(LEN(SUBSTITUTE(CC459," ",""))-SUMPRODUCT((LEN(CC459)-LEN(SUBSTITUTE(CC459," "&amp;L_Role&amp;" "," ")))/(LEN(L_Role)+1)*LEN(L_Role)),0)</f>
        <v>0</v>
      </c>
      <c r="BS459" s="61" t="n">
        <f aca="false">IFERROR(LEN(SUBSTITUTE(CD459," ",""))-SUMPRODUCT((LEN(CD459)-LEN(SUBSTITUTE(CD459," "&amp;L_Role&amp;" "," ")))/(LEN(L_Role)+1)*LEN(L_Role)),0)</f>
        <v>0</v>
      </c>
      <c r="BT4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459,"revision",""),"version",""),"jan",""),"feb",""),"mar",""),"apr",""),"may",""),"jun",""),"jul",""),"aug",""),"sep",""),"oct",""),"nov",""),"dec",""),"utc",""),"gmt",""),"myt",""),"bst",""),"rev",""),"ver",""),"b","a"),"c","a"),"d","a"),"e","a"),"f","a"),"g","a"),"h","a"),"i","a"),"j","a"),"k","a"),"l","a"),"m","a"),"n","a"),"o","a"),"p","a"),"q","a"),"r","a"),"s","a"),"t","a"),"u","a"),"v","a"),"w","a"),"x","a"),"y","a"),"z","a")</f>
        <v/>
      </c>
      <c r="BU459" s="61" t="str">
        <f aca="false">SUBSTITUTE(SUBSTITUTE(SUBSTITUTE(SUBSTITUTE(SUBSTITUTE(SUBSTITUTE(SUBSTITUTE(SUBSTITUTE(SUBSTITUTE(SUBSTITUTE(LEFT(BM459,FIND("0",BM459&amp;"0")-1),"-",""),"_",""),"/",""),".",""),"#",""),"\\",""),":","")," ",""),"(",""),")","")</f>
        <v/>
      </c>
      <c r="BV459" s="61" t="n">
        <f aca="false">0</f>
        <v>0</v>
      </c>
      <c r="BW4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459&amp;""),"a",""),"b",""),"c",""),"d",""),"e",""),"f",""),"g",""),"h",""),"i",""),"j",""),"k",""),"l",""),"m",""),"n",""),"o",""),"p",""),"q",""),"r",""),"s",""),"t",""),"u",""),"v",""),"w",""),"x",""),"y",""),"z",""),"-",""),"_",""),"/",""),".",""),"#",""),"\\",""),":","")," ",""),"(",""),")","")</f>
        <v/>
      </c>
      <c r="BX459" s="61" t="str">
        <f aca="false">SUBSTITUTE(SUBSTITUTE(SUBSTITUTE(SUBSTITUTE(SUBSTITUTE(SUBSTITUTE(SUBSTITUTE(SUBSTITUTE(SUBSTITUTE(SUBSTITUTE(SUBSTITUTE(BM459,"0",""),"-",""),"_",""),"/",""),".",""),"#",""),"\\",""),":","")," ",""),"(",""),")","")</f>
        <v/>
      </c>
      <c r="BY459" s="62" t="n">
        <f aca="false">Q459-T7EarlyD*24/24</f>
        <v>46289.0763888889</v>
      </c>
      <c r="BZ459" s="61" t="n">
        <f aca="false">IFERROR(IF(IF(TRIM(S459)="Link / file path",AND(LEN(TRIM(Z459))&gt;=5,SUMPRODUCT(--ISNUMBER(SEARCH({"http","www.","\\",":\",".pdf",".jpg",".jpeg",".png",".heic",".xls",".doc",".msg",".eml",".ppt",".txt",".zip"},Z459)))&gt;0),AND(ISERROR(FIND(" ",TRIM(Z459))),NOT(OR(SUMPRODUCT(--ISNUMBER(FIND({",",";","&amp;","+"},Z459)))&gt;0,SUMPRODUCT(--ISNUMBER(SEARCH({"0/aa","0\\aa"},BN459)))&gt;0)),NOT(SUMPRODUCT(--ISNUMBER(SEARCH({"http","www.","\\",":\",".pdf",".jpg",".jpeg",".png",".heic",".xls",".doc",".msg",".eml",".ppt",".txt",".zip"},Z459)))&gt;0),NOT(LOWER(TRIM(Z459))=LOWER(Flights!$F$18)),ISNA(MATCH(BU459,{"mh","rev","revision","ver","version","v","r","a","b","seat","tray","row","gate","bay","stand","page","pg","item","line","no","cart","galley","flight","flt","table","box","bag","oven","etd","eta","std","sta","atd","ata","qty","pax","x","time","tel","ph","mob","day","wk","week","utc","gmt","myt","lt"},0)),NOT(OR(ISNUMBER(MATCH(LEFT(BN459,255),{"0000a","000a","00a","0000aa","000aa","00aa","0aa","0000aaa","000aaa","00a00","0a00","0000-0000","00:00","a00","a0","00.00.0000","00/00/0000","00-00-0000","0000-00-00","0000/00/00","0000.00.00","00.00.00","00/00/00","00-00-00","0.00.0000","0/00/0000","0-00-0000"},0)),ISNUMBER(MATCH(LEFT(BT459,255),{"0000a","000a","00a","0000aa","000aa","00aa","0aa","0000aaa","000aaa","00a00","0a00","0000-0000","00:00","a00","a0","00.00.0000","00/00/0000","00-00-0000","0000-00-00","0000/00/00","0000.00.00","00.00.00","00/00/00","00-00-00","0.00.0000","0/00/0000","0-00-0000"},0)))),NOT(OR(AND(BW459&lt;&gt;"",SUBSTITUTE(BW459,"0","")=""),AND(LEN(BW459)&gt;=4,BW459=REPT(LEFT(BW459),LEN(BW459))),ISNUMBER(MATCH(BW459,{"123","1234","12345","123456","1234567","12345678","0123","01234","012345","98765","987654","54321"},0)),ISNUMBER(MATCH(BX459,{"x","xx","xxx","xxxx","xxxxx","abc","abcd","nil","na","nan","test","tbc","tba","tbd","dummy","sample","example","eg","zz","zzz","none","null","xyz","qwe","asd","id","ref"},0)),AND(LEN(BW459)=8,BX459="",OR(LEFT(BW459,3)="202",ISNUMBER(MATCH(RIGHT(BW459,4),{"2025","2026","2027"},0)))))),OR(AND((LEN(BT459)-LEN(SUBSTITUTE(BT459,"a","")))&gt;=1,(LEN(BN459)-LEN(SUBSTITUTE(BN459,"0","")))&gt;=2,SUMPRODUCT(--ISNUMBER(SEARCH({"a0","a-0","a_0","a/0","a.0","a#0","0a","0-a","0_a","0/a"},BN459)))&gt;0),AND((LEN(BN459)-LEN(SUBSTITUTE(BN459,"a","")))=0,(LEN(BN459)-LEN(SUBSTITUTE(BN459,"0","")))&gt;=5)))),1,0),0)</f>
        <v>0</v>
      </c>
      <c r="CA4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459,"revision",""),"version",""),"jan",""),"feb",""),"mar",""),"apr",""),"may",""),"jun",""),"jul",""),"aug",""),"sep",""),"oct",""),"nov",""),"dec",""),"utc",""),"gmt",""),"myt",""),"bst",""),"rev",""),"ver",""),"b","a"),"c","a"),"d","a"),"e","a"),"f","a"),"g","a"),"h","a"),"i","a"),"j","a"),"k","a"),"l","a"),"m","a"),"n","a"),"o","a"),"p","a"),"q","a"),"r","a"),"s","a"),"t","a"),"u","a"),"v","a"),"w","a"),"x","a"),"y","a"),"z","a")</f>
        <v/>
      </c>
      <c r="CB4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459&amp;""),"a",""),"b",""),"c",""),"d",""),"e",""),"f",""),"g",""),"h",""),"i",""),"j",""),"k",""),"l",""),"m",""),"n",""),"o",""),"p",""),"q",""),"r",""),"s",""),"t",""),"u",""),"v",""),"w",""),"x",""),"y",""),"z",""),"-",""),"_",""),"/",""),".",""),"#",""),"\\",""),":","")," ",""),"(",""),")","")</f>
        <v/>
      </c>
      <c r="CC459" s="0" t="str">
        <f aca="false">" "&amp;TRIM(SUBSTITUTE(SUBSTITUTE(SUBSTITUTE(SUBSTITUTE(SUBSTITUTE(SUBSTITUTE(SUBSTITUTE(SUBSTITUTE(SUBSTITUTE(SUBSTITUTE(SUBSTITUTE(SUBSTITUTE(SUBSTITUTE(SUBSTITUTE(SUBSTITUTE(SUBSTITUTE(SUBSTITUTE(SUBSTITUTE(SUBSTITUTE(SUBSTITUTE(SUBSTITUTE(SUBSTITUTE(SUBSTITUTE(SUBSTITUTE(LOWER(T459&amp;""),CHAR(10)," "),CHAR(13)," "),CHAR(9)," "),CHAR(160)," "),"."," "),","," "),"-"," "),"/"," "),"("," "),")"," "),":"," "),";"," "),"_"," "),"–"," "),"?"," "),"!"," "),"*"," "),"["," "),"]"," "),"'"," "),"#"," "),"+"," "),"&amp;"," "),"\"," "))&amp;" "</f>
        <v>  </v>
      </c>
      <c r="CD459" s="0" t="str">
        <f aca="false">" "&amp;TRIM(SUBSTITUTE(SUBSTITUTE(SUBSTITUTE(SUBSTITUTE(SUBSTITUTE(SUBSTITUTE(SUBSTITUTE(SUBSTITUTE(SUBSTITUTE(SUBSTITUTE(SUBSTITUTE(SUBSTITUTE(SUBSTITUTE(SUBSTITUTE(SUBSTITUTE(SUBSTITUTE(SUBSTITUTE(SUBSTITUTE(SUBSTITUTE(SUBSTITUTE(SUBSTITUTE(SUBSTITUTE(SUBSTITUTE(SUBSTITUTE(LOWER(AE459&amp;""),CHAR(10)," "),CHAR(13)," "),CHAR(9)," "),CHAR(160)," "),"."," "),","," "),"-"," "),"/"," "),"("," "),")"," "),":"," "),";"," "),"_"," "),"–"," "),"?"," "),"!"," "),"*"," "),"["," "),"]"," "),"'"," "),"#"," "),"+"," "),"&amp;"," "),"\"," "))&amp;" "</f>
        <v>  </v>
      </c>
      <c r="CE459" s="68" t="n">
        <f aca="false">IFERROR(IF(AND(LEN(AU459)&gt;0,LEN(AU459)=LEN(AX459),OR(TRIM(MID(SUBSTITUTE(TRIM(CC459)," ",REPT(" ",60)),1,60))="",ISNUMBER(SEARCH(" "&amp;TRIM(MID(SUBSTITUTE(TRIM(CC459)," ",REPT(" ",60)),1,60))&amp;" ",CD459))),OR(TRIM(MID(SUBSTITUTE(TRIM(CC459)," ",REPT(" ",60)),61,60))="",ISNUMBER(SEARCH(" "&amp;TRIM(MID(SUBSTITUTE(TRIM(CC459)," ",REPT(" ",60)),61,60))&amp;" ",CD459))),OR(TRIM(MID(SUBSTITUTE(TRIM(CC459)," ",REPT(" ",60)),121,60))="",ISNUMBER(SEARCH(" "&amp;TRIM(MID(SUBSTITUTE(TRIM(CC459)," ",REPT(" ",60)),121,60))&amp;" ",CD459)))),1,0),0)</f>
        <v>0</v>
      </c>
      <c r="CG459" s="68" t="n">
        <f aca="false">IFERROR(LEN(SUBSTITUTE(BF459," ",""))-SUMPRODUCT((LEN(BF459)-LEN(SUBSTITUTE(BF459," "&amp;L_NAFiller&amp;" "," ")))/(LEN(L_NAFiller)+1)*LEN(L_NAFiller)),0)</f>
        <v>0</v>
      </c>
    </row>
    <row r="460" customFormat="false" ht="39.75" hidden="false" customHeight="true" outlineLevel="0" collapsed="false">
      <c r="A460" s="57" t="s">
        <v>1107</v>
      </c>
      <c r="B460" s="57" t="s">
        <v>276</v>
      </c>
      <c r="C460" s="57" t="str">
        <f aca="false">Flights!$F$18</f>
        <v>MH0004</v>
      </c>
      <c r="D460" s="58" t="n">
        <f aca="false">Flights!$D$18</f>
        <v>46310</v>
      </c>
      <c r="E460" s="57" t="str">
        <f aca="false">Flights!$G$18&amp;"-"&amp;Flights!$H$18</f>
        <v>KUL-LHR</v>
      </c>
      <c r="F460" s="57" t="str">
        <f aca="false">Flights!$K$18</f>
        <v>EY</v>
      </c>
      <c r="G460" s="57" t="s">
        <v>81</v>
      </c>
      <c r="H460" s="57" t="s">
        <v>378</v>
      </c>
      <c r="I460" s="57" t="s">
        <v>398</v>
      </c>
      <c r="J460" s="57" t="s">
        <v>399</v>
      </c>
      <c r="K460" s="67" t="s">
        <v>400</v>
      </c>
      <c r="L460" s="67" t="s">
        <v>382</v>
      </c>
      <c r="M460" s="67"/>
      <c r="N460" s="67" t="s">
        <v>383</v>
      </c>
      <c r="O460" s="67"/>
      <c r="P460" s="57" t="s">
        <v>187</v>
      </c>
      <c r="Q460" s="59" t="n">
        <f aca="false">ROUND((Flights!$AC$18)*1440,0)/1440</f>
        <v>46303.0763888889</v>
      </c>
      <c r="R460" s="59" t="n">
        <f aca="false">Q460+(IF(AND(INDEX(TZ_DSTS,MATCH(P460,TZ_STN,0))&lt;&gt;"",Q460&gt;=INDEX(TZ_DSTS,MATCH(P460,TZ_STN,0)),Q460&lt;INDEX(TZ_DSTE,MATCH(P460,TZ_STN,0))),INDEX(TZ_DST,MATCH(P460,TZ_STN,0)),INDEX(TZ_STD,MATCH(P460,TZ_STN,0))))/24</f>
        <v>46303.4097222222</v>
      </c>
      <c r="S460" s="60"/>
      <c r="T460" s="60"/>
      <c r="U460" s="60"/>
      <c r="V460" s="60"/>
      <c r="W460" s="61"/>
      <c r="X460" s="60"/>
      <c r="Y460" s="60"/>
      <c r="Z460" s="60"/>
      <c r="AA460" s="60"/>
      <c r="AB460" s="60"/>
      <c r="AC460" s="60"/>
      <c r="AD460" s="66"/>
      <c r="AE460" s="60"/>
      <c r="AF460" s="61" t="str">
        <f aca="false">IF(AND(ISNUMBER(X460),ISNUMBER(Y460)),Y460-X460,"")</f>
        <v/>
      </c>
      <c r="AG460" s="62" t="str">
        <f aca="false">IF(ISNUMBER(AD460),AD460-(IF(AND(INDEX(TZ_DSTS,MATCH(P460,TZ_STN,0))&lt;&gt;"",(AD460-INDEX(TZ_STD,MATCH(P460,TZ_STN,0))/24)&gt;=INDEX(TZ_DSTS,MATCH(P460,TZ_STN,0)),(AD460-INDEX(TZ_STD,MATCH(P460,TZ_STN,0))/24)&lt;INDEX(TZ_DSTE,MATCH(P460,TZ_STN,0))),INDEX(TZ_DST,MATCH(P460,TZ_STN,0)),INDEX(TZ_STD,MATCH(P460,TZ_STN,0))))/24,"")</f>
        <v/>
      </c>
      <c r="AH460" s="65" t="str">
        <f aca="false">IFERROR(IF(N460="N/A – rule",IF(OR(TRIM(U460)="",TRIM(U460)="N/A",TRIM(U460)="Not started"),"N/A – RULE","INVALID – this check does not apply to this aircraft: clear the status (or correct the fleet on Flights)"),IF(TRIM(U460)="N/A",IF(AT460=0,"INVALID – N/A not permitted for this check",IF(AND(TRIM(AB460)&lt;&gt;"",TRIM(AB460)&lt;&gt;"Closed"),"INVALID – corrective action still open",IF(AND(NOT(OR(LEN(AZ460)&lt;15,ISNUMBER(MATCH(AZ460,L_Placeholder,0)))),BK460=0,CG460&gt;=8,NOT(OR(LEN(AU460)&lt;2,ISNUMBER(MATCH(AU460,L_Placeholder,0)))),BR460&gt;=3,NOT(OR(LEN(AX460)&lt;2,ISNUMBER(MATCH(AX460,L_Placeholder,0)))),BS460&gt;=3,TRIM(AE460)&lt;&gt;TRIM(T460),AX460&lt;&gt;AU460,CE460=0),"N/A – JUSTIFIED","INVALID – N/A needs a real, settled reason (not 'not applicable' / 'as above' / TBC), a named PIC and a different named verifier"))),IF(OR(TRIM(U460)="Pass",TRIM(U460)="Pass after CA"),IF(NOT(ISNUMBER(AD460)),"INVALID – completion time missing",IF(OR(OR(LEN(AU460)&lt;2,ISNUMBER(MATCH(AU460,L_Placeholder,0))),BR460&lt;3),"INVALID – PIC missing or not a named person (a role such as QA / CSM is not a name)",IF(OR(LEN(AV460)&lt;2,ISNUMBER(MATCH(AV460,L_Placeholder,0))),"INVALID – result / assessment missing",IF(OR(OR(LEN(AW460)&lt;3,ISNUMBER(MATCH(AW460,L_Placeholder,0))),SUMPRODUCT(--ISNUMBER(SEARCH(" "&amp;L_EvidencePhrase&amp;" ",BD460)))&gt;0,BI460=1),"INVALID – evidence missing, placeholder or not yet on file",IF(ISNA(MATCH(TRIM(S460),L_EvidenceType,0)),"INVALID – choose the evidence type from the list (column S)",IF(BL460=0,"INVALID – evidence ID must be the record's own ID only (e.g. SF-2210, IMG_2231, 1045521); a link / file name needs type 'Link / file path'",IF(OR(OR(LEN(AX460)&lt;2,ISNUMBER(MATCH(AX460,L_Placeholder,0))),BS460&lt;3),"INVALID – verifier missing or not a named person (a role such as QA / CSM is not a name)",IF(OR(AX460=AU460,CE460=1,AND(LEN(AU460)&gt;=4,ISNUMBER(SEARCH(AU460,AX460))),AND(LEN(AX460)&gt;=4,ISNUMBER(SEARCH(AX460,AU460)))),"INVALID – verifier must be a different, named person (not the PIC or a role)",IF(BH460=1,"INVALID – result not yet available (awaiting / TBC)",IF(BG460=1,"INVALID – result describes a problem: record Fail, then Pass after CA (or reword if it is not a problem)",IF(BV460=1,"INVALID – wording says not on board: an on-board confirmation needs the item loaded",IF(AND(AQ460=1,OR(OR(LEN(AY460)&lt;3,ISNUMBER(MATCH(AY460,L_Placeholder,0))),BJ460=1,BQ460=0)),"INVALID – batch ID missing, placeholder or not an ID (e.g. PASB-261008-BC-017)",IF(AND(AR460=1,OR(NOT(ISNUMBER(X460)),NOT(ISNUMBER(Y460)))),"INVALID – expected/actual qty missing",IF(AND(AR460=1,OR(X460&lt;=0,Y460&lt;0)),"INVALID – expected qty must be above 0 and actual not negative",IF(BB460&lt;&gt;"",BB460,IF(AND(AS460=1,Documents!$J$18&lt;&gt;"ON FILE"),"INVALID – GLD not on file (Documents sheet)",IF(AND(AS460=2,Documents!$O$18&lt;&gt;"ON FILE"),"INVALID – menu checklist not on file (Documents sheet)",IF(AND(AS460=3,NOT(ISNUMBER(Flights!$AX$18))),"INVALID – enter carrying flight KUL departure (Flights AX)",IF(AND(AS460=3,OR(Flights!$AZ$18&gt;Flights!$AA$18,Flights!$AX$18&lt;Flights!$AA$18-3)),"INVALID – carrying flight (Flights AX) cannot arrive before this leg's STD, or is over 3 days early",IF(AG460&gt;AsOfUTC,"INVALID – completion time is in the future",IF(AND(ISNUMBER(BY460),AG460&lt;BY460),IF(H460="Physical uplift","INVALID – before uplift window (cannot confirm loading)","INVALID – before valid window"),IF(AG460&gt;Flights!$AA$18,"INVALID – completed after departure (cannot establish readiness)",IF(AND(H460="Preparation",AG460&gt;=IF(ISNUMBER(Flights!$BA$18),MIN(Flights!$BA$18,Flights!$AA$18),Flights!$AA$18)),"INVALID – completed after loading / departure (cannot establish readiness)",IF(AND(H460="Physical uplift",AG460&gt;Q460),"INVALID – recorded after the loading flight departed",IF(AG460&gt;Q460,"COMPLETE – LATE","COMPLETE"))))))))))))))))))))))))),IF(TRIM(U460)="Fail","FAIL – DISCREPANCY",IF(AND(TRIM(U460)&lt;&gt;"",TRIM(U460)&lt;&gt;"Not started",TRIM(U460)&lt;&gt;"In progress"),"INVALID – unrecognised status (use the list)",IF(AsOfUTC&gt;Q460,"OVERDUE",IF(N460="Clarification required","OPEN – CLARIFICATION","OPEN"))))))),"INVALID – error value in an input cell")</f>
        <v>OPEN</v>
      </c>
      <c r="AI460" s="61" t="n">
        <f aca="false">IF(OR(AH460="N/A – RULE",AH460="N/A – JUSTIFIED"),0,1)</f>
        <v>1</v>
      </c>
      <c r="AJ460" s="61" t="n">
        <f aca="false">IF(LEFT(AH460,8)="COMPLETE",1,0)</f>
        <v>0</v>
      </c>
      <c r="AK460" s="61" t="n">
        <f aca="false">IF(AND(AI460=1,AJ460=0,AsOfUTC&gt;Q460),1,0)</f>
        <v>0</v>
      </c>
      <c r="AL460" s="61" t="n">
        <f aca="false">IFERROR(IF(AND(AI460=1,OR(TRIM(U460)="Fail",AND(TRIM(AB460)&lt;&gt;"",TRIM(AB460)&lt;&gt;"Closed"),AND(ISNUMBER(AF460),AF460&lt;&gt;0,TRIM(U460)&lt;&gt;"Pass after CA"))),1,0),1)</f>
        <v>0</v>
      </c>
      <c r="AM460" s="61" t="n">
        <f aca="false">IF(LEFT(AH460,7)="INVALID",1,0)</f>
        <v>0</v>
      </c>
      <c r="AN460" s="61" t="n">
        <f aca="false">IF(AND(N460="Clarification required",AI460=1,AJ460=0),1,0)</f>
        <v>0</v>
      </c>
      <c r="AO460" s="61" t="str">
        <f aca="false">IF(AK460=1,SUM(AK$5:AK460),"")</f>
        <v/>
      </c>
      <c r="AP460" s="61" t="str">
        <f aca="false">IF(AL460=1,SUM(AL$5:AL460),"")</f>
        <v/>
      </c>
      <c r="AQ460" s="61" t="n">
        <v>0</v>
      </c>
      <c r="AR460" s="61" t="n">
        <v>0</v>
      </c>
      <c r="AS460" s="61" t="n">
        <v>0</v>
      </c>
      <c r="AT460" s="61" t="n">
        <v>0</v>
      </c>
      <c r="AU460" s="61" t="str">
        <f aca="false">SUBSTITUTE(SUBSTITUTE(SUBSTITUTE(SUBSTITUTE(SUBSTITUTE(SUBSTITUTE(SUBSTITUTE(SUBSTITUTE(SUBSTITUTE(SUBSTITUTE(SUBSTITUTE(SUBSTITUTE(SUBSTITUTE(SUBSTITUTE(SUBSTITUTE(SUBSTITUTE(LOWER(T460&amp;""),CHAR(10),""),CHAR(13),""),CHAR(9),""),CHAR(160),"")," ",""),".",""),"-",""),"/",""),"?",""),"_",""),",",""),"[",""),"]",""),"(",""),")",""),"*","")</f>
        <v/>
      </c>
      <c r="AV460" s="61" t="str">
        <f aca="false">SUBSTITUTE(SUBSTITUTE(SUBSTITUTE(SUBSTITUTE(SUBSTITUTE(SUBSTITUTE(SUBSTITUTE(SUBSTITUTE(SUBSTITUTE(SUBSTITUTE(SUBSTITUTE(SUBSTITUTE(SUBSTITUTE(SUBSTITUTE(SUBSTITUTE(SUBSTITUTE(LOWER(V460&amp;""),CHAR(10),""),CHAR(13),""),CHAR(9),""),CHAR(160),"")," ",""),".",""),"-",""),"/",""),"?",""),"_",""),",",""),"[",""),"]",""),"(",""),")",""),"*","")</f>
        <v/>
      </c>
      <c r="AW460" s="61" t="str">
        <f aca="false">SUBSTITUTE(SUBSTITUTE(SUBSTITUTE(SUBSTITUTE(SUBSTITUTE(SUBSTITUTE(SUBSTITUTE(SUBSTITUTE(SUBSTITUTE(SUBSTITUTE(SUBSTITUTE(SUBSTITUTE(SUBSTITUTE(SUBSTITUTE(SUBSTITUTE(SUBSTITUTE(LOWER(Z460&amp;""),CHAR(10),""),CHAR(13),""),CHAR(9),""),CHAR(160),"")," ",""),".",""),"-",""),"/",""),"?",""),"_",""),",",""),"[",""),"]",""),"(",""),")",""),"*","")</f>
        <v/>
      </c>
      <c r="AX460" s="61" t="str">
        <f aca="false">SUBSTITUTE(SUBSTITUTE(SUBSTITUTE(SUBSTITUTE(SUBSTITUTE(SUBSTITUTE(SUBSTITUTE(SUBSTITUTE(SUBSTITUTE(SUBSTITUTE(SUBSTITUTE(SUBSTITUTE(SUBSTITUTE(SUBSTITUTE(SUBSTITUTE(SUBSTITUTE(LOWER(AE460&amp;""),CHAR(10),""),CHAR(13),""),CHAR(9),""),CHAR(160),"")," ",""),".",""),"-",""),"/",""),"?",""),"_",""),",",""),"[",""),"]",""),"(",""),")",""),"*","")</f>
        <v/>
      </c>
      <c r="AY460" s="61" t="str">
        <f aca="false">SUBSTITUTE(SUBSTITUTE(SUBSTITUTE(SUBSTITUTE(SUBSTITUTE(SUBSTITUTE(SUBSTITUTE(SUBSTITUTE(SUBSTITUTE(SUBSTITUTE(SUBSTITUTE(SUBSTITUTE(SUBSTITUTE(SUBSTITUTE(SUBSTITUTE(SUBSTITUTE(LOWER(W460&amp;""),CHAR(10),""),CHAR(13),""),CHAR(9),""),CHAR(160),"")," ",""),".",""),"-",""),"/",""),"?",""),"_",""),",",""),"[",""),"]",""),"(",""),")",""),"*","")</f>
        <v/>
      </c>
      <c r="AZ460" s="61" t="str">
        <f aca="false">SUBSTITUTE(SUBSTITUTE(SUBSTITUTE(SUBSTITUTE(SUBSTITUTE(SUBSTITUTE(SUBSTITUTE(SUBSTITUTE(SUBSTITUTE(SUBSTITUTE(SUBSTITUTE(SUBSTITUTE(SUBSTITUTE(SUBSTITUTE(SUBSTITUTE(SUBSTITUTE(LOWER(AC460&amp;""),CHAR(10),""),CHAR(13),""),CHAR(9),""),CHAR(160),"")," ",""),".",""),"-",""),"/",""),"?",""),"_",""),",",""),"[",""),"]",""),"(",""),")",""),"*","")</f>
        <v/>
      </c>
      <c r="BA460" s="61" t="str">
        <f aca="false">SUBSTITUTE(SUBSTITUTE(SUBSTITUTE(SUBSTITUTE(SUBSTITUTE(SUBSTITUTE(SUBSTITUTE(SUBSTITUTE(SUBSTITUTE(SUBSTITUTE(SUBSTITUTE(SUBSTITUTE(SUBSTITUTE(SUBSTITUTE(SUBSTITUTE(SUBSTITUTE(LOWER(AA460&amp;""),CHAR(10),""),CHAR(13),""),CHAR(9),""),CHAR(160),"")," ",""),".",""),"-",""),"/",""),"?",""),"_",""),",",""),"[",""),"]",""),"(",""),")",""),"*","")</f>
        <v/>
      </c>
      <c r="BB460" s="61" t="str">
        <f aca="false">IF(AND(TRIM(U460)="Pass",ISNUMBER(AF460)),IF(AF460&lt;&gt;0,"INVALID – qty variance: use Fail or Pass after CA",""),"")&amp;IF(AND(TRIM(U460)="Pass after CA",ISNUMBER(AF460)),IF(AF460&lt;&gt;0,"INVALID – after the corrective action the actual qty must equal expected (update Actual)",""),"")&amp;IF(AND(TRIM(U460)="Pass",TRIM(AB460)&lt;&gt;"",TRIM(AB460)&lt;&gt;"Closed"),"INVALID – corrective action not closed: use Fail, then Pass after CA","")&amp;IF(AND(LEN(BA460)&gt;=2,ISNA(MATCH(LEFT(BA460,255),L_Placeholder,0)),TRIM(AB460)=""),"INVALID – CA status missing for the recorded corrective action","")&amp;IF(AND(TRIM(U460)="Pass after CA",OR(OR(LEN(BA460)&lt;5,ISNUMBER(MATCH(BA460,L_Placeholder,0))),TRIM(AB460)&lt;&gt;"Closed")),"INVALID – corrective action not recorded/closed","")</f>
        <v/>
      </c>
      <c r="BC460" s="61" t="str">
        <f aca="false">" "&amp;TRIM(SUBSTITUTE(SUBSTITUTE(SUBSTITUTE(SUBSTITUTE(SUBSTITUTE(SUBSTITUTE(SUBSTITUTE(SUBSTITUTE(SUBSTITUTE(SUBSTITUTE(SUBSTITUTE(SUBSTITUTE(SUBSTITUTE(SUBSTITUTE(SUBSTITUTE(SUBSTITUTE(SUBSTITUTE(SUBSTITUTE(SUBSTITUTE(SUBSTITUTE(SUBSTITUTE(SUBSTITUTE(SUBSTITUTE(SUBSTITUTE(LOWER(V460&amp;""),CHAR(10)," "),CHAR(13)," "),CHAR(9)," "),CHAR(160)," "),"."," "),","," "),"-"," "),"/"," "),"("," "),")"," "),":"," "),";"," "),"_"," "),"–"," "),"?"," "),"!"," "),"*"," "),"["," "),"]"," "),"'"," "),"#"," "),"+"," "),"&amp;"," "),"\"," "))&amp;" "</f>
        <v>  </v>
      </c>
      <c r="BD460" s="61" t="str">
        <f aca="false">" "&amp;TRIM(SUBSTITUTE(SUBSTITUTE(SUBSTITUTE(SUBSTITUTE(SUBSTITUTE(SUBSTITUTE(SUBSTITUTE(SUBSTITUTE(SUBSTITUTE(SUBSTITUTE(SUBSTITUTE(SUBSTITUTE(SUBSTITUTE(SUBSTITUTE(SUBSTITUTE(SUBSTITUTE(SUBSTITUTE(SUBSTITUTE(SUBSTITUTE(SUBSTITUTE(SUBSTITUTE(SUBSTITUTE(SUBSTITUTE(SUBSTITUTE(LOWER(Z460&amp;""),CHAR(10)," "),CHAR(13)," "),CHAR(9)," "),CHAR(160)," "),"."," "),","," "),"-"," "),"/"," "),"("," "),")"," "),":"," "),";"," "),"_"," "),"–"," "),"?"," "),"!"," "),"*"," "),"["," "),"]"," "),"'"," "),"#"," "),"+"," "),"&amp;"," "),"\"," "))&amp;" "</f>
        <v>  </v>
      </c>
      <c r="BE460" s="61" t="str">
        <f aca="false">" "&amp;TRIM(SUBSTITUTE(SUBSTITUTE(SUBSTITUTE(SUBSTITUTE(SUBSTITUTE(SUBSTITUTE(SUBSTITUTE(SUBSTITUTE(SUBSTITUTE(SUBSTITUTE(SUBSTITUTE(SUBSTITUTE(SUBSTITUTE(SUBSTITUTE(SUBSTITUTE(SUBSTITUTE(SUBSTITUTE(SUBSTITUTE(SUBSTITUTE(SUBSTITUTE(SUBSTITUTE(SUBSTITUTE(SUBSTITUTE(SUBSTITUTE(LOWER(W460&amp;""),CHAR(10)," "),CHAR(13)," "),CHAR(9)," "),CHAR(160)," "),"."," "),","," "),"-"," "),"/"," "),"("," "),")"," "),":"," "),";"," "),"_"," "),"–"," "),"?"," "),"!"," "),"*"," "),"["," "),"]"," "),"'"," "),"#"," "),"+"," "),"&amp;"," "),"\"," "))&amp;" "</f>
        <v>  </v>
      </c>
      <c r="BF460" s="61" t="str">
        <f aca="false">" "&amp;TRIM(SUBSTITUTE(SUBSTITUTE(SUBSTITUTE(SUBSTITUTE(SUBSTITUTE(SUBSTITUTE(SUBSTITUTE(SUBSTITUTE(SUBSTITUTE(SUBSTITUTE(SUBSTITUTE(SUBSTITUTE(SUBSTITUTE(SUBSTITUTE(SUBSTITUTE(SUBSTITUTE(SUBSTITUTE(SUBSTITUTE(SUBSTITUTE(SUBSTITUTE(SUBSTITUTE(SUBSTITUTE(SUBSTITUTE(SUBSTITUTE(LOWER(AC460&amp;""),CHAR(10)," "),CHAR(13)," "),CHAR(9)," "),CHAR(160)," "),"."," "),","," "),"-"," "),"/"," "),"("," "),")"," "),":"," "),";"," "),"_"," "),"–"," "),"?"," "),"!"," "),"*"," "),"["," "),"]"," "),"'"," "),"#"," "),"+"," "),"&amp;"," "),"\"," "))&amp;" "</f>
        <v>  </v>
      </c>
      <c r="BG460" s="61" t="n">
        <f aca="false">IFERROR(IF(AND(TRIM(U460)="Pass",SUMPRODUCT((LEN(BC460)-LEN(SUBSTITUTE(BC460," "&amp;L_ResultBad&amp;" "," ")))/(LEN(L_ResultBad)+1))&gt;SUMPRODUCT((LEN(BC460)-LEN(SUBSTITUTE(BC460," "&amp;L_NegPhrase&amp;" "," ")))/(LEN(L_NegPhrase)+1))),1,0),0)</f>
        <v>0</v>
      </c>
      <c r="BH460" s="61" t="n">
        <f aca="false">IFERROR(IF(SUMPRODUCT((LEN(BC460)-LEN(SUBSTITUTE(BC460," "&amp;L_Pending&amp;" "," ")))/(LEN(L_Pending)+1))&gt;SUMPRODUCT((LEN(BC460)-LEN(SUBSTITUTE(BC460," "&amp;L_PendNeg&amp;" "," ")))/(LEN(L_PendNeg)+1))+SUMPRODUCT((LEN(BC460)-LEN(SUBSTITUTE(BC460," "&amp;L_PendPrep&amp;" "," ")))/(LEN(L_PendPrep)+1)),1,0),1)</f>
        <v>0</v>
      </c>
      <c r="BI460" s="61" t="n">
        <f aca="false">IFERROR(IF(SUMPRODUCT((LEN(BD460)-LEN(SUBSTITUTE(BD460," "&amp;L_PendStrict&amp;" "," ")))/(LEN(L_PendStrict)+1))&gt;SUMPRODUCT((LEN(BD460)-LEN(SUBSTITUTE(BD460," "&amp;L_PendNeg&amp;" "," ")))/(LEN(L_PendNeg)+1)),1,0),1)</f>
        <v>0</v>
      </c>
      <c r="BJ460" s="61" t="n">
        <f aca="false">IFERROR(IF(SUMPRODUCT((LEN(BE460)-LEN(SUBSTITUTE(BE460," "&amp;L_Pending&amp;" "," ")))/(LEN(L_Pending)+1))&gt;SUMPRODUCT((LEN(BE460)-LEN(SUBSTITUTE(BE460," "&amp;L_PendNeg&amp;" "," ")))/(LEN(L_PendNeg)+1))+SUMPRODUCT((LEN(BE460)-LEN(SUBSTITUTE(BE460," "&amp;L_PendPrep&amp;" "," ")))/(LEN(L_PendPrep)+1)),1,0),1)</f>
        <v>0</v>
      </c>
      <c r="BK460" s="61" t="n">
        <f aca="false">IFERROR(IF(SUMPRODUCT((LEN(BF460)-LEN(SUBSTITUTE(BF460," "&amp;L_PendStrict&amp;" "," ")))/(LEN(L_PendStrict)+1))&gt;SUMPRODUCT((LEN(BF460)-LEN(SUBSTITUTE(BF460," "&amp;L_PendNeg&amp;" "," ")))/(LEN(L_PendNeg)+1)),1,0),1)</f>
        <v>0</v>
      </c>
      <c r="BL460" s="61" t="n">
        <f aca="false">IF(ISNA(MATCH(TRIM(S460),L_EvidenceType,0)),0,BZ460)</f>
        <v>0</v>
      </c>
      <c r="BM460" s="61" t="str">
        <f aca="false">SUBSTITUTE(SUBSTITUTE(SUBSTITUTE(SUBSTITUTE(SUBSTITUTE(SUBSTITUTE(SUBSTITUTE(SUBSTITUTE(SUBSTITUTE(LOWER(Z460&amp;""),"1","0"),"2","0"),"3","0"),"4","0"),"5","0"),"6","0"),"7","0"),"8","0"),"9","0")</f>
        <v/>
      </c>
      <c r="BN460" s="61" t="str">
        <f aca="false">SUBSTITUTE(SUBSTITUTE(SUBSTITUTE(SUBSTITUTE(SUBSTITUTE(SUBSTITUTE(SUBSTITUTE(SUBSTITUTE(SUBSTITUTE(SUBSTITUTE(SUBSTITUTE(SUBSTITUTE(SUBSTITUTE(SUBSTITUTE(SUBSTITUTE(SUBSTITUTE(SUBSTITUTE(SUBSTITUTE(SUBSTITUTE(SUBSTITUTE(SUBSTITUTE(SUBSTITUTE(SUBSTITUTE(SUBSTITUTE(SUBSTITUTE(BM460,"b","a"),"c","a"),"d","a"),"e","a"),"f","a"),"g","a"),"h","a"),"i","a"),"j","a"),"k","a"),"l","a"),"m","a"),"n","a"),"o","a"),"p","a"),"q","a"),"r","a"),"s","a"),"t","a"),"u","a"),"v","a"),"w","a"),"x","a"),"y","a"),"z","a")</f>
        <v/>
      </c>
      <c r="BO460" s="61" t="str">
        <f aca="false">SUBSTITUTE(SUBSTITUTE(SUBSTITUTE(SUBSTITUTE(SUBSTITUTE(SUBSTITUTE(SUBSTITUTE(SUBSTITUTE(SUBSTITUTE(LOWER(W460&amp;""),"1","0"),"2","0"),"3","0"),"4","0"),"5","0"),"6","0"),"7","0"),"8","0"),"9","0")</f>
        <v/>
      </c>
      <c r="BP460" s="61" t="str">
        <f aca="false">SUBSTITUTE(SUBSTITUTE(SUBSTITUTE(SUBSTITUTE(SUBSTITUTE(SUBSTITUTE(SUBSTITUTE(SUBSTITUTE(SUBSTITUTE(SUBSTITUTE(SUBSTITUTE(SUBSTITUTE(SUBSTITUTE(SUBSTITUTE(SUBSTITUTE(SUBSTITUTE(SUBSTITUTE(SUBSTITUTE(SUBSTITUTE(SUBSTITUTE(SUBSTITUTE(SUBSTITUTE(SUBSTITUTE(SUBSTITUTE(SUBSTITUTE(BO460,"b","a"),"c","a"),"d","a"),"e","a"),"f","a"),"g","a"),"h","a"),"i","a"),"j","a"),"k","a"),"l","a"),"m","a"),"n","a"),"o","a"),"p","a"),"q","a"),"r","a"),"s","a"),"t","a"),"u","a"),"v","a"),"w","a"),"x","a"),"y","a"),"z","a")</f>
        <v/>
      </c>
      <c r="BQ460" s="61" t="n">
        <f aca="false">IFERROR(IF(AND(ISERROR(SEARCH(" mh"," "&amp;LOWER(W460))),ISNA(MATCH(LEFT(TRIM(BP460),255),{"0000a","000a","00a","0000aa","000aa","00aa","0aa","0000aaa","000aaa","00a00","0a00","0000-0000","00:00","a00","a0","00.00.0000","00/00/0000","00-00-0000","0000-00-00","0000/00/00","0000.00.00","00.00.00","00/00/00","00-00-00","0.00.0000","0/00/0000","0-00-0000"},0)),ISNA(MATCH(LEFT(TRIM(CA460),255),{"0000a","000a","00a","0000aa","000aa","00aa","0aa","0000aaa","000aaa","00a00","0a00","0000-0000","00:00","a00","a0","00.00.0000","00/00/0000","00-00-0000","0000-00-00","0000/00/00","0000.00.00","00.00.00","00/00/00","00-00-00","0.00.0000","0/00/0000","0-00-0000"},0)),LEN(CB460)&gt;=3,NOT(OR(SUBSTITUTE(CB460,"0","")="",AND(LEN(CB460)&gt;=4,CB460=REPT(LEFT(CB460),LEN(CB460))),ISNUMBER(MATCH(CB460,{"123","1234","12345","123456","1234567","12345678","0123","01234","012345","98765","987654","54321"},0)),AND(LEN(CB460)=8,LEFT(CB460,3)="202"))),OR(AND((LEN(CA460)-LEN(SUBSTITUTE(CA460,"a","")))&gt;=1,SUMPRODUCT(--ISNUMBER(SEARCH({"a0","a-0","a_0","a/0","a.0","a#0","0a","0-a","0_a","0/a"},BP460)))&gt;0),ISNUMBER(SEARCH("000000",BP460)))),1,0),0)</f>
        <v>0</v>
      </c>
      <c r="BR460" s="61" t="n">
        <f aca="false">IFERROR(LEN(SUBSTITUTE(CC460," ",""))-SUMPRODUCT((LEN(CC460)-LEN(SUBSTITUTE(CC460," "&amp;L_Role&amp;" "," ")))/(LEN(L_Role)+1)*LEN(L_Role)),0)</f>
        <v>0</v>
      </c>
      <c r="BS460" s="61" t="n">
        <f aca="false">IFERROR(LEN(SUBSTITUTE(CD460," ",""))-SUMPRODUCT((LEN(CD460)-LEN(SUBSTITUTE(CD460," "&amp;L_Role&amp;" "," ")))/(LEN(L_Role)+1)*LEN(L_Role)),0)</f>
        <v>0</v>
      </c>
      <c r="BT4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460,"revision",""),"version",""),"jan",""),"feb",""),"mar",""),"apr",""),"may",""),"jun",""),"jul",""),"aug",""),"sep",""),"oct",""),"nov",""),"dec",""),"utc",""),"gmt",""),"myt",""),"bst",""),"rev",""),"ver",""),"b","a"),"c","a"),"d","a"),"e","a"),"f","a"),"g","a"),"h","a"),"i","a"),"j","a"),"k","a"),"l","a"),"m","a"),"n","a"),"o","a"),"p","a"),"q","a"),"r","a"),"s","a"),"t","a"),"u","a"),"v","a"),"w","a"),"x","a"),"y","a"),"z","a")</f>
        <v/>
      </c>
      <c r="BU460" s="61" t="str">
        <f aca="false">SUBSTITUTE(SUBSTITUTE(SUBSTITUTE(SUBSTITUTE(SUBSTITUTE(SUBSTITUTE(SUBSTITUTE(SUBSTITUTE(SUBSTITUTE(SUBSTITUTE(LEFT(BM460,FIND("0",BM460&amp;"0")-1),"-",""),"_",""),"/",""),".",""),"#",""),"\\",""),":","")," ",""),"(",""),")","")</f>
        <v/>
      </c>
      <c r="BV460" s="61" t="n">
        <f aca="false">0</f>
        <v>0</v>
      </c>
      <c r="BW4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460&amp;""),"a",""),"b",""),"c",""),"d",""),"e",""),"f",""),"g",""),"h",""),"i",""),"j",""),"k",""),"l",""),"m",""),"n",""),"o",""),"p",""),"q",""),"r",""),"s",""),"t",""),"u",""),"v",""),"w",""),"x",""),"y",""),"z",""),"-",""),"_",""),"/",""),".",""),"#",""),"\\",""),":","")," ",""),"(",""),")","")</f>
        <v/>
      </c>
      <c r="BX460" s="61" t="str">
        <f aca="false">SUBSTITUTE(SUBSTITUTE(SUBSTITUTE(SUBSTITUTE(SUBSTITUTE(SUBSTITUTE(SUBSTITUTE(SUBSTITUTE(SUBSTITUTE(SUBSTITUTE(SUBSTITUTE(BM460,"0",""),"-",""),"_",""),"/",""),".",""),"#",""),"\\",""),":","")," ",""),"(",""),")","")</f>
        <v/>
      </c>
      <c r="BY460" s="62" t="n">
        <f aca="false">Q460-T7EarlyD*24/24</f>
        <v>46289.0763888889</v>
      </c>
      <c r="BZ460" s="61" t="n">
        <f aca="false">IFERROR(IF(IF(TRIM(S460)="Link / file path",AND(LEN(TRIM(Z460))&gt;=5,SUMPRODUCT(--ISNUMBER(SEARCH({"http","www.","\\",":\",".pdf",".jpg",".jpeg",".png",".heic",".xls",".doc",".msg",".eml",".ppt",".txt",".zip"},Z460)))&gt;0),AND(ISERROR(FIND(" ",TRIM(Z460))),NOT(OR(SUMPRODUCT(--ISNUMBER(FIND({",",";","&amp;","+"},Z460)))&gt;0,SUMPRODUCT(--ISNUMBER(SEARCH({"0/aa","0\\aa"},BN460)))&gt;0)),NOT(SUMPRODUCT(--ISNUMBER(SEARCH({"http","www.","\\",":\",".pdf",".jpg",".jpeg",".png",".heic",".xls",".doc",".msg",".eml",".ppt",".txt",".zip"},Z460)))&gt;0),NOT(LOWER(TRIM(Z460))=LOWER(Flights!$F$18)),ISNA(MATCH(BU460,{"mh","rev","revision","ver","version","v","r","a","b","seat","tray","row","gate","bay","stand","page","pg","item","line","no","cart","galley","flight","flt","table","box","bag","oven","etd","eta","std","sta","atd","ata","qty","pax","x","time","tel","ph","mob","day","wk","week","utc","gmt","myt","lt"},0)),NOT(OR(ISNUMBER(MATCH(LEFT(BN460,255),{"0000a","000a","00a","0000aa","000aa","00aa","0aa","0000aaa","000aaa","00a00","0a00","0000-0000","00:00","a00","a0","00.00.0000","00/00/0000","00-00-0000","0000-00-00","0000/00/00","0000.00.00","00.00.00","00/00/00","00-00-00","0.00.0000","0/00/0000","0-00-0000"},0)),ISNUMBER(MATCH(LEFT(BT460,255),{"0000a","000a","00a","0000aa","000aa","00aa","0aa","0000aaa","000aaa","00a00","0a00","0000-0000","00:00","a00","a0","00.00.0000","00/00/0000","00-00-0000","0000-00-00","0000/00/00","0000.00.00","00.00.00","00/00/00","00-00-00","0.00.0000","0/00/0000","0-00-0000"},0)))),NOT(OR(AND(BW460&lt;&gt;"",SUBSTITUTE(BW460,"0","")=""),AND(LEN(BW460)&gt;=4,BW460=REPT(LEFT(BW460),LEN(BW460))),ISNUMBER(MATCH(BW460,{"123","1234","12345","123456","1234567","12345678","0123","01234","012345","98765","987654","54321"},0)),ISNUMBER(MATCH(BX460,{"x","xx","xxx","xxxx","xxxxx","abc","abcd","nil","na","nan","test","tbc","tba","tbd","dummy","sample","example","eg","zz","zzz","none","null","xyz","qwe","asd","id","ref"},0)),AND(LEN(BW460)=8,BX460="",OR(LEFT(BW460,3)="202",ISNUMBER(MATCH(RIGHT(BW460,4),{"2025","2026","2027"},0)))))),OR(AND((LEN(BT460)-LEN(SUBSTITUTE(BT460,"a","")))&gt;=1,(LEN(BN460)-LEN(SUBSTITUTE(BN460,"0","")))&gt;=2,SUMPRODUCT(--ISNUMBER(SEARCH({"a0","a-0","a_0","a/0","a.0","a#0","0a","0-a","0_a","0/a"},BN460)))&gt;0),AND((LEN(BN460)-LEN(SUBSTITUTE(BN460,"a","")))=0,(LEN(BN460)-LEN(SUBSTITUTE(BN460,"0","")))&gt;=5)))),1,0),0)</f>
        <v>0</v>
      </c>
      <c r="CA4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460,"revision",""),"version",""),"jan",""),"feb",""),"mar",""),"apr",""),"may",""),"jun",""),"jul",""),"aug",""),"sep",""),"oct",""),"nov",""),"dec",""),"utc",""),"gmt",""),"myt",""),"bst",""),"rev",""),"ver",""),"b","a"),"c","a"),"d","a"),"e","a"),"f","a"),"g","a"),"h","a"),"i","a"),"j","a"),"k","a"),"l","a"),"m","a"),"n","a"),"o","a"),"p","a"),"q","a"),"r","a"),"s","a"),"t","a"),"u","a"),"v","a"),"w","a"),"x","a"),"y","a"),"z","a")</f>
        <v/>
      </c>
      <c r="CB4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460&amp;""),"a",""),"b",""),"c",""),"d",""),"e",""),"f",""),"g",""),"h",""),"i",""),"j",""),"k",""),"l",""),"m",""),"n",""),"o",""),"p",""),"q",""),"r",""),"s",""),"t",""),"u",""),"v",""),"w",""),"x",""),"y",""),"z",""),"-",""),"_",""),"/",""),".",""),"#",""),"\\",""),":","")," ",""),"(",""),")","")</f>
        <v/>
      </c>
      <c r="CC460" s="0" t="str">
        <f aca="false">" "&amp;TRIM(SUBSTITUTE(SUBSTITUTE(SUBSTITUTE(SUBSTITUTE(SUBSTITUTE(SUBSTITUTE(SUBSTITUTE(SUBSTITUTE(SUBSTITUTE(SUBSTITUTE(SUBSTITUTE(SUBSTITUTE(SUBSTITUTE(SUBSTITUTE(SUBSTITUTE(SUBSTITUTE(SUBSTITUTE(SUBSTITUTE(SUBSTITUTE(SUBSTITUTE(SUBSTITUTE(SUBSTITUTE(SUBSTITUTE(SUBSTITUTE(LOWER(T460&amp;""),CHAR(10)," "),CHAR(13)," "),CHAR(9)," "),CHAR(160)," "),"."," "),","," "),"-"," "),"/"," "),"("," "),")"," "),":"," "),";"," "),"_"," "),"–"," "),"?"," "),"!"," "),"*"," "),"["," "),"]"," "),"'"," "),"#"," "),"+"," "),"&amp;"," "),"\"," "))&amp;" "</f>
        <v>  </v>
      </c>
      <c r="CD460" s="0" t="str">
        <f aca="false">" "&amp;TRIM(SUBSTITUTE(SUBSTITUTE(SUBSTITUTE(SUBSTITUTE(SUBSTITUTE(SUBSTITUTE(SUBSTITUTE(SUBSTITUTE(SUBSTITUTE(SUBSTITUTE(SUBSTITUTE(SUBSTITUTE(SUBSTITUTE(SUBSTITUTE(SUBSTITUTE(SUBSTITUTE(SUBSTITUTE(SUBSTITUTE(SUBSTITUTE(SUBSTITUTE(SUBSTITUTE(SUBSTITUTE(SUBSTITUTE(SUBSTITUTE(LOWER(AE460&amp;""),CHAR(10)," "),CHAR(13)," "),CHAR(9)," "),CHAR(160)," "),"."," "),","," "),"-"," "),"/"," "),"("," "),")"," "),":"," "),";"," "),"_"," "),"–"," "),"?"," "),"!"," "),"*"," "),"["," "),"]"," "),"'"," "),"#"," "),"+"," "),"&amp;"," "),"\"," "))&amp;" "</f>
        <v>  </v>
      </c>
      <c r="CE460" s="68" t="n">
        <f aca="false">IFERROR(IF(AND(LEN(AU460)&gt;0,LEN(AU460)=LEN(AX460),OR(TRIM(MID(SUBSTITUTE(TRIM(CC460)," ",REPT(" ",60)),1,60))="",ISNUMBER(SEARCH(" "&amp;TRIM(MID(SUBSTITUTE(TRIM(CC460)," ",REPT(" ",60)),1,60))&amp;" ",CD460))),OR(TRIM(MID(SUBSTITUTE(TRIM(CC460)," ",REPT(" ",60)),61,60))="",ISNUMBER(SEARCH(" "&amp;TRIM(MID(SUBSTITUTE(TRIM(CC460)," ",REPT(" ",60)),61,60))&amp;" ",CD460))),OR(TRIM(MID(SUBSTITUTE(TRIM(CC460)," ",REPT(" ",60)),121,60))="",ISNUMBER(SEARCH(" "&amp;TRIM(MID(SUBSTITUTE(TRIM(CC460)," ",REPT(" ",60)),121,60))&amp;" ",CD460)))),1,0),0)</f>
        <v>0</v>
      </c>
      <c r="CG460" s="68" t="n">
        <f aca="false">IFERROR(LEN(SUBSTITUTE(BF460," ",""))-SUMPRODUCT((LEN(BF460)-LEN(SUBSTITUTE(BF460," "&amp;L_NAFiller&amp;" "," ")))/(LEN(L_NAFiller)+1)*LEN(L_NAFiller)),0)</f>
        <v>0</v>
      </c>
    </row>
    <row r="461" customFormat="false" ht="39.75" hidden="false" customHeight="true" outlineLevel="0" collapsed="false">
      <c r="A461" s="57" t="s">
        <v>1108</v>
      </c>
      <c r="B461" s="57" t="s">
        <v>276</v>
      </c>
      <c r="C461" s="57" t="str">
        <f aca="false">Flights!$F$18</f>
        <v>MH0004</v>
      </c>
      <c r="D461" s="58" t="n">
        <f aca="false">Flights!$D$18</f>
        <v>46310</v>
      </c>
      <c r="E461" s="57" t="str">
        <f aca="false">Flights!$G$18&amp;"-"&amp;Flights!$H$18</f>
        <v>KUL-LHR</v>
      </c>
      <c r="F461" s="57" t="str">
        <f aca="false">Flights!$K$18</f>
        <v>EY</v>
      </c>
      <c r="G461" s="57" t="s">
        <v>81</v>
      </c>
      <c r="H461" s="57" t="s">
        <v>378</v>
      </c>
      <c r="I461" s="57" t="s">
        <v>398</v>
      </c>
      <c r="J461" s="57" t="s">
        <v>402</v>
      </c>
      <c r="K461" s="67" t="s">
        <v>403</v>
      </c>
      <c r="L461" s="67" t="s">
        <v>382</v>
      </c>
      <c r="M461" s="67"/>
      <c r="N461" s="67" t="s">
        <v>383</v>
      </c>
      <c r="O461" s="67"/>
      <c r="P461" s="57" t="s">
        <v>187</v>
      </c>
      <c r="Q461" s="59" t="n">
        <f aca="false">ROUND((Flights!$AC$18)*1440,0)/1440</f>
        <v>46303.0763888889</v>
      </c>
      <c r="R461" s="59" t="n">
        <f aca="false">Q461+(IF(AND(INDEX(TZ_DSTS,MATCH(P461,TZ_STN,0))&lt;&gt;"",Q461&gt;=INDEX(TZ_DSTS,MATCH(P461,TZ_STN,0)),Q461&lt;INDEX(TZ_DSTE,MATCH(P461,TZ_STN,0))),INDEX(TZ_DST,MATCH(P461,TZ_STN,0)),INDEX(TZ_STD,MATCH(P461,TZ_STN,0))))/24</f>
        <v>46303.4097222222</v>
      </c>
      <c r="S461" s="60"/>
      <c r="T461" s="60"/>
      <c r="U461" s="60"/>
      <c r="V461" s="60"/>
      <c r="W461" s="61"/>
      <c r="X461" s="60"/>
      <c r="Y461" s="60"/>
      <c r="Z461" s="60"/>
      <c r="AA461" s="60"/>
      <c r="AB461" s="60"/>
      <c r="AC461" s="60"/>
      <c r="AD461" s="66"/>
      <c r="AE461" s="60"/>
      <c r="AF461" s="61" t="str">
        <f aca="false">IF(AND(ISNUMBER(X461),ISNUMBER(Y461)),Y461-X461,"")</f>
        <v/>
      </c>
      <c r="AG461" s="62" t="str">
        <f aca="false">IF(ISNUMBER(AD461),AD461-(IF(AND(INDEX(TZ_DSTS,MATCH(P461,TZ_STN,0))&lt;&gt;"",(AD461-INDEX(TZ_STD,MATCH(P461,TZ_STN,0))/24)&gt;=INDEX(TZ_DSTS,MATCH(P461,TZ_STN,0)),(AD461-INDEX(TZ_STD,MATCH(P461,TZ_STN,0))/24)&lt;INDEX(TZ_DSTE,MATCH(P461,TZ_STN,0))),INDEX(TZ_DST,MATCH(P461,TZ_STN,0)),INDEX(TZ_STD,MATCH(P461,TZ_STN,0))))/24,"")</f>
        <v/>
      </c>
      <c r="AH461" s="65" t="str">
        <f aca="false">IFERROR(IF(N461="N/A – rule",IF(OR(TRIM(U461)="",TRIM(U461)="N/A",TRIM(U461)="Not started"),"N/A – RULE","INVALID – this check does not apply to this aircraft: clear the status (or correct the fleet on Flights)"),IF(TRIM(U461)="N/A",IF(AT461=0,"INVALID – N/A not permitted for this check",IF(AND(TRIM(AB461)&lt;&gt;"",TRIM(AB461)&lt;&gt;"Closed"),"INVALID – corrective action still open",IF(AND(NOT(OR(LEN(AZ461)&lt;15,ISNUMBER(MATCH(AZ461,L_Placeholder,0)))),BK461=0,CG461&gt;=8,NOT(OR(LEN(AU461)&lt;2,ISNUMBER(MATCH(AU461,L_Placeholder,0)))),BR461&gt;=3,NOT(OR(LEN(AX461)&lt;2,ISNUMBER(MATCH(AX461,L_Placeholder,0)))),BS461&gt;=3,TRIM(AE461)&lt;&gt;TRIM(T461),AX461&lt;&gt;AU461,CE461=0),"N/A – JUSTIFIED","INVALID – N/A needs a real, settled reason (not 'not applicable' / 'as above' / TBC), a named PIC and a different named verifier"))),IF(OR(TRIM(U461)="Pass",TRIM(U461)="Pass after CA"),IF(NOT(ISNUMBER(AD461)),"INVALID – completion time missing",IF(OR(OR(LEN(AU461)&lt;2,ISNUMBER(MATCH(AU461,L_Placeholder,0))),BR461&lt;3),"INVALID – PIC missing or not a named person (a role such as QA / CSM is not a name)",IF(OR(LEN(AV461)&lt;2,ISNUMBER(MATCH(AV461,L_Placeholder,0))),"INVALID – result / assessment missing",IF(OR(OR(LEN(AW461)&lt;3,ISNUMBER(MATCH(AW461,L_Placeholder,0))),SUMPRODUCT(--ISNUMBER(SEARCH(" "&amp;L_EvidencePhrase&amp;" ",BD461)))&gt;0,BI461=1),"INVALID – evidence missing, placeholder or not yet on file",IF(ISNA(MATCH(TRIM(S461),L_EvidenceType,0)),"INVALID – choose the evidence type from the list (column S)",IF(BL461=0,"INVALID – evidence ID must be the record's own ID only (e.g. SF-2210, IMG_2231, 1045521); a link / file name needs type 'Link / file path'",IF(OR(OR(LEN(AX461)&lt;2,ISNUMBER(MATCH(AX461,L_Placeholder,0))),BS461&lt;3),"INVALID – verifier missing or not a named person (a role such as QA / CSM is not a name)",IF(OR(AX461=AU461,CE461=1,AND(LEN(AU461)&gt;=4,ISNUMBER(SEARCH(AU461,AX461))),AND(LEN(AX461)&gt;=4,ISNUMBER(SEARCH(AX461,AU461)))),"INVALID – verifier must be a different, named person (not the PIC or a role)",IF(BH461=1,"INVALID – result not yet available (awaiting / TBC)",IF(BG461=1,"INVALID – result describes a problem: record Fail, then Pass after CA (or reword if it is not a problem)",IF(BV461=1,"INVALID – wording says not on board: an on-board confirmation needs the item loaded",IF(AND(AQ461=1,OR(OR(LEN(AY461)&lt;3,ISNUMBER(MATCH(AY461,L_Placeholder,0))),BJ461=1,BQ461=0)),"INVALID – batch ID missing, placeholder or not an ID (e.g. PASB-261008-BC-017)",IF(AND(AR461=1,OR(NOT(ISNUMBER(X461)),NOT(ISNUMBER(Y461)))),"INVALID – expected/actual qty missing",IF(AND(AR461=1,OR(X461&lt;=0,Y461&lt;0)),"INVALID – expected qty must be above 0 and actual not negative",IF(BB461&lt;&gt;"",BB461,IF(AND(AS461=1,Documents!$J$18&lt;&gt;"ON FILE"),"INVALID – GLD not on file (Documents sheet)",IF(AND(AS461=2,Documents!$O$18&lt;&gt;"ON FILE"),"INVALID – menu checklist not on file (Documents sheet)",IF(AND(AS461=3,NOT(ISNUMBER(Flights!$AX$18))),"INVALID – enter carrying flight KUL departure (Flights AX)",IF(AND(AS461=3,OR(Flights!$AZ$18&gt;Flights!$AA$18,Flights!$AX$18&lt;Flights!$AA$18-3)),"INVALID – carrying flight (Flights AX) cannot arrive before this leg's STD, or is over 3 days early",IF(AG461&gt;AsOfUTC,"INVALID – completion time is in the future",IF(AND(ISNUMBER(BY461),AG461&lt;BY461),IF(H461="Physical uplift","INVALID – before uplift window (cannot confirm loading)","INVALID – before valid window"),IF(AG461&gt;Flights!$AA$18,"INVALID – completed after departure (cannot establish readiness)",IF(AND(H461="Preparation",AG461&gt;=IF(ISNUMBER(Flights!$BA$18),MIN(Flights!$BA$18,Flights!$AA$18),Flights!$AA$18)),"INVALID – completed after loading / departure (cannot establish readiness)",IF(AND(H461="Physical uplift",AG461&gt;Q461),"INVALID – recorded after the loading flight departed",IF(AG461&gt;Q461,"COMPLETE – LATE","COMPLETE"))))))))))))))))))))))))),IF(TRIM(U461)="Fail","FAIL – DISCREPANCY",IF(AND(TRIM(U461)&lt;&gt;"",TRIM(U461)&lt;&gt;"Not started",TRIM(U461)&lt;&gt;"In progress"),"INVALID – unrecognised status (use the list)",IF(AsOfUTC&gt;Q461,"OVERDUE",IF(N461="Clarification required","OPEN – CLARIFICATION","OPEN"))))))),"INVALID – error value in an input cell")</f>
        <v>OPEN</v>
      </c>
      <c r="AI461" s="61" t="n">
        <f aca="false">IF(OR(AH461="N/A – RULE",AH461="N/A – JUSTIFIED"),0,1)</f>
        <v>1</v>
      </c>
      <c r="AJ461" s="61" t="n">
        <f aca="false">IF(LEFT(AH461,8)="COMPLETE",1,0)</f>
        <v>0</v>
      </c>
      <c r="AK461" s="61" t="n">
        <f aca="false">IF(AND(AI461=1,AJ461=0,AsOfUTC&gt;Q461),1,0)</f>
        <v>0</v>
      </c>
      <c r="AL461" s="61" t="n">
        <f aca="false">IFERROR(IF(AND(AI461=1,OR(TRIM(U461)="Fail",AND(TRIM(AB461)&lt;&gt;"",TRIM(AB461)&lt;&gt;"Closed"),AND(ISNUMBER(AF461),AF461&lt;&gt;0,TRIM(U461)&lt;&gt;"Pass after CA"))),1,0),1)</f>
        <v>0</v>
      </c>
      <c r="AM461" s="61" t="n">
        <f aca="false">IF(LEFT(AH461,7)="INVALID",1,0)</f>
        <v>0</v>
      </c>
      <c r="AN461" s="61" t="n">
        <f aca="false">IF(AND(N461="Clarification required",AI461=1,AJ461=0),1,0)</f>
        <v>0</v>
      </c>
      <c r="AO461" s="61" t="str">
        <f aca="false">IF(AK461=1,SUM(AK$5:AK461),"")</f>
        <v/>
      </c>
      <c r="AP461" s="61" t="str">
        <f aca="false">IF(AL461=1,SUM(AL$5:AL461),"")</f>
        <v/>
      </c>
      <c r="AQ461" s="61" t="n">
        <v>0</v>
      </c>
      <c r="AR461" s="61" t="n">
        <v>0</v>
      </c>
      <c r="AS461" s="61" t="n">
        <v>0</v>
      </c>
      <c r="AT461" s="61" t="n">
        <v>0</v>
      </c>
      <c r="AU461" s="61" t="str">
        <f aca="false">SUBSTITUTE(SUBSTITUTE(SUBSTITUTE(SUBSTITUTE(SUBSTITUTE(SUBSTITUTE(SUBSTITUTE(SUBSTITUTE(SUBSTITUTE(SUBSTITUTE(SUBSTITUTE(SUBSTITUTE(SUBSTITUTE(SUBSTITUTE(SUBSTITUTE(SUBSTITUTE(LOWER(T461&amp;""),CHAR(10),""),CHAR(13),""),CHAR(9),""),CHAR(160),"")," ",""),".",""),"-",""),"/",""),"?",""),"_",""),",",""),"[",""),"]",""),"(",""),")",""),"*","")</f>
        <v/>
      </c>
      <c r="AV461" s="61" t="str">
        <f aca="false">SUBSTITUTE(SUBSTITUTE(SUBSTITUTE(SUBSTITUTE(SUBSTITUTE(SUBSTITUTE(SUBSTITUTE(SUBSTITUTE(SUBSTITUTE(SUBSTITUTE(SUBSTITUTE(SUBSTITUTE(SUBSTITUTE(SUBSTITUTE(SUBSTITUTE(SUBSTITUTE(LOWER(V461&amp;""),CHAR(10),""),CHAR(13),""),CHAR(9),""),CHAR(160),"")," ",""),".",""),"-",""),"/",""),"?",""),"_",""),",",""),"[",""),"]",""),"(",""),")",""),"*","")</f>
        <v/>
      </c>
      <c r="AW461" s="61" t="str">
        <f aca="false">SUBSTITUTE(SUBSTITUTE(SUBSTITUTE(SUBSTITUTE(SUBSTITUTE(SUBSTITUTE(SUBSTITUTE(SUBSTITUTE(SUBSTITUTE(SUBSTITUTE(SUBSTITUTE(SUBSTITUTE(SUBSTITUTE(SUBSTITUTE(SUBSTITUTE(SUBSTITUTE(LOWER(Z461&amp;""),CHAR(10),""),CHAR(13),""),CHAR(9),""),CHAR(160),"")," ",""),".",""),"-",""),"/",""),"?",""),"_",""),",",""),"[",""),"]",""),"(",""),")",""),"*","")</f>
        <v/>
      </c>
      <c r="AX461" s="61" t="str">
        <f aca="false">SUBSTITUTE(SUBSTITUTE(SUBSTITUTE(SUBSTITUTE(SUBSTITUTE(SUBSTITUTE(SUBSTITUTE(SUBSTITUTE(SUBSTITUTE(SUBSTITUTE(SUBSTITUTE(SUBSTITUTE(SUBSTITUTE(SUBSTITUTE(SUBSTITUTE(SUBSTITUTE(LOWER(AE461&amp;""),CHAR(10),""),CHAR(13),""),CHAR(9),""),CHAR(160),"")," ",""),".",""),"-",""),"/",""),"?",""),"_",""),",",""),"[",""),"]",""),"(",""),")",""),"*","")</f>
        <v/>
      </c>
      <c r="AY461" s="61" t="str">
        <f aca="false">SUBSTITUTE(SUBSTITUTE(SUBSTITUTE(SUBSTITUTE(SUBSTITUTE(SUBSTITUTE(SUBSTITUTE(SUBSTITUTE(SUBSTITUTE(SUBSTITUTE(SUBSTITUTE(SUBSTITUTE(SUBSTITUTE(SUBSTITUTE(SUBSTITUTE(SUBSTITUTE(LOWER(W461&amp;""),CHAR(10),""),CHAR(13),""),CHAR(9),""),CHAR(160),"")," ",""),".",""),"-",""),"/",""),"?",""),"_",""),",",""),"[",""),"]",""),"(",""),")",""),"*","")</f>
        <v/>
      </c>
      <c r="AZ461" s="61" t="str">
        <f aca="false">SUBSTITUTE(SUBSTITUTE(SUBSTITUTE(SUBSTITUTE(SUBSTITUTE(SUBSTITUTE(SUBSTITUTE(SUBSTITUTE(SUBSTITUTE(SUBSTITUTE(SUBSTITUTE(SUBSTITUTE(SUBSTITUTE(SUBSTITUTE(SUBSTITUTE(SUBSTITUTE(LOWER(AC461&amp;""),CHAR(10),""),CHAR(13),""),CHAR(9),""),CHAR(160),"")," ",""),".",""),"-",""),"/",""),"?",""),"_",""),",",""),"[",""),"]",""),"(",""),")",""),"*","")</f>
        <v/>
      </c>
      <c r="BA461" s="61" t="str">
        <f aca="false">SUBSTITUTE(SUBSTITUTE(SUBSTITUTE(SUBSTITUTE(SUBSTITUTE(SUBSTITUTE(SUBSTITUTE(SUBSTITUTE(SUBSTITUTE(SUBSTITUTE(SUBSTITUTE(SUBSTITUTE(SUBSTITUTE(SUBSTITUTE(SUBSTITUTE(SUBSTITUTE(LOWER(AA461&amp;""),CHAR(10),""),CHAR(13),""),CHAR(9),""),CHAR(160),"")," ",""),".",""),"-",""),"/",""),"?",""),"_",""),",",""),"[",""),"]",""),"(",""),")",""),"*","")</f>
        <v/>
      </c>
      <c r="BB461" s="61" t="str">
        <f aca="false">IF(AND(TRIM(U461)="Pass",ISNUMBER(AF461)),IF(AF461&lt;&gt;0,"INVALID – qty variance: use Fail or Pass after CA",""),"")&amp;IF(AND(TRIM(U461)="Pass after CA",ISNUMBER(AF461)),IF(AF461&lt;&gt;0,"INVALID – after the corrective action the actual qty must equal expected (update Actual)",""),"")&amp;IF(AND(TRIM(U461)="Pass",TRIM(AB461)&lt;&gt;"",TRIM(AB461)&lt;&gt;"Closed"),"INVALID – corrective action not closed: use Fail, then Pass after CA","")&amp;IF(AND(LEN(BA461)&gt;=2,ISNA(MATCH(LEFT(BA461,255),L_Placeholder,0)),TRIM(AB461)=""),"INVALID – CA status missing for the recorded corrective action","")&amp;IF(AND(TRIM(U461)="Pass after CA",OR(OR(LEN(BA461)&lt;5,ISNUMBER(MATCH(BA461,L_Placeholder,0))),TRIM(AB461)&lt;&gt;"Closed")),"INVALID – corrective action not recorded/closed","")</f>
        <v/>
      </c>
      <c r="BC461" s="61" t="str">
        <f aca="false">" "&amp;TRIM(SUBSTITUTE(SUBSTITUTE(SUBSTITUTE(SUBSTITUTE(SUBSTITUTE(SUBSTITUTE(SUBSTITUTE(SUBSTITUTE(SUBSTITUTE(SUBSTITUTE(SUBSTITUTE(SUBSTITUTE(SUBSTITUTE(SUBSTITUTE(SUBSTITUTE(SUBSTITUTE(SUBSTITUTE(SUBSTITUTE(SUBSTITUTE(SUBSTITUTE(SUBSTITUTE(SUBSTITUTE(SUBSTITUTE(SUBSTITUTE(LOWER(V461&amp;""),CHAR(10)," "),CHAR(13)," "),CHAR(9)," "),CHAR(160)," "),"."," "),","," "),"-"," "),"/"," "),"("," "),")"," "),":"," "),";"," "),"_"," "),"–"," "),"?"," "),"!"," "),"*"," "),"["," "),"]"," "),"'"," "),"#"," "),"+"," "),"&amp;"," "),"\"," "))&amp;" "</f>
        <v>  </v>
      </c>
      <c r="BD461" s="61" t="str">
        <f aca="false">" "&amp;TRIM(SUBSTITUTE(SUBSTITUTE(SUBSTITUTE(SUBSTITUTE(SUBSTITUTE(SUBSTITUTE(SUBSTITUTE(SUBSTITUTE(SUBSTITUTE(SUBSTITUTE(SUBSTITUTE(SUBSTITUTE(SUBSTITUTE(SUBSTITUTE(SUBSTITUTE(SUBSTITUTE(SUBSTITUTE(SUBSTITUTE(SUBSTITUTE(SUBSTITUTE(SUBSTITUTE(SUBSTITUTE(SUBSTITUTE(SUBSTITUTE(LOWER(Z461&amp;""),CHAR(10)," "),CHAR(13)," "),CHAR(9)," "),CHAR(160)," "),"."," "),","," "),"-"," "),"/"," "),"("," "),")"," "),":"," "),";"," "),"_"," "),"–"," "),"?"," "),"!"," "),"*"," "),"["," "),"]"," "),"'"," "),"#"," "),"+"," "),"&amp;"," "),"\"," "))&amp;" "</f>
        <v>  </v>
      </c>
      <c r="BE461" s="61" t="str">
        <f aca="false">" "&amp;TRIM(SUBSTITUTE(SUBSTITUTE(SUBSTITUTE(SUBSTITUTE(SUBSTITUTE(SUBSTITUTE(SUBSTITUTE(SUBSTITUTE(SUBSTITUTE(SUBSTITUTE(SUBSTITUTE(SUBSTITUTE(SUBSTITUTE(SUBSTITUTE(SUBSTITUTE(SUBSTITUTE(SUBSTITUTE(SUBSTITUTE(SUBSTITUTE(SUBSTITUTE(SUBSTITUTE(SUBSTITUTE(SUBSTITUTE(SUBSTITUTE(LOWER(W461&amp;""),CHAR(10)," "),CHAR(13)," "),CHAR(9)," "),CHAR(160)," "),"."," "),","," "),"-"," "),"/"," "),"("," "),")"," "),":"," "),";"," "),"_"," "),"–"," "),"?"," "),"!"," "),"*"," "),"["," "),"]"," "),"'"," "),"#"," "),"+"," "),"&amp;"," "),"\"," "))&amp;" "</f>
        <v>  </v>
      </c>
      <c r="BF461" s="61" t="str">
        <f aca="false">" "&amp;TRIM(SUBSTITUTE(SUBSTITUTE(SUBSTITUTE(SUBSTITUTE(SUBSTITUTE(SUBSTITUTE(SUBSTITUTE(SUBSTITUTE(SUBSTITUTE(SUBSTITUTE(SUBSTITUTE(SUBSTITUTE(SUBSTITUTE(SUBSTITUTE(SUBSTITUTE(SUBSTITUTE(SUBSTITUTE(SUBSTITUTE(SUBSTITUTE(SUBSTITUTE(SUBSTITUTE(SUBSTITUTE(SUBSTITUTE(SUBSTITUTE(LOWER(AC461&amp;""),CHAR(10)," "),CHAR(13)," "),CHAR(9)," "),CHAR(160)," "),"."," "),","," "),"-"," "),"/"," "),"("," "),")"," "),":"," "),";"," "),"_"," "),"–"," "),"?"," "),"!"," "),"*"," "),"["," "),"]"," "),"'"," "),"#"," "),"+"," "),"&amp;"," "),"\"," "))&amp;" "</f>
        <v>  </v>
      </c>
      <c r="BG461" s="61" t="n">
        <f aca="false">IFERROR(IF(AND(TRIM(U461)="Pass",SUMPRODUCT((LEN(BC461)-LEN(SUBSTITUTE(BC461," "&amp;L_ResultBad&amp;" "," ")))/(LEN(L_ResultBad)+1))&gt;SUMPRODUCT((LEN(BC461)-LEN(SUBSTITUTE(BC461," "&amp;L_NegPhrase&amp;" "," ")))/(LEN(L_NegPhrase)+1))),1,0),0)</f>
        <v>0</v>
      </c>
      <c r="BH461" s="61" t="n">
        <f aca="false">IFERROR(IF(SUMPRODUCT((LEN(BC461)-LEN(SUBSTITUTE(BC461," "&amp;L_Pending&amp;" "," ")))/(LEN(L_Pending)+1))&gt;SUMPRODUCT((LEN(BC461)-LEN(SUBSTITUTE(BC461," "&amp;L_PendNeg&amp;" "," ")))/(LEN(L_PendNeg)+1))+SUMPRODUCT((LEN(BC461)-LEN(SUBSTITUTE(BC461," "&amp;L_PendPrep&amp;" "," ")))/(LEN(L_PendPrep)+1)),1,0),1)</f>
        <v>0</v>
      </c>
      <c r="BI461" s="61" t="n">
        <f aca="false">IFERROR(IF(SUMPRODUCT((LEN(BD461)-LEN(SUBSTITUTE(BD461," "&amp;L_PendStrict&amp;" "," ")))/(LEN(L_PendStrict)+1))&gt;SUMPRODUCT((LEN(BD461)-LEN(SUBSTITUTE(BD461," "&amp;L_PendNeg&amp;" "," ")))/(LEN(L_PendNeg)+1)),1,0),1)</f>
        <v>0</v>
      </c>
      <c r="BJ461" s="61" t="n">
        <f aca="false">IFERROR(IF(SUMPRODUCT((LEN(BE461)-LEN(SUBSTITUTE(BE461," "&amp;L_Pending&amp;" "," ")))/(LEN(L_Pending)+1))&gt;SUMPRODUCT((LEN(BE461)-LEN(SUBSTITUTE(BE461," "&amp;L_PendNeg&amp;" "," ")))/(LEN(L_PendNeg)+1))+SUMPRODUCT((LEN(BE461)-LEN(SUBSTITUTE(BE461," "&amp;L_PendPrep&amp;" "," ")))/(LEN(L_PendPrep)+1)),1,0),1)</f>
        <v>0</v>
      </c>
      <c r="BK461" s="61" t="n">
        <f aca="false">IFERROR(IF(SUMPRODUCT((LEN(BF461)-LEN(SUBSTITUTE(BF461," "&amp;L_PendStrict&amp;" "," ")))/(LEN(L_PendStrict)+1))&gt;SUMPRODUCT((LEN(BF461)-LEN(SUBSTITUTE(BF461," "&amp;L_PendNeg&amp;" "," ")))/(LEN(L_PendNeg)+1)),1,0),1)</f>
        <v>0</v>
      </c>
      <c r="BL461" s="61" t="n">
        <f aca="false">IF(ISNA(MATCH(TRIM(S461),L_EvidenceType,0)),0,BZ461)</f>
        <v>0</v>
      </c>
      <c r="BM461" s="61" t="str">
        <f aca="false">SUBSTITUTE(SUBSTITUTE(SUBSTITUTE(SUBSTITUTE(SUBSTITUTE(SUBSTITUTE(SUBSTITUTE(SUBSTITUTE(SUBSTITUTE(LOWER(Z461&amp;""),"1","0"),"2","0"),"3","0"),"4","0"),"5","0"),"6","0"),"7","0"),"8","0"),"9","0")</f>
        <v/>
      </c>
      <c r="BN461" s="61" t="str">
        <f aca="false">SUBSTITUTE(SUBSTITUTE(SUBSTITUTE(SUBSTITUTE(SUBSTITUTE(SUBSTITUTE(SUBSTITUTE(SUBSTITUTE(SUBSTITUTE(SUBSTITUTE(SUBSTITUTE(SUBSTITUTE(SUBSTITUTE(SUBSTITUTE(SUBSTITUTE(SUBSTITUTE(SUBSTITUTE(SUBSTITUTE(SUBSTITUTE(SUBSTITUTE(SUBSTITUTE(SUBSTITUTE(SUBSTITUTE(SUBSTITUTE(SUBSTITUTE(BM461,"b","a"),"c","a"),"d","a"),"e","a"),"f","a"),"g","a"),"h","a"),"i","a"),"j","a"),"k","a"),"l","a"),"m","a"),"n","a"),"o","a"),"p","a"),"q","a"),"r","a"),"s","a"),"t","a"),"u","a"),"v","a"),"w","a"),"x","a"),"y","a"),"z","a")</f>
        <v/>
      </c>
      <c r="BO461" s="61" t="str">
        <f aca="false">SUBSTITUTE(SUBSTITUTE(SUBSTITUTE(SUBSTITUTE(SUBSTITUTE(SUBSTITUTE(SUBSTITUTE(SUBSTITUTE(SUBSTITUTE(LOWER(W461&amp;""),"1","0"),"2","0"),"3","0"),"4","0"),"5","0"),"6","0"),"7","0"),"8","0"),"9","0")</f>
        <v/>
      </c>
      <c r="BP461" s="61" t="str">
        <f aca="false">SUBSTITUTE(SUBSTITUTE(SUBSTITUTE(SUBSTITUTE(SUBSTITUTE(SUBSTITUTE(SUBSTITUTE(SUBSTITUTE(SUBSTITUTE(SUBSTITUTE(SUBSTITUTE(SUBSTITUTE(SUBSTITUTE(SUBSTITUTE(SUBSTITUTE(SUBSTITUTE(SUBSTITUTE(SUBSTITUTE(SUBSTITUTE(SUBSTITUTE(SUBSTITUTE(SUBSTITUTE(SUBSTITUTE(SUBSTITUTE(SUBSTITUTE(BO461,"b","a"),"c","a"),"d","a"),"e","a"),"f","a"),"g","a"),"h","a"),"i","a"),"j","a"),"k","a"),"l","a"),"m","a"),"n","a"),"o","a"),"p","a"),"q","a"),"r","a"),"s","a"),"t","a"),"u","a"),"v","a"),"w","a"),"x","a"),"y","a"),"z","a")</f>
        <v/>
      </c>
      <c r="BQ461" s="61" t="n">
        <f aca="false">IFERROR(IF(AND(ISERROR(SEARCH(" mh"," "&amp;LOWER(W461))),ISNA(MATCH(LEFT(TRIM(BP461),255),{"0000a","000a","00a","0000aa","000aa","00aa","0aa","0000aaa","000aaa","00a00","0a00","0000-0000","00:00","a00","a0","00.00.0000","00/00/0000","00-00-0000","0000-00-00","0000/00/00","0000.00.00","00.00.00","00/00/00","00-00-00","0.00.0000","0/00/0000","0-00-0000"},0)),ISNA(MATCH(LEFT(TRIM(CA461),255),{"0000a","000a","00a","0000aa","000aa","00aa","0aa","0000aaa","000aaa","00a00","0a00","0000-0000","00:00","a00","a0","00.00.0000","00/00/0000","00-00-0000","0000-00-00","0000/00/00","0000.00.00","00.00.00","00/00/00","00-00-00","0.00.0000","0/00/0000","0-00-0000"},0)),LEN(CB461)&gt;=3,NOT(OR(SUBSTITUTE(CB461,"0","")="",AND(LEN(CB461)&gt;=4,CB461=REPT(LEFT(CB461),LEN(CB461))),ISNUMBER(MATCH(CB461,{"123","1234","12345","123456","1234567","12345678","0123","01234","012345","98765","987654","54321"},0)),AND(LEN(CB461)=8,LEFT(CB461,3)="202"))),OR(AND((LEN(CA461)-LEN(SUBSTITUTE(CA461,"a","")))&gt;=1,SUMPRODUCT(--ISNUMBER(SEARCH({"a0","a-0","a_0","a/0","a.0","a#0","0a","0-a","0_a","0/a"},BP461)))&gt;0),ISNUMBER(SEARCH("000000",BP461)))),1,0),0)</f>
        <v>0</v>
      </c>
      <c r="BR461" s="61" t="n">
        <f aca="false">IFERROR(LEN(SUBSTITUTE(CC461," ",""))-SUMPRODUCT((LEN(CC461)-LEN(SUBSTITUTE(CC461," "&amp;L_Role&amp;" "," ")))/(LEN(L_Role)+1)*LEN(L_Role)),0)</f>
        <v>0</v>
      </c>
      <c r="BS461" s="61" t="n">
        <f aca="false">IFERROR(LEN(SUBSTITUTE(CD461," ",""))-SUMPRODUCT((LEN(CD461)-LEN(SUBSTITUTE(CD461," "&amp;L_Role&amp;" "," ")))/(LEN(L_Role)+1)*LEN(L_Role)),0)</f>
        <v>0</v>
      </c>
      <c r="BT4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461,"revision",""),"version",""),"jan",""),"feb",""),"mar",""),"apr",""),"may",""),"jun",""),"jul",""),"aug",""),"sep",""),"oct",""),"nov",""),"dec",""),"utc",""),"gmt",""),"myt",""),"bst",""),"rev",""),"ver",""),"b","a"),"c","a"),"d","a"),"e","a"),"f","a"),"g","a"),"h","a"),"i","a"),"j","a"),"k","a"),"l","a"),"m","a"),"n","a"),"o","a"),"p","a"),"q","a"),"r","a"),"s","a"),"t","a"),"u","a"),"v","a"),"w","a"),"x","a"),"y","a"),"z","a")</f>
        <v/>
      </c>
      <c r="BU461" s="61" t="str">
        <f aca="false">SUBSTITUTE(SUBSTITUTE(SUBSTITUTE(SUBSTITUTE(SUBSTITUTE(SUBSTITUTE(SUBSTITUTE(SUBSTITUTE(SUBSTITUTE(SUBSTITUTE(LEFT(BM461,FIND("0",BM461&amp;"0")-1),"-",""),"_",""),"/",""),".",""),"#",""),"\\",""),":","")," ",""),"(",""),")","")</f>
        <v/>
      </c>
      <c r="BV461" s="61" t="n">
        <f aca="false">0</f>
        <v>0</v>
      </c>
      <c r="BW4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461&amp;""),"a",""),"b",""),"c",""),"d",""),"e",""),"f",""),"g",""),"h",""),"i",""),"j",""),"k",""),"l",""),"m",""),"n",""),"o",""),"p",""),"q",""),"r",""),"s",""),"t",""),"u",""),"v",""),"w",""),"x",""),"y",""),"z",""),"-",""),"_",""),"/",""),".",""),"#",""),"\\",""),":","")," ",""),"(",""),")","")</f>
        <v/>
      </c>
      <c r="BX461" s="61" t="str">
        <f aca="false">SUBSTITUTE(SUBSTITUTE(SUBSTITUTE(SUBSTITUTE(SUBSTITUTE(SUBSTITUTE(SUBSTITUTE(SUBSTITUTE(SUBSTITUTE(SUBSTITUTE(SUBSTITUTE(BM461,"0",""),"-",""),"_",""),"/",""),".",""),"#",""),"\\",""),":","")," ",""),"(",""),")","")</f>
        <v/>
      </c>
      <c r="BY461" s="62" t="n">
        <f aca="false">Q461-T7EarlyD*24/24</f>
        <v>46289.0763888889</v>
      </c>
      <c r="BZ461" s="61" t="n">
        <f aca="false">IFERROR(IF(IF(TRIM(S461)="Link / file path",AND(LEN(TRIM(Z461))&gt;=5,SUMPRODUCT(--ISNUMBER(SEARCH({"http","www.","\\",":\",".pdf",".jpg",".jpeg",".png",".heic",".xls",".doc",".msg",".eml",".ppt",".txt",".zip"},Z461)))&gt;0),AND(ISERROR(FIND(" ",TRIM(Z461))),NOT(OR(SUMPRODUCT(--ISNUMBER(FIND({",",";","&amp;","+"},Z461)))&gt;0,SUMPRODUCT(--ISNUMBER(SEARCH({"0/aa","0\\aa"},BN461)))&gt;0)),NOT(SUMPRODUCT(--ISNUMBER(SEARCH({"http","www.","\\",":\",".pdf",".jpg",".jpeg",".png",".heic",".xls",".doc",".msg",".eml",".ppt",".txt",".zip"},Z461)))&gt;0),NOT(LOWER(TRIM(Z461))=LOWER(Flights!$F$18)),ISNA(MATCH(BU461,{"mh","rev","revision","ver","version","v","r","a","b","seat","tray","row","gate","bay","stand","page","pg","item","line","no","cart","galley","flight","flt","table","box","bag","oven","etd","eta","std","sta","atd","ata","qty","pax","x","time","tel","ph","mob","day","wk","week","utc","gmt","myt","lt"},0)),NOT(OR(ISNUMBER(MATCH(LEFT(BN461,255),{"0000a","000a","00a","0000aa","000aa","00aa","0aa","0000aaa","000aaa","00a00","0a00","0000-0000","00:00","a00","a0","00.00.0000","00/00/0000","00-00-0000","0000-00-00","0000/00/00","0000.00.00","00.00.00","00/00/00","00-00-00","0.00.0000","0/00/0000","0-00-0000"},0)),ISNUMBER(MATCH(LEFT(BT461,255),{"0000a","000a","00a","0000aa","000aa","00aa","0aa","0000aaa","000aaa","00a00","0a00","0000-0000","00:00","a00","a0","00.00.0000","00/00/0000","00-00-0000","0000-00-00","0000/00/00","0000.00.00","00.00.00","00/00/00","00-00-00","0.00.0000","0/00/0000","0-00-0000"},0)))),NOT(OR(AND(BW461&lt;&gt;"",SUBSTITUTE(BW461,"0","")=""),AND(LEN(BW461)&gt;=4,BW461=REPT(LEFT(BW461),LEN(BW461))),ISNUMBER(MATCH(BW461,{"123","1234","12345","123456","1234567","12345678","0123","01234","012345","98765","987654","54321"},0)),ISNUMBER(MATCH(BX461,{"x","xx","xxx","xxxx","xxxxx","abc","abcd","nil","na","nan","test","tbc","tba","tbd","dummy","sample","example","eg","zz","zzz","none","null","xyz","qwe","asd","id","ref"},0)),AND(LEN(BW461)=8,BX461="",OR(LEFT(BW461,3)="202",ISNUMBER(MATCH(RIGHT(BW461,4),{"2025","2026","2027"},0)))))),OR(AND((LEN(BT461)-LEN(SUBSTITUTE(BT461,"a","")))&gt;=1,(LEN(BN461)-LEN(SUBSTITUTE(BN461,"0","")))&gt;=2,SUMPRODUCT(--ISNUMBER(SEARCH({"a0","a-0","a_0","a/0","a.0","a#0","0a","0-a","0_a","0/a"},BN461)))&gt;0),AND((LEN(BN461)-LEN(SUBSTITUTE(BN461,"a","")))=0,(LEN(BN461)-LEN(SUBSTITUTE(BN461,"0","")))&gt;=5)))),1,0),0)</f>
        <v>0</v>
      </c>
      <c r="CA4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461,"revision",""),"version",""),"jan",""),"feb",""),"mar",""),"apr",""),"may",""),"jun",""),"jul",""),"aug",""),"sep",""),"oct",""),"nov",""),"dec",""),"utc",""),"gmt",""),"myt",""),"bst",""),"rev",""),"ver",""),"b","a"),"c","a"),"d","a"),"e","a"),"f","a"),"g","a"),"h","a"),"i","a"),"j","a"),"k","a"),"l","a"),"m","a"),"n","a"),"o","a"),"p","a"),"q","a"),"r","a"),"s","a"),"t","a"),"u","a"),"v","a"),"w","a"),"x","a"),"y","a"),"z","a")</f>
        <v/>
      </c>
      <c r="CB4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461&amp;""),"a",""),"b",""),"c",""),"d",""),"e",""),"f",""),"g",""),"h",""),"i",""),"j",""),"k",""),"l",""),"m",""),"n",""),"o",""),"p",""),"q",""),"r",""),"s",""),"t",""),"u",""),"v",""),"w",""),"x",""),"y",""),"z",""),"-",""),"_",""),"/",""),".",""),"#",""),"\\",""),":","")," ",""),"(",""),")","")</f>
        <v/>
      </c>
      <c r="CC461" s="0" t="str">
        <f aca="false">" "&amp;TRIM(SUBSTITUTE(SUBSTITUTE(SUBSTITUTE(SUBSTITUTE(SUBSTITUTE(SUBSTITUTE(SUBSTITUTE(SUBSTITUTE(SUBSTITUTE(SUBSTITUTE(SUBSTITUTE(SUBSTITUTE(SUBSTITUTE(SUBSTITUTE(SUBSTITUTE(SUBSTITUTE(SUBSTITUTE(SUBSTITUTE(SUBSTITUTE(SUBSTITUTE(SUBSTITUTE(SUBSTITUTE(SUBSTITUTE(SUBSTITUTE(LOWER(T461&amp;""),CHAR(10)," "),CHAR(13)," "),CHAR(9)," "),CHAR(160)," "),"."," "),","," "),"-"," "),"/"," "),"("," "),")"," "),":"," "),";"," "),"_"," "),"–"," "),"?"," "),"!"," "),"*"," "),"["," "),"]"," "),"'"," "),"#"," "),"+"," "),"&amp;"," "),"\"," "))&amp;" "</f>
        <v>  </v>
      </c>
      <c r="CD461" s="0" t="str">
        <f aca="false">" "&amp;TRIM(SUBSTITUTE(SUBSTITUTE(SUBSTITUTE(SUBSTITUTE(SUBSTITUTE(SUBSTITUTE(SUBSTITUTE(SUBSTITUTE(SUBSTITUTE(SUBSTITUTE(SUBSTITUTE(SUBSTITUTE(SUBSTITUTE(SUBSTITUTE(SUBSTITUTE(SUBSTITUTE(SUBSTITUTE(SUBSTITUTE(SUBSTITUTE(SUBSTITUTE(SUBSTITUTE(SUBSTITUTE(SUBSTITUTE(SUBSTITUTE(LOWER(AE461&amp;""),CHAR(10)," "),CHAR(13)," "),CHAR(9)," "),CHAR(160)," "),"."," "),","," "),"-"," "),"/"," "),"("," "),")"," "),":"," "),";"," "),"_"," "),"–"," "),"?"," "),"!"," "),"*"," "),"["," "),"]"," "),"'"," "),"#"," "),"+"," "),"&amp;"," "),"\"," "))&amp;" "</f>
        <v>  </v>
      </c>
      <c r="CE461" s="68" t="n">
        <f aca="false">IFERROR(IF(AND(LEN(AU461)&gt;0,LEN(AU461)=LEN(AX461),OR(TRIM(MID(SUBSTITUTE(TRIM(CC461)," ",REPT(" ",60)),1,60))="",ISNUMBER(SEARCH(" "&amp;TRIM(MID(SUBSTITUTE(TRIM(CC461)," ",REPT(" ",60)),1,60))&amp;" ",CD461))),OR(TRIM(MID(SUBSTITUTE(TRIM(CC461)," ",REPT(" ",60)),61,60))="",ISNUMBER(SEARCH(" "&amp;TRIM(MID(SUBSTITUTE(TRIM(CC461)," ",REPT(" ",60)),61,60))&amp;" ",CD461))),OR(TRIM(MID(SUBSTITUTE(TRIM(CC461)," ",REPT(" ",60)),121,60))="",ISNUMBER(SEARCH(" "&amp;TRIM(MID(SUBSTITUTE(TRIM(CC461)," ",REPT(" ",60)),121,60))&amp;" ",CD461)))),1,0),0)</f>
        <v>0</v>
      </c>
      <c r="CG461" s="68" t="n">
        <f aca="false">IFERROR(LEN(SUBSTITUTE(BF461," ",""))-SUMPRODUCT((LEN(BF461)-LEN(SUBSTITUTE(BF461," "&amp;L_NAFiller&amp;" "," ")))/(LEN(L_NAFiller)+1)*LEN(L_NAFiller)),0)</f>
        <v>0</v>
      </c>
    </row>
    <row r="462" customFormat="false" ht="39.75" hidden="false" customHeight="true" outlineLevel="0" collapsed="false">
      <c r="A462" s="57" t="s">
        <v>1109</v>
      </c>
      <c r="B462" s="57" t="s">
        <v>276</v>
      </c>
      <c r="C462" s="57" t="str">
        <f aca="false">Flights!$F$18</f>
        <v>MH0004</v>
      </c>
      <c r="D462" s="58" t="n">
        <f aca="false">Flights!$D$18</f>
        <v>46310</v>
      </c>
      <c r="E462" s="57" t="str">
        <f aca="false">Flights!$G$18&amp;"-"&amp;Flights!$H$18</f>
        <v>KUL-LHR</v>
      </c>
      <c r="F462" s="57" t="str">
        <f aca="false">Flights!$K$18</f>
        <v>EY</v>
      </c>
      <c r="G462" s="57" t="s">
        <v>81</v>
      </c>
      <c r="H462" s="57" t="s">
        <v>378</v>
      </c>
      <c r="I462" s="57" t="s">
        <v>405</v>
      </c>
      <c r="J462" s="57" t="s">
        <v>406</v>
      </c>
      <c r="K462" s="67" t="s">
        <v>407</v>
      </c>
      <c r="L462" s="67" t="s">
        <v>382</v>
      </c>
      <c r="M462" s="67"/>
      <c r="N462" s="67" t="s">
        <v>383</v>
      </c>
      <c r="O462" s="67"/>
      <c r="P462" s="57" t="s">
        <v>187</v>
      </c>
      <c r="Q462" s="59" t="n">
        <f aca="false">ROUND((Flights!$AC$18)*1440,0)/1440</f>
        <v>46303.0763888889</v>
      </c>
      <c r="R462" s="59" t="n">
        <f aca="false">Q462+(IF(AND(INDEX(TZ_DSTS,MATCH(P462,TZ_STN,0))&lt;&gt;"",Q462&gt;=INDEX(TZ_DSTS,MATCH(P462,TZ_STN,0)),Q462&lt;INDEX(TZ_DSTE,MATCH(P462,TZ_STN,0))),INDEX(TZ_DST,MATCH(P462,TZ_STN,0)),INDEX(TZ_STD,MATCH(P462,TZ_STN,0))))/24</f>
        <v>46303.4097222222</v>
      </c>
      <c r="S462" s="60"/>
      <c r="T462" s="60"/>
      <c r="U462" s="60"/>
      <c r="V462" s="60"/>
      <c r="W462" s="61"/>
      <c r="X462" s="60"/>
      <c r="Y462" s="60"/>
      <c r="Z462" s="60"/>
      <c r="AA462" s="60"/>
      <c r="AB462" s="60"/>
      <c r="AC462" s="60"/>
      <c r="AD462" s="66"/>
      <c r="AE462" s="60"/>
      <c r="AF462" s="61" t="str">
        <f aca="false">IF(AND(ISNUMBER(X462),ISNUMBER(Y462)),Y462-X462,"")</f>
        <v/>
      </c>
      <c r="AG462" s="62" t="str">
        <f aca="false">IF(ISNUMBER(AD462),AD462-(IF(AND(INDEX(TZ_DSTS,MATCH(P462,TZ_STN,0))&lt;&gt;"",(AD462-INDEX(TZ_STD,MATCH(P462,TZ_STN,0))/24)&gt;=INDEX(TZ_DSTS,MATCH(P462,TZ_STN,0)),(AD462-INDEX(TZ_STD,MATCH(P462,TZ_STN,0))/24)&lt;INDEX(TZ_DSTE,MATCH(P462,TZ_STN,0))),INDEX(TZ_DST,MATCH(P462,TZ_STN,0)),INDEX(TZ_STD,MATCH(P462,TZ_STN,0))))/24,"")</f>
        <v/>
      </c>
      <c r="AH462" s="65" t="str">
        <f aca="false">IFERROR(IF(N462="N/A – rule",IF(OR(TRIM(U462)="",TRIM(U462)="N/A",TRIM(U462)="Not started"),"N/A – RULE","INVALID – this check does not apply to this aircraft: clear the status (or correct the fleet on Flights)"),IF(TRIM(U462)="N/A",IF(AT462=0,"INVALID – N/A not permitted for this check",IF(AND(TRIM(AB462)&lt;&gt;"",TRIM(AB462)&lt;&gt;"Closed"),"INVALID – corrective action still open",IF(AND(NOT(OR(LEN(AZ462)&lt;15,ISNUMBER(MATCH(AZ462,L_Placeholder,0)))),BK462=0,CG462&gt;=8,NOT(OR(LEN(AU462)&lt;2,ISNUMBER(MATCH(AU462,L_Placeholder,0)))),BR462&gt;=3,NOT(OR(LEN(AX462)&lt;2,ISNUMBER(MATCH(AX462,L_Placeholder,0)))),BS462&gt;=3,TRIM(AE462)&lt;&gt;TRIM(T462),AX462&lt;&gt;AU462,CE462=0),"N/A – JUSTIFIED","INVALID – N/A needs a real, settled reason (not 'not applicable' / 'as above' / TBC), a named PIC and a different named verifier"))),IF(OR(TRIM(U462)="Pass",TRIM(U462)="Pass after CA"),IF(NOT(ISNUMBER(AD462)),"INVALID – completion time missing",IF(OR(OR(LEN(AU462)&lt;2,ISNUMBER(MATCH(AU462,L_Placeholder,0))),BR462&lt;3),"INVALID – PIC missing or not a named person (a role such as QA / CSM is not a name)",IF(OR(LEN(AV462)&lt;2,ISNUMBER(MATCH(AV462,L_Placeholder,0))),"INVALID – result / assessment missing",IF(OR(OR(LEN(AW462)&lt;3,ISNUMBER(MATCH(AW462,L_Placeholder,0))),SUMPRODUCT(--ISNUMBER(SEARCH(" "&amp;L_EvidencePhrase&amp;" ",BD462)))&gt;0,BI462=1),"INVALID – evidence missing, placeholder or not yet on file",IF(ISNA(MATCH(TRIM(S462),L_EvidenceType,0)),"INVALID – choose the evidence type from the list (column S)",IF(BL462=0,"INVALID – evidence ID must be the record's own ID only (e.g. SF-2210, IMG_2231, 1045521); a link / file name needs type 'Link / file path'",IF(OR(OR(LEN(AX462)&lt;2,ISNUMBER(MATCH(AX462,L_Placeholder,0))),BS462&lt;3),"INVALID – verifier missing or not a named person (a role such as QA / CSM is not a name)",IF(OR(AX462=AU462,CE462=1,AND(LEN(AU462)&gt;=4,ISNUMBER(SEARCH(AU462,AX462))),AND(LEN(AX462)&gt;=4,ISNUMBER(SEARCH(AX462,AU462)))),"INVALID – verifier must be a different, named person (not the PIC or a role)",IF(BH462=1,"INVALID – result not yet available (awaiting / TBC)",IF(BG462=1,"INVALID – result describes a problem: record Fail, then Pass after CA (or reword if it is not a problem)",IF(BV462=1,"INVALID – wording says not on board: an on-board confirmation needs the item loaded",IF(AND(AQ462=1,OR(OR(LEN(AY462)&lt;3,ISNUMBER(MATCH(AY462,L_Placeholder,0))),BJ462=1,BQ462=0)),"INVALID – batch ID missing, placeholder or not an ID (e.g. PASB-261008-BC-017)",IF(AND(AR462=1,OR(NOT(ISNUMBER(X462)),NOT(ISNUMBER(Y462)))),"INVALID – expected/actual qty missing",IF(AND(AR462=1,OR(X462&lt;=0,Y462&lt;0)),"INVALID – expected qty must be above 0 and actual not negative",IF(BB462&lt;&gt;"",BB462,IF(AND(AS462=1,Documents!$J$18&lt;&gt;"ON FILE"),"INVALID – GLD not on file (Documents sheet)",IF(AND(AS462=2,Documents!$O$18&lt;&gt;"ON FILE"),"INVALID – menu checklist not on file (Documents sheet)",IF(AND(AS462=3,NOT(ISNUMBER(Flights!$AX$18))),"INVALID – enter carrying flight KUL departure (Flights AX)",IF(AND(AS462=3,OR(Flights!$AZ$18&gt;Flights!$AA$18,Flights!$AX$18&lt;Flights!$AA$18-3)),"INVALID – carrying flight (Flights AX) cannot arrive before this leg's STD, or is over 3 days early",IF(AG462&gt;AsOfUTC,"INVALID – completion time is in the future",IF(AND(ISNUMBER(BY462),AG462&lt;BY462),IF(H462="Physical uplift","INVALID – before uplift window (cannot confirm loading)","INVALID – before valid window"),IF(AG462&gt;Flights!$AA$18,"INVALID – completed after departure (cannot establish readiness)",IF(AND(H462="Preparation",AG462&gt;=IF(ISNUMBER(Flights!$BA$18),MIN(Flights!$BA$18,Flights!$AA$18),Flights!$AA$18)),"INVALID – completed after loading / departure (cannot establish readiness)",IF(AND(H462="Physical uplift",AG462&gt;Q462),"INVALID – recorded after the loading flight departed",IF(AG462&gt;Q462,"COMPLETE – LATE","COMPLETE"))))))))))))))))))))))))),IF(TRIM(U462)="Fail","FAIL – DISCREPANCY",IF(AND(TRIM(U462)&lt;&gt;"",TRIM(U462)&lt;&gt;"Not started",TRIM(U462)&lt;&gt;"In progress"),"INVALID – unrecognised status (use the list)",IF(AsOfUTC&gt;Q462,"OVERDUE",IF(N462="Clarification required","OPEN – CLARIFICATION","OPEN"))))))),"INVALID – error value in an input cell")</f>
        <v>OPEN</v>
      </c>
      <c r="AI462" s="61" t="n">
        <f aca="false">IF(OR(AH462="N/A – RULE",AH462="N/A – JUSTIFIED"),0,1)</f>
        <v>1</v>
      </c>
      <c r="AJ462" s="61" t="n">
        <f aca="false">IF(LEFT(AH462,8)="COMPLETE",1,0)</f>
        <v>0</v>
      </c>
      <c r="AK462" s="61" t="n">
        <f aca="false">IF(AND(AI462=1,AJ462=0,AsOfUTC&gt;Q462),1,0)</f>
        <v>0</v>
      </c>
      <c r="AL462" s="61" t="n">
        <f aca="false">IFERROR(IF(AND(AI462=1,OR(TRIM(U462)="Fail",AND(TRIM(AB462)&lt;&gt;"",TRIM(AB462)&lt;&gt;"Closed"),AND(ISNUMBER(AF462),AF462&lt;&gt;0,TRIM(U462)&lt;&gt;"Pass after CA"))),1,0),1)</f>
        <v>0</v>
      </c>
      <c r="AM462" s="61" t="n">
        <f aca="false">IF(LEFT(AH462,7)="INVALID",1,0)</f>
        <v>0</v>
      </c>
      <c r="AN462" s="61" t="n">
        <f aca="false">IF(AND(N462="Clarification required",AI462=1,AJ462=0),1,0)</f>
        <v>0</v>
      </c>
      <c r="AO462" s="61" t="str">
        <f aca="false">IF(AK462=1,SUM(AK$5:AK462),"")</f>
        <v/>
      </c>
      <c r="AP462" s="61" t="str">
        <f aca="false">IF(AL462=1,SUM(AL$5:AL462),"")</f>
        <v/>
      </c>
      <c r="AQ462" s="61" t="n">
        <v>0</v>
      </c>
      <c r="AR462" s="61" t="n">
        <v>0</v>
      </c>
      <c r="AS462" s="61" t="n">
        <v>1</v>
      </c>
      <c r="AT462" s="61" t="n">
        <v>0</v>
      </c>
      <c r="AU462" s="61" t="str">
        <f aca="false">SUBSTITUTE(SUBSTITUTE(SUBSTITUTE(SUBSTITUTE(SUBSTITUTE(SUBSTITUTE(SUBSTITUTE(SUBSTITUTE(SUBSTITUTE(SUBSTITUTE(SUBSTITUTE(SUBSTITUTE(SUBSTITUTE(SUBSTITUTE(SUBSTITUTE(SUBSTITUTE(LOWER(T462&amp;""),CHAR(10),""),CHAR(13),""),CHAR(9),""),CHAR(160),"")," ",""),".",""),"-",""),"/",""),"?",""),"_",""),",",""),"[",""),"]",""),"(",""),")",""),"*","")</f>
        <v/>
      </c>
      <c r="AV462" s="61" t="str">
        <f aca="false">SUBSTITUTE(SUBSTITUTE(SUBSTITUTE(SUBSTITUTE(SUBSTITUTE(SUBSTITUTE(SUBSTITUTE(SUBSTITUTE(SUBSTITUTE(SUBSTITUTE(SUBSTITUTE(SUBSTITUTE(SUBSTITUTE(SUBSTITUTE(SUBSTITUTE(SUBSTITUTE(LOWER(V462&amp;""),CHAR(10),""),CHAR(13),""),CHAR(9),""),CHAR(160),"")," ",""),".",""),"-",""),"/",""),"?",""),"_",""),",",""),"[",""),"]",""),"(",""),")",""),"*","")</f>
        <v/>
      </c>
      <c r="AW462" s="61" t="str">
        <f aca="false">SUBSTITUTE(SUBSTITUTE(SUBSTITUTE(SUBSTITUTE(SUBSTITUTE(SUBSTITUTE(SUBSTITUTE(SUBSTITUTE(SUBSTITUTE(SUBSTITUTE(SUBSTITUTE(SUBSTITUTE(SUBSTITUTE(SUBSTITUTE(SUBSTITUTE(SUBSTITUTE(LOWER(Z462&amp;""),CHAR(10),""),CHAR(13),""),CHAR(9),""),CHAR(160),"")," ",""),".",""),"-",""),"/",""),"?",""),"_",""),",",""),"[",""),"]",""),"(",""),")",""),"*","")</f>
        <v/>
      </c>
      <c r="AX462" s="61" t="str">
        <f aca="false">SUBSTITUTE(SUBSTITUTE(SUBSTITUTE(SUBSTITUTE(SUBSTITUTE(SUBSTITUTE(SUBSTITUTE(SUBSTITUTE(SUBSTITUTE(SUBSTITUTE(SUBSTITUTE(SUBSTITUTE(SUBSTITUTE(SUBSTITUTE(SUBSTITUTE(SUBSTITUTE(LOWER(AE462&amp;""),CHAR(10),""),CHAR(13),""),CHAR(9),""),CHAR(160),"")," ",""),".",""),"-",""),"/",""),"?",""),"_",""),",",""),"[",""),"]",""),"(",""),")",""),"*","")</f>
        <v/>
      </c>
      <c r="AY462" s="61" t="str">
        <f aca="false">SUBSTITUTE(SUBSTITUTE(SUBSTITUTE(SUBSTITUTE(SUBSTITUTE(SUBSTITUTE(SUBSTITUTE(SUBSTITUTE(SUBSTITUTE(SUBSTITUTE(SUBSTITUTE(SUBSTITUTE(SUBSTITUTE(SUBSTITUTE(SUBSTITUTE(SUBSTITUTE(LOWER(W462&amp;""),CHAR(10),""),CHAR(13),""),CHAR(9),""),CHAR(160),"")," ",""),".",""),"-",""),"/",""),"?",""),"_",""),",",""),"[",""),"]",""),"(",""),")",""),"*","")</f>
        <v/>
      </c>
      <c r="AZ462" s="61" t="str">
        <f aca="false">SUBSTITUTE(SUBSTITUTE(SUBSTITUTE(SUBSTITUTE(SUBSTITUTE(SUBSTITUTE(SUBSTITUTE(SUBSTITUTE(SUBSTITUTE(SUBSTITUTE(SUBSTITUTE(SUBSTITUTE(SUBSTITUTE(SUBSTITUTE(SUBSTITUTE(SUBSTITUTE(LOWER(AC462&amp;""),CHAR(10),""),CHAR(13),""),CHAR(9),""),CHAR(160),"")," ",""),".",""),"-",""),"/",""),"?",""),"_",""),",",""),"[",""),"]",""),"(",""),")",""),"*","")</f>
        <v/>
      </c>
      <c r="BA462" s="61" t="str">
        <f aca="false">SUBSTITUTE(SUBSTITUTE(SUBSTITUTE(SUBSTITUTE(SUBSTITUTE(SUBSTITUTE(SUBSTITUTE(SUBSTITUTE(SUBSTITUTE(SUBSTITUTE(SUBSTITUTE(SUBSTITUTE(SUBSTITUTE(SUBSTITUTE(SUBSTITUTE(SUBSTITUTE(LOWER(AA462&amp;""),CHAR(10),""),CHAR(13),""),CHAR(9),""),CHAR(160),"")," ",""),".",""),"-",""),"/",""),"?",""),"_",""),",",""),"[",""),"]",""),"(",""),")",""),"*","")</f>
        <v/>
      </c>
      <c r="BB462" s="61" t="str">
        <f aca="false">IF(AND(TRIM(U462)="Pass",ISNUMBER(AF462)),IF(AF462&lt;&gt;0,"INVALID – qty variance: use Fail or Pass after CA",""),"")&amp;IF(AND(TRIM(U462)="Pass after CA",ISNUMBER(AF462)),IF(AF462&lt;&gt;0,"INVALID – after the corrective action the actual qty must equal expected (update Actual)",""),"")&amp;IF(AND(TRIM(U462)="Pass",TRIM(AB462)&lt;&gt;"",TRIM(AB462)&lt;&gt;"Closed"),"INVALID – corrective action not closed: use Fail, then Pass after CA","")&amp;IF(AND(LEN(BA462)&gt;=2,ISNA(MATCH(LEFT(BA462,255),L_Placeholder,0)),TRIM(AB462)=""),"INVALID – CA status missing for the recorded corrective action","")&amp;IF(AND(TRIM(U462)="Pass after CA",OR(OR(LEN(BA462)&lt;5,ISNUMBER(MATCH(BA462,L_Placeholder,0))),TRIM(AB462)&lt;&gt;"Closed")),"INVALID – corrective action not recorded/closed","")</f>
        <v/>
      </c>
      <c r="BC462" s="61" t="str">
        <f aca="false">" "&amp;TRIM(SUBSTITUTE(SUBSTITUTE(SUBSTITUTE(SUBSTITUTE(SUBSTITUTE(SUBSTITUTE(SUBSTITUTE(SUBSTITUTE(SUBSTITUTE(SUBSTITUTE(SUBSTITUTE(SUBSTITUTE(SUBSTITUTE(SUBSTITUTE(SUBSTITUTE(SUBSTITUTE(SUBSTITUTE(SUBSTITUTE(SUBSTITUTE(SUBSTITUTE(SUBSTITUTE(SUBSTITUTE(SUBSTITUTE(SUBSTITUTE(LOWER(V462&amp;""),CHAR(10)," "),CHAR(13)," "),CHAR(9)," "),CHAR(160)," "),"."," "),","," "),"-"," "),"/"," "),"("," "),")"," "),":"," "),";"," "),"_"," "),"–"," "),"?"," "),"!"," "),"*"," "),"["," "),"]"," "),"'"," "),"#"," "),"+"," "),"&amp;"," "),"\"," "))&amp;" "</f>
        <v>  </v>
      </c>
      <c r="BD462" s="61" t="str">
        <f aca="false">" "&amp;TRIM(SUBSTITUTE(SUBSTITUTE(SUBSTITUTE(SUBSTITUTE(SUBSTITUTE(SUBSTITUTE(SUBSTITUTE(SUBSTITUTE(SUBSTITUTE(SUBSTITUTE(SUBSTITUTE(SUBSTITUTE(SUBSTITUTE(SUBSTITUTE(SUBSTITUTE(SUBSTITUTE(SUBSTITUTE(SUBSTITUTE(SUBSTITUTE(SUBSTITUTE(SUBSTITUTE(SUBSTITUTE(SUBSTITUTE(SUBSTITUTE(LOWER(Z462&amp;""),CHAR(10)," "),CHAR(13)," "),CHAR(9)," "),CHAR(160)," "),"."," "),","," "),"-"," "),"/"," "),"("," "),")"," "),":"," "),";"," "),"_"," "),"–"," "),"?"," "),"!"," "),"*"," "),"["," "),"]"," "),"'"," "),"#"," "),"+"," "),"&amp;"," "),"\"," "))&amp;" "</f>
        <v>  </v>
      </c>
      <c r="BE462" s="61" t="str">
        <f aca="false">" "&amp;TRIM(SUBSTITUTE(SUBSTITUTE(SUBSTITUTE(SUBSTITUTE(SUBSTITUTE(SUBSTITUTE(SUBSTITUTE(SUBSTITUTE(SUBSTITUTE(SUBSTITUTE(SUBSTITUTE(SUBSTITUTE(SUBSTITUTE(SUBSTITUTE(SUBSTITUTE(SUBSTITUTE(SUBSTITUTE(SUBSTITUTE(SUBSTITUTE(SUBSTITUTE(SUBSTITUTE(SUBSTITUTE(SUBSTITUTE(SUBSTITUTE(LOWER(W462&amp;""),CHAR(10)," "),CHAR(13)," "),CHAR(9)," "),CHAR(160)," "),"."," "),","," "),"-"," "),"/"," "),"("," "),")"," "),":"," "),";"," "),"_"," "),"–"," "),"?"," "),"!"," "),"*"," "),"["," "),"]"," "),"'"," "),"#"," "),"+"," "),"&amp;"," "),"\"," "))&amp;" "</f>
        <v>  </v>
      </c>
      <c r="BF462" s="61" t="str">
        <f aca="false">" "&amp;TRIM(SUBSTITUTE(SUBSTITUTE(SUBSTITUTE(SUBSTITUTE(SUBSTITUTE(SUBSTITUTE(SUBSTITUTE(SUBSTITUTE(SUBSTITUTE(SUBSTITUTE(SUBSTITUTE(SUBSTITUTE(SUBSTITUTE(SUBSTITUTE(SUBSTITUTE(SUBSTITUTE(SUBSTITUTE(SUBSTITUTE(SUBSTITUTE(SUBSTITUTE(SUBSTITUTE(SUBSTITUTE(SUBSTITUTE(SUBSTITUTE(LOWER(AC462&amp;""),CHAR(10)," "),CHAR(13)," "),CHAR(9)," "),CHAR(160)," "),"."," "),","," "),"-"," "),"/"," "),"("," "),")"," "),":"," "),";"," "),"_"," "),"–"," "),"?"," "),"!"," "),"*"," "),"["," "),"]"," "),"'"," "),"#"," "),"+"," "),"&amp;"," "),"\"," "))&amp;" "</f>
        <v>  </v>
      </c>
      <c r="BG462" s="61" t="n">
        <f aca="false">IFERROR(IF(AND(TRIM(U462)="Pass",SUMPRODUCT((LEN(BC462)-LEN(SUBSTITUTE(BC462," "&amp;L_ResultBad&amp;" "," ")))/(LEN(L_ResultBad)+1))&gt;SUMPRODUCT((LEN(BC462)-LEN(SUBSTITUTE(BC462," "&amp;L_NegPhrase&amp;" "," ")))/(LEN(L_NegPhrase)+1))),1,0),0)</f>
        <v>0</v>
      </c>
      <c r="BH462" s="61" t="n">
        <f aca="false">IFERROR(IF(SUMPRODUCT((LEN(BC462)-LEN(SUBSTITUTE(BC462," "&amp;L_Pending&amp;" "," ")))/(LEN(L_Pending)+1))&gt;SUMPRODUCT((LEN(BC462)-LEN(SUBSTITUTE(BC462," "&amp;L_PendNeg&amp;" "," ")))/(LEN(L_PendNeg)+1))+SUMPRODUCT((LEN(BC462)-LEN(SUBSTITUTE(BC462," "&amp;L_PendPrep&amp;" "," ")))/(LEN(L_PendPrep)+1)),1,0),1)</f>
        <v>0</v>
      </c>
      <c r="BI462" s="61" t="n">
        <f aca="false">IFERROR(IF(SUMPRODUCT((LEN(BD462)-LEN(SUBSTITUTE(BD462," "&amp;L_PendStrict&amp;" "," ")))/(LEN(L_PendStrict)+1))&gt;SUMPRODUCT((LEN(BD462)-LEN(SUBSTITUTE(BD462," "&amp;L_PendNeg&amp;" "," ")))/(LEN(L_PendNeg)+1)),1,0),1)</f>
        <v>0</v>
      </c>
      <c r="BJ462" s="61" t="n">
        <f aca="false">IFERROR(IF(SUMPRODUCT((LEN(BE462)-LEN(SUBSTITUTE(BE462," "&amp;L_Pending&amp;" "," ")))/(LEN(L_Pending)+1))&gt;SUMPRODUCT((LEN(BE462)-LEN(SUBSTITUTE(BE462," "&amp;L_PendNeg&amp;" "," ")))/(LEN(L_PendNeg)+1))+SUMPRODUCT((LEN(BE462)-LEN(SUBSTITUTE(BE462," "&amp;L_PendPrep&amp;" "," ")))/(LEN(L_PendPrep)+1)),1,0),1)</f>
        <v>0</v>
      </c>
      <c r="BK462" s="61" t="n">
        <f aca="false">IFERROR(IF(SUMPRODUCT((LEN(BF462)-LEN(SUBSTITUTE(BF462," "&amp;L_PendStrict&amp;" "," ")))/(LEN(L_PendStrict)+1))&gt;SUMPRODUCT((LEN(BF462)-LEN(SUBSTITUTE(BF462," "&amp;L_PendNeg&amp;" "," ")))/(LEN(L_PendNeg)+1)),1,0),1)</f>
        <v>0</v>
      </c>
      <c r="BL462" s="61" t="n">
        <f aca="false">IF(ISNA(MATCH(TRIM(S462),L_EvidenceType,0)),0,BZ462)</f>
        <v>0</v>
      </c>
      <c r="BM462" s="61" t="str">
        <f aca="false">SUBSTITUTE(SUBSTITUTE(SUBSTITUTE(SUBSTITUTE(SUBSTITUTE(SUBSTITUTE(SUBSTITUTE(SUBSTITUTE(SUBSTITUTE(LOWER(Z462&amp;""),"1","0"),"2","0"),"3","0"),"4","0"),"5","0"),"6","0"),"7","0"),"8","0"),"9","0")</f>
        <v/>
      </c>
      <c r="BN462" s="61" t="str">
        <f aca="false">SUBSTITUTE(SUBSTITUTE(SUBSTITUTE(SUBSTITUTE(SUBSTITUTE(SUBSTITUTE(SUBSTITUTE(SUBSTITUTE(SUBSTITUTE(SUBSTITUTE(SUBSTITUTE(SUBSTITUTE(SUBSTITUTE(SUBSTITUTE(SUBSTITUTE(SUBSTITUTE(SUBSTITUTE(SUBSTITUTE(SUBSTITUTE(SUBSTITUTE(SUBSTITUTE(SUBSTITUTE(SUBSTITUTE(SUBSTITUTE(SUBSTITUTE(BM462,"b","a"),"c","a"),"d","a"),"e","a"),"f","a"),"g","a"),"h","a"),"i","a"),"j","a"),"k","a"),"l","a"),"m","a"),"n","a"),"o","a"),"p","a"),"q","a"),"r","a"),"s","a"),"t","a"),"u","a"),"v","a"),"w","a"),"x","a"),"y","a"),"z","a")</f>
        <v/>
      </c>
      <c r="BO462" s="61" t="str">
        <f aca="false">SUBSTITUTE(SUBSTITUTE(SUBSTITUTE(SUBSTITUTE(SUBSTITUTE(SUBSTITUTE(SUBSTITUTE(SUBSTITUTE(SUBSTITUTE(LOWER(W462&amp;""),"1","0"),"2","0"),"3","0"),"4","0"),"5","0"),"6","0"),"7","0"),"8","0"),"9","0")</f>
        <v/>
      </c>
      <c r="BP462" s="61" t="str">
        <f aca="false">SUBSTITUTE(SUBSTITUTE(SUBSTITUTE(SUBSTITUTE(SUBSTITUTE(SUBSTITUTE(SUBSTITUTE(SUBSTITUTE(SUBSTITUTE(SUBSTITUTE(SUBSTITUTE(SUBSTITUTE(SUBSTITUTE(SUBSTITUTE(SUBSTITUTE(SUBSTITUTE(SUBSTITUTE(SUBSTITUTE(SUBSTITUTE(SUBSTITUTE(SUBSTITUTE(SUBSTITUTE(SUBSTITUTE(SUBSTITUTE(SUBSTITUTE(BO462,"b","a"),"c","a"),"d","a"),"e","a"),"f","a"),"g","a"),"h","a"),"i","a"),"j","a"),"k","a"),"l","a"),"m","a"),"n","a"),"o","a"),"p","a"),"q","a"),"r","a"),"s","a"),"t","a"),"u","a"),"v","a"),"w","a"),"x","a"),"y","a"),"z","a")</f>
        <v/>
      </c>
      <c r="BQ462" s="61" t="n">
        <f aca="false">IFERROR(IF(AND(ISERROR(SEARCH(" mh"," "&amp;LOWER(W462))),ISNA(MATCH(LEFT(TRIM(BP462),255),{"0000a","000a","00a","0000aa","000aa","00aa","0aa","0000aaa","000aaa","00a00","0a00","0000-0000","00:00","a00","a0","00.00.0000","00/00/0000","00-00-0000","0000-00-00","0000/00/00","0000.00.00","00.00.00","00/00/00","00-00-00","0.00.0000","0/00/0000","0-00-0000"},0)),ISNA(MATCH(LEFT(TRIM(CA462),255),{"0000a","000a","00a","0000aa","000aa","00aa","0aa","0000aaa","000aaa","00a00","0a00","0000-0000","00:00","a00","a0","00.00.0000","00/00/0000","00-00-0000","0000-00-00","0000/00/00","0000.00.00","00.00.00","00/00/00","00-00-00","0.00.0000","0/00/0000","0-00-0000"},0)),LEN(CB462)&gt;=3,NOT(OR(SUBSTITUTE(CB462,"0","")="",AND(LEN(CB462)&gt;=4,CB462=REPT(LEFT(CB462),LEN(CB462))),ISNUMBER(MATCH(CB462,{"123","1234","12345","123456","1234567","12345678","0123","01234","012345","98765","987654","54321"},0)),AND(LEN(CB462)=8,LEFT(CB462,3)="202"))),OR(AND((LEN(CA462)-LEN(SUBSTITUTE(CA462,"a","")))&gt;=1,SUMPRODUCT(--ISNUMBER(SEARCH({"a0","a-0","a_0","a/0","a.0","a#0","0a","0-a","0_a","0/a"},BP462)))&gt;0),ISNUMBER(SEARCH("000000",BP462)))),1,0),0)</f>
        <v>0</v>
      </c>
      <c r="BR462" s="61" t="n">
        <f aca="false">IFERROR(LEN(SUBSTITUTE(CC462," ",""))-SUMPRODUCT((LEN(CC462)-LEN(SUBSTITUTE(CC462," "&amp;L_Role&amp;" "," ")))/(LEN(L_Role)+1)*LEN(L_Role)),0)</f>
        <v>0</v>
      </c>
      <c r="BS462" s="61" t="n">
        <f aca="false">IFERROR(LEN(SUBSTITUTE(CD462," ",""))-SUMPRODUCT((LEN(CD462)-LEN(SUBSTITUTE(CD462," "&amp;L_Role&amp;" "," ")))/(LEN(L_Role)+1)*LEN(L_Role)),0)</f>
        <v>0</v>
      </c>
      <c r="BT4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462,"revision",""),"version",""),"jan",""),"feb",""),"mar",""),"apr",""),"may",""),"jun",""),"jul",""),"aug",""),"sep",""),"oct",""),"nov",""),"dec",""),"utc",""),"gmt",""),"myt",""),"bst",""),"rev",""),"ver",""),"b","a"),"c","a"),"d","a"),"e","a"),"f","a"),"g","a"),"h","a"),"i","a"),"j","a"),"k","a"),"l","a"),"m","a"),"n","a"),"o","a"),"p","a"),"q","a"),"r","a"),"s","a"),"t","a"),"u","a"),"v","a"),"w","a"),"x","a"),"y","a"),"z","a")</f>
        <v/>
      </c>
      <c r="BU462" s="61" t="str">
        <f aca="false">SUBSTITUTE(SUBSTITUTE(SUBSTITUTE(SUBSTITUTE(SUBSTITUTE(SUBSTITUTE(SUBSTITUTE(SUBSTITUTE(SUBSTITUTE(SUBSTITUTE(LEFT(BM462,FIND("0",BM462&amp;"0")-1),"-",""),"_",""),"/",""),".",""),"#",""),"\\",""),":","")," ",""),"(",""),")","")</f>
        <v/>
      </c>
      <c r="BV462" s="61" t="n">
        <f aca="false">0</f>
        <v>0</v>
      </c>
      <c r="BW4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462&amp;""),"a",""),"b",""),"c",""),"d",""),"e",""),"f",""),"g",""),"h",""),"i",""),"j",""),"k",""),"l",""),"m",""),"n",""),"o",""),"p",""),"q",""),"r",""),"s",""),"t",""),"u",""),"v",""),"w",""),"x",""),"y",""),"z",""),"-",""),"_",""),"/",""),".",""),"#",""),"\\",""),":","")," ",""),"(",""),")","")</f>
        <v/>
      </c>
      <c r="BX462" s="61" t="str">
        <f aca="false">SUBSTITUTE(SUBSTITUTE(SUBSTITUTE(SUBSTITUTE(SUBSTITUTE(SUBSTITUTE(SUBSTITUTE(SUBSTITUTE(SUBSTITUTE(SUBSTITUTE(SUBSTITUTE(BM462,"0",""),"-",""),"_",""),"/",""),".",""),"#",""),"\\",""),":","")," ",""),"(",""),")","")</f>
        <v/>
      </c>
      <c r="BY462" s="62" t="n">
        <f aca="false">Q462-T7EarlyD*24/24</f>
        <v>46289.0763888889</v>
      </c>
      <c r="BZ462" s="61" t="n">
        <f aca="false">IFERROR(IF(IF(TRIM(S462)="Link / file path",AND(LEN(TRIM(Z462))&gt;=5,SUMPRODUCT(--ISNUMBER(SEARCH({"http","www.","\\",":\",".pdf",".jpg",".jpeg",".png",".heic",".xls",".doc",".msg",".eml",".ppt",".txt",".zip"},Z462)))&gt;0),AND(ISERROR(FIND(" ",TRIM(Z462))),NOT(OR(SUMPRODUCT(--ISNUMBER(FIND({",",";","&amp;","+"},Z462)))&gt;0,SUMPRODUCT(--ISNUMBER(SEARCH({"0/aa","0\\aa"},BN462)))&gt;0)),NOT(SUMPRODUCT(--ISNUMBER(SEARCH({"http","www.","\\",":\",".pdf",".jpg",".jpeg",".png",".heic",".xls",".doc",".msg",".eml",".ppt",".txt",".zip"},Z462)))&gt;0),NOT(LOWER(TRIM(Z462))=LOWER(Flights!$F$18)),ISNA(MATCH(BU462,{"mh","rev","revision","ver","version","v","r","a","b","seat","tray","row","gate","bay","stand","page","pg","item","line","no","cart","galley","flight","flt","table","box","bag","oven","etd","eta","std","sta","atd","ata","qty","pax","x","time","tel","ph","mob","day","wk","week","utc","gmt","myt","lt"},0)),NOT(OR(ISNUMBER(MATCH(LEFT(BN462,255),{"0000a","000a","00a","0000aa","000aa","00aa","0aa","0000aaa","000aaa","00a00","0a00","0000-0000","00:00","a00","a0","00.00.0000","00/00/0000","00-00-0000","0000-00-00","0000/00/00","0000.00.00","00.00.00","00/00/00","00-00-00","0.00.0000","0/00/0000","0-00-0000"},0)),ISNUMBER(MATCH(LEFT(BT462,255),{"0000a","000a","00a","0000aa","000aa","00aa","0aa","0000aaa","000aaa","00a00","0a00","0000-0000","00:00","a00","a0","00.00.0000","00/00/0000","00-00-0000","0000-00-00","0000/00/00","0000.00.00","00.00.00","00/00/00","00-00-00","0.00.0000","0/00/0000","0-00-0000"},0)))),NOT(OR(AND(BW462&lt;&gt;"",SUBSTITUTE(BW462,"0","")=""),AND(LEN(BW462)&gt;=4,BW462=REPT(LEFT(BW462),LEN(BW462))),ISNUMBER(MATCH(BW462,{"123","1234","12345","123456","1234567","12345678","0123","01234","012345","98765","987654","54321"},0)),ISNUMBER(MATCH(BX462,{"x","xx","xxx","xxxx","xxxxx","abc","abcd","nil","na","nan","test","tbc","tba","tbd","dummy","sample","example","eg","zz","zzz","none","null","xyz","qwe","asd","id","ref"},0)),AND(LEN(BW462)=8,BX462="",OR(LEFT(BW462,3)="202",ISNUMBER(MATCH(RIGHT(BW462,4),{"2025","2026","2027"},0)))))),OR(AND((LEN(BT462)-LEN(SUBSTITUTE(BT462,"a","")))&gt;=1,(LEN(BN462)-LEN(SUBSTITUTE(BN462,"0","")))&gt;=2,SUMPRODUCT(--ISNUMBER(SEARCH({"a0","a-0","a_0","a/0","a.0","a#0","0a","0-a","0_a","0/a"},BN462)))&gt;0),AND((LEN(BN462)-LEN(SUBSTITUTE(BN462,"a","")))=0,(LEN(BN462)-LEN(SUBSTITUTE(BN462,"0","")))&gt;=5)))),1,0),0)</f>
        <v>0</v>
      </c>
      <c r="CA4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462,"revision",""),"version",""),"jan",""),"feb",""),"mar",""),"apr",""),"may",""),"jun",""),"jul",""),"aug",""),"sep",""),"oct",""),"nov",""),"dec",""),"utc",""),"gmt",""),"myt",""),"bst",""),"rev",""),"ver",""),"b","a"),"c","a"),"d","a"),"e","a"),"f","a"),"g","a"),"h","a"),"i","a"),"j","a"),"k","a"),"l","a"),"m","a"),"n","a"),"o","a"),"p","a"),"q","a"),"r","a"),"s","a"),"t","a"),"u","a"),"v","a"),"w","a"),"x","a"),"y","a"),"z","a")</f>
        <v/>
      </c>
      <c r="CB4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462&amp;""),"a",""),"b",""),"c",""),"d",""),"e",""),"f",""),"g",""),"h",""),"i",""),"j",""),"k",""),"l",""),"m",""),"n",""),"o",""),"p",""),"q",""),"r",""),"s",""),"t",""),"u",""),"v",""),"w",""),"x",""),"y",""),"z",""),"-",""),"_",""),"/",""),".",""),"#",""),"\\",""),":","")," ",""),"(",""),")","")</f>
        <v/>
      </c>
      <c r="CC462" s="0" t="str">
        <f aca="false">" "&amp;TRIM(SUBSTITUTE(SUBSTITUTE(SUBSTITUTE(SUBSTITUTE(SUBSTITUTE(SUBSTITUTE(SUBSTITUTE(SUBSTITUTE(SUBSTITUTE(SUBSTITUTE(SUBSTITUTE(SUBSTITUTE(SUBSTITUTE(SUBSTITUTE(SUBSTITUTE(SUBSTITUTE(SUBSTITUTE(SUBSTITUTE(SUBSTITUTE(SUBSTITUTE(SUBSTITUTE(SUBSTITUTE(SUBSTITUTE(SUBSTITUTE(LOWER(T462&amp;""),CHAR(10)," "),CHAR(13)," "),CHAR(9)," "),CHAR(160)," "),"."," "),","," "),"-"," "),"/"," "),"("," "),")"," "),":"," "),";"," "),"_"," "),"–"," "),"?"," "),"!"," "),"*"," "),"["," "),"]"," "),"'"," "),"#"," "),"+"," "),"&amp;"," "),"\"," "))&amp;" "</f>
        <v>  </v>
      </c>
      <c r="CD462" s="0" t="str">
        <f aca="false">" "&amp;TRIM(SUBSTITUTE(SUBSTITUTE(SUBSTITUTE(SUBSTITUTE(SUBSTITUTE(SUBSTITUTE(SUBSTITUTE(SUBSTITUTE(SUBSTITUTE(SUBSTITUTE(SUBSTITUTE(SUBSTITUTE(SUBSTITUTE(SUBSTITUTE(SUBSTITUTE(SUBSTITUTE(SUBSTITUTE(SUBSTITUTE(SUBSTITUTE(SUBSTITUTE(SUBSTITUTE(SUBSTITUTE(SUBSTITUTE(SUBSTITUTE(LOWER(AE462&amp;""),CHAR(10)," "),CHAR(13)," "),CHAR(9)," "),CHAR(160)," "),"."," "),","," "),"-"," "),"/"," "),"("," "),")"," "),":"," "),";"," "),"_"," "),"–"," "),"?"," "),"!"," "),"*"," "),"["," "),"]"," "),"'"," "),"#"," "),"+"," "),"&amp;"," "),"\"," "))&amp;" "</f>
        <v>  </v>
      </c>
      <c r="CE462" s="68" t="n">
        <f aca="false">IFERROR(IF(AND(LEN(AU462)&gt;0,LEN(AU462)=LEN(AX462),OR(TRIM(MID(SUBSTITUTE(TRIM(CC462)," ",REPT(" ",60)),1,60))="",ISNUMBER(SEARCH(" "&amp;TRIM(MID(SUBSTITUTE(TRIM(CC462)," ",REPT(" ",60)),1,60))&amp;" ",CD462))),OR(TRIM(MID(SUBSTITUTE(TRIM(CC462)," ",REPT(" ",60)),61,60))="",ISNUMBER(SEARCH(" "&amp;TRIM(MID(SUBSTITUTE(TRIM(CC462)," ",REPT(" ",60)),61,60))&amp;" ",CD462))),OR(TRIM(MID(SUBSTITUTE(TRIM(CC462)," ",REPT(" ",60)),121,60))="",ISNUMBER(SEARCH(" "&amp;TRIM(MID(SUBSTITUTE(TRIM(CC462)," ",REPT(" ",60)),121,60))&amp;" ",CD462)))),1,0),0)</f>
        <v>0</v>
      </c>
      <c r="CG462" s="68" t="n">
        <f aca="false">IFERROR(LEN(SUBSTITUTE(BF462," ",""))-SUMPRODUCT((LEN(BF462)-LEN(SUBSTITUTE(BF462," "&amp;L_NAFiller&amp;" "," ")))/(LEN(L_NAFiller)+1)*LEN(L_NAFiller)),0)</f>
        <v>0</v>
      </c>
    </row>
    <row r="463" customFormat="false" ht="39.75" hidden="false" customHeight="true" outlineLevel="0" collapsed="false">
      <c r="A463" s="57" t="s">
        <v>1110</v>
      </c>
      <c r="B463" s="57" t="s">
        <v>276</v>
      </c>
      <c r="C463" s="57" t="str">
        <f aca="false">Flights!$F$18</f>
        <v>MH0004</v>
      </c>
      <c r="D463" s="58" t="n">
        <f aca="false">Flights!$D$18</f>
        <v>46310</v>
      </c>
      <c r="E463" s="57" t="str">
        <f aca="false">Flights!$G$18&amp;"-"&amp;Flights!$H$18</f>
        <v>KUL-LHR</v>
      </c>
      <c r="F463" s="57" t="str">
        <f aca="false">Flights!$K$18</f>
        <v>EY</v>
      </c>
      <c r="G463" s="57" t="s">
        <v>81</v>
      </c>
      <c r="H463" s="57" t="s">
        <v>378</v>
      </c>
      <c r="I463" s="57" t="s">
        <v>405</v>
      </c>
      <c r="J463" s="57" t="s">
        <v>409</v>
      </c>
      <c r="K463" s="67" t="s">
        <v>407</v>
      </c>
      <c r="L463" s="67" t="s">
        <v>382</v>
      </c>
      <c r="M463" s="67"/>
      <c r="N463" s="67" t="s">
        <v>383</v>
      </c>
      <c r="O463" s="67"/>
      <c r="P463" s="57" t="s">
        <v>187</v>
      </c>
      <c r="Q463" s="59" t="n">
        <f aca="false">ROUND((Flights!$AC$18)*1440,0)/1440</f>
        <v>46303.0763888889</v>
      </c>
      <c r="R463" s="59" t="n">
        <f aca="false">Q463+(IF(AND(INDEX(TZ_DSTS,MATCH(P463,TZ_STN,0))&lt;&gt;"",Q463&gt;=INDEX(TZ_DSTS,MATCH(P463,TZ_STN,0)),Q463&lt;INDEX(TZ_DSTE,MATCH(P463,TZ_STN,0))),INDEX(TZ_DST,MATCH(P463,TZ_STN,0)),INDEX(TZ_STD,MATCH(P463,TZ_STN,0))))/24</f>
        <v>46303.4097222222</v>
      </c>
      <c r="S463" s="60"/>
      <c r="T463" s="60"/>
      <c r="U463" s="60"/>
      <c r="V463" s="60"/>
      <c r="W463" s="61"/>
      <c r="X463" s="60"/>
      <c r="Y463" s="60"/>
      <c r="Z463" s="60"/>
      <c r="AA463" s="60"/>
      <c r="AB463" s="60"/>
      <c r="AC463" s="60"/>
      <c r="AD463" s="66"/>
      <c r="AE463" s="60"/>
      <c r="AF463" s="61" t="str">
        <f aca="false">IF(AND(ISNUMBER(X463),ISNUMBER(Y463)),Y463-X463,"")</f>
        <v/>
      </c>
      <c r="AG463" s="62" t="str">
        <f aca="false">IF(ISNUMBER(AD463),AD463-(IF(AND(INDEX(TZ_DSTS,MATCH(P463,TZ_STN,0))&lt;&gt;"",(AD463-INDEX(TZ_STD,MATCH(P463,TZ_STN,0))/24)&gt;=INDEX(TZ_DSTS,MATCH(P463,TZ_STN,0)),(AD463-INDEX(TZ_STD,MATCH(P463,TZ_STN,0))/24)&lt;INDEX(TZ_DSTE,MATCH(P463,TZ_STN,0))),INDEX(TZ_DST,MATCH(P463,TZ_STN,0)),INDEX(TZ_STD,MATCH(P463,TZ_STN,0))))/24,"")</f>
        <v/>
      </c>
      <c r="AH463" s="65" t="str">
        <f aca="false">IFERROR(IF(N463="N/A – rule",IF(OR(TRIM(U463)="",TRIM(U463)="N/A",TRIM(U463)="Not started"),"N/A – RULE","INVALID – this check does not apply to this aircraft: clear the status (or correct the fleet on Flights)"),IF(TRIM(U463)="N/A",IF(AT463=0,"INVALID – N/A not permitted for this check",IF(AND(TRIM(AB463)&lt;&gt;"",TRIM(AB463)&lt;&gt;"Closed"),"INVALID – corrective action still open",IF(AND(NOT(OR(LEN(AZ463)&lt;15,ISNUMBER(MATCH(AZ463,L_Placeholder,0)))),BK463=0,CG463&gt;=8,NOT(OR(LEN(AU463)&lt;2,ISNUMBER(MATCH(AU463,L_Placeholder,0)))),BR463&gt;=3,NOT(OR(LEN(AX463)&lt;2,ISNUMBER(MATCH(AX463,L_Placeholder,0)))),BS463&gt;=3,TRIM(AE463)&lt;&gt;TRIM(T463),AX463&lt;&gt;AU463,CE463=0),"N/A – JUSTIFIED","INVALID – N/A needs a real, settled reason (not 'not applicable' / 'as above' / TBC), a named PIC and a different named verifier"))),IF(OR(TRIM(U463)="Pass",TRIM(U463)="Pass after CA"),IF(NOT(ISNUMBER(AD463)),"INVALID – completion time missing",IF(OR(OR(LEN(AU463)&lt;2,ISNUMBER(MATCH(AU463,L_Placeholder,0))),BR463&lt;3),"INVALID – PIC missing or not a named person (a role such as QA / CSM is not a name)",IF(OR(LEN(AV463)&lt;2,ISNUMBER(MATCH(AV463,L_Placeholder,0))),"INVALID – result / assessment missing",IF(OR(OR(LEN(AW463)&lt;3,ISNUMBER(MATCH(AW463,L_Placeholder,0))),SUMPRODUCT(--ISNUMBER(SEARCH(" "&amp;L_EvidencePhrase&amp;" ",BD463)))&gt;0,BI463=1),"INVALID – evidence missing, placeholder or not yet on file",IF(ISNA(MATCH(TRIM(S463),L_EvidenceType,0)),"INVALID – choose the evidence type from the list (column S)",IF(BL463=0,"INVALID – evidence ID must be the record's own ID only (e.g. SF-2210, IMG_2231, 1045521); a link / file name needs type 'Link / file path'",IF(OR(OR(LEN(AX463)&lt;2,ISNUMBER(MATCH(AX463,L_Placeholder,0))),BS463&lt;3),"INVALID – verifier missing or not a named person (a role such as QA / CSM is not a name)",IF(OR(AX463=AU463,CE463=1,AND(LEN(AU463)&gt;=4,ISNUMBER(SEARCH(AU463,AX463))),AND(LEN(AX463)&gt;=4,ISNUMBER(SEARCH(AX463,AU463)))),"INVALID – verifier must be a different, named person (not the PIC or a role)",IF(BH463=1,"INVALID – result not yet available (awaiting / TBC)",IF(BG463=1,"INVALID – result describes a problem: record Fail, then Pass after CA (or reword if it is not a problem)",IF(BV463=1,"INVALID – wording says not on board: an on-board confirmation needs the item loaded",IF(AND(AQ463=1,OR(OR(LEN(AY463)&lt;3,ISNUMBER(MATCH(AY463,L_Placeholder,0))),BJ463=1,BQ463=0)),"INVALID – batch ID missing, placeholder or not an ID (e.g. PASB-261008-BC-017)",IF(AND(AR463=1,OR(NOT(ISNUMBER(X463)),NOT(ISNUMBER(Y463)))),"INVALID – expected/actual qty missing",IF(AND(AR463=1,OR(X463&lt;=0,Y463&lt;0)),"INVALID – expected qty must be above 0 and actual not negative",IF(BB463&lt;&gt;"",BB463,IF(AND(AS463=1,Documents!$J$18&lt;&gt;"ON FILE"),"INVALID – GLD not on file (Documents sheet)",IF(AND(AS463=2,Documents!$O$18&lt;&gt;"ON FILE"),"INVALID – menu checklist not on file (Documents sheet)",IF(AND(AS463=3,NOT(ISNUMBER(Flights!$AX$18))),"INVALID – enter carrying flight KUL departure (Flights AX)",IF(AND(AS463=3,OR(Flights!$AZ$18&gt;Flights!$AA$18,Flights!$AX$18&lt;Flights!$AA$18-3)),"INVALID – carrying flight (Flights AX) cannot arrive before this leg's STD, or is over 3 days early",IF(AG463&gt;AsOfUTC,"INVALID – completion time is in the future",IF(AND(ISNUMBER(BY463),AG463&lt;BY463),IF(H463="Physical uplift","INVALID – before uplift window (cannot confirm loading)","INVALID – before valid window"),IF(AG463&gt;Flights!$AA$18,"INVALID – completed after departure (cannot establish readiness)",IF(AND(H463="Preparation",AG463&gt;=IF(ISNUMBER(Flights!$BA$18),MIN(Flights!$BA$18,Flights!$AA$18),Flights!$AA$18)),"INVALID – completed after loading / departure (cannot establish readiness)",IF(AND(H463="Physical uplift",AG463&gt;Q463),"INVALID – recorded after the loading flight departed",IF(AG463&gt;Q463,"COMPLETE – LATE","COMPLETE"))))))))))))))))))))))))),IF(TRIM(U463)="Fail","FAIL – DISCREPANCY",IF(AND(TRIM(U463)&lt;&gt;"",TRIM(U463)&lt;&gt;"Not started",TRIM(U463)&lt;&gt;"In progress"),"INVALID – unrecognised status (use the list)",IF(AsOfUTC&gt;Q463,"OVERDUE",IF(N463="Clarification required","OPEN – CLARIFICATION","OPEN"))))))),"INVALID – error value in an input cell")</f>
        <v>OPEN</v>
      </c>
      <c r="AI463" s="61" t="n">
        <f aca="false">IF(OR(AH463="N/A – RULE",AH463="N/A – JUSTIFIED"),0,1)</f>
        <v>1</v>
      </c>
      <c r="AJ463" s="61" t="n">
        <f aca="false">IF(LEFT(AH463,8)="COMPLETE",1,0)</f>
        <v>0</v>
      </c>
      <c r="AK463" s="61" t="n">
        <f aca="false">IF(AND(AI463=1,AJ463=0,AsOfUTC&gt;Q463),1,0)</f>
        <v>0</v>
      </c>
      <c r="AL463" s="61" t="n">
        <f aca="false">IFERROR(IF(AND(AI463=1,OR(TRIM(U463)="Fail",AND(TRIM(AB463)&lt;&gt;"",TRIM(AB463)&lt;&gt;"Closed"),AND(ISNUMBER(AF463),AF463&lt;&gt;0,TRIM(U463)&lt;&gt;"Pass after CA"))),1,0),1)</f>
        <v>0</v>
      </c>
      <c r="AM463" s="61" t="n">
        <f aca="false">IF(LEFT(AH463,7)="INVALID",1,0)</f>
        <v>0</v>
      </c>
      <c r="AN463" s="61" t="n">
        <f aca="false">IF(AND(N463="Clarification required",AI463=1,AJ463=0),1,0)</f>
        <v>0</v>
      </c>
      <c r="AO463" s="61" t="str">
        <f aca="false">IF(AK463=1,SUM(AK$5:AK463),"")</f>
        <v/>
      </c>
      <c r="AP463" s="61" t="str">
        <f aca="false">IF(AL463=1,SUM(AL$5:AL463),"")</f>
        <v/>
      </c>
      <c r="AQ463" s="61" t="n">
        <v>0</v>
      </c>
      <c r="AR463" s="61" t="n">
        <v>0</v>
      </c>
      <c r="AS463" s="61" t="n">
        <v>2</v>
      </c>
      <c r="AT463" s="61" t="n">
        <v>0</v>
      </c>
      <c r="AU463" s="61" t="str">
        <f aca="false">SUBSTITUTE(SUBSTITUTE(SUBSTITUTE(SUBSTITUTE(SUBSTITUTE(SUBSTITUTE(SUBSTITUTE(SUBSTITUTE(SUBSTITUTE(SUBSTITUTE(SUBSTITUTE(SUBSTITUTE(SUBSTITUTE(SUBSTITUTE(SUBSTITUTE(SUBSTITUTE(LOWER(T463&amp;""),CHAR(10),""),CHAR(13),""),CHAR(9),""),CHAR(160),"")," ",""),".",""),"-",""),"/",""),"?",""),"_",""),",",""),"[",""),"]",""),"(",""),")",""),"*","")</f>
        <v/>
      </c>
      <c r="AV463" s="61" t="str">
        <f aca="false">SUBSTITUTE(SUBSTITUTE(SUBSTITUTE(SUBSTITUTE(SUBSTITUTE(SUBSTITUTE(SUBSTITUTE(SUBSTITUTE(SUBSTITUTE(SUBSTITUTE(SUBSTITUTE(SUBSTITUTE(SUBSTITUTE(SUBSTITUTE(SUBSTITUTE(SUBSTITUTE(LOWER(V463&amp;""),CHAR(10),""),CHAR(13),""),CHAR(9),""),CHAR(160),"")," ",""),".",""),"-",""),"/",""),"?",""),"_",""),",",""),"[",""),"]",""),"(",""),")",""),"*","")</f>
        <v/>
      </c>
      <c r="AW463" s="61" t="str">
        <f aca="false">SUBSTITUTE(SUBSTITUTE(SUBSTITUTE(SUBSTITUTE(SUBSTITUTE(SUBSTITUTE(SUBSTITUTE(SUBSTITUTE(SUBSTITUTE(SUBSTITUTE(SUBSTITUTE(SUBSTITUTE(SUBSTITUTE(SUBSTITUTE(SUBSTITUTE(SUBSTITUTE(LOWER(Z463&amp;""),CHAR(10),""),CHAR(13),""),CHAR(9),""),CHAR(160),"")," ",""),".",""),"-",""),"/",""),"?",""),"_",""),",",""),"[",""),"]",""),"(",""),")",""),"*","")</f>
        <v/>
      </c>
      <c r="AX463" s="61" t="str">
        <f aca="false">SUBSTITUTE(SUBSTITUTE(SUBSTITUTE(SUBSTITUTE(SUBSTITUTE(SUBSTITUTE(SUBSTITUTE(SUBSTITUTE(SUBSTITUTE(SUBSTITUTE(SUBSTITUTE(SUBSTITUTE(SUBSTITUTE(SUBSTITUTE(SUBSTITUTE(SUBSTITUTE(LOWER(AE463&amp;""),CHAR(10),""),CHAR(13),""),CHAR(9),""),CHAR(160),"")," ",""),".",""),"-",""),"/",""),"?",""),"_",""),",",""),"[",""),"]",""),"(",""),")",""),"*","")</f>
        <v/>
      </c>
      <c r="AY463" s="61" t="str">
        <f aca="false">SUBSTITUTE(SUBSTITUTE(SUBSTITUTE(SUBSTITUTE(SUBSTITUTE(SUBSTITUTE(SUBSTITUTE(SUBSTITUTE(SUBSTITUTE(SUBSTITUTE(SUBSTITUTE(SUBSTITUTE(SUBSTITUTE(SUBSTITUTE(SUBSTITUTE(SUBSTITUTE(LOWER(W463&amp;""),CHAR(10),""),CHAR(13),""),CHAR(9),""),CHAR(160),"")," ",""),".",""),"-",""),"/",""),"?",""),"_",""),",",""),"[",""),"]",""),"(",""),")",""),"*","")</f>
        <v/>
      </c>
      <c r="AZ463" s="61" t="str">
        <f aca="false">SUBSTITUTE(SUBSTITUTE(SUBSTITUTE(SUBSTITUTE(SUBSTITUTE(SUBSTITUTE(SUBSTITUTE(SUBSTITUTE(SUBSTITUTE(SUBSTITUTE(SUBSTITUTE(SUBSTITUTE(SUBSTITUTE(SUBSTITUTE(SUBSTITUTE(SUBSTITUTE(LOWER(AC463&amp;""),CHAR(10),""),CHAR(13),""),CHAR(9),""),CHAR(160),"")," ",""),".",""),"-",""),"/",""),"?",""),"_",""),",",""),"[",""),"]",""),"(",""),")",""),"*","")</f>
        <v/>
      </c>
      <c r="BA463" s="61" t="str">
        <f aca="false">SUBSTITUTE(SUBSTITUTE(SUBSTITUTE(SUBSTITUTE(SUBSTITUTE(SUBSTITUTE(SUBSTITUTE(SUBSTITUTE(SUBSTITUTE(SUBSTITUTE(SUBSTITUTE(SUBSTITUTE(SUBSTITUTE(SUBSTITUTE(SUBSTITUTE(SUBSTITUTE(LOWER(AA463&amp;""),CHAR(10),""),CHAR(13),""),CHAR(9),""),CHAR(160),"")," ",""),".",""),"-",""),"/",""),"?",""),"_",""),",",""),"[",""),"]",""),"(",""),")",""),"*","")</f>
        <v/>
      </c>
      <c r="BB463" s="61" t="str">
        <f aca="false">IF(AND(TRIM(U463)="Pass",ISNUMBER(AF463)),IF(AF463&lt;&gt;0,"INVALID – qty variance: use Fail or Pass after CA",""),"")&amp;IF(AND(TRIM(U463)="Pass after CA",ISNUMBER(AF463)),IF(AF463&lt;&gt;0,"INVALID – after the corrective action the actual qty must equal expected (update Actual)",""),"")&amp;IF(AND(TRIM(U463)="Pass",TRIM(AB463)&lt;&gt;"",TRIM(AB463)&lt;&gt;"Closed"),"INVALID – corrective action not closed: use Fail, then Pass after CA","")&amp;IF(AND(LEN(BA463)&gt;=2,ISNA(MATCH(LEFT(BA463,255),L_Placeholder,0)),TRIM(AB463)=""),"INVALID – CA status missing for the recorded corrective action","")&amp;IF(AND(TRIM(U463)="Pass after CA",OR(OR(LEN(BA463)&lt;5,ISNUMBER(MATCH(BA463,L_Placeholder,0))),TRIM(AB463)&lt;&gt;"Closed")),"INVALID – corrective action not recorded/closed","")</f>
        <v/>
      </c>
      <c r="BC463" s="61" t="str">
        <f aca="false">" "&amp;TRIM(SUBSTITUTE(SUBSTITUTE(SUBSTITUTE(SUBSTITUTE(SUBSTITUTE(SUBSTITUTE(SUBSTITUTE(SUBSTITUTE(SUBSTITUTE(SUBSTITUTE(SUBSTITUTE(SUBSTITUTE(SUBSTITUTE(SUBSTITUTE(SUBSTITUTE(SUBSTITUTE(SUBSTITUTE(SUBSTITUTE(SUBSTITUTE(SUBSTITUTE(SUBSTITUTE(SUBSTITUTE(SUBSTITUTE(SUBSTITUTE(LOWER(V463&amp;""),CHAR(10)," "),CHAR(13)," "),CHAR(9)," "),CHAR(160)," "),"."," "),","," "),"-"," "),"/"," "),"("," "),")"," "),":"," "),";"," "),"_"," "),"–"," "),"?"," "),"!"," "),"*"," "),"["," "),"]"," "),"'"," "),"#"," "),"+"," "),"&amp;"," "),"\"," "))&amp;" "</f>
        <v>  </v>
      </c>
      <c r="BD463" s="61" t="str">
        <f aca="false">" "&amp;TRIM(SUBSTITUTE(SUBSTITUTE(SUBSTITUTE(SUBSTITUTE(SUBSTITUTE(SUBSTITUTE(SUBSTITUTE(SUBSTITUTE(SUBSTITUTE(SUBSTITUTE(SUBSTITUTE(SUBSTITUTE(SUBSTITUTE(SUBSTITUTE(SUBSTITUTE(SUBSTITUTE(SUBSTITUTE(SUBSTITUTE(SUBSTITUTE(SUBSTITUTE(SUBSTITUTE(SUBSTITUTE(SUBSTITUTE(SUBSTITUTE(LOWER(Z463&amp;""),CHAR(10)," "),CHAR(13)," "),CHAR(9)," "),CHAR(160)," "),"."," "),","," "),"-"," "),"/"," "),"("," "),")"," "),":"," "),";"," "),"_"," "),"–"," "),"?"," "),"!"," "),"*"," "),"["," "),"]"," "),"'"," "),"#"," "),"+"," "),"&amp;"," "),"\"," "))&amp;" "</f>
        <v>  </v>
      </c>
      <c r="BE463" s="61" t="str">
        <f aca="false">" "&amp;TRIM(SUBSTITUTE(SUBSTITUTE(SUBSTITUTE(SUBSTITUTE(SUBSTITUTE(SUBSTITUTE(SUBSTITUTE(SUBSTITUTE(SUBSTITUTE(SUBSTITUTE(SUBSTITUTE(SUBSTITUTE(SUBSTITUTE(SUBSTITUTE(SUBSTITUTE(SUBSTITUTE(SUBSTITUTE(SUBSTITUTE(SUBSTITUTE(SUBSTITUTE(SUBSTITUTE(SUBSTITUTE(SUBSTITUTE(SUBSTITUTE(LOWER(W463&amp;""),CHAR(10)," "),CHAR(13)," "),CHAR(9)," "),CHAR(160)," "),"."," "),","," "),"-"," "),"/"," "),"("," "),")"," "),":"," "),";"," "),"_"," "),"–"," "),"?"," "),"!"," "),"*"," "),"["," "),"]"," "),"'"," "),"#"," "),"+"," "),"&amp;"," "),"\"," "))&amp;" "</f>
        <v>  </v>
      </c>
      <c r="BF463" s="61" t="str">
        <f aca="false">" "&amp;TRIM(SUBSTITUTE(SUBSTITUTE(SUBSTITUTE(SUBSTITUTE(SUBSTITUTE(SUBSTITUTE(SUBSTITUTE(SUBSTITUTE(SUBSTITUTE(SUBSTITUTE(SUBSTITUTE(SUBSTITUTE(SUBSTITUTE(SUBSTITUTE(SUBSTITUTE(SUBSTITUTE(SUBSTITUTE(SUBSTITUTE(SUBSTITUTE(SUBSTITUTE(SUBSTITUTE(SUBSTITUTE(SUBSTITUTE(SUBSTITUTE(LOWER(AC463&amp;""),CHAR(10)," "),CHAR(13)," "),CHAR(9)," "),CHAR(160)," "),"."," "),","," "),"-"," "),"/"," "),"("," "),")"," "),":"," "),";"," "),"_"," "),"–"," "),"?"," "),"!"," "),"*"," "),"["," "),"]"," "),"'"," "),"#"," "),"+"," "),"&amp;"," "),"\"," "))&amp;" "</f>
        <v>  </v>
      </c>
      <c r="BG463" s="61" t="n">
        <f aca="false">IFERROR(IF(AND(TRIM(U463)="Pass",SUMPRODUCT((LEN(BC463)-LEN(SUBSTITUTE(BC463," "&amp;L_ResultBad&amp;" "," ")))/(LEN(L_ResultBad)+1))&gt;SUMPRODUCT((LEN(BC463)-LEN(SUBSTITUTE(BC463," "&amp;L_NegPhrase&amp;" "," ")))/(LEN(L_NegPhrase)+1))),1,0),0)</f>
        <v>0</v>
      </c>
      <c r="BH463" s="61" t="n">
        <f aca="false">IFERROR(IF(SUMPRODUCT((LEN(BC463)-LEN(SUBSTITUTE(BC463," "&amp;L_Pending&amp;" "," ")))/(LEN(L_Pending)+1))&gt;SUMPRODUCT((LEN(BC463)-LEN(SUBSTITUTE(BC463," "&amp;L_PendNeg&amp;" "," ")))/(LEN(L_PendNeg)+1))+SUMPRODUCT((LEN(BC463)-LEN(SUBSTITUTE(BC463," "&amp;L_PendPrep&amp;" "," ")))/(LEN(L_PendPrep)+1)),1,0),1)</f>
        <v>0</v>
      </c>
      <c r="BI463" s="61" t="n">
        <f aca="false">IFERROR(IF(SUMPRODUCT((LEN(BD463)-LEN(SUBSTITUTE(BD463," "&amp;L_PendStrict&amp;" "," ")))/(LEN(L_PendStrict)+1))&gt;SUMPRODUCT((LEN(BD463)-LEN(SUBSTITUTE(BD463," "&amp;L_PendNeg&amp;" "," ")))/(LEN(L_PendNeg)+1)),1,0),1)</f>
        <v>0</v>
      </c>
      <c r="BJ463" s="61" t="n">
        <f aca="false">IFERROR(IF(SUMPRODUCT((LEN(BE463)-LEN(SUBSTITUTE(BE463," "&amp;L_Pending&amp;" "," ")))/(LEN(L_Pending)+1))&gt;SUMPRODUCT((LEN(BE463)-LEN(SUBSTITUTE(BE463," "&amp;L_PendNeg&amp;" "," ")))/(LEN(L_PendNeg)+1))+SUMPRODUCT((LEN(BE463)-LEN(SUBSTITUTE(BE463," "&amp;L_PendPrep&amp;" "," ")))/(LEN(L_PendPrep)+1)),1,0),1)</f>
        <v>0</v>
      </c>
      <c r="BK463" s="61" t="n">
        <f aca="false">IFERROR(IF(SUMPRODUCT((LEN(BF463)-LEN(SUBSTITUTE(BF463," "&amp;L_PendStrict&amp;" "," ")))/(LEN(L_PendStrict)+1))&gt;SUMPRODUCT((LEN(BF463)-LEN(SUBSTITUTE(BF463," "&amp;L_PendNeg&amp;" "," ")))/(LEN(L_PendNeg)+1)),1,0),1)</f>
        <v>0</v>
      </c>
      <c r="BL463" s="61" t="n">
        <f aca="false">IF(ISNA(MATCH(TRIM(S463),L_EvidenceType,0)),0,BZ463)</f>
        <v>0</v>
      </c>
      <c r="BM463" s="61" t="str">
        <f aca="false">SUBSTITUTE(SUBSTITUTE(SUBSTITUTE(SUBSTITUTE(SUBSTITUTE(SUBSTITUTE(SUBSTITUTE(SUBSTITUTE(SUBSTITUTE(LOWER(Z463&amp;""),"1","0"),"2","0"),"3","0"),"4","0"),"5","0"),"6","0"),"7","0"),"8","0"),"9","0")</f>
        <v/>
      </c>
      <c r="BN463" s="61" t="str">
        <f aca="false">SUBSTITUTE(SUBSTITUTE(SUBSTITUTE(SUBSTITUTE(SUBSTITUTE(SUBSTITUTE(SUBSTITUTE(SUBSTITUTE(SUBSTITUTE(SUBSTITUTE(SUBSTITUTE(SUBSTITUTE(SUBSTITUTE(SUBSTITUTE(SUBSTITUTE(SUBSTITUTE(SUBSTITUTE(SUBSTITUTE(SUBSTITUTE(SUBSTITUTE(SUBSTITUTE(SUBSTITUTE(SUBSTITUTE(SUBSTITUTE(SUBSTITUTE(BM463,"b","a"),"c","a"),"d","a"),"e","a"),"f","a"),"g","a"),"h","a"),"i","a"),"j","a"),"k","a"),"l","a"),"m","a"),"n","a"),"o","a"),"p","a"),"q","a"),"r","a"),"s","a"),"t","a"),"u","a"),"v","a"),"w","a"),"x","a"),"y","a"),"z","a")</f>
        <v/>
      </c>
      <c r="BO463" s="61" t="str">
        <f aca="false">SUBSTITUTE(SUBSTITUTE(SUBSTITUTE(SUBSTITUTE(SUBSTITUTE(SUBSTITUTE(SUBSTITUTE(SUBSTITUTE(SUBSTITUTE(LOWER(W463&amp;""),"1","0"),"2","0"),"3","0"),"4","0"),"5","0"),"6","0"),"7","0"),"8","0"),"9","0")</f>
        <v/>
      </c>
      <c r="BP463" s="61" t="str">
        <f aca="false">SUBSTITUTE(SUBSTITUTE(SUBSTITUTE(SUBSTITUTE(SUBSTITUTE(SUBSTITUTE(SUBSTITUTE(SUBSTITUTE(SUBSTITUTE(SUBSTITUTE(SUBSTITUTE(SUBSTITUTE(SUBSTITUTE(SUBSTITUTE(SUBSTITUTE(SUBSTITUTE(SUBSTITUTE(SUBSTITUTE(SUBSTITUTE(SUBSTITUTE(SUBSTITUTE(SUBSTITUTE(SUBSTITUTE(SUBSTITUTE(SUBSTITUTE(BO463,"b","a"),"c","a"),"d","a"),"e","a"),"f","a"),"g","a"),"h","a"),"i","a"),"j","a"),"k","a"),"l","a"),"m","a"),"n","a"),"o","a"),"p","a"),"q","a"),"r","a"),"s","a"),"t","a"),"u","a"),"v","a"),"w","a"),"x","a"),"y","a"),"z","a")</f>
        <v/>
      </c>
      <c r="BQ463" s="61" t="n">
        <f aca="false">IFERROR(IF(AND(ISERROR(SEARCH(" mh"," "&amp;LOWER(W463))),ISNA(MATCH(LEFT(TRIM(BP463),255),{"0000a","000a","00a","0000aa","000aa","00aa","0aa","0000aaa","000aaa","00a00","0a00","0000-0000","00:00","a00","a0","00.00.0000","00/00/0000","00-00-0000","0000-00-00","0000/00/00","0000.00.00","00.00.00","00/00/00","00-00-00","0.00.0000","0/00/0000","0-00-0000"},0)),ISNA(MATCH(LEFT(TRIM(CA463),255),{"0000a","000a","00a","0000aa","000aa","00aa","0aa","0000aaa","000aaa","00a00","0a00","0000-0000","00:00","a00","a0","00.00.0000","00/00/0000","00-00-0000","0000-00-00","0000/00/00","0000.00.00","00.00.00","00/00/00","00-00-00","0.00.0000","0/00/0000","0-00-0000"},0)),LEN(CB463)&gt;=3,NOT(OR(SUBSTITUTE(CB463,"0","")="",AND(LEN(CB463)&gt;=4,CB463=REPT(LEFT(CB463),LEN(CB463))),ISNUMBER(MATCH(CB463,{"123","1234","12345","123456","1234567","12345678","0123","01234","012345","98765","987654","54321"},0)),AND(LEN(CB463)=8,LEFT(CB463,3)="202"))),OR(AND((LEN(CA463)-LEN(SUBSTITUTE(CA463,"a","")))&gt;=1,SUMPRODUCT(--ISNUMBER(SEARCH({"a0","a-0","a_0","a/0","a.0","a#0","0a","0-a","0_a","0/a"},BP463)))&gt;0),ISNUMBER(SEARCH("000000",BP463)))),1,0),0)</f>
        <v>0</v>
      </c>
      <c r="BR463" s="61" t="n">
        <f aca="false">IFERROR(LEN(SUBSTITUTE(CC463," ",""))-SUMPRODUCT((LEN(CC463)-LEN(SUBSTITUTE(CC463," "&amp;L_Role&amp;" "," ")))/(LEN(L_Role)+1)*LEN(L_Role)),0)</f>
        <v>0</v>
      </c>
      <c r="BS463" s="61" t="n">
        <f aca="false">IFERROR(LEN(SUBSTITUTE(CD463," ",""))-SUMPRODUCT((LEN(CD463)-LEN(SUBSTITUTE(CD463," "&amp;L_Role&amp;" "," ")))/(LEN(L_Role)+1)*LEN(L_Role)),0)</f>
        <v>0</v>
      </c>
      <c r="BT4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463,"revision",""),"version",""),"jan",""),"feb",""),"mar",""),"apr",""),"may",""),"jun",""),"jul",""),"aug",""),"sep",""),"oct",""),"nov",""),"dec",""),"utc",""),"gmt",""),"myt",""),"bst",""),"rev",""),"ver",""),"b","a"),"c","a"),"d","a"),"e","a"),"f","a"),"g","a"),"h","a"),"i","a"),"j","a"),"k","a"),"l","a"),"m","a"),"n","a"),"o","a"),"p","a"),"q","a"),"r","a"),"s","a"),"t","a"),"u","a"),"v","a"),"w","a"),"x","a"),"y","a"),"z","a")</f>
        <v/>
      </c>
      <c r="BU463" s="61" t="str">
        <f aca="false">SUBSTITUTE(SUBSTITUTE(SUBSTITUTE(SUBSTITUTE(SUBSTITUTE(SUBSTITUTE(SUBSTITUTE(SUBSTITUTE(SUBSTITUTE(SUBSTITUTE(LEFT(BM463,FIND("0",BM463&amp;"0")-1),"-",""),"_",""),"/",""),".",""),"#",""),"\\",""),":","")," ",""),"(",""),")","")</f>
        <v/>
      </c>
      <c r="BV463" s="61" t="n">
        <f aca="false">0</f>
        <v>0</v>
      </c>
      <c r="BW4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463&amp;""),"a",""),"b",""),"c",""),"d",""),"e",""),"f",""),"g",""),"h",""),"i",""),"j",""),"k",""),"l",""),"m",""),"n",""),"o",""),"p",""),"q",""),"r",""),"s",""),"t",""),"u",""),"v",""),"w",""),"x",""),"y",""),"z",""),"-",""),"_",""),"/",""),".",""),"#",""),"\\",""),":","")," ",""),"(",""),")","")</f>
        <v/>
      </c>
      <c r="BX463" s="61" t="str">
        <f aca="false">SUBSTITUTE(SUBSTITUTE(SUBSTITUTE(SUBSTITUTE(SUBSTITUTE(SUBSTITUTE(SUBSTITUTE(SUBSTITUTE(SUBSTITUTE(SUBSTITUTE(SUBSTITUTE(BM463,"0",""),"-",""),"_",""),"/",""),".",""),"#",""),"\\",""),":","")," ",""),"(",""),")","")</f>
        <v/>
      </c>
      <c r="BY463" s="62" t="n">
        <f aca="false">Q463-T7EarlyD*24/24</f>
        <v>46289.0763888889</v>
      </c>
      <c r="BZ463" s="61" t="n">
        <f aca="false">IFERROR(IF(IF(TRIM(S463)="Link / file path",AND(LEN(TRIM(Z463))&gt;=5,SUMPRODUCT(--ISNUMBER(SEARCH({"http","www.","\\",":\",".pdf",".jpg",".jpeg",".png",".heic",".xls",".doc",".msg",".eml",".ppt",".txt",".zip"},Z463)))&gt;0),AND(ISERROR(FIND(" ",TRIM(Z463))),NOT(OR(SUMPRODUCT(--ISNUMBER(FIND({",",";","&amp;","+"},Z463)))&gt;0,SUMPRODUCT(--ISNUMBER(SEARCH({"0/aa","0\\aa"},BN463)))&gt;0)),NOT(SUMPRODUCT(--ISNUMBER(SEARCH({"http","www.","\\",":\",".pdf",".jpg",".jpeg",".png",".heic",".xls",".doc",".msg",".eml",".ppt",".txt",".zip"},Z463)))&gt;0),NOT(LOWER(TRIM(Z463))=LOWER(Flights!$F$18)),ISNA(MATCH(BU463,{"mh","rev","revision","ver","version","v","r","a","b","seat","tray","row","gate","bay","stand","page","pg","item","line","no","cart","galley","flight","flt","table","box","bag","oven","etd","eta","std","sta","atd","ata","qty","pax","x","time","tel","ph","mob","day","wk","week","utc","gmt","myt","lt"},0)),NOT(OR(ISNUMBER(MATCH(LEFT(BN463,255),{"0000a","000a","00a","0000aa","000aa","00aa","0aa","0000aaa","000aaa","00a00","0a00","0000-0000","00:00","a00","a0","00.00.0000","00/00/0000","00-00-0000","0000-00-00","0000/00/00","0000.00.00","00.00.00","00/00/00","00-00-00","0.00.0000","0/00/0000","0-00-0000"},0)),ISNUMBER(MATCH(LEFT(BT463,255),{"0000a","000a","00a","0000aa","000aa","00aa","0aa","0000aaa","000aaa","00a00","0a00","0000-0000","00:00","a00","a0","00.00.0000","00/00/0000","00-00-0000","0000-00-00","0000/00/00","0000.00.00","00.00.00","00/00/00","00-00-00","0.00.0000","0/00/0000","0-00-0000"},0)))),NOT(OR(AND(BW463&lt;&gt;"",SUBSTITUTE(BW463,"0","")=""),AND(LEN(BW463)&gt;=4,BW463=REPT(LEFT(BW463),LEN(BW463))),ISNUMBER(MATCH(BW463,{"123","1234","12345","123456","1234567","12345678","0123","01234","012345","98765","987654","54321"},0)),ISNUMBER(MATCH(BX463,{"x","xx","xxx","xxxx","xxxxx","abc","abcd","nil","na","nan","test","tbc","tba","tbd","dummy","sample","example","eg","zz","zzz","none","null","xyz","qwe","asd","id","ref"},0)),AND(LEN(BW463)=8,BX463="",OR(LEFT(BW463,3)="202",ISNUMBER(MATCH(RIGHT(BW463,4),{"2025","2026","2027"},0)))))),OR(AND((LEN(BT463)-LEN(SUBSTITUTE(BT463,"a","")))&gt;=1,(LEN(BN463)-LEN(SUBSTITUTE(BN463,"0","")))&gt;=2,SUMPRODUCT(--ISNUMBER(SEARCH({"a0","a-0","a_0","a/0","a.0","a#0","0a","0-a","0_a","0/a"},BN463)))&gt;0),AND((LEN(BN463)-LEN(SUBSTITUTE(BN463,"a","")))=0,(LEN(BN463)-LEN(SUBSTITUTE(BN463,"0","")))&gt;=5)))),1,0),0)</f>
        <v>0</v>
      </c>
      <c r="CA4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463,"revision",""),"version",""),"jan",""),"feb",""),"mar",""),"apr",""),"may",""),"jun",""),"jul",""),"aug",""),"sep",""),"oct",""),"nov",""),"dec",""),"utc",""),"gmt",""),"myt",""),"bst",""),"rev",""),"ver",""),"b","a"),"c","a"),"d","a"),"e","a"),"f","a"),"g","a"),"h","a"),"i","a"),"j","a"),"k","a"),"l","a"),"m","a"),"n","a"),"o","a"),"p","a"),"q","a"),"r","a"),"s","a"),"t","a"),"u","a"),"v","a"),"w","a"),"x","a"),"y","a"),"z","a")</f>
        <v/>
      </c>
      <c r="CB4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463&amp;""),"a",""),"b",""),"c",""),"d",""),"e",""),"f",""),"g",""),"h",""),"i",""),"j",""),"k",""),"l",""),"m",""),"n",""),"o",""),"p",""),"q",""),"r",""),"s",""),"t",""),"u",""),"v",""),"w",""),"x",""),"y",""),"z",""),"-",""),"_",""),"/",""),".",""),"#",""),"\\",""),":","")," ",""),"(",""),")","")</f>
        <v/>
      </c>
      <c r="CC463" s="0" t="str">
        <f aca="false">" "&amp;TRIM(SUBSTITUTE(SUBSTITUTE(SUBSTITUTE(SUBSTITUTE(SUBSTITUTE(SUBSTITUTE(SUBSTITUTE(SUBSTITUTE(SUBSTITUTE(SUBSTITUTE(SUBSTITUTE(SUBSTITUTE(SUBSTITUTE(SUBSTITUTE(SUBSTITUTE(SUBSTITUTE(SUBSTITUTE(SUBSTITUTE(SUBSTITUTE(SUBSTITUTE(SUBSTITUTE(SUBSTITUTE(SUBSTITUTE(SUBSTITUTE(LOWER(T463&amp;""),CHAR(10)," "),CHAR(13)," "),CHAR(9)," "),CHAR(160)," "),"."," "),","," "),"-"," "),"/"," "),"("," "),")"," "),":"," "),";"," "),"_"," "),"–"," "),"?"," "),"!"," "),"*"," "),"["," "),"]"," "),"'"," "),"#"," "),"+"," "),"&amp;"," "),"\"," "))&amp;" "</f>
        <v>  </v>
      </c>
      <c r="CD463" s="0" t="str">
        <f aca="false">" "&amp;TRIM(SUBSTITUTE(SUBSTITUTE(SUBSTITUTE(SUBSTITUTE(SUBSTITUTE(SUBSTITUTE(SUBSTITUTE(SUBSTITUTE(SUBSTITUTE(SUBSTITUTE(SUBSTITUTE(SUBSTITUTE(SUBSTITUTE(SUBSTITUTE(SUBSTITUTE(SUBSTITUTE(SUBSTITUTE(SUBSTITUTE(SUBSTITUTE(SUBSTITUTE(SUBSTITUTE(SUBSTITUTE(SUBSTITUTE(SUBSTITUTE(LOWER(AE463&amp;""),CHAR(10)," "),CHAR(13)," "),CHAR(9)," "),CHAR(160)," "),"."," "),","," "),"-"," "),"/"," "),"("," "),")"," "),":"," "),";"," "),"_"," "),"–"," "),"?"," "),"!"," "),"*"," "),"["," "),"]"," "),"'"," "),"#"," "),"+"," "),"&amp;"," "),"\"," "))&amp;" "</f>
        <v>  </v>
      </c>
      <c r="CE463" s="68" t="n">
        <f aca="false">IFERROR(IF(AND(LEN(AU463)&gt;0,LEN(AU463)=LEN(AX463),OR(TRIM(MID(SUBSTITUTE(TRIM(CC463)," ",REPT(" ",60)),1,60))="",ISNUMBER(SEARCH(" "&amp;TRIM(MID(SUBSTITUTE(TRIM(CC463)," ",REPT(" ",60)),1,60))&amp;" ",CD463))),OR(TRIM(MID(SUBSTITUTE(TRIM(CC463)," ",REPT(" ",60)),61,60))="",ISNUMBER(SEARCH(" "&amp;TRIM(MID(SUBSTITUTE(TRIM(CC463)," ",REPT(" ",60)),61,60))&amp;" ",CD463))),OR(TRIM(MID(SUBSTITUTE(TRIM(CC463)," ",REPT(" ",60)),121,60))="",ISNUMBER(SEARCH(" "&amp;TRIM(MID(SUBSTITUTE(TRIM(CC463)," ",REPT(" ",60)),121,60))&amp;" ",CD463)))),1,0),0)</f>
        <v>0</v>
      </c>
      <c r="CG463" s="68" t="n">
        <f aca="false">IFERROR(LEN(SUBSTITUTE(BF463," ",""))-SUMPRODUCT((LEN(BF463)-LEN(SUBSTITUTE(BF463," "&amp;L_NAFiller&amp;" "," ")))/(LEN(L_NAFiller)+1)*LEN(L_NAFiller)),0)</f>
        <v>0</v>
      </c>
    </row>
    <row r="464" customFormat="false" ht="39.75" hidden="false" customHeight="true" outlineLevel="0" collapsed="false">
      <c r="A464" s="57" t="s">
        <v>1111</v>
      </c>
      <c r="B464" s="57" t="s">
        <v>276</v>
      </c>
      <c r="C464" s="57" t="str">
        <f aca="false">Flights!$F$18</f>
        <v>MH0004</v>
      </c>
      <c r="D464" s="58" t="n">
        <f aca="false">Flights!$D$18</f>
        <v>46310</v>
      </c>
      <c r="E464" s="57" t="str">
        <f aca="false">Flights!$G$18&amp;"-"&amp;Flights!$H$18</f>
        <v>KUL-LHR</v>
      </c>
      <c r="F464" s="57" t="str">
        <f aca="false">Flights!$K$18</f>
        <v>EY</v>
      </c>
      <c r="G464" s="57" t="s">
        <v>81</v>
      </c>
      <c r="H464" s="57" t="s">
        <v>378</v>
      </c>
      <c r="I464" s="57" t="s">
        <v>411</v>
      </c>
      <c r="J464" s="57" t="s">
        <v>412</v>
      </c>
      <c r="K464" s="67" t="s">
        <v>716</v>
      </c>
      <c r="L464" s="67" t="s">
        <v>414</v>
      </c>
      <c r="M464" s="67"/>
      <c r="N464" s="67" t="s">
        <v>383</v>
      </c>
      <c r="O464" s="67"/>
      <c r="P464" s="57" t="s">
        <v>187</v>
      </c>
      <c r="Q464" s="59" t="n">
        <f aca="false">ROUND((Flights!$AC$18)*1440,0)/1440</f>
        <v>46303.0763888889</v>
      </c>
      <c r="R464" s="59" t="n">
        <f aca="false">Q464+(IF(AND(INDEX(TZ_DSTS,MATCH(P464,TZ_STN,0))&lt;&gt;"",Q464&gt;=INDEX(TZ_DSTS,MATCH(P464,TZ_STN,0)),Q464&lt;INDEX(TZ_DSTE,MATCH(P464,TZ_STN,0))),INDEX(TZ_DST,MATCH(P464,TZ_STN,0)),INDEX(TZ_STD,MATCH(P464,TZ_STN,0))))/24</f>
        <v>46303.4097222222</v>
      </c>
      <c r="S464" s="60"/>
      <c r="T464" s="60"/>
      <c r="U464" s="60"/>
      <c r="V464" s="60"/>
      <c r="W464" s="61"/>
      <c r="X464" s="60"/>
      <c r="Y464" s="60"/>
      <c r="Z464" s="60"/>
      <c r="AA464" s="60"/>
      <c r="AB464" s="60"/>
      <c r="AC464" s="60"/>
      <c r="AD464" s="66"/>
      <c r="AE464" s="60"/>
      <c r="AF464" s="61" t="str">
        <f aca="false">IF(AND(ISNUMBER(X464),ISNUMBER(Y464)),Y464-X464,"")</f>
        <v/>
      </c>
      <c r="AG464" s="62" t="str">
        <f aca="false">IF(ISNUMBER(AD464),AD464-(IF(AND(INDEX(TZ_DSTS,MATCH(P464,TZ_STN,0))&lt;&gt;"",(AD464-INDEX(TZ_STD,MATCH(P464,TZ_STN,0))/24)&gt;=INDEX(TZ_DSTS,MATCH(P464,TZ_STN,0)),(AD464-INDEX(TZ_STD,MATCH(P464,TZ_STN,0))/24)&lt;INDEX(TZ_DSTE,MATCH(P464,TZ_STN,0))),INDEX(TZ_DST,MATCH(P464,TZ_STN,0)),INDEX(TZ_STD,MATCH(P464,TZ_STN,0))))/24,"")</f>
        <v/>
      </c>
      <c r="AH464" s="65" t="str">
        <f aca="false">IFERROR(IF(N464="N/A – rule",IF(OR(TRIM(U464)="",TRIM(U464)="N/A",TRIM(U464)="Not started"),"N/A – RULE","INVALID – this check does not apply to this aircraft: clear the status (or correct the fleet on Flights)"),IF(TRIM(U464)="N/A",IF(AT464=0,"INVALID – N/A not permitted for this check",IF(AND(TRIM(AB464)&lt;&gt;"",TRIM(AB464)&lt;&gt;"Closed"),"INVALID – corrective action still open",IF(AND(NOT(OR(LEN(AZ464)&lt;15,ISNUMBER(MATCH(AZ464,L_Placeholder,0)))),BK464=0,CG464&gt;=8,NOT(OR(LEN(AU464)&lt;2,ISNUMBER(MATCH(AU464,L_Placeholder,0)))),BR464&gt;=3,NOT(OR(LEN(AX464)&lt;2,ISNUMBER(MATCH(AX464,L_Placeholder,0)))),BS464&gt;=3,TRIM(AE464)&lt;&gt;TRIM(T464),AX464&lt;&gt;AU464,CE464=0),"N/A – JUSTIFIED","INVALID – N/A needs a real, settled reason (not 'not applicable' / 'as above' / TBC), a named PIC and a different named verifier"))),IF(OR(TRIM(U464)="Pass",TRIM(U464)="Pass after CA"),IF(NOT(ISNUMBER(AD464)),"INVALID – completion time missing",IF(OR(OR(LEN(AU464)&lt;2,ISNUMBER(MATCH(AU464,L_Placeholder,0))),BR464&lt;3),"INVALID – PIC missing or not a named person (a role such as QA / CSM is not a name)",IF(OR(LEN(AV464)&lt;2,ISNUMBER(MATCH(AV464,L_Placeholder,0))),"INVALID – result / assessment missing",IF(OR(OR(LEN(AW464)&lt;3,ISNUMBER(MATCH(AW464,L_Placeholder,0))),SUMPRODUCT(--ISNUMBER(SEARCH(" "&amp;L_EvidencePhrase&amp;" ",BD464)))&gt;0,BI464=1),"INVALID – evidence missing, placeholder or not yet on file",IF(ISNA(MATCH(TRIM(S464),L_EvidenceType,0)),"INVALID – choose the evidence type from the list (column S)",IF(BL464=0,"INVALID – evidence ID must be the record's own ID only (e.g. SF-2210, IMG_2231, 1045521); a link / file name needs type 'Link / file path'",IF(OR(OR(LEN(AX464)&lt;2,ISNUMBER(MATCH(AX464,L_Placeholder,0))),BS464&lt;3),"INVALID – verifier missing or not a named person (a role such as QA / CSM is not a name)",IF(OR(AX464=AU464,CE464=1,AND(LEN(AU464)&gt;=4,ISNUMBER(SEARCH(AU464,AX464))),AND(LEN(AX464)&gt;=4,ISNUMBER(SEARCH(AX464,AU464)))),"INVALID – verifier must be a different, named person (not the PIC or a role)",IF(BH464=1,"INVALID – result not yet available (awaiting / TBC)",IF(BG464=1,"INVALID – result describes a problem: record Fail, then Pass after CA (or reword if it is not a problem)",IF(BV464=1,"INVALID – wording says not on board: an on-board confirmation needs the item loaded",IF(AND(AQ464=1,OR(OR(LEN(AY464)&lt;3,ISNUMBER(MATCH(AY464,L_Placeholder,0))),BJ464=1,BQ464=0)),"INVALID – batch ID missing, placeholder or not an ID (e.g. PASB-261008-BC-017)",IF(AND(AR464=1,OR(NOT(ISNUMBER(X464)),NOT(ISNUMBER(Y464)))),"INVALID – expected/actual qty missing",IF(AND(AR464=1,OR(X464&lt;=0,Y464&lt;0)),"INVALID – expected qty must be above 0 and actual not negative",IF(BB464&lt;&gt;"",BB464,IF(AND(AS464=1,Documents!$J$18&lt;&gt;"ON FILE"),"INVALID – GLD not on file (Documents sheet)",IF(AND(AS464=2,Documents!$O$18&lt;&gt;"ON FILE"),"INVALID – menu checklist not on file (Documents sheet)",IF(AND(AS464=3,NOT(ISNUMBER(Flights!$AX$18))),"INVALID – enter carrying flight KUL departure (Flights AX)",IF(AND(AS464=3,OR(Flights!$AZ$18&gt;Flights!$AA$18,Flights!$AX$18&lt;Flights!$AA$18-3)),"INVALID – carrying flight (Flights AX) cannot arrive before this leg's STD, or is over 3 days early",IF(AG464&gt;AsOfUTC,"INVALID – completion time is in the future",IF(AND(ISNUMBER(BY464),AG464&lt;BY464),IF(H464="Physical uplift","INVALID – before uplift window (cannot confirm loading)","INVALID – before valid window"),IF(AG464&gt;Flights!$AA$18,"INVALID – completed after departure (cannot establish readiness)",IF(AND(H464="Preparation",AG464&gt;=IF(ISNUMBER(Flights!$BA$18),MIN(Flights!$BA$18,Flights!$AA$18),Flights!$AA$18)),"INVALID – completed after loading / departure (cannot establish readiness)",IF(AND(H464="Physical uplift",AG464&gt;Q464),"INVALID – recorded after the loading flight departed",IF(AG464&gt;Q464,"COMPLETE – LATE","COMPLETE"))))))))))))))))))))))))),IF(TRIM(U464)="Fail","FAIL – DISCREPANCY",IF(AND(TRIM(U464)&lt;&gt;"",TRIM(U464)&lt;&gt;"Not started",TRIM(U464)&lt;&gt;"In progress"),"INVALID – unrecognised status (use the list)",IF(AsOfUTC&gt;Q464,"OVERDUE",IF(N464="Clarification required","OPEN – CLARIFICATION","OPEN"))))))),"INVALID – error value in an input cell")</f>
        <v>OPEN</v>
      </c>
      <c r="AI464" s="61" t="n">
        <f aca="false">IF(OR(AH464="N/A – RULE",AH464="N/A – JUSTIFIED"),0,1)</f>
        <v>1</v>
      </c>
      <c r="AJ464" s="61" t="n">
        <f aca="false">IF(LEFT(AH464,8)="COMPLETE",1,0)</f>
        <v>0</v>
      </c>
      <c r="AK464" s="61" t="n">
        <f aca="false">IF(AND(AI464=1,AJ464=0,AsOfUTC&gt;Q464),1,0)</f>
        <v>0</v>
      </c>
      <c r="AL464" s="61" t="n">
        <f aca="false">IFERROR(IF(AND(AI464=1,OR(TRIM(U464)="Fail",AND(TRIM(AB464)&lt;&gt;"",TRIM(AB464)&lt;&gt;"Closed"),AND(ISNUMBER(AF464),AF464&lt;&gt;0,TRIM(U464)&lt;&gt;"Pass after CA"))),1,0),1)</f>
        <v>0</v>
      </c>
      <c r="AM464" s="61" t="n">
        <f aca="false">IF(LEFT(AH464,7)="INVALID",1,0)</f>
        <v>0</v>
      </c>
      <c r="AN464" s="61" t="n">
        <f aca="false">IF(AND(N464="Clarification required",AI464=1,AJ464=0),1,0)</f>
        <v>0</v>
      </c>
      <c r="AO464" s="61" t="str">
        <f aca="false">IF(AK464=1,SUM(AK$5:AK464),"")</f>
        <v/>
      </c>
      <c r="AP464" s="61" t="str">
        <f aca="false">IF(AL464=1,SUM(AL$5:AL464),"")</f>
        <v/>
      </c>
      <c r="AQ464" s="61" t="n">
        <v>0</v>
      </c>
      <c r="AR464" s="61" t="n">
        <v>0</v>
      </c>
      <c r="AS464" s="61" t="n">
        <v>0</v>
      </c>
      <c r="AT464" s="61" t="n">
        <v>0</v>
      </c>
      <c r="AU464" s="61" t="str">
        <f aca="false">SUBSTITUTE(SUBSTITUTE(SUBSTITUTE(SUBSTITUTE(SUBSTITUTE(SUBSTITUTE(SUBSTITUTE(SUBSTITUTE(SUBSTITUTE(SUBSTITUTE(SUBSTITUTE(SUBSTITUTE(SUBSTITUTE(SUBSTITUTE(SUBSTITUTE(SUBSTITUTE(LOWER(T464&amp;""),CHAR(10),""),CHAR(13),""),CHAR(9),""),CHAR(160),"")," ",""),".",""),"-",""),"/",""),"?",""),"_",""),",",""),"[",""),"]",""),"(",""),")",""),"*","")</f>
        <v/>
      </c>
      <c r="AV464" s="61" t="str">
        <f aca="false">SUBSTITUTE(SUBSTITUTE(SUBSTITUTE(SUBSTITUTE(SUBSTITUTE(SUBSTITUTE(SUBSTITUTE(SUBSTITUTE(SUBSTITUTE(SUBSTITUTE(SUBSTITUTE(SUBSTITUTE(SUBSTITUTE(SUBSTITUTE(SUBSTITUTE(SUBSTITUTE(LOWER(V464&amp;""),CHAR(10),""),CHAR(13),""),CHAR(9),""),CHAR(160),"")," ",""),".",""),"-",""),"/",""),"?",""),"_",""),",",""),"[",""),"]",""),"(",""),")",""),"*","")</f>
        <v/>
      </c>
      <c r="AW464" s="61" t="str">
        <f aca="false">SUBSTITUTE(SUBSTITUTE(SUBSTITUTE(SUBSTITUTE(SUBSTITUTE(SUBSTITUTE(SUBSTITUTE(SUBSTITUTE(SUBSTITUTE(SUBSTITUTE(SUBSTITUTE(SUBSTITUTE(SUBSTITUTE(SUBSTITUTE(SUBSTITUTE(SUBSTITUTE(LOWER(Z464&amp;""),CHAR(10),""),CHAR(13),""),CHAR(9),""),CHAR(160),"")," ",""),".",""),"-",""),"/",""),"?",""),"_",""),",",""),"[",""),"]",""),"(",""),")",""),"*","")</f>
        <v/>
      </c>
      <c r="AX464" s="61" t="str">
        <f aca="false">SUBSTITUTE(SUBSTITUTE(SUBSTITUTE(SUBSTITUTE(SUBSTITUTE(SUBSTITUTE(SUBSTITUTE(SUBSTITUTE(SUBSTITUTE(SUBSTITUTE(SUBSTITUTE(SUBSTITUTE(SUBSTITUTE(SUBSTITUTE(SUBSTITUTE(SUBSTITUTE(LOWER(AE464&amp;""),CHAR(10),""),CHAR(13),""),CHAR(9),""),CHAR(160),"")," ",""),".",""),"-",""),"/",""),"?",""),"_",""),",",""),"[",""),"]",""),"(",""),")",""),"*","")</f>
        <v/>
      </c>
      <c r="AY464" s="61" t="str">
        <f aca="false">SUBSTITUTE(SUBSTITUTE(SUBSTITUTE(SUBSTITUTE(SUBSTITUTE(SUBSTITUTE(SUBSTITUTE(SUBSTITUTE(SUBSTITUTE(SUBSTITUTE(SUBSTITUTE(SUBSTITUTE(SUBSTITUTE(SUBSTITUTE(SUBSTITUTE(SUBSTITUTE(LOWER(W464&amp;""),CHAR(10),""),CHAR(13),""),CHAR(9),""),CHAR(160),"")," ",""),".",""),"-",""),"/",""),"?",""),"_",""),",",""),"[",""),"]",""),"(",""),")",""),"*","")</f>
        <v/>
      </c>
      <c r="AZ464" s="61" t="str">
        <f aca="false">SUBSTITUTE(SUBSTITUTE(SUBSTITUTE(SUBSTITUTE(SUBSTITUTE(SUBSTITUTE(SUBSTITUTE(SUBSTITUTE(SUBSTITUTE(SUBSTITUTE(SUBSTITUTE(SUBSTITUTE(SUBSTITUTE(SUBSTITUTE(SUBSTITUTE(SUBSTITUTE(LOWER(AC464&amp;""),CHAR(10),""),CHAR(13),""),CHAR(9),""),CHAR(160),"")," ",""),".",""),"-",""),"/",""),"?",""),"_",""),",",""),"[",""),"]",""),"(",""),")",""),"*","")</f>
        <v/>
      </c>
      <c r="BA464" s="61" t="str">
        <f aca="false">SUBSTITUTE(SUBSTITUTE(SUBSTITUTE(SUBSTITUTE(SUBSTITUTE(SUBSTITUTE(SUBSTITUTE(SUBSTITUTE(SUBSTITUTE(SUBSTITUTE(SUBSTITUTE(SUBSTITUTE(SUBSTITUTE(SUBSTITUTE(SUBSTITUTE(SUBSTITUTE(LOWER(AA464&amp;""),CHAR(10),""),CHAR(13),""),CHAR(9),""),CHAR(160),"")," ",""),".",""),"-",""),"/",""),"?",""),"_",""),",",""),"[",""),"]",""),"(",""),")",""),"*","")</f>
        <v/>
      </c>
      <c r="BB464" s="61" t="str">
        <f aca="false">IF(AND(TRIM(U464)="Pass",ISNUMBER(AF464)),IF(AF464&lt;&gt;0,"INVALID – qty variance: use Fail or Pass after CA",""),"")&amp;IF(AND(TRIM(U464)="Pass after CA",ISNUMBER(AF464)),IF(AF464&lt;&gt;0,"INVALID – after the corrective action the actual qty must equal expected (update Actual)",""),"")&amp;IF(AND(TRIM(U464)="Pass",TRIM(AB464)&lt;&gt;"",TRIM(AB464)&lt;&gt;"Closed"),"INVALID – corrective action not closed: use Fail, then Pass after CA","")&amp;IF(AND(LEN(BA464)&gt;=2,ISNA(MATCH(LEFT(BA464,255),L_Placeholder,0)),TRIM(AB464)=""),"INVALID – CA status missing for the recorded corrective action","")&amp;IF(AND(TRIM(U464)="Pass after CA",OR(OR(LEN(BA464)&lt;5,ISNUMBER(MATCH(BA464,L_Placeholder,0))),TRIM(AB464)&lt;&gt;"Closed")),"INVALID – corrective action not recorded/closed","")</f>
        <v/>
      </c>
      <c r="BC464" s="61" t="str">
        <f aca="false">" "&amp;TRIM(SUBSTITUTE(SUBSTITUTE(SUBSTITUTE(SUBSTITUTE(SUBSTITUTE(SUBSTITUTE(SUBSTITUTE(SUBSTITUTE(SUBSTITUTE(SUBSTITUTE(SUBSTITUTE(SUBSTITUTE(SUBSTITUTE(SUBSTITUTE(SUBSTITUTE(SUBSTITUTE(SUBSTITUTE(SUBSTITUTE(SUBSTITUTE(SUBSTITUTE(SUBSTITUTE(SUBSTITUTE(SUBSTITUTE(SUBSTITUTE(LOWER(V464&amp;""),CHAR(10)," "),CHAR(13)," "),CHAR(9)," "),CHAR(160)," "),"."," "),","," "),"-"," "),"/"," "),"("," "),")"," "),":"," "),";"," "),"_"," "),"–"," "),"?"," "),"!"," "),"*"," "),"["," "),"]"," "),"'"," "),"#"," "),"+"," "),"&amp;"," "),"\"," "))&amp;" "</f>
        <v>  </v>
      </c>
      <c r="BD464" s="61" t="str">
        <f aca="false">" "&amp;TRIM(SUBSTITUTE(SUBSTITUTE(SUBSTITUTE(SUBSTITUTE(SUBSTITUTE(SUBSTITUTE(SUBSTITUTE(SUBSTITUTE(SUBSTITUTE(SUBSTITUTE(SUBSTITUTE(SUBSTITUTE(SUBSTITUTE(SUBSTITUTE(SUBSTITUTE(SUBSTITUTE(SUBSTITUTE(SUBSTITUTE(SUBSTITUTE(SUBSTITUTE(SUBSTITUTE(SUBSTITUTE(SUBSTITUTE(SUBSTITUTE(LOWER(Z464&amp;""),CHAR(10)," "),CHAR(13)," "),CHAR(9)," "),CHAR(160)," "),"."," "),","," "),"-"," "),"/"," "),"("," "),")"," "),":"," "),";"," "),"_"," "),"–"," "),"?"," "),"!"," "),"*"," "),"["," "),"]"," "),"'"," "),"#"," "),"+"," "),"&amp;"," "),"\"," "))&amp;" "</f>
        <v>  </v>
      </c>
      <c r="BE464" s="61" t="str">
        <f aca="false">" "&amp;TRIM(SUBSTITUTE(SUBSTITUTE(SUBSTITUTE(SUBSTITUTE(SUBSTITUTE(SUBSTITUTE(SUBSTITUTE(SUBSTITUTE(SUBSTITUTE(SUBSTITUTE(SUBSTITUTE(SUBSTITUTE(SUBSTITUTE(SUBSTITUTE(SUBSTITUTE(SUBSTITUTE(SUBSTITUTE(SUBSTITUTE(SUBSTITUTE(SUBSTITUTE(SUBSTITUTE(SUBSTITUTE(SUBSTITUTE(SUBSTITUTE(LOWER(W464&amp;""),CHAR(10)," "),CHAR(13)," "),CHAR(9)," "),CHAR(160)," "),"."," "),","," "),"-"," "),"/"," "),"("," "),")"," "),":"," "),";"," "),"_"," "),"–"," "),"?"," "),"!"," "),"*"," "),"["," "),"]"," "),"'"," "),"#"," "),"+"," "),"&amp;"," "),"\"," "))&amp;" "</f>
        <v>  </v>
      </c>
      <c r="BF464" s="61" t="str">
        <f aca="false">" "&amp;TRIM(SUBSTITUTE(SUBSTITUTE(SUBSTITUTE(SUBSTITUTE(SUBSTITUTE(SUBSTITUTE(SUBSTITUTE(SUBSTITUTE(SUBSTITUTE(SUBSTITUTE(SUBSTITUTE(SUBSTITUTE(SUBSTITUTE(SUBSTITUTE(SUBSTITUTE(SUBSTITUTE(SUBSTITUTE(SUBSTITUTE(SUBSTITUTE(SUBSTITUTE(SUBSTITUTE(SUBSTITUTE(SUBSTITUTE(SUBSTITUTE(LOWER(AC464&amp;""),CHAR(10)," "),CHAR(13)," "),CHAR(9)," "),CHAR(160)," "),"."," "),","," "),"-"," "),"/"," "),"("," "),")"," "),":"," "),";"," "),"_"," "),"–"," "),"?"," "),"!"," "),"*"," "),"["," "),"]"," "),"'"," "),"#"," "),"+"," "),"&amp;"," "),"\"," "))&amp;" "</f>
        <v>  </v>
      </c>
      <c r="BG464" s="61" t="n">
        <f aca="false">IFERROR(IF(AND(TRIM(U464)="Pass",SUMPRODUCT((LEN(BC464)-LEN(SUBSTITUTE(BC464," "&amp;L_ResultBad&amp;" "," ")))/(LEN(L_ResultBad)+1))&gt;SUMPRODUCT((LEN(BC464)-LEN(SUBSTITUTE(BC464," "&amp;L_NegPhrase&amp;" "," ")))/(LEN(L_NegPhrase)+1))),1,0),0)</f>
        <v>0</v>
      </c>
      <c r="BH464" s="61" t="n">
        <f aca="false">IFERROR(IF(SUMPRODUCT((LEN(BC464)-LEN(SUBSTITUTE(BC464," "&amp;L_Pending&amp;" "," ")))/(LEN(L_Pending)+1))&gt;SUMPRODUCT((LEN(BC464)-LEN(SUBSTITUTE(BC464," "&amp;L_PendNeg&amp;" "," ")))/(LEN(L_PendNeg)+1))+SUMPRODUCT((LEN(BC464)-LEN(SUBSTITUTE(BC464," "&amp;L_PendPrep&amp;" "," ")))/(LEN(L_PendPrep)+1)),1,0),1)</f>
        <v>0</v>
      </c>
      <c r="BI464" s="61" t="n">
        <f aca="false">IFERROR(IF(SUMPRODUCT((LEN(BD464)-LEN(SUBSTITUTE(BD464," "&amp;L_PendStrict&amp;" "," ")))/(LEN(L_PendStrict)+1))&gt;SUMPRODUCT((LEN(BD464)-LEN(SUBSTITUTE(BD464," "&amp;L_PendNeg&amp;" "," ")))/(LEN(L_PendNeg)+1)),1,0),1)</f>
        <v>0</v>
      </c>
      <c r="BJ464" s="61" t="n">
        <f aca="false">IFERROR(IF(SUMPRODUCT((LEN(BE464)-LEN(SUBSTITUTE(BE464," "&amp;L_Pending&amp;" "," ")))/(LEN(L_Pending)+1))&gt;SUMPRODUCT((LEN(BE464)-LEN(SUBSTITUTE(BE464," "&amp;L_PendNeg&amp;" "," ")))/(LEN(L_PendNeg)+1))+SUMPRODUCT((LEN(BE464)-LEN(SUBSTITUTE(BE464," "&amp;L_PendPrep&amp;" "," ")))/(LEN(L_PendPrep)+1)),1,0),1)</f>
        <v>0</v>
      </c>
      <c r="BK464" s="61" t="n">
        <f aca="false">IFERROR(IF(SUMPRODUCT((LEN(BF464)-LEN(SUBSTITUTE(BF464," "&amp;L_PendStrict&amp;" "," ")))/(LEN(L_PendStrict)+1))&gt;SUMPRODUCT((LEN(BF464)-LEN(SUBSTITUTE(BF464," "&amp;L_PendNeg&amp;" "," ")))/(LEN(L_PendNeg)+1)),1,0),1)</f>
        <v>0</v>
      </c>
      <c r="BL464" s="61" t="n">
        <f aca="false">IF(ISNA(MATCH(TRIM(S464),L_EvidenceType,0)),0,BZ464)</f>
        <v>0</v>
      </c>
      <c r="BM464" s="61" t="str">
        <f aca="false">SUBSTITUTE(SUBSTITUTE(SUBSTITUTE(SUBSTITUTE(SUBSTITUTE(SUBSTITUTE(SUBSTITUTE(SUBSTITUTE(SUBSTITUTE(LOWER(Z464&amp;""),"1","0"),"2","0"),"3","0"),"4","0"),"5","0"),"6","0"),"7","0"),"8","0"),"9","0")</f>
        <v/>
      </c>
      <c r="BN464" s="61" t="str">
        <f aca="false">SUBSTITUTE(SUBSTITUTE(SUBSTITUTE(SUBSTITUTE(SUBSTITUTE(SUBSTITUTE(SUBSTITUTE(SUBSTITUTE(SUBSTITUTE(SUBSTITUTE(SUBSTITUTE(SUBSTITUTE(SUBSTITUTE(SUBSTITUTE(SUBSTITUTE(SUBSTITUTE(SUBSTITUTE(SUBSTITUTE(SUBSTITUTE(SUBSTITUTE(SUBSTITUTE(SUBSTITUTE(SUBSTITUTE(SUBSTITUTE(SUBSTITUTE(BM464,"b","a"),"c","a"),"d","a"),"e","a"),"f","a"),"g","a"),"h","a"),"i","a"),"j","a"),"k","a"),"l","a"),"m","a"),"n","a"),"o","a"),"p","a"),"q","a"),"r","a"),"s","a"),"t","a"),"u","a"),"v","a"),"w","a"),"x","a"),"y","a"),"z","a")</f>
        <v/>
      </c>
      <c r="BO464" s="61" t="str">
        <f aca="false">SUBSTITUTE(SUBSTITUTE(SUBSTITUTE(SUBSTITUTE(SUBSTITUTE(SUBSTITUTE(SUBSTITUTE(SUBSTITUTE(SUBSTITUTE(LOWER(W464&amp;""),"1","0"),"2","0"),"3","0"),"4","0"),"5","0"),"6","0"),"7","0"),"8","0"),"9","0")</f>
        <v/>
      </c>
      <c r="BP464" s="61" t="str">
        <f aca="false">SUBSTITUTE(SUBSTITUTE(SUBSTITUTE(SUBSTITUTE(SUBSTITUTE(SUBSTITUTE(SUBSTITUTE(SUBSTITUTE(SUBSTITUTE(SUBSTITUTE(SUBSTITUTE(SUBSTITUTE(SUBSTITUTE(SUBSTITUTE(SUBSTITUTE(SUBSTITUTE(SUBSTITUTE(SUBSTITUTE(SUBSTITUTE(SUBSTITUTE(SUBSTITUTE(SUBSTITUTE(SUBSTITUTE(SUBSTITUTE(SUBSTITUTE(BO464,"b","a"),"c","a"),"d","a"),"e","a"),"f","a"),"g","a"),"h","a"),"i","a"),"j","a"),"k","a"),"l","a"),"m","a"),"n","a"),"o","a"),"p","a"),"q","a"),"r","a"),"s","a"),"t","a"),"u","a"),"v","a"),"w","a"),"x","a"),"y","a"),"z","a")</f>
        <v/>
      </c>
      <c r="BQ464" s="61" t="n">
        <f aca="false">IFERROR(IF(AND(ISERROR(SEARCH(" mh"," "&amp;LOWER(W464))),ISNA(MATCH(LEFT(TRIM(BP464),255),{"0000a","000a","00a","0000aa","000aa","00aa","0aa","0000aaa","000aaa","00a00","0a00","0000-0000","00:00","a00","a0","00.00.0000","00/00/0000","00-00-0000","0000-00-00","0000/00/00","0000.00.00","00.00.00","00/00/00","00-00-00","0.00.0000","0/00/0000","0-00-0000"},0)),ISNA(MATCH(LEFT(TRIM(CA464),255),{"0000a","000a","00a","0000aa","000aa","00aa","0aa","0000aaa","000aaa","00a00","0a00","0000-0000","00:00","a00","a0","00.00.0000","00/00/0000","00-00-0000","0000-00-00","0000/00/00","0000.00.00","00.00.00","00/00/00","00-00-00","0.00.0000","0/00/0000","0-00-0000"},0)),LEN(CB464)&gt;=3,NOT(OR(SUBSTITUTE(CB464,"0","")="",AND(LEN(CB464)&gt;=4,CB464=REPT(LEFT(CB464),LEN(CB464))),ISNUMBER(MATCH(CB464,{"123","1234","12345","123456","1234567","12345678","0123","01234","012345","98765","987654","54321"},0)),AND(LEN(CB464)=8,LEFT(CB464,3)="202"))),OR(AND((LEN(CA464)-LEN(SUBSTITUTE(CA464,"a","")))&gt;=1,SUMPRODUCT(--ISNUMBER(SEARCH({"a0","a-0","a_0","a/0","a.0","a#0","0a","0-a","0_a","0/a"},BP464)))&gt;0),ISNUMBER(SEARCH("000000",BP464)))),1,0),0)</f>
        <v>0</v>
      </c>
      <c r="BR464" s="61" t="n">
        <f aca="false">IFERROR(LEN(SUBSTITUTE(CC464," ",""))-SUMPRODUCT((LEN(CC464)-LEN(SUBSTITUTE(CC464," "&amp;L_Role&amp;" "," ")))/(LEN(L_Role)+1)*LEN(L_Role)),0)</f>
        <v>0</v>
      </c>
      <c r="BS464" s="61" t="n">
        <f aca="false">IFERROR(LEN(SUBSTITUTE(CD464," ",""))-SUMPRODUCT((LEN(CD464)-LEN(SUBSTITUTE(CD464," "&amp;L_Role&amp;" "," ")))/(LEN(L_Role)+1)*LEN(L_Role)),0)</f>
        <v>0</v>
      </c>
      <c r="BT4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464,"revision",""),"version",""),"jan",""),"feb",""),"mar",""),"apr",""),"may",""),"jun",""),"jul",""),"aug",""),"sep",""),"oct",""),"nov",""),"dec",""),"utc",""),"gmt",""),"myt",""),"bst",""),"rev",""),"ver",""),"b","a"),"c","a"),"d","a"),"e","a"),"f","a"),"g","a"),"h","a"),"i","a"),"j","a"),"k","a"),"l","a"),"m","a"),"n","a"),"o","a"),"p","a"),"q","a"),"r","a"),"s","a"),"t","a"),"u","a"),"v","a"),"w","a"),"x","a"),"y","a"),"z","a")</f>
        <v/>
      </c>
      <c r="BU464" s="61" t="str">
        <f aca="false">SUBSTITUTE(SUBSTITUTE(SUBSTITUTE(SUBSTITUTE(SUBSTITUTE(SUBSTITUTE(SUBSTITUTE(SUBSTITUTE(SUBSTITUTE(SUBSTITUTE(LEFT(BM464,FIND("0",BM464&amp;"0")-1),"-",""),"_",""),"/",""),".",""),"#",""),"\\",""),":","")," ",""),"(",""),")","")</f>
        <v/>
      </c>
      <c r="BV464" s="61" t="n">
        <f aca="false">0</f>
        <v>0</v>
      </c>
      <c r="BW4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464&amp;""),"a",""),"b",""),"c",""),"d",""),"e",""),"f",""),"g",""),"h",""),"i",""),"j",""),"k",""),"l",""),"m",""),"n",""),"o",""),"p",""),"q",""),"r",""),"s",""),"t",""),"u",""),"v",""),"w",""),"x",""),"y",""),"z",""),"-",""),"_",""),"/",""),".",""),"#",""),"\\",""),":","")," ",""),"(",""),")","")</f>
        <v/>
      </c>
      <c r="BX464" s="61" t="str">
        <f aca="false">SUBSTITUTE(SUBSTITUTE(SUBSTITUTE(SUBSTITUTE(SUBSTITUTE(SUBSTITUTE(SUBSTITUTE(SUBSTITUTE(SUBSTITUTE(SUBSTITUTE(SUBSTITUTE(BM464,"0",""),"-",""),"_",""),"/",""),".",""),"#",""),"\\",""),":","")," ",""),"(",""),")","")</f>
        <v/>
      </c>
      <c r="BY464" s="62" t="n">
        <f aca="false">Q464-T7EarlyD*24/24</f>
        <v>46289.0763888889</v>
      </c>
      <c r="BZ464" s="61" t="n">
        <f aca="false">IFERROR(IF(IF(TRIM(S464)="Link / file path",AND(LEN(TRIM(Z464))&gt;=5,SUMPRODUCT(--ISNUMBER(SEARCH({"http","www.","\\",":\",".pdf",".jpg",".jpeg",".png",".heic",".xls",".doc",".msg",".eml",".ppt",".txt",".zip"},Z464)))&gt;0),AND(ISERROR(FIND(" ",TRIM(Z464))),NOT(OR(SUMPRODUCT(--ISNUMBER(FIND({",",";","&amp;","+"},Z464)))&gt;0,SUMPRODUCT(--ISNUMBER(SEARCH({"0/aa","0\\aa"},BN464)))&gt;0)),NOT(SUMPRODUCT(--ISNUMBER(SEARCH({"http","www.","\\",":\",".pdf",".jpg",".jpeg",".png",".heic",".xls",".doc",".msg",".eml",".ppt",".txt",".zip"},Z464)))&gt;0),NOT(LOWER(TRIM(Z464))=LOWER(Flights!$F$18)),ISNA(MATCH(BU464,{"mh","rev","revision","ver","version","v","r","a","b","seat","tray","row","gate","bay","stand","page","pg","item","line","no","cart","galley","flight","flt","table","box","bag","oven","etd","eta","std","sta","atd","ata","qty","pax","x","time","tel","ph","mob","day","wk","week","utc","gmt","myt","lt"},0)),NOT(OR(ISNUMBER(MATCH(LEFT(BN464,255),{"0000a","000a","00a","0000aa","000aa","00aa","0aa","0000aaa","000aaa","00a00","0a00","0000-0000","00:00","a00","a0","00.00.0000","00/00/0000","00-00-0000","0000-00-00","0000/00/00","0000.00.00","00.00.00","00/00/00","00-00-00","0.00.0000","0/00/0000","0-00-0000"},0)),ISNUMBER(MATCH(LEFT(BT464,255),{"0000a","000a","00a","0000aa","000aa","00aa","0aa","0000aaa","000aaa","00a00","0a00","0000-0000","00:00","a00","a0","00.00.0000","00/00/0000","00-00-0000","0000-00-00","0000/00/00","0000.00.00","00.00.00","00/00/00","00-00-00","0.00.0000","0/00/0000","0-00-0000"},0)))),NOT(OR(AND(BW464&lt;&gt;"",SUBSTITUTE(BW464,"0","")=""),AND(LEN(BW464)&gt;=4,BW464=REPT(LEFT(BW464),LEN(BW464))),ISNUMBER(MATCH(BW464,{"123","1234","12345","123456","1234567","12345678","0123","01234","012345","98765","987654","54321"},0)),ISNUMBER(MATCH(BX464,{"x","xx","xxx","xxxx","xxxxx","abc","abcd","nil","na","nan","test","tbc","tba","tbd","dummy","sample","example","eg","zz","zzz","none","null","xyz","qwe","asd","id","ref"},0)),AND(LEN(BW464)=8,BX464="",OR(LEFT(BW464,3)="202",ISNUMBER(MATCH(RIGHT(BW464,4),{"2025","2026","2027"},0)))))),OR(AND((LEN(BT464)-LEN(SUBSTITUTE(BT464,"a","")))&gt;=1,(LEN(BN464)-LEN(SUBSTITUTE(BN464,"0","")))&gt;=2,SUMPRODUCT(--ISNUMBER(SEARCH({"a0","a-0","a_0","a/0","a.0","a#0","0a","0-a","0_a","0/a"},BN464)))&gt;0),AND((LEN(BN464)-LEN(SUBSTITUTE(BN464,"a","")))=0,(LEN(BN464)-LEN(SUBSTITUTE(BN464,"0","")))&gt;=5)))),1,0),0)</f>
        <v>0</v>
      </c>
      <c r="CA4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464,"revision",""),"version",""),"jan",""),"feb",""),"mar",""),"apr",""),"may",""),"jun",""),"jul",""),"aug",""),"sep",""),"oct",""),"nov",""),"dec",""),"utc",""),"gmt",""),"myt",""),"bst",""),"rev",""),"ver",""),"b","a"),"c","a"),"d","a"),"e","a"),"f","a"),"g","a"),"h","a"),"i","a"),"j","a"),"k","a"),"l","a"),"m","a"),"n","a"),"o","a"),"p","a"),"q","a"),"r","a"),"s","a"),"t","a"),"u","a"),"v","a"),"w","a"),"x","a"),"y","a"),"z","a")</f>
        <v/>
      </c>
      <c r="CB4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464&amp;""),"a",""),"b",""),"c",""),"d",""),"e",""),"f",""),"g",""),"h",""),"i",""),"j",""),"k",""),"l",""),"m",""),"n",""),"o",""),"p",""),"q",""),"r",""),"s",""),"t",""),"u",""),"v",""),"w",""),"x",""),"y",""),"z",""),"-",""),"_",""),"/",""),".",""),"#",""),"\\",""),":","")," ",""),"(",""),")","")</f>
        <v/>
      </c>
      <c r="CC464" s="0" t="str">
        <f aca="false">" "&amp;TRIM(SUBSTITUTE(SUBSTITUTE(SUBSTITUTE(SUBSTITUTE(SUBSTITUTE(SUBSTITUTE(SUBSTITUTE(SUBSTITUTE(SUBSTITUTE(SUBSTITUTE(SUBSTITUTE(SUBSTITUTE(SUBSTITUTE(SUBSTITUTE(SUBSTITUTE(SUBSTITUTE(SUBSTITUTE(SUBSTITUTE(SUBSTITUTE(SUBSTITUTE(SUBSTITUTE(SUBSTITUTE(SUBSTITUTE(SUBSTITUTE(LOWER(T464&amp;""),CHAR(10)," "),CHAR(13)," "),CHAR(9)," "),CHAR(160)," "),"."," "),","," "),"-"," "),"/"," "),"("," "),")"," "),":"," "),";"," "),"_"," "),"–"," "),"?"," "),"!"," "),"*"," "),"["," "),"]"," "),"'"," "),"#"," "),"+"," "),"&amp;"," "),"\"," "))&amp;" "</f>
        <v>  </v>
      </c>
      <c r="CD464" s="0" t="str">
        <f aca="false">" "&amp;TRIM(SUBSTITUTE(SUBSTITUTE(SUBSTITUTE(SUBSTITUTE(SUBSTITUTE(SUBSTITUTE(SUBSTITUTE(SUBSTITUTE(SUBSTITUTE(SUBSTITUTE(SUBSTITUTE(SUBSTITUTE(SUBSTITUTE(SUBSTITUTE(SUBSTITUTE(SUBSTITUTE(SUBSTITUTE(SUBSTITUTE(SUBSTITUTE(SUBSTITUTE(SUBSTITUTE(SUBSTITUTE(SUBSTITUTE(SUBSTITUTE(LOWER(AE464&amp;""),CHAR(10)," "),CHAR(13)," "),CHAR(9)," "),CHAR(160)," "),"."," "),","," "),"-"," "),"/"," "),"("," "),")"," "),":"," "),";"," "),"_"," "),"–"," "),"?"," "),"!"," "),"*"," "),"["," "),"]"," "),"'"," "),"#"," "),"+"," "),"&amp;"," "),"\"," "))&amp;" "</f>
        <v>  </v>
      </c>
      <c r="CE464" s="68" t="n">
        <f aca="false">IFERROR(IF(AND(LEN(AU464)&gt;0,LEN(AU464)=LEN(AX464),OR(TRIM(MID(SUBSTITUTE(TRIM(CC464)," ",REPT(" ",60)),1,60))="",ISNUMBER(SEARCH(" "&amp;TRIM(MID(SUBSTITUTE(TRIM(CC464)," ",REPT(" ",60)),1,60))&amp;" ",CD464))),OR(TRIM(MID(SUBSTITUTE(TRIM(CC464)," ",REPT(" ",60)),61,60))="",ISNUMBER(SEARCH(" "&amp;TRIM(MID(SUBSTITUTE(TRIM(CC464)," ",REPT(" ",60)),61,60))&amp;" ",CD464))),OR(TRIM(MID(SUBSTITUTE(TRIM(CC464)," ",REPT(" ",60)),121,60))="",ISNUMBER(SEARCH(" "&amp;TRIM(MID(SUBSTITUTE(TRIM(CC464)," ",REPT(" ",60)),121,60))&amp;" ",CD464)))),1,0),0)</f>
        <v>0</v>
      </c>
      <c r="CG464" s="68" t="n">
        <f aca="false">IFERROR(LEN(SUBSTITUTE(BF464," ",""))-SUMPRODUCT((LEN(BF464)-LEN(SUBSTITUTE(BF464," "&amp;L_NAFiller&amp;" "," ")))/(LEN(L_NAFiller)+1)*LEN(L_NAFiller)),0)</f>
        <v>0</v>
      </c>
    </row>
    <row r="465" customFormat="false" ht="39.75" hidden="false" customHeight="true" outlineLevel="0" collapsed="false">
      <c r="A465" s="57" t="s">
        <v>1112</v>
      </c>
      <c r="B465" s="57" t="s">
        <v>276</v>
      </c>
      <c r="C465" s="57" t="str">
        <f aca="false">Flights!$F$18</f>
        <v>MH0004</v>
      </c>
      <c r="D465" s="58" t="n">
        <f aca="false">Flights!$D$18</f>
        <v>46310</v>
      </c>
      <c r="E465" s="57" t="str">
        <f aca="false">Flights!$G$18&amp;"-"&amp;Flights!$H$18</f>
        <v>KUL-LHR</v>
      </c>
      <c r="F465" s="57" t="str">
        <f aca="false">Flights!$K$18</f>
        <v>EY</v>
      </c>
      <c r="G465" s="57" t="s">
        <v>83</v>
      </c>
      <c r="H465" s="57" t="s">
        <v>378</v>
      </c>
      <c r="I465" s="57" t="s">
        <v>379</v>
      </c>
      <c r="J465" s="57" t="s">
        <v>416</v>
      </c>
      <c r="K465" s="67" t="s">
        <v>417</v>
      </c>
      <c r="L465" s="67" t="s">
        <v>418</v>
      </c>
      <c r="M465" s="67"/>
      <c r="N465" s="67" t="s">
        <v>383</v>
      </c>
      <c r="O465" s="67"/>
      <c r="P465" s="57" t="s">
        <v>187</v>
      </c>
      <c r="Q465" s="59" t="n">
        <f aca="false">ROUND((Flights!$AD$18)*1440,0)/1440</f>
        <v>46309.0763888889</v>
      </c>
      <c r="R465" s="59" t="n">
        <f aca="false">Q465+(IF(AND(INDEX(TZ_DSTS,MATCH(P465,TZ_STN,0))&lt;&gt;"",Q465&gt;=INDEX(TZ_DSTS,MATCH(P465,TZ_STN,0)),Q465&lt;INDEX(TZ_DSTE,MATCH(P465,TZ_STN,0))),INDEX(TZ_DST,MATCH(P465,TZ_STN,0)),INDEX(TZ_STD,MATCH(P465,TZ_STN,0))))/24</f>
        <v>46309.4097222222</v>
      </c>
      <c r="S465" s="60"/>
      <c r="T465" s="60"/>
      <c r="U465" s="60"/>
      <c r="V465" s="60"/>
      <c r="W465" s="60"/>
      <c r="X465" s="60"/>
      <c r="Y465" s="60"/>
      <c r="Z465" s="60"/>
      <c r="AA465" s="60"/>
      <c r="AB465" s="60"/>
      <c r="AC465" s="60"/>
      <c r="AD465" s="66"/>
      <c r="AE465" s="60"/>
      <c r="AF465" s="61" t="str">
        <f aca="false">IF(AND(ISNUMBER(X465),ISNUMBER(Y465)),Y465-X465,"")</f>
        <v/>
      </c>
      <c r="AG465" s="62" t="str">
        <f aca="false">IF(ISNUMBER(AD465),AD465-(IF(AND(INDEX(TZ_DSTS,MATCH(P465,TZ_STN,0))&lt;&gt;"",(AD465-INDEX(TZ_STD,MATCH(P465,TZ_STN,0))/24)&gt;=INDEX(TZ_DSTS,MATCH(P465,TZ_STN,0)),(AD465-INDEX(TZ_STD,MATCH(P465,TZ_STN,0))/24)&lt;INDEX(TZ_DSTE,MATCH(P465,TZ_STN,0))),INDEX(TZ_DST,MATCH(P465,TZ_STN,0)),INDEX(TZ_STD,MATCH(P465,TZ_STN,0))))/24,"")</f>
        <v/>
      </c>
      <c r="AH465" s="65" t="str">
        <f aca="false">IFERROR(IF(N465="N/A – rule",IF(OR(TRIM(U465)="",TRIM(U465)="N/A",TRIM(U465)="Not started"),"N/A – RULE","INVALID – this check does not apply to this aircraft: clear the status (or correct the fleet on Flights)"),IF(TRIM(U465)="N/A",IF(AT465=0,"INVALID – N/A not permitted for this check",IF(AND(TRIM(AB465)&lt;&gt;"",TRIM(AB465)&lt;&gt;"Closed"),"INVALID – corrective action still open",IF(AND(NOT(OR(LEN(AZ465)&lt;15,ISNUMBER(MATCH(AZ465,L_Placeholder,0)))),BK465=0,CG465&gt;=8,NOT(OR(LEN(AU465)&lt;2,ISNUMBER(MATCH(AU465,L_Placeholder,0)))),BR465&gt;=3,NOT(OR(LEN(AX465)&lt;2,ISNUMBER(MATCH(AX465,L_Placeholder,0)))),BS465&gt;=3,TRIM(AE465)&lt;&gt;TRIM(T465),AX465&lt;&gt;AU465,CE465=0),"N/A – JUSTIFIED","INVALID – N/A needs a real, settled reason (not 'not applicable' / 'as above' / TBC), a named PIC and a different named verifier"))),IF(OR(TRIM(U465)="Pass",TRIM(U465)="Pass after CA"),IF(NOT(ISNUMBER(AD465)),"INVALID – completion time missing",IF(OR(OR(LEN(AU465)&lt;2,ISNUMBER(MATCH(AU465,L_Placeholder,0))),BR465&lt;3),"INVALID – PIC missing or not a named person (a role such as QA / CSM is not a name)",IF(OR(LEN(AV465)&lt;2,ISNUMBER(MATCH(AV465,L_Placeholder,0))),"INVALID – result / assessment missing",IF(OR(OR(LEN(AW465)&lt;3,ISNUMBER(MATCH(AW465,L_Placeholder,0))),SUMPRODUCT(--ISNUMBER(SEARCH(" "&amp;L_EvidencePhrase&amp;" ",BD465)))&gt;0,BI465=1),"INVALID – evidence missing, placeholder or not yet on file",IF(ISNA(MATCH(TRIM(S465),L_EvidenceType,0)),"INVALID – choose the evidence type from the list (column S)",IF(BL465=0,"INVALID – evidence ID must be the record's own ID only (e.g. SF-2210, IMG_2231, 1045521); a link / file name needs type 'Link / file path'",IF(OR(OR(LEN(AX465)&lt;2,ISNUMBER(MATCH(AX465,L_Placeholder,0))),BS465&lt;3),"INVALID – verifier missing or not a named person (a role such as QA / CSM is not a name)",IF(OR(AX465=AU465,CE465=1,AND(LEN(AU465)&gt;=4,ISNUMBER(SEARCH(AU465,AX465))),AND(LEN(AX465)&gt;=4,ISNUMBER(SEARCH(AX465,AU465)))),"INVALID – verifier must be a different, named person (not the PIC or a role)",IF(BH465=1,"INVALID – result not yet available (awaiting / TBC)",IF(BG465=1,"INVALID – result describes a problem: record Fail, then Pass after CA (or reword if it is not a problem)",IF(BV465=1,"INVALID – wording says not on board: an on-board confirmation needs the item loaded",IF(AND(AQ465=1,OR(OR(LEN(AY465)&lt;3,ISNUMBER(MATCH(AY465,L_Placeholder,0))),BJ465=1,BQ465=0)),"INVALID – batch ID missing, placeholder or not an ID (e.g. PASB-261008-BC-017)",IF(AND(AR465=1,OR(NOT(ISNUMBER(X465)),NOT(ISNUMBER(Y465)))),"INVALID – expected/actual qty missing",IF(AND(AR465=1,OR(X465&lt;=0,Y465&lt;0)),"INVALID – expected qty must be above 0 and actual not negative",IF(BB465&lt;&gt;"",BB465,IF(AND(AS465=1,Documents!$J$18&lt;&gt;"ON FILE"),"INVALID – GLD not on file (Documents sheet)",IF(AND(AS465=2,Documents!$O$18&lt;&gt;"ON FILE"),"INVALID – menu checklist not on file (Documents sheet)",IF(AND(AS465=3,NOT(ISNUMBER(Flights!$AX$18))),"INVALID – enter carrying flight KUL departure (Flights AX)",IF(AND(AS465=3,OR(Flights!$AZ$18&gt;Flights!$AA$18,Flights!$AX$18&lt;Flights!$AA$18-3)),"INVALID – carrying flight (Flights AX) cannot arrive before this leg's STD, or is over 3 days early",IF(AG465&gt;AsOfUTC,"INVALID – completion time is in the future",IF(AND(ISNUMBER(BY465),AG465&lt;BY465),IF(H465="Physical uplift","INVALID – before uplift window (cannot confirm loading)","INVALID – before valid window"),IF(AG465&gt;Flights!$AA$18,"INVALID – completed after departure (cannot establish readiness)",IF(AND(H465="Preparation",AG465&gt;=IF(ISNUMBER(Flights!$BA$18),MIN(Flights!$BA$18,Flights!$AA$18),Flights!$AA$18)),"INVALID – completed after loading / departure (cannot establish readiness)",IF(AND(H465="Physical uplift",AG465&gt;Q465),"INVALID – recorded after the loading flight departed",IF(AG465&gt;Q465,"COMPLETE – LATE","COMPLETE"))))))))))))))))))))))))),IF(TRIM(U465)="Fail","FAIL – DISCREPANCY",IF(AND(TRIM(U465)&lt;&gt;"",TRIM(U465)&lt;&gt;"Not started",TRIM(U465)&lt;&gt;"In progress"),"INVALID – unrecognised status (use the list)",IF(AsOfUTC&gt;Q465,"OVERDUE",IF(N465="Clarification required","OPEN – CLARIFICATION","OPEN"))))))),"INVALID – error value in an input cell")</f>
        <v>OPEN</v>
      </c>
      <c r="AI465" s="61" t="n">
        <f aca="false">IF(OR(AH465="N/A – RULE",AH465="N/A – JUSTIFIED"),0,1)</f>
        <v>1</v>
      </c>
      <c r="AJ465" s="61" t="n">
        <f aca="false">IF(LEFT(AH465,8)="COMPLETE",1,0)</f>
        <v>0</v>
      </c>
      <c r="AK465" s="61" t="n">
        <f aca="false">IF(AND(AI465=1,AJ465=0,AsOfUTC&gt;Q465),1,0)</f>
        <v>0</v>
      </c>
      <c r="AL465" s="61" t="n">
        <f aca="false">IFERROR(IF(AND(AI465=1,OR(TRIM(U465)="Fail",AND(TRIM(AB465)&lt;&gt;"",TRIM(AB465)&lt;&gt;"Closed"),AND(ISNUMBER(AF465),AF465&lt;&gt;0,TRIM(U465)&lt;&gt;"Pass after CA"))),1,0),1)</f>
        <v>0</v>
      </c>
      <c r="AM465" s="61" t="n">
        <f aca="false">IF(LEFT(AH465,7)="INVALID",1,0)</f>
        <v>0</v>
      </c>
      <c r="AN465" s="61" t="n">
        <f aca="false">IF(AND(N465="Clarification required",AI465=1,AJ465=0),1,0)</f>
        <v>0</v>
      </c>
      <c r="AO465" s="61" t="str">
        <f aca="false">IF(AK465=1,SUM(AK$5:AK465),"")</f>
        <v/>
      </c>
      <c r="AP465" s="61" t="str">
        <f aca="false">IF(AL465=1,SUM(AL$5:AL465),"")</f>
        <v/>
      </c>
      <c r="AQ465" s="61" t="n">
        <v>1</v>
      </c>
      <c r="AR465" s="61" t="n">
        <v>0</v>
      </c>
      <c r="AS465" s="61" t="n">
        <v>0</v>
      </c>
      <c r="AT465" s="61" t="n">
        <v>0</v>
      </c>
      <c r="AU465" s="61" t="str">
        <f aca="false">SUBSTITUTE(SUBSTITUTE(SUBSTITUTE(SUBSTITUTE(SUBSTITUTE(SUBSTITUTE(SUBSTITUTE(SUBSTITUTE(SUBSTITUTE(SUBSTITUTE(SUBSTITUTE(SUBSTITUTE(SUBSTITUTE(SUBSTITUTE(SUBSTITUTE(SUBSTITUTE(LOWER(T465&amp;""),CHAR(10),""),CHAR(13),""),CHAR(9),""),CHAR(160),"")," ",""),".",""),"-",""),"/",""),"?",""),"_",""),",",""),"[",""),"]",""),"(",""),")",""),"*","")</f>
        <v/>
      </c>
      <c r="AV465" s="61" t="str">
        <f aca="false">SUBSTITUTE(SUBSTITUTE(SUBSTITUTE(SUBSTITUTE(SUBSTITUTE(SUBSTITUTE(SUBSTITUTE(SUBSTITUTE(SUBSTITUTE(SUBSTITUTE(SUBSTITUTE(SUBSTITUTE(SUBSTITUTE(SUBSTITUTE(SUBSTITUTE(SUBSTITUTE(LOWER(V465&amp;""),CHAR(10),""),CHAR(13),""),CHAR(9),""),CHAR(160),"")," ",""),".",""),"-",""),"/",""),"?",""),"_",""),",",""),"[",""),"]",""),"(",""),")",""),"*","")</f>
        <v/>
      </c>
      <c r="AW465" s="61" t="str">
        <f aca="false">SUBSTITUTE(SUBSTITUTE(SUBSTITUTE(SUBSTITUTE(SUBSTITUTE(SUBSTITUTE(SUBSTITUTE(SUBSTITUTE(SUBSTITUTE(SUBSTITUTE(SUBSTITUTE(SUBSTITUTE(SUBSTITUTE(SUBSTITUTE(SUBSTITUTE(SUBSTITUTE(LOWER(Z465&amp;""),CHAR(10),""),CHAR(13),""),CHAR(9),""),CHAR(160),"")," ",""),".",""),"-",""),"/",""),"?",""),"_",""),",",""),"[",""),"]",""),"(",""),")",""),"*","")</f>
        <v/>
      </c>
      <c r="AX465" s="61" t="str">
        <f aca="false">SUBSTITUTE(SUBSTITUTE(SUBSTITUTE(SUBSTITUTE(SUBSTITUTE(SUBSTITUTE(SUBSTITUTE(SUBSTITUTE(SUBSTITUTE(SUBSTITUTE(SUBSTITUTE(SUBSTITUTE(SUBSTITUTE(SUBSTITUTE(SUBSTITUTE(SUBSTITUTE(LOWER(AE465&amp;""),CHAR(10),""),CHAR(13),""),CHAR(9),""),CHAR(160),"")," ",""),".",""),"-",""),"/",""),"?",""),"_",""),",",""),"[",""),"]",""),"(",""),")",""),"*","")</f>
        <v/>
      </c>
      <c r="AY465" s="61" t="str">
        <f aca="false">SUBSTITUTE(SUBSTITUTE(SUBSTITUTE(SUBSTITUTE(SUBSTITUTE(SUBSTITUTE(SUBSTITUTE(SUBSTITUTE(SUBSTITUTE(SUBSTITUTE(SUBSTITUTE(SUBSTITUTE(SUBSTITUTE(SUBSTITUTE(SUBSTITUTE(SUBSTITUTE(LOWER(W465&amp;""),CHAR(10),""),CHAR(13),""),CHAR(9),""),CHAR(160),"")," ",""),".",""),"-",""),"/",""),"?",""),"_",""),",",""),"[",""),"]",""),"(",""),")",""),"*","")</f>
        <v/>
      </c>
      <c r="AZ465" s="61" t="str">
        <f aca="false">SUBSTITUTE(SUBSTITUTE(SUBSTITUTE(SUBSTITUTE(SUBSTITUTE(SUBSTITUTE(SUBSTITUTE(SUBSTITUTE(SUBSTITUTE(SUBSTITUTE(SUBSTITUTE(SUBSTITUTE(SUBSTITUTE(SUBSTITUTE(SUBSTITUTE(SUBSTITUTE(LOWER(AC465&amp;""),CHAR(10),""),CHAR(13),""),CHAR(9),""),CHAR(160),"")," ",""),".",""),"-",""),"/",""),"?",""),"_",""),",",""),"[",""),"]",""),"(",""),")",""),"*","")</f>
        <v/>
      </c>
      <c r="BA465" s="61" t="str">
        <f aca="false">SUBSTITUTE(SUBSTITUTE(SUBSTITUTE(SUBSTITUTE(SUBSTITUTE(SUBSTITUTE(SUBSTITUTE(SUBSTITUTE(SUBSTITUTE(SUBSTITUTE(SUBSTITUTE(SUBSTITUTE(SUBSTITUTE(SUBSTITUTE(SUBSTITUTE(SUBSTITUTE(LOWER(AA465&amp;""),CHAR(10),""),CHAR(13),""),CHAR(9),""),CHAR(160),"")," ",""),".",""),"-",""),"/",""),"?",""),"_",""),",",""),"[",""),"]",""),"(",""),")",""),"*","")</f>
        <v/>
      </c>
      <c r="BB465" s="61" t="str">
        <f aca="false">IF(AND(TRIM(U465)="Pass",ISNUMBER(AF465)),IF(AF465&lt;&gt;0,"INVALID – qty variance: use Fail or Pass after CA",""),"")&amp;IF(AND(TRIM(U465)="Pass after CA",ISNUMBER(AF465)),IF(AF465&lt;&gt;0,"INVALID – after the corrective action the actual qty must equal expected (update Actual)",""),"")&amp;IF(AND(TRIM(U465)="Pass",TRIM(AB465)&lt;&gt;"",TRIM(AB465)&lt;&gt;"Closed"),"INVALID – corrective action not closed: use Fail, then Pass after CA","")&amp;IF(AND(LEN(BA465)&gt;=2,ISNA(MATCH(LEFT(BA465,255),L_Placeholder,0)),TRIM(AB465)=""),"INVALID – CA status missing for the recorded corrective action","")&amp;IF(AND(TRIM(U465)="Pass after CA",OR(OR(LEN(BA465)&lt;5,ISNUMBER(MATCH(BA465,L_Placeholder,0))),TRIM(AB465)&lt;&gt;"Closed")),"INVALID – corrective action not recorded/closed","")</f>
        <v/>
      </c>
      <c r="BC465" s="61" t="str">
        <f aca="false">" "&amp;TRIM(SUBSTITUTE(SUBSTITUTE(SUBSTITUTE(SUBSTITUTE(SUBSTITUTE(SUBSTITUTE(SUBSTITUTE(SUBSTITUTE(SUBSTITUTE(SUBSTITUTE(SUBSTITUTE(SUBSTITUTE(SUBSTITUTE(SUBSTITUTE(SUBSTITUTE(SUBSTITUTE(SUBSTITUTE(SUBSTITUTE(SUBSTITUTE(SUBSTITUTE(SUBSTITUTE(SUBSTITUTE(SUBSTITUTE(SUBSTITUTE(LOWER(V465&amp;""),CHAR(10)," "),CHAR(13)," "),CHAR(9)," "),CHAR(160)," "),"."," "),","," "),"-"," "),"/"," "),"("," "),")"," "),":"," "),";"," "),"_"," "),"–"," "),"?"," "),"!"," "),"*"," "),"["," "),"]"," "),"'"," "),"#"," "),"+"," "),"&amp;"," "),"\"," "))&amp;" "</f>
        <v>  </v>
      </c>
      <c r="BD465" s="61" t="str">
        <f aca="false">" "&amp;TRIM(SUBSTITUTE(SUBSTITUTE(SUBSTITUTE(SUBSTITUTE(SUBSTITUTE(SUBSTITUTE(SUBSTITUTE(SUBSTITUTE(SUBSTITUTE(SUBSTITUTE(SUBSTITUTE(SUBSTITUTE(SUBSTITUTE(SUBSTITUTE(SUBSTITUTE(SUBSTITUTE(SUBSTITUTE(SUBSTITUTE(SUBSTITUTE(SUBSTITUTE(SUBSTITUTE(SUBSTITUTE(SUBSTITUTE(SUBSTITUTE(LOWER(Z465&amp;""),CHAR(10)," "),CHAR(13)," "),CHAR(9)," "),CHAR(160)," "),"."," "),","," "),"-"," "),"/"," "),"("," "),")"," "),":"," "),";"," "),"_"," "),"–"," "),"?"," "),"!"," "),"*"," "),"["," "),"]"," "),"'"," "),"#"," "),"+"," "),"&amp;"," "),"\"," "))&amp;" "</f>
        <v>  </v>
      </c>
      <c r="BE465" s="61" t="str">
        <f aca="false">" "&amp;TRIM(SUBSTITUTE(SUBSTITUTE(SUBSTITUTE(SUBSTITUTE(SUBSTITUTE(SUBSTITUTE(SUBSTITUTE(SUBSTITUTE(SUBSTITUTE(SUBSTITUTE(SUBSTITUTE(SUBSTITUTE(SUBSTITUTE(SUBSTITUTE(SUBSTITUTE(SUBSTITUTE(SUBSTITUTE(SUBSTITUTE(SUBSTITUTE(SUBSTITUTE(SUBSTITUTE(SUBSTITUTE(SUBSTITUTE(SUBSTITUTE(LOWER(W465&amp;""),CHAR(10)," "),CHAR(13)," "),CHAR(9)," "),CHAR(160)," "),"."," "),","," "),"-"," "),"/"," "),"("," "),")"," "),":"," "),";"," "),"_"," "),"–"," "),"?"," "),"!"," "),"*"," "),"["," "),"]"," "),"'"," "),"#"," "),"+"," "),"&amp;"," "),"\"," "))&amp;" "</f>
        <v>  </v>
      </c>
      <c r="BF465" s="61" t="str">
        <f aca="false">" "&amp;TRIM(SUBSTITUTE(SUBSTITUTE(SUBSTITUTE(SUBSTITUTE(SUBSTITUTE(SUBSTITUTE(SUBSTITUTE(SUBSTITUTE(SUBSTITUTE(SUBSTITUTE(SUBSTITUTE(SUBSTITUTE(SUBSTITUTE(SUBSTITUTE(SUBSTITUTE(SUBSTITUTE(SUBSTITUTE(SUBSTITUTE(SUBSTITUTE(SUBSTITUTE(SUBSTITUTE(SUBSTITUTE(SUBSTITUTE(SUBSTITUTE(LOWER(AC465&amp;""),CHAR(10)," "),CHAR(13)," "),CHAR(9)," "),CHAR(160)," "),"."," "),","," "),"-"," "),"/"," "),"("," "),")"," "),":"," "),";"," "),"_"," "),"–"," "),"?"," "),"!"," "),"*"," "),"["," "),"]"," "),"'"," "),"#"," "),"+"," "),"&amp;"," "),"\"," "))&amp;" "</f>
        <v>  </v>
      </c>
      <c r="BG465" s="61" t="n">
        <f aca="false">IFERROR(IF(AND(TRIM(U465)="Pass",SUMPRODUCT((LEN(BC465)-LEN(SUBSTITUTE(BC465," "&amp;L_ResultBad&amp;" "," ")))/(LEN(L_ResultBad)+1))&gt;SUMPRODUCT((LEN(BC465)-LEN(SUBSTITUTE(BC465," "&amp;L_NegPhrase&amp;" "," ")))/(LEN(L_NegPhrase)+1))),1,0),0)</f>
        <v>0</v>
      </c>
      <c r="BH465" s="61" t="n">
        <f aca="false">IFERROR(IF(SUMPRODUCT((LEN(BC465)-LEN(SUBSTITUTE(BC465," "&amp;L_Pending&amp;" "," ")))/(LEN(L_Pending)+1))&gt;SUMPRODUCT((LEN(BC465)-LEN(SUBSTITUTE(BC465," "&amp;L_PendNeg&amp;" "," ")))/(LEN(L_PendNeg)+1))+SUMPRODUCT((LEN(BC465)-LEN(SUBSTITUTE(BC465," "&amp;L_PendPrep&amp;" "," ")))/(LEN(L_PendPrep)+1)),1,0),1)</f>
        <v>0</v>
      </c>
      <c r="BI465" s="61" t="n">
        <f aca="false">IFERROR(IF(SUMPRODUCT((LEN(BD465)-LEN(SUBSTITUTE(BD465," "&amp;L_PendStrict&amp;" "," ")))/(LEN(L_PendStrict)+1))&gt;SUMPRODUCT((LEN(BD465)-LEN(SUBSTITUTE(BD465," "&amp;L_PendNeg&amp;" "," ")))/(LEN(L_PendNeg)+1)),1,0),1)</f>
        <v>0</v>
      </c>
      <c r="BJ465" s="61" t="n">
        <f aca="false">IFERROR(IF(SUMPRODUCT((LEN(BE465)-LEN(SUBSTITUTE(BE465," "&amp;L_Pending&amp;" "," ")))/(LEN(L_Pending)+1))&gt;SUMPRODUCT((LEN(BE465)-LEN(SUBSTITUTE(BE465," "&amp;L_PendNeg&amp;" "," ")))/(LEN(L_PendNeg)+1))+SUMPRODUCT((LEN(BE465)-LEN(SUBSTITUTE(BE465," "&amp;L_PendPrep&amp;" "," ")))/(LEN(L_PendPrep)+1)),1,0),1)</f>
        <v>0</v>
      </c>
      <c r="BK465" s="61" t="n">
        <f aca="false">IFERROR(IF(SUMPRODUCT((LEN(BF465)-LEN(SUBSTITUTE(BF465," "&amp;L_PendStrict&amp;" "," ")))/(LEN(L_PendStrict)+1))&gt;SUMPRODUCT((LEN(BF465)-LEN(SUBSTITUTE(BF465," "&amp;L_PendNeg&amp;" "," ")))/(LEN(L_PendNeg)+1)),1,0),1)</f>
        <v>0</v>
      </c>
      <c r="BL465" s="61" t="n">
        <f aca="false">IF(ISNA(MATCH(TRIM(S465),L_EvidenceType,0)),0,BZ465)</f>
        <v>0</v>
      </c>
      <c r="BM465" s="61" t="str">
        <f aca="false">SUBSTITUTE(SUBSTITUTE(SUBSTITUTE(SUBSTITUTE(SUBSTITUTE(SUBSTITUTE(SUBSTITUTE(SUBSTITUTE(SUBSTITUTE(LOWER(Z465&amp;""),"1","0"),"2","0"),"3","0"),"4","0"),"5","0"),"6","0"),"7","0"),"8","0"),"9","0")</f>
        <v/>
      </c>
      <c r="BN465" s="61" t="str">
        <f aca="false">SUBSTITUTE(SUBSTITUTE(SUBSTITUTE(SUBSTITUTE(SUBSTITUTE(SUBSTITUTE(SUBSTITUTE(SUBSTITUTE(SUBSTITUTE(SUBSTITUTE(SUBSTITUTE(SUBSTITUTE(SUBSTITUTE(SUBSTITUTE(SUBSTITUTE(SUBSTITUTE(SUBSTITUTE(SUBSTITUTE(SUBSTITUTE(SUBSTITUTE(SUBSTITUTE(SUBSTITUTE(SUBSTITUTE(SUBSTITUTE(SUBSTITUTE(BM465,"b","a"),"c","a"),"d","a"),"e","a"),"f","a"),"g","a"),"h","a"),"i","a"),"j","a"),"k","a"),"l","a"),"m","a"),"n","a"),"o","a"),"p","a"),"q","a"),"r","a"),"s","a"),"t","a"),"u","a"),"v","a"),"w","a"),"x","a"),"y","a"),"z","a")</f>
        <v/>
      </c>
      <c r="BO465" s="61" t="str">
        <f aca="false">SUBSTITUTE(SUBSTITUTE(SUBSTITUTE(SUBSTITUTE(SUBSTITUTE(SUBSTITUTE(SUBSTITUTE(SUBSTITUTE(SUBSTITUTE(LOWER(W465&amp;""),"1","0"),"2","0"),"3","0"),"4","0"),"5","0"),"6","0"),"7","0"),"8","0"),"9","0")</f>
        <v/>
      </c>
      <c r="BP465" s="61" t="str">
        <f aca="false">SUBSTITUTE(SUBSTITUTE(SUBSTITUTE(SUBSTITUTE(SUBSTITUTE(SUBSTITUTE(SUBSTITUTE(SUBSTITUTE(SUBSTITUTE(SUBSTITUTE(SUBSTITUTE(SUBSTITUTE(SUBSTITUTE(SUBSTITUTE(SUBSTITUTE(SUBSTITUTE(SUBSTITUTE(SUBSTITUTE(SUBSTITUTE(SUBSTITUTE(SUBSTITUTE(SUBSTITUTE(SUBSTITUTE(SUBSTITUTE(SUBSTITUTE(BO465,"b","a"),"c","a"),"d","a"),"e","a"),"f","a"),"g","a"),"h","a"),"i","a"),"j","a"),"k","a"),"l","a"),"m","a"),"n","a"),"o","a"),"p","a"),"q","a"),"r","a"),"s","a"),"t","a"),"u","a"),"v","a"),"w","a"),"x","a"),"y","a"),"z","a")</f>
        <v/>
      </c>
      <c r="BQ465" s="61" t="n">
        <f aca="false">IFERROR(IF(AND(ISERROR(SEARCH(" mh"," "&amp;LOWER(W465))),ISNA(MATCH(LEFT(TRIM(BP465),255),{"0000a","000a","00a","0000aa","000aa","00aa","0aa","0000aaa","000aaa","00a00","0a00","0000-0000","00:00","a00","a0","00.00.0000","00/00/0000","00-00-0000","0000-00-00","0000/00/00","0000.00.00","00.00.00","00/00/00","00-00-00","0.00.0000","0/00/0000","0-00-0000"},0)),ISNA(MATCH(LEFT(TRIM(CA465),255),{"0000a","000a","00a","0000aa","000aa","00aa","0aa","0000aaa","000aaa","00a00","0a00","0000-0000","00:00","a00","a0","00.00.0000","00/00/0000","00-00-0000","0000-00-00","0000/00/00","0000.00.00","00.00.00","00/00/00","00-00-00","0.00.0000","0/00/0000","0-00-0000"},0)),LEN(CB465)&gt;=3,NOT(OR(SUBSTITUTE(CB465,"0","")="",AND(LEN(CB465)&gt;=4,CB465=REPT(LEFT(CB465),LEN(CB465))),ISNUMBER(MATCH(CB465,{"123","1234","12345","123456","1234567","12345678","0123","01234","012345","98765","987654","54321"},0)),AND(LEN(CB465)=8,LEFT(CB465,3)="202"))),OR(AND((LEN(CA465)-LEN(SUBSTITUTE(CA465,"a","")))&gt;=1,SUMPRODUCT(--ISNUMBER(SEARCH({"a0","a-0","a_0","a/0","a.0","a#0","0a","0-a","0_a","0/a"},BP465)))&gt;0),ISNUMBER(SEARCH("000000",BP465)))),1,0),0)</f>
        <v>0</v>
      </c>
      <c r="BR465" s="61" t="n">
        <f aca="false">IFERROR(LEN(SUBSTITUTE(CC465," ",""))-SUMPRODUCT((LEN(CC465)-LEN(SUBSTITUTE(CC465," "&amp;L_Role&amp;" "," ")))/(LEN(L_Role)+1)*LEN(L_Role)),0)</f>
        <v>0</v>
      </c>
      <c r="BS465" s="61" t="n">
        <f aca="false">IFERROR(LEN(SUBSTITUTE(CD465," ",""))-SUMPRODUCT((LEN(CD465)-LEN(SUBSTITUTE(CD465," "&amp;L_Role&amp;" "," ")))/(LEN(L_Role)+1)*LEN(L_Role)),0)</f>
        <v>0</v>
      </c>
      <c r="BT4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465,"revision",""),"version",""),"jan",""),"feb",""),"mar",""),"apr",""),"may",""),"jun",""),"jul",""),"aug",""),"sep",""),"oct",""),"nov",""),"dec",""),"utc",""),"gmt",""),"myt",""),"bst",""),"rev",""),"ver",""),"b","a"),"c","a"),"d","a"),"e","a"),"f","a"),"g","a"),"h","a"),"i","a"),"j","a"),"k","a"),"l","a"),"m","a"),"n","a"),"o","a"),"p","a"),"q","a"),"r","a"),"s","a"),"t","a"),"u","a"),"v","a"),"w","a"),"x","a"),"y","a"),"z","a")</f>
        <v/>
      </c>
      <c r="BU465" s="61" t="str">
        <f aca="false">SUBSTITUTE(SUBSTITUTE(SUBSTITUTE(SUBSTITUTE(SUBSTITUTE(SUBSTITUTE(SUBSTITUTE(SUBSTITUTE(SUBSTITUTE(SUBSTITUTE(LEFT(BM465,FIND("0",BM465&amp;"0")-1),"-",""),"_",""),"/",""),".",""),"#",""),"\\",""),":","")," ",""),"(",""),")","")</f>
        <v/>
      </c>
      <c r="BV465" s="61" t="n">
        <f aca="false">0</f>
        <v>0</v>
      </c>
      <c r="BW4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465&amp;""),"a",""),"b",""),"c",""),"d",""),"e",""),"f",""),"g",""),"h",""),"i",""),"j",""),"k",""),"l",""),"m",""),"n",""),"o",""),"p",""),"q",""),"r",""),"s",""),"t",""),"u",""),"v",""),"w",""),"x",""),"y",""),"z",""),"-",""),"_",""),"/",""),".",""),"#",""),"\\",""),":","")," ",""),"(",""),")","")</f>
        <v/>
      </c>
      <c r="BX465" s="61" t="str">
        <f aca="false">SUBSTITUTE(SUBSTITUTE(SUBSTITUTE(SUBSTITUTE(SUBSTITUTE(SUBSTITUTE(SUBSTITUTE(SUBSTITUTE(SUBSTITUTE(SUBSTITUTE(SUBSTITUTE(BM465,"0",""),"-",""),"_",""),"/",""),".",""),"#",""),"\\",""),":","")," ",""),"(",""),")","")</f>
        <v/>
      </c>
      <c r="BY465" s="62" t="n">
        <f aca="false">Q465-T24EarlyH/24</f>
        <v>46308.0763888889</v>
      </c>
      <c r="BZ465" s="61" t="n">
        <f aca="false">IFERROR(IF(IF(TRIM(S465)="Link / file path",AND(LEN(TRIM(Z465))&gt;=5,SUMPRODUCT(--ISNUMBER(SEARCH({"http","www.","\\",":\",".pdf",".jpg",".jpeg",".png",".heic",".xls",".doc",".msg",".eml",".ppt",".txt",".zip"},Z465)))&gt;0),AND(ISERROR(FIND(" ",TRIM(Z465))),NOT(OR(SUMPRODUCT(--ISNUMBER(FIND({",",";","&amp;","+"},Z465)))&gt;0,SUMPRODUCT(--ISNUMBER(SEARCH({"0/aa","0\\aa"},BN465)))&gt;0)),NOT(SUMPRODUCT(--ISNUMBER(SEARCH({"http","www.","\\",":\",".pdf",".jpg",".jpeg",".png",".heic",".xls",".doc",".msg",".eml",".ppt",".txt",".zip"},Z465)))&gt;0),NOT(LOWER(TRIM(Z465))=LOWER(Flights!$F$18)),ISNA(MATCH(BU465,{"mh","rev","revision","ver","version","v","r","a","b","seat","tray","row","gate","bay","stand","page","pg","item","line","no","cart","galley","flight","flt","table","box","bag","oven","etd","eta","std","sta","atd","ata","qty","pax","x","time","tel","ph","mob","day","wk","week","utc","gmt","myt","lt"},0)),NOT(OR(ISNUMBER(MATCH(LEFT(BN465,255),{"0000a","000a","00a","0000aa","000aa","00aa","0aa","0000aaa","000aaa","00a00","0a00","0000-0000","00:00","a00","a0","00.00.0000","00/00/0000","00-00-0000","0000-00-00","0000/00/00","0000.00.00","00.00.00","00/00/00","00-00-00","0.00.0000","0/00/0000","0-00-0000"},0)),ISNUMBER(MATCH(LEFT(BT465,255),{"0000a","000a","00a","0000aa","000aa","00aa","0aa","0000aaa","000aaa","00a00","0a00","0000-0000","00:00","a00","a0","00.00.0000","00/00/0000","00-00-0000","0000-00-00","0000/00/00","0000.00.00","00.00.00","00/00/00","00-00-00","0.00.0000","0/00/0000","0-00-0000"},0)))),NOT(OR(AND(BW465&lt;&gt;"",SUBSTITUTE(BW465,"0","")=""),AND(LEN(BW465)&gt;=4,BW465=REPT(LEFT(BW465),LEN(BW465))),ISNUMBER(MATCH(BW465,{"123","1234","12345","123456","1234567","12345678","0123","01234","012345","98765","987654","54321"},0)),ISNUMBER(MATCH(BX465,{"x","xx","xxx","xxxx","xxxxx","abc","abcd","nil","na","nan","test","tbc","tba","tbd","dummy","sample","example","eg","zz","zzz","none","null","xyz","qwe","asd","id","ref"},0)),AND(LEN(BW465)=8,BX465="",OR(LEFT(BW465,3)="202",ISNUMBER(MATCH(RIGHT(BW465,4),{"2025","2026","2027"},0)))))),OR(AND((LEN(BT465)-LEN(SUBSTITUTE(BT465,"a","")))&gt;=1,(LEN(BN465)-LEN(SUBSTITUTE(BN465,"0","")))&gt;=2,SUMPRODUCT(--ISNUMBER(SEARCH({"a0","a-0","a_0","a/0","a.0","a#0","0a","0-a","0_a","0/a"},BN465)))&gt;0),AND((LEN(BN465)-LEN(SUBSTITUTE(BN465,"a","")))=0,(LEN(BN465)-LEN(SUBSTITUTE(BN465,"0","")))&gt;=5)))),1,0),0)</f>
        <v>0</v>
      </c>
      <c r="CA4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465,"revision",""),"version",""),"jan",""),"feb",""),"mar",""),"apr",""),"may",""),"jun",""),"jul",""),"aug",""),"sep",""),"oct",""),"nov",""),"dec",""),"utc",""),"gmt",""),"myt",""),"bst",""),"rev",""),"ver",""),"b","a"),"c","a"),"d","a"),"e","a"),"f","a"),"g","a"),"h","a"),"i","a"),"j","a"),"k","a"),"l","a"),"m","a"),"n","a"),"o","a"),"p","a"),"q","a"),"r","a"),"s","a"),"t","a"),"u","a"),"v","a"),"w","a"),"x","a"),"y","a"),"z","a")</f>
        <v/>
      </c>
      <c r="CB4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465&amp;""),"a",""),"b",""),"c",""),"d",""),"e",""),"f",""),"g",""),"h",""),"i",""),"j",""),"k",""),"l",""),"m",""),"n",""),"o",""),"p",""),"q",""),"r",""),"s",""),"t",""),"u",""),"v",""),"w",""),"x",""),"y",""),"z",""),"-",""),"_",""),"/",""),".",""),"#",""),"\\",""),":","")," ",""),"(",""),")","")</f>
        <v/>
      </c>
      <c r="CC465" s="0" t="str">
        <f aca="false">" "&amp;TRIM(SUBSTITUTE(SUBSTITUTE(SUBSTITUTE(SUBSTITUTE(SUBSTITUTE(SUBSTITUTE(SUBSTITUTE(SUBSTITUTE(SUBSTITUTE(SUBSTITUTE(SUBSTITUTE(SUBSTITUTE(SUBSTITUTE(SUBSTITUTE(SUBSTITUTE(SUBSTITUTE(SUBSTITUTE(SUBSTITUTE(SUBSTITUTE(SUBSTITUTE(SUBSTITUTE(SUBSTITUTE(SUBSTITUTE(SUBSTITUTE(LOWER(T465&amp;""),CHAR(10)," "),CHAR(13)," "),CHAR(9)," "),CHAR(160)," "),"."," "),","," "),"-"," "),"/"," "),"("," "),")"," "),":"," "),";"," "),"_"," "),"–"," "),"?"," "),"!"," "),"*"," "),"["," "),"]"," "),"'"," "),"#"," "),"+"," "),"&amp;"," "),"\"," "))&amp;" "</f>
        <v>  </v>
      </c>
      <c r="CD465" s="0" t="str">
        <f aca="false">" "&amp;TRIM(SUBSTITUTE(SUBSTITUTE(SUBSTITUTE(SUBSTITUTE(SUBSTITUTE(SUBSTITUTE(SUBSTITUTE(SUBSTITUTE(SUBSTITUTE(SUBSTITUTE(SUBSTITUTE(SUBSTITUTE(SUBSTITUTE(SUBSTITUTE(SUBSTITUTE(SUBSTITUTE(SUBSTITUTE(SUBSTITUTE(SUBSTITUTE(SUBSTITUTE(SUBSTITUTE(SUBSTITUTE(SUBSTITUTE(SUBSTITUTE(LOWER(AE465&amp;""),CHAR(10)," "),CHAR(13)," "),CHAR(9)," "),CHAR(160)," "),"."," "),","," "),"-"," "),"/"," "),"("," "),")"," "),":"," "),";"," "),"_"," "),"–"," "),"?"," "),"!"," "),"*"," "),"["," "),"]"," "),"'"," "),"#"," "),"+"," "),"&amp;"," "),"\"," "))&amp;" "</f>
        <v>  </v>
      </c>
      <c r="CE465" s="68" t="n">
        <f aca="false">IFERROR(IF(AND(LEN(AU465)&gt;0,LEN(AU465)=LEN(AX465),OR(TRIM(MID(SUBSTITUTE(TRIM(CC465)," ",REPT(" ",60)),1,60))="",ISNUMBER(SEARCH(" "&amp;TRIM(MID(SUBSTITUTE(TRIM(CC465)," ",REPT(" ",60)),1,60))&amp;" ",CD465))),OR(TRIM(MID(SUBSTITUTE(TRIM(CC465)," ",REPT(" ",60)),61,60))="",ISNUMBER(SEARCH(" "&amp;TRIM(MID(SUBSTITUTE(TRIM(CC465)," ",REPT(" ",60)),61,60))&amp;" ",CD465))),OR(TRIM(MID(SUBSTITUTE(TRIM(CC465)," ",REPT(" ",60)),121,60))="",ISNUMBER(SEARCH(" "&amp;TRIM(MID(SUBSTITUTE(TRIM(CC465)," ",REPT(" ",60)),121,60))&amp;" ",CD465)))),1,0),0)</f>
        <v>0</v>
      </c>
      <c r="CG465" s="68" t="n">
        <f aca="false">IFERROR(LEN(SUBSTITUTE(BF465," ",""))-SUMPRODUCT((LEN(BF465)-LEN(SUBSTITUTE(BF465," "&amp;L_NAFiller&amp;" "," ")))/(LEN(L_NAFiller)+1)*LEN(L_NAFiller)),0)</f>
        <v>0</v>
      </c>
    </row>
    <row r="466" customFormat="false" ht="39.75" hidden="false" customHeight="true" outlineLevel="0" collapsed="false">
      <c r="A466" s="57" t="s">
        <v>1113</v>
      </c>
      <c r="B466" s="57" t="s">
        <v>276</v>
      </c>
      <c r="C466" s="57" t="str">
        <f aca="false">Flights!$F$18</f>
        <v>MH0004</v>
      </c>
      <c r="D466" s="58" t="n">
        <f aca="false">Flights!$D$18</f>
        <v>46310</v>
      </c>
      <c r="E466" s="57" t="str">
        <f aca="false">Flights!$G$18&amp;"-"&amp;Flights!$H$18</f>
        <v>KUL-LHR</v>
      </c>
      <c r="F466" s="57" t="str">
        <f aca="false">Flights!$K$18</f>
        <v>EY</v>
      </c>
      <c r="G466" s="57" t="s">
        <v>420</v>
      </c>
      <c r="H466" s="57" t="s">
        <v>378</v>
      </c>
      <c r="I466" s="57" t="s">
        <v>379</v>
      </c>
      <c r="J466" s="57" t="s">
        <v>421</v>
      </c>
      <c r="K466" s="67"/>
      <c r="L466" s="67" t="s">
        <v>422</v>
      </c>
      <c r="M466" s="67"/>
      <c r="N466" s="67" t="s">
        <v>383</v>
      </c>
      <c r="O466" s="67" t="s">
        <v>423</v>
      </c>
      <c r="P466" s="57" t="s">
        <v>187</v>
      </c>
      <c r="Q466" s="59" t="n">
        <f aca="false">ROUND((Flights!$AE$18)*1440,0)/1440</f>
        <v>46309.5763888889</v>
      </c>
      <c r="R466" s="59" t="n">
        <f aca="false">Q466+(IF(AND(INDEX(TZ_DSTS,MATCH(P466,TZ_STN,0))&lt;&gt;"",Q466&gt;=INDEX(TZ_DSTS,MATCH(P466,TZ_STN,0)),Q466&lt;INDEX(TZ_DSTE,MATCH(P466,TZ_STN,0))),INDEX(TZ_DST,MATCH(P466,TZ_STN,0)),INDEX(TZ_STD,MATCH(P466,TZ_STN,0))))/24</f>
        <v>46309.9097222222</v>
      </c>
      <c r="S466" s="60"/>
      <c r="T466" s="60"/>
      <c r="U466" s="60"/>
      <c r="V466" s="60"/>
      <c r="W466" s="61"/>
      <c r="X466" s="60"/>
      <c r="Y466" s="60"/>
      <c r="Z466" s="60"/>
      <c r="AA466" s="60"/>
      <c r="AB466" s="60"/>
      <c r="AC466" s="60"/>
      <c r="AD466" s="66"/>
      <c r="AE466" s="60"/>
      <c r="AF466" s="61" t="str">
        <f aca="false">IF(AND(ISNUMBER(X466),ISNUMBER(Y466)),Y466-X466,"")</f>
        <v/>
      </c>
      <c r="AG466" s="62" t="str">
        <f aca="false">IF(ISNUMBER(AD466),AD466-(IF(AND(INDEX(TZ_DSTS,MATCH(P466,TZ_STN,0))&lt;&gt;"",(AD466-INDEX(TZ_STD,MATCH(P466,TZ_STN,0))/24)&gt;=INDEX(TZ_DSTS,MATCH(P466,TZ_STN,0)),(AD466-INDEX(TZ_STD,MATCH(P466,TZ_STN,0))/24)&lt;INDEX(TZ_DSTE,MATCH(P466,TZ_STN,0))),INDEX(TZ_DST,MATCH(P466,TZ_STN,0)),INDEX(TZ_STD,MATCH(P466,TZ_STN,0))))/24,"")</f>
        <v/>
      </c>
      <c r="AH466" s="65" t="str">
        <f aca="false">IFERROR(IF(N466="N/A – rule",IF(OR(TRIM(U466)="",TRIM(U466)="N/A",TRIM(U466)="Not started"),"N/A – RULE","INVALID – this check does not apply to this aircraft: clear the status (or correct the fleet on Flights)"),IF(TRIM(U466)="N/A",IF(AT466=0,"INVALID – N/A not permitted for this check",IF(AND(TRIM(AB466)&lt;&gt;"",TRIM(AB466)&lt;&gt;"Closed"),"INVALID – corrective action still open",IF(AND(NOT(OR(LEN(AZ466)&lt;15,ISNUMBER(MATCH(AZ466,L_Placeholder,0)))),BK466=0,CG466&gt;=8,NOT(OR(LEN(AU466)&lt;2,ISNUMBER(MATCH(AU466,L_Placeholder,0)))),BR466&gt;=3,NOT(OR(LEN(AX466)&lt;2,ISNUMBER(MATCH(AX466,L_Placeholder,0)))),BS466&gt;=3,TRIM(AE466)&lt;&gt;TRIM(T466),AX466&lt;&gt;AU466,CE466=0),"N/A – JUSTIFIED","INVALID – N/A needs a real, settled reason (not 'not applicable' / 'as above' / TBC), a named PIC and a different named verifier"))),IF(OR(TRIM(U466)="Pass",TRIM(U466)="Pass after CA"),IF(NOT(ISNUMBER(AD466)),"INVALID – completion time missing",IF(OR(OR(LEN(AU466)&lt;2,ISNUMBER(MATCH(AU466,L_Placeholder,0))),BR466&lt;3),"INVALID – PIC missing or not a named person (a role such as QA / CSM is not a name)",IF(OR(LEN(AV466)&lt;2,ISNUMBER(MATCH(AV466,L_Placeholder,0))),"INVALID – result / assessment missing",IF(OR(OR(LEN(AW466)&lt;3,ISNUMBER(MATCH(AW466,L_Placeholder,0))),SUMPRODUCT(--ISNUMBER(SEARCH(" "&amp;L_EvidencePhrase&amp;" ",BD466)))&gt;0,BI466=1),"INVALID – evidence missing, placeholder or not yet on file",IF(ISNA(MATCH(TRIM(S466),L_EvidenceType,0)),"INVALID – choose the evidence type from the list (column S)",IF(BL466=0,"INVALID – evidence ID must be the record's own ID only (e.g. SF-2210, IMG_2231, 1045521); a link / file name needs type 'Link / file path'",IF(OR(OR(LEN(AX466)&lt;2,ISNUMBER(MATCH(AX466,L_Placeholder,0))),BS466&lt;3),"INVALID – verifier missing or not a named person (a role such as QA / CSM is not a name)",IF(OR(AX466=AU466,CE466=1,AND(LEN(AU466)&gt;=4,ISNUMBER(SEARCH(AU466,AX466))),AND(LEN(AX466)&gt;=4,ISNUMBER(SEARCH(AX466,AU466)))),"INVALID – verifier must be a different, named person (not the PIC or a role)",IF(BH466=1,"INVALID – result not yet available (awaiting / TBC)",IF(BG466=1,"INVALID – result describes a problem: record Fail, then Pass after CA (or reword if it is not a problem)",IF(BV466=1,"INVALID – wording says not on board: an on-board confirmation needs the item loaded",IF(AND(AQ466=1,OR(OR(LEN(AY466)&lt;3,ISNUMBER(MATCH(AY466,L_Placeholder,0))),BJ466=1,BQ466=0)),"INVALID – batch ID missing, placeholder or not an ID (e.g. PASB-261008-BC-017)",IF(AND(AR466=1,OR(NOT(ISNUMBER(X466)),NOT(ISNUMBER(Y466)))),"INVALID – expected/actual qty missing",IF(AND(AR466=1,OR(X466&lt;=0,Y466&lt;0)),"INVALID – expected qty must be above 0 and actual not negative",IF(BB466&lt;&gt;"",BB466,IF(AND(AS466=1,Documents!$J$18&lt;&gt;"ON FILE"),"INVALID – GLD not on file (Documents sheet)",IF(AND(AS466=2,Documents!$O$18&lt;&gt;"ON FILE"),"INVALID – menu checklist not on file (Documents sheet)",IF(AND(AS466=3,NOT(ISNUMBER(Flights!$AX$18))),"INVALID – enter carrying flight KUL departure (Flights AX)",IF(AND(AS466=3,OR(Flights!$AZ$18&gt;Flights!$AA$18,Flights!$AX$18&lt;Flights!$AA$18-3)),"INVALID – carrying flight (Flights AX) cannot arrive before this leg's STD, or is over 3 days early",IF(AG466&gt;AsOfUTC,"INVALID – completion time is in the future",IF(AND(ISNUMBER(BY466),AG466&lt;BY466),IF(H466="Physical uplift","INVALID – before uplift window (cannot confirm loading)","INVALID – before valid window"),IF(AG466&gt;Flights!$AA$18,"INVALID – completed after departure (cannot establish readiness)",IF(AND(H466="Preparation",AG466&gt;=IF(ISNUMBER(Flights!$BA$18),MIN(Flights!$BA$18,Flights!$AA$18),Flights!$AA$18)),"INVALID – completed after loading / departure (cannot establish readiness)",IF(AND(H466="Physical uplift",AG466&gt;Q466),"INVALID – recorded after the loading flight departed",IF(AG466&gt;Q466,"COMPLETE – LATE","COMPLETE"))))))))))))))))))))))))),IF(TRIM(U466)="Fail","FAIL – DISCREPANCY",IF(AND(TRIM(U466)&lt;&gt;"",TRIM(U466)&lt;&gt;"Not started",TRIM(U466)&lt;&gt;"In progress"),"INVALID – unrecognised status (use the list)",IF(AsOfUTC&gt;Q466,"OVERDUE",IF(N466="Clarification required","OPEN – CLARIFICATION","OPEN"))))))),"INVALID – error value in an input cell")</f>
        <v>OPEN</v>
      </c>
      <c r="AI466" s="61" t="n">
        <f aca="false">IF(OR(AH466="N/A – RULE",AH466="N/A – JUSTIFIED"),0,1)</f>
        <v>1</v>
      </c>
      <c r="AJ466" s="61" t="n">
        <f aca="false">IF(LEFT(AH466,8)="COMPLETE",1,0)</f>
        <v>0</v>
      </c>
      <c r="AK466" s="61" t="n">
        <f aca="false">IF(AND(AI466=1,AJ466=0,AsOfUTC&gt;Q466),1,0)</f>
        <v>0</v>
      </c>
      <c r="AL466" s="61" t="n">
        <f aca="false">IFERROR(IF(AND(AI466=1,OR(TRIM(U466)="Fail",AND(TRIM(AB466)&lt;&gt;"",TRIM(AB466)&lt;&gt;"Closed"),AND(ISNUMBER(AF466),AF466&lt;&gt;0,TRIM(U466)&lt;&gt;"Pass after CA"))),1,0),1)</f>
        <v>0</v>
      </c>
      <c r="AM466" s="61" t="n">
        <f aca="false">IF(LEFT(AH466,7)="INVALID",1,0)</f>
        <v>0</v>
      </c>
      <c r="AN466" s="61" t="n">
        <f aca="false">IF(AND(N466="Clarification required",AI466=1,AJ466=0),1,0)</f>
        <v>0</v>
      </c>
      <c r="AO466" s="61" t="str">
        <f aca="false">IF(AK466=1,SUM(AK$5:AK466),"")</f>
        <v/>
      </c>
      <c r="AP466" s="61" t="str">
        <f aca="false">IF(AL466=1,SUM(AL$5:AL466),"")</f>
        <v/>
      </c>
      <c r="AQ466" s="61" t="n">
        <v>0</v>
      </c>
      <c r="AR466" s="61" t="n">
        <v>0</v>
      </c>
      <c r="AS466" s="61" t="n">
        <v>0</v>
      </c>
      <c r="AT466" s="61" t="n">
        <v>0</v>
      </c>
      <c r="AU466" s="61" t="str">
        <f aca="false">SUBSTITUTE(SUBSTITUTE(SUBSTITUTE(SUBSTITUTE(SUBSTITUTE(SUBSTITUTE(SUBSTITUTE(SUBSTITUTE(SUBSTITUTE(SUBSTITUTE(SUBSTITUTE(SUBSTITUTE(SUBSTITUTE(SUBSTITUTE(SUBSTITUTE(SUBSTITUTE(LOWER(T466&amp;""),CHAR(10),""),CHAR(13),""),CHAR(9),""),CHAR(160),"")," ",""),".",""),"-",""),"/",""),"?",""),"_",""),",",""),"[",""),"]",""),"(",""),")",""),"*","")</f>
        <v/>
      </c>
      <c r="AV466" s="61" t="str">
        <f aca="false">SUBSTITUTE(SUBSTITUTE(SUBSTITUTE(SUBSTITUTE(SUBSTITUTE(SUBSTITUTE(SUBSTITUTE(SUBSTITUTE(SUBSTITUTE(SUBSTITUTE(SUBSTITUTE(SUBSTITUTE(SUBSTITUTE(SUBSTITUTE(SUBSTITUTE(SUBSTITUTE(LOWER(V466&amp;""),CHAR(10),""),CHAR(13),""),CHAR(9),""),CHAR(160),"")," ",""),".",""),"-",""),"/",""),"?",""),"_",""),",",""),"[",""),"]",""),"(",""),")",""),"*","")</f>
        <v/>
      </c>
      <c r="AW466" s="61" t="str">
        <f aca="false">SUBSTITUTE(SUBSTITUTE(SUBSTITUTE(SUBSTITUTE(SUBSTITUTE(SUBSTITUTE(SUBSTITUTE(SUBSTITUTE(SUBSTITUTE(SUBSTITUTE(SUBSTITUTE(SUBSTITUTE(SUBSTITUTE(SUBSTITUTE(SUBSTITUTE(SUBSTITUTE(LOWER(Z466&amp;""),CHAR(10),""),CHAR(13),""),CHAR(9),""),CHAR(160),"")," ",""),".",""),"-",""),"/",""),"?",""),"_",""),",",""),"[",""),"]",""),"(",""),")",""),"*","")</f>
        <v/>
      </c>
      <c r="AX466" s="61" t="str">
        <f aca="false">SUBSTITUTE(SUBSTITUTE(SUBSTITUTE(SUBSTITUTE(SUBSTITUTE(SUBSTITUTE(SUBSTITUTE(SUBSTITUTE(SUBSTITUTE(SUBSTITUTE(SUBSTITUTE(SUBSTITUTE(SUBSTITUTE(SUBSTITUTE(SUBSTITUTE(SUBSTITUTE(LOWER(AE466&amp;""),CHAR(10),""),CHAR(13),""),CHAR(9),""),CHAR(160),"")," ",""),".",""),"-",""),"/",""),"?",""),"_",""),",",""),"[",""),"]",""),"(",""),")",""),"*","")</f>
        <v/>
      </c>
      <c r="AY466" s="61" t="str">
        <f aca="false">SUBSTITUTE(SUBSTITUTE(SUBSTITUTE(SUBSTITUTE(SUBSTITUTE(SUBSTITUTE(SUBSTITUTE(SUBSTITUTE(SUBSTITUTE(SUBSTITUTE(SUBSTITUTE(SUBSTITUTE(SUBSTITUTE(SUBSTITUTE(SUBSTITUTE(SUBSTITUTE(LOWER(W466&amp;""),CHAR(10),""),CHAR(13),""),CHAR(9),""),CHAR(160),"")," ",""),".",""),"-",""),"/",""),"?",""),"_",""),",",""),"[",""),"]",""),"(",""),")",""),"*","")</f>
        <v/>
      </c>
      <c r="AZ466" s="61" t="str">
        <f aca="false">SUBSTITUTE(SUBSTITUTE(SUBSTITUTE(SUBSTITUTE(SUBSTITUTE(SUBSTITUTE(SUBSTITUTE(SUBSTITUTE(SUBSTITUTE(SUBSTITUTE(SUBSTITUTE(SUBSTITUTE(SUBSTITUTE(SUBSTITUTE(SUBSTITUTE(SUBSTITUTE(LOWER(AC466&amp;""),CHAR(10),""),CHAR(13),""),CHAR(9),""),CHAR(160),"")," ",""),".",""),"-",""),"/",""),"?",""),"_",""),",",""),"[",""),"]",""),"(",""),")",""),"*","")</f>
        <v/>
      </c>
      <c r="BA466" s="61" t="str">
        <f aca="false">SUBSTITUTE(SUBSTITUTE(SUBSTITUTE(SUBSTITUTE(SUBSTITUTE(SUBSTITUTE(SUBSTITUTE(SUBSTITUTE(SUBSTITUTE(SUBSTITUTE(SUBSTITUTE(SUBSTITUTE(SUBSTITUTE(SUBSTITUTE(SUBSTITUTE(SUBSTITUTE(LOWER(AA466&amp;""),CHAR(10),""),CHAR(13),""),CHAR(9),""),CHAR(160),"")," ",""),".",""),"-",""),"/",""),"?",""),"_",""),",",""),"[",""),"]",""),"(",""),")",""),"*","")</f>
        <v/>
      </c>
      <c r="BB466" s="61" t="str">
        <f aca="false">IF(AND(TRIM(U466)="Pass",ISNUMBER(AF466)),IF(AF466&lt;&gt;0,"INVALID – qty variance: use Fail or Pass after CA",""),"")&amp;IF(AND(TRIM(U466)="Pass after CA",ISNUMBER(AF466)),IF(AF466&lt;&gt;0,"INVALID – after the corrective action the actual qty must equal expected (update Actual)",""),"")&amp;IF(AND(TRIM(U466)="Pass",TRIM(AB466)&lt;&gt;"",TRIM(AB466)&lt;&gt;"Closed"),"INVALID – corrective action not closed: use Fail, then Pass after CA","")&amp;IF(AND(LEN(BA466)&gt;=2,ISNA(MATCH(LEFT(BA466,255),L_Placeholder,0)),TRIM(AB466)=""),"INVALID – CA status missing for the recorded corrective action","")&amp;IF(AND(TRIM(U466)="Pass after CA",OR(OR(LEN(BA466)&lt;5,ISNUMBER(MATCH(BA466,L_Placeholder,0))),TRIM(AB466)&lt;&gt;"Closed")),"INVALID – corrective action not recorded/closed","")</f>
        <v/>
      </c>
      <c r="BC466" s="61" t="str">
        <f aca="false">" "&amp;TRIM(SUBSTITUTE(SUBSTITUTE(SUBSTITUTE(SUBSTITUTE(SUBSTITUTE(SUBSTITUTE(SUBSTITUTE(SUBSTITUTE(SUBSTITUTE(SUBSTITUTE(SUBSTITUTE(SUBSTITUTE(SUBSTITUTE(SUBSTITUTE(SUBSTITUTE(SUBSTITUTE(SUBSTITUTE(SUBSTITUTE(SUBSTITUTE(SUBSTITUTE(SUBSTITUTE(SUBSTITUTE(SUBSTITUTE(SUBSTITUTE(LOWER(V466&amp;""),CHAR(10)," "),CHAR(13)," "),CHAR(9)," "),CHAR(160)," "),"."," "),","," "),"-"," "),"/"," "),"("," "),")"," "),":"," "),";"," "),"_"," "),"–"," "),"?"," "),"!"," "),"*"," "),"["," "),"]"," "),"'"," "),"#"," "),"+"," "),"&amp;"," "),"\"," "))&amp;" "</f>
        <v>  </v>
      </c>
      <c r="BD466" s="61" t="str">
        <f aca="false">" "&amp;TRIM(SUBSTITUTE(SUBSTITUTE(SUBSTITUTE(SUBSTITUTE(SUBSTITUTE(SUBSTITUTE(SUBSTITUTE(SUBSTITUTE(SUBSTITUTE(SUBSTITUTE(SUBSTITUTE(SUBSTITUTE(SUBSTITUTE(SUBSTITUTE(SUBSTITUTE(SUBSTITUTE(SUBSTITUTE(SUBSTITUTE(SUBSTITUTE(SUBSTITUTE(SUBSTITUTE(SUBSTITUTE(SUBSTITUTE(SUBSTITUTE(LOWER(Z466&amp;""),CHAR(10)," "),CHAR(13)," "),CHAR(9)," "),CHAR(160)," "),"."," "),","," "),"-"," "),"/"," "),"("," "),")"," "),":"," "),";"," "),"_"," "),"–"," "),"?"," "),"!"," "),"*"," "),"["," "),"]"," "),"'"," "),"#"," "),"+"," "),"&amp;"," "),"\"," "))&amp;" "</f>
        <v>  </v>
      </c>
      <c r="BE466" s="61" t="str">
        <f aca="false">" "&amp;TRIM(SUBSTITUTE(SUBSTITUTE(SUBSTITUTE(SUBSTITUTE(SUBSTITUTE(SUBSTITUTE(SUBSTITUTE(SUBSTITUTE(SUBSTITUTE(SUBSTITUTE(SUBSTITUTE(SUBSTITUTE(SUBSTITUTE(SUBSTITUTE(SUBSTITUTE(SUBSTITUTE(SUBSTITUTE(SUBSTITUTE(SUBSTITUTE(SUBSTITUTE(SUBSTITUTE(SUBSTITUTE(SUBSTITUTE(SUBSTITUTE(LOWER(W466&amp;""),CHAR(10)," "),CHAR(13)," "),CHAR(9)," "),CHAR(160)," "),"."," "),","," "),"-"," "),"/"," "),"("," "),")"," "),":"," "),";"," "),"_"," "),"–"," "),"?"," "),"!"," "),"*"," "),"["," "),"]"," "),"'"," "),"#"," "),"+"," "),"&amp;"," "),"\"," "))&amp;" "</f>
        <v>  </v>
      </c>
      <c r="BF466" s="61" t="str">
        <f aca="false">" "&amp;TRIM(SUBSTITUTE(SUBSTITUTE(SUBSTITUTE(SUBSTITUTE(SUBSTITUTE(SUBSTITUTE(SUBSTITUTE(SUBSTITUTE(SUBSTITUTE(SUBSTITUTE(SUBSTITUTE(SUBSTITUTE(SUBSTITUTE(SUBSTITUTE(SUBSTITUTE(SUBSTITUTE(SUBSTITUTE(SUBSTITUTE(SUBSTITUTE(SUBSTITUTE(SUBSTITUTE(SUBSTITUTE(SUBSTITUTE(SUBSTITUTE(LOWER(AC466&amp;""),CHAR(10)," "),CHAR(13)," "),CHAR(9)," "),CHAR(160)," "),"."," "),","," "),"-"," "),"/"," "),"("," "),")"," "),":"," "),";"," "),"_"," "),"–"," "),"?"," "),"!"," "),"*"," "),"["," "),"]"," "),"'"," "),"#"," "),"+"," "),"&amp;"," "),"\"," "))&amp;" "</f>
        <v>  </v>
      </c>
      <c r="BG466" s="61" t="n">
        <f aca="false">IFERROR(IF(AND(TRIM(U466)="Pass",SUMPRODUCT((LEN(BC466)-LEN(SUBSTITUTE(BC466," "&amp;L_ResultBad&amp;" "," ")))/(LEN(L_ResultBad)+1))&gt;SUMPRODUCT((LEN(BC466)-LEN(SUBSTITUTE(BC466," "&amp;L_NegPhrase&amp;" "," ")))/(LEN(L_NegPhrase)+1))),1,0),0)</f>
        <v>0</v>
      </c>
      <c r="BH466" s="61" t="n">
        <f aca="false">IFERROR(IF(SUMPRODUCT((LEN(BC466)-LEN(SUBSTITUTE(BC466," "&amp;L_Pending&amp;" "," ")))/(LEN(L_Pending)+1))&gt;SUMPRODUCT((LEN(BC466)-LEN(SUBSTITUTE(BC466," "&amp;L_PendNeg&amp;" "," ")))/(LEN(L_PendNeg)+1))+SUMPRODUCT((LEN(BC466)-LEN(SUBSTITUTE(BC466," "&amp;L_PendPrep&amp;" "," ")))/(LEN(L_PendPrep)+1)),1,0),1)</f>
        <v>0</v>
      </c>
      <c r="BI466" s="61" t="n">
        <f aca="false">IFERROR(IF(SUMPRODUCT((LEN(BD466)-LEN(SUBSTITUTE(BD466," "&amp;L_PendStrict&amp;" "," ")))/(LEN(L_PendStrict)+1))&gt;SUMPRODUCT((LEN(BD466)-LEN(SUBSTITUTE(BD466," "&amp;L_PendNeg&amp;" "," ")))/(LEN(L_PendNeg)+1)),1,0),1)</f>
        <v>0</v>
      </c>
      <c r="BJ466" s="61" t="n">
        <f aca="false">IFERROR(IF(SUMPRODUCT((LEN(BE466)-LEN(SUBSTITUTE(BE466," "&amp;L_Pending&amp;" "," ")))/(LEN(L_Pending)+1))&gt;SUMPRODUCT((LEN(BE466)-LEN(SUBSTITUTE(BE466," "&amp;L_PendNeg&amp;" "," ")))/(LEN(L_PendNeg)+1))+SUMPRODUCT((LEN(BE466)-LEN(SUBSTITUTE(BE466," "&amp;L_PendPrep&amp;" "," ")))/(LEN(L_PendPrep)+1)),1,0),1)</f>
        <v>0</v>
      </c>
      <c r="BK466" s="61" t="n">
        <f aca="false">IFERROR(IF(SUMPRODUCT((LEN(BF466)-LEN(SUBSTITUTE(BF466," "&amp;L_PendStrict&amp;" "," ")))/(LEN(L_PendStrict)+1))&gt;SUMPRODUCT((LEN(BF466)-LEN(SUBSTITUTE(BF466," "&amp;L_PendNeg&amp;" "," ")))/(LEN(L_PendNeg)+1)),1,0),1)</f>
        <v>0</v>
      </c>
      <c r="BL466" s="61" t="n">
        <f aca="false">IF(ISNA(MATCH(TRIM(S466),L_EvidenceType,0)),0,BZ466)</f>
        <v>0</v>
      </c>
      <c r="BM466" s="61" t="str">
        <f aca="false">SUBSTITUTE(SUBSTITUTE(SUBSTITUTE(SUBSTITUTE(SUBSTITUTE(SUBSTITUTE(SUBSTITUTE(SUBSTITUTE(SUBSTITUTE(LOWER(Z466&amp;""),"1","0"),"2","0"),"3","0"),"4","0"),"5","0"),"6","0"),"7","0"),"8","0"),"9","0")</f>
        <v/>
      </c>
      <c r="BN466" s="61" t="str">
        <f aca="false">SUBSTITUTE(SUBSTITUTE(SUBSTITUTE(SUBSTITUTE(SUBSTITUTE(SUBSTITUTE(SUBSTITUTE(SUBSTITUTE(SUBSTITUTE(SUBSTITUTE(SUBSTITUTE(SUBSTITUTE(SUBSTITUTE(SUBSTITUTE(SUBSTITUTE(SUBSTITUTE(SUBSTITUTE(SUBSTITUTE(SUBSTITUTE(SUBSTITUTE(SUBSTITUTE(SUBSTITUTE(SUBSTITUTE(SUBSTITUTE(SUBSTITUTE(BM466,"b","a"),"c","a"),"d","a"),"e","a"),"f","a"),"g","a"),"h","a"),"i","a"),"j","a"),"k","a"),"l","a"),"m","a"),"n","a"),"o","a"),"p","a"),"q","a"),"r","a"),"s","a"),"t","a"),"u","a"),"v","a"),"w","a"),"x","a"),"y","a"),"z","a")</f>
        <v/>
      </c>
      <c r="BO466" s="61" t="str">
        <f aca="false">SUBSTITUTE(SUBSTITUTE(SUBSTITUTE(SUBSTITUTE(SUBSTITUTE(SUBSTITUTE(SUBSTITUTE(SUBSTITUTE(SUBSTITUTE(LOWER(W466&amp;""),"1","0"),"2","0"),"3","0"),"4","0"),"5","0"),"6","0"),"7","0"),"8","0"),"9","0")</f>
        <v/>
      </c>
      <c r="BP466" s="61" t="str">
        <f aca="false">SUBSTITUTE(SUBSTITUTE(SUBSTITUTE(SUBSTITUTE(SUBSTITUTE(SUBSTITUTE(SUBSTITUTE(SUBSTITUTE(SUBSTITUTE(SUBSTITUTE(SUBSTITUTE(SUBSTITUTE(SUBSTITUTE(SUBSTITUTE(SUBSTITUTE(SUBSTITUTE(SUBSTITUTE(SUBSTITUTE(SUBSTITUTE(SUBSTITUTE(SUBSTITUTE(SUBSTITUTE(SUBSTITUTE(SUBSTITUTE(SUBSTITUTE(BO466,"b","a"),"c","a"),"d","a"),"e","a"),"f","a"),"g","a"),"h","a"),"i","a"),"j","a"),"k","a"),"l","a"),"m","a"),"n","a"),"o","a"),"p","a"),"q","a"),"r","a"),"s","a"),"t","a"),"u","a"),"v","a"),"w","a"),"x","a"),"y","a"),"z","a")</f>
        <v/>
      </c>
      <c r="BQ466" s="61" t="n">
        <f aca="false">IFERROR(IF(AND(ISERROR(SEARCH(" mh"," "&amp;LOWER(W466))),ISNA(MATCH(LEFT(TRIM(BP466),255),{"0000a","000a","00a","0000aa","000aa","00aa","0aa","0000aaa","000aaa","00a00","0a00","0000-0000","00:00","a00","a0","00.00.0000","00/00/0000","00-00-0000","0000-00-00","0000/00/00","0000.00.00","00.00.00","00/00/00","00-00-00","0.00.0000","0/00/0000","0-00-0000"},0)),ISNA(MATCH(LEFT(TRIM(CA466),255),{"0000a","000a","00a","0000aa","000aa","00aa","0aa","0000aaa","000aaa","00a00","0a00","0000-0000","00:00","a00","a0","00.00.0000","00/00/0000","00-00-0000","0000-00-00","0000/00/00","0000.00.00","00.00.00","00/00/00","00-00-00","0.00.0000","0/00/0000","0-00-0000"},0)),LEN(CB466)&gt;=3,NOT(OR(SUBSTITUTE(CB466,"0","")="",AND(LEN(CB466)&gt;=4,CB466=REPT(LEFT(CB466),LEN(CB466))),ISNUMBER(MATCH(CB466,{"123","1234","12345","123456","1234567","12345678","0123","01234","012345","98765","987654","54321"},0)),AND(LEN(CB466)=8,LEFT(CB466,3)="202"))),OR(AND((LEN(CA466)-LEN(SUBSTITUTE(CA466,"a","")))&gt;=1,SUMPRODUCT(--ISNUMBER(SEARCH({"a0","a-0","a_0","a/0","a.0","a#0","0a","0-a","0_a","0/a"},BP466)))&gt;0),ISNUMBER(SEARCH("000000",BP466)))),1,0),0)</f>
        <v>0</v>
      </c>
      <c r="BR466" s="61" t="n">
        <f aca="false">IFERROR(LEN(SUBSTITUTE(CC466," ",""))-SUMPRODUCT((LEN(CC466)-LEN(SUBSTITUTE(CC466," "&amp;L_Role&amp;" "," ")))/(LEN(L_Role)+1)*LEN(L_Role)),0)</f>
        <v>0</v>
      </c>
      <c r="BS466" s="61" t="n">
        <f aca="false">IFERROR(LEN(SUBSTITUTE(CD466," ",""))-SUMPRODUCT((LEN(CD466)-LEN(SUBSTITUTE(CD466," "&amp;L_Role&amp;" "," ")))/(LEN(L_Role)+1)*LEN(L_Role)),0)</f>
        <v>0</v>
      </c>
      <c r="BT4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466,"revision",""),"version",""),"jan",""),"feb",""),"mar",""),"apr",""),"may",""),"jun",""),"jul",""),"aug",""),"sep",""),"oct",""),"nov",""),"dec",""),"utc",""),"gmt",""),"myt",""),"bst",""),"rev",""),"ver",""),"b","a"),"c","a"),"d","a"),"e","a"),"f","a"),"g","a"),"h","a"),"i","a"),"j","a"),"k","a"),"l","a"),"m","a"),"n","a"),"o","a"),"p","a"),"q","a"),"r","a"),"s","a"),"t","a"),"u","a"),"v","a"),"w","a"),"x","a"),"y","a"),"z","a")</f>
        <v/>
      </c>
      <c r="BU466" s="61" t="str">
        <f aca="false">SUBSTITUTE(SUBSTITUTE(SUBSTITUTE(SUBSTITUTE(SUBSTITUTE(SUBSTITUTE(SUBSTITUTE(SUBSTITUTE(SUBSTITUTE(SUBSTITUTE(LEFT(BM466,FIND("0",BM466&amp;"0")-1),"-",""),"_",""),"/",""),".",""),"#",""),"\\",""),":","")," ",""),"(",""),")","")</f>
        <v/>
      </c>
      <c r="BV466" s="61" t="n">
        <f aca="false">0</f>
        <v>0</v>
      </c>
      <c r="BW4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466&amp;""),"a",""),"b",""),"c",""),"d",""),"e",""),"f",""),"g",""),"h",""),"i",""),"j",""),"k",""),"l",""),"m",""),"n",""),"o",""),"p",""),"q",""),"r",""),"s",""),"t",""),"u",""),"v",""),"w",""),"x",""),"y",""),"z",""),"-",""),"_",""),"/",""),".",""),"#",""),"\\",""),":","")," ",""),"(",""),")","")</f>
        <v/>
      </c>
      <c r="BX466" s="61" t="str">
        <f aca="false">SUBSTITUTE(SUBSTITUTE(SUBSTITUTE(SUBSTITUTE(SUBSTITUTE(SUBSTITUTE(SUBSTITUTE(SUBSTITUTE(SUBSTITUTE(SUBSTITUTE(SUBSTITUTE(BM466,"0",""),"-",""),"_",""),"/",""),".",""),"#",""),"\\",""),":","")," ",""),"(",""),")","")</f>
        <v/>
      </c>
      <c r="BY466" s="62" t="n">
        <f aca="false">Q466-T12EarlyH/24</f>
        <v>46309.0763888889</v>
      </c>
      <c r="BZ466" s="61" t="n">
        <f aca="false">IFERROR(IF(IF(TRIM(S466)="Link / file path",AND(LEN(TRIM(Z466))&gt;=5,SUMPRODUCT(--ISNUMBER(SEARCH({"http","www.","\\",":\",".pdf",".jpg",".jpeg",".png",".heic",".xls",".doc",".msg",".eml",".ppt",".txt",".zip"},Z466)))&gt;0),AND(ISERROR(FIND(" ",TRIM(Z466))),NOT(OR(SUMPRODUCT(--ISNUMBER(FIND({",",";","&amp;","+"},Z466)))&gt;0,SUMPRODUCT(--ISNUMBER(SEARCH({"0/aa","0\\aa"},BN466)))&gt;0)),NOT(SUMPRODUCT(--ISNUMBER(SEARCH({"http","www.","\\",":\",".pdf",".jpg",".jpeg",".png",".heic",".xls",".doc",".msg",".eml",".ppt",".txt",".zip"},Z466)))&gt;0),NOT(LOWER(TRIM(Z466))=LOWER(Flights!$F$18)),ISNA(MATCH(BU466,{"mh","rev","revision","ver","version","v","r","a","b","seat","tray","row","gate","bay","stand","page","pg","item","line","no","cart","galley","flight","flt","table","box","bag","oven","etd","eta","std","sta","atd","ata","qty","pax","x","time","tel","ph","mob","day","wk","week","utc","gmt","myt","lt"},0)),NOT(OR(ISNUMBER(MATCH(LEFT(BN466,255),{"0000a","000a","00a","0000aa","000aa","00aa","0aa","0000aaa","000aaa","00a00","0a00","0000-0000","00:00","a00","a0","00.00.0000","00/00/0000","00-00-0000","0000-00-00","0000/00/00","0000.00.00","00.00.00","00/00/00","00-00-00","0.00.0000","0/00/0000","0-00-0000"},0)),ISNUMBER(MATCH(LEFT(BT466,255),{"0000a","000a","00a","0000aa","000aa","00aa","0aa","0000aaa","000aaa","00a00","0a00","0000-0000","00:00","a00","a0","00.00.0000","00/00/0000","00-00-0000","0000-00-00","0000/00/00","0000.00.00","00.00.00","00/00/00","00-00-00","0.00.0000","0/00/0000","0-00-0000"},0)))),NOT(OR(AND(BW466&lt;&gt;"",SUBSTITUTE(BW466,"0","")=""),AND(LEN(BW466)&gt;=4,BW466=REPT(LEFT(BW466),LEN(BW466))),ISNUMBER(MATCH(BW466,{"123","1234","12345","123456","1234567","12345678","0123","01234","012345","98765","987654","54321"},0)),ISNUMBER(MATCH(BX466,{"x","xx","xxx","xxxx","xxxxx","abc","abcd","nil","na","nan","test","tbc","tba","tbd","dummy","sample","example","eg","zz","zzz","none","null","xyz","qwe","asd","id","ref"},0)),AND(LEN(BW466)=8,BX466="",OR(LEFT(BW466,3)="202",ISNUMBER(MATCH(RIGHT(BW466,4),{"2025","2026","2027"},0)))))),OR(AND((LEN(BT466)-LEN(SUBSTITUTE(BT466,"a","")))&gt;=1,(LEN(BN466)-LEN(SUBSTITUTE(BN466,"0","")))&gt;=2,SUMPRODUCT(--ISNUMBER(SEARCH({"a0","a-0","a_0","a/0","a.0","a#0","0a","0-a","0_a","0/a"},BN466)))&gt;0),AND((LEN(BN466)-LEN(SUBSTITUTE(BN466,"a","")))=0,(LEN(BN466)-LEN(SUBSTITUTE(BN466,"0","")))&gt;=5)))),1,0),0)</f>
        <v>0</v>
      </c>
      <c r="CA4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466,"revision",""),"version",""),"jan",""),"feb",""),"mar",""),"apr",""),"may",""),"jun",""),"jul",""),"aug",""),"sep",""),"oct",""),"nov",""),"dec",""),"utc",""),"gmt",""),"myt",""),"bst",""),"rev",""),"ver",""),"b","a"),"c","a"),"d","a"),"e","a"),"f","a"),"g","a"),"h","a"),"i","a"),"j","a"),"k","a"),"l","a"),"m","a"),"n","a"),"o","a"),"p","a"),"q","a"),"r","a"),"s","a"),"t","a"),"u","a"),"v","a"),"w","a"),"x","a"),"y","a"),"z","a")</f>
        <v/>
      </c>
      <c r="CB4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466&amp;""),"a",""),"b",""),"c",""),"d",""),"e",""),"f",""),"g",""),"h",""),"i",""),"j",""),"k",""),"l",""),"m",""),"n",""),"o",""),"p",""),"q",""),"r",""),"s",""),"t",""),"u",""),"v",""),"w",""),"x",""),"y",""),"z",""),"-",""),"_",""),"/",""),".",""),"#",""),"\\",""),":","")," ",""),"(",""),")","")</f>
        <v/>
      </c>
      <c r="CC466" s="0" t="str">
        <f aca="false">" "&amp;TRIM(SUBSTITUTE(SUBSTITUTE(SUBSTITUTE(SUBSTITUTE(SUBSTITUTE(SUBSTITUTE(SUBSTITUTE(SUBSTITUTE(SUBSTITUTE(SUBSTITUTE(SUBSTITUTE(SUBSTITUTE(SUBSTITUTE(SUBSTITUTE(SUBSTITUTE(SUBSTITUTE(SUBSTITUTE(SUBSTITUTE(SUBSTITUTE(SUBSTITUTE(SUBSTITUTE(SUBSTITUTE(SUBSTITUTE(SUBSTITUTE(LOWER(T466&amp;""),CHAR(10)," "),CHAR(13)," "),CHAR(9)," "),CHAR(160)," "),"."," "),","," "),"-"," "),"/"," "),"("," "),")"," "),":"," "),";"," "),"_"," "),"–"," "),"?"," "),"!"," "),"*"," "),"["," "),"]"," "),"'"," "),"#"," "),"+"," "),"&amp;"," "),"\"," "))&amp;" "</f>
        <v>  </v>
      </c>
      <c r="CD466" s="0" t="str">
        <f aca="false">" "&amp;TRIM(SUBSTITUTE(SUBSTITUTE(SUBSTITUTE(SUBSTITUTE(SUBSTITUTE(SUBSTITUTE(SUBSTITUTE(SUBSTITUTE(SUBSTITUTE(SUBSTITUTE(SUBSTITUTE(SUBSTITUTE(SUBSTITUTE(SUBSTITUTE(SUBSTITUTE(SUBSTITUTE(SUBSTITUTE(SUBSTITUTE(SUBSTITUTE(SUBSTITUTE(SUBSTITUTE(SUBSTITUTE(SUBSTITUTE(SUBSTITUTE(LOWER(AE466&amp;""),CHAR(10)," "),CHAR(13)," "),CHAR(9)," "),CHAR(160)," "),"."," "),","," "),"-"," "),"/"," "),"("," "),")"," "),":"," "),";"," "),"_"," "),"–"," "),"?"," "),"!"," "),"*"," "),"["," "),"]"," "),"'"," "),"#"," "),"+"," "),"&amp;"," "),"\"," "))&amp;" "</f>
        <v>  </v>
      </c>
      <c r="CE466" s="68" t="n">
        <f aca="false">IFERROR(IF(AND(LEN(AU466)&gt;0,LEN(AU466)=LEN(AX466),OR(TRIM(MID(SUBSTITUTE(TRIM(CC466)," ",REPT(" ",60)),1,60))="",ISNUMBER(SEARCH(" "&amp;TRIM(MID(SUBSTITUTE(TRIM(CC466)," ",REPT(" ",60)),1,60))&amp;" ",CD466))),OR(TRIM(MID(SUBSTITUTE(TRIM(CC466)," ",REPT(" ",60)),61,60))="",ISNUMBER(SEARCH(" "&amp;TRIM(MID(SUBSTITUTE(TRIM(CC466)," ",REPT(" ",60)),61,60))&amp;" ",CD466))),OR(TRIM(MID(SUBSTITUTE(TRIM(CC466)," ",REPT(" ",60)),121,60))="",ISNUMBER(SEARCH(" "&amp;TRIM(MID(SUBSTITUTE(TRIM(CC466)," ",REPT(" ",60)),121,60))&amp;" ",CD466)))),1,0),0)</f>
        <v>0</v>
      </c>
      <c r="CG466" s="68" t="n">
        <f aca="false">IFERROR(LEN(SUBSTITUTE(BF466," ",""))-SUMPRODUCT((LEN(BF466)-LEN(SUBSTITUTE(BF466," "&amp;L_NAFiller&amp;" "," ")))/(LEN(L_NAFiller)+1)*LEN(L_NAFiller)),0)</f>
        <v>0</v>
      </c>
    </row>
    <row r="467" customFormat="false" ht="39.75" hidden="false" customHeight="true" outlineLevel="0" collapsed="false">
      <c r="A467" s="57" t="s">
        <v>1114</v>
      </c>
      <c r="B467" s="57" t="s">
        <v>276</v>
      </c>
      <c r="C467" s="57" t="str">
        <f aca="false">Flights!$F$18</f>
        <v>MH0004</v>
      </c>
      <c r="D467" s="58" t="n">
        <f aca="false">Flights!$D$18</f>
        <v>46310</v>
      </c>
      <c r="E467" s="57" t="str">
        <f aca="false">Flights!$G$18&amp;"-"&amp;Flights!$H$18</f>
        <v>KUL-LHR</v>
      </c>
      <c r="F467" s="57" t="str">
        <f aca="false">Flights!$K$18</f>
        <v>EY</v>
      </c>
      <c r="G467" s="57" t="s">
        <v>420</v>
      </c>
      <c r="H467" s="57" t="s">
        <v>378</v>
      </c>
      <c r="I467" s="57" t="s">
        <v>379</v>
      </c>
      <c r="J467" s="57" t="s">
        <v>425</v>
      </c>
      <c r="K467" s="67" t="s">
        <v>426</v>
      </c>
      <c r="L467" s="67" t="s">
        <v>422</v>
      </c>
      <c r="M467" s="67"/>
      <c r="N467" s="67" t="s">
        <v>383</v>
      </c>
      <c r="O467" s="67" t="s">
        <v>423</v>
      </c>
      <c r="P467" s="57" t="s">
        <v>187</v>
      </c>
      <c r="Q467" s="59" t="n">
        <f aca="false">ROUND((Flights!$AE$18)*1440,0)/1440</f>
        <v>46309.5763888889</v>
      </c>
      <c r="R467" s="59" t="n">
        <f aca="false">Q467+(IF(AND(INDEX(TZ_DSTS,MATCH(P467,TZ_STN,0))&lt;&gt;"",Q467&gt;=INDEX(TZ_DSTS,MATCH(P467,TZ_STN,0)),Q467&lt;INDEX(TZ_DSTE,MATCH(P467,TZ_STN,0))),INDEX(TZ_DST,MATCH(P467,TZ_STN,0)),INDEX(TZ_STD,MATCH(P467,TZ_STN,0))))/24</f>
        <v>46309.9097222222</v>
      </c>
      <c r="S467" s="60"/>
      <c r="T467" s="60"/>
      <c r="U467" s="60"/>
      <c r="V467" s="60"/>
      <c r="W467" s="61"/>
      <c r="X467" s="60"/>
      <c r="Y467" s="60"/>
      <c r="Z467" s="60"/>
      <c r="AA467" s="60"/>
      <c r="AB467" s="60"/>
      <c r="AC467" s="60"/>
      <c r="AD467" s="66"/>
      <c r="AE467" s="60"/>
      <c r="AF467" s="61" t="str">
        <f aca="false">IF(AND(ISNUMBER(X467),ISNUMBER(Y467)),Y467-X467,"")</f>
        <v/>
      </c>
      <c r="AG467" s="62" t="str">
        <f aca="false">IF(ISNUMBER(AD467),AD467-(IF(AND(INDEX(TZ_DSTS,MATCH(P467,TZ_STN,0))&lt;&gt;"",(AD467-INDEX(TZ_STD,MATCH(P467,TZ_STN,0))/24)&gt;=INDEX(TZ_DSTS,MATCH(P467,TZ_STN,0)),(AD467-INDEX(TZ_STD,MATCH(P467,TZ_STN,0))/24)&lt;INDEX(TZ_DSTE,MATCH(P467,TZ_STN,0))),INDEX(TZ_DST,MATCH(P467,TZ_STN,0)),INDEX(TZ_STD,MATCH(P467,TZ_STN,0))))/24,"")</f>
        <v/>
      </c>
      <c r="AH467" s="65" t="str">
        <f aca="false">IFERROR(IF(N467="N/A – rule",IF(OR(TRIM(U467)="",TRIM(U467)="N/A",TRIM(U467)="Not started"),"N/A – RULE","INVALID – this check does not apply to this aircraft: clear the status (or correct the fleet on Flights)"),IF(TRIM(U467)="N/A",IF(AT467=0,"INVALID – N/A not permitted for this check",IF(AND(TRIM(AB467)&lt;&gt;"",TRIM(AB467)&lt;&gt;"Closed"),"INVALID – corrective action still open",IF(AND(NOT(OR(LEN(AZ467)&lt;15,ISNUMBER(MATCH(AZ467,L_Placeholder,0)))),BK467=0,CG467&gt;=8,NOT(OR(LEN(AU467)&lt;2,ISNUMBER(MATCH(AU467,L_Placeholder,0)))),BR467&gt;=3,NOT(OR(LEN(AX467)&lt;2,ISNUMBER(MATCH(AX467,L_Placeholder,0)))),BS467&gt;=3,TRIM(AE467)&lt;&gt;TRIM(T467),AX467&lt;&gt;AU467,CE467=0),"N/A – JUSTIFIED","INVALID – N/A needs a real, settled reason (not 'not applicable' / 'as above' / TBC), a named PIC and a different named verifier"))),IF(OR(TRIM(U467)="Pass",TRIM(U467)="Pass after CA"),IF(NOT(ISNUMBER(AD467)),"INVALID – completion time missing",IF(OR(OR(LEN(AU467)&lt;2,ISNUMBER(MATCH(AU467,L_Placeholder,0))),BR467&lt;3),"INVALID – PIC missing or not a named person (a role such as QA / CSM is not a name)",IF(OR(LEN(AV467)&lt;2,ISNUMBER(MATCH(AV467,L_Placeholder,0))),"INVALID – result / assessment missing",IF(OR(OR(LEN(AW467)&lt;3,ISNUMBER(MATCH(AW467,L_Placeholder,0))),SUMPRODUCT(--ISNUMBER(SEARCH(" "&amp;L_EvidencePhrase&amp;" ",BD467)))&gt;0,BI467=1),"INVALID – evidence missing, placeholder or not yet on file",IF(ISNA(MATCH(TRIM(S467),L_EvidenceType,0)),"INVALID – choose the evidence type from the list (column S)",IF(BL467=0,"INVALID – evidence ID must be the record's own ID only (e.g. SF-2210, IMG_2231, 1045521); a link / file name needs type 'Link / file path'",IF(OR(OR(LEN(AX467)&lt;2,ISNUMBER(MATCH(AX467,L_Placeholder,0))),BS467&lt;3),"INVALID – verifier missing or not a named person (a role such as QA / CSM is not a name)",IF(OR(AX467=AU467,CE467=1,AND(LEN(AU467)&gt;=4,ISNUMBER(SEARCH(AU467,AX467))),AND(LEN(AX467)&gt;=4,ISNUMBER(SEARCH(AX467,AU467)))),"INVALID – verifier must be a different, named person (not the PIC or a role)",IF(BH467=1,"INVALID – result not yet available (awaiting / TBC)",IF(BG467=1,"INVALID – result describes a problem: record Fail, then Pass after CA (or reword if it is not a problem)",IF(BV467=1,"INVALID – wording says not on board: an on-board confirmation needs the item loaded",IF(AND(AQ467=1,OR(OR(LEN(AY467)&lt;3,ISNUMBER(MATCH(AY467,L_Placeholder,0))),BJ467=1,BQ467=0)),"INVALID – batch ID missing, placeholder or not an ID (e.g. PASB-261008-BC-017)",IF(AND(AR467=1,OR(NOT(ISNUMBER(X467)),NOT(ISNUMBER(Y467)))),"INVALID – expected/actual qty missing",IF(AND(AR467=1,OR(X467&lt;=0,Y467&lt;0)),"INVALID – expected qty must be above 0 and actual not negative",IF(BB467&lt;&gt;"",BB467,IF(AND(AS467=1,Documents!$J$18&lt;&gt;"ON FILE"),"INVALID – GLD not on file (Documents sheet)",IF(AND(AS467=2,Documents!$O$18&lt;&gt;"ON FILE"),"INVALID – menu checklist not on file (Documents sheet)",IF(AND(AS467=3,NOT(ISNUMBER(Flights!$AX$18))),"INVALID – enter carrying flight KUL departure (Flights AX)",IF(AND(AS467=3,OR(Flights!$AZ$18&gt;Flights!$AA$18,Flights!$AX$18&lt;Flights!$AA$18-3)),"INVALID – carrying flight (Flights AX) cannot arrive before this leg's STD, or is over 3 days early",IF(AG467&gt;AsOfUTC,"INVALID – completion time is in the future",IF(AND(ISNUMBER(BY467),AG467&lt;BY467),IF(H467="Physical uplift","INVALID – before uplift window (cannot confirm loading)","INVALID – before valid window"),IF(AG467&gt;Flights!$AA$18,"INVALID – completed after departure (cannot establish readiness)",IF(AND(H467="Preparation",AG467&gt;=IF(ISNUMBER(Flights!$BA$18),MIN(Flights!$BA$18,Flights!$AA$18),Flights!$AA$18)),"INVALID – completed after loading / departure (cannot establish readiness)",IF(AND(H467="Physical uplift",AG467&gt;Q467),"INVALID – recorded after the loading flight departed",IF(AG467&gt;Q467,"COMPLETE – LATE","COMPLETE"))))))))))))))))))))))))),IF(TRIM(U467)="Fail","FAIL – DISCREPANCY",IF(AND(TRIM(U467)&lt;&gt;"",TRIM(U467)&lt;&gt;"Not started",TRIM(U467)&lt;&gt;"In progress"),"INVALID – unrecognised status (use the list)",IF(AsOfUTC&gt;Q467,"OVERDUE",IF(N467="Clarification required","OPEN – CLARIFICATION","OPEN"))))))),"INVALID – error value in an input cell")</f>
        <v>OPEN</v>
      </c>
      <c r="AI467" s="61" t="n">
        <f aca="false">IF(OR(AH467="N/A – RULE",AH467="N/A – JUSTIFIED"),0,1)</f>
        <v>1</v>
      </c>
      <c r="AJ467" s="61" t="n">
        <f aca="false">IF(LEFT(AH467,8)="COMPLETE",1,0)</f>
        <v>0</v>
      </c>
      <c r="AK467" s="61" t="n">
        <f aca="false">IF(AND(AI467=1,AJ467=0,AsOfUTC&gt;Q467),1,0)</f>
        <v>0</v>
      </c>
      <c r="AL467" s="61" t="n">
        <f aca="false">IFERROR(IF(AND(AI467=1,OR(TRIM(U467)="Fail",AND(TRIM(AB467)&lt;&gt;"",TRIM(AB467)&lt;&gt;"Closed"),AND(ISNUMBER(AF467),AF467&lt;&gt;0,TRIM(U467)&lt;&gt;"Pass after CA"))),1,0),1)</f>
        <v>0</v>
      </c>
      <c r="AM467" s="61" t="n">
        <f aca="false">IF(LEFT(AH467,7)="INVALID",1,0)</f>
        <v>0</v>
      </c>
      <c r="AN467" s="61" t="n">
        <f aca="false">IF(AND(N467="Clarification required",AI467=1,AJ467=0),1,0)</f>
        <v>0</v>
      </c>
      <c r="AO467" s="61" t="str">
        <f aca="false">IF(AK467=1,SUM(AK$5:AK467),"")</f>
        <v/>
      </c>
      <c r="AP467" s="61" t="str">
        <f aca="false">IF(AL467=1,SUM(AL$5:AL467),"")</f>
        <v/>
      </c>
      <c r="AQ467" s="61" t="n">
        <v>0</v>
      </c>
      <c r="AR467" s="61" t="n">
        <v>1</v>
      </c>
      <c r="AS467" s="61" t="n">
        <v>0</v>
      </c>
      <c r="AT467" s="61" t="n">
        <v>0</v>
      </c>
      <c r="AU467" s="61" t="str">
        <f aca="false">SUBSTITUTE(SUBSTITUTE(SUBSTITUTE(SUBSTITUTE(SUBSTITUTE(SUBSTITUTE(SUBSTITUTE(SUBSTITUTE(SUBSTITUTE(SUBSTITUTE(SUBSTITUTE(SUBSTITUTE(SUBSTITUTE(SUBSTITUTE(SUBSTITUTE(SUBSTITUTE(LOWER(T467&amp;""),CHAR(10),""),CHAR(13),""),CHAR(9),""),CHAR(160),"")," ",""),".",""),"-",""),"/",""),"?",""),"_",""),",",""),"[",""),"]",""),"(",""),")",""),"*","")</f>
        <v/>
      </c>
      <c r="AV467" s="61" t="str">
        <f aca="false">SUBSTITUTE(SUBSTITUTE(SUBSTITUTE(SUBSTITUTE(SUBSTITUTE(SUBSTITUTE(SUBSTITUTE(SUBSTITUTE(SUBSTITUTE(SUBSTITUTE(SUBSTITUTE(SUBSTITUTE(SUBSTITUTE(SUBSTITUTE(SUBSTITUTE(SUBSTITUTE(LOWER(V467&amp;""),CHAR(10),""),CHAR(13),""),CHAR(9),""),CHAR(160),"")," ",""),".",""),"-",""),"/",""),"?",""),"_",""),",",""),"[",""),"]",""),"(",""),")",""),"*","")</f>
        <v/>
      </c>
      <c r="AW467" s="61" t="str">
        <f aca="false">SUBSTITUTE(SUBSTITUTE(SUBSTITUTE(SUBSTITUTE(SUBSTITUTE(SUBSTITUTE(SUBSTITUTE(SUBSTITUTE(SUBSTITUTE(SUBSTITUTE(SUBSTITUTE(SUBSTITUTE(SUBSTITUTE(SUBSTITUTE(SUBSTITUTE(SUBSTITUTE(LOWER(Z467&amp;""),CHAR(10),""),CHAR(13),""),CHAR(9),""),CHAR(160),"")," ",""),".",""),"-",""),"/",""),"?",""),"_",""),",",""),"[",""),"]",""),"(",""),")",""),"*","")</f>
        <v/>
      </c>
      <c r="AX467" s="61" t="str">
        <f aca="false">SUBSTITUTE(SUBSTITUTE(SUBSTITUTE(SUBSTITUTE(SUBSTITUTE(SUBSTITUTE(SUBSTITUTE(SUBSTITUTE(SUBSTITUTE(SUBSTITUTE(SUBSTITUTE(SUBSTITUTE(SUBSTITUTE(SUBSTITUTE(SUBSTITUTE(SUBSTITUTE(LOWER(AE467&amp;""),CHAR(10),""),CHAR(13),""),CHAR(9),""),CHAR(160),"")," ",""),".",""),"-",""),"/",""),"?",""),"_",""),",",""),"[",""),"]",""),"(",""),")",""),"*","")</f>
        <v/>
      </c>
      <c r="AY467" s="61" t="str">
        <f aca="false">SUBSTITUTE(SUBSTITUTE(SUBSTITUTE(SUBSTITUTE(SUBSTITUTE(SUBSTITUTE(SUBSTITUTE(SUBSTITUTE(SUBSTITUTE(SUBSTITUTE(SUBSTITUTE(SUBSTITUTE(SUBSTITUTE(SUBSTITUTE(SUBSTITUTE(SUBSTITUTE(LOWER(W467&amp;""),CHAR(10),""),CHAR(13),""),CHAR(9),""),CHAR(160),"")," ",""),".",""),"-",""),"/",""),"?",""),"_",""),",",""),"[",""),"]",""),"(",""),")",""),"*","")</f>
        <v/>
      </c>
      <c r="AZ467" s="61" t="str">
        <f aca="false">SUBSTITUTE(SUBSTITUTE(SUBSTITUTE(SUBSTITUTE(SUBSTITUTE(SUBSTITUTE(SUBSTITUTE(SUBSTITUTE(SUBSTITUTE(SUBSTITUTE(SUBSTITUTE(SUBSTITUTE(SUBSTITUTE(SUBSTITUTE(SUBSTITUTE(SUBSTITUTE(LOWER(AC467&amp;""),CHAR(10),""),CHAR(13),""),CHAR(9),""),CHAR(160),"")," ",""),".",""),"-",""),"/",""),"?",""),"_",""),",",""),"[",""),"]",""),"(",""),")",""),"*","")</f>
        <v/>
      </c>
      <c r="BA467" s="61" t="str">
        <f aca="false">SUBSTITUTE(SUBSTITUTE(SUBSTITUTE(SUBSTITUTE(SUBSTITUTE(SUBSTITUTE(SUBSTITUTE(SUBSTITUTE(SUBSTITUTE(SUBSTITUTE(SUBSTITUTE(SUBSTITUTE(SUBSTITUTE(SUBSTITUTE(SUBSTITUTE(SUBSTITUTE(LOWER(AA467&amp;""),CHAR(10),""),CHAR(13),""),CHAR(9),""),CHAR(160),"")," ",""),".",""),"-",""),"/",""),"?",""),"_",""),",",""),"[",""),"]",""),"(",""),")",""),"*","")</f>
        <v/>
      </c>
      <c r="BB467" s="61" t="str">
        <f aca="false">IF(AND(TRIM(U467)="Pass",ISNUMBER(AF467)),IF(AF467&lt;&gt;0,"INVALID – qty variance: use Fail or Pass after CA",""),"")&amp;IF(AND(TRIM(U467)="Pass after CA",ISNUMBER(AF467)),IF(AF467&lt;&gt;0,"INVALID – after the corrective action the actual qty must equal expected (update Actual)",""),"")&amp;IF(AND(TRIM(U467)="Pass",TRIM(AB467)&lt;&gt;"",TRIM(AB467)&lt;&gt;"Closed"),"INVALID – corrective action not closed: use Fail, then Pass after CA","")&amp;IF(AND(LEN(BA467)&gt;=2,ISNA(MATCH(LEFT(BA467,255),L_Placeholder,0)),TRIM(AB467)=""),"INVALID – CA status missing for the recorded corrective action","")&amp;IF(AND(TRIM(U467)="Pass after CA",OR(OR(LEN(BA467)&lt;5,ISNUMBER(MATCH(BA467,L_Placeholder,0))),TRIM(AB467)&lt;&gt;"Closed")),"INVALID – corrective action not recorded/closed","")</f>
        <v/>
      </c>
      <c r="BC467" s="61" t="str">
        <f aca="false">" "&amp;TRIM(SUBSTITUTE(SUBSTITUTE(SUBSTITUTE(SUBSTITUTE(SUBSTITUTE(SUBSTITUTE(SUBSTITUTE(SUBSTITUTE(SUBSTITUTE(SUBSTITUTE(SUBSTITUTE(SUBSTITUTE(SUBSTITUTE(SUBSTITUTE(SUBSTITUTE(SUBSTITUTE(SUBSTITUTE(SUBSTITUTE(SUBSTITUTE(SUBSTITUTE(SUBSTITUTE(SUBSTITUTE(SUBSTITUTE(SUBSTITUTE(LOWER(V467&amp;""),CHAR(10)," "),CHAR(13)," "),CHAR(9)," "),CHAR(160)," "),"."," "),","," "),"-"," "),"/"," "),"("," "),")"," "),":"," "),";"," "),"_"," "),"–"," "),"?"," "),"!"," "),"*"," "),"["," "),"]"," "),"'"," "),"#"," "),"+"," "),"&amp;"," "),"\"," "))&amp;" "</f>
        <v>  </v>
      </c>
      <c r="BD467" s="61" t="str">
        <f aca="false">" "&amp;TRIM(SUBSTITUTE(SUBSTITUTE(SUBSTITUTE(SUBSTITUTE(SUBSTITUTE(SUBSTITUTE(SUBSTITUTE(SUBSTITUTE(SUBSTITUTE(SUBSTITUTE(SUBSTITUTE(SUBSTITUTE(SUBSTITUTE(SUBSTITUTE(SUBSTITUTE(SUBSTITUTE(SUBSTITUTE(SUBSTITUTE(SUBSTITUTE(SUBSTITUTE(SUBSTITUTE(SUBSTITUTE(SUBSTITUTE(SUBSTITUTE(LOWER(Z467&amp;""),CHAR(10)," "),CHAR(13)," "),CHAR(9)," "),CHAR(160)," "),"."," "),","," "),"-"," "),"/"," "),"("," "),")"," "),":"," "),";"," "),"_"," "),"–"," "),"?"," "),"!"," "),"*"," "),"["," "),"]"," "),"'"," "),"#"," "),"+"," "),"&amp;"," "),"\"," "))&amp;" "</f>
        <v>  </v>
      </c>
      <c r="BE467" s="61" t="str">
        <f aca="false">" "&amp;TRIM(SUBSTITUTE(SUBSTITUTE(SUBSTITUTE(SUBSTITUTE(SUBSTITUTE(SUBSTITUTE(SUBSTITUTE(SUBSTITUTE(SUBSTITUTE(SUBSTITUTE(SUBSTITUTE(SUBSTITUTE(SUBSTITUTE(SUBSTITUTE(SUBSTITUTE(SUBSTITUTE(SUBSTITUTE(SUBSTITUTE(SUBSTITUTE(SUBSTITUTE(SUBSTITUTE(SUBSTITUTE(SUBSTITUTE(SUBSTITUTE(LOWER(W467&amp;""),CHAR(10)," "),CHAR(13)," "),CHAR(9)," "),CHAR(160)," "),"."," "),","," "),"-"," "),"/"," "),"("," "),")"," "),":"," "),";"," "),"_"," "),"–"," "),"?"," "),"!"," "),"*"," "),"["," "),"]"," "),"'"," "),"#"," "),"+"," "),"&amp;"," "),"\"," "))&amp;" "</f>
        <v>  </v>
      </c>
      <c r="BF467" s="61" t="str">
        <f aca="false">" "&amp;TRIM(SUBSTITUTE(SUBSTITUTE(SUBSTITUTE(SUBSTITUTE(SUBSTITUTE(SUBSTITUTE(SUBSTITUTE(SUBSTITUTE(SUBSTITUTE(SUBSTITUTE(SUBSTITUTE(SUBSTITUTE(SUBSTITUTE(SUBSTITUTE(SUBSTITUTE(SUBSTITUTE(SUBSTITUTE(SUBSTITUTE(SUBSTITUTE(SUBSTITUTE(SUBSTITUTE(SUBSTITUTE(SUBSTITUTE(SUBSTITUTE(LOWER(AC467&amp;""),CHAR(10)," "),CHAR(13)," "),CHAR(9)," "),CHAR(160)," "),"."," "),","," "),"-"," "),"/"," "),"("," "),")"," "),":"," "),";"," "),"_"," "),"–"," "),"?"," "),"!"," "),"*"," "),"["," "),"]"," "),"'"," "),"#"," "),"+"," "),"&amp;"," "),"\"," "))&amp;" "</f>
        <v>  </v>
      </c>
      <c r="BG467" s="61" t="n">
        <f aca="false">IFERROR(IF(AND(TRIM(U467)="Pass",SUMPRODUCT((LEN(BC467)-LEN(SUBSTITUTE(BC467," "&amp;L_ResultBad&amp;" "," ")))/(LEN(L_ResultBad)+1))&gt;SUMPRODUCT((LEN(BC467)-LEN(SUBSTITUTE(BC467," "&amp;L_NegPhrase&amp;" "," ")))/(LEN(L_NegPhrase)+1))),1,0),0)</f>
        <v>0</v>
      </c>
      <c r="BH467" s="61" t="n">
        <f aca="false">IFERROR(IF(SUMPRODUCT((LEN(BC467)-LEN(SUBSTITUTE(BC467," "&amp;L_Pending&amp;" "," ")))/(LEN(L_Pending)+1))&gt;SUMPRODUCT((LEN(BC467)-LEN(SUBSTITUTE(BC467," "&amp;L_PendNeg&amp;" "," ")))/(LEN(L_PendNeg)+1))+SUMPRODUCT((LEN(BC467)-LEN(SUBSTITUTE(BC467," "&amp;L_PendPrep&amp;" "," ")))/(LEN(L_PendPrep)+1)),1,0),1)</f>
        <v>0</v>
      </c>
      <c r="BI467" s="61" t="n">
        <f aca="false">IFERROR(IF(SUMPRODUCT((LEN(BD467)-LEN(SUBSTITUTE(BD467," "&amp;L_PendStrict&amp;" "," ")))/(LEN(L_PendStrict)+1))&gt;SUMPRODUCT((LEN(BD467)-LEN(SUBSTITUTE(BD467," "&amp;L_PendNeg&amp;" "," ")))/(LEN(L_PendNeg)+1)),1,0),1)</f>
        <v>0</v>
      </c>
      <c r="BJ467" s="61" t="n">
        <f aca="false">IFERROR(IF(SUMPRODUCT((LEN(BE467)-LEN(SUBSTITUTE(BE467," "&amp;L_Pending&amp;" "," ")))/(LEN(L_Pending)+1))&gt;SUMPRODUCT((LEN(BE467)-LEN(SUBSTITUTE(BE467," "&amp;L_PendNeg&amp;" "," ")))/(LEN(L_PendNeg)+1))+SUMPRODUCT((LEN(BE467)-LEN(SUBSTITUTE(BE467," "&amp;L_PendPrep&amp;" "," ")))/(LEN(L_PendPrep)+1)),1,0),1)</f>
        <v>0</v>
      </c>
      <c r="BK467" s="61" t="n">
        <f aca="false">IFERROR(IF(SUMPRODUCT((LEN(BF467)-LEN(SUBSTITUTE(BF467," "&amp;L_PendStrict&amp;" "," ")))/(LEN(L_PendStrict)+1))&gt;SUMPRODUCT((LEN(BF467)-LEN(SUBSTITUTE(BF467," "&amp;L_PendNeg&amp;" "," ")))/(LEN(L_PendNeg)+1)),1,0),1)</f>
        <v>0</v>
      </c>
      <c r="BL467" s="61" t="n">
        <f aca="false">IF(ISNA(MATCH(TRIM(S467),L_EvidenceType,0)),0,BZ467)</f>
        <v>0</v>
      </c>
      <c r="BM467" s="61" t="str">
        <f aca="false">SUBSTITUTE(SUBSTITUTE(SUBSTITUTE(SUBSTITUTE(SUBSTITUTE(SUBSTITUTE(SUBSTITUTE(SUBSTITUTE(SUBSTITUTE(LOWER(Z467&amp;""),"1","0"),"2","0"),"3","0"),"4","0"),"5","0"),"6","0"),"7","0"),"8","0"),"9","0")</f>
        <v/>
      </c>
      <c r="BN467" s="61" t="str">
        <f aca="false">SUBSTITUTE(SUBSTITUTE(SUBSTITUTE(SUBSTITUTE(SUBSTITUTE(SUBSTITUTE(SUBSTITUTE(SUBSTITUTE(SUBSTITUTE(SUBSTITUTE(SUBSTITUTE(SUBSTITUTE(SUBSTITUTE(SUBSTITUTE(SUBSTITUTE(SUBSTITUTE(SUBSTITUTE(SUBSTITUTE(SUBSTITUTE(SUBSTITUTE(SUBSTITUTE(SUBSTITUTE(SUBSTITUTE(SUBSTITUTE(SUBSTITUTE(BM467,"b","a"),"c","a"),"d","a"),"e","a"),"f","a"),"g","a"),"h","a"),"i","a"),"j","a"),"k","a"),"l","a"),"m","a"),"n","a"),"o","a"),"p","a"),"q","a"),"r","a"),"s","a"),"t","a"),"u","a"),"v","a"),"w","a"),"x","a"),"y","a"),"z","a")</f>
        <v/>
      </c>
      <c r="BO467" s="61" t="str">
        <f aca="false">SUBSTITUTE(SUBSTITUTE(SUBSTITUTE(SUBSTITUTE(SUBSTITUTE(SUBSTITUTE(SUBSTITUTE(SUBSTITUTE(SUBSTITUTE(LOWER(W467&amp;""),"1","0"),"2","0"),"3","0"),"4","0"),"5","0"),"6","0"),"7","0"),"8","0"),"9","0")</f>
        <v/>
      </c>
      <c r="BP467" s="61" t="str">
        <f aca="false">SUBSTITUTE(SUBSTITUTE(SUBSTITUTE(SUBSTITUTE(SUBSTITUTE(SUBSTITUTE(SUBSTITUTE(SUBSTITUTE(SUBSTITUTE(SUBSTITUTE(SUBSTITUTE(SUBSTITUTE(SUBSTITUTE(SUBSTITUTE(SUBSTITUTE(SUBSTITUTE(SUBSTITUTE(SUBSTITUTE(SUBSTITUTE(SUBSTITUTE(SUBSTITUTE(SUBSTITUTE(SUBSTITUTE(SUBSTITUTE(SUBSTITUTE(BO467,"b","a"),"c","a"),"d","a"),"e","a"),"f","a"),"g","a"),"h","a"),"i","a"),"j","a"),"k","a"),"l","a"),"m","a"),"n","a"),"o","a"),"p","a"),"q","a"),"r","a"),"s","a"),"t","a"),"u","a"),"v","a"),"w","a"),"x","a"),"y","a"),"z","a")</f>
        <v/>
      </c>
      <c r="BQ467" s="61" t="n">
        <f aca="false">IFERROR(IF(AND(ISERROR(SEARCH(" mh"," "&amp;LOWER(W467))),ISNA(MATCH(LEFT(TRIM(BP467),255),{"0000a","000a","00a","0000aa","000aa","00aa","0aa","0000aaa","000aaa","00a00","0a00","0000-0000","00:00","a00","a0","00.00.0000","00/00/0000","00-00-0000","0000-00-00","0000/00/00","0000.00.00","00.00.00","00/00/00","00-00-00","0.00.0000","0/00/0000","0-00-0000"},0)),ISNA(MATCH(LEFT(TRIM(CA467),255),{"0000a","000a","00a","0000aa","000aa","00aa","0aa","0000aaa","000aaa","00a00","0a00","0000-0000","00:00","a00","a0","00.00.0000","00/00/0000","00-00-0000","0000-00-00","0000/00/00","0000.00.00","00.00.00","00/00/00","00-00-00","0.00.0000","0/00/0000","0-00-0000"},0)),LEN(CB467)&gt;=3,NOT(OR(SUBSTITUTE(CB467,"0","")="",AND(LEN(CB467)&gt;=4,CB467=REPT(LEFT(CB467),LEN(CB467))),ISNUMBER(MATCH(CB467,{"123","1234","12345","123456","1234567","12345678","0123","01234","012345","98765","987654","54321"},0)),AND(LEN(CB467)=8,LEFT(CB467,3)="202"))),OR(AND((LEN(CA467)-LEN(SUBSTITUTE(CA467,"a","")))&gt;=1,SUMPRODUCT(--ISNUMBER(SEARCH({"a0","a-0","a_0","a/0","a.0","a#0","0a","0-a","0_a","0/a"},BP467)))&gt;0),ISNUMBER(SEARCH("000000",BP467)))),1,0),0)</f>
        <v>0</v>
      </c>
      <c r="BR467" s="61" t="n">
        <f aca="false">IFERROR(LEN(SUBSTITUTE(CC467," ",""))-SUMPRODUCT((LEN(CC467)-LEN(SUBSTITUTE(CC467," "&amp;L_Role&amp;" "," ")))/(LEN(L_Role)+1)*LEN(L_Role)),0)</f>
        <v>0</v>
      </c>
      <c r="BS467" s="61" t="n">
        <f aca="false">IFERROR(LEN(SUBSTITUTE(CD467," ",""))-SUMPRODUCT((LEN(CD467)-LEN(SUBSTITUTE(CD467," "&amp;L_Role&amp;" "," ")))/(LEN(L_Role)+1)*LEN(L_Role)),0)</f>
        <v>0</v>
      </c>
      <c r="BT4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467,"revision",""),"version",""),"jan",""),"feb",""),"mar",""),"apr",""),"may",""),"jun",""),"jul",""),"aug",""),"sep",""),"oct",""),"nov",""),"dec",""),"utc",""),"gmt",""),"myt",""),"bst",""),"rev",""),"ver",""),"b","a"),"c","a"),"d","a"),"e","a"),"f","a"),"g","a"),"h","a"),"i","a"),"j","a"),"k","a"),"l","a"),"m","a"),"n","a"),"o","a"),"p","a"),"q","a"),"r","a"),"s","a"),"t","a"),"u","a"),"v","a"),"w","a"),"x","a"),"y","a"),"z","a")</f>
        <v/>
      </c>
      <c r="BU467" s="61" t="str">
        <f aca="false">SUBSTITUTE(SUBSTITUTE(SUBSTITUTE(SUBSTITUTE(SUBSTITUTE(SUBSTITUTE(SUBSTITUTE(SUBSTITUTE(SUBSTITUTE(SUBSTITUTE(LEFT(BM467,FIND("0",BM467&amp;"0")-1),"-",""),"_",""),"/",""),".",""),"#",""),"\\",""),":","")," ",""),"(",""),")","")</f>
        <v/>
      </c>
      <c r="BV467" s="61" t="n">
        <f aca="false">0</f>
        <v>0</v>
      </c>
      <c r="BW4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467&amp;""),"a",""),"b",""),"c",""),"d",""),"e",""),"f",""),"g",""),"h",""),"i",""),"j",""),"k",""),"l",""),"m",""),"n",""),"o",""),"p",""),"q",""),"r",""),"s",""),"t",""),"u",""),"v",""),"w",""),"x",""),"y",""),"z",""),"-",""),"_",""),"/",""),".",""),"#",""),"\\",""),":","")," ",""),"(",""),")","")</f>
        <v/>
      </c>
      <c r="BX467" s="61" t="str">
        <f aca="false">SUBSTITUTE(SUBSTITUTE(SUBSTITUTE(SUBSTITUTE(SUBSTITUTE(SUBSTITUTE(SUBSTITUTE(SUBSTITUTE(SUBSTITUTE(SUBSTITUTE(SUBSTITUTE(BM467,"0",""),"-",""),"_",""),"/",""),".",""),"#",""),"\\",""),":","")," ",""),"(",""),")","")</f>
        <v/>
      </c>
      <c r="BY467" s="62" t="n">
        <f aca="false">Q467-T12EarlyH/24</f>
        <v>46309.0763888889</v>
      </c>
      <c r="BZ467" s="61" t="n">
        <f aca="false">IFERROR(IF(IF(TRIM(S467)="Link / file path",AND(LEN(TRIM(Z467))&gt;=5,SUMPRODUCT(--ISNUMBER(SEARCH({"http","www.","\\",":\",".pdf",".jpg",".jpeg",".png",".heic",".xls",".doc",".msg",".eml",".ppt",".txt",".zip"},Z467)))&gt;0),AND(ISERROR(FIND(" ",TRIM(Z467))),NOT(OR(SUMPRODUCT(--ISNUMBER(FIND({",",";","&amp;","+"},Z467)))&gt;0,SUMPRODUCT(--ISNUMBER(SEARCH({"0/aa","0\\aa"},BN467)))&gt;0)),NOT(SUMPRODUCT(--ISNUMBER(SEARCH({"http","www.","\\",":\",".pdf",".jpg",".jpeg",".png",".heic",".xls",".doc",".msg",".eml",".ppt",".txt",".zip"},Z467)))&gt;0),NOT(LOWER(TRIM(Z467))=LOWER(Flights!$F$18)),ISNA(MATCH(BU467,{"mh","rev","revision","ver","version","v","r","a","b","seat","tray","row","gate","bay","stand","page","pg","item","line","no","cart","galley","flight","flt","table","box","bag","oven","etd","eta","std","sta","atd","ata","qty","pax","x","time","tel","ph","mob","day","wk","week","utc","gmt","myt","lt"},0)),NOT(OR(ISNUMBER(MATCH(LEFT(BN467,255),{"0000a","000a","00a","0000aa","000aa","00aa","0aa","0000aaa","000aaa","00a00","0a00","0000-0000","00:00","a00","a0","00.00.0000","00/00/0000","00-00-0000","0000-00-00","0000/00/00","0000.00.00","00.00.00","00/00/00","00-00-00","0.00.0000","0/00/0000","0-00-0000"},0)),ISNUMBER(MATCH(LEFT(BT467,255),{"0000a","000a","00a","0000aa","000aa","00aa","0aa","0000aaa","000aaa","00a00","0a00","0000-0000","00:00","a00","a0","00.00.0000","00/00/0000","00-00-0000","0000-00-00","0000/00/00","0000.00.00","00.00.00","00/00/00","00-00-00","0.00.0000","0/00/0000","0-00-0000"},0)))),NOT(OR(AND(BW467&lt;&gt;"",SUBSTITUTE(BW467,"0","")=""),AND(LEN(BW467)&gt;=4,BW467=REPT(LEFT(BW467),LEN(BW467))),ISNUMBER(MATCH(BW467,{"123","1234","12345","123456","1234567","12345678","0123","01234","012345","98765","987654","54321"},0)),ISNUMBER(MATCH(BX467,{"x","xx","xxx","xxxx","xxxxx","abc","abcd","nil","na","nan","test","tbc","tba","tbd","dummy","sample","example","eg","zz","zzz","none","null","xyz","qwe","asd","id","ref"},0)),AND(LEN(BW467)=8,BX467="",OR(LEFT(BW467,3)="202",ISNUMBER(MATCH(RIGHT(BW467,4),{"2025","2026","2027"},0)))))),OR(AND((LEN(BT467)-LEN(SUBSTITUTE(BT467,"a","")))&gt;=1,(LEN(BN467)-LEN(SUBSTITUTE(BN467,"0","")))&gt;=2,SUMPRODUCT(--ISNUMBER(SEARCH({"a0","a-0","a_0","a/0","a.0","a#0","0a","0-a","0_a","0/a"},BN467)))&gt;0),AND((LEN(BN467)-LEN(SUBSTITUTE(BN467,"a","")))=0,(LEN(BN467)-LEN(SUBSTITUTE(BN467,"0","")))&gt;=5)))),1,0),0)</f>
        <v>0</v>
      </c>
      <c r="CA4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467,"revision",""),"version",""),"jan",""),"feb",""),"mar",""),"apr",""),"may",""),"jun",""),"jul",""),"aug",""),"sep",""),"oct",""),"nov",""),"dec",""),"utc",""),"gmt",""),"myt",""),"bst",""),"rev",""),"ver",""),"b","a"),"c","a"),"d","a"),"e","a"),"f","a"),"g","a"),"h","a"),"i","a"),"j","a"),"k","a"),"l","a"),"m","a"),"n","a"),"o","a"),"p","a"),"q","a"),"r","a"),"s","a"),"t","a"),"u","a"),"v","a"),"w","a"),"x","a"),"y","a"),"z","a")</f>
        <v/>
      </c>
      <c r="CB4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467&amp;""),"a",""),"b",""),"c",""),"d",""),"e",""),"f",""),"g",""),"h",""),"i",""),"j",""),"k",""),"l",""),"m",""),"n",""),"o",""),"p",""),"q",""),"r",""),"s",""),"t",""),"u",""),"v",""),"w",""),"x",""),"y",""),"z",""),"-",""),"_",""),"/",""),".",""),"#",""),"\\",""),":","")," ",""),"(",""),")","")</f>
        <v/>
      </c>
      <c r="CC467" s="0" t="str">
        <f aca="false">" "&amp;TRIM(SUBSTITUTE(SUBSTITUTE(SUBSTITUTE(SUBSTITUTE(SUBSTITUTE(SUBSTITUTE(SUBSTITUTE(SUBSTITUTE(SUBSTITUTE(SUBSTITUTE(SUBSTITUTE(SUBSTITUTE(SUBSTITUTE(SUBSTITUTE(SUBSTITUTE(SUBSTITUTE(SUBSTITUTE(SUBSTITUTE(SUBSTITUTE(SUBSTITUTE(SUBSTITUTE(SUBSTITUTE(SUBSTITUTE(SUBSTITUTE(LOWER(T467&amp;""),CHAR(10)," "),CHAR(13)," "),CHAR(9)," "),CHAR(160)," "),"."," "),","," "),"-"," "),"/"," "),"("," "),")"," "),":"," "),";"," "),"_"," "),"–"," "),"?"," "),"!"," "),"*"," "),"["," "),"]"," "),"'"," "),"#"," "),"+"," "),"&amp;"," "),"\"," "))&amp;" "</f>
        <v>  </v>
      </c>
      <c r="CD467" s="0" t="str">
        <f aca="false">" "&amp;TRIM(SUBSTITUTE(SUBSTITUTE(SUBSTITUTE(SUBSTITUTE(SUBSTITUTE(SUBSTITUTE(SUBSTITUTE(SUBSTITUTE(SUBSTITUTE(SUBSTITUTE(SUBSTITUTE(SUBSTITUTE(SUBSTITUTE(SUBSTITUTE(SUBSTITUTE(SUBSTITUTE(SUBSTITUTE(SUBSTITUTE(SUBSTITUTE(SUBSTITUTE(SUBSTITUTE(SUBSTITUTE(SUBSTITUTE(SUBSTITUTE(LOWER(AE467&amp;""),CHAR(10)," "),CHAR(13)," "),CHAR(9)," "),CHAR(160)," "),"."," "),","," "),"-"," "),"/"," "),"("," "),")"," "),":"," "),";"," "),"_"," "),"–"," "),"?"," "),"!"," "),"*"," "),"["," "),"]"," "),"'"," "),"#"," "),"+"," "),"&amp;"," "),"\"," "))&amp;" "</f>
        <v>  </v>
      </c>
      <c r="CE467" s="68" t="n">
        <f aca="false">IFERROR(IF(AND(LEN(AU467)&gt;0,LEN(AU467)=LEN(AX467),OR(TRIM(MID(SUBSTITUTE(TRIM(CC467)," ",REPT(" ",60)),1,60))="",ISNUMBER(SEARCH(" "&amp;TRIM(MID(SUBSTITUTE(TRIM(CC467)," ",REPT(" ",60)),1,60))&amp;" ",CD467))),OR(TRIM(MID(SUBSTITUTE(TRIM(CC467)," ",REPT(" ",60)),61,60))="",ISNUMBER(SEARCH(" "&amp;TRIM(MID(SUBSTITUTE(TRIM(CC467)," ",REPT(" ",60)),61,60))&amp;" ",CD467))),OR(TRIM(MID(SUBSTITUTE(TRIM(CC467)," ",REPT(" ",60)),121,60))="",ISNUMBER(SEARCH(" "&amp;TRIM(MID(SUBSTITUTE(TRIM(CC467)," ",REPT(" ",60)),121,60))&amp;" ",CD467)))),1,0),0)</f>
        <v>0</v>
      </c>
      <c r="CG467" s="68" t="n">
        <f aca="false">IFERROR(LEN(SUBSTITUTE(BF467," ",""))-SUMPRODUCT((LEN(BF467)-LEN(SUBSTITUTE(BF467," "&amp;L_NAFiller&amp;" "," ")))/(LEN(L_NAFiller)+1)*LEN(L_NAFiller)),0)</f>
        <v>0</v>
      </c>
    </row>
    <row r="468" customFormat="false" ht="39.75" hidden="false" customHeight="true" outlineLevel="0" collapsed="false">
      <c r="A468" s="57" t="s">
        <v>1115</v>
      </c>
      <c r="B468" s="57" t="s">
        <v>276</v>
      </c>
      <c r="C468" s="57" t="str">
        <f aca="false">Flights!$F$18</f>
        <v>MH0004</v>
      </c>
      <c r="D468" s="58" t="n">
        <f aca="false">Flights!$D$18</f>
        <v>46310</v>
      </c>
      <c r="E468" s="57" t="str">
        <f aca="false">Flights!$G$18&amp;"-"&amp;Flights!$H$18</f>
        <v>KUL-LHR</v>
      </c>
      <c r="F468" s="57" t="str">
        <f aca="false">Flights!$K$18</f>
        <v>EY</v>
      </c>
      <c r="G468" s="57" t="s">
        <v>420</v>
      </c>
      <c r="H468" s="57" t="s">
        <v>378</v>
      </c>
      <c r="I468" s="57" t="s">
        <v>428</v>
      </c>
      <c r="J468" s="57" t="s">
        <v>429</v>
      </c>
      <c r="K468" s="67"/>
      <c r="L468" s="67" t="s">
        <v>422</v>
      </c>
      <c r="M468" s="67"/>
      <c r="N468" s="67" t="s">
        <v>383</v>
      </c>
      <c r="O468" s="67" t="s">
        <v>423</v>
      </c>
      <c r="P468" s="57" t="s">
        <v>187</v>
      </c>
      <c r="Q468" s="59" t="n">
        <f aca="false">ROUND((Flights!$AE$18)*1440,0)/1440</f>
        <v>46309.5763888889</v>
      </c>
      <c r="R468" s="59" t="n">
        <f aca="false">Q468+(IF(AND(INDEX(TZ_DSTS,MATCH(P468,TZ_STN,0))&lt;&gt;"",Q468&gt;=INDEX(TZ_DSTS,MATCH(P468,TZ_STN,0)),Q468&lt;INDEX(TZ_DSTE,MATCH(P468,TZ_STN,0))),INDEX(TZ_DST,MATCH(P468,TZ_STN,0)),INDEX(TZ_STD,MATCH(P468,TZ_STN,0))))/24</f>
        <v>46309.9097222222</v>
      </c>
      <c r="S468" s="60"/>
      <c r="T468" s="60"/>
      <c r="U468" s="60"/>
      <c r="V468" s="60"/>
      <c r="W468" s="61"/>
      <c r="X468" s="60"/>
      <c r="Y468" s="60"/>
      <c r="Z468" s="60"/>
      <c r="AA468" s="60"/>
      <c r="AB468" s="60"/>
      <c r="AC468" s="60"/>
      <c r="AD468" s="66"/>
      <c r="AE468" s="60"/>
      <c r="AF468" s="61" t="str">
        <f aca="false">IF(AND(ISNUMBER(X468),ISNUMBER(Y468)),Y468-X468,"")</f>
        <v/>
      </c>
      <c r="AG468" s="62" t="str">
        <f aca="false">IF(ISNUMBER(AD468),AD468-(IF(AND(INDEX(TZ_DSTS,MATCH(P468,TZ_STN,0))&lt;&gt;"",(AD468-INDEX(TZ_STD,MATCH(P468,TZ_STN,0))/24)&gt;=INDEX(TZ_DSTS,MATCH(P468,TZ_STN,0)),(AD468-INDEX(TZ_STD,MATCH(P468,TZ_STN,0))/24)&lt;INDEX(TZ_DSTE,MATCH(P468,TZ_STN,0))),INDEX(TZ_DST,MATCH(P468,TZ_STN,0)),INDEX(TZ_STD,MATCH(P468,TZ_STN,0))))/24,"")</f>
        <v/>
      </c>
      <c r="AH468" s="65" t="str">
        <f aca="false">IFERROR(IF(N468="N/A – rule",IF(OR(TRIM(U468)="",TRIM(U468)="N/A",TRIM(U468)="Not started"),"N/A – RULE","INVALID – this check does not apply to this aircraft: clear the status (or correct the fleet on Flights)"),IF(TRIM(U468)="N/A",IF(AT468=0,"INVALID – N/A not permitted for this check",IF(AND(TRIM(AB468)&lt;&gt;"",TRIM(AB468)&lt;&gt;"Closed"),"INVALID – corrective action still open",IF(AND(NOT(OR(LEN(AZ468)&lt;15,ISNUMBER(MATCH(AZ468,L_Placeholder,0)))),BK468=0,CG468&gt;=8,NOT(OR(LEN(AU468)&lt;2,ISNUMBER(MATCH(AU468,L_Placeholder,0)))),BR468&gt;=3,NOT(OR(LEN(AX468)&lt;2,ISNUMBER(MATCH(AX468,L_Placeholder,0)))),BS468&gt;=3,TRIM(AE468)&lt;&gt;TRIM(T468),AX468&lt;&gt;AU468,CE468=0),"N/A – JUSTIFIED","INVALID – N/A needs a real, settled reason (not 'not applicable' / 'as above' / TBC), a named PIC and a different named verifier"))),IF(OR(TRIM(U468)="Pass",TRIM(U468)="Pass after CA"),IF(NOT(ISNUMBER(AD468)),"INVALID – completion time missing",IF(OR(OR(LEN(AU468)&lt;2,ISNUMBER(MATCH(AU468,L_Placeholder,0))),BR468&lt;3),"INVALID – PIC missing or not a named person (a role such as QA / CSM is not a name)",IF(OR(LEN(AV468)&lt;2,ISNUMBER(MATCH(AV468,L_Placeholder,0))),"INVALID – result / assessment missing",IF(OR(OR(LEN(AW468)&lt;3,ISNUMBER(MATCH(AW468,L_Placeholder,0))),SUMPRODUCT(--ISNUMBER(SEARCH(" "&amp;L_EvidencePhrase&amp;" ",BD468)))&gt;0,BI468=1),"INVALID – evidence missing, placeholder or not yet on file",IF(ISNA(MATCH(TRIM(S468),L_EvidenceType,0)),"INVALID – choose the evidence type from the list (column S)",IF(BL468=0,"INVALID – evidence ID must be the record's own ID only (e.g. SF-2210, IMG_2231, 1045521); a link / file name needs type 'Link / file path'",IF(OR(OR(LEN(AX468)&lt;2,ISNUMBER(MATCH(AX468,L_Placeholder,0))),BS468&lt;3),"INVALID – verifier missing or not a named person (a role such as QA / CSM is not a name)",IF(OR(AX468=AU468,CE468=1,AND(LEN(AU468)&gt;=4,ISNUMBER(SEARCH(AU468,AX468))),AND(LEN(AX468)&gt;=4,ISNUMBER(SEARCH(AX468,AU468)))),"INVALID – verifier must be a different, named person (not the PIC or a role)",IF(BH468=1,"INVALID – result not yet available (awaiting / TBC)",IF(BG468=1,"INVALID – result describes a problem: record Fail, then Pass after CA (or reword if it is not a problem)",IF(BV468=1,"INVALID – wording says not on board: an on-board confirmation needs the item loaded",IF(AND(AQ468=1,OR(OR(LEN(AY468)&lt;3,ISNUMBER(MATCH(AY468,L_Placeholder,0))),BJ468=1,BQ468=0)),"INVALID – batch ID missing, placeholder or not an ID (e.g. PASB-261008-BC-017)",IF(AND(AR468=1,OR(NOT(ISNUMBER(X468)),NOT(ISNUMBER(Y468)))),"INVALID – expected/actual qty missing",IF(AND(AR468=1,OR(X468&lt;=0,Y468&lt;0)),"INVALID – expected qty must be above 0 and actual not negative",IF(BB468&lt;&gt;"",BB468,IF(AND(AS468=1,Documents!$J$18&lt;&gt;"ON FILE"),"INVALID – GLD not on file (Documents sheet)",IF(AND(AS468=2,Documents!$O$18&lt;&gt;"ON FILE"),"INVALID – menu checklist not on file (Documents sheet)",IF(AND(AS468=3,NOT(ISNUMBER(Flights!$AX$18))),"INVALID – enter carrying flight KUL departure (Flights AX)",IF(AND(AS468=3,OR(Flights!$AZ$18&gt;Flights!$AA$18,Flights!$AX$18&lt;Flights!$AA$18-3)),"INVALID – carrying flight (Flights AX) cannot arrive before this leg's STD, or is over 3 days early",IF(AG468&gt;AsOfUTC,"INVALID – completion time is in the future",IF(AND(ISNUMBER(BY468),AG468&lt;BY468),IF(H468="Physical uplift","INVALID – before uplift window (cannot confirm loading)","INVALID – before valid window"),IF(AG468&gt;Flights!$AA$18,"INVALID – completed after departure (cannot establish readiness)",IF(AND(H468="Preparation",AG468&gt;=IF(ISNUMBER(Flights!$BA$18),MIN(Flights!$BA$18,Flights!$AA$18),Flights!$AA$18)),"INVALID – completed after loading / departure (cannot establish readiness)",IF(AND(H468="Physical uplift",AG468&gt;Q468),"INVALID – recorded after the loading flight departed",IF(AG468&gt;Q468,"COMPLETE – LATE","COMPLETE"))))))))))))))))))))))))),IF(TRIM(U468)="Fail","FAIL – DISCREPANCY",IF(AND(TRIM(U468)&lt;&gt;"",TRIM(U468)&lt;&gt;"Not started",TRIM(U468)&lt;&gt;"In progress"),"INVALID – unrecognised status (use the list)",IF(AsOfUTC&gt;Q468,"OVERDUE",IF(N468="Clarification required","OPEN – CLARIFICATION","OPEN"))))))),"INVALID – error value in an input cell")</f>
        <v>OPEN</v>
      </c>
      <c r="AI468" s="61" t="n">
        <f aca="false">IF(OR(AH468="N/A – RULE",AH468="N/A – JUSTIFIED"),0,1)</f>
        <v>1</v>
      </c>
      <c r="AJ468" s="61" t="n">
        <f aca="false">IF(LEFT(AH468,8)="COMPLETE",1,0)</f>
        <v>0</v>
      </c>
      <c r="AK468" s="61" t="n">
        <f aca="false">IF(AND(AI468=1,AJ468=0,AsOfUTC&gt;Q468),1,0)</f>
        <v>0</v>
      </c>
      <c r="AL468" s="61" t="n">
        <f aca="false">IFERROR(IF(AND(AI468=1,OR(TRIM(U468)="Fail",AND(TRIM(AB468)&lt;&gt;"",TRIM(AB468)&lt;&gt;"Closed"),AND(ISNUMBER(AF468),AF468&lt;&gt;0,TRIM(U468)&lt;&gt;"Pass after CA"))),1,0),1)</f>
        <v>0</v>
      </c>
      <c r="AM468" s="61" t="n">
        <f aca="false">IF(LEFT(AH468,7)="INVALID",1,0)</f>
        <v>0</v>
      </c>
      <c r="AN468" s="61" t="n">
        <f aca="false">IF(AND(N468="Clarification required",AI468=1,AJ468=0),1,0)</f>
        <v>0</v>
      </c>
      <c r="AO468" s="61" t="str">
        <f aca="false">IF(AK468=1,SUM(AK$5:AK468),"")</f>
        <v/>
      </c>
      <c r="AP468" s="61" t="str">
        <f aca="false">IF(AL468=1,SUM(AL$5:AL468),"")</f>
        <v/>
      </c>
      <c r="AQ468" s="61" t="n">
        <v>0</v>
      </c>
      <c r="AR468" s="61" t="n">
        <v>0</v>
      </c>
      <c r="AS468" s="61" t="n">
        <v>0</v>
      </c>
      <c r="AT468" s="61" t="n">
        <v>0</v>
      </c>
      <c r="AU468" s="61" t="str">
        <f aca="false">SUBSTITUTE(SUBSTITUTE(SUBSTITUTE(SUBSTITUTE(SUBSTITUTE(SUBSTITUTE(SUBSTITUTE(SUBSTITUTE(SUBSTITUTE(SUBSTITUTE(SUBSTITUTE(SUBSTITUTE(SUBSTITUTE(SUBSTITUTE(SUBSTITUTE(SUBSTITUTE(LOWER(T468&amp;""),CHAR(10),""),CHAR(13),""),CHAR(9),""),CHAR(160),"")," ",""),".",""),"-",""),"/",""),"?",""),"_",""),",",""),"[",""),"]",""),"(",""),")",""),"*","")</f>
        <v/>
      </c>
      <c r="AV468" s="61" t="str">
        <f aca="false">SUBSTITUTE(SUBSTITUTE(SUBSTITUTE(SUBSTITUTE(SUBSTITUTE(SUBSTITUTE(SUBSTITUTE(SUBSTITUTE(SUBSTITUTE(SUBSTITUTE(SUBSTITUTE(SUBSTITUTE(SUBSTITUTE(SUBSTITUTE(SUBSTITUTE(SUBSTITUTE(LOWER(V468&amp;""),CHAR(10),""),CHAR(13),""),CHAR(9),""),CHAR(160),"")," ",""),".",""),"-",""),"/",""),"?",""),"_",""),",",""),"[",""),"]",""),"(",""),")",""),"*","")</f>
        <v/>
      </c>
      <c r="AW468" s="61" t="str">
        <f aca="false">SUBSTITUTE(SUBSTITUTE(SUBSTITUTE(SUBSTITUTE(SUBSTITUTE(SUBSTITUTE(SUBSTITUTE(SUBSTITUTE(SUBSTITUTE(SUBSTITUTE(SUBSTITUTE(SUBSTITUTE(SUBSTITUTE(SUBSTITUTE(SUBSTITUTE(SUBSTITUTE(LOWER(Z468&amp;""),CHAR(10),""),CHAR(13),""),CHAR(9),""),CHAR(160),"")," ",""),".",""),"-",""),"/",""),"?",""),"_",""),",",""),"[",""),"]",""),"(",""),")",""),"*","")</f>
        <v/>
      </c>
      <c r="AX468" s="61" t="str">
        <f aca="false">SUBSTITUTE(SUBSTITUTE(SUBSTITUTE(SUBSTITUTE(SUBSTITUTE(SUBSTITUTE(SUBSTITUTE(SUBSTITUTE(SUBSTITUTE(SUBSTITUTE(SUBSTITUTE(SUBSTITUTE(SUBSTITUTE(SUBSTITUTE(SUBSTITUTE(SUBSTITUTE(LOWER(AE468&amp;""),CHAR(10),""),CHAR(13),""),CHAR(9),""),CHAR(160),"")," ",""),".",""),"-",""),"/",""),"?",""),"_",""),",",""),"[",""),"]",""),"(",""),")",""),"*","")</f>
        <v/>
      </c>
      <c r="AY468" s="61" t="str">
        <f aca="false">SUBSTITUTE(SUBSTITUTE(SUBSTITUTE(SUBSTITUTE(SUBSTITUTE(SUBSTITUTE(SUBSTITUTE(SUBSTITUTE(SUBSTITUTE(SUBSTITUTE(SUBSTITUTE(SUBSTITUTE(SUBSTITUTE(SUBSTITUTE(SUBSTITUTE(SUBSTITUTE(LOWER(W468&amp;""),CHAR(10),""),CHAR(13),""),CHAR(9),""),CHAR(160),"")," ",""),".",""),"-",""),"/",""),"?",""),"_",""),",",""),"[",""),"]",""),"(",""),")",""),"*","")</f>
        <v/>
      </c>
      <c r="AZ468" s="61" t="str">
        <f aca="false">SUBSTITUTE(SUBSTITUTE(SUBSTITUTE(SUBSTITUTE(SUBSTITUTE(SUBSTITUTE(SUBSTITUTE(SUBSTITUTE(SUBSTITUTE(SUBSTITUTE(SUBSTITUTE(SUBSTITUTE(SUBSTITUTE(SUBSTITUTE(SUBSTITUTE(SUBSTITUTE(LOWER(AC468&amp;""),CHAR(10),""),CHAR(13),""),CHAR(9),""),CHAR(160),"")," ",""),".",""),"-",""),"/",""),"?",""),"_",""),",",""),"[",""),"]",""),"(",""),")",""),"*","")</f>
        <v/>
      </c>
      <c r="BA468" s="61" t="str">
        <f aca="false">SUBSTITUTE(SUBSTITUTE(SUBSTITUTE(SUBSTITUTE(SUBSTITUTE(SUBSTITUTE(SUBSTITUTE(SUBSTITUTE(SUBSTITUTE(SUBSTITUTE(SUBSTITUTE(SUBSTITUTE(SUBSTITUTE(SUBSTITUTE(SUBSTITUTE(SUBSTITUTE(LOWER(AA468&amp;""),CHAR(10),""),CHAR(13),""),CHAR(9),""),CHAR(160),"")," ",""),".",""),"-",""),"/",""),"?",""),"_",""),",",""),"[",""),"]",""),"(",""),")",""),"*","")</f>
        <v/>
      </c>
      <c r="BB468" s="61" t="str">
        <f aca="false">IF(AND(TRIM(U468)="Pass",ISNUMBER(AF468)),IF(AF468&lt;&gt;0,"INVALID – qty variance: use Fail or Pass after CA",""),"")&amp;IF(AND(TRIM(U468)="Pass after CA",ISNUMBER(AF468)),IF(AF468&lt;&gt;0,"INVALID – after the corrective action the actual qty must equal expected (update Actual)",""),"")&amp;IF(AND(TRIM(U468)="Pass",TRIM(AB468)&lt;&gt;"",TRIM(AB468)&lt;&gt;"Closed"),"INVALID – corrective action not closed: use Fail, then Pass after CA","")&amp;IF(AND(LEN(BA468)&gt;=2,ISNA(MATCH(LEFT(BA468,255),L_Placeholder,0)),TRIM(AB468)=""),"INVALID – CA status missing for the recorded corrective action","")&amp;IF(AND(TRIM(U468)="Pass after CA",OR(OR(LEN(BA468)&lt;5,ISNUMBER(MATCH(BA468,L_Placeholder,0))),TRIM(AB468)&lt;&gt;"Closed")),"INVALID – corrective action not recorded/closed","")</f>
        <v/>
      </c>
      <c r="BC468" s="61" t="str">
        <f aca="false">" "&amp;TRIM(SUBSTITUTE(SUBSTITUTE(SUBSTITUTE(SUBSTITUTE(SUBSTITUTE(SUBSTITUTE(SUBSTITUTE(SUBSTITUTE(SUBSTITUTE(SUBSTITUTE(SUBSTITUTE(SUBSTITUTE(SUBSTITUTE(SUBSTITUTE(SUBSTITUTE(SUBSTITUTE(SUBSTITUTE(SUBSTITUTE(SUBSTITUTE(SUBSTITUTE(SUBSTITUTE(SUBSTITUTE(SUBSTITUTE(SUBSTITUTE(LOWER(V468&amp;""),CHAR(10)," "),CHAR(13)," "),CHAR(9)," "),CHAR(160)," "),"."," "),","," "),"-"," "),"/"," "),"("," "),")"," "),":"," "),";"," "),"_"," "),"–"," "),"?"," "),"!"," "),"*"," "),"["," "),"]"," "),"'"," "),"#"," "),"+"," "),"&amp;"," "),"\"," "))&amp;" "</f>
        <v>  </v>
      </c>
      <c r="BD468" s="61" t="str">
        <f aca="false">" "&amp;TRIM(SUBSTITUTE(SUBSTITUTE(SUBSTITUTE(SUBSTITUTE(SUBSTITUTE(SUBSTITUTE(SUBSTITUTE(SUBSTITUTE(SUBSTITUTE(SUBSTITUTE(SUBSTITUTE(SUBSTITUTE(SUBSTITUTE(SUBSTITUTE(SUBSTITUTE(SUBSTITUTE(SUBSTITUTE(SUBSTITUTE(SUBSTITUTE(SUBSTITUTE(SUBSTITUTE(SUBSTITUTE(SUBSTITUTE(SUBSTITUTE(LOWER(Z468&amp;""),CHAR(10)," "),CHAR(13)," "),CHAR(9)," "),CHAR(160)," "),"."," "),","," "),"-"," "),"/"," "),"("," "),")"," "),":"," "),";"," "),"_"," "),"–"," "),"?"," "),"!"," "),"*"," "),"["," "),"]"," "),"'"," "),"#"," "),"+"," "),"&amp;"," "),"\"," "))&amp;" "</f>
        <v>  </v>
      </c>
      <c r="BE468" s="61" t="str">
        <f aca="false">" "&amp;TRIM(SUBSTITUTE(SUBSTITUTE(SUBSTITUTE(SUBSTITUTE(SUBSTITUTE(SUBSTITUTE(SUBSTITUTE(SUBSTITUTE(SUBSTITUTE(SUBSTITUTE(SUBSTITUTE(SUBSTITUTE(SUBSTITUTE(SUBSTITUTE(SUBSTITUTE(SUBSTITUTE(SUBSTITUTE(SUBSTITUTE(SUBSTITUTE(SUBSTITUTE(SUBSTITUTE(SUBSTITUTE(SUBSTITUTE(SUBSTITUTE(LOWER(W468&amp;""),CHAR(10)," "),CHAR(13)," "),CHAR(9)," "),CHAR(160)," "),"."," "),","," "),"-"," "),"/"," "),"("," "),")"," "),":"," "),";"," "),"_"," "),"–"," "),"?"," "),"!"," "),"*"," "),"["," "),"]"," "),"'"," "),"#"," "),"+"," "),"&amp;"," "),"\"," "))&amp;" "</f>
        <v>  </v>
      </c>
      <c r="BF468" s="61" t="str">
        <f aca="false">" "&amp;TRIM(SUBSTITUTE(SUBSTITUTE(SUBSTITUTE(SUBSTITUTE(SUBSTITUTE(SUBSTITUTE(SUBSTITUTE(SUBSTITUTE(SUBSTITUTE(SUBSTITUTE(SUBSTITUTE(SUBSTITUTE(SUBSTITUTE(SUBSTITUTE(SUBSTITUTE(SUBSTITUTE(SUBSTITUTE(SUBSTITUTE(SUBSTITUTE(SUBSTITUTE(SUBSTITUTE(SUBSTITUTE(SUBSTITUTE(SUBSTITUTE(LOWER(AC468&amp;""),CHAR(10)," "),CHAR(13)," "),CHAR(9)," "),CHAR(160)," "),"."," "),","," "),"-"," "),"/"," "),"("," "),")"," "),":"," "),";"," "),"_"," "),"–"," "),"?"," "),"!"," "),"*"," "),"["," "),"]"," "),"'"," "),"#"," "),"+"," "),"&amp;"," "),"\"," "))&amp;" "</f>
        <v>  </v>
      </c>
      <c r="BG468" s="61" t="n">
        <f aca="false">IFERROR(IF(AND(TRIM(U468)="Pass",SUMPRODUCT((LEN(BC468)-LEN(SUBSTITUTE(BC468," "&amp;L_ResultBad&amp;" "," ")))/(LEN(L_ResultBad)+1))&gt;SUMPRODUCT((LEN(BC468)-LEN(SUBSTITUTE(BC468," "&amp;L_NegPhrase&amp;" "," ")))/(LEN(L_NegPhrase)+1))),1,0),0)</f>
        <v>0</v>
      </c>
      <c r="BH468" s="61" t="n">
        <f aca="false">IFERROR(IF(SUMPRODUCT((LEN(BC468)-LEN(SUBSTITUTE(BC468," "&amp;L_Pending&amp;" "," ")))/(LEN(L_Pending)+1))&gt;SUMPRODUCT((LEN(BC468)-LEN(SUBSTITUTE(BC468," "&amp;L_PendNeg&amp;" "," ")))/(LEN(L_PendNeg)+1))+SUMPRODUCT((LEN(BC468)-LEN(SUBSTITUTE(BC468," "&amp;L_PendPrep&amp;" "," ")))/(LEN(L_PendPrep)+1)),1,0),1)</f>
        <v>0</v>
      </c>
      <c r="BI468" s="61" t="n">
        <f aca="false">IFERROR(IF(SUMPRODUCT((LEN(BD468)-LEN(SUBSTITUTE(BD468," "&amp;L_PendStrict&amp;" "," ")))/(LEN(L_PendStrict)+1))&gt;SUMPRODUCT((LEN(BD468)-LEN(SUBSTITUTE(BD468," "&amp;L_PendNeg&amp;" "," ")))/(LEN(L_PendNeg)+1)),1,0),1)</f>
        <v>0</v>
      </c>
      <c r="BJ468" s="61" t="n">
        <f aca="false">IFERROR(IF(SUMPRODUCT((LEN(BE468)-LEN(SUBSTITUTE(BE468," "&amp;L_Pending&amp;" "," ")))/(LEN(L_Pending)+1))&gt;SUMPRODUCT((LEN(BE468)-LEN(SUBSTITUTE(BE468," "&amp;L_PendNeg&amp;" "," ")))/(LEN(L_PendNeg)+1))+SUMPRODUCT((LEN(BE468)-LEN(SUBSTITUTE(BE468," "&amp;L_PendPrep&amp;" "," ")))/(LEN(L_PendPrep)+1)),1,0),1)</f>
        <v>0</v>
      </c>
      <c r="BK468" s="61" t="n">
        <f aca="false">IFERROR(IF(SUMPRODUCT((LEN(BF468)-LEN(SUBSTITUTE(BF468," "&amp;L_PendStrict&amp;" "," ")))/(LEN(L_PendStrict)+1))&gt;SUMPRODUCT((LEN(BF468)-LEN(SUBSTITUTE(BF468," "&amp;L_PendNeg&amp;" "," ")))/(LEN(L_PendNeg)+1)),1,0),1)</f>
        <v>0</v>
      </c>
      <c r="BL468" s="61" t="n">
        <f aca="false">IF(ISNA(MATCH(TRIM(S468),L_EvidenceType,0)),0,BZ468)</f>
        <v>0</v>
      </c>
      <c r="BM468" s="61" t="str">
        <f aca="false">SUBSTITUTE(SUBSTITUTE(SUBSTITUTE(SUBSTITUTE(SUBSTITUTE(SUBSTITUTE(SUBSTITUTE(SUBSTITUTE(SUBSTITUTE(LOWER(Z468&amp;""),"1","0"),"2","0"),"3","0"),"4","0"),"5","0"),"6","0"),"7","0"),"8","0"),"9","0")</f>
        <v/>
      </c>
      <c r="BN468" s="61" t="str">
        <f aca="false">SUBSTITUTE(SUBSTITUTE(SUBSTITUTE(SUBSTITUTE(SUBSTITUTE(SUBSTITUTE(SUBSTITUTE(SUBSTITUTE(SUBSTITUTE(SUBSTITUTE(SUBSTITUTE(SUBSTITUTE(SUBSTITUTE(SUBSTITUTE(SUBSTITUTE(SUBSTITUTE(SUBSTITUTE(SUBSTITUTE(SUBSTITUTE(SUBSTITUTE(SUBSTITUTE(SUBSTITUTE(SUBSTITUTE(SUBSTITUTE(SUBSTITUTE(BM468,"b","a"),"c","a"),"d","a"),"e","a"),"f","a"),"g","a"),"h","a"),"i","a"),"j","a"),"k","a"),"l","a"),"m","a"),"n","a"),"o","a"),"p","a"),"q","a"),"r","a"),"s","a"),"t","a"),"u","a"),"v","a"),"w","a"),"x","a"),"y","a"),"z","a")</f>
        <v/>
      </c>
      <c r="BO468" s="61" t="str">
        <f aca="false">SUBSTITUTE(SUBSTITUTE(SUBSTITUTE(SUBSTITUTE(SUBSTITUTE(SUBSTITUTE(SUBSTITUTE(SUBSTITUTE(SUBSTITUTE(LOWER(W468&amp;""),"1","0"),"2","0"),"3","0"),"4","0"),"5","0"),"6","0"),"7","0"),"8","0"),"9","0")</f>
        <v/>
      </c>
      <c r="BP468" s="61" t="str">
        <f aca="false">SUBSTITUTE(SUBSTITUTE(SUBSTITUTE(SUBSTITUTE(SUBSTITUTE(SUBSTITUTE(SUBSTITUTE(SUBSTITUTE(SUBSTITUTE(SUBSTITUTE(SUBSTITUTE(SUBSTITUTE(SUBSTITUTE(SUBSTITUTE(SUBSTITUTE(SUBSTITUTE(SUBSTITUTE(SUBSTITUTE(SUBSTITUTE(SUBSTITUTE(SUBSTITUTE(SUBSTITUTE(SUBSTITUTE(SUBSTITUTE(SUBSTITUTE(BO468,"b","a"),"c","a"),"d","a"),"e","a"),"f","a"),"g","a"),"h","a"),"i","a"),"j","a"),"k","a"),"l","a"),"m","a"),"n","a"),"o","a"),"p","a"),"q","a"),"r","a"),"s","a"),"t","a"),"u","a"),"v","a"),"w","a"),"x","a"),"y","a"),"z","a")</f>
        <v/>
      </c>
      <c r="BQ468" s="61" t="n">
        <f aca="false">IFERROR(IF(AND(ISERROR(SEARCH(" mh"," "&amp;LOWER(W468))),ISNA(MATCH(LEFT(TRIM(BP468),255),{"0000a","000a","00a","0000aa","000aa","00aa","0aa","0000aaa","000aaa","00a00","0a00","0000-0000","00:00","a00","a0","00.00.0000","00/00/0000","00-00-0000","0000-00-00","0000/00/00","0000.00.00","00.00.00","00/00/00","00-00-00","0.00.0000","0/00/0000","0-00-0000"},0)),ISNA(MATCH(LEFT(TRIM(CA468),255),{"0000a","000a","00a","0000aa","000aa","00aa","0aa","0000aaa","000aaa","00a00","0a00","0000-0000","00:00","a00","a0","00.00.0000","00/00/0000","00-00-0000","0000-00-00","0000/00/00","0000.00.00","00.00.00","00/00/00","00-00-00","0.00.0000","0/00/0000","0-00-0000"},0)),LEN(CB468)&gt;=3,NOT(OR(SUBSTITUTE(CB468,"0","")="",AND(LEN(CB468)&gt;=4,CB468=REPT(LEFT(CB468),LEN(CB468))),ISNUMBER(MATCH(CB468,{"123","1234","12345","123456","1234567","12345678","0123","01234","012345","98765","987654","54321"},0)),AND(LEN(CB468)=8,LEFT(CB468,3)="202"))),OR(AND((LEN(CA468)-LEN(SUBSTITUTE(CA468,"a","")))&gt;=1,SUMPRODUCT(--ISNUMBER(SEARCH({"a0","a-0","a_0","a/0","a.0","a#0","0a","0-a","0_a","0/a"},BP468)))&gt;0),ISNUMBER(SEARCH("000000",BP468)))),1,0),0)</f>
        <v>0</v>
      </c>
      <c r="BR468" s="61" t="n">
        <f aca="false">IFERROR(LEN(SUBSTITUTE(CC468," ",""))-SUMPRODUCT((LEN(CC468)-LEN(SUBSTITUTE(CC468," "&amp;L_Role&amp;" "," ")))/(LEN(L_Role)+1)*LEN(L_Role)),0)</f>
        <v>0</v>
      </c>
      <c r="BS468" s="61" t="n">
        <f aca="false">IFERROR(LEN(SUBSTITUTE(CD468," ",""))-SUMPRODUCT((LEN(CD468)-LEN(SUBSTITUTE(CD468," "&amp;L_Role&amp;" "," ")))/(LEN(L_Role)+1)*LEN(L_Role)),0)</f>
        <v>0</v>
      </c>
      <c r="BT4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468,"revision",""),"version",""),"jan",""),"feb",""),"mar",""),"apr",""),"may",""),"jun",""),"jul",""),"aug",""),"sep",""),"oct",""),"nov",""),"dec",""),"utc",""),"gmt",""),"myt",""),"bst",""),"rev",""),"ver",""),"b","a"),"c","a"),"d","a"),"e","a"),"f","a"),"g","a"),"h","a"),"i","a"),"j","a"),"k","a"),"l","a"),"m","a"),"n","a"),"o","a"),"p","a"),"q","a"),"r","a"),"s","a"),"t","a"),"u","a"),"v","a"),"w","a"),"x","a"),"y","a"),"z","a")</f>
        <v/>
      </c>
      <c r="BU468" s="61" t="str">
        <f aca="false">SUBSTITUTE(SUBSTITUTE(SUBSTITUTE(SUBSTITUTE(SUBSTITUTE(SUBSTITUTE(SUBSTITUTE(SUBSTITUTE(SUBSTITUTE(SUBSTITUTE(LEFT(BM468,FIND("0",BM468&amp;"0")-1),"-",""),"_",""),"/",""),".",""),"#",""),"\\",""),":","")," ",""),"(",""),")","")</f>
        <v/>
      </c>
      <c r="BV468" s="61" t="n">
        <f aca="false">0</f>
        <v>0</v>
      </c>
      <c r="BW4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468&amp;""),"a",""),"b",""),"c",""),"d",""),"e",""),"f",""),"g",""),"h",""),"i",""),"j",""),"k",""),"l",""),"m",""),"n",""),"o",""),"p",""),"q",""),"r",""),"s",""),"t",""),"u",""),"v",""),"w",""),"x",""),"y",""),"z",""),"-",""),"_",""),"/",""),".",""),"#",""),"\\",""),":","")," ",""),"(",""),")","")</f>
        <v/>
      </c>
      <c r="BX468" s="61" t="str">
        <f aca="false">SUBSTITUTE(SUBSTITUTE(SUBSTITUTE(SUBSTITUTE(SUBSTITUTE(SUBSTITUTE(SUBSTITUTE(SUBSTITUTE(SUBSTITUTE(SUBSTITUTE(SUBSTITUTE(BM468,"0",""),"-",""),"_",""),"/",""),".",""),"#",""),"\\",""),":","")," ",""),"(",""),")","")</f>
        <v/>
      </c>
      <c r="BY468" s="62" t="n">
        <f aca="false">Q468-T12EarlyH/24</f>
        <v>46309.0763888889</v>
      </c>
      <c r="BZ468" s="61" t="n">
        <f aca="false">IFERROR(IF(IF(TRIM(S468)="Link / file path",AND(LEN(TRIM(Z468))&gt;=5,SUMPRODUCT(--ISNUMBER(SEARCH({"http","www.","\\",":\",".pdf",".jpg",".jpeg",".png",".heic",".xls",".doc",".msg",".eml",".ppt",".txt",".zip"},Z468)))&gt;0),AND(ISERROR(FIND(" ",TRIM(Z468))),NOT(OR(SUMPRODUCT(--ISNUMBER(FIND({",",";","&amp;","+"},Z468)))&gt;0,SUMPRODUCT(--ISNUMBER(SEARCH({"0/aa","0\\aa"},BN468)))&gt;0)),NOT(SUMPRODUCT(--ISNUMBER(SEARCH({"http","www.","\\",":\",".pdf",".jpg",".jpeg",".png",".heic",".xls",".doc",".msg",".eml",".ppt",".txt",".zip"},Z468)))&gt;0),NOT(LOWER(TRIM(Z468))=LOWER(Flights!$F$18)),ISNA(MATCH(BU468,{"mh","rev","revision","ver","version","v","r","a","b","seat","tray","row","gate","bay","stand","page","pg","item","line","no","cart","galley","flight","flt","table","box","bag","oven","etd","eta","std","sta","atd","ata","qty","pax","x","time","tel","ph","mob","day","wk","week","utc","gmt","myt","lt"},0)),NOT(OR(ISNUMBER(MATCH(LEFT(BN468,255),{"0000a","000a","00a","0000aa","000aa","00aa","0aa","0000aaa","000aaa","00a00","0a00","0000-0000","00:00","a00","a0","00.00.0000","00/00/0000","00-00-0000","0000-00-00","0000/00/00","0000.00.00","00.00.00","00/00/00","00-00-00","0.00.0000","0/00/0000","0-00-0000"},0)),ISNUMBER(MATCH(LEFT(BT468,255),{"0000a","000a","00a","0000aa","000aa","00aa","0aa","0000aaa","000aaa","00a00","0a00","0000-0000","00:00","a00","a0","00.00.0000","00/00/0000","00-00-0000","0000-00-00","0000/00/00","0000.00.00","00.00.00","00/00/00","00-00-00","0.00.0000","0/00/0000","0-00-0000"},0)))),NOT(OR(AND(BW468&lt;&gt;"",SUBSTITUTE(BW468,"0","")=""),AND(LEN(BW468)&gt;=4,BW468=REPT(LEFT(BW468),LEN(BW468))),ISNUMBER(MATCH(BW468,{"123","1234","12345","123456","1234567","12345678","0123","01234","012345","98765","987654","54321"},0)),ISNUMBER(MATCH(BX468,{"x","xx","xxx","xxxx","xxxxx","abc","abcd","nil","na","nan","test","tbc","tba","tbd","dummy","sample","example","eg","zz","zzz","none","null","xyz","qwe","asd","id","ref"},0)),AND(LEN(BW468)=8,BX468="",OR(LEFT(BW468,3)="202",ISNUMBER(MATCH(RIGHT(BW468,4),{"2025","2026","2027"},0)))))),OR(AND((LEN(BT468)-LEN(SUBSTITUTE(BT468,"a","")))&gt;=1,(LEN(BN468)-LEN(SUBSTITUTE(BN468,"0","")))&gt;=2,SUMPRODUCT(--ISNUMBER(SEARCH({"a0","a-0","a_0","a/0","a.0","a#0","0a","0-a","0_a","0/a"},BN468)))&gt;0),AND((LEN(BN468)-LEN(SUBSTITUTE(BN468,"a","")))=0,(LEN(BN468)-LEN(SUBSTITUTE(BN468,"0","")))&gt;=5)))),1,0),0)</f>
        <v>0</v>
      </c>
      <c r="CA4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468,"revision",""),"version",""),"jan",""),"feb",""),"mar",""),"apr",""),"may",""),"jun",""),"jul",""),"aug",""),"sep",""),"oct",""),"nov",""),"dec",""),"utc",""),"gmt",""),"myt",""),"bst",""),"rev",""),"ver",""),"b","a"),"c","a"),"d","a"),"e","a"),"f","a"),"g","a"),"h","a"),"i","a"),"j","a"),"k","a"),"l","a"),"m","a"),"n","a"),"o","a"),"p","a"),"q","a"),"r","a"),"s","a"),"t","a"),"u","a"),"v","a"),"w","a"),"x","a"),"y","a"),"z","a")</f>
        <v/>
      </c>
      <c r="CB4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468&amp;""),"a",""),"b",""),"c",""),"d",""),"e",""),"f",""),"g",""),"h",""),"i",""),"j",""),"k",""),"l",""),"m",""),"n",""),"o",""),"p",""),"q",""),"r",""),"s",""),"t",""),"u",""),"v",""),"w",""),"x",""),"y",""),"z",""),"-",""),"_",""),"/",""),".",""),"#",""),"\\",""),":","")," ",""),"(",""),")","")</f>
        <v/>
      </c>
      <c r="CC468" s="0" t="str">
        <f aca="false">" "&amp;TRIM(SUBSTITUTE(SUBSTITUTE(SUBSTITUTE(SUBSTITUTE(SUBSTITUTE(SUBSTITUTE(SUBSTITUTE(SUBSTITUTE(SUBSTITUTE(SUBSTITUTE(SUBSTITUTE(SUBSTITUTE(SUBSTITUTE(SUBSTITUTE(SUBSTITUTE(SUBSTITUTE(SUBSTITUTE(SUBSTITUTE(SUBSTITUTE(SUBSTITUTE(SUBSTITUTE(SUBSTITUTE(SUBSTITUTE(SUBSTITUTE(LOWER(T468&amp;""),CHAR(10)," "),CHAR(13)," "),CHAR(9)," "),CHAR(160)," "),"."," "),","," "),"-"," "),"/"," "),"("," "),")"," "),":"," "),";"," "),"_"," "),"–"," "),"?"," "),"!"," "),"*"," "),"["," "),"]"," "),"'"," "),"#"," "),"+"," "),"&amp;"," "),"\"," "))&amp;" "</f>
        <v>  </v>
      </c>
      <c r="CD468" s="0" t="str">
        <f aca="false">" "&amp;TRIM(SUBSTITUTE(SUBSTITUTE(SUBSTITUTE(SUBSTITUTE(SUBSTITUTE(SUBSTITUTE(SUBSTITUTE(SUBSTITUTE(SUBSTITUTE(SUBSTITUTE(SUBSTITUTE(SUBSTITUTE(SUBSTITUTE(SUBSTITUTE(SUBSTITUTE(SUBSTITUTE(SUBSTITUTE(SUBSTITUTE(SUBSTITUTE(SUBSTITUTE(SUBSTITUTE(SUBSTITUTE(SUBSTITUTE(SUBSTITUTE(LOWER(AE468&amp;""),CHAR(10)," "),CHAR(13)," "),CHAR(9)," "),CHAR(160)," "),"."," "),","," "),"-"," "),"/"," "),"("," "),")"," "),":"," "),";"," "),"_"," "),"–"," "),"?"," "),"!"," "),"*"," "),"["," "),"]"," "),"'"," "),"#"," "),"+"," "),"&amp;"," "),"\"," "))&amp;" "</f>
        <v>  </v>
      </c>
      <c r="CE468" s="68" t="n">
        <f aca="false">IFERROR(IF(AND(LEN(AU468)&gt;0,LEN(AU468)=LEN(AX468),OR(TRIM(MID(SUBSTITUTE(TRIM(CC468)," ",REPT(" ",60)),1,60))="",ISNUMBER(SEARCH(" "&amp;TRIM(MID(SUBSTITUTE(TRIM(CC468)," ",REPT(" ",60)),1,60))&amp;" ",CD468))),OR(TRIM(MID(SUBSTITUTE(TRIM(CC468)," ",REPT(" ",60)),61,60))="",ISNUMBER(SEARCH(" "&amp;TRIM(MID(SUBSTITUTE(TRIM(CC468)," ",REPT(" ",60)),61,60))&amp;" ",CD468))),OR(TRIM(MID(SUBSTITUTE(TRIM(CC468)," ",REPT(" ",60)),121,60))="",ISNUMBER(SEARCH(" "&amp;TRIM(MID(SUBSTITUTE(TRIM(CC468)," ",REPT(" ",60)),121,60))&amp;" ",CD468)))),1,0),0)</f>
        <v>0</v>
      </c>
      <c r="CG468" s="68" t="n">
        <f aca="false">IFERROR(LEN(SUBSTITUTE(BF468," ",""))-SUMPRODUCT((LEN(BF468)-LEN(SUBSTITUTE(BF468," "&amp;L_NAFiller&amp;" "," ")))/(LEN(L_NAFiller)+1)*LEN(L_NAFiller)),0)</f>
        <v>0</v>
      </c>
    </row>
    <row r="469" customFormat="false" ht="39.75" hidden="false" customHeight="true" outlineLevel="0" collapsed="false">
      <c r="A469" s="57" t="s">
        <v>1116</v>
      </c>
      <c r="B469" s="57" t="s">
        <v>276</v>
      </c>
      <c r="C469" s="57" t="str">
        <f aca="false">Flights!$F$18</f>
        <v>MH0004</v>
      </c>
      <c r="D469" s="58" t="n">
        <f aca="false">Flights!$D$18</f>
        <v>46310</v>
      </c>
      <c r="E469" s="57" t="str">
        <f aca="false">Flights!$G$18&amp;"-"&amp;Flights!$H$18</f>
        <v>KUL-LHR</v>
      </c>
      <c r="F469" s="57" t="str">
        <f aca="false">Flights!$K$18</f>
        <v>EY</v>
      </c>
      <c r="G469" s="57" t="s">
        <v>420</v>
      </c>
      <c r="H469" s="57" t="s">
        <v>378</v>
      </c>
      <c r="I469" s="57" t="s">
        <v>428</v>
      </c>
      <c r="J469" s="57" t="s">
        <v>431</v>
      </c>
      <c r="K469" s="67"/>
      <c r="L469" s="67" t="s">
        <v>422</v>
      </c>
      <c r="M469" s="67"/>
      <c r="N469" s="67" t="s">
        <v>383</v>
      </c>
      <c r="O469" s="67" t="s">
        <v>423</v>
      </c>
      <c r="P469" s="57" t="s">
        <v>187</v>
      </c>
      <c r="Q469" s="59" t="n">
        <f aca="false">ROUND((Flights!$AE$18)*1440,0)/1440</f>
        <v>46309.5763888889</v>
      </c>
      <c r="R469" s="59" t="n">
        <f aca="false">Q469+(IF(AND(INDEX(TZ_DSTS,MATCH(P469,TZ_STN,0))&lt;&gt;"",Q469&gt;=INDEX(TZ_DSTS,MATCH(P469,TZ_STN,0)),Q469&lt;INDEX(TZ_DSTE,MATCH(P469,TZ_STN,0))),INDEX(TZ_DST,MATCH(P469,TZ_STN,0)),INDEX(TZ_STD,MATCH(P469,TZ_STN,0))))/24</f>
        <v>46309.9097222222</v>
      </c>
      <c r="S469" s="60"/>
      <c r="T469" s="60"/>
      <c r="U469" s="60"/>
      <c r="V469" s="60"/>
      <c r="W469" s="61"/>
      <c r="X469" s="60"/>
      <c r="Y469" s="60"/>
      <c r="Z469" s="60"/>
      <c r="AA469" s="60"/>
      <c r="AB469" s="60"/>
      <c r="AC469" s="60"/>
      <c r="AD469" s="66"/>
      <c r="AE469" s="60"/>
      <c r="AF469" s="61" t="str">
        <f aca="false">IF(AND(ISNUMBER(X469),ISNUMBER(Y469)),Y469-X469,"")</f>
        <v/>
      </c>
      <c r="AG469" s="62" t="str">
        <f aca="false">IF(ISNUMBER(AD469),AD469-(IF(AND(INDEX(TZ_DSTS,MATCH(P469,TZ_STN,0))&lt;&gt;"",(AD469-INDEX(TZ_STD,MATCH(P469,TZ_STN,0))/24)&gt;=INDEX(TZ_DSTS,MATCH(P469,TZ_STN,0)),(AD469-INDEX(TZ_STD,MATCH(P469,TZ_STN,0))/24)&lt;INDEX(TZ_DSTE,MATCH(P469,TZ_STN,0))),INDEX(TZ_DST,MATCH(P469,TZ_STN,0)),INDEX(TZ_STD,MATCH(P469,TZ_STN,0))))/24,"")</f>
        <v/>
      </c>
      <c r="AH469" s="65" t="str">
        <f aca="false">IFERROR(IF(N469="N/A – rule",IF(OR(TRIM(U469)="",TRIM(U469)="N/A",TRIM(U469)="Not started"),"N/A – RULE","INVALID – this check does not apply to this aircraft: clear the status (or correct the fleet on Flights)"),IF(TRIM(U469)="N/A",IF(AT469=0,"INVALID – N/A not permitted for this check",IF(AND(TRIM(AB469)&lt;&gt;"",TRIM(AB469)&lt;&gt;"Closed"),"INVALID – corrective action still open",IF(AND(NOT(OR(LEN(AZ469)&lt;15,ISNUMBER(MATCH(AZ469,L_Placeholder,0)))),BK469=0,CG469&gt;=8,NOT(OR(LEN(AU469)&lt;2,ISNUMBER(MATCH(AU469,L_Placeholder,0)))),BR469&gt;=3,NOT(OR(LEN(AX469)&lt;2,ISNUMBER(MATCH(AX469,L_Placeholder,0)))),BS469&gt;=3,TRIM(AE469)&lt;&gt;TRIM(T469),AX469&lt;&gt;AU469,CE469=0),"N/A – JUSTIFIED","INVALID – N/A needs a real, settled reason (not 'not applicable' / 'as above' / TBC), a named PIC and a different named verifier"))),IF(OR(TRIM(U469)="Pass",TRIM(U469)="Pass after CA"),IF(NOT(ISNUMBER(AD469)),"INVALID – completion time missing",IF(OR(OR(LEN(AU469)&lt;2,ISNUMBER(MATCH(AU469,L_Placeholder,0))),BR469&lt;3),"INVALID – PIC missing or not a named person (a role such as QA / CSM is not a name)",IF(OR(LEN(AV469)&lt;2,ISNUMBER(MATCH(AV469,L_Placeholder,0))),"INVALID – result / assessment missing",IF(OR(OR(LEN(AW469)&lt;3,ISNUMBER(MATCH(AW469,L_Placeholder,0))),SUMPRODUCT(--ISNUMBER(SEARCH(" "&amp;L_EvidencePhrase&amp;" ",BD469)))&gt;0,BI469=1),"INVALID – evidence missing, placeholder or not yet on file",IF(ISNA(MATCH(TRIM(S469),L_EvidenceType,0)),"INVALID – choose the evidence type from the list (column S)",IF(BL469=0,"INVALID – evidence ID must be the record's own ID only (e.g. SF-2210, IMG_2231, 1045521); a link / file name needs type 'Link / file path'",IF(OR(OR(LEN(AX469)&lt;2,ISNUMBER(MATCH(AX469,L_Placeholder,0))),BS469&lt;3),"INVALID – verifier missing or not a named person (a role such as QA / CSM is not a name)",IF(OR(AX469=AU469,CE469=1,AND(LEN(AU469)&gt;=4,ISNUMBER(SEARCH(AU469,AX469))),AND(LEN(AX469)&gt;=4,ISNUMBER(SEARCH(AX469,AU469)))),"INVALID – verifier must be a different, named person (not the PIC or a role)",IF(BH469=1,"INVALID – result not yet available (awaiting / TBC)",IF(BG469=1,"INVALID – result describes a problem: record Fail, then Pass after CA (or reword if it is not a problem)",IF(BV469=1,"INVALID – wording says not on board: an on-board confirmation needs the item loaded",IF(AND(AQ469=1,OR(OR(LEN(AY469)&lt;3,ISNUMBER(MATCH(AY469,L_Placeholder,0))),BJ469=1,BQ469=0)),"INVALID – batch ID missing, placeholder or not an ID (e.g. PASB-261008-BC-017)",IF(AND(AR469=1,OR(NOT(ISNUMBER(X469)),NOT(ISNUMBER(Y469)))),"INVALID – expected/actual qty missing",IF(AND(AR469=1,OR(X469&lt;=0,Y469&lt;0)),"INVALID – expected qty must be above 0 and actual not negative",IF(BB469&lt;&gt;"",BB469,IF(AND(AS469=1,Documents!$J$18&lt;&gt;"ON FILE"),"INVALID – GLD not on file (Documents sheet)",IF(AND(AS469=2,Documents!$O$18&lt;&gt;"ON FILE"),"INVALID – menu checklist not on file (Documents sheet)",IF(AND(AS469=3,NOT(ISNUMBER(Flights!$AX$18))),"INVALID – enter carrying flight KUL departure (Flights AX)",IF(AND(AS469=3,OR(Flights!$AZ$18&gt;Flights!$AA$18,Flights!$AX$18&lt;Flights!$AA$18-3)),"INVALID – carrying flight (Flights AX) cannot arrive before this leg's STD, or is over 3 days early",IF(AG469&gt;AsOfUTC,"INVALID – completion time is in the future",IF(AND(ISNUMBER(BY469),AG469&lt;BY469),IF(H469="Physical uplift","INVALID – before uplift window (cannot confirm loading)","INVALID – before valid window"),IF(AG469&gt;Flights!$AA$18,"INVALID – completed after departure (cannot establish readiness)",IF(AND(H469="Preparation",AG469&gt;=IF(ISNUMBER(Flights!$BA$18),MIN(Flights!$BA$18,Flights!$AA$18),Flights!$AA$18)),"INVALID – completed after loading / departure (cannot establish readiness)",IF(AND(H469="Physical uplift",AG469&gt;Q469),"INVALID – recorded after the loading flight departed",IF(AG469&gt;Q469,"COMPLETE – LATE","COMPLETE"))))))))))))))))))))))))),IF(TRIM(U469)="Fail","FAIL – DISCREPANCY",IF(AND(TRIM(U469)&lt;&gt;"",TRIM(U469)&lt;&gt;"Not started",TRIM(U469)&lt;&gt;"In progress"),"INVALID – unrecognised status (use the list)",IF(AsOfUTC&gt;Q469,"OVERDUE",IF(N469="Clarification required","OPEN – CLARIFICATION","OPEN"))))))),"INVALID – error value in an input cell")</f>
        <v>OPEN</v>
      </c>
      <c r="AI469" s="61" t="n">
        <f aca="false">IF(OR(AH469="N/A – RULE",AH469="N/A – JUSTIFIED"),0,1)</f>
        <v>1</v>
      </c>
      <c r="AJ469" s="61" t="n">
        <f aca="false">IF(LEFT(AH469,8)="COMPLETE",1,0)</f>
        <v>0</v>
      </c>
      <c r="AK469" s="61" t="n">
        <f aca="false">IF(AND(AI469=1,AJ469=0,AsOfUTC&gt;Q469),1,0)</f>
        <v>0</v>
      </c>
      <c r="AL469" s="61" t="n">
        <f aca="false">IFERROR(IF(AND(AI469=1,OR(TRIM(U469)="Fail",AND(TRIM(AB469)&lt;&gt;"",TRIM(AB469)&lt;&gt;"Closed"),AND(ISNUMBER(AF469),AF469&lt;&gt;0,TRIM(U469)&lt;&gt;"Pass after CA"))),1,0),1)</f>
        <v>0</v>
      </c>
      <c r="AM469" s="61" t="n">
        <f aca="false">IF(LEFT(AH469,7)="INVALID",1,0)</f>
        <v>0</v>
      </c>
      <c r="AN469" s="61" t="n">
        <f aca="false">IF(AND(N469="Clarification required",AI469=1,AJ469=0),1,0)</f>
        <v>0</v>
      </c>
      <c r="AO469" s="61" t="str">
        <f aca="false">IF(AK469=1,SUM(AK$5:AK469),"")</f>
        <v/>
      </c>
      <c r="AP469" s="61" t="str">
        <f aca="false">IF(AL469=1,SUM(AL$5:AL469),"")</f>
        <v/>
      </c>
      <c r="AQ469" s="61" t="n">
        <v>0</v>
      </c>
      <c r="AR469" s="61" t="n">
        <v>0</v>
      </c>
      <c r="AS469" s="61" t="n">
        <v>0</v>
      </c>
      <c r="AT469" s="61" t="n">
        <v>0</v>
      </c>
      <c r="AU469" s="61" t="str">
        <f aca="false">SUBSTITUTE(SUBSTITUTE(SUBSTITUTE(SUBSTITUTE(SUBSTITUTE(SUBSTITUTE(SUBSTITUTE(SUBSTITUTE(SUBSTITUTE(SUBSTITUTE(SUBSTITUTE(SUBSTITUTE(SUBSTITUTE(SUBSTITUTE(SUBSTITUTE(SUBSTITUTE(LOWER(T469&amp;""),CHAR(10),""),CHAR(13),""),CHAR(9),""),CHAR(160),"")," ",""),".",""),"-",""),"/",""),"?",""),"_",""),",",""),"[",""),"]",""),"(",""),")",""),"*","")</f>
        <v/>
      </c>
      <c r="AV469" s="61" t="str">
        <f aca="false">SUBSTITUTE(SUBSTITUTE(SUBSTITUTE(SUBSTITUTE(SUBSTITUTE(SUBSTITUTE(SUBSTITUTE(SUBSTITUTE(SUBSTITUTE(SUBSTITUTE(SUBSTITUTE(SUBSTITUTE(SUBSTITUTE(SUBSTITUTE(SUBSTITUTE(SUBSTITUTE(LOWER(V469&amp;""),CHAR(10),""),CHAR(13),""),CHAR(9),""),CHAR(160),"")," ",""),".",""),"-",""),"/",""),"?",""),"_",""),",",""),"[",""),"]",""),"(",""),")",""),"*","")</f>
        <v/>
      </c>
      <c r="AW469" s="61" t="str">
        <f aca="false">SUBSTITUTE(SUBSTITUTE(SUBSTITUTE(SUBSTITUTE(SUBSTITUTE(SUBSTITUTE(SUBSTITUTE(SUBSTITUTE(SUBSTITUTE(SUBSTITUTE(SUBSTITUTE(SUBSTITUTE(SUBSTITUTE(SUBSTITUTE(SUBSTITUTE(SUBSTITUTE(LOWER(Z469&amp;""),CHAR(10),""),CHAR(13),""),CHAR(9),""),CHAR(160),"")," ",""),".",""),"-",""),"/",""),"?",""),"_",""),",",""),"[",""),"]",""),"(",""),")",""),"*","")</f>
        <v/>
      </c>
      <c r="AX469" s="61" t="str">
        <f aca="false">SUBSTITUTE(SUBSTITUTE(SUBSTITUTE(SUBSTITUTE(SUBSTITUTE(SUBSTITUTE(SUBSTITUTE(SUBSTITUTE(SUBSTITUTE(SUBSTITUTE(SUBSTITUTE(SUBSTITUTE(SUBSTITUTE(SUBSTITUTE(SUBSTITUTE(SUBSTITUTE(LOWER(AE469&amp;""),CHAR(10),""),CHAR(13),""),CHAR(9),""),CHAR(160),"")," ",""),".",""),"-",""),"/",""),"?",""),"_",""),",",""),"[",""),"]",""),"(",""),")",""),"*","")</f>
        <v/>
      </c>
      <c r="AY469" s="61" t="str">
        <f aca="false">SUBSTITUTE(SUBSTITUTE(SUBSTITUTE(SUBSTITUTE(SUBSTITUTE(SUBSTITUTE(SUBSTITUTE(SUBSTITUTE(SUBSTITUTE(SUBSTITUTE(SUBSTITUTE(SUBSTITUTE(SUBSTITUTE(SUBSTITUTE(SUBSTITUTE(SUBSTITUTE(LOWER(W469&amp;""),CHAR(10),""),CHAR(13),""),CHAR(9),""),CHAR(160),"")," ",""),".",""),"-",""),"/",""),"?",""),"_",""),",",""),"[",""),"]",""),"(",""),")",""),"*","")</f>
        <v/>
      </c>
      <c r="AZ469" s="61" t="str">
        <f aca="false">SUBSTITUTE(SUBSTITUTE(SUBSTITUTE(SUBSTITUTE(SUBSTITUTE(SUBSTITUTE(SUBSTITUTE(SUBSTITUTE(SUBSTITUTE(SUBSTITUTE(SUBSTITUTE(SUBSTITUTE(SUBSTITUTE(SUBSTITUTE(SUBSTITUTE(SUBSTITUTE(LOWER(AC469&amp;""),CHAR(10),""),CHAR(13),""),CHAR(9),""),CHAR(160),"")," ",""),".",""),"-",""),"/",""),"?",""),"_",""),",",""),"[",""),"]",""),"(",""),")",""),"*","")</f>
        <v/>
      </c>
      <c r="BA469" s="61" t="str">
        <f aca="false">SUBSTITUTE(SUBSTITUTE(SUBSTITUTE(SUBSTITUTE(SUBSTITUTE(SUBSTITUTE(SUBSTITUTE(SUBSTITUTE(SUBSTITUTE(SUBSTITUTE(SUBSTITUTE(SUBSTITUTE(SUBSTITUTE(SUBSTITUTE(SUBSTITUTE(SUBSTITUTE(LOWER(AA469&amp;""),CHAR(10),""),CHAR(13),""),CHAR(9),""),CHAR(160),"")," ",""),".",""),"-",""),"/",""),"?",""),"_",""),",",""),"[",""),"]",""),"(",""),")",""),"*","")</f>
        <v/>
      </c>
      <c r="BB469" s="61" t="str">
        <f aca="false">IF(AND(TRIM(U469)="Pass",ISNUMBER(AF469)),IF(AF469&lt;&gt;0,"INVALID – qty variance: use Fail or Pass after CA",""),"")&amp;IF(AND(TRIM(U469)="Pass after CA",ISNUMBER(AF469)),IF(AF469&lt;&gt;0,"INVALID – after the corrective action the actual qty must equal expected (update Actual)",""),"")&amp;IF(AND(TRIM(U469)="Pass",TRIM(AB469)&lt;&gt;"",TRIM(AB469)&lt;&gt;"Closed"),"INVALID – corrective action not closed: use Fail, then Pass after CA","")&amp;IF(AND(LEN(BA469)&gt;=2,ISNA(MATCH(LEFT(BA469,255),L_Placeholder,0)),TRIM(AB469)=""),"INVALID – CA status missing for the recorded corrective action","")&amp;IF(AND(TRIM(U469)="Pass after CA",OR(OR(LEN(BA469)&lt;5,ISNUMBER(MATCH(BA469,L_Placeholder,0))),TRIM(AB469)&lt;&gt;"Closed")),"INVALID – corrective action not recorded/closed","")</f>
        <v/>
      </c>
      <c r="BC469" s="61" t="str">
        <f aca="false">" "&amp;TRIM(SUBSTITUTE(SUBSTITUTE(SUBSTITUTE(SUBSTITUTE(SUBSTITUTE(SUBSTITUTE(SUBSTITUTE(SUBSTITUTE(SUBSTITUTE(SUBSTITUTE(SUBSTITUTE(SUBSTITUTE(SUBSTITUTE(SUBSTITUTE(SUBSTITUTE(SUBSTITUTE(SUBSTITUTE(SUBSTITUTE(SUBSTITUTE(SUBSTITUTE(SUBSTITUTE(SUBSTITUTE(SUBSTITUTE(SUBSTITUTE(LOWER(V469&amp;""),CHAR(10)," "),CHAR(13)," "),CHAR(9)," "),CHAR(160)," "),"."," "),","," "),"-"," "),"/"," "),"("," "),")"," "),":"," "),";"," "),"_"," "),"–"," "),"?"," "),"!"," "),"*"," "),"["," "),"]"," "),"'"," "),"#"," "),"+"," "),"&amp;"," "),"\"," "))&amp;" "</f>
        <v>  </v>
      </c>
      <c r="BD469" s="61" t="str">
        <f aca="false">" "&amp;TRIM(SUBSTITUTE(SUBSTITUTE(SUBSTITUTE(SUBSTITUTE(SUBSTITUTE(SUBSTITUTE(SUBSTITUTE(SUBSTITUTE(SUBSTITUTE(SUBSTITUTE(SUBSTITUTE(SUBSTITUTE(SUBSTITUTE(SUBSTITUTE(SUBSTITUTE(SUBSTITUTE(SUBSTITUTE(SUBSTITUTE(SUBSTITUTE(SUBSTITUTE(SUBSTITUTE(SUBSTITUTE(SUBSTITUTE(SUBSTITUTE(LOWER(Z469&amp;""),CHAR(10)," "),CHAR(13)," "),CHAR(9)," "),CHAR(160)," "),"."," "),","," "),"-"," "),"/"," "),"("," "),")"," "),":"," "),";"," "),"_"," "),"–"," "),"?"," "),"!"," "),"*"," "),"["," "),"]"," "),"'"," "),"#"," "),"+"," "),"&amp;"," "),"\"," "))&amp;" "</f>
        <v>  </v>
      </c>
      <c r="BE469" s="61" t="str">
        <f aca="false">" "&amp;TRIM(SUBSTITUTE(SUBSTITUTE(SUBSTITUTE(SUBSTITUTE(SUBSTITUTE(SUBSTITUTE(SUBSTITUTE(SUBSTITUTE(SUBSTITUTE(SUBSTITUTE(SUBSTITUTE(SUBSTITUTE(SUBSTITUTE(SUBSTITUTE(SUBSTITUTE(SUBSTITUTE(SUBSTITUTE(SUBSTITUTE(SUBSTITUTE(SUBSTITUTE(SUBSTITUTE(SUBSTITUTE(SUBSTITUTE(SUBSTITUTE(LOWER(W469&amp;""),CHAR(10)," "),CHAR(13)," "),CHAR(9)," "),CHAR(160)," "),"."," "),","," "),"-"," "),"/"," "),"("," "),")"," "),":"," "),";"," "),"_"," "),"–"," "),"?"," "),"!"," "),"*"," "),"["," "),"]"," "),"'"," "),"#"," "),"+"," "),"&amp;"," "),"\"," "))&amp;" "</f>
        <v>  </v>
      </c>
      <c r="BF469" s="61" t="str">
        <f aca="false">" "&amp;TRIM(SUBSTITUTE(SUBSTITUTE(SUBSTITUTE(SUBSTITUTE(SUBSTITUTE(SUBSTITUTE(SUBSTITUTE(SUBSTITUTE(SUBSTITUTE(SUBSTITUTE(SUBSTITUTE(SUBSTITUTE(SUBSTITUTE(SUBSTITUTE(SUBSTITUTE(SUBSTITUTE(SUBSTITUTE(SUBSTITUTE(SUBSTITUTE(SUBSTITUTE(SUBSTITUTE(SUBSTITUTE(SUBSTITUTE(SUBSTITUTE(LOWER(AC469&amp;""),CHAR(10)," "),CHAR(13)," "),CHAR(9)," "),CHAR(160)," "),"."," "),","," "),"-"," "),"/"," "),"("," "),")"," "),":"," "),";"," "),"_"," "),"–"," "),"?"," "),"!"," "),"*"," "),"["," "),"]"," "),"'"," "),"#"," "),"+"," "),"&amp;"," "),"\"," "))&amp;" "</f>
        <v>  </v>
      </c>
      <c r="BG469" s="61" t="n">
        <f aca="false">IFERROR(IF(AND(TRIM(U469)="Pass",SUMPRODUCT((LEN(BC469)-LEN(SUBSTITUTE(BC469," "&amp;L_ResultBad&amp;" "," ")))/(LEN(L_ResultBad)+1))&gt;SUMPRODUCT((LEN(BC469)-LEN(SUBSTITUTE(BC469," "&amp;L_NegPhrase&amp;" "," ")))/(LEN(L_NegPhrase)+1))),1,0),0)</f>
        <v>0</v>
      </c>
      <c r="BH469" s="61" t="n">
        <f aca="false">IFERROR(IF(SUMPRODUCT((LEN(BC469)-LEN(SUBSTITUTE(BC469," "&amp;L_Pending&amp;" "," ")))/(LEN(L_Pending)+1))&gt;SUMPRODUCT((LEN(BC469)-LEN(SUBSTITUTE(BC469," "&amp;L_PendNeg&amp;" "," ")))/(LEN(L_PendNeg)+1))+SUMPRODUCT((LEN(BC469)-LEN(SUBSTITUTE(BC469," "&amp;L_PendPrep&amp;" "," ")))/(LEN(L_PendPrep)+1)),1,0),1)</f>
        <v>0</v>
      </c>
      <c r="BI469" s="61" t="n">
        <f aca="false">IFERROR(IF(SUMPRODUCT((LEN(BD469)-LEN(SUBSTITUTE(BD469," "&amp;L_PendStrict&amp;" "," ")))/(LEN(L_PendStrict)+1))&gt;SUMPRODUCT((LEN(BD469)-LEN(SUBSTITUTE(BD469," "&amp;L_PendNeg&amp;" "," ")))/(LEN(L_PendNeg)+1)),1,0),1)</f>
        <v>0</v>
      </c>
      <c r="BJ469" s="61" t="n">
        <f aca="false">IFERROR(IF(SUMPRODUCT((LEN(BE469)-LEN(SUBSTITUTE(BE469," "&amp;L_Pending&amp;" "," ")))/(LEN(L_Pending)+1))&gt;SUMPRODUCT((LEN(BE469)-LEN(SUBSTITUTE(BE469," "&amp;L_PendNeg&amp;" "," ")))/(LEN(L_PendNeg)+1))+SUMPRODUCT((LEN(BE469)-LEN(SUBSTITUTE(BE469," "&amp;L_PendPrep&amp;" "," ")))/(LEN(L_PendPrep)+1)),1,0),1)</f>
        <v>0</v>
      </c>
      <c r="BK469" s="61" t="n">
        <f aca="false">IFERROR(IF(SUMPRODUCT((LEN(BF469)-LEN(SUBSTITUTE(BF469," "&amp;L_PendStrict&amp;" "," ")))/(LEN(L_PendStrict)+1))&gt;SUMPRODUCT((LEN(BF469)-LEN(SUBSTITUTE(BF469," "&amp;L_PendNeg&amp;" "," ")))/(LEN(L_PendNeg)+1)),1,0),1)</f>
        <v>0</v>
      </c>
      <c r="BL469" s="61" t="n">
        <f aca="false">IF(ISNA(MATCH(TRIM(S469),L_EvidenceType,0)),0,BZ469)</f>
        <v>0</v>
      </c>
      <c r="BM469" s="61" t="str">
        <f aca="false">SUBSTITUTE(SUBSTITUTE(SUBSTITUTE(SUBSTITUTE(SUBSTITUTE(SUBSTITUTE(SUBSTITUTE(SUBSTITUTE(SUBSTITUTE(LOWER(Z469&amp;""),"1","0"),"2","0"),"3","0"),"4","0"),"5","0"),"6","0"),"7","0"),"8","0"),"9","0")</f>
        <v/>
      </c>
      <c r="BN469" s="61" t="str">
        <f aca="false">SUBSTITUTE(SUBSTITUTE(SUBSTITUTE(SUBSTITUTE(SUBSTITUTE(SUBSTITUTE(SUBSTITUTE(SUBSTITUTE(SUBSTITUTE(SUBSTITUTE(SUBSTITUTE(SUBSTITUTE(SUBSTITUTE(SUBSTITUTE(SUBSTITUTE(SUBSTITUTE(SUBSTITUTE(SUBSTITUTE(SUBSTITUTE(SUBSTITUTE(SUBSTITUTE(SUBSTITUTE(SUBSTITUTE(SUBSTITUTE(SUBSTITUTE(BM469,"b","a"),"c","a"),"d","a"),"e","a"),"f","a"),"g","a"),"h","a"),"i","a"),"j","a"),"k","a"),"l","a"),"m","a"),"n","a"),"o","a"),"p","a"),"q","a"),"r","a"),"s","a"),"t","a"),"u","a"),"v","a"),"w","a"),"x","a"),"y","a"),"z","a")</f>
        <v/>
      </c>
      <c r="BO469" s="61" t="str">
        <f aca="false">SUBSTITUTE(SUBSTITUTE(SUBSTITUTE(SUBSTITUTE(SUBSTITUTE(SUBSTITUTE(SUBSTITUTE(SUBSTITUTE(SUBSTITUTE(LOWER(W469&amp;""),"1","0"),"2","0"),"3","0"),"4","0"),"5","0"),"6","0"),"7","0"),"8","0"),"9","0")</f>
        <v/>
      </c>
      <c r="BP469" s="61" t="str">
        <f aca="false">SUBSTITUTE(SUBSTITUTE(SUBSTITUTE(SUBSTITUTE(SUBSTITUTE(SUBSTITUTE(SUBSTITUTE(SUBSTITUTE(SUBSTITUTE(SUBSTITUTE(SUBSTITUTE(SUBSTITUTE(SUBSTITUTE(SUBSTITUTE(SUBSTITUTE(SUBSTITUTE(SUBSTITUTE(SUBSTITUTE(SUBSTITUTE(SUBSTITUTE(SUBSTITUTE(SUBSTITUTE(SUBSTITUTE(SUBSTITUTE(SUBSTITUTE(BO469,"b","a"),"c","a"),"d","a"),"e","a"),"f","a"),"g","a"),"h","a"),"i","a"),"j","a"),"k","a"),"l","a"),"m","a"),"n","a"),"o","a"),"p","a"),"q","a"),"r","a"),"s","a"),"t","a"),"u","a"),"v","a"),"w","a"),"x","a"),"y","a"),"z","a")</f>
        <v/>
      </c>
      <c r="BQ469" s="61" t="n">
        <f aca="false">IFERROR(IF(AND(ISERROR(SEARCH(" mh"," "&amp;LOWER(W469))),ISNA(MATCH(LEFT(TRIM(BP469),255),{"0000a","000a","00a","0000aa","000aa","00aa","0aa","0000aaa","000aaa","00a00","0a00","0000-0000","00:00","a00","a0","00.00.0000","00/00/0000","00-00-0000","0000-00-00","0000/00/00","0000.00.00","00.00.00","00/00/00","00-00-00","0.00.0000","0/00/0000","0-00-0000"},0)),ISNA(MATCH(LEFT(TRIM(CA469),255),{"0000a","000a","00a","0000aa","000aa","00aa","0aa","0000aaa","000aaa","00a00","0a00","0000-0000","00:00","a00","a0","00.00.0000","00/00/0000","00-00-0000","0000-00-00","0000/00/00","0000.00.00","00.00.00","00/00/00","00-00-00","0.00.0000","0/00/0000","0-00-0000"},0)),LEN(CB469)&gt;=3,NOT(OR(SUBSTITUTE(CB469,"0","")="",AND(LEN(CB469)&gt;=4,CB469=REPT(LEFT(CB469),LEN(CB469))),ISNUMBER(MATCH(CB469,{"123","1234","12345","123456","1234567","12345678","0123","01234","012345","98765","987654","54321"},0)),AND(LEN(CB469)=8,LEFT(CB469,3)="202"))),OR(AND((LEN(CA469)-LEN(SUBSTITUTE(CA469,"a","")))&gt;=1,SUMPRODUCT(--ISNUMBER(SEARCH({"a0","a-0","a_0","a/0","a.0","a#0","0a","0-a","0_a","0/a"},BP469)))&gt;0),ISNUMBER(SEARCH("000000",BP469)))),1,0),0)</f>
        <v>0</v>
      </c>
      <c r="BR469" s="61" t="n">
        <f aca="false">IFERROR(LEN(SUBSTITUTE(CC469," ",""))-SUMPRODUCT((LEN(CC469)-LEN(SUBSTITUTE(CC469," "&amp;L_Role&amp;" "," ")))/(LEN(L_Role)+1)*LEN(L_Role)),0)</f>
        <v>0</v>
      </c>
      <c r="BS469" s="61" t="n">
        <f aca="false">IFERROR(LEN(SUBSTITUTE(CD469," ",""))-SUMPRODUCT((LEN(CD469)-LEN(SUBSTITUTE(CD469," "&amp;L_Role&amp;" "," ")))/(LEN(L_Role)+1)*LEN(L_Role)),0)</f>
        <v>0</v>
      </c>
      <c r="BT4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469,"revision",""),"version",""),"jan",""),"feb",""),"mar",""),"apr",""),"may",""),"jun",""),"jul",""),"aug",""),"sep",""),"oct",""),"nov",""),"dec",""),"utc",""),"gmt",""),"myt",""),"bst",""),"rev",""),"ver",""),"b","a"),"c","a"),"d","a"),"e","a"),"f","a"),"g","a"),"h","a"),"i","a"),"j","a"),"k","a"),"l","a"),"m","a"),"n","a"),"o","a"),"p","a"),"q","a"),"r","a"),"s","a"),"t","a"),"u","a"),"v","a"),"w","a"),"x","a"),"y","a"),"z","a")</f>
        <v/>
      </c>
      <c r="BU469" s="61" t="str">
        <f aca="false">SUBSTITUTE(SUBSTITUTE(SUBSTITUTE(SUBSTITUTE(SUBSTITUTE(SUBSTITUTE(SUBSTITUTE(SUBSTITUTE(SUBSTITUTE(SUBSTITUTE(LEFT(BM469,FIND("0",BM469&amp;"0")-1),"-",""),"_",""),"/",""),".",""),"#",""),"\\",""),":","")," ",""),"(",""),")","")</f>
        <v/>
      </c>
      <c r="BV469" s="61" t="n">
        <f aca="false">0</f>
        <v>0</v>
      </c>
      <c r="BW4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469&amp;""),"a",""),"b",""),"c",""),"d",""),"e",""),"f",""),"g",""),"h",""),"i",""),"j",""),"k",""),"l",""),"m",""),"n",""),"o",""),"p",""),"q",""),"r",""),"s",""),"t",""),"u",""),"v",""),"w",""),"x",""),"y",""),"z",""),"-",""),"_",""),"/",""),".",""),"#",""),"\\",""),":","")," ",""),"(",""),")","")</f>
        <v/>
      </c>
      <c r="BX469" s="61" t="str">
        <f aca="false">SUBSTITUTE(SUBSTITUTE(SUBSTITUTE(SUBSTITUTE(SUBSTITUTE(SUBSTITUTE(SUBSTITUTE(SUBSTITUTE(SUBSTITUTE(SUBSTITUTE(SUBSTITUTE(BM469,"0",""),"-",""),"_",""),"/",""),".",""),"#",""),"\\",""),":","")," ",""),"(",""),")","")</f>
        <v/>
      </c>
      <c r="BY469" s="62" t="n">
        <f aca="false">Q469-T12EarlyH/24</f>
        <v>46309.0763888889</v>
      </c>
      <c r="BZ469" s="61" t="n">
        <f aca="false">IFERROR(IF(IF(TRIM(S469)="Link / file path",AND(LEN(TRIM(Z469))&gt;=5,SUMPRODUCT(--ISNUMBER(SEARCH({"http","www.","\\",":\",".pdf",".jpg",".jpeg",".png",".heic",".xls",".doc",".msg",".eml",".ppt",".txt",".zip"},Z469)))&gt;0),AND(ISERROR(FIND(" ",TRIM(Z469))),NOT(OR(SUMPRODUCT(--ISNUMBER(FIND({",",";","&amp;","+"},Z469)))&gt;0,SUMPRODUCT(--ISNUMBER(SEARCH({"0/aa","0\\aa"},BN469)))&gt;0)),NOT(SUMPRODUCT(--ISNUMBER(SEARCH({"http","www.","\\",":\",".pdf",".jpg",".jpeg",".png",".heic",".xls",".doc",".msg",".eml",".ppt",".txt",".zip"},Z469)))&gt;0),NOT(LOWER(TRIM(Z469))=LOWER(Flights!$F$18)),ISNA(MATCH(BU469,{"mh","rev","revision","ver","version","v","r","a","b","seat","tray","row","gate","bay","stand","page","pg","item","line","no","cart","galley","flight","flt","table","box","bag","oven","etd","eta","std","sta","atd","ata","qty","pax","x","time","tel","ph","mob","day","wk","week","utc","gmt","myt","lt"},0)),NOT(OR(ISNUMBER(MATCH(LEFT(BN469,255),{"0000a","000a","00a","0000aa","000aa","00aa","0aa","0000aaa","000aaa","00a00","0a00","0000-0000","00:00","a00","a0","00.00.0000","00/00/0000","00-00-0000","0000-00-00","0000/00/00","0000.00.00","00.00.00","00/00/00","00-00-00","0.00.0000","0/00/0000","0-00-0000"},0)),ISNUMBER(MATCH(LEFT(BT469,255),{"0000a","000a","00a","0000aa","000aa","00aa","0aa","0000aaa","000aaa","00a00","0a00","0000-0000","00:00","a00","a0","00.00.0000","00/00/0000","00-00-0000","0000-00-00","0000/00/00","0000.00.00","00.00.00","00/00/00","00-00-00","0.00.0000","0/00/0000","0-00-0000"},0)))),NOT(OR(AND(BW469&lt;&gt;"",SUBSTITUTE(BW469,"0","")=""),AND(LEN(BW469)&gt;=4,BW469=REPT(LEFT(BW469),LEN(BW469))),ISNUMBER(MATCH(BW469,{"123","1234","12345","123456","1234567","12345678","0123","01234","012345","98765","987654","54321"},0)),ISNUMBER(MATCH(BX469,{"x","xx","xxx","xxxx","xxxxx","abc","abcd","nil","na","nan","test","tbc","tba","tbd","dummy","sample","example","eg","zz","zzz","none","null","xyz","qwe","asd","id","ref"},0)),AND(LEN(BW469)=8,BX469="",OR(LEFT(BW469,3)="202",ISNUMBER(MATCH(RIGHT(BW469,4),{"2025","2026","2027"},0)))))),OR(AND((LEN(BT469)-LEN(SUBSTITUTE(BT469,"a","")))&gt;=1,(LEN(BN469)-LEN(SUBSTITUTE(BN469,"0","")))&gt;=2,SUMPRODUCT(--ISNUMBER(SEARCH({"a0","a-0","a_0","a/0","a.0","a#0","0a","0-a","0_a","0/a"},BN469)))&gt;0),AND((LEN(BN469)-LEN(SUBSTITUTE(BN469,"a","")))=0,(LEN(BN469)-LEN(SUBSTITUTE(BN469,"0","")))&gt;=5)))),1,0),0)</f>
        <v>0</v>
      </c>
      <c r="CA4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469,"revision",""),"version",""),"jan",""),"feb",""),"mar",""),"apr",""),"may",""),"jun",""),"jul",""),"aug",""),"sep",""),"oct",""),"nov",""),"dec",""),"utc",""),"gmt",""),"myt",""),"bst",""),"rev",""),"ver",""),"b","a"),"c","a"),"d","a"),"e","a"),"f","a"),"g","a"),"h","a"),"i","a"),"j","a"),"k","a"),"l","a"),"m","a"),"n","a"),"o","a"),"p","a"),"q","a"),"r","a"),"s","a"),"t","a"),"u","a"),"v","a"),"w","a"),"x","a"),"y","a"),"z","a")</f>
        <v/>
      </c>
      <c r="CB4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469&amp;""),"a",""),"b",""),"c",""),"d",""),"e",""),"f",""),"g",""),"h",""),"i",""),"j",""),"k",""),"l",""),"m",""),"n",""),"o",""),"p",""),"q",""),"r",""),"s",""),"t",""),"u",""),"v",""),"w",""),"x",""),"y",""),"z",""),"-",""),"_",""),"/",""),".",""),"#",""),"\\",""),":","")," ",""),"(",""),")","")</f>
        <v/>
      </c>
      <c r="CC469" s="0" t="str">
        <f aca="false">" "&amp;TRIM(SUBSTITUTE(SUBSTITUTE(SUBSTITUTE(SUBSTITUTE(SUBSTITUTE(SUBSTITUTE(SUBSTITUTE(SUBSTITUTE(SUBSTITUTE(SUBSTITUTE(SUBSTITUTE(SUBSTITUTE(SUBSTITUTE(SUBSTITUTE(SUBSTITUTE(SUBSTITUTE(SUBSTITUTE(SUBSTITUTE(SUBSTITUTE(SUBSTITUTE(SUBSTITUTE(SUBSTITUTE(SUBSTITUTE(SUBSTITUTE(LOWER(T469&amp;""),CHAR(10)," "),CHAR(13)," "),CHAR(9)," "),CHAR(160)," "),"."," "),","," "),"-"," "),"/"," "),"("," "),")"," "),":"," "),";"," "),"_"," "),"–"," "),"?"," "),"!"," "),"*"," "),"["," "),"]"," "),"'"," "),"#"," "),"+"," "),"&amp;"," "),"\"," "))&amp;" "</f>
        <v>  </v>
      </c>
      <c r="CD469" s="0" t="str">
        <f aca="false">" "&amp;TRIM(SUBSTITUTE(SUBSTITUTE(SUBSTITUTE(SUBSTITUTE(SUBSTITUTE(SUBSTITUTE(SUBSTITUTE(SUBSTITUTE(SUBSTITUTE(SUBSTITUTE(SUBSTITUTE(SUBSTITUTE(SUBSTITUTE(SUBSTITUTE(SUBSTITUTE(SUBSTITUTE(SUBSTITUTE(SUBSTITUTE(SUBSTITUTE(SUBSTITUTE(SUBSTITUTE(SUBSTITUTE(SUBSTITUTE(SUBSTITUTE(LOWER(AE469&amp;""),CHAR(10)," "),CHAR(13)," "),CHAR(9)," "),CHAR(160)," "),"."," "),","," "),"-"," "),"/"," "),"("," "),")"," "),":"," "),";"," "),"_"," "),"–"," "),"?"," "),"!"," "),"*"," "),"["," "),"]"," "),"'"," "),"#"," "),"+"," "),"&amp;"," "),"\"," "))&amp;" "</f>
        <v>  </v>
      </c>
      <c r="CE469" s="68" t="n">
        <f aca="false">IFERROR(IF(AND(LEN(AU469)&gt;0,LEN(AU469)=LEN(AX469),OR(TRIM(MID(SUBSTITUTE(TRIM(CC469)," ",REPT(" ",60)),1,60))="",ISNUMBER(SEARCH(" "&amp;TRIM(MID(SUBSTITUTE(TRIM(CC469)," ",REPT(" ",60)),1,60))&amp;" ",CD469))),OR(TRIM(MID(SUBSTITUTE(TRIM(CC469)," ",REPT(" ",60)),61,60))="",ISNUMBER(SEARCH(" "&amp;TRIM(MID(SUBSTITUTE(TRIM(CC469)," ",REPT(" ",60)),61,60))&amp;" ",CD469))),OR(TRIM(MID(SUBSTITUTE(TRIM(CC469)," ",REPT(" ",60)),121,60))="",ISNUMBER(SEARCH(" "&amp;TRIM(MID(SUBSTITUTE(TRIM(CC469)," ",REPT(" ",60)),121,60))&amp;" ",CD469)))),1,0),0)</f>
        <v>0</v>
      </c>
      <c r="CG469" s="68" t="n">
        <f aca="false">IFERROR(LEN(SUBSTITUTE(BF469," ",""))-SUMPRODUCT((LEN(BF469)-LEN(SUBSTITUTE(BF469," "&amp;L_NAFiller&amp;" "," ")))/(LEN(L_NAFiller)+1)*LEN(L_NAFiller)),0)</f>
        <v>0</v>
      </c>
    </row>
    <row r="470" customFormat="false" ht="39.75" hidden="false" customHeight="true" outlineLevel="0" collapsed="false">
      <c r="A470" s="57" t="s">
        <v>1117</v>
      </c>
      <c r="B470" s="57" t="s">
        <v>276</v>
      </c>
      <c r="C470" s="57" t="str">
        <f aca="false">Flights!$F$18</f>
        <v>MH0004</v>
      </c>
      <c r="D470" s="58" t="n">
        <f aca="false">Flights!$D$18</f>
        <v>46310</v>
      </c>
      <c r="E470" s="57" t="str">
        <f aca="false">Flights!$G$18&amp;"-"&amp;Flights!$H$18</f>
        <v>KUL-LHR</v>
      </c>
      <c r="F470" s="57" t="str">
        <f aca="false">Flights!$K$18</f>
        <v>EY</v>
      </c>
      <c r="G470" s="57" t="s">
        <v>420</v>
      </c>
      <c r="H470" s="57" t="s">
        <v>378</v>
      </c>
      <c r="I470" s="57" t="s">
        <v>428</v>
      </c>
      <c r="J470" s="57" t="s">
        <v>433</v>
      </c>
      <c r="K470" s="67"/>
      <c r="L470" s="67" t="s">
        <v>422</v>
      </c>
      <c r="M470" s="67"/>
      <c r="N470" s="67" t="s">
        <v>383</v>
      </c>
      <c r="O470" s="67" t="s">
        <v>423</v>
      </c>
      <c r="P470" s="57" t="s">
        <v>187</v>
      </c>
      <c r="Q470" s="59" t="n">
        <f aca="false">ROUND((Flights!$AE$18)*1440,0)/1440</f>
        <v>46309.5763888889</v>
      </c>
      <c r="R470" s="59" t="n">
        <f aca="false">Q470+(IF(AND(INDEX(TZ_DSTS,MATCH(P470,TZ_STN,0))&lt;&gt;"",Q470&gt;=INDEX(TZ_DSTS,MATCH(P470,TZ_STN,0)),Q470&lt;INDEX(TZ_DSTE,MATCH(P470,TZ_STN,0))),INDEX(TZ_DST,MATCH(P470,TZ_STN,0)),INDEX(TZ_STD,MATCH(P470,TZ_STN,0))))/24</f>
        <v>46309.9097222222</v>
      </c>
      <c r="S470" s="60"/>
      <c r="T470" s="60"/>
      <c r="U470" s="60"/>
      <c r="V470" s="60"/>
      <c r="W470" s="61"/>
      <c r="X470" s="60"/>
      <c r="Y470" s="60"/>
      <c r="Z470" s="60"/>
      <c r="AA470" s="60"/>
      <c r="AB470" s="60"/>
      <c r="AC470" s="60"/>
      <c r="AD470" s="66"/>
      <c r="AE470" s="60"/>
      <c r="AF470" s="61" t="str">
        <f aca="false">IF(AND(ISNUMBER(X470),ISNUMBER(Y470)),Y470-X470,"")</f>
        <v/>
      </c>
      <c r="AG470" s="62" t="str">
        <f aca="false">IF(ISNUMBER(AD470),AD470-(IF(AND(INDEX(TZ_DSTS,MATCH(P470,TZ_STN,0))&lt;&gt;"",(AD470-INDEX(TZ_STD,MATCH(P470,TZ_STN,0))/24)&gt;=INDEX(TZ_DSTS,MATCH(P470,TZ_STN,0)),(AD470-INDEX(TZ_STD,MATCH(P470,TZ_STN,0))/24)&lt;INDEX(TZ_DSTE,MATCH(P470,TZ_STN,0))),INDEX(TZ_DST,MATCH(P470,TZ_STN,0)),INDEX(TZ_STD,MATCH(P470,TZ_STN,0))))/24,"")</f>
        <v/>
      </c>
      <c r="AH470" s="65" t="str">
        <f aca="false">IFERROR(IF(N470="N/A – rule",IF(OR(TRIM(U470)="",TRIM(U470)="N/A",TRIM(U470)="Not started"),"N/A – RULE","INVALID – this check does not apply to this aircraft: clear the status (or correct the fleet on Flights)"),IF(TRIM(U470)="N/A",IF(AT470=0,"INVALID – N/A not permitted for this check",IF(AND(TRIM(AB470)&lt;&gt;"",TRIM(AB470)&lt;&gt;"Closed"),"INVALID – corrective action still open",IF(AND(NOT(OR(LEN(AZ470)&lt;15,ISNUMBER(MATCH(AZ470,L_Placeholder,0)))),BK470=0,CG470&gt;=8,NOT(OR(LEN(AU470)&lt;2,ISNUMBER(MATCH(AU470,L_Placeholder,0)))),BR470&gt;=3,NOT(OR(LEN(AX470)&lt;2,ISNUMBER(MATCH(AX470,L_Placeholder,0)))),BS470&gt;=3,TRIM(AE470)&lt;&gt;TRIM(T470),AX470&lt;&gt;AU470,CE470=0),"N/A – JUSTIFIED","INVALID – N/A needs a real, settled reason (not 'not applicable' / 'as above' / TBC), a named PIC and a different named verifier"))),IF(OR(TRIM(U470)="Pass",TRIM(U470)="Pass after CA"),IF(NOT(ISNUMBER(AD470)),"INVALID – completion time missing",IF(OR(OR(LEN(AU470)&lt;2,ISNUMBER(MATCH(AU470,L_Placeholder,0))),BR470&lt;3),"INVALID – PIC missing or not a named person (a role such as QA / CSM is not a name)",IF(OR(LEN(AV470)&lt;2,ISNUMBER(MATCH(AV470,L_Placeholder,0))),"INVALID – result / assessment missing",IF(OR(OR(LEN(AW470)&lt;3,ISNUMBER(MATCH(AW470,L_Placeholder,0))),SUMPRODUCT(--ISNUMBER(SEARCH(" "&amp;L_EvidencePhrase&amp;" ",BD470)))&gt;0,BI470=1),"INVALID – evidence missing, placeholder or not yet on file",IF(ISNA(MATCH(TRIM(S470),L_EvidenceType,0)),"INVALID – choose the evidence type from the list (column S)",IF(BL470=0,"INVALID – evidence ID must be the record's own ID only (e.g. SF-2210, IMG_2231, 1045521); a link / file name needs type 'Link / file path'",IF(OR(OR(LEN(AX470)&lt;2,ISNUMBER(MATCH(AX470,L_Placeholder,0))),BS470&lt;3),"INVALID – verifier missing or not a named person (a role such as QA / CSM is not a name)",IF(OR(AX470=AU470,CE470=1,AND(LEN(AU470)&gt;=4,ISNUMBER(SEARCH(AU470,AX470))),AND(LEN(AX470)&gt;=4,ISNUMBER(SEARCH(AX470,AU470)))),"INVALID – verifier must be a different, named person (not the PIC or a role)",IF(BH470=1,"INVALID – result not yet available (awaiting / TBC)",IF(BG470=1,"INVALID – result describes a problem: record Fail, then Pass after CA (or reword if it is not a problem)",IF(BV470=1,"INVALID – wording says not on board: an on-board confirmation needs the item loaded",IF(AND(AQ470=1,OR(OR(LEN(AY470)&lt;3,ISNUMBER(MATCH(AY470,L_Placeholder,0))),BJ470=1,BQ470=0)),"INVALID – batch ID missing, placeholder or not an ID (e.g. PASB-261008-BC-017)",IF(AND(AR470=1,OR(NOT(ISNUMBER(X470)),NOT(ISNUMBER(Y470)))),"INVALID – expected/actual qty missing",IF(AND(AR470=1,OR(X470&lt;=0,Y470&lt;0)),"INVALID – expected qty must be above 0 and actual not negative",IF(BB470&lt;&gt;"",BB470,IF(AND(AS470=1,Documents!$J$18&lt;&gt;"ON FILE"),"INVALID – GLD not on file (Documents sheet)",IF(AND(AS470=2,Documents!$O$18&lt;&gt;"ON FILE"),"INVALID – menu checklist not on file (Documents sheet)",IF(AND(AS470=3,NOT(ISNUMBER(Flights!$AX$18))),"INVALID – enter carrying flight KUL departure (Flights AX)",IF(AND(AS470=3,OR(Flights!$AZ$18&gt;Flights!$AA$18,Flights!$AX$18&lt;Flights!$AA$18-3)),"INVALID – carrying flight (Flights AX) cannot arrive before this leg's STD, or is over 3 days early",IF(AG470&gt;AsOfUTC,"INVALID – completion time is in the future",IF(AND(ISNUMBER(BY470),AG470&lt;BY470),IF(H470="Physical uplift","INVALID – before uplift window (cannot confirm loading)","INVALID – before valid window"),IF(AG470&gt;Flights!$AA$18,"INVALID – completed after departure (cannot establish readiness)",IF(AND(H470="Preparation",AG470&gt;=IF(ISNUMBER(Flights!$BA$18),MIN(Flights!$BA$18,Flights!$AA$18),Flights!$AA$18)),"INVALID – completed after loading / departure (cannot establish readiness)",IF(AND(H470="Physical uplift",AG470&gt;Q470),"INVALID – recorded after the loading flight departed",IF(AG470&gt;Q470,"COMPLETE – LATE","COMPLETE"))))))))))))))))))))))))),IF(TRIM(U470)="Fail","FAIL – DISCREPANCY",IF(AND(TRIM(U470)&lt;&gt;"",TRIM(U470)&lt;&gt;"Not started",TRIM(U470)&lt;&gt;"In progress"),"INVALID – unrecognised status (use the list)",IF(AsOfUTC&gt;Q470,"OVERDUE",IF(N470="Clarification required","OPEN – CLARIFICATION","OPEN"))))))),"INVALID – error value in an input cell")</f>
        <v>OPEN</v>
      </c>
      <c r="AI470" s="61" t="n">
        <f aca="false">IF(OR(AH470="N/A – RULE",AH470="N/A – JUSTIFIED"),0,1)</f>
        <v>1</v>
      </c>
      <c r="AJ470" s="61" t="n">
        <f aca="false">IF(LEFT(AH470,8)="COMPLETE",1,0)</f>
        <v>0</v>
      </c>
      <c r="AK470" s="61" t="n">
        <f aca="false">IF(AND(AI470=1,AJ470=0,AsOfUTC&gt;Q470),1,0)</f>
        <v>0</v>
      </c>
      <c r="AL470" s="61" t="n">
        <f aca="false">IFERROR(IF(AND(AI470=1,OR(TRIM(U470)="Fail",AND(TRIM(AB470)&lt;&gt;"",TRIM(AB470)&lt;&gt;"Closed"),AND(ISNUMBER(AF470),AF470&lt;&gt;0,TRIM(U470)&lt;&gt;"Pass after CA"))),1,0),1)</f>
        <v>0</v>
      </c>
      <c r="AM470" s="61" t="n">
        <f aca="false">IF(LEFT(AH470,7)="INVALID",1,0)</f>
        <v>0</v>
      </c>
      <c r="AN470" s="61" t="n">
        <f aca="false">IF(AND(N470="Clarification required",AI470=1,AJ470=0),1,0)</f>
        <v>0</v>
      </c>
      <c r="AO470" s="61" t="str">
        <f aca="false">IF(AK470=1,SUM(AK$5:AK470),"")</f>
        <v/>
      </c>
      <c r="AP470" s="61" t="str">
        <f aca="false">IF(AL470=1,SUM(AL$5:AL470),"")</f>
        <v/>
      </c>
      <c r="AQ470" s="61" t="n">
        <v>0</v>
      </c>
      <c r="AR470" s="61" t="n">
        <v>0</v>
      </c>
      <c r="AS470" s="61" t="n">
        <v>0</v>
      </c>
      <c r="AT470" s="61" t="n">
        <v>0</v>
      </c>
      <c r="AU470" s="61" t="str">
        <f aca="false">SUBSTITUTE(SUBSTITUTE(SUBSTITUTE(SUBSTITUTE(SUBSTITUTE(SUBSTITUTE(SUBSTITUTE(SUBSTITUTE(SUBSTITUTE(SUBSTITUTE(SUBSTITUTE(SUBSTITUTE(SUBSTITUTE(SUBSTITUTE(SUBSTITUTE(SUBSTITUTE(LOWER(T470&amp;""),CHAR(10),""),CHAR(13),""),CHAR(9),""),CHAR(160),"")," ",""),".",""),"-",""),"/",""),"?",""),"_",""),",",""),"[",""),"]",""),"(",""),")",""),"*","")</f>
        <v/>
      </c>
      <c r="AV470" s="61" t="str">
        <f aca="false">SUBSTITUTE(SUBSTITUTE(SUBSTITUTE(SUBSTITUTE(SUBSTITUTE(SUBSTITUTE(SUBSTITUTE(SUBSTITUTE(SUBSTITUTE(SUBSTITUTE(SUBSTITUTE(SUBSTITUTE(SUBSTITUTE(SUBSTITUTE(SUBSTITUTE(SUBSTITUTE(LOWER(V470&amp;""),CHAR(10),""),CHAR(13),""),CHAR(9),""),CHAR(160),"")," ",""),".",""),"-",""),"/",""),"?",""),"_",""),",",""),"[",""),"]",""),"(",""),")",""),"*","")</f>
        <v/>
      </c>
      <c r="AW470" s="61" t="str">
        <f aca="false">SUBSTITUTE(SUBSTITUTE(SUBSTITUTE(SUBSTITUTE(SUBSTITUTE(SUBSTITUTE(SUBSTITUTE(SUBSTITUTE(SUBSTITUTE(SUBSTITUTE(SUBSTITUTE(SUBSTITUTE(SUBSTITUTE(SUBSTITUTE(SUBSTITUTE(SUBSTITUTE(LOWER(Z470&amp;""),CHAR(10),""),CHAR(13),""),CHAR(9),""),CHAR(160),"")," ",""),".",""),"-",""),"/",""),"?",""),"_",""),",",""),"[",""),"]",""),"(",""),")",""),"*","")</f>
        <v/>
      </c>
      <c r="AX470" s="61" t="str">
        <f aca="false">SUBSTITUTE(SUBSTITUTE(SUBSTITUTE(SUBSTITUTE(SUBSTITUTE(SUBSTITUTE(SUBSTITUTE(SUBSTITUTE(SUBSTITUTE(SUBSTITUTE(SUBSTITUTE(SUBSTITUTE(SUBSTITUTE(SUBSTITUTE(SUBSTITUTE(SUBSTITUTE(LOWER(AE470&amp;""),CHAR(10),""),CHAR(13),""),CHAR(9),""),CHAR(160),"")," ",""),".",""),"-",""),"/",""),"?",""),"_",""),",",""),"[",""),"]",""),"(",""),")",""),"*","")</f>
        <v/>
      </c>
      <c r="AY470" s="61" t="str">
        <f aca="false">SUBSTITUTE(SUBSTITUTE(SUBSTITUTE(SUBSTITUTE(SUBSTITUTE(SUBSTITUTE(SUBSTITUTE(SUBSTITUTE(SUBSTITUTE(SUBSTITUTE(SUBSTITUTE(SUBSTITUTE(SUBSTITUTE(SUBSTITUTE(SUBSTITUTE(SUBSTITUTE(LOWER(W470&amp;""),CHAR(10),""),CHAR(13),""),CHAR(9),""),CHAR(160),"")," ",""),".",""),"-",""),"/",""),"?",""),"_",""),",",""),"[",""),"]",""),"(",""),")",""),"*","")</f>
        <v/>
      </c>
      <c r="AZ470" s="61" t="str">
        <f aca="false">SUBSTITUTE(SUBSTITUTE(SUBSTITUTE(SUBSTITUTE(SUBSTITUTE(SUBSTITUTE(SUBSTITUTE(SUBSTITUTE(SUBSTITUTE(SUBSTITUTE(SUBSTITUTE(SUBSTITUTE(SUBSTITUTE(SUBSTITUTE(SUBSTITUTE(SUBSTITUTE(LOWER(AC470&amp;""),CHAR(10),""),CHAR(13),""),CHAR(9),""),CHAR(160),"")," ",""),".",""),"-",""),"/",""),"?",""),"_",""),",",""),"[",""),"]",""),"(",""),")",""),"*","")</f>
        <v/>
      </c>
      <c r="BA470" s="61" t="str">
        <f aca="false">SUBSTITUTE(SUBSTITUTE(SUBSTITUTE(SUBSTITUTE(SUBSTITUTE(SUBSTITUTE(SUBSTITUTE(SUBSTITUTE(SUBSTITUTE(SUBSTITUTE(SUBSTITUTE(SUBSTITUTE(SUBSTITUTE(SUBSTITUTE(SUBSTITUTE(SUBSTITUTE(LOWER(AA470&amp;""),CHAR(10),""),CHAR(13),""),CHAR(9),""),CHAR(160),"")," ",""),".",""),"-",""),"/",""),"?",""),"_",""),",",""),"[",""),"]",""),"(",""),")",""),"*","")</f>
        <v/>
      </c>
      <c r="BB470" s="61" t="str">
        <f aca="false">IF(AND(TRIM(U470)="Pass",ISNUMBER(AF470)),IF(AF470&lt;&gt;0,"INVALID – qty variance: use Fail or Pass after CA",""),"")&amp;IF(AND(TRIM(U470)="Pass after CA",ISNUMBER(AF470)),IF(AF470&lt;&gt;0,"INVALID – after the corrective action the actual qty must equal expected (update Actual)",""),"")&amp;IF(AND(TRIM(U470)="Pass",TRIM(AB470)&lt;&gt;"",TRIM(AB470)&lt;&gt;"Closed"),"INVALID – corrective action not closed: use Fail, then Pass after CA","")&amp;IF(AND(LEN(BA470)&gt;=2,ISNA(MATCH(LEFT(BA470,255),L_Placeholder,0)),TRIM(AB470)=""),"INVALID – CA status missing for the recorded corrective action","")&amp;IF(AND(TRIM(U470)="Pass after CA",OR(OR(LEN(BA470)&lt;5,ISNUMBER(MATCH(BA470,L_Placeholder,0))),TRIM(AB470)&lt;&gt;"Closed")),"INVALID – corrective action not recorded/closed","")</f>
        <v/>
      </c>
      <c r="BC470" s="61" t="str">
        <f aca="false">" "&amp;TRIM(SUBSTITUTE(SUBSTITUTE(SUBSTITUTE(SUBSTITUTE(SUBSTITUTE(SUBSTITUTE(SUBSTITUTE(SUBSTITUTE(SUBSTITUTE(SUBSTITUTE(SUBSTITUTE(SUBSTITUTE(SUBSTITUTE(SUBSTITUTE(SUBSTITUTE(SUBSTITUTE(SUBSTITUTE(SUBSTITUTE(SUBSTITUTE(SUBSTITUTE(SUBSTITUTE(SUBSTITUTE(SUBSTITUTE(SUBSTITUTE(LOWER(V470&amp;""),CHAR(10)," "),CHAR(13)," "),CHAR(9)," "),CHAR(160)," "),"."," "),","," "),"-"," "),"/"," "),"("," "),")"," "),":"," "),";"," "),"_"," "),"–"," "),"?"," "),"!"," "),"*"," "),"["," "),"]"," "),"'"," "),"#"," "),"+"," "),"&amp;"," "),"\"," "))&amp;" "</f>
        <v>  </v>
      </c>
      <c r="BD470" s="61" t="str">
        <f aca="false">" "&amp;TRIM(SUBSTITUTE(SUBSTITUTE(SUBSTITUTE(SUBSTITUTE(SUBSTITUTE(SUBSTITUTE(SUBSTITUTE(SUBSTITUTE(SUBSTITUTE(SUBSTITUTE(SUBSTITUTE(SUBSTITUTE(SUBSTITUTE(SUBSTITUTE(SUBSTITUTE(SUBSTITUTE(SUBSTITUTE(SUBSTITUTE(SUBSTITUTE(SUBSTITUTE(SUBSTITUTE(SUBSTITUTE(SUBSTITUTE(SUBSTITUTE(LOWER(Z470&amp;""),CHAR(10)," "),CHAR(13)," "),CHAR(9)," "),CHAR(160)," "),"."," "),","," "),"-"," "),"/"," "),"("," "),")"," "),":"," "),";"," "),"_"," "),"–"," "),"?"," "),"!"," "),"*"," "),"["," "),"]"," "),"'"," "),"#"," "),"+"," "),"&amp;"," "),"\"," "))&amp;" "</f>
        <v>  </v>
      </c>
      <c r="BE470" s="61" t="str">
        <f aca="false">" "&amp;TRIM(SUBSTITUTE(SUBSTITUTE(SUBSTITUTE(SUBSTITUTE(SUBSTITUTE(SUBSTITUTE(SUBSTITUTE(SUBSTITUTE(SUBSTITUTE(SUBSTITUTE(SUBSTITUTE(SUBSTITUTE(SUBSTITUTE(SUBSTITUTE(SUBSTITUTE(SUBSTITUTE(SUBSTITUTE(SUBSTITUTE(SUBSTITUTE(SUBSTITUTE(SUBSTITUTE(SUBSTITUTE(SUBSTITUTE(SUBSTITUTE(LOWER(W470&amp;""),CHAR(10)," "),CHAR(13)," "),CHAR(9)," "),CHAR(160)," "),"."," "),","," "),"-"," "),"/"," "),"("," "),")"," "),":"," "),";"," "),"_"," "),"–"," "),"?"," "),"!"," "),"*"," "),"["," "),"]"," "),"'"," "),"#"," "),"+"," "),"&amp;"," "),"\"," "))&amp;" "</f>
        <v>  </v>
      </c>
      <c r="BF470" s="61" t="str">
        <f aca="false">" "&amp;TRIM(SUBSTITUTE(SUBSTITUTE(SUBSTITUTE(SUBSTITUTE(SUBSTITUTE(SUBSTITUTE(SUBSTITUTE(SUBSTITUTE(SUBSTITUTE(SUBSTITUTE(SUBSTITUTE(SUBSTITUTE(SUBSTITUTE(SUBSTITUTE(SUBSTITUTE(SUBSTITUTE(SUBSTITUTE(SUBSTITUTE(SUBSTITUTE(SUBSTITUTE(SUBSTITUTE(SUBSTITUTE(SUBSTITUTE(SUBSTITUTE(LOWER(AC470&amp;""),CHAR(10)," "),CHAR(13)," "),CHAR(9)," "),CHAR(160)," "),"."," "),","," "),"-"," "),"/"," "),"("," "),")"," "),":"," "),";"," "),"_"," "),"–"," "),"?"," "),"!"," "),"*"," "),"["," "),"]"," "),"'"," "),"#"," "),"+"," "),"&amp;"," "),"\"," "))&amp;" "</f>
        <v>  </v>
      </c>
      <c r="BG470" s="61" t="n">
        <f aca="false">IFERROR(IF(AND(TRIM(U470)="Pass",SUMPRODUCT((LEN(BC470)-LEN(SUBSTITUTE(BC470," "&amp;L_ResultBad&amp;" "," ")))/(LEN(L_ResultBad)+1))&gt;SUMPRODUCT((LEN(BC470)-LEN(SUBSTITUTE(BC470," "&amp;L_NegPhrase&amp;" "," ")))/(LEN(L_NegPhrase)+1))),1,0),0)</f>
        <v>0</v>
      </c>
      <c r="BH470" s="61" t="n">
        <f aca="false">IFERROR(IF(SUMPRODUCT((LEN(BC470)-LEN(SUBSTITUTE(BC470," "&amp;L_Pending&amp;" "," ")))/(LEN(L_Pending)+1))&gt;SUMPRODUCT((LEN(BC470)-LEN(SUBSTITUTE(BC470," "&amp;L_PendNeg&amp;" "," ")))/(LEN(L_PendNeg)+1))+SUMPRODUCT((LEN(BC470)-LEN(SUBSTITUTE(BC470," "&amp;L_PendPrep&amp;" "," ")))/(LEN(L_PendPrep)+1)),1,0),1)</f>
        <v>0</v>
      </c>
      <c r="BI470" s="61" t="n">
        <f aca="false">IFERROR(IF(SUMPRODUCT((LEN(BD470)-LEN(SUBSTITUTE(BD470," "&amp;L_PendStrict&amp;" "," ")))/(LEN(L_PendStrict)+1))&gt;SUMPRODUCT((LEN(BD470)-LEN(SUBSTITUTE(BD470," "&amp;L_PendNeg&amp;" "," ")))/(LEN(L_PendNeg)+1)),1,0),1)</f>
        <v>0</v>
      </c>
      <c r="BJ470" s="61" t="n">
        <f aca="false">IFERROR(IF(SUMPRODUCT((LEN(BE470)-LEN(SUBSTITUTE(BE470," "&amp;L_Pending&amp;" "," ")))/(LEN(L_Pending)+1))&gt;SUMPRODUCT((LEN(BE470)-LEN(SUBSTITUTE(BE470," "&amp;L_PendNeg&amp;" "," ")))/(LEN(L_PendNeg)+1))+SUMPRODUCT((LEN(BE470)-LEN(SUBSTITUTE(BE470," "&amp;L_PendPrep&amp;" "," ")))/(LEN(L_PendPrep)+1)),1,0),1)</f>
        <v>0</v>
      </c>
      <c r="BK470" s="61" t="n">
        <f aca="false">IFERROR(IF(SUMPRODUCT((LEN(BF470)-LEN(SUBSTITUTE(BF470," "&amp;L_PendStrict&amp;" "," ")))/(LEN(L_PendStrict)+1))&gt;SUMPRODUCT((LEN(BF470)-LEN(SUBSTITUTE(BF470," "&amp;L_PendNeg&amp;" "," ")))/(LEN(L_PendNeg)+1)),1,0),1)</f>
        <v>0</v>
      </c>
      <c r="BL470" s="61" t="n">
        <f aca="false">IF(ISNA(MATCH(TRIM(S470),L_EvidenceType,0)),0,BZ470)</f>
        <v>0</v>
      </c>
      <c r="BM470" s="61" t="str">
        <f aca="false">SUBSTITUTE(SUBSTITUTE(SUBSTITUTE(SUBSTITUTE(SUBSTITUTE(SUBSTITUTE(SUBSTITUTE(SUBSTITUTE(SUBSTITUTE(LOWER(Z470&amp;""),"1","0"),"2","0"),"3","0"),"4","0"),"5","0"),"6","0"),"7","0"),"8","0"),"9","0")</f>
        <v/>
      </c>
      <c r="BN470" s="61" t="str">
        <f aca="false">SUBSTITUTE(SUBSTITUTE(SUBSTITUTE(SUBSTITUTE(SUBSTITUTE(SUBSTITUTE(SUBSTITUTE(SUBSTITUTE(SUBSTITUTE(SUBSTITUTE(SUBSTITUTE(SUBSTITUTE(SUBSTITUTE(SUBSTITUTE(SUBSTITUTE(SUBSTITUTE(SUBSTITUTE(SUBSTITUTE(SUBSTITUTE(SUBSTITUTE(SUBSTITUTE(SUBSTITUTE(SUBSTITUTE(SUBSTITUTE(SUBSTITUTE(BM470,"b","a"),"c","a"),"d","a"),"e","a"),"f","a"),"g","a"),"h","a"),"i","a"),"j","a"),"k","a"),"l","a"),"m","a"),"n","a"),"o","a"),"p","a"),"q","a"),"r","a"),"s","a"),"t","a"),"u","a"),"v","a"),"w","a"),"x","a"),"y","a"),"z","a")</f>
        <v/>
      </c>
      <c r="BO470" s="61" t="str">
        <f aca="false">SUBSTITUTE(SUBSTITUTE(SUBSTITUTE(SUBSTITUTE(SUBSTITUTE(SUBSTITUTE(SUBSTITUTE(SUBSTITUTE(SUBSTITUTE(LOWER(W470&amp;""),"1","0"),"2","0"),"3","0"),"4","0"),"5","0"),"6","0"),"7","0"),"8","0"),"9","0")</f>
        <v/>
      </c>
      <c r="BP470" s="61" t="str">
        <f aca="false">SUBSTITUTE(SUBSTITUTE(SUBSTITUTE(SUBSTITUTE(SUBSTITUTE(SUBSTITUTE(SUBSTITUTE(SUBSTITUTE(SUBSTITUTE(SUBSTITUTE(SUBSTITUTE(SUBSTITUTE(SUBSTITUTE(SUBSTITUTE(SUBSTITUTE(SUBSTITUTE(SUBSTITUTE(SUBSTITUTE(SUBSTITUTE(SUBSTITUTE(SUBSTITUTE(SUBSTITUTE(SUBSTITUTE(SUBSTITUTE(SUBSTITUTE(BO470,"b","a"),"c","a"),"d","a"),"e","a"),"f","a"),"g","a"),"h","a"),"i","a"),"j","a"),"k","a"),"l","a"),"m","a"),"n","a"),"o","a"),"p","a"),"q","a"),"r","a"),"s","a"),"t","a"),"u","a"),"v","a"),"w","a"),"x","a"),"y","a"),"z","a")</f>
        <v/>
      </c>
      <c r="BQ470" s="61" t="n">
        <f aca="false">IFERROR(IF(AND(ISERROR(SEARCH(" mh"," "&amp;LOWER(W470))),ISNA(MATCH(LEFT(TRIM(BP470),255),{"0000a","000a","00a","0000aa","000aa","00aa","0aa","0000aaa","000aaa","00a00","0a00","0000-0000","00:00","a00","a0","00.00.0000","00/00/0000","00-00-0000","0000-00-00","0000/00/00","0000.00.00","00.00.00","00/00/00","00-00-00","0.00.0000","0/00/0000","0-00-0000"},0)),ISNA(MATCH(LEFT(TRIM(CA470),255),{"0000a","000a","00a","0000aa","000aa","00aa","0aa","0000aaa","000aaa","00a00","0a00","0000-0000","00:00","a00","a0","00.00.0000","00/00/0000","00-00-0000","0000-00-00","0000/00/00","0000.00.00","00.00.00","00/00/00","00-00-00","0.00.0000","0/00/0000","0-00-0000"},0)),LEN(CB470)&gt;=3,NOT(OR(SUBSTITUTE(CB470,"0","")="",AND(LEN(CB470)&gt;=4,CB470=REPT(LEFT(CB470),LEN(CB470))),ISNUMBER(MATCH(CB470,{"123","1234","12345","123456","1234567","12345678","0123","01234","012345","98765","987654","54321"},0)),AND(LEN(CB470)=8,LEFT(CB470,3)="202"))),OR(AND((LEN(CA470)-LEN(SUBSTITUTE(CA470,"a","")))&gt;=1,SUMPRODUCT(--ISNUMBER(SEARCH({"a0","a-0","a_0","a/0","a.0","a#0","0a","0-a","0_a","0/a"},BP470)))&gt;0),ISNUMBER(SEARCH("000000",BP470)))),1,0),0)</f>
        <v>0</v>
      </c>
      <c r="BR470" s="61" t="n">
        <f aca="false">IFERROR(LEN(SUBSTITUTE(CC470," ",""))-SUMPRODUCT((LEN(CC470)-LEN(SUBSTITUTE(CC470," "&amp;L_Role&amp;" "," ")))/(LEN(L_Role)+1)*LEN(L_Role)),0)</f>
        <v>0</v>
      </c>
      <c r="BS470" s="61" t="n">
        <f aca="false">IFERROR(LEN(SUBSTITUTE(CD470," ",""))-SUMPRODUCT((LEN(CD470)-LEN(SUBSTITUTE(CD470," "&amp;L_Role&amp;" "," ")))/(LEN(L_Role)+1)*LEN(L_Role)),0)</f>
        <v>0</v>
      </c>
      <c r="BT4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470,"revision",""),"version",""),"jan",""),"feb",""),"mar",""),"apr",""),"may",""),"jun",""),"jul",""),"aug",""),"sep",""),"oct",""),"nov",""),"dec",""),"utc",""),"gmt",""),"myt",""),"bst",""),"rev",""),"ver",""),"b","a"),"c","a"),"d","a"),"e","a"),"f","a"),"g","a"),"h","a"),"i","a"),"j","a"),"k","a"),"l","a"),"m","a"),"n","a"),"o","a"),"p","a"),"q","a"),"r","a"),"s","a"),"t","a"),"u","a"),"v","a"),"w","a"),"x","a"),"y","a"),"z","a")</f>
        <v/>
      </c>
      <c r="BU470" s="61" t="str">
        <f aca="false">SUBSTITUTE(SUBSTITUTE(SUBSTITUTE(SUBSTITUTE(SUBSTITUTE(SUBSTITUTE(SUBSTITUTE(SUBSTITUTE(SUBSTITUTE(SUBSTITUTE(LEFT(BM470,FIND("0",BM470&amp;"0")-1),"-",""),"_",""),"/",""),".",""),"#",""),"\\",""),":","")," ",""),"(",""),")","")</f>
        <v/>
      </c>
      <c r="BV470" s="61" t="n">
        <f aca="false">0</f>
        <v>0</v>
      </c>
      <c r="BW4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470&amp;""),"a",""),"b",""),"c",""),"d",""),"e",""),"f",""),"g",""),"h",""),"i",""),"j",""),"k",""),"l",""),"m",""),"n",""),"o",""),"p",""),"q",""),"r",""),"s",""),"t",""),"u",""),"v",""),"w",""),"x",""),"y",""),"z",""),"-",""),"_",""),"/",""),".",""),"#",""),"\\",""),":","")," ",""),"(",""),")","")</f>
        <v/>
      </c>
      <c r="BX470" s="61" t="str">
        <f aca="false">SUBSTITUTE(SUBSTITUTE(SUBSTITUTE(SUBSTITUTE(SUBSTITUTE(SUBSTITUTE(SUBSTITUTE(SUBSTITUTE(SUBSTITUTE(SUBSTITUTE(SUBSTITUTE(BM470,"0",""),"-",""),"_",""),"/",""),".",""),"#",""),"\\",""),":","")," ",""),"(",""),")","")</f>
        <v/>
      </c>
      <c r="BY470" s="62" t="n">
        <f aca="false">Q470-T12EarlyH/24</f>
        <v>46309.0763888889</v>
      </c>
      <c r="BZ470" s="61" t="n">
        <f aca="false">IFERROR(IF(IF(TRIM(S470)="Link / file path",AND(LEN(TRIM(Z470))&gt;=5,SUMPRODUCT(--ISNUMBER(SEARCH({"http","www.","\\",":\",".pdf",".jpg",".jpeg",".png",".heic",".xls",".doc",".msg",".eml",".ppt",".txt",".zip"},Z470)))&gt;0),AND(ISERROR(FIND(" ",TRIM(Z470))),NOT(OR(SUMPRODUCT(--ISNUMBER(FIND({",",";","&amp;","+"},Z470)))&gt;0,SUMPRODUCT(--ISNUMBER(SEARCH({"0/aa","0\\aa"},BN470)))&gt;0)),NOT(SUMPRODUCT(--ISNUMBER(SEARCH({"http","www.","\\",":\",".pdf",".jpg",".jpeg",".png",".heic",".xls",".doc",".msg",".eml",".ppt",".txt",".zip"},Z470)))&gt;0),NOT(LOWER(TRIM(Z470))=LOWER(Flights!$F$18)),ISNA(MATCH(BU470,{"mh","rev","revision","ver","version","v","r","a","b","seat","tray","row","gate","bay","stand","page","pg","item","line","no","cart","galley","flight","flt","table","box","bag","oven","etd","eta","std","sta","atd","ata","qty","pax","x","time","tel","ph","mob","day","wk","week","utc","gmt","myt","lt"},0)),NOT(OR(ISNUMBER(MATCH(LEFT(BN470,255),{"0000a","000a","00a","0000aa","000aa","00aa","0aa","0000aaa","000aaa","00a00","0a00","0000-0000","00:00","a00","a0","00.00.0000","00/00/0000","00-00-0000","0000-00-00","0000/00/00","0000.00.00","00.00.00","00/00/00","00-00-00","0.00.0000","0/00/0000","0-00-0000"},0)),ISNUMBER(MATCH(LEFT(BT470,255),{"0000a","000a","00a","0000aa","000aa","00aa","0aa","0000aaa","000aaa","00a00","0a00","0000-0000","00:00","a00","a0","00.00.0000","00/00/0000","00-00-0000","0000-00-00","0000/00/00","0000.00.00","00.00.00","00/00/00","00-00-00","0.00.0000","0/00/0000","0-00-0000"},0)))),NOT(OR(AND(BW470&lt;&gt;"",SUBSTITUTE(BW470,"0","")=""),AND(LEN(BW470)&gt;=4,BW470=REPT(LEFT(BW470),LEN(BW470))),ISNUMBER(MATCH(BW470,{"123","1234","12345","123456","1234567","12345678","0123","01234","012345","98765","987654","54321"},0)),ISNUMBER(MATCH(BX470,{"x","xx","xxx","xxxx","xxxxx","abc","abcd","nil","na","nan","test","tbc","tba","tbd","dummy","sample","example","eg","zz","zzz","none","null","xyz","qwe","asd","id","ref"},0)),AND(LEN(BW470)=8,BX470="",OR(LEFT(BW470,3)="202",ISNUMBER(MATCH(RIGHT(BW470,4),{"2025","2026","2027"},0)))))),OR(AND((LEN(BT470)-LEN(SUBSTITUTE(BT470,"a","")))&gt;=1,(LEN(BN470)-LEN(SUBSTITUTE(BN470,"0","")))&gt;=2,SUMPRODUCT(--ISNUMBER(SEARCH({"a0","a-0","a_0","a/0","a.0","a#0","0a","0-a","0_a","0/a"},BN470)))&gt;0),AND((LEN(BN470)-LEN(SUBSTITUTE(BN470,"a","")))=0,(LEN(BN470)-LEN(SUBSTITUTE(BN470,"0","")))&gt;=5)))),1,0),0)</f>
        <v>0</v>
      </c>
      <c r="CA4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470,"revision",""),"version",""),"jan",""),"feb",""),"mar",""),"apr",""),"may",""),"jun",""),"jul",""),"aug",""),"sep",""),"oct",""),"nov",""),"dec",""),"utc",""),"gmt",""),"myt",""),"bst",""),"rev",""),"ver",""),"b","a"),"c","a"),"d","a"),"e","a"),"f","a"),"g","a"),"h","a"),"i","a"),"j","a"),"k","a"),"l","a"),"m","a"),"n","a"),"o","a"),"p","a"),"q","a"),"r","a"),"s","a"),"t","a"),"u","a"),"v","a"),"w","a"),"x","a"),"y","a"),"z","a")</f>
        <v/>
      </c>
      <c r="CB4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470&amp;""),"a",""),"b",""),"c",""),"d",""),"e",""),"f",""),"g",""),"h",""),"i",""),"j",""),"k",""),"l",""),"m",""),"n",""),"o",""),"p",""),"q",""),"r",""),"s",""),"t",""),"u",""),"v",""),"w",""),"x",""),"y",""),"z",""),"-",""),"_",""),"/",""),".",""),"#",""),"\\",""),":","")," ",""),"(",""),")","")</f>
        <v/>
      </c>
      <c r="CC470" s="0" t="str">
        <f aca="false">" "&amp;TRIM(SUBSTITUTE(SUBSTITUTE(SUBSTITUTE(SUBSTITUTE(SUBSTITUTE(SUBSTITUTE(SUBSTITUTE(SUBSTITUTE(SUBSTITUTE(SUBSTITUTE(SUBSTITUTE(SUBSTITUTE(SUBSTITUTE(SUBSTITUTE(SUBSTITUTE(SUBSTITUTE(SUBSTITUTE(SUBSTITUTE(SUBSTITUTE(SUBSTITUTE(SUBSTITUTE(SUBSTITUTE(SUBSTITUTE(SUBSTITUTE(LOWER(T470&amp;""),CHAR(10)," "),CHAR(13)," "),CHAR(9)," "),CHAR(160)," "),"."," "),","," "),"-"," "),"/"," "),"("," "),")"," "),":"," "),";"," "),"_"," "),"–"," "),"?"," "),"!"," "),"*"," "),"["," "),"]"," "),"'"," "),"#"," "),"+"," "),"&amp;"," "),"\"," "))&amp;" "</f>
        <v>  </v>
      </c>
      <c r="CD470" s="0" t="str">
        <f aca="false">" "&amp;TRIM(SUBSTITUTE(SUBSTITUTE(SUBSTITUTE(SUBSTITUTE(SUBSTITUTE(SUBSTITUTE(SUBSTITUTE(SUBSTITUTE(SUBSTITUTE(SUBSTITUTE(SUBSTITUTE(SUBSTITUTE(SUBSTITUTE(SUBSTITUTE(SUBSTITUTE(SUBSTITUTE(SUBSTITUTE(SUBSTITUTE(SUBSTITUTE(SUBSTITUTE(SUBSTITUTE(SUBSTITUTE(SUBSTITUTE(SUBSTITUTE(LOWER(AE470&amp;""),CHAR(10)," "),CHAR(13)," "),CHAR(9)," "),CHAR(160)," "),"."," "),","," "),"-"," "),"/"," "),"("," "),")"," "),":"," "),";"," "),"_"," "),"–"," "),"?"," "),"!"," "),"*"," "),"["," "),"]"," "),"'"," "),"#"," "),"+"," "),"&amp;"," "),"\"," "))&amp;" "</f>
        <v>  </v>
      </c>
      <c r="CE470" s="68" t="n">
        <f aca="false">IFERROR(IF(AND(LEN(AU470)&gt;0,LEN(AU470)=LEN(AX470),OR(TRIM(MID(SUBSTITUTE(TRIM(CC470)," ",REPT(" ",60)),1,60))="",ISNUMBER(SEARCH(" "&amp;TRIM(MID(SUBSTITUTE(TRIM(CC470)," ",REPT(" ",60)),1,60))&amp;" ",CD470))),OR(TRIM(MID(SUBSTITUTE(TRIM(CC470)," ",REPT(" ",60)),61,60))="",ISNUMBER(SEARCH(" "&amp;TRIM(MID(SUBSTITUTE(TRIM(CC470)," ",REPT(" ",60)),61,60))&amp;" ",CD470))),OR(TRIM(MID(SUBSTITUTE(TRIM(CC470)," ",REPT(" ",60)),121,60))="",ISNUMBER(SEARCH(" "&amp;TRIM(MID(SUBSTITUTE(TRIM(CC470)," ",REPT(" ",60)),121,60))&amp;" ",CD470)))),1,0),0)</f>
        <v>0</v>
      </c>
      <c r="CG470" s="68" t="n">
        <f aca="false">IFERROR(LEN(SUBSTITUTE(BF470," ",""))-SUMPRODUCT((LEN(BF470)-LEN(SUBSTITUTE(BF470," "&amp;L_NAFiller&amp;" "," ")))/(LEN(L_NAFiller)+1)*LEN(L_NAFiller)),0)</f>
        <v>0</v>
      </c>
    </row>
    <row r="471" customFormat="false" ht="141" hidden="false" customHeight="true" outlineLevel="0" collapsed="false">
      <c r="A471" s="57" t="s">
        <v>1118</v>
      </c>
      <c r="B471" s="57" t="s">
        <v>276</v>
      </c>
      <c r="C471" s="57" t="str">
        <f aca="false">Flights!$F$18</f>
        <v>MH0004</v>
      </c>
      <c r="D471" s="58" t="n">
        <f aca="false">Flights!$D$18</f>
        <v>46310</v>
      </c>
      <c r="E471" s="57" t="str">
        <f aca="false">Flights!$G$18&amp;"-"&amp;Flights!$H$18</f>
        <v>KUL-LHR</v>
      </c>
      <c r="F471" s="57" t="str">
        <f aca="false">Flights!$K$18</f>
        <v>EY</v>
      </c>
      <c r="G471" s="57" t="s">
        <v>420</v>
      </c>
      <c r="H471" s="57" t="s">
        <v>378</v>
      </c>
      <c r="I471" s="57" t="s">
        <v>428</v>
      </c>
      <c r="J471" s="57" t="s">
        <v>435</v>
      </c>
      <c r="K471" s="67" t="s">
        <v>436</v>
      </c>
      <c r="L471" s="67" t="s">
        <v>422</v>
      </c>
      <c r="M471" s="67"/>
      <c r="N471" s="67" t="s">
        <v>383</v>
      </c>
      <c r="O471" s="67" t="s">
        <v>423</v>
      </c>
      <c r="P471" s="57" t="s">
        <v>187</v>
      </c>
      <c r="Q471" s="59" t="n">
        <f aca="false">ROUND((Flights!$AE$18)*1440,0)/1440</f>
        <v>46309.5763888889</v>
      </c>
      <c r="R471" s="59" t="n">
        <f aca="false">Q471+(IF(AND(INDEX(TZ_DSTS,MATCH(P471,TZ_STN,0))&lt;&gt;"",Q471&gt;=INDEX(TZ_DSTS,MATCH(P471,TZ_STN,0)),Q471&lt;INDEX(TZ_DSTE,MATCH(P471,TZ_STN,0))),INDEX(TZ_DST,MATCH(P471,TZ_STN,0)),INDEX(TZ_STD,MATCH(P471,TZ_STN,0))))/24</f>
        <v>46309.9097222222</v>
      </c>
      <c r="S471" s="60"/>
      <c r="T471" s="60"/>
      <c r="U471" s="60"/>
      <c r="V471" s="60"/>
      <c r="W471" s="61"/>
      <c r="X471" s="60"/>
      <c r="Y471" s="60"/>
      <c r="Z471" s="60"/>
      <c r="AA471" s="60"/>
      <c r="AB471" s="60"/>
      <c r="AC471" s="60"/>
      <c r="AD471" s="66"/>
      <c r="AE471" s="60"/>
      <c r="AF471" s="61" t="str">
        <f aca="false">IF(AND(ISNUMBER(X471),ISNUMBER(Y471)),Y471-X471,"")</f>
        <v/>
      </c>
      <c r="AG471" s="62" t="str">
        <f aca="false">IF(ISNUMBER(AD471),AD471-(IF(AND(INDEX(TZ_DSTS,MATCH(P471,TZ_STN,0))&lt;&gt;"",(AD471-INDEX(TZ_STD,MATCH(P471,TZ_STN,0))/24)&gt;=INDEX(TZ_DSTS,MATCH(P471,TZ_STN,0)),(AD471-INDEX(TZ_STD,MATCH(P471,TZ_STN,0))/24)&lt;INDEX(TZ_DSTE,MATCH(P471,TZ_STN,0))),INDEX(TZ_DST,MATCH(P471,TZ_STN,0)),INDEX(TZ_STD,MATCH(P471,TZ_STN,0))))/24,"")</f>
        <v/>
      </c>
      <c r="AH471" s="65" t="str">
        <f aca="false">IFERROR(IF(N471="N/A – rule",IF(OR(TRIM(U471)="",TRIM(U471)="N/A",TRIM(U471)="Not started"),"N/A – RULE","INVALID – this check does not apply to this aircraft: clear the status (or correct the fleet on Flights)"),IF(TRIM(U471)="N/A",IF(AT471=0,"INVALID – N/A not permitted for this check",IF(AND(TRIM(AB471)&lt;&gt;"",TRIM(AB471)&lt;&gt;"Closed"),"INVALID – corrective action still open",IF(AND(NOT(OR(LEN(AZ471)&lt;15,ISNUMBER(MATCH(AZ471,L_Placeholder,0)))),BK471=0,CG471&gt;=8,NOT(OR(LEN(AU471)&lt;2,ISNUMBER(MATCH(AU471,L_Placeholder,0)))),BR471&gt;=3,NOT(OR(LEN(AX471)&lt;2,ISNUMBER(MATCH(AX471,L_Placeholder,0)))),BS471&gt;=3,TRIM(AE471)&lt;&gt;TRIM(T471),AX471&lt;&gt;AU471,CE471=0),"N/A – JUSTIFIED","INVALID – N/A needs a real, settled reason (not 'not applicable' / 'as above' / TBC), a named PIC and a different named verifier"))),IF(OR(TRIM(U471)="Pass",TRIM(U471)="Pass after CA"),IF(NOT(ISNUMBER(AD471)),"INVALID – completion time missing",IF(OR(OR(LEN(AU471)&lt;2,ISNUMBER(MATCH(AU471,L_Placeholder,0))),BR471&lt;3),"INVALID – PIC missing or not a named person (a role such as QA / CSM is not a name)",IF(OR(LEN(AV471)&lt;2,ISNUMBER(MATCH(AV471,L_Placeholder,0))),"INVALID – result / assessment missing",IF(OR(OR(LEN(AW471)&lt;3,ISNUMBER(MATCH(AW471,L_Placeholder,0))),SUMPRODUCT(--ISNUMBER(SEARCH(" "&amp;L_EvidencePhrase&amp;" ",BD471)))&gt;0,BI471=1),"INVALID – evidence missing, placeholder or not yet on file",IF(ISNA(MATCH(TRIM(S471),L_EvidenceType,0)),"INVALID – choose the evidence type from the list (column S)",IF(BL471=0,"INVALID – evidence ID must be the record's own ID only (e.g. SF-2210, IMG_2231, 1045521); a link / file name needs type 'Link / file path'",IF(OR(OR(LEN(AX471)&lt;2,ISNUMBER(MATCH(AX471,L_Placeholder,0))),BS471&lt;3),"INVALID – verifier missing or not a named person (a role such as QA / CSM is not a name)",IF(OR(AX471=AU471,CE471=1,AND(LEN(AU471)&gt;=4,ISNUMBER(SEARCH(AU471,AX471))),AND(LEN(AX471)&gt;=4,ISNUMBER(SEARCH(AX471,AU471)))),"INVALID – verifier must be a different, named person (not the PIC or a role)",IF(BH471=1,"INVALID – result not yet available (awaiting / TBC)",IF(BG471=1,"INVALID – result describes a problem: record Fail, then Pass after CA (or reword if it is not a problem)",IF(BV471=1,"INVALID – wording says not on board: an on-board confirmation needs the item loaded",IF(AND(AQ471=1,OR(OR(LEN(AY471)&lt;3,ISNUMBER(MATCH(AY471,L_Placeholder,0))),BJ471=1,BQ471=0)),"INVALID – batch ID missing, placeholder or not an ID (e.g. PASB-261008-BC-017)",IF(AND(AR471=1,OR(NOT(ISNUMBER(X471)),NOT(ISNUMBER(Y471)))),"INVALID – expected/actual qty missing",IF(AND(AR471=1,OR(X471&lt;=0,Y471&lt;0)),"INVALID – expected qty must be above 0 and actual not negative",IF(BB471&lt;&gt;"",BB471,IF(AND(AS471=1,Documents!$J$18&lt;&gt;"ON FILE"),"INVALID – GLD not on file (Documents sheet)",IF(AND(AS471=2,Documents!$O$18&lt;&gt;"ON FILE"),"INVALID – menu checklist not on file (Documents sheet)",IF(AND(AS471=3,NOT(ISNUMBER(Flights!$AX$18))),"INVALID – enter carrying flight KUL departure (Flights AX)",IF(AND(AS471=3,OR(Flights!$AZ$18&gt;Flights!$AA$18,Flights!$AX$18&lt;Flights!$AA$18-3)),"INVALID – carrying flight (Flights AX) cannot arrive before this leg's STD, or is over 3 days early",IF(AG471&gt;AsOfUTC,"INVALID – completion time is in the future",IF(AND(ISNUMBER(BY471),AG471&lt;BY471),IF(H471="Physical uplift","INVALID – before uplift window (cannot confirm loading)","INVALID – before valid window"),IF(AG471&gt;Flights!$AA$18,"INVALID – completed after departure (cannot establish readiness)",IF(AND(H471="Preparation",AG471&gt;=IF(ISNUMBER(Flights!$BA$18),MIN(Flights!$BA$18,Flights!$AA$18),Flights!$AA$18)),"INVALID – completed after loading / departure (cannot establish readiness)",IF(AND(H471="Physical uplift",AG471&gt;Q471),"INVALID – recorded after the loading flight departed",IF(AG471&gt;Q471,"COMPLETE – LATE","COMPLETE"))))))))))))))))))))))))),IF(TRIM(U471)="Fail","FAIL – DISCREPANCY",IF(AND(TRIM(U471)&lt;&gt;"",TRIM(U471)&lt;&gt;"Not started",TRIM(U471)&lt;&gt;"In progress"),"INVALID – unrecognised status (use the list)",IF(AsOfUTC&gt;Q471,"OVERDUE",IF(N471="Clarification required","OPEN – CLARIFICATION","OPEN"))))))),"INVALID – error value in an input cell")</f>
        <v>OPEN</v>
      </c>
      <c r="AI471" s="61" t="n">
        <f aca="false">IF(OR(AH471="N/A – RULE",AH471="N/A – JUSTIFIED"),0,1)</f>
        <v>1</v>
      </c>
      <c r="AJ471" s="61" t="n">
        <f aca="false">IF(LEFT(AH471,8)="COMPLETE",1,0)</f>
        <v>0</v>
      </c>
      <c r="AK471" s="61" t="n">
        <f aca="false">IF(AND(AI471=1,AJ471=0,AsOfUTC&gt;Q471),1,0)</f>
        <v>0</v>
      </c>
      <c r="AL471" s="61" t="n">
        <f aca="false">IFERROR(IF(AND(AI471=1,OR(TRIM(U471)="Fail",AND(TRIM(AB471)&lt;&gt;"",TRIM(AB471)&lt;&gt;"Closed"),AND(ISNUMBER(AF471),AF471&lt;&gt;0,TRIM(U471)&lt;&gt;"Pass after CA"))),1,0),1)</f>
        <v>0</v>
      </c>
      <c r="AM471" s="61" t="n">
        <f aca="false">IF(LEFT(AH471,7)="INVALID",1,0)</f>
        <v>0</v>
      </c>
      <c r="AN471" s="61" t="n">
        <f aca="false">IF(AND(N471="Clarification required",AI471=1,AJ471=0),1,0)</f>
        <v>0</v>
      </c>
      <c r="AO471" s="61" t="str">
        <f aca="false">IF(AK471=1,SUM(AK$5:AK471),"")</f>
        <v/>
      </c>
      <c r="AP471" s="61" t="str">
        <f aca="false">IF(AL471=1,SUM(AL$5:AL471),"")</f>
        <v/>
      </c>
      <c r="AQ471" s="61" t="n">
        <v>0</v>
      </c>
      <c r="AR471" s="61" t="n">
        <v>1</v>
      </c>
      <c r="AS471" s="61" t="n">
        <v>0</v>
      </c>
      <c r="AT471" s="61" t="n">
        <v>0</v>
      </c>
      <c r="AU471" s="61" t="str">
        <f aca="false">SUBSTITUTE(SUBSTITUTE(SUBSTITUTE(SUBSTITUTE(SUBSTITUTE(SUBSTITUTE(SUBSTITUTE(SUBSTITUTE(SUBSTITUTE(SUBSTITUTE(SUBSTITUTE(SUBSTITUTE(SUBSTITUTE(SUBSTITUTE(SUBSTITUTE(SUBSTITUTE(LOWER(T471&amp;""),CHAR(10),""),CHAR(13),""),CHAR(9),""),CHAR(160),"")," ",""),".",""),"-",""),"/",""),"?",""),"_",""),",",""),"[",""),"]",""),"(",""),")",""),"*","")</f>
        <v/>
      </c>
      <c r="AV471" s="61" t="str">
        <f aca="false">SUBSTITUTE(SUBSTITUTE(SUBSTITUTE(SUBSTITUTE(SUBSTITUTE(SUBSTITUTE(SUBSTITUTE(SUBSTITUTE(SUBSTITUTE(SUBSTITUTE(SUBSTITUTE(SUBSTITUTE(SUBSTITUTE(SUBSTITUTE(SUBSTITUTE(SUBSTITUTE(LOWER(V471&amp;""),CHAR(10),""),CHAR(13),""),CHAR(9),""),CHAR(160),"")," ",""),".",""),"-",""),"/",""),"?",""),"_",""),",",""),"[",""),"]",""),"(",""),")",""),"*","")</f>
        <v/>
      </c>
      <c r="AW471" s="61" t="str">
        <f aca="false">SUBSTITUTE(SUBSTITUTE(SUBSTITUTE(SUBSTITUTE(SUBSTITUTE(SUBSTITUTE(SUBSTITUTE(SUBSTITUTE(SUBSTITUTE(SUBSTITUTE(SUBSTITUTE(SUBSTITUTE(SUBSTITUTE(SUBSTITUTE(SUBSTITUTE(SUBSTITUTE(LOWER(Z471&amp;""),CHAR(10),""),CHAR(13),""),CHAR(9),""),CHAR(160),"")," ",""),".",""),"-",""),"/",""),"?",""),"_",""),",",""),"[",""),"]",""),"(",""),")",""),"*","")</f>
        <v/>
      </c>
      <c r="AX471" s="61" t="str">
        <f aca="false">SUBSTITUTE(SUBSTITUTE(SUBSTITUTE(SUBSTITUTE(SUBSTITUTE(SUBSTITUTE(SUBSTITUTE(SUBSTITUTE(SUBSTITUTE(SUBSTITUTE(SUBSTITUTE(SUBSTITUTE(SUBSTITUTE(SUBSTITUTE(SUBSTITUTE(SUBSTITUTE(LOWER(AE471&amp;""),CHAR(10),""),CHAR(13),""),CHAR(9),""),CHAR(160),"")," ",""),".",""),"-",""),"/",""),"?",""),"_",""),",",""),"[",""),"]",""),"(",""),")",""),"*","")</f>
        <v/>
      </c>
      <c r="AY471" s="61" t="str">
        <f aca="false">SUBSTITUTE(SUBSTITUTE(SUBSTITUTE(SUBSTITUTE(SUBSTITUTE(SUBSTITUTE(SUBSTITUTE(SUBSTITUTE(SUBSTITUTE(SUBSTITUTE(SUBSTITUTE(SUBSTITUTE(SUBSTITUTE(SUBSTITUTE(SUBSTITUTE(SUBSTITUTE(LOWER(W471&amp;""),CHAR(10),""),CHAR(13),""),CHAR(9),""),CHAR(160),"")," ",""),".",""),"-",""),"/",""),"?",""),"_",""),",",""),"[",""),"]",""),"(",""),")",""),"*","")</f>
        <v/>
      </c>
      <c r="AZ471" s="61" t="str">
        <f aca="false">SUBSTITUTE(SUBSTITUTE(SUBSTITUTE(SUBSTITUTE(SUBSTITUTE(SUBSTITUTE(SUBSTITUTE(SUBSTITUTE(SUBSTITUTE(SUBSTITUTE(SUBSTITUTE(SUBSTITUTE(SUBSTITUTE(SUBSTITUTE(SUBSTITUTE(SUBSTITUTE(LOWER(AC471&amp;""),CHAR(10),""),CHAR(13),""),CHAR(9),""),CHAR(160),"")," ",""),".",""),"-",""),"/",""),"?",""),"_",""),",",""),"[",""),"]",""),"(",""),")",""),"*","")</f>
        <v/>
      </c>
      <c r="BA471" s="61" t="str">
        <f aca="false">SUBSTITUTE(SUBSTITUTE(SUBSTITUTE(SUBSTITUTE(SUBSTITUTE(SUBSTITUTE(SUBSTITUTE(SUBSTITUTE(SUBSTITUTE(SUBSTITUTE(SUBSTITUTE(SUBSTITUTE(SUBSTITUTE(SUBSTITUTE(SUBSTITUTE(SUBSTITUTE(LOWER(AA471&amp;""),CHAR(10),""),CHAR(13),""),CHAR(9),""),CHAR(160),"")," ",""),".",""),"-",""),"/",""),"?",""),"_",""),",",""),"[",""),"]",""),"(",""),")",""),"*","")</f>
        <v/>
      </c>
      <c r="BB471" s="61" t="str">
        <f aca="false">IF(AND(TRIM(U471)="Pass",ISNUMBER(AF471)),IF(AF471&lt;&gt;0,"INVALID – qty variance: use Fail or Pass after CA",""),"")&amp;IF(AND(TRIM(U471)="Pass after CA",ISNUMBER(AF471)),IF(AF471&lt;&gt;0,"INVALID – after the corrective action the actual qty must equal expected (update Actual)",""),"")&amp;IF(AND(TRIM(U471)="Pass",TRIM(AB471)&lt;&gt;"",TRIM(AB471)&lt;&gt;"Closed"),"INVALID – corrective action not closed: use Fail, then Pass after CA","")&amp;IF(AND(LEN(BA471)&gt;=2,ISNA(MATCH(LEFT(BA471,255),L_Placeholder,0)),TRIM(AB471)=""),"INVALID – CA status missing for the recorded corrective action","")&amp;IF(AND(TRIM(U471)="Pass after CA",OR(OR(LEN(BA471)&lt;5,ISNUMBER(MATCH(BA471,L_Placeholder,0))),TRIM(AB471)&lt;&gt;"Closed")),"INVALID – corrective action not recorded/closed","")</f>
        <v/>
      </c>
      <c r="BC471" s="61" t="str">
        <f aca="false">" "&amp;TRIM(SUBSTITUTE(SUBSTITUTE(SUBSTITUTE(SUBSTITUTE(SUBSTITUTE(SUBSTITUTE(SUBSTITUTE(SUBSTITUTE(SUBSTITUTE(SUBSTITUTE(SUBSTITUTE(SUBSTITUTE(SUBSTITUTE(SUBSTITUTE(SUBSTITUTE(SUBSTITUTE(SUBSTITUTE(SUBSTITUTE(SUBSTITUTE(SUBSTITUTE(SUBSTITUTE(SUBSTITUTE(SUBSTITUTE(SUBSTITUTE(LOWER(V471&amp;""),CHAR(10)," "),CHAR(13)," "),CHAR(9)," "),CHAR(160)," "),"."," "),","," "),"-"," "),"/"," "),"("," "),")"," "),":"," "),";"," "),"_"," "),"–"," "),"?"," "),"!"," "),"*"," "),"["," "),"]"," "),"'"," "),"#"," "),"+"," "),"&amp;"," "),"\"," "))&amp;" "</f>
        <v>  </v>
      </c>
      <c r="BD471" s="61" t="str">
        <f aca="false">" "&amp;TRIM(SUBSTITUTE(SUBSTITUTE(SUBSTITUTE(SUBSTITUTE(SUBSTITUTE(SUBSTITUTE(SUBSTITUTE(SUBSTITUTE(SUBSTITUTE(SUBSTITUTE(SUBSTITUTE(SUBSTITUTE(SUBSTITUTE(SUBSTITUTE(SUBSTITUTE(SUBSTITUTE(SUBSTITUTE(SUBSTITUTE(SUBSTITUTE(SUBSTITUTE(SUBSTITUTE(SUBSTITUTE(SUBSTITUTE(SUBSTITUTE(LOWER(Z471&amp;""),CHAR(10)," "),CHAR(13)," "),CHAR(9)," "),CHAR(160)," "),"."," "),","," "),"-"," "),"/"," "),"("," "),")"," "),":"," "),";"," "),"_"," "),"–"," "),"?"," "),"!"," "),"*"," "),"["," "),"]"," "),"'"," "),"#"," "),"+"," "),"&amp;"," "),"\"," "))&amp;" "</f>
        <v>  </v>
      </c>
      <c r="BE471" s="61" t="str">
        <f aca="false">" "&amp;TRIM(SUBSTITUTE(SUBSTITUTE(SUBSTITUTE(SUBSTITUTE(SUBSTITUTE(SUBSTITUTE(SUBSTITUTE(SUBSTITUTE(SUBSTITUTE(SUBSTITUTE(SUBSTITUTE(SUBSTITUTE(SUBSTITUTE(SUBSTITUTE(SUBSTITUTE(SUBSTITUTE(SUBSTITUTE(SUBSTITUTE(SUBSTITUTE(SUBSTITUTE(SUBSTITUTE(SUBSTITUTE(SUBSTITUTE(SUBSTITUTE(LOWER(W471&amp;""),CHAR(10)," "),CHAR(13)," "),CHAR(9)," "),CHAR(160)," "),"."," "),","," "),"-"," "),"/"," "),"("," "),")"," "),":"," "),";"," "),"_"," "),"–"," "),"?"," "),"!"," "),"*"," "),"["," "),"]"," "),"'"," "),"#"," "),"+"," "),"&amp;"," "),"\"," "))&amp;" "</f>
        <v>  </v>
      </c>
      <c r="BF471" s="61" t="str">
        <f aca="false">" "&amp;TRIM(SUBSTITUTE(SUBSTITUTE(SUBSTITUTE(SUBSTITUTE(SUBSTITUTE(SUBSTITUTE(SUBSTITUTE(SUBSTITUTE(SUBSTITUTE(SUBSTITUTE(SUBSTITUTE(SUBSTITUTE(SUBSTITUTE(SUBSTITUTE(SUBSTITUTE(SUBSTITUTE(SUBSTITUTE(SUBSTITUTE(SUBSTITUTE(SUBSTITUTE(SUBSTITUTE(SUBSTITUTE(SUBSTITUTE(SUBSTITUTE(LOWER(AC471&amp;""),CHAR(10)," "),CHAR(13)," "),CHAR(9)," "),CHAR(160)," "),"."," "),","," "),"-"," "),"/"," "),"("," "),")"," "),":"," "),";"," "),"_"," "),"–"," "),"?"," "),"!"," "),"*"," "),"["," "),"]"," "),"'"," "),"#"," "),"+"," "),"&amp;"," "),"\"," "))&amp;" "</f>
        <v>  </v>
      </c>
      <c r="BG471" s="61" t="n">
        <f aca="false">IFERROR(IF(AND(TRIM(U471)="Pass",SUMPRODUCT((LEN(BC471)-LEN(SUBSTITUTE(BC471," "&amp;L_ResultBad&amp;" "," ")))/(LEN(L_ResultBad)+1))&gt;SUMPRODUCT((LEN(BC471)-LEN(SUBSTITUTE(BC471," "&amp;L_NegPhrase&amp;" "," ")))/(LEN(L_NegPhrase)+1))),1,0),0)</f>
        <v>0</v>
      </c>
      <c r="BH471" s="61" t="n">
        <f aca="false">IFERROR(IF(SUMPRODUCT((LEN(BC471)-LEN(SUBSTITUTE(BC471," "&amp;L_Pending&amp;" "," ")))/(LEN(L_Pending)+1))&gt;SUMPRODUCT((LEN(BC471)-LEN(SUBSTITUTE(BC471," "&amp;L_PendNeg&amp;" "," ")))/(LEN(L_PendNeg)+1))+SUMPRODUCT((LEN(BC471)-LEN(SUBSTITUTE(BC471," "&amp;L_PendPrep&amp;" "," ")))/(LEN(L_PendPrep)+1)),1,0),1)</f>
        <v>0</v>
      </c>
      <c r="BI471" s="61" t="n">
        <f aca="false">IFERROR(IF(SUMPRODUCT((LEN(BD471)-LEN(SUBSTITUTE(BD471," "&amp;L_PendStrict&amp;" "," ")))/(LEN(L_PendStrict)+1))&gt;SUMPRODUCT((LEN(BD471)-LEN(SUBSTITUTE(BD471," "&amp;L_PendNeg&amp;" "," ")))/(LEN(L_PendNeg)+1)),1,0),1)</f>
        <v>0</v>
      </c>
      <c r="BJ471" s="61" t="n">
        <f aca="false">IFERROR(IF(SUMPRODUCT((LEN(BE471)-LEN(SUBSTITUTE(BE471," "&amp;L_Pending&amp;" "," ")))/(LEN(L_Pending)+1))&gt;SUMPRODUCT((LEN(BE471)-LEN(SUBSTITUTE(BE471," "&amp;L_PendNeg&amp;" "," ")))/(LEN(L_PendNeg)+1))+SUMPRODUCT((LEN(BE471)-LEN(SUBSTITUTE(BE471," "&amp;L_PendPrep&amp;" "," ")))/(LEN(L_PendPrep)+1)),1,0),1)</f>
        <v>0</v>
      </c>
      <c r="BK471" s="61" t="n">
        <f aca="false">IFERROR(IF(SUMPRODUCT((LEN(BF471)-LEN(SUBSTITUTE(BF471," "&amp;L_PendStrict&amp;" "," ")))/(LEN(L_PendStrict)+1))&gt;SUMPRODUCT((LEN(BF471)-LEN(SUBSTITUTE(BF471," "&amp;L_PendNeg&amp;" "," ")))/(LEN(L_PendNeg)+1)),1,0),1)</f>
        <v>0</v>
      </c>
      <c r="BL471" s="61" t="n">
        <f aca="false">IF(ISNA(MATCH(TRIM(S471),L_EvidenceType,0)),0,BZ471)</f>
        <v>0</v>
      </c>
      <c r="BM471" s="61" t="str">
        <f aca="false">SUBSTITUTE(SUBSTITUTE(SUBSTITUTE(SUBSTITUTE(SUBSTITUTE(SUBSTITUTE(SUBSTITUTE(SUBSTITUTE(SUBSTITUTE(LOWER(Z471&amp;""),"1","0"),"2","0"),"3","0"),"4","0"),"5","0"),"6","0"),"7","0"),"8","0"),"9","0")</f>
        <v/>
      </c>
      <c r="BN471" s="61" t="str">
        <f aca="false">SUBSTITUTE(SUBSTITUTE(SUBSTITUTE(SUBSTITUTE(SUBSTITUTE(SUBSTITUTE(SUBSTITUTE(SUBSTITUTE(SUBSTITUTE(SUBSTITUTE(SUBSTITUTE(SUBSTITUTE(SUBSTITUTE(SUBSTITUTE(SUBSTITUTE(SUBSTITUTE(SUBSTITUTE(SUBSTITUTE(SUBSTITUTE(SUBSTITUTE(SUBSTITUTE(SUBSTITUTE(SUBSTITUTE(SUBSTITUTE(SUBSTITUTE(BM471,"b","a"),"c","a"),"d","a"),"e","a"),"f","a"),"g","a"),"h","a"),"i","a"),"j","a"),"k","a"),"l","a"),"m","a"),"n","a"),"o","a"),"p","a"),"q","a"),"r","a"),"s","a"),"t","a"),"u","a"),"v","a"),"w","a"),"x","a"),"y","a"),"z","a")</f>
        <v/>
      </c>
      <c r="BO471" s="61" t="str">
        <f aca="false">SUBSTITUTE(SUBSTITUTE(SUBSTITUTE(SUBSTITUTE(SUBSTITUTE(SUBSTITUTE(SUBSTITUTE(SUBSTITUTE(SUBSTITUTE(LOWER(W471&amp;""),"1","0"),"2","0"),"3","0"),"4","0"),"5","0"),"6","0"),"7","0"),"8","0"),"9","0")</f>
        <v/>
      </c>
      <c r="BP471" s="61" t="str">
        <f aca="false">SUBSTITUTE(SUBSTITUTE(SUBSTITUTE(SUBSTITUTE(SUBSTITUTE(SUBSTITUTE(SUBSTITUTE(SUBSTITUTE(SUBSTITUTE(SUBSTITUTE(SUBSTITUTE(SUBSTITUTE(SUBSTITUTE(SUBSTITUTE(SUBSTITUTE(SUBSTITUTE(SUBSTITUTE(SUBSTITUTE(SUBSTITUTE(SUBSTITUTE(SUBSTITUTE(SUBSTITUTE(SUBSTITUTE(SUBSTITUTE(SUBSTITUTE(BO471,"b","a"),"c","a"),"d","a"),"e","a"),"f","a"),"g","a"),"h","a"),"i","a"),"j","a"),"k","a"),"l","a"),"m","a"),"n","a"),"o","a"),"p","a"),"q","a"),"r","a"),"s","a"),"t","a"),"u","a"),"v","a"),"w","a"),"x","a"),"y","a"),"z","a")</f>
        <v/>
      </c>
      <c r="BQ471" s="61" t="n">
        <f aca="false">IFERROR(IF(AND(ISERROR(SEARCH(" mh"," "&amp;LOWER(W471))),ISNA(MATCH(LEFT(TRIM(BP471),255),{"0000a","000a","00a","0000aa","000aa","00aa","0aa","0000aaa","000aaa","00a00","0a00","0000-0000","00:00","a00","a0","00.00.0000","00/00/0000","00-00-0000","0000-00-00","0000/00/00","0000.00.00","00.00.00","00/00/00","00-00-00","0.00.0000","0/00/0000","0-00-0000"},0)),ISNA(MATCH(LEFT(TRIM(CA471),255),{"0000a","000a","00a","0000aa","000aa","00aa","0aa","0000aaa","000aaa","00a00","0a00","0000-0000","00:00","a00","a0","00.00.0000","00/00/0000","00-00-0000","0000-00-00","0000/00/00","0000.00.00","00.00.00","00/00/00","00-00-00","0.00.0000","0/00/0000","0-00-0000"},0)),LEN(CB471)&gt;=3,NOT(OR(SUBSTITUTE(CB471,"0","")="",AND(LEN(CB471)&gt;=4,CB471=REPT(LEFT(CB471),LEN(CB471))),ISNUMBER(MATCH(CB471,{"123","1234","12345","123456","1234567","12345678","0123","01234","012345","98765","987654","54321"},0)),AND(LEN(CB471)=8,LEFT(CB471,3)="202"))),OR(AND((LEN(CA471)-LEN(SUBSTITUTE(CA471,"a","")))&gt;=1,SUMPRODUCT(--ISNUMBER(SEARCH({"a0","a-0","a_0","a/0","a.0","a#0","0a","0-a","0_a","0/a"},BP471)))&gt;0),ISNUMBER(SEARCH("000000",BP471)))),1,0),0)</f>
        <v>0</v>
      </c>
      <c r="BR471" s="61" t="n">
        <f aca="false">IFERROR(LEN(SUBSTITUTE(CC471," ",""))-SUMPRODUCT((LEN(CC471)-LEN(SUBSTITUTE(CC471," "&amp;L_Role&amp;" "," ")))/(LEN(L_Role)+1)*LEN(L_Role)),0)</f>
        <v>0</v>
      </c>
      <c r="BS471" s="61" t="n">
        <f aca="false">IFERROR(LEN(SUBSTITUTE(CD471," ",""))-SUMPRODUCT((LEN(CD471)-LEN(SUBSTITUTE(CD471," "&amp;L_Role&amp;" "," ")))/(LEN(L_Role)+1)*LEN(L_Role)),0)</f>
        <v>0</v>
      </c>
      <c r="BT4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471,"revision",""),"version",""),"jan",""),"feb",""),"mar",""),"apr",""),"may",""),"jun",""),"jul",""),"aug",""),"sep",""),"oct",""),"nov",""),"dec",""),"utc",""),"gmt",""),"myt",""),"bst",""),"rev",""),"ver",""),"b","a"),"c","a"),"d","a"),"e","a"),"f","a"),"g","a"),"h","a"),"i","a"),"j","a"),"k","a"),"l","a"),"m","a"),"n","a"),"o","a"),"p","a"),"q","a"),"r","a"),"s","a"),"t","a"),"u","a"),"v","a"),"w","a"),"x","a"),"y","a"),"z","a")</f>
        <v/>
      </c>
      <c r="BU471" s="61" t="str">
        <f aca="false">SUBSTITUTE(SUBSTITUTE(SUBSTITUTE(SUBSTITUTE(SUBSTITUTE(SUBSTITUTE(SUBSTITUTE(SUBSTITUTE(SUBSTITUTE(SUBSTITUTE(LEFT(BM471,FIND("0",BM471&amp;"0")-1),"-",""),"_",""),"/",""),".",""),"#",""),"\\",""),":","")," ",""),"(",""),")","")</f>
        <v/>
      </c>
      <c r="BV471" s="61" t="n">
        <f aca="false">0</f>
        <v>0</v>
      </c>
      <c r="BW4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471&amp;""),"a",""),"b",""),"c",""),"d",""),"e",""),"f",""),"g",""),"h",""),"i",""),"j",""),"k",""),"l",""),"m",""),"n",""),"o",""),"p",""),"q",""),"r",""),"s",""),"t",""),"u",""),"v",""),"w",""),"x",""),"y",""),"z",""),"-",""),"_",""),"/",""),".",""),"#",""),"\\",""),":","")," ",""),"(",""),")","")</f>
        <v/>
      </c>
      <c r="BX471" s="61" t="str">
        <f aca="false">SUBSTITUTE(SUBSTITUTE(SUBSTITUTE(SUBSTITUTE(SUBSTITUTE(SUBSTITUTE(SUBSTITUTE(SUBSTITUTE(SUBSTITUTE(SUBSTITUTE(SUBSTITUTE(BM471,"0",""),"-",""),"_",""),"/",""),".",""),"#",""),"\\",""),":","")," ",""),"(",""),")","")</f>
        <v/>
      </c>
      <c r="BY471" s="62" t="n">
        <f aca="false">Q471-T12EarlyH/24</f>
        <v>46309.0763888889</v>
      </c>
      <c r="BZ471" s="61" t="n">
        <f aca="false">IFERROR(IF(IF(TRIM(S471)="Link / file path",AND(LEN(TRIM(Z471))&gt;=5,SUMPRODUCT(--ISNUMBER(SEARCH({"http","www.","\\",":\",".pdf",".jpg",".jpeg",".png",".heic",".xls",".doc",".msg",".eml",".ppt",".txt",".zip"},Z471)))&gt;0),AND(ISERROR(FIND(" ",TRIM(Z471))),NOT(OR(SUMPRODUCT(--ISNUMBER(FIND({",",";","&amp;","+"},Z471)))&gt;0,SUMPRODUCT(--ISNUMBER(SEARCH({"0/aa","0\\aa"},BN471)))&gt;0)),NOT(SUMPRODUCT(--ISNUMBER(SEARCH({"http","www.","\\",":\",".pdf",".jpg",".jpeg",".png",".heic",".xls",".doc",".msg",".eml",".ppt",".txt",".zip"},Z471)))&gt;0),NOT(LOWER(TRIM(Z471))=LOWER(Flights!$F$18)),ISNA(MATCH(BU471,{"mh","rev","revision","ver","version","v","r","a","b","seat","tray","row","gate","bay","stand","page","pg","item","line","no","cart","galley","flight","flt","table","box","bag","oven","etd","eta","std","sta","atd","ata","qty","pax","x","time","tel","ph","mob","day","wk","week","utc","gmt","myt","lt"},0)),NOT(OR(ISNUMBER(MATCH(LEFT(BN471,255),{"0000a","000a","00a","0000aa","000aa","00aa","0aa","0000aaa","000aaa","00a00","0a00","0000-0000","00:00","a00","a0","00.00.0000","00/00/0000","00-00-0000","0000-00-00","0000/00/00","0000.00.00","00.00.00","00/00/00","00-00-00","0.00.0000","0/00/0000","0-00-0000"},0)),ISNUMBER(MATCH(LEFT(BT471,255),{"0000a","000a","00a","0000aa","000aa","00aa","0aa","0000aaa","000aaa","00a00","0a00","0000-0000","00:00","a00","a0","00.00.0000","00/00/0000","00-00-0000","0000-00-00","0000/00/00","0000.00.00","00.00.00","00/00/00","00-00-00","0.00.0000","0/00/0000","0-00-0000"},0)))),NOT(OR(AND(BW471&lt;&gt;"",SUBSTITUTE(BW471,"0","")=""),AND(LEN(BW471)&gt;=4,BW471=REPT(LEFT(BW471),LEN(BW471))),ISNUMBER(MATCH(BW471,{"123","1234","12345","123456","1234567","12345678","0123","01234","012345","98765","987654","54321"},0)),ISNUMBER(MATCH(BX471,{"x","xx","xxx","xxxx","xxxxx","abc","abcd","nil","na","nan","test","tbc","tba","tbd","dummy","sample","example","eg","zz","zzz","none","null","xyz","qwe","asd","id","ref"},0)),AND(LEN(BW471)=8,BX471="",OR(LEFT(BW471,3)="202",ISNUMBER(MATCH(RIGHT(BW471,4),{"2025","2026","2027"},0)))))),OR(AND((LEN(BT471)-LEN(SUBSTITUTE(BT471,"a","")))&gt;=1,(LEN(BN471)-LEN(SUBSTITUTE(BN471,"0","")))&gt;=2,SUMPRODUCT(--ISNUMBER(SEARCH({"a0","a-0","a_0","a/0","a.0","a#0","0a","0-a","0_a","0/a"},BN471)))&gt;0),AND((LEN(BN471)-LEN(SUBSTITUTE(BN471,"a","")))=0,(LEN(BN471)-LEN(SUBSTITUTE(BN471,"0","")))&gt;=5)))),1,0),0)</f>
        <v>0</v>
      </c>
      <c r="CA4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471,"revision",""),"version",""),"jan",""),"feb",""),"mar",""),"apr",""),"may",""),"jun",""),"jul",""),"aug",""),"sep",""),"oct",""),"nov",""),"dec",""),"utc",""),"gmt",""),"myt",""),"bst",""),"rev",""),"ver",""),"b","a"),"c","a"),"d","a"),"e","a"),"f","a"),"g","a"),"h","a"),"i","a"),"j","a"),"k","a"),"l","a"),"m","a"),"n","a"),"o","a"),"p","a"),"q","a"),"r","a"),"s","a"),"t","a"),"u","a"),"v","a"),"w","a"),"x","a"),"y","a"),"z","a")</f>
        <v/>
      </c>
      <c r="CB4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471&amp;""),"a",""),"b",""),"c",""),"d",""),"e",""),"f",""),"g",""),"h",""),"i",""),"j",""),"k",""),"l",""),"m",""),"n",""),"o",""),"p",""),"q",""),"r",""),"s",""),"t",""),"u",""),"v",""),"w",""),"x",""),"y",""),"z",""),"-",""),"_",""),"/",""),".",""),"#",""),"\\",""),":","")," ",""),"(",""),")","")</f>
        <v/>
      </c>
      <c r="CC471" s="0" t="str">
        <f aca="false">" "&amp;TRIM(SUBSTITUTE(SUBSTITUTE(SUBSTITUTE(SUBSTITUTE(SUBSTITUTE(SUBSTITUTE(SUBSTITUTE(SUBSTITUTE(SUBSTITUTE(SUBSTITUTE(SUBSTITUTE(SUBSTITUTE(SUBSTITUTE(SUBSTITUTE(SUBSTITUTE(SUBSTITUTE(SUBSTITUTE(SUBSTITUTE(SUBSTITUTE(SUBSTITUTE(SUBSTITUTE(SUBSTITUTE(SUBSTITUTE(SUBSTITUTE(LOWER(T471&amp;""),CHAR(10)," "),CHAR(13)," "),CHAR(9)," "),CHAR(160)," "),"."," "),","," "),"-"," "),"/"," "),"("," "),")"," "),":"," "),";"," "),"_"," "),"–"," "),"?"," "),"!"," "),"*"," "),"["," "),"]"," "),"'"," "),"#"," "),"+"," "),"&amp;"," "),"\"," "))&amp;" "</f>
        <v>  </v>
      </c>
      <c r="CD471" s="0" t="str">
        <f aca="false">" "&amp;TRIM(SUBSTITUTE(SUBSTITUTE(SUBSTITUTE(SUBSTITUTE(SUBSTITUTE(SUBSTITUTE(SUBSTITUTE(SUBSTITUTE(SUBSTITUTE(SUBSTITUTE(SUBSTITUTE(SUBSTITUTE(SUBSTITUTE(SUBSTITUTE(SUBSTITUTE(SUBSTITUTE(SUBSTITUTE(SUBSTITUTE(SUBSTITUTE(SUBSTITUTE(SUBSTITUTE(SUBSTITUTE(SUBSTITUTE(SUBSTITUTE(LOWER(AE471&amp;""),CHAR(10)," "),CHAR(13)," "),CHAR(9)," "),CHAR(160)," "),"."," "),","," "),"-"," "),"/"," "),"("," "),")"," "),":"," "),";"," "),"_"," "),"–"," "),"?"," "),"!"," "),"*"," "),"["," "),"]"," "),"'"," "),"#"," "),"+"," "),"&amp;"," "),"\"," "))&amp;" "</f>
        <v>  </v>
      </c>
      <c r="CE471" s="68" t="n">
        <f aca="false">IFERROR(IF(AND(LEN(AU471)&gt;0,LEN(AU471)=LEN(AX471),OR(TRIM(MID(SUBSTITUTE(TRIM(CC471)," ",REPT(" ",60)),1,60))="",ISNUMBER(SEARCH(" "&amp;TRIM(MID(SUBSTITUTE(TRIM(CC471)," ",REPT(" ",60)),1,60))&amp;" ",CD471))),OR(TRIM(MID(SUBSTITUTE(TRIM(CC471)," ",REPT(" ",60)),61,60))="",ISNUMBER(SEARCH(" "&amp;TRIM(MID(SUBSTITUTE(TRIM(CC471)," ",REPT(" ",60)),61,60))&amp;" ",CD471))),OR(TRIM(MID(SUBSTITUTE(TRIM(CC471)," ",REPT(" ",60)),121,60))="",ISNUMBER(SEARCH(" "&amp;TRIM(MID(SUBSTITUTE(TRIM(CC471)," ",REPT(" ",60)),121,60))&amp;" ",CD471)))),1,0),0)</f>
        <v>0</v>
      </c>
      <c r="CG471" s="68" t="n">
        <f aca="false">IFERROR(LEN(SUBSTITUTE(BF471," ",""))-SUMPRODUCT((LEN(BF471)-LEN(SUBSTITUTE(BF471," "&amp;L_NAFiller&amp;" "," ")))/(LEN(L_NAFiller)+1)*LEN(L_NAFiller)),0)</f>
        <v>0</v>
      </c>
    </row>
    <row r="472" customFormat="false" ht="39.75" hidden="false" customHeight="true" outlineLevel="0" collapsed="false">
      <c r="A472" s="57" t="s">
        <v>1119</v>
      </c>
      <c r="B472" s="57" t="s">
        <v>276</v>
      </c>
      <c r="C472" s="57" t="str">
        <f aca="false">Flights!$F$18</f>
        <v>MH0004</v>
      </c>
      <c r="D472" s="58" t="n">
        <f aca="false">Flights!$D$18</f>
        <v>46310</v>
      </c>
      <c r="E472" s="57" t="str">
        <f aca="false">Flights!$G$18&amp;"-"&amp;Flights!$H$18</f>
        <v>KUL-LHR</v>
      </c>
      <c r="F472" s="57" t="str">
        <f aca="false">Flights!$K$18</f>
        <v>EY</v>
      </c>
      <c r="G472" s="57" t="s">
        <v>420</v>
      </c>
      <c r="H472" s="57" t="s">
        <v>378</v>
      </c>
      <c r="I472" s="57" t="s">
        <v>428</v>
      </c>
      <c r="J472" s="57" t="s">
        <v>438</v>
      </c>
      <c r="K472" s="67"/>
      <c r="L472" s="67" t="s">
        <v>422</v>
      </c>
      <c r="M472" s="67"/>
      <c r="N472" s="67" t="s">
        <v>383</v>
      </c>
      <c r="O472" s="67" t="s">
        <v>423</v>
      </c>
      <c r="P472" s="57" t="s">
        <v>187</v>
      </c>
      <c r="Q472" s="59" t="n">
        <f aca="false">ROUND((Flights!$AE$18)*1440,0)/1440</f>
        <v>46309.5763888889</v>
      </c>
      <c r="R472" s="59" t="n">
        <f aca="false">Q472+(IF(AND(INDEX(TZ_DSTS,MATCH(P472,TZ_STN,0))&lt;&gt;"",Q472&gt;=INDEX(TZ_DSTS,MATCH(P472,TZ_STN,0)),Q472&lt;INDEX(TZ_DSTE,MATCH(P472,TZ_STN,0))),INDEX(TZ_DST,MATCH(P472,TZ_STN,0)),INDEX(TZ_STD,MATCH(P472,TZ_STN,0))))/24</f>
        <v>46309.9097222222</v>
      </c>
      <c r="S472" s="60"/>
      <c r="T472" s="60"/>
      <c r="U472" s="60"/>
      <c r="V472" s="60"/>
      <c r="W472" s="61"/>
      <c r="X472" s="60"/>
      <c r="Y472" s="60"/>
      <c r="Z472" s="60"/>
      <c r="AA472" s="60"/>
      <c r="AB472" s="60"/>
      <c r="AC472" s="60"/>
      <c r="AD472" s="66"/>
      <c r="AE472" s="60"/>
      <c r="AF472" s="61" t="str">
        <f aca="false">IF(AND(ISNUMBER(X472),ISNUMBER(Y472)),Y472-X472,"")</f>
        <v/>
      </c>
      <c r="AG472" s="62" t="str">
        <f aca="false">IF(ISNUMBER(AD472),AD472-(IF(AND(INDEX(TZ_DSTS,MATCH(P472,TZ_STN,0))&lt;&gt;"",(AD472-INDEX(TZ_STD,MATCH(P472,TZ_STN,0))/24)&gt;=INDEX(TZ_DSTS,MATCH(P472,TZ_STN,0)),(AD472-INDEX(TZ_STD,MATCH(P472,TZ_STN,0))/24)&lt;INDEX(TZ_DSTE,MATCH(P472,TZ_STN,0))),INDEX(TZ_DST,MATCH(P472,TZ_STN,0)),INDEX(TZ_STD,MATCH(P472,TZ_STN,0))))/24,"")</f>
        <v/>
      </c>
      <c r="AH472" s="65" t="str">
        <f aca="false">IFERROR(IF(N472="N/A – rule",IF(OR(TRIM(U472)="",TRIM(U472)="N/A",TRIM(U472)="Not started"),"N/A – RULE","INVALID – this check does not apply to this aircraft: clear the status (or correct the fleet on Flights)"),IF(TRIM(U472)="N/A",IF(AT472=0,"INVALID – N/A not permitted for this check",IF(AND(TRIM(AB472)&lt;&gt;"",TRIM(AB472)&lt;&gt;"Closed"),"INVALID – corrective action still open",IF(AND(NOT(OR(LEN(AZ472)&lt;15,ISNUMBER(MATCH(AZ472,L_Placeholder,0)))),BK472=0,CG472&gt;=8,NOT(OR(LEN(AU472)&lt;2,ISNUMBER(MATCH(AU472,L_Placeholder,0)))),BR472&gt;=3,NOT(OR(LEN(AX472)&lt;2,ISNUMBER(MATCH(AX472,L_Placeholder,0)))),BS472&gt;=3,TRIM(AE472)&lt;&gt;TRIM(T472),AX472&lt;&gt;AU472,CE472=0),"N/A – JUSTIFIED","INVALID – N/A needs a real, settled reason (not 'not applicable' / 'as above' / TBC), a named PIC and a different named verifier"))),IF(OR(TRIM(U472)="Pass",TRIM(U472)="Pass after CA"),IF(NOT(ISNUMBER(AD472)),"INVALID – completion time missing",IF(OR(OR(LEN(AU472)&lt;2,ISNUMBER(MATCH(AU472,L_Placeholder,0))),BR472&lt;3),"INVALID – PIC missing or not a named person (a role such as QA / CSM is not a name)",IF(OR(LEN(AV472)&lt;2,ISNUMBER(MATCH(AV472,L_Placeholder,0))),"INVALID – result / assessment missing",IF(OR(OR(LEN(AW472)&lt;3,ISNUMBER(MATCH(AW472,L_Placeholder,0))),SUMPRODUCT(--ISNUMBER(SEARCH(" "&amp;L_EvidencePhrase&amp;" ",BD472)))&gt;0,BI472=1),"INVALID – evidence missing, placeholder or not yet on file",IF(ISNA(MATCH(TRIM(S472),L_EvidenceType,0)),"INVALID – choose the evidence type from the list (column S)",IF(BL472=0,"INVALID – evidence ID must be the record's own ID only (e.g. SF-2210, IMG_2231, 1045521); a link / file name needs type 'Link / file path'",IF(OR(OR(LEN(AX472)&lt;2,ISNUMBER(MATCH(AX472,L_Placeholder,0))),BS472&lt;3),"INVALID – verifier missing or not a named person (a role such as QA / CSM is not a name)",IF(OR(AX472=AU472,CE472=1,AND(LEN(AU472)&gt;=4,ISNUMBER(SEARCH(AU472,AX472))),AND(LEN(AX472)&gt;=4,ISNUMBER(SEARCH(AX472,AU472)))),"INVALID – verifier must be a different, named person (not the PIC or a role)",IF(BH472=1,"INVALID – result not yet available (awaiting / TBC)",IF(BG472=1,"INVALID – result describes a problem: record Fail, then Pass after CA (or reword if it is not a problem)",IF(BV472=1,"INVALID – wording says not on board: an on-board confirmation needs the item loaded",IF(AND(AQ472=1,OR(OR(LEN(AY472)&lt;3,ISNUMBER(MATCH(AY472,L_Placeholder,0))),BJ472=1,BQ472=0)),"INVALID – batch ID missing, placeholder or not an ID (e.g. PASB-261008-BC-017)",IF(AND(AR472=1,OR(NOT(ISNUMBER(X472)),NOT(ISNUMBER(Y472)))),"INVALID – expected/actual qty missing",IF(AND(AR472=1,OR(X472&lt;=0,Y472&lt;0)),"INVALID – expected qty must be above 0 and actual not negative",IF(BB472&lt;&gt;"",BB472,IF(AND(AS472=1,Documents!$J$18&lt;&gt;"ON FILE"),"INVALID – GLD not on file (Documents sheet)",IF(AND(AS472=2,Documents!$O$18&lt;&gt;"ON FILE"),"INVALID – menu checklist not on file (Documents sheet)",IF(AND(AS472=3,NOT(ISNUMBER(Flights!$AX$18))),"INVALID – enter carrying flight KUL departure (Flights AX)",IF(AND(AS472=3,OR(Flights!$AZ$18&gt;Flights!$AA$18,Flights!$AX$18&lt;Flights!$AA$18-3)),"INVALID – carrying flight (Flights AX) cannot arrive before this leg's STD, or is over 3 days early",IF(AG472&gt;AsOfUTC,"INVALID – completion time is in the future",IF(AND(ISNUMBER(BY472),AG472&lt;BY472),IF(H472="Physical uplift","INVALID – before uplift window (cannot confirm loading)","INVALID – before valid window"),IF(AG472&gt;Flights!$AA$18,"INVALID – completed after departure (cannot establish readiness)",IF(AND(H472="Preparation",AG472&gt;=IF(ISNUMBER(Flights!$BA$18),MIN(Flights!$BA$18,Flights!$AA$18),Flights!$AA$18)),"INVALID – completed after loading / departure (cannot establish readiness)",IF(AND(H472="Physical uplift",AG472&gt;Q472),"INVALID – recorded after the loading flight departed",IF(AG472&gt;Q472,"COMPLETE – LATE","COMPLETE"))))))))))))))))))))))))),IF(TRIM(U472)="Fail","FAIL – DISCREPANCY",IF(AND(TRIM(U472)&lt;&gt;"",TRIM(U472)&lt;&gt;"Not started",TRIM(U472)&lt;&gt;"In progress"),"INVALID – unrecognised status (use the list)",IF(AsOfUTC&gt;Q472,"OVERDUE",IF(N472="Clarification required","OPEN – CLARIFICATION","OPEN"))))))),"INVALID – error value in an input cell")</f>
        <v>OPEN</v>
      </c>
      <c r="AI472" s="61" t="n">
        <f aca="false">IF(OR(AH472="N/A – RULE",AH472="N/A – JUSTIFIED"),0,1)</f>
        <v>1</v>
      </c>
      <c r="AJ472" s="61" t="n">
        <f aca="false">IF(LEFT(AH472,8)="COMPLETE",1,0)</f>
        <v>0</v>
      </c>
      <c r="AK472" s="61" t="n">
        <f aca="false">IF(AND(AI472=1,AJ472=0,AsOfUTC&gt;Q472),1,0)</f>
        <v>0</v>
      </c>
      <c r="AL472" s="61" t="n">
        <f aca="false">IFERROR(IF(AND(AI472=1,OR(TRIM(U472)="Fail",AND(TRIM(AB472)&lt;&gt;"",TRIM(AB472)&lt;&gt;"Closed"),AND(ISNUMBER(AF472),AF472&lt;&gt;0,TRIM(U472)&lt;&gt;"Pass after CA"))),1,0),1)</f>
        <v>0</v>
      </c>
      <c r="AM472" s="61" t="n">
        <f aca="false">IF(LEFT(AH472,7)="INVALID",1,0)</f>
        <v>0</v>
      </c>
      <c r="AN472" s="61" t="n">
        <f aca="false">IF(AND(N472="Clarification required",AI472=1,AJ472=0),1,0)</f>
        <v>0</v>
      </c>
      <c r="AO472" s="61" t="str">
        <f aca="false">IF(AK472=1,SUM(AK$5:AK472),"")</f>
        <v/>
      </c>
      <c r="AP472" s="61" t="str">
        <f aca="false">IF(AL472=1,SUM(AL$5:AL472),"")</f>
        <v/>
      </c>
      <c r="AQ472" s="61" t="n">
        <v>0</v>
      </c>
      <c r="AR472" s="61" t="n">
        <v>0</v>
      </c>
      <c r="AS472" s="61" t="n">
        <v>0</v>
      </c>
      <c r="AT472" s="61" t="n">
        <v>0</v>
      </c>
      <c r="AU472" s="61" t="str">
        <f aca="false">SUBSTITUTE(SUBSTITUTE(SUBSTITUTE(SUBSTITUTE(SUBSTITUTE(SUBSTITUTE(SUBSTITUTE(SUBSTITUTE(SUBSTITUTE(SUBSTITUTE(SUBSTITUTE(SUBSTITUTE(SUBSTITUTE(SUBSTITUTE(SUBSTITUTE(SUBSTITUTE(LOWER(T472&amp;""),CHAR(10),""),CHAR(13),""),CHAR(9),""),CHAR(160),"")," ",""),".",""),"-",""),"/",""),"?",""),"_",""),",",""),"[",""),"]",""),"(",""),")",""),"*","")</f>
        <v/>
      </c>
      <c r="AV472" s="61" t="str">
        <f aca="false">SUBSTITUTE(SUBSTITUTE(SUBSTITUTE(SUBSTITUTE(SUBSTITUTE(SUBSTITUTE(SUBSTITUTE(SUBSTITUTE(SUBSTITUTE(SUBSTITUTE(SUBSTITUTE(SUBSTITUTE(SUBSTITUTE(SUBSTITUTE(SUBSTITUTE(SUBSTITUTE(LOWER(V472&amp;""),CHAR(10),""),CHAR(13),""),CHAR(9),""),CHAR(160),"")," ",""),".",""),"-",""),"/",""),"?",""),"_",""),",",""),"[",""),"]",""),"(",""),")",""),"*","")</f>
        <v/>
      </c>
      <c r="AW472" s="61" t="str">
        <f aca="false">SUBSTITUTE(SUBSTITUTE(SUBSTITUTE(SUBSTITUTE(SUBSTITUTE(SUBSTITUTE(SUBSTITUTE(SUBSTITUTE(SUBSTITUTE(SUBSTITUTE(SUBSTITUTE(SUBSTITUTE(SUBSTITUTE(SUBSTITUTE(SUBSTITUTE(SUBSTITUTE(LOWER(Z472&amp;""),CHAR(10),""),CHAR(13),""),CHAR(9),""),CHAR(160),"")," ",""),".",""),"-",""),"/",""),"?",""),"_",""),",",""),"[",""),"]",""),"(",""),")",""),"*","")</f>
        <v/>
      </c>
      <c r="AX472" s="61" t="str">
        <f aca="false">SUBSTITUTE(SUBSTITUTE(SUBSTITUTE(SUBSTITUTE(SUBSTITUTE(SUBSTITUTE(SUBSTITUTE(SUBSTITUTE(SUBSTITUTE(SUBSTITUTE(SUBSTITUTE(SUBSTITUTE(SUBSTITUTE(SUBSTITUTE(SUBSTITUTE(SUBSTITUTE(LOWER(AE472&amp;""),CHAR(10),""),CHAR(13),""),CHAR(9),""),CHAR(160),"")," ",""),".",""),"-",""),"/",""),"?",""),"_",""),",",""),"[",""),"]",""),"(",""),")",""),"*","")</f>
        <v/>
      </c>
      <c r="AY472" s="61" t="str">
        <f aca="false">SUBSTITUTE(SUBSTITUTE(SUBSTITUTE(SUBSTITUTE(SUBSTITUTE(SUBSTITUTE(SUBSTITUTE(SUBSTITUTE(SUBSTITUTE(SUBSTITUTE(SUBSTITUTE(SUBSTITUTE(SUBSTITUTE(SUBSTITUTE(SUBSTITUTE(SUBSTITUTE(LOWER(W472&amp;""),CHAR(10),""),CHAR(13),""),CHAR(9),""),CHAR(160),"")," ",""),".",""),"-",""),"/",""),"?",""),"_",""),",",""),"[",""),"]",""),"(",""),")",""),"*","")</f>
        <v/>
      </c>
      <c r="AZ472" s="61" t="str">
        <f aca="false">SUBSTITUTE(SUBSTITUTE(SUBSTITUTE(SUBSTITUTE(SUBSTITUTE(SUBSTITUTE(SUBSTITUTE(SUBSTITUTE(SUBSTITUTE(SUBSTITUTE(SUBSTITUTE(SUBSTITUTE(SUBSTITUTE(SUBSTITUTE(SUBSTITUTE(SUBSTITUTE(LOWER(AC472&amp;""),CHAR(10),""),CHAR(13),""),CHAR(9),""),CHAR(160),"")," ",""),".",""),"-",""),"/",""),"?",""),"_",""),",",""),"[",""),"]",""),"(",""),")",""),"*","")</f>
        <v/>
      </c>
      <c r="BA472" s="61" t="str">
        <f aca="false">SUBSTITUTE(SUBSTITUTE(SUBSTITUTE(SUBSTITUTE(SUBSTITUTE(SUBSTITUTE(SUBSTITUTE(SUBSTITUTE(SUBSTITUTE(SUBSTITUTE(SUBSTITUTE(SUBSTITUTE(SUBSTITUTE(SUBSTITUTE(SUBSTITUTE(SUBSTITUTE(LOWER(AA472&amp;""),CHAR(10),""),CHAR(13),""),CHAR(9),""),CHAR(160),"")," ",""),".",""),"-",""),"/",""),"?",""),"_",""),",",""),"[",""),"]",""),"(",""),")",""),"*","")</f>
        <v/>
      </c>
      <c r="BB472" s="61" t="str">
        <f aca="false">IF(AND(TRIM(U472)="Pass",ISNUMBER(AF472)),IF(AF472&lt;&gt;0,"INVALID – qty variance: use Fail or Pass after CA",""),"")&amp;IF(AND(TRIM(U472)="Pass after CA",ISNUMBER(AF472)),IF(AF472&lt;&gt;0,"INVALID – after the corrective action the actual qty must equal expected (update Actual)",""),"")&amp;IF(AND(TRIM(U472)="Pass",TRIM(AB472)&lt;&gt;"",TRIM(AB472)&lt;&gt;"Closed"),"INVALID – corrective action not closed: use Fail, then Pass after CA","")&amp;IF(AND(LEN(BA472)&gt;=2,ISNA(MATCH(LEFT(BA472,255),L_Placeholder,0)),TRIM(AB472)=""),"INVALID – CA status missing for the recorded corrective action","")&amp;IF(AND(TRIM(U472)="Pass after CA",OR(OR(LEN(BA472)&lt;5,ISNUMBER(MATCH(BA472,L_Placeholder,0))),TRIM(AB472)&lt;&gt;"Closed")),"INVALID – corrective action not recorded/closed","")</f>
        <v/>
      </c>
      <c r="BC472" s="61" t="str">
        <f aca="false">" "&amp;TRIM(SUBSTITUTE(SUBSTITUTE(SUBSTITUTE(SUBSTITUTE(SUBSTITUTE(SUBSTITUTE(SUBSTITUTE(SUBSTITUTE(SUBSTITUTE(SUBSTITUTE(SUBSTITUTE(SUBSTITUTE(SUBSTITUTE(SUBSTITUTE(SUBSTITUTE(SUBSTITUTE(SUBSTITUTE(SUBSTITUTE(SUBSTITUTE(SUBSTITUTE(SUBSTITUTE(SUBSTITUTE(SUBSTITUTE(SUBSTITUTE(LOWER(V472&amp;""),CHAR(10)," "),CHAR(13)," "),CHAR(9)," "),CHAR(160)," "),"."," "),","," "),"-"," "),"/"," "),"("," "),")"," "),":"," "),";"," "),"_"," "),"–"," "),"?"," "),"!"," "),"*"," "),"["," "),"]"," "),"'"," "),"#"," "),"+"," "),"&amp;"," "),"\"," "))&amp;" "</f>
        <v>  </v>
      </c>
      <c r="BD472" s="61" t="str">
        <f aca="false">" "&amp;TRIM(SUBSTITUTE(SUBSTITUTE(SUBSTITUTE(SUBSTITUTE(SUBSTITUTE(SUBSTITUTE(SUBSTITUTE(SUBSTITUTE(SUBSTITUTE(SUBSTITUTE(SUBSTITUTE(SUBSTITUTE(SUBSTITUTE(SUBSTITUTE(SUBSTITUTE(SUBSTITUTE(SUBSTITUTE(SUBSTITUTE(SUBSTITUTE(SUBSTITUTE(SUBSTITUTE(SUBSTITUTE(SUBSTITUTE(SUBSTITUTE(LOWER(Z472&amp;""),CHAR(10)," "),CHAR(13)," "),CHAR(9)," "),CHAR(160)," "),"."," "),","," "),"-"," "),"/"," "),"("," "),")"," "),":"," "),";"," "),"_"," "),"–"," "),"?"," "),"!"," "),"*"," "),"["," "),"]"," "),"'"," "),"#"," "),"+"," "),"&amp;"," "),"\"," "))&amp;" "</f>
        <v>  </v>
      </c>
      <c r="BE472" s="61" t="str">
        <f aca="false">" "&amp;TRIM(SUBSTITUTE(SUBSTITUTE(SUBSTITUTE(SUBSTITUTE(SUBSTITUTE(SUBSTITUTE(SUBSTITUTE(SUBSTITUTE(SUBSTITUTE(SUBSTITUTE(SUBSTITUTE(SUBSTITUTE(SUBSTITUTE(SUBSTITUTE(SUBSTITUTE(SUBSTITUTE(SUBSTITUTE(SUBSTITUTE(SUBSTITUTE(SUBSTITUTE(SUBSTITUTE(SUBSTITUTE(SUBSTITUTE(SUBSTITUTE(LOWER(W472&amp;""),CHAR(10)," "),CHAR(13)," "),CHAR(9)," "),CHAR(160)," "),"."," "),","," "),"-"," "),"/"," "),"("," "),")"," "),":"," "),";"," "),"_"," "),"–"," "),"?"," "),"!"," "),"*"," "),"["," "),"]"," "),"'"," "),"#"," "),"+"," "),"&amp;"," "),"\"," "))&amp;" "</f>
        <v>  </v>
      </c>
      <c r="BF472" s="61" t="str">
        <f aca="false">" "&amp;TRIM(SUBSTITUTE(SUBSTITUTE(SUBSTITUTE(SUBSTITUTE(SUBSTITUTE(SUBSTITUTE(SUBSTITUTE(SUBSTITUTE(SUBSTITUTE(SUBSTITUTE(SUBSTITUTE(SUBSTITUTE(SUBSTITUTE(SUBSTITUTE(SUBSTITUTE(SUBSTITUTE(SUBSTITUTE(SUBSTITUTE(SUBSTITUTE(SUBSTITUTE(SUBSTITUTE(SUBSTITUTE(SUBSTITUTE(SUBSTITUTE(LOWER(AC472&amp;""),CHAR(10)," "),CHAR(13)," "),CHAR(9)," "),CHAR(160)," "),"."," "),","," "),"-"," "),"/"," "),"("," "),")"," "),":"," "),";"," "),"_"," "),"–"," "),"?"," "),"!"," "),"*"," "),"["," "),"]"," "),"'"," "),"#"," "),"+"," "),"&amp;"," "),"\"," "))&amp;" "</f>
        <v>  </v>
      </c>
      <c r="BG472" s="61" t="n">
        <f aca="false">IFERROR(IF(AND(TRIM(U472)="Pass",SUMPRODUCT((LEN(BC472)-LEN(SUBSTITUTE(BC472," "&amp;L_ResultBad&amp;" "," ")))/(LEN(L_ResultBad)+1))&gt;SUMPRODUCT((LEN(BC472)-LEN(SUBSTITUTE(BC472," "&amp;L_NegPhrase&amp;" "," ")))/(LEN(L_NegPhrase)+1))),1,0),0)</f>
        <v>0</v>
      </c>
      <c r="BH472" s="61" t="n">
        <f aca="false">IFERROR(IF(SUMPRODUCT((LEN(BC472)-LEN(SUBSTITUTE(BC472," "&amp;L_Pending&amp;" "," ")))/(LEN(L_Pending)+1))&gt;SUMPRODUCT((LEN(BC472)-LEN(SUBSTITUTE(BC472," "&amp;L_PendNeg&amp;" "," ")))/(LEN(L_PendNeg)+1))+SUMPRODUCT((LEN(BC472)-LEN(SUBSTITUTE(BC472," "&amp;L_PendPrep&amp;" "," ")))/(LEN(L_PendPrep)+1)),1,0),1)</f>
        <v>0</v>
      </c>
      <c r="BI472" s="61" t="n">
        <f aca="false">IFERROR(IF(SUMPRODUCT((LEN(BD472)-LEN(SUBSTITUTE(BD472," "&amp;L_PendStrict&amp;" "," ")))/(LEN(L_PendStrict)+1))&gt;SUMPRODUCT((LEN(BD472)-LEN(SUBSTITUTE(BD472," "&amp;L_PendNeg&amp;" "," ")))/(LEN(L_PendNeg)+1)),1,0),1)</f>
        <v>0</v>
      </c>
      <c r="BJ472" s="61" t="n">
        <f aca="false">IFERROR(IF(SUMPRODUCT((LEN(BE472)-LEN(SUBSTITUTE(BE472," "&amp;L_Pending&amp;" "," ")))/(LEN(L_Pending)+1))&gt;SUMPRODUCT((LEN(BE472)-LEN(SUBSTITUTE(BE472," "&amp;L_PendNeg&amp;" "," ")))/(LEN(L_PendNeg)+1))+SUMPRODUCT((LEN(BE472)-LEN(SUBSTITUTE(BE472," "&amp;L_PendPrep&amp;" "," ")))/(LEN(L_PendPrep)+1)),1,0),1)</f>
        <v>0</v>
      </c>
      <c r="BK472" s="61" t="n">
        <f aca="false">IFERROR(IF(SUMPRODUCT((LEN(BF472)-LEN(SUBSTITUTE(BF472," "&amp;L_PendStrict&amp;" "," ")))/(LEN(L_PendStrict)+1))&gt;SUMPRODUCT((LEN(BF472)-LEN(SUBSTITUTE(BF472," "&amp;L_PendNeg&amp;" "," ")))/(LEN(L_PendNeg)+1)),1,0),1)</f>
        <v>0</v>
      </c>
      <c r="BL472" s="61" t="n">
        <f aca="false">IF(ISNA(MATCH(TRIM(S472),L_EvidenceType,0)),0,BZ472)</f>
        <v>0</v>
      </c>
      <c r="BM472" s="61" t="str">
        <f aca="false">SUBSTITUTE(SUBSTITUTE(SUBSTITUTE(SUBSTITUTE(SUBSTITUTE(SUBSTITUTE(SUBSTITUTE(SUBSTITUTE(SUBSTITUTE(LOWER(Z472&amp;""),"1","0"),"2","0"),"3","0"),"4","0"),"5","0"),"6","0"),"7","0"),"8","0"),"9","0")</f>
        <v/>
      </c>
      <c r="BN472" s="61" t="str">
        <f aca="false">SUBSTITUTE(SUBSTITUTE(SUBSTITUTE(SUBSTITUTE(SUBSTITUTE(SUBSTITUTE(SUBSTITUTE(SUBSTITUTE(SUBSTITUTE(SUBSTITUTE(SUBSTITUTE(SUBSTITUTE(SUBSTITUTE(SUBSTITUTE(SUBSTITUTE(SUBSTITUTE(SUBSTITUTE(SUBSTITUTE(SUBSTITUTE(SUBSTITUTE(SUBSTITUTE(SUBSTITUTE(SUBSTITUTE(SUBSTITUTE(SUBSTITUTE(BM472,"b","a"),"c","a"),"d","a"),"e","a"),"f","a"),"g","a"),"h","a"),"i","a"),"j","a"),"k","a"),"l","a"),"m","a"),"n","a"),"o","a"),"p","a"),"q","a"),"r","a"),"s","a"),"t","a"),"u","a"),"v","a"),"w","a"),"x","a"),"y","a"),"z","a")</f>
        <v/>
      </c>
      <c r="BO472" s="61" t="str">
        <f aca="false">SUBSTITUTE(SUBSTITUTE(SUBSTITUTE(SUBSTITUTE(SUBSTITUTE(SUBSTITUTE(SUBSTITUTE(SUBSTITUTE(SUBSTITUTE(LOWER(W472&amp;""),"1","0"),"2","0"),"3","0"),"4","0"),"5","0"),"6","0"),"7","0"),"8","0"),"9","0")</f>
        <v/>
      </c>
      <c r="BP472" s="61" t="str">
        <f aca="false">SUBSTITUTE(SUBSTITUTE(SUBSTITUTE(SUBSTITUTE(SUBSTITUTE(SUBSTITUTE(SUBSTITUTE(SUBSTITUTE(SUBSTITUTE(SUBSTITUTE(SUBSTITUTE(SUBSTITUTE(SUBSTITUTE(SUBSTITUTE(SUBSTITUTE(SUBSTITUTE(SUBSTITUTE(SUBSTITUTE(SUBSTITUTE(SUBSTITUTE(SUBSTITUTE(SUBSTITUTE(SUBSTITUTE(SUBSTITUTE(SUBSTITUTE(BO472,"b","a"),"c","a"),"d","a"),"e","a"),"f","a"),"g","a"),"h","a"),"i","a"),"j","a"),"k","a"),"l","a"),"m","a"),"n","a"),"o","a"),"p","a"),"q","a"),"r","a"),"s","a"),"t","a"),"u","a"),"v","a"),"w","a"),"x","a"),"y","a"),"z","a")</f>
        <v/>
      </c>
      <c r="BQ472" s="61" t="n">
        <f aca="false">IFERROR(IF(AND(ISERROR(SEARCH(" mh"," "&amp;LOWER(W472))),ISNA(MATCH(LEFT(TRIM(BP472),255),{"0000a","000a","00a","0000aa","000aa","00aa","0aa","0000aaa","000aaa","00a00","0a00","0000-0000","00:00","a00","a0","00.00.0000","00/00/0000","00-00-0000","0000-00-00","0000/00/00","0000.00.00","00.00.00","00/00/00","00-00-00","0.00.0000","0/00/0000","0-00-0000"},0)),ISNA(MATCH(LEFT(TRIM(CA472),255),{"0000a","000a","00a","0000aa","000aa","00aa","0aa","0000aaa","000aaa","00a00","0a00","0000-0000","00:00","a00","a0","00.00.0000","00/00/0000","00-00-0000","0000-00-00","0000/00/00","0000.00.00","00.00.00","00/00/00","00-00-00","0.00.0000","0/00/0000","0-00-0000"},0)),LEN(CB472)&gt;=3,NOT(OR(SUBSTITUTE(CB472,"0","")="",AND(LEN(CB472)&gt;=4,CB472=REPT(LEFT(CB472),LEN(CB472))),ISNUMBER(MATCH(CB472,{"123","1234","12345","123456","1234567","12345678","0123","01234","012345","98765","987654","54321"},0)),AND(LEN(CB472)=8,LEFT(CB472,3)="202"))),OR(AND((LEN(CA472)-LEN(SUBSTITUTE(CA472,"a","")))&gt;=1,SUMPRODUCT(--ISNUMBER(SEARCH({"a0","a-0","a_0","a/0","a.0","a#0","0a","0-a","0_a","0/a"},BP472)))&gt;0),ISNUMBER(SEARCH("000000",BP472)))),1,0),0)</f>
        <v>0</v>
      </c>
      <c r="BR472" s="61" t="n">
        <f aca="false">IFERROR(LEN(SUBSTITUTE(CC472," ",""))-SUMPRODUCT((LEN(CC472)-LEN(SUBSTITUTE(CC472," "&amp;L_Role&amp;" "," ")))/(LEN(L_Role)+1)*LEN(L_Role)),0)</f>
        <v>0</v>
      </c>
      <c r="BS472" s="61" t="n">
        <f aca="false">IFERROR(LEN(SUBSTITUTE(CD472," ",""))-SUMPRODUCT((LEN(CD472)-LEN(SUBSTITUTE(CD472," "&amp;L_Role&amp;" "," ")))/(LEN(L_Role)+1)*LEN(L_Role)),0)</f>
        <v>0</v>
      </c>
      <c r="BT4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472,"revision",""),"version",""),"jan",""),"feb",""),"mar",""),"apr",""),"may",""),"jun",""),"jul",""),"aug",""),"sep",""),"oct",""),"nov",""),"dec",""),"utc",""),"gmt",""),"myt",""),"bst",""),"rev",""),"ver",""),"b","a"),"c","a"),"d","a"),"e","a"),"f","a"),"g","a"),"h","a"),"i","a"),"j","a"),"k","a"),"l","a"),"m","a"),"n","a"),"o","a"),"p","a"),"q","a"),"r","a"),"s","a"),"t","a"),"u","a"),"v","a"),"w","a"),"x","a"),"y","a"),"z","a")</f>
        <v/>
      </c>
      <c r="BU472" s="61" t="str">
        <f aca="false">SUBSTITUTE(SUBSTITUTE(SUBSTITUTE(SUBSTITUTE(SUBSTITUTE(SUBSTITUTE(SUBSTITUTE(SUBSTITUTE(SUBSTITUTE(SUBSTITUTE(LEFT(BM472,FIND("0",BM472&amp;"0")-1),"-",""),"_",""),"/",""),".",""),"#",""),"\\",""),":","")," ",""),"(",""),")","")</f>
        <v/>
      </c>
      <c r="BV472" s="61" t="n">
        <f aca="false">0</f>
        <v>0</v>
      </c>
      <c r="BW4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472&amp;""),"a",""),"b",""),"c",""),"d",""),"e",""),"f",""),"g",""),"h",""),"i",""),"j",""),"k",""),"l",""),"m",""),"n",""),"o",""),"p",""),"q",""),"r",""),"s",""),"t",""),"u",""),"v",""),"w",""),"x",""),"y",""),"z",""),"-",""),"_",""),"/",""),".",""),"#",""),"\\",""),":","")," ",""),"(",""),")","")</f>
        <v/>
      </c>
      <c r="BX472" s="61" t="str">
        <f aca="false">SUBSTITUTE(SUBSTITUTE(SUBSTITUTE(SUBSTITUTE(SUBSTITUTE(SUBSTITUTE(SUBSTITUTE(SUBSTITUTE(SUBSTITUTE(SUBSTITUTE(SUBSTITUTE(BM472,"0",""),"-",""),"_",""),"/",""),".",""),"#",""),"\\",""),":","")," ",""),"(",""),")","")</f>
        <v/>
      </c>
      <c r="BY472" s="62" t="n">
        <f aca="false">Q472-T12EarlyH/24</f>
        <v>46309.0763888889</v>
      </c>
      <c r="BZ472" s="61" t="n">
        <f aca="false">IFERROR(IF(IF(TRIM(S472)="Link / file path",AND(LEN(TRIM(Z472))&gt;=5,SUMPRODUCT(--ISNUMBER(SEARCH({"http","www.","\\",":\",".pdf",".jpg",".jpeg",".png",".heic",".xls",".doc",".msg",".eml",".ppt",".txt",".zip"},Z472)))&gt;0),AND(ISERROR(FIND(" ",TRIM(Z472))),NOT(OR(SUMPRODUCT(--ISNUMBER(FIND({",",";","&amp;","+"},Z472)))&gt;0,SUMPRODUCT(--ISNUMBER(SEARCH({"0/aa","0\\aa"},BN472)))&gt;0)),NOT(SUMPRODUCT(--ISNUMBER(SEARCH({"http","www.","\\",":\",".pdf",".jpg",".jpeg",".png",".heic",".xls",".doc",".msg",".eml",".ppt",".txt",".zip"},Z472)))&gt;0),NOT(LOWER(TRIM(Z472))=LOWER(Flights!$F$18)),ISNA(MATCH(BU472,{"mh","rev","revision","ver","version","v","r","a","b","seat","tray","row","gate","bay","stand","page","pg","item","line","no","cart","galley","flight","flt","table","box","bag","oven","etd","eta","std","sta","atd","ata","qty","pax","x","time","tel","ph","mob","day","wk","week","utc","gmt","myt","lt"},0)),NOT(OR(ISNUMBER(MATCH(LEFT(BN472,255),{"0000a","000a","00a","0000aa","000aa","00aa","0aa","0000aaa","000aaa","00a00","0a00","0000-0000","00:00","a00","a0","00.00.0000","00/00/0000","00-00-0000","0000-00-00","0000/00/00","0000.00.00","00.00.00","00/00/00","00-00-00","0.00.0000","0/00/0000","0-00-0000"},0)),ISNUMBER(MATCH(LEFT(BT472,255),{"0000a","000a","00a","0000aa","000aa","00aa","0aa","0000aaa","000aaa","00a00","0a00","0000-0000","00:00","a00","a0","00.00.0000","00/00/0000","00-00-0000","0000-00-00","0000/00/00","0000.00.00","00.00.00","00/00/00","00-00-00","0.00.0000","0/00/0000","0-00-0000"},0)))),NOT(OR(AND(BW472&lt;&gt;"",SUBSTITUTE(BW472,"0","")=""),AND(LEN(BW472)&gt;=4,BW472=REPT(LEFT(BW472),LEN(BW472))),ISNUMBER(MATCH(BW472,{"123","1234","12345","123456","1234567","12345678","0123","01234","012345","98765","987654","54321"},0)),ISNUMBER(MATCH(BX472,{"x","xx","xxx","xxxx","xxxxx","abc","abcd","nil","na","nan","test","tbc","tba","tbd","dummy","sample","example","eg","zz","zzz","none","null","xyz","qwe","asd","id","ref"},0)),AND(LEN(BW472)=8,BX472="",OR(LEFT(BW472,3)="202",ISNUMBER(MATCH(RIGHT(BW472,4),{"2025","2026","2027"},0)))))),OR(AND((LEN(BT472)-LEN(SUBSTITUTE(BT472,"a","")))&gt;=1,(LEN(BN472)-LEN(SUBSTITUTE(BN472,"0","")))&gt;=2,SUMPRODUCT(--ISNUMBER(SEARCH({"a0","a-0","a_0","a/0","a.0","a#0","0a","0-a","0_a","0/a"},BN472)))&gt;0),AND((LEN(BN472)-LEN(SUBSTITUTE(BN472,"a","")))=0,(LEN(BN472)-LEN(SUBSTITUTE(BN472,"0","")))&gt;=5)))),1,0),0)</f>
        <v>0</v>
      </c>
      <c r="CA4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472,"revision",""),"version",""),"jan",""),"feb",""),"mar",""),"apr",""),"may",""),"jun",""),"jul",""),"aug",""),"sep",""),"oct",""),"nov",""),"dec",""),"utc",""),"gmt",""),"myt",""),"bst",""),"rev",""),"ver",""),"b","a"),"c","a"),"d","a"),"e","a"),"f","a"),"g","a"),"h","a"),"i","a"),"j","a"),"k","a"),"l","a"),"m","a"),"n","a"),"o","a"),"p","a"),"q","a"),"r","a"),"s","a"),"t","a"),"u","a"),"v","a"),"w","a"),"x","a"),"y","a"),"z","a")</f>
        <v/>
      </c>
      <c r="CB4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472&amp;""),"a",""),"b",""),"c",""),"d",""),"e",""),"f",""),"g",""),"h",""),"i",""),"j",""),"k",""),"l",""),"m",""),"n",""),"o",""),"p",""),"q",""),"r",""),"s",""),"t",""),"u",""),"v",""),"w",""),"x",""),"y",""),"z",""),"-",""),"_",""),"/",""),".",""),"#",""),"\\",""),":","")," ",""),"(",""),")","")</f>
        <v/>
      </c>
      <c r="CC472" s="0" t="str">
        <f aca="false">" "&amp;TRIM(SUBSTITUTE(SUBSTITUTE(SUBSTITUTE(SUBSTITUTE(SUBSTITUTE(SUBSTITUTE(SUBSTITUTE(SUBSTITUTE(SUBSTITUTE(SUBSTITUTE(SUBSTITUTE(SUBSTITUTE(SUBSTITUTE(SUBSTITUTE(SUBSTITUTE(SUBSTITUTE(SUBSTITUTE(SUBSTITUTE(SUBSTITUTE(SUBSTITUTE(SUBSTITUTE(SUBSTITUTE(SUBSTITUTE(SUBSTITUTE(LOWER(T472&amp;""),CHAR(10)," "),CHAR(13)," "),CHAR(9)," "),CHAR(160)," "),"."," "),","," "),"-"," "),"/"," "),"("," "),")"," "),":"," "),";"," "),"_"," "),"–"," "),"?"," "),"!"," "),"*"," "),"["," "),"]"," "),"'"," "),"#"," "),"+"," "),"&amp;"," "),"\"," "))&amp;" "</f>
        <v>  </v>
      </c>
      <c r="CD472" s="0" t="str">
        <f aca="false">" "&amp;TRIM(SUBSTITUTE(SUBSTITUTE(SUBSTITUTE(SUBSTITUTE(SUBSTITUTE(SUBSTITUTE(SUBSTITUTE(SUBSTITUTE(SUBSTITUTE(SUBSTITUTE(SUBSTITUTE(SUBSTITUTE(SUBSTITUTE(SUBSTITUTE(SUBSTITUTE(SUBSTITUTE(SUBSTITUTE(SUBSTITUTE(SUBSTITUTE(SUBSTITUTE(SUBSTITUTE(SUBSTITUTE(SUBSTITUTE(SUBSTITUTE(LOWER(AE472&amp;""),CHAR(10)," "),CHAR(13)," "),CHAR(9)," "),CHAR(160)," "),"."," "),","," "),"-"," "),"/"," "),"("," "),")"," "),":"," "),";"," "),"_"," "),"–"," "),"?"," "),"!"," "),"*"," "),"["," "),"]"," "),"'"," "),"#"," "),"+"," "),"&amp;"," "),"\"," "))&amp;" "</f>
        <v>  </v>
      </c>
      <c r="CE472" s="68" t="n">
        <f aca="false">IFERROR(IF(AND(LEN(AU472)&gt;0,LEN(AU472)=LEN(AX472),OR(TRIM(MID(SUBSTITUTE(TRIM(CC472)," ",REPT(" ",60)),1,60))="",ISNUMBER(SEARCH(" "&amp;TRIM(MID(SUBSTITUTE(TRIM(CC472)," ",REPT(" ",60)),1,60))&amp;" ",CD472))),OR(TRIM(MID(SUBSTITUTE(TRIM(CC472)," ",REPT(" ",60)),61,60))="",ISNUMBER(SEARCH(" "&amp;TRIM(MID(SUBSTITUTE(TRIM(CC472)," ",REPT(" ",60)),61,60))&amp;" ",CD472))),OR(TRIM(MID(SUBSTITUTE(TRIM(CC472)," ",REPT(" ",60)),121,60))="",ISNUMBER(SEARCH(" "&amp;TRIM(MID(SUBSTITUTE(TRIM(CC472)," ",REPT(" ",60)),121,60))&amp;" ",CD472)))),1,0),0)</f>
        <v>0</v>
      </c>
      <c r="CG472" s="68" t="n">
        <f aca="false">IFERROR(LEN(SUBSTITUTE(BF472," ",""))-SUMPRODUCT((LEN(BF472)-LEN(SUBSTITUTE(BF472," "&amp;L_NAFiller&amp;" "," ")))/(LEN(L_NAFiller)+1)*LEN(L_NAFiller)),0)</f>
        <v>0</v>
      </c>
    </row>
    <row r="473" customFormat="false" ht="116.25" hidden="false" customHeight="true" outlineLevel="0" collapsed="false">
      <c r="A473" s="57" t="s">
        <v>1120</v>
      </c>
      <c r="B473" s="57" t="s">
        <v>276</v>
      </c>
      <c r="C473" s="57" t="str">
        <f aca="false">Flights!$F$18</f>
        <v>MH0004</v>
      </c>
      <c r="D473" s="58" t="n">
        <f aca="false">Flights!$D$18</f>
        <v>46310</v>
      </c>
      <c r="E473" s="57" t="str">
        <f aca="false">Flights!$G$18&amp;"-"&amp;Flights!$H$18</f>
        <v>KUL-LHR</v>
      </c>
      <c r="F473" s="57" t="str">
        <f aca="false">Flights!$K$18</f>
        <v>EY</v>
      </c>
      <c r="G473" s="57" t="s">
        <v>420</v>
      </c>
      <c r="H473" s="57" t="s">
        <v>378</v>
      </c>
      <c r="I473" s="57" t="s">
        <v>440</v>
      </c>
      <c r="J473" s="57" t="s">
        <v>441</v>
      </c>
      <c r="K473" s="67" t="s">
        <v>501</v>
      </c>
      <c r="L473" s="67" t="s">
        <v>443</v>
      </c>
      <c r="M473" s="67" t="s">
        <v>726</v>
      </c>
      <c r="N473" s="67" t="s">
        <v>444</v>
      </c>
      <c r="O473" s="67" t="s">
        <v>1121</v>
      </c>
      <c r="P473" s="57" t="s">
        <v>187</v>
      </c>
      <c r="Q473" s="59" t="n">
        <f aca="false">ROUND((Flights!$AE$18)*1440,0)/1440</f>
        <v>46309.5763888889</v>
      </c>
      <c r="R473" s="59" t="n">
        <f aca="false">Q473+(IF(AND(INDEX(TZ_DSTS,MATCH(P473,TZ_STN,0))&lt;&gt;"",Q473&gt;=INDEX(TZ_DSTS,MATCH(P473,TZ_STN,0)),Q473&lt;INDEX(TZ_DSTE,MATCH(P473,TZ_STN,0))),INDEX(TZ_DST,MATCH(P473,TZ_STN,0)),INDEX(TZ_STD,MATCH(P473,TZ_STN,0))))/24</f>
        <v>46309.9097222222</v>
      </c>
      <c r="S473" s="60"/>
      <c r="T473" s="60"/>
      <c r="U473" s="60"/>
      <c r="V473" s="60"/>
      <c r="W473" s="61"/>
      <c r="X473" s="60"/>
      <c r="Y473" s="60"/>
      <c r="Z473" s="60"/>
      <c r="AA473" s="60"/>
      <c r="AB473" s="60"/>
      <c r="AC473" s="60"/>
      <c r="AD473" s="66"/>
      <c r="AE473" s="60"/>
      <c r="AF473" s="61" t="str">
        <f aca="false">IF(AND(ISNUMBER(X473),ISNUMBER(Y473)),Y473-X473,"")</f>
        <v/>
      </c>
      <c r="AG473" s="62" t="str">
        <f aca="false">IF(ISNUMBER(AD473),AD473-(IF(AND(INDEX(TZ_DSTS,MATCH(P473,TZ_STN,0))&lt;&gt;"",(AD473-INDEX(TZ_STD,MATCH(P473,TZ_STN,0))/24)&gt;=INDEX(TZ_DSTS,MATCH(P473,TZ_STN,0)),(AD473-INDEX(TZ_STD,MATCH(P473,TZ_STN,0))/24)&lt;INDEX(TZ_DSTE,MATCH(P473,TZ_STN,0))),INDEX(TZ_DST,MATCH(P473,TZ_STN,0)),INDEX(TZ_STD,MATCH(P473,TZ_STN,0))))/24,"")</f>
        <v/>
      </c>
      <c r="AH473" s="65" t="str">
        <f aca="false">IFERROR(IF(N473="N/A – rule",IF(OR(TRIM(U473)="",TRIM(U473)="N/A",TRIM(U473)="Not started"),"N/A – RULE","INVALID – this check does not apply to this aircraft: clear the status (or correct the fleet on Flights)"),IF(TRIM(U473)="N/A",IF(AT473=0,"INVALID – N/A not permitted for this check",IF(AND(TRIM(AB473)&lt;&gt;"",TRIM(AB473)&lt;&gt;"Closed"),"INVALID – corrective action still open",IF(AND(NOT(OR(LEN(AZ473)&lt;15,ISNUMBER(MATCH(AZ473,L_Placeholder,0)))),BK473=0,CG473&gt;=8,NOT(OR(LEN(AU473)&lt;2,ISNUMBER(MATCH(AU473,L_Placeholder,0)))),BR473&gt;=3,NOT(OR(LEN(AX473)&lt;2,ISNUMBER(MATCH(AX473,L_Placeholder,0)))),BS473&gt;=3,TRIM(AE473)&lt;&gt;TRIM(T473),AX473&lt;&gt;AU473,CE473=0),"N/A – JUSTIFIED","INVALID – N/A needs a real, settled reason (not 'not applicable' / 'as above' / TBC), a named PIC and a different named verifier"))),IF(OR(TRIM(U473)="Pass",TRIM(U473)="Pass after CA"),IF(NOT(ISNUMBER(AD473)),"INVALID – completion time missing",IF(OR(OR(LEN(AU473)&lt;2,ISNUMBER(MATCH(AU473,L_Placeholder,0))),BR473&lt;3),"INVALID – PIC missing or not a named person (a role such as QA / CSM is not a name)",IF(OR(LEN(AV473)&lt;2,ISNUMBER(MATCH(AV473,L_Placeholder,0))),"INVALID – result / assessment missing",IF(OR(OR(LEN(AW473)&lt;3,ISNUMBER(MATCH(AW473,L_Placeholder,0))),SUMPRODUCT(--ISNUMBER(SEARCH(" "&amp;L_EvidencePhrase&amp;" ",BD473)))&gt;0,BI473=1),"INVALID – evidence missing, placeholder or not yet on file",IF(ISNA(MATCH(TRIM(S473),L_EvidenceType,0)),"INVALID – choose the evidence type from the list (column S)",IF(BL473=0,"INVALID – evidence ID must be the record's own ID only (e.g. SF-2210, IMG_2231, 1045521); a link / file name needs type 'Link / file path'",IF(OR(OR(LEN(AX473)&lt;2,ISNUMBER(MATCH(AX473,L_Placeholder,0))),BS473&lt;3),"INVALID – verifier missing or not a named person (a role such as QA / CSM is not a name)",IF(OR(AX473=AU473,CE473=1,AND(LEN(AU473)&gt;=4,ISNUMBER(SEARCH(AU473,AX473))),AND(LEN(AX473)&gt;=4,ISNUMBER(SEARCH(AX473,AU473)))),"INVALID – verifier must be a different, named person (not the PIC or a role)",IF(BH473=1,"INVALID – result not yet available (awaiting / TBC)",IF(BG473=1,"INVALID – result describes a problem: record Fail, then Pass after CA (or reword if it is not a problem)",IF(BV473=1,"INVALID – wording says not on board: an on-board confirmation needs the item loaded",IF(AND(AQ473=1,OR(OR(LEN(AY473)&lt;3,ISNUMBER(MATCH(AY473,L_Placeholder,0))),BJ473=1,BQ473=0)),"INVALID – batch ID missing, placeholder or not an ID (e.g. PASB-261008-BC-017)",IF(AND(AR473=1,OR(NOT(ISNUMBER(X473)),NOT(ISNUMBER(Y473)))),"INVALID – expected/actual qty missing",IF(AND(AR473=1,OR(X473&lt;=0,Y473&lt;0)),"INVALID – expected qty must be above 0 and actual not negative",IF(BB473&lt;&gt;"",BB473,IF(AND(AS473=1,Documents!$J$18&lt;&gt;"ON FILE"),"INVALID – GLD not on file (Documents sheet)",IF(AND(AS473=2,Documents!$O$18&lt;&gt;"ON FILE"),"INVALID – menu checklist not on file (Documents sheet)",IF(AND(AS473=3,NOT(ISNUMBER(Flights!$AX$18))),"INVALID – enter carrying flight KUL departure (Flights AX)",IF(AND(AS473=3,OR(Flights!$AZ$18&gt;Flights!$AA$18,Flights!$AX$18&lt;Flights!$AA$18-3)),"INVALID – carrying flight (Flights AX) cannot arrive before this leg's STD, or is over 3 days early",IF(AG473&gt;AsOfUTC,"INVALID – completion time is in the future",IF(AND(ISNUMBER(BY473),AG473&lt;BY473),IF(H473="Physical uplift","INVALID – before uplift window (cannot confirm loading)","INVALID – before valid window"),IF(AG473&gt;Flights!$AA$18,"INVALID – completed after departure (cannot establish readiness)",IF(AND(H473="Preparation",AG473&gt;=IF(ISNUMBER(Flights!$BA$18),MIN(Flights!$BA$18,Flights!$AA$18),Flights!$AA$18)),"INVALID – completed after loading / departure (cannot establish readiness)",IF(AND(H473="Physical uplift",AG473&gt;Q473),"INVALID – recorded after the loading flight departed",IF(AG473&gt;Q473,"COMPLETE – LATE","COMPLETE"))))))))))))))))))))))))),IF(TRIM(U473)="Fail","FAIL – DISCREPANCY",IF(AND(TRIM(U473)&lt;&gt;"",TRIM(U473)&lt;&gt;"Not started",TRIM(U473)&lt;&gt;"In progress"),"INVALID – unrecognised status (use the list)",IF(AsOfUTC&gt;Q473,"OVERDUE",IF(N473="Clarification required","OPEN – CLARIFICATION","OPEN"))))))),"INVALID – error value in an input cell")</f>
        <v>OPEN – CLARIFICATION</v>
      </c>
      <c r="AI473" s="61" t="n">
        <f aca="false">IF(OR(AH473="N/A – RULE",AH473="N/A – JUSTIFIED"),0,1)</f>
        <v>1</v>
      </c>
      <c r="AJ473" s="61" t="n">
        <f aca="false">IF(LEFT(AH473,8)="COMPLETE",1,0)</f>
        <v>0</v>
      </c>
      <c r="AK473" s="61" t="n">
        <f aca="false">IF(AND(AI473=1,AJ473=0,AsOfUTC&gt;Q473),1,0)</f>
        <v>0</v>
      </c>
      <c r="AL473" s="61" t="n">
        <f aca="false">IFERROR(IF(AND(AI473=1,OR(TRIM(U473)="Fail",AND(TRIM(AB473)&lt;&gt;"",TRIM(AB473)&lt;&gt;"Closed"),AND(ISNUMBER(AF473),AF473&lt;&gt;0,TRIM(U473)&lt;&gt;"Pass after CA"))),1,0),1)</f>
        <v>0</v>
      </c>
      <c r="AM473" s="61" t="n">
        <f aca="false">IF(LEFT(AH473,7)="INVALID",1,0)</f>
        <v>0</v>
      </c>
      <c r="AN473" s="61" t="n">
        <f aca="false">IF(AND(N473="Clarification required",AI473=1,AJ473=0),1,0)</f>
        <v>1</v>
      </c>
      <c r="AO473" s="61" t="str">
        <f aca="false">IF(AK473=1,SUM(AK$5:AK473),"")</f>
        <v/>
      </c>
      <c r="AP473" s="61" t="str">
        <f aca="false">IF(AL473=1,SUM(AL$5:AL473),"")</f>
        <v/>
      </c>
      <c r="AQ473" s="61" t="n">
        <v>0</v>
      </c>
      <c r="AR473" s="61" t="n">
        <v>0</v>
      </c>
      <c r="AS473" s="61" t="n">
        <v>0</v>
      </c>
      <c r="AT473" s="61" t="n">
        <v>1</v>
      </c>
      <c r="AU473" s="61" t="str">
        <f aca="false">SUBSTITUTE(SUBSTITUTE(SUBSTITUTE(SUBSTITUTE(SUBSTITUTE(SUBSTITUTE(SUBSTITUTE(SUBSTITUTE(SUBSTITUTE(SUBSTITUTE(SUBSTITUTE(SUBSTITUTE(SUBSTITUTE(SUBSTITUTE(SUBSTITUTE(SUBSTITUTE(LOWER(T473&amp;""),CHAR(10),""),CHAR(13),""),CHAR(9),""),CHAR(160),"")," ",""),".",""),"-",""),"/",""),"?",""),"_",""),",",""),"[",""),"]",""),"(",""),")",""),"*","")</f>
        <v/>
      </c>
      <c r="AV473" s="61" t="str">
        <f aca="false">SUBSTITUTE(SUBSTITUTE(SUBSTITUTE(SUBSTITUTE(SUBSTITUTE(SUBSTITUTE(SUBSTITUTE(SUBSTITUTE(SUBSTITUTE(SUBSTITUTE(SUBSTITUTE(SUBSTITUTE(SUBSTITUTE(SUBSTITUTE(SUBSTITUTE(SUBSTITUTE(LOWER(V473&amp;""),CHAR(10),""),CHAR(13),""),CHAR(9),""),CHAR(160),"")," ",""),".",""),"-",""),"/",""),"?",""),"_",""),",",""),"[",""),"]",""),"(",""),")",""),"*","")</f>
        <v/>
      </c>
      <c r="AW473" s="61" t="str">
        <f aca="false">SUBSTITUTE(SUBSTITUTE(SUBSTITUTE(SUBSTITUTE(SUBSTITUTE(SUBSTITUTE(SUBSTITUTE(SUBSTITUTE(SUBSTITUTE(SUBSTITUTE(SUBSTITUTE(SUBSTITUTE(SUBSTITUTE(SUBSTITUTE(SUBSTITUTE(SUBSTITUTE(LOWER(Z473&amp;""),CHAR(10),""),CHAR(13),""),CHAR(9),""),CHAR(160),"")," ",""),".",""),"-",""),"/",""),"?",""),"_",""),",",""),"[",""),"]",""),"(",""),")",""),"*","")</f>
        <v/>
      </c>
      <c r="AX473" s="61" t="str">
        <f aca="false">SUBSTITUTE(SUBSTITUTE(SUBSTITUTE(SUBSTITUTE(SUBSTITUTE(SUBSTITUTE(SUBSTITUTE(SUBSTITUTE(SUBSTITUTE(SUBSTITUTE(SUBSTITUTE(SUBSTITUTE(SUBSTITUTE(SUBSTITUTE(SUBSTITUTE(SUBSTITUTE(LOWER(AE473&amp;""),CHAR(10),""),CHAR(13),""),CHAR(9),""),CHAR(160),"")," ",""),".",""),"-",""),"/",""),"?",""),"_",""),",",""),"[",""),"]",""),"(",""),")",""),"*","")</f>
        <v/>
      </c>
      <c r="AY473" s="61" t="str">
        <f aca="false">SUBSTITUTE(SUBSTITUTE(SUBSTITUTE(SUBSTITUTE(SUBSTITUTE(SUBSTITUTE(SUBSTITUTE(SUBSTITUTE(SUBSTITUTE(SUBSTITUTE(SUBSTITUTE(SUBSTITUTE(SUBSTITUTE(SUBSTITUTE(SUBSTITUTE(SUBSTITUTE(LOWER(W473&amp;""),CHAR(10),""),CHAR(13),""),CHAR(9),""),CHAR(160),"")," ",""),".",""),"-",""),"/",""),"?",""),"_",""),",",""),"[",""),"]",""),"(",""),")",""),"*","")</f>
        <v/>
      </c>
      <c r="AZ473" s="61" t="str">
        <f aca="false">SUBSTITUTE(SUBSTITUTE(SUBSTITUTE(SUBSTITUTE(SUBSTITUTE(SUBSTITUTE(SUBSTITUTE(SUBSTITUTE(SUBSTITUTE(SUBSTITUTE(SUBSTITUTE(SUBSTITUTE(SUBSTITUTE(SUBSTITUTE(SUBSTITUTE(SUBSTITUTE(LOWER(AC473&amp;""),CHAR(10),""),CHAR(13),""),CHAR(9),""),CHAR(160),"")," ",""),".",""),"-",""),"/",""),"?",""),"_",""),",",""),"[",""),"]",""),"(",""),")",""),"*","")</f>
        <v/>
      </c>
      <c r="BA473" s="61" t="str">
        <f aca="false">SUBSTITUTE(SUBSTITUTE(SUBSTITUTE(SUBSTITUTE(SUBSTITUTE(SUBSTITUTE(SUBSTITUTE(SUBSTITUTE(SUBSTITUTE(SUBSTITUTE(SUBSTITUTE(SUBSTITUTE(SUBSTITUTE(SUBSTITUTE(SUBSTITUTE(SUBSTITUTE(LOWER(AA473&amp;""),CHAR(10),""),CHAR(13),""),CHAR(9),""),CHAR(160),"")," ",""),".",""),"-",""),"/",""),"?",""),"_",""),",",""),"[",""),"]",""),"(",""),")",""),"*","")</f>
        <v/>
      </c>
      <c r="BB473" s="61" t="str">
        <f aca="false">IF(AND(TRIM(U473)="Pass",ISNUMBER(AF473)),IF(AF473&lt;&gt;0,"INVALID – qty variance: use Fail or Pass after CA",""),"")&amp;IF(AND(TRIM(U473)="Pass after CA",ISNUMBER(AF473)),IF(AF473&lt;&gt;0,"INVALID – after the corrective action the actual qty must equal expected (update Actual)",""),"")&amp;IF(AND(TRIM(U473)="Pass",TRIM(AB473)&lt;&gt;"",TRIM(AB473)&lt;&gt;"Closed"),"INVALID – corrective action not closed: use Fail, then Pass after CA","")&amp;IF(AND(LEN(BA473)&gt;=2,ISNA(MATCH(LEFT(BA473,255),L_Placeholder,0)),TRIM(AB473)=""),"INVALID – CA status missing for the recorded corrective action","")&amp;IF(AND(TRIM(U473)="Pass after CA",OR(OR(LEN(BA473)&lt;5,ISNUMBER(MATCH(BA473,L_Placeholder,0))),TRIM(AB473)&lt;&gt;"Closed")),"INVALID – corrective action not recorded/closed","")</f>
        <v/>
      </c>
      <c r="BC473" s="61" t="str">
        <f aca="false">" "&amp;TRIM(SUBSTITUTE(SUBSTITUTE(SUBSTITUTE(SUBSTITUTE(SUBSTITUTE(SUBSTITUTE(SUBSTITUTE(SUBSTITUTE(SUBSTITUTE(SUBSTITUTE(SUBSTITUTE(SUBSTITUTE(SUBSTITUTE(SUBSTITUTE(SUBSTITUTE(SUBSTITUTE(SUBSTITUTE(SUBSTITUTE(SUBSTITUTE(SUBSTITUTE(SUBSTITUTE(SUBSTITUTE(SUBSTITUTE(SUBSTITUTE(LOWER(V473&amp;""),CHAR(10)," "),CHAR(13)," "),CHAR(9)," "),CHAR(160)," "),"."," "),","," "),"-"," "),"/"," "),"("," "),")"," "),":"," "),";"," "),"_"," "),"–"," "),"?"," "),"!"," "),"*"," "),"["," "),"]"," "),"'"," "),"#"," "),"+"," "),"&amp;"," "),"\"," "))&amp;" "</f>
        <v>  </v>
      </c>
      <c r="BD473" s="61" t="str">
        <f aca="false">" "&amp;TRIM(SUBSTITUTE(SUBSTITUTE(SUBSTITUTE(SUBSTITUTE(SUBSTITUTE(SUBSTITUTE(SUBSTITUTE(SUBSTITUTE(SUBSTITUTE(SUBSTITUTE(SUBSTITUTE(SUBSTITUTE(SUBSTITUTE(SUBSTITUTE(SUBSTITUTE(SUBSTITUTE(SUBSTITUTE(SUBSTITUTE(SUBSTITUTE(SUBSTITUTE(SUBSTITUTE(SUBSTITUTE(SUBSTITUTE(SUBSTITUTE(LOWER(Z473&amp;""),CHAR(10)," "),CHAR(13)," "),CHAR(9)," "),CHAR(160)," "),"."," "),","," "),"-"," "),"/"," "),"("," "),")"," "),":"," "),";"," "),"_"," "),"–"," "),"?"," "),"!"," "),"*"," "),"["," "),"]"," "),"'"," "),"#"," "),"+"," "),"&amp;"," "),"\"," "))&amp;" "</f>
        <v>  </v>
      </c>
      <c r="BE473" s="61" t="str">
        <f aca="false">" "&amp;TRIM(SUBSTITUTE(SUBSTITUTE(SUBSTITUTE(SUBSTITUTE(SUBSTITUTE(SUBSTITUTE(SUBSTITUTE(SUBSTITUTE(SUBSTITUTE(SUBSTITUTE(SUBSTITUTE(SUBSTITUTE(SUBSTITUTE(SUBSTITUTE(SUBSTITUTE(SUBSTITUTE(SUBSTITUTE(SUBSTITUTE(SUBSTITUTE(SUBSTITUTE(SUBSTITUTE(SUBSTITUTE(SUBSTITUTE(SUBSTITUTE(LOWER(W473&amp;""),CHAR(10)," "),CHAR(13)," "),CHAR(9)," "),CHAR(160)," "),"."," "),","," "),"-"," "),"/"," "),"("," "),")"," "),":"," "),";"," "),"_"," "),"–"," "),"?"," "),"!"," "),"*"," "),"["," "),"]"," "),"'"," "),"#"," "),"+"," "),"&amp;"," "),"\"," "))&amp;" "</f>
        <v>  </v>
      </c>
      <c r="BF473" s="61" t="str">
        <f aca="false">" "&amp;TRIM(SUBSTITUTE(SUBSTITUTE(SUBSTITUTE(SUBSTITUTE(SUBSTITUTE(SUBSTITUTE(SUBSTITUTE(SUBSTITUTE(SUBSTITUTE(SUBSTITUTE(SUBSTITUTE(SUBSTITUTE(SUBSTITUTE(SUBSTITUTE(SUBSTITUTE(SUBSTITUTE(SUBSTITUTE(SUBSTITUTE(SUBSTITUTE(SUBSTITUTE(SUBSTITUTE(SUBSTITUTE(SUBSTITUTE(SUBSTITUTE(LOWER(AC473&amp;""),CHAR(10)," "),CHAR(13)," "),CHAR(9)," "),CHAR(160)," "),"."," "),","," "),"-"," "),"/"," "),"("," "),")"," "),":"," "),";"," "),"_"," "),"–"," "),"?"," "),"!"," "),"*"," "),"["," "),"]"," "),"'"," "),"#"," "),"+"," "),"&amp;"," "),"\"," "))&amp;" "</f>
        <v>  </v>
      </c>
      <c r="BG473" s="61" t="n">
        <f aca="false">IFERROR(IF(AND(TRIM(U473)="Pass",SUMPRODUCT((LEN(BC473)-LEN(SUBSTITUTE(BC473," "&amp;L_ResultBad&amp;" "," ")))/(LEN(L_ResultBad)+1))&gt;SUMPRODUCT((LEN(BC473)-LEN(SUBSTITUTE(BC473," "&amp;L_NegPhrase&amp;" "," ")))/(LEN(L_NegPhrase)+1))),1,0),0)</f>
        <v>0</v>
      </c>
      <c r="BH473" s="61" t="n">
        <f aca="false">IFERROR(IF(SUMPRODUCT((LEN(BC473)-LEN(SUBSTITUTE(BC473," "&amp;L_Pending&amp;" "," ")))/(LEN(L_Pending)+1))&gt;SUMPRODUCT((LEN(BC473)-LEN(SUBSTITUTE(BC473," "&amp;L_PendNeg&amp;" "," ")))/(LEN(L_PendNeg)+1))+SUMPRODUCT((LEN(BC473)-LEN(SUBSTITUTE(BC473," "&amp;L_PendPrep&amp;" "," ")))/(LEN(L_PendPrep)+1)),1,0),1)</f>
        <v>0</v>
      </c>
      <c r="BI473" s="61" t="n">
        <f aca="false">IFERROR(IF(SUMPRODUCT((LEN(BD473)-LEN(SUBSTITUTE(BD473," "&amp;L_PendStrict&amp;" "," ")))/(LEN(L_PendStrict)+1))&gt;SUMPRODUCT((LEN(BD473)-LEN(SUBSTITUTE(BD473," "&amp;L_PendNeg&amp;" "," ")))/(LEN(L_PendNeg)+1)),1,0),1)</f>
        <v>0</v>
      </c>
      <c r="BJ473" s="61" t="n">
        <f aca="false">IFERROR(IF(SUMPRODUCT((LEN(BE473)-LEN(SUBSTITUTE(BE473," "&amp;L_Pending&amp;" "," ")))/(LEN(L_Pending)+1))&gt;SUMPRODUCT((LEN(BE473)-LEN(SUBSTITUTE(BE473," "&amp;L_PendNeg&amp;" "," ")))/(LEN(L_PendNeg)+1))+SUMPRODUCT((LEN(BE473)-LEN(SUBSTITUTE(BE473," "&amp;L_PendPrep&amp;" "," ")))/(LEN(L_PendPrep)+1)),1,0),1)</f>
        <v>0</v>
      </c>
      <c r="BK473" s="61" t="n">
        <f aca="false">IFERROR(IF(SUMPRODUCT((LEN(BF473)-LEN(SUBSTITUTE(BF473," "&amp;L_PendStrict&amp;" "," ")))/(LEN(L_PendStrict)+1))&gt;SUMPRODUCT((LEN(BF473)-LEN(SUBSTITUTE(BF473," "&amp;L_PendNeg&amp;" "," ")))/(LEN(L_PendNeg)+1)),1,0),1)</f>
        <v>0</v>
      </c>
      <c r="BL473" s="61" t="n">
        <f aca="false">IF(ISNA(MATCH(TRIM(S473),L_EvidenceType,0)),0,BZ473)</f>
        <v>0</v>
      </c>
      <c r="BM473" s="61" t="str">
        <f aca="false">SUBSTITUTE(SUBSTITUTE(SUBSTITUTE(SUBSTITUTE(SUBSTITUTE(SUBSTITUTE(SUBSTITUTE(SUBSTITUTE(SUBSTITUTE(LOWER(Z473&amp;""),"1","0"),"2","0"),"3","0"),"4","0"),"5","0"),"6","0"),"7","0"),"8","0"),"9","0")</f>
        <v/>
      </c>
      <c r="BN473" s="61" t="str">
        <f aca="false">SUBSTITUTE(SUBSTITUTE(SUBSTITUTE(SUBSTITUTE(SUBSTITUTE(SUBSTITUTE(SUBSTITUTE(SUBSTITUTE(SUBSTITUTE(SUBSTITUTE(SUBSTITUTE(SUBSTITUTE(SUBSTITUTE(SUBSTITUTE(SUBSTITUTE(SUBSTITUTE(SUBSTITUTE(SUBSTITUTE(SUBSTITUTE(SUBSTITUTE(SUBSTITUTE(SUBSTITUTE(SUBSTITUTE(SUBSTITUTE(SUBSTITUTE(BM473,"b","a"),"c","a"),"d","a"),"e","a"),"f","a"),"g","a"),"h","a"),"i","a"),"j","a"),"k","a"),"l","a"),"m","a"),"n","a"),"o","a"),"p","a"),"q","a"),"r","a"),"s","a"),"t","a"),"u","a"),"v","a"),"w","a"),"x","a"),"y","a"),"z","a")</f>
        <v/>
      </c>
      <c r="BO473" s="61" t="str">
        <f aca="false">SUBSTITUTE(SUBSTITUTE(SUBSTITUTE(SUBSTITUTE(SUBSTITUTE(SUBSTITUTE(SUBSTITUTE(SUBSTITUTE(SUBSTITUTE(LOWER(W473&amp;""),"1","0"),"2","0"),"3","0"),"4","0"),"5","0"),"6","0"),"7","0"),"8","0"),"9","0")</f>
        <v/>
      </c>
      <c r="BP473" s="61" t="str">
        <f aca="false">SUBSTITUTE(SUBSTITUTE(SUBSTITUTE(SUBSTITUTE(SUBSTITUTE(SUBSTITUTE(SUBSTITUTE(SUBSTITUTE(SUBSTITUTE(SUBSTITUTE(SUBSTITUTE(SUBSTITUTE(SUBSTITUTE(SUBSTITUTE(SUBSTITUTE(SUBSTITUTE(SUBSTITUTE(SUBSTITUTE(SUBSTITUTE(SUBSTITUTE(SUBSTITUTE(SUBSTITUTE(SUBSTITUTE(SUBSTITUTE(SUBSTITUTE(BO473,"b","a"),"c","a"),"d","a"),"e","a"),"f","a"),"g","a"),"h","a"),"i","a"),"j","a"),"k","a"),"l","a"),"m","a"),"n","a"),"o","a"),"p","a"),"q","a"),"r","a"),"s","a"),"t","a"),"u","a"),"v","a"),"w","a"),"x","a"),"y","a"),"z","a")</f>
        <v/>
      </c>
      <c r="BQ473" s="61" t="n">
        <f aca="false">IFERROR(IF(AND(ISERROR(SEARCH(" mh"," "&amp;LOWER(W473))),ISNA(MATCH(LEFT(TRIM(BP473),255),{"0000a","000a","00a","0000aa","000aa","00aa","0aa","0000aaa","000aaa","00a00","0a00","0000-0000","00:00","a00","a0","00.00.0000","00/00/0000","00-00-0000","0000-00-00","0000/00/00","0000.00.00","00.00.00","00/00/00","00-00-00","0.00.0000","0/00/0000","0-00-0000"},0)),ISNA(MATCH(LEFT(TRIM(CA473),255),{"0000a","000a","00a","0000aa","000aa","00aa","0aa","0000aaa","000aaa","00a00","0a00","0000-0000","00:00","a00","a0","00.00.0000","00/00/0000","00-00-0000","0000-00-00","0000/00/00","0000.00.00","00.00.00","00/00/00","00-00-00","0.00.0000","0/00/0000","0-00-0000"},0)),LEN(CB473)&gt;=3,NOT(OR(SUBSTITUTE(CB473,"0","")="",AND(LEN(CB473)&gt;=4,CB473=REPT(LEFT(CB473),LEN(CB473))),ISNUMBER(MATCH(CB473,{"123","1234","12345","123456","1234567","12345678","0123","01234","012345","98765","987654","54321"},0)),AND(LEN(CB473)=8,LEFT(CB473,3)="202"))),OR(AND((LEN(CA473)-LEN(SUBSTITUTE(CA473,"a","")))&gt;=1,SUMPRODUCT(--ISNUMBER(SEARCH({"a0","a-0","a_0","a/0","a.0","a#0","0a","0-a","0_a","0/a"},BP473)))&gt;0),ISNUMBER(SEARCH("000000",BP473)))),1,0),0)</f>
        <v>0</v>
      </c>
      <c r="BR473" s="61" t="n">
        <f aca="false">IFERROR(LEN(SUBSTITUTE(CC473," ",""))-SUMPRODUCT((LEN(CC473)-LEN(SUBSTITUTE(CC473," "&amp;L_Role&amp;" "," ")))/(LEN(L_Role)+1)*LEN(L_Role)),0)</f>
        <v>0</v>
      </c>
      <c r="BS473" s="61" t="n">
        <f aca="false">IFERROR(LEN(SUBSTITUTE(CD473," ",""))-SUMPRODUCT((LEN(CD473)-LEN(SUBSTITUTE(CD473," "&amp;L_Role&amp;" "," ")))/(LEN(L_Role)+1)*LEN(L_Role)),0)</f>
        <v>0</v>
      </c>
      <c r="BT4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473,"revision",""),"version",""),"jan",""),"feb",""),"mar",""),"apr",""),"may",""),"jun",""),"jul",""),"aug",""),"sep",""),"oct",""),"nov",""),"dec",""),"utc",""),"gmt",""),"myt",""),"bst",""),"rev",""),"ver",""),"b","a"),"c","a"),"d","a"),"e","a"),"f","a"),"g","a"),"h","a"),"i","a"),"j","a"),"k","a"),"l","a"),"m","a"),"n","a"),"o","a"),"p","a"),"q","a"),"r","a"),"s","a"),"t","a"),"u","a"),"v","a"),"w","a"),"x","a"),"y","a"),"z","a")</f>
        <v/>
      </c>
      <c r="BU473" s="61" t="str">
        <f aca="false">SUBSTITUTE(SUBSTITUTE(SUBSTITUTE(SUBSTITUTE(SUBSTITUTE(SUBSTITUTE(SUBSTITUTE(SUBSTITUTE(SUBSTITUTE(SUBSTITUTE(LEFT(BM473,FIND("0",BM473&amp;"0")-1),"-",""),"_",""),"/",""),".",""),"#",""),"\\",""),":","")," ",""),"(",""),")","")</f>
        <v/>
      </c>
      <c r="BV473" s="61" t="n">
        <f aca="false">0</f>
        <v>0</v>
      </c>
      <c r="BW4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473&amp;""),"a",""),"b",""),"c",""),"d",""),"e",""),"f",""),"g",""),"h",""),"i",""),"j",""),"k",""),"l",""),"m",""),"n",""),"o",""),"p",""),"q",""),"r",""),"s",""),"t",""),"u",""),"v",""),"w",""),"x",""),"y",""),"z",""),"-",""),"_",""),"/",""),".",""),"#",""),"\\",""),":","")," ",""),"(",""),")","")</f>
        <v/>
      </c>
      <c r="BX473" s="61" t="str">
        <f aca="false">SUBSTITUTE(SUBSTITUTE(SUBSTITUTE(SUBSTITUTE(SUBSTITUTE(SUBSTITUTE(SUBSTITUTE(SUBSTITUTE(SUBSTITUTE(SUBSTITUTE(SUBSTITUTE(BM473,"0",""),"-",""),"_",""),"/",""),".",""),"#",""),"\\",""),":","")," ",""),"(",""),")","")</f>
        <v/>
      </c>
      <c r="BY473" s="62" t="n">
        <f aca="false">Q473-T12EarlyH/24</f>
        <v>46309.0763888889</v>
      </c>
      <c r="BZ473" s="61" t="n">
        <f aca="false">IFERROR(IF(IF(TRIM(S473)="Link / file path",AND(LEN(TRIM(Z473))&gt;=5,SUMPRODUCT(--ISNUMBER(SEARCH({"http","www.","\\",":\",".pdf",".jpg",".jpeg",".png",".heic",".xls",".doc",".msg",".eml",".ppt",".txt",".zip"},Z473)))&gt;0),AND(ISERROR(FIND(" ",TRIM(Z473))),NOT(OR(SUMPRODUCT(--ISNUMBER(FIND({",",";","&amp;","+"},Z473)))&gt;0,SUMPRODUCT(--ISNUMBER(SEARCH({"0/aa","0\\aa"},BN473)))&gt;0)),NOT(SUMPRODUCT(--ISNUMBER(SEARCH({"http","www.","\\",":\",".pdf",".jpg",".jpeg",".png",".heic",".xls",".doc",".msg",".eml",".ppt",".txt",".zip"},Z473)))&gt;0),NOT(LOWER(TRIM(Z473))=LOWER(Flights!$F$18)),ISNA(MATCH(BU473,{"mh","rev","revision","ver","version","v","r","a","b","seat","tray","row","gate","bay","stand","page","pg","item","line","no","cart","galley","flight","flt","table","box","bag","oven","etd","eta","std","sta","atd","ata","qty","pax","x","time","tel","ph","mob","day","wk","week","utc","gmt","myt","lt"},0)),NOT(OR(ISNUMBER(MATCH(LEFT(BN473,255),{"0000a","000a","00a","0000aa","000aa","00aa","0aa","0000aaa","000aaa","00a00","0a00","0000-0000","00:00","a00","a0","00.00.0000","00/00/0000","00-00-0000","0000-00-00","0000/00/00","0000.00.00","00.00.00","00/00/00","00-00-00","0.00.0000","0/00/0000","0-00-0000"},0)),ISNUMBER(MATCH(LEFT(BT473,255),{"0000a","000a","00a","0000aa","000aa","00aa","0aa","0000aaa","000aaa","00a00","0a00","0000-0000","00:00","a00","a0","00.00.0000","00/00/0000","00-00-0000","0000-00-00","0000/00/00","0000.00.00","00.00.00","00/00/00","00-00-00","0.00.0000","0/00/0000","0-00-0000"},0)))),NOT(OR(AND(BW473&lt;&gt;"",SUBSTITUTE(BW473,"0","")=""),AND(LEN(BW473)&gt;=4,BW473=REPT(LEFT(BW473),LEN(BW473))),ISNUMBER(MATCH(BW473,{"123","1234","12345","123456","1234567","12345678","0123","01234","012345","98765","987654","54321"},0)),ISNUMBER(MATCH(BX473,{"x","xx","xxx","xxxx","xxxxx","abc","abcd","nil","na","nan","test","tbc","tba","tbd","dummy","sample","example","eg","zz","zzz","none","null","xyz","qwe","asd","id","ref"},0)),AND(LEN(BW473)=8,BX473="",OR(LEFT(BW473,3)="202",ISNUMBER(MATCH(RIGHT(BW473,4),{"2025","2026","2027"},0)))))),OR(AND((LEN(BT473)-LEN(SUBSTITUTE(BT473,"a","")))&gt;=1,(LEN(BN473)-LEN(SUBSTITUTE(BN473,"0","")))&gt;=2,SUMPRODUCT(--ISNUMBER(SEARCH({"a0","a-0","a_0","a/0","a.0","a#0","0a","0-a","0_a","0/a"},BN473)))&gt;0),AND((LEN(BN473)-LEN(SUBSTITUTE(BN473,"a","")))=0,(LEN(BN473)-LEN(SUBSTITUTE(BN473,"0","")))&gt;=5)))),1,0),0)</f>
        <v>0</v>
      </c>
      <c r="CA4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473,"revision",""),"version",""),"jan",""),"feb",""),"mar",""),"apr",""),"may",""),"jun",""),"jul",""),"aug",""),"sep",""),"oct",""),"nov",""),"dec",""),"utc",""),"gmt",""),"myt",""),"bst",""),"rev",""),"ver",""),"b","a"),"c","a"),"d","a"),"e","a"),"f","a"),"g","a"),"h","a"),"i","a"),"j","a"),"k","a"),"l","a"),"m","a"),"n","a"),"o","a"),"p","a"),"q","a"),"r","a"),"s","a"),"t","a"),"u","a"),"v","a"),"w","a"),"x","a"),"y","a"),"z","a")</f>
        <v/>
      </c>
      <c r="CB4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473&amp;""),"a",""),"b",""),"c",""),"d",""),"e",""),"f",""),"g",""),"h",""),"i",""),"j",""),"k",""),"l",""),"m",""),"n",""),"o",""),"p",""),"q",""),"r",""),"s",""),"t",""),"u",""),"v",""),"w",""),"x",""),"y",""),"z",""),"-",""),"_",""),"/",""),".",""),"#",""),"\\",""),":","")," ",""),"(",""),")","")</f>
        <v/>
      </c>
      <c r="CC473" s="0" t="str">
        <f aca="false">" "&amp;TRIM(SUBSTITUTE(SUBSTITUTE(SUBSTITUTE(SUBSTITUTE(SUBSTITUTE(SUBSTITUTE(SUBSTITUTE(SUBSTITUTE(SUBSTITUTE(SUBSTITUTE(SUBSTITUTE(SUBSTITUTE(SUBSTITUTE(SUBSTITUTE(SUBSTITUTE(SUBSTITUTE(SUBSTITUTE(SUBSTITUTE(SUBSTITUTE(SUBSTITUTE(SUBSTITUTE(SUBSTITUTE(SUBSTITUTE(SUBSTITUTE(LOWER(T473&amp;""),CHAR(10)," "),CHAR(13)," "),CHAR(9)," "),CHAR(160)," "),"."," "),","," "),"-"," "),"/"," "),"("," "),")"," "),":"," "),";"," "),"_"," "),"–"," "),"?"," "),"!"," "),"*"," "),"["," "),"]"," "),"'"," "),"#"," "),"+"," "),"&amp;"," "),"\"," "))&amp;" "</f>
        <v>  </v>
      </c>
      <c r="CD473" s="0" t="str">
        <f aca="false">" "&amp;TRIM(SUBSTITUTE(SUBSTITUTE(SUBSTITUTE(SUBSTITUTE(SUBSTITUTE(SUBSTITUTE(SUBSTITUTE(SUBSTITUTE(SUBSTITUTE(SUBSTITUTE(SUBSTITUTE(SUBSTITUTE(SUBSTITUTE(SUBSTITUTE(SUBSTITUTE(SUBSTITUTE(SUBSTITUTE(SUBSTITUTE(SUBSTITUTE(SUBSTITUTE(SUBSTITUTE(SUBSTITUTE(SUBSTITUTE(SUBSTITUTE(LOWER(AE473&amp;""),CHAR(10)," "),CHAR(13)," "),CHAR(9)," "),CHAR(160)," "),"."," "),","," "),"-"," "),"/"," "),"("," "),")"," "),":"," "),";"," "),"_"," "),"–"," "),"?"," "),"!"," "),"*"," "),"["," "),"]"," "),"'"," "),"#"," "),"+"," "),"&amp;"," "),"\"," "))&amp;" "</f>
        <v>  </v>
      </c>
      <c r="CE473" s="68" t="n">
        <f aca="false">IFERROR(IF(AND(LEN(AU473)&gt;0,LEN(AU473)=LEN(AX473),OR(TRIM(MID(SUBSTITUTE(TRIM(CC473)," ",REPT(" ",60)),1,60))="",ISNUMBER(SEARCH(" "&amp;TRIM(MID(SUBSTITUTE(TRIM(CC473)," ",REPT(" ",60)),1,60))&amp;" ",CD473))),OR(TRIM(MID(SUBSTITUTE(TRIM(CC473)," ",REPT(" ",60)),61,60))="",ISNUMBER(SEARCH(" "&amp;TRIM(MID(SUBSTITUTE(TRIM(CC473)," ",REPT(" ",60)),61,60))&amp;" ",CD473))),OR(TRIM(MID(SUBSTITUTE(TRIM(CC473)," ",REPT(" ",60)),121,60))="",ISNUMBER(SEARCH(" "&amp;TRIM(MID(SUBSTITUTE(TRIM(CC473)," ",REPT(" ",60)),121,60))&amp;" ",CD473)))),1,0),0)</f>
        <v>0</v>
      </c>
      <c r="CG473" s="68" t="n">
        <f aca="false">IFERROR(LEN(SUBSTITUTE(BF473," ",""))-SUMPRODUCT((LEN(BF473)-LEN(SUBSTITUTE(BF473," "&amp;L_NAFiller&amp;" "," ")))/(LEN(L_NAFiller)+1)*LEN(L_NAFiller)),0)</f>
        <v>0</v>
      </c>
    </row>
    <row r="474" customFormat="false" ht="41.25" hidden="false" customHeight="true" outlineLevel="0" collapsed="false">
      <c r="A474" s="57" t="s">
        <v>1122</v>
      </c>
      <c r="B474" s="57" t="s">
        <v>276</v>
      </c>
      <c r="C474" s="57" t="str">
        <f aca="false">Flights!$F$18</f>
        <v>MH0004</v>
      </c>
      <c r="D474" s="58" t="n">
        <f aca="false">Flights!$D$18</f>
        <v>46310</v>
      </c>
      <c r="E474" s="57" t="str">
        <f aca="false">Flights!$G$18&amp;"-"&amp;Flights!$H$18</f>
        <v>KUL-LHR</v>
      </c>
      <c r="F474" s="57" t="str">
        <f aca="false">Flights!$K$18</f>
        <v>EY</v>
      </c>
      <c r="G474" s="57" t="s">
        <v>420</v>
      </c>
      <c r="H474" s="57" t="s">
        <v>378</v>
      </c>
      <c r="I474" s="57" t="s">
        <v>447</v>
      </c>
      <c r="J474" s="57" t="s">
        <v>448</v>
      </c>
      <c r="K474" s="67" t="s">
        <v>449</v>
      </c>
      <c r="L474" s="67" t="s">
        <v>450</v>
      </c>
      <c r="M474" s="67" t="s">
        <v>451</v>
      </c>
      <c r="N474" s="67" t="s">
        <v>383</v>
      </c>
      <c r="O474" s="67" t="s">
        <v>503</v>
      </c>
      <c r="P474" s="57" t="s">
        <v>187</v>
      </c>
      <c r="Q474" s="59" t="n">
        <f aca="false">ROUND((Flights!$AE$18)*1440,0)/1440</f>
        <v>46309.5763888889</v>
      </c>
      <c r="R474" s="59" t="n">
        <f aca="false">Q474+(IF(AND(INDEX(TZ_DSTS,MATCH(P474,TZ_STN,0))&lt;&gt;"",Q474&gt;=INDEX(TZ_DSTS,MATCH(P474,TZ_STN,0)),Q474&lt;INDEX(TZ_DSTE,MATCH(P474,TZ_STN,0))),INDEX(TZ_DST,MATCH(P474,TZ_STN,0)),INDEX(TZ_STD,MATCH(P474,TZ_STN,0))))/24</f>
        <v>46309.9097222222</v>
      </c>
      <c r="S474" s="60"/>
      <c r="T474" s="60"/>
      <c r="U474" s="60"/>
      <c r="V474" s="60"/>
      <c r="W474" s="61"/>
      <c r="X474" s="60"/>
      <c r="Y474" s="60"/>
      <c r="Z474" s="60"/>
      <c r="AA474" s="60"/>
      <c r="AB474" s="60"/>
      <c r="AC474" s="60"/>
      <c r="AD474" s="66"/>
      <c r="AE474" s="60"/>
      <c r="AF474" s="61" t="str">
        <f aca="false">IF(AND(ISNUMBER(X474),ISNUMBER(Y474)),Y474-X474,"")</f>
        <v/>
      </c>
      <c r="AG474" s="62" t="str">
        <f aca="false">IF(ISNUMBER(AD474),AD474-(IF(AND(INDEX(TZ_DSTS,MATCH(P474,TZ_STN,0))&lt;&gt;"",(AD474-INDEX(TZ_STD,MATCH(P474,TZ_STN,0))/24)&gt;=INDEX(TZ_DSTS,MATCH(P474,TZ_STN,0)),(AD474-INDEX(TZ_STD,MATCH(P474,TZ_STN,0))/24)&lt;INDEX(TZ_DSTE,MATCH(P474,TZ_STN,0))),INDEX(TZ_DST,MATCH(P474,TZ_STN,0)),INDEX(TZ_STD,MATCH(P474,TZ_STN,0))))/24,"")</f>
        <v/>
      </c>
      <c r="AH474" s="65" t="str">
        <f aca="false">IFERROR(IF(N474="N/A – rule",IF(OR(TRIM(U474)="",TRIM(U474)="N/A",TRIM(U474)="Not started"),"N/A – RULE","INVALID – this check does not apply to this aircraft: clear the status (or correct the fleet on Flights)"),IF(TRIM(U474)="N/A",IF(AT474=0,"INVALID – N/A not permitted for this check",IF(AND(TRIM(AB474)&lt;&gt;"",TRIM(AB474)&lt;&gt;"Closed"),"INVALID – corrective action still open",IF(AND(NOT(OR(LEN(AZ474)&lt;15,ISNUMBER(MATCH(AZ474,L_Placeholder,0)))),BK474=0,CG474&gt;=8,NOT(OR(LEN(AU474)&lt;2,ISNUMBER(MATCH(AU474,L_Placeholder,0)))),BR474&gt;=3,NOT(OR(LEN(AX474)&lt;2,ISNUMBER(MATCH(AX474,L_Placeholder,0)))),BS474&gt;=3,TRIM(AE474)&lt;&gt;TRIM(T474),AX474&lt;&gt;AU474,CE474=0),"N/A – JUSTIFIED","INVALID – N/A needs a real, settled reason (not 'not applicable' / 'as above' / TBC), a named PIC and a different named verifier"))),IF(OR(TRIM(U474)="Pass",TRIM(U474)="Pass after CA"),IF(NOT(ISNUMBER(AD474)),"INVALID – completion time missing",IF(OR(OR(LEN(AU474)&lt;2,ISNUMBER(MATCH(AU474,L_Placeholder,0))),BR474&lt;3),"INVALID – PIC missing or not a named person (a role such as QA / CSM is not a name)",IF(OR(LEN(AV474)&lt;2,ISNUMBER(MATCH(AV474,L_Placeholder,0))),"INVALID – result / assessment missing",IF(OR(OR(LEN(AW474)&lt;3,ISNUMBER(MATCH(AW474,L_Placeholder,0))),SUMPRODUCT(--ISNUMBER(SEARCH(" "&amp;L_EvidencePhrase&amp;" ",BD474)))&gt;0,BI474=1),"INVALID – evidence missing, placeholder or not yet on file",IF(ISNA(MATCH(TRIM(S474),L_EvidenceType,0)),"INVALID – choose the evidence type from the list (column S)",IF(BL474=0,"INVALID – evidence ID must be the record's own ID only (e.g. SF-2210, IMG_2231, 1045521); a link / file name needs type 'Link / file path'",IF(OR(OR(LEN(AX474)&lt;2,ISNUMBER(MATCH(AX474,L_Placeholder,0))),BS474&lt;3),"INVALID – verifier missing or not a named person (a role such as QA / CSM is not a name)",IF(OR(AX474=AU474,CE474=1,AND(LEN(AU474)&gt;=4,ISNUMBER(SEARCH(AU474,AX474))),AND(LEN(AX474)&gt;=4,ISNUMBER(SEARCH(AX474,AU474)))),"INVALID – verifier must be a different, named person (not the PIC or a role)",IF(BH474=1,"INVALID – result not yet available (awaiting / TBC)",IF(BG474=1,"INVALID – result describes a problem: record Fail, then Pass after CA (or reword if it is not a problem)",IF(BV474=1,"INVALID – wording says not on board: an on-board confirmation needs the item loaded",IF(AND(AQ474=1,OR(OR(LEN(AY474)&lt;3,ISNUMBER(MATCH(AY474,L_Placeholder,0))),BJ474=1,BQ474=0)),"INVALID – batch ID missing, placeholder or not an ID (e.g. PASB-261008-BC-017)",IF(AND(AR474=1,OR(NOT(ISNUMBER(X474)),NOT(ISNUMBER(Y474)))),"INVALID – expected/actual qty missing",IF(AND(AR474=1,OR(X474&lt;=0,Y474&lt;0)),"INVALID – expected qty must be above 0 and actual not negative",IF(BB474&lt;&gt;"",BB474,IF(AND(AS474=1,Documents!$J$18&lt;&gt;"ON FILE"),"INVALID – GLD not on file (Documents sheet)",IF(AND(AS474=2,Documents!$O$18&lt;&gt;"ON FILE"),"INVALID – menu checklist not on file (Documents sheet)",IF(AND(AS474=3,NOT(ISNUMBER(Flights!$AX$18))),"INVALID – enter carrying flight KUL departure (Flights AX)",IF(AND(AS474=3,OR(Flights!$AZ$18&gt;Flights!$AA$18,Flights!$AX$18&lt;Flights!$AA$18-3)),"INVALID – carrying flight (Flights AX) cannot arrive before this leg's STD, or is over 3 days early",IF(AG474&gt;AsOfUTC,"INVALID – completion time is in the future",IF(AND(ISNUMBER(BY474),AG474&lt;BY474),IF(H474="Physical uplift","INVALID – before uplift window (cannot confirm loading)","INVALID – before valid window"),IF(AG474&gt;Flights!$AA$18,"INVALID – completed after departure (cannot establish readiness)",IF(AND(H474="Preparation",AG474&gt;=IF(ISNUMBER(Flights!$BA$18),MIN(Flights!$BA$18,Flights!$AA$18),Flights!$AA$18)),"INVALID – completed after loading / departure (cannot establish readiness)",IF(AND(H474="Physical uplift",AG474&gt;Q474),"INVALID – recorded after the loading flight departed",IF(AG474&gt;Q474,"COMPLETE – LATE","COMPLETE"))))))))))))))))))))))))),IF(TRIM(U474)="Fail","FAIL – DISCREPANCY",IF(AND(TRIM(U474)&lt;&gt;"",TRIM(U474)&lt;&gt;"Not started",TRIM(U474)&lt;&gt;"In progress"),"INVALID – unrecognised status (use the list)",IF(AsOfUTC&gt;Q474,"OVERDUE",IF(N474="Clarification required","OPEN – CLARIFICATION","OPEN"))))))),"INVALID – error value in an input cell")</f>
        <v>OPEN</v>
      </c>
      <c r="AI474" s="61" t="n">
        <f aca="false">IF(OR(AH474="N/A – RULE",AH474="N/A – JUSTIFIED"),0,1)</f>
        <v>1</v>
      </c>
      <c r="AJ474" s="61" t="n">
        <f aca="false">IF(LEFT(AH474,8)="COMPLETE",1,0)</f>
        <v>0</v>
      </c>
      <c r="AK474" s="61" t="n">
        <f aca="false">IF(AND(AI474=1,AJ474=0,AsOfUTC&gt;Q474),1,0)</f>
        <v>0</v>
      </c>
      <c r="AL474" s="61" t="n">
        <f aca="false">IFERROR(IF(AND(AI474=1,OR(TRIM(U474)="Fail",AND(TRIM(AB474)&lt;&gt;"",TRIM(AB474)&lt;&gt;"Closed"),AND(ISNUMBER(AF474),AF474&lt;&gt;0,TRIM(U474)&lt;&gt;"Pass after CA"))),1,0),1)</f>
        <v>0</v>
      </c>
      <c r="AM474" s="61" t="n">
        <f aca="false">IF(LEFT(AH474,7)="INVALID",1,0)</f>
        <v>0</v>
      </c>
      <c r="AN474" s="61" t="n">
        <f aca="false">IF(AND(N474="Clarification required",AI474=1,AJ474=0),1,0)</f>
        <v>0</v>
      </c>
      <c r="AO474" s="61" t="str">
        <f aca="false">IF(AK474=1,SUM(AK$5:AK474),"")</f>
        <v/>
      </c>
      <c r="AP474" s="61" t="str">
        <f aca="false">IF(AL474=1,SUM(AL$5:AL474),"")</f>
        <v/>
      </c>
      <c r="AQ474" s="61" t="n">
        <v>0</v>
      </c>
      <c r="AR474" s="61" t="n">
        <v>0</v>
      </c>
      <c r="AS474" s="61" t="n">
        <v>0</v>
      </c>
      <c r="AT474" s="61" t="n">
        <v>0</v>
      </c>
      <c r="AU474" s="61" t="str">
        <f aca="false">SUBSTITUTE(SUBSTITUTE(SUBSTITUTE(SUBSTITUTE(SUBSTITUTE(SUBSTITUTE(SUBSTITUTE(SUBSTITUTE(SUBSTITUTE(SUBSTITUTE(SUBSTITUTE(SUBSTITUTE(SUBSTITUTE(SUBSTITUTE(SUBSTITUTE(SUBSTITUTE(LOWER(T474&amp;""),CHAR(10),""),CHAR(13),""),CHAR(9),""),CHAR(160),"")," ",""),".",""),"-",""),"/",""),"?",""),"_",""),",",""),"[",""),"]",""),"(",""),")",""),"*","")</f>
        <v/>
      </c>
      <c r="AV474" s="61" t="str">
        <f aca="false">SUBSTITUTE(SUBSTITUTE(SUBSTITUTE(SUBSTITUTE(SUBSTITUTE(SUBSTITUTE(SUBSTITUTE(SUBSTITUTE(SUBSTITUTE(SUBSTITUTE(SUBSTITUTE(SUBSTITUTE(SUBSTITUTE(SUBSTITUTE(SUBSTITUTE(SUBSTITUTE(LOWER(V474&amp;""),CHAR(10),""),CHAR(13),""),CHAR(9),""),CHAR(160),"")," ",""),".",""),"-",""),"/",""),"?",""),"_",""),",",""),"[",""),"]",""),"(",""),")",""),"*","")</f>
        <v/>
      </c>
      <c r="AW474" s="61" t="str">
        <f aca="false">SUBSTITUTE(SUBSTITUTE(SUBSTITUTE(SUBSTITUTE(SUBSTITUTE(SUBSTITUTE(SUBSTITUTE(SUBSTITUTE(SUBSTITUTE(SUBSTITUTE(SUBSTITUTE(SUBSTITUTE(SUBSTITUTE(SUBSTITUTE(SUBSTITUTE(SUBSTITUTE(LOWER(Z474&amp;""),CHAR(10),""),CHAR(13),""),CHAR(9),""),CHAR(160),"")," ",""),".",""),"-",""),"/",""),"?",""),"_",""),",",""),"[",""),"]",""),"(",""),")",""),"*","")</f>
        <v/>
      </c>
      <c r="AX474" s="61" t="str">
        <f aca="false">SUBSTITUTE(SUBSTITUTE(SUBSTITUTE(SUBSTITUTE(SUBSTITUTE(SUBSTITUTE(SUBSTITUTE(SUBSTITUTE(SUBSTITUTE(SUBSTITUTE(SUBSTITUTE(SUBSTITUTE(SUBSTITUTE(SUBSTITUTE(SUBSTITUTE(SUBSTITUTE(LOWER(AE474&amp;""),CHAR(10),""),CHAR(13),""),CHAR(9),""),CHAR(160),"")," ",""),".",""),"-",""),"/",""),"?",""),"_",""),",",""),"[",""),"]",""),"(",""),")",""),"*","")</f>
        <v/>
      </c>
      <c r="AY474" s="61" t="str">
        <f aca="false">SUBSTITUTE(SUBSTITUTE(SUBSTITUTE(SUBSTITUTE(SUBSTITUTE(SUBSTITUTE(SUBSTITUTE(SUBSTITUTE(SUBSTITUTE(SUBSTITUTE(SUBSTITUTE(SUBSTITUTE(SUBSTITUTE(SUBSTITUTE(SUBSTITUTE(SUBSTITUTE(LOWER(W474&amp;""),CHAR(10),""),CHAR(13),""),CHAR(9),""),CHAR(160),"")," ",""),".",""),"-",""),"/",""),"?",""),"_",""),",",""),"[",""),"]",""),"(",""),")",""),"*","")</f>
        <v/>
      </c>
      <c r="AZ474" s="61" t="str">
        <f aca="false">SUBSTITUTE(SUBSTITUTE(SUBSTITUTE(SUBSTITUTE(SUBSTITUTE(SUBSTITUTE(SUBSTITUTE(SUBSTITUTE(SUBSTITUTE(SUBSTITUTE(SUBSTITUTE(SUBSTITUTE(SUBSTITUTE(SUBSTITUTE(SUBSTITUTE(SUBSTITUTE(LOWER(AC474&amp;""),CHAR(10),""),CHAR(13),""),CHAR(9),""),CHAR(160),"")," ",""),".",""),"-",""),"/",""),"?",""),"_",""),",",""),"[",""),"]",""),"(",""),")",""),"*","")</f>
        <v/>
      </c>
      <c r="BA474" s="61" t="str">
        <f aca="false">SUBSTITUTE(SUBSTITUTE(SUBSTITUTE(SUBSTITUTE(SUBSTITUTE(SUBSTITUTE(SUBSTITUTE(SUBSTITUTE(SUBSTITUTE(SUBSTITUTE(SUBSTITUTE(SUBSTITUTE(SUBSTITUTE(SUBSTITUTE(SUBSTITUTE(SUBSTITUTE(LOWER(AA474&amp;""),CHAR(10),""),CHAR(13),""),CHAR(9),""),CHAR(160),"")," ",""),".",""),"-",""),"/",""),"?",""),"_",""),",",""),"[",""),"]",""),"(",""),")",""),"*","")</f>
        <v/>
      </c>
      <c r="BB474" s="61" t="str">
        <f aca="false">IF(AND(TRIM(U474)="Pass",ISNUMBER(AF474)),IF(AF474&lt;&gt;0,"INVALID – qty variance: use Fail or Pass after CA",""),"")&amp;IF(AND(TRIM(U474)="Pass after CA",ISNUMBER(AF474)),IF(AF474&lt;&gt;0,"INVALID – after the corrective action the actual qty must equal expected (update Actual)",""),"")&amp;IF(AND(TRIM(U474)="Pass",TRIM(AB474)&lt;&gt;"",TRIM(AB474)&lt;&gt;"Closed"),"INVALID – corrective action not closed: use Fail, then Pass after CA","")&amp;IF(AND(LEN(BA474)&gt;=2,ISNA(MATCH(LEFT(BA474,255),L_Placeholder,0)),TRIM(AB474)=""),"INVALID – CA status missing for the recorded corrective action","")&amp;IF(AND(TRIM(U474)="Pass after CA",OR(OR(LEN(BA474)&lt;5,ISNUMBER(MATCH(BA474,L_Placeholder,0))),TRIM(AB474)&lt;&gt;"Closed")),"INVALID – corrective action not recorded/closed","")</f>
        <v/>
      </c>
      <c r="BC474" s="61" t="str">
        <f aca="false">" "&amp;TRIM(SUBSTITUTE(SUBSTITUTE(SUBSTITUTE(SUBSTITUTE(SUBSTITUTE(SUBSTITUTE(SUBSTITUTE(SUBSTITUTE(SUBSTITUTE(SUBSTITUTE(SUBSTITUTE(SUBSTITUTE(SUBSTITUTE(SUBSTITUTE(SUBSTITUTE(SUBSTITUTE(SUBSTITUTE(SUBSTITUTE(SUBSTITUTE(SUBSTITUTE(SUBSTITUTE(SUBSTITUTE(SUBSTITUTE(SUBSTITUTE(LOWER(V474&amp;""),CHAR(10)," "),CHAR(13)," "),CHAR(9)," "),CHAR(160)," "),"."," "),","," "),"-"," "),"/"," "),"("," "),")"," "),":"," "),";"," "),"_"," "),"–"," "),"?"," "),"!"," "),"*"," "),"["," "),"]"," "),"'"," "),"#"," "),"+"," "),"&amp;"," "),"\"," "))&amp;" "</f>
        <v>  </v>
      </c>
      <c r="BD474" s="61" t="str">
        <f aca="false">" "&amp;TRIM(SUBSTITUTE(SUBSTITUTE(SUBSTITUTE(SUBSTITUTE(SUBSTITUTE(SUBSTITUTE(SUBSTITUTE(SUBSTITUTE(SUBSTITUTE(SUBSTITUTE(SUBSTITUTE(SUBSTITUTE(SUBSTITUTE(SUBSTITUTE(SUBSTITUTE(SUBSTITUTE(SUBSTITUTE(SUBSTITUTE(SUBSTITUTE(SUBSTITUTE(SUBSTITUTE(SUBSTITUTE(SUBSTITUTE(SUBSTITUTE(LOWER(Z474&amp;""),CHAR(10)," "),CHAR(13)," "),CHAR(9)," "),CHAR(160)," "),"."," "),","," "),"-"," "),"/"," "),"("," "),")"," "),":"," "),";"," "),"_"," "),"–"," "),"?"," "),"!"," "),"*"," "),"["," "),"]"," "),"'"," "),"#"," "),"+"," "),"&amp;"," "),"\"," "))&amp;" "</f>
        <v>  </v>
      </c>
      <c r="BE474" s="61" t="str">
        <f aca="false">" "&amp;TRIM(SUBSTITUTE(SUBSTITUTE(SUBSTITUTE(SUBSTITUTE(SUBSTITUTE(SUBSTITUTE(SUBSTITUTE(SUBSTITUTE(SUBSTITUTE(SUBSTITUTE(SUBSTITUTE(SUBSTITUTE(SUBSTITUTE(SUBSTITUTE(SUBSTITUTE(SUBSTITUTE(SUBSTITUTE(SUBSTITUTE(SUBSTITUTE(SUBSTITUTE(SUBSTITUTE(SUBSTITUTE(SUBSTITUTE(SUBSTITUTE(LOWER(W474&amp;""),CHAR(10)," "),CHAR(13)," "),CHAR(9)," "),CHAR(160)," "),"."," "),","," "),"-"," "),"/"," "),"("," "),")"," "),":"," "),";"," "),"_"," "),"–"," "),"?"," "),"!"," "),"*"," "),"["," "),"]"," "),"'"," "),"#"," "),"+"," "),"&amp;"," "),"\"," "))&amp;" "</f>
        <v>  </v>
      </c>
      <c r="BF474" s="61" t="str">
        <f aca="false">" "&amp;TRIM(SUBSTITUTE(SUBSTITUTE(SUBSTITUTE(SUBSTITUTE(SUBSTITUTE(SUBSTITUTE(SUBSTITUTE(SUBSTITUTE(SUBSTITUTE(SUBSTITUTE(SUBSTITUTE(SUBSTITUTE(SUBSTITUTE(SUBSTITUTE(SUBSTITUTE(SUBSTITUTE(SUBSTITUTE(SUBSTITUTE(SUBSTITUTE(SUBSTITUTE(SUBSTITUTE(SUBSTITUTE(SUBSTITUTE(SUBSTITUTE(LOWER(AC474&amp;""),CHAR(10)," "),CHAR(13)," "),CHAR(9)," "),CHAR(160)," "),"."," "),","," "),"-"," "),"/"," "),"("," "),")"," "),":"," "),";"," "),"_"," "),"–"," "),"?"," "),"!"," "),"*"," "),"["," "),"]"," "),"'"," "),"#"," "),"+"," "),"&amp;"," "),"\"," "))&amp;" "</f>
        <v>  </v>
      </c>
      <c r="BG474" s="61" t="n">
        <f aca="false">IFERROR(IF(AND(TRIM(U474)="Pass",SUMPRODUCT((LEN(BC474)-LEN(SUBSTITUTE(BC474," "&amp;L_ResultBad&amp;" "," ")))/(LEN(L_ResultBad)+1))&gt;SUMPRODUCT((LEN(BC474)-LEN(SUBSTITUTE(BC474," "&amp;L_NegPhrase&amp;" "," ")))/(LEN(L_NegPhrase)+1))),1,0),0)</f>
        <v>0</v>
      </c>
      <c r="BH474" s="61" t="n">
        <f aca="false">IFERROR(IF(SUMPRODUCT((LEN(BC474)-LEN(SUBSTITUTE(BC474," "&amp;L_Pending&amp;" "," ")))/(LEN(L_Pending)+1))&gt;SUMPRODUCT((LEN(BC474)-LEN(SUBSTITUTE(BC474," "&amp;L_PendNeg&amp;" "," ")))/(LEN(L_PendNeg)+1))+SUMPRODUCT((LEN(BC474)-LEN(SUBSTITUTE(BC474," "&amp;L_PendPrep&amp;" "," ")))/(LEN(L_PendPrep)+1)),1,0),1)</f>
        <v>0</v>
      </c>
      <c r="BI474" s="61" t="n">
        <f aca="false">IFERROR(IF(SUMPRODUCT((LEN(BD474)-LEN(SUBSTITUTE(BD474," "&amp;L_PendStrict&amp;" "," ")))/(LEN(L_PendStrict)+1))&gt;SUMPRODUCT((LEN(BD474)-LEN(SUBSTITUTE(BD474," "&amp;L_PendNeg&amp;" "," ")))/(LEN(L_PendNeg)+1)),1,0),1)</f>
        <v>0</v>
      </c>
      <c r="BJ474" s="61" t="n">
        <f aca="false">IFERROR(IF(SUMPRODUCT((LEN(BE474)-LEN(SUBSTITUTE(BE474," "&amp;L_Pending&amp;" "," ")))/(LEN(L_Pending)+1))&gt;SUMPRODUCT((LEN(BE474)-LEN(SUBSTITUTE(BE474," "&amp;L_PendNeg&amp;" "," ")))/(LEN(L_PendNeg)+1))+SUMPRODUCT((LEN(BE474)-LEN(SUBSTITUTE(BE474," "&amp;L_PendPrep&amp;" "," ")))/(LEN(L_PendPrep)+1)),1,0),1)</f>
        <v>0</v>
      </c>
      <c r="BK474" s="61" t="n">
        <f aca="false">IFERROR(IF(SUMPRODUCT((LEN(BF474)-LEN(SUBSTITUTE(BF474," "&amp;L_PendStrict&amp;" "," ")))/(LEN(L_PendStrict)+1))&gt;SUMPRODUCT((LEN(BF474)-LEN(SUBSTITUTE(BF474," "&amp;L_PendNeg&amp;" "," ")))/(LEN(L_PendNeg)+1)),1,0),1)</f>
        <v>0</v>
      </c>
      <c r="BL474" s="61" t="n">
        <f aca="false">IF(ISNA(MATCH(TRIM(S474),L_EvidenceType,0)),0,BZ474)</f>
        <v>0</v>
      </c>
      <c r="BM474" s="61" t="str">
        <f aca="false">SUBSTITUTE(SUBSTITUTE(SUBSTITUTE(SUBSTITUTE(SUBSTITUTE(SUBSTITUTE(SUBSTITUTE(SUBSTITUTE(SUBSTITUTE(LOWER(Z474&amp;""),"1","0"),"2","0"),"3","0"),"4","0"),"5","0"),"6","0"),"7","0"),"8","0"),"9","0")</f>
        <v/>
      </c>
      <c r="BN474" s="61" t="str">
        <f aca="false">SUBSTITUTE(SUBSTITUTE(SUBSTITUTE(SUBSTITUTE(SUBSTITUTE(SUBSTITUTE(SUBSTITUTE(SUBSTITUTE(SUBSTITUTE(SUBSTITUTE(SUBSTITUTE(SUBSTITUTE(SUBSTITUTE(SUBSTITUTE(SUBSTITUTE(SUBSTITUTE(SUBSTITUTE(SUBSTITUTE(SUBSTITUTE(SUBSTITUTE(SUBSTITUTE(SUBSTITUTE(SUBSTITUTE(SUBSTITUTE(SUBSTITUTE(BM474,"b","a"),"c","a"),"d","a"),"e","a"),"f","a"),"g","a"),"h","a"),"i","a"),"j","a"),"k","a"),"l","a"),"m","a"),"n","a"),"o","a"),"p","a"),"q","a"),"r","a"),"s","a"),"t","a"),"u","a"),"v","a"),"w","a"),"x","a"),"y","a"),"z","a")</f>
        <v/>
      </c>
      <c r="BO474" s="61" t="str">
        <f aca="false">SUBSTITUTE(SUBSTITUTE(SUBSTITUTE(SUBSTITUTE(SUBSTITUTE(SUBSTITUTE(SUBSTITUTE(SUBSTITUTE(SUBSTITUTE(LOWER(W474&amp;""),"1","0"),"2","0"),"3","0"),"4","0"),"5","0"),"6","0"),"7","0"),"8","0"),"9","0")</f>
        <v/>
      </c>
      <c r="BP474" s="61" t="str">
        <f aca="false">SUBSTITUTE(SUBSTITUTE(SUBSTITUTE(SUBSTITUTE(SUBSTITUTE(SUBSTITUTE(SUBSTITUTE(SUBSTITUTE(SUBSTITUTE(SUBSTITUTE(SUBSTITUTE(SUBSTITUTE(SUBSTITUTE(SUBSTITUTE(SUBSTITUTE(SUBSTITUTE(SUBSTITUTE(SUBSTITUTE(SUBSTITUTE(SUBSTITUTE(SUBSTITUTE(SUBSTITUTE(SUBSTITUTE(SUBSTITUTE(SUBSTITUTE(BO474,"b","a"),"c","a"),"d","a"),"e","a"),"f","a"),"g","a"),"h","a"),"i","a"),"j","a"),"k","a"),"l","a"),"m","a"),"n","a"),"o","a"),"p","a"),"q","a"),"r","a"),"s","a"),"t","a"),"u","a"),"v","a"),"w","a"),"x","a"),"y","a"),"z","a")</f>
        <v/>
      </c>
      <c r="BQ474" s="61" t="n">
        <f aca="false">IFERROR(IF(AND(ISERROR(SEARCH(" mh"," "&amp;LOWER(W474))),ISNA(MATCH(LEFT(TRIM(BP474),255),{"0000a","000a","00a","0000aa","000aa","00aa","0aa","0000aaa","000aaa","00a00","0a00","0000-0000","00:00","a00","a0","00.00.0000","00/00/0000","00-00-0000","0000-00-00","0000/00/00","0000.00.00","00.00.00","00/00/00","00-00-00","0.00.0000","0/00/0000","0-00-0000"},0)),ISNA(MATCH(LEFT(TRIM(CA474),255),{"0000a","000a","00a","0000aa","000aa","00aa","0aa","0000aaa","000aaa","00a00","0a00","0000-0000","00:00","a00","a0","00.00.0000","00/00/0000","00-00-0000","0000-00-00","0000/00/00","0000.00.00","00.00.00","00/00/00","00-00-00","0.00.0000","0/00/0000","0-00-0000"},0)),LEN(CB474)&gt;=3,NOT(OR(SUBSTITUTE(CB474,"0","")="",AND(LEN(CB474)&gt;=4,CB474=REPT(LEFT(CB474),LEN(CB474))),ISNUMBER(MATCH(CB474,{"123","1234","12345","123456","1234567","12345678","0123","01234","012345","98765","987654","54321"},0)),AND(LEN(CB474)=8,LEFT(CB474,3)="202"))),OR(AND((LEN(CA474)-LEN(SUBSTITUTE(CA474,"a","")))&gt;=1,SUMPRODUCT(--ISNUMBER(SEARCH({"a0","a-0","a_0","a/0","a.0","a#0","0a","0-a","0_a","0/a"},BP474)))&gt;0),ISNUMBER(SEARCH("000000",BP474)))),1,0),0)</f>
        <v>0</v>
      </c>
      <c r="BR474" s="61" t="n">
        <f aca="false">IFERROR(LEN(SUBSTITUTE(CC474," ",""))-SUMPRODUCT((LEN(CC474)-LEN(SUBSTITUTE(CC474," "&amp;L_Role&amp;" "," ")))/(LEN(L_Role)+1)*LEN(L_Role)),0)</f>
        <v>0</v>
      </c>
      <c r="BS474" s="61" t="n">
        <f aca="false">IFERROR(LEN(SUBSTITUTE(CD474," ",""))-SUMPRODUCT((LEN(CD474)-LEN(SUBSTITUTE(CD474," "&amp;L_Role&amp;" "," ")))/(LEN(L_Role)+1)*LEN(L_Role)),0)</f>
        <v>0</v>
      </c>
      <c r="BT4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474,"revision",""),"version",""),"jan",""),"feb",""),"mar",""),"apr",""),"may",""),"jun",""),"jul",""),"aug",""),"sep",""),"oct",""),"nov",""),"dec",""),"utc",""),"gmt",""),"myt",""),"bst",""),"rev",""),"ver",""),"b","a"),"c","a"),"d","a"),"e","a"),"f","a"),"g","a"),"h","a"),"i","a"),"j","a"),"k","a"),"l","a"),"m","a"),"n","a"),"o","a"),"p","a"),"q","a"),"r","a"),"s","a"),"t","a"),"u","a"),"v","a"),"w","a"),"x","a"),"y","a"),"z","a")</f>
        <v/>
      </c>
      <c r="BU474" s="61" t="str">
        <f aca="false">SUBSTITUTE(SUBSTITUTE(SUBSTITUTE(SUBSTITUTE(SUBSTITUTE(SUBSTITUTE(SUBSTITUTE(SUBSTITUTE(SUBSTITUTE(SUBSTITUTE(LEFT(BM474,FIND("0",BM474&amp;"0")-1),"-",""),"_",""),"/",""),".",""),"#",""),"\\",""),":","")," ",""),"(",""),")","")</f>
        <v/>
      </c>
      <c r="BV474" s="61" t="n">
        <f aca="false">0</f>
        <v>0</v>
      </c>
      <c r="BW4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474&amp;""),"a",""),"b",""),"c",""),"d",""),"e",""),"f",""),"g",""),"h",""),"i",""),"j",""),"k",""),"l",""),"m",""),"n",""),"o",""),"p",""),"q",""),"r",""),"s",""),"t",""),"u",""),"v",""),"w",""),"x",""),"y",""),"z",""),"-",""),"_",""),"/",""),".",""),"#",""),"\\",""),":","")," ",""),"(",""),")","")</f>
        <v/>
      </c>
      <c r="BX474" s="61" t="str">
        <f aca="false">SUBSTITUTE(SUBSTITUTE(SUBSTITUTE(SUBSTITUTE(SUBSTITUTE(SUBSTITUTE(SUBSTITUTE(SUBSTITUTE(SUBSTITUTE(SUBSTITUTE(SUBSTITUTE(BM474,"0",""),"-",""),"_",""),"/",""),".",""),"#",""),"\\",""),":","")," ",""),"(",""),")","")</f>
        <v/>
      </c>
      <c r="BY474" s="62" t="n">
        <f aca="false">Q474-T12EarlyH/24</f>
        <v>46309.0763888889</v>
      </c>
      <c r="BZ474" s="61" t="n">
        <f aca="false">IFERROR(IF(IF(TRIM(S474)="Link / file path",AND(LEN(TRIM(Z474))&gt;=5,SUMPRODUCT(--ISNUMBER(SEARCH({"http","www.","\\",":\",".pdf",".jpg",".jpeg",".png",".heic",".xls",".doc",".msg",".eml",".ppt",".txt",".zip"},Z474)))&gt;0),AND(ISERROR(FIND(" ",TRIM(Z474))),NOT(OR(SUMPRODUCT(--ISNUMBER(FIND({",",";","&amp;","+"},Z474)))&gt;0,SUMPRODUCT(--ISNUMBER(SEARCH({"0/aa","0\\aa"},BN474)))&gt;0)),NOT(SUMPRODUCT(--ISNUMBER(SEARCH({"http","www.","\\",":\",".pdf",".jpg",".jpeg",".png",".heic",".xls",".doc",".msg",".eml",".ppt",".txt",".zip"},Z474)))&gt;0),NOT(LOWER(TRIM(Z474))=LOWER(Flights!$F$18)),ISNA(MATCH(BU474,{"mh","rev","revision","ver","version","v","r","a","b","seat","tray","row","gate","bay","stand","page","pg","item","line","no","cart","galley","flight","flt","table","box","bag","oven","etd","eta","std","sta","atd","ata","qty","pax","x","time","tel","ph","mob","day","wk","week","utc","gmt","myt","lt"},0)),NOT(OR(ISNUMBER(MATCH(LEFT(BN474,255),{"0000a","000a","00a","0000aa","000aa","00aa","0aa","0000aaa","000aaa","00a00","0a00","0000-0000","00:00","a00","a0","00.00.0000","00/00/0000","00-00-0000","0000-00-00","0000/00/00","0000.00.00","00.00.00","00/00/00","00-00-00","0.00.0000","0/00/0000","0-00-0000"},0)),ISNUMBER(MATCH(LEFT(BT474,255),{"0000a","000a","00a","0000aa","000aa","00aa","0aa","0000aaa","000aaa","00a00","0a00","0000-0000","00:00","a00","a0","00.00.0000","00/00/0000","00-00-0000","0000-00-00","0000/00/00","0000.00.00","00.00.00","00/00/00","00-00-00","0.00.0000","0/00/0000","0-00-0000"},0)))),NOT(OR(AND(BW474&lt;&gt;"",SUBSTITUTE(BW474,"0","")=""),AND(LEN(BW474)&gt;=4,BW474=REPT(LEFT(BW474),LEN(BW474))),ISNUMBER(MATCH(BW474,{"123","1234","12345","123456","1234567","12345678","0123","01234","012345","98765","987654","54321"},0)),ISNUMBER(MATCH(BX474,{"x","xx","xxx","xxxx","xxxxx","abc","abcd","nil","na","nan","test","tbc","tba","tbd","dummy","sample","example","eg","zz","zzz","none","null","xyz","qwe","asd","id","ref"},0)),AND(LEN(BW474)=8,BX474="",OR(LEFT(BW474,3)="202",ISNUMBER(MATCH(RIGHT(BW474,4),{"2025","2026","2027"},0)))))),OR(AND((LEN(BT474)-LEN(SUBSTITUTE(BT474,"a","")))&gt;=1,(LEN(BN474)-LEN(SUBSTITUTE(BN474,"0","")))&gt;=2,SUMPRODUCT(--ISNUMBER(SEARCH({"a0","a-0","a_0","a/0","a.0","a#0","0a","0-a","0_a","0/a"},BN474)))&gt;0),AND((LEN(BN474)-LEN(SUBSTITUTE(BN474,"a","")))=0,(LEN(BN474)-LEN(SUBSTITUTE(BN474,"0","")))&gt;=5)))),1,0),0)</f>
        <v>0</v>
      </c>
      <c r="CA4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474,"revision",""),"version",""),"jan",""),"feb",""),"mar",""),"apr",""),"may",""),"jun",""),"jul",""),"aug",""),"sep",""),"oct",""),"nov",""),"dec",""),"utc",""),"gmt",""),"myt",""),"bst",""),"rev",""),"ver",""),"b","a"),"c","a"),"d","a"),"e","a"),"f","a"),"g","a"),"h","a"),"i","a"),"j","a"),"k","a"),"l","a"),"m","a"),"n","a"),"o","a"),"p","a"),"q","a"),"r","a"),"s","a"),"t","a"),"u","a"),"v","a"),"w","a"),"x","a"),"y","a"),"z","a")</f>
        <v/>
      </c>
      <c r="CB4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474&amp;""),"a",""),"b",""),"c",""),"d",""),"e",""),"f",""),"g",""),"h",""),"i",""),"j",""),"k",""),"l",""),"m",""),"n",""),"o",""),"p",""),"q",""),"r",""),"s",""),"t",""),"u",""),"v",""),"w",""),"x",""),"y",""),"z",""),"-",""),"_",""),"/",""),".",""),"#",""),"\\",""),":","")," ",""),"(",""),")","")</f>
        <v/>
      </c>
      <c r="CC474" s="0" t="str">
        <f aca="false">" "&amp;TRIM(SUBSTITUTE(SUBSTITUTE(SUBSTITUTE(SUBSTITUTE(SUBSTITUTE(SUBSTITUTE(SUBSTITUTE(SUBSTITUTE(SUBSTITUTE(SUBSTITUTE(SUBSTITUTE(SUBSTITUTE(SUBSTITUTE(SUBSTITUTE(SUBSTITUTE(SUBSTITUTE(SUBSTITUTE(SUBSTITUTE(SUBSTITUTE(SUBSTITUTE(SUBSTITUTE(SUBSTITUTE(SUBSTITUTE(SUBSTITUTE(LOWER(T474&amp;""),CHAR(10)," "),CHAR(13)," "),CHAR(9)," "),CHAR(160)," "),"."," "),","," "),"-"," "),"/"," "),"("," "),")"," "),":"," "),";"," "),"_"," "),"–"," "),"?"," "),"!"," "),"*"," "),"["," "),"]"," "),"'"," "),"#"," "),"+"," "),"&amp;"," "),"\"," "))&amp;" "</f>
        <v>  </v>
      </c>
      <c r="CD474" s="0" t="str">
        <f aca="false">" "&amp;TRIM(SUBSTITUTE(SUBSTITUTE(SUBSTITUTE(SUBSTITUTE(SUBSTITUTE(SUBSTITUTE(SUBSTITUTE(SUBSTITUTE(SUBSTITUTE(SUBSTITUTE(SUBSTITUTE(SUBSTITUTE(SUBSTITUTE(SUBSTITUTE(SUBSTITUTE(SUBSTITUTE(SUBSTITUTE(SUBSTITUTE(SUBSTITUTE(SUBSTITUTE(SUBSTITUTE(SUBSTITUTE(SUBSTITUTE(SUBSTITUTE(LOWER(AE474&amp;""),CHAR(10)," "),CHAR(13)," "),CHAR(9)," "),CHAR(160)," "),"."," "),","," "),"-"," "),"/"," "),"("," "),")"," "),":"," "),";"," "),"_"," "),"–"," "),"?"," "),"!"," "),"*"," "),"["," "),"]"," "),"'"," "),"#"," "),"+"," "),"&amp;"," "),"\"," "))&amp;" "</f>
        <v>  </v>
      </c>
      <c r="CE474" s="68" t="n">
        <f aca="false">IFERROR(IF(AND(LEN(AU474)&gt;0,LEN(AU474)=LEN(AX474),OR(TRIM(MID(SUBSTITUTE(TRIM(CC474)," ",REPT(" ",60)),1,60))="",ISNUMBER(SEARCH(" "&amp;TRIM(MID(SUBSTITUTE(TRIM(CC474)," ",REPT(" ",60)),1,60))&amp;" ",CD474))),OR(TRIM(MID(SUBSTITUTE(TRIM(CC474)," ",REPT(" ",60)),61,60))="",ISNUMBER(SEARCH(" "&amp;TRIM(MID(SUBSTITUTE(TRIM(CC474)," ",REPT(" ",60)),61,60))&amp;" ",CD474))),OR(TRIM(MID(SUBSTITUTE(TRIM(CC474)," ",REPT(" ",60)),121,60))="",ISNUMBER(SEARCH(" "&amp;TRIM(MID(SUBSTITUTE(TRIM(CC474)," ",REPT(" ",60)),121,60))&amp;" ",CD474)))),1,0),0)</f>
        <v>0</v>
      </c>
      <c r="CG474" s="68" t="n">
        <f aca="false">IFERROR(LEN(SUBSTITUTE(BF474," ",""))-SUMPRODUCT((LEN(BF474)-LEN(SUBSTITUTE(BF474," "&amp;L_NAFiller&amp;" "," ")))/(LEN(L_NAFiller)+1)*LEN(L_NAFiller)),0)</f>
        <v>0</v>
      </c>
    </row>
    <row r="475" customFormat="false" ht="91.5" hidden="false" customHeight="true" outlineLevel="0" collapsed="false">
      <c r="A475" s="57" t="s">
        <v>1123</v>
      </c>
      <c r="B475" s="57" t="s">
        <v>276</v>
      </c>
      <c r="C475" s="57" t="str">
        <f aca="false">Flights!$F$18</f>
        <v>MH0004</v>
      </c>
      <c r="D475" s="58" t="n">
        <f aca="false">Flights!$D$18</f>
        <v>46310</v>
      </c>
      <c r="E475" s="57" t="str">
        <f aca="false">Flights!$G$18&amp;"-"&amp;Flights!$H$18</f>
        <v>KUL-LHR</v>
      </c>
      <c r="F475" s="57" t="str">
        <f aca="false">Flights!$K$18</f>
        <v>EY</v>
      </c>
      <c r="G475" s="57" t="s">
        <v>420</v>
      </c>
      <c r="H475" s="57" t="s">
        <v>378</v>
      </c>
      <c r="I475" s="57" t="s">
        <v>447</v>
      </c>
      <c r="J475" s="57" t="s">
        <v>454</v>
      </c>
      <c r="K475" s="67" t="s">
        <v>455</v>
      </c>
      <c r="L475" s="67" t="s">
        <v>456</v>
      </c>
      <c r="M475" s="67" t="s">
        <v>451</v>
      </c>
      <c r="N475" s="67" t="s">
        <v>383</v>
      </c>
      <c r="O475" s="67" t="s">
        <v>1124</v>
      </c>
      <c r="P475" s="57" t="s">
        <v>187</v>
      </c>
      <c r="Q475" s="59" t="n">
        <f aca="false">ROUND((Flights!$AE$18)*1440,0)/1440</f>
        <v>46309.5763888889</v>
      </c>
      <c r="R475" s="59" t="n">
        <f aca="false">Q475+(IF(AND(INDEX(TZ_DSTS,MATCH(P475,TZ_STN,0))&lt;&gt;"",Q475&gt;=INDEX(TZ_DSTS,MATCH(P475,TZ_STN,0)),Q475&lt;INDEX(TZ_DSTE,MATCH(P475,TZ_STN,0))),INDEX(TZ_DST,MATCH(P475,TZ_STN,0)),INDEX(TZ_STD,MATCH(P475,TZ_STN,0))))/24</f>
        <v>46309.9097222222</v>
      </c>
      <c r="S475" s="60"/>
      <c r="T475" s="60"/>
      <c r="U475" s="60"/>
      <c r="V475" s="60"/>
      <c r="W475" s="61"/>
      <c r="X475" s="69" t="str">
        <f aca="false">IF(TRIM(Flights!$N$18)="","",IF(ISNUMBER(SEARCH("MAH",Flights!$N$18)),280,260))</f>
        <v/>
      </c>
      <c r="Y475" s="60"/>
      <c r="Z475" s="60"/>
      <c r="AA475" s="60"/>
      <c r="AB475" s="60"/>
      <c r="AC475" s="60"/>
      <c r="AD475" s="66"/>
      <c r="AE475" s="60"/>
      <c r="AF475" s="61" t="str">
        <f aca="false">IF(AND(ISNUMBER(X475),ISNUMBER(Y475)),Y475-X475,"")</f>
        <v/>
      </c>
      <c r="AG475" s="62" t="str">
        <f aca="false">IF(ISNUMBER(AD475),AD475-(IF(AND(INDEX(TZ_DSTS,MATCH(P475,TZ_STN,0))&lt;&gt;"",(AD475-INDEX(TZ_STD,MATCH(P475,TZ_STN,0))/24)&gt;=INDEX(TZ_DSTS,MATCH(P475,TZ_STN,0)),(AD475-INDEX(TZ_STD,MATCH(P475,TZ_STN,0))/24)&lt;INDEX(TZ_DSTE,MATCH(P475,TZ_STN,0))),INDEX(TZ_DST,MATCH(P475,TZ_STN,0)),INDEX(TZ_STD,MATCH(P475,TZ_STN,0))))/24,"")</f>
        <v/>
      </c>
      <c r="AH475" s="65" t="str">
        <f aca="false">IFERROR(IF(N475="N/A – rule",IF(OR(TRIM(U475)="",TRIM(U475)="N/A",TRIM(U475)="Not started"),"N/A – RULE","INVALID – this check does not apply to this aircraft: clear the status (or correct the fleet on Flights)"),IF(TRIM(U475)="N/A",IF(AT475=0,"INVALID – N/A not permitted for this check",IF(AND(TRIM(AB475)&lt;&gt;"",TRIM(AB475)&lt;&gt;"Closed"),"INVALID – corrective action still open",IF(AND(NOT(OR(LEN(AZ475)&lt;15,ISNUMBER(MATCH(AZ475,L_Placeholder,0)))),BK475=0,CG475&gt;=8,NOT(OR(LEN(AU475)&lt;2,ISNUMBER(MATCH(AU475,L_Placeholder,0)))),BR475&gt;=3,NOT(OR(LEN(AX475)&lt;2,ISNUMBER(MATCH(AX475,L_Placeholder,0)))),BS475&gt;=3,TRIM(AE475)&lt;&gt;TRIM(T475),AX475&lt;&gt;AU475,CE475=0),"N/A – JUSTIFIED","INVALID – N/A needs a real, settled reason (not 'not applicable' / 'as above' / TBC), a named PIC and a different named verifier"))),IF(OR(TRIM(U475)="Pass",TRIM(U475)="Pass after CA"),IF(NOT(ISNUMBER(AD475)),"INVALID – completion time missing",IF(OR(OR(LEN(AU475)&lt;2,ISNUMBER(MATCH(AU475,L_Placeholder,0))),BR475&lt;3),"INVALID – PIC missing or not a named person (a role such as QA / CSM is not a name)",IF(OR(LEN(AV475)&lt;2,ISNUMBER(MATCH(AV475,L_Placeholder,0))),"INVALID – result / assessment missing",IF(OR(OR(LEN(AW475)&lt;3,ISNUMBER(MATCH(AW475,L_Placeholder,0))),SUMPRODUCT(--ISNUMBER(SEARCH(" "&amp;L_EvidencePhrase&amp;" ",BD475)))&gt;0,BI475=1),"INVALID – evidence missing, placeholder or not yet on file",IF(ISNA(MATCH(TRIM(S475),L_EvidenceType,0)),"INVALID – choose the evidence type from the list (column S)",IF(BL475=0,"INVALID – evidence ID must be the record's own ID only (e.g. SF-2210, IMG_2231, 1045521); a link / file name needs type 'Link / file path'",IF(OR(OR(LEN(AX475)&lt;2,ISNUMBER(MATCH(AX475,L_Placeholder,0))),BS475&lt;3),"INVALID – verifier missing or not a named person (a role such as QA / CSM is not a name)",IF(OR(AX475=AU475,CE475=1,AND(LEN(AU475)&gt;=4,ISNUMBER(SEARCH(AU475,AX475))),AND(LEN(AX475)&gt;=4,ISNUMBER(SEARCH(AX475,AU475)))),"INVALID – verifier must be a different, named person (not the PIC or a role)",IF(BH475=1,"INVALID – result not yet available (awaiting / TBC)",IF(BG475=1,"INVALID – result describes a problem: record Fail, then Pass after CA (or reword if it is not a problem)",IF(BV475=1,"INVALID – wording says not on board: an on-board confirmation needs the item loaded",IF(AND(AQ475=1,OR(OR(LEN(AY475)&lt;3,ISNUMBER(MATCH(AY475,L_Placeholder,0))),BJ475=1,BQ475=0)),"INVALID – batch ID missing, placeholder or not an ID (e.g. PASB-261008-BC-017)",IF(AND(AR475=1,OR(NOT(ISNUMBER(X475)),NOT(ISNUMBER(Y475)))),"INVALID – expected/actual qty missing",IF(AND(AR475=1,OR(X475&lt;=0,Y475&lt;0)),"INVALID – expected qty must be above 0 and actual not negative",IF(BB475&lt;&gt;"",BB475,IF(AND(AS475=1,Documents!$J$18&lt;&gt;"ON FILE"),"INVALID – GLD not on file (Documents sheet)",IF(AND(AS475=2,Documents!$O$18&lt;&gt;"ON FILE"),"INVALID – menu checklist not on file (Documents sheet)",IF(AND(AS475=3,NOT(ISNUMBER(Flights!$AX$18))),"INVALID – enter carrying flight KUL departure (Flights AX)",IF(AND(AS475=3,OR(Flights!$AZ$18&gt;Flights!$AA$18,Flights!$AX$18&lt;Flights!$AA$18-3)),"INVALID – carrying flight (Flights AX) cannot arrive before this leg's STD, or is over 3 days early",IF(AG475&gt;AsOfUTC,"INVALID – completion time is in the future",IF(AND(ISNUMBER(BY475),AG475&lt;BY475),IF(H475="Physical uplift","INVALID – before uplift window (cannot confirm loading)","INVALID – before valid window"),IF(AG475&gt;Flights!$AA$18,"INVALID – completed after departure (cannot establish readiness)",IF(AND(H475="Preparation",AG475&gt;=IF(ISNUMBER(Flights!$BA$18),MIN(Flights!$BA$18,Flights!$AA$18),Flights!$AA$18)),"INVALID – completed after loading / departure (cannot establish readiness)",IF(AND(H475="Physical uplift",AG475&gt;Q475),"INVALID – recorded after the loading flight departed",IF(AG475&gt;Q475,"COMPLETE – LATE","COMPLETE"))))))))))))))))))))))))),IF(TRIM(U475)="Fail","FAIL – DISCREPANCY",IF(AND(TRIM(U475)&lt;&gt;"",TRIM(U475)&lt;&gt;"Not started",TRIM(U475)&lt;&gt;"In progress"),"INVALID – unrecognised status (use the list)",IF(AsOfUTC&gt;Q475,"OVERDUE",IF(N475="Clarification required","OPEN – CLARIFICATION","OPEN"))))))),"INVALID – error value in an input cell")</f>
        <v>OPEN</v>
      </c>
      <c r="AI475" s="61" t="n">
        <f aca="false">IF(OR(AH475="N/A – RULE",AH475="N/A – JUSTIFIED"),0,1)</f>
        <v>1</v>
      </c>
      <c r="AJ475" s="61" t="n">
        <f aca="false">IF(LEFT(AH475,8)="COMPLETE",1,0)</f>
        <v>0</v>
      </c>
      <c r="AK475" s="61" t="n">
        <f aca="false">IF(AND(AI475=1,AJ475=0,AsOfUTC&gt;Q475),1,0)</f>
        <v>0</v>
      </c>
      <c r="AL475" s="61" t="n">
        <f aca="false">IFERROR(IF(AND(AI475=1,OR(TRIM(U475)="Fail",AND(TRIM(AB475)&lt;&gt;"",TRIM(AB475)&lt;&gt;"Closed"),AND(ISNUMBER(AF475),AF475&lt;&gt;0,TRIM(U475)&lt;&gt;"Pass after CA"))),1,0),1)</f>
        <v>0</v>
      </c>
      <c r="AM475" s="61" t="n">
        <f aca="false">IF(LEFT(AH475,7)="INVALID",1,0)</f>
        <v>0</v>
      </c>
      <c r="AN475" s="61" t="n">
        <f aca="false">IF(AND(N475="Clarification required",AI475=1,AJ475=0),1,0)</f>
        <v>0</v>
      </c>
      <c r="AO475" s="61" t="str">
        <f aca="false">IF(AK475=1,SUM(AK$5:AK475),"")</f>
        <v/>
      </c>
      <c r="AP475" s="61" t="str">
        <f aca="false">IF(AL475=1,SUM(AL$5:AL475),"")</f>
        <v/>
      </c>
      <c r="AQ475" s="61" t="n">
        <v>0</v>
      </c>
      <c r="AR475" s="61" t="n">
        <v>1</v>
      </c>
      <c r="AS475" s="61" t="n">
        <v>0</v>
      </c>
      <c r="AT475" s="61" t="n">
        <v>0</v>
      </c>
      <c r="AU475" s="61" t="str">
        <f aca="false">SUBSTITUTE(SUBSTITUTE(SUBSTITUTE(SUBSTITUTE(SUBSTITUTE(SUBSTITUTE(SUBSTITUTE(SUBSTITUTE(SUBSTITUTE(SUBSTITUTE(SUBSTITUTE(SUBSTITUTE(SUBSTITUTE(SUBSTITUTE(SUBSTITUTE(SUBSTITUTE(LOWER(T475&amp;""),CHAR(10),""),CHAR(13),""),CHAR(9),""),CHAR(160),"")," ",""),".",""),"-",""),"/",""),"?",""),"_",""),",",""),"[",""),"]",""),"(",""),")",""),"*","")</f>
        <v/>
      </c>
      <c r="AV475" s="61" t="str">
        <f aca="false">SUBSTITUTE(SUBSTITUTE(SUBSTITUTE(SUBSTITUTE(SUBSTITUTE(SUBSTITUTE(SUBSTITUTE(SUBSTITUTE(SUBSTITUTE(SUBSTITUTE(SUBSTITUTE(SUBSTITUTE(SUBSTITUTE(SUBSTITUTE(SUBSTITUTE(SUBSTITUTE(LOWER(V475&amp;""),CHAR(10),""),CHAR(13),""),CHAR(9),""),CHAR(160),"")," ",""),".",""),"-",""),"/",""),"?",""),"_",""),",",""),"[",""),"]",""),"(",""),")",""),"*","")</f>
        <v/>
      </c>
      <c r="AW475" s="61" t="str">
        <f aca="false">SUBSTITUTE(SUBSTITUTE(SUBSTITUTE(SUBSTITUTE(SUBSTITUTE(SUBSTITUTE(SUBSTITUTE(SUBSTITUTE(SUBSTITUTE(SUBSTITUTE(SUBSTITUTE(SUBSTITUTE(SUBSTITUTE(SUBSTITUTE(SUBSTITUTE(SUBSTITUTE(LOWER(Z475&amp;""),CHAR(10),""),CHAR(13),""),CHAR(9),""),CHAR(160),"")," ",""),".",""),"-",""),"/",""),"?",""),"_",""),",",""),"[",""),"]",""),"(",""),")",""),"*","")</f>
        <v/>
      </c>
      <c r="AX475" s="61" t="str">
        <f aca="false">SUBSTITUTE(SUBSTITUTE(SUBSTITUTE(SUBSTITUTE(SUBSTITUTE(SUBSTITUTE(SUBSTITUTE(SUBSTITUTE(SUBSTITUTE(SUBSTITUTE(SUBSTITUTE(SUBSTITUTE(SUBSTITUTE(SUBSTITUTE(SUBSTITUTE(SUBSTITUTE(LOWER(AE475&amp;""),CHAR(10),""),CHAR(13),""),CHAR(9),""),CHAR(160),"")," ",""),".",""),"-",""),"/",""),"?",""),"_",""),",",""),"[",""),"]",""),"(",""),")",""),"*","")</f>
        <v/>
      </c>
      <c r="AY475" s="61" t="str">
        <f aca="false">SUBSTITUTE(SUBSTITUTE(SUBSTITUTE(SUBSTITUTE(SUBSTITUTE(SUBSTITUTE(SUBSTITUTE(SUBSTITUTE(SUBSTITUTE(SUBSTITUTE(SUBSTITUTE(SUBSTITUTE(SUBSTITUTE(SUBSTITUTE(SUBSTITUTE(SUBSTITUTE(LOWER(W475&amp;""),CHAR(10),""),CHAR(13),""),CHAR(9),""),CHAR(160),"")," ",""),".",""),"-",""),"/",""),"?",""),"_",""),",",""),"[",""),"]",""),"(",""),")",""),"*","")</f>
        <v/>
      </c>
      <c r="AZ475" s="61" t="str">
        <f aca="false">SUBSTITUTE(SUBSTITUTE(SUBSTITUTE(SUBSTITUTE(SUBSTITUTE(SUBSTITUTE(SUBSTITUTE(SUBSTITUTE(SUBSTITUTE(SUBSTITUTE(SUBSTITUTE(SUBSTITUTE(SUBSTITUTE(SUBSTITUTE(SUBSTITUTE(SUBSTITUTE(LOWER(AC475&amp;""),CHAR(10),""),CHAR(13),""),CHAR(9),""),CHAR(160),"")," ",""),".",""),"-",""),"/",""),"?",""),"_",""),",",""),"[",""),"]",""),"(",""),")",""),"*","")</f>
        <v/>
      </c>
      <c r="BA475" s="61" t="str">
        <f aca="false">SUBSTITUTE(SUBSTITUTE(SUBSTITUTE(SUBSTITUTE(SUBSTITUTE(SUBSTITUTE(SUBSTITUTE(SUBSTITUTE(SUBSTITUTE(SUBSTITUTE(SUBSTITUTE(SUBSTITUTE(SUBSTITUTE(SUBSTITUTE(SUBSTITUTE(SUBSTITUTE(LOWER(AA475&amp;""),CHAR(10),""),CHAR(13),""),CHAR(9),""),CHAR(160),"")," ",""),".",""),"-",""),"/",""),"?",""),"_",""),",",""),"[",""),"]",""),"(",""),")",""),"*","")</f>
        <v/>
      </c>
      <c r="BB475" s="61" t="str">
        <f aca="false">IF(AND(TRIM(U475)="Pass",ISNUMBER(AF475)),IF(AF475&lt;&gt;0,"INVALID – qty variance: use Fail or Pass after CA",""),"")&amp;IF(AND(TRIM(U475)="Pass after CA",ISNUMBER(AF475)),IF(AF475&lt;&gt;0,"INVALID – after the corrective action the actual qty must equal expected (update Actual)",""),"")&amp;IF(AND(TRIM(U475)="Pass",TRIM(AB475)&lt;&gt;"",TRIM(AB475)&lt;&gt;"Closed"),"INVALID – corrective action not closed: use Fail, then Pass after CA","")&amp;IF(AND(LEN(BA475)&gt;=2,ISNA(MATCH(LEFT(BA475,255),L_Placeholder,0)),TRIM(AB475)=""),"INVALID – CA status missing for the recorded corrective action","")&amp;IF(AND(TRIM(U475)="Pass after CA",OR(OR(LEN(BA475)&lt;5,ISNUMBER(MATCH(BA475,L_Placeholder,0))),TRIM(AB475)&lt;&gt;"Closed")),"INVALID – corrective action not recorded/closed","")</f>
        <v/>
      </c>
      <c r="BC475" s="61" t="str">
        <f aca="false">" "&amp;TRIM(SUBSTITUTE(SUBSTITUTE(SUBSTITUTE(SUBSTITUTE(SUBSTITUTE(SUBSTITUTE(SUBSTITUTE(SUBSTITUTE(SUBSTITUTE(SUBSTITUTE(SUBSTITUTE(SUBSTITUTE(SUBSTITUTE(SUBSTITUTE(SUBSTITUTE(SUBSTITUTE(SUBSTITUTE(SUBSTITUTE(SUBSTITUTE(SUBSTITUTE(SUBSTITUTE(SUBSTITUTE(SUBSTITUTE(SUBSTITUTE(LOWER(V475&amp;""),CHAR(10)," "),CHAR(13)," "),CHAR(9)," "),CHAR(160)," "),"."," "),","," "),"-"," "),"/"," "),"("," "),")"," "),":"," "),";"," "),"_"," "),"–"," "),"?"," "),"!"," "),"*"," "),"["," "),"]"," "),"'"," "),"#"," "),"+"," "),"&amp;"," "),"\"," "))&amp;" "</f>
        <v>  </v>
      </c>
      <c r="BD475" s="61" t="str">
        <f aca="false">" "&amp;TRIM(SUBSTITUTE(SUBSTITUTE(SUBSTITUTE(SUBSTITUTE(SUBSTITUTE(SUBSTITUTE(SUBSTITUTE(SUBSTITUTE(SUBSTITUTE(SUBSTITUTE(SUBSTITUTE(SUBSTITUTE(SUBSTITUTE(SUBSTITUTE(SUBSTITUTE(SUBSTITUTE(SUBSTITUTE(SUBSTITUTE(SUBSTITUTE(SUBSTITUTE(SUBSTITUTE(SUBSTITUTE(SUBSTITUTE(SUBSTITUTE(LOWER(Z475&amp;""),CHAR(10)," "),CHAR(13)," "),CHAR(9)," "),CHAR(160)," "),"."," "),","," "),"-"," "),"/"," "),"("," "),")"," "),":"," "),";"," "),"_"," "),"–"," "),"?"," "),"!"," "),"*"," "),"["," "),"]"," "),"'"," "),"#"," "),"+"," "),"&amp;"," "),"\"," "))&amp;" "</f>
        <v>  </v>
      </c>
      <c r="BE475" s="61" t="str">
        <f aca="false">" "&amp;TRIM(SUBSTITUTE(SUBSTITUTE(SUBSTITUTE(SUBSTITUTE(SUBSTITUTE(SUBSTITUTE(SUBSTITUTE(SUBSTITUTE(SUBSTITUTE(SUBSTITUTE(SUBSTITUTE(SUBSTITUTE(SUBSTITUTE(SUBSTITUTE(SUBSTITUTE(SUBSTITUTE(SUBSTITUTE(SUBSTITUTE(SUBSTITUTE(SUBSTITUTE(SUBSTITUTE(SUBSTITUTE(SUBSTITUTE(SUBSTITUTE(LOWER(W475&amp;""),CHAR(10)," "),CHAR(13)," "),CHAR(9)," "),CHAR(160)," "),"."," "),","," "),"-"," "),"/"," "),"("," "),")"," "),":"," "),";"," "),"_"," "),"–"," "),"?"," "),"!"," "),"*"," "),"["," "),"]"," "),"'"," "),"#"," "),"+"," "),"&amp;"," "),"\"," "))&amp;" "</f>
        <v>  </v>
      </c>
      <c r="BF475" s="61" t="str">
        <f aca="false">" "&amp;TRIM(SUBSTITUTE(SUBSTITUTE(SUBSTITUTE(SUBSTITUTE(SUBSTITUTE(SUBSTITUTE(SUBSTITUTE(SUBSTITUTE(SUBSTITUTE(SUBSTITUTE(SUBSTITUTE(SUBSTITUTE(SUBSTITUTE(SUBSTITUTE(SUBSTITUTE(SUBSTITUTE(SUBSTITUTE(SUBSTITUTE(SUBSTITUTE(SUBSTITUTE(SUBSTITUTE(SUBSTITUTE(SUBSTITUTE(SUBSTITUTE(LOWER(AC475&amp;""),CHAR(10)," "),CHAR(13)," "),CHAR(9)," "),CHAR(160)," "),"."," "),","," "),"-"," "),"/"," "),"("," "),")"," "),":"," "),";"," "),"_"," "),"–"," "),"?"," "),"!"," "),"*"," "),"["," "),"]"," "),"'"," "),"#"," "),"+"," "),"&amp;"," "),"\"," "))&amp;" "</f>
        <v>  </v>
      </c>
      <c r="BG475" s="61" t="n">
        <f aca="false">IFERROR(IF(AND(TRIM(U475)="Pass",SUMPRODUCT((LEN(BC475)-LEN(SUBSTITUTE(BC475," "&amp;L_ResultBad&amp;" "," ")))/(LEN(L_ResultBad)+1))&gt;SUMPRODUCT((LEN(BC475)-LEN(SUBSTITUTE(BC475," "&amp;L_NegPhrase&amp;" "," ")))/(LEN(L_NegPhrase)+1))),1,0),0)</f>
        <v>0</v>
      </c>
      <c r="BH475" s="61" t="n">
        <f aca="false">IFERROR(IF(SUMPRODUCT((LEN(BC475)-LEN(SUBSTITUTE(BC475," "&amp;L_Pending&amp;" "," ")))/(LEN(L_Pending)+1))&gt;SUMPRODUCT((LEN(BC475)-LEN(SUBSTITUTE(BC475," "&amp;L_PendNeg&amp;" "," ")))/(LEN(L_PendNeg)+1))+SUMPRODUCT((LEN(BC475)-LEN(SUBSTITUTE(BC475," "&amp;L_PendPrep&amp;" "," ")))/(LEN(L_PendPrep)+1)),1,0),1)</f>
        <v>0</v>
      </c>
      <c r="BI475" s="61" t="n">
        <f aca="false">IFERROR(IF(SUMPRODUCT((LEN(BD475)-LEN(SUBSTITUTE(BD475," "&amp;L_PendStrict&amp;" "," ")))/(LEN(L_PendStrict)+1))&gt;SUMPRODUCT((LEN(BD475)-LEN(SUBSTITUTE(BD475," "&amp;L_PendNeg&amp;" "," ")))/(LEN(L_PendNeg)+1)),1,0),1)</f>
        <v>0</v>
      </c>
      <c r="BJ475" s="61" t="n">
        <f aca="false">IFERROR(IF(SUMPRODUCT((LEN(BE475)-LEN(SUBSTITUTE(BE475," "&amp;L_Pending&amp;" "," ")))/(LEN(L_Pending)+1))&gt;SUMPRODUCT((LEN(BE475)-LEN(SUBSTITUTE(BE475," "&amp;L_PendNeg&amp;" "," ")))/(LEN(L_PendNeg)+1))+SUMPRODUCT((LEN(BE475)-LEN(SUBSTITUTE(BE475," "&amp;L_PendPrep&amp;" "," ")))/(LEN(L_PendPrep)+1)),1,0),1)</f>
        <v>0</v>
      </c>
      <c r="BK475" s="61" t="n">
        <f aca="false">IFERROR(IF(SUMPRODUCT((LEN(BF475)-LEN(SUBSTITUTE(BF475," "&amp;L_PendStrict&amp;" "," ")))/(LEN(L_PendStrict)+1))&gt;SUMPRODUCT((LEN(BF475)-LEN(SUBSTITUTE(BF475," "&amp;L_PendNeg&amp;" "," ")))/(LEN(L_PendNeg)+1)),1,0),1)</f>
        <v>0</v>
      </c>
      <c r="BL475" s="61" t="n">
        <f aca="false">IF(ISNA(MATCH(TRIM(S475),L_EvidenceType,0)),0,BZ475)</f>
        <v>0</v>
      </c>
      <c r="BM475" s="61" t="str">
        <f aca="false">SUBSTITUTE(SUBSTITUTE(SUBSTITUTE(SUBSTITUTE(SUBSTITUTE(SUBSTITUTE(SUBSTITUTE(SUBSTITUTE(SUBSTITUTE(LOWER(Z475&amp;""),"1","0"),"2","0"),"3","0"),"4","0"),"5","0"),"6","0"),"7","0"),"8","0"),"9","0")</f>
        <v/>
      </c>
      <c r="BN475" s="61" t="str">
        <f aca="false">SUBSTITUTE(SUBSTITUTE(SUBSTITUTE(SUBSTITUTE(SUBSTITUTE(SUBSTITUTE(SUBSTITUTE(SUBSTITUTE(SUBSTITUTE(SUBSTITUTE(SUBSTITUTE(SUBSTITUTE(SUBSTITUTE(SUBSTITUTE(SUBSTITUTE(SUBSTITUTE(SUBSTITUTE(SUBSTITUTE(SUBSTITUTE(SUBSTITUTE(SUBSTITUTE(SUBSTITUTE(SUBSTITUTE(SUBSTITUTE(SUBSTITUTE(BM475,"b","a"),"c","a"),"d","a"),"e","a"),"f","a"),"g","a"),"h","a"),"i","a"),"j","a"),"k","a"),"l","a"),"m","a"),"n","a"),"o","a"),"p","a"),"q","a"),"r","a"),"s","a"),"t","a"),"u","a"),"v","a"),"w","a"),"x","a"),"y","a"),"z","a")</f>
        <v/>
      </c>
      <c r="BO475" s="61" t="str">
        <f aca="false">SUBSTITUTE(SUBSTITUTE(SUBSTITUTE(SUBSTITUTE(SUBSTITUTE(SUBSTITUTE(SUBSTITUTE(SUBSTITUTE(SUBSTITUTE(LOWER(W475&amp;""),"1","0"),"2","0"),"3","0"),"4","0"),"5","0"),"6","0"),"7","0"),"8","0"),"9","0")</f>
        <v/>
      </c>
      <c r="BP475" s="61" t="str">
        <f aca="false">SUBSTITUTE(SUBSTITUTE(SUBSTITUTE(SUBSTITUTE(SUBSTITUTE(SUBSTITUTE(SUBSTITUTE(SUBSTITUTE(SUBSTITUTE(SUBSTITUTE(SUBSTITUTE(SUBSTITUTE(SUBSTITUTE(SUBSTITUTE(SUBSTITUTE(SUBSTITUTE(SUBSTITUTE(SUBSTITUTE(SUBSTITUTE(SUBSTITUTE(SUBSTITUTE(SUBSTITUTE(SUBSTITUTE(SUBSTITUTE(SUBSTITUTE(BO475,"b","a"),"c","a"),"d","a"),"e","a"),"f","a"),"g","a"),"h","a"),"i","a"),"j","a"),"k","a"),"l","a"),"m","a"),"n","a"),"o","a"),"p","a"),"q","a"),"r","a"),"s","a"),"t","a"),"u","a"),"v","a"),"w","a"),"x","a"),"y","a"),"z","a")</f>
        <v/>
      </c>
      <c r="BQ475" s="61" t="n">
        <f aca="false">IFERROR(IF(AND(ISERROR(SEARCH(" mh"," "&amp;LOWER(W475))),ISNA(MATCH(LEFT(TRIM(BP475),255),{"0000a","000a","00a","0000aa","000aa","00aa","0aa","0000aaa","000aaa","00a00","0a00","0000-0000","00:00","a00","a0","00.00.0000","00/00/0000","00-00-0000","0000-00-00","0000/00/00","0000.00.00","00.00.00","00/00/00","00-00-00","0.00.0000","0/00/0000","0-00-0000"},0)),ISNA(MATCH(LEFT(TRIM(CA475),255),{"0000a","000a","00a","0000aa","000aa","00aa","0aa","0000aaa","000aaa","00a00","0a00","0000-0000","00:00","a00","a0","00.00.0000","00/00/0000","00-00-0000","0000-00-00","0000/00/00","0000.00.00","00.00.00","00/00/00","00-00-00","0.00.0000","0/00/0000","0-00-0000"},0)),LEN(CB475)&gt;=3,NOT(OR(SUBSTITUTE(CB475,"0","")="",AND(LEN(CB475)&gt;=4,CB475=REPT(LEFT(CB475),LEN(CB475))),ISNUMBER(MATCH(CB475,{"123","1234","12345","123456","1234567","12345678","0123","01234","012345","98765","987654","54321"},0)),AND(LEN(CB475)=8,LEFT(CB475,3)="202"))),OR(AND((LEN(CA475)-LEN(SUBSTITUTE(CA475,"a","")))&gt;=1,SUMPRODUCT(--ISNUMBER(SEARCH({"a0","a-0","a_0","a/0","a.0","a#0","0a","0-a","0_a","0/a"},BP475)))&gt;0),ISNUMBER(SEARCH("000000",BP475)))),1,0),0)</f>
        <v>0</v>
      </c>
      <c r="BR475" s="61" t="n">
        <f aca="false">IFERROR(LEN(SUBSTITUTE(CC475," ",""))-SUMPRODUCT((LEN(CC475)-LEN(SUBSTITUTE(CC475," "&amp;L_Role&amp;" "," ")))/(LEN(L_Role)+1)*LEN(L_Role)),0)</f>
        <v>0</v>
      </c>
      <c r="BS475" s="61" t="n">
        <f aca="false">IFERROR(LEN(SUBSTITUTE(CD475," ",""))-SUMPRODUCT((LEN(CD475)-LEN(SUBSTITUTE(CD475," "&amp;L_Role&amp;" "," ")))/(LEN(L_Role)+1)*LEN(L_Role)),0)</f>
        <v>0</v>
      </c>
      <c r="BT4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475,"revision",""),"version",""),"jan",""),"feb",""),"mar",""),"apr",""),"may",""),"jun",""),"jul",""),"aug",""),"sep",""),"oct",""),"nov",""),"dec",""),"utc",""),"gmt",""),"myt",""),"bst",""),"rev",""),"ver",""),"b","a"),"c","a"),"d","a"),"e","a"),"f","a"),"g","a"),"h","a"),"i","a"),"j","a"),"k","a"),"l","a"),"m","a"),"n","a"),"o","a"),"p","a"),"q","a"),"r","a"),"s","a"),"t","a"),"u","a"),"v","a"),"w","a"),"x","a"),"y","a"),"z","a")</f>
        <v/>
      </c>
      <c r="BU475" s="61" t="str">
        <f aca="false">SUBSTITUTE(SUBSTITUTE(SUBSTITUTE(SUBSTITUTE(SUBSTITUTE(SUBSTITUTE(SUBSTITUTE(SUBSTITUTE(SUBSTITUTE(SUBSTITUTE(LEFT(BM475,FIND("0",BM475&amp;"0")-1),"-",""),"_",""),"/",""),".",""),"#",""),"\\",""),":","")," ",""),"(",""),")","")</f>
        <v/>
      </c>
      <c r="BV475" s="61" t="n">
        <f aca="false">0</f>
        <v>0</v>
      </c>
      <c r="BW4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475&amp;""),"a",""),"b",""),"c",""),"d",""),"e",""),"f",""),"g",""),"h",""),"i",""),"j",""),"k",""),"l",""),"m",""),"n",""),"o",""),"p",""),"q",""),"r",""),"s",""),"t",""),"u",""),"v",""),"w",""),"x",""),"y",""),"z",""),"-",""),"_",""),"/",""),".",""),"#",""),"\\",""),":","")," ",""),"(",""),")","")</f>
        <v/>
      </c>
      <c r="BX475" s="61" t="str">
        <f aca="false">SUBSTITUTE(SUBSTITUTE(SUBSTITUTE(SUBSTITUTE(SUBSTITUTE(SUBSTITUTE(SUBSTITUTE(SUBSTITUTE(SUBSTITUTE(SUBSTITUTE(SUBSTITUTE(BM475,"0",""),"-",""),"_",""),"/",""),".",""),"#",""),"\\",""),":","")," ",""),"(",""),")","")</f>
        <v/>
      </c>
      <c r="BY475" s="62" t="n">
        <f aca="false">Q475-T12EarlyH/24</f>
        <v>46309.0763888889</v>
      </c>
      <c r="BZ475" s="61" t="n">
        <f aca="false">IFERROR(IF(IF(TRIM(S475)="Link / file path",AND(LEN(TRIM(Z475))&gt;=5,SUMPRODUCT(--ISNUMBER(SEARCH({"http","www.","\\",":\",".pdf",".jpg",".jpeg",".png",".heic",".xls",".doc",".msg",".eml",".ppt",".txt",".zip"},Z475)))&gt;0),AND(ISERROR(FIND(" ",TRIM(Z475))),NOT(OR(SUMPRODUCT(--ISNUMBER(FIND({",",";","&amp;","+"},Z475)))&gt;0,SUMPRODUCT(--ISNUMBER(SEARCH({"0/aa","0\\aa"},BN475)))&gt;0)),NOT(SUMPRODUCT(--ISNUMBER(SEARCH({"http","www.","\\",":\",".pdf",".jpg",".jpeg",".png",".heic",".xls",".doc",".msg",".eml",".ppt",".txt",".zip"},Z475)))&gt;0),NOT(LOWER(TRIM(Z475))=LOWER(Flights!$F$18)),ISNA(MATCH(BU475,{"mh","rev","revision","ver","version","v","r","a","b","seat","tray","row","gate","bay","stand","page","pg","item","line","no","cart","galley","flight","flt","table","box","bag","oven","etd","eta","std","sta","atd","ata","qty","pax","x","time","tel","ph","mob","day","wk","week","utc","gmt","myt","lt"},0)),NOT(OR(ISNUMBER(MATCH(LEFT(BN475,255),{"0000a","000a","00a","0000aa","000aa","00aa","0aa","0000aaa","000aaa","00a00","0a00","0000-0000","00:00","a00","a0","00.00.0000","00/00/0000","00-00-0000","0000-00-00","0000/00/00","0000.00.00","00.00.00","00/00/00","00-00-00","0.00.0000","0/00/0000","0-00-0000"},0)),ISNUMBER(MATCH(LEFT(BT475,255),{"0000a","000a","00a","0000aa","000aa","00aa","0aa","0000aaa","000aaa","00a00","0a00","0000-0000","00:00","a00","a0","00.00.0000","00/00/0000","00-00-0000","0000-00-00","0000/00/00","0000.00.00","00.00.00","00/00/00","00-00-00","0.00.0000","0/00/0000","0-00-0000"},0)))),NOT(OR(AND(BW475&lt;&gt;"",SUBSTITUTE(BW475,"0","")=""),AND(LEN(BW475)&gt;=4,BW475=REPT(LEFT(BW475),LEN(BW475))),ISNUMBER(MATCH(BW475,{"123","1234","12345","123456","1234567","12345678","0123","01234","012345","98765","987654","54321"},0)),ISNUMBER(MATCH(BX475,{"x","xx","xxx","xxxx","xxxxx","abc","abcd","nil","na","nan","test","tbc","tba","tbd","dummy","sample","example","eg","zz","zzz","none","null","xyz","qwe","asd","id","ref"},0)),AND(LEN(BW475)=8,BX475="",OR(LEFT(BW475,3)="202",ISNUMBER(MATCH(RIGHT(BW475,4),{"2025","2026","2027"},0)))))),OR(AND((LEN(BT475)-LEN(SUBSTITUTE(BT475,"a","")))&gt;=1,(LEN(BN475)-LEN(SUBSTITUTE(BN475,"0","")))&gt;=2,SUMPRODUCT(--ISNUMBER(SEARCH({"a0","a-0","a_0","a/0","a.0","a#0","0a","0-a","0_a","0/a"},BN475)))&gt;0),AND((LEN(BN475)-LEN(SUBSTITUTE(BN475,"a","")))=0,(LEN(BN475)-LEN(SUBSTITUTE(BN475,"0","")))&gt;=5)))),1,0),0)</f>
        <v>0</v>
      </c>
      <c r="CA4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475,"revision",""),"version",""),"jan",""),"feb",""),"mar",""),"apr",""),"may",""),"jun",""),"jul",""),"aug",""),"sep",""),"oct",""),"nov",""),"dec",""),"utc",""),"gmt",""),"myt",""),"bst",""),"rev",""),"ver",""),"b","a"),"c","a"),"d","a"),"e","a"),"f","a"),"g","a"),"h","a"),"i","a"),"j","a"),"k","a"),"l","a"),"m","a"),"n","a"),"o","a"),"p","a"),"q","a"),"r","a"),"s","a"),"t","a"),"u","a"),"v","a"),"w","a"),"x","a"),"y","a"),"z","a")</f>
        <v/>
      </c>
      <c r="CB4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475&amp;""),"a",""),"b",""),"c",""),"d",""),"e",""),"f",""),"g",""),"h",""),"i",""),"j",""),"k",""),"l",""),"m",""),"n",""),"o",""),"p",""),"q",""),"r",""),"s",""),"t",""),"u",""),"v",""),"w",""),"x",""),"y",""),"z",""),"-",""),"_",""),"/",""),".",""),"#",""),"\\",""),":","")," ",""),"(",""),")","")</f>
        <v/>
      </c>
      <c r="CC475" s="0" t="str">
        <f aca="false">" "&amp;TRIM(SUBSTITUTE(SUBSTITUTE(SUBSTITUTE(SUBSTITUTE(SUBSTITUTE(SUBSTITUTE(SUBSTITUTE(SUBSTITUTE(SUBSTITUTE(SUBSTITUTE(SUBSTITUTE(SUBSTITUTE(SUBSTITUTE(SUBSTITUTE(SUBSTITUTE(SUBSTITUTE(SUBSTITUTE(SUBSTITUTE(SUBSTITUTE(SUBSTITUTE(SUBSTITUTE(SUBSTITUTE(SUBSTITUTE(SUBSTITUTE(LOWER(T475&amp;""),CHAR(10)," "),CHAR(13)," "),CHAR(9)," "),CHAR(160)," "),"."," "),","," "),"-"," "),"/"," "),"("," "),")"," "),":"," "),";"," "),"_"," "),"–"," "),"?"," "),"!"," "),"*"," "),"["," "),"]"," "),"'"," "),"#"," "),"+"," "),"&amp;"," "),"\"," "))&amp;" "</f>
        <v>  </v>
      </c>
      <c r="CD475" s="0" t="str">
        <f aca="false">" "&amp;TRIM(SUBSTITUTE(SUBSTITUTE(SUBSTITUTE(SUBSTITUTE(SUBSTITUTE(SUBSTITUTE(SUBSTITUTE(SUBSTITUTE(SUBSTITUTE(SUBSTITUTE(SUBSTITUTE(SUBSTITUTE(SUBSTITUTE(SUBSTITUTE(SUBSTITUTE(SUBSTITUTE(SUBSTITUTE(SUBSTITUTE(SUBSTITUTE(SUBSTITUTE(SUBSTITUTE(SUBSTITUTE(SUBSTITUTE(SUBSTITUTE(LOWER(AE475&amp;""),CHAR(10)," "),CHAR(13)," "),CHAR(9)," "),CHAR(160)," "),"."," "),","," "),"-"," "),"/"," "),"("," "),")"," "),":"," "),";"," "),"_"," "),"–"," "),"?"," "),"!"," "),"*"," "),"["," "),"]"," "),"'"," "),"#"," "),"+"," "),"&amp;"," "),"\"," "))&amp;" "</f>
        <v>  </v>
      </c>
      <c r="CE475" s="68" t="n">
        <f aca="false">IFERROR(IF(AND(LEN(AU475)&gt;0,LEN(AU475)=LEN(AX475),OR(TRIM(MID(SUBSTITUTE(TRIM(CC475)," ",REPT(" ",60)),1,60))="",ISNUMBER(SEARCH(" "&amp;TRIM(MID(SUBSTITUTE(TRIM(CC475)," ",REPT(" ",60)),1,60))&amp;" ",CD475))),OR(TRIM(MID(SUBSTITUTE(TRIM(CC475)," ",REPT(" ",60)),61,60))="",ISNUMBER(SEARCH(" "&amp;TRIM(MID(SUBSTITUTE(TRIM(CC475)," ",REPT(" ",60)),61,60))&amp;" ",CD475))),OR(TRIM(MID(SUBSTITUTE(TRIM(CC475)," ",REPT(" ",60)),121,60))="",ISNUMBER(SEARCH(" "&amp;TRIM(MID(SUBSTITUTE(TRIM(CC475)," ",REPT(" ",60)),121,60))&amp;" ",CD475)))),1,0),0)</f>
        <v>0</v>
      </c>
      <c r="CG475" s="68" t="n">
        <f aca="false">IFERROR(LEN(SUBSTITUTE(BF475," ",""))-SUMPRODUCT((LEN(BF475)-LEN(SUBSTITUTE(BF475," "&amp;L_NAFiller&amp;" "," ")))/(LEN(L_NAFiller)+1)*LEN(L_NAFiller)),0)</f>
        <v>0</v>
      </c>
    </row>
    <row r="476" customFormat="false" ht="39.75" hidden="false" customHeight="true" outlineLevel="0" collapsed="false">
      <c r="A476" s="57" t="s">
        <v>1125</v>
      </c>
      <c r="B476" s="57" t="s">
        <v>276</v>
      </c>
      <c r="C476" s="57" t="str">
        <f aca="false">Flights!$F$18</f>
        <v>MH0004</v>
      </c>
      <c r="D476" s="58" t="n">
        <f aca="false">Flights!$D$18</f>
        <v>46310</v>
      </c>
      <c r="E476" s="57" t="str">
        <f aca="false">Flights!$G$18&amp;"-"&amp;Flights!$H$18</f>
        <v>KUL-LHR</v>
      </c>
      <c r="F476" s="57" t="str">
        <f aca="false">Flights!$K$18</f>
        <v>EY</v>
      </c>
      <c r="G476" s="57" t="s">
        <v>459</v>
      </c>
      <c r="H476" s="57" t="s">
        <v>460</v>
      </c>
      <c r="I476" s="57" t="s">
        <v>379</v>
      </c>
      <c r="J476" s="57" t="s">
        <v>461</v>
      </c>
      <c r="K476" s="67" t="s">
        <v>426</v>
      </c>
      <c r="L476" s="67" t="s">
        <v>462</v>
      </c>
      <c r="M476" s="67"/>
      <c r="N476" s="67" t="s">
        <v>383</v>
      </c>
      <c r="O476" s="67" t="s">
        <v>463</v>
      </c>
      <c r="P476" s="57" t="s">
        <v>187</v>
      </c>
      <c r="Q476" s="59" t="n">
        <f aca="false">ROUND((Flights!$AF$18)*1440,0)/1440</f>
        <v>46310.0763888889</v>
      </c>
      <c r="R476" s="59" t="n">
        <f aca="false">Q476+(IF(AND(INDEX(TZ_DSTS,MATCH(P476,TZ_STN,0))&lt;&gt;"",Q476&gt;=INDEX(TZ_DSTS,MATCH(P476,TZ_STN,0)),Q476&lt;INDEX(TZ_DSTE,MATCH(P476,TZ_STN,0))),INDEX(TZ_DST,MATCH(P476,TZ_STN,0)),INDEX(TZ_STD,MATCH(P476,TZ_STN,0))))/24</f>
        <v>46310.4097222222</v>
      </c>
      <c r="S476" s="60"/>
      <c r="T476" s="60"/>
      <c r="U476" s="60"/>
      <c r="V476" s="60"/>
      <c r="W476" s="61"/>
      <c r="X476" s="60"/>
      <c r="Y476" s="60"/>
      <c r="Z476" s="60"/>
      <c r="AA476" s="60"/>
      <c r="AB476" s="60"/>
      <c r="AC476" s="60"/>
      <c r="AD476" s="66"/>
      <c r="AE476" s="60"/>
      <c r="AF476" s="61" t="str">
        <f aca="false">IF(AND(ISNUMBER(X476),ISNUMBER(Y476)),Y476-X476,"")</f>
        <v/>
      </c>
      <c r="AG476" s="62" t="str">
        <f aca="false">IF(ISNUMBER(AD476),AD476-(IF(AND(INDEX(TZ_DSTS,MATCH(P476,TZ_STN,0))&lt;&gt;"",(AD476-INDEX(TZ_STD,MATCH(P476,TZ_STN,0))/24)&gt;=INDEX(TZ_DSTS,MATCH(P476,TZ_STN,0)),(AD476-INDEX(TZ_STD,MATCH(P476,TZ_STN,0))/24)&lt;INDEX(TZ_DSTE,MATCH(P476,TZ_STN,0))),INDEX(TZ_DST,MATCH(P476,TZ_STN,0)),INDEX(TZ_STD,MATCH(P476,TZ_STN,0))))/24,"")</f>
        <v/>
      </c>
      <c r="AH476" s="65" t="str">
        <f aca="false">IFERROR(IF(N476="N/A – rule",IF(OR(TRIM(U476)="",TRIM(U476)="N/A",TRIM(U476)="Not started"),"N/A – RULE","INVALID – this check does not apply to this aircraft: clear the status (or correct the fleet on Flights)"),IF(TRIM(U476)="N/A",IF(AT476=0,"INVALID – N/A not permitted for this check",IF(AND(TRIM(AB476)&lt;&gt;"",TRIM(AB476)&lt;&gt;"Closed"),"INVALID – corrective action still open",IF(AND(NOT(OR(LEN(AZ476)&lt;15,ISNUMBER(MATCH(AZ476,L_Placeholder,0)))),BK476=0,CG476&gt;=8,NOT(OR(LEN(AU476)&lt;2,ISNUMBER(MATCH(AU476,L_Placeholder,0)))),BR476&gt;=3,NOT(OR(LEN(AX476)&lt;2,ISNUMBER(MATCH(AX476,L_Placeholder,0)))),BS476&gt;=3,TRIM(AE476)&lt;&gt;TRIM(T476),AX476&lt;&gt;AU476,CE476=0),"N/A – JUSTIFIED","INVALID – N/A needs a real, settled reason (not 'not applicable' / 'as above' / TBC), a named PIC and a different named verifier"))),IF(OR(TRIM(U476)="Pass",TRIM(U476)="Pass after CA"),IF(NOT(ISNUMBER(AD476)),"INVALID – completion time missing",IF(OR(OR(LEN(AU476)&lt;2,ISNUMBER(MATCH(AU476,L_Placeholder,0))),BR476&lt;3),"INVALID – PIC missing or not a named person (a role such as QA / CSM is not a name)",IF(OR(LEN(AV476)&lt;2,ISNUMBER(MATCH(AV476,L_Placeholder,0))),"INVALID – result / assessment missing",IF(OR(OR(LEN(AW476)&lt;3,ISNUMBER(MATCH(AW476,L_Placeholder,0))),SUMPRODUCT(--ISNUMBER(SEARCH(" "&amp;L_EvidencePhrase&amp;" ",BD476)))&gt;0,BI476=1),"INVALID – evidence missing, placeholder or not yet on file",IF(ISNA(MATCH(TRIM(S476),L_EvidenceType,0)),"INVALID – choose the evidence type from the list (column S)",IF(BL476=0,"INVALID – evidence ID must be the record's own ID only (e.g. SF-2210, IMG_2231, 1045521); a link / file name needs type 'Link / file path'",IF(OR(OR(LEN(AX476)&lt;2,ISNUMBER(MATCH(AX476,L_Placeholder,0))),BS476&lt;3),"INVALID – verifier missing or not a named person (a role such as QA / CSM is not a name)",IF(OR(AX476=AU476,CE476=1,AND(LEN(AU476)&gt;=4,ISNUMBER(SEARCH(AU476,AX476))),AND(LEN(AX476)&gt;=4,ISNUMBER(SEARCH(AX476,AU476)))),"INVALID – verifier must be a different, named person (not the PIC or a role)",IF(BH476=1,"INVALID – result not yet available (awaiting / TBC)",IF(BG476=1,"INVALID – result describes a problem: record Fail, then Pass after CA (or reword if it is not a problem)",IF(BV476=1,"INVALID – wording says not on board: an on-board confirmation needs the item loaded",IF(AND(AQ476=1,OR(OR(LEN(AY476)&lt;3,ISNUMBER(MATCH(AY476,L_Placeholder,0))),BJ476=1,BQ476=0)),"INVALID – batch ID missing, placeholder or not an ID (e.g. PASB-261008-BC-017)",IF(AND(AR476=1,OR(NOT(ISNUMBER(X476)),NOT(ISNUMBER(Y476)))),"INVALID – expected/actual qty missing",IF(AND(AR476=1,OR(X476&lt;=0,Y476&lt;0)),"INVALID – expected qty must be above 0 and actual not negative",IF(AH467="N/A – JUSTIFIED","INVALID – preparation row F14-T12-02 is N/A",IF(AND(AR476=1,ISNUMBER(X467),X476&lt;&gt;X467,TRIM(U476)&lt;&gt;"Pass after CA"),"INVALID – expected qty differs from preparation check F14-T12-02: record the load change as a corrective action (Pass after CA)",IF(BB476&lt;&gt;"",BB476,IF(AND(AS476=1,Documents!$J$18&lt;&gt;"ON FILE"),"INVALID – GLD not on file (Documents sheet)",IF(AND(AS476=2,Documents!$O$18&lt;&gt;"ON FILE"),"INVALID – menu checklist not on file (Documents sheet)",IF(AND(AS476=3,NOT(ISNUMBER(Flights!$AX$18))),"INVALID – enter carrying flight KUL departure (Flights AX)",IF(AND(AS476=3,OR(Flights!$AZ$18&gt;Flights!$AA$18,Flights!$AX$18&lt;Flights!$AA$18-3)),"INVALID – carrying flight (Flights AX) cannot arrive before this leg's STD, or is over 3 days early",IF(AG476&gt;AsOfUTC,"INVALID – completion time is in the future",IF(AND(ISNUMBER(BY476),AG476&lt;BY476),IF(H476="Physical uplift","INVALID – before uplift window (cannot confirm loading)","INVALID – before valid window"),IF(AG476&gt;Flights!$AA$18,"INVALID – completed after departure (cannot establish readiness)",IF(AND(H476="Preparation",AG476&gt;=IF(ISNUMBER(Flights!$BA$18),MIN(Flights!$BA$18,Flights!$AA$18),Flights!$AA$18)),"INVALID – completed after loading / departure (cannot establish readiness)",IF(AND(H476="Physical uplift",AG476&gt;Q476),"INVALID – recorded after the loading flight departed",IF(AG476&gt;Q476,"COMPLETE – LATE","COMPLETE"))))))))))))))))))))))))))),IF(TRIM(U476)="Fail","FAIL – DISCREPANCY",IF(AND(TRIM(U476)&lt;&gt;"",TRIM(U476)&lt;&gt;"Not started",TRIM(U476)&lt;&gt;"In progress"),"INVALID – unrecognised status (use the list)",IF(AsOfUTC&gt;Q476,"OVERDUE",IF(N476="Clarification required","OPEN – CLARIFICATION","OPEN"))))))),"INVALID – error value in an input cell")</f>
        <v>OPEN</v>
      </c>
      <c r="AI476" s="61" t="n">
        <f aca="false">IF(OR(AH476="N/A – RULE",AH476="N/A – JUSTIFIED"),0,1)</f>
        <v>1</v>
      </c>
      <c r="AJ476" s="61" t="n">
        <f aca="false">IF(LEFT(AH476,8)="COMPLETE",1,0)</f>
        <v>0</v>
      </c>
      <c r="AK476" s="61" t="n">
        <f aca="false">IF(AND(AI476=1,AJ476=0,AsOfUTC&gt;Q476),1,0)</f>
        <v>0</v>
      </c>
      <c r="AL476" s="61" t="n">
        <f aca="false">IFERROR(IF(AND(AI476=1,OR(TRIM(U476)="Fail",AND(TRIM(AB476)&lt;&gt;"",TRIM(AB476)&lt;&gt;"Closed"),AND(ISNUMBER(AF476),AF476&lt;&gt;0,TRIM(U476)&lt;&gt;"Pass after CA"))),1,0),1)</f>
        <v>0</v>
      </c>
      <c r="AM476" s="61" t="n">
        <f aca="false">IF(LEFT(AH476,7)="INVALID",1,0)</f>
        <v>0</v>
      </c>
      <c r="AN476" s="61" t="n">
        <f aca="false">IF(AND(N476="Clarification required",AI476=1,AJ476=0),1,0)</f>
        <v>0</v>
      </c>
      <c r="AO476" s="61" t="str">
        <f aca="false">IF(AK476=1,SUM(AK$5:AK476),"")</f>
        <v/>
      </c>
      <c r="AP476" s="61" t="str">
        <f aca="false">IF(AL476=1,SUM(AL$5:AL476),"")</f>
        <v/>
      </c>
      <c r="AQ476" s="61" t="n">
        <v>0</v>
      </c>
      <c r="AR476" s="61" t="n">
        <v>1</v>
      </c>
      <c r="AS476" s="61" t="n">
        <v>0</v>
      </c>
      <c r="AT476" s="61" t="n">
        <v>0</v>
      </c>
      <c r="AU476" s="61" t="str">
        <f aca="false">SUBSTITUTE(SUBSTITUTE(SUBSTITUTE(SUBSTITUTE(SUBSTITUTE(SUBSTITUTE(SUBSTITUTE(SUBSTITUTE(SUBSTITUTE(SUBSTITUTE(SUBSTITUTE(SUBSTITUTE(SUBSTITUTE(SUBSTITUTE(SUBSTITUTE(SUBSTITUTE(LOWER(T476&amp;""),CHAR(10),""),CHAR(13),""),CHAR(9),""),CHAR(160),"")," ",""),".",""),"-",""),"/",""),"?",""),"_",""),",",""),"[",""),"]",""),"(",""),")",""),"*","")</f>
        <v/>
      </c>
      <c r="AV476" s="61" t="str">
        <f aca="false">SUBSTITUTE(SUBSTITUTE(SUBSTITUTE(SUBSTITUTE(SUBSTITUTE(SUBSTITUTE(SUBSTITUTE(SUBSTITUTE(SUBSTITUTE(SUBSTITUTE(SUBSTITUTE(SUBSTITUTE(SUBSTITUTE(SUBSTITUTE(SUBSTITUTE(SUBSTITUTE(LOWER(V476&amp;""),CHAR(10),""),CHAR(13),""),CHAR(9),""),CHAR(160),"")," ",""),".",""),"-",""),"/",""),"?",""),"_",""),",",""),"[",""),"]",""),"(",""),")",""),"*","")</f>
        <v/>
      </c>
      <c r="AW476" s="61" t="str">
        <f aca="false">SUBSTITUTE(SUBSTITUTE(SUBSTITUTE(SUBSTITUTE(SUBSTITUTE(SUBSTITUTE(SUBSTITUTE(SUBSTITUTE(SUBSTITUTE(SUBSTITUTE(SUBSTITUTE(SUBSTITUTE(SUBSTITUTE(SUBSTITUTE(SUBSTITUTE(SUBSTITUTE(LOWER(Z476&amp;""),CHAR(10),""),CHAR(13),""),CHAR(9),""),CHAR(160),"")," ",""),".",""),"-",""),"/",""),"?",""),"_",""),",",""),"[",""),"]",""),"(",""),")",""),"*","")</f>
        <v/>
      </c>
      <c r="AX476" s="61" t="str">
        <f aca="false">SUBSTITUTE(SUBSTITUTE(SUBSTITUTE(SUBSTITUTE(SUBSTITUTE(SUBSTITUTE(SUBSTITUTE(SUBSTITUTE(SUBSTITUTE(SUBSTITUTE(SUBSTITUTE(SUBSTITUTE(SUBSTITUTE(SUBSTITUTE(SUBSTITUTE(SUBSTITUTE(LOWER(AE476&amp;""),CHAR(10),""),CHAR(13),""),CHAR(9),""),CHAR(160),"")," ",""),".",""),"-",""),"/",""),"?",""),"_",""),",",""),"[",""),"]",""),"(",""),")",""),"*","")</f>
        <v/>
      </c>
      <c r="AY476" s="61" t="str">
        <f aca="false">SUBSTITUTE(SUBSTITUTE(SUBSTITUTE(SUBSTITUTE(SUBSTITUTE(SUBSTITUTE(SUBSTITUTE(SUBSTITUTE(SUBSTITUTE(SUBSTITUTE(SUBSTITUTE(SUBSTITUTE(SUBSTITUTE(SUBSTITUTE(SUBSTITUTE(SUBSTITUTE(LOWER(W476&amp;""),CHAR(10),""),CHAR(13),""),CHAR(9),""),CHAR(160),"")," ",""),".",""),"-",""),"/",""),"?",""),"_",""),",",""),"[",""),"]",""),"(",""),")",""),"*","")</f>
        <v/>
      </c>
      <c r="AZ476" s="61" t="str">
        <f aca="false">SUBSTITUTE(SUBSTITUTE(SUBSTITUTE(SUBSTITUTE(SUBSTITUTE(SUBSTITUTE(SUBSTITUTE(SUBSTITUTE(SUBSTITUTE(SUBSTITUTE(SUBSTITUTE(SUBSTITUTE(SUBSTITUTE(SUBSTITUTE(SUBSTITUTE(SUBSTITUTE(LOWER(AC476&amp;""),CHAR(10),""),CHAR(13),""),CHAR(9),""),CHAR(160),"")," ",""),".",""),"-",""),"/",""),"?",""),"_",""),",",""),"[",""),"]",""),"(",""),")",""),"*","")</f>
        <v/>
      </c>
      <c r="BA476" s="61" t="str">
        <f aca="false">SUBSTITUTE(SUBSTITUTE(SUBSTITUTE(SUBSTITUTE(SUBSTITUTE(SUBSTITUTE(SUBSTITUTE(SUBSTITUTE(SUBSTITUTE(SUBSTITUTE(SUBSTITUTE(SUBSTITUTE(SUBSTITUTE(SUBSTITUTE(SUBSTITUTE(SUBSTITUTE(LOWER(AA476&amp;""),CHAR(10),""),CHAR(13),""),CHAR(9),""),CHAR(160),"")," ",""),".",""),"-",""),"/",""),"?",""),"_",""),",",""),"[",""),"]",""),"(",""),")",""),"*","")</f>
        <v/>
      </c>
      <c r="BB476" s="61" t="str">
        <f aca="false">IF(AND(TRIM(U476)="Pass",ISNUMBER(AF476)),IF(AF476&lt;&gt;0,"INVALID – qty variance: use Fail or Pass after CA",""),"")&amp;IF(AND(TRIM(U476)="Pass after CA",ISNUMBER(AF476)),IF(AF476&lt;&gt;0,"INVALID – after the corrective action the actual qty must equal expected (update Actual)",""),"")&amp;IF(AND(TRIM(U476)="Pass",TRIM(AB476)&lt;&gt;"",TRIM(AB476)&lt;&gt;"Closed"),"INVALID – corrective action not closed: use Fail, then Pass after CA","")&amp;IF(AND(LEN(BA476)&gt;=2,ISNA(MATCH(LEFT(BA476,255),L_Placeholder,0)),TRIM(AB476)=""),"INVALID – CA status missing for the recorded corrective action","")&amp;IF(AND(TRIM(U476)="Pass after CA",OR(OR(LEN(BA476)&lt;5,ISNUMBER(MATCH(BA476,L_Placeholder,0))),TRIM(AB476)&lt;&gt;"Closed")),"INVALID – corrective action not recorded/closed","")</f>
        <v/>
      </c>
      <c r="BC476" s="61" t="str">
        <f aca="false">" "&amp;TRIM(SUBSTITUTE(SUBSTITUTE(SUBSTITUTE(SUBSTITUTE(SUBSTITUTE(SUBSTITUTE(SUBSTITUTE(SUBSTITUTE(SUBSTITUTE(SUBSTITUTE(SUBSTITUTE(SUBSTITUTE(SUBSTITUTE(SUBSTITUTE(SUBSTITUTE(SUBSTITUTE(SUBSTITUTE(SUBSTITUTE(SUBSTITUTE(SUBSTITUTE(SUBSTITUTE(SUBSTITUTE(SUBSTITUTE(SUBSTITUTE(LOWER(V476&amp;""),CHAR(10)," "),CHAR(13)," "),CHAR(9)," "),CHAR(160)," "),"."," "),","," "),"-"," "),"/"," "),"("," "),")"," "),":"," "),";"," "),"_"," "),"–"," "),"?"," "),"!"," "),"*"," "),"["," "),"]"," "),"'"," "),"#"," "),"+"," "),"&amp;"," "),"\"," "))&amp;" "</f>
        <v>  </v>
      </c>
      <c r="BD476" s="61" t="str">
        <f aca="false">" "&amp;TRIM(SUBSTITUTE(SUBSTITUTE(SUBSTITUTE(SUBSTITUTE(SUBSTITUTE(SUBSTITUTE(SUBSTITUTE(SUBSTITUTE(SUBSTITUTE(SUBSTITUTE(SUBSTITUTE(SUBSTITUTE(SUBSTITUTE(SUBSTITUTE(SUBSTITUTE(SUBSTITUTE(SUBSTITUTE(SUBSTITUTE(SUBSTITUTE(SUBSTITUTE(SUBSTITUTE(SUBSTITUTE(SUBSTITUTE(SUBSTITUTE(LOWER(Z476&amp;""),CHAR(10)," "),CHAR(13)," "),CHAR(9)," "),CHAR(160)," "),"."," "),","," "),"-"," "),"/"," "),"("," "),")"," "),":"," "),";"," "),"_"," "),"–"," "),"?"," "),"!"," "),"*"," "),"["," "),"]"," "),"'"," "),"#"," "),"+"," "),"&amp;"," "),"\"," "))&amp;" "</f>
        <v>  </v>
      </c>
      <c r="BE476" s="61" t="str">
        <f aca="false">" "&amp;TRIM(SUBSTITUTE(SUBSTITUTE(SUBSTITUTE(SUBSTITUTE(SUBSTITUTE(SUBSTITUTE(SUBSTITUTE(SUBSTITUTE(SUBSTITUTE(SUBSTITUTE(SUBSTITUTE(SUBSTITUTE(SUBSTITUTE(SUBSTITUTE(SUBSTITUTE(SUBSTITUTE(SUBSTITUTE(SUBSTITUTE(SUBSTITUTE(SUBSTITUTE(SUBSTITUTE(SUBSTITUTE(SUBSTITUTE(SUBSTITUTE(LOWER(W476&amp;""),CHAR(10)," "),CHAR(13)," "),CHAR(9)," "),CHAR(160)," "),"."," "),","," "),"-"," "),"/"," "),"("," "),")"," "),":"," "),";"," "),"_"," "),"–"," "),"?"," "),"!"," "),"*"," "),"["," "),"]"," "),"'"," "),"#"," "),"+"," "),"&amp;"," "),"\"," "))&amp;" "</f>
        <v>  </v>
      </c>
      <c r="BF476" s="61" t="str">
        <f aca="false">" "&amp;TRIM(SUBSTITUTE(SUBSTITUTE(SUBSTITUTE(SUBSTITUTE(SUBSTITUTE(SUBSTITUTE(SUBSTITUTE(SUBSTITUTE(SUBSTITUTE(SUBSTITUTE(SUBSTITUTE(SUBSTITUTE(SUBSTITUTE(SUBSTITUTE(SUBSTITUTE(SUBSTITUTE(SUBSTITUTE(SUBSTITUTE(SUBSTITUTE(SUBSTITUTE(SUBSTITUTE(SUBSTITUTE(SUBSTITUTE(SUBSTITUTE(LOWER(AC476&amp;""),CHAR(10)," "),CHAR(13)," "),CHAR(9)," "),CHAR(160)," "),"."," "),","," "),"-"," "),"/"," "),"("," "),")"," "),":"," "),";"," "),"_"," "),"–"," "),"?"," "),"!"," "),"*"," "),"["," "),"]"," "),"'"," "),"#"," "),"+"," "),"&amp;"," "),"\"," "))&amp;" "</f>
        <v>  </v>
      </c>
      <c r="BG476" s="61" t="n">
        <f aca="false">IFERROR(IF(AND(TRIM(U476)="Pass",SUMPRODUCT((LEN(BC476)-LEN(SUBSTITUTE(BC476," "&amp;L_ResultBad&amp;" "," ")))/(LEN(L_ResultBad)+1))&gt;SUMPRODUCT((LEN(BC476)-LEN(SUBSTITUTE(BC476," "&amp;L_NegPhrase&amp;" "," ")))/(LEN(L_NegPhrase)+1))),1,0),0)</f>
        <v>0</v>
      </c>
      <c r="BH476" s="61" t="n">
        <f aca="false">IFERROR(IF(SUMPRODUCT((LEN(BC476)-LEN(SUBSTITUTE(BC476," "&amp;L_Pending&amp;" "," ")))/(LEN(L_Pending)+1))&gt;SUMPRODUCT((LEN(BC476)-LEN(SUBSTITUTE(BC476," "&amp;L_PendNeg&amp;" "," ")))/(LEN(L_PendNeg)+1)),1,0),1)</f>
        <v>0</v>
      </c>
      <c r="BI476" s="61" t="n">
        <f aca="false">IFERROR(IF(SUMPRODUCT((LEN(BD476)-LEN(SUBSTITUTE(BD476," "&amp;L_PendStrict&amp;" "," ")))/(LEN(L_PendStrict)+1))&gt;SUMPRODUCT((LEN(BD476)-LEN(SUBSTITUTE(BD476," "&amp;L_PendNeg&amp;" "," ")))/(LEN(L_PendNeg)+1)),1,0),1)</f>
        <v>0</v>
      </c>
      <c r="BJ476" s="61" t="n">
        <f aca="false">IFERROR(IF(SUMPRODUCT((LEN(BE476)-LEN(SUBSTITUTE(BE476," "&amp;L_Pending&amp;" "," ")))/(LEN(L_Pending)+1))&gt;SUMPRODUCT((LEN(BE476)-LEN(SUBSTITUTE(BE476," "&amp;L_PendNeg&amp;" "," ")))/(LEN(L_PendNeg)+1)),1,0),1)</f>
        <v>0</v>
      </c>
      <c r="BK476" s="61" t="n">
        <f aca="false">IFERROR(IF(SUMPRODUCT((LEN(BF476)-LEN(SUBSTITUTE(BF476," "&amp;L_PendStrict&amp;" "," ")))/(LEN(L_PendStrict)+1))&gt;SUMPRODUCT((LEN(BF476)-LEN(SUBSTITUTE(BF476," "&amp;L_PendNeg&amp;" "," ")))/(LEN(L_PendNeg)+1)),1,0),1)</f>
        <v>0</v>
      </c>
      <c r="BL476" s="61" t="n">
        <f aca="false">IF(ISNA(MATCH(TRIM(S476),L_EvidenceType,0)),0,BZ476)</f>
        <v>0</v>
      </c>
      <c r="BM476" s="61" t="str">
        <f aca="false">SUBSTITUTE(SUBSTITUTE(SUBSTITUTE(SUBSTITUTE(SUBSTITUTE(SUBSTITUTE(SUBSTITUTE(SUBSTITUTE(SUBSTITUTE(LOWER(Z476&amp;""),"1","0"),"2","0"),"3","0"),"4","0"),"5","0"),"6","0"),"7","0"),"8","0"),"9","0")</f>
        <v/>
      </c>
      <c r="BN476" s="61" t="str">
        <f aca="false">SUBSTITUTE(SUBSTITUTE(SUBSTITUTE(SUBSTITUTE(SUBSTITUTE(SUBSTITUTE(SUBSTITUTE(SUBSTITUTE(SUBSTITUTE(SUBSTITUTE(SUBSTITUTE(SUBSTITUTE(SUBSTITUTE(SUBSTITUTE(SUBSTITUTE(SUBSTITUTE(SUBSTITUTE(SUBSTITUTE(SUBSTITUTE(SUBSTITUTE(SUBSTITUTE(SUBSTITUTE(SUBSTITUTE(SUBSTITUTE(SUBSTITUTE(BM476,"b","a"),"c","a"),"d","a"),"e","a"),"f","a"),"g","a"),"h","a"),"i","a"),"j","a"),"k","a"),"l","a"),"m","a"),"n","a"),"o","a"),"p","a"),"q","a"),"r","a"),"s","a"),"t","a"),"u","a"),"v","a"),"w","a"),"x","a"),"y","a"),"z","a")</f>
        <v/>
      </c>
      <c r="BO476" s="61" t="str">
        <f aca="false">SUBSTITUTE(SUBSTITUTE(SUBSTITUTE(SUBSTITUTE(SUBSTITUTE(SUBSTITUTE(SUBSTITUTE(SUBSTITUTE(SUBSTITUTE(LOWER(W476&amp;""),"1","0"),"2","0"),"3","0"),"4","0"),"5","0"),"6","0"),"7","0"),"8","0"),"9","0")</f>
        <v/>
      </c>
      <c r="BP476" s="61" t="str">
        <f aca="false">SUBSTITUTE(SUBSTITUTE(SUBSTITUTE(SUBSTITUTE(SUBSTITUTE(SUBSTITUTE(SUBSTITUTE(SUBSTITUTE(SUBSTITUTE(SUBSTITUTE(SUBSTITUTE(SUBSTITUTE(SUBSTITUTE(SUBSTITUTE(SUBSTITUTE(SUBSTITUTE(SUBSTITUTE(SUBSTITUTE(SUBSTITUTE(SUBSTITUTE(SUBSTITUTE(SUBSTITUTE(SUBSTITUTE(SUBSTITUTE(SUBSTITUTE(BO476,"b","a"),"c","a"),"d","a"),"e","a"),"f","a"),"g","a"),"h","a"),"i","a"),"j","a"),"k","a"),"l","a"),"m","a"),"n","a"),"o","a"),"p","a"),"q","a"),"r","a"),"s","a"),"t","a"),"u","a"),"v","a"),"w","a"),"x","a"),"y","a"),"z","a")</f>
        <v/>
      </c>
      <c r="BQ476" s="61" t="n">
        <f aca="false">IFERROR(IF(AND(ISERROR(SEARCH(" mh"," "&amp;LOWER(W476))),ISNA(MATCH(LEFT(TRIM(BP476),255),{"0000a","000a","00a","0000aa","000aa","00aa","0aa","0000aaa","000aaa","00a00","0a00","0000-0000","00:00","a00","a0","00.00.0000","00/00/0000","00-00-0000","0000-00-00","0000/00/00","0000.00.00","00.00.00","00/00/00","00-00-00","0.00.0000","0/00/0000","0-00-0000"},0)),ISNA(MATCH(LEFT(TRIM(CA476),255),{"0000a","000a","00a","0000aa","000aa","00aa","0aa","0000aaa","000aaa","00a00","0a00","0000-0000","00:00","a00","a0","00.00.0000","00/00/0000","00-00-0000","0000-00-00","0000/00/00","0000.00.00","00.00.00","00/00/00","00-00-00","0.00.0000","0/00/0000","0-00-0000"},0)),LEN(CB476)&gt;=3,NOT(OR(SUBSTITUTE(CB476,"0","")="",AND(LEN(CB476)&gt;=4,CB476=REPT(LEFT(CB476),LEN(CB476))),ISNUMBER(MATCH(CB476,{"123","1234","12345","123456","1234567","12345678","0123","01234","012345","98765","987654","54321"},0)),AND(LEN(CB476)=8,LEFT(CB476,3)="202"))),OR(AND((LEN(CA476)-LEN(SUBSTITUTE(CA476,"a","")))&gt;=1,SUMPRODUCT(--ISNUMBER(SEARCH({"a0","a-0","a_0","a/0","a.0","a#0","0a","0-a","0_a","0/a"},BP476)))&gt;0),ISNUMBER(SEARCH("000000",BP476)))),1,0),0)</f>
        <v>0</v>
      </c>
      <c r="BR476" s="61" t="n">
        <f aca="false">IFERROR(LEN(SUBSTITUTE(CC476," ",""))-SUMPRODUCT((LEN(CC476)-LEN(SUBSTITUTE(CC476," "&amp;L_Role&amp;" "," ")))/(LEN(L_Role)+1)*LEN(L_Role)),0)</f>
        <v>0</v>
      </c>
      <c r="BS476" s="61" t="n">
        <f aca="false">IFERROR(LEN(SUBSTITUTE(CD476," ",""))-SUMPRODUCT((LEN(CD476)-LEN(SUBSTITUTE(CD476," "&amp;L_Role&amp;" "," ")))/(LEN(L_Role)+1)*LEN(L_Role)),0)</f>
        <v>0</v>
      </c>
      <c r="BT4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476,"revision",""),"version",""),"jan",""),"feb",""),"mar",""),"apr",""),"may",""),"jun",""),"jul",""),"aug",""),"sep",""),"oct",""),"nov",""),"dec",""),"utc",""),"gmt",""),"myt",""),"bst",""),"rev",""),"ver",""),"b","a"),"c","a"),"d","a"),"e","a"),"f","a"),"g","a"),"h","a"),"i","a"),"j","a"),"k","a"),"l","a"),"m","a"),"n","a"),"o","a"),"p","a"),"q","a"),"r","a"),"s","a"),"t","a"),"u","a"),"v","a"),"w","a"),"x","a"),"y","a"),"z","a")</f>
        <v/>
      </c>
      <c r="BU476" s="61" t="str">
        <f aca="false">SUBSTITUTE(SUBSTITUTE(SUBSTITUTE(SUBSTITUTE(SUBSTITUTE(SUBSTITUTE(SUBSTITUTE(SUBSTITUTE(SUBSTITUTE(SUBSTITUTE(LEFT(BM476,FIND("0",BM476&amp;"0")-1),"-",""),"_",""),"/",""),".",""),"#",""),"\\",""),":","")," ",""),"(",""),")","")</f>
        <v/>
      </c>
      <c r="BV476" s="61" t="n">
        <f aca="false">IFERROR(IF(OR(SUMPRODUCT((LEN(BC476)-LEN(SUBSTITUTE(BC476," "&amp;L_NotLoaded&amp;" "," ")))/(LEN(L_NotLoaded)+1))&gt;SUMPRODUCT((LEN(BC476)-LEN(SUBSTITUTE(BC476," "&amp;L_NotLoadedNeg&amp;" "," ")))/(LEN(L_NotLoadedNeg)+1)),SUMPRODUCT((LEN(BD476)-LEN(SUBSTITUTE(BD476," "&amp;L_NotLoaded&amp;" "," ")))/(LEN(L_NotLoaded)+1))&gt;SUMPRODUCT((LEN(BD476)-LEN(SUBSTITUTE(BD476," "&amp;L_NotLoadedNeg&amp;" "," ")))/(LEN(L_NotLoadedNeg)+1))),1,0),0)</f>
        <v>0</v>
      </c>
      <c r="BW4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476&amp;""),"a",""),"b",""),"c",""),"d",""),"e",""),"f",""),"g",""),"h",""),"i",""),"j",""),"k",""),"l",""),"m",""),"n",""),"o",""),"p",""),"q",""),"r",""),"s",""),"t",""),"u",""),"v",""),"w",""),"x",""),"y",""),"z",""),"-",""),"_",""),"/",""),".",""),"#",""),"\\",""),":","")," ",""),"(",""),")","")</f>
        <v/>
      </c>
      <c r="BX476" s="61" t="str">
        <f aca="false">SUBSTITUTE(SUBSTITUTE(SUBSTITUTE(SUBSTITUTE(SUBSTITUTE(SUBSTITUTE(SUBSTITUTE(SUBSTITUTE(SUBSTITUTE(SUBSTITUTE(SUBSTITUTE(BM476,"0",""),"-",""),"_",""),"/",""),".",""),"#",""),"\\",""),":","")," ",""),"(",""),")","")</f>
        <v/>
      </c>
      <c r="BY476" s="62" t="n">
        <f aca="false">IF(ISNUMBER(Flights!$AZ$18),MAX(Q476-UpliftWindowH/24,Flights!$AZ$18),Q476-UpliftWindowH/24)</f>
        <v>46309.8263888889</v>
      </c>
      <c r="BZ476" s="61" t="n">
        <f aca="false">IFERROR(IF(IF(TRIM(S476)="Link / file path",AND(LEN(TRIM(Z476))&gt;=5,SUMPRODUCT(--ISNUMBER(SEARCH({"http","www.","\\",":\",".pdf",".jpg",".jpeg",".png",".heic",".xls",".doc",".msg",".eml",".ppt",".txt",".zip"},Z476)))&gt;0),AND(ISERROR(FIND(" ",TRIM(Z476))),NOT(OR(SUMPRODUCT(--ISNUMBER(FIND({",",";","&amp;","+"},Z476)))&gt;0,SUMPRODUCT(--ISNUMBER(SEARCH({"0/aa","0\\aa"},BN476)))&gt;0)),NOT(SUMPRODUCT(--ISNUMBER(SEARCH({"http","www.","\\",":\",".pdf",".jpg",".jpeg",".png",".heic",".xls",".doc",".msg",".eml",".ppt",".txt",".zip"},Z476)))&gt;0),NOT(LOWER(TRIM(Z476))=LOWER(Flights!$F$18)),ISNA(MATCH(BU476,{"mh","rev","revision","ver","version","v","r","a","b","seat","tray","row","gate","bay","stand","page","pg","item","line","no","cart","galley","flight","flt","table","box","bag","oven","etd","eta","std","sta","atd","ata","qty","pax","x","time","tel","ph","mob","day","wk","week","utc","gmt","myt","lt"},0)),NOT(OR(ISNUMBER(MATCH(LEFT(BN476,255),{"0000a","000a","00a","0000aa","000aa","00aa","0aa","0000aaa","000aaa","00a00","0a00","0000-0000","00:00","a00","a0","00.00.0000","00/00/0000","00-00-0000","0000-00-00","0000/00/00","0000.00.00","00.00.00","00/00/00","00-00-00","0.00.0000","0/00/0000","0-00-0000"},0)),ISNUMBER(MATCH(LEFT(BT476,255),{"0000a","000a","00a","0000aa","000aa","00aa","0aa","0000aaa","000aaa","00a00","0a00","0000-0000","00:00","a00","a0","00.00.0000","00/00/0000","00-00-0000","0000-00-00","0000/00/00","0000.00.00","00.00.00","00/00/00","00-00-00","0.00.0000","0/00/0000","0-00-0000"},0)))),NOT(OR(AND(BW476&lt;&gt;"",SUBSTITUTE(BW476,"0","")=""),AND(LEN(BW476)&gt;=4,BW476=REPT(LEFT(BW476),LEN(BW476))),ISNUMBER(MATCH(BW476,{"123","1234","12345","123456","1234567","12345678","0123","01234","012345","98765","987654","54321"},0)),ISNUMBER(MATCH(BX476,{"x","xx","xxx","xxxx","xxxxx","abc","abcd","nil","na","nan","test","tbc","tba","tbd","dummy","sample","example","eg","zz","zzz","none","null","xyz","qwe","asd","id","ref"},0)),AND(LEN(BW476)=8,BX476="",OR(LEFT(BW476,3)="202",ISNUMBER(MATCH(RIGHT(BW476,4),{"2025","2026","2027"},0)))))),OR(AND((LEN(BT476)-LEN(SUBSTITUTE(BT476,"a","")))&gt;=1,(LEN(BN476)-LEN(SUBSTITUTE(BN476,"0","")))&gt;=2,SUMPRODUCT(--ISNUMBER(SEARCH({"a0","a-0","a_0","a/0","a.0","a#0","0a","0-a","0_a","0/a"},BN476)))&gt;0),AND((LEN(BN476)-LEN(SUBSTITUTE(BN476,"a","")))=0,(LEN(BN476)-LEN(SUBSTITUTE(BN476,"0","")))&gt;=5)))),1,0),0)</f>
        <v>0</v>
      </c>
      <c r="CA4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476,"revision",""),"version",""),"jan",""),"feb",""),"mar",""),"apr",""),"may",""),"jun",""),"jul",""),"aug",""),"sep",""),"oct",""),"nov",""),"dec",""),"utc",""),"gmt",""),"myt",""),"bst",""),"rev",""),"ver",""),"b","a"),"c","a"),"d","a"),"e","a"),"f","a"),"g","a"),"h","a"),"i","a"),"j","a"),"k","a"),"l","a"),"m","a"),"n","a"),"o","a"),"p","a"),"q","a"),"r","a"),"s","a"),"t","a"),"u","a"),"v","a"),"w","a"),"x","a"),"y","a"),"z","a")</f>
        <v/>
      </c>
      <c r="CB4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476&amp;""),"a",""),"b",""),"c",""),"d",""),"e",""),"f",""),"g",""),"h",""),"i",""),"j",""),"k",""),"l",""),"m",""),"n",""),"o",""),"p",""),"q",""),"r",""),"s",""),"t",""),"u",""),"v",""),"w",""),"x",""),"y",""),"z",""),"-",""),"_",""),"/",""),".",""),"#",""),"\\",""),":","")," ",""),"(",""),")","")</f>
        <v/>
      </c>
      <c r="CC476" s="0" t="str">
        <f aca="false">" "&amp;TRIM(SUBSTITUTE(SUBSTITUTE(SUBSTITUTE(SUBSTITUTE(SUBSTITUTE(SUBSTITUTE(SUBSTITUTE(SUBSTITUTE(SUBSTITUTE(SUBSTITUTE(SUBSTITUTE(SUBSTITUTE(SUBSTITUTE(SUBSTITUTE(SUBSTITUTE(SUBSTITUTE(SUBSTITUTE(SUBSTITUTE(SUBSTITUTE(SUBSTITUTE(SUBSTITUTE(SUBSTITUTE(SUBSTITUTE(SUBSTITUTE(LOWER(T476&amp;""),CHAR(10)," "),CHAR(13)," "),CHAR(9)," "),CHAR(160)," "),"."," "),","," "),"-"," "),"/"," "),"("," "),")"," "),":"," "),";"," "),"_"," "),"–"," "),"?"," "),"!"," "),"*"," "),"["," "),"]"," "),"'"," "),"#"," "),"+"," "),"&amp;"," "),"\"," "))&amp;" "</f>
        <v>  </v>
      </c>
      <c r="CD476" s="0" t="str">
        <f aca="false">" "&amp;TRIM(SUBSTITUTE(SUBSTITUTE(SUBSTITUTE(SUBSTITUTE(SUBSTITUTE(SUBSTITUTE(SUBSTITUTE(SUBSTITUTE(SUBSTITUTE(SUBSTITUTE(SUBSTITUTE(SUBSTITUTE(SUBSTITUTE(SUBSTITUTE(SUBSTITUTE(SUBSTITUTE(SUBSTITUTE(SUBSTITUTE(SUBSTITUTE(SUBSTITUTE(SUBSTITUTE(SUBSTITUTE(SUBSTITUTE(SUBSTITUTE(LOWER(AE476&amp;""),CHAR(10)," "),CHAR(13)," "),CHAR(9)," "),CHAR(160)," "),"."," "),","," "),"-"," "),"/"," "),"("," "),")"," "),":"," "),";"," "),"_"," "),"–"," "),"?"," "),"!"," "),"*"," "),"["," "),"]"," "),"'"," "),"#"," "),"+"," "),"&amp;"," "),"\"," "))&amp;" "</f>
        <v>  </v>
      </c>
      <c r="CE476" s="68" t="n">
        <f aca="false">IFERROR(IF(AND(LEN(AU476)&gt;0,LEN(AU476)=LEN(AX476),OR(TRIM(MID(SUBSTITUTE(TRIM(CC476)," ",REPT(" ",60)),1,60))="",ISNUMBER(SEARCH(" "&amp;TRIM(MID(SUBSTITUTE(TRIM(CC476)," ",REPT(" ",60)),1,60))&amp;" ",CD476))),OR(TRIM(MID(SUBSTITUTE(TRIM(CC476)," ",REPT(" ",60)),61,60))="",ISNUMBER(SEARCH(" "&amp;TRIM(MID(SUBSTITUTE(TRIM(CC476)," ",REPT(" ",60)),61,60))&amp;" ",CD476))),OR(TRIM(MID(SUBSTITUTE(TRIM(CC476)," ",REPT(" ",60)),121,60))="",ISNUMBER(SEARCH(" "&amp;TRIM(MID(SUBSTITUTE(TRIM(CC476)," ",REPT(" ",60)),121,60))&amp;" ",CD476)))),1,0),0)</f>
        <v>0</v>
      </c>
      <c r="CG476" s="68" t="n">
        <f aca="false">IFERROR(LEN(SUBSTITUTE(BF476," ",""))-SUMPRODUCT((LEN(BF476)-LEN(SUBSTITUTE(BF476," "&amp;L_NAFiller&amp;" "," ")))/(LEN(L_NAFiller)+1)*LEN(L_NAFiller)),0)</f>
        <v>0</v>
      </c>
    </row>
    <row r="477" customFormat="false" ht="39.75" hidden="false" customHeight="true" outlineLevel="0" collapsed="false">
      <c r="A477" s="57" t="s">
        <v>1126</v>
      </c>
      <c r="B477" s="57" t="s">
        <v>276</v>
      </c>
      <c r="C477" s="57" t="str">
        <f aca="false">Flights!$F$18</f>
        <v>MH0004</v>
      </c>
      <c r="D477" s="58" t="n">
        <f aca="false">Flights!$D$18</f>
        <v>46310</v>
      </c>
      <c r="E477" s="57" t="str">
        <f aca="false">Flights!$G$18&amp;"-"&amp;Flights!$H$18</f>
        <v>KUL-LHR</v>
      </c>
      <c r="F477" s="57" t="str">
        <f aca="false">Flights!$K$18</f>
        <v>EY</v>
      </c>
      <c r="G477" s="57" t="s">
        <v>459</v>
      </c>
      <c r="H477" s="57" t="s">
        <v>460</v>
      </c>
      <c r="I477" s="57" t="s">
        <v>428</v>
      </c>
      <c r="J477" s="57" t="s">
        <v>465</v>
      </c>
      <c r="K477" s="67" t="s">
        <v>426</v>
      </c>
      <c r="L477" s="67" t="s">
        <v>462</v>
      </c>
      <c r="M477" s="67"/>
      <c r="N477" s="67" t="s">
        <v>383</v>
      </c>
      <c r="O477" s="67" t="s">
        <v>463</v>
      </c>
      <c r="P477" s="57" t="s">
        <v>187</v>
      </c>
      <c r="Q477" s="59" t="n">
        <f aca="false">ROUND((Flights!$AF$18)*1440,0)/1440</f>
        <v>46310.0763888889</v>
      </c>
      <c r="R477" s="59" t="n">
        <f aca="false">Q477+(IF(AND(INDEX(TZ_DSTS,MATCH(P477,TZ_STN,0))&lt;&gt;"",Q477&gt;=INDEX(TZ_DSTS,MATCH(P477,TZ_STN,0)),Q477&lt;INDEX(TZ_DSTE,MATCH(P477,TZ_STN,0))),INDEX(TZ_DST,MATCH(P477,TZ_STN,0)),INDEX(TZ_STD,MATCH(P477,TZ_STN,0))))/24</f>
        <v>46310.4097222222</v>
      </c>
      <c r="S477" s="60"/>
      <c r="T477" s="60"/>
      <c r="U477" s="60"/>
      <c r="V477" s="60"/>
      <c r="W477" s="61"/>
      <c r="X477" s="60"/>
      <c r="Y477" s="60"/>
      <c r="Z477" s="60"/>
      <c r="AA477" s="60"/>
      <c r="AB477" s="60"/>
      <c r="AC477" s="60"/>
      <c r="AD477" s="66"/>
      <c r="AE477" s="60"/>
      <c r="AF477" s="61" t="str">
        <f aca="false">IF(AND(ISNUMBER(X477),ISNUMBER(Y477)),Y477-X477,"")</f>
        <v/>
      </c>
      <c r="AG477" s="62" t="str">
        <f aca="false">IF(ISNUMBER(AD477),AD477-(IF(AND(INDEX(TZ_DSTS,MATCH(P477,TZ_STN,0))&lt;&gt;"",(AD477-INDEX(TZ_STD,MATCH(P477,TZ_STN,0))/24)&gt;=INDEX(TZ_DSTS,MATCH(P477,TZ_STN,0)),(AD477-INDEX(TZ_STD,MATCH(P477,TZ_STN,0))/24)&lt;INDEX(TZ_DSTE,MATCH(P477,TZ_STN,0))),INDEX(TZ_DST,MATCH(P477,TZ_STN,0)),INDEX(TZ_STD,MATCH(P477,TZ_STN,0))))/24,"")</f>
        <v/>
      </c>
      <c r="AH477" s="65" t="str">
        <f aca="false">IFERROR(IF(N477="N/A – rule",IF(OR(TRIM(U477)="",TRIM(U477)="N/A",TRIM(U477)="Not started"),"N/A – RULE","INVALID – this check does not apply to this aircraft: clear the status (or correct the fleet on Flights)"),IF(TRIM(U477)="N/A",IF(AT477=0,"INVALID – N/A not permitted for this check",IF(AND(TRIM(AB477)&lt;&gt;"",TRIM(AB477)&lt;&gt;"Closed"),"INVALID – corrective action still open",IF(AND(NOT(OR(LEN(AZ477)&lt;15,ISNUMBER(MATCH(AZ477,L_Placeholder,0)))),BK477=0,CG477&gt;=8,NOT(OR(LEN(AU477)&lt;2,ISNUMBER(MATCH(AU477,L_Placeholder,0)))),BR477&gt;=3,NOT(OR(LEN(AX477)&lt;2,ISNUMBER(MATCH(AX477,L_Placeholder,0)))),BS477&gt;=3,TRIM(AE477)&lt;&gt;TRIM(T477),AX477&lt;&gt;AU477,CE477=0),"N/A – JUSTIFIED","INVALID – N/A needs a real, settled reason (not 'not applicable' / 'as above' / TBC), a named PIC and a different named verifier"))),IF(OR(TRIM(U477)="Pass",TRIM(U477)="Pass after CA"),IF(NOT(ISNUMBER(AD477)),"INVALID – completion time missing",IF(OR(OR(LEN(AU477)&lt;2,ISNUMBER(MATCH(AU477,L_Placeholder,0))),BR477&lt;3),"INVALID – PIC missing or not a named person (a role such as QA / CSM is not a name)",IF(OR(LEN(AV477)&lt;2,ISNUMBER(MATCH(AV477,L_Placeholder,0))),"INVALID – result / assessment missing",IF(OR(OR(LEN(AW477)&lt;3,ISNUMBER(MATCH(AW477,L_Placeholder,0))),SUMPRODUCT(--ISNUMBER(SEARCH(" "&amp;L_EvidencePhrase&amp;" ",BD477)))&gt;0,BI477=1),"INVALID – evidence missing, placeholder or not yet on file",IF(ISNA(MATCH(TRIM(S477),L_EvidenceType,0)),"INVALID – choose the evidence type from the list (column S)",IF(BL477=0,"INVALID – evidence ID must be the record's own ID only (e.g. SF-2210, IMG_2231, 1045521); a link / file name needs type 'Link / file path'",IF(OR(OR(LEN(AX477)&lt;2,ISNUMBER(MATCH(AX477,L_Placeholder,0))),BS477&lt;3),"INVALID – verifier missing or not a named person (a role such as QA / CSM is not a name)",IF(OR(AX477=AU477,CE477=1,AND(LEN(AU477)&gt;=4,ISNUMBER(SEARCH(AU477,AX477))),AND(LEN(AX477)&gt;=4,ISNUMBER(SEARCH(AX477,AU477)))),"INVALID – verifier must be a different, named person (not the PIC or a role)",IF(BH477=1,"INVALID – result not yet available (awaiting / TBC)",IF(BG477=1,"INVALID – result describes a problem: record Fail, then Pass after CA (or reword if it is not a problem)",IF(BV477=1,"INVALID – wording says not on board: an on-board confirmation needs the item loaded",IF(AND(AQ477=1,OR(OR(LEN(AY477)&lt;3,ISNUMBER(MATCH(AY477,L_Placeholder,0))),BJ477=1,BQ477=0)),"INVALID – batch ID missing, placeholder or not an ID (e.g. PASB-261008-BC-017)",IF(AND(AR477=1,OR(NOT(ISNUMBER(X477)),NOT(ISNUMBER(Y477)))),"INVALID – expected/actual qty missing",IF(AND(AR477=1,OR(X477&lt;=0,Y477&lt;0)),"INVALID – expected qty must be above 0 and actual not negative",IF(AH471="N/A – JUSTIFIED","INVALID – preparation row F14-T12-06 is N/A",IF(AND(AR477=1,ISNUMBER(X471),X477&lt;&gt;X471,TRIM(U477)&lt;&gt;"Pass after CA"),"INVALID – expected qty differs from preparation check F14-T12-06: record the load change as a corrective action (Pass after CA)",IF(BB477&lt;&gt;"",BB477,IF(AND(AS477=1,Documents!$J$18&lt;&gt;"ON FILE"),"INVALID – GLD not on file (Documents sheet)",IF(AND(AS477=2,Documents!$O$18&lt;&gt;"ON FILE"),"INVALID – menu checklist not on file (Documents sheet)",IF(AND(AS477=3,NOT(ISNUMBER(Flights!$AX$18))),"INVALID – enter carrying flight KUL departure (Flights AX)",IF(AND(AS477=3,OR(Flights!$AZ$18&gt;Flights!$AA$18,Flights!$AX$18&lt;Flights!$AA$18-3)),"INVALID – carrying flight (Flights AX) cannot arrive before this leg's STD, or is over 3 days early",IF(AG477&gt;AsOfUTC,"INVALID – completion time is in the future",IF(AND(ISNUMBER(BY477),AG477&lt;BY477),IF(H477="Physical uplift","INVALID – before uplift window (cannot confirm loading)","INVALID – before valid window"),IF(AG477&gt;Flights!$AA$18,"INVALID – completed after departure (cannot establish readiness)",IF(AND(H477="Preparation",AG477&gt;=IF(ISNUMBER(Flights!$BA$18),MIN(Flights!$BA$18,Flights!$AA$18),Flights!$AA$18)),"INVALID – completed after loading / departure (cannot establish readiness)",IF(AND(H477="Physical uplift",AG477&gt;Q477),"INVALID – recorded after the loading flight departed",IF(AG477&gt;Q477,"COMPLETE – LATE","COMPLETE"))))))))))))))))))))))))))),IF(TRIM(U477)="Fail","FAIL – DISCREPANCY",IF(AND(TRIM(U477)&lt;&gt;"",TRIM(U477)&lt;&gt;"Not started",TRIM(U477)&lt;&gt;"In progress"),"INVALID – unrecognised status (use the list)",IF(AsOfUTC&gt;Q477,"OVERDUE",IF(N477="Clarification required","OPEN – CLARIFICATION","OPEN"))))))),"INVALID – error value in an input cell")</f>
        <v>OPEN</v>
      </c>
      <c r="AI477" s="61" t="n">
        <f aca="false">IF(OR(AH477="N/A – RULE",AH477="N/A – JUSTIFIED"),0,1)</f>
        <v>1</v>
      </c>
      <c r="AJ477" s="61" t="n">
        <f aca="false">IF(LEFT(AH477,8)="COMPLETE",1,0)</f>
        <v>0</v>
      </c>
      <c r="AK477" s="61" t="n">
        <f aca="false">IF(AND(AI477=1,AJ477=0,AsOfUTC&gt;Q477),1,0)</f>
        <v>0</v>
      </c>
      <c r="AL477" s="61" t="n">
        <f aca="false">IFERROR(IF(AND(AI477=1,OR(TRIM(U477)="Fail",AND(TRIM(AB477)&lt;&gt;"",TRIM(AB477)&lt;&gt;"Closed"),AND(ISNUMBER(AF477),AF477&lt;&gt;0,TRIM(U477)&lt;&gt;"Pass after CA"))),1,0),1)</f>
        <v>0</v>
      </c>
      <c r="AM477" s="61" t="n">
        <f aca="false">IF(LEFT(AH477,7)="INVALID",1,0)</f>
        <v>0</v>
      </c>
      <c r="AN477" s="61" t="n">
        <f aca="false">IF(AND(N477="Clarification required",AI477=1,AJ477=0),1,0)</f>
        <v>0</v>
      </c>
      <c r="AO477" s="61" t="str">
        <f aca="false">IF(AK477=1,SUM(AK$5:AK477),"")</f>
        <v/>
      </c>
      <c r="AP477" s="61" t="str">
        <f aca="false">IF(AL477=1,SUM(AL$5:AL477),"")</f>
        <v/>
      </c>
      <c r="AQ477" s="61" t="n">
        <v>0</v>
      </c>
      <c r="AR477" s="61" t="n">
        <v>1</v>
      </c>
      <c r="AS477" s="61" t="n">
        <v>0</v>
      </c>
      <c r="AT477" s="61" t="n">
        <v>0</v>
      </c>
      <c r="AU477" s="61" t="str">
        <f aca="false">SUBSTITUTE(SUBSTITUTE(SUBSTITUTE(SUBSTITUTE(SUBSTITUTE(SUBSTITUTE(SUBSTITUTE(SUBSTITUTE(SUBSTITUTE(SUBSTITUTE(SUBSTITUTE(SUBSTITUTE(SUBSTITUTE(SUBSTITUTE(SUBSTITUTE(SUBSTITUTE(LOWER(T477&amp;""),CHAR(10),""),CHAR(13),""),CHAR(9),""),CHAR(160),"")," ",""),".",""),"-",""),"/",""),"?",""),"_",""),",",""),"[",""),"]",""),"(",""),")",""),"*","")</f>
        <v/>
      </c>
      <c r="AV477" s="61" t="str">
        <f aca="false">SUBSTITUTE(SUBSTITUTE(SUBSTITUTE(SUBSTITUTE(SUBSTITUTE(SUBSTITUTE(SUBSTITUTE(SUBSTITUTE(SUBSTITUTE(SUBSTITUTE(SUBSTITUTE(SUBSTITUTE(SUBSTITUTE(SUBSTITUTE(SUBSTITUTE(SUBSTITUTE(LOWER(V477&amp;""),CHAR(10),""),CHAR(13),""),CHAR(9),""),CHAR(160),"")," ",""),".",""),"-",""),"/",""),"?",""),"_",""),",",""),"[",""),"]",""),"(",""),")",""),"*","")</f>
        <v/>
      </c>
      <c r="AW477" s="61" t="str">
        <f aca="false">SUBSTITUTE(SUBSTITUTE(SUBSTITUTE(SUBSTITUTE(SUBSTITUTE(SUBSTITUTE(SUBSTITUTE(SUBSTITUTE(SUBSTITUTE(SUBSTITUTE(SUBSTITUTE(SUBSTITUTE(SUBSTITUTE(SUBSTITUTE(SUBSTITUTE(SUBSTITUTE(LOWER(Z477&amp;""),CHAR(10),""),CHAR(13),""),CHAR(9),""),CHAR(160),"")," ",""),".",""),"-",""),"/",""),"?",""),"_",""),",",""),"[",""),"]",""),"(",""),")",""),"*","")</f>
        <v/>
      </c>
      <c r="AX477" s="61" t="str">
        <f aca="false">SUBSTITUTE(SUBSTITUTE(SUBSTITUTE(SUBSTITUTE(SUBSTITUTE(SUBSTITUTE(SUBSTITUTE(SUBSTITUTE(SUBSTITUTE(SUBSTITUTE(SUBSTITUTE(SUBSTITUTE(SUBSTITUTE(SUBSTITUTE(SUBSTITUTE(SUBSTITUTE(LOWER(AE477&amp;""),CHAR(10),""),CHAR(13),""),CHAR(9),""),CHAR(160),"")," ",""),".",""),"-",""),"/",""),"?",""),"_",""),",",""),"[",""),"]",""),"(",""),")",""),"*","")</f>
        <v/>
      </c>
      <c r="AY477" s="61" t="str">
        <f aca="false">SUBSTITUTE(SUBSTITUTE(SUBSTITUTE(SUBSTITUTE(SUBSTITUTE(SUBSTITUTE(SUBSTITUTE(SUBSTITUTE(SUBSTITUTE(SUBSTITUTE(SUBSTITUTE(SUBSTITUTE(SUBSTITUTE(SUBSTITUTE(SUBSTITUTE(SUBSTITUTE(LOWER(W477&amp;""),CHAR(10),""),CHAR(13),""),CHAR(9),""),CHAR(160),"")," ",""),".",""),"-",""),"/",""),"?",""),"_",""),",",""),"[",""),"]",""),"(",""),")",""),"*","")</f>
        <v/>
      </c>
      <c r="AZ477" s="61" t="str">
        <f aca="false">SUBSTITUTE(SUBSTITUTE(SUBSTITUTE(SUBSTITUTE(SUBSTITUTE(SUBSTITUTE(SUBSTITUTE(SUBSTITUTE(SUBSTITUTE(SUBSTITUTE(SUBSTITUTE(SUBSTITUTE(SUBSTITUTE(SUBSTITUTE(SUBSTITUTE(SUBSTITUTE(LOWER(AC477&amp;""),CHAR(10),""),CHAR(13),""),CHAR(9),""),CHAR(160),"")," ",""),".",""),"-",""),"/",""),"?",""),"_",""),",",""),"[",""),"]",""),"(",""),")",""),"*","")</f>
        <v/>
      </c>
      <c r="BA477" s="61" t="str">
        <f aca="false">SUBSTITUTE(SUBSTITUTE(SUBSTITUTE(SUBSTITUTE(SUBSTITUTE(SUBSTITUTE(SUBSTITUTE(SUBSTITUTE(SUBSTITUTE(SUBSTITUTE(SUBSTITUTE(SUBSTITUTE(SUBSTITUTE(SUBSTITUTE(SUBSTITUTE(SUBSTITUTE(LOWER(AA477&amp;""),CHAR(10),""),CHAR(13),""),CHAR(9),""),CHAR(160),"")," ",""),".",""),"-",""),"/",""),"?",""),"_",""),",",""),"[",""),"]",""),"(",""),")",""),"*","")</f>
        <v/>
      </c>
      <c r="BB477" s="61" t="str">
        <f aca="false">IF(AND(TRIM(U477)="Pass",ISNUMBER(AF477)),IF(AF477&lt;&gt;0,"INVALID – qty variance: use Fail or Pass after CA",""),"")&amp;IF(AND(TRIM(U477)="Pass after CA",ISNUMBER(AF477)),IF(AF477&lt;&gt;0,"INVALID – after the corrective action the actual qty must equal expected (update Actual)",""),"")&amp;IF(AND(TRIM(U477)="Pass",TRIM(AB477)&lt;&gt;"",TRIM(AB477)&lt;&gt;"Closed"),"INVALID – corrective action not closed: use Fail, then Pass after CA","")&amp;IF(AND(LEN(BA477)&gt;=2,ISNA(MATCH(LEFT(BA477,255),L_Placeholder,0)),TRIM(AB477)=""),"INVALID – CA status missing for the recorded corrective action","")&amp;IF(AND(TRIM(U477)="Pass after CA",OR(OR(LEN(BA477)&lt;5,ISNUMBER(MATCH(BA477,L_Placeholder,0))),TRIM(AB477)&lt;&gt;"Closed")),"INVALID – corrective action not recorded/closed","")</f>
        <v/>
      </c>
      <c r="BC477" s="61" t="str">
        <f aca="false">" "&amp;TRIM(SUBSTITUTE(SUBSTITUTE(SUBSTITUTE(SUBSTITUTE(SUBSTITUTE(SUBSTITUTE(SUBSTITUTE(SUBSTITUTE(SUBSTITUTE(SUBSTITUTE(SUBSTITUTE(SUBSTITUTE(SUBSTITUTE(SUBSTITUTE(SUBSTITUTE(SUBSTITUTE(SUBSTITUTE(SUBSTITUTE(SUBSTITUTE(SUBSTITUTE(SUBSTITUTE(SUBSTITUTE(SUBSTITUTE(SUBSTITUTE(LOWER(V477&amp;""),CHAR(10)," "),CHAR(13)," "),CHAR(9)," "),CHAR(160)," "),"."," "),","," "),"-"," "),"/"," "),"("," "),")"," "),":"," "),";"," "),"_"," "),"–"," "),"?"," "),"!"," "),"*"," "),"["," "),"]"," "),"'"," "),"#"," "),"+"," "),"&amp;"," "),"\"," "))&amp;" "</f>
        <v>  </v>
      </c>
      <c r="BD477" s="61" t="str">
        <f aca="false">" "&amp;TRIM(SUBSTITUTE(SUBSTITUTE(SUBSTITUTE(SUBSTITUTE(SUBSTITUTE(SUBSTITUTE(SUBSTITUTE(SUBSTITUTE(SUBSTITUTE(SUBSTITUTE(SUBSTITUTE(SUBSTITUTE(SUBSTITUTE(SUBSTITUTE(SUBSTITUTE(SUBSTITUTE(SUBSTITUTE(SUBSTITUTE(SUBSTITUTE(SUBSTITUTE(SUBSTITUTE(SUBSTITUTE(SUBSTITUTE(SUBSTITUTE(LOWER(Z477&amp;""),CHAR(10)," "),CHAR(13)," "),CHAR(9)," "),CHAR(160)," "),"."," "),","," "),"-"," "),"/"," "),"("," "),")"," "),":"," "),";"," "),"_"," "),"–"," "),"?"," "),"!"," "),"*"," "),"["," "),"]"," "),"'"," "),"#"," "),"+"," "),"&amp;"," "),"\"," "))&amp;" "</f>
        <v>  </v>
      </c>
      <c r="BE477" s="61" t="str">
        <f aca="false">" "&amp;TRIM(SUBSTITUTE(SUBSTITUTE(SUBSTITUTE(SUBSTITUTE(SUBSTITUTE(SUBSTITUTE(SUBSTITUTE(SUBSTITUTE(SUBSTITUTE(SUBSTITUTE(SUBSTITUTE(SUBSTITUTE(SUBSTITUTE(SUBSTITUTE(SUBSTITUTE(SUBSTITUTE(SUBSTITUTE(SUBSTITUTE(SUBSTITUTE(SUBSTITUTE(SUBSTITUTE(SUBSTITUTE(SUBSTITUTE(SUBSTITUTE(LOWER(W477&amp;""),CHAR(10)," "),CHAR(13)," "),CHAR(9)," "),CHAR(160)," "),"."," "),","," "),"-"," "),"/"," "),"("," "),")"," "),":"," "),";"," "),"_"," "),"–"," "),"?"," "),"!"," "),"*"," "),"["," "),"]"," "),"'"," "),"#"," "),"+"," "),"&amp;"," "),"\"," "))&amp;" "</f>
        <v>  </v>
      </c>
      <c r="BF477" s="61" t="str">
        <f aca="false">" "&amp;TRIM(SUBSTITUTE(SUBSTITUTE(SUBSTITUTE(SUBSTITUTE(SUBSTITUTE(SUBSTITUTE(SUBSTITUTE(SUBSTITUTE(SUBSTITUTE(SUBSTITUTE(SUBSTITUTE(SUBSTITUTE(SUBSTITUTE(SUBSTITUTE(SUBSTITUTE(SUBSTITUTE(SUBSTITUTE(SUBSTITUTE(SUBSTITUTE(SUBSTITUTE(SUBSTITUTE(SUBSTITUTE(SUBSTITUTE(SUBSTITUTE(LOWER(AC477&amp;""),CHAR(10)," "),CHAR(13)," "),CHAR(9)," "),CHAR(160)," "),"."," "),","," "),"-"," "),"/"," "),"("," "),")"," "),":"," "),";"," "),"_"," "),"–"," "),"?"," "),"!"," "),"*"," "),"["," "),"]"," "),"'"," "),"#"," "),"+"," "),"&amp;"," "),"\"," "))&amp;" "</f>
        <v>  </v>
      </c>
      <c r="BG477" s="61" t="n">
        <f aca="false">IFERROR(IF(AND(TRIM(U477)="Pass",SUMPRODUCT((LEN(BC477)-LEN(SUBSTITUTE(BC477," "&amp;L_ResultBad&amp;" "," ")))/(LEN(L_ResultBad)+1))&gt;SUMPRODUCT((LEN(BC477)-LEN(SUBSTITUTE(BC477," "&amp;L_NegPhrase&amp;" "," ")))/(LEN(L_NegPhrase)+1))),1,0),0)</f>
        <v>0</v>
      </c>
      <c r="BH477" s="61" t="n">
        <f aca="false">IFERROR(IF(SUMPRODUCT((LEN(BC477)-LEN(SUBSTITUTE(BC477," "&amp;L_Pending&amp;" "," ")))/(LEN(L_Pending)+1))&gt;SUMPRODUCT((LEN(BC477)-LEN(SUBSTITUTE(BC477," "&amp;L_PendNeg&amp;" "," ")))/(LEN(L_PendNeg)+1)),1,0),1)</f>
        <v>0</v>
      </c>
      <c r="BI477" s="61" t="n">
        <f aca="false">IFERROR(IF(SUMPRODUCT((LEN(BD477)-LEN(SUBSTITUTE(BD477," "&amp;L_PendStrict&amp;" "," ")))/(LEN(L_PendStrict)+1))&gt;SUMPRODUCT((LEN(BD477)-LEN(SUBSTITUTE(BD477," "&amp;L_PendNeg&amp;" "," ")))/(LEN(L_PendNeg)+1)),1,0),1)</f>
        <v>0</v>
      </c>
      <c r="BJ477" s="61" t="n">
        <f aca="false">IFERROR(IF(SUMPRODUCT((LEN(BE477)-LEN(SUBSTITUTE(BE477," "&amp;L_Pending&amp;" "," ")))/(LEN(L_Pending)+1))&gt;SUMPRODUCT((LEN(BE477)-LEN(SUBSTITUTE(BE477," "&amp;L_PendNeg&amp;" "," ")))/(LEN(L_PendNeg)+1)),1,0),1)</f>
        <v>0</v>
      </c>
      <c r="BK477" s="61" t="n">
        <f aca="false">IFERROR(IF(SUMPRODUCT((LEN(BF477)-LEN(SUBSTITUTE(BF477," "&amp;L_PendStrict&amp;" "," ")))/(LEN(L_PendStrict)+1))&gt;SUMPRODUCT((LEN(BF477)-LEN(SUBSTITUTE(BF477," "&amp;L_PendNeg&amp;" "," ")))/(LEN(L_PendNeg)+1)),1,0),1)</f>
        <v>0</v>
      </c>
      <c r="BL477" s="61" t="n">
        <f aca="false">IF(ISNA(MATCH(TRIM(S477),L_EvidenceType,0)),0,BZ477)</f>
        <v>0</v>
      </c>
      <c r="BM477" s="61" t="str">
        <f aca="false">SUBSTITUTE(SUBSTITUTE(SUBSTITUTE(SUBSTITUTE(SUBSTITUTE(SUBSTITUTE(SUBSTITUTE(SUBSTITUTE(SUBSTITUTE(LOWER(Z477&amp;""),"1","0"),"2","0"),"3","0"),"4","0"),"5","0"),"6","0"),"7","0"),"8","0"),"9","0")</f>
        <v/>
      </c>
      <c r="BN477" s="61" t="str">
        <f aca="false">SUBSTITUTE(SUBSTITUTE(SUBSTITUTE(SUBSTITUTE(SUBSTITUTE(SUBSTITUTE(SUBSTITUTE(SUBSTITUTE(SUBSTITUTE(SUBSTITUTE(SUBSTITUTE(SUBSTITUTE(SUBSTITUTE(SUBSTITUTE(SUBSTITUTE(SUBSTITUTE(SUBSTITUTE(SUBSTITUTE(SUBSTITUTE(SUBSTITUTE(SUBSTITUTE(SUBSTITUTE(SUBSTITUTE(SUBSTITUTE(SUBSTITUTE(BM477,"b","a"),"c","a"),"d","a"),"e","a"),"f","a"),"g","a"),"h","a"),"i","a"),"j","a"),"k","a"),"l","a"),"m","a"),"n","a"),"o","a"),"p","a"),"q","a"),"r","a"),"s","a"),"t","a"),"u","a"),"v","a"),"w","a"),"x","a"),"y","a"),"z","a")</f>
        <v/>
      </c>
      <c r="BO477" s="61" t="str">
        <f aca="false">SUBSTITUTE(SUBSTITUTE(SUBSTITUTE(SUBSTITUTE(SUBSTITUTE(SUBSTITUTE(SUBSTITUTE(SUBSTITUTE(SUBSTITUTE(LOWER(W477&amp;""),"1","0"),"2","0"),"3","0"),"4","0"),"5","0"),"6","0"),"7","0"),"8","0"),"9","0")</f>
        <v/>
      </c>
      <c r="BP477" s="61" t="str">
        <f aca="false">SUBSTITUTE(SUBSTITUTE(SUBSTITUTE(SUBSTITUTE(SUBSTITUTE(SUBSTITUTE(SUBSTITUTE(SUBSTITUTE(SUBSTITUTE(SUBSTITUTE(SUBSTITUTE(SUBSTITUTE(SUBSTITUTE(SUBSTITUTE(SUBSTITUTE(SUBSTITUTE(SUBSTITUTE(SUBSTITUTE(SUBSTITUTE(SUBSTITUTE(SUBSTITUTE(SUBSTITUTE(SUBSTITUTE(SUBSTITUTE(SUBSTITUTE(BO477,"b","a"),"c","a"),"d","a"),"e","a"),"f","a"),"g","a"),"h","a"),"i","a"),"j","a"),"k","a"),"l","a"),"m","a"),"n","a"),"o","a"),"p","a"),"q","a"),"r","a"),"s","a"),"t","a"),"u","a"),"v","a"),"w","a"),"x","a"),"y","a"),"z","a")</f>
        <v/>
      </c>
      <c r="BQ477" s="61" t="n">
        <f aca="false">IFERROR(IF(AND(ISERROR(SEARCH(" mh"," "&amp;LOWER(W477))),ISNA(MATCH(LEFT(TRIM(BP477),255),{"0000a","000a","00a","0000aa","000aa","00aa","0aa","0000aaa","000aaa","00a00","0a00","0000-0000","00:00","a00","a0","00.00.0000","00/00/0000","00-00-0000","0000-00-00","0000/00/00","0000.00.00","00.00.00","00/00/00","00-00-00","0.00.0000","0/00/0000","0-00-0000"},0)),ISNA(MATCH(LEFT(TRIM(CA477),255),{"0000a","000a","00a","0000aa","000aa","00aa","0aa","0000aaa","000aaa","00a00","0a00","0000-0000","00:00","a00","a0","00.00.0000","00/00/0000","00-00-0000","0000-00-00","0000/00/00","0000.00.00","00.00.00","00/00/00","00-00-00","0.00.0000","0/00/0000","0-00-0000"},0)),LEN(CB477)&gt;=3,NOT(OR(SUBSTITUTE(CB477,"0","")="",AND(LEN(CB477)&gt;=4,CB477=REPT(LEFT(CB477),LEN(CB477))),ISNUMBER(MATCH(CB477,{"123","1234","12345","123456","1234567","12345678","0123","01234","012345","98765","987654","54321"},0)),AND(LEN(CB477)=8,LEFT(CB477,3)="202"))),OR(AND((LEN(CA477)-LEN(SUBSTITUTE(CA477,"a","")))&gt;=1,SUMPRODUCT(--ISNUMBER(SEARCH({"a0","a-0","a_0","a/0","a.0","a#0","0a","0-a","0_a","0/a"},BP477)))&gt;0),ISNUMBER(SEARCH("000000",BP477)))),1,0),0)</f>
        <v>0</v>
      </c>
      <c r="BR477" s="61" t="n">
        <f aca="false">IFERROR(LEN(SUBSTITUTE(CC477," ",""))-SUMPRODUCT((LEN(CC477)-LEN(SUBSTITUTE(CC477," "&amp;L_Role&amp;" "," ")))/(LEN(L_Role)+1)*LEN(L_Role)),0)</f>
        <v>0</v>
      </c>
      <c r="BS477" s="61" t="n">
        <f aca="false">IFERROR(LEN(SUBSTITUTE(CD477," ",""))-SUMPRODUCT((LEN(CD477)-LEN(SUBSTITUTE(CD477," "&amp;L_Role&amp;" "," ")))/(LEN(L_Role)+1)*LEN(L_Role)),0)</f>
        <v>0</v>
      </c>
      <c r="BT4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477,"revision",""),"version",""),"jan",""),"feb",""),"mar",""),"apr",""),"may",""),"jun",""),"jul",""),"aug",""),"sep",""),"oct",""),"nov",""),"dec",""),"utc",""),"gmt",""),"myt",""),"bst",""),"rev",""),"ver",""),"b","a"),"c","a"),"d","a"),"e","a"),"f","a"),"g","a"),"h","a"),"i","a"),"j","a"),"k","a"),"l","a"),"m","a"),"n","a"),"o","a"),"p","a"),"q","a"),"r","a"),"s","a"),"t","a"),"u","a"),"v","a"),"w","a"),"x","a"),"y","a"),"z","a")</f>
        <v/>
      </c>
      <c r="BU477" s="61" t="str">
        <f aca="false">SUBSTITUTE(SUBSTITUTE(SUBSTITUTE(SUBSTITUTE(SUBSTITUTE(SUBSTITUTE(SUBSTITUTE(SUBSTITUTE(SUBSTITUTE(SUBSTITUTE(LEFT(BM477,FIND("0",BM477&amp;"0")-1),"-",""),"_",""),"/",""),".",""),"#",""),"\\",""),":","")," ",""),"(",""),")","")</f>
        <v/>
      </c>
      <c r="BV477" s="61" t="n">
        <f aca="false">IFERROR(IF(OR(SUMPRODUCT((LEN(BC477)-LEN(SUBSTITUTE(BC477," "&amp;L_NotLoaded&amp;" "," ")))/(LEN(L_NotLoaded)+1))&gt;SUMPRODUCT((LEN(BC477)-LEN(SUBSTITUTE(BC477," "&amp;L_NotLoadedNeg&amp;" "," ")))/(LEN(L_NotLoadedNeg)+1)),SUMPRODUCT((LEN(BD477)-LEN(SUBSTITUTE(BD477," "&amp;L_NotLoaded&amp;" "," ")))/(LEN(L_NotLoaded)+1))&gt;SUMPRODUCT((LEN(BD477)-LEN(SUBSTITUTE(BD477," "&amp;L_NotLoadedNeg&amp;" "," ")))/(LEN(L_NotLoadedNeg)+1))),1,0),0)</f>
        <v>0</v>
      </c>
      <c r="BW4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477&amp;""),"a",""),"b",""),"c",""),"d",""),"e",""),"f",""),"g",""),"h",""),"i",""),"j",""),"k",""),"l",""),"m",""),"n",""),"o",""),"p",""),"q",""),"r",""),"s",""),"t",""),"u",""),"v",""),"w",""),"x",""),"y",""),"z",""),"-",""),"_",""),"/",""),".",""),"#",""),"\\",""),":","")," ",""),"(",""),")","")</f>
        <v/>
      </c>
      <c r="BX477" s="61" t="str">
        <f aca="false">SUBSTITUTE(SUBSTITUTE(SUBSTITUTE(SUBSTITUTE(SUBSTITUTE(SUBSTITUTE(SUBSTITUTE(SUBSTITUTE(SUBSTITUTE(SUBSTITUTE(SUBSTITUTE(BM477,"0",""),"-",""),"_",""),"/",""),".",""),"#",""),"\\",""),":","")," ",""),"(",""),")","")</f>
        <v/>
      </c>
      <c r="BY477" s="62" t="n">
        <f aca="false">IF(ISNUMBER(Flights!$AZ$18),MAX(Q477-UpliftWindowH/24,Flights!$AZ$18),Q477-UpliftWindowH/24)</f>
        <v>46309.8263888889</v>
      </c>
      <c r="BZ477" s="61" t="n">
        <f aca="false">IFERROR(IF(IF(TRIM(S477)="Link / file path",AND(LEN(TRIM(Z477))&gt;=5,SUMPRODUCT(--ISNUMBER(SEARCH({"http","www.","\\",":\",".pdf",".jpg",".jpeg",".png",".heic",".xls",".doc",".msg",".eml",".ppt",".txt",".zip"},Z477)))&gt;0),AND(ISERROR(FIND(" ",TRIM(Z477))),NOT(OR(SUMPRODUCT(--ISNUMBER(FIND({",",";","&amp;","+"},Z477)))&gt;0,SUMPRODUCT(--ISNUMBER(SEARCH({"0/aa","0\\aa"},BN477)))&gt;0)),NOT(SUMPRODUCT(--ISNUMBER(SEARCH({"http","www.","\\",":\",".pdf",".jpg",".jpeg",".png",".heic",".xls",".doc",".msg",".eml",".ppt",".txt",".zip"},Z477)))&gt;0),NOT(LOWER(TRIM(Z477))=LOWER(Flights!$F$18)),ISNA(MATCH(BU477,{"mh","rev","revision","ver","version","v","r","a","b","seat","tray","row","gate","bay","stand","page","pg","item","line","no","cart","galley","flight","flt","table","box","bag","oven","etd","eta","std","sta","atd","ata","qty","pax","x","time","tel","ph","mob","day","wk","week","utc","gmt","myt","lt"},0)),NOT(OR(ISNUMBER(MATCH(LEFT(BN477,255),{"0000a","000a","00a","0000aa","000aa","00aa","0aa","0000aaa","000aaa","00a00","0a00","0000-0000","00:00","a00","a0","00.00.0000","00/00/0000","00-00-0000","0000-00-00","0000/00/00","0000.00.00","00.00.00","00/00/00","00-00-00","0.00.0000","0/00/0000","0-00-0000"},0)),ISNUMBER(MATCH(LEFT(BT477,255),{"0000a","000a","00a","0000aa","000aa","00aa","0aa","0000aaa","000aaa","00a00","0a00","0000-0000","00:00","a00","a0","00.00.0000","00/00/0000","00-00-0000","0000-00-00","0000/00/00","0000.00.00","00.00.00","00/00/00","00-00-00","0.00.0000","0/00/0000","0-00-0000"},0)))),NOT(OR(AND(BW477&lt;&gt;"",SUBSTITUTE(BW477,"0","")=""),AND(LEN(BW477)&gt;=4,BW477=REPT(LEFT(BW477),LEN(BW477))),ISNUMBER(MATCH(BW477,{"123","1234","12345","123456","1234567","12345678","0123","01234","012345","98765","987654","54321"},0)),ISNUMBER(MATCH(BX477,{"x","xx","xxx","xxxx","xxxxx","abc","abcd","nil","na","nan","test","tbc","tba","tbd","dummy","sample","example","eg","zz","zzz","none","null","xyz","qwe","asd","id","ref"},0)),AND(LEN(BW477)=8,BX477="",OR(LEFT(BW477,3)="202",ISNUMBER(MATCH(RIGHT(BW477,4),{"2025","2026","2027"},0)))))),OR(AND((LEN(BT477)-LEN(SUBSTITUTE(BT477,"a","")))&gt;=1,(LEN(BN477)-LEN(SUBSTITUTE(BN477,"0","")))&gt;=2,SUMPRODUCT(--ISNUMBER(SEARCH({"a0","a-0","a_0","a/0","a.0","a#0","0a","0-a","0_a","0/a"},BN477)))&gt;0),AND((LEN(BN477)-LEN(SUBSTITUTE(BN477,"a","")))=0,(LEN(BN477)-LEN(SUBSTITUTE(BN477,"0","")))&gt;=5)))),1,0),0)</f>
        <v>0</v>
      </c>
      <c r="CA4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477,"revision",""),"version",""),"jan",""),"feb",""),"mar",""),"apr",""),"may",""),"jun",""),"jul",""),"aug",""),"sep",""),"oct",""),"nov",""),"dec",""),"utc",""),"gmt",""),"myt",""),"bst",""),"rev",""),"ver",""),"b","a"),"c","a"),"d","a"),"e","a"),"f","a"),"g","a"),"h","a"),"i","a"),"j","a"),"k","a"),"l","a"),"m","a"),"n","a"),"o","a"),"p","a"),"q","a"),"r","a"),"s","a"),"t","a"),"u","a"),"v","a"),"w","a"),"x","a"),"y","a"),"z","a")</f>
        <v/>
      </c>
      <c r="CB4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477&amp;""),"a",""),"b",""),"c",""),"d",""),"e",""),"f",""),"g",""),"h",""),"i",""),"j",""),"k",""),"l",""),"m",""),"n",""),"o",""),"p",""),"q",""),"r",""),"s",""),"t",""),"u",""),"v",""),"w",""),"x",""),"y",""),"z",""),"-",""),"_",""),"/",""),".",""),"#",""),"\\",""),":","")," ",""),"(",""),")","")</f>
        <v/>
      </c>
      <c r="CC477" s="0" t="str">
        <f aca="false">" "&amp;TRIM(SUBSTITUTE(SUBSTITUTE(SUBSTITUTE(SUBSTITUTE(SUBSTITUTE(SUBSTITUTE(SUBSTITUTE(SUBSTITUTE(SUBSTITUTE(SUBSTITUTE(SUBSTITUTE(SUBSTITUTE(SUBSTITUTE(SUBSTITUTE(SUBSTITUTE(SUBSTITUTE(SUBSTITUTE(SUBSTITUTE(SUBSTITUTE(SUBSTITUTE(SUBSTITUTE(SUBSTITUTE(SUBSTITUTE(SUBSTITUTE(LOWER(T477&amp;""),CHAR(10)," "),CHAR(13)," "),CHAR(9)," "),CHAR(160)," "),"."," "),","," "),"-"," "),"/"," "),"("," "),")"," "),":"," "),";"," "),"_"," "),"–"," "),"?"," "),"!"," "),"*"," "),"["," "),"]"," "),"'"," "),"#"," "),"+"," "),"&amp;"," "),"\"," "))&amp;" "</f>
        <v>  </v>
      </c>
      <c r="CD477" s="0" t="str">
        <f aca="false">" "&amp;TRIM(SUBSTITUTE(SUBSTITUTE(SUBSTITUTE(SUBSTITUTE(SUBSTITUTE(SUBSTITUTE(SUBSTITUTE(SUBSTITUTE(SUBSTITUTE(SUBSTITUTE(SUBSTITUTE(SUBSTITUTE(SUBSTITUTE(SUBSTITUTE(SUBSTITUTE(SUBSTITUTE(SUBSTITUTE(SUBSTITUTE(SUBSTITUTE(SUBSTITUTE(SUBSTITUTE(SUBSTITUTE(SUBSTITUTE(SUBSTITUTE(LOWER(AE477&amp;""),CHAR(10)," "),CHAR(13)," "),CHAR(9)," "),CHAR(160)," "),"."," "),","," "),"-"," "),"/"," "),"("," "),")"," "),":"," "),";"," "),"_"," "),"–"," "),"?"," "),"!"," "),"*"," "),"["," "),"]"," "),"'"," "),"#"," "),"+"," "),"&amp;"," "),"\"," "))&amp;" "</f>
        <v>  </v>
      </c>
      <c r="CE477" s="68" t="n">
        <f aca="false">IFERROR(IF(AND(LEN(AU477)&gt;0,LEN(AU477)=LEN(AX477),OR(TRIM(MID(SUBSTITUTE(TRIM(CC477)," ",REPT(" ",60)),1,60))="",ISNUMBER(SEARCH(" "&amp;TRIM(MID(SUBSTITUTE(TRIM(CC477)," ",REPT(" ",60)),1,60))&amp;" ",CD477))),OR(TRIM(MID(SUBSTITUTE(TRIM(CC477)," ",REPT(" ",60)),61,60))="",ISNUMBER(SEARCH(" "&amp;TRIM(MID(SUBSTITUTE(TRIM(CC477)," ",REPT(" ",60)),61,60))&amp;" ",CD477))),OR(TRIM(MID(SUBSTITUTE(TRIM(CC477)," ",REPT(" ",60)),121,60))="",ISNUMBER(SEARCH(" "&amp;TRIM(MID(SUBSTITUTE(TRIM(CC477)," ",REPT(" ",60)),121,60))&amp;" ",CD477)))),1,0),0)</f>
        <v>0</v>
      </c>
      <c r="CG477" s="68" t="n">
        <f aca="false">IFERROR(LEN(SUBSTITUTE(BF477," ",""))-SUMPRODUCT((LEN(BF477)-LEN(SUBSTITUTE(BF477," "&amp;L_NAFiller&amp;" "," ")))/(LEN(L_NAFiller)+1)*LEN(L_NAFiller)),0)</f>
        <v>0</v>
      </c>
    </row>
    <row r="478" customFormat="false" ht="116.25" hidden="false" customHeight="true" outlineLevel="0" collapsed="false">
      <c r="A478" s="57" t="s">
        <v>1127</v>
      </c>
      <c r="B478" s="57" t="s">
        <v>276</v>
      </c>
      <c r="C478" s="57" t="str">
        <f aca="false">Flights!$F$18</f>
        <v>MH0004</v>
      </c>
      <c r="D478" s="58" t="n">
        <f aca="false">Flights!$D$18</f>
        <v>46310</v>
      </c>
      <c r="E478" s="57" t="str">
        <f aca="false">Flights!$G$18&amp;"-"&amp;Flights!$H$18</f>
        <v>KUL-LHR</v>
      </c>
      <c r="F478" s="57" t="str">
        <f aca="false">Flights!$K$18</f>
        <v>EY</v>
      </c>
      <c r="G478" s="57" t="s">
        <v>459</v>
      </c>
      <c r="H478" s="57" t="s">
        <v>460</v>
      </c>
      <c r="I478" s="57" t="s">
        <v>440</v>
      </c>
      <c r="J478" s="57" t="s">
        <v>467</v>
      </c>
      <c r="K478" s="67" t="s">
        <v>501</v>
      </c>
      <c r="L478" s="67" t="s">
        <v>443</v>
      </c>
      <c r="M478" s="67" t="s">
        <v>726</v>
      </c>
      <c r="N478" s="67" t="s">
        <v>444</v>
      </c>
      <c r="O478" s="67" t="s">
        <v>1121</v>
      </c>
      <c r="P478" s="57" t="s">
        <v>187</v>
      </c>
      <c r="Q478" s="59" t="n">
        <f aca="false">ROUND((Flights!$AF$18)*1440,0)/1440</f>
        <v>46310.0763888889</v>
      </c>
      <c r="R478" s="59" t="n">
        <f aca="false">Q478+(IF(AND(INDEX(TZ_DSTS,MATCH(P478,TZ_STN,0))&lt;&gt;"",Q478&gt;=INDEX(TZ_DSTS,MATCH(P478,TZ_STN,0)),Q478&lt;INDEX(TZ_DSTE,MATCH(P478,TZ_STN,0))),INDEX(TZ_DST,MATCH(P478,TZ_STN,0)),INDEX(TZ_STD,MATCH(P478,TZ_STN,0))))/24</f>
        <v>46310.4097222222</v>
      </c>
      <c r="S478" s="60"/>
      <c r="T478" s="60"/>
      <c r="U478" s="60"/>
      <c r="V478" s="60"/>
      <c r="W478" s="61"/>
      <c r="X478" s="60"/>
      <c r="Y478" s="60"/>
      <c r="Z478" s="60"/>
      <c r="AA478" s="60"/>
      <c r="AB478" s="60"/>
      <c r="AC478" s="60"/>
      <c r="AD478" s="66"/>
      <c r="AE478" s="60"/>
      <c r="AF478" s="61" t="str">
        <f aca="false">IF(AND(ISNUMBER(X478),ISNUMBER(Y478)),Y478-X478,"")</f>
        <v/>
      </c>
      <c r="AG478" s="62" t="str">
        <f aca="false">IF(ISNUMBER(AD478),AD478-(IF(AND(INDEX(TZ_DSTS,MATCH(P478,TZ_STN,0))&lt;&gt;"",(AD478-INDEX(TZ_STD,MATCH(P478,TZ_STN,0))/24)&gt;=INDEX(TZ_DSTS,MATCH(P478,TZ_STN,0)),(AD478-INDEX(TZ_STD,MATCH(P478,TZ_STN,0))/24)&lt;INDEX(TZ_DSTE,MATCH(P478,TZ_STN,0))),INDEX(TZ_DST,MATCH(P478,TZ_STN,0)),INDEX(TZ_STD,MATCH(P478,TZ_STN,0))))/24,"")</f>
        <v/>
      </c>
      <c r="AH478" s="65" t="str">
        <f aca="false">IFERROR(IF(N478="N/A – rule",IF(OR(TRIM(U478)="",TRIM(U478)="N/A",TRIM(U478)="Not started"),"N/A – RULE","INVALID – this check does not apply to this aircraft: clear the status (or correct the fleet on Flights)"),IF(TRIM(U478)="N/A",IF(AT478=0,"INVALID – N/A not permitted for this check",IF(AND(TRIM(AB478)&lt;&gt;"",TRIM(AB478)&lt;&gt;"Closed"),"INVALID – corrective action still open",IF(AND(NOT(OR(LEN(AZ478)&lt;15,ISNUMBER(MATCH(AZ478,L_Placeholder,0)))),BK478=0,CG478&gt;=8,NOT(OR(LEN(AU478)&lt;2,ISNUMBER(MATCH(AU478,L_Placeholder,0)))),BR478&gt;=3,NOT(OR(LEN(AX478)&lt;2,ISNUMBER(MATCH(AX478,L_Placeholder,0)))),BS478&gt;=3,TRIM(AE478)&lt;&gt;TRIM(T478),AX478&lt;&gt;AU478,CE478=0),"N/A – JUSTIFIED","INVALID – N/A needs a real, settled reason (not 'not applicable' / 'as above' / TBC), a named PIC and a different named verifier"))),IF(OR(TRIM(U478)="Pass",TRIM(U478)="Pass after CA"),IF(NOT(ISNUMBER(AD478)),"INVALID – completion time missing",IF(OR(OR(LEN(AU478)&lt;2,ISNUMBER(MATCH(AU478,L_Placeholder,0))),BR478&lt;3),"INVALID – PIC missing or not a named person (a role such as QA / CSM is not a name)",IF(OR(LEN(AV478)&lt;2,ISNUMBER(MATCH(AV478,L_Placeholder,0))),"INVALID – result / assessment missing",IF(OR(OR(LEN(AW478)&lt;3,ISNUMBER(MATCH(AW478,L_Placeholder,0))),SUMPRODUCT(--ISNUMBER(SEARCH(" "&amp;L_EvidencePhrase&amp;" ",BD478)))&gt;0,BI478=1),"INVALID – evidence missing, placeholder or not yet on file",IF(ISNA(MATCH(TRIM(S478),L_EvidenceType,0)),"INVALID – choose the evidence type from the list (column S)",IF(BL478=0,"INVALID – evidence ID must be the record's own ID only (e.g. SF-2210, IMG_2231, 1045521); a link / file name needs type 'Link / file path'",IF(OR(OR(LEN(AX478)&lt;2,ISNUMBER(MATCH(AX478,L_Placeholder,0))),BS478&lt;3),"INVALID – verifier missing or not a named person (a role such as QA / CSM is not a name)",IF(OR(AX478=AU478,CE478=1,AND(LEN(AU478)&gt;=4,ISNUMBER(SEARCH(AU478,AX478))),AND(LEN(AX478)&gt;=4,ISNUMBER(SEARCH(AX478,AU478)))),"INVALID – verifier must be a different, named person (not the PIC or a role)",IF(BH478=1,"INVALID – result not yet available (awaiting / TBC)",IF(BG478=1,"INVALID – result describes a problem: record Fail, then Pass after CA (or reword if it is not a problem)",IF(BV478=1,"INVALID – wording says not on board: an on-board confirmation needs the item loaded",IF(AND(AQ478=1,OR(OR(LEN(AY478)&lt;3,ISNUMBER(MATCH(AY478,L_Placeholder,0))),BJ478=1,BQ478=0)),"INVALID – batch ID missing, placeholder or not an ID (e.g. PASB-261008-BC-017)",IF(AND(AR478=1,OR(NOT(ISNUMBER(X478)),NOT(ISNUMBER(Y478)))),"INVALID – expected/actual qty missing",IF(AND(AR478=1,OR(X478&lt;=0,Y478&lt;0)),"INVALID – expected qty must be above 0 and actual not negative",IF(AH473="N/A – JUSTIFIED","INVALID – preparation row F14-T12-08 is N/A",IF(AND(AR478=1,ISNUMBER(X473),X478&lt;&gt;X473,TRIM(U478)&lt;&gt;"Pass after CA"),"INVALID – expected qty differs from preparation check F14-T12-08: record the load change as a corrective action (Pass after CA)",IF(BB478&lt;&gt;"",BB478,IF(AND(AS478=1,Documents!$J$18&lt;&gt;"ON FILE"),"INVALID – GLD not on file (Documents sheet)",IF(AND(AS478=2,Documents!$O$18&lt;&gt;"ON FILE"),"INVALID – menu checklist not on file (Documents sheet)",IF(AND(AS478=3,NOT(ISNUMBER(Flights!$AX$18))),"INVALID – enter carrying flight KUL departure (Flights AX)",IF(AND(AS478=3,OR(Flights!$AZ$18&gt;Flights!$AA$18,Flights!$AX$18&lt;Flights!$AA$18-3)),"INVALID – carrying flight (Flights AX) cannot arrive before this leg's STD, or is over 3 days early",IF(AG478&gt;AsOfUTC,"INVALID – completion time is in the future",IF(AND(ISNUMBER(BY478),AG478&lt;BY478),IF(H478="Physical uplift","INVALID – before uplift window (cannot confirm loading)","INVALID – before valid window"),IF(AG478&gt;Flights!$AA$18,"INVALID – completed after departure (cannot establish readiness)",IF(AND(H478="Preparation",AG478&gt;=IF(ISNUMBER(Flights!$BA$18),MIN(Flights!$BA$18,Flights!$AA$18),Flights!$AA$18)),"INVALID – completed after loading / departure (cannot establish readiness)",IF(AND(H478="Physical uplift",AG478&gt;Q478),"INVALID – recorded after the loading flight departed",IF(AG478&gt;Q478,"COMPLETE – LATE","COMPLETE"))))))))))))))))))))))))))),IF(TRIM(U478)="Fail","FAIL – DISCREPANCY",IF(AND(TRIM(U478)&lt;&gt;"",TRIM(U478)&lt;&gt;"Not started",TRIM(U478)&lt;&gt;"In progress"),"INVALID – unrecognised status (use the list)",IF(AsOfUTC&gt;Q478,"OVERDUE",IF(N478="Clarification required","OPEN – CLARIFICATION","OPEN"))))))),"INVALID – error value in an input cell")</f>
        <v>OPEN – CLARIFICATION</v>
      </c>
      <c r="AI478" s="61" t="n">
        <f aca="false">IF(OR(AH478="N/A – RULE",AH478="N/A – JUSTIFIED"),0,1)</f>
        <v>1</v>
      </c>
      <c r="AJ478" s="61" t="n">
        <f aca="false">IF(LEFT(AH478,8)="COMPLETE",1,0)</f>
        <v>0</v>
      </c>
      <c r="AK478" s="61" t="n">
        <f aca="false">IF(AND(AI478=1,AJ478=0,AsOfUTC&gt;Q478),1,0)</f>
        <v>0</v>
      </c>
      <c r="AL478" s="61" t="n">
        <f aca="false">IFERROR(IF(AND(AI478=1,OR(TRIM(U478)="Fail",AND(TRIM(AB478)&lt;&gt;"",TRIM(AB478)&lt;&gt;"Closed"),AND(ISNUMBER(AF478),AF478&lt;&gt;0,TRIM(U478)&lt;&gt;"Pass after CA"))),1,0),1)</f>
        <v>0</v>
      </c>
      <c r="AM478" s="61" t="n">
        <f aca="false">IF(LEFT(AH478,7)="INVALID",1,0)</f>
        <v>0</v>
      </c>
      <c r="AN478" s="61" t="n">
        <f aca="false">IF(AND(N478="Clarification required",AI478=1,AJ478=0),1,0)</f>
        <v>1</v>
      </c>
      <c r="AO478" s="61" t="str">
        <f aca="false">IF(AK478=1,SUM(AK$5:AK478),"")</f>
        <v/>
      </c>
      <c r="AP478" s="61" t="str">
        <f aca="false">IF(AL478=1,SUM(AL$5:AL478),"")</f>
        <v/>
      </c>
      <c r="AQ478" s="61" t="n">
        <v>0</v>
      </c>
      <c r="AR478" s="61" t="n">
        <v>0</v>
      </c>
      <c r="AS478" s="61" t="n">
        <v>0</v>
      </c>
      <c r="AT478" s="61" t="n">
        <v>1</v>
      </c>
      <c r="AU478" s="61" t="str">
        <f aca="false">SUBSTITUTE(SUBSTITUTE(SUBSTITUTE(SUBSTITUTE(SUBSTITUTE(SUBSTITUTE(SUBSTITUTE(SUBSTITUTE(SUBSTITUTE(SUBSTITUTE(SUBSTITUTE(SUBSTITUTE(SUBSTITUTE(SUBSTITUTE(SUBSTITUTE(SUBSTITUTE(LOWER(T478&amp;""),CHAR(10),""),CHAR(13),""),CHAR(9),""),CHAR(160),"")," ",""),".",""),"-",""),"/",""),"?",""),"_",""),",",""),"[",""),"]",""),"(",""),")",""),"*","")</f>
        <v/>
      </c>
      <c r="AV478" s="61" t="str">
        <f aca="false">SUBSTITUTE(SUBSTITUTE(SUBSTITUTE(SUBSTITUTE(SUBSTITUTE(SUBSTITUTE(SUBSTITUTE(SUBSTITUTE(SUBSTITUTE(SUBSTITUTE(SUBSTITUTE(SUBSTITUTE(SUBSTITUTE(SUBSTITUTE(SUBSTITUTE(SUBSTITUTE(LOWER(V478&amp;""),CHAR(10),""),CHAR(13),""),CHAR(9),""),CHAR(160),"")," ",""),".",""),"-",""),"/",""),"?",""),"_",""),",",""),"[",""),"]",""),"(",""),")",""),"*","")</f>
        <v/>
      </c>
      <c r="AW478" s="61" t="str">
        <f aca="false">SUBSTITUTE(SUBSTITUTE(SUBSTITUTE(SUBSTITUTE(SUBSTITUTE(SUBSTITUTE(SUBSTITUTE(SUBSTITUTE(SUBSTITUTE(SUBSTITUTE(SUBSTITUTE(SUBSTITUTE(SUBSTITUTE(SUBSTITUTE(SUBSTITUTE(SUBSTITUTE(LOWER(Z478&amp;""),CHAR(10),""),CHAR(13),""),CHAR(9),""),CHAR(160),"")," ",""),".",""),"-",""),"/",""),"?",""),"_",""),",",""),"[",""),"]",""),"(",""),")",""),"*","")</f>
        <v/>
      </c>
      <c r="AX478" s="61" t="str">
        <f aca="false">SUBSTITUTE(SUBSTITUTE(SUBSTITUTE(SUBSTITUTE(SUBSTITUTE(SUBSTITUTE(SUBSTITUTE(SUBSTITUTE(SUBSTITUTE(SUBSTITUTE(SUBSTITUTE(SUBSTITUTE(SUBSTITUTE(SUBSTITUTE(SUBSTITUTE(SUBSTITUTE(LOWER(AE478&amp;""),CHAR(10),""),CHAR(13),""),CHAR(9),""),CHAR(160),"")," ",""),".",""),"-",""),"/",""),"?",""),"_",""),",",""),"[",""),"]",""),"(",""),")",""),"*","")</f>
        <v/>
      </c>
      <c r="AY478" s="61" t="str">
        <f aca="false">SUBSTITUTE(SUBSTITUTE(SUBSTITUTE(SUBSTITUTE(SUBSTITUTE(SUBSTITUTE(SUBSTITUTE(SUBSTITUTE(SUBSTITUTE(SUBSTITUTE(SUBSTITUTE(SUBSTITUTE(SUBSTITUTE(SUBSTITUTE(SUBSTITUTE(SUBSTITUTE(LOWER(W478&amp;""),CHAR(10),""),CHAR(13),""),CHAR(9),""),CHAR(160),"")," ",""),".",""),"-",""),"/",""),"?",""),"_",""),",",""),"[",""),"]",""),"(",""),")",""),"*","")</f>
        <v/>
      </c>
      <c r="AZ478" s="61" t="str">
        <f aca="false">SUBSTITUTE(SUBSTITUTE(SUBSTITUTE(SUBSTITUTE(SUBSTITUTE(SUBSTITUTE(SUBSTITUTE(SUBSTITUTE(SUBSTITUTE(SUBSTITUTE(SUBSTITUTE(SUBSTITUTE(SUBSTITUTE(SUBSTITUTE(SUBSTITUTE(SUBSTITUTE(LOWER(AC478&amp;""),CHAR(10),""),CHAR(13),""),CHAR(9),""),CHAR(160),"")," ",""),".",""),"-",""),"/",""),"?",""),"_",""),",",""),"[",""),"]",""),"(",""),")",""),"*","")</f>
        <v/>
      </c>
      <c r="BA478" s="61" t="str">
        <f aca="false">SUBSTITUTE(SUBSTITUTE(SUBSTITUTE(SUBSTITUTE(SUBSTITUTE(SUBSTITUTE(SUBSTITUTE(SUBSTITUTE(SUBSTITUTE(SUBSTITUTE(SUBSTITUTE(SUBSTITUTE(SUBSTITUTE(SUBSTITUTE(SUBSTITUTE(SUBSTITUTE(LOWER(AA478&amp;""),CHAR(10),""),CHAR(13),""),CHAR(9),""),CHAR(160),"")," ",""),".",""),"-",""),"/",""),"?",""),"_",""),",",""),"[",""),"]",""),"(",""),")",""),"*","")</f>
        <v/>
      </c>
      <c r="BB478" s="61" t="str">
        <f aca="false">IF(AND(TRIM(U478)="Pass",ISNUMBER(AF478)),IF(AF478&lt;&gt;0,"INVALID – qty variance: use Fail or Pass after CA",""),"")&amp;IF(AND(TRIM(U478)="Pass after CA",ISNUMBER(AF478)),IF(AF478&lt;&gt;0,"INVALID – after the corrective action the actual qty must equal expected (update Actual)",""),"")&amp;IF(AND(TRIM(U478)="Pass",TRIM(AB478)&lt;&gt;"",TRIM(AB478)&lt;&gt;"Closed"),"INVALID – corrective action not closed: use Fail, then Pass after CA","")&amp;IF(AND(LEN(BA478)&gt;=2,ISNA(MATCH(LEFT(BA478,255),L_Placeholder,0)),TRIM(AB478)=""),"INVALID – CA status missing for the recorded corrective action","")&amp;IF(AND(TRIM(U478)="Pass after CA",OR(OR(LEN(BA478)&lt;5,ISNUMBER(MATCH(BA478,L_Placeholder,0))),TRIM(AB478)&lt;&gt;"Closed")),"INVALID – corrective action not recorded/closed","")</f>
        <v/>
      </c>
      <c r="BC478" s="61" t="str">
        <f aca="false">" "&amp;TRIM(SUBSTITUTE(SUBSTITUTE(SUBSTITUTE(SUBSTITUTE(SUBSTITUTE(SUBSTITUTE(SUBSTITUTE(SUBSTITUTE(SUBSTITUTE(SUBSTITUTE(SUBSTITUTE(SUBSTITUTE(SUBSTITUTE(SUBSTITUTE(SUBSTITUTE(SUBSTITUTE(SUBSTITUTE(SUBSTITUTE(SUBSTITUTE(SUBSTITUTE(SUBSTITUTE(SUBSTITUTE(SUBSTITUTE(SUBSTITUTE(LOWER(V478&amp;""),CHAR(10)," "),CHAR(13)," "),CHAR(9)," "),CHAR(160)," "),"."," "),","," "),"-"," "),"/"," "),"("," "),")"," "),":"," "),";"," "),"_"," "),"–"," "),"?"," "),"!"," "),"*"," "),"["," "),"]"," "),"'"," "),"#"," "),"+"," "),"&amp;"," "),"\"," "))&amp;" "</f>
        <v>  </v>
      </c>
      <c r="BD478" s="61" t="str">
        <f aca="false">" "&amp;TRIM(SUBSTITUTE(SUBSTITUTE(SUBSTITUTE(SUBSTITUTE(SUBSTITUTE(SUBSTITUTE(SUBSTITUTE(SUBSTITUTE(SUBSTITUTE(SUBSTITUTE(SUBSTITUTE(SUBSTITUTE(SUBSTITUTE(SUBSTITUTE(SUBSTITUTE(SUBSTITUTE(SUBSTITUTE(SUBSTITUTE(SUBSTITUTE(SUBSTITUTE(SUBSTITUTE(SUBSTITUTE(SUBSTITUTE(SUBSTITUTE(LOWER(Z478&amp;""),CHAR(10)," "),CHAR(13)," "),CHAR(9)," "),CHAR(160)," "),"."," "),","," "),"-"," "),"/"," "),"("," "),")"," "),":"," "),";"," "),"_"," "),"–"," "),"?"," "),"!"," "),"*"," "),"["," "),"]"," "),"'"," "),"#"," "),"+"," "),"&amp;"," "),"\"," "))&amp;" "</f>
        <v>  </v>
      </c>
      <c r="BE478" s="61" t="str">
        <f aca="false">" "&amp;TRIM(SUBSTITUTE(SUBSTITUTE(SUBSTITUTE(SUBSTITUTE(SUBSTITUTE(SUBSTITUTE(SUBSTITUTE(SUBSTITUTE(SUBSTITUTE(SUBSTITUTE(SUBSTITUTE(SUBSTITUTE(SUBSTITUTE(SUBSTITUTE(SUBSTITUTE(SUBSTITUTE(SUBSTITUTE(SUBSTITUTE(SUBSTITUTE(SUBSTITUTE(SUBSTITUTE(SUBSTITUTE(SUBSTITUTE(SUBSTITUTE(LOWER(W478&amp;""),CHAR(10)," "),CHAR(13)," "),CHAR(9)," "),CHAR(160)," "),"."," "),","," "),"-"," "),"/"," "),"("," "),")"," "),":"," "),";"," "),"_"," "),"–"," "),"?"," "),"!"," "),"*"," "),"["," "),"]"," "),"'"," "),"#"," "),"+"," "),"&amp;"," "),"\"," "))&amp;" "</f>
        <v>  </v>
      </c>
      <c r="BF478" s="61" t="str">
        <f aca="false">" "&amp;TRIM(SUBSTITUTE(SUBSTITUTE(SUBSTITUTE(SUBSTITUTE(SUBSTITUTE(SUBSTITUTE(SUBSTITUTE(SUBSTITUTE(SUBSTITUTE(SUBSTITUTE(SUBSTITUTE(SUBSTITUTE(SUBSTITUTE(SUBSTITUTE(SUBSTITUTE(SUBSTITUTE(SUBSTITUTE(SUBSTITUTE(SUBSTITUTE(SUBSTITUTE(SUBSTITUTE(SUBSTITUTE(SUBSTITUTE(SUBSTITUTE(LOWER(AC478&amp;""),CHAR(10)," "),CHAR(13)," "),CHAR(9)," "),CHAR(160)," "),"."," "),","," "),"-"," "),"/"," "),"("," "),")"," "),":"," "),";"," "),"_"," "),"–"," "),"?"," "),"!"," "),"*"," "),"["," "),"]"," "),"'"," "),"#"," "),"+"," "),"&amp;"," "),"\"," "))&amp;" "</f>
        <v>  </v>
      </c>
      <c r="BG478" s="61" t="n">
        <f aca="false">IFERROR(IF(AND(TRIM(U478)="Pass",SUMPRODUCT((LEN(BC478)-LEN(SUBSTITUTE(BC478," "&amp;L_ResultBad&amp;" "," ")))/(LEN(L_ResultBad)+1))&gt;SUMPRODUCT((LEN(BC478)-LEN(SUBSTITUTE(BC478," "&amp;L_NegPhrase&amp;" "," ")))/(LEN(L_NegPhrase)+1))),1,0),0)</f>
        <v>0</v>
      </c>
      <c r="BH478" s="61" t="n">
        <f aca="false">IFERROR(IF(SUMPRODUCT((LEN(BC478)-LEN(SUBSTITUTE(BC478," "&amp;L_Pending&amp;" "," ")))/(LEN(L_Pending)+1))&gt;SUMPRODUCT((LEN(BC478)-LEN(SUBSTITUTE(BC478," "&amp;L_PendNeg&amp;" "," ")))/(LEN(L_PendNeg)+1)),1,0),1)</f>
        <v>0</v>
      </c>
      <c r="BI478" s="61" t="n">
        <f aca="false">IFERROR(IF(SUMPRODUCT((LEN(BD478)-LEN(SUBSTITUTE(BD478," "&amp;L_PendStrict&amp;" "," ")))/(LEN(L_PendStrict)+1))&gt;SUMPRODUCT((LEN(BD478)-LEN(SUBSTITUTE(BD478," "&amp;L_PendNeg&amp;" "," ")))/(LEN(L_PendNeg)+1)),1,0),1)</f>
        <v>0</v>
      </c>
      <c r="BJ478" s="61" t="n">
        <f aca="false">IFERROR(IF(SUMPRODUCT((LEN(BE478)-LEN(SUBSTITUTE(BE478," "&amp;L_Pending&amp;" "," ")))/(LEN(L_Pending)+1))&gt;SUMPRODUCT((LEN(BE478)-LEN(SUBSTITUTE(BE478," "&amp;L_PendNeg&amp;" "," ")))/(LEN(L_PendNeg)+1)),1,0),1)</f>
        <v>0</v>
      </c>
      <c r="BK478" s="61" t="n">
        <f aca="false">IFERROR(IF(SUMPRODUCT((LEN(BF478)-LEN(SUBSTITUTE(BF478," "&amp;L_PendStrict&amp;" "," ")))/(LEN(L_PendStrict)+1))&gt;SUMPRODUCT((LEN(BF478)-LEN(SUBSTITUTE(BF478," "&amp;L_PendNeg&amp;" "," ")))/(LEN(L_PendNeg)+1)),1,0),1)</f>
        <v>0</v>
      </c>
      <c r="BL478" s="61" t="n">
        <f aca="false">IF(ISNA(MATCH(TRIM(S478),L_EvidenceType,0)),0,BZ478)</f>
        <v>0</v>
      </c>
      <c r="BM478" s="61" t="str">
        <f aca="false">SUBSTITUTE(SUBSTITUTE(SUBSTITUTE(SUBSTITUTE(SUBSTITUTE(SUBSTITUTE(SUBSTITUTE(SUBSTITUTE(SUBSTITUTE(LOWER(Z478&amp;""),"1","0"),"2","0"),"3","0"),"4","0"),"5","0"),"6","0"),"7","0"),"8","0"),"9","0")</f>
        <v/>
      </c>
      <c r="BN478" s="61" t="str">
        <f aca="false">SUBSTITUTE(SUBSTITUTE(SUBSTITUTE(SUBSTITUTE(SUBSTITUTE(SUBSTITUTE(SUBSTITUTE(SUBSTITUTE(SUBSTITUTE(SUBSTITUTE(SUBSTITUTE(SUBSTITUTE(SUBSTITUTE(SUBSTITUTE(SUBSTITUTE(SUBSTITUTE(SUBSTITUTE(SUBSTITUTE(SUBSTITUTE(SUBSTITUTE(SUBSTITUTE(SUBSTITUTE(SUBSTITUTE(SUBSTITUTE(SUBSTITUTE(BM478,"b","a"),"c","a"),"d","a"),"e","a"),"f","a"),"g","a"),"h","a"),"i","a"),"j","a"),"k","a"),"l","a"),"m","a"),"n","a"),"o","a"),"p","a"),"q","a"),"r","a"),"s","a"),"t","a"),"u","a"),"v","a"),"w","a"),"x","a"),"y","a"),"z","a")</f>
        <v/>
      </c>
      <c r="BO478" s="61" t="str">
        <f aca="false">SUBSTITUTE(SUBSTITUTE(SUBSTITUTE(SUBSTITUTE(SUBSTITUTE(SUBSTITUTE(SUBSTITUTE(SUBSTITUTE(SUBSTITUTE(LOWER(W478&amp;""),"1","0"),"2","0"),"3","0"),"4","0"),"5","0"),"6","0"),"7","0"),"8","0"),"9","0")</f>
        <v/>
      </c>
      <c r="BP478" s="61" t="str">
        <f aca="false">SUBSTITUTE(SUBSTITUTE(SUBSTITUTE(SUBSTITUTE(SUBSTITUTE(SUBSTITUTE(SUBSTITUTE(SUBSTITUTE(SUBSTITUTE(SUBSTITUTE(SUBSTITUTE(SUBSTITUTE(SUBSTITUTE(SUBSTITUTE(SUBSTITUTE(SUBSTITUTE(SUBSTITUTE(SUBSTITUTE(SUBSTITUTE(SUBSTITUTE(SUBSTITUTE(SUBSTITUTE(SUBSTITUTE(SUBSTITUTE(SUBSTITUTE(BO478,"b","a"),"c","a"),"d","a"),"e","a"),"f","a"),"g","a"),"h","a"),"i","a"),"j","a"),"k","a"),"l","a"),"m","a"),"n","a"),"o","a"),"p","a"),"q","a"),"r","a"),"s","a"),"t","a"),"u","a"),"v","a"),"w","a"),"x","a"),"y","a"),"z","a")</f>
        <v/>
      </c>
      <c r="BQ478" s="61" t="n">
        <f aca="false">IFERROR(IF(AND(ISERROR(SEARCH(" mh"," "&amp;LOWER(W478))),ISNA(MATCH(LEFT(TRIM(BP478),255),{"0000a","000a","00a","0000aa","000aa","00aa","0aa","0000aaa","000aaa","00a00","0a00","0000-0000","00:00","a00","a0","00.00.0000","00/00/0000","00-00-0000","0000-00-00","0000/00/00","0000.00.00","00.00.00","00/00/00","00-00-00","0.00.0000","0/00/0000","0-00-0000"},0)),ISNA(MATCH(LEFT(TRIM(CA478),255),{"0000a","000a","00a","0000aa","000aa","00aa","0aa","0000aaa","000aaa","00a00","0a00","0000-0000","00:00","a00","a0","00.00.0000","00/00/0000","00-00-0000","0000-00-00","0000/00/00","0000.00.00","00.00.00","00/00/00","00-00-00","0.00.0000","0/00/0000","0-00-0000"},0)),LEN(CB478)&gt;=3,NOT(OR(SUBSTITUTE(CB478,"0","")="",AND(LEN(CB478)&gt;=4,CB478=REPT(LEFT(CB478),LEN(CB478))),ISNUMBER(MATCH(CB478,{"123","1234","12345","123456","1234567","12345678","0123","01234","012345","98765","987654","54321"},0)),AND(LEN(CB478)=8,LEFT(CB478,3)="202"))),OR(AND((LEN(CA478)-LEN(SUBSTITUTE(CA478,"a","")))&gt;=1,SUMPRODUCT(--ISNUMBER(SEARCH({"a0","a-0","a_0","a/0","a.0","a#0","0a","0-a","0_a","0/a"},BP478)))&gt;0),ISNUMBER(SEARCH("000000",BP478)))),1,0),0)</f>
        <v>0</v>
      </c>
      <c r="BR478" s="61" t="n">
        <f aca="false">IFERROR(LEN(SUBSTITUTE(CC478," ",""))-SUMPRODUCT((LEN(CC478)-LEN(SUBSTITUTE(CC478," "&amp;L_Role&amp;" "," ")))/(LEN(L_Role)+1)*LEN(L_Role)),0)</f>
        <v>0</v>
      </c>
      <c r="BS478" s="61" t="n">
        <f aca="false">IFERROR(LEN(SUBSTITUTE(CD478," ",""))-SUMPRODUCT((LEN(CD478)-LEN(SUBSTITUTE(CD478," "&amp;L_Role&amp;" "," ")))/(LEN(L_Role)+1)*LEN(L_Role)),0)</f>
        <v>0</v>
      </c>
      <c r="BT4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478,"revision",""),"version",""),"jan",""),"feb",""),"mar",""),"apr",""),"may",""),"jun",""),"jul",""),"aug",""),"sep",""),"oct",""),"nov",""),"dec",""),"utc",""),"gmt",""),"myt",""),"bst",""),"rev",""),"ver",""),"b","a"),"c","a"),"d","a"),"e","a"),"f","a"),"g","a"),"h","a"),"i","a"),"j","a"),"k","a"),"l","a"),"m","a"),"n","a"),"o","a"),"p","a"),"q","a"),"r","a"),"s","a"),"t","a"),"u","a"),"v","a"),"w","a"),"x","a"),"y","a"),"z","a")</f>
        <v/>
      </c>
      <c r="BU478" s="61" t="str">
        <f aca="false">SUBSTITUTE(SUBSTITUTE(SUBSTITUTE(SUBSTITUTE(SUBSTITUTE(SUBSTITUTE(SUBSTITUTE(SUBSTITUTE(SUBSTITUTE(SUBSTITUTE(LEFT(BM478,FIND("0",BM478&amp;"0")-1),"-",""),"_",""),"/",""),".",""),"#",""),"\\",""),":","")," ",""),"(",""),")","")</f>
        <v/>
      </c>
      <c r="BV478" s="61" t="n">
        <f aca="false">IFERROR(IF(OR(SUMPRODUCT((LEN(BC478)-LEN(SUBSTITUTE(BC478," "&amp;L_NotLoaded&amp;" "," ")))/(LEN(L_NotLoaded)+1))&gt;SUMPRODUCT((LEN(BC478)-LEN(SUBSTITUTE(BC478," "&amp;L_NotLoadedNeg&amp;" "," ")))/(LEN(L_NotLoadedNeg)+1)),SUMPRODUCT((LEN(BD478)-LEN(SUBSTITUTE(BD478," "&amp;L_NotLoaded&amp;" "," ")))/(LEN(L_NotLoaded)+1))&gt;SUMPRODUCT((LEN(BD478)-LEN(SUBSTITUTE(BD478," "&amp;L_NotLoadedNeg&amp;" "," ")))/(LEN(L_NotLoadedNeg)+1))),1,0),0)</f>
        <v>0</v>
      </c>
      <c r="BW4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478&amp;""),"a",""),"b",""),"c",""),"d",""),"e",""),"f",""),"g",""),"h",""),"i",""),"j",""),"k",""),"l",""),"m",""),"n",""),"o",""),"p",""),"q",""),"r",""),"s",""),"t",""),"u",""),"v",""),"w",""),"x",""),"y",""),"z",""),"-",""),"_",""),"/",""),".",""),"#",""),"\\",""),":","")," ",""),"(",""),")","")</f>
        <v/>
      </c>
      <c r="BX478" s="61" t="str">
        <f aca="false">SUBSTITUTE(SUBSTITUTE(SUBSTITUTE(SUBSTITUTE(SUBSTITUTE(SUBSTITUTE(SUBSTITUTE(SUBSTITUTE(SUBSTITUTE(SUBSTITUTE(SUBSTITUTE(BM478,"0",""),"-",""),"_",""),"/",""),".",""),"#",""),"\\",""),":","")," ",""),"(",""),")","")</f>
        <v/>
      </c>
      <c r="BY478" s="62" t="n">
        <f aca="false">IF(ISNUMBER(Flights!$AZ$18),MAX(Q478-UpliftWindowH/24,Flights!$AZ$18),Q478-UpliftWindowH/24)</f>
        <v>46309.8263888889</v>
      </c>
      <c r="BZ478" s="61" t="n">
        <f aca="false">IFERROR(IF(IF(TRIM(S478)="Link / file path",AND(LEN(TRIM(Z478))&gt;=5,SUMPRODUCT(--ISNUMBER(SEARCH({"http","www.","\\",":\",".pdf",".jpg",".jpeg",".png",".heic",".xls",".doc",".msg",".eml",".ppt",".txt",".zip"},Z478)))&gt;0),AND(ISERROR(FIND(" ",TRIM(Z478))),NOT(OR(SUMPRODUCT(--ISNUMBER(FIND({",",";","&amp;","+"},Z478)))&gt;0,SUMPRODUCT(--ISNUMBER(SEARCH({"0/aa","0\\aa"},BN478)))&gt;0)),NOT(SUMPRODUCT(--ISNUMBER(SEARCH({"http","www.","\\",":\",".pdf",".jpg",".jpeg",".png",".heic",".xls",".doc",".msg",".eml",".ppt",".txt",".zip"},Z478)))&gt;0),NOT(LOWER(TRIM(Z478))=LOWER(Flights!$F$18)),ISNA(MATCH(BU478,{"mh","rev","revision","ver","version","v","r","a","b","seat","tray","row","gate","bay","stand","page","pg","item","line","no","cart","galley","flight","flt","table","box","bag","oven","etd","eta","std","sta","atd","ata","qty","pax","x","time","tel","ph","mob","day","wk","week","utc","gmt","myt","lt"},0)),NOT(OR(ISNUMBER(MATCH(LEFT(BN478,255),{"0000a","000a","00a","0000aa","000aa","00aa","0aa","0000aaa","000aaa","00a00","0a00","0000-0000","00:00","a00","a0","00.00.0000","00/00/0000","00-00-0000","0000-00-00","0000/00/00","0000.00.00","00.00.00","00/00/00","00-00-00","0.00.0000","0/00/0000","0-00-0000"},0)),ISNUMBER(MATCH(LEFT(BT478,255),{"0000a","000a","00a","0000aa","000aa","00aa","0aa","0000aaa","000aaa","00a00","0a00","0000-0000","00:00","a00","a0","00.00.0000","00/00/0000","00-00-0000","0000-00-00","0000/00/00","0000.00.00","00.00.00","00/00/00","00-00-00","0.00.0000","0/00/0000","0-00-0000"},0)))),NOT(OR(AND(BW478&lt;&gt;"",SUBSTITUTE(BW478,"0","")=""),AND(LEN(BW478)&gt;=4,BW478=REPT(LEFT(BW478),LEN(BW478))),ISNUMBER(MATCH(BW478,{"123","1234","12345","123456","1234567","12345678","0123","01234","012345","98765","987654","54321"},0)),ISNUMBER(MATCH(BX478,{"x","xx","xxx","xxxx","xxxxx","abc","abcd","nil","na","nan","test","tbc","tba","tbd","dummy","sample","example","eg","zz","zzz","none","null","xyz","qwe","asd","id","ref"},0)),AND(LEN(BW478)=8,BX478="",OR(LEFT(BW478,3)="202",ISNUMBER(MATCH(RIGHT(BW478,4),{"2025","2026","2027"},0)))))),OR(AND((LEN(BT478)-LEN(SUBSTITUTE(BT478,"a","")))&gt;=1,(LEN(BN478)-LEN(SUBSTITUTE(BN478,"0","")))&gt;=2,SUMPRODUCT(--ISNUMBER(SEARCH({"a0","a-0","a_0","a/0","a.0","a#0","0a","0-a","0_a","0/a"},BN478)))&gt;0),AND((LEN(BN478)-LEN(SUBSTITUTE(BN478,"a","")))=0,(LEN(BN478)-LEN(SUBSTITUTE(BN478,"0","")))&gt;=5)))),1,0),0)</f>
        <v>0</v>
      </c>
      <c r="CA4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478,"revision",""),"version",""),"jan",""),"feb",""),"mar",""),"apr",""),"may",""),"jun",""),"jul",""),"aug",""),"sep",""),"oct",""),"nov",""),"dec",""),"utc",""),"gmt",""),"myt",""),"bst",""),"rev",""),"ver",""),"b","a"),"c","a"),"d","a"),"e","a"),"f","a"),"g","a"),"h","a"),"i","a"),"j","a"),"k","a"),"l","a"),"m","a"),"n","a"),"o","a"),"p","a"),"q","a"),"r","a"),"s","a"),"t","a"),"u","a"),"v","a"),"w","a"),"x","a"),"y","a"),"z","a")</f>
        <v/>
      </c>
      <c r="CB4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478&amp;""),"a",""),"b",""),"c",""),"d",""),"e",""),"f",""),"g",""),"h",""),"i",""),"j",""),"k",""),"l",""),"m",""),"n",""),"o",""),"p",""),"q",""),"r",""),"s",""),"t",""),"u",""),"v",""),"w",""),"x",""),"y",""),"z",""),"-",""),"_",""),"/",""),".",""),"#",""),"\\",""),":","")," ",""),"(",""),")","")</f>
        <v/>
      </c>
      <c r="CC478" s="0" t="str">
        <f aca="false">" "&amp;TRIM(SUBSTITUTE(SUBSTITUTE(SUBSTITUTE(SUBSTITUTE(SUBSTITUTE(SUBSTITUTE(SUBSTITUTE(SUBSTITUTE(SUBSTITUTE(SUBSTITUTE(SUBSTITUTE(SUBSTITUTE(SUBSTITUTE(SUBSTITUTE(SUBSTITUTE(SUBSTITUTE(SUBSTITUTE(SUBSTITUTE(SUBSTITUTE(SUBSTITUTE(SUBSTITUTE(SUBSTITUTE(SUBSTITUTE(SUBSTITUTE(LOWER(T478&amp;""),CHAR(10)," "),CHAR(13)," "),CHAR(9)," "),CHAR(160)," "),"."," "),","," "),"-"," "),"/"," "),"("," "),")"," "),":"," "),";"," "),"_"," "),"–"," "),"?"," "),"!"," "),"*"," "),"["," "),"]"," "),"'"," "),"#"," "),"+"," "),"&amp;"," "),"\"," "))&amp;" "</f>
        <v>  </v>
      </c>
      <c r="CD478" s="0" t="str">
        <f aca="false">" "&amp;TRIM(SUBSTITUTE(SUBSTITUTE(SUBSTITUTE(SUBSTITUTE(SUBSTITUTE(SUBSTITUTE(SUBSTITUTE(SUBSTITUTE(SUBSTITUTE(SUBSTITUTE(SUBSTITUTE(SUBSTITUTE(SUBSTITUTE(SUBSTITUTE(SUBSTITUTE(SUBSTITUTE(SUBSTITUTE(SUBSTITUTE(SUBSTITUTE(SUBSTITUTE(SUBSTITUTE(SUBSTITUTE(SUBSTITUTE(SUBSTITUTE(LOWER(AE478&amp;""),CHAR(10)," "),CHAR(13)," "),CHAR(9)," "),CHAR(160)," "),"."," "),","," "),"-"," "),"/"," "),"("," "),")"," "),":"," "),";"," "),"_"," "),"–"," "),"?"," "),"!"," "),"*"," "),"["," "),"]"," "),"'"," "),"#"," "),"+"," "),"&amp;"," "),"\"," "))&amp;" "</f>
        <v>  </v>
      </c>
      <c r="CE478" s="68" t="n">
        <f aca="false">IFERROR(IF(AND(LEN(AU478)&gt;0,LEN(AU478)=LEN(AX478),OR(TRIM(MID(SUBSTITUTE(TRIM(CC478)," ",REPT(" ",60)),1,60))="",ISNUMBER(SEARCH(" "&amp;TRIM(MID(SUBSTITUTE(TRIM(CC478)," ",REPT(" ",60)),1,60))&amp;" ",CD478))),OR(TRIM(MID(SUBSTITUTE(TRIM(CC478)," ",REPT(" ",60)),61,60))="",ISNUMBER(SEARCH(" "&amp;TRIM(MID(SUBSTITUTE(TRIM(CC478)," ",REPT(" ",60)),61,60))&amp;" ",CD478))),OR(TRIM(MID(SUBSTITUTE(TRIM(CC478)," ",REPT(" ",60)),121,60))="",ISNUMBER(SEARCH(" "&amp;TRIM(MID(SUBSTITUTE(TRIM(CC478)," ",REPT(" ",60)),121,60))&amp;" ",CD478)))),1,0),0)</f>
        <v>0</v>
      </c>
      <c r="CG478" s="68" t="n">
        <f aca="false">IFERROR(LEN(SUBSTITUTE(BF478," ",""))-SUMPRODUCT((LEN(BF478)-LEN(SUBSTITUTE(BF478," "&amp;L_NAFiller&amp;" "," ")))/(LEN(L_NAFiller)+1)*LEN(L_NAFiller)),0)</f>
        <v>0</v>
      </c>
    </row>
    <row r="479" customFormat="false" ht="39.75" hidden="false" customHeight="true" outlineLevel="0" collapsed="false">
      <c r="A479" s="57" t="s">
        <v>1128</v>
      </c>
      <c r="B479" s="57" t="s">
        <v>276</v>
      </c>
      <c r="C479" s="57" t="str">
        <f aca="false">Flights!$F$18</f>
        <v>MH0004</v>
      </c>
      <c r="D479" s="58" t="n">
        <f aca="false">Flights!$D$18</f>
        <v>46310</v>
      </c>
      <c r="E479" s="57" t="str">
        <f aca="false">Flights!$G$18&amp;"-"&amp;Flights!$H$18</f>
        <v>KUL-LHR</v>
      </c>
      <c r="F479" s="57" t="str">
        <f aca="false">Flights!$K$18</f>
        <v>EY</v>
      </c>
      <c r="G479" s="57" t="s">
        <v>459</v>
      </c>
      <c r="H479" s="57" t="s">
        <v>460</v>
      </c>
      <c r="I479" s="57" t="s">
        <v>447</v>
      </c>
      <c r="J479" s="57" t="s">
        <v>469</v>
      </c>
      <c r="K479" s="67" t="s">
        <v>449</v>
      </c>
      <c r="L479" s="67" t="s">
        <v>450</v>
      </c>
      <c r="M479" s="67" t="s">
        <v>451</v>
      </c>
      <c r="N479" s="67" t="s">
        <v>383</v>
      </c>
      <c r="O479" s="67"/>
      <c r="P479" s="57" t="s">
        <v>187</v>
      </c>
      <c r="Q479" s="59" t="n">
        <f aca="false">ROUND((Flights!$AF$18)*1440,0)/1440</f>
        <v>46310.0763888889</v>
      </c>
      <c r="R479" s="59" t="n">
        <f aca="false">Q479+(IF(AND(INDEX(TZ_DSTS,MATCH(P479,TZ_STN,0))&lt;&gt;"",Q479&gt;=INDEX(TZ_DSTS,MATCH(P479,TZ_STN,0)),Q479&lt;INDEX(TZ_DSTE,MATCH(P479,TZ_STN,0))),INDEX(TZ_DST,MATCH(P479,TZ_STN,0)),INDEX(TZ_STD,MATCH(P479,TZ_STN,0))))/24</f>
        <v>46310.4097222222</v>
      </c>
      <c r="S479" s="60"/>
      <c r="T479" s="60"/>
      <c r="U479" s="60"/>
      <c r="V479" s="60"/>
      <c r="W479" s="61"/>
      <c r="X479" s="60"/>
      <c r="Y479" s="60"/>
      <c r="Z479" s="60"/>
      <c r="AA479" s="60"/>
      <c r="AB479" s="60"/>
      <c r="AC479" s="60"/>
      <c r="AD479" s="66"/>
      <c r="AE479" s="60"/>
      <c r="AF479" s="61" t="str">
        <f aca="false">IF(AND(ISNUMBER(X479),ISNUMBER(Y479)),Y479-X479,"")</f>
        <v/>
      </c>
      <c r="AG479" s="62" t="str">
        <f aca="false">IF(ISNUMBER(AD479),AD479-(IF(AND(INDEX(TZ_DSTS,MATCH(P479,TZ_STN,0))&lt;&gt;"",(AD479-INDEX(TZ_STD,MATCH(P479,TZ_STN,0))/24)&gt;=INDEX(TZ_DSTS,MATCH(P479,TZ_STN,0)),(AD479-INDEX(TZ_STD,MATCH(P479,TZ_STN,0))/24)&lt;INDEX(TZ_DSTE,MATCH(P479,TZ_STN,0))),INDEX(TZ_DST,MATCH(P479,TZ_STN,0)),INDEX(TZ_STD,MATCH(P479,TZ_STN,0))))/24,"")</f>
        <v/>
      </c>
      <c r="AH479" s="65" t="str">
        <f aca="false">IFERROR(IF(N479="N/A – rule",IF(OR(TRIM(U479)="",TRIM(U479)="N/A",TRIM(U479)="Not started"),"N/A – RULE","INVALID – this check does not apply to this aircraft: clear the status (or correct the fleet on Flights)"),IF(TRIM(U479)="N/A",IF(AT479=0,"INVALID – N/A not permitted for this check",IF(AND(TRIM(AB479)&lt;&gt;"",TRIM(AB479)&lt;&gt;"Closed"),"INVALID – corrective action still open",IF(AND(NOT(OR(LEN(AZ479)&lt;15,ISNUMBER(MATCH(AZ479,L_Placeholder,0)))),BK479=0,CG479&gt;=8,NOT(OR(LEN(AU479)&lt;2,ISNUMBER(MATCH(AU479,L_Placeholder,0)))),BR479&gt;=3,NOT(OR(LEN(AX479)&lt;2,ISNUMBER(MATCH(AX479,L_Placeholder,0)))),BS479&gt;=3,TRIM(AE479)&lt;&gt;TRIM(T479),AX479&lt;&gt;AU479,CE479=0),"N/A – JUSTIFIED","INVALID – N/A needs a real, settled reason (not 'not applicable' / 'as above' / TBC), a named PIC and a different named verifier"))),IF(OR(TRIM(U479)="Pass",TRIM(U479)="Pass after CA"),IF(NOT(ISNUMBER(AD479)),"INVALID – completion time missing",IF(OR(OR(LEN(AU479)&lt;2,ISNUMBER(MATCH(AU479,L_Placeholder,0))),BR479&lt;3),"INVALID – PIC missing or not a named person (a role such as QA / CSM is not a name)",IF(OR(LEN(AV479)&lt;2,ISNUMBER(MATCH(AV479,L_Placeholder,0))),"INVALID – result / assessment missing",IF(OR(OR(LEN(AW479)&lt;3,ISNUMBER(MATCH(AW479,L_Placeholder,0))),SUMPRODUCT(--ISNUMBER(SEARCH(" "&amp;L_EvidencePhrase&amp;" ",BD479)))&gt;0,BI479=1),"INVALID – evidence missing, placeholder or not yet on file",IF(ISNA(MATCH(TRIM(S479),L_EvidenceType,0)),"INVALID – choose the evidence type from the list (column S)",IF(BL479=0,"INVALID – evidence ID must be the record's own ID only (e.g. SF-2210, IMG_2231, 1045521); a link / file name needs type 'Link / file path'",IF(OR(OR(LEN(AX479)&lt;2,ISNUMBER(MATCH(AX479,L_Placeholder,0))),BS479&lt;3),"INVALID – verifier missing or not a named person (a role such as QA / CSM is not a name)",IF(OR(AX479=AU479,CE479=1,AND(LEN(AU479)&gt;=4,ISNUMBER(SEARCH(AU479,AX479))),AND(LEN(AX479)&gt;=4,ISNUMBER(SEARCH(AX479,AU479)))),"INVALID – verifier must be a different, named person (not the PIC or a role)",IF(BH479=1,"INVALID – result not yet available (awaiting / TBC)",IF(BG479=1,"INVALID – result describes a problem: record Fail, then Pass after CA (or reword if it is not a problem)",IF(BV479=1,"INVALID – wording says not on board: an on-board confirmation needs the item loaded",IF(AND(AQ479=1,OR(OR(LEN(AY479)&lt;3,ISNUMBER(MATCH(AY479,L_Placeholder,0))),BJ479=1,BQ479=0)),"INVALID – batch ID missing, placeholder or not an ID (e.g. PASB-261008-BC-017)",IF(AND(AR479=1,OR(NOT(ISNUMBER(X479)),NOT(ISNUMBER(Y479)))),"INVALID – expected/actual qty missing",IF(AND(AR479=1,OR(X479&lt;=0,Y479&lt;0)),"INVALID – expected qty must be above 0 and actual not negative",IF(AH474="N/A – JUSTIFIED","INVALID – preparation row F14-T12-09 is N/A",IF(AND(AR479=1,ISNUMBER(X474),X479&lt;&gt;X474,TRIM(U479)&lt;&gt;"Pass after CA"),"INVALID – expected qty differs from preparation check F14-T12-09: record the load change as a corrective action (Pass after CA)",IF(BB479&lt;&gt;"",BB479,IF(AND(AS479=1,Documents!$J$18&lt;&gt;"ON FILE"),"INVALID – GLD not on file (Documents sheet)",IF(AND(AS479=2,Documents!$O$18&lt;&gt;"ON FILE"),"INVALID – menu checklist not on file (Documents sheet)",IF(AND(AS479=3,NOT(ISNUMBER(Flights!$AX$18))),"INVALID – enter carrying flight KUL departure (Flights AX)",IF(AND(AS479=3,OR(Flights!$AZ$18&gt;Flights!$AA$18,Flights!$AX$18&lt;Flights!$AA$18-3)),"INVALID – carrying flight (Flights AX) cannot arrive before this leg's STD, or is over 3 days early",IF(AG479&gt;AsOfUTC,"INVALID – completion time is in the future",IF(AND(ISNUMBER(BY479),AG479&lt;BY479),IF(H479="Physical uplift","INVALID – before uplift window (cannot confirm loading)","INVALID – before valid window"),IF(AG479&gt;Flights!$AA$18,"INVALID – completed after departure (cannot establish readiness)",IF(AND(H479="Preparation",AG479&gt;=IF(ISNUMBER(Flights!$BA$18),MIN(Flights!$BA$18,Flights!$AA$18),Flights!$AA$18)),"INVALID – completed after loading / departure (cannot establish readiness)",IF(AND(H479="Physical uplift",AG479&gt;Q479),"INVALID – recorded after the loading flight departed",IF(AG479&gt;Q479,"COMPLETE – LATE","COMPLETE"))))))))))))))))))))))))))),IF(TRIM(U479)="Fail","FAIL – DISCREPANCY",IF(AND(TRIM(U479)&lt;&gt;"",TRIM(U479)&lt;&gt;"Not started",TRIM(U479)&lt;&gt;"In progress"),"INVALID – unrecognised status (use the list)",IF(AsOfUTC&gt;Q479,"OVERDUE",IF(N479="Clarification required","OPEN – CLARIFICATION","OPEN"))))))),"INVALID – error value in an input cell")</f>
        <v>OPEN</v>
      </c>
      <c r="AI479" s="61" t="n">
        <f aca="false">IF(OR(AH479="N/A – RULE",AH479="N/A – JUSTIFIED"),0,1)</f>
        <v>1</v>
      </c>
      <c r="AJ479" s="61" t="n">
        <f aca="false">IF(LEFT(AH479,8)="COMPLETE",1,0)</f>
        <v>0</v>
      </c>
      <c r="AK479" s="61" t="n">
        <f aca="false">IF(AND(AI479=1,AJ479=0,AsOfUTC&gt;Q479),1,0)</f>
        <v>0</v>
      </c>
      <c r="AL479" s="61" t="n">
        <f aca="false">IFERROR(IF(AND(AI479=1,OR(TRIM(U479)="Fail",AND(TRIM(AB479)&lt;&gt;"",TRIM(AB479)&lt;&gt;"Closed"),AND(ISNUMBER(AF479),AF479&lt;&gt;0,TRIM(U479)&lt;&gt;"Pass after CA"))),1,0),1)</f>
        <v>0</v>
      </c>
      <c r="AM479" s="61" t="n">
        <f aca="false">IF(LEFT(AH479,7)="INVALID",1,0)</f>
        <v>0</v>
      </c>
      <c r="AN479" s="61" t="n">
        <f aca="false">IF(AND(N479="Clarification required",AI479=1,AJ479=0),1,0)</f>
        <v>0</v>
      </c>
      <c r="AO479" s="61" t="str">
        <f aca="false">IF(AK479=1,SUM(AK$5:AK479),"")</f>
        <v/>
      </c>
      <c r="AP479" s="61" t="str">
        <f aca="false">IF(AL479=1,SUM(AL$5:AL479),"")</f>
        <v/>
      </c>
      <c r="AQ479" s="61" t="n">
        <v>0</v>
      </c>
      <c r="AR479" s="61" t="n">
        <v>0</v>
      </c>
      <c r="AS479" s="61" t="n">
        <v>0</v>
      </c>
      <c r="AT479" s="61" t="n">
        <v>0</v>
      </c>
      <c r="AU479" s="61" t="str">
        <f aca="false">SUBSTITUTE(SUBSTITUTE(SUBSTITUTE(SUBSTITUTE(SUBSTITUTE(SUBSTITUTE(SUBSTITUTE(SUBSTITUTE(SUBSTITUTE(SUBSTITUTE(SUBSTITUTE(SUBSTITUTE(SUBSTITUTE(SUBSTITUTE(SUBSTITUTE(SUBSTITUTE(LOWER(T479&amp;""),CHAR(10),""),CHAR(13),""),CHAR(9),""),CHAR(160),"")," ",""),".",""),"-",""),"/",""),"?",""),"_",""),",",""),"[",""),"]",""),"(",""),")",""),"*","")</f>
        <v/>
      </c>
      <c r="AV479" s="61" t="str">
        <f aca="false">SUBSTITUTE(SUBSTITUTE(SUBSTITUTE(SUBSTITUTE(SUBSTITUTE(SUBSTITUTE(SUBSTITUTE(SUBSTITUTE(SUBSTITUTE(SUBSTITUTE(SUBSTITUTE(SUBSTITUTE(SUBSTITUTE(SUBSTITUTE(SUBSTITUTE(SUBSTITUTE(LOWER(V479&amp;""),CHAR(10),""),CHAR(13),""),CHAR(9),""),CHAR(160),"")," ",""),".",""),"-",""),"/",""),"?",""),"_",""),",",""),"[",""),"]",""),"(",""),")",""),"*","")</f>
        <v/>
      </c>
      <c r="AW479" s="61" t="str">
        <f aca="false">SUBSTITUTE(SUBSTITUTE(SUBSTITUTE(SUBSTITUTE(SUBSTITUTE(SUBSTITUTE(SUBSTITUTE(SUBSTITUTE(SUBSTITUTE(SUBSTITUTE(SUBSTITUTE(SUBSTITUTE(SUBSTITUTE(SUBSTITUTE(SUBSTITUTE(SUBSTITUTE(LOWER(Z479&amp;""),CHAR(10),""),CHAR(13),""),CHAR(9),""),CHAR(160),"")," ",""),".",""),"-",""),"/",""),"?",""),"_",""),",",""),"[",""),"]",""),"(",""),")",""),"*","")</f>
        <v/>
      </c>
      <c r="AX479" s="61" t="str">
        <f aca="false">SUBSTITUTE(SUBSTITUTE(SUBSTITUTE(SUBSTITUTE(SUBSTITUTE(SUBSTITUTE(SUBSTITUTE(SUBSTITUTE(SUBSTITUTE(SUBSTITUTE(SUBSTITUTE(SUBSTITUTE(SUBSTITUTE(SUBSTITUTE(SUBSTITUTE(SUBSTITUTE(LOWER(AE479&amp;""),CHAR(10),""),CHAR(13),""),CHAR(9),""),CHAR(160),"")," ",""),".",""),"-",""),"/",""),"?",""),"_",""),",",""),"[",""),"]",""),"(",""),")",""),"*","")</f>
        <v/>
      </c>
      <c r="AY479" s="61" t="str">
        <f aca="false">SUBSTITUTE(SUBSTITUTE(SUBSTITUTE(SUBSTITUTE(SUBSTITUTE(SUBSTITUTE(SUBSTITUTE(SUBSTITUTE(SUBSTITUTE(SUBSTITUTE(SUBSTITUTE(SUBSTITUTE(SUBSTITUTE(SUBSTITUTE(SUBSTITUTE(SUBSTITUTE(LOWER(W479&amp;""),CHAR(10),""),CHAR(13),""),CHAR(9),""),CHAR(160),"")," ",""),".",""),"-",""),"/",""),"?",""),"_",""),",",""),"[",""),"]",""),"(",""),")",""),"*","")</f>
        <v/>
      </c>
      <c r="AZ479" s="61" t="str">
        <f aca="false">SUBSTITUTE(SUBSTITUTE(SUBSTITUTE(SUBSTITUTE(SUBSTITUTE(SUBSTITUTE(SUBSTITUTE(SUBSTITUTE(SUBSTITUTE(SUBSTITUTE(SUBSTITUTE(SUBSTITUTE(SUBSTITUTE(SUBSTITUTE(SUBSTITUTE(SUBSTITUTE(LOWER(AC479&amp;""),CHAR(10),""),CHAR(13),""),CHAR(9),""),CHAR(160),"")," ",""),".",""),"-",""),"/",""),"?",""),"_",""),",",""),"[",""),"]",""),"(",""),")",""),"*","")</f>
        <v/>
      </c>
      <c r="BA479" s="61" t="str">
        <f aca="false">SUBSTITUTE(SUBSTITUTE(SUBSTITUTE(SUBSTITUTE(SUBSTITUTE(SUBSTITUTE(SUBSTITUTE(SUBSTITUTE(SUBSTITUTE(SUBSTITUTE(SUBSTITUTE(SUBSTITUTE(SUBSTITUTE(SUBSTITUTE(SUBSTITUTE(SUBSTITUTE(LOWER(AA479&amp;""),CHAR(10),""),CHAR(13),""),CHAR(9),""),CHAR(160),"")," ",""),".",""),"-",""),"/",""),"?",""),"_",""),",",""),"[",""),"]",""),"(",""),")",""),"*","")</f>
        <v/>
      </c>
      <c r="BB479" s="61" t="str">
        <f aca="false">IF(AND(TRIM(U479)="Pass",ISNUMBER(AF479)),IF(AF479&lt;&gt;0,"INVALID – qty variance: use Fail or Pass after CA",""),"")&amp;IF(AND(TRIM(U479)="Pass after CA",ISNUMBER(AF479)),IF(AF479&lt;&gt;0,"INVALID – after the corrective action the actual qty must equal expected (update Actual)",""),"")&amp;IF(AND(TRIM(U479)="Pass",TRIM(AB479)&lt;&gt;"",TRIM(AB479)&lt;&gt;"Closed"),"INVALID – corrective action not closed: use Fail, then Pass after CA","")&amp;IF(AND(LEN(BA479)&gt;=2,ISNA(MATCH(LEFT(BA479,255),L_Placeholder,0)),TRIM(AB479)=""),"INVALID – CA status missing for the recorded corrective action","")&amp;IF(AND(TRIM(U479)="Pass after CA",OR(OR(LEN(BA479)&lt;5,ISNUMBER(MATCH(BA479,L_Placeholder,0))),TRIM(AB479)&lt;&gt;"Closed")),"INVALID – corrective action not recorded/closed","")</f>
        <v/>
      </c>
      <c r="BC479" s="61" t="str">
        <f aca="false">" "&amp;TRIM(SUBSTITUTE(SUBSTITUTE(SUBSTITUTE(SUBSTITUTE(SUBSTITUTE(SUBSTITUTE(SUBSTITUTE(SUBSTITUTE(SUBSTITUTE(SUBSTITUTE(SUBSTITUTE(SUBSTITUTE(SUBSTITUTE(SUBSTITUTE(SUBSTITUTE(SUBSTITUTE(SUBSTITUTE(SUBSTITUTE(SUBSTITUTE(SUBSTITUTE(SUBSTITUTE(SUBSTITUTE(SUBSTITUTE(SUBSTITUTE(LOWER(V479&amp;""),CHAR(10)," "),CHAR(13)," "),CHAR(9)," "),CHAR(160)," "),"."," "),","," "),"-"," "),"/"," "),"("," "),")"," "),":"," "),";"," "),"_"," "),"–"," "),"?"," "),"!"," "),"*"," "),"["," "),"]"," "),"'"," "),"#"," "),"+"," "),"&amp;"," "),"\"," "))&amp;" "</f>
        <v>  </v>
      </c>
      <c r="BD479" s="61" t="str">
        <f aca="false">" "&amp;TRIM(SUBSTITUTE(SUBSTITUTE(SUBSTITUTE(SUBSTITUTE(SUBSTITUTE(SUBSTITUTE(SUBSTITUTE(SUBSTITUTE(SUBSTITUTE(SUBSTITUTE(SUBSTITUTE(SUBSTITUTE(SUBSTITUTE(SUBSTITUTE(SUBSTITUTE(SUBSTITUTE(SUBSTITUTE(SUBSTITUTE(SUBSTITUTE(SUBSTITUTE(SUBSTITUTE(SUBSTITUTE(SUBSTITUTE(SUBSTITUTE(LOWER(Z479&amp;""),CHAR(10)," "),CHAR(13)," "),CHAR(9)," "),CHAR(160)," "),"."," "),","," "),"-"," "),"/"," "),"("," "),")"," "),":"," "),";"," "),"_"," "),"–"," "),"?"," "),"!"," "),"*"," "),"["," "),"]"," "),"'"," "),"#"," "),"+"," "),"&amp;"," "),"\"," "))&amp;" "</f>
        <v>  </v>
      </c>
      <c r="BE479" s="61" t="str">
        <f aca="false">" "&amp;TRIM(SUBSTITUTE(SUBSTITUTE(SUBSTITUTE(SUBSTITUTE(SUBSTITUTE(SUBSTITUTE(SUBSTITUTE(SUBSTITUTE(SUBSTITUTE(SUBSTITUTE(SUBSTITUTE(SUBSTITUTE(SUBSTITUTE(SUBSTITUTE(SUBSTITUTE(SUBSTITUTE(SUBSTITUTE(SUBSTITUTE(SUBSTITUTE(SUBSTITUTE(SUBSTITUTE(SUBSTITUTE(SUBSTITUTE(SUBSTITUTE(LOWER(W479&amp;""),CHAR(10)," "),CHAR(13)," "),CHAR(9)," "),CHAR(160)," "),"."," "),","," "),"-"," "),"/"," "),"("," "),")"," "),":"," "),";"," "),"_"," "),"–"," "),"?"," "),"!"," "),"*"," "),"["," "),"]"," "),"'"," "),"#"," "),"+"," "),"&amp;"," "),"\"," "))&amp;" "</f>
        <v>  </v>
      </c>
      <c r="BF479" s="61" t="str">
        <f aca="false">" "&amp;TRIM(SUBSTITUTE(SUBSTITUTE(SUBSTITUTE(SUBSTITUTE(SUBSTITUTE(SUBSTITUTE(SUBSTITUTE(SUBSTITUTE(SUBSTITUTE(SUBSTITUTE(SUBSTITUTE(SUBSTITUTE(SUBSTITUTE(SUBSTITUTE(SUBSTITUTE(SUBSTITUTE(SUBSTITUTE(SUBSTITUTE(SUBSTITUTE(SUBSTITUTE(SUBSTITUTE(SUBSTITUTE(SUBSTITUTE(SUBSTITUTE(LOWER(AC479&amp;""),CHAR(10)," "),CHAR(13)," "),CHAR(9)," "),CHAR(160)," "),"."," "),","," "),"-"," "),"/"," "),"("," "),")"," "),":"," "),";"," "),"_"," "),"–"," "),"?"," "),"!"," "),"*"," "),"["," "),"]"," "),"'"," "),"#"," "),"+"," "),"&amp;"," "),"\"," "))&amp;" "</f>
        <v>  </v>
      </c>
      <c r="BG479" s="61" t="n">
        <f aca="false">IFERROR(IF(AND(TRIM(U479)="Pass",SUMPRODUCT((LEN(BC479)-LEN(SUBSTITUTE(BC479," "&amp;L_ResultBad&amp;" "," ")))/(LEN(L_ResultBad)+1))&gt;SUMPRODUCT((LEN(BC479)-LEN(SUBSTITUTE(BC479," "&amp;L_NegPhrase&amp;" "," ")))/(LEN(L_NegPhrase)+1))),1,0),0)</f>
        <v>0</v>
      </c>
      <c r="BH479" s="61" t="n">
        <f aca="false">IFERROR(IF(SUMPRODUCT((LEN(BC479)-LEN(SUBSTITUTE(BC479," "&amp;L_Pending&amp;" "," ")))/(LEN(L_Pending)+1))&gt;SUMPRODUCT((LEN(BC479)-LEN(SUBSTITUTE(BC479," "&amp;L_PendNeg&amp;" "," ")))/(LEN(L_PendNeg)+1)),1,0),1)</f>
        <v>0</v>
      </c>
      <c r="BI479" s="61" t="n">
        <f aca="false">IFERROR(IF(SUMPRODUCT((LEN(BD479)-LEN(SUBSTITUTE(BD479," "&amp;L_PendStrict&amp;" "," ")))/(LEN(L_PendStrict)+1))&gt;SUMPRODUCT((LEN(BD479)-LEN(SUBSTITUTE(BD479," "&amp;L_PendNeg&amp;" "," ")))/(LEN(L_PendNeg)+1)),1,0),1)</f>
        <v>0</v>
      </c>
      <c r="BJ479" s="61" t="n">
        <f aca="false">IFERROR(IF(SUMPRODUCT((LEN(BE479)-LEN(SUBSTITUTE(BE479," "&amp;L_Pending&amp;" "," ")))/(LEN(L_Pending)+1))&gt;SUMPRODUCT((LEN(BE479)-LEN(SUBSTITUTE(BE479," "&amp;L_PendNeg&amp;" "," ")))/(LEN(L_PendNeg)+1)),1,0),1)</f>
        <v>0</v>
      </c>
      <c r="BK479" s="61" t="n">
        <f aca="false">IFERROR(IF(SUMPRODUCT((LEN(BF479)-LEN(SUBSTITUTE(BF479," "&amp;L_PendStrict&amp;" "," ")))/(LEN(L_PendStrict)+1))&gt;SUMPRODUCT((LEN(BF479)-LEN(SUBSTITUTE(BF479," "&amp;L_PendNeg&amp;" "," ")))/(LEN(L_PendNeg)+1)),1,0),1)</f>
        <v>0</v>
      </c>
      <c r="BL479" s="61" t="n">
        <f aca="false">IF(ISNA(MATCH(TRIM(S479),L_EvidenceType,0)),0,BZ479)</f>
        <v>0</v>
      </c>
      <c r="BM479" s="61" t="str">
        <f aca="false">SUBSTITUTE(SUBSTITUTE(SUBSTITUTE(SUBSTITUTE(SUBSTITUTE(SUBSTITUTE(SUBSTITUTE(SUBSTITUTE(SUBSTITUTE(LOWER(Z479&amp;""),"1","0"),"2","0"),"3","0"),"4","0"),"5","0"),"6","0"),"7","0"),"8","0"),"9","0")</f>
        <v/>
      </c>
      <c r="BN479" s="61" t="str">
        <f aca="false">SUBSTITUTE(SUBSTITUTE(SUBSTITUTE(SUBSTITUTE(SUBSTITUTE(SUBSTITUTE(SUBSTITUTE(SUBSTITUTE(SUBSTITUTE(SUBSTITUTE(SUBSTITUTE(SUBSTITUTE(SUBSTITUTE(SUBSTITUTE(SUBSTITUTE(SUBSTITUTE(SUBSTITUTE(SUBSTITUTE(SUBSTITUTE(SUBSTITUTE(SUBSTITUTE(SUBSTITUTE(SUBSTITUTE(SUBSTITUTE(SUBSTITUTE(BM479,"b","a"),"c","a"),"d","a"),"e","a"),"f","a"),"g","a"),"h","a"),"i","a"),"j","a"),"k","a"),"l","a"),"m","a"),"n","a"),"o","a"),"p","a"),"q","a"),"r","a"),"s","a"),"t","a"),"u","a"),"v","a"),"w","a"),"x","a"),"y","a"),"z","a")</f>
        <v/>
      </c>
      <c r="BO479" s="61" t="str">
        <f aca="false">SUBSTITUTE(SUBSTITUTE(SUBSTITUTE(SUBSTITUTE(SUBSTITUTE(SUBSTITUTE(SUBSTITUTE(SUBSTITUTE(SUBSTITUTE(LOWER(W479&amp;""),"1","0"),"2","0"),"3","0"),"4","0"),"5","0"),"6","0"),"7","0"),"8","0"),"9","0")</f>
        <v/>
      </c>
      <c r="BP479" s="61" t="str">
        <f aca="false">SUBSTITUTE(SUBSTITUTE(SUBSTITUTE(SUBSTITUTE(SUBSTITUTE(SUBSTITUTE(SUBSTITUTE(SUBSTITUTE(SUBSTITUTE(SUBSTITUTE(SUBSTITUTE(SUBSTITUTE(SUBSTITUTE(SUBSTITUTE(SUBSTITUTE(SUBSTITUTE(SUBSTITUTE(SUBSTITUTE(SUBSTITUTE(SUBSTITUTE(SUBSTITUTE(SUBSTITUTE(SUBSTITUTE(SUBSTITUTE(SUBSTITUTE(BO479,"b","a"),"c","a"),"d","a"),"e","a"),"f","a"),"g","a"),"h","a"),"i","a"),"j","a"),"k","a"),"l","a"),"m","a"),"n","a"),"o","a"),"p","a"),"q","a"),"r","a"),"s","a"),"t","a"),"u","a"),"v","a"),"w","a"),"x","a"),"y","a"),"z","a")</f>
        <v/>
      </c>
      <c r="BQ479" s="61" t="n">
        <f aca="false">IFERROR(IF(AND(ISERROR(SEARCH(" mh"," "&amp;LOWER(W479))),ISNA(MATCH(LEFT(TRIM(BP479),255),{"0000a","000a","00a","0000aa","000aa","00aa","0aa","0000aaa","000aaa","00a00","0a00","0000-0000","00:00","a00","a0","00.00.0000","00/00/0000","00-00-0000","0000-00-00","0000/00/00","0000.00.00","00.00.00","00/00/00","00-00-00","0.00.0000","0/00/0000","0-00-0000"},0)),ISNA(MATCH(LEFT(TRIM(CA479),255),{"0000a","000a","00a","0000aa","000aa","00aa","0aa","0000aaa","000aaa","00a00","0a00","0000-0000","00:00","a00","a0","00.00.0000","00/00/0000","00-00-0000","0000-00-00","0000/00/00","0000.00.00","00.00.00","00/00/00","00-00-00","0.00.0000","0/00/0000","0-00-0000"},0)),LEN(CB479)&gt;=3,NOT(OR(SUBSTITUTE(CB479,"0","")="",AND(LEN(CB479)&gt;=4,CB479=REPT(LEFT(CB479),LEN(CB479))),ISNUMBER(MATCH(CB479,{"123","1234","12345","123456","1234567","12345678","0123","01234","012345","98765","987654","54321"},0)),AND(LEN(CB479)=8,LEFT(CB479,3)="202"))),OR(AND((LEN(CA479)-LEN(SUBSTITUTE(CA479,"a","")))&gt;=1,SUMPRODUCT(--ISNUMBER(SEARCH({"a0","a-0","a_0","a/0","a.0","a#0","0a","0-a","0_a","0/a"},BP479)))&gt;0),ISNUMBER(SEARCH("000000",BP479)))),1,0),0)</f>
        <v>0</v>
      </c>
      <c r="BR479" s="61" t="n">
        <f aca="false">IFERROR(LEN(SUBSTITUTE(CC479," ",""))-SUMPRODUCT((LEN(CC479)-LEN(SUBSTITUTE(CC479," "&amp;L_Role&amp;" "," ")))/(LEN(L_Role)+1)*LEN(L_Role)),0)</f>
        <v>0</v>
      </c>
      <c r="BS479" s="61" t="n">
        <f aca="false">IFERROR(LEN(SUBSTITUTE(CD479," ",""))-SUMPRODUCT((LEN(CD479)-LEN(SUBSTITUTE(CD479," "&amp;L_Role&amp;" "," ")))/(LEN(L_Role)+1)*LEN(L_Role)),0)</f>
        <v>0</v>
      </c>
      <c r="BT4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479,"revision",""),"version",""),"jan",""),"feb",""),"mar",""),"apr",""),"may",""),"jun",""),"jul",""),"aug",""),"sep",""),"oct",""),"nov",""),"dec",""),"utc",""),"gmt",""),"myt",""),"bst",""),"rev",""),"ver",""),"b","a"),"c","a"),"d","a"),"e","a"),"f","a"),"g","a"),"h","a"),"i","a"),"j","a"),"k","a"),"l","a"),"m","a"),"n","a"),"o","a"),"p","a"),"q","a"),"r","a"),"s","a"),"t","a"),"u","a"),"v","a"),"w","a"),"x","a"),"y","a"),"z","a")</f>
        <v/>
      </c>
      <c r="BU479" s="61" t="str">
        <f aca="false">SUBSTITUTE(SUBSTITUTE(SUBSTITUTE(SUBSTITUTE(SUBSTITUTE(SUBSTITUTE(SUBSTITUTE(SUBSTITUTE(SUBSTITUTE(SUBSTITUTE(LEFT(BM479,FIND("0",BM479&amp;"0")-1),"-",""),"_",""),"/",""),".",""),"#",""),"\\",""),":","")," ",""),"(",""),")","")</f>
        <v/>
      </c>
      <c r="BV479" s="61" t="n">
        <f aca="false">IFERROR(IF(OR(SUMPRODUCT((LEN(BC479)-LEN(SUBSTITUTE(BC479," "&amp;L_NotLoaded&amp;" "," ")))/(LEN(L_NotLoaded)+1))&gt;SUMPRODUCT((LEN(BC479)-LEN(SUBSTITUTE(BC479," "&amp;L_NotLoadedNeg&amp;" "," ")))/(LEN(L_NotLoadedNeg)+1)),SUMPRODUCT((LEN(BD479)-LEN(SUBSTITUTE(BD479," "&amp;L_NotLoaded&amp;" "," ")))/(LEN(L_NotLoaded)+1))&gt;SUMPRODUCT((LEN(BD479)-LEN(SUBSTITUTE(BD479," "&amp;L_NotLoadedNeg&amp;" "," ")))/(LEN(L_NotLoadedNeg)+1))),1,0),0)</f>
        <v>0</v>
      </c>
      <c r="BW4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479&amp;""),"a",""),"b",""),"c",""),"d",""),"e",""),"f",""),"g",""),"h",""),"i",""),"j",""),"k",""),"l",""),"m",""),"n",""),"o",""),"p",""),"q",""),"r",""),"s",""),"t",""),"u",""),"v",""),"w",""),"x",""),"y",""),"z",""),"-",""),"_",""),"/",""),".",""),"#",""),"\\",""),":","")," ",""),"(",""),")","")</f>
        <v/>
      </c>
      <c r="BX479" s="61" t="str">
        <f aca="false">SUBSTITUTE(SUBSTITUTE(SUBSTITUTE(SUBSTITUTE(SUBSTITUTE(SUBSTITUTE(SUBSTITUTE(SUBSTITUTE(SUBSTITUTE(SUBSTITUTE(SUBSTITUTE(BM479,"0",""),"-",""),"_",""),"/",""),".",""),"#",""),"\\",""),":","")," ",""),"(",""),")","")</f>
        <v/>
      </c>
      <c r="BY479" s="62" t="n">
        <f aca="false">IF(ISNUMBER(Flights!$AZ$18),MAX(Q479-UpliftWindowH/24,Flights!$AZ$18),Q479-UpliftWindowH/24)</f>
        <v>46309.8263888889</v>
      </c>
      <c r="BZ479" s="61" t="n">
        <f aca="false">IFERROR(IF(IF(TRIM(S479)="Link / file path",AND(LEN(TRIM(Z479))&gt;=5,SUMPRODUCT(--ISNUMBER(SEARCH({"http","www.","\\",":\",".pdf",".jpg",".jpeg",".png",".heic",".xls",".doc",".msg",".eml",".ppt",".txt",".zip"},Z479)))&gt;0),AND(ISERROR(FIND(" ",TRIM(Z479))),NOT(OR(SUMPRODUCT(--ISNUMBER(FIND({",",";","&amp;","+"},Z479)))&gt;0,SUMPRODUCT(--ISNUMBER(SEARCH({"0/aa","0\\aa"},BN479)))&gt;0)),NOT(SUMPRODUCT(--ISNUMBER(SEARCH({"http","www.","\\",":\",".pdf",".jpg",".jpeg",".png",".heic",".xls",".doc",".msg",".eml",".ppt",".txt",".zip"},Z479)))&gt;0),NOT(LOWER(TRIM(Z479))=LOWER(Flights!$F$18)),ISNA(MATCH(BU479,{"mh","rev","revision","ver","version","v","r","a","b","seat","tray","row","gate","bay","stand","page","pg","item","line","no","cart","galley","flight","flt","table","box","bag","oven","etd","eta","std","sta","atd","ata","qty","pax","x","time","tel","ph","mob","day","wk","week","utc","gmt","myt","lt"},0)),NOT(OR(ISNUMBER(MATCH(LEFT(BN479,255),{"0000a","000a","00a","0000aa","000aa","00aa","0aa","0000aaa","000aaa","00a00","0a00","0000-0000","00:00","a00","a0","00.00.0000","00/00/0000","00-00-0000","0000-00-00","0000/00/00","0000.00.00","00.00.00","00/00/00","00-00-00","0.00.0000","0/00/0000","0-00-0000"},0)),ISNUMBER(MATCH(LEFT(BT479,255),{"0000a","000a","00a","0000aa","000aa","00aa","0aa","0000aaa","000aaa","00a00","0a00","0000-0000","00:00","a00","a0","00.00.0000","00/00/0000","00-00-0000","0000-00-00","0000/00/00","0000.00.00","00.00.00","00/00/00","00-00-00","0.00.0000","0/00/0000","0-00-0000"},0)))),NOT(OR(AND(BW479&lt;&gt;"",SUBSTITUTE(BW479,"0","")=""),AND(LEN(BW479)&gt;=4,BW479=REPT(LEFT(BW479),LEN(BW479))),ISNUMBER(MATCH(BW479,{"123","1234","12345","123456","1234567","12345678","0123","01234","012345","98765","987654","54321"},0)),ISNUMBER(MATCH(BX479,{"x","xx","xxx","xxxx","xxxxx","abc","abcd","nil","na","nan","test","tbc","tba","tbd","dummy","sample","example","eg","zz","zzz","none","null","xyz","qwe","asd","id","ref"},0)),AND(LEN(BW479)=8,BX479="",OR(LEFT(BW479,3)="202",ISNUMBER(MATCH(RIGHT(BW479,4),{"2025","2026","2027"},0)))))),OR(AND((LEN(BT479)-LEN(SUBSTITUTE(BT479,"a","")))&gt;=1,(LEN(BN479)-LEN(SUBSTITUTE(BN479,"0","")))&gt;=2,SUMPRODUCT(--ISNUMBER(SEARCH({"a0","a-0","a_0","a/0","a.0","a#0","0a","0-a","0_a","0/a"},BN479)))&gt;0),AND((LEN(BN479)-LEN(SUBSTITUTE(BN479,"a","")))=0,(LEN(BN479)-LEN(SUBSTITUTE(BN479,"0","")))&gt;=5)))),1,0),0)</f>
        <v>0</v>
      </c>
      <c r="CA4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479,"revision",""),"version",""),"jan",""),"feb",""),"mar",""),"apr",""),"may",""),"jun",""),"jul",""),"aug",""),"sep",""),"oct",""),"nov",""),"dec",""),"utc",""),"gmt",""),"myt",""),"bst",""),"rev",""),"ver",""),"b","a"),"c","a"),"d","a"),"e","a"),"f","a"),"g","a"),"h","a"),"i","a"),"j","a"),"k","a"),"l","a"),"m","a"),"n","a"),"o","a"),"p","a"),"q","a"),"r","a"),"s","a"),"t","a"),"u","a"),"v","a"),"w","a"),"x","a"),"y","a"),"z","a")</f>
        <v/>
      </c>
      <c r="CB4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479&amp;""),"a",""),"b",""),"c",""),"d",""),"e",""),"f",""),"g",""),"h",""),"i",""),"j",""),"k",""),"l",""),"m",""),"n",""),"o",""),"p",""),"q",""),"r",""),"s",""),"t",""),"u",""),"v",""),"w",""),"x",""),"y",""),"z",""),"-",""),"_",""),"/",""),".",""),"#",""),"\\",""),":","")," ",""),"(",""),")","")</f>
        <v/>
      </c>
      <c r="CC479" s="0" t="str">
        <f aca="false">" "&amp;TRIM(SUBSTITUTE(SUBSTITUTE(SUBSTITUTE(SUBSTITUTE(SUBSTITUTE(SUBSTITUTE(SUBSTITUTE(SUBSTITUTE(SUBSTITUTE(SUBSTITUTE(SUBSTITUTE(SUBSTITUTE(SUBSTITUTE(SUBSTITUTE(SUBSTITUTE(SUBSTITUTE(SUBSTITUTE(SUBSTITUTE(SUBSTITUTE(SUBSTITUTE(SUBSTITUTE(SUBSTITUTE(SUBSTITUTE(SUBSTITUTE(LOWER(T479&amp;""),CHAR(10)," "),CHAR(13)," "),CHAR(9)," "),CHAR(160)," "),"."," "),","," "),"-"," "),"/"," "),"("," "),")"," "),":"," "),";"," "),"_"," "),"–"," "),"?"," "),"!"," "),"*"," "),"["," "),"]"," "),"'"," "),"#"," "),"+"," "),"&amp;"," "),"\"," "))&amp;" "</f>
        <v>  </v>
      </c>
      <c r="CD479" s="0" t="str">
        <f aca="false">" "&amp;TRIM(SUBSTITUTE(SUBSTITUTE(SUBSTITUTE(SUBSTITUTE(SUBSTITUTE(SUBSTITUTE(SUBSTITUTE(SUBSTITUTE(SUBSTITUTE(SUBSTITUTE(SUBSTITUTE(SUBSTITUTE(SUBSTITUTE(SUBSTITUTE(SUBSTITUTE(SUBSTITUTE(SUBSTITUTE(SUBSTITUTE(SUBSTITUTE(SUBSTITUTE(SUBSTITUTE(SUBSTITUTE(SUBSTITUTE(SUBSTITUTE(LOWER(AE479&amp;""),CHAR(10)," "),CHAR(13)," "),CHAR(9)," "),CHAR(160)," "),"."," "),","," "),"-"," "),"/"," "),"("," "),")"," "),":"," "),";"," "),"_"," "),"–"," "),"?"," "),"!"," "),"*"," "),"["," "),"]"," "),"'"," "),"#"," "),"+"," "),"&amp;"," "),"\"," "))&amp;" "</f>
        <v>  </v>
      </c>
      <c r="CE479" s="68" t="n">
        <f aca="false">IFERROR(IF(AND(LEN(AU479)&gt;0,LEN(AU479)=LEN(AX479),OR(TRIM(MID(SUBSTITUTE(TRIM(CC479)," ",REPT(" ",60)),1,60))="",ISNUMBER(SEARCH(" "&amp;TRIM(MID(SUBSTITUTE(TRIM(CC479)," ",REPT(" ",60)),1,60))&amp;" ",CD479))),OR(TRIM(MID(SUBSTITUTE(TRIM(CC479)," ",REPT(" ",60)),61,60))="",ISNUMBER(SEARCH(" "&amp;TRIM(MID(SUBSTITUTE(TRIM(CC479)," ",REPT(" ",60)),61,60))&amp;" ",CD479))),OR(TRIM(MID(SUBSTITUTE(TRIM(CC479)," ",REPT(" ",60)),121,60))="",ISNUMBER(SEARCH(" "&amp;TRIM(MID(SUBSTITUTE(TRIM(CC479)," ",REPT(" ",60)),121,60))&amp;" ",CD479)))),1,0),0)</f>
        <v>0</v>
      </c>
      <c r="CG479" s="68" t="n">
        <f aca="false">IFERROR(LEN(SUBSTITUTE(BF479," ",""))-SUMPRODUCT((LEN(BF479)-LEN(SUBSTITUTE(BF479," "&amp;L_NAFiller&amp;" "," ")))/(LEN(L_NAFiller)+1)*LEN(L_NAFiller)),0)</f>
        <v>0</v>
      </c>
    </row>
    <row r="480" customFormat="false" ht="54" hidden="false" customHeight="true" outlineLevel="0" collapsed="false">
      <c r="A480" s="57" t="s">
        <v>1129</v>
      </c>
      <c r="B480" s="57" t="s">
        <v>276</v>
      </c>
      <c r="C480" s="57" t="str">
        <f aca="false">Flights!$F$18</f>
        <v>MH0004</v>
      </c>
      <c r="D480" s="58" t="n">
        <f aca="false">Flights!$D$18</f>
        <v>46310</v>
      </c>
      <c r="E480" s="57" t="str">
        <f aca="false">Flights!$G$18&amp;"-"&amp;Flights!$H$18</f>
        <v>KUL-LHR</v>
      </c>
      <c r="F480" s="57" t="str">
        <f aca="false">Flights!$K$18</f>
        <v>EY</v>
      </c>
      <c r="G480" s="57" t="s">
        <v>459</v>
      </c>
      <c r="H480" s="57" t="s">
        <v>460</v>
      </c>
      <c r="I480" s="57" t="s">
        <v>447</v>
      </c>
      <c r="J480" s="57" t="s">
        <v>471</v>
      </c>
      <c r="K480" s="67" t="s">
        <v>455</v>
      </c>
      <c r="L480" s="67" t="s">
        <v>456</v>
      </c>
      <c r="M480" s="67" t="s">
        <v>451</v>
      </c>
      <c r="N480" s="67" t="s">
        <v>383</v>
      </c>
      <c r="O480" s="67" t="s">
        <v>1130</v>
      </c>
      <c r="P480" s="57" t="s">
        <v>187</v>
      </c>
      <c r="Q480" s="59" t="n">
        <f aca="false">ROUND((Flights!$AF$18)*1440,0)/1440</f>
        <v>46310.0763888889</v>
      </c>
      <c r="R480" s="59" t="n">
        <f aca="false">Q480+(IF(AND(INDEX(TZ_DSTS,MATCH(P480,TZ_STN,0))&lt;&gt;"",Q480&gt;=INDEX(TZ_DSTS,MATCH(P480,TZ_STN,0)),Q480&lt;INDEX(TZ_DSTE,MATCH(P480,TZ_STN,0))),INDEX(TZ_DST,MATCH(P480,TZ_STN,0)),INDEX(TZ_STD,MATCH(P480,TZ_STN,0))))/24</f>
        <v>46310.4097222222</v>
      </c>
      <c r="S480" s="60"/>
      <c r="T480" s="60"/>
      <c r="U480" s="60"/>
      <c r="V480" s="60"/>
      <c r="W480" s="61"/>
      <c r="X480" s="69" t="str">
        <f aca="false">IF(TRIM(Flights!$N$18)="","",IF(ISNUMBER(SEARCH("MAH",Flights!$N$18)),280,260))</f>
        <v/>
      </c>
      <c r="Y480" s="60"/>
      <c r="Z480" s="60"/>
      <c r="AA480" s="60"/>
      <c r="AB480" s="60"/>
      <c r="AC480" s="60"/>
      <c r="AD480" s="66"/>
      <c r="AE480" s="60"/>
      <c r="AF480" s="61" t="str">
        <f aca="false">IF(AND(ISNUMBER(X480),ISNUMBER(Y480)),Y480-X480,"")</f>
        <v/>
      </c>
      <c r="AG480" s="62" t="str">
        <f aca="false">IF(ISNUMBER(AD480),AD480-(IF(AND(INDEX(TZ_DSTS,MATCH(P480,TZ_STN,0))&lt;&gt;"",(AD480-INDEX(TZ_STD,MATCH(P480,TZ_STN,0))/24)&gt;=INDEX(TZ_DSTS,MATCH(P480,TZ_STN,0)),(AD480-INDEX(TZ_STD,MATCH(P480,TZ_STN,0))/24)&lt;INDEX(TZ_DSTE,MATCH(P480,TZ_STN,0))),INDEX(TZ_DST,MATCH(P480,TZ_STN,0)),INDEX(TZ_STD,MATCH(P480,TZ_STN,0))))/24,"")</f>
        <v/>
      </c>
      <c r="AH480" s="65" t="str">
        <f aca="false">IFERROR(IF(N480="N/A – rule",IF(OR(TRIM(U480)="",TRIM(U480)="N/A",TRIM(U480)="Not started"),"N/A – RULE","INVALID – this check does not apply to this aircraft: clear the status (or correct the fleet on Flights)"),IF(TRIM(U480)="N/A",IF(AT480=0,"INVALID – N/A not permitted for this check",IF(AND(TRIM(AB480)&lt;&gt;"",TRIM(AB480)&lt;&gt;"Closed"),"INVALID – corrective action still open",IF(AND(NOT(OR(LEN(AZ480)&lt;15,ISNUMBER(MATCH(AZ480,L_Placeholder,0)))),BK480=0,CG480&gt;=8,NOT(OR(LEN(AU480)&lt;2,ISNUMBER(MATCH(AU480,L_Placeholder,0)))),BR480&gt;=3,NOT(OR(LEN(AX480)&lt;2,ISNUMBER(MATCH(AX480,L_Placeholder,0)))),BS480&gt;=3,TRIM(AE480)&lt;&gt;TRIM(T480),AX480&lt;&gt;AU480,CE480=0),"N/A – JUSTIFIED","INVALID – N/A needs a real, settled reason (not 'not applicable' / 'as above' / TBC), a named PIC and a different named verifier"))),IF(OR(TRIM(U480)="Pass",TRIM(U480)="Pass after CA"),IF(NOT(ISNUMBER(AD480)),"INVALID – completion time missing",IF(OR(OR(LEN(AU480)&lt;2,ISNUMBER(MATCH(AU480,L_Placeholder,0))),BR480&lt;3),"INVALID – PIC missing or not a named person (a role such as QA / CSM is not a name)",IF(OR(LEN(AV480)&lt;2,ISNUMBER(MATCH(AV480,L_Placeholder,0))),"INVALID – result / assessment missing",IF(OR(OR(LEN(AW480)&lt;3,ISNUMBER(MATCH(AW480,L_Placeholder,0))),SUMPRODUCT(--ISNUMBER(SEARCH(" "&amp;L_EvidencePhrase&amp;" ",BD480)))&gt;0,BI480=1),"INVALID – evidence missing, placeholder or not yet on file",IF(ISNA(MATCH(TRIM(S480),L_EvidenceType,0)),"INVALID – choose the evidence type from the list (column S)",IF(BL480=0,"INVALID – evidence ID must be the record's own ID only (e.g. SF-2210, IMG_2231, 1045521); a link / file name needs type 'Link / file path'",IF(OR(OR(LEN(AX480)&lt;2,ISNUMBER(MATCH(AX480,L_Placeholder,0))),BS480&lt;3),"INVALID – verifier missing or not a named person (a role such as QA / CSM is not a name)",IF(OR(AX480=AU480,CE480=1,AND(LEN(AU480)&gt;=4,ISNUMBER(SEARCH(AU480,AX480))),AND(LEN(AX480)&gt;=4,ISNUMBER(SEARCH(AX480,AU480)))),"INVALID – verifier must be a different, named person (not the PIC or a role)",IF(BH480=1,"INVALID – result not yet available (awaiting / TBC)",IF(BG480=1,"INVALID – result describes a problem: record Fail, then Pass after CA (or reword if it is not a problem)",IF(BV480=1,"INVALID – wording says not on board: an on-board confirmation needs the item loaded",IF(AND(AQ480=1,OR(OR(LEN(AY480)&lt;3,ISNUMBER(MATCH(AY480,L_Placeholder,0))),BJ480=1,BQ480=0)),"INVALID – batch ID missing, placeholder or not an ID (e.g. PASB-261008-BC-017)",IF(AND(AR480=1,OR(NOT(ISNUMBER(X480)),NOT(ISNUMBER(Y480)))),"INVALID – expected/actual qty missing",IF(AND(AR480=1,OR(X480&lt;=0,Y480&lt;0)),"INVALID – expected qty must be above 0 and actual not negative",IF(AH475="N/A – JUSTIFIED","INVALID – preparation row F14-T12-10 is N/A",IF(AND(AR480=1,ISNUMBER(X475),X480&lt;&gt;X475,TRIM(U480)&lt;&gt;"Pass after CA"),"INVALID – expected qty differs from preparation check F14-T12-10: record the load change as a corrective action (Pass after CA)",IF(BB480&lt;&gt;"",BB480,IF(AND(AS480=1,Documents!$J$18&lt;&gt;"ON FILE"),"INVALID – GLD not on file (Documents sheet)",IF(AND(AS480=2,Documents!$O$18&lt;&gt;"ON FILE"),"INVALID – menu checklist not on file (Documents sheet)",IF(AND(AS480=3,NOT(ISNUMBER(Flights!$AX$18))),"INVALID – enter carrying flight KUL departure (Flights AX)",IF(AND(AS480=3,OR(Flights!$AZ$18&gt;Flights!$AA$18,Flights!$AX$18&lt;Flights!$AA$18-3)),"INVALID – carrying flight (Flights AX) cannot arrive before this leg's STD, or is over 3 days early",IF(AG480&gt;AsOfUTC,"INVALID – completion time is in the future",IF(AND(ISNUMBER(BY480),AG480&lt;BY480),IF(H480="Physical uplift","INVALID – before uplift window (cannot confirm loading)","INVALID – before valid window"),IF(AG480&gt;Flights!$AA$18,"INVALID – completed after departure (cannot establish readiness)",IF(AND(H480="Preparation",AG480&gt;=IF(ISNUMBER(Flights!$BA$18),MIN(Flights!$BA$18,Flights!$AA$18),Flights!$AA$18)),"INVALID – completed after loading / departure (cannot establish readiness)",IF(AND(H480="Physical uplift",AG480&gt;Q480),"INVALID – recorded after the loading flight departed",IF(AG480&gt;Q480,"COMPLETE – LATE","COMPLETE"))))))))))))))))))))))))))),IF(TRIM(U480)="Fail","FAIL – DISCREPANCY",IF(AND(TRIM(U480)&lt;&gt;"",TRIM(U480)&lt;&gt;"Not started",TRIM(U480)&lt;&gt;"In progress"),"INVALID – unrecognised status (use the list)",IF(AsOfUTC&gt;Q480,"OVERDUE",IF(N480="Clarification required","OPEN – CLARIFICATION","OPEN"))))))),"INVALID – error value in an input cell")</f>
        <v>OPEN</v>
      </c>
      <c r="AI480" s="61" t="n">
        <f aca="false">IF(OR(AH480="N/A – RULE",AH480="N/A – JUSTIFIED"),0,1)</f>
        <v>1</v>
      </c>
      <c r="AJ480" s="61" t="n">
        <f aca="false">IF(LEFT(AH480,8)="COMPLETE",1,0)</f>
        <v>0</v>
      </c>
      <c r="AK480" s="61" t="n">
        <f aca="false">IF(AND(AI480=1,AJ480=0,AsOfUTC&gt;Q480),1,0)</f>
        <v>0</v>
      </c>
      <c r="AL480" s="61" t="n">
        <f aca="false">IFERROR(IF(AND(AI480=1,OR(TRIM(U480)="Fail",AND(TRIM(AB480)&lt;&gt;"",TRIM(AB480)&lt;&gt;"Closed"),AND(ISNUMBER(AF480),AF480&lt;&gt;0,TRIM(U480)&lt;&gt;"Pass after CA"))),1,0),1)</f>
        <v>0</v>
      </c>
      <c r="AM480" s="61" t="n">
        <f aca="false">IF(LEFT(AH480,7)="INVALID",1,0)</f>
        <v>0</v>
      </c>
      <c r="AN480" s="61" t="n">
        <f aca="false">IF(AND(N480="Clarification required",AI480=1,AJ480=0),1,0)</f>
        <v>0</v>
      </c>
      <c r="AO480" s="61" t="str">
        <f aca="false">IF(AK480=1,SUM(AK$5:AK480),"")</f>
        <v/>
      </c>
      <c r="AP480" s="61" t="str">
        <f aca="false">IF(AL480=1,SUM(AL$5:AL480),"")</f>
        <v/>
      </c>
      <c r="AQ480" s="61" t="n">
        <v>0</v>
      </c>
      <c r="AR480" s="61" t="n">
        <v>1</v>
      </c>
      <c r="AS480" s="61" t="n">
        <v>0</v>
      </c>
      <c r="AT480" s="61" t="n">
        <v>0</v>
      </c>
      <c r="AU480" s="61" t="str">
        <f aca="false">SUBSTITUTE(SUBSTITUTE(SUBSTITUTE(SUBSTITUTE(SUBSTITUTE(SUBSTITUTE(SUBSTITUTE(SUBSTITUTE(SUBSTITUTE(SUBSTITUTE(SUBSTITUTE(SUBSTITUTE(SUBSTITUTE(SUBSTITUTE(SUBSTITUTE(SUBSTITUTE(LOWER(T480&amp;""),CHAR(10),""),CHAR(13),""),CHAR(9),""),CHAR(160),"")," ",""),".",""),"-",""),"/",""),"?",""),"_",""),",",""),"[",""),"]",""),"(",""),")",""),"*","")</f>
        <v/>
      </c>
      <c r="AV480" s="61" t="str">
        <f aca="false">SUBSTITUTE(SUBSTITUTE(SUBSTITUTE(SUBSTITUTE(SUBSTITUTE(SUBSTITUTE(SUBSTITUTE(SUBSTITUTE(SUBSTITUTE(SUBSTITUTE(SUBSTITUTE(SUBSTITUTE(SUBSTITUTE(SUBSTITUTE(SUBSTITUTE(SUBSTITUTE(LOWER(V480&amp;""),CHAR(10),""),CHAR(13),""),CHAR(9),""),CHAR(160),"")," ",""),".",""),"-",""),"/",""),"?",""),"_",""),",",""),"[",""),"]",""),"(",""),")",""),"*","")</f>
        <v/>
      </c>
      <c r="AW480" s="61" t="str">
        <f aca="false">SUBSTITUTE(SUBSTITUTE(SUBSTITUTE(SUBSTITUTE(SUBSTITUTE(SUBSTITUTE(SUBSTITUTE(SUBSTITUTE(SUBSTITUTE(SUBSTITUTE(SUBSTITUTE(SUBSTITUTE(SUBSTITUTE(SUBSTITUTE(SUBSTITUTE(SUBSTITUTE(LOWER(Z480&amp;""),CHAR(10),""),CHAR(13),""),CHAR(9),""),CHAR(160),"")," ",""),".",""),"-",""),"/",""),"?",""),"_",""),",",""),"[",""),"]",""),"(",""),")",""),"*","")</f>
        <v/>
      </c>
      <c r="AX480" s="61" t="str">
        <f aca="false">SUBSTITUTE(SUBSTITUTE(SUBSTITUTE(SUBSTITUTE(SUBSTITUTE(SUBSTITUTE(SUBSTITUTE(SUBSTITUTE(SUBSTITUTE(SUBSTITUTE(SUBSTITUTE(SUBSTITUTE(SUBSTITUTE(SUBSTITUTE(SUBSTITUTE(SUBSTITUTE(LOWER(AE480&amp;""),CHAR(10),""),CHAR(13),""),CHAR(9),""),CHAR(160),"")," ",""),".",""),"-",""),"/",""),"?",""),"_",""),",",""),"[",""),"]",""),"(",""),")",""),"*","")</f>
        <v/>
      </c>
      <c r="AY480" s="61" t="str">
        <f aca="false">SUBSTITUTE(SUBSTITUTE(SUBSTITUTE(SUBSTITUTE(SUBSTITUTE(SUBSTITUTE(SUBSTITUTE(SUBSTITUTE(SUBSTITUTE(SUBSTITUTE(SUBSTITUTE(SUBSTITUTE(SUBSTITUTE(SUBSTITUTE(SUBSTITUTE(SUBSTITUTE(LOWER(W480&amp;""),CHAR(10),""),CHAR(13),""),CHAR(9),""),CHAR(160),"")," ",""),".",""),"-",""),"/",""),"?",""),"_",""),",",""),"[",""),"]",""),"(",""),")",""),"*","")</f>
        <v/>
      </c>
      <c r="AZ480" s="61" t="str">
        <f aca="false">SUBSTITUTE(SUBSTITUTE(SUBSTITUTE(SUBSTITUTE(SUBSTITUTE(SUBSTITUTE(SUBSTITUTE(SUBSTITUTE(SUBSTITUTE(SUBSTITUTE(SUBSTITUTE(SUBSTITUTE(SUBSTITUTE(SUBSTITUTE(SUBSTITUTE(SUBSTITUTE(LOWER(AC480&amp;""),CHAR(10),""),CHAR(13),""),CHAR(9),""),CHAR(160),"")," ",""),".",""),"-",""),"/",""),"?",""),"_",""),",",""),"[",""),"]",""),"(",""),")",""),"*","")</f>
        <v/>
      </c>
      <c r="BA480" s="61" t="str">
        <f aca="false">SUBSTITUTE(SUBSTITUTE(SUBSTITUTE(SUBSTITUTE(SUBSTITUTE(SUBSTITUTE(SUBSTITUTE(SUBSTITUTE(SUBSTITUTE(SUBSTITUTE(SUBSTITUTE(SUBSTITUTE(SUBSTITUTE(SUBSTITUTE(SUBSTITUTE(SUBSTITUTE(LOWER(AA480&amp;""),CHAR(10),""),CHAR(13),""),CHAR(9),""),CHAR(160),"")," ",""),".",""),"-",""),"/",""),"?",""),"_",""),",",""),"[",""),"]",""),"(",""),")",""),"*","")</f>
        <v/>
      </c>
      <c r="BB480" s="61" t="str">
        <f aca="false">IF(AND(TRIM(U480)="Pass",ISNUMBER(AF480)),IF(AF480&lt;&gt;0,"INVALID – qty variance: use Fail or Pass after CA",""),"")&amp;IF(AND(TRIM(U480)="Pass after CA",ISNUMBER(AF480)),IF(AF480&lt;&gt;0,"INVALID – after the corrective action the actual qty must equal expected (update Actual)",""),"")&amp;IF(AND(TRIM(U480)="Pass",TRIM(AB480)&lt;&gt;"",TRIM(AB480)&lt;&gt;"Closed"),"INVALID – corrective action not closed: use Fail, then Pass after CA","")&amp;IF(AND(LEN(BA480)&gt;=2,ISNA(MATCH(LEFT(BA480,255),L_Placeholder,0)),TRIM(AB480)=""),"INVALID – CA status missing for the recorded corrective action","")&amp;IF(AND(TRIM(U480)="Pass after CA",OR(OR(LEN(BA480)&lt;5,ISNUMBER(MATCH(BA480,L_Placeholder,0))),TRIM(AB480)&lt;&gt;"Closed")),"INVALID – corrective action not recorded/closed","")</f>
        <v/>
      </c>
      <c r="BC480" s="61" t="str">
        <f aca="false">" "&amp;TRIM(SUBSTITUTE(SUBSTITUTE(SUBSTITUTE(SUBSTITUTE(SUBSTITUTE(SUBSTITUTE(SUBSTITUTE(SUBSTITUTE(SUBSTITUTE(SUBSTITUTE(SUBSTITUTE(SUBSTITUTE(SUBSTITUTE(SUBSTITUTE(SUBSTITUTE(SUBSTITUTE(SUBSTITUTE(SUBSTITUTE(SUBSTITUTE(SUBSTITUTE(SUBSTITUTE(SUBSTITUTE(SUBSTITUTE(SUBSTITUTE(LOWER(V480&amp;""),CHAR(10)," "),CHAR(13)," "),CHAR(9)," "),CHAR(160)," "),"."," "),","," "),"-"," "),"/"," "),"("," "),")"," "),":"," "),";"," "),"_"," "),"–"," "),"?"," "),"!"," "),"*"," "),"["," "),"]"," "),"'"," "),"#"," "),"+"," "),"&amp;"," "),"\"," "))&amp;" "</f>
        <v>  </v>
      </c>
      <c r="BD480" s="61" t="str">
        <f aca="false">" "&amp;TRIM(SUBSTITUTE(SUBSTITUTE(SUBSTITUTE(SUBSTITUTE(SUBSTITUTE(SUBSTITUTE(SUBSTITUTE(SUBSTITUTE(SUBSTITUTE(SUBSTITUTE(SUBSTITUTE(SUBSTITUTE(SUBSTITUTE(SUBSTITUTE(SUBSTITUTE(SUBSTITUTE(SUBSTITUTE(SUBSTITUTE(SUBSTITUTE(SUBSTITUTE(SUBSTITUTE(SUBSTITUTE(SUBSTITUTE(SUBSTITUTE(LOWER(Z480&amp;""),CHAR(10)," "),CHAR(13)," "),CHAR(9)," "),CHAR(160)," "),"."," "),","," "),"-"," "),"/"," "),"("," "),")"," "),":"," "),";"," "),"_"," "),"–"," "),"?"," "),"!"," "),"*"," "),"["," "),"]"," "),"'"," "),"#"," "),"+"," "),"&amp;"," "),"\"," "))&amp;" "</f>
        <v>  </v>
      </c>
      <c r="BE480" s="61" t="str">
        <f aca="false">" "&amp;TRIM(SUBSTITUTE(SUBSTITUTE(SUBSTITUTE(SUBSTITUTE(SUBSTITUTE(SUBSTITUTE(SUBSTITUTE(SUBSTITUTE(SUBSTITUTE(SUBSTITUTE(SUBSTITUTE(SUBSTITUTE(SUBSTITUTE(SUBSTITUTE(SUBSTITUTE(SUBSTITUTE(SUBSTITUTE(SUBSTITUTE(SUBSTITUTE(SUBSTITUTE(SUBSTITUTE(SUBSTITUTE(SUBSTITUTE(SUBSTITUTE(LOWER(W480&amp;""),CHAR(10)," "),CHAR(13)," "),CHAR(9)," "),CHAR(160)," "),"."," "),","," "),"-"," "),"/"," "),"("," "),")"," "),":"," "),";"," "),"_"," "),"–"," "),"?"," "),"!"," "),"*"," "),"["," "),"]"," "),"'"," "),"#"," "),"+"," "),"&amp;"," "),"\"," "))&amp;" "</f>
        <v>  </v>
      </c>
      <c r="BF480" s="61" t="str">
        <f aca="false">" "&amp;TRIM(SUBSTITUTE(SUBSTITUTE(SUBSTITUTE(SUBSTITUTE(SUBSTITUTE(SUBSTITUTE(SUBSTITUTE(SUBSTITUTE(SUBSTITUTE(SUBSTITUTE(SUBSTITUTE(SUBSTITUTE(SUBSTITUTE(SUBSTITUTE(SUBSTITUTE(SUBSTITUTE(SUBSTITUTE(SUBSTITUTE(SUBSTITUTE(SUBSTITUTE(SUBSTITUTE(SUBSTITUTE(SUBSTITUTE(SUBSTITUTE(LOWER(AC480&amp;""),CHAR(10)," "),CHAR(13)," "),CHAR(9)," "),CHAR(160)," "),"."," "),","," "),"-"," "),"/"," "),"("," "),")"," "),":"," "),";"," "),"_"," "),"–"," "),"?"," "),"!"," "),"*"," "),"["," "),"]"," "),"'"," "),"#"," "),"+"," "),"&amp;"," "),"\"," "))&amp;" "</f>
        <v>  </v>
      </c>
      <c r="BG480" s="61" t="n">
        <f aca="false">IFERROR(IF(AND(TRIM(U480)="Pass",SUMPRODUCT((LEN(BC480)-LEN(SUBSTITUTE(BC480," "&amp;L_ResultBad&amp;" "," ")))/(LEN(L_ResultBad)+1))&gt;SUMPRODUCT((LEN(BC480)-LEN(SUBSTITUTE(BC480," "&amp;L_NegPhrase&amp;" "," ")))/(LEN(L_NegPhrase)+1))),1,0),0)</f>
        <v>0</v>
      </c>
      <c r="BH480" s="61" t="n">
        <f aca="false">IFERROR(IF(SUMPRODUCT((LEN(BC480)-LEN(SUBSTITUTE(BC480," "&amp;L_Pending&amp;" "," ")))/(LEN(L_Pending)+1))&gt;SUMPRODUCT((LEN(BC480)-LEN(SUBSTITUTE(BC480," "&amp;L_PendNeg&amp;" "," ")))/(LEN(L_PendNeg)+1)),1,0),1)</f>
        <v>0</v>
      </c>
      <c r="BI480" s="61" t="n">
        <f aca="false">IFERROR(IF(SUMPRODUCT((LEN(BD480)-LEN(SUBSTITUTE(BD480," "&amp;L_PendStrict&amp;" "," ")))/(LEN(L_PendStrict)+1))&gt;SUMPRODUCT((LEN(BD480)-LEN(SUBSTITUTE(BD480," "&amp;L_PendNeg&amp;" "," ")))/(LEN(L_PendNeg)+1)),1,0),1)</f>
        <v>0</v>
      </c>
      <c r="BJ480" s="61" t="n">
        <f aca="false">IFERROR(IF(SUMPRODUCT((LEN(BE480)-LEN(SUBSTITUTE(BE480," "&amp;L_Pending&amp;" "," ")))/(LEN(L_Pending)+1))&gt;SUMPRODUCT((LEN(BE480)-LEN(SUBSTITUTE(BE480," "&amp;L_PendNeg&amp;" "," ")))/(LEN(L_PendNeg)+1)),1,0),1)</f>
        <v>0</v>
      </c>
      <c r="BK480" s="61" t="n">
        <f aca="false">IFERROR(IF(SUMPRODUCT((LEN(BF480)-LEN(SUBSTITUTE(BF480," "&amp;L_PendStrict&amp;" "," ")))/(LEN(L_PendStrict)+1))&gt;SUMPRODUCT((LEN(BF480)-LEN(SUBSTITUTE(BF480," "&amp;L_PendNeg&amp;" "," ")))/(LEN(L_PendNeg)+1)),1,0),1)</f>
        <v>0</v>
      </c>
      <c r="BL480" s="61" t="n">
        <f aca="false">IF(ISNA(MATCH(TRIM(S480),L_EvidenceType,0)),0,BZ480)</f>
        <v>0</v>
      </c>
      <c r="BM480" s="61" t="str">
        <f aca="false">SUBSTITUTE(SUBSTITUTE(SUBSTITUTE(SUBSTITUTE(SUBSTITUTE(SUBSTITUTE(SUBSTITUTE(SUBSTITUTE(SUBSTITUTE(LOWER(Z480&amp;""),"1","0"),"2","0"),"3","0"),"4","0"),"5","0"),"6","0"),"7","0"),"8","0"),"9","0")</f>
        <v/>
      </c>
      <c r="BN480" s="61" t="str">
        <f aca="false">SUBSTITUTE(SUBSTITUTE(SUBSTITUTE(SUBSTITUTE(SUBSTITUTE(SUBSTITUTE(SUBSTITUTE(SUBSTITUTE(SUBSTITUTE(SUBSTITUTE(SUBSTITUTE(SUBSTITUTE(SUBSTITUTE(SUBSTITUTE(SUBSTITUTE(SUBSTITUTE(SUBSTITUTE(SUBSTITUTE(SUBSTITUTE(SUBSTITUTE(SUBSTITUTE(SUBSTITUTE(SUBSTITUTE(SUBSTITUTE(SUBSTITUTE(BM480,"b","a"),"c","a"),"d","a"),"e","a"),"f","a"),"g","a"),"h","a"),"i","a"),"j","a"),"k","a"),"l","a"),"m","a"),"n","a"),"o","a"),"p","a"),"q","a"),"r","a"),"s","a"),"t","a"),"u","a"),"v","a"),"w","a"),"x","a"),"y","a"),"z","a")</f>
        <v/>
      </c>
      <c r="BO480" s="61" t="str">
        <f aca="false">SUBSTITUTE(SUBSTITUTE(SUBSTITUTE(SUBSTITUTE(SUBSTITUTE(SUBSTITUTE(SUBSTITUTE(SUBSTITUTE(SUBSTITUTE(LOWER(W480&amp;""),"1","0"),"2","0"),"3","0"),"4","0"),"5","0"),"6","0"),"7","0"),"8","0"),"9","0")</f>
        <v/>
      </c>
      <c r="BP480" s="61" t="str">
        <f aca="false">SUBSTITUTE(SUBSTITUTE(SUBSTITUTE(SUBSTITUTE(SUBSTITUTE(SUBSTITUTE(SUBSTITUTE(SUBSTITUTE(SUBSTITUTE(SUBSTITUTE(SUBSTITUTE(SUBSTITUTE(SUBSTITUTE(SUBSTITUTE(SUBSTITUTE(SUBSTITUTE(SUBSTITUTE(SUBSTITUTE(SUBSTITUTE(SUBSTITUTE(SUBSTITUTE(SUBSTITUTE(SUBSTITUTE(SUBSTITUTE(SUBSTITUTE(BO480,"b","a"),"c","a"),"d","a"),"e","a"),"f","a"),"g","a"),"h","a"),"i","a"),"j","a"),"k","a"),"l","a"),"m","a"),"n","a"),"o","a"),"p","a"),"q","a"),"r","a"),"s","a"),"t","a"),"u","a"),"v","a"),"w","a"),"x","a"),"y","a"),"z","a")</f>
        <v/>
      </c>
      <c r="BQ480" s="61" t="n">
        <f aca="false">IFERROR(IF(AND(ISERROR(SEARCH(" mh"," "&amp;LOWER(W480))),ISNA(MATCH(LEFT(TRIM(BP480),255),{"0000a","000a","00a","0000aa","000aa","00aa","0aa","0000aaa","000aaa","00a00","0a00","0000-0000","00:00","a00","a0","00.00.0000","00/00/0000","00-00-0000","0000-00-00","0000/00/00","0000.00.00","00.00.00","00/00/00","00-00-00","0.00.0000","0/00/0000","0-00-0000"},0)),ISNA(MATCH(LEFT(TRIM(CA480),255),{"0000a","000a","00a","0000aa","000aa","00aa","0aa","0000aaa","000aaa","00a00","0a00","0000-0000","00:00","a00","a0","00.00.0000","00/00/0000","00-00-0000","0000-00-00","0000/00/00","0000.00.00","00.00.00","00/00/00","00-00-00","0.00.0000","0/00/0000","0-00-0000"},0)),LEN(CB480)&gt;=3,NOT(OR(SUBSTITUTE(CB480,"0","")="",AND(LEN(CB480)&gt;=4,CB480=REPT(LEFT(CB480),LEN(CB480))),ISNUMBER(MATCH(CB480,{"123","1234","12345","123456","1234567","12345678","0123","01234","012345","98765","987654","54321"},0)),AND(LEN(CB480)=8,LEFT(CB480,3)="202"))),OR(AND((LEN(CA480)-LEN(SUBSTITUTE(CA480,"a","")))&gt;=1,SUMPRODUCT(--ISNUMBER(SEARCH({"a0","a-0","a_0","a/0","a.0","a#0","0a","0-a","0_a","0/a"},BP480)))&gt;0),ISNUMBER(SEARCH("000000",BP480)))),1,0),0)</f>
        <v>0</v>
      </c>
      <c r="BR480" s="61" t="n">
        <f aca="false">IFERROR(LEN(SUBSTITUTE(CC480," ",""))-SUMPRODUCT((LEN(CC480)-LEN(SUBSTITUTE(CC480," "&amp;L_Role&amp;" "," ")))/(LEN(L_Role)+1)*LEN(L_Role)),0)</f>
        <v>0</v>
      </c>
      <c r="BS480" s="61" t="n">
        <f aca="false">IFERROR(LEN(SUBSTITUTE(CD480," ",""))-SUMPRODUCT((LEN(CD480)-LEN(SUBSTITUTE(CD480," "&amp;L_Role&amp;" "," ")))/(LEN(L_Role)+1)*LEN(L_Role)),0)</f>
        <v>0</v>
      </c>
      <c r="BT4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480,"revision",""),"version",""),"jan",""),"feb",""),"mar",""),"apr",""),"may",""),"jun",""),"jul",""),"aug",""),"sep",""),"oct",""),"nov",""),"dec",""),"utc",""),"gmt",""),"myt",""),"bst",""),"rev",""),"ver",""),"b","a"),"c","a"),"d","a"),"e","a"),"f","a"),"g","a"),"h","a"),"i","a"),"j","a"),"k","a"),"l","a"),"m","a"),"n","a"),"o","a"),"p","a"),"q","a"),"r","a"),"s","a"),"t","a"),"u","a"),"v","a"),"w","a"),"x","a"),"y","a"),"z","a")</f>
        <v/>
      </c>
      <c r="BU480" s="61" t="str">
        <f aca="false">SUBSTITUTE(SUBSTITUTE(SUBSTITUTE(SUBSTITUTE(SUBSTITUTE(SUBSTITUTE(SUBSTITUTE(SUBSTITUTE(SUBSTITUTE(SUBSTITUTE(LEFT(BM480,FIND("0",BM480&amp;"0")-1),"-",""),"_",""),"/",""),".",""),"#",""),"\\",""),":","")," ",""),"(",""),")","")</f>
        <v/>
      </c>
      <c r="BV480" s="61" t="n">
        <f aca="false">IFERROR(IF(OR(SUMPRODUCT((LEN(BC480)-LEN(SUBSTITUTE(BC480," "&amp;L_NotLoaded&amp;" "," ")))/(LEN(L_NotLoaded)+1))&gt;SUMPRODUCT((LEN(BC480)-LEN(SUBSTITUTE(BC480," "&amp;L_NotLoadedNeg&amp;" "," ")))/(LEN(L_NotLoadedNeg)+1)),SUMPRODUCT((LEN(BD480)-LEN(SUBSTITUTE(BD480," "&amp;L_NotLoaded&amp;" "," ")))/(LEN(L_NotLoaded)+1))&gt;SUMPRODUCT((LEN(BD480)-LEN(SUBSTITUTE(BD480," "&amp;L_NotLoadedNeg&amp;" "," ")))/(LEN(L_NotLoadedNeg)+1))),1,0),0)</f>
        <v>0</v>
      </c>
      <c r="BW4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480&amp;""),"a",""),"b",""),"c",""),"d",""),"e",""),"f",""),"g",""),"h",""),"i",""),"j",""),"k",""),"l",""),"m",""),"n",""),"o",""),"p",""),"q",""),"r",""),"s",""),"t",""),"u",""),"v",""),"w",""),"x",""),"y",""),"z",""),"-",""),"_",""),"/",""),".",""),"#",""),"\\",""),":","")," ",""),"(",""),")","")</f>
        <v/>
      </c>
      <c r="BX480" s="61" t="str">
        <f aca="false">SUBSTITUTE(SUBSTITUTE(SUBSTITUTE(SUBSTITUTE(SUBSTITUTE(SUBSTITUTE(SUBSTITUTE(SUBSTITUTE(SUBSTITUTE(SUBSTITUTE(SUBSTITUTE(BM480,"0",""),"-",""),"_",""),"/",""),".",""),"#",""),"\\",""),":","")," ",""),"(",""),")","")</f>
        <v/>
      </c>
      <c r="BY480" s="62" t="n">
        <f aca="false">IF(ISNUMBER(Flights!$AZ$18),MAX(Q480-UpliftWindowH/24,Flights!$AZ$18),Q480-UpliftWindowH/24)</f>
        <v>46309.8263888889</v>
      </c>
      <c r="BZ480" s="61" t="n">
        <f aca="false">IFERROR(IF(IF(TRIM(S480)="Link / file path",AND(LEN(TRIM(Z480))&gt;=5,SUMPRODUCT(--ISNUMBER(SEARCH({"http","www.","\\",":\",".pdf",".jpg",".jpeg",".png",".heic",".xls",".doc",".msg",".eml",".ppt",".txt",".zip"},Z480)))&gt;0),AND(ISERROR(FIND(" ",TRIM(Z480))),NOT(OR(SUMPRODUCT(--ISNUMBER(FIND({",",";","&amp;","+"},Z480)))&gt;0,SUMPRODUCT(--ISNUMBER(SEARCH({"0/aa","0\\aa"},BN480)))&gt;0)),NOT(SUMPRODUCT(--ISNUMBER(SEARCH({"http","www.","\\",":\",".pdf",".jpg",".jpeg",".png",".heic",".xls",".doc",".msg",".eml",".ppt",".txt",".zip"},Z480)))&gt;0),NOT(LOWER(TRIM(Z480))=LOWER(Flights!$F$18)),ISNA(MATCH(BU480,{"mh","rev","revision","ver","version","v","r","a","b","seat","tray","row","gate","bay","stand","page","pg","item","line","no","cart","galley","flight","flt","table","box","bag","oven","etd","eta","std","sta","atd","ata","qty","pax","x","time","tel","ph","mob","day","wk","week","utc","gmt","myt","lt"},0)),NOT(OR(ISNUMBER(MATCH(LEFT(BN480,255),{"0000a","000a","00a","0000aa","000aa","00aa","0aa","0000aaa","000aaa","00a00","0a00","0000-0000","00:00","a00","a0","00.00.0000","00/00/0000","00-00-0000","0000-00-00","0000/00/00","0000.00.00","00.00.00","00/00/00","00-00-00","0.00.0000","0/00/0000","0-00-0000"},0)),ISNUMBER(MATCH(LEFT(BT480,255),{"0000a","000a","00a","0000aa","000aa","00aa","0aa","0000aaa","000aaa","00a00","0a00","0000-0000","00:00","a00","a0","00.00.0000","00/00/0000","00-00-0000","0000-00-00","0000/00/00","0000.00.00","00.00.00","00/00/00","00-00-00","0.00.0000","0/00/0000","0-00-0000"},0)))),NOT(OR(AND(BW480&lt;&gt;"",SUBSTITUTE(BW480,"0","")=""),AND(LEN(BW480)&gt;=4,BW480=REPT(LEFT(BW480),LEN(BW480))),ISNUMBER(MATCH(BW480,{"123","1234","12345","123456","1234567","12345678","0123","01234","012345","98765","987654","54321"},0)),ISNUMBER(MATCH(BX480,{"x","xx","xxx","xxxx","xxxxx","abc","abcd","nil","na","nan","test","tbc","tba","tbd","dummy","sample","example","eg","zz","zzz","none","null","xyz","qwe","asd","id","ref"},0)),AND(LEN(BW480)=8,BX480="",OR(LEFT(BW480,3)="202",ISNUMBER(MATCH(RIGHT(BW480,4),{"2025","2026","2027"},0)))))),OR(AND((LEN(BT480)-LEN(SUBSTITUTE(BT480,"a","")))&gt;=1,(LEN(BN480)-LEN(SUBSTITUTE(BN480,"0","")))&gt;=2,SUMPRODUCT(--ISNUMBER(SEARCH({"a0","a-0","a_0","a/0","a.0","a#0","0a","0-a","0_a","0/a"},BN480)))&gt;0),AND((LEN(BN480)-LEN(SUBSTITUTE(BN480,"a","")))=0,(LEN(BN480)-LEN(SUBSTITUTE(BN480,"0","")))&gt;=5)))),1,0),0)</f>
        <v>0</v>
      </c>
      <c r="CA4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480,"revision",""),"version",""),"jan",""),"feb",""),"mar",""),"apr",""),"may",""),"jun",""),"jul",""),"aug",""),"sep",""),"oct",""),"nov",""),"dec",""),"utc",""),"gmt",""),"myt",""),"bst",""),"rev",""),"ver",""),"b","a"),"c","a"),"d","a"),"e","a"),"f","a"),"g","a"),"h","a"),"i","a"),"j","a"),"k","a"),"l","a"),"m","a"),"n","a"),"o","a"),"p","a"),"q","a"),"r","a"),"s","a"),"t","a"),"u","a"),"v","a"),"w","a"),"x","a"),"y","a"),"z","a")</f>
        <v/>
      </c>
      <c r="CB4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480&amp;""),"a",""),"b",""),"c",""),"d",""),"e",""),"f",""),"g",""),"h",""),"i",""),"j",""),"k",""),"l",""),"m",""),"n",""),"o",""),"p",""),"q",""),"r",""),"s",""),"t",""),"u",""),"v",""),"w",""),"x",""),"y",""),"z",""),"-",""),"_",""),"/",""),".",""),"#",""),"\\",""),":","")," ",""),"(",""),")","")</f>
        <v/>
      </c>
      <c r="CC480" s="0" t="str">
        <f aca="false">" "&amp;TRIM(SUBSTITUTE(SUBSTITUTE(SUBSTITUTE(SUBSTITUTE(SUBSTITUTE(SUBSTITUTE(SUBSTITUTE(SUBSTITUTE(SUBSTITUTE(SUBSTITUTE(SUBSTITUTE(SUBSTITUTE(SUBSTITUTE(SUBSTITUTE(SUBSTITUTE(SUBSTITUTE(SUBSTITUTE(SUBSTITUTE(SUBSTITUTE(SUBSTITUTE(SUBSTITUTE(SUBSTITUTE(SUBSTITUTE(SUBSTITUTE(LOWER(T480&amp;""),CHAR(10)," "),CHAR(13)," "),CHAR(9)," "),CHAR(160)," "),"."," "),","," "),"-"," "),"/"," "),"("," "),")"," "),":"," "),";"," "),"_"," "),"–"," "),"?"," "),"!"," "),"*"," "),"["," "),"]"," "),"'"," "),"#"," "),"+"," "),"&amp;"," "),"\"," "))&amp;" "</f>
        <v>  </v>
      </c>
      <c r="CD480" s="0" t="str">
        <f aca="false">" "&amp;TRIM(SUBSTITUTE(SUBSTITUTE(SUBSTITUTE(SUBSTITUTE(SUBSTITUTE(SUBSTITUTE(SUBSTITUTE(SUBSTITUTE(SUBSTITUTE(SUBSTITUTE(SUBSTITUTE(SUBSTITUTE(SUBSTITUTE(SUBSTITUTE(SUBSTITUTE(SUBSTITUTE(SUBSTITUTE(SUBSTITUTE(SUBSTITUTE(SUBSTITUTE(SUBSTITUTE(SUBSTITUTE(SUBSTITUTE(SUBSTITUTE(LOWER(AE480&amp;""),CHAR(10)," "),CHAR(13)," "),CHAR(9)," "),CHAR(160)," "),"."," "),","," "),"-"," "),"/"," "),"("," "),")"," "),":"," "),";"," "),"_"," "),"–"," "),"?"," "),"!"," "),"*"," "),"["," "),"]"," "),"'"," "),"#"," "),"+"," "),"&amp;"," "),"\"," "))&amp;" "</f>
        <v>  </v>
      </c>
      <c r="CE480" s="68" t="n">
        <f aca="false">IFERROR(IF(AND(LEN(AU480)&gt;0,LEN(AU480)=LEN(AX480),OR(TRIM(MID(SUBSTITUTE(TRIM(CC480)," ",REPT(" ",60)),1,60))="",ISNUMBER(SEARCH(" "&amp;TRIM(MID(SUBSTITUTE(TRIM(CC480)," ",REPT(" ",60)),1,60))&amp;" ",CD480))),OR(TRIM(MID(SUBSTITUTE(TRIM(CC480)," ",REPT(" ",60)),61,60))="",ISNUMBER(SEARCH(" "&amp;TRIM(MID(SUBSTITUTE(TRIM(CC480)," ",REPT(" ",60)),61,60))&amp;" ",CD480))),OR(TRIM(MID(SUBSTITUTE(TRIM(CC480)," ",REPT(" ",60)),121,60))="",ISNUMBER(SEARCH(" "&amp;TRIM(MID(SUBSTITUTE(TRIM(CC480)," ",REPT(" ",60)),121,60))&amp;" ",CD480)))),1,0),0)</f>
        <v>0</v>
      </c>
      <c r="CG480" s="68" t="n">
        <f aca="false">IFERROR(LEN(SUBSTITUTE(BF480," ",""))-SUMPRODUCT((LEN(BF480)-LEN(SUBSTITUTE(BF480," "&amp;L_NAFiller&amp;" "," ")))/(LEN(L_NAFiller)+1)*LEN(L_NAFiller)),0)</f>
        <v>0</v>
      </c>
    </row>
    <row r="481" customFormat="false" ht="54" hidden="false" customHeight="true" outlineLevel="0" collapsed="false">
      <c r="A481" s="57" t="s">
        <v>1131</v>
      </c>
      <c r="B481" s="57" t="s">
        <v>278</v>
      </c>
      <c r="C481" s="57" t="str">
        <f aca="false">Flights!$F$19</f>
        <v>MH0003</v>
      </c>
      <c r="D481" s="58" t="n">
        <f aca="false">Flights!$D$19</f>
        <v>46320</v>
      </c>
      <c r="E481" s="57" t="str">
        <f aca="false">Flights!$G$19&amp;"-"&amp;Flights!$H$19</f>
        <v>LHR-KUL</v>
      </c>
      <c r="F481" s="57" t="str">
        <f aca="false">Flights!$K$19</f>
        <v>EY</v>
      </c>
      <c r="G481" s="57" t="s">
        <v>81</v>
      </c>
      <c r="H481" s="57" t="s">
        <v>378</v>
      </c>
      <c r="I481" s="57" t="s">
        <v>379</v>
      </c>
      <c r="J481" s="57" t="s">
        <v>380</v>
      </c>
      <c r="K481" s="67" t="s">
        <v>381</v>
      </c>
      <c r="L481" s="67" t="s">
        <v>382</v>
      </c>
      <c r="M481" s="67"/>
      <c r="N481" s="67" t="s">
        <v>383</v>
      </c>
      <c r="O481" s="67" t="s">
        <v>1132</v>
      </c>
      <c r="P481" s="57" t="s">
        <v>186</v>
      </c>
      <c r="Q481" s="59" t="n">
        <f aca="false">ROUND((Flights!$AC$19)*1440,0)/1440</f>
        <v>46313.4583333333</v>
      </c>
      <c r="R481" s="59" t="n">
        <f aca="false">Q481+(IF(AND(INDEX(TZ_DSTS,MATCH(P481,TZ_STN,0))&lt;&gt;"",Q481&gt;=INDEX(TZ_DSTS,MATCH(P481,TZ_STN,0)),Q481&lt;INDEX(TZ_DSTE,MATCH(P481,TZ_STN,0))),INDEX(TZ_DST,MATCH(P481,TZ_STN,0)),INDEX(TZ_STD,MATCH(P481,TZ_STN,0))))/24</f>
        <v>46313.5</v>
      </c>
      <c r="S481" s="60"/>
      <c r="T481" s="60"/>
      <c r="U481" s="60"/>
      <c r="V481" s="60"/>
      <c r="W481" s="61"/>
      <c r="X481" s="60"/>
      <c r="Y481" s="60"/>
      <c r="Z481" s="60"/>
      <c r="AA481" s="60"/>
      <c r="AB481" s="60"/>
      <c r="AC481" s="60"/>
      <c r="AD481" s="66"/>
      <c r="AE481" s="60"/>
      <c r="AF481" s="61" t="str">
        <f aca="false">IF(AND(ISNUMBER(X481),ISNUMBER(Y481)),Y481-X481,"")</f>
        <v/>
      </c>
      <c r="AG481" s="62" t="str">
        <f aca="false">IF(ISNUMBER(AD481),AD481-(IF(AND(INDEX(TZ_DSTS,MATCH(P481,TZ_STN,0))&lt;&gt;"",(AD481-INDEX(TZ_STD,MATCH(P481,TZ_STN,0))/24)&gt;=INDEX(TZ_DSTS,MATCH(P481,TZ_STN,0)),(AD481-INDEX(TZ_STD,MATCH(P481,TZ_STN,0))/24)&lt;INDEX(TZ_DSTE,MATCH(P481,TZ_STN,0))),INDEX(TZ_DST,MATCH(P481,TZ_STN,0)),INDEX(TZ_STD,MATCH(P481,TZ_STN,0))))/24,"")</f>
        <v/>
      </c>
      <c r="AH481" s="65" t="str">
        <f aca="false">IFERROR(IF(N481="N/A – rule",IF(OR(TRIM(U481)="",TRIM(U481)="N/A",TRIM(U481)="Not started"),"N/A – RULE","INVALID – this check does not apply to this aircraft: clear the status (or correct the fleet on Flights)"),IF(TRIM(U481)="N/A",IF(AT481=0,"INVALID – N/A not permitted for this check",IF(AND(TRIM(AB481)&lt;&gt;"",TRIM(AB481)&lt;&gt;"Closed"),"INVALID – corrective action still open",IF(AND(NOT(OR(LEN(AZ481)&lt;15,ISNUMBER(MATCH(AZ481,L_Placeholder,0)))),BK481=0,CG481&gt;=8,NOT(OR(LEN(AU481)&lt;2,ISNUMBER(MATCH(AU481,L_Placeholder,0)))),BR481&gt;=3,NOT(OR(LEN(AX481)&lt;2,ISNUMBER(MATCH(AX481,L_Placeholder,0)))),BS481&gt;=3,TRIM(AE481)&lt;&gt;TRIM(T481),AX481&lt;&gt;AU481,CE481=0),"N/A – JUSTIFIED","INVALID – N/A needs a real, settled reason (not 'not applicable' / 'as above' / TBC), a named PIC and a different named verifier"))),IF(OR(TRIM(U481)="Pass",TRIM(U481)="Pass after CA"),IF(NOT(ISNUMBER(AD481)),"INVALID – completion time missing",IF(OR(OR(LEN(AU481)&lt;2,ISNUMBER(MATCH(AU481,L_Placeholder,0))),BR481&lt;3),"INVALID – PIC missing or not a named person (a role such as QA / CSM is not a name)",IF(OR(LEN(AV481)&lt;2,ISNUMBER(MATCH(AV481,L_Placeholder,0))),"INVALID – result / assessment missing",IF(OR(OR(LEN(AW481)&lt;3,ISNUMBER(MATCH(AW481,L_Placeholder,0))),SUMPRODUCT(--ISNUMBER(SEARCH(" "&amp;L_EvidencePhrase&amp;" ",BD481)))&gt;0,BI481=1),"INVALID – evidence missing, placeholder or not yet on file",IF(ISNA(MATCH(TRIM(S481),L_EvidenceType,0)),"INVALID – choose the evidence type from the list (column S)",IF(BL481=0,"INVALID – evidence ID must be the record's own ID only (e.g. SF-2210, IMG_2231, 1045521); a link / file name needs type 'Link / file path'",IF(OR(OR(LEN(AX481)&lt;2,ISNUMBER(MATCH(AX481,L_Placeholder,0))),BS481&lt;3),"INVALID – verifier missing or not a named person (a role such as QA / CSM is not a name)",IF(OR(AX481=AU481,CE481=1,AND(LEN(AU481)&gt;=4,ISNUMBER(SEARCH(AU481,AX481))),AND(LEN(AX481)&gt;=4,ISNUMBER(SEARCH(AX481,AU481)))),"INVALID – verifier must be a different, named person (not the PIC or a role)",IF(BH481=1,"INVALID – result not yet available (awaiting / TBC)",IF(BG481=1,"INVALID – result describes a problem: record Fail, then Pass after CA (or reword if it is not a problem)",IF(BV481=1,"INVALID – wording says not on board: an on-board confirmation needs the item loaded",IF(AND(AQ481=1,OR(OR(LEN(AY481)&lt;3,ISNUMBER(MATCH(AY481,L_Placeholder,0))),BJ481=1,BQ481=0)),"INVALID – batch ID missing, placeholder or not an ID (e.g. PASB-261008-BC-017)",IF(AND(AR481=1,OR(NOT(ISNUMBER(X481)),NOT(ISNUMBER(Y481)))),"INVALID – expected/actual qty missing",IF(AND(AR481=1,OR(X481&lt;=0,Y481&lt;0)),"INVALID – expected qty must be above 0 and actual not negative",IF(BB481&lt;&gt;"",BB481,IF(AND(AS481=1,Documents!$J$19&lt;&gt;"ON FILE"),"INVALID – GLD not on file (Documents sheet)",IF(AND(AS481=2,Documents!$O$19&lt;&gt;"ON FILE"),"INVALID – menu checklist not on file (Documents sheet)",IF(AND(AS481=3,NOT(ISNUMBER(Flights!$AX$19))),"INVALID – enter carrying flight KUL departure (Flights AX)",IF(AND(AS481=3,OR(Flights!$AZ$19&gt;Flights!$AA$19,Flights!$AX$19&lt;Flights!$AA$19-3)),"INVALID – carrying flight (Flights AX) cannot arrive before this leg's STD, or is over 3 days early",IF(AG481&gt;AsOfUTC,"INVALID – completion time is in the future",IF(AND(ISNUMBER(BY481),AG481&lt;BY481),IF(H481="Physical uplift","INVALID – before uplift window (cannot confirm loading)","INVALID – before valid window"),IF(AG481&gt;Flights!$AA$19,"INVALID – completed after departure (cannot establish readiness)",IF(AND(H481="Preparation",AG481&gt;=IF(ISNUMBER(Flights!$BA$19),MIN(Flights!$BA$19,Flights!$AA$19),Flights!$AA$19)),"INVALID – completed after loading / departure (cannot establish readiness)",IF(AND(H481="Physical uplift",AG481&gt;Q481),"INVALID – recorded after the loading flight departed",IF(AG481&gt;Q481,"COMPLETE – LATE","COMPLETE"))))))))))))))))))))))))),IF(TRIM(U481)="Fail","FAIL – DISCREPANCY",IF(AND(TRIM(U481)&lt;&gt;"",TRIM(U481)&lt;&gt;"Not started",TRIM(U481)&lt;&gt;"In progress"),"INVALID – unrecognised status (use the list)",IF(AsOfUTC&gt;Q481,"OVERDUE",IF(N481="Clarification required","OPEN – CLARIFICATION","OPEN"))))))),"INVALID – error value in an input cell")</f>
        <v>OPEN</v>
      </c>
      <c r="AI481" s="61" t="n">
        <f aca="false">IF(OR(AH481="N/A – RULE",AH481="N/A – JUSTIFIED"),0,1)</f>
        <v>1</v>
      </c>
      <c r="AJ481" s="61" t="n">
        <f aca="false">IF(LEFT(AH481,8)="COMPLETE",1,0)</f>
        <v>0</v>
      </c>
      <c r="AK481" s="61" t="n">
        <f aca="false">IF(AND(AI481=1,AJ481=0,AsOfUTC&gt;Q481),1,0)</f>
        <v>0</v>
      </c>
      <c r="AL481" s="61" t="n">
        <f aca="false">IFERROR(IF(AND(AI481=1,OR(TRIM(U481)="Fail",AND(TRIM(AB481)&lt;&gt;"",TRIM(AB481)&lt;&gt;"Closed"),AND(ISNUMBER(AF481),AF481&lt;&gt;0,TRIM(U481)&lt;&gt;"Pass after CA"))),1,0),1)</f>
        <v>0</v>
      </c>
      <c r="AM481" s="61" t="n">
        <f aca="false">IF(LEFT(AH481,7)="INVALID",1,0)</f>
        <v>0</v>
      </c>
      <c r="AN481" s="61" t="n">
        <f aca="false">IF(AND(N481="Clarification required",AI481=1,AJ481=0),1,0)</f>
        <v>0</v>
      </c>
      <c r="AO481" s="61" t="str">
        <f aca="false">IF(AK481=1,SUM(AK$5:AK481),"")</f>
        <v/>
      </c>
      <c r="AP481" s="61" t="str">
        <f aca="false">IF(AL481=1,SUM(AL$5:AL481),"")</f>
        <v/>
      </c>
      <c r="AQ481" s="61" t="n">
        <v>0</v>
      </c>
      <c r="AR481" s="61" t="n">
        <v>0</v>
      </c>
      <c r="AS481" s="61" t="n">
        <v>0</v>
      </c>
      <c r="AT481" s="61" t="n">
        <v>0</v>
      </c>
      <c r="AU481" s="61" t="str">
        <f aca="false">SUBSTITUTE(SUBSTITUTE(SUBSTITUTE(SUBSTITUTE(SUBSTITUTE(SUBSTITUTE(SUBSTITUTE(SUBSTITUTE(SUBSTITUTE(SUBSTITUTE(SUBSTITUTE(SUBSTITUTE(SUBSTITUTE(SUBSTITUTE(SUBSTITUTE(SUBSTITUTE(LOWER(T481&amp;""),CHAR(10),""),CHAR(13),""),CHAR(9),""),CHAR(160),"")," ",""),".",""),"-",""),"/",""),"?",""),"_",""),",",""),"[",""),"]",""),"(",""),")",""),"*","")</f>
        <v/>
      </c>
      <c r="AV481" s="61" t="str">
        <f aca="false">SUBSTITUTE(SUBSTITUTE(SUBSTITUTE(SUBSTITUTE(SUBSTITUTE(SUBSTITUTE(SUBSTITUTE(SUBSTITUTE(SUBSTITUTE(SUBSTITUTE(SUBSTITUTE(SUBSTITUTE(SUBSTITUTE(SUBSTITUTE(SUBSTITUTE(SUBSTITUTE(LOWER(V481&amp;""),CHAR(10),""),CHAR(13),""),CHAR(9),""),CHAR(160),"")," ",""),".",""),"-",""),"/",""),"?",""),"_",""),",",""),"[",""),"]",""),"(",""),")",""),"*","")</f>
        <v/>
      </c>
      <c r="AW481" s="61" t="str">
        <f aca="false">SUBSTITUTE(SUBSTITUTE(SUBSTITUTE(SUBSTITUTE(SUBSTITUTE(SUBSTITUTE(SUBSTITUTE(SUBSTITUTE(SUBSTITUTE(SUBSTITUTE(SUBSTITUTE(SUBSTITUTE(SUBSTITUTE(SUBSTITUTE(SUBSTITUTE(SUBSTITUTE(LOWER(Z481&amp;""),CHAR(10),""),CHAR(13),""),CHAR(9),""),CHAR(160),"")," ",""),".",""),"-",""),"/",""),"?",""),"_",""),",",""),"[",""),"]",""),"(",""),")",""),"*","")</f>
        <v/>
      </c>
      <c r="AX481" s="61" t="str">
        <f aca="false">SUBSTITUTE(SUBSTITUTE(SUBSTITUTE(SUBSTITUTE(SUBSTITUTE(SUBSTITUTE(SUBSTITUTE(SUBSTITUTE(SUBSTITUTE(SUBSTITUTE(SUBSTITUTE(SUBSTITUTE(SUBSTITUTE(SUBSTITUTE(SUBSTITUTE(SUBSTITUTE(LOWER(AE481&amp;""),CHAR(10),""),CHAR(13),""),CHAR(9),""),CHAR(160),"")," ",""),".",""),"-",""),"/",""),"?",""),"_",""),",",""),"[",""),"]",""),"(",""),")",""),"*","")</f>
        <v/>
      </c>
      <c r="AY481" s="61" t="str">
        <f aca="false">SUBSTITUTE(SUBSTITUTE(SUBSTITUTE(SUBSTITUTE(SUBSTITUTE(SUBSTITUTE(SUBSTITUTE(SUBSTITUTE(SUBSTITUTE(SUBSTITUTE(SUBSTITUTE(SUBSTITUTE(SUBSTITUTE(SUBSTITUTE(SUBSTITUTE(SUBSTITUTE(LOWER(W481&amp;""),CHAR(10),""),CHAR(13),""),CHAR(9),""),CHAR(160),"")," ",""),".",""),"-",""),"/",""),"?",""),"_",""),",",""),"[",""),"]",""),"(",""),")",""),"*","")</f>
        <v/>
      </c>
      <c r="AZ481" s="61" t="str">
        <f aca="false">SUBSTITUTE(SUBSTITUTE(SUBSTITUTE(SUBSTITUTE(SUBSTITUTE(SUBSTITUTE(SUBSTITUTE(SUBSTITUTE(SUBSTITUTE(SUBSTITUTE(SUBSTITUTE(SUBSTITUTE(SUBSTITUTE(SUBSTITUTE(SUBSTITUTE(SUBSTITUTE(LOWER(AC481&amp;""),CHAR(10),""),CHAR(13),""),CHAR(9),""),CHAR(160),"")," ",""),".",""),"-",""),"/",""),"?",""),"_",""),",",""),"[",""),"]",""),"(",""),")",""),"*","")</f>
        <v/>
      </c>
      <c r="BA481" s="61" t="str">
        <f aca="false">SUBSTITUTE(SUBSTITUTE(SUBSTITUTE(SUBSTITUTE(SUBSTITUTE(SUBSTITUTE(SUBSTITUTE(SUBSTITUTE(SUBSTITUTE(SUBSTITUTE(SUBSTITUTE(SUBSTITUTE(SUBSTITUTE(SUBSTITUTE(SUBSTITUTE(SUBSTITUTE(LOWER(AA481&amp;""),CHAR(10),""),CHAR(13),""),CHAR(9),""),CHAR(160),"")," ",""),".",""),"-",""),"/",""),"?",""),"_",""),",",""),"[",""),"]",""),"(",""),")",""),"*","")</f>
        <v/>
      </c>
      <c r="BB481" s="61" t="str">
        <f aca="false">IF(AND(TRIM(U481)="Pass",ISNUMBER(AF481)),IF(AF481&lt;&gt;0,"INVALID – qty variance: use Fail or Pass after CA",""),"")&amp;IF(AND(TRIM(U481)="Pass after CA",ISNUMBER(AF481)),IF(AF481&lt;&gt;0,"INVALID – after the corrective action the actual qty must equal expected (update Actual)",""),"")&amp;IF(AND(TRIM(U481)="Pass",TRIM(AB481)&lt;&gt;"",TRIM(AB481)&lt;&gt;"Closed"),"INVALID – corrective action not closed: use Fail, then Pass after CA","")&amp;IF(AND(LEN(BA481)&gt;=2,ISNA(MATCH(LEFT(BA481,255),L_Placeholder,0)),TRIM(AB481)=""),"INVALID – CA status missing for the recorded corrective action","")&amp;IF(AND(TRIM(U481)="Pass after CA",OR(OR(LEN(BA481)&lt;5,ISNUMBER(MATCH(BA481,L_Placeholder,0))),TRIM(AB481)&lt;&gt;"Closed")),"INVALID – corrective action not recorded/closed","")</f>
        <v/>
      </c>
      <c r="BC481" s="61" t="str">
        <f aca="false">" "&amp;TRIM(SUBSTITUTE(SUBSTITUTE(SUBSTITUTE(SUBSTITUTE(SUBSTITUTE(SUBSTITUTE(SUBSTITUTE(SUBSTITUTE(SUBSTITUTE(SUBSTITUTE(SUBSTITUTE(SUBSTITUTE(SUBSTITUTE(SUBSTITUTE(SUBSTITUTE(SUBSTITUTE(SUBSTITUTE(SUBSTITUTE(SUBSTITUTE(SUBSTITUTE(SUBSTITUTE(SUBSTITUTE(SUBSTITUTE(SUBSTITUTE(LOWER(V481&amp;""),CHAR(10)," "),CHAR(13)," "),CHAR(9)," "),CHAR(160)," "),"."," "),","," "),"-"," "),"/"," "),"("," "),")"," "),":"," "),";"," "),"_"," "),"–"," "),"?"," "),"!"," "),"*"," "),"["," "),"]"," "),"'"," "),"#"," "),"+"," "),"&amp;"," "),"\"," "))&amp;" "</f>
        <v>  </v>
      </c>
      <c r="BD481" s="61" t="str">
        <f aca="false">" "&amp;TRIM(SUBSTITUTE(SUBSTITUTE(SUBSTITUTE(SUBSTITUTE(SUBSTITUTE(SUBSTITUTE(SUBSTITUTE(SUBSTITUTE(SUBSTITUTE(SUBSTITUTE(SUBSTITUTE(SUBSTITUTE(SUBSTITUTE(SUBSTITUTE(SUBSTITUTE(SUBSTITUTE(SUBSTITUTE(SUBSTITUTE(SUBSTITUTE(SUBSTITUTE(SUBSTITUTE(SUBSTITUTE(SUBSTITUTE(SUBSTITUTE(LOWER(Z481&amp;""),CHAR(10)," "),CHAR(13)," "),CHAR(9)," "),CHAR(160)," "),"."," "),","," "),"-"," "),"/"," "),"("," "),")"," "),":"," "),";"," "),"_"," "),"–"," "),"?"," "),"!"," "),"*"," "),"["," "),"]"," "),"'"," "),"#"," "),"+"," "),"&amp;"," "),"\"," "))&amp;" "</f>
        <v>  </v>
      </c>
      <c r="BE481" s="61" t="str">
        <f aca="false">" "&amp;TRIM(SUBSTITUTE(SUBSTITUTE(SUBSTITUTE(SUBSTITUTE(SUBSTITUTE(SUBSTITUTE(SUBSTITUTE(SUBSTITUTE(SUBSTITUTE(SUBSTITUTE(SUBSTITUTE(SUBSTITUTE(SUBSTITUTE(SUBSTITUTE(SUBSTITUTE(SUBSTITUTE(SUBSTITUTE(SUBSTITUTE(SUBSTITUTE(SUBSTITUTE(SUBSTITUTE(SUBSTITUTE(SUBSTITUTE(SUBSTITUTE(LOWER(W481&amp;""),CHAR(10)," "),CHAR(13)," "),CHAR(9)," "),CHAR(160)," "),"."," "),","," "),"-"," "),"/"," "),"("," "),")"," "),":"," "),";"," "),"_"," "),"–"," "),"?"," "),"!"," "),"*"," "),"["," "),"]"," "),"'"," "),"#"," "),"+"," "),"&amp;"," "),"\"," "))&amp;" "</f>
        <v>  </v>
      </c>
      <c r="BF481" s="61" t="str">
        <f aca="false">" "&amp;TRIM(SUBSTITUTE(SUBSTITUTE(SUBSTITUTE(SUBSTITUTE(SUBSTITUTE(SUBSTITUTE(SUBSTITUTE(SUBSTITUTE(SUBSTITUTE(SUBSTITUTE(SUBSTITUTE(SUBSTITUTE(SUBSTITUTE(SUBSTITUTE(SUBSTITUTE(SUBSTITUTE(SUBSTITUTE(SUBSTITUTE(SUBSTITUTE(SUBSTITUTE(SUBSTITUTE(SUBSTITUTE(SUBSTITUTE(SUBSTITUTE(LOWER(AC481&amp;""),CHAR(10)," "),CHAR(13)," "),CHAR(9)," "),CHAR(160)," "),"."," "),","," "),"-"," "),"/"," "),"("," "),")"," "),":"," "),";"," "),"_"," "),"–"," "),"?"," "),"!"," "),"*"," "),"["," "),"]"," "),"'"," "),"#"," "),"+"," "),"&amp;"," "),"\"," "))&amp;" "</f>
        <v>  </v>
      </c>
      <c r="BG481" s="61" t="n">
        <f aca="false">IFERROR(IF(AND(TRIM(U481)="Pass",SUMPRODUCT((LEN(BC481)-LEN(SUBSTITUTE(BC481," "&amp;L_ResultBad&amp;" "," ")))/(LEN(L_ResultBad)+1))&gt;SUMPRODUCT((LEN(BC481)-LEN(SUBSTITUTE(BC481," "&amp;L_NegPhrase&amp;" "," ")))/(LEN(L_NegPhrase)+1))),1,0),0)</f>
        <v>0</v>
      </c>
      <c r="BH481" s="61" t="n">
        <f aca="false">IFERROR(IF(SUMPRODUCT((LEN(BC481)-LEN(SUBSTITUTE(BC481," "&amp;L_Pending&amp;" "," ")))/(LEN(L_Pending)+1))&gt;SUMPRODUCT((LEN(BC481)-LEN(SUBSTITUTE(BC481," "&amp;L_PendNeg&amp;" "," ")))/(LEN(L_PendNeg)+1))+SUMPRODUCT((LEN(BC481)-LEN(SUBSTITUTE(BC481," "&amp;L_PendPrep&amp;" "," ")))/(LEN(L_PendPrep)+1)),1,0),1)</f>
        <v>0</v>
      </c>
      <c r="BI481" s="61" t="n">
        <f aca="false">IFERROR(IF(SUMPRODUCT((LEN(BD481)-LEN(SUBSTITUTE(BD481," "&amp;L_PendStrict&amp;" "," ")))/(LEN(L_PendStrict)+1))&gt;SUMPRODUCT((LEN(BD481)-LEN(SUBSTITUTE(BD481," "&amp;L_PendNeg&amp;" "," ")))/(LEN(L_PendNeg)+1)),1,0),1)</f>
        <v>0</v>
      </c>
      <c r="BJ481" s="61" t="n">
        <f aca="false">IFERROR(IF(SUMPRODUCT((LEN(BE481)-LEN(SUBSTITUTE(BE481," "&amp;L_Pending&amp;" "," ")))/(LEN(L_Pending)+1))&gt;SUMPRODUCT((LEN(BE481)-LEN(SUBSTITUTE(BE481," "&amp;L_PendNeg&amp;" "," ")))/(LEN(L_PendNeg)+1))+SUMPRODUCT((LEN(BE481)-LEN(SUBSTITUTE(BE481," "&amp;L_PendPrep&amp;" "," ")))/(LEN(L_PendPrep)+1)),1,0),1)</f>
        <v>0</v>
      </c>
      <c r="BK481" s="61" t="n">
        <f aca="false">IFERROR(IF(SUMPRODUCT((LEN(BF481)-LEN(SUBSTITUTE(BF481," "&amp;L_PendStrict&amp;" "," ")))/(LEN(L_PendStrict)+1))&gt;SUMPRODUCT((LEN(BF481)-LEN(SUBSTITUTE(BF481," "&amp;L_PendNeg&amp;" "," ")))/(LEN(L_PendNeg)+1)),1,0),1)</f>
        <v>0</v>
      </c>
      <c r="BL481" s="61" t="n">
        <f aca="false">IF(ISNA(MATCH(TRIM(S481),L_EvidenceType,0)),0,BZ481)</f>
        <v>0</v>
      </c>
      <c r="BM481" s="61" t="str">
        <f aca="false">SUBSTITUTE(SUBSTITUTE(SUBSTITUTE(SUBSTITUTE(SUBSTITUTE(SUBSTITUTE(SUBSTITUTE(SUBSTITUTE(SUBSTITUTE(LOWER(Z481&amp;""),"1","0"),"2","0"),"3","0"),"4","0"),"5","0"),"6","0"),"7","0"),"8","0"),"9","0")</f>
        <v/>
      </c>
      <c r="BN481" s="61" t="str">
        <f aca="false">SUBSTITUTE(SUBSTITUTE(SUBSTITUTE(SUBSTITUTE(SUBSTITUTE(SUBSTITUTE(SUBSTITUTE(SUBSTITUTE(SUBSTITUTE(SUBSTITUTE(SUBSTITUTE(SUBSTITUTE(SUBSTITUTE(SUBSTITUTE(SUBSTITUTE(SUBSTITUTE(SUBSTITUTE(SUBSTITUTE(SUBSTITUTE(SUBSTITUTE(SUBSTITUTE(SUBSTITUTE(SUBSTITUTE(SUBSTITUTE(SUBSTITUTE(BM481,"b","a"),"c","a"),"d","a"),"e","a"),"f","a"),"g","a"),"h","a"),"i","a"),"j","a"),"k","a"),"l","a"),"m","a"),"n","a"),"o","a"),"p","a"),"q","a"),"r","a"),"s","a"),"t","a"),"u","a"),"v","a"),"w","a"),"x","a"),"y","a"),"z","a")</f>
        <v/>
      </c>
      <c r="BO481" s="61" t="str">
        <f aca="false">SUBSTITUTE(SUBSTITUTE(SUBSTITUTE(SUBSTITUTE(SUBSTITUTE(SUBSTITUTE(SUBSTITUTE(SUBSTITUTE(SUBSTITUTE(LOWER(W481&amp;""),"1","0"),"2","0"),"3","0"),"4","0"),"5","0"),"6","0"),"7","0"),"8","0"),"9","0")</f>
        <v/>
      </c>
      <c r="BP481" s="61" t="str">
        <f aca="false">SUBSTITUTE(SUBSTITUTE(SUBSTITUTE(SUBSTITUTE(SUBSTITUTE(SUBSTITUTE(SUBSTITUTE(SUBSTITUTE(SUBSTITUTE(SUBSTITUTE(SUBSTITUTE(SUBSTITUTE(SUBSTITUTE(SUBSTITUTE(SUBSTITUTE(SUBSTITUTE(SUBSTITUTE(SUBSTITUTE(SUBSTITUTE(SUBSTITUTE(SUBSTITUTE(SUBSTITUTE(SUBSTITUTE(SUBSTITUTE(SUBSTITUTE(BO481,"b","a"),"c","a"),"d","a"),"e","a"),"f","a"),"g","a"),"h","a"),"i","a"),"j","a"),"k","a"),"l","a"),"m","a"),"n","a"),"o","a"),"p","a"),"q","a"),"r","a"),"s","a"),"t","a"),"u","a"),"v","a"),"w","a"),"x","a"),"y","a"),"z","a")</f>
        <v/>
      </c>
      <c r="BQ481" s="61" t="n">
        <f aca="false">IFERROR(IF(AND(ISERROR(SEARCH(" mh"," "&amp;LOWER(W481))),ISNA(MATCH(LEFT(TRIM(BP481),255),{"0000a","000a","00a","0000aa","000aa","00aa","0aa","0000aaa","000aaa","00a00","0a00","0000-0000","00:00","a00","a0","00.00.0000","00/00/0000","00-00-0000","0000-00-00","0000/00/00","0000.00.00","00.00.00","00/00/00","00-00-00","0.00.0000","0/00/0000","0-00-0000"},0)),ISNA(MATCH(LEFT(TRIM(CA481),255),{"0000a","000a","00a","0000aa","000aa","00aa","0aa","0000aaa","000aaa","00a00","0a00","0000-0000","00:00","a00","a0","00.00.0000","00/00/0000","00-00-0000","0000-00-00","0000/00/00","0000.00.00","00.00.00","00/00/00","00-00-00","0.00.0000","0/00/0000","0-00-0000"},0)),LEN(CB481)&gt;=3,NOT(OR(SUBSTITUTE(CB481,"0","")="",AND(LEN(CB481)&gt;=4,CB481=REPT(LEFT(CB481),LEN(CB481))),ISNUMBER(MATCH(CB481,{"123","1234","12345","123456","1234567","12345678","0123","01234","012345","98765","987654","54321"},0)),AND(LEN(CB481)=8,LEFT(CB481,3)="202"))),OR(AND((LEN(CA481)-LEN(SUBSTITUTE(CA481,"a","")))&gt;=1,SUMPRODUCT(--ISNUMBER(SEARCH({"a0","a-0","a_0","a/0","a.0","a#0","0a","0-a","0_a","0/a"},BP481)))&gt;0),ISNUMBER(SEARCH("000000",BP481)))),1,0),0)</f>
        <v>0</v>
      </c>
      <c r="BR481" s="61" t="n">
        <f aca="false">IFERROR(LEN(SUBSTITUTE(CC481," ",""))-SUMPRODUCT((LEN(CC481)-LEN(SUBSTITUTE(CC481," "&amp;L_Role&amp;" "," ")))/(LEN(L_Role)+1)*LEN(L_Role)),0)</f>
        <v>0</v>
      </c>
      <c r="BS481" s="61" t="n">
        <f aca="false">IFERROR(LEN(SUBSTITUTE(CD481," ",""))-SUMPRODUCT((LEN(CD481)-LEN(SUBSTITUTE(CD481," "&amp;L_Role&amp;" "," ")))/(LEN(L_Role)+1)*LEN(L_Role)),0)</f>
        <v>0</v>
      </c>
      <c r="BT4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481,"revision",""),"version",""),"jan",""),"feb",""),"mar",""),"apr",""),"may",""),"jun",""),"jul",""),"aug",""),"sep",""),"oct",""),"nov",""),"dec",""),"utc",""),"gmt",""),"myt",""),"bst",""),"rev",""),"ver",""),"b","a"),"c","a"),"d","a"),"e","a"),"f","a"),"g","a"),"h","a"),"i","a"),"j","a"),"k","a"),"l","a"),"m","a"),"n","a"),"o","a"),"p","a"),"q","a"),"r","a"),"s","a"),"t","a"),"u","a"),"v","a"),"w","a"),"x","a"),"y","a"),"z","a")</f>
        <v/>
      </c>
      <c r="BU481" s="61" t="str">
        <f aca="false">SUBSTITUTE(SUBSTITUTE(SUBSTITUTE(SUBSTITUTE(SUBSTITUTE(SUBSTITUTE(SUBSTITUTE(SUBSTITUTE(SUBSTITUTE(SUBSTITUTE(LEFT(BM481,FIND("0",BM481&amp;"0")-1),"-",""),"_",""),"/",""),".",""),"#",""),"\\",""),":","")," ",""),"(",""),")","")</f>
        <v/>
      </c>
      <c r="BV481" s="61" t="n">
        <f aca="false">0</f>
        <v>0</v>
      </c>
      <c r="BW4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481&amp;""),"a",""),"b",""),"c",""),"d",""),"e",""),"f",""),"g",""),"h",""),"i",""),"j",""),"k",""),"l",""),"m",""),"n",""),"o",""),"p",""),"q",""),"r",""),"s",""),"t",""),"u",""),"v",""),"w",""),"x",""),"y",""),"z",""),"-",""),"_",""),"/",""),".",""),"#",""),"\\",""),":","")," ",""),"(",""),")","")</f>
        <v/>
      </c>
      <c r="BX481" s="61" t="str">
        <f aca="false">SUBSTITUTE(SUBSTITUTE(SUBSTITUTE(SUBSTITUTE(SUBSTITUTE(SUBSTITUTE(SUBSTITUTE(SUBSTITUTE(SUBSTITUTE(SUBSTITUTE(SUBSTITUTE(BM481,"0",""),"-",""),"_",""),"/",""),".",""),"#",""),"\\",""),":","")," ",""),"(",""),")","")</f>
        <v/>
      </c>
      <c r="BY481" s="62" t="n">
        <f aca="false">Q481-T7EarlyD*24/24</f>
        <v>46299.4583333333</v>
      </c>
      <c r="BZ481" s="61" t="n">
        <f aca="false">IFERROR(IF(IF(TRIM(S481)="Link / file path",AND(LEN(TRIM(Z481))&gt;=5,SUMPRODUCT(--ISNUMBER(SEARCH({"http","www.","\\",":\",".pdf",".jpg",".jpeg",".png",".heic",".xls",".doc",".msg",".eml",".ppt",".txt",".zip"},Z481)))&gt;0),AND(ISERROR(FIND(" ",TRIM(Z481))),NOT(OR(SUMPRODUCT(--ISNUMBER(FIND({",",";","&amp;","+"},Z481)))&gt;0,SUMPRODUCT(--ISNUMBER(SEARCH({"0/aa","0\\aa"},BN481)))&gt;0)),NOT(SUMPRODUCT(--ISNUMBER(SEARCH({"http","www.","\\",":\",".pdf",".jpg",".jpeg",".png",".heic",".xls",".doc",".msg",".eml",".ppt",".txt",".zip"},Z481)))&gt;0),NOT(LOWER(TRIM(Z481))=LOWER(Flights!$F$19)),ISNA(MATCH(BU481,{"mh","rev","revision","ver","version","v","r","a","b","seat","tray","row","gate","bay","stand","page","pg","item","line","no","cart","galley","flight","flt","table","box","bag","oven","etd","eta","std","sta","atd","ata","qty","pax","x","time","tel","ph","mob","day","wk","week","utc","gmt","myt","lt"},0)),NOT(OR(ISNUMBER(MATCH(LEFT(BN481,255),{"0000a","000a","00a","0000aa","000aa","00aa","0aa","0000aaa","000aaa","00a00","0a00","0000-0000","00:00","a00","a0","00.00.0000","00/00/0000","00-00-0000","0000-00-00","0000/00/00","0000.00.00","00.00.00","00/00/00","00-00-00","0.00.0000","0/00/0000","0-00-0000"},0)),ISNUMBER(MATCH(LEFT(BT481,255),{"0000a","000a","00a","0000aa","000aa","00aa","0aa","0000aaa","000aaa","00a00","0a00","0000-0000","00:00","a00","a0","00.00.0000","00/00/0000","00-00-0000","0000-00-00","0000/00/00","0000.00.00","00.00.00","00/00/00","00-00-00","0.00.0000","0/00/0000","0-00-0000"},0)))),NOT(OR(AND(BW481&lt;&gt;"",SUBSTITUTE(BW481,"0","")=""),AND(LEN(BW481)&gt;=4,BW481=REPT(LEFT(BW481),LEN(BW481))),ISNUMBER(MATCH(BW481,{"123","1234","12345","123456","1234567","12345678","0123","01234","012345","98765","987654","54321"},0)),ISNUMBER(MATCH(BX481,{"x","xx","xxx","xxxx","xxxxx","abc","abcd","nil","na","nan","test","tbc","tba","tbd","dummy","sample","example","eg","zz","zzz","none","null","xyz","qwe","asd","id","ref"},0)),AND(LEN(BW481)=8,BX481="",OR(LEFT(BW481,3)="202",ISNUMBER(MATCH(RIGHT(BW481,4),{"2025","2026","2027"},0)))))),OR(AND((LEN(BT481)-LEN(SUBSTITUTE(BT481,"a","")))&gt;=1,(LEN(BN481)-LEN(SUBSTITUTE(BN481,"0","")))&gt;=2,SUMPRODUCT(--ISNUMBER(SEARCH({"a0","a-0","a_0","a/0","a.0","a#0","0a","0-a","0_a","0/a"},BN481)))&gt;0),AND((LEN(BN481)-LEN(SUBSTITUTE(BN481,"a","")))=0,(LEN(BN481)-LEN(SUBSTITUTE(BN481,"0","")))&gt;=5)))),1,0),0)</f>
        <v>0</v>
      </c>
      <c r="CA4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481,"revision",""),"version",""),"jan",""),"feb",""),"mar",""),"apr",""),"may",""),"jun",""),"jul",""),"aug",""),"sep",""),"oct",""),"nov",""),"dec",""),"utc",""),"gmt",""),"myt",""),"bst",""),"rev",""),"ver",""),"b","a"),"c","a"),"d","a"),"e","a"),"f","a"),"g","a"),"h","a"),"i","a"),"j","a"),"k","a"),"l","a"),"m","a"),"n","a"),"o","a"),"p","a"),"q","a"),"r","a"),"s","a"),"t","a"),"u","a"),"v","a"),"w","a"),"x","a"),"y","a"),"z","a")</f>
        <v/>
      </c>
      <c r="CB4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481&amp;""),"a",""),"b",""),"c",""),"d",""),"e",""),"f",""),"g",""),"h",""),"i",""),"j",""),"k",""),"l",""),"m",""),"n",""),"o",""),"p",""),"q",""),"r",""),"s",""),"t",""),"u",""),"v",""),"w",""),"x",""),"y",""),"z",""),"-",""),"_",""),"/",""),".",""),"#",""),"\\",""),":","")," ",""),"(",""),")","")</f>
        <v/>
      </c>
      <c r="CC481" s="0" t="str">
        <f aca="false">" "&amp;TRIM(SUBSTITUTE(SUBSTITUTE(SUBSTITUTE(SUBSTITUTE(SUBSTITUTE(SUBSTITUTE(SUBSTITUTE(SUBSTITUTE(SUBSTITUTE(SUBSTITUTE(SUBSTITUTE(SUBSTITUTE(SUBSTITUTE(SUBSTITUTE(SUBSTITUTE(SUBSTITUTE(SUBSTITUTE(SUBSTITUTE(SUBSTITUTE(SUBSTITUTE(SUBSTITUTE(SUBSTITUTE(SUBSTITUTE(SUBSTITUTE(LOWER(T481&amp;""),CHAR(10)," "),CHAR(13)," "),CHAR(9)," "),CHAR(160)," "),"."," "),","," "),"-"," "),"/"," "),"("," "),")"," "),":"," "),";"," "),"_"," "),"–"," "),"?"," "),"!"," "),"*"," "),"["," "),"]"," "),"'"," "),"#"," "),"+"," "),"&amp;"," "),"\"," "))&amp;" "</f>
        <v>  </v>
      </c>
      <c r="CD481" s="0" t="str">
        <f aca="false">" "&amp;TRIM(SUBSTITUTE(SUBSTITUTE(SUBSTITUTE(SUBSTITUTE(SUBSTITUTE(SUBSTITUTE(SUBSTITUTE(SUBSTITUTE(SUBSTITUTE(SUBSTITUTE(SUBSTITUTE(SUBSTITUTE(SUBSTITUTE(SUBSTITUTE(SUBSTITUTE(SUBSTITUTE(SUBSTITUTE(SUBSTITUTE(SUBSTITUTE(SUBSTITUTE(SUBSTITUTE(SUBSTITUTE(SUBSTITUTE(SUBSTITUTE(LOWER(AE481&amp;""),CHAR(10)," "),CHAR(13)," "),CHAR(9)," "),CHAR(160)," "),"."," "),","," "),"-"," "),"/"," "),"("," "),")"," "),":"," "),";"," "),"_"," "),"–"," "),"?"," "),"!"," "),"*"," "),"["," "),"]"," "),"'"," "),"#"," "),"+"," "),"&amp;"," "),"\"," "))&amp;" "</f>
        <v>  </v>
      </c>
      <c r="CE481" s="68" t="n">
        <f aca="false">IFERROR(IF(AND(LEN(AU481)&gt;0,LEN(AU481)=LEN(AX481),OR(TRIM(MID(SUBSTITUTE(TRIM(CC481)," ",REPT(" ",60)),1,60))="",ISNUMBER(SEARCH(" "&amp;TRIM(MID(SUBSTITUTE(TRIM(CC481)," ",REPT(" ",60)),1,60))&amp;" ",CD481))),OR(TRIM(MID(SUBSTITUTE(TRIM(CC481)," ",REPT(" ",60)),61,60))="",ISNUMBER(SEARCH(" "&amp;TRIM(MID(SUBSTITUTE(TRIM(CC481)," ",REPT(" ",60)),61,60))&amp;" ",CD481))),OR(TRIM(MID(SUBSTITUTE(TRIM(CC481)," ",REPT(" ",60)),121,60))="",ISNUMBER(SEARCH(" "&amp;TRIM(MID(SUBSTITUTE(TRIM(CC481)," ",REPT(" ",60)),121,60))&amp;" ",CD481)))),1,0),0)</f>
        <v>0</v>
      </c>
      <c r="CG481" s="68" t="n">
        <f aca="false">IFERROR(LEN(SUBSTITUTE(BF481," ",""))-SUMPRODUCT((LEN(BF481)-LEN(SUBSTITUTE(BF481," "&amp;L_NAFiller&amp;" "," ")))/(LEN(L_NAFiller)+1)*LEN(L_NAFiller)),0)</f>
        <v>0</v>
      </c>
    </row>
    <row r="482" customFormat="false" ht="39.75" hidden="false" customHeight="true" outlineLevel="0" collapsed="false">
      <c r="A482" s="57" t="s">
        <v>1133</v>
      </c>
      <c r="B482" s="57" t="s">
        <v>278</v>
      </c>
      <c r="C482" s="57" t="str">
        <f aca="false">Flights!$F$19</f>
        <v>MH0003</v>
      </c>
      <c r="D482" s="58" t="n">
        <f aca="false">Flights!$D$19</f>
        <v>46320</v>
      </c>
      <c r="E482" s="57" t="str">
        <f aca="false">Flights!$G$19&amp;"-"&amp;Flights!$H$19</f>
        <v>LHR-KUL</v>
      </c>
      <c r="F482" s="57" t="str">
        <f aca="false">Flights!$K$19</f>
        <v>EY</v>
      </c>
      <c r="G482" s="57" t="s">
        <v>81</v>
      </c>
      <c r="H482" s="57" t="s">
        <v>378</v>
      </c>
      <c r="I482" s="57" t="s">
        <v>385</v>
      </c>
      <c r="J482" s="57" t="s">
        <v>386</v>
      </c>
      <c r="K482" s="67" t="s">
        <v>387</v>
      </c>
      <c r="L482" s="67" t="s">
        <v>382</v>
      </c>
      <c r="M482" s="67"/>
      <c r="N482" s="67" t="s">
        <v>383</v>
      </c>
      <c r="O482" s="67"/>
      <c r="P482" s="57" t="s">
        <v>186</v>
      </c>
      <c r="Q482" s="59" t="n">
        <f aca="false">ROUND((Flights!$AC$19)*1440,0)/1440</f>
        <v>46313.4583333333</v>
      </c>
      <c r="R482" s="59" t="n">
        <f aca="false">Q482+(IF(AND(INDEX(TZ_DSTS,MATCH(P482,TZ_STN,0))&lt;&gt;"",Q482&gt;=INDEX(TZ_DSTS,MATCH(P482,TZ_STN,0)),Q482&lt;INDEX(TZ_DSTE,MATCH(P482,TZ_STN,0))),INDEX(TZ_DST,MATCH(P482,TZ_STN,0)),INDEX(TZ_STD,MATCH(P482,TZ_STN,0))))/24</f>
        <v>46313.5</v>
      </c>
      <c r="S482" s="60"/>
      <c r="T482" s="60"/>
      <c r="U482" s="60"/>
      <c r="V482" s="60"/>
      <c r="W482" s="61"/>
      <c r="X482" s="60"/>
      <c r="Y482" s="60"/>
      <c r="Z482" s="60"/>
      <c r="AA482" s="60"/>
      <c r="AB482" s="60"/>
      <c r="AC482" s="60"/>
      <c r="AD482" s="66"/>
      <c r="AE482" s="60"/>
      <c r="AF482" s="61" t="str">
        <f aca="false">IF(AND(ISNUMBER(X482),ISNUMBER(Y482)),Y482-X482,"")</f>
        <v/>
      </c>
      <c r="AG482" s="62" t="str">
        <f aca="false">IF(ISNUMBER(AD482),AD482-(IF(AND(INDEX(TZ_DSTS,MATCH(P482,TZ_STN,0))&lt;&gt;"",(AD482-INDEX(TZ_STD,MATCH(P482,TZ_STN,0))/24)&gt;=INDEX(TZ_DSTS,MATCH(P482,TZ_STN,0)),(AD482-INDEX(TZ_STD,MATCH(P482,TZ_STN,0))/24)&lt;INDEX(TZ_DSTE,MATCH(P482,TZ_STN,0))),INDEX(TZ_DST,MATCH(P482,TZ_STN,0)),INDEX(TZ_STD,MATCH(P482,TZ_STN,0))))/24,"")</f>
        <v/>
      </c>
      <c r="AH482" s="65" t="str">
        <f aca="false">IFERROR(IF(N482="N/A – rule",IF(OR(TRIM(U482)="",TRIM(U482)="N/A",TRIM(U482)="Not started"),"N/A – RULE","INVALID – this check does not apply to this aircraft: clear the status (or correct the fleet on Flights)"),IF(TRIM(U482)="N/A",IF(AT482=0,"INVALID – N/A not permitted for this check",IF(AND(TRIM(AB482)&lt;&gt;"",TRIM(AB482)&lt;&gt;"Closed"),"INVALID – corrective action still open",IF(AND(NOT(OR(LEN(AZ482)&lt;15,ISNUMBER(MATCH(AZ482,L_Placeholder,0)))),BK482=0,CG482&gt;=8,NOT(OR(LEN(AU482)&lt;2,ISNUMBER(MATCH(AU482,L_Placeholder,0)))),BR482&gt;=3,NOT(OR(LEN(AX482)&lt;2,ISNUMBER(MATCH(AX482,L_Placeholder,0)))),BS482&gt;=3,TRIM(AE482)&lt;&gt;TRIM(T482),AX482&lt;&gt;AU482,CE482=0),"N/A – JUSTIFIED","INVALID – N/A needs a real, settled reason (not 'not applicable' / 'as above' / TBC), a named PIC and a different named verifier"))),IF(OR(TRIM(U482)="Pass",TRIM(U482)="Pass after CA"),IF(NOT(ISNUMBER(AD482)),"INVALID – completion time missing",IF(OR(OR(LEN(AU482)&lt;2,ISNUMBER(MATCH(AU482,L_Placeholder,0))),BR482&lt;3),"INVALID – PIC missing or not a named person (a role such as QA / CSM is not a name)",IF(OR(LEN(AV482)&lt;2,ISNUMBER(MATCH(AV482,L_Placeholder,0))),"INVALID – result / assessment missing",IF(OR(OR(LEN(AW482)&lt;3,ISNUMBER(MATCH(AW482,L_Placeholder,0))),SUMPRODUCT(--ISNUMBER(SEARCH(" "&amp;L_EvidencePhrase&amp;" ",BD482)))&gt;0,BI482=1),"INVALID – evidence missing, placeholder or not yet on file",IF(ISNA(MATCH(TRIM(S482),L_EvidenceType,0)),"INVALID – choose the evidence type from the list (column S)",IF(BL482=0,"INVALID – evidence ID must be the record's own ID only (e.g. SF-2210, IMG_2231, 1045521); a link / file name needs type 'Link / file path'",IF(OR(OR(LEN(AX482)&lt;2,ISNUMBER(MATCH(AX482,L_Placeholder,0))),BS482&lt;3),"INVALID – verifier missing or not a named person (a role such as QA / CSM is not a name)",IF(OR(AX482=AU482,CE482=1,AND(LEN(AU482)&gt;=4,ISNUMBER(SEARCH(AU482,AX482))),AND(LEN(AX482)&gt;=4,ISNUMBER(SEARCH(AX482,AU482)))),"INVALID – verifier must be a different, named person (not the PIC or a role)",IF(BH482=1,"INVALID – result not yet available (awaiting / TBC)",IF(BG482=1,"INVALID – result describes a problem: record Fail, then Pass after CA (or reword if it is not a problem)",IF(BV482=1,"INVALID – wording says not on board: an on-board confirmation needs the item loaded",IF(AND(AQ482=1,OR(OR(LEN(AY482)&lt;3,ISNUMBER(MATCH(AY482,L_Placeholder,0))),BJ482=1,BQ482=0)),"INVALID – batch ID missing, placeholder or not an ID (e.g. PASB-261008-BC-017)",IF(AND(AR482=1,OR(NOT(ISNUMBER(X482)),NOT(ISNUMBER(Y482)))),"INVALID – expected/actual qty missing",IF(AND(AR482=1,OR(X482&lt;=0,Y482&lt;0)),"INVALID – expected qty must be above 0 and actual not negative",IF(BB482&lt;&gt;"",BB482,IF(AND(AS482=1,Documents!$J$19&lt;&gt;"ON FILE"),"INVALID – GLD not on file (Documents sheet)",IF(AND(AS482=2,Documents!$O$19&lt;&gt;"ON FILE"),"INVALID – menu checklist not on file (Documents sheet)",IF(AND(AS482=3,NOT(ISNUMBER(Flights!$AX$19))),"INVALID – enter carrying flight KUL departure (Flights AX)",IF(AND(AS482=3,OR(Flights!$AZ$19&gt;Flights!$AA$19,Flights!$AX$19&lt;Flights!$AA$19-3)),"INVALID – carrying flight (Flights AX) cannot arrive before this leg's STD, or is over 3 days early",IF(AG482&gt;AsOfUTC,"INVALID – completion time is in the future",IF(AND(ISNUMBER(BY482),AG482&lt;BY482),IF(H482="Physical uplift","INVALID – before uplift window (cannot confirm loading)","INVALID – before valid window"),IF(AG482&gt;Flights!$AA$19,"INVALID – completed after departure (cannot establish readiness)",IF(AND(H482="Preparation",AG482&gt;=IF(ISNUMBER(Flights!$BA$19),MIN(Flights!$BA$19,Flights!$AA$19),Flights!$AA$19)),"INVALID – completed after loading / departure (cannot establish readiness)",IF(AND(H482="Physical uplift",AG482&gt;Q482),"INVALID – recorded after the loading flight departed",IF(AG482&gt;Q482,"COMPLETE – LATE","COMPLETE"))))))))))))))))))))))))),IF(TRIM(U482)="Fail","FAIL – DISCREPANCY",IF(AND(TRIM(U482)&lt;&gt;"",TRIM(U482)&lt;&gt;"Not started",TRIM(U482)&lt;&gt;"In progress"),"INVALID – unrecognised status (use the list)",IF(AsOfUTC&gt;Q482,"OVERDUE",IF(N482="Clarification required","OPEN – CLARIFICATION","OPEN"))))))),"INVALID – error value in an input cell")</f>
        <v>OPEN</v>
      </c>
      <c r="AI482" s="61" t="n">
        <f aca="false">IF(OR(AH482="N/A – RULE",AH482="N/A – JUSTIFIED"),0,1)</f>
        <v>1</v>
      </c>
      <c r="AJ482" s="61" t="n">
        <f aca="false">IF(LEFT(AH482,8)="COMPLETE",1,0)</f>
        <v>0</v>
      </c>
      <c r="AK482" s="61" t="n">
        <f aca="false">IF(AND(AI482=1,AJ482=0,AsOfUTC&gt;Q482),1,0)</f>
        <v>0</v>
      </c>
      <c r="AL482" s="61" t="n">
        <f aca="false">IFERROR(IF(AND(AI482=1,OR(TRIM(U482)="Fail",AND(TRIM(AB482)&lt;&gt;"",TRIM(AB482)&lt;&gt;"Closed"),AND(ISNUMBER(AF482),AF482&lt;&gt;0,TRIM(U482)&lt;&gt;"Pass after CA"))),1,0),1)</f>
        <v>0</v>
      </c>
      <c r="AM482" s="61" t="n">
        <f aca="false">IF(LEFT(AH482,7)="INVALID",1,0)</f>
        <v>0</v>
      </c>
      <c r="AN482" s="61" t="n">
        <f aca="false">IF(AND(N482="Clarification required",AI482=1,AJ482=0),1,0)</f>
        <v>0</v>
      </c>
      <c r="AO482" s="61" t="str">
        <f aca="false">IF(AK482=1,SUM(AK$5:AK482),"")</f>
        <v/>
      </c>
      <c r="AP482" s="61" t="str">
        <f aca="false">IF(AL482=1,SUM(AL$5:AL482),"")</f>
        <v/>
      </c>
      <c r="AQ482" s="61" t="n">
        <v>0</v>
      </c>
      <c r="AR482" s="61" t="n">
        <v>0</v>
      </c>
      <c r="AS482" s="61" t="n">
        <v>0</v>
      </c>
      <c r="AT482" s="61" t="n">
        <v>0</v>
      </c>
      <c r="AU482" s="61" t="str">
        <f aca="false">SUBSTITUTE(SUBSTITUTE(SUBSTITUTE(SUBSTITUTE(SUBSTITUTE(SUBSTITUTE(SUBSTITUTE(SUBSTITUTE(SUBSTITUTE(SUBSTITUTE(SUBSTITUTE(SUBSTITUTE(SUBSTITUTE(SUBSTITUTE(SUBSTITUTE(SUBSTITUTE(LOWER(T482&amp;""),CHAR(10),""),CHAR(13),""),CHAR(9),""),CHAR(160),"")," ",""),".",""),"-",""),"/",""),"?",""),"_",""),",",""),"[",""),"]",""),"(",""),")",""),"*","")</f>
        <v/>
      </c>
      <c r="AV482" s="61" t="str">
        <f aca="false">SUBSTITUTE(SUBSTITUTE(SUBSTITUTE(SUBSTITUTE(SUBSTITUTE(SUBSTITUTE(SUBSTITUTE(SUBSTITUTE(SUBSTITUTE(SUBSTITUTE(SUBSTITUTE(SUBSTITUTE(SUBSTITUTE(SUBSTITUTE(SUBSTITUTE(SUBSTITUTE(LOWER(V482&amp;""),CHAR(10),""),CHAR(13),""),CHAR(9),""),CHAR(160),"")," ",""),".",""),"-",""),"/",""),"?",""),"_",""),",",""),"[",""),"]",""),"(",""),")",""),"*","")</f>
        <v/>
      </c>
      <c r="AW482" s="61" t="str">
        <f aca="false">SUBSTITUTE(SUBSTITUTE(SUBSTITUTE(SUBSTITUTE(SUBSTITUTE(SUBSTITUTE(SUBSTITUTE(SUBSTITUTE(SUBSTITUTE(SUBSTITUTE(SUBSTITUTE(SUBSTITUTE(SUBSTITUTE(SUBSTITUTE(SUBSTITUTE(SUBSTITUTE(LOWER(Z482&amp;""),CHAR(10),""),CHAR(13),""),CHAR(9),""),CHAR(160),"")," ",""),".",""),"-",""),"/",""),"?",""),"_",""),",",""),"[",""),"]",""),"(",""),")",""),"*","")</f>
        <v/>
      </c>
      <c r="AX482" s="61" t="str">
        <f aca="false">SUBSTITUTE(SUBSTITUTE(SUBSTITUTE(SUBSTITUTE(SUBSTITUTE(SUBSTITUTE(SUBSTITUTE(SUBSTITUTE(SUBSTITUTE(SUBSTITUTE(SUBSTITUTE(SUBSTITUTE(SUBSTITUTE(SUBSTITUTE(SUBSTITUTE(SUBSTITUTE(LOWER(AE482&amp;""),CHAR(10),""),CHAR(13),""),CHAR(9),""),CHAR(160),"")," ",""),".",""),"-",""),"/",""),"?",""),"_",""),",",""),"[",""),"]",""),"(",""),")",""),"*","")</f>
        <v/>
      </c>
      <c r="AY482" s="61" t="str">
        <f aca="false">SUBSTITUTE(SUBSTITUTE(SUBSTITUTE(SUBSTITUTE(SUBSTITUTE(SUBSTITUTE(SUBSTITUTE(SUBSTITUTE(SUBSTITUTE(SUBSTITUTE(SUBSTITUTE(SUBSTITUTE(SUBSTITUTE(SUBSTITUTE(SUBSTITUTE(SUBSTITUTE(LOWER(W482&amp;""),CHAR(10),""),CHAR(13),""),CHAR(9),""),CHAR(160),"")," ",""),".",""),"-",""),"/",""),"?",""),"_",""),",",""),"[",""),"]",""),"(",""),")",""),"*","")</f>
        <v/>
      </c>
      <c r="AZ482" s="61" t="str">
        <f aca="false">SUBSTITUTE(SUBSTITUTE(SUBSTITUTE(SUBSTITUTE(SUBSTITUTE(SUBSTITUTE(SUBSTITUTE(SUBSTITUTE(SUBSTITUTE(SUBSTITUTE(SUBSTITUTE(SUBSTITUTE(SUBSTITUTE(SUBSTITUTE(SUBSTITUTE(SUBSTITUTE(LOWER(AC482&amp;""),CHAR(10),""),CHAR(13),""),CHAR(9),""),CHAR(160),"")," ",""),".",""),"-",""),"/",""),"?",""),"_",""),",",""),"[",""),"]",""),"(",""),")",""),"*","")</f>
        <v/>
      </c>
      <c r="BA482" s="61" t="str">
        <f aca="false">SUBSTITUTE(SUBSTITUTE(SUBSTITUTE(SUBSTITUTE(SUBSTITUTE(SUBSTITUTE(SUBSTITUTE(SUBSTITUTE(SUBSTITUTE(SUBSTITUTE(SUBSTITUTE(SUBSTITUTE(SUBSTITUTE(SUBSTITUTE(SUBSTITUTE(SUBSTITUTE(LOWER(AA482&amp;""),CHAR(10),""),CHAR(13),""),CHAR(9),""),CHAR(160),"")," ",""),".",""),"-",""),"/",""),"?",""),"_",""),",",""),"[",""),"]",""),"(",""),")",""),"*","")</f>
        <v/>
      </c>
      <c r="BB482" s="61" t="str">
        <f aca="false">IF(AND(TRIM(U482)="Pass",ISNUMBER(AF482)),IF(AF482&lt;&gt;0,"INVALID – qty variance: use Fail or Pass after CA",""),"")&amp;IF(AND(TRIM(U482)="Pass after CA",ISNUMBER(AF482)),IF(AF482&lt;&gt;0,"INVALID – after the corrective action the actual qty must equal expected (update Actual)",""),"")&amp;IF(AND(TRIM(U482)="Pass",TRIM(AB482)&lt;&gt;"",TRIM(AB482)&lt;&gt;"Closed"),"INVALID – corrective action not closed: use Fail, then Pass after CA","")&amp;IF(AND(LEN(BA482)&gt;=2,ISNA(MATCH(LEFT(BA482,255),L_Placeholder,0)),TRIM(AB482)=""),"INVALID – CA status missing for the recorded corrective action","")&amp;IF(AND(TRIM(U482)="Pass after CA",OR(OR(LEN(BA482)&lt;5,ISNUMBER(MATCH(BA482,L_Placeholder,0))),TRIM(AB482)&lt;&gt;"Closed")),"INVALID – corrective action not recorded/closed","")</f>
        <v/>
      </c>
      <c r="BC482" s="61" t="str">
        <f aca="false">" "&amp;TRIM(SUBSTITUTE(SUBSTITUTE(SUBSTITUTE(SUBSTITUTE(SUBSTITUTE(SUBSTITUTE(SUBSTITUTE(SUBSTITUTE(SUBSTITUTE(SUBSTITUTE(SUBSTITUTE(SUBSTITUTE(SUBSTITUTE(SUBSTITUTE(SUBSTITUTE(SUBSTITUTE(SUBSTITUTE(SUBSTITUTE(SUBSTITUTE(SUBSTITUTE(SUBSTITUTE(SUBSTITUTE(SUBSTITUTE(SUBSTITUTE(LOWER(V482&amp;""),CHAR(10)," "),CHAR(13)," "),CHAR(9)," "),CHAR(160)," "),"."," "),","," "),"-"," "),"/"," "),"("," "),")"," "),":"," "),";"," "),"_"," "),"–"," "),"?"," "),"!"," "),"*"," "),"["," "),"]"," "),"'"," "),"#"," "),"+"," "),"&amp;"," "),"\"," "))&amp;" "</f>
        <v>  </v>
      </c>
      <c r="BD482" s="61" t="str">
        <f aca="false">" "&amp;TRIM(SUBSTITUTE(SUBSTITUTE(SUBSTITUTE(SUBSTITUTE(SUBSTITUTE(SUBSTITUTE(SUBSTITUTE(SUBSTITUTE(SUBSTITUTE(SUBSTITUTE(SUBSTITUTE(SUBSTITUTE(SUBSTITUTE(SUBSTITUTE(SUBSTITUTE(SUBSTITUTE(SUBSTITUTE(SUBSTITUTE(SUBSTITUTE(SUBSTITUTE(SUBSTITUTE(SUBSTITUTE(SUBSTITUTE(SUBSTITUTE(LOWER(Z482&amp;""),CHAR(10)," "),CHAR(13)," "),CHAR(9)," "),CHAR(160)," "),"."," "),","," "),"-"," "),"/"," "),"("," "),")"," "),":"," "),";"," "),"_"," "),"–"," "),"?"," "),"!"," "),"*"," "),"["," "),"]"," "),"'"," "),"#"," "),"+"," "),"&amp;"," "),"\"," "))&amp;" "</f>
        <v>  </v>
      </c>
      <c r="BE482" s="61" t="str">
        <f aca="false">" "&amp;TRIM(SUBSTITUTE(SUBSTITUTE(SUBSTITUTE(SUBSTITUTE(SUBSTITUTE(SUBSTITUTE(SUBSTITUTE(SUBSTITUTE(SUBSTITUTE(SUBSTITUTE(SUBSTITUTE(SUBSTITUTE(SUBSTITUTE(SUBSTITUTE(SUBSTITUTE(SUBSTITUTE(SUBSTITUTE(SUBSTITUTE(SUBSTITUTE(SUBSTITUTE(SUBSTITUTE(SUBSTITUTE(SUBSTITUTE(SUBSTITUTE(LOWER(W482&amp;""),CHAR(10)," "),CHAR(13)," "),CHAR(9)," "),CHAR(160)," "),"."," "),","," "),"-"," "),"/"," "),"("," "),")"," "),":"," "),";"," "),"_"," "),"–"," "),"?"," "),"!"," "),"*"," "),"["," "),"]"," "),"'"," "),"#"," "),"+"," "),"&amp;"," "),"\"," "))&amp;" "</f>
        <v>  </v>
      </c>
      <c r="BF482" s="61" t="str">
        <f aca="false">" "&amp;TRIM(SUBSTITUTE(SUBSTITUTE(SUBSTITUTE(SUBSTITUTE(SUBSTITUTE(SUBSTITUTE(SUBSTITUTE(SUBSTITUTE(SUBSTITUTE(SUBSTITUTE(SUBSTITUTE(SUBSTITUTE(SUBSTITUTE(SUBSTITUTE(SUBSTITUTE(SUBSTITUTE(SUBSTITUTE(SUBSTITUTE(SUBSTITUTE(SUBSTITUTE(SUBSTITUTE(SUBSTITUTE(SUBSTITUTE(SUBSTITUTE(LOWER(AC482&amp;""),CHAR(10)," "),CHAR(13)," "),CHAR(9)," "),CHAR(160)," "),"."," "),","," "),"-"," "),"/"," "),"("," "),")"," "),":"," "),";"," "),"_"," "),"–"," "),"?"," "),"!"," "),"*"," "),"["," "),"]"," "),"'"," "),"#"," "),"+"," "),"&amp;"," "),"\"," "))&amp;" "</f>
        <v>  </v>
      </c>
      <c r="BG482" s="61" t="n">
        <f aca="false">IFERROR(IF(AND(TRIM(U482)="Pass",SUMPRODUCT((LEN(BC482)-LEN(SUBSTITUTE(BC482," "&amp;L_ResultBad&amp;" "," ")))/(LEN(L_ResultBad)+1))&gt;SUMPRODUCT((LEN(BC482)-LEN(SUBSTITUTE(BC482," "&amp;L_NegPhrase&amp;" "," ")))/(LEN(L_NegPhrase)+1))),1,0),0)</f>
        <v>0</v>
      </c>
      <c r="BH482" s="61" t="n">
        <f aca="false">IFERROR(IF(SUMPRODUCT((LEN(BC482)-LEN(SUBSTITUTE(BC482," "&amp;L_Pending&amp;" "," ")))/(LEN(L_Pending)+1))&gt;SUMPRODUCT((LEN(BC482)-LEN(SUBSTITUTE(BC482," "&amp;L_PendNeg&amp;" "," ")))/(LEN(L_PendNeg)+1))+SUMPRODUCT((LEN(BC482)-LEN(SUBSTITUTE(BC482," "&amp;L_PendPrep&amp;" "," ")))/(LEN(L_PendPrep)+1)),1,0),1)</f>
        <v>0</v>
      </c>
      <c r="BI482" s="61" t="n">
        <f aca="false">IFERROR(IF(SUMPRODUCT((LEN(BD482)-LEN(SUBSTITUTE(BD482," "&amp;L_PendStrict&amp;" "," ")))/(LEN(L_PendStrict)+1))&gt;SUMPRODUCT((LEN(BD482)-LEN(SUBSTITUTE(BD482," "&amp;L_PendNeg&amp;" "," ")))/(LEN(L_PendNeg)+1)),1,0),1)</f>
        <v>0</v>
      </c>
      <c r="BJ482" s="61" t="n">
        <f aca="false">IFERROR(IF(SUMPRODUCT((LEN(BE482)-LEN(SUBSTITUTE(BE482," "&amp;L_Pending&amp;" "," ")))/(LEN(L_Pending)+1))&gt;SUMPRODUCT((LEN(BE482)-LEN(SUBSTITUTE(BE482," "&amp;L_PendNeg&amp;" "," ")))/(LEN(L_PendNeg)+1))+SUMPRODUCT((LEN(BE482)-LEN(SUBSTITUTE(BE482," "&amp;L_PendPrep&amp;" "," ")))/(LEN(L_PendPrep)+1)),1,0),1)</f>
        <v>0</v>
      </c>
      <c r="BK482" s="61" t="n">
        <f aca="false">IFERROR(IF(SUMPRODUCT((LEN(BF482)-LEN(SUBSTITUTE(BF482," "&amp;L_PendStrict&amp;" "," ")))/(LEN(L_PendStrict)+1))&gt;SUMPRODUCT((LEN(BF482)-LEN(SUBSTITUTE(BF482," "&amp;L_PendNeg&amp;" "," ")))/(LEN(L_PendNeg)+1)),1,0),1)</f>
        <v>0</v>
      </c>
      <c r="BL482" s="61" t="n">
        <f aca="false">IF(ISNA(MATCH(TRIM(S482),L_EvidenceType,0)),0,BZ482)</f>
        <v>0</v>
      </c>
      <c r="BM482" s="61" t="str">
        <f aca="false">SUBSTITUTE(SUBSTITUTE(SUBSTITUTE(SUBSTITUTE(SUBSTITUTE(SUBSTITUTE(SUBSTITUTE(SUBSTITUTE(SUBSTITUTE(LOWER(Z482&amp;""),"1","0"),"2","0"),"3","0"),"4","0"),"5","0"),"6","0"),"7","0"),"8","0"),"9","0")</f>
        <v/>
      </c>
      <c r="BN482" s="61" t="str">
        <f aca="false">SUBSTITUTE(SUBSTITUTE(SUBSTITUTE(SUBSTITUTE(SUBSTITUTE(SUBSTITUTE(SUBSTITUTE(SUBSTITUTE(SUBSTITUTE(SUBSTITUTE(SUBSTITUTE(SUBSTITUTE(SUBSTITUTE(SUBSTITUTE(SUBSTITUTE(SUBSTITUTE(SUBSTITUTE(SUBSTITUTE(SUBSTITUTE(SUBSTITUTE(SUBSTITUTE(SUBSTITUTE(SUBSTITUTE(SUBSTITUTE(SUBSTITUTE(BM482,"b","a"),"c","a"),"d","a"),"e","a"),"f","a"),"g","a"),"h","a"),"i","a"),"j","a"),"k","a"),"l","a"),"m","a"),"n","a"),"o","a"),"p","a"),"q","a"),"r","a"),"s","a"),"t","a"),"u","a"),"v","a"),"w","a"),"x","a"),"y","a"),"z","a")</f>
        <v/>
      </c>
      <c r="BO482" s="61" t="str">
        <f aca="false">SUBSTITUTE(SUBSTITUTE(SUBSTITUTE(SUBSTITUTE(SUBSTITUTE(SUBSTITUTE(SUBSTITUTE(SUBSTITUTE(SUBSTITUTE(LOWER(W482&amp;""),"1","0"),"2","0"),"3","0"),"4","0"),"5","0"),"6","0"),"7","0"),"8","0"),"9","0")</f>
        <v/>
      </c>
      <c r="BP482" s="61" t="str">
        <f aca="false">SUBSTITUTE(SUBSTITUTE(SUBSTITUTE(SUBSTITUTE(SUBSTITUTE(SUBSTITUTE(SUBSTITUTE(SUBSTITUTE(SUBSTITUTE(SUBSTITUTE(SUBSTITUTE(SUBSTITUTE(SUBSTITUTE(SUBSTITUTE(SUBSTITUTE(SUBSTITUTE(SUBSTITUTE(SUBSTITUTE(SUBSTITUTE(SUBSTITUTE(SUBSTITUTE(SUBSTITUTE(SUBSTITUTE(SUBSTITUTE(SUBSTITUTE(BO482,"b","a"),"c","a"),"d","a"),"e","a"),"f","a"),"g","a"),"h","a"),"i","a"),"j","a"),"k","a"),"l","a"),"m","a"),"n","a"),"o","a"),"p","a"),"q","a"),"r","a"),"s","a"),"t","a"),"u","a"),"v","a"),"w","a"),"x","a"),"y","a"),"z","a")</f>
        <v/>
      </c>
      <c r="BQ482" s="61" t="n">
        <f aca="false">IFERROR(IF(AND(ISERROR(SEARCH(" mh"," "&amp;LOWER(W482))),ISNA(MATCH(LEFT(TRIM(BP482),255),{"0000a","000a","00a","0000aa","000aa","00aa","0aa","0000aaa","000aaa","00a00","0a00","0000-0000","00:00","a00","a0","00.00.0000","00/00/0000","00-00-0000","0000-00-00","0000/00/00","0000.00.00","00.00.00","00/00/00","00-00-00","0.00.0000","0/00/0000","0-00-0000"},0)),ISNA(MATCH(LEFT(TRIM(CA482),255),{"0000a","000a","00a","0000aa","000aa","00aa","0aa","0000aaa","000aaa","00a00","0a00","0000-0000","00:00","a00","a0","00.00.0000","00/00/0000","00-00-0000","0000-00-00","0000/00/00","0000.00.00","00.00.00","00/00/00","00-00-00","0.00.0000","0/00/0000","0-00-0000"},0)),LEN(CB482)&gt;=3,NOT(OR(SUBSTITUTE(CB482,"0","")="",AND(LEN(CB482)&gt;=4,CB482=REPT(LEFT(CB482),LEN(CB482))),ISNUMBER(MATCH(CB482,{"123","1234","12345","123456","1234567","12345678","0123","01234","012345","98765","987654","54321"},0)),AND(LEN(CB482)=8,LEFT(CB482,3)="202"))),OR(AND((LEN(CA482)-LEN(SUBSTITUTE(CA482,"a","")))&gt;=1,SUMPRODUCT(--ISNUMBER(SEARCH({"a0","a-0","a_0","a/0","a.0","a#0","0a","0-a","0_a","0/a"},BP482)))&gt;0),ISNUMBER(SEARCH("000000",BP482)))),1,0),0)</f>
        <v>0</v>
      </c>
      <c r="BR482" s="61" t="n">
        <f aca="false">IFERROR(LEN(SUBSTITUTE(CC482," ",""))-SUMPRODUCT((LEN(CC482)-LEN(SUBSTITUTE(CC482," "&amp;L_Role&amp;" "," ")))/(LEN(L_Role)+1)*LEN(L_Role)),0)</f>
        <v>0</v>
      </c>
      <c r="BS482" s="61" t="n">
        <f aca="false">IFERROR(LEN(SUBSTITUTE(CD482," ",""))-SUMPRODUCT((LEN(CD482)-LEN(SUBSTITUTE(CD482," "&amp;L_Role&amp;" "," ")))/(LEN(L_Role)+1)*LEN(L_Role)),0)</f>
        <v>0</v>
      </c>
      <c r="BT4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482,"revision",""),"version",""),"jan",""),"feb",""),"mar",""),"apr",""),"may",""),"jun",""),"jul",""),"aug",""),"sep",""),"oct",""),"nov",""),"dec",""),"utc",""),"gmt",""),"myt",""),"bst",""),"rev",""),"ver",""),"b","a"),"c","a"),"d","a"),"e","a"),"f","a"),"g","a"),"h","a"),"i","a"),"j","a"),"k","a"),"l","a"),"m","a"),"n","a"),"o","a"),"p","a"),"q","a"),"r","a"),"s","a"),"t","a"),"u","a"),"v","a"),"w","a"),"x","a"),"y","a"),"z","a")</f>
        <v/>
      </c>
      <c r="BU482" s="61" t="str">
        <f aca="false">SUBSTITUTE(SUBSTITUTE(SUBSTITUTE(SUBSTITUTE(SUBSTITUTE(SUBSTITUTE(SUBSTITUTE(SUBSTITUTE(SUBSTITUTE(SUBSTITUTE(LEFT(BM482,FIND("0",BM482&amp;"0")-1),"-",""),"_",""),"/",""),".",""),"#",""),"\\",""),":","")," ",""),"(",""),")","")</f>
        <v/>
      </c>
      <c r="BV482" s="61" t="n">
        <f aca="false">0</f>
        <v>0</v>
      </c>
      <c r="BW4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482&amp;""),"a",""),"b",""),"c",""),"d",""),"e",""),"f",""),"g",""),"h",""),"i",""),"j",""),"k",""),"l",""),"m",""),"n",""),"o",""),"p",""),"q",""),"r",""),"s",""),"t",""),"u",""),"v",""),"w",""),"x",""),"y",""),"z",""),"-",""),"_",""),"/",""),".",""),"#",""),"\\",""),":","")," ",""),"(",""),")","")</f>
        <v/>
      </c>
      <c r="BX482" s="61" t="str">
        <f aca="false">SUBSTITUTE(SUBSTITUTE(SUBSTITUTE(SUBSTITUTE(SUBSTITUTE(SUBSTITUTE(SUBSTITUTE(SUBSTITUTE(SUBSTITUTE(SUBSTITUTE(SUBSTITUTE(BM482,"0",""),"-",""),"_",""),"/",""),".",""),"#",""),"\\",""),":","")," ",""),"(",""),")","")</f>
        <v/>
      </c>
      <c r="BY482" s="62" t="n">
        <f aca="false">Q482-T7EarlyD*24/24</f>
        <v>46299.4583333333</v>
      </c>
      <c r="BZ482" s="61" t="n">
        <f aca="false">IFERROR(IF(IF(TRIM(S482)="Link / file path",AND(LEN(TRIM(Z482))&gt;=5,SUMPRODUCT(--ISNUMBER(SEARCH({"http","www.","\\",":\",".pdf",".jpg",".jpeg",".png",".heic",".xls",".doc",".msg",".eml",".ppt",".txt",".zip"},Z482)))&gt;0),AND(ISERROR(FIND(" ",TRIM(Z482))),NOT(OR(SUMPRODUCT(--ISNUMBER(FIND({",",";","&amp;","+"},Z482)))&gt;0,SUMPRODUCT(--ISNUMBER(SEARCH({"0/aa","0\\aa"},BN482)))&gt;0)),NOT(SUMPRODUCT(--ISNUMBER(SEARCH({"http","www.","\\",":\",".pdf",".jpg",".jpeg",".png",".heic",".xls",".doc",".msg",".eml",".ppt",".txt",".zip"},Z482)))&gt;0),NOT(LOWER(TRIM(Z482))=LOWER(Flights!$F$19)),ISNA(MATCH(BU482,{"mh","rev","revision","ver","version","v","r","a","b","seat","tray","row","gate","bay","stand","page","pg","item","line","no","cart","galley","flight","flt","table","box","bag","oven","etd","eta","std","sta","atd","ata","qty","pax","x","time","tel","ph","mob","day","wk","week","utc","gmt","myt","lt"},0)),NOT(OR(ISNUMBER(MATCH(LEFT(BN482,255),{"0000a","000a","00a","0000aa","000aa","00aa","0aa","0000aaa","000aaa","00a00","0a00","0000-0000","00:00","a00","a0","00.00.0000","00/00/0000","00-00-0000","0000-00-00","0000/00/00","0000.00.00","00.00.00","00/00/00","00-00-00","0.00.0000","0/00/0000","0-00-0000"},0)),ISNUMBER(MATCH(LEFT(BT482,255),{"0000a","000a","00a","0000aa","000aa","00aa","0aa","0000aaa","000aaa","00a00","0a00","0000-0000","00:00","a00","a0","00.00.0000","00/00/0000","00-00-0000","0000-00-00","0000/00/00","0000.00.00","00.00.00","00/00/00","00-00-00","0.00.0000","0/00/0000","0-00-0000"},0)))),NOT(OR(AND(BW482&lt;&gt;"",SUBSTITUTE(BW482,"0","")=""),AND(LEN(BW482)&gt;=4,BW482=REPT(LEFT(BW482),LEN(BW482))),ISNUMBER(MATCH(BW482,{"123","1234","12345","123456","1234567","12345678","0123","01234","012345","98765","987654","54321"},0)),ISNUMBER(MATCH(BX482,{"x","xx","xxx","xxxx","xxxxx","abc","abcd","nil","na","nan","test","tbc","tba","tbd","dummy","sample","example","eg","zz","zzz","none","null","xyz","qwe","asd","id","ref"},0)),AND(LEN(BW482)=8,BX482="",OR(LEFT(BW482,3)="202",ISNUMBER(MATCH(RIGHT(BW482,4),{"2025","2026","2027"},0)))))),OR(AND((LEN(BT482)-LEN(SUBSTITUTE(BT482,"a","")))&gt;=1,(LEN(BN482)-LEN(SUBSTITUTE(BN482,"0","")))&gt;=2,SUMPRODUCT(--ISNUMBER(SEARCH({"a0","a-0","a_0","a/0","a.0","a#0","0a","0-a","0_a","0/a"},BN482)))&gt;0),AND((LEN(BN482)-LEN(SUBSTITUTE(BN482,"a","")))=0,(LEN(BN482)-LEN(SUBSTITUTE(BN482,"0","")))&gt;=5)))),1,0),0)</f>
        <v>0</v>
      </c>
      <c r="CA4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482,"revision",""),"version",""),"jan",""),"feb",""),"mar",""),"apr",""),"may",""),"jun",""),"jul",""),"aug",""),"sep",""),"oct",""),"nov",""),"dec",""),"utc",""),"gmt",""),"myt",""),"bst",""),"rev",""),"ver",""),"b","a"),"c","a"),"d","a"),"e","a"),"f","a"),"g","a"),"h","a"),"i","a"),"j","a"),"k","a"),"l","a"),"m","a"),"n","a"),"o","a"),"p","a"),"q","a"),"r","a"),"s","a"),"t","a"),"u","a"),"v","a"),"w","a"),"x","a"),"y","a"),"z","a")</f>
        <v/>
      </c>
      <c r="CB4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482&amp;""),"a",""),"b",""),"c",""),"d",""),"e",""),"f",""),"g",""),"h",""),"i",""),"j",""),"k",""),"l",""),"m",""),"n",""),"o",""),"p",""),"q",""),"r",""),"s",""),"t",""),"u",""),"v",""),"w",""),"x",""),"y",""),"z",""),"-",""),"_",""),"/",""),".",""),"#",""),"\\",""),":","")," ",""),"(",""),")","")</f>
        <v/>
      </c>
      <c r="CC482" s="0" t="str">
        <f aca="false">" "&amp;TRIM(SUBSTITUTE(SUBSTITUTE(SUBSTITUTE(SUBSTITUTE(SUBSTITUTE(SUBSTITUTE(SUBSTITUTE(SUBSTITUTE(SUBSTITUTE(SUBSTITUTE(SUBSTITUTE(SUBSTITUTE(SUBSTITUTE(SUBSTITUTE(SUBSTITUTE(SUBSTITUTE(SUBSTITUTE(SUBSTITUTE(SUBSTITUTE(SUBSTITUTE(SUBSTITUTE(SUBSTITUTE(SUBSTITUTE(SUBSTITUTE(LOWER(T482&amp;""),CHAR(10)," "),CHAR(13)," "),CHAR(9)," "),CHAR(160)," "),"."," "),","," "),"-"," "),"/"," "),"("," "),")"," "),":"," "),";"," "),"_"," "),"–"," "),"?"," "),"!"," "),"*"," "),"["," "),"]"," "),"'"," "),"#"," "),"+"," "),"&amp;"," "),"\"," "))&amp;" "</f>
        <v>  </v>
      </c>
      <c r="CD482" s="0" t="str">
        <f aca="false">" "&amp;TRIM(SUBSTITUTE(SUBSTITUTE(SUBSTITUTE(SUBSTITUTE(SUBSTITUTE(SUBSTITUTE(SUBSTITUTE(SUBSTITUTE(SUBSTITUTE(SUBSTITUTE(SUBSTITUTE(SUBSTITUTE(SUBSTITUTE(SUBSTITUTE(SUBSTITUTE(SUBSTITUTE(SUBSTITUTE(SUBSTITUTE(SUBSTITUTE(SUBSTITUTE(SUBSTITUTE(SUBSTITUTE(SUBSTITUTE(SUBSTITUTE(LOWER(AE482&amp;""),CHAR(10)," "),CHAR(13)," "),CHAR(9)," "),CHAR(160)," "),"."," "),","," "),"-"," "),"/"," "),"("," "),")"," "),":"," "),";"," "),"_"," "),"–"," "),"?"," "),"!"," "),"*"," "),"["," "),"]"," "),"'"," "),"#"," "),"+"," "),"&amp;"," "),"\"," "))&amp;" "</f>
        <v>  </v>
      </c>
      <c r="CE482" s="68" t="n">
        <f aca="false">IFERROR(IF(AND(LEN(AU482)&gt;0,LEN(AU482)=LEN(AX482),OR(TRIM(MID(SUBSTITUTE(TRIM(CC482)," ",REPT(" ",60)),1,60))="",ISNUMBER(SEARCH(" "&amp;TRIM(MID(SUBSTITUTE(TRIM(CC482)," ",REPT(" ",60)),1,60))&amp;" ",CD482))),OR(TRIM(MID(SUBSTITUTE(TRIM(CC482)," ",REPT(" ",60)),61,60))="",ISNUMBER(SEARCH(" "&amp;TRIM(MID(SUBSTITUTE(TRIM(CC482)," ",REPT(" ",60)),61,60))&amp;" ",CD482))),OR(TRIM(MID(SUBSTITUTE(TRIM(CC482)," ",REPT(" ",60)),121,60))="",ISNUMBER(SEARCH(" "&amp;TRIM(MID(SUBSTITUTE(TRIM(CC482)," ",REPT(" ",60)),121,60))&amp;" ",CD482)))),1,0),0)</f>
        <v>0</v>
      </c>
      <c r="CG482" s="68" t="n">
        <f aca="false">IFERROR(LEN(SUBSTITUTE(BF482," ",""))-SUMPRODUCT((LEN(BF482)-LEN(SUBSTITUTE(BF482," "&amp;L_NAFiller&amp;" "," ")))/(LEN(L_NAFiller)+1)*LEN(L_NAFiller)),0)</f>
        <v>0</v>
      </c>
    </row>
    <row r="483" customFormat="false" ht="41.25" hidden="false" customHeight="true" outlineLevel="0" collapsed="false">
      <c r="A483" s="57" t="s">
        <v>1134</v>
      </c>
      <c r="B483" s="57" t="s">
        <v>278</v>
      </c>
      <c r="C483" s="57" t="str">
        <f aca="false">Flights!$F$19</f>
        <v>MH0003</v>
      </c>
      <c r="D483" s="58" t="n">
        <f aca="false">Flights!$D$19</f>
        <v>46320</v>
      </c>
      <c r="E483" s="57" t="str">
        <f aca="false">Flights!$G$19&amp;"-"&amp;Flights!$H$19</f>
        <v>LHR-KUL</v>
      </c>
      <c r="F483" s="57" t="str">
        <f aca="false">Flights!$K$19</f>
        <v>EY</v>
      </c>
      <c r="G483" s="57" t="s">
        <v>81</v>
      </c>
      <c r="H483" s="57" t="s">
        <v>378</v>
      </c>
      <c r="I483" s="57" t="s">
        <v>389</v>
      </c>
      <c r="J483" s="57" t="s">
        <v>390</v>
      </c>
      <c r="K483" s="67" t="s">
        <v>391</v>
      </c>
      <c r="L483" s="67" t="s">
        <v>382</v>
      </c>
      <c r="M483" s="67"/>
      <c r="N483" s="67" t="str">
        <f aca="false">IF(TRIM(Flights!$L$19)="A339","Required","N/A – rule")</f>
        <v>N/A – rule</v>
      </c>
      <c r="O483" s="67" t="s">
        <v>392</v>
      </c>
      <c r="P483" s="57" t="s">
        <v>186</v>
      </c>
      <c r="Q483" s="59" t="n">
        <f aca="false">ROUND((Flights!$AC$19)*1440,0)/1440</f>
        <v>46313.4583333333</v>
      </c>
      <c r="R483" s="59" t="n">
        <f aca="false">Q483+(IF(AND(INDEX(TZ_DSTS,MATCH(P483,TZ_STN,0))&lt;&gt;"",Q483&gt;=INDEX(TZ_DSTS,MATCH(P483,TZ_STN,0)),Q483&lt;INDEX(TZ_DSTE,MATCH(P483,TZ_STN,0))),INDEX(TZ_DST,MATCH(P483,TZ_STN,0)),INDEX(TZ_STD,MATCH(P483,TZ_STN,0))))/24</f>
        <v>46313.5</v>
      </c>
      <c r="S483" s="60"/>
      <c r="T483" s="60"/>
      <c r="U483" s="60"/>
      <c r="V483" s="60"/>
      <c r="W483" s="61"/>
      <c r="X483" s="60"/>
      <c r="Y483" s="60"/>
      <c r="Z483" s="60"/>
      <c r="AA483" s="60"/>
      <c r="AB483" s="60"/>
      <c r="AC483" s="60"/>
      <c r="AD483" s="66"/>
      <c r="AE483" s="60"/>
      <c r="AF483" s="61" t="str">
        <f aca="false">IF(AND(ISNUMBER(X483),ISNUMBER(Y483)),Y483-X483,"")</f>
        <v/>
      </c>
      <c r="AG483" s="62" t="str">
        <f aca="false">IF(ISNUMBER(AD483),AD483-(IF(AND(INDEX(TZ_DSTS,MATCH(P483,TZ_STN,0))&lt;&gt;"",(AD483-INDEX(TZ_STD,MATCH(P483,TZ_STN,0))/24)&gt;=INDEX(TZ_DSTS,MATCH(P483,TZ_STN,0)),(AD483-INDEX(TZ_STD,MATCH(P483,TZ_STN,0))/24)&lt;INDEX(TZ_DSTE,MATCH(P483,TZ_STN,0))),INDEX(TZ_DST,MATCH(P483,TZ_STN,0)),INDEX(TZ_STD,MATCH(P483,TZ_STN,0))))/24,"")</f>
        <v/>
      </c>
      <c r="AH483" s="65" t="str">
        <f aca="false">IFERROR(IF(N483="N/A – rule",IF(OR(TRIM(U483)="",TRIM(U483)="N/A",TRIM(U483)="Not started"),"N/A – RULE","INVALID – this check does not apply to this aircraft: clear the status (or correct the fleet on Flights)"),IF(TRIM(U483)="N/A",IF(AT483=0,"INVALID – N/A not permitted for this check",IF(AND(TRIM(AB483)&lt;&gt;"",TRIM(AB483)&lt;&gt;"Closed"),"INVALID – corrective action still open",IF(AND(NOT(OR(LEN(AZ483)&lt;15,ISNUMBER(MATCH(AZ483,L_Placeholder,0)))),BK483=0,CG483&gt;=8,NOT(OR(LEN(AU483)&lt;2,ISNUMBER(MATCH(AU483,L_Placeholder,0)))),BR483&gt;=3,NOT(OR(LEN(AX483)&lt;2,ISNUMBER(MATCH(AX483,L_Placeholder,0)))),BS483&gt;=3,TRIM(AE483)&lt;&gt;TRIM(T483),AX483&lt;&gt;AU483,CE483=0),"N/A – JUSTIFIED","INVALID – N/A needs a real, settled reason (not 'not applicable' / 'as above' / TBC), a named PIC and a different named verifier"))),IF(OR(TRIM(U483)="Pass",TRIM(U483)="Pass after CA"),IF(NOT(ISNUMBER(AD483)),"INVALID – completion time missing",IF(OR(OR(LEN(AU483)&lt;2,ISNUMBER(MATCH(AU483,L_Placeholder,0))),BR483&lt;3),"INVALID – PIC missing or not a named person (a role such as QA / CSM is not a name)",IF(OR(LEN(AV483)&lt;2,ISNUMBER(MATCH(AV483,L_Placeholder,0))),"INVALID – result / assessment missing",IF(OR(OR(LEN(AW483)&lt;3,ISNUMBER(MATCH(AW483,L_Placeholder,0))),SUMPRODUCT(--ISNUMBER(SEARCH(" "&amp;L_EvidencePhrase&amp;" ",BD483)))&gt;0,BI483=1),"INVALID – evidence missing, placeholder or not yet on file",IF(ISNA(MATCH(TRIM(S483),L_EvidenceType,0)),"INVALID – choose the evidence type from the list (column S)",IF(BL483=0,"INVALID – evidence ID must be the record's own ID only (e.g. SF-2210, IMG_2231, 1045521); a link / file name needs type 'Link / file path'",IF(OR(OR(LEN(AX483)&lt;2,ISNUMBER(MATCH(AX483,L_Placeholder,0))),BS483&lt;3),"INVALID – verifier missing or not a named person (a role such as QA / CSM is not a name)",IF(OR(AX483=AU483,CE483=1,AND(LEN(AU483)&gt;=4,ISNUMBER(SEARCH(AU483,AX483))),AND(LEN(AX483)&gt;=4,ISNUMBER(SEARCH(AX483,AU483)))),"INVALID – verifier must be a different, named person (not the PIC or a role)",IF(BH483=1,"INVALID – result not yet available (awaiting / TBC)",IF(BG483=1,"INVALID – result describes a problem: record Fail, then Pass after CA (or reword if it is not a problem)",IF(BV483=1,"INVALID – wording says not on board: an on-board confirmation needs the item loaded",IF(AND(AQ483=1,OR(OR(LEN(AY483)&lt;3,ISNUMBER(MATCH(AY483,L_Placeholder,0))),BJ483=1,BQ483=0)),"INVALID – batch ID missing, placeholder or not an ID (e.g. PASB-261008-BC-017)",IF(AND(AR483=1,OR(NOT(ISNUMBER(X483)),NOT(ISNUMBER(Y483)))),"INVALID – expected/actual qty missing",IF(AND(AR483=1,OR(X483&lt;=0,Y483&lt;0)),"INVALID – expected qty must be above 0 and actual not negative",IF(BB483&lt;&gt;"",BB483,IF(AND(AS483=1,Documents!$J$19&lt;&gt;"ON FILE"),"INVALID – GLD not on file (Documents sheet)",IF(AND(AS483=2,Documents!$O$19&lt;&gt;"ON FILE"),"INVALID – menu checklist not on file (Documents sheet)",IF(AND(AS483=3,NOT(ISNUMBER(Flights!$AX$19))),"INVALID – enter carrying flight KUL departure (Flights AX)",IF(AND(AS483=3,OR(Flights!$AZ$19&gt;Flights!$AA$19,Flights!$AX$19&lt;Flights!$AA$19-3)),"INVALID – carrying flight (Flights AX) cannot arrive before this leg's STD, or is over 3 days early",IF(AG483&gt;AsOfUTC,"INVALID – completion time is in the future",IF(AND(ISNUMBER(BY483),AG483&lt;BY483),IF(H483="Physical uplift","INVALID – before uplift window (cannot confirm loading)","INVALID – before valid window"),IF(AG483&gt;Flights!$AA$19,"INVALID – completed after departure (cannot establish readiness)",IF(AND(H483="Preparation",AG483&gt;=IF(ISNUMBER(Flights!$BA$19),MIN(Flights!$BA$19,Flights!$AA$19),Flights!$AA$19)),"INVALID – completed after loading / departure (cannot establish readiness)",IF(AND(H483="Physical uplift",AG483&gt;Q483),"INVALID – recorded after the loading flight departed",IF(AG483&gt;Q483,"COMPLETE – LATE","COMPLETE"))))))))))))))))))))))))),IF(TRIM(U483)="Fail","FAIL – DISCREPANCY",IF(AND(TRIM(U483)&lt;&gt;"",TRIM(U483)&lt;&gt;"Not started",TRIM(U483)&lt;&gt;"In progress"),"INVALID – unrecognised status (use the list)",IF(AsOfUTC&gt;Q483,"OVERDUE",IF(N483="Clarification required","OPEN – CLARIFICATION","OPEN"))))))),"INVALID – error value in an input cell")</f>
        <v>N/A – RULE</v>
      </c>
      <c r="AI483" s="61" t="n">
        <f aca="false">IF(OR(AH483="N/A – RULE",AH483="N/A – JUSTIFIED"),0,1)</f>
        <v>0</v>
      </c>
      <c r="AJ483" s="61" t="n">
        <f aca="false">IF(LEFT(AH483,8)="COMPLETE",1,0)</f>
        <v>0</v>
      </c>
      <c r="AK483" s="61" t="n">
        <f aca="false">IF(AND(AI483=1,AJ483=0,AsOfUTC&gt;Q483),1,0)</f>
        <v>0</v>
      </c>
      <c r="AL483" s="61" t="n">
        <f aca="false">IFERROR(IF(AND(AI483=1,OR(TRIM(U483)="Fail",AND(TRIM(AB483)&lt;&gt;"",TRIM(AB483)&lt;&gt;"Closed"),AND(ISNUMBER(AF483),AF483&lt;&gt;0,TRIM(U483)&lt;&gt;"Pass after CA"))),1,0),1)</f>
        <v>0</v>
      </c>
      <c r="AM483" s="61" t="n">
        <f aca="false">IF(LEFT(AH483,7)="INVALID",1,0)</f>
        <v>0</v>
      </c>
      <c r="AN483" s="61" t="n">
        <f aca="false">IF(AND(N483="Clarification required",AI483=1,AJ483=0),1,0)</f>
        <v>0</v>
      </c>
      <c r="AO483" s="61" t="str">
        <f aca="false">IF(AK483=1,SUM(AK$5:AK483),"")</f>
        <v/>
      </c>
      <c r="AP483" s="61" t="str">
        <f aca="false">IF(AL483=1,SUM(AL$5:AL483),"")</f>
        <v/>
      </c>
      <c r="AQ483" s="61" t="n">
        <v>0</v>
      </c>
      <c r="AR483" s="61" t="n">
        <v>0</v>
      </c>
      <c r="AS483" s="61" t="n">
        <v>0</v>
      </c>
      <c r="AT483" s="61" t="n">
        <v>0</v>
      </c>
      <c r="AU483" s="61" t="str">
        <f aca="false">SUBSTITUTE(SUBSTITUTE(SUBSTITUTE(SUBSTITUTE(SUBSTITUTE(SUBSTITUTE(SUBSTITUTE(SUBSTITUTE(SUBSTITUTE(SUBSTITUTE(SUBSTITUTE(SUBSTITUTE(SUBSTITUTE(SUBSTITUTE(SUBSTITUTE(SUBSTITUTE(LOWER(T483&amp;""),CHAR(10),""),CHAR(13),""),CHAR(9),""),CHAR(160),"")," ",""),".",""),"-",""),"/",""),"?",""),"_",""),",",""),"[",""),"]",""),"(",""),")",""),"*","")</f>
        <v/>
      </c>
      <c r="AV483" s="61" t="str">
        <f aca="false">SUBSTITUTE(SUBSTITUTE(SUBSTITUTE(SUBSTITUTE(SUBSTITUTE(SUBSTITUTE(SUBSTITUTE(SUBSTITUTE(SUBSTITUTE(SUBSTITUTE(SUBSTITUTE(SUBSTITUTE(SUBSTITUTE(SUBSTITUTE(SUBSTITUTE(SUBSTITUTE(LOWER(V483&amp;""),CHAR(10),""),CHAR(13),""),CHAR(9),""),CHAR(160),"")," ",""),".",""),"-",""),"/",""),"?",""),"_",""),",",""),"[",""),"]",""),"(",""),")",""),"*","")</f>
        <v/>
      </c>
      <c r="AW483" s="61" t="str">
        <f aca="false">SUBSTITUTE(SUBSTITUTE(SUBSTITUTE(SUBSTITUTE(SUBSTITUTE(SUBSTITUTE(SUBSTITUTE(SUBSTITUTE(SUBSTITUTE(SUBSTITUTE(SUBSTITUTE(SUBSTITUTE(SUBSTITUTE(SUBSTITUTE(SUBSTITUTE(SUBSTITUTE(LOWER(Z483&amp;""),CHAR(10),""),CHAR(13),""),CHAR(9),""),CHAR(160),"")," ",""),".",""),"-",""),"/",""),"?",""),"_",""),",",""),"[",""),"]",""),"(",""),")",""),"*","")</f>
        <v/>
      </c>
      <c r="AX483" s="61" t="str">
        <f aca="false">SUBSTITUTE(SUBSTITUTE(SUBSTITUTE(SUBSTITUTE(SUBSTITUTE(SUBSTITUTE(SUBSTITUTE(SUBSTITUTE(SUBSTITUTE(SUBSTITUTE(SUBSTITUTE(SUBSTITUTE(SUBSTITUTE(SUBSTITUTE(SUBSTITUTE(SUBSTITUTE(LOWER(AE483&amp;""),CHAR(10),""),CHAR(13),""),CHAR(9),""),CHAR(160),"")," ",""),".",""),"-",""),"/",""),"?",""),"_",""),",",""),"[",""),"]",""),"(",""),")",""),"*","")</f>
        <v/>
      </c>
      <c r="AY483" s="61" t="str">
        <f aca="false">SUBSTITUTE(SUBSTITUTE(SUBSTITUTE(SUBSTITUTE(SUBSTITUTE(SUBSTITUTE(SUBSTITUTE(SUBSTITUTE(SUBSTITUTE(SUBSTITUTE(SUBSTITUTE(SUBSTITUTE(SUBSTITUTE(SUBSTITUTE(SUBSTITUTE(SUBSTITUTE(LOWER(W483&amp;""),CHAR(10),""),CHAR(13),""),CHAR(9),""),CHAR(160),"")," ",""),".",""),"-",""),"/",""),"?",""),"_",""),",",""),"[",""),"]",""),"(",""),")",""),"*","")</f>
        <v/>
      </c>
      <c r="AZ483" s="61" t="str">
        <f aca="false">SUBSTITUTE(SUBSTITUTE(SUBSTITUTE(SUBSTITUTE(SUBSTITUTE(SUBSTITUTE(SUBSTITUTE(SUBSTITUTE(SUBSTITUTE(SUBSTITUTE(SUBSTITUTE(SUBSTITUTE(SUBSTITUTE(SUBSTITUTE(SUBSTITUTE(SUBSTITUTE(LOWER(AC483&amp;""),CHAR(10),""),CHAR(13),""),CHAR(9),""),CHAR(160),"")," ",""),".",""),"-",""),"/",""),"?",""),"_",""),",",""),"[",""),"]",""),"(",""),")",""),"*","")</f>
        <v/>
      </c>
      <c r="BA483" s="61" t="str">
        <f aca="false">SUBSTITUTE(SUBSTITUTE(SUBSTITUTE(SUBSTITUTE(SUBSTITUTE(SUBSTITUTE(SUBSTITUTE(SUBSTITUTE(SUBSTITUTE(SUBSTITUTE(SUBSTITUTE(SUBSTITUTE(SUBSTITUTE(SUBSTITUTE(SUBSTITUTE(SUBSTITUTE(LOWER(AA483&amp;""),CHAR(10),""),CHAR(13),""),CHAR(9),""),CHAR(160),"")," ",""),".",""),"-",""),"/",""),"?",""),"_",""),",",""),"[",""),"]",""),"(",""),")",""),"*","")</f>
        <v/>
      </c>
      <c r="BB483" s="61" t="str">
        <f aca="false">IF(AND(TRIM(U483)="Pass",ISNUMBER(AF483)),IF(AF483&lt;&gt;0,"INVALID – qty variance: use Fail or Pass after CA",""),"")&amp;IF(AND(TRIM(U483)="Pass after CA",ISNUMBER(AF483)),IF(AF483&lt;&gt;0,"INVALID – after the corrective action the actual qty must equal expected (update Actual)",""),"")&amp;IF(AND(TRIM(U483)="Pass",TRIM(AB483)&lt;&gt;"",TRIM(AB483)&lt;&gt;"Closed"),"INVALID – corrective action not closed: use Fail, then Pass after CA","")&amp;IF(AND(LEN(BA483)&gt;=2,ISNA(MATCH(LEFT(BA483,255),L_Placeholder,0)),TRIM(AB483)=""),"INVALID – CA status missing for the recorded corrective action","")&amp;IF(AND(TRIM(U483)="Pass after CA",OR(OR(LEN(BA483)&lt;5,ISNUMBER(MATCH(BA483,L_Placeholder,0))),TRIM(AB483)&lt;&gt;"Closed")),"INVALID – corrective action not recorded/closed","")</f>
        <v/>
      </c>
      <c r="BC483" s="61" t="str">
        <f aca="false">" "&amp;TRIM(SUBSTITUTE(SUBSTITUTE(SUBSTITUTE(SUBSTITUTE(SUBSTITUTE(SUBSTITUTE(SUBSTITUTE(SUBSTITUTE(SUBSTITUTE(SUBSTITUTE(SUBSTITUTE(SUBSTITUTE(SUBSTITUTE(SUBSTITUTE(SUBSTITUTE(SUBSTITUTE(SUBSTITUTE(SUBSTITUTE(SUBSTITUTE(SUBSTITUTE(SUBSTITUTE(SUBSTITUTE(SUBSTITUTE(SUBSTITUTE(LOWER(V483&amp;""),CHAR(10)," "),CHAR(13)," "),CHAR(9)," "),CHAR(160)," "),"."," "),","," "),"-"," "),"/"," "),"("," "),")"," "),":"," "),";"," "),"_"," "),"–"," "),"?"," "),"!"," "),"*"," "),"["," "),"]"," "),"'"," "),"#"," "),"+"," "),"&amp;"," "),"\"," "))&amp;" "</f>
        <v>  </v>
      </c>
      <c r="BD483" s="61" t="str">
        <f aca="false">" "&amp;TRIM(SUBSTITUTE(SUBSTITUTE(SUBSTITUTE(SUBSTITUTE(SUBSTITUTE(SUBSTITUTE(SUBSTITUTE(SUBSTITUTE(SUBSTITUTE(SUBSTITUTE(SUBSTITUTE(SUBSTITUTE(SUBSTITUTE(SUBSTITUTE(SUBSTITUTE(SUBSTITUTE(SUBSTITUTE(SUBSTITUTE(SUBSTITUTE(SUBSTITUTE(SUBSTITUTE(SUBSTITUTE(SUBSTITUTE(SUBSTITUTE(LOWER(Z483&amp;""),CHAR(10)," "),CHAR(13)," "),CHAR(9)," "),CHAR(160)," "),"."," "),","," "),"-"," "),"/"," "),"("," "),")"," "),":"," "),";"," "),"_"," "),"–"," "),"?"," "),"!"," "),"*"," "),"["," "),"]"," "),"'"," "),"#"," "),"+"," "),"&amp;"," "),"\"," "))&amp;" "</f>
        <v>  </v>
      </c>
      <c r="BE483" s="61" t="str">
        <f aca="false">" "&amp;TRIM(SUBSTITUTE(SUBSTITUTE(SUBSTITUTE(SUBSTITUTE(SUBSTITUTE(SUBSTITUTE(SUBSTITUTE(SUBSTITUTE(SUBSTITUTE(SUBSTITUTE(SUBSTITUTE(SUBSTITUTE(SUBSTITUTE(SUBSTITUTE(SUBSTITUTE(SUBSTITUTE(SUBSTITUTE(SUBSTITUTE(SUBSTITUTE(SUBSTITUTE(SUBSTITUTE(SUBSTITUTE(SUBSTITUTE(SUBSTITUTE(LOWER(W483&amp;""),CHAR(10)," "),CHAR(13)," "),CHAR(9)," "),CHAR(160)," "),"."," "),","," "),"-"," "),"/"," "),"("," "),")"," "),":"," "),";"," "),"_"," "),"–"," "),"?"," "),"!"," "),"*"," "),"["," "),"]"," "),"'"," "),"#"," "),"+"," "),"&amp;"," "),"\"," "))&amp;" "</f>
        <v>  </v>
      </c>
      <c r="BF483" s="61" t="str">
        <f aca="false">" "&amp;TRIM(SUBSTITUTE(SUBSTITUTE(SUBSTITUTE(SUBSTITUTE(SUBSTITUTE(SUBSTITUTE(SUBSTITUTE(SUBSTITUTE(SUBSTITUTE(SUBSTITUTE(SUBSTITUTE(SUBSTITUTE(SUBSTITUTE(SUBSTITUTE(SUBSTITUTE(SUBSTITUTE(SUBSTITUTE(SUBSTITUTE(SUBSTITUTE(SUBSTITUTE(SUBSTITUTE(SUBSTITUTE(SUBSTITUTE(SUBSTITUTE(LOWER(AC483&amp;""),CHAR(10)," "),CHAR(13)," "),CHAR(9)," "),CHAR(160)," "),"."," "),","," "),"-"," "),"/"," "),"("," "),")"," "),":"," "),";"," "),"_"," "),"–"," "),"?"," "),"!"," "),"*"," "),"["," "),"]"," "),"'"," "),"#"," "),"+"," "),"&amp;"," "),"\"," "))&amp;" "</f>
        <v>  </v>
      </c>
      <c r="BG483" s="61" t="n">
        <f aca="false">IFERROR(IF(AND(TRIM(U483)="Pass",SUMPRODUCT((LEN(BC483)-LEN(SUBSTITUTE(BC483," "&amp;L_ResultBad&amp;" "," ")))/(LEN(L_ResultBad)+1))&gt;SUMPRODUCT((LEN(BC483)-LEN(SUBSTITUTE(BC483," "&amp;L_NegPhrase&amp;" "," ")))/(LEN(L_NegPhrase)+1))),1,0),0)</f>
        <v>0</v>
      </c>
      <c r="BH483" s="61" t="n">
        <f aca="false">IFERROR(IF(SUMPRODUCT((LEN(BC483)-LEN(SUBSTITUTE(BC483," "&amp;L_Pending&amp;" "," ")))/(LEN(L_Pending)+1))&gt;SUMPRODUCT((LEN(BC483)-LEN(SUBSTITUTE(BC483," "&amp;L_PendNeg&amp;" "," ")))/(LEN(L_PendNeg)+1))+SUMPRODUCT((LEN(BC483)-LEN(SUBSTITUTE(BC483," "&amp;L_PendPrep&amp;" "," ")))/(LEN(L_PendPrep)+1)),1,0),1)</f>
        <v>0</v>
      </c>
      <c r="BI483" s="61" t="n">
        <f aca="false">IFERROR(IF(SUMPRODUCT((LEN(BD483)-LEN(SUBSTITUTE(BD483," "&amp;L_PendStrict&amp;" "," ")))/(LEN(L_PendStrict)+1))&gt;SUMPRODUCT((LEN(BD483)-LEN(SUBSTITUTE(BD483," "&amp;L_PendNeg&amp;" "," ")))/(LEN(L_PendNeg)+1)),1,0),1)</f>
        <v>0</v>
      </c>
      <c r="BJ483" s="61" t="n">
        <f aca="false">IFERROR(IF(SUMPRODUCT((LEN(BE483)-LEN(SUBSTITUTE(BE483," "&amp;L_Pending&amp;" "," ")))/(LEN(L_Pending)+1))&gt;SUMPRODUCT((LEN(BE483)-LEN(SUBSTITUTE(BE483," "&amp;L_PendNeg&amp;" "," ")))/(LEN(L_PendNeg)+1))+SUMPRODUCT((LEN(BE483)-LEN(SUBSTITUTE(BE483," "&amp;L_PendPrep&amp;" "," ")))/(LEN(L_PendPrep)+1)),1,0),1)</f>
        <v>0</v>
      </c>
      <c r="BK483" s="61" t="n">
        <f aca="false">IFERROR(IF(SUMPRODUCT((LEN(BF483)-LEN(SUBSTITUTE(BF483," "&amp;L_PendStrict&amp;" "," ")))/(LEN(L_PendStrict)+1))&gt;SUMPRODUCT((LEN(BF483)-LEN(SUBSTITUTE(BF483," "&amp;L_PendNeg&amp;" "," ")))/(LEN(L_PendNeg)+1)),1,0),1)</f>
        <v>0</v>
      </c>
      <c r="BL483" s="61" t="n">
        <f aca="false">IF(ISNA(MATCH(TRIM(S483),L_EvidenceType,0)),0,BZ483)</f>
        <v>0</v>
      </c>
      <c r="BM483" s="61" t="str">
        <f aca="false">SUBSTITUTE(SUBSTITUTE(SUBSTITUTE(SUBSTITUTE(SUBSTITUTE(SUBSTITUTE(SUBSTITUTE(SUBSTITUTE(SUBSTITUTE(LOWER(Z483&amp;""),"1","0"),"2","0"),"3","0"),"4","0"),"5","0"),"6","0"),"7","0"),"8","0"),"9","0")</f>
        <v/>
      </c>
      <c r="BN483" s="61" t="str">
        <f aca="false">SUBSTITUTE(SUBSTITUTE(SUBSTITUTE(SUBSTITUTE(SUBSTITUTE(SUBSTITUTE(SUBSTITUTE(SUBSTITUTE(SUBSTITUTE(SUBSTITUTE(SUBSTITUTE(SUBSTITUTE(SUBSTITUTE(SUBSTITUTE(SUBSTITUTE(SUBSTITUTE(SUBSTITUTE(SUBSTITUTE(SUBSTITUTE(SUBSTITUTE(SUBSTITUTE(SUBSTITUTE(SUBSTITUTE(SUBSTITUTE(SUBSTITUTE(BM483,"b","a"),"c","a"),"d","a"),"e","a"),"f","a"),"g","a"),"h","a"),"i","a"),"j","a"),"k","a"),"l","a"),"m","a"),"n","a"),"o","a"),"p","a"),"q","a"),"r","a"),"s","a"),"t","a"),"u","a"),"v","a"),"w","a"),"x","a"),"y","a"),"z","a")</f>
        <v/>
      </c>
      <c r="BO483" s="61" t="str">
        <f aca="false">SUBSTITUTE(SUBSTITUTE(SUBSTITUTE(SUBSTITUTE(SUBSTITUTE(SUBSTITUTE(SUBSTITUTE(SUBSTITUTE(SUBSTITUTE(LOWER(W483&amp;""),"1","0"),"2","0"),"3","0"),"4","0"),"5","0"),"6","0"),"7","0"),"8","0"),"9","0")</f>
        <v/>
      </c>
      <c r="BP483" s="61" t="str">
        <f aca="false">SUBSTITUTE(SUBSTITUTE(SUBSTITUTE(SUBSTITUTE(SUBSTITUTE(SUBSTITUTE(SUBSTITUTE(SUBSTITUTE(SUBSTITUTE(SUBSTITUTE(SUBSTITUTE(SUBSTITUTE(SUBSTITUTE(SUBSTITUTE(SUBSTITUTE(SUBSTITUTE(SUBSTITUTE(SUBSTITUTE(SUBSTITUTE(SUBSTITUTE(SUBSTITUTE(SUBSTITUTE(SUBSTITUTE(SUBSTITUTE(SUBSTITUTE(BO483,"b","a"),"c","a"),"d","a"),"e","a"),"f","a"),"g","a"),"h","a"),"i","a"),"j","a"),"k","a"),"l","a"),"m","a"),"n","a"),"o","a"),"p","a"),"q","a"),"r","a"),"s","a"),"t","a"),"u","a"),"v","a"),"w","a"),"x","a"),"y","a"),"z","a")</f>
        <v/>
      </c>
      <c r="BQ483" s="61" t="n">
        <f aca="false">IFERROR(IF(AND(ISERROR(SEARCH(" mh"," "&amp;LOWER(W483))),ISNA(MATCH(LEFT(TRIM(BP483),255),{"0000a","000a","00a","0000aa","000aa","00aa","0aa","0000aaa","000aaa","00a00","0a00","0000-0000","00:00","a00","a0","00.00.0000","00/00/0000","00-00-0000","0000-00-00","0000/00/00","0000.00.00","00.00.00","00/00/00","00-00-00","0.00.0000","0/00/0000","0-00-0000"},0)),ISNA(MATCH(LEFT(TRIM(CA483),255),{"0000a","000a","00a","0000aa","000aa","00aa","0aa","0000aaa","000aaa","00a00","0a00","0000-0000","00:00","a00","a0","00.00.0000","00/00/0000","00-00-0000","0000-00-00","0000/00/00","0000.00.00","00.00.00","00/00/00","00-00-00","0.00.0000","0/00/0000","0-00-0000"},0)),LEN(CB483)&gt;=3,NOT(OR(SUBSTITUTE(CB483,"0","")="",AND(LEN(CB483)&gt;=4,CB483=REPT(LEFT(CB483),LEN(CB483))),ISNUMBER(MATCH(CB483,{"123","1234","12345","123456","1234567","12345678","0123","01234","012345","98765","987654","54321"},0)),AND(LEN(CB483)=8,LEFT(CB483,3)="202"))),OR(AND((LEN(CA483)-LEN(SUBSTITUTE(CA483,"a","")))&gt;=1,SUMPRODUCT(--ISNUMBER(SEARCH({"a0","a-0","a_0","a/0","a.0","a#0","0a","0-a","0_a","0/a"},BP483)))&gt;0),ISNUMBER(SEARCH("000000",BP483)))),1,0),0)</f>
        <v>0</v>
      </c>
      <c r="BR483" s="61" t="n">
        <f aca="false">IFERROR(LEN(SUBSTITUTE(CC483," ",""))-SUMPRODUCT((LEN(CC483)-LEN(SUBSTITUTE(CC483," "&amp;L_Role&amp;" "," ")))/(LEN(L_Role)+1)*LEN(L_Role)),0)</f>
        <v>0</v>
      </c>
      <c r="BS483" s="61" t="n">
        <f aca="false">IFERROR(LEN(SUBSTITUTE(CD483," ",""))-SUMPRODUCT((LEN(CD483)-LEN(SUBSTITUTE(CD483," "&amp;L_Role&amp;" "," ")))/(LEN(L_Role)+1)*LEN(L_Role)),0)</f>
        <v>0</v>
      </c>
      <c r="BT4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483,"revision",""),"version",""),"jan",""),"feb",""),"mar",""),"apr",""),"may",""),"jun",""),"jul",""),"aug",""),"sep",""),"oct",""),"nov",""),"dec",""),"utc",""),"gmt",""),"myt",""),"bst",""),"rev",""),"ver",""),"b","a"),"c","a"),"d","a"),"e","a"),"f","a"),"g","a"),"h","a"),"i","a"),"j","a"),"k","a"),"l","a"),"m","a"),"n","a"),"o","a"),"p","a"),"q","a"),"r","a"),"s","a"),"t","a"),"u","a"),"v","a"),"w","a"),"x","a"),"y","a"),"z","a")</f>
        <v/>
      </c>
      <c r="BU483" s="61" t="str">
        <f aca="false">SUBSTITUTE(SUBSTITUTE(SUBSTITUTE(SUBSTITUTE(SUBSTITUTE(SUBSTITUTE(SUBSTITUTE(SUBSTITUTE(SUBSTITUTE(SUBSTITUTE(LEFT(BM483,FIND("0",BM483&amp;"0")-1),"-",""),"_",""),"/",""),".",""),"#",""),"\\",""),":","")," ",""),"(",""),")","")</f>
        <v/>
      </c>
      <c r="BV483" s="61" t="n">
        <f aca="false">0</f>
        <v>0</v>
      </c>
      <c r="BW4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483&amp;""),"a",""),"b",""),"c",""),"d",""),"e",""),"f",""),"g",""),"h",""),"i",""),"j",""),"k",""),"l",""),"m",""),"n",""),"o",""),"p",""),"q",""),"r",""),"s",""),"t",""),"u",""),"v",""),"w",""),"x",""),"y",""),"z",""),"-",""),"_",""),"/",""),".",""),"#",""),"\\",""),":","")," ",""),"(",""),")","")</f>
        <v/>
      </c>
      <c r="BX483" s="61" t="str">
        <f aca="false">SUBSTITUTE(SUBSTITUTE(SUBSTITUTE(SUBSTITUTE(SUBSTITUTE(SUBSTITUTE(SUBSTITUTE(SUBSTITUTE(SUBSTITUTE(SUBSTITUTE(SUBSTITUTE(BM483,"0",""),"-",""),"_",""),"/",""),".",""),"#",""),"\\",""),":","")," ",""),"(",""),")","")</f>
        <v/>
      </c>
      <c r="BY483" s="62" t="n">
        <f aca="false">Q483-T7EarlyD*24/24</f>
        <v>46299.4583333333</v>
      </c>
      <c r="BZ483" s="61" t="n">
        <f aca="false">IFERROR(IF(IF(TRIM(S483)="Link / file path",AND(LEN(TRIM(Z483))&gt;=5,SUMPRODUCT(--ISNUMBER(SEARCH({"http","www.","\\",":\",".pdf",".jpg",".jpeg",".png",".heic",".xls",".doc",".msg",".eml",".ppt",".txt",".zip"},Z483)))&gt;0),AND(ISERROR(FIND(" ",TRIM(Z483))),NOT(OR(SUMPRODUCT(--ISNUMBER(FIND({",",";","&amp;","+"},Z483)))&gt;0,SUMPRODUCT(--ISNUMBER(SEARCH({"0/aa","0\\aa"},BN483)))&gt;0)),NOT(SUMPRODUCT(--ISNUMBER(SEARCH({"http","www.","\\",":\",".pdf",".jpg",".jpeg",".png",".heic",".xls",".doc",".msg",".eml",".ppt",".txt",".zip"},Z483)))&gt;0),NOT(LOWER(TRIM(Z483))=LOWER(Flights!$F$19)),ISNA(MATCH(BU483,{"mh","rev","revision","ver","version","v","r","a","b","seat","tray","row","gate","bay","stand","page","pg","item","line","no","cart","galley","flight","flt","table","box","bag","oven","etd","eta","std","sta","atd","ata","qty","pax","x","time","tel","ph","mob","day","wk","week","utc","gmt","myt","lt"},0)),NOT(OR(ISNUMBER(MATCH(LEFT(BN483,255),{"0000a","000a","00a","0000aa","000aa","00aa","0aa","0000aaa","000aaa","00a00","0a00","0000-0000","00:00","a00","a0","00.00.0000","00/00/0000","00-00-0000","0000-00-00","0000/00/00","0000.00.00","00.00.00","00/00/00","00-00-00","0.00.0000","0/00/0000","0-00-0000"},0)),ISNUMBER(MATCH(LEFT(BT483,255),{"0000a","000a","00a","0000aa","000aa","00aa","0aa","0000aaa","000aaa","00a00","0a00","0000-0000","00:00","a00","a0","00.00.0000","00/00/0000","00-00-0000","0000-00-00","0000/00/00","0000.00.00","00.00.00","00/00/00","00-00-00","0.00.0000","0/00/0000","0-00-0000"},0)))),NOT(OR(AND(BW483&lt;&gt;"",SUBSTITUTE(BW483,"0","")=""),AND(LEN(BW483)&gt;=4,BW483=REPT(LEFT(BW483),LEN(BW483))),ISNUMBER(MATCH(BW483,{"123","1234","12345","123456","1234567","12345678","0123","01234","012345","98765","987654","54321"},0)),ISNUMBER(MATCH(BX483,{"x","xx","xxx","xxxx","xxxxx","abc","abcd","nil","na","nan","test","tbc","tba","tbd","dummy","sample","example","eg","zz","zzz","none","null","xyz","qwe","asd","id","ref"},0)),AND(LEN(BW483)=8,BX483="",OR(LEFT(BW483,3)="202",ISNUMBER(MATCH(RIGHT(BW483,4),{"2025","2026","2027"},0)))))),OR(AND((LEN(BT483)-LEN(SUBSTITUTE(BT483,"a","")))&gt;=1,(LEN(BN483)-LEN(SUBSTITUTE(BN483,"0","")))&gt;=2,SUMPRODUCT(--ISNUMBER(SEARCH({"a0","a-0","a_0","a/0","a.0","a#0","0a","0-a","0_a","0/a"},BN483)))&gt;0),AND((LEN(BN483)-LEN(SUBSTITUTE(BN483,"a","")))=0,(LEN(BN483)-LEN(SUBSTITUTE(BN483,"0","")))&gt;=5)))),1,0),0)</f>
        <v>0</v>
      </c>
      <c r="CA4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483,"revision",""),"version",""),"jan",""),"feb",""),"mar",""),"apr",""),"may",""),"jun",""),"jul",""),"aug",""),"sep",""),"oct",""),"nov",""),"dec",""),"utc",""),"gmt",""),"myt",""),"bst",""),"rev",""),"ver",""),"b","a"),"c","a"),"d","a"),"e","a"),"f","a"),"g","a"),"h","a"),"i","a"),"j","a"),"k","a"),"l","a"),"m","a"),"n","a"),"o","a"),"p","a"),"q","a"),"r","a"),"s","a"),"t","a"),"u","a"),"v","a"),"w","a"),"x","a"),"y","a"),"z","a")</f>
        <v/>
      </c>
      <c r="CB4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483&amp;""),"a",""),"b",""),"c",""),"d",""),"e",""),"f",""),"g",""),"h",""),"i",""),"j",""),"k",""),"l",""),"m",""),"n",""),"o",""),"p",""),"q",""),"r",""),"s",""),"t",""),"u",""),"v",""),"w",""),"x",""),"y",""),"z",""),"-",""),"_",""),"/",""),".",""),"#",""),"\\",""),":","")," ",""),"(",""),")","")</f>
        <v/>
      </c>
      <c r="CC483" s="0" t="str">
        <f aca="false">" "&amp;TRIM(SUBSTITUTE(SUBSTITUTE(SUBSTITUTE(SUBSTITUTE(SUBSTITUTE(SUBSTITUTE(SUBSTITUTE(SUBSTITUTE(SUBSTITUTE(SUBSTITUTE(SUBSTITUTE(SUBSTITUTE(SUBSTITUTE(SUBSTITUTE(SUBSTITUTE(SUBSTITUTE(SUBSTITUTE(SUBSTITUTE(SUBSTITUTE(SUBSTITUTE(SUBSTITUTE(SUBSTITUTE(SUBSTITUTE(SUBSTITUTE(LOWER(T483&amp;""),CHAR(10)," "),CHAR(13)," "),CHAR(9)," "),CHAR(160)," "),"."," "),","," "),"-"," "),"/"," "),"("," "),")"," "),":"," "),";"," "),"_"," "),"–"," "),"?"," "),"!"," "),"*"," "),"["," "),"]"," "),"'"," "),"#"," "),"+"," "),"&amp;"," "),"\"," "))&amp;" "</f>
        <v>  </v>
      </c>
      <c r="CD483" s="0" t="str">
        <f aca="false">" "&amp;TRIM(SUBSTITUTE(SUBSTITUTE(SUBSTITUTE(SUBSTITUTE(SUBSTITUTE(SUBSTITUTE(SUBSTITUTE(SUBSTITUTE(SUBSTITUTE(SUBSTITUTE(SUBSTITUTE(SUBSTITUTE(SUBSTITUTE(SUBSTITUTE(SUBSTITUTE(SUBSTITUTE(SUBSTITUTE(SUBSTITUTE(SUBSTITUTE(SUBSTITUTE(SUBSTITUTE(SUBSTITUTE(SUBSTITUTE(SUBSTITUTE(LOWER(AE483&amp;""),CHAR(10)," "),CHAR(13)," "),CHAR(9)," "),CHAR(160)," "),"."," "),","," "),"-"," "),"/"," "),"("," "),")"," "),":"," "),";"," "),"_"," "),"–"," "),"?"," "),"!"," "),"*"," "),"["," "),"]"," "),"'"," "),"#"," "),"+"," "),"&amp;"," "),"\"," "))&amp;" "</f>
        <v>  </v>
      </c>
      <c r="CE483" s="68" t="n">
        <f aca="false">IFERROR(IF(AND(LEN(AU483)&gt;0,LEN(AU483)=LEN(AX483),OR(TRIM(MID(SUBSTITUTE(TRIM(CC483)," ",REPT(" ",60)),1,60))="",ISNUMBER(SEARCH(" "&amp;TRIM(MID(SUBSTITUTE(TRIM(CC483)," ",REPT(" ",60)),1,60))&amp;" ",CD483))),OR(TRIM(MID(SUBSTITUTE(TRIM(CC483)," ",REPT(" ",60)),61,60))="",ISNUMBER(SEARCH(" "&amp;TRIM(MID(SUBSTITUTE(TRIM(CC483)," ",REPT(" ",60)),61,60))&amp;" ",CD483))),OR(TRIM(MID(SUBSTITUTE(TRIM(CC483)," ",REPT(" ",60)),121,60))="",ISNUMBER(SEARCH(" "&amp;TRIM(MID(SUBSTITUTE(TRIM(CC483)," ",REPT(" ",60)),121,60))&amp;" ",CD483)))),1,0),0)</f>
        <v>0</v>
      </c>
      <c r="CG483" s="68" t="n">
        <f aca="false">IFERROR(LEN(SUBSTITUTE(BF483," ",""))-SUMPRODUCT((LEN(BF483)-LEN(SUBSTITUTE(BF483," "&amp;L_NAFiller&amp;" "," ")))/(LEN(L_NAFiller)+1)*LEN(L_NAFiller)),0)</f>
        <v>0</v>
      </c>
    </row>
    <row r="484" customFormat="false" ht="39.75" hidden="false" customHeight="true" outlineLevel="0" collapsed="false">
      <c r="A484" s="57" t="s">
        <v>1135</v>
      </c>
      <c r="B484" s="57" t="s">
        <v>278</v>
      </c>
      <c r="C484" s="57" t="str">
        <f aca="false">Flights!$F$19</f>
        <v>MH0003</v>
      </c>
      <c r="D484" s="58" t="n">
        <f aca="false">Flights!$D$19</f>
        <v>46320</v>
      </c>
      <c r="E484" s="57" t="str">
        <f aca="false">Flights!$G$19&amp;"-"&amp;Flights!$H$19</f>
        <v>LHR-KUL</v>
      </c>
      <c r="F484" s="57" t="str">
        <f aca="false">Flights!$K$19</f>
        <v>EY</v>
      </c>
      <c r="G484" s="57" t="s">
        <v>81</v>
      </c>
      <c r="H484" s="57" t="s">
        <v>378</v>
      </c>
      <c r="I484" s="57" t="s">
        <v>394</v>
      </c>
      <c r="J484" s="57" t="s">
        <v>395</v>
      </c>
      <c r="K484" s="67" t="s">
        <v>396</v>
      </c>
      <c r="L484" s="67" t="s">
        <v>382</v>
      </c>
      <c r="M484" s="67"/>
      <c r="N484" s="67" t="s">
        <v>383</v>
      </c>
      <c r="O484" s="67"/>
      <c r="P484" s="57" t="s">
        <v>186</v>
      </c>
      <c r="Q484" s="59" t="n">
        <f aca="false">ROUND((Flights!$AC$19)*1440,0)/1440</f>
        <v>46313.4583333333</v>
      </c>
      <c r="R484" s="59" t="n">
        <f aca="false">Q484+(IF(AND(INDEX(TZ_DSTS,MATCH(P484,TZ_STN,0))&lt;&gt;"",Q484&gt;=INDEX(TZ_DSTS,MATCH(P484,TZ_STN,0)),Q484&lt;INDEX(TZ_DSTE,MATCH(P484,TZ_STN,0))),INDEX(TZ_DST,MATCH(P484,TZ_STN,0)),INDEX(TZ_STD,MATCH(P484,TZ_STN,0))))/24</f>
        <v>46313.5</v>
      </c>
      <c r="S484" s="60"/>
      <c r="T484" s="60"/>
      <c r="U484" s="60"/>
      <c r="V484" s="60"/>
      <c r="W484" s="61"/>
      <c r="X484" s="60"/>
      <c r="Y484" s="60"/>
      <c r="Z484" s="60"/>
      <c r="AA484" s="60"/>
      <c r="AB484" s="60"/>
      <c r="AC484" s="60"/>
      <c r="AD484" s="66"/>
      <c r="AE484" s="60"/>
      <c r="AF484" s="61" t="str">
        <f aca="false">IF(AND(ISNUMBER(X484),ISNUMBER(Y484)),Y484-X484,"")</f>
        <v/>
      </c>
      <c r="AG484" s="62" t="str">
        <f aca="false">IF(ISNUMBER(AD484),AD484-(IF(AND(INDEX(TZ_DSTS,MATCH(P484,TZ_STN,0))&lt;&gt;"",(AD484-INDEX(TZ_STD,MATCH(P484,TZ_STN,0))/24)&gt;=INDEX(TZ_DSTS,MATCH(P484,TZ_STN,0)),(AD484-INDEX(TZ_STD,MATCH(P484,TZ_STN,0))/24)&lt;INDEX(TZ_DSTE,MATCH(P484,TZ_STN,0))),INDEX(TZ_DST,MATCH(P484,TZ_STN,0)),INDEX(TZ_STD,MATCH(P484,TZ_STN,0))))/24,"")</f>
        <v/>
      </c>
      <c r="AH484" s="65" t="str">
        <f aca="false">IFERROR(IF(N484="N/A – rule",IF(OR(TRIM(U484)="",TRIM(U484)="N/A",TRIM(U484)="Not started"),"N/A – RULE","INVALID – this check does not apply to this aircraft: clear the status (or correct the fleet on Flights)"),IF(TRIM(U484)="N/A",IF(AT484=0,"INVALID – N/A not permitted for this check",IF(AND(TRIM(AB484)&lt;&gt;"",TRIM(AB484)&lt;&gt;"Closed"),"INVALID – corrective action still open",IF(AND(NOT(OR(LEN(AZ484)&lt;15,ISNUMBER(MATCH(AZ484,L_Placeholder,0)))),BK484=0,CG484&gt;=8,NOT(OR(LEN(AU484)&lt;2,ISNUMBER(MATCH(AU484,L_Placeholder,0)))),BR484&gt;=3,NOT(OR(LEN(AX484)&lt;2,ISNUMBER(MATCH(AX484,L_Placeholder,0)))),BS484&gt;=3,TRIM(AE484)&lt;&gt;TRIM(T484),AX484&lt;&gt;AU484,CE484=0),"N/A – JUSTIFIED","INVALID – N/A needs a real, settled reason (not 'not applicable' / 'as above' / TBC), a named PIC and a different named verifier"))),IF(OR(TRIM(U484)="Pass",TRIM(U484)="Pass after CA"),IF(NOT(ISNUMBER(AD484)),"INVALID – completion time missing",IF(OR(OR(LEN(AU484)&lt;2,ISNUMBER(MATCH(AU484,L_Placeholder,0))),BR484&lt;3),"INVALID – PIC missing or not a named person (a role such as QA / CSM is not a name)",IF(OR(LEN(AV484)&lt;2,ISNUMBER(MATCH(AV484,L_Placeholder,0))),"INVALID – result / assessment missing",IF(OR(OR(LEN(AW484)&lt;3,ISNUMBER(MATCH(AW484,L_Placeholder,0))),SUMPRODUCT(--ISNUMBER(SEARCH(" "&amp;L_EvidencePhrase&amp;" ",BD484)))&gt;0,BI484=1),"INVALID – evidence missing, placeholder or not yet on file",IF(ISNA(MATCH(TRIM(S484),L_EvidenceType,0)),"INVALID – choose the evidence type from the list (column S)",IF(BL484=0,"INVALID – evidence ID must be the record's own ID only (e.g. SF-2210, IMG_2231, 1045521); a link / file name needs type 'Link / file path'",IF(OR(OR(LEN(AX484)&lt;2,ISNUMBER(MATCH(AX484,L_Placeholder,0))),BS484&lt;3),"INVALID – verifier missing or not a named person (a role such as QA / CSM is not a name)",IF(OR(AX484=AU484,CE484=1,AND(LEN(AU484)&gt;=4,ISNUMBER(SEARCH(AU484,AX484))),AND(LEN(AX484)&gt;=4,ISNUMBER(SEARCH(AX484,AU484)))),"INVALID – verifier must be a different, named person (not the PIC or a role)",IF(BH484=1,"INVALID – result not yet available (awaiting / TBC)",IF(BG484=1,"INVALID – result describes a problem: record Fail, then Pass after CA (or reword if it is not a problem)",IF(BV484=1,"INVALID – wording says not on board: an on-board confirmation needs the item loaded",IF(AND(AQ484=1,OR(OR(LEN(AY484)&lt;3,ISNUMBER(MATCH(AY484,L_Placeholder,0))),BJ484=1,BQ484=0)),"INVALID – batch ID missing, placeholder or not an ID (e.g. PASB-261008-BC-017)",IF(AND(AR484=1,OR(NOT(ISNUMBER(X484)),NOT(ISNUMBER(Y484)))),"INVALID – expected/actual qty missing",IF(AND(AR484=1,OR(X484&lt;=0,Y484&lt;0)),"INVALID – expected qty must be above 0 and actual not negative",IF(BB484&lt;&gt;"",BB484,IF(AND(AS484=1,Documents!$J$19&lt;&gt;"ON FILE"),"INVALID – GLD not on file (Documents sheet)",IF(AND(AS484=2,Documents!$O$19&lt;&gt;"ON FILE"),"INVALID – menu checklist not on file (Documents sheet)",IF(AND(AS484=3,NOT(ISNUMBER(Flights!$AX$19))),"INVALID – enter carrying flight KUL departure (Flights AX)",IF(AND(AS484=3,OR(Flights!$AZ$19&gt;Flights!$AA$19,Flights!$AX$19&lt;Flights!$AA$19-3)),"INVALID – carrying flight (Flights AX) cannot arrive before this leg's STD, or is over 3 days early",IF(AG484&gt;AsOfUTC,"INVALID – completion time is in the future",IF(AND(ISNUMBER(BY484),AG484&lt;BY484),IF(H484="Physical uplift","INVALID – before uplift window (cannot confirm loading)","INVALID – before valid window"),IF(AG484&gt;Flights!$AA$19,"INVALID – completed after departure (cannot establish readiness)",IF(AND(H484="Preparation",AG484&gt;=IF(ISNUMBER(Flights!$BA$19),MIN(Flights!$BA$19,Flights!$AA$19),Flights!$AA$19)),"INVALID – completed after loading / departure (cannot establish readiness)",IF(AND(H484="Physical uplift",AG484&gt;Q484),"INVALID – recorded after the loading flight departed",IF(AG484&gt;Q484,"COMPLETE – LATE","COMPLETE"))))))))))))))))))))))))),IF(TRIM(U484)="Fail","FAIL – DISCREPANCY",IF(AND(TRIM(U484)&lt;&gt;"",TRIM(U484)&lt;&gt;"Not started",TRIM(U484)&lt;&gt;"In progress"),"INVALID – unrecognised status (use the list)",IF(AsOfUTC&gt;Q484,"OVERDUE",IF(N484="Clarification required","OPEN – CLARIFICATION","OPEN"))))))),"INVALID – error value in an input cell")</f>
        <v>OPEN</v>
      </c>
      <c r="AI484" s="61" t="n">
        <f aca="false">IF(OR(AH484="N/A – RULE",AH484="N/A – JUSTIFIED"),0,1)</f>
        <v>1</v>
      </c>
      <c r="AJ484" s="61" t="n">
        <f aca="false">IF(LEFT(AH484,8)="COMPLETE",1,0)</f>
        <v>0</v>
      </c>
      <c r="AK484" s="61" t="n">
        <f aca="false">IF(AND(AI484=1,AJ484=0,AsOfUTC&gt;Q484),1,0)</f>
        <v>0</v>
      </c>
      <c r="AL484" s="61" t="n">
        <f aca="false">IFERROR(IF(AND(AI484=1,OR(TRIM(U484)="Fail",AND(TRIM(AB484)&lt;&gt;"",TRIM(AB484)&lt;&gt;"Closed"),AND(ISNUMBER(AF484),AF484&lt;&gt;0,TRIM(U484)&lt;&gt;"Pass after CA"))),1,0),1)</f>
        <v>0</v>
      </c>
      <c r="AM484" s="61" t="n">
        <f aca="false">IF(LEFT(AH484,7)="INVALID",1,0)</f>
        <v>0</v>
      </c>
      <c r="AN484" s="61" t="n">
        <f aca="false">IF(AND(N484="Clarification required",AI484=1,AJ484=0),1,0)</f>
        <v>0</v>
      </c>
      <c r="AO484" s="61" t="str">
        <f aca="false">IF(AK484=1,SUM(AK$5:AK484),"")</f>
        <v/>
      </c>
      <c r="AP484" s="61" t="str">
        <f aca="false">IF(AL484=1,SUM(AL$5:AL484),"")</f>
        <v/>
      </c>
      <c r="AQ484" s="61" t="n">
        <v>0</v>
      </c>
      <c r="AR484" s="61" t="n">
        <v>0</v>
      </c>
      <c r="AS484" s="61" t="n">
        <v>0</v>
      </c>
      <c r="AT484" s="61" t="n">
        <v>0</v>
      </c>
      <c r="AU484" s="61" t="str">
        <f aca="false">SUBSTITUTE(SUBSTITUTE(SUBSTITUTE(SUBSTITUTE(SUBSTITUTE(SUBSTITUTE(SUBSTITUTE(SUBSTITUTE(SUBSTITUTE(SUBSTITUTE(SUBSTITUTE(SUBSTITUTE(SUBSTITUTE(SUBSTITUTE(SUBSTITUTE(SUBSTITUTE(LOWER(T484&amp;""),CHAR(10),""),CHAR(13),""),CHAR(9),""),CHAR(160),"")," ",""),".",""),"-",""),"/",""),"?",""),"_",""),",",""),"[",""),"]",""),"(",""),")",""),"*","")</f>
        <v/>
      </c>
      <c r="AV484" s="61" t="str">
        <f aca="false">SUBSTITUTE(SUBSTITUTE(SUBSTITUTE(SUBSTITUTE(SUBSTITUTE(SUBSTITUTE(SUBSTITUTE(SUBSTITUTE(SUBSTITUTE(SUBSTITUTE(SUBSTITUTE(SUBSTITUTE(SUBSTITUTE(SUBSTITUTE(SUBSTITUTE(SUBSTITUTE(LOWER(V484&amp;""),CHAR(10),""),CHAR(13),""),CHAR(9),""),CHAR(160),"")," ",""),".",""),"-",""),"/",""),"?",""),"_",""),",",""),"[",""),"]",""),"(",""),")",""),"*","")</f>
        <v/>
      </c>
      <c r="AW484" s="61" t="str">
        <f aca="false">SUBSTITUTE(SUBSTITUTE(SUBSTITUTE(SUBSTITUTE(SUBSTITUTE(SUBSTITUTE(SUBSTITUTE(SUBSTITUTE(SUBSTITUTE(SUBSTITUTE(SUBSTITUTE(SUBSTITUTE(SUBSTITUTE(SUBSTITUTE(SUBSTITUTE(SUBSTITUTE(LOWER(Z484&amp;""),CHAR(10),""),CHAR(13),""),CHAR(9),""),CHAR(160),"")," ",""),".",""),"-",""),"/",""),"?",""),"_",""),",",""),"[",""),"]",""),"(",""),")",""),"*","")</f>
        <v/>
      </c>
      <c r="AX484" s="61" t="str">
        <f aca="false">SUBSTITUTE(SUBSTITUTE(SUBSTITUTE(SUBSTITUTE(SUBSTITUTE(SUBSTITUTE(SUBSTITUTE(SUBSTITUTE(SUBSTITUTE(SUBSTITUTE(SUBSTITUTE(SUBSTITUTE(SUBSTITUTE(SUBSTITUTE(SUBSTITUTE(SUBSTITUTE(LOWER(AE484&amp;""),CHAR(10),""),CHAR(13),""),CHAR(9),""),CHAR(160),"")," ",""),".",""),"-",""),"/",""),"?",""),"_",""),",",""),"[",""),"]",""),"(",""),")",""),"*","")</f>
        <v/>
      </c>
      <c r="AY484" s="61" t="str">
        <f aca="false">SUBSTITUTE(SUBSTITUTE(SUBSTITUTE(SUBSTITUTE(SUBSTITUTE(SUBSTITUTE(SUBSTITUTE(SUBSTITUTE(SUBSTITUTE(SUBSTITUTE(SUBSTITUTE(SUBSTITUTE(SUBSTITUTE(SUBSTITUTE(SUBSTITUTE(SUBSTITUTE(LOWER(W484&amp;""),CHAR(10),""),CHAR(13),""),CHAR(9),""),CHAR(160),"")," ",""),".",""),"-",""),"/",""),"?",""),"_",""),",",""),"[",""),"]",""),"(",""),")",""),"*","")</f>
        <v/>
      </c>
      <c r="AZ484" s="61" t="str">
        <f aca="false">SUBSTITUTE(SUBSTITUTE(SUBSTITUTE(SUBSTITUTE(SUBSTITUTE(SUBSTITUTE(SUBSTITUTE(SUBSTITUTE(SUBSTITUTE(SUBSTITUTE(SUBSTITUTE(SUBSTITUTE(SUBSTITUTE(SUBSTITUTE(SUBSTITUTE(SUBSTITUTE(LOWER(AC484&amp;""),CHAR(10),""),CHAR(13),""),CHAR(9),""),CHAR(160),"")," ",""),".",""),"-",""),"/",""),"?",""),"_",""),",",""),"[",""),"]",""),"(",""),")",""),"*","")</f>
        <v/>
      </c>
      <c r="BA484" s="61" t="str">
        <f aca="false">SUBSTITUTE(SUBSTITUTE(SUBSTITUTE(SUBSTITUTE(SUBSTITUTE(SUBSTITUTE(SUBSTITUTE(SUBSTITUTE(SUBSTITUTE(SUBSTITUTE(SUBSTITUTE(SUBSTITUTE(SUBSTITUTE(SUBSTITUTE(SUBSTITUTE(SUBSTITUTE(LOWER(AA484&amp;""),CHAR(10),""),CHAR(13),""),CHAR(9),""),CHAR(160),"")," ",""),".",""),"-",""),"/",""),"?",""),"_",""),",",""),"[",""),"]",""),"(",""),")",""),"*","")</f>
        <v/>
      </c>
      <c r="BB484" s="61" t="str">
        <f aca="false">IF(AND(TRIM(U484)="Pass",ISNUMBER(AF484)),IF(AF484&lt;&gt;0,"INVALID – qty variance: use Fail or Pass after CA",""),"")&amp;IF(AND(TRIM(U484)="Pass after CA",ISNUMBER(AF484)),IF(AF484&lt;&gt;0,"INVALID – after the corrective action the actual qty must equal expected (update Actual)",""),"")&amp;IF(AND(TRIM(U484)="Pass",TRIM(AB484)&lt;&gt;"",TRIM(AB484)&lt;&gt;"Closed"),"INVALID – corrective action not closed: use Fail, then Pass after CA","")&amp;IF(AND(LEN(BA484)&gt;=2,ISNA(MATCH(LEFT(BA484,255),L_Placeholder,0)),TRIM(AB484)=""),"INVALID – CA status missing for the recorded corrective action","")&amp;IF(AND(TRIM(U484)="Pass after CA",OR(OR(LEN(BA484)&lt;5,ISNUMBER(MATCH(BA484,L_Placeholder,0))),TRIM(AB484)&lt;&gt;"Closed")),"INVALID – corrective action not recorded/closed","")</f>
        <v/>
      </c>
      <c r="BC484" s="61" t="str">
        <f aca="false">" "&amp;TRIM(SUBSTITUTE(SUBSTITUTE(SUBSTITUTE(SUBSTITUTE(SUBSTITUTE(SUBSTITUTE(SUBSTITUTE(SUBSTITUTE(SUBSTITUTE(SUBSTITUTE(SUBSTITUTE(SUBSTITUTE(SUBSTITUTE(SUBSTITUTE(SUBSTITUTE(SUBSTITUTE(SUBSTITUTE(SUBSTITUTE(SUBSTITUTE(SUBSTITUTE(SUBSTITUTE(SUBSTITUTE(SUBSTITUTE(SUBSTITUTE(LOWER(V484&amp;""),CHAR(10)," "),CHAR(13)," "),CHAR(9)," "),CHAR(160)," "),"."," "),","," "),"-"," "),"/"," "),"("," "),")"," "),":"," "),";"," "),"_"," "),"–"," "),"?"," "),"!"," "),"*"," "),"["," "),"]"," "),"'"," "),"#"," "),"+"," "),"&amp;"," "),"\"," "))&amp;" "</f>
        <v>  </v>
      </c>
      <c r="BD484" s="61" t="str">
        <f aca="false">" "&amp;TRIM(SUBSTITUTE(SUBSTITUTE(SUBSTITUTE(SUBSTITUTE(SUBSTITUTE(SUBSTITUTE(SUBSTITUTE(SUBSTITUTE(SUBSTITUTE(SUBSTITUTE(SUBSTITUTE(SUBSTITUTE(SUBSTITUTE(SUBSTITUTE(SUBSTITUTE(SUBSTITUTE(SUBSTITUTE(SUBSTITUTE(SUBSTITUTE(SUBSTITUTE(SUBSTITUTE(SUBSTITUTE(SUBSTITUTE(SUBSTITUTE(LOWER(Z484&amp;""),CHAR(10)," "),CHAR(13)," "),CHAR(9)," "),CHAR(160)," "),"."," "),","," "),"-"," "),"/"," "),"("," "),")"," "),":"," "),";"," "),"_"," "),"–"," "),"?"," "),"!"," "),"*"," "),"["," "),"]"," "),"'"," "),"#"," "),"+"," "),"&amp;"," "),"\"," "))&amp;" "</f>
        <v>  </v>
      </c>
      <c r="BE484" s="61" t="str">
        <f aca="false">" "&amp;TRIM(SUBSTITUTE(SUBSTITUTE(SUBSTITUTE(SUBSTITUTE(SUBSTITUTE(SUBSTITUTE(SUBSTITUTE(SUBSTITUTE(SUBSTITUTE(SUBSTITUTE(SUBSTITUTE(SUBSTITUTE(SUBSTITUTE(SUBSTITUTE(SUBSTITUTE(SUBSTITUTE(SUBSTITUTE(SUBSTITUTE(SUBSTITUTE(SUBSTITUTE(SUBSTITUTE(SUBSTITUTE(SUBSTITUTE(SUBSTITUTE(LOWER(W484&amp;""),CHAR(10)," "),CHAR(13)," "),CHAR(9)," "),CHAR(160)," "),"."," "),","," "),"-"," "),"/"," "),"("," "),")"," "),":"," "),";"," "),"_"," "),"–"," "),"?"," "),"!"," "),"*"," "),"["," "),"]"," "),"'"," "),"#"," "),"+"," "),"&amp;"," "),"\"," "))&amp;" "</f>
        <v>  </v>
      </c>
      <c r="BF484" s="61" t="str">
        <f aca="false">" "&amp;TRIM(SUBSTITUTE(SUBSTITUTE(SUBSTITUTE(SUBSTITUTE(SUBSTITUTE(SUBSTITUTE(SUBSTITUTE(SUBSTITUTE(SUBSTITUTE(SUBSTITUTE(SUBSTITUTE(SUBSTITUTE(SUBSTITUTE(SUBSTITUTE(SUBSTITUTE(SUBSTITUTE(SUBSTITUTE(SUBSTITUTE(SUBSTITUTE(SUBSTITUTE(SUBSTITUTE(SUBSTITUTE(SUBSTITUTE(SUBSTITUTE(LOWER(AC484&amp;""),CHAR(10)," "),CHAR(13)," "),CHAR(9)," "),CHAR(160)," "),"."," "),","," "),"-"," "),"/"," "),"("," "),")"," "),":"," "),";"," "),"_"," "),"–"," "),"?"," "),"!"," "),"*"," "),"["," "),"]"," "),"'"," "),"#"," "),"+"," "),"&amp;"," "),"\"," "))&amp;" "</f>
        <v>  </v>
      </c>
      <c r="BG484" s="61" t="n">
        <f aca="false">IFERROR(IF(AND(TRIM(U484)="Pass",SUMPRODUCT((LEN(BC484)-LEN(SUBSTITUTE(BC484," "&amp;L_ResultBad&amp;" "," ")))/(LEN(L_ResultBad)+1))&gt;SUMPRODUCT((LEN(BC484)-LEN(SUBSTITUTE(BC484," "&amp;L_NegPhrase&amp;" "," ")))/(LEN(L_NegPhrase)+1))),1,0),0)</f>
        <v>0</v>
      </c>
      <c r="BH484" s="61" t="n">
        <f aca="false">IFERROR(IF(SUMPRODUCT((LEN(BC484)-LEN(SUBSTITUTE(BC484," "&amp;L_Pending&amp;" "," ")))/(LEN(L_Pending)+1))&gt;SUMPRODUCT((LEN(BC484)-LEN(SUBSTITUTE(BC484," "&amp;L_PendNeg&amp;" "," ")))/(LEN(L_PendNeg)+1))+SUMPRODUCT((LEN(BC484)-LEN(SUBSTITUTE(BC484," "&amp;L_PendPrep&amp;" "," ")))/(LEN(L_PendPrep)+1)),1,0),1)</f>
        <v>0</v>
      </c>
      <c r="BI484" s="61" t="n">
        <f aca="false">IFERROR(IF(SUMPRODUCT((LEN(BD484)-LEN(SUBSTITUTE(BD484," "&amp;L_PendStrict&amp;" "," ")))/(LEN(L_PendStrict)+1))&gt;SUMPRODUCT((LEN(BD484)-LEN(SUBSTITUTE(BD484," "&amp;L_PendNeg&amp;" "," ")))/(LEN(L_PendNeg)+1)),1,0),1)</f>
        <v>0</v>
      </c>
      <c r="BJ484" s="61" t="n">
        <f aca="false">IFERROR(IF(SUMPRODUCT((LEN(BE484)-LEN(SUBSTITUTE(BE484," "&amp;L_Pending&amp;" "," ")))/(LEN(L_Pending)+1))&gt;SUMPRODUCT((LEN(BE484)-LEN(SUBSTITUTE(BE484," "&amp;L_PendNeg&amp;" "," ")))/(LEN(L_PendNeg)+1))+SUMPRODUCT((LEN(BE484)-LEN(SUBSTITUTE(BE484," "&amp;L_PendPrep&amp;" "," ")))/(LEN(L_PendPrep)+1)),1,0),1)</f>
        <v>0</v>
      </c>
      <c r="BK484" s="61" t="n">
        <f aca="false">IFERROR(IF(SUMPRODUCT((LEN(BF484)-LEN(SUBSTITUTE(BF484," "&amp;L_PendStrict&amp;" "," ")))/(LEN(L_PendStrict)+1))&gt;SUMPRODUCT((LEN(BF484)-LEN(SUBSTITUTE(BF484," "&amp;L_PendNeg&amp;" "," ")))/(LEN(L_PendNeg)+1)),1,0),1)</f>
        <v>0</v>
      </c>
      <c r="BL484" s="61" t="n">
        <f aca="false">IF(ISNA(MATCH(TRIM(S484),L_EvidenceType,0)),0,BZ484)</f>
        <v>0</v>
      </c>
      <c r="BM484" s="61" t="str">
        <f aca="false">SUBSTITUTE(SUBSTITUTE(SUBSTITUTE(SUBSTITUTE(SUBSTITUTE(SUBSTITUTE(SUBSTITUTE(SUBSTITUTE(SUBSTITUTE(LOWER(Z484&amp;""),"1","0"),"2","0"),"3","0"),"4","0"),"5","0"),"6","0"),"7","0"),"8","0"),"9","0")</f>
        <v/>
      </c>
      <c r="BN484" s="61" t="str">
        <f aca="false">SUBSTITUTE(SUBSTITUTE(SUBSTITUTE(SUBSTITUTE(SUBSTITUTE(SUBSTITUTE(SUBSTITUTE(SUBSTITUTE(SUBSTITUTE(SUBSTITUTE(SUBSTITUTE(SUBSTITUTE(SUBSTITUTE(SUBSTITUTE(SUBSTITUTE(SUBSTITUTE(SUBSTITUTE(SUBSTITUTE(SUBSTITUTE(SUBSTITUTE(SUBSTITUTE(SUBSTITUTE(SUBSTITUTE(SUBSTITUTE(SUBSTITUTE(BM484,"b","a"),"c","a"),"d","a"),"e","a"),"f","a"),"g","a"),"h","a"),"i","a"),"j","a"),"k","a"),"l","a"),"m","a"),"n","a"),"o","a"),"p","a"),"q","a"),"r","a"),"s","a"),"t","a"),"u","a"),"v","a"),"w","a"),"x","a"),"y","a"),"z","a")</f>
        <v/>
      </c>
      <c r="BO484" s="61" t="str">
        <f aca="false">SUBSTITUTE(SUBSTITUTE(SUBSTITUTE(SUBSTITUTE(SUBSTITUTE(SUBSTITUTE(SUBSTITUTE(SUBSTITUTE(SUBSTITUTE(LOWER(W484&amp;""),"1","0"),"2","0"),"3","0"),"4","0"),"5","0"),"6","0"),"7","0"),"8","0"),"9","0")</f>
        <v/>
      </c>
      <c r="BP484" s="61" t="str">
        <f aca="false">SUBSTITUTE(SUBSTITUTE(SUBSTITUTE(SUBSTITUTE(SUBSTITUTE(SUBSTITUTE(SUBSTITUTE(SUBSTITUTE(SUBSTITUTE(SUBSTITUTE(SUBSTITUTE(SUBSTITUTE(SUBSTITUTE(SUBSTITUTE(SUBSTITUTE(SUBSTITUTE(SUBSTITUTE(SUBSTITUTE(SUBSTITUTE(SUBSTITUTE(SUBSTITUTE(SUBSTITUTE(SUBSTITUTE(SUBSTITUTE(SUBSTITUTE(BO484,"b","a"),"c","a"),"d","a"),"e","a"),"f","a"),"g","a"),"h","a"),"i","a"),"j","a"),"k","a"),"l","a"),"m","a"),"n","a"),"o","a"),"p","a"),"q","a"),"r","a"),"s","a"),"t","a"),"u","a"),"v","a"),"w","a"),"x","a"),"y","a"),"z","a")</f>
        <v/>
      </c>
      <c r="BQ484" s="61" t="n">
        <f aca="false">IFERROR(IF(AND(ISERROR(SEARCH(" mh"," "&amp;LOWER(W484))),ISNA(MATCH(LEFT(TRIM(BP484),255),{"0000a","000a","00a","0000aa","000aa","00aa","0aa","0000aaa","000aaa","00a00","0a00","0000-0000","00:00","a00","a0","00.00.0000","00/00/0000","00-00-0000","0000-00-00","0000/00/00","0000.00.00","00.00.00","00/00/00","00-00-00","0.00.0000","0/00/0000","0-00-0000"},0)),ISNA(MATCH(LEFT(TRIM(CA484),255),{"0000a","000a","00a","0000aa","000aa","00aa","0aa","0000aaa","000aaa","00a00","0a00","0000-0000","00:00","a00","a0","00.00.0000","00/00/0000","00-00-0000","0000-00-00","0000/00/00","0000.00.00","00.00.00","00/00/00","00-00-00","0.00.0000","0/00/0000","0-00-0000"},0)),LEN(CB484)&gt;=3,NOT(OR(SUBSTITUTE(CB484,"0","")="",AND(LEN(CB484)&gt;=4,CB484=REPT(LEFT(CB484),LEN(CB484))),ISNUMBER(MATCH(CB484,{"123","1234","12345","123456","1234567","12345678","0123","01234","012345","98765","987654","54321"},0)),AND(LEN(CB484)=8,LEFT(CB484,3)="202"))),OR(AND((LEN(CA484)-LEN(SUBSTITUTE(CA484,"a","")))&gt;=1,SUMPRODUCT(--ISNUMBER(SEARCH({"a0","a-0","a_0","a/0","a.0","a#0","0a","0-a","0_a","0/a"},BP484)))&gt;0),ISNUMBER(SEARCH("000000",BP484)))),1,0),0)</f>
        <v>0</v>
      </c>
      <c r="BR484" s="61" t="n">
        <f aca="false">IFERROR(LEN(SUBSTITUTE(CC484," ",""))-SUMPRODUCT((LEN(CC484)-LEN(SUBSTITUTE(CC484," "&amp;L_Role&amp;" "," ")))/(LEN(L_Role)+1)*LEN(L_Role)),0)</f>
        <v>0</v>
      </c>
      <c r="BS484" s="61" t="n">
        <f aca="false">IFERROR(LEN(SUBSTITUTE(CD484," ",""))-SUMPRODUCT((LEN(CD484)-LEN(SUBSTITUTE(CD484," "&amp;L_Role&amp;" "," ")))/(LEN(L_Role)+1)*LEN(L_Role)),0)</f>
        <v>0</v>
      </c>
      <c r="BT4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484,"revision",""),"version",""),"jan",""),"feb",""),"mar",""),"apr",""),"may",""),"jun",""),"jul",""),"aug",""),"sep",""),"oct",""),"nov",""),"dec",""),"utc",""),"gmt",""),"myt",""),"bst",""),"rev",""),"ver",""),"b","a"),"c","a"),"d","a"),"e","a"),"f","a"),"g","a"),"h","a"),"i","a"),"j","a"),"k","a"),"l","a"),"m","a"),"n","a"),"o","a"),"p","a"),"q","a"),"r","a"),"s","a"),"t","a"),"u","a"),"v","a"),"w","a"),"x","a"),"y","a"),"z","a")</f>
        <v/>
      </c>
      <c r="BU484" s="61" t="str">
        <f aca="false">SUBSTITUTE(SUBSTITUTE(SUBSTITUTE(SUBSTITUTE(SUBSTITUTE(SUBSTITUTE(SUBSTITUTE(SUBSTITUTE(SUBSTITUTE(SUBSTITUTE(LEFT(BM484,FIND("0",BM484&amp;"0")-1),"-",""),"_",""),"/",""),".",""),"#",""),"\\",""),":","")," ",""),"(",""),")","")</f>
        <v/>
      </c>
      <c r="BV484" s="61" t="n">
        <f aca="false">0</f>
        <v>0</v>
      </c>
      <c r="BW4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484&amp;""),"a",""),"b",""),"c",""),"d",""),"e",""),"f",""),"g",""),"h",""),"i",""),"j",""),"k",""),"l",""),"m",""),"n",""),"o",""),"p",""),"q",""),"r",""),"s",""),"t",""),"u",""),"v",""),"w",""),"x",""),"y",""),"z",""),"-",""),"_",""),"/",""),".",""),"#",""),"\\",""),":","")," ",""),"(",""),")","")</f>
        <v/>
      </c>
      <c r="BX484" s="61" t="str">
        <f aca="false">SUBSTITUTE(SUBSTITUTE(SUBSTITUTE(SUBSTITUTE(SUBSTITUTE(SUBSTITUTE(SUBSTITUTE(SUBSTITUTE(SUBSTITUTE(SUBSTITUTE(SUBSTITUTE(BM484,"0",""),"-",""),"_",""),"/",""),".",""),"#",""),"\\",""),":","")," ",""),"(",""),")","")</f>
        <v/>
      </c>
      <c r="BY484" s="62" t="n">
        <f aca="false">Q484-T7EarlyD*24/24</f>
        <v>46299.4583333333</v>
      </c>
      <c r="BZ484" s="61" t="n">
        <f aca="false">IFERROR(IF(IF(TRIM(S484)="Link / file path",AND(LEN(TRIM(Z484))&gt;=5,SUMPRODUCT(--ISNUMBER(SEARCH({"http","www.","\\",":\",".pdf",".jpg",".jpeg",".png",".heic",".xls",".doc",".msg",".eml",".ppt",".txt",".zip"},Z484)))&gt;0),AND(ISERROR(FIND(" ",TRIM(Z484))),NOT(OR(SUMPRODUCT(--ISNUMBER(FIND({",",";","&amp;","+"},Z484)))&gt;0,SUMPRODUCT(--ISNUMBER(SEARCH({"0/aa","0\\aa"},BN484)))&gt;0)),NOT(SUMPRODUCT(--ISNUMBER(SEARCH({"http","www.","\\",":\",".pdf",".jpg",".jpeg",".png",".heic",".xls",".doc",".msg",".eml",".ppt",".txt",".zip"},Z484)))&gt;0),NOT(LOWER(TRIM(Z484))=LOWER(Flights!$F$19)),ISNA(MATCH(BU484,{"mh","rev","revision","ver","version","v","r","a","b","seat","tray","row","gate","bay","stand","page","pg","item","line","no","cart","galley","flight","flt","table","box","bag","oven","etd","eta","std","sta","atd","ata","qty","pax","x","time","tel","ph","mob","day","wk","week","utc","gmt","myt","lt"},0)),NOT(OR(ISNUMBER(MATCH(LEFT(BN484,255),{"0000a","000a","00a","0000aa","000aa","00aa","0aa","0000aaa","000aaa","00a00","0a00","0000-0000","00:00","a00","a0","00.00.0000","00/00/0000","00-00-0000","0000-00-00","0000/00/00","0000.00.00","00.00.00","00/00/00","00-00-00","0.00.0000","0/00/0000","0-00-0000"},0)),ISNUMBER(MATCH(LEFT(BT484,255),{"0000a","000a","00a","0000aa","000aa","00aa","0aa","0000aaa","000aaa","00a00","0a00","0000-0000","00:00","a00","a0","00.00.0000","00/00/0000","00-00-0000","0000-00-00","0000/00/00","0000.00.00","00.00.00","00/00/00","00-00-00","0.00.0000","0/00/0000","0-00-0000"},0)))),NOT(OR(AND(BW484&lt;&gt;"",SUBSTITUTE(BW484,"0","")=""),AND(LEN(BW484)&gt;=4,BW484=REPT(LEFT(BW484),LEN(BW484))),ISNUMBER(MATCH(BW484,{"123","1234","12345","123456","1234567","12345678","0123","01234","012345","98765","987654","54321"},0)),ISNUMBER(MATCH(BX484,{"x","xx","xxx","xxxx","xxxxx","abc","abcd","nil","na","nan","test","tbc","tba","tbd","dummy","sample","example","eg","zz","zzz","none","null","xyz","qwe","asd","id","ref"},0)),AND(LEN(BW484)=8,BX484="",OR(LEFT(BW484,3)="202",ISNUMBER(MATCH(RIGHT(BW484,4),{"2025","2026","2027"},0)))))),OR(AND((LEN(BT484)-LEN(SUBSTITUTE(BT484,"a","")))&gt;=1,(LEN(BN484)-LEN(SUBSTITUTE(BN484,"0","")))&gt;=2,SUMPRODUCT(--ISNUMBER(SEARCH({"a0","a-0","a_0","a/0","a.0","a#0","0a","0-a","0_a","0/a"},BN484)))&gt;0),AND((LEN(BN484)-LEN(SUBSTITUTE(BN484,"a","")))=0,(LEN(BN484)-LEN(SUBSTITUTE(BN484,"0","")))&gt;=5)))),1,0),0)</f>
        <v>0</v>
      </c>
      <c r="CA4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484,"revision",""),"version",""),"jan",""),"feb",""),"mar",""),"apr",""),"may",""),"jun",""),"jul",""),"aug",""),"sep",""),"oct",""),"nov",""),"dec",""),"utc",""),"gmt",""),"myt",""),"bst",""),"rev",""),"ver",""),"b","a"),"c","a"),"d","a"),"e","a"),"f","a"),"g","a"),"h","a"),"i","a"),"j","a"),"k","a"),"l","a"),"m","a"),"n","a"),"o","a"),"p","a"),"q","a"),"r","a"),"s","a"),"t","a"),"u","a"),"v","a"),"w","a"),"x","a"),"y","a"),"z","a")</f>
        <v/>
      </c>
      <c r="CB4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484&amp;""),"a",""),"b",""),"c",""),"d",""),"e",""),"f",""),"g",""),"h",""),"i",""),"j",""),"k",""),"l",""),"m",""),"n",""),"o",""),"p",""),"q",""),"r",""),"s",""),"t",""),"u",""),"v",""),"w",""),"x",""),"y",""),"z",""),"-",""),"_",""),"/",""),".",""),"#",""),"\\",""),":","")," ",""),"(",""),")","")</f>
        <v/>
      </c>
      <c r="CC484" s="0" t="str">
        <f aca="false">" "&amp;TRIM(SUBSTITUTE(SUBSTITUTE(SUBSTITUTE(SUBSTITUTE(SUBSTITUTE(SUBSTITUTE(SUBSTITUTE(SUBSTITUTE(SUBSTITUTE(SUBSTITUTE(SUBSTITUTE(SUBSTITUTE(SUBSTITUTE(SUBSTITUTE(SUBSTITUTE(SUBSTITUTE(SUBSTITUTE(SUBSTITUTE(SUBSTITUTE(SUBSTITUTE(SUBSTITUTE(SUBSTITUTE(SUBSTITUTE(SUBSTITUTE(LOWER(T484&amp;""),CHAR(10)," "),CHAR(13)," "),CHAR(9)," "),CHAR(160)," "),"."," "),","," "),"-"," "),"/"," "),"("," "),")"," "),":"," "),";"," "),"_"," "),"–"," "),"?"," "),"!"," "),"*"," "),"["," "),"]"," "),"'"," "),"#"," "),"+"," "),"&amp;"," "),"\"," "))&amp;" "</f>
        <v>  </v>
      </c>
      <c r="CD484" s="0" t="str">
        <f aca="false">" "&amp;TRIM(SUBSTITUTE(SUBSTITUTE(SUBSTITUTE(SUBSTITUTE(SUBSTITUTE(SUBSTITUTE(SUBSTITUTE(SUBSTITUTE(SUBSTITUTE(SUBSTITUTE(SUBSTITUTE(SUBSTITUTE(SUBSTITUTE(SUBSTITUTE(SUBSTITUTE(SUBSTITUTE(SUBSTITUTE(SUBSTITUTE(SUBSTITUTE(SUBSTITUTE(SUBSTITUTE(SUBSTITUTE(SUBSTITUTE(SUBSTITUTE(LOWER(AE484&amp;""),CHAR(10)," "),CHAR(13)," "),CHAR(9)," "),CHAR(160)," "),"."," "),","," "),"-"," "),"/"," "),"("," "),")"," "),":"," "),";"," "),"_"," "),"–"," "),"?"," "),"!"," "),"*"," "),"["," "),"]"," "),"'"," "),"#"," "),"+"," "),"&amp;"," "),"\"," "))&amp;" "</f>
        <v>  </v>
      </c>
      <c r="CE484" s="68" t="n">
        <f aca="false">IFERROR(IF(AND(LEN(AU484)&gt;0,LEN(AU484)=LEN(AX484),OR(TRIM(MID(SUBSTITUTE(TRIM(CC484)," ",REPT(" ",60)),1,60))="",ISNUMBER(SEARCH(" "&amp;TRIM(MID(SUBSTITUTE(TRIM(CC484)," ",REPT(" ",60)),1,60))&amp;" ",CD484))),OR(TRIM(MID(SUBSTITUTE(TRIM(CC484)," ",REPT(" ",60)),61,60))="",ISNUMBER(SEARCH(" "&amp;TRIM(MID(SUBSTITUTE(TRIM(CC484)," ",REPT(" ",60)),61,60))&amp;" ",CD484))),OR(TRIM(MID(SUBSTITUTE(TRIM(CC484)," ",REPT(" ",60)),121,60))="",ISNUMBER(SEARCH(" "&amp;TRIM(MID(SUBSTITUTE(TRIM(CC484)," ",REPT(" ",60)),121,60))&amp;" ",CD484)))),1,0),0)</f>
        <v>0</v>
      </c>
      <c r="CG484" s="68" t="n">
        <f aca="false">IFERROR(LEN(SUBSTITUTE(BF484," ",""))-SUMPRODUCT((LEN(BF484)-LEN(SUBSTITUTE(BF484," "&amp;L_NAFiller&amp;" "," ")))/(LEN(L_NAFiller)+1)*LEN(L_NAFiller)),0)</f>
        <v>0</v>
      </c>
    </row>
    <row r="485" customFormat="false" ht="39.75" hidden="false" customHeight="true" outlineLevel="0" collapsed="false">
      <c r="A485" s="57" t="s">
        <v>1136</v>
      </c>
      <c r="B485" s="57" t="s">
        <v>278</v>
      </c>
      <c r="C485" s="57" t="str">
        <f aca="false">Flights!$F$19</f>
        <v>MH0003</v>
      </c>
      <c r="D485" s="58" t="n">
        <f aca="false">Flights!$D$19</f>
        <v>46320</v>
      </c>
      <c r="E485" s="57" t="str">
        <f aca="false">Flights!$G$19&amp;"-"&amp;Flights!$H$19</f>
        <v>LHR-KUL</v>
      </c>
      <c r="F485" s="57" t="str">
        <f aca="false">Flights!$K$19</f>
        <v>EY</v>
      </c>
      <c r="G485" s="57" t="s">
        <v>81</v>
      </c>
      <c r="H485" s="57" t="s">
        <v>378</v>
      </c>
      <c r="I485" s="57" t="s">
        <v>398</v>
      </c>
      <c r="J485" s="57" t="s">
        <v>399</v>
      </c>
      <c r="K485" s="67" t="s">
        <v>400</v>
      </c>
      <c r="L485" s="67" t="s">
        <v>382</v>
      </c>
      <c r="M485" s="67"/>
      <c r="N485" s="67" t="s">
        <v>383</v>
      </c>
      <c r="O485" s="67"/>
      <c r="P485" s="57" t="s">
        <v>186</v>
      </c>
      <c r="Q485" s="59" t="n">
        <f aca="false">ROUND((Flights!$AC$19)*1440,0)/1440</f>
        <v>46313.4583333333</v>
      </c>
      <c r="R485" s="59" t="n">
        <f aca="false">Q485+(IF(AND(INDEX(TZ_DSTS,MATCH(P485,TZ_STN,0))&lt;&gt;"",Q485&gt;=INDEX(TZ_DSTS,MATCH(P485,TZ_STN,0)),Q485&lt;INDEX(TZ_DSTE,MATCH(P485,TZ_STN,0))),INDEX(TZ_DST,MATCH(P485,TZ_STN,0)),INDEX(TZ_STD,MATCH(P485,TZ_STN,0))))/24</f>
        <v>46313.5</v>
      </c>
      <c r="S485" s="60"/>
      <c r="T485" s="60"/>
      <c r="U485" s="60"/>
      <c r="V485" s="60"/>
      <c r="W485" s="61"/>
      <c r="X485" s="60"/>
      <c r="Y485" s="60"/>
      <c r="Z485" s="60"/>
      <c r="AA485" s="60"/>
      <c r="AB485" s="60"/>
      <c r="AC485" s="60"/>
      <c r="AD485" s="66"/>
      <c r="AE485" s="60"/>
      <c r="AF485" s="61" t="str">
        <f aca="false">IF(AND(ISNUMBER(X485),ISNUMBER(Y485)),Y485-X485,"")</f>
        <v/>
      </c>
      <c r="AG485" s="62" t="str">
        <f aca="false">IF(ISNUMBER(AD485),AD485-(IF(AND(INDEX(TZ_DSTS,MATCH(P485,TZ_STN,0))&lt;&gt;"",(AD485-INDEX(TZ_STD,MATCH(P485,TZ_STN,0))/24)&gt;=INDEX(TZ_DSTS,MATCH(P485,TZ_STN,0)),(AD485-INDEX(TZ_STD,MATCH(P485,TZ_STN,0))/24)&lt;INDEX(TZ_DSTE,MATCH(P485,TZ_STN,0))),INDEX(TZ_DST,MATCH(P485,TZ_STN,0)),INDEX(TZ_STD,MATCH(P485,TZ_STN,0))))/24,"")</f>
        <v/>
      </c>
      <c r="AH485" s="65" t="str">
        <f aca="false">IFERROR(IF(N485="N/A – rule",IF(OR(TRIM(U485)="",TRIM(U485)="N/A",TRIM(U485)="Not started"),"N/A – RULE","INVALID – this check does not apply to this aircraft: clear the status (or correct the fleet on Flights)"),IF(TRIM(U485)="N/A",IF(AT485=0,"INVALID – N/A not permitted for this check",IF(AND(TRIM(AB485)&lt;&gt;"",TRIM(AB485)&lt;&gt;"Closed"),"INVALID – corrective action still open",IF(AND(NOT(OR(LEN(AZ485)&lt;15,ISNUMBER(MATCH(AZ485,L_Placeholder,0)))),BK485=0,CG485&gt;=8,NOT(OR(LEN(AU485)&lt;2,ISNUMBER(MATCH(AU485,L_Placeholder,0)))),BR485&gt;=3,NOT(OR(LEN(AX485)&lt;2,ISNUMBER(MATCH(AX485,L_Placeholder,0)))),BS485&gt;=3,TRIM(AE485)&lt;&gt;TRIM(T485),AX485&lt;&gt;AU485,CE485=0),"N/A – JUSTIFIED","INVALID – N/A needs a real, settled reason (not 'not applicable' / 'as above' / TBC), a named PIC and a different named verifier"))),IF(OR(TRIM(U485)="Pass",TRIM(U485)="Pass after CA"),IF(NOT(ISNUMBER(AD485)),"INVALID – completion time missing",IF(OR(OR(LEN(AU485)&lt;2,ISNUMBER(MATCH(AU485,L_Placeholder,0))),BR485&lt;3),"INVALID – PIC missing or not a named person (a role such as QA / CSM is not a name)",IF(OR(LEN(AV485)&lt;2,ISNUMBER(MATCH(AV485,L_Placeholder,0))),"INVALID – result / assessment missing",IF(OR(OR(LEN(AW485)&lt;3,ISNUMBER(MATCH(AW485,L_Placeholder,0))),SUMPRODUCT(--ISNUMBER(SEARCH(" "&amp;L_EvidencePhrase&amp;" ",BD485)))&gt;0,BI485=1),"INVALID – evidence missing, placeholder or not yet on file",IF(ISNA(MATCH(TRIM(S485),L_EvidenceType,0)),"INVALID – choose the evidence type from the list (column S)",IF(BL485=0,"INVALID – evidence ID must be the record's own ID only (e.g. SF-2210, IMG_2231, 1045521); a link / file name needs type 'Link / file path'",IF(OR(OR(LEN(AX485)&lt;2,ISNUMBER(MATCH(AX485,L_Placeholder,0))),BS485&lt;3),"INVALID – verifier missing or not a named person (a role such as QA / CSM is not a name)",IF(OR(AX485=AU485,CE485=1,AND(LEN(AU485)&gt;=4,ISNUMBER(SEARCH(AU485,AX485))),AND(LEN(AX485)&gt;=4,ISNUMBER(SEARCH(AX485,AU485)))),"INVALID – verifier must be a different, named person (not the PIC or a role)",IF(BH485=1,"INVALID – result not yet available (awaiting / TBC)",IF(BG485=1,"INVALID – result describes a problem: record Fail, then Pass after CA (or reword if it is not a problem)",IF(BV485=1,"INVALID – wording says not on board: an on-board confirmation needs the item loaded",IF(AND(AQ485=1,OR(OR(LEN(AY485)&lt;3,ISNUMBER(MATCH(AY485,L_Placeholder,0))),BJ485=1,BQ485=0)),"INVALID – batch ID missing, placeholder or not an ID (e.g. PASB-261008-BC-017)",IF(AND(AR485=1,OR(NOT(ISNUMBER(X485)),NOT(ISNUMBER(Y485)))),"INVALID – expected/actual qty missing",IF(AND(AR485=1,OR(X485&lt;=0,Y485&lt;0)),"INVALID – expected qty must be above 0 and actual not negative",IF(BB485&lt;&gt;"",BB485,IF(AND(AS485=1,Documents!$J$19&lt;&gt;"ON FILE"),"INVALID – GLD not on file (Documents sheet)",IF(AND(AS485=2,Documents!$O$19&lt;&gt;"ON FILE"),"INVALID – menu checklist not on file (Documents sheet)",IF(AND(AS485=3,NOT(ISNUMBER(Flights!$AX$19))),"INVALID – enter carrying flight KUL departure (Flights AX)",IF(AND(AS485=3,OR(Flights!$AZ$19&gt;Flights!$AA$19,Flights!$AX$19&lt;Flights!$AA$19-3)),"INVALID – carrying flight (Flights AX) cannot arrive before this leg's STD, or is over 3 days early",IF(AG485&gt;AsOfUTC,"INVALID – completion time is in the future",IF(AND(ISNUMBER(BY485),AG485&lt;BY485),IF(H485="Physical uplift","INVALID – before uplift window (cannot confirm loading)","INVALID – before valid window"),IF(AG485&gt;Flights!$AA$19,"INVALID – completed after departure (cannot establish readiness)",IF(AND(H485="Preparation",AG485&gt;=IF(ISNUMBER(Flights!$BA$19),MIN(Flights!$BA$19,Flights!$AA$19),Flights!$AA$19)),"INVALID – completed after loading / departure (cannot establish readiness)",IF(AND(H485="Physical uplift",AG485&gt;Q485),"INVALID – recorded after the loading flight departed",IF(AG485&gt;Q485,"COMPLETE – LATE","COMPLETE"))))))))))))))))))))))))),IF(TRIM(U485)="Fail","FAIL – DISCREPANCY",IF(AND(TRIM(U485)&lt;&gt;"",TRIM(U485)&lt;&gt;"Not started",TRIM(U485)&lt;&gt;"In progress"),"INVALID – unrecognised status (use the list)",IF(AsOfUTC&gt;Q485,"OVERDUE",IF(N485="Clarification required","OPEN – CLARIFICATION","OPEN"))))))),"INVALID – error value in an input cell")</f>
        <v>OPEN</v>
      </c>
      <c r="AI485" s="61" t="n">
        <f aca="false">IF(OR(AH485="N/A – RULE",AH485="N/A – JUSTIFIED"),0,1)</f>
        <v>1</v>
      </c>
      <c r="AJ485" s="61" t="n">
        <f aca="false">IF(LEFT(AH485,8)="COMPLETE",1,0)</f>
        <v>0</v>
      </c>
      <c r="AK485" s="61" t="n">
        <f aca="false">IF(AND(AI485=1,AJ485=0,AsOfUTC&gt;Q485),1,0)</f>
        <v>0</v>
      </c>
      <c r="AL485" s="61" t="n">
        <f aca="false">IFERROR(IF(AND(AI485=1,OR(TRIM(U485)="Fail",AND(TRIM(AB485)&lt;&gt;"",TRIM(AB485)&lt;&gt;"Closed"),AND(ISNUMBER(AF485),AF485&lt;&gt;0,TRIM(U485)&lt;&gt;"Pass after CA"))),1,0),1)</f>
        <v>0</v>
      </c>
      <c r="AM485" s="61" t="n">
        <f aca="false">IF(LEFT(AH485,7)="INVALID",1,0)</f>
        <v>0</v>
      </c>
      <c r="AN485" s="61" t="n">
        <f aca="false">IF(AND(N485="Clarification required",AI485=1,AJ485=0),1,0)</f>
        <v>0</v>
      </c>
      <c r="AO485" s="61" t="str">
        <f aca="false">IF(AK485=1,SUM(AK$5:AK485),"")</f>
        <v/>
      </c>
      <c r="AP485" s="61" t="str">
        <f aca="false">IF(AL485=1,SUM(AL$5:AL485),"")</f>
        <v/>
      </c>
      <c r="AQ485" s="61" t="n">
        <v>0</v>
      </c>
      <c r="AR485" s="61" t="n">
        <v>0</v>
      </c>
      <c r="AS485" s="61" t="n">
        <v>0</v>
      </c>
      <c r="AT485" s="61" t="n">
        <v>0</v>
      </c>
      <c r="AU485" s="61" t="str">
        <f aca="false">SUBSTITUTE(SUBSTITUTE(SUBSTITUTE(SUBSTITUTE(SUBSTITUTE(SUBSTITUTE(SUBSTITUTE(SUBSTITUTE(SUBSTITUTE(SUBSTITUTE(SUBSTITUTE(SUBSTITUTE(SUBSTITUTE(SUBSTITUTE(SUBSTITUTE(SUBSTITUTE(LOWER(T485&amp;""),CHAR(10),""),CHAR(13),""),CHAR(9),""),CHAR(160),"")," ",""),".",""),"-",""),"/",""),"?",""),"_",""),",",""),"[",""),"]",""),"(",""),")",""),"*","")</f>
        <v/>
      </c>
      <c r="AV485" s="61" t="str">
        <f aca="false">SUBSTITUTE(SUBSTITUTE(SUBSTITUTE(SUBSTITUTE(SUBSTITUTE(SUBSTITUTE(SUBSTITUTE(SUBSTITUTE(SUBSTITUTE(SUBSTITUTE(SUBSTITUTE(SUBSTITUTE(SUBSTITUTE(SUBSTITUTE(SUBSTITUTE(SUBSTITUTE(LOWER(V485&amp;""),CHAR(10),""),CHAR(13),""),CHAR(9),""),CHAR(160),"")," ",""),".",""),"-",""),"/",""),"?",""),"_",""),",",""),"[",""),"]",""),"(",""),")",""),"*","")</f>
        <v/>
      </c>
      <c r="AW485" s="61" t="str">
        <f aca="false">SUBSTITUTE(SUBSTITUTE(SUBSTITUTE(SUBSTITUTE(SUBSTITUTE(SUBSTITUTE(SUBSTITUTE(SUBSTITUTE(SUBSTITUTE(SUBSTITUTE(SUBSTITUTE(SUBSTITUTE(SUBSTITUTE(SUBSTITUTE(SUBSTITUTE(SUBSTITUTE(LOWER(Z485&amp;""),CHAR(10),""),CHAR(13),""),CHAR(9),""),CHAR(160),"")," ",""),".",""),"-",""),"/",""),"?",""),"_",""),",",""),"[",""),"]",""),"(",""),")",""),"*","")</f>
        <v/>
      </c>
      <c r="AX485" s="61" t="str">
        <f aca="false">SUBSTITUTE(SUBSTITUTE(SUBSTITUTE(SUBSTITUTE(SUBSTITUTE(SUBSTITUTE(SUBSTITUTE(SUBSTITUTE(SUBSTITUTE(SUBSTITUTE(SUBSTITUTE(SUBSTITUTE(SUBSTITUTE(SUBSTITUTE(SUBSTITUTE(SUBSTITUTE(LOWER(AE485&amp;""),CHAR(10),""),CHAR(13),""),CHAR(9),""),CHAR(160),"")," ",""),".",""),"-",""),"/",""),"?",""),"_",""),",",""),"[",""),"]",""),"(",""),")",""),"*","")</f>
        <v/>
      </c>
      <c r="AY485" s="61" t="str">
        <f aca="false">SUBSTITUTE(SUBSTITUTE(SUBSTITUTE(SUBSTITUTE(SUBSTITUTE(SUBSTITUTE(SUBSTITUTE(SUBSTITUTE(SUBSTITUTE(SUBSTITUTE(SUBSTITUTE(SUBSTITUTE(SUBSTITUTE(SUBSTITUTE(SUBSTITUTE(SUBSTITUTE(LOWER(W485&amp;""),CHAR(10),""),CHAR(13),""),CHAR(9),""),CHAR(160),"")," ",""),".",""),"-",""),"/",""),"?",""),"_",""),",",""),"[",""),"]",""),"(",""),")",""),"*","")</f>
        <v/>
      </c>
      <c r="AZ485" s="61" t="str">
        <f aca="false">SUBSTITUTE(SUBSTITUTE(SUBSTITUTE(SUBSTITUTE(SUBSTITUTE(SUBSTITUTE(SUBSTITUTE(SUBSTITUTE(SUBSTITUTE(SUBSTITUTE(SUBSTITUTE(SUBSTITUTE(SUBSTITUTE(SUBSTITUTE(SUBSTITUTE(SUBSTITUTE(LOWER(AC485&amp;""),CHAR(10),""),CHAR(13),""),CHAR(9),""),CHAR(160),"")," ",""),".",""),"-",""),"/",""),"?",""),"_",""),",",""),"[",""),"]",""),"(",""),")",""),"*","")</f>
        <v/>
      </c>
      <c r="BA485" s="61" t="str">
        <f aca="false">SUBSTITUTE(SUBSTITUTE(SUBSTITUTE(SUBSTITUTE(SUBSTITUTE(SUBSTITUTE(SUBSTITUTE(SUBSTITUTE(SUBSTITUTE(SUBSTITUTE(SUBSTITUTE(SUBSTITUTE(SUBSTITUTE(SUBSTITUTE(SUBSTITUTE(SUBSTITUTE(LOWER(AA485&amp;""),CHAR(10),""),CHAR(13),""),CHAR(9),""),CHAR(160),"")," ",""),".",""),"-",""),"/",""),"?",""),"_",""),",",""),"[",""),"]",""),"(",""),")",""),"*","")</f>
        <v/>
      </c>
      <c r="BB485" s="61" t="str">
        <f aca="false">IF(AND(TRIM(U485)="Pass",ISNUMBER(AF485)),IF(AF485&lt;&gt;0,"INVALID – qty variance: use Fail or Pass after CA",""),"")&amp;IF(AND(TRIM(U485)="Pass after CA",ISNUMBER(AF485)),IF(AF485&lt;&gt;0,"INVALID – after the corrective action the actual qty must equal expected (update Actual)",""),"")&amp;IF(AND(TRIM(U485)="Pass",TRIM(AB485)&lt;&gt;"",TRIM(AB485)&lt;&gt;"Closed"),"INVALID – corrective action not closed: use Fail, then Pass after CA","")&amp;IF(AND(LEN(BA485)&gt;=2,ISNA(MATCH(LEFT(BA485,255),L_Placeholder,0)),TRIM(AB485)=""),"INVALID – CA status missing for the recorded corrective action","")&amp;IF(AND(TRIM(U485)="Pass after CA",OR(OR(LEN(BA485)&lt;5,ISNUMBER(MATCH(BA485,L_Placeholder,0))),TRIM(AB485)&lt;&gt;"Closed")),"INVALID – corrective action not recorded/closed","")</f>
        <v/>
      </c>
      <c r="BC485" s="61" t="str">
        <f aca="false">" "&amp;TRIM(SUBSTITUTE(SUBSTITUTE(SUBSTITUTE(SUBSTITUTE(SUBSTITUTE(SUBSTITUTE(SUBSTITUTE(SUBSTITUTE(SUBSTITUTE(SUBSTITUTE(SUBSTITUTE(SUBSTITUTE(SUBSTITUTE(SUBSTITUTE(SUBSTITUTE(SUBSTITUTE(SUBSTITUTE(SUBSTITUTE(SUBSTITUTE(SUBSTITUTE(SUBSTITUTE(SUBSTITUTE(SUBSTITUTE(SUBSTITUTE(LOWER(V485&amp;""),CHAR(10)," "),CHAR(13)," "),CHAR(9)," "),CHAR(160)," "),"."," "),","," "),"-"," "),"/"," "),"("," "),")"," "),":"," "),";"," "),"_"," "),"–"," "),"?"," "),"!"," "),"*"," "),"["," "),"]"," "),"'"," "),"#"," "),"+"," "),"&amp;"," "),"\"," "))&amp;" "</f>
        <v>  </v>
      </c>
      <c r="BD485" s="61" t="str">
        <f aca="false">" "&amp;TRIM(SUBSTITUTE(SUBSTITUTE(SUBSTITUTE(SUBSTITUTE(SUBSTITUTE(SUBSTITUTE(SUBSTITUTE(SUBSTITUTE(SUBSTITUTE(SUBSTITUTE(SUBSTITUTE(SUBSTITUTE(SUBSTITUTE(SUBSTITUTE(SUBSTITUTE(SUBSTITUTE(SUBSTITUTE(SUBSTITUTE(SUBSTITUTE(SUBSTITUTE(SUBSTITUTE(SUBSTITUTE(SUBSTITUTE(SUBSTITUTE(LOWER(Z485&amp;""),CHAR(10)," "),CHAR(13)," "),CHAR(9)," "),CHAR(160)," "),"."," "),","," "),"-"," "),"/"," "),"("," "),")"," "),":"," "),";"," "),"_"," "),"–"," "),"?"," "),"!"," "),"*"," "),"["," "),"]"," "),"'"," "),"#"," "),"+"," "),"&amp;"," "),"\"," "))&amp;" "</f>
        <v>  </v>
      </c>
      <c r="BE485" s="61" t="str">
        <f aca="false">" "&amp;TRIM(SUBSTITUTE(SUBSTITUTE(SUBSTITUTE(SUBSTITUTE(SUBSTITUTE(SUBSTITUTE(SUBSTITUTE(SUBSTITUTE(SUBSTITUTE(SUBSTITUTE(SUBSTITUTE(SUBSTITUTE(SUBSTITUTE(SUBSTITUTE(SUBSTITUTE(SUBSTITUTE(SUBSTITUTE(SUBSTITUTE(SUBSTITUTE(SUBSTITUTE(SUBSTITUTE(SUBSTITUTE(SUBSTITUTE(SUBSTITUTE(LOWER(W485&amp;""),CHAR(10)," "),CHAR(13)," "),CHAR(9)," "),CHAR(160)," "),"."," "),","," "),"-"," "),"/"," "),"("," "),")"," "),":"," "),";"," "),"_"," "),"–"," "),"?"," "),"!"," "),"*"," "),"["," "),"]"," "),"'"," "),"#"," "),"+"," "),"&amp;"," "),"\"," "))&amp;" "</f>
        <v>  </v>
      </c>
      <c r="BF485" s="61" t="str">
        <f aca="false">" "&amp;TRIM(SUBSTITUTE(SUBSTITUTE(SUBSTITUTE(SUBSTITUTE(SUBSTITUTE(SUBSTITUTE(SUBSTITUTE(SUBSTITUTE(SUBSTITUTE(SUBSTITUTE(SUBSTITUTE(SUBSTITUTE(SUBSTITUTE(SUBSTITUTE(SUBSTITUTE(SUBSTITUTE(SUBSTITUTE(SUBSTITUTE(SUBSTITUTE(SUBSTITUTE(SUBSTITUTE(SUBSTITUTE(SUBSTITUTE(SUBSTITUTE(LOWER(AC485&amp;""),CHAR(10)," "),CHAR(13)," "),CHAR(9)," "),CHAR(160)," "),"."," "),","," "),"-"," "),"/"," "),"("," "),")"," "),":"," "),";"," "),"_"," "),"–"," "),"?"," "),"!"," "),"*"," "),"["," "),"]"," "),"'"," "),"#"," "),"+"," "),"&amp;"," "),"\"," "))&amp;" "</f>
        <v>  </v>
      </c>
      <c r="BG485" s="61" t="n">
        <f aca="false">IFERROR(IF(AND(TRIM(U485)="Pass",SUMPRODUCT((LEN(BC485)-LEN(SUBSTITUTE(BC485," "&amp;L_ResultBad&amp;" "," ")))/(LEN(L_ResultBad)+1))&gt;SUMPRODUCT((LEN(BC485)-LEN(SUBSTITUTE(BC485," "&amp;L_NegPhrase&amp;" "," ")))/(LEN(L_NegPhrase)+1))),1,0),0)</f>
        <v>0</v>
      </c>
      <c r="BH485" s="61" t="n">
        <f aca="false">IFERROR(IF(SUMPRODUCT((LEN(BC485)-LEN(SUBSTITUTE(BC485," "&amp;L_Pending&amp;" "," ")))/(LEN(L_Pending)+1))&gt;SUMPRODUCT((LEN(BC485)-LEN(SUBSTITUTE(BC485," "&amp;L_PendNeg&amp;" "," ")))/(LEN(L_PendNeg)+1))+SUMPRODUCT((LEN(BC485)-LEN(SUBSTITUTE(BC485," "&amp;L_PendPrep&amp;" "," ")))/(LEN(L_PendPrep)+1)),1,0),1)</f>
        <v>0</v>
      </c>
      <c r="BI485" s="61" t="n">
        <f aca="false">IFERROR(IF(SUMPRODUCT((LEN(BD485)-LEN(SUBSTITUTE(BD485," "&amp;L_PendStrict&amp;" "," ")))/(LEN(L_PendStrict)+1))&gt;SUMPRODUCT((LEN(BD485)-LEN(SUBSTITUTE(BD485," "&amp;L_PendNeg&amp;" "," ")))/(LEN(L_PendNeg)+1)),1,0),1)</f>
        <v>0</v>
      </c>
      <c r="BJ485" s="61" t="n">
        <f aca="false">IFERROR(IF(SUMPRODUCT((LEN(BE485)-LEN(SUBSTITUTE(BE485," "&amp;L_Pending&amp;" "," ")))/(LEN(L_Pending)+1))&gt;SUMPRODUCT((LEN(BE485)-LEN(SUBSTITUTE(BE485," "&amp;L_PendNeg&amp;" "," ")))/(LEN(L_PendNeg)+1))+SUMPRODUCT((LEN(BE485)-LEN(SUBSTITUTE(BE485," "&amp;L_PendPrep&amp;" "," ")))/(LEN(L_PendPrep)+1)),1,0),1)</f>
        <v>0</v>
      </c>
      <c r="BK485" s="61" t="n">
        <f aca="false">IFERROR(IF(SUMPRODUCT((LEN(BF485)-LEN(SUBSTITUTE(BF485," "&amp;L_PendStrict&amp;" "," ")))/(LEN(L_PendStrict)+1))&gt;SUMPRODUCT((LEN(BF485)-LEN(SUBSTITUTE(BF485," "&amp;L_PendNeg&amp;" "," ")))/(LEN(L_PendNeg)+1)),1,0),1)</f>
        <v>0</v>
      </c>
      <c r="BL485" s="61" t="n">
        <f aca="false">IF(ISNA(MATCH(TRIM(S485),L_EvidenceType,0)),0,BZ485)</f>
        <v>0</v>
      </c>
      <c r="BM485" s="61" t="str">
        <f aca="false">SUBSTITUTE(SUBSTITUTE(SUBSTITUTE(SUBSTITUTE(SUBSTITUTE(SUBSTITUTE(SUBSTITUTE(SUBSTITUTE(SUBSTITUTE(LOWER(Z485&amp;""),"1","0"),"2","0"),"3","0"),"4","0"),"5","0"),"6","0"),"7","0"),"8","0"),"9","0")</f>
        <v/>
      </c>
      <c r="BN485" s="61" t="str">
        <f aca="false">SUBSTITUTE(SUBSTITUTE(SUBSTITUTE(SUBSTITUTE(SUBSTITUTE(SUBSTITUTE(SUBSTITUTE(SUBSTITUTE(SUBSTITUTE(SUBSTITUTE(SUBSTITUTE(SUBSTITUTE(SUBSTITUTE(SUBSTITUTE(SUBSTITUTE(SUBSTITUTE(SUBSTITUTE(SUBSTITUTE(SUBSTITUTE(SUBSTITUTE(SUBSTITUTE(SUBSTITUTE(SUBSTITUTE(SUBSTITUTE(SUBSTITUTE(BM485,"b","a"),"c","a"),"d","a"),"e","a"),"f","a"),"g","a"),"h","a"),"i","a"),"j","a"),"k","a"),"l","a"),"m","a"),"n","a"),"o","a"),"p","a"),"q","a"),"r","a"),"s","a"),"t","a"),"u","a"),"v","a"),"w","a"),"x","a"),"y","a"),"z","a")</f>
        <v/>
      </c>
      <c r="BO485" s="61" t="str">
        <f aca="false">SUBSTITUTE(SUBSTITUTE(SUBSTITUTE(SUBSTITUTE(SUBSTITUTE(SUBSTITUTE(SUBSTITUTE(SUBSTITUTE(SUBSTITUTE(LOWER(W485&amp;""),"1","0"),"2","0"),"3","0"),"4","0"),"5","0"),"6","0"),"7","0"),"8","0"),"9","0")</f>
        <v/>
      </c>
      <c r="BP485" s="61" t="str">
        <f aca="false">SUBSTITUTE(SUBSTITUTE(SUBSTITUTE(SUBSTITUTE(SUBSTITUTE(SUBSTITUTE(SUBSTITUTE(SUBSTITUTE(SUBSTITUTE(SUBSTITUTE(SUBSTITUTE(SUBSTITUTE(SUBSTITUTE(SUBSTITUTE(SUBSTITUTE(SUBSTITUTE(SUBSTITUTE(SUBSTITUTE(SUBSTITUTE(SUBSTITUTE(SUBSTITUTE(SUBSTITUTE(SUBSTITUTE(SUBSTITUTE(SUBSTITUTE(BO485,"b","a"),"c","a"),"d","a"),"e","a"),"f","a"),"g","a"),"h","a"),"i","a"),"j","a"),"k","a"),"l","a"),"m","a"),"n","a"),"o","a"),"p","a"),"q","a"),"r","a"),"s","a"),"t","a"),"u","a"),"v","a"),"w","a"),"x","a"),"y","a"),"z","a")</f>
        <v/>
      </c>
      <c r="BQ485" s="61" t="n">
        <f aca="false">IFERROR(IF(AND(ISERROR(SEARCH(" mh"," "&amp;LOWER(W485))),ISNA(MATCH(LEFT(TRIM(BP485),255),{"0000a","000a","00a","0000aa","000aa","00aa","0aa","0000aaa","000aaa","00a00","0a00","0000-0000","00:00","a00","a0","00.00.0000","00/00/0000","00-00-0000","0000-00-00","0000/00/00","0000.00.00","00.00.00","00/00/00","00-00-00","0.00.0000","0/00/0000","0-00-0000"},0)),ISNA(MATCH(LEFT(TRIM(CA485),255),{"0000a","000a","00a","0000aa","000aa","00aa","0aa","0000aaa","000aaa","00a00","0a00","0000-0000","00:00","a00","a0","00.00.0000","00/00/0000","00-00-0000","0000-00-00","0000/00/00","0000.00.00","00.00.00","00/00/00","00-00-00","0.00.0000","0/00/0000","0-00-0000"},0)),LEN(CB485)&gt;=3,NOT(OR(SUBSTITUTE(CB485,"0","")="",AND(LEN(CB485)&gt;=4,CB485=REPT(LEFT(CB485),LEN(CB485))),ISNUMBER(MATCH(CB485,{"123","1234","12345","123456","1234567","12345678","0123","01234","012345","98765","987654","54321"},0)),AND(LEN(CB485)=8,LEFT(CB485,3)="202"))),OR(AND((LEN(CA485)-LEN(SUBSTITUTE(CA485,"a","")))&gt;=1,SUMPRODUCT(--ISNUMBER(SEARCH({"a0","a-0","a_0","a/0","a.0","a#0","0a","0-a","0_a","0/a"},BP485)))&gt;0),ISNUMBER(SEARCH("000000",BP485)))),1,0),0)</f>
        <v>0</v>
      </c>
      <c r="BR485" s="61" t="n">
        <f aca="false">IFERROR(LEN(SUBSTITUTE(CC485," ",""))-SUMPRODUCT((LEN(CC485)-LEN(SUBSTITUTE(CC485," "&amp;L_Role&amp;" "," ")))/(LEN(L_Role)+1)*LEN(L_Role)),0)</f>
        <v>0</v>
      </c>
      <c r="BS485" s="61" t="n">
        <f aca="false">IFERROR(LEN(SUBSTITUTE(CD485," ",""))-SUMPRODUCT((LEN(CD485)-LEN(SUBSTITUTE(CD485," "&amp;L_Role&amp;" "," ")))/(LEN(L_Role)+1)*LEN(L_Role)),0)</f>
        <v>0</v>
      </c>
      <c r="BT4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485,"revision",""),"version",""),"jan",""),"feb",""),"mar",""),"apr",""),"may",""),"jun",""),"jul",""),"aug",""),"sep",""),"oct",""),"nov",""),"dec",""),"utc",""),"gmt",""),"myt",""),"bst",""),"rev",""),"ver",""),"b","a"),"c","a"),"d","a"),"e","a"),"f","a"),"g","a"),"h","a"),"i","a"),"j","a"),"k","a"),"l","a"),"m","a"),"n","a"),"o","a"),"p","a"),"q","a"),"r","a"),"s","a"),"t","a"),"u","a"),"v","a"),"w","a"),"x","a"),"y","a"),"z","a")</f>
        <v/>
      </c>
      <c r="BU485" s="61" t="str">
        <f aca="false">SUBSTITUTE(SUBSTITUTE(SUBSTITUTE(SUBSTITUTE(SUBSTITUTE(SUBSTITUTE(SUBSTITUTE(SUBSTITUTE(SUBSTITUTE(SUBSTITUTE(LEFT(BM485,FIND("0",BM485&amp;"0")-1),"-",""),"_",""),"/",""),".",""),"#",""),"\\",""),":","")," ",""),"(",""),")","")</f>
        <v/>
      </c>
      <c r="BV485" s="61" t="n">
        <f aca="false">0</f>
        <v>0</v>
      </c>
      <c r="BW4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485&amp;""),"a",""),"b",""),"c",""),"d",""),"e",""),"f",""),"g",""),"h",""),"i",""),"j",""),"k",""),"l",""),"m",""),"n",""),"o",""),"p",""),"q",""),"r",""),"s",""),"t",""),"u",""),"v",""),"w",""),"x",""),"y",""),"z",""),"-",""),"_",""),"/",""),".",""),"#",""),"\\",""),":","")," ",""),"(",""),")","")</f>
        <v/>
      </c>
      <c r="BX485" s="61" t="str">
        <f aca="false">SUBSTITUTE(SUBSTITUTE(SUBSTITUTE(SUBSTITUTE(SUBSTITUTE(SUBSTITUTE(SUBSTITUTE(SUBSTITUTE(SUBSTITUTE(SUBSTITUTE(SUBSTITUTE(BM485,"0",""),"-",""),"_",""),"/",""),".",""),"#",""),"\\",""),":","")," ",""),"(",""),")","")</f>
        <v/>
      </c>
      <c r="BY485" s="62" t="n">
        <f aca="false">Q485-T7EarlyD*24/24</f>
        <v>46299.4583333333</v>
      </c>
      <c r="BZ485" s="61" t="n">
        <f aca="false">IFERROR(IF(IF(TRIM(S485)="Link / file path",AND(LEN(TRIM(Z485))&gt;=5,SUMPRODUCT(--ISNUMBER(SEARCH({"http","www.","\\",":\",".pdf",".jpg",".jpeg",".png",".heic",".xls",".doc",".msg",".eml",".ppt",".txt",".zip"},Z485)))&gt;0),AND(ISERROR(FIND(" ",TRIM(Z485))),NOT(OR(SUMPRODUCT(--ISNUMBER(FIND({",",";","&amp;","+"},Z485)))&gt;0,SUMPRODUCT(--ISNUMBER(SEARCH({"0/aa","0\\aa"},BN485)))&gt;0)),NOT(SUMPRODUCT(--ISNUMBER(SEARCH({"http","www.","\\",":\",".pdf",".jpg",".jpeg",".png",".heic",".xls",".doc",".msg",".eml",".ppt",".txt",".zip"},Z485)))&gt;0),NOT(LOWER(TRIM(Z485))=LOWER(Flights!$F$19)),ISNA(MATCH(BU485,{"mh","rev","revision","ver","version","v","r","a","b","seat","tray","row","gate","bay","stand","page","pg","item","line","no","cart","galley","flight","flt","table","box","bag","oven","etd","eta","std","sta","atd","ata","qty","pax","x","time","tel","ph","mob","day","wk","week","utc","gmt","myt","lt"},0)),NOT(OR(ISNUMBER(MATCH(LEFT(BN485,255),{"0000a","000a","00a","0000aa","000aa","00aa","0aa","0000aaa","000aaa","00a00","0a00","0000-0000","00:00","a00","a0","00.00.0000","00/00/0000","00-00-0000","0000-00-00","0000/00/00","0000.00.00","00.00.00","00/00/00","00-00-00","0.00.0000","0/00/0000","0-00-0000"},0)),ISNUMBER(MATCH(LEFT(BT485,255),{"0000a","000a","00a","0000aa","000aa","00aa","0aa","0000aaa","000aaa","00a00","0a00","0000-0000","00:00","a00","a0","00.00.0000","00/00/0000","00-00-0000","0000-00-00","0000/00/00","0000.00.00","00.00.00","00/00/00","00-00-00","0.00.0000","0/00/0000","0-00-0000"},0)))),NOT(OR(AND(BW485&lt;&gt;"",SUBSTITUTE(BW485,"0","")=""),AND(LEN(BW485)&gt;=4,BW485=REPT(LEFT(BW485),LEN(BW485))),ISNUMBER(MATCH(BW485,{"123","1234","12345","123456","1234567","12345678","0123","01234","012345","98765","987654","54321"},0)),ISNUMBER(MATCH(BX485,{"x","xx","xxx","xxxx","xxxxx","abc","abcd","nil","na","nan","test","tbc","tba","tbd","dummy","sample","example","eg","zz","zzz","none","null","xyz","qwe","asd","id","ref"},0)),AND(LEN(BW485)=8,BX485="",OR(LEFT(BW485,3)="202",ISNUMBER(MATCH(RIGHT(BW485,4),{"2025","2026","2027"},0)))))),OR(AND((LEN(BT485)-LEN(SUBSTITUTE(BT485,"a","")))&gt;=1,(LEN(BN485)-LEN(SUBSTITUTE(BN485,"0","")))&gt;=2,SUMPRODUCT(--ISNUMBER(SEARCH({"a0","a-0","a_0","a/0","a.0","a#0","0a","0-a","0_a","0/a"},BN485)))&gt;0),AND((LEN(BN485)-LEN(SUBSTITUTE(BN485,"a","")))=0,(LEN(BN485)-LEN(SUBSTITUTE(BN485,"0","")))&gt;=5)))),1,0),0)</f>
        <v>0</v>
      </c>
      <c r="CA4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485,"revision",""),"version",""),"jan",""),"feb",""),"mar",""),"apr",""),"may",""),"jun",""),"jul",""),"aug",""),"sep",""),"oct",""),"nov",""),"dec",""),"utc",""),"gmt",""),"myt",""),"bst",""),"rev",""),"ver",""),"b","a"),"c","a"),"d","a"),"e","a"),"f","a"),"g","a"),"h","a"),"i","a"),"j","a"),"k","a"),"l","a"),"m","a"),"n","a"),"o","a"),"p","a"),"q","a"),"r","a"),"s","a"),"t","a"),"u","a"),"v","a"),"w","a"),"x","a"),"y","a"),"z","a")</f>
        <v/>
      </c>
      <c r="CB4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485&amp;""),"a",""),"b",""),"c",""),"d",""),"e",""),"f",""),"g",""),"h",""),"i",""),"j",""),"k",""),"l",""),"m",""),"n",""),"o",""),"p",""),"q",""),"r",""),"s",""),"t",""),"u",""),"v",""),"w",""),"x",""),"y",""),"z",""),"-",""),"_",""),"/",""),".",""),"#",""),"\\",""),":","")," ",""),"(",""),")","")</f>
        <v/>
      </c>
      <c r="CC485" s="0" t="str">
        <f aca="false">" "&amp;TRIM(SUBSTITUTE(SUBSTITUTE(SUBSTITUTE(SUBSTITUTE(SUBSTITUTE(SUBSTITUTE(SUBSTITUTE(SUBSTITUTE(SUBSTITUTE(SUBSTITUTE(SUBSTITUTE(SUBSTITUTE(SUBSTITUTE(SUBSTITUTE(SUBSTITUTE(SUBSTITUTE(SUBSTITUTE(SUBSTITUTE(SUBSTITUTE(SUBSTITUTE(SUBSTITUTE(SUBSTITUTE(SUBSTITUTE(SUBSTITUTE(LOWER(T485&amp;""),CHAR(10)," "),CHAR(13)," "),CHAR(9)," "),CHAR(160)," "),"."," "),","," "),"-"," "),"/"," "),"("," "),")"," "),":"," "),";"," "),"_"," "),"–"," "),"?"," "),"!"," "),"*"," "),"["," "),"]"," "),"'"," "),"#"," "),"+"," "),"&amp;"," "),"\"," "))&amp;" "</f>
        <v>  </v>
      </c>
      <c r="CD485" s="0" t="str">
        <f aca="false">" "&amp;TRIM(SUBSTITUTE(SUBSTITUTE(SUBSTITUTE(SUBSTITUTE(SUBSTITUTE(SUBSTITUTE(SUBSTITUTE(SUBSTITUTE(SUBSTITUTE(SUBSTITUTE(SUBSTITUTE(SUBSTITUTE(SUBSTITUTE(SUBSTITUTE(SUBSTITUTE(SUBSTITUTE(SUBSTITUTE(SUBSTITUTE(SUBSTITUTE(SUBSTITUTE(SUBSTITUTE(SUBSTITUTE(SUBSTITUTE(SUBSTITUTE(LOWER(AE485&amp;""),CHAR(10)," "),CHAR(13)," "),CHAR(9)," "),CHAR(160)," "),"."," "),","," "),"-"," "),"/"," "),"("," "),")"," "),":"," "),";"," "),"_"," "),"–"," "),"?"," "),"!"," "),"*"," "),"["," "),"]"," "),"'"," "),"#"," "),"+"," "),"&amp;"," "),"\"," "))&amp;" "</f>
        <v>  </v>
      </c>
      <c r="CE485" s="68" t="n">
        <f aca="false">IFERROR(IF(AND(LEN(AU485)&gt;0,LEN(AU485)=LEN(AX485),OR(TRIM(MID(SUBSTITUTE(TRIM(CC485)," ",REPT(" ",60)),1,60))="",ISNUMBER(SEARCH(" "&amp;TRIM(MID(SUBSTITUTE(TRIM(CC485)," ",REPT(" ",60)),1,60))&amp;" ",CD485))),OR(TRIM(MID(SUBSTITUTE(TRIM(CC485)," ",REPT(" ",60)),61,60))="",ISNUMBER(SEARCH(" "&amp;TRIM(MID(SUBSTITUTE(TRIM(CC485)," ",REPT(" ",60)),61,60))&amp;" ",CD485))),OR(TRIM(MID(SUBSTITUTE(TRIM(CC485)," ",REPT(" ",60)),121,60))="",ISNUMBER(SEARCH(" "&amp;TRIM(MID(SUBSTITUTE(TRIM(CC485)," ",REPT(" ",60)),121,60))&amp;" ",CD485)))),1,0),0)</f>
        <v>0</v>
      </c>
      <c r="CG485" s="68" t="n">
        <f aca="false">IFERROR(LEN(SUBSTITUTE(BF485," ",""))-SUMPRODUCT((LEN(BF485)-LEN(SUBSTITUTE(BF485," "&amp;L_NAFiller&amp;" "," ")))/(LEN(L_NAFiller)+1)*LEN(L_NAFiller)),0)</f>
        <v>0</v>
      </c>
    </row>
    <row r="486" customFormat="false" ht="39.75" hidden="false" customHeight="true" outlineLevel="0" collapsed="false">
      <c r="A486" s="57" t="s">
        <v>1137</v>
      </c>
      <c r="B486" s="57" t="s">
        <v>278</v>
      </c>
      <c r="C486" s="57" t="str">
        <f aca="false">Flights!$F$19</f>
        <v>MH0003</v>
      </c>
      <c r="D486" s="58" t="n">
        <f aca="false">Flights!$D$19</f>
        <v>46320</v>
      </c>
      <c r="E486" s="57" t="str">
        <f aca="false">Flights!$G$19&amp;"-"&amp;Flights!$H$19</f>
        <v>LHR-KUL</v>
      </c>
      <c r="F486" s="57" t="str">
        <f aca="false">Flights!$K$19</f>
        <v>EY</v>
      </c>
      <c r="G486" s="57" t="s">
        <v>81</v>
      </c>
      <c r="H486" s="57" t="s">
        <v>378</v>
      </c>
      <c r="I486" s="57" t="s">
        <v>398</v>
      </c>
      <c r="J486" s="57" t="s">
        <v>402</v>
      </c>
      <c r="K486" s="67" t="s">
        <v>403</v>
      </c>
      <c r="L486" s="67" t="s">
        <v>382</v>
      </c>
      <c r="M486" s="67"/>
      <c r="N486" s="67" t="s">
        <v>383</v>
      </c>
      <c r="O486" s="67"/>
      <c r="P486" s="57" t="s">
        <v>186</v>
      </c>
      <c r="Q486" s="59" t="n">
        <f aca="false">ROUND((Flights!$AC$19)*1440,0)/1440</f>
        <v>46313.4583333333</v>
      </c>
      <c r="R486" s="59" t="n">
        <f aca="false">Q486+(IF(AND(INDEX(TZ_DSTS,MATCH(P486,TZ_STN,0))&lt;&gt;"",Q486&gt;=INDEX(TZ_DSTS,MATCH(P486,TZ_STN,0)),Q486&lt;INDEX(TZ_DSTE,MATCH(P486,TZ_STN,0))),INDEX(TZ_DST,MATCH(P486,TZ_STN,0)),INDEX(TZ_STD,MATCH(P486,TZ_STN,0))))/24</f>
        <v>46313.5</v>
      </c>
      <c r="S486" s="60"/>
      <c r="T486" s="60"/>
      <c r="U486" s="60"/>
      <c r="V486" s="60"/>
      <c r="W486" s="61"/>
      <c r="X486" s="60"/>
      <c r="Y486" s="60"/>
      <c r="Z486" s="60"/>
      <c r="AA486" s="60"/>
      <c r="AB486" s="60"/>
      <c r="AC486" s="60"/>
      <c r="AD486" s="66"/>
      <c r="AE486" s="60"/>
      <c r="AF486" s="61" t="str">
        <f aca="false">IF(AND(ISNUMBER(X486),ISNUMBER(Y486)),Y486-X486,"")</f>
        <v/>
      </c>
      <c r="AG486" s="62" t="str">
        <f aca="false">IF(ISNUMBER(AD486),AD486-(IF(AND(INDEX(TZ_DSTS,MATCH(P486,TZ_STN,0))&lt;&gt;"",(AD486-INDEX(TZ_STD,MATCH(P486,TZ_STN,0))/24)&gt;=INDEX(TZ_DSTS,MATCH(P486,TZ_STN,0)),(AD486-INDEX(TZ_STD,MATCH(P486,TZ_STN,0))/24)&lt;INDEX(TZ_DSTE,MATCH(P486,TZ_STN,0))),INDEX(TZ_DST,MATCH(P486,TZ_STN,0)),INDEX(TZ_STD,MATCH(P486,TZ_STN,0))))/24,"")</f>
        <v/>
      </c>
      <c r="AH486" s="65" t="str">
        <f aca="false">IFERROR(IF(N486="N/A – rule",IF(OR(TRIM(U486)="",TRIM(U486)="N/A",TRIM(U486)="Not started"),"N/A – RULE","INVALID – this check does not apply to this aircraft: clear the status (or correct the fleet on Flights)"),IF(TRIM(U486)="N/A",IF(AT486=0,"INVALID – N/A not permitted for this check",IF(AND(TRIM(AB486)&lt;&gt;"",TRIM(AB486)&lt;&gt;"Closed"),"INVALID – corrective action still open",IF(AND(NOT(OR(LEN(AZ486)&lt;15,ISNUMBER(MATCH(AZ486,L_Placeholder,0)))),BK486=0,CG486&gt;=8,NOT(OR(LEN(AU486)&lt;2,ISNUMBER(MATCH(AU486,L_Placeholder,0)))),BR486&gt;=3,NOT(OR(LEN(AX486)&lt;2,ISNUMBER(MATCH(AX486,L_Placeholder,0)))),BS486&gt;=3,TRIM(AE486)&lt;&gt;TRIM(T486),AX486&lt;&gt;AU486,CE486=0),"N/A – JUSTIFIED","INVALID – N/A needs a real, settled reason (not 'not applicable' / 'as above' / TBC), a named PIC and a different named verifier"))),IF(OR(TRIM(U486)="Pass",TRIM(U486)="Pass after CA"),IF(NOT(ISNUMBER(AD486)),"INVALID – completion time missing",IF(OR(OR(LEN(AU486)&lt;2,ISNUMBER(MATCH(AU486,L_Placeholder,0))),BR486&lt;3),"INVALID – PIC missing or not a named person (a role such as QA / CSM is not a name)",IF(OR(LEN(AV486)&lt;2,ISNUMBER(MATCH(AV486,L_Placeholder,0))),"INVALID – result / assessment missing",IF(OR(OR(LEN(AW486)&lt;3,ISNUMBER(MATCH(AW486,L_Placeholder,0))),SUMPRODUCT(--ISNUMBER(SEARCH(" "&amp;L_EvidencePhrase&amp;" ",BD486)))&gt;0,BI486=1),"INVALID – evidence missing, placeholder or not yet on file",IF(ISNA(MATCH(TRIM(S486),L_EvidenceType,0)),"INVALID – choose the evidence type from the list (column S)",IF(BL486=0,"INVALID – evidence ID must be the record's own ID only (e.g. SF-2210, IMG_2231, 1045521); a link / file name needs type 'Link / file path'",IF(OR(OR(LEN(AX486)&lt;2,ISNUMBER(MATCH(AX486,L_Placeholder,0))),BS486&lt;3),"INVALID – verifier missing or not a named person (a role such as QA / CSM is not a name)",IF(OR(AX486=AU486,CE486=1,AND(LEN(AU486)&gt;=4,ISNUMBER(SEARCH(AU486,AX486))),AND(LEN(AX486)&gt;=4,ISNUMBER(SEARCH(AX486,AU486)))),"INVALID – verifier must be a different, named person (not the PIC or a role)",IF(BH486=1,"INVALID – result not yet available (awaiting / TBC)",IF(BG486=1,"INVALID – result describes a problem: record Fail, then Pass after CA (or reword if it is not a problem)",IF(BV486=1,"INVALID – wording says not on board: an on-board confirmation needs the item loaded",IF(AND(AQ486=1,OR(OR(LEN(AY486)&lt;3,ISNUMBER(MATCH(AY486,L_Placeholder,0))),BJ486=1,BQ486=0)),"INVALID – batch ID missing, placeholder or not an ID (e.g. PASB-261008-BC-017)",IF(AND(AR486=1,OR(NOT(ISNUMBER(X486)),NOT(ISNUMBER(Y486)))),"INVALID – expected/actual qty missing",IF(AND(AR486=1,OR(X486&lt;=0,Y486&lt;0)),"INVALID – expected qty must be above 0 and actual not negative",IF(BB486&lt;&gt;"",BB486,IF(AND(AS486=1,Documents!$J$19&lt;&gt;"ON FILE"),"INVALID – GLD not on file (Documents sheet)",IF(AND(AS486=2,Documents!$O$19&lt;&gt;"ON FILE"),"INVALID – menu checklist not on file (Documents sheet)",IF(AND(AS486=3,NOT(ISNUMBER(Flights!$AX$19))),"INVALID – enter carrying flight KUL departure (Flights AX)",IF(AND(AS486=3,OR(Flights!$AZ$19&gt;Flights!$AA$19,Flights!$AX$19&lt;Flights!$AA$19-3)),"INVALID – carrying flight (Flights AX) cannot arrive before this leg's STD, or is over 3 days early",IF(AG486&gt;AsOfUTC,"INVALID – completion time is in the future",IF(AND(ISNUMBER(BY486),AG486&lt;BY486),IF(H486="Physical uplift","INVALID – before uplift window (cannot confirm loading)","INVALID – before valid window"),IF(AG486&gt;Flights!$AA$19,"INVALID – completed after departure (cannot establish readiness)",IF(AND(H486="Preparation",AG486&gt;=IF(ISNUMBER(Flights!$BA$19),MIN(Flights!$BA$19,Flights!$AA$19),Flights!$AA$19)),"INVALID – completed after loading / departure (cannot establish readiness)",IF(AND(H486="Physical uplift",AG486&gt;Q486),"INVALID – recorded after the loading flight departed",IF(AG486&gt;Q486,"COMPLETE – LATE","COMPLETE"))))))))))))))))))))))))),IF(TRIM(U486)="Fail","FAIL – DISCREPANCY",IF(AND(TRIM(U486)&lt;&gt;"",TRIM(U486)&lt;&gt;"Not started",TRIM(U486)&lt;&gt;"In progress"),"INVALID – unrecognised status (use the list)",IF(AsOfUTC&gt;Q486,"OVERDUE",IF(N486="Clarification required","OPEN – CLARIFICATION","OPEN"))))))),"INVALID – error value in an input cell")</f>
        <v>OPEN</v>
      </c>
      <c r="AI486" s="61" t="n">
        <f aca="false">IF(OR(AH486="N/A – RULE",AH486="N/A – JUSTIFIED"),0,1)</f>
        <v>1</v>
      </c>
      <c r="AJ486" s="61" t="n">
        <f aca="false">IF(LEFT(AH486,8)="COMPLETE",1,0)</f>
        <v>0</v>
      </c>
      <c r="AK486" s="61" t="n">
        <f aca="false">IF(AND(AI486=1,AJ486=0,AsOfUTC&gt;Q486),1,0)</f>
        <v>0</v>
      </c>
      <c r="AL486" s="61" t="n">
        <f aca="false">IFERROR(IF(AND(AI486=1,OR(TRIM(U486)="Fail",AND(TRIM(AB486)&lt;&gt;"",TRIM(AB486)&lt;&gt;"Closed"),AND(ISNUMBER(AF486),AF486&lt;&gt;0,TRIM(U486)&lt;&gt;"Pass after CA"))),1,0),1)</f>
        <v>0</v>
      </c>
      <c r="AM486" s="61" t="n">
        <f aca="false">IF(LEFT(AH486,7)="INVALID",1,0)</f>
        <v>0</v>
      </c>
      <c r="AN486" s="61" t="n">
        <f aca="false">IF(AND(N486="Clarification required",AI486=1,AJ486=0),1,0)</f>
        <v>0</v>
      </c>
      <c r="AO486" s="61" t="str">
        <f aca="false">IF(AK486=1,SUM(AK$5:AK486),"")</f>
        <v/>
      </c>
      <c r="AP486" s="61" t="str">
        <f aca="false">IF(AL486=1,SUM(AL$5:AL486),"")</f>
        <v/>
      </c>
      <c r="AQ486" s="61" t="n">
        <v>0</v>
      </c>
      <c r="AR486" s="61" t="n">
        <v>0</v>
      </c>
      <c r="AS486" s="61" t="n">
        <v>0</v>
      </c>
      <c r="AT486" s="61" t="n">
        <v>0</v>
      </c>
      <c r="AU486" s="61" t="str">
        <f aca="false">SUBSTITUTE(SUBSTITUTE(SUBSTITUTE(SUBSTITUTE(SUBSTITUTE(SUBSTITUTE(SUBSTITUTE(SUBSTITUTE(SUBSTITUTE(SUBSTITUTE(SUBSTITUTE(SUBSTITUTE(SUBSTITUTE(SUBSTITUTE(SUBSTITUTE(SUBSTITUTE(LOWER(T486&amp;""),CHAR(10),""),CHAR(13),""),CHAR(9),""),CHAR(160),"")," ",""),".",""),"-",""),"/",""),"?",""),"_",""),",",""),"[",""),"]",""),"(",""),")",""),"*","")</f>
        <v/>
      </c>
      <c r="AV486" s="61" t="str">
        <f aca="false">SUBSTITUTE(SUBSTITUTE(SUBSTITUTE(SUBSTITUTE(SUBSTITUTE(SUBSTITUTE(SUBSTITUTE(SUBSTITUTE(SUBSTITUTE(SUBSTITUTE(SUBSTITUTE(SUBSTITUTE(SUBSTITUTE(SUBSTITUTE(SUBSTITUTE(SUBSTITUTE(LOWER(V486&amp;""),CHAR(10),""),CHAR(13),""),CHAR(9),""),CHAR(160),"")," ",""),".",""),"-",""),"/",""),"?",""),"_",""),",",""),"[",""),"]",""),"(",""),")",""),"*","")</f>
        <v/>
      </c>
      <c r="AW486" s="61" t="str">
        <f aca="false">SUBSTITUTE(SUBSTITUTE(SUBSTITUTE(SUBSTITUTE(SUBSTITUTE(SUBSTITUTE(SUBSTITUTE(SUBSTITUTE(SUBSTITUTE(SUBSTITUTE(SUBSTITUTE(SUBSTITUTE(SUBSTITUTE(SUBSTITUTE(SUBSTITUTE(SUBSTITUTE(LOWER(Z486&amp;""),CHAR(10),""),CHAR(13),""),CHAR(9),""),CHAR(160),"")," ",""),".",""),"-",""),"/",""),"?",""),"_",""),",",""),"[",""),"]",""),"(",""),")",""),"*","")</f>
        <v/>
      </c>
      <c r="AX486" s="61" t="str">
        <f aca="false">SUBSTITUTE(SUBSTITUTE(SUBSTITUTE(SUBSTITUTE(SUBSTITUTE(SUBSTITUTE(SUBSTITUTE(SUBSTITUTE(SUBSTITUTE(SUBSTITUTE(SUBSTITUTE(SUBSTITUTE(SUBSTITUTE(SUBSTITUTE(SUBSTITUTE(SUBSTITUTE(LOWER(AE486&amp;""),CHAR(10),""),CHAR(13),""),CHAR(9),""),CHAR(160),"")," ",""),".",""),"-",""),"/",""),"?",""),"_",""),",",""),"[",""),"]",""),"(",""),")",""),"*","")</f>
        <v/>
      </c>
      <c r="AY486" s="61" t="str">
        <f aca="false">SUBSTITUTE(SUBSTITUTE(SUBSTITUTE(SUBSTITUTE(SUBSTITUTE(SUBSTITUTE(SUBSTITUTE(SUBSTITUTE(SUBSTITUTE(SUBSTITUTE(SUBSTITUTE(SUBSTITUTE(SUBSTITUTE(SUBSTITUTE(SUBSTITUTE(SUBSTITUTE(LOWER(W486&amp;""),CHAR(10),""),CHAR(13),""),CHAR(9),""),CHAR(160),"")," ",""),".",""),"-",""),"/",""),"?",""),"_",""),",",""),"[",""),"]",""),"(",""),")",""),"*","")</f>
        <v/>
      </c>
      <c r="AZ486" s="61" t="str">
        <f aca="false">SUBSTITUTE(SUBSTITUTE(SUBSTITUTE(SUBSTITUTE(SUBSTITUTE(SUBSTITUTE(SUBSTITUTE(SUBSTITUTE(SUBSTITUTE(SUBSTITUTE(SUBSTITUTE(SUBSTITUTE(SUBSTITUTE(SUBSTITUTE(SUBSTITUTE(SUBSTITUTE(LOWER(AC486&amp;""),CHAR(10),""),CHAR(13),""),CHAR(9),""),CHAR(160),"")," ",""),".",""),"-",""),"/",""),"?",""),"_",""),",",""),"[",""),"]",""),"(",""),")",""),"*","")</f>
        <v/>
      </c>
      <c r="BA486" s="61" t="str">
        <f aca="false">SUBSTITUTE(SUBSTITUTE(SUBSTITUTE(SUBSTITUTE(SUBSTITUTE(SUBSTITUTE(SUBSTITUTE(SUBSTITUTE(SUBSTITUTE(SUBSTITUTE(SUBSTITUTE(SUBSTITUTE(SUBSTITUTE(SUBSTITUTE(SUBSTITUTE(SUBSTITUTE(LOWER(AA486&amp;""),CHAR(10),""),CHAR(13),""),CHAR(9),""),CHAR(160),"")," ",""),".",""),"-",""),"/",""),"?",""),"_",""),",",""),"[",""),"]",""),"(",""),")",""),"*","")</f>
        <v/>
      </c>
      <c r="BB486" s="61" t="str">
        <f aca="false">IF(AND(TRIM(U486)="Pass",ISNUMBER(AF486)),IF(AF486&lt;&gt;0,"INVALID – qty variance: use Fail or Pass after CA",""),"")&amp;IF(AND(TRIM(U486)="Pass after CA",ISNUMBER(AF486)),IF(AF486&lt;&gt;0,"INVALID – after the corrective action the actual qty must equal expected (update Actual)",""),"")&amp;IF(AND(TRIM(U486)="Pass",TRIM(AB486)&lt;&gt;"",TRIM(AB486)&lt;&gt;"Closed"),"INVALID – corrective action not closed: use Fail, then Pass after CA","")&amp;IF(AND(LEN(BA486)&gt;=2,ISNA(MATCH(LEFT(BA486,255),L_Placeholder,0)),TRIM(AB486)=""),"INVALID – CA status missing for the recorded corrective action","")&amp;IF(AND(TRIM(U486)="Pass after CA",OR(OR(LEN(BA486)&lt;5,ISNUMBER(MATCH(BA486,L_Placeholder,0))),TRIM(AB486)&lt;&gt;"Closed")),"INVALID – corrective action not recorded/closed","")</f>
        <v/>
      </c>
      <c r="BC486" s="61" t="str">
        <f aca="false">" "&amp;TRIM(SUBSTITUTE(SUBSTITUTE(SUBSTITUTE(SUBSTITUTE(SUBSTITUTE(SUBSTITUTE(SUBSTITUTE(SUBSTITUTE(SUBSTITUTE(SUBSTITUTE(SUBSTITUTE(SUBSTITUTE(SUBSTITUTE(SUBSTITUTE(SUBSTITUTE(SUBSTITUTE(SUBSTITUTE(SUBSTITUTE(SUBSTITUTE(SUBSTITUTE(SUBSTITUTE(SUBSTITUTE(SUBSTITUTE(SUBSTITUTE(LOWER(V486&amp;""),CHAR(10)," "),CHAR(13)," "),CHAR(9)," "),CHAR(160)," "),"."," "),","," "),"-"," "),"/"," "),"("," "),")"," "),":"," "),";"," "),"_"," "),"–"," "),"?"," "),"!"," "),"*"," "),"["," "),"]"," "),"'"," "),"#"," "),"+"," "),"&amp;"," "),"\"," "))&amp;" "</f>
        <v>  </v>
      </c>
      <c r="BD486" s="61" t="str">
        <f aca="false">" "&amp;TRIM(SUBSTITUTE(SUBSTITUTE(SUBSTITUTE(SUBSTITUTE(SUBSTITUTE(SUBSTITUTE(SUBSTITUTE(SUBSTITUTE(SUBSTITUTE(SUBSTITUTE(SUBSTITUTE(SUBSTITUTE(SUBSTITUTE(SUBSTITUTE(SUBSTITUTE(SUBSTITUTE(SUBSTITUTE(SUBSTITUTE(SUBSTITUTE(SUBSTITUTE(SUBSTITUTE(SUBSTITUTE(SUBSTITUTE(SUBSTITUTE(LOWER(Z486&amp;""),CHAR(10)," "),CHAR(13)," "),CHAR(9)," "),CHAR(160)," "),"."," "),","," "),"-"," "),"/"," "),"("," "),")"," "),":"," "),";"," "),"_"," "),"–"," "),"?"," "),"!"," "),"*"," "),"["," "),"]"," "),"'"," "),"#"," "),"+"," "),"&amp;"," "),"\"," "))&amp;" "</f>
        <v>  </v>
      </c>
      <c r="BE486" s="61" t="str">
        <f aca="false">" "&amp;TRIM(SUBSTITUTE(SUBSTITUTE(SUBSTITUTE(SUBSTITUTE(SUBSTITUTE(SUBSTITUTE(SUBSTITUTE(SUBSTITUTE(SUBSTITUTE(SUBSTITUTE(SUBSTITUTE(SUBSTITUTE(SUBSTITUTE(SUBSTITUTE(SUBSTITUTE(SUBSTITUTE(SUBSTITUTE(SUBSTITUTE(SUBSTITUTE(SUBSTITUTE(SUBSTITUTE(SUBSTITUTE(SUBSTITUTE(SUBSTITUTE(LOWER(W486&amp;""),CHAR(10)," "),CHAR(13)," "),CHAR(9)," "),CHAR(160)," "),"."," "),","," "),"-"," "),"/"," "),"("," "),")"," "),":"," "),";"," "),"_"," "),"–"," "),"?"," "),"!"," "),"*"," "),"["," "),"]"," "),"'"," "),"#"," "),"+"," "),"&amp;"," "),"\"," "))&amp;" "</f>
        <v>  </v>
      </c>
      <c r="BF486" s="61" t="str">
        <f aca="false">" "&amp;TRIM(SUBSTITUTE(SUBSTITUTE(SUBSTITUTE(SUBSTITUTE(SUBSTITUTE(SUBSTITUTE(SUBSTITUTE(SUBSTITUTE(SUBSTITUTE(SUBSTITUTE(SUBSTITUTE(SUBSTITUTE(SUBSTITUTE(SUBSTITUTE(SUBSTITUTE(SUBSTITUTE(SUBSTITUTE(SUBSTITUTE(SUBSTITUTE(SUBSTITUTE(SUBSTITUTE(SUBSTITUTE(SUBSTITUTE(SUBSTITUTE(LOWER(AC486&amp;""),CHAR(10)," "),CHAR(13)," "),CHAR(9)," "),CHAR(160)," "),"."," "),","," "),"-"," "),"/"," "),"("," "),")"," "),":"," "),";"," "),"_"," "),"–"," "),"?"," "),"!"," "),"*"," "),"["," "),"]"," "),"'"," "),"#"," "),"+"," "),"&amp;"," "),"\"," "))&amp;" "</f>
        <v>  </v>
      </c>
      <c r="BG486" s="61" t="n">
        <f aca="false">IFERROR(IF(AND(TRIM(U486)="Pass",SUMPRODUCT((LEN(BC486)-LEN(SUBSTITUTE(BC486," "&amp;L_ResultBad&amp;" "," ")))/(LEN(L_ResultBad)+1))&gt;SUMPRODUCT((LEN(BC486)-LEN(SUBSTITUTE(BC486," "&amp;L_NegPhrase&amp;" "," ")))/(LEN(L_NegPhrase)+1))),1,0),0)</f>
        <v>0</v>
      </c>
      <c r="BH486" s="61" t="n">
        <f aca="false">IFERROR(IF(SUMPRODUCT((LEN(BC486)-LEN(SUBSTITUTE(BC486," "&amp;L_Pending&amp;" "," ")))/(LEN(L_Pending)+1))&gt;SUMPRODUCT((LEN(BC486)-LEN(SUBSTITUTE(BC486," "&amp;L_PendNeg&amp;" "," ")))/(LEN(L_PendNeg)+1))+SUMPRODUCT((LEN(BC486)-LEN(SUBSTITUTE(BC486," "&amp;L_PendPrep&amp;" "," ")))/(LEN(L_PendPrep)+1)),1,0),1)</f>
        <v>0</v>
      </c>
      <c r="BI486" s="61" t="n">
        <f aca="false">IFERROR(IF(SUMPRODUCT((LEN(BD486)-LEN(SUBSTITUTE(BD486," "&amp;L_PendStrict&amp;" "," ")))/(LEN(L_PendStrict)+1))&gt;SUMPRODUCT((LEN(BD486)-LEN(SUBSTITUTE(BD486," "&amp;L_PendNeg&amp;" "," ")))/(LEN(L_PendNeg)+1)),1,0),1)</f>
        <v>0</v>
      </c>
      <c r="BJ486" s="61" t="n">
        <f aca="false">IFERROR(IF(SUMPRODUCT((LEN(BE486)-LEN(SUBSTITUTE(BE486," "&amp;L_Pending&amp;" "," ")))/(LEN(L_Pending)+1))&gt;SUMPRODUCT((LEN(BE486)-LEN(SUBSTITUTE(BE486," "&amp;L_PendNeg&amp;" "," ")))/(LEN(L_PendNeg)+1))+SUMPRODUCT((LEN(BE486)-LEN(SUBSTITUTE(BE486," "&amp;L_PendPrep&amp;" "," ")))/(LEN(L_PendPrep)+1)),1,0),1)</f>
        <v>0</v>
      </c>
      <c r="BK486" s="61" t="n">
        <f aca="false">IFERROR(IF(SUMPRODUCT((LEN(BF486)-LEN(SUBSTITUTE(BF486," "&amp;L_PendStrict&amp;" "," ")))/(LEN(L_PendStrict)+1))&gt;SUMPRODUCT((LEN(BF486)-LEN(SUBSTITUTE(BF486," "&amp;L_PendNeg&amp;" "," ")))/(LEN(L_PendNeg)+1)),1,0),1)</f>
        <v>0</v>
      </c>
      <c r="BL486" s="61" t="n">
        <f aca="false">IF(ISNA(MATCH(TRIM(S486),L_EvidenceType,0)),0,BZ486)</f>
        <v>0</v>
      </c>
      <c r="BM486" s="61" t="str">
        <f aca="false">SUBSTITUTE(SUBSTITUTE(SUBSTITUTE(SUBSTITUTE(SUBSTITUTE(SUBSTITUTE(SUBSTITUTE(SUBSTITUTE(SUBSTITUTE(LOWER(Z486&amp;""),"1","0"),"2","0"),"3","0"),"4","0"),"5","0"),"6","0"),"7","0"),"8","0"),"9","0")</f>
        <v/>
      </c>
      <c r="BN486" s="61" t="str">
        <f aca="false">SUBSTITUTE(SUBSTITUTE(SUBSTITUTE(SUBSTITUTE(SUBSTITUTE(SUBSTITUTE(SUBSTITUTE(SUBSTITUTE(SUBSTITUTE(SUBSTITUTE(SUBSTITUTE(SUBSTITUTE(SUBSTITUTE(SUBSTITUTE(SUBSTITUTE(SUBSTITUTE(SUBSTITUTE(SUBSTITUTE(SUBSTITUTE(SUBSTITUTE(SUBSTITUTE(SUBSTITUTE(SUBSTITUTE(SUBSTITUTE(SUBSTITUTE(BM486,"b","a"),"c","a"),"d","a"),"e","a"),"f","a"),"g","a"),"h","a"),"i","a"),"j","a"),"k","a"),"l","a"),"m","a"),"n","a"),"o","a"),"p","a"),"q","a"),"r","a"),"s","a"),"t","a"),"u","a"),"v","a"),"w","a"),"x","a"),"y","a"),"z","a")</f>
        <v/>
      </c>
      <c r="BO486" s="61" t="str">
        <f aca="false">SUBSTITUTE(SUBSTITUTE(SUBSTITUTE(SUBSTITUTE(SUBSTITUTE(SUBSTITUTE(SUBSTITUTE(SUBSTITUTE(SUBSTITUTE(LOWER(W486&amp;""),"1","0"),"2","0"),"3","0"),"4","0"),"5","0"),"6","0"),"7","0"),"8","0"),"9","0")</f>
        <v/>
      </c>
      <c r="BP486" s="61" t="str">
        <f aca="false">SUBSTITUTE(SUBSTITUTE(SUBSTITUTE(SUBSTITUTE(SUBSTITUTE(SUBSTITUTE(SUBSTITUTE(SUBSTITUTE(SUBSTITUTE(SUBSTITUTE(SUBSTITUTE(SUBSTITUTE(SUBSTITUTE(SUBSTITUTE(SUBSTITUTE(SUBSTITUTE(SUBSTITUTE(SUBSTITUTE(SUBSTITUTE(SUBSTITUTE(SUBSTITUTE(SUBSTITUTE(SUBSTITUTE(SUBSTITUTE(SUBSTITUTE(BO486,"b","a"),"c","a"),"d","a"),"e","a"),"f","a"),"g","a"),"h","a"),"i","a"),"j","a"),"k","a"),"l","a"),"m","a"),"n","a"),"o","a"),"p","a"),"q","a"),"r","a"),"s","a"),"t","a"),"u","a"),"v","a"),"w","a"),"x","a"),"y","a"),"z","a")</f>
        <v/>
      </c>
      <c r="BQ486" s="61" t="n">
        <f aca="false">IFERROR(IF(AND(ISERROR(SEARCH(" mh"," "&amp;LOWER(W486))),ISNA(MATCH(LEFT(TRIM(BP486),255),{"0000a","000a","00a","0000aa","000aa","00aa","0aa","0000aaa","000aaa","00a00","0a00","0000-0000","00:00","a00","a0","00.00.0000","00/00/0000","00-00-0000","0000-00-00","0000/00/00","0000.00.00","00.00.00","00/00/00","00-00-00","0.00.0000","0/00/0000","0-00-0000"},0)),ISNA(MATCH(LEFT(TRIM(CA486),255),{"0000a","000a","00a","0000aa","000aa","00aa","0aa","0000aaa","000aaa","00a00","0a00","0000-0000","00:00","a00","a0","00.00.0000","00/00/0000","00-00-0000","0000-00-00","0000/00/00","0000.00.00","00.00.00","00/00/00","00-00-00","0.00.0000","0/00/0000","0-00-0000"},0)),LEN(CB486)&gt;=3,NOT(OR(SUBSTITUTE(CB486,"0","")="",AND(LEN(CB486)&gt;=4,CB486=REPT(LEFT(CB486),LEN(CB486))),ISNUMBER(MATCH(CB486,{"123","1234","12345","123456","1234567","12345678","0123","01234","012345","98765","987654","54321"},0)),AND(LEN(CB486)=8,LEFT(CB486,3)="202"))),OR(AND((LEN(CA486)-LEN(SUBSTITUTE(CA486,"a","")))&gt;=1,SUMPRODUCT(--ISNUMBER(SEARCH({"a0","a-0","a_0","a/0","a.0","a#0","0a","0-a","0_a","0/a"},BP486)))&gt;0),ISNUMBER(SEARCH("000000",BP486)))),1,0),0)</f>
        <v>0</v>
      </c>
      <c r="BR486" s="61" t="n">
        <f aca="false">IFERROR(LEN(SUBSTITUTE(CC486," ",""))-SUMPRODUCT((LEN(CC486)-LEN(SUBSTITUTE(CC486," "&amp;L_Role&amp;" "," ")))/(LEN(L_Role)+1)*LEN(L_Role)),0)</f>
        <v>0</v>
      </c>
      <c r="BS486" s="61" t="n">
        <f aca="false">IFERROR(LEN(SUBSTITUTE(CD486," ",""))-SUMPRODUCT((LEN(CD486)-LEN(SUBSTITUTE(CD486," "&amp;L_Role&amp;" "," ")))/(LEN(L_Role)+1)*LEN(L_Role)),0)</f>
        <v>0</v>
      </c>
      <c r="BT4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486,"revision",""),"version",""),"jan",""),"feb",""),"mar",""),"apr",""),"may",""),"jun",""),"jul",""),"aug",""),"sep",""),"oct",""),"nov",""),"dec",""),"utc",""),"gmt",""),"myt",""),"bst",""),"rev",""),"ver",""),"b","a"),"c","a"),"d","a"),"e","a"),"f","a"),"g","a"),"h","a"),"i","a"),"j","a"),"k","a"),"l","a"),"m","a"),"n","a"),"o","a"),"p","a"),"q","a"),"r","a"),"s","a"),"t","a"),"u","a"),"v","a"),"w","a"),"x","a"),"y","a"),"z","a")</f>
        <v/>
      </c>
      <c r="BU486" s="61" t="str">
        <f aca="false">SUBSTITUTE(SUBSTITUTE(SUBSTITUTE(SUBSTITUTE(SUBSTITUTE(SUBSTITUTE(SUBSTITUTE(SUBSTITUTE(SUBSTITUTE(SUBSTITUTE(LEFT(BM486,FIND("0",BM486&amp;"0")-1),"-",""),"_",""),"/",""),".",""),"#",""),"\\",""),":","")," ",""),"(",""),")","")</f>
        <v/>
      </c>
      <c r="BV486" s="61" t="n">
        <f aca="false">0</f>
        <v>0</v>
      </c>
      <c r="BW4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486&amp;""),"a",""),"b",""),"c",""),"d",""),"e",""),"f",""),"g",""),"h",""),"i",""),"j",""),"k",""),"l",""),"m",""),"n",""),"o",""),"p",""),"q",""),"r",""),"s",""),"t",""),"u",""),"v",""),"w",""),"x",""),"y",""),"z",""),"-",""),"_",""),"/",""),".",""),"#",""),"\\",""),":","")," ",""),"(",""),")","")</f>
        <v/>
      </c>
      <c r="BX486" s="61" t="str">
        <f aca="false">SUBSTITUTE(SUBSTITUTE(SUBSTITUTE(SUBSTITUTE(SUBSTITUTE(SUBSTITUTE(SUBSTITUTE(SUBSTITUTE(SUBSTITUTE(SUBSTITUTE(SUBSTITUTE(BM486,"0",""),"-",""),"_",""),"/",""),".",""),"#",""),"\\",""),":","")," ",""),"(",""),")","")</f>
        <v/>
      </c>
      <c r="BY486" s="62" t="n">
        <f aca="false">Q486-T7EarlyD*24/24</f>
        <v>46299.4583333333</v>
      </c>
      <c r="BZ486" s="61" t="n">
        <f aca="false">IFERROR(IF(IF(TRIM(S486)="Link / file path",AND(LEN(TRIM(Z486))&gt;=5,SUMPRODUCT(--ISNUMBER(SEARCH({"http","www.","\\",":\",".pdf",".jpg",".jpeg",".png",".heic",".xls",".doc",".msg",".eml",".ppt",".txt",".zip"},Z486)))&gt;0),AND(ISERROR(FIND(" ",TRIM(Z486))),NOT(OR(SUMPRODUCT(--ISNUMBER(FIND({",",";","&amp;","+"},Z486)))&gt;0,SUMPRODUCT(--ISNUMBER(SEARCH({"0/aa","0\\aa"},BN486)))&gt;0)),NOT(SUMPRODUCT(--ISNUMBER(SEARCH({"http","www.","\\",":\",".pdf",".jpg",".jpeg",".png",".heic",".xls",".doc",".msg",".eml",".ppt",".txt",".zip"},Z486)))&gt;0),NOT(LOWER(TRIM(Z486))=LOWER(Flights!$F$19)),ISNA(MATCH(BU486,{"mh","rev","revision","ver","version","v","r","a","b","seat","tray","row","gate","bay","stand","page","pg","item","line","no","cart","galley","flight","flt","table","box","bag","oven","etd","eta","std","sta","atd","ata","qty","pax","x","time","tel","ph","mob","day","wk","week","utc","gmt","myt","lt"},0)),NOT(OR(ISNUMBER(MATCH(LEFT(BN486,255),{"0000a","000a","00a","0000aa","000aa","00aa","0aa","0000aaa","000aaa","00a00","0a00","0000-0000","00:00","a00","a0","00.00.0000","00/00/0000","00-00-0000","0000-00-00","0000/00/00","0000.00.00","00.00.00","00/00/00","00-00-00","0.00.0000","0/00/0000","0-00-0000"},0)),ISNUMBER(MATCH(LEFT(BT486,255),{"0000a","000a","00a","0000aa","000aa","00aa","0aa","0000aaa","000aaa","00a00","0a00","0000-0000","00:00","a00","a0","00.00.0000","00/00/0000","00-00-0000","0000-00-00","0000/00/00","0000.00.00","00.00.00","00/00/00","00-00-00","0.00.0000","0/00/0000","0-00-0000"},0)))),NOT(OR(AND(BW486&lt;&gt;"",SUBSTITUTE(BW486,"0","")=""),AND(LEN(BW486)&gt;=4,BW486=REPT(LEFT(BW486),LEN(BW486))),ISNUMBER(MATCH(BW486,{"123","1234","12345","123456","1234567","12345678","0123","01234","012345","98765","987654","54321"},0)),ISNUMBER(MATCH(BX486,{"x","xx","xxx","xxxx","xxxxx","abc","abcd","nil","na","nan","test","tbc","tba","tbd","dummy","sample","example","eg","zz","zzz","none","null","xyz","qwe","asd","id","ref"},0)),AND(LEN(BW486)=8,BX486="",OR(LEFT(BW486,3)="202",ISNUMBER(MATCH(RIGHT(BW486,4),{"2025","2026","2027"},0)))))),OR(AND((LEN(BT486)-LEN(SUBSTITUTE(BT486,"a","")))&gt;=1,(LEN(BN486)-LEN(SUBSTITUTE(BN486,"0","")))&gt;=2,SUMPRODUCT(--ISNUMBER(SEARCH({"a0","a-0","a_0","a/0","a.0","a#0","0a","0-a","0_a","0/a"},BN486)))&gt;0),AND((LEN(BN486)-LEN(SUBSTITUTE(BN486,"a","")))=0,(LEN(BN486)-LEN(SUBSTITUTE(BN486,"0","")))&gt;=5)))),1,0),0)</f>
        <v>0</v>
      </c>
      <c r="CA4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486,"revision",""),"version",""),"jan",""),"feb",""),"mar",""),"apr",""),"may",""),"jun",""),"jul",""),"aug",""),"sep",""),"oct",""),"nov",""),"dec",""),"utc",""),"gmt",""),"myt",""),"bst",""),"rev",""),"ver",""),"b","a"),"c","a"),"d","a"),"e","a"),"f","a"),"g","a"),"h","a"),"i","a"),"j","a"),"k","a"),"l","a"),"m","a"),"n","a"),"o","a"),"p","a"),"q","a"),"r","a"),"s","a"),"t","a"),"u","a"),"v","a"),"w","a"),"x","a"),"y","a"),"z","a")</f>
        <v/>
      </c>
      <c r="CB4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486&amp;""),"a",""),"b",""),"c",""),"d",""),"e",""),"f",""),"g",""),"h",""),"i",""),"j",""),"k",""),"l",""),"m",""),"n",""),"o",""),"p",""),"q",""),"r",""),"s",""),"t",""),"u",""),"v",""),"w",""),"x",""),"y",""),"z",""),"-",""),"_",""),"/",""),".",""),"#",""),"\\",""),":","")," ",""),"(",""),")","")</f>
        <v/>
      </c>
      <c r="CC486" s="0" t="str">
        <f aca="false">" "&amp;TRIM(SUBSTITUTE(SUBSTITUTE(SUBSTITUTE(SUBSTITUTE(SUBSTITUTE(SUBSTITUTE(SUBSTITUTE(SUBSTITUTE(SUBSTITUTE(SUBSTITUTE(SUBSTITUTE(SUBSTITUTE(SUBSTITUTE(SUBSTITUTE(SUBSTITUTE(SUBSTITUTE(SUBSTITUTE(SUBSTITUTE(SUBSTITUTE(SUBSTITUTE(SUBSTITUTE(SUBSTITUTE(SUBSTITUTE(SUBSTITUTE(LOWER(T486&amp;""),CHAR(10)," "),CHAR(13)," "),CHAR(9)," "),CHAR(160)," "),"."," "),","," "),"-"," "),"/"," "),"("," "),")"," "),":"," "),";"," "),"_"," "),"–"," "),"?"," "),"!"," "),"*"," "),"["," "),"]"," "),"'"," "),"#"," "),"+"," "),"&amp;"," "),"\"," "))&amp;" "</f>
        <v>  </v>
      </c>
      <c r="CD486" s="0" t="str">
        <f aca="false">" "&amp;TRIM(SUBSTITUTE(SUBSTITUTE(SUBSTITUTE(SUBSTITUTE(SUBSTITUTE(SUBSTITUTE(SUBSTITUTE(SUBSTITUTE(SUBSTITUTE(SUBSTITUTE(SUBSTITUTE(SUBSTITUTE(SUBSTITUTE(SUBSTITUTE(SUBSTITUTE(SUBSTITUTE(SUBSTITUTE(SUBSTITUTE(SUBSTITUTE(SUBSTITUTE(SUBSTITUTE(SUBSTITUTE(SUBSTITUTE(SUBSTITUTE(LOWER(AE486&amp;""),CHAR(10)," "),CHAR(13)," "),CHAR(9)," "),CHAR(160)," "),"."," "),","," "),"-"," "),"/"," "),"("," "),")"," "),":"," "),";"," "),"_"," "),"–"," "),"?"," "),"!"," "),"*"," "),"["," "),"]"," "),"'"," "),"#"," "),"+"," "),"&amp;"," "),"\"," "))&amp;" "</f>
        <v>  </v>
      </c>
      <c r="CE486" s="68" t="n">
        <f aca="false">IFERROR(IF(AND(LEN(AU486)&gt;0,LEN(AU486)=LEN(AX486),OR(TRIM(MID(SUBSTITUTE(TRIM(CC486)," ",REPT(" ",60)),1,60))="",ISNUMBER(SEARCH(" "&amp;TRIM(MID(SUBSTITUTE(TRIM(CC486)," ",REPT(" ",60)),1,60))&amp;" ",CD486))),OR(TRIM(MID(SUBSTITUTE(TRIM(CC486)," ",REPT(" ",60)),61,60))="",ISNUMBER(SEARCH(" "&amp;TRIM(MID(SUBSTITUTE(TRIM(CC486)," ",REPT(" ",60)),61,60))&amp;" ",CD486))),OR(TRIM(MID(SUBSTITUTE(TRIM(CC486)," ",REPT(" ",60)),121,60))="",ISNUMBER(SEARCH(" "&amp;TRIM(MID(SUBSTITUTE(TRIM(CC486)," ",REPT(" ",60)),121,60))&amp;" ",CD486)))),1,0),0)</f>
        <v>0</v>
      </c>
      <c r="CG486" s="68" t="n">
        <f aca="false">IFERROR(LEN(SUBSTITUTE(BF486," ",""))-SUMPRODUCT((LEN(BF486)-LEN(SUBSTITUTE(BF486," "&amp;L_NAFiller&amp;" "," ")))/(LEN(L_NAFiller)+1)*LEN(L_NAFiller)),0)</f>
        <v>0</v>
      </c>
    </row>
    <row r="487" customFormat="false" ht="39.75" hidden="false" customHeight="true" outlineLevel="0" collapsed="false">
      <c r="A487" s="57" t="s">
        <v>1138</v>
      </c>
      <c r="B487" s="57" t="s">
        <v>278</v>
      </c>
      <c r="C487" s="57" t="str">
        <f aca="false">Flights!$F$19</f>
        <v>MH0003</v>
      </c>
      <c r="D487" s="58" t="n">
        <f aca="false">Flights!$D$19</f>
        <v>46320</v>
      </c>
      <c r="E487" s="57" t="str">
        <f aca="false">Flights!$G$19&amp;"-"&amp;Flights!$H$19</f>
        <v>LHR-KUL</v>
      </c>
      <c r="F487" s="57" t="str">
        <f aca="false">Flights!$K$19</f>
        <v>EY</v>
      </c>
      <c r="G487" s="57" t="s">
        <v>81</v>
      </c>
      <c r="H487" s="57" t="s">
        <v>378</v>
      </c>
      <c r="I487" s="57" t="s">
        <v>405</v>
      </c>
      <c r="J487" s="57" t="s">
        <v>406</v>
      </c>
      <c r="K487" s="67" t="s">
        <v>407</v>
      </c>
      <c r="L487" s="67" t="s">
        <v>382</v>
      </c>
      <c r="M487" s="67"/>
      <c r="N487" s="67" t="s">
        <v>383</v>
      </c>
      <c r="O487" s="67"/>
      <c r="P487" s="57" t="s">
        <v>186</v>
      </c>
      <c r="Q487" s="59" t="n">
        <f aca="false">ROUND((Flights!$AC$19)*1440,0)/1440</f>
        <v>46313.4583333333</v>
      </c>
      <c r="R487" s="59" t="n">
        <f aca="false">Q487+(IF(AND(INDEX(TZ_DSTS,MATCH(P487,TZ_STN,0))&lt;&gt;"",Q487&gt;=INDEX(TZ_DSTS,MATCH(P487,TZ_STN,0)),Q487&lt;INDEX(TZ_DSTE,MATCH(P487,TZ_STN,0))),INDEX(TZ_DST,MATCH(P487,TZ_STN,0)),INDEX(TZ_STD,MATCH(P487,TZ_STN,0))))/24</f>
        <v>46313.5</v>
      </c>
      <c r="S487" s="60"/>
      <c r="T487" s="60"/>
      <c r="U487" s="60"/>
      <c r="V487" s="60"/>
      <c r="W487" s="61"/>
      <c r="X487" s="60"/>
      <c r="Y487" s="60"/>
      <c r="Z487" s="60"/>
      <c r="AA487" s="60"/>
      <c r="AB487" s="60"/>
      <c r="AC487" s="60"/>
      <c r="AD487" s="66"/>
      <c r="AE487" s="60"/>
      <c r="AF487" s="61" t="str">
        <f aca="false">IF(AND(ISNUMBER(X487),ISNUMBER(Y487)),Y487-X487,"")</f>
        <v/>
      </c>
      <c r="AG487" s="62" t="str">
        <f aca="false">IF(ISNUMBER(AD487),AD487-(IF(AND(INDEX(TZ_DSTS,MATCH(P487,TZ_STN,0))&lt;&gt;"",(AD487-INDEX(TZ_STD,MATCH(P487,TZ_STN,0))/24)&gt;=INDEX(TZ_DSTS,MATCH(P487,TZ_STN,0)),(AD487-INDEX(TZ_STD,MATCH(P487,TZ_STN,0))/24)&lt;INDEX(TZ_DSTE,MATCH(P487,TZ_STN,0))),INDEX(TZ_DST,MATCH(P487,TZ_STN,0)),INDEX(TZ_STD,MATCH(P487,TZ_STN,0))))/24,"")</f>
        <v/>
      </c>
      <c r="AH487" s="65" t="str">
        <f aca="false">IFERROR(IF(N487="N/A – rule",IF(OR(TRIM(U487)="",TRIM(U487)="N/A",TRIM(U487)="Not started"),"N/A – RULE","INVALID – this check does not apply to this aircraft: clear the status (or correct the fleet on Flights)"),IF(TRIM(U487)="N/A",IF(AT487=0,"INVALID – N/A not permitted for this check",IF(AND(TRIM(AB487)&lt;&gt;"",TRIM(AB487)&lt;&gt;"Closed"),"INVALID – corrective action still open",IF(AND(NOT(OR(LEN(AZ487)&lt;15,ISNUMBER(MATCH(AZ487,L_Placeholder,0)))),BK487=0,CG487&gt;=8,NOT(OR(LEN(AU487)&lt;2,ISNUMBER(MATCH(AU487,L_Placeholder,0)))),BR487&gt;=3,NOT(OR(LEN(AX487)&lt;2,ISNUMBER(MATCH(AX487,L_Placeholder,0)))),BS487&gt;=3,TRIM(AE487)&lt;&gt;TRIM(T487),AX487&lt;&gt;AU487,CE487=0),"N/A – JUSTIFIED","INVALID – N/A needs a real, settled reason (not 'not applicable' / 'as above' / TBC), a named PIC and a different named verifier"))),IF(OR(TRIM(U487)="Pass",TRIM(U487)="Pass after CA"),IF(NOT(ISNUMBER(AD487)),"INVALID – completion time missing",IF(OR(OR(LEN(AU487)&lt;2,ISNUMBER(MATCH(AU487,L_Placeholder,0))),BR487&lt;3),"INVALID – PIC missing or not a named person (a role such as QA / CSM is not a name)",IF(OR(LEN(AV487)&lt;2,ISNUMBER(MATCH(AV487,L_Placeholder,0))),"INVALID – result / assessment missing",IF(OR(OR(LEN(AW487)&lt;3,ISNUMBER(MATCH(AW487,L_Placeholder,0))),SUMPRODUCT(--ISNUMBER(SEARCH(" "&amp;L_EvidencePhrase&amp;" ",BD487)))&gt;0,BI487=1),"INVALID – evidence missing, placeholder or not yet on file",IF(ISNA(MATCH(TRIM(S487),L_EvidenceType,0)),"INVALID – choose the evidence type from the list (column S)",IF(BL487=0,"INVALID – evidence ID must be the record's own ID only (e.g. SF-2210, IMG_2231, 1045521); a link / file name needs type 'Link / file path'",IF(OR(OR(LEN(AX487)&lt;2,ISNUMBER(MATCH(AX487,L_Placeholder,0))),BS487&lt;3),"INVALID – verifier missing or not a named person (a role such as QA / CSM is not a name)",IF(OR(AX487=AU487,CE487=1,AND(LEN(AU487)&gt;=4,ISNUMBER(SEARCH(AU487,AX487))),AND(LEN(AX487)&gt;=4,ISNUMBER(SEARCH(AX487,AU487)))),"INVALID – verifier must be a different, named person (not the PIC or a role)",IF(BH487=1,"INVALID – result not yet available (awaiting / TBC)",IF(BG487=1,"INVALID – result describes a problem: record Fail, then Pass after CA (or reword if it is not a problem)",IF(BV487=1,"INVALID – wording says not on board: an on-board confirmation needs the item loaded",IF(AND(AQ487=1,OR(OR(LEN(AY487)&lt;3,ISNUMBER(MATCH(AY487,L_Placeholder,0))),BJ487=1,BQ487=0)),"INVALID – batch ID missing, placeholder or not an ID (e.g. PASB-261008-BC-017)",IF(AND(AR487=1,OR(NOT(ISNUMBER(X487)),NOT(ISNUMBER(Y487)))),"INVALID – expected/actual qty missing",IF(AND(AR487=1,OR(X487&lt;=0,Y487&lt;0)),"INVALID – expected qty must be above 0 and actual not negative",IF(BB487&lt;&gt;"",BB487,IF(AND(AS487=1,Documents!$J$19&lt;&gt;"ON FILE"),"INVALID – GLD not on file (Documents sheet)",IF(AND(AS487=2,Documents!$O$19&lt;&gt;"ON FILE"),"INVALID – menu checklist not on file (Documents sheet)",IF(AND(AS487=3,NOT(ISNUMBER(Flights!$AX$19))),"INVALID – enter carrying flight KUL departure (Flights AX)",IF(AND(AS487=3,OR(Flights!$AZ$19&gt;Flights!$AA$19,Flights!$AX$19&lt;Flights!$AA$19-3)),"INVALID – carrying flight (Flights AX) cannot arrive before this leg's STD, or is over 3 days early",IF(AG487&gt;AsOfUTC,"INVALID – completion time is in the future",IF(AND(ISNUMBER(BY487),AG487&lt;BY487),IF(H487="Physical uplift","INVALID – before uplift window (cannot confirm loading)","INVALID – before valid window"),IF(AG487&gt;Flights!$AA$19,"INVALID – completed after departure (cannot establish readiness)",IF(AND(H487="Preparation",AG487&gt;=IF(ISNUMBER(Flights!$BA$19),MIN(Flights!$BA$19,Flights!$AA$19),Flights!$AA$19)),"INVALID – completed after loading / departure (cannot establish readiness)",IF(AND(H487="Physical uplift",AG487&gt;Q487),"INVALID – recorded after the loading flight departed",IF(AG487&gt;Q487,"COMPLETE – LATE","COMPLETE"))))))))))))))))))))))))),IF(TRIM(U487)="Fail","FAIL – DISCREPANCY",IF(AND(TRIM(U487)&lt;&gt;"",TRIM(U487)&lt;&gt;"Not started",TRIM(U487)&lt;&gt;"In progress"),"INVALID – unrecognised status (use the list)",IF(AsOfUTC&gt;Q487,"OVERDUE",IF(N487="Clarification required","OPEN – CLARIFICATION","OPEN"))))))),"INVALID – error value in an input cell")</f>
        <v>OPEN</v>
      </c>
      <c r="AI487" s="61" t="n">
        <f aca="false">IF(OR(AH487="N/A – RULE",AH487="N/A – JUSTIFIED"),0,1)</f>
        <v>1</v>
      </c>
      <c r="AJ487" s="61" t="n">
        <f aca="false">IF(LEFT(AH487,8)="COMPLETE",1,0)</f>
        <v>0</v>
      </c>
      <c r="AK487" s="61" t="n">
        <f aca="false">IF(AND(AI487=1,AJ487=0,AsOfUTC&gt;Q487),1,0)</f>
        <v>0</v>
      </c>
      <c r="AL487" s="61" t="n">
        <f aca="false">IFERROR(IF(AND(AI487=1,OR(TRIM(U487)="Fail",AND(TRIM(AB487)&lt;&gt;"",TRIM(AB487)&lt;&gt;"Closed"),AND(ISNUMBER(AF487),AF487&lt;&gt;0,TRIM(U487)&lt;&gt;"Pass after CA"))),1,0),1)</f>
        <v>0</v>
      </c>
      <c r="AM487" s="61" t="n">
        <f aca="false">IF(LEFT(AH487,7)="INVALID",1,0)</f>
        <v>0</v>
      </c>
      <c r="AN487" s="61" t="n">
        <f aca="false">IF(AND(N487="Clarification required",AI487=1,AJ487=0),1,0)</f>
        <v>0</v>
      </c>
      <c r="AO487" s="61" t="str">
        <f aca="false">IF(AK487=1,SUM(AK$5:AK487),"")</f>
        <v/>
      </c>
      <c r="AP487" s="61" t="str">
        <f aca="false">IF(AL487=1,SUM(AL$5:AL487),"")</f>
        <v/>
      </c>
      <c r="AQ487" s="61" t="n">
        <v>0</v>
      </c>
      <c r="AR487" s="61" t="n">
        <v>0</v>
      </c>
      <c r="AS487" s="61" t="n">
        <v>1</v>
      </c>
      <c r="AT487" s="61" t="n">
        <v>0</v>
      </c>
      <c r="AU487" s="61" t="str">
        <f aca="false">SUBSTITUTE(SUBSTITUTE(SUBSTITUTE(SUBSTITUTE(SUBSTITUTE(SUBSTITUTE(SUBSTITUTE(SUBSTITUTE(SUBSTITUTE(SUBSTITUTE(SUBSTITUTE(SUBSTITUTE(SUBSTITUTE(SUBSTITUTE(SUBSTITUTE(SUBSTITUTE(LOWER(T487&amp;""),CHAR(10),""),CHAR(13),""),CHAR(9),""),CHAR(160),"")," ",""),".",""),"-",""),"/",""),"?",""),"_",""),",",""),"[",""),"]",""),"(",""),")",""),"*","")</f>
        <v/>
      </c>
      <c r="AV487" s="61" t="str">
        <f aca="false">SUBSTITUTE(SUBSTITUTE(SUBSTITUTE(SUBSTITUTE(SUBSTITUTE(SUBSTITUTE(SUBSTITUTE(SUBSTITUTE(SUBSTITUTE(SUBSTITUTE(SUBSTITUTE(SUBSTITUTE(SUBSTITUTE(SUBSTITUTE(SUBSTITUTE(SUBSTITUTE(LOWER(V487&amp;""),CHAR(10),""),CHAR(13),""),CHAR(9),""),CHAR(160),"")," ",""),".",""),"-",""),"/",""),"?",""),"_",""),",",""),"[",""),"]",""),"(",""),")",""),"*","")</f>
        <v/>
      </c>
      <c r="AW487" s="61" t="str">
        <f aca="false">SUBSTITUTE(SUBSTITUTE(SUBSTITUTE(SUBSTITUTE(SUBSTITUTE(SUBSTITUTE(SUBSTITUTE(SUBSTITUTE(SUBSTITUTE(SUBSTITUTE(SUBSTITUTE(SUBSTITUTE(SUBSTITUTE(SUBSTITUTE(SUBSTITUTE(SUBSTITUTE(LOWER(Z487&amp;""),CHAR(10),""),CHAR(13),""),CHAR(9),""),CHAR(160),"")," ",""),".",""),"-",""),"/",""),"?",""),"_",""),",",""),"[",""),"]",""),"(",""),")",""),"*","")</f>
        <v/>
      </c>
      <c r="AX487" s="61" t="str">
        <f aca="false">SUBSTITUTE(SUBSTITUTE(SUBSTITUTE(SUBSTITUTE(SUBSTITUTE(SUBSTITUTE(SUBSTITUTE(SUBSTITUTE(SUBSTITUTE(SUBSTITUTE(SUBSTITUTE(SUBSTITUTE(SUBSTITUTE(SUBSTITUTE(SUBSTITUTE(SUBSTITUTE(LOWER(AE487&amp;""),CHAR(10),""),CHAR(13),""),CHAR(9),""),CHAR(160),"")," ",""),".",""),"-",""),"/",""),"?",""),"_",""),",",""),"[",""),"]",""),"(",""),")",""),"*","")</f>
        <v/>
      </c>
      <c r="AY487" s="61" t="str">
        <f aca="false">SUBSTITUTE(SUBSTITUTE(SUBSTITUTE(SUBSTITUTE(SUBSTITUTE(SUBSTITUTE(SUBSTITUTE(SUBSTITUTE(SUBSTITUTE(SUBSTITUTE(SUBSTITUTE(SUBSTITUTE(SUBSTITUTE(SUBSTITUTE(SUBSTITUTE(SUBSTITUTE(LOWER(W487&amp;""),CHAR(10),""),CHAR(13),""),CHAR(9),""),CHAR(160),"")," ",""),".",""),"-",""),"/",""),"?",""),"_",""),",",""),"[",""),"]",""),"(",""),")",""),"*","")</f>
        <v/>
      </c>
      <c r="AZ487" s="61" t="str">
        <f aca="false">SUBSTITUTE(SUBSTITUTE(SUBSTITUTE(SUBSTITUTE(SUBSTITUTE(SUBSTITUTE(SUBSTITUTE(SUBSTITUTE(SUBSTITUTE(SUBSTITUTE(SUBSTITUTE(SUBSTITUTE(SUBSTITUTE(SUBSTITUTE(SUBSTITUTE(SUBSTITUTE(LOWER(AC487&amp;""),CHAR(10),""),CHAR(13),""),CHAR(9),""),CHAR(160),"")," ",""),".",""),"-",""),"/",""),"?",""),"_",""),",",""),"[",""),"]",""),"(",""),")",""),"*","")</f>
        <v/>
      </c>
      <c r="BA487" s="61" t="str">
        <f aca="false">SUBSTITUTE(SUBSTITUTE(SUBSTITUTE(SUBSTITUTE(SUBSTITUTE(SUBSTITUTE(SUBSTITUTE(SUBSTITUTE(SUBSTITUTE(SUBSTITUTE(SUBSTITUTE(SUBSTITUTE(SUBSTITUTE(SUBSTITUTE(SUBSTITUTE(SUBSTITUTE(LOWER(AA487&amp;""),CHAR(10),""),CHAR(13),""),CHAR(9),""),CHAR(160),"")," ",""),".",""),"-",""),"/",""),"?",""),"_",""),",",""),"[",""),"]",""),"(",""),")",""),"*","")</f>
        <v/>
      </c>
      <c r="BB487" s="61" t="str">
        <f aca="false">IF(AND(TRIM(U487)="Pass",ISNUMBER(AF487)),IF(AF487&lt;&gt;0,"INVALID – qty variance: use Fail or Pass after CA",""),"")&amp;IF(AND(TRIM(U487)="Pass after CA",ISNUMBER(AF487)),IF(AF487&lt;&gt;0,"INVALID – after the corrective action the actual qty must equal expected (update Actual)",""),"")&amp;IF(AND(TRIM(U487)="Pass",TRIM(AB487)&lt;&gt;"",TRIM(AB487)&lt;&gt;"Closed"),"INVALID – corrective action not closed: use Fail, then Pass after CA","")&amp;IF(AND(LEN(BA487)&gt;=2,ISNA(MATCH(LEFT(BA487,255),L_Placeholder,0)),TRIM(AB487)=""),"INVALID – CA status missing for the recorded corrective action","")&amp;IF(AND(TRIM(U487)="Pass after CA",OR(OR(LEN(BA487)&lt;5,ISNUMBER(MATCH(BA487,L_Placeholder,0))),TRIM(AB487)&lt;&gt;"Closed")),"INVALID – corrective action not recorded/closed","")</f>
        <v/>
      </c>
      <c r="BC487" s="61" t="str">
        <f aca="false">" "&amp;TRIM(SUBSTITUTE(SUBSTITUTE(SUBSTITUTE(SUBSTITUTE(SUBSTITUTE(SUBSTITUTE(SUBSTITUTE(SUBSTITUTE(SUBSTITUTE(SUBSTITUTE(SUBSTITUTE(SUBSTITUTE(SUBSTITUTE(SUBSTITUTE(SUBSTITUTE(SUBSTITUTE(SUBSTITUTE(SUBSTITUTE(SUBSTITUTE(SUBSTITUTE(SUBSTITUTE(SUBSTITUTE(SUBSTITUTE(SUBSTITUTE(LOWER(V487&amp;""),CHAR(10)," "),CHAR(13)," "),CHAR(9)," "),CHAR(160)," "),"."," "),","," "),"-"," "),"/"," "),"("," "),")"," "),":"," "),";"," "),"_"," "),"–"," "),"?"," "),"!"," "),"*"," "),"["," "),"]"," "),"'"," "),"#"," "),"+"," "),"&amp;"," "),"\"," "))&amp;" "</f>
        <v>  </v>
      </c>
      <c r="BD487" s="61" t="str">
        <f aca="false">" "&amp;TRIM(SUBSTITUTE(SUBSTITUTE(SUBSTITUTE(SUBSTITUTE(SUBSTITUTE(SUBSTITUTE(SUBSTITUTE(SUBSTITUTE(SUBSTITUTE(SUBSTITUTE(SUBSTITUTE(SUBSTITUTE(SUBSTITUTE(SUBSTITUTE(SUBSTITUTE(SUBSTITUTE(SUBSTITUTE(SUBSTITUTE(SUBSTITUTE(SUBSTITUTE(SUBSTITUTE(SUBSTITUTE(SUBSTITUTE(SUBSTITUTE(LOWER(Z487&amp;""),CHAR(10)," "),CHAR(13)," "),CHAR(9)," "),CHAR(160)," "),"."," "),","," "),"-"," "),"/"," "),"("," "),")"," "),":"," "),";"," "),"_"," "),"–"," "),"?"," "),"!"," "),"*"," "),"["," "),"]"," "),"'"," "),"#"," "),"+"," "),"&amp;"," "),"\"," "))&amp;" "</f>
        <v>  </v>
      </c>
      <c r="BE487" s="61" t="str">
        <f aca="false">" "&amp;TRIM(SUBSTITUTE(SUBSTITUTE(SUBSTITUTE(SUBSTITUTE(SUBSTITUTE(SUBSTITUTE(SUBSTITUTE(SUBSTITUTE(SUBSTITUTE(SUBSTITUTE(SUBSTITUTE(SUBSTITUTE(SUBSTITUTE(SUBSTITUTE(SUBSTITUTE(SUBSTITUTE(SUBSTITUTE(SUBSTITUTE(SUBSTITUTE(SUBSTITUTE(SUBSTITUTE(SUBSTITUTE(SUBSTITUTE(SUBSTITUTE(LOWER(W487&amp;""),CHAR(10)," "),CHAR(13)," "),CHAR(9)," "),CHAR(160)," "),"."," "),","," "),"-"," "),"/"," "),"("," "),")"," "),":"," "),";"," "),"_"," "),"–"," "),"?"," "),"!"," "),"*"," "),"["," "),"]"," "),"'"," "),"#"," "),"+"," "),"&amp;"," "),"\"," "))&amp;" "</f>
        <v>  </v>
      </c>
      <c r="BF487" s="61" t="str">
        <f aca="false">" "&amp;TRIM(SUBSTITUTE(SUBSTITUTE(SUBSTITUTE(SUBSTITUTE(SUBSTITUTE(SUBSTITUTE(SUBSTITUTE(SUBSTITUTE(SUBSTITUTE(SUBSTITUTE(SUBSTITUTE(SUBSTITUTE(SUBSTITUTE(SUBSTITUTE(SUBSTITUTE(SUBSTITUTE(SUBSTITUTE(SUBSTITUTE(SUBSTITUTE(SUBSTITUTE(SUBSTITUTE(SUBSTITUTE(SUBSTITUTE(SUBSTITUTE(LOWER(AC487&amp;""),CHAR(10)," "),CHAR(13)," "),CHAR(9)," "),CHAR(160)," "),"."," "),","," "),"-"," "),"/"," "),"("," "),")"," "),":"," "),";"," "),"_"," "),"–"," "),"?"," "),"!"," "),"*"," "),"["," "),"]"," "),"'"," "),"#"," "),"+"," "),"&amp;"," "),"\"," "))&amp;" "</f>
        <v>  </v>
      </c>
      <c r="BG487" s="61" t="n">
        <f aca="false">IFERROR(IF(AND(TRIM(U487)="Pass",SUMPRODUCT((LEN(BC487)-LEN(SUBSTITUTE(BC487," "&amp;L_ResultBad&amp;" "," ")))/(LEN(L_ResultBad)+1))&gt;SUMPRODUCT((LEN(BC487)-LEN(SUBSTITUTE(BC487," "&amp;L_NegPhrase&amp;" "," ")))/(LEN(L_NegPhrase)+1))),1,0),0)</f>
        <v>0</v>
      </c>
      <c r="BH487" s="61" t="n">
        <f aca="false">IFERROR(IF(SUMPRODUCT((LEN(BC487)-LEN(SUBSTITUTE(BC487," "&amp;L_Pending&amp;" "," ")))/(LEN(L_Pending)+1))&gt;SUMPRODUCT((LEN(BC487)-LEN(SUBSTITUTE(BC487," "&amp;L_PendNeg&amp;" "," ")))/(LEN(L_PendNeg)+1))+SUMPRODUCT((LEN(BC487)-LEN(SUBSTITUTE(BC487," "&amp;L_PendPrep&amp;" "," ")))/(LEN(L_PendPrep)+1)),1,0),1)</f>
        <v>0</v>
      </c>
      <c r="BI487" s="61" t="n">
        <f aca="false">IFERROR(IF(SUMPRODUCT((LEN(BD487)-LEN(SUBSTITUTE(BD487," "&amp;L_PendStrict&amp;" "," ")))/(LEN(L_PendStrict)+1))&gt;SUMPRODUCT((LEN(BD487)-LEN(SUBSTITUTE(BD487," "&amp;L_PendNeg&amp;" "," ")))/(LEN(L_PendNeg)+1)),1,0),1)</f>
        <v>0</v>
      </c>
      <c r="BJ487" s="61" t="n">
        <f aca="false">IFERROR(IF(SUMPRODUCT((LEN(BE487)-LEN(SUBSTITUTE(BE487," "&amp;L_Pending&amp;" "," ")))/(LEN(L_Pending)+1))&gt;SUMPRODUCT((LEN(BE487)-LEN(SUBSTITUTE(BE487," "&amp;L_PendNeg&amp;" "," ")))/(LEN(L_PendNeg)+1))+SUMPRODUCT((LEN(BE487)-LEN(SUBSTITUTE(BE487," "&amp;L_PendPrep&amp;" "," ")))/(LEN(L_PendPrep)+1)),1,0),1)</f>
        <v>0</v>
      </c>
      <c r="BK487" s="61" t="n">
        <f aca="false">IFERROR(IF(SUMPRODUCT((LEN(BF487)-LEN(SUBSTITUTE(BF487," "&amp;L_PendStrict&amp;" "," ")))/(LEN(L_PendStrict)+1))&gt;SUMPRODUCT((LEN(BF487)-LEN(SUBSTITUTE(BF487," "&amp;L_PendNeg&amp;" "," ")))/(LEN(L_PendNeg)+1)),1,0),1)</f>
        <v>0</v>
      </c>
      <c r="BL487" s="61" t="n">
        <f aca="false">IF(ISNA(MATCH(TRIM(S487),L_EvidenceType,0)),0,BZ487)</f>
        <v>0</v>
      </c>
      <c r="BM487" s="61" t="str">
        <f aca="false">SUBSTITUTE(SUBSTITUTE(SUBSTITUTE(SUBSTITUTE(SUBSTITUTE(SUBSTITUTE(SUBSTITUTE(SUBSTITUTE(SUBSTITUTE(LOWER(Z487&amp;""),"1","0"),"2","0"),"3","0"),"4","0"),"5","0"),"6","0"),"7","0"),"8","0"),"9","0")</f>
        <v/>
      </c>
      <c r="BN487" s="61" t="str">
        <f aca="false">SUBSTITUTE(SUBSTITUTE(SUBSTITUTE(SUBSTITUTE(SUBSTITUTE(SUBSTITUTE(SUBSTITUTE(SUBSTITUTE(SUBSTITUTE(SUBSTITUTE(SUBSTITUTE(SUBSTITUTE(SUBSTITUTE(SUBSTITUTE(SUBSTITUTE(SUBSTITUTE(SUBSTITUTE(SUBSTITUTE(SUBSTITUTE(SUBSTITUTE(SUBSTITUTE(SUBSTITUTE(SUBSTITUTE(SUBSTITUTE(SUBSTITUTE(BM487,"b","a"),"c","a"),"d","a"),"e","a"),"f","a"),"g","a"),"h","a"),"i","a"),"j","a"),"k","a"),"l","a"),"m","a"),"n","a"),"o","a"),"p","a"),"q","a"),"r","a"),"s","a"),"t","a"),"u","a"),"v","a"),"w","a"),"x","a"),"y","a"),"z","a")</f>
        <v/>
      </c>
      <c r="BO487" s="61" t="str">
        <f aca="false">SUBSTITUTE(SUBSTITUTE(SUBSTITUTE(SUBSTITUTE(SUBSTITUTE(SUBSTITUTE(SUBSTITUTE(SUBSTITUTE(SUBSTITUTE(LOWER(W487&amp;""),"1","0"),"2","0"),"3","0"),"4","0"),"5","0"),"6","0"),"7","0"),"8","0"),"9","0")</f>
        <v/>
      </c>
      <c r="BP487" s="61" t="str">
        <f aca="false">SUBSTITUTE(SUBSTITUTE(SUBSTITUTE(SUBSTITUTE(SUBSTITUTE(SUBSTITUTE(SUBSTITUTE(SUBSTITUTE(SUBSTITUTE(SUBSTITUTE(SUBSTITUTE(SUBSTITUTE(SUBSTITUTE(SUBSTITUTE(SUBSTITUTE(SUBSTITUTE(SUBSTITUTE(SUBSTITUTE(SUBSTITUTE(SUBSTITUTE(SUBSTITUTE(SUBSTITUTE(SUBSTITUTE(SUBSTITUTE(SUBSTITUTE(BO487,"b","a"),"c","a"),"d","a"),"e","a"),"f","a"),"g","a"),"h","a"),"i","a"),"j","a"),"k","a"),"l","a"),"m","a"),"n","a"),"o","a"),"p","a"),"q","a"),"r","a"),"s","a"),"t","a"),"u","a"),"v","a"),"w","a"),"x","a"),"y","a"),"z","a")</f>
        <v/>
      </c>
      <c r="BQ487" s="61" t="n">
        <f aca="false">IFERROR(IF(AND(ISERROR(SEARCH(" mh"," "&amp;LOWER(W487))),ISNA(MATCH(LEFT(TRIM(BP487),255),{"0000a","000a","00a","0000aa","000aa","00aa","0aa","0000aaa","000aaa","00a00","0a00","0000-0000","00:00","a00","a0","00.00.0000","00/00/0000","00-00-0000","0000-00-00","0000/00/00","0000.00.00","00.00.00","00/00/00","00-00-00","0.00.0000","0/00/0000","0-00-0000"},0)),ISNA(MATCH(LEFT(TRIM(CA487),255),{"0000a","000a","00a","0000aa","000aa","00aa","0aa","0000aaa","000aaa","00a00","0a00","0000-0000","00:00","a00","a0","00.00.0000","00/00/0000","00-00-0000","0000-00-00","0000/00/00","0000.00.00","00.00.00","00/00/00","00-00-00","0.00.0000","0/00/0000","0-00-0000"},0)),LEN(CB487)&gt;=3,NOT(OR(SUBSTITUTE(CB487,"0","")="",AND(LEN(CB487)&gt;=4,CB487=REPT(LEFT(CB487),LEN(CB487))),ISNUMBER(MATCH(CB487,{"123","1234","12345","123456","1234567","12345678","0123","01234","012345","98765","987654","54321"},0)),AND(LEN(CB487)=8,LEFT(CB487,3)="202"))),OR(AND((LEN(CA487)-LEN(SUBSTITUTE(CA487,"a","")))&gt;=1,SUMPRODUCT(--ISNUMBER(SEARCH({"a0","a-0","a_0","a/0","a.0","a#0","0a","0-a","0_a","0/a"},BP487)))&gt;0),ISNUMBER(SEARCH("000000",BP487)))),1,0),0)</f>
        <v>0</v>
      </c>
      <c r="BR487" s="61" t="n">
        <f aca="false">IFERROR(LEN(SUBSTITUTE(CC487," ",""))-SUMPRODUCT((LEN(CC487)-LEN(SUBSTITUTE(CC487," "&amp;L_Role&amp;" "," ")))/(LEN(L_Role)+1)*LEN(L_Role)),0)</f>
        <v>0</v>
      </c>
      <c r="BS487" s="61" t="n">
        <f aca="false">IFERROR(LEN(SUBSTITUTE(CD487," ",""))-SUMPRODUCT((LEN(CD487)-LEN(SUBSTITUTE(CD487," "&amp;L_Role&amp;" "," ")))/(LEN(L_Role)+1)*LEN(L_Role)),0)</f>
        <v>0</v>
      </c>
      <c r="BT4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487,"revision",""),"version",""),"jan",""),"feb",""),"mar",""),"apr",""),"may",""),"jun",""),"jul",""),"aug",""),"sep",""),"oct",""),"nov",""),"dec",""),"utc",""),"gmt",""),"myt",""),"bst",""),"rev",""),"ver",""),"b","a"),"c","a"),"d","a"),"e","a"),"f","a"),"g","a"),"h","a"),"i","a"),"j","a"),"k","a"),"l","a"),"m","a"),"n","a"),"o","a"),"p","a"),"q","a"),"r","a"),"s","a"),"t","a"),"u","a"),"v","a"),"w","a"),"x","a"),"y","a"),"z","a")</f>
        <v/>
      </c>
      <c r="BU487" s="61" t="str">
        <f aca="false">SUBSTITUTE(SUBSTITUTE(SUBSTITUTE(SUBSTITUTE(SUBSTITUTE(SUBSTITUTE(SUBSTITUTE(SUBSTITUTE(SUBSTITUTE(SUBSTITUTE(LEFT(BM487,FIND("0",BM487&amp;"0")-1),"-",""),"_",""),"/",""),".",""),"#",""),"\\",""),":","")," ",""),"(",""),")","")</f>
        <v/>
      </c>
      <c r="BV487" s="61" t="n">
        <f aca="false">0</f>
        <v>0</v>
      </c>
      <c r="BW4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487&amp;""),"a",""),"b",""),"c",""),"d",""),"e",""),"f",""),"g",""),"h",""),"i",""),"j",""),"k",""),"l",""),"m",""),"n",""),"o",""),"p",""),"q",""),"r",""),"s",""),"t",""),"u",""),"v",""),"w",""),"x",""),"y",""),"z",""),"-",""),"_",""),"/",""),".",""),"#",""),"\\",""),":","")," ",""),"(",""),")","")</f>
        <v/>
      </c>
      <c r="BX487" s="61" t="str">
        <f aca="false">SUBSTITUTE(SUBSTITUTE(SUBSTITUTE(SUBSTITUTE(SUBSTITUTE(SUBSTITUTE(SUBSTITUTE(SUBSTITUTE(SUBSTITUTE(SUBSTITUTE(SUBSTITUTE(BM487,"0",""),"-",""),"_",""),"/",""),".",""),"#",""),"\\",""),":","")," ",""),"(",""),")","")</f>
        <v/>
      </c>
      <c r="BY487" s="62" t="n">
        <f aca="false">Q487-T7EarlyD*24/24</f>
        <v>46299.4583333333</v>
      </c>
      <c r="BZ487" s="61" t="n">
        <f aca="false">IFERROR(IF(IF(TRIM(S487)="Link / file path",AND(LEN(TRIM(Z487))&gt;=5,SUMPRODUCT(--ISNUMBER(SEARCH({"http","www.","\\",":\",".pdf",".jpg",".jpeg",".png",".heic",".xls",".doc",".msg",".eml",".ppt",".txt",".zip"},Z487)))&gt;0),AND(ISERROR(FIND(" ",TRIM(Z487))),NOT(OR(SUMPRODUCT(--ISNUMBER(FIND({",",";","&amp;","+"},Z487)))&gt;0,SUMPRODUCT(--ISNUMBER(SEARCH({"0/aa","0\\aa"},BN487)))&gt;0)),NOT(SUMPRODUCT(--ISNUMBER(SEARCH({"http","www.","\\",":\",".pdf",".jpg",".jpeg",".png",".heic",".xls",".doc",".msg",".eml",".ppt",".txt",".zip"},Z487)))&gt;0),NOT(LOWER(TRIM(Z487))=LOWER(Flights!$F$19)),ISNA(MATCH(BU487,{"mh","rev","revision","ver","version","v","r","a","b","seat","tray","row","gate","bay","stand","page","pg","item","line","no","cart","galley","flight","flt","table","box","bag","oven","etd","eta","std","sta","atd","ata","qty","pax","x","time","tel","ph","mob","day","wk","week","utc","gmt","myt","lt"},0)),NOT(OR(ISNUMBER(MATCH(LEFT(BN487,255),{"0000a","000a","00a","0000aa","000aa","00aa","0aa","0000aaa","000aaa","00a00","0a00","0000-0000","00:00","a00","a0","00.00.0000","00/00/0000","00-00-0000","0000-00-00","0000/00/00","0000.00.00","00.00.00","00/00/00","00-00-00","0.00.0000","0/00/0000","0-00-0000"},0)),ISNUMBER(MATCH(LEFT(BT487,255),{"0000a","000a","00a","0000aa","000aa","00aa","0aa","0000aaa","000aaa","00a00","0a00","0000-0000","00:00","a00","a0","00.00.0000","00/00/0000","00-00-0000","0000-00-00","0000/00/00","0000.00.00","00.00.00","00/00/00","00-00-00","0.00.0000","0/00/0000","0-00-0000"},0)))),NOT(OR(AND(BW487&lt;&gt;"",SUBSTITUTE(BW487,"0","")=""),AND(LEN(BW487)&gt;=4,BW487=REPT(LEFT(BW487),LEN(BW487))),ISNUMBER(MATCH(BW487,{"123","1234","12345","123456","1234567","12345678","0123","01234","012345","98765","987654","54321"},0)),ISNUMBER(MATCH(BX487,{"x","xx","xxx","xxxx","xxxxx","abc","abcd","nil","na","nan","test","tbc","tba","tbd","dummy","sample","example","eg","zz","zzz","none","null","xyz","qwe","asd","id","ref"},0)),AND(LEN(BW487)=8,BX487="",OR(LEFT(BW487,3)="202",ISNUMBER(MATCH(RIGHT(BW487,4),{"2025","2026","2027"},0)))))),OR(AND((LEN(BT487)-LEN(SUBSTITUTE(BT487,"a","")))&gt;=1,(LEN(BN487)-LEN(SUBSTITUTE(BN487,"0","")))&gt;=2,SUMPRODUCT(--ISNUMBER(SEARCH({"a0","a-0","a_0","a/0","a.0","a#0","0a","0-a","0_a","0/a"},BN487)))&gt;0),AND((LEN(BN487)-LEN(SUBSTITUTE(BN487,"a","")))=0,(LEN(BN487)-LEN(SUBSTITUTE(BN487,"0","")))&gt;=5)))),1,0),0)</f>
        <v>0</v>
      </c>
      <c r="CA4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487,"revision",""),"version",""),"jan",""),"feb",""),"mar",""),"apr",""),"may",""),"jun",""),"jul",""),"aug",""),"sep",""),"oct",""),"nov",""),"dec",""),"utc",""),"gmt",""),"myt",""),"bst",""),"rev",""),"ver",""),"b","a"),"c","a"),"d","a"),"e","a"),"f","a"),"g","a"),"h","a"),"i","a"),"j","a"),"k","a"),"l","a"),"m","a"),"n","a"),"o","a"),"p","a"),"q","a"),"r","a"),"s","a"),"t","a"),"u","a"),"v","a"),"w","a"),"x","a"),"y","a"),"z","a")</f>
        <v/>
      </c>
      <c r="CB4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487&amp;""),"a",""),"b",""),"c",""),"d",""),"e",""),"f",""),"g",""),"h",""),"i",""),"j",""),"k",""),"l",""),"m",""),"n",""),"o",""),"p",""),"q",""),"r",""),"s",""),"t",""),"u",""),"v",""),"w",""),"x",""),"y",""),"z",""),"-",""),"_",""),"/",""),".",""),"#",""),"\\",""),":","")," ",""),"(",""),")","")</f>
        <v/>
      </c>
      <c r="CC487" s="0" t="str">
        <f aca="false">" "&amp;TRIM(SUBSTITUTE(SUBSTITUTE(SUBSTITUTE(SUBSTITUTE(SUBSTITUTE(SUBSTITUTE(SUBSTITUTE(SUBSTITUTE(SUBSTITUTE(SUBSTITUTE(SUBSTITUTE(SUBSTITUTE(SUBSTITUTE(SUBSTITUTE(SUBSTITUTE(SUBSTITUTE(SUBSTITUTE(SUBSTITUTE(SUBSTITUTE(SUBSTITUTE(SUBSTITUTE(SUBSTITUTE(SUBSTITUTE(SUBSTITUTE(LOWER(T487&amp;""),CHAR(10)," "),CHAR(13)," "),CHAR(9)," "),CHAR(160)," "),"."," "),","," "),"-"," "),"/"," "),"("," "),")"," "),":"," "),";"," "),"_"," "),"–"," "),"?"," "),"!"," "),"*"," "),"["," "),"]"," "),"'"," "),"#"," "),"+"," "),"&amp;"," "),"\"," "))&amp;" "</f>
        <v>  </v>
      </c>
      <c r="CD487" s="0" t="str">
        <f aca="false">" "&amp;TRIM(SUBSTITUTE(SUBSTITUTE(SUBSTITUTE(SUBSTITUTE(SUBSTITUTE(SUBSTITUTE(SUBSTITUTE(SUBSTITUTE(SUBSTITUTE(SUBSTITUTE(SUBSTITUTE(SUBSTITUTE(SUBSTITUTE(SUBSTITUTE(SUBSTITUTE(SUBSTITUTE(SUBSTITUTE(SUBSTITUTE(SUBSTITUTE(SUBSTITUTE(SUBSTITUTE(SUBSTITUTE(SUBSTITUTE(SUBSTITUTE(LOWER(AE487&amp;""),CHAR(10)," "),CHAR(13)," "),CHAR(9)," "),CHAR(160)," "),"."," "),","," "),"-"," "),"/"," "),"("," "),")"," "),":"," "),";"," "),"_"," "),"–"," "),"?"," "),"!"," "),"*"," "),"["," "),"]"," "),"'"," "),"#"," "),"+"," "),"&amp;"," "),"\"," "))&amp;" "</f>
        <v>  </v>
      </c>
      <c r="CE487" s="68" t="n">
        <f aca="false">IFERROR(IF(AND(LEN(AU487)&gt;0,LEN(AU487)=LEN(AX487),OR(TRIM(MID(SUBSTITUTE(TRIM(CC487)," ",REPT(" ",60)),1,60))="",ISNUMBER(SEARCH(" "&amp;TRIM(MID(SUBSTITUTE(TRIM(CC487)," ",REPT(" ",60)),1,60))&amp;" ",CD487))),OR(TRIM(MID(SUBSTITUTE(TRIM(CC487)," ",REPT(" ",60)),61,60))="",ISNUMBER(SEARCH(" "&amp;TRIM(MID(SUBSTITUTE(TRIM(CC487)," ",REPT(" ",60)),61,60))&amp;" ",CD487))),OR(TRIM(MID(SUBSTITUTE(TRIM(CC487)," ",REPT(" ",60)),121,60))="",ISNUMBER(SEARCH(" "&amp;TRIM(MID(SUBSTITUTE(TRIM(CC487)," ",REPT(" ",60)),121,60))&amp;" ",CD487)))),1,0),0)</f>
        <v>0</v>
      </c>
      <c r="CG487" s="68" t="n">
        <f aca="false">IFERROR(LEN(SUBSTITUTE(BF487," ",""))-SUMPRODUCT((LEN(BF487)-LEN(SUBSTITUTE(BF487," "&amp;L_NAFiller&amp;" "," ")))/(LEN(L_NAFiller)+1)*LEN(L_NAFiller)),0)</f>
        <v>0</v>
      </c>
    </row>
    <row r="488" customFormat="false" ht="39.75" hidden="false" customHeight="true" outlineLevel="0" collapsed="false">
      <c r="A488" s="57" t="s">
        <v>1139</v>
      </c>
      <c r="B488" s="57" t="s">
        <v>278</v>
      </c>
      <c r="C488" s="57" t="str">
        <f aca="false">Flights!$F$19</f>
        <v>MH0003</v>
      </c>
      <c r="D488" s="58" t="n">
        <f aca="false">Flights!$D$19</f>
        <v>46320</v>
      </c>
      <c r="E488" s="57" t="str">
        <f aca="false">Flights!$G$19&amp;"-"&amp;Flights!$H$19</f>
        <v>LHR-KUL</v>
      </c>
      <c r="F488" s="57" t="str">
        <f aca="false">Flights!$K$19</f>
        <v>EY</v>
      </c>
      <c r="G488" s="57" t="s">
        <v>81</v>
      </c>
      <c r="H488" s="57" t="s">
        <v>378</v>
      </c>
      <c r="I488" s="57" t="s">
        <v>405</v>
      </c>
      <c r="J488" s="57" t="s">
        <v>409</v>
      </c>
      <c r="K488" s="67" t="s">
        <v>407</v>
      </c>
      <c r="L488" s="67" t="s">
        <v>382</v>
      </c>
      <c r="M488" s="67"/>
      <c r="N488" s="67" t="s">
        <v>383</v>
      </c>
      <c r="O488" s="67"/>
      <c r="P488" s="57" t="s">
        <v>186</v>
      </c>
      <c r="Q488" s="59" t="n">
        <f aca="false">ROUND((Flights!$AC$19)*1440,0)/1440</f>
        <v>46313.4583333333</v>
      </c>
      <c r="R488" s="59" t="n">
        <f aca="false">Q488+(IF(AND(INDEX(TZ_DSTS,MATCH(P488,TZ_STN,0))&lt;&gt;"",Q488&gt;=INDEX(TZ_DSTS,MATCH(P488,TZ_STN,0)),Q488&lt;INDEX(TZ_DSTE,MATCH(P488,TZ_STN,0))),INDEX(TZ_DST,MATCH(P488,TZ_STN,0)),INDEX(TZ_STD,MATCH(P488,TZ_STN,0))))/24</f>
        <v>46313.5</v>
      </c>
      <c r="S488" s="60"/>
      <c r="T488" s="60"/>
      <c r="U488" s="60"/>
      <c r="V488" s="60"/>
      <c r="W488" s="61"/>
      <c r="X488" s="60"/>
      <c r="Y488" s="60"/>
      <c r="Z488" s="60"/>
      <c r="AA488" s="60"/>
      <c r="AB488" s="60"/>
      <c r="AC488" s="60"/>
      <c r="AD488" s="66"/>
      <c r="AE488" s="60"/>
      <c r="AF488" s="61" t="str">
        <f aca="false">IF(AND(ISNUMBER(X488),ISNUMBER(Y488)),Y488-X488,"")</f>
        <v/>
      </c>
      <c r="AG488" s="62" t="str">
        <f aca="false">IF(ISNUMBER(AD488),AD488-(IF(AND(INDEX(TZ_DSTS,MATCH(P488,TZ_STN,0))&lt;&gt;"",(AD488-INDEX(TZ_STD,MATCH(P488,TZ_STN,0))/24)&gt;=INDEX(TZ_DSTS,MATCH(P488,TZ_STN,0)),(AD488-INDEX(TZ_STD,MATCH(P488,TZ_STN,0))/24)&lt;INDEX(TZ_DSTE,MATCH(P488,TZ_STN,0))),INDEX(TZ_DST,MATCH(P488,TZ_STN,0)),INDEX(TZ_STD,MATCH(P488,TZ_STN,0))))/24,"")</f>
        <v/>
      </c>
      <c r="AH488" s="65" t="str">
        <f aca="false">IFERROR(IF(N488="N/A – rule",IF(OR(TRIM(U488)="",TRIM(U488)="N/A",TRIM(U488)="Not started"),"N/A – RULE","INVALID – this check does not apply to this aircraft: clear the status (or correct the fleet on Flights)"),IF(TRIM(U488)="N/A",IF(AT488=0,"INVALID – N/A not permitted for this check",IF(AND(TRIM(AB488)&lt;&gt;"",TRIM(AB488)&lt;&gt;"Closed"),"INVALID – corrective action still open",IF(AND(NOT(OR(LEN(AZ488)&lt;15,ISNUMBER(MATCH(AZ488,L_Placeholder,0)))),BK488=0,CG488&gt;=8,NOT(OR(LEN(AU488)&lt;2,ISNUMBER(MATCH(AU488,L_Placeholder,0)))),BR488&gt;=3,NOT(OR(LEN(AX488)&lt;2,ISNUMBER(MATCH(AX488,L_Placeholder,0)))),BS488&gt;=3,TRIM(AE488)&lt;&gt;TRIM(T488),AX488&lt;&gt;AU488,CE488=0),"N/A – JUSTIFIED","INVALID – N/A needs a real, settled reason (not 'not applicable' / 'as above' / TBC), a named PIC and a different named verifier"))),IF(OR(TRIM(U488)="Pass",TRIM(U488)="Pass after CA"),IF(NOT(ISNUMBER(AD488)),"INVALID – completion time missing",IF(OR(OR(LEN(AU488)&lt;2,ISNUMBER(MATCH(AU488,L_Placeholder,0))),BR488&lt;3),"INVALID – PIC missing or not a named person (a role such as QA / CSM is not a name)",IF(OR(LEN(AV488)&lt;2,ISNUMBER(MATCH(AV488,L_Placeholder,0))),"INVALID – result / assessment missing",IF(OR(OR(LEN(AW488)&lt;3,ISNUMBER(MATCH(AW488,L_Placeholder,0))),SUMPRODUCT(--ISNUMBER(SEARCH(" "&amp;L_EvidencePhrase&amp;" ",BD488)))&gt;0,BI488=1),"INVALID – evidence missing, placeholder or not yet on file",IF(ISNA(MATCH(TRIM(S488),L_EvidenceType,0)),"INVALID – choose the evidence type from the list (column S)",IF(BL488=0,"INVALID – evidence ID must be the record's own ID only (e.g. SF-2210, IMG_2231, 1045521); a link / file name needs type 'Link / file path'",IF(OR(OR(LEN(AX488)&lt;2,ISNUMBER(MATCH(AX488,L_Placeholder,0))),BS488&lt;3),"INVALID – verifier missing or not a named person (a role such as QA / CSM is not a name)",IF(OR(AX488=AU488,CE488=1,AND(LEN(AU488)&gt;=4,ISNUMBER(SEARCH(AU488,AX488))),AND(LEN(AX488)&gt;=4,ISNUMBER(SEARCH(AX488,AU488)))),"INVALID – verifier must be a different, named person (not the PIC or a role)",IF(BH488=1,"INVALID – result not yet available (awaiting / TBC)",IF(BG488=1,"INVALID – result describes a problem: record Fail, then Pass after CA (or reword if it is not a problem)",IF(BV488=1,"INVALID – wording says not on board: an on-board confirmation needs the item loaded",IF(AND(AQ488=1,OR(OR(LEN(AY488)&lt;3,ISNUMBER(MATCH(AY488,L_Placeholder,0))),BJ488=1,BQ488=0)),"INVALID – batch ID missing, placeholder or not an ID (e.g. PASB-261008-BC-017)",IF(AND(AR488=1,OR(NOT(ISNUMBER(X488)),NOT(ISNUMBER(Y488)))),"INVALID – expected/actual qty missing",IF(AND(AR488=1,OR(X488&lt;=0,Y488&lt;0)),"INVALID – expected qty must be above 0 and actual not negative",IF(BB488&lt;&gt;"",BB488,IF(AND(AS488=1,Documents!$J$19&lt;&gt;"ON FILE"),"INVALID – GLD not on file (Documents sheet)",IF(AND(AS488=2,Documents!$O$19&lt;&gt;"ON FILE"),"INVALID – menu checklist not on file (Documents sheet)",IF(AND(AS488=3,NOT(ISNUMBER(Flights!$AX$19))),"INVALID – enter carrying flight KUL departure (Flights AX)",IF(AND(AS488=3,OR(Flights!$AZ$19&gt;Flights!$AA$19,Flights!$AX$19&lt;Flights!$AA$19-3)),"INVALID – carrying flight (Flights AX) cannot arrive before this leg's STD, or is over 3 days early",IF(AG488&gt;AsOfUTC,"INVALID – completion time is in the future",IF(AND(ISNUMBER(BY488),AG488&lt;BY488),IF(H488="Physical uplift","INVALID – before uplift window (cannot confirm loading)","INVALID – before valid window"),IF(AG488&gt;Flights!$AA$19,"INVALID – completed after departure (cannot establish readiness)",IF(AND(H488="Preparation",AG488&gt;=IF(ISNUMBER(Flights!$BA$19),MIN(Flights!$BA$19,Flights!$AA$19),Flights!$AA$19)),"INVALID – completed after loading / departure (cannot establish readiness)",IF(AND(H488="Physical uplift",AG488&gt;Q488),"INVALID – recorded after the loading flight departed",IF(AG488&gt;Q488,"COMPLETE – LATE","COMPLETE"))))))))))))))))))))))))),IF(TRIM(U488)="Fail","FAIL – DISCREPANCY",IF(AND(TRIM(U488)&lt;&gt;"",TRIM(U488)&lt;&gt;"Not started",TRIM(U488)&lt;&gt;"In progress"),"INVALID – unrecognised status (use the list)",IF(AsOfUTC&gt;Q488,"OVERDUE",IF(N488="Clarification required","OPEN – CLARIFICATION","OPEN"))))))),"INVALID – error value in an input cell")</f>
        <v>OPEN</v>
      </c>
      <c r="AI488" s="61" t="n">
        <f aca="false">IF(OR(AH488="N/A – RULE",AH488="N/A – JUSTIFIED"),0,1)</f>
        <v>1</v>
      </c>
      <c r="AJ488" s="61" t="n">
        <f aca="false">IF(LEFT(AH488,8)="COMPLETE",1,0)</f>
        <v>0</v>
      </c>
      <c r="AK488" s="61" t="n">
        <f aca="false">IF(AND(AI488=1,AJ488=0,AsOfUTC&gt;Q488),1,0)</f>
        <v>0</v>
      </c>
      <c r="AL488" s="61" t="n">
        <f aca="false">IFERROR(IF(AND(AI488=1,OR(TRIM(U488)="Fail",AND(TRIM(AB488)&lt;&gt;"",TRIM(AB488)&lt;&gt;"Closed"),AND(ISNUMBER(AF488),AF488&lt;&gt;0,TRIM(U488)&lt;&gt;"Pass after CA"))),1,0),1)</f>
        <v>0</v>
      </c>
      <c r="AM488" s="61" t="n">
        <f aca="false">IF(LEFT(AH488,7)="INVALID",1,0)</f>
        <v>0</v>
      </c>
      <c r="AN488" s="61" t="n">
        <f aca="false">IF(AND(N488="Clarification required",AI488=1,AJ488=0),1,0)</f>
        <v>0</v>
      </c>
      <c r="AO488" s="61" t="str">
        <f aca="false">IF(AK488=1,SUM(AK$5:AK488),"")</f>
        <v/>
      </c>
      <c r="AP488" s="61" t="str">
        <f aca="false">IF(AL488=1,SUM(AL$5:AL488),"")</f>
        <v/>
      </c>
      <c r="AQ488" s="61" t="n">
        <v>0</v>
      </c>
      <c r="AR488" s="61" t="n">
        <v>0</v>
      </c>
      <c r="AS488" s="61" t="n">
        <v>2</v>
      </c>
      <c r="AT488" s="61" t="n">
        <v>0</v>
      </c>
      <c r="AU488" s="61" t="str">
        <f aca="false">SUBSTITUTE(SUBSTITUTE(SUBSTITUTE(SUBSTITUTE(SUBSTITUTE(SUBSTITUTE(SUBSTITUTE(SUBSTITUTE(SUBSTITUTE(SUBSTITUTE(SUBSTITUTE(SUBSTITUTE(SUBSTITUTE(SUBSTITUTE(SUBSTITUTE(SUBSTITUTE(LOWER(T488&amp;""),CHAR(10),""),CHAR(13),""),CHAR(9),""),CHAR(160),"")," ",""),".",""),"-",""),"/",""),"?",""),"_",""),",",""),"[",""),"]",""),"(",""),")",""),"*","")</f>
        <v/>
      </c>
      <c r="AV488" s="61" t="str">
        <f aca="false">SUBSTITUTE(SUBSTITUTE(SUBSTITUTE(SUBSTITUTE(SUBSTITUTE(SUBSTITUTE(SUBSTITUTE(SUBSTITUTE(SUBSTITUTE(SUBSTITUTE(SUBSTITUTE(SUBSTITUTE(SUBSTITUTE(SUBSTITUTE(SUBSTITUTE(SUBSTITUTE(LOWER(V488&amp;""),CHAR(10),""),CHAR(13),""),CHAR(9),""),CHAR(160),"")," ",""),".",""),"-",""),"/",""),"?",""),"_",""),",",""),"[",""),"]",""),"(",""),")",""),"*","")</f>
        <v/>
      </c>
      <c r="AW488" s="61" t="str">
        <f aca="false">SUBSTITUTE(SUBSTITUTE(SUBSTITUTE(SUBSTITUTE(SUBSTITUTE(SUBSTITUTE(SUBSTITUTE(SUBSTITUTE(SUBSTITUTE(SUBSTITUTE(SUBSTITUTE(SUBSTITUTE(SUBSTITUTE(SUBSTITUTE(SUBSTITUTE(SUBSTITUTE(LOWER(Z488&amp;""),CHAR(10),""),CHAR(13),""),CHAR(9),""),CHAR(160),"")," ",""),".",""),"-",""),"/",""),"?",""),"_",""),",",""),"[",""),"]",""),"(",""),")",""),"*","")</f>
        <v/>
      </c>
      <c r="AX488" s="61" t="str">
        <f aca="false">SUBSTITUTE(SUBSTITUTE(SUBSTITUTE(SUBSTITUTE(SUBSTITUTE(SUBSTITUTE(SUBSTITUTE(SUBSTITUTE(SUBSTITUTE(SUBSTITUTE(SUBSTITUTE(SUBSTITUTE(SUBSTITUTE(SUBSTITUTE(SUBSTITUTE(SUBSTITUTE(LOWER(AE488&amp;""),CHAR(10),""),CHAR(13),""),CHAR(9),""),CHAR(160),"")," ",""),".",""),"-",""),"/",""),"?",""),"_",""),",",""),"[",""),"]",""),"(",""),")",""),"*","")</f>
        <v/>
      </c>
      <c r="AY488" s="61" t="str">
        <f aca="false">SUBSTITUTE(SUBSTITUTE(SUBSTITUTE(SUBSTITUTE(SUBSTITUTE(SUBSTITUTE(SUBSTITUTE(SUBSTITUTE(SUBSTITUTE(SUBSTITUTE(SUBSTITUTE(SUBSTITUTE(SUBSTITUTE(SUBSTITUTE(SUBSTITUTE(SUBSTITUTE(LOWER(W488&amp;""),CHAR(10),""),CHAR(13),""),CHAR(9),""),CHAR(160),"")," ",""),".",""),"-",""),"/",""),"?",""),"_",""),",",""),"[",""),"]",""),"(",""),")",""),"*","")</f>
        <v/>
      </c>
      <c r="AZ488" s="61" t="str">
        <f aca="false">SUBSTITUTE(SUBSTITUTE(SUBSTITUTE(SUBSTITUTE(SUBSTITUTE(SUBSTITUTE(SUBSTITUTE(SUBSTITUTE(SUBSTITUTE(SUBSTITUTE(SUBSTITUTE(SUBSTITUTE(SUBSTITUTE(SUBSTITUTE(SUBSTITUTE(SUBSTITUTE(LOWER(AC488&amp;""),CHAR(10),""),CHAR(13),""),CHAR(9),""),CHAR(160),"")," ",""),".",""),"-",""),"/",""),"?",""),"_",""),",",""),"[",""),"]",""),"(",""),")",""),"*","")</f>
        <v/>
      </c>
      <c r="BA488" s="61" t="str">
        <f aca="false">SUBSTITUTE(SUBSTITUTE(SUBSTITUTE(SUBSTITUTE(SUBSTITUTE(SUBSTITUTE(SUBSTITUTE(SUBSTITUTE(SUBSTITUTE(SUBSTITUTE(SUBSTITUTE(SUBSTITUTE(SUBSTITUTE(SUBSTITUTE(SUBSTITUTE(SUBSTITUTE(LOWER(AA488&amp;""),CHAR(10),""),CHAR(13),""),CHAR(9),""),CHAR(160),"")," ",""),".",""),"-",""),"/",""),"?",""),"_",""),",",""),"[",""),"]",""),"(",""),")",""),"*","")</f>
        <v/>
      </c>
      <c r="BB488" s="61" t="str">
        <f aca="false">IF(AND(TRIM(U488)="Pass",ISNUMBER(AF488)),IF(AF488&lt;&gt;0,"INVALID – qty variance: use Fail or Pass after CA",""),"")&amp;IF(AND(TRIM(U488)="Pass after CA",ISNUMBER(AF488)),IF(AF488&lt;&gt;0,"INVALID – after the corrective action the actual qty must equal expected (update Actual)",""),"")&amp;IF(AND(TRIM(U488)="Pass",TRIM(AB488)&lt;&gt;"",TRIM(AB488)&lt;&gt;"Closed"),"INVALID – corrective action not closed: use Fail, then Pass after CA","")&amp;IF(AND(LEN(BA488)&gt;=2,ISNA(MATCH(LEFT(BA488,255),L_Placeholder,0)),TRIM(AB488)=""),"INVALID – CA status missing for the recorded corrective action","")&amp;IF(AND(TRIM(U488)="Pass after CA",OR(OR(LEN(BA488)&lt;5,ISNUMBER(MATCH(BA488,L_Placeholder,0))),TRIM(AB488)&lt;&gt;"Closed")),"INVALID – corrective action not recorded/closed","")</f>
        <v/>
      </c>
      <c r="BC488" s="61" t="str">
        <f aca="false">" "&amp;TRIM(SUBSTITUTE(SUBSTITUTE(SUBSTITUTE(SUBSTITUTE(SUBSTITUTE(SUBSTITUTE(SUBSTITUTE(SUBSTITUTE(SUBSTITUTE(SUBSTITUTE(SUBSTITUTE(SUBSTITUTE(SUBSTITUTE(SUBSTITUTE(SUBSTITUTE(SUBSTITUTE(SUBSTITUTE(SUBSTITUTE(SUBSTITUTE(SUBSTITUTE(SUBSTITUTE(SUBSTITUTE(SUBSTITUTE(SUBSTITUTE(LOWER(V488&amp;""),CHAR(10)," "),CHAR(13)," "),CHAR(9)," "),CHAR(160)," "),"."," "),","," "),"-"," "),"/"," "),"("," "),")"," "),":"," "),";"," "),"_"," "),"–"," "),"?"," "),"!"," "),"*"," "),"["," "),"]"," "),"'"," "),"#"," "),"+"," "),"&amp;"," "),"\"," "))&amp;" "</f>
        <v>  </v>
      </c>
      <c r="BD488" s="61" t="str">
        <f aca="false">" "&amp;TRIM(SUBSTITUTE(SUBSTITUTE(SUBSTITUTE(SUBSTITUTE(SUBSTITUTE(SUBSTITUTE(SUBSTITUTE(SUBSTITUTE(SUBSTITUTE(SUBSTITUTE(SUBSTITUTE(SUBSTITUTE(SUBSTITUTE(SUBSTITUTE(SUBSTITUTE(SUBSTITUTE(SUBSTITUTE(SUBSTITUTE(SUBSTITUTE(SUBSTITUTE(SUBSTITUTE(SUBSTITUTE(SUBSTITUTE(SUBSTITUTE(LOWER(Z488&amp;""),CHAR(10)," "),CHAR(13)," "),CHAR(9)," "),CHAR(160)," "),"."," "),","," "),"-"," "),"/"," "),"("," "),")"," "),":"," "),";"," "),"_"," "),"–"," "),"?"," "),"!"," "),"*"," "),"["," "),"]"," "),"'"," "),"#"," "),"+"," "),"&amp;"," "),"\"," "))&amp;" "</f>
        <v>  </v>
      </c>
      <c r="BE488" s="61" t="str">
        <f aca="false">" "&amp;TRIM(SUBSTITUTE(SUBSTITUTE(SUBSTITUTE(SUBSTITUTE(SUBSTITUTE(SUBSTITUTE(SUBSTITUTE(SUBSTITUTE(SUBSTITUTE(SUBSTITUTE(SUBSTITUTE(SUBSTITUTE(SUBSTITUTE(SUBSTITUTE(SUBSTITUTE(SUBSTITUTE(SUBSTITUTE(SUBSTITUTE(SUBSTITUTE(SUBSTITUTE(SUBSTITUTE(SUBSTITUTE(SUBSTITUTE(SUBSTITUTE(LOWER(W488&amp;""),CHAR(10)," "),CHAR(13)," "),CHAR(9)," "),CHAR(160)," "),"."," "),","," "),"-"," "),"/"," "),"("," "),")"," "),":"," "),";"," "),"_"," "),"–"," "),"?"," "),"!"," "),"*"," "),"["," "),"]"," "),"'"," "),"#"," "),"+"," "),"&amp;"," "),"\"," "))&amp;" "</f>
        <v>  </v>
      </c>
      <c r="BF488" s="61" t="str">
        <f aca="false">" "&amp;TRIM(SUBSTITUTE(SUBSTITUTE(SUBSTITUTE(SUBSTITUTE(SUBSTITUTE(SUBSTITUTE(SUBSTITUTE(SUBSTITUTE(SUBSTITUTE(SUBSTITUTE(SUBSTITUTE(SUBSTITUTE(SUBSTITUTE(SUBSTITUTE(SUBSTITUTE(SUBSTITUTE(SUBSTITUTE(SUBSTITUTE(SUBSTITUTE(SUBSTITUTE(SUBSTITUTE(SUBSTITUTE(SUBSTITUTE(SUBSTITUTE(LOWER(AC488&amp;""),CHAR(10)," "),CHAR(13)," "),CHAR(9)," "),CHAR(160)," "),"."," "),","," "),"-"," "),"/"," "),"("," "),")"," "),":"," "),";"," "),"_"," "),"–"," "),"?"," "),"!"," "),"*"," "),"["," "),"]"," "),"'"," "),"#"," "),"+"," "),"&amp;"," "),"\"," "))&amp;" "</f>
        <v>  </v>
      </c>
      <c r="BG488" s="61" t="n">
        <f aca="false">IFERROR(IF(AND(TRIM(U488)="Pass",SUMPRODUCT((LEN(BC488)-LEN(SUBSTITUTE(BC488," "&amp;L_ResultBad&amp;" "," ")))/(LEN(L_ResultBad)+1))&gt;SUMPRODUCT((LEN(BC488)-LEN(SUBSTITUTE(BC488," "&amp;L_NegPhrase&amp;" "," ")))/(LEN(L_NegPhrase)+1))),1,0),0)</f>
        <v>0</v>
      </c>
      <c r="BH488" s="61" t="n">
        <f aca="false">IFERROR(IF(SUMPRODUCT((LEN(BC488)-LEN(SUBSTITUTE(BC488," "&amp;L_Pending&amp;" "," ")))/(LEN(L_Pending)+1))&gt;SUMPRODUCT((LEN(BC488)-LEN(SUBSTITUTE(BC488," "&amp;L_PendNeg&amp;" "," ")))/(LEN(L_PendNeg)+1))+SUMPRODUCT((LEN(BC488)-LEN(SUBSTITUTE(BC488," "&amp;L_PendPrep&amp;" "," ")))/(LEN(L_PendPrep)+1)),1,0),1)</f>
        <v>0</v>
      </c>
      <c r="BI488" s="61" t="n">
        <f aca="false">IFERROR(IF(SUMPRODUCT((LEN(BD488)-LEN(SUBSTITUTE(BD488," "&amp;L_PendStrict&amp;" "," ")))/(LEN(L_PendStrict)+1))&gt;SUMPRODUCT((LEN(BD488)-LEN(SUBSTITUTE(BD488," "&amp;L_PendNeg&amp;" "," ")))/(LEN(L_PendNeg)+1)),1,0),1)</f>
        <v>0</v>
      </c>
      <c r="BJ488" s="61" t="n">
        <f aca="false">IFERROR(IF(SUMPRODUCT((LEN(BE488)-LEN(SUBSTITUTE(BE488," "&amp;L_Pending&amp;" "," ")))/(LEN(L_Pending)+1))&gt;SUMPRODUCT((LEN(BE488)-LEN(SUBSTITUTE(BE488," "&amp;L_PendNeg&amp;" "," ")))/(LEN(L_PendNeg)+1))+SUMPRODUCT((LEN(BE488)-LEN(SUBSTITUTE(BE488," "&amp;L_PendPrep&amp;" "," ")))/(LEN(L_PendPrep)+1)),1,0),1)</f>
        <v>0</v>
      </c>
      <c r="BK488" s="61" t="n">
        <f aca="false">IFERROR(IF(SUMPRODUCT((LEN(BF488)-LEN(SUBSTITUTE(BF488," "&amp;L_PendStrict&amp;" "," ")))/(LEN(L_PendStrict)+1))&gt;SUMPRODUCT((LEN(BF488)-LEN(SUBSTITUTE(BF488," "&amp;L_PendNeg&amp;" "," ")))/(LEN(L_PendNeg)+1)),1,0),1)</f>
        <v>0</v>
      </c>
      <c r="BL488" s="61" t="n">
        <f aca="false">IF(ISNA(MATCH(TRIM(S488),L_EvidenceType,0)),0,BZ488)</f>
        <v>0</v>
      </c>
      <c r="BM488" s="61" t="str">
        <f aca="false">SUBSTITUTE(SUBSTITUTE(SUBSTITUTE(SUBSTITUTE(SUBSTITUTE(SUBSTITUTE(SUBSTITUTE(SUBSTITUTE(SUBSTITUTE(LOWER(Z488&amp;""),"1","0"),"2","0"),"3","0"),"4","0"),"5","0"),"6","0"),"7","0"),"8","0"),"9","0")</f>
        <v/>
      </c>
      <c r="BN488" s="61" t="str">
        <f aca="false">SUBSTITUTE(SUBSTITUTE(SUBSTITUTE(SUBSTITUTE(SUBSTITUTE(SUBSTITUTE(SUBSTITUTE(SUBSTITUTE(SUBSTITUTE(SUBSTITUTE(SUBSTITUTE(SUBSTITUTE(SUBSTITUTE(SUBSTITUTE(SUBSTITUTE(SUBSTITUTE(SUBSTITUTE(SUBSTITUTE(SUBSTITUTE(SUBSTITUTE(SUBSTITUTE(SUBSTITUTE(SUBSTITUTE(SUBSTITUTE(SUBSTITUTE(BM488,"b","a"),"c","a"),"d","a"),"e","a"),"f","a"),"g","a"),"h","a"),"i","a"),"j","a"),"k","a"),"l","a"),"m","a"),"n","a"),"o","a"),"p","a"),"q","a"),"r","a"),"s","a"),"t","a"),"u","a"),"v","a"),"w","a"),"x","a"),"y","a"),"z","a")</f>
        <v/>
      </c>
      <c r="BO488" s="61" t="str">
        <f aca="false">SUBSTITUTE(SUBSTITUTE(SUBSTITUTE(SUBSTITUTE(SUBSTITUTE(SUBSTITUTE(SUBSTITUTE(SUBSTITUTE(SUBSTITUTE(LOWER(W488&amp;""),"1","0"),"2","0"),"3","0"),"4","0"),"5","0"),"6","0"),"7","0"),"8","0"),"9","0")</f>
        <v/>
      </c>
      <c r="BP488" s="61" t="str">
        <f aca="false">SUBSTITUTE(SUBSTITUTE(SUBSTITUTE(SUBSTITUTE(SUBSTITUTE(SUBSTITUTE(SUBSTITUTE(SUBSTITUTE(SUBSTITUTE(SUBSTITUTE(SUBSTITUTE(SUBSTITUTE(SUBSTITUTE(SUBSTITUTE(SUBSTITUTE(SUBSTITUTE(SUBSTITUTE(SUBSTITUTE(SUBSTITUTE(SUBSTITUTE(SUBSTITUTE(SUBSTITUTE(SUBSTITUTE(SUBSTITUTE(SUBSTITUTE(BO488,"b","a"),"c","a"),"d","a"),"e","a"),"f","a"),"g","a"),"h","a"),"i","a"),"j","a"),"k","a"),"l","a"),"m","a"),"n","a"),"o","a"),"p","a"),"q","a"),"r","a"),"s","a"),"t","a"),"u","a"),"v","a"),"w","a"),"x","a"),"y","a"),"z","a")</f>
        <v/>
      </c>
      <c r="BQ488" s="61" t="n">
        <f aca="false">IFERROR(IF(AND(ISERROR(SEARCH(" mh"," "&amp;LOWER(W488))),ISNA(MATCH(LEFT(TRIM(BP488),255),{"0000a","000a","00a","0000aa","000aa","00aa","0aa","0000aaa","000aaa","00a00","0a00","0000-0000","00:00","a00","a0","00.00.0000","00/00/0000","00-00-0000","0000-00-00","0000/00/00","0000.00.00","00.00.00","00/00/00","00-00-00","0.00.0000","0/00/0000","0-00-0000"},0)),ISNA(MATCH(LEFT(TRIM(CA488),255),{"0000a","000a","00a","0000aa","000aa","00aa","0aa","0000aaa","000aaa","00a00","0a00","0000-0000","00:00","a00","a0","00.00.0000","00/00/0000","00-00-0000","0000-00-00","0000/00/00","0000.00.00","00.00.00","00/00/00","00-00-00","0.00.0000","0/00/0000","0-00-0000"},0)),LEN(CB488)&gt;=3,NOT(OR(SUBSTITUTE(CB488,"0","")="",AND(LEN(CB488)&gt;=4,CB488=REPT(LEFT(CB488),LEN(CB488))),ISNUMBER(MATCH(CB488,{"123","1234","12345","123456","1234567","12345678","0123","01234","012345","98765","987654","54321"},0)),AND(LEN(CB488)=8,LEFT(CB488,3)="202"))),OR(AND((LEN(CA488)-LEN(SUBSTITUTE(CA488,"a","")))&gt;=1,SUMPRODUCT(--ISNUMBER(SEARCH({"a0","a-0","a_0","a/0","a.0","a#0","0a","0-a","0_a","0/a"},BP488)))&gt;0),ISNUMBER(SEARCH("000000",BP488)))),1,0),0)</f>
        <v>0</v>
      </c>
      <c r="BR488" s="61" t="n">
        <f aca="false">IFERROR(LEN(SUBSTITUTE(CC488," ",""))-SUMPRODUCT((LEN(CC488)-LEN(SUBSTITUTE(CC488," "&amp;L_Role&amp;" "," ")))/(LEN(L_Role)+1)*LEN(L_Role)),0)</f>
        <v>0</v>
      </c>
      <c r="BS488" s="61" t="n">
        <f aca="false">IFERROR(LEN(SUBSTITUTE(CD488," ",""))-SUMPRODUCT((LEN(CD488)-LEN(SUBSTITUTE(CD488," "&amp;L_Role&amp;" "," ")))/(LEN(L_Role)+1)*LEN(L_Role)),0)</f>
        <v>0</v>
      </c>
      <c r="BT4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488,"revision",""),"version",""),"jan",""),"feb",""),"mar",""),"apr",""),"may",""),"jun",""),"jul",""),"aug",""),"sep",""),"oct",""),"nov",""),"dec",""),"utc",""),"gmt",""),"myt",""),"bst",""),"rev",""),"ver",""),"b","a"),"c","a"),"d","a"),"e","a"),"f","a"),"g","a"),"h","a"),"i","a"),"j","a"),"k","a"),"l","a"),"m","a"),"n","a"),"o","a"),"p","a"),"q","a"),"r","a"),"s","a"),"t","a"),"u","a"),"v","a"),"w","a"),"x","a"),"y","a"),"z","a")</f>
        <v/>
      </c>
      <c r="BU488" s="61" t="str">
        <f aca="false">SUBSTITUTE(SUBSTITUTE(SUBSTITUTE(SUBSTITUTE(SUBSTITUTE(SUBSTITUTE(SUBSTITUTE(SUBSTITUTE(SUBSTITUTE(SUBSTITUTE(LEFT(BM488,FIND("0",BM488&amp;"0")-1),"-",""),"_",""),"/",""),".",""),"#",""),"\\",""),":","")," ",""),"(",""),")","")</f>
        <v/>
      </c>
      <c r="BV488" s="61" t="n">
        <f aca="false">0</f>
        <v>0</v>
      </c>
      <c r="BW4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488&amp;""),"a",""),"b",""),"c",""),"d",""),"e",""),"f",""),"g",""),"h",""),"i",""),"j",""),"k",""),"l",""),"m",""),"n",""),"o",""),"p",""),"q",""),"r",""),"s",""),"t",""),"u",""),"v",""),"w",""),"x",""),"y",""),"z",""),"-",""),"_",""),"/",""),".",""),"#",""),"\\",""),":","")," ",""),"(",""),")","")</f>
        <v/>
      </c>
      <c r="BX488" s="61" t="str">
        <f aca="false">SUBSTITUTE(SUBSTITUTE(SUBSTITUTE(SUBSTITUTE(SUBSTITUTE(SUBSTITUTE(SUBSTITUTE(SUBSTITUTE(SUBSTITUTE(SUBSTITUTE(SUBSTITUTE(BM488,"0",""),"-",""),"_",""),"/",""),".",""),"#",""),"\\",""),":","")," ",""),"(",""),")","")</f>
        <v/>
      </c>
      <c r="BY488" s="62" t="n">
        <f aca="false">Q488-T7EarlyD*24/24</f>
        <v>46299.4583333333</v>
      </c>
      <c r="BZ488" s="61" t="n">
        <f aca="false">IFERROR(IF(IF(TRIM(S488)="Link / file path",AND(LEN(TRIM(Z488))&gt;=5,SUMPRODUCT(--ISNUMBER(SEARCH({"http","www.","\\",":\",".pdf",".jpg",".jpeg",".png",".heic",".xls",".doc",".msg",".eml",".ppt",".txt",".zip"},Z488)))&gt;0),AND(ISERROR(FIND(" ",TRIM(Z488))),NOT(OR(SUMPRODUCT(--ISNUMBER(FIND({",",";","&amp;","+"},Z488)))&gt;0,SUMPRODUCT(--ISNUMBER(SEARCH({"0/aa","0\\aa"},BN488)))&gt;0)),NOT(SUMPRODUCT(--ISNUMBER(SEARCH({"http","www.","\\",":\",".pdf",".jpg",".jpeg",".png",".heic",".xls",".doc",".msg",".eml",".ppt",".txt",".zip"},Z488)))&gt;0),NOT(LOWER(TRIM(Z488))=LOWER(Flights!$F$19)),ISNA(MATCH(BU488,{"mh","rev","revision","ver","version","v","r","a","b","seat","tray","row","gate","bay","stand","page","pg","item","line","no","cart","galley","flight","flt","table","box","bag","oven","etd","eta","std","sta","atd","ata","qty","pax","x","time","tel","ph","mob","day","wk","week","utc","gmt","myt","lt"},0)),NOT(OR(ISNUMBER(MATCH(LEFT(BN488,255),{"0000a","000a","00a","0000aa","000aa","00aa","0aa","0000aaa","000aaa","00a00","0a00","0000-0000","00:00","a00","a0","00.00.0000","00/00/0000","00-00-0000","0000-00-00","0000/00/00","0000.00.00","00.00.00","00/00/00","00-00-00","0.00.0000","0/00/0000","0-00-0000"},0)),ISNUMBER(MATCH(LEFT(BT488,255),{"0000a","000a","00a","0000aa","000aa","00aa","0aa","0000aaa","000aaa","00a00","0a00","0000-0000","00:00","a00","a0","00.00.0000","00/00/0000","00-00-0000","0000-00-00","0000/00/00","0000.00.00","00.00.00","00/00/00","00-00-00","0.00.0000","0/00/0000","0-00-0000"},0)))),NOT(OR(AND(BW488&lt;&gt;"",SUBSTITUTE(BW488,"0","")=""),AND(LEN(BW488)&gt;=4,BW488=REPT(LEFT(BW488),LEN(BW488))),ISNUMBER(MATCH(BW488,{"123","1234","12345","123456","1234567","12345678","0123","01234","012345","98765","987654","54321"},0)),ISNUMBER(MATCH(BX488,{"x","xx","xxx","xxxx","xxxxx","abc","abcd","nil","na","nan","test","tbc","tba","tbd","dummy","sample","example","eg","zz","zzz","none","null","xyz","qwe","asd","id","ref"},0)),AND(LEN(BW488)=8,BX488="",OR(LEFT(BW488,3)="202",ISNUMBER(MATCH(RIGHT(BW488,4),{"2025","2026","2027"},0)))))),OR(AND((LEN(BT488)-LEN(SUBSTITUTE(BT488,"a","")))&gt;=1,(LEN(BN488)-LEN(SUBSTITUTE(BN488,"0","")))&gt;=2,SUMPRODUCT(--ISNUMBER(SEARCH({"a0","a-0","a_0","a/0","a.0","a#0","0a","0-a","0_a","0/a"},BN488)))&gt;0),AND((LEN(BN488)-LEN(SUBSTITUTE(BN488,"a","")))=0,(LEN(BN488)-LEN(SUBSTITUTE(BN488,"0","")))&gt;=5)))),1,0),0)</f>
        <v>0</v>
      </c>
      <c r="CA4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488,"revision",""),"version",""),"jan",""),"feb",""),"mar",""),"apr",""),"may",""),"jun",""),"jul",""),"aug",""),"sep",""),"oct",""),"nov",""),"dec",""),"utc",""),"gmt",""),"myt",""),"bst",""),"rev",""),"ver",""),"b","a"),"c","a"),"d","a"),"e","a"),"f","a"),"g","a"),"h","a"),"i","a"),"j","a"),"k","a"),"l","a"),"m","a"),"n","a"),"o","a"),"p","a"),"q","a"),"r","a"),"s","a"),"t","a"),"u","a"),"v","a"),"w","a"),"x","a"),"y","a"),"z","a")</f>
        <v/>
      </c>
      <c r="CB4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488&amp;""),"a",""),"b",""),"c",""),"d",""),"e",""),"f",""),"g",""),"h",""),"i",""),"j",""),"k",""),"l",""),"m",""),"n",""),"o",""),"p",""),"q",""),"r",""),"s",""),"t",""),"u",""),"v",""),"w",""),"x",""),"y",""),"z",""),"-",""),"_",""),"/",""),".",""),"#",""),"\\",""),":","")," ",""),"(",""),")","")</f>
        <v/>
      </c>
      <c r="CC488" s="0" t="str">
        <f aca="false">" "&amp;TRIM(SUBSTITUTE(SUBSTITUTE(SUBSTITUTE(SUBSTITUTE(SUBSTITUTE(SUBSTITUTE(SUBSTITUTE(SUBSTITUTE(SUBSTITUTE(SUBSTITUTE(SUBSTITUTE(SUBSTITUTE(SUBSTITUTE(SUBSTITUTE(SUBSTITUTE(SUBSTITUTE(SUBSTITUTE(SUBSTITUTE(SUBSTITUTE(SUBSTITUTE(SUBSTITUTE(SUBSTITUTE(SUBSTITUTE(SUBSTITUTE(LOWER(T488&amp;""),CHAR(10)," "),CHAR(13)," "),CHAR(9)," "),CHAR(160)," "),"."," "),","," "),"-"," "),"/"," "),"("," "),")"," "),":"," "),";"," "),"_"," "),"–"," "),"?"," "),"!"," "),"*"," "),"["," "),"]"," "),"'"," "),"#"," "),"+"," "),"&amp;"," "),"\"," "))&amp;" "</f>
        <v>  </v>
      </c>
      <c r="CD488" s="0" t="str">
        <f aca="false">" "&amp;TRIM(SUBSTITUTE(SUBSTITUTE(SUBSTITUTE(SUBSTITUTE(SUBSTITUTE(SUBSTITUTE(SUBSTITUTE(SUBSTITUTE(SUBSTITUTE(SUBSTITUTE(SUBSTITUTE(SUBSTITUTE(SUBSTITUTE(SUBSTITUTE(SUBSTITUTE(SUBSTITUTE(SUBSTITUTE(SUBSTITUTE(SUBSTITUTE(SUBSTITUTE(SUBSTITUTE(SUBSTITUTE(SUBSTITUTE(SUBSTITUTE(LOWER(AE488&amp;""),CHAR(10)," "),CHAR(13)," "),CHAR(9)," "),CHAR(160)," "),"."," "),","," "),"-"," "),"/"," "),"("," "),")"," "),":"," "),";"," "),"_"," "),"–"," "),"?"," "),"!"," "),"*"," "),"["," "),"]"," "),"'"," "),"#"," "),"+"," "),"&amp;"," "),"\"," "))&amp;" "</f>
        <v>  </v>
      </c>
      <c r="CE488" s="68" t="n">
        <f aca="false">IFERROR(IF(AND(LEN(AU488)&gt;0,LEN(AU488)=LEN(AX488),OR(TRIM(MID(SUBSTITUTE(TRIM(CC488)," ",REPT(" ",60)),1,60))="",ISNUMBER(SEARCH(" "&amp;TRIM(MID(SUBSTITUTE(TRIM(CC488)," ",REPT(" ",60)),1,60))&amp;" ",CD488))),OR(TRIM(MID(SUBSTITUTE(TRIM(CC488)," ",REPT(" ",60)),61,60))="",ISNUMBER(SEARCH(" "&amp;TRIM(MID(SUBSTITUTE(TRIM(CC488)," ",REPT(" ",60)),61,60))&amp;" ",CD488))),OR(TRIM(MID(SUBSTITUTE(TRIM(CC488)," ",REPT(" ",60)),121,60))="",ISNUMBER(SEARCH(" "&amp;TRIM(MID(SUBSTITUTE(TRIM(CC488)," ",REPT(" ",60)),121,60))&amp;" ",CD488)))),1,0),0)</f>
        <v>0</v>
      </c>
      <c r="CG488" s="68" t="n">
        <f aca="false">IFERROR(LEN(SUBSTITUTE(BF488," ",""))-SUMPRODUCT((LEN(BF488)-LEN(SUBSTITUTE(BF488," "&amp;L_NAFiller&amp;" "," ")))/(LEN(L_NAFiller)+1)*LEN(L_NAFiller)),0)</f>
        <v>0</v>
      </c>
    </row>
    <row r="489" customFormat="false" ht="39.75" hidden="false" customHeight="true" outlineLevel="0" collapsed="false">
      <c r="A489" s="57" t="s">
        <v>1140</v>
      </c>
      <c r="B489" s="57" t="s">
        <v>278</v>
      </c>
      <c r="C489" s="57" t="str">
        <f aca="false">Flights!$F$19</f>
        <v>MH0003</v>
      </c>
      <c r="D489" s="58" t="n">
        <f aca="false">Flights!$D$19</f>
        <v>46320</v>
      </c>
      <c r="E489" s="57" t="str">
        <f aca="false">Flights!$G$19&amp;"-"&amp;Flights!$H$19</f>
        <v>LHR-KUL</v>
      </c>
      <c r="F489" s="57" t="str">
        <f aca="false">Flights!$K$19</f>
        <v>EY</v>
      </c>
      <c r="G489" s="57" t="s">
        <v>81</v>
      </c>
      <c r="H489" s="57" t="s">
        <v>378</v>
      </c>
      <c r="I489" s="57" t="s">
        <v>411</v>
      </c>
      <c r="J489" s="57" t="s">
        <v>412</v>
      </c>
      <c r="K489" s="67" t="s">
        <v>413</v>
      </c>
      <c r="L489" s="67" t="s">
        <v>414</v>
      </c>
      <c r="M489" s="67"/>
      <c r="N489" s="67" t="s">
        <v>383</v>
      </c>
      <c r="O489" s="67"/>
      <c r="P489" s="57" t="s">
        <v>186</v>
      </c>
      <c r="Q489" s="59" t="n">
        <f aca="false">ROUND((Flights!$AC$19)*1440,0)/1440</f>
        <v>46313.4583333333</v>
      </c>
      <c r="R489" s="59" t="n">
        <f aca="false">Q489+(IF(AND(INDEX(TZ_DSTS,MATCH(P489,TZ_STN,0))&lt;&gt;"",Q489&gt;=INDEX(TZ_DSTS,MATCH(P489,TZ_STN,0)),Q489&lt;INDEX(TZ_DSTE,MATCH(P489,TZ_STN,0))),INDEX(TZ_DST,MATCH(P489,TZ_STN,0)),INDEX(TZ_STD,MATCH(P489,TZ_STN,0))))/24</f>
        <v>46313.5</v>
      </c>
      <c r="S489" s="60"/>
      <c r="T489" s="60"/>
      <c r="U489" s="60"/>
      <c r="V489" s="60"/>
      <c r="W489" s="61"/>
      <c r="X489" s="60"/>
      <c r="Y489" s="60"/>
      <c r="Z489" s="60"/>
      <c r="AA489" s="60"/>
      <c r="AB489" s="60"/>
      <c r="AC489" s="60"/>
      <c r="AD489" s="66"/>
      <c r="AE489" s="60"/>
      <c r="AF489" s="61" t="str">
        <f aca="false">IF(AND(ISNUMBER(X489),ISNUMBER(Y489)),Y489-X489,"")</f>
        <v/>
      </c>
      <c r="AG489" s="62" t="str">
        <f aca="false">IF(ISNUMBER(AD489),AD489-(IF(AND(INDEX(TZ_DSTS,MATCH(P489,TZ_STN,0))&lt;&gt;"",(AD489-INDEX(TZ_STD,MATCH(P489,TZ_STN,0))/24)&gt;=INDEX(TZ_DSTS,MATCH(P489,TZ_STN,0)),(AD489-INDEX(TZ_STD,MATCH(P489,TZ_STN,0))/24)&lt;INDEX(TZ_DSTE,MATCH(P489,TZ_STN,0))),INDEX(TZ_DST,MATCH(P489,TZ_STN,0)),INDEX(TZ_STD,MATCH(P489,TZ_STN,0))))/24,"")</f>
        <v/>
      </c>
      <c r="AH489" s="65" t="str">
        <f aca="false">IFERROR(IF(N489="N/A – rule",IF(OR(TRIM(U489)="",TRIM(U489)="N/A",TRIM(U489)="Not started"),"N/A – RULE","INVALID – this check does not apply to this aircraft: clear the status (or correct the fleet on Flights)"),IF(TRIM(U489)="N/A",IF(AT489=0,"INVALID – N/A not permitted for this check",IF(AND(TRIM(AB489)&lt;&gt;"",TRIM(AB489)&lt;&gt;"Closed"),"INVALID – corrective action still open",IF(AND(NOT(OR(LEN(AZ489)&lt;15,ISNUMBER(MATCH(AZ489,L_Placeholder,0)))),BK489=0,CG489&gt;=8,NOT(OR(LEN(AU489)&lt;2,ISNUMBER(MATCH(AU489,L_Placeholder,0)))),BR489&gt;=3,NOT(OR(LEN(AX489)&lt;2,ISNUMBER(MATCH(AX489,L_Placeholder,0)))),BS489&gt;=3,TRIM(AE489)&lt;&gt;TRIM(T489),AX489&lt;&gt;AU489,CE489=0),"N/A – JUSTIFIED","INVALID – N/A needs a real, settled reason (not 'not applicable' / 'as above' / TBC), a named PIC and a different named verifier"))),IF(OR(TRIM(U489)="Pass",TRIM(U489)="Pass after CA"),IF(NOT(ISNUMBER(AD489)),"INVALID – completion time missing",IF(OR(OR(LEN(AU489)&lt;2,ISNUMBER(MATCH(AU489,L_Placeholder,0))),BR489&lt;3),"INVALID – PIC missing or not a named person (a role such as QA / CSM is not a name)",IF(OR(LEN(AV489)&lt;2,ISNUMBER(MATCH(AV489,L_Placeholder,0))),"INVALID – result / assessment missing",IF(OR(OR(LEN(AW489)&lt;3,ISNUMBER(MATCH(AW489,L_Placeholder,0))),SUMPRODUCT(--ISNUMBER(SEARCH(" "&amp;L_EvidencePhrase&amp;" ",BD489)))&gt;0,BI489=1),"INVALID – evidence missing, placeholder or not yet on file",IF(ISNA(MATCH(TRIM(S489),L_EvidenceType,0)),"INVALID – choose the evidence type from the list (column S)",IF(BL489=0,"INVALID – evidence ID must be the record's own ID only (e.g. SF-2210, IMG_2231, 1045521); a link / file name needs type 'Link / file path'",IF(OR(OR(LEN(AX489)&lt;2,ISNUMBER(MATCH(AX489,L_Placeholder,0))),BS489&lt;3),"INVALID – verifier missing or not a named person (a role such as QA / CSM is not a name)",IF(OR(AX489=AU489,CE489=1,AND(LEN(AU489)&gt;=4,ISNUMBER(SEARCH(AU489,AX489))),AND(LEN(AX489)&gt;=4,ISNUMBER(SEARCH(AX489,AU489)))),"INVALID – verifier must be a different, named person (not the PIC or a role)",IF(BH489=1,"INVALID – result not yet available (awaiting / TBC)",IF(BG489=1,"INVALID – result describes a problem: record Fail, then Pass after CA (or reword if it is not a problem)",IF(BV489=1,"INVALID – wording says not on board: an on-board confirmation needs the item loaded",IF(AND(AQ489=1,OR(OR(LEN(AY489)&lt;3,ISNUMBER(MATCH(AY489,L_Placeholder,0))),BJ489=1,BQ489=0)),"INVALID – batch ID missing, placeholder or not an ID (e.g. PASB-261008-BC-017)",IF(AND(AR489=1,OR(NOT(ISNUMBER(X489)),NOT(ISNUMBER(Y489)))),"INVALID – expected/actual qty missing",IF(AND(AR489=1,OR(X489&lt;=0,Y489&lt;0)),"INVALID – expected qty must be above 0 and actual not negative",IF(BB489&lt;&gt;"",BB489,IF(AND(AS489=1,Documents!$J$19&lt;&gt;"ON FILE"),"INVALID – GLD not on file (Documents sheet)",IF(AND(AS489=2,Documents!$O$19&lt;&gt;"ON FILE"),"INVALID – menu checklist not on file (Documents sheet)",IF(AND(AS489=3,NOT(ISNUMBER(Flights!$AX$19))),"INVALID – enter carrying flight KUL departure (Flights AX)",IF(AND(AS489=3,OR(Flights!$AZ$19&gt;Flights!$AA$19,Flights!$AX$19&lt;Flights!$AA$19-3)),"INVALID – carrying flight (Flights AX) cannot arrive before this leg's STD, or is over 3 days early",IF(AG489&gt;AsOfUTC,"INVALID – completion time is in the future",IF(AND(ISNUMBER(BY489),AG489&lt;BY489),IF(H489="Physical uplift","INVALID – before uplift window (cannot confirm loading)","INVALID – before valid window"),IF(AG489&gt;Flights!$AA$19,"INVALID – completed after departure (cannot establish readiness)",IF(AND(H489="Preparation",AG489&gt;=IF(ISNUMBER(Flights!$BA$19),MIN(Flights!$BA$19,Flights!$AA$19),Flights!$AA$19)),"INVALID – completed after loading / departure (cannot establish readiness)",IF(AND(H489="Physical uplift",AG489&gt;Q489),"INVALID – recorded after the loading flight departed",IF(AG489&gt;Q489,"COMPLETE – LATE","COMPLETE"))))))))))))))))))))))))),IF(TRIM(U489)="Fail","FAIL – DISCREPANCY",IF(AND(TRIM(U489)&lt;&gt;"",TRIM(U489)&lt;&gt;"Not started",TRIM(U489)&lt;&gt;"In progress"),"INVALID – unrecognised status (use the list)",IF(AsOfUTC&gt;Q489,"OVERDUE",IF(N489="Clarification required","OPEN – CLARIFICATION","OPEN"))))))),"INVALID – error value in an input cell")</f>
        <v>OPEN</v>
      </c>
      <c r="AI489" s="61" t="n">
        <f aca="false">IF(OR(AH489="N/A – RULE",AH489="N/A – JUSTIFIED"),0,1)</f>
        <v>1</v>
      </c>
      <c r="AJ489" s="61" t="n">
        <f aca="false">IF(LEFT(AH489,8)="COMPLETE",1,0)</f>
        <v>0</v>
      </c>
      <c r="AK489" s="61" t="n">
        <f aca="false">IF(AND(AI489=1,AJ489=0,AsOfUTC&gt;Q489),1,0)</f>
        <v>0</v>
      </c>
      <c r="AL489" s="61" t="n">
        <f aca="false">IFERROR(IF(AND(AI489=1,OR(TRIM(U489)="Fail",AND(TRIM(AB489)&lt;&gt;"",TRIM(AB489)&lt;&gt;"Closed"),AND(ISNUMBER(AF489),AF489&lt;&gt;0,TRIM(U489)&lt;&gt;"Pass after CA"))),1,0),1)</f>
        <v>0</v>
      </c>
      <c r="AM489" s="61" t="n">
        <f aca="false">IF(LEFT(AH489,7)="INVALID",1,0)</f>
        <v>0</v>
      </c>
      <c r="AN489" s="61" t="n">
        <f aca="false">IF(AND(N489="Clarification required",AI489=1,AJ489=0),1,0)</f>
        <v>0</v>
      </c>
      <c r="AO489" s="61" t="str">
        <f aca="false">IF(AK489=1,SUM(AK$5:AK489),"")</f>
        <v/>
      </c>
      <c r="AP489" s="61" t="str">
        <f aca="false">IF(AL489=1,SUM(AL$5:AL489),"")</f>
        <v/>
      </c>
      <c r="AQ489" s="61" t="n">
        <v>0</v>
      </c>
      <c r="AR489" s="61" t="n">
        <v>0</v>
      </c>
      <c r="AS489" s="61" t="n">
        <v>0</v>
      </c>
      <c r="AT489" s="61" t="n">
        <v>0</v>
      </c>
      <c r="AU489" s="61" t="str">
        <f aca="false">SUBSTITUTE(SUBSTITUTE(SUBSTITUTE(SUBSTITUTE(SUBSTITUTE(SUBSTITUTE(SUBSTITUTE(SUBSTITUTE(SUBSTITUTE(SUBSTITUTE(SUBSTITUTE(SUBSTITUTE(SUBSTITUTE(SUBSTITUTE(SUBSTITUTE(SUBSTITUTE(LOWER(T489&amp;""),CHAR(10),""),CHAR(13),""),CHAR(9),""),CHAR(160),"")," ",""),".",""),"-",""),"/",""),"?",""),"_",""),",",""),"[",""),"]",""),"(",""),")",""),"*","")</f>
        <v/>
      </c>
      <c r="AV489" s="61" t="str">
        <f aca="false">SUBSTITUTE(SUBSTITUTE(SUBSTITUTE(SUBSTITUTE(SUBSTITUTE(SUBSTITUTE(SUBSTITUTE(SUBSTITUTE(SUBSTITUTE(SUBSTITUTE(SUBSTITUTE(SUBSTITUTE(SUBSTITUTE(SUBSTITUTE(SUBSTITUTE(SUBSTITUTE(LOWER(V489&amp;""),CHAR(10),""),CHAR(13),""),CHAR(9),""),CHAR(160),"")," ",""),".",""),"-",""),"/",""),"?",""),"_",""),",",""),"[",""),"]",""),"(",""),")",""),"*","")</f>
        <v/>
      </c>
      <c r="AW489" s="61" t="str">
        <f aca="false">SUBSTITUTE(SUBSTITUTE(SUBSTITUTE(SUBSTITUTE(SUBSTITUTE(SUBSTITUTE(SUBSTITUTE(SUBSTITUTE(SUBSTITUTE(SUBSTITUTE(SUBSTITUTE(SUBSTITUTE(SUBSTITUTE(SUBSTITUTE(SUBSTITUTE(SUBSTITUTE(LOWER(Z489&amp;""),CHAR(10),""),CHAR(13),""),CHAR(9),""),CHAR(160),"")," ",""),".",""),"-",""),"/",""),"?",""),"_",""),",",""),"[",""),"]",""),"(",""),")",""),"*","")</f>
        <v/>
      </c>
      <c r="AX489" s="61" t="str">
        <f aca="false">SUBSTITUTE(SUBSTITUTE(SUBSTITUTE(SUBSTITUTE(SUBSTITUTE(SUBSTITUTE(SUBSTITUTE(SUBSTITUTE(SUBSTITUTE(SUBSTITUTE(SUBSTITUTE(SUBSTITUTE(SUBSTITUTE(SUBSTITUTE(SUBSTITUTE(SUBSTITUTE(LOWER(AE489&amp;""),CHAR(10),""),CHAR(13),""),CHAR(9),""),CHAR(160),"")," ",""),".",""),"-",""),"/",""),"?",""),"_",""),",",""),"[",""),"]",""),"(",""),")",""),"*","")</f>
        <v/>
      </c>
      <c r="AY489" s="61" t="str">
        <f aca="false">SUBSTITUTE(SUBSTITUTE(SUBSTITUTE(SUBSTITUTE(SUBSTITUTE(SUBSTITUTE(SUBSTITUTE(SUBSTITUTE(SUBSTITUTE(SUBSTITUTE(SUBSTITUTE(SUBSTITUTE(SUBSTITUTE(SUBSTITUTE(SUBSTITUTE(SUBSTITUTE(LOWER(W489&amp;""),CHAR(10),""),CHAR(13),""),CHAR(9),""),CHAR(160),"")," ",""),".",""),"-",""),"/",""),"?",""),"_",""),",",""),"[",""),"]",""),"(",""),")",""),"*","")</f>
        <v/>
      </c>
      <c r="AZ489" s="61" t="str">
        <f aca="false">SUBSTITUTE(SUBSTITUTE(SUBSTITUTE(SUBSTITUTE(SUBSTITUTE(SUBSTITUTE(SUBSTITUTE(SUBSTITUTE(SUBSTITUTE(SUBSTITUTE(SUBSTITUTE(SUBSTITUTE(SUBSTITUTE(SUBSTITUTE(SUBSTITUTE(SUBSTITUTE(LOWER(AC489&amp;""),CHAR(10),""),CHAR(13),""),CHAR(9),""),CHAR(160),"")," ",""),".",""),"-",""),"/",""),"?",""),"_",""),",",""),"[",""),"]",""),"(",""),")",""),"*","")</f>
        <v/>
      </c>
      <c r="BA489" s="61" t="str">
        <f aca="false">SUBSTITUTE(SUBSTITUTE(SUBSTITUTE(SUBSTITUTE(SUBSTITUTE(SUBSTITUTE(SUBSTITUTE(SUBSTITUTE(SUBSTITUTE(SUBSTITUTE(SUBSTITUTE(SUBSTITUTE(SUBSTITUTE(SUBSTITUTE(SUBSTITUTE(SUBSTITUTE(LOWER(AA489&amp;""),CHAR(10),""),CHAR(13),""),CHAR(9),""),CHAR(160),"")," ",""),".",""),"-",""),"/",""),"?",""),"_",""),",",""),"[",""),"]",""),"(",""),")",""),"*","")</f>
        <v/>
      </c>
      <c r="BB489" s="61" t="str">
        <f aca="false">IF(AND(TRIM(U489)="Pass",ISNUMBER(AF489)),IF(AF489&lt;&gt;0,"INVALID – qty variance: use Fail or Pass after CA",""),"")&amp;IF(AND(TRIM(U489)="Pass after CA",ISNUMBER(AF489)),IF(AF489&lt;&gt;0,"INVALID – after the corrective action the actual qty must equal expected (update Actual)",""),"")&amp;IF(AND(TRIM(U489)="Pass",TRIM(AB489)&lt;&gt;"",TRIM(AB489)&lt;&gt;"Closed"),"INVALID – corrective action not closed: use Fail, then Pass after CA","")&amp;IF(AND(LEN(BA489)&gt;=2,ISNA(MATCH(LEFT(BA489,255),L_Placeholder,0)),TRIM(AB489)=""),"INVALID – CA status missing for the recorded corrective action","")&amp;IF(AND(TRIM(U489)="Pass after CA",OR(OR(LEN(BA489)&lt;5,ISNUMBER(MATCH(BA489,L_Placeholder,0))),TRIM(AB489)&lt;&gt;"Closed")),"INVALID – corrective action not recorded/closed","")</f>
        <v/>
      </c>
      <c r="BC489" s="61" t="str">
        <f aca="false">" "&amp;TRIM(SUBSTITUTE(SUBSTITUTE(SUBSTITUTE(SUBSTITUTE(SUBSTITUTE(SUBSTITUTE(SUBSTITUTE(SUBSTITUTE(SUBSTITUTE(SUBSTITUTE(SUBSTITUTE(SUBSTITUTE(SUBSTITUTE(SUBSTITUTE(SUBSTITUTE(SUBSTITUTE(SUBSTITUTE(SUBSTITUTE(SUBSTITUTE(SUBSTITUTE(SUBSTITUTE(SUBSTITUTE(SUBSTITUTE(SUBSTITUTE(LOWER(V489&amp;""),CHAR(10)," "),CHAR(13)," "),CHAR(9)," "),CHAR(160)," "),"."," "),","," "),"-"," "),"/"," "),"("," "),")"," "),":"," "),";"," "),"_"," "),"–"," "),"?"," "),"!"," "),"*"," "),"["," "),"]"," "),"'"," "),"#"," "),"+"," "),"&amp;"," "),"\"," "))&amp;" "</f>
        <v>  </v>
      </c>
      <c r="BD489" s="61" t="str">
        <f aca="false">" "&amp;TRIM(SUBSTITUTE(SUBSTITUTE(SUBSTITUTE(SUBSTITUTE(SUBSTITUTE(SUBSTITUTE(SUBSTITUTE(SUBSTITUTE(SUBSTITUTE(SUBSTITUTE(SUBSTITUTE(SUBSTITUTE(SUBSTITUTE(SUBSTITUTE(SUBSTITUTE(SUBSTITUTE(SUBSTITUTE(SUBSTITUTE(SUBSTITUTE(SUBSTITUTE(SUBSTITUTE(SUBSTITUTE(SUBSTITUTE(SUBSTITUTE(LOWER(Z489&amp;""),CHAR(10)," "),CHAR(13)," "),CHAR(9)," "),CHAR(160)," "),"."," "),","," "),"-"," "),"/"," "),"("," "),")"," "),":"," "),";"," "),"_"," "),"–"," "),"?"," "),"!"," "),"*"," "),"["," "),"]"," "),"'"," "),"#"," "),"+"," "),"&amp;"," "),"\"," "))&amp;" "</f>
        <v>  </v>
      </c>
      <c r="BE489" s="61" t="str">
        <f aca="false">" "&amp;TRIM(SUBSTITUTE(SUBSTITUTE(SUBSTITUTE(SUBSTITUTE(SUBSTITUTE(SUBSTITUTE(SUBSTITUTE(SUBSTITUTE(SUBSTITUTE(SUBSTITUTE(SUBSTITUTE(SUBSTITUTE(SUBSTITUTE(SUBSTITUTE(SUBSTITUTE(SUBSTITUTE(SUBSTITUTE(SUBSTITUTE(SUBSTITUTE(SUBSTITUTE(SUBSTITUTE(SUBSTITUTE(SUBSTITUTE(SUBSTITUTE(LOWER(W489&amp;""),CHAR(10)," "),CHAR(13)," "),CHAR(9)," "),CHAR(160)," "),"."," "),","," "),"-"," "),"/"," "),"("," "),")"," "),":"," "),";"," "),"_"," "),"–"," "),"?"," "),"!"," "),"*"," "),"["," "),"]"," "),"'"," "),"#"," "),"+"," "),"&amp;"," "),"\"," "))&amp;" "</f>
        <v>  </v>
      </c>
      <c r="BF489" s="61" t="str">
        <f aca="false">" "&amp;TRIM(SUBSTITUTE(SUBSTITUTE(SUBSTITUTE(SUBSTITUTE(SUBSTITUTE(SUBSTITUTE(SUBSTITUTE(SUBSTITUTE(SUBSTITUTE(SUBSTITUTE(SUBSTITUTE(SUBSTITUTE(SUBSTITUTE(SUBSTITUTE(SUBSTITUTE(SUBSTITUTE(SUBSTITUTE(SUBSTITUTE(SUBSTITUTE(SUBSTITUTE(SUBSTITUTE(SUBSTITUTE(SUBSTITUTE(SUBSTITUTE(LOWER(AC489&amp;""),CHAR(10)," "),CHAR(13)," "),CHAR(9)," "),CHAR(160)," "),"."," "),","," "),"-"," "),"/"," "),"("," "),")"," "),":"," "),";"," "),"_"," "),"–"," "),"?"," "),"!"," "),"*"," "),"["," "),"]"," "),"'"," "),"#"," "),"+"," "),"&amp;"," "),"\"," "))&amp;" "</f>
        <v>  </v>
      </c>
      <c r="BG489" s="61" t="n">
        <f aca="false">IFERROR(IF(AND(TRIM(U489)="Pass",SUMPRODUCT((LEN(BC489)-LEN(SUBSTITUTE(BC489," "&amp;L_ResultBad&amp;" "," ")))/(LEN(L_ResultBad)+1))&gt;SUMPRODUCT((LEN(BC489)-LEN(SUBSTITUTE(BC489," "&amp;L_NegPhrase&amp;" "," ")))/(LEN(L_NegPhrase)+1))),1,0),0)</f>
        <v>0</v>
      </c>
      <c r="BH489" s="61" t="n">
        <f aca="false">IFERROR(IF(SUMPRODUCT((LEN(BC489)-LEN(SUBSTITUTE(BC489," "&amp;L_Pending&amp;" "," ")))/(LEN(L_Pending)+1))&gt;SUMPRODUCT((LEN(BC489)-LEN(SUBSTITUTE(BC489," "&amp;L_PendNeg&amp;" "," ")))/(LEN(L_PendNeg)+1))+SUMPRODUCT((LEN(BC489)-LEN(SUBSTITUTE(BC489," "&amp;L_PendPrep&amp;" "," ")))/(LEN(L_PendPrep)+1)),1,0),1)</f>
        <v>0</v>
      </c>
      <c r="BI489" s="61" t="n">
        <f aca="false">IFERROR(IF(SUMPRODUCT((LEN(BD489)-LEN(SUBSTITUTE(BD489," "&amp;L_PendStrict&amp;" "," ")))/(LEN(L_PendStrict)+1))&gt;SUMPRODUCT((LEN(BD489)-LEN(SUBSTITUTE(BD489," "&amp;L_PendNeg&amp;" "," ")))/(LEN(L_PendNeg)+1)),1,0),1)</f>
        <v>0</v>
      </c>
      <c r="BJ489" s="61" t="n">
        <f aca="false">IFERROR(IF(SUMPRODUCT((LEN(BE489)-LEN(SUBSTITUTE(BE489," "&amp;L_Pending&amp;" "," ")))/(LEN(L_Pending)+1))&gt;SUMPRODUCT((LEN(BE489)-LEN(SUBSTITUTE(BE489," "&amp;L_PendNeg&amp;" "," ")))/(LEN(L_PendNeg)+1))+SUMPRODUCT((LEN(BE489)-LEN(SUBSTITUTE(BE489," "&amp;L_PendPrep&amp;" "," ")))/(LEN(L_PendPrep)+1)),1,0),1)</f>
        <v>0</v>
      </c>
      <c r="BK489" s="61" t="n">
        <f aca="false">IFERROR(IF(SUMPRODUCT((LEN(BF489)-LEN(SUBSTITUTE(BF489," "&amp;L_PendStrict&amp;" "," ")))/(LEN(L_PendStrict)+1))&gt;SUMPRODUCT((LEN(BF489)-LEN(SUBSTITUTE(BF489," "&amp;L_PendNeg&amp;" "," ")))/(LEN(L_PendNeg)+1)),1,0),1)</f>
        <v>0</v>
      </c>
      <c r="BL489" s="61" t="n">
        <f aca="false">IF(ISNA(MATCH(TRIM(S489),L_EvidenceType,0)),0,BZ489)</f>
        <v>0</v>
      </c>
      <c r="BM489" s="61" t="str">
        <f aca="false">SUBSTITUTE(SUBSTITUTE(SUBSTITUTE(SUBSTITUTE(SUBSTITUTE(SUBSTITUTE(SUBSTITUTE(SUBSTITUTE(SUBSTITUTE(LOWER(Z489&amp;""),"1","0"),"2","0"),"3","0"),"4","0"),"5","0"),"6","0"),"7","0"),"8","0"),"9","0")</f>
        <v/>
      </c>
      <c r="BN489" s="61" t="str">
        <f aca="false">SUBSTITUTE(SUBSTITUTE(SUBSTITUTE(SUBSTITUTE(SUBSTITUTE(SUBSTITUTE(SUBSTITUTE(SUBSTITUTE(SUBSTITUTE(SUBSTITUTE(SUBSTITUTE(SUBSTITUTE(SUBSTITUTE(SUBSTITUTE(SUBSTITUTE(SUBSTITUTE(SUBSTITUTE(SUBSTITUTE(SUBSTITUTE(SUBSTITUTE(SUBSTITUTE(SUBSTITUTE(SUBSTITUTE(SUBSTITUTE(SUBSTITUTE(BM489,"b","a"),"c","a"),"d","a"),"e","a"),"f","a"),"g","a"),"h","a"),"i","a"),"j","a"),"k","a"),"l","a"),"m","a"),"n","a"),"o","a"),"p","a"),"q","a"),"r","a"),"s","a"),"t","a"),"u","a"),"v","a"),"w","a"),"x","a"),"y","a"),"z","a")</f>
        <v/>
      </c>
      <c r="BO489" s="61" t="str">
        <f aca="false">SUBSTITUTE(SUBSTITUTE(SUBSTITUTE(SUBSTITUTE(SUBSTITUTE(SUBSTITUTE(SUBSTITUTE(SUBSTITUTE(SUBSTITUTE(LOWER(W489&amp;""),"1","0"),"2","0"),"3","0"),"4","0"),"5","0"),"6","0"),"7","0"),"8","0"),"9","0")</f>
        <v/>
      </c>
      <c r="BP489" s="61" t="str">
        <f aca="false">SUBSTITUTE(SUBSTITUTE(SUBSTITUTE(SUBSTITUTE(SUBSTITUTE(SUBSTITUTE(SUBSTITUTE(SUBSTITUTE(SUBSTITUTE(SUBSTITUTE(SUBSTITUTE(SUBSTITUTE(SUBSTITUTE(SUBSTITUTE(SUBSTITUTE(SUBSTITUTE(SUBSTITUTE(SUBSTITUTE(SUBSTITUTE(SUBSTITUTE(SUBSTITUTE(SUBSTITUTE(SUBSTITUTE(SUBSTITUTE(SUBSTITUTE(BO489,"b","a"),"c","a"),"d","a"),"e","a"),"f","a"),"g","a"),"h","a"),"i","a"),"j","a"),"k","a"),"l","a"),"m","a"),"n","a"),"o","a"),"p","a"),"q","a"),"r","a"),"s","a"),"t","a"),"u","a"),"v","a"),"w","a"),"x","a"),"y","a"),"z","a")</f>
        <v/>
      </c>
      <c r="BQ489" s="61" t="n">
        <f aca="false">IFERROR(IF(AND(ISERROR(SEARCH(" mh"," "&amp;LOWER(W489))),ISNA(MATCH(LEFT(TRIM(BP489),255),{"0000a","000a","00a","0000aa","000aa","00aa","0aa","0000aaa","000aaa","00a00","0a00","0000-0000","00:00","a00","a0","00.00.0000","00/00/0000","00-00-0000","0000-00-00","0000/00/00","0000.00.00","00.00.00","00/00/00","00-00-00","0.00.0000","0/00/0000","0-00-0000"},0)),ISNA(MATCH(LEFT(TRIM(CA489),255),{"0000a","000a","00a","0000aa","000aa","00aa","0aa","0000aaa","000aaa","00a00","0a00","0000-0000","00:00","a00","a0","00.00.0000","00/00/0000","00-00-0000","0000-00-00","0000/00/00","0000.00.00","00.00.00","00/00/00","00-00-00","0.00.0000","0/00/0000","0-00-0000"},0)),LEN(CB489)&gt;=3,NOT(OR(SUBSTITUTE(CB489,"0","")="",AND(LEN(CB489)&gt;=4,CB489=REPT(LEFT(CB489),LEN(CB489))),ISNUMBER(MATCH(CB489,{"123","1234","12345","123456","1234567","12345678","0123","01234","012345","98765","987654","54321"},0)),AND(LEN(CB489)=8,LEFT(CB489,3)="202"))),OR(AND((LEN(CA489)-LEN(SUBSTITUTE(CA489,"a","")))&gt;=1,SUMPRODUCT(--ISNUMBER(SEARCH({"a0","a-0","a_0","a/0","a.0","a#0","0a","0-a","0_a","0/a"},BP489)))&gt;0),ISNUMBER(SEARCH("000000",BP489)))),1,0),0)</f>
        <v>0</v>
      </c>
      <c r="BR489" s="61" t="n">
        <f aca="false">IFERROR(LEN(SUBSTITUTE(CC489," ",""))-SUMPRODUCT((LEN(CC489)-LEN(SUBSTITUTE(CC489," "&amp;L_Role&amp;" "," ")))/(LEN(L_Role)+1)*LEN(L_Role)),0)</f>
        <v>0</v>
      </c>
      <c r="BS489" s="61" t="n">
        <f aca="false">IFERROR(LEN(SUBSTITUTE(CD489," ",""))-SUMPRODUCT((LEN(CD489)-LEN(SUBSTITUTE(CD489," "&amp;L_Role&amp;" "," ")))/(LEN(L_Role)+1)*LEN(L_Role)),0)</f>
        <v>0</v>
      </c>
      <c r="BT4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489,"revision",""),"version",""),"jan",""),"feb",""),"mar",""),"apr",""),"may",""),"jun",""),"jul",""),"aug",""),"sep",""),"oct",""),"nov",""),"dec",""),"utc",""),"gmt",""),"myt",""),"bst",""),"rev",""),"ver",""),"b","a"),"c","a"),"d","a"),"e","a"),"f","a"),"g","a"),"h","a"),"i","a"),"j","a"),"k","a"),"l","a"),"m","a"),"n","a"),"o","a"),"p","a"),"q","a"),"r","a"),"s","a"),"t","a"),"u","a"),"v","a"),"w","a"),"x","a"),"y","a"),"z","a")</f>
        <v/>
      </c>
      <c r="BU489" s="61" t="str">
        <f aca="false">SUBSTITUTE(SUBSTITUTE(SUBSTITUTE(SUBSTITUTE(SUBSTITUTE(SUBSTITUTE(SUBSTITUTE(SUBSTITUTE(SUBSTITUTE(SUBSTITUTE(LEFT(BM489,FIND("0",BM489&amp;"0")-1),"-",""),"_",""),"/",""),".",""),"#",""),"\\",""),":","")," ",""),"(",""),")","")</f>
        <v/>
      </c>
      <c r="BV489" s="61" t="n">
        <f aca="false">0</f>
        <v>0</v>
      </c>
      <c r="BW4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489&amp;""),"a",""),"b",""),"c",""),"d",""),"e",""),"f",""),"g",""),"h",""),"i",""),"j",""),"k",""),"l",""),"m",""),"n",""),"o",""),"p",""),"q",""),"r",""),"s",""),"t",""),"u",""),"v",""),"w",""),"x",""),"y",""),"z",""),"-",""),"_",""),"/",""),".",""),"#",""),"\\",""),":","")," ",""),"(",""),")","")</f>
        <v/>
      </c>
      <c r="BX489" s="61" t="str">
        <f aca="false">SUBSTITUTE(SUBSTITUTE(SUBSTITUTE(SUBSTITUTE(SUBSTITUTE(SUBSTITUTE(SUBSTITUTE(SUBSTITUTE(SUBSTITUTE(SUBSTITUTE(SUBSTITUTE(BM489,"0",""),"-",""),"_",""),"/",""),".",""),"#",""),"\\",""),":","")," ",""),"(",""),")","")</f>
        <v/>
      </c>
      <c r="BY489" s="62" t="n">
        <f aca="false">Q489-T7EarlyD*24/24</f>
        <v>46299.4583333333</v>
      </c>
      <c r="BZ489" s="61" t="n">
        <f aca="false">IFERROR(IF(IF(TRIM(S489)="Link / file path",AND(LEN(TRIM(Z489))&gt;=5,SUMPRODUCT(--ISNUMBER(SEARCH({"http","www.","\\",":\",".pdf",".jpg",".jpeg",".png",".heic",".xls",".doc",".msg",".eml",".ppt",".txt",".zip"},Z489)))&gt;0),AND(ISERROR(FIND(" ",TRIM(Z489))),NOT(OR(SUMPRODUCT(--ISNUMBER(FIND({",",";","&amp;","+"},Z489)))&gt;0,SUMPRODUCT(--ISNUMBER(SEARCH({"0/aa","0\\aa"},BN489)))&gt;0)),NOT(SUMPRODUCT(--ISNUMBER(SEARCH({"http","www.","\\",":\",".pdf",".jpg",".jpeg",".png",".heic",".xls",".doc",".msg",".eml",".ppt",".txt",".zip"},Z489)))&gt;0),NOT(LOWER(TRIM(Z489))=LOWER(Flights!$F$19)),ISNA(MATCH(BU489,{"mh","rev","revision","ver","version","v","r","a","b","seat","tray","row","gate","bay","stand","page","pg","item","line","no","cart","galley","flight","flt","table","box","bag","oven","etd","eta","std","sta","atd","ata","qty","pax","x","time","tel","ph","mob","day","wk","week","utc","gmt","myt","lt"},0)),NOT(OR(ISNUMBER(MATCH(LEFT(BN489,255),{"0000a","000a","00a","0000aa","000aa","00aa","0aa","0000aaa","000aaa","00a00","0a00","0000-0000","00:00","a00","a0","00.00.0000","00/00/0000","00-00-0000","0000-00-00","0000/00/00","0000.00.00","00.00.00","00/00/00","00-00-00","0.00.0000","0/00/0000","0-00-0000"},0)),ISNUMBER(MATCH(LEFT(BT489,255),{"0000a","000a","00a","0000aa","000aa","00aa","0aa","0000aaa","000aaa","00a00","0a00","0000-0000","00:00","a00","a0","00.00.0000","00/00/0000","00-00-0000","0000-00-00","0000/00/00","0000.00.00","00.00.00","00/00/00","00-00-00","0.00.0000","0/00/0000","0-00-0000"},0)))),NOT(OR(AND(BW489&lt;&gt;"",SUBSTITUTE(BW489,"0","")=""),AND(LEN(BW489)&gt;=4,BW489=REPT(LEFT(BW489),LEN(BW489))),ISNUMBER(MATCH(BW489,{"123","1234","12345","123456","1234567","12345678","0123","01234","012345","98765","987654","54321"},0)),ISNUMBER(MATCH(BX489,{"x","xx","xxx","xxxx","xxxxx","abc","abcd","nil","na","nan","test","tbc","tba","tbd","dummy","sample","example","eg","zz","zzz","none","null","xyz","qwe","asd","id","ref"},0)),AND(LEN(BW489)=8,BX489="",OR(LEFT(BW489,3)="202",ISNUMBER(MATCH(RIGHT(BW489,4),{"2025","2026","2027"},0)))))),OR(AND((LEN(BT489)-LEN(SUBSTITUTE(BT489,"a","")))&gt;=1,(LEN(BN489)-LEN(SUBSTITUTE(BN489,"0","")))&gt;=2,SUMPRODUCT(--ISNUMBER(SEARCH({"a0","a-0","a_0","a/0","a.0","a#0","0a","0-a","0_a","0/a"},BN489)))&gt;0),AND((LEN(BN489)-LEN(SUBSTITUTE(BN489,"a","")))=0,(LEN(BN489)-LEN(SUBSTITUTE(BN489,"0","")))&gt;=5)))),1,0),0)</f>
        <v>0</v>
      </c>
      <c r="CA4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489,"revision",""),"version",""),"jan",""),"feb",""),"mar",""),"apr",""),"may",""),"jun",""),"jul",""),"aug",""),"sep",""),"oct",""),"nov",""),"dec",""),"utc",""),"gmt",""),"myt",""),"bst",""),"rev",""),"ver",""),"b","a"),"c","a"),"d","a"),"e","a"),"f","a"),"g","a"),"h","a"),"i","a"),"j","a"),"k","a"),"l","a"),"m","a"),"n","a"),"o","a"),"p","a"),"q","a"),"r","a"),"s","a"),"t","a"),"u","a"),"v","a"),"w","a"),"x","a"),"y","a"),"z","a")</f>
        <v/>
      </c>
      <c r="CB4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489&amp;""),"a",""),"b",""),"c",""),"d",""),"e",""),"f",""),"g",""),"h",""),"i",""),"j",""),"k",""),"l",""),"m",""),"n",""),"o",""),"p",""),"q",""),"r",""),"s",""),"t",""),"u",""),"v",""),"w",""),"x",""),"y",""),"z",""),"-",""),"_",""),"/",""),".",""),"#",""),"\\",""),":","")," ",""),"(",""),")","")</f>
        <v/>
      </c>
      <c r="CC489" s="0" t="str">
        <f aca="false">" "&amp;TRIM(SUBSTITUTE(SUBSTITUTE(SUBSTITUTE(SUBSTITUTE(SUBSTITUTE(SUBSTITUTE(SUBSTITUTE(SUBSTITUTE(SUBSTITUTE(SUBSTITUTE(SUBSTITUTE(SUBSTITUTE(SUBSTITUTE(SUBSTITUTE(SUBSTITUTE(SUBSTITUTE(SUBSTITUTE(SUBSTITUTE(SUBSTITUTE(SUBSTITUTE(SUBSTITUTE(SUBSTITUTE(SUBSTITUTE(SUBSTITUTE(LOWER(T489&amp;""),CHAR(10)," "),CHAR(13)," "),CHAR(9)," "),CHAR(160)," "),"."," "),","," "),"-"," "),"/"," "),"("," "),")"," "),":"," "),";"," "),"_"," "),"–"," "),"?"," "),"!"," "),"*"," "),"["," "),"]"," "),"'"," "),"#"," "),"+"," "),"&amp;"," "),"\"," "))&amp;" "</f>
        <v>  </v>
      </c>
      <c r="CD489" s="0" t="str">
        <f aca="false">" "&amp;TRIM(SUBSTITUTE(SUBSTITUTE(SUBSTITUTE(SUBSTITUTE(SUBSTITUTE(SUBSTITUTE(SUBSTITUTE(SUBSTITUTE(SUBSTITUTE(SUBSTITUTE(SUBSTITUTE(SUBSTITUTE(SUBSTITUTE(SUBSTITUTE(SUBSTITUTE(SUBSTITUTE(SUBSTITUTE(SUBSTITUTE(SUBSTITUTE(SUBSTITUTE(SUBSTITUTE(SUBSTITUTE(SUBSTITUTE(SUBSTITUTE(LOWER(AE489&amp;""),CHAR(10)," "),CHAR(13)," "),CHAR(9)," "),CHAR(160)," "),"."," "),","," "),"-"," "),"/"," "),"("," "),")"," "),":"," "),";"," "),"_"," "),"–"," "),"?"," "),"!"," "),"*"," "),"["," "),"]"," "),"'"," "),"#"," "),"+"," "),"&amp;"," "),"\"," "))&amp;" "</f>
        <v>  </v>
      </c>
      <c r="CE489" s="68" t="n">
        <f aca="false">IFERROR(IF(AND(LEN(AU489)&gt;0,LEN(AU489)=LEN(AX489),OR(TRIM(MID(SUBSTITUTE(TRIM(CC489)," ",REPT(" ",60)),1,60))="",ISNUMBER(SEARCH(" "&amp;TRIM(MID(SUBSTITUTE(TRIM(CC489)," ",REPT(" ",60)),1,60))&amp;" ",CD489))),OR(TRIM(MID(SUBSTITUTE(TRIM(CC489)," ",REPT(" ",60)),61,60))="",ISNUMBER(SEARCH(" "&amp;TRIM(MID(SUBSTITUTE(TRIM(CC489)," ",REPT(" ",60)),61,60))&amp;" ",CD489))),OR(TRIM(MID(SUBSTITUTE(TRIM(CC489)," ",REPT(" ",60)),121,60))="",ISNUMBER(SEARCH(" "&amp;TRIM(MID(SUBSTITUTE(TRIM(CC489)," ",REPT(" ",60)),121,60))&amp;" ",CD489)))),1,0),0)</f>
        <v>0</v>
      </c>
      <c r="CG489" s="68" t="n">
        <f aca="false">IFERROR(LEN(SUBSTITUTE(BF489," ",""))-SUMPRODUCT((LEN(BF489)-LEN(SUBSTITUTE(BF489," "&amp;L_NAFiller&amp;" "," ")))/(LEN(L_NAFiller)+1)*LEN(L_NAFiller)),0)</f>
        <v>0</v>
      </c>
    </row>
    <row r="490" customFormat="false" ht="54" hidden="false" customHeight="true" outlineLevel="0" collapsed="false">
      <c r="A490" s="57" t="s">
        <v>1141</v>
      </c>
      <c r="B490" s="57" t="s">
        <v>278</v>
      </c>
      <c r="C490" s="57" t="str">
        <f aca="false">Flights!$F$19</f>
        <v>MH0003</v>
      </c>
      <c r="D490" s="58" t="n">
        <f aca="false">Flights!$D$19</f>
        <v>46320</v>
      </c>
      <c r="E490" s="57" t="str">
        <f aca="false">Flights!$G$19&amp;"-"&amp;Flights!$H$19</f>
        <v>LHR-KUL</v>
      </c>
      <c r="F490" s="57" t="str">
        <f aca="false">Flights!$K$19</f>
        <v>EY</v>
      </c>
      <c r="G490" s="57" t="s">
        <v>83</v>
      </c>
      <c r="H490" s="57" t="s">
        <v>378</v>
      </c>
      <c r="I490" s="57" t="s">
        <v>379</v>
      </c>
      <c r="J490" s="57" t="s">
        <v>416</v>
      </c>
      <c r="K490" s="67" t="s">
        <v>417</v>
      </c>
      <c r="L490" s="67" t="s">
        <v>418</v>
      </c>
      <c r="M490" s="67"/>
      <c r="N490" s="67" t="s">
        <v>383</v>
      </c>
      <c r="O490" s="67" t="s">
        <v>1142</v>
      </c>
      <c r="P490" s="57" t="s">
        <v>186</v>
      </c>
      <c r="Q490" s="59" t="n">
        <f aca="false">ROUND((Flights!$AD$19)*1440,0)/1440</f>
        <v>46319.4583333333</v>
      </c>
      <c r="R490" s="59" t="n">
        <f aca="false">Q490+(IF(AND(INDEX(TZ_DSTS,MATCH(P490,TZ_STN,0))&lt;&gt;"",Q490&gt;=INDEX(TZ_DSTS,MATCH(P490,TZ_STN,0)),Q490&lt;INDEX(TZ_DSTE,MATCH(P490,TZ_STN,0))),INDEX(TZ_DST,MATCH(P490,TZ_STN,0)),INDEX(TZ_STD,MATCH(P490,TZ_STN,0))))/24</f>
        <v>46319.5</v>
      </c>
      <c r="S490" s="60"/>
      <c r="T490" s="60"/>
      <c r="U490" s="60"/>
      <c r="V490" s="60"/>
      <c r="W490" s="60"/>
      <c r="X490" s="60"/>
      <c r="Y490" s="60"/>
      <c r="Z490" s="60"/>
      <c r="AA490" s="60"/>
      <c r="AB490" s="60"/>
      <c r="AC490" s="60"/>
      <c r="AD490" s="66"/>
      <c r="AE490" s="60"/>
      <c r="AF490" s="61" t="str">
        <f aca="false">IF(AND(ISNUMBER(X490),ISNUMBER(Y490)),Y490-X490,"")</f>
        <v/>
      </c>
      <c r="AG490" s="62" t="str">
        <f aca="false">IF(ISNUMBER(AD490),AD490-(IF(AND(INDEX(TZ_DSTS,MATCH(P490,TZ_STN,0))&lt;&gt;"",(AD490-INDEX(TZ_STD,MATCH(P490,TZ_STN,0))/24)&gt;=INDEX(TZ_DSTS,MATCH(P490,TZ_STN,0)),(AD490-INDEX(TZ_STD,MATCH(P490,TZ_STN,0))/24)&lt;INDEX(TZ_DSTE,MATCH(P490,TZ_STN,0))),INDEX(TZ_DST,MATCH(P490,TZ_STN,0)),INDEX(TZ_STD,MATCH(P490,TZ_STN,0))))/24,"")</f>
        <v/>
      </c>
      <c r="AH490" s="65" t="str">
        <f aca="false">IFERROR(IF(N490="N/A – rule",IF(OR(TRIM(U490)="",TRIM(U490)="N/A",TRIM(U490)="Not started"),"N/A – RULE","INVALID – this check does not apply to this aircraft: clear the status (or correct the fleet on Flights)"),IF(TRIM(U490)="N/A",IF(AT490=0,"INVALID – N/A not permitted for this check",IF(AND(TRIM(AB490)&lt;&gt;"",TRIM(AB490)&lt;&gt;"Closed"),"INVALID – corrective action still open",IF(AND(NOT(OR(LEN(AZ490)&lt;15,ISNUMBER(MATCH(AZ490,L_Placeholder,0)))),BK490=0,CG490&gt;=8,NOT(OR(LEN(AU490)&lt;2,ISNUMBER(MATCH(AU490,L_Placeholder,0)))),BR490&gt;=3,NOT(OR(LEN(AX490)&lt;2,ISNUMBER(MATCH(AX490,L_Placeholder,0)))),BS490&gt;=3,TRIM(AE490)&lt;&gt;TRIM(T490),AX490&lt;&gt;AU490,CE490=0),"N/A – JUSTIFIED","INVALID – N/A needs a real, settled reason (not 'not applicable' / 'as above' / TBC), a named PIC and a different named verifier"))),IF(OR(TRIM(U490)="Pass",TRIM(U490)="Pass after CA"),IF(NOT(ISNUMBER(AD490)),"INVALID – completion time missing",IF(OR(OR(LEN(AU490)&lt;2,ISNUMBER(MATCH(AU490,L_Placeholder,0))),BR490&lt;3),"INVALID – PIC missing or not a named person (a role such as QA / CSM is not a name)",IF(OR(LEN(AV490)&lt;2,ISNUMBER(MATCH(AV490,L_Placeholder,0))),"INVALID – result / assessment missing",IF(OR(OR(LEN(AW490)&lt;3,ISNUMBER(MATCH(AW490,L_Placeholder,0))),SUMPRODUCT(--ISNUMBER(SEARCH(" "&amp;L_EvidencePhrase&amp;" ",BD490)))&gt;0,BI490=1),"INVALID – evidence missing, placeholder or not yet on file",IF(ISNA(MATCH(TRIM(S490),L_EvidenceType,0)),"INVALID – choose the evidence type from the list (column S)",IF(BL490=0,"INVALID – evidence ID must be the record's own ID only (e.g. SF-2210, IMG_2231, 1045521); a link / file name needs type 'Link / file path'",IF(OR(OR(LEN(AX490)&lt;2,ISNUMBER(MATCH(AX490,L_Placeholder,0))),BS490&lt;3),"INVALID – verifier missing or not a named person (a role such as QA / CSM is not a name)",IF(OR(AX490=AU490,CE490=1,AND(LEN(AU490)&gt;=4,ISNUMBER(SEARCH(AU490,AX490))),AND(LEN(AX490)&gt;=4,ISNUMBER(SEARCH(AX490,AU490)))),"INVALID – verifier must be a different, named person (not the PIC or a role)",IF(BH490=1,"INVALID – result not yet available (awaiting / TBC)",IF(BG490=1,"INVALID – result describes a problem: record Fail, then Pass after CA (or reword if it is not a problem)",IF(BV490=1,"INVALID – wording says not on board: an on-board confirmation needs the item loaded",IF(AND(AQ490=1,OR(OR(LEN(AY490)&lt;3,ISNUMBER(MATCH(AY490,L_Placeholder,0))),BJ490=1,BQ490=0)),"INVALID – batch ID missing, placeholder or not an ID (e.g. PASB-261008-BC-017)",IF(AND(AR490=1,OR(NOT(ISNUMBER(X490)),NOT(ISNUMBER(Y490)))),"INVALID – expected/actual qty missing",IF(AND(AR490=1,OR(X490&lt;=0,Y490&lt;0)),"INVALID – expected qty must be above 0 and actual not negative",IF(BB490&lt;&gt;"",BB490,IF(AND(AS490=1,Documents!$J$19&lt;&gt;"ON FILE"),"INVALID – GLD not on file (Documents sheet)",IF(AND(AS490=2,Documents!$O$19&lt;&gt;"ON FILE"),"INVALID – menu checklist not on file (Documents sheet)",IF(AND(AS490=3,NOT(ISNUMBER(Flights!$AX$19))),"INVALID – enter carrying flight KUL departure (Flights AX)",IF(AND(AS490=3,OR(Flights!$AZ$19&gt;Flights!$AA$19,Flights!$AX$19&lt;Flights!$AA$19-3)),"INVALID – carrying flight (Flights AX) cannot arrive before this leg's STD, or is over 3 days early",IF(AG490&gt;AsOfUTC,"INVALID – completion time is in the future",IF(AND(ISNUMBER(BY490),AG490&lt;BY490),IF(H490="Physical uplift","INVALID – before uplift window (cannot confirm loading)","INVALID – before valid window"),IF(AG490&gt;Flights!$AA$19,"INVALID – completed after departure (cannot establish readiness)",IF(AND(H490="Preparation",AG490&gt;=IF(ISNUMBER(Flights!$BA$19),MIN(Flights!$BA$19,Flights!$AA$19),Flights!$AA$19)),"INVALID – completed after loading / departure (cannot establish readiness)",IF(AND(H490="Physical uplift",AG490&gt;Q490),"INVALID – recorded after the loading flight departed",IF(AG490&gt;Q490,"COMPLETE – LATE","COMPLETE"))))))))))))))))))))))))),IF(TRIM(U490)="Fail","FAIL – DISCREPANCY",IF(AND(TRIM(U490)&lt;&gt;"",TRIM(U490)&lt;&gt;"Not started",TRIM(U490)&lt;&gt;"In progress"),"INVALID – unrecognised status (use the list)",IF(AsOfUTC&gt;Q490,"OVERDUE",IF(N490="Clarification required","OPEN – CLARIFICATION","OPEN"))))))),"INVALID – error value in an input cell")</f>
        <v>OPEN</v>
      </c>
      <c r="AI490" s="61" t="n">
        <f aca="false">IF(OR(AH490="N/A – RULE",AH490="N/A – JUSTIFIED"),0,1)</f>
        <v>1</v>
      </c>
      <c r="AJ490" s="61" t="n">
        <f aca="false">IF(LEFT(AH490,8)="COMPLETE",1,0)</f>
        <v>0</v>
      </c>
      <c r="AK490" s="61" t="n">
        <f aca="false">IF(AND(AI490=1,AJ490=0,AsOfUTC&gt;Q490),1,0)</f>
        <v>0</v>
      </c>
      <c r="AL490" s="61" t="n">
        <f aca="false">IFERROR(IF(AND(AI490=1,OR(TRIM(U490)="Fail",AND(TRIM(AB490)&lt;&gt;"",TRIM(AB490)&lt;&gt;"Closed"),AND(ISNUMBER(AF490),AF490&lt;&gt;0,TRIM(U490)&lt;&gt;"Pass after CA"))),1,0),1)</f>
        <v>0</v>
      </c>
      <c r="AM490" s="61" t="n">
        <f aca="false">IF(LEFT(AH490,7)="INVALID",1,0)</f>
        <v>0</v>
      </c>
      <c r="AN490" s="61" t="n">
        <f aca="false">IF(AND(N490="Clarification required",AI490=1,AJ490=0),1,0)</f>
        <v>0</v>
      </c>
      <c r="AO490" s="61" t="str">
        <f aca="false">IF(AK490=1,SUM(AK$5:AK490),"")</f>
        <v/>
      </c>
      <c r="AP490" s="61" t="str">
        <f aca="false">IF(AL490=1,SUM(AL$5:AL490),"")</f>
        <v/>
      </c>
      <c r="AQ490" s="61" t="n">
        <v>1</v>
      </c>
      <c r="AR490" s="61" t="n">
        <v>0</v>
      </c>
      <c r="AS490" s="61" t="n">
        <v>0</v>
      </c>
      <c r="AT490" s="61" t="n">
        <v>0</v>
      </c>
      <c r="AU490" s="61" t="str">
        <f aca="false">SUBSTITUTE(SUBSTITUTE(SUBSTITUTE(SUBSTITUTE(SUBSTITUTE(SUBSTITUTE(SUBSTITUTE(SUBSTITUTE(SUBSTITUTE(SUBSTITUTE(SUBSTITUTE(SUBSTITUTE(SUBSTITUTE(SUBSTITUTE(SUBSTITUTE(SUBSTITUTE(LOWER(T490&amp;""),CHAR(10),""),CHAR(13),""),CHAR(9),""),CHAR(160),"")," ",""),".",""),"-",""),"/",""),"?",""),"_",""),",",""),"[",""),"]",""),"(",""),")",""),"*","")</f>
        <v/>
      </c>
      <c r="AV490" s="61" t="str">
        <f aca="false">SUBSTITUTE(SUBSTITUTE(SUBSTITUTE(SUBSTITUTE(SUBSTITUTE(SUBSTITUTE(SUBSTITUTE(SUBSTITUTE(SUBSTITUTE(SUBSTITUTE(SUBSTITUTE(SUBSTITUTE(SUBSTITUTE(SUBSTITUTE(SUBSTITUTE(SUBSTITUTE(LOWER(V490&amp;""),CHAR(10),""),CHAR(13),""),CHAR(9),""),CHAR(160),"")," ",""),".",""),"-",""),"/",""),"?",""),"_",""),",",""),"[",""),"]",""),"(",""),")",""),"*","")</f>
        <v/>
      </c>
      <c r="AW490" s="61" t="str">
        <f aca="false">SUBSTITUTE(SUBSTITUTE(SUBSTITUTE(SUBSTITUTE(SUBSTITUTE(SUBSTITUTE(SUBSTITUTE(SUBSTITUTE(SUBSTITUTE(SUBSTITUTE(SUBSTITUTE(SUBSTITUTE(SUBSTITUTE(SUBSTITUTE(SUBSTITUTE(SUBSTITUTE(LOWER(Z490&amp;""),CHAR(10),""),CHAR(13),""),CHAR(9),""),CHAR(160),"")," ",""),".",""),"-",""),"/",""),"?",""),"_",""),",",""),"[",""),"]",""),"(",""),")",""),"*","")</f>
        <v/>
      </c>
      <c r="AX490" s="61" t="str">
        <f aca="false">SUBSTITUTE(SUBSTITUTE(SUBSTITUTE(SUBSTITUTE(SUBSTITUTE(SUBSTITUTE(SUBSTITUTE(SUBSTITUTE(SUBSTITUTE(SUBSTITUTE(SUBSTITUTE(SUBSTITUTE(SUBSTITUTE(SUBSTITUTE(SUBSTITUTE(SUBSTITUTE(LOWER(AE490&amp;""),CHAR(10),""),CHAR(13),""),CHAR(9),""),CHAR(160),"")," ",""),".",""),"-",""),"/",""),"?",""),"_",""),",",""),"[",""),"]",""),"(",""),")",""),"*","")</f>
        <v/>
      </c>
      <c r="AY490" s="61" t="str">
        <f aca="false">SUBSTITUTE(SUBSTITUTE(SUBSTITUTE(SUBSTITUTE(SUBSTITUTE(SUBSTITUTE(SUBSTITUTE(SUBSTITUTE(SUBSTITUTE(SUBSTITUTE(SUBSTITUTE(SUBSTITUTE(SUBSTITUTE(SUBSTITUTE(SUBSTITUTE(SUBSTITUTE(LOWER(W490&amp;""),CHAR(10),""),CHAR(13),""),CHAR(9),""),CHAR(160),"")," ",""),".",""),"-",""),"/",""),"?",""),"_",""),",",""),"[",""),"]",""),"(",""),")",""),"*","")</f>
        <v/>
      </c>
      <c r="AZ490" s="61" t="str">
        <f aca="false">SUBSTITUTE(SUBSTITUTE(SUBSTITUTE(SUBSTITUTE(SUBSTITUTE(SUBSTITUTE(SUBSTITUTE(SUBSTITUTE(SUBSTITUTE(SUBSTITUTE(SUBSTITUTE(SUBSTITUTE(SUBSTITUTE(SUBSTITUTE(SUBSTITUTE(SUBSTITUTE(LOWER(AC490&amp;""),CHAR(10),""),CHAR(13),""),CHAR(9),""),CHAR(160),"")," ",""),".",""),"-",""),"/",""),"?",""),"_",""),",",""),"[",""),"]",""),"(",""),")",""),"*","")</f>
        <v/>
      </c>
      <c r="BA490" s="61" t="str">
        <f aca="false">SUBSTITUTE(SUBSTITUTE(SUBSTITUTE(SUBSTITUTE(SUBSTITUTE(SUBSTITUTE(SUBSTITUTE(SUBSTITUTE(SUBSTITUTE(SUBSTITUTE(SUBSTITUTE(SUBSTITUTE(SUBSTITUTE(SUBSTITUTE(SUBSTITUTE(SUBSTITUTE(LOWER(AA490&amp;""),CHAR(10),""),CHAR(13),""),CHAR(9),""),CHAR(160),"")," ",""),".",""),"-",""),"/",""),"?",""),"_",""),",",""),"[",""),"]",""),"(",""),")",""),"*","")</f>
        <v/>
      </c>
      <c r="BB490" s="61" t="str">
        <f aca="false">IF(AND(TRIM(U490)="Pass",ISNUMBER(AF490)),IF(AF490&lt;&gt;0,"INVALID – qty variance: use Fail or Pass after CA",""),"")&amp;IF(AND(TRIM(U490)="Pass after CA",ISNUMBER(AF490)),IF(AF490&lt;&gt;0,"INVALID – after the corrective action the actual qty must equal expected (update Actual)",""),"")&amp;IF(AND(TRIM(U490)="Pass",TRIM(AB490)&lt;&gt;"",TRIM(AB490)&lt;&gt;"Closed"),"INVALID – corrective action not closed: use Fail, then Pass after CA","")&amp;IF(AND(LEN(BA490)&gt;=2,ISNA(MATCH(LEFT(BA490,255),L_Placeholder,0)),TRIM(AB490)=""),"INVALID – CA status missing for the recorded corrective action","")&amp;IF(AND(TRIM(U490)="Pass after CA",OR(OR(LEN(BA490)&lt;5,ISNUMBER(MATCH(BA490,L_Placeholder,0))),TRIM(AB490)&lt;&gt;"Closed")),"INVALID – corrective action not recorded/closed","")</f>
        <v/>
      </c>
      <c r="BC490" s="61" t="str">
        <f aca="false">" "&amp;TRIM(SUBSTITUTE(SUBSTITUTE(SUBSTITUTE(SUBSTITUTE(SUBSTITUTE(SUBSTITUTE(SUBSTITUTE(SUBSTITUTE(SUBSTITUTE(SUBSTITUTE(SUBSTITUTE(SUBSTITUTE(SUBSTITUTE(SUBSTITUTE(SUBSTITUTE(SUBSTITUTE(SUBSTITUTE(SUBSTITUTE(SUBSTITUTE(SUBSTITUTE(SUBSTITUTE(SUBSTITUTE(SUBSTITUTE(SUBSTITUTE(LOWER(V490&amp;""),CHAR(10)," "),CHAR(13)," "),CHAR(9)," "),CHAR(160)," "),"."," "),","," "),"-"," "),"/"," "),"("," "),")"," "),":"," "),";"," "),"_"," "),"–"," "),"?"," "),"!"," "),"*"," "),"["," "),"]"," "),"'"," "),"#"," "),"+"," "),"&amp;"," "),"\"," "))&amp;" "</f>
        <v>  </v>
      </c>
      <c r="BD490" s="61" t="str">
        <f aca="false">" "&amp;TRIM(SUBSTITUTE(SUBSTITUTE(SUBSTITUTE(SUBSTITUTE(SUBSTITUTE(SUBSTITUTE(SUBSTITUTE(SUBSTITUTE(SUBSTITUTE(SUBSTITUTE(SUBSTITUTE(SUBSTITUTE(SUBSTITUTE(SUBSTITUTE(SUBSTITUTE(SUBSTITUTE(SUBSTITUTE(SUBSTITUTE(SUBSTITUTE(SUBSTITUTE(SUBSTITUTE(SUBSTITUTE(SUBSTITUTE(SUBSTITUTE(LOWER(Z490&amp;""),CHAR(10)," "),CHAR(13)," "),CHAR(9)," "),CHAR(160)," "),"."," "),","," "),"-"," "),"/"," "),"("," "),")"," "),":"," "),";"," "),"_"," "),"–"," "),"?"," "),"!"," "),"*"," "),"["," "),"]"," "),"'"," "),"#"," "),"+"," "),"&amp;"," "),"\"," "))&amp;" "</f>
        <v>  </v>
      </c>
      <c r="BE490" s="61" t="str">
        <f aca="false">" "&amp;TRIM(SUBSTITUTE(SUBSTITUTE(SUBSTITUTE(SUBSTITUTE(SUBSTITUTE(SUBSTITUTE(SUBSTITUTE(SUBSTITUTE(SUBSTITUTE(SUBSTITUTE(SUBSTITUTE(SUBSTITUTE(SUBSTITUTE(SUBSTITUTE(SUBSTITUTE(SUBSTITUTE(SUBSTITUTE(SUBSTITUTE(SUBSTITUTE(SUBSTITUTE(SUBSTITUTE(SUBSTITUTE(SUBSTITUTE(SUBSTITUTE(LOWER(W490&amp;""),CHAR(10)," "),CHAR(13)," "),CHAR(9)," "),CHAR(160)," "),"."," "),","," "),"-"," "),"/"," "),"("," "),")"," "),":"," "),";"," "),"_"," "),"–"," "),"?"," "),"!"," "),"*"," "),"["," "),"]"," "),"'"," "),"#"," "),"+"," "),"&amp;"," "),"\"," "))&amp;" "</f>
        <v>  </v>
      </c>
      <c r="BF490" s="61" t="str">
        <f aca="false">" "&amp;TRIM(SUBSTITUTE(SUBSTITUTE(SUBSTITUTE(SUBSTITUTE(SUBSTITUTE(SUBSTITUTE(SUBSTITUTE(SUBSTITUTE(SUBSTITUTE(SUBSTITUTE(SUBSTITUTE(SUBSTITUTE(SUBSTITUTE(SUBSTITUTE(SUBSTITUTE(SUBSTITUTE(SUBSTITUTE(SUBSTITUTE(SUBSTITUTE(SUBSTITUTE(SUBSTITUTE(SUBSTITUTE(SUBSTITUTE(SUBSTITUTE(LOWER(AC490&amp;""),CHAR(10)," "),CHAR(13)," "),CHAR(9)," "),CHAR(160)," "),"."," "),","," "),"-"," "),"/"," "),"("," "),")"," "),":"," "),";"," "),"_"," "),"–"," "),"?"," "),"!"," "),"*"," "),"["," "),"]"," "),"'"," "),"#"," "),"+"," "),"&amp;"," "),"\"," "))&amp;" "</f>
        <v>  </v>
      </c>
      <c r="BG490" s="61" t="n">
        <f aca="false">IFERROR(IF(AND(TRIM(U490)="Pass",SUMPRODUCT((LEN(BC490)-LEN(SUBSTITUTE(BC490," "&amp;L_ResultBad&amp;" "," ")))/(LEN(L_ResultBad)+1))&gt;SUMPRODUCT((LEN(BC490)-LEN(SUBSTITUTE(BC490," "&amp;L_NegPhrase&amp;" "," ")))/(LEN(L_NegPhrase)+1))),1,0),0)</f>
        <v>0</v>
      </c>
      <c r="BH490" s="61" t="n">
        <f aca="false">IFERROR(IF(SUMPRODUCT((LEN(BC490)-LEN(SUBSTITUTE(BC490," "&amp;L_Pending&amp;" "," ")))/(LEN(L_Pending)+1))&gt;SUMPRODUCT((LEN(BC490)-LEN(SUBSTITUTE(BC490," "&amp;L_PendNeg&amp;" "," ")))/(LEN(L_PendNeg)+1))+SUMPRODUCT((LEN(BC490)-LEN(SUBSTITUTE(BC490," "&amp;L_PendPrep&amp;" "," ")))/(LEN(L_PendPrep)+1)),1,0),1)</f>
        <v>0</v>
      </c>
      <c r="BI490" s="61" t="n">
        <f aca="false">IFERROR(IF(SUMPRODUCT((LEN(BD490)-LEN(SUBSTITUTE(BD490," "&amp;L_PendStrict&amp;" "," ")))/(LEN(L_PendStrict)+1))&gt;SUMPRODUCT((LEN(BD490)-LEN(SUBSTITUTE(BD490," "&amp;L_PendNeg&amp;" "," ")))/(LEN(L_PendNeg)+1)),1,0),1)</f>
        <v>0</v>
      </c>
      <c r="BJ490" s="61" t="n">
        <f aca="false">IFERROR(IF(SUMPRODUCT((LEN(BE490)-LEN(SUBSTITUTE(BE490," "&amp;L_Pending&amp;" "," ")))/(LEN(L_Pending)+1))&gt;SUMPRODUCT((LEN(BE490)-LEN(SUBSTITUTE(BE490," "&amp;L_PendNeg&amp;" "," ")))/(LEN(L_PendNeg)+1))+SUMPRODUCT((LEN(BE490)-LEN(SUBSTITUTE(BE490," "&amp;L_PendPrep&amp;" "," ")))/(LEN(L_PendPrep)+1)),1,0),1)</f>
        <v>0</v>
      </c>
      <c r="BK490" s="61" t="n">
        <f aca="false">IFERROR(IF(SUMPRODUCT((LEN(BF490)-LEN(SUBSTITUTE(BF490," "&amp;L_PendStrict&amp;" "," ")))/(LEN(L_PendStrict)+1))&gt;SUMPRODUCT((LEN(BF490)-LEN(SUBSTITUTE(BF490," "&amp;L_PendNeg&amp;" "," ")))/(LEN(L_PendNeg)+1)),1,0),1)</f>
        <v>0</v>
      </c>
      <c r="BL490" s="61" t="n">
        <f aca="false">IF(ISNA(MATCH(TRIM(S490),L_EvidenceType,0)),0,BZ490)</f>
        <v>0</v>
      </c>
      <c r="BM490" s="61" t="str">
        <f aca="false">SUBSTITUTE(SUBSTITUTE(SUBSTITUTE(SUBSTITUTE(SUBSTITUTE(SUBSTITUTE(SUBSTITUTE(SUBSTITUTE(SUBSTITUTE(LOWER(Z490&amp;""),"1","0"),"2","0"),"3","0"),"4","0"),"5","0"),"6","0"),"7","0"),"8","0"),"9","0")</f>
        <v/>
      </c>
      <c r="BN490" s="61" t="str">
        <f aca="false">SUBSTITUTE(SUBSTITUTE(SUBSTITUTE(SUBSTITUTE(SUBSTITUTE(SUBSTITUTE(SUBSTITUTE(SUBSTITUTE(SUBSTITUTE(SUBSTITUTE(SUBSTITUTE(SUBSTITUTE(SUBSTITUTE(SUBSTITUTE(SUBSTITUTE(SUBSTITUTE(SUBSTITUTE(SUBSTITUTE(SUBSTITUTE(SUBSTITUTE(SUBSTITUTE(SUBSTITUTE(SUBSTITUTE(SUBSTITUTE(SUBSTITUTE(BM490,"b","a"),"c","a"),"d","a"),"e","a"),"f","a"),"g","a"),"h","a"),"i","a"),"j","a"),"k","a"),"l","a"),"m","a"),"n","a"),"o","a"),"p","a"),"q","a"),"r","a"),"s","a"),"t","a"),"u","a"),"v","a"),"w","a"),"x","a"),"y","a"),"z","a")</f>
        <v/>
      </c>
      <c r="BO490" s="61" t="str">
        <f aca="false">SUBSTITUTE(SUBSTITUTE(SUBSTITUTE(SUBSTITUTE(SUBSTITUTE(SUBSTITUTE(SUBSTITUTE(SUBSTITUTE(SUBSTITUTE(LOWER(W490&amp;""),"1","0"),"2","0"),"3","0"),"4","0"),"5","0"),"6","0"),"7","0"),"8","0"),"9","0")</f>
        <v/>
      </c>
      <c r="BP490" s="61" t="str">
        <f aca="false">SUBSTITUTE(SUBSTITUTE(SUBSTITUTE(SUBSTITUTE(SUBSTITUTE(SUBSTITUTE(SUBSTITUTE(SUBSTITUTE(SUBSTITUTE(SUBSTITUTE(SUBSTITUTE(SUBSTITUTE(SUBSTITUTE(SUBSTITUTE(SUBSTITUTE(SUBSTITUTE(SUBSTITUTE(SUBSTITUTE(SUBSTITUTE(SUBSTITUTE(SUBSTITUTE(SUBSTITUTE(SUBSTITUTE(SUBSTITUTE(SUBSTITUTE(BO490,"b","a"),"c","a"),"d","a"),"e","a"),"f","a"),"g","a"),"h","a"),"i","a"),"j","a"),"k","a"),"l","a"),"m","a"),"n","a"),"o","a"),"p","a"),"q","a"),"r","a"),"s","a"),"t","a"),"u","a"),"v","a"),"w","a"),"x","a"),"y","a"),"z","a")</f>
        <v/>
      </c>
      <c r="BQ490" s="61" t="n">
        <f aca="false">IFERROR(IF(AND(ISERROR(SEARCH(" mh"," "&amp;LOWER(W490))),ISNA(MATCH(LEFT(TRIM(BP490),255),{"0000a","000a","00a","0000aa","000aa","00aa","0aa","0000aaa","000aaa","00a00","0a00","0000-0000","00:00","a00","a0","00.00.0000","00/00/0000","00-00-0000","0000-00-00","0000/00/00","0000.00.00","00.00.00","00/00/00","00-00-00","0.00.0000","0/00/0000","0-00-0000"},0)),ISNA(MATCH(LEFT(TRIM(CA490),255),{"0000a","000a","00a","0000aa","000aa","00aa","0aa","0000aaa","000aaa","00a00","0a00","0000-0000","00:00","a00","a0","00.00.0000","00/00/0000","00-00-0000","0000-00-00","0000/00/00","0000.00.00","00.00.00","00/00/00","00-00-00","0.00.0000","0/00/0000","0-00-0000"},0)),LEN(CB490)&gt;=3,NOT(OR(SUBSTITUTE(CB490,"0","")="",AND(LEN(CB490)&gt;=4,CB490=REPT(LEFT(CB490),LEN(CB490))),ISNUMBER(MATCH(CB490,{"123","1234","12345","123456","1234567","12345678","0123","01234","012345","98765","987654","54321"},0)),AND(LEN(CB490)=8,LEFT(CB490,3)="202"))),OR(AND((LEN(CA490)-LEN(SUBSTITUTE(CA490,"a","")))&gt;=1,SUMPRODUCT(--ISNUMBER(SEARCH({"a0","a-0","a_0","a/0","a.0","a#0","0a","0-a","0_a","0/a"},BP490)))&gt;0),ISNUMBER(SEARCH("000000",BP490)))),1,0),0)</f>
        <v>0</v>
      </c>
      <c r="BR490" s="61" t="n">
        <f aca="false">IFERROR(LEN(SUBSTITUTE(CC490," ",""))-SUMPRODUCT((LEN(CC490)-LEN(SUBSTITUTE(CC490," "&amp;L_Role&amp;" "," ")))/(LEN(L_Role)+1)*LEN(L_Role)),0)</f>
        <v>0</v>
      </c>
      <c r="BS490" s="61" t="n">
        <f aca="false">IFERROR(LEN(SUBSTITUTE(CD490," ",""))-SUMPRODUCT((LEN(CD490)-LEN(SUBSTITUTE(CD490," "&amp;L_Role&amp;" "," ")))/(LEN(L_Role)+1)*LEN(L_Role)),0)</f>
        <v>0</v>
      </c>
      <c r="BT4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490,"revision",""),"version",""),"jan",""),"feb",""),"mar",""),"apr",""),"may",""),"jun",""),"jul",""),"aug",""),"sep",""),"oct",""),"nov",""),"dec",""),"utc",""),"gmt",""),"myt",""),"bst",""),"rev",""),"ver",""),"b","a"),"c","a"),"d","a"),"e","a"),"f","a"),"g","a"),"h","a"),"i","a"),"j","a"),"k","a"),"l","a"),"m","a"),"n","a"),"o","a"),"p","a"),"q","a"),"r","a"),"s","a"),"t","a"),"u","a"),"v","a"),"w","a"),"x","a"),"y","a"),"z","a")</f>
        <v/>
      </c>
      <c r="BU490" s="61" t="str">
        <f aca="false">SUBSTITUTE(SUBSTITUTE(SUBSTITUTE(SUBSTITUTE(SUBSTITUTE(SUBSTITUTE(SUBSTITUTE(SUBSTITUTE(SUBSTITUTE(SUBSTITUTE(LEFT(BM490,FIND("0",BM490&amp;"0")-1),"-",""),"_",""),"/",""),".",""),"#",""),"\\",""),":","")," ",""),"(",""),")","")</f>
        <v/>
      </c>
      <c r="BV490" s="61" t="n">
        <f aca="false">0</f>
        <v>0</v>
      </c>
      <c r="BW4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490&amp;""),"a",""),"b",""),"c",""),"d",""),"e",""),"f",""),"g",""),"h",""),"i",""),"j",""),"k",""),"l",""),"m",""),"n",""),"o",""),"p",""),"q",""),"r",""),"s",""),"t",""),"u",""),"v",""),"w",""),"x",""),"y",""),"z",""),"-",""),"_",""),"/",""),".",""),"#",""),"\\",""),":","")," ",""),"(",""),")","")</f>
        <v/>
      </c>
      <c r="BX490" s="61" t="str">
        <f aca="false">SUBSTITUTE(SUBSTITUTE(SUBSTITUTE(SUBSTITUTE(SUBSTITUTE(SUBSTITUTE(SUBSTITUTE(SUBSTITUTE(SUBSTITUTE(SUBSTITUTE(SUBSTITUTE(BM490,"0",""),"-",""),"_",""),"/",""),".",""),"#",""),"\\",""),":","")," ",""),"(",""),")","")</f>
        <v/>
      </c>
      <c r="BY490" s="62" t="n">
        <f aca="false">Q490-T24EarlyH/24</f>
        <v>46318.4583333333</v>
      </c>
      <c r="BZ490" s="61" t="n">
        <f aca="false">IFERROR(IF(IF(TRIM(S490)="Link / file path",AND(LEN(TRIM(Z490))&gt;=5,SUMPRODUCT(--ISNUMBER(SEARCH({"http","www.","\\",":\",".pdf",".jpg",".jpeg",".png",".heic",".xls",".doc",".msg",".eml",".ppt",".txt",".zip"},Z490)))&gt;0),AND(ISERROR(FIND(" ",TRIM(Z490))),NOT(OR(SUMPRODUCT(--ISNUMBER(FIND({",",";","&amp;","+"},Z490)))&gt;0,SUMPRODUCT(--ISNUMBER(SEARCH({"0/aa","0\\aa"},BN490)))&gt;0)),NOT(SUMPRODUCT(--ISNUMBER(SEARCH({"http","www.","\\",":\",".pdf",".jpg",".jpeg",".png",".heic",".xls",".doc",".msg",".eml",".ppt",".txt",".zip"},Z490)))&gt;0),NOT(LOWER(TRIM(Z490))=LOWER(Flights!$F$19)),ISNA(MATCH(BU490,{"mh","rev","revision","ver","version","v","r","a","b","seat","tray","row","gate","bay","stand","page","pg","item","line","no","cart","galley","flight","flt","table","box","bag","oven","etd","eta","std","sta","atd","ata","qty","pax","x","time","tel","ph","mob","day","wk","week","utc","gmt","myt","lt"},0)),NOT(OR(ISNUMBER(MATCH(LEFT(BN490,255),{"0000a","000a","00a","0000aa","000aa","00aa","0aa","0000aaa","000aaa","00a00","0a00","0000-0000","00:00","a00","a0","00.00.0000","00/00/0000","00-00-0000","0000-00-00","0000/00/00","0000.00.00","00.00.00","00/00/00","00-00-00","0.00.0000","0/00/0000","0-00-0000"},0)),ISNUMBER(MATCH(LEFT(BT490,255),{"0000a","000a","00a","0000aa","000aa","00aa","0aa","0000aaa","000aaa","00a00","0a00","0000-0000","00:00","a00","a0","00.00.0000","00/00/0000","00-00-0000","0000-00-00","0000/00/00","0000.00.00","00.00.00","00/00/00","00-00-00","0.00.0000","0/00/0000","0-00-0000"},0)))),NOT(OR(AND(BW490&lt;&gt;"",SUBSTITUTE(BW490,"0","")=""),AND(LEN(BW490)&gt;=4,BW490=REPT(LEFT(BW490),LEN(BW490))),ISNUMBER(MATCH(BW490,{"123","1234","12345","123456","1234567","12345678","0123","01234","012345","98765","987654","54321"},0)),ISNUMBER(MATCH(BX490,{"x","xx","xxx","xxxx","xxxxx","abc","abcd","nil","na","nan","test","tbc","tba","tbd","dummy","sample","example","eg","zz","zzz","none","null","xyz","qwe","asd","id","ref"},0)),AND(LEN(BW490)=8,BX490="",OR(LEFT(BW490,3)="202",ISNUMBER(MATCH(RIGHT(BW490,4),{"2025","2026","2027"},0)))))),OR(AND((LEN(BT490)-LEN(SUBSTITUTE(BT490,"a","")))&gt;=1,(LEN(BN490)-LEN(SUBSTITUTE(BN490,"0","")))&gt;=2,SUMPRODUCT(--ISNUMBER(SEARCH({"a0","a-0","a_0","a/0","a.0","a#0","0a","0-a","0_a","0/a"},BN490)))&gt;0),AND((LEN(BN490)-LEN(SUBSTITUTE(BN490,"a","")))=0,(LEN(BN490)-LEN(SUBSTITUTE(BN490,"0","")))&gt;=5)))),1,0),0)</f>
        <v>0</v>
      </c>
      <c r="CA4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490,"revision",""),"version",""),"jan",""),"feb",""),"mar",""),"apr",""),"may",""),"jun",""),"jul",""),"aug",""),"sep",""),"oct",""),"nov",""),"dec",""),"utc",""),"gmt",""),"myt",""),"bst",""),"rev",""),"ver",""),"b","a"),"c","a"),"d","a"),"e","a"),"f","a"),"g","a"),"h","a"),"i","a"),"j","a"),"k","a"),"l","a"),"m","a"),"n","a"),"o","a"),"p","a"),"q","a"),"r","a"),"s","a"),"t","a"),"u","a"),"v","a"),"w","a"),"x","a"),"y","a"),"z","a")</f>
        <v/>
      </c>
      <c r="CB4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490&amp;""),"a",""),"b",""),"c",""),"d",""),"e",""),"f",""),"g",""),"h",""),"i",""),"j",""),"k",""),"l",""),"m",""),"n",""),"o",""),"p",""),"q",""),"r",""),"s",""),"t",""),"u",""),"v",""),"w",""),"x",""),"y",""),"z",""),"-",""),"_",""),"/",""),".",""),"#",""),"\\",""),":","")," ",""),"(",""),")","")</f>
        <v/>
      </c>
      <c r="CC490" s="0" t="str">
        <f aca="false">" "&amp;TRIM(SUBSTITUTE(SUBSTITUTE(SUBSTITUTE(SUBSTITUTE(SUBSTITUTE(SUBSTITUTE(SUBSTITUTE(SUBSTITUTE(SUBSTITUTE(SUBSTITUTE(SUBSTITUTE(SUBSTITUTE(SUBSTITUTE(SUBSTITUTE(SUBSTITUTE(SUBSTITUTE(SUBSTITUTE(SUBSTITUTE(SUBSTITUTE(SUBSTITUTE(SUBSTITUTE(SUBSTITUTE(SUBSTITUTE(SUBSTITUTE(LOWER(T490&amp;""),CHAR(10)," "),CHAR(13)," "),CHAR(9)," "),CHAR(160)," "),"."," "),","," "),"-"," "),"/"," "),"("," "),")"," "),":"," "),";"," "),"_"," "),"–"," "),"?"," "),"!"," "),"*"," "),"["," "),"]"," "),"'"," "),"#"," "),"+"," "),"&amp;"," "),"\"," "))&amp;" "</f>
        <v>  </v>
      </c>
      <c r="CD490" s="0" t="str">
        <f aca="false">" "&amp;TRIM(SUBSTITUTE(SUBSTITUTE(SUBSTITUTE(SUBSTITUTE(SUBSTITUTE(SUBSTITUTE(SUBSTITUTE(SUBSTITUTE(SUBSTITUTE(SUBSTITUTE(SUBSTITUTE(SUBSTITUTE(SUBSTITUTE(SUBSTITUTE(SUBSTITUTE(SUBSTITUTE(SUBSTITUTE(SUBSTITUTE(SUBSTITUTE(SUBSTITUTE(SUBSTITUTE(SUBSTITUTE(SUBSTITUTE(SUBSTITUTE(LOWER(AE490&amp;""),CHAR(10)," "),CHAR(13)," "),CHAR(9)," "),CHAR(160)," "),"."," "),","," "),"-"," "),"/"," "),"("," "),")"," "),":"," "),";"," "),"_"," "),"–"," "),"?"," "),"!"," "),"*"," "),"["," "),"]"," "),"'"," "),"#"," "),"+"," "),"&amp;"," "),"\"," "))&amp;" "</f>
        <v>  </v>
      </c>
      <c r="CE490" s="68" t="n">
        <f aca="false">IFERROR(IF(AND(LEN(AU490)&gt;0,LEN(AU490)=LEN(AX490),OR(TRIM(MID(SUBSTITUTE(TRIM(CC490)," ",REPT(" ",60)),1,60))="",ISNUMBER(SEARCH(" "&amp;TRIM(MID(SUBSTITUTE(TRIM(CC490)," ",REPT(" ",60)),1,60))&amp;" ",CD490))),OR(TRIM(MID(SUBSTITUTE(TRIM(CC490)," ",REPT(" ",60)),61,60))="",ISNUMBER(SEARCH(" "&amp;TRIM(MID(SUBSTITUTE(TRIM(CC490)," ",REPT(" ",60)),61,60))&amp;" ",CD490))),OR(TRIM(MID(SUBSTITUTE(TRIM(CC490)," ",REPT(" ",60)),121,60))="",ISNUMBER(SEARCH(" "&amp;TRIM(MID(SUBSTITUTE(TRIM(CC490)," ",REPT(" ",60)),121,60))&amp;" ",CD490)))),1,0),0)</f>
        <v>0</v>
      </c>
      <c r="CG490" s="68" t="n">
        <f aca="false">IFERROR(LEN(SUBSTITUTE(BF490," ",""))-SUMPRODUCT((LEN(BF490)-LEN(SUBSTITUTE(BF490," "&amp;L_NAFiller&amp;" "," ")))/(LEN(L_NAFiller)+1)*LEN(L_NAFiller)),0)</f>
        <v>0</v>
      </c>
    </row>
    <row r="491" customFormat="false" ht="66" hidden="false" customHeight="true" outlineLevel="0" collapsed="false">
      <c r="A491" s="57" t="s">
        <v>1143</v>
      </c>
      <c r="B491" s="57" t="s">
        <v>278</v>
      </c>
      <c r="C491" s="57" t="str">
        <f aca="false">Flights!$F$19</f>
        <v>MH0003</v>
      </c>
      <c r="D491" s="58" t="n">
        <f aca="false">Flights!$D$19</f>
        <v>46320</v>
      </c>
      <c r="E491" s="57" t="str">
        <f aca="false">Flights!$G$19&amp;"-"&amp;Flights!$H$19</f>
        <v>LHR-KUL</v>
      </c>
      <c r="F491" s="57" t="str">
        <f aca="false">Flights!$K$19</f>
        <v>EY</v>
      </c>
      <c r="G491" s="57" t="s">
        <v>420</v>
      </c>
      <c r="H491" s="57" t="s">
        <v>378</v>
      </c>
      <c r="I491" s="57" t="s">
        <v>379</v>
      </c>
      <c r="J491" s="57" t="s">
        <v>421</v>
      </c>
      <c r="K491" s="67"/>
      <c r="L491" s="67" t="s">
        <v>422</v>
      </c>
      <c r="M491" s="67"/>
      <c r="N491" s="67" t="s">
        <v>383</v>
      </c>
      <c r="O491" s="67" t="s">
        <v>1144</v>
      </c>
      <c r="P491" s="57" t="s">
        <v>186</v>
      </c>
      <c r="Q491" s="59" t="n">
        <f aca="false">ROUND((Flights!$AE$19)*1440,0)/1440</f>
        <v>46319.9583333333</v>
      </c>
      <c r="R491" s="59" t="n">
        <f aca="false">Q491+(IF(AND(INDEX(TZ_DSTS,MATCH(P491,TZ_STN,0))&lt;&gt;"",Q491&gt;=INDEX(TZ_DSTS,MATCH(P491,TZ_STN,0)),Q491&lt;INDEX(TZ_DSTE,MATCH(P491,TZ_STN,0))),INDEX(TZ_DST,MATCH(P491,TZ_STN,0)),INDEX(TZ_STD,MATCH(P491,TZ_STN,0))))/24</f>
        <v>46320</v>
      </c>
      <c r="S491" s="60"/>
      <c r="T491" s="60"/>
      <c r="U491" s="60"/>
      <c r="V491" s="60"/>
      <c r="W491" s="61"/>
      <c r="X491" s="60"/>
      <c r="Y491" s="60"/>
      <c r="Z491" s="60"/>
      <c r="AA491" s="60"/>
      <c r="AB491" s="60"/>
      <c r="AC491" s="60"/>
      <c r="AD491" s="66"/>
      <c r="AE491" s="60"/>
      <c r="AF491" s="61" t="str">
        <f aca="false">IF(AND(ISNUMBER(X491),ISNUMBER(Y491)),Y491-X491,"")</f>
        <v/>
      </c>
      <c r="AG491" s="62" t="str">
        <f aca="false">IF(ISNUMBER(AD491),AD491-(IF(AND(INDEX(TZ_DSTS,MATCH(P491,TZ_STN,0))&lt;&gt;"",(AD491-INDEX(TZ_STD,MATCH(P491,TZ_STN,0))/24)&gt;=INDEX(TZ_DSTS,MATCH(P491,TZ_STN,0)),(AD491-INDEX(TZ_STD,MATCH(P491,TZ_STN,0))/24)&lt;INDEX(TZ_DSTE,MATCH(P491,TZ_STN,0))),INDEX(TZ_DST,MATCH(P491,TZ_STN,0)),INDEX(TZ_STD,MATCH(P491,TZ_STN,0))))/24,"")</f>
        <v/>
      </c>
      <c r="AH491" s="65" t="str">
        <f aca="false">IFERROR(IF(N491="N/A – rule",IF(OR(TRIM(U491)="",TRIM(U491)="N/A",TRIM(U491)="Not started"),"N/A – RULE","INVALID – this check does not apply to this aircraft: clear the status (or correct the fleet on Flights)"),IF(TRIM(U491)="N/A",IF(AT491=0,"INVALID – N/A not permitted for this check",IF(AND(TRIM(AB491)&lt;&gt;"",TRIM(AB491)&lt;&gt;"Closed"),"INVALID – corrective action still open",IF(AND(NOT(OR(LEN(AZ491)&lt;15,ISNUMBER(MATCH(AZ491,L_Placeholder,0)))),BK491=0,CG491&gt;=8,NOT(OR(LEN(AU491)&lt;2,ISNUMBER(MATCH(AU491,L_Placeholder,0)))),BR491&gt;=3,NOT(OR(LEN(AX491)&lt;2,ISNUMBER(MATCH(AX491,L_Placeholder,0)))),BS491&gt;=3,TRIM(AE491)&lt;&gt;TRIM(T491),AX491&lt;&gt;AU491,CE491=0),"N/A – JUSTIFIED","INVALID – N/A needs a real, settled reason (not 'not applicable' / 'as above' / TBC), a named PIC and a different named verifier"))),IF(OR(TRIM(U491)="Pass",TRIM(U491)="Pass after CA"),IF(NOT(ISNUMBER(AD491)),"INVALID – completion time missing",IF(OR(OR(LEN(AU491)&lt;2,ISNUMBER(MATCH(AU491,L_Placeholder,0))),BR491&lt;3),"INVALID – PIC missing or not a named person (a role such as QA / CSM is not a name)",IF(OR(LEN(AV491)&lt;2,ISNUMBER(MATCH(AV491,L_Placeholder,0))),"INVALID – result / assessment missing",IF(OR(OR(LEN(AW491)&lt;3,ISNUMBER(MATCH(AW491,L_Placeholder,0))),SUMPRODUCT(--ISNUMBER(SEARCH(" "&amp;L_EvidencePhrase&amp;" ",BD491)))&gt;0,BI491=1),"INVALID – evidence missing, placeholder or not yet on file",IF(ISNA(MATCH(TRIM(S491),L_EvidenceType,0)),"INVALID – choose the evidence type from the list (column S)",IF(BL491=0,"INVALID – evidence ID must be the record's own ID only (e.g. SF-2210, IMG_2231, 1045521); a link / file name needs type 'Link / file path'",IF(OR(OR(LEN(AX491)&lt;2,ISNUMBER(MATCH(AX491,L_Placeholder,0))),BS491&lt;3),"INVALID – verifier missing or not a named person (a role such as QA / CSM is not a name)",IF(OR(AX491=AU491,CE491=1,AND(LEN(AU491)&gt;=4,ISNUMBER(SEARCH(AU491,AX491))),AND(LEN(AX491)&gt;=4,ISNUMBER(SEARCH(AX491,AU491)))),"INVALID – verifier must be a different, named person (not the PIC or a role)",IF(BH491=1,"INVALID – result not yet available (awaiting / TBC)",IF(BG491=1,"INVALID – result describes a problem: record Fail, then Pass after CA (or reword if it is not a problem)",IF(BV491=1,"INVALID – wording says not on board: an on-board confirmation needs the item loaded",IF(AND(AQ491=1,OR(OR(LEN(AY491)&lt;3,ISNUMBER(MATCH(AY491,L_Placeholder,0))),BJ491=1,BQ491=0)),"INVALID – batch ID missing, placeholder or not an ID (e.g. PASB-261008-BC-017)",IF(AND(AR491=1,OR(NOT(ISNUMBER(X491)),NOT(ISNUMBER(Y491)))),"INVALID – expected/actual qty missing",IF(AND(AR491=1,OR(X491&lt;=0,Y491&lt;0)),"INVALID – expected qty must be above 0 and actual not negative",IF(BB491&lt;&gt;"",BB491,IF(AND(AS491=1,Documents!$J$19&lt;&gt;"ON FILE"),"INVALID – GLD not on file (Documents sheet)",IF(AND(AS491=2,Documents!$O$19&lt;&gt;"ON FILE"),"INVALID – menu checklist not on file (Documents sheet)",IF(AND(AS491=3,NOT(ISNUMBER(Flights!$AX$19))),"INVALID – enter carrying flight KUL departure (Flights AX)",IF(AND(AS491=3,OR(Flights!$AZ$19&gt;Flights!$AA$19,Flights!$AX$19&lt;Flights!$AA$19-3)),"INVALID – carrying flight (Flights AX) cannot arrive before this leg's STD, or is over 3 days early",IF(AG491&gt;AsOfUTC,"INVALID – completion time is in the future",IF(AND(ISNUMBER(BY491),AG491&lt;BY491),IF(H491="Physical uplift","INVALID – before uplift window (cannot confirm loading)","INVALID – before valid window"),IF(AG491&gt;Flights!$AA$19,"INVALID – completed after departure (cannot establish readiness)",IF(AND(H491="Preparation",AG491&gt;=IF(ISNUMBER(Flights!$BA$19),MIN(Flights!$BA$19,Flights!$AA$19),Flights!$AA$19)),"INVALID – completed after loading / departure (cannot establish readiness)",IF(AND(H491="Physical uplift",AG491&gt;Q491),"INVALID – recorded after the loading flight departed",IF(AG491&gt;Q491,"COMPLETE – LATE","COMPLETE"))))))))))))))))))))))))),IF(TRIM(U491)="Fail","FAIL – DISCREPANCY",IF(AND(TRIM(U491)&lt;&gt;"",TRIM(U491)&lt;&gt;"Not started",TRIM(U491)&lt;&gt;"In progress"),"INVALID – unrecognised status (use the list)",IF(AsOfUTC&gt;Q491,"OVERDUE",IF(N491="Clarification required","OPEN – CLARIFICATION","OPEN"))))))),"INVALID – error value in an input cell")</f>
        <v>OPEN</v>
      </c>
      <c r="AI491" s="61" t="n">
        <f aca="false">IF(OR(AH491="N/A – RULE",AH491="N/A – JUSTIFIED"),0,1)</f>
        <v>1</v>
      </c>
      <c r="AJ491" s="61" t="n">
        <f aca="false">IF(LEFT(AH491,8)="COMPLETE",1,0)</f>
        <v>0</v>
      </c>
      <c r="AK491" s="61" t="n">
        <f aca="false">IF(AND(AI491=1,AJ491=0,AsOfUTC&gt;Q491),1,0)</f>
        <v>0</v>
      </c>
      <c r="AL491" s="61" t="n">
        <f aca="false">IFERROR(IF(AND(AI491=1,OR(TRIM(U491)="Fail",AND(TRIM(AB491)&lt;&gt;"",TRIM(AB491)&lt;&gt;"Closed"),AND(ISNUMBER(AF491),AF491&lt;&gt;0,TRIM(U491)&lt;&gt;"Pass after CA"))),1,0),1)</f>
        <v>0</v>
      </c>
      <c r="AM491" s="61" t="n">
        <f aca="false">IF(LEFT(AH491,7)="INVALID",1,0)</f>
        <v>0</v>
      </c>
      <c r="AN491" s="61" t="n">
        <f aca="false">IF(AND(N491="Clarification required",AI491=1,AJ491=0),1,0)</f>
        <v>0</v>
      </c>
      <c r="AO491" s="61" t="str">
        <f aca="false">IF(AK491=1,SUM(AK$5:AK491),"")</f>
        <v/>
      </c>
      <c r="AP491" s="61" t="str">
        <f aca="false">IF(AL491=1,SUM(AL$5:AL491),"")</f>
        <v/>
      </c>
      <c r="AQ491" s="61" t="n">
        <v>0</v>
      </c>
      <c r="AR491" s="61" t="n">
        <v>0</v>
      </c>
      <c r="AS491" s="61" t="n">
        <v>0</v>
      </c>
      <c r="AT491" s="61" t="n">
        <v>0</v>
      </c>
      <c r="AU491" s="61" t="str">
        <f aca="false">SUBSTITUTE(SUBSTITUTE(SUBSTITUTE(SUBSTITUTE(SUBSTITUTE(SUBSTITUTE(SUBSTITUTE(SUBSTITUTE(SUBSTITUTE(SUBSTITUTE(SUBSTITUTE(SUBSTITUTE(SUBSTITUTE(SUBSTITUTE(SUBSTITUTE(SUBSTITUTE(LOWER(T491&amp;""),CHAR(10),""),CHAR(13),""),CHAR(9),""),CHAR(160),"")," ",""),".",""),"-",""),"/",""),"?",""),"_",""),",",""),"[",""),"]",""),"(",""),")",""),"*","")</f>
        <v/>
      </c>
      <c r="AV491" s="61" t="str">
        <f aca="false">SUBSTITUTE(SUBSTITUTE(SUBSTITUTE(SUBSTITUTE(SUBSTITUTE(SUBSTITUTE(SUBSTITUTE(SUBSTITUTE(SUBSTITUTE(SUBSTITUTE(SUBSTITUTE(SUBSTITUTE(SUBSTITUTE(SUBSTITUTE(SUBSTITUTE(SUBSTITUTE(LOWER(V491&amp;""),CHAR(10),""),CHAR(13),""),CHAR(9),""),CHAR(160),"")," ",""),".",""),"-",""),"/",""),"?",""),"_",""),",",""),"[",""),"]",""),"(",""),")",""),"*","")</f>
        <v/>
      </c>
      <c r="AW491" s="61" t="str">
        <f aca="false">SUBSTITUTE(SUBSTITUTE(SUBSTITUTE(SUBSTITUTE(SUBSTITUTE(SUBSTITUTE(SUBSTITUTE(SUBSTITUTE(SUBSTITUTE(SUBSTITUTE(SUBSTITUTE(SUBSTITUTE(SUBSTITUTE(SUBSTITUTE(SUBSTITUTE(SUBSTITUTE(LOWER(Z491&amp;""),CHAR(10),""),CHAR(13),""),CHAR(9),""),CHAR(160),"")," ",""),".",""),"-",""),"/",""),"?",""),"_",""),",",""),"[",""),"]",""),"(",""),")",""),"*","")</f>
        <v/>
      </c>
      <c r="AX491" s="61" t="str">
        <f aca="false">SUBSTITUTE(SUBSTITUTE(SUBSTITUTE(SUBSTITUTE(SUBSTITUTE(SUBSTITUTE(SUBSTITUTE(SUBSTITUTE(SUBSTITUTE(SUBSTITUTE(SUBSTITUTE(SUBSTITUTE(SUBSTITUTE(SUBSTITUTE(SUBSTITUTE(SUBSTITUTE(LOWER(AE491&amp;""),CHAR(10),""),CHAR(13),""),CHAR(9),""),CHAR(160),"")," ",""),".",""),"-",""),"/",""),"?",""),"_",""),",",""),"[",""),"]",""),"(",""),")",""),"*","")</f>
        <v/>
      </c>
      <c r="AY491" s="61" t="str">
        <f aca="false">SUBSTITUTE(SUBSTITUTE(SUBSTITUTE(SUBSTITUTE(SUBSTITUTE(SUBSTITUTE(SUBSTITUTE(SUBSTITUTE(SUBSTITUTE(SUBSTITUTE(SUBSTITUTE(SUBSTITUTE(SUBSTITUTE(SUBSTITUTE(SUBSTITUTE(SUBSTITUTE(LOWER(W491&amp;""),CHAR(10),""),CHAR(13),""),CHAR(9),""),CHAR(160),"")," ",""),".",""),"-",""),"/",""),"?",""),"_",""),",",""),"[",""),"]",""),"(",""),")",""),"*","")</f>
        <v/>
      </c>
      <c r="AZ491" s="61" t="str">
        <f aca="false">SUBSTITUTE(SUBSTITUTE(SUBSTITUTE(SUBSTITUTE(SUBSTITUTE(SUBSTITUTE(SUBSTITUTE(SUBSTITUTE(SUBSTITUTE(SUBSTITUTE(SUBSTITUTE(SUBSTITUTE(SUBSTITUTE(SUBSTITUTE(SUBSTITUTE(SUBSTITUTE(LOWER(AC491&amp;""),CHAR(10),""),CHAR(13),""),CHAR(9),""),CHAR(160),"")," ",""),".",""),"-",""),"/",""),"?",""),"_",""),",",""),"[",""),"]",""),"(",""),")",""),"*","")</f>
        <v/>
      </c>
      <c r="BA491" s="61" t="str">
        <f aca="false">SUBSTITUTE(SUBSTITUTE(SUBSTITUTE(SUBSTITUTE(SUBSTITUTE(SUBSTITUTE(SUBSTITUTE(SUBSTITUTE(SUBSTITUTE(SUBSTITUTE(SUBSTITUTE(SUBSTITUTE(SUBSTITUTE(SUBSTITUTE(SUBSTITUTE(SUBSTITUTE(LOWER(AA491&amp;""),CHAR(10),""),CHAR(13),""),CHAR(9),""),CHAR(160),"")," ",""),".",""),"-",""),"/",""),"?",""),"_",""),",",""),"[",""),"]",""),"(",""),")",""),"*","")</f>
        <v/>
      </c>
      <c r="BB491" s="61" t="str">
        <f aca="false">IF(AND(TRIM(U491)="Pass",ISNUMBER(AF491)),IF(AF491&lt;&gt;0,"INVALID – qty variance: use Fail or Pass after CA",""),"")&amp;IF(AND(TRIM(U491)="Pass after CA",ISNUMBER(AF491)),IF(AF491&lt;&gt;0,"INVALID – after the corrective action the actual qty must equal expected (update Actual)",""),"")&amp;IF(AND(TRIM(U491)="Pass",TRIM(AB491)&lt;&gt;"",TRIM(AB491)&lt;&gt;"Closed"),"INVALID – corrective action not closed: use Fail, then Pass after CA","")&amp;IF(AND(LEN(BA491)&gt;=2,ISNA(MATCH(LEFT(BA491,255),L_Placeholder,0)),TRIM(AB491)=""),"INVALID – CA status missing for the recorded corrective action","")&amp;IF(AND(TRIM(U491)="Pass after CA",OR(OR(LEN(BA491)&lt;5,ISNUMBER(MATCH(BA491,L_Placeholder,0))),TRIM(AB491)&lt;&gt;"Closed")),"INVALID – corrective action not recorded/closed","")</f>
        <v/>
      </c>
      <c r="BC491" s="61" t="str">
        <f aca="false">" "&amp;TRIM(SUBSTITUTE(SUBSTITUTE(SUBSTITUTE(SUBSTITUTE(SUBSTITUTE(SUBSTITUTE(SUBSTITUTE(SUBSTITUTE(SUBSTITUTE(SUBSTITUTE(SUBSTITUTE(SUBSTITUTE(SUBSTITUTE(SUBSTITUTE(SUBSTITUTE(SUBSTITUTE(SUBSTITUTE(SUBSTITUTE(SUBSTITUTE(SUBSTITUTE(SUBSTITUTE(SUBSTITUTE(SUBSTITUTE(SUBSTITUTE(LOWER(V491&amp;""),CHAR(10)," "),CHAR(13)," "),CHAR(9)," "),CHAR(160)," "),"."," "),","," "),"-"," "),"/"," "),"("," "),")"," "),":"," "),";"," "),"_"," "),"–"," "),"?"," "),"!"," "),"*"," "),"["," "),"]"," "),"'"," "),"#"," "),"+"," "),"&amp;"," "),"\"," "))&amp;" "</f>
        <v>  </v>
      </c>
      <c r="BD491" s="61" t="str">
        <f aca="false">" "&amp;TRIM(SUBSTITUTE(SUBSTITUTE(SUBSTITUTE(SUBSTITUTE(SUBSTITUTE(SUBSTITUTE(SUBSTITUTE(SUBSTITUTE(SUBSTITUTE(SUBSTITUTE(SUBSTITUTE(SUBSTITUTE(SUBSTITUTE(SUBSTITUTE(SUBSTITUTE(SUBSTITUTE(SUBSTITUTE(SUBSTITUTE(SUBSTITUTE(SUBSTITUTE(SUBSTITUTE(SUBSTITUTE(SUBSTITUTE(SUBSTITUTE(LOWER(Z491&amp;""),CHAR(10)," "),CHAR(13)," "),CHAR(9)," "),CHAR(160)," "),"."," "),","," "),"-"," "),"/"," "),"("," "),")"," "),":"," "),";"," "),"_"," "),"–"," "),"?"," "),"!"," "),"*"," "),"["," "),"]"," "),"'"," "),"#"," "),"+"," "),"&amp;"," "),"\"," "))&amp;" "</f>
        <v>  </v>
      </c>
      <c r="BE491" s="61" t="str">
        <f aca="false">" "&amp;TRIM(SUBSTITUTE(SUBSTITUTE(SUBSTITUTE(SUBSTITUTE(SUBSTITUTE(SUBSTITUTE(SUBSTITUTE(SUBSTITUTE(SUBSTITUTE(SUBSTITUTE(SUBSTITUTE(SUBSTITUTE(SUBSTITUTE(SUBSTITUTE(SUBSTITUTE(SUBSTITUTE(SUBSTITUTE(SUBSTITUTE(SUBSTITUTE(SUBSTITUTE(SUBSTITUTE(SUBSTITUTE(SUBSTITUTE(SUBSTITUTE(LOWER(W491&amp;""),CHAR(10)," "),CHAR(13)," "),CHAR(9)," "),CHAR(160)," "),"."," "),","," "),"-"," "),"/"," "),"("," "),")"," "),":"," "),";"," "),"_"," "),"–"," "),"?"," "),"!"," "),"*"," "),"["," "),"]"," "),"'"," "),"#"," "),"+"," "),"&amp;"," "),"\"," "))&amp;" "</f>
        <v>  </v>
      </c>
      <c r="BF491" s="61" t="str">
        <f aca="false">" "&amp;TRIM(SUBSTITUTE(SUBSTITUTE(SUBSTITUTE(SUBSTITUTE(SUBSTITUTE(SUBSTITUTE(SUBSTITUTE(SUBSTITUTE(SUBSTITUTE(SUBSTITUTE(SUBSTITUTE(SUBSTITUTE(SUBSTITUTE(SUBSTITUTE(SUBSTITUTE(SUBSTITUTE(SUBSTITUTE(SUBSTITUTE(SUBSTITUTE(SUBSTITUTE(SUBSTITUTE(SUBSTITUTE(SUBSTITUTE(SUBSTITUTE(LOWER(AC491&amp;""),CHAR(10)," "),CHAR(13)," "),CHAR(9)," "),CHAR(160)," "),"."," "),","," "),"-"," "),"/"," "),"("," "),")"," "),":"," "),";"," "),"_"," "),"–"," "),"?"," "),"!"," "),"*"," "),"["," "),"]"," "),"'"," "),"#"," "),"+"," "),"&amp;"," "),"\"," "))&amp;" "</f>
        <v>  </v>
      </c>
      <c r="BG491" s="61" t="n">
        <f aca="false">IFERROR(IF(AND(TRIM(U491)="Pass",SUMPRODUCT((LEN(BC491)-LEN(SUBSTITUTE(BC491," "&amp;L_ResultBad&amp;" "," ")))/(LEN(L_ResultBad)+1))&gt;SUMPRODUCT((LEN(BC491)-LEN(SUBSTITUTE(BC491," "&amp;L_NegPhrase&amp;" "," ")))/(LEN(L_NegPhrase)+1))),1,0),0)</f>
        <v>0</v>
      </c>
      <c r="BH491" s="61" t="n">
        <f aca="false">IFERROR(IF(SUMPRODUCT((LEN(BC491)-LEN(SUBSTITUTE(BC491," "&amp;L_Pending&amp;" "," ")))/(LEN(L_Pending)+1))&gt;SUMPRODUCT((LEN(BC491)-LEN(SUBSTITUTE(BC491," "&amp;L_PendNeg&amp;" "," ")))/(LEN(L_PendNeg)+1))+SUMPRODUCT((LEN(BC491)-LEN(SUBSTITUTE(BC491," "&amp;L_PendPrep&amp;" "," ")))/(LEN(L_PendPrep)+1)),1,0),1)</f>
        <v>0</v>
      </c>
      <c r="BI491" s="61" t="n">
        <f aca="false">IFERROR(IF(SUMPRODUCT((LEN(BD491)-LEN(SUBSTITUTE(BD491," "&amp;L_PendStrict&amp;" "," ")))/(LEN(L_PendStrict)+1))&gt;SUMPRODUCT((LEN(BD491)-LEN(SUBSTITUTE(BD491," "&amp;L_PendNeg&amp;" "," ")))/(LEN(L_PendNeg)+1)),1,0),1)</f>
        <v>0</v>
      </c>
      <c r="BJ491" s="61" t="n">
        <f aca="false">IFERROR(IF(SUMPRODUCT((LEN(BE491)-LEN(SUBSTITUTE(BE491," "&amp;L_Pending&amp;" "," ")))/(LEN(L_Pending)+1))&gt;SUMPRODUCT((LEN(BE491)-LEN(SUBSTITUTE(BE491," "&amp;L_PendNeg&amp;" "," ")))/(LEN(L_PendNeg)+1))+SUMPRODUCT((LEN(BE491)-LEN(SUBSTITUTE(BE491," "&amp;L_PendPrep&amp;" "," ")))/(LEN(L_PendPrep)+1)),1,0),1)</f>
        <v>0</v>
      </c>
      <c r="BK491" s="61" t="n">
        <f aca="false">IFERROR(IF(SUMPRODUCT((LEN(BF491)-LEN(SUBSTITUTE(BF491," "&amp;L_PendStrict&amp;" "," ")))/(LEN(L_PendStrict)+1))&gt;SUMPRODUCT((LEN(BF491)-LEN(SUBSTITUTE(BF491," "&amp;L_PendNeg&amp;" "," ")))/(LEN(L_PendNeg)+1)),1,0),1)</f>
        <v>0</v>
      </c>
      <c r="BL491" s="61" t="n">
        <f aca="false">IF(ISNA(MATCH(TRIM(S491),L_EvidenceType,0)),0,BZ491)</f>
        <v>0</v>
      </c>
      <c r="BM491" s="61" t="str">
        <f aca="false">SUBSTITUTE(SUBSTITUTE(SUBSTITUTE(SUBSTITUTE(SUBSTITUTE(SUBSTITUTE(SUBSTITUTE(SUBSTITUTE(SUBSTITUTE(LOWER(Z491&amp;""),"1","0"),"2","0"),"3","0"),"4","0"),"5","0"),"6","0"),"7","0"),"8","0"),"9","0")</f>
        <v/>
      </c>
      <c r="BN491" s="61" t="str">
        <f aca="false">SUBSTITUTE(SUBSTITUTE(SUBSTITUTE(SUBSTITUTE(SUBSTITUTE(SUBSTITUTE(SUBSTITUTE(SUBSTITUTE(SUBSTITUTE(SUBSTITUTE(SUBSTITUTE(SUBSTITUTE(SUBSTITUTE(SUBSTITUTE(SUBSTITUTE(SUBSTITUTE(SUBSTITUTE(SUBSTITUTE(SUBSTITUTE(SUBSTITUTE(SUBSTITUTE(SUBSTITUTE(SUBSTITUTE(SUBSTITUTE(SUBSTITUTE(BM491,"b","a"),"c","a"),"d","a"),"e","a"),"f","a"),"g","a"),"h","a"),"i","a"),"j","a"),"k","a"),"l","a"),"m","a"),"n","a"),"o","a"),"p","a"),"q","a"),"r","a"),"s","a"),"t","a"),"u","a"),"v","a"),"w","a"),"x","a"),"y","a"),"z","a")</f>
        <v/>
      </c>
      <c r="BO491" s="61" t="str">
        <f aca="false">SUBSTITUTE(SUBSTITUTE(SUBSTITUTE(SUBSTITUTE(SUBSTITUTE(SUBSTITUTE(SUBSTITUTE(SUBSTITUTE(SUBSTITUTE(LOWER(W491&amp;""),"1","0"),"2","0"),"3","0"),"4","0"),"5","0"),"6","0"),"7","0"),"8","0"),"9","0")</f>
        <v/>
      </c>
      <c r="BP491" s="61" t="str">
        <f aca="false">SUBSTITUTE(SUBSTITUTE(SUBSTITUTE(SUBSTITUTE(SUBSTITUTE(SUBSTITUTE(SUBSTITUTE(SUBSTITUTE(SUBSTITUTE(SUBSTITUTE(SUBSTITUTE(SUBSTITUTE(SUBSTITUTE(SUBSTITUTE(SUBSTITUTE(SUBSTITUTE(SUBSTITUTE(SUBSTITUTE(SUBSTITUTE(SUBSTITUTE(SUBSTITUTE(SUBSTITUTE(SUBSTITUTE(SUBSTITUTE(SUBSTITUTE(BO491,"b","a"),"c","a"),"d","a"),"e","a"),"f","a"),"g","a"),"h","a"),"i","a"),"j","a"),"k","a"),"l","a"),"m","a"),"n","a"),"o","a"),"p","a"),"q","a"),"r","a"),"s","a"),"t","a"),"u","a"),"v","a"),"w","a"),"x","a"),"y","a"),"z","a")</f>
        <v/>
      </c>
      <c r="BQ491" s="61" t="n">
        <f aca="false">IFERROR(IF(AND(ISERROR(SEARCH(" mh"," "&amp;LOWER(W491))),ISNA(MATCH(LEFT(TRIM(BP491),255),{"0000a","000a","00a","0000aa","000aa","00aa","0aa","0000aaa","000aaa","00a00","0a00","0000-0000","00:00","a00","a0","00.00.0000","00/00/0000","00-00-0000","0000-00-00","0000/00/00","0000.00.00","00.00.00","00/00/00","00-00-00","0.00.0000","0/00/0000","0-00-0000"},0)),ISNA(MATCH(LEFT(TRIM(CA491),255),{"0000a","000a","00a","0000aa","000aa","00aa","0aa","0000aaa","000aaa","00a00","0a00","0000-0000","00:00","a00","a0","00.00.0000","00/00/0000","00-00-0000","0000-00-00","0000/00/00","0000.00.00","00.00.00","00/00/00","00-00-00","0.00.0000","0/00/0000","0-00-0000"},0)),LEN(CB491)&gt;=3,NOT(OR(SUBSTITUTE(CB491,"0","")="",AND(LEN(CB491)&gt;=4,CB491=REPT(LEFT(CB491),LEN(CB491))),ISNUMBER(MATCH(CB491,{"123","1234","12345","123456","1234567","12345678","0123","01234","012345","98765","987654","54321"},0)),AND(LEN(CB491)=8,LEFT(CB491,3)="202"))),OR(AND((LEN(CA491)-LEN(SUBSTITUTE(CA491,"a","")))&gt;=1,SUMPRODUCT(--ISNUMBER(SEARCH({"a0","a-0","a_0","a/0","a.0","a#0","0a","0-a","0_a","0/a"},BP491)))&gt;0),ISNUMBER(SEARCH("000000",BP491)))),1,0),0)</f>
        <v>0</v>
      </c>
      <c r="BR491" s="61" t="n">
        <f aca="false">IFERROR(LEN(SUBSTITUTE(CC491," ",""))-SUMPRODUCT((LEN(CC491)-LEN(SUBSTITUTE(CC491," "&amp;L_Role&amp;" "," ")))/(LEN(L_Role)+1)*LEN(L_Role)),0)</f>
        <v>0</v>
      </c>
      <c r="BS491" s="61" t="n">
        <f aca="false">IFERROR(LEN(SUBSTITUTE(CD491," ",""))-SUMPRODUCT((LEN(CD491)-LEN(SUBSTITUTE(CD491," "&amp;L_Role&amp;" "," ")))/(LEN(L_Role)+1)*LEN(L_Role)),0)</f>
        <v>0</v>
      </c>
      <c r="BT4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491,"revision",""),"version",""),"jan",""),"feb",""),"mar",""),"apr",""),"may",""),"jun",""),"jul",""),"aug",""),"sep",""),"oct",""),"nov",""),"dec",""),"utc",""),"gmt",""),"myt",""),"bst",""),"rev",""),"ver",""),"b","a"),"c","a"),"d","a"),"e","a"),"f","a"),"g","a"),"h","a"),"i","a"),"j","a"),"k","a"),"l","a"),"m","a"),"n","a"),"o","a"),"p","a"),"q","a"),"r","a"),"s","a"),"t","a"),"u","a"),"v","a"),"w","a"),"x","a"),"y","a"),"z","a")</f>
        <v/>
      </c>
      <c r="BU491" s="61" t="str">
        <f aca="false">SUBSTITUTE(SUBSTITUTE(SUBSTITUTE(SUBSTITUTE(SUBSTITUTE(SUBSTITUTE(SUBSTITUTE(SUBSTITUTE(SUBSTITUTE(SUBSTITUTE(LEFT(BM491,FIND("0",BM491&amp;"0")-1),"-",""),"_",""),"/",""),".",""),"#",""),"\\",""),":","")," ",""),"(",""),")","")</f>
        <v/>
      </c>
      <c r="BV491" s="61" t="n">
        <f aca="false">0</f>
        <v>0</v>
      </c>
      <c r="BW4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491&amp;""),"a",""),"b",""),"c",""),"d",""),"e",""),"f",""),"g",""),"h",""),"i",""),"j",""),"k",""),"l",""),"m",""),"n",""),"o",""),"p",""),"q",""),"r",""),"s",""),"t",""),"u",""),"v",""),"w",""),"x",""),"y",""),"z",""),"-",""),"_",""),"/",""),".",""),"#",""),"\\",""),":","")," ",""),"(",""),")","")</f>
        <v/>
      </c>
      <c r="BX491" s="61" t="str">
        <f aca="false">SUBSTITUTE(SUBSTITUTE(SUBSTITUTE(SUBSTITUTE(SUBSTITUTE(SUBSTITUTE(SUBSTITUTE(SUBSTITUTE(SUBSTITUTE(SUBSTITUTE(SUBSTITUTE(BM491,"0",""),"-",""),"_",""),"/",""),".",""),"#",""),"\\",""),":","")," ",""),"(",""),")","")</f>
        <v/>
      </c>
      <c r="BY491" s="62" t="n">
        <f aca="false">Q491-T12EarlyH/24</f>
        <v>46319.4583333333</v>
      </c>
      <c r="BZ491" s="61" t="n">
        <f aca="false">IFERROR(IF(IF(TRIM(S491)="Link / file path",AND(LEN(TRIM(Z491))&gt;=5,SUMPRODUCT(--ISNUMBER(SEARCH({"http","www.","\\",":\",".pdf",".jpg",".jpeg",".png",".heic",".xls",".doc",".msg",".eml",".ppt",".txt",".zip"},Z491)))&gt;0),AND(ISERROR(FIND(" ",TRIM(Z491))),NOT(OR(SUMPRODUCT(--ISNUMBER(FIND({",",";","&amp;","+"},Z491)))&gt;0,SUMPRODUCT(--ISNUMBER(SEARCH({"0/aa","0\\aa"},BN491)))&gt;0)),NOT(SUMPRODUCT(--ISNUMBER(SEARCH({"http","www.","\\",":\",".pdf",".jpg",".jpeg",".png",".heic",".xls",".doc",".msg",".eml",".ppt",".txt",".zip"},Z491)))&gt;0),NOT(LOWER(TRIM(Z491))=LOWER(Flights!$F$19)),ISNA(MATCH(BU491,{"mh","rev","revision","ver","version","v","r","a","b","seat","tray","row","gate","bay","stand","page","pg","item","line","no","cart","galley","flight","flt","table","box","bag","oven","etd","eta","std","sta","atd","ata","qty","pax","x","time","tel","ph","mob","day","wk","week","utc","gmt","myt","lt"},0)),NOT(OR(ISNUMBER(MATCH(LEFT(BN491,255),{"0000a","000a","00a","0000aa","000aa","00aa","0aa","0000aaa","000aaa","00a00","0a00","0000-0000","00:00","a00","a0","00.00.0000","00/00/0000","00-00-0000","0000-00-00","0000/00/00","0000.00.00","00.00.00","00/00/00","00-00-00","0.00.0000","0/00/0000","0-00-0000"},0)),ISNUMBER(MATCH(LEFT(BT491,255),{"0000a","000a","00a","0000aa","000aa","00aa","0aa","0000aaa","000aaa","00a00","0a00","0000-0000","00:00","a00","a0","00.00.0000","00/00/0000","00-00-0000","0000-00-00","0000/00/00","0000.00.00","00.00.00","00/00/00","00-00-00","0.00.0000","0/00/0000","0-00-0000"},0)))),NOT(OR(AND(BW491&lt;&gt;"",SUBSTITUTE(BW491,"0","")=""),AND(LEN(BW491)&gt;=4,BW491=REPT(LEFT(BW491),LEN(BW491))),ISNUMBER(MATCH(BW491,{"123","1234","12345","123456","1234567","12345678","0123","01234","012345","98765","987654","54321"},0)),ISNUMBER(MATCH(BX491,{"x","xx","xxx","xxxx","xxxxx","abc","abcd","nil","na","nan","test","tbc","tba","tbd","dummy","sample","example","eg","zz","zzz","none","null","xyz","qwe","asd","id","ref"},0)),AND(LEN(BW491)=8,BX491="",OR(LEFT(BW491,3)="202",ISNUMBER(MATCH(RIGHT(BW491,4),{"2025","2026","2027"},0)))))),OR(AND((LEN(BT491)-LEN(SUBSTITUTE(BT491,"a","")))&gt;=1,(LEN(BN491)-LEN(SUBSTITUTE(BN491,"0","")))&gt;=2,SUMPRODUCT(--ISNUMBER(SEARCH({"a0","a-0","a_0","a/0","a.0","a#0","0a","0-a","0_a","0/a"},BN491)))&gt;0),AND((LEN(BN491)-LEN(SUBSTITUTE(BN491,"a","")))=0,(LEN(BN491)-LEN(SUBSTITUTE(BN491,"0","")))&gt;=5)))),1,0),0)</f>
        <v>0</v>
      </c>
      <c r="CA4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491,"revision",""),"version",""),"jan",""),"feb",""),"mar",""),"apr",""),"may",""),"jun",""),"jul",""),"aug",""),"sep",""),"oct",""),"nov",""),"dec",""),"utc",""),"gmt",""),"myt",""),"bst",""),"rev",""),"ver",""),"b","a"),"c","a"),"d","a"),"e","a"),"f","a"),"g","a"),"h","a"),"i","a"),"j","a"),"k","a"),"l","a"),"m","a"),"n","a"),"o","a"),"p","a"),"q","a"),"r","a"),"s","a"),"t","a"),"u","a"),"v","a"),"w","a"),"x","a"),"y","a"),"z","a")</f>
        <v/>
      </c>
      <c r="CB4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491&amp;""),"a",""),"b",""),"c",""),"d",""),"e",""),"f",""),"g",""),"h",""),"i",""),"j",""),"k",""),"l",""),"m",""),"n",""),"o",""),"p",""),"q",""),"r",""),"s",""),"t",""),"u",""),"v",""),"w",""),"x",""),"y",""),"z",""),"-",""),"_",""),"/",""),".",""),"#",""),"\\",""),":","")," ",""),"(",""),")","")</f>
        <v/>
      </c>
      <c r="CC491" s="0" t="str">
        <f aca="false">" "&amp;TRIM(SUBSTITUTE(SUBSTITUTE(SUBSTITUTE(SUBSTITUTE(SUBSTITUTE(SUBSTITUTE(SUBSTITUTE(SUBSTITUTE(SUBSTITUTE(SUBSTITUTE(SUBSTITUTE(SUBSTITUTE(SUBSTITUTE(SUBSTITUTE(SUBSTITUTE(SUBSTITUTE(SUBSTITUTE(SUBSTITUTE(SUBSTITUTE(SUBSTITUTE(SUBSTITUTE(SUBSTITUTE(SUBSTITUTE(SUBSTITUTE(LOWER(T491&amp;""),CHAR(10)," "),CHAR(13)," "),CHAR(9)," "),CHAR(160)," "),"."," "),","," "),"-"," "),"/"," "),"("," "),")"," "),":"," "),";"," "),"_"," "),"–"," "),"?"," "),"!"," "),"*"," "),"["," "),"]"," "),"'"," "),"#"," "),"+"," "),"&amp;"," "),"\"," "))&amp;" "</f>
        <v>  </v>
      </c>
      <c r="CD491" s="0" t="str">
        <f aca="false">" "&amp;TRIM(SUBSTITUTE(SUBSTITUTE(SUBSTITUTE(SUBSTITUTE(SUBSTITUTE(SUBSTITUTE(SUBSTITUTE(SUBSTITUTE(SUBSTITUTE(SUBSTITUTE(SUBSTITUTE(SUBSTITUTE(SUBSTITUTE(SUBSTITUTE(SUBSTITUTE(SUBSTITUTE(SUBSTITUTE(SUBSTITUTE(SUBSTITUTE(SUBSTITUTE(SUBSTITUTE(SUBSTITUTE(SUBSTITUTE(SUBSTITUTE(LOWER(AE491&amp;""),CHAR(10)," "),CHAR(13)," "),CHAR(9)," "),CHAR(160)," "),"."," "),","," "),"-"," "),"/"," "),"("," "),")"," "),":"," "),";"," "),"_"," "),"–"," "),"?"," "),"!"," "),"*"," "),"["," "),"]"," "),"'"," "),"#"," "),"+"," "),"&amp;"," "),"\"," "))&amp;" "</f>
        <v>  </v>
      </c>
      <c r="CE491" s="68" t="n">
        <f aca="false">IFERROR(IF(AND(LEN(AU491)&gt;0,LEN(AU491)=LEN(AX491),OR(TRIM(MID(SUBSTITUTE(TRIM(CC491)," ",REPT(" ",60)),1,60))="",ISNUMBER(SEARCH(" "&amp;TRIM(MID(SUBSTITUTE(TRIM(CC491)," ",REPT(" ",60)),1,60))&amp;" ",CD491))),OR(TRIM(MID(SUBSTITUTE(TRIM(CC491)," ",REPT(" ",60)),61,60))="",ISNUMBER(SEARCH(" "&amp;TRIM(MID(SUBSTITUTE(TRIM(CC491)," ",REPT(" ",60)),61,60))&amp;" ",CD491))),OR(TRIM(MID(SUBSTITUTE(TRIM(CC491)," ",REPT(" ",60)),121,60))="",ISNUMBER(SEARCH(" "&amp;TRIM(MID(SUBSTITUTE(TRIM(CC491)," ",REPT(" ",60)),121,60))&amp;" ",CD491)))),1,0),0)</f>
        <v>0</v>
      </c>
      <c r="CG491" s="68" t="n">
        <f aca="false">IFERROR(LEN(SUBSTITUTE(BF491," ",""))-SUMPRODUCT((LEN(BF491)-LEN(SUBSTITUTE(BF491," "&amp;L_NAFiller&amp;" "," ")))/(LEN(L_NAFiller)+1)*LEN(L_NAFiller)),0)</f>
        <v>0</v>
      </c>
    </row>
    <row r="492" customFormat="false" ht="39.75" hidden="false" customHeight="true" outlineLevel="0" collapsed="false">
      <c r="A492" s="57" t="s">
        <v>1145</v>
      </c>
      <c r="B492" s="57" t="s">
        <v>278</v>
      </c>
      <c r="C492" s="57" t="str">
        <f aca="false">Flights!$F$19</f>
        <v>MH0003</v>
      </c>
      <c r="D492" s="58" t="n">
        <f aca="false">Flights!$D$19</f>
        <v>46320</v>
      </c>
      <c r="E492" s="57" t="str">
        <f aca="false">Flights!$G$19&amp;"-"&amp;Flights!$H$19</f>
        <v>LHR-KUL</v>
      </c>
      <c r="F492" s="57" t="str">
        <f aca="false">Flights!$K$19</f>
        <v>EY</v>
      </c>
      <c r="G492" s="57" t="s">
        <v>420</v>
      </c>
      <c r="H492" s="57" t="s">
        <v>378</v>
      </c>
      <c r="I492" s="57" t="s">
        <v>379</v>
      </c>
      <c r="J492" s="57" t="s">
        <v>425</v>
      </c>
      <c r="K492" s="67" t="s">
        <v>426</v>
      </c>
      <c r="L492" s="67" t="s">
        <v>422</v>
      </c>
      <c r="M492" s="67"/>
      <c r="N492" s="67" t="s">
        <v>383</v>
      </c>
      <c r="O492" s="67" t="s">
        <v>423</v>
      </c>
      <c r="P492" s="57" t="s">
        <v>186</v>
      </c>
      <c r="Q492" s="59" t="n">
        <f aca="false">ROUND((Flights!$AE$19)*1440,0)/1440</f>
        <v>46319.9583333333</v>
      </c>
      <c r="R492" s="59" t="n">
        <f aca="false">Q492+(IF(AND(INDEX(TZ_DSTS,MATCH(P492,TZ_STN,0))&lt;&gt;"",Q492&gt;=INDEX(TZ_DSTS,MATCH(P492,TZ_STN,0)),Q492&lt;INDEX(TZ_DSTE,MATCH(P492,TZ_STN,0))),INDEX(TZ_DST,MATCH(P492,TZ_STN,0)),INDEX(TZ_STD,MATCH(P492,TZ_STN,0))))/24</f>
        <v>46320</v>
      </c>
      <c r="S492" s="60"/>
      <c r="T492" s="60"/>
      <c r="U492" s="60"/>
      <c r="V492" s="60"/>
      <c r="W492" s="61"/>
      <c r="X492" s="60"/>
      <c r="Y492" s="60"/>
      <c r="Z492" s="60"/>
      <c r="AA492" s="60"/>
      <c r="AB492" s="60"/>
      <c r="AC492" s="60"/>
      <c r="AD492" s="66"/>
      <c r="AE492" s="60"/>
      <c r="AF492" s="61" t="str">
        <f aca="false">IF(AND(ISNUMBER(X492),ISNUMBER(Y492)),Y492-X492,"")</f>
        <v/>
      </c>
      <c r="AG492" s="62" t="str">
        <f aca="false">IF(ISNUMBER(AD492),AD492-(IF(AND(INDEX(TZ_DSTS,MATCH(P492,TZ_STN,0))&lt;&gt;"",(AD492-INDEX(TZ_STD,MATCH(P492,TZ_STN,0))/24)&gt;=INDEX(TZ_DSTS,MATCH(P492,TZ_STN,0)),(AD492-INDEX(TZ_STD,MATCH(P492,TZ_STN,0))/24)&lt;INDEX(TZ_DSTE,MATCH(P492,TZ_STN,0))),INDEX(TZ_DST,MATCH(P492,TZ_STN,0)),INDEX(TZ_STD,MATCH(P492,TZ_STN,0))))/24,"")</f>
        <v/>
      </c>
      <c r="AH492" s="65" t="str">
        <f aca="false">IFERROR(IF(N492="N/A – rule",IF(OR(TRIM(U492)="",TRIM(U492)="N/A",TRIM(U492)="Not started"),"N/A – RULE","INVALID – this check does not apply to this aircraft: clear the status (or correct the fleet on Flights)"),IF(TRIM(U492)="N/A",IF(AT492=0,"INVALID – N/A not permitted for this check",IF(AND(TRIM(AB492)&lt;&gt;"",TRIM(AB492)&lt;&gt;"Closed"),"INVALID – corrective action still open",IF(AND(NOT(OR(LEN(AZ492)&lt;15,ISNUMBER(MATCH(AZ492,L_Placeholder,0)))),BK492=0,CG492&gt;=8,NOT(OR(LEN(AU492)&lt;2,ISNUMBER(MATCH(AU492,L_Placeholder,0)))),BR492&gt;=3,NOT(OR(LEN(AX492)&lt;2,ISNUMBER(MATCH(AX492,L_Placeholder,0)))),BS492&gt;=3,TRIM(AE492)&lt;&gt;TRIM(T492),AX492&lt;&gt;AU492,CE492=0),"N/A – JUSTIFIED","INVALID – N/A needs a real, settled reason (not 'not applicable' / 'as above' / TBC), a named PIC and a different named verifier"))),IF(OR(TRIM(U492)="Pass",TRIM(U492)="Pass after CA"),IF(NOT(ISNUMBER(AD492)),"INVALID – completion time missing",IF(OR(OR(LEN(AU492)&lt;2,ISNUMBER(MATCH(AU492,L_Placeholder,0))),BR492&lt;3),"INVALID – PIC missing or not a named person (a role such as QA / CSM is not a name)",IF(OR(LEN(AV492)&lt;2,ISNUMBER(MATCH(AV492,L_Placeholder,0))),"INVALID – result / assessment missing",IF(OR(OR(LEN(AW492)&lt;3,ISNUMBER(MATCH(AW492,L_Placeholder,0))),SUMPRODUCT(--ISNUMBER(SEARCH(" "&amp;L_EvidencePhrase&amp;" ",BD492)))&gt;0,BI492=1),"INVALID – evidence missing, placeholder or not yet on file",IF(ISNA(MATCH(TRIM(S492),L_EvidenceType,0)),"INVALID – choose the evidence type from the list (column S)",IF(BL492=0,"INVALID – evidence ID must be the record's own ID only (e.g. SF-2210, IMG_2231, 1045521); a link / file name needs type 'Link / file path'",IF(OR(OR(LEN(AX492)&lt;2,ISNUMBER(MATCH(AX492,L_Placeholder,0))),BS492&lt;3),"INVALID – verifier missing or not a named person (a role such as QA / CSM is not a name)",IF(OR(AX492=AU492,CE492=1,AND(LEN(AU492)&gt;=4,ISNUMBER(SEARCH(AU492,AX492))),AND(LEN(AX492)&gt;=4,ISNUMBER(SEARCH(AX492,AU492)))),"INVALID – verifier must be a different, named person (not the PIC or a role)",IF(BH492=1,"INVALID – result not yet available (awaiting / TBC)",IF(BG492=1,"INVALID – result describes a problem: record Fail, then Pass after CA (or reword if it is not a problem)",IF(BV492=1,"INVALID – wording says not on board: an on-board confirmation needs the item loaded",IF(AND(AQ492=1,OR(OR(LEN(AY492)&lt;3,ISNUMBER(MATCH(AY492,L_Placeholder,0))),BJ492=1,BQ492=0)),"INVALID – batch ID missing, placeholder or not an ID (e.g. PASB-261008-BC-017)",IF(AND(AR492=1,OR(NOT(ISNUMBER(X492)),NOT(ISNUMBER(Y492)))),"INVALID – expected/actual qty missing",IF(AND(AR492=1,OR(X492&lt;=0,Y492&lt;0)),"INVALID – expected qty must be above 0 and actual not negative",IF(BB492&lt;&gt;"",BB492,IF(AND(AS492=1,Documents!$J$19&lt;&gt;"ON FILE"),"INVALID – GLD not on file (Documents sheet)",IF(AND(AS492=2,Documents!$O$19&lt;&gt;"ON FILE"),"INVALID – menu checklist not on file (Documents sheet)",IF(AND(AS492=3,NOT(ISNUMBER(Flights!$AX$19))),"INVALID – enter carrying flight KUL departure (Flights AX)",IF(AND(AS492=3,OR(Flights!$AZ$19&gt;Flights!$AA$19,Flights!$AX$19&lt;Flights!$AA$19-3)),"INVALID – carrying flight (Flights AX) cannot arrive before this leg's STD, or is over 3 days early",IF(AG492&gt;AsOfUTC,"INVALID – completion time is in the future",IF(AND(ISNUMBER(BY492),AG492&lt;BY492),IF(H492="Physical uplift","INVALID – before uplift window (cannot confirm loading)","INVALID – before valid window"),IF(AG492&gt;Flights!$AA$19,"INVALID – completed after departure (cannot establish readiness)",IF(AND(H492="Preparation",AG492&gt;=IF(ISNUMBER(Flights!$BA$19),MIN(Flights!$BA$19,Flights!$AA$19),Flights!$AA$19)),"INVALID – completed after loading / departure (cannot establish readiness)",IF(AND(H492="Physical uplift",AG492&gt;Q492),"INVALID – recorded after the loading flight departed",IF(AG492&gt;Q492,"COMPLETE – LATE","COMPLETE"))))))))))))))))))))))))),IF(TRIM(U492)="Fail","FAIL – DISCREPANCY",IF(AND(TRIM(U492)&lt;&gt;"",TRIM(U492)&lt;&gt;"Not started",TRIM(U492)&lt;&gt;"In progress"),"INVALID – unrecognised status (use the list)",IF(AsOfUTC&gt;Q492,"OVERDUE",IF(N492="Clarification required","OPEN – CLARIFICATION","OPEN"))))))),"INVALID – error value in an input cell")</f>
        <v>OPEN</v>
      </c>
      <c r="AI492" s="61" t="n">
        <f aca="false">IF(OR(AH492="N/A – RULE",AH492="N/A – JUSTIFIED"),0,1)</f>
        <v>1</v>
      </c>
      <c r="AJ492" s="61" t="n">
        <f aca="false">IF(LEFT(AH492,8)="COMPLETE",1,0)</f>
        <v>0</v>
      </c>
      <c r="AK492" s="61" t="n">
        <f aca="false">IF(AND(AI492=1,AJ492=0,AsOfUTC&gt;Q492),1,0)</f>
        <v>0</v>
      </c>
      <c r="AL492" s="61" t="n">
        <f aca="false">IFERROR(IF(AND(AI492=1,OR(TRIM(U492)="Fail",AND(TRIM(AB492)&lt;&gt;"",TRIM(AB492)&lt;&gt;"Closed"),AND(ISNUMBER(AF492),AF492&lt;&gt;0,TRIM(U492)&lt;&gt;"Pass after CA"))),1,0),1)</f>
        <v>0</v>
      </c>
      <c r="AM492" s="61" t="n">
        <f aca="false">IF(LEFT(AH492,7)="INVALID",1,0)</f>
        <v>0</v>
      </c>
      <c r="AN492" s="61" t="n">
        <f aca="false">IF(AND(N492="Clarification required",AI492=1,AJ492=0),1,0)</f>
        <v>0</v>
      </c>
      <c r="AO492" s="61" t="str">
        <f aca="false">IF(AK492=1,SUM(AK$5:AK492),"")</f>
        <v/>
      </c>
      <c r="AP492" s="61" t="str">
        <f aca="false">IF(AL492=1,SUM(AL$5:AL492),"")</f>
        <v/>
      </c>
      <c r="AQ492" s="61" t="n">
        <v>0</v>
      </c>
      <c r="AR492" s="61" t="n">
        <v>1</v>
      </c>
      <c r="AS492" s="61" t="n">
        <v>0</v>
      </c>
      <c r="AT492" s="61" t="n">
        <v>0</v>
      </c>
      <c r="AU492" s="61" t="str">
        <f aca="false">SUBSTITUTE(SUBSTITUTE(SUBSTITUTE(SUBSTITUTE(SUBSTITUTE(SUBSTITUTE(SUBSTITUTE(SUBSTITUTE(SUBSTITUTE(SUBSTITUTE(SUBSTITUTE(SUBSTITUTE(SUBSTITUTE(SUBSTITUTE(SUBSTITUTE(SUBSTITUTE(LOWER(T492&amp;""),CHAR(10),""),CHAR(13),""),CHAR(9),""),CHAR(160),"")," ",""),".",""),"-",""),"/",""),"?",""),"_",""),",",""),"[",""),"]",""),"(",""),")",""),"*","")</f>
        <v/>
      </c>
      <c r="AV492" s="61" t="str">
        <f aca="false">SUBSTITUTE(SUBSTITUTE(SUBSTITUTE(SUBSTITUTE(SUBSTITUTE(SUBSTITUTE(SUBSTITUTE(SUBSTITUTE(SUBSTITUTE(SUBSTITUTE(SUBSTITUTE(SUBSTITUTE(SUBSTITUTE(SUBSTITUTE(SUBSTITUTE(SUBSTITUTE(LOWER(V492&amp;""),CHAR(10),""),CHAR(13),""),CHAR(9),""),CHAR(160),"")," ",""),".",""),"-",""),"/",""),"?",""),"_",""),",",""),"[",""),"]",""),"(",""),")",""),"*","")</f>
        <v/>
      </c>
      <c r="AW492" s="61" t="str">
        <f aca="false">SUBSTITUTE(SUBSTITUTE(SUBSTITUTE(SUBSTITUTE(SUBSTITUTE(SUBSTITUTE(SUBSTITUTE(SUBSTITUTE(SUBSTITUTE(SUBSTITUTE(SUBSTITUTE(SUBSTITUTE(SUBSTITUTE(SUBSTITUTE(SUBSTITUTE(SUBSTITUTE(LOWER(Z492&amp;""),CHAR(10),""),CHAR(13),""),CHAR(9),""),CHAR(160),"")," ",""),".",""),"-",""),"/",""),"?",""),"_",""),",",""),"[",""),"]",""),"(",""),")",""),"*","")</f>
        <v/>
      </c>
      <c r="AX492" s="61" t="str">
        <f aca="false">SUBSTITUTE(SUBSTITUTE(SUBSTITUTE(SUBSTITUTE(SUBSTITUTE(SUBSTITUTE(SUBSTITUTE(SUBSTITUTE(SUBSTITUTE(SUBSTITUTE(SUBSTITUTE(SUBSTITUTE(SUBSTITUTE(SUBSTITUTE(SUBSTITUTE(SUBSTITUTE(LOWER(AE492&amp;""),CHAR(10),""),CHAR(13),""),CHAR(9),""),CHAR(160),"")," ",""),".",""),"-",""),"/",""),"?",""),"_",""),",",""),"[",""),"]",""),"(",""),")",""),"*","")</f>
        <v/>
      </c>
      <c r="AY492" s="61" t="str">
        <f aca="false">SUBSTITUTE(SUBSTITUTE(SUBSTITUTE(SUBSTITUTE(SUBSTITUTE(SUBSTITUTE(SUBSTITUTE(SUBSTITUTE(SUBSTITUTE(SUBSTITUTE(SUBSTITUTE(SUBSTITUTE(SUBSTITUTE(SUBSTITUTE(SUBSTITUTE(SUBSTITUTE(LOWER(W492&amp;""),CHAR(10),""),CHAR(13),""),CHAR(9),""),CHAR(160),"")," ",""),".",""),"-",""),"/",""),"?",""),"_",""),",",""),"[",""),"]",""),"(",""),")",""),"*","")</f>
        <v/>
      </c>
      <c r="AZ492" s="61" t="str">
        <f aca="false">SUBSTITUTE(SUBSTITUTE(SUBSTITUTE(SUBSTITUTE(SUBSTITUTE(SUBSTITUTE(SUBSTITUTE(SUBSTITUTE(SUBSTITUTE(SUBSTITUTE(SUBSTITUTE(SUBSTITUTE(SUBSTITUTE(SUBSTITUTE(SUBSTITUTE(SUBSTITUTE(LOWER(AC492&amp;""),CHAR(10),""),CHAR(13),""),CHAR(9),""),CHAR(160),"")," ",""),".",""),"-",""),"/",""),"?",""),"_",""),",",""),"[",""),"]",""),"(",""),")",""),"*","")</f>
        <v/>
      </c>
      <c r="BA492" s="61" t="str">
        <f aca="false">SUBSTITUTE(SUBSTITUTE(SUBSTITUTE(SUBSTITUTE(SUBSTITUTE(SUBSTITUTE(SUBSTITUTE(SUBSTITUTE(SUBSTITUTE(SUBSTITUTE(SUBSTITUTE(SUBSTITUTE(SUBSTITUTE(SUBSTITUTE(SUBSTITUTE(SUBSTITUTE(LOWER(AA492&amp;""),CHAR(10),""),CHAR(13),""),CHAR(9),""),CHAR(160),"")," ",""),".",""),"-",""),"/",""),"?",""),"_",""),",",""),"[",""),"]",""),"(",""),")",""),"*","")</f>
        <v/>
      </c>
      <c r="BB492" s="61" t="str">
        <f aca="false">IF(AND(TRIM(U492)="Pass",ISNUMBER(AF492)),IF(AF492&lt;&gt;0,"INVALID – qty variance: use Fail or Pass after CA",""),"")&amp;IF(AND(TRIM(U492)="Pass after CA",ISNUMBER(AF492)),IF(AF492&lt;&gt;0,"INVALID – after the corrective action the actual qty must equal expected (update Actual)",""),"")&amp;IF(AND(TRIM(U492)="Pass",TRIM(AB492)&lt;&gt;"",TRIM(AB492)&lt;&gt;"Closed"),"INVALID – corrective action not closed: use Fail, then Pass after CA","")&amp;IF(AND(LEN(BA492)&gt;=2,ISNA(MATCH(LEFT(BA492,255),L_Placeholder,0)),TRIM(AB492)=""),"INVALID – CA status missing for the recorded corrective action","")&amp;IF(AND(TRIM(U492)="Pass after CA",OR(OR(LEN(BA492)&lt;5,ISNUMBER(MATCH(BA492,L_Placeholder,0))),TRIM(AB492)&lt;&gt;"Closed")),"INVALID – corrective action not recorded/closed","")</f>
        <v/>
      </c>
      <c r="BC492" s="61" t="str">
        <f aca="false">" "&amp;TRIM(SUBSTITUTE(SUBSTITUTE(SUBSTITUTE(SUBSTITUTE(SUBSTITUTE(SUBSTITUTE(SUBSTITUTE(SUBSTITUTE(SUBSTITUTE(SUBSTITUTE(SUBSTITUTE(SUBSTITUTE(SUBSTITUTE(SUBSTITUTE(SUBSTITUTE(SUBSTITUTE(SUBSTITUTE(SUBSTITUTE(SUBSTITUTE(SUBSTITUTE(SUBSTITUTE(SUBSTITUTE(SUBSTITUTE(SUBSTITUTE(LOWER(V492&amp;""),CHAR(10)," "),CHAR(13)," "),CHAR(9)," "),CHAR(160)," "),"."," "),","," "),"-"," "),"/"," "),"("," "),")"," "),":"," "),";"," "),"_"," "),"–"," "),"?"," "),"!"," "),"*"," "),"["," "),"]"," "),"'"," "),"#"," "),"+"," "),"&amp;"," "),"\"," "))&amp;" "</f>
        <v>  </v>
      </c>
      <c r="BD492" s="61" t="str">
        <f aca="false">" "&amp;TRIM(SUBSTITUTE(SUBSTITUTE(SUBSTITUTE(SUBSTITUTE(SUBSTITUTE(SUBSTITUTE(SUBSTITUTE(SUBSTITUTE(SUBSTITUTE(SUBSTITUTE(SUBSTITUTE(SUBSTITUTE(SUBSTITUTE(SUBSTITUTE(SUBSTITUTE(SUBSTITUTE(SUBSTITUTE(SUBSTITUTE(SUBSTITUTE(SUBSTITUTE(SUBSTITUTE(SUBSTITUTE(SUBSTITUTE(SUBSTITUTE(LOWER(Z492&amp;""),CHAR(10)," "),CHAR(13)," "),CHAR(9)," "),CHAR(160)," "),"."," "),","," "),"-"," "),"/"," "),"("," "),")"," "),":"," "),";"," "),"_"," "),"–"," "),"?"," "),"!"," "),"*"," "),"["," "),"]"," "),"'"," "),"#"," "),"+"," "),"&amp;"," "),"\"," "))&amp;" "</f>
        <v>  </v>
      </c>
      <c r="BE492" s="61" t="str">
        <f aca="false">" "&amp;TRIM(SUBSTITUTE(SUBSTITUTE(SUBSTITUTE(SUBSTITUTE(SUBSTITUTE(SUBSTITUTE(SUBSTITUTE(SUBSTITUTE(SUBSTITUTE(SUBSTITUTE(SUBSTITUTE(SUBSTITUTE(SUBSTITUTE(SUBSTITUTE(SUBSTITUTE(SUBSTITUTE(SUBSTITUTE(SUBSTITUTE(SUBSTITUTE(SUBSTITUTE(SUBSTITUTE(SUBSTITUTE(SUBSTITUTE(SUBSTITUTE(LOWER(W492&amp;""),CHAR(10)," "),CHAR(13)," "),CHAR(9)," "),CHAR(160)," "),"."," "),","," "),"-"," "),"/"," "),"("," "),")"," "),":"," "),";"," "),"_"," "),"–"," "),"?"," "),"!"," "),"*"," "),"["," "),"]"," "),"'"," "),"#"," "),"+"," "),"&amp;"," "),"\"," "))&amp;" "</f>
        <v>  </v>
      </c>
      <c r="BF492" s="61" t="str">
        <f aca="false">" "&amp;TRIM(SUBSTITUTE(SUBSTITUTE(SUBSTITUTE(SUBSTITUTE(SUBSTITUTE(SUBSTITUTE(SUBSTITUTE(SUBSTITUTE(SUBSTITUTE(SUBSTITUTE(SUBSTITUTE(SUBSTITUTE(SUBSTITUTE(SUBSTITUTE(SUBSTITUTE(SUBSTITUTE(SUBSTITUTE(SUBSTITUTE(SUBSTITUTE(SUBSTITUTE(SUBSTITUTE(SUBSTITUTE(SUBSTITUTE(SUBSTITUTE(LOWER(AC492&amp;""),CHAR(10)," "),CHAR(13)," "),CHAR(9)," "),CHAR(160)," "),"."," "),","," "),"-"," "),"/"," "),"("," "),")"," "),":"," "),";"," "),"_"," "),"–"," "),"?"," "),"!"," "),"*"," "),"["," "),"]"," "),"'"," "),"#"," "),"+"," "),"&amp;"," "),"\"," "))&amp;" "</f>
        <v>  </v>
      </c>
      <c r="BG492" s="61" t="n">
        <f aca="false">IFERROR(IF(AND(TRIM(U492)="Pass",SUMPRODUCT((LEN(BC492)-LEN(SUBSTITUTE(BC492," "&amp;L_ResultBad&amp;" "," ")))/(LEN(L_ResultBad)+1))&gt;SUMPRODUCT((LEN(BC492)-LEN(SUBSTITUTE(BC492," "&amp;L_NegPhrase&amp;" "," ")))/(LEN(L_NegPhrase)+1))),1,0),0)</f>
        <v>0</v>
      </c>
      <c r="BH492" s="61" t="n">
        <f aca="false">IFERROR(IF(SUMPRODUCT((LEN(BC492)-LEN(SUBSTITUTE(BC492," "&amp;L_Pending&amp;" "," ")))/(LEN(L_Pending)+1))&gt;SUMPRODUCT((LEN(BC492)-LEN(SUBSTITUTE(BC492," "&amp;L_PendNeg&amp;" "," ")))/(LEN(L_PendNeg)+1))+SUMPRODUCT((LEN(BC492)-LEN(SUBSTITUTE(BC492," "&amp;L_PendPrep&amp;" "," ")))/(LEN(L_PendPrep)+1)),1,0),1)</f>
        <v>0</v>
      </c>
      <c r="BI492" s="61" t="n">
        <f aca="false">IFERROR(IF(SUMPRODUCT((LEN(BD492)-LEN(SUBSTITUTE(BD492," "&amp;L_PendStrict&amp;" "," ")))/(LEN(L_PendStrict)+1))&gt;SUMPRODUCT((LEN(BD492)-LEN(SUBSTITUTE(BD492," "&amp;L_PendNeg&amp;" "," ")))/(LEN(L_PendNeg)+1)),1,0),1)</f>
        <v>0</v>
      </c>
      <c r="BJ492" s="61" t="n">
        <f aca="false">IFERROR(IF(SUMPRODUCT((LEN(BE492)-LEN(SUBSTITUTE(BE492," "&amp;L_Pending&amp;" "," ")))/(LEN(L_Pending)+1))&gt;SUMPRODUCT((LEN(BE492)-LEN(SUBSTITUTE(BE492," "&amp;L_PendNeg&amp;" "," ")))/(LEN(L_PendNeg)+1))+SUMPRODUCT((LEN(BE492)-LEN(SUBSTITUTE(BE492," "&amp;L_PendPrep&amp;" "," ")))/(LEN(L_PendPrep)+1)),1,0),1)</f>
        <v>0</v>
      </c>
      <c r="BK492" s="61" t="n">
        <f aca="false">IFERROR(IF(SUMPRODUCT((LEN(BF492)-LEN(SUBSTITUTE(BF492," "&amp;L_PendStrict&amp;" "," ")))/(LEN(L_PendStrict)+1))&gt;SUMPRODUCT((LEN(BF492)-LEN(SUBSTITUTE(BF492," "&amp;L_PendNeg&amp;" "," ")))/(LEN(L_PendNeg)+1)),1,0),1)</f>
        <v>0</v>
      </c>
      <c r="BL492" s="61" t="n">
        <f aca="false">IF(ISNA(MATCH(TRIM(S492),L_EvidenceType,0)),0,BZ492)</f>
        <v>0</v>
      </c>
      <c r="BM492" s="61" t="str">
        <f aca="false">SUBSTITUTE(SUBSTITUTE(SUBSTITUTE(SUBSTITUTE(SUBSTITUTE(SUBSTITUTE(SUBSTITUTE(SUBSTITUTE(SUBSTITUTE(LOWER(Z492&amp;""),"1","0"),"2","0"),"3","0"),"4","0"),"5","0"),"6","0"),"7","0"),"8","0"),"9","0")</f>
        <v/>
      </c>
      <c r="BN492" s="61" t="str">
        <f aca="false">SUBSTITUTE(SUBSTITUTE(SUBSTITUTE(SUBSTITUTE(SUBSTITUTE(SUBSTITUTE(SUBSTITUTE(SUBSTITUTE(SUBSTITUTE(SUBSTITUTE(SUBSTITUTE(SUBSTITUTE(SUBSTITUTE(SUBSTITUTE(SUBSTITUTE(SUBSTITUTE(SUBSTITUTE(SUBSTITUTE(SUBSTITUTE(SUBSTITUTE(SUBSTITUTE(SUBSTITUTE(SUBSTITUTE(SUBSTITUTE(SUBSTITUTE(BM492,"b","a"),"c","a"),"d","a"),"e","a"),"f","a"),"g","a"),"h","a"),"i","a"),"j","a"),"k","a"),"l","a"),"m","a"),"n","a"),"o","a"),"p","a"),"q","a"),"r","a"),"s","a"),"t","a"),"u","a"),"v","a"),"w","a"),"x","a"),"y","a"),"z","a")</f>
        <v/>
      </c>
      <c r="BO492" s="61" t="str">
        <f aca="false">SUBSTITUTE(SUBSTITUTE(SUBSTITUTE(SUBSTITUTE(SUBSTITUTE(SUBSTITUTE(SUBSTITUTE(SUBSTITUTE(SUBSTITUTE(LOWER(W492&amp;""),"1","0"),"2","0"),"3","0"),"4","0"),"5","0"),"6","0"),"7","0"),"8","0"),"9","0")</f>
        <v/>
      </c>
      <c r="BP492" s="61" t="str">
        <f aca="false">SUBSTITUTE(SUBSTITUTE(SUBSTITUTE(SUBSTITUTE(SUBSTITUTE(SUBSTITUTE(SUBSTITUTE(SUBSTITUTE(SUBSTITUTE(SUBSTITUTE(SUBSTITUTE(SUBSTITUTE(SUBSTITUTE(SUBSTITUTE(SUBSTITUTE(SUBSTITUTE(SUBSTITUTE(SUBSTITUTE(SUBSTITUTE(SUBSTITUTE(SUBSTITUTE(SUBSTITUTE(SUBSTITUTE(SUBSTITUTE(SUBSTITUTE(BO492,"b","a"),"c","a"),"d","a"),"e","a"),"f","a"),"g","a"),"h","a"),"i","a"),"j","a"),"k","a"),"l","a"),"m","a"),"n","a"),"o","a"),"p","a"),"q","a"),"r","a"),"s","a"),"t","a"),"u","a"),"v","a"),"w","a"),"x","a"),"y","a"),"z","a")</f>
        <v/>
      </c>
      <c r="BQ492" s="61" t="n">
        <f aca="false">IFERROR(IF(AND(ISERROR(SEARCH(" mh"," "&amp;LOWER(W492))),ISNA(MATCH(LEFT(TRIM(BP492),255),{"0000a","000a","00a","0000aa","000aa","00aa","0aa","0000aaa","000aaa","00a00","0a00","0000-0000","00:00","a00","a0","00.00.0000","00/00/0000","00-00-0000","0000-00-00","0000/00/00","0000.00.00","00.00.00","00/00/00","00-00-00","0.00.0000","0/00/0000","0-00-0000"},0)),ISNA(MATCH(LEFT(TRIM(CA492),255),{"0000a","000a","00a","0000aa","000aa","00aa","0aa","0000aaa","000aaa","00a00","0a00","0000-0000","00:00","a00","a0","00.00.0000","00/00/0000","00-00-0000","0000-00-00","0000/00/00","0000.00.00","00.00.00","00/00/00","00-00-00","0.00.0000","0/00/0000","0-00-0000"},0)),LEN(CB492)&gt;=3,NOT(OR(SUBSTITUTE(CB492,"0","")="",AND(LEN(CB492)&gt;=4,CB492=REPT(LEFT(CB492),LEN(CB492))),ISNUMBER(MATCH(CB492,{"123","1234","12345","123456","1234567","12345678","0123","01234","012345","98765","987654","54321"},0)),AND(LEN(CB492)=8,LEFT(CB492,3)="202"))),OR(AND((LEN(CA492)-LEN(SUBSTITUTE(CA492,"a","")))&gt;=1,SUMPRODUCT(--ISNUMBER(SEARCH({"a0","a-0","a_0","a/0","a.0","a#0","0a","0-a","0_a","0/a"},BP492)))&gt;0),ISNUMBER(SEARCH("000000",BP492)))),1,0),0)</f>
        <v>0</v>
      </c>
      <c r="BR492" s="61" t="n">
        <f aca="false">IFERROR(LEN(SUBSTITUTE(CC492," ",""))-SUMPRODUCT((LEN(CC492)-LEN(SUBSTITUTE(CC492," "&amp;L_Role&amp;" "," ")))/(LEN(L_Role)+1)*LEN(L_Role)),0)</f>
        <v>0</v>
      </c>
      <c r="BS492" s="61" t="n">
        <f aca="false">IFERROR(LEN(SUBSTITUTE(CD492," ",""))-SUMPRODUCT((LEN(CD492)-LEN(SUBSTITUTE(CD492," "&amp;L_Role&amp;" "," ")))/(LEN(L_Role)+1)*LEN(L_Role)),0)</f>
        <v>0</v>
      </c>
      <c r="BT4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492,"revision",""),"version",""),"jan",""),"feb",""),"mar",""),"apr",""),"may",""),"jun",""),"jul",""),"aug",""),"sep",""),"oct",""),"nov",""),"dec",""),"utc",""),"gmt",""),"myt",""),"bst",""),"rev",""),"ver",""),"b","a"),"c","a"),"d","a"),"e","a"),"f","a"),"g","a"),"h","a"),"i","a"),"j","a"),"k","a"),"l","a"),"m","a"),"n","a"),"o","a"),"p","a"),"q","a"),"r","a"),"s","a"),"t","a"),"u","a"),"v","a"),"w","a"),"x","a"),"y","a"),"z","a")</f>
        <v/>
      </c>
      <c r="BU492" s="61" t="str">
        <f aca="false">SUBSTITUTE(SUBSTITUTE(SUBSTITUTE(SUBSTITUTE(SUBSTITUTE(SUBSTITUTE(SUBSTITUTE(SUBSTITUTE(SUBSTITUTE(SUBSTITUTE(LEFT(BM492,FIND("0",BM492&amp;"0")-1),"-",""),"_",""),"/",""),".",""),"#",""),"\\",""),":","")," ",""),"(",""),")","")</f>
        <v/>
      </c>
      <c r="BV492" s="61" t="n">
        <f aca="false">0</f>
        <v>0</v>
      </c>
      <c r="BW4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492&amp;""),"a",""),"b",""),"c",""),"d",""),"e",""),"f",""),"g",""),"h",""),"i",""),"j",""),"k",""),"l",""),"m",""),"n",""),"o",""),"p",""),"q",""),"r",""),"s",""),"t",""),"u",""),"v",""),"w",""),"x",""),"y",""),"z",""),"-",""),"_",""),"/",""),".",""),"#",""),"\\",""),":","")," ",""),"(",""),")","")</f>
        <v/>
      </c>
      <c r="BX492" s="61" t="str">
        <f aca="false">SUBSTITUTE(SUBSTITUTE(SUBSTITUTE(SUBSTITUTE(SUBSTITUTE(SUBSTITUTE(SUBSTITUTE(SUBSTITUTE(SUBSTITUTE(SUBSTITUTE(SUBSTITUTE(BM492,"0",""),"-",""),"_",""),"/",""),".",""),"#",""),"\\",""),":","")," ",""),"(",""),")","")</f>
        <v/>
      </c>
      <c r="BY492" s="62" t="n">
        <f aca="false">Q492-T12EarlyH/24</f>
        <v>46319.4583333333</v>
      </c>
      <c r="BZ492" s="61" t="n">
        <f aca="false">IFERROR(IF(IF(TRIM(S492)="Link / file path",AND(LEN(TRIM(Z492))&gt;=5,SUMPRODUCT(--ISNUMBER(SEARCH({"http","www.","\\",":\",".pdf",".jpg",".jpeg",".png",".heic",".xls",".doc",".msg",".eml",".ppt",".txt",".zip"},Z492)))&gt;0),AND(ISERROR(FIND(" ",TRIM(Z492))),NOT(OR(SUMPRODUCT(--ISNUMBER(FIND({",",";","&amp;","+"},Z492)))&gt;0,SUMPRODUCT(--ISNUMBER(SEARCH({"0/aa","0\\aa"},BN492)))&gt;0)),NOT(SUMPRODUCT(--ISNUMBER(SEARCH({"http","www.","\\",":\",".pdf",".jpg",".jpeg",".png",".heic",".xls",".doc",".msg",".eml",".ppt",".txt",".zip"},Z492)))&gt;0),NOT(LOWER(TRIM(Z492))=LOWER(Flights!$F$19)),ISNA(MATCH(BU492,{"mh","rev","revision","ver","version","v","r","a","b","seat","tray","row","gate","bay","stand","page","pg","item","line","no","cart","galley","flight","flt","table","box","bag","oven","etd","eta","std","sta","atd","ata","qty","pax","x","time","tel","ph","mob","day","wk","week","utc","gmt","myt","lt"},0)),NOT(OR(ISNUMBER(MATCH(LEFT(BN492,255),{"0000a","000a","00a","0000aa","000aa","00aa","0aa","0000aaa","000aaa","00a00","0a00","0000-0000","00:00","a00","a0","00.00.0000","00/00/0000","00-00-0000","0000-00-00","0000/00/00","0000.00.00","00.00.00","00/00/00","00-00-00","0.00.0000","0/00/0000","0-00-0000"},0)),ISNUMBER(MATCH(LEFT(BT492,255),{"0000a","000a","00a","0000aa","000aa","00aa","0aa","0000aaa","000aaa","00a00","0a00","0000-0000","00:00","a00","a0","00.00.0000","00/00/0000","00-00-0000","0000-00-00","0000/00/00","0000.00.00","00.00.00","00/00/00","00-00-00","0.00.0000","0/00/0000","0-00-0000"},0)))),NOT(OR(AND(BW492&lt;&gt;"",SUBSTITUTE(BW492,"0","")=""),AND(LEN(BW492)&gt;=4,BW492=REPT(LEFT(BW492),LEN(BW492))),ISNUMBER(MATCH(BW492,{"123","1234","12345","123456","1234567","12345678","0123","01234","012345","98765","987654","54321"},0)),ISNUMBER(MATCH(BX492,{"x","xx","xxx","xxxx","xxxxx","abc","abcd","nil","na","nan","test","tbc","tba","tbd","dummy","sample","example","eg","zz","zzz","none","null","xyz","qwe","asd","id","ref"},0)),AND(LEN(BW492)=8,BX492="",OR(LEFT(BW492,3)="202",ISNUMBER(MATCH(RIGHT(BW492,4),{"2025","2026","2027"},0)))))),OR(AND((LEN(BT492)-LEN(SUBSTITUTE(BT492,"a","")))&gt;=1,(LEN(BN492)-LEN(SUBSTITUTE(BN492,"0","")))&gt;=2,SUMPRODUCT(--ISNUMBER(SEARCH({"a0","a-0","a_0","a/0","a.0","a#0","0a","0-a","0_a","0/a"},BN492)))&gt;0),AND((LEN(BN492)-LEN(SUBSTITUTE(BN492,"a","")))=0,(LEN(BN492)-LEN(SUBSTITUTE(BN492,"0","")))&gt;=5)))),1,0),0)</f>
        <v>0</v>
      </c>
      <c r="CA4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492,"revision",""),"version",""),"jan",""),"feb",""),"mar",""),"apr",""),"may",""),"jun",""),"jul",""),"aug",""),"sep",""),"oct",""),"nov",""),"dec",""),"utc",""),"gmt",""),"myt",""),"bst",""),"rev",""),"ver",""),"b","a"),"c","a"),"d","a"),"e","a"),"f","a"),"g","a"),"h","a"),"i","a"),"j","a"),"k","a"),"l","a"),"m","a"),"n","a"),"o","a"),"p","a"),"q","a"),"r","a"),"s","a"),"t","a"),"u","a"),"v","a"),"w","a"),"x","a"),"y","a"),"z","a")</f>
        <v/>
      </c>
      <c r="CB4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492&amp;""),"a",""),"b",""),"c",""),"d",""),"e",""),"f",""),"g",""),"h",""),"i",""),"j",""),"k",""),"l",""),"m",""),"n",""),"o",""),"p",""),"q",""),"r",""),"s",""),"t",""),"u",""),"v",""),"w",""),"x",""),"y",""),"z",""),"-",""),"_",""),"/",""),".",""),"#",""),"\\",""),":","")," ",""),"(",""),")","")</f>
        <v/>
      </c>
      <c r="CC492" s="0" t="str">
        <f aca="false">" "&amp;TRIM(SUBSTITUTE(SUBSTITUTE(SUBSTITUTE(SUBSTITUTE(SUBSTITUTE(SUBSTITUTE(SUBSTITUTE(SUBSTITUTE(SUBSTITUTE(SUBSTITUTE(SUBSTITUTE(SUBSTITUTE(SUBSTITUTE(SUBSTITUTE(SUBSTITUTE(SUBSTITUTE(SUBSTITUTE(SUBSTITUTE(SUBSTITUTE(SUBSTITUTE(SUBSTITUTE(SUBSTITUTE(SUBSTITUTE(SUBSTITUTE(LOWER(T492&amp;""),CHAR(10)," "),CHAR(13)," "),CHAR(9)," "),CHAR(160)," "),"."," "),","," "),"-"," "),"/"," "),"("," "),")"," "),":"," "),";"," "),"_"," "),"–"," "),"?"," "),"!"," "),"*"," "),"["," "),"]"," "),"'"," "),"#"," "),"+"," "),"&amp;"," "),"\"," "))&amp;" "</f>
        <v>  </v>
      </c>
      <c r="CD492" s="0" t="str">
        <f aca="false">" "&amp;TRIM(SUBSTITUTE(SUBSTITUTE(SUBSTITUTE(SUBSTITUTE(SUBSTITUTE(SUBSTITUTE(SUBSTITUTE(SUBSTITUTE(SUBSTITUTE(SUBSTITUTE(SUBSTITUTE(SUBSTITUTE(SUBSTITUTE(SUBSTITUTE(SUBSTITUTE(SUBSTITUTE(SUBSTITUTE(SUBSTITUTE(SUBSTITUTE(SUBSTITUTE(SUBSTITUTE(SUBSTITUTE(SUBSTITUTE(SUBSTITUTE(LOWER(AE492&amp;""),CHAR(10)," "),CHAR(13)," "),CHAR(9)," "),CHAR(160)," "),"."," "),","," "),"-"," "),"/"," "),"("," "),")"," "),":"," "),";"," "),"_"," "),"–"," "),"?"," "),"!"," "),"*"," "),"["," "),"]"," "),"'"," "),"#"," "),"+"," "),"&amp;"," "),"\"," "))&amp;" "</f>
        <v>  </v>
      </c>
      <c r="CE492" s="68" t="n">
        <f aca="false">IFERROR(IF(AND(LEN(AU492)&gt;0,LEN(AU492)=LEN(AX492),OR(TRIM(MID(SUBSTITUTE(TRIM(CC492)," ",REPT(" ",60)),1,60))="",ISNUMBER(SEARCH(" "&amp;TRIM(MID(SUBSTITUTE(TRIM(CC492)," ",REPT(" ",60)),1,60))&amp;" ",CD492))),OR(TRIM(MID(SUBSTITUTE(TRIM(CC492)," ",REPT(" ",60)),61,60))="",ISNUMBER(SEARCH(" "&amp;TRIM(MID(SUBSTITUTE(TRIM(CC492)," ",REPT(" ",60)),61,60))&amp;" ",CD492))),OR(TRIM(MID(SUBSTITUTE(TRIM(CC492)," ",REPT(" ",60)),121,60))="",ISNUMBER(SEARCH(" "&amp;TRIM(MID(SUBSTITUTE(TRIM(CC492)," ",REPT(" ",60)),121,60))&amp;" ",CD492)))),1,0),0)</f>
        <v>0</v>
      </c>
      <c r="CG492" s="68" t="n">
        <f aca="false">IFERROR(LEN(SUBSTITUTE(BF492," ",""))-SUMPRODUCT((LEN(BF492)-LEN(SUBSTITUTE(BF492," "&amp;L_NAFiller&amp;" "," ")))/(LEN(L_NAFiller)+1)*LEN(L_NAFiller)),0)</f>
        <v>0</v>
      </c>
    </row>
    <row r="493" customFormat="false" ht="39.75" hidden="false" customHeight="true" outlineLevel="0" collapsed="false">
      <c r="A493" s="57" t="s">
        <v>1146</v>
      </c>
      <c r="B493" s="57" t="s">
        <v>278</v>
      </c>
      <c r="C493" s="57" t="str">
        <f aca="false">Flights!$F$19</f>
        <v>MH0003</v>
      </c>
      <c r="D493" s="58" t="n">
        <f aca="false">Flights!$D$19</f>
        <v>46320</v>
      </c>
      <c r="E493" s="57" t="str">
        <f aca="false">Flights!$G$19&amp;"-"&amp;Flights!$H$19</f>
        <v>LHR-KUL</v>
      </c>
      <c r="F493" s="57" t="str">
        <f aca="false">Flights!$K$19</f>
        <v>EY</v>
      </c>
      <c r="G493" s="57" t="s">
        <v>420</v>
      </c>
      <c r="H493" s="57" t="s">
        <v>378</v>
      </c>
      <c r="I493" s="57" t="s">
        <v>428</v>
      </c>
      <c r="J493" s="57" t="s">
        <v>429</v>
      </c>
      <c r="K493" s="67"/>
      <c r="L493" s="67" t="s">
        <v>422</v>
      </c>
      <c r="M493" s="67"/>
      <c r="N493" s="67" t="s">
        <v>383</v>
      </c>
      <c r="O493" s="67" t="s">
        <v>423</v>
      </c>
      <c r="P493" s="57" t="s">
        <v>186</v>
      </c>
      <c r="Q493" s="59" t="n">
        <f aca="false">ROUND((Flights!$AE$19)*1440,0)/1440</f>
        <v>46319.9583333333</v>
      </c>
      <c r="R493" s="59" t="n">
        <f aca="false">Q493+(IF(AND(INDEX(TZ_DSTS,MATCH(P493,TZ_STN,0))&lt;&gt;"",Q493&gt;=INDEX(TZ_DSTS,MATCH(P493,TZ_STN,0)),Q493&lt;INDEX(TZ_DSTE,MATCH(P493,TZ_STN,0))),INDEX(TZ_DST,MATCH(P493,TZ_STN,0)),INDEX(TZ_STD,MATCH(P493,TZ_STN,0))))/24</f>
        <v>46320</v>
      </c>
      <c r="S493" s="60"/>
      <c r="T493" s="60"/>
      <c r="U493" s="60"/>
      <c r="V493" s="60"/>
      <c r="W493" s="61"/>
      <c r="X493" s="60"/>
      <c r="Y493" s="60"/>
      <c r="Z493" s="60"/>
      <c r="AA493" s="60"/>
      <c r="AB493" s="60"/>
      <c r="AC493" s="60"/>
      <c r="AD493" s="66"/>
      <c r="AE493" s="60"/>
      <c r="AF493" s="61" t="str">
        <f aca="false">IF(AND(ISNUMBER(X493),ISNUMBER(Y493)),Y493-X493,"")</f>
        <v/>
      </c>
      <c r="AG493" s="62" t="str">
        <f aca="false">IF(ISNUMBER(AD493),AD493-(IF(AND(INDEX(TZ_DSTS,MATCH(P493,TZ_STN,0))&lt;&gt;"",(AD493-INDEX(TZ_STD,MATCH(P493,TZ_STN,0))/24)&gt;=INDEX(TZ_DSTS,MATCH(P493,TZ_STN,0)),(AD493-INDEX(TZ_STD,MATCH(P493,TZ_STN,0))/24)&lt;INDEX(TZ_DSTE,MATCH(P493,TZ_STN,0))),INDEX(TZ_DST,MATCH(P493,TZ_STN,0)),INDEX(TZ_STD,MATCH(P493,TZ_STN,0))))/24,"")</f>
        <v/>
      </c>
      <c r="AH493" s="65" t="str">
        <f aca="false">IFERROR(IF(N493="N/A – rule",IF(OR(TRIM(U493)="",TRIM(U493)="N/A",TRIM(U493)="Not started"),"N/A – RULE","INVALID – this check does not apply to this aircraft: clear the status (or correct the fleet on Flights)"),IF(TRIM(U493)="N/A",IF(AT493=0,"INVALID – N/A not permitted for this check",IF(AND(TRIM(AB493)&lt;&gt;"",TRIM(AB493)&lt;&gt;"Closed"),"INVALID – corrective action still open",IF(AND(NOT(OR(LEN(AZ493)&lt;15,ISNUMBER(MATCH(AZ493,L_Placeholder,0)))),BK493=0,CG493&gt;=8,NOT(OR(LEN(AU493)&lt;2,ISNUMBER(MATCH(AU493,L_Placeholder,0)))),BR493&gt;=3,NOT(OR(LEN(AX493)&lt;2,ISNUMBER(MATCH(AX493,L_Placeholder,0)))),BS493&gt;=3,TRIM(AE493)&lt;&gt;TRIM(T493),AX493&lt;&gt;AU493,CE493=0),"N/A – JUSTIFIED","INVALID – N/A needs a real, settled reason (not 'not applicable' / 'as above' / TBC), a named PIC and a different named verifier"))),IF(OR(TRIM(U493)="Pass",TRIM(U493)="Pass after CA"),IF(NOT(ISNUMBER(AD493)),"INVALID – completion time missing",IF(OR(OR(LEN(AU493)&lt;2,ISNUMBER(MATCH(AU493,L_Placeholder,0))),BR493&lt;3),"INVALID – PIC missing or not a named person (a role such as QA / CSM is not a name)",IF(OR(LEN(AV493)&lt;2,ISNUMBER(MATCH(AV493,L_Placeholder,0))),"INVALID – result / assessment missing",IF(OR(OR(LEN(AW493)&lt;3,ISNUMBER(MATCH(AW493,L_Placeholder,0))),SUMPRODUCT(--ISNUMBER(SEARCH(" "&amp;L_EvidencePhrase&amp;" ",BD493)))&gt;0,BI493=1),"INVALID – evidence missing, placeholder or not yet on file",IF(ISNA(MATCH(TRIM(S493),L_EvidenceType,0)),"INVALID – choose the evidence type from the list (column S)",IF(BL493=0,"INVALID – evidence ID must be the record's own ID only (e.g. SF-2210, IMG_2231, 1045521); a link / file name needs type 'Link / file path'",IF(OR(OR(LEN(AX493)&lt;2,ISNUMBER(MATCH(AX493,L_Placeholder,0))),BS493&lt;3),"INVALID – verifier missing or not a named person (a role such as QA / CSM is not a name)",IF(OR(AX493=AU493,CE493=1,AND(LEN(AU493)&gt;=4,ISNUMBER(SEARCH(AU493,AX493))),AND(LEN(AX493)&gt;=4,ISNUMBER(SEARCH(AX493,AU493)))),"INVALID – verifier must be a different, named person (not the PIC or a role)",IF(BH493=1,"INVALID – result not yet available (awaiting / TBC)",IF(BG493=1,"INVALID – result describes a problem: record Fail, then Pass after CA (or reword if it is not a problem)",IF(BV493=1,"INVALID – wording says not on board: an on-board confirmation needs the item loaded",IF(AND(AQ493=1,OR(OR(LEN(AY493)&lt;3,ISNUMBER(MATCH(AY493,L_Placeholder,0))),BJ493=1,BQ493=0)),"INVALID – batch ID missing, placeholder or not an ID (e.g. PASB-261008-BC-017)",IF(AND(AR493=1,OR(NOT(ISNUMBER(X493)),NOT(ISNUMBER(Y493)))),"INVALID – expected/actual qty missing",IF(AND(AR493=1,OR(X493&lt;=0,Y493&lt;0)),"INVALID – expected qty must be above 0 and actual not negative",IF(BB493&lt;&gt;"",BB493,IF(AND(AS493=1,Documents!$J$19&lt;&gt;"ON FILE"),"INVALID – GLD not on file (Documents sheet)",IF(AND(AS493=2,Documents!$O$19&lt;&gt;"ON FILE"),"INVALID – menu checklist not on file (Documents sheet)",IF(AND(AS493=3,NOT(ISNUMBER(Flights!$AX$19))),"INVALID – enter carrying flight KUL departure (Flights AX)",IF(AND(AS493=3,OR(Flights!$AZ$19&gt;Flights!$AA$19,Flights!$AX$19&lt;Flights!$AA$19-3)),"INVALID – carrying flight (Flights AX) cannot arrive before this leg's STD, or is over 3 days early",IF(AG493&gt;AsOfUTC,"INVALID – completion time is in the future",IF(AND(ISNUMBER(BY493),AG493&lt;BY493),IF(H493="Physical uplift","INVALID – before uplift window (cannot confirm loading)","INVALID – before valid window"),IF(AG493&gt;Flights!$AA$19,"INVALID – completed after departure (cannot establish readiness)",IF(AND(H493="Preparation",AG493&gt;=IF(ISNUMBER(Flights!$BA$19),MIN(Flights!$BA$19,Flights!$AA$19),Flights!$AA$19)),"INVALID – completed after loading / departure (cannot establish readiness)",IF(AND(H493="Physical uplift",AG493&gt;Q493),"INVALID – recorded after the loading flight departed",IF(AG493&gt;Q493,"COMPLETE – LATE","COMPLETE"))))))))))))))))))))))))),IF(TRIM(U493)="Fail","FAIL – DISCREPANCY",IF(AND(TRIM(U493)&lt;&gt;"",TRIM(U493)&lt;&gt;"Not started",TRIM(U493)&lt;&gt;"In progress"),"INVALID – unrecognised status (use the list)",IF(AsOfUTC&gt;Q493,"OVERDUE",IF(N493="Clarification required","OPEN – CLARIFICATION","OPEN"))))))),"INVALID – error value in an input cell")</f>
        <v>OPEN</v>
      </c>
      <c r="AI493" s="61" t="n">
        <f aca="false">IF(OR(AH493="N/A – RULE",AH493="N/A – JUSTIFIED"),0,1)</f>
        <v>1</v>
      </c>
      <c r="AJ493" s="61" t="n">
        <f aca="false">IF(LEFT(AH493,8)="COMPLETE",1,0)</f>
        <v>0</v>
      </c>
      <c r="AK493" s="61" t="n">
        <f aca="false">IF(AND(AI493=1,AJ493=0,AsOfUTC&gt;Q493),1,0)</f>
        <v>0</v>
      </c>
      <c r="AL493" s="61" t="n">
        <f aca="false">IFERROR(IF(AND(AI493=1,OR(TRIM(U493)="Fail",AND(TRIM(AB493)&lt;&gt;"",TRIM(AB493)&lt;&gt;"Closed"),AND(ISNUMBER(AF493),AF493&lt;&gt;0,TRIM(U493)&lt;&gt;"Pass after CA"))),1,0),1)</f>
        <v>0</v>
      </c>
      <c r="AM493" s="61" t="n">
        <f aca="false">IF(LEFT(AH493,7)="INVALID",1,0)</f>
        <v>0</v>
      </c>
      <c r="AN493" s="61" t="n">
        <f aca="false">IF(AND(N493="Clarification required",AI493=1,AJ493=0),1,0)</f>
        <v>0</v>
      </c>
      <c r="AO493" s="61" t="str">
        <f aca="false">IF(AK493=1,SUM(AK$5:AK493),"")</f>
        <v/>
      </c>
      <c r="AP493" s="61" t="str">
        <f aca="false">IF(AL493=1,SUM(AL$5:AL493),"")</f>
        <v/>
      </c>
      <c r="AQ493" s="61" t="n">
        <v>0</v>
      </c>
      <c r="AR493" s="61" t="n">
        <v>0</v>
      </c>
      <c r="AS493" s="61" t="n">
        <v>0</v>
      </c>
      <c r="AT493" s="61" t="n">
        <v>0</v>
      </c>
      <c r="AU493" s="61" t="str">
        <f aca="false">SUBSTITUTE(SUBSTITUTE(SUBSTITUTE(SUBSTITUTE(SUBSTITUTE(SUBSTITUTE(SUBSTITUTE(SUBSTITUTE(SUBSTITUTE(SUBSTITUTE(SUBSTITUTE(SUBSTITUTE(SUBSTITUTE(SUBSTITUTE(SUBSTITUTE(SUBSTITUTE(LOWER(T493&amp;""),CHAR(10),""),CHAR(13),""),CHAR(9),""),CHAR(160),"")," ",""),".",""),"-",""),"/",""),"?",""),"_",""),",",""),"[",""),"]",""),"(",""),")",""),"*","")</f>
        <v/>
      </c>
      <c r="AV493" s="61" t="str">
        <f aca="false">SUBSTITUTE(SUBSTITUTE(SUBSTITUTE(SUBSTITUTE(SUBSTITUTE(SUBSTITUTE(SUBSTITUTE(SUBSTITUTE(SUBSTITUTE(SUBSTITUTE(SUBSTITUTE(SUBSTITUTE(SUBSTITUTE(SUBSTITUTE(SUBSTITUTE(SUBSTITUTE(LOWER(V493&amp;""),CHAR(10),""),CHAR(13),""),CHAR(9),""),CHAR(160),"")," ",""),".",""),"-",""),"/",""),"?",""),"_",""),",",""),"[",""),"]",""),"(",""),")",""),"*","")</f>
        <v/>
      </c>
      <c r="AW493" s="61" t="str">
        <f aca="false">SUBSTITUTE(SUBSTITUTE(SUBSTITUTE(SUBSTITUTE(SUBSTITUTE(SUBSTITUTE(SUBSTITUTE(SUBSTITUTE(SUBSTITUTE(SUBSTITUTE(SUBSTITUTE(SUBSTITUTE(SUBSTITUTE(SUBSTITUTE(SUBSTITUTE(SUBSTITUTE(LOWER(Z493&amp;""),CHAR(10),""),CHAR(13),""),CHAR(9),""),CHAR(160),"")," ",""),".",""),"-",""),"/",""),"?",""),"_",""),",",""),"[",""),"]",""),"(",""),")",""),"*","")</f>
        <v/>
      </c>
      <c r="AX493" s="61" t="str">
        <f aca="false">SUBSTITUTE(SUBSTITUTE(SUBSTITUTE(SUBSTITUTE(SUBSTITUTE(SUBSTITUTE(SUBSTITUTE(SUBSTITUTE(SUBSTITUTE(SUBSTITUTE(SUBSTITUTE(SUBSTITUTE(SUBSTITUTE(SUBSTITUTE(SUBSTITUTE(SUBSTITUTE(LOWER(AE493&amp;""),CHAR(10),""),CHAR(13),""),CHAR(9),""),CHAR(160),"")," ",""),".",""),"-",""),"/",""),"?",""),"_",""),",",""),"[",""),"]",""),"(",""),")",""),"*","")</f>
        <v/>
      </c>
      <c r="AY493" s="61" t="str">
        <f aca="false">SUBSTITUTE(SUBSTITUTE(SUBSTITUTE(SUBSTITUTE(SUBSTITUTE(SUBSTITUTE(SUBSTITUTE(SUBSTITUTE(SUBSTITUTE(SUBSTITUTE(SUBSTITUTE(SUBSTITUTE(SUBSTITUTE(SUBSTITUTE(SUBSTITUTE(SUBSTITUTE(LOWER(W493&amp;""),CHAR(10),""),CHAR(13),""),CHAR(9),""),CHAR(160),"")," ",""),".",""),"-",""),"/",""),"?",""),"_",""),",",""),"[",""),"]",""),"(",""),")",""),"*","")</f>
        <v/>
      </c>
      <c r="AZ493" s="61" t="str">
        <f aca="false">SUBSTITUTE(SUBSTITUTE(SUBSTITUTE(SUBSTITUTE(SUBSTITUTE(SUBSTITUTE(SUBSTITUTE(SUBSTITUTE(SUBSTITUTE(SUBSTITUTE(SUBSTITUTE(SUBSTITUTE(SUBSTITUTE(SUBSTITUTE(SUBSTITUTE(SUBSTITUTE(LOWER(AC493&amp;""),CHAR(10),""),CHAR(13),""),CHAR(9),""),CHAR(160),"")," ",""),".",""),"-",""),"/",""),"?",""),"_",""),",",""),"[",""),"]",""),"(",""),")",""),"*","")</f>
        <v/>
      </c>
      <c r="BA493" s="61" t="str">
        <f aca="false">SUBSTITUTE(SUBSTITUTE(SUBSTITUTE(SUBSTITUTE(SUBSTITUTE(SUBSTITUTE(SUBSTITUTE(SUBSTITUTE(SUBSTITUTE(SUBSTITUTE(SUBSTITUTE(SUBSTITUTE(SUBSTITUTE(SUBSTITUTE(SUBSTITUTE(SUBSTITUTE(LOWER(AA493&amp;""),CHAR(10),""),CHAR(13),""),CHAR(9),""),CHAR(160),"")," ",""),".",""),"-",""),"/",""),"?",""),"_",""),",",""),"[",""),"]",""),"(",""),")",""),"*","")</f>
        <v/>
      </c>
      <c r="BB493" s="61" t="str">
        <f aca="false">IF(AND(TRIM(U493)="Pass",ISNUMBER(AF493)),IF(AF493&lt;&gt;0,"INVALID – qty variance: use Fail or Pass after CA",""),"")&amp;IF(AND(TRIM(U493)="Pass after CA",ISNUMBER(AF493)),IF(AF493&lt;&gt;0,"INVALID – after the corrective action the actual qty must equal expected (update Actual)",""),"")&amp;IF(AND(TRIM(U493)="Pass",TRIM(AB493)&lt;&gt;"",TRIM(AB493)&lt;&gt;"Closed"),"INVALID – corrective action not closed: use Fail, then Pass after CA","")&amp;IF(AND(LEN(BA493)&gt;=2,ISNA(MATCH(LEFT(BA493,255),L_Placeholder,0)),TRIM(AB493)=""),"INVALID – CA status missing for the recorded corrective action","")&amp;IF(AND(TRIM(U493)="Pass after CA",OR(OR(LEN(BA493)&lt;5,ISNUMBER(MATCH(BA493,L_Placeholder,0))),TRIM(AB493)&lt;&gt;"Closed")),"INVALID – corrective action not recorded/closed","")</f>
        <v/>
      </c>
      <c r="BC493" s="61" t="str">
        <f aca="false">" "&amp;TRIM(SUBSTITUTE(SUBSTITUTE(SUBSTITUTE(SUBSTITUTE(SUBSTITUTE(SUBSTITUTE(SUBSTITUTE(SUBSTITUTE(SUBSTITUTE(SUBSTITUTE(SUBSTITUTE(SUBSTITUTE(SUBSTITUTE(SUBSTITUTE(SUBSTITUTE(SUBSTITUTE(SUBSTITUTE(SUBSTITUTE(SUBSTITUTE(SUBSTITUTE(SUBSTITUTE(SUBSTITUTE(SUBSTITUTE(SUBSTITUTE(LOWER(V493&amp;""),CHAR(10)," "),CHAR(13)," "),CHAR(9)," "),CHAR(160)," "),"."," "),","," "),"-"," "),"/"," "),"("," "),")"," "),":"," "),";"," "),"_"," "),"–"," "),"?"," "),"!"," "),"*"," "),"["," "),"]"," "),"'"," "),"#"," "),"+"," "),"&amp;"," "),"\"," "))&amp;" "</f>
        <v>  </v>
      </c>
      <c r="BD493" s="61" t="str">
        <f aca="false">" "&amp;TRIM(SUBSTITUTE(SUBSTITUTE(SUBSTITUTE(SUBSTITUTE(SUBSTITUTE(SUBSTITUTE(SUBSTITUTE(SUBSTITUTE(SUBSTITUTE(SUBSTITUTE(SUBSTITUTE(SUBSTITUTE(SUBSTITUTE(SUBSTITUTE(SUBSTITUTE(SUBSTITUTE(SUBSTITUTE(SUBSTITUTE(SUBSTITUTE(SUBSTITUTE(SUBSTITUTE(SUBSTITUTE(SUBSTITUTE(SUBSTITUTE(LOWER(Z493&amp;""),CHAR(10)," "),CHAR(13)," "),CHAR(9)," "),CHAR(160)," "),"."," "),","," "),"-"," "),"/"," "),"("," "),")"," "),":"," "),";"," "),"_"," "),"–"," "),"?"," "),"!"," "),"*"," "),"["," "),"]"," "),"'"," "),"#"," "),"+"," "),"&amp;"," "),"\"," "))&amp;" "</f>
        <v>  </v>
      </c>
      <c r="BE493" s="61" t="str">
        <f aca="false">" "&amp;TRIM(SUBSTITUTE(SUBSTITUTE(SUBSTITUTE(SUBSTITUTE(SUBSTITUTE(SUBSTITUTE(SUBSTITUTE(SUBSTITUTE(SUBSTITUTE(SUBSTITUTE(SUBSTITUTE(SUBSTITUTE(SUBSTITUTE(SUBSTITUTE(SUBSTITUTE(SUBSTITUTE(SUBSTITUTE(SUBSTITUTE(SUBSTITUTE(SUBSTITUTE(SUBSTITUTE(SUBSTITUTE(SUBSTITUTE(SUBSTITUTE(LOWER(W493&amp;""),CHAR(10)," "),CHAR(13)," "),CHAR(9)," "),CHAR(160)," "),"."," "),","," "),"-"," "),"/"," "),"("," "),")"," "),":"," "),";"," "),"_"," "),"–"," "),"?"," "),"!"," "),"*"," "),"["," "),"]"," "),"'"," "),"#"," "),"+"," "),"&amp;"," "),"\"," "))&amp;" "</f>
        <v>  </v>
      </c>
      <c r="BF493" s="61" t="str">
        <f aca="false">" "&amp;TRIM(SUBSTITUTE(SUBSTITUTE(SUBSTITUTE(SUBSTITUTE(SUBSTITUTE(SUBSTITUTE(SUBSTITUTE(SUBSTITUTE(SUBSTITUTE(SUBSTITUTE(SUBSTITUTE(SUBSTITUTE(SUBSTITUTE(SUBSTITUTE(SUBSTITUTE(SUBSTITUTE(SUBSTITUTE(SUBSTITUTE(SUBSTITUTE(SUBSTITUTE(SUBSTITUTE(SUBSTITUTE(SUBSTITUTE(SUBSTITUTE(LOWER(AC493&amp;""),CHAR(10)," "),CHAR(13)," "),CHAR(9)," "),CHAR(160)," "),"."," "),","," "),"-"," "),"/"," "),"("," "),")"," "),":"," "),";"," "),"_"," "),"–"," "),"?"," "),"!"," "),"*"," "),"["," "),"]"," "),"'"," "),"#"," "),"+"," "),"&amp;"," "),"\"," "))&amp;" "</f>
        <v>  </v>
      </c>
      <c r="BG493" s="61" t="n">
        <f aca="false">IFERROR(IF(AND(TRIM(U493)="Pass",SUMPRODUCT((LEN(BC493)-LEN(SUBSTITUTE(BC493," "&amp;L_ResultBad&amp;" "," ")))/(LEN(L_ResultBad)+1))&gt;SUMPRODUCT((LEN(BC493)-LEN(SUBSTITUTE(BC493," "&amp;L_NegPhrase&amp;" "," ")))/(LEN(L_NegPhrase)+1))),1,0),0)</f>
        <v>0</v>
      </c>
      <c r="BH493" s="61" t="n">
        <f aca="false">IFERROR(IF(SUMPRODUCT((LEN(BC493)-LEN(SUBSTITUTE(BC493," "&amp;L_Pending&amp;" "," ")))/(LEN(L_Pending)+1))&gt;SUMPRODUCT((LEN(BC493)-LEN(SUBSTITUTE(BC493," "&amp;L_PendNeg&amp;" "," ")))/(LEN(L_PendNeg)+1))+SUMPRODUCT((LEN(BC493)-LEN(SUBSTITUTE(BC493," "&amp;L_PendPrep&amp;" "," ")))/(LEN(L_PendPrep)+1)),1,0),1)</f>
        <v>0</v>
      </c>
      <c r="BI493" s="61" t="n">
        <f aca="false">IFERROR(IF(SUMPRODUCT((LEN(BD493)-LEN(SUBSTITUTE(BD493," "&amp;L_PendStrict&amp;" "," ")))/(LEN(L_PendStrict)+1))&gt;SUMPRODUCT((LEN(BD493)-LEN(SUBSTITUTE(BD493," "&amp;L_PendNeg&amp;" "," ")))/(LEN(L_PendNeg)+1)),1,0),1)</f>
        <v>0</v>
      </c>
      <c r="BJ493" s="61" t="n">
        <f aca="false">IFERROR(IF(SUMPRODUCT((LEN(BE493)-LEN(SUBSTITUTE(BE493," "&amp;L_Pending&amp;" "," ")))/(LEN(L_Pending)+1))&gt;SUMPRODUCT((LEN(BE493)-LEN(SUBSTITUTE(BE493," "&amp;L_PendNeg&amp;" "," ")))/(LEN(L_PendNeg)+1))+SUMPRODUCT((LEN(BE493)-LEN(SUBSTITUTE(BE493," "&amp;L_PendPrep&amp;" "," ")))/(LEN(L_PendPrep)+1)),1,0),1)</f>
        <v>0</v>
      </c>
      <c r="BK493" s="61" t="n">
        <f aca="false">IFERROR(IF(SUMPRODUCT((LEN(BF493)-LEN(SUBSTITUTE(BF493," "&amp;L_PendStrict&amp;" "," ")))/(LEN(L_PendStrict)+1))&gt;SUMPRODUCT((LEN(BF493)-LEN(SUBSTITUTE(BF493," "&amp;L_PendNeg&amp;" "," ")))/(LEN(L_PendNeg)+1)),1,0),1)</f>
        <v>0</v>
      </c>
      <c r="BL493" s="61" t="n">
        <f aca="false">IF(ISNA(MATCH(TRIM(S493),L_EvidenceType,0)),0,BZ493)</f>
        <v>0</v>
      </c>
      <c r="BM493" s="61" t="str">
        <f aca="false">SUBSTITUTE(SUBSTITUTE(SUBSTITUTE(SUBSTITUTE(SUBSTITUTE(SUBSTITUTE(SUBSTITUTE(SUBSTITUTE(SUBSTITUTE(LOWER(Z493&amp;""),"1","0"),"2","0"),"3","0"),"4","0"),"5","0"),"6","0"),"7","0"),"8","0"),"9","0")</f>
        <v/>
      </c>
      <c r="BN493" s="61" t="str">
        <f aca="false">SUBSTITUTE(SUBSTITUTE(SUBSTITUTE(SUBSTITUTE(SUBSTITUTE(SUBSTITUTE(SUBSTITUTE(SUBSTITUTE(SUBSTITUTE(SUBSTITUTE(SUBSTITUTE(SUBSTITUTE(SUBSTITUTE(SUBSTITUTE(SUBSTITUTE(SUBSTITUTE(SUBSTITUTE(SUBSTITUTE(SUBSTITUTE(SUBSTITUTE(SUBSTITUTE(SUBSTITUTE(SUBSTITUTE(SUBSTITUTE(SUBSTITUTE(BM493,"b","a"),"c","a"),"d","a"),"e","a"),"f","a"),"g","a"),"h","a"),"i","a"),"j","a"),"k","a"),"l","a"),"m","a"),"n","a"),"o","a"),"p","a"),"q","a"),"r","a"),"s","a"),"t","a"),"u","a"),"v","a"),"w","a"),"x","a"),"y","a"),"z","a")</f>
        <v/>
      </c>
      <c r="BO493" s="61" t="str">
        <f aca="false">SUBSTITUTE(SUBSTITUTE(SUBSTITUTE(SUBSTITUTE(SUBSTITUTE(SUBSTITUTE(SUBSTITUTE(SUBSTITUTE(SUBSTITUTE(LOWER(W493&amp;""),"1","0"),"2","0"),"3","0"),"4","0"),"5","0"),"6","0"),"7","0"),"8","0"),"9","0")</f>
        <v/>
      </c>
      <c r="BP493" s="61" t="str">
        <f aca="false">SUBSTITUTE(SUBSTITUTE(SUBSTITUTE(SUBSTITUTE(SUBSTITUTE(SUBSTITUTE(SUBSTITUTE(SUBSTITUTE(SUBSTITUTE(SUBSTITUTE(SUBSTITUTE(SUBSTITUTE(SUBSTITUTE(SUBSTITUTE(SUBSTITUTE(SUBSTITUTE(SUBSTITUTE(SUBSTITUTE(SUBSTITUTE(SUBSTITUTE(SUBSTITUTE(SUBSTITUTE(SUBSTITUTE(SUBSTITUTE(SUBSTITUTE(BO493,"b","a"),"c","a"),"d","a"),"e","a"),"f","a"),"g","a"),"h","a"),"i","a"),"j","a"),"k","a"),"l","a"),"m","a"),"n","a"),"o","a"),"p","a"),"q","a"),"r","a"),"s","a"),"t","a"),"u","a"),"v","a"),"w","a"),"x","a"),"y","a"),"z","a")</f>
        <v/>
      </c>
      <c r="BQ493" s="61" t="n">
        <f aca="false">IFERROR(IF(AND(ISERROR(SEARCH(" mh"," "&amp;LOWER(W493))),ISNA(MATCH(LEFT(TRIM(BP493),255),{"0000a","000a","00a","0000aa","000aa","00aa","0aa","0000aaa","000aaa","00a00","0a00","0000-0000","00:00","a00","a0","00.00.0000","00/00/0000","00-00-0000","0000-00-00","0000/00/00","0000.00.00","00.00.00","00/00/00","00-00-00","0.00.0000","0/00/0000","0-00-0000"},0)),ISNA(MATCH(LEFT(TRIM(CA493),255),{"0000a","000a","00a","0000aa","000aa","00aa","0aa","0000aaa","000aaa","00a00","0a00","0000-0000","00:00","a00","a0","00.00.0000","00/00/0000","00-00-0000","0000-00-00","0000/00/00","0000.00.00","00.00.00","00/00/00","00-00-00","0.00.0000","0/00/0000","0-00-0000"},0)),LEN(CB493)&gt;=3,NOT(OR(SUBSTITUTE(CB493,"0","")="",AND(LEN(CB493)&gt;=4,CB493=REPT(LEFT(CB493),LEN(CB493))),ISNUMBER(MATCH(CB493,{"123","1234","12345","123456","1234567","12345678","0123","01234","012345","98765","987654","54321"},0)),AND(LEN(CB493)=8,LEFT(CB493,3)="202"))),OR(AND((LEN(CA493)-LEN(SUBSTITUTE(CA493,"a","")))&gt;=1,SUMPRODUCT(--ISNUMBER(SEARCH({"a0","a-0","a_0","a/0","a.0","a#0","0a","0-a","0_a","0/a"},BP493)))&gt;0),ISNUMBER(SEARCH("000000",BP493)))),1,0),0)</f>
        <v>0</v>
      </c>
      <c r="BR493" s="61" t="n">
        <f aca="false">IFERROR(LEN(SUBSTITUTE(CC493," ",""))-SUMPRODUCT((LEN(CC493)-LEN(SUBSTITUTE(CC493," "&amp;L_Role&amp;" "," ")))/(LEN(L_Role)+1)*LEN(L_Role)),0)</f>
        <v>0</v>
      </c>
      <c r="BS493" s="61" t="n">
        <f aca="false">IFERROR(LEN(SUBSTITUTE(CD493," ",""))-SUMPRODUCT((LEN(CD493)-LEN(SUBSTITUTE(CD493," "&amp;L_Role&amp;" "," ")))/(LEN(L_Role)+1)*LEN(L_Role)),0)</f>
        <v>0</v>
      </c>
      <c r="BT4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493,"revision",""),"version",""),"jan",""),"feb",""),"mar",""),"apr",""),"may",""),"jun",""),"jul",""),"aug",""),"sep",""),"oct",""),"nov",""),"dec",""),"utc",""),"gmt",""),"myt",""),"bst",""),"rev",""),"ver",""),"b","a"),"c","a"),"d","a"),"e","a"),"f","a"),"g","a"),"h","a"),"i","a"),"j","a"),"k","a"),"l","a"),"m","a"),"n","a"),"o","a"),"p","a"),"q","a"),"r","a"),"s","a"),"t","a"),"u","a"),"v","a"),"w","a"),"x","a"),"y","a"),"z","a")</f>
        <v/>
      </c>
      <c r="BU493" s="61" t="str">
        <f aca="false">SUBSTITUTE(SUBSTITUTE(SUBSTITUTE(SUBSTITUTE(SUBSTITUTE(SUBSTITUTE(SUBSTITUTE(SUBSTITUTE(SUBSTITUTE(SUBSTITUTE(LEFT(BM493,FIND("0",BM493&amp;"0")-1),"-",""),"_",""),"/",""),".",""),"#",""),"\\",""),":","")," ",""),"(",""),")","")</f>
        <v/>
      </c>
      <c r="BV493" s="61" t="n">
        <f aca="false">0</f>
        <v>0</v>
      </c>
      <c r="BW4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493&amp;""),"a",""),"b",""),"c",""),"d",""),"e",""),"f",""),"g",""),"h",""),"i",""),"j",""),"k",""),"l",""),"m",""),"n",""),"o",""),"p",""),"q",""),"r",""),"s",""),"t",""),"u",""),"v",""),"w",""),"x",""),"y",""),"z",""),"-",""),"_",""),"/",""),".",""),"#",""),"\\",""),":","")," ",""),"(",""),")","")</f>
        <v/>
      </c>
      <c r="BX493" s="61" t="str">
        <f aca="false">SUBSTITUTE(SUBSTITUTE(SUBSTITUTE(SUBSTITUTE(SUBSTITUTE(SUBSTITUTE(SUBSTITUTE(SUBSTITUTE(SUBSTITUTE(SUBSTITUTE(SUBSTITUTE(BM493,"0",""),"-",""),"_",""),"/",""),".",""),"#",""),"\\",""),":","")," ",""),"(",""),")","")</f>
        <v/>
      </c>
      <c r="BY493" s="62" t="n">
        <f aca="false">Q493-T12EarlyH/24</f>
        <v>46319.4583333333</v>
      </c>
      <c r="BZ493" s="61" t="n">
        <f aca="false">IFERROR(IF(IF(TRIM(S493)="Link / file path",AND(LEN(TRIM(Z493))&gt;=5,SUMPRODUCT(--ISNUMBER(SEARCH({"http","www.","\\",":\",".pdf",".jpg",".jpeg",".png",".heic",".xls",".doc",".msg",".eml",".ppt",".txt",".zip"},Z493)))&gt;0),AND(ISERROR(FIND(" ",TRIM(Z493))),NOT(OR(SUMPRODUCT(--ISNUMBER(FIND({",",";","&amp;","+"},Z493)))&gt;0,SUMPRODUCT(--ISNUMBER(SEARCH({"0/aa","0\\aa"},BN493)))&gt;0)),NOT(SUMPRODUCT(--ISNUMBER(SEARCH({"http","www.","\\",":\",".pdf",".jpg",".jpeg",".png",".heic",".xls",".doc",".msg",".eml",".ppt",".txt",".zip"},Z493)))&gt;0),NOT(LOWER(TRIM(Z493))=LOWER(Flights!$F$19)),ISNA(MATCH(BU493,{"mh","rev","revision","ver","version","v","r","a","b","seat","tray","row","gate","bay","stand","page","pg","item","line","no","cart","galley","flight","flt","table","box","bag","oven","etd","eta","std","sta","atd","ata","qty","pax","x","time","tel","ph","mob","day","wk","week","utc","gmt","myt","lt"},0)),NOT(OR(ISNUMBER(MATCH(LEFT(BN493,255),{"0000a","000a","00a","0000aa","000aa","00aa","0aa","0000aaa","000aaa","00a00","0a00","0000-0000","00:00","a00","a0","00.00.0000","00/00/0000","00-00-0000","0000-00-00","0000/00/00","0000.00.00","00.00.00","00/00/00","00-00-00","0.00.0000","0/00/0000","0-00-0000"},0)),ISNUMBER(MATCH(LEFT(BT493,255),{"0000a","000a","00a","0000aa","000aa","00aa","0aa","0000aaa","000aaa","00a00","0a00","0000-0000","00:00","a00","a0","00.00.0000","00/00/0000","00-00-0000","0000-00-00","0000/00/00","0000.00.00","00.00.00","00/00/00","00-00-00","0.00.0000","0/00/0000","0-00-0000"},0)))),NOT(OR(AND(BW493&lt;&gt;"",SUBSTITUTE(BW493,"0","")=""),AND(LEN(BW493)&gt;=4,BW493=REPT(LEFT(BW493),LEN(BW493))),ISNUMBER(MATCH(BW493,{"123","1234","12345","123456","1234567","12345678","0123","01234","012345","98765","987654","54321"},0)),ISNUMBER(MATCH(BX493,{"x","xx","xxx","xxxx","xxxxx","abc","abcd","nil","na","nan","test","tbc","tba","tbd","dummy","sample","example","eg","zz","zzz","none","null","xyz","qwe","asd","id","ref"},0)),AND(LEN(BW493)=8,BX493="",OR(LEFT(BW493,3)="202",ISNUMBER(MATCH(RIGHT(BW493,4),{"2025","2026","2027"},0)))))),OR(AND((LEN(BT493)-LEN(SUBSTITUTE(BT493,"a","")))&gt;=1,(LEN(BN493)-LEN(SUBSTITUTE(BN493,"0","")))&gt;=2,SUMPRODUCT(--ISNUMBER(SEARCH({"a0","a-0","a_0","a/0","a.0","a#0","0a","0-a","0_a","0/a"},BN493)))&gt;0),AND((LEN(BN493)-LEN(SUBSTITUTE(BN493,"a","")))=0,(LEN(BN493)-LEN(SUBSTITUTE(BN493,"0","")))&gt;=5)))),1,0),0)</f>
        <v>0</v>
      </c>
      <c r="CA4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493,"revision",""),"version",""),"jan",""),"feb",""),"mar",""),"apr",""),"may",""),"jun",""),"jul",""),"aug",""),"sep",""),"oct",""),"nov",""),"dec",""),"utc",""),"gmt",""),"myt",""),"bst",""),"rev",""),"ver",""),"b","a"),"c","a"),"d","a"),"e","a"),"f","a"),"g","a"),"h","a"),"i","a"),"j","a"),"k","a"),"l","a"),"m","a"),"n","a"),"o","a"),"p","a"),"q","a"),"r","a"),"s","a"),"t","a"),"u","a"),"v","a"),"w","a"),"x","a"),"y","a"),"z","a")</f>
        <v/>
      </c>
      <c r="CB4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493&amp;""),"a",""),"b",""),"c",""),"d",""),"e",""),"f",""),"g",""),"h",""),"i",""),"j",""),"k",""),"l",""),"m",""),"n",""),"o",""),"p",""),"q",""),"r",""),"s",""),"t",""),"u",""),"v",""),"w",""),"x",""),"y",""),"z",""),"-",""),"_",""),"/",""),".",""),"#",""),"\\",""),":","")," ",""),"(",""),")","")</f>
        <v/>
      </c>
      <c r="CC493" s="0" t="str">
        <f aca="false">" "&amp;TRIM(SUBSTITUTE(SUBSTITUTE(SUBSTITUTE(SUBSTITUTE(SUBSTITUTE(SUBSTITUTE(SUBSTITUTE(SUBSTITUTE(SUBSTITUTE(SUBSTITUTE(SUBSTITUTE(SUBSTITUTE(SUBSTITUTE(SUBSTITUTE(SUBSTITUTE(SUBSTITUTE(SUBSTITUTE(SUBSTITUTE(SUBSTITUTE(SUBSTITUTE(SUBSTITUTE(SUBSTITUTE(SUBSTITUTE(SUBSTITUTE(LOWER(T493&amp;""),CHAR(10)," "),CHAR(13)," "),CHAR(9)," "),CHAR(160)," "),"."," "),","," "),"-"," "),"/"," "),"("," "),")"," "),":"," "),";"," "),"_"," "),"–"," "),"?"," "),"!"," "),"*"," "),"["," "),"]"," "),"'"," "),"#"," "),"+"," "),"&amp;"," "),"\"," "))&amp;" "</f>
        <v>  </v>
      </c>
      <c r="CD493" s="0" t="str">
        <f aca="false">" "&amp;TRIM(SUBSTITUTE(SUBSTITUTE(SUBSTITUTE(SUBSTITUTE(SUBSTITUTE(SUBSTITUTE(SUBSTITUTE(SUBSTITUTE(SUBSTITUTE(SUBSTITUTE(SUBSTITUTE(SUBSTITUTE(SUBSTITUTE(SUBSTITUTE(SUBSTITUTE(SUBSTITUTE(SUBSTITUTE(SUBSTITUTE(SUBSTITUTE(SUBSTITUTE(SUBSTITUTE(SUBSTITUTE(SUBSTITUTE(SUBSTITUTE(LOWER(AE493&amp;""),CHAR(10)," "),CHAR(13)," "),CHAR(9)," "),CHAR(160)," "),"."," "),","," "),"-"," "),"/"," "),"("," "),")"," "),":"," "),";"," "),"_"," "),"–"," "),"?"," "),"!"," "),"*"," "),"["," "),"]"," "),"'"," "),"#"," "),"+"," "),"&amp;"," "),"\"," "))&amp;" "</f>
        <v>  </v>
      </c>
      <c r="CE493" s="68" t="n">
        <f aca="false">IFERROR(IF(AND(LEN(AU493)&gt;0,LEN(AU493)=LEN(AX493),OR(TRIM(MID(SUBSTITUTE(TRIM(CC493)," ",REPT(" ",60)),1,60))="",ISNUMBER(SEARCH(" "&amp;TRIM(MID(SUBSTITUTE(TRIM(CC493)," ",REPT(" ",60)),1,60))&amp;" ",CD493))),OR(TRIM(MID(SUBSTITUTE(TRIM(CC493)," ",REPT(" ",60)),61,60))="",ISNUMBER(SEARCH(" "&amp;TRIM(MID(SUBSTITUTE(TRIM(CC493)," ",REPT(" ",60)),61,60))&amp;" ",CD493))),OR(TRIM(MID(SUBSTITUTE(TRIM(CC493)," ",REPT(" ",60)),121,60))="",ISNUMBER(SEARCH(" "&amp;TRIM(MID(SUBSTITUTE(TRIM(CC493)," ",REPT(" ",60)),121,60))&amp;" ",CD493)))),1,0),0)</f>
        <v>0</v>
      </c>
      <c r="CG493" s="68" t="n">
        <f aca="false">IFERROR(LEN(SUBSTITUTE(BF493," ",""))-SUMPRODUCT((LEN(BF493)-LEN(SUBSTITUTE(BF493," "&amp;L_NAFiller&amp;" "," ")))/(LEN(L_NAFiller)+1)*LEN(L_NAFiller)),0)</f>
        <v>0</v>
      </c>
    </row>
    <row r="494" customFormat="false" ht="39.75" hidden="false" customHeight="true" outlineLevel="0" collapsed="false">
      <c r="A494" s="57" t="s">
        <v>1147</v>
      </c>
      <c r="B494" s="57" t="s">
        <v>278</v>
      </c>
      <c r="C494" s="57" t="str">
        <f aca="false">Flights!$F$19</f>
        <v>MH0003</v>
      </c>
      <c r="D494" s="58" t="n">
        <f aca="false">Flights!$D$19</f>
        <v>46320</v>
      </c>
      <c r="E494" s="57" t="str">
        <f aca="false">Flights!$G$19&amp;"-"&amp;Flights!$H$19</f>
        <v>LHR-KUL</v>
      </c>
      <c r="F494" s="57" t="str">
        <f aca="false">Flights!$K$19</f>
        <v>EY</v>
      </c>
      <c r="G494" s="57" t="s">
        <v>420</v>
      </c>
      <c r="H494" s="57" t="s">
        <v>378</v>
      </c>
      <c r="I494" s="57" t="s">
        <v>428</v>
      </c>
      <c r="J494" s="57" t="s">
        <v>431</v>
      </c>
      <c r="K494" s="67"/>
      <c r="L494" s="67" t="s">
        <v>422</v>
      </c>
      <c r="M494" s="67"/>
      <c r="N494" s="67" t="s">
        <v>383</v>
      </c>
      <c r="O494" s="67" t="s">
        <v>423</v>
      </c>
      <c r="P494" s="57" t="s">
        <v>186</v>
      </c>
      <c r="Q494" s="59" t="n">
        <f aca="false">ROUND((Flights!$AE$19)*1440,0)/1440</f>
        <v>46319.9583333333</v>
      </c>
      <c r="R494" s="59" t="n">
        <f aca="false">Q494+(IF(AND(INDEX(TZ_DSTS,MATCH(P494,TZ_STN,0))&lt;&gt;"",Q494&gt;=INDEX(TZ_DSTS,MATCH(P494,TZ_STN,0)),Q494&lt;INDEX(TZ_DSTE,MATCH(P494,TZ_STN,0))),INDEX(TZ_DST,MATCH(P494,TZ_STN,0)),INDEX(TZ_STD,MATCH(P494,TZ_STN,0))))/24</f>
        <v>46320</v>
      </c>
      <c r="S494" s="60"/>
      <c r="T494" s="60"/>
      <c r="U494" s="60"/>
      <c r="V494" s="60"/>
      <c r="W494" s="61"/>
      <c r="X494" s="60"/>
      <c r="Y494" s="60"/>
      <c r="Z494" s="60"/>
      <c r="AA494" s="60"/>
      <c r="AB494" s="60"/>
      <c r="AC494" s="60"/>
      <c r="AD494" s="66"/>
      <c r="AE494" s="60"/>
      <c r="AF494" s="61" t="str">
        <f aca="false">IF(AND(ISNUMBER(X494),ISNUMBER(Y494)),Y494-X494,"")</f>
        <v/>
      </c>
      <c r="AG494" s="62" t="str">
        <f aca="false">IF(ISNUMBER(AD494),AD494-(IF(AND(INDEX(TZ_DSTS,MATCH(P494,TZ_STN,0))&lt;&gt;"",(AD494-INDEX(TZ_STD,MATCH(P494,TZ_STN,0))/24)&gt;=INDEX(TZ_DSTS,MATCH(P494,TZ_STN,0)),(AD494-INDEX(TZ_STD,MATCH(P494,TZ_STN,0))/24)&lt;INDEX(TZ_DSTE,MATCH(P494,TZ_STN,0))),INDEX(TZ_DST,MATCH(P494,TZ_STN,0)),INDEX(TZ_STD,MATCH(P494,TZ_STN,0))))/24,"")</f>
        <v/>
      </c>
      <c r="AH494" s="65" t="str">
        <f aca="false">IFERROR(IF(N494="N/A – rule",IF(OR(TRIM(U494)="",TRIM(U494)="N/A",TRIM(U494)="Not started"),"N/A – RULE","INVALID – this check does not apply to this aircraft: clear the status (or correct the fleet on Flights)"),IF(TRIM(U494)="N/A",IF(AT494=0,"INVALID – N/A not permitted for this check",IF(AND(TRIM(AB494)&lt;&gt;"",TRIM(AB494)&lt;&gt;"Closed"),"INVALID – corrective action still open",IF(AND(NOT(OR(LEN(AZ494)&lt;15,ISNUMBER(MATCH(AZ494,L_Placeholder,0)))),BK494=0,CG494&gt;=8,NOT(OR(LEN(AU494)&lt;2,ISNUMBER(MATCH(AU494,L_Placeholder,0)))),BR494&gt;=3,NOT(OR(LEN(AX494)&lt;2,ISNUMBER(MATCH(AX494,L_Placeholder,0)))),BS494&gt;=3,TRIM(AE494)&lt;&gt;TRIM(T494),AX494&lt;&gt;AU494,CE494=0),"N/A – JUSTIFIED","INVALID – N/A needs a real, settled reason (not 'not applicable' / 'as above' / TBC), a named PIC and a different named verifier"))),IF(OR(TRIM(U494)="Pass",TRIM(U494)="Pass after CA"),IF(NOT(ISNUMBER(AD494)),"INVALID – completion time missing",IF(OR(OR(LEN(AU494)&lt;2,ISNUMBER(MATCH(AU494,L_Placeholder,0))),BR494&lt;3),"INVALID – PIC missing or not a named person (a role such as QA / CSM is not a name)",IF(OR(LEN(AV494)&lt;2,ISNUMBER(MATCH(AV494,L_Placeholder,0))),"INVALID – result / assessment missing",IF(OR(OR(LEN(AW494)&lt;3,ISNUMBER(MATCH(AW494,L_Placeholder,0))),SUMPRODUCT(--ISNUMBER(SEARCH(" "&amp;L_EvidencePhrase&amp;" ",BD494)))&gt;0,BI494=1),"INVALID – evidence missing, placeholder or not yet on file",IF(ISNA(MATCH(TRIM(S494),L_EvidenceType,0)),"INVALID – choose the evidence type from the list (column S)",IF(BL494=0,"INVALID – evidence ID must be the record's own ID only (e.g. SF-2210, IMG_2231, 1045521); a link / file name needs type 'Link / file path'",IF(OR(OR(LEN(AX494)&lt;2,ISNUMBER(MATCH(AX494,L_Placeholder,0))),BS494&lt;3),"INVALID – verifier missing or not a named person (a role such as QA / CSM is not a name)",IF(OR(AX494=AU494,CE494=1,AND(LEN(AU494)&gt;=4,ISNUMBER(SEARCH(AU494,AX494))),AND(LEN(AX494)&gt;=4,ISNUMBER(SEARCH(AX494,AU494)))),"INVALID – verifier must be a different, named person (not the PIC or a role)",IF(BH494=1,"INVALID – result not yet available (awaiting / TBC)",IF(BG494=1,"INVALID – result describes a problem: record Fail, then Pass after CA (or reword if it is not a problem)",IF(BV494=1,"INVALID – wording says not on board: an on-board confirmation needs the item loaded",IF(AND(AQ494=1,OR(OR(LEN(AY494)&lt;3,ISNUMBER(MATCH(AY494,L_Placeholder,0))),BJ494=1,BQ494=0)),"INVALID – batch ID missing, placeholder or not an ID (e.g. PASB-261008-BC-017)",IF(AND(AR494=1,OR(NOT(ISNUMBER(X494)),NOT(ISNUMBER(Y494)))),"INVALID – expected/actual qty missing",IF(AND(AR494=1,OR(X494&lt;=0,Y494&lt;0)),"INVALID – expected qty must be above 0 and actual not negative",IF(BB494&lt;&gt;"",BB494,IF(AND(AS494=1,Documents!$J$19&lt;&gt;"ON FILE"),"INVALID – GLD not on file (Documents sheet)",IF(AND(AS494=2,Documents!$O$19&lt;&gt;"ON FILE"),"INVALID – menu checklist not on file (Documents sheet)",IF(AND(AS494=3,NOT(ISNUMBER(Flights!$AX$19))),"INVALID – enter carrying flight KUL departure (Flights AX)",IF(AND(AS494=3,OR(Flights!$AZ$19&gt;Flights!$AA$19,Flights!$AX$19&lt;Flights!$AA$19-3)),"INVALID – carrying flight (Flights AX) cannot arrive before this leg's STD, or is over 3 days early",IF(AG494&gt;AsOfUTC,"INVALID – completion time is in the future",IF(AND(ISNUMBER(BY494),AG494&lt;BY494),IF(H494="Physical uplift","INVALID – before uplift window (cannot confirm loading)","INVALID – before valid window"),IF(AG494&gt;Flights!$AA$19,"INVALID – completed after departure (cannot establish readiness)",IF(AND(H494="Preparation",AG494&gt;=IF(ISNUMBER(Flights!$BA$19),MIN(Flights!$BA$19,Flights!$AA$19),Flights!$AA$19)),"INVALID – completed after loading / departure (cannot establish readiness)",IF(AND(H494="Physical uplift",AG494&gt;Q494),"INVALID – recorded after the loading flight departed",IF(AG494&gt;Q494,"COMPLETE – LATE","COMPLETE"))))))))))))))))))))))))),IF(TRIM(U494)="Fail","FAIL – DISCREPANCY",IF(AND(TRIM(U494)&lt;&gt;"",TRIM(U494)&lt;&gt;"Not started",TRIM(U494)&lt;&gt;"In progress"),"INVALID – unrecognised status (use the list)",IF(AsOfUTC&gt;Q494,"OVERDUE",IF(N494="Clarification required","OPEN – CLARIFICATION","OPEN"))))))),"INVALID – error value in an input cell")</f>
        <v>OPEN</v>
      </c>
      <c r="AI494" s="61" t="n">
        <f aca="false">IF(OR(AH494="N/A – RULE",AH494="N/A – JUSTIFIED"),0,1)</f>
        <v>1</v>
      </c>
      <c r="AJ494" s="61" t="n">
        <f aca="false">IF(LEFT(AH494,8)="COMPLETE",1,0)</f>
        <v>0</v>
      </c>
      <c r="AK494" s="61" t="n">
        <f aca="false">IF(AND(AI494=1,AJ494=0,AsOfUTC&gt;Q494),1,0)</f>
        <v>0</v>
      </c>
      <c r="AL494" s="61" t="n">
        <f aca="false">IFERROR(IF(AND(AI494=1,OR(TRIM(U494)="Fail",AND(TRIM(AB494)&lt;&gt;"",TRIM(AB494)&lt;&gt;"Closed"),AND(ISNUMBER(AF494),AF494&lt;&gt;0,TRIM(U494)&lt;&gt;"Pass after CA"))),1,0),1)</f>
        <v>0</v>
      </c>
      <c r="AM494" s="61" t="n">
        <f aca="false">IF(LEFT(AH494,7)="INVALID",1,0)</f>
        <v>0</v>
      </c>
      <c r="AN494" s="61" t="n">
        <f aca="false">IF(AND(N494="Clarification required",AI494=1,AJ494=0),1,0)</f>
        <v>0</v>
      </c>
      <c r="AO494" s="61" t="str">
        <f aca="false">IF(AK494=1,SUM(AK$5:AK494),"")</f>
        <v/>
      </c>
      <c r="AP494" s="61" t="str">
        <f aca="false">IF(AL494=1,SUM(AL$5:AL494),"")</f>
        <v/>
      </c>
      <c r="AQ494" s="61" t="n">
        <v>0</v>
      </c>
      <c r="AR494" s="61" t="n">
        <v>0</v>
      </c>
      <c r="AS494" s="61" t="n">
        <v>0</v>
      </c>
      <c r="AT494" s="61" t="n">
        <v>0</v>
      </c>
      <c r="AU494" s="61" t="str">
        <f aca="false">SUBSTITUTE(SUBSTITUTE(SUBSTITUTE(SUBSTITUTE(SUBSTITUTE(SUBSTITUTE(SUBSTITUTE(SUBSTITUTE(SUBSTITUTE(SUBSTITUTE(SUBSTITUTE(SUBSTITUTE(SUBSTITUTE(SUBSTITUTE(SUBSTITUTE(SUBSTITUTE(LOWER(T494&amp;""),CHAR(10),""),CHAR(13),""),CHAR(9),""),CHAR(160),"")," ",""),".",""),"-",""),"/",""),"?",""),"_",""),",",""),"[",""),"]",""),"(",""),")",""),"*","")</f>
        <v/>
      </c>
      <c r="AV494" s="61" t="str">
        <f aca="false">SUBSTITUTE(SUBSTITUTE(SUBSTITUTE(SUBSTITUTE(SUBSTITUTE(SUBSTITUTE(SUBSTITUTE(SUBSTITUTE(SUBSTITUTE(SUBSTITUTE(SUBSTITUTE(SUBSTITUTE(SUBSTITUTE(SUBSTITUTE(SUBSTITUTE(SUBSTITUTE(LOWER(V494&amp;""),CHAR(10),""),CHAR(13),""),CHAR(9),""),CHAR(160),"")," ",""),".",""),"-",""),"/",""),"?",""),"_",""),",",""),"[",""),"]",""),"(",""),")",""),"*","")</f>
        <v/>
      </c>
      <c r="AW494" s="61" t="str">
        <f aca="false">SUBSTITUTE(SUBSTITUTE(SUBSTITUTE(SUBSTITUTE(SUBSTITUTE(SUBSTITUTE(SUBSTITUTE(SUBSTITUTE(SUBSTITUTE(SUBSTITUTE(SUBSTITUTE(SUBSTITUTE(SUBSTITUTE(SUBSTITUTE(SUBSTITUTE(SUBSTITUTE(LOWER(Z494&amp;""),CHAR(10),""),CHAR(13),""),CHAR(9),""),CHAR(160),"")," ",""),".",""),"-",""),"/",""),"?",""),"_",""),",",""),"[",""),"]",""),"(",""),")",""),"*","")</f>
        <v/>
      </c>
      <c r="AX494" s="61" t="str">
        <f aca="false">SUBSTITUTE(SUBSTITUTE(SUBSTITUTE(SUBSTITUTE(SUBSTITUTE(SUBSTITUTE(SUBSTITUTE(SUBSTITUTE(SUBSTITUTE(SUBSTITUTE(SUBSTITUTE(SUBSTITUTE(SUBSTITUTE(SUBSTITUTE(SUBSTITUTE(SUBSTITUTE(LOWER(AE494&amp;""),CHAR(10),""),CHAR(13),""),CHAR(9),""),CHAR(160),"")," ",""),".",""),"-",""),"/",""),"?",""),"_",""),",",""),"[",""),"]",""),"(",""),")",""),"*","")</f>
        <v/>
      </c>
      <c r="AY494" s="61" t="str">
        <f aca="false">SUBSTITUTE(SUBSTITUTE(SUBSTITUTE(SUBSTITUTE(SUBSTITUTE(SUBSTITUTE(SUBSTITUTE(SUBSTITUTE(SUBSTITUTE(SUBSTITUTE(SUBSTITUTE(SUBSTITUTE(SUBSTITUTE(SUBSTITUTE(SUBSTITUTE(SUBSTITUTE(LOWER(W494&amp;""),CHAR(10),""),CHAR(13),""),CHAR(9),""),CHAR(160),"")," ",""),".",""),"-",""),"/",""),"?",""),"_",""),",",""),"[",""),"]",""),"(",""),")",""),"*","")</f>
        <v/>
      </c>
      <c r="AZ494" s="61" t="str">
        <f aca="false">SUBSTITUTE(SUBSTITUTE(SUBSTITUTE(SUBSTITUTE(SUBSTITUTE(SUBSTITUTE(SUBSTITUTE(SUBSTITUTE(SUBSTITUTE(SUBSTITUTE(SUBSTITUTE(SUBSTITUTE(SUBSTITUTE(SUBSTITUTE(SUBSTITUTE(SUBSTITUTE(LOWER(AC494&amp;""),CHAR(10),""),CHAR(13),""),CHAR(9),""),CHAR(160),"")," ",""),".",""),"-",""),"/",""),"?",""),"_",""),",",""),"[",""),"]",""),"(",""),")",""),"*","")</f>
        <v/>
      </c>
      <c r="BA494" s="61" t="str">
        <f aca="false">SUBSTITUTE(SUBSTITUTE(SUBSTITUTE(SUBSTITUTE(SUBSTITUTE(SUBSTITUTE(SUBSTITUTE(SUBSTITUTE(SUBSTITUTE(SUBSTITUTE(SUBSTITUTE(SUBSTITUTE(SUBSTITUTE(SUBSTITUTE(SUBSTITUTE(SUBSTITUTE(LOWER(AA494&amp;""),CHAR(10),""),CHAR(13),""),CHAR(9),""),CHAR(160),"")," ",""),".",""),"-",""),"/",""),"?",""),"_",""),",",""),"[",""),"]",""),"(",""),")",""),"*","")</f>
        <v/>
      </c>
      <c r="BB494" s="61" t="str">
        <f aca="false">IF(AND(TRIM(U494)="Pass",ISNUMBER(AF494)),IF(AF494&lt;&gt;0,"INVALID – qty variance: use Fail or Pass after CA",""),"")&amp;IF(AND(TRIM(U494)="Pass after CA",ISNUMBER(AF494)),IF(AF494&lt;&gt;0,"INVALID – after the corrective action the actual qty must equal expected (update Actual)",""),"")&amp;IF(AND(TRIM(U494)="Pass",TRIM(AB494)&lt;&gt;"",TRIM(AB494)&lt;&gt;"Closed"),"INVALID – corrective action not closed: use Fail, then Pass after CA","")&amp;IF(AND(LEN(BA494)&gt;=2,ISNA(MATCH(LEFT(BA494,255),L_Placeholder,0)),TRIM(AB494)=""),"INVALID – CA status missing for the recorded corrective action","")&amp;IF(AND(TRIM(U494)="Pass after CA",OR(OR(LEN(BA494)&lt;5,ISNUMBER(MATCH(BA494,L_Placeholder,0))),TRIM(AB494)&lt;&gt;"Closed")),"INVALID – corrective action not recorded/closed","")</f>
        <v/>
      </c>
      <c r="BC494" s="61" t="str">
        <f aca="false">" "&amp;TRIM(SUBSTITUTE(SUBSTITUTE(SUBSTITUTE(SUBSTITUTE(SUBSTITUTE(SUBSTITUTE(SUBSTITUTE(SUBSTITUTE(SUBSTITUTE(SUBSTITUTE(SUBSTITUTE(SUBSTITUTE(SUBSTITUTE(SUBSTITUTE(SUBSTITUTE(SUBSTITUTE(SUBSTITUTE(SUBSTITUTE(SUBSTITUTE(SUBSTITUTE(SUBSTITUTE(SUBSTITUTE(SUBSTITUTE(SUBSTITUTE(LOWER(V494&amp;""),CHAR(10)," "),CHAR(13)," "),CHAR(9)," "),CHAR(160)," "),"."," "),","," "),"-"," "),"/"," "),"("," "),")"," "),":"," "),";"," "),"_"," "),"–"," "),"?"," "),"!"," "),"*"," "),"["," "),"]"," "),"'"," "),"#"," "),"+"," "),"&amp;"," "),"\"," "))&amp;" "</f>
        <v>  </v>
      </c>
      <c r="BD494" s="61" t="str">
        <f aca="false">" "&amp;TRIM(SUBSTITUTE(SUBSTITUTE(SUBSTITUTE(SUBSTITUTE(SUBSTITUTE(SUBSTITUTE(SUBSTITUTE(SUBSTITUTE(SUBSTITUTE(SUBSTITUTE(SUBSTITUTE(SUBSTITUTE(SUBSTITUTE(SUBSTITUTE(SUBSTITUTE(SUBSTITUTE(SUBSTITUTE(SUBSTITUTE(SUBSTITUTE(SUBSTITUTE(SUBSTITUTE(SUBSTITUTE(SUBSTITUTE(SUBSTITUTE(LOWER(Z494&amp;""),CHAR(10)," "),CHAR(13)," "),CHAR(9)," "),CHAR(160)," "),"."," "),","," "),"-"," "),"/"," "),"("," "),")"," "),":"," "),";"," "),"_"," "),"–"," "),"?"," "),"!"," "),"*"," "),"["," "),"]"," "),"'"," "),"#"," "),"+"," "),"&amp;"," "),"\"," "))&amp;" "</f>
        <v>  </v>
      </c>
      <c r="BE494" s="61" t="str">
        <f aca="false">" "&amp;TRIM(SUBSTITUTE(SUBSTITUTE(SUBSTITUTE(SUBSTITUTE(SUBSTITUTE(SUBSTITUTE(SUBSTITUTE(SUBSTITUTE(SUBSTITUTE(SUBSTITUTE(SUBSTITUTE(SUBSTITUTE(SUBSTITUTE(SUBSTITUTE(SUBSTITUTE(SUBSTITUTE(SUBSTITUTE(SUBSTITUTE(SUBSTITUTE(SUBSTITUTE(SUBSTITUTE(SUBSTITUTE(SUBSTITUTE(SUBSTITUTE(LOWER(W494&amp;""),CHAR(10)," "),CHAR(13)," "),CHAR(9)," "),CHAR(160)," "),"."," "),","," "),"-"," "),"/"," "),"("," "),")"," "),":"," "),";"," "),"_"," "),"–"," "),"?"," "),"!"," "),"*"," "),"["," "),"]"," "),"'"," "),"#"," "),"+"," "),"&amp;"," "),"\"," "))&amp;" "</f>
        <v>  </v>
      </c>
      <c r="BF494" s="61" t="str">
        <f aca="false">" "&amp;TRIM(SUBSTITUTE(SUBSTITUTE(SUBSTITUTE(SUBSTITUTE(SUBSTITUTE(SUBSTITUTE(SUBSTITUTE(SUBSTITUTE(SUBSTITUTE(SUBSTITUTE(SUBSTITUTE(SUBSTITUTE(SUBSTITUTE(SUBSTITUTE(SUBSTITUTE(SUBSTITUTE(SUBSTITUTE(SUBSTITUTE(SUBSTITUTE(SUBSTITUTE(SUBSTITUTE(SUBSTITUTE(SUBSTITUTE(SUBSTITUTE(LOWER(AC494&amp;""),CHAR(10)," "),CHAR(13)," "),CHAR(9)," "),CHAR(160)," "),"."," "),","," "),"-"," "),"/"," "),"("," "),")"," "),":"," "),";"," "),"_"," "),"–"," "),"?"," "),"!"," "),"*"," "),"["," "),"]"," "),"'"," "),"#"," "),"+"," "),"&amp;"," "),"\"," "))&amp;" "</f>
        <v>  </v>
      </c>
      <c r="BG494" s="61" t="n">
        <f aca="false">IFERROR(IF(AND(TRIM(U494)="Pass",SUMPRODUCT((LEN(BC494)-LEN(SUBSTITUTE(BC494," "&amp;L_ResultBad&amp;" "," ")))/(LEN(L_ResultBad)+1))&gt;SUMPRODUCT((LEN(BC494)-LEN(SUBSTITUTE(BC494," "&amp;L_NegPhrase&amp;" "," ")))/(LEN(L_NegPhrase)+1))),1,0),0)</f>
        <v>0</v>
      </c>
      <c r="BH494" s="61" t="n">
        <f aca="false">IFERROR(IF(SUMPRODUCT((LEN(BC494)-LEN(SUBSTITUTE(BC494," "&amp;L_Pending&amp;" "," ")))/(LEN(L_Pending)+1))&gt;SUMPRODUCT((LEN(BC494)-LEN(SUBSTITUTE(BC494," "&amp;L_PendNeg&amp;" "," ")))/(LEN(L_PendNeg)+1))+SUMPRODUCT((LEN(BC494)-LEN(SUBSTITUTE(BC494," "&amp;L_PendPrep&amp;" "," ")))/(LEN(L_PendPrep)+1)),1,0),1)</f>
        <v>0</v>
      </c>
      <c r="BI494" s="61" t="n">
        <f aca="false">IFERROR(IF(SUMPRODUCT((LEN(BD494)-LEN(SUBSTITUTE(BD494," "&amp;L_PendStrict&amp;" "," ")))/(LEN(L_PendStrict)+1))&gt;SUMPRODUCT((LEN(BD494)-LEN(SUBSTITUTE(BD494," "&amp;L_PendNeg&amp;" "," ")))/(LEN(L_PendNeg)+1)),1,0),1)</f>
        <v>0</v>
      </c>
      <c r="BJ494" s="61" t="n">
        <f aca="false">IFERROR(IF(SUMPRODUCT((LEN(BE494)-LEN(SUBSTITUTE(BE494," "&amp;L_Pending&amp;" "," ")))/(LEN(L_Pending)+1))&gt;SUMPRODUCT((LEN(BE494)-LEN(SUBSTITUTE(BE494," "&amp;L_PendNeg&amp;" "," ")))/(LEN(L_PendNeg)+1))+SUMPRODUCT((LEN(BE494)-LEN(SUBSTITUTE(BE494," "&amp;L_PendPrep&amp;" "," ")))/(LEN(L_PendPrep)+1)),1,0),1)</f>
        <v>0</v>
      </c>
      <c r="BK494" s="61" t="n">
        <f aca="false">IFERROR(IF(SUMPRODUCT((LEN(BF494)-LEN(SUBSTITUTE(BF494," "&amp;L_PendStrict&amp;" "," ")))/(LEN(L_PendStrict)+1))&gt;SUMPRODUCT((LEN(BF494)-LEN(SUBSTITUTE(BF494," "&amp;L_PendNeg&amp;" "," ")))/(LEN(L_PendNeg)+1)),1,0),1)</f>
        <v>0</v>
      </c>
      <c r="BL494" s="61" t="n">
        <f aca="false">IF(ISNA(MATCH(TRIM(S494),L_EvidenceType,0)),0,BZ494)</f>
        <v>0</v>
      </c>
      <c r="BM494" s="61" t="str">
        <f aca="false">SUBSTITUTE(SUBSTITUTE(SUBSTITUTE(SUBSTITUTE(SUBSTITUTE(SUBSTITUTE(SUBSTITUTE(SUBSTITUTE(SUBSTITUTE(LOWER(Z494&amp;""),"1","0"),"2","0"),"3","0"),"4","0"),"5","0"),"6","0"),"7","0"),"8","0"),"9","0")</f>
        <v/>
      </c>
      <c r="BN494" s="61" t="str">
        <f aca="false">SUBSTITUTE(SUBSTITUTE(SUBSTITUTE(SUBSTITUTE(SUBSTITUTE(SUBSTITUTE(SUBSTITUTE(SUBSTITUTE(SUBSTITUTE(SUBSTITUTE(SUBSTITUTE(SUBSTITUTE(SUBSTITUTE(SUBSTITUTE(SUBSTITUTE(SUBSTITUTE(SUBSTITUTE(SUBSTITUTE(SUBSTITUTE(SUBSTITUTE(SUBSTITUTE(SUBSTITUTE(SUBSTITUTE(SUBSTITUTE(SUBSTITUTE(BM494,"b","a"),"c","a"),"d","a"),"e","a"),"f","a"),"g","a"),"h","a"),"i","a"),"j","a"),"k","a"),"l","a"),"m","a"),"n","a"),"o","a"),"p","a"),"q","a"),"r","a"),"s","a"),"t","a"),"u","a"),"v","a"),"w","a"),"x","a"),"y","a"),"z","a")</f>
        <v/>
      </c>
      <c r="BO494" s="61" t="str">
        <f aca="false">SUBSTITUTE(SUBSTITUTE(SUBSTITUTE(SUBSTITUTE(SUBSTITUTE(SUBSTITUTE(SUBSTITUTE(SUBSTITUTE(SUBSTITUTE(LOWER(W494&amp;""),"1","0"),"2","0"),"3","0"),"4","0"),"5","0"),"6","0"),"7","0"),"8","0"),"9","0")</f>
        <v/>
      </c>
      <c r="BP494" s="61" t="str">
        <f aca="false">SUBSTITUTE(SUBSTITUTE(SUBSTITUTE(SUBSTITUTE(SUBSTITUTE(SUBSTITUTE(SUBSTITUTE(SUBSTITUTE(SUBSTITUTE(SUBSTITUTE(SUBSTITUTE(SUBSTITUTE(SUBSTITUTE(SUBSTITUTE(SUBSTITUTE(SUBSTITUTE(SUBSTITUTE(SUBSTITUTE(SUBSTITUTE(SUBSTITUTE(SUBSTITUTE(SUBSTITUTE(SUBSTITUTE(SUBSTITUTE(SUBSTITUTE(BO494,"b","a"),"c","a"),"d","a"),"e","a"),"f","a"),"g","a"),"h","a"),"i","a"),"j","a"),"k","a"),"l","a"),"m","a"),"n","a"),"o","a"),"p","a"),"q","a"),"r","a"),"s","a"),"t","a"),"u","a"),"v","a"),"w","a"),"x","a"),"y","a"),"z","a")</f>
        <v/>
      </c>
      <c r="BQ494" s="61" t="n">
        <f aca="false">IFERROR(IF(AND(ISERROR(SEARCH(" mh"," "&amp;LOWER(W494))),ISNA(MATCH(LEFT(TRIM(BP494),255),{"0000a","000a","00a","0000aa","000aa","00aa","0aa","0000aaa","000aaa","00a00","0a00","0000-0000","00:00","a00","a0","00.00.0000","00/00/0000","00-00-0000","0000-00-00","0000/00/00","0000.00.00","00.00.00","00/00/00","00-00-00","0.00.0000","0/00/0000","0-00-0000"},0)),ISNA(MATCH(LEFT(TRIM(CA494),255),{"0000a","000a","00a","0000aa","000aa","00aa","0aa","0000aaa","000aaa","00a00","0a00","0000-0000","00:00","a00","a0","00.00.0000","00/00/0000","00-00-0000","0000-00-00","0000/00/00","0000.00.00","00.00.00","00/00/00","00-00-00","0.00.0000","0/00/0000","0-00-0000"},0)),LEN(CB494)&gt;=3,NOT(OR(SUBSTITUTE(CB494,"0","")="",AND(LEN(CB494)&gt;=4,CB494=REPT(LEFT(CB494),LEN(CB494))),ISNUMBER(MATCH(CB494,{"123","1234","12345","123456","1234567","12345678","0123","01234","012345","98765","987654","54321"},0)),AND(LEN(CB494)=8,LEFT(CB494,3)="202"))),OR(AND((LEN(CA494)-LEN(SUBSTITUTE(CA494,"a","")))&gt;=1,SUMPRODUCT(--ISNUMBER(SEARCH({"a0","a-0","a_0","a/0","a.0","a#0","0a","0-a","0_a","0/a"},BP494)))&gt;0),ISNUMBER(SEARCH("000000",BP494)))),1,0),0)</f>
        <v>0</v>
      </c>
      <c r="BR494" s="61" t="n">
        <f aca="false">IFERROR(LEN(SUBSTITUTE(CC494," ",""))-SUMPRODUCT((LEN(CC494)-LEN(SUBSTITUTE(CC494," "&amp;L_Role&amp;" "," ")))/(LEN(L_Role)+1)*LEN(L_Role)),0)</f>
        <v>0</v>
      </c>
      <c r="BS494" s="61" t="n">
        <f aca="false">IFERROR(LEN(SUBSTITUTE(CD494," ",""))-SUMPRODUCT((LEN(CD494)-LEN(SUBSTITUTE(CD494," "&amp;L_Role&amp;" "," ")))/(LEN(L_Role)+1)*LEN(L_Role)),0)</f>
        <v>0</v>
      </c>
      <c r="BT4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494,"revision",""),"version",""),"jan",""),"feb",""),"mar",""),"apr",""),"may",""),"jun",""),"jul",""),"aug",""),"sep",""),"oct",""),"nov",""),"dec",""),"utc",""),"gmt",""),"myt",""),"bst",""),"rev",""),"ver",""),"b","a"),"c","a"),"d","a"),"e","a"),"f","a"),"g","a"),"h","a"),"i","a"),"j","a"),"k","a"),"l","a"),"m","a"),"n","a"),"o","a"),"p","a"),"q","a"),"r","a"),"s","a"),"t","a"),"u","a"),"v","a"),"w","a"),"x","a"),"y","a"),"z","a")</f>
        <v/>
      </c>
      <c r="BU494" s="61" t="str">
        <f aca="false">SUBSTITUTE(SUBSTITUTE(SUBSTITUTE(SUBSTITUTE(SUBSTITUTE(SUBSTITUTE(SUBSTITUTE(SUBSTITUTE(SUBSTITUTE(SUBSTITUTE(LEFT(BM494,FIND("0",BM494&amp;"0")-1),"-",""),"_",""),"/",""),".",""),"#",""),"\\",""),":","")," ",""),"(",""),")","")</f>
        <v/>
      </c>
      <c r="BV494" s="61" t="n">
        <f aca="false">0</f>
        <v>0</v>
      </c>
      <c r="BW4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494&amp;""),"a",""),"b",""),"c",""),"d",""),"e",""),"f",""),"g",""),"h",""),"i",""),"j",""),"k",""),"l",""),"m",""),"n",""),"o",""),"p",""),"q",""),"r",""),"s",""),"t",""),"u",""),"v",""),"w",""),"x",""),"y",""),"z",""),"-",""),"_",""),"/",""),".",""),"#",""),"\\",""),":","")," ",""),"(",""),")","")</f>
        <v/>
      </c>
      <c r="BX494" s="61" t="str">
        <f aca="false">SUBSTITUTE(SUBSTITUTE(SUBSTITUTE(SUBSTITUTE(SUBSTITUTE(SUBSTITUTE(SUBSTITUTE(SUBSTITUTE(SUBSTITUTE(SUBSTITUTE(SUBSTITUTE(BM494,"0",""),"-",""),"_",""),"/",""),".",""),"#",""),"\\",""),":","")," ",""),"(",""),")","")</f>
        <v/>
      </c>
      <c r="BY494" s="62" t="n">
        <f aca="false">Q494-T12EarlyH/24</f>
        <v>46319.4583333333</v>
      </c>
      <c r="BZ494" s="61" t="n">
        <f aca="false">IFERROR(IF(IF(TRIM(S494)="Link / file path",AND(LEN(TRIM(Z494))&gt;=5,SUMPRODUCT(--ISNUMBER(SEARCH({"http","www.","\\",":\",".pdf",".jpg",".jpeg",".png",".heic",".xls",".doc",".msg",".eml",".ppt",".txt",".zip"},Z494)))&gt;0),AND(ISERROR(FIND(" ",TRIM(Z494))),NOT(OR(SUMPRODUCT(--ISNUMBER(FIND({",",";","&amp;","+"},Z494)))&gt;0,SUMPRODUCT(--ISNUMBER(SEARCH({"0/aa","0\\aa"},BN494)))&gt;0)),NOT(SUMPRODUCT(--ISNUMBER(SEARCH({"http","www.","\\",":\",".pdf",".jpg",".jpeg",".png",".heic",".xls",".doc",".msg",".eml",".ppt",".txt",".zip"},Z494)))&gt;0),NOT(LOWER(TRIM(Z494))=LOWER(Flights!$F$19)),ISNA(MATCH(BU494,{"mh","rev","revision","ver","version","v","r","a","b","seat","tray","row","gate","bay","stand","page","pg","item","line","no","cart","galley","flight","flt","table","box","bag","oven","etd","eta","std","sta","atd","ata","qty","pax","x","time","tel","ph","mob","day","wk","week","utc","gmt","myt","lt"},0)),NOT(OR(ISNUMBER(MATCH(LEFT(BN494,255),{"0000a","000a","00a","0000aa","000aa","00aa","0aa","0000aaa","000aaa","00a00","0a00","0000-0000","00:00","a00","a0","00.00.0000","00/00/0000","00-00-0000","0000-00-00","0000/00/00","0000.00.00","00.00.00","00/00/00","00-00-00","0.00.0000","0/00/0000","0-00-0000"},0)),ISNUMBER(MATCH(LEFT(BT494,255),{"0000a","000a","00a","0000aa","000aa","00aa","0aa","0000aaa","000aaa","00a00","0a00","0000-0000","00:00","a00","a0","00.00.0000","00/00/0000","00-00-0000","0000-00-00","0000/00/00","0000.00.00","00.00.00","00/00/00","00-00-00","0.00.0000","0/00/0000","0-00-0000"},0)))),NOT(OR(AND(BW494&lt;&gt;"",SUBSTITUTE(BW494,"0","")=""),AND(LEN(BW494)&gt;=4,BW494=REPT(LEFT(BW494),LEN(BW494))),ISNUMBER(MATCH(BW494,{"123","1234","12345","123456","1234567","12345678","0123","01234","012345","98765","987654","54321"},0)),ISNUMBER(MATCH(BX494,{"x","xx","xxx","xxxx","xxxxx","abc","abcd","nil","na","nan","test","tbc","tba","tbd","dummy","sample","example","eg","zz","zzz","none","null","xyz","qwe","asd","id","ref"},0)),AND(LEN(BW494)=8,BX494="",OR(LEFT(BW494,3)="202",ISNUMBER(MATCH(RIGHT(BW494,4),{"2025","2026","2027"},0)))))),OR(AND((LEN(BT494)-LEN(SUBSTITUTE(BT494,"a","")))&gt;=1,(LEN(BN494)-LEN(SUBSTITUTE(BN494,"0","")))&gt;=2,SUMPRODUCT(--ISNUMBER(SEARCH({"a0","a-0","a_0","a/0","a.0","a#0","0a","0-a","0_a","0/a"},BN494)))&gt;0),AND((LEN(BN494)-LEN(SUBSTITUTE(BN494,"a","")))=0,(LEN(BN494)-LEN(SUBSTITUTE(BN494,"0","")))&gt;=5)))),1,0),0)</f>
        <v>0</v>
      </c>
      <c r="CA4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494,"revision",""),"version",""),"jan",""),"feb",""),"mar",""),"apr",""),"may",""),"jun",""),"jul",""),"aug",""),"sep",""),"oct",""),"nov",""),"dec",""),"utc",""),"gmt",""),"myt",""),"bst",""),"rev",""),"ver",""),"b","a"),"c","a"),"d","a"),"e","a"),"f","a"),"g","a"),"h","a"),"i","a"),"j","a"),"k","a"),"l","a"),"m","a"),"n","a"),"o","a"),"p","a"),"q","a"),"r","a"),"s","a"),"t","a"),"u","a"),"v","a"),"w","a"),"x","a"),"y","a"),"z","a")</f>
        <v/>
      </c>
      <c r="CB4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494&amp;""),"a",""),"b",""),"c",""),"d",""),"e",""),"f",""),"g",""),"h",""),"i",""),"j",""),"k",""),"l",""),"m",""),"n",""),"o",""),"p",""),"q",""),"r",""),"s",""),"t",""),"u",""),"v",""),"w",""),"x",""),"y",""),"z",""),"-",""),"_",""),"/",""),".",""),"#",""),"\\",""),":","")," ",""),"(",""),")","")</f>
        <v/>
      </c>
      <c r="CC494" s="0" t="str">
        <f aca="false">" "&amp;TRIM(SUBSTITUTE(SUBSTITUTE(SUBSTITUTE(SUBSTITUTE(SUBSTITUTE(SUBSTITUTE(SUBSTITUTE(SUBSTITUTE(SUBSTITUTE(SUBSTITUTE(SUBSTITUTE(SUBSTITUTE(SUBSTITUTE(SUBSTITUTE(SUBSTITUTE(SUBSTITUTE(SUBSTITUTE(SUBSTITUTE(SUBSTITUTE(SUBSTITUTE(SUBSTITUTE(SUBSTITUTE(SUBSTITUTE(SUBSTITUTE(LOWER(T494&amp;""),CHAR(10)," "),CHAR(13)," "),CHAR(9)," "),CHAR(160)," "),"."," "),","," "),"-"," "),"/"," "),"("," "),")"," "),":"," "),";"," "),"_"," "),"–"," "),"?"," "),"!"," "),"*"," "),"["," "),"]"," "),"'"," "),"#"," "),"+"," "),"&amp;"," "),"\"," "))&amp;" "</f>
        <v>  </v>
      </c>
      <c r="CD494" s="0" t="str">
        <f aca="false">" "&amp;TRIM(SUBSTITUTE(SUBSTITUTE(SUBSTITUTE(SUBSTITUTE(SUBSTITUTE(SUBSTITUTE(SUBSTITUTE(SUBSTITUTE(SUBSTITUTE(SUBSTITUTE(SUBSTITUTE(SUBSTITUTE(SUBSTITUTE(SUBSTITUTE(SUBSTITUTE(SUBSTITUTE(SUBSTITUTE(SUBSTITUTE(SUBSTITUTE(SUBSTITUTE(SUBSTITUTE(SUBSTITUTE(SUBSTITUTE(SUBSTITUTE(LOWER(AE494&amp;""),CHAR(10)," "),CHAR(13)," "),CHAR(9)," "),CHAR(160)," "),"."," "),","," "),"-"," "),"/"," "),"("," "),")"," "),":"," "),";"," "),"_"," "),"–"," "),"?"," "),"!"," "),"*"," "),"["," "),"]"," "),"'"," "),"#"," "),"+"," "),"&amp;"," "),"\"," "))&amp;" "</f>
        <v>  </v>
      </c>
      <c r="CE494" s="68" t="n">
        <f aca="false">IFERROR(IF(AND(LEN(AU494)&gt;0,LEN(AU494)=LEN(AX494),OR(TRIM(MID(SUBSTITUTE(TRIM(CC494)," ",REPT(" ",60)),1,60))="",ISNUMBER(SEARCH(" "&amp;TRIM(MID(SUBSTITUTE(TRIM(CC494)," ",REPT(" ",60)),1,60))&amp;" ",CD494))),OR(TRIM(MID(SUBSTITUTE(TRIM(CC494)," ",REPT(" ",60)),61,60))="",ISNUMBER(SEARCH(" "&amp;TRIM(MID(SUBSTITUTE(TRIM(CC494)," ",REPT(" ",60)),61,60))&amp;" ",CD494))),OR(TRIM(MID(SUBSTITUTE(TRIM(CC494)," ",REPT(" ",60)),121,60))="",ISNUMBER(SEARCH(" "&amp;TRIM(MID(SUBSTITUTE(TRIM(CC494)," ",REPT(" ",60)),121,60))&amp;" ",CD494)))),1,0),0)</f>
        <v>0</v>
      </c>
      <c r="CG494" s="68" t="n">
        <f aca="false">IFERROR(LEN(SUBSTITUTE(BF494," ",""))-SUMPRODUCT((LEN(BF494)-LEN(SUBSTITUTE(BF494," "&amp;L_NAFiller&amp;" "," ")))/(LEN(L_NAFiller)+1)*LEN(L_NAFiller)),0)</f>
        <v>0</v>
      </c>
    </row>
    <row r="495" customFormat="false" ht="39.75" hidden="false" customHeight="true" outlineLevel="0" collapsed="false">
      <c r="A495" s="57" t="s">
        <v>1148</v>
      </c>
      <c r="B495" s="57" t="s">
        <v>278</v>
      </c>
      <c r="C495" s="57" t="str">
        <f aca="false">Flights!$F$19</f>
        <v>MH0003</v>
      </c>
      <c r="D495" s="58" t="n">
        <f aca="false">Flights!$D$19</f>
        <v>46320</v>
      </c>
      <c r="E495" s="57" t="str">
        <f aca="false">Flights!$G$19&amp;"-"&amp;Flights!$H$19</f>
        <v>LHR-KUL</v>
      </c>
      <c r="F495" s="57" t="str">
        <f aca="false">Flights!$K$19</f>
        <v>EY</v>
      </c>
      <c r="G495" s="57" t="s">
        <v>420</v>
      </c>
      <c r="H495" s="57" t="s">
        <v>378</v>
      </c>
      <c r="I495" s="57" t="s">
        <v>428</v>
      </c>
      <c r="J495" s="57" t="s">
        <v>433</v>
      </c>
      <c r="K495" s="67"/>
      <c r="L495" s="67" t="s">
        <v>422</v>
      </c>
      <c r="M495" s="67"/>
      <c r="N495" s="67" t="s">
        <v>383</v>
      </c>
      <c r="O495" s="67" t="s">
        <v>423</v>
      </c>
      <c r="P495" s="57" t="s">
        <v>186</v>
      </c>
      <c r="Q495" s="59" t="n">
        <f aca="false">ROUND((Flights!$AE$19)*1440,0)/1440</f>
        <v>46319.9583333333</v>
      </c>
      <c r="R495" s="59" t="n">
        <f aca="false">Q495+(IF(AND(INDEX(TZ_DSTS,MATCH(P495,TZ_STN,0))&lt;&gt;"",Q495&gt;=INDEX(TZ_DSTS,MATCH(P495,TZ_STN,0)),Q495&lt;INDEX(TZ_DSTE,MATCH(P495,TZ_STN,0))),INDEX(TZ_DST,MATCH(P495,TZ_STN,0)),INDEX(TZ_STD,MATCH(P495,TZ_STN,0))))/24</f>
        <v>46320</v>
      </c>
      <c r="S495" s="60"/>
      <c r="T495" s="60"/>
      <c r="U495" s="60"/>
      <c r="V495" s="60"/>
      <c r="W495" s="61"/>
      <c r="X495" s="60"/>
      <c r="Y495" s="60"/>
      <c r="Z495" s="60"/>
      <c r="AA495" s="60"/>
      <c r="AB495" s="60"/>
      <c r="AC495" s="60"/>
      <c r="AD495" s="66"/>
      <c r="AE495" s="60"/>
      <c r="AF495" s="61" t="str">
        <f aca="false">IF(AND(ISNUMBER(X495),ISNUMBER(Y495)),Y495-X495,"")</f>
        <v/>
      </c>
      <c r="AG495" s="62" t="str">
        <f aca="false">IF(ISNUMBER(AD495),AD495-(IF(AND(INDEX(TZ_DSTS,MATCH(P495,TZ_STN,0))&lt;&gt;"",(AD495-INDEX(TZ_STD,MATCH(P495,TZ_STN,0))/24)&gt;=INDEX(TZ_DSTS,MATCH(P495,TZ_STN,0)),(AD495-INDEX(TZ_STD,MATCH(P495,TZ_STN,0))/24)&lt;INDEX(TZ_DSTE,MATCH(P495,TZ_STN,0))),INDEX(TZ_DST,MATCH(P495,TZ_STN,0)),INDEX(TZ_STD,MATCH(P495,TZ_STN,0))))/24,"")</f>
        <v/>
      </c>
      <c r="AH495" s="65" t="str">
        <f aca="false">IFERROR(IF(N495="N/A – rule",IF(OR(TRIM(U495)="",TRIM(U495)="N/A",TRIM(U495)="Not started"),"N/A – RULE","INVALID – this check does not apply to this aircraft: clear the status (or correct the fleet on Flights)"),IF(TRIM(U495)="N/A",IF(AT495=0,"INVALID – N/A not permitted for this check",IF(AND(TRIM(AB495)&lt;&gt;"",TRIM(AB495)&lt;&gt;"Closed"),"INVALID – corrective action still open",IF(AND(NOT(OR(LEN(AZ495)&lt;15,ISNUMBER(MATCH(AZ495,L_Placeholder,0)))),BK495=0,CG495&gt;=8,NOT(OR(LEN(AU495)&lt;2,ISNUMBER(MATCH(AU495,L_Placeholder,0)))),BR495&gt;=3,NOT(OR(LEN(AX495)&lt;2,ISNUMBER(MATCH(AX495,L_Placeholder,0)))),BS495&gt;=3,TRIM(AE495)&lt;&gt;TRIM(T495),AX495&lt;&gt;AU495,CE495=0),"N/A – JUSTIFIED","INVALID – N/A needs a real, settled reason (not 'not applicable' / 'as above' / TBC), a named PIC and a different named verifier"))),IF(OR(TRIM(U495)="Pass",TRIM(U495)="Pass after CA"),IF(NOT(ISNUMBER(AD495)),"INVALID – completion time missing",IF(OR(OR(LEN(AU495)&lt;2,ISNUMBER(MATCH(AU495,L_Placeholder,0))),BR495&lt;3),"INVALID – PIC missing or not a named person (a role such as QA / CSM is not a name)",IF(OR(LEN(AV495)&lt;2,ISNUMBER(MATCH(AV495,L_Placeholder,0))),"INVALID – result / assessment missing",IF(OR(OR(LEN(AW495)&lt;3,ISNUMBER(MATCH(AW495,L_Placeholder,0))),SUMPRODUCT(--ISNUMBER(SEARCH(" "&amp;L_EvidencePhrase&amp;" ",BD495)))&gt;0,BI495=1),"INVALID – evidence missing, placeholder or not yet on file",IF(ISNA(MATCH(TRIM(S495),L_EvidenceType,0)),"INVALID – choose the evidence type from the list (column S)",IF(BL495=0,"INVALID – evidence ID must be the record's own ID only (e.g. SF-2210, IMG_2231, 1045521); a link / file name needs type 'Link / file path'",IF(OR(OR(LEN(AX495)&lt;2,ISNUMBER(MATCH(AX495,L_Placeholder,0))),BS495&lt;3),"INVALID – verifier missing or not a named person (a role such as QA / CSM is not a name)",IF(OR(AX495=AU495,CE495=1,AND(LEN(AU495)&gt;=4,ISNUMBER(SEARCH(AU495,AX495))),AND(LEN(AX495)&gt;=4,ISNUMBER(SEARCH(AX495,AU495)))),"INVALID – verifier must be a different, named person (not the PIC or a role)",IF(BH495=1,"INVALID – result not yet available (awaiting / TBC)",IF(BG495=1,"INVALID – result describes a problem: record Fail, then Pass after CA (or reword if it is not a problem)",IF(BV495=1,"INVALID – wording says not on board: an on-board confirmation needs the item loaded",IF(AND(AQ495=1,OR(OR(LEN(AY495)&lt;3,ISNUMBER(MATCH(AY495,L_Placeholder,0))),BJ495=1,BQ495=0)),"INVALID – batch ID missing, placeholder or not an ID (e.g. PASB-261008-BC-017)",IF(AND(AR495=1,OR(NOT(ISNUMBER(X495)),NOT(ISNUMBER(Y495)))),"INVALID – expected/actual qty missing",IF(AND(AR495=1,OR(X495&lt;=0,Y495&lt;0)),"INVALID – expected qty must be above 0 and actual not negative",IF(BB495&lt;&gt;"",BB495,IF(AND(AS495=1,Documents!$J$19&lt;&gt;"ON FILE"),"INVALID – GLD not on file (Documents sheet)",IF(AND(AS495=2,Documents!$O$19&lt;&gt;"ON FILE"),"INVALID – menu checklist not on file (Documents sheet)",IF(AND(AS495=3,NOT(ISNUMBER(Flights!$AX$19))),"INVALID – enter carrying flight KUL departure (Flights AX)",IF(AND(AS495=3,OR(Flights!$AZ$19&gt;Flights!$AA$19,Flights!$AX$19&lt;Flights!$AA$19-3)),"INVALID – carrying flight (Flights AX) cannot arrive before this leg's STD, or is over 3 days early",IF(AG495&gt;AsOfUTC,"INVALID – completion time is in the future",IF(AND(ISNUMBER(BY495),AG495&lt;BY495),IF(H495="Physical uplift","INVALID – before uplift window (cannot confirm loading)","INVALID – before valid window"),IF(AG495&gt;Flights!$AA$19,"INVALID – completed after departure (cannot establish readiness)",IF(AND(H495="Preparation",AG495&gt;=IF(ISNUMBER(Flights!$BA$19),MIN(Flights!$BA$19,Flights!$AA$19),Flights!$AA$19)),"INVALID – completed after loading / departure (cannot establish readiness)",IF(AND(H495="Physical uplift",AG495&gt;Q495),"INVALID – recorded after the loading flight departed",IF(AG495&gt;Q495,"COMPLETE – LATE","COMPLETE"))))))))))))))))))))))))),IF(TRIM(U495)="Fail","FAIL – DISCREPANCY",IF(AND(TRIM(U495)&lt;&gt;"",TRIM(U495)&lt;&gt;"Not started",TRIM(U495)&lt;&gt;"In progress"),"INVALID – unrecognised status (use the list)",IF(AsOfUTC&gt;Q495,"OVERDUE",IF(N495="Clarification required","OPEN – CLARIFICATION","OPEN"))))))),"INVALID – error value in an input cell")</f>
        <v>OPEN</v>
      </c>
      <c r="AI495" s="61" t="n">
        <f aca="false">IF(OR(AH495="N/A – RULE",AH495="N/A – JUSTIFIED"),0,1)</f>
        <v>1</v>
      </c>
      <c r="AJ495" s="61" t="n">
        <f aca="false">IF(LEFT(AH495,8)="COMPLETE",1,0)</f>
        <v>0</v>
      </c>
      <c r="AK495" s="61" t="n">
        <f aca="false">IF(AND(AI495=1,AJ495=0,AsOfUTC&gt;Q495),1,0)</f>
        <v>0</v>
      </c>
      <c r="AL495" s="61" t="n">
        <f aca="false">IFERROR(IF(AND(AI495=1,OR(TRIM(U495)="Fail",AND(TRIM(AB495)&lt;&gt;"",TRIM(AB495)&lt;&gt;"Closed"),AND(ISNUMBER(AF495),AF495&lt;&gt;0,TRIM(U495)&lt;&gt;"Pass after CA"))),1,0),1)</f>
        <v>0</v>
      </c>
      <c r="AM495" s="61" t="n">
        <f aca="false">IF(LEFT(AH495,7)="INVALID",1,0)</f>
        <v>0</v>
      </c>
      <c r="AN495" s="61" t="n">
        <f aca="false">IF(AND(N495="Clarification required",AI495=1,AJ495=0),1,0)</f>
        <v>0</v>
      </c>
      <c r="AO495" s="61" t="str">
        <f aca="false">IF(AK495=1,SUM(AK$5:AK495),"")</f>
        <v/>
      </c>
      <c r="AP495" s="61" t="str">
        <f aca="false">IF(AL495=1,SUM(AL$5:AL495),"")</f>
        <v/>
      </c>
      <c r="AQ495" s="61" t="n">
        <v>0</v>
      </c>
      <c r="AR495" s="61" t="n">
        <v>0</v>
      </c>
      <c r="AS495" s="61" t="n">
        <v>0</v>
      </c>
      <c r="AT495" s="61" t="n">
        <v>0</v>
      </c>
      <c r="AU495" s="61" t="str">
        <f aca="false">SUBSTITUTE(SUBSTITUTE(SUBSTITUTE(SUBSTITUTE(SUBSTITUTE(SUBSTITUTE(SUBSTITUTE(SUBSTITUTE(SUBSTITUTE(SUBSTITUTE(SUBSTITUTE(SUBSTITUTE(SUBSTITUTE(SUBSTITUTE(SUBSTITUTE(SUBSTITUTE(LOWER(T495&amp;""),CHAR(10),""),CHAR(13),""),CHAR(9),""),CHAR(160),"")," ",""),".",""),"-",""),"/",""),"?",""),"_",""),",",""),"[",""),"]",""),"(",""),")",""),"*","")</f>
        <v/>
      </c>
      <c r="AV495" s="61" t="str">
        <f aca="false">SUBSTITUTE(SUBSTITUTE(SUBSTITUTE(SUBSTITUTE(SUBSTITUTE(SUBSTITUTE(SUBSTITUTE(SUBSTITUTE(SUBSTITUTE(SUBSTITUTE(SUBSTITUTE(SUBSTITUTE(SUBSTITUTE(SUBSTITUTE(SUBSTITUTE(SUBSTITUTE(LOWER(V495&amp;""),CHAR(10),""),CHAR(13),""),CHAR(9),""),CHAR(160),"")," ",""),".",""),"-",""),"/",""),"?",""),"_",""),",",""),"[",""),"]",""),"(",""),")",""),"*","")</f>
        <v/>
      </c>
      <c r="AW495" s="61" t="str">
        <f aca="false">SUBSTITUTE(SUBSTITUTE(SUBSTITUTE(SUBSTITUTE(SUBSTITUTE(SUBSTITUTE(SUBSTITUTE(SUBSTITUTE(SUBSTITUTE(SUBSTITUTE(SUBSTITUTE(SUBSTITUTE(SUBSTITUTE(SUBSTITUTE(SUBSTITUTE(SUBSTITUTE(LOWER(Z495&amp;""),CHAR(10),""),CHAR(13),""),CHAR(9),""),CHAR(160),"")," ",""),".",""),"-",""),"/",""),"?",""),"_",""),",",""),"[",""),"]",""),"(",""),")",""),"*","")</f>
        <v/>
      </c>
      <c r="AX495" s="61" t="str">
        <f aca="false">SUBSTITUTE(SUBSTITUTE(SUBSTITUTE(SUBSTITUTE(SUBSTITUTE(SUBSTITUTE(SUBSTITUTE(SUBSTITUTE(SUBSTITUTE(SUBSTITUTE(SUBSTITUTE(SUBSTITUTE(SUBSTITUTE(SUBSTITUTE(SUBSTITUTE(SUBSTITUTE(LOWER(AE495&amp;""),CHAR(10),""),CHAR(13),""),CHAR(9),""),CHAR(160),"")," ",""),".",""),"-",""),"/",""),"?",""),"_",""),",",""),"[",""),"]",""),"(",""),")",""),"*","")</f>
        <v/>
      </c>
      <c r="AY495" s="61" t="str">
        <f aca="false">SUBSTITUTE(SUBSTITUTE(SUBSTITUTE(SUBSTITUTE(SUBSTITUTE(SUBSTITUTE(SUBSTITUTE(SUBSTITUTE(SUBSTITUTE(SUBSTITUTE(SUBSTITUTE(SUBSTITUTE(SUBSTITUTE(SUBSTITUTE(SUBSTITUTE(SUBSTITUTE(LOWER(W495&amp;""),CHAR(10),""),CHAR(13),""),CHAR(9),""),CHAR(160),"")," ",""),".",""),"-",""),"/",""),"?",""),"_",""),",",""),"[",""),"]",""),"(",""),")",""),"*","")</f>
        <v/>
      </c>
      <c r="AZ495" s="61" t="str">
        <f aca="false">SUBSTITUTE(SUBSTITUTE(SUBSTITUTE(SUBSTITUTE(SUBSTITUTE(SUBSTITUTE(SUBSTITUTE(SUBSTITUTE(SUBSTITUTE(SUBSTITUTE(SUBSTITUTE(SUBSTITUTE(SUBSTITUTE(SUBSTITUTE(SUBSTITUTE(SUBSTITUTE(LOWER(AC495&amp;""),CHAR(10),""),CHAR(13),""),CHAR(9),""),CHAR(160),"")," ",""),".",""),"-",""),"/",""),"?",""),"_",""),",",""),"[",""),"]",""),"(",""),")",""),"*","")</f>
        <v/>
      </c>
      <c r="BA495" s="61" t="str">
        <f aca="false">SUBSTITUTE(SUBSTITUTE(SUBSTITUTE(SUBSTITUTE(SUBSTITUTE(SUBSTITUTE(SUBSTITUTE(SUBSTITUTE(SUBSTITUTE(SUBSTITUTE(SUBSTITUTE(SUBSTITUTE(SUBSTITUTE(SUBSTITUTE(SUBSTITUTE(SUBSTITUTE(LOWER(AA495&amp;""),CHAR(10),""),CHAR(13),""),CHAR(9),""),CHAR(160),"")," ",""),".",""),"-",""),"/",""),"?",""),"_",""),",",""),"[",""),"]",""),"(",""),")",""),"*","")</f>
        <v/>
      </c>
      <c r="BB495" s="61" t="str">
        <f aca="false">IF(AND(TRIM(U495)="Pass",ISNUMBER(AF495)),IF(AF495&lt;&gt;0,"INVALID – qty variance: use Fail or Pass after CA",""),"")&amp;IF(AND(TRIM(U495)="Pass after CA",ISNUMBER(AF495)),IF(AF495&lt;&gt;0,"INVALID – after the corrective action the actual qty must equal expected (update Actual)",""),"")&amp;IF(AND(TRIM(U495)="Pass",TRIM(AB495)&lt;&gt;"",TRIM(AB495)&lt;&gt;"Closed"),"INVALID – corrective action not closed: use Fail, then Pass after CA","")&amp;IF(AND(LEN(BA495)&gt;=2,ISNA(MATCH(LEFT(BA495,255),L_Placeholder,0)),TRIM(AB495)=""),"INVALID – CA status missing for the recorded corrective action","")&amp;IF(AND(TRIM(U495)="Pass after CA",OR(OR(LEN(BA495)&lt;5,ISNUMBER(MATCH(BA495,L_Placeholder,0))),TRIM(AB495)&lt;&gt;"Closed")),"INVALID – corrective action not recorded/closed","")</f>
        <v/>
      </c>
      <c r="BC495" s="61" t="str">
        <f aca="false">" "&amp;TRIM(SUBSTITUTE(SUBSTITUTE(SUBSTITUTE(SUBSTITUTE(SUBSTITUTE(SUBSTITUTE(SUBSTITUTE(SUBSTITUTE(SUBSTITUTE(SUBSTITUTE(SUBSTITUTE(SUBSTITUTE(SUBSTITUTE(SUBSTITUTE(SUBSTITUTE(SUBSTITUTE(SUBSTITUTE(SUBSTITUTE(SUBSTITUTE(SUBSTITUTE(SUBSTITUTE(SUBSTITUTE(SUBSTITUTE(SUBSTITUTE(LOWER(V495&amp;""),CHAR(10)," "),CHAR(13)," "),CHAR(9)," "),CHAR(160)," "),"."," "),","," "),"-"," "),"/"," "),"("," "),")"," "),":"," "),";"," "),"_"," "),"–"," "),"?"," "),"!"," "),"*"," "),"["," "),"]"," "),"'"," "),"#"," "),"+"," "),"&amp;"," "),"\"," "))&amp;" "</f>
        <v>  </v>
      </c>
      <c r="BD495" s="61" t="str">
        <f aca="false">" "&amp;TRIM(SUBSTITUTE(SUBSTITUTE(SUBSTITUTE(SUBSTITUTE(SUBSTITUTE(SUBSTITUTE(SUBSTITUTE(SUBSTITUTE(SUBSTITUTE(SUBSTITUTE(SUBSTITUTE(SUBSTITUTE(SUBSTITUTE(SUBSTITUTE(SUBSTITUTE(SUBSTITUTE(SUBSTITUTE(SUBSTITUTE(SUBSTITUTE(SUBSTITUTE(SUBSTITUTE(SUBSTITUTE(SUBSTITUTE(SUBSTITUTE(LOWER(Z495&amp;""),CHAR(10)," "),CHAR(13)," "),CHAR(9)," "),CHAR(160)," "),"."," "),","," "),"-"," "),"/"," "),"("," "),")"," "),":"," "),";"," "),"_"," "),"–"," "),"?"," "),"!"," "),"*"," "),"["," "),"]"," "),"'"," "),"#"," "),"+"," "),"&amp;"," "),"\"," "))&amp;" "</f>
        <v>  </v>
      </c>
      <c r="BE495" s="61" t="str">
        <f aca="false">" "&amp;TRIM(SUBSTITUTE(SUBSTITUTE(SUBSTITUTE(SUBSTITUTE(SUBSTITUTE(SUBSTITUTE(SUBSTITUTE(SUBSTITUTE(SUBSTITUTE(SUBSTITUTE(SUBSTITUTE(SUBSTITUTE(SUBSTITUTE(SUBSTITUTE(SUBSTITUTE(SUBSTITUTE(SUBSTITUTE(SUBSTITUTE(SUBSTITUTE(SUBSTITUTE(SUBSTITUTE(SUBSTITUTE(SUBSTITUTE(SUBSTITUTE(LOWER(W495&amp;""),CHAR(10)," "),CHAR(13)," "),CHAR(9)," "),CHAR(160)," "),"."," "),","," "),"-"," "),"/"," "),"("," "),")"," "),":"," "),";"," "),"_"," "),"–"," "),"?"," "),"!"," "),"*"," "),"["," "),"]"," "),"'"," "),"#"," "),"+"," "),"&amp;"," "),"\"," "))&amp;" "</f>
        <v>  </v>
      </c>
      <c r="BF495" s="61" t="str">
        <f aca="false">" "&amp;TRIM(SUBSTITUTE(SUBSTITUTE(SUBSTITUTE(SUBSTITUTE(SUBSTITUTE(SUBSTITUTE(SUBSTITUTE(SUBSTITUTE(SUBSTITUTE(SUBSTITUTE(SUBSTITUTE(SUBSTITUTE(SUBSTITUTE(SUBSTITUTE(SUBSTITUTE(SUBSTITUTE(SUBSTITUTE(SUBSTITUTE(SUBSTITUTE(SUBSTITUTE(SUBSTITUTE(SUBSTITUTE(SUBSTITUTE(SUBSTITUTE(LOWER(AC495&amp;""),CHAR(10)," "),CHAR(13)," "),CHAR(9)," "),CHAR(160)," "),"."," "),","," "),"-"," "),"/"," "),"("," "),")"," "),":"," "),";"," "),"_"," "),"–"," "),"?"," "),"!"," "),"*"," "),"["," "),"]"," "),"'"," "),"#"," "),"+"," "),"&amp;"," "),"\"," "))&amp;" "</f>
        <v>  </v>
      </c>
      <c r="BG495" s="61" t="n">
        <f aca="false">IFERROR(IF(AND(TRIM(U495)="Pass",SUMPRODUCT((LEN(BC495)-LEN(SUBSTITUTE(BC495," "&amp;L_ResultBad&amp;" "," ")))/(LEN(L_ResultBad)+1))&gt;SUMPRODUCT((LEN(BC495)-LEN(SUBSTITUTE(BC495," "&amp;L_NegPhrase&amp;" "," ")))/(LEN(L_NegPhrase)+1))),1,0),0)</f>
        <v>0</v>
      </c>
      <c r="BH495" s="61" t="n">
        <f aca="false">IFERROR(IF(SUMPRODUCT((LEN(BC495)-LEN(SUBSTITUTE(BC495," "&amp;L_Pending&amp;" "," ")))/(LEN(L_Pending)+1))&gt;SUMPRODUCT((LEN(BC495)-LEN(SUBSTITUTE(BC495," "&amp;L_PendNeg&amp;" "," ")))/(LEN(L_PendNeg)+1))+SUMPRODUCT((LEN(BC495)-LEN(SUBSTITUTE(BC495," "&amp;L_PendPrep&amp;" "," ")))/(LEN(L_PendPrep)+1)),1,0),1)</f>
        <v>0</v>
      </c>
      <c r="BI495" s="61" t="n">
        <f aca="false">IFERROR(IF(SUMPRODUCT((LEN(BD495)-LEN(SUBSTITUTE(BD495," "&amp;L_PendStrict&amp;" "," ")))/(LEN(L_PendStrict)+1))&gt;SUMPRODUCT((LEN(BD495)-LEN(SUBSTITUTE(BD495," "&amp;L_PendNeg&amp;" "," ")))/(LEN(L_PendNeg)+1)),1,0),1)</f>
        <v>0</v>
      </c>
      <c r="BJ495" s="61" t="n">
        <f aca="false">IFERROR(IF(SUMPRODUCT((LEN(BE495)-LEN(SUBSTITUTE(BE495," "&amp;L_Pending&amp;" "," ")))/(LEN(L_Pending)+1))&gt;SUMPRODUCT((LEN(BE495)-LEN(SUBSTITUTE(BE495," "&amp;L_PendNeg&amp;" "," ")))/(LEN(L_PendNeg)+1))+SUMPRODUCT((LEN(BE495)-LEN(SUBSTITUTE(BE495," "&amp;L_PendPrep&amp;" "," ")))/(LEN(L_PendPrep)+1)),1,0),1)</f>
        <v>0</v>
      </c>
      <c r="BK495" s="61" t="n">
        <f aca="false">IFERROR(IF(SUMPRODUCT((LEN(BF495)-LEN(SUBSTITUTE(BF495," "&amp;L_PendStrict&amp;" "," ")))/(LEN(L_PendStrict)+1))&gt;SUMPRODUCT((LEN(BF495)-LEN(SUBSTITUTE(BF495," "&amp;L_PendNeg&amp;" "," ")))/(LEN(L_PendNeg)+1)),1,0),1)</f>
        <v>0</v>
      </c>
      <c r="BL495" s="61" t="n">
        <f aca="false">IF(ISNA(MATCH(TRIM(S495),L_EvidenceType,0)),0,BZ495)</f>
        <v>0</v>
      </c>
      <c r="BM495" s="61" t="str">
        <f aca="false">SUBSTITUTE(SUBSTITUTE(SUBSTITUTE(SUBSTITUTE(SUBSTITUTE(SUBSTITUTE(SUBSTITUTE(SUBSTITUTE(SUBSTITUTE(LOWER(Z495&amp;""),"1","0"),"2","0"),"3","0"),"4","0"),"5","0"),"6","0"),"7","0"),"8","0"),"9","0")</f>
        <v/>
      </c>
      <c r="BN495" s="61" t="str">
        <f aca="false">SUBSTITUTE(SUBSTITUTE(SUBSTITUTE(SUBSTITUTE(SUBSTITUTE(SUBSTITUTE(SUBSTITUTE(SUBSTITUTE(SUBSTITUTE(SUBSTITUTE(SUBSTITUTE(SUBSTITUTE(SUBSTITUTE(SUBSTITUTE(SUBSTITUTE(SUBSTITUTE(SUBSTITUTE(SUBSTITUTE(SUBSTITUTE(SUBSTITUTE(SUBSTITUTE(SUBSTITUTE(SUBSTITUTE(SUBSTITUTE(SUBSTITUTE(BM495,"b","a"),"c","a"),"d","a"),"e","a"),"f","a"),"g","a"),"h","a"),"i","a"),"j","a"),"k","a"),"l","a"),"m","a"),"n","a"),"o","a"),"p","a"),"q","a"),"r","a"),"s","a"),"t","a"),"u","a"),"v","a"),"w","a"),"x","a"),"y","a"),"z","a")</f>
        <v/>
      </c>
      <c r="BO495" s="61" t="str">
        <f aca="false">SUBSTITUTE(SUBSTITUTE(SUBSTITUTE(SUBSTITUTE(SUBSTITUTE(SUBSTITUTE(SUBSTITUTE(SUBSTITUTE(SUBSTITUTE(LOWER(W495&amp;""),"1","0"),"2","0"),"3","0"),"4","0"),"5","0"),"6","0"),"7","0"),"8","0"),"9","0")</f>
        <v/>
      </c>
      <c r="BP495" s="61" t="str">
        <f aca="false">SUBSTITUTE(SUBSTITUTE(SUBSTITUTE(SUBSTITUTE(SUBSTITUTE(SUBSTITUTE(SUBSTITUTE(SUBSTITUTE(SUBSTITUTE(SUBSTITUTE(SUBSTITUTE(SUBSTITUTE(SUBSTITUTE(SUBSTITUTE(SUBSTITUTE(SUBSTITUTE(SUBSTITUTE(SUBSTITUTE(SUBSTITUTE(SUBSTITUTE(SUBSTITUTE(SUBSTITUTE(SUBSTITUTE(SUBSTITUTE(SUBSTITUTE(BO495,"b","a"),"c","a"),"d","a"),"e","a"),"f","a"),"g","a"),"h","a"),"i","a"),"j","a"),"k","a"),"l","a"),"m","a"),"n","a"),"o","a"),"p","a"),"q","a"),"r","a"),"s","a"),"t","a"),"u","a"),"v","a"),"w","a"),"x","a"),"y","a"),"z","a")</f>
        <v/>
      </c>
      <c r="BQ495" s="61" t="n">
        <f aca="false">IFERROR(IF(AND(ISERROR(SEARCH(" mh"," "&amp;LOWER(W495))),ISNA(MATCH(LEFT(TRIM(BP495),255),{"0000a","000a","00a","0000aa","000aa","00aa","0aa","0000aaa","000aaa","00a00","0a00","0000-0000","00:00","a00","a0","00.00.0000","00/00/0000","00-00-0000","0000-00-00","0000/00/00","0000.00.00","00.00.00","00/00/00","00-00-00","0.00.0000","0/00/0000","0-00-0000"},0)),ISNA(MATCH(LEFT(TRIM(CA495),255),{"0000a","000a","00a","0000aa","000aa","00aa","0aa","0000aaa","000aaa","00a00","0a00","0000-0000","00:00","a00","a0","00.00.0000","00/00/0000","00-00-0000","0000-00-00","0000/00/00","0000.00.00","00.00.00","00/00/00","00-00-00","0.00.0000","0/00/0000","0-00-0000"},0)),LEN(CB495)&gt;=3,NOT(OR(SUBSTITUTE(CB495,"0","")="",AND(LEN(CB495)&gt;=4,CB495=REPT(LEFT(CB495),LEN(CB495))),ISNUMBER(MATCH(CB495,{"123","1234","12345","123456","1234567","12345678","0123","01234","012345","98765","987654","54321"},0)),AND(LEN(CB495)=8,LEFT(CB495,3)="202"))),OR(AND((LEN(CA495)-LEN(SUBSTITUTE(CA495,"a","")))&gt;=1,SUMPRODUCT(--ISNUMBER(SEARCH({"a0","a-0","a_0","a/0","a.0","a#0","0a","0-a","0_a","0/a"},BP495)))&gt;0),ISNUMBER(SEARCH("000000",BP495)))),1,0),0)</f>
        <v>0</v>
      </c>
      <c r="BR495" s="61" t="n">
        <f aca="false">IFERROR(LEN(SUBSTITUTE(CC495," ",""))-SUMPRODUCT((LEN(CC495)-LEN(SUBSTITUTE(CC495," "&amp;L_Role&amp;" "," ")))/(LEN(L_Role)+1)*LEN(L_Role)),0)</f>
        <v>0</v>
      </c>
      <c r="BS495" s="61" t="n">
        <f aca="false">IFERROR(LEN(SUBSTITUTE(CD495," ",""))-SUMPRODUCT((LEN(CD495)-LEN(SUBSTITUTE(CD495," "&amp;L_Role&amp;" "," ")))/(LEN(L_Role)+1)*LEN(L_Role)),0)</f>
        <v>0</v>
      </c>
      <c r="BT4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495,"revision",""),"version",""),"jan",""),"feb",""),"mar",""),"apr",""),"may",""),"jun",""),"jul",""),"aug",""),"sep",""),"oct",""),"nov",""),"dec",""),"utc",""),"gmt",""),"myt",""),"bst",""),"rev",""),"ver",""),"b","a"),"c","a"),"d","a"),"e","a"),"f","a"),"g","a"),"h","a"),"i","a"),"j","a"),"k","a"),"l","a"),"m","a"),"n","a"),"o","a"),"p","a"),"q","a"),"r","a"),"s","a"),"t","a"),"u","a"),"v","a"),"w","a"),"x","a"),"y","a"),"z","a")</f>
        <v/>
      </c>
      <c r="BU495" s="61" t="str">
        <f aca="false">SUBSTITUTE(SUBSTITUTE(SUBSTITUTE(SUBSTITUTE(SUBSTITUTE(SUBSTITUTE(SUBSTITUTE(SUBSTITUTE(SUBSTITUTE(SUBSTITUTE(LEFT(BM495,FIND("0",BM495&amp;"0")-1),"-",""),"_",""),"/",""),".",""),"#",""),"\\",""),":","")," ",""),"(",""),")","")</f>
        <v/>
      </c>
      <c r="BV495" s="61" t="n">
        <f aca="false">0</f>
        <v>0</v>
      </c>
      <c r="BW4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495&amp;""),"a",""),"b",""),"c",""),"d",""),"e",""),"f",""),"g",""),"h",""),"i",""),"j",""),"k",""),"l",""),"m",""),"n",""),"o",""),"p",""),"q",""),"r",""),"s",""),"t",""),"u",""),"v",""),"w",""),"x",""),"y",""),"z",""),"-",""),"_",""),"/",""),".",""),"#",""),"\\",""),":","")," ",""),"(",""),")","")</f>
        <v/>
      </c>
      <c r="BX495" s="61" t="str">
        <f aca="false">SUBSTITUTE(SUBSTITUTE(SUBSTITUTE(SUBSTITUTE(SUBSTITUTE(SUBSTITUTE(SUBSTITUTE(SUBSTITUTE(SUBSTITUTE(SUBSTITUTE(SUBSTITUTE(BM495,"0",""),"-",""),"_",""),"/",""),".",""),"#",""),"\\",""),":","")," ",""),"(",""),")","")</f>
        <v/>
      </c>
      <c r="BY495" s="62" t="n">
        <f aca="false">Q495-T12EarlyH/24</f>
        <v>46319.4583333333</v>
      </c>
      <c r="BZ495" s="61" t="n">
        <f aca="false">IFERROR(IF(IF(TRIM(S495)="Link / file path",AND(LEN(TRIM(Z495))&gt;=5,SUMPRODUCT(--ISNUMBER(SEARCH({"http","www.","\\",":\",".pdf",".jpg",".jpeg",".png",".heic",".xls",".doc",".msg",".eml",".ppt",".txt",".zip"},Z495)))&gt;0),AND(ISERROR(FIND(" ",TRIM(Z495))),NOT(OR(SUMPRODUCT(--ISNUMBER(FIND({",",";","&amp;","+"},Z495)))&gt;0,SUMPRODUCT(--ISNUMBER(SEARCH({"0/aa","0\\aa"},BN495)))&gt;0)),NOT(SUMPRODUCT(--ISNUMBER(SEARCH({"http","www.","\\",":\",".pdf",".jpg",".jpeg",".png",".heic",".xls",".doc",".msg",".eml",".ppt",".txt",".zip"},Z495)))&gt;0),NOT(LOWER(TRIM(Z495))=LOWER(Flights!$F$19)),ISNA(MATCH(BU495,{"mh","rev","revision","ver","version","v","r","a","b","seat","tray","row","gate","bay","stand","page","pg","item","line","no","cart","galley","flight","flt","table","box","bag","oven","etd","eta","std","sta","atd","ata","qty","pax","x","time","tel","ph","mob","day","wk","week","utc","gmt","myt","lt"},0)),NOT(OR(ISNUMBER(MATCH(LEFT(BN495,255),{"0000a","000a","00a","0000aa","000aa","00aa","0aa","0000aaa","000aaa","00a00","0a00","0000-0000","00:00","a00","a0","00.00.0000","00/00/0000","00-00-0000","0000-00-00","0000/00/00","0000.00.00","00.00.00","00/00/00","00-00-00","0.00.0000","0/00/0000","0-00-0000"},0)),ISNUMBER(MATCH(LEFT(BT495,255),{"0000a","000a","00a","0000aa","000aa","00aa","0aa","0000aaa","000aaa","00a00","0a00","0000-0000","00:00","a00","a0","00.00.0000","00/00/0000","00-00-0000","0000-00-00","0000/00/00","0000.00.00","00.00.00","00/00/00","00-00-00","0.00.0000","0/00/0000","0-00-0000"},0)))),NOT(OR(AND(BW495&lt;&gt;"",SUBSTITUTE(BW495,"0","")=""),AND(LEN(BW495)&gt;=4,BW495=REPT(LEFT(BW495),LEN(BW495))),ISNUMBER(MATCH(BW495,{"123","1234","12345","123456","1234567","12345678","0123","01234","012345","98765","987654","54321"},0)),ISNUMBER(MATCH(BX495,{"x","xx","xxx","xxxx","xxxxx","abc","abcd","nil","na","nan","test","tbc","tba","tbd","dummy","sample","example","eg","zz","zzz","none","null","xyz","qwe","asd","id","ref"},0)),AND(LEN(BW495)=8,BX495="",OR(LEFT(BW495,3)="202",ISNUMBER(MATCH(RIGHT(BW495,4),{"2025","2026","2027"},0)))))),OR(AND((LEN(BT495)-LEN(SUBSTITUTE(BT495,"a","")))&gt;=1,(LEN(BN495)-LEN(SUBSTITUTE(BN495,"0","")))&gt;=2,SUMPRODUCT(--ISNUMBER(SEARCH({"a0","a-0","a_0","a/0","a.0","a#0","0a","0-a","0_a","0/a"},BN495)))&gt;0),AND((LEN(BN495)-LEN(SUBSTITUTE(BN495,"a","")))=0,(LEN(BN495)-LEN(SUBSTITUTE(BN495,"0","")))&gt;=5)))),1,0),0)</f>
        <v>0</v>
      </c>
      <c r="CA4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495,"revision",""),"version",""),"jan",""),"feb",""),"mar",""),"apr",""),"may",""),"jun",""),"jul",""),"aug",""),"sep",""),"oct",""),"nov",""),"dec",""),"utc",""),"gmt",""),"myt",""),"bst",""),"rev",""),"ver",""),"b","a"),"c","a"),"d","a"),"e","a"),"f","a"),"g","a"),"h","a"),"i","a"),"j","a"),"k","a"),"l","a"),"m","a"),"n","a"),"o","a"),"p","a"),"q","a"),"r","a"),"s","a"),"t","a"),"u","a"),"v","a"),"w","a"),"x","a"),"y","a"),"z","a")</f>
        <v/>
      </c>
      <c r="CB4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495&amp;""),"a",""),"b",""),"c",""),"d",""),"e",""),"f",""),"g",""),"h",""),"i",""),"j",""),"k",""),"l",""),"m",""),"n",""),"o",""),"p",""),"q",""),"r",""),"s",""),"t",""),"u",""),"v",""),"w",""),"x",""),"y",""),"z",""),"-",""),"_",""),"/",""),".",""),"#",""),"\\",""),":","")," ",""),"(",""),")","")</f>
        <v/>
      </c>
      <c r="CC495" s="0" t="str">
        <f aca="false">" "&amp;TRIM(SUBSTITUTE(SUBSTITUTE(SUBSTITUTE(SUBSTITUTE(SUBSTITUTE(SUBSTITUTE(SUBSTITUTE(SUBSTITUTE(SUBSTITUTE(SUBSTITUTE(SUBSTITUTE(SUBSTITUTE(SUBSTITUTE(SUBSTITUTE(SUBSTITUTE(SUBSTITUTE(SUBSTITUTE(SUBSTITUTE(SUBSTITUTE(SUBSTITUTE(SUBSTITUTE(SUBSTITUTE(SUBSTITUTE(SUBSTITUTE(LOWER(T495&amp;""),CHAR(10)," "),CHAR(13)," "),CHAR(9)," "),CHAR(160)," "),"."," "),","," "),"-"," "),"/"," "),"("," "),")"," "),":"," "),";"," "),"_"," "),"–"," "),"?"," "),"!"," "),"*"," "),"["," "),"]"," "),"'"," "),"#"," "),"+"," "),"&amp;"," "),"\"," "))&amp;" "</f>
        <v>  </v>
      </c>
      <c r="CD495" s="0" t="str">
        <f aca="false">" "&amp;TRIM(SUBSTITUTE(SUBSTITUTE(SUBSTITUTE(SUBSTITUTE(SUBSTITUTE(SUBSTITUTE(SUBSTITUTE(SUBSTITUTE(SUBSTITUTE(SUBSTITUTE(SUBSTITUTE(SUBSTITUTE(SUBSTITUTE(SUBSTITUTE(SUBSTITUTE(SUBSTITUTE(SUBSTITUTE(SUBSTITUTE(SUBSTITUTE(SUBSTITUTE(SUBSTITUTE(SUBSTITUTE(SUBSTITUTE(SUBSTITUTE(LOWER(AE495&amp;""),CHAR(10)," "),CHAR(13)," "),CHAR(9)," "),CHAR(160)," "),"."," "),","," "),"-"," "),"/"," "),"("," "),")"," "),":"," "),";"," "),"_"," "),"–"," "),"?"," "),"!"," "),"*"," "),"["," "),"]"," "),"'"," "),"#"," "),"+"," "),"&amp;"," "),"\"," "))&amp;" "</f>
        <v>  </v>
      </c>
      <c r="CE495" s="68" t="n">
        <f aca="false">IFERROR(IF(AND(LEN(AU495)&gt;0,LEN(AU495)=LEN(AX495),OR(TRIM(MID(SUBSTITUTE(TRIM(CC495)," ",REPT(" ",60)),1,60))="",ISNUMBER(SEARCH(" "&amp;TRIM(MID(SUBSTITUTE(TRIM(CC495)," ",REPT(" ",60)),1,60))&amp;" ",CD495))),OR(TRIM(MID(SUBSTITUTE(TRIM(CC495)," ",REPT(" ",60)),61,60))="",ISNUMBER(SEARCH(" "&amp;TRIM(MID(SUBSTITUTE(TRIM(CC495)," ",REPT(" ",60)),61,60))&amp;" ",CD495))),OR(TRIM(MID(SUBSTITUTE(TRIM(CC495)," ",REPT(" ",60)),121,60))="",ISNUMBER(SEARCH(" "&amp;TRIM(MID(SUBSTITUTE(TRIM(CC495)," ",REPT(" ",60)),121,60))&amp;" ",CD495)))),1,0),0)</f>
        <v>0</v>
      </c>
      <c r="CG495" s="68" t="n">
        <f aca="false">IFERROR(LEN(SUBSTITUTE(BF495," ",""))-SUMPRODUCT((LEN(BF495)-LEN(SUBSTITUTE(BF495," "&amp;L_NAFiller&amp;" "," ")))/(LEN(L_NAFiller)+1)*LEN(L_NAFiller)),0)</f>
        <v>0</v>
      </c>
    </row>
    <row r="496" customFormat="false" ht="141" hidden="false" customHeight="true" outlineLevel="0" collapsed="false">
      <c r="A496" s="57" t="s">
        <v>1149</v>
      </c>
      <c r="B496" s="57" t="s">
        <v>278</v>
      </c>
      <c r="C496" s="57" t="str">
        <f aca="false">Flights!$F$19</f>
        <v>MH0003</v>
      </c>
      <c r="D496" s="58" t="n">
        <f aca="false">Flights!$D$19</f>
        <v>46320</v>
      </c>
      <c r="E496" s="57" t="str">
        <f aca="false">Flights!$G$19&amp;"-"&amp;Flights!$H$19</f>
        <v>LHR-KUL</v>
      </c>
      <c r="F496" s="57" t="str">
        <f aca="false">Flights!$K$19</f>
        <v>EY</v>
      </c>
      <c r="G496" s="57" t="s">
        <v>420</v>
      </c>
      <c r="H496" s="57" t="s">
        <v>378</v>
      </c>
      <c r="I496" s="57" t="s">
        <v>428</v>
      </c>
      <c r="J496" s="57" t="s">
        <v>435</v>
      </c>
      <c r="K496" s="67" t="s">
        <v>436</v>
      </c>
      <c r="L496" s="67" t="s">
        <v>422</v>
      </c>
      <c r="M496" s="67"/>
      <c r="N496" s="67" t="s">
        <v>383</v>
      </c>
      <c r="O496" s="67" t="s">
        <v>423</v>
      </c>
      <c r="P496" s="57" t="s">
        <v>186</v>
      </c>
      <c r="Q496" s="59" t="n">
        <f aca="false">ROUND((Flights!$AE$19)*1440,0)/1440</f>
        <v>46319.9583333333</v>
      </c>
      <c r="R496" s="59" t="n">
        <f aca="false">Q496+(IF(AND(INDEX(TZ_DSTS,MATCH(P496,TZ_STN,0))&lt;&gt;"",Q496&gt;=INDEX(TZ_DSTS,MATCH(P496,TZ_STN,0)),Q496&lt;INDEX(TZ_DSTE,MATCH(P496,TZ_STN,0))),INDEX(TZ_DST,MATCH(P496,TZ_STN,0)),INDEX(TZ_STD,MATCH(P496,TZ_STN,0))))/24</f>
        <v>46320</v>
      </c>
      <c r="S496" s="60"/>
      <c r="T496" s="60"/>
      <c r="U496" s="60"/>
      <c r="V496" s="60"/>
      <c r="W496" s="61"/>
      <c r="X496" s="60"/>
      <c r="Y496" s="60"/>
      <c r="Z496" s="60"/>
      <c r="AA496" s="60"/>
      <c r="AB496" s="60"/>
      <c r="AC496" s="60"/>
      <c r="AD496" s="66"/>
      <c r="AE496" s="60"/>
      <c r="AF496" s="61" t="str">
        <f aca="false">IF(AND(ISNUMBER(X496),ISNUMBER(Y496)),Y496-X496,"")</f>
        <v/>
      </c>
      <c r="AG496" s="62" t="str">
        <f aca="false">IF(ISNUMBER(AD496),AD496-(IF(AND(INDEX(TZ_DSTS,MATCH(P496,TZ_STN,0))&lt;&gt;"",(AD496-INDEX(TZ_STD,MATCH(P496,TZ_STN,0))/24)&gt;=INDEX(TZ_DSTS,MATCH(P496,TZ_STN,0)),(AD496-INDEX(TZ_STD,MATCH(P496,TZ_STN,0))/24)&lt;INDEX(TZ_DSTE,MATCH(P496,TZ_STN,0))),INDEX(TZ_DST,MATCH(P496,TZ_STN,0)),INDEX(TZ_STD,MATCH(P496,TZ_STN,0))))/24,"")</f>
        <v/>
      </c>
      <c r="AH496" s="65" t="str">
        <f aca="false">IFERROR(IF(N496="N/A – rule",IF(OR(TRIM(U496)="",TRIM(U496)="N/A",TRIM(U496)="Not started"),"N/A – RULE","INVALID – this check does not apply to this aircraft: clear the status (or correct the fleet on Flights)"),IF(TRIM(U496)="N/A",IF(AT496=0,"INVALID – N/A not permitted for this check",IF(AND(TRIM(AB496)&lt;&gt;"",TRIM(AB496)&lt;&gt;"Closed"),"INVALID – corrective action still open",IF(AND(NOT(OR(LEN(AZ496)&lt;15,ISNUMBER(MATCH(AZ496,L_Placeholder,0)))),BK496=0,CG496&gt;=8,NOT(OR(LEN(AU496)&lt;2,ISNUMBER(MATCH(AU496,L_Placeholder,0)))),BR496&gt;=3,NOT(OR(LEN(AX496)&lt;2,ISNUMBER(MATCH(AX496,L_Placeholder,0)))),BS496&gt;=3,TRIM(AE496)&lt;&gt;TRIM(T496),AX496&lt;&gt;AU496,CE496=0),"N/A – JUSTIFIED","INVALID – N/A needs a real, settled reason (not 'not applicable' / 'as above' / TBC), a named PIC and a different named verifier"))),IF(OR(TRIM(U496)="Pass",TRIM(U496)="Pass after CA"),IF(NOT(ISNUMBER(AD496)),"INVALID – completion time missing",IF(OR(OR(LEN(AU496)&lt;2,ISNUMBER(MATCH(AU496,L_Placeholder,0))),BR496&lt;3),"INVALID – PIC missing or not a named person (a role such as QA / CSM is not a name)",IF(OR(LEN(AV496)&lt;2,ISNUMBER(MATCH(AV496,L_Placeholder,0))),"INVALID – result / assessment missing",IF(OR(OR(LEN(AW496)&lt;3,ISNUMBER(MATCH(AW496,L_Placeholder,0))),SUMPRODUCT(--ISNUMBER(SEARCH(" "&amp;L_EvidencePhrase&amp;" ",BD496)))&gt;0,BI496=1),"INVALID – evidence missing, placeholder or not yet on file",IF(ISNA(MATCH(TRIM(S496),L_EvidenceType,0)),"INVALID – choose the evidence type from the list (column S)",IF(BL496=0,"INVALID – evidence ID must be the record's own ID only (e.g. SF-2210, IMG_2231, 1045521); a link / file name needs type 'Link / file path'",IF(OR(OR(LEN(AX496)&lt;2,ISNUMBER(MATCH(AX496,L_Placeholder,0))),BS496&lt;3),"INVALID – verifier missing or not a named person (a role such as QA / CSM is not a name)",IF(OR(AX496=AU496,CE496=1,AND(LEN(AU496)&gt;=4,ISNUMBER(SEARCH(AU496,AX496))),AND(LEN(AX496)&gt;=4,ISNUMBER(SEARCH(AX496,AU496)))),"INVALID – verifier must be a different, named person (not the PIC or a role)",IF(BH496=1,"INVALID – result not yet available (awaiting / TBC)",IF(BG496=1,"INVALID – result describes a problem: record Fail, then Pass after CA (or reword if it is not a problem)",IF(BV496=1,"INVALID – wording says not on board: an on-board confirmation needs the item loaded",IF(AND(AQ496=1,OR(OR(LEN(AY496)&lt;3,ISNUMBER(MATCH(AY496,L_Placeholder,0))),BJ496=1,BQ496=0)),"INVALID – batch ID missing, placeholder or not an ID (e.g. PASB-261008-BC-017)",IF(AND(AR496=1,OR(NOT(ISNUMBER(X496)),NOT(ISNUMBER(Y496)))),"INVALID – expected/actual qty missing",IF(AND(AR496=1,OR(X496&lt;=0,Y496&lt;0)),"INVALID – expected qty must be above 0 and actual not negative",IF(BB496&lt;&gt;"",BB496,IF(AND(AS496=1,Documents!$J$19&lt;&gt;"ON FILE"),"INVALID – GLD not on file (Documents sheet)",IF(AND(AS496=2,Documents!$O$19&lt;&gt;"ON FILE"),"INVALID – menu checklist not on file (Documents sheet)",IF(AND(AS496=3,NOT(ISNUMBER(Flights!$AX$19))),"INVALID – enter carrying flight KUL departure (Flights AX)",IF(AND(AS496=3,OR(Flights!$AZ$19&gt;Flights!$AA$19,Flights!$AX$19&lt;Flights!$AA$19-3)),"INVALID – carrying flight (Flights AX) cannot arrive before this leg's STD, or is over 3 days early",IF(AG496&gt;AsOfUTC,"INVALID – completion time is in the future",IF(AND(ISNUMBER(BY496),AG496&lt;BY496),IF(H496="Physical uplift","INVALID – before uplift window (cannot confirm loading)","INVALID – before valid window"),IF(AG496&gt;Flights!$AA$19,"INVALID – completed after departure (cannot establish readiness)",IF(AND(H496="Preparation",AG496&gt;=IF(ISNUMBER(Flights!$BA$19),MIN(Flights!$BA$19,Flights!$AA$19),Flights!$AA$19)),"INVALID – completed after loading / departure (cannot establish readiness)",IF(AND(H496="Physical uplift",AG496&gt;Q496),"INVALID – recorded after the loading flight departed",IF(AG496&gt;Q496,"COMPLETE – LATE","COMPLETE"))))))))))))))))))))))))),IF(TRIM(U496)="Fail","FAIL – DISCREPANCY",IF(AND(TRIM(U496)&lt;&gt;"",TRIM(U496)&lt;&gt;"Not started",TRIM(U496)&lt;&gt;"In progress"),"INVALID – unrecognised status (use the list)",IF(AsOfUTC&gt;Q496,"OVERDUE",IF(N496="Clarification required","OPEN – CLARIFICATION","OPEN"))))))),"INVALID – error value in an input cell")</f>
        <v>OPEN</v>
      </c>
      <c r="AI496" s="61" t="n">
        <f aca="false">IF(OR(AH496="N/A – RULE",AH496="N/A – JUSTIFIED"),0,1)</f>
        <v>1</v>
      </c>
      <c r="AJ496" s="61" t="n">
        <f aca="false">IF(LEFT(AH496,8)="COMPLETE",1,0)</f>
        <v>0</v>
      </c>
      <c r="AK496" s="61" t="n">
        <f aca="false">IF(AND(AI496=1,AJ496=0,AsOfUTC&gt;Q496),1,0)</f>
        <v>0</v>
      </c>
      <c r="AL496" s="61" t="n">
        <f aca="false">IFERROR(IF(AND(AI496=1,OR(TRIM(U496)="Fail",AND(TRIM(AB496)&lt;&gt;"",TRIM(AB496)&lt;&gt;"Closed"),AND(ISNUMBER(AF496),AF496&lt;&gt;0,TRIM(U496)&lt;&gt;"Pass after CA"))),1,0),1)</f>
        <v>0</v>
      </c>
      <c r="AM496" s="61" t="n">
        <f aca="false">IF(LEFT(AH496,7)="INVALID",1,0)</f>
        <v>0</v>
      </c>
      <c r="AN496" s="61" t="n">
        <f aca="false">IF(AND(N496="Clarification required",AI496=1,AJ496=0),1,0)</f>
        <v>0</v>
      </c>
      <c r="AO496" s="61" t="str">
        <f aca="false">IF(AK496=1,SUM(AK$5:AK496),"")</f>
        <v/>
      </c>
      <c r="AP496" s="61" t="str">
        <f aca="false">IF(AL496=1,SUM(AL$5:AL496),"")</f>
        <v/>
      </c>
      <c r="AQ496" s="61" t="n">
        <v>0</v>
      </c>
      <c r="AR496" s="61" t="n">
        <v>1</v>
      </c>
      <c r="AS496" s="61" t="n">
        <v>0</v>
      </c>
      <c r="AT496" s="61" t="n">
        <v>0</v>
      </c>
      <c r="AU496" s="61" t="str">
        <f aca="false">SUBSTITUTE(SUBSTITUTE(SUBSTITUTE(SUBSTITUTE(SUBSTITUTE(SUBSTITUTE(SUBSTITUTE(SUBSTITUTE(SUBSTITUTE(SUBSTITUTE(SUBSTITUTE(SUBSTITUTE(SUBSTITUTE(SUBSTITUTE(SUBSTITUTE(SUBSTITUTE(LOWER(T496&amp;""),CHAR(10),""),CHAR(13),""),CHAR(9),""),CHAR(160),"")," ",""),".",""),"-",""),"/",""),"?",""),"_",""),",",""),"[",""),"]",""),"(",""),")",""),"*","")</f>
        <v/>
      </c>
      <c r="AV496" s="61" t="str">
        <f aca="false">SUBSTITUTE(SUBSTITUTE(SUBSTITUTE(SUBSTITUTE(SUBSTITUTE(SUBSTITUTE(SUBSTITUTE(SUBSTITUTE(SUBSTITUTE(SUBSTITUTE(SUBSTITUTE(SUBSTITUTE(SUBSTITUTE(SUBSTITUTE(SUBSTITUTE(SUBSTITUTE(LOWER(V496&amp;""),CHAR(10),""),CHAR(13),""),CHAR(9),""),CHAR(160),"")," ",""),".",""),"-",""),"/",""),"?",""),"_",""),",",""),"[",""),"]",""),"(",""),")",""),"*","")</f>
        <v/>
      </c>
      <c r="AW496" s="61" t="str">
        <f aca="false">SUBSTITUTE(SUBSTITUTE(SUBSTITUTE(SUBSTITUTE(SUBSTITUTE(SUBSTITUTE(SUBSTITUTE(SUBSTITUTE(SUBSTITUTE(SUBSTITUTE(SUBSTITUTE(SUBSTITUTE(SUBSTITUTE(SUBSTITUTE(SUBSTITUTE(SUBSTITUTE(LOWER(Z496&amp;""),CHAR(10),""),CHAR(13),""),CHAR(9),""),CHAR(160),"")," ",""),".",""),"-",""),"/",""),"?",""),"_",""),",",""),"[",""),"]",""),"(",""),")",""),"*","")</f>
        <v/>
      </c>
      <c r="AX496" s="61" t="str">
        <f aca="false">SUBSTITUTE(SUBSTITUTE(SUBSTITUTE(SUBSTITUTE(SUBSTITUTE(SUBSTITUTE(SUBSTITUTE(SUBSTITUTE(SUBSTITUTE(SUBSTITUTE(SUBSTITUTE(SUBSTITUTE(SUBSTITUTE(SUBSTITUTE(SUBSTITUTE(SUBSTITUTE(LOWER(AE496&amp;""),CHAR(10),""),CHAR(13),""),CHAR(9),""),CHAR(160),"")," ",""),".",""),"-",""),"/",""),"?",""),"_",""),",",""),"[",""),"]",""),"(",""),")",""),"*","")</f>
        <v/>
      </c>
      <c r="AY496" s="61" t="str">
        <f aca="false">SUBSTITUTE(SUBSTITUTE(SUBSTITUTE(SUBSTITUTE(SUBSTITUTE(SUBSTITUTE(SUBSTITUTE(SUBSTITUTE(SUBSTITUTE(SUBSTITUTE(SUBSTITUTE(SUBSTITUTE(SUBSTITUTE(SUBSTITUTE(SUBSTITUTE(SUBSTITUTE(LOWER(W496&amp;""),CHAR(10),""),CHAR(13),""),CHAR(9),""),CHAR(160),"")," ",""),".",""),"-",""),"/",""),"?",""),"_",""),",",""),"[",""),"]",""),"(",""),")",""),"*","")</f>
        <v/>
      </c>
      <c r="AZ496" s="61" t="str">
        <f aca="false">SUBSTITUTE(SUBSTITUTE(SUBSTITUTE(SUBSTITUTE(SUBSTITUTE(SUBSTITUTE(SUBSTITUTE(SUBSTITUTE(SUBSTITUTE(SUBSTITUTE(SUBSTITUTE(SUBSTITUTE(SUBSTITUTE(SUBSTITUTE(SUBSTITUTE(SUBSTITUTE(LOWER(AC496&amp;""),CHAR(10),""),CHAR(13),""),CHAR(9),""),CHAR(160),"")," ",""),".",""),"-",""),"/",""),"?",""),"_",""),",",""),"[",""),"]",""),"(",""),")",""),"*","")</f>
        <v/>
      </c>
      <c r="BA496" s="61" t="str">
        <f aca="false">SUBSTITUTE(SUBSTITUTE(SUBSTITUTE(SUBSTITUTE(SUBSTITUTE(SUBSTITUTE(SUBSTITUTE(SUBSTITUTE(SUBSTITUTE(SUBSTITUTE(SUBSTITUTE(SUBSTITUTE(SUBSTITUTE(SUBSTITUTE(SUBSTITUTE(SUBSTITUTE(LOWER(AA496&amp;""),CHAR(10),""),CHAR(13),""),CHAR(9),""),CHAR(160),"")," ",""),".",""),"-",""),"/",""),"?",""),"_",""),",",""),"[",""),"]",""),"(",""),")",""),"*","")</f>
        <v/>
      </c>
      <c r="BB496" s="61" t="str">
        <f aca="false">IF(AND(TRIM(U496)="Pass",ISNUMBER(AF496)),IF(AF496&lt;&gt;0,"INVALID – qty variance: use Fail or Pass after CA",""),"")&amp;IF(AND(TRIM(U496)="Pass after CA",ISNUMBER(AF496)),IF(AF496&lt;&gt;0,"INVALID – after the corrective action the actual qty must equal expected (update Actual)",""),"")&amp;IF(AND(TRIM(U496)="Pass",TRIM(AB496)&lt;&gt;"",TRIM(AB496)&lt;&gt;"Closed"),"INVALID – corrective action not closed: use Fail, then Pass after CA","")&amp;IF(AND(LEN(BA496)&gt;=2,ISNA(MATCH(LEFT(BA496,255),L_Placeholder,0)),TRIM(AB496)=""),"INVALID – CA status missing for the recorded corrective action","")&amp;IF(AND(TRIM(U496)="Pass after CA",OR(OR(LEN(BA496)&lt;5,ISNUMBER(MATCH(BA496,L_Placeholder,0))),TRIM(AB496)&lt;&gt;"Closed")),"INVALID – corrective action not recorded/closed","")</f>
        <v/>
      </c>
      <c r="BC496" s="61" t="str">
        <f aca="false">" "&amp;TRIM(SUBSTITUTE(SUBSTITUTE(SUBSTITUTE(SUBSTITUTE(SUBSTITUTE(SUBSTITUTE(SUBSTITUTE(SUBSTITUTE(SUBSTITUTE(SUBSTITUTE(SUBSTITUTE(SUBSTITUTE(SUBSTITUTE(SUBSTITUTE(SUBSTITUTE(SUBSTITUTE(SUBSTITUTE(SUBSTITUTE(SUBSTITUTE(SUBSTITUTE(SUBSTITUTE(SUBSTITUTE(SUBSTITUTE(SUBSTITUTE(LOWER(V496&amp;""),CHAR(10)," "),CHAR(13)," "),CHAR(9)," "),CHAR(160)," "),"."," "),","," "),"-"," "),"/"," "),"("," "),")"," "),":"," "),";"," "),"_"," "),"–"," "),"?"," "),"!"," "),"*"," "),"["," "),"]"," "),"'"," "),"#"," "),"+"," "),"&amp;"," "),"\"," "))&amp;" "</f>
        <v>  </v>
      </c>
      <c r="BD496" s="61" t="str">
        <f aca="false">" "&amp;TRIM(SUBSTITUTE(SUBSTITUTE(SUBSTITUTE(SUBSTITUTE(SUBSTITUTE(SUBSTITUTE(SUBSTITUTE(SUBSTITUTE(SUBSTITUTE(SUBSTITUTE(SUBSTITUTE(SUBSTITUTE(SUBSTITUTE(SUBSTITUTE(SUBSTITUTE(SUBSTITUTE(SUBSTITUTE(SUBSTITUTE(SUBSTITUTE(SUBSTITUTE(SUBSTITUTE(SUBSTITUTE(SUBSTITUTE(SUBSTITUTE(LOWER(Z496&amp;""),CHAR(10)," "),CHAR(13)," "),CHAR(9)," "),CHAR(160)," "),"."," "),","," "),"-"," "),"/"," "),"("," "),")"," "),":"," "),";"," "),"_"," "),"–"," "),"?"," "),"!"," "),"*"," "),"["," "),"]"," "),"'"," "),"#"," "),"+"," "),"&amp;"," "),"\"," "))&amp;" "</f>
        <v>  </v>
      </c>
      <c r="BE496" s="61" t="str">
        <f aca="false">" "&amp;TRIM(SUBSTITUTE(SUBSTITUTE(SUBSTITUTE(SUBSTITUTE(SUBSTITUTE(SUBSTITUTE(SUBSTITUTE(SUBSTITUTE(SUBSTITUTE(SUBSTITUTE(SUBSTITUTE(SUBSTITUTE(SUBSTITUTE(SUBSTITUTE(SUBSTITUTE(SUBSTITUTE(SUBSTITUTE(SUBSTITUTE(SUBSTITUTE(SUBSTITUTE(SUBSTITUTE(SUBSTITUTE(SUBSTITUTE(SUBSTITUTE(LOWER(W496&amp;""),CHAR(10)," "),CHAR(13)," "),CHAR(9)," "),CHAR(160)," "),"."," "),","," "),"-"," "),"/"," "),"("," "),")"," "),":"," "),";"," "),"_"," "),"–"," "),"?"," "),"!"," "),"*"," "),"["," "),"]"," "),"'"," "),"#"," "),"+"," "),"&amp;"," "),"\"," "))&amp;" "</f>
        <v>  </v>
      </c>
      <c r="BF496" s="61" t="str">
        <f aca="false">" "&amp;TRIM(SUBSTITUTE(SUBSTITUTE(SUBSTITUTE(SUBSTITUTE(SUBSTITUTE(SUBSTITUTE(SUBSTITUTE(SUBSTITUTE(SUBSTITUTE(SUBSTITUTE(SUBSTITUTE(SUBSTITUTE(SUBSTITUTE(SUBSTITUTE(SUBSTITUTE(SUBSTITUTE(SUBSTITUTE(SUBSTITUTE(SUBSTITUTE(SUBSTITUTE(SUBSTITUTE(SUBSTITUTE(SUBSTITUTE(SUBSTITUTE(LOWER(AC496&amp;""),CHAR(10)," "),CHAR(13)," "),CHAR(9)," "),CHAR(160)," "),"."," "),","," "),"-"," "),"/"," "),"("," "),")"," "),":"," "),";"," "),"_"," "),"–"," "),"?"," "),"!"," "),"*"," "),"["," "),"]"," "),"'"," "),"#"," "),"+"," "),"&amp;"," "),"\"," "))&amp;" "</f>
        <v>  </v>
      </c>
      <c r="BG496" s="61" t="n">
        <f aca="false">IFERROR(IF(AND(TRIM(U496)="Pass",SUMPRODUCT((LEN(BC496)-LEN(SUBSTITUTE(BC496," "&amp;L_ResultBad&amp;" "," ")))/(LEN(L_ResultBad)+1))&gt;SUMPRODUCT((LEN(BC496)-LEN(SUBSTITUTE(BC496," "&amp;L_NegPhrase&amp;" "," ")))/(LEN(L_NegPhrase)+1))),1,0),0)</f>
        <v>0</v>
      </c>
      <c r="BH496" s="61" t="n">
        <f aca="false">IFERROR(IF(SUMPRODUCT((LEN(BC496)-LEN(SUBSTITUTE(BC496," "&amp;L_Pending&amp;" "," ")))/(LEN(L_Pending)+1))&gt;SUMPRODUCT((LEN(BC496)-LEN(SUBSTITUTE(BC496," "&amp;L_PendNeg&amp;" "," ")))/(LEN(L_PendNeg)+1))+SUMPRODUCT((LEN(BC496)-LEN(SUBSTITUTE(BC496," "&amp;L_PendPrep&amp;" "," ")))/(LEN(L_PendPrep)+1)),1,0),1)</f>
        <v>0</v>
      </c>
      <c r="BI496" s="61" t="n">
        <f aca="false">IFERROR(IF(SUMPRODUCT((LEN(BD496)-LEN(SUBSTITUTE(BD496," "&amp;L_PendStrict&amp;" "," ")))/(LEN(L_PendStrict)+1))&gt;SUMPRODUCT((LEN(BD496)-LEN(SUBSTITUTE(BD496," "&amp;L_PendNeg&amp;" "," ")))/(LEN(L_PendNeg)+1)),1,0),1)</f>
        <v>0</v>
      </c>
      <c r="BJ496" s="61" t="n">
        <f aca="false">IFERROR(IF(SUMPRODUCT((LEN(BE496)-LEN(SUBSTITUTE(BE496," "&amp;L_Pending&amp;" "," ")))/(LEN(L_Pending)+1))&gt;SUMPRODUCT((LEN(BE496)-LEN(SUBSTITUTE(BE496," "&amp;L_PendNeg&amp;" "," ")))/(LEN(L_PendNeg)+1))+SUMPRODUCT((LEN(BE496)-LEN(SUBSTITUTE(BE496," "&amp;L_PendPrep&amp;" "," ")))/(LEN(L_PendPrep)+1)),1,0),1)</f>
        <v>0</v>
      </c>
      <c r="BK496" s="61" t="n">
        <f aca="false">IFERROR(IF(SUMPRODUCT((LEN(BF496)-LEN(SUBSTITUTE(BF496," "&amp;L_PendStrict&amp;" "," ")))/(LEN(L_PendStrict)+1))&gt;SUMPRODUCT((LEN(BF496)-LEN(SUBSTITUTE(BF496," "&amp;L_PendNeg&amp;" "," ")))/(LEN(L_PendNeg)+1)),1,0),1)</f>
        <v>0</v>
      </c>
      <c r="BL496" s="61" t="n">
        <f aca="false">IF(ISNA(MATCH(TRIM(S496),L_EvidenceType,0)),0,BZ496)</f>
        <v>0</v>
      </c>
      <c r="BM496" s="61" t="str">
        <f aca="false">SUBSTITUTE(SUBSTITUTE(SUBSTITUTE(SUBSTITUTE(SUBSTITUTE(SUBSTITUTE(SUBSTITUTE(SUBSTITUTE(SUBSTITUTE(LOWER(Z496&amp;""),"1","0"),"2","0"),"3","0"),"4","0"),"5","0"),"6","0"),"7","0"),"8","0"),"9","0")</f>
        <v/>
      </c>
      <c r="BN496" s="61" t="str">
        <f aca="false">SUBSTITUTE(SUBSTITUTE(SUBSTITUTE(SUBSTITUTE(SUBSTITUTE(SUBSTITUTE(SUBSTITUTE(SUBSTITUTE(SUBSTITUTE(SUBSTITUTE(SUBSTITUTE(SUBSTITUTE(SUBSTITUTE(SUBSTITUTE(SUBSTITUTE(SUBSTITUTE(SUBSTITUTE(SUBSTITUTE(SUBSTITUTE(SUBSTITUTE(SUBSTITUTE(SUBSTITUTE(SUBSTITUTE(SUBSTITUTE(SUBSTITUTE(BM496,"b","a"),"c","a"),"d","a"),"e","a"),"f","a"),"g","a"),"h","a"),"i","a"),"j","a"),"k","a"),"l","a"),"m","a"),"n","a"),"o","a"),"p","a"),"q","a"),"r","a"),"s","a"),"t","a"),"u","a"),"v","a"),"w","a"),"x","a"),"y","a"),"z","a")</f>
        <v/>
      </c>
      <c r="BO496" s="61" t="str">
        <f aca="false">SUBSTITUTE(SUBSTITUTE(SUBSTITUTE(SUBSTITUTE(SUBSTITUTE(SUBSTITUTE(SUBSTITUTE(SUBSTITUTE(SUBSTITUTE(LOWER(W496&amp;""),"1","0"),"2","0"),"3","0"),"4","0"),"5","0"),"6","0"),"7","0"),"8","0"),"9","0")</f>
        <v/>
      </c>
      <c r="BP496" s="61" t="str">
        <f aca="false">SUBSTITUTE(SUBSTITUTE(SUBSTITUTE(SUBSTITUTE(SUBSTITUTE(SUBSTITUTE(SUBSTITUTE(SUBSTITUTE(SUBSTITUTE(SUBSTITUTE(SUBSTITUTE(SUBSTITUTE(SUBSTITUTE(SUBSTITUTE(SUBSTITUTE(SUBSTITUTE(SUBSTITUTE(SUBSTITUTE(SUBSTITUTE(SUBSTITUTE(SUBSTITUTE(SUBSTITUTE(SUBSTITUTE(SUBSTITUTE(SUBSTITUTE(BO496,"b","a"),"c","a"),"d","a"),"e","a"),"f","a"),"g","a"),"h","a"),"i","a"),"j","a"),"k","a"),"l","a"),"m","a"),"n","a"),"o","a"),"p","a"),"q","a"),"r","a"),"s","a"),"t","a"),"u","a"),"v","a"),"w","a"),"x","a"),"y","a"),"z","a")</f>
        <v/>
      </c>
      <c r="BQ496" s="61" t="n">
        <f aca="false">IFERROR(IF(AND(ISERROR(SEARCH(" mh"," "&amp;LOWER(W496))),ISNA(MATCH(LEFT(TRIM(BP496),255),{"0000a","000a","00a","0000aa","000aa","00aa","0aa","0000aaa","000aaa","00a00","0a00","0000-0000","00:00","a00","a0","00.00.0000","00/00/0000","00-00-0000","0000-00-00","0000/00/00","0000.00.00","00.00.00","00/00/00","00-00-00","0.00.0000","0/00/0000","0-00-0000"},0)),ISNA(MATCH(LEFT(TRIM(CA496),255),{"0000a","000a","00a","0000aa","000aa","00aa","0aa","0000aaa","000aaa","00a00","0a00","0000-0000","00:00","a00","a0","00.00.0000","00/00/0000","00-00-0000","0000-00-00","0000/00/00","0000.00.00","00.00.00","00/00/00","00-00-00","0.00.0000","0/00/0000","0-00-0000"},0)),LEN(CB496)&gt;=3,NOT(OR(SUBSTITUTE(CB496,"0","")="",AND(LEN(CB496)&gt;=4,CB496=REPT(LEFT(CB496),LEN(CB496))),ISNUMBER(MATCH(CB496,{"123","1234","12345","123456","1234567","12345678","0123","01234","012345","98765","987654","54321"},0)),AND(LEN(CB496)=8,LEFT(CB496,3)="202"))),OR(AND((LEN(CA496)-LEN(SUBSTITUTE(CA496,"a","")))&gt;=1,SUMPRODUCT(--ISNUMBER(SEARCH({"a0","a-0","a_0","a/0","a.0","a#0","0a","0-a","0_a","0/a"},BP496)))&gt;0),ISNUMBER(SEARCH("000000",BP496)))),1,0),0)</f>
        <v>0</v>
      </c>
      <c r="BR496" s="61" t="n">
        <f aca="false">IFERROR(LEN(SUBSTITUTE(CC496," ",""))-SUMPRODUCT((LEN(CC496)-LEN(SUBSTITUTE(CC496," "&amp;L_Role&amp;" "," ")))/(LEN(L_Role)+1)*LEN(L_Role)),0)</f>
        <v>0</v>
      </c>
      <c r="BS496" s="61" t="n">
        <f aca="false">IFERROR(LEN(SUBSTITUTE(CD496," ",""))-SUMPRODUCT((LEN(CD496)-LEN(SUBSTITUTE(CD496," "&amp;L_Role&amp;" "," ")))/(LEN(L_Role)+1)*LEN(L_Role)),0)</f>
        <v>0</v>
      </c>
      <c r="BT4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496,"revision",""),"version",""),"jan",""),"feb",""),"mar",""),"apr",""),"may",""),"jun",""),"jul",""),"aug",""),"sep",""),"oct",""),"nov",""),"dec",""),"utc",""),"gmt",""),"myt",""),"bst",""),"rev",""),"ver",""),"b","a"),"c","a"),"d","a"),"e","a"),"f","a"),"g","a"),"h","a"),"i","a"),"j","a"),"k","a"),"l","a"),"m","a"),"n","a"),"o","a"),"p","a"),"q","a"),"r","a"),"s","a"),"t","a"),"u","a"),"v","a"),"w","a"),"x","a"),"y","a"),"z","a")</f>
        <v/>
      </c>
      <c r="BU496" s="61" t="str">
        <f aca="false">SUBSTITUTE(SUBSTITUTE(SUBSTITUTE(SUBSTITUTE(SUBSTITUTE(SUBSTITUTE(SUBSTITUTE(SUBSTITUTE(SUBSTITUTE(SUBSTITUTE(LEFT(BM496,FIND("0",BM496&amp;"0")-1),"-",""),"_",""),"/",""),".",""),"#",""),"\\",""),":","")," ",""),"(",""),")","")</f>
        <v/>
      </c>
      <c r="BV496" s="61" t="n">
        <f aca="false">0</f>
        <v>0</v>
      </c>
      <c r="BW4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496&amp;""),"a",""),"b",""),"c",""),"d",""),"e",""),"f",""),"g",""),"h",""),"i",""),"j",""),"k",""),"l",""),"m",""),"n",""),"o",""),"p",""),"q",""),"r",""),"s",""),"t",""),"u",""),"v",""),"w",""),"x",""),"y",""),"z",""),"-",""),"_",""),"/",""),".",""),"#",""),"\\",""),":","")," ",""),"(",""),")","")</f>
        <v/>
      </c>
      <c r="BX496" s="61" t="str">
        <f aca="false">SUBSTITUTE(SUBSTITUTE(SUBSTITUTE(SUBSTITUTE(SUBSTITUTE(SUBSTITUTE(SUBSTITUTE(SUBSTITUTE(SUBSTITUTE(SUBSTITUTE(SUBSTITUTE(BM496,"0",""),"-",""),"_",""),"/",""),".",""),"#",""),"\\",""),":","")," ",""),"(",""),")","")</f>
        <v/>
      </c>
      <c r="BY496" s="62" t="n">
        <f aca="false">Q496-T12EarlyH/24</f>
        <v>46319.4583333333</v>
      </c>
      <c r="BZ496" s="61" t="n">
        <f aca="false">IFERROR(IF(IF(TRIM(S496)="Link / file path",AND(LEN(TRIM(Z496))&gt;=5,SUMPRODUCT(--ISNUMBER(SEARCH({"http","www.","\\",":\",".pdf",".jpg",".jpeg",".png",".heic",".xls",".doc",".msg",".eml",".ppt",".txt",".zip"},Z496)))&gt;0),AND(ISERROR(FIND(" ",TRIM(Z496))),NOT(OR(SUMPRODUCT(--ISNUMBER(FIND({",",";","&amp;","+"},Z496)))&gt;0,SUMPRODUCT(--ISNUMBER(SEARCH({"0/aa","0\\aa"},BN496)))&gt;0)),NOT(SUMPRODUCT(--ISNUMBER(SEARCH({"http","www.","\\",":\",".pdf",".jpg",".jpeg",".png",".heic",".xls",".doc",".msg",".eml",".ppt",".txt",".zip"},Z496)))&gt;0),NOT(LOWER(TRIM(Z496))=LOWER(Flights!$F$19)),ISNA(MATCH(BU496,{"mh","rev","revision","ver","version","v","r","a","b","seat","tray","row","gate","bay","stand","page","pg","item","line","no","cart","galley","flight","flt","table","box","bag","oven","etd","eta","std","sta","atd","ata","qty","pax","x","time","tel","ph","mob","day","wk","week","utc","gmt","myt","lt"},0)),NOT(OR(ISNUMBER(MATCH(LEFT(BN496,255),{"0000a","000a","00a","0000aa","000aa","00aa","0aa","0000aaa","000aaa","00a00","0a00","0000-0000","00:00","a00","a0","00.00.0000","00/00/0000","00-00-0000","0000-00-00","0000/00/00","0000.00.00","00.00.00","00/00/00","00-00-00","0.00.0000","0/00/0000","0-00-0000"},0)),ISNUMBER(MATCH(LEFT(BT496,255),{"0000a","000a","00a","0000aa","000aa","00aa","0aa","0000aaa","000aaa","00a00","0a00","0000-0000","00:00","a00","a0","00.00.0000","00/00/0000","00-00-0000","0000-00-00","0000/00/00","0000.00.00","00.00.00","00/00/00","00-00-00","0.00.0000","0/00/0000","0-00-0000"},0)))),NOT(OR(AND(BW496&lt;&gt;"",SUBSTITUTE(BW496,"0","")=""),AND(LEN(BW496)&gt;=4,BW496=REPT(LEFT(BW496),LEN(BW496))),ISNUMBER(MATCH(BW496,{"123","1234","12345","123456","1234567","12345678","0123","01234","012345","98765","987654","54321"},0)),ISNUMBER(MATCH(BX496,{"x","xx","xxx","xxxx","xxxxx","abc","abcd","nil","na","nan","test","tbc","tba","tbd","dummy","sample","example","eg","zz","zzz","none","null","xyz","qwe","asd","id","ref"},0)),AND(LEN(BW496)=8,BX496="",OR(LEFT(BW496,3)="202",ISNUMBER(MATCH(RIGHT(BW496,4),{"2025","2026","2027"},0)))))),OR(AND((LEN(BT496)-LEN(SUBSTITUTE(BT496,"a","")))&gt;=1,(LEN(BN496)-LEN(SUBSTITUTE(BN496,"0","")))&gt;=2,SUMPRODUCT(--ISNUMBER(SEARCH({"a0","a-0","a_0","a/0","a.0","a#0","0a","0-a","0_a","0/a"},BN496)))&gt;0),AND((LEN(BN496)-LEN(SUBSTITUTE(BN496,"a","")))=0,(LEN(BN496)-LEN(SUBSTITUTE(BN496,"0","")))&gt;=5)))),1,0),0)</f>
        <v>0</v>
      </c>
      <c r="CA4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496,"revision",""),"version",""),"jan",""),"feb",""),"mar",""),"apr",""),"may",""),"jun",""),"jul",""),"aug",""),"sep",""),"oct",""),"nov",""),"dec",""),"utc",""),"gmt",""),"myt",""),"bst",""),"rev",""),"ver",""),"b","a"),"c","a"),"d","a"),"e","a"),"f","a"),"g","a"),"h","a"),"i","a"),"j","a"),"k","a"),"l","a"),"m","a"),"n","a"),"o","a"),"p","a"),"q","a"),"r","a"),"s","a"),"t","a"),"u","a"),"v","a"),"w","a"),"x","a"),"y","a"),"z","a")</f>
        <v/>
      </c>
      <c r="CB4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496&amp;""),"a",""),"b",""),"c",""),"d",""),"e",""),"f",""),"g",""),"h",""),"i",""),"j",""),"k",""),"l",""),"m",""),"n",""),"o",""),"p",""),"q",""),"r",""),"s",""),"t",""),"u",""),"v",""),"w",""),"x",""),"y",""),"z",""),"-",""),"_",""),"/",""),".",""),"#",""),"\\",""),":","")," ",""),"(",""),")","")</f>
        <v/>
      </c>
      <c r="CC496" s="0" t="str">
        <f aca="false">" "&amp;TRIM(SUBSTITUTE(SUBSTITUTE(SUBSTITUTE(SUBSTITUTE(SUBSTITUTE(SUBSTITUTE(SUBSTITUTE(SUBSTITUTE(SUBSTITUTE(SUBSTITUTE(SUBSTITUTE(SUBSTITUTE(SUBSTITUTE(SUBSTITUTE(SUBSTITUTE(SUBSTITUTE(SUBSTITUTE(SUBSTITUTE(SUBSTITUTE(SUBSTITUTE(SUBSTITUTE(SUBSTITUTE(SUBSTITUTE(SUBSTITUTE(LOWER(T496&amp;""),CHAR(10)," "),CHAR(13)," "),CHAR(9)," "),CHAR(160)," "),"."," "),","," "),"-"," "),"/"," "),"("," "),")"," "),":"," "),";"," "),"_"," "),"–"," "),"?"," "),"!"," "),"*"," "),"["," "),"]"," "),"'"," "),"#"," "),"+"," "),"&amp;"," "),"\"," "))&amp;" "</f>
        <v>  </v>
      </c>
      <c r="CD496" s="0" t="str">
        <f aca="false">" "&amp;TRIM(SUBSTITUTE(SUBSTITUTE(SUBSTITUTE(SUBSTITUTE(SUBSTITUTE(SUBSTITUTE(SUBSTITUTE(SUBSTITUTE(SUBSTITUTE(SUBSTITUTE(SUBSTITUTE(SUBSTITUTE(SUBSTITUTE(SUBSTITUTE(SUBSTITUTE(SUBSTITUTE(SUBSTITUTE(SUBSTITUTE(SUBSTITUTE(SUBSTITUTE(SUBSTITUTE(SUBSTITUTE(SUBSTITUTE(SUBSTITUTE(LOWER(AE496&amp;""),CHAR(10)," "),CHAR(13)," "),CHAR(9)," "),CHAR(160)," "),"."," "),","," "),"-"," "),"/"," "),"("," "),")"," "),":"," "),";"," "),"_"," "),"–"," "),"?"," "),"!"," "),"*"," "),"["," "),"]"," "),"'"," "),"#"," "),"+"," "),"&amp;"," "),"\"," "))&amp;" "</f>
        <v>  </v>
      </c>
      <c r="CE496" s="68" t="n">
        <f aca="false">IFERROR(IF(AND(LEN(AU496)&gt;0,LEN(AU496)=LEN(AX496),OR(TRIM(MID(SUBSTITUTE(TRIM(CC496)," ",REPT(" ",60)),1,60))="",ISNUMBER(SEARCH(" "&amp;TRIM(MID(SUBSTITUTE(TRIM(CC496)," ",REPT(" ",60)),1,60))&amp;" ",CD496))),OR(TRIM(MID(SUBSTITUTE(TRIM(CC496)," ",REPT(" ",60)),61,60))="",ISNUMBER(SEARCH(" "&amp;TRIM(MID(SUBSTITUTE(TRIM(CC496)," ",REPT(" ",60)),61,60))&amp;" ",CD496))),OR(TRIM(MID(SUBSTITUTE(TRIM(CC496)," ",REPT(" ",60)),121,60))="",ISNUMBER(SEARCH(" "&amp;TRIM(MID(SUBSTITUTE(TRIM(CC496)," ",REPT(" ",60)),121,60))&amp;" ",CD496)))),1,0),0)</f>
        <v>0</v>
      </c>
      <c r="CG496" s="68" t="n">
        <f aca="false">IFERROR(LEN(SUBSTITUTE(BF496," ",""))-SUMPRODUCT((LEN(BF496)-LEN(SUBSTITUTE(BF496," "&amp;L_NAFiller&amp;" "," ")))/(LEN(L_NAFiller)+1)*LEN(L_NAFiller)),0)</f>
        <v>0</v>
      </c>
    </row>
    <row r="497" customFormat="false" ht="39.75" hidden="false" customHeight="true" outlineLevel="0" collapsed="false">
      <c r="A497" s="57" t="s">
        <v>1150</v>
      </c>
      <c r="B497" s="57" t="s">
        <v>278</v>
      </c>
      <c r="C497" s="57" t="str">
        <f aca="false">Flights!$F$19</f>
        <v>MH0003</v>
      </c>
      <c r="D497" s="58" t="n">
        <f aca="false">Flights!$D$19</f>
        <v>46320</v>
      </c>
      <c r="E497" s="57" t="str">
        <f aca="false">Flights!$G$19&amp;"-"&amp;Flights!$H$19</f>
        <v>LHR-KUL</v>
      </c>
      <c r="F497" s="57" t="str">
        <f aca="false">Flights!$K$19</f>
        <v>EY</v>
      </c>
      <c r="G497" s="57" t="s">
        <v>420</v>
      </c>
      <c r="H497" s="57" t="s">
        <v>378</v>
      </c>
      <c r="I497" s="57" t="s">
        <v>428</v>
      </c>
      <c r="J497" s="57" t="s">
        <v>438</v>
      </c>
      <c r="K497" s="67"/>
      <c r="L497" s="67" t="s">
        <v>422</v>
      </c>
      <c r="M497" s="67"/>
      <c r="N497" s="67" t="s">
        <v>383</v>
      </c>
      <c r="O497" s="67" t="s">
        <v>423</v>
      </c>
      <c r="P497" s="57" t="s">
        <v>186</v>
      </c>
      <c r="Q497" s="59" t="n">
        <f aca="false">ROUND((Flights!$AE$19)*1440,0)/1440</f>
        <v>46319.9583333333</v>
      </c>
      <c r="R497" s="59" t="n">
        <f aca="false">Q497+(IF(AND(INDEX(TZ_DSTS,MATCH(P497,TZ_STN,0))&lt;&gt;"",Q497&gt;=INDEX(TZ_DSTS,MATCH(P497,TZ_STN,0)),Q497&lt;INDEX(TZ_DSTE,MATCH(P497,TZ_STN,0))),INDEX(TZ_DST,MATCH(P497,TZ_STN,0)),INDEX(TZ_STD,MATCH(P497,TZ_STN,0))))/24</f>
        <v>46320</v>
      </c>
      <c r="S497" s="60"/>
      <c r="T497" s="60"/>
      <c r="U497" s="60"/>
      <c r="V497" s="60"/>
      <c r="W497" s="61"/>
      <c r="X497" s="60"/>
      <c r="Y497" s="60"/>
      <c r="Z497" s="60"/>
      <c r="AA497" s="60"/>
      <c r="AB497" s="60"/>
      <c r="AC497" s="60"/>
      <c r="AD497" s="66"/>
      <c r="AE497" s="60"/>
      <c r="AF497" s="61" t="str">
        <f aca="false">IF(AND(ISNUMBER(X497),ISNUMBER(Y497)),Y497-X497,"")</f>
        <v/>
      </c>
      <c r="AG497" s="62" t="str">
        <f aca="false">IF(ISNUMBER(AD497),AD497-(IF(AND(INDEX(TZ_DSTS,MATCH(P497,TZ_STN,0))&lt;&gt;"",(AD497-INDEX(TZ_STD,MATCH(P497,TZ_STN,0))/24)&gt;=INDEX(TZ_DSTS,MATCH(P497,TZ_STN,0)),(AD497-INDEX(TZ_STD,MATCH(P497,TZ_STN,0))/24)&lt;INDEX(TZ_DSTE,MATCH(P497,TZ_STN,0))),INDEX(TZ_DST,MATCH(P497,TZ_STN,0)),INDEX(TZ_STD,MATCH(P497,TZ_STN,0))))/24,"")</f>
        <v/>
      </c>
      <c r="AH497" s="65" t="str">
        <f aca="false">IFERROR(IF(N497="N/A – rule",IF(OR(TRIM(U497)="",TRIM(U497)="N/A",TRIM(U497)="Not started"),"N/A – RULE","INVALID – this check does not apply to this aircraft: clear the status (or correct the fleet on Flights)"),IF(TRIM(U497)="N/A",IF(AT497=0,"INVALID – N/A not permitted for this check",IF(AND(TRIM(AB497)&lt;&gt;"",TRIM(AB497)&lt;&gt;"Closed"),"INVALID – corrective action still open",IF(AND(NOT(OR(LEN(AZ497)&lt;15,ISNUMBER(MATCH(AZ497,L_Placeholder,0)))),BK497=0,CG497&gt;=8,NOT(OR(LEN(AU497)&lt;2,ISNUMBER(MATCH(AU497,L_Placeholder,0)))),BR497&gt;=3,NOT(OR(LEN(AX497)&lt;2,ISNUMBER(MATCH(AX497,L_Placeholder,0)))),BS497&gt;=3,TRIM(AE497)&lt;&gt;TRIM(T497),AX497&lt;&gt;AU497,CE497=0),"N/A – JUSTIFIED","INVALID – N/A needs a real, settled reason (not 'not applicable' / 'as above' / TBC), a named PIC and a different named verifier"))),IF(OR(TRIM(U497)="Pass",TRIM(U497)="Pass after CA"),IF(NOT(ISNUMBER(AD497)),"INVALID – completion time missing",IF(OR(OR(LEN(AU497)&lt;2,ISNUMBER(MATCH(AU497,L_Placeholder,0))),BR497&lt;3),"INVALID – PIC missing or not a named person (a role such as QA / CSM is not a name)",IF(OR(LEN(AV497)&lt;2,ISNUMBER(MATCH(AV497,L_Placeholder,0))),"INVALID – result / assessment missing",IF(OR(OR(LEN(AW497)&lt;3,ISNUMBER(MATCH(AW497,L_Placeholder,0))),SUMPRODUCT(--ISNUMBER(SEARCH(" "&amp;L_EvidencePhrase&amp;" ",BD497)))&gt;0,BI497=1),"INVALID – evidence missing, placeholder or not yet on file",IF(ISNA(MATCH(TRIM(S497),L_EvidenceType,0)),"INVALID – choose the evidence type from the list (column S)",IF(BL497=0,"INVALID – evidence ID must be the record's own ID only (e.g. SF-2210, IMG_2231, 1045521); a link / file name needs type 'Link / file path'",IF(OR(OR(LEN(AX497)&lt;2,ISNUMBER(MATCH(AX497,L_Placeholder,0))),BS497&lt;3),"INVALID – verifier missing or not a named person (a role such as QA / CSM is not a name)",IF(OR(AX497=AU497,CE497=1,AND(LEN(AU497)&gt;=4,ISNUMBER(SEARCH(AU497,AX497))),AND(LEN(AX497)&gt;=4,ISNUMBER(SEARCH(AX497,AU497)))),"INVALID – verifier must be a different, named person (not the PIC or a role)",IF(BH497=1,"INVALID – result not yet available (awaiting / TBC)",IF(BG497=1,"INVALID – result describes a problem: record Fail, then Pass after CA (or reword if it is not a problem)",IF(BV497=1,"INVALID – wording says not on board: an on-board confirmation needs the item loaded",IF(AND(AQ497=1,OR(OR(LEN(AY497)&lt;3,ISNUMBER(MATCH(AY497,L_Placeholder,0))),BJ497=1,BQ497=0)),"INVALID – batch ID missing, placeholder or not an ID (e.g. PASB-261008-BC-017)",IF(AND(AR497=1,OR(NOT(ISNUMBER(X497)),NOT(ISNUMBER(Y497)))),"INVALID – expected/actual qty missing",IF(AND(AR497=1,OR(X497&lt;=0,Y497&lt;0)),"INVALID – expected qty must be above 0 and actual not negative",IF(BB497&lt;&gt;"",BB497,IF(AND(AS497=1,Documents!$J$19&lt;&gt;"ON FILE"),"INVALID – GLD not on file (Documents sheet)",IF(AND(AS497=2,Documents!$O$19&lt;&gt;"ON FILE"),"INVALID – menu checklist not on file (Documents sheet)",IF(AND(AS497=3,NOT(ISNUMBER(Flights!$AX$19))),"INVALID – enter carrying flight KUL departure (Flights AX)",IF(AND(AS497=3,OR(Flights!$AZ$19&gt;Flights!$AA$19,Flights!$AX$19&lt;Flights!$AA$19-3)),"INVALID – carrying flight (Flights AX) cannot arrive before this leg's STD, or is over 3 days early",IF(AG497&gt;AsOfUTC,"INVALID – completion time is in the future",IF(AND(ISNUMBER(BY497),AG497&lt;BY497),IF(H497="Physical uplift","INVALID – before uplift window (cannot confirm loading)","INVALID – before valid window"),IF(AG497&gt;Flights!$AA$19,"INVALID – completed after departure (cannot establish readiness)",IF(AND(H497="Preparation",AG497&gt;=IF(ISNUMBER(Flights!$BA$19),MIN(Flights!$BA$19,Flights!$AA$19),Flights!$AA$19)),"INVALID – completed after loading / departure (cannot establish readiness)",IF(AND(H497="Physical uplift",AG497&gt;Q497),"INVALID – recorded after the loading flight departed",IF(AG497&gt;Q497,"COMPLETE – LATE","COMPLETE"))))))))))))))))))))))))),IF(TRIM(U497)="Fail","FAIL – DISCREPANCY",IF(AND(TRIM(U497)&lt;&gt;"",TRIM(U497)&lt;&gt;"Not started",TRIM(U497)&lt;&gt;"In progress"),"INVALID – unrecognised status (use the list)",IF(AsOfUTC&gt;Q497,"OVERDUE",IF(N497="Clarification required","OPEN – CLARIFICATION","OPEN"))))))),"INVALID – error value in an input cell")</f>
        <v>OPEN</v>
      </c>
      <c r="AI497" s="61" t="n">
        <f aca="false">IF(OR(AH497="N/A – RULE",AH497="N/A – JUSTIFIED"),0,1)</f>
        <v>1</v>
      </c>
      <c r="AJ497" s="61" t="n">
        <f aca="false">IF(LEFT(AH497,8)="COMPLETE",1,0)</f>
        <v>0</v>
      </c>
      <c r="AK497" s="61" t="n">
        <f aca="false">IF(AND(AI497=1,AJ497=0,AsOfUTC&gt;Q497),1,0)</f>
        <v>0</v>
      </c>
      <c r="AL497" s="61" t="n">
        <f aca="false">IFERROR(IF(AND(AI497=1,OR(TRIM(U497)="Fail",AND(TRIM(AB497)&lt;&gt;"",TRIM(AB497)&lt;&gt;"Closed"),AND(ISNUMBER(AF497),AF497&lt;&gt;0,TRIM(U497)&lt;&gt;"Pass after CA"))),1,0),1)</f>
        <v>0</v>
      </c>
      <c r="AM497" s="61" t="n">
        <f aca="false">IF(LEFT(AH497,7)="INVALID",1,0)</f>
        <v>0</v>
      </c>
      <c r="AN497" s="61" t="n">
        <f aca="false">IF(AND(N497="Clarification required",AI497=1,AJ497=0),1,0)</f>
        <v>0</v>
      </c>
      <c r="AO497" s="61" t="str">
        <f aca="false">IF(AK497=1,SUM(AK$5:AK497),"")</f>
        <v/>
      </c>
      <c r="AP497" s="61" t="str">
        <f aca="false">IF(AL497=1,SUM(AL$5:AL497),"")</f>
        <v/>
      </c>
      <c r="AQ497" s="61" t="n">
        <v>0</v>
      </c>
      <c r="AR497" s="61" t="n">
        <v>0</v>
      </c>
      <c r="AS497" s="61" t="n">
        <v>0</v>
      </c>
      <c r="AT497" s="61" t="n">
        <v>0</v>
      </c>
      <c r="AU497" s="61" t="str">
        <f aca="false">SUBSTITUTE(SUBSTITUTE(SUBSTITUTE(SUBSTITUTE(SUBSTITUTE(SUBSTITUTE(SUBSTITUTE(SUBSTITUTE(SUBSTITUTE(SUBSTITUTE(SUBSTITUTE(SUBSTITUTE(SUBSTITUTE(SUBSTITUTE(SUBSTITUTE(SUBSTITUTE(LOWER(T497&amp;""),CHAR(10),""),CHAR(13),""),CHAR(9),""),CHAR(160),"")," ",""),".",""),"-",""),"/",""),"?",""),"_",""),",",""),"[",""),"]",""),"(",""),")",""),"*","")</f>
        <v/>
      </c>
      <c r="AV497" s="61" t="str">
        <f aca="false">SUBSTITUTE(SUBSTITUTE(SUBSTITUTE(SUBSTITUTE(SUBSTITUTE(SUBSTITUTE(SUBSTITUTE(SUBSTITUTE(SUBSTITUTE(SUBSTITUTE(SUBSTITUTE(SUBSTITUTE(SUBSTITUTE(SUBSTITUTE(SUBSTITUTE(SUBSTITUTE(LOWER(V497&amp;""),CHAR(10),""),CHAR(13),""),CHAR(9),""),CHAR(160),"")," ",""),".",""),"-",""),"/",""),"?",""),"_",""),",",""),"[",""),"]",""),"(",""),")",""),"*","")</f>
        <v/>
      </c>
      <c r="AW497" s="61" t="str">
        <f aca="false">SUBSTITUTE(SUBSTITUTE(SUBSTITUTE(SUBSTITUTE(SUBSTITUTE(SUBSTITUTE(SUBSTITUTE(SUBSTITUTE(SUBSTITUTE(SUBSTITUTE(SUBSTITUTE(SUBSTITUTE(SUBSTITUTE(SUBSTITUTE(SUBSTITUTE(SUBSTITUTE(LOWER(Z497&amp;""),CHAR(10),""),CHAR(13),""),CHAR(9),""),CHAR(160),"")," ",""),".",""),"-",""),"/",""),"?",""),"_",""),",",""),"[",""),"]",""),"(",""),")",""),"*","")</f>
        <v/>
      </c>
      <c r="AX497" s="61" t="str">
        <f aca="false">SUBSTITUTE(SUBSTITUTE(SUBSTITUTE(SUBSTITUTE(SUBSTITUTE(SUBSTITUTE(SUBSTITUTE(SUBSTITUTE(SUBSTITUTE(SUBSTITUTE(SUBSTITUTE(SUBSTITUTE(SUBSTITUTE(SUBSTITUTE(SUBSTITUTE(SUBSTITUTE(LOWER(AE497&amp;""),CHAR(10),""),CHAR(13),""),CHAR(9),""),CHAR(160),"")," ",""),".",""),"-",""),"/",""),"?",""),"_",""),",",""),"[",""),"]",""),"(",""),")",""),"*","")</f>
        <v/>
      </c>
      <c r="AY497" s="61" t="str">
        <f aca="false">SUBSTITUTE(SUBSTITUTE(SUBSTITUTE(SUBSTITUTE(SUBSTITUTE(SUBSTITUTE(SUBSTITUTE(SUBSTITUTE(SUBSTITUTE(SUBSTITUTE(SUBSTITUTE(SUBSTITUTE(SUBSTITUTE(SUBSTITUTE(SUBSTITUTE(SUBSTITUTE(LOWER(W497&amp;""),CHAR(10),""),CHAR(13),""),CHAR(9),""),CHAR(160),"")," ",""),".",""),"-",""),"/",""),"?",""),"_",""),",",""),"[",""),"]",""),"(",""),")",""),"*","")</f>
        <v/>
      </c>
      <c r="AZ497" s="61" t="str">
        <f aca="false">SUBSTITUTE(SUBSTITUTE(SUBSTITUTE(SUBSTITUTE(SUBSTITUTE(SUBSTITUTE(SUBSTITUTE(SUBSTITUTE(SUBSTITUTE(SUBSTITUTE(SUBSTITUTE(SUBSTITUTE(SUBSTITUTE(SUBSTITUTE(SUBSTITUTE(SUBSTITUTE(LOWER(AC497&amp;""),CHAR(10),""),CHAR(13),""),CHAR(9),""),CHAR(160),"")," ",""),".",""),"-",""),"/",""),"?",""),"_",""),",",""),"[",""),"]",""),"(",""),")",""),"*","")</f>
        <v/>
      </c>
      <c r="BA497" s="61" t="str">
        <f aca="false">SUBSTITUTE(SUBSTITUTE(SUBSTITUTE(SUBSTITUTE(SUBSTITUTE(SUBSTITUTE(SUBSTITUTE(SUBSTITUTE(SUBSTITUTE(SUBSTITUTE(SUBSTITUTE(SUBSTITUTE(SUBSTITUTE(SUBSTITUTE(SUBSTITUTE(SUBSTITUTE(LOWER(AA497&amp;""),CHAR(10),""),CHAR(13),""),CHAR(9),""),CHAR(160),"")," ",""),".",""),"-",""),"/",""),"?",""),"_",""),",",""),"[",""),"]",""),"(",""),")",""),"*","")</f>
        <v/>
      </c>
      <c r="BB497" s="61" t="str">
        <f aca="false">IF(AND(TRIM(U497)="Pass",ISNUMBER(AF497)),IF(AF497&lt;&gt;0,"INVALID – qty variance: use Fail or Pass after CA",""),"")&amp;IF(AND(TRIM(U497)="Pass after CA",ISNUMBER(AF497)),IF(AF497&lt;&gt;0,"INVALID – after the corrective action the actual qty must equal expected (update Actual)",""),"")&amp;IF(AND(TRIM(U497)="Pass",TRIM(AB497)&lt;&gt;"",TRIM(AB497)&lt;&gt;"Closed"),"INVALID – corrective action not closed: use Fail, then Pass after CA","")&amp;IF(AND(LEN(BA497)&gt;=2,ISNA(MATCH(LEFT(BA497,255),L_Placeholder,0)),TRIM(AB497)=""),"INVALID – CA status missing for the recorded corrective action","")&amp;IF(AND(TRIM(U497)="Pass after CA",OR(OR(LEN(BA497)&lt;5,ISNUMBER(MATCH(BA497,L_Placeholder,0))),TRIM(AB497)&lt;&gt;"Closed")),"INVALID – corrective action not recorded/closed","")</f>
        <v/>
      </c>
      <c r="BC497" s="61" t="str">
        <f aca="false">" "&amp;TRIM(SUBSTITUTE(SUBSTITUTE(SUBSTITUTE(SUBSTITUTE(SUBSTITUTE(SUBSTITUTE(SUBSTITUTE(SUBSTITUTE(SUBSTITUTE(SUBSTITUTE(SUBSTITUTE(SUBSTITUTE(SUBSTITUTE(SUBSTITUTE(SUBSTITUTE(SUBSTITUTE(SUBSTITUTE(SUBSTITUTE(SUBSTITUTE(SUBSTITUTE(SUBSTITUTE(SUBSTITUTE(SUBSTITUTE(SUBSTITUTE(LOWER(V497&amp;""),CHAR(10)," "),CHAR(13)," "),CHAR(9)," "),CHAR(160)," "),"."," "),","," "),"-"," "),"/"," "),"("," "),")"," "),":"," "),";"," "),"_"," "),"–"," "),"?"," "),"!"," "),"*"," "),"["," "),"]"," "),"'"," "),"#"," "),"+"," "),"&amp;"," "),"\"," "))&amp;" "</f>
        <v>  </v>
      </c>
      <c r="BD497" s="61" t="str">
        <f aca="false">" "&amp;TRIM(SUBSTITUTE(SUBSTITUTE(SUBSTITUTE(SUBSTITUTE(SUBSTITUTE(SUBSTITUTE(SUBSTITUTE(SUBSTITUTE(SUBSTITUTE(SUBSTITUTE(SUBSTITUTE(SUBSTITUTE(SUBSTITUTE(SUBSTITUTE(SUBSTITUTE(SUBSTITUTE(SUBSTITUTE(SUBSTITUTE(SUBSTITUTE(SUBSTITUTE(SUBSTITUTE(SUBSTITUTE(SUBSTITUTE(SUBSTITUTE(LOWER(Z497&amp;""),CHAR(10)," "),CHAR(13)," "),CHAR(9)," "),CHAR(160)," "),"."," "),","," "),"-"," "),"/"," "),"("," "),")"," "),":"," "),";"," "),"_"," "),"–"," "),"?"," "),"!"," "),"*"," "),"["," "),"]"," "),"'"," "),"#"," "),"+"," "),"&amp;"," "),"\"," "))&amp;" "</f>
        <v>  </v>
      </c>
      <c r="BE497" s="61" t="str">
        <f aca="false">" "&amp;TRIM(SUBSTITUTE(SUBSTITUTE(SUBSTITUTE(SUBSTITUTE(SUBSTITUTE(SUBSTITUTE(SUBSTITUTE(SUBSTITUTE(SUBSTITUTE(SUBSTITUTE(SUBSTITUTE(SUBSTITUTE(SUBSTITUTE(SUBSTITUTE(SUBSTITUTE(SUBSTITUTE(SUBSTITUTE(SUBSTITUTE(SUBSTITUTE(SUBSTITUTE(SUBSTITUTE(SUBSTITUTE(SUBSTITUTE(SUBSTITUTE(LOWER(W497&amp;""),CHAR(10)," "),CHAR(13)," "),CHAR(9)," "),CHAR(160)," "),"."," "),","," "),"-"," "),"/"," "),"("," "),")"," "),":"," "),";"," "),"_"," "),"–"," "),"?"," "),"!"," "),"*"," "),"["," "),"]"," "),"'"," "),"#"," "),"+"," "),"&amp;"," "),"\"," "))&amp;" "</f>
        <v>  </v>
      </c>
      <c r="BF497" s="61" t="str">
        <f aca="false">" "&amp;TRIM(SUBSTITUTE(SUBSTITUTE(SUBSTITUTE(SUBSTITUTE(SUBSTITUTE(SUBSTITUTE(SUBSTITUTE(SUBSTITUTE(SUBSTITUTE(SUBSTITUTE(SUBSTITUTE(SUBSTITUTE(SUBSTITUTE(SUBSTITUTE(SUBSTITUTE(SUBSTITUTE(SUBSTITUTE(SUBSTITUTE(SUBSTITUTE(SUBSTITUTE(SUBSTITUTE(SUBSTITUTE(SUBSTITUTE(SUBSTITUTE(LOWER(AC497&amp;""),CHAR(10)," "),CHAR(13)," "),CHAR(9)," "),CHAR(160)," "),"."," "),","," "),"-"," "),"/"," "),"("," "),")"," "),":"," "),";"," "),"_"," "),"–"," "),"?"," "),"!"," "),"*"," "),"["," "),"]"," "),"'"," "),"#"," "),"+"," "),"&amp;"," "),"\"," "))&amp;" "</f>
        <v>  </v>
      </c>
      <c r="BG497" s="61" t="n">
        <f aca="false">IFERROR(IF(AND(TRIM(U497)="Pass",SUMPRODUCT((LEN(BC497)-LEN(SUBSTITUTE(BC497," "&amp;L_ResultBad&amp;" "," ")))/(LEN(L_ResultBad)+1))&gt;SUMPRODUCT((LEN(BC497)-LEN(SUBSTITUTE(BC497," "&amp;L_NegPhrase&amp;" "," ")))/(LEN(L_NegPhrase)+1))),1,0),0)</f>
        <v>0</v>
      </c>
      <c r="BH497" s="61" t="n">
        <f aca="false">IFERROR(IF(SUMPRODUCT((LEN(BC497)-LEN(SUBSTITUTE(BC497," "&amp;L_Pending&amp;" "," ")))/(LEN(L_Pending)+1))&gt;SUMPRODUCT((LEN(BC497)-LEN(SUBSTITUTE(BC497," "&amp;L_PendNeg&amp;" "," ")))/(LEN(L_PendNeg)+1))+SUMPRODUCT((LEN(BC497)-LEN(SUBSTITUTE(BC497," "&amp;L_PendPrep&amp;" "," ")))/(LEN(L_PendPrep)+1)),1,0),1)</f>
        <v>0</v>
      </c>
      <c r="BI497" s="61" t="n">
        <f aca="false">IFERROR(IF(SUMPRODUCT((LEN(BD497)-LEN(SUBSTITUTE(BD497," "&amp;L_PendStrict&amp;" "," ")))/(LEN(L_PendStrict)+1))&gt;SUMPRODUCT((LEN(BD497)-LEN(SUBSTITUTE(BD497," "&amp;L_PendNeg&amp;" "," ")))/(LEN(L_PendNeg)+1)),1,0),1)</f>
        <v>0</v>
      </c>
      <c r="BJ497" s="61" t="n">
        <f aca="false">IFERROR(IF(SUMPRODUCT((LEN(BE497)-LEN(SUBSTITUTE(BE497," "&amp;L_Pending&amp;" "," ")))/(LEN(L_Pending)+1))&gt;SUMPRODUCT((LEN(BE497)-LEN(SUBSTITUTE(BE497," "&amp;L_PendNeg&amp;" "," ")))/(LEN(L_PendNeg)+1))+SUMPRODUCT((LEN(BE497)-LEN(SUBSTITUTE(BE497," "&amp;L_PendPrep&amp;" "," ")))/(LEN(L_PendPrep)+1)),1,0),1)</f>
        <v>0</v>
      </c>
      <c r="BK497" s="61" t="n">
        <f aca="false">IFERROR(IF(SUMPRODUCT((LEN(BF497)-LEN(SUBSTITUTE(BF497," "&amp;L_PendStrict&amp;" "," ")))/(LEN(L_PendStrict)+1))&gt;SUMPRODUCT((LEN(BF497)-LEN(SUBSTITUTE(BF497," "&amp;L_PendNeg&amp;" "," ")))/(LEN(L_PendNeg)+1)),1,0),1)</f>
        <v>0</v>
      </c>
      <c r="BL497" s="61" t="n">
        <f aca="false">IF(ISNA(MATCH(TRIM(S497),L_EvidenceType,0)),0,BZ497)</f>
        <v>0</v>
      </c>
      <c r="BM497" s="61" t="str">
        <f aca="false">SUBSTITUTE(SUBSTITUTE(SUBSTITUTE(SUBSTITUTE(SUBSTITUTE(SUBSTITUTE(SUBSTITUTE(SUBSTITUTE(SUBSTITUTE(LOWER(Z497&amp;""),"1","0"),"2","0"),"3","0"),"4","0"),"5","0"),"6","0"),"7","0"),"8","0"),"9","0")</f>
        <v/>
      </c>
      <c r="BN497" s="61" t="str">
        <f aca="false">SUBSTITUTE(SUBSTITUTE(SUBSTITUTE(SUBSTITUTE(SUBSTITUTE(SUBSTITUTE(SUBSTITUTE(SUBSTITUTE(SUBSTITUTE(SUBSTITUTE(SUBSTITUTE(SUBSTITUTE(SUBSTITUTE(SUBSTITUTE(SUBSTITUTE(SUBSTITUTE(SUBSTITUTE(SUBSTITUTE(SUBSTITUTE(SUBSTITUTE(SUBSTITUTE(SUBSTITUTE(SUBSTITUTE(SUBSTITUTE(SUBSTITUTE(BM497,"b","a"),"c","a"),"d","a"),"e","a"),"f","a"),"g","a"),"h","a"),"i","a"),"j","a"),"k","a"),"l","a"),"m","a"),"n","a"),"o","a"),"p","a"),"q","a"),"r","a"),"s","a"),"t","a"),"u","a"),"v","a"),"w","a"),"x","a"),"y","a"),"z","a")</f>
        <v/>
      </c>
      <c r="BO497" s="61" t="str">
        <f aca="false">SUBSTITUTE(SUBSTITUTE(SUBSTITUTE(SUBSTITUTE(SUBSTITUTE(SUBSTITUTE(SUBSTITUTE(SUBSTITUTE(SUBSTITUTE(LOWER(W497&amp;""),"1","0"),"2","0"),"3","0"),"4","0"),"5","0"),"6","0"),"7","0"),"8","0"),"9","0")</f>
        <v/>
      </c>
      <c r="BP497" s="61" t="str">
        <f aca="false">SUBSTITUTE(SUBSTITUTE(SUBSTITUTE(SUBSTITUTE(SUBSTITUTE(SUBSTITUTE(SUBSTITUTE(SUBSTITUTE(SUBSTITUTE(SUBSTITUTE(SUBSTITUTE(SUBSTITUTE(SUBSTITUTE(SUBSTITUTE(SUBSTITUTE(SUBSTITUTE(SUBSTITUTE(SUBSTITUTE(SUBSTITUTE(SUBSTITUTE(SUBSTITUTE(SUBSTITUTE(SUBSTITUTE(SUBSTITUTE(SUBSTITUTE(BO497,"b","a"),"c","a"),"d","a"),"e","a"),"f","a"),"g","a"),"h","a"),"i","a"),"j","a"),"k","a"),"l","a"),"m","a"),"n","a"),"o","a"),"p","a"),"q","a"),"r","a"),"s","a"),"t","a"),"u","a"),"v","a"),"w","a"),"x","a"),"y","a"),"z","a")</f>
        <v/>
      </c>
      <c r="BQ497" s="61" t="n">
        <f aca="false">IFERROR(IF(AND(ISERROR(SEARCH(" mh"," "&amp;LOWER(W497))),ISNA(MATCH(LEFT(TRIM(BP497),255),{"0000a","000a","00a","0000aa","000aa","00aa","0aa","0000aaa","000aaa","00a00","0a00","0000-0000","00:00","a00","a0","00.00.0000","00/00/0000","00-00-0000","0000-00-00","0000/00/00","0000.00.00","00.00.00","00/00/00","00-00-00","0.00.0000","0/00/0000","0-00-0000"},0)),ISNA(MATCH(LEFT(TRIM(CA497),255),{"0000a","000a","00a","0000aa","000aa","00aa","0aa","0000aaa","000aaa","00a00","0a00","0000-0000","00:00","a00","a0","00.00.0000","00/00/0000","00-00-0000","0000-00-00","0000/00/00","0000.00.00","00.00.00","00/00/00","00-00-00","0.00.0000","0/00/0000","0-00-0000"},0)),LEN(CB497)&gt;=3,NOT(OR(SUBSTITUTE(CB497,"0","")="",AND(LEN(CB497)&gt;=4,CB497=REPT(LEFT(CB497),LEN(CB497))),ISNUMBER(MATCH(CB497,{"123","1234","12345","123456","1234567","12345678","0123","01234","012345","98765","987654","54321"},0)),AND(LEN(CB497)=8,LEFT(CB497,3)="202"))),OR(AND((LEN(CA497)-LEN(SUBSTITUTE(CA497,"a","")))&gt;=1,SUMPRODUCT(--ISNUMBER(SEARCH({"a0","a-0","a_0","a/0","a.0","a#0","0a","0-a","0_a","0/a"},BP497)))&gt;0),ISNUMBER(SEARCH("000000",BP497)))),1,0),0)</f>
        <v>0</v>
      </c>
      <c r="BR497" s="61" t="n">
        <f aca="false">IFERROR(LEN(SUBSTITUTE(CC497," ",""))-SUMPRODUCT((LEN(CC497)-LEN(SUBSTITUTE(CC497," "&amp;L_Role&amp;" "," ")))/(LEN(L_Role)+1)*LEN(L_Role)),0)</f>
        <v>0</v>
      </c>
      <c r="BS497" s="61" t="n">
        <f aca="false">IFERROR(LEN(SUBSTITUTE(CD497," ",""))-SUMPRODUCT((LEN(CD497)-LEN(SUBSTITUTE(CD497," "&amp;L_Role&amp;" "," ")))/(LEN(L_Role)+1)*LEN(L_Role)),0)</f>
        <v>0</v>
      </c>
      <c r="BT4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497,"revision",""),"version",""),"jan",""),"feb",""),"mar",""),"apr",""),"may",""),"jun",""),"jul",""),"aug",""),"sep",""),"oct",""),"nov",""),"dec",""),"utc",""),"gmt",""),"myt",""),"bst",""),"rev",""),"ver",""),"b","a"),"c","a"),"d","a"),"e","a"),"f","a"),"g","a"),"h","a"),"i","a"),"j","a"),"k","a"),"l","a"),"m","a"),"n","a"),"o","a"),"p","a"),"q","a"),"r","a"),"s","a"),"t","a"),"u","a"),"v","a"),"w","a"),"x","a"),"y","a"),"z","a")</f>
        <v/>
      </c>
      <c r="BU497" s="61" t="str">
        <f aca="false">SUBSTITUTE(SUBSTITUTE(SUBSTITUTE(SUBSTITUTE(SUBSTITUTE(SUBSTITUTE(SUBSTITUTE(SUBSTITUTE(SUBSTITUTE(SUBSTITUTE(LEFT(BM497,FIND("0",BM497&amp;"0")-1),"-",""),"_",""),"/",""),".",""),"#",""),"\\",""),":","")," ",""),"(",""),")","")</f>
        <v/>
      </c>
      <c r="BV497" s="61" t="n">
        <f aca="false">0</f>
        <v>0</v>
      </c>
      <c r="BW4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497&amp;""),"a",""),"b",""),"c",""),"d",""),"e",""),"f",""),"g",""),"h",""),"i",""),"j",""),"k",""),"l",""),"m",""),"n",""),"o",""),"p",""),"q",""),"r",""),"s",""),"t",""),"u",""),"v",""),"w",""),"x",""),"y",""),"z",""),"-",""),"_",""),"/",""),".",""),"#",""),"\\",""),":","")," ",""),"(",""),")","")</f>
        <v/>
      </c>
      <c r="BX497" s="61" t="str">
        <f aca="false">SUBSTITUTE(SUBSTITUTE(SUBSTITUTE(SUBSTITUTE(SUBSTITUTE(SUBSTITUTE(SUBSTITUTE(SUBSTITUTE(SUBSTITUTE(SUBSTITUTE(SUBSTITUTE(BM497,"0",""),"-",""),"_",""),"/",""),".",""),"#",""),"\\",""),":","")," ",""),"(",""),")","")</f>
        <v/>
      </c>
      <c r="BY497" s="62" t="n">
        <f aca="false">Q497-T12EarlyH/24</f>
        <v>46319.4583333333</v>
      </c>
      <c r="BZ497" s="61" t="n">
        <f aca="false">IFERROR(IF(IF(TRIM(S497)="Link / file path",AND(LEN(TRIM(Z497))&gt;=5,SUMPRODUCT(--ISNUMBER(SEARCH({"http","www.","\\",":\",".pdf",".jpg",".jpeg",".png",".heic",".xls",".doc",".msg",".eml",".ppt",".txt",".zip"},Z497)))&gt;0),AND(ISERROR(FIND(" ",TRIM(Z497))),NOT(OR(SUMPRODUCT(--ISNUMBER(FIND({",",";","&amp;","+"},Z497)))&gt;0,SUMPRODUCT(--ISNUMBER(SEARCH({"0/aa","0\\aa"},BN497)))&gt;0)),NOT(SUMPRODUCT(--ISNUMBER(SEARCH({"http","www.","\\",":\",".pdf",".jpg",".jpeg",".png",".heic",".xls",".doc",".msg",".eml",".ppt",".txt",".zip"},Z497)))&gt;0),NOT(LOWER(TRIM(Z497))=LOWER(Flights!$F$19)),ISNA(MATCH(BU497,{"mh","rev","revision","ver","version","v","r","a","b","seat","tray","row","gate","bay","stand","page","pg","item","line","no","cart","galley","flight","flt","table","box","bag","oven","etd","eta","std","sta","atd","ata","qty","pax","x","time","tel","ph","mob","day","wk","week","utc","gmt","myt","lt"},0)),NOT(OR(ISNUMBER(MATCH(LEFT(BN497,255),{"0000a","000a","00a","0000aa","000aa","00aa","0aa","0000aaa","000aaa","00a00","0a00","0000-0000","00:00","a00","a0","00.00.0000","00/00/0000","00-00-0000","0000-00-00","0000/00/00","0000.00.00","00.00.00","00/00/00","00-00-00","0.00.0000","0/00/0000","0-00-0000"},0)),ISNUMBER(MATCH(LEFT(BT497,255),{"0000a","000a","00a","0000aa","000aa","00aa","0aa","0000aaa","000aaa","00a00","0a00","0000-0000","00:00","a00","a0","00.00.0000","00/00/0000","00-00-0000","0000-00-00","0000/00/00","0000.00.00","00.00.00","00/00/00","00-00-00","0.00.0000","0/00/0000","0-00-0000"},0)))),NOT(OR(AND(BW497&lt;&gt;"",SUBSTITUTE(BW497,"0","")=""),AND(LEN(BW497)&gt;=4,BW497=REPT(LEFT(BW497),LEN(BW497))),ISNUMBER(MATCH(BW497,{"123","1234","12345","123456","1234567","12345678","0123","01234","012345","98765","987654","54321"},0)),ISNUMBER(MATCH(BX497,{"x","xx","xxx","xxxx","xxxxx","abc","abcd","nil","na","nan","test","tbc","tba","tbd","dummy","sample","example","eg","zz","zzz","none","null","xyz","qwe","asd","id","ref"},0)),AND(LEN(BW497)=8,BX497="",OR(LEFT(BW497,3)="202",ISNUMBER(MATCH(RIGHT(BW497,4),{"2025","2026","2027"},0)))))),OR(AND((LEN(BT497)-LEN(SUBSTITUTE(BT497,"a","")))&gt;=1,(LEN(BN497)-LEN(SUBSTITUTE(BN497,"0","")))&gt;=2,SUMPRODUCT(--ISNUMBER(SEARCH({"a0","a-0","a_0","a/0","a.0","a#0","0a","0-a","0_a","0/a"},BN497)))&gt;0),AND((LEN(BN497)-LEN(SUBSTITUTE(BN497,"a","")))=0,(LEN(BN497)-LEN(SUBSTITUTE(BN497,"0","")))&gt;=5)))),1,0),0)</f>
        <v>0</v>
      </c>
      <c r="CA4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497,"revision",""),"version",""),"jan",""),"feb",""),"mar",""),"apr",""),"may",""),"jun",""),"jul",""),"aug",""),"sep",""),"oct",""),"nov",""),"dec",""),"utc",""),"gmt",""),"myt",""),"bst",""),"rev",""),"ver",""),"b","a"),"c","a"),"d","a"),"e","a"),"f","a"),"g","a"),"h","a"),"i","a"),"j","a"),"k","a"),"l","a"),"m","a"),"n","a"),"o","a"),"p","a"),"q","a"),"r","a"),"s","a"),"t","a"),"u","a"),"v","a"),"w","a"),"x","a"),"y","a"),"z","a")</f>
        <v/>
      </c>
      <c r="CB4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497&amp;""),"a",""),"b",""),"c",""),"d",""),"e",""),"f",""),"g",""),"h",""),"i",""),"j",""),"k",""),"l",""),"m",""),"n",""),"o",""),"p",""),"q",""),"r",""),"s",""),"t",""),"u",""),"v",""),"w",""),"x",""),"y",""),"z",""),"-",""),"_",""),"/",""),".",""),"#",""),"\\",""),":","")," ",""),"(",""),")","")</f>
        <v/>
      </c>
      <c r="CC497" s="0" t="str">
        <f aca="false">" "&amp;TRIM(SUBSTITUTE(SUBSTITUTE(SUBSTITUTE(SUBSTITUTE(SUBSTITUTE(SUBSTITUTE(SUBSTITUTE(SUBSTITUTE(SUBSTITUTE(SUBSTITUTE(SUBSTITUTE(SUBSTITUTE(SUBSTITUTE(SUBSTITUTE(SUBSTITUTE(SUBSTITUTE(SUBSTITUTE(SUBSTITUTE(SUBSTITUTE(SUBSTITUTE(SUBSTITUTE(SUBSTITUTE(SUBSTITUTE(SUBSTITUTE(LOWER(T497&amp;""),CHAR(10)," "),CHAR(13)," "),CHAR(9)," "),CHAR(160)," "),"."," "),","," "),"-"," "),"/"," "),"("," "),")"," "),":"," "),";"," "),"_"," "),"–"," "),"?"," "),"!"," "),"*"," "),"["," "),"]"," "),"'"," "),"#"," "),"+"," "),"&amp;"," "),"\"," "))&amp;" "</f>
        <v>  </v>
      </c>
      <c r="CD497" s="0" t="str">
        <f aca="false">" "&amp;TRIM(SUBSTITUTE(SUBSTITUTE(SUBSTITUTE(SUBSTITUTE(SUBSTITUTE(SUBSTITUTE(SUBSTITUTE(SUBSTITUTE(SUBSTITUTE(SUBSTITUTE(SUBSTITUTE(SUBSTITUTE(SUBSTITUTE(SUBSTITUTE(SUBSTITUTE(SUBSTITUTE(SUBSTITUTE(SUBSTITUTE(SUBSTITUTE(SUBSTITUTE(SUBSTITUTE(SUBSTITUTE(SUBSTITUTE(SUBSTITUTE(LOWER(AE497&amp;""),CHAR(10)," "),CHAR(13)," "),CHAR(9)," "),CHAR(160)," "),"."," "),","," "),"-"," "),"/"," "),"("," "),")"," "),":"," "),";"," "),"_"," "),"–"," "),"?"," "),"!"," "),"*"," "),"["," "),"]"," "),"'"," "),"#"," "),"+"," "),"&amp;"," "),"\"," "))&amp;" "</f>
        <v>  </v>
      </c>
      <c r="CE497" s="68" t="n">
        <f aca="false">IFERROR(IF(AND(LEN(AU497)&gt;0,LEN(AU497)=LEN(AX497),OR(TRIM(MID(SUBSTITUTE(TRIM(CC497)," ",REPT(" ",60)),1,60))="",ISNUMBER(SEARCH(" "&amp;TRIM(MID(SUBSTITUTE(TRIM(CC497)," ",REPT(" ",60)),1,60))&amp;" ",CD497))),OR(TRIM(MID(SUBSTITUTE(TRIM(CC497)," ",REPT(" ",60)),61,60))="",ISNUMBER(SEARCH(" "&amp;TRIM(MID(SUBSTITUTE(TRIM(CC497)," ",REPT(" ",60)),61,60))&amp;" ",CD497))),OR(TRIM(MID(SUBSTITUTE(TRIM(CC497)," ",REPT(" ",60)),121,60))="",ISNUMBER(SEARCH(" "&amp;TRIM(MID(SUBSTITUTE(TRIM(CC497)," ",REPT(" ",60)),121,60))&amp;" ",CD497)))),1,0),0)</f>
        <v>0</v>
      </c>
      <c r="CG497" s="68" t="n">
        <f aca="false">IFERROR(LEN(SUBSTITUTE(BF497," ",""))-SUMPRODUCT((LEN(BF497)-LEN(SUBSTITUTE(BF497," "&amp;L_NAFiller&amp;" "," ")))/(LEN(L_NAFiller)+1)*LEN(L_NAFiller)),0)</f>
        <v>0</v>
      </c>
    </row>
    <row r="498" customFormat="false" ht="54" hidden="false" customHeight="true" outlineLevel="0" collapsed="false">
      <c r="A498" s="57" t="s">
        <v>1151</v>
      </c>
      <c r="B498" s="57" t="s">
        <v>278</v>
      </c>
      <c r="C498" s="57" t="str">
        <f aca="false">Flights!$F$19</f>
        <v>MH0003</v>
      </c>
      <c r="D498" s="58" t="n">
        <f aca="false">Flights!$D$19</f>
        <v>46320</v>
      </c>
      <c r="E498" s="57" t="str">
        <f aca="false">Flights!$G$19&amp;"-"&amp;Flights!$H$19</f>
        <v>LHR-KUL</v>
      </c>
      <c r="F498" s="57" t="str">
        <f aca="false">Flights!$K$19</f>
        <v>EY</v>
      </c>
      <c r="G498" s="57" t="s">
        <v>420</v>
      </c>
      <c r="H498" s="57" t="s">
        <v>378</v>
      </c>
      <c r="I498" s="57" t="s">
        <v>440</v>
      </c>
      <c r="J498" s="57" t="s">
        <v>441</v>
      </c>
      <c r="K498" s="67" t="s">
        <v>442</v>
      </c>
      <c r="L498" s="67" t="s">
        <v>443</v>
      </c>
      <c r="M498" s="67" t="s">
        <v>186</v>
      </c>
      <c r="N498" s="67" t="s">
        <v>444</v>
      </c>
      <c r="O498" s="67" t="s">
        <v>445</v>
      </c>
      <c r="P498" s="57" t="s">
        <v>186</v>
      </c>
      <c r="Q498" s="59" t="n">
        <f aca="false">ROUND((Flights!$AE$19)*1440,0)/1440</f>
        <v>46319.9583333333</v>
      </c>
      <c r="R498" s="59" t="n">
        <f aca="false">Q498+(IF(AND(INDEX(TZ_DSTS,MATCH(P498,TZ_STN,0))&lt;&gt;"",Q498&gt;=INDEX(TZ_DSTS,MATCH(P498,TZ_STN,0)),Q498&lt;INDEX(TZ_DSTE,MATCH(P498,TZ_STN,0))),INDEX(TZ_DST,MATCH(P498,TZ_STN,0)),INDEX(TZ_STD,MATCH(P498,TZ_STN,0))))/24</f>
        <v>46320</v>
      </c>
      <c r="S498" s="60"/>
      <c r="T498" s="60"/>
      <c r="U498" s="60"/>
      <c r="V498" s="60"/>
      <c r="W498" s="61"/>
      <c r="X498" s="60"/>
      <c r="Y498" s="60"/>
      <c r="Z498" s="60"/>
      <c r="AA498" s="60"/>
      <c r="AB498" s="60"/>
      <c r="AC498" s="60"/>
      <c r="AD498" s="66"/>
      <c r="AE498" s="60"/>
      <c r="AF498" s="61" t="str">
        <f aca="false">IF(AND(ISNUMBER(X498),ISNUMBER(Y498)),Y498-X498,"")</f>
        <v/>
      </c>
      <c r="AG498" s="62" t="str">
        <f aca="false">IF(ISNUMBER(AD498),AD498-(IF(AND(INDEX(TZ_DSTS,MATCH(P498,TZ_STN,0))&lt;&gt;"",(AD498-INDEX(TZ_STD,MATCH(P498,TZ_STN,0))/24)&gt;=INDEX(TZ_DSTS,MATCH(P498,TZ_STN,0)),(AD498-INDEX(TZ_STD,MATCH(P498,TZ_STN,0))/24)&lt;INDEX(TZ_DSTE,MATCH(P498,TZ_STN,0))),INDEX(TZ_DST,MATCH(P498,TZ_STN,0)),INDEX(TZ_STD,MATCH(P498,TZ_STN,0))))/24,"")</f>
        <v/>
      </c>
      <c r="AH498" s="65" t="str">
        <f aca="false">IFERROR(IF(N498="N/A – rule",IF(OR(TRIM(U498)="",TRIM(U498)="N/A",TRIM(U498)="Not started"),"N/A – RULE","INVALID – this check does not apply to this aircraft: clear the status (or correct the fleet on Flights)"),IF(TRIM(U498)="N/A",IF(AT498=0,"INVALID – N/A not permitted for this check",IF(AND(TRIM(AB498)&lt;&gt;"",TRIM(AB498)&lt;&gt;"Closed"),"INVALID – corrective action still open",IF(AND(NOT(OR(LEN(AZ498)&lt;15,ISNUMBER(MATCH(AZ498,L_Placeholder,0)))),BK498=0,CG498&gt;=8,NOT(OR(LEN(AU498)&lt;2,ISNUMBER(MATCH(AU498,L_Placeholder,0)))),BR498&gt;=3,NOT(OR(LEN(AX498)&lt;2,ISNUMBER(MATCH(AX498,L_Placeholder,0)))),BS498&gt;=3,TRIM(AE498)&lt;&gt;TRIM(T498),AX498&lt;&gt;AU498,CE498=0),"N/A – JUSTIFIED","INVALID – N/A needs a real, settled reason (not 'not applicable' / 'as above' / TBC), a named PIC and a different named verifier"))),IF(OR(TRIM(U498)="Pass",TRIM(U498)="Pass after CA"),IF(NOT(ISNUMBER(AD498)),"INVALID – completion time missing",IF(OR(OR(LEN(AU498)&lt;2,ISNUMBER(MATCH(AU498,L_Placeholder,0))),BR498&lt;3),"INVALID – PIC missing or not a named person (a role such as QA / CSM is not a name)",IF(OR(LEN(AV498)&lt;2,ISNUMBER(MATCH(AV498,L_Placeholder,0))),"INVALID – result / assessment missing",IF(OR(OR(LEN(AW498)&lt;3,ISNUMBER(MATCH(AW498,L_Placeholder,0))),SUMPRODUCT(--ISNUMBER(SEARCH(" "&amp;L_EvidencePhrase&amp;" ",BD498)))&gt;0,BI498=1),"INVALID – evidence missing, placeholder or not yet on file",IF(ISNA(MATCH(TRIM(S498),L_EvidenceType,0)),"INVALID – choose the evidence type from the list (column S)",IF(BL498=0,"INVALID – evidence ID must be the record's own ID only (e.g. SF-2210, IMG_2231, 1045521); a link / file name needs type 'Link / file path'",IF(OR(OR(LEN(AX498)&lt;2,ISNUMBER(MATCH(AX498,L_Placeholder,0))),BS498&lt;3),"INVALID – verifier missing or not a named person (a role such as QA / CSM is not a name)",IF(OR(AX498=AU498,CE498=1,AND(LEN(AU498)&gt;=4,ISNUMBER(SEARCH(AU498,AX498))),AND(LEN(AX498)&gt;=4,ISNUMBER(SEARCH(AX498,AU498)))),"INVALID – verifier must be a different, named person (not the PIC or a role)",IF(BH498=1,"INVALID – result not yet available (awaiting / TBC)",IF(BG498=1,"INVALID – result describes a problem: record Fail, then Pass after CA (or reword if it is not a problem)",IF(BV498=1,"INVALID – wording says not on board: an on-board confirmation needs the item loaded",IF(AND(AQ498=1,OR(OR(LEN(AY498)&lt;3,ISNUMBER(MATCH(AY498,L_Placeholder,0))),BJ498=1,BQ498=0)),"INVALID – batch ID missing, placeholder or not an ID (e.g. PASB-261008-BC-017)",IF(AND(AR498=1,OR(NOT(ISNUMBER(X498)),NOT(ISNUMBER(Y498)))),"INVALID – expected/actual qty missing",IF(AND(AR498=1,OR(X498&lt;=0,Y498&lt;0)),"INVALID – expected qty must be above 0 and actual not negative",IF(BB498&lt;&gt;"",BB498,IF(AND(AS498=1,Documents!$J$19&lt;&gt;"ON FILE"),"INVALID – GLD not on file (Documents sheet)",IF(AND(AS498=2,Documents!$O$19&lt;&gt;"ON FILE"),"INVALID – menu checklist not on file (Documents sheet)",IF(AND(AS498=3,NOT(ISNUMBER(Flights!$AX$19))),"INVALID – enter carrying flight KUL departure (Flights AX)",IF(AND(AS498=3,OR(Flights!$AZ$19&gt;Flights!$AA$19,Flights!$AX$19&lt;Flights!$AA$19-3)),"INVALID – carrying flight (Flights AX) cannot arrive before this leg's STD, or is over 3 days early",IF(AG498&gt;AsOfUTC,"INVALID – completion time is in the future",IF(AND(ISNUMBER(BY498),AG498&lt;BY498),IF(H498="Physical uplift","INVALID – before uplift window (cannot confirm loading)","INVALID – before valid window"),IF(AG498&gt;Flights!$AA$19,"INVALID – completed after departure (cannot establish readiness)",IF(AND(H498="Preparation",AG498&gt;=IF(ISNUMBER(Flights!$BA$19),MIN(Flights!$BA$19,Flights!$AA$19),Flights!$AA$19)),"INVALID – completed after loading / departure (cannot establish readiness)",IF(AND(H498="Physical uplift",AG498&gt;Q498),"INVALID – recorded after the loading flight departed",IF(AG498&gt;Q498,"COMPLETE – LATE","COMPLETE"))))))))))))))))))))))))),IF(TRIM(U498)="Fail","FAIL – DISCREPANCY",IF(AND(TRIM(U498)&lt;&gt;"",TRIM(U498)&lt;&gt;"Not started",TRIM(U498)&lt;&gt;"In progress"),"INVALID – unrecognised status (use the list)",IF(AsOfUTC&gt;Q498,"OVERDUE",IF(N498="Clarification required","OPEN – CLARIFICATION","OPEN"))))))),"INVALID – error value in an input cell")</f>
        <v>OPEN – CLARIFICATION</v>
      </c>
      <c r="AI498" s="61" t="n">
        <f aca="false">IF(OR(AH498="N/A – RULE",AH498="N/A – JUSTIFIED"),0,1)</f>
        <v>1</v>
      </c>
      <c r="AJ498" s="61" t="n">
        <f aca="false">IF(LEFT(AH498,8)="COMPLETE",1,0)</f>
        <v>0</v>
      </c>
      <c r="AK498" s="61" t="n">
        <f aca="false">IF(AND(AI498=1,AJ498=0,AsOfUTC&gt;Q498),1,0)</f>
        <v>0</v>
      </c>
      <c r="AL498" s="61" t="n">
        <f aca="false">IFERROR(IF(AND(AI498=1,OR(TRIM(U498)="Fail",AND(TRIM(AB498)&lt;&gt;"",TRIM(AB498)&lt;&gt;"Closed"),AND(ISNUMBER(AF498),AF498&lt;&gt;0,TRIM(U498)&lt;&gt;"Pass after CA"))),1,0),1)</f>
        <v>0</v>
      </c>
      <c r="AM498" s="61" t="n">
        <f aca="false">IF(LEFT(AH498,7)="INVALID",1,0)</f>
        <v>0</v>
      </c>
      <c r="AN498" s="61" t="n">
        <f aca="false">IF(AND(N498="Clarification required",AI498=1,AJ498=0),1,0)</f>
        <v>1</v>
      </c>
      <c r="AO498" s="61" t="str">
        <f aca="false">IF(AK498=1,SUM(AK$5:AK498),"")</f>
        <v/>
      </c>
      <c r="AP498" s="61" t="str">
        <f aca="false">IF(AL498=1,SUM(AL$5:AL498),"")</f>
        <v/>
      </c>
      <c r="AQ498" s="61" t="n">
        <v>0</v>
      </c>
      <c r="AR498" s="61" t="n">
        <v>0</v>
      </c>
      <c r="AS498" s="61" t="n">
        <v>0</v>
      </c>
      <c r="AT498" s="61" t="n">
        <v>1</v>
      </c>
      <c r="AU498" s="61" t="str">
        <f aca="false">SUBSTITUTE(SUBSTITUTE(SUBSTITUTE(SUBSTITUTE(SUBSTITUTE(SUBSTITUTE(SUBSTITUTE(SUBSTITUTE(SUBSTITUTE(SUBSTITUTE(SUBSTITUTE(SUBSTITUTE(SUBSTITUTE(SUBSTITUTE(SUBSTITUTE(SUBSTITUTE(LOWER(T498&amp;""),CHAR(10),""),CHAR(13),""),CHAR(9),""),CHAR(160),"")," ",""),".",""),"-",""),"/",""),"?",""),"_",""),",",""),"[",""),"]",""),"(",""),")",""),"*","")</f>
        <v/>
      </c>
      <c r="AV498" s="61" t="str">
        <f aca="false">SUBSTITUTE(SUBSTITUTE(SUBSTITUTE(SUBSTITUTE(SUBSTITUTE(SUBSTITUTE(SUBSTITUTE(SUBSTITUTE(SUBSTITUTE(SUBSTITUTE(SUBSTITUTE(SUBSTITUTE(SUBSTITUTE(SUBSTITUTE(SUBSTITUTE(SUBSTITUTE(LOWER(V498&amp;""),CHAR(10),""),CHAR(13),""),CHAR(9),""),CHAR(160),"")," ",""),".",""),"-",""),"/",""),"?",""),"_",""),",",""),"[",""),"]",""),"(",""),")",""),"*","")</f>
        <v/>
      </c>
      <c r="AW498" s="61" t="str">
        <f aca="false">SUBSTITUTE(SUBSTITUTE(SUBSTITUTE(SUBSTITUTE(SUBSTITUTE(SUBSTITUTE(SUBSTITUTE(SUBSTITUTE(SUBSTITUTE(SUBSTITUTE(SUBSTITUTE(SUBSTITUTE(SUBSTITUTE(SUBSTITUTE(SUBSTITUTE(SUBSTITUTE(LOWER(Z498&amp;""),CHAR(10),""),CHAR(13),""),CHAR(9),""),CHAR(160),"")," ",""),".",""),"-",""),"/",""),"?",""),"_",""),",",""),"[",""),"]",""),"(",""),")",""),"*","")</f>
        <v/>
      </c>
      <c r="AX498" s="61" t="str">
        <f aca="false">SUBSTITUTE(SUBSTITUTE(SUBSTITUTE(SUBSTITUTE(SUBSTITUTE(SUBSTITUTE(SUBSTITUTE(SUBSTITUTE(SUBSTITUTE(SUBSTITUTE(SUBSTITUTE(SUBSTITUTE(SUBSTITUTE(SUBSTITUTE(SUBSTITUTE(SUBSTITUTE(LOWER(AE498&amp;""),CHAR(10),""),CHAR(13),""),CHAR(9),""),CHAR(160),"")," ",""),".",""),"-",""),"/",""),"?",""),"_",""),",",""),"[",""),"]",""),"(",""),")",""),"*","")</f>
        <v/>
      </c>
      <c r="AY498" s="61" t="str">
        <f aca="false">SUBSTITUTE(SUBSTITUTE(SUBSTITUTE(SUBSTITUTE(SUBSTITUTE(SUBSTITUTE(SUBSTITUTE(SUBSTITUTE(SUBSTITUTE(SUBSTITUTE(SUBSTITUTE(SUBSTITUTE(SUBSTITUTE(SUBSTITUTE(SUBSTITUTE(SUBSTITUTE(LOWER(W498&amp;""),CHAR(10),""),CHAR(13),""),CHAR(9),""),CHAR(160),"")," ",""),".",""),"-",""),"/",""),"?",""),"_",""),",",""),"[",""),"]",""),"(",""),")",""),"*","")</f>
        <v/>
      </c>
      <c r="AZ498" s="61" t="str">
        <f aca="false">SUBSTITUTE(SUBSTITUTE(SUBSTITUTE(SUBSTITUTE(SUBSTITUTE(SUBSTITUTE(SUBSTITUTE(SUBSTITUTE(SUBSTITUTE(SUBSTITUTE(SUBSTITUTE(SUBSTITUTE(SUBSTITUTE(SUBSTITUTE(SUBSTITUTE(SUBSTITUTE(LOWER(AC498&amp;""),CHAR(10),""),CHAR(13),""),CHAR(9),""),CHAR(160),"")," ",""),".",""),"-",""),"/",""),"?",""),"_",""),",",""),"[",""),"]",""),"(",""),")",""),"*","")</f>
        <v/>
      </c>
      <c r="BA498" s="61" t="str">
        <f aca="false">SUBSTITUTE(SUBSTITUTE(SUBSTITUTE(SUBSTITUTE(SUBSTITUTE(SUBSTITUTE(SUBSTITUTE(SUBSTITUTE(SUBSTITUTE(SUBSTITUTE(SUBSTITUTE(SUBSTITUTE(SUBSTITUTE(SUBSTITUTE(SUBSTITUTE(SUBSTITUTE(LOWER(AA498&amp;""),CHAR(10),""),CHAR(13),""),CHAR(9),""),CHAR(160),"")," ",""),".",""),"-",""),"/",""),"?",""),"_",""),",",""),"[",""),"]",""),"(",""),")",""),"*","")</f>
        <v/>
      </c>
      <c r="BB498" s="61" t="str">
        <f aca="false">IF(AND(TRIM(U498)="Pass",ISNUMBER(AF498)),IF(AF498&lt;&gt;0,"INVALID – qty variance: use Fail or Pass after CA",""),"")&amp;IF(AND(TRIM(U498)="Pass after CA",ISNUMBER(AF498)),IF(AF498&lt;&gt;0,"INVALID – after the corrective action the actual qty must equal expected (update Actual)",""),"")&amp;IF(AND(TRIM(U498)="Pass",TRIM(AB498)&lt;&gt;"",TRIM(AB498)&lt;&gt;"Closed"),"INVALID – corrective action not closed: use Fail, then Pass after CA","")&amp;IF(AND(LEN(BA498)&gt;=2,ISNA(MATCH(LEFT(BA498,255),L_Placeholder,0)),TRIM(AB498)=""),"INVALID – CA status missing for the recorded corrective action","")&amp;IF(AND(TRIM(U498)="Pass after CA",OR(OR(LEN(BA498)&lt;5,ISNUMBER(MATCH(BA498,L_Placeholder,0))),TRIM(AB498)&lt;&gt;"Closed")),"INVALID – corrective action not recorded/closed","")</f>
        <v/>
      </c>
      <c r="BC498" s="61" t="str">
        <f aca="false">" "&amp;TRIM(SUBSTITUTE(SUBSTITUTE(SUBSTITUTE(SUBSTITUTE(SUBSTITUTE(SUBSTITUTE(SUBSTITUTE(SUBSTITUTE(SUBSTITUTE(SUBSTITUTE(SUBSTITUTE(SUBSTITUTE(SUBSTITUTE(SUBSTITUTE(SUBSTITUTE(SUBSTITUTE(SUBSTITUTE(SUBSTITUTE(SUBSTITUTE(SUBSTITUTE(SUBSTITUTE(SUBSTITUTE(SUBSTITUTE(SUBSTITUTE(LOWER(V498&amp;""),CHAR(10)," "),CHAR(13)," "),CHAR(9)," "),CHAR(160)," "),"."," "),","," "),"-"," "),"/"," "),"("," "),")"," "),":"," "),";"," "),"_"," "),"–"," "),"?"," "),"!"," "),"*"," "),"["," "),"]"," "),"'"," "),"#"," "),"+"," "),"&amp;"," "),"\"," "))&amp;" "</f>
        <v>  </v>
      </c>
      <c r="BD498" s="61" t="str">
        <f aca="false">" "&amp;TRIM(SUBSTITUTE(SUBSTITUTE(SUBSTITUTE(SUBSTITUTE(SUBSTITUTE(SUBSTITUTE(SUBSTITUTE(SUBSTITUTE(SUBSTITUTE(SUBSTITUTE(SUBSTITUTE(SUBSTITUTE(SUBSTITUTE(SUBSTITUTE(SUBSTITUTE(SUBSTITUTE(SUBSTITUTE(SUBSTITUTE(SUBSTITUTE(SUBSTITUTE(SUBSTITUTE(SUBSTITUTE(SUBSTITUTE(SUBSTITUTE(LOWER(Z498&amp;""),CHAR(10)," "),CHAR(13)," "),CHAR(9)," "),CHAR(160)," "),"."," "),","," "),"-"," "),"/"," "),"("," "),")"," "),":"," "),";"," "),"_"," "),"–"," "),"?"," "),"!"," "),"*"," "),"["," "),"]"," "),"'"," "),"#"," "),"+"," "),"&amp;"," "),"\"," "))&amp;" "</f>
        <v>  </v>
      </c>
      <c r="BE498" s="61" t="str">
        <f aca="false">" "&amp;TRIM(SUBSTITUTE(SUBSTITUTE(SUBSTITUTE(SUBSTITUTE(SUBSTITUTE(SUBSTITUTE(SUBSTITUTE(SUBSTITUTE(SUBSTITUTE(SUBSTITUTE(SUBSTITUTE(SUBSTITUTE(SUBSTITUTE(SUBSTITUTE(SUBSTITUTE(SUBSTITUTE(SUBSTITUTE(SUBSTITUTE(SUBSTITUTE(SUBSTITUTE(SUBSTITUTE(SUBSTITUTE(SUBSTITUTE(SUBSTITUTE(LOWER(W498&amp;""),CHAR(10)," "),CHAR(13)," "),CHAR(9)," "),CHAR(160)," "),"."," "),","," "),"-"," "),"/"," "),"("," "),")"," "),":"," "),";"," "),"_"," "),"–"," "),"?"," "),"!"," "),"*"," "),"["," "),"]"," "),"'"," "),"#"," "),"+"," "),"&amp;"," "),"\"," "))&amp;" "</f>
        <v>  </v>
      </c>
      <c r="BF498" s="61" t="str">
        <f aca="false">" "&amp;TRIM(SUBSTITUTE(SUBSTITUTE(SUBSTITUTE(SUBSTITUTE(SUBSTITUTE(SUBSTITUTE(SUBSTITUTE(SUBSTITUTE(SUBSTITUTE(SUBSTITUTE(SUBSTITUTE(SUBSTITUTE(SUBSTITUTE(SUBSTITUTE(SUBSTITUTE(SUBSTITUTE(SUBSTITUTE(SUBSTITUTE(SUBSTITUTE(SUBSTITUTE(SUBSTITUTE(SUBSTITUTE(SUBSTITUTE(SUBSTITUTE(LOWER(AC498&amp;""),CHAR(10)," "),CHAR(13)," "),CHAR(9)," "),CHAR(160)," "),"."," "),","," "),"-"," "),"/"," "),"("," "),")"," "),":"," "),";"," "),"_"," "),"–"," "),"?"," "),"!"," "),"*"," "),"["," "),"]"," "),"'"," "),"#"," "),"+"," "),"&amp;"," "),"\"," "))&amp;" "</f>
        <v>  </v>
      </c>
      <c r="BG498" s="61" t="n">
        <f aca="false">IFERROR(IF(AND(TRIM(U498)="Pass",SUMPRODUCT((LEN(BC498)-LEN(SUBSTITUTE(BC498," "&amp;L_ResultBad&amp;" "," ")))/(LEN(L_ResultBad)+1))&gt;SUMPRODUCT((LEN(BC498)-LEN(SUBSTITUTE(BC498," "&amp;L_NegPhrase&amp;" "," ")))/(LEN(L_NegPhrase)+1))),1,0),0)</f>
        <v>0</v>
      </c>
      <c r="BH498" s="61" t="n">
        <f aca="false">IFERROR(IF(SUMPRODUCT((LEN(BC498)-LEN(SUBSTITUTE(BC498," "&amp;L_Pending&amp;" "," ")))/(LEN(L_Pending)+1))&gt;SUMPRODUCT((LEN(BC498)-LEN(SUBSTITUTE(BC498," "&amp;L_PendNeg&amp;" "," ")))/(LEN(L_PendNeg)+1))+SUMPRODUCT((LEN(BC498)-LEN(SUBSTITUTE(BC498," "&amp;L_PendPrep&amp;" "," ")))/(LEN(L_PendPrep)+1)),1,0),1)</f>
        <v>0</v>
      </c>
      <c r="BI498" s="61" t="n">
        <f aca="false">IFERROR(IF(SUMPRODUCT((LEN(BD498)-LEN(SUBSTITUTE(BD498," "&amp;L_PendStrict&amp;" "," ")))/(LEN(L_PendStrict)+1))&gt;SUMPRODUCT((LEN(BD498)-LEN(SUBSTITUTE(BD498," "&amp;L_PendNeg&amp;" "," ")))/(LEN(L_PendNeg)+1)),1,0),1)</f>
        <v>0</v>
      </c>
      <c r="BJ498" s="61" t="n">
        <f aca="false">IFERROR(IF(SUMPRODUCT((LEN(BE498)-LEN(SUBSTITUTE(BE498," "&amp;L_Pending&amp;" "," ")))/(LEN(L_Pending)+1))&gt;SUMPRODUCT((LEN(BE498)-LEN(SUBSTITUTE(BE498," "&amp;L_PendNeg&amp;" "," ")))/(LEN(L_PendNeg)+1))+SUMPRODUCT((LEN(BE498)-LEN(SUBSTITUTE(BE498," "&amp;L_PendPrep&amp;" "," ")))/(LEN(L_PendPrep)+1)),1,0),1)</f>
        <v>0</v>
      </c>
      <c r="BK498" s="61" t="n">
        <f aca="false">IFERROR(IF(SUMPRODUCT((LEN(BF498)-LEN(SUBSTITUTE(BF498," "&amp;L_PendStrict&amp;" "," ")))/(LEN(L_PendStrict)+1))&gt;SUMPRODUCT((LEN(BF498)-LEN(SUBSTITUTE(BF498," "&amp;L_PendNeg&amp;" "," ")))/(LEN(L_PendNeg)+1)),1,0),1)</f>
        <v>0</v>
      </c>
      <c r="BL498" s="61" t="n">
        <f aca="false">IF(ISNA(MATCH(TRIM(S498),L_EvidenceType,0)),0,BZ498)</f>
        <v>0</v>
      </c>
      <c r="BM498" s="61" t="str">
        <f aca="false">SUBSTITUTE(SUBSTITUTE(SUBSTITUTE(SUBSTITUTE(SUBSTITUTE(SUBSTITUTE(SUBSTITUTE(SUBSTITUTE(SUBSTITUTE(LOWER(Z498&amp;""),"1","0"),"2","0"),"3","0"),"4","0"),"5","0"),"6","0"),"7","0"),"8","0"),"9","0")</f>
        <v/>
      </c>
      <c r="BN498" s="61" t="str">
        <f aca="false">SUBSTITUTE(SUBSTITUTE(SUBSTITUTE(SUBSTITUTE(SUBSTITUTE(SUBSTITUTE(SUBSTITUTE(SUBSTITUTE(SUBSTITUTE(SUBSTITUTE(SUBSTITUTE(SUBSTITUTE(SUBSTITUTE(SUBSTITUTE(SUBSTITUTE(SUBSTITUTE(SUBSTITUTE(SUBSTITUTE(SUBSTITUTE(SUBSTITUTE(SUBSTITUTE(SUBSTITUTE(SUBSTITUTE(SUBSTITUTE(SUBSTITUTE(BM498,"b","a"),"c","a"),"d","a"),"e","a"),"f","a"),"g","a"),"h","a"),"i","a"),"j","a"),"k","a"),"l","a"),"m","a"),"n","a"),"o","a"),"p","a"),"q","a"),"r","a"),"s","a"),"t","a"),"u","a"),"v","a"),"w","a"),"x","a"),"y","a"),"z","a")</f>
        <v/>
      </c>
      <c r="BO498" s="61" t="str">
        <f aca="false">SUBSTITUTE(SUBSTITUTE(SUBSTITUTE(SUBSTITUTE(SUBSTITUTE(SUBSTITUTE(SUBSTITUTE(SUBSTITUTE(SUBSTITUTE(LOWER(W498&amp;""),"1","0"),"2","0"),"3","0"),"4","0"),"5","0"),"6","0"),"7","0"),"8","0"),"9","0")</f>
        <v/>
      </c>
      <c r="BP498" s="61" t="str">
        <f aca="false">SUBSTITUTE(SUBSTITUTE(SUBSTITUTE(SUBSTITUTE(SUBSTITUTE(SUBSTITUTE(SUBSTITUTE(SUBSTITUTE(SUBSTITUTE(SUBSTITUTE(SUBSTITUTE(SUBSTITUTE(SUBSTITUTE(SUBSTITUTE(SUBSTITUTE(SUBSTITUTE(SUBSTITUTE(SUBSTITUTE(SUBSTITUTE(SUBSTITUTE(SUBSTITUTE(SUBSTITUTE(SUBSTITUTE(SUBSTITUTE(SUBSTITUTE(BO498,"b","a"),"c","a"),"d","a"),"e","a"),"f","a"),"g","a"),"h","a"),"i","a"),"j","a"),"k","a"),"l","a"),"m","a"),"n","a"),"o","a"),"p","a"),"q","a"),"r","a"),"s","a"),"t","a"),"u","a"),"v","a"),"w","a"),"x","a"),"y","a"),"z","a")</f>
        <v/>
      </c>
      <c r="BQ498" s="61" t="n">
        <f aca="false">IFERROR(IF(AND(ISERROR(SEARCH(" mh"," "&amp;LOWER(W498))),ISNA(MATCH(LEFT(TRIM(BP498),255),{"0000a","000a","00a","0000aa","000aa","00aa","0aa","0000aaa","000aaa","00a00","0a00","0000-0000","00:00","a00","a0","00.00.0000","00/00/0000","00-00-0000","0000-00-00","0000/00/00","0000.00.00","00.00.00","00/00/00","00-00-00","0.00.0000","0/00/0000","0-00-0000"},0)),ISNA(MATCH(LEFT(TRIM(CA498),255),{"0000a","000a","00a","0000aa","000aa","00aa","0aa","0000aaa","000aaa","00a00","0a00","0000-0000","00:00","a00","a0","00.00.0000","00/00/0000","00-00-0000","0000-00-00","0000/00/00","0000.00.00","00.00.00","00/00/00","00-00-00","0.00.0000","0/00/0000","0-00-0000"},0)),LEN(CB498)&gt;=3,NOT(OR(SUBSTITUTE(CB498,"0","")="",AND(LEN(CB498)&gt;=4,CB498=REPT(LEFT(CB498),LEN(CB498))),ISNUMBER(MATCH(CB498,{"123","1234","12345","123456","1234567","12345678","0123","01234","012345","98765","987654","54321"},0)),AND(LEN(CB498)=8,LEFT(CB498,3)="202"))),OR(AND((LEN(CA498)-LEN(SUBSTITUTE(CA498,"a","")))&gt;=1,SUMPRODUCT(--ISNUMBER(SEARCH({"a0","a-0","a_0","a/0","a.0","a#0","0a","0-a","0_a","0/a"},BP498)))&gt;0),ISNUMBER(SEARCH("000000",BP498)))),1,0),0)</f>
        <v>0</v>
      </c>
      <c r="BR498" s="61" t="n">
        <f aca="false">IFERROR(LEN(SUBSTITUTE(CC498," ",""))-SUMPRODUCT((LEN(CC498)-LEN(SUBSTITUTE(CC498," "&amp;L_Role&amp;" "," ")))/(LEN(L_Role)+1)*LEN(L_Role)),0)</f>
        <v>0</v>
      </c>
      <c r="BS498" s="61" t="n">
        <f aca="false">IFERROR(LEN(SUBSTITUTE(CD498," ",""))-SUMPRODUCT((LEN(CD498)-LEN(SUBSTITUTE(CD498," "&amp;L_Role&amp;" "," ")))/(LEN(L_Role)+1)*LEN(L_Role)),0)</f>
        <v>0</v>
      </c>
      <c r="BT4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498,"revision",""),"version",""),"jan",""),"feb",""),"mar",""),"apr",""),"may",""),"jun",""),"jul",""),"aug",""),"sep",""),"oct",""),"nov",""),"dec",""),"utc",""),"gmt",""),"myt",""),"bst",""),"rev",""),"ver",""),"b","a"),"c","a"),"d","a"),"e","a"),"f","a"),"g","a"),"h","a"),"i","a"),"j","a"),"k","a"),"l","a"),"m","a"),"n","a"),"o","a"),"p","a"),"q","a"),"r","a"),"s","a"),"t","a"),"u","a"),"v","a"),"w","a"),"x","a"),"y","a"),"z","a")</f>
        <v/>
      </c>
      <c r="BU498" s="61" t="str">
        <f aca="false">SUBSTITUTE(SUBSTITUTE(SUBSTITUTE(SUBSTITUTE(SUBSTITUTE(SUBSTITUTE(SUBSTITUTE(SUBSTITUTE(SUBSTITUTE(SUBSTITUTE(LEFT(BM498,FIND("0",BM498&amp;"0")-1),"-",""),"_",""),"/",""),".",""),"#",""),"\\",""),":","")," ",""),"(",""),")","")</f>
        <v/>
      </c>
      <c r="BV498" s="61" t="n">
        <f aca="false">0</f>
        <v>0</v>
      </c>
      <c r="BW4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498&amp;""),"a",""),"b",""),"c",""),"d",""),"e",""),"f",""),"g",""),"h",""),"i",""),"j",""),"k",""),"l",""),"m",""),"n",""),"o",""),"p",""),"q",""),"r",""),"s",""),"t",""),"u",""),"v",""),"w",""),"x",""),"y",""),"z",""),"-",""),"_",""),"/",""),".",""),"#",""),"\\",""),":","")," ",""),"(",""),")","")</f>
        <v/>
      </c>
      <c r="BX498" s="61" t="str">
        <f aca="false">SUBSTITUTE(SUBSTITUTE(SUBSTITUTE(SUBSTITUTE(SUBSTITUTE(SUBSTITUTE(SUBSTITUTE(SUBSTITUTE(SUBSTITUTE(SUBSTITUTE(SUBSTITUTE(BM498,"0",""),"-",""),"_",""),"/",""),".",""),"#",""),"\\",""),":","")," ",""),"(",""),")","")</f>
        <v/>
      </c>
      <c r="BY498" s="62" t="n">
        <f aca="false">Q498-T12EarlyH/24</f>
        <v>46319.4583333333</v>
      </c>
      <c r="BZ498" s="61" t="n">
        <f aca="false">IFERROR(IF(IF(TRIM(S498)="Link / file path",AND(LEN(TRIM(Z498))&gt;=5,SUMPRODUCT(--ISNUMBER(SEARCH({"http","www.","\\",":\",".pdf",".jpg",".jpeg",".png",".heic",".xls",".doc",".msg",".eml",".ppt",".txt",".zip"},Z498)))&gt;0),AND(ISERROR(FIND(" ",TRIM(Z498))),NOT(OR(SUMPRODUCT(--ISNUMBER(FIND({",",";","&amp;","+"},Z498)))&gt;0,SUMPRODUCT(--ISNUMBER(SEARCH({"0/aa","0\\aa"},BN498)))&gt;0)),NOT(SUMPRODUCT(--ISNUMBER(SEARCH({"http","www.","\\",":\",".pdf",".jpg",".jpeg",".png",".heic",".xls",".doc",".msg",".eml",".ppt",".txt",".zip"},Z498)))&gt;0),NOT(LOWER(TRIM(Z498))=LOWER(Flights!$F$19)),ISNA(MATCH(BU498,{"mh","rev","revision","ver","version","v","r","a","b","seat","tray","row","gate","bay","stand","page","pg","item","line","no","cart","galley","flight","flt","table","box","bag","oven","etd","eta","std","sta","atd","ata","qty","pax","x","time","tel","ph","mob","day","wk","week","utc","gmt","myt","lt"},0)),NOT(OR(ISNUMBER(MATCH(LEFT(BN498,255),{"0000a","000a","00a","0000aa","000aa","00aa","0aa","0000aaa","000aaa","00a00","0a00","0000-0000","00:00","a00","a0","00.00.0000","00/00/0000","00-00-0000","0000-00-00","0000/00/00","0000.00.00","00.00.00","00/00/00","00-00-00","0.00.0000","0/00/0000","0-00-0000"},0)),ISNUMBER(MATCH(LEFT(BT498,255),{"0000a","000a","00a","0000aa","000aa","00aa","0aa","0000aaa","000aaa","00a00","0a00","0000-0000","00:00","a00","a0","00.00.0000","00/00/0000","00-00-0000","0000-00-00","0000/00/00","0000.00.00","00.00.00","00/00/00","00-00-00","0.00.0000","0/00/0000","0-00-0000"},0)))),NOT(OR(AND(BW498&lt;&gt;"",SUBSTITUTE(BW498,"0","")=""),AND(LEN(BW498)&gt;=4,BW498=REPT(LEFT(BW498),LEN(BW498))),ISNUMBER(MATCH(BW498,{"123","1234","12345","123456","1234567","12345678","0123","01234","012345","98765","987654","54321"},0)),ISNUMBER(MATCH(BX498,{"x","xx","xxx","xxxx","xxxxx","abc","abcd","nil","na","nan","test","tbc","tba","tbd","dummy","sample","example","eg","zz","zzz","none","null","xyz","qwe","asd","id","ref"},0)),AND(LEN(BW498)=8,BX498="",OR(LEFT(BW498,3)="202",ISNUMBER(MATCH(RIGHT(BW498,4),{"2025","2026","2027"},0)))))),OR(AND((LEN(BT498)-LEN(SUBSTITUTE(BT498,"a","")))&gt;=1,(LEN(BN498)-LEN(SUBSTITUTE(BN498,"0","")))&gt;=2,SUMPRODUCT(--ISNUMBER(SEARCH({"a0","a-0","a_0","a/0","a.0","a#0","0a","0-a","0_a","0/a"},BN498)))&gt;0),AND((LEN(BN498)-LEN(SUBSTITUTE(BN498,"a","")))=0,(LEN(BN498)-LEN(SUBSTITUTE(BN498,"0","")))&gt;=5)))),1,0),0)</f>
        <v>0</v>
      </c>
      <c r="CA4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498,"revision",""),"version",""),"jan",""),"feb",""),"mar",""),"apr",""),"may",""),"jun",""),"jul",""),"aug",""),"sep",""),"oct",""),"nov",""),"dec",""),"utc",""),"gmt",""),"myt",""),"bst",""),"rev",""),"ver",""),"b","a"),"c","a"),"d","a"),"e","a"),"f","a"),"g","a"),"h","a"),"i","a"),"j","a"),"k","a"),"l","a"),"m","a"),"n","a"),"o","a"),"p","a"),"q","a"),"r","a"),"s","a"),"t","a"),"u","a"),"v","a"),"w","a"),"x","a"),"y","a"),"z","a")</f>
        <v/>
      </c>
      <c r="CB4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498&amp;""),"a",""),"b",""),"c",""),"d",""),"e",""),"f",""),"g",""),"h",""),"i",""),"j",""),"k",""),"l",""),"m",""),"n",""),"o",""),"p",""),"q",""),"r",""),"s",""),"t",""),"u",""),"v",""),"w",""),"x",""),"y",""),"z",""),"-",""),"_",""),"/",""),".",""),"#",""),"\\",""),":","")," ",""),"(",""),")","")</f>
        <v/>
      </c>
      <c r="CC498" s="0" t="str">
        <f aca="false">" "&amp;TRIM(SUBSTITUTE(SUBSTITUTE(SUBSTITUTE(SUBSTITUTE(SUBSTITUTE(SUBSTITUTE(SUBSTITUTE(SUBSTITUTE(SUBSTITUTE(SUBSTITUTE(SUBSTITUTE(SUBSTITUTE(SUBSTITUTE(SUBSTITUTE(SUBSTITUTE(SUBSTITUTE(SUBSTITUTE(SUBSTITUTE(SUBSTITUTE(SUBSTITUTE(SUBSTITUTE(SUBSTITUTE(SUBSTITUTE(SUBSTITUTE(LOWER(T498&amp;""),CHAR(10)," "),CHAR(13)," "),CHAR(9)," "),CHAR(160)," "),"."," "),","," "),"-"," "),"/"," "),"("," "),")"," "),":"," "),";"," "),"_"," "),"–"," "),"?"," "),"!"," "),"*"," "),"["," "),"]"," "),"'"," "),"#"," "),"+"," "),"&amp;"," "),"\"," "))&amp;" "</f>
        <v>  </v>
      </c>
      <c r="CD498" s="0" t="str">
        <f aca="false">" "&amp;TRIM(SUBSTITUTE(SUBSTITUTE(SUBSTITUTE(SUBSTITUTE(SUBSTITUTE(SUBSTITUTE(SUBSTITUTE(SUBSTITUTE(SUBSTITUTE(SUBSTITUTE(SUBSTITUTE(SUBSTITUTE(SUBSTITUTE(SUBSTITUTE(SUBSTITUTE(SUBSTITUTE(SUBSTITUTE(SUBSTITUTE(SUBSTITUTE(SUBSTITUTE(SUBSTITUTE(SUBSTITUTE(SUBSTITUTE(SUBSTITUTE(LOWER(AE498&amp;""),CHAR(10)," "),CHAR(13)," "),CHAR(9)," "),CHAR(160)," "),"."," "),","," "),"-"," "),"/"," "),"("," "),")"," "),":"," "),";"," "),"_"," "),"–"," "),"?"," "),"!"," "),"*"," "),"["," "),"]"," "),"'"," "),"#"," "),"+"," "),"&amp;"," "),"\"," "))&amp;" "</f>
        <v>  </v>
      </c>
      <c r="CE498" s="68" t="n">
        <f aca="false">IFERROR(IF(AND(LEN(AU498)&gt;0,LEN(AU498)=LEN(AX498),OR(TRIM(MID(SUBSTITUTE(TRIM(CC498)," ",REPT(" ",60)),1,60))="",ISNUMBER(SEARCH(" "&amp;TRIM(MID(SUBSTITUTE(TRIM(CC498)," ",REPT(" ",60)),1,60))&amp;" ",CD498))),OR(TRIM(MID(SUBSTITUTE(TRIM(CC498)," ",REPT(" ",60)),61,60))="",ISNUMBER(SEARCH(" "&amp;TRIM(MID(SUBSTITUTE(TRIM(CC498)," ",REPT(" ",60)),61,60))&amp;" ",CD498))),OR(TRIM(MID(SUBSTITUTE(TRIM(CC498)," ",REPT(" ",60)),121,60))="",ISNUMBER(SEARCH(" "&amp;TRIM(MID(SUBSTITUTE(TRIM(CC498)," ",REPT(" ",60)),121,60))&amp;" ",CD498)))),1,0),0)</f>
        <v>0</v>
      </c>
      <c r="CG498" s="68" t="n">
        <f aca="false">IFERROR(LEN(SUBSTITUTE(BF498," ",""))-SUMPRODUCT((LEN(BF498)-LEN(SUBSTITUTE(BF498," "&amp;L_NAFiller&amp;" "," ")))/(LEN(L_NAFiller)+1)*LEN(L_NAFiller)),0)</f>
        <v>0</v>
      </c>
    </row>
    <row r="499" customFormat="false" ht="41.25" hidden="false" customHeight="true" outlineLevel="0" collapsed="false">
      <c r="A499" s="57" t="s">
        <v>1152</v>
      </c>
      <c r="B499" s="57" t="s">
        <v>278</v>
      </c>
      <c r="C499" s="57" t="str">
        <f aca="false">Flights!$F$19</f>
        <v>MH0003</v>
      </c>
      <c r="D499" s="58" t="n">
        <f aca="false">Flights!$D$19</f>
        <v>46320</v>
      </c>
      <c r="E499" s="57" t="str">
        <f aca="false">Flights!$G$19&amp;"-"&amp;Flights!$H$19</f>
        <v>LHR-KUL</v>
      </c>
      <c r="F499" s="57" t="str">
        <f aca="false">Flights!$K$19</f>
        <v>EY</v>
      </c>
      <c r="G499" s="57" t="s">
        <v>420</v>
      </c>
      <c r="H499" s="57" t="s">
        <v>378</v>
      </c>
      <c r="I499" s="57" t="s">
        <v>447</v>
      </c>
      <c r="J499" s="57" t="s">
        <v>448</v>
      </c>
      <c r="K499" s="67" t="s">
        <v>449</v>
      </c>
      <c r="L499" s="67" t="s">
        <v>450</v>
      </c>
      <c r="M499" s="67" t="s">
        <v>451</v>
      </c>
      <c r="N499" s="67" t="s">
        <v>383</v>
      </c>
      <c r="O499" s="67" t="s">
        <v>452</v>
      </c>
      <c r="P499" s="57" t="s">
        <v>186</v>
      </c>
      <c r="Q499" s="59" t="n">
        <f aca="false">ROUND((Flights!$AE$19)*1440,0)/1440</f>
        <v>46319.9583333333</v>
      </c>
      <c r="R499" s="59" t="n">
        <f aca="false">Q499+(IF(AND(INDEX(TZ_DSTS,MATCH(P499,TZ_STN,0))&lt;&gt;"",Q499&gt;=INDEX(TZ_DSTS,MATCH(P499,TZ_STN,0)),Q499&lt;INDEX(TZ_DSTE,MATCH(P499,TZ_STN,0))),INDEX(TZ_DST,MATCH(P499,TZ_STN,0)),INDEX(TZ_STD,MATCH(P499,TZ_STN,0))))/24</f>
        <v>46320</v>
      </c>
      <c r="S499" s="60"/>
      <c r="T499" s="60"/>
      <c r="U499" s="60"/>
      <c r="V499" s="60"/>
      <c r="W499" s="61"/>
      <c r="X499" s="60"/>
      <c r="Y499" s="60"/>
      <c r="Z499" s="60"/>
      <c r="AA499" s="60"/>
      <c r="AB499" s="60"/>
      <c r="AC499" s="60"/>
      <c r="AD499" s="66"/>
      <c r="AE499" s="60"/>
      <c r="AF499" s="61" t="str">
        <f aca="false">IF(AND(ISNUMBER(X499),ISNUMBER(Y499)),Y499-X499,"")</f>
        <v/>
      </c>
      <c r="AG499" s="62" t="str">
        <f aca="false">IF(ISNUMBER(AD499),AD499-(IF(AND(INDEX(TZ_DSTS,MATCH(P499,TZ_STN,0))&lt;&gt;"",(AD499-INDEX(TZ_STD,MATCH(P499,TZ_STN,0))/24)&gt;=INDEX(TZ_DSTS,MATCH(P499,TZ_STN,0)),(AD499-INDEX(TZ_STD,MATCH(P499,TZ_STN,0))/24)&lt;INDEX(TZ_DSTE,MATCH(P499,TZ_STN,0))),INDEX(TZ_DST,MATCH(P499,TZ_STN,0)),INDEX(TZ_STD,MATCH(P499,TZ_STN,0))))/24,"")</f>
        <v/>
      </c>
      <c r="AH499" s="65" t="str">
        <f aca="false">IFERROR(IF(N499="N/A – rule",IF(OR(TRIM(U499)="",TRIM(U499)="N/A",TRIM(U499)="Not started"),"N/A – RULE","INVALID – this check does not apply to this aircraft: clear the status (or correct the fleet on Flights)"),IF(TRIM(U499)="N/A",IF(AT499=0,"INVALID – N/A not permitted for this check",IF(AND(TRIM(AB499)&lt;&gt;"",TRIM(AB499)&lt;&gt;"Closed"),"INVALID – corrective action still open",IF(AND(NOT(OR(LEN(AZ499)&lt;15,ISNUMBER(MATCH(AZ499,L_Placeholder,0)))),BK499=0,CG499&gt;=8,NOT(OR(LEN(AU499)&lt;2,ISNUMBER(MATCH(AU499,L_Placeholder,0)))),BR499&gt;=3,NOT(OR(LEN(AX499)&lt;2,ISNUMBER(MATCH(AX499,L_Placeholder,0)))),BS499&gt;=3,TRIM(AE499)&lt;&gt;TRIM(T499),AX499&lt;&gt;AU499,CE499=0),"N/A – JUSTIFIED","INVALID – N/A needs a real, settled reason (not 'not applicable' / 'as above' / TBC), a named PIC and a different named verifier"))),IF(OR(TRIM(U499)="Pass",TRIM(U499)="Pass after CA"),IF(NOT(ISNUMBER(AD499)),"INVALID – completion time missing",IF(OR(OR(LEN(AU499)&lt;2,ISNUMBER(MATCH(AU499,L_Placeholder,0))),BR499&lt;3),"INVALID – PIC missing or not a named person (a role such as QA / CSM is not a name)",IF(OR(LEN(AV499)&lt;2,ISNUMBER(MATCH(AV499,L_Placeholder,0))),"INVALID – result / assessment missing",IF(OR(OR(LEN(AW499)&lt;3,ISNUMBER(MATCH(AW499,L_Placeholder,0))),SUMPRODUCT(--ISNUMBER(SEARCH(" "&amp;L_EvidencePhrase&amp;" ",BD499)))&gt;0,BI499=1),"INVALID – evidence missing, placeholder or not yet on file",IF(ISNA(MATCH(TRIM(S499),L_EvidenceType,0)),"INVALID – choose the evidence type from the list (column S)",IF(BL499=0,"INVALID – evidence ID must be the record's own ID only (e.g. SF-2210, IMG_2231, 1045521); a link / file name needs type 'Link / file path'",IF(OR(OR(LEN(AX499)&lt;2,ISNUMBER(MATCH(AX499,L_Placeholder,0))),BS499&lt;3),"INVALID – verifier missing or not a named person (a role such as QA / CSM is not a name)",IF(OR(AX499=AU499,CE499=1,AND(LEN(AU499)&gt;=4,ISNUMBER(SEARCH(AU499,AX499))),AND(LEN(AX499)&gt;=4,ISNUMBER(SEARCH(AX499,AU499)))),"INVALID – verifier must be a different, named person (not the PIC or a role)",IF(BH499=1,"INVALID – result not yet available (awaiting / TBC)",IF(BG499=1,"INVALID – result describes a problem: record Fail, then Pass after CA (or reword if it is not a problem)",IF(BV499=1,"INVALID – wording says not on board: an on-board confirmation needs the item loaded",IF(AND(AQ499=1,OR(OR(LEN(AY499)&lt;3,ISNUMBER(MATCH(AY499,L_Placeholder,0))),BJ499=1,BQ499=0)),"INVALID – batch ID missing, placeholder or not an ID (e.g. PASB-261008-BC-017)",IF(AND(AR499=1,OR(NOT(ISNUMBER(X499)),NOT(ISNUMBER(Y499)))),"INVALID – expected/actual qty missing",IF(AND(AR499=1,OR(X499&lt;=0,Y499&lt;0)),"INVALID – expected qty must be above 0 and actual not negative",IF(BB499&lt;&gt;"",BB499,IF(AND(AS499=1,Documents!$J$19&lt;&gt;"ON FILE"),"INVALID – GLD not on file (Documents sheet)",IF(AND(AS499=2,Documents!$O$19&lt;&gt;"ON FILE"),"INVALID – menu checklist not on file (Documents sheet)",IF(AND(AS499=3,NOT(ISNUMBER(Flights!$AX$19))),"INVALID – enter carrying flight KUL departure (Flights AX)",IF(AND(AS499=3,OR(Flights!$AZ$19&gt;Flights!$AA$19,Flights!$AX$19&lt;Flights!$AA$19-3)),"INVALID – carrying flight (Flights AX) cannot arrive before this leg's STD, or is over 3 days early",IF(AG499&gt;AsOfUTC,"INVALID – completion time is in the future",IF(AND(ISNUMBER(BY499),AG499&lt;BY499),IF(H499="Physical uplift","INVALID – before uplift window (cannot confirm loading)","INVALID – before valid window"),IF(AG499&gt;Flights!$AA$19,"INVALID – completed after departure (cannot establish readiness)",IF(AND(H499="Preparation",AG499&gt;=IF(ISNUMBER(Flights!$BA$19),MIN(Flights!$BA$19,Flights!$AA$19),Flights!$AA$19)),"INVALID – completed after loading / departure (cannot establish readiness)",IF(AND(H499="Physical uplift",AG499&gt;Q499),"INVALID – recorded after the loading flight departed",IF(AG499&gt;Q499,"COMPLETE – LATE","COMPLETE"))))))))))))))))))))))))),IF(TRIM(U499)="Fail","FAIL – DISCREPANCY",IF(AND(TRIM(U499)&lt;&gt;"",TRIM(U499)&lt;&gt;"Not started",TRIM(U499)&lt;&gt;"In progress"),"INVALID – unrecognised status (use the list)",IF(AsOfUTC&gt;Q499,"OVERDUE",IF(N499="Clarification required","OPEN – CLARIFICATION","OPEN"))))))),"INVALID – error value in an input cell")</f>
        <v>OPEN</v>
      </c>
      <c r="AI499" s="61" t="n">
        <f aca="false">IF(OR(AH499="N/A – RULE",AH499="N/A – JUSTIFIED"),0,1)</f>
        <v>1</v>
      </c>
      <c r="AJ499" s="61" t="n">
        <f aca="false">IF(LEFT(AH499,8)="COMPLETE",1,0)</f>
        <v>0</v>
      </c>
      <c r="AK499" s="61" t="n">
        <f aca="false">IF(AND(AI499=1,AJ499=0,AsOfUTC&gt;Q499),1,0)</f>
        <v>0</v>
      </c>
      <c r="AL499" s="61" t="n">
        <f aca="false">IFERROR(IF(AND(AI499=1,OR(TRIM(U499)="Fail",AND(TRIM(AB499)&lt;&gt;"",TRIM(AB499)&lt;&gt;"Closed"),AND(ISNUMBER(AF499),AF499&lt;&gt;0,TRIM(U499)&lt;&gt;"Pass after CA"))),1,0),1)</f>
        <v>0</v>
      </c>
      <c r="AM499" s="61" t="n">
        <f aca="false">IF(LEFT(AH499,7)="INVALID",1,0)</f>
        <v>0</v>
      </c>
      <c r="AN499" s="61" t="n">
        <f aca="false">IF(AND(N499="Clarification required",AI499=1,AJ499=0),1,0)</f>
        <v>0</v>
      </c>
      <c r="AO499" s="61" t="str">
        <f aca="false">IF(AK499=1,SUM(AK$5:AK499),"")</f>
        <v/>
      </c>
      <c r="AP499" s="61" t="str">
        <f aca="false">IF(AL499=1,SUM(AL$5:AL499),"")</f>
        <v/>
      </c>
      <c r="AQ499" s="61" t="n">
        <v>0</v>
      </c>
      <c r="AR499" s="61" t="n">
        <v>0</v>
      </c>
      <c r="AS499" s="61" t="n">
        <v>0</v>
      </c>
      <c r="AT499" s="61" t="n">
        <v>0</v>
      </c>
      <c r="AU499" s="61" t="str">
        <f aca="false">SUBSTITUTE(SUBSTITUTE(SUBSTITUTE(SUBSTITUTE(SUBSTITUTE(SUBSTITUTE(SUBSTITUTE(SUBSTITUTE(SUBSTITUTE(SUBSTITUTE(SUBSTITUTE(SUBSTITUTE(SUBSTITUTE(SUBSTITUTE(SUBSTITUTE(SUBSTITUTE(LOWER(T499&amp;""),CHAR(10),""),CHAR(13),""),CHAR(9),""),CHAR(160),"")," ",""),".",""),"-",""),"/",""),"?",""),"_",""),",",""),"[",""),"]",""),"(",""),")",""),"*","")</f>
        <v/>
      </c>
      <c r="AV499" s="61" t="str">
        <f aca="false">SUBSTITUTE(SUBSTITUTE(SUBSTITUTE(SUBSTITUTE(SUBSTITUTE(SUBSTITUTE(SUBSTITUTE(SUBSTITUTE(SUBSTITUTE(SUBSTITUTE(SUBSTITUTE(SUBSTITUTE(SUBSTITUTE(SUBSTITUTE(SUBSTITUTE(SUBSTITUTE(LOWER(V499&amp;""),CHAR(10),""),CHAR(13),""),CHAR(9),""),CHAR(160),"")," ",""),".",""),"-",""),"/",""),"?",""),"_",""),",",""),"[",""),"]",""),"(",""),")",""),"*","")</f>
        <v/>
      </c>
      <c r="AW499" s="61" t="str">
        <f aca="false">SUBSTITUTE(SUBSTITUTE(SUBSTITUTE(SUBSTITUTE(SUBSTITUTE(SUBSTITUTE(SUBSTITUTE(SUBSTITUTE(SUBSTITUTE(SUBSTITUTE(SUBSTITUTE(SUBSTITUTE(SUBSTITUTE(SUBSTITUTE(SUBSTITUTE(SUBSTITUTE(LOWER(Z499&amp;""),CHAR(10),""),CHAR(13),""),CHAR(9),""),CHAR(160),"")," ",""),".",""),"-",""),"/",""),"?",""),"_",""),",",""),"[",""),"]",""),"(",""),")",""),"*","")</f>
        <v/>
      </c>
      <c r="AX499" s="61" t="str">
        <f aca="false">SUBSTITUTE(SUBSTITUTE(SUBSTITUTE(SUBSTITUTE(SUBSTITUTE(SUBSTITUTE(SUBSTITUTE(SUBSTITUTE(SUBSTITUTE(SUBSTITUTE(SUBSTITUTE(SUBSTITUTE(SUBSTITUTE(SUBSTITUTE(SUBSTITUTE(SUBSTITUTE(LOWER(AE499&amp;""),CHAR(10),""),CHAR(13),""),CHAR(9),""),CHAR(160),"")," ",""),".",""),"-",""),"/",""),"?",""),"_",""),",",""),"[",""),"]",""),"(",""),")",""),"*","")</f>
        <v/>
      </c>
      <c r="AY499" s="61" t="str">
        <f aca="false">SUBSTITUTE(SUBSTITUTE(SUBSTITUTE(SUBSTITUTE(SUBSTITUTE(SUBSTITUTE(SUBSTITUTE(SUBSTITUTE(SUBSTITUTE(SUBSTITUTE(SUBSTITUTE(SUBSTITUTE(SUBSTITUTE(SUBSTITUTE(SUBSTITUTE(SUBSTITUTE(LOWER(W499&amp;""),CHAR(10),""),CHAR(13),""),CHAR(9),""),CHAR(160),"")," ",""),".",""),"-",""),"/",""),"?",""),"_",""),",",""),"[",""),"]",""),"(",""),")",""),"*","")</f>
        <v/>
      </c>
      <c r="AZ499" s="61" t="str">
        <f aca="false">SUBSTITUTE(SUBSTITUTE(SUBSTITUTE(SUBSTITUTE(SUBSTITUTE(SUBSTITUTE(SUBSTITUTE(SUBSTITUTE(SUBSTITUTE(SUBSTITUTE(SUBSTITUTE(SUBSTITUTE(SUBSTITUTE(SUBSTITUTE(SUBSTITUTE(SUBSTITUTE(LOWER(AC499&amp;""),CHAR(10),""),CHAR(13),""),CHAR(9),""),CHAR(160),"")," ",""),".",""),"-",""),"/",""),"?",""),"_",""),",",""),"[",""),"]",""),"(",""),")",""),"*","")</f>
        <v/>
      </c>
      <c r="BA499" s="61" t="str">
        <f aca="false">SUBSTITUTE(SUBSTITUTE(SUBSTITUTE(SUBSTITUTE(SUBSTITUTE(SUBSTITUTE(SUBSTITUTE(SUBSTITUTE(SUBSTITUTE(SUBSTITUTE(SUBSTITUTE(SUBSTITUTE(SUBSTITUTE(SUBSTITUTE(SUBSTITUTE(SUBSTITUTE(LOWER(AA499&amp;""),CHAR(10),""),CHAR(13),""),CHAR(9),""),CHAR(160),"")," ",""),".",""),"-",""),"/",""),"?",""),"_",""),",",""),"[",""),"]",""),"(",""),")",""),"*","")</f>
        <v/>
      </c>
      <c r="BB499" s="61" t="str">
        <f aca="false">IF(AND(TRIM(U499)="Pass",ISNUMBER(AF499)),IF(AF499&lt;&gt;0,"INVALID – qty variance: use Fail or Pass after CA",""),"")&amp;IF(AND(TRIM(U499)="Pass after CA",ISNUMBER(AF499)),IF(AF499&lt;&gt;0,"INVALID – after the corrective action the actual qty must equal expected (update Actual)",""),"")&amp;IF(AND(TRIM(U499)="Pass",TRIM(AB499)&lt;&gt;"",TRIM(AB499)&lt;&gt;"Closed"),"INVALID – corrective action not closed: use Fail, then Pass after CA","")&amp;IF(AND(LEN(BA499)&gt;=2,ISNA(MATCH(LEFT(BA499,255),L_Placeholder,0)),TRIM(AB499)=""),"INVALID – CA status missing for the recorded corrective action","")&amp;IF(AND(TRIM(U499)="Pass after CA",OR(OR(LEN(BA499)&lt;5,ISNUMBER(MATCH(BA499,L_Placeholder,0))),TRIM(AB499)&lt;&gt;"Closed")),"INVALID – corrective action not recorded/closed","")</f>
        <v/>
      </c>
      <c r="BC499" s="61" t="str">
        <f aca="false">" "&amp;TRIM(SUBSTITUTE(SUBSTITUTE(SUBSTITUTE(SUBSTITUTE(SUBSTITUTE(SUBSTITUTE(SUBSTITUTE(SUBSTITUTE(SUBSTITUTE(SUBSTITUTE(SUBSTITUTE(SUBSTITUTE(SUBSTITUTE(SUBSTITUTE(SUBSTITUTE(SUBSTITUTE(SUBSTITUTE(SUBSTITUTE(SUBSTITUTE(SUBSTITUTE(SUBSTITUTE(SUBSTITUTE(SUBSTITUTE(SUBSTITUTE(LOWER(V499&amp;""),CHAR(10)," "),CHAR(13)," "),CHAR(9)," "),CHAR(160)," "),"."," "),","," "),"-"," "),"/"," "),"("," "),")"," "),":"," "),";"," "),"_"," "),"–"," "),"?"," "),"!"," "),"*"," "),"["," "),"]"," "),"'"," "),"#"," "),"+"," "),"&amp;"," "),"\"," "))&amp;" "</f>
        <v>  </v>
      </c>
      <c r="BD499" s="61" t="str">
        <f aca="false">" "&amp;TRIM(SUBSTITUTE(SUBSTITUTE(SUBSTITUTE(SUBSTITUTE(SUBSTITUTE(SUBSTITUTE(SUBSTITUTE(SUBSTITUTE(SUBSTITUTE(SUBSTITUTE(SUBSTITUTE(SUBSTITUTE(SUBSTITUTE(SUBSTITUTE(SUBSTITUTE(SUBSTITUTE(SUBSTITUTE(SUBSTITUTE(SUBSTITUTE(SUBSTITUTE(SUBSTITUTE(SUBSTITUTE(SUBSTITUTE(SUBSTITUTE(LOWER(Z499&amp;""),CHAR(10)," "),CHAR(13)," "),CHAR(9)," "),CHAR(160)," "),"."," "),","," "),"-"," "),"/"," "),"("," "),")"," "),":"," "),";"," "),"_"," "),"–"," "),"?"," "),"!"," "),"*"," "),"["," "),"]"," "),"'"," "),"#"," "),"+"," "),"&amp;"," "),"\"," "))&amp;" "</f>
        <v>  </v>
      </c>
      <c r="BE499" s="61" t="str">
        <f aca="false">" "&amp;TRIM(SUBSTITUTE(SUBSTITUTE(SUBSTITUTE(SUBSTITUTE(SUBSTITUTE(SUBSTITUTE(SUBSTITUTE(SUBSTITUTE(SUBSTITUTE(SUBSTITUTE(SUBSTITUTE(SUBSTITUTE(SUBSTITUTE(SUBSTITUTE(SUBSTITUTE(SUBSTITUTE(SUBSTITUTE(SUBSTITUTE(SUBSTITUTE(SUBSTITUTE(SUBSTITUTE(SUBSTITUTE(SUBSTITUTE(SUBSTITUTE(LOWER(W499&amp;""),CHAR(10)," "),CHAR(13)," "),CHAR(9)," "),CHAR(160)," "),"."," "),","," "),"-"," "),"/"," "),"("," "),")"," "),":"," "),";"," "),"_"," "),"–"," "),"?"," "),"!"," "),"*"," "),"["," "),"]"," "),"'"," "),"#"," "),"+"," "),"&amp;"," "),"\"," "))&amp;" "</f>
        <v>  </v>
      </c>
      <c r="BF499" s="61" t="str">
        <f aca="false">" "&amp;TRIM(SUBSTITUTE(SUBSTITUTE(SUBSTITUTE(SUBSTITUTE(SUBSTITUTE(SUBSTITUTE(SUBSTITUTE(SUBSTITUTE(SUBSTITUTE(SUBSTITUTE(SUBSTITUTE(SUBSTITUTE(SUBSTITUTE(SUBSTITUTE(SUBSTITUTE(SUBSTITUTE(SUBSTITUTE(SUBSTITUTE(SUBSTITUTE(SUBSTITUTE(SUBSTITUTE(SUBSTITUTE(SUBSTITUTE(SUBSTITUTE(LOWER(AC499&amp;""),CHAR(10)," "),CHAR(13)," "),CHAR(9)," "),CHAR(160)," "),"."," "),","," "),"-"," "),"/"," "),"("," "),")"," "),":"," "),";"," "),"_"," "),"–"," "),"?"," "),"!"," "),"*"," "),"["," "),"]"," "),"'"," "),"#"," "),"+"," "),"&amp;"," "),"\"," "))&amp;" "</f>
        <v>  </v>
      </c>
      <c r="BG499" s="61" t="n">
        <f aca="false">IFERROR(IF(AND(TRIM(U499)="Pass",SUMPRODUCT((LEN(BC499)-LEN(SUBSTITUTE(BC499," "&amp;L_ResultBad&amp;" "," ")))/(LEN(L_ResultBad)+1))&gt;SUMPRODUCT((LEN(BC499)-LEN(SUBSTITUTE(BC499," "&amp;L_NegPhrase&amp;" "," ")))/(LEN(L_NegPhrase)+1))),1,0),0)</f>
        <v>0</v>
      </c>
      <c r="BH499" s="61" t="n">
        <f aca="false">IFERROR(IF(SUMPRODUCT((LEN(BC499)-LEN(SUBSTITUTE(BC499," "&amp;L_Pending&amp;" "," ")))/(LEN(L_Pending)+1))&gt;SUMPRODUCT((LEN(BC499)-LEN(SUBSTITUTE(BC499," "&amp;L_PendNeg&amp;" "," ")))/(LEN(L_PendNeg)+1))+SUMPRODUCT((LEN(BC499)-LEN(SUBSTITUTE(BC499," "&amp;L_PendPrep&amp;" "," ")))/(LEN(L_PendPrep)+1)),1,0),1)</f>
        <v>0</v>
      </c>
      <c r="BI499" s="61" t="n">
        <f aca="false">IFERROR(IF(SUMPRODUCT((LEN(BD499)-LEN(SUBSTITUTE(BD499," "&amp;L_PendStrict&amp;" "," ")))/(LEN(L_PendStrict)+1))&gt;SUMPRODUCT((LEN(BD499)-LEN(SUBSTITUTE(BD499," "&amp;L_PendNeg&amp;" "," ")))/(LEN(L_PendNeg)+1)),1,0),1)</f>
        <v>0</v>
      </c>
      <c r="BJ499" s="61" t="n">
        <f aca="false">IFERROR(IF(SUMPRODUCT((LEN(BE499)-LEN(SUBSTITUTE(BE499," "&amp;L_Pending&amp;" "," ")))/(LEN(L_Pending)+1))&gt;SUMPRODUCT((LEN(BE499)-LEN(SUBSTITUTE(BE499," "&amp;L_PendNeg&amp;" "," ")))/(LEN(L_PendNeg)+1))+SUMPRODUCT((LEN(BE499)-LEN(SUBSTITUTE(BE499," "&amp;L_PendPrep&amp;" "," ")))/(LEN(L_PendPrep)+1)),1,0),1)</f>
        <v>0</v>
      </c>
      <c r="BK499" s="61" t="n">
        <f aca="false">IFERROR(IF(SUMPRODUCT((LEN(BF499)-LEN(SUBSTITUTE(BF499," "&amp;L_PendStrict&amp;" "," ")))/(LEN(L_PendStrict)+1))&gt;SUMPRODUCT((LEN(BF499)-LEN(SUBSTITUTE(BF499," "&amp;L_PendNeg&amp;" "," ")))/(LEN(L_PendNeg)+1)),1,0),1)</f>
        <v>0</v>
      </c>
      <c r="BL499" s="61" t="n">
        <f aca="false">IF(ISNA(MATCH(TRIM(S499),L_EvidenceType,0)),0,BZ499)</f>
        <v>0</v>
      </c>
      <c r="BM499" s="61" t="str">
        <f aca="false">SUBSTITUTE(SUBSTITUTE(SUBSTITUTE(SUBSTITUTE(SUBSTITUTE(SUBSTITUTE(SUBSTITUTE(SUBSTITUTE(SUBSTITUTE(LOWER(Z499&amp;""),"1","0"),"2","0"),"3","0"),"4","0"),"5","0"),"6","0"),"7","0"),"8","0"),"9","0")</f>
        <v/>
      </c>
      <c r="BN499" s="61" t="str">
        <f aca="false">SUBSTITUTE(SUBSTITUTE(SUBSTITUTE(SUBSTITUTE(SUBSTITUTE(SUBSTITUTE(SUBSTITUTE(SUBSTITUTE(SUBSTITUTE(SUBSTITUTE(SUBSTITUTE(SUBSTITUTE(SUBSTITUTE(SUBSTITUTE(SUBSTITUTE(SUBSTITUTE(SUBSTITUTE(SUBSTITUTE(SUBSTITUTE(SUBSTITUTE(SUBSTITUTE(SUBSTITUTE(SUBSTITUTE(SUBSTITUTE(SUBSTITUTE(BM499,"b","a"),"c","a"),"d","a"),"e","a"),"f","a"),"g","a"),"h","a"),"i","a"),"j","a"),"k","a"),"l","a"),"m","a"),"n","a"),"o","a"),"p","a"),"q","a"),"r","a"),"s","a"),"t","a"),"u","a"),"v","a"),"w","a"),"x","a"),"y","a"),"z","a")</f>
        <v/>
      </c>
      <c r="BO499" s="61" t="str">
        <f aca="false">SUBSTITUTE(SUBSTITUTE(SUBSTITUTE(SUBSTITUTE(SUBSTITUTE(SUBSTITUTE(SUBSTITUTE(SUBSTITUTE(SUBSTITUTE(LOWER(W499&amp;""),"1","0"),"2","0"),"3","0"),"4","0"),"5","0"),"6","0"),"7","0"),"8","0"),"9","0")</f>
        <v/>
      </c>
      <c r="BP499" s="61" t="str">
        <f aca="false">SUBSTITUTE(SUBSTITUTE(SUBSTITUTE(SUBSTITUTE(SUBSTITUTE(SUBSTITUTE(SUBSTITUTE(SUBSTITUTE(SUBSTITUTE(SUBSTITUTE(SUBSTITUTE(SUBSTITUTE(SUBSTITUTE(SUBSTITUTE(SUBSTITUTE(SUBSTITUTE(SUBSTITUTE(SUBSTITUTE(SUBSTITUTE(SUBSTITUTE(SUBSTITUTE(SUBSTITUTE(SUBSTITUTE(SUBSTITUTE(SUBSTITUTE(BO499,"b","a"),"c","a"),"d","a"),"e","a"),"f","a"),"g","a"),"h","a"),"i","a"),"j","a"),"k","a"),"l","a"),"m","a"),"n","a"),"o","a"),"p","a"),"q","a"),"r","a"),"s","a"),"t","a"),"u","a"),"v","a"),"w","a"),"x","a"),"y","a"),"z","a")</f>
        <v/>
      </c>
      <c r="BQ499" s="61" t="n">
        <f aca="false">IFERROR(IF(AND(ISERROR(SEARCH(" mh"," "&amp;LOWER(W499))),ISNA(MATCH(LEFT(TRIM(BP499),255),{"0000a","000a","00a","0000aa","000aa","00aa","0aa","0000aaa","000aaa","00a00","0a00","0000-0000","00:00","a00","a0","00.00.0000","00/00/0000","00-00-0000","0000-00-00","0000/00/00","0000.00.00","00.00.00","00/00/00","00-00-00","0.00.0000","0/00/0000","0-00-0000"},0)),ISNA(MATCH(LEFT(TRIM(CA499),255),{"0000a","000a","00a","0000aa","000aa","00aa","0aa","0000aaa","000aaa","00a00","0a00","0000-0000","00:00","a00","a0","00.00.0000","00/00/0000","00-00-0000","0000-00-00","0000/00/00","0000.00.00","00.00.00","00/00/00","00-00-00","0.00.0000","0/00/0000","0-00-0000"},0)),LEN(CB499)&gt;=3,NOT(OR(SUBSTITUTE(CB499,"0","")="",AND(LEN(CB499)&gt;=4,CB499=REPT(LEFT(CB499),LEN(CB499))),ISNUMBER(MATCH(CB499,{"123","1234","12345","123456","1234567","12345678","0123","01234","012345","98765","987654","54321"},0)),AND(LEN(CB499)=8,LEFT(CB499,3)="202"))),OR(AND((LEN(CA499)-LEN(SUBSTITUTE(CA499,"a","")))&gt;=1,SUMPRODUCT(--ISNUMBER(SEARCH({"a0","a-0","a_0","a/0","a.0","a#0","0a","0-a","0_a","0/a"},BP499)))&gt;0),ISNUMBER(SEARCH("000000",BP499)))),1,0),0)</f>
        <v>0</v>
      </c>
      <c r="BR499" s="61" t="n">
        <f aca="false">IFERROR(LEN(SUBSTITUTE(CC499," ",""))-SUMPRODUCT((LEN(CC499)-LEN(SUBSTITUTE(CC499," "&amp;L_Role&amp;" "," ")))/(LEN(L_Role)+1)*LEN(L_Role)),0)</f>
        <v>0</v>
      </c>
      <c r="BS499" s="61" t="n">
        <f aca="false">IFERROR(LEN(SUBSTITUTE(CD499," ",""))-SUMPRODUCT((LEN(CD499)-LEN(SUBSTITUTE(CD499," "&amp;L_Role&amp;" "," ")))/(LEN(L_Role)+1)*LEN(L_Role)),0)</f>
        <v>0</v>
      </c>
      <c r="BT4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499,"revision",""),"version",""),"jan",""),"feb",""),"mar",""),"apr",""),"may",""),"jun",""),"jul",""),"aug",""),"sep",""),"oct",""),"nov",""),"dec",""),"utc",""),"gmt",""),"myt",""),"bst",""),"rev",""),"ver",""),"b","a"),"c","a"),"d","a"),"e","a"),"f","a"),"g","a"),"h","a"),"i","a"),"j","a"),"k","a"),"l","a"),"m","a"),"n","a"),"o","a"),"p","a"),"q","a"),"r","a"),"s","a"),"t","a"),"u","a"),"v","a"),"w","a"),"x","a"),"y","a"),"z","a")</f>
        <v/>
      </c>
      <c r="BU499" s="61" t="str">
        <f aca="false">SUBSTITUTE(SUBSTITUTE(SUBSTITUTE(SUBSTITUTE(SUBSTITUTE(SUBSTITUTE(SUBSTITUTE(SUBSTITUTE(SUBSTITUTE(SUBSTITUTE(LEFT(BM499,FIND("0",BM499&amp;"0")-1),"-",""),"_",""),"/",""),".",""),"#",""),"\\",""),":","")," ",""),"(",""),")","")</f>
        <v/>
      </c>
      <c r="BV499" s="61" t="n">
        <f aca="false">0</f>
        <v>0</v>
      </c>
      <c r="BW4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499&amp;""),"a",""),"b",""),"c",""),"d",""),"e",""),"f",""),"g",""),"h",""),"i",""),"j",""),"k",""),"l",""),"m",""),"n",""),"o",""),"p",""),"q",""),"r",""),"s",""),"t",""),"u",""),"v",""),"w",""),"x",""),"y",""),"z",""),"-",""),"_",""),"/",""),".",""),"#",""),"\\",""),":","")," ",""),"(",""),")","")</f>
        <v/>
      </c>
      <c r="BX499" s="61" t="str">
        <f aca="false">SUBSTITUTE(SUBSTITUTE(SUBSTITUTE(SUBSTITUTE(SUBSTITUTE(SUBSTITUTE(SUBSTITUTE(SUBSTITUTE(SUBSTITUTE(SUBSTITUTE(SUBSTITUTE(BM499,"0",""),"-",""),"_",""),"/",""),".",""),"#",""),"\\",""),":","")," ",""),"(",""),")","")</f>
        <v/>
      </c>
      <c r="BY499" s="62" t="n">
        <f aca="false">Q499-T12EarlyH/24</f>
        <v>46319.4583333333</v>
      </c>
      <c r="BZ499" s="61" t="n">
        <f aca="false">IFERROR(IF(IF(TRIM(S499)="Link / file path",AND(LEN(TRIM(Z499))&gt;=5,SUMPRODUCT(--ISNUMBER(SEARCH({"http","www.","\\",":\",".pdf",".jpg",".jpeg",".png",".heic",".xls",".doc",".msg",".eml",".ppt",".txt",".zip"},Z499)))&gt;0),AND(ISERROR(FIND(" ",TRIM(Z499))),NOT(OR(SUMPRODUCT(--ISNUMBER(FIND({",",";","&amp;","+"},Z499)))&gt;0,SUMPRODUCT(--ISNUMBER(SEARCH({"0/aa","0\\aa"},BN499)))&gt;0)),NOT(SUMPRODUCT(--ISNUMBER(SEARCH({"http","www.","\\",":\",".pdf",".jpg",".jpeg",".png",".heic",".xls",".doc",".msg",".eml",".ppt",".txt",".zip"},Z499)))&gt;0),NOT(LOWER(TRIM(Z499))=LOWER(Flights!$F$19)),ISNA(MATCH(BU499,{"mh","rev","revision","ver","version","v","r","a","b","seat","tray","row","gate","bay","stand","page","pg","item","line","no","cart","galley","flight","flt","table","box","bag","oven","etd","eta","std","sta","atd","ata","qty","pax","x","time","tel","ph","mob","day","wk","week","utc","gmt","myt","lt"},0)),NOT(OR(ISNUMBER(MATCH(LEFT(BN499,255),{"0000a","000a","00a","0000aa","000aa","00aa","0aa","0000aaa","000aaa","00a00","0a00","0000-0000","00:00","a00","a0","00.00.0000","00/00/0000","00-00-0000","0000-00-00","0000/00/00","0000.00.00","00.00.00","00/00/00","00-00-00","0.00.0000","0/00/0000","0-00-0000"},0)),ISNUMBER(MATCH(LEFT(BT499,255),{"0000a","000a","00a","0000aa","000aa","00aa","0aa","0000aaa","000aaa","00a00","0a00","0000-0000","00:00","a00","a0","00.00.0000","00/00/0000","00-00-0000","0000-00-00","0000/00/00","0000.00.00","00.00.00","00/00/00","00-00-00","0.00.0000","0/00/0000","0-00-0000"},0)))),NOT(OR(AND(BW499&lt;&gt;"",SUBSTITUTE(BW499,"0","")=""),AND(LEN(BW499)&gt;=4,BW499=REPT(LEFT(BW499),LEN(BW499))),ISNUMBER(MATCH(BW499,{"123","1234","12345","123456","1234567","12345678","0123","01234","012345","98765","987654","54321"},0)),ISNUMBER(MATCH(BX499,{"x","xx","xxx","xxxx","xxxxx","abc","abcd","nil","na","nan","test","tbc","tba","tbd","dummy","sample","example","eg","zz","zzz","none","null","xyz","qwe","asd","id","ref"},0)),AND(LEN(BW499)=8,BX499="",OR(LEFT(BW499,3)="202",ISNUMBER(MATCH(RIGHT(BW499,4),{"2025","2026","2027"},0)))))),OR(AND((LEN(BT499)-LEN(SUBSTITUTE(BT499,"a","")))&gt;=1,(LEN(BN499)-LEN(SUBSTITUTE(BN499,"0","")))&gt;=2,SUMPRODUCT(--ISNUMBER(SEARCH({"a0","a-0","a_0","a/0","a.0","a#0","0a","0-a","0_a","0/a"},BN499)))&gt;0),AND((LEN(BN499)-LEN(SUBSTITUTE(BN499,"a","")))=0,(LEN(BN499)-LEN(SUBSTITUTE(BN499,"0","")))&gt;=5)))),1,0),0)</f>
        <v>0</v>
      </c>
      <c r="CA4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499,"revision",""),"version",""),"jan",""),"feb",""),"mar",""),"apr",""),"may",""),"jun",""),"jul",""),"aug",""),"sep",""),"oct",""),"nov",""),"dec",""),"utc",""),"gmt",""),"myt",""),"bst",""),"rev",""),"ver",""),"b","a"),"c","a"),"d","a"),"e","a"),"f","a"),"g","a"),"h","a"),"i","a"),"j","a"),"k","a"),"l","a"),"m","a"),"n","a"),"o","a"),"p","a"),"q","a"),"r","a"),"s","a"),"t","a"),"u","a"),"v","a"),"w","a"),"x","a"),"y","a"),"z","a")</f>
        <v/>
      </c>
      <c r="CB4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499&amp;""),"a",""),"b",""),"c",""),"d",""),"e",""),"f",""),"g",""),"h",""),"i",""),"j",""),"k",""),"l",""),"m",""),"n",""),"o",""),"p",""),"q",""),"r",""),"s",""),"t",""),"u",""),"v",""),"w",""),"x",""),"y",""),"z",""),"-",""),"_",""),"/",""),".",""),"#",""),"\\",""),":","")," ",""),"(",""),")","")</f>
        <v/>
      </c>
      <c r="CC499" s="0" t="str">
        <f aca="false">" "&amp;TRIM(SUBSTITUTE(SUBSTITUTE(SUBSTITUTE(SUBSTITUTE(SUBSTITUTE(SUBSTITUTE(SUBSTITUTE(SUBSTITUTE(SUBSTITUTE(SUBSTITUTE(SUBSTITUTE(SUBSTITUTE(SUBSTITUTE(SUBSTITUTE(SUBSTITUTE(SUBSTITUTE(SUBSTITUTE(SUBSTITUTE(SUBSTITUTE(SUBSTITUTE(SUBSTITUTE(SUBSTITUTE(SUBSTITUTE(SUBSTITUTE(LOWER(T499&amp;""),CHAR(10)," "),CHAR(13)," "),CHAR(9)," "),CHAR(160)," "),"."," "),","," "),"-"," "),"/"," "),"("," "),")"," "),":"," "),";"," "),"_"," "),"–"," "),"?"," "),"!"," "),"*"," "),"["," "),"]"," "),"'"," "),"#"," "),"+"," "),"&amp;"," "),"\"," "))&amp;" "</f>
        <v>  </v>
      </c>
      <c r="CD499" s="0" t="str">
        <f aca="false">" "&amp;TRIM(SUBSTITUTE(SUBSTITUTE(SUBSTITUTE(SUBSTITUTE(SUBSTITUTE(SUBSTITUTE(SUBSTITUTE(SUBSTITUTE(SUBSTITUTE(SUBSTITUTE(SUBSTITUTE(SUBSTITUTE(SUBSTITUTE(SUBSTITUTE(SUBSTITUTE(SUBSTITUTE(SUBSTITUTE(SUBSTITUTE(SUBSTITUTE(SUBSTITUTE(SUBSTITUTE(SUBSTITUTE(SUBSTITUTE(SUBSTITUTE(LOWER(AE499&amp;""),CHAR(10)," "),CHAR(13)," "),CHAR(9)," "),CHAR(160)," "),"."," "),","," "),"-"," "),"/"," "),"("," "),")"," "),":"," "),";"," "),"_"," "),"–"," "),"?"," "),"!"," "),"*"," "),"["," "),"]"," "),"'"," "),"#"," "),"+"," "),"&amp;"," "),"\"," "))&amp;" "</f>
        <v>  </v>
      </c>
      <c r="CE499" s="68" t="n">
        <f aca="false">IFERROR(IF(AND(LEN(AU499)&gt;0,LEN(AU499)=LEN(AX499),OR(TRIM(MID(SUBSTITUTE(TRIM(CC499)," ",REPT(" ",60)),1,60))="",ISNUMBER(SEARCH(" "&amp;TRIM(MID(SUBSTITUTE(TRIM(CC499)," ",REPT(" ",60)),1,60))&amp;" ",CD499))),OR(TRIM(MID(SUBSTITUTE(TRIM(CC499)," ",REPT(" ",60)),61,60))="",ISNUMBER(SEARCH(" "&amp;TRIM(MID(SUBSTITUTE(TRIM(CC499)," ",REPT(" ",60)),61,60))&amp;" ",CD499))),OR(TRIM(MID(SUBSTITUTE(TRIM(CC499)," ",REPT(" ",60)),121,60))="",ISNUMBER(SEARCH(" "&amp;TRIM(MID(SUBSTITUTE(TRIM(CC499)," ",REPT(" ",60)),121,60))&amp;" ",CD499)))),1,0),0)</f>
        <v>0</v>
      </c>
      <c r="CG499" s="68" t="n">
        <f aca="false">IFERROR(LEN(SUBSTITUTE(BF499," ",""))-SUMPRODUCT((LEN(BF499)-LEN(SUBSTITUTE(BF499," "&amp;L_NAFiller&amp;" "," ")))/(LEN(L_NAFiller)+1)*LEN(L_NAFiller)),0)</f>
        <v>0</v>
      </c>
    </row>
    <row r="500" customFormat="false" ht="91.5" hidden="false" customHeight="true" outlineLevel="0" collapsed="false">
      <c r="A500" s="57" t="s">
        <v>1153</v>
      </c>
      <c r="B500" s="57" t="s">
        <v>278</v>
      </c>
      <c r="C500" s="57" t="str">
        <f aca="false">Flights!$F$19</f>
        <v>MH0003</v>
      </c>
      <c r="D500" s="58" t="n">
        <f aca="false">Flights!$D$19</f>
        <v>46320</v>
      </c>
      <c r="E500" s="57" t="str">
        <f aca="false">Flights!$G$19&amp;"-"&amp;Flights!$H$19</f>
        <v>LHR-KUL</v>
      </c>
      <c r="F500" s="57" t="str">
        <f aca="false">Flights!$K$19</f>
        <v>EY</v>
      </c>
      <c r="G500" s="57" t="s">
        <v>420</v>
      </c>
      <c r="H500" s="57" t="s">
        <v>378</v>
      </c>
      <c r="I500" s="57" t="s">
        <v>447</v>
      </c>
      <c r="J500" s="57" t="s">
        <v>454</v>
      </c>
      <c r="K500" s="67" t="s">
        <v>455</v>
      </c>
      <c r="L500" s="67" t="s">
        <v>456</v>
      </c>
      <c r="M500" s="67" t="s">
        <v>451</v>
      </c>
      <c r="N500" s="67" t="s">
        <v>383</v>
      </c>
      <c r="O500" s="67" t="s">
        <v>1154</v>
      </c>
      <c r="P500" s="57" t="s">
        <v>186</v>
      </c>
      <c r="Q500" s="59" t="n">
        <f aca="false">ROUND((Flights!$AE$19)*1440,0)/1440</f>
        <v>46319.9583333333</v>
      </c>
      <c r="R500" s="59" t="n">
        <f aca="false">Q500+(IF(AND(INDEX(TZ_DSTS,MATCH(P500,TZ_STN,0))&lt;&gt;"",Q500&gt;=INDEX(TZ_DSTS,MATCH(P500,TZ_STN,0)),Q500&lt;INDEX(TZ_DSTE,MATCH(P500,TZ_STN,0))),INDEX(TZ_DST,MATCH(P500,TZ_STN,0)),INDEX(TZ_STD,MATCH(P500,TZ_STN,0))))/24</f>
        <v>46320</v>
      </c>
      <c r="S500" s="60"/>
      <c r="T500" s="60"/>
      <c r="U500" s="60"/>
      <c r="V500" s="60"/>
      <c r="W500" s="61"/>
      <c r="X500" s="69" t="str">
        <f aca="false">IF(TRIM(Flights!$N$19)="","",IF(ISNUMBER(SEARCH("MAH",Flights!$N$19)),280,260))</f>
        <v/>
      </c>
      <c r="Y500" s="60"/>
      <c r="Z500" s="60"/>
      <c r="AA500" s="60"/>
      <c r="AB500" s="60"/>
      <c r="AC500" s="60"/>
      <c r="AD500" s="66"/>
      <c r="AE500" s="60"/>
      <c r="AF500" s="61" t="str">
        <f aca="false">IF(AND(ISNUMBER(X500),ISNUMBER(Y500)),Y500-X500,"")</f>
        <v/>
      </c>
      <c r="AG500" s="62" t="str">
        <f aca="false">IF(ISNUMBER(AD500),AD500-(IF(AND(INDEX(TZ_DSTS,MATCH(P500,TZ_STN,0))&lt;&gt;"",(AD500-INDEX(TZ_STD,MATCH(P500,TZ_STN,0))/24)&gt;=INDEX(TZ_DSTS,MATCH(P500,TZ_STN,0)),(AD500-INDEX(TZ_STD,MATCH(P500,TZ_STN,0))/24)&lt;INDEX(TZ_DSTE,MATCH(P500,TZ_STN,0))),INDEX(TZ_DST,MATCH(P500,TZ_STN,0)),INDEX(TZ_STD,MATCH(P500,TZ_STN,0))))/24,"")</f>
        <v/>
      </c>
      <c r="AH500" s="65" t="str">
        <f aca="false">IFERROR(IF(N500="N/A – rule",IF(OR(TRIM(U500)="",TRIM(U500)="N/A",TRIM(U500)="Not started"),"N/A – RULE","INVALID – this check does not apply to this aircraft: clear the status (or correct the fleet on Flights)"),IF(TRIM(U500)="N/A",IF(AT500=0,"INVALID – N/A not permitted for this check",IF(AND(TRIM(AB500)&lt;&gt;"",TRIM(AB500)&lt;&gt;"Closed"),"INVALID – corrective action still open",IF(AND(NOT(OR(LEN(AZ500)&lt;15,ISNUMBER(MATCH(AZ500,L_Placeholder,0)))),BK500=0,CG500&gt;=8,NOT(OR(LEN(AU500)&lt;2,ISNUMBER(MATCH(AU500,L_Placeholder,0)))),BR500&gt;=3,NOT(OR(LEN(AX500)&lt;2,ISNUMBER(MATCH(AX500,L_Placeholder,0)))),BS500&gt;=3,TRIM(AE500)&lt;&gt;TRIM(T500),AX500&lt;&gt;AU500,CE500=0),"N/A – JUSTIFIED","INVALID – N/A needs a real, settled reason (not 'not applicable' / 'as above' / TBC), a named PIC and a different named verifier"))),IF(OR(TRIM(U500)="Pass",TRIM(U500)="Pass after CA"),IF(NOT(ISNUMBER(AD500)),"INVALID – completion time missing",IF(OR(OR(LEN(AU500)&lt;2,ISNUMBER(MATCH(AU500,L_Placeholder,0))),BR500&lt;3),"INVALID – PIC missing or not a named person (a role such as QA / CSM is not a name)",IF(OR(LEN(AV500)&lt;2,ISNUMBER(MATCH(AV500,L_Placeholder,0))),"INVALID – result / assessment missing",IF(OR(OR(LEN(AW500)&lt;3,ISNUMBER(MATCH(AW500,L_Placeholder,0))),SUMPRODUCT(--ISNUMBER(SEARCH(" "&amp;L_EvidencePhrase&amp;" ",BD500)))&gt;0,BI500=1),"INVALID – evidence missing, placeholder or not yet on file",IF(ISNA(MATCH(TRIM(S500),L_EvidenceType,0)),"INVALID – choose the evidence type from the list (column S)",IF(BL500=0,"INVALID – evidence ID must be the record's own ID only (e.g. SF-2210, IMG_2231, 1045521); a link / file name needs type 'Link / file path'",IF(OR(OR(LEN(AX500)&lt;2,ISNUMBER(MATCH(AX500,L_Placeholder,0))),BS500&lt;3),"INVALID – verifier missing or not a named person (a role such as QA / CSM is not a name)",IF(OR(AX500=AU500,CE500=1,AND(LEN(AU500)&gt;=4,ISNUMBER(SEARCH(AU500,AX500))),AND(LEN(AX500)&gt;=4,ISNUMBER(SEARCH(AX500,AU500)))),"INVALID – verifier must be a different, named person (not the PIC or a role)",IF(BH500=1,"INVALID – result not yet available (awaiting / TBC)",IF(BG500=1,"INVALID – result describes a problem: record Fail, then Pass after CA (or reword if it is not a problem)",IF(BV500=1,"INVALID – wording says not on board: an on-board confirmation needs the item loaded",IF(AND(AQ500=1,OR(OR(LEN(AY500)&lt;3,ISNUMBER(MATCH(AY500,L_Placeholder,0))),BJ500=1,BQ500=0)),"INVALID – batch ID missing, placeholder or not an ID (e.g. PASB-261008-BC-017)",IF(AND(AR500=1,OR(NOT(ISNUMBER(X500)),NOT(ISNUMBER(Y500)))),"INVALID – expected/actual qty missing",IF(AND(AR500=1,OR(X500&lt;=0,Y500&lt;0)),"INVALID – expected qty must be above 0 and actual not negative",IF(BB500&lt;&gt;"",BB500,IF(AND(AS500=1,Documents!$J$19&lt;&gt;"ON FILE"),"INVALID – GLD not on file (Documents sheet)",IF(AND(AS500=2,Documents!$O$19&lt;&gt;"ON FILE"),"INVALID – menu checklist not on file (Documents sheet)",IF(AND(AS500=3,NOT(ISNUMBER(Flights!$AX$19))),"INVALID – enter carrying flight KUL departure (Flights AX)",IF(AND(AS500=3,OR(Flights!$AZ$19&gt;Flights!$AA$19,Flights!$AX$19&lt;Flights!$AA$19-3)),"INVALID – carrying flight (Flights AX) cannot arrive before this leg's STD, or is over 3 days early",IF(AG500&gt;AsOfUTC,"INVALID – completion time is in the future",IF(AND(ISNUMBER(BY500),AG500&lt;BY500),IF(H500="Physical uplift","INVALID – before uplift window (cannot confirm loading)","INVALID – before valid window"),IF(AG500&gt;Flights!$AA$19,"INVALID – completed after departure (cannot establish readiness)",IF(AND(H500="Preparation",AG500&gt;=IF(ISNUMBER(Flights!$BA$19),MIN(Flights!$BA$19,Flights!$AA$19),Flights!$AA$19)),"INVALID – completed after loading / departure (cannot establish readiness)",IF(AND(H500="Physical uplift",AG500&gt;Q500),"INVALID – recorded after the loading flight departed",IF(AG500&gt;Q500,"COMPLETE – LATE","COMPLETE"))))))))))))))))))))))))),IF(TRIM(U500)="Fail","FAIL – DISCREPANCY",IF(AND(TRIM(U500)&lt;&gt;"",TRIM(U500)&lt;&gt;"Not started",TRIM(U500)&lt;&gt;"In progress"),"INVALID – unrecognised status (use the list)",IF(AsOfUTC&gt;Q500,"OVERDUE",IF(N500="Clarification required","OPEN – CLARIFICATION","OPEN"))))))),"INVALID – error value in an input cell")</f>
        <v>OPEN</v>
      </c>
      <c r="AI500" s="61" t="n">
        <f aca="false">IF(OR(AH500="N/A – RULE",AH500="N/A – JUSTIFIED"),0,1)</f>
        <v>1</v>
      </c>
      <c r="AJ500" s="61" t="n">
        <f aca="false">IF(LEFT(AH500,8)="COMPLETE",1,0)</f>
        <v>0</v>
      </c>
      <c r="AK500" s="61" t="n">
        <f aca="false">IF(AND(AI500=1,AJ500=0,AsOfUTC&gt;Q500),1,0)</f>
        <v>0</v>
      </c>
      <c r="AL500" s="61" t="n">
        <f aca="false">IFERROR(IF(AND(AI500=1,OR(TRIM(U500)="Fail",AND(TRIM(AB500)&lt;&gt;"",TRIM(AB500)&lt;&gt;"Closed"),AND(ISNUMBER(AF500),AF500&lt;&gt;0,TRIM(U500)&lt;&gt;"Pass after CA"))),1,0),1)</f>
        <v>0</v>
      </c>
      <c r="AM500" s="61" t="n">
        <f aca="false">IF(LEFT(AH500,7)="INVALID",1,0)</f>
        <v>0</v>
      </c>
      <c r="AN500" s="61" t="n">
        <f aca="false">IF(AND(N500="Clarification required",AI500=1,AJ500=0),1,0)</f>
        <v>0</v>
      </c>
      <c r="AO500" s="61" t="str">
        <f aca="false">IF(AK500=1,SUM(AK$5:AK500),"")</f>
        <v/>
      </c>
      <c r="AP500" s="61" t="str">
        <f aca="false">IF(AL500=1,SUM(AL$5:AL500),"")</f>
        <v/>
      </c>
      <c r="AQ500" s="61" t="n">
        <v>0</v>
      </c>
      <c r="AR500" s="61" t="n">
        <v>1</v>
      </c>
      <c r="AS500" s="61" t="n">
        <v>0</v>
      </c>
      <c r="AT500" s="61" t="n">
        <v>0</v>
      </c>
      <c r="AU500" s="61" t="str">
        <f aca="false">SUBSTITUTE(SUBSTITUTE(SUBSTITUTE(SUBSTITUTE(SUBSTITUTE(SUBSTITUTE(SUBSTITUTE(SUBSTITUTE(SUBSTITUTE(SUBSTITUTE(SUBSTITUTE(SUBSTITUTE(SUBSTITUTE(SUBSTITUTE(SUBSTITUTE(SUBSTITUTE(LOWER(T500&amp;""),CHAR(10),""),CHAR(13),""),CHAR(9),""),CHAR(160),"")," ",""),".",""),"-",""),"/",""),"?",""),"_",""),",",""),"[",""),"]",""),"(",""),")",""),"*","")</f>
        <v/>
      </c>
      <c r="AV500" s="61" t="str">
        <f aca="false">SUBSTITUTE(SUBSTITUTE(SUBSTITUTE(SUBSTITUTE(SUBSTITUTE(SUBSTITUTE(SUBSTITUTE(SUBSTITUTE(SUBSTITUTE(SUBSTITUTE(SUBSTITUTE(SUBSTITUTE(SUBSTITUTE(SUBSTITUTE(SUBSTITUTE(SUBSTITUTE(LOWER(V500&amp;""),CHAR(10),""),CHAR(13),""),CHAR(9),""),CHAR(160),"")," ",""),".",""),"-",""),"/",""),"?",""),"_",""),",",""),"[",""),"]",""),"(",""),")",""),"*","")</f>
        <v/>
      </c>
      <c r="AW500" s="61" t="str">
        <f aca="false">SUBSTITUTE(SUBSTITUTE(SUBSTITUTE(SUBSTITUTE(SUBSTITUTE(SUBSTITUTE(SUBSTITUTE(SUBSTITUTE(SUBSTITUTE(SUBSTITUTE(SUBSTITUTE(SUBSTITUTE(SUBSTITUTE(SUBSTITUTE(SUBSTITUTE(SUBSTITUTE(LOWER(Z500&amp;""),CHAR(10),""),CHAR(13),""),CHAR(9),""),CHAR(160),"")," ",""),".",""),"-",""),"/",""),"?",""),"_",""),",",""),"[",""),"]",""),"(",""),")",""),"*","")</f>
        <v/>
      </c>
      <c r="AX500" s="61" t="str">
        <f aca="false">SUBSTITUTE(SUBSTITUTE(SUBSTITUTE(SUBSTITUTE(SUBSTITUTE(SUBSTITUTE(SUBSTITUTE(SUBSTITUTE(SUBSTITUTE(SUBSTITUTE(SUBSTITUTE(SUBSTITUTE(SUBSTITUTE(SUBSTITUTE(SUBSTITUTE(SUBSTITUTE(LOWER(AE500&amp;""),CHAR(10),""),CHAR(13),""),CHAR(9),""),CHAR(160),"")," ",""),".",""),"-",""),"/",""),"?",""),"_",""),",",""),"[",""),"]",""),"(",""),")",""),"*","")</f>
        <v/>
      </c>
      <c r="AY500" s="61" t="str">
        <f aca="false">SUBSTITUTE(SUBSTITUTE(SUBSTITUTE(SUBSTITUTE(SUBSTITUTE(SUBSTITUTE(SUBSTITUTE(SUBSTITUTE(SUBSTITUTE(SUBSTITUTE(SUBSTITUTE(SUBSTITUTE(SUBSTITUTE(SUBSTITUTE(SUBSTITUTE(SUBSTITUTE(LOWER(W500&amp;""),CHAR(10),""),CHAR(13),""),CHAR(9),""),CHAR(160),"")," ",""),".",""),"-",""),"/",""),"?",""),"_",""),",",""),"[",""),"]",""),"(",""),")",""),"*","")</f>
        <v/>
      </c>
      <c r="AZ500" s="61" t="str">
        <f aca="false">SUBSTITUTE(SUBSTITUTE(SUBSTITUTE(SUBSTITUTE(SUBSTITUTE(SUBSTITUTE(SUBSTITUTE(SUBSTITUTE(SUBSTITUTE(SUBSTITUTE(SUBSTITUTE(SUBSTITUTE(SUBSTITUTE(SUBSTITUTE(SUBSTITUTE(SUBSTITUTE(LOWER(AC500&amp;""),CHAR(10),""),CHAR(13),""),CHAR(9),""),CHAR(160),"")," ",""),".",""),"-",""),"/",""),"?",""),"_",""),",",""),"[",""),"]",""),"(",""),")",""),"*","")</f>
        <v/>
      </c>
      <c r="BA500" s="61" t="str">
        <f aca="false">SUBSTITUTE(SUBSTITUTE(SUBSTITUTE(SUBSTITUTE(SUBSTITUTE(SUBSTITUTE(SUBSTITUTE(SUBSTITUTE(SUBSTITUTE(SUBSTITUTE(SUBSTITUTE(SUBSTITUTE(SUBSTITUTE(SUBSTITUTE(SUBSTITUTE(SUBSTITUTE(LOWER(AA500&amp;""),CHAR(10),""),CHAR(13),""),CHAR(9),""),CHAR(160),"")," ",""),".",""),"-",""),"/",""),"?",""),"_",""),",",""),"[",""),"]",""),"(",""),")",""),"*","")</f>
        <v/>
      </c>
      <c r="BB500" s="61" t="str">
        <f aca="false">IF(AND(TRIM(U500)="Pass",ISNUMBER(AF500)),IF(AF500&lt;&gt;0,"INVALID – qty variance: use Fail or Pass after CA",""),"")&amp;IF(AND(TRIM(U500)="Pass after CA",ISNUMBER(AF500)),IF(AF500&lt;&gt;0,"INVALID – after the corrective action the actual qty must equal expected (update Actual)",""),"")&amp;IF(AND(TRIM(U500)="Pass",TRIM(AB500)&lt;&gt;"",TRIM(AB500)&lt;&gt;"Closed"),"INVALID – corrective action not closed: use Fail, then Pass after CA","")&amp;IF(AND(LEN(BA500)&gt;=2,ISNA(MATCH(LEFT(BA500,255),L_Placeholder,0)),TRIM(AB500)=""),"INVALID – CA status missing for the recorded corrective action","")&amp;IF(AND(TRIM(U500)="Pass after CA",OR(OR(LEN(BA500)&lt;5,ISNUMBER(MATCH(BA500,L_Placeholder,0))),TRIM(AB500)&lt;&gt;"Closed")),"INVALID – corrective action not recorded/closed","")</f>
        <v/>
      </c>
      <c r="BC500" s="61" t="str">
        <f aca="false">" "&amp;TRIM(SUBSTITUTE(SUBSTITUTE(SUBSTITUTE(SUBSTITUTE(SUBSTITUTE(SUBSTITUTE(SUBSTITUTE(SUBSTITUTE(SUBSTITUTE(SUBSTITUTE(SUBSTITUTE(SUBSTITUTE(SUBSTITUTE(SUBSTITUTE(SUBSTITUTE(SUBSTITUTE(SUBSTITUTE(SUBSTITUTE(SUBSTITUTE(SUBSTITUTE(SUBSTITUTE(SUBSTITUTE(SUBSTITUTE(SUBSTITUTE(LOWER(V500&amp;""),CHAR(10)," "),CHAR(13)," "),CHAR(9)," "),CHAR(160)," "),"."," "),","," "),"-"," "),"/"," "),"("," "),")"," "),":"," "),";"," "),"_"," "),"–"," "),"?"," "),"!"," "),"*"," "),"["," "),"]"," "),"'"," "),"#"," "),"+"," "),"&amp;"," "),"\"," "))&amp;" "</f>
        <v>  </v>
      </c>
      <c r="BD500" s="61" t="str">
        <f aca="false">" "&amp;TRIM(SUBSTITUTE(SUBSTITUTE(SUBSTITUTE(SUBSTITUTE(SUBSTITUTE(SUBSTITUTE(SUBSTITUTE(SUBSTITUTE(SUBSTITUTE(SUBSTITUTE(SUBSTITUTE(SUBSTITUTE(SUBSTITUTE(SUBSTITUTE(SUBSTITUTE(SUBSTITUTE(SUBSTITUTE(SUBSTITUTE(SUBSTITUTE(SUBSTITUTE(SUBSTITUTE(SUBSTITUTE(SUBSTITUTE(SUBSTITUTE(LOWER(Z500&amp;""),CHAR(10)," "),CHAR(13)," "),CHAR(9)," "),CHAR(160)," "),"."," "),","," "),"-"," "),"/"," "),"("," "),")"," "),":"," "),";"," "),"_"," "),"–"," "),"?"," "),"!"," "),"*"," "),"["," "),"]"," "),"'"," "),"#"," "),"+"," "),"&amp;"," "),"\"," "))&amp;" "</f>
        <v>  </v>
      </c>
      <c r="BE500" s="61" t="str">
        <f aca="false">" "&amp;TRIM(SUBSTITUTE(SUBSTITUTE(SUBSTITUTE(SUBSTITUTE(SUBSTITUTE(SUBSTITUTE(SUBSTITUTE(SUBSTITUTE(SUBSTITUTE(SUBSTITUTE(SUBSTITUTE(SUBSTITUTE(SUBSTITUTE(SUBSTITUTE(SUBSTITUTE(SUBSTITUTE(SUBSTITUTE(SUBSTITUTE(SUBSTITUTE(SUBSTITUTE(SUBSTITUTE(SUBSTITUTE(SUBSTITUTE(SUBSTITUTE(LOWER(W500&amp;""),CHAR(10)," "),CHAR(13)," "),CHAR(9)," "),CHAR(160)," "),"."," "),","," "),"-"," "),"/"," "),"("," "),")"," "),":"," "),";"," "),"_"," "),"–"," "),"?"," "),"!"," "),"*"," "),"["," "),"]"," "),"'"," "),"#"," "),"+"," "),"&amp;"," "),"\"," "))&amp;" "</f>
        <v>  </v>
      </c>
      <c r="BF500" s="61" t="str">
        <f aca="false">" "&amp;TRIM(SUBSTITUTE(SUBSTITUTE(SUBSTITUTE(SUBSTITUTE(SUBSTITUTE(SUBSTITUTE(SUBSTITUTE(SUBSTITUTE(SUBSTITUTE(SUBSTITUTE(SUBSTITUTE(SUBSTITUTE(SUBSTITUTE(SUBSTITUTE(SUBSTITUTE(SUBSTITUTE(SUBSTITUTE(SUBSTITUTE(SUBSTITUTE(SUBSTITUTE(SUBSTITUTE(SUBSTITUTE(SUBSTITUTE(SUBSTITUTE(LOWER(AC500&amp;""),CHAR(10)," "),CHAR(13)," "),CHAR(9)," "),CHAR(160)," "),"."," "),","," "),"-"," "),"/"," "),"("," "),")"," "),":"," "),";"," "),"_"," "),"–"," "),"?"," "),"!"," "),"*"," "),"["," "),"]"," "),"'"," "),"#"," "),"+"," "),"&amp;"," "),"\"," "))&amp;" "</f>
        <v>  </v>
      </c>
      <c r="BG500" s="61" t="n">
        <f aca="false">IFERROR(IF(AND(TRIM(U500)="Pass",SUMPRODUCT((LEN(BC500)-LEN(SUBSTITUTE(BC500," "&amp;L_ResultBad&amp;" "," ")))/(LEN(L_ResultBad)+1))&gt;SUMPRODUCT((LEN(BC500)-LEN(SUBSTITUTE(BC500," "&amp;L_NegPhrase&amp;" "," ")))/(LEN(L_NegPhrase)+1))),1,0),0)</f>
        <v>0</v>
      </c>
      <c r="BH500" s="61" t="n">
        <f aca="false">IFERROR(IF(SUMPRODUCT((LEN(BC500)-LEN(SUBSTITUTE(BC500," "&amp;L_Pending&amp;" "," ")))/(LEN(L_Pending)+1))&gt;SUMPRODUCT((LEN(BC500)-LEN(SUBSTITUTE(BC500," "&amp;L_PendNeg&amp;" "," ")))/(LEN(L_PendNeg)+1))+SUMPRODUCT((LEN(BC500)-LEN(SUBSTITUTE(BC500," "&amp;L_PendPrep&amp;" "," ")))/(LEN(L_PendPrep)+1)),1,0),1)</f>
        <v>0</v>
      </c>
      <c r="BI500" s="61" t="n">
        <f aca="false">IFERROR(IF(SUMPRODUCT((LEN(BD500)-LEN(SUBSTITUTE(BD500," "&amp;L_PendStrict&amp;" "," ")))/(LEN(L_PendStrict)+1))&gt;SUMPRODUCT((LEN(BD500)-LEN(SUBSTITUTE(BD500," "&amp;L_PendNeg&amp;" "," ")))/(LEN(L_PendNeg)+1)),1,0),1)</f>
        <v>0</v>
      </c>
      <c r="BJ500" s="61" t="n">
        <f aca="false">IFERROR(IF(SUMPRODUCT((LEN(BE500)-LEN(SUBSTITUTE(BE500," "&amp;L_Pending&amp;" "," ")))/(LEN(L_Pending)+1))&gt;SUMPRODUCT((LEN(BE500)-LEN(SUBSTITUTE(BE500," "&amp;L_PendNeg&amp;" "," ")))/(LEN(L_PendNeg)+1))+SUMPRODUCT((LEN(BE500)-LEN(SUBSTITUTE(BE500," "&amp;L_PendPrep&amp;" "," ")))/(LEN(L_PendPrep)+1)),1,0),1)</f>
        <v>0</v>
      </c>
      <c r="BK500" s="61" t="n">
        <f aca="false">IFERROR(IF(SUMPRODUCT((LEN(BF500)-LEN(SUBSTITUTE(BF500," "&amp;L_PendStrict&amp;" "," ")))/(LEN(L_PendStrict)+1))&gt;SUMPRODUCT((LEN(BF500)-LEN(SUBSTITUTE(BF500," "&amp;L_PendNeg&amp;" "," ")))/(LEN(L_PendNeg)+1)),1,0),1)</f>
        <v>0</v>
      </c>
      <c r="BL500" s="61" t="n">
        <f aca="false">IF(ISNA(MATCH(TRIM(S500),L_EvidenceType,0)),0,BZ500)</f>
        <v>0</v>
      </c>
      <c r="BM500" s="61" t="str">
        <f aca="false">SUBSTITUTE(SUBSTITUTE(SUBSTITUTE(SUBSTITUTE(SUBSTITUTE(SUBSTITUTE(SUBSTITUTE(SUBSTITUTE(SUBSTITUTE(LOWER(Z500&amp;""),"1","0"),"2","0"),"3","0"),"4","0"),"5","0"),"6","0"),"7","0"),"8","0"),"9","0")</f>
        <v/>
      </c>
      <c r="BN500" s="61" t="str">
        <f aca="false">SUBSTITUTE(SUBSTITUTE(SUBSTITUTE(SUBSTITUTE(SUBSTITUTE(SUBSTITUTE(SUBSTITUTE(SUBSTITUTE(SUBSTITUTE(SUBSTITUTE(SUBSTITUTE(SUBSTITUTE(SUBSTITUTE(SUBSTITUTE(SUBSTITUTE(SUBSTITUTE(SUBSTITUTE(SUBSTITUTE(SUBSTITUTE(SUBSTITUTE(SUBSTITUTE(SUBSTITUTE(SUBSTITUTE(SUBSTITUTE(SUBSTITUTE(BM500,"b","a"),"c","a"),"d","a"),"e","a"),"f","a"),"g","a"),"h","a"),"i","a"),"j","a"),"k","a"),"l","a"),"m","a"),"n","a"),"o","a"),"p","a"),"q","a"),"r","a"),"s","a"),"t","a"),"u","a"),"v","a"),"w","a"),"x","a"),"y","a"),"z","a")</f>
        <v/>
      </c>
      <c r="BO500" s="61" t="str">
        <f aca="false">SUBSTITUTE(SUBSTITUTE(SUBSTITUTE(SUBSTITUTE(SUBSTITUTE(SUBSTITUTE(SUBSTITUTE(SUBSTITUTE(SUBSTITUTE(LOWER(W500&amp;""),"1","0"),"2","0"),"3","0"),"4","0"),"5","0"),"6","0"),"7","0"),"8","0"),"9","0")</f>
        <v/>
      </c>
      <c r="BP500" s="61" t="str">
        <f aca="false">SUBSTITUTE(SUBSTITUTE(SUBSTITUTE(SUBSTITUTE(SUBSTITUTE(SUBSTITUTE(SUBSTITUTE(SUBSTITUTE(SUBSTITUTE(SUBSTITUTE(SUBSTITUTE(SUBSTITUTE(SUBSTITUTE(SUBSTITUTE(SUBSTITUTE(SUBSTITUTE(SUBSTITUTE(SUBSTITUTE(SUBSTITUTE(SUBSTITUTE(SUBSTITUTE(SUBSTITUTE(SUBSTITUTE(SUBSTITUTE(SUBSTITUTE(BO500,"b","a"),"c","a"),"d","a"),"e","a"),"f","a"),"g","a"),"h","a"),"i","a"),"j","a"),"k","a"),"l","a"),"m","a"),"n","a"),"o","a"),"p","a"),"q","a"),"r","a"),"s","a"),"t","a"),"u","a"),"v","a"),"w","a"),"x","a"),"y","a"),"z","a")</f>
        <v/>
      </c>
      <c r="BQ500" s="61" t="n">
        <f aca="false">IFERROR(IF(AND(ISERROR(SEARCH(" mh"," "&amp;LOWER(W500))),ISNA(MATCH(LEFT(TRIM(BP500),255),{"0000a","000a","00a","0000aa","000aa","00aa","0aa","0000aaa","000aaa","00a00","0a00","0000-0000","00:00","a00","a0","00.00.0000","00/00/0000","00-00-0000","0000-00-00","0000/00/00","0000.00.00","00.00.00","00/00/00","00-00-00","0.00.0000","0/00/0000","0-00-0000"},0)),ISNA(MATCH(LEFT(TRIM(CA500),255),{"0000a","000a","00a","0000aa","000aa","00aa","0aa","0000aaa","000aaa","00a00","0a00","0000-0000","00:00","a00","a0","00.00.0000","00/00/0000","00-00-0000","0000-00-00","0000/00/00","0000.00.00","00.00.00","00/00/00","00-00-00","0.00.0000","0/00/0000","0-00-0000"},0)),LEN(CB500)&gt;=3,NOT(OR(SUBSTITUTE(CB500,"0","")="",AND(LEN(CB500)&gt;=4,CB500=REPT(LEFT(CB500),LEN(CB500))),ISNUMBER(MATCH(CB500,{"123","1234","12345","123456","1234567","12345678","0123","01234","012345","98765","987654","54321"},0)),AND(LEN(CB500)=8,LEFT(CB500,3)="202"))),OR(AND((LEN(CA500)-LEN(SUBSTITUTE(CA500,"a","")))&gt;=1,SUMPRODUCT(--ISNUMBER(SEARCH({"a0","a-0","a_0","a/0","a.0","a#0","0a","0-a","0_a","0/a"},BP500)))&gt;0),ISNUMBER(SEARCH("000000",BP500)))),1,0),0)</f>
        <v>0</v>
      </c>
      <c r="BR500" s="61" t="n">
        <f aca="false">IFERROR(LEN(SUBSTITUTE(CC500," ",""))-SUMPRODUCT((LEN(CC500)-LEN(SUBSTITUTE(CC500," "&amp;L_Role&amp;" "," ")))/(LEN(L_Role)+1)*LEN(L_Role)),0)</f>
        <v>0</v>
      </c>
      <c r="BS500" s="61" t="n">
        <f aca="false">IFERROR(LEN(SUBSTITUTE(CD500," ",""))-SUMPRODUCT((LEN(CD500)-LEN(SUBSTITUTE(CD500," "&amp;L_Role&amp;" "," ")))/(LEN(L_Role)+1)*LEN(L_Role)),0)</f>
        <v>0</v>
      </c>
      <c r="BT5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500,"revision",""),"version",""),"jan",""),"feb",""),"mar",""),"apr",""),"may",""),"jun",""),"jul",""),"aug",""),"sep",""),"oct",""),"nov",""),"dec",""),"utc",""),"gmt",""),"myt",""),"bst",""),"rev",""),"ver",""),"b","a"),"c","a"),"d","a"),"e","a"),"f","a"),"g","a"),"h","a"),"i","a"),"j","a"),"k","a"),"l","a"),"m","a"),"n","a"),"o","a"),"p","a"),"q","a"),"r","a"),"s","a"),"t","a"),"u","a"),"v","a"),"w","a"),"x","a"),"y","a"),"z","a")</f>
        <v/>
      </c>
      <c r="BU500" s="61" t="str">
        <f aca="false">SUBSTITUTE(SUBSTITUTE(SUBSTITUTE(SUBSTITUTE(SUBSTITUTE(SUBSTITUTE(SUBSTITUTE(SUBSTITUTE(SUBSTITUTE(SUBSTITUTE(LEFT(BM500,FIND("0",BM500&amp;"0")-1),"-",""),"_",""),"/",""),".",""),"#",""),"\\",""),":","")," ",""),"(",""),")","")</f>
        <v/>
      </c>
      <c r="BV500" s="61" t="n">
        <f aca="false">0</f>
        <v>0</v>
      </c>
      <c r="BW5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500&amp;""),"a",""),"b",""),"c",""),"d",""),"e",""),"f",""),"g",""),"h",""),"i",""),"j",""),"k",""),"l",""),"m",""),"n",""),"o",""),"p",""),"q",""),"r",""),"s",""),"t",""),"u",""),"v",""),"w",""),"x",""),"y",""),"z",""),"-",""),"_",""),"/",""),".",""),"#",""),"\\",""),":","")," ",""),"(",""),")","")</f>
        <v/>
      </c>
      <c r="BX500" s="61" t="str">
        <f aca="false">SUBSTITUTE(SUBSTITUTE(SUBSTITUTE(SUBSTITUTE(SUBSTITUTE(SUBSTITUTE(SUBSTITUTE(SUBSTITUTE(SUBSTITUTE(SUBSTITUTE(SUBSTITUTE(BM500,"0",""),"-",""),"_",""),"/",""),".",""),"#",""),"\\",""),":","")," ",""),"(",""),")","")</f>
        <v/>
      </c>
      <c r="BY500" s="62" t="n">
        <f aca="false">Q500-T12EarlyH/24</f>
        <v>46319.4583333333</v>
      </c>
      <c r="BZ500" s="61" t="n">
        <f aca="false">IFERROR(IF(IF(TRIM(S500)="Link / file path",AND(LEN(TRIM(Z500))&gt;=5,SUMPRODUCT(--ISNUMBER(SEARCH({"http","www.","\\",":\",".pdf",".jpg",".jpeg",".png",".heic",".xls",".doc",".msg",".eml",".ppt",".txt",".zip"},Z500)))&gt;0),AND(ISERROR(FIND(" ",TRIM(Z500))),NOT(OR(SUMPRODUCT(--ISNUMBER(FIND({",",";","&amp;","+"},Z500)))&gt;0,SUMPRODUCT(--ISNUMBER(SEARCH({"0/aa","0\\aa"},BN500)))&gt;0)),NOT(SUMPRODUCT(--ISNUMBER(SEARCH({"http","www.","\\",":\",".pdf",".jpg",".jpeg",".png",".heic",".xls",".doc",".msg",".eml",".ppt",".txt",".zip"},Z500)))&gt;0),NOT(LOWER(TRIM(Z500))=LOWER(Flights!$F$19)),ISNA(MATCH(BU500,{"mh","rev","revision","ver","version","v","r","a","b","seat","tray","row","gate","bay","stand","page","pg","item","line","no","cart","galley","flight","flt","table","box","bag","oven","etd","eta","std","sta","atd","ata","qty","pax","x","time","tel","ph","mob","day","wk","week","utc","gmt","myt","lt"},0)),NOT(OR(ISNUMBER(MATCH(LEFT(BN500,255),{"0000a","000a","00a","0000aa","000aa","00aa","0aa","0000aaa","000aaa","00a00","0a00","0000-0000","00:00","a00","a0","00.00.0000","00/00/0000","00-00-0000","0000-00-00","0000/00/00","0000.00.00","00.00.00","00/00/00","00-00-00","0.00.0000","0/00/0000","0-00-0000"},0)),ISNUMBER(MATCH(LEFT(BT500,255),{"0000a","000a","00a","0000aa","000aa","00aa","0aa","0000aaa","000aaa","00a00","0a00","0000-0000","00:00","a00","a0","00.00.0000","00/00/0000","00-00-0000","0000-00-00","0000/00/00","0000.00.00","00.00.00","00/00/00","00-00-00","0.00.0000","0/00/0000","0-00-0000"},0)))),NOT(OR(AND(BW500&lt;&gt;"",SUBSTITUTE(BW500,"0","")=""),AND(LEN(BW500)&gt;=4,BW500=REPT(LEFT(BW500),LEN(BW500))),ISNUMBER(MATCH(BW500,{"123","1234","12345","123456","1234567","12345678","0123","01234","012345","98765","987654","54321"},0)),ISNUMBER(MATCH(BX500,{"x","xx","xxx","xxxx","xxxxx","abc","abcd","nil","na","nan","test","tbc","tba","tbd","dummy","sample","example","eg","zz","zzz","none","null","xyz","qwe","asd","id","ref"},0)),AND(LEN(BW500)=8,BX500="",OR(LEFT(BW500,3)="202",ISNUMBER(MATCH(RIGHT(BW500,4),{"2025","2026","2027"},0)))))),OR(AND((LEN(BT500)-LEN(SUBSTITUTE(BT500,"a","")))&gt;=1,(LEN(BN500)-LEN(SUBSTITUTE(BN500,"0","")))&gt;=2,SUMPRODUCT(--ISNUMBER(SEARCH({"a0","a-0","a_0","a/0","a.0","a#0","0a","0-a","0_a","0/a"},BN500)))&gt;0),AND((LEN(BN500)-LEN(SUBSTITUTE(BN500,"a","")))=0,(LEN(BN500)-LEN(SUBSTITUTE(BN500,"0","")))&gt;=5)))),1,0),0)</f>
        <v>0</v>
      </c>
      <c r="CA5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500,"revision",""),"version",""),"jan",""),"feb",""),"mar",""),"apr",""),"may",""),"jun",""),"jul",""),"aug",""),"sep",""),"oct",""),"nov",""),"dec",""),"utc",""),"gmt",""),"myt",""),"bst",""),"rev",""),"ver",""),"b","a"),"c","a"),"d","a"),"e","a"),"f","a"),"g","a"),"h","a"),"i","a"),"j","a"),"k","a"),"l","a"),"m","a"),"n","a"),"o","a"),"p","a"),"q","a"),"r","a"),"s","a"),"t","a"),"u","a"),"v","a"),"w","a"),"x","a"),"y","a"),"z","a")</f>
        <v/>
      </c>
      <c r="CB5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500&amp;""),"a",""),"b",""),"c",""),"d",""),"e",""),"f",""),"g",""),"h",""),"i",""),"j",""),"k",""),"l",""),"m",""),"n",""),"o",""),"p",""),"q",""),"r",""),"s",""),"t",""),"u",""),"v",""),"w",""),"x",""),"y",""),"z",""),"-",""),"_",""),"/",""),".",""),"#",""),"\\",""),":","")," ",""),"(",""),")","")</f>
        <v/>
      </c>
      <c r="CC500" s="0" t="str">
        <f aca="false">" "&amp;TRIM(SUBSTITUTE(SUBSTITUTE(SUBSTITUTE(SUBSTITUTE(SUBSTITUTE(SUBSTITUTE(SUBSTITUTE(SUBSTITUTE(SUBSTITUTE(SUBSTITUTE(SUBSTITUTE(SUBSTITUTE(SUBSTITUTE(SUBSTITUTE(SUBSTITUTE(SUBSTITUTE(SUBSTITUTE(SUBSTITUTE(SUBSTITUTE(SUBSTITUTE(SUBSTITUTE(SUBSTITUTE(SUBSTITUTE(SUBSTITUTE(LOWER(T500&amp;""),CHAR(10)," "),CHAR(13)," "),CHAR(9)," "),CHAR(160)," "),"."," "),","," "),"-"," "),"/"," "),"("," "),")"," "),":"," "),";"," "),"_"," "),"–"," "),"?"," "),"!"," "),"*"," "),"["," "),"]"," "),"'"," "),"#"," "),"+"," "),"&amp;"," "),"\"," "))&amp;" "</f>
        <v>  </v>
      </c>
      <c r="CD500" s="0" t="str">
        <f aca="false">" "&amp;TRIM(SUBSTITUTE(SUBSTITUTE(SUBSTITUTE(SUBSTITUTE(SUBSTITUTE(SUBSTITUTE(SUBSTITUTE(SUBSTITUTE(SUBSTITUTE(SUBSTITUTE(SUBSTITUTE(SUBSTITUTE(SUBSTITUTE(SUBSTITUTE(SUBSTITUTE(SUBSTITUTE(SUBSTITUTE(SUBSTITUTE(SUBSTITUTE(SUBSTITUTE(SUBSTITUTE(SUBSTITUTE(SUBSTITUTE(SUBSTITUTE(LOWER(AE500&amp;""),CHAR(10)," "),CHAR(13)," "),CHAR(9)," "),CHAR(160)," "),"."," "),","," "),"-"," "),"/"," "),"("," "),")"," "),":"," "),";"," "),"_"," "),"–"," "),"?"," "),"!"," "),"*"," "),"["," "),"]"," "),"'"," "),"#"," "),"+"," "),"&amp;"," "),"\"," "))&amp;" "</f>
        <v>  </v>
      </c>
      <c r="CE500" s="68" t="n">
        <f aca="false">IFERROR(IF(AND(LEN(AU500)&gt;0,LEN(AU500)=LEN(AX500),OR(TRIM(MID(SUBSTITUTE(TRIM(CC500)," ",REPT(" ",60)),1,60))="",ISNUMBER(SEARCH(" "&amp;TRIM(MID(SUBSTITUTE(TRIM(CC500)," ",REPT(" ",60)),1,60))&amp;" ",CD500))),OR(TRIM(MID(SUBSTITUTE(TRIM(CC500)," ",REPT(" ",60)),61,60))="",ISNUMBER(SEARCH(" "&amp;TRIM(MID(SUBSTITUTE(TRIM(CC500)," ",REPT(" ",60)),61,60))&amp;" ",CD500))),OR(TRIM(MID(SUBSTITUTE(TRIM(CC500)," ",REPT(" ",60)),121,60))="",ISNUMBER(SEARCH(" "&amp;TRIM(MID(SUBSTITUTE(TRIM(CC500)," ",REPT(" ",60)),121,60))&amp;" ",CD500)))),1,0),0)</f>
        <v>0</v>
      </c>
      <c r="CG500" s="68" t="n">
        <f aca="false">IFERROR(LEN(SUBSTITUTE(BF500," ",""))-SUMPRODUCT((LEN(BF500)-LEN(SUBSTITUTE(BF500," "&amp;L_NAFiller&amp;" "," ")))/(LEN(L_NAFiller)+1)*LEN(L_NAFiller)),0)</f>
        <v>0</v>
      </c>
    </row>
    <row r="501" customFormat="false" ht="39.75" hidden="false" customHeight="true" outlineLevel="0" collapsed="false">
      <c r="A501" s="57" t="s">
        <v>1155</v>
      </c>
      <c r="B501" s="57" t="s">
        <v>278</v>
      </c>
      <c r="C501" s="57" t="str">
        <f aca="false">Flights!$F$19</f>
        <v>MH0003</v>
      </c>
      <c r="D501" s="58" t="n">
        <f aca="false">Flights!$D$19</f>
        <v>46320</v>
      </c>
      <c r="E501" s="57" t="str">
        <f aca="false">Flights!$G$19&amp;"-"&amp;Flights!$H$19</f>
        <v>LHR-KUL</v>
      </c>
      <c r="F501" s="57" t="str">
        <f aca="false">Flights!$K$19</f>
        <v>EY</v>
      </c>
      <c r="G501" s="57" t="s">
        <v>459</v>
      </c>
      <c r="H501" s="57" t="s">
        <v>460</v>
      </c>
      <c r="I501" s="57" t="s">
        <v>379</v>
      </c>
      <c r="J501" s="57" t="s">
        <v>461</v>
      </c>
      <c r="K501" s="67" t="s">
        <v>426</v>
      </c>
      <c r="L501" s="67" t="s">
        <v>462</v>
      </c>
      <c r="M501" s="67"/>
      <c r="N501" s="67" t="s">
        <v>383</v>
      </c>
      <c r="O501" s="67" t="s">
        <v>463</v>
      </c>
      <c r="P501" s="57" t="s">
        <v>186</v>
      </c>
      <c r="Q501" s="59" t="n">
        <f aca="false">ROUND((Flights!$AF$19)*1440,0)/1440</f>
        <v>46320.4583333333</v>
      </c>
      <c r="R501" s="59" t="n">
        <f aca="false">Q501+(IF(AND(INDEX(TZ_DSTS,MATCH(P501,TZ_STN,0))&lt;&gt;"",Q501&gt;=INDEX(TZ_DSTS,MATCH(P501,TZ_STN,0)),Q501&lt;INDEX(TZ_DSTE,MATCH(P501,TZ_STN,0))),INDEX(TZ_DST,MATCH(P501,TZ_STN,0)),INDEX(TZ_STD,MATCH(P501,TZ_STN,0))))/24</f>
        <v>46320.4583333333</v>
      </c>
      <c r="S501" s="60"/>
      <c r="T501" s="60"/>
      <c r="U501" s="60"/>
      <c r="V501" s="60"/>
      <c r="W501" s="61"/>
      <c r="X501" s="60"/>
      <c r="Y501" s="60"/>
      <c r="Z501" s="60"/>
      <c r="AA501" s="60"/>
      <c r="AB501" s="60"/>
      <c r="AC501" s="60"/>
      <c r="AD501" s="66"/>
      <c r="AE501" s="60"/>
      <c r="AF501" s="61" t="str">
        <f aca="false">IF(AND(ISNUMBER(X501),ISNUMBER(Y501)),Y501-X501,"")</f>
        <v/>
      </c>
      <c r="AG501" s="62" t="str">
        <f aca="false">IF(ISNUMBER(AD501),AD501-(IF(AND(INDEX(TZ_DSTS,MATCH(P501,TZ_STN,0))&lt;&gt;"",(AD501-INDEX(TZ_STD,MATCH(P501,TZ_STN,0))/24)&gt;=INDEX(TZ_DSTS,MATCH(P501,TZ_STN,0)),(AD501-INDEX(TZ_STD,MATCH(P501,TZ_STN,0))/24)&lt;INDEX(TZ_DSTE,MATCH(P501,TZ_STN,0))),INDEX(TZ_DST,MATCH(P501,TZ_STN,0)),INDEX(TZ_STD,MATCH(P501,TZ_STN,0))))/24,"")</f>
        <v/>
      </c>
      <c r="AH501" s="65" t="str">
        <f aca="false">IFERROR(IF(N501="N/A – rule",IF(OR(TRIM(U501)="",TRIM(U501)="N/A",TRIM(U501)="Not started"),"N/A – RULE","INVALID – this check does not apply to this aircraft: clear the status (or correct the fleet on Flights)"),IF(TRIM(U501)="N/A",IF(AT501=0,"INVALID – N/A not permitted for this check",IF(AND(TRIM(AB501)&lt;&gt;"",TRIM(AB501)&lt;&gt;"Closed"),"INVALID – corrective action still open",IF(AND(NOT(OR(LEN(AZ501)&lt;15,ISNUMBER(MATCH(AZ501,L_Placeholder,0)))),BK501=0,CG501&gt;=8,NOT(OR(LEN(AU501)&lt;2,ISNUMBER(MATCH(AU501,L_Placeholder,0)))),BR501&gt;=3,NOT(OR(LEN(AX501)&lt;2,ISNUMBER(MATCH(AX501,L_Placeholder,0)))),BS501&gt;=3,TRIM(AE501)&lt;&gt;TRIM(T501),AX501&lt;&gt;AU501,CE501=0),"N/A – JUSTIFIED","INVALID – N/A needs a real, settled reason (not 'not applicable' / 'as above' / TBC), a named PIC and a different named verifier"))),IF(OR(TRIM(U501)="Pass",TRIM(U501)="Pass after CA"),IF(NOT(ISNUMBER(AD501)),"INVALID – completion time missing",IF(OR(OR(LEN(AU501)&lt;2,ISNUMBER(MATCH(AU501,L_Placeholder,0))),BR501&lt;3),"INVALID – PIC missing or not a named person (a role such as QA / CSM is not a name)",IF(OR(LEN(AV501)&lt;2,ISNUMBER(MATCH(AV501,L_Placeholder,0))),"INVALID – result / assessment missing",IF(OR(OR(LEN(AW501)&lt;3,ISNUMBER(MATCH(AW501,L_Placeholder,0))),SUMPRODUCT(--ISNUMBER(SEARCH(" "&amp;L_EvidencePhrase&amp;" ",BD501)))&gt;0,BI501=1),"INVALID – evidence missing, placeholder or not yet on file",IF(ISNA(MATCH(TRIM(S501),L_EvidenceType,0)),"INVALID – choose the evidence type from the list (column S)",IF(BL501=0,"INVALID – evidence ID must be the record's own ID only (e.g. SF-2210, IMG_2231, 1045521); a link / file name needs type 'Link / file path'",IF(OR(OR(LEN(AX501)&lt;2,ISNUMBER(MATCH(AX501,L_Placeholder,0))),BS501&lt;3),"INVALID – verifier missing or not a named person (a role such as QA / CSM is not a name)",IF(OR(AX501=AU501,CE501=1,AND(LEN(AU501)&gt;=4,ISNUMBER(SEARCH(AU501,AX501))),AND(LEN(AX501)&gt;=4,ISNUMBER(SEARCH(AX501,AU501)))),"INVALID – verifier must be a different, named person (not the PIC or a role)",IF(BH501=1,"INVALID – result not yet available (awaiting / TBC)",IF(BG501=1,"INVALID – result describes a problem: record Fail, then Pass after CA (or reword if it is not a problem)",IF(BV501=1,"INVALID – wording says not on board: an on-board confirmation needs the item loaded",IF(AND(AQ501=1,OR(OR(LEN(AY501)&lt;3,ISNUMBER(MATCH(AY501,L_Placeholder,0))),BJ501=1,BQ501=0)),"INVALID – batch ID missing, placeholder or not an ID (e.g. PASB-261008-BC-017)",IF(AND(AR501=1,OR(NOT(ISNUMBER(X501)),NOT(ISNUMBER(Y501)))),"INVALID – expected/actual qty missing",IF(AND(AR501=1,OR(X501&lt;=0,Y501&lt;0)),"INVALID – expected qty must be above 0 and actual not negative",IF(AH492="N/A – JUSTIFIED","INVALID – preparation row F15-T12-02 is N/A",IF(AND(AR501=1,ISNUMBER(X492),X501&lt;&gt;X492,TRIM(U501)&lt;&gt;"Pass after CA"),"INVALID – expected qty differs from preparation check F15-T12-02: record the load change as a corrective action (Pass after CA)",IF(BB501&lt;&gt;"",BB501,IF(AND(AS501=1,Documents!$J$19&lt;&gt;"ON FILE"),"INVALID – GLD not on file (Documents sheet)",IF(AND(AS501=2,Documents!$O$19&lt;&gt;"ON FILE"),"INVALID – menu checklist not on file (Documents sheet)",IF(AND(AS501=3,NOT(ISNUMBER(Flights!$AX$19))),"INVALID – enter carrying flight KUL departure (Flights AX)",IF(AND(AS501=3,OR(Flights!$AZ$19&gt;Flights!$AA$19,Flights!$AX$19&lt;Flights!$AA$19-3)),"INVALID – carrying flight (Flights AX) cannot arrive before this leg's STD, or is over 3 days early",IF(AG501&gt;AsOfUTC,"INVALID – completion time is in the future",IF(AND(ISNUMBER(BY501),AG501&lt;BY501),IF(H501="Physical uplift","INVALID – before uplift window (cannot confirm loading)","INVALID – before valid window"),IF(AG501&gt;Flights!$AA$19,"INVALID – completed after departure (cannot establish readiness)",IF(AND(H501="Preparation",AG501&gt;=IF(ISNUMBER(Flights!$BA$19),MIN(Flights!$BA$19,Flights!$AA$19),Flights!$AA$19)),"INVALID – completed after loading / departure (cannot establish readiness)",IF(AND(H501="Physical uplift",AG501&gt;Q501),"INVALID – recorded after the loading flight departed",IF(AG501&gt;Q501,"COMPLETE – LATE","COMPLETE"))))))))))))))))))))))))))),IF(TRIM(U501)="Fail","FAIL – DISCREPANCY",IF(AND(TRIM(U501)&lt;&gt;"",TRIM(U501)&lt;&gt;"Not started",TRIM(U501)&lt;&gt;"In progress"),"INVALID – unrecognised status (use the list)",IF(AsOfUTC&gt;Q501,"OVERDUE",IF(N501="Clarification required","OPEN – CLARIFICATION","OPEN"))))))),"INVALID – error value in an input cell")</f>
        <v>OPEN</v>
      </c>
      <c r="AI501" s="61" t="n">
        <f aca="false">IF(OR(AH501="N/A – RULE",AH501="N/A – JUSTIFIED"),0,1)</f>
        <v>1</v>
      </c>
      <c r="AJ501" s="61" t="n">
        <f aca="false">IF(LEFT(AH501,8)="COMPLETE",1,0)</f>
        <v>0</v>
      </c>
      <c r="AK501" s="61" t="n">
        <f aca="false">IF(AND(AI501=1,AJ501=0,AsOfUTC&gt;Q501),1,0)</f>
        <v>0</v>
      </c>
      <c r="AL501" s="61" t="n">
        <f aca="false">IFERROR(IF(AND(AI501=1,OR(TRIM(U501)="Fail",AND(TRIM(AB501)&lt;&gt;"",TRIM(AB501)&lt;&gt;"Closed"),AND(ISNUMBER(AF501),AF501&lt;&gt;0,TRIM(U501)&lt;&gt;"Pass after CA"))),1,0),1)</f>
        <v>0</v>
      </c>
      <c r="AM501" s="61" t="n">
        <f aca="false">IF(LEFT(AH501,7)="INVALID",1,0)</f>
        <v>0</v>
      </c>
      <c r="AN501" s="61" t="n">
        <f aca="false">IF(AND(N501="Clarification required",AI501=1,AJ501=0),1,0)</f>
        <v>0</v>
      </c>
      <c r="AO501" s="61" t="str">
        <f aca="false">IF(AK501=1,SUM(AK$5:AK501),"")</f>
        <v/>
      </c>
      <c r="AP501" s="61" t="str">
        <f aca="false">IF(AL501=1,SUM(AL$5:AL501),"")</f>
        <v/>
      </c>
      <c r="AQ501" s="61" t="n">
        <v>0</v>
      </c>
      <c r="AR501" s="61" t="n">
        <v>1</v>
      </c>
      <c r="AS501" s="61" t="n">
        <v>0</v>
      </c>
      <c r="AT501" s="61" t="n">
        <v>0</v>
      </c>
      <c r="AU501" s="61" t="str">
        <f aca="false">SUBSTITUTE(SUBSTITUTE(SUBSTITUTE(SUBSTITUTE(SUBSTITUTE(SUBSTITUTE(SUBSTITUTE(SUBSTITUTE(SUBSTITUTE(SUBSTITUTE(SUBSTITUTE(SUBSTITUTE(SUBSTITUTE(SUBSTITUTE(SUBSTITUTE(SUBSTITUTE(LOWER(T501&amp;""),CHAR(10),""),CHAR(13),""),CHAR(9),""),CHAR(160),"")," ",""),".",""),"-",""),"/",""),"?",""),"_",""),",",""),"[",""),"]",""),"(",""),")",""),"*","")</f>
        <v/>
      </c>
      <c r="AV501" s="61" t="str">
        <f aca="false">SUBSTITUTE(SUBSTITUTE(SUBSTITUTE(SUBSTITUTE(SUBSTITUTE(SUBSTITUTE(SUBSTITUTE(SUBSTITUTE(SUBSTITUTE(SUBSTITUTE(SUBSTITUTE(SUBSTITUTE(SUBSTITUTE(SUBSTITUTE(SUBSTITUTE(SUBSTITUTE(LOWER(V501&amp;""),CHAR(10),""),CHAR(13),""),CHAR(9),""),CHAR(160),"")," ",""),".",""),"-",""),"/",""),"?",""),"_",""),",",""),"[",""),"]",""),"(",""),")",""),"*","")</f>
        <v/>
      </c>
      <c r="AW501" s="61" t="str">
        <f aca="false">SUBSTITUTE(SUBSTITUTE(SUBSTITUTE(SUBSTITUTE(SUBSTITUTE(SUBSTITUTE(SUBSTITUTE(SUBSTITUTE(SUBSTITUTE(SUBSTITUTE(SUBSTITUTE(SUBSTITUTE(SUBSTITUTE(SUBSTITUTE(SUBSTITUTE(SUBSTITUTE(LOWER(Z501&amp;""),CHAR(10),""),CHAR(13),""),CHAR(9),""),CHAR(160),"")," ",""),".",""),"-",""),"/",""),"?",""),"_",""),",",""),"[",""),"]",""),"(",""),")",""),"*","")</f>
        <v/>
      </c>
      <c r="AX501" s="61" t="str">
        <f aca="false">SUBSTITUTE(SUBSTITUTE(SUBSTITUTE(SUBSTITUTE(SUBSTITUTE(SUBSTITUTE(SUBSTITUTE(SUBSTITUTE(SUBSTITUTE(SUBSTITUTE(SUBSTITUTE(SUBSTITUTE(SUBSTITUTE(SUBSTITUTE(SUBSTITUTE(SUBSTITUTE(LOWER(AE501&amp;""),CHAR(10),""),CHAR(13),""),CHAR(9),""),CHAR(160),"")," ",""),".",""),"-",""),"/",""),"?",""),"_",""),",",""),"[",""),"]",""),"(",""),")",""),"*","")</f>
        <v/>
      </c>
      <c r="AY501" s="61" t="str">
        <f aca="false">SUBSTITUTE(SUBSTITUTE(SUBSTITUTE(SUBSTITUTE(SUBSTITUTE(SUBSTITUTE(SUBSTITUTE(SUBSTITUTE(SUBSTITUTE(SUBSTITUTE(SUBSTITUTE(SUBSTITUTE(SUBSTITUTE(SUBSTITUTE(SUBSTITUTE(SUBSTITUTE(LOWER(W501&amp;""),CHAR(10),""),CHAR(13),""),CHAR(9),""),CHAR(160),"")," ",""),".",""),"-",""),"/",""),"?",""),"_",""),",",""),"[",""),"]",""),"(",""),")",""),"*","")</f>
        <v/>
      </c>
      <c r="AZ501" s="61" t="str">
        <f aca="false">SUBSTITUTE(SUBSTITUTE(SUBSTITUTE(SUBSTITUTE(SUBSTITUTE(SUBSTITUTE(SUBSTITUTE(SUBSTITUTE(SUBSTITUTE(SUBSTITUTE(SUBSTITUTE(SUBSTITUTE(SUBSTITUTE(SUBSTITUTE(SUBSTITUTE(SUBSTITUTE(LOWER(AC501&amp;""),CHAR(10),""),CHAR(13),""),CHAR(9),""),CHAR(160),"")," ",""),".",""),"-",""),"/",""),"?",""),"_",""),",",""),"[",""),"]",""),"(",""),")",""),"*","")</f>
        <v/>
      </c>
      <c r="BA501" s="61" t="str">
        <f aca="false">SUBSTITUTE(SUBSTITUTE(SUBSTITUTE(SUBSTITUTE(SUBSTITUTE(SUBSTITUTE(SUBSTITUTE(SUBSTITUTE(SUBSTITUTE(SUBSTITUTE(SUBSTITUTE(SUBSTITUTE(SUBSTITUTE(SUBSTITUTE(SUBSTITUTE(SUBSTITUTE(LOWER(AA501&amp;""),CHAR(10),""),CHAR(13),""),CHAR(9),""),CHAR(160),"")," ",""),".",""),"-",""),"/",""),"?",""),"_",""),",",""),"[",""),"]",""),"(",""),")",""),"*","")</f>
        <v/>
      </c>
      <c r="BB501" s="61" t="str">
        <f aca="false">IF(AND(TRIM(U501)="Pass",ISNUMBER(AF501)),IF(AF501&lt;&gt;0,"INVALID – qty variance: use Fail or Pass after CA",""),"")&amp;IF(AND(TRIM(U501)="Pass after CA",ISNUMBER(AF501)),IF(AF501&lt;&gt;0,"INVALID – after the corrective action the actual qty must equal expected (update Actual)",""),"")&amp;IF(AND(TRIM(U501)="Pass",TRIM(AB501)&lt;&gt;"",TRIM(AB501)&lt;&gt;"Closed"),"INVALID – corrective action not closed: use Fail, then Pass after CA","")&amp;IF(AND(LEN(BA501)&gt;=2,ISNA(MATCH(LEFT(BA501,255),L_Placeholder,0)),TRIM(AB501)=""),"INVALID – CA status missing for the recorded corrective action","")&amp;IF(AND(TRIM(U501)="Pass after CA",OR(OR(LEN(BA501)&lt;5,ISNUMBER(MATCH(BA501,L_Placeholder,0))),TRIM(AB501)&lt;&gt;"Closed")),"INVALID – corrective action not recorded/closed","")</f>
        <v/>
      </c>
      <c r="BC501" s="61" t="str">
        <f aca="false">" "&amp;TRIM(SUBSTITUTE(SUBSTITUTE(SUBSTITUTE(SUBSTITUTE(SUBSTITUTE(SUBSTITUTE(SUBSTITUTE(SUBSTITUTE(SUBSTITUTE(SUBSTITUTE(SUBSTITUTE(SUBSTITUTE(SUBSTITUTE(SUBSTITUTE(SUBSTITUTE(SUBSTITUTE(SUBSTITUTE(SUBSTITUTE(SUBSTITUTE(SUBSTITUTE(SUBSTITUTE(SUBSTITUTE(SUBSTITUTE(SUBSTITUTE(LOWER(V501&amp;""),CHAR(10)," "),CHAR(13)," "),CHAR(9)," "),CHAR(160)," "),"."," "),","," "),"-"," "),"/"," "),"("," "),")"," "),":"," "),";"," "),"_"," "),"–"," "),"?"," "),"!"," "),"*"," "),"["," "),"]"," "),"'"," "),"#"," "),"+"," "),"&amp;"," "),"\"," "))&amp;" "</f>
        <v>  </v>
      </c>
      <c r="BD501" s="61" t="str">
        <f aca="false">" "&amp;TRIM(SUBSTITUTE(SUBSTITUTE(SUBSTITUTE(SUBSTITUTE(SUBSTITUTE(SUBSTITUTE(SUBSTITUTE(SUBSTITUTE(SUBSTITUTE(SUBSTITUTE(SUBSTITUTE(SUBSTITUTE(SUBSTITUTE(SUBSTITUTE(SUBSTITUTE(SUBSTITUTE(SUBSTITUTE(SUBSTITUTE(SUBSTITUTE(SUBSTITUTE(SUBSTITUTE(SUBSTITUTE(SUBSTITUTE(SUBSTITUTE(LOWER(Z501&amp;""),CHAR(10)," "),CHAR(13)," "),CHAR(9)," "),CHAR(160)," "),"."," "),","," "),"-"," "),"/"," "),"("," "),")"," "),":"," "),";"," "),"_"," "),"–"," "),"?"," "),"!"," "),"*"," "),"["," "),"]"," "),"'"," "),"#"," "),"+"," "),"&amp;"," "),"\"," "))&amp;" "</f>
        <v>  </v>
      </c>
      <c r="BE501" s="61" t="str">
        <f aca="false">" "&amp;TRIM(SUBSTITUTE(SUBSTITUTE(SUBSTITUTE(SUBSTITUTE(SUBSTITUTE(SUBSTITUTE(SUBSTITUTE(SUBSTITUTE(SUBSTITUTE(SUBSTITUTE(SUBSTITUTE(SUBSTITUTE(SUBSTITUTE(SUBSTITUTE(SUBSTITUTE(SUBSTITUTE(SUBSTITUTE(SUBSTITUTE(SUBSTITUTE(SUBSTITUTE(SUBSTITUTE(SUBSTITUTE(SUBSTITUTE(SUBSTITUTE(LOWER(W501&amp;""),CHAR(10)," "),CHAR(13)," "),CHAR(9)," "),CHAR(160)," "),"."," "),","," "),"-"," "),"/"," "),"("," "),")"," "),":"," "),";"," "),"_"," "),"–"," "),"?"," "),"!"," "),"*"," "),"["," "),"]"," "),"'"," "),"#"," "),"+"," "),"&amp;"," "),"\"," "))&amp;" "</f>
        <v>  </v>
      </c>
      <c r="BF501" s="61" t="str">
        <f aca="false">" "&amp;TRIM(SUBSTITUTE(SUBSTITUTE(SUBSTITUTE(SUBSTITUTE(SUBSTITUTE(SUBSTITUTE(SUBSTITUTE(SUBSTITUTE(SUBSTITUTE(SUBSTITUTE(SUBSTITUTE(SUBSTITUTE(SUBSTITUTE(SUBSTITUTE(SUBSTITUTE(SUBSTITUTE(SUBSTITUTE(SUBSTITUTE(SUBSTITUTE(SUBSTITUTE(SUBSTITUTE(SUBSTITUTE(SUBSTITUTE(SUBSTITUTE(LOWER(AC501&amp;""),CHAR(10)," "),CHAR(13)," "),CHAR(9)," "),CHAR(160)," "),"."," "),","," "),"-"," "),"/"," "),"("," "),")"," "),":"," "),";"," "),"_"," "),"–"," "),"?"," "),"!"," "),"*"," "),"["," "),"]"," "),"'"," "),"#"," "),"+"," "),"&amp;"," "),"\"," "))&amp;" "</f>
        <v>  </v>
      </c>
      <c r="BG501" s="61" t="n">
        <f aca="false">IFERROR(IF(AND(TRIM(U501)="Pass",SUMPRODUCT((LEN(BC501)-LEN(SUBSTITUTE(BC501," "&amp;L_ResultBad&amp;" "," ")))/(LEN(L_ResultBad)+1))&gt;SUMPRODUCT((LEN(BC501)-LEN(SUBSTITUTE(BC501," "&amp;L_NegPhrase&amp;" "," ")))/(LEN(L_NegPhrase)+1))),1,0),0)</f>
        <v>0</v>
      </c>
      <c r="BH501" s="61" t="n">
        <f aca="false">IFERROR(IF(SUMPRODUCT((LEN(BC501)-LEN(SUBSTITUTE(BC501," "&amp;L_Pending&amp;" "," ")))/(LEN(L_Pending)+1))&gt;SUMPRODUCT((LEN(BC501)-LEN(SUBSTITUTE(BC501," "&amp;L_PendNeg&amp;" "," ")))/(LEN(L_PendNeg)+1)),1,0),1)</f>
        <v>0</v>
      </c>
      <c r="BI501" s="61" t="n">
        <f aca="false">IFERROR(IF(SUMPRODUCT((LEN(BD501)-LEN(SUBSTITUTE(BD501," "&amp;L_PendStrict&amp;" "," ")))/(LEN(L_PendStrict)+1))&gt;SUMPRODUCT((LEN(BD501)-LEN(SUBSTITUTE(BD501," "&amp;L_PendNeg&amp;" "," ")))/(LEN(L_PendNeg)+1)),1,0),1)</f>
        <v>0</v>
      </c>
      <c r="BJ501" s="61" t="n">
        <f aca="false">IFERROR(IF(SUMPRODUCT((LEN(BE501)-LEN(SUBSTITUTE(BE501," "&amp;L_Pending&amp;" "," ")))/(LEN(L_Pending)+1))&gt;SUMPRODUCT((LEN(BE501)-LEN(SUBSTITUTE(BE501," "&amp;L_PendNeg&amp;" "," ")))/(LEN(L_PendNeg)+1)),1,0),1)</f>
        <v>0</v>
      </c>
      <c r="BK501" s="61" t="n">
        <f aca="false">IFERROR(IF(SUMPRODUCT((LEN(BF501)-LEN(SUBSTITUTE(BF501," "&amp;L_PendStrict&amp;" "," ")))/(LEN(L_PendStrict)+1))&gt;SUMPRODUCT((LEN(BF501)-LEN(SUBSTITUTE(BF501," "&amp;L_PendNeg&amp;" "," ")))/(LEN(L_PendNeg)+1)),1,0),1)</f>
        <v>0</v>
      </c>
      <c r="BL501" s="61" t="n">
        <f aca="false">IF(ISNA(MATCH(TRIM(S501),L_EvidenceType,0)),0,BZ501)</f>
        <v>0</v>
      </c>
      <c r="BM501" s="61" t="str">
        <f aca="false">SUBSTITUTE(SUBSTITUTE(SUBSTITUTE(SUBSTITUTE(SUBSTITUTE(SUBSTITUTE(SUBSTITUTE(SUBSTITUTE(SUBSTITUTE(LOWER(Z501&amp;""),"1","0"),"2","0"),"3","0"),"4","0"),"5","0"),"6","0"),"7","0"),"8","0"),"9","0")</f>
        <v/>
      </c>
      <c r="BN501" s="61" t="str">
        <f aca="false">SUBSTITUTE(SUBSTITUTE(SUBSTITUTE(SUBSTITUTE(SUBSTITUTE(SUBSTITUTE(SUBSTITUTE(SUBSTITUTE(SUBSTITUTE(SUBSTITUTE(SUBSTITUTE(SUBSTITUTE(SUBSTITUTE(SUBSTITUTE(SUBSTITUTE(SUBSTITUTE(SUBSTITUTE(SUBSTITUTE(SUBSTITUTE(SUBSTITUTE(SUBSTITUTE(SUBSTITUTE(SUBSTITUTE(SUBSTITUTE(SUBSTITUTE(BM501,"b","a"),"c","a"),"d","a"),"e","a"),"f","a"),"g","a"),"h","a"),"i","a"),"j","a"),"k","a"),"l","a"),"m","a"),"n","a"),"o","a"),"p","a"),"q","a"),"r","a"),"s","a"),"t","a"),"u","a"),"v","a"),"w","a"),"x","a"),"y","a"),"z","a")</f>
        <v/>
      </c>
      <c r="BO501" s="61" t="str">
        <f aca="false">SUBSTITUTE(SUBSTITUTE(SUBSTITUTE(SUBSTITUTE(SUBSTITUTE(SUBSTITUTE(SUBSTITUTE(SUBSTITUTE(SUBSTITUTE(LOWER(W501&amp;""),"1","0"),"2","0"),"3","0"),"4","0"),"5","0"),"6","0"),"7","0"),"8","0"),"9","0")</f>
        <v/>
      </c>
      <c r="BP501" s="61" t="str">
        <f aca="false">SUBSTITUTE(SUBSTITUTE(SUBSTITUTE(SUBSTITUTE(SUBSTITUTE(SUBSTITUTE(SUBSTITUTE(SUBSTITUTE(SUBSTITUTE(SUBSTITUTE(SUBSTITUTE(SUBSTITUTE(SUBSTITUTE(SUBSTITUTE(SUBSTITUTE(SUBSTITUTE(SUBSTITUTE(SUBSTITUTE(SUBSTITUTE(SUBSTITUTE(SUBSTITUTE(SUBSTITUTE(SUBSTITUTE(SUBSTITUTE(SUBSTITUTE(BO501,"b","a"),"c","a"),"d","a"),"e","a"),"f","a"),"g","a"),"h","a"),"i","a"),"j","a"),"k","a"),"l","a"),"m","a"),"n","a"),"o","a"),"p","a"),"q","a"),"r","a"),"s","a"),"t","a"),"u","a"),"v","a"),"w","a"),"x","a"),"y","a"),"z","a")</f>
        <v/>
      </c>
      <c r="BQ501" s="61" t="n">
        <f aca="false">IFERROR(IF(AND(ISERROR(SEARCH(" mh"," "&amp;LOWER(W501))),ISNA(MATCH(LEFT(TRIM(BP501),255),{"0000a","000a","00a","0000aa","000aa","00aa","0aa","0000aaa","000aaa","00a00","0a00","0000-0000","00:00","a00","a0","00.00.0000","00/00/0000","00-00-0000","0000-00-00","0000/00/00","0000.00.00","00.00.00","00/00/00","00-00-00","0.00.0000","0/00/0000","0-00-0000"},0)),ISNA(MATCH(LEFT(TRIM(CA501),255),{"0000a","000a","00a","0000aa","000aa","00aa","0aa","0000aaa","000aaa","00a00","0a00","0000-0000","00:00","a00","a0","00.00.0000","00/00/0000","00-00-0000","0000-00-00","0000/00/00","0000.00.00","00.00.00","00/00/00","00-00-00","0.00.0000","0/00/0000","0-00-0000"},0)),LEN(CB501)&gt;=3,NOT(OR(SUBSTITUTE(CB501,"0","")="",AND(LEN(CB501)&gt;=4,CB501=REPT(LEFT(CB501),LEN(CB501))),ISNUMBER(MATCH(CB501,{"123","1234","12345","123456","1234567","12345678","0123","01234","012345","98765","987654","54321"},0)),AND(LEN(CB501)=8,LEFT(CB501,3)="202"))),OR(AND((LEN(CA501)-LEN(SUBSTITUTE(CA501,"a","")))&gt;=1,SUMPRODUCT(--ISNUMBER(SEARCH({"a0","a-0","a_0","a/0","a.0","a#0","0a","0-a","0_a","0/a"},BP501)))&gt;0),ISNUMBER(SEARCH("000000",BP501)))),1,0),0)</f>
        <v>0</v>
      </c>
      <c r="BR501" s="61" t="n">
        <f aca="false">IFERROR(LEN(SUBSTITUTE(CC501," ",""))-SUMPRODUCT((LEN(CC501)-LEN(SUBSTITUTE(CC501," "&amp;L_Role&amp;" "," ")))/(LEN(L_Role)+1)*LEN(L_Role)),0)</f>
        <v>0</v>
      </c>
      <c r="BS501" s="61" t="n">
        <f aca="false">IFERROR(LEN(SUBSTITUTE(CD501," ",""))-SUMPRODUCT((LEN(CD501)-LEN(SUBSTITUTE(CD501," "&amp;L_Role&amp;" "," ")))/(LEN(L_Role)+1)*LEN(L_Role)),0)</f>
        <v>0</v>
      </c>
      <c r="BT5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501,"revision",""),"version",""),"jan",""),"feb",""),"mar",""),"apr",""),"may",""),"jun",""),"jul",""),"aug",""),"sep",""),"oct",""),"nov",""),"dec",""),"utc",""),"gmt",""),"myt",""),"bst",""),"rev",""),"ver",""),"b","a"),"c","a"),"d","a"),"e","a"),"f","a"),"g","a"),"h","a"),"i","a"),"j","a"),"k","a"),"l","a"),"m","a"),"n","a"),"o","a"),"p","a"),"q","a"),"r","a"),"s","a"),"t","a"),"u","a"),"v","a"),"w","a"),"x","a"),"y","a"),"z","a")</f>
        <v/>
      </c>
      <c r="BU501" s="61" t="str">
        <f aca="false">SUBSTITUTE(SUBSTITUTE(SUBSTITUTE(SUBSTITUTE(SUBSTITUTE(SUBSTITUTE(SUBSTITUTE(SUBSTITUTE(SUBSTITUTE(SUBSTITUTE(LEFT(BM501,FIND("0",BM501&amp;"0")-1),"-",""),"_",""),"/",""),".",""),"#",""),"\\",""),":","")," ",""),"(",""),")","")</f>
        <v/>
      </c>
      <c r="BV501" s="61" t="n">
        <f aca="false">IFERROR(IF(OR(SUMPRODUCT((LEN(BC501)-LEN(SUBSTITUTE(BC501," "&amp;L_NotLoaded&amp;" "," ")))/(LEN(L_NotLoaded)+1))&gt;SUMPRODUCT((LEN(BC501)-LEN(SUBSTITUTE(BC501," "&amp;L_NotLoadedNeg&amp;" "," ")))/(LEN(L_NotLoadedNeg)+1)),SUMPRODUCT((LEN(BD501)-LEN(SUBSTITUTE(BD501," "&amp;L_NotLoaded&amp;" "," ")))/(LEN(L_NotLoaded)+1))&gt;SUMPRODUCT((LEN(BD501)-LEN(SUBSTITUTE(BD501," "&amp;L_NotLoadedNeg&amp;" "," ")))/(LEN(L_NotLoadedNeg)+1))),1,0),0)</f>
        <v>0</v>
      </c>
      <c r="BW5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501&amp;""),"a",""),"b",""),"c",""),"d",""),"e",""),"f",""),"g",""),"h",""),"i",""),"j",""),"k",""),"l",""),"m",""),"n",""),"o",""),"p",""),"q",""),"r",""),"s",""),"t",""),"u",""),"v",""),"w",""),"x",""),"y",""),"z",""),"-",""),"_",""),"/",""),".",""),"#",""),"\\",""),":","")," ",""),"(",""),")","")</f>
        <v/>
      </c>
      <c r="BX501" s="61" t="str">
        <f aca="false">SUBSTITUTE(SUBSTITUTE(SUBSTITUTE(SUBSTITUTE(SUBSTITUTE(SUBSTITUTE(SUBSTITUTE(SUBSTITUTE(SUBSTITUTE(SUBSTITUTE(SUBSTITUTE(BM501,"0",""),"-",""),"_",""),"/",""),".",""),"#",""),"\\",""),":","")," ",""),"(",""),")","")</f>
        <v/>
      </c>
      <c r="BY501" s="62" t="n">
        <f aca="false">IF(ISNUMBER(Flights!$AZ$19),MAX(Q501-UpliftWindowH/24,Flights!$AZ$19),Q501-UpliftWindowH/24)</f>
        <v>46320.2083333333</v>
      </c>
      <c r="BZ501" s="61" t="n">
        <f aca="false">IFERROR(IF(IF(TRIM(S501)="Link / file path",AND(LEN(TRIM(Z501))&gt;=5,SUMPRODUCT(--ISNUMBER(SEARCH({"http","www.","\\",":\",".pdf",".jpg",".jpeg",".png",".heic",".xls",".doc",".msg",".eml",".ppt",".txt",".zip"},Z501)))&gt;0),AND(ISERROR(FIND(" ",TRIM(Z501))),NOT(OR(SUMPRODUCT(--ISNUMBER(FIND({",",";","&amp;","+"},Z501)))&gt;0,SUMPRODUCT(--ISNUMBER(SEARCH({"0/aa","0\\aa"},BN501)))&gt;0)),NOT(SUMPRODUCT(--ISNUMBER(SEARCH({"http","www.","\\",":\",".pdf",".jpg",".jpeg",".png",".heic",".xls",".doc",".msg",".eml",".ppt",".txt",".zip"},Z501)))&gt;0),NOT(LOWER(TRIM(Z501))=LOWER(Flights!$F$19)),ISNA(MATCH(BU501,{"mh","rev","revision","ver","version","v","r","a","b","seat","tray","row","gate","bay","stand","page","pg","item","line","no","cart","galley","flight","flt","table","box","bag","oven","etd","eta","std","sta","atd","ata","qty","pax","x","time","tel","ph","mob","day","wk","week","utc","gmt","myt","lt"},0)),NOT(OR(ISNUMBER(MATCH(LEFT(BN501,255),{"0000a","000a","00a","0000aa","000aa","00aa","0aa","0000aaa","000aaa","00a00","0a00","0000-0000","00:00","a00","a0","00.00.0000","00/00/0000","00-00-0000","0000-00-00","0000/00/00","0000.00.00","00.00.00","00/00/00","00-00-00","0.00.0000","0/00/0000","0-00-0000"},0)),ISNUMBER(MATCH(LEFT(BT501,255),{"0000a","000a","00a","0000aa","000aa","00aa","0aa","0000aaa","000aaa","00a00","0a00","0000-0000","00:00","a00","a0","00.00.0000","00/00/0000","00-00-0000","0000-00-00","0000/00/00","0000.00.00","00.00.00","00/00/00","00-00-00","0.00.0000","0/00/0000","0-00-0000"},0)))),NOT(OR(AND(BW501&lt;&gt;"",SUBSTITUTE(BW501,"0","")=""),AND(LEN(BW501)&gt;=4,BW501=REPT(LEFT(BW501),LEN(BW501))),ISNUMBER(MATCH(BW501,{"123","1234","12345","123456","1234567","12345678","0123","01234","012345","98765","987654","54321"},0)),ISNUMBER(MATCH(BX501,{"x","xx","xxx","xxxx","xxxxx","abc","abcd","nil","na","nan","test","tbc","tba","tbd","dummy","sample","example","eg","zz","zzz","none","null","xyz","qwe","asd","id","ref"},0)),AND(LEN(BW501)=8,BX501="",OR(LEFT(BW501,3)="202",ISNUMBER(MATCH(RIGHT(BW501,4),{"2025","2026","2027"},0)))))),OR(AND((LEN(BT501)-LEN(SUBSTITUTE(BT501,"a","")))&gt;=1,(LEN(BN501)-LEN(SUBSTITUTE(BN501,"0","")))&gt;=2,SUMPRODUCT(--ISNUMBER(SEARCH({"a0","a-0","a_0","a/0","a.0","a#0","0a","0-a","0_a","0/a"},BN501)))&gt;0),AND((LEN(BN501)-LEN(SUBSTITUTE(BN501,"a","")))=0,(LEN(BN501)-LEN(SUBSTITUTE(BN501,"0","")))&gt;=5)))),1,0),0)</f>
        <v>0</v>
      </c>
      <c r="CA5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501,"revision",""),"version",""),"jan",""),"feb",""),"mar",""),"apr",""),"may",""),"jun",""),"jul",""),"aug",""),"sep",""),"oct",""),"nov",""),"dec",""),"utc",""),"gmt",""),"myt",""),"bst",""),"rev",""),"ver",""),"b","a"),"c","a"),"d","a"),"e","a"),"f","a"),"g","a"),"h","a"),"i","a"),"j","a"),"k","a"),"l","a"),"m","a"),"n","a"),"o","a"),"p","a"),"q","a"),"r","a"),"s","a"),"t","a"),"u","a"),"v","a"),"w","a"),"x","a"),"y","a"),"z","a")</f>
        <v/>
      </c>
      <c r="CB5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501&amp;""),"a",""),"b",""),"c",""),"d",""),"e",""),"f",""),"g",""),"h",""),"i",""),"j",""),"k",""),"l",""),"m",""),"n",""),"o",""),"p",""),"q",""),"r",""),"s",""),"t",""),"u",""),"v",""),"w",""),"x",""),"y",""),"z",""),"-",""),"_",""),"/",""),".",""),"#",""),"\\",""),":","")," ",""),"(",""),")","")</f>
        <v/>
      </c>
      <c r="CC501" s="0" t="str">
        <f aca="false">" "&amp;TRIM(SUBSTITUTE(SUBSTITUTE(SUBSTITUTE(SUBSTITUTE(SUBSTITUTE(SUBSTITUTE(SUBSTITUTE(SUBSTITUTE(SUBSTITUTE(SUBSTITUTE(SUBSTITUTE(SUBSTITUTE(SUBSTITUTE(SUBSTITUTE(SUBSTITUTE(SUBSTITUTE(SUBSTITUTE(SUBSTITUTE(SUBSTITUTE(SUBSTITUTE(SUBSTITUTE(SUBSTITUTE(SUBSTITUTE(SUBSTITUTE(LOWER(T501&amp;""),CHAR(10)," "),CHAR(13)," "),CHAR(9)," "),CHAR(160)," "),"."," "),","," "),"-"," "),"/"," "),"("," "),")"," "),":"," "),";"," "),"_"," "),"–"," "),"?"," "),"!"," "),"*"," "),"["," "),"]"," "),"'"," "),"#"," "),"+"," "),"&amp;"," "),"\"," "))&amp;" "</f>
        <v>  </v>
      </c>
      <c r="CD501" s="0" t="str">
        <f aca="false">" "&amp;TRIM(SUBSTITUTE(SUBSTITUTE(SUBSTITUTE(SUBSTITUTE(SUBSTITUTE(SUBSTITUTE(SUBSTITUTE(SUBSTITUTE(SUBSTITUTE(SUBSTITUTE(SUBSTITUTE(SUBSTITUTE(SUBSTITUTE(SUBSTITUTE(SUBSTITUTE(SUBSTITUTE(SUBSTITUTE(SUBSTITUTE(SUBSTITUTE(SUBSTITUTE(SUBSTITUTE(SUBSTITUTE(SUBSTITUTE(SUBSTITUTE(LOWER(AE501&amp;""),CHAR(10)," "),CHAR(13)," "),CHAR(9)," "),CHAR(160)," "),"."," "),","," "),"-"," "),"/"," "),"("," "),")"," "),":"," "),";"," "),"_"," "),"–"," "),"?"," "),"!"," "),"*"," "),"["," "),"]"," "),"'"," "),"#"," "),"+"," "),"&amp;"," "),"\"," "))&amp;" "</f>
        <v>  </v>
      </c>
      <c r="CE501" s="68" t="n">
        <f aca="false">IFERROR(IF(AND(LEN(AU501)&gt;0,LEN(AU501)=LEN(AX501),OR(TRIM(MID(SUBSTITUTE(TRIM(CC501)," ",REPT(" ",60)),1,60))="",ISNUMBER(SEARCH(" "&amp;TRIM(MID(SUBSTITUTE(TRIM(CC501)," ",REPT(" ",60)),1,60))&amp;" ",CD501))),OR(TRIM(MID(SUBSTITUTE(TRIM(CC501)," ",REPT(" ",60)),61,60))="",ISNUMBER(SEARCH(" "&amp;TRIM(MID(SUBSTITUTE(TRIM(CC501)," ",REPT(" ",60)),61,60))&amp;" ",CD501))),OR(TRIM(MID(SUBSTITUTE(TRIM(CC501)," ",REPT(" ",60)),121,60))="",ISNUMBER(SEARCH(" "&amp;TRIM(MID(SUBSTITUTE(TRIM(CC501)," ",REPT(" ",60)),121,60))&amp;" ",CD501)))),1,0),0)</f>
        <v>0</v>
      </c>
      <c r="CG501" s="68" t="n">
        <f aca="false">IFERROR(LEN(SUBSTITUTE(BF501," ",""))-SUMPRODUCT((LEN(BF501)-LEN(SUBSTITUTE(BF501," "&amp;L_NAFiller&amp;" "," ")))/(LEN(L_NAFiller)+1)*LEN(L_NAFiller)),0)</f>
        <v>0</v>
      </c>
    </row>
    <row r="502" customFormat="false" ht="39.75" hidden="false" customHeight="true" outlineLevel="0" collapsed="false">
      <c r="A502" s="57" t="s">
        <v>1156</v>
      </c>
      <c r="B502" s="57" t="s">
        <v>278</v>
      </c>
      <c r="C502" s="57" t="str">
        <f aca="false">Flights!$F$19</f>
        <v>MH0003</v>
      </c>
      <c r="D502" s="58" t="n">
        <f aca="false">Flights!$D$19</f>
        <v>46320</v>
      </c>
      <c r="E502" s="57" t="str">
        <f aca="false">Flights!$G$19&amp;"-"&amp;Flights!$H$19</f>
        <v>LHR-KUL</v>
      </c>
      <c r="F502" s="57" t="str">
        <f aca="false">Flights!$K$19</f>
        <v>EY</v>
      </c>
      <c r="G502" s="57" t="s">
        <v>459</v>
      </c>
      <c r="H502" s="57" t="s">
        <v>460</v>
      </c>
      <c r="I502" s="57" t="s">
        <v>428</v>
      </c>
      <c r="J502" s="57" t="s">
        <v>465</v>
      </c>
      <c r="K502" s="67" t="s">
        <v>426</v>
      </c>
      <c r="L502" s="67" t="s">
        <v>462</v>
      </c>
      <c r="M502" s="67"/>
      <c r="N502" s="67" t="s">
        <v>383</v>
      </c>
      <c r="O502" s="67" t="s">
        <v>463</v>
      </c>
      <c r="P502" s="57" t="s">
        <v>186</v>
      </c>
      <c r="Q502" s="59" t="n">
        <f aca="false">ROUND((Flights!$AF$19)*1440,0)/1440</f>
        <v>46320.4583333333</v>
      </c>
      <c r="R502" s="59" t="n">
        <f aca="false">Q502+(IF(AND(INDEX(TZ_DSTS,MATCH(P502,TZ_STN,0))&lt;&gt;"",Q502&gt;=INDEX(TZ_DSTS,MATCH(P502,TZ_STN,0)),Q502&lt;INDEX(TZ_DSTE,MATCH(P502,TZ_STN,0))),INDEX(TZ_DST,MATCH(P502,TZ_STN,0)),INDEX(TZ_STD,MATCH(P502,TZ_STN,0))))/24</f>
        <v>46320.4583333333</v>
      </c>
      <c r="S502" s="60"/>
      <c r="T502" s="60"/>
      <c r="U502" s="60"/>
      <c r="V502" s="60"/>
      <c r="W502" s="61"/>
      <c r="X502" s="60"/>
      <c r="Y502" s="60"/>
      <c r="Z502" s="60"/>
      <c r="AA502" s="60"/>
      <c r="AB502" s="60"/>
      <c r="AC502" s="60"/>
      <c r="AD502" s="66"/>
      <c r="AE502" s="60"/>
      <c r="AF502" s="61" t="str">
        <f aca="false">IF(AND(ISNUMBER(X502),ISNUMBER(Y502)),Y502-X502,"")</f>
        <v/>
      </c>
      <c r="AG502" s="62" t="str">
        <f aca="false">IF(ISNUMBER(AD502),AD502-(IF(AND(INDEX(TZ_DSTS,MATCH(P502,TZ_STN,0))&lt;&gt;"",(AD502-INDEX(TZ_STD,MATCH(P502,TZ_STN,0))/24)&gt;=INDEX(TZ_DSTS,MATCH(P502,TZ_STN,0)),(AD502-INDEX(TZ_STD,MATCH(P502,TZ_STN,0))/24)&lt;INDEX(TZ_DSTE,MATCH(P502,TZ_STN,0))),INDEX(TZ_DST,MATCH(P502,TZ_STN,0)),INDEX(TZ_STD,MATCH(P502,TZ_STN,0))))/24,"")</f>
        <v/>
      </c>
      <c r="AH502" s="65" t="str">
        <f aca="false">IFERROR(IF(N502="N/A – rule",IF(OR(TRIM(U502)="",TRIM(U502)="N/A",TRIM(U502)="Not started"),"N/A – RULE","INVALID – this check does not apply to this aircraft: clear the status (or correct the fleet on Flights)"),IF(TRIM(U502)="N/A",IF(AT502=0,"INVALID – N/A not permitted for this check",IF(AND(TRIM(AB502)&lt;&gt;"",TRIM(AB502)&lt;&gt;"Closed"),"INVALID – corrective action still open",IF(AND(NOT(OR(LEN(AZ502)&lt;15,ISNUMBER(MATCH(AZ502,L_Placeholder,0)))),BK502=0,CG502&gt;=8,NOT(OR(LEN(AU502)&lt;2,ISNUMBER(MATCH(AU502,L_Placeholder,0)))),BR502&gt;=3,NOT(OR(LEN(AX502)&lt;2,ISNUMBER(MATCH(AX502,L_Placeholder,0)))),BS502&gt;=3,TRIM(AE502)&lt;&gt;TRIM(T502),AX502&lt;&gt;AU502,CE502=0),"N/A – JUSTIFIED","INVALID – N/A needs a real, settled reason (not 'not applicable' / 'as above' / TBC), a named PIC and a different named verifier"))),IF(OR(TRIM(U502)="Pass",TRIM(U502)="Pass after CA"),IF(NOT(ISNUMBER(AD502)),"INVALID – completion time missing",IF(OR(OR(LEN(AU502)&lt;2,ISNUMBER(MATCH(AU502,L_Placeholder,0))),BR502&lt;3),"INVALID – PIC missing or not a named person (a role such as QA / CSM is not a name)",IF(OR(LEN(AV502)&lt;2,ISNUMBER(MATCH(AV502,L_Placeholder,0))),"INVALID – result / assessment missing",IF(OR(OR(LEN(AW502)&lt;3,ISNUMBER(MATCH(AW502,L_Placeholder,0))),SUMPRODUCT(--ISNUMBER(SEARCH(" "&amp;L_EvidencePhrase&amp;" ",BD502)))&gt;0,BI502=1),"INVALID – evidence missing, placeholder or not yet on file",IF(ISNA(MATCH(TRIM(S502),L_EvidenceType,0)),"INVALID – choose the evidence type from the list (column S)",IF(BL502=0,"INVALID – evidence ID must be the record's own ID only (e.g. SF-2210, IMG_2231, 1045521); a link / file name needs type 'Link / file path'",IF(OR(OR(LEN(AX502)&lt;2,ISNUMBER(MATCH(AX502,L_Placeholder,0))),BS502&lt;3),"INVALID – verifier missing or not a named person (a role such as QA / CSM is not a name)",IF(OR(AX502=AU502,CE502=1,AND(LEN(AU502)&gt;=4,ISNUMBER(SEARCH(AU502,AX502))),AND(LEN(AX502)&gt;=4,ISNUMBER(SEARCH(AX502,AU502)))),"INVALID – verifier must be a different, named person (not the PIC or a role)",IF(BH502=1,"INVALID – result not yet available (awaiting / TBC)",IF(BG502=1,"INVALID – result describes a problem: record Fail, then Pass after CA (or reword if it is not a problem)",IF(BV502=1,"INVALID – wording says not on board: an on-board confirmation needs the item loaded",IF(AND(AQ502=1,OR(OR(LEN(AY502)&lt;3,ISNUMBER(MATCH(AY502,L_Placeholder,0))),BJ502=1,BQ502=0)),"INVALID – batch ID missing, placeholder or not an ID (e.g. PASB-261008-BC-017)",IF(AND(AR502=1,OR(NOT(ISNUMBER(X502)),NOT(ISNUMBER(Y502)))),"INVALID – expected/actual qty missing",IF(AND(AR502=1,OR(X502&lt;=0,Y502&lt;0)),"INVALID – expected qty must be above 0 and actual not negative",IF(AH496="N/A – JUSTIFIED","INVALID – preparation row F15-T12-06 is N/A",IF(AND(AR502=1,ISNUMBER(X496),X502&lt;&gt;X496,TRIM(U502)&lt;&gt;"Pass after CA"),"INVALID – expected qty differs from preparation check F15-T12-06: record the load change as a corrective action (Pass after CA)",IF(BB502&lt;&gt;"",BB502,IF(AND(AS502=1,Documents!$J$19&lt;&gt;"ON FILE"),"INVALID – GLD not on file (Documents sheet)",IF(AND(AS502=2,Documents!$O$19&lt;&gt;"ON FILE"),"INVALID – menu checklist not on file (Documents sheet)",IF(AND(AS502=3,NOT(ISNUMBER(Flights!$AX$19))),"INVALID – enter carrying flight KUL departure (Flights AX)",IF(AND(AS502=3,OR(Flights!$AZ$19&gt;Flights!$AA$19,Flights!$AX$19&lt;Flights!$AA$19-3)),"INVALID – carrying flight (Flights AX) cannot arrive before this leg's STD, or is over 3 days early",IF(AG502&gt;AsOfUTC,"INVALID – completion time is in the future",IF(AND(ISNUMBER(BY502),AG502&lt;BY502),IF(H502="Physical uplift","INVALID – before uplift window (cannot confirm loading)","INVALID – before valid window"),IF(AG502&gt;Flights!$AA$19,"INVALID – completed after departure (cannot establish readiness)",IF(AND(H502="Preparation",AG502&gt;=IF(ISNUMBER(Flights!$BA$19),MIN(Flights!$BA$19,Flights!$AA$19),Flights!$AA$19)),"INVALID – completed after loading / departure (cannot establish readiness)",IF(AND(H502="Physical uplift",AG502&gt;Q502),"INVALID – recorded after the loading flight departed",IF(AG502&gt;Q502,"COMPLETE – LATE","COMPLETE"))))))))))))))))))))))))))),IF(TRIM(U502)="Fail","FAIL – DISCREPANCY",IF(AND(TRIM(U502)&lt;&gt;"",TRIM(U502)&lt;&gt;"Not started",TRIM(U502)&lt;&gt;"In progress"),"INVALID – unrecognised status (use the list)",IF(AsOfUTC&gt;Q502,"OVERDUE",IF(N502="Clarification required","OPEN – CLARIFICATION","OPEN"))))))),"INVALID – error value in an input cell")</f>
        <v>OPEN</v>
      </c>
      <c r="AI502" s="61" t="n">
        <f aca="false">IF(OR(AH502="N/A – RULE",AH502="N/A – JUSTIFIED"),0,1)</f>
        <v>1</v>
      </c>
      <c r="AJ502" s="61" t="n">
        <f aca="false">IF(LEFT(AH502,8)="COMPLETE",1,0)</f>
        <v>0</v>
      </c>
      <c r="AK502" s="61" t="n">
        <f aca="false">IF(AND(AI502=1,AJ502=0,AsOfUTC&gt;Q502),1,0)</f>
        <v>0</v>
      </c>
      <c r="AL502" s="61" t="n">
        <f aca="false">IFERROR(IF(AND(AI502=1,OR(TRIM(U502)="Fail",AND(TRIM(AB502)&lt;&gt;"",TRIM(AB502)&lt;&gt;"Closed"),AND(ISNUMBER(AF502),AF502&lt;&gt;0,TRIM(U502)&lt;&gt;"Pass after CA"))),1,0),1)</f>
        <v>0</v>
      </c>
      <c r="AM502" s="61" t="n">
        <f aca="false">IF(LEFT(AH502,7)="INVALID",1,0)</f>
        <v>0</v>
      </c>
      <c r="AN502" s="61" t="n">
        <f aca="false">IF(AND(N502="Clarification required",AI502=1,AJ502=0),1,0)</f>
        <v>0</v>
      </c>
      <c r="AO502" s="61" t="str">
        <f aca="false">IF(AK502=1,SUM(AK$5:AK502),"")</f>
        <v/>
      </c>
      <c r="AP502" s="61" t="str">
        <f aca="false">IF(AL502=1,SUM(AL$5:AL502),"")</f>
        <v/>
      </c>
      <c r="AQ502" s="61" t="n">
        <v>0</v>
      </c>
      <c r="AR502" s="61" t="n">
        <v>1</v>
      </c>
      <c r="AS502" s="61" t="n">
        <v>0</v>
      </c>
      <c r="AT502" s="61" t="n">
        <v>0</v>
      </c>
      <c r="AU502" s="61" t="str">
        <f aca="false">SUBSTITUTE(SUBSTITUTE(SUBSTITUTE(SUBSTITUTE(SUBSTITUTE(SUBSTITUTE(SUBSTITUTE(SUBSTITUTE(SUBSTITUTE(SUBSTITUTE(SUBSTITUTE(SUBSTITUTE(SUBSTITUTE(SUBSTITUTE(SUBSTITUTE(SUBSTITUTE(LOWER(T502&amp;""),CHAR(10),""),CHAR(13),""),CHAR(9),""),CHAR(160),"")," ",""),".",""),"-",""),"/",""),"?",""),"_",""),",",""),"[",""),"]",""),"(",""),")",""),"*","")</f>
        <v/>
      </c>
      <c r="AV502" s="61" t="str">
        <f aca="false">SUBSTITUTE(SUBSTITUTE(SUBSTITUTE(SUBSTITUTE(SUBSTITUTE(SUBSTITUTE(SUBSTITUTE(SUBSTITUTE(SUBSTITUTE(SUBSTITUTE(SUBSTITUTE(SUBSTITUTE(SUBSTITUTE(SUBSTITUTE(SUBSTITUTE(SUBSTITUTE(LOWER(V502&amp;""),CHAR(10),""),CHAR(13),""),CHAR(9),""),CHAR(160),"")," ",""),".",""),"-",""),"/",""),"?",""),"_",""),",",""),"[",""),"]",""),"(",""),")",""),"*","")</f>
        <v/>
      </c>
      <c r="AW502" s="61" t="str">
        <f aca="false">SUBSTITUTE(SUBSTITUTE(SUBSTITUTE(SUBSTITUTE(SUBSTITUTE(SUBSTITUTE(SUBSTITUTE(SUBSTITUTE(SUBSTITUTE(SUBSTITUTE(SUBSTITUTE(SUBSTITUTE(SUBSTITUTE(SUBSTITUTE(SUBSTITUTE(SUBSTITUTE(LOWER(Z502&amp;""),CHAR(10),""),CHAR(13),""),CHAR(9),""),CHAR(160),"")," ",""),".",""),"-",""),"/",""),"?",""),"_",""),",",""),"[",""),"]",""),"(",""),")",""),"*","")</f>
        <v/>
      </c>
      <c r="AX502" s="61" t="str">
        <f aca="false">SUBSTITUTE(SUBSTITUTE(SUBSTITUTE(SUBSTITUTE(SUBSTITUTE(SUBSTITUTE(SUBSTITUTE(SUBSTITUTE(SUBSTITUTE(SUBSTITUTE(SUBSTITUTE(SUBSTITUTE(SUBSTITUTE(SUBSTITUTE(SUBSTITUTE(SUBSTITUTE(LOWER(AE502&amp;""),CHAR(10),""),CHAR(13),""),CHAR(9),""),CHAR(160),"")," ",""),".",""),"-",""),"/",""),"?",""),"_",""),",",""),"[",""),"]",""),"(",""),")",""),"*","")</f>
        <v/>
      </c>
      <c r="AY502" s="61" t="str">
        <f aca="false">SUBSTITUTE(SUBSTITUTE(SUBSTITUTE(SUBSTITUTE(SUBSTITUTE(SUBSTITUTE(SUBSTITUTE(SUBSTITUTE(SUBSTITUTE(SUBSTITUTE(SUBSTITUTE(SUBSTITUTE(SUBSTITUTE(SUBSTITUTE(SUBSTITUTE(SUBSTITUTE(LOWER(W502&amp;""),CHAR(10),""),CHAR(13),""),CHAR(9),""),CHAR(160),"")," ",""),".",""),"-",""),"/",""),"?",""),"_",""),",",""),"[",""),"]",""),"(",""),")",""),"*","")</f>
        <v/>
      </c>
      <c r="AZ502" s="61" t="str">
        <f aca="false">SUBSTITUTE(SUBSTITUTE(SUBSTITUTE(SUBSTITUTE(SUBSTITUTE(SUBSTITUTE(SUBSTITUTE(SUBSTITUTE(SUBSTITUTE(SUBSTITUTE(SUBSTITUTE(SUBSTITUTE(SUBSTITUTE(SUBSTITUTE(SUBSTITUTE(SUBSTITUTE(LOWER(AC502&amp;""),CHAR(10),""),CHAR(13),""),CHAR(9),""),CHAR(160),"")," ",""),".",""),"-",""),"/",""),"?",""),"_",""),",",""),"[",""),"]",""),"(",""),")",""),"*","")</f>
        <v/>
      </c>
      <c r="BA502" s="61" t="str">
        <f aca="false">SUBSTITUTE(SUBSTITUTE(SUBSTITUTE(SUBSTITUTE(SUBSTITUTE(SUBSTITUTE(SUBSTITUTE(SUBSTITUTE(SUBSTITUTE(SUBSTITUTE(SUBSTITUTE(SUBSTITUTE(SUBSTITUTE(SUBSTITUTE(SUBSTITUTE(SUBSTITUTE(LOWER(AA502&amp;""),CHAR(10),""),CHAR(13),""),CHAR(9),""),CHAR(160),"")," ",""),".",""),"-",""),"/",""),"?",""),"_",""),",",""),"[",""),"]",""),"(",""),")",""),"*","")</f>
        <v/>
      </c>
      <c r="BB502" s="61" t="str">
        <f aca="false">IF(AND(TRIM(U502)="Pass",ISNUMBER(AF502)),IF(AF502&lt;&gt;0,"INVALID – qty variance: use Fail or Pass after CA",""),"")&amp;IF(AND(TRIM(U502)="Pass after CA",ISNUMBER(AF502)),IF(AF502&lt;&gt;0,"INVALID – after the corrective action the actual qty must equal expected (update Actual)",""),"")&amp;IF(AND(TRIM(U502)="Pass",TRIM(AB502)&lt;&gt;"",TRIM(AB502)&lt;&gt;"Closed"),"INVALID – corrective action not closed: use Fail, then Pass after CA","")&amp;IF(AND(LEN(BA502)&gt;=2,ISNA(MATCH(LEFT(BA502,255),L_Placeholder,0)),TRIM(AB502)=""),"INVALID – CA status missing for the recorded corrective action","")&amp;IF(AND(TRIM(U502)="Pass after CA",OR(OR(LEN(BA502)&lt;5,ISNUMBER(MATCH(BA502,L_Placeholder,0))),TRIM(AB502)&lt;&gt;"Closed")),"INVALID – corrective action not recorded/closed","")</f>
        <v/>
      </c>
      <c r="BC502" s="61" t="str">
        <f aca="false">" "&amp;TRIM(SUBSTITUTE(SUBSTITUTE(SUBSTITUTE(SUBSTITUTE(SUBSTITUTE(SUBSTITUTE(SUBSTITUTE(SUBSTITUTE(SUBSTITUTE(SUBSTITUTE(SUBSTITUTE(SUBSTITUTE(SUBSTITUTE(SUBSTITUTE(SUBSTITUTE(SUBSTITUTE(SUBSTITUTE(SUBSTITUTE(SUBSTITUTE(SUBSTITUTE(SUBSTITUTE(SUBSTITUTE(SUBSTITUTE(SUBSTITUTE(LOWER(V502&amp;""),CHAR(10)," "),CHAR(13)," "),CHAR(9)," "),CHAR(160)," "),"."," "),","," "),"-"," "),"/"," "),"("," "),")"," "),":"," "),";"," "),"_"," "),"–"," "),"?"," "),"!"," "),"*"," "),"["," "),"]"," "),"'"," "),"#"," "),"+"," "),"&amp;"," "),"\"," "))&amp;" "</f>
        <v>  </v>
      </c>
      <c r="BD502" s="61" t="str">
        <f aca="false">" "&amp;TRIM(SUBSTITUTE(SUBSTITUTE(SUBSTITUTE(SUBSTITUTE(SUBSTITUTE(SUBSTITUTE(SUBSTITUTE(SUBSTITUTE(SUBSTITUTE(SUBSTITUTE(SUBSTITUTE(SUBSTITUTE(SUBSTITUTE(SUBSTITUTE(SUBSTITUTE(SUBSTITUTE(SUBSTITUTE(SUBSTITUTE(SUBSTITUTE(SUBSTITUTE(SUBSTITUTE(SUBSTITUTE(SUBSTITUTE(SUBSTITUTE(LOWER(Z502&amp;""),CHAR(10)," "),CHAR(13)," "),CHAR(9)," "),CHAR(160)," "),"."," "),","," "),"-"," "),"/"," "),"("," "),")"," "),":"," "),";"," "),"_"," "),"–"," "),"?"," "),"!"," "),"*"," "),"["," "),"]"," "),"'"," "),"#"," "),"+"," "),"&amp;"," "),"\"," "))&amp;" "</f>
        <v>  </v>
      </c>
      <c r="BE502" s="61" t="str">
        <f aca="false">" "&amp;TRIM(SUBSTITUTE(SUBSTITUTE(SUBSTITUTE(SUBSTITUTE(SUBSTITUTE(SUBSTITUTE(SUBSTITUTE(SUBSTITUTE(SUBSTITUTE(SUBSTITUTE(SUBSTITUTE(SUBSTITUTE(SUBSTITUTE(SUBSTITUTE(SUBSTITUTE(SUBSTITUTE(SUBSTITUTE(SUBSTITUTE(SUBSTITUTE(SUBSTITUTE(SUBSTITUTE(SUBSTITUTE(SUBSTITUTE(SUBSTITUTE(LOWER(W502&amp;""),CHAR(10)," "),CHAR(13)," "),CHAR(9)," "),CHAR(160)," "),"."," "),","," "),"-"," "),"/"," "),"("," "),")"," "),":"," "),";"," "),"_"," "),"–"," "),"?"," "),"!"," "),"*"," "),"["," "),"]"," "),"'"," "),"#"," "),"+"," "),"&amp;"," "),"\"," "))&amp;" "</f>
        <v>  </v>
      </c>
      <c r="BF502" s="61" t="str">
        <f aca="false">" "&amp;TRIM(SUBSTITUTE(SUBSTITUTE(SUBSTITUTE(SUBSTITUTE(SUBSTITUTE(SUBSTITUTE(SUBSTITUTE(SUBSTITUTE(SUBSTITUTE(SUBSTITUTE(SUBSTITUTE(SUBSTITUTE(SUBSTITUTE(SUBSTITUTE(SUBSTITUTE(SUBSTITUTE(SUBSTITUTE(SUBSTITUTE(SUBSTITUTE(SUBSTITUTE(SUBSTITUTE(SUBSTITUTE(SUBSTITUTE(SUBSTITUTE(LOWER(AC502&amp;""),CHAR(10)," "),CHAR(13)," "),CHAR(9)," "),CHAR(160)," "),"."," "),","," "),"-"," "),"/"," "),"("," "),")"," "),":"," "),";"," "),"_"," "),"–"," "),"?"," "),"!"," "),"*"," "),"["," "),"]"," "),"'"," "),"#"," "),"+"," "),"&amp;"," "),"\"," "))&amp;" "</f>
        <v>  </v>
      </c>
      <c r="BG502" s="61" t="n">
        <f aca="false">IFERROR(IF(AND(TRIM(U502)="Pass",SUMPRODUCT((LEN(BC502)-LEN(SUBSTITUTE(BC502," "&amp;L_ResultBad&amp;" "," ")))/(LEN(L_ResultBad)+1))&gt;SUMPRODUCT((LEN(BC502)-LEN(SUBSTITUTE(BC502," "&amp;L_NegPhrase&amp;" "," ")))/(LEN(L_NegPhrase)+1))),1,0),0)</f>
        <v>0</v>
      </c>
      <c r="BH502" s="61" t="n">
        <f aca="false">IFERROR(IF(SUMPRODUCT((LEN(BC502)-LEN(SUBSTITUTE(BC502," "&amp;L_Pending&amp;" "," ")))/(LEN(L_Pending)+1))&gt;SUMPRODUCT((LEN(BC502)-LEN(SUBSTITUTE(BC502," "&amp;L_PendNeg&amp;" "," ")))/(LEN(L_PendNeg)+1)),1,0),1)</f>
        <v>0</v>
      </c>
      <c r="BI502" s="61" t="n">
        <f aca="false">IFERROR(IF(SUMPRODUCT((LEN(BD502)-LEN(SUBSTITUTE(BD502," "&amp;L_PendStrict&amp;" "," ")))/(LEN(L_PendStrict)+1))&gt;SUMPRODUCT((LEN(BD502)-LEN(SUBSTITUTE(BD502," "&amp;L_PendNeg&amp;" "," ")))/(LEN(L_PendNeg)+1)),1,0),1)</f>
        <v>0</v>
      </c>
      <c r="BJ502" s="61" t="n">
        <f aca="false">IFERROR(IF(SUMPRODUCT((LEN(BE502)-LEN(SUBSTITUTE(BE502," "&amp;L_Pending&amp;" "," ")))/(LEN(L_Pending)+1))&gt;SUMPRODUCT((LEN(BE502)-LEN(SUBSTITUTE(BE502," "&amp;L_PendNeg&amp;" "," ")))/(LEN(L_PendNeg)+1)),1,0),1)</f>
        <v>0</v>
      </c>
      <c r="BK502" s="61" t="n">
        <f aca="false">IFERROR(IF(SUMPRODUCT((LEN(BF502)-LEN(SUBSTITUTE(BF502," "&amp;L_PendStrict&amp;" "," ")))/(LEN(L_PendStrict)+1))&gt;SUMPRODUCT((LEN(BF502)-LEN(SUBSTITUTE(BF502," "&amp;L_PendNeg&amp;" "," ")))/(LEN(L_PendNeg)+1)),1,0),1)</f>
        <v>0</v>
      </c>
      <c r="BL502" s="61" t="n">
        <f aca="false">IF(ISNA(MATCH(TRIM(S502),L_EvidenceType,0)),0,BZ502)</f>
        <v>0</v>
      </c>
      <c r="BM502" s="61" t="str">
        <f aca="false">SUBSTITUTE(SUBSTITUTE(SUBSTITUTE(SUBSTITUTE(SUBSTITUTE(SUBSTITUTE(SUBSTITUTE(SUBSTITUTE(SUBSTITUTE(LOWER(Z502&amp;""),"1","0"),"2","0"),"3","0"),"4","0"),"5","0"),"6","0"),"7","0"),"8","0"),"9","0")</f>
        <v/>
      </c>
      <c r="BN502" s="61" t="str">
        <f aca="false">SUBSTITUTE(SUBSTITUTE(SUBSTITUTE(SUBSTITUTE(SUBSTITUTE(SUBSTITUTE(SUBSTITUTE(SUBSTITUTE(SUBSTITUTE(SUBSTITUTE(SUBSTITUTE(SUBSTITUTE(SUBSTITUTE(SUBSTITUTE(SUBSTITUTE(SUBSTITUTE(SUBSTITUTE(SUBSTITUTE(SUBSTITUTE(SUBSTITUTE(SUBSTITUTE(SUBSTITUTE(SUBSTITUTE(SUBSTITUTE(SUBSTITUTE(BM502,"b","a"),"c","a"),"d","a"),"e","a"),"f","a"),"g","a"),"h","a"),"i","a"),"j","a"),"k","a"),"l","a"),"m","a"),"n","a"),"o","a"),"p","a"),"q","a"),"r","a"),"s","a"),"t","a"),"u","a"),"v","a"),"w","a"),"x","a"),"y","a"),"z","a")</f>
        <v/>
      </c>
      <c r="BO502" s="61" t="str">
        <f aca="false">SUBSTITUTE(SUBSTITUTE(SUBSTITUTE(SUBSTITUTE(SUBSTITUTE(SUBSTITUTE(SUBSTITUTE(SUBSTITUTE(SUBSTITUTE(LOWER(W502&amp;""),"1","0"),"2","0"),"3","0"),"4","0"),"5","0"),"6","0"),"7","0"),"8","0"),"9","0")</f>
        <v/>
      </c>
      <c r="BP502" s="61" t="str">
        <f aca="false">SUBSTITUTE(SUBSTITUTE(SUBSTITUTE(SUBSTITUTE(SUBSTITUTE(SUBSTITUTE(SUBSTITUTE(SUBSTITUTE(SUBSTITUTE(SUBSTITUTE(SUBSTITUTE(SUBSTITUTE(SUBSTITUTE(SUBSTITUTE(SUBSTITUTE(SUBSTITUTE(SUBSTITUTE(SUBSTITUTE(SUBSTITUTE(SUBSTITUTE(SUBSTITUTE(SUBSTITUTE(SUBSTITUTE(SUBSTITUTE(SUBSTITUTE(BO502,"b","a"),"c","a"),"d","a"),"e","a"),"f","a"),"g","a"),"h","a"),"i","a"),"j","a"),"k","a"),"l","a"),"m","a"),"n","a"),"o","a"),"p","a"),"q","a"),"r","a"),"s","a"),"t","a"),"u","a"),"v","a"),"w","a"),"x","a"),"y","a"),"z","a")</f>
        <v/>
      </c>
      <c r="BQ502" s="61" t="n">
        <f aca="false">IFERROR(IF(AND(ISERROR(SEARCH(" mh"," "&amp;LOWER(W502))),ISNA(MATCH(LEFT(TRIM(BP502),255),{"0000a","000a","00a","0000aa","000aa","00aa","0aa","0000aaa","000aaa","00a00","0a00","0000-0000","00:00","a00","a0","00.00.0000","00/00/0000","00-00-0000","0000-00-00","0000/00/00","0000.00.00","00.00.00","00/00/00","00-00-00","0.00.0000","0/00/0000","0-00-0000"},0)),ISNA(MATCH(LEFT(TRIM(CA502),255),{"0000a","000a","00a","0000aa","000aa","00aa","0aa","0000aaa","000aaa","00a00","0a00","0000-0000","00:00","a00","a0","00.00.0000","00/00/0000","00-00-0000","0000-00-00","0000/00/00","0000.00.00","00.00.00","00/00/00","00-00-00","0.00.0000","0/00/0000","0-00-0000"},0)),LEN(CB502)&gt;=3,NOT(OR(SUBSTITUTE(CB502,"0","")="",AND(LEN(CB502)&gt;=4,CB502=REPT(LEFT(CB502),LEN(CB502))),ISNUMBER(MATCH(CB502,{"123","1234","12345","123456","1234567","12345678","0123","01234","012345","98765","987654","54321"},0)),AND(LEN(CB502)=8,LEFT(CB502,3)="202"))),OR(AND((LEN(CA502)-LEN(SUBSTITUTE(CA502,"a","")))&gt;=1,SUMPRODUCT(--ISNUMBER(SEARCH({"a0","a-0","a_0","a/0","a.0","a#0","0a","0-a","0_a","0/a"},BP502)))&gt;0),ISNUMBER(SEARCH("000000",BP502)))),1,0),0)</f>
        <v>0</v>
      </c>
      <c r="BR502" s="61" t="n">
        <f aca="false">IFERROR(LEN(SUBSTITUTE(CC502," ",""))-SUMPRODUCT((LEN(CC502)-LEN(SUBSTITUTE(CC502," "&amp;L_Role&amp;" "," ")))/(LEN(L_Role)+1)*LEN(L_Role)),0)</f>
        <v>0</v>
      </c>
      <c r="BS502" s="61" t="n">
        <f aca="false">IFERROR(LEN(SUBSTITUTE(CD502," ",""))-SUMPRODUCT((LEN(CD502)-LEN(SUBSTITUTE(CD502," "&amp;L_Role&amp;" "," ")))/(LEN(L_Role)+1)*LEN(L_Role)),0)</f>
        <v>0</v>
      </c>
      <c r="BT5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502,"revision",""),"version",""),"jan",""),"feb",""),"mar",""),"apr",""),"may",""),"jun",""),"jul",""),"aug",""),"sep",""),"oct",""),"nov",""),"dec",""),"utc",""),"gmt",""),"myt",""),"bst",""),"rev",""),"ver",""),"b","a"),"c","a"),"d","a"),"e","a"),"f","a"),"g","a"),"h","a"),"i","a"),"j","a"),"k","a"),"l","a"),"m","a"),"n","a"),"o","a"),"p","a"),"q","a"),"r","a"),"s","a"),"t","a"),"u","a"),"v","a"),"w","a"),"x","a"),"y","a"),"z","a")</f>
        <v/>
      </c>
      <c r="BU502" s="61" t="str">
        <f aca="false">SUBSTITUTE(SUBSTITUTE(SUBSTITUTE(SUBSTITUTE(SUBSTITUTE(SUBSTITUTE(SUBSTITUTE(SUBSTITUTE(SUBSTITUTE(SUBSTITUTE(LEFT(BM502,FIND("0",BM502&amp;"0")-1),"-",""),"_",""),"/",""),".",""),"#",""),"\\",""),":","")," ",""),"(",""),")","")</f>
        <v/>
      </c>
      <c r="BV502" s="61" t="n">
        <f aca="false">IFERROR(IF(OR(SUMPRODUCT((LEN(BC502)-LEN(SUBSTITUTE(BC502," "&amp;L_NotLoaded&amp;" "," ")))/(LEN(L_NotLoaded)+1))&gt;SUMPRODUCT((LEN(BC502)-LEN(SUBSTITUTE(BC502," "&amp;L_NotLoadedNeg&amp;" "," ")))/(LEN(L_NotLoadedNeg)+1)),SUMPRODUCT((LEN(BD502)-LEN(SUBSTITUTE(BD502," "&amp;L_NotLoaded&amp;" "," ")))/(LEN(L_NotLoaded)+1))&gt;SUMPRODUCT((LEN(BD502)-LEN(SUBSTITUTE(BD502," "&amp;L_NotLoadedNeg&amp;" "," ")))/(LEN(L_NotLoadedNeg)+1))),1,0),0)</f>
        <v>0</v>
      </c>
      <c r="BW5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502&amp;""),"a",""),"b",""),"c",""),"d",""),"e",""),"f",""),"g",""),"h",""),"i",""),"j",""),"k",""),"l",""),"m",""),"n",""),"o",""),"p",""),"q",""),"r",""),"s",""),"t",""),"u",""),"v",""),"w",""),"x",""),"y",""),"z",""),"-",""),"_",""),"/",""),".",""),"#",""),"\\",""),":","")," ",""),"(",""),")","")</f>
        <v/>
      </c>
      <c r="BX502" s="61" t="str">
        <f aca="false">SUBSTITUTE(SUBSTITUTE(SUBSTITUTE(SUBSTITUTE(SUBSTITUTE(SUBSTITUTE(SUBSTITUTE(SUBSTITUTE(SUBSTITUTE(SUBSTITUTE(SUBSTITUTE(BM502,"0",""),"-",""),"_",""),"/",""),".",""),"#",""),"\\",""),":","")," ",""),"(",""),")","")</f>
        <v/>
      </c>
      <c r="BY502" s="62" t="n">
        <f aca="false">IF(ISNUMBER(Flights!$AZ$19),MAX(Q502-UpliftWindowH/24,Flights!$AZ$19),Q502-UpliftWindowH/24)</f>
        <v>46320.2083333333</v>
      </c>
      <c r="BZ502" s="61" t="n">
        <f aca="false">IFERROR(IF(IF(TRIM(S502)="Link / file path",AND(LEN(TRIM(Z502))&gt;=5,SUMPRODUCT(--ISNUMBER(SEARCH({"http","www.","\\",":\",".pdf",".jpg",".jpeg",".png",".heic",".xls",".doc",".msg",".eml",".ppt",".txt",".zip"},Z502)))&gt;0),AND(ISERROR(FIND(" ",TRIM(Z502))),NOT(OR(SUMPRODUCT(--ISNUMBER(FIND({",",";","&amp;","+"},Z502)))&gt;0,SUMPRODUCT(--ISNUMBER(SEARCH({"0/aa","0\\aa"},BN502)))&gt;0)),NOT(SUMPRODUCT(--ISNUMBER(SEARCH({"http","www.","\\",":\",".pdf",".jpg",".jpeg",".png",".heic",".xls",".doc",".msg",".eml",".ppt",".txt",".zip"},Z502)))&gt;0),NOT(LOWER(TRIM(Z502))=LOWER(Flights!$F$19)),ISNA(MATCH(BU502,{"mh","rev","revision","ver","version","v","r","a","b","seat","tray","row","gate","bay","stand","page","pg","item","line","no","cart","galley","flight","flt","table","box","bag","oven","etd","eta","std","sta","atd","ata","qty","pax","x","time","tel","ph","mob","day","wk","week","utc","gmt","myt","lt"},0)),NOT(OR(ISNUMBER(MATCH(LEFT(BN502,255),{"0000a","000a","00a","0000aa","000aa","00aa","0aa","0000aaa","000aaa","00a00","0a00","0000-0000","00:00","a00","a0","00.00.0000","00/00/0000","00-00-0000","0000-00-00","0000/00/00","0000.00.00","00.00.00","00/00/00","00-00-00","0.00.0000","0/00/0000","0-00-0000"},0)),ISNUMBER(MATCH(LEFT(BT502,255),{"0000a","000a","00a","0000aa","000aa","00aa","0aa","0000aaa","000aaa","00a00","0a00","0000-0000","00:00","a00","a0","00.00.0000","00/00/0000","00-00-0000","0000-00-00","0000/00/00","0000.00.00","00.00.00","00/00/00","00-00-00","0.00.0000","0/00/0000","0-00-0000"},0)))),NOT(OR(AND(BW502&lt;&gt;"",SUBSTITUTE(BW502,"0","")=""),AND(LEN(BW502)&gt;=4,BW502=REPT(LEFT(BW502),LEN(BW502))),ISNUMBER(MATCH(BW502,{"123","1234","12345","123456","1234567","12345678","0123","01234","012345","98765","987654","54321"},0)),ISNUMBER(MATCH(BX502,{"x","xx","xxx","xxxx","xxxxx","abc","abcd","nil","na","nan","test","tbc","tba","tbd","dummy","sample","example","eg","zz","zzz","none","null","xyz","qwe","asd","id","ref"},0)),AND(LEN(BW502)=8,BX502="",OR(LEFT(BW502,3)="202",ISNUMBER(MATCH(RIGHT(BW502,4),{"2025","2026","2027"},0)))))),OR(AND((LEN(BT502)-LEN(SUBSTITUTE(BT502,"a","")))&gt;=1,(LEN(BN502)-LEN(SUBSTITUTE(BN502,"0","")))&gt;=2,SUMPRODUCT(--ISNUMBER(SEARCH({"a0","a-0","a_0","a/0","a.0","a#0","0a","0-a","0_a","0/a"},BN502)))&gt;0),AND((LEN(BN502)-LEN(SUBSTITUTE(BN502,"a","")))=0,(LEN(BN502)-LEN(SUBSTITUTE(BN502,"0","")))&gt;=5)))),1,0),0)</f>
        <v>0</v>
      </c>
      <c r="CA5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502,"revision",""),"version",""),"jan",""),"feb",""),"mar",""),"apr",""),"may",""),"jun",""),"jul",""),"aug",""),"sep",""),"oct",""),"nov",""),"dec",""),"utc",""),"gmt",""),"myt",""),"bst",""),"rev",""),"ver",""),"b","a"),"c","a"),"d","a"),"e","a"),"f","a"),"g","a"),"h","a"),"i","a"),"j","a"),"k","a"),"l","a"),"m","a"),"n","a"),"o","a"),"p","a"),"q","a"),"r","a"),"s","a"),"t","a"),"u","a"),"v","a"),"w","a"),"x","a"),"y","a"),"z","a")</f>
        <v/>
      </c>
      <c r="CB5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502&amp;""),"a",""),"b",""),"c",""),"d",""),"e",""),"f",""),"g",""),"h",""),"i",""),"j",""),"k",""),"l",""),"m",""),"n",""),"o",""),"p",""),"q",""),"r",""),"s",""),"t",""),"u",""),"v",""),"w",""),"x",""),"y",""),"z",""),"-",""),"_",""),"/",""),".",""),"#",""),"\\",""),":","")," ",""),"(",""),")","")</f>
        <v/>
      </c>
      <c r="CC502" s="0" t="str">
        <f aca="false">" "&amp;TRIM(SUBSTITUTE(SUBSTITUTE(SUBSTITUTE(SUBSTITUTE(SUBSTITUTE(SUBSTITUTE(SUBSTITUTE(SUBSTITUTE(SUBSTITUTE(SUBSTITUTE(SUBSTITUTE(SUBSTITUTE(SUBSTITUTE(SUBSTITUTE(SUBSTITUTE(SUBSTITUTE(SUBSTITUTE(SUBSTITUTE(SUBSTITUTE(SUBSTITUTE(SUBSTITUTE(SUBSTITUTE(SUBSTITUTE(SUBSTITUTE(LOWER(T502&amp;""),CHAR(10)," "),CHAR(13)," "),CHAR(9)," "),CHAR(160)," "),"."," "),","," "),"-"," "),"/"," "),"("," "),")"," "),":"," "),";"," "),"_"," "),"–"," "),"?"," "),"!"," "),"*"," "),"["," "),"]"," "),"'"," "),"#"," "),"+"," "),"&amp;"," "),"\"," "))&amp;" "</f>
        <v>  </v>
      </c>
      <c r="CD502" s="0" t="str">
        <f aca="false">" "&amp;TRIM(SUBSTITUTE(SUBSTITUTE(SUBSTITUTE(SUBSTITUTE(SUBSTITUTE(SUBSTITUTE(SUBSTITUTE(SUBSTITUTE(SUBSTITUTE(SUBSTITUTE(SUBSTITUTE(SUBSTITUTE(SUBSTITUTE(SUBSTITUTE(SUBSTITUTE(SUBSTITUTE(SUBSTITUTE(SUBSTITUTE(SUBSTITUTE(SUBSTITUTE(SUBSTITUTE(SUBSTITUTE(SUBSTITUTE(SUBSTITUTE(LOWER(AE502&amp;""),CHAR(10)," "),CHAR(13)," "),CHAR(9)," "),CHAR(160)," "),"."," "),","," "),"-"," "),"/"," "),"("," "),")"," "),":"," "),";"," "),"_"," "),"–"," "),"?"," "),"!"," "),"*"," "),"["," "),"]"," "),"'"," "),"#"," "),"+"," "),"&amp;"," "),"\"," "))&amp;" "</f>
        <v>  </v>
      </c>
      <c r="CE502" s="68" t="n">
        <f aca="false">IFERROR(IF(AND(LEN(AU502)&gt;0,LEN(AU502)=LEN(AX502),OR(TRIM(MID(SUBSTITUTE(TRIM(CC502)," ",REPT(" ",60)),1,60))="",ISNUMBER(SEARCH(" "&amp;TRIM(MID(SUBSTITUTE(TRIM(CC502)," ",REPT(" ",60)),1,60))&amp;" ",CD502))),OR(TRIM(MID(SUBSTITUTE(TRIM(CC502)," ",REPT(" ",60)),61,60))="",ISNUMBER(SEARCH(" "&amp;TRIM(MID(SUBSTITUTE(TRIM(CC502)," ",REPT(" ",60)),61,60))&amp;" ",CD502))),OR(TRIM(MID(SUBSTITUTE(TRIM(CC502)," ",REPT(" ",60)),121,60))="",ISNUMBER(SEARCH(" "&amp;TRIM(MID(SUBSTITUTE(TRIM(CC502)," ",REPT(" ",60)),121,60))&amp;" ",CD502)))),1,0),0)</f>
        <v>0</v>
      </c>
      <c r="CG502" s="68" t="n">
        <f aca="false">IFERROR(LEN(SUBSTITUTE(BF502," ",""))-SUMPRODUCT((LEN(BF502)-LEN(SUBSTITUTE(BF502," "&amp;L_NAFiller&amp;" "," ")))/(LEN(L_NAFiller)+1)*LEN(L_NAFiller)),0)</f>
        <v>0</v>
      </c>
    </row>
    <row r="503" customFormat="false" ht="54" hidden="false" customHeight="true" outlineLevel="0" collapsed="false">
      <c r="A503" s="57" t="s">
        <v>1157</v>
      </c>
      <c r="B503" s="57" t="s">
        <v>278</v>
      </c>
      <c r="C503" s="57" t="str">
        <f aca="false">Flights!$F$19</f>
        <v>MH0003</v>
      </c>
      <c r="D503" s="58" t="n">
        <f aca="false">Flights!$D$19</f>
        <v>46320</v>
      </c>
      <c r="E503" s="57" t="str">
        <f aca="false">Flights!$G$19&amp;"-"&amp;Flights!$H$19</f>
        <v>LHR-KUL</v>
      </c>
      <c r="F503" s="57" t="str">
        <f aca="false">Flights!$K$19</f>
        <v>EY</v>
      </c>
      <c r="G503" s="57" t="s">
        <v>459</v>
      </c>
      <c r="H503" s="57" t="s">
        <v>460</v>
      </c>
      <c r="I503" s="57" t="s">
        <v>440</v>
      </c>
      <c r="J503" s="57" t="s">
        <v>467</v>
      </c>
      <c r="K503" s="67" t="s">
        <v>442</v>
      </c>
      <c r="L503" s="67" t="s">
        <v>443</v>
      </c>
      <c r="M503" s="67" t="s">
        <v>186</v>
      </c>
      <c r="N503" s="67" t="s">
        <v>444</v>
      </c>
      <c r="O503" s="67" t="s">
        <v>445</v>
      </c>
      <c r="P503" s="57" t="s">
        <v>186</v>
      </c>
      <c r="Q503" s="59" t="n">
        <f aca="false">ROUND((Flights!$AF$19)*1440,0)/1440</f>
        <v>46320.4583333333</v>
      </c>
      <c r="R503" s="59" t="n">
        <f aca="false">Q503+(IF(AND(INDEX(TZ_DSTS,MATCH(P503,TZ_STN,0))&lt;&gt;"",Q503&gt;=INDEX(TZ_DSTS,MATCH(P503,TZ_STN,0)),Q503&lt;INDEX(TZ_DSTE,MATCH(P503,TZ_STN,0))),INDEX(TZ_DST,MATCH(P503,TZ_STN,0)),INDEX(TZ_STD,MATCH(P503,TZ_STN,0))))/24</f>
        <v>46320.4583333333</v>
      </c>
      <c r="S503" s="60"/>
      <c r="T503" s="60"/>
      <c r="U503" s="60"/>
      <c r="V503" s="60"/>
      <c r="W503" s="61"/>
      <c r="X503" s="60"/>
      <c r="Y503" s="60"/>
      <c r="Z503" s="60"/>
      <c r="AA503" s="60"/>
      <c r="AB503" s="60"/>
      <c r="AC503" s="60"/>
      <c r="AD503" s="66"/>
      <c r="AE503" s="60"/>
      <c r="AF503" s="61" t="str">
        <f aca="false">IF(AND(ISNUMBER(X503),ISNUMBER(Y503)),Y503-X503,"")</f>
        <v/>
      </c>
      <c r="AG503" s="62" t="str">
        <f aca="false">IF(ISNUMBER(AD503),AD503-(IF(AND(INDEX(TZ_DSTS,MATCH(P503,TZ_STN,0))&lt;&gt;"",(AD503-INDEX(TZ_STD,MATCH(P503,TZ_STN,0))/24)&gt;=INDEX(TZ_DSTS,MATCH(P503,TZ_STN,0)),(AD503-INDEX(TZ_STD,MATCH(P503,TZ_STN,0))/24)&lt;INDEX(TZ_DSTE,MATCH(P503,TZ_STN,0))),INDEX(TZ_DST,MATCH(P503,TZ_STN,0)),INDEX(TZ_STD,MATCH(P503,TZ_STN,0))))/24,"")</f>
        <v/>
      </c>
      <c r="AH503" s="65" t="str">
        <f aca="false">IFERROR(IF(N503="N/A – rule",IF(OR(TRIM(U503)="",TRIM(U503)="N/A",TRIM(U503)="Not started"),"N/A – RULE","INVALID – this check does not apply to this aircraft: clear the status (or correct the fleet on Flights)"),IF(TRIM(U503)="N/A",IF(AT503=0,"INVALID – N/A not permitted for this check",IF(AND(TRIM(AB503)&lt;&gt;"",TRIM(AB503)&lt;&gt;"Closed"),"INVALID – corrective action still open",IF(AND(NOT(OR(LEN(AZ503)&lt;15,ISNUMBER(MATCH(AZ503,L_Placeholder,0)))),BK503=0,CG503&gt;=8,NOT(OR(LEN(AU503)&lt;2,ISNUMBER(MATCH(AU503,L_Placeholder,0)))),BR503&gt;=3,NOT(OR(LEN(AX503)&lt;2,ISNUMBER(MATCH(AX503,L_Placeholder,0)))),BS503&gt;=3,TRIM(AE503)&lt;&gt;TRIM(T503),AX503&lt;&gt;AU503,CE503=0),"N/A – JUSTIFIED","INVALID – N/A needs a real, settled reason (not 'not applicable' / 'as above' / TBC), a named PIC and a different named verifier"))),IF(OR(TRIM(U503)="Pass",TRIM(U503)="Pass after CA"),IF(NOT(ISNUMBER(AD503)),"INVALID – completion time missing",IF(OR(OR(LEN(AU503)&lt;2,ISNUMBER(MATCH(AU503,L_Placeholder,0))),BR503&lt;3),"INVALID – PIC missing or not a named person (a role such as QA / CSM is not a name)",IF(OR(LEN(AV503)&lt;2,ISNUMBER(MATCH(AV503,L_Placeholder,0))),"INVALID – result / assessment missing",IF(OR(OR(LEN(AW503)&lt;3,ISNUMBER(MATCH(AW503,L_Placeholder,0))),SUMPRODUCT(--ISNUMBER(SEARCH(" "&amp;L_EvidencePhrase&amp;" ",BD503)))&gt;0,BI503=1),"INVALID – evidence missing, placeholder or not yet on file",IF(ISNA(MATCH(TRIM(S503),L_EvidenceType,0)),"INVALID – choose the evidence type from the list (column S)",IF(BL503=0,"INVALID – evidence ID must be the record's own ID only (e.g. SF-2210, IMG_2231, 1045521); a link / file name needs type 'Link / file path'",IF(OR(OR(LEN(AX503)&lt;2,ISNUMBER(MATCH(AX503,L_Placeholder,0))),BS503&lt;3),"INVALID – verifier missing or not a named person (a role such as QA / CSM is not a name)",IF(OR(AX503=AU503,CE503=1,AND(LEN(AU503)&gt;=4,ISNUMBER(SEARCH(AU503,AX503))),AND(LEN(AX503)&gt;=4,ISNUMBER(SEARCH(AX503,AU503)))),"INVALID – verifier must be a different, named person (not the PIC or a role)",IF(BH503=1,"INVALID – result not yet available (awaiting / TBC)",IF(BG503=1,"INVALID – result describes a problem: record Fail, then Pass after CA (or reword if it is not a problem)",IF(BV503=1,"INVALID – wording says not on board: an on-board confirmation needs the item loaded",IF(AND(AQ503=1,OR(OR(LEN(AY503)&lt;3,ISNUMBER(MATCH(AY503,L_Placeholder,0))),BJ503=1,BQ503=0)),"INVALID – batch ID missing, placeholder or not an ID (e.g. PASB-261008-BC-017)",IF(AND(AR503=1,OR(NOT(ISNUMBER(X503)),NOT(ISNUMBER(Y503)))),"INVALID – expected/actual qty missing",IF(AND(AR503=1,OR(X503&lt;=0,Y503&lt;0)),"INVALID – expected qty must be above 0 and actual not negative",IF(AH498="N/A – JUSTIFIED","INVALID – preparation row F15-T12-08 is N/A",IF(AND(AR503=1,ISNUMBER(X498),X503&lt;&gt;X498,TRIM(U503)&lt;&gt;"Pass after CA"),"INVALID – expected qty differs from preparation check F15-T12-08: record the load change as a corrective action (Pass after CA)",IF(BB503&lt;&gt;"",BB503,IF(AND(AS503=1,Documents!$J$19&lt;&gt;"ON FILE"),"INVALID – GLD not on file (Documents sheet)",IF(AND(AS503=2,Documents!$O$19&lt;&gt;"ON FILE"),"INVALID – menu checklist not on file (Documents sheet)",IF(AND(AS503=3,NOT(ISNUMBER(Flights!$AX$19))),"INVALID – enter carrying flight KUL departure (Flights AX)",IF(AND(AS503=3,OR(Flights!$AZ$19&gt;Flights!$AA$19,Flights!$AX$19&lt;Flights!$AA$19-3)),"INVALID – carrying flight (Flights AX) cannot arrive before this leg's STD, or is over 3 days early",IF(AG503&gt;AsOfUTC,"INVALID – completion time is in the future",IF(AND(ISNUMBER(BY503),AG503&lt;BY503),IF(H503="Physical uplift","INVALID – before uplift window (cannot confirm loading)","INVALID – before valid window"),IF(AG503&gt;Flights!$AA$19,"INVALID – completed after departure (cannot establish readiness)",IF(AND(H503="Preparation",AG503&gt;=IF(ISNUMBER(Flights!$BA$19),MIN(Flights!$BA$19,Flights!$AA$19),Flights!$AA$19)),"INVALID – completed after loading / departure (cannot establish readiness)",IF(AND(H503="Physical uplift",AG503&gt;Q503),"INVALID – recorded after the loading flight departed",IF(AG503&gt;Q503,"COMPLETE – LATE","COMPLETE"))))))))))))))))))))))))))),IF(TRIM(U503)="Fail","FAIL – DISCREPANCY",IF(AND(TRIM(U503)&lt;&gt;"",TRIM(U503)&lt;&gt;"Not started",TRIM(U503)&lt;&gt;"In progress"),"INVALID – unrecognised status (use the list)",IF(AsOfUTC&gt;Q503,"OVERDUE",IF(N503="Clarification required","OPEN – CLARIFICATION","OPEN"))))))),"INVALID – error value in an input cell")</f>
        <v>OPEN – CLARIFICATION</v>
      </c>
      <c r="AI503" s="61" t="n">
        <f aca="false">IF(OR(AH503="N/A – RULE",AH503="N/A – JUSTIFIED"),0,1)</f>
        <v>1</v>
      </c>
      <c r="AJ503" s="61" t="n">
        <f aca="false">IF(LEFT(AH503,8)="COMPLETE",1,0)</f>
        <v>0</v>
      </c>
      <c r="AK503" s="61" t="n">
        <f aca="false">IF(AND(AI503=1,AJ503=0,AsOfUTC&gt;Q503),1,0)</f>
        <v>0</v>
      </c>
      <c r="AL503" s="61" t="n">
        <f aca="false">IFERROR(IF(AND(AI503=1,OR(TRIM(U503)="Fail",AND(TRIM(AB503)&lt;&gt;"",TRIM(AB503)&lt;&gt;"Closed"),AND(ISNUMBER(AF503),AF503&lt;&gt;0,TRIM(U503)&lt;&gt;"Pass after CA"))),1,0),1)</f>
        <v>0</v>
      </c>
      <c r="AM503" s="61" t="n">
        <f aca="false">IF(LEFT(AH503,7)="INVALID",1,0)</f>
        <v>0</v>
      </c>
      <c r="AN503" s="61" t="n">
        <f aca="false">IF(AND(N503="Clarification required",AI503=1,AJ503=0),1,0)</f>
        <v>1</v>
      </c>
      <c r="AO503" s="61" t="str">
        <f aca="false">IF(AK503=1,SUM(AK$5:AK503),"")</f>
        <v/>
      </c>
      <c r="AP503" s="61" t="str">
        <f aca="false">IF(AL503=1,SUM(AL$5:AL503),"")</f>
        <v/>
      </c>
      <c r="AQ503" s="61" t="n">
        <v>0</v>
      </c>
      <c r="AR503" s="61" t="n">
        <v>0</v>
      </c>
      <c r="AS503" s="61" t="n">
        <v>0</v>
      </c>
      <c r="AT503" s="61" t="n">
        <v>1</v>
      </c>
      <c r="AU503" s="61" t="str">
        <f aca="false">SUBSTITUTE(SUBSTITUTE(SUBSTITUTE(SUBSTITUTE(SUBSTITUTE(SUBSTITUTE(SUBSTITUTE(SUBSTITUTE(SUBSTITUTE(SUBSTITUTE(SUBSTITUTE(SUBSTITUTE(SUBSTITUTE(SUBSTITUTE(SUBSTITUTE(SUBSTITUTE(LOWER(T503&amp;""),CHAR(10),""),CHAR(13),""),CHAR(9),""),CHAR(160),"")," ",""),".",""),"-",""),"/",""),"?",""),"_",""),",",""),"[",""),"]",""),"(",""),")",""),"*","")</f>
        <v/>
      </c>
      <c r="AV503" s="61" t="str">
        <f aca="false">SUBSTITUTE(SUBSTITUTE(SUBSTITUTE(SUBSTITUTE(SUBSTITUTE(SUBSTITUTE(SUBSTITUTE(SUBSTITUTE(SUBSTITUTE(SUBSTITUTE(SUBSTITUTE(SUBSTITUTE(SUBSTITUTE(SUBSTITUTE(SUBSTITUTE(SUBSTITUTE(LOWER(V503&amp;""),CHAR(10),""),CHAR(13),""),CHAR(9),""),CHAR(160),"")," ",""),".",""),"-",""),"/",""),"?",""),"_",""),",",""),"[",""),"]",""),"(",""),")",""),"*","")</f>
        <v/>
      </c>
      <c r="AW503" s="61" t="str">
        <f aca="false">SUBSTITUTE(SUBSTITUTE(SUBSTITUTE(SUBSTITUTE(SUBSTITUTE(SUBSTITUTE(SUBSTITUTE(SUBSTITUTE(SUBSTITUTE(SUBSTITUTE(SUBSTITUTE(SUBSTITUTE(SUBSTITUTE(SUBSTITUTE(SUBSTITUTE(SUBSTITUTE(LOWER(Z503&amp;""),CHAR(10),""),CHAR(13),""),CHAR(9),""),CHAR(160),"")," ",""),".",""),"-",""),"/",""),"?",""),"_",""),",",""),"[",""),"]",""),"(",""),")",""),"*","")</f>
        <v/>
      </c>
      <c r="AX503" s="61" t="str">
        <f aca="false">SUBSTITUTE(SUBSTITUTE(SUBSTITUTE(SUBSTITUTE(SUBSTITUTE(SUBSTITUTE(SUBSTITUTE(SUBSTITUTE(SUBSTITUTE(SUBSTITUTE(SUBSTITUTE(SUBSTITUTE(SUBSTITUTE(SUBSTITUTE(SUBSTITUTE(SUBSTITUTE(LOWER(AE503&amp;""),CHAR(10),""),CHAR(13),""),CHAR(9),""),CHAR(160),"")," ",""),".",""),"-",""),"/",""),"?",""),"_",""),",",""),"[",""),"]",""),"(",""),")",""),"*","")</f>
        <v/>
      </c>
      <c r="AY503" s="61" t="str">
        <f aca="false">SUBSTITUTE(SUBSTITUTE(SUBSTITUTE(SUBSTITUTE(SUBSTITUTE(SUBSTITUTE(SUBSTITUTE(SUBSTITUTE(SUBSTITUTE(SUBSTITUTE(SUBSTITUTE(SUBSTITUTE(SUBSTITUTE(SUBSTITUTE(SUBSTITUTE(SUBSTITUTE(LOWER(W503&amp;""),CHAR(10),""),CHAR(13),""),CHAR(9),""),CHAR(160),"")," ",""),".",""),"-",""),"/",""),"?",""),"_",""),",",""),"[",""),"]",""),"(",""),")",""),"*","")</f>
        <v/>
      </c>
      <c r="AZ503" s="61" t="str">
        <f aca="false">SUBSTITUTE(SUBSTITUTE(SUBSTITUTE(SUBSTITUTE(SUBSTITUTE(SUBSTITUTE(SUBSTITUTE(SUBSTITUTE(SUBSTITUTE(SUBSTITUTE(SUBSTITUTE(SUBSTITUTE(SUBSTITUTE(SUBSTITUTE(SUBSTITUTE(SUBSTITUTE(LOWER(AC503&amp;""),CHAR(10),""),CHAR(13),""),CHAR(9),""),CHAR(160),"")," ",""),".",""),"-",""),"/",""),"?",""),"_",""),",",""),"[",""),"]",""),"(",""),")",""),"*","")</f>
        <v/>
      </c>
      <c r="BA503" s="61" t="str">
        <f aca="false">SUBSTITUTE(SUBSTITUTE(SUBSTITUTE(SUBSTITUTE(SUBSTITUTE(SUBSTITUTE(SUBSTITUTE(SUBSTITUTE(SUBSTITUTE(SUBSTITUTE(SUBSTITUTE(SUBSTITUTE(SUBSTITUTE(SUBSTITUTE(SUBSTITUTE(SUBSTITUTE(LOWER(AA503&amp;""),CHAR(10),""),CHAR(13),""),CHAR(9),""),CHAR(160),"")," ",""),".",""),"-",""),"/",""),"?",""),"_",""),",",""),"[",""),"]",""),"(",""),")",""),"*","")</f>
        <v/>
      </c>
      <c r="BB503" s="61" t="str">
        <f aca="false">IF(AND(TRIM(U503)="Pass",ISNUMBER(AF503)),IF(AF503&lt;&gt;0,"INVALID – qty variance: use Fail or Pass after CA",""),"")&amp;IF(AND(TRIM(U503)="Pass after CA",ISNUMBER(AF503)),IF(AF503&lt;&gt;0,"INVALID – after the corrective action the actual qty must equal expected (update Actual)",""),"")&amp;IF(AND(TRIM(U503)="Pass",TRIM(AB503)&lt;&gt;"",TRIM(AB503)&lt;&gt;"Closed"),"INVALID – corrective action not closed: use Fail, then Pass after CA","")&amp;IF(AND(LEN(BA503)&gt;=2,ISNA(MATCH(LEFT(BA503,255),L_Placeholder,0)),TRIM(AB503)=""),"INVALID – CA status missing for the recorded corrective action","")&amp;IF(AND(TRIM(U503)="Pass after CA",OR(OR(LEN(BA503)&lt;5,ISNUMBER(MATCH(BA503,L_Placeholder,0))),TRIM(AB503)&lt;&gt;"Closed")),"INVALID – corrective action not recorded/closed","")</f>
        <v/>
      </c>
      <c r="BC503" s="61" t="str">
        <f aca="false">" "&amp;TRIM(SUBSTITUTE(SUBSTITUTE(SUBSTITUTE(SUBSTITUTE(SUBSTITUTE(SUBSTITUTE(SUBSTITUTE(SUBSTITUTE(SUBSTITUTE(SUBSTITUTE(SUBSTITUTE(SUBSTITUTE(SUBSTITUTE(SUBSTITUTE(SUBSTITUTE(SUBSTITUTE(SUBSTITUTE(SUBSTITUTE(SUBSTITUTE(SUBSTITUTE(SUBSTITUTE(SUBSTITUTE(SUBSTITUTE(SUBSTITUTE(LOWER(V503&amp;""),CHAR(10)," "),CHAR(13)," "),CHAR(9)," "),CHAR(160)," "),"."," "),","," "),"-"," "),"/"," "),"("," "),")"," "),":"," "),";"," "),"_"," "),"–"," "),"?"," "),"!"," "),"*"," "),"["," "),"]"," "),"'"," "),"#"," "),"+"," "),"&amp;"," "),"\"," "))&amp;" "</f>
        <v>  </v>
      </c>
      <c r="BD503" s="61" t="str">
        <f aca="false">" "&amp;TRIM(SUBSTITUTE(SUBSTITUTE(SUBSTITUTE(SUBSTITUTE(SUBSTITUTE(SUBSTITUTE(SUBSTITUTE(SUBSTITUTE(SUBSTITUTE(SUBSTITUTE(SUBSTITUTE(SUBSTITUTE(SUBSTITUTE(SUBSTITUTE(SUBSTITUTE(SUBSTITUTE(SUBSTITUTE(SUBSTITUTE(SUBSTITUTE(SUBSTITUTE(SUBSTITUTE(SUBSTITUTE(SUBSTITUTE(SUBSTITUTE(LOWER(Z503&amp;""),CHAR(10)," "),CHAR(13)," "),CHAR(9)," "),CHAR(160)," "),"."," "),","," "),"-"," "),"/"," "),"("," "),")"," "),":"," "),";"," "),"_"," "),"–"," "),"?"," "),"!"," "),"*"," "),"["," "),"]"," "),"'"," "),"#"," "),"+"," "),"&amp;"," "),"\"," "))&amp;" "</f>
        <v>  </v>
      </c>
      <c r="BE503" s="61" t="str">
        <f aca="false">" "&amp;TRIM(SUBSTITUTE(SUBSTITUTE(SUBSTITUTE(SUBSTITUTE(SUBSTITUTE(SUBSTITUTE(SUBSTITUTE(SUBSTITUTE(SUBSTITUTE(SUBSTITUTE(SUBSTITUTE(SUBSTITUTE(SUBSTITUTE(SUBSTITUTE(SUBSTITUTE(SUBSTITUTE(SUBSTITUTE(SUBSTITUTE(SUBSTITUTE(SUBSTITUTE(SUBSTITUTE(SUBSTITUTE(SUBSTITUTE(SUBSTITUTE(LOWER(W503&amp;""),CHAR(10)," "),CHAR(13)," "),CHAR(9)," "),CHAR(160)," "),"."," "),","," "),"-"," "),"/"," "),"("," "),")"," "),":"," "),";"," "),"_"," "),"–"," "),"?"," "),"!"," "),"*"," "),"["," "),"]"," "),"'"," "),"#"," "),"+"," "),"&amp;"," "),"\"," "))&amp;" "</f>
        <v>  </v>
      </c>
      <c r="BF503" s="61" t="str">
        <f aca="false">" "&amp;TRIM(SUBSTITUTE(SUBSTITUTE(SUBSTITUTE(SUBSTITUTE(SUBSTITUTE(SUBSTITUTE(SUBSTITUTE(SUBSTITUTE(SUBSTITUTE(SUBSTITUTE(SUBSTITUTE(SUBSTITUTE(SUBSTITUTE(SUBSTITUTE(SUBSTITUTE(SUBSTITUTE(SUBSTITUTE(SUBSTITUTE(SUBSTITUTE(SUBSTITUTE(SUBSTITUTE(SUBSTITUTE(SUBSTITUTE(SUBSTITUTE(LOWER(AC503&amp;""),CHAR(10)," "),CHAR(13)," "),CHAR(9)," "),CHAR(160)," "),"."," "),","," "),"-"," "),"/"," "),"("," "),")"," "),":"," "),";"," "),"_"," "),"–"," "),"?"," "),"!"," "),"*"," "),"["," "),"]"," "),"'"," "),"#"," "),"+"," "),"&amp;"," "),"\"," "))&amp;" "</f>
        <v>  </v>
      </c>
      <c r="BG503" s="61" t="n">
        <f aca="false">IFERROR(IF(AND(TRIM(U503)="Pass",SUMPRODUCT((LEN(BC503)-LEN(SUBSTITUTE(BC503," "&amp;L_ResultBad&amp;" "," ")))/(LEN(L_ResultBad)+1))&gt;SUMPRODUCT((LEN(BC503)-LEN(SUBSTITUTE(BC503," "&amp;L_NegPhrase&amp;" "," ")))/(LEN(L_NegPhrase)+1))),1,0),0)</f>
        <v>0</v>
      </c>
      <c r="BH503" s="61" t="n">
        <f aca="false">IFERROR(IF(SUMPRODUCT((LEN(BC503)-LEN(SUBSTITUTE(BC503," "&amp;L_Pending&amp;" "," ")))/(LEN(L_Pending)+1))&gt;SUMPRODUCT((LEN(BC503)-LEN(SUBSTITUTE(BC503," "&amp;L_PendNeg&amp;" "," ")))/(LEN(L_PendNeg)+1)),1,0),1)</f>
        <v>0</v>
      </c>
      <c r="BI503" s="61" t="n">
        <f aca="false">IFERROR(IF(SUMPRODUCT((LEN(BD503)-LEN(SUBSTITUTE(BD503," "&amp;L_PendStrict&amp;" "," ")))/(LEN(L_PendStrict)+1))&gt;SUMPRODUCT((LEN(BD503)-LEN(SUBSTITUTE(BD503," "&amp;L_PendNeg&amp;" "," ")))/(LEN(L_PendNeg)+1)),1,0),1)</f>
        <v>0</v>
      </c>
      <c r="BJ503" s="61" t="n">
        <f aca="false">IFERROR(IF(SUMPRODUCT((LEN(BE503)-LEN(SUBSTITUTE(BE503," "&amp;L_Pending&amp;" "," ")))/(LEN(L_Pending)+1))&gt;SUMPRODUCT((LEN(BE503)-LEN(SUBSTITUTE(BE503," "&amp;L_PendNeg&amp;" "," ")))/(LEN(L_PendNeg)+1)),1,0),1)</f>
        <v>0</v>
      </c>
      <c r="BK503" s="61" t="n">
        <f aca="false">IFERROR(IF(SUMPRODUCT((LEN(BF503)-LEN(SUBSTITUTE(BF503," "&amp;L_PendStrict&amp;" "," ")))/(LEN(L_PendStrict)+1))&gt;SUMPRODUCT((LEN(BF503)-LEN(SUBSTITUTE(BF503," "&amp;L_PendNeg&amp;" "," ")))/(LEN(L_PendNeg)+1)),1,0),1)</f>
        <v>0</v>
      </c>
      <c r="BL503" s="61" t="n">
        <f aca="false">IF(ISNA(MATCH(TRIM(S503),L_EvidenceType,0)),0,BZ503)</f>
        <v>0</v>
      </c>
      <c r="BM503" s="61" t="str">
        <f aca="false">SUBSTITUTE(SUBSTITUTE(SUBSTITUTE(SUBSTITUTE(SUBSTITUTE(SUBSTITUTE(SUBSTITUTE(SUBSTITUTE(SUBSTITUTE(LOWER(Z503&amp;""),"1","0"),"2","0"),"3","0"),"4","0"),"5","0"),"6","0"),"7","0"),"8","0"),"9","0")</f>
        <v/>
      </c>
      <c r="BN503" s="61" t="str">
        <f aca="false">SUBSTITUTE(SUBSTITUTE(SUBSTITUTE(SUBSTITUTE(SUBSTITUTE(SUBSTITUTE(SUBSTITUTE(SUBSTITUTE(SUBSTITUTE(SUBSTITUTE(SUBSTITUTE(SUBSTITUTE(SUBSTITUTE(SUBSTITUTE(SUBSTITUTE(SUBSTITUTE(SUBSTITUTE(SUBSTITUTE(SUBSTITUTE(SUBSTITUTE(SUBSTITUTE(SUBSTITUTE(SUBSTITUTE(SUBSTITUTE(SUBSTITUTE(BM503,"b","a"),"c","a"),"d","a"),"e","a"),"f","a"),"g","a"),"h","a"),"i","a"),"j","a"),"k","a"),"l","a"),"m","a"),"n","a"),"o","a"),"p","a"),"q","a"),"r","a"),"s","a"),"t","a"),"u","a"),"v","a"),"w","a"),"x","a"),"y","a"),"z","a")</f>
        <v/>
      </c>
      <c r="BO503" s="61" t="str">
        <f aca="false">SUBSTITUTE(SUBSTITUTE(SUBSTITUTE(SUBSTITUTE(SUBSTITUTE(SUBSTITUTE(SUBSTITUTE(SUBSTITUTE(SUBSTITUTE(LOWER(W503&amp;""),"1","0"),"2","0"),"3","0"),"4","0"),"5","0"),"6","0"),"7","0"),"8","0"),"9","0")</f>
        <v/>
      </c>
      <c r="BP503" s="61" t="str">
        <f aca="false">SUBSTITUTE(SUBSTITUTE(SUBSTITUTE(SUBSTITUTE(SUBSTITUTE(SUBSTITUTE(SUBSTITUTE(SUBSTITUTE(SUBSTITUTE(SUBSTITUTE(SUBSTITUTE(SUBSTITUTE(SUBSTITUTE(SUBSTITUTE(SUBSTITUTE(SUBSTITUTE(SUBSTITUTE(SUBSTITUTE(SUBSTITUTE(SUBSTITUTE(SUBSTITUTE(SUBSTITUTE(SUBSTITUTE(SUBSTITUTE(SUBSTITUTE(BO503,"b","a"),"c","a"),"d","a"),"e","a"),"f","a"),"g","a"),"h","a"),"i","a"),"j","a"),"k","a"),"l","a"),"m","a"),"n","a"),"o","a"),"p","a"),"q","a"),"r","a"),"s","a"),"t","a"),"u","a"),"v","a"),"w","a"),"x","a"),"y","a"),"z","a")</f>
        <v/>
      </c>
      <c r="BQ503" s="61" t="n">
        <f aca="false">IFERROR(IF(AND(ISERROR(SEARCH(" mh"," "&amp;LOWER(W503))),ISNA(MATCH(LEFT(TRIM(BP503),255),{"0000a","000a","00a","0000aa","000aa","00aa","0aa","0000aaa","000aaa","00a00","0a00","0000-0000","00:00","a00","a0","00.00.0000","00/00/0000","00-00-0000","0000-00-00","0000/00/00","0000.00.00","00.00.00","00/00/00","00-00-00","0.00.0000","0/00/0000","0-00-0000"},0)),ISNA(MATCH(LEFT(TRIM(CA503),255),{"0000a","000a","00a","0000aa","000aa","00aa","0aa","0000aaa","000aaa","00a00","0a00","0000-0000","00:00","a00","a0","00.00.0000","00/00/0000","00-00-0000","0000-00-00","0000/00/00","0000.00.00","00.00.00","00/00/00","00-00-00","0.00.0000","0/00/0000","0-00-0000"},0)),LEN(CB503)&gt;=3,NOT(OR(SUBSTITUTE(CB503,"0","")="",AND(LEN(CB503)&gt;=4,CB503=REPT(LEFT(CB503),LEN(CB503))),ISNUMBER(MATCH(CB503,{"123","1234","12345","123456","1234567","12345678","0123","01234","012345","98765","987654","54321"},0)),AND(LEN(CB503)=8,LEFT(CB503,3)="202"))),OR(AND((LEN(CA503)-LEN(SUBSTITUTE(CA503,"a","")))&gt;=1,SUMPRODUCT(--ISNUMBER(SEARCH({"a0","a-0","a_0","a/0","a.0","a#0","0a","0-a","0_a","0/a"},BP503)))&gt;0),ISNUMBER(SEARCH("000000",BP503)))),1,0),0)</f>
        <v>0</v>
      </c>
      <c r="BR503" s="61" t="n">
        <f aca="false">IFERROR(LEN(SUBSTITUTE(CC503," ",""))-SUMPRODUCT((LEN(CC503)-LEN(SUBSTITUTE(CC503," "&amp;L_Role&amp;" "," ")))/(LEN(L_Role)+1)*LEN(L_Role)),0)</f>
        <v>0</v>
      </c>
      <c r="BS503" s="61" t="n">
        <f aca="false">IFERROR(LEN(SUBSTITUTE(CD503," ",""))-SUMPRODUCT((LEN(CD503)-LEN(SUBSTITUTE(CD503," "&amp;L_Role&amp;" "," ")))/(LEN(L_Role)+1)*LEN(L_Role)),0)</f>
        <v>0</v>
      </c>
      <c r="BT5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503,"revision",""),"version",""),"jan",""),"feb",""),"mar",""),"apr",""),"may",""),"jun",""),"jul",""),"aug",""),"sep",""),"oct",""),"nov",""),"dec",""),"utc",""),"gmt",""),"myt",""),"bst",""),"rev",""),"ver",""),"b","a"),"c","a"),"d","a"),"e","a"),"f","a"),"g","a"),"h","a"),"i","a"),"j","a"),"k","a"),"l","a"),"m","a"),"n","a"),"o","a"),"p","a"),"q","a"),"r","a"),"s","a"),"t","a"),"u","a"),"v","a"),"w","a"),"x","a"),"y","a"),"z","a")</f>
        <v/>
      </c>
      <c r="BU503" s="61" t="str">
        <f aca="false">SUBSTITUTE(SUBSTITUTE(SUBSTITUTE(SUBSTITUTE(SUBSTITUTE(SUBSTITUTE(SUBSTITUTE(SUBSTITUTE(SUBSTITUTE(SUBSTITUTE(LEFT(BM503,FIND("0",BM503&amp;"0")-1),"-",""),"_",""),"/",""),".",""),"#",""),"\\",""),":","")," ",""),"(",""),")","")</f>
        <v/>
      </c>
      <c r="BV503" s="61" t="n">
        <f aca="false">IFERROR(IF(OR(SUMPRODUCT((LEN(BC503)-LEN(SUBSTITUTE(BC503," "&amp;L_NotLoaded&amp;" "," ")))/(LEN(L_NotLoaded)+1))&gt;SUMPRODUCT((LEN(BC503)-LEN(SUBSTITUTE(BC503," "&amp;L_NotLoadedNeg&amp;" "," ")))/(LEN(L_NotLoadedNeg)+1)),SUMPRODUCT((LEN(BD503)-LEN(SUBSTITUTE(BD503," "&amp;L_NotLoaded&amp;" "," ")))/(LEN(L_NotLoaded)+1))&gt;SUMPRODUCT((LEN(BD503)-LEN(SUBSTITUTE(BD503," "&amp;L_NotLoadedNeg&amp;" "," ")))/(LEN(L_NotLoadedNeg)+1))),1,0),0)</f>
        <v>0</v>
      </c>
      <c r="BW5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503&amp;""),"a",""),"b",""),"c",""),"d",""),"e",""),"f",""),"g",""),"h",""),"i",""),"j",""),"k",""),"l",""),"m",""),"n",""),"o",""),"p",""),"q",""),"r",""),"s",""),"t",""),"u",""),"v",""),"w",""),"x",""),"y",""),"z",""),"-",""),"_",""),"/",""),".",""),"#",""),"\\",""),":","")," ",""),"(",""),")","")</f>
        <v/>
      </c>
      <c r="BX503" s="61" t="str">
        <f aca="false">SUBSTITUTE(SUBSTITUTE(SUBSTITUTE(SUBSTITUTE(SUBSTITUTE(SUBSTITUTE(SUBSTITUTE(SUBSTITUTE(SUBSTITUTE(SUBSTITUTE(SUBSTITUTE(BM503,"0",""),"-",""),"_",""),"/",""),".",""),"#",""),"\\",""),":","")," ",""),"(",""),")","")</f>
        <v/>
      </c>
      <c r="BY503" s="62" t="n">
        <f aca="false">IF(ISNUMBER(Flights!$AZ$19),MAX(Q503-UpliftWindowH/24,Flights!$AZ$19),Q503-UpliftWindowH/24)</f>
        <v>46320.2083333333</v>
      </c>
      <c r="BZ503" s="61" t="n">
        <f aca="false">IFERROR(IF(IF(TRIM(S503)="Link / file path",AND(LEN(TRIM(Z503))&gt;=5,SUMPRODUCT(--ISNUMBER(SEARCH({"http","www.","\\",":\",".pdf",".jpg",".jpeg",".png",".heic",".xls",".doc",".msg",".eml",".ppt",".txt",".zip"},Z503)))&gt;0),AND(ISERROR(FIND(" ",TRIM(Z503))),NOT(OR(SUMPRODUCT(--ISNUMBER(FIND({",",";","&amp;","+"},Z503)))&gt;0,SUMPRODUCT(--ISNUMBER(SEARCH({"0/aa","0\\aa"},BN503)))&gt;0)),NOT(SUMPRODUCT(--ISNUMBER(SEARCH({"http","www.","\\",":\",".pdf",".jpg",".jpeg",".png",".heic",".xls",".doc",".msg",".eml",".ppt",".txt",".zip"},Z503)))&gt;0),NOT(LOWER(TRIM(Z503))=LOWER(Flights!$F$19)),ISNA(MATCH(BU503,{"mh","rev","revision","ver","version","v","r","a","b","seat","tray","row","gate","bay","stand","page","pg","item","line","no","cart","galley","flight","flt","table","box","bag","oven","etd","eta","std","sta","atd","ata","qty","pax","x","time","tel","ph","mob","day","wk","week","utc","gmt","myt","lt"},0)),NOT(OR(ISNUMBER(MATCH(LEFT(BN503,255),{"0000a","000a","00a","0000aa","000aa","00aa","0aa","0000aaa","000aaa","00a00","0a00","0000-0000","00:00","a00","a0","00.00.0000","00/00/0000","00-00-0000","0000-00-00","0000/00/00","0000.00.00","00.00.00","00/00/00","00-00-00","0.00.0000","0/00/0000","0-00-0000"},0)),ISNUMBER(MATCH(LEFT(BT503,255),{"0000a","000a","00a","0000aa","000aa","00aa","0aa","0000aaa","000aaa","00a00","0a00","0000-0000","00:00","a00","a0","00.00.0000","00/00/0000","00-00-0000","0000-00-00","0000/00/00","0000.00.00","00.00.00","00/00/00","00-00-00","0.00.0000","0/00/0000","0-00-0000"},0)))),NOT(OR(AND(BW503&lt;&gt;"",SUBSTITUTE(BW503,"0","")=""),AND(LEN(BW503)&gt;=4,BW503=REPT(LEFT(BW503),LEN(BW503))),ISNUMBER(MATCH(BW503,{"123","1234","12345","123456","1234567","12345678","0123","01234","012345","98765","987654","54321"},0)),ISNUMBER(MATCH(BX503,{"x","xx","xxx","xxxx","xxxxx","abc","abcd","nil","na","nan","test","tbc","tba","tbd","dummy","sample","example","eg","zz","zzz","none","null","xyz","qwe","asd","id","ref"},0)),AND(LEN(BW503)=8,BX503="",OR(LEFT(BW503,3)="202",ISNUMBER(MATCH(RIGHT(BW503,4),{"2025","2026","2027"},0)))))),OR(AND((LEN(BT503)-LEN(SUBSTITUTE(BT503,"a","")))&gt;=1,(LEN(BN503)-LEN(SUBSTITUTE(BN503,"0","")))&gt;=2,SUMPRODUCT(--ISNUMBER(SEARCH({"a0","a-0","a_0","a/0","a.0","a#0","0a","0-a","0_a","0/a"},BN503)))&gt;0),AND((LEN(BN503)-LEN(SUBSTITUTE(BN503,"a","")))=0,(LEN(BN503)-LEN(SUBSTITUTE(BN503,"0","")))&gt;=5)))),1,0),0)</f>
        <v>0</v>
      </c>
      <c r="CA5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503,"revision",""),"version",""),"jan",""),"feb",""),"mar",""),"apr",""),"may",""),"jun",""),"jul",""),"aug",""),"sep",""),"oct",""),"nov",""),"dec",""),"utc",""),"gmt",""),"myt",""),"bst",""),"rev",""),"ver",""),"b","a"),"c","a"),"d","a"),"e","a"),"f","a"),"g","a"),"h","a"),"i","a"),"j","a"),"k","a"),"l","a"),"m","a"),"n","a"),"o","a"),"p","a"),"q","a"),"r","a"),"s","a"),"t","a"),"u","a"),"v","a"),"w","a"),"x","a"),"y","a"),"z","a")</f>
        <v/>
      </c>
      <c r="CB5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503&amp;""),"a",""),"b",""),"c",""),"d",""),"e",""),"f",""),"g",""),"h",""),"i",""),"j",""),"k",""),"l",""),"m",""),"n",""),"o",""),"p",""),"q",""),"r",""),"s",""),"t",""),"u",""),"v",""),"w",""),"x",""),"y",""),"z",""),"-",""),"_",""),"/",""),".",""),"#",""),"\\",""),":","")," ",""),"(",""),")","")</f>
        <v/>
      </c>
      <c r="CC503" s="0" t="str">
        <f aca="false">" "&amp;TRIM(SUBSTITUTE(SUBSTITUTE(SUBSTITUTE(SUBSTITUTE(SUBSTITUTE(SUBSTITUTE(SUBSTITUTE(SUBSTITUTE(SUBSTITUTE(SUBSTITUTE(SUBSTITUTE(SUBSTITUTE(SUBSTITUTE(SUBSTITUTE(SUBSTITUTE(SUBSTITUTE(SUBSTITUTE(SUBSTITUTE(SUBSTITUTE(SUBSTITUTE(SUBSTITUTE(SUBSTITUTE(SUBSTITUTE(SUBSTITUTE(LOWER(T503&amp;""),CHAR(10)," "),CHAR(13)," "),CHAR(9)," "),CHAR(160)," "),"."," "),","," "),"-"," "),"/"," "),"("," "),")"," "),":"," "),";"," "),"_"," "),"–"," "),"?"," "),"!"," "),"*"," "),"["," "),"]"," "),"'"," "),"#"," "),"+"," "),"&amp;"," "),"\"," "))&amp;" "</f>
        <v>  </v>
      </c>
      <c r="CD503" s="0" t="str">
        <f aca="false">" "&amp;TRIM(SUBSTITUTE(SUBSTITUTE(SUBSTITUTE(SUBSTITUTE(SUBSTITUTE(SUBSTITUTE(SUBSTITUTE(SUBSTITUTE(SUBSTITUTE(SUBSTITUTE(SUBSTITUTE(SUBSTITUTE(SUBSTITUTE(SUBSTITUTE(SUBSTITUTE(SUBSTITUTE(SUBSTITUTE(SUBSTITUTE(SUBSTITUTE(SUBSTITUTE(SUBSTITUTE(SUBSTITUTE(SUBSTITUTE(SUBSTITUTE(LOWER(AE503&amp;""),CHAR(10)," "),CHAR(13)," "),CHAR(9)," "),CHAR(160)," "),"."," "),","," "),"-"," "),"/"," "),"("," "),")"," "),":"," "),";"," "),"_"," "),"–"," "),"?"," "),"!"," "),"*"," "),"["," "),"]"," "),"'"," "),"#"," "),"+"," "),"&amp;"," "),"\"," "))&amp;" "</f>
        <v>  </v>
      </c>
      <c r="CE503" s="68" t="n">
        <f aca="false">IFERROR(IF(AND(LEN(AU503)&gt;0,LEN(AU503)=LEN(AX503),OR(TRIM(MID(SUBSTITUTE(TRIM(CC503)," ",REPT(" ",60)),1,60))="",ISNUMBER(SEARCH(" "&amp;TRIM(MID(SUBSTITUTE(TRIM(CC503)," ",REPT(" ",60)),1,60))&amp;" ",CD503))),OR(TRIM(MID(SUBSTITUTE(TRIM(CC503)," ",REPT(" ",60)),61,60))="",ISNUMBER(SEARCH(" "&amp;TRIM(MID(SUBSTITUTE(TRIM(CC503)," ",REPT(" ",60)),61,60))&amp;" ",CD503))),OR(TRIM(MID(SUBSTITUTE(TRIM(CC503)," ",REPT(" ",60)),121,60))="",ISNUMBER(SEARCH(" "&amp;TRIM(MID(SUBSTITUTE(TRIM(CC503)," ",REPT(" ",60)),121,60))&amp;" ",CD503)))),1,0),0)</f>
        <v>0</v>
      </c>
      <c r="CG503" s="68" t="n">
        <f aca="false">IFERROR(LEN(SUBSTITUTE(BF503," ",""))-SUMPRODUCT((LEN(BF503)-LEN(SUBSTITUTE(BF503," "&amp;L_NAFiller&amp;" "," ")))/(LEN(L_NAFiller)+1)*LEN(L_NAFiller)),0)</f>
        <v>0</v>
      </c>
    </row>
    <row r="504" customFormat="false" ht="39.75" hidden="false" customHeight="true" outlineLevel="0" collapsed="false">
      <c r="A504" s="57" t="s">
        <v>1158</v>
      </c>
      <c r="B504" s="57" t="s">
        <v>278</v>
      </c>
      <c r="C504" s="57" t="str">
        <f aca="false">Flights!$F$19</f>
        <v>MH0003</v>
      </c>
      <c r="D504" s="58" t="n">
        <f aca="false">Flights!$D$19</f>
        <v>46320</v>
      </c>
      <c r="E504" s="57" t="str">
        <f aca="false">Flights!$G$19&amp;"-"&amp;Flights!$H$19</f>
        <v>LHR-KUL</v>
      </c>
      <c r="F504" s="57" t="str">
        <f aca="false">Flights!$K$19</f>
        <v>EY</v>
      </c>
      <c r="G504" s="57" t="s">
        <v>459</v>
      </c>
      <c r="H504" s="57" t="s">
        <v>460</v>
      </c>
      <c r="I504" s="57" t="s">
        <v>447</v>
      </c>
      <c r="J504" s="57" t="s">
        <v>469</v>
      </c>
      <c r="K504" s="67" t="s">
        <v>449</v>
      </c>
      <c r="L504" s="67" t="s">
        <v>450</v>
      </c>
      <c r="M504" s="67" t="s">
        <v>451</v>
      </c>
      <c r="N504" s="67" t="s">
        <v>383</v>
      </c>
      <c r="O504" s="67"/>
      <c r="P504" s="57" t="s">
        <v>186</v>
      </c>
      <c r="Q504" s="59" t="n">
        <f aca="false">ROUND((Flights!$AF$19)*1440,0)/1440</f>
        <v>46320.4583333333</v>
      </c>
      <c r="R504" s="59" t="n">
        <f aca="false">Q504+(IF(AND(INDEX(TZ_DSTS,MATCH(P504,TZ_STN,0))&lt;&gt;"",Q504&gt;=INDEX(TZ_DSTS,MATCH(P504,TZ_STN,0)),Q504&lt;INDEX(TZ_DSTE,MATCH(P504,TZ_STN,0))),INDEX(TZ_DST,MATCH(P504,TZ_STN,0)),INDEX(TZ_STD,MATCH(P504,TZ_STN,0))))/24</f>
        <v>46320.4583333333</v>
      </c>
      <c r="S504" s="60"/>
      <c r="T504" s="60"/>
      <c r="U504" s="60"/>
      <c r="V504" s="60"/>
      <c r="W504" s="61"/>
      <c r="X504" s="60"/>
      <c r="Y504" s="60"/>
      <c r="Z504" s="60"/>
      <c r="AA504" s="60"/>
      <c r="AB504" s="60"/>
      <c r="AC504" s="60"/>
      <c r="AD504" s="66"/>
      <c r="AE504" s="60"/>
      <c r="AF504" s="61" t="str">
        <f aca="false">IF(AND(ISNUMBER(X504),ISNUMBER(Y504)),Y504-X504,"")</f>
        <v/>
      </c>
      <c r="AG504" s="62" t="str">
        <f aca="false">IF(ISNUMBER(AD504),AD504-(IF(AND(INDEX(TZ_DSTS,MATCH(P504,TZ_STN,0))&lt;&gt;"",(AD504-INDEX(TZ_STD,MATCH(P504,TZ_STN,0))/24)&gt;=INDEX(TZ_DSTS,MATCH(P504,TZ_STN,0)),(AD504-INDEX(TZ_STD,MATCH(P504,TZ_STN,0))/24)&lt;INDEX(TZ_DSTE,MATCH(P504,TZ_STN,0))),INDEX(TZ_DST,MATCH(P504,TZ_STN,0)),INDEX(TZ_STD,MATCH(P504,TZ_STN,0))))/24,"")</f>
        <v/>
      </c>
      <c r="AH504" s="65" t="str">
        <f aca="false">IFERROR(IF(N504="N/A – rule",IF(OR(TRIM(U504)="",TRIM(U504)="N/A",TRIM(U504)="Not started"),"N/A – RULE","INVALID – this check does not apply to this aircraft: clear the status (or correct the fleet on Flights)"),IF(TRIM(U504)="N/A",IF(AT504=0,"INVALID – N/A not permitted for this check",IF(AND(TRIM(AB504)&lt;&gt;"",TRIM(AB504)&lt;&gt;"Closed"),"INVALID – corrective action still open",IF(AND(NOT(OR(LEN(AZ504)&lt;15,ISNUMBER(MATCH(AZ504,L_Placeholder,0)))),BK504=0,CG504&gt;=8,NOT(OR(LEN(AU504)&lt;2,ISNUMBER(MATCH(AU504,L_Placeholder,0)))),BR504&gt;=3,NOT(OR(LEN(AX504)&lt;2,ISNUMBER(MATCH(AX504,L_Placeholder,0)))),BS504&gt;=3,TRIM(AE504)&lt;&gt;TRIM(T504),AX504&lt;&gt;AU504,CE504=0),"N/A – JUSTIFIED","INVALID – N/A needs a real, settled reason (not 'not applicable' / 'as above' / TBC), a named PIC and a different named verifier"))),IF(OR(TRIM(U504)="Pass",TRIM(U504)="Pass after CA"),IF(NOT(ISNUMBER(AD504)),"INVALID – completion time missing",IF(OR(OR(LEN(AU504)&lt;2,ISNUMBER(MATCH(AU504,L_Placeholder,0))),BR504&lt;3),"INVALID – PIC missing or not a named person (a role such as QA / CSM is not a name)",IF(OR(LEN(AV504)&lt;2,ISNUMBER(MATCH(AV504,L_Placeholder,0))),"INVALID – result / assessment missing",IF(OR(OR(LEN(AW504)&lt;3,ISNUMBER(MATCH(AW504,L_Placeholder,0))),SUMPRODUCT(--ISNUMBER(SEARCH(" "&amp;L_EvidencePhrase&amp;" ",BD504)))&gt;0,BI504=1),"INVALID – evidence missing, placeholder or not yet on file",IF(ISNA(MATCH(TRIM(S504),L_EvidenceType,0)),"INVALID – choose the evidence type from the list (column S)",IF(BL504=0,"INVALID – evidence ID must be the record's own ID only (e.g. SF-2210, IMG_2231, 1045521); a link / file name needs type 'Link / file path'",IF(OR(OR(LEN(AX504)&lt;2,ISNUMBER(MATCH(AX504,L_Placeholder,0))),BS504&lt;3),"INVALID – verifier missing or not a named person (a role such as QA / CSM is not a name)",IF(OR(AX504=AU504,CE504=1,AND(LEN(AU504)&gt;=4,ISNUMBER(SEARCH(AU504,AX504))),AND(LEN(AX504)&gt;=4,ISNUMBER(SEARCH(AX504,AU504)))),"INVALID – verifier must be a different, named person (not the PIC or a role)",IF(BH504=1,"INVALID – result not yet available (awaiting / TBC)",IF(BG504=1,"INVALID – result describes a problem: record Fail, then Pass after CA (or reword if it is not a problem)",IF(BV504=1,"INVALID – wording says not on board: an on-board confirmation needs the item loaded",IF(AND(AQ504=1,OR(OR(LEN(AY504)&lt;3,ISNUMBER(MATCH(AY504,L_Placeholder,0))),BJ504=1,BQ504=0)),"INVALID – batch ID missing, placeholder or not an ID (e.g. PASB-261008-BC-017)",IF(AND(AR504=1,OR(NOT(ISNUMBER(X504)),NOT(ISNUMBER(Y504)))),"INVALID – expected/actual qty missing",IF(AND(AR504=1,OR(X504&lt;=0,Y504&lt;0)),"INVALID – expected qty must be above 0 and actual not negative",IF(AH499="N/A – JUSTIFIED","INVALID – preparation row F15-T12-09 is N/A",IF(AND(AR504=1,ISNUMBER(X499),X504&lt;&gt;X499,TRIM(U504)&lt;&gt;"Pass after CA"),"INVALID – expected qty differs from preparation check F15-T12-09: record the load change as a corrective action (Pass after CA)",IF(BB504&lt;&gt;"",BB504,IF(AND(AS504=1,Documents!$J$19&lt;&gt;"ON FILE"),"INVALID – GLD not on file (Documents sheet)",IF(AND(AS504=2,Documents!$O$19&lt;&gt;"ON FILE"),"INVALID – menu checklist not on file (Documents sheet)",IF(AND(AS504=3,NOT(ISNUMBER(Flights!$AX$19))),"INVALID – enter carrying flight KUL departure (Flights AX)",IF(AND(AS504=3,OR(Flights!$AZ$19&gt;Flights!$AA$19,Flights!$AX$19&lt;Flights!$AA$19-3)),"INVALID – carrying flight (Flights AX) cannot arrive before this leg's STD, or is over 3 days early",IF(AG504&gt;AsOfUTC,"INVALID – completion time is in the future",IF(AND(ISNUMBER(BY504),AG504&lt;BY504),IF(H504="Physical uplift","INVALID – before uplift window (cannot confirm loading)","INVALID – before valid window"),IF(AG504&gt;Flights!$AA$19,"INVALID – completed after departure (cannot establish readiness)",IF(AND(H504="Preparation",AG504&gt;=IF(ISNUMBER(Flights!$BA$19),MIN(Flights!$BA$19,Flights!$AA$19),Flights!$AA$19)),"INVALID – completed after loading / departure (cannot establish readiness)",IF(AND(H504="Physical uplift",AG504&gt;Q504),"INVALID – recorded after the loading flight departed",IF(AG504&gt;Q504,"COMPLETE – LATE","COMPLETE"))))))))))))))))))))))))))),IF(TRIM(U504)="Fail","FAIL – DISCREPANCY",IF(AND(TRIM(U504)&lt;&gt;"",TRIM(U504)&lt;&gt;"Not started",TRIM(U504)&lt;&gt;"In progress"),"INVALID – unrecognised status (use the list)",IF(AsOfUTC&gt;Q504,"OVERDUE",IF(N504="Clarification required","OPEN – CLARIFICATION","OPEN"))))))),"INVALID – error value in an input cell")</f>
        <v>OPEN</v>
      </c>
      <c r="AI504" s="61" t="n">
        <f aca="false">IF(OR(AH504="N/A – RULE",AH504="N/A – JUSTIFIED"),0,1)</f>
        <v>1</v>
      </c>
      <c r="AJ504" s="61" t="n">
        <f aca="false">IF(LEFT(AH504,8)="COMPLETE",1,0)</f>
        <v>0</v>
      </c>
      <c r="AK504" s="61" t="n">
        <f aca="false">IF(AND(AI504=1,AJ504=0,AsOfUTC&gt;Q504),1,0)</f>
        <v>0</v>
      </c>
      <c r="AL504" s="61" t="n">
        <f aca="false">IFERROR(IF(AND(AI504=1,OR(TRIM(U504)="Fail",AND(TRIM(AB504)&lt;&gt;"",TRIM(AB504)&lt;&gt;"Closed"),AND(ISNUMBER(AF504),AF504&lt;&gt;0,TRIM(U504)&lt;&gt;"Pass after CA"))),1,0),1)</f>
        <v>0</v>
      </c>
      <c r="AM504" s="61" t="n">
        <f aca="false">IF(LEFT(AH504,7)="INVALID",1,0)</f>
        <v>0</v>
      </c>
      <c r="AN504" s="61" t="n">
        <f aca="false">IF(AND(N504="Clarification required",AI504=1,AJ504=0),1,0)</f>
        <v>0</v>
      </c>
      <c r="AO504" s="61" t="str">
        <f aca="false">IF(AK504=1,SUM(AK$5:AK504),"")</f>
        <v/>
      </c>
      <c r="AP504" s="61" t="str">
        <f aca="false">IF(AL504=1,SUM(AL$5:AL504),"")</f>
        <v/>
      </c>
      <c r="AQ504" s="61" t="n">
        <v>0</v>
      </c>
      <c r="AR504" s="61" t="n">
        <v>0</v>
      </c>
      <c r="AS504" s="61" t="n">
        <v>0</v>
      </c>
      <c r="AT504" s="61" t="n">
        <v>0</v>
      </c>
      <c r="AU504" s="61" t="str">
        <f aca="false">SUBSTITUTE(SUBSTITUTE(SUBSTITUTE(SUBSTITUTE(SUBSTITUTE(SUBSTITUTE(SUBSTITUTE(SUBSTITUTE(SUBSTITUTE(SUBSTITUTE(SUBSTITUTE(SUBSTITUTE(SUBSTITUTE(SUBSTITUTE(SUBSTITUTE(SUBSTITUTE(LOWER(T504&amp;""),CHAR(10),""),CHAR(13),""),CHAR(9),""),CHAR(160),"")," ",""),".",""),"-",""),"/",""),"?",""),"_",""),",",""),"[",""),"]",""),"(",""),")",""),"*","")</f>
        <v/>
      </c>
      <c r="AV504" s="61" t="str">
        <f aca="false">SUBSTITUTE(SUBSTITUTE(SUBSTITUTE(SUBSTITUTE(SUBSTITUTE(SUBSTITUTE(SUBSTITUTE(SUBSTITUTE(SUBSTITUTE(SUBSTITUTE(SUBSTITUTE(SUBSTITUTE(SUBSTITUTE(SUBSTITUTE(SUBSTITUTE(SUBSTITUTE(LOWER(V504&amp;""),CHAR(10),""),CHAR(13),""),CHAR(9),""),CHAR(160),"")," ",""),".",""),"-",""),"/",""),"?",""),"_",""),",",""),"[",""),"]",""),"(",""),")",""),"*","")</f>
        <v/>
      </c>
      <c r="AW504" s="61" t="str">
        <f aca="false">SUBSTITUTE(SUBSTITUTE(SUBSTITUTE(SUBSTITUTE(SUBSTITUTE(SUBSTITUTE(SUBSTITUTE(SUBSTITUTE(SUBSTITUTE(SUBSTITUTE(SUBSTITUTE(SUBSTITUTE(SUBSTITUTE(SUBSTITUTE(SUBSTITUTE(SUBSTITUTE(LOWER(Z504&amp;""),CHAR(10),""),CHAR(13),""),CHAR(9),""),CHAR(160),"")," ",""),".",""),"-",""),"/",""),"?",""),"_",""),",",""),"[",""),"]",""),"(",""),")",""),"*","")</f>
        <v/>
      </c>
      <c r="AX504" s="61" t="str">
        <f aca="false">SUBSTITUTE(SUBSTITUTE(SUBSTITUTE(SUBSTITUTE(SUBSTITUTE(SUBSTITUTE(SUBSTITUTE(SUBSTITUTE(SUBSTITUTE(SUBSTITUTE(SUBSTITUTE(SUBSTITUTE(SUBSTITUTE(SUBSTITUTE(SUBSTITUTE(SUBSTITUTE(LOWER(AE504&amp;""),CHAR(10),""),CHAR(13),""),CHAR(9),""),CHAR(160),"")," ",""),".",""),"-",""),"/",""),"?",""),"_",""),",",""),"[",""),"]",""),"(",""),")",""),"*","")</f>
        <v/>
      </c>
      <c r="AY504" s="61" t="str">
        <f aca="false">SUBSTITUTE(SUBSTITUTE(SUBSTITUTE(SUBSTITUTE(SUBSTITUTE(SUBSTITUTE(SUBSTITUTE(SUBSTITUTE(SUBSTITUTE(SUBSTITUTE(SUBSTITUTE(SUBSTITUTE(SUBSTITUTE(SUBSTITUTE(SUBSTITUTE(SUBSTITUTE(LOWER(W504&amp;""),CHAR(10),""),CHAR(13),""),CHAR(9),""),CHAR(160),"")," ",""),".",""),"-",""),"/",""),"?",""),"_",""),",",""),"[",""),"]",""),"(",""),")",""),"*","")</f>
        <v/>
      </c>
      <c r="AZ504" s="61" t="str">
        <f aca="false">SUBSTITUTE(SUBSTITUTE(SUBSTITUTE(SUBSTITUTE(SUBSTITUTE(SUBSTITUTE(SUBSTITUTE(SUBSTITUTE(SUBSTITUTE(SUBSTITUTE(SUBSTITUTE(SUBSTITUTE(SUBSTITUTE(SUBSTITUTE(SUBSTITUTE(SUBSTITUTE(LOWER(AC504&amp;""),CHAR(10),""),CHAR(13),""),CHAR(9),""),CHAR(160),"")," ",""),".",""),"-",""),"/",""),"?",""),"_",""),",",""),"[",""),"]",""),"(",""),")",""),"*","")</f>
        <v/>
      </c>
      <c r="BA504" s="61" t="str">
        <f aca="false">SUBSTITUTE(SUBSTITUTE(SUBSTITUTE(SUBSTITUTE(SUBSTITUTE(SUBSTITUTE(SUBSTITUTE(SUBSTITUTE(SUBSTITUTE(SUBSTITUTE(SUBSTITUTE(SUBSTITUTE(SUBSTITUTE(SUBSTITUTE(SUBSTITUTE(SUBSTITUTE(LOWER(AA504&amp;""),CHAR(10),""),CHAR(13),""),CHAR(9),""),CHAR(160),"")," ",""),".",""),"-",""),"/",""),"?",""),"_",""),",",""),"[",""),"]",""),"(",""),")",""),"*","")</f>
        <v/>
      </c>
      <c r="BB504" s="61" t="str">
        <f aca="false">IF(AND(TRIM(U504)="Pass",ISNUMBER(AF504)),IF(AF504&lt;&gt;0,"INVALID – qty variance: use Fail or Pass after CA",""),"")&amp;IF(AND(TRIM(U504)="Pass after CA",ISNUMBER(AF504)),IF(AF504&lt;&gt;0,"INVALID – after the corrective action the actual qty must equal expected (update Actual)",""),"")&amp;IF(AND(TRIM(U504)="Pass",TRIM(AB504)&lt;&gt;"",TRIM(AB504)&lt;&gt;"Closed"),"INVALID – corrective action not closed: use Fail, then Pass after CA","")&amp;IF(AND(LEN(BA504)&gt;=2,ISNA(MATCH(LEFT(BA504,255),L_Placeholder,0)),TRIM(AB504)=""),"INVALID – CA status missing for the recorded corrective action","")&amp;IF(AND(TRIM(U504)="Pass after CA",OR(OR(LEN(BA504)&lt;5,ISNUMBER(MATCH(BA504,L_Placeholder,0))),TRIM(AB504)&lt;&gt;"Closed")),"INVALID – corrective action not recorded/closed","")</f>
        <v/>
      </c>
      <c r="BC504" s="61" t="str">
        <f aca="false">" "&amp;TRIM(SUBSTITUTE(SUBSTITUTE(SUBSTITUTE(SUBSTITUTE(SUBSTITUTE(SUBSTITUTE(SUBSTITUTE(SUBSTITUTE(SUBSTITUTE(SUBSTITUTE(SUBSTITUTE(SUBSTITUTE(SUBSTITUTE(SUBSTITUTE(SUBSTITUTE(SUBSTITUTE(SUBSTITUTE(SUBSTITUTE(SUBSTITUTE(SUBSTITUTE(SUBSTITUTE(SUBSTITUTE(SUBSTITUTE(SUBSTITUTE(LOWER(V504&amp;""),CHAR(10)," "),CHAR(13)," "),CHAR(9)," "),CHAR(160)," "),"."," "),","," "),"-"," "),"/"," "),"("," "),")"," "),":"," "),";"," "),"_"," "),"–"," "),"?"," "),"!"," "),"*"," "),"["," "),"]"," "),"'"," "),"#"," "),"+"," "),"&amp;"," "),"\"," "))&amp;" "</f>
        <v>  </v>
      </c>
      <c r="BD504" s="61" t="str">
        <f aca="false">" "&amp;TRIM(SUBSTITUTE(SUBSTITUTE(SUBSTITUTE(SUBSTITUTE(SUBSTITUTE(SUBSTITUTE(SUBSTITUTE(SUBSTITUTE(SUBSTITUTE(SUBSTITUTE(SUBSTITUTE(SUBSTITUTE(SUBSTITUTE(SUBSTITUTE(SUBSTITUTE(SUBSTITUTE(SUBSTITUTE(SUBSTITUTE(SUBSTITUTE(SUBSTITUTE(SUBSTITUTE(SUBSTITUTE(SUBSTITUTE(SUBSTITUTE(LOWER(Z504&amp;""),CHAR(10)," "),CHAR(13)," "),CHAR(9)," "),CHAR(160)," "),"."," "),","," "),"-"," "),"/"," "),"("," "),")"," "),":"," "),";"," "),"_"," "),"–"," "),"?"," "),"!"," "),"*"," "),"["," "),"]"," "),"'"," "),"#"," "),"+"," "),"&amp;"," "),"\"," "))&amp;" "</f>
        <v>  </v>
      </c>
      <c r="BE504" s="61" t="str">
        <f aca="false">" "&amp;TRIM(SUBSTITUTE(SUBSTITUTE(SUBSTITUTE(SUBSTITUTE(SUBSTITUTE(SUBSTITUTE(SUBSTITUTE(SUBSTITUTE(SUBSTITUTE(SUBSTITUTE(SUBSTITUTE(SUBSTITUTE(SUBSTITUTE(SUBSTITUTE(SUBSTITUTE(SUBSTITUTE(SUBSTITUTE(SUBSTITUTE(SUBSTITUTE(SUBSTITUTE(SUBSTITUTE(SUBSTITUTE(SUBSTITUTE(SUBSTITUTE(LOWER(W504&amp;""),CHAR(10)," "),CHAR(13)," "),CHAR(9)," "),CHAR(160)," "),"."," "),","," "),"-"," "),"/"," "),"("," "),")"," "),":"," "),";"," "),"_"," "),"–"," "),"?"," "),"!"," "),"*"," "),"["," "),"]"," "),"'"," "),"#"," "),"+"," "),"&amp;"," "),"\"," "))&amp;" "</f>
        <v>  </v>
      </c>
      <c r="BF504" s="61" t="str">
        <f aca="false">" "&amp;TRIM(SUBSTITUTE(SUBSTITUTE(SUBSTITUTE(SUBSTITUTE(SUBSTITUTE(SUBSTITUTE(SUBSTITUTE(SUBSTITUTE(SUBSTITUTE(SUBSTITUTE(SUBSTITUTE(SUBSTITUTE(SUBSTITUTE(SUBSTITUTE(SUBSTITUTE(SUBSTITUTE(SUBSTITUTE(SUBSTITUTE(SUBSTITUTE(SUBSTITUTE(SUBSTITUTE(SUBSTITUTE(SUBSTITUTE(SUBSTITUTE(LOWER(AC504&amp;""),CHAR(10)," "),CHAR(13)," "),CHAR(9)," "),CHAR(160)," "),"."," "),","," "),"-"," "),"/"," "),"("," "),")"," "),":"," "),";"," "),"_"," "),"–"," "),"?"," "),"!"," "),"*"," "),"["," "),"]"," "),"'"," "),"#"," "),"+"," "),"&amp;"," "),"\"," "))&amp;" "</f>
        <v>  </v>
      </c>
      <c r="BG504" s="61" t="n">
        <f aca="false">IFERROR(IF(AND(TRIM(U504)="Pass",SUMPRODUCT((LEN(BC504)-LEN(SUBSTITUTE(BC504," "&amp;L_ResultBad&amp;" "," ")))/(LEN(L_ResultBad)+1))&gt;SUMPRODUCT((LEN(BC504)-LEN(SUBSTITUTE(BC504," "&amp;L_NegPhrase&amp;" "," ")))/(LEN(L_NegPhrase)+1))),1,0),0)</f>
        <v>0</v>
      </c>
      <c r="BH504" s="61" t="n">
        <f aca="false">IFERROR(IF(SUMPRODUCT((LEN(BC504)-LEN(SUBSTITUTE(BC504," "&amp;L_Pending&amp;" "," ")))/(LEN(L_Pending)+1))&gt;SUMPRODUCT((LEN(BC504)-LEN(SUBSTITUTE(BC504," "&amp;L_PendNeg&amp;" "," ")))/(LEN(L_PendNeg)+1)),1,0),1)</f>
        <v>0</v>
      </c>
      <c r="BI504" s="61" t="n">
        <f aca="false">IFERROR(IF(SUMPRODUCT((LEN(BD504)-LEN(SUBSTITUTE(BD504," "&amp;L_PendStrict&amp;" "," ")))/(LEN(L_PendStrict)+1))&gt;SUMPRODUCT((LEN(BD504)-LEN(SUBSTITUTE(BD504," "&amp;L_PendNeg&amp;" "," ")))/(LEN(L_PendNeg)+1)),1,0),1)</f>
        <v>0</v>
      </c>
      <c r="BJ504" s="61" t="n">
        <f aca="false">IFERROR(IF(SUMPRODUCT((LEN(BE504)-LEN(SUBSTITUTE(BE504," "&amp;L_Pending&amp;" "," ")))/(LEN(L_Pending)+1))&gt;SUMPRODUCT((LEN(BE504)-LEN(SUBSTITUTE(BE504," "&amp;L_PendNeg&amp;" "," ")))/(LEN(L_PendNeg)+1)),1,0),1)</f>
        <v>0</v>
      </c>
      <c r="BK504" s="61" t="n">
        <f aca="false">IFERROR(IF(SUMPRODUCT((LEN(BF504)-LEN(SUBSTITUTE(BF504," "&amp;L_PendStrict&amp;" "," ")))/(LEN(L_PendStrict)+1))&gt;SUMPRODUCT((LEN(BF504)-LEN(SUBSTITUTE(BF504," "&amp;L_PendNeg&amp;" "," ")))/(LEN(L_PendNeg)+1)),1,0),1)</f>
        <v>0</v>
      </c>
      <c r="BL504" s="61" t="n">
        <f aca="false">IF(ISNA(MATCH(TRIM(S504),L_EvidenceType,0)),0,BZ504)</f>
        <v>0</v>
      </c>
      <c r="BM504" s="61" t="str">
        <f aca="false">SUBSTITUTE(SUBSTITUTE(SUBSTITUTE(SUBSTITUTE(SUBSTITUTE(SUBSTITUTE(SUBSTITUTE(SUBSTITUTE(SUBSTITUTE(LOWER(Z504&amp;""),"1","0"),"2","0"),"3","0"),"4","0"),"5","0"),"6","0"),"7","0"),"8","0"),"9","0")</f>
        <v/>
      </c>
      <c r="BN504" s="61" t="str">
        <f aca="false">SUBSTITUTE(SUBSTITUTE(SUBSTITUTE(SUBSTITUTE(SUBSTITUTE(SUBSTITUTE(SUBSTITUTE(SUBSTITUTE(SUBSTITUTE(SUBSTITUTE(SUBSTITUTE(SUBSTITUTE(SUBSTITUTE(SUBSTITUTE(SUBSTITUTE(SUBSTITUTE(SUBSTITUTE(SUBSTITUTE(SUBSTITUTE(SUBSTITUTE(SUBSTITUTE(SUBSTITUTE(SUBSTITUTE(SUBSTITUTE(SUBSTITUTE(BM504,"b","a"),"c","a"),"d","a"),"e","a"),"f","a"),"g","a"),"h","a"),"i","a"),"j","a"),"k","a"),"l","a"),"m","a"),"n","a"),"o","a"),"p","a"),"q","a"),"r","a"),"s","a"),"t","a"),"u","a"),"v","a"),"w","a"),"x","a"),"y","a"),"z","a")</f>
        <v/>
      </c>
      <c r="BO504" s="61" t="str">
        <f aca="false">SUBSTITUTE(SUBSTITUTE(SUBSTITUTE(SUBSTITUTE(SUBSTITUTE(SUBSTITUTE(SUBSTITUTE(SUBSTITUTE(SUBSTITUTE(LOWER(W504&amp;""),"1","0"),"2","0"),"3","0"),"4","0"),"5","0"),"6","0"),"7","0"),"8","0"),"9","0")</f>
        <v/>
      </c>
      <c r="BP504" s="61" t="str">
        <f aca="false">SUBSTITUTE(SUBSTITUTE(SUBSTITUTE(SUBSTITUTE(SUBSTITUTE(SUBSTITUTE(SUBSTITUTE(SUBSTITUTE(SUBSTITUTE(SUBSTITUTE(SUBSTITUTE(SUBSTITUTE(SUBSTITUTE(SUBSTITUTE(SUBSTITUTE(SUBSTITUTE(SUBSTITUTE(SUBSTITUTE(SUBSTITUTE(SUBSTITUTE(SUBSTITUTE(SUBSTITUTE(SUBSTITUTE(SUBSTITUTE(SUBSTITUTE(BO504,"b","a"),"c","a"),"d","a"),"e","a"),"f","a"),"g","a"),"h","a"),"i","a"),"j","a"),"k","a"),"l","a"),"m","a"),"n","a"),"o","a"),"p","a"),"q","a"),"r","a"),"s","a"),"t","a"),"u","a"),"v","a"),"w","a"),"x","a"),"y","a"),"z","a")</f>
        <v/>
      </c>
      <c r="BQ504" s="61" t="n">
        <f aca="false">IFERROR(IF(AND(ISERROR(SEARCH(" mh"," "&amp;LOWER(W504))),ISNA(MATCH(LEFT(TRIM(BP504),255),{"0000a","000a","00a","0000aa","000aa","00aa","0aa","0000aaa","000aaa","00a00","0a00","0000-0000","00:00","a00","a0","00.00.0000","00/00/0000","00-00-0000","0000-00-00","0000/00/00","0000.00.00","00.00.00","00/00/00","00-00-00","0.00.0000","0/00/0000","0-00-0000"},0)),ISNA(MATCH(LEFT(TRIM(CA504),255),{"0000a","000a","00a","0000aa","000aa","00aa","0aa","0000aaa","000aaa","00a00","0a00","0000-0000","00:00","a00","a0","00.00.0000","00/00/0000","00-00-0000","0000-00-00","0000/00/00","0000.00.00","00.00.00","00/00/00","00-00-00","0.00.0000","0/00/0000","0-00-0000"},0)),LEN(CB504)&gt;=3,NOT(OR(SUBSTITUTE(CB504,"0","")="",AND(LEN(CB504)&gt;=4,CB504=REPT(LEFT(CB504),LEN(CB504))),ISNUMBER(MATCH(CB504,{"123","1234","12345","123456","1234567","12345678","0123","01234","012345","98765","987654","54321"},0)),AND(LEN(CB504)=8,LEFT(CB504,3)="202"))),OR(AND((LEN(CA504)-LEN(SUBSTITUTE(CA504,"a","")))&gt;=1,SUMPRODUCT(--ISNUMBER(SEARCH({"a0","a-0","a_0","a/0","a.0","a#0","0a","0-a","0_a","0/a"},BP504)))&gt;0),ISNUMBER(SEARCH("000000",BP504)))),1,0),0)</f>
        <v>0</v>
      </c>
      <c r="BR504" s="61" t="n">
        <f aca="false">IFERROR(LEN(SUBSTITUTE(CC504," ",""))-SUMPRODUCT((LEN(CC504)-LEN(SUBSTITUTE(CC504," "&amp;L_Role&amp;" "," ")))/(LEN(L_Role)+1)*LEN(L_Role)),0)</f>
        <v>0</v>
      </c>
      <c r="BS504" s="61" t="n">
        <f aca="false">IFERROR(LEN(SUBSTITUTE(CD504," ",""))-SUMPRODUCT((LEN(CD504)-LEN(SUBSTITUTE(CD504," "&amp;L_Role&amp;" "," ")))/(LEN(L_Role)+1)*LEN(L_Role)),0)</f>
        <v>0</v>
      </c>
      <c r="BT5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504,"revision",""),"version",""),"jan",""),"feb",""),"mar",""),"apr",""),"may",""),"jun",""),"jul",""),"aug",""),"sep",""),"oct",""),"nov",""),"dec",""),"utc",""),"gmt",""),"myt",""),"bst",""),"rev",""),"ver",""),"b","a"),"c","a"),"d","a"),"e","a"),"f","a"),"g","a"),"h","a"),"i","a"),"j","a"),"k","a"),"l","a"),"m","a"),"n","a"),"o","a"),"p","a"),"q","a"),"r","a"),"s","a"),"t","a"),"u","a"),"v","a"),"w","a"),"x","a"),"y","a"),"z","a")</f>
        <v/>
      </c>
      <c r="BU504" s="61" t="str">
        <f aca="false">SUBSTITUTE(SUBSTITUTE(SUBSTITUTE(SUBSTITUTE(SUBSTITUTE(SUBSTITUTE(SUBSTITUTE(SUBSTITUTE(SUBSTITUTE(SUBSTITUTE(LEFT(BM504,FIND("0",BM504&amp;"0")-1),"-",""),"_",""),"/",""),".",""),"#",""),"\\",""),":","")," ",""),"(",""),")","")</f>
        <v/>
      </c>
      <c r="BV504" s="61" t="n">
        <f aca="false">IFERROR(IF(OR(SUMPRODUCT((LEN(BC504)-LEN(SUBSTITUTE(BC504," "&amp;L_NotLoaded&amp;" "," ")))/(LEN(L_NotLoaded)+1))&gt;SUMPRODUCT((LEN(BC504)-LEN(SUBSTITUTE(BC504," "&amp;L_NotLoadedNeg&amp;" "," ")))/(LEN(L_NotLoadedNeg)+1)),SUMPRODUCT((LEN(BD504)-LEN(SUBSTITUTE(BD504," "&amp;L_NotLoaded&amp;" "," ")))/(LEN(L_NotLoaded)+1))&gt;SUMPRODUCT((LEN(BD504)-LEN(SUBSTITUTE(BD504," "&amp;L_NotLoadedNeg&amp;" "," ")))/(LEN(L_NotLoadedNeg)+1))),1,0),0)</f>
        <v>0</v>
      </c>
      <c r="BW5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504&amp;""),"a",""),"b",""),"c",""),"d",""),"e",""),"f",""),"g",""),"h",""),"i",""),"j",""),"k",""),"l",""),"m",""),"n",""),"o",""),"p",""),"q",""),"r",""),"s",""),"t",""),"u",""),"v",""),"w",""),"x",""),"y",""),"z",""),"-",""),"_",""),"/",""),".",""),"#",""),"\\",""),":","")," ",""),"(",""),")","")</f>
        <v/>
      </c>
      <c r="BX504" s="61" t="str">
        <f aca="false">SUBSTITUTE(SUBSTITUTE(SUBSTITUTE(SUBSTITUTE(SUBSTITUTE(SUBSTITUTE(SUBSTITUTE(SUBSTITUTE(SUBSTITUTE(SUBSTITUTE(SUBSTITUTE(BM504,"0",""),"-",""),"_",""),"/",""),".",""),"#",""),"\\",""),":","")," ",""),"(",""),")","")</f>
        <v/>
      </c>
      <c r="BY504" s="62" t="n">
        <f aca="false">IF(ISNUMBER(Flights!$AZ$19),MAX(Q504-UpliftWindowH/24,Flights!$AZ$19),Q504-UpliftWindowH/24)</f>
        <v>46320.2083333333</v>
      </c>
      <c r="BZ504" s="61" t="n">
        <f aca="false">IFERROR(IF(IF(TRIM(S504)="Link / file path",AND(LEN(TRIM(Z504))&gt;=5,SUMPRODUCT(--ISNUMBER(SEARCH({"http","www.","\\",":\",".pdf",".jpg",".jpeg",".png",".heic",".xls",".doc",".msg",".eml",".ppt",".txt",".zip"},Z504)))&gt;0),AND(ISERROR(FIND(" ",TRIM(Z504))),NOT(OR(SUMPRODUCT(--ISNUMBER(FIND({",",";","&amp;","+"},Z504)))&gt;0,SUMPRODUCT(--ISNUMBER(SEARCH({"0/aa","0\\aa"},BN504)))&gt;0)),NOT(SUMPRODUCT(--ISNUMBER(SEARCH({"http","www.","\\",":\",".pdf",".jpg",".jpeg",".png",".heic",".xls",".doc",".msg",".eml",".ppt",".txt",".zip"},Z504)))&gt;0),NOT(LOWER(TRIM(Z504))=LOWER(Flights!$F$19)),ISNA(MATCH(BU504,{"mh","rev","revision","ver","version","v","r","a","b","seat","tray","row","gate","bay","stand","page","pg","item","line","no","cart","galley","flight","flt","table","box","bag","oven","etd","eta","std","sta","atd","ata","qty","pax","x","time","tel","ph","mob","day","wk","week","utc","gmt","myt","lt"},0)),NOT(OR(ISNUMBER(MATCH(LEFT(BN504,255),{"0000a","000a","00a","0000aa","000aa","00aa","0aa","0000aaa","000aaa","00a00","0a00","0000-0000","00:00","a00","a0","00.00.0000","00/00/0000","00-00-0000","0000-00-00","0000/00/00","0000.00.00","00.00.00","00/00/00","00-00-00","0.00.0000","0/00/0000","0-00-0000"},0)),ISNUMBER(MATCH(LEFT(BT504,255),{"0000a","000a","00a","0000aa","000aa","00aa","0aa","0000aaa","000aaa","00a00","0a00","0000-0000","00:00","a00","a0","00.00.0000","00/00/0000","00-00-0000","0000-00-00","0000/00/00","0000.00.00","00.00.00","00/00/00","00-00-00","0.00.0000","0/00/0000","0-00-0000"},0)))),NOT(OR(AND(BW504&lt;&gt;"",SUBSTITUTE(BW504,"0","")=""),AND(LEN(BW504)&gt;=4,BW504=REPT(LEFT(BW504),LEN(BW504))),ISNUMBER(MATCH(BW504,{"123","1234","12345","123456","1234567","12345678","0123","01234","012345","98765","987654","54321"},0)),ISNUMBER(MATCH(BX504,{"x","xx","xxx","xxxx","xxxxx","abc","abcd","nil","na","nan","test","tbc","tba","tbd","dummy","sample","example","eg","zz","zzz","none","null","xyz","qwe","asd","id","ref"},0)),AND(LEN(BW504)=8,BX504="",OR(LEFT(BW504,3)="202",ISNUMBER(MATCH(RIGHT(BW504,4),{"2025","2026","2027"},0)))))),OR(AND((LEN(BT504)-LEN(SUBSTITUTE(BT504,"a","")))&gt;=1,(LEN(BN504)-LEN(SUBSTITUTE(BN504,"0","")))&gt;=2,SUMPRODUCT(--ISNUMBER(SEARCH({"a0","a-0","a_0","a/0","a.0","a#0","0a","0-a","0_a","0/a"},BN504)))&gt;0),AND((LEN(BN504)-LEN(SUBSTITUTE(BN504,"a","")))=0,(LEN(BN504)-LEN(SUBSTITUTE(BN504,"0","")))&gt;=5)))),1,0),0)</f>
        <v>0</v>
      </c>
      <c r="CA5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504,"revision",""),"version",""),"jan",""),"feb",""),"mar",""),"apr",""),"may",""),"jun",""),"jul",""),"aug",""),"sep",""),"oct",""),"nov",""),"dec",""),"utc",""),"gmt",""),"myt",""),"bst",""),"rev",""),"ver",""),"b","a"),"c","a"),"d","a"),"e","a"),"f","a"),"g","a"),"h","a"),"i","a"),"j","a"),"k","a"),"l","a"),"m","a"),"n","a"),"o","a"),"p","a"),"q","a"),"r","a"),"s","a"),"t","a"),"u","a"),"v","a"),"w","a"),"x","a"),"y","a"),"z","a")</f>
        <v/>
      </c>
      <c r="CB5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504&amp;""),"a",""),"b",""),"c",""),"d",""),"e",""),"f",""),"g",""),"h",""),"i",""),"j",""),"k",""),"l",""),"m",""),"n",""),"o",""),"p",""),"q",""),"r",""),"s",""),"t",""),"u",""),"v",""),"w",""),"x",""),"y",""),"z",""),"-",""),"_",""),"/",""),".",""),"#",""),"\\",""),":","")," ",""),"(",""),")","")</f>
        <v/>
      </c>
      <c r="CC504" s="0" t="str">
        <f aca="false">" "&amp;TRIM(SUBSTITUTE(SUBSTITUTE(SUBSTITUTE(SUBSTITUTE(SUBSTITUTE(SUBSTITUTE(SUBSTITUTE(SUBSTITUTE(SUBSTITUTE(SUBSTITUTE(SUBSTITUTE(SUBSTITUTE(SUBSTITUTE(SUBSTITUTE(SUBSTITUTE(SUBSTITUTE(SUBSTITUTE(SUBSTITUTE(SUBSTITUTE(SUBSTITUTE(SUBSTITUTE(SUBSTITUTE(SUBSTITUTE(SUBSTITUTE(LOWER(T504&amp;""),CHAR(10)," "),CHAR(13)," "),CHAR(9)," "),CHAR(160)," "),"."," "),","," "),"-"," "),"/"," "),"("," "),")"," "),":"," "),";"," "),"_"," "),"–"," "),"?"," "),"!"," "),"*"," "),"["," "),"]"," "),"'"," "),"#"," "),"+"," "),"&amp;"," "),"\"," "))&amp;" "</f>
        <v>  </v>
      </c>
      <c r="CD504" s="0" t="str">
        <f aca="false">" "&amp;TRIM(SUBSTITUTE(SUBSTITUTE(SUBSTITUTE(SUBSTITUTE(SUBSTITUTE(SUBSTITUTE(SUBSTITUTE(SUBSTITUTE(SUBSTITUTE(SUBSTITUTE(SUBSTITUTE(SUBSTITUTE(SUBSTITUTE(SUBSTITUTE(SUBSTITUTE(SUBSTITUTE(SUBSTITUTE(SUBSTITUTE(SUBSTITUTE(SUBSTITUTE(SUBSTITUTE(SUBSTITUTE(SUBSTITUTE(SUBSTITUTE(LOWER(AE504&amp;""),CHAR(10)," "),CHAR(13)," "),CHAR(9)," "),CHAR(160)," "),"."," "),","," "),"-"," "),"/"," "),"("," "),")"," "),":"," "),";"," "),"_"," "),"–"," "),"?"," "),"!"," "),"*"," "),"["," "),"]"," "),"'"," "),"#"," "),"+"," "),"&amp;"," "),"\"," "))&amp;" "</f>
        <v>  </v>
      </c>
      <c r="CE504" s="68" t="n">
        <f aca="false">IFERROR(IF(AND(LEN(AU504)&gt;0,LEN(AU504)=LEN(AX504),OR(TRIM(MID(SUBSTITUTE(TRIM(CC504)," ",REPT(" ",60)),1,60))="",ISNUMBER(SEARCH(" "&amp;TRIM(MID(SUBSTITUTE(TRIM(CC504)," ",REPT(" ",60)),1,60))&amp;" ",CD504))),OR(TRIM(MID(SUBSTITUTE(TRIM(CC504)," ",REPT(" ",60)),61,60))="",ISNUMBER(SEARCH(" "&amp;TRIM(MID(SUBSTITUTE(TRIM(CC504)," ",REPT(" ",60)),61,60))&amp;" ",CD504))),OR(TRIM(MID(SUBSTITUTE(TRIM(CC504)," ",REPT(" ",60)),121,60))="",ISNUMBER(SEARCH(" "&amp;TRIM(MID(SUBSTITUTE(TRIM(CC504)," ",REPT(" ",60)),121,60))&amp;" ",CD504)))),1,0),0)</f>
        <v>0</v>
      </c>
      <c r="CG504" s="68" t="n">
        <f aca="false">IFERROR(LEN(SUBSTITUTE(BF504," ",""))-SUMPRODUCT((LEN(BF504)-LEN(SUBSTITUTE(BF504," "&amp;L_NAFiller&amp;" "," ")))/(LEN(L_NAFiller)+1)*LEN(L_NAFiller)),0)</f>
        <v>0</v>
      </c>
    </row>
    <row r="505" customFormat="false" ht="54" hidden="false" customHeight="true" outlineLevel="0" collapsed="false">
      <c r="A505" s="57" t="s">
        <v>1159</v>
      </c>
      <c r="B505" s="57" t="s">
        <v>278</v>
      </c>
      <c r="C505" s="57" t="str">
        <f aca="false">Flights!$F$19</f>
        <v>MH0003</v>
      </c>
      <c r="D505" s="58" t="n">
        <f aca="false">Flights!$D$19</f>
        <v>46320</v>
      </c>
      <c r="E505" s="57" t="str">
        <f aca="false">Flights!$G$19&amp;"-"&amp;Flights!$H$19</f>
        <v>LHR-KUL</v>
      </c>
      <c r="F505" s="57" t="str">
        <f aca="false">Flights!$K$19</f>
        <v>EY</v>
      </c>
      <c r="G505" s="57" t="s">
        <v>459</v>
      </c>
      <c r="H505" s="57" t="s">
        <v>460</v>
      </c>
      <c r="I505" s="57" t="s">
        <v>447</v>
      </c>
      <c r="J505" s="57" t="s">
        <v>471</v>
      </c>
      <c r="K505" s="67" t="s">
        <v>455</v>
      </c>
      <c r="L505" s="67" t="s">
        <v>456</v>
      </c>
      <c r="M505" s="67" t="s">
        <v>451</v>
      </c>
      <c r="N505" s="67" t="s">
        <v>383</v>
      </c>
      <c r="O505" s="67" t="s">
        <v>1160</v>
      </c>
      <c r="P505" s="57" t="s">
        <v>186</v>
      </c>
      <c r="Q505" s="59" t="n">
        <f aca="false">ROUND((Flights!$AF$19)*1440,0)/1440</f>
        <v>46320.4583333333</v>
      </c>
      <c r="R505" s="59" t="n">
        <f aca="false">Q505+(IF(AND(INDEX(TZ_DSTS,MATCH(P505,TZ_STN,0))&lt;&gt;"",Q505&gt;=INDEX(TZ_DSTS,MATCH(P505,TZ_STN,0)),Q505&lt;INDEX(TZ_DSTE,MATCH(P505,TZ_STN,0))),INDEX(TZ_DST,MATCH(P505,TZ_STN,0)),INDEX(TZ_STD,MATCH(P505,TZ_STN,0))))/24</f>
        <v>46320.4583333333</v>
      </c>
      <c r="S505" s="60"/>
      <c r="T505" s="60"/>
      <c r="U505" s="60"/>
      <c r="V505" s="60"/>
      <c r="W505" s="61"/>
      <c r="X505" s="69" t="str">
        <f aca="false">IF(TRIM(Flights!$N$19)="","",IF(ISNUMBER(SEARCH("MAH",Flights!$N$19)),280,260))</f>
        <v/>
      </c>
      <c r="Y505" s="60"/>
      <c r="Z505" s="60"/>
      <c r="AA505" s="60"/>
      <c r="AB505" s="60"/>
      <c r="AC505" s="60"/>
      <c r="AD505" s="66"/>
      <c r="AE505" s="60"/>
      <c r="AF505" s="61" t="str">
        <f aca="false">IF(AND(ISNUMBER(X505),ISNUMBER(Y505)),Y505-X505,"")</f>
        <v/>
      </c>
      <c r="AG505" s="62" t="str">
        <f aca="false">IF(ISNUMBER(AD505),AD505-(IF(AND(INDEX(TZ_DSTS,MATCH(P505,TZ_STN,0))&lt;&gt;"",(AD505-INDEX(TZ_STD,MATCH(P505,TZ_STN,0))/24)&gt;=INDEX(TZ_DSTS,MATCH(P505,TZ_STN,0)),(AD505-INDEX(TZ_STD,MATCH(P505,TZ_STN,0))/24)&lt;INDEX(TZ_DSTE,MATCH(P505,TZ_STN,0))),INDEX(TZ_DST,MATCH(P505,TZ_STN,0)),INDEX(TZ_STD,MATCH(P505,TZ_STN,0))))/24,"")</f>
        <v/>
      </c>
      <c r="AH505" s="65" t="str">
        <f aca="false">IFERROR(IF(N505="N/A – rule",IF(OR(TRIM(U505)="",TRIM(U505)="N/A",TRIM(U505)="Not started"),"N/A – RULE","INVALID – this check does not apply to this aircraft: clear the status (or correct the fleet on Flights)"),IF(TRIM(U505)="N/A",IF(AT505=0,"INVALID – N/A not permitted for this check",IF(AND(TRIM(AB505)&lt;&gt;"",TRIM(AB505)&lt;&gt;"Closed"),"INVALID – corrective action still open",IF(AND(NOT(OR(LEN(AZ505)&lt;15,ISNUMBER(MATCH(AZ505,L_Placeholder,0)))),BK505=0,CG505&gt;=8,NOT(OR(LEN(AU505)&lt;2,ISNUMBER(MATCH(AU505,L_Placeholder,0)))),BR505&gt;=3,NOT(OR(LEN(AX505)&lt;2,ISNUMBER(MATCH(AX505,L_Placeholder,0)))),BS505&gt;=3,TRIM(AE505)&lt;&gt;TRIM(T505),AX505&lt;&gt;AU505,CE505=0),"N/A – JUSTIFIED","INVALID – N/A needs a real, settled reason (not 'not applicable' / 'as above' / TBC), a named PIC and a different named verifier"))),IF(OR(TRIM(U505)="Pass",TRIM(U505)="Pass after CA"),IF(NOT(ISNUMBER(AD505)),"INVALID – completion time missing",IF(OR(OR(LEN(AU505)&lt;2,ISNUMBER(MATCH(AU505,L_Placeholder,0))),BR505&lt;3),"INVALID – PIC missing or not a named person (a role such as QA / CSM is not a name)",IF(OR(LEN(AV505)&lt;2,ISNUMBER(MATCH(AV505,L_Placeholder,0))),"INVALID – result / assessment missing",IF(OR(OR(LEN(AW505)&lt;3,ISNUMBER(MATCH(AW505,L_Placeholder,0))),SUMPRODUCT(--ISNUMBER(SEARCH(" "&amp;L_EvidencePhrase&amp;" ",BD505)))&gt;0,BI505=1),"INVALID – evidence missing, placeholder or not yet on file",IF(ISNA(MATCH(TRIM(S505),L_EvidenceType,0)),"INVALID – choose the evidence type from the list (column S)",IF(BL505=0,"INVALID – evidence ID must be the record's own ID only (e.g. SF-2210, IMG_2231, 1045521); a link / file name needs type 'Link / file path'",IF(OR(OR(LEN(AX505)&lt;2,ISNUMBER(MATCH(AX505,L_Placeholder,0))),BS505&lt;3),"INVALID – verifier missing or not a named person (a role such as QA / CSM is not a name)",IF(OR(AX505=AU505,CE505=1,AND(LEN(AU505)&gt;=4,ISNUMBER(SEARCH(AU505,AX505))),AND(LEN(AX505)&gt;=4,ISNUMBER(SEARCH(AX505,AU505)))),"INVALID – verifier must be a different, named person (not the PIC or a role)",IF(BH505=1,"INVALID – result not yet available (awaiting / TBC)",IF(BG505=1,"INVALID – result describes a problem: record Fail, then Pass after CA (or reword if it is not a problem)",IF(BV505=1,"INVALID – wording says not on board: an on-board confirmation needs the item loaded",IF(AND(AQ505=1,OR(OR(LEN(AY505)&lt;3,ISNUMBER(MATCH(AY505,L_Placeholder,0))),BJ505=1,BQ505=0)),"INVALID – batch ID missing, placeholder or not an ID (e.g. PASB-261008-BC-017)",IF(AND(AR505=1,OR(NOT(ISNUMBER(X505)),NOT(ISNUMBER(Y505)))),"INVALID – expected/actual qty missing",IF(AND(AR505=1,OR(X505&lt;=0,Y505&lt;0)),"INVALID – expected qty must be above 0 and actual not negative",IF(AH500="N/A – JUSTIFIED","INVALID – preparation row F15-T12-10 is N/A",IF(AND(AR505=1,ISNUMBER(X500),X505&lt;&gt;X500,TRIM(U505)&lt;&gt;"Pass after CA"),"INVALID – expected qty differs from preparation check F15-T12-10: record the load change as a corrective action (Pass after CA)",IF(BB505&lt;&gt;"",BB505,IF(AND(AS505=1,Documents!$J$19&lt;&gt;"ON FILE"),"INVALID – GLD not on file (Documents sheet)",IF(AND(AS505=2,Documents!$O$19&lt;&gt;"ON FILE"),"INVALID – menu checklist not on file (Documents sheet)",IF(AND(AS505=3,NOT(ISNUMBER(Flights!$AX$19))),"INVALID – enter carrying flight KUL departure (Flights AX)",IF(AND(AS505=3,OR(Flights!$AZ$19&gt;Flights!$AA$19,Flights!$AX$19&lt;Flights!$AA$19-3)),"INVALID – carrying flight (Flights AX) cannot arrive before this leg's STD, or is over 3 days early",IF(AG505&gt;AsOfUTC,"INVALID – completion time is in the future",IF(AND(ISNUMBER(BY505),AG505&lt;BY505),IF(H505="Physical uplift","INVALID – before uplift window (cannot confirm loading)","INVALID – before valid window"),IF(AG505&gt;Flights!$AA$19,"INVALID – completed after departure (cannot establish readiness)",IF(AND(H505="Preparation",AG505&gt;=IF(ISNUMBER(Flights!$BA$19),MIN(Flights!$BA$19,Flights!$AA$19),Flights!$AA$19)),"INVALID – completed after loading / departure (cannot establish readiness)",IF(AND(H505="Physical uplift",AG505&gt;Q505),"INVALID – recorded after the loading flight departed",IF(AG505&gt;Q505,"COMPLETE – LATE","COMPLETE"))))))))))))))))))))))))))),IF(TRIM(U505)="Fail","FAIL – DISCREPANCY",IF(AND(TRIM(U505)&lt;&gt;"",TRIM(U505)&lt;&gt;"Not started",TRIM(U505)&lt;&gt;"In progress"),"INVALID – unrecognised status (use the list)",IF(AsOfUTC&gt;Q505,"OVERDUE",IF(N505="Clarification required","OPEN – CLARIFICATION","OPEN"))))))),"INVALID – error value in an input cell")</f>
        <v>OPEN</v>
      </c>
      <c r="AI505" s="61" t="n">
        <f aca="false">IF(OR(AH505="N/A – RULE",AH505="N/A – JUSTIFIED"),0,1)</f>
        <v>1</v>
      </c>
      <c r="AJ505" s="61" t="n">
        <f aca="false">IF(LEFT(AH505,8)="COMPLETE",1,0)</f>
        <v>0</v>
      </c>
      <c r="AK505" s="61" t="n">
        <f aca="false">IF(AND(AI505=1,AJ505=0,AsOfUTC&gt;Q505),1,0)</f>
        <v>0</v>
      </c>
      <c r="AL505" s="61" t="n">
        <f aca="false">IFERROR(IF(AND(AI505=1,OR(TRIM(U505)="Fail",AND(TRIM(AB505)&lt;&gt;"",TRIM(AB505)&lt;&gt;"Closed"),AND(ISNUMBER(AF505),AF505&lt;&gt;0,TRIM(U505)&lt;&gt;"Pass after CA"))),1,0),1)</f>
        <v>0</v>
      </c>
      <c r="AM505" s="61" t="n">
        <f aca="false">IF(LEFT(AH505,7)="INVALID",1,0)</f>
        <v>0</v>
      </c>
      <c r="AN505" s="61" t="n">
        <f aca="false">IF(AND(N505="Clarification required",AI505=1,AJ505=0),1,0)</f>
        <v>0</v>
      </c>
      <c r="AO505" s="61" t="str">
        <f aca="false">IF(AK505=1,SUM(AK$5:AK505),"")</f>
        <v/>
      </c>
      <c r="AP505" s="61" t="str">
        <f aca="false">IF(AL505=1,SUM(AL$5:AL505),"")</f>
        <v/>
      </c>
      <c r="AQ505" s="61" t="n">
        <v>0</v>
      </c>
      <c r="AR505" s="61" t="n">
        <v>1</v>
      </c>
      <c r="AS505" s="61" t="n">
        <v>0</v>
      </c>
      <c r="AT505" s="61" t="n">
        <v>0</v>
      </c>
      <c r="AU505" s="61" t="str">
        <f aca="false">SUBSTITUTE(SUBSTITUTE(SUBSTITUTE(SUBSTITUTE(SUBSTITUTE(SUBSTITUTE(SUBSTITUTE(SUBSTITUTE(SUBSTITUTE(SUBSTITUTE(SUBSTITUTE(SUBSTITUTE(SUBSTITUTE(SUBSTITUTE(SUBSTITUTE(SUBSTITUTE(LOWER(T505&amp;""),CHAR(10),""),CHAR(13),""),CHAR(9),""),CHAR(160),"")," ",""),".",""),"-",""),"/",""),"?",""),"_",""),",",""),"[",""),"]",""),"(",""),")",""),"*","")</f>
        <v/>
      </c>
      <c r="AV505" s="61" t="str">
        <f aca="false">SUBSTITUTE(SUBSTITUTE(SUBSTITUTE(SUBSTITUTE(SUBSTITUTE(SUBSTITUTE(SUBSTITUTE(SUBSTITUTE(SUBSTITUTE(SUBSTITUTE(SUBSTITUTE(SUBSTITUTE(SUBSTITUTE(SUBSTITUTE(SUBSTITUTE(SUBSTITUTE(LOWER(V505&amp;""),CHAR(10),""),CHAR(13),""),CHAR(9),""),CHAR(160),"")," ",""),".",""),"-",""),"/",""),"?",""),"_",""),",",""),"[",""),"]",""),"(",""),")",""),"*","")</f>
        <v/>
      </c>
      <c r="AW505" s="61" t="str">
        <f aca="false">SUBSTITUTE(SUBSTITUTE(SUBSTITUTE(SUBSTITUTE(SUBSTITUTE(SUBSTITUTE(SUBSTITUTE(SUBSTITUTE(SUBSTITUTE(SUBSTITUTE(SUBSTITUTE(SUBSTITUTE(SUBSTITUTE(SUBSTITUTE(SUBSTITUTE(SUBSTITUTE(LOWER(Z505&amp;""),CHAR(10),""),CHAR(13),""),CHAR(9),""),CHAR(160),"")," ",""),".",""),"-",""),"/",""),"?",""),"_",""),",",""),"[",""),"]",""),"(",""),")",""),"*","")</f>
        <v/>
      </c>
      <c r="AX505" s="61" t="str">
        <f aca="false">SUBSTITUTE(SUBSTITUTE(SUBSTITUTE(SUBSTITUTE(SUBSTITUTE(SUBSTITUTE(SUBSTITUTE(SUBSTITUTE(SUBSTITUTE(SUBSTITUTE(SUBSTITUTE(SUBSTITUTE(SUBSTITUTE(SUBSTITUTE(SUBSTITUTE(SUBSTITUTE(LOWER(AE505&amp;""),CHAR(10),""),CHAR(13),""),CHAR(9),""),CHAR(160),"")," ",""),".",""),"-",""),"/",""),"?",""),"_",""),",",""),"[",""),"]",""),"(",""),")",""),"*","")</f>
        <v/>
      </c>
      <c r="AY505" s="61" t="str">
        <f aca="false">SUBSTITUTE(SUBSTITUTE(SUBSTITUTE(SUBSTITUTE(SUBSTITUTE(SUBSTITUTE(SUBSTITUTE(SUBSTITUTE(SUBSTITUTE(SUBSTITUTE(SUBSTITUTE(SUBSTITUTE(SUBSTITUTE(SUBSTITUTE(SUBSTITUTE(SUBSTITUTE(LOWER(W505&amp;""),CHAR(10),""),CHAR(13),""),CHAR(9),""),CHAR(160),"")," ",""),".",""),"-",""),"/",""),"?",""),"_",""),",",""),"[",""),"]",""),"(",""),")",""),"*","")</f>
        <v/>
      </c>
      <c r="AZ505" s="61" t="str">
        <f aca="false">SUBSTITUTE(SUBSTITUTE(SUBSTITUTE(SUBSTITUTE(SUBSTITUTE(SUBSTITUTE(SUBSTITUTE(SUBSTITUTE(SUBSTITUTE(SUBSTITUTE(SUBSTITUTE(SUBSTITUTE(SUBSTITUTE(SUBSTITUTE(SUBSTITUTE(SUBSTITUTE(LOWER(AC505&amp;""),CHAR(10),""),CHAR(13),""),CHAR(9),""),CHAR(160),"")," ",""),".",""),"-",""),"/",""),"?",""),"_",""),",",""),"[",""),"]",""),"(",""),")",""),"*","")</f>
        <v/>
      </c>
      <c r="BA505" s="61" t="str">
        <f aca="false">SUBSTITUTE(SUBSTITUTE(SUBSTITUTE(SUBSTITUTE(SUBSTITUTE(SUBSTITUTE(SUBSTITUTE(SUBSTITUTE(SUBSTITUTE(SUBSTITUTE(SUBSTITUTE(SUBSTITUTE(SUBSTITUTE(SUBSTITUTE(SUBSTITUTE(SUBSTITUTE(LOWER(AA505&amp;""),CHAR(10),""),CHAR(13),""),CHAR(9),""),CHAR(160),"")," ",""),".",""),"-",""),"/",""),"?",""),"_",""),",",""),"[",""),"]",""),"(",""),")",""),"*","")</f>
        <v/>
      </c>
      <c r="BB505" s="61" t="str">
        <f aca="false">IF(AND(TRIM(U505)="Pass",ISNUMBER(AF505)),IF(AF505&lt;&gt;0,"INVALID – qty variance: use Fail or Pass after CA",""),"")&amp;IF(AND(TRIM(U505)="Pass after CA",ISNUMBER(AF505)),IF(AF505&lt;&gt;0,"INVALID – after the corrective action the actual qty must equal expected (update Actual)",""),"")&amp;IF(AND(TRIM(U505)="Pass",TRIM(AB505)&lt;&gt;"",TRIM(AB505)&lt;&gt;"Closed"),"INVALID – corrective action not closed: use Fail, then Pass after CA","")&amp;IF(AND(LEN(BA505)&gt;=2,ISNA(MATCH(LEFT(BA505,255),L_Placeholder,0)),TRIM(AB505)=""),"INVALID – CA status missing for the recorded corrective action","")&amp;IF(AND(TRIM(U505)="Pass after CA",OR(OR(LEN(BA505)&lt;5,ISNUMBER(MATCH(BA505,L_Placeholder,0))),TRIM(AB505)&lt;&gt;"Closed")),"INVALID – corrective action not recorded/closed","")</f>
        <v/>
      </c>
      <c r="BC505" s="61" t="str">
        <f aca="false">" "&amp;TRIM(SUBSTITUTE(SUBSTITUTE(SUBSTITUTE(SUBSTITUTE(SUBSTITUTE(SUBSTITUTE(SUBSTITUTE(SUBSTITUTE(SUBSTITUTE(SUBSTITUTE(SUBSTITUTE(SUBSTITUTE(SUBSTITUTE(SUBSTITUTE(SUBSTITUTE(SUBSTITUTE(SUBSTITUTE(SUBSTITUTE(SUBSTITUTE(SUBSTITUTE(SUBSTITUTE(SUBSTITUTE(SUBSTITUTE(SUBSTITUTE(LOWER(V505&amp;""),CHAR(10)," "),CHAR(13)," "),CHAR(9)," "),CHAR(160)," "),"."," "),","," "),"-"," "),"/"," "),"("," "),")"," "),":"," "),";"," "),"_"," "),"–"," "),"?"," "),"!"," "),"*"," "),"["," "),"]"," "),"'"," "),"#"," "),"+"," "),"&amp;"," "),"\"," "))&amp;" "</f>
        <v>  </v>
      </c>
      <c r="BD505" s="61" t="str">
        <f aca="false">" "&amp;TRIM(SUBSTITUTE(SUBSTITUTE(SUBSTITUTE(SUBSTITUTE(SUBSTITUTE(SUBSTITUTE(SUBSTITUTE(SUBSTITUTE(SUBSTITUTE(SUBSTITUTE(SUBSTITUTE(SUBSTITUTE(SUBSTITUTE(SUBSTITUTE(SUBSTITUTE(SUBSTITUTE(SUBSTITUTE(SUBSTITUTE(SUBSTITUTE(SUBSTITUTE(SUBSTITUTE(SUBSTITUTE(SUBSTITUTE(SUBSTITUTE(LOWER(Z505&amp;""),CHAR(10)," "),CHAR(13)," "),CHAR(9)," "),CHAR(160)," "),"."," "),","," "),"-"," "),"/"," "),"("," "),")"," "),":"," "),";"," "),"_"," "),"–"," "),"?"," "),"!"," "),"*"," "),"["," "),"]"," "),"'"," "),"#"," "),"+"," "),"&amp;"," "),"\"," "))&amp;" "</f>
        <v>  </v>
      </c>
      <c r="BE505" s="61" t="str">
        <f aca="false">" "&amp;TRIM(SUBSTITUTE(SUBSTITUTE(SUBSTITUTE(SUBSTITUTE(SUBSTITUTE(SUBSTITUTE(SUBSTITUTE(SUBSTITUTE(SUBSTITUTE(SUBSTITUTE(SUBSTITUTE(SUBSTITUTE(SUBSTITUTE(SUBSTITUTE(SUBSTITUTE(SUBSTITUTE(SUBSTITUTE(SUBSTITUTE(SUBSTITUTE(SUBSTITUTE(SUBSTITUTE(SUBSTITUTE(SUBSTITUTE(SUBSTITUTE(LOWER(W505&amp;""),CHAR(10)," "),CHAR(13)," "),CHAR(9)," "),CHAR(160)," "),"."," "),","," "),"-"," "),"/"," "),"("," "),")"," "),":"," "),";"," "),"_"," "),"–"," "),"?"," "),"!"," "),"*"," "),"["," "),"]"," "),"'"," "),"#"," "),"+"," "),"&amp;"," "),"\"," "))&amp;" "</f>
        <v>  </v>
      </c>
      <c r="BF505" s="61" t="str">
        <f aca="false">" "&amp;TRIM(SUBSTITUTE(SUBSTITUTE(SUBSTITUTE(SUBSTITUTE(SUBSTITUTE(SUBSTITUTE(SUBSTITUTE(SUBSTITUTE(SUBSTITUTE(SUBSTITUTE(SUBSTITUTE(SUBSTITUTE(SUBSTITUTE(SUBSTITUTE(SUBSTITUTE(SUBSTITUTE(SUBSTITUTE(SUBSTITUTE(SUBSTITUTE(SUBSTITUTE(SUBSTITUTE(SUBSTITUTE(SUBSTITUTE(SUBSTITUTE(LOWER(AC505&amp;""),CHAR(10)," "),CHAR(13)," "),CHAR(9)," "),CHAR(160)," "),"."," "),","," "),"-"," "),"/"," "),"("," "),")"," "),":"," "),";"," "),"_"," "),"–"," "),"?"," "),"!"," "),"*"," "),"["," "),"]"," "),"'"," "),"#"," "),"+"," "),"&amp;"," "),"\"," "))&amp;" "</f>
        <v>  </v>
      </c>
      <c r="BG505" s="61" t="n">
        <f aca="false">IFERROR(IF(AND(TRIM(U505)="Pass",SUMPRODUCT((LEN(BC505)-LEN(SUBSTITUTE(BC505," "&amp;L_ResultBad&amp;" "," ")))/(LEN(L_ResultBad)+1))&gt;SUMPRODUCT((LEN(BC505)-LEN(SUBSTITUTE(BC505," "&amp;L_NegPhrase&amp;" "," ")))/(LEN(L_NegPhrase)+1))),1,0),0)</f>
        <v>0</v>
      </c>
      <c r="BH505" s="61" t="n">
        <f aca="false">IFERROR(IF(SUMPRODUCT((LEN(BC505)-LEN(SUBSTITUTE(BC505," "&amp;L_Pending&amp;" "," ")))/(LEN(L_Pending)+1))&gt;SUMPRODUCT((LEN(BC505)-LEN(SUBSTITUTE(BC505," "&amp;L_PendNeg&amp;" "," ")))/(LEN(L_PendNeg)+1)),1,0),1)</f>
        <v>0</v>
      </c>
      <c r="BI505" s="61" t="n">
        <f aca="false">IFERROR(IF(SUMPRODUCT((LEN(BD505)-LEN(SUBSTITUTE(BD505," "&amp;L_PendStrict&amp;" "," ")))/(LEN(L_PendStrict)+1))&gt;SUMPRODUCT((LEN(BD505)-LEN(SUBSTITUTE(BD505," "&amp;L_PendNeg&amp;" "," ")))/(LEN(L_PendNeg)+1)),1,0),1)</f>
        <v>0</v>
      </c>
      <c r="BJ505" s="61" t="n">
        <f aca="false">IFERROR(IF(SUMPRODUCT((LEN(BE505)-LEN(SUBSTITUTE(BE505," "&amp;L_Pending&amp;" "," ")))/(LEN(L_Pending)+1))&gt;SUMPRODUCT((LEN(BE505)-LEN(SUBSTITUTE(BE505," "&amp;L_PendNeg&amp;" "," ")))/(LEN(L_PendNeg)+1)),1,0),1)</f>
        <v>0</v>
      </c>
      <c r="BK505" s="61" t="n">
        <f aca="false">IFERROR(IF(SUMPRODUCT((LEN(BF505)-LEN(SUBSTITUTE(BF505," "&amp;L_PendStrict&amp;" "," ")))/(LEN(L_PendStrict)+1))&gt;SUMPRODUCT((LEN(BF505)-LEN(SUBSTITUTE(BF505," "&amp;L_PendNeg&amp;" "," ")))/(LEN(L_PendNeg)+1)),1,0),1)</f>
        <v>0</v>
      </c>
      <c r="BL505" s="61" t="n">
        <f aca="false">IF(ISNA(MATCH(TRIM(S505),L_EvidenceType,0)),0,BZ505)</f>
        <v>0</v>
      </c>
      <c r="BM505" s="61" t="str">
        <f aca="false">SUBSTITUTE(SUBSTITUTE(SUBSTITUTE(SUBSTITUTE(SUBSTITUTE(SUBSTITUTE(SUBSTITUTE(SUBSTITUTE(SUBSTITUTE(LOWER(Z505&amp;""),"1","0"),"2","0"),"3","0"),"4","0"),"5","0"),"6","0"),"7","0"),"8","0"),"9","0")</f>
        <v/>
      </c>
      <c r="BN505" s="61" t="str">
        <f aca="false">SUBSTITUTE(SUBSTITUTE(SUBSTITUTE(SUBSTITUTE(SUBSTITUTE(SUBSTITUTE(SUBSTITUTE(SUBSTITUTE(SUBSTITUTE(SUBSTITUTE(SUBSTITUTE(SUBSTITUTE(SUBSTITUTE(SUBSTITUTE(SUBSTITUTE(SUBSTITUTE(SUBSTITUTE(SUBSTITUTE(SUBSTITUTE(SUBSTITUTE(SUBSTITUTE(SUBSTITUTE(SUBSTITUTE(SUBSTITUTE(SUBSTITUTE(BM505,"b","a"),"c","a"),"d","a"),"e","a"),"f","a"),"g","a"),"h","a"),"i","a"),"j","a"),"k","a"),"l","a"),"m","a"),"n","a"),"o","a"),"p","a"),"q","a"),"r","a"),"s","a"),"t","a"),"u","a"),"v","a"),"w","a"),"x","a"),"y","a"),"z","a")</f>
        <v/>
      </c>
      <c r="BO505" s="61" t="str">
        <f aca="false">SUBSTITUTE(SUBSTITUTE(SUBSTITUTE(SUBSTITUTE(SUBSTITUTE(SUBSTITUTE(SUBSTITUTE(SUBSTITUTE(SUBSTITUTE(LOWER(W505&amp;""),"1","0"),"2","0"),"3","0"),"4","0"),"5","0"),"6","0"),"7","0"),"8","0"),"9","0")</f>
        <v/>
      </c>
      <c r="BP505" s="61" t="str">
        <f aca="false">SUBSTITUTE(SUBSTITUTE(SUBSTITUTE(SUBSTITUTE(SUBSTITUTE(SUBSTITUTE(SUBSTITUTE(SUBSTITUTE(SUBSTITUTE(SUBSTITUTE(SUBSTITUTE(SUBSTITUTE(SUBSTITUTE(SUBSTITUTE(SUBSTITUTE(SUBSTITUTE(SUBSTITUTE(SUBSTITUTE(SUBSTITUTE(SUBSTITUTE(SUBSTITUTE(SUBSTITUTE(SUBSTITUTE(SUBSTITUTE(SUBSTITUTE(BO505,"b","a"),"c","a"),"d","a"),"e","a"),"f","a"),"g","a"),"h","a"),"i","a"),"j","a"),"k","a"),"l","a"),"m","a"),"n","a"),"o","a"),"p","a"),"q","a"),"r","a"),"s","a"),"t","a"),"u","a"),"v","a"),"w","a"),"x","a"),"y","a"),"z","a")</f>
        <v/>
      </c>
      <c r="BQ505" s="61" t="n">
        <f aca="false">IFERROR(IF(AND(ISERROR(SEARCH(" mh"," "&amp;LOWER(W505))),ISNA(MATCH(LEFT(TRIM(BP505),255),{"0000a","000a","00a","0000aa","000aa","00aa","0aa","0000aaa","000aaa","00a00","0a00","0000-0000","00:00","a00","a0","00.00.0000","00/00/0000","00-00-0000","0000-00-00","0000/00/00","0000.00.00","00.00.00","00/00/00","00-00-00","0.00.0000","0/00/0000","0-00-0000"},0)),ISNA(MATCH(LEFT(TRIM(CA505),255),{"0000a","000a","00a","0000aa","000aa","00aa","0aa","0000aaa","000aaa","00a00","0a00","0000-0000","00:00","a00","a0","00.00.0000","00/00/0000","00-00-0000","0000-00-00","0000/00/00","0000.00.00","00.00.00","00/00/00","00-00-00","0.00.0000","0/00/0000","0-00-0000"},0)),LEN(CB505)&gt;=3,NOT(OR(SUBSTITUTE(CB505,"0","")="",AND(LEN(CB505)&gt;=4,CB505=REPT(LEFT(CB505),LEN(CB505))),ISNUMBER(MATCH(CB505,{"123","1234","12345","123456","1234567","12345678","0123","01234","012345","98765","987654","54321"},0)),AND(LEN(CB505)=8,LEFT(CB505,3)="202"))),OR(AND((LEN(CA505)-LEN(SUBSTITUTE(CA505,"a","")))&gt;=1,SUMPRODUCT(--ISNUMBER(SEARCH({"a0","a-0","a_0","a/0","a.0","a#0","0a","0-a","0_a","0/a"},BP505)))&gt;0),ISNUMBER(SEARCH("000000",BP505)))),1,0),0)</f>
        <v>0</v>
      </c>
      <c r="BR505" s="61" t="n">
        <f aca="false">IFERROR(LEN(SUBSTITUTE(CC505," ",""))-SUMPRODUCT((LEN(CC505)-LEN(SUBSTITUTE(CC505," "&amp;L_Role&amp;" "," ")))/(LEN(L_Role)+1)*LEN(L_Role)),0)</f>
        <v>0</v>
      </c>
      <c r="BS505" s="61" t="n">
        <f aca="false">IFERROR(LEN(SUBSTITUTE(CD505," ",""))-SUMPRODUCT((LEN(CD505)-LEN(SUBSTITUTE(CD505," "&amp;L_Role&amp;" "," ")))/(LEN(L_Role)+1)*LEN(L_Role)),0)</f>
        <v>0</v>
      </c>
      <c r="BT5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505,"revision",""),"version",""),"jan",""),"feb",""),"mar",""),"apr",""),"may",""),"jun",""),"jul",""),"aug",""),"sep",""),"oct",""),"nov",""),"dec",""),"utc",""),"gmt",""),"myt",""),"bst",""),"rev",""),"ver",""),"b","a"),"c","a"),"d","a"),"e","a"),"f","a"),"g","a"),"h","a"),"i","a"),"j","a"),"k","a"),"l","a"),"m","a"),"n","a"),"o","a"),"p","a"),"q","a"),"r","a"),"s","a"),"t","a"),"u","a"),"v","a"),"w","a"),"x","a"),"y","a"),"z","a")</f>
        <v/>
      </c>
      <c r="BU505" s="61" t="str">
        <f aca="false">SUBSTITUTE(SUBSTITUTE(SUBSTITUTE(SUBSTITUTE(SUBSTITUTE(SUBSTITUTE(SUBSTITUTE(SUBSTITUTE(SUBSTITUTE(SUBSTITUTE(LEFT(BM505,FIND("0",BM505&amp;"0")-1),"-",""),"_",""),"/",""),".",""),"#",""),"\\",""),":","")," ",""),"(",""),")","")</f>
        <v/>
      </c>
      <c r="BV505" s="61" t="n">
        <f aca="false">IFERROR(IF(OR(SUMPRODUCT((LEN(BC505)-LEN(SUBSTITUTE(BC505," "&amp;L_NotLoaded&amp;" "," ")))/(LEN(L_NotLoaded)+1))&gt;SUMPRODUCT((LEN(BC505)-LEN(SUBSTITUTE(BC505," "&amp;L_NotLoadedNeg&amp;" "," ")))/(LEN(L_NotLoadedNeg)+1)),SUMPRODUCT((LEN(BD505)-LEN(SUBSTITUTE(BD505," "&amp;L_NotLoaded&amp;" "," ")))/(LEN(L_NotLoaded)+1))&gt;SUMPRODUCT((LEN(BD505)-LEN(SUBSTITUTE(BD505," "&amp;L_NotLoadedNeg&amp;" "," ")))/(LEN(L_NotLoadedNeg)+1))),1,0),0)</f>
        <v>0</v>
      </c>
      <c r="BW5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505&amp;""),"a",""),"b",""),"c",""),"d",""),"e",""),"f",""),"g",""),"h",""),"i",""),"j",""),"k",""),"l",""),"m",""),"n",""),"o",""),"p",""),"q",""),"r",""),"s",""),"t",""),"u",""),"v",""),"w",""),"x",""),"y",""),"z",""),"-",""),"_",""),"/",""),".",""),"#",""),"\\",""),":","")," ",""),"(",""),")","")</f>
        <v/>
      </c>
      <c r="BX505" s="61" t="str">
        <f aca="false">SUBSTITUTE(SUBSTITUTE(SUBSTITUTE(SUBSTITUTE(SUBSTITUTE(SUBSTITUTE(SUBSTITUTE(SUBSTITUTE(SUBSTITUTE(SUBSTITUTE(SUBSTITUTE(BM505,"0",""),"-",""),"_",""),"/",""),".",""),"#",""),"\\",""),":","")," ",""),"(",""),")","")</f>
        <v/>
      </c>
      <c r="BY505" s="62" t="n">
        <f aca="false">IF(ISNUMBER(Flights!$AZ$19),MAX(Q505-UpliftWindowH/24,Flights!$AZ$19),Q505-UpliftWindowH/24)</f>
        <v>46320.2083333333</v>
      </c>
      <c r="BZ505" s="61" t="n">
        <f aca="false">IFERROR(IF(IF(TRIM(S505)="Link / file path",AND(LEN(TRIM(Z505))&gt;=5,SUMPRODUCT(--ISNUMBER(SEARCH({"http","www.","\\",":\",".pdf",".jpg",".jpeg",".png",".heic",".xls",".doc",".msg",".eml",".ppt",".txt",".zip"},Z505)))&gt;0),AND(ISERROR(FIND(" ",TRIM(Z505))),NOT(OR(SUMPRODUCT(--ISNUMBER(FIND({",",";","&amp;","+"},Z505)))&gt;0,SUMPRODUCT(--ISNUMBER(SEARCH({"0/aa","0\\aa"},BN505)))&gt;0)),NOT(SUMPRODUCT(--ISNUMBER(SEARCH({"http","www.","\\",":\",".pdf",".jpg",".jpeg",".png",".heic",".xls",".doc",".msg",".eml",".ppt",".txt",".zip"},Z505)))&gt;0),NOT(LOWER(TRIM(Z505))=LOWER(Flights!$F$19)),ISNA(MATCH(BU505,{"mh","rev","revision","ver","version","v","r","a","b","seat","tray","row","gate","bay","stand","page","pg","item","line","no","cart","galley","flight","flt","table","box","bag","oven","etd","eta","std","sta","atd","ata","qty","pax","x","time","tel","ph","mob","day","wk","week","utc","gmt","myt","lt"},0)),NOT(OR(ISNUMBER(MATCH(LEFT(BN505,255),{"0000a","000a","00a","0000aa","000aa","00aa","0aa","0000aaa","000aaa","00a00","0a00","0000-0000","00:00","a00","a0","00.00.0000","00/00/0000","00-00-0000","0000-00-00","0000/00/00","0000.00.00","00.00.00","00/00/00","00-00-00","0.00.0000","0/00/0000","0-00-0000"},0)),ISNUMBER(MATCH(LEFT(BT505,255),{"0000a","000a","00a","0000aa","000aa","00aa","0aa","0000aaa","000aaa","00a00","0a00","0000-0000","00:00","a00","a0","00.00.0000","00/00/0000","00-00-0000","0000-00-00","0000/00/00","0000.00.00","00.00.00","00/00/00","00-00-00","0.00.0000","0/00/0000","0-00-0000"},0)))),NOT(OR(AND(BW505&lt;&gt;"",SUBSTITUTE(BW505,"0","")=""),AND(LEN(BW505)&gt;=4,BW505=REPT(LEFT(BW505),LEN(BW505))),ISNUMBER(MATCH(BW505,{"123","1234","12345","123456","1234567","12345678","0123","01234","012345","98765","987654","54321"},0)),ISNUMBER(MATCH(BX505,{"x","xx","xxx","xxxx","xxxxx","abc","abcd","nil","na","nan","test","tbc","tba","tbd","dummy","sample","example","eg","zz","zzz","none","null","xyz","qwe","asd","id","ref"},0)),AND(LEN(BW505)=8,BX505="",OR(LEFT(BW505,3)="202",ISNUMBER(MATCH(RIGHT(BW505,4),{"2025","2026","2027"},0)))))),OR(AND((LEN(BT505)-LEN(SUBSTITUTE(BT505,"a","")))&gt;=1,(LEN(BN505)-LEN(SUBSTITUTE(BN505,"0","")))&gt;=2,SUMPRODUCT(--ISNUMBER(SEARCH({"a0","a-0","a_0","a/0","a.0","a#0","0a","0-a","0_a","0/a"},BN505)))&gt;0),AND((LEN(BN505)-LEN(SUBSTITUTE(BN505,"a","")))=0,(LEN(BN505)-LEN(SUBSTITUTE(BN505,"0","")))&gt;=5)))),1,0),0)</f>
        <v>0</v>
      </c>
      <c r="CA5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505,"revision",""),"version",""),"jan",""),"feb",""),"mar",""),"apr",""),"may",""),"jun",""),"jul",""),"aug",""),"sep",""),"oct",""),"nov",""),"dec",""),"utc",""),"gmt",""),"myt",""),"bst",""),"rev",""),"ver",""),"b","a"),"c","a"),"d","a"),"e","a"),"f","a"),"g","a"),"h","a"),"i","a"),"j","a"),"k","a"),"l","a"),"m","a"),"n","a"),"o","a"),"p","a"),"q","a"),"r","a"),"s","a"),"t","a"),"u","a"),"v","a"),"w","a"),"x","a"),"y","a"),"z","a")</f>
        <v/>
      </c>
      <c r="CB5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505&amp;""),"a",""),"b",""),"c",""),"d",""),"e",""),"f",""),"g",""),"h",""),"i",""),"j",""),"k",""),"l",""),"m",""),"n",""),"o",""),"p",""),"q",""),"r",""),"s",""),"t",""),"u",""),"v",""),"w",""),"x",""),"y",""),"z",""),"-",""),"_",""),"/",""),".",""),"#",""),"\\",""),":","")," ",""),"(",""),")","")</f>
        <v/>
      </c>
      <c r="CC505" s="0" t="str">
        <f aca="false">" "&amp;TRIM(SUBSTITUTE(SUBSTITUTE(SUBSTITUTE(SUBSTITUTE(SUBSTITUTE(SUBSTITUTE(SUBSTITUTE(SUBSTITUTE(SUBSTITUTE(SUBSTITUTE(SUBSTITUTE(SUBSTITUTE(SUBSTITUTE(SUBSTITUTE(SUBSTITUTE(SUBSTITUTE(SUBSTITUTE(SUBSTITUTE(SUBSTITUTE(SUBSTITUTE(SUBSTITUTE(SUBSTITUTE(SUBSTITUTE(SUBSTITUTE(LOWER(T505&amp;""),CHAR(10)," "),CHAR(13)," "),CHAR(9)," "),CHAR(160)," "),"."," "),","," "),"-"," "),"/"," "),"("," "),")"," "),":"," "),";"," "),"_"," "),"–"," "),"?"," "),"!"," "),"*"," "),"["," "),"]"," "),"'"," "),"#"," "),"+"," "),"&amp;"," "),"\"," "))&amp;" "</f>
        <v>  </v>
      </c>
      <c r="CD505" s="0" t="str">
        <f aca="false">" "&amp;TRIM(SUBSTITUTE(SUBSTITUTE(SUBSTITUTE(SUBSTITUTE(SUBSTITUTE(SUBSTITUTE(SUBSTITUTE(SUBSTITUTE(SUBSTITUTE(SUBSTITUTE(SUBSTITUTE(SUBSTITUTE(SUBSTITUTE(SUBSTITUTE(SUBSTITUTE(SUBSTITUTE(SUBSTITUTE(SUBSTITUTE(SUBSTITUTE(SUBSTITUTE(SUBSTITUTE(SUBSTITUTE(SUBSTITUTE(SUBSTITUTE(LOWER(AE505&amp;""),CHAR(10)," "),CHAR(13)," "),CHAR(9)," "),CHAR(160)," "),"."," "),","," "),"-"," "),"/"," "),"("," "),")"," "),":"," "),";"," "),"_"," "),"–"," "),"?"," "),"!"," "),"*"," "),"["," "),"]"," "),"'"," "),"#"," "),"+"," "),"&amp;"," "),"\"," "))&amp;" "</f>
        <v>  </v>
      </c>
      <c r="CE505" s="68" t="n">
        <f aca="false">IFERROR(IF(AND(LEN(AU505)&gt;0,LEN(AU505)=LEN(AX505),OR(TRIM(MID(SUBSTITUTE(TRIM(CC505)," ",REPT(" ",60)),1,60))="",ISNUMBER(SEARCH(" "&amp;TRIM(MID(SUBSTITUTE(TRIM(CC505)," ",REPT(" ",60)),1,60))&amp;" ",CD505))),OR(TRIM(MID(SUBSTITUTE(TRIM(CC505)," ",REPT(" ",60)),61,60))="",ISNUMBER(SEARCH(" "&amp;TRIM(MID(SUBSTITUTE(TRIM(CC505)," ",REPT(" ",60)),61,60))&amp;" ",CD505))),OR(TRIM(MID(SUBSTITUTE(TRIM(CC505)," ",REPT(" ",60)),121,60))="",ISNUMBER(SEARCH(" "&amp;TRIM(MID(SUBSTITUTE(TRIM(CC505)," ",REPT(" ",60)),121,60))&amp;" ",CD505)))),1,0),0)</f>
        <v>0</v>
      </c>
      <c r="CG505" s="68" t="n">
        <f aca="false">IFERROR(LEN(SUBSTITUTE(BF505," ",""))-SUMPRODUCT((LEN(BF505)-LEN(SUBSTITUTE(BF505," "&amp;L_NAFiller&amp;" "," ")))/(LEN(L_NAFiller)+1)*LEN(L_NAFiller)),0)</f>
        <v>0</v>
      </c>
    </row>
    <row r="506" customFormat="false" ht="39.75" hidden="false" customHeight="true" outlineLevel="0" collapsed="false">
      <c r="A506" s="57" t="s">
        <v>1161</v>
      </c>
      <c r="B506" s="57" t="s">
        <v>280</v>
      </c>
      <c r="C506" s="57" t="str">
        <f aca="false">Flights!$F$20</f>
        <v>MH0072</v>
      </c>
      <c r="D506" s="58" t="n">
        <f aca="false">Flights!$D$20</f>
        <v>46321</v>
      </c>
      <c r="E506" s="57" t="str">
        <f aca="false">Flights!$G$20&amp;"-"&amp;Flights!$H$20</f>
        <v>KUL-HKG</v>
      </c>
      <c r="F506" s="57" t="str">
        <f aca="false">Flights!$K$20</f>
        <v>EY</v>
      </c>
      <c r="G506" s="57" t="s">
        <v>81</v>
      </c>
      <c r="H506" s="57" t="s">
        <v>378</v>
      </c>
      <c r="I506" s="57" t="s">
        <v>379</v>
      </c>
      <c r="J506" s="57" t="s">
        <v>380</v>
      </c>
      <c r="K506" s="67" t="s">
        <v>381</v>
      </c>
      <c r="L506" s="67" t="s">
        <v>382</v>
      </c>
      <c r="M506" s="67"/>
      <c r="N506" s="67" t="s">
        <v>383</v>
      </c>
      <c r="O506" s="67"/>
      <c r="P506" s="57" t="s">
        <v>187</v>
      </c>
      <c r="Q506" s="59" t="n">
        <f aca="false">ROUND((Flights!$AC$20)*1440,0)/1440</f>
        <v>46314.0486111111</v>
      </c>
      <c r="R506" s="59" t="n">
        <f aca="false">Q506+(IF(AND(INDEX(TZ_DSTS,MATCH(P506,TZ_STN,0))&lt;&gt;"",Q506&gt;=INDEX(TZ_DSTS,MATCH(P506,TZ_STN,0)),Q506&lt;INDEX(TZ_DSTE,MATCH(P506,TZ_STN,0))),INDEX(TZ_DST,MATCH(P506,TZ_STN,0)),INDEX(TZ_STD,MATCH(P506,TZ_STN,0))))/24</f>
        <v>46314.3819444444</v>
      </c>
      <c r="S506" s="60"/>
      <c r="T506" s="60"/>
      <c r="U506" s="60"/>
      <c r="V506" s="60"/>
      <c r="W506" s="61"/>
      <c r="X506" s="60"/>
      <c r="Y506" s="60"/>
      <c r="Z506" s="60"/>
      <c r="AA506" s="60"/>
      <c r="AB506" s="60"/>
      <c r="AC506" s="60"/>
      <c r="AD506" s="66"/>
      <c r="AE506" s="60"/>
      <c r="AF506" s="61" t="str">
        <f aca="false">IF(AND(ISNUMBER(X506),ISNUMBER(Y506)),Y506-X506,"")</f>
        <v/>
      </c>
      <c r="AG506" s="62" t="str">
        <f aca="false">IF(ISNUMBER(AD506),AD506-(IF(AND(INDEX(TZ_DSTS,MATCH(P506,TZ_STN,0))&lt;&gt;"",(AD506-INDEX(TZ_STD,MATCH(P506,TZ_STN,0))/24)&gt;=INDEX(TZ_DSTS,MATCH(P506,TZ_STN,0)),(AD506-INDEX(TZ_STD,MATCH(P506,TZ_STN,0))/24)&lt;INDEX(TZ_DSTE,MATCH(P506,TZ_STN,0))),INDEX(TZ_DST,MATCH(P506,TZ_STN,0)),INDEX(TZ_STD,MATCH(P506,TZ_STN,0))))/24,"")</f>
        <v/>
      </c>
      <c r="AH506" s="65" t="str">
        <f aca="false">IFERROR(IF(N506="N/A – rule",IF(OR(TRIM(U506)="",TRIM(U506)="N/A",TRIM(U506)="Not started"),"N/A – RULE","INVALID – this check does not apply to this aircraft: clear the status (or correct the fleet on Flights)"),IF(TRIM(U506)="N/A",IF(AT506=0,"INVALID – N/A not permitted for this check",IF(AND(TRIM(AB506)&lt;&gt;"",TRIM(AB506)&lt;&gt;"Closed"),"INVALID – corrective action still open",IF(AND(NOT(OR(LEN(AZ506)&lt;15,ISNUMBER(MATCH(AZ506,L_Placeholder,0)))),BK506=0,CG506&gt;=8,NOT(OR(LEN(AU506)&lt;2,ISNUMBER(MATCH(AU506,L_Placeholder,0)))),BR506&gt;=3,NOT(OR(LEN(AX506)&lt;2,ISNUMBER(MATCH(AX506,L_Placeholder,0)))),BS506&gt;=3,TRIM(AE506)&lt;&gt;TRIM(T506),AX506&lt;&gt;AU506,CE506=0),"N/A – JUSTIFIED","INVALID – N/A needs a real, settled reason (not 'not applicable' / 'as above' / TBC), a named PIC and a different named verifier"))),IF(OR(TRIM(U506)="Pass",TRIM(U506)="Pass after CA"),IF(NOT(ISNUMBER(AD506)),"INVALID – completion time missing",IF(OR(OR(LEN(AU506)&lt;2,ISNUMBER(MATCH(AU506,L_Placeholder,0))),BR506&lt;3),"INVALID – PIC missing or not a named person (a role such as QA / CSM is not a name)",IF(OR(LEN(AV506)&lt;2,ISNUMBER(MATCH(AV506,L_Placeholder,0))),"INVALID – result / assessment missing",IF(OR(OR(LEN(AW506)&lt;3,ISNUMBER(MATCH(AW506,L_Placeholder,0))),SUMPRODUCT(--ISNUMBER(SEARCH(" "&amp;L_EvidencePhrase&amp;" ",BD506)))&gt;0,BI506=1),"INVALID – evidence missing, placeholder or not yet on file",IF(ISNA(MATCH(TRIM(S506),L_EvidenceType,0)),"INVALID – choose the evidence type from the list (column S)",IF(BL506=0,"INVALID – evidence ID must be the record's own ID only (e.g. SF-2210, IMG_2231, 1045521); a link / file name needs type 'Link / file path'",IF(OR(OR(LEN(AX506)&lt;2,ISNUMBER(MATCH(AX506,L_Placeholder,0))),BS506&lt;3),"INVALID – verifier missing or not a named person (a role such as QA / CSM is not a name)",IF(OR(AX506=AU506,CE506=1,AND(LEN(AU506)&gt;=4,ISNUMBER(SEARCH(AU506,AX506))),AND(LEN(AX506)&gt;=4,ISNUMBER(SEARCH(AX506,AU506)))),"INVALID – verifier must be a different, named person (not the PIC or a role)",IF(BH506=1,"INVALID – result not yet available (awaiting / TBC)",IF(BG506=1,"INVALID – result describes a problem: record Fail, then Pass after CA (or reword if it is not a problem)",IF(BV506=1,"INVALID – wording says not on board: an on-board confirmation needs the item loaded",IF(AND(AQ506=1,OR(OR(LEN(AY506)&lt;3,ISNUMBER(MATCH(AY506,L_Placeholder,0))),BJ506=1,BQ506=0)),"INVALID – batch ID missing, placeholder or not an ID (e.g. PASB-261008-BC-017)",IF(AND(AR506=1,OR(NOT(ISNUMBER(X506)),NOT(ISNUMBER(Y506)))),"INVALID – expected/actual qty missing",IF(AND(AR506=1,OR(X506&lt;=0,Y506&lt;0)),"INVALID – expected qty must be above 0 and actual not negative",IF(BB506&lt;&gt;"",BB506,IF(AND(AS506=1,Documents!$J$20&lt;&gt;"ON FILE"),"INVALID – GLD not on file (Documents sheet)",IF(AND(AS506=2,Documents!$O$20&lt;&gt;"ON FILE"),"INVALID – menu checklist not on file (Documents sheet)",IF(AND(AS506=3,NOT(ISNUMBER(Flights!$AX$20))),"INVALID – enter carrying flight KUL departure (Flights AX)",IF(AND(AS506=3,OR(Flights!$AZ$20&gt;Flights!$AA$20,Flights!$AX$20&lt;Flights!$AA$20-3)),"INVALID – carrying flight (Flights AX) cannot arrive before this leg's STD, or is over 3 days early",IF(AG506&gt;AsOfUTC,"INVALID – completion time is in the future",IF(AND(ISNUMBER(BY506),AG506&lt;BY506),IF(H506="Physical uplift","INVALID – before uplift window (cannot confirm loading)","INVALID – before valid window"),IF(AG506&gt;Flights!$AA$20,"INVALID – completed after departure (cannot establish readiness)",IF(AND(H506="Preparation",AG506&gt;=IF(ISNUMBER(Flights!$BA$20),MIN(Flights!$BA$20,Flights!$AA$20),Flights!$AA$20)),"INVALID – completed after loading / departure (cannot establish readiness)",IF(AND(H506="Physical uplift",AG506&gt;Q506),"INVALID – recorded after the loading flight departed",IF(AG506&gt;Q506,"COMPLETE – LATE","COMPLETE"))))))))))))))))))))))))),IF(TRIM(U506)="Fail","FAIL – DISCREPANCY",IF(AND(TRIM(U506)&lt;&gt;"",TRIM(U506)&lt;&gt;"Not started",TRIM(U506)&lt;&gt;"In progress"),"INVALID – unrecognised status (use the list)",IF(AsOfUTC&gt;Q506,"OVERDUE",IF(N506="Clarification required","OPEN – CLARIFICATION","OPEN"))))))),"INVALID – error value in an input cell")</f>
        <v>OPEN</v>
      </c>
      <c r="AI506" s="61" t="n">
        <f aca="false">IF(OR(AH506="N/A – RULE",AH506="N/A – JUSTIFIED"),0,1)</f>
        <v>1</v>
      </c>
      <c r="AJ506" s="61" t="n">
        <f aca="false">IF(LEFT(AH506,8)="COMPLETE",1,0)</f>
        <v>0</v>
      </c>
      <c r="AK506" s="61" t="n">
        <f aca="false">IF(AND(AI506=1,AJ506=0,AsOfUTC&gt;Q506),1,0)</f>
        <v>0</v>
      </c>
      <c r="AL506" s="61" t="n">
        <f aca="false">IFERROR(IF(AND(AI506=1,OR(TRIM(U506)="Fail",AND(TRIM(AB506)&lt;&gt;"",TRIM(AB506)&lt;&gt;"Closed"),AND(ISNUMBER(AF506),AF506&lt;&gt;0,TRIM(U506)&lt;&gt;"Pass after CA"))),1,0),1)</f>
        <v>0</v>
      </c>
      <c r="AM506" s="61" t="n">
        <f aca="false">IF(LEFT(AH506,7)="INVALID",1,0)</f>
        <v>0</v>
      </c>
      <c r="AN506" s="61" t="n">
        <f aca="false">IF(AND(N506="Clarification required",AI506=1,AJ506=0),1,0)</f>
        <v>0</v>
      </c>
      <c r="AO506" s="61" t="str">
        <f aca="false">IF(AK506=1,SUM(AK$5:AK506),"")</f>
        <v/>
      </c>
      <c r="AP506" s="61" t="str">
        <f aca="false">IF(AL506=1,SUM(AL$5:AL506),"")</f>
        <v/>
      </c>
      <c r="AQ506" s="61" t="n">
        <v>0</v>
      </c>
      <c r="AR506" s="61" t="n">
        <v>0</v>
      </c>
      <c r="AS506" s="61" t="n">
        <v>0</v>
      </c>
      <c r="AT506" s="61" t="n">
        <v>0</v>
      </c>
      <c r="AU506" s="61" t="str">
        <f aca="false">SUBSTITUTE(SUBSTITUTE(SUBSTITUTE(SUBSTITUTE(SUBSTITUTE(SUBSTITUTE(SUBSTITUTE(SUBSTITUTE(SUBSTITUTE(SUBSTITUTE(SUBSTITUTE(SUBSTITUTE(SUBSTITUTE(SUBSTITUTE(SUBSTITUTE(SUBSTITUTE(LOWER(T506&amp;""),CHAR(10),""),CHAR(13),""),CHAR(9),""),CHAR(160),"")," ",""),".",""),"-",""),"/",""),"?",""),"_",""),",",""),"[",""),"]",""),"(",""),")",""),"*","")</f>
        <v/>
      </c>
      <c r="AV506" s="61" t="str">
        <f aca="false">SUBSTITUTE(SUBSTITUTE(SUBSTITUTE(SUBSTITUTE(SUBSTITUTE(SUBSTITUTE(SUBSTITUTE(SUBSTITUTE(SUBSTITUTE(SUBSTITUTE(SUBSTITUTE(SUBSTITUTE(SUBSTITUTE(SUBSTITUTE(SUBSTITUTE(SUBSTITUTE(LOWER(V506&amp;""),CHAR(10),""),CHAR(13),""),CHAR(9),""),CHAR(160),"")," ",""),".",""),"-",""),"/",""),"?",""),"_",""),",",""),"[",""),"]",""),"(",""),")",""),"*","")</f>
        <v/>
      </c>
      <c r="AW506" s="61" t="str">
        <f aca="false">SUBSTITUTE(SUBSTITUTE(SUBSTITUTE(SUBSTITUTE(SUBSTITUTE(SUBSTITUTE(SUBSTITUTE(SUBSTITUTE(SUBSTITUTE(SUBSTITUTE(SUBSTITUTE(SUBSTITUTE(SUBSTITUTE(SUBSTITUTE(SUBSTITUTE(SUBSTITUTE(LOWER(Z506&amp;""),CHAR(10),""),CHAR(13),""),CHAR(9),""),CHAR(160),"")," ",""),".",""),"-",""),"/",""),"?",""),"_",""),",",""),"[",""),"]",""),"(",""),")",""),"*","")</f>
        <v/>
      </c>
      <c r="AX506" s="61" t="str">
        <f aca="false">SUBSTITUTE(SUBSTITUTE(SUBSTITUTE(SUBSTITUTE(SUBSTITUTE(SUBSTITUTE(SUBSTITUTE(SUBSTITUTE(SUBSTITUTE(SUBSTITUTE(SUBSTITUTE(SUBSTITUTE(SUBSTITUTE(SUBSTITUTE(SUBSTITUTE(SUBSTITUTE(LOWER(AE506&amp;""),CHAR(10),""),CHAR(13),""),CHAR(9),""),CHAR(160),"")," ",""),".",""),"-",""),"/",""),"?",""),"_",""),",",""),"[",""),"]",""),"(",""),")",""),"*","")</f>
        <v/>
      </c>
      <c r="AY506" s="61" t="str">
        <f aca="false">SUBSTITUTE(SUBSTITUTE(SUBSTITUTE(SUBSTITUTE(SUBSTITUTE(SUBSTITUTE(SUBSTITUTE(SUBSTITUTE(SUBSTITUTE(SUBSTITUTE(SUBSTITUTE(SUBSTITUTE(SUBSTITUTE(SUBSTITUTE(SUBSTITUTE(SUBSTITUTE(LOWER(W506&amp;""),CHAR(10),""),CHAR(13),""),CHAR(9),""),CHAR(160),"")," ",""),".",""),"-",""),"/",""),"?",""),"_",""),",",""),"[",""),"]",""),"(",""),")",""),"*","")</f>
        <v/>
      </c>
      <c r="AZ506" s="61" t="str">
        <f aca="false">SUBSTITUTE(SUBSTITUTE(SUBSTITUTE(SUBSTITUTE(SUBSTITUTE(SUBSTITUTE(SUBSTITUTE(SUBSTITUTE(SUBSTITUTE(SUBSTITUTE(SUBSTITUTE(SUBSTITUTE(SUBSTITUTE(SUBSTITUTE(SUBSTITUTE(SUBSTITUTE(LOWER(AC506&amp;""),CHAR(10),""),CHAR(13),""),CHAR(9),""),CHAR(160),"")," ",""),".",""),"-",""),"/",""),"?",""),"_",""),",",""),"[",""),"]",""),"(",""),")",""),"*","")</f>
        <v/>
      </c>
      <c r="BA506" s="61" t="str">
        <f aca="false">SUBSTITUTE(SUBSTITUTE(SUBSTITUTE(SUBSTITUTE(SUBSTITUTE(SUBSTITUTE(SUBSTITUTE(SUBSTITUTE(SUBSTITUTE(SUBSTITUTE(SUBSTITUTE(SUBSTITUTE(SUBSTITUTE(SUBSTITUTE(SUBSTITUTE(SUBSTITUTE(LOWER(AA506&amp;""),CHAR(10),""),CHAR(13),""),CHAR(9),""),CHAR(160),"")," ",""),".",""),"-",""),"/",""),"?",""),"_",""),",",""),"[",""),"]",""),"(",""),")",""),"*","")</f>
        <v/>
      </c>
      <c r="BB506" s="61" t="str">
        <f aca="false">IF(AND(TRIM(U506)="Pass",ISNUMBER(AF506)),IF(AF506&lt;&gt;0,"INVALID – qty variance: use Fail or Pass after CA",""),"")&amp;IF(AND(TRIM(U506)="Pass after CA",ISNUMBER(AF506)),IF(AF506&lt;&gt;0,"INVALID – after the corrective action the actual qty must equal expected (update Actual)",""),"")&amp;IF(AND(TRIM(U506)="Pass",TRIM(AB506)&lt;&gt;"",TRIM(AB506)&lt;&gt;"Closed"),"INVALID – corrective action not closed: use Fail, then Pass after CA","")&amp;IF(AND(LEN(BA506)&gt;=2,ISNA(MATCH(LEFT(BA506,255),L_Placeholder,0)),TRIM(AB506)=""),"INVALID – CA status missing for the recorded corrective action","")&amp;IF(AND(TRIM(U506)="Pass after CA",OR(OR(LEN(BA506)&lt;5,ISNUMBER(MATCH(BA506,L_Placeholder,0))),TRIM(AB506)&lt;&gt;"Closed")),"INVALID – corrective action not recorded/closed","")</f>
        <v/>
      </c>
      <c r="BC506" s="61" t="str">
        <f aca="false">" "&amp;TRIM(SUBSTITUTE(SUBSTITUTE(SUBSTITUTE(SUBSTITUTE(SUBSTITUTE(SUBSTITUTE(SUBSTITUTE(SUBSTITUTE(SUBSTITUTE(SUBSTITUTE(SUBSTITUTE(SUBSTITUTE(SUBSTITUTE(SUBSTITUTE(SUBSTITUTE(SUBSTITUTE(SUBSTITUTE(SUBSTITUTE(SUBSTITUTE(SUBSTITUTE(SUBSTITUTE(SUBSTITUTE(SUBSTITUTE(SUBSTITUTE(LOWER(V506&amp;""),CHAR(10)," "),CHAR(13)," "),CHAR(9)," "),CHAR(160)," "),"."," "),","," "),"-"," "),"/"," "),"("," "),")"," "),":"," "),";"," "),"_"," "),"–"," "),"?"," "),"!"," "),"*"," "),"["," "),"]"," "),"'"," "),"#"," "),"+"," "),"&amp;"," "),"\"," "))&amp;" "</f>
        <v>  </v>
      </c>
      <c r="BD506" s="61" t="str">
        <f aca="false">" "&amp;TRIM(SUBSTITUTE(SUBSTITUTE(SUBSTITUTE(SUBSTITUTE(SUBSTITUTE(SUBSTITUTE(SUBSTITUTE(SUBSTITUTE(SUBSTITUTE(SUBSTITUTE(SUBSTITUTE(SUBSTITUTE(SUBSTITUTE(SUBSTITUTE(SUBSTITUTE(SUBSTITUTE(SUBSTITUTE(SUBSTITUTE(SUBSTITUTE(SUBSTITUTE(SUBSTITUTE(SUBSTITUTE(SUBSTITUTE(SUBSTITUTE(LOWER(Z506&amp;""),CHAR(10)," "),CHAR(13)," "),CHAR(9)," "),CHAR(160)," "),"."," "),","," "),"-"," "),"/"," "),"("," "),")"," "),":"," "),";"," "),"_"," "),"–"," "),"?"," "),"!"," "),"*"," "),"["," "),"]"," "),"'"," "),"#"," "),"+"," "),"&amp;"," "),"\"," "))&amp;" "</f>
        <v>  </v>
      </c>
      <c r="BE506" s="61" t="str">
        <f aca="false">" "&amp;TRIM(SUBSTITUTE(SUBSTITUTE(SUBSTITUTE(SUBSTITUTE(SUBSTITUTE(SUBSTITUTE(SUBSTITUTE(SUBSTITUTE(SUBSTITUTE(SUBSTITUTE(SUBSTITUTE(SUBSTITUTE(SUBSTITUTE(SUBSTITUTE(SUBSTITUTE(SUBSTITUTE(SUBSTITUTE(SUBSTITUTE(SUBSTITUTE(SUBSTITUTE(SUBSTITUTE(SUBSTITUTE(SUBSTITUTE(SUBSTITUTE(LOWER(W506&amp;""),CHAR(10)," "),CHAR(13)," "),CHAR(9)," "),CHAR(160)," "),"."," "),","," "),"-"," "),"/"," "),"("," "),")"," "),":"," "),";"," "),"_"," "),"–"," "),"?"," "),"!"," "),"*"," "),"["," "),"]"," "),"'"," "),"#"," "),"+"," "),"&amp;"," "),"\"," "))&amp;" "</f>
        <v>  </v>
      </c>
      <c r="BF506" s="61" t="str">
        <f aca="false">" "&amp;TRIM(SUBSTITUTE(SUBSTITUTE(SUBSTITUTE(SUBSTITUTE(SUBSTITUTE(SUBSTITUTE(SUBSTITUTE(SUBSTITUTE(SUBSTITUTE(SUBSTITUTE(SUBSTITUTE(SUBSTITUTE(SUBSTITUTE(SUBSTITUTE(SUBSTITUTE(SUBSTITUTE(SUBSTITUTE(SUBSTITUTE(SUBSTITUTE(SUBSTITUTE(SUBSTITUTE(SUBSTITUTE(SUBSTITUTE(SUBSTITUTE(LOWER(AC506&amp;""),CHAR(10)," "),CHAR(13)," "),CHAR(9)," "),CHAR(160)," "),"."," "),","," "),"-"," "),"/"," "),"("," "),")"," "),":"," "),";"," "),"_"," "),"–"," "),"?"," "),"!"," "),"*"," "),"["," "),"]"," "),"'"," "),"#"," "),"+"," "),"&amp;"," "),"\"," "))&amp;" "</f>
        <v>  </v>
      </c>
      <c r="BG506" s="61" t="n">
        <f aca="false">IFERROR(IF(AND(TRIM(U506)="Pass",SUMPRODUCT((LEN(BC506)-LEN(SUBSTITUTE(BC506," "&amp;L_ResultBad&amp;" "," ")))/(LEN(L_ResultBad)+1))&gt;SUMPRODUCT((LEN(BC506)-LEN(SUBSTITUTE(BC506," "&amp;L_NegPhrase&amp;" "," ")))/(LEN(L_NegPhrase)+1))),1,0),0)</f>
        <v>0</v>
      </c>
      <c r="BH506" s="61" t="n">
        <f aca="false">IFERROR(IF(SUMPRODUCT((LEN(BC506)-LEN(SUBSTITUTE(BC506," "&amp;L_Pending&amp;" "," ")))/(LEN(L_Pending)+1))&gt;SUMPRODUCT((LEN(BC506)-LEN(SUBSTITUTE(BC506," "&amp;L_PendNeg&amp;" "," ")))/(LEN(L_PendNeg)+1))+SUMPRODUCT((LEN(BC506)-LEN(SUBSTITUTE(BC506," "&amp;L_PendPrep&amp;" "," ")))/(LEN(L_PendPrep)+1)),1,0),1)</f>
        <v>0</v>
      </c>
      <c r="BI506" s="61" t="n">
        <f aca="false">IFERROR(IF(SUMPRODUCT((LEN(BD506)-LEN(SUBSTITUTE(BD506," "&amp;L_PendStrict&amp;" "," ")))/(LEN(L_PendStrict)+1))&gt;SUMPRODUCT((LEN(BD506)-LEN(SUBSTITUTE(BD506," "&amp;L_PendNeg&amp;" "," ")))/(LEN(L_PendNeg)+1)),1,0),1)</f>
        <v>0</v>
      </c>
      <c r="BJ506" s="61" t="n">
        <f aca="false">IFERROR(IF(SUMPRODUCT((LEN(BE506)-LEN(SUBSTITUTE(BE506," "&amp;L_Pending&amp;" "," ")))/(LEN(L_Pending)+1))&gt;SUMPRODUCT((LEN(BE506)-LEN(SUBSTITUTE(BE506," "&amp;L_PendNeg&amp;" "," ")))/(LEN(L_PendNeg)+1))+SUMPRODUCT((LEN(BE506)-LEN(SUBSTITUTE(BE506," "&amp;L_PendPrep&amp;" "," ")))/(LEN(L_PendPrep)+1)),1,0),1)</f>
        <v>0</v>
      </c>
      <c r="BK506" s="61" t="n">
        <f aca="false">IFERROR(IF(SUMPRODUCT((LEN(BF506)-LEN(SUBSTITUTE(BF506," "&amp;L_PendStrict&amp;" "," ")))/(LEN(L_PendStrict)+1))&gt;SUMPRODUCT((LEN(BF506)-LEN(SUBSTITUTE(BF506," "&amp;L_PendNeg&amp;" "," ")))/(LEN(L_PendNeg)+1)),1,0),1)</f>
        <v>0</v>
      </c>
      <c r="BL506" s="61" t="n">
        <f aca="false">IF(ISNA(MATCH(TRIM(S506),L_EvidenceType,0)),0,BZ506)</f>
        <v>0</v>
      </c>
      <c r="BM506" s="61" t="str">
        <f aca="false">SUBSTITUTE(SUBSTITUTE(SUBSTITUTE(SUBSTITUTE(SUBSTITUTE(SUBSTITUTE(SUBSTITUTE(SUBSTITUTE(SUBSTITUTE(LOWER(Z506&amp;""),"1","0"),"2","0"),"3","0"),"4","0"),"5","0"),"6","0"),"7","0"),"8","0"),"9","0")</f>
        <v/>
      </c>
      <c r="BN506" s="61" t="str">
        <f aca="false">SUBSTITUTE(SUBSTITUTE(SUBSTITUTE(SUBSTITUTE(SUBSTITUTE(SUBSTITUTE(SUBSTITUTE(SUBSTITUTE(SUBSTITUTE(SUBSTITUTE(SUBSTITUTE(SUBSTITUTE(SUBSTITUTE(SUBSTITUTE(SUBSTITUTE(SUBSTITUTE(SUBSTITUTE(SUBSTITUTE(SUBSTITUTE(SUBSTITUTE(SUBSTITUTE(SUBSTITUTE(SUBSTITUTE(SUBSTITUTE(SUBSTITUTE(BM506,"b","a"),"c","a"),"d","a"),"e","a"),"f","a"),"g","a"),"h","a"),"i","a"),"j","a"),"k","a"),"l","a"),"m","a"),"n","a"),"o","a"),"p","a"),"q","a"),"r","a"),"s","a"),"t","a"),"u","a"),"v","a"),"w","a"),"x","a"),"y","a"),"z","a")</f>
        <v/>
      </c>
      <c r="BO506" s="61" t="str">
        <f aca="false">SUBSTITUTE(SUBSTITUTE(SUBSTITUTE(SUBSTITUTE(SUBSTITUTE(SUBSTITUTE(SUBSTITUTE(SUBSTITUTE(SUBSTITUTE(LOWER(W506&amp;""),"1","0"),"2","0"),"3","0"),"4","0"),"5","0"),"6","0"),"7","0"),"8","0"),"9","0")</f>
        <v/>
      </c>
      <c r="BP506" s="61" t="str">
        <f aca="false">SUBSTITUTE(SUBSTITUTE(SUBSTITUTE(SUBSTITUTE(SUBSTITUTE(SUBSTITUTE(SUBSTITUTE(SUBSTITUTE(SUBSTITUTE(SUBSTITUTE(SUBSTITUTE(SUBSTITUTE(SUBSTITUTE(SUBSTITUTE(SUBSTITUTE(SUBSTITUTE(SUBSTITUTE(SUBSTITUTE(SUBSTITUTE(SUBSTITUTE(SUBSTITUTE(SUBSTITUTE(SUBSTITUTE(SUBSTITUTE(SUBSTITUTE(BO506,"b","a"),"c","a"),"d","a"),"e","a"),"f","a"),"g","a"),"h","a"),"i","a"),"j","a"),"k","a"),"l","a"),"m","a"),"n","a"),"o","a"),"p","a"),"q","a"),"r","a"),"s","a"),"t","a"),"u","a"),"v","a"),"w","a"),"x","a"),"y","a"),"z","a")</f>
        <v/>
      </c>
      <c r="BQ506" s="61" t="n">
        <f aca="false">IFERROR(IF(AND(ISERROR(SEARCH(" mh"," "&amp;LOWER(W506))),ISNA(MATCH(LEFT(TRIM(BP506),255),{"0000a","000a","00a","0000aa","000aa","00aa","0aa","0000aaa","000aaa","00a00","0a00","0000-0000","00:00","a00","a0","00.00.0000","00/00/0000","00-00-0000","0000-00-00","0000/00/00","0000.00.00","00.00.00","00/00/00","00-00-00","0.00.0000","0/00/0000","0-00-0000"},0)),ISNA(MATCH(LEFT(TRIM(CA506),255),{"0000a","000a","00a","0000aa","000aa","00aa","0aa","0000aaa","000aaa","00a00","0a00","0000-0000","00:00","a00","a0","00.00.0000","00/00/0000","00-00-0000","0000-00-00","0000/00/00","0000.00.00","00.00.00","00/00/00","00-00-00","0.00.0000","0/00/0000","0-00-0000"},0)),LEN(CB506)&gt;=3,NOT(OR(SUBSTITUTE(CB506,"0","")="",AND(LEN(CB506)&gt;=4,CB506=REPT(LEFT(CB506),LEN(CB506))),ISNUMBER(MATCH(CB506,{"123","1234","12345","123456","1234567","12345678","0123","01234","012345","98765","987654","54321"},0)),AND(LEN(CB506)=8,LEFT(CB506,3)="202"))),OR(AND((LEN(CA506)-LEN(SUBSTITUTE(CA506,"a","")))&gt;=1,SUMPRODUCT(--ISNUMBER(SEARCH({"a0","a-0","a_0","a/0","a.0","a#0","0a","0-a","0_a","0/a"},BP506)))&gt;0),ISNUMBER(SEARCH("000000",BP506)))),1,0),0)</f>
        <v>0</v>
      </c>
      <c r="BR506" s="61" t="n">
        <f aca="false">IFERROR(LEN(SUBSTITUTE(CC506," ",""))-SUMPRODUCT((LEN(CC506)-LEN(SUBSTITUTE(CC506," "&amp;L_Role&amp;" "," ")))/(LEN(L_Role)+1)*LEN(L_Role)),0)</f>
        <v>0</v>
      </c>
      <c r="BS506" s="61" t="n">
        <f aca="false">IFERROR(LEN(SUBSTITUTE(CD506," ",""))-SUMPRODUCT((LEN(CD506)-LEN(SUBSTITUTE(CD506," "&amp;L_Role&amp;" "," ")))/(LEN(L_Role)+1)*LEN(L_Role)),0)</f>
        <v>0</v>
      </c>
      <c r="BT5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506,"revision",""),"version",""),"jan",""),"feb",""),"mar",""),"apr",""),"may",""),"jun",""),"jul",""),"aug",""),"sep",""),"oct",""),"nov",""),"dec",""),"utc",""),"gmt",""),"myt",""),"bst",""),"rev",""),"ver",""),"b","a"),"c","a"),"d","a"),"e","a"),"f","a"),"g","a"),"h","a"),"i","a"),"j","a"),"k","a"),"l","a"),"m","a"),"n","a"),"o","a"),"p","a"),"q","a"),"r","a"),"s","a"),"t","a"),"u","a"),"v","a"),"w","a"),"x","a"),"y","a"),"z","a")</f>
        <v/>
      </c>
      <c r="BU506" s="61" t="str">
        <f aca="false">SUBSTITUTE(SUBSTITUTE(SUBSTITUTE(SUBSTITUTE(SUBSTITUTE(SUBSTITUTE(SUBSTITUTE(SUBSTITUTE(SUBSTITUTE(SUBSTITUTE(LEFT(BM506,FIND("0",BM506&amp;"0")-1),"-",""),"_",""),"/",""),".",""),"#",""),"\\",""),":","")," ",""),"(",""),")","")</f>
        <v/>
      </c>
      <c r="BV506" s="61" t="n">
        <f aca="false">0</f>
        <v>0</v>
      </c>
      <c r="BW5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506&amp;""),"a",""),"b",""),"c",""),"d",""),"e",""),"f",""),"g",""),"h",""),"i",""),"j",""),"k",""),"l",""),"m",""),"n",""),"o",""),"p",""),"q",""),"r",""),"s",""),"t",""),"u",""),"v",""),"w",""),"x",""),"y",""),"z",""),"-",""),"_",""),"/",""),".",""),"#",""),"\\",""),":","")," ",""),"(",""),")","")</f>
        <v/>
      </c>
      <c r="BX506" s="61" t="str">
        <f aca="false">SUBSTITUTE(SUBSTITUTE(SUBSTITUTE(SUBSTITUTE(SUBSTITUTE(SUBSTITUTE(SUBSTITUTE(SUBSTITUTE(SUBSTITUTE(SUBSTITUTE(SUBSTITUTE(BM506,"0",""),"-",""),"_",""),"/",""),".",""),"#",""),"\\",""),":","")," ",""),"(",""),")","")</f>
        <v/>
      </c>
      <c r="BY506" s="62" t="n">
        <f aca="false">Q506-T7EarlyD*24/24</f>
        <v>46300.0486111111</v>
      </c>
      <c r="BZ506" s="61" t="n">
        <f aca="false">IFERROR(IF(IF(TRIM(S506)="Link / file path",AND(LEN(TRIM(Z506))&gt;=5,SUMPRODUCT(--ISNUMBER(SEARCH({"http","www.","\\",":\",".pdf",".jpg",".jpeg",".png",".heic",".xls",".doc",".msg",".eml",".ppt",".txt",".zip"},Z506)))&gt;0),AND(ISERROR(FIND(" ",TRIM(Z506))),NOT(OR(SUMPRODUCT(--ISNUMBER(FIND({",",";","&amp;","+"},Z506)))&gt;0,SUMPRODUCT(--ISNUMBER(SEARCH({"0/aa","0\\aa"},BN506)))&gt;0)),NOT(SUMPRODUCT(--ISNUMBER(SEARCH({"http","www.","\\",":\",".pdf",".jpg",".jpeg",".png",".heic",".xls",".doc",".msg",".eml",".ppt",".txt",".zip"},Z506)))&gt;0),NOT(LOWER(TRIM(Z506))=LOWER(Flights!$F$20)),ISNA(MATCH(BU506,{"mh","rev","revision","ver","version","v","r","a","b","seat","tray","row","gate","bay","stand","page","pg","item","line","no","cart","galley","flight","flt","table","box","bag","oven","etd","eta","std","sta","atd","ata","qty","pax","x","time","tel","ph","mob","day","wk","week","utc","gmt","myt","lt"},0)),NOT(OR(ISNUMBER(MATCH(LEFT(BN506,255),{"0000a","000a","00a","0000aa","000aa","00aa","0aa","0000aaa","000aaa","00a00","0a00","0000-0000","00:00","a00","a0","00.00.0000","00/00/0000","00-00-0000","0000-00-00","0000/00/00","0000.00.00","00.00.00","00/00/00","00-00-00","0.00.0000","0/00/0000","0-00-0000"},0)),ISNUMBER(MATCH(LEFT(BT506,255),{"0000a","000a","00a","0000aa","000aa","00aa","0aa","0000aaa","000aaa","00a00","0a00","0000-0000","00:00","a00","a0","00.00.0000","00/00/0000","00-00-0000","0000-00-00","0000/00/00","0000.00.00","00.00.00","00/00/00","00-00-00","0.00.0000","0/00/0000","0-00-0000"},0)))),NOT(OR(AND(BW506&lt;&gt;"",SUBSTITUTE(BW506,"0","")=""),AND(LEN(BW506)&gt;=4,BW506=REPT(LEFT(BW506),LEN(BW506))),ISNUMBER(MATCH(BW506,{"123","1234","12345","123456","1234567","12345678","0123","01234","012345","98765","987654","54321"},0)),ISNUMBER(MATCH(BX506,{"x","xx","xxx","xxxx","xxxxx","abc","abcd","nil","na","nan","test","tbc","tba","tbd","dummy","sample","example","eg","zz","zzz","none","null","xyz","qwe","asd","id","ref"},0)),AND(LEN(BW506)=8,BX506="",OR(LEFT(BW506,3)="202",ISNUMBER(MATCH(RIGHT(BW506,4),{"2025","2026","2027"},0)))))),OR(AND((LEN(BT506)-LEN(SUBSTITUTE(BT506,"a","")))&gt;=1,(LEN(BN506)-LEN(SUBSTITUTE(BN506,"0","")))&gt;=2,SUMPRODUCT(--ISNUMBER(SEARCH({"a0","a-0","a_0","a/0","a.0","a#0","0a","0-a","0_a","0/a"},BN506)))&gt;0),AND((LEN(BN506)-LEN(SUBSTITUTE(BN506,"a","")))=0,(LEN(BN506)-LEN(SUBSTITUTE(BN506,"0","")))&gt;=5)))),1,0),0)</f>
        <v>0</v>
      </c>
      <c r="CA5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506,"revision",""),"version",""),"jan",""),"feb",""),"mar",""),"apr",""),"may",""),"jun",""),"jul",""),"aug",""),"sep",""),"oct",""),"nov",""),"dec",""),"utc",""),"gmt",""),"myt",""),"bst",""),"rev",""),"ver",""),"b","a"),"c","a"),"d","a"),"e","a"),"f","a"),"g","a"),"h","a"),"i","a"),"j","a"),"k","a"),"l","a"),"m","a"),"n","a"),"o","a"),"p","a"),"q","a"),"r","a"),"s","a"),"t","a"),"u","a"),"v","a"),"w","a"),"x","a"),"y","a"),"z","a")</f>
        <v/>
      </c>
      <c r="CB5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506&amp;""),"a",""),"b",""),"c",""),"d",""),"e",""),"f",""),"g",""),"h",""),"i",""),"j",""),"k",""),"l",""),"m",""),"n",""),"o",""),"p",""),"q",""),"r",""),"s",""),"t",""),"u",""),"v",""),"w",""),"x",""),"y",""),"z",""),"-",""),"_",""),"/",""),".",""),"#",""),"\\",""),":","")," ",""),"(",""),")","")</f>
        <v/>
      </c>
      <c r="CC506" s="0" t="str">
        <f aca="false">" "&amp;TRIM(SUBSTITUTE(SUBSTITUTE(SUBSTITUTE(SUBSTITUTE(SUBSTITUTE(SUBSTITUTE(SUBSTITUTE(SUBSTITUTE(SUBSTITUTE(SUBSTITUTE(SUBSTITUTE(SUBSTITUTE(SUBSTITUTE(SUBSTITUTE(SUBSTITUTE(SUBSTITUTE(SUBSTITUTE(SUBSTITUTE(SUBSTITUTE(SUBSTITUTE(SUBSTITUTE(SUBSTITUTE(SUBSTITUTE(SUBSTITUTE(LOWER(T506&amp;""),CHAR(10)," "),CHAR(13)," "),CHAR(9)," "),CHAR(160)," "),"."," "),","," "),"-"," "),"/"," "),"("," "),")"," "),":"," "),";"," "),"_"," "),"–"," "),"?"," "),"!"," "),"*"," "),"["," "),"]"," "),"'"," "),"#"," "),"+"," "),"&amp;"," "),"\"," "))&amp;" "</f>
        <v>  </v>
      </c>
      <c r="CD506" s="0" t="str">
        <f aca="false">" "&amp;TRIM(SUBSTITUTE(SUBSTITUTE(SUBSTITUTE(SUBSTITUTE(SUBSTITUTE(SUBSTITUTE(SUBSTITUTE(SUBSTITUTE(SUBSTITUTE(SUBSTITUTE(SUBSTITUTE(SUBSTITUTE(SUBSTITUTE(SUBSTITUTE(SUBSTITUTE(SUBSTITUTE(SUBSTITUTE(SUBSTITUTE(SUBSTITUTE(SUBSTITUTE(SUBSTITUTE(SUBSTITUTE(SUBSTITUTE(SUBSTITUTE(LOWER(AE506&amp;""),CHAR(10)," "),CHAR(13)," "),CHAR(9)," "),CHAR(160)," "),"."," "),","," "),"-"," "),"/"," "),"("," "),")"," "),":"," "),";"," "),"_"," "),"–"," "),"?"," "),"!"," "),"*"," "),"["," "),"]"," "),"'"," "),"#"," "),"+"," "),"&amp;"," "),"\"," "))&amp;" "</f>
        <v>  </v>
      </c>
      <c r="CE506" s="68" t="n">
        <f aca="false">IFERROR(IF(AND(LEN(AU506)&gt;0,LEN(AU506)=LEN(AX506),OR(TRIM(MID(SUBSTITUTE(TRIM(CC506)," ",REPT(" ",60)),1,60))="",ISNUMBER(SEARCH(" "&amp;TRIM(MID(SUBSTITUTE(TRIM(CC506)," ",REPT(" ",60)),1,60))&amp;" ",CD506))),OR(TRIM(MID(SUBSTITUTE(TRIM(CC506)," ",REPT(" ",60)),61,60))="",ISNUMBER(SEARCH(" "&amp;TRIM(MID(SUBSTITUTE(TRIM(CC506)," ",REPT(" ",60)),61,60))&amp;" ",CD506))),OR(TRIM(MID(SUBSTITUTE(TRIM(CC506)," ",REPT(" ",60)),121,60))="",ISNUMBER(SEARCH(" "&amp;TRIM(MID(SUBSTITUTE(TRIM(CC506)," ",REPT(" ",60)),121,60))&amp;" ",CD506)))),1,0),0)</f>
        <v>0</v>
      </c>
      <c r="CG506" s="68" t="n">
        <f aca="false">IFERROR(LEN(SUBSTITUTE(BF506," ",""))-SUMPRODUCT((LEN(BF506)-LEN(SUBSTITUTE(BF506," "&amp;L_NAFiller&amp;" "," ")))/(LEN(L_NAFiller)+1)*LEN(L_NAFiller)),0)</f>
        <v>0</v>
      </c>
    </row>
    <row r="507" customFormat="false" ht="39.75" hidden="false" customHeight="true" outlineLevel="0" collapsed="false">
      <c r="A507" s="57" t="s">
        <v>1162</v>
      </c>
      <c r="B507" s="57" t="s">
        <v>280</v>
      </c>
      <c r="C507" s="57" t="str">
        <f aca="false">Flights!$F$20</f>
        <v>MH0072</v>
      </c>
      <c r="D507" s="58" t="n">
        <f aca="false">Flights!$D$20</f>
        <v>46321</v>
      </c>
      <c r="E507" s="57" t="str">
        <f aca="false">Flights!$G$20&amp;"-"&amp;Flights!$H$20</f>
        <v>KUL-HKG</v>
      </c>
      <c r="F507" s="57" t="str">
        <f aca="false">Flights!$K$20</f>
        <v>EY</v>
      </c>
      <c r="G507" s="57" t="s">
        <v>81</v>
      </c>
      <c r="H507" s="57" t="s">
        <v>378</v>
      </c>
      <c r="I507" s="57" t="s">
        <v>385</v>
      </c>
      <c r="J507" s="57" t="s">
        <v>386</v>
      </c>
      <c r="K507" s="67" t="s">
        <v>387</v>
      </c>
      <c r="L507" s="67" t="s">
        <v>382</v>
      </c>
      <c r="M507" s="67"/>
      <c r="N507" s="67" t="s">
        <v>383</v>
      </c>
      <c r="O507" s="67"/>
      <c r="P507" s="57" t="s">
        <v>187</v>
      </c>
      <c r="Q507" s="59" t="n">
        <f aca="false">ROUND((Flights!$AC$20)*1440,0)/1440</f>
        <v>46314.0486111111</v>
      </c>
      <c r="R507" s="59" t="n">
        <f aca="false">Q507+(IF(AND(INDEX(TZ_DSTS,MATCH(P507,TZ_STN,0))&lt;&gt;"",Q507&gt;=INDEX(TZ_DSTS,MATCH(P507,TZ_STN,0)),Q507&lt;INDEX(TZ_DSTE,MATCH(P507,TZ_STN,0))),INDEX(TZ_DST,MATCH(P507,TZ_STN,0)),INDEX(TZ_STD,MATCH(P507,TZ_STN,0))))/24</f>
        <v>46314.3819444444</v>
      </c>
      <c r="S507" s="60"/>
      <c r="T507" s="60"/>
      <c r="U507" s="60"/>
      <c r="V507" s="60"/>
      <c r="W507" s="61"/>
      <c r="X507" s="60"/>
      <c r="Y507" s="60"/>
      <c r="Z507" s="60"/>
      <c r="AA507" s="60"/>
      <c r="AB507" s="60"/>
      <c r="AC507" s="60"/>
      <c r="AD507" s="66"/>
      <c r="AE507" s="60"/>
      <c r="AF507" s="61" t="str">
        <f aca="false">IF(AND(ISNUMBER(X507),ISNUMBER(Y507)),Y507-X507,"")</f>
        <v/>
      </c>
      <c r="AG507" s="62" t="str">
        <f aca="false">IF(ISNUMBER(AD507),AD507-(IF(AND(INDEX(TZ_DSTS,MATCH(P507,TZ_STN,0))&lt;&gt;"",(AD507-INDEX(TZ_STD,MATCH(P507,TZ_STN,0))/24)&gt;=INDEX(TZ_DSTS,MATCH(P507,TZ_STN,0)),(AD507-INDEX(TZ_STD,MATCH(P507,TZ_STN,0))/24)&lt;INDEX(TZ_DSTE,MATCH(P507,TZ_STN,0))),INDEX(TZ_DST,MATCH(P507,TZ_STN,0)),INDEX(TZ_STD,MATCH(P507,TZ_STN,0))))/24,"")</f>
        <v/>
      </c>
      <c r="AH507" s="65" t="str">
        <f aca="false">IFERROR(IF(N507="N/A – rule",IF(OR(TRIM(U507)="",TRIM(U507)="N/A",TRIM(U507)="Not started"),"N/A – RULE","INVALID – this check does not apply to this aircraft: clear the status (or correct the fleet on Flights)"),IF(TRIM(U507)="N/A",IF(AT507=0,"INVALID – N/A not permitted for this check",IF(AND(TRIM(AB507)&lt;&gt;"",TRIM(AB507)&lt;&gt;"Closed"),"INVALID – corrective action still open",IF(AND(NOT(OR(LEN(AZ507)&lt;15,ISNUMBER(MATCH(AZ507,L_Placeholder,0)))),BK507=0,CG507&gt;=8,NOT(OR(LEN(AU507)&lt;2,ISNUMBER(MATCH(AU507,L_Placeholder,0)))),BR507&gt;=3,NOT(OR(LEN(AX507)&lt;2,ISNUMBER(MATCH(AX507,L_Placeholder,0)))),BS507&gt;=3,TRIM(AE507)&lt;&gt;TRIM(T507),AX507&lt;&gt;AU507,CE507=0),"N/A – JUSTIFIED","INVALID – N/A needs a real, settled reason (not 'not applicable' / 'as above' / TBC), a named PIC and a different named verifier"))),IF(OR(TRIM(U507)="Pass",TRIM(U507)="Pass after CA"),IF(NOT(ISNUMBER(AD507)),"INVALID – completion time missing",IF(OR(OR(LEN(AU507)&lt;2,ISNUMBER(MATCH(AU507,L_Placeholder,0))),BR507&lt;3),"INVALID – PIC missing or not a named person (a role such as QA / CSM is not a name)",IF(OR(LEN(AV507)&lt;2,ISNUMBER(MATCH(AV507,L_Placeholder,0))),"INVALID – result / assessment missing",IF(OR(OR(LEN(AW507)&lt;3,ISNUMBER(MATCH(AW507,L_Placeholder,0))),SUMPRODUCT(--ISNUMBER(SEARCH(" "&amp;L_EvidencePhrase&amp;" ",BD507)))&gt;0,BI507=1),"INVALID – evidence missing, placeholder or not yet on file",IF(ISNA(MATCH(TRIM(S507),L_EvidenceType,0)),"INVALID – choose the evidence type from the list (column S)",IF(BL507=0,"INVALID – evidence ID must be the record's own ID only (e.g. SF-2210, IMG_2231, 1045521); a link / file name needs type 'Link / file path'",IF(OR(OR(LEN(AX507)&lt;2,ISNUMBER(MATCH(AX507,L_Placeholder,0))),BS507&lt;3),"INVALID – verifier missing or not a named person (a role such as QA / CSM is not a name)",IF(OR(AX507=AU507,CE507=1,AND(LEN(AU507)&gt;=4,ISNUMBER(SEARCH(AU507,AX507))),AND(LEN(AX507)&gt;=4,ISNUMBER(SEARCH(AX507,AU507)))),"INVALID – verifier must be a different, named person (not the PIC or a role)",IF(BH507=1,"INVALID – result not yet available (awaiting / TBC)",IF(BG507=1,"INVALID – result describes a problem: record Fail, then Pass after CA (or reword if it is not a problem)",IF(BV507=1,"INVALID – wording says not on board: an on-board confirmation needs the item loaded",IF(AND(AQ507=1,OR(OR(LEN(AY507)&lt;3,ISNUMBER(MATCH(AY507,L_Placeholder,0))),BJ507=1,BQ507=0)),"INVALID – batch ID missing, placeholder or not an ID (e.g. PASB-261008-BC-017)",IF(AND(AR507=1,OR(NOT(ISNUMBER(X507)),NOT(ISNUMBER(Y507)))),"INVALID – expected/actual qty missing",IF(AND(AR507=1,OR(X507&lt;=0,Y507&lt;0)),"INVALID – expected qty must be above 0 and actual not negative",IF(BB507&lt;&gt;"",BB507,IF(AND(AS507=1,Documents!$J$20&lt;&gt;"ON FILE"),"INVALID – GLD not on file (Documents sheet)",IF(AND(AS507=2,Documents!$O$20&lt;&gt;"ON FILE"),"INVALID – menu checklist not on file (Documents sheet)",IF(AND(AS507=3,NOT(ISNUMBER(Flights!$AX$20))),"INVALID – enter carrying flight KUL departure (Flights AX)",IF(AND(AS507=3,OR(Flights!$AZ$20&gt;Flights!$AA$20,Flights!$AX$20&lt;Flights!$AA$20-3)),"INVALID – carrying flight (Flights AX) cannot arrive before this leg's STD, or is over 3 days early",IF(AG507&gt;AsOfUTC,"INVALID – completion time is in the future",IF(AND(ISNUMBER(BY507),AG507&lt;BY507),IF(H507="Physical uplift","INVALID – before uplift window (cannot confirm loading)","INVALID – before valid window"),IF(AG507&gt;Flights!$AA$20,"INVALID – completed after departure (cannot establish readiness)",IF(AND(H507="Preparation",AG507&gt;=IF(ISNUMBER(Flights!$BA$20),MIN(Flights!$BA$20,Flights!$AA$20),Flights!$AA$20)),"INVALID – completed after loading / departure (cannot establish readiness)",IF(AND(H507="Physical uplift",AG507&gt;Q507),"INVALID – recorded after the loading flight departed",IF(AG507&gt;Q507,"COMPLETE – LATE","COMPLETE"))))))))))))))))))))))))),IF(TRIM(U507)="Fail","FAIL – DISCREPANCY",IF(AND(TRIM(U507)&lt;&gt;"",TRIM(U507)&lt;&gt;"Not started",TRIM(U507)&lt;&gt;"In progress"),"INVALID – unrecognised status (use the list)",IF(AsOfUTC&gt;Q507,"OVERDUE",IF(N507="Clarification required","OPEN – CLARIFICATION","OPEN"))))))),"INVALID – error value in an input cell")</f>
        <v>OPEN</v>
      </c>
      <c r="AI507" s="61" t="n">
        <f aca="false">IF(OR(AH507="N/A – RULE",AH507="N/A – JUSTIFIED"),0,1)</f>
        <v>1</v>
      </c>
      <c r="AJ507" s="61" t="n">
        <f aca="false">IF(LEFT(AH507,8)="COMPLETE",1,0)</f>
        <v>0</v>
      </c>
      <c r="AK507" s="61" t="n">
        <f aca="false">IF(AND(AI507=1,AJ507=0,AsOfUTC&gt;Q507),1,0)</f>
        <v>0</v>
      </c>
      <c r="AL507" s="61" t="n">
        <f aca="false">IFERROR(IF(AND(AI507=1,OR(TRIM(U507)="Fail",AND(TRIM(AB507)&lt;&gt;"",TRIM(AB507)&lt;&gt;"Closed"),AND(ISNUMBER(AF507),AF507&lt;&gt;0,TRIM(U507)&lt;&gt;"Pass after CA"))),1,0),1)</f>
        <v>0</v>
      </c>
      <c r="AM507" s="61" t="n">
        <f aca="false">IF(LEFT(AH507,7)="INVALID",1,0)</f>
        <v>0</v>
      </c>
      <c r="AN507" s="61" t="n">
        <f aca="false">IF(AND(N507="Clarification required",AI507=1,AJ507=0),1,0)</f>
        <v>0</v>
      </c>
      <c r="AO507" s="61" t="str">
        <f aca="false">IF(AK507=1,SUM(AK$5:AK507),"")</f>
        <v/>
      </c>
      <c r="AP507" s="61" t="str">
        <f aca="false">IF(AL507=1,SUM(AL$5:AL507),"")</f>
        <v/>
      </c>
      <c r="AQ507" s="61" t="n">
        <v>0</v>
      </c>
      <c r="AR507" s="61" t="n">
        <v>0</v>
      </c>
      <c r="AS507" s="61" t="n">
        <v>0</v>
      </c>
      <c r="AT507" s="61" t="n">
        <v>0</v>
      </c>
      <c r="AU507" s="61" t="str">
        <f aca="false">SUBSTITUTE(SUBSTITUTE(SUBSTITUTE(SUBSTITUTE(SUBSTITUTE(SUBSTITUTE(SUBSTITUTE(SUBSTITUTE(SUBSTITUTE(SUBSTITUTE(SUBSTITUTE(SUBSTITUTE(SUBSTITUTE(SUBSTITUTE(SUBSTITUTE(SUBSTITUTE(LOWER(T507&amp;""),CHAR(10),""),CHAR(13),""),CHAR(9),""),CHAR(160),"")," ",""),".",""),"-",""),"/",""),"?",""),"_",""),",",""),"[",""),"]",""),"(",""),")",""),"*","")</f>
        <v/>
      </c>
      <c r="AV507" s="61" t="str">
        <f aca="false">SUBSTITUTE(SUBSTITUTE(SUBSTITUTE(SUBSTITUTE(SUBSTITUTE(SUBSTITUTE(SUBSTITUTE(SUBSTITUTE(SUBSTITUTE(SUBSTITUTE(SUBSTITUTE(SUBSTITUTE(SUBSTITUTE(SUBSTITUTE(SUBSTITUTE(SUBSTITUTE(LOWER(V507&amp;""),CHAR(10),""),CHAR(13),""),CHAR(9),""),CHAR(160),"")," ",""),".",""),"-",""),"/",""),"?",""),"_",""),",",""),"[",""),"]",""),"(",""),")",""),"*","")</f>
        <v/>
      </c>
      <c r="AW507" s="61" t="str">
        <f aca="false">SUBSTITUTE(SUBSTITUTE(SUBSTITUTE(SUBSTITUTE(SUBSTITUTE(SUBSTITUTE(SUBSTITUTE(SUBSTITUTE(SUBSTITUTE(SUBSTITUTE(SUBSTITUTE(SUBSTITUTE(SUBSTITUTE(SUBSTITUTE(SUBSTITUTE(SUBSTITUTE(LOWER(Z507&amp;""),CHAR(10),""),CHAR(13),""),CHAR(9),""),CHAR(160),"")," ",""),".",""),"-",""),"/",""),"?",""),"_",""),",",""),"[",""),"]",""),"(",""),")",""),"*","")</f>
        <v/>
      </c>
      <c r="AX507" s="61" t="str">
        <f aca="false">SUBSTITUTE(SUBSTITUTE(SUBSTITUTE(SUBSTITUTE(SUBSTITUTE(SUBSTITUTE(SUBSTITUTE(SUBSTITUTE(SUBSTITUTE(SUBSTITUTE(SUBSTITUTE(SUBSTITUTE(SUBSTITUTE(SUBSTITUTE(SUBSTITUTE(SUBSTITUTE(LOWER(AE507&amp;""),CHAR(10),""),CHAR(13),""),CHAR(9),""),CHAR(160),"")," ",""),".",""),"-",""),"/",""),"?",""),"_",""),",",""),"[",""),"]",""),"(",""),")",""),"*","")</f>
        <v/>
      </c>
      <c r="AY507" s="61" t="str">
        <f aca="false">SUBSTITUTE(SUBSTITUTE(SUBSTITUTE(SUBSTITUTE(SUBSTITUTE(SUBSTITUTE(SUBSTITUTE(SUBSTITUTE(SUBSTITUTE(SUBSTITUTE(SUBSTITUTE(SUBSTITUTE(SUBSTITUTE(SUBSTITUTE(SUBSTITUTE(SUBSTITUTE(LOWER(W507&amp;""),CHAR(10),""),CHAR(13),""),CHAR(9),""),CHAR(160),"")," ",""),".",""),"-",""),"/",""),"?",""),"_",""),",",""),"[",""),"]",""),"(",""),")",""),"*","")</f>
        <v/>
      </c>
      <c r="AZ507" s="61" t="str">
        <f aca="false">SUBSTITUTE(SUBSTITUTE(SUBSTITUTE(SUBSTITUTE(SUBSTITUTE(SUBSTITUTE(SUBSTITUTE(SUBSTITUTE(SUBSTITUTE(SUBSTITUTE(SUBSTITUTE(SUBSTITUTE(SUBSTITUTE(SUBSTITUTE(SUBSTITUTE(SUBSTITUTE(LOWER(AC507&amp;""),CHAR(10),""),CHAR(13),""),CHAR(9),""),CHAR(160),"")," ",""),".",""),"-",""),"/",""),"?",""),"_",""),",",""),"[",""),"]",""),"(",""),")",""),"*","")</f>
        <v/>
      </c>
      <c r="BA507" s="61" t="str">
        <f aca="false">SUBSTITUTE(SUBSTITUTE(SUBSTITUTE(SUBSTITUTE(SUBSTITUTE(SUBSTITUTE(SUBSTITUTE(SUBSTITUTE(SUBSTITUTE(SUBSTITUTE(SUBSTITUTE(SUBSTITUTE(SUBSTITUTE(SUBSTITUTE(SUBSTITUTE(SUBSTITUTE(LOWER(AA507&amp;""),CHAR(10),""),CHAR(13),""),CHAR(9),""),CHAR(160),"")," ",""),".",""),"-",""),"/",""),"?",""),"_",""),",",""),"[",""),"]",""),"(",""),")",""),"*","")</f>
        <v/>
      </c>
      <c r="BB507" s="61" t="str">
        <f aca="false">IF(AND(TRIM(U507)="Pass",ISNUMBER(AF507)),IF(AF507&lt;&gt;0,"INVALID – qty variance: use Fail or Pass after CA",""),"")&amp;IF(AND(TRIM(U507)="Pass after CA",ISNUMBER(AF507)),IF(AF507&lt;&gt;0,"INVALID – after the corrective action the actual qty must equal expected (update Actual)",""),"")&amp;IF(AND(TRIM(U507)="Pass",TRIM(AB507)&lt;&gt;"",TRIM(AB507)&lt;&gt;"Closed"),"INVALID – corrective action not closed: use Fail, then Pass after CA","")&amp;IF(AND(LEN(BA507)&gt;=2,ISNA(MATCH(LEFT(BA507,255),L_Placeholder,0)),TRIM(AB507)=""),"INVALID – CA status missing for the recorded corrective action","")&amp;IF(AND(TRIM(U507)="Pass after CA",OR(OR(LEN(BA507)&lt;5,ISNUMBER(MATCH(BA507,L_Placeholder,0))),TRIM(AB507)&lt;&gt;"Closed")),"INVALID – corrective action not recorded/closed","")</f>
        <v/>
      </c>
      <c r="BC507" s="61" t="str">
        <f aca="false">" "&amp;TRIM(SUBSTITUTE(SUBSTITUTE(SUBSTITUTE(SUBSTITUTE(SUBSTITUTE(SUBSTITUTE(SUBSTITUTE(SUBSTITUTE(SUBSTITUTE(SUBSTITUTE(SUBSTITUTE(SUBSTITUTE(SUBSTITUTE(SUBSTITUTE(SUBSTITUTE(SUBSTITUTE(SUBSTITUTE(SUBSTITUTE(SUBSTITUTE(SUBSTITUTE(SUBSTITUTE(SUBSTITUTE(SUBSTITUTE(SUBSTITUTE(LOWER(V507&amp;""),CHAR(10)," "),CHAR(13)," "),CHAR(9)," "),CHAR(160)," "),"."," "),","," "),"-"," "),"/"," "),"("," "),")"," "),":"," "),";"," "),"_"," "),"–"," "),"?"," "),"!"," "),"*"," "),"["," "),"]"," "),"'"," "),"#"," "),"+"," "),"&amp;"," "),"\"," "))&amp;" "</f>
        <v>  </v>
      </c>
      <c r="BD507" s="61" t="str">
        <f aca="false">" "&amp;TRIM(SUBSTITUTE(SUBSTITUTE(SUBSTITUTE(SUBSTITUTE(SUBSTITUTE(SUBSTITUTE(SUBSTITUTE(SUBSTITUTE(SUBSTITUTE(SUBSTITUTE(SUBSTITUTE(SUBSTITUTE(SUBSTITUTE(SUBSTITUTE(SUBSTITUTE(SUBSTITUTE(SUBSTITUTE(SUBSTITUTE(SUBSTITUTE(SUBSTITUTE(SUBSTITUTE(SUBSTITUTE(SUBSTITUTE(SUBSTITUTE(LOWER(Z507&amp;""),CHAR(10)," "),CHAR(13)," "),CHAR(9)," "),CHAR(160)," "),"."," "),","," "),"-"," "),"/"," "),"("," "),")"," "),":"," "),";"," "),"_"," "),"–"," "),"?"," "),"!"," "),"*"," "),"["," "),"]"," "),"'"," "),"#"," "),"+"," "),"&amp;"," "),"\"," "))&amp;" "</f>
        <v>  </v>
      </c>
      <c r="BE507" s="61" t="str">
        <f aca="false">" "&amp;TRIM(SUBSTITUTE(SUBSTITUTE(SUBSTITUTE(SUBSTITUTE(SUBSTITUTE(SUBSTITUTE(SUBSTITUTE(SUBSTITUTE(SUBSTITUTE(SUBSTITUTE(SUBSTITUTE(SUBSTITUTE(SUBSTITUTE(SUBSTITUTE(SUBSTITUTE(SUBSTITUTE(SUBSTITUTE(SUBSTITUTE(SUBSTITUTE(SUBSTITUTE(SUBSTITUTE(SUBSTITUTE(SUBSTITUTE(SUBSTITUTE(LOWER(W507&amp;""),CHAR(10)," "),CHAR(13)," "),CHAR(9)," "),CHAR(160)," "),"."," "),","," "),"-"," "),"/"," "),"("," "),")"," "),":"," "),";"," "),"_"," "),"–"," "),"?"," "),"!"," "),"*"," "),"["," "),"]"," "),"'"," "),"#"," "),"+"," "),"&amp;"," "),"\"," "))&amp;" "</f>
        <v>  </v>
      </c>
      <c r="BF507" s="61" t="str">
        <f aca="false">" "&amp;TRIM(SUBSTITUTE(SUBSTITUTE(SUBSTITUTE(SUBSTITUTE(SUBSTITUTE(SUBSTITUTE(SUBSTITUTE(SUBSTITUTE(SUBSTITUTE(SUBSTITUTE(SUBSTITUTE(SUBSTITUTE(SUBSTITUTE(SUBSTITUTE(SUBSTITUTE(SUBSTITUTE(SUBSTITUTE(SUBSTITUTE(SUBSTITUTE(SUBSTITUTE(SUBSTITUTE(SUBSTITUTE(SUBSTITUTE(SUBSTITUTE(LOWER(AC507&amp;""),CHAR(10)," "),CHAR(13)," "),CHAR(9)," "),CHAR(160)," "),"."," "),","," "),"-"," "),"/"," "),"("," "),")"," "),":"," "),";"," "),"_"," "),"–"," "),"?"," "),"!"," "),"*"," "),"["," "),"]"," "),"'"," "),"#"," "),"+"," "),"&amp;"," "),"\"," "))&amp;" "</f>
        <v>  </v>
      </c>
      <c r="BG507" s="61" t="n">
        <f aca="false">IFERROR(IF(AND(TRIM(U507)="Pass",SUMPRODUCT((LEN(BC507)-LEN(SUBSTITUTE(BC507," "&amp;L_ResultBad&amp;" "," ")))/(LEN(L_ResultBad)+1))&gt;SUMPRODUCT((LEN(BC507)-LEN(SUBSTITUTE(BC507," "&amp;L_NegPhrase&amp;" "," ")))/(LEN(L_NegPhrase)+1))),1,0),0)</f>
        <v>0</v>
      </c>
      <c r="BH507" s="61" t="n">
        <f aca="false">IFERROR(IF(SUMPRODUCT((LEN(BC507)-LEN(SUBSTITUTE(BC507," "&amp;L_Pending&amp;" "," ")))/(LEN(L_Pending)+1))&gt;SUMPRODUCT((LEN(BC507)-LEN(SUBSTITUTE(BC507," "&amp;L_PendNeg&amp;" "," ")))/(LEN(L_PendNeg)+1))+SUMPRODUCT((LEN(BC507)-LEN(SUBSTITUTE(BC507," "&amp;L_PendPrep&amp;" "," ")))/(LEN(L_PendPrep)+1)),1,0),1)</f>
        <v>0</v>
      </c>
      <c r="BI507" s="61" t="n">
        <f aca="false">IFERROR(IF(SUMPRODUCT((LEN(BD507)-LEN(SUBSTITUTE(BD507," "&amp;L_PendStrict&amp;" "," ")))/(LEN(L_PendStrict)+1))&gt;SUMPRODUCT((LEN(BD507)-LEN(SUBSTITUTE(BD507," "&amp;L_PendNeg&amp;" "," ")))/(LEN(L_PendNeg)+1)),1,0),1)</f>
        <v>0</v>
      </c>
      <c r="BJ507" s="61" t="n">
        <f aca="false">IFERROR(IF(SUMPRODUCT((LEN(BE507)-LEN(SUBSTITUTE(BE507," "&amp;L_Pending&amp;" "," ")))/(LEN(L_Pending)+1))&gt;SUMPRODUCT((LEN(BE507)-LEN(SUBSTITUTE(BE507," "&amp;L_PendNeg&amp;" "," ")))/(LEN(L_PendNeg)+1))+SUMPRODUCT((LEN(BE507)-LEN(SUBSTITUTE(BE507," "&amp;L_PendPrep&amp;" "," ")))/(LEN(L_PendPrep)+1)),1,0),1)</f>
        <v>0</v>
      </c>
      <c r="BK507" s="61" t="n">
        <f aca="false">IFERROR(IF(SUMPRODUCT((LEN(BF507)-LEN(SUBSTITUTE(BF507," "&amp;L_PendStrict&amp;" "," ")))/(LEN(L_PendStrict)+1))&gt;SUMPRODUCT((LEN(BF507)-LEN(SUBSTITUTE(BF507," "&amp;L_PendNeg&amp;" "," ")))/(LEN(L_PendNeg)+1)),1,0),1)</f>
        <v>0</v>
      </c>
      <c r="BL507" s="61" t="n">
        <f aca="false">IF(ISNA(MATCH(TRIM(S507),L_EvidenceType,0)),0,BZ507)</f>
        <v>0</v>
      </c>
      <c r="BM507" s="61" t="str">
        <f aca="false">SUBSTITUTE(SUBSTITUTE(SUBSTITUTE(SUBSTITUTE(SUBSTITUTE(SUBSTITUTE(SUBSTITUTE(SUBSTITUTE(SUBSTITUTE(LOWER(Z507&amp;""),"1","0"),"2","0"),"3","0"),"4","0"),"5","0"),"6","0"),"7","0"),"8","0"),"9","0")</f>
        <v/>
      </c>
      <c r="BN507" s="61" t="str">
        <f aca="false">SUBSTITUTE(SUBSTITUTE(SUBSTITUTE(SUBSTITUTE(SUBSTITUTE(SUBSTITUTE(SUBSTITUTE(SUBSTITUTE(SUBSTITUTE(SUBSTITUTE(SUBSTITUTE(SUBSTITUTE(SUBSTITUTE(SUBSTITUTE(SUBSTITUTE(SUBSTITUTE(SUBSTITUTE(SUBSTITUTE(SUBSTITUTE(SUBSTITUTE(SUBSTITUTE(SUBSTITUTE(SUBSTITUTE(SUBSTITUTE(SUBSTITUTE(BM507,"b","a"),"c","a"),"d","a"),"e","a"),"f","a"),"g","a"),"h","a"),"i","a"),"j","a"),"k","a"),"l","a"),"m","a"),"n","a"),"o","a"),"p","a"),"q","a"),"r","a"),"s","a"),"t","a"),"u","a"),"v","a"),"w","a"),"x","a"),"y","a"),"z","a")</f>
        <v/>
      </c>
      <c r="BO507" s="61" t="str">
        <f aca="false">SUBSTITUTE(SUBSTITUTE(SUBSTITUTE(SUBSTITUTE(SUBSTITUTE(SUBSTITUTE(SUBSTITUTE(SUBSTITUTE(SUBSTITUTE(LOWER(W507&amp;""),"1","0"),"2","0"),"3","0"),"4","0"),"5","0"),"6","0"),"7","0"),"8","0"),"9","0")</f>
        <v/>
      </c>
      <c r="BP507" s="61" t="str">
        <f aca="false">SUBSTITUTE(SUBSTITUTE(SUBSTITUTE(SUBSTITUTE(SUBSTITUTE(SUBSTITUTE(SUBSTITUTE(SUBSTITUTE(SUBSTITUTE(SUBSTITUTE(SUBSTITUTE(SUBSTITUTE(SUBSTITUTE(SUBSTITUTE(SUBSTITUTE(SUBSTITUTE(SUBSTITUTE(SUBSTITUTE(SUBSTITUTE(SUBSTITUTE(SUBSTITUTE(SUBSTITUTE(SUBSTITUTE(SUBSTITUTE(SUBSTITUTE(BO507,"b","a"),"c","a"),"d","a"),"e","a"),"f","a"),"g","a"),"h","a"),"i","a"),"j","a"),"k","a"),"l","a"),"m","a"),"n","a"),"o","a"),"p","a"),"q","a"),"r","a"),"s","a"),"t","a"),"u","a"),"v","a"),"w","a"),"x","a"),"y","a"),"z","a")</f>
        <v/>
      </c>
      <c r="BQ507" s="61" t="n">
        <f aca="false">IFERROR(IF(AND(ISERROR(SEARCH(" mh"," "&amp;LOWER(W507))),ISNA(MATCH(LEFT(TRIM(BP507),255),{"0000a","000a","00a","0000aa","000aa","00aa","0aa","0000aaa","000aaa","00a00","0a00","0000-0000","00:00","a00","a0","00.00.0000","00/00/0000","00-00-0000","0000-00-00","0000/00/00","0000.00.00","00.00.00","00/00/00","00-00-00","0.00.0000","0/00/0000","0-00-0000"},0)),ISNA(MATCH(LEFT(TRIM(CA507),255),{"0000a","000a","00a","0000aa","000aa","00aa","0aa","0000aaa","000aaa","00a00","0a00","0000-0000","00:00","a00","a0","00.00.0000","00/00/0000","00-00-0000","0000-00-00","0000/00/00","0000.00.00","00.00.00","00/00/00","00-00-00","0.00.0000","0/00/0000","0-00-0000"},0)),LEN(CB507)&gt;=3,NOT(OR(SUBSTITUTE(CB507,"0","")="",AND(LEN(CB507)&gt;=4,CB507=REPT(LEFT(CB507),LEN(CB507))),ISNUMBER(MATCH(CB507,{"123","1234","12345","123456","1234567","12345678","0123","01234","012345","98765","987654","54321"},0)),AND(LEN(CB507)=8,LEFT(CB507,3)="202"))),OR(AND((LEN(CA507)-LEN(SUBSTITUTE(CA507,"a","")))&gt;=1,SUMPRODUCT(--ISNUMBER(SEARCH({"a0","a-0","a_0","a/0","a.0","a#0","0a","0-a","0_a","0/a"},BP507)))&gt;0),ISNUMBER(SEARCH("000000",BP507)))),1,0),0)</f>
        <v>0</v>
      </c>
      <c r="BR507" s="61" t="n">
        <f aca="false">IFERROR(LEN(SUBSTITUTE(CC507," ",""))-SUMPRODUCT((LEN(CC507)-LEN(SUBSTITUTE(CC507," "&amp;L_Role&amp;" "," ")))/(LEN(L_Role)+1)*LEN(L_Role)),0)</f>
        <v>0</v>
      </c>
      <c r="BS507" s="61" t="n">
        <f aca="false">IFERROR(LEN(SUBSTITUTE(CD507," ",""))-SUMPRODUCT((LEN(CD507)-LEN(SUBSTITUTE(CD507," "&amp;L_Role&amp;" "," ")))/(LEN(L_Role)+1)*LEN(L_Role)),0)</f>
        <v>0</v>
      </c>
      <c r="BT5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507,"revision",""),"version",""),"jan",""),"feb",""),"mar",""),"apr",""),"may",""),"jun",""),"jul",""),"aug",""),"sep",""),"oct",""),"nov",""),"dec",""),"utc",""),"gmt",""),"myt",""),"bst",""),"rev",""),"ver",""),"b","a"),"c","a"),"d","a"),"e","a"),"f","a"),"g","a"),"h","a"),"i","a"),"j","a"),"k","a"),"l","a"),"m","a"),"n","a"),"o","a"),"p","a"),"q","a"),"r","a"),"s","a"),"t","a"),"u","a"),"v","a"),"w","a"),"x","a"),"y","a"),"z","a")</f>
        <v/>
      </c>
      <c r="BU507" s="61" t="str">
        <f aca="false">SUBSTITUTE(SUBSTITUTE(SUBSTITUTE(SUBSTITUTE(SUBSTITUTE(SUBSTITUTE(SUBSTITUTE(SUBSTITUTE(SUBSTITUTE(SUBSTITUTE(LEFT(BM507,FIND("0",BM507&amp;"0")-1),"-",""),"_",""),"/",""),".",""),"#",""),"\\",""),":","")," ",""),"(",""),")","")</f>
        <v/>
      </c>
      <c r="BV507" s="61" t="n">
        <f aca="false">0</f>
        <v>0</v>
      </c>
      <c r="BW5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507&amp;""),"a",""),"b",""),"c",""),"d",""),"e",""),"f",""),"g",""),"h",""),"i",""),"j",""),"k",""),"l",""),"m",""),"n",""),"o",""),"p",""),"q",""),"r",""),"s",""),"t",""),"u",""),"v",""),"w",""),"x",""),"y",""),"z",""),"-",""),"_",""),"/",""),".",""),"#",""),"\\",""),":","")," ",""),"(",""),")","")</f>
        <v/>
      </c>
      <c r="BX507" s="61" t="str">
        <f aca="false">SUBSTITUTE(SUBSTITUTE(SUBSTITUTE(SUBSTITUTE(SUBSTITUTE(SUBSTITUTE(SUBSTITUTE(SUBSTITUTE(SUBSTITUTE(SUBSTITUTE(SUBSTITUTE(BM507,"0",""),"-",""),"_",""),"/",""),".",""),"#",""),"\\",""),":","")," ",""),"(",""),")","")</f>
        <v/>
      </c>
      <c r="BY507" s="62" t="n">
        <f aca="false">Q507-T7EarlyD*24/24</f>
        <v>46300.0486111111</v>
      </c>
      <c r="BZ507" s="61" t="n">
        <f aca="false">IFERROR(IF(IF(TRIM(S507)="Link / file path",AND(LEN(TRIM(Z507))&gt;=5,SUMPRODUCT(--ISNUMBER(SEARCH({"http","www.","\\",":\",".pdf",".jpg",".jpeg",".png",".heic",".xls",".doc",".msg",".eml",".ppt",".txt",".zip"},Z507)))&gt;0),AND(ISERROR(FIND(" ",TRIM(Z507))),NOT(OR(SUMPRODUCT(--ISNUMBER(FIND({",",";","&amp;","+"},Z507)))&gt;0,SUMPRODUCT(--ISNUMBER(SEARCH({"0/aa","0\\aa"},BN507)))&gt;0)),NOT(SUMPRODUCT(--ISNUMBER(SEARCH({"http","www.","\\",":\",".pdf",".jpg",".jpeg",".png",".heic",".xls",".doc",".msg",".eml",".ppt",".txt",".zip"},Z507)))&gt;0),NOT(LOWER(TRIM(Z507))=LOWER(Flights!$F$20)),ISNA(MATCH(BU507,{"mh","rev","revision","ver","version","v","r","a","b","seat","tray","row","gate","bay","stand","page","pg","item","line","no","cart","galley","flight","flt","table","box","bag","oven","etd","eta","std","sta","atd","ata","qty","pax","x","time","tel","ph","mob","day","wk","week","utc","gmt","myt","lt"},0)),NOT(OR(ISNUMBER(MATCH(LEFT(BN507,255),{"0000a","000a","00a","0000aa","000aa","00aa","0aa","0000aaa","000aaa","00a00","0a00","0000-0000","00:00","a00","a0","00.00.0000","00/00/0000","00-00-0000","0000-00-00","0000/00/00","0000.00.00","00.00.00","00/00/00","00-00-00","0.00.0000","0/00/0000","0-00-0000"},0)),ISNUMBER(MATCH(LEFT(BT507,255),{"0000a","000a","00a","0000aa","000aa","00aa","0aa","0000aaa","000aaa","00a00","0a00","0000-0000","00:00","a00","a0","00.00.0000","00/00/0000","00-00-0000","0000-00-00","0000/00/00","0000.00.00","00.00.00","00/00/00","00-00-00","0.00.0000","0/00/0000","0-00-0000"},0)))),NOT(OR(AND(BW507&lt;&gt;"",SUBSTITUTE(BW507,"0","")=""),AND(LEN(BW507)&gt;=4,BW507=REPT(LEFT(BW507),LEN(BW507))),ISNUMBER(MATCH(BW507,{"123","1234","12345","123456","1234567","12345678","0123","01234","012345","98765","987654","54321"},0)),ISNUMBER(MATCH(BX507,{"x","xx","xxx","xxxx","xxxxx","abc","abcd","nil","na","nan","test","tbc","tba","tbd","dummy","sample","example","eg","zz","zzz","none","null","xyz","qwe","asd","id","ref"},0)),AND(LEN(BW507)=8,BX507="",OR(LEFT(BW507,3)="202",ISNUMBER(MATCH(RIGHT(BW507,4),{"2025","2026","2027"},0)))))),OR(AND((LEN(BT507)-LEN(SUBSTITUTE(BT507,"a","")))&gt;=1,(LEN(BN507)-LEN(SUBSTITUTE(BN507,"0","")))&gt;=2,SUMPRODUCT(--ISNUMBER(SEARCH({"a0","a-0","a_0","a/0","a.0","a#0","0a","0-a","0_a","0/a"},BN507)))&gt;0),AND((LEN(BN507)-LEN(SUBSTITUTE(BN507,"a","")))=0,(LEN(BN507)-LEN(SUBSTITUTE(BN507,"0","")))&gt;=5)))),1,0),0)</f>
        <v>0</v>
      </c>
      <c r="CA5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507,"revision",""),"version",""),"jan",""),"feb",""),"mar",""),"apr",""),"may",""),"jun",""),"jul",""),"aug",""),"sep",""),"oct",""),"nov",""),"dec",""),"utc",""),"gmt",""),"myt",""),"bst",""),"rev",""),"ver",""),"b","a"),"c","a"),"d","a"),"e","a"),"f","a"),"g","a"),"h","a"),"i","a"),"j","a"),"k","a"),"l","a"),"m","a"),"n","a"),"o","a"),"p","a"),"q","a"),"r","a"),"s","a"),"t","a"),"u","a"),"v","a"),"w","a"),"x","a"),"y","a"),"z","a")</f>
        <v/>
      </c>
      <c r="CB5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507&amp;""),"a",""),"b",""),"c",""),"d",""),"e",""),"f",""),"g",""),"h",""),"i",""),"j",""),"k",""),"l",""),"m",""),"n",""),"o",""),"p",""),"q",""),"r",""),"s",""),"t",""),"u",""),"v",""),"w",""),"x",""),"y",""),"z",""),"-",""),"_",""),"/",""),".",""),"#",""),"\\",""),":","")," ",""),"(",""),")","")</f>
        <v/>
      </c>
      <c r="CC507" s="0" t="str">
        <f aca="false">" "&amp;TRIM(SUBSTITUTE(SUBSTITUTE(SUBSTITUTE(SUBSTITUTE(SUBSTITUTE(SUBSTITUTE(SUBSTITUTE(SUBSTITUTE(SUBSTITUTE(SUBSTITUTE(SUBSTITUTE(SUBSTITUTE(SUBSTITUTE(SUBSTITUTE(SUBSTITUTE(SUBSTITUTE(SUBSTITUTE(SUBSTITUTE(SUBSTITUTE(SUBSTITUTE(SUBSTITUTE(SUBSTITUTE(SUBSTITUTE(SUBSTITUTE(LOWER(T507&amp;""),CHAR(10)," "),CHAR(13)," "),CHAR(9)," "),CHAR(160)," "),"."," "),","," "),"-"," "),"/"," "),"("," "),")"," "),":"," "),";"," "),"_"," "),"–"," "),"?"," "),"!"," "),"*"," "),"["," "),"]"," "),"'"," "),"#"," "),"+"," "),"&amp;"," "),"\"," "))&amp;" "</f>
        <v>  </v>
      </c>
      <c r="CD507" s="0" t="str">
        <f aca="false">" "&amp;TRIM(SUBSTITUTE(SUBSTITUTE(SUBSTITUTE(SUBSTITUTE(SUBSTITUTE(SUBSTITUTE(SUBSTITUTE(SUBSTITUTE(SUBSTITUTE(SUBSTITUTE(SUBSTITUTE(SUBSTITUTE(SUBSTITUTE(SUBSTITUTE(SUBSTITUTE(SUBSTITUTE(SUBSTITUTE(SUBSTITUTE(SUBSTITUTE(SUBSTITUTE(SUBSTITUTE(SUBSTITUTE(SUBSTITUTE(SUBSTITUTE(LOWER(AE507&amp;""),CHAR(10)," "),CHAR(13)," "),CHAR(9)," "),CHAR(160)," "),"."," "),","," "),"-"," "),"/"," "),"("," "),")"," "),":"," "),";"," "),"_"," "),"–"," "),"?"," "),"!"," "),"*"," "),"["," "),"]"," "),"'"," "),"#"," "),"+"," "),"&amp;"," "),"\"," "))&amp;" "</f>
        <v>  </v>
      </c>
      <c r="CE507" s="68" t="n">
        <f aca="false">IFERROR(IF(AND(LEN(AU507)&gt;0,LEN(AU507)=LEN(AX507),OR(TRIM(MID(SUBSTITUTE(TRIM(CC507)," ",REPT(" ",60)),1,60))="",ISNUMBER(SEARCH(" "&amp;TRIM(MID(SUBSTITUTE(TRIM(CC507)," ",REPT(" ",60)),1,60))&amp;" ",CD507))),OR(TRIM(MID(SUBSTITUTE(TRIM(CC507)," ",REPT(" ",60)),61,60))="",ISNUMBER(SEARCH(" "&amp;TRIM(MID(SUBSTITUTE(TRIM(CC507)," ",REPT(" ",60)),61,60))&amp;" ",CD507))),OR(TRIM(MID(SUBSTITUTE(TRIM(CC507)," ",REPT(" ",60)),121,60))="",ISNUMBER(SEARCH(" "&amp;TRIM(MID(SUBSTITUTE(TRIM(CC507)," ",REPT(" ",60)),121,60))&amp;" ",CD507)))),1,0),0)</f>
        <v>0</v>
      </c>
      <c r="CG507" s="68" t="n">
        <f aca="false">IFERROR(LEN(SUBSTITUTE(BF507," ",""))-SUMPRODUCT((LEN(BF507)-LEN(SUBSTITUTE(BF507," "&amp;L_NAFiller&amp;" "," ")))/(LEN(L_NAFiller)+1)*LEN(L_NAFiller)),0)</f>
        <v>0</v>
      </c>
    </row>
    <row r="508" customFormat="false" ht="41.25" hidden="false" customHeight="true" outlineLevel="0" collapsed="false">
      <c r="A508" s="57" t="s">
        <v>1163</v>
      </c>
      <c r="B508" s="57" t="s">
        <v>280</v>
      </c>
      <c r="C508" s="57" t="str">
        <f aca="false">Flights!$F$20</f>
        <v>MH0072</v>
      </c>
      <c r="D508" s="58" t="n">
        <f aca="false">Flights!$D$20</f>
        <v>46321</v>
      </c>
      <c r="E508" s="57" t="str">
        <f aca="false">Flights!$G$20&amp;"-"&amp;Flights!$H$20</f>
        <v>KUL-HKG</v>
      </c>
      <c r="F508" s="57" t="str">
        <f aca="false">Flights!$K$20</f>
        <v>EY</v>
      </c>
      <c r="G508" s="57" t="s">
        <v>81</v>
      </c>
      <c r="H508" s="57" t="s">
        <v>378</v>
      </c>
      <c r="I508" s="57" t="s">
        <v>389</v>
      </c>
      <c r="J508" s="57" t="s">
        <v>390</v>
      </c>
      <c r="K508" s="67" t="s">
        <v>391</v>
      </c>
      <c r="L508" s="67" t="s">
        <v>382</v>
      </c>
      <c r="M508" s="67"/>
      <c r="N508" s="67" t="str">
        <f aca="false">IF(TRIM(Flights!$L$20)="A339","Required","N/A – rule")</f>
        <v>N/A – rule</v>
      </c>
      <c r="O508" s="67" t="s">
        <v>392</v>
      </c>
      <c r="P508" s="57" t="s">
        <v>187</v>
      </c>
      <c r="Q508" s="59" t="n">
        <f aca="false">ROUND((Flights!$AC$20)*1440,0)/1440</f>
        <v>46314.0486111111</v>
      </c>
      <c r="R508" s="59" t="n">
        <f aca="false">Q508+(IF(AND(INDEX(TZ_DSTS,MATCH(P508,TZ_STN,0))&lt;&gt;"",Q508&gt;=INDEX(TZ_DSTS,MATCH(P508,TZ_STN,0)),Q508&lt;INDEX(TZ_DSTE,MATCH(P508,TZ_STN,0))),INDEX(TZ_DST,MATCH(P508,TZ_STN,0)),INDEX(TZ_STD,MATCH(P508,TZ_STN,0))))/24</f>
        <v>46314.3819444444</v>
      </c>
      <c r="S508" s="60"/>
      <c r="T508" s="60"/>
      <c r="U508" s="60"/>
      <c r="V508" s="60"/>
      <c r="W508" s="61"/>
      <c r="X508" s="60"/>
      <c r="Y508" s="60"/>
      <c r="Z508" s="60"/>
      <c r="AA508" s="60"/>
      <c r="AB508" s="60"/>
      <c r="AC508" s="60"/>
      <c r="AD508" s="66"/>
      <c r="AE508" s="60"/>
      <c r="AF508" s="61" t="str">
        <f aca="false">IF(AND(ISNUMBER(X508),ISNUMBER(Y508)),Y508-X508,"")</f>
        <v/>
      </c>
      <c r="AG508" s="62" t="str">
        <f aca="false">IF(ISNUMBER(AD508),AD508-(IF(AND(INDEX(TZ_DSTS,MATCH(P508,TZ_STN,0))&lt;&gt;"",(AD508-INDEX(TZ_STD,MATCH(P508,TZ_STN,0))/24)&gt;=INDEX(TZ_DSTS,MATCH(P508,TZ_STN,0)),(AD508-INDEX(TZ_STD,MATCH(P508,TZ_STN,0))/24)&lt;INDEX(TZ_DSTE,MATCH(P508,TZ_STN,0))),INDEX(TZ_DST,MATCH(P508,TZ_STN,0)),INDEX(TZ_STD,MATCH(P508,TZ_STN,0))))/24,"")</f>
        <v/>
      </c>
      <c r="AH508" s="65" t="str">
        <f aca="false">IFERROR(IF(N508="N/A – rule",IF(OR(TRIM(U508)="",TRIM(U508)="N/A",TRIM(U508)="Not started"),"N/A – RULE","INVALID – this check does not apply to this aircraft: clear the status (or correct the fleet on Flights)"),IF(TRIM(U508)="N/A",IF(AT508=0,"INVALID – N/A not permitted for this check",IF(AND(TRIM(AB508)&lt;&gt;"",TRIM(AB508)&lt;&gt;"Closed"),"INVALID – corrective action still open",IF(AND(NOT(OR(LEN(AZ508)&lt;15,ISNUMBER(MATCH(AZ508,L_Placeholder,0)))),BK508=0,CG508&gt;=8,NOT(OR(LEN(AU508)&lt;2,ISNUMBER(MATCH(AU508,L_Placeholder,0)))),BR508&gt;=3,NOT(OR(LEN(AX508)&lt;2,ISNUMBER(MATCH(AX508,L_Placeholder,0)))),BS508&gt;=3,TRIM(AE508)&lt;&gt;TRIM(T508),AX508&lt;&gt;AU508,CE508=0),"N/A – JUSTIFIED","INVALID – N/A needs a real, settled reason (not 'not applicable' / 'as above' / TBC), a named PIC and a different named verifier"))),IF(OR(TRIM(U508)="Pass",TRIM(U508)="Pass after CA"),IF(NOT(ISNUMBER(AD508)),"INVALID – completion time missing",IF(OR(OR(LEN(AU508)&lt;2,ISNUMBER(MATCH(AU508,L_Placeholder,0))),BR508&lt;3),"INVALID – PIC missing or not a named person (a role such as QA / CSM is not a name)",IF(OR(LEN(AV508)&lt;2,ISNUMBER(MATCH(AV508,L_Placeholder,0))),"INVALID – result / assessment missing",IF(OR(OR(LEN(AW508)&lt;3,ISNUMBER(MATCH(AW508,L_Placeholder,0))),SUMPRODUCT(--ISNUMBER(SEARCH(" "&amp;L_EvidencePhrase&amp;" ",BD508)))&gt;0,BI508=1),"INVALID – evidence missing, placeholder or not yet on file",IF(ISNA(MATCH(TRIM(S508),L_EvidenceType,0)),"INVALID – choose the evidence type from the list (column S)",IF(BL508=0,"INVALID – evidence ID must be the record's own ID only (e.g. SF-2210, IMG_2231, 1045521); a link / file name needs type 'Link / file path'",IF(OR(OR(LEN(AX508)&lt;2,ISNUMBER(MATCH(AX508,L_Placeholder,0))),BS508&lt;3),"INVALID – verifier missing or not a named person (a role such as QA / CSM is not a name)",IF(OR(AX508=AU508,CE508=1,AND(LEN(AU508)&gt;=4,ISNUMBER(SEARCH(AU508,AX508))),AND(LEN(AX508)&gt;=4,ISNUMBER(SEARCH(AX508,AU508)))),"INVALID – verifier must be a different, named person (not the PIC or a role)",IF(BH508=1,"INVALID – result not yet available (awaiting / TBC)",IF(BG508=1,"INVALID – result describes a problem: record Fail, then Pass after CA (or reword if it is not a problem)",IF(BV508=1,"INVALID – wording says not on board: an on-board confirmation needs the item loaded",IF(AND(AQ508=1,OR(OR(LEN(AY508)&lt;3,ISNUMBER(MATCH(AY508,L_Placeholder,0))),BJ508=1,BQ508=0)),"INVALID – batch ID missing, placeholder or not an ID (e.g. PASB-261008-BC-017)",IF(AND(AR508=1,OR(NOT(ISNUMBER(X508)),NOT(ISNUMBER(Y508)))),"INVALID – expected/actual qty missing",IF(AND(AR508=1,OR(X508&lt;=0,Y508&lt;0)),"INVALID – expected qty must be above 0 and actual not negative",IF(BB508&lt;&gt;"",BB508,IF(AND(AS508=1,Documents!$J$20&lt;&gt;"ON FILE"),"INVALID – GLD not on file (Documents sheet)",IF(AND(AS508=2,Documents!$O$20&lt;&gt;"ON FILE"),"INVALID – menu checklist not on file (Documents sheet)",IF(AND(AS508=3,NOT(ISNUMBER(Flights!$AX$20))),"INVALID – enter carrying flight KUL departure (Flights AX)",IF(AND(AS508=3,OR(Flights!$AZ$20&gt;Flights!$AA$20,Flights!$AX$20&lt;Flights!$AA$20-3)),"INVALID – carrying flight (Flights AX) cannot arrive before this leg's STD, or is over 3 days early",IF(AG508&gt;AsOfUTC,"INVALID – completion time is in the future",IF(AND(ISNUMBER(BY508),AG508&lt;BY508),IF(H508="Physical uplift","INVALID – before uplift window (cannot confirm loading)","INVALID – before valid window"),IF(AG508&gt;Flights!$AA$20,"INVALID – completed after departure (cannot establish readiness)",IF(AND(H508="Preparation",AG508&gt;=IF(ISNUMBER(Flights!$BA$20),MIN(Flights!$BA$20,Flights!$AA$20),Flights!$AA$20)),"INVALID – completed after loading / departure (cannot establish readiness)",IF(AND(H508="Physical uplift",AG508&gt;Q508),"INVALID – recorded after the loading flight departed",IF(AG508&gt;Q508,"COMPLETE – LATE","COMPLETE"))))))))))))))))))))))))),IF(TRIM(U508)="Fail","FAIL – DISCREPANCY",IF(AND(TRIM(U508)&lt;&gt;"",TRIM(U508)&lt;&gt;"Not started",TRIM(U508)&lt;&gt;"In progress"),"INVALID – unrecognised status (use the list)",IF(AsOfUTC&gt;Q508,"OVERDUE",IF(N508="Clarification required","OPEN – CLARIFICATION","OPEN"))))))),"INVALID – error value in an input cell")</f>
        <v>N/A – RULE</v>
      </c>
      <c r="AI508" s="61" t="n">
        <f aca="false">IF(OR(AH508="N/A – RULE",AH508="N/A – JUSTIFIED"),0,1)</f>
        <v>0</v>
      </c>
      <c r="AJ508" s="61" t="n">
        <f aca="false">IF(LEFT(AH508,8)="COMPLETE",1,0)</f>
        <v>0</v>
      </c>
      <c r="AK508" s="61" t="n">
        <f aca="false">IF(AND(AI508=1,AJ508=0,AsOfUTC&gt;Q508),1,0)</f>
        <v>0</v>
      </c>
      <c r="AL508" s="61" t="n">
        <f aca="false">IFERROR(IF(AND(AI508=1,OR(TRIM(U508)="Fail",AND(TRIM(AB508)&lt;&gt;"",TRIM(AB508)&lt;&gt;"Closed"),AND(ISNUMBER(AF508),AF508&lt;&gt;0,TRIM(U508)&lt;&gt;"Pass after CA"))),1,0),1)</f>
        <v>0</v>
      </c>
      <c r="AM508" s="61" t="n">
        <f aca="false">IF(LEFT(AH508,7)="INVALID",1,0)</f>
        <v>0</v>
      </c>
      <c r="AN508" s="61" t="n">
        <f aca="false">IF(AND(N508="Clarification required",AI508=1,AJ508=0),1,0)</f>
        <v>0</v>
      </c>
      <c r="AO508" s="61" t="str">
        <f aca="false">IF(AK508=1,SUM(AK$5:AK508),"")</f>
        <v/>
      </c>
      <c r="AP508" s="61" t="str">
        <f aca="false">IF(AL508=1,SUM(AL$5:AL508),"")</f>
        <v/>
      </c>
      <c r="AQ508" s="61" t="n">
        <v>0</v>
      </c>
      <c r="AR508" s="61" t="n">
        <v>0</v>
      </c>
      <c r="AS508" s="61" t="n">
        <v>0</v>
      </c>
      <c r="AT508" s="61" t="n">
        <v>0</v>
      </c>
      <c r="AU508" s="61" t="str">
        <f aca="false">SUBSTITUTE(SUBSTITUTE(SUBSTITUTE(SUBSTITUTE(SUBSTITUTE(SUBSTITUTE(SUBSTITUTE(SUBSTITUTE(SUBSTITUTE(SUBSTITUTE(SUBSTITUTE(SUBSTITUTE(SUBSTITUTE(SUBSTITUTE(SUBSTITUTE(SUBSTITUTE(LOWER(T508&amp;""),CHAR(10),""),CHAR(13),""),CHAR(9),""),CHAR(160),"")," ",""),".",""),"-",""),"/",""),"?",""),"_",""),",",""),"[",""),"]",""),"(",""),")",""),"*","")</f>
        <v/>
      </c>
      <c r="AV508" s="61" t="str">
        <f aca="false">SUBSTITUTE(SUBSTITUTE(SUBSTITUTE(SUBSTITUTE(SUBSTITUTE(SUBSTITUTE(SUBSTITUTE(SUBSTITUTE(SUBSTITUTE(SUBSTITUTE(SUBSTITUTE(SUBSTITUTE(SUBSTITUTE(SUBSTITUTE(SUBSTITUTE(SUBSTITUTE(LOWER(V508&amp;""),CHAR(10),""),CHAR(13),""),CHAR(9),""),CHAR(160),"")," ",""),".",""),"-",""),"/",""),"?",""),"_",""),",",""),"[",""),"]",""),"(",""),")",""),"*","")</f>
        <v/>
      </c>
      <c r="AW508" s="61" t="str">
        <f aca="false">SUBSTITUTE(SUBSTITUTE(SUBSTITUTE(SUBSTITUTE(SUBSTITUTE(SUBSTITUTE(SUBSTITUTE(SUBSTITUTE(SUBSTITUTE(SUBSTITUTE(SUBSTITUTE(SUBSTITUTE(SUBSTITUTE(SUBSTITUTE(SUBSTITUTE(SUBSTITUTE(LOWER(Z508&amp;""),CHAR(10),""),CHAR(13),""),CHAR(9),""),CHAR(160),"")," ",""),".",""),"-",""),"/",""),"?",""),"_",""),",",""),"[",""),"]",""),"(",""),")",""),"*","")</f>
        <v/>
      </c>
      <c r="AX508" s="61" t="str">
        <f aca="false">SUBSTITUTE(SUBSTITUTE(SUBSTITUTE(SUBSTITUTE(SUBSTITUTE(SUBSTITUTE(SUBSTITUTE(SUBSTITUTE(SUBSTITUTE(SUBSTITUTE(SUBSTITUTE(SUBSTITUTE(SUBSTITUTE(SUBSTITUTE(SUBSTITUTE(SUBSTITUTE(LOWER(AE508&amp;""),CHAR(10),""),CHAR(13),""),CHAR(9),""),CHAR(160),"")," ",""),".",""),"-",""),"/",""),"?",""),"_",""),",",""),"[",""),"]",""),"(",""),")",""),"*","")</f>
        <v/>
      </c>
      <c r="AY508" s="61" t="str">
        <f aca="false">SUBSTITUTE(SUBSTITUTE(SUBSTITUTE(SUBSTITUTE(SUBSTITUTE(SUBSTITUTE(SUBSTITUTE(SUBSTITUTE(SUBSTITUTE(SUBSTITUTE(SUBSTITUTE(SUBSTITUTE(SUBSTITUTE(SUBSTITUTE(SUBSTITUTE(SUBSTITUTE(LOWER(W508&amp;""),CHAR(10),""),CHAR(13),""),CHAR(9),""),CHAR(160),"")," ",""),".",""),"-",""),"/",""),"?",""),"_",""),",",""),"[",""),"]",""),"(",""),")",""),"*","")</f>
        <v/>
      </c>
      <c r="AZ508" s="61" t="str">
        <f aca="false">SUBSTITUTE(SUBSTITUTE(SUBSTITUTE(SUBSTITUTE(SUBSTITUTE(SUBSTITUTE(SUBSTITUTE(SUBSTITUTE(SUBSTITUTE(SUBSTITUTE(SUBSTITUTE(SUBSTITUTE(SUBSTITUTE(SUBSTITUTE(SUBSTITUTE(SUBSTITUTE(LOWER(AC508&amp;""),CHAR(10),""),CHAR(13),""),CHAR(9),""),CHAR(160),"")," ",""),".",""),"-",""),"/",""),"?",""),"_",""),",",""),"[",""),"]",""),"(",""),")",""),"*","")</f>
        <v/>
      </c>
      <c r="BA508" s="61" t="str">
        <f aca="false">SUBSTITUTE(SUBSTITUTE(SUBSTITUTE(SUBSTITUTE(SUBSTITUTE(SUBSTITUTE(SUBSTITUTE(SUBSTITUTE(SUBSTITUTE(SUBSTITUTE(SUBSTITUTE(SUBSTITUTE(SUBSTITUTE(SUBSTITUTE(SUBSTITUTE(SUBSTITUTE(LOWER(AA508&amp;""),CHAR(10),""),CHAR(13),""),CHAR(9),""),CHAR(160),"")," ",""),".",""),"-",""),"/",""),"?",""),"_",""),",",""),"[",""),"]",""),"(",""),")",""),"*","")</f>
        <v/>
      </c>
      <c r="BB508" s="61" t="str">
        <f aca="false">IF(AND(TRIM(U508)="Pass",ISNUMBER(AF508)),IF(AF508&lt;&gt;0,"INVALID – qty variance: use Fail or Pass after CA",""),"")&amp;IF(AND(TRIM(U508)="Pass after CA",ISNUMBER(AF508)),IF(AF508&lt;&gt;0,"INVALID – after the corrective action the actual qty must equal expected (update Actual)",""),"")&amp;IF(AND(TRIM(U508)="Pass",TRIM(AB508)&lt;&gt;"",TRIM(AB508)&lt;&gt;"Closed"),"INVALID – corrective action not closed: use Fail, then Pass after CA","")&amp;IF(AND(LEN(BA508)&gt;=2,ISNA(MATCH(LEFT(BA508,255),L_Placeholder,0)),TRIM(AB508)=""),"INVALID – CA status missing for the recorded corrective action","")&amp;IF(AND(TRIM(U508)="Pass after CA",OR(OR(LEN(BA508)&lt;5,ISNUMBER(MATCH(BA508,L_Placeholder,0))),TRIM(AB508)&lt;&gt;"Closed")),"INVALID – corrective action not recorded/closed","")</f>
        <v/>
      </c>
      <c r="BC508" s="61" t="str">
        <f aca="false">" "&amp;TRIM(SUBSTITUTE(SUBSTITUTE(SUBSTITUTE(SUBSTITUTE(SUBSTITUTE(SUBSTITUTE(SUBSTITUTE(SUBSTITUTE(SUBSTITUTE(SUBSTITUTE(SUBSTITUTE(SUBSTITUTE(SUBSTITUTE(SUBSTITUTE(SUBSTITUTE(SUBSTITUTE(SUBSTITUTE(SUBSTITUTE(SUBSTITUTE(SUBSTITUTE(SUBSTITUTE(SUBSTITUTE(SUBSTITUTE(SUBSTITUTE(LOWER(V508&amp;""),CHAR(10)," "),CHAR(13)," "),CHAR(9)," "),CHAR(160)," "),"."," "),","," "),"-"," "),"/"," "),"("," "),")"," "),":"," "),";"," "),"_"," "),"–"," "),"?"," "),"!"," "),"*"," "),"["," "),"]"," "),"'"," "),"#"," "),"+"," "),"&amp;"," "),"\"," "))&amp;" "</f>
        <v>  </v>
      </c>
      <c r="BD508" s="61" t="str">
        <f aca="false">" "&amp;TRIM(SUBSTITUTE(SUBSTITUTE(SUBSTITUTE(SUBSTITUTE(SUBSTITUTE(SUBSTITUTE(SUBSTITUTE(SUBSTITUTE(SUBSTITUTE(SUBSTITUTE(SUBSTITUTE(SUBSTITUTE(SUBSTITUTE(SUBSTITUTE(SUBSTITUTE(SUBSTITUTE(SUBSTITUTE(SUBSTITUTE(SUBSTITUTE(SUBSTITUTE(SUBSTITUTE(SUBSTITUTE(SUBSTITUTE(SUBSTITUTE(LOWER(Z508&amp;""),CHAR(10)," "),CHAR(13)," "),CHAR(9)," "),CHAR(160)," "),"."," "),","," "),"-"," "),"/"," "),"("," "),")"," "),":"," "),";"," "),"_"," "),"–"," "),"?"," "),"!"," "),"*"," "),"["," "),"]"," "),"'"," "),"#"," "),"+"," "),"&amp;"," "),"\"," "))&amp;" "</f>
        <v>  </v>
      </c>
      <c r="BE508" s="61" t="str">
        <f aca="false">" "&amp;TRIM(SUBSTITUTE(SUBSTITUTE(SUBSTITUTE(SUBSTITUTE(SUBSTITUTE(SUBSTITUTE(SUBSTITUTE(SUBSTITUTE(SUBSTITUTE(SUBSTITUTE(SUBSTITUTE(SUBSTITUTE(SUBSTITUTE(SUBSTITUTE(SUBSTITUTE(SUBSTITUTE(SUBSTITUTE(SUBSTITUTE(SUBSTITUTE(SUBSTITUTE(SUBSTITUTE(SUBSTITUTE(SUBSTITUTE(SUBSTITUTE(LOWER(W508&amp;""),CHAR(10)," "),CHAR(13)," "),CHAR(9)," "),CHAR(160)," "),"."," "),","," "),"-"," "),"/"," "),"("," "),")"," "),":"," "),";"," "),"_"," "),"–"," "),"?"," "),"!"," "),"*"," "),"["," "),"]"," "),"'"," "),"#"," "),"+"," "),"&amp;"," "),"\"," "))&amp;" "</f>
        <v>  </v>
      </c>
      <c r="BF508" s="61" t="str">
        <f aca="false">" "&amp;TRIM(SUBSTITUTE(SUBSTITUTE(SUBSTITUTE(SUBSTITUTE(SUBSTITUTE(SUBSTITUTE(SUBSTITUTE(SUBSTITUTE(SUBSTITUTE(SUBSTITUTE(SUBSTITUTE(SUBSTITUTE(SUBSTITUTE(SUBSTITUTE(SUBSTITUTE(SUBSTITUTE(SUBSTITUTE(SUBSTITUTE(SUBSTITUTE(SUBSTITUTE(SUBSTITUTE(SUBSTITUTE(SUBSTITUTE(SUBSTITUTE(LOWER(AC508&amp;""),CHAR(10)," "),CHAR(13)," "),CHAR(9)," "),CHAR(160)," "),"."," "),","," "),"-"," "),"/"," "),"("," "),")"," "),":"," "),";"," "),"_"," "),"–"," "),"?"," "),"!"," "),"*"," "),"["," "),"]"," "),"'"," "),"#"," "),"+"," "),"&amp;"," "),"\"," "))&amp;" "</f>
        <v>  </v>
      </c>
      <c r="BG508" s="61" t="n">
        <f aca="false">IFERROR(IF(AND(TRIM(U508)="Pass",SUMPRODUCT((LEN(BC508)-LEN(SUBSTITUTE(BC508," "&amp;L_ResultBad&amp;" "," ")))/(LEN(L_ResultBad)+1))&gt;SUMPRODUCT((LEN(BC508)-LEN(SUBSTITUTE(BC508," "&amp;L_NegPhrase&amp;" "," ")))/(LEN(L_NegPhrase)+1))),1,0),0)</f>
        <v>0</v>
      </c>
      <c r="BH508" s="61" t="n">
        <f aca="false">IFERROR(IF(SUMPRODUCT((LEN(BC508)-LEN(SUBSTITUTE(BC508," "&amp;L_Pending&amp;" "," ")))/(LEN(L_Pending)+1))&gt;SUMPRODUCT((LEN(BC508)-LEN(SUBSTITUTE(BC508," "&amp;L_PendNeg&amp;" "," ")))/(LEN(L_PendNeg)+1))+SUMPRODUCT((LEN(BC508)-LEN(SUBSTITUTE(BC508," "&amp;L_PendPrep&amp;" "," ")))/(LEN(L_PendPrep)+1)),1,0),1)</f>
        <v>0</v>
      </c>
      <c r="BI508" s="61" t="n">
        <f aca="false">IFERROR(IF(SUMPRODUCT((LEN(BD508)-LEN(SUBSTITUTE(BD508," "&amp;L_PendStrict&amp;" "," ")))/(LEN(L_PendStrict)+1))&gt;SUMPRODUCT((LEN(BD508)-LEN(SUBSTITUTE(BD508," "&amp;L_PendNeg&amp;" "," ")))/(LEN(L_PendNeg)+1)),1,0),1)</f>
        <v>0</v>
      </c>
      <c r="BJ508" s="61" t="n">
        <f aca="false">IFERROR(IF(SUMPRODUCT((LEN(BE508)-LEN(SUBSTITUTE(BE508," "&amp;L_Pending&amp;" "," ")))/(LEN(L_Pending)+1))&gt;SUMPRODUCT((LEN(BE508)-LEN(SUBSTITUTE(BE508," "&amp;L_PendNeg&amp;" "," ")))/(LEN(L_PendNeg)+1))+SUMPRODUCT((LEN(BE508)-LEN(SUBSTITUTE(BE508," "&amp;L_PendPrep&amp;" "," ")))/(LEN(L_PendPrep)+1)),1,0),1)</f>
        <v>0</v>
      </c>
      <c r="BK508" s="61" t="n">
        <f aca="false">IFERROR(IF(SUMPRODUCT((LEN(BF508)-LEN(SUBSTITUTE(BF508," "&amp;L_PendStrict&amp;" "," ")))/(LEN(L_PendStrict)+1))&gt;SUMPRODUCT((LEN(BF508)-LEN(SUBSTITUTE(BF508," "&amp;L_PendNeg&amp;" "," ")))/(LEN(L_PendNeg)+1)),1,0),1)</f>
        <v>0</v>
      </c>
      <c r="BL508" s="61" t="n">
        <f aca="false">IF(ISNA(MATCH(TRIM(S508),L_EvidenceType,0)),0,BZ508)</f>
        <v>0</v>
      </c>
      <c r="BM508" s="61" t="str">
        <f aca="false">SUBSTITUTE(SUBSTITUTE(SUBSTITUTE(SUBSTITUTE(SUBSTITUTE(SUBSTITUTE(SUBSTITUTE(SUBSTITUTE(SUBSTITUTE(LOWER(Z508&amp;""),"1","0"),"2","0"),"3","0"),"4","0"),"5","0"),"6","0"),"7","0"),"8","0"),"9","0")</f>
        <v/>
      </c>
      <c r="BN508" s="61" t="str">
        <f aca="false">SUBSTITUTE(SUBSTITUTE(SUBSTITUTE(SUBSTITUTE(SUBSTITUTE(SUBSTITUTE(SUBSTITUTE(SUBSTITUTE(SUBSTITUTE(SUBSTITUTE(SUBSTITUTE(SUBSTITUTE(SUBSTITUTE(SUBSTITUTE(SUBSTITUTE(SUBSTITUTE(SUBSTITUTE(SUBSTITUTE(SUBSTITUTE(SUBSTITUTE(SUBSTITUTE(SUBSTITUTE(SUBSTITUTE(SUBSTITUTE(SUBSTITUTE(BM508,"b","a"),"c","a"),"d","a"),"e","a"),"f","a"),"g","a"),"h","a"),"i","a"),"j","a"),"k","a"),"l","a"),"m","a"),"n","a"),"o","a"),"p","a"),"q","a"),"r","a"),"s","a"),"t","a"),"u","a"),"v","a"),"w","a"),"x","a"),"y","a"),"z","a")</f>
        <v/>
      </c>
      <c r="BO508" s="61" t="str">
        <f aca="false">SUBSTITUTE(SUBSTITUTE(SUBSTITUTE(SUBSTITUTE(SUBSTITUTE(SUBSTITUTE(SUBSTITUTE(SUBSTITUTE(SUBSTITUTE(LOWER(W508&amp;""),"1","0"),"2","0"),"3","0"),"4","0"),"5","0"),"6","0"),"7","0"),"8","0"),"9","0")</f>
        <v/>
      </c>
      <c r="BP508" s="61" t="str">
        <f aca="false">SUBSTITUTE(SUBSTITUTE(SUBSTITUTE(SUBSTITUTE(SUBSTITUTE(SUBSTITUTE(SUBSTITUTE(SUBSTITUTE(SUBSTITUTE(SUBSTITUTE(SUBSTITUTE(SUBSTITUTE(SUBSTITUTE(SUBSTITUTE(SUBSTITUTE(SUBSTITUTE(SUBSTITUTE(SUBSTITUTE(SUBSTITUTE(SUBSTITUTE(SUBSTITUTE(SUBSTITUTE(SUBSTITUTE(SUBSTITUTE(SUBSTITUTE(BO508,"b","a"),"c","a"),"d","a"),"e","a"),"f","a"),"g","a"),"h","a"),"i","a"),"j","a"),"k","a"),"l","a"),"m","a"),"n","a"),"o","a"),"p","a"),"q","a"),"r","a"),"s","a"),"t","a"),"u","a"),"v","a"),"w","a"),"x","a"),"y","a"),"z","a")</f>
        <v/>
      </c>
      <c r="BQ508" s="61" t="n">
        <f aca="false">IFERROR(IF(AND(ISERROR(SEARCH(" mh"," "&amp;LOWER(W508))),ISNA(MATCH(LEFT(TRIM(BP508),255),{"0000a","000a","00a","0000aa","000aa","00aa","0aa","0000aaa","000aaa","00a00","0a00","0000-0000","00:00","a00","a0","00.00.0000","00/00/0000","00-00-0000","0000-00-00","0000/00/00","0000.00.00","00.00.00","00/00/00","00-00-00","0.00.0000","0/00/0000","0-00-0000"},0)),ISNA(MATCH(LEFT(TRIM(CA508),255),{"0000a","000a","00a","0000aa","000aa","00aa","0aa","0000aaa","000aaa","00a00","0a00","0000-0000","00:00","a00","a0","00.00.0000","00/00/0000","00-00-0000","0000-00-00","0000/00/00","0000.00.00","00.00.00","00/00/00","00-00-00","0.00.0000","0/00/0000","0-00-0000"},0)),LEN(CB508)&gt;=3,NOT(OR(SUBSTITUTE(CB508,"0","")="",AND(LEN(CB508)&gt;=4,CB508=REPT(LEFT(CB508),LEN(CB508))),ISNUMBER(MATCH(CB508,{"123","1234","12345","123456","1234567","12345678","0123","01234","012345","98765","987654","54321"},0)),AND(LEN(CB508)=8,LEFT(CB508,3)="202"))),OR(AND((LEN(CA508)-LEN(SUBSTITUTE(CA508,"a","")))&gt;=1,SUMPRODUCT(--ISNUMBER(SEARCH({"a0","a-0","a_0","a/0","a.0","a#0","0a","0-a","0_a","0/a"},BP508)))&gt;0),ISNUMBER(SEARCH("000000",BP508)))),1,0),0)</f>
        <v>0</v>
      </c>
      <c r="BR508" s="61" t="n">
        <f aca="false">IFERROR(LEN(SUBSTITUTE(CC508," ",""))-SUMPRODUCT((LEN(CC508)-LEN(SUBSTITUTE(CC508," "&amp;L_Role&amp;" "," ")))/(LEN(L_Role)+1)*LEN(L_Role)),0)</f>
        <v>0</v>
      </c>
      <c r="BS508" s="61" t="n">
        <f aca="false">IFERROR(LEN(SUBSTITUTE(CD508," ",""))-SUMPRODUCT((LEN(CD508)-LEN(SUBSTITUTE(CD508," "&amp;L_Role&amp;" "," ")))/(LEN(L_Role)+1)*LEN(L_Role)),0)</f>
        <v>0</v>
      </c>
      <c r="BT5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508,"revision",""),"version",""),"jan",""),"feb",""),"mar",""),"apr",""),"may",""),"jun",""),"jul",""),"aug",""),"sep",""),"oct",""),"nov",""),"dec",""),"utc",""),"gmt",""),"myt",""),"bst",""),"rev",""),"ver",""),"b","a"),"c","a"),"d","a"),"e","a"),"f","a"),"g","a"),"h","a"),"i","a"),"j","a"),"k","a"),"l","a"),"m","a"),"n","a"),"o","a"),"p","a"),"q","a"),"r","a"),"s","a"),"t","a"),"u","a"),"v","a"),"w","a"),"x","a"),"y","a"),"z","a")</f>
        <v/>
      </c>
      <c r="BU508" s="61" t="str">
        <f aca="false">SUBSTITUTE(SUBSTITUTE(SUBSTITUTE(SUBSTITUTE(SUBSTITUTE(SUBSTITUTE(SUBSTITUTE(SUBSTITUTE(SUBSTITUTE(SUBSTITUTE(LEFT(BM508,FIND("0",BM508&amp;"0")-1),"-",""),"_",""),"/",""),".",""),"#",""),"\\",""),":","")," ",""),"(",""),")","")</f>
        <v/>
      </c>
      <c r="BV508" s="61" t="n">
        <f aca="false">0</f>
        <v>0</v>
      </c>
      <c r="BW5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508&amp;""),"a",""),"b",""),"c",""),"d",""),"e",""),"f",""),"g",""),"h",""),"i",""),"j",""),"k",""),"l",""),"m",""),"n",""),"o",""),"p",""),"q",""),"r",""),"s",""),"t",""),"u",""),"v",""),"w",""),"x",""),"y",""),"z",""),"-",""),"_",""),"/",""),".",""),"#",""),"\\",""),":","")," ",""),"(",""),")","")</f>
        <v/>
      </c>
      <c r="BX508" s="61" t="str">
        <f aca="false">SUBSTITUTE(SUBSTITUTE(SUBSTITUTE(SUBSTITUTE(SUBSTITUTE(SUBSTITUTE(SUBSTITUTE(SUBSTITUTE(SUBSTITUTE(SUBSTITUTE(SUBSTITUTE(BM508,"0",""),"-",""),"_",""),"/",""),".",""),"#",""),"\\",""),":","")," ",""),"(",""),")","")</f>
        <v/>
      </c>
      <c r="BY508" s="62" t="n">
        <f aca="false">Q508-T7EarlyD*24/24</f>
        <v>46300.0486111111</v>
      </c>
      <c r="BZ508" s="61" t="n">
        <f aca="false">IFERROR(IF(IF(TRIM(S508)="Link / file path",AND(LEN(TRIM(Z508))&gt;=5,SUMPRODUCT(--ISNUMBER(SEARCH({"http","www.","\\",":\",".pdf",".jpg",".jpeg",".png",".heic",".xls",".doc",".msg",".eml",".ppt",".txt",".zip"},Z508)))&gt;0),AND(ISERROR(FIND(" ",TRIM(Z508))),NOT(OR(SUMPRODUCT(--ISNUMBER(FIND({",",";","&amp;","+"},Z508)))&gt;0,SUMPRODUCT(--ISNUMBER(SEARCH({"0/aa","0\\aa"},BN508)))&gt;0)),NOT(SUMPRODUCT(--ISNUMBER(SEARCH({"http","www.","\\",":\",".pdf",".jpg",".jpeg",".png",".heic",".xls",".doc",".msg",".eml",".ppt",".txt",".zip"},Z508)))&gt;0),NOT(LOWER(TRIM(Z508))=LOWER(Flights!$F$20)),ISNA(MATCH(BU508,{"mh","rev","revision","ver","version","v","r","a","b","seat","tray","row","gate","bay","stand","page","pg","item","line","no","cart","galley","flight","flt","table","box","bag","oven","etd","eta","std","sta","atd","ata","qty","pax","x","time","tel","ph","mob","day","wk","week","utc","gmt","myt","lt"},0)),NOT(OR(ISNUMBER(MATCH(LEFT(BN508,255),{"0000a","000a","00a","0000aa","000aa","00aa","0aa","0000aaa","000aaa","00a00","0a00","0000-0000","00:00","a00","a0","00.00.0000","00/00/0000","00-00-0000","0000-00-00","0000/00/00","0000.00.00","00.00.00","00/00/00","00-00-00","0.00.0000","0/00/0000","0-00-0000"},0)),ISNUMBER(MATCH(LEFT(BT508,255),{"0000a","000a","00a","0000aa","000aa","00aa","0aa","0000aaa","000aaa","00a00","0a00","0000-0000","00:00","a00","a0","00.00.0000","00/00/0000","00-00-0000","0000-00-00","0000/00/00","0000.00.00","00.00.00","00/00/00","00-00-00","0.00.0000","0/00/0000","0-00-0000"},0)))),NOT(OR(AND(BW508&lt;&gt;"",SUBSTITUTE(BW508,"0","")=""),AND(LEN(BW508)&gt;=4,BW508=REPT(LEFT(BW508),LEN(BW508))),ISNUMBER(MATCH(BW508,{"123","1234","12345","123456","1234567","12345678","0123","01234","012345","98765","987654","54321"},0)),ISNUMBER(MATCH(BX508,{"x","xx","xxx","xxxx","xxxxx","abc","abcd","nil","na","nan","test","tbc","tba","tbd","dummy","sample","example","eg","zz","zzz","none","null","xyz","qwe","asd","id","ref"},0)),AND(LEN(BW508)=8,BX508="",OR(LEFT(BW508,3)="202",ISNUMBER(MATCH(RIGHT(BW508,4),{"2025","2026","2027"},0)))))),OR(AND((LEN(BT508)-LEN(SUBSTITUTE(BT508,"a","")))&gt;=1,(LEN(BN508)-LEN(SUBSTITUTE(BN508,"0","")))&gt;=2,SUMPRODUCT(--ISNUMBER(SEARCH({"a0","a-0","a_0","a/0","a.0","a#0","0a","0-a","0_a","0/a"},BN508)))&gt;0),AND((LEN(BN508)-LEN(SUBSTITUTE(BN508,"a","")))=0,(LEN(BN508)-LEN(SUBSTITUTE(BN508,"0","")))&gt;=5)))),1,0),0)</f>
        <v>0</v>
      </c>
      <c r="CA5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508,"revision",""),"version",""),"jan",""),"feb",""),"mar",""),"apr",""),"may",""),"jun",""),"jul",""),"aug",""),"sep",""),"oct",""),"nov",""),"dec",""),"utc",""),"gmt",""),"myt",""),"bst",""),"rev",""),"ver",""),"b","a"),"c","a"),"d","a"),"e","a"),"f","a"),"g","a"),"h","a"),"i","a"),"j","a"),"k","a"),"l","a"),"m","a"),"n","a"),"o","a"),"p","a"),"q","a"),"r","a"),"s","a"),"t","a"),"u","a"),"v","a"),"w","a"),"x","a"),"y","a"),"z","a")</f>
        <v/>
      </c>
      <c r="CB5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508&amp;""),"a",""),"b",""),"c",""),"d",""),"e",""),"f",""),"g",""),"h",""),"i",""),"j",""),"k",""),"l",""),"m",""),"n",""),"o",""),"p",""),"q",""),"r",""),"s",""),"t",""),"u",""),"v",""),"w",""),"x",""),"y",""),"z",""),"-",""),"_",""),"/",""),".",""),"#",""),"\\",""),":","")," ",""),"(",""),")","")</f>
        <v/>
      </c>
      <c r="CC508" s="0" t="str">
        <f aca="false">" "&amp;TRIM(SUBSTITUTE(SUBSTITUTE(SUBSTITUTE(SUBSTITUTE(SUBSTITUTE(SUBSTITUTE(SUBSTITUTE(SUBSTITUTE(SUBSTITUTE(SUBSTITUTE(SUBSTITUTE(SUBSTITUTE(SUBSTITUTE(SUBSTITUTE(SUBSTITUTE(SUBSTITUTE(SUBSTITUTE(SUBSTITUTE(SUBSTITUTE(SUBSTITUTE(SUBSTITUTE(SUBSTITUTE(SUBSTITUTE(SUBSTITUTE(LOWER(T508&amp;""),CHAR(10)," "),CHAR(13)," "),CHAR(9)," "),CHAR(160)," "),"."," "),","," "),"-"," "),"/"," "),"("," "),")"," "),":"," "),";"," "),"_"," "),"–"," "),"?"," "),"!"," "),"*"," "),"["," "),"]"," "),"'"," "),"#"," "),"+"," "),"&amp;"," "),"\"," "))&amp;" "</f>
        <v>  </v>
      </c>
      <c r="CD508" s="0" t="str">
        <f aca="false">" "&amp;TRIM(SUBSTITUTE(SUBSTITUTE(SUBSTITUTE(SUBSTITUTE(SUBSTITUTE(SUBSTITUTE(SUBSTITUTE(SUBSTITUTE(SUBSTITUTE(SUBSTITUTE(SUBSTITUTE(SUBSTITUTE(SUBSTITUTE(SUBSTITUTE(SUBSTITUTE(SUBSTITUTE(SUBSTITUTE(SUBSTITUTE(SUBSTITUTE(SUBSTITUTE(SUBSTITUTE(SUBSTITUTE(SUBSTITUTE(SUBSTITUTE(LOWER(AE508&amp;""),CHAR(10)," "),CHAR(13)," "),CHAR(9)," "),CHAR(160)," "),"."," "),","," "),"-"," "),"/"," "),"("," "),")"," "),":"," "),";"," "),"_"," "),"–"," "),"?"," "),"!"," "),"*"," "),"["," "),"]"," "),"'"," "),"#"," "),"+"," "),"&amp;"," "),"\"," "))&amp;" "</f>
        <v>  </v>
      </c>
      <c r="CE508" s="68" t="n">
        <f aca="false">IFERROR(IF(AND(LEN(AU508)&gt;0,LEN(AU508)=LEN(AX508),OR(TRIM(MID(SUBSTITUTE(TRIM(CC508)," ",REPT(" ",60)),1,60))="",ISNUMBER(SEARCH(" "&amp;TRIM(MID(SUBSTITUTE(TRIM(CC508)," ",REPT(" ",60)),1,60))&amp;" ",CD508))),OR(TRIM(MID(SUBSTITUTE(TRIM(CC508)," ",REPT(" ",60)),61,60))="",ISNUMBER(SEARCH(" "&amp;TRIM(MID(SUBSTITUTE(TRIM(CC508)," ",REPT(" ",60)),61,60))&amp;" ",CD508))),OR(TRIM(MID(SUBSTITUTE(TRIM(CC508)," ",REPT(" ",60)),121,60))="",ISNUMBER(SEARCH(" "&amp;TRIM(MID(SUBSTITUTE(TRIM(CC508)," ",REPT(" ",60)),121,60))&amp;" ",CD508)))),1,0),0)</f>
        <v>0</v>
      </c>
      <c r="CG508" s="68" t="n">
        <f aca="false">IFERROR(LEN(SUBSTITUTE(BF508," ",""))-SUMPRODUCT((LEN(BF508)-LEN(SUBSTITUTE(BF508," "&amp;L_NAFiller&amp;" "," ")))/(LEN(L_NAFiller)+1)*LEN(L_NAFiller)),0)</f>
        <v>0</v>
      </c>
    </row>
    <row r="509" customFormat="false" ht="39.75" hidden="false" customHeight="true" outlineLevel="0" collapsed="false">
      <c r="A509" s="57" t="s">
        <v>1164</v>
      </c>
      <c r="B509" s="57" t="s">
        <v>280</v>
      </c>
      <c r="C509" s="57" t="str">
        <f aca="false">Flights!$F$20</f>
        <v>MH0072</v>
      </c>
      <c r="D509" s="58" t="n">
        <f aca="false">Flights!$D$20</f>
        <v>46321</v>
      </c>
      <c r="E509" s="57" t="str">
        <f aca="false">Flights!$G$20&amp;"-"&amp;Flights!$H$20</f>
        <v>KUL-HKG</v>
      </c>
      <c r="F509" s="57" t="str">
        <f aca="false">Flights!$K$20</f>
        <v>EY</v>
      </c>
      <c r="G509" s="57" t="s">
        <v>81</v>
      </c>
      <c r="H509" s="57" t="s">
        <v>378</v>
      </c>
      <c r="I509" s="57" t="s">
        <v>394</v>
      </c>
      <c r="J509" s="57" t="s">
        <v>395</v>
      </c>
      <c r="K509" s="67" t="s">
        <v>396</v>
      </c>
      <c r="L509" s="67" t="s">
        <v>382</v>
      </c>
      <c r="M509" s="67"/>
      <c r="N509" s="67" t="s">
        <v>383</v>
      </c>
      <c r="O509" s="67"/>
      <c r="P509" s="57" t="s">
        <v>187</v>
      </c>
      <c r="Q509" s="59" t="n">
        <f aca="false">ROUND((Flights!$AC$20)*1440,0)/1440</f>
        <v>46314.0486111111</v>
      </c>
      <c r="R509" s="59" t="n">
        <f aca="false">Q509+(IF(AND(INDEX(TZ_DSTS,MATCH(P509,TZ_STN,0))&lt;&gt;"",Q509&gt;=INDEX(TZ_DSTS,MATCH(P509,TZ_STN,0)),Q509&lt;INDEX(TZ_DSTE,MATCH(P509,TZ_STN,0))),INDEX(TZ_DST,MATCH(P509,TZ_STN,0)),INDEX(TZ_STD,MATCH(P509,TZ_STN,0))))/24</f>
        <v>46314.3819444444</v>
      </c>
      <c r="S509" s="60"/>
      <c r="T509" s="60"/>
      <c r="U509" s="60"/>
      <c r="V509" s="60"/>
      <c r="W509" s="61"/>
      <c r="X509" s="60"/>
      <c r="Y509" s="60"/>
      <c r="Z509" s="60"/>
      <c r="AA509" s="60"/>
      <c r="AB509" s="60"/>
      <c r="AC509" s="60"/>
      <c r="AD509" s="66"/>
      <c r="AE509" s="60"/>
      <c r="AF509" s="61" t="str">
        <f aca="false">IF(AND(ISNUMBER(X509),ISNUMBER(Y509)),Y509-X509,"")</f>
        <v/>
      </c>
      <c r="AG509" s="62" t="str">
        <f aca="false">IF(ISNUMBER(AD509),AD509-(IF(AND(INDEX(TZ_DSTS,MATCH(P509,TZ_STN,0))&lt;&gt;"",(AD509-INDEX(TZ_STD,MATCH(P509,TZ_STN,0))/24)&gt;=INDEX(TZ_DSTS,MATCH(P509,TZ_STN,0)),(AD509-INDEX(TZ_STD,MATCH(P509,TZ_STN,0))/24)&lt;INDEX(TZ_DSTE,MATCH(P509,TZ_STN,0))),INDEX(TZ_DST,MATCH(P509,TZ_STN,0)),INDEX(TZ_STD,MATCH(P509,TZ_STN,0))))/24,"")</f>
        <v/>
      </c>
      <c r="AH509" s="65" t="str">
        <f aca="false">IFERROR(IF(N509="N/A – rule",IF(OR(TRIM(U509)="",TRIM(U509)="N/A",TRIM(U509)="Not started"),"N/A – RULE","INVALID – this check does not apply to this aircraft: clear the status (or correct the fleet on Flights)"),IF(TRIM(U509)="N/A",IF(AT509=0,"INVALID – N/A not permitted for this check",IF(AND(TRIM(AB509)&lt;&gt;"",TRIM(AB509)&lt;&gt;"Closed"),"INVALID – corrective action still open",IF(AND(NOT(OR(LEN(AZ509)&lt;15,ISNUMBER(MATCH(AZ509,L_Placeholder,0)))),BK509=0,CG509&gt;=8,NOT(OR(LEN(AU509)&lt;2,ISNUMBER(MATCH(AU509,L_Placeholder,0)))),BR509&gt;=3,NOT(OR(LEN(AX509)&lt;2,ISNUMBER(MATCH(AX509,L_Placeholder,0)))),BS509&gt;=3,TRIM(AE509)&lt;&gt;TRIM(T509),AX509&lt;&gt;AU509,CE509=0),"N/A – JUSTIFIED","INVALID – N/A needs a real, settled reason (not 'not applicable' / 'as above' / TBC), a named PIC and a different named verifier"))),IF(OR(TRIM(U509)="Pass",TRIM(U509)="Pass after CA"),IF(NOT(ISNUMBER(AD509)),"INVALID – completion time missing",IF(OR(OR(LEN(AU509)&lt;2,ISNUMBER(MATCH(AU509,L_Placeholder,0))),BR509&lt;3),"INVALID – PIC missing or not a named person (a role such as QA / CSM is not a name)",IF(OR(LEN(AV509)&lt;2,ISNUMBER(MATCH(AV509,L_Placeholder,0))),"INVALID – result / assessment missing",IF(OR(OR(LEN(AW509)&lt;3,ISNUMBER(MATCH(AW509,L_Placeholder,0))),SUMPRODUCT(--ISNUMBER(SEARCH(" "&amp;L_EvidencePhrase&amp;" ",BD509)))&gt;0,BI509=1),"INVALID – evidence missing, placeholder or not yet on file",IF(ISNA(MATCH(TRIM(S509),L_EvidenceType,0)),"INVALID – choose the evidence type from the list (column S)",IF(BL509=0,"INVALID – evidence ID must be the record's own ID only (e.g. SF-2210, IMG_2231, 1045521); a link / file name needs type 'Link / file path'",IF(OR(OR(LEN(AX509)&lt;2,ISNUMBER(MATCH(AX509,L_Placeholder,0))),BS509&lt;3),"INVALID – verifier missing or not a named person (a role such as QA / CSM is not a name)",IF(OR(AX509=AU509,CE509=1,AND(LEN(AU509)&gt;=4,ISNUMBER(SEARCH(AU509,AX509))),AND(LEN(AX509)&gt;=4,ISNUMBER(SEARCH(AX509,AU509)))),"INVALID – verifier must be a different, named person (not the PIC or a role)",IF(BH509=1,"INVALID – result not yet available (awaiting / TBC)",IF(BG509=1,"INVALID – result describes a problem: record Fail, then Pass after CA (or reword if it is not a problem)",IF(BV509=1,"INVALID – wording says not on board: an on-board confirmation needs the item loaded",IF(AND(AQ509=1,OR(OR(LEN(AY509)&lt;3,ISNUMBER(MATCH(AY509,L_Placeholder,0))),BJ509=1,BQ509=0)),"INVALID – batch ID missing, placeholder or not an ID (e.g. PASB-261008-BC-017)",IF(AND(AR509=1,OR(NOT(ISNUMBER(X509)),NOT(ISNUMBER(Y509)))),"INVALID – expected/actual qty missing",IF(AND(AR509=1,OR(X509&lt;=0,Y509&lt;0)),"INVALID – expected qty must be above 0 and actual not negative",IF(BB509&lt;&gt;"",BB509,IF(AND(AS509=1,Documents!$J$20&lt;&gt;"ON FILE"),"INVALID – GLD not on file (Documents sheet)",IF(AND(AS509=2,Documents!$O$20&lt;&gt;"ON FILE"),"INVALID – menu checklist not on file (Documents sheet)",IF(AND(AS509=3,NOT(ISNUMBER(Flights!$AX$20))),"INVALID – enter carrying flight KUL departure (Flights AX)",IF(AND(AS509=3,OR(Flights!$AZ$20&gt;Flights!$AA$20,Flights!$AX$20&lt;Flights!$AA$20-3)),"INVALID – carrying flight (Flights AX) cannot arrive before this leg's STD, or is over 3 days early",IF(AG509&gt;AsOfUTC,"INVALID – completion time is in the future",IF(AND(ISNUMBER(BY509),AG509&lt;BY509),IF(H509="Physical uplift","INVALID – before uplift window (cannot confirm loading)","INVALID – before valid window"),IF(AG509&gt;Flights!$AA$20,"INVALID – completed after departure (cannot establish readiness)",IF(AND(H509="Preparation",AG509&gt;=IF(ISNUMBER(Flights!$BA$20),MIN(Flights!$BA$20,Flights!$AA$20),Flights!$AA$20)),"INVALID – completed after loading / departure (cannot establish readiness)",IF(AND(H509="Physical uplift",AG509&gt;Q509),"INVALID – recorded after the loading flight departed",IF(AG509&gt;Q509,"COMPLETE – LATE","COMPLETE"))))))))))))))))))))))))),IF(TRIM(U509)="Fail","FAIL – DISCREPANCY",IF(AND(TRIM(U509)&lt;&gt;"",TRIM(U509)&lt;&gt;"Not started",TRIM(U509)&lt;&gt;"In progress"),"INVALID – unrecognised status (use the list)",IF(AsOfUTC&gt;Q509,"OVERDUE",IF(N509="Clarification required","OPEN – CLARIFICATION","OPEN"))))))),"INVALID – error value in an input cell")</f>
        <v>OPEN</v>
      </c>
      <c r="AI509" s="61" t="n">
        <f aca="false">IF(OR(AH509="N/A – RULE",AH509="N/A – JUSTIFIED"),0,1)</f>
        <v>1</v>
      </c>
      <c r="AJ509" s="61" t="n">
        <f aca="false">IF(LEFT(AH509,8)="COMPLETE",1,0)</f>
        <v>0</v>
      </c>
      <c r="AK509" s="61" t="n">
        <f aca="false">IF(AND(AI509=1,AJ509=0,AsOfUTC&gt;Q509),1,0)</f>
        <v>0</v>
      </c>
      <c r="AL509" s="61" t="n">
        <f aca="false">IFERROR(IF(AND(AI509=1,OR(TRIM(U509)="Fail",AND(TRIM(AB509)&lt;&gt;"",TRIM(AB509)&lt;&gt;"Closed"),AND(ISNUMBER(AF509),AF509&lt;&gt;0,TRIM(U509)&lt;&gt;"Pass after CA"))),1,0),1)</f>
        <v>0</v>
      </c>
      <c r="AM509" s="61" t="n">
        <f aca="false">IF(LEFT(AH509,7)="INVALID",1,0)</f>
        <v>0</v>
      </c>
      <c r="AN509" s="61" t="n">
        <f aca="false">IF(AND(N509="Clarification required",AI509=1,AJ509=0),1,0)</f>
        <v>0</v>
      </c>
      <c r="AO509" s="61" t="str">
        <f aca="false">IF(AK509=1,SUM(AK$5:AK509),"")</f>
        <v/>
      </c>
      <c r="AP509" s="61" t="str">
        <f aca="false">IF(AL509=1,SUM(AL$5:AL509),"")</f>
        <v/>
      </c>
      <c r="AQ509" s="61" t="n">
        <v>0</v>
      </c>
      <c r="AR509" s="61" t="n">
        <v>0</v>
      </c>
      <c r="AS509" s="61" t="n">
        <v>0</v>
      </c>
      <c r="AT509" s="61" t="n">
        <v>0</v>
      </c>
      <c r="AU509" s="61" t="str">
        <f aca="false">SUBSTITUTE(SUBSTITUTE(SUBSTITUTE(SUBSTITUTE(SUBSTITUTE(SUBSTITUTE(SUBSTITUTE(SUBSTITUTE(SUBSTITUTE(SUBSTITUTE(SUBSTITUTE(SUBSTITUTE(SUBSTITUTE(SUBSTITUTE(SUBSTITUTE(SUBSTITUTE(LOWER(T509&amp;""),CHAR(10),""),CHAR(13),""),CHAR(9),""),CHAR(160),"")," ",""),".",""),"-",""),"/",""),"?",""),"_",""),",",""),"[",""),"]",""),"(",""),")",""),"*","")</f>
        <v/>
      </c>
      <c r="AV509" s="61" t="str">
        <f aca="false">SUBSTITUTE(SUBSTITUTE(SUBSTITUTE(SUBSTITUTE(SUBSTITUTE(SUBSTITUTE(SUBSTITUTE(SUBSTITUTE(SUBSTITUTE(SUBSTITUTE(SUBSTITUTE(SUBSTITUTE(SUBSTITUTE(SUBSTITUTE(SUBSTITUTE(SUBSTITUTE(LOWER(V509&amp;""),CHAR(10),""),CHAR(13),""),CHAR(9),""),CHAR(160),"")," ",""),".",""),"-",""),"/",""),"?",""),"_",""),",",""),"[",""),"]",""),"(",""),")",""),"*","")</f>
        <v/>
      </c>
      <c r="AW509" s="61" t="str">
        <f aca="false">SUBSTITUTE(SUBSTITUTE(SUBSTITUTE(SUBSTITUTE(SUBSTITUTE(SUBSTITUTE(SUBSTITUTE(SUBSTITUTE(SUBSTITUTE(SUBSTITUTE(SUBSTITUTE(SUBSTITUTE(SUBSTITUTE(SUBSTITUTE(SUBSTITUTE(SUBSTITUTE(LOWER(Z509&amp;""),CHAR(10),""),CHAR(13),""),CHAR(9),""),CHAR(160),"")," ",""),".",""),"-",""),"/",""),"?",""),"_",""),",",""),"[",""),"]",""),"(",""),")",""),"*","")</f>
        <v/>
      </c>
      <c r="AX509" s="61" t="str">
        <f aca="false">SUBSTITUTE(SUBSTITUTE(SUBSTITUTE(SUBSTITUTE(SUBSTITUTE(SUBSTITUTE(SUBSTITUTE(SUBSTITUTE(SUBSTITUTE(SUBSTITUTE(SUBSTITUTE(SUBSTITUTE(SUBSTITUTE(SUBSTITUTE(SUBSTITUTE(SUBSTITUTE(LOWER(AE509&amp;""),CHAR(10),""),CHAR(13),""),CHAR(9),""),CHAR(160),"")," ",""),".",""),"-",""),"/",""),"?",""),"_",""),",",""),"[",""),"]",""),"(",""),")",""),"*","")</f>
        <v/>
      </c>
      <c r="AY509" s="61" t="str">
        <f aca="false">SUBSTITUTE(SUBSTITUTE(SUBSTITUTE(SUBSTITUTE(SUBSTITUTE(SUBSTITUTE(SUBSTITUTE(SUBSTITUTE(SUBSTITUTE(SUBSTITUTE(SUBSTITUTE(SUBSTITUTE(SUBSTITUTE(SUBSTITUTE(SUBSTITUTE(SUBSTITUTE(LOWER(W509&amp;""),CHAR(10),""),CHAR(13),""),CHAR(9),""),CHAR(160),"")," ",""),".",""),"-",""),"/",""),"?",""),"_",""),",",""),"[",""),"]",""),"(",""),")",""),"*","")</f>
        <v/>
      </c>
      <c r="AZ509" s="61" t="str">
        <f aca="false">SUBSTITUTE(SUBSTITUTE(SUBSTITUTE(SUBSTITUTE(SUBSTITUTE(SUBSTITUTE(SUBSTITUTE(SUBSTITUTE(SUBSTITUTE(SUBSTITUTE(SUBSTITUTE(SUBSTITUTE(SUBSTITUTE(SUBSTITUTE(SUBSTITUTE(SUBSTITUTE(LOWER(AC509&amp;""),CHAR(10),""),CHAR(13),""),CHAR(9),""),CHAR(160),"")," ",""),".",""),"-",""),"/",""),"?",""),"_",""),",",""),"[",""),"]",""),"(",""),")",""),"*","")</f>
        <v/>
      </c>
      <c r="BA509" s="61" t="str">
        <f aca="false">SUBSTITUTE(SUBSTITUTE(SUBSTITUTE(SUBSTITUTE(SUBSTITUTE(SUBSTITUTE(SUBSTITUTE(SUBSTITUTE(SUBSTITUTE(SUBSTITUTE(SUBSTITUTE(SUBSTITUTE(SUBSTITUTE(SUBSTITUTE(SUBSTITUTE(SUBSTITUTE(LOWER(AA509&amp;""),CHAR(10),""),CHAR(13),""),CHAR(9),""),CHAR(160),"")," ",""),".",""),"-",""),"/",""),"?",""),"_",""),",",""),"[",""),"]",""),"(",""),")",""),"*","")</f>
        <v/>
      </c>
      <c r="BB509" s="61" t="str">
        <f aca="false">IF(AND(TRIM(U509)="Pass",ISNUMBER(AF509)),IF(AF509&lt;&gt;0,"INVALID – qty variance: use Fail or Pass after CA",""),"")&amp;IF(AND(TRIM(U509)="Pass after CA",ISNUMBER(AF509)),IF(AF509&lt;&gt;0,"INVALID – after the corrective action the actual qty must equal expected (update Actual)",""),"")&amp;IF(AND(TRIM(U509)="Pass",TRIM(AB509)&lt;&gt;"",TRIM(AB509)&lt;&gt;"Closed"),"INVALID – corrective action not closed: use Fail, then Pass after CA","")&amp;IF(AND(LEN(BA509)&gt;=2,ISNA(MATCH(LEFT(BA509,255),L_Placeholder,0)),TRIM(AB509)=""),"INVALID – CA status missing for the recorded corrective action","")&amp;IF(AND(TRIM(U509)="Pass after CA",OR(OR(LEN(BA509)&lt;5,ISNUMBER(MATCH(BA509,L_Placeholder,0))),TRIM(AB509)&lt;&gt;"Closed")),"INVALID – corrective action not recorded/closed","")</f>
        <v/>
      </c>
      <c r="BC509" s="61" t="str">
        <f aca="false">" "&amp;TRIM(SUBSTITUTE(SUBSTITUTE(SUBSTITUTE(SUBSTITUTE(SUBSTITUTE(SUBSTITUTE(SUBSTITUTE(SUBSTITUTE(SUBSTITUTE(SUBSTITUTE(SUBSTITUTE(SUBSTITUTE(SUBSTITUTE(SUBSTITUTE(SUBSTITUTE(SUBSTITUTE(SUBSTITUTE(SUBSTITUTE(SUBSTITUTE(SUBSTITUTE(SUBSTITUTE(SUBSTITUTE(SUBSTITUTE(SUBSTITUTE(LOWER(V509&amp;""),CHAR(10)," "),CHAR(13)," "),CHAR(9)," "),CHAR(160)," "),"."," "),","," "),"-"," "),"/"," "),"("," "),")"," "),":"," "),";"," "),"_"," "),"–"," "),"?"," "),"!"," "),"*"," "),"["," "),"]"," "),"'"," "),"#"," "),"+"," "),"&amp;"," "),"\"," "))&amp;" "</f>
        <v>  </v>
      </c>
      <c r="BD509" s="61" t="str">
        <f aca="false">" "&amp;TRIM(SUBSTITUTE(SUBSTITUTE(SUBSTITUTE(SUBSTITUTE(SUBSTITUTE(SUBSTITUTE(SUBSTITUTE(SUBSTITUTE(SUBSTITUTE(SUBSTITUTE(SUBSTITUTE(SUBSTITUTE(SUBSTITUTE(SUBSTITUTE(SUBSTITUTE(SUBSTITUTE(SUBSTITUTE(SUBSTITUTE(SUBSTITUTE(SUBSTITUTE(SUBSTITUTE(SUBSTITUTE(SUBSTITUTE(SUBSTITUTE(LOWER(Z509&amp;""),CHAR(10)," "),CHAR(13)," "),CHAR(9)," "),CHAR(160)," "),"."," "),","," "),"-"," "),"/"," "),"("," "),")"," "),":"," "),";"," "),"_"," "),"–"," "),"?"," "),"!"," "),"*"," "),"["," "),"]"," "),"'"," "),"#"," "),"+"," "),"&amp;"," "),"\"," "))&amp;" "</f>
        <v>  </v>
      </c>
      <c r="BE509" s="61" t="str">
        <f aca="false">" "&amp;TRIM(SUBSTITUTE(SUBSTITUTE(SUBSTITUTE(SUBSTITUTE(SUBSTITUTE(SUBSTITUTE(SUBSTITUTE(SUBSTITUTE(SUBSTITUTE(SUBSTITUTE(SUBSTITUTE(SUBSTITUTE(SUBSTITUTE(SUBSTITUTE(SUBSTITUTE(SUBSTITUTE(SUBSTITUTE(SUBSTITUTE(SUBSTITUTE(SUBSTITUTE(SUBSTITUTE(SUBSTITUTE(SUBSTITUTE(SUBSTITUTE(LOWER(W509&amp;""),CHAR(10)," "),CHAR(13)," "),CHAR(9)," "),CHAR(160)," "),"."," "),","," "),"-"," "),"/"," "),"("," "),")"," "),":"," "),";"," "),"_"," "),"–"," "),"?"," "),"!"," "),"*"," "),"["," "),"]"," "),"'"," "),"#"," "),"+"," "),"&amp;"," "),"\"," "))&amp;" "</f>
        <v>  </v>
      </c>
      <c r="BF509" s="61" t="str">
        <f aca="false">" "&amp;TRIM(SUBSTITUTE(SUBSTITUTE(SUBSTITUTE(SUBSTITUTE(SUBSTITUTE(SUBSTITUTE(SUBSTITUTE(SUBSTITUTE(SUBSTITUTE(SUBSTITUTE(SUBSTITUTE(SUBSTITUTE(SUBSTITUTE(SUBSTITUTE(SUBSTITUTE(SUBSTITUTE(SUBSTITUTE(SUBSTITUTE(SUBSTITUTE(SUBSTITUTE(SUBSTITUTE(SUBSTITUTE(SUBSTITUTE(SUBSTITUTE(LOWER(AC509&amp;""),CHAR(10)," "),CHAR(13)," "),CHAR(9)," "),CHAR(160)," "),"."," "),","," "),"-"," "),"/"," "),"("," "),")"," "),":"," "),";"," "),"_"," "),"–"," "),"?"," "),"!"," "),"*"," "),"["," "),"]"," "),"'"," "),"#"," "),"+"," "),"&amp;"," "),"\"," "))&amp;" "</f>
        <v>  </v>
      </c>
      <c r="BG509" s="61" t="n">
        <f aca="false">IFERROR(IF(AND(TRIM(U509)="Pass",SUMPRODUCT((LEN(BC509)-LEN(SUBSTITUTE(BC509," "&amp;L_ResultBad&amp;" "," ")))/(LEN(L_ResultBad)+1))&gt;SUMPRODUCT((LEN(BC509)-LEN(SUBSTITUTE(BC509," "&amp;L_NegPhrase&amp;" "," ")))/(LEN(L_NegPhrase)+1))),1,0),0)</f>
        <v>0</v>
      </c>
      <c r="BH509" s="61" t="n">
        <f aca="false">IFERROR(IF(SUMPRODUCT((LEN(BC509)-LEN(SUBSTITUTE(BC509," "&amp;L_Pending&amp;" "," ")))/(LEN(L_Pending)+1))&gt;SUMPRODUCT((LEN(BC509)-LEN(SUBSTITUTE(BC509," "&amp;L_PendNeg&amp;" "," ")))/(LEN(L_PendNeg)+1))+SUMPRODUCT((LEN(BC509)-LEN(SUBSTITUTE(BC509," "&amp;L_PendPrep&amp;" "," ")))/(LEN(L_PendPrep)+1)),1,0),1)</f>
        <v>0</v>
      </c>
      <c r="BI509" s="61" t="n">
        <f aca="false">IFERROR(IF(SUMPRODUCT((LEN(BD509)-LEN(SUBSTITUTE(BD509," "&amp;L_PendStrict&amp;" "," ")))/(LEN(L_PendStrict)+1))&gt;SUMPRODUCT((LEN(BD509)-LEN(SUBSTITUTE(BD509," "&amp;L_PendNeg&amp;" "," ")))/(LEN(L_PendNeg)+1)),1,0),1)</f>
        <v>0</v>
      </c>
      <c r="BJ509" s="61" t="n">
        <f aca="false">IFERROR(IF(SUMPRODUCT((LEN(BE509)-LEN(SUBSTITUTE(BE509," "&amp;L_Pending&amp;" "," ")))/(LEN(L_Pending)+1))&gt;SUMPRODUCT((LEN(BE509)-LEN(SUBSTITUTE(BE509," "&amp;L_PendNeg&amp;" "," ")))/(LEN(L_PendNeg)+1))+SUMPRODUCT((LEN(BE509)-LEN(SUBSTITUTE(BE509," "&amp;L_PendPrep&amp;" "," ")))/(LEN(L_PendPrep)+1)),1,0),1)</f>
        <v>0</v>
      </c>
      <c r="BK509" s="61" t="n">
        <f aca="false">IFERROR(IF(SUMPRODUCT((LEN(BF509)-LEN(SUBSTITUTE(BF509," "&amp;L_PendStrict&amp;" "," ")))/(LEN(L_PendStrict)+1))&gt;SUMPRODUCT((LEN(BF509)-LEN(SUBSTITUTE(BF509," "&amp;L_PendNeg&amp;" "," ")))/(LEN(L_PendNeg)+1)),1,0),1)</f>
        <v>0</v>
      </c>
      <c r="BL509" s="61" t="n">
        <f aca="false">IF(ISNA(MATCH(TRIM(S509),L_EvidenceType,0)),0,BZ509)</f>
        <v>0</v>
      </c>
      <c r="BM509" s="61" t="str">
        <f aca="false">SUBSTITUTE(SUBSTITUTE(SUBSTITUTE(SUBSTITUTE(SUBSTITUTE(SUBSTITUTE(SUBSTITUTE(SUBSTITUTE(SUBSTITUTE(LOWER(Z509&amp;""),"1","0"),"2","0"),"3","0"),"4","0"),"5","0"),"6","0"),"7","0"),"8","0"),"9","0")</f>
        <v/>
      </c>
      <c r="BN509" s="61" t="str">
        <f aca="false">SUBSTITUTE(SUBSTITUTE(SUBSTITUTE(SUBSTITUTE(SUBSTITUTE(SUBSTITUTE(SUBSTITUTE(SUBSTITUTE(SUBSTITUTE(SUBSTITUTE(SUBSTITUTE(SUBSTITUTE(SUBSTITUTE(SUBSTITUTE(SUBSTITUTE(SUBSTITUTE(SUBSTITUTE(SUBSTITUTE(SUBSTITUTE(SUBSTITUTE(SUBSTITUTE(SUBSTITUTE(SUBSTITUTE(SUBSTITUTE(SUBSTITUTE(BM509,"b","a"),"c","a"),"d","a"),"e","a"),"f","a"),"g","a"),"h","a"),"i","a"),"j","a"),"k","a"),"l","a"),"m","a"),"n","a"),"o","a"),"p","a"),"q","a"),"r","a"),"s","a"),"t","a"),"u","a"),"v","a"),"w","a"),"x","a"),"y","a"),"z","a")</f>
        <v/>
      </c>
      <c r="BO509" s="61" t="str">
        <f aca="false">SUBSTITUTE(SUBSTITUTE(SUBSTITUTE(SUBSTITUTE(SUBSTITUTE(SUBSTITUTE(SUBSTITUTE(SUBSTITUTE(SUBSTITUTE(LOWER(W509&amp;""),"1","0"),"2","0"),"3","0"),"4","0"),"5","0"),"6","0"),"7","0"),"8","0"),"9","0")</f>
        <v/>
      </c>
      <c r="BP509" s="61" t="str">
        <f aca="false">SUBSTITUTE(SUBSTITUTE(SUBSTITUTE(SUBSTITUTE(SUBSTITUTE(SUBSTITUTE(SUBSTITUTE(SUBSTITUTE(SUBSTITUTE(SUBSTITUTE(SUBSTITUTE(SUBSTITUTE(SUBSTITUTE(SUBSTITUTE(SUBSTITUTE(SUBSTITUTE(SUBSTITUTE(SUBSTITUTE(SUBSTITUTE(SUBSTITUTE(SUBSTITUTE(SUBSTITUTE(SUBSTITUTE(SUBSTITUTE(SUBSTITUTE(BO509,"b","a"),"c","a"),"d","a"),"e","a"),"f","a"),"g","a"),"h","a"),"i","a"),"j","a"),"k","a"),"l","a"),"m","a"),"n","a"),"o","a"),"p","a"),"q","a"),"r","a"),"s","a"),"t","a"),"u","a"),"v","a"),"w","a"),"x","a"),"y","a"),"z","a")</f>
        <v/>
      </c>
      <c r="BQ509" s="61" t="n">
        <f aca="false">IFERROR(IF(AND(ISERROR(SEARCH(" mh"," "&amp;LOWER(W509))),ISNA(MATCH(LEFT(TRIM(BP509),255),{"0000a","000a","00a","0000aa","000aa","00aa","0aa","0000aaa","000aaa","00a00","0a00","0000-0000","00:00","a00","a0","00.00.0000","00/00/0000","00-00-0000","0000-00-00","0000/00/00","0000.00.00","00.00.00","00/00/00","00-00-00","0.00.0000","0/00/0000","0-00-0000"},0)),ISNA(MATCH(LEFT(TRIM(CA509),255),{"0000a","000a","00a","0000aa","000aa","00aa","0aa","0000aaa","000aaa","00a00","0a00","0000-0000","00:00","a00","a0","00.00.0000","00/00/0000","00-00-0000","0000-00-00","0000/00/00","0000.00.00","00.00.00","00/00/00","00-00-00","0.00.0000","0/00/0000","0-00-0000"},0)),LEN(CB509)&gt;=3,NOT(OR(SUBSTITUTE(CB509,"0","")="",AND(LEN(CB509)&gt;=4,CB509=REPT(LEFT(CB509),LEN(CB509))),ISNUMBER(MATCH(CB509,{"123","1234","12345","123456","1234567","12345678","0123","01234","012345","98765","987654","54321"},0)),AND(LEN(CB509)=8,LEFT(CB509,3)="202"))),OR(AND((LEN(CA509)-LEN(SUBSTITUTE(CA509,"a","")))&gt;=1,SUMPRODUCT(--ISNUMBER(SEARCH({"a0","a-0","a_0","a/0","a.0","a#0","0a","0-a","0_a","0/a"},BP509)))&gt;0),ISNUMBER(SEARCH("000000",BP509)))),1,0),0)</f>
        <v>0</v>
      </c>
      <c r="BR509" s="61" t="n">
        <f aca="false">IFERROR(LEN(SUBSTITUTE(CC509," ",""))-SUMPRODUCT((LEN(CC509)-LEN(SUBSTITUTE(CC509," "&amp;L_Role&amp;" "," ")))/(LEN(L_Role)+1)*LEN(L_Role)),0)</f>
        <v>0</v>
      </c>
      <c r="BS509" s="61" t="n">
        <f aca="false">IFERROR(LEN(SUBSTITUTE(CD509," ",""))-SUMPRODUCT((LEN(CD509)-LEN(SUBSTITUTE(CD509," "&amp;L_Role&amp;" "," ")))/(LEN(L_Role)+1)*LEN(L_Role)),0)</f>
        <v>0</v>
      </c>
      <c r="BT5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509,"revision",""),"version",""),"jan",""),"feb",""),"mar",""),"apr",""),"may",""),"jun",""),"jul",""),"aug",""),"sep",""),"oct",""),"nov",""),"dec",""),"utc",""),"gmt",""),"myt",""),"bst",""),"rev",""),"ver",""),"b","a"),"c","a"),"d","a"),"e","a"),"f","a"),"g","a"),"h","a"),"i","a"),"j","a"),"k","a"),"l","a"),"m","a"),"n","a"),"o","a"),"p","a"),"q","a"),"r","a"),"s","a"),"t","a"),"u","a"),"v","a"),"w","a"),"x","a"),"y","a"),"z","a")</f>
        <v/>
      </c>
      <c r="BU509" s="61" t="str">
        <f aca="false">SUBSTITUTE(SUBSTITUTE(SUBSTITUTE(SUBSTITUTE(SUBSTITUTE(SUBSTITUTE(SUBSTITUTE(SUBSTITUTE(SUBSTITUTE(SUBSTITUTE(LEFT(BM509,FIND("0",BM509&amp;"0")-1),"-",""),"_",""),"/",""),".",""),"#",""),"\\",""),":","")," ",""),"(",""),")","")</f>
        <v/>
      </c>
      <c r="BV509" s="61" t="n">
        <f aca="false">0</f>
        <v>0</v>
      </c>
      <c r="BW5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509&amp;""),"a",""),"b",""),"c",""),"d",""),"e",""),"f",""),"g",""),"h",""),"i",""),"j",""),"k",""),"l",""),"m",""),"n",""),"o",""),"p",""),"q",""),"r",""),"s",""),"t",""),"u",""),"v",""),"w",""),"x",""),"y",""),"z",""),"-",""),"_",""),"/",""),".",""),"#",""),"\\",""),":","")," ",""),"(",""),")","")</f>
        <v/>
      </c>
      <c r="BX509" s="61" t="str">
        <f aca="false">SUBSTITUTE(SUBSTITUTE(SUBSTITUTE(SUBSTITUTE(SUBSTITUTE(SUBSTITUTE(SUBSTITUTE(SUBSTITUTE(SUBSTITUTE(SUBSTITUTE(SUBSTITUTE(BM509,"0",""),"-",""),"_",""),"/",""),".",""),"#",""),"\\",""),":","")," ",""),"(",""),")","")</f>
        <v/>
      </c>
      <c r="BY509" s="62" t="n">
        <f aca="false">Q509-T7EarlyD*24/24</f>
        <v>46300.0486111111</v>
      </c>
      <c r="BZ509" s="61" t="n">
        <f aca="false">IFERROR(IF(IF(TRIM(S509)="Link / file path",AND(LEN(TRIM(Z509))&gt;=5,SUMPRODUCT(--ISNUMBER(SEARCH({"http","www.","\\",":\",".pdf",".jpg",".jpeg",".png",".heic",".xls",".doc",".msg",".eml",".ppt",".txt",".zip"},Z509)))&gt;0),AND(ISERROR(FIND(" ",TRIM(Z509))),NOT(OR(SUMPRODUCT(--ISNUMBER(FIND({",",";","&amp;","+"},Z509)))&gt;0,SUMPRODUCT(--ISNUMBER(SEARCH({"0/aa","0\\aa"},BN509)))&gt;0)),NOT(SUMPRODUCT(--ISNUMBER(SEARCH({"http","www.","\\",":\",".pdf",".jpg",".jpeg",".png",".heic",".xls",".doc",".msg",".eml",".ppt",".txt",".zip"},Z509)))&gt;0),NOT(LOWER(TRIM(Z509))=LOWER(Flights!$F$20)),ISNA(MATCH(BU509,{"mh","rev","revision","ver","version","v","r","a","b","seat","tray","row","gate","bay","stand","page","pg","item","line","no","cart","galley","flight","flt","table","box","bag","oven","etd","eta","std","sta","atd","ata","qty","pax","x","time","tel","ph","mob","day","wk","week","utc","gmt","myt","lt"},0)),NOT(OR(ISNUMBER(MATCH(LEFT(BN509,255),{"0000a","000a","00a","0000aa","000aa","00aa","0aa","0000aaa","000aaa","00a00","0a00","0000-0000","00:00","a00","a0","00.00.0000","00/00/0000","00-00-0000","0000-00-00","0000/00/00","0000.00.00","00.00.00","00/00/00","00-00-00","0.00.0000","0/00/0000","0-00-0000"},0)),ISNUMBER(MATCH(LEFT(BT509,255),{"0000a","000a","00a","0000aa","000aa","00aa","0aa","0000aaa","000aaa","00a00","0a00","0000-0000","00:00","a00","a0","00.00.0000","00/00/0000","00-00-0000","0000-00-00","0000/00/00","0000.00.00","00.00.00","00/00/00","00-00-00","0.00.0000","0/00/0000","0-00-0000"},0)))),NOT(OR(AND(BW509&lt;&gt;"",SUBSTITUTE(BW509,"0","")=""),AND(LEN(BW509)&gt;=4,BW509=REPT(LEFT(BW509),LEN(BW509))),ISNUMBER(MATCH(BW509,{"123","1234","12345","123456","1234567","12345678","0123","01234","012345","98765","987654","54321"},0)),ISNUMBER(MATCH(BX509,{"x","xx","xxx","xxxx","xxxxx","abc","abcd","nil","na","nan","test","tbc","tba","tbd","dummy","sample","example","eg","zz","zzz","none","null","xyz","qwe","asd","id","ref"},0)),AND(LEN(BW509)=8,BX509="",OR(LEFT(BW509,3)="202",ISNUMBER(MATCH(RIGHT(BW509,4),{"2025","2026","2027"},0)))))),OR(AND((LEN(BT509)-LEN(SUBSTITUTE(BT509,"a","")))&gt;=1,(LEN(BN509)-LEN(SUBSTITUTE(BN509,"0","")))&gt;=2,SUMPRODUCT(--ISNUMBER(SEARCH({"a0","a-0","a_0","a/0","a.0","a#0","0a","0-a","0_a","0/a"},BN509)))&gt;0),AND((LEN(BN509)-LEN(SUBSTITUTE(BN509,"a","")))=0,(LEN(BN509)-LEN(SUBSTITUTE(BN509,"0","")))&gt;=5)))),1,0),0)</f>
        <v>0</v>
      </c>
      <c r="CA5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509,"revision",""),"version",""),"jan",""),"feb",""),"mar",""),"apr",""),"may",""),"jun",""),"jul",""),"aug",""),"sep",""),"oct",""),"nov",""),"dec",""),"utc",""),"gmt",""),"myt",""),"bst",""),"rev",""),"ver",""),"b","a"),"c","a"),"d","a"),"e","a"),"f","a"),"g","a"),"h","a"),"i","a"),"j","a"),"k","a"),"l","a"),"m","a"),"n","a"),"o","a"),"p","a"),"q","a"),"r","a"),"s","a"),"t","a"),"u","a"),"v","a"),"w","a"),"x","a"),"y","a"),"z","a")</f>
        <v/>
      </c>
      <c r="CB5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509&amp;""),"a",""),"b",""),"c",""),"d",""),"e",""),"f",""),"g",""),"h",""),"i",""),"j",""),"k",""),"l",""),"m",""),"n",""),"o",""),"p",""),"q",""),"r",""),"s",""),"t",""),"u",""),"v",""),"w",""),"x",""),"y",""),"z",""),"-",""),"_",""),"/",""),".",""),"#",""),"\\",""),":","")," ",""),"(",""),")","")</f>
        <v/>
      </c>
      <c r="CC509" s="0" t="str">
        <f aca="false">" "&amp;TRIM(SUBSTITUTE(SUBSTITUTE(SUBSTITUTE(SUBSTITUTE(SUBSTITUTE(SUBSTITUTE(SUBSTITUTE(SUBSTITUTE(SUBSTITUTE(SUBSTITUTE(SUBSTITUTE(SUBSTITUTE(SUBSTITUTE(SUBSTITUTE(SUBSTITUTE(SUBSTITUTE(SUBSTITUTE(SUBSTITUTE(SUBSTITUTE(SUBSTITUTE(SUBSTITUTE(SUBSTITUTE(SUBSTITUTE(SUBSTITUTE(LOWER(T509&amp;""),CHAR(10)," "),CHAR(13)," "),CHAR(9)," "),CHAR(160)," "),"."," "),","," "),"-"," "),"/"," "),"("," "),")"," "),":"," "),";"," "),"_"," "),"–"," "),"?"," "),"!"," "),"*"," "),"["," "),"]"," "),"'"," "),"#"," "),"+"," "),"&amp;"," "),"\"," "))&amp;" "</f>
        <v>  </v>
      </c>
      <c r="CD509" s="0" t="str">
        <f aca="false">" "&amp;TRIM(SUBSTITUTE(SUBSTITUTE(SUBSTITUTE(SUBSTITUTE(SUBSTITUTE(SUBSTITUTE(SUBSTITUTE(SUBSTITUTE(SUBSTITUTE(SUBSTITUTE(SUBSTITUTE(SUBSTITUTE(SUBSTITUTE(SUBSTITUTE(SUBSTITUTE(SUBSTITUTE(SUBSTITUTE(SUBSTITUTE(SUBSTITUTE(SUBSTITUTE(SUBSTITUTE(SUBSTITUTE(SUBSTITUTE(SUBSTITUTE(LOWER(AE509&amp;""),CHAR(10)," "),CHAR(13)," "),CHAR(9)," "),CHAR(160)," "),"."," "),","," "),"-"," "),"/"," "),"("," "),")"," "),":"," "),";"," "),"_"," "),"–"," "),"?"," "),"!"," "),"*"," "),"["," "),"]"," "),"'"," "),"#"," "),"+"," "),"&amp;"," "),"\"," "))&amp;" "</f>
        <v>  </v>
      </c>
      <c r="CE509" s="68" t="n">
        <f aca="false">IFERROR(IF(AND(LEN(AU509)&gt;0,LEN(AU509)=LEN(AX509),OR(TRIM(MID(SUBSTITUTE(TRIM(CC509)," ",REPT(" ",60)),1,60))="",ISNUMBER(SEARCH(" "&amp;TRIM(MID(SUBSTITUTE(TRIM(CC509)," ",REPT(" ",60)),1,60))&amp;" ",CD509))),OR(TRIM(MID(SUBSTITUTE(TRIM(CC509)," ",REPT(" ",60)),61,60))="",ISNUMBER(SEARCH(" "&amp;TRIM(MID(SUBSTITUTE(TRIM(CC509)," ",REPT(" ",60)),61,60))&amp;" ",CD509))),OR(TRIM(MID(SUBSTITUTE(TRIM(CC509)," ",REPT(" ",60)),121,60))="",ISNUMBER(SEARCH(" "&amp;TRIM(MID(SUBSTITUTE(TRIM(CC509)," ",REPT(" ",60)),121,60))&amp;" ",CD509)))),1,0),0)</f>
        <v>0</v>
      </c>
      <c r="CG509" s="68" t="n">
        <f aca="false">IFERROR(LEN(SUBSTITUTE(BF509," ",""))-SUMPRODUCT((LEN(BF509)-LEN(SUBSTITUTE(BF509," "&amp;L_NAFiller&amp;" "," ")))/(LEN(L_NAFiller)+1)*LEN(L_NAFiller)),0)</f>
        <v>0</v>
      </c>
    </row>
    <row r="510" customFormat="false" ht="39.75" hidden="false" customHeight="true" outlineLevel="0" collapsed="false">
      <c r="A510" s="57" t="s">
        <v>1165</v>
      </c>
      <c r="B510" s="57" t="s">
        <v>280</v>
      </c>
      <c r="C510" s="57" t="str">
        <f aca="false">Flights!$F$20</f>
        <v>MH0072</v>
      </c>
      <c r="D510" s="58" t="n">
        <f aca="false">Flights!$D$20</f>
        <v>46321</v>
      </c>
      <c r="E510" s="57" t="str">
        <f aca="false">Flights!$G$20&amp;"-"&amp;Flights!$H$20</f>
        <v>KUL-HKG</v>
      </c>
      <c r="F510" s="57" t="str">
        <f aca="false">Flights!$K$20</f>
        <v>EY</v>
      </c>
      <c r="G510" s="57" t="s">
        <v>81</v>
      </c>
      <c r="H510" s="57" t="s">
        <v>378</v>
      </c>
      <c r="I510" s="57" t="s">
        <v>398</v>
      </c>
      <c r="J510" s="57" t="s">
        <v>399</v>
      </c>
      <c r="K510" s="67" t="s">
        <v>400</v>
      </c>
      <c r="L510" s="67" t="s">
        <v>382</v>
      </c>
      <c r="M510" s="67"/>
      <c r="N510" s="67" t="s">
        <v>383</v>
      </c>
      <c r="O510" s="67"/>
      <c r="P510" s="57" t="s">
        <v>187</v>
      </c>
      <c r="Q510" s="59" t="n">
        <f aca="false">ROUND((Flights!$AC$20)*1440,0)/1440</f>
        <v>46314.0486111111</v>
      </c>
      <c r="R510" s="59" t="n">
        <f aca="false">Q510+(IF(AND(INDEX(TZ_DSTS,MATCH(P510,TZ_STN,0))&lt;&gt;"",Q510&gt;=INDEX(TZ_DSTS,MATCH(P510,TZ_STN,0)),Q510&lt;INDEX(TZ_DSTE,MATCH(P510,TZ_STN,0))),INDEX(TZ_DST,MATCH(P510,TZ_STN,0)),INDEX(TZ_STD,MATCH(P510,TZ_STN,0))))/24</f>
        <v>46314.3819444444</v>
      </c>
      <c r="S510" s="60"/>
      <c r="T510" s="60"/>
      <c r="U510" s="60"/>
      <c r="V510" s="60"/>
      <c r="W510" s="61"/>
      <c r="X510" s="60"/>
      <c r="Y510" s="60"/>
      <c r="Z510" s="60"/>
      <c r="AA510" s="60"/>
      <c r="AB510" s="60"/>
      <c r="AC510" s="60"/>
      <c r="AD510" s="66"/>
      <c r="AE510" s="60"/>
      <c r="AF510" s="61" t="str">
        <f aca="false">IF(AND(ISNUMBER(X510),ISNUMBER(Y510)),Y510-X510,"")</f>
        <v/>
      </c>
      <c r="AG510" s="62" t="str">
        <f aca="false">IF(ISNUMBER(AD510),AD510-(IF(AND(INDEX(TZ_DSTS,MATCH(P510,TZ_STN,0))&lt;&gt;"",(AD510-INDEX(TZ_STD,MATCH(P510,TZ_STN,0))/24)&gt;=INDEX(TZ_DSTS,MATCH(P510,TZ_STN,0)),(AD510-INDEX(TZ_STD,MATCH(P510,TZ_STN,0))/24)&lt;INDEX(TZ_DSTE,MATCH(P510,TZ_STN,0))),INDEX(TZ_DST,MATCH(P510,TZ_STN,0)),INDEX(TZ_STD,MATCH(P510,TZ_STN,0))))/24,"")</f>
        <v/>
      </c>
      <c r="AH510" s="65" t="str">
        <f aca="false">IFERROR(IF(N510="N/A – rule",IF(OR(TRIM(U510)="",TRIM(U510)="N/A",TRIM(U510)="Not started"),"N/A – RULE","INVALID – this check does not apply to this aircraft: clear the status (or correct the fleet on Flights)"),IF(TRIM(U510)="N/A",IF(AT510=0,"INVALID – N/A not permitted for this check",IF(AND(TRIM(AB510)&lt;&gt;"",TRIM(AB510)&lt;&gt;"Closed"),"INVALID – corrective action still open",IF(AND(NOT(OR(LEN(AZ510)&lt;15,ISNUMBER(MATCH(AZ510,L_Placeholder,0)))),BK510=0,CG510&gt;=8,NOT(OR(LEN(AU510)&lt;2,ISNUMBER(MATCH(AU510,L_Placeholder,0)))),BR510&gt;=3,NOT(OR(LEN(AX510)&lt;2,ISNUMBER(MATCH(AX510,L_Placeholder,0)))),BS510&gt;=3,TRIM(AE510)&lt;&gt;TRIM(T510),AX510&lt;&gt;AU510,CE510=0),"N/A – JUSTIFIED","INVALID – N/A needs a real, settled reason (not 'not applicable' / 'as above' / TBC), a named PIC and a different named verifier"))),IF(OR(TRIM(U510)="Pass",TRIM(U510)="Pass after CA"),IF(NOT(ISNUMBER(AD510)),"INVALID – completion time missing",IF(OR(OR(LEN(AU510)&lt;2,ISNUMBER(MATCH(AU510,L_Placeholder,0))),BR510&lt;3),"INVALID – PIC missing or not a named person (a role such as QA / CSM is not a name)",IF(OR(LEN(AV510)&lt;2,ISNUMBER(MATCH(AV510,L_Placeholder,0))),"INVALID – result / assessment missing",IF(OR(OR(LEN(AW510)&lt;3,ISNUMBER(MATCH(AW510,L_Placeholder,0))),SUMPRODUCT(--ISNUMBER(SEARCH(" "&amp;L_EvidencePhrase&amp;" ",BD510)))&gt;0,BI510=1),"INVALID – evidence missing, placeholder or not yet on file",IF(ISNA(MATCH(TRIM(S510),L_EvidenceType,0)),"INVALID – choose the evidence type from the list (column S)",IF(BL510=0,"INVALID – evidence ID must be the record's own ID only (e.g. SF-2210, IMG_2231, 1045521); a link / file name needs type 'Link / file path'",IF(OR(OR(LEN(AX510)&lt;2,ISNUMBER(MATCH(AX510,L_Placeholder,0))),BS510&lt;3),"INVALID – verifier missing or not a named person (a role such as QA / CSM is not a name)",IF(OR(AX510=AU510,CE510=1,AND(LEN(AU510)&gt;=4,ISNUMBER(SEARCH(AU510,AX510))),AND(LEN(AX510)&gt;=4,ISNUMBER(SEARCH(AX510,AU510)))),"INVALID – verifier must be a different, named person (not the PIC or a role)",IF(BH510=1,"INVALID – result not yet available (awaiting / TBC)",IF(BG510=1,"INVALID – result describes a problem: record Fail, then Pass after CA (or reword if it is not a problem)",IF(BV510=1,"INVALID – wording says not on board: an on-board confirmation needs the item loaded",IF(AND(AQ510=1,OR(OR(LEN(AY510)&lt;3,ISNUMBER(MATCH(AY510,L_Placeholder,0))),BJ510=1,BQ510=0)),"INVALID – batch ID missing, placeholder or not an ID (e.g. PASB-261008-BC-017)",IF(AND(AR510=1,OR(NOT(ISNUMBER(X510)),NOT(ISNUMBER(Y510)))),"INVALID – expected/actual qty missing",IF(AND(AR510=1,OR(X510&lt;=0,Y510&lt;0)),"INVALID – expected qty must be above 0 and actual not negative",IF(BB510&lt;&gt;"",BB510,IF(AND(AS510=1,Documents!$J$20&lt;&gt;"ON FILE"),"INVALID – GLD not on file (Documents sheet)",IF(AND(AS510=2,Documents!$O$20&lt;&gt;"ON FILE"),"INVALID – menu checklist not on file (Documents sheet)",IF(AND(AS510=3,NOT(ISNUMBER(Flights!$AX$20))),"INVALID – enter carrying flight KUL departure (Flights AX)",IF(AND(AS510=3,OR(Flights!$AZ$20&gt;Flights!$AA$20,Flights!$AX$20&lt;Flights!$AA$20-3)),"INVALID – carrying flight (Flights AX) cannot arrive before this leg's STD, or is over 3 days early",IF(AG510&gt;AsOfUTC,"INVALID – completion time is in the future",IF(AND(ISNUMBER(BY510),AG510&lt;BY510),IF(H510="Physical uplift","INVALID – before uplift window (cannot confirm loading)","INVALID – before valid window"),IF(AG510&gt;Flights!$AA$20,"INVALID – completed after departure (cannot establish readiness)",IF(AND(H510="Preparation",AG510&gt;=IF(ISNUMBER(Flights!$BA$20),MIN(Flights!$BA$20,Flights!$AA$20),Flights!$AA$20)),"INVALID – completed after loading / departure (cannot establish readiness)",IF(AND(H510="Physical uplift",AG510&gt;Q510),"INVALID – recorded after the loading flight departed",IF(AG510&gt;Q510,"COMPLETE – LATE","COMPLETE"))))))))))))))))))))))))),IF(TRIM(U510)="Fail","FAIL – DISCREPANCY",IF(AND(TRIM(U510)&lt;&gt;"",TRIM(U510)&lt;&gt;"Not started",TRIM(U510)&lt;&gt;"In progress"),"INVALID – unrecognised status (use the list)",IF(AsOfUTC&gt;Q510,"OVERDUE",IF(N510="Clarification required","OPEN – CLARIFICATION","OPEN"))))))),"INVALID – error value in an input cell")</f>
        <v>OPEN</v>
      </c>
      <c r="AI510" s="61" t="n">
        <f aca="false">IF(OR(AH510="N/A – RULE",AH510="N/A – JUSTIFIED"),0,1)</f>
        <v>1</v>
      </c>
      <c r="AJ510" s="61" t="n">
        <f aca="false">IF(LEFT(AH510,8)="COMPLETE",1,0)</f>
        <v>0</v>
      </c>
      <c r="AK510" s="61" t="n">
        <f aca="false">IF(AND(AI510=1,AJ510=0,AsOfUTC&gt;Q510),1,0)</f>
        <v>0</v>
      </c>
      <c r="AL510" s="61" t="n">
        <f aca="false">IFERROR(IF(AND(AI510=1,OR(TRIM(U510)="Fail",AND(TRIM(AB510)&lt;&gt;"",TRIM(AB510)&lt;&gt;"Closed"),AND(ISNUMBER(AF510),AF510&lt;&gt;0,TRIM(U510)&lt;&gt;"Pass after CA"))),1,0),1)</f>
        <v>0</v>
      </c>
      <c r="AM510" s="61" t="n">
        <f aca="false">IF(LEFT(AH510,7)="INVALID",1,0)</f>
        <v>0</v>
      </c>
      <c r="AN510" s="61" t="n">
        <f aca="false">IF(AND(N510="Clarification required",AI510=1,AJ510=0),1,0)</f>
        <v>0</v>
      </c>
      <c r="AO510" s="61" t="str">
        <f aca="false">IF(AK510=1,SUM(AK$5:AK510),"")</f>
        <v/>
      </c>
      <c r="AP510" s="61" t="str">
        <f aca="false">IF(AL510=1,SUM(AL$5:AL510),"")</f>
        <v/>
      </c>
      <c r="AQ510" s="61" t="n">
        <v>0</v>
      </c>
      <c r="AR510" s="61" t="n">
        <v>0</v>
      </c>
      <c r="AS510" s="61" t="n">
        <v>0</v>
      </c>
      <c r="AT510" s="61" t="n">
        <v>0</v>
      </c>
      <c r="AU510" s="61" t="str">
        <f aca="false">SUBSTITUTE(SUBSTITUTE(SUBSTITUTE(SUBSTITUTE(SUBSTITUTE(SUBSTITUTE(SUBSTITUTE(SUBSTITUTE(SUBSTITUTE(SUBSTITUTE(SUBSTITUTE(SUBSTITUTE(SUBSTITUTE(SUBSTITUTE(SUBSTITUTE(SUBSTITUTE(LOWER(T510&amp;""),CHAR(10),""),CHAR(13),""),CHAR(9),""),CHAR(160),"")," ",""),".",""),"-",""),"/",""),"?",""),"_",""),",",""),"[",""),"]",""),"(",""),")",""),"*","")</f>
        <v/>
      </c>
      <c r="AV510" s="61" t="str">
        <f aca="false">SUBSTITUTE(SUBSTITUTE(SUBSTITUTE(SUBSTITUTE(SUBSTITUTE(SUBSTITUTE(SUBSTITUTE(SUBSTITUTE(SUBSTITUTE(SUBSTITUTE(SUBSTITUTE(SUBSTITUTE(SUBSTITUTE(SUBSTITUTE(SUBSTITUTE(SUBSTITUTE(LOWER(V510&amp;""),CHAR(10),""),CHAR(13),""),CHAR(9),""),CHAR(160),"")," ",""),".",""),"-",""),"/",""),"?",""),"_",""),",",""),"[",""),"]",""),"(",""),")",""),"*","")</f>
        <v/>
      </c>
      <c r="AW510" s="61" t="str">
        <f aca="false">SUBSTITUTE(SUBSTITUTE(SUBSTITUTE(SUBSTITUTE(SUBSTITUTE(SUBSTITUTE(SUBSTITUTE(SUBSTITUTE(SUBSTITUTE(SUBSTITUTE(SUBSTITUTE(SUBSTITUTE(SUBSTITUTE(SUBSTITUTE(SUBSTITUTE(SUBSTITUTE(LOWER(Z510&amp;""),CHAR(10),""),CHAR(13),""),CHAR(9),""),CHAR(160),"")," ",""),".",""),"-",""),"/",""),"?",""),"_",""),",",""),"[",""),"]",""),"(",""),")",""),"*","")</f>
        <v/>
      </c>
      <c r="AX510" s="61" t="str">
        <f aca="false">SUBSTITUTE(SUBSTITUTE(SUBSTITUTE(SUBSTITUTE(SUBSTITUTE(SUBSTITUTE(SUBSTITUTE(SUBSTITUTE(SUBSTITUTE(SUBSTITUTE(SUBSTITUTE(SUBSTITUTE(SUBSTITUTE(SUBSTITUTE(SUBSTITUTE(SUBSTITUTE(LOWER(AE510&amp;""),CHAR(10),""),CHAR(13),""),CHAR(9),""),CHAR(160),"")," ",""),".",""),"-",""),"/",""),"?",""),"_",""),",",""),"[",""),"]",""),"(",""),")",""),"*","")</f>
        <v/>
      </c>
      <c r="AY510" s="61" t="str">
        <f aca="false">SUBSTITUTE(SUBSTITUTE(SUBSTITUTE(SUBSTITUTE(SUBSTITUTE(SUBSTITUTE(SUBSTITUTE(SUBSTITUTE(SUBSTITUTE(SUBSTITUTE(SUBSTITUTE(SUBSTITUTE(SUBSTITUTE(SUBSTITUTE(SUBSTITUTE(SUBSTITUTE(LOWER(W510&amp;""),CHAR(10),""),CHAR(13),""),CHAR(9),""),CHAR(160),"")," ",""),".",""),"-",""),"/",""),"?",""),"_",""),",",""),"[",""),"]",""),"(",""),")",""),"*","")</f>
        <v/>
      </c>
      <c r="AZ510" s="61" t="str">
        <f aca="false">SUBSTITUTE(SUBSTITUTE(SUBSTITUTE(SUBSTITUTE(SUBSTITUTE(SUBSTITUTE(SUBSTITUTE(SUBSTITUTE(SUBSTITUTE(SUBSTITUTE(SUBSTITUTE(SUBSTITUTE(SUBSTITUTE(SUBSTITUTE(SUBSTITUTE(SUBSTITUTE(LOWER(AC510&amp;""),CHAR(10),""),CHAR(13),""),CHAR(9),""),CHAR(160),"")," ",""),".",""),"-",""),"/",""),"?",""),"_",""),",",""),"[",""),"]",""),"(",""),")",""),"*","")</f>
        <v/>
      </c>
      <c r="BA510" s="61" t="str">
        <f aca="false">SUBSTITUTE(SUBSTITUTE(SUBSTITUTE(SUBSTITUTE(SUBSTITUTE(SUBSTITUTE(SUBSTITUTE(SUBSTITUTE(SUBSTITUTE(SUBSTITUTE(SUBSTITUTE(SUBSTITUTE(SUBSTITUTE(SUBSTITUTE(SUBSTITUTE(SUBSTITUTE(LOWER(AA510&amp;""),CHAR(10),""),CHAR(13),""),CHAR(9),""),CHAR(160),"")," ",""),".",""),"-",""),"/",""),"?",""),"_",""),",",""),"[",""),"]",""),"(",""),")",""),"*","")</f>
        <v/>
      </c>
      <c r="BB510" s="61" t="str">
        <f aca="false">IF(AND(TRIM(U510)="Pass",ISNUMBER(AF510)),IF(AF510&lt;&gt;0,"INVALID – qty variance: use Fail or Pass after CA",""),"")&amp;IF(AND(TRIM(U510)="Pass after CA",ISNUMBER(AF510)),IF(AF510&lt;&gt;0,"INVALID – after the corrective action the actual qty must equal expected (update Actual)",""),"")&amp;IF(AND(TRIM(U510)="Pass",TRIM(AB510)&lt;&gt;"",TRIM(AB510)&lt;&gt;"Closed"),"INVALID – corrective action not closed: use Fail, then Pass after CA","")&amp;IF(AND(LEN(BA510)&gt;=2,ISNA(MATCH(LEFT(BA510,255),L_Placeholder,0)),TRIM(AB510)=""),"INVALID – CA status missing for the recorded corrective action","")&amp;IF(AND(TRIM(U510)="Pass after CA",OR(OR(LEN(BA510)&lt;5,ISNUMBER(MATCH(BA510,L_Placeholder,0))),TRIM(AB510)&lt;&gt;"Closed")),"INVALID – corrective action not recorded/closed","")</f>
        <v/>
      </c>
      <c r="BC510" s="61" t="str">
        <f aca="false">" "&amp;TRIM(SUBSTITUTE(SUBSTITUTE(SUBSTITUTE(SUBSTITUTE(SUBSTITUTE(SUBSTITUTE(SUBSTITUTE(SUBSTITUTE(SUBSTITUTE(SUBSTITUTE(SUBSTITUTE(SUBSTITUTE(SUBSTITUTE(SUBSTITUTE(SUBSTITUTE(SUBSTITUTE(SUBSTITUTE(SUBSTITUTE(SUBSTITUTE(SUBSTITUTE(SUBSTITUTE(SUBSTITUTE(SUBSTITUTE(SUBSTITUTE(LOWER(V510&amp;""),CHAR(10)," "),CHAR(13)," "),CHAR(9)," "),CHAR(160)," "),"."," "),","," "),"-"," "),"/"," "),"("," "),")"," "),":"," "),";"," "),"_"," "),"–"," "),"?"," "),"!"," "),"*"," "),"["," "),"]"," "),"'"," "),"#"," "),"+"," "),"&amp;"," "),"\"," "))&amp;" "</f>
        <v>  </v>
      </c>
      <c r="BD510" s="61" t="str">
        <f aca="false">" "&amp;TRIM(SUBSTITUTE(SUBSTITUTE(SUBSTITUTE(SUBSTITUTE(SUBSTITUTE(SUBSTITUTE(SUBSTITUTE(SUBSTITUTE(SUBSTITUTE(SUBSTITUTE(SUBSTITUTE(SUBSTITUTE(SUBSTITUTE(SUBSTITUTE(SUBSTITUTE(SUBSTITUTE(SUBSTITUTE(SUBSTITUTE(SUBSTITUTE(SUBSTITUTE(SUBSTITUTE(SUBSTITUTE(SUBSTITUTE(SUBSTITUTE(LOWER(Z510&amp;""),CHAR(10)," "),CHAR(13)," "),CHAR(9)," "),CHAR(160)," "),"."," "),","," "),"-"," "),"/"," "),"("," "),")"," "),":"," "),";"," "),"_"," "),"–"," "),"?"," "),"!"," "),"*"," "),"["," "),"]"," "),"'"," "),"#"," "),"+"," "),"&amp;"," "),"\"," "))&amp;" "</f>
        <v>  </v>
      </c>
      <c r="BE510" s="61" t="str">
        <f aca="false">" "&amp;TRIM(SUBSTITUTE(SUBSTITUTE(SUBSTITUTE(SUBSTITUTE(SUBSTITUTE(SUBSTITUTE(SUBSTITUTE(SUBSTITUTE(SUBSTITUTE(SUBSTITUTE(SUBSTITUTE(SUBSTITUTE(SUBSTITUTE(SUBSTITUTE(SUBSTITUTE(SUBSTITUTE(SUBSTITUTE(SUBSTITUTE(SUBSTITUTE(SUBSTITUTE(SUBSTITUTE(SUBSTITUTE(SUBSTITUTE(SUBSTITUTE(LOWER(W510&amp;""),CHAR(10)," "),CHAR(13)," "),CHAR(9)," "),CHAR(160)," "),"."," "),","," "),"-"," "),"/"," "),"("," "),")"," "),":"," "),";"," "),"_"," "),"–"," "),"?"," "),"!"," "),"*"," "),"["," "),"]"," "),"'"," "),"#"," "),"+"," "),"&amp;"," "),"\"," "))&amp;" "</f>
        <v>  </v>
      </c>
      <c r="BF510" s="61" t="str">
        <f aca="false">" "&amp;TRIM(SUBSTITUTE(SUBSTITUTE(SUBSTITUTE(SUBSTITUTE(SUBSTITUTE(SUBSTITUTE(SUBSTITUTE(SUBSTITUTE(SUBSTITUTE(SUBSTITUTE(SUBSTITUTE(SUBSTITUTE(SUBSTITUTE(SUBSTITUTE(SUBSTITUTE(SUBSTITUTE(SUBSTITUTE(SUBSTITUTE(SUBSTITUTE(SUBSTITUTE(SUBSTITUTE(SUBSTITUTE(SUBSTITUTE(SUBSTITUTE(LOWER(AC510&amp;""),CHAR(10)," "),CHAR(13)," "),CHAR(9)," "),CHAR(160)," "),"."," "),","," "),"-"," "),"/"," "),"("," "),")"," "),":"," "),";"," "),"_"," "),"–"," "),"?"," "),"!"," "),"*"," "),"["," "),"]"," "),"'"," "),"#"," "),"+"," "),"&amp;"," "),"\"," "))&amp;" "</f>
        <v>  </v>
      </c>
      <c r="BG510" s="61" t="n">
        <f aca="false">IFERROR(IF(AND(TRIM(U510)="Pass",SUMPRODUCT((LEN(BC510)-LEN(SUBSTITUTE(BC510," "&amp;L_ResultBad&amp;" "," ")))/(LEN(L_ResultBad)+1))&gt;SUMPRODUCT((LEN(BC510)-LEN(SUBSTITUTE(BC510," "&amp;L_NegPhrase&amp;" "," ")))/(LEN(L_NegPhrase)+1))),1,0),0)</f>
        <v>0</v>
      </c>
      <c r="BH510" s="61" t="n">
        <f aca="false">IFERROR(IF(SUMPRODUCT((LEN(BC510)-LEN(SUBSTITUTE(BC510," "&amp;L_Pending&amp;" "," ")))/(LEN(L_Pending)+1))&gt;SUMPRODUCT((LEN(BC510)-LEN(SUBSTITUTE(BC510," "&amp;L_PendNeg&amp;" "," ")))/(LEN(L_PendNeg)+1))+SUMPRODUCT((LEN(BC510)-LEN(SUBSTITUTE(BC510," "&amp;L_PendPrep&amp;" "," ")))/(LEN(L_PendPrep)+1)),1,0),1)</f>
        <v>0</v>
      </c>
      <c r="BI510" s="61" t="n">
        <f aca="false">IFERROR(IF(SUMPRODUCT((LEN(BD510)-LEN(SUBSTITUTE(BD510," "&amp;L_PendStrict&amp;" "," ")))/(LEN(L_PendStrict)+1))&gt;SUMPRODUCT((LEN(BD510)-LEN(SUBSTITUTE(BD510," "&amp;L_PendNeg&amp;" "," ")))/(LEN(L_PendNeg)+1)),1,0),1)</f>
        <v>0</v>
      </c>
      <c r="BJ510" s="61" t="n">
        <f aca="false">IFERROR(IF(SUMPRODUCT((LEN(BE510)-LEN(SUBSTITUTE(BE510," "&amp;L_Pending&amp;" "," ")))/(LEN(L_Pending)+1))&gt;SUMPRODUCT((LEN(BE510)-LEN(SUBSTITUTE(BE510," "&amp;L_PendNeg&amp;" "," ")))/(LEN(L_PendNeg)+1))+SUMPRODUCT((LEN(BE510)-LEN(SUBSTITUTE(BE510," "&amp;L_PendPrep&amp;" "," ")))/(LEN(L_PendPrep)+1)),1,0),1)</f>
        <v>0</v>
      </c>
      <c r="BK510" s="61" t="n">
        <f aca="false">IFERROR(IF(SUMPRODUCT((LEN(BF510)-LEN(SUBSTITUTE(BF510," "&amp;L_PendStrict&amp;" "," ")))/(LEN(L_PendStrict)+1))&gt;SUMPRODUCT((LEN(BF510)-LEN(SUBSTITUTE(BF510," "&amp;L_PendNeg&amp;" "," ")))/(LEN(L_PendNeg)+1)),1,0),1)</f>
        <v>0</v>
      </c>
      <c r="BL510" s="61" t="n">
        <f aca="false">IF(ISNA(MATCH(TRIM(S510),L_EvidenceType,0)),0,BZ510)</f>
        <v>0</v>
      </c>
      <c r="BM510" s="61" t="str">
        <f aca="false">SUBSTITUTE(SUBSTITUTE(SUBSTITUTE(SUBSTITUTE(SUBSTITUTE(SUBSTITUTE(SUBSTITUTE(SUBSTITUTE(SUBSTITUTE(LOWER(Z510&amp;""),"1","0"),"2","0"),"3","0"),"4","0"),"5","0"),"6","0"),"7","0"),"8","0"),"9","0")</f>
        <v/>
      </c>
      <c r="BN510" s="61" t="str">
        <f aca="false">SUBSTITUTE(SUBSTITUTE(SUBSTITUTE(SUBSTITUTE(SUBSTITUTE(SUBSTITUTE(SUBSTITUTE(SUBSTITUTE(SUBSTITUTE(SUBSTITUTE(SUBSTITUTE(SUBSTITUTE(SUBSTITUTE(SUBSTITUTE(SUBSTITUTE(SUBSTITUTE(SUBSTITUTE(SUBSTITUTE(SUBSTITUTE(SUBSTITUTE(SUBSTITUTE(SUBSTITUTE(SUBSTITUTE(SUBSTITUTE(SUBSTITUTE(BM510,"b","a"),"c","a"),"d","a"),"e","a"),"f","a"),"g","a"),"h","a"),"i","a"),"j","a"),"k","a"),"l","a"),"m","a"),"n","a"),"o","a"),"p","a"),"q","a"),"r","a"),"s","a"),"t","a"),"u","a"),"v","a"),"w","a"),"x","a"),"y","a"),"z","a")</f>
        <v/>
      </c>
      <c r="BO510" s="61" t="str">
        <f aca="false">SUBSTITUTE(SUBSTITUTE(SUBSTITUTE(SUBSTITUTE(SUBSTITUTE(SUBSTITUTE(SUBSTITUTE(SUBSTITUTE(SUBSTITUTE(LOWER(W510&amp;""),"1","0"),"2","0"),"3","0"),"4","0"),"5","0"),"6","0"),"7","0"),"8","0"),"9","0")</f>
        <v/>
      </c>
      <c r="BP510" s="61" t="str">
        <f aca="false">SUBSTITUTE(SUBSTITUTE(SUBSTITUTE(SUBSTITUTE(SUBSTITUTE(SUBSTITUTE(SUBSTITUTE(SUBSTITUTE(SUBSTITUTE(SUBSTITUTE(SUBSTITUTE(SUBSTITUTE(SUBSTITUTE(SUBSTITUTE(SUBSTITUTE(SUBSTITUTE(SUBSTITUTE(SUBSTITUTE(SUBSTITUTE(SUBSTITUTE(SUBSTITUTE(SUBSTITUTE(SUBSTITUTE(SUBSTITUTE(SUBSTITUTE(BO510,"b","a"),"c","a"),"d","a"),"e","a"),"f","a"),"g","a"),"h","a"),"i","a"),"j","a"),"k","a"),"l","a"),"m","a"),"n","a"),"o","a"),"p","a"),"q","a"),"r","a"),"s","a"),"t","a"),"u","a"),"v","a"),"w","a"),"x","a"),"y","a"),"z","a")</f>
        <v/>
      </c>
      <c r="BQ510" s="61" t="n">
        <f aca="false">IFERROR(IF(AND(ISERROR(SEARCH(" mh"," "&amp;LOWER(W510))),ISNA(MATCH(LEFT(TRIM(BP510),255),{"0000a","000a","00a","0000aa","000aa","00aa","0aa","0000aaa","000aaa","00a00","0a00","0000-0000","00:00","a00","a0","00.00.0000","00/00/0000","00-00-0000","0000-00-00","0000/00/00","0000.00.00","00.00.00","00/00/00","00-00-00","0.00.0000","0/00/0000","0-00-0000"},0)),ISNA(MATCH(LEFT(TRIM(CA510),255),{"0000a","000a","00a","0000aa","000aa","00aa","0aa","0000aaa","000aaa","00a00","0a00","0000-0000","00:00","a00","a0","00.00.0000","00/00/0000","00-00-0000","0000-00-00","0000/00/00","0000.00.00","00.00.00","00/00/00","00-00-00","0.00.0000","0/00/0000","0-00-0000"},0)),LEN(CB510)&gt;=3,NOT(OR(SUBSTITUTE(CB510,"0","")="",AND(LEN(CB510)&gt;=4,CB510=REPT(LEFT(CB510),LEN(CB510))),ISNUMBER(MATCH(CB510,{"123","1234","12345","123456","1234567","12345678","0123","01234","012345","98765","987654","54321"},0)),AND(LEN(CB510)=8,LEFT(CB510,3)="202"))),OR(AND((LEN(CA510)-LEN(SUBSTITUTE(CA510,"a","")))&gt;=1,SUMPRODUCT(--ISNUMBER(SEARCH({"a0","a-0","a_0","a/0","a.0","a#0","0a","0-a","0_a","0/a"},BP510)))&gt;0),ISNUMBER(SEARCH("000000",BP510)))),1,0),0)</f>
        <v>0</v>
      </c>
      <c r="BR510" s="61" t="n">
        <f aca="false">IFERROR(LEN(SUBSTITUTE(CC510," ",""))-SUMPRODUCT((LEN(CC510)-LEN(SUBSTITUTE(CC510," "&amp;L_Role&amp;" "," ")))/(LEN(L_Role)+1)*LEN(L_Role)),0)</f>
        <v>0</v>
      </c>
      <c r="BS510" s="61" t="n">
        <f aca="false">IFERROR(LEN(SUBSTITUTE(CD510," ",""))-SUMPRODUCT((LEN(CD510)-LEN(SUBSTITUTE(CD510," "&amp;L_Role&amp;" "," ")))/(LEN(L_Role)+1)*LEN(L_Role)),0)</f>
        <v>0</v>
      </c>
      <c r="BT5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510,"revision",""),"version",""),"jan",""),"feb",""),"mar",""),"apr",""),"may",""),"jun",""),"jul",""),"aug",""),"sep",""),"oct",""),"nov",""),"dec",""),"utc",""),"gmt",""),"myt",""),"bst",""),"rev",""),"ver",""),"b","a"),"c","a"),"d","a"),"e","a"),"f","a"),"g","a"),"h","a"),"i","a"),"j","a"),"k","a"),"l","a"),"m","a"),"n","a"),"o","a"),"p","a"),"q","a"),"r","a"),"s","a"),"t","a"),"u","a"),"v","a"),"w","a"),"x","a"),"y","a"),"z","a")</f>
        <v/>
      </c>
      <c r="BU510" s="61" t="str">
        <f aca="false">SUBSTITUTE(SUBSTITUTE(SUBSTITUTE(SUBSTITUTE(SUBSTITUTE(SUBSTITUTE(SUBSTITUTE(SUBSTITUTE(SUBSTITUTE(SUBSTITUTE(LEFT(BM510,FIND("0",BM510&amp;"0")-1),"-",""),"_",""),"/",""),".",""),"#",""),"\\",""),":","")," ",""),"(",""),")","")</f>
        <v/>
      </c>
      <c r="BV510" s="61" t="n">
        <f aca="false">0</f>
        <v>0</v>
      </c>
      <c r="BW5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510&amp;""),"a",""),"b",""),"c",""),"d",""),"e",""),"f",""),"g",""),"h",""),"i",""),"j",""),"k",""),"l",""),"m",""),"n",""),"o",""),"p",""),"q",""),"r",""),"s",""),"t",""),"u",""),"v",""),"w",""),"x",""),"y",""),"z",""),"-",""),"_",""),"/",""),".",""),"#",""),"\\",""),":","")," ",""),"(",""),")","")</f>
        <v/>
      </c>
      <c r="BX510" s="61" t="str">
        <f aca="false">SUBSTITUTE(SUBSTITUTE(SUBSTITUTE(SUBSTITUTE(SUBSTITUTE(SUBSTITUTE(SUBSTITUTE(SUBSTITUTE(SUBSTITUTE(SUBSTITUTE(SUBSTITUTE(BM510,"0",""),"-",""),"_",""),"/",""),".",""),"#",""),"\\",""),":","")," ",""),"(",""),")","")</f>
        <v/>
      </c>
      <c r="BY510" s="62" t="n">
        <f aca="false">Q510-T7EarlyD*24/24</f>
        <v>46300.0486111111</v>
      </c>
      <c r="BZ510" s="61" t="n">
        <f aca="false">IFERROR(IF(IF(TRIM(S510)="Link / file path",AND(LEN(TRIM(Z510))&gt;=5,SUMPRODUCT(--ISNUMBER(SEARCH({"http","www.","\\",":\",".pdf",".jpg",".jpeg",".png",".heic",".xls",".doc",".msg",".eml",".ppt",".txt",".zip"},Z510)))&gt;0),AND(ISERROR(FIND(" ",TRIM(Z510))),NOT(OR(SUMPRODUCT(--ISNUMBER(FIND({",",";","&amp;","+"},Z510)))&gt;0,SUMPRODUCT(--ISNUMBER(SEARCH({"0/aa","0\\aa"},BN510)))&gt;0)),NOT(SUMPRODUCT(--ISNUMBER(SEARCH({"http","www.","\\",":\",".pdf",".jpg",".jpeg",".png",".heic",".xls",".doc",".msg",".eml",".ppt",".txt",".zip"},Z510)))&gt;0),NOT(LOWER(TRIM(Z510))=LOWER(Flights!$F$20)),ISNA(MATCH(BU510,{"mh","rev","revision","ver","version","v","r","a","b","seat","tray","row","gate","bay","stand","page","pg","item","line","no","cart","galley","flight","flt","table","box","bag","oven","etd","eta","std","sta","atd","ata","qty","pax","x","time","tel","ph","mob","day","wk","week","utc","gmt","myt","lt"},0)),NOT(OR(ISNUMBER(MATCH(LEFT(BN510,255),{"0000a","000a","00a","0000aa","000aa","00aa","0aa","0000aaa","000aaa","00a00","0a00","0000-0000","00:00","a00","a0","00.00.0000","00/00/0000","00-00-0000","0000-00-00","0000/00/00","0000.00.00","00.00.00","00/00/00","00-00-00","0.00.0000","0/00/0000","0-00-0000"},0)),ISNUMBER(MATCH(LEFT(BT510,255),{"0000a","000a","00a","0000aa","000aa","00aa","0aa","0000aaa","000aaa","00a00","0a00","0000-0000","00:00","a00","a0","00.00.0000","00/00/0000","00-00-0000","0000-00-00","0000/00/00","0000.00.00","00.00.00","00/00/00","00-00-00","0.00.0000","0/00/0000","0-00-0000"},0)))),NOT(OR(AND(BW510&lt;&gt;"",SUBSTITUTE(BW510,"0","")=""),AND(LEN(BW510)&gt;=4,BW510=REPT(LEFT(BW510),LEN(BW510))),ISNUMBER(MATCH(BW510,{"123","1234","12345","123456","1234567","12345678","0123","01234","012345","98765","987654","54321"},0)),ISNUMBER(MATCH(BX510,{"x","xx","xxx","xxxx","xxxxx","abc","abcd","nil","na","nan","test","tbc","tba","tbd","dummy","sample","example","eg","zz","zzz","none","null","xyz","qwe","asd","id","ref"},0)),AND(LEN(BW510)=8,BX510="",OR(LEFT(BW510,3)="202",ISNUMBER(MATCH(RIGHT(BW510,4),{"2025","2026","2027"},0)))))),OR(AND((LEN(BT510)-LEN(SUBSTITUTE(BT510,"a","")))&gt;=1,(LEN(BN510)-LEN(SUBSTITUTE(BN510,"0","")))&gt;=2,SUMPRODUCT(--ISNUMBER(SEARCH({"a0","a-0","a_0","a/0","a.0","a#0","0a","0-a","0_a","0/a"},BN510)))&gt;0),AND((LEN(BN510)-LEN(SUBSTITUTE(BN510,"a","")))=0,(LEN(BN510)-LEN(SUBSTITUTE(BN510,"0","")))&gt;=5)))),1,0),0)</f>
        <v>0</v>
      </c>
      <c r="CA5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510,"revision",""),"version",""),"jan",""),"feb",""),"mar",""),"apr",""),"may",""),"jun",""),"jul",""),"aug",""),"sep",""),"oct",""),"nov",""),"dec",""),"utc",""),"gmt",""),"myt",""),"bst",""),"rev",""),"ver",""),"b","a"),"c","a"),"d","a"),"e","a"),"f","a"),"g","a"),"h","a"),"i","a"),"j","a"),"k","a"),"l","a"),"m","a"),"n","a"),"o","a"),"p","a"),"q","a"),"r","a"),"s","a"),"t","a"),"u","a"),"v","a"),"w","a"),"x","a"),"y","a"),"z","a")</f>
        <v/>
      </c>
      <c r="CB5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510&amp;""),"a",""),"b",""),"c",""),"d",""),"e",""),"f",""),"g",""),"h",""),"i",""),"j",""),"k",""),"l",""),"m",""),"n",""),"o",""),"p",""),"q",""),"r",""),"s",""),"t",""),"u",""),"v",""),"w",""),"x",""),"y",""),"z",""),"-",""),"_",""),"/",""),".",""),"#",""),"\\",""),":","")," ",""),"(",""),")","")</f>
        <v/>
      </c>
      <c r="CC510" s="0" t="str">
        <f aca="false">" "&amp;TRIM(SUBSTITUTE(SUBSTITUTE(SUBSTITUTE(SUBSTITUTE(SUBSTITUTE(SUBSTITUTE(SUBSTITUTE(SUBSTITUTE(SUBSTITUTE(SUBSTITUTE(SUBSTITUTE(SUBSTITUTE(SUBSTITUTE(SUBSTITUTE(SUBSTITUTE(SUBSTITUTE(SUBSTITUTE(SUBSTITUTE(SUBSTITUTE(SUBSTITUTE(SUBSTITUTE(SUBSTITUTE(SUBSTITUTE(SUBSTITUTE(LOWER(T510&amp;""),CHAR(10)," "),CHAR(13)," "),CHAR(9)," "),CHAR(160)," "),"."," "),","," "),"-"," "),"/"," "),"("," "),")"," "),":"," "),";"," "),"_"," "),"–"," "),"?"," "),"!"," "),"*"," "),"["," "),"]"," "),"'"," "),"#"," "),"+"," "),"&amp;"," "),"\"," "))&amp;" "</f>
        <v>  </v>
      </c>
      <c r="CD510" s="0" t="str">
        <f aca="false">" "&amp;TRIM(SUBSTITUTE(SUBSTITUTE(SUBSTITUTE(SUBSTITUTE(SUBSTITUTE(SUBSTITUTE(SUBSTITUTE(SUBSTITUTE(SUBSTITUTE(SUBSTITUTE(SUBSTITUTE(SUBSTITUTE(SUBSTITUTE(SUBSTITUTE(SUBSTITUTE(SUBSTITUTE(SUBSTITUTE(SUBSTITUTE(SUBSTITUTE(SUBSTITUTE(SUBSTITUTE(SUBSTITUTE(SUBSTITUTE(SUBSTITUTE(LOWER(AE510&amp;""),CHAR(10)," "),CHAR(13)," "),CHAR(9)," "),CHAR(160)," "),"."," "),","," "),"-"," "),"/"," "),"("," "),")"," "),":"," "),";"," "),"_"," "),"–"," "),"?"," "),"!"," "),"*"," "),"["," "),"]"," "),"'"," "),"#"," "),"+"," "),"&amp;"," "),"\"," "))&amp;" "</f>
        <v>  </v>
      </c>
      <c r="CE510" s="68" t="n">
        <f aca="false">IFERROR(IF(AND(LEN(AU510)&gt;0,LEN(AU510)=LEN(AX510),OR(TRIM(MID(SUBSTITUTE(TRIM(CC510)," ",REPT(" ",60)),1,60))="",ISNUMBER(SEARCH(" "&amp;TRIM(MID(SUBSTITUTE(TRIM(CC510)," ",REPT(" ",60)),1,60))&amp;" ",CD510))),OR(TRIM(MID(SUBSTITUTE(TRIM(CC510)," ",REPT(" ",60)),61,60))="",ISNUMBER(SEARCH(" "&amp;TRIM(MID(SUBSTITUTE(TRIM(CC510)," ",REPT(" ",60)),61,60))&amp;" ",CD510))),OR(TRIM(MID(SUBSTITUTE(TRIM(CC510)," ",REPT(" ",60)),121,60))="",ISNUMBER(SEARCH(" "&amp;TRIM(MID(SUBSTITUTE(TRIM(CC510)," ",REPT(" ",60)),121,60))&amp;" ",CD510)))),1,0),0)</f>
        <v>0</v>
      </c>
      <c r="CG510" s="68" t="n">
        <f aca="false">IFERROR(LEN(SUBSTITUTE(BF510," ",""))-SUMPRODUCT((LEN(BF510)-LEN(SUBSTITUTE(BF510," "&amp;L_NAFiller&amp;" "," ")))/(LEN(L_NAFiller)+1)*LEN(L_NAFiller)),0)</f>
        <v>0</v>
      </c>
    </row>
    <row r="511" customFormat="false" ht="39.75" hidden="false" customHeight="true" outlineLevel="0" collapsed="false">
      <c r="A511" s="57" t="s">
        <v>1166</v>
      </c>
      <c r="B511" s="57" t="s">
        <v>280</v>
      </c>
      <c r="C511" s="57" t="str">
        <f aca="false">Flights!$F$20</f>
        <v>MH0072</v>
      </c>
      <c r="D511" s="58" t="n">
        <f aca="false">Flights!$D$20</f>
        <v>46321</v>
      </c>
      <c r="E511" s="57" t="str">
        <f aca="false">Flights!$G$20&amp;"-"&amp;Flights!$H$20</f>
        <v>KUL-HKG</v>
      </c>
      <c r="F511" s="57" t="str">
        <f aca="false">Flights!$K$20</f>
        <v>EY</v>
      </c>
      <c r="G511" s="57" t="s">
        <v>81</v>
      </c>
      <c r="H511" s="57" t="s">
        <v>378</v>
      </c>
      <c r="I511" s="57" t="s">
        <v>398</v>
      </c>
      <c r="J511" s="57" t="s">
        <v>402</v>
      </c>
      <c r="K511" s="67" t="s">
        <v>403</v>
      </c>
      <c r="L511" s="67" t="s">
        <v>382</v>
      </c>
      <c r="M511" s="67"/>
      <c r="N511" s="67" t="s">
        <v>383</v>
      </c>
      <c r="O511" s="67"/>
      <c r="P511" s="57" t="s">
        <v>187</v>
      </c>
      <c r="Q511" s="59" t="n">
        <f aca="false">ROUND((Flights!$AC$20)*1440,0)/1440</f>
        <v>46314.0486111111</v>
      </c>
      <c r="R511" s="59" t="n">
        <f aca="false">Q511+(IF(AND(INDEX(TZ_DSTS,MATCH(P511,TZ_STN,0))&lt;&gt;"",Q511&gt;=INDEX(TZ_DSTS,MATCH(P511,TZ_STN,0)),Q511&lt;INDEX(TZ_DSTE,MATCH(P511,TZ_STN,0))),INDEX(TZ_DST,MATCH(P511,TZ_STN,0)),INDEX(TZ_STD,MATCH(P511,TZ_STN,0))))/24</f>
        <v>46314.3819444444</v>
      </c>
      <c r="S511" s="60"/>
      <c r="T511" s="60"/>
      <c r="U511" s="60"/>
      <c r="V511" s="60"/>
      <c r="W511" s="61"/>
      <c r="X511" s="60"/>
      <c r="Y511" s="60"/>
      <c r="Z511" s="60"/>
      <c r="AA511" s="60"/>
      <c r="AB511" s="60"/>
      <c r="AC511" s="60"/>
      <c r="AD511" s="66"/>
      <c r="AE511" s="60"/>
      <c r="AF511" s="61" t="str">
        <f aca="false">IF(AND(ISNUMBER(X511),ISNUMBER(Y511)),Y511-X511,"")</f>
        <v/>
      </c>
      <c r="AG511" s="62" t="str">
        <f aca="false">IF(ISNUMBER(AD511),AD511-(IF(AND(INDEX(TZ_DSTS,MATCH(P511,TZ_STN,0))&lt;&gt;"",(AD511-INDEX(TZ_STD,MATCH(P511,TZ_STN,0))/24)&gt;=INDEX(TZ_DSTS,MATCH(P511,TZ_STN,0)),(AD511-INDEX(TZ_STD,MATCH(P511,TZ_STN,0))/24)&lt;INDEX(TZ_DSTE,MATCH(P511,TZ_STN,0))),INDEX(TZ_DST,MATCH(P511,TZ_STN,0)),INDEX(TZ_STD,MATCH(P511,TZ_STN,0))))/24,"")</f>
        <v/>
      </c>
      <c r="AH511" s="65" t="str">
        <f aca="false">IFERROR(IF(N511="N/A – rule",IF(OR(TRIM(U511)="",TRIM(U511)="N/A",TRIM(U511)="Not started"),"N/A – RULE","INVALID – this check does not apply to this aircraft: clear the status (or correct the fleet on Flights)"),IF(TRIM(U511)="N/A",IF(AT511=0,"INVALID – N/A not permitted for this check",IF(AND(TRIM(AB511)&lt;&gt;"",TRIM(AB511)&lt;&gt;"Closed"),"INVALID – corrective action still open",IF(AND(NOT(OR(LEN(AZ511)&lt;15,ISNUMBER(MATCH(AZ511,L_Placeholder,0)))),BK511=0,CG511&gt;=8,NOT(OR(LEN(AU511)&lt;2,ISNUMBER(MATCH(AU511,L_Placeholder,0)))),BR511&gt;=3,NOT(OR(LEN(AX511)&lt;2,ISNUMBER(MATCH(AX511,L_Placeholder,0)))),BS511&gt;=3,TRIM(AE511)&lt;&gt;TRIM(T511),AX511&lt;&gt;AU511,CE511=0),"N/A – JUSTIFIED","INVALID – N/A needs a real, settled reason (not 'not applicable' / 'as above' / TBC), a named PIC and a different named verifier"))),IF(OR(TRIM(U511)="Pass",TRIM(U511)="Pass after CA"),IF(NOT(ISNUMBER(AD511)),"INVALID – completion time missing",IF(OR(OR(LEN(AU511)&lt;2,ISNUMBER(MATCH(AU511,L_Placeholder,0))),BR511&lt;3),"INVALID – PIC missing or not a named person (a role such as QA / CSM is not a name)",IF(OR(LEN(AV511)&lt;2,ISNUMBER(MATCH(AV511,L_Placeholder,0))),"INVALID – result / assessment missing",IF(OR(OR(LEN(AW511)&lt;3,ISNUMBER(MATCH(AW511,L_Placeholder,0))),SUMPRODUCT(--ISNUMBER(SEARCH(" "&amp;L_EvidencePhrase&amp;" ",BD511)))&gt;0,BI511=1),"INVALID – evidence missing, placeholder or not yet on file",IF(ISNA(MATCH(TRIM(S511),L_EvidenceType,0)),"INVALID – choose the evidence type from the list (column S)",IF(BL511=0,"INVALID – evidence ID must be the record's own ID only (e.g. SF-2210, IMG_2231, 1045521); a link / file name needs type 'Link / file path'",IF(OR(OR(LEN(AX511)&lt;2,ISNUMBER(MATCH(AX511,L_Placeholder,0))),BS511&lt;3),"INVALID – verifier missing or not a named person (a role such as QA / CSM is not a name)",IF(OR(AX511=AU511,CE511=1,AND(LEN(AU511)&gt;=4,ISNUMBER(SEARCH(AU511,AX511))),AND(LEN(AX511)&gt;=4,ISNUMBER(SEARCH(AX511,AU511)))),"INVALID – verifier must be a different, named person (not the PIC or a role)",IF(BH511=1,"INVALID – result not yet available (awaiting / TBC)",IF(BG511=1,"INVALID – result describes a problem: record Fail, then Pass after CA (or reword if it is not a problem)",IF(BV511=1,"INVALID – wording says not on board: an on-board confirmation needs the item loaded",IF(AND(AQ511=1,OR(OR(LEN(AY511)&lt;3,ISNUMBER(MATCH(AY511,L_Placeholder,0))),BJ511=1,BQ511=0)),"INVALID – batch ID missing, placeholder or not an ID (e.g. PASB-261008-BC-017)",IF(AND(AR511=1,OR(NOT(ISNUMBER(X511)),NOT(ISNUMBER(Y511)))),"INVALID – expected/actual qty missing",IF(AND(AR511=1,OR(X511&lt;=0,Y511&lt;0)),"INVALID – expected qty must be above 0 and actual not negative",IF(BB511&lt;&gt;"",BB511,IF(AND(AS511=1,Documents!$J$20&lt;&gt;"ON FILE"),"INVALID – GLD not on file (Documents sheet)",IF(AND(AS511=2,Documents!$O$20&lt;&gt;"ON FILE"),"INVALID – menu checklist not on file (Documents sheet)",IF(AND(AS511=3,NOT(ISNUMBER(Flights!$AX$20))),"INVALID – enter carrying flight KUL departure (Flights AX)",IF(AND(AS511=3,OR(Flights!$AZ$20&gt;Flights!$AA$20,Flights!$AX$20&lt;Flights!$AA$20-3)),"INVALID – carrying flight (Flights AX) cannot arrive before this leg's STD, or is over 3 days early",IF(AG511&gt;AsOfUTC,"INVALID – completion time is in the future",IF(AND(ISNUMBER(BY511),AG511&lt;BY511),IF(H511="Physical uplift","INVALID – before uplift window (cannot confirm loading)","INVALID – before valid window"),IF(AG511&gt;Flights!$AA$20,"INVALID – completed after departure (cannot establish readiness)",IF(AND(H511="Preparation",AG511&gt;=IF(ISNUMBER(Flights!$BA$20),MIN(Flights!$BA$20,Flights!$AA$20),Flights!$AA$20)),"INVALID – completed after loading / departure (cannot establish readiness)",IF(AND(H511="Physical uplift",AG511&gt;Q511),"INVALID – recorded after the loading flight departed",IF(AG511&gt;Q511,"COMPLETE – LATE","COMPLETE"))))))))))))))))))))))))),IF(TRIM(U511)="Fail","FAIL – DISCREPANCY",IF(AND(TRIM(U511)&lt;&gt;"",TRIM(U511)&lt;&gt;"Not started",TRIM(U511)&lt;&gt;"In progress"),"INVALID – unrecognised status (use the list)",IF(AsOfUTC&gt;Q511,"OVERDUE",IF(N511="Clarification required","OPEN – CLARIFICATION","OPEN"))))))),"INVALID – error value in an input cell")</f>
        <v>OPEN</v>
      </c>
      <c r="AI511" s="61" t="n">
        <f aca="false">IF(OR(AH511="N/A – RULE",AH511="N/A – JUSTIFIED"),0,1)</f>
        <v>1</v>
      </c>
      <c r="AJ511" s="61" t="n">
        <f aca="false">IF(LEFT(AH511,8)="COMPLETE",1,0)</f>
        <v>0</v>
      </c>
      <c r="AK511" s="61" t="n">
        <f aca="false">IF(AND(AI511=1,AJ511=0,AsOfUTC&gt;Q511),1,0)</f>
        <v>0</v>
      </c>
      <c r="AL511" s="61" t="n">
        <f aca="false">IFERROR(IF(AND(AI511=1,OR(TRIM(U511)="Fail",AND(TRIM(AB511)&lt;&gt;"",TRIM(AB511)&lt;&gt;"Closed"),AND(ISNUMBER(AF511),AF511&lt;&gt;0,TRIM(U511)&lt;&gt;"Pass after CA"))),1,0),1)</f>
        <v>0</v>
      </c>
      <c r="AM511" s="61" t="n">
        <f aca="false">IF(LEFT(AH511,7)="INVALID",1,0)</f>
        <v>0</v>
      </c>
      <c r="AN511" s="61" t="n">
        <f aca="false">IF(AND(N511="Clarification required",AI511=1,AJ511=0),1,0)</f>
        <v>0</v>
      </c>
      <c r="AO511" s="61" t="str">
        <f aca="false">IF(AK511=1,SUM(AK$5:AK511),"")</f>
        <v/>
      </c>
      <c r="AP511" s="61" t="str">
        <f aca="false">IF(AL511=1,SUM(AL$5:AL511),"")</f>
        <v/>
      </c>
      <c r="AQ511" s="61" t="n">
        <v>0</v>
      </c>
      <c r="AR511" s="61" t="n">
        <v>0</v>
      </c>
      <c r="AS511" s="61" t="n">
        <v>0</v>
      </c>
      <c r="AT511" s="61" t="n">
        <v>0</v>
      </c>
      <c r="AU511" s="61" t="str">
        <f aca="false">SUBSTITUTE(SUBSTITUTE(SUBSTITUTE(SUBSTITUTE(SUBSTITUTE(SUBSTITUTE(SUBSTITUTE(SUBSTITUTE(SUBSTITUTE(SUBSTITUTE(SUBSTITUTE(SUBSTITUTE(SUBSTITUTE(SUBSTITUTE(SUBSTITUTE(SUBSTITUTE(LOWER(T511&amp;""),CHAR(10),""),CHAR(13),""),CHAR(9),""),CHAR(160),"")," ",""),".",""),"-",""),"/",""),"?",""),"_",""),",",""),"[",""),"]",""),"(",""),")",""),"*","")</f>
        <v/>
      </c>
      <c r="AV511" s="61" t="str">
        <f aca="false">SUBSTITUTE(SUBSTITUTE(SUBSTITUTE(SUBSTITUTE(SUBSTITUTE(SUBSTITUTE(SUBSTITUTE(SUBSTITUTE(SUBSTITUTE(SUBSTITUTE(SUBSTITUTE(SUBSTITUTE(SUBSTITUTE(SUBSTITUTE(SUBSTITUTE(SUBSTITUTE(LOWER(V511&amp;""),CHAR(10),""),CHAR(13),""),CHAR(9),""),CHAR(160),"")," ",""),".",""),"-",""),"/",""),"?",""),"_",""),",",""),"[",""),"]",""),"(",""),")",""),"*","")</f>
        <v/>
      </c>
      <c r="AW511" s="61" t="str">
        <f aca="false">SUBSTITUTE(SUBSTITUTE(SUBSTITUTE(SUBSTITUTE(SUBSTITUTE(SUBSTITUTE(SUBSTITUTE(SUBSTITUTE(SUBSTITUTE(SUBSTITUTE(SUBSTITUTE(SUBSTITUTE(SUBSTITUTE(SUBSTITUTE(SUBSTITUTE(SUBSTITUTE(LOWER(Z511&amp;""),CHAR(10),""),CHAR(13),""),CHAR(9),""),CHAR(160),"")," ",""),".",""),"-",""),"/",""),"?",""),"_",""),",",""),"[",""),"]",""),"(",""),")",""),"*","")</f>
        <v/>
      </c>
      <c r="AX511" s="61" t="str">
        <f aca="false">SUBSTITUTE(SUBSTITUTE(SUBSTITUTE(SUBSTITUTE(SUBSTITUTE(SUBSTITUTE(SUBSTITUTE(SUBSTITUTE(SUBSTITUTE(SUBSTITUTE(SUBSTITUTE(SUBSTITUTE(SUBSTITUTE(SUBSTITUTE(SUBSTITUTE(SUBSTITUTE(LOWER(AE511&amp;""),CHAR(10),""),CHAR(13),""),CHAR(9),""),CHAR(160),"")," ",""),".",""),"-",""),"/",""),"?",""),"_",""),",",""),"[",""),"]",""),"(",""),")",""),"*","")</f>
        <v/>
      </c>
      <c r="AY511" s="61" t="str">
        <f aca="false">SUBSTITUTE(SUBSTITUTE(SUBSTITUTE(SUBSTITUTE(SUBSTITUTE(SUBSTITUTE(SUBSTITUTE(SUBSTITUTE(SUBSTITUTE(SUBSTITUTE(SUBSTITUTE(SUBSTITUTE(SUBSTITUTE(SUBSTITUTE(SUBSTITUTE(SUBSTITUTE(LOWER(W511&amp;""),CHAR(10),""),CHAR(13),""),CHAR(9),""),CHAR(160),"")," ",""),".",""),"-",""),"/",""),"?",""),"_",""),",",""),"[",""),"]",""),"(",""),")",""),"*","")</f>
        <v/>
      </c>
      <c r="AZ511" s="61" t="str">
        <f aca="false">SUBSTITUTE(SUBSTITUTE(SUBSTITUTE(SUBSTITUTE(SUBSTITUTE(SUBSTITUTE(SUBSTITUTE(SUBSTITUTE(SUBSTITUTE(SUBSTITUTE(SUBSTITUTE(SUBSTITUTE(SUBSTITUTE(SUBSTITUTE(SUBSTITUTE(SUBSTITUTE(LOWER(AC511&amp;""),CHAR(10),""),CHAR(13),""),CHAR(9),""),CHAR(160),"")," ",""),".",""),"-",""),"/",""),"?",""),"_",""),",",""),"[",""),"]",""),"(",""),")",""),"*","")</f>
        <v/>
      </c>
      <c r="BA511" s="61" t="str">
        <f aca="false">SUBSTITUTE(SUBSTITUTE(SUBSTITUTE(SUBSTITUTE(SUBSTITUTE(SUBSTITUTE(SUBSTITUTE(SUBSTITUTE(SUBSTITUTE(SUBSTITUTE(SUBSTITUTE(SUBSTITUTE(SUBSTITUTE(SUBSTITUTE(SUBSTITUTE(SUBSTITUTE(LOWER(AA511&amp;""),CHAR(10),""),CHAR(13),""),CHAR(9),""),CHAR(160),"")," ",""),".",""),"-",""),"/",""),"?",""),"_",""),",",""),"[",""),"]",""),"(",""),")",""),"*","")</f>
        <v/>
      </c>
      <c r="BB511" s="61" t="str">
        <f aca="false">IF(AND(TRIM(U511)="Pass",ISNUMBER(AF511)),IF(AF511&lt;&gt;0,"INVALID – qty variance: use Fail or Pass after CA",""),"")&amp;IF(AND(TRIM(U511)="Pass after CA",ISNUMBER(AF511)),IF(AF511&lt;&gt;0,"INVALID – after the corrective action the actual qty must equal expected (update Actual)",""),"")&amp;IF(AND(TRIM(U511)="Pass",TRIM(AB511)&lt;&gt;"",TRIM(AB511)&lt;&gt;"Closed"),"INVALID – corrective action not closed: use Fail, then Pass after CA","")&amp;IF(AND(LEN(BA511)&gt;=2,ISNA(MATCH(LEFT(BA511,255),L_Placeholder,0)),TRIM(AB511)=""),"INVALID – CA status missing for the recorded corrective action","")&amp;IF(AND(TRIM(U511)="Pass after CA",OR(OR(LEN(BA511)&lt;5,ISNUMBER(MATCH(BA511,L_Placeholder,0))),TRIM(AB511)&lt;&gt;"Closed")),"INVALID – corrective action not recorded/closed","")</f>
        <v/>
      </c>
      <c r="BC511" s="61" t="str">
        <f aca="false">" "&amp;TRIM(SUBSTITUTE(SUBSTITUTE(SUBSTITUTE(SUBSTITUTE(SUBSTITUTE(SUBSTITUTE(SUBSTITUTE(SUBSTITUTE(SUBSTITUTE(SUBSTITUTE(SUBSTITUTE(SUBSTITUTE(SUBSTITUTE(SUBSTITUTE(SUBSTITUTE(SUBSTITUTE(SUBSTITUTE(SUBSTITUTE(SUBSTITUTE(SUBSTITUTE(SUBSTITUTE(SUBSTITUTE(SUBSTITUTE(SUBSTITUTE(LOWER(V511&amp;""),CHAR(10)," "),CHAR(13)," "),CHAR(9)," "),CHAR(160)," "),"."," "),","," "),"-"," "),"/"," "),"("," "),")"," "),":"," "),";"," "),"_"," "),"–"," "),"?"," "),"!"," "),"*"," "),"["," "),"]"," "),"'"," "),"#"," "),"+"," "),"&amp;"," "),"\"," "))&amp;" "</f>
        <v>  </v>
      </c>
      <c r="BD511" s="61" t="str">
        <f aca="false">" "&amp;TRIM(SUBSTITUTE(SUBSTITUTE(SUBSTITUTE(SUBSTITUTE(SUBSTITUTE(SUBSTITUTE(SUBSTITUTE(SUBSTITUTE(SUBSTITUTE(SUBSTITUTE(SUBSTITUTE(SUBSTITUTE(SUBSTITUTE(SUBSTITUTE(SUBSTITUTE(SUBSTITUTE(SUBSTITUTE(SUBSTITUTE(SUBSTITUTE(SUBSTITUTE(SUBSTITUTE(SUBSTITUTE(SUBSTITUTE(SUBSTITUTE(LOWER(Z511&amp;""),CHAR(10)," "),CHAR(13)," "),CHAR(9)," "),CHAR(160)," "),"."," "),","," "),"-"," "),"/"," "),"("," "),")"," "),":"," "),";"," "),"_"," "),"–"," "),"?"," "),"!"," "),"*"," "),"["," "),"]"," "),"'"," "),"#"," "),"+"," "),"&amp;"," "),"\"," "))&amp;" "</f>
        <v>  </v>
      </c>
      <c r="BE511" s="61" t="str">
        <f aca="false">" "&amp;TRIM(SUBSTITUTE(SUBSTITUTE(SUBSTITUTE(SUBSTITUTE(SUBSTITUTE(SUBSTITUTE(SUBSTITUTE(SUBSTITUTE(SUBSTITUTE(SUBSTITUTE(SUBSTITUTE(SUBSTITUTE(SUBSTITUTE(SUBSTITUTE(SUBSTITUTE(SUBSTITUTE(SUBSTITUTE(SUBSTITUTE(SUBSTITUTE(SUBSTITUTE(SUBSTITUTE(SUBSTITUTE(SUBSTITUTE(SUBSTITUTE(LOWER(W511&amp;""),CHAR(10)," "),CHAR(13)," "),CHAR(9)," "),CHAR(160)," "),"."," "),","," "),"-"," "),"/"," "),"("," "),")"," "),":"," "),";"," "),"_"," "),"–"," "),"?"," "),"!"," "),"*"," "),"["," "),"]"," "),"'"," "),"#"," "),"+"," "),"&amp;"," "),"\"," "))&amp;" "</f>
        <v>  </v>
      </c>
      <c r="BF511" s="61" t="str">
        <f aca="false">" "&amp;TRIM(SUBSTITUTE(SUBSTITUTE(SUBSTITUTE(SUBSTITUTE(SUBSTITUTE(SUBSTITUTE(SUBSTITUTE(SUBSTITUTE(SUBSTITUTE(SUBSTITUTE(SUBSTITUTE(SUBSTITUTE(SUBSTITUTE(SUBSTITUTE(SUBSTITUTE(SUBSTITUTE(SUBSTITUTE(SUBSTITUTE(SUBSTITUTE(SUBSTITUTE(SUBSTITUTE(SUBSTITUTE(SUBSTITUTE(SUBSTITUTE(LOWER(AC511&amp;""),CHAR(10)," "),CHAR(13)," "),CHAR(9)," "),CHAR(160)," "),"."," "),","," "),"-"," "),"/"," "),"("," "),")"," "),":"," "),";"," "),"_"," "),"–"," "),"?"," "),"!"," "),"*"," "),"["," "),"]"," "),"'"," "),"#"," "),"+"," "),"&amp;"," "),"\"," "))&amp;" "</f>
        <v>  </v>
      </c>
      <c r="BG511" s="61" t="n">
        <f aca="false">IFERROR(IF(AND(TRIM(U511)="Pass",SUMPRODUCT((LEN(BC511)-LEN(SUBSTITUTE(BC511," "&amp;L_ResultBad&amp;" "," ")))/(LEN(L_ResultBad)+1))&gt;SUMPRODUCT((LEN(BC511)-LEN(SUBSTITUTE(BC511," "&amp;L_NegPhrase&amp;" "," ")))/(LEN(L_NegPhrase)+1))),1,0),0)</f>
        <v>0</v>
      </c>
      <c r="BH511" s="61" t="n">
        <f aca="false">IFERROR(IF(SUMPRODUCT((LEN(BC511)-LEN(SUBSTITUTE(BC511," "&amp;L_Pending&amp;" "," ")))/(LEN(L_Pending)+1))&gt;SUMPRODUCT((LEN(BC511)-LEN(SUBSTITUTE(BC511," "&amp;L_PendNeg&amp;" "," ")))/(LEN(L_PendNeg)+1))+SUMPRODUCT((LEN(BC511)-LEN(SUBSTITUTE(BC511," "&amp;L_PendPrep&amp;" "," ")))/(LEN(L_PendPrep)+1)),1,0),1)</f>
        <v>0</v>
      </c>
      <c r="BI511" s="61" t="n">
        <f aca="false">IFERROR(IF(SUMPRODUCT((LEN(BD511)-LEN(SUBSTITUTE(BD511," "&amp;L_PendStrict&amp;" "," ")))/(LEN(L_PendStrict)+1))&gt;SUMPRODUCT((LEN(BD511)-LEN(SUBSTITUTE(BD511," "&amp;L_PendNeg&amp;" "," ")))/(LEN(L_PendNeg)+1)),1,0),1)</f>
        <v>0</v>
      </c>
      <c r="BJ511" s="61" t="n">
        <f aca="false">IFERROR(IF(SUMPRODUCT((LEN(BE511)-LEN(SUBSTITUTE(BE511," "&amp;L_Pending&amp;" "," ")))/(LEN(L_Pending)+1))&gt;SUMPRODUCT((LEN(BE511)-LEN(SUBSTITUTE(BE511," "&amp;L_PendNeg&amp;" "," ")))/(LEN(L_PendNeg)+1))+SUMPRODUCT((LEN(BE511)-LEN(SUBSTITUTE(BE511," "&amp;L_PendPrep&amp;" "," ")))/(LEN(L_PendPrep)+1)),1,0),1)</f>
        <v>0</v>
      </c>
      <c r="BK511" s="61" t="n">
        <f aca="false">IFERROR(IF(SUMPRODUCT((LEN(BF511)-LEN(SUBSTITUTE(BF511," "&amp;L_PendStrict&amp;" "," ")))/(LEN(L_PendStrict)+1))&gt;SUMPRODUCT((LEN(BF511)-LEN(SUBSTITUTE(BF511," "&amp;L_PendNeg&amp;" "," ")))/(LEN(L_PendNeg)+1)),1,0),1)</f>
        <v>0</v>
      </c>
      <c r="BL511" s="61" t="n">
        <f aca="false">IF(ISNA(MATCH(TRIM(S511),L_EvidenceType,0)),0,BZ511)</f>
        <v>0</v>
      </c>
      <c r="BM511" s="61" t="str">
        <f aca="false">SUBSTITUTE(SUBSTITUTE(SUBSTITUTE(SUBSTITUTE(SUBSTITUTE(SUBSTITUTE(SUBSTITUTE(SUBSTITUTE(SUBSTITUTE(LOWER(Z511&amp;""),"1","0"),"2","0"),"3","0"),"4","0"),"5","0"),"6","0"),"7","0"),"8","0"),"9","0")</f>
        <v/>
      </c>
      <c r="BN511" s="61" t="str">
        <f aca="false">SUBSTITUTE(SUBSTITUTE(SUBSTITUTE(SUBSTITUTE(SUBSTITUTE(SUBSTITUTE(SUBSTITUTE(SUBSTITUTE(SUBSTITUTE(SUBSTITUTE(SUBSTITUTE(SUBSTITUTE(SUBSTITUTE(SUBSTITUTE(SUBSTITUTE(SUBSTITUTE(SUBSTITUTE(SUBSTITUTE(SUBSTITUTE(SUBSTITUTE(SUBSTITUTE(SUBSTITUTE(SUBSTITUTE(SUBSTITUTE(SUBSTITUTE(BM511,"b","a"),"c","a"),"d","a"),"e","a"),"f","a"),"g","a"),"h","a"),"i","a"),"j","a"),"k","a"),"l","a"),"m","a"),"n","a"),"o","a"),"p","a"),"q","a"),"r","a"),"s","a"),"t","a"),"u","a"),"v","a"),"w","a"),"x","a"),"y","a"),"z","a")</f>
        <v/>
      </c>
      <c r="BO511" s="61" t="str">
        <f aca="false">SUBSTITUTE(SUBSTITUTE(SUBSTITUTE(SUBSTITUTE(SUBSTITUTE(SUBSTITUTE(SUBSTITUTE(SUBSTITUTE(SUBSTITUTE(LOWER(W511&amp;""),"1","0"),"2","0"),"3","0"),"4","0"),"5","0"),"6","0"),"7","0"),"8","0"),"9","0")</f>
        <v/>
      </c>
      <c r="BP511" s="61" t="str">
        <f aca="false">SUBSTITUTE(SUBSTITUTE(SUBSTITUTE(SUBSTITUTE(SUBSTITUTE(SUBSTITUTE(SUBSTITUTE(SUBSTITUTE(SUBSTITUTE(SUBSTITUTE(SUBSTITUTE(SUBSTITUTE(SUBSTITUTE(SUBSTITUTE(SUBSTITUTE(SUBSTITUTE(SUBSTITUTE(SUBSTITUTE(SUBSTITUTE(SUBSTITUTE(SUBSTITUTE(SUBSTITUTE(SUBSTITUTE(SUBSTITUTE(SUBSTITUTE(BO511,"b","a"),"c","a"),"d","a"),"e","a"),"f","a"),"g","a"),"h","a"),"i","a"),"j","a"),"k","a"),"l","a"),"m","a"),"n","a"),"o","a"),"p","a"),"q","a"),"r","a"),"s","a"),"t","a"),"u","a"),"v","a"),"w","a"),"x","a"),"y","a"),"z","a")</f>
        <v/>
      </c>
      <c r="BQ511" s="61" t="n">
        <f aca="false">IFERROR(IF(AND(ISERROR(SEARCH(" mh"," "&amp;LOWER(W511))),ISNA(MATCH(LEFT(TRIM(BP511),255),{"0000a","000a","00a","0000aa","000aa","00aa","0aa","0000aaa","000aaa","00a00","0a00","0000-0000","00:00","a00","a0","00.00.0000","00/00/0000","00-00-0000","0000-00-00","0000/00/00","0000.00.00","00.00.00","00/00/00","00-00-00","0.00.0000","0/00/0000","0-00-0000"},0)),ISNA(MATCH(LEFT(TRIM(CA511),255),{"0000a","000a","00a","0000aa","000aa","00aa","0aa","0000aaa","000aaa","00a00","0a00","0000-0000","00:00","a00","a0","00.00.0000","00/00/0000","00-00-0000","0000-00-00","0000/00/00","0000.00.00","00.00.00","00/00/00","00-00-00","0.00.0000","0/00/0000","0-00-0000"},0)),LEN(CB511)&gt;=3,NOT(OR(SUBSTITUTE(CB511,"0","")="",AND(LEN(CB511)&gt;=4,CB511=REPT(LEFT(CB511),LEN(CB511))),ISNUMBER(MATCH(CB511,{"123","1234","12345","123456","1234567","12345678","0123","01234","012345","98765","987654","54321"},0)),AND(LEN(CB511)=8,LEFT(CB511,3)="202"))),OR(AND((LEN(CA511)-LEN(SUBSTITUTE(CA511,"a","")))&gt;=1,SUMPRODUCT(--ISNUMBER(SEARCH({"a0","a-0","a_0","a/0","a.0","a#0","0a","0-a","0_a","0/a"},BP511)))&gt;0),ISNUMBER(SEARCH("000000",BP511)))),1,0),0)</f>
        <v>0</v>
      </c>
      <c r="BR511" s="61" t="n">
        <f aca="false">IFERROR(LEN(SUBSTITUTE(CC511," ",""))-SUMPRODUCT((LEN(CC511)-LEN(SUBSTITUTE(CC511," "&amp;L_Role&amp;" "," ")))/(LEN(L_Role)+1)*LEN(L_Role)),0)</f>
        <v>0</v>
      </c>
      <c r="BS511" s="61" t="n">
        <f aca="false">IFERROR(LEN(SUBSTITUTE(CD511," ",""))-SUMPRODUCT((LEN(CD511)-LEN(SUBSTITUTE(CD511," "&amp;L_Role&amp;" "," ")))/(LEN(L_Role)+1)*LEN(L_Role)),0)</f>
        <v>0</v>
      </c>
      <c r="BT5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511,"revision",""),"version",""),"jan",""),"feb",""),"mar",""),"apr",""),"may",""),"jun",""),"jul",""),"aug",""),"sep",""),"oct",""),"nov",""),"dec",""),"utc",""),"gmt",""),"myt",""),"bst",""),"rev",""),"ver",""),"b","a"),"c","a"),"d","a"),"e","a"),"f","a"),"g","a"),"h","a"),"i","a"),"j","a"),"k","a"),"l","a"),"m","a"),"n","a"),"o","a"),"p","a"),"q","a"),"r","a"),"s","a"),"t","a"),"u","a"),"v","a"),"w","a"),"x","a"),"y","a"),"z","a")</f>
        <v/>
      </c>
      <c r="BU511" s="61" t="str">
        <f aca="false">SUBSTITUTE(SUBSTITUTE(SUBSTITUTE(SUBSTITUTE(SUBSTITUTE(SUBSTITUTE(SUBSTITUTE(SUBSTITUTE(SUBSTITUTE(SUBSTITUTE(LEFT(BM511,FIND("0",BM511&amp;"0")-1),"-",""),"_",""),"/",""),".",""),"#",""),"\\",""),":","")," ",""),"(",""),")","")</f>
        <v/>
      </c>
      <c r="BV511" s="61" t="n">
        <f aca="false">0</f>
        <v>0</v>
      </c>
      <c r="BW5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511&amp;""),"a",""),"b",""),"c",""),"d",""),"e",""),"f",""),"g",""),"h",""),"i",""),"j",""),"k",""),"l",""),"m",""),"n",""),"o",""),"p",""),"q",""),"r",""),"s",""),"t",""),"u",""),"v",""),"w",""),"x",""),"y",""),"z",""),"-",""),"_",""),"/",""),".",""),"#",""),"\\",""),":","")," ",""),"(",""),")","")</f>
        <v/>
      </c>
      <c r="BX511" s="61" t="str">
        <f aca="false">SUBSTITUTE(SUBSTITUTE(SUBSTITUTE(SUBSTITUTE(SUBSTITUTE(SUBSTITUTE(SUBSTITUTE(SUBSTITUTE(SUBSTITUTE(SUBSTITUTE(SUBSTITUTE(BM511,"0",""),"-",""),"_",""),"/",""),".",""),"#",""),"\\",""),":","")," ",""),"(",""),")","")</f>
        <v/>
      </c>
      <c r="BY511" s="62" t="n">
        <f aca="false">Q511-T7EarlyD*24/24</f>
        <v>46300.0486111111</v>
      </c>
      <c r="BZ511" s="61" t="n">
        <f aca="false">IFERROR(IF(IF(TRIM(S511)="Link / file path",AND(LEN(TRIM(Z511))&gt;=5,SUMPRODUCT(--ISNUMBER(SEARCH({"http","www.","\\",":\",".pdf",".jpg",".jpeg",".png",".heic",".xls",".doc",".msg",".eml",".ppt",".txt",".zip"},Z511)))&gt;0),AND(ISERROR(FIND(" ",TRIM(Z511))),NOT(OR(SUMPRODUCT(--ISNUMBER(FIND({",",";","&amp;","+"},Z511)))&gt;0,SUMPRODUCT(--ISNUMBER(SEARCH({"0/aa","0\\aa"},BN511)))&gt;0)),NOT(SUMPRODUCT(--ISNUMBER(SEARCH({"http","www.","\\",":\",".pdf",".jpg",".jpeg",".png",".heic",".xls",".doc",".msg",".eml",".ppt",".txt",".zip"},Z511)))&gt;0),NOT(LOWER(TRIM(Z511))=LOWER(Flights!$F$20)),ISNA(MATCH(BU511,{"mh","rev","revision","ver","version","v","r","a","b","seat","tray","row","gate","bay","stand","page","pg","item","line","no","cart","galley","flight","flt","table","box","bag","oven","etd","eta","std","sta","atd","ata","qty","pax","x","time","tel","ph","mob","day","wk","week","utc","gmt","myt","lt"},0)),NOT(OR(ISNUMBER(MATCH(LEFT(BN511,255),{"0000a","000a","00a","0000aa","000aa","00aa","0aa","0000aaa","000aaa","00a00","0a00","0000-0000","00:00","a00","a0","00.00.0000","00/00/0000","00-00-0000","0000-00-00","0000/00/00","0000.00.00","00.00.00","00/00/00","00-00-00","0.00.0000","0/00/0000","0-00-0000"},0)),ISNUMBER(MATCH(LEFT(BT511,255),{"0000a","000a","00a","0000aa","000aa","00aa","0aa","0000aaa","000aaa","00a00","0a00","0000-0000","00:00","a00","a0","00.00.0000","00/00/0000","00-00-0000","0000-00-00","0000/00/00","0000.00.00","00.00.00","00/00/00","00-00-00","0.00.0000","0/00/0000","0-00-0000"},0)))),NOT(OR(AND(BW511&lt;&gt;"",SUBSTITUTE(BW511,"0","")=""),AND(LEN(BW511)&gt;=4,BW511=REPT(LEFT(BW511),LEN(BW511))),ISNUMBER(MATCH(BW511,{"123","1234","12345","123456","1234567","12345678","0123","01234","012345","98765","987654","54321"},0)),ISNUMBER(MATCH(BX511,{"x","xx","xxx","xxxx","xxxxx","abc","abcd","nil","na","nan","test","tbc","tba","tbd","dummy","sample","example","eg","zz","zzz","none","null","xyz","qwe","asd","id","ref"},0)),AND(LEN(BW511)=8,BX511="",OR(LEFT(BW511,3)="202",ISNUMBER(MATCH(RIGHT(BW511,4),{"2025","2026","2027"},0)))))),OR(AND((LEN(BT511)-LEN(SUBSTITUTE(BT511,"a","")))&gt;=1,(LEN(BN511)-LEN(SUBSTITUTE(BN511,"0","")))&gt;=2,SUMPRODUCT(--ISNUMBER(SEARCH({"a0","a-0","a_0","a/0","a.0","a#0","0a","0-a","0_a","0/a"},BN511)))&gt;0),AND((LEN(BN511)-LEN(SUBSTITUTE(BN511,"a","")))=0,(LEN(BN511)-LEN(SUBSTITUTE(BN511,"0","")))&gt;=5)))),1,0),0)</f>
        <v>0</v>
      </c>
      <c r="CA5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511,"revision",""),"version",""),"jan",""),"feb",""),"mar",""),"apr",""),"may",""),"jun",""),"jul",""),"aug",""),"sep",""),"oct",""),"nov",""),"dec",""),"utc",""),"gmt",""),"myt",""),"bst",""),"rev",""),"ver",""),"b","a"),"c","a"),"d","a"),"e","a"),"f","a"),"g","a"),"h","a"),"i","a"),"j","a"),"k","a"),"l","a"),"m","a"),"n","a"),"o","a"),"p","a"),"q","a"),"r","a"),"s","a"),"t","a"),"u","a"),"v","a"),"w","a"),"x","a"),"y","a"),"z","a")</f>
        <v/>
      </c>
      <c r="CB5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511&amp;""),"a",""),"b",""),"c",""),"d",""),"e",""),"f",""),"g",""),"h",""),"i",""),"j",""),"k",""),"l",""),"m",""),"n",""),"o",""),"p",""),"q",""),"r",""),"s",""),"t",""),"u",""),"v",""),"w",""),"x",""),"y",""),"z",""),"-",""),"_",""),"/",""),".",""),"#",""),"\\",""),":","")," ",""),"(",""),")","")</f>
        <v/>
      </c>
      <c r="CC511" s="0" t="str">
        <f aca="false">" "&amp;TRIM(SUBSTITUTE(SUBSTITUTE(SUBSTITUTE(SUBSTITUTE(SUBSTITUTE(SUBSTITUTE(SUBSTITUTE(SUBSTITUTE(SUBSTITUTE(SUBSTITUTE(SUBSTITUTE(SUBSTITUTE(SUBSTITUTE(SUBSTITUTE(SUBSTITUTE(SUBSTITUTE(SUBSTITUTE(SUBSTITUTE(SUBSTITUTE(SUBSTITUTE(SUBSTITUTE(SUBSTITUTE(SUBSTITUTE(SUBSTITUTE(LOWER(T511&amp;""),CHAR(10)," "),CHAR(13)," "),CHAR(9)," "),CHAR(160)," "),"."," "),","," "),"-"," "),"/"," "),"("," "),")"," "),":"," "),";"," "),"_"," "),"–"," "),"?"," "),"!"," "),"*"," "),"["," "),"]"," "),"'"," "),"#"," "),"+"," "),"&amp;"," "),"\"," "))&amp;" "</f>
        <v>  </v>
      </c>
      <c r="CD511" s="0" t="str">
        <f aca="false">" "&amp;TRIM(SUBSTITUTE(SUBSTITUTE(SUBSTITUTE(SUBSTITUTE(SUBSTITUTE(SUBSTITUTE(SUBSTITUTE(SUBSTITUTE(SUBSTITUTE(SUBSTITUTE(SUBSTITUTE(SUBSTITUTE(SUBSTITUTE(SUBSTITUTE(SUBSTITUTE(SUBSTITUTE(SUBSTITUTE(SUBSTITUTE(SUBSTITUTE(SUBSTITUTE(SUBSTITUTE(SUBSTITUTE(SUBSTITUTE(SUBSTITUTE(LOWER(AE511&amp;""),CHAR(10)," "),CHAR(13)," "),CHAR(9)," "),CHAR(160)," "),"."," "),","," "),"-"," "),"/"," "),"("," "),")"," "),":"," "),";"," "),"_"," "),"–"," "),"?"," "),"!"," "),"*"," "),"["," "),"]"," "),"'"," "),"#"," "),"+"," "),"&amp;"," "),"\"," "))&amp;" "</f>
        <v>  </v>
      </c>
      <c r="CE511" s="68" t="n">
        <f aca="false">IFERROR(IF(AND(LEN(AU511)&gt;0,LEN(AU511)=LEN(AX511),OR(TRIM(MID(SUBSTITUTE(TRIM(CC511)," ",REPT(" ",60)),1,60))="",ISNUMBER(SEARCH(" "&amp;TRIM(MID(SUBSTITUTE(TRIM(CC511)," ",REPT(" ",60)),1,60))&amp;" ",CD511))),OR(TRIM(MID(SUBSTITUTE(TRIM(CC511)," ",REPT(" ",60)),61,60))="",ISNUMBER(SEARCH(" "&amp;TRIM(MID(SUBSTITUTE(TRIM(CC511)," ",REPT(" ",60)),61,60))&amp;" ",CD511))),OR(TRIM(MID(SUBSTITUTE(TRIM(CC511)," ",REPT(" ",60)),121,60))="",ISNUMBER(SEARCH(" "&amp;TRIM(MID(SUBSTITUTE(TRIM(CC511)," ",REPT(" ",60)),121,60))&amp;" ",CD511)))),1,0),0)</f>
        <v>0</v>
      </c>
      <c r="CG511" s="68" t="n">
        <f aca="false">IFERROR(LEN(SUBSTITUTE(BF511," ",""))-SUMPRODUCT((LEN(BF511)-LEN(SUBSTITUTE(BF511," "&amp;L_NAFiller&amp;" "," ")))/(LEN(L_NAFiller)+1)*LEN(L_NAFiller)),0)</f>
        <v>0</v>
      </c>
    </row>
    <row r="512" customFormat="false" ht="39.75" hidden="false" customHeight="true" outlineLevel="0" collapsed="false">
      <c r="A512" s="57" t="s">
        <v>1167</v>
      </c>
      <c r="B512" s="57" t="s">
        <v>280</v>
      </c>
      <c r="C512" s="57" t="str">
        <f aca="false">Flights!$F$20</f>
        <v>MH0072</v>
      </c>
      <c r="D512" s="58" t="n">
        <f aca="false">Flights!$D$20</f>
        <v>46321</v>
      </c>
      <c r="E512" s="57" t="str">
        <f aca="false">Flights!$G$20&amp;"-"&amp;Flights!$H$20</f>
        <v>KUL-HKG</v>
      </c>
      <c r="F512" s="57" t="str">
        <f aca="false">Flights!$K$20</f>
        <v>EY</v>
      </c>
      <c r="G512" s="57" t="s">
        <v>81</v>
      </c>
      <c r="H512" s="57" t="s">
        <v>378</v>
      </c>
      <c r="I512" s="57" t="s">
        <v>405</v>
      </c>
      <c r="J512" s="57" t="s">
        <v>406</v>
      </c>
      <c r="K512" s="67" t="s">
        <v>407</v>
      </c>
      <c r="L512" s="67" t="s">
        <v>382</v>
      </c>
      <c r="M512" s="67"/>
      <c r="N512" s="67" t="s">
        <v>383</v>
      </c>
      <c r="O512" s="67"/>
      <c r="P512" s="57" t="s">
        <v>187</v>
      </c>
      <c r="Q512" s="59" t="n">
        <f aca="false">ROUND((Flights!$AC$20)*1440,0)/1440</f>
        <v>46314.0486111111</v>
      </c>
      <c r="R512" s="59" t="n">
        <f aca="false">Q512+(IF(AND(INDEX(TZ_DSTS,MATCH(P512,TZ_STN,0))&lt;&gt;"",Q512&gt;=INDEX(TZ_DSTS,MATCH(P512,TZ_STN,0)),Q512&lt;INDEX(TZ_DSTE,MATCH(P512,TZ_STN,0))),INDEX(TZ_DST,MATCH(P512,TZ_STN,0)),INDEX(TZ_STD,MATCH(P512,TZ_STN,0))))/24</f>
        <v>46314.3819444444</v>
      </c>
      <c r="S512" s="60"/>
      <c r="T512" s="60"/>
      <c r="U512" s="60"/>
      <c r="V512" s="60"/>
      <c r="W512" s="61"/>
      <c r="X512" s="60"/>
      <c r="Y512" s="60"/>
      <c r="Z512" s="60"/>
      <c r="AA512" s="60"/>
      <c r="AB512" s="60"/>
      <c r="AC512" s="60"/>
      <c r="AD512" s="66"/>
      <c r="AE512" s="60"/>
      <c r="AF512" s="61" t="str">
        <f aca="false">IF(AND(ISNUMBER(X512),ISNUMBER(Y512)),Y512-X512,"")</f>
        <v/>
      </c>
      <c r="AG512" s="62" t="str">
        <f aca="false">IF(ISNUMBER(AD512),AD512-(IF(AND(INDEX(TZ_DSTS,MATCH(P512,TZ_STN,0))&lt;&gt;"",(AD512-INDEX(TZ_STD,MATCH(P512,TZ_STN,0))/24)&gt;=INDEX(TZ_DSTS,MATCH(P512,TZ_STN,0)),(AD512-INDEX(TZ_STD,MATCH(P512,TZ_STN,0))/24)&lt;INDEX(TZ_DSTE,MATCH(P512,TZ_STN,0))),INDEX(TZ_DST,MATCH(P512,TZ_STN,0)),INDEX(TZ_STD,MATCH(P512,TZ_STN,0))))/24,"")</f>
        <v/>
      </c>
      <c r="AH512" s="65" t="str">
        <f aca="false">IFERROR(IF(N512="N/A – rule",IF(OR(TRIM(U512)="",TRIM(U512)="N/A",TRIM(U512)="Not started"),"N/A – RULE","INVALID – this check does not apply to this aircraft: clear the status (or correct the fleet on Flights)"),IF(TRIM(U512)="N/A",IF(AT512=0,"INVALID – N/A not permitted for this check",IF(AND(TRIM(AB512)&lt;&gt;"",TRIM(AB512)&lt;&gt;"Closed"),"INVALID – corrective action still open",IF(AND(NOT(OR(LEN(AZ512)&lt;15,ISNUMBER(MATCH(AZ512,L_Placeholder,0)))),BK512=0,CG512&gt;=8,NOT(OR(LEN(AU512)&lt;2,ISNUMBER(MATCH(AU512,L_Placeholder,0)))),BR512&gt;=3,NOT(OR(LEN(AX512)&lt;2,ISNUMBER(MATCH(AX512,L_Placeholder,0)))),BS512&gt;=3,TRIM(AE512)&lt;&gt;TRIM(T512),AX512&lt;&gt;AU512,CE512=0),"N/A – JUSTIFIED","INVALID – N/A needs a real, settled reason (not 'not applicable' / 'as above' / TBC), a named PIC and a different named verifier"))),IF(OR(TRIM(U512)="Pass",TRIM(U512)="Pass after CA"),IF(NOT(ISNUMBER(AD512)),"INVALID – completion time missing",IF(OR(OR(LEN(AU512)&lt;2,ISNUMBER(MATCH(AU512,L_Placeholder,0))),BR512&lt;3),"INVALID – PIC missing or not a named person (a role such as QA / CSM is not a name)",IF(OR(LEN(AV512)&lt;2,ISNUMBER(MATCH(AV512,L_Placeholder,0))),"INVALID – result / assessment missing",IF(OR(OR(LEN(AW512)&lt;3,ISNUMBER(MATCH(AW512,L_Placeholder,0))),SUMPRODUCT(--ISNUMBER(SEARCH(" "&amp;L_EvidencePhrase&amp;" ",BD512)))&gt;0,BI512=1),"INVALID – evidence missing, placeholder or not yet on file",IF(ISNA(MATCH(TRIM(S512),L_EvidenceType,0)),"INVALID – choose the evidence type from the list (column S)",IF(BL512=0,"INVALID – evidence ID must be the record's own ID only (e.g. SF-2210, IMG_2231, 1045521); a link / file name needs type 'Link / file path'",IF(OR(OR(LEN(AX512)&lt;2,ISNUMBER(MATCH(AX512,L_Placeholder,0))),BS512&lt;3),"INVALID – verifier missing or not a named person (a role such as QA / CSM is not a name)",IF(OR(AX512=AU512,CE512=1,AND(LEN(AU512)&gt;=4,ISNUMBER(SEARCH(AU512,AX512))),AND(LEN(AX512)&gt;=4,ISNUMBER(SEARCH(AX512,AU512)))),"INVALID – verifier must be a different, named person (not the PIC or a role)",IF(BH512=1,"INVALID – result not yet available (awaiting / TBC)",IF(BG512=1,"INVALID – result describes a problem: record Fail, then Pass after CA (or reword if it is not a problem)",IF(BV512=1,"INVALID – wording says not on board: an on-board confirmation needs the item loaded",IF(AND(AQ512=1,OR(OR(LEN(AY512)&lt;3,ISNUMBER(MATCH(AY512,L_Placeholder,0))),BJ512=1,BQ512=0)),"INVALID – batch ID missing, placeholder or not an ID (e.g. PASB-261008-BC-017)",IF(AND(AR512=1,OR(NOT(ISNUMBER(X512)),NOT(ISNUMBER(Y512)))),"INVALID – expected/actual qty missing",IF(AND(AR512=1,OR(X512&lt;=0,Y512&lt;0)),"INVALID – expected qty must be above 0 and actual not negative",IF(BB512&lt;&gt;"",BB512,IF(AND(AS512=1,Documents!$J$20&lt;&gt;"ON FILE"),"INVALID – GLD not on file (Documents sheet)",IF(AND(AS512=2,Documents!$O$20&lt;&gt;"ON FILE"),"INVALID – menu checklist not on file (Documents sheet)",IF(AND(AS512=3,NOT(ISNUMBER(Flights!$AX$20))),"INVALID – enter carrying flight KUL departure (Flights AX)",IF(AND(AS512=3,OR(Flights!$AZ$20&gt;Flights!$AA$20,Flights!$AX$20&lt;Flights!$AA$20-3)),"INVALID – carrying flight (Flights AX) cannot arrive before this leg's STD, or is over 3 days early",IF(AG512&gt;AsOfUTC,"INVALID – completion time is in the future",IF(AND(ISNUMBER(BY512),AG512&lt;BY512),IF(H512="Physical uplift","INVALID – before uplift window (cannot confirm loading)","INVALID – before valid window"),IF(AG512&gt;Flights!$AA$20,"INVALID – completed after departure (cannot establish readiness)",IF(AND(H512="Preparation",AG512&gt;=IF(ISNUMBER(Flights!$BA$20),MIN(Flights!$BA$20,Flights!$AA$20),Flights!$AA$20)),"INVALID – completed after loading / departure (cannot establish readiness)",IF(AND(H512="Physical uplift",AG512&gt;Q512),"INVALID – recorded after the loading flight departed",IF(AG512&gt;Q512,"COMPLETE – LATE","COMPLETE"))))))))))))))))))))))))),IF(TRIM(U512)="Fail","FAIL – DISCREPANCY",IF(AND(TRIM(U512)&lt;&gt;"",TRIM(U512)&lt;&gt;"Not started",TRIM(U512)&lt;&gt;"In progress"),"INVALID – unrecognised status (use the list)",IF(AsOfUTC&gt;Q512,"OVERDUE",IF(N512="Clarification required","OPEN – CLARIFICATION","OPEN"))))))),"INVALID – error value in an input cell")</f>
        <v>OPEN</v>
      </c>
      <c r="AI512" s="61" t="n">
        <f aca="false">IF(OR(AH512="N/A – RULE",AH512="N/A – JUSTIFIED"),0,1)</f>
        <v>1</v>
      </c>
      <c r="AJ512" s="61" t="n">
        <f aca="false">IF(LEFT(AH512,8)="COMPLETE",1,0)</f>
        <v>0</v>
      </c>
      <c r="AK512" s="61" t="n">
        <f aca="false">IF(AND(AI512=1,AJ512=0,AsOfUTC&gt;Q512),1,0)</f>
        <v>0</v>
      </c>
      <c r="AL512" s="61" t="n">
        <f aca="false">IFERROR(IF(AND(AI512=1,OR(TRIM(U512)="Fail",AND(TRIM(AB512)&lt;&gt;"",TRIM(AB512)&lt;&gt;"Closed"),AND(ISNUMBER(AF512),AF512&lt;&gt;0,TRIM(U512)&lt;&gt;"Pass after CA"))),1,0),1)</f>
        <v>0</v>
      </c>
      <c r="AM512" s="61" t="n">
        <f aca="false">IF(LEFT(AH512,7)="INVALID",1,0)</f>
        <v>0</v>
      </c>
      <c r="AN512" s="61" t="n">
        <f aca="false">IF(AND(N512="Clarification required",AI512=1,AJ512=0),1,0)</f>
        <v>0</v>
      </c>
      <c r="AO512" s="61" t="str">
        <f aca="false">IF(AK512=1,SUM(AK$5:AK512),"")</f>
        <v/>
      </c>
      <c r="AP512" s="61" t="str">
        <f aca="false">IF(AL512=1,SUM(AL$5:AL512),"")</f>
        <v/>
      </c>
      <c r="AQ512" s="61" t="n">
        <v>0</v>
      </c>
      <c r="AR512" s="61" t="n">
        <v>0</v>
      </c>
      <c r="AS512" s="61" t="n">
        <v>1</v>
      </c>
      <c r="AT512" s="61" t="n">
        <v>0</v>
      </c>
      <c r="AU512" s="61" t="str">
        <f aca="false">SUBSTITUTE(SUBSTITUTE(SUBSTITUTE(SUBSTITUTE(SUBSTITUTE(SUBSTITUTE(SUBSTITUTE(SUBSTITUTE(SUBSTITUTE(SUBSTITUTE(SUBSTITUTE(SUBSTITUTE(SUBSTITUTE(SUBSTITUTE(SUBSTITUTE(SUBSTITUTE(LOWER(T512&amp;""),CHAR(10),""),CHAR(13),""),CHAR(9),""),CHAR(160),"")," ",""),".",""),"-",""),"/",""),"?",""),"_",""),",",""),"[",""),"]",""),"(",""),")",""),"*","")</f>
        <v/>
      </c>
      <c r="AV512" s="61" t="str">
        <f aca="false">SUBSTITUTE(SUBSTITUTE(SUBSTITUTE(SUBSTITUTE(SUBSTITUTE(SUBSTITUTE(SUBSTITUTE(SUBSTITUTE(SUBSTITUTE(SUBSTITUTE(SUBSTITUTE(SUBSTITUTE(SUBSTITUTE(SUBSTITUTE(SUBSTITUTE(SUBSTITUTE(LOWER(V512&amp;""),CHAR(10),""),CHAR(13),""),CHAR(9),""),CHAR(160),"")," ",""),".",""),"-",""),"/",""),"?",""),"_",""),",",""),"[",""),"]",""),"(",""),")",""),"*","")</f>
        <v/>
      </c>
      <c r="AW512" s="61" t="str">
        <f aca="false">SUBSTITUTE(SUBSTITUTE(SUBSTITUTE(SUBSTITUTE(SUBSTITUTE(SUBSTITUTE(SUBSTITUTE(SUBSTITUTE(SUBSTITUTE(SUBSTITUTE(SUBSTITUTE(SUBSTITUTE(SUBSTITUTE(SUBSTITUTE(SUBSTITUTE(SUBSTITUTE(LOWER(Z512&amp;""),CHAR(10),""),CHAR(13),""),CHAR(9),""),CHAR(160),"")," ",""),".",""),"-",""),"/",""),"?",""),"_",""),",",""),"[",""),"]",""),"(",""),")",""),"*","")</f>
        <v/>
      </c>
      <c r="AX512" s="61" t="str">
        <f aca="false">SUBSTITUTE(SUBSTITUTE(SUBSTITUTE(SUBSTITUTE(SUBSTITUTE(SUBSTITUTE(SUBSTITUTE(SUBSTITUTE(SUBSTITUTE(SUBSTITUTE(SUBSTITUTE(SUBSTITUTE(SUBSTITUTE(SUBSTITUTE(SUBSTITUTE(SUBSTITUTE(LOWER(AE512&amp;""),CHAR(10),""),CHAR(13),""),CHAR(9),""),CHAR(160),"")," ",""),".",""),"-",""),"/",""),"?",""),"_",""),",",""),"[",""),"]",""),"(",""),")",""),"*","")</f>
        <v/>
      </c>
      <c r="AY512" s="61" t="str">
        <f aca="false">SUBSTITUTE(SUBSTITUTE(SUBSTITUTE(SUBSTITUTE(SUBSTITUTE(SUBSTITUTE(SUBSTITUTE(SUBSTITUTE(SUBSTITUTE(SUBSTITUTE(SUBSTITUTE(SUBSTITUTE(SUBSTITUTE(SUBSTITUTE(SUBSTITUTE(SUBSTITUTE(LOWER(W512&amp;""),CHAR(10),""),CHAR(13),""),CHAR(9),""),CHAR(160),"")," ",""),".",""),"-",""),"/",""),"?",""),"_",""),",",""),"[",""),"]",""),"(",""),")",""),"*","")</f>
        <v/>
      </c>
      <c r="AZ512" s="61" t="str">
        <f aca="false">SUBSTITUTE(SUBSTITUTE(SUBSTITUTE(SUBSTITUTE(SUBSTITUTE(SUBSTITUTE(SUBSTITUTE(SUBSTITUTE(SUBSTITUTE(SUBSTITUTE(SUBSTITUTE(SUBSTITUTE(SUBSTITUTE(SUBSTITUTE(SUBSTITUTE(SUBSTITUTE(LOWER(AC512&amp;""),CHAR(10),""),CHAR(13),""),CHAR(9),""),CHAR(160),"")," ",""),".",""),"-",""),"/",""),"?",""),"_",""),",",""),"[",""),"]",""),"(",""),")",""),"*","")</f>
        <v/>
      </c>
      <c r="BA512" s="61" t="str">
        <f aca="false">SUBSTITUTE(SUBSTITUTE(SUBSTITUTE(SUBSTITUTE(SUBSTITUTE(SUBSTITUTE(SUBSTITUTE(SUBSTITUTE(SUBSTITUTE(SUBSTITUTE(SUBSTITUTE(SUBSTITUTE(SUBSTITUTE(SUBSTITUTE(SUBSTITUTE(SUBSTITUTE(LOWER(AA512&amp;""),CHAR(10),""),CHAR(13),""),CHAR(9),""),CHAR(160),"")," ",""),".",""),"-",""),"/",""),"?",""),"_",""),",",""),"[",""),"]",""),"(",""),")",""),"*","")</f>
        <v/>
      </c>
      <c r="BB512" s="61" t="str">
        <f aca="false">IF(AND(TRIM(U512)="Pass",ISNUMBER(AF512)),IF(AF512&lt;&gt;0,"INVALID – qty variance: use Fail or Pass after CA",""),"")&amp;IF(AND(TRIM(U512)="Pass after CA",ISNUMBER(AF512)),IF(AF512&lt;&gt;0,"INVALID – after the corrective action the actual qty must equal expected (update Actual)",""),"")&amp;IF(AND(TRIM(U512)="Pass",TRIM(AB512)&lt;&gt;"",TRIM(AB512)&lt;&gt;"Closed"),"INVALID – corrective action not closed: use Fail, then Pass after CA","")&amp;IF(AND(LEN(BA512)&gt;=2,ISNA(MATCH(LEFT(BA512,255),L_Placeholder,0)),TRIM(AB512)=""),"INVALID – CA status missing for the recorded corrective action","")&amp;IF(AND(TRIM(U512)="Pass after CA",OR(OR(LEN(BA512)&lt;5,ISNUMBER(MATCH(BA512,L_Placeholder,0))),TRIM(AB512)&lt;&gt;"Closed")),"INVALID – corrective action not recorded/closed","")</f>
        <v/>
      </c>
      <c r="BC512" s="61" t="str">
        <f aca="false">" "&amp;TRIM(SUBSTITUTE(SUBSTITUTE(SUBSTITUTE(SUBSTITUTE(SUBSTITUTE(SUBSTITUTE(SUBSTITUTE(SUBSTITUTE(SUBSTITUTE(SUBSTITUTE(SUBSTITUTE(SUBSTITUTE(SUBSTITUTE(SUBSTITUTE(SUBSTITUTE(SUBSTITUTE(SUBSTITUTE(SUBSTITUTE(SUBSTITUTE(SUBSTITUTE(SUBSTITUTE(SUBSTITUTE(SUBSTITUTE(SUBSTITUTE(LOWER(V512&amp;""),CHAR(10)," "),CHAR(13)," "),CHAR(9)," "),CHAR(160)," "),"."," "),","," "),"-"," "),"/"," "),"("," "),")"," "),":"," "),";"," "),"_"," "),"–"," "),"?"," "),"!"," "),"*"," "),"["," "),"]"," "),"'"," "),"#"," "),"+"," "),"&amp;"," "),"\"," "))&amp;" "</f>
        <v>  </v>
      </c>
      <c r="BD512" s="61" t="str">
        <f aca="false">" "&amp;TRIM(SUBSTITUTE(SUBSTITUTE(SUBSTITUTE(SUBSTITUTE(SUBSTITUTE(SUBSTITUTE(SUBSTITUTE(SUBSTITUTE(SUBSTITUTE(SUBSTITUTE(SUBSTITUTE(SUBSTITUTE(SUBSTITUTE(SUBSTITUTE(SUBSTITUTE(SUBSTITUTE(SUBSTITUTE(SUBSTITUTE(SUBSTITUTE(SUBSTITUTE(SUBSTITUTE(SUBSTITUTE(SUBSTITUTE(SUBSTITUTE(LOWER(Z512&amp;""),CHAR(10)," "),CHAR(13)," "),CHAR(9)," "),CHAR(160)," "),"."," "),","," "),"-"," "),"/"," "),"("," "),")"," "),":"," "),";"," "),"_"," "),"–"," "),"?"," "),"!"," "),"*"," "),"["," "),"]"," "),"'"," "),"#"," "),"+"," "),"&amp;"," "),"\"," "))&amp;" "</f>
        <v>  </v>
      </c>
      <c r="BE512" s="61" t="str">
        <f aca="false">" "&amp;TRIM(SUBSTITUTE(SUBSTITUTE(SUBSTITUTE(SUBSTITUTE(SUBSTITUTE(SUBSTITUTE(SUBSTITUTE(SUBSTITUTE(SUBSTITUTE(SUBSTITUTE(SUBSTITUTE(SUBSTITUTE(SUBSTITUTE(SUBSTITUTE(SUBSTITUTE(SUBSTITUTE(SUBSTITUTE(SUBSTITUTE(SUBSTITUTE(SUBSTITUTE(SUBSTITUTE(SUBSTITUTE(SUBSTITUTE(SUBSTITUTE(LOWER(W512&amp;""),CHAR(10)," "),CHAR(13)," "),CHAR(9)," "),CHAR(160)," "),"."," "),","," "),"-"," "),"/"," "),"("," "),")"," "),":"," "),";"," "),"_"," "),"–"," "),"?"," "),"!"," "),"*"," "),"["," "),"]"," "),"'"," "),"#"," "),"+"," "),"&amp;"," "),"\"," "))&amp;" "</f>
        <v>  </v>
      </c>
      <c r="BF512" s="61" t="str">
        <f aca="false">" "&amp;TRIM(SUBSTITUTE(SUBSTITUTE(SUBSTITUTE(SUBSTITUTE(SUBSTITUTE(SUBSTITUTE(SUBSTITUTE(SUBSTITUTE(SUBSTITUTE(SUBSTITUTE(SUBSTITUTE(SUBSTITUTE(SUBSTITUTE(SUBSTITUTE(SUBSTITUTE(SUBSTITUTE(SUBSTITUTE(SUBSTITUTE(SUBSTITUTE(SUBSTITUTE(SUBSTITUTE(SUBSTITUTE(SUBSTITUTE(SUBSTITUTE(LOWER(AC512&amp;""),CHAR(10)," "),CHAR(13)," "),CHAR(9)," "),CHAR(160)," "),"."," "),","," "),"-"," "),"/"," "),"("," "),")"," "),":"," "),";"," "),"_"," "),"–"," "),"?"," "),"!"," "),"*"," "),"["," "),"]"," "),"'"," "),"#"," "),"+"," "),"&amp;"," "),"\"," "))&amp;" "</f>
        <v>  </v>
      </c>
      <c r="BG512" s="61" t="n">
        <f aca="false">IFERROR(IF(AND(TRIM(U512)="Pass",SUMPRODUCT((LEN(BC512)-LEN(SUBSTITUTE(BC512," "&amp;L_ResultBad&amp;" "," ")))/(LEN(L_ResultBad)+1))&gt;SUMPRODUCT((LEN(BC512)-LEN(SUBSTITUTE(BC512," "&amp;L_NegPhrase&amp;" "," ")))/(LEN(L_NegPhrase)+1))),1,0),0)</f>
        <v>0</v>
      </c>
      <c r="BH512" s="61" t="n">
        <f aca="false">IFERROR(IF(SUMPRODUCT((LEN(BC512)-LEN(SUBSTITUTE(BC512," "&amp;L_Pending&amp;" "," ")))/(LEN(L_Pending)+1))&gt;SUMPRODUCT((LEN(BC512)-LEN(SUBSTITUTE(BC512," "&amp;L_PendNeg&amp;" "," ")))/(LEN(L_PendNeg)+1))+SUMPRODUCT((LEN(BC512)-LEN(SUBSTITUTE(BC512," "&amp;L_PendPrep&amp;" "," ")))/(LEN(L_PendPrep)+1)),1,0),1)</f>
        <v>0</v>
      </c>
      <c r="BI512" s="61" t="n">
        <f aca="false">IFERROR(IF(SUMPRODUCT((LEN(BD512)-LEN(SUBSTITUTE(BD512," "&amp;L_PendStrict&amp;" "," ")))/(LEN(L_PendStrict)+1))&gt;SUMPRODUCT((LEN(BD512)-LEN(SUBSTITUTE(BD512," "&amp;L_PendNeg&amp;" "," ")))/(LEN(L_PendNeg)+1)),1,0),1)</f>
        <v>0</v>
      </c>
      <c r="BJ512" s="61" t="n">
        <f aca="false">IFERROR(IF(SUMPRODUCT((LEN(BE512)-LEN(SUBSTITUTE(BE512," "&amp;L_Pending&amp;" "," ")))/(LEN(L_Pending)+1))&gt;SUMPRODUCT((LEN(BE512)-LEN(SUBSTITUTE(BE512," "&amp;L_PendNeg&amp;" "," ")))/(LEN(L_PendNeg)+1))+SUMPRODUCT((LEN(BE512)-LEN(SUBSTITUTE(BE512," "&amp;L_PendPrep&amp;" "," ")))/(LEN(L_PendPrep)+1)),1,0),1)</f>
        <v>0</v>
      </c>
      <c r="BK512" s="61" t="n">
        <f aca="false">IFERROR(IF(SUMPRODUCT((LEN(BF512)-LEN(SUBSTITUTE(BF512," "&amp;L_PendStrict&amp;" "," ")))/(LEN(L_PendStrict)+1))&gt;SUMPRODUCT((LEN(BF512)-LEN(SUBSTITUTE(BF512," "&amp;L_PendNeg&amp;" "," ")))/(LEN(L_PendNeg)+1)),1,0),1)</f>
        <v>0</v>
      </c>
      <c r="BL512" s="61" t="n">
        <f aca="false">IF(ISNA(MATCH(TRIM(S512),L_EvidenceType,0)),0,BZ512)</f>
        <v>0</v>
      </c>
      <c r="BM512" s="61" t="str">
        <f aca="false">SUBSTITUTE(SUBSTITUTE(SUBSTITUTE(SUBSTITUTE(SUBSTITUTE(SUBSTITUTE(SUBSTITUTE(SUBSTITUTE(SUBSTITUTE(LOWER(Z512&amp;""),"1","0"),"2","0"),"3","0"),"4","0"),"5","0"),"6","0"),"7","0"),"8","0"),"9","0")</f>
        <v/>
      </c>
      <c r="BN512" s="61" t="str">
        <f aca="false">SUBSTITUTE(SUBSTITUTE(SUBSTITUTE(SUBSTITUTE(SUBSTITUTE(SUBSTITUTE(SUBSTITUTE(SUBSTITUTE(SUBSTITUTE(SUBSTITUTE(SUBSTITUTE(SUBSTITUTE(SUBSTITUTE(SUBSTITUTE(SUBSTITUTE(SUBSTITUTE(SUBSTITUTE(SUBSTITUTE(SUBSTITUTE(SUBSTITUTE(SUBSTITUTE(SUBSTITUTE(SUBSTITUTE(SUBSTITUTE(SUBSTITUTE(BM512,"b","a"),"c","a"),"d","a"),"e","a"),"f","a"),"g","a"),"h","a"),"i","a"),"j","a"),"k","a"),"l","a"),"m","a"),"n","a"),"o","a"),"p","a"),"q","a"),"r","a"),"s","a"),"t","a"),"u","a"),"v","a"),"w","a"),"x","a"),"y","a"),"z","a")</f>
        <v/>
      </c>
      <c r="BO512" s="61" t="str">
        <f aca="false">SUBSTITUTE(SUBSTITUTE(SUBSTITUTE(SUBSTITUTE(SUBSTITUTE(SUBSTITUTE(SUBSTITUTE(SUBSTITUTE(SUBSTITUTE(LOWER(W512&amp;""),"1","0"),"2","0"),"3","0"),"4","0"),"5","0"),"6","0"),"7","0"),"8","0"),"9","0")</f>
        <v/>
      </c>
      <c r="BP512" s="61" t="str">
        <f aca="false">SUBSTITUTE(SUBSTITUTE(SUBSTITUTE(SUBSTITUTE(SUBSTITUTE(SUBSTITUTE(SUBSTITUTE(SUBSTITUTE(SUBSTITUTE(SUBSTITUTE(SUBSTITUTE(SUBSTITUTE(SUBSTITUTE(SUBSTITUTE(SUBSTITUTE(SUBSTITUTE(SUBSTITUTE(SUBSTITUTE(SUBSTITUTE(SUBSTITUTE(SUBSTITUTE(SUBSTITUTE(SUBSTITUTE(SUBSTITUTE(SUBSTITUTE(BO512,"b","a"),"c","a"),"d","a"),"e","a"),"f","a"),"g","a"),"h","a"),"i","a"),"j","a"),"k","a"),"l","a"),"m","a"),"n","a"),"o","a"),"p","a"),"q","a"),"r","a"),"s","a"),"t","a"),"u","a"),"v","a"),"w","a"),"x","a"),"y","a"),"z","a")</f>
        <v/>
      </c>
      <c r="BQ512" s="61" t="n">
        <f aca="false">IFERROR(IF(AND(ISERROR(SEARCH(" mh"," "&amp;LOWER(W512))),ISNA(MATCH(LEFT(TRIM(BP512),255),{"0000a","000a","00a","0000aa","000aa","00aa","0aa","0000aaa","000aaa","00a00","0a00","0000-0000","00:00","a00","a0","00.00.0000","00/00/0000","00-00-0000","0000-00-00","0000/00/00","0000.00.00","00.00.00","00/00/00","00-00-00","0.00.0000","0/00/0000","0-00-0000"},0)),ISNA(MATCH(LEFT(TRIM(CA512),255),{"0000a","000a","00a","0000aa","000aa","00aa","0aa","0000aaa","000aaa","00a00","0a00","0000-0000","00:00","a00","a0","00.00.0000","00/00/0000","00-00-0000","0000-00-00","0000/00/00","0000.00.00","00.00.00","00/00/00","00-00-00","0.00.0000","0/00/0000","0-00-0000"},0)),LEN(CB512)&gt;=3,NOT(OR(SUBSTITUTE(CB512,"0","")="",AND(LEN(CB512)&gt;=4,CB512=REPT(LEFT(CB512),LEN(CB512))),ISNUMBER(MATCH(CB512,{"123","1234","12345","123456","1234567","12345678","0123","01234","012345","98765","987654","54321"},0)),AND(LEN(CB512)=8,LEFT(CB512,3)="202"))),OR(AND((LEN(CA512)-LEN(SUBSTITUTE(CA512,"a","")))&gt;=1,SUMPRODUCT(--ISNUMBER(SEARCH({"a0","a-0","a_0","a/0","a.0","a#0","0a","0-a","0_a","0/a"},BP512)))&gt;0),ISNUMBER(SEARCH("000000",BP512)))),1,0),0)</f>
        <v>0</v>
      </c>
      <c r="BR512" s="61" t="n">
        <f aca="false">IFERROR(LEN(SUBSTITUTE(CC512," ",""))-SUMPRODUCT((LEN(CC512)-LEN(SUBSTITUTE(CC512," "&amp;L_Role&amp;" "," ")))/(LEN(L_Role)+1)*LEN(L_Role)),0)</f>
        <v>0</v>
      </c>
      <c r="BS512" s="61" t="n">
        <f aca="false">IFERROR(LEN(SUBSTITUTE(CD512," ",""))-SUMPRODUCT((LEN(CD512)-LEN(SUBSTITUTE(CD512," "&amp;L_Role&amp;" "," ")))/(LEN(L_Role)+1)*LEN(L_Role)),0)</f>
        <v>0</v>
      </c>
      <c r="BT5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512,"revision",""),"version",""),"jan",""),"feb",""),"mar",""),"apr",""),"may",""),"jun",""),"jul",""),"aug",""),"sep",""),"oct",""),"nov",""),"dec",""),"utc",""),"gmt",""),"myt",""),"bst",""),"rev",""),"ver",""),"b","a"),"c","a"),"d","a"),"e","a"),"f","a"),"g","a"),"h","a"),"i","a"),"j","a"),"k","a"),"l","a"),"m","a"),"n","a"),"o","a"),"p","a"),"q","a"),"r","a"),"s","a"),"t","a"),"u","a"),"v","a"),"w","a"),"x","a"),"y","a"),"z","a")</f>
        <v/>
      </c>
      <c r="BU512" s="61" t="str">
        <f aca="false">SUBSTITUTE(SUBSTITUTE(SUBSTITUTE(SUBSTITUTE(SUBSTITUTE(SUBSTITUTE(SUBSTITUTE(SUBSTITUTE(SUBSTITUTE(SUBSTITUTE(LEFT(BM512,FIND("0",BM512&amp;"0")-1),"-",""),"_",""),"/",""),".",""),"#",""),"\\",""),":","")," ",""),"(",""),")","")</f>
        <v/>
      </c>
      <c r="BV512" s="61" t="n">
        <f aca="false">0</f>
        <v>0</v>
      </c>
      <c r="BW5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512&amp;""),"a",""),"b",""),"c",""),"d",""),"e",""),"f",""),"g",""),"h",""),"i",""),"j",""),"k",""),"l",""),"m",""),"n",""),"o",""),"p",""),"q",""),"r",""),"s",""),"t",""),"u",""),"v",""),"w",""),"x",""),"y",""),"z",""),"-",""),"_",""),"/",""),".",""),"#",""),"\\",""),":","")," ",""),"(",""),")","")</f>
        <v/>
      </c>
      <c r="BX512" s="61" t="str">
        <f aca="false">SUBSTITUTE(SUBSTITUTE(SUBSTITUTE(SUBSTITUTE(SUBSTITUTE(SUBSTITUTE(SUBSTITUTE(SUBSTITUTE(SUBSTITUTE(SUBSTITUTE(SUBSTITUTE(BM512,"0",""),"-",""),"_",""),"/",""),".",""),"#",""),"\\",""),":","")," ",""),"(",""),")","")</f>
        <v/>
      </c>
      <c r="BY512" s="62" t="n">
        <f aca="false">Q512-T7EarlyD*24/24</f>
        <v>46300.0486111111</v>
      </c>
      <c r="BZ512" s="61" t="n">
        <f aca="false">IFERROR(IF(IF(TRIM(S512)="Link / file path",AND(LEN(TRIM(Z512))&gt;=5,SUMPRODUCT(--ISNUMBER(SEARCH({"http","www.","\\",":\",".pdf",".jpg",".jpeg",".png",".heic",".xls",".doc",".msg",".eml",".ppt",".txt",".zip"},Z512)))&gt;0),AND(ISERROR(FIND(" ",TRIM(Z512))),NOT(OR(SUMPRODUCT(--ISNUMBER(FIND({",",";","&amp;","+"},Z512)))&gt;0,SUMPRODUCT(--ISNUMBER(SEARCH({"0/aa","0\\aa"},BN512)))&gt;0)),NOT(SUMPRODUCT(--ISNUMBER(SEARCH({"http","www.","\\",":\",".pdf",".jpg",".jpeg",".png",".heic",".xls",".doc",".msg",".eml",".ppt",".txt",".zip"},Z512)))&gt;0),NOT(LOWER(TRIM(Z512))=LOWER(Flights!$F$20)),ISNA(MATCH(BU512,{"mh","rev","revision","ver","version","v","r","a","b","seat","tray","row","gate","bay","stand","page","pg","item","line","no","cart","galley","flight","flt","table","box","bag","oven","etd","eta","std","sta","atd","ata","qty","pax","x","time","tel","ph","mob","day","wk","week","utc","gmt","myt","lt"},0)),NOT(OR(ISNUMBER(MATCH(LEFT(BN512,255),{"0000a","000a","00a","0000aa","000aa","00aa","0aa","0000aaa","000aaa","00a00","0a00","0000-0000","00:00","a00","a0","00.00.0000","00/00/0000","00-00-0000","0000-00-00","0000/00/00","0000.00.00","00.00.00","00/00/00","00-00-00","0.00.0000","0/00/0000","0-00-0000"},0)),ISNUMBER(MATCH(LEFT(BT512,255),{"0000a","000a","00a","0000aa","000aa","00aa","0aa","0000aaa","000aaa","00a00","0a00","0000-0000","00:00","a00","a0","00.00.0000","00/00/0000","00-00-0000","0000-00-00","0000/00/00","0000.00.00","00.00.00","00/00/00","00-00-00","0.00.0000","0/00/0000","0-00-0000"},0)))),NOT(OR(AND(BW512&lt;&gt;"",SUBSTITUTE(BW512,"0","")=""),AND(LEN(BW512)&gt;=4,BW512=REPT(LEFT(BW512),LEN(BW512))),ISNUMBER(MATCH(BW512,{"123","1234","12345","123456","1234567","12345678","0123","01234","012345","98765","987654","54321"},0)),ISNUMBER(MATCH(BX512,{"x","xx","xxx","xxxx","xxxxx","abc","abcd","nil","na","nan","test","tbc","tba","tbd","dummy","sample","example","eg","zz","zzz","none","null","xyz","qwe","asd","id","ref"},0)),AND(LEN(BW512)=8,BX512="",OR(LEFT(BW512,3)="202",ISNUMBER(MATCH(RIGHT(BW512,4),{"2025","2026","2027"},0)))))),OR(AND((LEN(BT512)-LEN(SUBSTITUTE(BT512,"a","")))&gt;=1,(LEN(BN512)-LEN(SUBSTITUTE(BN512,"0","")))&gt;=2,SUMPRODUCT(--ISNUMBER(SEARCH({"a0","a-0","a_0","a/0","a.0","a#0","0a","0-a","0_a","0/a"},BN512)))&gt;0),AND((LEN(BN512)-LEN(SUBSTITUTE(BN512,"a","")))=0,(LEN(BN512)-LEN(SUBSTITUTE(BN512,"0","")))&gt;=5)))),1,0),0)</f>
        <v>0</v>
      </c>
      <c r="CA5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512,"revision",""),"version",""),"jan",""),"feb",""),"mar",""),"apr",""),"may",""),"jun",""),"jul",""),"aug",""),"sep",""),"oct",""),"nov",""),"dec",""),"utc",""),"gmt",""),"myt",""),"bst",""),"rev",""),"ver",""),"b","a"),"c","a"),"d","a"),"e","a"),"f","a"),"g","a"),"h","a"),"i","a"),"j","a"),"k","a"),"l","a"),"m","a"),"n","a"),"o","a"),"p","a"),"q","a"),"r","a"),"s","a"),"t","a"),"u","a"),"v","a"),"w","a"),"x","a"),"y","a"),"z","a")</f>
        <v/>
      </c>
      <c r="CB5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512&amp;""),"a",""),"b",""),"c",""),"d",""),"e",""),"f",""),"g",""),"h",""),"i",""),"j",""),"k",""),"l",""),"m",""),"n",""),"o",""),"p",""),"q",""),"r",""),"s",""),"t",""),"u",""),"v",""),"w",""),"x",""),"y",""),"z",""),"-",""),"_",""),"/",""),".",""),"#",""),"\\",""),":","")," ",""),"(",""),")","")</f>
        <v/>
      </c>
      <c r="CC512" s="0" t="str">
        <f aca="false">" "&amp;TRIM(SUBSTITUTE(SUBSTITUTE(SUBSTITUTE(SUBSTITUTE(SUBSTITUTE(SUBSTITUTE(SUBSTITUTE(SUBSTITUTE(SUBSTITUTE(SUBSTITUTE(SUBSTITUTE(SUBSTITUTE(SUBSTITUTE(SUBSTITUTE(SUBSTITUTE(SUBSTITUTE(SUBSTITUTE(SUBSTITUTE(SUBSTITUTE(SUBSTITUTE(SUBSTITUTE(SUBSTITUTE(SUBSTITUTE(SUBSTITUTE(LOWER(T512&amp;""),CHAR(10)," "),CHAR(13)," "),CHAR(9)," "),CHAR(160)," "),"."," "),","," "),"-"," "),"/"," "),"("," "),")"," "),":"," "),";"," "),"_"," "),"–"," "),"?"," "),"!"," "),"*"," "),"["," "),"]"," "),"'"," "),"#"," "),"+"," "),"&amp;"," "),"\"," "))&amp;" "</f>
        <v>  </v>
      </c>
      <c r="CD512" s="0" t="str">
        <f aca="false">" "&amp;TRIM(SUBSTITUTE(SUBSTITUTE(SUBSTITUTE(SUBSTITUTE(SUBSTITUTE(SUBSTITUTE(SUBSTITUTE(SUBSTITUTE(SUBSTITUTE(SUBSTITUTE(SUBSTITUTE(SUBSTITUTE(SUBSTITUTE(SUBSTITUTE(SUBSTITUTE(SUBSTITUTE(SUBSTITUTE(SUBSTITUTE(SUBSTITUTE(SUBSTITUTE(SUBSTITUTE(SUBSTITUTE(SUBSTITUTE(SUBSTITUTE(LOWER(AE512&amp;""),CHAR(10)," "),CHAR(13)," "),CHAR(9)," "),CHAR(160)," "),"."," "),","," "),"-"," "),"/"," "),"("," "),")"," "),":"," "),";"," "),"_"," "),"–"," "),"?"," "),"!"," "),"*"," "),"["," "),"]"," "),"'"," "),"#"," "),"+"," "),"&amp;"," "),"\"," "))&amp;" "</f>
        <v>  </v>
      </c>
      <c r="CE512" s="68" t="n">
        <f aca="false">IFERROR(IF(AND(LEN(AU512)&gt;0,LEN(AU512)=LEN(AX512),OR(TRIM(MID(SUBSTITUTE(TRIM(CC512)," ",REPT(" ",60)),1,60))="",ISNUMBER(SEARCH(" "&amp;TRIM(MID(SUBSTITUTE(TRIM(CC512)," ",REPT(" ",60)),1,60))&amp;" ",CD512))),OR(TRIM(MID(SUBSTITUTE(TRIM(CC512)," ",REPT(" ",60)),61,60))="",ISNUMBER(SEARCH(" "&amp;TRIM(MID(SUBSTITUTE(TRIM(CC512)," ",REPT(" ",60)),61,60))&amp;" ",CD512))),OR(TRIM(MID(SUBSTITUTE(TRIM(CC512)," ",REPT(" ",60)),121,60))="",ISNUMBER(SEARCH(" "&amp;TRIM(MID(SUBSTITUTE(TRIM(CC512)," ",REPT(" ",60)),121,60))&amp;" ",CD512)))),1,0),0)</f>
        <v>0</v>
      </c>
      <c r="CG512" s="68" t="n">
        <f aca="false">IFERROR(LEN(SUBSTITUTE(BF512," ",""))-SUMPRODUCT((LEN(BF512)-LEN(SUBSTITUTE(BF512," "&amp;L_NAFiller&amp;" "," ")))/(LEN(L_NAFiller)+1)*LEN(L_NAFiller)),0)</f>
        <v>0</v>
      </c>
    </row>
    <row r="513" customFormat="false" ht="39.75" hidden="false" customHeight="true" outlineLevel="0" collapsed="false">
      <c r="A513" s="57" t="s">
        <v>1168</v>
      </c>
      <c r="B513" s="57" t="s">
        <v>280</v>
      </c>
      <c r="C513" s="57" t="str">
        <f aca="false">Flights!$F$20</f>
        <v>MH0072</v>
      </c>
      <c r="D513" s="58" t="n">
        <f aca="false">Flights!$D$20</f>
        <v>46321</v>
      </c>
      <c r="E513" s="57" t="str">
        <f aca="false">Flights!$G$20&amp;"-"&amp;Flights!$H$20</f>
        <v>KUL-HKG</v>
      </c>
      <c r="F513" s="57" t="str">
        <f aca="false">Flights!$K$20</f>
        <v>EY</v>
      </c>
      <c r="G513" s="57" t="s">
        <v>81</v>
      </c>
      <c r="H513" s="57" t="s">
        <v>378</v>
      </c>
      <c r="I513" s="57" t="s">
        <v>405</v>
      </c>
      <c r="J513" s="57" t="s">
        <v>409</v>
      </c>
      <c r="K513" s="67" t="s">
        <v>407</v>
      </c>
      <c r="L513" s="67" t="s">
        <v>382</v>
      </c>
      <c r="M513" s="67"/>
      <c r="N513" s="67" t="s">
        <v>383</v>
      </c>
      <c r="O513" s="67"/>
      <c r="P513" s="57" t="s">
        <v>187</v>
      </c>
      <c r="Q513" s="59" t="n">
        <f aca="false">ROUND((Flights!$AC$20)*1440,0)/1440</f>
        <v>46314.0486111111</v>
      </c>
      <c r="R513" s="59" t="n">
        <f aca="false">Q513+(IF(AND(INDEX(TZ_DSTS,MATCH(P513,TZ_STN,0))&lt;&gt;"",Q513&gt;=INDEX(TZ_DSTS,MATCH(P513,TZ_STN,0)),Q513&lt;INDEX(TZ_DSTE,MATCH(P513,TZ_STN,0))),INDEX(TZ_DST,MATCH(P513,TZ_STN,0)),INDEX(TZ_STD,MATCH(P513,TZ_STN,0))))/24</f>
        <v>46314.3819444444</v>
      </c>
      <c r="S513" s="60"/>
      <c r="T513" s="60"/>
      <c r="U513" s="60"/>
      <c r="V513" s="60"/>
      <c r="W513" s="61"/>
      <c r="X513" s="60"/>
      <c r="Y513" s="60"/>
      <c r="Z513" s="60"/>
      <c r="AA513" s="60"/>
      <c r="AB513" s="60"/>
      <c r="AC513" s="60"/>
      <c r="AD513" s="66"/>
      <c r="AE513" s="60"/>
      <c r="AF513" s="61" t="str">
        <f aca="false">IF(AND(ISNUMBER(X513),ISNUMBER(Y513)),Y513-X513,"")</f>
        <v/>
      </c>
      <c r="AG513" s="62" t="str">
        <f aca="false">IF(ISNUMBER(AD513),AD513-(IF(AND(INDEX(TZ_DSTS,MATCH(P513,TZ_STN,0))&lt;&gt;"",(AD513-INDEX(TZ_STD,MATCH(P513,TZ_STN,0))/24)&gt;=INDEX(TZ_DSTS,MATCH(P513,TZ_STN,0)),(AD513-INDEX(TZ_STD,MATCH(P513,TZ_STN,0))/24)&lt;INDEX(TZ_DSTE,MATCH(P513,TZ_STN,0))),INDEX(TZ_DST,MATCH(P513,TZ_STN,0)),INDEX(TZ_STD,MATCH(P513,TZ_STN,0))))/24,"")</f>
        <v/>
      </c>
      <c r="AH513" s="65" t="str">
        <f aca="false">IFERROR(IF(N513="N/A – rule",IF(OR(TRIM(U513)="",TRIM(U513)="N/A",TRIM(U513)="Not started"),"N/A – RULE","INVALID – this check does not apply to this aircraft: clear the status (or correct the fleet on Flights)"),IF(TRIM(U513)="N/A",IF(AT513=0,"INVALID – N/A not permitted for this check",IF(AND(TRIM(AB513)&lt;&gt;"",TRIM(AB513)&lt;&gt;"Closed"),"INVALID – corrective action still open",IF(AND(NOT(OR(LEN(AZ513)&lt;15,ISNUMBER(MATCH(AZ513,L_Placeholder,0)))),BK513=0,CG513&gt;=8,NOT(OR(LEN(AU513)&lt;2,ISNUMBER(MATCH(AU513,L_Placeholder,0)))),BR513&gt;=3,NOT(OR(LEN(AX513)&lt;2,ISNUMBER(MATCH(AX513,L_Placeholder,0)))),BS513&gt;=3,TRIM(AE513)&lt;&gt;TRIM(T513),AX513&lt;&gt;AU513,CE513=0),"N/A – JUSTIFIED","INVALID – N/A needs a real, settled reason (not 'not applicable' / 'as above' / TBC), a named PIC and a different named verifier"))),IF(OR(TRIM(U513)="Pass",TRIM(U513)="Pass after CA"),IF(NOT(ISNUMBER(AD513)),"INVALID – completion time missing",IF(OR(OR(LEN(AU513)&lt;2,ISNUMBER(MATCH(AU513,L_Placeholder,0))),BR513&lt;3),"INVALID – PIC missing or not a named person (a role such as QA / CSM is not a name)",IF(OR(LEN(AV513)&lt;2,ISNUMBER(MATCH(AV513,L_Placeholder,0))),"INVALID – result / assessment missing",IF(OR(OR(LEN(AW513)&lt;3,ISNUMBER(MATCH(AW513,L_Placeholder,0))),SUMPRODUCT(--ISNUMBER(SEARCH(" "&amp;L_EvidencePhrase&amp;" ",BD513)))&gt;0,BI513=1),"INVALID – evidence missing, placeholder or not yet on file",IF(ISNA(MATCH(TRIM(S513),L_EvidenceType,0)),"INVALID – choose the evidence type from the list (column S)",IF(BL513=0,"INVALID – evidence ID must be the record's own ID only (e.g. SF-2210, IMG_2231, 1045521); a link / file name needs type 'Link / file path'",IF(OR(OR(LEN(AX513)&lt;2,ISNUMBER(MATCH(AX513,L_Placeholder,0))),BS513&lt;3),"INVALID – verifier missing or not a named person (a role such as QA / CSM is not a name)",IF(OR(AX513=AU513,CE513=1,AND(LEN(AU513)&gt;=4,ISNUMBER(SEARCH(AU513,AX513))),AND(LEN(AX513)&gt;=4,ISNUMBER(SEARCH(AX513,AU513)))),"INVALID – verifier must be a different, named person (not the PIC or a role)",IF(BH513=1,"INVALID – result not yet available (awaiting / TBC)",IF(BG513=1,"INVALID – result describes a problem: record Fail, then Pass after CA (or reword if it is not a problem)",IF(BV513=1,"INVALID – wording says not on board: an on-board confirmation needs the item loaded",IF(AND(AQ513=1,OR(OR(LEN(AY513)&lt;3,ISNUMBER(MATCH(AY513,L_Placeholder,0))),BJ513=1,BQ513=0)),"INVALID – batch ID missing, placeholder or not an ID (e.g. PASB-261008-BC-017)",IF(AND(AR513=1,OR(NOT(ISNUMBER(X513)),NOT(ISNUMBER(Y513)))),"INVALID – expected/actual qty missing",IF(AND(AR513=1,OR(X513&lt;=0,Y513&lt;0)),"INVALID – expected qty must be above 0 and actual not negative",IF(BB513&lt;&gt;"",BB513,IF(AND(AS513=1,Documents!$J$20&lt;&gt;"ON FILE"),"INVALID – GLD not on file (Documents sheet)",IF(AND(AS513=2,Documents!$O$20&lt;&gt;"ON FILE"),"INVALID – menu checklist not on file (Documents sheet)",IF(AND(AS513=3,NOT(ISNUMBER(Flights!$AX$20))),"INVALID – enter carrying flight KUL departure (Flights AX)",IF(AND(AS513=3,OR(Flights!$AZ$20&gt;Flights!$AA$20,Flights!$AX$20&lt;Flights!$AA$20-3)),"INVALID – carrying flight (Flights AX) cannot arrive before this leg's STD, or is over 3 days early",IF(AG513&gt;AsOfUTC,"INVALID – completion time is in the future",IF(AND(ISNUMBER(BY513),AG513&lt;BY513),IF(H513="Physical uplift","INVALID – before uplift window (cannot confirm loading)","INVALID – before valid window"),IF(AG513&gt;Flights!$AA$20,"INVALID – completed after departure (cannot establish readiness)",IF(AND(H513="Preparation",AG513&gt;=IF(ISNUMBER(Flights!$BA$20),MIN(Flights!$BA$20,Flights!$AA$20),Flights!$AA$20)),"INVALID – completed after loading / departure (cannot establish readiness)",IF(AND(H513="Physical uplift",AG513&gt;Q513),"INVALID – recorded after the loading flight departed",IF(AG513&gt;Q513,"COMPLETE – LATE","COMPLETE"))))))))))))))))))))))))),IF(TRIM(U513)="Fail","FAIL – DISCREPANCY",IF(AND(TRIM(U513)&lt;&gt;"",TRIM(U513)&lt;&gt;"Not started",TRIM(U513)&lt;&gt;"In progress"),"INVALID – unrecognised status (use the list)",IF(AsOfUTC&gt;Q513,"OVERDUE",IF(N513="Clarification required","OPEN – CLARIFICATION","OPEN"))))))),"INVALID – error value in an input cell")</f>
        <v>OPEN</v>
      </c>
      <c r="AI513" s="61" t="n">
        <f aca="false">IF(OR(AH513="N/A – RULE",AH513="N/A – JUSTIFIED"),0,1)</f>
        <v>1</v>
      </c>
      <c r="AJ513" s="61" t="n">
        <f aca="false">IF(LEFT(AH513,8)="COMPLETE",1,0)</f>
        <v>0</v>
      </c>
      <c r="AK513" s="61" t="n">
        <f aca="false">IF(AND(AI513=1,AJ513=0,AsOfUTC&gt;Q513),1,0)</f>
        <v>0</v>
      </c>
      <c r="AL513" s="61" t="n">
        <f aca="false">IFERROR(IF(AND(AI513=1,OR(TRIM(U513)="Fail",AND(TRIM(AB513)&lt;&gt;"",TRIM(AB513)&lt;&gt;"Closed"),AND(ISNUMBER(AF513),AF513&lt;&gt;0,TRIM(U513)&lt;&gt;"Pass after CA"))),1,0),1)</f>
        <v>0</v>
      </c>
      <c r="AM513" s="61" t="n">
        <f aca="false">IF(LEFT(AH513,7)="INVALID",1,0)</f>
        <v>0</v>
      </c>
      <c r="AN513" s="61" t="n">
        <f aca="false">IF(AND(N513="Clarification required",AI513=1,AJ513=0),1,0)</f>
        <v>0</v>
      </c>
      <c r="AO513" s="61" t="str">
        <f aca="false">IF(AK513=1,SUM(AK$5:AK513),"")</f>
        <v/>
      </c>
      <c r="AP513" s="61" t="str">
        <f aca="false">IF(AL513=1,SUM(AL$5:AL513),"")</f>
        <v/>
      </c>
      <c r="AQ513" s="61" t="n">
        <v>0</v>
      </c>
      <c r="AR513" s="61" t="n">
        <v>0</v>
      </c>
      <c r="AS513" s="61" t="n">
        <v>2</v>
      </c>
      <c r="AT513" s="61" t="n">
        <v>0</v>
      </c>
      <c r="AU513" s="61" t="str">
        <f aca="false">SUBSTITUTE(SUBSTITUTE(SUBSTITUTE(SUBSTITUTE(SUBSTITUTE(SUBSTITUTE(SUBSTITUTE(SUBSTITUTE(SUBSTITUTE(SUBSTITUTE(SUBSTITUTE(SUBSTITUTE(SUBSTITUTE(SUBSTITUTE(SUBSTITUTE(SUBSTITUTE(LOWER(T513&amp;""),CHAR(10),""),CHAR(13),""),CHAR(9),""),CHAR(160),"")," ",""),".",""),"-",""),"/",""),"?",""),"_",""),",",""),"[",""),"]",""),"(",""),")",""),"*","")</f>
        <v/>
      </c>
      <c r="AV513" s="61" t="str">
        <f aca="false">SUBSTITUTE(SUBSTITUTE(SUBSTITUTE(SUBSTITUTE(SUBSTITUTE(SUBSTITUTE(SUBSTITUTE(SUBSTITUTE(SUBSTITUTE(SUBSTITUTE(SUBSTITUTE(SUBSTITUTE(SUBSTITUTE(SUBSTITUTE(SUBSTITUTE(SUBSTITUTE(LOWER(V513&amp;""),CHAR(10),""),CHAR(13),""),CHAR(9),""),CHAR(160),"")," ",""),".",""),"-",""),"/",""),"?",""),"_",""),",",""),"[",""),"]",""),"(",""),")",""),"*","")</f>
        <v/>
      </c>
      <c r="AW513" s="61" t="str">
        <f aca="false">SUBSTITUTE(SUBSTITUTE(SUBSTITUTE(SUBSTITUTE(SUBSTITUTE(SUBSTITUTE(SUBSTITUTE(SUBSTITUTE(SUBSTITUTE(SUBSTITUTE(SUBSTITUTE(SUBSTITUTE(SUBSTITUTE(SUBSTITUTE(SUBSTITUTE(SUBSTITUTE(LOWER(Z513&amp;""),CHAR(10),""),CHAR(13),""),CHAR(9),""),CHAR(160),"")," ",""),".",""),"-",""),"/",""),"?",""),"_",""),",",""),"[",""),"]",""),"(",""),")",""),"*","")</f>
        <v/>
      </c>
      <c r="AX513" s="61" t="str">
        <f aca="false">SUBSTITUTE(SUBSTITUTE(SUBSTITUTE(SUBSTITUTE(SUBSTITUTE(SUBSTITUTE(SUBSTITUTE(SUBSTITUTE(SUBSTITUTE(SUBSTITUTE(SUBSTITUTE(SUBSTITUTE(SUBSTITUTE(SUBSTITUTE(SUBSTITUTE(SUBSTITUTE(LOWER(AE513&amp;""),CHAR(10),""),CHAR(13),""),CHAR(9),""),CHAR(160),"")," ",""),".",""),"-",""),"/",""),"?",""),"_",""),",",""),"[",""),"]",""),"(",""),")",""),"*","")</f>
        <v/>
      </c>
      <c r="AY513" s="61" t="str">
        <f aca="false">SUBSTITUTE(SUBSTITUTE(SUBSTITUTE(SUBSTITUTE(SUBSTITUTE(SUBSTITUTE(SUBSTITUTE(SUBSTITUTE(SUBSTITUTE(SUBSTITUTE(SUBSTITUTE(SUBSTITUTE(SUBSTITUTE(SUBSTITUTE(SUBSTITUTE(SUBSTITUTE(LOWER(W513&amp;""),CHAR(10),""),CHAR(13),""),CHAR(9),""),CHAR(160),"")," ",""),".",""),"-",""),"/",""),"?",""),"_",""),",",""),"[",""),"]",""),"(",""),")",""),"*","")</f>
        <v/>
      </c>
      <c r="AZ513" s="61" t="str">
        <f aca="false">SUBSTITUTE(SUBSTITUTE(SUBSTITUTE(SUBSTITUTE(SUBSTITUTE(SUBSTITUTE(SUBSTITUTE(SUBSTITUTE(SUBSTITUTE(SUBSTITUTE(SUBSTITUTE(SUBSTITUTE(SUBSTITUTE(SUBSTITUTE(SUBSTITUTE(SUBSTITUTE(LOWER(AC513&amp;""),CHAR(10),""),CHAR(13),""),CHAR(9),""),CHAR(160),"")," ",""),".",""),"-",""),"/",""),"?",""),"_",""),",",""),"[",""),"]",""),"(",""),")",""),"*","")</f>
        <v/>
      </c>
      <c r="BA513" s="61" t="str">
        <f aca="false">SUBSTITUTE(SUBSTITUTE(SUBSTITUTE(SUBSTITUTE(SUBSTITUTE(SUBSTITUTE(SUBSTITUTE(SUBSTITUTE(SUBSTITUTE(SUBSTITUTE(SUBSTITUTE(SUBSTITUTE(SUBSTITUTE(SUBSTITUTE(SUBSTITUTE(SUBSTITUTE(LOWER(AA513&amp;""),CHAR(10),""),CHAR(13),""),CHAR(9),""),CHAR(160),"")," ",""),".",""),"-",""),"/",""),"?",""),"_",""),",",""),"[",""),"]",""),"(",""),")",""),"*","")</f>
        <v/>
      </c>
      <c r="BB513" s="61" t="str">
        <f aca="false">IF(AND(TRIM(U513)="Pass",ISNUMBER(AF513)),IF(AF513&lt;&gt;0,"INVALID – qty variance: use Fail or Pass after CA",""),"")&amp;IF(AND(TRIM(U513)="Pass after CA",ISNUMBER(AF513)),IF(AF513&lt;&gt;0,"INVALID – after the corrective action the actual qty must equal expected (update Actual)",""),"")&amp;IF(AND(TRIM(U513)="Pass",TRIM(AB513)&lt;&gt;"",TRIM(AB513)&lt;&gt;"Closed"),"INVALID – corrective action not closed: use Fail, then Pass after CA","")&amp;IF(AND(LEN(BA513)&gt;=2,ISNA(MATCH(LEFT(BA513,255),L_Placeholder,0)),TRIM(AB513)=""),"INVALID – CA status missing for the recorded corrective action","")&amp;IF(AND(TRIM(U513)="Pass after CA",OR(OR(LEN(BA513)&lt;5,ISNUMBER(MATCH(BA513,L_Placeholder,0))),TRIM(AB513)&lt;&gt;"Closed")),"INVALID – corrective action not recorded/closed","")</f>
        <v/>
      </c>
      <c r="BC513" s="61" t="str">
        <f aca="false">" "&amp;TRIM(SUBSTITUTE(SUBSTITUTE(SUBSTITUTE(SUBSTITUTE(SUBSTITUTE(SUBSTITUTE(SUBSTITUTE(SUBSTITUTE(SUBSTITUTE(SUBSTITUTE(SUBSTITUTE(SUBSTITUTE(SUBSTITUTE(SUBSTITUTE(SUBSTITUTE(SUBSTITUTE(SUBSTITUTE(SUBSTITUTE(SUBSTITUTE(SUBSTITUTE(SUBSTITUTE(SUBSTITUTE(SUBSTITUTE(SUBSTITUTE(LOWER(V513&amp;""),CHAR(10)," "),CHAR(13)," "),CHAR(9)," "),CHAR(160)," "),"."," "),","," "),"-"," "),"/"," "),"("," "),")"," "),":"," "),";"," "),"_"," "),"–"," "),"?"," "),"!"," "),"*"," "),"["," "),"]"," "),"'"," "),"#"," "),"+"," "),"&amp;"," "),"\"," "))&amp;" "</f>
        <v>  </v>
      </c>
      <c r="BD513" s="61" t="str">
        <f aca="false">" "&amp;TRIM(SUBSTITUTE(SUBSTITUTE(SUBSTITUTE(SUBSTITUTE(SUBSTITUTE(SUBSTITUTE(SUBSTITUTE(SUBSTITUTE(SUBSTITUTE(SUBSTITUTE(SUBSTITUTE(SUBSTITUTE(SUBSTITUTE(SUBSTITUTE(SUBSTITUTE(SUBSTITUTE(SUBSTITUTE(SUBSTITUTE(SUBSTITUTE(SUBSTITUTE(SUBSTITUTE(SUBSTITUTE(SUBSTITUTE(SUBSTITUTE(LOWER(Z513&amp;""),CHAR(10)," "),CHAR(13)," "),CHAR(9)," "),CHAR(160)," "),"."," "),","," "),"-"," "),"/"," "),"("," "),")"," "),":"," "),";"," "),"_"," "),"–"," "),"?"," "),"!"," "),"*"," "),"["," "),"]"," "),"'"," "),"#"," "),"+"," "),"&amp;"," "),"\"," "))&amp;" "</f>
        <v>  </v>
      </c>
      <c r="BE513" s="61" t="str">
        <f aca="false">" "&amp;TRIM(SUBSTITUTE(SUBSTITUTE(SUBSTITUTE(SUBSTITUTE(SUBSTITUTE(SUBSTITUTE(SUBSTITUTE(SUBSTITUTE(SUBSTITUTE(SUBSTITUTE(SUBSTITUTE(SUBSTITUTE(SUBSTITUTE(SUBSTITUTE(SUBSTITUTE(SUBSTITUTE(SUBSTITUTE(SUBSTITUTE(SUBSTITUTE(SUBSTITUTE(SUBSTITUTE(SUBSTITUTE(SUBSTITUTE(SUBSTITUTE(LOWER(W513&amp;""),CHAR(10)," "),CHAR(13)," "),CHAR(9)," "),CHAR(160)," "),"."," "),","," "),"-"," "),"/"," "),"("," "),")"," "),":"," "),";"," "),"_"," "),"–"," "),"?"," "),"!"," "),"*"," "),"["," "),"]"," "),"'"," "),"#"," "),"+"," "),"&amp;"," "),"\"," "))&amp;" "</f>
        <v>  </v>
      </c>
      <c r="BF513" s="61" t="str">
        <f aca="false">" "&amp;TRIM(SUBSTITUTE(SUBSTITUTE(SUBSTITUTE(SUBSTITUTE(SUBSTITUTE(SUBSTITUTE(SUBSTITUTE(SUBSTITUTE(SUBSTITUTE(SUBSTITUTE(SUBSTITUTE(SUBSTITUTE(SUBSTITUTE(SUBSTITUTE(SUBSTITUTE(SUBSTITUTE(SUBSTITUTE(SUBSTITUTE(SUBSTITUTE(SUBSTITUTE(SUBSTITUTE(SUBSTITUTE(SUBSTITUTE(SUBSTITUTE(LOWER(AC513&amp;""),CHAR(10)," "),CHAR(13)," "),CHAR(9)," "),CHAR(160)," "),"."," "),","," "),"-"," "),"/"," "),"("," "),")"," "),":"," "),";"," "),"_"," "),"–"," "),"?"," "),"!"," "),"*"," "),"["," "),"]"," "),"'"," "),"#"," "),"+"," "),"&amp;"," "),"\"," "))&amp;" "</f>
        <v>  </v>
      </c>
      <c r="BG513" s="61" t="n">
        <f aca="false">IFERROR(IF(AND(TRIM(U513)="Pass",SUMPRODUCT((LEN(BC513)-LEN(SUBSTITUTE(BC513," "&amp;L_ResultBad&amp;" "," ")))/(LEN(L_ResultBad)+1))&gt;SUMPRODUCT((LEN(BC513)-LEN(SUBSTITUTE(BC513," "&amp;L_NegPhrase&amp;" "," ")))/(LEN(L_NegPhrase)+1))),1,0),0)</f>
        <v>0</v>
      </c>
      <c r="BH513" s="61" t="n">
        <f aca="false">IFERROR(IF(SUMPRODUCT((LEN(BC513)-LEN(SUBSTITUTE(BC513," "&amp;L_Pending&amp;" "," ")))/(LEN(L_Pending)+1))&gt;SUMPRODUCT((LEN(BC513)-LEN(SUBSTITUTE(BC513," "&amp;L_PendNeg&amp;" "," ")))/(LEN(L_PendNeg)+1))+SUMPRODUCT((LEN(BC513)-LEN(SUBSTITUTE(BC513," "&amp;L_PendPrep&amp;" "," ")))/(LEN(L_PendPrep)+1)),1,0),1)</f>
        <v>0</v>
      </c>
      <c r="BI513" s="61" t="n">
        <f aca="false">IFERROR(IF(SUMPRODUCT((LEN(BD513)-LEN(SUBSTITUTE(BD513," "&amp;L_PendStrict&amp;" "," ")))/(LEN(L_PendStrict)+1))&gt;SUMPRODUCT((LEN(BD513)-LEN(SUBSTITUTE(BD513," "&amp;L_PendNeg&amp;" "," ")))/(LEN(L_PendNeg)+1)),1,0),1)</f>
        <v>0</v>
      </c>
      <c r="BJ513" s="61" t="n">
        <f aca="false">IFERROR(IF(SUMPRODUCT((LEN(BE513)-LEN(SUBSTITUTE(BE513," "&amp;L_Pending&amp;" "," ")))/(LEN(L_Pending)+1))&gt;SUMPRODUCT((LEN(BE513)-LEN(SUBSTITUTE(BE513," "&amp;L_PendNeg&amp;" "," ")))/(LEN(L_PendNeg)+1))+SUMPRODUCT((LEN(BE513)-LEN(SUBSTITUTE(BE513," "&amp;L_PendPrep&amp;" "," ")))/(LEN(L_PendPrep)+1)),1,0),1)</f>
        <v>0</v>
      </c>
      <c r="BK513" s="61" t="n">
        <f aca="false">IFERROR(IF(SUMPRODUCT((LEN(BF513)-LEN(SUBSTITUTE(BF513," "&amp;L_PendStrict&amp;" "," ")))/(LEN(L_PendStrict)+1))&gt;SUMPRODUCT((LEN(BF513)-LEN(SUBSTITUTE(BF513," "&amp;L_PendNeg&amp;" "," ")))/(LEN(L_PendNeg)+1)),1,0),1)</f>
        <v>0</v>
      </c>
      <c r="BL513" s="61" t="n">
        <f aca="false">IF(ISNA(MATCH(TRIM(S513),L_EvidenceType,0)),0,BZ513)</f>
        <v>0</v>
      </c>
      <c r="BM513" s="61" t="str">
        <f aca="false">SUBSTITUTE(SUBSTITUTE(SUBSTITUTE(SUBSTITUTE(SUBSTITUTE(SUBSTITUTE(SUBSTITUTE(SUBSTITUTE(SUBSTITUTE(LOWER(Z513&amp;""),"1","0"),"2","0"),"3","0"),"4","0"),"5","0"),"6","0"),"7","0"),"8","0"),"9","0")</f>
        <v/>
      </c>
      <c r="BN513" s="61" t="str">
        <f aca="false">SUBSTITUTE(SUBSTITUTE(SUBSTITUTE(SUBSTITUTE(SUBSTITUTE(SUBSTITUTE(SUBSTITUTE(SUBSTITUTE(SUBSTITUTE(SUBSTITUTE(SUBSTITUTE(SUBSTITUTE(SUBSTITUTE(SUBSTITUTE(SUBSTITUTE(SUBSTITUTE(SUBSTITUTE(SUBSTITUTE(SUBSTITUTE(SUBSTITUTE(SUBSTITUTE(SUBSTITUTE(SUBSTITUTE(SUBSTITUTE(SUBSTITUTE(BM513,"b","a"),"c","a"),"d","a"),"e","a"),"f","a"),"g","a"),"h","a"),"i","a"),"j","a"),"k","a"),"l","a"),"m","a"),"n","a"),"o","a"),"p","a"),"q","a"),"r","a"),"s","a"),"t","a"),"u","a"),"v","a"),"w","a"),"x","a"),"y","a"),"z","a")</f>
        <v/>
      </c>
      <c r="BO513" s="61" t="str">
        <f aca="false">SUBSTITUTE(SUBSTITUTE(SUBSTITUTE(SUBSTITUTE(SUBSTITUTE(SUBSTITUTE(SUBSTITUTE(SUBSTITUTE(SUBSTITUTE(LOWER(W513&amp;""),"1","0"),"2","0"),"3","0"),"4","0"),"5","0"),"6","0"),"7","0"),"8","0"),"9","0")</f>
        <v/>
      </c>
      <c r="BP513" s="61" t="str">
        <f aca="false">SUBSTITUTE(SUBSTITUTE(SUBSTITUTE(SUBSTITUTE(SUBSTITUTE(SUBSTITUTE(SUBSTITUTE(SUBSTITUTE(SUBSTITUTE(SUBSTITUTE(SUBSTITUTE(SUBSTITUTE(SUBSTITUTE(SUBSTITUTE(SUBSTITUTE(SUBSTITUTE(SUBSTITUTE(SUBSTITUTE(SUBSTITUTE(SUBSTITUTE(SUBSTITUTE(SUBSTITUTE(SUBSTITUTE(SUBSTITUTE(SUBSTITUTE(BO513,"b","a"),"c","a"),"d","a"),"e","a"),"f","a"),"g","a"),"h","a"),"i","a"),"j","a"),"k","a"),"l","a"),"m","a"),"n","a"),"o","a"),"p","a"),"q","a"),"r","a"),"s","a"),"t","a"),"u","a"),"v","a"),"w","a"),"x","a"),"y","a"),"z","a")</f>
        <v/>
      </c>
      <c r="BQ513" s="61" t="n">
        <f aca="false">IFERROR(IF(AND(ISERROR(SEARCH(" mh"," "&amp;LOWER(W513))),ISNA(MATCH(LEFT(TRIM(BP513),255),{"0000a","000a","00a","0000aa","000aa","00aa","0aa","0000aaa","000aaa","00a00","0a00","0000-0000","00:00","a00","a0","00.00.0000","00/00/0000","00-00-0000","0000-00-00","0000/00/00","0000.00.00","00.00.00","00/00/00","00-00-00","0.00.0000","0/00/0000","0-00-0000"},0)),ISNA(MATCH(LEFT(TRIM(CA513),255),{"0000a","000a","00a","0000aa","000aa","00aa","0aa","0000aaa","000aaa","00a00","0a00","0000-0000","00:00","a00","a0","00.00.0000","00/00/0000","00-00-0000","0000-00-00","0000/00/00","0000.00.00","00.00.00","00/00/00","00-00-00","0.00.0000","0/00/0000","0-00-0000"},0)),LEN(CB513)&gt;=3,NOT(OR(SUBSTITUTE(CB513,"0","")="",AND(LEN(CB513)&gt;=4,CB513=REPT(LEFT(CB513),LEN(CB513))),ISNUMBER(MATCH(CB513,{"123","1234","12345","123456","1234567","12345678","0123","01234","012345","98765","987654","54321"},0)),AND(LEN(CB513)=8,LEFT(CB513,3)="202"))),OR(AND((LEN(CA513)-LEN(SUBSTITUTE(CA513,"a","")))&gt;=1,SUMPRODUCT(--ISNUMBER(SEARCH({"a0","a-0","a_0","a/0","a.0","a#0","0a","0-a","0_a","0/a"},BP513)))&gt;0),ISNUMBER(SEARCH("000000",BP513)))),1,0),0)</f>
        <v>0</v>
      </c>
      <c r="BR513" s="61" t="n">
        <f aca="false">IFERROR(LEN(SUBSTITUTE(CC513," ",""))-SUMPRODUCT((LEN(CC513)-LEN(SUBSTITUTE(CC513," "&amp;L_Role&amp;" "," ")))/(LEN(L_Role)+1)*LEN(L_Role)),0)</f>
        <v>0</v>
      </c>
      <c r="BS513" s="61" t="n">
        <f aca="false">IFERROR(LEN(SUBSTITUTE(CD513," ",""))-SUMPRODUCT((LEN(CD513)-LEN(SUBSTITUTE(CD513," "&amp;L_Role&amp;" "," ")))/(LEN(L_Role)+1)*LEN(L_Role)),0)</f>
        <v>0</v>
      </c>
      <c r="BT5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513,"revision",""),"version",""),"jan",""),"feb",""),"mar",""),"apr",""),"may",""),"jun",""),"jul",""),"aug",""),"sep",""),"oct",""),"nov",""),"dec",""),"utc",""),"gmt",""),"myt",""),"bst",""),"rev",""),"ver",""),"b","a"),"c","a"),"d","a"),"e","a"),"f","a"),"g","a"),"h","a"),"i","a"),"j","a"),"k","a"),"l","a"),"m","a"),"n","a"),"o","a"),"p","a"),"q","a"),"r","a"),"s","a"),"t","a"),"u","a"),"v","a"),"w","a"),"x","a"),"y","a"),"z","a")</f>
        <v/>
      </c>
      <c r="BU513" s="61" t="str">
        <f aca="false">SUBSTITUTE(SUBSTITUTE(SUBSTITUTE(SUBSTITUTE(SUBSTITUTE(SUBSTITUTE(SUBSTITUTE(SUBSTITUTE(SUBSTITUTE(SUBSTITUTE(LEFT(BM513,FIND("0",BM513&amp;"0")-1),"-",""),"_",""),"/",""),".",""),"#",""),"\\",""),":","")," ",""),"(",""),")","")</f>
        <v/>
      </c>
      <c r="BV513" s="61" t="n">
        <f aca="false">0</f>
        <v>0</v>
      </c>
      <c r="BW5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513&amp;""),"a",""),"b",""),"c",""),"d",""),"e",""),"f",""),"g",""),"h",""),"i",""),"j",""),"k",""),"l",""),"m",""),"n",""),"o",""),"p",""),"q",""),"r",""),"s",""),"t",""),"u",""),"v",""),"w",""),"x",""),"y",""),"z",""),"-",""),"_",""),"/",""),".",""),"#",""),"\\",""),":","")," ",""),"(",""),")","")</f>
        <v/>
      </c>
      <c r="BX513" s="61" t="str">
        <f aca="false">SUBSTITUTE(SUBSTITUTE(SUBSTITUTE(SUBSTITUTE(SUBSTITUTE(SUBSTITUTE(SUBSTITUTE(SUBSTITUTE(SUBSTITUTE(SUBSTITUTE(SUBSTITUTE(BM513,"0",""),"-",""),"_",""),"/",""),".",""),"#",""),"\\",""),":","")," ",""),"(",""),")","")</f>
        <v/>
      </c>
      <c r="BY513" s="62" t="n">
        <f aca="false">Q513-T7EarlyD*24/24</f>
        <v>46300.0486111111</v>
      </c>
      <c r="BZ513" s="61" t="n">
        <f aca="false">IFERROR(IF(IF(TRIM(S513)="Link / file path",AND(LEN(TRIM(Z513))&gt;=5,SUMPRODUCT(--ISNUMBER(SEARCH({"http","www.","\\",":\",".pdf",".jpg",".jpeg",".png",".heic",".xls",".doc",".msg",".eml",".ppt",".txt",".zip"},Z513)))&gt;0),AND(ISERROR(FIND(" ",TRIM(Z513))),NOT(OR(SUMPRODUCT(--ISNUMBER(FIND({",",";","&amp;","+"},Z513)))&gt;0,SUMPRODUCT(--ISNUMBER(SEARCH({"0/aa","0\\aa"},BN513)))&gt;0)),NOT(SUMPRODUCT(--ISNUMBER(SEARCH({"http","www.","\\",":\",".pdf",".jpg",".jpeg",".png",".heic",".xls",".doc",".msg",".eml",".ppt",".txt",".zip"},Z513)))&gt;0),NOT(LOWER(TRIM(Z513))=LOWER(Flights!$F$20)),ISNA(MATCH(BU513,{"mh","rev","revision","ver","version","v","r","a","b","seat","tray","row","gate","bay","stand","page","pg","item","line","no","cart","galley","flight","flt","table","box","bag","oven","etd","eta","std","sta","atd","ata","qty","pax","x","time","tel","ph","mob","day","wk","week","utc","gmt","myt","lt"},0)),NOT(OR(ISNUMBER(MATCH(LEFT(BN513,255),{"0000a","000a","00a","0000aa","000aa","00aa","0aa","0000aaa","000aaa","00a00","0a00","0000-0000","00:00","a00","a0","00.00.0000","00/00/0000","00-00-0000","0000-00-00","0000/00/00","0000.00.00","00.00.00","00/00/00","00-00-00","0.00.0000","0/00/0000","0-00-0000"},0)),ISNUMBER(MATCH(LEFT(BT513,255),{"0000a","000a","00a","0000aa","000aa","00aa","0aa","0000aaa","000aaa","00a00","0a00","0000-0000","00:00","a00","a0","00.00.0000","00/00/0000","00-00-0000","0000-00-00","0000/00/00","0000.00.00","00.00.00","00/00/00","00-00-00","0.00.0000","0/00/0000","0-00-0000"},0)))),NOT(OR(AND(BW513&lt;&gt;"",SUBSTITUTE(BW513,"0","")=""),AND(LEN(BW513)&gt;=4,BW513=REPT(LEFT(BW513),LEN(BW513))),ISNUMBER(MATCH(BW513,{"123","1234","12345","123456","1234567","12345678","0123","01234","012345","98765","987654","54321"},0)),ISNUMBER(MATCH(BX513,{"x","xx","xxx","xxxx","xxxxx","abc","abcd","nil","na","nan","test","tbc","tba","tbd","dummy","sample","example","eg","zz","zzz","none","null","xyz","qwe","asd","id","ref"},0)),AND(LEN(BW513)=8,BX513="",OR(LEFT(BW513,3)="202",ISNUMBER(MATCH(RIGHT(BW513,4),{"2025","2026","2027"},0)))))),OR(AND((LEN(BT513)-LEN(SUBSTITUTE(BT513,"a","")))&gt;=1,(LEN(BN513)-LEN(SUBSTITUTE(BN513,"0","")))&gt;=2,SUMPRODUCT(--ISNUMBER(SEARCH({"a0","a-0","a_0","a/0","a.0","a#0","0a","0-a","0_a","0/a"},BN513)))&gt;0),AND((LEN(BN513)-LEN(SUBSTITUTE(BN513,"a","")))=0,(LEN(BN513)-LEN(SUBSTITUTE(BN513,"0","")))&gt;=5)))),1,0),0)</f>
        <v>0</v>
      </c>
      <c r="CA5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513,"revision",""),"version",""),"jan",""),"feb",""),"mar",""),"apr",""),"may",""),"jun",""),"jul",""),"aug",""),"sep",""),"oct",""),"nov",""),"dec",""),"utc",""),"gmt",""),"myt",""),"bst",""),"rev",""),"ver",""),"b","a"),"c","a"),"d","a"),"e","a"),"f","a"),"g","a"),"h","a"),"i","a"),"j","a"),"k","a"),"l","a"),"m","a"),"n","a"),"o","a"),"p","a"),"q","a"),"r","a"),"s","a"),"t","a"),"u","a"),"v","a"),"w","a"),"x","a"),"y","a"),"z","a")</f>
        <v/>
      </c>
      <c r="CB5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513&amp;""),"a",""),"b",""),"c",""),"d",""),"e",""),"f",""),"g",""),"h",""),"i",""),"j",""),"k",""),"l",""),"m",""),"n",""),"o",""),"p",""),"q",""),"r",""),"s",""),"t",""),"u",""),"v",""),"w",""),"x",""),"y",""),"z",""),"-",""),"_",""),"/",""),".",""),"#",""),"\\",""),":","")," ",""),"(",""),")","")</f>
        <v/>
      </c>
      <c r="CC513" s="0" t="str">
        <f aca="false">" "&amp;TRIM(SUBSTITUTE(SUBSTITUTE(SUBSTITUTE(SUBSTITUTE(SUBSTITUTE(SUBSTITUTE(SUBSTITUTE(SUBSTITUTE(SUBSTITUTE(SUBSTITUTE(SUBSTITUTE(SUBSTITUTE(SUBSTITUTE(SUBSTITUTE(SUBSTITUTE(SUBSTITUTE(SUBSTITUTE(SUBSTITUTE(SUBSTITUTE(SUBSTITUTE(SUBSTITUTE(SUBSTITUTE(SUBSTITUTE(SUBSTITUTE(LOWER(T513&amp;""),CHAR(10)," "),CHAR(13)," "),CHAR(9)," "),CHAR(160)," "),"."," "),","," "),"-"," "),"/"," "),"("," "),")"," "),":"," "),";"," "),"_"," "),"–"," "),"?"," "),"!"," "),"*"," "),"["," "),"]"," "),"'"," "),"#"," "),"+"," "),"&amp;"," "),"\"," "))&amp;" "</f>
        <v>  </v>
      </c>
      <c r="CD513" s="0" t="str">
        <f aca="false">" "&amp;TRIM(SUBSTITUTE(SUBSTITUTE(SUBSTITUTE(SUBSTITUTE(SUBSTITUTE(SUBSTITUTE(SUBSTITUTE(SUBSTITUTE(SUBSTITUTE(SUBSTITUTE(SUBSTITUTE(SUBSTITUTE(SUBSTITUTE(SUBSTITUTE(SUBSTITUTE(SUBSTITUTE(SUBSTITUTE(SUBSTITUTE(SUBSTITUTE(SUBSTITUTE(SUBSTITUTE(SUBSTITUTE(SUBSTITUTE(SUBSTITUTE(LOWER(AE513&amp;""),CHAR(10)," "),CHAR(13)," "),CHAR(9)," "),CHAR(160)," "),"."," "),","," "),"-"," "),"/"," "),"("," "),")"," "),":"," "),";"," "),"_"," "),"–"," "),"?"," "),"!"," "),"*"," "),"["," "),"]"," "),"'"," "),"#"," "),"+"," "),"&amp;"," "),"\"," "))&amp;" "</f>
        <v>  </v>
      </c>
      <c r="CE513" s="68" t="n">
        <f aca="false">IFERROR(IF(AND(LEN(AU513)&gt;0,LEN(AU513)=LEN(AX513),OR(TRIM(MID(SUBSTITUTE(TRIM(CC513)," ",REPT(" ",60)),1,60))="",ISNUMBER(SEARCH(" "&amp;TRIM(MID(SUBSTITUTE(TRIM(CC513)," ",REPT(" ",60)),1,60))&amp;" ",CD513))),OR(TRIM(MID(SUBSTITUTE(TRIM(CC513)," ",REPT(" ",60)),61,60))="",ISNUMBER(SEARCH(" "&amp;TRIM(MID(SUBSTITUTE(TRIM(CC513)," ",REPT(" ",60)),61,60))&amp;" ",CD513))),OR(TRIM(MID(SUBSTITUTE(TRIM(CC513)," ",REPT(" ",60)),121,60))="",ISNUMBER(SEARCH(" "&amp;TRIM(MID(SUBSTITUTE(TRIM(CC513)," ",REPT(" ",60)),121,60))&amp;" ",CD513)))),1,0),0)</f>
        <v>0</v>
      </c>
      <c r="CG513" s="68" t="n">
        <f aca="false">IFERROR(LEN(SUBSTITUTE(BF513," ",""))-SUMPRODUCT((LEN(BF513)-LEN(SUBSTITUTE(BF513," "&amp;L_NAFiller&amp;" "," ")))/(LEN(L_NAFiller)+1)*LEN(L_NAFiller)),0)</f>
        <v>0</v>
      </c>
    </row>
    <row r="514" customFormat="false" ht="39.75" hidden="false" customHeight="true" outlineLevel="0" collapsed="false">
      <c r="A514" s="57" t="s">
        <v>1169</v>
      </c>
      <c r="B514" s="57" t="s">
        <v>280</v>
      </c>
      <c r="C514" s="57" t="str">
        <f aca="false">Flights!$F$20</f>
        <v>MH0072</v>
      </c>
      <c r="D514" s="58" t="n">
        <f aca="false">Flights!$D$20</f>
        <v>46321</v>
      </c>
      <c r="E514" s="57" t="str">
        <f aca="false">Flights!$G$20&amp;"-"&amp;Flights!$H$20</f>
        <v>KUL-HKG</v>
      </c>
      <c r="F514" s="57" t="str">
        <f aca="false">Flights!$K$20</f>
        <v>EY</v>
      </c>
      <c r="G514" s="57" t="s">
        <v>81</v>
      </c>
      <c r="H514" s="57" t="s">
        <v>378</v>
      </c>
      <c r="I514" s="57" t="s">
        <v>411</v>
      </c>
      <c r="J514" s="57" t="s">
        <v>412</v>
      </c>
      <c r="K514" s="67" t="s">
        <v>1170</v>
      </c>
      <c r="L514" s="67" t="s">
        <v>1171</v>
      </c>
      <c r="M514" s="67"/>
      <c r="N514" s="67" t="s">
        <v>383</v>
      </c>
      <c r="O514" s="67"/>
      <c r="P514" s="57" t="s">
        <v>187</v>
      </c>
      <c r="Q514" s="59" t="n">
        <f aca="false">ROUND((Flights!$AC$20)*1440,0)/1440</f>
        <v>46314.0486111111</v>
      </c>
      <c r="R514" s="59" t="n">
        <f aca="false">Q514+(IF(AND(INDEX(TZ_DSTS,MATCH(P514,TZ_STN,0))&lt;&gt;"",Q514&gt;=INDEX(TZ_DSTS,MATCH(P514,TZ_STN,0)),Q514&lt;INDEX(TZ_DSTE,MATCH(P514,TZ_STN,0))),INDEX(TZ_DST,MATCH(P514,TZ_STN,0)),INDEX(TZ_STD,MATCH(P514,TZ_STN,0))))/24</f>
        <v>46314.3819444444</v>
      </c>
      <c r="S514" s="60"/>
      <c r="T514" s="60"/>
      <c r="U514" s="60"/>
      <c r="V514" s="60"/>
      <c r="W514" s="61"/>
      <c r="X514" s="60"/>
      <c r="Y514" s="60"/>
      <c r="Z514" s="60"/>
      <c r="AA514" s="60"/>
      <c r="AB514" s="60"/>
      <c r="AC514" s="60"/>
      <c r="AD514" s="66"/>
      <c r="AE514" s="60"/>
      <c r="AF514" s="61" t="str">
        <f aca="false">IF(AND(ISNUMBER(X514),ISNUMBER(Y514)),Y514-X514,"")</f>
        <v/>
      </c>
      <c r="AG514" s="62" t="str">
        <f aca="false">IF(ISNUMBER(AD514),AD514-(IF(AND(INDEX(TZ_DSTS,MATCH(P514,TZ_STN,0))&lt;&gt;"",(AD514-INDEX(TZ_STD,MATCH(P514,TZ_STN,0))/24)&gt;=INDEX(TZ_DSTS,MATCH(P514,TZ_STN,0)),(AD514-INDEX(TZ_STD,MATCH(P514,TZ_STN,0))/24)&lt;INDEX(TZ_DSTE,MATCH(P514,TZ_STN,0))),INDEX(TZ_DST,MATCH(P514,TZ_STN,0)),INDEX(TZ_STD,MATCH(P514,TZ_STN,0))))/24,"")</f>
        <v/>
      </c>
      <c r="AH514" s="65" t="str">
        <f aca="false">IFERROR(IF(N514="N/A – rule",IF(OR(TRIM(U514)="",TRIM(U514)="N/A",TRIM(U514)="Not started"),"N/A – RULE","INVALID – this check does not apply to this aircraft: clear the status (or correct the fleet on Flights)"),IF(TRIM(U514)="N/A",IF(AT514=0,"INVALID – N/A not permitted for this check",IF(AND(TRIM(AB514)&lt;&gt;"",TRIM(AB514)&lt;&gt;"Closed"),"INVALID – corrective action still open",IF(AND(NOT(OR(LEN(AZ514)&lt;15,ISNUMBER(MATCH(AZ514,L_Placeholder,0)))),BK514=0,CG514&gt;=8,NOT(OR(LEN(AU514)&lt;2,ISNUMBER(MATCH(AU514,L_Placeholder,0)))),BR514&gt;=3,NOT(OR(LEN(AX514)&lt;2,ISNUMBER(MATCH(AX514,L_Placeholder,0)))),BS514&gt;=3,TRIM(AE514)&lt;&gt;TRIM(T514),AX514&lt;&gt;AU514,CE514=0),"N/A – JUSTIFIED","INVALID – N/A needs a real, settled reason (not 'not applicable' / 'as above' / TBC), a named PIC and a different named verifier"))),IF(OR(TRIM(U514)="Pass",TRIM(U514)="Pass after CA"),IF(NOT(ISNUMBER(AD514)),"INVALID – completion time missing",IF(OR(OR(LEN(AU514)&lt;2,ISNUMBER(MATCH(AU514,L_Placeholder,0))),BR514&lt;3),"INVALID – PIC missing or not a named person (a role such as QA / CSM is not a name)",IF(OR(LEN(AV514)&lt;2,ISNUMBER(MATCH(AV514,L_Placeholder,0))),"INVALID – result / assessment missing",IF(OR(OR(LEN(AW514)&lt;3,ISNUMBER(MATCH(AW514,L_Placeholder,0))),SUMPRODUCT(--ISNUMBER(SEARCH(" "&amp;L_EvidencePhrase&amp;" ",BD514)))&gt;0,BI514=1),"INVALID – evidence missing, placeholder or not yet on file",IF(ISNA(MATCH(TRIM(S514),L_EvidenceType,0)),"INVALID – choose the evidence type from the list (column S)",IF(BL514=0,"INVALID – evidence ID must be the record's own ID only (e.g. SF-2210, IMG_2231, 1045521); a link / file name needs type 'Link / file path'",IF(OR(OR(LEN(AX514)&lt;2,ISNUMBER(MATCH(AX514,L_Placeholder,0))),BS514&lt;3),"INVALID – verifier missing or not a named person (a role such as QA / CSM is not a name)",IF(OR(AX514=AU514,CE514=1,AND(LEN(AU514)&gt;=4,ISNUMBER(SEARCH(AU514,AX514))),AND(LEN(AX514)&gt;=4,ISNUMBER(SEARCH(AX514,AU514)))),"INVALID – verifier must be a different, named person (not the PIC or a role)",IF(BH514=1,"INVALID – result not yet available (awaiting / TBC)",IF(BG514=1,"INVALID – result describes a problem: record Fail, then Pass after CA (or reword if it is not a problem)",IF(BV514=1,"INVALID – wording says not on board: an on-board confirmation needs the item loaded",IF(AND(AQ514=1,OR(OR(LEN(AY514)&lt;3,ISNUMBER(MATCH(AY514,L_Placeholder,0))),BJ514=1,BQ514=0)),"INVALID – batch ID missing, placeholder or not an ID (e.g. PASB-261008-BC-017)",IF(AND(AR514=1,OR(NOT(ISNUMBER(X514)),NOT(ISNUMBER(Y514)))),"INVALID – expected/actual qty missing",IF(AND(AR514=1,OR(X514&lt;=0,Y514&lt;0)),"INVALID – expected qty must be above 0 and actual not negative",IF(BB514&lt;&gt;"",BB514,IF(AND(AS514=1,Documents!$J$20&lt;&gt;"ON FILE"),"INVALID – GLD not on file (Documents sheet)",IF(AND(AS514=2,Documents!$O$20&lt;&gt;"ON FILE"),"INVALID – menu checklist not on file (Documents sheet)",IF(AND(AS514=3,NOT(ISNUMBER(Flights!$AX$20))),"INVALID – enter carrying flight KUL departure (Flights AX)",IF(AND(AS514=3,OR(Flights!$AZ$20&gt;Flights!$AA$20,Flights!$AX$20&lt;Flights!$AA$20-3)),"INVALID – carrying flight (Flights AX) cannot arrive before this leg's STD, or is over 3 days early",IF(AG514&gt;AsOfUTC,"INVALID – completion time is in the future",IF(AND(ISNUMBER(BY514),AG514&lt;BY514),IF(H514="Physical uplift","INVALID – before uplift window (cannot confirm loading)","INVALID – before valid window"),IF(AG514&gt;Flights!$AA$20,"INVALID – completed after departure (cannot establish readiness)",IF(AND(H514="Preparation",AG514&gt;=IF(ISNUMBER(Flights!$BA$20),MIN(Flights!$BA$20,Flights!$AA$20),Flights!$AA$20)),"INVALID – completed after loading / departure (cannot establish readiness)",IF(AND(H514="Physical uplift",AG514&gt;Q514),"INVALID – recorded after the loading flight departed",IF(AG514&gt;Q514,"COMPLETE – LATE","COMPLETE"))))))))))))))))))))))))),IF(TRIM(U514)="Fail","FAIL – DISCREPANCY",IF(AND(TRIM(U514)&lt;&gt;"",TRIM(U514)&lt;&gt;"Not started",TRIM(U514)&lt;&gt;"In progress"),"INVALID – unrecognised status (use the list)",IF(AsOfUTC&gt;Q514,"OVERDUE",IF(N514="Clarification required","OPEN – CLARIFICATION","OPEN"))))))),"INVALID – error value in an input cell")</f>
        <v>OPEN</v>
      </c>
      <c r="AI514" s="61" t="n">
        <f aca="false">IF(OR(AH514="N/A – RULE",AH514="N/A – JUSTIFIED"),0,1)</f>
        <v>1</v>
      </c>
      <c r="AJ514" s="61" t="n">
        <f aca="false">IF(LEFT(AH514,8)="COMPLETE",1,0)</f>
        <v>0</v>
      </c>
      <c r="AK514" s="61" t="n">
        <f aca="false">IF(AND(AI514=1,AJ514=0,AsOfUTC&gt;Q514),1,0)</f>
        <v>0</v>
      </c>
      <c r="AL514" s="61" t="n">
        <f aca="false">IFERROR(IF(AND(AI514=1,OR(TRIM(U514)="Fail",AND(TRIM(AB514)&lt;&gt;"",TRIM(AB514)&lt;&gt;"Closed"),AND(ISNUMBER(AF514),AF514&lt;&gt;0,TRIM(U514)&lt;&gt;"Pass after CA"))),1,0),1)</f>
        <v>0</v>
      </c>
      <c r="AM514" s="61" t="n">
        <f aca="false">IF(LEFT(AH514,7)="INVALID",1,0)</f>
        <v>0</v>
      </c>
      <c r="AN514" s="61" t="n">
        <f aca="false">IF(AND(N514="Clarification required",AI514=1,AJ514=0),1,0)</f>
        <v>0</v>
      </c>
      <c r="AO514" s="61" t="str">
        <f aca="false">IF(AK514=1,SUM(AK$5:AK514),"")</f>
        <v/>
      </c>
      <c r="AP514" s="61" t="str">
        <f aca="false">IF(AL514=1,SUM(AL$5:AL514),"")</f>
        <v/>
      </c>
      <c r="AQ514" s="61" t="n">
        <v>0</v>
      </c>
      <c r="AR514" s="61" t="n">
        <v>0</v>
      </c>
      <c r="AS514" s="61" t="n">
        <v>0</v>
      </c>
      <c r="AT514" s="61" t="n">
        <v>0</v>
      </c>
      <c r="AU514" s="61" t="str">
        <f aca="false">SUBSTITUTE(SUBSTITUTE(SUBSTITUTE(SUBSTITUTE(SUBSTITUTE(SUBSTITUTE(SUBSTITUTE(SUBSTITUTE(SUBSTITUTE(SUBSTITUTE(SUBSTITUTE(SUBSTITUTE(SUBSTITUTE(SUBSTITUTE(SUBSTITUTE(SUBSTITUTE(LOWER(T514&amp;""),CHAR(10),""),CHAR(13),""),CHAR(9),""),CHAR(160),"")," ",""),".",""),"-",""),"/",""),"?",""),"_",""),",",""),"[",""),"]",""),"(",""),")",""),"*","")</f>
        <v/>
      </c>
      <c r="AV514" s="61" t="str">
        <f aca="false">SUBSTITUTE(SUBSTITUTE(SUBSTITUTE(SUBSTITUTE(SUBSTITUTE(SUBSTITUTE(SUBSTITUTE(SUBSTITUTE(SUBSTITUTE(SUBSTITUTE(SUBSTITUTE(SUBSTITUTE(SUBSTITUTE(SUBSTITUTE(SUBSTITUTE(SUBSTITUTE(LOWER(V514&amp;""),CHAR(10),""),CHAR(13),""),CHAR(9),""),CHAR(160),"")," ",""),".",""),"-",""),"/",""),"?",""),"_",""),",",""),"[",""),"]",""),"(",""),")",""),"*","")</f>
        <v/>
      </c>
      <c r="AW514" s="61" t="str">
        <f aca="false">SUBSTITUTE(SUBSTITUTE(SUBSTITUTE(SUBSTITUTE(SUBSTITUTE(SUBSTITUTE(SUBSTITUTE(SUBSTITUTE(SUBSTITUTE(SUBSTITUTE(SUBSTITUTE(SUBSTITUTE(SUBSTITUTE(SUBSTITUTE(SUBSTITUTE(SUBSTITUTE(LOWER(Z514&amp;""),CHAR(10),""),CHAR(13),""),CHAR(9),""),CHAR(160),"")," ",""),".",""),"-",""),"/",""),"?",""),"_",""),",",""),"[",""),"]",""),"(",""),")",""),"*","")</f>
        <v/>
      </c>
      <c r="AX514" s="61" t="str">
        <f aca="false">SUBSTITUTE(SUBSTITUTE(SUBSTITUTE(SUBSTITUTE(SUBSTITUTE(SUBSTITUTE(SUBSTITUTE(SUBSTITUTE(SUBSTITUTE(SUBSTITUTE(SUBSTITUTE(SUBSTITUTE(SUBSTITUTE(SUBSTITUTE(SUBSTITUTE(SUBSTITUTE(LOWER(AE514&amp;""),CHAR(10),""),CHAR(13),""),CHAR(9),""),CHAR(160),"")," ",""),".",""),"-",""),"/",""),"?",""),"_",""),",",""),"[",""),"]",""),"(",""),")",""),"*","")</f>
        <v/>
      </c>
      <c r="AY514" s="61" t="str">
        <f aca="false">SUBSTITUTE(SUBSTITUTE(SUBSTITUTE(SUBSTITUTE(SUBSTITUTE(SUBSTITUTE(SUBSTITUTE(SUBSTITUTE(SUBSTITUTE(SUBSTITUTE(SUBSTITUTE(SUBSTITUTE(SUBSTITUTE(SUBSTITUTE(SUBSTITUTE(SUBSTITUTE(LOWER(W514&amp;""),CHAR(10),""),CHAR(13),""),CHAR(9),""),CHAR(160),"")," ",""),".",""),"-",""),"/",""),"?",""),"_",""),",",""),"[",""),"]",""),"(",""),")",""),"*","")</f>
        <v/>
      </c>
      <c r="AZ514" s="61" t="str">
        <f aca="false">SUBSTITUTE(SUBSTITUTE(SUBSTITUTE(SUBSTITUTE(SUBSTITUTE(SUBSTITUTE(SUBSTITUTE(SUBSTITUTE(SUBSTITUTE(SUBSTITUTE(SUBSTITUTE(SUBSTITUTE(SUBSTITUTE(SUBSTITUTE(SUBSTITUTE(SUBSTITUTE(LOWER(AC514&amp;""),CHAR(10),""),CHAR(13),""),CHAR(9),""),CHAR(160),"")," ",""),".",""),"-",""),"/",""),"?",""),"_",""),",",""),"[",""),"]",""),"(",""),")",""),"*","")</f>
        <v/>
      </c>
      <c r="BA514" s="61" t="str">
        <f aca="false">SUBSTITUTE(SUBSTITUTE(SUBSTITUTE(SUBSTITUTE(SUBSTITUTE(SUBSTITUTE(SUBSTITUTE(SUBSTITUTE(SUBSTITUTE(SUBSTITUTE(SUBSTITUTE(SUBSTITUTE(SUBSTITUTE(SUBSTITUTE(SUBSTITUTE(SUBSTITUTE(LOWER(AA514&amp;""),CHAR(10),""),CHAR(13),""),CHAR(9),""),CHAR(160),"")," ",""),".",""),"-",""),"/",""),"?",""),"_",""),",",""),"[",""),"]",""),"(",""),")",""),"*","")</f>
        <v/>
      </c>
      <c r="BB514" s="61" t="str">
        <f aca="false">IF(AND(TRIM(U514)="Pass",ISNUMBER(AF514)),IF(AF514&lt;&gt;0,"INVALID – qty variance: use Fail or Pass after CA",""),"")&amp;IF(AND(TRIM(U514)="Pass after CA",ISNUMBER(AF514)),IF(AF514&lt;&gt;0,"INVALID – after the corrective action the actual qty must equal expected (update Actual)",""),"")&amp;IF(AND(TRIM(U514)="Pass",TRIM(AB514)&lt;&gt;"",TRIM(AB514)&lt;&gt;"Closed"),"INVALID – corrective action not closed: use Fail, then Pass after CA","")&amp;IF(AND(LEN(BA514)&gt;=2,ISNA(MATCH(LEFT(BA514,255),L_Placeholder,0)),TRIM(AB514)=""),"INVALID – CA status missing for the recorded corrective action","")&amp;IF(AND(TRIM(U514)="Pass after CA",OR(OR(LEN(BA514)&lt;5,ISNUMBER(MATCH(BA514,L_Placeholder,0))),TRIM(AB514)&lt;&gt;"Closed")),"INVALID – corrective action not recorded/closed","")</f>
        <v/>
      </c>
      <c r="BC514" s="61" t="str">
        <f aca="false">" "&amp;TRIM(SUBSTITUTE(SUBSTITUTE(SUBSTITUTE(SUBSTITUTE(SUBSTITUTE(SUBSTITUTE(SUBSTITUTE(SUBSTITUTE(SUBSTITUTE(SUBSTITUTE(SUBSTITUTE(SUBSTITUTE(SUBSTITUTE(SUBSTITUTE(SUBSTITUTE(SUBSTITUTE(SUBSTITUTE(SUBSTITUTE(SUBSTITUTE(SUBSTITUTE(SUBSTITUTE(SUBSTITUTE(SUBSTITUTE(SUBSTITUTE(LOWER(V514&amp;""),CHAR(10)," "),CHAR(13)," "),CHAR(9)," "),CHAR(160)," "),"."," "),","," "),"-"," "),"/"," "),"("," "),")"," "),":"," "),";"," "),"_"," "),"–"," "),"?"," "),"!"," "),"*"," "),"["," "),"]"," "),"'"," "),"#"," "),"+"," "),"&amp;"," "),"\"," "))&amp;" "</f>
        <v>  </v>
      </c>
      <c r="BD514" s="61" t="str">
        <f aca="false">" "&amp;TRIM(SUBSTITUTE(SUBSTITUTE(SUBSTITUTE(SUBSTITUTE(SUBSTITUTE(SUBSTITUTE(SUBSTITUTE(SUBSTITUTE(SUBSTITUTE(SUBSTITUTE(SUBSTITUTE(SUBSTITUTE(SUBSTITUTE(SUBSTITUTE(SUBSTITUTE(SUBSTITUTE(SUBSTITUTE(SUBSTITUTE(SUBSTITUTE(SUBSTITUTE(SUBSTITUTE(SUBSTITUTE(SUBSTITUTE(SUBSTITUTE(LOWER(Z514&amp;""),CHAR(10)," "),CHAR(13)," "),CHAR(9)," "),CHAR(160)," "),"."," "),","," "),"-"," "),"/"," "),"("," "),")"," "),":"," "),";"," "),"_"," "),"–"," "),"?"," "),"!"," "),"*"," "),"["," "),"]"," "),"'"," "),"#"," "),"+"," "),"&amp;"," "),"\"," "))&amp;" "</f>
        <v>  </v>
      </c>
      <c r="BE514" s="61" t="str">
        <f aca="false">" "&amp;TRIM(SUBSTITUTE(SUBSTITUTE(SUBSTITUTE(SUBSTITUTE(SUBSTITUTE(SUBSTITUTE(SUBSTITUTE(SUBSTITUTE(SUBSTITUTE(SUBSTITUTE(SUBSTITUTE(SUBSTITUTE(SUBSTITUTE(SUBSTITUTE(SUBSTITUTE(SUBSTITUTE(SUBSTITUTE(SUBSTITUTE(SUBSTITUTE(SUBSTITUTE(SUBSTITUTE(SUBSTITUTE(SUBSTITUTE(SUBSTITUTE(LOWER(W514&amp;""),CHAR(10)," "),CHAR(13)," "),CHAR(9)," "),CHAR(160)," "),"."," "),","," "),"-"," "),"/"," "),"("," "),")"," "),":"," "),";"," "),"_"," "),"–"," "),"?"," "),"!"," "),"*"," "),"["," "),"]"," "),"'"," "),"#"," "),"+"," "),"&amp;"," "),"\"," "))&amp;" "</f>
        <v>  </v>
      </c>
      <c r="BF514" s="61" t="str">
        <f aca="false">" "&amp;TRIM(SUBSTITUTE(SUBSTITUTE(SUBSTITUTE(SUBSTITUTE(SUBSTITUTE(SUBSTITUTE(SUBSTITUTE(SUBSTITUTE(SUBSTITUTE(SUBSTITUTE(SUBSTITUTE(SUBSTITUTE(SUBSTITUTE(SUBSTITUTE(SUBSTITUTE(SUBSTITUTE(SUBSTITUTE(SUBSTITUTE(SUBSTITUTE(SUBSTITUTE(SUBSTITUTE(SUBSTITUTE(SUBSTITUTE(SUBSTITUTE(LOWER(AC514&amp;""),CHAR(10)," "),CHAR(13)," "),CHAR(9)," "),CHAR(160)," "),"."," "),","," "),"-"," "),"/"," "),"("," "),")"," "),":"," "),";"," "),"_"," "),"–"," "),"?"," "),"!"," "),"*"," "),"["," "),"]"," "),"'"," "),"#"," "),"+"," "),"&amp;"," "),"\"," "))&amp;" "</f>
        <v>  </v>
      </c>
      <c r="BG514" s="61" t="n">
        <f aca="false">IFERROR(IF(AND(TRIM(U514)="Pass",SUMPRODUCT((LEN(BC514)-LEN(SUBSTITUTE(BC514," "&amp;L_ResultBad&amp;" "," ")))/(LEN(L_ResultBad)+1))&gt;SUMPRODUCT((LEN(BC514)-LEN(SUBSTITUTE(BC514," "&amp;L_NegPhrase&amp;" "," ")))/(LEN(L_NegPhrase)+1))),1,0),0)</f>
        <v>0</v>
      </c>
      <c r="BH514" s="61" t="n">
        <f aca="false">IFERROR(IF(SUMPRODUCT((LEN(BC514)-LEN(SUBSTITUTE(BC514," "&amp;L_Pending&amp;" "," ")))/(LEN(L_Pending)+1))&gt;SUMPRODUCT((LEN(BC514)-LEN(SUBSTITUTE(BC514," "&amp;L_PendNeg&amp;" "," ")))/(LEN(L_PendNeg)+1))+SUMPRODUCT((LEN(BC514)-LEN(SUBSTITUTE(BC514," "&amp;L_PendPrep&amp;" "," ")))/(LEN(L_PendPrep)+1)),1,0),1)</f>
        <v>0</v>
      </c>
      <c r="BI514" s="61" t="n">
        <f aca="false">IFERROR(IF(SUMPRODUCT((LEN(BD514)-LEN(SUBSTITUTE(BD514," "&amp;L_PendStrict&amp;" "," ")))/(LEN(L_PendStrict)+1))&gt;SUMPRODUCT((LEN(BD514)-LEN(SUBSTITUTE(BD514," "&amp;L_PendNeg&amp;" "," ")))/(LEN(L_PendNeg)+1)),1,0),1)</f>
        <v>0</v>
      </c>
      <c r="BJ514" s="61" t="n">
        <f aca="false">IFERROR(IF(SUMPRODUCT((LEN(BE514)-LEN(SUBSTITUTE(BE514," "&amp;L_Pending&amp;" "," ")))/(LEN(L_Pending)+1))&gt;SUMPRODUCT((LEN(BE514)-LEN(SUBSTITUTE(BE514," "&amp;L_PendNeg&amp;" "," ")))/(LEN(L_PendNeg)+1))+SUMPRODUCT((LEN(BE514)-LEN(SUBSTITUTE(BE514," "&amp;L_PendPrep&amp;" "," ")))/(LEN(L_PendPrep)+1)),1,0),1)</f>
        <v>0</v>
      </c>
      <c r="BK514" s="61" t="n">
        <f aca="false">IFERROR(IF(SUMPRODUCT((LEN(BF514)-LEN(SUBSTITUTE(BF514," "&amp;L_PendStrict&amp;" "," ")))/(LEN(L_PendStrict)+1))&gt;SUMPRODUCT((LEN(BF514)-LEN(SUBSTITUTE(BF514," "&amp;L_PendNeg&amp;" "," ")))/(LEN(L_PendNeg)+1)),1,0),1)</f>
        <v>0</v>
      </c>
      <c r="BL514" s="61" t="n">
        <f aca="false">IF(ISNA(MATCH(TRIM(S514),L_EvidenceType,0)),0,BZ514)</f>
        <v>0</v>
      </c>
      <c r="BM514" s="61" t="str">
        <f aca="false">SUBSTITUTE(SUBSTITUTE(SUBSTITUTE(SUBSTITUTE(SUBSTITUTE(SUBSTITUTE(SUBSTITUTE(SUBSTITUTE(SUBSTITUTE(LOWER(Z514&amp;""),"1","0"),"2","0"),"3","0"),"4","0"),"5","0"),"6","0"),"7","0"),"8","0"),"9","0")</f>
        <v/>
      </c>
      <c r="BN514" s="61" t="str">
        <f aca="false">SUBSTITUTE(SUBSTITUTE(SUBSTITUTE(SUBSTITUTE(SUBSTITUTE(SUBSTITUTE(SUBSTITUTE(SUBSTITUTE(SUBSTITUTE(SUBSTITUTE(SUBSTITUTE(SUBSTITUTE(SUBSTITUTE(SUBSTITUTE(SUBSTITUTE(SUBSTITUTE(SUBSTITUTE(SUBSTITUTE(SUBSTITUTE(SUBSTITUTE(SUBSTITUTE(SUBSTITUTE(SUBSTITUTE(SUBSTITUTE(SUBSTITUTE(BM514,"b","a"),"c","a"),"d","a"),"e","a"),"f","a"),"g","a"),"h","a"),"i","a"),"j","a"),"k","a"),"l","a"),"m","a"),"n","a"),"o","a"),"p","a"),"q","a"),"r","a"),"s","a"),"t","a"),"u","a"),"v","a"),"w","a"),"x","a"),"y","a"),"z","a")</f>
        <v/>
      </c>
      <c r="BO514" s="61" t="str">
        <f aca="false">SUBSTITUTE(SUBSTITUTE(SUBSTITUTE(SUBSTITUTE(SUBSTITUTE(SUBSTITUTE(SUBSTITUTE(SUBSTITUTE(SUBSTITUTE(LOWER(W514&amp;""),"1","0"),"2","0"),"3","0"),"4","0"),"5","0"),"6","0"),"7","0"),"8","0"),"9","0")</f>
        <v/>
      </c>
      <c r="BP514" s="61" t="str">
        <f aca="false">SUBSTITUTE(SUBSTITUTE(SUBSTITUTE(SUBSTITUTE(SUBSTITUTE(SUBSTITUTE(SUBSTITUTE(SUBSTITUTE(SUBSTITUTE(SUBSTITUTE(SUBSTITUTE(SUBSTITUTE(SUBSTITUTE(SUBSTITUTE(SUBSTITUTE(SUBSTITUTE(SUBSTITUTE(SUBSTITUTE(SUBSTITUTE(SUBSTITUTE(SUBSTITUTE(SUBSTITUTE(SUBSTITUTE(SUBSTITUTE(SUBSTITUTE(BO514,"b","a"),"c","a"),"d","a"),"e","a"),"f","a"),"g","a"),"h","a"),"i","a"),"j","a"),"k","a"),"l","a"),"m","a"),"n","a"),"o","a"),"p","a"),"q","a"),"r","a"),"s","a"),"t","a"),"u","a"),"v","a"),"w","a"),"x","a"),"y","a"),"z","a")</f>
        <v/>
      </c>
      <c r="BQ514" s="61" t="n">
        <f aca="false">IFERROR(IF(AND(ISERROR(SEARCH(" mh"," "&amp;LOWER(W514))),ISNA(MATCH(LEFT(TRIM(BP514),255),{"0000a","000a","00a","0000aa","000aa","00aa","0aa","0000aaa","000aaa","00a00","0a00","0000-0000","00:00","a00","a0","00.00.0000","00/00/0000","00-00-0000","0000-00-00","0000/00/00","0000.00.00","00.00.00","00/00/00","00-00-00","0.00.0000","0/00/0000","0-00-0000"},0)),ISNA(MATCH(LEFT(TRIM(CA514),255),{"0000a","000a","00a","0000aa","000aa","00aa","0aa","0000aaa","000aaa","00a00","0a00","0000-0000","00:00","a00","a0","00.00.0000","00/00/0000","00-00-0000","0000-00-00","0000/00/00","0000.00.00","00.00.00","00/00/00","00-00-00","0.00.0000","0/00/0000","0-00-0000"},0)),LEN(CB514)&gt;=3,NOT(OR(SUBSTITUTE(CB514,"0","")="",AND(LEN(CB514)&gt;=4,CB514=REPT(LEFT(CB514),LEN(CB514))),ISNUMBER(MATCH(CB514,{"123","1234","12345","123456","1234567","12345678","0123","01234","012345","98765","987654","54321"},0)),AND(LEN(CB514)=8,LEFT(CB514,3)="202"))),OR(AND((LEN(CA514)-LEN(SUBSTITUTE(CA514,"a","")))&gt;=1,SUMPRODUCT(--ISNUMBER(SEARCH({"a0","a-0","a_0","a/0","a.0","a#0","0a","0-a","0_a","0/a"},BP514)))&gt;0),ISNUMBER(SEARCH("000000",BP514)))),1,0),0)</f>
        <v>0</v>
      </c>
      <c r="BR514" s="61" t="n">
        <f aca="false">IFERROR(LEN(SUBSTITUTE(CC514," ",""))-SUMPRODUCT((LEN(CC514)-LEN(SUBSTITUTE(CC514," "&amp;L_Role&amp;" "," ")))/(LEN(L_Role)+1)*LEN(L_Role)),0)</f>
        <v>0</v>
      </c>
      <c r="BS514" s="61" t="n">
        <f aca="false">IFERROR(LEN(SUBSTITUTE(CD514," ",""))-SUMPRODUCT((LEN(CD514)-LEN(SUBSTITUTE(CD514," "&amp;L_Role&amp;" "," ")))/(LEN(L_Role)+1)*LEN(L_Role)),0)</f>
        <v>0</v>
      </c>
      <c r="BT5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514,"revision",""),"version",""),"jan",""),"feb",""),"mar",""),"apr",""),"may",""),"jun",""),"jul",""),"aug",""),"sep",""),"oct",""),"nov",""),"dec",""),"utc",""),"gmt",""),"myt",""),"bst",""),"rev",""),"ver",""),"b","a"),"c","a"),"d","a"),"e","a"),"f","a"),"g","a"),"h","a"),"i","a"),"j","a"),"k","a"),"l","a"),"m","a"),"n","a"),"o","a"),"p","a"),"q","a"),"r","a"),"s","a"),"t","a"),"u","a"),"v","a"),"w","a"),"x","a"),"y","a"),"z","a")</f>
        <v/>
      </c>
      <c r="BU514" s="61" t="str">
        <f aca="false">SUBSTITUTE(SUBSTITUTE(SUBSTITUTE(SUBSTITUTE(SUBSTITUTE(SUBSTITUTE(SUBSTITUTE(SUBSTITUTE(SUBSTITUTE(SUBSTITUTE(LEFT(BM514,FIND("0",BM514&amp;"0")-1),"-",""),"_",""),"/",""),".",""),"#",""),"\\",""),":","")," ",""),"(",""),")","")</f>
        <v/>
      </c>
      <c r="BV514" s="61" t="n">
        <f aca="false">0</f>
        <v>0</v>
      </c>
      <c r="BW5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514&amp;""),"a",""),"b",""),"c",""),"d",""),"e",""),"f",""),"g",""),"h",""),"i",""),"j",""),"k",""),"l",""),"m",""),"n",""),"o",""),"p",""),"q",""),"r",""),"s",""),"t",""),"u",""),"v",""),"w",""),"x",""),"y",""),"z",""),"-",""),"_",""),"/",""),".",""),"#",""),"\\",""),":","")," ",""),"(",""),")","")</f>
        <v/>
      </c>
      <c r="BX514" s="61" t="str">
        <f aca="false">SUBSTITUTE(SUBSTITUTE(SUBSTITUTE(SUBSTITUTE(SUBSTITUTE(SUBSTITUTE(SUBSTITUTE(SUBSTITUTE(SUBSTITUTE(SUBSTITUTE(SUBSTITUTE(BM514,"0",""),"-",""),"_",""),"/",""),".",""),"#",""),"\\",""),":","")," ",""),"(",""),")","")</f>
        <v/>
      </c>
      <c r="BY514" s="62" t="n">
        <f aca="false">Q514-T7EarlyD*24/24</f>
        <v>46300.0486111111</v>
      </c>
      <c r="BZ514" s="61" t="n">
        <f aca="false">IFERROR(IF(IF(TRIM(S514)="Link / file path",AND(LEN(TRIM(Z514))&gt;=5,SUMPRODUCT(--ISNUMBER(SEARCH({"http","www.","\\",":\",".pdf",".jpg",".jpeg",".png",".heic",".xls",".doc",".msg",".eml",".ppt",".txt",".zip"},Z514)))&gt;0),AND(ISERROR(FIND(" ",TRIM(Z514))),NOT(OR(SUMPRODUCT(--ISNUMBER(FIND({",",";","&amp;","+"},Z514)))&gt;0,SUMPRODUCT(--ISNUMBER(SEARCH({"0/aa","0\\aa"},BN514)))&gt;0)),NOT(SUMPRODUCT(--ISNUMBER(SEARCH({"http","www.","\\",":\",".pdf",".jpg",".jpeg",".png",".heic",".xls",".doc",".msg",".eml",".ppt",".txt",".zip"},Z514)))&gt;0),NOT(LOWER(TRIM(Z514))=LOWER(Flights!$F$20)),ISNA(MATCH(BU514,{"mh","rev","revision","ver","version","v","r","a","b","seat","tray","row","gate","bay","stand","page","pg","item","line","no","cart","galley","flight","flt","table","box","bag","oven","etd","eta","std","sta","atd","ata","qty","pax","x","time","tel","ph","mob","day","wk","week","utc","gmt","myt","lt"},0)),NOT(OR(ISNUMBER(MATCH(LEFT(BN514,255),{"0000a","000a","00a","0000aa","000aa","00aa","0aa","0000aaa","000aaa","00a00","0a00","0000-0000","00:00","a00","a0","00.00.0000","00/00/0000","00-00-0000","0000-00-00","0000/00/00","0000.00.00","00.00.00","00/00/00","00-00-00","0.00.0000","0/00/0000","0-00-0000"},0)),ISNUMBER(MATCH(LEFT(BT514,255),{"0000a","000a","00a","0000aa","000aa","00aa","0aa","0000aaa","000aaa","00a00","0a00","0000-0000","00:00","a00","a0","00.00.0000","00/00/0000","00-00-0000","0000-00-00","0000/00/00","0000.00.00","00.00.00","00/00/00","00-00-00","0.00.0000","0/00/0000","0-00-0000"},0)))),NOT(OR(AND(BW514&lt;&gt;"",SUBSTITUTE(BW514,"0","")=""),AND(LEN(BW514)&gt;=4,BW514=REPT(LEFT(BW514),LEN(BW514))),ISNUMBER(MATCH(BW514,{"123","1234","12345","123456","1234567","12345678","0123","01234","012345","98765","987654","54321"},0)),ISNUMBER(MATCH(BX514,{"x","xx","xxx","xxxx","xxxxx","abc","abcd","nil","na","nan","test","tbc","tba","tbd","dummy","sample","example","eg","zz","zzz","none","null","xyz","qwe","asd","id","ref"},0)),AND(LEN(BW514)=8,BX514="",OR(LEFT(BW514,3)="202",ISNUMBER(MATCH(RIGHT(BW514,4),{"2025","2026","2027"},0)))))),OR(AND((LEN(BT514)-LEN(SUBSTITUTE(BT514,"a","")))&gt;=1,(LEN(BN514)-LEN(SUBSTITUTE(BN514,"0","")))&gt;=2,SUMPRODUCT(--ISNUMBER(SEARCH({"a0","a-0","a_0","a/0","a.0","a#0","0a","0-a","0_a","0/a"},BN514)))&gt;0),AND((LEN(BN514)-LEN(SUBSTITUTE(BN514,"a","")))=0,(LEN(BN514)-LEN(SUBSTITUTE(BN514,"0","")))&gt;=5)))),1,0),0)</f>
        <v>0</v>
      </c>
      <c r="CA5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514,"revision",""),"version",""),"jan",""),"feb",""),"mar",""),"apr",""),"may",""),"jun",""),"jul",""),"aug",""),"sep",""),"oct",""),"nov",""),"dec",""),"utc",""),"gmt",""),"myt",""),"bst",""),"rev",""),"ver",""),"b","a"),"c","a"),"d","a"),"e","a"),"f","a"),"g","a"),"h","a"),"i","a"),"j","a"),"k","a"),"l","a"),"m","a"),"n","a"),"o","a"),"p","a"),"q","a"),"r","a"),"s","a"),"t","a"),"u","a"),"v","a"),"w","a"),"x","a"),"y","a"),"z","a")</f>
        <v/>
      </c>
      <c r="CB5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514&amp;""),"a",""),"b",""),"c",""),"d",""),"e",""),"f",""),"g",""),"h",""),"i",""),"j",""),"k",""),"l",""),"m",""),"n",""),"o",""),"p",""),"q",""),"r",""),"s",""),"t",""),"u",""),"v",""),"w",""),"x",""),"y",""),"z",""),"-",""),"_",""),"/",""),".",""),"#",""),"\\",""),":","")," ",""),"(",""),")","")</f>
        <v/>
      </c>
      <c r="CC514" s="0" t="str">
        <f aca="false">" "&amp;TRIM(SUBSTITUTE(SUBSTITUTE(SUBSTITUTE(SUBSTITUTE(SUBSTITUTE(SUBSTITUTE(SUBSTITUTE(SUBSTITUTE(SUBSTITUTE(SUBSTITUTE(SUBSTITUTE(SUBSTITUTE(SUBSTITUTE(SUBSTITUTE(SUBSTITUTE(SUBSTITUTE(SUBSTITUTE(SUBSTITUTE(SUBSTITUTE(SUBSTITUTE(SUBSTITUTE(SUBSTITUTE(SUBSTITUTE(SUBSTITUTE(LOWER(T514&amp;""),CHAR(10)," "),CHAR(13)," "),CHAR(9)," "),CHAR(160)," "),"."," "),","," "),"-"," "),"/"," "),"("," "),")"," "),":"," "),";"," "),"_"," "),"–"," "),"?"," "),"!"," "),"*"," "),"["," "),"]"," "),"'"," "),"#"," "),"+"," "),"&amp;"," "),"\"," "))&amp;" "</f>
        <v>  </v>
      </c>
      <c r="CD514" s="0" t="str">
        <f aca="false">" "&amp;TRIM(SUBSTITUTE(SUBSTITUTE(SUBSTITUTE(SUBSTITUTE(SUBSTITUTE(SUBSTITUTE(SUBSTITUTE(SUBSTITUTE(SUBSTITUTE(SUBSTITUTE(SUBSTITUTE(SUBSTITUTE(SUBSTITUTE(SUBSTITUTE(SUBSTITUTE(SUBSTITUTE(SUBSTITUTE(SUBSTITUTE(SUBSTITUTE(SUBSTITUTE(SUBSTITUTE(SUBSTITUTE(SUBSTITUTE(SUBSTITUTE(LOWER(AE514&amp;""),CHAR(10)," "),CHAR(13)," "),CHAR(9)," "),CHAR(160)," "),"."," "),","," "),"-"," "),"/"," "),"("," "),")"," "),":"," "),";"," "),"_"," "),"–"," "),"?"," "),"!"," "),"*"," "),"["," "),"]"," "),"'"," "),"#"," "),"+"," "),"&amp;"," "),"\"," "))&amp;" "</f>
        <v>  </v>
      </c>
      <c r="CE514" s="68" t="n">
        <f aca="false">IFERROR(IF(AND(LEN(AU514)&gt;0,LEN(AU514)=LEN(AX514),OR(TRIM(MID(SUBSTITUTE(TRIM(CC514)," ",REPT(" ",60)),1,60))="",ISNUMBER(SEARCH(" "&amp;TRIM(MID(SUBSTITUTE(TRIM(CC514)," ",REPT(" ",60)),1,60))&amp;" ",CD514))),OR(TRIM(MID(SUBSTITUTE(TRIM(CC514)," ",REPT(" ",60)),61,60))="",ISNUMBER(SEARCH(" "&amp;TRIM(MID(SUBSTITUTE(TRIM(CC514)," ",REPT(" ",60)),61,60))&amp;" ",CD514))),OR(TRIM(MID(SUBSTITUTE(TRIM(CC514)," ",REPT(" ",60)),121,60))="",ISNUMBER(SEARCH(" "&amp;TRIM(MID(SUBSTITUTE(TRIM(CC514)," ",REPT(" ",60)),121,60))&amp;" ",CD514)))),1,0),0)</f>
        <v>0</v>
      </c>
      <c r="CG514" s="68" t="n">
        <f aca="false">IFERROR(LEN(SUBSTITUTE(BF514," ",""))-SUMPRODUCT((LEN(BF514)-LEN(SUBSTITUTE(BF514," "&amp;L_NAFiller&amp;" "," ")))/(LEN(L_NAFiller)+1)*LEN(L_NAFiller)),0)</f>
        <v>0</v>
      </c>
    </row>
    <row r="515" customFormat="false" ht="39.75" hidden="false" customHeight="true" outlineLevel="0" collapsed="false">
      <c r="A515" s="57" t="s">
        <v>1172</v>
      </c>
      <c r="B515" s="57" t="s">
        <v>280</v>
      </c>
      <c r="C515" s="57" t="str">
        <f aca="false">Flights!$F$20</f>
        <v>MH0072</v>
      </c>
      <c r="D515" s="58" t="n">
        <f aca="false">Flights!$D$20</f>
        <v>46321</v>
      </c>
      <c r="E515" s="57" t="str">
        <f aca="false">Flights!$G$20&amp;"-"&amp;Flights!$H$20</f>
        <v>KUL-HKG</v>
      </c>
      <c r="F515" s="57" t="str">
        <f aca="false">Flights!$K$20</f>
        <v>EY</v>
      </c>
      <c r="G515" s="57" t="s">
        <v>83</v>
      </c>
      <c r="H515" s="57" t="s">
        <v>378</v>
      </c>
      <c r="I515" s="57" t="s">
        <v>379</v>
      </c>
      <c r="J515" s="57" t="s">
        <v>416</v>
      </c>
      <c r="K515" s="67" t="s">
        <v>417</v>
      </c>
      <c r="L515" s="67" t="s">
        <v>418</v>
      </c>
      <c r="M515" s="67"/>
      <c r="N515" s="67" t="s">
        <v>383</v>
      </c>
      <c r="O515" s="67"/>
      <c r="P515" s="57" t="s">
        <v>187</v>
      </c>
      <c r="Q515" s="59" t="n">
        <f aca="false">ROUND((Flights!$AD$20)*1440,0)/1440</f>
        <v>46320.0486111111</v>
      </c>
      <c r="R515" s="59" t="n">
        <f aca="false">Q515+(IF(AND(INDEX(TZ_DSTS,MATCH(P515,TZ_STN,0))&lt;&gt;"",Q515&gt;=INDEX(TZ_DSTS,MATCH(P515,TZ_STN,0)),Q515&lt;INDEX(TZ_DSTE,MATCH(P515,TZ_STN,0))),INDEX(TZ_DST,MATCH(P515,TZ_STN,0)),INDEX(TZ_STD,MATCH(P515,TZ_STN,0))))/24</f>
        <v>46320.3819444444</v>
      </c>
      <c r="S515" s="60"/>
      <c r="T515" s="60"/>
      <c r="U515" s="60"/>
      <c r="V515" s="60"/>
      <c r="W515" s="60"/>
      <c r="X515" s="60"/>
      <c r="Y515" s="60"/>
      <c r="Z515" s="60"/>
      <c r="AA515" s="60"/>
      <c r="AB515" s="60"/>
      <c r="AC515" s="60"/>
      <c r="AD515" s="66"/>
      <c r="AE515" s="60"/>
      <c r="AF515" s="61" t="str">
        <f aca="false">IF(AND(ISNUMBER(X515),ISNUMBER(Y515)),Y515-X515,"")</f>
        <v/>
      </c>
      <c r="AG515" s="62" t="str">
        <f aca="false">IF(ISNUMBER(AD515),AD515-(IF(AND(INDEX(TZ_DSTS,MATCH(P515,TZ_STN,0))&lt;&gt;"",(AD515-INDEX(TZ_STD,MATCH(P515,TZ_STN,0))/24)&gt;=INDEX(TZ_DSTS,MATCH(P515,TZ_STN,0)),(AD515-INDEX(TZ_STD,MATCH(P515,TZ_STN,0))/24)&lt;INDEX(TZ_DSTE,MATCH(P515,TZ_STN,0))),INDEX(TZ_DST,MATCH(P515,TZ_STN,0)),INDEX(TZ_STD,MATCH(P515,TZ_STN,0))))/24,"")</f>
        <v/>
      </c>
      <c r="AH515" s="65" t="str">
        <f aca="false">IFERROR(IF(N515="N/A – rule",IF(OR(TRIM(U515)="",TRIM(U515)="N/A",TRIM(U515)="Not started"),"N/A – RULE","INVALID – this check does not apply to this aircraft: clear the status (or correct the fleet on Flights)"),IF(TRIM(U515)="N/A",IF(AT515=0,"INVALID – N/A not permitted for this check",IF(AND(TRIM(AB515)&lt;&gt;"",TRIM(AB515)&lt;&gt;"Closed"),"INVALID – corrective action still open",IF(AND(NOT(OR(LEN(AZ515)&lt;15,ISNUMBER(MATCH(AZ515,L_Placeholder,0)))),BK515=0,CG515&gt;=8,NOT(OR(LEN(AU515)&lt;2,ISNUMBER(MATCH(AU515,L_Placeholder,0)))),BR515&gt;=3,NOT(OR(LEN(AX515)&lt;2,ISNUMBER(MATCH(AX515,L_Placeholder,0)))),BS515&gt;=3,TRIM(AE515)&lt;&gt;TRIM(T515),AX515&lt;&gt;AU515,CE515=0),"N/A – JUSTIFIED","INVALID – N/A needs a real, settled reason (not 'not applicable' / 'as above' / TBC), a named PIC and a different named verifier"))),IF(OR(TRIM(U515)="Pass",TRIM(U515)="Pass after CA"),IF(NOT(ISNUMBER(AD515)),"INVALID – completion time missing",IF(OR(OR(LEN(AU515)&lt;2,ISNUMBER(MATCH(AU515,L_Placeholder,0))),BR515&lt;3),"INVALID – PIC missing or not a named person (a role such as QA / CSM is not a name)",IF(OR(LEN(AV515)&lt;2,ISNUMBER(MATCH(AV515,L_Placeholder,0))),"INVALID – result / assessment missing",IF(OR(OR(LEN(AW515)&lt;3,ISNUMBER(MATCH(AW515,L_Placeholder,0))),SUMPRODUCT(--ISNUMBER(SEARCH(" "&amp;L_EvidencePhrase&amp;" ",BD515)))&gt;0,BI515=1),"INVALID – evidence missing, placeholder or not yet on file",IF(ISNA(MATCH(TRIM(S515),L_EvidenceType,0)),"INVALID – choose the evidence type from the list (column S)",IF(BL515=0,"INVALID – evidence ID must be the record's own ID only (e.g. SF-2210, IMG_2231, 1045521); a link / file name needs type 'Link / file path'",IF(OR(OR(LEN(AX515)&lt;2,ISNUMBER(MATCH(AX515,L_Placeholder,0))),BS515&lt;3),"INVALID – verifier missing or not a named person (a role such as QA / CSM is not a name)",IF(OR(AX515=AU515,CE515=1,AND(LEN(AU515)&gt;=4,ISNUMBER(SEARCH(AU515,AX515))),AND(LEN(AX515)&gt;=4,ISNUMBER(SEARCH(AX515,AU515)))),"INVALID – verifier must be a different, named person (not the PIC or a role)",IF(BH515=1,"INVALID – result not yet available (awaiting / TBC)",IF(BG515=1,"INVALID – result describes a problem: record Fail, then Pass after CA (or reword if it is not a problem)",IF(BV515=1,"INVALID – wording says not on board: an on-board confirmation needs the item loaded",IF(AND(AQ515=1,OR(OR(LEN(AY515)&lt;3,ISNUMBER(MATCH(AY515,L_Placeholder,0))),BJ515=1,BQ515=0)),"INVALID – batch ID missing, placeholder or not an ID (e.g. PASB-261008-BC-017)",IF(AND(AR515=1,OR(NOT(ISNUMBER(X515)),NOT(ISNUMBER(Y515)))),"INVALID – expected/actual qty missing",IF(AND(AR515=1,OR(X515&lt;=0,Y515&lt;0)),"INVALID – expected qty must be above 0 and actual not negative",IF(BB515&lt;&gt;"",BB515,IF(AND(AS515=1,Documents!$J$20&lt;&gt;"ON FILE"),"INVALID – GLD not on file (Documents sheet)",IF(AND(AS515=2,Documents!$O$20&lt;&gt;"ON FILE"),"INVALID – menu checklist not on file (Documents sheet)",IF(AND(AS515=3,NOT(ISNUMBER(Flights!$AX$20))),"INVALID – enter carrying flight KUL departure (Flights AX)",IF(AND(AS515=3,OR(Flights!$AZ$20&gt;Flights!$AA$20,Flights!$AX$20&lt;Flights!$AA$20-3)),"INVALID – carrying flight (Flights AX) cannot arrive before this leg's STD, or is over 3 days early",IF(AG515&gt;AsOfUTC,"INVALID – completion time is in the future",IF(AND(ISNUMBER(BY515),AG515&lt;BY515),IF(H515="Physical uplift","INVALID – before uplift window (cannot confirm loading)","INVALID – before valid window"),IF(AG515&gt;Flights!$AA$20,"INVALID – completed after departure (cannot establish readiness)",IF(AND(H515="Preparation",AG515&gt;=IF(ISNUMBER(Flights!$BA$20),MIN(Flights!$BA$20,Flights!$AA$20),Flights!$AA$20)),"INVALID – completed after loading / departure (cannot establish readiness)",IF(AND(H515="Physical uplift",AG515&gt;Q515),"INVALID – recorded after the loading flight departed",IF(AG515&gt;Q515,"COMPLETE – LATE","COMPLETE"))))))))))))))))))))))))),IF(TRIM(U515)="Fail","FAIL – DISCREPANCY",IF(AND(TRIM(U515)&lt;&gt;"",TRIM(U515)&lt;&gt;"Not started",TRIM(U515)&lt;&gt;"In progress"),"INVALID – unrecognised status (use the list)",IF(AsOfUTC&gt;Q515,"OVERDUE",IF(N515="Clarification required","OPEN – CLARIFICATION","OPEN"))))))),"INVALID – error value in an input cell")</f>
        <v>OPEN</v>
      </c>
      <c r="AI515" s="61" t="n">
        <f aca="false">IF(OR(AH515="N/A – RULE",AH515="N/A – JUSTIFIED"),0,1)</f>
        <v>1</v>
      </c>
      <c r="AJ515" s="61" t="n">
        <f aca="false">IF(LEFT(AH515,8)="COMPLETE",1,0)</f>
        <v>0</v>
      </c>
      <c r="AK515" s="61" t="n">
        <f aca="false">IF(AND(AI515=1,AJ515=0,AsOfUTC&gt;Q515),1,0)</f>
        <v>0</v>
      </c>
      <c r="AL515" s="61" t="n">
        <f aca="false">IFERROR(IF(AND(AI515=1,OR(TRIM(U515)="Fail",AND(TRIM(AB515)&lt;&gt;"",TRIM(AB515)&lt;&gt;"Closed"),AND(ISNUMBER(AF515),AF515&lt;&gt;0,TRIM(U515)&lt;&gt;"Pass after CA"))),1,0),1)</f>
        <v>0</v>
      </c>
      <c r="AM515" s="61" t="n">
        <f aca="false">IF(LEFT(AH515,7)="INVALID",1,0)</f>
        <v>0</v>
      </c>
      <c r="AN515" s="61" t="n">
        <f aca="false">IF(AND(N515="Clarification required",AI515=1,AJ515=0),1,0)</f>
        <v>0</v>
      </c>
      <c r="AO515" s="61" t="str">
        <f aca="false">IF(AK515=1,SUM(AK$5:AK515),"")</f>
        <v/>
      </c>
      <c r="AP515" s="61" t="str">
        <f aca="false">IF(AL515=1,SUM(AL$5:AL515),"")</f>
        <v/>
      </c>
      <c r="AQ515" s="61" t="n">
        <v>1</v>
      </c>
      <c r="AR515" s="61" t="n">
        <v>0</v>
      </c>
      <c r="AS515" s="61" t="n">
        <v>0</v>
      </c>
      <c r="AT515" s="61" t="n">
        <v>0</v>
      </c>
      <c r="AU515" s="61" t="str">
        <f aca="false">SUBSTITUTE(SUBSTITUTE(SUBSTITUTE(SUBSTITUTE(SUBSTITUTE(SUBSTITUTE(SUBSTITUTE(SUBSTITUTE(SUBSTITUTE(SUBSTITUTE(SUBSTITUTE(SUBSTITUTE(SUBSTITUTE(SUBSTITUTE(SUBSTITUTE(SUBSTITUTE(LOWER(T515&amp;""),CHAR(10),""),CHAR(13),""),CHAR(9),""),CHAR(160),"")," ",""),".",""),"-",""),"/",""),"?",""),"_",""),",",""),"[",""),"]",""),"(",""),")",""),"*","")</f>
        <v/>
      </c>
      <c r="AV515" s="61" t="str">
        <f aca="false">SUBSTITUTE(SUBSTITUTE(SUBSTITUTE(SUBSTITUTE(SUBSTITUTE(SUBSTITUTE(SUBSTITUTE(SUBSTITUTE(SUBSTITUTE(SUBSTITUTE(SUBSTITUTE(SUBSTITUTE(SUBSTITUTE(SUBSTITUTE(SUBSTITUTE(SUBSTITUTE(LOWER(V515&amp;""),CHAR(10),""),CHAR(13),""),CHAR(9),""),CHAR(160),"")," ",""),".",""),"-",""),"/",""),"?",""),"_",""),",",""),"[",""),"]",""),"(",""),")",""),"*","")</f>
        <v/>
      </c>
      <c r="AW515" s="61" t="str">
        <f aca="false">SUBSTITUTE(SUBSTITUTE(SUBSTITUTE(SUBSTITUTE(SUBSTITUTE(SUBSTITUTE(SUBSTITUTE(SUBSTITUTE(SUBSTITUTE(SUBSTITUTE(SUBSTITUTE(SUBSTITUTE(SUBSTITUTE(SUBSTITUTE(SUBSTITUTE(SUBSTITUTE(LOWER(Z515&amp;""),CHAR(10),""),CHAR(13),""),CHAR(9),""),CHAR(160),"")," ",""),".",""),"-",""),"/",""),"?",""),"_",""),",",""),"[",""),"]",""),"(",""),")",""),"*","")</f>
        <v/>
      </c>
      <c r="AX515" s="61" t="str">
        <f aca="false">SUBSTITUTE(SUBSTITUTE(SUBSTITUTE(SUBSTITUTE(SUBSTITUTE(SUBSTITUTE(SUBSTITUTE(SUBSTITUTE(SUBSTITUTE(SUBSTITUTE(SUBSTITUTE(SUBSTITUTE(SUBSTITUTE(SUBSTITUTE(SUBSTITUTE(SUBSTITUTE(LOWER(AE515&amp;""),CHAR(10),""),CHAR(13),""),CHAR(9),""),CHAR(160),"")," ",""),".",""),"-",""),"/",""),"?",""),"_",""),",",""),"[",""),"]",""),"(",""),")",""),"*","")</f>
        <v/>
      </c>
      <c r="AY515" s="61" t="str">
        <f aca="false">SUBSTITUTE(SUBSTITUTE(SUBSTITUTE(SUBSTITUTE(SUBSTITUTE(SUBSTITUTE(SUBSTITUTE(SUBSTITUTE(SUBSTITUTE(SUBSTITUTE(SUBSTITUTE(SUBSTITUTE(SUBSTITUTE(SUBSTITUTE(SUBSTITUTE(SUBSTITUTE(LOWER(W515&amp;""),CHAR(10),""),CHAR(13),""),CHAR(9),""),CHAR(160),"")," ",""),".",""),"-",""),"/",""),"?",""),"_",""),",",""),"[",""),"]",""),"(",""),")",""),"*","")</f>
        <v/>
      </c>
      <c r="AZ515" s="61" t="str">
        <f aca="false">SUBSTITUTE(SUBSTITUTE(SUBSTITUTE(SUBSTITUTE(SUBSTITUTE(SUBSTITUTE(SUBSTITUTE(SUBSTITUTE(SUBSTITUTE(SUBSTITUTE(SUBSTITUTE(SUBSTITUTE(SUBSTITUTE(SUBSTITUTE(SUBSTITUTE(SUBSTITUTE(LOWER(AC515&amp;""),CHAR(10),""),CHAR(13),""),CHAR(9),""),CHAR(160),"")," ",""),".",""),"-",""),"/",""),"?",""),"_",""),",",""),"[",""),"]",""),"(",""),")",""),"*","")</f>
        <v/>
      </c>
      <c r="BA515" s="61" t="str">
        <f aca="false">SUBSTITUTE(SUBSTITUTE(SUBSTITUTE(SUBSTITUTE(SUBSTITUTE(SUBSTITUTE(SUBSTITUTE(SUBSTITUTE(SUBSTITUTE(SUBSTITUTE(SUBSTITUTE(SUBSTITUTE(SUBSTITUTE(SUBSTITUTE(SUBSTITUTE(SUBSTITUTE(LOWER(AA515&amp;""),CHAR(10),""),CHAR(13),""),CHAR(9),""),CHAR(160),"")," ",""),".",""),"-",""),"/",""),"?",""),"_",""),",",""),"[",""),"]",""),"(",""),")",""),"*","")</f>
        <v/>
      </c>
      <c r="BB515" s="61" t="str">
        <f aca="false">IF(AND(TRIM(U515)="Pass",ISNUMBER(AF515)),IF(AF515&lt;&gt;0,"INVALID – qty variance: use Fail or Pass after CA",""),"")&amp;IF(AND(TRIM(U515)="Pass after CA",ISNUMBER(AF515)),IF(AF515&lt;&gt;0,"INVALID – after the corrective action the actual qty must equal expected (update Actual)",""),"")&amp;IF(AND(TRIM(U515)="Pass",TRIM(AB515)&lt;&gt;"",TRIM(AB515)&lt;&gt;"Closed"),"INVALID – corrective action not closed: use Fail, then Pass after CA","")&amp;IF(AND(LEN(BA515)&gt;=2,ISNA(MATCH(LEFT(BA515,255),L_Placeholder,0)),TRIM(AB515)=""),"INVALID – CA status missing for the recorded corrective action","")&amp;IF(AND(TRIM(U515)="Pass after CA",OR(OR(LEN(BA515)&lt;5,ISNUMBER(MATCH(BA515,L_Placeholder,0))),TRIM(AB515)&lt;&gt;"Closed")),"INVALID – corrective action not recorded/closed","")</f>
        <v/>
      </c>
      <c r="BC515" s="61" t="str">
        <f aca="false">" "&amp;TRIM(SUBSTITUTE(SUBSTITUTE(SUBSTITUTE(SUBSTITUTE(SUBSTITUTE(SUBSTITUTE(SUBSTITUTE(SUBSTITUTE(SUBSTITUTE(SUBSTITUTE(SUBSTITUTE(SUBSTITUTE(SUBSTITUTE(SUBSTITUTE(SUBSTITUTE(SUBSTITUTE(SUBSTITUTE(SUBSTITUTE(SUBSTITUTE(SUBSTITUTE(SUBSTITUTE(SUBSTITUTE(SUBSTITUTE(SUBSTITUTE(LOWER(V515&amp;""),CHAR(10)," "),CHAR(13)," "),CHAR(9)," "),CHAR(160)," "),"."," "),","," "),"-"," "),"/"," "),"("," "),")"," "),":"," "),";"," "),"_"," "),"–"," "),"?"," "),"!"," "),"*"," "),"["," "),"]"," "),"'"," "),"#"," "),"+"," "),"&amp;"," "),"\"," "))&amp;" "</f>
        <v>  </v>
      </c>
      <c r="BD515" s="61" t="str">
        <f aca="false">" "&amp;TRIM(SUBSTITUTE(SUBSTITUTE(SUBSTITUTE(SUBSTITUTE(SUBSTITUTE(SUBSTITUTE(SUBSTITUTE(SUBSTITUTE(SUBSTITUTE(SUBSTITUTE(SUBSTITUTE(SUBSTITUTE(SUBSTITUTE(SUBSTITUTE(SUBSTITUTE(SUBSTITUTE(SUBSTITUTE(SUBSTITUTE(SUBSTITUTE(SUBSTITUTE(SUBSTITUTE(SUBSTITUTE(SUBSTITUTE(SUBSTITUTE(LOWER(Z515&amp;""),CHAR(10)," "),CHAR(13)," "),CHAR(9)," "),CHAR(160)," "),"."," "),","," "),"-"," "),"/"," "),"("," "),")"," "),":"," "),";"," "),"_"," "),"–"," "),"?"," "),"!"," "),"*"," "),"["," "),"]"," "),"'"," "),"#"," "),"+"," "),"&amp;"," "),"\"," "))&amp;" "</f>
        <v>  </v>
      </c>
      <c r="BE515" s="61" t="str">
        <f aca="false">" "&amp;TRIM(SUBSTITUTE(SUBSTITUTE(SUBSTITUTE(SUBSTITUTE(SUBSTITUTE(SUBSTITUTE(SUBSTITUTE(SUBSTITUTE(SUBSTITUTE(SUBSTITUTE(SUBSTITUTE(SUBSTITUTE(SUBSTITUTE(SUBSTITUTE(SUBSTITUTE(SUBSTITUTE(SUBSTITUTE(SUBSTITUTE(SUBSTITUTE(SUBSTITUTE(SUBSTITUTE(SUBSTITUTE(SUBSTITUTE(SUBSTITUTE(LOWER(W515&amp;""),CHAR(10)," "),CHAR(13)," "),CHAR(9)," "),CHAR(160)," "),"."," "),","," "),"-"," "),"/"," "),"("," "),")"," "),":"," "),";"," "),"_"," "),"–"," "),"?"," "),"!"," "),"*"," "),"["," "),"]"," "),"'"," "),"#"," "),"+"," "),"&amp;"," "),"\"," "))&amp;" "</f>
        <v>  </v>
      </c>
      <c r="BF515" s="61" t="str">
        <f aca="false">" "&amp;TRIM(SUBSTITUTE(SUBSTITUTE(SUBSTITUTE(SUBSTITUTE(SUBSTITUTE(SUBSTITUTE(SUBSTITUTE(SUBSTITUTE(SUBSTITUTE(SUBSTITUTE(SUBSTITUTE(SUBSTITUTE(SUBSTITUTE(SUBSTITUTE(SUBSTITUTE(SUBSTITUTE(SUBSTITUTE(SUBSTITUTE(SUBSTITUTE(SUBSTITUTE(SUBSTITUTE(SUBSTITUTE(SUBSTITUTE(SUBSTITUTE(LOWER(AC515&amp;""),CHAR(10)," "),CHAR(13)," "),CHAR(9)," "),CHAR(160)," "),"."," "),","," "),"-"," "),"/"," "),"("," "),")"," "),":"," "),";"," "),"_"," "),"–"," "),"?"," "),"!"," "),"*"," "),"["," "),"]"," "),"'"," "),"#"," "),"+"," "),"&amp;"," "),"\"," "))&amp;" "</f>
        <v>  </v>
      </c>
      <c r="BG515" s="61" t="n">
        <f aca="false">IFERROR(IF(AND(TRIM(U515)="Pass",SUMPRODUCT((LEN(BC515)-LEN(SUBSTITUTE(BC515," "&amp;L_ResultBad&amp;" "," ")))/(LEN(L_ResultBad)+1))&gt;SUMPRODUCT((LEN(BC515)-LEN(SUBSTITUTE(BC515," "&amp;L_NegPhrase&amp;" "," ")))/(LEN(L_NegPhrase)+1))),1,0),0)</f>
        <v>0</v>
      </c>
      <c r="BH515" s="61" t="n">
        <f aca="false">IFERROR(IF(SUMPRODUCT((LEN(BC515)-LEN(SUBSTITUTE(BC515," "&amp;L_Pending&amp;" "," ")))/(LEN(L_Pending)+1))&gt;SUMPRODUCT((LEN(BC515)-LEN(SUBSTITUTE(BC515," "&amp;L_PendNeg&amp;" "," ")))/(LEN(L_PendNeg)+1))+SUMPRODUCT((LEN(BC515)-LEN(SUBSTITUTE(BC515," "&amp;L_PendPrep&amp;" "," ")))/(LEN(L_PendPrep)+1)),1,0),1)</f>
        <v>0</v>
      </c>
      <c r="BI515" s="61" t="n">
        <f aca="false">IFERROR(IF(SUMPRODUCT((LEN(BD515)-LEN(SUBSTITUTE(BD515," "&amp;L_PendStrict&amp;" "," ")))/(LEN(L_PendStrict)+1))&gt;SUMPRODUCT((LEN(BD515)-LEN(SUBSTITUTE(BD515," "&amp;L_PendNeg&amp;" "," ")))/(LEN(L_PendNeg)+1)),1,0),1)</f>
        <v>0</v>
      </c>
      <c r="BJ515" s="61" t="n">
        <f aca="false">IFERROR(IF(SUMPRODUCT((LEN(BE515)-LEN(SUBSTITUTE(BE515," "&amp;L_Pending&amp;" "," ")))/(LEN(L_Pending)+1))&gt;SUMPRODUCT((LEN(BE515)-LEN(SUBSTITUTE(BE515," "&amp;L_PendNeg&amp;" "," ")))/(LEN(L_PendNeg)+1))+SUMPRODUCT((LEN(BE515)-LEN(SUBSTITUTE(BE515," "&amp;L_PendPrep&amp;" "," ")))/(LEN(L_PendPrep)+1)),1,0),1)</f>
        <v>0</v>
      </c>
      <c r="BK515" s="61" t="n">
        <f aca="false">IFERROR(IF(SUMPRODUCT((LEN(BF515)-LEN(SUBSTITUTE(BF515," "&amp;L_PendStrict&amp;" "," ")))/(LEN(L_PendStrict)+1))&gt;SUMPRODUCT((LEN(BF515)-LEN(SUBSTITUTE(BF515," "&amp;L_PendNeg&amp;" "," ")))/(LEN(L_PendNeg)+1)),1,0),1)</f>
        <v>0</v>
      </c>
      <c r="BL515" s="61" t="n">
        <f aca="false">IF(ISNA(MATCH(TRIM(S515),L_EvidenceType,0)),0,BZ515)</f>
        <v>0</v>
      </c>
      <c r="BM515" s="61" t="str">
        <f aca="false">SUBSTITUTE(SUBSTITUTE(SUBSTITUTE(SUBSTITUTE(SUBSTITUTE(SUBSTITUTE(SUBSTITUTE(SUBSTITUTE(SUBSTITUTE(LOWER(Z515&amp;""),"1","0"),"2","0"),"3","0"),"4","0"),"5","0"),"6","0"),"7","0"),"8","0"),"9","0")</f>
        <v/>
      </c>
      <c r="BN515" s="61" t="str">
        <f aca="false">SUBSTITUTE(SUBSTITUTE(SUBSTITUTE(SUBSTITUTE(SUBSTITUTE(SUBSTITUTE(SUBSTITUTE(SUBSTITUTE(SUBSTITUTE(SUBSTITUTE(SUBSTITUTE(SUBSTITUTE(SUBSTITUTE(SUBSTITUTE(SUBSTITUTE(SUBSTITUTE(SUBSTITUTE(SUBSTITUTE(SUBSTITUTE(SUBSTITUTE(SUBSTITUTE(SUBSTITUTE(SUBSTITUTE(SUBSTITUTE(SUBSTITUTE(BM515,"b","a"),"c","a"),"d","a"),"e","a"),"f","a"),"g","a"),"h","a"),"i","a"),"j","a"),"k","a"),"l","a"),"m","a"),"n","a"),"o","a"),"p","a"),"q","a"),"r","a"),"s","a"),"t","a"),"u","a"),"v","a"),"w","a"),"x","a"),"y","a"),"z","a")</f>
        <v/>
      </c>
      <c r="BO515" s="61" t="str">
        <f aca="false">SUBSTITUTE(SUBSTITUTE(SUBSTITUTE(SUBSTITUTE(SUBSTITUTE(SUBSTITUTE(SUBSTITUTE(SUBSTITUTE(SUBSTITUTE(LOWER(W515&amp;""),"1","0"),"2","0"),"3","0"),"4","0"),"5","0"),"6","0"),"7","0"),"8","0"),"9","0")</f>
        <v/>
      </c>
      <c r="BP515" s="61" t="str">
        <f aca="false">SUBSTITUTE(SUBSTITUTE(SUBSTITUTE(SUBSTITUTE(SUBSTITUTE(SUBSTITUTE(SUBSTITUTE(SUBSTITUTE(SUBSTITUTE(SUBSTITUTE(SUBSTITUTE(SUBSTITUTE(SUBSTITUTE(SUBSTITUTE(SUBSTITUTE(SUBSTITUTE(SUBSTITUTE(SUBSTITUTE(SUBSTITUTE(SUBSTITUTE(SUBSTITUTE(SUBSTITUTE(SUBSTITUTE(SUBSTITUTE(SUBSTITUTE(BO515,"b","a"),"c","a"),"d","a"),"e","a"),"f","a"),"g","a"),"h","a"),"i","a"),"j","a"),"k","a"),"l","a"),"m","a"),"n","a"),"o","a"),"p","a"),"q","a"),"r","a"),"s","a"),"t","a"),"u","a"),"v","a"),"w","a"),"x","a"),"y","a"),"z","a")</f>
        <v/>
      </c>
      <c r="BQ515" s="61" t="n">
        <f aca="false">IFERROR(IF(AND(ISERROR(SEARCH(" mh"," "&amp;LOWER(W515))),ISNA(MATCH(LEFT(TRIM(BP515),255),{"0000a","000a","00a","0000aa","000aa","00aa","0aa","0000aaa","000aaa","00a00","0a00","0000-0000","00:00","a00","a0","00.00.0000","00/00/0000","00-00-0000","0000-00-00","0000/00/00","0000.00.00","00.00.00","00/00/00","00-00-00","0.00.0000","0/00/0000","0-00-0000"},0)),ISNA(MATCH(LEFT(TRIM(CA515),255),{"0000a","000a","00a","0000aa","000aa","00aa","0aa","0000aaa","000aaa","00a00","0a00","0000-0000","00:00","a00","a0","00.00.0000","00/00/0000","00-00-0000","0000-00-00","0000/00/00","0000.00.00","00.00.00","00/00/00","00-00-00","0.00.0000","0/00/0000","0-00-0000"},0)),LEN(CB515)&gt;=3,NOT(OR(SUBSTITUTE(CB515,"0","")="",AND(LEN(CB515)&gt;=4,CB515=REPT(LEFT(CB515),LEN(CB515))),ISNUMBER(MATCH(CB515,{"123","1234","12345","123456","1234567","12345678","0123","01234","012345","98765","987654","54321"},0)),AND(LEN(CB515)=8,LEFT(CB515,3)="202"))),OR(AND((LEN(CA515)-LEN(SUBSTITUTE(CA515,"a","")))&gt;=1,SUMPRODUCT(--ISNUMBER(SEARCH({"a0","a-0","a_0","a/0","a.0","a#0","0a","0-a","0_a","0/a"},BP515)))&gt;0),ISNUMBER(SEARCH("000000",BP515)))),1,0),0)</f>
        <v>0</v>
      </c>
      <c r="BR515" s="61" t="n">
        <f aca="false">IFERROR(LEN(SUBSTITUTE(CC515," ",""))-SUMPRODUCT((LEN(CC515)-LEN(SUBSTITUTE(CC515," "&amp;L_Role&amp;" "," ")))/(LEN(L_Role)+1)*LEN(L_Role)),0)</f>
        <v>0</v>
      </c>
      <c r="BS515" s="61" t="n">
        <f aca="false">IFERROR(LEN(SUBSTITUTE(CD515," ",""))-SUMPRODUCT((LEN(CD515)-LEN(SUBSTITUTE(CD515," "&amp;L_Role&amp;" "," ")))/(LEN(L_Role)+1)*LEN(L_Role)),0)</f>
        <v>0</v>
      </c>
      <c r="BT5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515,"revision",""),"version",""),"jan",""),"feb",""),"mar",""),"apr",""),"may",""),"jun",""),"jul",""),"aug",""),"sep",""),"oct",""),"nov",""),"dec",""),"utc",""),"gmt",""),"myt",""),"bst",""),"rev",""),"ver",""),"b","a"),"c","a"),"d","a"),"e","a"),"f","a"),"g","a"),"h","a"),"i","a"),"j","a"),"k","a"),"l","a"),"m","a"),"n","a"),"o","a"),"p","a"),"q","a"),"r","a"),"s","a"),"t","a"),"u","a"),"v","a"),"w","a"),"x","a"),"y","a"),"z","a")</f>
        <v/>
      </c>
      <c r="BU515" s="61" t="str">
        <f aca="false">SUBSTITUTE(SUBSTITUTE(SUBSTITUTE(SUBSTITUTE(SUBSTITUTE(SUBSTITUTE(SUBSTITUTE(SUBSTITUTE(SUBSTITUTE(SUBSTITUTE(LEFT(BM515,FIND("0",BM515&amp;"0")-1),"-",""),"_",""),"/",""),".",""),"#",""),"\\",""),":","")," ",""),"(",""),")","")</f>
        <v/>
      </c>
      <c r="BV515" s="61" t="n">
        <f aca="false">0</f>
        <v>0</v>
      </c>
      <c r="BW5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515&amp;""),"a",""),"b",""),"c",""),"d",""),"e",""),"f",""),"g",""),"h",""),"i",""),"j",""),"k",""),"l",""),"m",""),"n",""),"o",""),"p",""),"q",""),"r",""),"s",""),"t",""),"u",""),"v",""),"w",""),"x",""),"y",""),"z",""),"-",""),"_",""),"/",""),".",""),"#",""),"\\",""),":","")," ",""),"(",""),")","")</f>
        <v/>
      </c>
      <c r="BX515" s="61" t="str">
        <f aca="false">SUBSTITUTE(SUBSTITUTE(SUBSTITUTE(SUBSTITUTE(SUBSTITUTE(SUBSTITUTE(SUBSTITUTE(SUBSTITUTE(SUBSTITUTE(SUBSTITUTE(SUBSTITUTE(BM515,"0",""),"-",""),"_",""),"/",""),".",""),"#",""),"\\",""),":","")," ",""),"(",""),")","")</f>
        <v/>
      </c>
      <c r="BY515" s="62" t="n">
        <f aca="false">Q515-T24EarlyH/24</f>
        <v>46319.0486111111</v>
      </c>
      <c r="BZ515" s="61" t="n">
        <f aca="false">IFERROR(IF(IF(TRIM(S515)="Link / file path",AND(LEN(TRIM(Z515))&gt;=5,SUMPRODUCT(--ISNUMBER(SEARCH({"http","www.","\\",":\",".pdf",".jpg",".jpeg",".png",".heic",".xls",".doc",".msg",".eml",".ppt",".txt",".zip"},Z515)))&gt;0),AND(ISERROR(FIND(" ",TRIM(Z515))),NOT(OR(SUMPRODUCT(--ISNUMBER(FIND({",",";","&amp;","+"},Z515)))&gt;0,SUMPRODUCT(--ISNUMBER(SEARCH({"0/aa","0\\aa"},BN515)))&gt;0)),NOT(SUMPRODUCT(--ISNUMBER(SEARCH({"http","www.","\\",":\",".pdf",".jpg",".jpeg",".png",".heic",".xls",".doc",".msg",".eml",".ppt",".txt",".zip"},Z515)))&gt;0),NOT(LOWER(TRIM(Z515))=LOWER(Flights!$F$20)),ISNA(MATCH(BU515,{"mh","rev","revision","ver","version","v","r","a","b","seat","tray","row","gate","bay","stand","page","pg","item","line","no","cart","galley","flight","flt","table","box","bag","oven","etd","eta","std","sta","atd","ata","qty","pax","x","time","tel","ph","mob","day","wk","week","utc","gmt","myt","lt"},0)),NOT(OR(ISNUMBER(MATCH(LEFT(BN515,255),{"0000a","000a","00a","0000aa","000aa","00aa","0aa","0000aaa","000aaa","00a00","0a00","0000-0000","00:00","a00","a0","00.00.0000","00/00/0000","00-00-0000","0000-00-00","0000/00/00","0000.00.00","00.00.00","00/00/00","00-00-00","0.00.0000","0/00/0000","0-00-0000"},0)),ISNUMBER(MATCH(LEFT(BT515,255),{"0000a","000a","00a","0000aa","000aa","00aa","0aa","0000aaa","000aaa","00a00","0a00","0000-0000","00:00","a00","a0","00.00.0000","00/00/0000","00-00-0000","0000-00-00","0000/00/00","0000.00.00","00.00.00","00/00/00","00-00-00","0.00.0000","0/00/0000","0-00-0000"},0)))),NOT(OR(AND(BW515&lt;&gt;"",SUBSTITUTE(BW515,"0","")=""),AND(LEN(BW515)&gt;=4,BW515=REPT(LEFT(BW515),LEN(BW515))),ISNUMBER(MATCH(BW515,{"123","1234","12345","123456","1234567","12345678","0123","01234","012345","98765","987654","54321"},0)),ISNUMBER(MATCH(BX515,{"x","xx","xxx","xxxx","xxxxx","abc","abcd","nil","na","nan","test","tbc","tba","tbd","dummy","sample","example","eg","zz","zzz","none","null","xyz","qwe","asd","id","ref"},0)),AND(LEN(BW515)=8,BX515="",OR(LEFT(BW515,3)="202",ISNUMBER(MATCH(RIGHT(BW515,4),{"2025","2026","2027"},0)))))),OR(AND((LEN(BT515)-LEN(SUBSTITUTE(BT515,"a","")))&gt;=1,(LEN(BN515)-LEN(SUBSTITUTE(BN515,"0","")))&gt;=2,SUMPRODUCT(--ISNUMBER(SEARCH({"a0","a-0","a_0","a/0","a.0","a#0","0a","0-a","0_a","0/a"},BN515)))&gt;0),AND((LEN(BN515)-LEN(SUBSTITUTE(BN515,"a","")))=0,(LEN(BN515)-LEN(SUBSTITUTE(BN515,"0","")))&gt;=5)))),1,0),0)</f>
        <v>0</v>
      </c>
      <c r="CA5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515,"revision",""),"version",""),"jan",""),"feb",""),"mar",""),"apr",""),"may",""),"jun",""),"jul",""),"aug",""),"sep",""),"oct",""),"nov",""),"dec",""),"utc",""),"gmt",""),"myt",""),"bst",""),"rev",""),"ver",""),"b","a"),"c","a"),"d","a"),"e","a"),"f","a"),"g","a"),"h","a"),"i","a"),"j","a"),"k","a"),"l","a"),"m","a"),"n","a"),"o","a"),"p","a"),"q","a"),"r","a"),"s","a"),"t","a"),"u","a"),"v","a"),"w","a"),"x","a"),"y","a"),"z","a")</f>
        <v/>
      </c>
      <c r="CB5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515&amp;""),"a",""),"b",""),"c",""),"d",""),"e",""),"f",""),"g",""),"h",""),"i",""),"j",""),"k",""),"l",""),"m",""),"n",""),"o",""),"p",""),"q",""),"r",""),"s",""),"t",""),"u",""),"v",""),"w",""),"x",""),"y",""),"z",""),"-",""),"_",""),"/",""),".",""),"#",""),"\\",""),":","")," ",""),"(",""),")","")</f>
        <v/>
      </c>
      <c r="CC515" s="0" t="str">
        <f aca="false">" "&amp;TRIM(SUBSTITUTE(SUBSTITUTE(SUBSTITUTE(SUBSTITUTE(SUBSTITUTE(SUBSTITUTE(SUBSTITUTE(SUBSTITUTE(SUBSTITUTE(SUBSTITUTE(SUBSTITUTE(SUBSTITUTE(SUBSTITUTE(SUBSTITUTE(SUBSTITUTE(SUBSTITUTE(SUBSTITUTE(SUBSTITUTE(SUBSTITUTE(SUBSTITUTE(SUBSTITUTE(SUBSTITUTE(SUBSTITUTE(SUBSTITUTE(LOWER(T515&amp;""),CHAR(10)," "),CHAR(13)," "),CHAR(9)," "),CHAR(160)," "),"."," "),","," "),"-"," "),"/"," "),"("," "),")"," "),":"," "),";"," "),"_"," "),"–"," "),"?"," "),"!"," "),"*"," "),"["," "),"]"," "),"'"," "),"#"," "),"+"," "),"&amp;"," "),"\"," "))&amp;" "</f>
        <v>  </v>
      </c>
      <c r="CD515" s="0" t="str">
        <f aca="false">" "&amp;TRIM(SUBSTITUTE(SUBSTITUTE(SUBSTITUTE(SUBSTITUTE(SUBSTITUTE(SUBSTITUTE(SUBSTITUTE(SUBSTITUTE(SUBSTITUTE(SUBSTITUTE(SUBSTITUTE(SUBSTITUTE(SUBSTITUTE(SUBSTITUTE(SUBSTITUTE(SUBSTITUTE(SUBSTITUTE(SUBSTITUTE(SUBSTITUTE(SUBSTITUTE(SUBSTITUTE(SUBSTITUTE(SUBSTITUTE(SUBSTITUTE(LOWER(AE515&amp;""),CHAR(10)," "),CHAR(13)," "),CHAR(9)," "),CHAR(160)," "),"."," "),","," "),"-"," "),"/"," "),"("," "),")"," "),":"," "),";"," "),"_"," "),"–"," "),"?"," "),"!"," "),"*"," "),"["," "),"]"," "),"'"," "),"#"," "),"+"," "),"&amp;"," "),"\"," "))&amp;" "</f>
        <v>  </v>
      </c>
      <c r="CE515" s="68" t="n">
        <f aca="false">IFERROR(IF(AND(LEN(AU515)&gt;0,LEN(AU515)=LEN(AX515),OR(TRIM(MID(SUBSTITUTE(TRIM(CC515)," ",REPT(" ",60)),1,60))="",ISNUMBER(SEARCH(" "&amp;TRIM(MID(SUBSTITUTE(TRIM(CC515)," ",REPT(" ",60)),1,60))&amp;" ",CD515))),OR(TRIM(MID(SUBSTITUTE(TRIM(CC515)," ",REPT(" ",60)),61,60))="",ISNUMBER(SEARCH(" "&amp;TRIM(MID(SUBSTITUTE(TRIM(CC515)," ",REPT(" ",60)),61,60))&amp;" ",CD515))),OR(TRIM(MID(SUBSTITUTE(TRIM(CC515)," ",REPT(" ",60)),121,60))="",ISNUMBER(SEARCH(" "&amp;TRIM(MID(SUBSTITUTE(TRIM(CC515)," ",REPT(" ",60)),121,60))&amp;" ",CD515)))),1,0),0)</f>
        <v>0</v>
      </c>
      <c r="CG515" s="68" t="n">
        <f aca="false">IFERROR(LEN(SUBSTITUTE(BF515," ",""))-SUMPRODUCT((LEN(BF515)-LEN(SUBSTITUTE(BF515," "&amp;L_NAFiller&amp;" "," ")))/(LEN(L_NAFiller)+1)*LEN(L_NAFiller)),0)</f>
        <v>0</v>
      </c>
    </row>
    <row r="516" customFormat="false" ht="39.75" hidden="false" customHeight="true" outlineLevel="0" collapsed="false">
      <c r="A516" s="57" t="s">
        <v>1173</v>
      </c>
      <c r="B516" s="57" t="s">
        <v>280</v>
      </c>
      <c r="C516" s="57" t="str">
        <f aca="false">Flights!$F$20</f>
        <v>MH0072</v>
      </c>
      <c r="D516" s="58" t="n">
        <f aca="false">Flights!$D$20</f>
        <v>46321</v>
      </c>
      <c r="E516" s="57" t="str">
        <f aca="false">Flights!$G$20&amp;"-"&amp;Flights!$H$20</f>
        <v>KUL-HKG</v>
      </c>
      <c r="F516" s="57" t="str">
        <f aca="false">Flights!$K$20</f>
        <v>EY</v>
      </c>
      <c r="G516" s="57" t="s">
        <v>420</v>
      </c>
      <c r="H516" s="57" t="s">
        <v>378</v>
      </c>
      <c r="I516" s="57" t="s">
        <v>379</v>
      </c>
      <c r="J516" s="57" t="s">
        <v>421</v>
      </c>
      <c r="K516" s="67"/>
      <c r="L516" s="67" t="s">
        <v>422</v>
      </c>
      <c r="M516" s="67"/>
      <c r="N516" s="67" t="s">
        <v>383</v>
      </c>
      <c r="O516" s="67" t="s">
        <v>423</v>
      </c>
      <c r="P516" s="57" t="s">
        <v>187</v>
      </c>
      <c r="Q516" s="59" t="n">
        <f aca="false">ROUND((Flights!$AE$20)*1440,0)/1440</f>
        <v>46320.5486111111</v>
      </c>
      <c r="R516" s="59" t="n">
        <f aca="false">Q516+(IF(AND(INDEX(TZ_DSTS,MATCH(P516,TZ_STN,0))&lt;&gt;"",Q516&gt;=INDEX(TZ_DSTS,MATCH(P516,TZ_STN,0)),Q516&lt;INDEX(TZ_DSTE,MATCH(P516,TZ_STN,0))),INDEX(TZ_DST,MATCH(P516,TZ_STN,0)),INDEX(TZ_STD,MATCH(P516,TZ_STN,0))))/24</f>
        <v>46320.8819444444</v>
      </c>
      <c r="S516" s="60"/>
      <c r="T516" s="60"/>
      <c r="U516" s="60"/>
      <c r="V516" s="60"/>
      <c r="W516" s="61"/>
      <c r="X516" s="60"/>
      <c r="Y516" s="60"/>
      <c r="Z516" s="60"/>
      <c r="AA516" s="60"/>
      <c r="AB516" s="60"/>
      <c r="AC516" s="60"/>
      <c r="AD516" s="66"/>
      <c r="AE516" s="60"/>
      <c r="AF516" s="61" t="str">
        <f aca="false">IF(AND(ISNUMBER(X516),ISNUMBER(Y516)),Y516-X516,"")</f>
        <v/>
      </c>
      <c r="AG516" s="62" t="str">
        <f aca="false">IF(ISNUMBER(AD516),AD516-(IF(AND(INDEX(TZ_DSTS,MATCH(P516,TZ_STN,0))&lt;&gt;"",(AD516-INDEX(TZ_STD,MATCH(P516,TZ_STN,0))/24)&gt;=INDEX(TZ_DSTS,MATCH(P516,TZ_STN,0)),(AD516-INDEX(TZ_STD,MATCH(P516,TZ_STN,0))/24)&lt;INDEX(TZ_DSTE,MATCH(P516,TZ_STN,0))),INDEX(TZ_DST,MATCH(P516,TZ_STN,0)),INDEX(TZ_STD,MATCH(P516,TZ_STN,0))))/24,"")</f>
        <v/>
      </c>
      <c r="AH516" s="65" t="str">
        <f aca="false">IFERROR(IF(N516="N/A – rule",IF(OR(TRIM(U516)="",TRIM(U516)="N/A",TRIM(U516)="Not started"),"N/A – RULE","INVALID – this check does not apply to this aircraft: clear the status (or correct the fleet on Flights)"),IF(TRIM(U516)="N/A",IF(AT516=0,"INVALID – N/A not permitted for this check",IF(AND(TRIM(AB516)&lt;&gt;"",TRIM(AB516)&lt;&gt;"Closed"),"INVALID – corrective action still open",IF(AND(NOT(OR(LEN(AZ516)&lt;15,ISNUMBER(MATCH(AZ516,L_Placeholder,0)))),BK516=0,CG516&gt;=8,NOT(OR(LEN(AU516)&lt;2,ISNUMBER(MATCH(AU516,L_Placeholder,0)))),BR516&gt;=3,NOT(OR(LEN(AX516)&lt;2,ISNUMBER(MATCH(AX516,L_Placeholder,0)))),BS516&gt;=3,TRIM(AE516)&lt;&gt;TRIM(T516),AX516&lt;&gt;AU516,CE516=0),"N/A – JUSTIFIED","INVALID – N/A needs a real, settled reason (not 'not applicable' / 'as above' / TBC), a named PIC and a different named verifier"))),IF(OR(TRIM(U516)="Pass",TRIM(U516)="Pass after CA"),IF(NOT(ISNUMBER(AD516)),"INVALID – completion time missing",IF(OR(OR(LEN(AU516)&lt;2,ISNUMBER(MATCH(AU516,L_Placeholder,0))),BR516&lt;3),"INVALID – PIC missing or not a named person (a role such as QA / CSM is not a name)",IF(OR(LEN(AV516)&lt;2,ISNUMBER(MATCH(AV516,L_Placeholder,0))),"INVALID – result / assessment missing",IF(OR(OR(LEN(AW516)&lt;3,ISNUMBER(MATCH(AW516,L_Placeholder,0))),SUMPRODUCT(--ISNUMBER(SEARCH(" "&amp;L_EvidencePhrase&amp;" ",BD516)))&gt;0,BI516=1),"INVALID – evidence missing, placeholder or not yet on file",IF(ISNA(MATCH(TRIM(S516),L_EvidenceType,0)),"INVALID – choose the evidence type from the list (column S)",IF(BL516=0,"INVALID – evidence ID must be the record's own ID only (e.g. SF-2210, IMG_2231, 1045521); a link / file name needs type 'Link / file path'",IF(OR(OR(LEN(AX516)&lt;2,ISNUMBER(MATCH(AX516,L_Placeholder,0))),BS516&lt;3),"INVALID – verifier missing or not a named person (a role such as QA / CSM is not a name)",IF(OR(AX516=AU516,CE516=1,AND(LEN(AU516)&gt;=4,ISNUMBER(SEARCH(AU516,AX516))),AND(LEN(AX516)&gt;=4,ISNUMBER(SEARCH(AX516,AU516)))),"INVALID – verifier must be a different, named person (not the PIC or a role)",IF(BH516=1,"INVALID – result not yet available (awaiting / TBC)",IF(BG516=1,"INVALID – result describes a problem: record Fail, then Pass after CA (or reword if it is not a problem)",IF(BV516=1,"INVALID – wording says not on board: an on-board confirmation needs the item loaded",IF(AND(AQ516=1,OR(OR(LEN(AY516)&lt;3,ISNUMBER(MATCH(AY516,L_Placeholder,0))),BJ516=1,BQ516=0)),"INVALID – batch ID missing, placeholder or not an ID (e.g. PASB-261008-BC-017)",IF(AND(AR516=1,OR(NOT(ISNUMBER(X516)),NOT(ISNUMBER(Y516)))),"INVALID – expected/actual qty missing",IF(AND(AR516=1,OR(X516&lt;=0,Y516&lt;0)),"INVALID – expected qty must be above 0 and actual not negative",IF(BB516&lt;&gt;"",BB516,IF(AND(AS516=1,Documents!$J$20&lt;&gt;"ON FILE"),"INVALID – GLD not on file (Documents sheet)",IF(AND(AS516=2,Documents!$O$20&lt;&gt;"ON FILE"),"INVALID – menu checklist not on file (Documents sheet)",IF(AND(AS516=3,NOT(ISNUMBER(Flights!$AX$20))),"INVALID – enter carrying flight KUL departure (Flights AX)",IF(AND(AS516=3,OR(Flights!$AZ$20&gt;Flights!$AA$20,Flights!$AX$20&lt;Flights!$AA$20-3)),"INVALID – carrying flight (Flights AX) cannot arrive before this leg's STD, or is over 3 days early",IF(AG516&gt;AsOfUTC,"INVALID – completion time is in the future",IF(AND(ISNUMBER(BY516),AG516&lt;BY516),IF(H516="Physical uplift","INVALID – before uplift window (cannot confirm loading)","INVALID – before valid window"),IF(AG516&gt;Flights!$AA$20,"INVALID – completed after departure (cannot establish readiness)",IF(AND(H516="Preparation",AG516&gt;=IF(ISNUMBER(Flights!$BA$20),MIN(Flights!$BA$20,Flights!$AA$20),Flights!$AA$20)),"INVALID – completed after loading / departure (cannot establish readiness)",IF(AND(H516="Physical uplift",AG516&gt;Q516),"INVALID – recorded after the loading flight departed",IF(AG516&gt;Q516,"COMPLETE – LATE","COMPLETE"))))))))))))))))))))))))),IF(TRIM(U516)="Fail","FAIL – DISCREPANCY",IF(AND(TRIM(U516)&lt;&gt;"",TRIM(U516)&lt;&gt;"Not started",TRIM(U516)&lt;&gt;"In progress"),"INVALID – unrecognised status (use the list)",IF(AsOfUTC&gt;Q516,"OVERDUE",IF(N516="Clarification required","OPEN – CLARIFICATION","OPEN"))))))),"INVALID – error value in an input cell")</f>
        <v>OPEN</v>
      </c>
      <c r="AI516" s="61" t="n">
        <f aca="false">IF(OR(AH516="N/A – RULE",AH516="N/A – JUSTIFIED"),0,1)</f>
        <v>1</v>
      </c>
      <c r="AJ516" s="61" t="n">
        <f aca="false">IF(LEFT(AH516,8)="COMPLETE",1,0)</f>
        <v>0</v>
      </c>
      <c r="AK516" s="61" t="n">
        <f aca="false">IF(AND(AI516=1,AJ516=0,AsOfUTC&gt;Q516),1,0)</f>
        <v>0</v>
      </c>
      <c r="AL516" s="61" t="n">
        <f aca="false">IFERROR(IF(AND(AI516=1,OR(TRIM(U516)="Fail",AND(TRIM(AB516)&lt;&gt;"",TRIM(AB516)&lt;&gt;"Closed"),AND(ISNUMBER(AF516),AF516&lt;&gt;0,TRIM(U516)&lt;&gt;"Pass after CA"))),1,0),1)</f>
        <v>0</v>
      </c>
      <c r="AM516" s="61" t="n">
        <f aca="false">IF(LEFT(AH516,7)="INVALID",1,0)</f>
        <v>0</v>
      </c>
      <c r="AN516" s="61" t="n">
        <f aca="false">IF(AND(N516="Clarification required",AI516=1,AJ516=0),1,0)</f>
        <v>0</v>
      </c>
      <c r="AO516" s="61" t="str">
        <f aca="false">IF(AK516=1,SUM(AK$5:AK516),"")</f>
        <v/>
      </c>
      <c r="AP516" s="61" t="str">
        <f aca="false">IF(AL516=1,SUM(AL$5:AL516),"")</f>
        <v/>
      </c>
      <c r="AQ516" s="61" t="n">
        <v>0</v>
      </c>
      <c r="AR516" s="61" t="n">
        <v>0</v>
      </c>
      <c r="AS516" s="61" t="n">
        <v>0</v>
      </c>
      <c r="AT516" s="61" t="n">
        <v>0</v>
      </c>
      <c r="AU516" s="61" t="str">
        <f aca="false">SUBSTITUTE(SUBSTITUTE(SUBSTITUTE(SUBSTITUTE(SUBSTITUTE(SUBSTITUTE(SUBSTITUTE(SUBSTITUTE(SUBSTITUTE(SUBSTITUTE(SUBSTITUTE(SUBSTITUTE(SUBSTITUTE(SUBSTITUTE(SUBSTITUTE(SUBSTITUTE(LOWER(T516&amp;""),CHAR(10),""),CHAR(13),""),CHAR(9),""),CHAR(160),"")," ",""),".",""),"-",""),"/",""),"?",""),"_",""),",",""),"[",""),"]",""),"(",""),")",""),"*","")</f>
        <v/>
      </c>
      <c r="AV516" s="61" t="str">
        <f aca="false">SUBSTITUTE(SUBSTITUTE(SUBSTITUTE(SUBSTITUTE(SUBSTITUTE(SUBSTITUTE(SUBSTITUTE(SUBSTITUTE(SUBSTITUTE(SUBSTITUTE(SUBSTITUTE(SUBSTITUTE(SUBSTITUTE(SUBSTITUTE(SUBSTITUTE(SUBSTITUTE(LOWER(V516&amp;""),CHAR(10),""),CHAR(13),""),CHAR(9),""),CHAR(160),"")," ",""),".",""),"-",""),"/",""),"?",""),"_",""),",",""),"[",""),"]",""),"(",""),")",""),"*","")</f>
        <v/>
      </c>
      <c r="AW516" s="61" t="str">
        <f aca="false">SUBSTITUTE(SUBSTITUTE(SUBSTITUTE(SUBSTITUTE(SUBSTITUTE(SUBSTITUTE(SUBSTITUTE(SUBSTITUTE(SUBSTITUTE(SUBSTITUTE(SUBSTITUTE(SUBSTITUTE(SUBSTITUTE(SUBSTITUTE(SUBSTITUTE(SUBSTITUTE(LOWER(Z516&amp;""),CHAR(10),""),CHAR(13),""),CHAR(9),""),CHAR(160),"")," ",""),".",""),"-",""),"/",""),"?",""),"_",""),",",""),"[",""),"]",""),"(",""),")",""),"*","")</f>
        <v/>
      </c>
      <c r="AX516" s="61" t="str">
        <f aca="false">SUBSTITUTE(SUBSTITUTE(SUBSTITUTE(SUBSTITUTE(SUBSTITUTE(SUBSTITUTE(SUBSTITUTE(SUBSTITUTE(SUBSTITUTE(SUBSTITUTE(SUBSTITUTE(SUBSTITUTE(SUBSTITUTE(SUBSTITUTE(SUBSTITUTE(SUBSTITUTE(LOWER(AE516&amp;""),CHAR(10),""),CHAR(13),""),CHAR(9),""),CHAR(160),"")," ",""),".",""),"-",""),"/",""),"?",""),"_",""),",",""),"[",""),"]",""),"(",""),")",""),"*","")</f>
        <v/>
      </c>
      <c r="AY516" s="61" t="str">
        <f aca="false">SUBSTITUTE(SUBSTITUTE(SUBSTITUTE(SUBSTITUTE(SUBSTITUTE(SUBSTITUTE(SUBSTITUTE(SUBSTITUTE(SUBSTITUTE(SUBSTITUTE(SUBSTITUTE(SUBSTITUTE(SUBSTITUTE(SUBSTITUTE(SUBSTITUTE(SUBSTITUTE(LOWER(W516&amp;""),CHAR(10),""),CHAR(13),""),CHAR(9),""),CHAR(160),"")," ",""),".",""),"-",""),"/",""),"?",""),"_",""),",",""),"[",""),"]",""),"(",""),")",""),"*","")</f>
        <v/>
      </c>
      <c r="AZ516" s="61" t="str">
        <f aca="false">SUBSTITUTE(SUBSTITUTE(SUBSTITUTE(SUBSTITUTE(SUBSTITUTE(SUBSTITUTE(SUBSTITUTE(SUBSTITUTE(SUBSTITUTE(SUBSTITUTE(SUBSTITUTE(SUBSTITUTE(SUBSTITUTE(SUBSTITUTE(SUBSTITUTE(SUBSTITUTE(LOWER(AC516&amp;""),CHAR(10),""),CHAR(13),""),CHAR(9),""),CHAR(160),"")," ",""),".",""),"-",""),"/",""),"?",""),"_",""),",",""),"[",""),"]",""),"(",""),")",""),"*","")</f>
        <v/>
      </c>
      <c r="BA516" s="61" t="str">
        <f aca="false">SUBSTITUTE(SUBSTITUTE(SUBSTITUTE(SUBSTITUTE(SUBSTITUTE(SUBSTITUTE(SUBSTITUTE(SUBSTITUTE(SUBSTITUTE(SUBSTITUTE(SUBSTITUTE(SUBSTITUTE(SUBSTITUTE(SUBSTITUTE(SUBSTITUTE(SUBSTITUTE(LOWER(AA516&amp;""),CHAR(10),""),CHAR(13),""),CHAR(9),""),CHAR(160),"")," ",""),".",""),"-",""),"/",""),"?",""),"_",""),",",""),"[",""),"]",""),"(",""),")",""),"*","")</f>
        <v/>
      </c>
      <c r="BB516" s="61" t="str">
        <f aca="false">IF(AND(TRIM(U516)="Pass",ISNUMBER(AF516)),IF(AF516&lt;&gt;0,"INVALID – qty variance: use Fail or Pass after CA",""),"")&amp;IF(AND(TRIM(U516)="Pass after CA",ISNUMBER(AF516)),IF(AF516&lt;&gt;0,"INVALID – after the corrective action the actual qty must equal expected (update Actual)",""),"")&amp;IF(AND(TRIM(U516)="Pass",TRIM(AB516)&lt;&gt;"",TRIM(AB516)&lt;&gt;"Closed"),"INVALID – corrective action not closed: use Fail, then Pass after CA","")&amp;IF(AND(LEN(BA516)&gt;=2,ISNA(MATCH(LEFT(BA516,255),L_Placeholder,0)),TRIM(AB516)=""),"INVALID – CA status missing for the recorded corrective action","")&amp;IF(AND(TRIM(U516)="Pass after CA",OR(OR(LEN(BA516)&lt;5,ISNUMBER(MATCH(BA516,L_Placeholder,0))),TRIM(AB516)&lt;&gt;"Closed")),"INVALID – corrective action not recorded/closed","")</f>
        <v/>
      </c>
      <c r="BC516" s="61" t="str">
        <f aca="false">" "&amp;TRIM(SUBSTITUTE(SUBSTITUTE(SUBSTITUTE(SUBSTITUTE(SUBSTITUTE(SUBSTITUTE(SUBSTITUTE(SUBSTITUTE(SUBSTITUTE(SUBSTITUTE(SUBSTITUTE(SUBSTITUTE(SUBSTITUTE(SUBSTITUTE(SUBSTITUTE(SUBSTITUTE(SUBSTITUTE(SUBSTITUTE(SUBSTITUTE(SUBSTITUTE(SUBSTITUTE(SUBSTITUTE(SUBSTITUTE(SUBSTITUTE(LOWER(V516&amp;""),CHAR(10)," "),CHAR(13)," "),CHAR(9)," "),CHAR(160)," "),"."," "),","," "),"-"," "),"/"," "),"("," "),")"," "),":"," "),";"," "),"_"," "),"–"," "),"?"," "),"!"," "),"*"," "),"["," "),"]"," "),"'"," "),"#"," "),"+"," "),"&amp;"," "),"\"," "))&amp;" "</f>
        <v>  </v>
      </c>
      <c r="BD516" s="61" t="str">
        <f aca="false">" "&amp;TRIM(SUBSTITUTE(SUBSTITUTE(SUBSTITUTE(SUBSTITUTE(SUBSTITUTE(SUBSTITUTE(SUBSTITUTE(SUBSTITUTE(SUBSTITUTE(SUBSTITUTE(SUBSTITUTE(SUBSTITUTE(SUBSTITUTE(SUBSTITUTE(SUBSTITUTE(SUBSTITUTE(SUBSTITUTE(SUBSTITUTE(SUBSTITUTE(SUBSTITUTE(SUBSTITUTE(SUBSTITUTE(SUBSTITUTE(SUBSTITUTE(LOWER(Z516&amp;""),CHAR(10)," "),CHAR(13)," "),CHAR(9)," "),CHAR(160)," "),"."," "),","," "),"-"," "),"/"," "),"("," "),")"," "),":"," "),";"," "),"_"," "),"–"," "),"?"," "),"!"," "),"*"," "),"["," "),"]"," "),"'"," "),"#"," "),"+"," "),"&amp;"," "),"\"," "))&amp;" "</f>
        <v>  </v>
      </c>
      <c r="BE516" s="61" t="str">
        <f aca="false">" "&amp;TRIM(SUBSTITUTE(SUBSTITUTE(SUBSTITUTE(SUBSTITUTE(SUBSTITUTE(SUBSTITUTE(SUBSTITUTE(SUBSTITUTE(SUBSTITUTE(SUBSTITUTE(SUBSTITUTE(SUBSTITUTE(SUBSTITUTE(SUBSTITUTE(SUBSTITUTE(SUBSTITUTE(SUBSTITUTE(SUBSTITUTE(SUBSTITUTE(SUBSTITUTE(SUBSTITUTE(SUBSTITUTE(SUBSTITUTE(SUBSTITUTE(LOWER(W516&amp;""),CHAR(10)," "),CHAR(13)," "),CHAR(9)," "),CHAR(160)," "),"."," "),","," "),"-"," "),"/"," "),"("," "),")"," "),":"," "),";"," "),"_"," "),"–"," "),"?"," "),"!"," "),"*"," "),"["," "),"]"," "),"'"," "),"#"," "),"+"," "),"&amp;"," "),"\"," "))&amp;" "</f>
        <v>  </v>
      </c>
      <c r="BF516" s="61" t="str">
        <f aca="false">" "&amp;TRIM(SUBSTITUTE(SUBSTITUTE(SUBSTITUTE(SUBSTITUTE(SUBSTITUTE(SUBSTITUTE(SUBSTITUTE(SUBSTITUTE(SUBSTITUTE(SUBSTITUTE(SUBSTITUTE(SUBSTITUTE(SUBSTITUTE(SUBSTITUTE(SUBSTITUTE(SUBSTITUTE(SUBSTITUTE(SUBSTITUTE(SUBSTITUTE(SUBSTITUTE(SUBSTITUTE(SUBSTITUTE(SUBSTITUTE(SUBSTITUTE(LOWER(AC516&amp;""),CHAR(10)," "),CHAR(13)," "),CHAR(9)," "),CHAR(160)," "),"."," "),","," "),"-"," "),"/"," "),"("," "),")"," "),":"," "),";"," "),"_"," "),"–"," "),"?"," "),"!"," "),"*"," "),"["," "),"]"," "),"'"," "),"#"," "),"+"," "),"&amp;"," "),"\"," "))&amp;" "</f>
        <v>  </v>
      </c>
      <c r="BG516" s="61" t="n">
        <f aca="false">IFERROR(IF(AND(TRIM(U516)="Pass",SUMPRODUCT((LEN(BC516)-LEN(SUBSTITUTE(BC516," "&amp;L_ResultBad&amp;" "," ")))/(LEN(L_ResultBad)+1))&gt;SUMPRODUCT((LEN(BC516)-LEN(SUBSTITUTE(BC516," "&amp;L_NegPhrase&amp;" "," ")))/(LEN(L_NegPhrase)+1))),1,0),0)</f>
        <v>0</v>
      </c>
      <c r="BH516" s="61" t="n">
        <f aca="false">IFERROR(IF(SUMPRODUCT((LEN(BC516)-LEN(SUBSTITUTE(BC516," "&amp;L_Pending&amp;" "," ")))/(LEN(L_Pending)+1))&gt;SUMPRODUCT((LEN(BC516)-LEN(SUBSTITUTE(BC516," "&amp;L_PendNeg&amp;" "," ")))/(LEN(L_PendNeg)+1))+SUMPRODUCT((LEN(BC516)-LEN(SUBSTITUTE(BC516," "&amp;L_PendPrep&amp;" "," ")))/(LEN(L_PendPrep)+1)),1,0),1)</f>
        <v>0</v>
      </c>
      <c r="BI516" s="61" t="n">
        <f aca="false">IFERROR(IF(SUMPRODUCT((LEN(BD516)-LEN(SUBSTITUTE(BD516," "&amp;L_PendStrict&amp;" "," ")))/(LEN(L_PendStrict)+1))&gt;SUMPRODUCT((LEN(BD516)-LEN(SUBSTITUTE(BD516," "&amp;L_PendNeg&amp;" "," ")))/(LEN(L_PendNeg)+1)),1,0),1)</f>
        <v>0</v>
      </c>
      <c r="BJ516" s="61" t="n">
        <f aca="false">IFERROR(IF(SUMPRODUCT((LEN(BE516)-LEN(SUBSTITUTE(BE516," "&amp;L_Pending&amp;" "," ")))/(LEN(L_Pending)+1))&gt;SUMPRODUCT((LEN(BE516)-LEN(SUBSTITUTE(BE516," "&amp;L_PendNeg&amp;" "," ")))/(LEN(L_PendNeg)+1))+SUMPRODUCT((LEN(BE516)-LEN(SUBSTITUTE(BE516," "&amp;L_PendPrep&amp;" "," ")))/(LEN(L_PendPrep)+1)),1,0),1)</f>
        <v>0</v>
      </c>
      <c r="BK516" s="61" t="n">
        <f aca="false">IFERROR(IF(SUMPRODUCT((LEN(BF516)-LEN(SUBSTITUTE(BF516," "&amp;L_PendStrict&amp;" "," ")))/(LEN(L_PendStrict)+1))&gt;SUMPRODUCT((LEN(BF516)-LEN(SUBSTITUTE(BF516," "&amp;L_PendNeg&amp;" "," ")))/(LEN(L_PendNeg)+1)),1,0),1)</f>
        <v>0</v>
      </c>
      <c r="BL516" s="61" t="n">
        <f aca="false">IF(ISNA(MATCH(TRIM(S516),L_EvidenceType,0)),0,BZ516)</f>
        <v>0</v>
      </c>
      <c r="BM516" s="61" t="str">
        <f aca="false">SUBSTITUTE(SUBSTITUTE(SUBSTITUTE(SUBSTITUTE(SUBSTITUTE(SUBSTITUTE(SUBSTITUTE(SUBSTITUTE(SUBSTITUTE(LOWER(Z516&amp;""),"1","0"),"2","0"),"3","0"),"4","0"),"5","0"),"6","0"),"7","0"),"8","0"),"9","0")</f>
        <v/>
      </c>
      <c r="BN516" s="61" t="str">
        <f aca="false">SUBSTITUTE(SUBSTITUTE(SUBSTITUTE(SUBSTITUTE(SUBSTITUTE(SUBSTITUTE(SUBSTITUTE(SUBSTITUTE(SUBSTITUTE(SUBSTITUTE(SUBSTITUTE(SUBSTITUTE(SUBSTITUTE(SUBSTITUTE(SUBSTITUTE(SUBSTITUTE(SUBSTITUTE(SUBSTITUTE(SUBSTITUTE(SUBSTITUTE(SUBSTITUTE(SUBSTITUTE(SUBSTITUTE(SUBSTITUTE(SUBSTITUTE(BM516,"b","a"),"c","a"),"d","a"),"e","a"),"f","a"),"g","a"),"h","a"),"i","a"),"j","a"),"k","a"),"l","a"),"m","a"),"n","a"),"o","a"),"p","a"),"q","a"),"r","a"),"s","a"),"t","a"),"u","a"),"v","a"),"w","a"),"x","a"),"y","a"),"z","a")</f>
        <v/>
      </c>
      <c r="BO516" s="61" t="str">
        <f aca="false">SUBSTITUTE(SUBSTITUTE(SUBSTITUTE(SUBSTITUTE(SUBSTITUTE(SUBSTITUTE(SUBSTITUTE(SUBSTITUTE(SUBSTITUTE(LOWER(W516&amp;""),"1","0"),"2","0"),"3","0"),"4","0"),"5","0"),"6","0"),"7","0"),"8","0"),"9","0")</f>
        <v/>
      </c>
      <c r="BP516" s="61" t="str">
        <f aca="false">SUBSTITUTE(SUBSTITUTE(SUBSTITUTE(SUBSTITUTE(SUBSTITUTE(SUBSTITUTE(SUBSTITUTE(SUBSTITUTE(SUBSTITUTE(SUBSTITUTE(SUBSTITUTE(SUBSTITUTE(SUBSTITUTE(SUBSTITUTE(SUBSTITUTE(SUBSTITUTE(SUBSTITUTE(SUBSTITUTE(SUBSTITUTE(SUBSTITUTE(SUBSTITUTE(SUBSTITUTE(SUBSTITUTE(SUBSTITUTE(SUBSTITUTE(BO516,"b","a"),"c","a"),"d","a"),"e","a"),"f","a"),"g","a"),"h","a"),"i","a"),"j","a"),"k","a"),"l","a"),"m","a"),"n","a"),"o","a"),"p","a"),"q","a"),"r","a"),"s","a"),"t","a"),"u","a"),"v","a"),"w","a"),"x","a"),"y","a"),"z","a")</f>
        <v/>
      </c>
      <c r="BQ516" s="61" t="n">
        <f aca="false">IFERROR(IF(AND(ISERROR(SEARCH(" mh"," "&amp;LOWER(W516))),ISNA(MATCH(LEFT(TRIM(BP516),255),{"0000a","000a","00a","0000aa","000aa","00aa","0aa","0000aaa","000aaa","00a00","0a00","0000-0000","00:00","a00","a0","00.00.0000","00/00/0000","00-00-0000","0000-00-00","0000/00/00","0000.00.00","00.00.00","00/00/00","00-00-00","0.00.0000","0/00/0000","0-00-0000"},0)),ISNA(MATCH(LEFT(TRIM(CA516),255),{"0000a","000a","00a","0000aa","000aa","00aa","0aa","0000aaa","000aaa","00a00","0a00","0000-0000","00:00","a00","a0","00.00.0000","00/00/0000","00-00-0000","0000-00-00","0000/00/00","0000.00.00","00.00.00","00/00/00","00-00-00","0.00.0000","0/00/0000","0-00-0000"},0)),LEN(CB516)&gt;=3,NOT(OR(SUBSTITUTE(CB516,"0","")="",AND(LEN(CB516)&gt;=4,CB516=REPT(LEFT(CB516),LEN(CB516))),ISNUMBER(MATCH(CB516,{"123","1234","12345","123456","1234567","12345678","0123","01234","012345","98765","987654","54321"},0)),AND(LEN(CB516)=8,LEFT(CB516,3)="202"))),OR(AND((LEN(CA516)-LEN(SUBSTITUTE(CA516,"a","")))&gt;=1,SUMPRODUCT(--ISNUMBER(SEARCH({"a0","a-0","a_0","a/0","a.0","a#0","0a","0-a","0_a","0/a"},BP516)))&gt;0),ISNUMBER(SEARCH("000000",BP516)))),1,0),0)</f>
        <v>0</v>
      </c>
      <c r="BR516" s="61" t="n">
        <f aca="false">IFERROR(LEN(SUBSTITUTE(CC516," ",""))-SUMPRODUCT((LEN(CC516)-LEN(SUBSTITUTE(CC516," "&amp;L_Role&amp;" "," ")))/(LEN(L_Role)+1)*LEN(L_Role)),0)</f>
        <v>0</v>
      </c>
      <c r="BS516" s="61" t="n">
        <f aca="false">IFERROR(LEN(SUBSTITUTE(CD516," ",""))-SUMPRODUCT((LEN(CD516)-LEN(SUBSTITUTE(CD516," "&amp;L_Role&amp;" "," ")))/(LEN(L_Role)+1)*LEN(L_Role)),0)</f>
        <v>0</v>
      </c>
      <c r="BT5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516,"revision",""),"version",""),"jan",""),"feb",""),"mar",""),"apr",""),"may",""),"jun",""),"jul",""),"aug",""),"sep",""),"oct",""),"nov",""),"dec",""),"utc",""),"gmt",""),"myt",""),"bst",""),"rev",""),"ver",""),"b","a"),"c","a"),"d","a"),"e","a"),"f","a"),"g","a"),"h","a"),"i","a"),"j","a"),"k","a"),"l","a"),"m","a"),"n","a"),"o","a"),"p","a"),"q","a"),"r","a"),"s","a"),"t","a"),"u","a"),"v","a"),"w","a"),"x","a"),"y","a"),"z","a")</f>
        <v/>
      </c>
      <c r="BU516" s="61" t="str">
        <f aca="false">SUBSTITUTE(SUBSTITUTE(SUBSTITUTE(SUBSTITUTE(SUBSTITUTE(SUBSTITUTE(SUBSTITUTE(SUBSTITUTE(SUBSTITUTE(SUBSTITUTE(LEFT(BM516,FIND("0",BM516&amp;"0")-1),"-",""),"_",""),"/",""),".",""),"#",""),"\\",""),":","")," ",""),"(",""),")","")</f>
        <v/>
      </c>
      <c r="BV516" s="61" t="n">
        <f aca="false">0</f>
        <v>0</v>
      </c>
      <c r="BW5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516&amp;""),"a",""),"b",""),"c",""),"d",""),"e",""),"f",""),"g",""),"h",""),"i",""),"j",""),"k",""),"l",""),"m",""),"n",""),"o",""),"p",""),"q",""),"r",""),"s",""),"t",""),"u",""),"v",""),"w",""),"x",""),"y",""),"z",""),"-",""),"_",""),"/",""),".",""),"#",""),"\\",""),":","")," ",""),"(",""),")","")</f>
        <v/>
      </c>
      <c r="BX516" s="61" t="str">
        <f aca="false">SUBSTITUTE(SUBSTITUTE(SUBSTITUTE(SUBSTITUTE(SUBSTITUTE(SUBSTITUTE(SUBSTITUTE(SUBSTITUTE(SUBSTITUTE(SUBSTITUTE(SUBSTITUTE(BM516,"0",""),"-",""),"_",""),"/",""),".",""),"#",""),"\\",""),":","")," ",""),"(",""),")","")</f>
        <v/>
      </c>
      <c r="BY516" s="62" t="n">
        <f aca="false">Q516-T12EarlyH/24</f>
        <v>46320.0486111111</v>
      </c>
      <c r="BZ516" s="61" t="n">
        <f aca="false">IFERROR(IF(IF(TRIM(S516)="Link / file path",AND(LEN(TRIM(Z516))&gt;=5,SUMPRODUCT(--ISNUMBER(SEARCH({"http","www.","\\",":\",".pdf",".jpg",".jpeg",".png",".heic",".xls",".doc",".msg",".eml",".ppt",".txt",".zip"},Z516)))&gt;0),AND(ISERROR(FIND(" ",TRIM(Z516))),NOT(OR(SUMPRODUCT(--ISNUMBER(FIND({",",";","&amp;","+"},Z516)))&gt;0,SUMPRODUCT(--ISNUMBER(SEARCH({"0/aa","0\\aa"},BN516)))&gt;0)),NOT(SUMPRODUCT(--ISNUMBER(SEARCH({"http","www.","\\",":\",".pdf",".jpg",".jpeg",".png",".heic",".xls",".doc",".msg",".eml",".ppt",".txt",".zip"},Z516)))&gt;0),NOT(LOWER(TRIM(Z516))=LOWER(Flights!$F$20)),ISNA(MATCH(BU516,{"mh","rev","revision","ver","version","v","r","a","b","seat","tray","row","gate","bay","stand","page","pg","item","line","no","cart","galley","flight","flt","table","box","bag","oven","etd","eta","std","sta","atd","ata","qty","pax","x","time","tel","ph","mob","day","wk","week","utc","gmt","myt","lt"},0)),NOT(OR(ISNUMBER(MATCH(LEFT(BN516,255),{"0000a","000a","00a","0000aa","000aa","00aa","0aa","0000aaa","000aaa","00a00","0a00","0000-0000","00:00","a00","a0","00.00.0000","00/00/0000","00-00-0000","0000-00-00","0000/00/00","0000.00.00","00.00.00","00/00/00","00-00-00","0.00.0000","0/00/0000","0-00-0000"},0)),ISNUMBER(MATCH(LEFT(BT516,255),{"0000a","000a","00a","0000aa","000aa","00aa","0aa","0000aaa","000aaa","00a00","0a00","0000-0000","00:00","a00","a0","00.00.0000","00/00/0000","00-00-0000","0000-00-00","0000/00/00","0000.00.00","00.00.00","00/00/00","00-00-00","0.00.0000","0/00/0000","0-00-0000"},0)))),NOT(OR(AND(BW516&lt;&gt;"",SUBSTITUTE(BW516,"0","")=""),AND(LEN(BW516)&gt;=4,BW516=REPT(LEFT(BW516),LEN(BW516))),ISNUMBER(MATCH(BW516,{"123","1234","12345","123456","1234567","12345678","0123","01234","012345","98765","987654","54321"},0)),ISNUMBER(MATCH(BX516,{"x","xx","xxx","xxxx","xxxxx","abc","abcd","nil","na","nan","test","tbc","tba","tbd","dummy","sample","example","eg","zz","zzz","none","null","xyz","qwe","asd","id","ref"},0)),AND(LEN(BW516)=8,BX516="",OR(LEFT(BW516,3)="202",ISNUMBER(MATCH(RIGHT(BW516,4),{"2025","2026","2027"},0)))))),OR(AND((LEN(BT516)-LEN(SUBSTITUTE(BT516,"a","")))&gt;=1,(LEN(BN516)-LEN(SUBSTITUTE(BN516,"0","")))&gt;=2,SUMPRODUCT(--ISNUMBER(SEARCH({"a0","a-0","a_0","a/0","a.0","a#0","0a","0-a","0_a","0/a"},BN516)))&gt;0),AND((LEN(BN516)-LEN(SUBSTITUTE(BN516,"a","")))=0,(LEN(BN516)-LEN(SUBSTITUTE(BN516,"0","")))&gt;=5)))),1,0),0)</f>
        <v>0</v>
      </c>
      <c r="CA5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516,"revision",""),"version",""),"jan",""),"feb",""),"mar",""),"apr",""),"may",""),"jun",""),"jul",""),"aug",""),"sep",""),"oct",""),"nov",""),"dec",""),"utc",""),"gmt",""),"myt",""),"bst",""),"rev",""),"ver",""),"b","a"),"c","a"),"d","a"),"e","a"),"f","a"),"g","a"),"h","a"),"i","a"),"j","a"),"k","a"),"l","a"),"m","a"),"n","a"),"o","a"),"p","a"),"q","a"),"r","a"),"s","a"),"t","a"),"u","a"),"v","a"),"w","a"),"x","a"),"y","a"),"z","a")</f>
        <v/>
      </c>
      <c r="CB5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516&amp;""),"a",""),"b",""),"c",""),"d",""),"e",""),"f",""),"g",""),"h",""),"i",""),"j",""),"k",""),"l",""),"m",""),"n",""),"o",""),"p",""),"q",""),"r",""),"s",""),"t",""),"u",""),"v",""),"w",""),"x",""),"y",""),"z",""),"-",""),"_",""),"/",""),".",""),"#",""),"\\",""),":","")," ",""),"(",""),")","")</f>
        <v/>
      </c>
      <c r="CC516" s="0" t="str">
        <f aca="false">" "&amp;TRIM(SUBSTITUTE(SUBSTITUTE(SUBSTITUTE(SUBSTITUTE(SUBSTITUTE(SUBSTITUTE(SUBSTITUTE(SUBSTITUTE(SUBSTITUTE(SUBSTITUTE(SUBSTITUTE(SUBSTITUTE(SUBSTITUTE(SUBSTITUTE(SUBSTITUTE(SUBSTITUTE(SUBSTITUTE(SUBSTITUTE(SUBSTITUTE(SUBSTITUTE(SUBSTITUTE(SUBSTITUTE(SUBSTITUTE(SUBSTITUTE(LOWER(T516&amp;""),CHAR(10)," "),CHAR(13)," "),CHAR(9)," "),CHAR(160)," "),"."," "),","," "),"-"," "),"/"," "),"("," "),")"," "),":"," "),";"," "),"_"," "),"–"," "),"?"," "),"!"," "),"*"," "),"["," "),"]"," "),"'"," "),"#"," "),"+"," "),"&amp;"," "),"\"," "))&amp;" "</f>
        <v>  </v>
      </c>
      <c r="CD516" s="0" t="str">
        <f aca="false">" "&amp;TRIM(SUBSTITUTE(SUBSTITUTE(SUBSTITUTE(SUBSTITUTE(SUBSTITUTE(SUBSTITUTE(SUBSTITUTE(SUBSTITUTE(SUBSTITUTE(SUBSTITUTE(SUBSTITUTE(SUBSTITUTE(SUBSTITUTE(SUBSTITUTE(SUBSTITUTE(SUBSTITUTE(SUBSTITUTE(SUBSTITUTE(SUBSTITUTE(SUBSTITUTE(SUBSTITUTE(SUBSTITUTE(SUBSTITUTE(SUBSTITUTE(LOWER(AE516&amp;""),CHAR(10)," "),CHAR(13)," "),CHAR(9)," "),CHAR(160)," "),"."," "),","," "),"-"," "),"/"," "),"("," "),")"," "),":"," "),";"," "),"_"," "),"–"," "),"?"," "),"!"," "),"*"," "),"["," "),"]"," "),"'"," "),"#"," "),"+"," "),"&amp;"," "),"\"," "))&amp;" "</f>
        <v>  </v>
      </c>
      <c r="CE516" s="68" t="n">
        <f aca="false">IFERROR(IF(AND(LEN(AU516)&gt;0,LEN(AU516)=LEN(AX516),OR(TRIM(MID(SUBSTITUTE(TRIM(CC516)," ",REPT(" ",60)),1,60))="",ISNUMBER(SEARCH(" "&amp;TRIM(MID(SUBSTITUTE(TRIM(CC516)," ",REPT(" ",60)),1,60))&amp;" ",CD516))),OR(TRIM(MID(SUBSTITUTE(TRIM(CC516)," ",REPT(" ",60)),61,60))="",ISNUMBER(SEARCH(" "&amp;TRIM(MID(SUBSTITUTE(TRIM(CC516)," ",REPT(" ",60)),61,60))&amp;" ",CD516))),OR(TRIM(MID(SUBSTITUTE(TRIM(CC516)," ",REPT(" ",60)),121,60))="",ISNUMBER(SEARCH(" "&amp;TRIM(MID(SUBSTITUTE(TRIM(CC516)," ",REPT(" ",60)),121,60))&amp;" ",CD516)))),1,0),0)</f>
        <v>0</v>
      </c>
      <c r="CG516" s="68" t="n">
        <f aca="false">IFERROR(LEN(SUBSTITUTE(BF516," ",""))-SUMPRODUCT((LEN(BF516)-LEN(SUBSTITUTE(BF516," "&amp;L_NAFiller&amp;" "," ")))/(LEN(L_NAFiller)+1)*LEN(L_NAFiller)),0)</f>
        <v>0</v>
      </c>
    </row>
    <row r="517" customFormat="false" ht="39.75" hidden="false" customHeight="true" outlineLevel="0" collapsed="false">
      <c r="A517" s="57" t="s">
        <v>1174</v>
      </c>
      <c r="B517" s="57" t="s">
        <v>280</v>
      </c>
      <c r="C517" s="57" t="str">
        <f aca="false">Flights!$F$20</f>
        <v>MH0072</v>
      </c>
      <c r="D517" s="58" t="n">
        <f aca="false">Flights!$D$20</f>
        <v>46321</v>
      </c>
      <c r="E517" s="57" t="str">
        <f aca="false">Flights!$G$20&amp;"-"&amp;Flights!$H$20</f>
        <v>KUL-HKG</v>
      </c>
      <c r="F517" s="57" t="str">
        <f aca="false">Flights!$K$20</f>
        <v>EY</v>
      </c>
      <c r="G517" s="57" t="s">
        <v>420</v>
      </c>
      <c r="H517" s="57" t="s">
        <v>378</v>
      </c>
      <c r="I517" s="57" t="s">
        <v>379</v>
      </c>
      <c r="J517" s="57" t="s">
        <v>425</v>
      </c>
      <c r="K517" s="67" t="s">
        <v>426</v>
      </c>
      <c r="L517" s="67" t="s">
        <v>422</v>
      </c>
      <c r="M517" s="67"/>
      <c r="N517" s="67" t="s">
        <v>383</v>
      </c>
      <c r="O517" s="67" t="s">
        <v>423</v>
      </c>
      <c r="P517" s="57" t="s">
        <v>187</v>
      </c>
      <c r="Q517" s="59" t="n">
        <f aca="false">ROUND((Flights!$AE$20)*1440,0)/1440</f>
        <v>46320.5486111111</v>
      </c>
      <c r="R517" s="59" t="n">
        <f aca="false">Q517+(IF(AND(INDEX(TZ_DSTS,MATCH(P517,TZ_STN,0))&lt;&gt;"",Q517&gt;=INDEX(TZ_DSTS,MATCH(P517,TZ_STN,0)),Q517&lt;INDEX(TZ_DSTE,MATCH(P517,TZ_STN,0))),INDEX(TZ_DST,MATCH(P517,TZ_STN,0)),INDEX(TZ_STD,MATCH(P517,TZ_STN,0))))/24</f>
        <v>46320.8819444444</v>
      </c>
      <c r="S517" s="60"/>
      <c r="T517" s="60"/>
      <c r="U517" s="60"/>
      <c r="V517" s="60"/>
      <c r="W517" s="61"/>
      <c r="X517" s="60"/>
      <c r="Y517" s="60"/>
      <c r="Z517" s="60"/>
      <c r="AA517" s="60"/>
      <c r="AB517" s="60"/>
      <c r="AC517" s="60"/>
      <c r="AD517" s="66"/>
      <c r="AE517" s="60"/>
      <c r="AF517" s="61" t="str">
        <f aca="false">IF(AND(ISNUMBER(X517),ISNUMBER(Y517)),Y517-X517,"")</f>
        <v/>
      </c>
      <c r="AG517" s="62" t="str">
        <f aca="false">IF(ISNUMBER(AD517),AD517-(IF(AND(INDEX(TZ_DSTS,MATCH(P517,TZ_STN,0))&lt;&gt;"",(AD517-INDEX(TZ_STD,MATCH(P517,TZ_STN,0))/24)&gt;=INDEX(TZ_DSTS,MATCH(P517,TZ_STN,0)),(AD517-INDEX(TZ_STD,MATCH(P517,TZ_STN,0))/24)&lt;INDEX(TZ_DSTE,MATCH(P517,TZ_STN,0))),INDEX(TZ_DST,MATCH(P517,TZ_STN,0)),INDEX(TZ_STD,MATCH(P517,TZ_STN,0))))/24,"")</f>
        <v/>
      </c>
      <c r="AH517" s="65" t="str">
        <f aca="false">IFERROR(IF(N517="N/A – rule",IF(OR(TRIM(U517)="",TRIM(U517)="N/A",TRIM(U517)="Not started"),"N/A – RULE","INVALID – this check does not apply to this aircraft: clear the status (or correct the fleet on Flights)"),IF(TRIM(U517)="N/A",IF(AT517=0,"INVALID – N/A not permitted for this check",IF(AND(TRIM(AB517)&lt;&gt;"",TRIM(AB517)&lt;&gt;"Closed"),"INVALID – corrective action still open",IF(AND(NOT(OR(LEN(AZ517)&lt;15,ISNUMBER(MATCH(AZ517,L_Placeholder,0)))),BK517=0,CG517&gt;=8,NOT(OR(LEN(AU517)&lt;2,ISNUMBER(MATCH(AU517,L_Placeholder,0)))),BR517&gt;=3,NOT(OR(LEN(AX517)&lt;2,ISNUMBER(MATCH(AX517,L_Placeholder,0)))),BS517&gt;=3,TRIM(AE517)&lt;&gt;TRIM(T517),AX517&lt;&gt;AU517,CE517=0),"N/A – JUSTIFIED","INVALID – N/A needs a real, settled reason (not 'not applicable' / 'as above' / TBC), a named PIC and a different named verifier"))),IF(OR(TRIM(U517)="Pass",TRIM(U517)="Pass after CA"),IF(NOT(ISNUMBER(AD517)),"INVALID – completion time missing",IF(OR(OR(LEN(AU517)&lt;2,ISNUMBER(MATCH(AU517,L_Placeholder,0))),BR517&lt;3),"INVALID – PIC missing or not a named person (a role such as QA / CSM is not a name)",IF(OR(LEN(AV517)&lt;2,ISNUMBER(MATCH(AV517,L_Placeholder,0))),"INVALID – result / assessment missing",IF(OR(OR(LEN(AW517)&lt;3,ISNUMBER(MATCH(AW517,L_Placeholder,0))),SUMPRODUCT(--ISNUMBER(SEARCH(" "&amp;L_EvidencePhrase&amp;" ",BD517)))&gt;0,BI517=1),"INVALID – evidence missing, placeholder or not yet on file",IF(ISNA(MATCH(TRIM(S517),L_EvidenceType,0)),"INVALID – choose the evidence type from the list (column S)",IF(BL517=0,"INVALID – evidence ID must be the record's own ID only (e.g. SF-2210, IMG_2231, 1045521); a link / file name needs type 'Link / file path'",IF(OR(OR(LEN(AX517)&lt;2,ISNUMBER(MATCH(AX517,L_Placeholder,0))),BS517&lt;3),"INVALID – verifier missing or not a named person (a role such as QA / CSM is not a name)",IF(OR(AX517=AU517,CE517=1,AND(LEN(AU517)&gt;=4,ISNUMBER(SEARCH(AU517,AX517))),AND(LEN(AX517)&gt;=4,ISNUMBER(SEARCH(AX517,AU517)))),"INVALID – verifier must be a different, named person (not the PIC or a role)",IF(BH517=1,"INVALID – result not yet available (awaiting / TBC)",IF(BG517=1,"INVALID – result describes a problem: record Fail, then Pass after CA (or reword if it is not a problem)",IF(BV517=1,"INVALID – wording says not on board: an on-board confirmation needs the item loaded",IF(AND(AQ517=1,OR(OR(LEN(AY517)&lt;3,ISNUMBER(MATCH(AY517,L_Placeholder,0))),BJ517=1,BQ517=0)),"INVALID – batch ID missing, placeholder or not an ID (e.g. PASB-261008-BC-017)",IF(AND(AR517=1,OR(NOT(ISNUMBER(X517)),NOT(ISNUMBER(Y517)))),"INVALID – expected/actual qty missing",IF(AND(AR517=1,OR(X517&lt;=0,Y517&lt;0)),"INVALID – expected qty must be above 0 and actual not negative",IF(BB517&lt;&gt;"",BB517,IF(AND(AS517=1,Documents!$J$20&lt;&gt;"ON FILE"),"INVALID – GLD not on file (Documents sheet)",IF(AND(AS517=2,Documents!$O$20&lt;&gt;"ON FILE"),"INVALID – menu checklist not on file (Documents sheet)",IF(AND(AS517=3,NOT(ISNUMBER(Flights!$AX$20))),"INVALID – enter carrying flight KUL departure (Flights AX)",IF(AND(AS517=3,OR(Flights!$AZ$20&gt;Flights!$AA$20,Flights!$AX$20&lt;Flights!$AA$20-3)),"INVALID – carrying flight (Flights AX) cannot arrive before this leg's STD, or is over 3 days early",IF(AG517&gt;AsOfUTC,"INVALID – completion time is in the future",IF(AND(ISNUMBER(BY517),AG517&lt;BY517),IF(H517="Physical uplift","INVALID – before uplift window (cannot confirm loading)","INVALID – before valid window"),IF(AG517&gt;Flights!$AA$20,"INVALID – completed after departure (cannot establish readiness)",IF(AND(H517="Preparation",AG517&gt;=IF(ISNUMBER(Flights!$BA$20),MIN(Flights!$BA$20,Flights!$AA$20),Flights!$AA$20)),"INVALID – completed after loading / departure (cannot establish readiness)",IF(AND(H517="Physical uplift",AG517&gt;Q517),"INVALID – recorded after the loading flight departed",IF(AG517&gt;Q517,"COMPLETE – LATE","COMPLETE"))))))))))))))))))))))))),IF(TRIM(U517)="Fail","FAIL – DISCREPANCY",IF(AND(TRIM(U517)&lt;&gt;"",TRIM(U517)&lt;&gt;"Not started",TRIM(U517)&lt;&gt;"In progress"),"INVALID – unrecognised status (use the list)",IF(AsOfUTC&gt;Q517,"OVERDUE",IF(N517="Clarification required","OPEN – CLARIFICATION","OPEN"))))))),"INVALID – error value in an input cell")</f>
        <v>OPEN</v>
      </c>
      <c r="AI517" s="61" t="n">
        <f aca="false">IF(OR(AH517="N/A – RULE",AH517="N/A – JUSTIFIED"),0,1)</f>
        <v>1</v>
      </c>
      <c r="AJ517" s="61" t="n">
        <f aca="false">IF(LEFT(AH517,8)="COMPLETE",1,0)</f>
        <v>0</v>
      </c>
      <c r="AK517" s="61" t="n">
        <f aca="false">IF(AND(AI517=1,AJ517=0,AsOfUTC&gt;Q517),1,0)</f>
        <v>0</v>
      </c>
      <c r="AL517" s="61" t="n">
        <f aca="false">IFERROR(IF(AND(AI517=1,OR(TRIM(U517)="Fail",AND(TRIM(AB517)&lt;&gt;"",TRIM(AB517)&lt;&gt;"Closed"),AND(ISNUMBER(AF517),AF517&lt;&gt;0,TRIM(U517)&lt;&gt;"Pass after CA"))),1,0),1)</f>
        <v>0</v>
      </c>
      <c r="AM517" s="61" t="n">
        <f aca="false">IF(LEFT(AH517,7)="INVALID",1,0)</f>
        <v>0</v>
      </c>
      <c r="AN517" s="61" t="n">
        <f aca="false">IF(AND(N517="Clarification required",AI517=1,AJ517=0),1,0)</f>
        <v>0</v>
      </c>
      <c r="AO517" s="61" t="str">
        <f aca="false">IF(AK517=1,SUM(AK$5:AK517),"")</f>
        <v/>
      </c>
      <c r="AP517" s="61" t="str">
        <f aca="false">IF(AL517=1,SUM(AL$5:AL517),"")</f>
        <v/>
      </c>
      <c r="AQ517" s="61" t="n">
        <v>0</v>
      </c>
      <c r="AR517" s="61" t="n">
        <v>1</v>
      </c>
      <c r="AS517" s="61" t="n">
        <v>0</v>
      </c>
      <c r="AT517" s="61" t="n">
        <v>0</v>
      </c>
      <c r="AU517" s="61" t="str">
        <f aca="false">SUBSTITUTE(SUBSTITUTE(SUBSTITUTE(SUBSTITUTE(SUBSTITUTE(SUBSTITUTE(SUBSTITUTE(SUBSTITUTE(SUBSTITUTE(SUBSTITUTE(SUBSTITUTE(SUBSTITUTE(SUBSTITUTE(SUBSTITUTE(SUBSTITUTE(SUBSTITUTE(LOWER(T517&amp;""),CHAR(10),""),CHAR(13),""),CHAR(9),""),CHAR(160),"")," ",""),".",""),"-",""),"/",""),"?",""),"_",""),",",""),"[",""),"]",""),"(",""),")",""),"*","")</f>
        <v/>
      </c>
      <c r="AV517" s="61" t="str">
        <f aca="false">SUBSTITUTE(SUBSTITUTE(SUBSTITUTE(SUBSTITUTE(SUBSTITUTE(SUBSTITUTE(SUBSTITUTE(SUBSTITUTE(SUBSTITUTE(SUBSTITUTE(SUBSTITUTE(SUBSTITUTE(SUBSTITUTE(SUBSTITUTE(SUBSTITUTE(SUBSTITUTE(LOWER(V517&amp;""),CHAR(10),""),CHAR(13),""),CHAR(9),""),CHAR(160),"")," ",""),".",""),"-",""),"/",""),"?",""),"_",""),",",""),"[",""),"]",""),"(",""),")",""),"*","")</f>
        <v/>
      </c>
      <c r="AW517" s="61" t="str">
        <f aca="false">SUBSTITUTE(SUBSTITUTE(SUBSTITUTE(SUBSTITUTE(SUBSTITUTE(SUBSTITUTE(SUBSTITUTE(SUBSTITUTE(SUBSTITUTE(SUBSTITUTE(SUBSTITUTE(SUBSTITUTE(SUBSTITUTE(SUBSTITUTE(SUBSTITUTE(SUBSTITUTE(LOWER(Z517&amp;""),CHAR(10),""),CHAR(13),""),CHAR(9),""),CHAR(160),"")," ",""),".",""),"-",""),"/",""),"?",""),"_",""),",",""),"[",""),"]",""),"(",""),")",""),"*","")</f>
        <v/>
      </c>
      <c r="AX517" s="61" t="str">
        <f aca="false">SUBSTITUTE(SUBSTITUTE(SUBSTITUTE(SUBSTITUTE(SUBSTITUTE(SUBSTITUTE(SUBSTITUTE(SUBSTITUTE(SUBSTITUTE(SUBSTITUTE(SUBSTITUTE(SUBSTITUTE(SUBSTITUTE(SUBSTITUTE(SUBSTITUTE(SUBSTITUTE(LOWER(AE517&amp;""),CHAR(10),""),CHAR(13),""),CHAR(9),""),CHAR(160),"")," ",""),".",""),"-",""),"/",""),"?",""),"_",""),",",""),"[",""),"]",""),"(",""),")",""),"*","")</f>
        <v/>
      </c>
      <c r="AY517" s="61" t="str">
        <f aca="false">SUBSTITUTE(SUBSTITUTE(SUBSTITUTE(SUBSTITUTE(SUBSTITUTE(SUBSTITUTE(SUBSTITUTE(SUBSTITUTE(SUBSTITUTE(SUBSTITUTE(SUBSTITUTE(SUBSTITUTE(SUBSTITUTE(SUBSTITUTE(SUBSTITUTE(SUBSTITUTE(LOWER(W517&amp;""),CHAR(10),""),CHAR(13),""),CHAR(9),""),CHAR(160),"")," ",""),".",""),"-",""),"/",""),"?",""),"_",""),",",""),"[",""),"]",""),"(",""),")",""),"*","")</f>
        <v/>
      </c>
      <c r="AZ517" s="61" t="str">
        <f aca="false">SUBSTITUTE(SUBSTITUTE(SUBSTITUTE(SUBSTITUTE(SUBSTITUTE(SUBSTITUTE(SUBSTITUTE(SUBSTITUTE(SUBSTITUTE(SUBSTITUTE(SUBSTITUTE(SUBSTITUTE(SUBSTITUTE(SUBSTITUTE(SUBSTITUTE(SUBSTITUTE(LOWER(AC517&amp;""),CHAR(10),""),CHAR(13),""),CHAR(9),""),CHAR(160),"")," ",""),".",""),"-",""),"/",""),"?",""),"_",""),",",""),"[",""),"]",""),"(",""),")",""),"*","")</f>
        <v/>
      </c>
      <c r="BA517" s="61" t="str">
        <f aca="false">SUBSTITUTE(SUBSTITUTE(SUBSTITUTE(SUBSTITUTE(SUBSTITUTE(SUBSTITUTE(SUBSTITUTE(SUBSTITUTE(SUBSTITUTE(SUBSTITUTE(SUBSTITUTE(SUBSTITUTE(SUBSTITUTE(SUBSTITUTE(SUBSTITUTE(SUBSTITUTE(LOWER(AA517&amp;""),CHAR(10),""),CHAR(13),""),CHAR(9),""),CHAR(160),"")," ",""),".",""),"-",""),"/",""),"?",""),"_",""),",",""),"[",""),"]",""),"(",""),")",""),"*","")</f>
        <v/>
      </c>
      <c r="BB517" s="61" t="str">
        <f aca="false">IF(AND(TRIM(U517)="Pass",ISNUMBER(AF517)),IF(AF517&lt;&gt;0,"INVALID – qty variance: use Fail or Pass after CA",""),"")&amp;IF(AND(TRIM(U517)="Pass after CA",ISNUMBER(AF517)),IF(AF517&lt;&gt;0,"INVALID – after the corrective action the actual qty must equal expected (update Actual)",""),"")&amp;IF(AND(TRIM(U517)="Pass",TRIM(AB517)&lt;&gt;"",TRIM(AB517)&lt;&gt;"Closed"),"INVALID – corrective action not closed: use Fail, then Pass after CA","")&amp;IF(AND(LEN(BA517)&gt;=2,ISNA(MATCH(LEFT(BA517,255),L_Placeholder,0)),TRIM(AB517)=""),"INVALID – CA status missing for the recorded corrective action","")&amp;IF(AND(TRIM(U517)="Pass after CA",OR(OR(LEN(BA517)&lt;5,ISNUMBER(MATCH(BA517,L_Placeholder,0))),TRIM(AB517)&lt;&gt;"Closed")),"INVALID – corrective action not recorded/closed","")</f>
        <v/>
      </c>
      <c r="BC517" s="61" t="str">
        <f aca="false">" "&amp;TRIM(SUBSTITUTE(SUBSTITUTE(SUBSTITUTE(SUBSTITUTE(SUBSTITUTE(SUBSTITUTE(SUBSTITUTE(SUBSTITUTE(SUBSTITUTE(SUBSTITUTE(SUBSTITUTE(SUBSTITUTE(SUBSTITUTE(SUBSTITUTE(SUBSTITUTE(SUBSTITUTE(SUBSTITUTE(SUBSTITUTE(SUBSTITUTE(SUBSTITUTE(SUBSTITUTE(SUBSTITUTE(SUBSTITUTE(SUBSTITUTE(LOWER(V517&amp;""),CHAR(10)," "),CHAR(13)," "),CHAR(9)," "),CHAR(160)," "),"."," "),","," "),"-"," "),"/"," "),"("," "),")"," "),":"," "),";"," "),"_"," "),"–"," "),"?"," "),"!"," "),"*"," "),"["," "),"]"," "),"'"," "),"#"," "),"+"," "),"&amp;"," "),"\"," "))&amp;" "</f>
        <v>  </v>
      </c>
      <c r="BD517" s="61" t="str">
        <f aca="false">" "&amp;TRIM(SUBSTITUTE(SUBSTITUTE(SUBSTITUTE(SUBSTITUTE(SUBSTITUTE(SUBSTITUTE(SUBSTITUTE(SUBSTITUTE(SUBSTITUTE(SUBSTITUTE(SUBSTITUTE(SUBSTITUTE(SUBSTITUTE(SUBSTITUTE(SUBSTITUTE(SUBSTITUTE(SUBSTITUTE(SUBSTITUTE(SUBSTITUTE(SUBSTITUTE(SUBSTITUTE(SUBSTITUTE(SUBSTITUTE(SUBSTITUTE(LOWER(Z517&amp;""),CHAR(10)," "),CHAR(13)," "),CHAR(9)," "),CHAR(160)," "),"."," "),","," "),"-"," "),"/"," "),"("," "),")"," "),":"," "),";"," "),"_"," "),"–"," "),"?"," "),"!"," "),"*"," "),"["," "),"]"," "),"'"," "),"#"," "),"+"," "),"&amp;"," "),"\"," "))&amp;" "</f>
        <v>  </v>
      </c>
      <c r="BE517" s="61" t="str">
        <f aca="false">" "&amp;TRIM(SUBSTITUTE(SUBSTITUTE(SUBSTITUTE(SUBSTITUTE(SUBSTITUTE(SUBSTITUTE(SUBSTITUTE(SUBSTITUTE(SUBSTITUTE(SUBSTITUTE(SUBSTITUTE(SUBSTITUTE(SUBSTITUTE(SUBSTITUTE(SUBSTITUTE(SUBSTITUTE(SUBSTITUTE(SUBSTITUTE(SUBSTITUTE(SUBSTITUTE(SUBSTITUTE(SUBSTITUTE(SUBSTITUTE(SUBSTITUTE(LOWER(W517&amp;""),CHAR(10)," "),CHAR(13)," "),CHAR(9)," "),CHAR(160)," "),"."," "),","," "),"-"," "),"/"," "),"("," "),")"," "),":"," "),";"," "),"_"," "),"–"," "),"?"," "),"!"," "),"*"," "),"["," "),"]"," "),"'"," "),"#"," "),"+"," "),"&amp;"," "),"\"," "))&amp;" "</f>
        <v>  </v>
      </c>
      <c r="BF517" s="61" t="str">
        <f aca="false">" "&amp;TRIM(SUBSTITUTE(SUBSTITUTE(SUBSTITUTE(SUBSTITUTE(SUBSTITUTE(SUBSTITUTE(SUBSTITUTE(SUBSTITUTE(SUBSTITUTE(SUBSTITUTE(SUBSTITUTE(SUBSTITUTE(SUBSTITUTE(SUBSTITUTE(SUBSTITUTE(SUBSTITUTE(SUBSTITUTE(SUBSTITUTE(SUBSTITUTE(SUBSTITUTE(SUBSTITUTE(SUBSTITUTE(SUBSTITUTE(SUBSTITUTE(LOWER(AC517&amp;""),CHAR(10)," "),CHAR(13)," "),CHAR(9)," "),CHAR(160)," "),"."," "),","," "),"-"," "),"/"," "),"("," "),")"," "),":"," "),";"," "),"_"," "),"–"," "),"?"," "),"!"," "),"*"," "),"["," "),"]"," "),"'"," "),"#"," "),"+"," "),"&amp;"," "),"\"," "))&amp;" "</f>
        <v>  </v>
      </c>
      <c r="BG517" s="61" t="n">
        <f aca="false">IFERROR(IF(AND(TRIM(U517)="Pass",SUMPRODUCT((LEN(BC517)-LEN(SUBSTITUTE(BC517," "&amp;L_ResultBad&amp;" "," ")))/(LEN(L_ResultBad)+1))&gt;SUMPRODUCT((LEN(BC517)-LEN(SUBSTITUTE(BC517," "&amp;L_NegPhrase&amp;" "," ")))/(LEN(L_NegPhrase)+1))),1,0),0)</f>
        <v>0</v>
      </c>
      <c r="BH517" s="61" t="n">
        <f aca="false">IFERROR(IF(SUMPRODUCT((LEN(BC517)-LEN(SUBSTITUTE(BC517," "&amp;L_Pending&amp;" "," ")))/(LEN(L_Pending)+1))&gt;SUMPRODUCT((LEN(BC517)-LEN(SUBSTITUTE(BC517," "&amp;L_PendNeg&amp;" "," ")))/(LEN(L_PendNeg)+1))+SUMPRODUCT((LEN(BC517)-LEN(SUBSTITUTE(BC517," "&amp;L_PendPrep&amp;" "," ")))/(LEN(L_PendPrep)+1)),1,0),1)</f>
        <v>0</v>
      </c>
      <c r="BI517" s="61" t="n">
        <f aca="false">IFERROR(IF(SUMPRODUCT((LEN(BD517)-LEN(SUBSTITUTE(BD517," "&amp;L_PendStrict&amp;" "," ")))/(LEN(L_PendStrict)+1))&gt;SUMPRODUCT((LEN(BD517)-LEN(SUBSTITUTE(BD517," "&amp;L_PendNeg&amp;" "," ")))/(LEN(L_PendNeg)+1)),1,0),1)</f>
        <v>0</v>
      </c>
      <c r="BJ517" s="61" t="n">
        <f aca="false">IFERROR(IF(SUMPRODUCT((LEN(BE517)-LEN(SUBSTITUTE(BE517," "&amp;L_Pending&amp;" "," ")))/(LEN(L_Pending)+1))&gt;SUMPRODUCT((LEN(BE517)-LEN(SUBSTITUTE(BE517," "&amp;L_PendNeg&amp;" "," ")))/(LEN(L_PendNeg)+1))+SUMPRODUCT((LEN(BE517)-LEN(SUBSTITUTE(BE517," "&amp;L_PendPrep&amp;" "," ")))/(LEN(L_PendPrep)+1)),1,0),1)</f>
        <v>0</v>
      </c>
      <c r="BK517" s="61" t="n">
        <f aca="false">IFERROR(IF(SUMPRODUCT((LEN(BF517)-LEN(SUBSTITUTE(BF517," "&amp;L_PendStrict&amp;" "," ")))/(LEN(L_PendStrict)+1))&gt;SUMPRODUCT((LEN(BF517)-LEN(SUBSTITUTE(BF517," "&amp;L_PendNeg&amp;" "," ")))/(LEN(L_PendNeg)+1)),1,0),1)</f>
        <v>0</v>
      </c>
      <c r="BL517" s="61" t="n">
        <f aca="false">IF(ISNA(MATCH(TRIM(S517),L_EvidenceType,0)),0,BZ517)</f>
        <v>0</v>
      </c>
      <c r="BM517" s="61" t="str">
        <f aca="false">SUBSTITUTE(SUBSTITUTE(SUBSTITUTE(SUBSTITUTE(SUBSTITUTE(SUBSTITUTE(SUBSTITUTE(SUBSTITUTE(SUBSTITUTE(LOWER(Z517&amp;""),"1","0"),"2","0"),"3","0"),"4","0"),"5","0"),"6","0"),"7","0"),"8","0"),"9","0")</f>
        <v/>
      </c>
      <c r="BN517" s="61" t="str">
        <f aca="false">SUBSTITUTE(SUBSTITUTE(SUBSTITUTE(SUBSTITUTE(SUBSTITUTE(SUBSTITUTE(SUBSTITUTE(SUBSTITUTE(SUBSTITUTE(SUBSTITUTE(SUBSTITUTE(SUBSTITUTE(SUBSTITUTE(SUBSTITUTE(SUBSTITUTE(SUBSTITUTE(SUBSTITUTE(SUBSTITUTE(SUBSTITUTE(SUBSTITUTE(SUBSTITUTE(SUBSTITUTE(SUBSTITUTE(SUBSTITUTE(SUBSTITUTE(BM517,"b","a"),"c","a"),"d","a"),"e","a"),"f","a"),"g","a"),"h","a"),"i","a"),"j","a"),"k","a"),"l","a"),"m","a"),"n","a"),"o","a"),"p","a"),"q","a"),"r","a"),"s","a"),"t","a"),"u","a"),"v","a"),"w","a"),"x","a"),"y","a"),"z","a")</f>
        <v/>
      </c>
      <c r="BO517" s="61" t="str">
        <f aca="false">SUBSTITUTE(SUBSTITUTE(SUBSTITUTE(SUBSTITUTE(SUBSTITUTE(SUBSTITUTE(SUBSTITUTE(SUBSTITUTE(SUBSTITUTE(LOWER(W517&amp;""),"1","0"),"2","0"),"3","0"),"4","0"),"5","0"),"6","0"),"7","0"),"8","0"),"9","0")</f>
        <v/>
      </c>
      <c r="BP517" s="61" t="str">
        <f aca="false">SUBSTITUTE(SUBSTITUTE(SUBSTITUTE(SUBSTITUTE(SUBSTITUTE(SUBSTITUTE(SUBSTITUTE(SUBSTITUTE(SUBSTITUTE(SUBSTITUTE(SUBSTITUTE(SUBSTITUTE(SUBSTITUTE(SUBSTITUTE(SUBSTITUTE(SUBSTITUTE(SUBSTITUTE(SUBSTITUTE(SUBSTITUTE(SUBSTITUTE(SUBSTITUTE(SUBSTITUTE(SUBSTITUTE(SUBSTITUTE(SUBSTITUTE(BO517,"b","a"),"c","a"),"d","a"),"e","a"),"f","a"),"g","a"),"h","a"),"i","a"),"j","a"),"k","a"),"l","a"),"m","a"),"n","a"),"o","a"),"p","a"),"q","a"),"r","a"),"s","a"),"t","a"),"u","a"),"v","a"),"w","a"),"x","a"),"y","a"),"z","a")</f>
        <v/>
      </c>
      <c r="BQ517" s="61" t="n">
        <f aca="false">IFERROR(IF(AND(ISERROR(SEARCH(" mh"," "&amp;LOWER(W517))),ISNA(MATCH(LEFT(TRIM(BP517),255),{"0000a","000a","00a","0000aa","000aa","00aa","0aa","0000aaa","000aaa","00a00","0a00","0000-0000","00:00","a00","a0","00.00.0000","00/00/0000","00-00-0000","0000-00-00","0000/00/00","0000.00.00","00.00.00","00/00/00","00-00-00","0.00.0000","0/00/0000","0-00-0000"},0)),ISNA(MATCH(LEFT(TRIM(CA517),255),{"0000a","000a","00a","0000aa","000aa","00aa","0aa","0000aaa","000aaa","00a00","0a00","0000-0000","00:00","a00","a0","00.00.0000","00/00/0000","00-00-0000","0000-00-00","0000/00/00","0000.00.00","00.00.00","00/00/00","00-00-00","0.00.0000","0/00/0000","0-00-0000"},0)),LEN(CB517)&gt;=3,NOT(OR(SUBSTITUTE(CB517,"0","")="",AND(LEN(CB517)&gt;=4,CB517=REPT(LEFT(CB517),LEN(CB517))),ISNUMBER(MATCH(CB517,{"123","1234","12345","123456","1234567","12345678","0123","01234","012345","98765","987654","54321"},0)),AND(LEN(CB517)=8,LEFT(CB517,3)="202"))),OR(AND((LEN(CA517)-LEN(SUBSTITUTE(CA517,"a","")))&gt;=1,SUMPRODUCT(--ISNUMBER(SEARCH({"a0","a-0","a_0","a/0","a.0","a#0","0a","0-a","0_a","0/a"},BP517)))&gt;0),ISNUMBER(SEARCH("000000",BP517)))),1,0),0)</f>
        <v>0</v>
      </c>
      <c r="BR517" s="61" t="n">
        <f aca="false">IFERROR(LEN(SUBSTITUTE(CC517," ",""))-SUMPRODUCT((LEN(CC517)-LEN(SUBSTITUTE(CC517," "&amp;L_Role&amp;" "," ")))/(LEN(L_Role)+1)*LEN(L_Role)),0)</f>
        <v>0</v>
      </c>
      <c r="BS517" s="61" t="n">
        <f aca="false">IFERROR(LEN(SUBSTITUTE(CD517," ",""))-SUMPRODUCT((LEN(CD517)-LEN(SUBSTITUTE(CD517," "&amp;L_Role&amp;" "," ")))/(LEN(L_Role)+1)*LEN(L_Role)),0)</f>
        <v>0</v>
      </c>
      <c r="BT5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517,"revision",""),"version",""),"jan",""),"feb",""),"mar",""),"apr",""),"may",""),"jun",""),"jul",""),"aug",""),"sep",""),"oct",""),"nov",""),"dec",""),"utc",""),"gmt",""),"myt",""),"bst",""),"rev",""),"ver",""),"b","a"),"c","a"),"d","a"),"e","a"),"f","a"),"g","a"),"h","a"),"i","a"),"j","a"),"k","a"),"l","a"),"m","a"),"n","a"),"o","a"),"p","a"),"q","a"),"r","a"),"s","a"),"t","a"),"u","a"),"v","a"),"w","a"),"x","a"),"y","a"),"z","a")</f>
        <v/>
      </c>
      <c r="BU517" s="61" t="str">
        <f aca="false">SUBSTITUTE(SUBSTITUTE(SUBSTITUTE(SUBSTITUTE(SUBSTITUTE(SUBSTITUTE(SUBSTITUTE(SUBSTITUTE(SUBSTITUTE(SUBSTITUTE(LEFT(BM517,FIND("0",BM517&amp;"0")-1),"-",""),"_",""),"/",""),".",""),"#",""),"\\",""),":","")," ",""),"(",""),")","")</f>
        <v/>
      </c>
      <c r="BV517" s="61" t="n">
        <f aca="false">0</f>
        <v>0</v>
      </c>
      <c r="BW5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517&amp;""),"a",""),"b",""),"c",""),"d",""),"e",""),"f",""),"g",""),"h",""),"i",""),"j",""),"k",""),"l",""),"m",""),"n",""),"o",""),"p",""),"q",""),"r",""),"s",""),"t",""),"u",""),"v",""),"w",""),"x",""),"y",""),"z",""),"-",""),"_",""),"/",""),".",""),"#",""),"\\",""),":","")," ",""),"(",""),")","")</f>
        <v/>
      </c>
      <c r="BX517" s="61" t="str">
        <f aca="false">SUBSTITUTE(SUBSTITUTE(SUBSTITUTE(SUBSTITUTE(SUBSTITUTE(SUBSTITUTE(SUBSTITUTE(SUBSTITUTE(SUBSTITUTE(SUBSTITUTE(SUBSTITUTE(BM517,"0",""),"-",""),"_",""),"/",""),".",""),"#",""),"\\",""),":","")," ",""),"(",""),")","")</f>
        <v/>
      </c>
      <c r="BY517" s="62" t="n">
        <f aca="false">Q517-T12EarlyH/24</f>
        <v>46320.0486111111</v>
      </c>
      <c r="BZ517" s="61" t="n">
        <f aca="false">IFERROR(IF(IF(TRIM(S517)="Link / file path",AND(LEN(TRIM(Z517))&gt;=5,SUMPRODUCT(--ISNUMBER(SEARCH({"http","www.","\\",":\",".pdf",".jpg",".jpeg",".png",".heic",".xls",".doc",".msg",".eml",".ppt",".txt",".zip"},Z517)))&gt;0),AND(ISERROR(FIND(" ",TRIM(Z517))),NOT(OR(SUMPRODUCT(--ISNUMBER(FIND({",",";","&amp;","+"},Z517)))&gt;0,SUMPRODUCT(--ISNUMBER(SEARCH({"0/aa","0\\aa"},BN517)))&gt;0)),NOT(SUMPRODUCT(--ISNUMBER(SEARCH({"http","www.","\\",":\",".pdf",".jpg",".jpeg",".png",".heic",".xls",".doc",".msg",".eml",".ppt",".txt",".zip"},Z517)))&gt;0),NOT(LOWER(TRIM(Z517))=LOWER(Flights!$F$20)),ISNA(MATCH(BU517,{"mh","rev","revision","ver","version","v","r","a","b","seat","tray","row","gate","bay","stand","page","pg","item","line","no","cart","galley","flight","flt","table","box","bag","oven","etd","eta","std","sta","atd","ata","qty","pax","x","time","tel","ph","mob","day","wk","week","utc","gmt","myt","lt"},0)),NOT(OR(ISNUMBER(MATCH(LEFT(BN517,255),{"0000a","000a","00a","0000aa","000aa","00aa","0aa","0000aaa","000aaa","00a00","0a00","0000-0000","00:00","a00","a0","00.00.0000","00/00/0000","00-00-0000","0000-00-00","0000/00/00","0000.00.00","00.00.00","00/00/00","00-00-00","0.00.0000","0/00/0000","0-00-0000"},0)),ISNUMBER(MATCH(LEFT(BT517,255),{"0000a","000a","00a","0000aa","000aa","00aa","0aa","0000aaa","000aaa","00a00","0a00","0000-0000","00:00","a00","a0","00.00.0000","00/00/0000","00-00-0000","0000-00-00","0000/00/00","0000.00.00","00.00.00","00/00/00","00-00-00","0.00.0000","0/00/0000","0-00-0000"},0)))),NOT(OR(AND(BW517&lt;&gt;"",SUBSTITUTE(BW517,"0","")=""),AND(LEN(BW517)&gt;=4,BW517=REPT(LEFT(BW517),LEN(BW517))),ISNUMBER(MATCH(BW517,{"123","1234","12345","123456","1234567","12345678","0123","01234","012345","98765","987654","54321"},0)),ISNUMBER(MATCH(BX517,{"x","xx","xxx","xxxx","xxxxx","abc","abcd","nil","na","nan","test","tbc","tba","tbd","dummy","sample","example","eg","zz","zzz","none","null","xyz","qwe","asd","id","ref"},0)),AND(LEN(BW517)=8,BX517="",OR(LEFT(BW517,3)="202",ISNUMBER(MATCH(RIGHT(BW517,4),{"2025","2026","2027"},0)))))),OR(AND((LEN(BT517)-LEN(SUBSTITUTE(BT517,"a","")))&gt;=1,(LEN(BN517)-LEN(SUBSTITUTE(BN517,"0","")))&gt;=2,SUMPRODUCT(--ISNUMBER(SEARCH({"a0","a-0","a_0","a/0","a.0","a#0","0a","0-a","0_a","0/a"},BN517)))&gt;0),AND((LEN(BN517)-LEN(SUBSTITUTE(BN517,"a","")))=0,(LEN(BN517)-LEN(SUBSTITUTE(BN517,"0","")))&gt;=5)))),1,0),0)</f>
        <v>0</v>
      </c>
      <c r="CA5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517,"revision",""),"version",""),"jan",""),"feb",""),"mar",""),"apr",""),"may",""),"jun",""),"jul",""),"aug",""),"sep",""),"oct",""),"nov",""),"dec",""),"utc",""),"gmt",""),"myt",""),"bst",""),"rev",""),"ver",""),"b","a"),"c","a"),"d","a"),"e","a"),"f","a"),"g","a"),"h","a"),"i","a"),"j","a"),"k","a"),"l","a"),"m","a"),"n","a"),"o","a"),"p","a"),"q","a"),"r","a"),"s","a"),"t","a"),"u","a"),"v","a"),"w","a"),"x","a"),"y","a"),"z","a")</f>
        <v/>
      </c>
      <c r="CB5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517&amp;""),"a",""),"b",""),"c",""),"d",""),"e",""),"f",""),"g",""),"h",""),"i",""),"j",""),"k",""),"l",""),"m",""),"n",""),"o",""),"p",""),"q",""),"r",""),"s",""),"t",""),"u",""),"v",""),"w",""),"x",""),"y",""),"z",""),"-",""),"_",""),"/",""),".",""),"#",""),"\\",""),":","")," ",""),"(",""),")","")</f>
        <v/>
      </c>
      <c r="CC517" s="0" t="str">
        <f aca="false">" "&amp;TRIM(SUBSTITUTE(SUBSTITUTE(SUBSTITUTE(SUBSTITUTE(SUBSTITUTE(SUBSTITUTE(SUBSTITUTE(SUBSTITUTE(SUBSTITUTE(SUBSTITUTE(SUBSTITUTE(SUBSTITUTE(SUBSTITUTE(SUBSTITUTE(SUBSTITUTE(SUBSTITUTE(SUBSTITUTE(SUBSTITUTE(SUBSTITUTE(SUBSTITUTE(SUBSTITUTE(SUBSTITUTE(SUBSTITUTE(SUBSTITUTE(LOWER(T517&amp;""),CHAR(10)," "),CHAR(13)," "),CHAR(9)," "),CHAR(160)," "),"."," "),","," "),"-"," "),"/"," "),"("," "),")"," "),":"," "),";"," "),"_"," "),"–"," "),"?"," "),"!"," "),"*"," "),"["," "),"]"," "),"'"," "),"#"," "),"+"," "),"&amp;"," "),"\"," "))&amp;" "</f>
        <v>  </v>
      </c>
      <c r="CD517" s="0" t="str">
        <f aca="false">" "&amp;TRIM(SUBSTITUTE(SUBSTITUTE(SUBSTITUTE(SUBSTITUTE(SUBSTITUTE(SUBSTITUTE(SUBSTITUTE(SUBSTITUTE(SUBSTITUTE(SUBSTITUTE(SUBSTITUTE(SUBSTITUTE(SUBSTITUTE(SUBSTITUTE(SUBSTITUTE(SUBSTITUTE(SUBSTITUTE(SUBSTITUTE(SUBSTITUTE(SUBSTITUTE(SUBSTITUTE(SUBSTITUTE(SUBSTITUTE(SUBSTITUTE(LOWER(AE517&amp;""),CHAR(10)," "),CHAR(13)," "),CHAR(9)," "),CHAR(160)," "),"."," "),","," "),"-"," "),"/"," "),"("," "),")"," "),":"," "),";"," "),"_"," "),"–"," "),"?"," "),"!"," "),"*"," "),"["," "),"]"," "),"'"," "),"#"," "),"+"," "),"&amp;"," "),"\"," "))&amp;" "</f>
        <v>  </v>
      </c>
      <c r="CE517" s="68" t="n">
        <f aca="false">IFERROR(IF(AND(LEN(AU517)&gt;0,LEN(AU517)=LEN(AX517),OR(TRIM(MID(SUBSTITUTE(TRIM(CC517)," ",REPT(" ",60)),1,60))="",ISNUMBER(SEARCH(" "&amp;TRIM(MID(SUBSTITUTE(TRIM(CC517)," ",REPT(" ",60)),1,60))&amp;" ",CD517))),OR(TRIM(MID(SUBSTITUTE(TRIM(CC517)," ",REPT(" ",60)),61,60))="",ISNUMBER(SEARCH(" "&amp;TRIM(MID(SUBSTITUTE(TRIM(CC517)," ",REPT(" ",60)),61,60))&amp;" ",CD517))),OR(TRIM(MID(SUBSTITUTE(TRIM(CC517)," ",REPT(" ",60)),121,60))="",ISNUMBER(SEARCH(" "&amp;TRIM(MID(SUBSTITUTE(TRIM(CC517)," ",REPT(" ",60)),121,60))&amp;" ",CD517)))),1,0),0)</f>
        <v>0</v>
      </c>
      <c r="CG517" s="68" t="n">
        <f aca="false">IFERROR(LEN(SUBSTITUTE(BF517," ",""))-SUMPRODUCT((LEN(BF517)-LEN(SUBSTITUTE(BF517," "&amp;L_NAFiller&amp;" "," ")))/(LEN(L_NAFiller)+1)*LEN(L_NAFiller)),0)</f>
        <v>0</v>
      </c>
    </row>
    <row r="518" customFormat="false" ht="39.75" hidden="false" customHeight="true" outlineLevel="0" collapsed="false">
      <c r="A518" s="57" t="s">
        <v>1175</v>
      </c>
      <c r="B518" s="57" t="s">
        <v>280</v>
      </c>
      <c r="C518" s="57" t="str">
        <f aca="false">Flights!$F$20</f>
        <v>MH0072</v>
      </c>
      <c r="D518" s="58" t="n">
        <f aca="false">Flights!$D$20</f>
        <v>46321</v>
      </c>
      <c r="E518" s="57" t="str">
        <f aca="false">Flights!$G$20&amp;"-"&amp;Flights!$H$20</f>
        <v>KUL-HKG</v>
      </c>
      <c r="F518" s="57" t="str">
        <f aca="false">Flights!$K$20</f>
        <v>EY</v>
      </c>
      <c r="G518" s="57" t="s">
        <v>420</v>
      </c>
      <c r="H518" s="57" t="s">
        <v>378</v>
      </c>
      <c r="I518" s="57" t="s">
        <v>428</v>
      </c>
      <c r="J518" s="57" t="s">
        <v>429</v>
      </c>
      <c r="K518" s="67"/>
      <c r="L518" s="67" t="s">
        <v>422</v>
      </c>
      <c r="M518" s="67"/>
      <c r="N518" s="67" t="s">
        <v>383</v>
      </c>
      <c r="O518" s="67" t="s">
        <v>423</v>
      </c>
      <c r="P518" s="57" t="s">
        <v>187</v>
      </c>
      <c r="Q518" s="59" t="n">
        <f aca="false">ROUND((Flights!$AE$20)*1440,0)/1440</f>
        <v>46320.5486111111</v>
      </c>
      <c r="R518" s="59" t="n">
        <f aca="false">Q518+(IF(AND(INDEX(TZ_DSTS,MATCH(P518,TZ_STN,0))&lt;&gt;"",Q518&gt;=INDEX(TZ_DSTS,MATCH(P518,TZ_STN,0)),Q518&lt;INDEX(TZ_DSTE,MATCH(P518,TZ_STN,0))),INDEX(TZ_DST,MATCH(P518,TZ_STN,0)),INDEX(TZ_STD,MATCH(P518,TZ_STN,0))))/24</f>
        <v>46320.8819444444</v>
      </c>
      <c r="S518" s="60"/>
      <c r="T518" s="60"/>
      <c r="U518" s="60"/>
      <c r="V518" s="60"/>
      <c r="W518" s="61"/>
      <c r="X518" s="60"/>
      <c r="Y518" s="60"/>
      <c r="Z518" s="60"/>
      <c r="AA518" s="60"/>
      <c r="AB518" s="60"/>
      <c r="AC518" s="60"/>
      <c r="AD518" s="66"/>
      <c r="AE518" s="60"/>
      <c r="AF518" s="61" t="str">
        <f aca="false">IF(AND(ISNUMBER(X518),ISNUMBER(Y518)),Y518-X518,"")</f>
        <v/>
      </c>
      <c r="AG518" s="62" t="str">
        <f aca="false">IF(ISNUMBER(AD518),AD518-(IF(AND(INDEX(TZ_DSTS,MATCH(P518,TZ_STN,0))&lt;&gt;"",(AD518-INDEX(TZ_STD,MATCH(P518,TZ_STN,0))/24)&gt;=INDEX(TZ_DSTS,MATCH(P518,TZ_STN,0)),(AD518-INDEX(TZ_STD,MATCH(P518,TZ_STN,0))/24)&lt;INDEX(TZ_DSTE,MATCH(P518,TZ_STN,0))),INDEX(TZ_DST,MATCH(P518,TZ_STN,0)),INDEX(TZ_STD,MATCH(P518,TZ_STN,0))))/24,"")</f>
        <v/>
      </c>
      <c r="AH518" s="65" t="str">
        <f aca="false">IFERROR(IF(N518="N/A – rule",IF(OR(TRIM(U518)="",TRIM(U518)="N/A",TRIM(U518)="Not started"),"N/A – RULE","INVALID – this check does not apply to this aircraft: clear the status (or correct the fleet on Flights)"),IF(TRIM(U518)="N/A",IF(AT518=0,"INVALID – N/A not permitted for this check",IF(AND(TRIM(AB518)&lt;&gt;"",TRIM(AB518)&lt;&gt;"Closed"),"INVALID – corrective action still open",IF(AND(NOT(OR(LEN(AZ518)&lt;15,ISNUMBER(MATCH(AZ518,L_Placeholder,0)))),BK518=0,CG518&gt;=8,NOT(OR(LEN(AU518)&lt;2,ISNUMBER(MATCH(AU518,L_Placeholder,0)))),BR518&gt;=3,NOT(OR(LEN(AX518)&lt;2,ISNUMBER(MATCH(AX518,L_Placeholder,0)))),BS518&gt;=3,TRIM(AE518)&lt;&gt;TRIM(T518),AX518&lt;&gt;AU518,CE518=0),"N/A – JUSTIFIED","INVALID – N/A needs a real, settled reason (not 'not applicable' / 'as above' / TBC), a named PIC and a different named verifier"))),IF(OR(TRIM(U518)="Pass",TRIM(U518)="Pass after CA"),IF(NOT(ISNUMBER(AD518)),"INVALID – completion time missing",IF(OR(OR(LEN(AU518)&lt;2,ISNUMBER(MATCH(AU518,L_Placeholder,0))),BR518&lt;3),"INVALID – PIC missing or not a named person (a role such as QA / CSM is not a name)",IF(OR(LEN(AV518)&lt;2,ISNUMBER(MATCH(AV518,L_Placeholder,0))),"INVALID – result / assessment missing",IF(OR(OR(LEN(AW518)&lt;3,ISNUMBER(MATCH(AW518,L_Placeholder,0))),SUMPRODUCT(--ISNUMBER(SEARCH(" "&amp;L_EvidencePhrase&amp;" ",BD518)))&gt;0,BI518=1),"INVALID – evidence missing, placeholder or not yet on file",IF(ISNA(MATCH(TRIM(S518),L_EvidenceType,0)),"INVALID – choose the evidence type from the list (column S)",IF(BL518=0,"INVALID – evidence ID must be the record's own ID only (e.g. SF-2210, IMG_2231, 1045521); a link / file name needs type 'Link / file path'",IF(OR(OR(LEN(AX518)&lt;2,ISNUMBER(MATCH(AX518,L_Placeholder,0))),BS518&lt;3),"INVALID – verifier missing or not a named person (a role such as QA / CSM is not a name)",IF(OR(AX518=AU518,CE518=1,AND(LEN(AU518)&gt;=4,ISNUMBER(SEARCH(AU518,AX518))),AND(LEN(AX518)&gt;=4,ISNUMBER(SEARCH(AX518,AU518)))),"INVALID – verifier must be a different, named person (not the PIC or a role)",IF(BH518=1,"INVALID – result not yet available (awaiting / TBC)",IF(BG518=1,"INVALID – result describes a problem: record Fail, then Pass after CA (or reword if it is not a problem)",IF(BV518=1,"INVALID – wording says not on board: an on-board confirmation needs the item loaded",IF(AND(AQ518=1,OR(OR(LEN(AY518)&lt;3,ISNUMBER(MATCH(AY518,L_Placeholder,0))),BJ518=1,BQ518=0)),"INVALID – batch ID missing, placeholder or not an ID (e.g. PASB-261008-BC-017)",IF(AND(AR518=1,OR(NOT(ISNUMBER(X518)),NOT(ISNUMBER(Y518)))),"INVALID – expected/actual qty missing",IF(AND(AR518=1,OR(X518&lt;=0,Y518&lt;0)),"INVALID – expected qty must be above 0 and actual not negative",IF(BB518&lt;&gt;"",BB518,IF(AND(AS518=1,Documents!$J$20&lt;&gt;"ON FILE"),"INVALID – GLD not on file (Documents sheet)",IF(AND(AS518=2,Documents!$O$20&lt;&gt;"ON FILE"),"INVALID – menu checklist not on file (Documents sheet)",IF(AND(AS518=3,NOT(ISNUMBER(Flights!$AX$20))),"INVALID – enter carrying flight KUL departure (Flights AX)",IF(AND(AS518=3,OR(Flights!$AZ$20&gt;Flights!$AA$20,Flights!$AX$20&lt;Flights!$AA$20-3)),"INVALID – carrying flight (Flights AX) cannot arrive before this leg's STD, or is over 3 days early",IF(AG518&gt;AsOfUTC,"INVALID – completion time is in the future",IF(AND(ISNUMBER(BY518),AG518&lt;BY518),IF(H518="Physical uplift","INVALID – before uplift window (cannot confirm loading)","INVALID – before valid window"),IF(AG518&gt;Flights!$AA$20,"INVALID – completed after departure (cannot establish readiness)",IF(AND(H518="Preparation",AG518&gt;=IF(ISNUMBER(Flights!$BA$20),MIN(Flights!$BA$20,Flights!$AA$20),Flights!$AA$20)),"INVALID – completed after loading / departure (cannot establish readiness)",IF(AND(H518="Physical uplift",AG518&gt;Q518),"INVALID – recorded after the loading flight departed",IF(AG518&gt;Q518,"COMPLETE – LATE","COMPLETE"))))))))))))))))))))))))),IF(TRIM(U518)="Fail","FAIL – DISCREPANCY",IF(AND(TRIM(U518)&lt;&gt;"",TRIM(U518)&lt;&gt;"Not started",TRIM(U518)&lt;&gt;"In progress"),"INVALID – unrecognised status (use the list)",IF(AsOfUTC&gt;Q518,"OVERDUE",IF(N518="Clarification required","OPEN – CLARIFICATION","OPEN"))))))),"INVALID – error value in an input cell")</f>
        <v>OPEN</v>
      </c>
      <c r="AI518" s="61" t="n">
        <f aca="false">IF(OR(AH518="N/A – RULE",AH518="N/A – JUSTIFIED"),0,1)</f>
        <v>1</v>
      </c>
      <c r="AJ518" s="61" t="n">
        <f aca="false">IF(LEFT(AH518,8)="COMPLETE",1,0)</f>
        <v>0</v>
      </c>
      <c r="AK518" s="61" t="n">
        <f aca="false">IF(AND(AI518=1,AJ518=0,AsOfUTC&gt;Q518),1,0)</f>
        <v>0</v>
      </c>
      <c r="AL518" s="61" t="n">
        <f aca="false">IFERROR(IF(AND(AI518=1,OR(TRIM(U518)="Fail",AND(TRIM(AB518)&lt;&gt;"",TRIM(AB518)&lt;&gt;"Closed"),AND(ISNUMBER(AF518),AF518&lt;&gt;0,TRIM(U518)&lt;&gt;"Pass after CA"))),1,0),1)</f>
        <v>0</v>
      </c>
      <c r="AM518" s="61" t="n">
        <f aca="false">IF(LEFT(AH518,7)="INVALID",1,0)</f>
        <v>0</v>
      </c>
      <c r="AN518" s="61" t="n">
        <f aca="false">IF(AND(N518="Clarification required",AI518=1,AJ518=0),1,0)</f>
        <v>0</v>
      </c>
      <c r="AO518" s="61" t="str">
        <f aca="false">IF(AK518=1,SUM(AK$5:AK518),"")</f>
        <v/>
      </c>
      <c r="AP518" s="61" t="str">
        <f aca="false">IF(AL518=1,SUM(AL$5:AL518),"")</f>
        <v/>
      </c>
      <c r="AQ518" s="61" t="n">
        <v>0</v>
      </c>
      <c r="AR518" s="61" t="n">
        <v>0</v>
      </c>
      <c r="AS518" s="61" t="n">
        <v>0</v>
      </c>
      <c r="AT518" s="61" t="n">
        <v>0</v>
      </c>
      <c r="AU518" s="61" t="str">
        <f aca="false">SUBSTITUTE(SUBSTITUTE(SUBSTITUTE(SUBSTITUTE(SUBSTITUTE(SUBSTITUTE(SUBSTITUTE(SUBSTITUTE(SUBSTITUTE(SUBSTITUTE(SUBSTITUTE(SUBSTITUTE(SUBSTITUTE(SUBSTITUTE(SUBSTITUTE(SUBSTITUTE(LOWER(T518&amp;""),CHAR(10),""),CHAR(13),""),CHAR(9),""),CHAR(160),"")," ",""),".",""),"-",""),"/",""),"?",""),"_",""),",",""),"[",""),"]",""),"(",""),")",""),"*","")</f>
        <v/>
      </c>
      <c r="AV518" s="61" t="str">
        <f aca="false">SUBSTITUTE(SUBSTITUTE(SUBSTITUTE(SUBSTITUTE(SUBSTITUTE(SUBSTITUTE(SUBSTITUTE(SUBSTITUTE(SUBSTITUTE(SUBSTITUTE(SUBSTITUTE(SUBSTITUTE(SUBSTITUTE(SUBSTITUTE(SUBSTITUTE(SUBSTITUTE(LOWER(V518&amp;""),CHAR(10),""),CHAR(13),""),CHAR(9),""),CHAR(160),"")," ",""),".",""),"-",""),"/",""),"?",""),"_",""),",",""),"[",""),"]",""),"(",""),")",""),"*","")</f>
        <v/>
      </c>
      <c r="AW518" s="61" t="str">
        <f aca="false">SUBSTITUTE(SUBSTITUTE(SUBSTITUTE(SUBSTITUTE(SUBSTITUTE(SUBSTITUTE(SUBSTITUTE(SUBSTITUTE(SUBSTITUTE(SUBSTITUTE(SUBSTITUTE(SUBSTITUTE(SUBSTITUTE(SUBSTITUTE(SUBSTITUTE(SUBSTITUTE(LOWER(Z518&amp;""),CHAR(10),""),CHAR(13),""),CHAR(9),""),CHAR(160),"")," ",""),".",""),"-",""),"/",""),"?",""),"_",""),",",""),"[",""),"]",""),"(",""),")",""),"*","")</f>
        <v/>
      </c>
      <c r="AX518" s="61" t="str">
        <f aca="false">SUBSTITUTE(SUBSTITUTE(SUBSTITUTE(SUBSTITUTE(SUBSTITUTE(SUBSTITUTE(SUBSTITUTE(SUBSTITUTE(SUBSTITUTE(SUBSTITUTE(SUBSTITUTE(SUBSTITUTE(SUBSTITUTE(SUBSTITUTE(SUBSTITUTE(SUBSTITUTE(LOWER(AE518&amp;""),CHAR(10),""),CHAR(13),""),CHAR(9),""),CHAR(160),"")," ",""),".",""),"-",""),"/",""),"?",""),"_",""),",",""),"[",""),"]",""),"(",""),")",""),"*","")</f>
        <v/>
      </c>
      <c r="AY518" s="61" t="str">
        <f aca="false">SUBSTITUTE(SUBSTITUTE(SUBSTITUTE(SUBSTITUTE(SUBSTITUTE(SUBSTITUTE(SUBSTITUTE(SUBSTITUTE(SUBSTITUTE(SUBSTITUTE(SUBSTITUTE(SUBSTITUTE(SUBSTITUTE(SUBSTITUTE(SUBSTITUTE(SUBSTITUTE(LOWER(W518&amp;""),CHAR(10),""),CHAR(13),""),CHAR(9),""),CHAR(160),"")," ",""),".",""),"-",""),"/",""),"?",""),"_",""),",",""),"[",""),"]",""),"(",""),")",""),"*","")</f>
        <v/>
      </c>
      <c r="AZ518" s="61" t="str">
        <f aca="false">SUBSTITUTE(SUBSTITUTE(SUBSTITUTE(SUBSTITUTE(SUBSTITUTE(SUBSTITUTE(SUBSTITUTE(SUBSTITUTE(SUBSTITUTE(SUBSTITUTE(SUBSTITUTE(SUBSTITUTE(SUBSTITUTE(SUBSTITUTE(SUBSTITUTE(SUBSTITUTE(LOWER(AC518&amp;""),CHAR(10),""),CHAR(13),""),CHAR(9),""),CHAR(160),"")," ",""),".",""),"-",""),"/",""),"?",""),"_",""),",",""),"[",""),"]",""),"(",""),")",""),"*","")</f>
        <v/>
      </c>
      <c r="BA518" s="61" t="str">
        <f aca="false">SUBSTITUTE(SUBSTITUTE(SUBSTITUTE(SUBSTITUTE(SUBSTITUTE(SUBSTITUTE(SUBSTITUTE(SUBSTITUTE(SUBSTITUTE(SUBSTITUTE(SUBSTITUTE(SUBSTITUTE(SUBSTITUTE(SUBSTITUTE(SUBSTITUTE(SUBSTITUTE(LOWER(AA518&amp;""),CHAR(10),""),CHAR(13),""),CHAR(9),""),CHAR(160),"")," ",""),".",""),"-",""),"/",""),"?",""),"_",""),",",""),"[",""),"]",""),"(",""),")",""),"*","")</f>
        <v/>
      </c>
      <c r="BB518" s="61" t="str">
        <f aca="false">IF(AND(TRIM(U518)="Pass",ISNUMBER(AF518)),IF(AF518&lt;&gt;0,"INVALID – qty variance: use Fail or Pass after CA",""),"")&amp;IF(AND(TRIM(U518)="Pass after CA",ISNUMBER(AF518)),IF(AF518&lt;&gt;0,"INVALID – after the corrective action the actual qty must equal expected (update Actual)",""),"")&amp;IF(AND(TRIM(U518)="Pass",TRIM(AB518)&lt;&gt;"",TRIM(AB518)&lt;&gt;"Closed"),"INVALID – corrective action not closed: use Fail, then Pass after CA","")&amp;IF(AND(LEN(BA518)&gt;=2,ISNA(MATCH(LEFT(BA518,255),L_Placeholder,0)),TRIM(AB518)=""),"INVALID – CA status missing for the recorded corrective action","")&amp;IF(AND(TRIM(U518)="Pass after CA",OR(OR(LEN(BA518)&lt;5,ISNUMBER(MATCH(BA518,L_Placeholder,0))),TRIM(AB518)&lt;&gt;"Closed")),"INVALID – corrective action not recorded/closed","")</f>
        <v/>
      </c>
      <c r="BC518" s="61" t="str">
        <f aca="false">" "&amp;TRIM(SUBSTITUTE(SUBSTITUTE(SUBSTITUTE(SUBSTITUTE(SUBSTITUTE(SUBSTITUTE(SUBSTITUTE(SUBSTITUTE(SUBSTITUTE(SUBSTITUTE(SUBSTITUTE(SUBSTITUTE(SUBSTITUTE(SUBSTITUTE(SUBSTITUTE(SUBSTITUTE(SUBSTITUTE(SUBSTITUTE(SUBSTITUTE(SUBSTITUTE(SUBSTITUTE(SUBSTITUTE(SUBSTITUTE(SUBSTITUTE(LOWER(V518&amp;""),CHAR(10)," "),CHAR(13)," "),CHAR(9)," "),CHAR(160)," "),"."," "),","," "),"-"," "),"/"," "),"("," "),")"," "),":"," "),";"," "),"_"," "),"–"," "),"?"," "),"!"," "),"*"," "),"["," "),"]"," "),"'"," "),"#"," "),"+"," "),"&amp;"," "),"\"," "))&amp;" "</f>
        <v>  </v>
      </c>
      <c r="BD518" s="61" t="str">
        <f aca="false">" "&amp;TRIM(SUBSTITUTE(SUBSTITUTE(SUBSTITUTE(SUBSTITUTE(SUBSTITUTE(SUBSTITUTE(SUBSTITUTE(SUBSTITUTE(SUBSTITUTE(SUBSTITUTE(SUBSTITUTE(SUBSTITUTE(SUBSTITUTE(SUBSTITUTE(SUBSTITUTE(SUBSTITUTE(SUBSTITUTE(SUBSTITUTE(SUBSTITUTE(SUBSTITUTE(SUBSTITUTE(SUBSTITUTE(SUBSTITUTE(SUBSTITUTE(LOWER(Z518&amp;""),CHAR(10)," "),CHAR(13)," "),CHAR(9)," "),CHAR(160)," "),"."," "),","," "),"-"," "),"/"," "),"("," "),")"," "),":"," "),";"," "),"_"," "),"–"," "),"?"," "),"!"," "),"*"," "),"["," "),"]"," "),"'"," "),"#"," "),"+"," "),"&amp;"," "),"\"," "))&amp;" "</f>
        <v>  </v>
      </c>
      <c r="BE518" s="61" t="str">
        <f aca="false">" "&amp;TRIM(SUBSTITUTE(SUBSTITUTE(SUBSTITUTE(SUBSTITUTE(SUBSTITUTE(SUBSTITUTE(SUBSTITUTE(SUBSTITUTE(SUBSTITUTE(SUBSTITUTE(SUBSTITUTE(SUBSTITUTE(SUBSTITUTE(SUBSTITUTE(SUBSTITUTE(SUBSTITUTE(SUBSTITUTE(SUBSTITUTE(SUBSTITUTE(SUBSTITUTE(SUBSTITUTE(SUBSTITUTE(SUBSTITUTE(SUBSTITUTE(LOWER(W518&amp;""),CHAR(10)," "),CHAR(13)," "),CHAR(9)," "),CHAR(160)," "),"."," "),","," "),"-"," "),"/"," "),"("," "),")"," "),":"," "),";"," "),"_"," "),"–"," "),"?"," "),"!"," "),"*"," "),"["," "),"]"," "),"'"," "),"#"," "),"+"," "),"&amp;"," "),"\"," "))&amp;" "</f>
        <v>  </v>
      </c>
      <c r="BF518" s="61" t="str">
        <f aca="false">" "&amp;TRIM(SUBSTITUTE(SUBSTITUTE(SUBSTITUTE(SUBSTITUTE(SUBSTITUTE(SUBSTITUTE(SUBSTITUTE(SUBSTITUTE(SUBSTITUTE(SUBSTITUTE(SUBSTITUTE(SUBSTITUTE(SUBSTITUTE(SUBSTITUTE(SUBSTITUTE(SUBSTITUTE(SUBSTITUTE(SUBSTITUTE(SUBSTITUTE(SUBSTITUTE(SUBSTITUTE(SUBSTITUTE(SUBSTITUTE(SUBSTITUTE(LOWER(AC518&amp;""),CHAR(10)," "),CHAR(13)," "),CHAR(9)," "),CHAR(160)," "),"."," "),","," "),"-"," "),"/"," "),"("," "),")"," "),":"," "),";"," "),"_"," "),"–"," "),"?"," "),"!"," "),"*"," "),"["," "),"]"," "),"'"," "),"#"," "),"+"," "),"&amp;"," "),"\"," "))&amp;" "</f>
        <v>  </v>
      </c>
      <c r="BG518" s="61" t="n">
        <f aca="false">IFERROR(IF(AND(TRIM(U518)="Pass",SUMPRODUCT((LEN(BC518)-LEN(SUBSTITUTE(BC518," "&amp;L_ResultBad&amp;" "," ")))/(LEN(L_ResultBad)+1))&gt;SUMPRODUCT((LEN(BC518)-LEN(SUBSTITUTE(BC518," "&amp;L_NegPhrase&amp;" "," ")))/(LEN(L_NegPhrase)+1))),1,0),0)</f>
        <v>0</v>
      </c>
      <c r="BH518" s="61" t="n">
        <f aca="false">IFERROR(IF(SUMPRODUCT((LEN(BC518)-LEN(SUBSTITUTE(BC518," "&amp;L_Pending&amp;" "," ")))/(LEN(L_Pending)+1))&gt;SUMPRODUCT((LEN(BC518)-LEN(SUBSTITUTE(BC518," "&amp;L_PendNeg&amp;" "," ")))/(LEN(L_PendNeg)+1))+SUMPRODUCT((LEN(BC518)-LEN(SUBSTITUTE(BC518," "&amp;L_PendPrep&amp;" "," ")))/(LEN(L_PendPrep)+1)),1,0),1)</f>
        <v>0</v>
      </c>
      <c r="BI518" s="61" t="n">
        <f aca="false">IFERROR(IF(SUMPRODUCT((LEN(BD518)-LEN(SUBSTITUTE(BD518," "&amp;L_PendStrict&amp;" "," ")))/(LEN(L_PendStrict)+1))&gt;SUMPRODUCT((LEN(BD518)-LEN(SUBSTITUTE(BD518," "&amp;L_PendNeg&amp;" "," ")))/(LEN(L_PendNeg)+1)),1,0),1)</f>
        <v>0</v>
      </c>
      <c r="BJ518" s="61" t="n">
        <f aca="false">IFERROR(IF(SUMPRODUCT((LEN(BE518)-LEN(SUBSTITUTE(BE518," "&amp;L_Pending&amp;" "," ")))/(LEN(L_Pending)+1))&gt;SUMPRODUCT((LEN(BE518)-LEN(SUBSTITUTE(BE518," "&amp;L_PendNeg&amp;" "," ")))/(LEN(L_PendNeg)+1))+SUMPRODUCT((LEN(BE518)-LEN(SUBSTITUTE(BE518," "&amp;L_PendPrep&amp;" "," ")))/(LEN(L_PendPrep)+1)),1,0),1)</f>
        <v>0</v>
      </c>
      <c r="BK518" s="61" t="n">
        <f aca="false">IFERROR(IF(SUMPRODUCT((LEN(BF518)-LEN(SUBSTITUTE(BF518," "&amp;L_PendStrict&amp;" "," ")))/(LEN(L_PendStrict)+1))&gt;SUMPRODUCT((LEN(BF518)-LEN(SUBSTITUTE(BF518," "&amp;L_PendNeg&amp;" "," ")))/(LEN(L_PendNeg)+1)),1,0),1)</f>
        <v>0</v>
      </c>
      <c r="BL518" s="61" t="n">
        <f aca="false">IF(ISNA(MATCH(TRIM(S518),L_EvidenceType,0)),0,BZ518)</f>
        <v>0</v>
      </c>
      <c r="BM518" s="61" t="str">
        <f aca="false">SUBSTITUTE(SUBSTITUTE(SUBSTITUTE(SUBSTITUTE(SUBSTITUTE(SUBSTITUTE(SUBSTITUTE(SUBSTITUTE(SUBSTITUTE(LOWER(Z518&amp;""),"1","0"),"2","0"),"3","0"),"4","0"),"5","0"),"6","0"),"7","0"),"8","0"),"9","0")</f>
        <v/>
      </c>
      <c r="BN518" s="61" t="str">
        <f aca="false">SUBSTITUTE(SUBSTITUTE(SUBSTITUTE(SUBSTITUTE(SUBSTITUTE(SUBSTITUTE(SUBSTITUTE(SUBSTITUTE(SUBSTITUTE(SUBSTITUTE(SUBSTITUTE(SUBSTITUTE(SUBSTITUTE(SUBSTITUTE(SUBSTITUTE(SUBSTITUTE(SUBSTITUTE(SUBSTITUTE(SUBSTITUTE(SUBSTITUTE(SUBSTITUTE(SUBSTITUTE(SUBSTITUTE(SUBSTITUTE(SUBSTITUTE(BM518,"b","a"),"c","a"),"d","a"),"e","a"),"f","a"),"g","a"),"h","a"),"i","a"),"j","a"),"k","a"),"l","a"),"m","a"),"n","a"),"o","a"),"p","a"),"q","a"),"r","a"),"s","a"),"t","a"),"u","a"),"v","a"),"w","a"),"x","a"),"y","a"),"z","a")</f>
        <v/>
      </c>
      <c r="BO518" s="61" t="str">
        <f aca="false">SUBSTITUTE(SUBSTITUTE(SUBSTITUTE(SUBSTITUTE(SUBSTITUTE(SUBSTITUTE(SUBSTITUTE(SUBSTITUTE(SUBSTITUTE(LOWER(W518&amp;""),"1","0"),"2","0"),"3","0"),"4","0"),"5","0"),"6","0"),"7","0"),"8","0"),"9","0")</f>
        <v/>
      </c>
      <c r="BP518" s="61" t="str">
        <f aca="false">SUBSTITUTE(SUBSTITUTE(SUBSTITUTE(SUBSTITUTE(SUBSTITUTE(SUBSTITUTE(SUBSTITUTE(SUBSTITUTE(SUBSTITUTE(SUBSTITUTE(SUBSTITUTE(SUBSTITUTE(SUBSTITUTE(SUBSTITUTE(SUBSTITUTE(SUBSTITUTE(SUBSTITUTE(SUBSTITUTE(SUBSTITUTE(SUBSTITUTE(SUBSTITUTE(SUBSTITUTE(SUBSTITUTE(SUBSTITUTE(SUBSTITUTE(BO518,"b","a"),"c","a"),"d","a"),"e","a"),"f","a"),"g","a"),"h","a"),"i","a"),"j","a"),"k","a"),"l","a"),"m","a"),"n","a"),"o","a"),"p","a"),"q","a"),"r","a"),"s","a"),"t","a"),"u","a"),"v","a"),"w","a"),"x","a"),"y","a"),"z","a")</f>
        <v/>
      </c>
      <c r="BQ518" s="61" t="n">
        <f aca="false">IFERROR(IF(AND(ISERROR(SEARCH(" mh"," "&amp;LOWER(W518))),ISNA(MATCH(LEFT(TRIM(BP518),255),{"0000a","000a","00a","0000aa","000aa","00aa","0aa","0000aaa","000aaa","00a00","0a00","0000-0000","00:00","a00","a0","00.00.0000","00/00/0000","00-00-0000","0000-00-00","0000/00/00","0000.00.00","00.00.00","00/00/00","00-00-00","0.00.0000","0/00/0000","0-00-0000"},0)),ISNA(MATCH(LEFT(TRIM(CA518),255),{"0000a","000a","00a","0000aa","000aa","00aa","0aa","0000aaa","000aaa","00a00","0a00","0000-0000","00:00","a00","a0","00.00.0000","00/00/0000","00-00-0000","0000-00-00","0000/00/00","0000.00.00","00.00.00","00/00/00","00-00-00","0.00.0000","0/00/0000","0-00-0000"},0)),LEN(CB518)&gt;=3,NOT(OR(SUBSTITUTE(CB518,"0","")="",AND(LEN(CB518)&gt;=4,CB518=REPT(LEFT(CB518),LEN(CB518))),ISNUMBER(MATCH(CB518,{"123","1234","12345","123456","1234567","12345678","0123","01234","012345","98765","987654","54321"},0)),AND(LEN(CB518)=8,LEFT(CB518,3)="202"))),OR(AND((LEN(CA518)-LEN(SUBSTITUTE(CA518,"a","")))&gt;=1,SUMPRODUCT(--ISNUMBER(SEARCH({"a0","a-0","a_0","a/0","a.0","a#0","0a","0-a","0_a","0/a"},BP518)))&gt;0),ISNUMBER(SEARCH("000000",BP518)))),1,0),0)</f>
        <v>0</v>
      </c>
      <c r="BR518" s="61" t="n">
        <f aca="false">IFERROR(LEN(SUBSTITUTE(CC518," ",""))-SUMPRODUCT((LEN(CC518)-LEN(SUBSTITUTE(CC518," "&amp;L_Role&amp;" "," ")))/(LEN(L_Role)+1)*LEN(L_Role)),0)</f>
        <v>0</v>
      </c>
      <c r="BS518" s="61" t="n">
        <f aca="false">IFERROR(LEN(SUBSTITUTE(CD518," ",""))-SUMPRODUCT((LEN(CD518)-LEN(SUBSTITUTE(CD518," "&amp;L_Role&amp;" "," ")))/(LEN(L_Role)+1)*LEN(L_Role)),0)</f>
        <v>0</v>
      </c>
      <c r="BT5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518,"revision",""),"version",""),"jan",""),"feb",""),"mar",""),"apr",""),"may",""),"jun",""),"jul",""),"aug",""),"sep",""),"oct",""),"nov",""),"dec",""),"utc",""),"gmt",""),"myt",""),"bst",""),"rev",""),"ver",""),"b","a"),"c","a"),"d","a"),"e","a"),"f","a"),"g","a"),"h","a"),"i","a"),"j","a"),"k","a"),"l","a"),"m","a"),"n","a"),"o","a"),"p","a"),"q","a"),"r","a"),"s","a"),"t","a"),"u","a"),"v","a"),"w","a"),"x","a"),"y","a"),"z","a")</f>
        <v/>
      </c>
      <c r="BU518" s="61" t="str">
        <f aca="false">SUBSTITUTE(SUBSTITUTE(SUBSTITUTE(SUBSTITUTE(SUBSTITUTE(SUBSTITUTE(SUBSTITUTE(SUBSTITUTE(SUBSTITUTE(SUBSTITUTE(LEFT(BM518,FIND("0",BM518&amp;"0")-1),"-",""),"_",""),"/",""),".",""),"#",""),"\\",""),":","")," ",""),"(",""),")","")</f>
        <v/>
      </c>
      <c r="BV518" s="61" t="n">
        <f aca="false">0</f>
        <v>0</v>
      </c>
      <c r="BW5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518&amp;""),"a",""),"b",""),"c",""),"d",""),"e",""),"f",""),"g",""),"h",""),"i",""),"j",""),"k",""),"l",""),"m",""),"n",""),"o",""),"p",""),"q",""),"r",""),"s",""),"t",""),"u",""),"v",""),"w",""),"x",""),"y",""),"z",""),"-",""),"_",""),"/",""),".",""),"#",""),"\\",""),":","")," ",""),"(",""),")","")</f>
        <v/>
      </c>
      <c r="BX518" s="61" t="str">
        <f aca="false">SUBSTITUTE(SUBSTITUTE(SUBSTITUTE(SUBSTITUTE(SUBSTITUTE(SUBSTITUTE(SUBSTITUTE(SUBSTITUTE(SUBSTITUTE(SUBSTITUTE(SUBSTITUTE(BM518,"0",""),"-",""),"_",""),"/",""),".",""),"#",""),"\\",""),":","")," ",""),"(",""),")","")</f>
        <v/>
      </c>
      <c r="BY518" s="62" t="n">
        <f aca="false">Q518-T12EarlyH/24</f>
        <v>46320.0486111111</v>
      </c>
      <c r="BZ518" s="61" t="n">
        <f aca="false">IFERROR(IF(IF(TRIM(S518)="Link / file path",AND(LEN(TRIM(Z518))&gt;=5,SUMPRODUCT(--ISNUMBER(SEARCH({"http","www.","\\",":\",".pdf",".jpg",".jpeg",".png",".heic",".xls",".doc",".msg",".eml",".ppt",".txt",".zip"},Z518)))&gt;0),AND(ISERROR(FIND(" ",TRIM(Z518))),NOT(OR(SUMPRODUCT(--ISNUMBER(FIND({",",";","&amp;","+"},Z518)))&gt;0,SUMPRODUCT(--ISNUMBER(SEARCH({"0/aa","0\\aa"},BN518)))&gt;0)),NOT(SUMPRODUCT(--ISNUMBER(SEARCH({"http","www.","\\",":\",".pdf",".jpg",".jpeg",".png",".heic",".xls",".doc",".msg",".eml",".ppt",".txt",".zip"},Z518)))&gt;0),NOT(LOWER(TRIM(Z518))=LOWER(Flights!$F$20)),ISNA(MATCH(BU518,{"mh","rev","revision","ver","version","v","r","a","b","seat","tray","row","gate","bay","stand","page","pg","item","line","no","cart","galley","flight","flt","table","box","bag","oven","etd","eta","std","sta","atd","ata","qty","pax","x","time","tel","ph","mob","day","wk","week","utc","gmt","myt","lt"},0)),NOT(OR(ISNUMBER(MATCH(LEFT(BN518,255),{"0000a","000a","00a","0000aa","000aa","00aa","0aa","0000aaa","000aaa","00a00","0a00","0000-0000","00:00","a00","a0","00.00.0000","00/00/0000","00-00-0000","0000-00-00","0000/00/00","0000.00.00","00.00.00","00/00/00","00-00-00","0.00.0000","0/00/0000","0-00-0000"},0)),ISNUMBER(MATCH(LEFT(BT518,255),{"0000a","000a","00a","0000aa","000aa","00aa","0aa","0000aaa","000aaa","00a00","0a00","0000-0000","00:00","a00","a0","00.00.0000","00/00/0000","00-00-0000","0000-00-00","0000/00/00","0000.00.00","00.00.00","00/00/00","00-00-00","0.00.0000","0/00/0000","0-00-0000"},0)))),NOT(OR(AND(BW518&lt;&gt;"",SUBSTITUTE(BW518,"0","")=""),AND(LEN(BW518)&gt;=4,BW518=REPT(LEFT(BW518),LEN(BW518))),ISNUMBER(MATCH(BW518,{"123","1234","12345","123456","1234567","12345678","0123","01234","012345","98765","987654","54321"},0)),ISNUMBER(MATCH(BX518,{"x","xx","xxx","xxxx","xxxxx","abc","abcd","nil","na","nan","test","tbc","tba","tbd","dummy","sample","example","eg","zz","zzz","none","null","xyz","qwe","asd","id","ref"},0)),AND(LEN(BW518)=8,BX518="",OR(LEFT(BW518,3)="202",ISNUMBER(MATCH(RIGHT(BW518,4),{"2025","2026","2027"},0)))))),OR(AND((LEN(BT518)-LEN(SUBSTITUTE(BT518,"a","")))&gt;=1,(LEN(BN518)-LEN(SUBSTITUTE(BN518,"0","")))&gt;=2,SUMPRODUCT(--ISNUMBER(SEARCH({"a0","a-0","a_0","a/0","a.0","a#0","0a","0-a","0_a","0/a"},BN518)))&gt;0),AND((LEN(BN518)-LEN(SUBSTITUTE(BN518,"a","")))=0,(LEN(BN518)-LEN(SUBSTITUTE(BN518,"0","")))&gt;=5)))),1,0),0)</f>
        <v>0</v>
      </c>
      <c r="CA5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518,"revision",""),"version",""),"jan",""),"feb",""),"mar",""),"apr",""),"may",""),"jun",""),"jul",""),"aug",""),"sep",""),"oct",""),"nov",""),"dec",""),"utc",""),"gmt",""),"myt",""),"bst",""),"rev",""),"ver",""),"b","a"),"c","a"),"d","a"),"e","a"),"f","a"),"g","a"),"h","a"),"i","a"),"j","a"),"k","a"),"l","a"),"m","a"),"n","a"),"o","a"),"p","a"),"q","a"),"r","a"),"s","a"),"t","a"),"u","a"),"v","a"),"w","a"),"x","a"),"y","a"),"z","a")</f>
        <v/>
      </c>
      <c r="CB5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518&amp;""),"a",""),"b",""),"c",""),"d",""),"e",""),"f",""),"g",""),"h",""),"i",""),"j",""),"k",""),"l",""),"m",""),"n",""),"o",""),"p",""),"q",""),"r",""),"s",""),"t",""),"u",""),"v",""),"w",""),"x",""),"y",""),"z",""),"-",""),"_",""),"/",""),".",""),"#",""),"\\",""),":","")," ",""),"(",""),")","")</f>
        <v/>
      </c>
      <c r="CC518" s="0" t="str">
        <f aca="false">" "&amp;TRIM(SUBSTITUTE(SUBSTITUTE(SUBSTITUTE(SUBSTITUTE(SUBSTITUTE(SUBSTITUTE(SUBSTITUTE(SUBSTITUTE(SUBSTITUTE(SUBSTITUTE(SUBSTITUTE(SUBSTITUTE(SUBSTITUTE(SUBSTITUTE(SUBSTITUTE(SUBSTITUTE(SUBSTITUTE(SUBSTITUTE(SUBSTITUTE(SUBSTITUTE(SUBSTITUTE(SUBSTITUTE(SUBSTITUTE(SUBSTITUTE(LOWER(T518&amp;""),CHAR(10)," "),CHAR(13)," "),CHAR(9)," "),CHAR(160)," "),"."," "),","," "),"-"," "),"/"," "),"("," "),")"," "),":"," "),";"," "),"_"," "),"–"," "),"?"," "),"!"," "),"*"," "),"["," "),"]"," "),"'"," "),"#"," "),"+"," "),"&amp;"," "),"\"," "))&amp;" "</f>
        <v>  </v>
      </c>
      <c r="CD518" s="0" t="str">
        <f aca="false">" "&amp;TRIM(SUBSTITUTE(SUBSTITUTE(SUBSTITUTE(SUBSTITUTE(SUBSTITUTE(SUBSTITUTE(SUBSTITUTE(SUBSTITUTE(SUBSTITUTE(SUBSTITUTE(SUBSTITUTE(SUBSTITUTE(SUBSTITUTE(SUBSTITUTE(SUBSTITUTE(SUBSTITUTE(SUBSTITUTE(SUBSTITUTE(SUBSTITUTE(SUBSTITUTE(SUBSTITUTE(SUBSTITUTE(SUBSTITUTE(SUBSTITUTE(LOWER(AE518&amp;""),CHAR(10)," "),CHAR(13)," "),CHAR(9)," "),CHAR(160)," "),"."," "),","," "),"-"," "),"/"," "),"("," "),")"," "),":"," "),";"," "),"_"," "),"–"," "),"?"," "),"!"," "),"*"," "),"["," "),"]"," "),"'"," "),"#"," "),"+"," "),"&amp;"," "),"\"," "))&amp;" "</f>
        <v>  </v>
      </c>
      <c r="CE518" s="68" t="n">
        <f aca="false">IFERROR(IF(AND(LEN(AU518)&gt;0,LEN(AU518)=LEN(AX518),OR(TRIM(MID(SUBSTITUTE(TRIM(CC518)," ",REPT(" ",60)),1,60))="",ISNUMBER(SEARCH(" "&amp;TRIM(MID(SUBSTITUTE(TRIM(CC518)," ",REPT(" ",60)),1,60))&amp;" ",CD518))),OR(TRIM(MID(SUBSTITUTE(TRIM(CC518)," ",REPT(" ",60)),61,60))="",ISNUMBER(SEARCH(" "&amp;TRIM(MID(SUBSTITUTE(TRIM(CC518)," ",REPT(" ",60)),61,60))&amp;" ",CD518))),OR(TRIM(MID(SUBSTITUTE(TRIM(CC518)," ",REPT(" ",60)),121,60))="",ISNUMBER(SEARCH(" "&amp;TRIM(MID(SUBSTITUTE(TRIM(CC518)," ",REPT(" ",60)),121,60))&amp;" ",CD518)))),1,0),0)</f>
        <v>0</v>
      </c>
      <c r="CG518" s="68" t="n">
        <f aca="false">IFERROR(LEN(SUBSTITUTE(BF518," ",""))-SUMPRODUCT((LEN(BF518)-LEN(SUBSTITUTE(BF518," "&amp;L_NAFiller&amp;" "," ")))/(LEN(L_NAFiller)+1)*LEN(L_NAFiller)),0)</f>
        <v>0</v>
      </c>
    </row>
    <row r="519" customFormat="false" ht="39.75" hidden="false" customHeight="true" outlineLevel="0" collapsed="false">
      <c r="A519" s="57" t="s">
        <v>1176</v>
      </c>
      <c r="B519" s="57" t="s">
        <v>280</v>
      </c>
      <c r="C519" s="57" t="str">
        <f aca="false">Flights!$F$20</f>
        <v>MH0072</v>
      </c>
      <c r="D519" s="58" t="n">
        <f aca="false">Flights!$D$20</f>
        <v>46321</v>
      </c>
      <c r="E519" s="57" t="str">
        <f aca="false">Flights!$G$20&amp;"-"&amp;Flights!$H$20</f>
        <v>KUL-HKG</v>
      </c>
      <c r="F519" s="57" t="str">
        <f aca="false">Flights!$K$20</f>
        <v>EY</v>
      </c>
      <c r="G519" s="57" t="s">
        <v>420</v>
      </c>
      <c r="H519" s="57" t="s">
        <v>378</v>
      </c>
      <c r="I519" s="57" t="s">
        <v>428</v>
      </c>
      <c r="J519" s="57" t="s">
        <v>431</v>
      </c>
      <c r="K519" s="67"/>
      <c r="L519" s="67" t="s">
        <v>422</v>
      </c>
      <c r="M519" s="67"/>
      <c r="N519" s="67" t="s">
        <v>383</v>
      </c>
      <c r="O519" s="67" t="s">
        <v>423</v>
      </c>
      <c r="P519" s="57" t="s">
        <v>187</v>
      </c>
      <c r="Q519" s="59" t="n">
        <f aca="false">ROUND((Flights!$AE$20)*1440,0)/1440</f>
        <v>46320.5486111111</v>
      </c>
      <c r="R519" s="59" t="n">
        <f aca="false">Q519+(IF(AND(INDEX(TZ_DSTS,MATCH(P519,TZ_STN,0))&lt;&gt;"",Q519&gt;=INDEX(TZ_DSTS,MATCH(P519,TZ_STN,0)),Q519&lt;INDEX(TZ_DSTE,MATCH(P519,TZ_STN,0))),INDEX(TZ_DST,MATCH(P519,TZ_STN,0)),INDEX(TZ_STD,MATCH(P519,TZ_STN,0))))/24</f>
        <v>46320.8819444444</v>
      </c>
      <c r="S519" s="60"/>
      <c r="T519" s="60"/>
      <c r="U519" s="60"/>
      <c r="V519" s="60"/>
      <c r="W519" s="61"/>
      <c r="X519" s="60"/>
      <c r="Y519" s="60"/>
      <c r="Z519" s="60"/>
      <c r="AA519" s="60"/>
      <c r="AB519" s="60"/>
      <c r="AC519" s="60"/>
      <c r="AD519" s="66"/>
      <c r="AE519" s="60"/>
      <c r="AF519" s="61" t="str">
        <f aca="false">IF(AND(ISNUMBER(X519),ISNUMBER(Y519)),Y519-X519,"")</f>
        <v/>
      </c>
      <c r="AG519" s="62" t="str">
        <f aca="false">IF(ISNUMBER(AD519),AD519-(IF(AND(INDEX(TZ_DSTS,MATCH(P519,TZ_STN,0))&lt;&gt;"",(AD519-INDEX(TZ_STD,MATCH(P519,TZ_STN,0))/24)&gt;=INDEX(TZ_DSTS,MATCH(P519,TZ_STN,0)),(AD519-INDEX(TZ_STD,MATCH(P519,TZ_STN,0))/24)&lt;INDEX(TZ_DSTE,MATCH(P519,TZ_STN,0))),INDEX(TZ_DST,MATCH(P519,TZ_STN,0)),INDEX(TZ_STD,MATCH(P519,TZ_STN,0))))/24,"")</f>
        <v/>
      </c>
      <c r="AH519" s="65" t="str">
        <f aca="false">IFERROR(IF(N519="N/A – rule",IF(OR(TRIM(U519)="",TRIM(U519)="N/A",TRIM(U519)="Not started"),"N/A – RULE","INVALID – this check does not apply to this aircraft: clear the status (or correct the fleet on Flights)"),IF(TRIM(U519)="N/A",IF(AT519=0,"INVALID – N/A not permitted for this check",IF(AND(TRIM(AB519)&lt;&gt;"",TRIM(AB519)&lt;&gt;"Closed"),"INVALID – corrective action still open",IF(AND(NOT(OR(LEN(AZ519)&lt;15,ISNUMBER(MATCH(AZ519,L_Placeholder,0)))),BK519=0,CG519&gt;=8,NOT(OR(LEN(AU519)&lt;2,ISNUMBER(MATCH(AU519,L_Placeholder,0)))),BR519&gt;=3,NOT(OR(LEN(AX519)&lt;2,ISNUMBER(MATCH(AX519,L_Placeholder,0)))),BS519&gt;=3,TRIM(AE519)&lt;&gt;TRIM(T519),AX519&lt;&gt;AU519,CE519=0),"N/A – JUSTIFIED","INVALID – N/A needs a real, settled reason (not 'not applicable' / 'as above' / TBC), a named PIC and a different named verifier"))),IF(OR(TRIM(U519)="Pass",TRIM(U519)="Pass after CA"),IF(NOT(ISNUMBER(AD519)),"INVALID – completion time missing",IF(OR(OR(LEN(AU519)&lt;2,ISNUMBER(MATCH(AU519,L_Placeholder,0))),BR519&lt;3),"INVALID – PIC missing or not a named person (a role such as QA / CSM is not a name)",IF(OR(LEN(AV519)&lt;2,ISNUMBER(MATCH(AV519,L_Placeholder,0))),"INVALID – result / assessment missing",IF(OR(OR(LEN(AW519)&lt;3,ISNUMBER(MATCH(AW519,L_Placeholder,0))),SUMPRODUCT(--ISNUMBER(SEARCH(" "&amp;L_EvidencePhrase&amp;" ",BD519)))&gt;0,BI519=1),"INVALID – evidence missing, placeholder or not yet on file",IF(ISNA(MATCH(TRIM(S519),L_EvidenceType,0)),"INVALID – choose the evidence type from the list (column S)",IF(BL519=0,"INVALID – evidence ID must be the record's own ID only (e.g. SF-2210, IMG_2231, 1045521); a link / file name needs type 'Link / file path'",IF(OR(OR(LEN(AX519)&lt;2,ISNUMBER(MATCH(AX519,L_Placeholder,0))),BS519&lt;3),"INVALID – verifier missing or not a named person (a role such as QA / CSM is not a name)",IF(OR(AX519=AU519,CE519=1,AND(LEN(AU519)&gt;=4,ISNUMBER(SEARCH(AU519,AX519))),AND(LEN(AX519)&gt;=4,ISNUMBER(SEARCH(AX519,AU519)))),"INVALID – verifier must be a different, named person (not the PIC or a role)",IF(BH519=1,"INVALID – result not yet available (awaiting / TBC)",IF(BG519=1,"INVALID – result describes a problem: record Fail, then Pass after CA (or reword if it is not a problem)",IF(BV519=1,"INVALID – wording says not on board: an on-board confirmation needs the item loaded",IF(AND(AQ519=1,OR(OR(LEN(AY519)&lt;3,ISNUMBER(MATCH(AY519,L_Placeholder,0))),BJ519=1,BQ519=0)),"INVALID – batch ID missing, placeholder or not an ID (e.g. PASB-261008-BC-017)",IF(AND(AR519=1,OR(NOT(ISNUMBER(X519)),NOT(ISNUMBER(Y519)))),"INVALID – expected/actual qty missing",IF(AND(AR519=1,OR(X519&lt;=0,Y519&lt;0)),"INVALID – expected qty must be above 0 and actual not negative",IF(BB519&lt;&gt;"",BB519,IF(AND(AS519=1,Documents!$J$20&lt;&gt;"ON FILE"),"INVALID – GLD not on file (Documents sheet)",IF(AND(AS519=2,Documents!$O$20&lt;&gt;"ON FILE"),"INVALID – menu checklist not on file (Documents sheet)",IF(AND(AS519=3,NOT(ISNUMBER(Flights!$AX$20))),"INVALID – enter carrying flight KUL departure (Flights AX)",IF(AND(AS519=3,OR(Flights!$AZ$20&gt;Flights!$AA$20,Flights!$AX$20&lt;Flights!$AA$20-3)),"INVALID – carrying flight (Flights AX) cannot arrive before this leg's STD, or is over 3 days early",IF(AG519&gt;AsOfUTC,"INVALID – completion time is in the future",IF(AND(ISNUMBER(BY519),AG519&lt;BY519),IF(H519="Physical uplift","INVALID – before uplift window (cannot confirm loading)","INVALID – before valid window"),IF(AG519&gt;Flights!$AA$20,"INVALID – completed after departure (cannot establish readiness)",IF(AND(H519="Preparation",AG519&gt;=IF(ISNUMBER(Flights!$BA$20),MIN(Flights!$BA$20,Flights!$AA$20),Flights!$AA$20)),"INVALID – completed after loading / departure (cannot establish readiness)",IF(AND(H519="Physical uplift",AG519&gt;Q519),"INVALID – recorded after the loading flight departed",IF(AG519&gt;Q519,"COMPLETE – LATE","COMPLETE"))))))))))))))))))))))))),IF(TRIM(U519)="Fail","FAIL – DISCREPANCY",IF(AND(TRIM(U519)&lt;&gt;"",TRIM(U519)&lt;&gt;"Not started",TRIM(U519)&lt;&gt;"In progress"),"INVALID – unrecognised status (use the list)",IF(AsOfUTC&gt;Q519,"OVERDUE",IF(N519="Clarification required","OPEN – CLARIFICATION","OPEN"))))))),"INVALID – error value in an input cell")</f>
        <v>OPEN</v>
      </c>
      <c r="AI519" s="61" t="n">
        <f aca="false">IF(OR(AH519="N/A – RULE",AH519="N/A – JUSTIFIED"),0,1)</f>
        <v>1</v>
      </c>
      <c r="AJ519" s="61" t="n">
        <f aca="false">IF(LEFT(AH519,8)="COMPLETE",1,0)</f>
        <v>0</v>
      </c>
      <c r="AK519" s="61" t="n">
        <f aca="false">IF(AND(AI519=1,AJ519=0,AsOfUTC&gt;Q519),1,0)</f>
        <v>0</v>
      </c>
      <c r="AL519" s="61" t="n">
        <f aca="false">IFERROR(IF(AND(AI519=1,OR(TRIM(U519)="Fail",AND(TRIM(AB519)&lt;&gt;"",TRIM(AB519)&lt;&gt;"Closed"),AND(ISNUMBER(AF519),AF519&lt;&gt;0,TRIM(U519)&lt;&gt;"Pass after CA"))),1,0),1)</f>
        <v>0</v>
      </c>
      <c r="AM519" s="61" t="n">
        <f aca="false">IF(LEFT(AH519,7)="INVALID",1,0)</f>
        <v>0</v>
      </c>
      <c r="AN519" s="61" t="n">
        <f aca="false">IF(AND(N519="Clarification required",AI519=1,AJ519=0),1,0)</f>
        <v>0</v>
      </c>
      <c r="AO519" s="61" t="str">
        <f aca="false">IF(AK519=1,SUM(AK$5:AK519),"")</f>
        <v/>
      </c>
      <c r="AP519" s="61" t="str">
        <f aca="false">IF(AL519=1,SUM(AL$5:AL519),"")</f>
        <v/>
      </c>
      <c r="AQ519" s="61" t="n">
        <v>0</v>
      </c>
      <c r="AR519" s="61" t="n">
        <v>0</v>
      </c>
      <c r="AS519" s="61" t="n">
        <v>0</v>
      </c>
      <c r="AT519" s="61" t="n">
        <v>0</v>
      </c>
      <c r="AU519" s="61" t="str">
        <f aca="false">SUBSTITUTE(SUBSTITUTE(SUBSTITUTE(SUBSTITUTE(SUBSTITUTE(SUBSTITUTE(SUBSTITUTE(SUBSTITUTE(SUBSTITUTE(SUBSTITUTE(SUBSTITUTE(SUBSTITUTE(SUBSTITUTE(SUBSTITUTE(SUBSTITUTE(SUBSTITUTE(LOWER(T519&amp;""),CHAR(10),""),CHAR(13),""),CHAR(9),""),CHAR(160),"")," ",""),".",""),"-",""),"/",""),"?",""),"_",""),",",""),"[",""),"]",""),"(",""),")",""),"*","")</f>
        <v/>
      </c>
      <c r="AV519" s="61" t="str">
        <f aca="false">SUBSTITUTE(SUBSTITUTE(SUBSTITUTE(SUBSTITUTE(SUBSTITUTE(SUBSTITUTE(SUBSTITUTE(SUBSTITUTE(SUBSTITUTE(SUBSTITUTE(SUBSTITUTE(SUBSTITUTE(SUBSTITUTE(SUBSTITUTE(SUBSTITUTE(SUBSTITUTE(LOWER(V519&amp;""),CHAR(10),""),CHAR(13),""),CHAR(9),""),CHAR(160),"")," ",""),".",""),"-",""),"/",""),"?",""),"_",""),",",""),"[",""),"]",""),"(",""),")",""),"*","")</f>
        <v/>
      </c>
      <c r="AW519" s="61" t="str">
        <f aca="false">SUBSTITUTE(SUBSTITUTE(SUBSTITUTE(SUBSTITUTE(SUBSTITUTE(SUBSTITUTE(SUBSTITUTE(SUBSTITUTE(SUBSTITUTE(SUBSTITUTE(SUBSTITUTE(SUBSTITUTE(SUBSTITUTE(SUBSTITUTE(SUBSTITUTE(SUBSTITUTE(LOWER(Z519&amp;""),CHAR(10),""),CHAR(13),""),CHAR(9),""),CHAR(160),"")," ",""),".",""),"-",""),"/",""),"?",""),"_",""),",",""),"[",""),"]",""),"(",""),")",""),"*","")</f>
        <v/>
      </c>
      <c r="AX519" s="61" t="str">
        <f aca="false">SUBSTITUTE(SUBSTITUTE(SUBSTITUTE(SUBSTITUTE(SUBSTITUTE(SUBSTITUTE(SUBSTITUTE(SUBSTITUTE(SUBSTITUTE(SUBSTITUTE(SUBSTITUTE(SUBSTITUTE(SUBSTITUTE(SUBSTITUTE(SUBSTITUTE(SUBSTITUTE(LOWER(AE519&amp;""),CHAR(10),""),CHAR(13),""),CHAR(9),""),CHAR(160),"")," ",""),".",""),"-",""),"/",""),"?",""),"_",""),",",""),"[",""),"]",""),"(",""),")",""),"*","")</f>
        <v/>
      </c>
      <c r="AY519" s="61" t="str">
        <f aca="false">SUBSTITUTE(SUBSTITUTE(SUBSTITUTE(SUBSTITUTE(SUBSTITUTE(SUBSTITUTE(SUBSTITUTE(SUBSTITUTE(SUBSTITUTE(SUBSTITUTE(SUBSTITUTE(SUBSTITUTE(SUBSTITUTE(SUBSTITUTE(SUBSTITUTE(SUBSTITUTE(LOWER(W519&amp;""),CHAR(10),""),CHAR(13),""),CHAR(9),""),CHAR(160),"")," ",""),".",""),"-",""),"/",""),"?",""),"_",""),",",""),"[",""),"]",""),"(",""),")",""),"*","")</f>
        <v/>
      </c>
      <c r="AZ519" s="61" t="str">
        <f aca="false">SUBSTITUTE(SUBSTITUTE(SUBSTITUTE(SUBSTITUTE(SUBSTITUTE(SUBSTITUTE(SUBSTITUTE(SUBSTITUTE(SUBSTITUTE(SUBSTITUTE(SUBSTITUTE(SUBSTITUTE(SUBSTITUTE(SUBSTITUTE(SUBSTITUTE(SUBSTITUTE(LOWER(AC519&amp;""),CHAR(10),""),CHAR(13),""),CHAR(9),""),CHAR(160),"")," ",""),".",""),"-",""),"/",""),"?",""),"_",""),",",""),"[",""),"]",""),"(",""),")",""),"*","")</f>
        <v/>
      </c>
      <c r="BA519" s="61" t="str">
        <f aca="false">SUBSTITUTE(SUBSTITUTE(SUBSTITUTE(SUBSTITUTE(SUBSTITUTE(SUBSTITUTE(SUBSTITUTE(SUBSTITUTE(SUBSTITUTE(SUBSTITUTE(SUBSTITUTE(SUBSTITUTE(SUBSTITUTE(SUBSTITUTE(SUBSTITUTE(SUBSTITUTE(LOWER(AA519&amp;""),CHAR(10),""),CHAR(13),""),CHAR(9),""),CHAR(160),"")," ",""),".",""),"-",""),"/",""),"?",""),"_",""),",",""),"[",""),"]",""),"(",""),")",""),"*","")</f>
        <v/>
      </c>
      <c r="BB519" s="61" t="str">
        <f aca="false">IF(AND(TRIM(U519)="Pass",ISNUMBER(AF519)),IF(AF519&lt;&gt;0,"INVALID – qty variance: use Fail or Pass after CA",""),"")&amp;IF(AND(TRIM(U519)="Pass after CA",ISNUMBER(AF519)),IF(AF519&lt;&gt;0,"INVALID – after the corrective action the actual qty must equal expected (update Actual)",""),"")&amp;IF(AND(TRIM(U519)="Pass",TRIM(AB519)&lt;&gt;"",TRIM(AB519)&lt;&gt;"Closed"),"INVALID – corrective action not closed: use Fail, then Pass after CA","")&amp;IF(AND(LEN(BA519)&gt;=2,ISNA(MATCH(LEFT(BA519,255),L_Placeholder,0)),TRIM(AB519)=""),"INVALID – CA status missing for the recorded corrective action","")&amp;IF(AND(TRIM(U519)="Pass after CA",OR(OR(LEN(BA519)&lt;5,ISNUMBER(MATCH(BA519,L_Placeholder,0))),TRIM(AB519)&lt;&gt;"Closed")),"INVALID – corrective action not recorded/closed","")</f>
        <v/>
      </c>
      <c r="BC519" s="61" t="str">
        <f aca="false">" "&amp;TRIM(SUBSTITUTE(SUBSTITUTE(SUBSTITUTE(SUBSTITUTE(SUBSTITUTE(SUBSTITUTE(SUBSTITUTE(SUBSTITUTE(SUBSTITUTE(SUBSTITUTE(SUBSTITUTE(SUBSTITUTE(SUBSTITUTE(SUBSTITUTE(SUBSTITUTE(SUBSTITUTE(SUBSTITUTE(SUBSTITUTE(SUBSTITUTE(SUBSTITUTE(SUBSTITUTE(SUBSTITUTE(SUBSTITUTE(SUBSTITUTE(LOWER(V519&amp;""),CHAR(10)," "),CHAR(13)," "),CHAR(9)," "),CHAR(160)," "),"."," "),","," "),"-"," "),"/"," "),"("," "),")"," "),":"," "),";"," "),"_"," "),"–"," "),"?"," "),"!"," "),"*"," "),"["," "),"]"," "),"'"," "),"#"," "),"+"," "),"&amp;"," "),"\"," "))&amp;" "</f>
        <v>  </v>
      </c>
      <c r="BD519" s="61" t="str">
        <f aca="false">" "&amp;TRIM(SUBSTITUTE(SUBSTITUTE(SUBSTITUTE(SUBSTITUTE(SUBSTITUTE(SUBSTITUTE(SUBSTITUTE(SUBSTITUTE(SUBSTITUTE(SUBSTITUTE(SUBSTITUTE(SUBSTITUTE(SUBSTITUTE(SUBSTITUTE(SUBSTITUTE(SUBSTITUTE(SUBSTITUTE(SUBSTITUTE(SUBSTITUTE(SUBSTITUTE(SUBSTITUTE(SUBSTITUTE(SUBSTITUTE(SUBSTITUTE(LOWER(Z519&amp;""),CHAR(10)," "),CHAR(13)," "),CHAR(9)," "),CHAR(160)," "),"."," "),","," "),"-"," "),"/"," "),"("," "),")"," "),":"," "),";"," "),"_"," "),"–"," "),"?"," "),"!"," "),"*"," "),"["," "),"]"," "),"'"," "),"#"," "),"+"," "),"&amp;"," "),"\"," "))&amp;" "</f>
        <v>  </v>
      </c>
      <c r="BE519" s="61" t="str">
        <f aca="false">" "&amp;TRIM(SUBSTITUTE(SUBSTITUTE(SUBSTITUTE(SUBSTITUTE(SUBSTITUTE(SUBSTITUTE(SUBSTITUTE(SUBSTITUTE(SUBSTITUTE(SUBSTITUTE(SUBSTITUTE(SUBSTITUTE(SUBSTITUTE(SUBSTITUTE(SUBSTITUTE(SUBSTITUTE(SUBSTITUTE(SUBSTITUTE(SUBSTITUTE(SUBSTITUTE(SUBSTITUTE(SUBSTITUTE(SUBSTITUTE(SUBSTITUTE(LOWER(W519&amp;""),CHAR(10)," "),CHAR(13)," "),CHAR(9)," "),CHAR(160)," "),"."," "),","," "),"-"," "),"/"," "),"("," "),")"," "),":"," "),";"," "),"_"," "),"–"," "),"?"," "),"!"," "),"*"," "),"["," "),"]"," "),"'"," "),"#"," "),"+"," "),"&amp;"," "),"\"," "))&amp;" "</f>
        <v>  </v>
      </c>
      <c r="BF519" s="61" t="str">
        <f aca="false">" "&amp;TRIM(SUBSTITUTE(SUBSTITUTE(SUBSTITUTE(SUBSTITUTE(SUBSTITUTE(SUBSTITUTE(SUBSTITUTE(SUBSTITUTE(SUBSTITUTE(SUBSTITUTE(SUBSTITUTE(SUBSTITUTE(SUBSTITUTE(SUBSTITUTE(SUBSTITUTE(SUBSTITUTE(SUBSTITUTE(SUBSTITUTE(SUBSTITUTE(SUBSTITUTE(SUBSTITUTE(SUBSTITUTE(SUBSTITUTE(SUBSTITUTE(LOWER(AC519&amp;""),CHAR(10)," "),CHAR(13)," "),CHAR(9)," "),CHAR(160)," "),"."," "),","," "),"-"," "),"/"," "),"("," "),")"," "),":"," "),";"," "),"_"," "),"–"," "),"?"," "),"!"," "),"*"," "),"["," "),"]"," "),"'"," "),"#"," "),"+"," "),"&amp;"," "),"\"," "))&amp;" "</f>
        <v>  </v>
      </c>
      <c r="BG519" s="61" t="n">
        <f aca="false">IFERROR(IF(AND(TRIM(U519)="Pass",SUMPRODUCT((LEN(BC519)-LEN(SUBSTITUTE(BC519," "&amp;L_ResultBad&amp;" "," ")))/(LEN(L_ResultBad)+1))&gt;SUMPRODUCT((LEN(BC519)-LEN(SUBSTITUTE(BC519," "&amp;L_NegPhrase&amp;" "," ")))/(LEN(L_NegPhrase)+1))),1,0),0)</f>
        <v>0</v>
      </c>
      <c r="BH519" s="61" t="n">
        <f aca="false">IFERROR(IF(SUMPRODUCT((LEN(BC519)-LEN(SUBSTITUTE(BC519," "&amp;L_Pending&amp;" "," ")))/(LEN(L_Pending)+1))&gt;SUMPRODUCT((LEN(BC519)-LEN(SUBSTITUTE(BC519," "&amp;L_PendNeg&amp;" "," ")))/(LEN(L_PendNeg)+1))+SUMPRODUCT((LEN(BC519)-LEN(SUBSTITUTE(BC519," "&amp;L_PendPrep&amp;" "," ")))/(LEN(L_PendPrep)+1)),1,0),1)</f>
        <v>0</v>
      </c>
      <c r="BI519" s="61" t="n">
        <f aca="false">IFERROR(IF(SUMPRODUCT((LEN(BD519)-LEN(SUBSTITUTE(BD519," "&amp;L_PendStrict&amp;" "," ")))/(LEN(L_PendStrict)+1))&gt;SUMPRODUCT((LEN(BD519)-LEN(SUBSTITUTE(BD519," "&amp;L_PendNeg&amp;" "," ")))/(LEN(L_PendNeg)+1)),1,0),1)</f>
        <v>0</v>
      </c>
      <c r="BJ519" s="61" t="n">
        <f aca="false">IFERROR(IF(SUMPRODUCT((LEN(BE519)-LEN(SUBSTITUTE(BE519," "&amp;L_Pending&amp;" "," ")))/(LEN(L_Pending)+1))&gt;SUMPRODUCT((LEN(BE519)-LEN(SUBSTITUTE(BE519," "&amp;L_PendNeg&amp;" "," ")))/(LEN(L_PendNeg)+1))+SUMPRODUCT((LEN(BE519)-LEN(SUBSTITUTE(BE519," "&amp;L_PendPrep&amp;" "," ")))/(LEN(L_PendPrep)+1)),1,0),1)</f>
        <v>0</v>
      </c>
      <c r="BK519" s="61" t="n">
        <f aca="false">IFERROR(IF(SUMPRODUCT((LEN(BF519)-LEN(SUBSTITUTE(BF519," "&amp;L_PendStrict&amp;" "," ")))/(LEN(L_PendStrict)+1))&gt;SUMPRODUCT((LEN(BF519)-LEN(SUBSTITUTE(BF519," "&amp;L_PendNeg&amp;" "," ")))/(LEN(L_PendNeg)+1)),1,0),1)</f>
        <v>0</v>
      </c>
      <c r="BL519" s="61" t="n">
        <f aca="false">IF(ISNA(MATCH(TRIM(S519),L_EvidenceType,0)),0,BZ519)</f>
        <v>0</v>
      </c>
      <c r="BM519" s="61" t="str">
        <f aca="false">SUBSTITUTE(SUBSTITUTE(SUBSTITUTE(SUBSTITUTE(SUBSTITUTE(SUBSTITUTE(SUBSTITUTE(SUBSTITUTE(SUBSTITUTE(LOWER(Z519&amp;""),"1","0"),"2","0"),"3","0"),"4","0"),"5","0"),"6","0"),"7","0"),"8","0"),"9","0")</f>
        <v/>
      </c>
      <c r="BN519" s="61" t="str">
        <f aca="false">SUBSTITUTE(SUBSTITUTE(SUBSTITUTE(SUBSTITUTE(SUBSTITUTE(SUBSTITUTE(SUBSTITUTE(SUBSTITUTE(SUBSTITUTE(SUBSTITUTE(SUBSTITUTE(SUBSTITUTE(SUBSTITUTE(SUBSTITUTE(SUBSTITUTE(SUBSTITUTE(SUBSTITUTE(SUBSTITUTE(SUBSTITUTE(SUBSTITUTE(SUBSTITUTE(SUBSTITUTE(SUBSTITUTE(SUBSTITUTE(SUBSTITUTE(BM519,"b","a"),"c","a"),"d","a"),"e","a"),"f","a"),"g","a"),"h","a"),"i","a"),"j","a"),"k","a"),"l","a"),"m","a"),"n","a"),"o","a"),"p","a"),"q","a"),"r","a"),"s","a"),"t","a"),"u","a"),"v","a"),"w","a"),"x","a"),"y","a"),"z","a")</f>
        <v/>
      </c>
      <c r="BO519" s="61" t="str">
        <f aca="false">SUBSTITUTE(SUBSTITUTE(SUBSTITUTE(SUBSTITUTE(SUBSTITUTE(SUBSTITUTE(SUBSTITUTE(SUBSTITUTE(SUBSTITUTE(LOWER(W519&amp;""),"1","0"),"2","0"),"3","0"),"4","0"),"5","0"),"6","0"),"7","0"),"8","0"),"9","0")</f>
        <v/>
      </c>
      <c r="BP519" s="61" t="str">
        <f aca="false">SUBSTITUTE(SUBSTITUTE(SUBSTITUTE(SUBSTITUTE(SUBSTITUTE(SUBSTITUTE(SUBSTITUTE(SUBSTITUTE(SUBSTITUTE(SUBSTITUTE(SUBSTITUTE(SUBSTITUTE(SUBSTITUTE(SUBSTITUTE(SUBSTITUTE(SUBSTITUTE(SUBSTITUTE(SUBSTITUTE(SUBSTITUTE(SUBSTITUTE(SUBSTITUTE(SUBSTITUTE(SUBSTITUTE(SUBSTITUTE(SUBSTITUTE(BO519,"b","a"),"c","a"),"d","a"),"e","a"),"f","a"),"g","a"),"h","a"),"i","a"),"j","a"),"k","a"),"l","a"),"m","a"),"n","a"),"o","a"),"p","a"),"q","a"),"r","a"),"s","a"),"t","a"),"u","a"),"v","a"),"w","a"),"x","a"),"y","a"),"z","a")</f>
        <v/>
      </c>
      <c r="BQ519" s="61" t="n">
        <f aca="false">IFERROR(IF(AND(ISERROR(SEARCH(" mh"," "&amp;LOWER(W519))),ISNA(MATCH(LEFT(TRIM(BP519),255),{"0000a","000a","00a","0000aa","000aa","00aa","0aa","0000aaa","000aaa","00a00","0a00","0000-0000","00:00","a00","a0","00.00.0000","00/00/0000","00-00-0000","0000-00-00","0000/00/00","0000.00.00","00.00.00","00/00/00","00-00-00","0.00.0000","0/00/0000","0-00-0000"},0)),ISNA(MATCH(LEFT(TRIM(CA519),255),{"0000a","000a","00a","0000aa","000aa","00aa","0aa","0000aaa","000aaa","00a00","0a00","0000-0000","00:00","a00","a0","00.00.0000","00/00/0000","00-00-0000","0000-00-00","0000/00/00","0000.00.00","00.00.00","00/00/00","00-00-00","0.00.0000","0/00/0000","0-00-0000"},0)),LEN(CB519)&gt;=3,NOT(OR(SUBSTITUTE(CB519,"0","")="",AND(LEN(CB519)&gt;=4,CB519=REPT(LEFT(CB519),LEN(CB519))),ISNUMBER(MATCH(CB519,{"123","1234","12345","123456","1234567","12345678","0123","01234","012345","98765","987654","54321"},0)),AND(LEN(CB519)=8,LEFT(CB519,3)="202"))),OR(AND((LEN(CA519)-LEN(SUBSTITUTE(CA519,"a","")))&gt;=1,SUMPRODUCT(--ISNUMBER(SEARCH({"a0","a-0","a_0","a/0","a.0","a#0","0a","0-a","0_a","0/a"},BP519)))&gt;0),ISNUMBER(SEARCH("000000",BP519)))),1,0),0)</f>
        <v>0</v>
      </c>
      <c r="BR519" s="61" t="n">
        <f aca="false">IFERROR(LEN(SUBSTITUTE(CC519," ",""))-SUMPRODUCT((LEN(CC519)-LEN(SUBSTITUTE(CC519," "&amp;L_Role&amp;" "," ")))/(LEN(L_Role)+1)*LEN(L_Role)),0)</f>
        <v>0</v>
      </c>
      <c r="BS519" s="61" t="n">
        <f aca="false">IFERROR(LEN(SUBSTITUTE(CD519," ",""))-SUMPRODUCT((LEN(CD519)-LEN(SUBSTITUTE(CD519," "&amp;L_Role&amp;" "," ")))/(LEN(L_Role)+1)*LEN(L_Role)),0)</f>
        <v>0</v>
      </c>
      <c r="BT5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519,"revision",""),"version",""),"jan",""),"feb",""),"mar",""),"apr",""),"may",""),"jun",""),"jul",""),"aug",""),"sep",""),"oct",""),"nov",""),"dec",""),"utc",""),"gmt",""),"myt",""),"bst",""),"rev",""),"ver",""),"b","a"),"c","a"),"d","a"),"e","a"),"f","a"),"g","a"),"h","a"),"i","a"),"j","a"),"k","a"),"l","a"),"m","a"),"n","a"),"o","a"),"p","a"),"q","a"),"r","a"),"s","a"),"t","a"),"u","a"),"v","a"),"w","a"),"x","a"),"y","a"),"z","a")</f>
        <v/>
      </c>
      <c r="BU519" s="61" t="str">
        <f aca="false">SUBSTITUTE(SUBSTITUTE(SUBSTITUTE(SUBSTITUTE(SUBSTITUTE(SUBSTITUTE(SUBSTITUTE(SUBSTITUTE(SUBSTITUTE(SUBSTITUTE(LEFT(BM519,FIND("0",BM519&amp;"0")-1),"-",""),"_",""),"/",""),".",""),"#",""),"\\",""),":","")," ",""),"(",""),")","")</f>
        <v/>
      </c>
      <c r="BV519" s="61" t="n">
        <f aca="false">0</f>
        <v>0</v>
      </c>
      <c r="BW5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519&amp;""),"a",""),"b",""),"c",""),"d",""),"e",""),"f",""),"g",""),"h",""),"i",""),"j",""),"k",""),"l",""),"m",""),"n",""),"o",""),"p",""),"q",""),"r",""),"s",""),"t",""),"u",""),"v",""),"w",""),"x",""),"y",""),"z",""),"-",""),"_",""),"/",""),".",""),"#",""),"\\",""),":","")," ",""),"(",""),")","")</f>
        <v/>
      </c>
      <c r="BX519" s="61" t="str">
        <f aca="false">SUBSTITUTE(SUBSTITUTE(SUBSTITUTE(SUBSTITUTE(SUBSTITUTE(SUBSTITUTE(SUBSTITUTE(SUBSTITUTE(SUBSTITUTE(SUBSTITUTE(SUBSTITUTE(BM519,"0",""),"-",""),"_",""),"/",""),".",""),"#",""),"\\",""),":","")," ",""),"(",""),")","")</f>
        <v/>
      </c>
      <c r="BY519" s="62" t="n">
        <f aca="false">Q519-T12EarlyH/24</f>
        <v>46320.0486111111</v>
      </c>
      <c r="BZ519" s="61" t="n">
        <f aca="false">IFERROR(IF(IF(TRIM(S519)="Link / file path",AND(LEN(TRIM(Z519))&gt;=5,SUMPRODUCT(--ISNUMBER(SEARCH({"http","www.","\\",":\",".pdf",".jpg",".jpeg",".png",".heic",".xls",".doc",".msg",".eml",".ppt",".txt",".zip"},Z519)))&gt;0),AND(ISERROR(FIND(" ",TRIM(Z519))),NOT(OR(SUMPRODUCT(--ISNUMBER(FIND({",",";","&amp;","+"},Z519)))&gt;0,SUMPRODUCT(--ISNUMBER(SEARCH({"0/aa","0\\aa"},BN519)))&gt;0)),NOT(SUMPRODUCT(--ISNUMBER(SEARCH({"http","www.","\\",":\",".pdf",".jpg",".jpeg",".png",".heic",".xls",".doc",".msg",".eml",".ppt",".txt",".zip"},Z519)))&gt;0),NOT(LOWER(TRIM(Z519))=LOWER(Flights!$F$20)),ISNA(MATCH(BU519,{"mh","rev","revision","ver","version","v","r","a","b","seat","tray","row","gate","bay","stand","page","pg","item","line","no","cart","galley","flight","flt","table","box","bag","oven","etd","eta","std","sta","atd","ata","qty","pax","x","time","tel","ph","mob","day","wk","week","utc","gmt","myt","lt"},0)),NOT(OR(ISNUMBER(MATCH(LEFT(BN519,255),{"0000a","000a","00a","0000aa","000aa","00aa","0aa","0000aaa","000aaa","00a00","0a00","0000-0000","00:00","a00","a0","00.00.0000","00/00/0000","00-00-0000","0000-00-00","0000/00/00","0000.00.00","00.00.00","00/00/00","00-00-00","0.00.0000","0/00/0000","0-00-0000"},0)),ISNUMBER(MATCH(LEFT(BT519,255),{"0000a","000a","00a","0000aa","000aa","00aa","0aa","0000aaa","000aaa","00a00","0a00","0000-0000","00:00","a00","a0","00.00.0000","00/00/0000","00-00-0000","0000-00-00","0000/00/00","0000.00.00","00.00.00","00/00/00","00-00-00","0.00.0000","0/00/0000","0-00-0000"},0)))),NOT(OR(AND(BW519&lt;&gt;"",SUBSTITUTE(BW519,"0","")=""),AND(LEN(BW519)&gt;=4,BW519=REPT(LEFT(BW519),LEN(BW519))),ISNUMBER(MATCH(BW519,{"123","1234","12345","123456","1234567","12345678","0123","01234","012345","98765","987654","54321"},0)),ISNUMBER(MATCH(BX519,{"x","xx","xxx","xxxx","xxxxx","abc","abcd","nil","na","nan","test","tbc","tba","tbd","dummy","sample","example","eg","zz","zzz","none","null","xyz","qwe","asd","id","ref"},0)),AND(LEN(BW519)=8,BX519="",OR(LEFT(BW519,3)="202",ISNUMBER(MATCH(RIGHT(BW519,4),{"2025","2026","2027"},0)))))),OR(AND((LEN(BT519)-LEN(SUBSTITUTE(BT519,"a","")))&gt;=1,(LEN(BN519)-LEN(SUBSTITUTE(BN519,"0","")))&gt;=2,SUMPRODUCT(--ISNUMBER(SEARCH({"a0","a-0","a_0","a/0","a.0","a#0","0a","0-a","0_a","0/a"},BN519)))&gt;0),AND((LEN(BN519)-LEN(SUBSTITUTE(BN519,"a","")))=0,(LEN(BN519)-LEN(SUBSTITUTE(BN519,"0","")))&gt;=5)))),1,0),0)</f>
        <v>0</v>
      </c>
      <c r="CA5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519,"revision",""),"version",""),"jan",""),"feb",""),"mar",""),"apr",""),"may",""),"jun",""),"jul",""),"aug",""),"sep",""),"oct",""),"nov",""),"dec",""),"utc",""),"gmt",""),"myt",""),"bst",""),"rev",""),"ver",""),"b","a"),"c","a"),"d","a"),"e","a"),"f","a"),"g","a"),"h","a"),"i","a"),"j","a"),"k","a"),"l","a"),"m","a"),"n","a"),"o","a"),"p","a"),"q","a"),"r","a"),"s","a"),"t","a"),"u","a"),"v","a"),"w","a"),"x","a"),"y","a"),"z","a")</f>
        <v/>
      </c>
      <c r="CB5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519&amp;""),"a",""),"b",""),"c",""),"d",""),"e",""),"f",""),"g",""),"h",""),"i",""),"j",""),"k",""),"l",""),"m",""),"n",""),"o",""),"p",""),"q",""),"r",""),"s",""),"t",""),"u",""),"v",""),"w",""),"x",""),"y",""),"z",""),"-",""),"_",""),"/",""),".",""),"#",""),"\\",""),":","")," ",""),"(",""),")","")</f>
        <v/>
      </c>
      <c r="CC519" s="0" t="str">
        <f aca="false">" "&amp;TRIM(SUBSTITUTE(SUBSTITUTE(SUBSTITUTE(SUBSTITUTE(SUBSTITUTE(SUBSTITUTE(SUBSTITUTE(SUBSTITUTE(SUBSTITUTE(SUBSTITUTE(SUBSTITUTE(SUBSTITUTE(SUBSTITUTE(SUBSTITUTE(SUBSTITUTE(SUBSTITUTE(SUBSTITUTE(SUBSTITUTE(SUBSTITUTE(SUBSTITUTE(SUBSTITUTE(SUBSTITUTE(SUBSTITUTE(SUBSTITUTE(LOWER(T519&amp;""),CHAR(10)," "),CHAR(13)," "),CHAR(9)," "),CHAR(160)," "),"."," "),","," "),"-"," "),"/"," "),"("," "),")"," "),":"," "),";"," "),"_"," "),"–"," "),"?"," "),"!"," "),"*"," "),"["," "),"]"," "),"'"," "),"#"," "),"+"," "),"&amp;"," "),"\"," "))&amp;" "</f>
        <v>  </v>
      </c>
      <c r="CD519" s="0" t="str">
        <f aca="false">" "&amp;TRIM(SUBSTITUTE(SUBSTITUTE(SUBSTITUTE(SUBSTITUTE(SUBSTITUTE(SUBSTITUTE(SUBSTITUTE(SUBSTITUTE(SUBSTITUTE(SUBSTITUTE(SUBSTITUTE(SUBSTITUTE(SUBSTITUTE(SUBSTITUTE(SUBSTITUTE(SUBSTITUTE(SUBSTITUTE(SUBSTITUTE(SUBSTITUTE(SUBSTITUTE(SUBSTITUTE(SUBSTITUTE(SUBSTITUTE(SUBSTITUTE(LOWER(AE519&amp;""),CHAR(10)," "),CHAR(13)," "),CHAR(9)," "),CHAR(160)," "),"."," "),","," "),"-"," "),"/"," "),"("," "),")"," "),":"," "),";"," "),"_"," "),"–"," "),"?"," "),"!"," "),"*"," "),"["," "),"]"," "),"'"," "),"#"," "),"+"," "),"&amp;"," "),"\"," "))&amp;" "</f>
        <v>  </v>
      </c>
      <c r="CE519" s="68" t="n">
        <f aca="false">IFERROR(IF(AND(LEN(AU519)&gt;0,LEN(AU519)=LEN(AX519),OR(TRIM(MID(SUBSTITUTE(TRIM(CC519)," ",REPT(" ",60)),1,60))="",ISNUMBER(SEARCH(" "&amp;TRIM(MID(SUBSTITUTE(TRIM(CC519)," ",REPT(" ",60)),1,60))&amp;" ",CD519))),OR(TRIM(MID(SUBSTITUTE(TRIM(CC519)," ",REPT(" ",60)),61,60))="",ISNUMBER(SEARCH(" "&amp;TRIM(MID(SUBSTITUTE(TRIM(CC519)," ",REPT(" ",60)),61,60))&amp;" ",CD519))),OR(TRIM(MID(SUBSTITUTE(TRIM(CC519)," ",REPT(" ",60)),121,60))="",ISNUMBER(SEARCH(" "&amp;TRIM(MID(SUBSTITUTE(TRIM(CC519)," ",REPT(" ",60)),121,60))&amp;" ",CD519)))),1,0),0)</f>
        <v>0</v>
      </c>
      <c r="CG519" s="68" t="n">
        <f aca="false">IFERROR(LEN(SUBSTITUTE(BF519," ",""))-SUMPRODUCT((LEN(BF519)-LEN(SUBSTITUTE(BF519," "&amp;L_NAFiller&amp;" "," ")))/(LEN(L_NAFiller)+1)*LEN(L_NAFiller)),0)</f>
        <v>0</v>
      </c>
    </row>
    <row r="520" customFormat="false" ht="39.75" hidden="false" customHeight="true" outlineLevel="0" collapsed="false">
      <c r="A520" s="57" t="s">
        <v>1177</v>
      </c>
      <c r="B520" s="57" t="s">
        <v>280</v>
      </c>
      <c r="C520" s="57" t="str">
        <f aca="false">Flights!$F$20</f>
        <v>MH0072</v>
      </c>
      <c r="D520" s="58" t="n">
        <f aca="false">Flights!$D$20</f>
        <v>46321</v>
      </c>
      <c r="E520" s="57" t="str">
        <f aca="false">Flights!$G$20&amp;"-"&amp;Flights!$H$20</f>
        <v>KUL-HKG</v>
      </c>
      <c r="F520" s="57" t="str">
        <f aca="false">Flights!$K$20</f>
        <v>EY</v>
      </c>
      <c r="G520" s="57" t="s">
        <v>420</v>
      </c>
      <c r="H520" s="57" t="s">
        <v>378</v>
      </c>
      <c r="I520" s="57" t="s">
        <v>428</v>
      </c>
      <c r="J520" s="57" t="s">
        <v>433</v>
      </c>
      <c r="K520" s="67"/>
      <c r="L520" s="67" t="s">
        <v>422</v>
      </c>
      <c r="M520" s="67"/>
      <c r="N520" s="67" t="s">
        <v>383</v>
      </c>
      <c r="O520" s="67" t="s">
        <v>423</v>
      </c>
      <c r="P520" s="57" t="s">
        <v>187</v>
      </c>
      <c r="Q520" s="59" t="n">
        <f aca="false">ROUND((Flights!$AE$20)*1440,0)/1440</f>
        <v>46320.5486111111</v>
      </c>
      <c r="R520" s="59" t="n">
        <f aca="false">Q520+(IF(AND(INDEX(TZ_DSTS,MATCH(P520,TZ_STN,0))&lt;&gt;"",Q520&gt;=INDEX(TZ_DSTS,MATCH(P520,TZ_STN,0)),Q520&lt;INDEX(TZ_DSTE,MATCH(P520,TZ_STN,0))),INDEX(TZ_DST,MATCH(P520,TZ_STN,0)),INDEX(TZ_STD,MATCH(P520,TZ_STN,0))))/24</f>
        <v>46320.8819444444</v>
      </c>
      <c r="S520" s="60"/>
      <c r="T520" s="60"/>
      <c r="U520" s="60"/>
      <c r="V520" s="60"/>
      <c r="W520" s="61"/>
      <c r="X520" s="60"/>
      <c r="Y520" s="60"/>
      <c r="Z520" s="60"/>
      <c r="AA520" s="60"/>
      <c r="AB520" s="60"/>
      <c r="AC520" s="60"/>
      <c r="AD520" s="66"/>
      <c r="AE520" s="60"/>
      <c r="AF520" s="61" t="str">
        <f aca="false">IF(AND(ISNUMBER(X520),ISNUMBER(Y520)),Y520-X520,"")</f>
        <v/>
      </c>
      <c r="AG520" s="62" t="str">
        <f aca="false">IF(ISNUMBER(AD520),AD520-(IF(AND(INDEX(TZ_DSTS,MATCH(P520,TZ_STN,0))&lt;&gt;"",(AD520-INDEX(TZ_STD,MATCH(P520,TZ_STN,0))/24)&gt;=INDEX(TZ_DSTS,MATCH(P520,TZ_STN,0)),(AD520-INDEX(TZ_STD,MATCH(P520,TZ_STN,0))/24)&lt;INDEX(TZ_DSTE,MATCH(P520,TZ_STN,0))),INDEX(TZ_DST,MATCH(P520,TZ_STN,0)),INDEX(TZ_STD,MATCH(P520,TZ_STN,0))))/24,"")</f>
        <v/>
      </c>
      <c r="AH520" s="65" t="str">
        <f aca="false">IFERROR(IF(N520="N/A – rule",IF(OR(TRIM(U520)="",TRIM(U520)="N/A",TRIM(U520)="Not started"),"N/A – RULE","INVALID – this check does not apply to this aircraft: clear the status (or correct the fleet on Flights)"),IF(TRIM(U520)="N/A",IF(AT520=0,"INVALID – N/A not permitted for this check",IF(AND(TRIM(AB520)&lt;&gt;"",TRIM(AB520)&lt;&gt;"Closed"),"INVALID – corrective action still open",IF(AND(NOT(OR(LEN(AZ520)&lt;15,ISNUMBER(MATCH(AZ520,L_Placeholder,0)))),BK520=0,CG520&gt;=8,NOT(OR(LEN(AU520)&lt;2,ISNUMBER(MATCH(AU520,L_Placeholder,0)))),BR520&gt;=3,NOT(OR(LEN(AX520)&lt;2,ISNUMBER(MATCH(AX520,L_Placeholder,0)))),BS520&gt;=3,TRIM(AE520)&lt;&gt;TRIM(T520),AX520&lt;&gt;AU520,CE520=0),"N/A – JUSTIFIED","INVALID – N/A needs a real, settled reason (not 'not applicable' / 'as above' / TBC), a named PIC and a different named verifier"))),IF(OR(TRIM(U520)="Pass",TRIM(U520)="Pass after CA"),IF(NOT(ISNUMBER(AD520)),"INVALID – completion time missing",IF(OR(OR(LEN(AU520)&lt;2,ISNUMBER(MATCH(AU520,L_Placeholder,0))),BR520&lt;3),"INVALID – PIC missing or not a named person (a role such as QA / CSM is not a name)",IF(OR(LEN(AV520)&lt;2,ISNUMBER(MATCH(AV520,L_Placeholder,0))),"INVALID – result / assessment missing",IF(OR(OR(LEN(AW520)&lt;3,ISNUMBER(MATCH(AW520,L_Placeholder,0))),SUMPRODUCT(--ISNUMBER(SEARCH(" "&amp;L_EvidencePhrase&amp;" ",BD520)))&gt;0,BI520=1),"INVALID – evidence missing, placeholder or not yet on file",IF(ISNA(MATCH(TRIM(S520),L_EvidenceType,0)),"INVALID – choose the evidence type from the list (column S)",IF(BL520=0,"INVALID – evidence ID must be the record's own ID only (e.g. SF-2210, IMG_2231, 1045521); a link / file name needs type 'Link / file path'",IF(OR(OR(LEN(AX520)&lt;2,ISNUMBER(MATCH(AX520,L_Placeholder,0))),BS520&lt;3),"INVALID – verifier missing or not a named person (a role such as QA / CSM is not a name)",IF(OR(AX520=AU520,CE520=1,AND(LEN(AU520)&gt;=4,ISNUMBER(SEARCH(AU520,AX520))),AND(LEN(AX520)&gt;=4,ISNUMBER(SEARCH(AX520,AU520)))),"INVALID – verifier must be a different, named person (not the PIC or a role)",IF(BH520=1,"INVALID – result not yet available (awaiting / TBC)",IF(BG520=1,"INVALID – result describes a problem: record Fail, then Pass after CA (or reword if it is not a problem)",IF(BV520=1,"INVALID – wording says not on board: an on-board confirmation needs the item loaded",IF(AND(AQ520=1,OR(OR(LEN(AY520)&lt;3,ISNUMBER(MATCH(AY520,L_Placeholder,0))),BJ520=1,BQ520=0)),"INVALID – batch ID missing, placeholder or not an ID (e.g. PASB-261008-BC-017)",IF(AND(AR520=1,OR(NOT(ISNUMBER(X520)),NOT(ISNUMBER(Y520)))),"INVALID – expected/actual qty missing",IF(AND(AR520=1,OR(X520&lt;=0,Y520&lt;0)),"INVALID – expected qty must be above 0 and actual not negative",IF(BB520&lt;&gt;"",BB520,IF(AND(AS520=1,Documents!$J$20&lt;&gt;"ON FILE"),"INVALID – GLD not on file (Documents sheet)",IF(AND(AS520=2,Documents!$O$20&lt;&gt;"ON FILE"),"INVALID – menu checklist not on file (Documents sheet)",IF(AND(AS520=3,NOT(ISNUMBER(Flights!$AX$20))),"INVALID – enter carrying flight KUL departure (Flights AX)",IF(AND(AS520=3,OR(Flights!$AZ$20&gt;Flights!$AA$20,Flights!$AX$20&lt;Flights!$AA$20-3)),"INVALID – carrying flight (Flights AX) cannot arrive before this leg's STD, or is over 3 days early",IF(AG520&gt;AsOfUTC,"INVALID – completion time is in the future",IF(AND(ISNUMBER(BY520),AG520&lt;BY520),IF(H520="Physical uplift","INVALID – before uplift window (cannot confirm loading)","INVALID – before valid window"),IF(AG520&gt;Flights!$AA$20,"INVALID – completed after departure (cannot establish readiness)",IF(AND(H520="Preparation",AG520&gt;=IF(ISNUMBER(Flights!$BA$20),MIN(Flights!$BA$20,Flights!$AA$20),Flights!$AA$20)),"INVALID – completed after loading / departure (cannot establish readiness)",IF(AND(H520="Physical uplift",AG520&gt;Q520),"INVALID – recorded after the loading flight departed",IF(AG520&gt;Q520,"COMPLETE – LATE","COMPLETE"))))))))))))))))))))))))),IF(TRIM(U520)="Fail","FAIL – DISCREPANCY",IF(AND(TRIM(U520)&lt;&gt;"",TRIM(U520)&lt;&gt;"Not started",TRIM(U520)&lt;&gt;"In progress"),"INVALID – unrecognised status (use the list)",IF(AsOfUTC&gt;Q520,"OVERDUE",IF(N520="Clarification required","OPEN – CLARIFICATION","OPEN"))))))),"INVALID – error value in an input cell")</f>
        <v>OPEN</v>
      </c>
      <c r="AI520" s="61" t="n">
        <f aca="false">IF(OR(AH520="N/A – RULE",AH520="N/A – JUSTIFIED"),0,1)</f>
        <v>1</v>
      </c>
      <c r="AJ520" s="61" t="n">
        <f aca="false">IF(LEFT(AH520,8)="COMPLETE",1,0)</f>
        <v>0</v>
      </c>
      <c r="AK520" s="61" t="n">
        <f aca="false">IF(AND(AI520=1,AJ520=0,AsOfUTC&gt;Q520),1,0)</f>
        <v>0</v>
      </c>
      <c r="AL520" s="61" t="n">
        <f aca="false">IFERROR(IF(AND(AI520=1,OR(TRIM(U520)="Fail",AND(TRIM(AB520)&lt;&gt;"",TRIM(AB520)&lt;&gt;"Closed"),AND(ISNUMBER(AF520),AF520&lt;&gt;0,TRIM(U520)&lt;&gt;"Pass after CA"))),1,0),1)</f>
        <v>0</v>
      </c>
      <c r="AM520" s="61" t="n">
        <f aca="false">IF(LEFT(AH520,7)="INVALID",1,0)</f>
        <v>0</v>
      </c>
      <c r="AN520" s="61" t="n">
        <f aca="false">IF(AND(N520="Clarification required",AI520=1,AJ520=0),1,0)</f>
        <v>0</v>
      </c>
      <c r="AO520" s="61" t="str">
        <f aca="false">IF(AK520=1,SUM(AK$5:AK520),"")</f>
        <v/>
      </c>
      <c r="AP520" s="61" t="str">
        <f aca="false">IF(AL520=1,SUM(AL$5:AL520),"")</f>
        <v/>
      </c>
      <c r="AQ520" s="61" t="n">
        <v>0</v>
      </c>
      <c r="AR520" s="61" t="n">
        <v>0</v>
      </c>
      <c r="AS520" s="61" t="n">
        <v>0</v>
      </c>
      <c r="AT520" s="61" t="n">
        <v>0</v>
      </c>
      <c r="AU520" s="61" t="str">
        <f aca="false">SUBSTITUTE(SUBSTITUTE(SUBSTITUTE(SUBSTITUTE(SUBSTITUTE(SUBSTITUTE(SUBSTITUTE(SUBSTITUTE(SUBSTITUTE(SUBSTITUTE(SUBSTITUTE(SUBSTITUTE(SUBSTITUTE(SUBSTITUTE(SUBSTITUTE(SUBSTITUTE(LOWER(T520&amp;""),CHAR(10),""),CHAR(13),""),CHAR(9),""),CHAR(160),"")," ",""),".",""),"-",""),"/",""),"?",""),"_",""),",",""),"[",""),"]",""),"(",""),")",""),"*","")</f>
        <v/>
      </c>
      <c r="AV520" s="61" t="str">
        <f aca="false">SUBSTITUTE(SUBSTITUTE(SUBSTITUTE(SUBSTITUTE(SUBSTITUTE(SUBSTITUTE(SUBSTITUTE(SUBSTITUTE(SUBSTITUTE(SUBSTITUTE(SUBSTITUTE(SUBSTITUTE(SUBSTITUTE(SUBSTITUTE(SUBSTITUTE(SUBSTITUTE(LOWER(V520&amp;""),CHAR(10),""),CHAR(13),""),CHAR(9),""),CHAR(160),"")," ",""),".",""),"-",""),"/",""),"?",""),"_",""),",",""),"[",""),"]",""),"(",""),")",""),"*","")</f>
        <v/>
      </c>
      <c r="AW520" s="61" t="str">
        <f aca="false">SUBSTITUTE(SUBSTITUTE(SUBSTITUTE(SUBSTITUTE(SUBSTITUTE(SUBSTITUTE(SUBSTITUTE(SUBSTITUTE(SUBSTITUTE(SUBSTITUTE(SUBSTITUTE(SUBSTITUTE(SUBSTITUTE(SUBSTITUTE(SUBSTITUTE(SUBSTITUTE(LOWER(Z520&amp;""),CHAR(10),""),CHAR(13),""),CHAR(9),""),CHAR(160),"")," ",""),".",""),"-",""),"/",""),"?",""),"_",""),",",""),"[",""),"]",""),"(",""),")",""),"*","")</f>
        <v/>
      </c>
      <c r="AX520" s="61" t="str">
        <f aca="false">SUBSTITUTE(SUBSTITUTE(SUBSTITUTE(SUBSTITUTE(SUBSTITUTE(SUBSTITUTE(SUBSTITUTE(SUBSTITUTE(SUBSTITUTE(SUBSTITUTE(SUBSTITUTE(SUBSTITUTE(SUBSTITUTE(SUBSTITUTE(SUBSTITUTE(SUBSTITUTE(LOWER(AE520&amp;""),CHAR(10),""),CHAR(13),""),CHAR(9),""),CHAR(160),"")," ",""),".",""),"-",""),"/",""),"?",""),"_",""),",",""),"[",""),"]",""),"(",""),")",""),"*","")</f>
        <v/>
      </c>
      <c r="AY520" s="61" t="str">
        <f aca="false">SUBSTITUTE(SUBSTITUTE(SUBSTITUTE(SUBSTITUTE(SUBSTITUTE(SUBSTITUTE(SUBSTITUTE(SUBSTITUTE(SUBSTITUTE(SUBSTITUTE(SUBSTITUTE(SUBSTITUTE(SUBSTITUTE(SUBSTITUTE(SUBSTITUTE(SUBSTITUTE(LOWER(W520&amp;""),CHAR(10),""),CHAR(13),""),CHAR(9),""),CHAR(160),"")," ",""),".",""),"-",""),"/",""),"?",""),"_",""),",",""),"[",""),"]",""),"(",""),")",""),"*","")</f>
        <v/>
      </c>
      <c r="AZ520" s="61" t="str">
        <f aca="false">SUBSTITUTE(SUBSTITUTE(SUBSTITUTE(SUBSTITUTE(SUBSTITUTE(SUBSTITUTE(SUBSTITUTE(SUBSTITUTE(SUBSTITUTE(SUBSTITUTE(SUBSTITUTE(SUBSTITUTE(SUBSTITUTE(SUBSTITUTE(SUBSTITUTE(SUBSTITUTE(LOWER(AC520&amp;""),CHAR(10),""),CHAR(13),""),CHAR(9),""),CHAR(160),"")," ",""),".",""),"-",""),"/",""),"?",""),"_",""),",",""),"[",""),"]",""),"(",""),")",""),"*","")</f>
        <v/>
      </c>
      <c r="BA520" s="61" t="str">
        <f aca="false">SUBSTITUTE(SUBSTITUTE(SUBSTITUTE(SUBSTITUTE(SUBSTITUTE(SUBSTITUTE(SUBSTITUTE(SUBSTITUTE(SUBSTITUTE(SUBSTITUTE(SUBSTITUTE(SUBSTITUTE(SUBSTITUTE(SUBSTITUTE(SUBSTITUTE(SUBSTITUTE(LOWER(AA520&amp;""),CHAR(10),""),CHAR(13),""),CHAR(9),""),CHAR(160),"")," ",""),".",""),"-",""),"/",""),"?",""),"_",""),",",""),"[",""),"]",""),"(",""),")",""),"*","")</f>
        <v/>
      </c>
      <c r="BB520" s="61" t="str">
        <f aca="false">IF(AND(TRIM(U520)="Pass",ISNUMBER(AF520)),IF(AF520&lt;&gt;0,"INVALID – qty variance: use Fail or Pass after CA",""),"")&amp;IF(AND(TRIM(U520)="Pass after CA",ISNUMBER(AF520)),IF(AF520&lt;&gt;0,"INVALID – after the corrective action the actual qty must equal expected (update Actual)",""),"")&amp;IF(AND(TRIM(U520)="Pass",TRIM(AB520)&lt;&gt;"",TRIM(AB520)&lt;&gt;"Closed"),"INVALID – corrective action not closed: use Fail, then Pass after CA","")&amp;IF(AND(LEN(BA520)&gt;=2,ISNA(MATCH(LEFT(BA520,255),L_Placeholder,0)),TRIM(AB520)=""),"INVALID – CA status missing for the recorded corrective action","")&amp;IF(AND(TRIM(U520)="Pass after CA",OR(OR(LEN(BA520)&lt;5,ISNUMBER(MATCH(BA520,L_Placeholder,0))),TRIM(AB520)&lt;&gt;"Closed")),"INVALID – corrective action not recorded/closed","")</f>
        <v/>
      </c>
      <c r="BC520" s="61" t="str">
        <f aca="false">" "&amp;TRIM(SUBSTITUTE(SUBSTITUTE(SUBSTITUTE(SUBSTITUTE(SUBSTITUTE(SUBSTITUTE(SUBSTITUTE(SUBSTITUTE(SUBSTITUTE(SUBSTITUTE(SUBSTITUTE(SUBSTITUTE(SUBSTITUTE(SUBSTITUTE(SUBSTITUTE(SUBSTITUTE(SUBSTITUTE(SUBSTITUTE(SUBSTITUTE(SUBSTITUTE(SUBSTITUTE(SUBSTITUTE(SUBSTITUTE(SUBSTITUTE(LOWER(V520&amp;""),CHAR(10)," "),CHAR(13)," "),CHAR(9)," "),CHAR(160)," "),"."," "),","," "),"-"," "),"/"," "),"("," "),")"," "),":"," "),";"," "),"_"," "),"–"," "),"?"," "),"!"," "),"*"," "),"["," "),"]"," "),"'"," "),"#"," "),"+"," "),"&amp;"," "),"\"," "))&amp;" "</f>
        <v>  </v>
      </c>
      <c r="BD520" s="61" t="str">
        <f aca="false">" "&amp;TRIM(SUBSTITUTE(SUBSTITUTE(SUBSTITUTE(SUBSTITUTE(SUBSTITUTE(SUBSTITUTE(SUBSTITUTE(SUBSTITUTE(SUBSTITUTE(SUBSTITUTE(SUBSTITUTE(SUBSTITUTE(SUBSTITUTE(SUBSTITUTE(SUBSTITUTE(SUBSTITUTE(SUBSTITUTE(SUBSTITUTE(SUBSTITUTE(SUBSTITUTE(SUBSTITUTE(SUBSTITUTE(SUBSTITUTE(SUBSTITUTE(LOWER(Z520&amp;""),CHAR(10)," "),CHAR(13)," "),CHAR(9)," "),CHAR(160)," "),"."," "),","," "),"-"," "),"/"," "),"("," "),")"," "),":"," "),";"," "),"_"," "),"–"," "),"?"," "),"!"," "),"*"," "),"["," "),"]"," "),"'"," "),"#"," "),"+"," "),"&amp;"," "),"\"," "))&amp;" "</f>
        <v>  </v>
      </c>
      <c r="BE520" s="61" t="str">
        <f aca="false">" "&amp;TRIM(SUBSTITUTE(SUBSTITUTE(SUBSTITUTE(SUBSTITUTE(SUBSTITUTE(SUBSTITUTE(SUBSTITUTE(SUBSTITUTE(SUBSTITUTE(SUBSTITUTE(SUBSTITUTE(SUBSTITUTE(SUBSTITUTE(SUBSTITUTE(SUBSTITUTE(SUBSTITUTE(SUBSTITUTE(SUBSTITUTE(SUBSTITUTE(SUBSTITUTE(SUBSTITUTE(SUBSTITUTE(SUBSTITUTE(SUBSTITUTE(LOWER(W520&amp;""),CHAR(10)," "),CHAR(13)," "),CHAR(9)," "),CHAR(160)," "),"."," "),","," "),"-"," "),"/"," "),"("," "),")"," "),":"," "),";"," "),"_"," "),"–"," "),"?"," "),"!"," "),"*"," "),"["," "),"]"," "),"'"," "),"#"," "),"+"," "),"&amp;"," "),"\"," "))&amp;" "</f>
        <v>  </v>
      </c>
      <c r="BF520" s="61" t="str">
        <f aca="false">" "&amp;TRIM(SUBSTITUTE(SUBSTITUTE(SUBSTITUTE(SUBSTITUTE(SUBSTITUTE(SUBSTITUTE(SUBSTITUTE(SUBSTITUTE(SUBSTITUTE(SUBSTITUTE(SUBSTITUTE(SUBSTITUTE(SUBSTITUTE(SUBSTITUTE(SUBSTITUTE(SUBSTITUTE(SUBSTITUTE(SUBSTITUTE(SUBSTITUTE(SUBSTITUTE(SUBSTITUTE(SUBSTITUTE(SUBSTITUTE(SUBSTITUTE(LOWER(AC520&amp;""),CHAR(10)," "),CHAR(13)," "),CHAR(9)," "),CHAR(160)," "),"."," "),","," "),"-"," "),"/"," "),"("," "),")"," "),":"," "),";"," "),"_"," "),"–"," "),"?"," "),"!"," "),"*"," "),"["," "),"]"," "),"'"," "),"#"," "),"+"," "),"&amp;"," "),"\"," "))&amp;" "</f>
        <v>  </v>
      </c>
      <c r="BG520" s="61" t="n">
        <f aca="false">IFERROR(IF(AND(TRIM(U520)="Pass",SUMPRODUCT((LEN(BC520)-LEN(SUBSTITUTE(BC520," "&amp;L_ResultBad&amp;" "," ")))/(LEN(L_ResultBad)+1))&gt;SUMPRODUCT((LEN(BC520)-LEN(SUBSTITUTE(BC520," "&amp;L_NegPhrase&amp;" "," ")))/(LEN(L_NegPhrase)+1))),1,0),0)</f>
        <v>0</v>
      </c>
      <c r="BH520" s="61" t="n">
        <f aca="false">IFERROR(IF(SUMPRODUCT((LEN(BC520)-LEN(SUBSTITUTE(BC520," "&amp;L_Pending&amp;" "," ")))/(LEN(L_Pending)+1))&gt;SUMPRODUCT((LEN(BC520)-LEN(SUBSTITUTE(BC520," "&amp;L_PendNeg&amp;" "," ")))/(LEN(L_PendNeg)+1))+SUMPRODUCT((LEN(BC520)-LEN(SUBSTITUTE(BC520," "&amp;L_PendPrep&amp;" "," ")))/(LEN(L_PendPrep)+1)),1,0),1)</f>
        <v>0</v>
      </c>
      <c r="BI520" s="61" t="n">
        <f aca="false">IFERROR(IF(SUMPRODUCT((LEN(BD520)-LEN(SUBSTITUTE(BD520," "&amp;L_PendStrict&amp;" "," ")))/(LEN(L_PendStrict)+1))&gt;SUMPRODUCT((LEN(BD520)-LEN(SUBSTITUTE(BD520," "&amp;L_PendNeg&amp;" "," ")))/(LEN(L_PendNeg)+1)),1,0),1)</f>
        <v>0</v>
      </c>
      <c r="BJ520" s="61" t="n">
        <f aca="false">IFERROR(IF(SUMPRODUCT((LEN(BE520)-LEN(SUBSTITUTE(BE520," "&amp;L_Pending&amp;" "," ")))/(LEN(L_Pending)+1))&gt;SUMPRODUCT((LEN(BE520)-LEN(SUBSTITUTE(BE520," "&amp;L_PendNeg&amp;" "," ")))/(LEN(L_PendNeg)+1))+SUMPRODUCT((LEN(BE520)-LEN(SUBSTITUTE(BE520," "&amp;L_PendPrep&amp;" "," ")))/(LEN(L_PendPrep)+1)),1,0),1)</f>
        <v>0</v>
      </c>
      <c r="BK520" s="61" t="n">
        <f aca="false">IFERROR(IF(SUMPRODUCT((LEN(BF520)-LEN(SUBSTITUTE(BF520," "&amp;L_PendStrict&amp;" "," ")))/(LEN(L_PendStrict)+1))&gt;SUMPRODUCT((LEN(BF520)-LEN(SUBSTITUTE(BF520," "&amp;L_PendNeg&amp;" "," ")))/(LEN(L_PendNeg)+1)),1,0),1)</f>
        <v>0</v>
      </c>
      <c r="BL520" s="61" t="n">
        <f aca="false">IF(ISNA(MATCH(TRIM(S520),L_EvidenceType,0)),0,BZ520)</f>
        <v>0</v>
      </c>
      <c r="BM520" s="61" t="str">
        <f aca="false">SUBSTITUTE(SUBSTITUTE(SUBSTITUTE(SUBSTITUTE(SUBSTITUTE(SUBSTITUTE(SUBSTITUTE(SUBSTITUTE(SUBSTITUTE(LOWER(Z520&amp;""),"1","0"),"2","0"),"3","0"),"4","0"),"5","0"),"6","0"),"7","0"),"8","0"),"9","0")</f>
        <v/>
      </c>
      <c r="BN520" s="61" t="str">
        <f aca="false">SUBSTITUTE(SUBSTITUTE(SUBSTITUTE(SUBSTITUTE(SUBSTITUTE(SUBSTITUTE(SUBSTITUTE(SUBSTITUTE(SUBSTITUTE(SUBSTITUTE(SUBSTITUTE(SUBSTITUTE(SUBSTITUTE(SUBSTITUTE(SUBSTITUTE(SUBSTITUTE(SUBSTITUTE(SUBSTITUTE(SUBSTITUTE(SUBSTITUTE(SUBSTITUTE(SUBSTITUTE(SUBSTITUTE(SUBSTITUTE(SUBSTITUTE(BM520,"b","a"),"c","a"),"d","a"),"e","a"),"f","a"),"g","a"),"h","a"),"i","a"),"j","a"),"k","a"),"l","a"),"m","a"),"n","a"),"o","a"),"p","a"),"q","a"),"r","a"),"s","a"),"t","a"),"u","a"),"v","a"),"w","a"),"x","a"),"y","a"),"z","a")</f>
        <v/>
      </c>
      <c r="BO520" s="61" t="str">
        <f aca="false">SUBSTITUTE(SUBSTITUTE(SUBSTITUTE(SUBSTITUTE(SUBSTITUTE(SUBSTITUTE(SUBSTITUTE(SUBSTITUTE(SUBSTITUTE(LOWER(W520&amp;""),"1","0"),"2","0"),"3","0"),"4","0"),"5","0"),"6","0"),"7","0"),"8","0"),"9","0")</f>
        <v/>
      </c>
      <c r="BP520" s="61" t="str">
        <f aca="false">SUBSTITUTE(SUBSTITUTE(SUBSTITUTE(SUBSTITUTE(SUBSTITUTE(SUBSTITUTE(SUBSTITUTE(SUBSTITUTE(SUBSTITUTE(SUBSTITUTE(SUBSTITUTE(SUBSTITUTE(SUBSTITUTE(SUBSTITUTE(SUBSTITUTE(SUBSTITUTE(SUBSTITUTE(SUBSTITUTE(SUBSTITUTE(SUBSTITUTE(SUBSTITUTE(SUBSTITUTE(SUBSTITUTE(SUBSTITUTE(SUBSTITUTE(BO520,"b","a"),"c","a"),"d","a"),"e","a"),"f","a"),"g","a"),"h","a"),"i","a"),"j","a"),"k","a"),"l","a"),"m","a"),"n","a"),"o","a"),"p","a"),"q","a"),"r","a"),"s","a"),"t","a"),"u","a"),"v","a"),"w","a"),"x","a"),"y","a"),"z","a")</f>
        <v/>
      </c>
      <c r="BQ520" s="61" t="n">
        <f aca="false">IFERROR(IF(AND(ISERROR(SEARCH(" mh"," "&amp;LOWER(W520))),ISNA(MATCH(LEFT(TRIM(BP520),255),{"0000a","000a","00a","0000aa","000aa","00aa","0aa","0000aaa","000aaa","00a00","0a00","0000-0000","00:00","a00","a0","00.00.0000","00/00/0000","00-00-0000","0000-00-00","0000/00/00","0000.00.00","00.00.00","00/00/00","00-00-00","0.00.0000","0/00/0000","0-00-0000"},0)),ISNA(MATCH(LEFT(TRIM(CA520),255),{"0000a","000a","00a","0000aa","000aa","00aa","0aa","0000aaa","000aaa","00a00","0a00","0000-0000","00:00","a00","a0","00.00.0000","00/00/0000","00-00-0000","0000-00-00","0000/00/00","0000.00.00","00.00.00","00/00/00","00-00-00","0.00.0000","0/00/0000","0-00-0000"},0)),LEN(CB520)&gt;=3,NOT(OR(SUBSTITUTE(CB520,"0","")="",AND(LEN(CB520)&gt;=4,CB520=REPT(LEFT(CB520),LEN(CB520))),ISNUMBER(MATCH(CB520,{"123","1234","12345","123456","1234567","12345678","0123","01234","012345","98765","987654","54321"},0)),AND(LEN(CB520)=8,LEFT(CB520,3)="202"))),OR(AND((LEN(CA520)-LEN(SUBSTITUTE(CA520,"a","")))&gt;=1,SUMPRODUCT(--ISNUMBER(SEARCH({"a0","a-0","a_0","a/0","a.0","a#0","0a","0-a","0_a","0/a"},BP520)))&gt;0),ISNUMBER(SEARCH("000000",BP520)))),1,0),0)</f>
        <v>0</v>
      </c>
      <c r="BR520" s="61" t="n">
        <f aca="false">IFERROR(LEN(SUBSTITUTE(CC520," ",""))-SUMPRODUCT((LEN(CC520)-LEN(SUBSTITUTE(CC520," "&amp;L_Role&amp;" "," ")))/(LEN(L_Role)+1)*LEN(L_Role)),0)</f>
        <v>0</v>
      </c>
      <c r="BS520" s="61" t="n">
        <f aca="false">IFERROR(LEN(SUBSTITUTE(CD520," ",""))-SUMPRODUCT((LEN(CD520)-LEN(SUBSTITUTE(CD520," "&amp;L_Role&amp;" "," ")))/(LEN(L_Role)+1)*LEN(L_Role)),0)</f>
        <v>0</v>
      </c>
      <c r="BT5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520,"revision",""),"version",""),"jan",""),"feb",""),"mar",""),"apr",""),"may",""),"jun",""),"jul",""),"aug",""),"sep",""),"oct",""),"nov",""),"dec",""),"utc",""),"gmt",""),"myt",""),"bst",""),"rev",""),"ver",""),"b","a"),"c","a"),"d","a"),"e","a"),"f","a"),"g","a"),"h","a"),"i","a"),"j","a"),"k","a"),"l","a"),"m","a"),"n","a"),"o","a"),"p","a"),"q","a"),"r","a"),"s","a"),"t","a"),"u","a"),"v","a"),"w","a"),"x","a"),"y","a"),"z","a")</f>
        <v/>
      </c>
      <c r="BU520" s="61" t="str">
        <f aca="false">SUBSTITUTE(SUBSTITUTE(SUBSTITUTE(SUBSTITUTE(SUBSTITUTE(SUBSTITUTE(SUBSTITUTE(SUBSTITUTE(SUBSTITUTE(SUBSTITUTE(LEFT(BM520,FIND("0",BM520&amp;"0")-1),"-",""),"_",""),"/",""),".",""),"#",""),"\\",""),":","")," ",""),"(",""),")","")</f>
        <v/>
      </c>
      <c r="BV520" s="61" t="n">
        <f aca="false">0</f>
        <v>0</v>
      </c>
      <c r="BW5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520&amp;""),"a",""),"b",""),"c",""),"d",""),"e",""),"f",""),"g",""),"h",""),"i",""),"j",""),"k",""),"l",""),"m",""),"n",""),"o",""),"p",""),"q",""),"r",""),"s",""),"t",""),"u",""),"v",""),"w",""),"x",""),"y",""),"z",""),"-",""),"_",""),"/",""),".",""),"#",""),"\\",""),":","")," ",""),"(",""),")","")</f>
        <v/>
      </c>
      <c r="BX520" s="61" t="str">
        <f aca="false">SUBSTITUTE(SUBSTITUTE(SUBSTITUTE(SUBSTITUTE(SUBSTITUTE(SUBSTITUTE(SUBSTITUTE(SUBSTITUTE(SUBSTITUTE(SUBSTITUTE(SUBSTITUTE(BM520,"0",""),"-",""),"_",""),"/",""),".",""),"#",""),"\\",""),":","")," ",""),"(",""),")","")</f>
        <v/>
      </c>
      <c r="BY520" s="62" t="n">
        <f aca="false">Q520-T12EarlyH/24</f>
        <v>46320.0486111111</v>
      </c>
      <c r="BZ520" s="61" t="n">
        <f aca="false">IFERROR(IF(IF(TRIM(S520)="Link / file path",AND(LEN(TRIM(Z520))&gt;=5,SUMPRODUCT(--ISNUMBER(SEARCH({"http","www.","\\",":\",".pdf",".jpg",".jpeg",".png",".heic",".xls",".doc",".msg",".eml",".ppt",".txt",".zip"},Z520)))&gt;0),AND(ISERROR(FIND(" ",TRIM(Z520))),NOT(OR(SUMPRODUCT(--ISNUMBER(FIND({",",";","&amp;","+"},Z520)))&gt;0,SUMPRODUCT(--ISNUMBER(SEARCH({"0/aa","0\\aa"},BN520)))&gt;0)),NOT(SUMPRODUCT(--ISNUMBER(SEARCH({"http","www.","\\",":\",".pdf",".jpg",".jpeg",".png",".heic",".xls",".doc",".msg",".eml",".ppt",".txt",".zip"},Z520)))&gt;0),NOT(LOWER(TRIM(Z520))=LOWER(Flights!$F$20)),ISNA(MATCH(BU520,{"mh","rev","revision","ver","version","v","r","a","b","seat","tray","row","gate","bay","stand","page","pg","item","line","no","cart","galley","flight","flt","table","box","bag","oven","etd","eta","std","sta","atd","ata","qty","pax","x","time","tel","ph","mob","day","wk","week","utc","gmt","myt","lt"},0)),NOT(OR(ISNUMBER(MATCH(LEFT(BN520,255),{"0000a","000a","00a","0000aa","000aa","00aa","0aa","0000aaa","000aaa","00a00","0a00","0000-0000","00:00","a00","a0","00.00.0000","00/00/0000","00-00-0000","0000-00-00","0000/00/00","0000.00.00","00.00.00","00/00/00","00-00-00","0.00.0000","0/00/0000","0-00-0000"},0)),ISNUMBER(MATCH(LEFT(BT520,255),{"0000a","000a","00a","0000aa","000aa","00aa","0aa","0000aaa","000aaa","00a00","0a00","0000-0000","00:00","a00","a0","00.00.0000","00/00/0000","00-00-0000","0000-00-00","0000/00/00","0000.00.00","00.00.00","00/00/00","00-00-00","0.00.0000","0/00/0000","0-00-0000"},0)))),NOT(OR(AND(BW520&lt;&gt;"",SUBSTITUTE(BW520,"0","")=""),AND(LEN(BW520)&gt;=4,BW520=REPT(LEFT(BW520),LEN(BW520))),ISNUMBER(MATCH(BW520,{"123","1234","12345","123456","1234567","12345678","0123","01234","012345","98765","987654","54321"},0)),ISNUMBER(MATCH(BX520,{"x","xx","xxx","xxxx","xxxxx","abc","abcd","nil","na","nan","test","tbc","tba","tbd","dummy","sample","example","eg","zz","zzz","none","null","xyz","qwe","asd","id","ref"},0)),AND(LEN(BW520)=8,BX520="",OR(LEFT(BW520,3)="202",ISNUMBER(MATCH(RIGHT(BW520,4),{"2025","2026","2027"},0)))))),OR(AND((LEN(BT520)-LEN(SUBSTITUTE(BT520,"a","")))&gt;=1,(LEN(BN520)-LEN(SUBSTITUTE(BN520,"0","")))&gt;=2,SUMPRODUCT(--ISNUMBER(SEARCH({"a0","a-0","a_0","a/0","a.0","a#0","0a","0-a","0_a","0/a"},BN520)))&gt;0),AND((LEN(BN520)-LEN(SUBSTITUTE(BN520,"a","")))=0,(LEN(BN520)-LEN(SUBSTITUTE(BN520,"0","")))&gt;=5)))),1,0),0)</f>
        <v>0</v>
      </c>
      <c r="CA5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520,"revision",""),"version",""),"jan",""),"feb",""),"mar",""),"apr",""),"may",""),"jun",""),"jul",""),"aug",""),"sep",""),"oct",""),"nov",""),"dec",""),"utc",""),"gmt",""),"myt",""),"bst",""),"rev",""),"ver",""),"b","a"),"c","a"),"d","a"),"e","a"),"f","a"),"g","a"),"h","a"),"i","a"),"j","a"),"k","a"),"l","a"),"m","a"),"n","a"),"o","a"),"p","a"),"q","a"),"r","a"),"s","a"),"t","a"),"u","a"),"v","a"),"w","a"),"x","a"),"y","a"),"z","a")</f>
        <v/>
      </c>
      <c r="CB5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520&amp;""),"a",""),"b",""),"c",""),"d",""),"e",""),"f",""),"g",""),"h",""),"i",""),"j",""),"k",""),"l",""),"m",""),"n",""),"o",""),"p",""),"q",""),"r",""),"s",""),"t",""),"u",""),"v",""),"w",""),"x",""),"y",""),"z",""),"-",""),"_",""),"/",""),".",""),"#",""),"\\",""),":","")," ",""),"(",""),")","")</f>
        <v/>
      </c>
      <c r="CC520" s="0" t="str">
        <f aca="false">" "&amp;TRIM(SUBSTITUTE(SUBSTITUTE(SUBSTITUTE(SUBSTITUTE(SUBSTITUTE(SUBSTITUTE(SUBSTITUTE(SUBSTITUTE(SUBSTITUTE(SUBSTITUTE(SUBSTITUTE(SUBSTITUTE(SUBSTITUTE(SUBSTITUTE(SUBSTITUTE(SUBSTITUTE(SUBSTITUTE(SUBSTITUTE(SUBSTITUTE(SUBSTITUTE(SUBSTITUTE(SUBSTITUTE(SUBSTITUTE(SUBSTITUTE(LOWER(T520&amp;""),CHAR(10)," "),CHAR(13)," "),CHAR(9)," "),CHAR(160)," "),"."," "),","," "),"-"," "),"/"," "),"("," "),")"," "),":"," "),";"," "),"_"," "),"–"," "),"?"," "),"!"," "),"*"," "),"["," "),"]"," "),"'"," "),"#"," "),"+"," "),"&amp;"," "),"\"," "))&amp;" "</f>
        <v>  </v>
      </c>
      <c r="CD520" s="0" t="str">
        <f aca="false">" "&amp;TRIM(SUBSTITUTE(SUBSTITUTE(SUBSTITUTE(SUBSTITUTE(SUBSTITUTE(SUBSTITUTE(SUBSTITUTE(SUBSTITUTE(SUBSTITUTE(SUBSTITUTE(SUBSTITUTE(SUBSTITUTE(SUBSTITUTE(SUBSTITUTE(SUBSTITUTE(SUBSTITUTE(SUBSTITUTE(SUBSTITUTE(SUBSTITUTE(SUBSTITUTE(SUBSTITUTE(SUBSTITUTE(SUBSTITUTE(SUBSTITUTE(LOWER(AE520&amp;""),CHAR(10)," "),CHAR(13)," "),CHAR(9)," "),CHAR(160)," "),"."," "),","," "),"-"," "),"/"," "),"("," "),")"," "),":"," "),";"," "),"_"," "),"–"," "),"?"," "),"!"," "),"*"," "),"["," "),"]"," "),"'"," "),"#"," "),"+"," "),"&amp;"," "),"\"," "))&amp;" "</f>
        <v>  </v>
      </c>
      <c r="CE520" s="68" t="n">
        <f aca="false">IFERROR(IF(AND(LEN(AU520)&gt;0,LEN(AU520)=LEN(AX520),OR(TRIM(MID(SUBSTITUTE(TRIM(CC520)," ",REPT(" ",60)),1,60))="",ISNUMBER(SEARCH(" "&amp;TRIM(MID(SUBSTITUTE(TRIM(CC520)," ",REPT(" ",60)),1,60))&amp;" ",CD520))),OR(TRIM(MID(SUBSTITUTE(TRIM(CC520)," ",REPT(" ",60)),61,60))="",ISNUMBER(SEARCH(" "&amp;TRIM(MID(SUBSTITUTE(TRIM(CC520)," ",REPT(" ",60)),61,60))&amp;" ",CD520))),OR(TRIM(MID(SUBSTITUTE(TRIM(CC520)," ",REPT(" ",60)),121,60))="",ISNUMBER(SEARCH(" "&amp;TRIM(MID(SUBSTITUTE(TRIM(CC520)," ",REPT(" ",60)),121,60))&amp;" ",CD520)))),1,0),0)</f>
        <v>0</v>
      </c>
      <c r="CG520" s="68" t="n">
        <f aca="false">IFERROR(LEN(SUBSTITUTE(BF520," ",""))-SUMPRODUCT((LEN(BF520)-LEN(SUBSTITUTE(BF520," "&amp;L_NAFiller&amp;" "," ")))/(LEN(L_NAFiller)+1)*LEN(L_NAFiller)),0)</f>
        <v>0</v>
      </c>
    </row>
    <row r="521" customFormat="false" ht="78.75" hidden="false" customHeight="true" outlineLevel="0" collapsed="false">
      <c r="A521" s="57" t="s">
        <v>1178</v>
      </c>
      <c r="B521" s="57" t="s">
        <v>280</v>
      </c>
      <c r="C521" s="57" t="str">
        <f aca="false">Flights!$F$20</f>
        <v>MH0072</v>
      </c>
      <c r="D521" s="58" t="n">
        <f aca="false">Flights!$D$20</f>
        <v>46321</v>
      </c>
      <c r="E521" s="57" t="str">
        <f aca="false">Flights!$G$20&amp;"-"&amp;Flights!$H$20</f>
        <v>KUL-HKG</v>
      </c>
      <c r="F521" s="57" t="str">
        <f aca="false">Flights!$K$20</f>
        <v>EY</v>
      </c>
      <c r="G521" s="57" t="s">
        <v>420</v>
      </c>
      <c r="H521" s="57" t="s">
        <v>378</v>
      </c>
      <c r="I521" s="57" t="s">
        <v>428</v>
      </c>
      <c r="J521" s="57" t="s">
        <v>435</v>
      </c>
      <c r="K521" s="67" t="s">
        <v>491</v>
      </c>
      <c r="L521" s="67" t="s">
        <v>422</v>
      </c>
      <c r="M521" s="67"/>
      <c r="N521" s="67" t="s">
        <v>383</v>
      </c>
      <c r="O521" s="67" t="s">
        <v>423</v>
      </c>
      <c r="P521" s="57" t="s">
        <v>187</v>
      </c>
      <c r="Q521" s="59" t="n">
        <f aca="false">ROUND((Flights!$AE$20)*1440,0)/1440</f>
        <v>46320.5486111111</v>
      </c>
      <c r="R521" s="59" t="n">
        <f aca="false">Q521+(IF(AND(INDEX(TZ_DSTS,MATCH(P521,TZ_STN,0))&lt;&gt;"",Q521&gt;=INDEX(TZ_DSTS,MATCH(P521,TZ_STN,0)),Q521&lt;INDEX(TZ_DSTE,MATCH(P521,TZ_STN,0))),INDEX(TZ_DST,MATCH(P521,TZ_STN,0)),INDEX(TZ_STD,MATCH(P521,TZ_STN,0))))/24</f>
        <v>46320.8819444444</v>
      </c>
      <c r="S521" s="60"/>
      <c r="T521" s="60"/>
      <c r="U521" s="60"/>
      <c r="V521" s="60"/>
      <c r="W521" s="61"/>
      <c r="X521" s="60"/>
      <c r="Y521" s="60"/>
      <c r="Z521" s="60"/>
      <c r="AA521" s="60"/>
      <c r="AB521" s="60"/>
      <c r="AC521" s="60"/>
      <c r="AD521" s="66"/>
      <c r="AE521" s="60"/>
      <c r="AF521" s="61" t="str">
        <f aca="false">IF(AND(ISNUMBER(X521),ISNUMBER(Y521)),Y521-X521,"")</f>
        <v/>
      </c>
      <c r="AG521" s="62" t="str">
        <f aca="false">IF(ISNUMBER(AD521),AD521-(IF(AND(INDEX(TZ_DSTS,MATCH(P521,TZ_STN,0))&lt;&gt;"",(AD521-INDEX(TZ_STD,MATCH(P521,TZ_STN,0))/24)&gt;=INDEX(TZ_DSTS,MATCH(P521,TZ_STN,0)),(AD521-INDEX(TZ_STD,MATCH(P521,TZ_STN,0))/24)&lt;INDEX(TZ_DSTE,MATCH(P521,TZ_STN,0))),INDEX(TZ_DST,MATCH(P521,TZ_STN,0)),INDEX(TZ_STD,MATCH(P521,TZ_STN,0))))/24,"")</f>
        <v/>
      </c>
      <c r="AH521" s="65" t="str">
        <f aca="false">IFERROR(IF(N521="N/A – rule",IF(OR(TRIM(U521)="",TRIM(U521)="N/A",TRIM(U521)="Not started"),"N/A – RULE","INVALID – this check does not apply to this aircraft: clear the status (or correct the fleet on Flights)"),IF(TRIM(U521)="N/A",IF(AT521=0,"INVALID – N/A not permitted for this check",IF(AND(TRIM(AB521)&lt;&gt;"",TRIM(AB521)&lt;&gt;"Closed"),"INVALID – corrective action still open",IF(AND(NOT(OR(LEN(AZ521)&lt;15,ISNUMBER(MATCH(AZ521,L_Placeholder,0)))),BK521=0,CG521&gt;=8,NOT(OR(LEN(AU521)&lt;2,ISNUMBER(MATCH(AU521,L_Placeholder,0)))),BR521&gt;=3,NOT(OR(LEN(AX521)&lt;2,ISNUMBER(MATCH(AX521,L_Placeholder,0)))),BS521&gt;=3,TRIM(AE521)&lt;&gt;TRIM(T521),AX521&lt;&gt;AU521,CE521=0),"N/A – JUSTIFIED","INVALID – N/A needs a real, settled reason (not 'not applicable' / 'as above' / TBC), a named PIC and a different named verifier"))),IF(OR(TRIM(U521)="Pass",TRIM(U521)="Pass after CA"),IF(NOT(ISNUMBER(AD521)),"INVALID – completion time missing",IF(OR(OR(LEN(AU521)&lt;2,ISNUMBER(MATCH(AU521,L_Placeholder,0))),BR521&lt;3),"INVALID – PIC missing or not a named person (a role such as QA / CSM is not a name)",IF(OR(LEN(AV521)&lt;2,ISNUMBER(MATCH(AV521,L_Placeholder,0))),"INVALID – result / assessment missing",IF(OR(OR(LEN(AW521)&lt;3,ISNUMBER(MATCH(AW521,L_Placeholder,0))),SUMPRODUCT(--ISNUMBER(SEARCH(" "&amp;L_EvidencePhrase&amp;" ",BD521)))&gt;0,BI521=1),"INVALID – evidence missing, placeholder or not yet on file",IF(ISNA(MATCH(TRIM(S521),L_EvidenceType,0)),"INVALID – choose the evidence type from the list (column S)",IF(BL521=0,"INVALID – evidence ID must be the record's own ID only (e.g. SF-2210, IMG_2231, 1045521); a link / file name needs type 'Link / file path'",IF(OR(OR(LEN(AX521)&lt;2,ISNUMBER(MATCH(AX521,L_Placeholder,0))),BS521&lt;3),"INVALID – verifier missing or not a named person (a role such as QA / CSM is not a name)",IF(OR(AX521=AU521,CE521=1,AND(LEN(AU521)&gt;=4,ISNUMBER(SEARCH(AU521,AX521))),AND(LEN(AX521)&gt;=4,ISNUMBER(SEARCH(AX521,AU521)))),"INVALID – verifier must be a different, named person (not the PIC or a role)",IF(BH521=1,"INVALID – result not yet available (awaiting / TBC)",IF(BG521=1,"INVALID – result describes a problem: record Fail, then Pass after CA (or reword if it is not a problem)",IF(BV521=1,"INVALID – wording says not on board: an on-board confirmation needs the item loaded",IF(AND(AQ521=1,OR(OR(LEN(AY521)&lt;3,ISNUMBER(MATCH(AY521,L_Placeholder,0))),BJ521=1,BQ521=0)),"INVALID – batch ID missing, placeholder or not an ID (e.g. PASB-261008-BC-017)",IF(AND(AR521=1,OR(NOT(ISNUMBER(X521)),NOT(ISNUMBER(Y521)))),"INVALID – expected/actual qty missing",IF(AND(AR521=1,OR(X521&lt;=0,Y521&lt;0)),"INVALID – expected qty must be above 0 and actual not negative",IF(BB521&lt;&gt;"",BB521,IF(AND(AS521=1,Documents!$J$20&lt;&gt;"ON FILE"),"INVALID – GLD not on file (Documents sheet)",IF(AND(AS521=2,Documents!$O$20&lt;&gt;"ON FILE"),"INVALID – menu checklist not on file (Documents sheet)",IF(AND(AS521=3,NOT(ISNUMBER(Flights!$AX$20))),"INVALID – enter carrying flight KUL departure (Flights AX)",IF(AND(AS521=3,OR(Flights!$AZ$20&gt;Flights!$AA$20,Flights!$AX$20&lt;Flights!$AA$20-3)),"INVALID – carrying flight (Flights AX) cannot arrive before this leg's STD, or is over 3 days early",IF(AG521&gt;AsOfUTC,"INVALID – completion time is in the future",IF(AND(ISNUMBER(BY521),AG521&lt;BY521),IF(H521="Physical uplift","INVALID – before uplift window (cannot confirm loading)","INVALID – before valid window"),IF(AG521&gt;Flights!$AA$20,"INVALID – completed after departure (cannot establish readiness)",IF(AND(H521="Preparation",AG521&gt;=IF(ISNUMBER(Flights!$BA$20),MIN(Flights!$BA$20,Flights!$AA$20),Flights!$AA$20)),"INVALID – completed after loading / departure (cannot establish readiness)",IF(AND(H521="Physical uplift",AG521&gt;Q521),"INVALID – recorded after the loading flight departed",IF(AG521&gt;Q521,"COMPLETE – LATE","COMPLETE"))))))))))))))))))))))))),IF(TRIM(U521)="Fail","FAIL – DISCREPANCY",IF(AND(TRIM(U521)&lt;&gt;"",TRIM(U521)&lt;&gt;"Not started",TRIM(U521)&lt;&gt;"In progress"),"INVALID – unrecognised status (use the list)",IF(AsOfUTC&gt;Q521,"OVERDUE",IF(N521="Clarification required","OPEN – CLARIFICATION","OPEN"))))))),"INVALID – error value in an input cell")</f>
        <v>OPEN</v>
      </c>
      <c r="AI521" s="61" t="n">
        <f aca="false">IF(OR(AH521="N/A – RULE",AH521="N/A – JUSTIFIED"),0,1)</f>
        <v>1</v>
      </c>
      <c r="AJ521" s="61" t="n">
        <f aca="false">IF(LEFT(AH521,8)="COMPLETE",1,0)</f>
        <v>0</v>
      </c>
      <c r="AK521" s="61" t="n">
        <f aca="false">IF(AND(AI521=1,AJ521=0,AsOfUTC&gt;Q521),1,0)</f>
        <v>0</v>
      </c>
      <c r="AL521" s="61" t="n">
        <f aca="false">IFERROR(IF(AND(AI521=1,OR(TRIM(U521)="Fail",AND(TRIM(AB521)&lt;&gt;"",TRIM(AB521)&lt;&gt;"Closed"),AND(ISNUMBER(AF521),AF521&lt;&gt;0,TRIM(U521)&lt;&gt;"Pass after CA"))),1,0),1)</f>
        <v>0</v>
      </c>
      <c r="AM521" s="61" t="n">
        <f aca="false">IF(LEFT(AH521,7)="INVALID",1,0)</f>
        <v>0</v>
      </c>
      <c r="AN521" s="61" t="n">
        <f aca="false">IF(AND(N521="Clarification required",AI521=1,AJ521=0),1,0)</f>
        <v>0</v>
      </c>
      <c r="AO521" s="61" t="str">
        <f aca="false">IF(AK521=1,SUM(AK$5:AK521),"")</f>
        <v/>
      </c>
      <c r="AP521" s="61" t="str">
        <f aca="false">IF(AL521=1,SUM(AL$5:AL521),"")</f>
        <v/>
      </c>
      <c r="AQ521" s="61" t="n">
        <v>0</v>
      </c>
      <c r="AR521" s="61" t="n">
        <v>1</v>
      </c>
      <c r="AS521" s="61" t="n">
        <v>0</v>
      </c>
      <c r="AT521" s="61" t="n">
        <v>0</v>
      </c>
      <c r="AU521" s="61" t="str">
        <f aca="false">SUBSTITUTE(SUBSTITUTE(SUBSTITUTE(SUBSTITUTE(SUBSTITUTE(SUBSTITUTE(SUBSTITUTE(SUBSTITUTE(SUBSTITUTE(SUBSTITUTE(SUBSTITUTE(SUBSTITUTE(SUBSTITUTE(SUBSTITUTE(SUBSTITUTE(SUBSTITUTE(LOWER(T521&amp;""),CHAR(10),""),CHAR(13),""),CHAR(9),""),CHAR(160),"")," ",""),".",""),"-",""),"/",""),"?",""),"_",""),",",""),"[",""),"]",""),"(",""),")",""),"*","")</f>
        <v/>
      </c>
      <c r="AV521" s="61" t="str">
        <f aca="false">SUBSTITUTE(SUBSTITUTE(SUBSTITUTE(SUBSTITUTE(SUBSTITUTE(SUBSTITUTE(SUBSTITUTE(SUBSTITUTE(SUBSTITUTE(SUBSTITUTE(SUBSTITUTE(SUBSTITUTE(SUBSTITUTE(SUBSTITUTE(SUBSTITUTE(SUBSTITUTE(LOWER(V521&amp;""),CHAR(10),""),CHAR(13),""),CHAR(9),""),CHAR(160),"")," ",""),".",""),"-",""),"/",""),"?",""),"_",""),",",""),"[",""),"]",""),"(",""),")",""),"*","")</f>
        <v/>
      </c>
      <c r="AW521" s="61" t="str">
        <f aca="false">SUBSTITUTE(SUBSTITUTE(SUBSTITUTE(SUBSTITUTE(SUBSTITUTE(SUBSTITUTE(SUBSTITUTE(SUBSTITUTE(SUBSTITUTE(SUBSTITUTE(SUBSTITUTE(SUBSTITUTE(SUBSTITUTE(SUBSTITUTE(SUBSTITUTE(SUBSTITUTE(LOWER(Z521&amp;""),CHAR(10),""),CHAR(13),""),CHAR(9),""),CHAR(160),"")," ",""),".",""),"-",""),"/",""),"?",""),"_",""),",",""),"[",""),"]",""),"(",""),")",""),"*","")</f>
        <v/>
      </c>
      <c r="AX521" s="61" t="str">
        <f aca="false">SUBSTITUTE(SUBSTITUTE(SUBSTITUTE(SUBSTITUTE(SUBSTITUTE(SUBSTITUTE(SUBSTITUTE(SUBSTITUTE(SUBSTITUTE(SUBSTITUTE(SUBSTITUTE(SUBSTITUTE(SUBSTITUTE(SUBSTITUTE(SUBSTITUTE(SUBSTITUTE(LOWER(AE521&amp;""),CHAR(10),""),CHAR(13),""),CHAR(9),""),CHAR(160),"")," ",""),".",""),"-",""),"/",""),"?",""),"_",""),",",""),"[",""),"]",""),"(",""),")",""),"*","")</f>
        <v/>
      </c>
      <c r="AY521" s="61" t="str">
        <f aca="false">SUBSTITUTE(SUBSTITUTE(SUBSTITUTE(SUBSTITUTE(SUBSTITUTE(SUBSTITUTE(SUBSTITUTE(SUBSTITUTE(SUBSTITUTE(SUBSTITUTE(SUBSTITUTE(SUBSTITUTE(SUBSTITUTE(SUBSTITUTE(SUBSTITUTE(SUBSTITUTE(LOWER(W521&amp;""),CHAR(10),""),CHAR(13),""),CHAR(9),""),CHAR(160),"")," ",""),".",""),"-",""),"/",""),"?",""),"_",""),",",""),"[",""),"]",""),"(",""),")",""),"*","")</f>
        <v/>
      </c>
      <c r="AZ521" s="61" t="str">
        <f aca="false">SUBSTITUTE(SUBSTITUTE(SUBSTITUTE(SUBSTITUTE(SUBSTITUTE(SUBSTITUTE(SUBSTITUTE(SUBSTITUTE(SUBSTITUTE(SUBSTITUTE(SUBSTITUTE(SUBSTITUTE(SUBSTITUTE(SUBSTITUTE(SUBSTITUTE(SUBSTITUTE(LOWER(AC521&amp;""),CHAR(10),""),CHAR(13),""),CHAR(9),""),CHAR(160),"")," ",""),".",""),"-",""),"/",""),"?",""),"_",""),",",""),"[",""),"]",""),"(",""),")",""),"*","")</f>
        <v/>
      </c>
      <c r="BA521" s="61" t="str">
        <f aca="false">SUBSTITUTE(SUBSTITUTE(SUBSTITUTE(SUBSTITUTE(SUBSTITUTE(SUBSTITUTE(SUBSTITUTE(SUBSTITUTE(SUBSTITUTE(SUBSTITUTE(SUBSTITUTE(SUBSTITUTE(SUBSTITUTE(SUBSTITUTE(SUBSTITUTE(SUBSTITUTE(LOWER(AA521&amp;""),CHAR(10),""),CHAR(13),""),CHAR(9),""),CHAR(160),"")," ",""),".",""),"-",""),"/",""),"?",""),"_",""),",",""),"[",""),"]",""),"(",""),")",""),"*","")</f>
        <v/>
      </c>
      <c r="BB521" s="61" t="str">
        <f aca="false">IF(AND(TRIM(U521)="Pass",ISNUMBER(AF521)),IF(AF521&lt;&gt;0,"INVALID – qty variance: use Fail or Pass after CA",""),"")&amp;IF(AND(TRIM(U521)="Pass after CA",ISNUMBER(AF521)),IF(AF521&lt;&gt;0,"INVALID – after the corrective action the actual qty must equal expected (update Actual)",""),"")&amp;IF(AND(TRIM(U521)="Pass",TRIM(AB521)&lt;&gt;"",TRIM(AB521)&lt;&gt;"Closed"),"INVALID – corrective action not closed: use Fail, then Pass after CA","")&amp;IF(AND(LEN(BA521)&gt;=2,ISNA(MATCH(LEFT(BA521,255),L_Placeholder,0)),TRIM(AB521)=""),"INVALID – CA status missing for the recorded corrective action","")&amp;IF(AND(TRIM(U521)="Pass after CA",OR(OR(LEN(BA521)&lt;5,ISNUMBER(MATCH(BA521,L_Placeholder,0))),TRIM(AB521)&lt;&gt;"Closed")),"INVALID – corrective action not recorded/closed","")</f>
        <v/>
      </c>
      <c r="BC521" s="61" t="str">
        <f aca="false">" "&amp;TRIM(SUBSTITUTE(SUBSTITUTE(SUBSTITUTE(SUBSTITUTE(SUBSTITUTE(SUBSTITUTE(SUBSTITUTE(SUBSTITUTE(SUBSTITUTE(SUBSTITUTE(SUBSTITUTE(SUBSTITUTE(SUBSTITUTE(SUBSTITUTE(SUBSTITUTE(SUBSTITUTE(SUBSTITUTE(SUBSTITUTE(SUBSTITUTE(SUBSTITUTE(SUBSTITUTE(SUBSTITUTE(SUBSTITUTE(SUBSTITUTE(LOWER(V521&amp;""),CHAR(10)," "),CHAR(13)," "),CHAR(9)," "),CHAR(160)," "),"."," "),","," "),"-"," "),"/"," "),"("," "),")"," "),":"," "),";"," "),"_"," "),"–"," "),"?"," "),"!"," "),"*"," "),"["," "),"]"," "),"'"," "),"#"," "),"+"," "),"&amp;"," "),"\"," "))&amp;" "</f>
        <v>  </v>
      </c>
      <c r="BD521" s="61" t="str">
        <f aca="false">" "&amp;TRIM(SUBSTITUTE(SUBSTITUTE(SUBSTITUTE(SUBSTITUTE(SUBSTITUTE(SUBSTITUTE(SUBSTITUTE(SUBSTITUTE(SUBSTITUTE(SUBSTITUTE(SUBSTITUTE(SUBSTITUTE(SUBSTITUTE(SUBSTITUTE(SUBSTITUTE(SUBSTITUTE(SUBSTITUTE(SUBSTITUTE(SUBSTITUTE(SUBSTITUTE(SUBSTITUTE(SUBSTITUTE(SUBSTITUTE(SUBSTITUTE(LOWER(Z521&amp;""),CHAR(10)," "),CHAR(13)," "),CHAR(9)," "),CHAR(160)," "),"."," "),","," "),"-"," "),"/"," "),"("," "),")"," "),":"," "),";"," "),"_"," "),"–"," "),"?"," "),"!"," "),"*"," "),"["," "),"]"," "),"'"," "),"#"," "),"+"," "),"&amp;"," "),"\"," "))&amp;" "</f>
        <v>  </v>
      </c>
      <c r="BE521" s="61" t="str">
        <f aca="false">" "&amp;TRIM(SUBSTITUTE(SUBSTITUTE(SUBSTITUTE(SUBSTITUTE(SUBSTITUTE(SUBSTITUTE(SUBSTITUTE(SUBSTITUTE(SUBSTITUTE(SUBSTITUTE(SUBSTITUTE(SUBSTITUTE(SUBSTITUTE(SUBSTITUTE(SUBSTITUTE(SUBSTITUTE(SUBSTITUTE(SUBSTITUTE(SUBSTITUTE(SUBSTITUTE(SUBSTITUTE(SUBSTITUTE(SUBSTITUTE(SUBSTITUTE(LOWER(W521&amp;""),CHAR(10)," "),CHAR(13)," "),CHAR(9)," "),CHAR(160)," "),"."," "),","," "),"-"," "),"/"," "),"("," "),")"," "),":"," "),";"," "),"_"," "),"–"," "),"?"," "),"!"," "),"*"," "),"["," "),"]"," "),"'"," "),"#"," "),"+"," "),"&amp;"," "),"\"," "))&amp;" "</f>
        <v>  </v>
      </c>
      <c r="BF521" s="61" t="str">
        <f aca="false">" "&amp;TRIM(SUBSTITUTE(SUBSTITUTE(SUBSTITUTE(SUBSTITUTE(SUBSTITUTE(SUBSTITUTE(SUBSTITUTE(SUBSTITUTE(SUBSTITUTE(SUBSTITUTE(SUBSTITUTE(SUBSTITUTE(SUBSTITUTE(SUBSTITUTE(SUBSTITUTE(SUBSTITUTE(SUBSTITUTE(SUBSTITUTE(SUBSTITUTE(SUBSTITUTE(SUBSTITUTE(SUBSTITUTE(SUBSTITUTE(SUBSTITUTE(LOWER(AC521&amp;""),CHAR(10)," "),CHAR(13)," "),CHAR(9)," "),CHAR(160)," "),"."," "),","," "),"-"," "),"/"," "),"("," "),")"," "),":"," "),";"," "),"_"," "),"–"," "),"?"," "),"!"," "),"*"," "),"["," "),"]"," "),"'"," "),"#"," "),"+"," "),"&amp;"," "),"\"," "))&amp;" "</f>
        <v>  </v>
      </c>
      <c r="BG521" s="61" t="n">
        <f aca="false">IFERROR(IF(AND(TRIM(U521)="Pass",SUMPRODUCT((LEN(BC521)-LEN(SUBSTITUTE(BC521," "&amp;L_ResultBad&amp;" "," ")))/(LEN(L_ResultBad)+1))&gt;SUMPRODUCT((LEN(BC521)-LEN(SUBSTITUTE(BC521," "&amp;L_NegPhrase&amp;" "," ")))/(LEN(L_NegPhrase)+1))),1,0),0)</f>
        <v>0</v>
      </c>
      <c r="BH521" s="61" t="n">
        <f aca="false">IFERROR(IF(SUMPRODUCT((LEN(BC521)-LEN(SUBSTITUTE(BC521," "&amp;L_Pending&amp;" "," ")))/(LEN(L_Pending)+1))&gt;SUMPRODUCT((LEN(BC521)-LEN(SUBSTITUTE(BC521," "&amp;L_PendNeg&amp;" "," ")))/(LEN(L_PendNeg)+1))+SUMPRODUCT((LEN(BC521)-LEN(SUBSTITUTE(BC521," "&amp;L_PendPrep&amp;" "," ")))/(LEN(L_PendPrep)+1)),1,0),1)</f>
        <v>0</v>
      </c>
      <c r="BI521" s="61" t="n">
        <f aca="false">IFERROR(IF(SUMPRODUCT((LEN(BD521)-LEN(SUBSTITUTE(BD521," "&amp;L_PendStrict&amp;" "," ")))/(LEN(L_PendStrict)+1))&gt;SUMPRODUCT((LEN(BD521)-LEN(SUBSTITUTE(BD521," "&amp;L_PendNeg&amp;" "," ")))/(LEN(L_PendNeg)+1)),1,0),1)</f>
        <v>0</v>
      </c>
      <c r="BJ521" s="61" t="n">
        <f aca="false">IFERROR(IF(SUMPRODUCT((LEN(BE521)-LEN(SUBSTITUTE(BE521," "&amp;L_Pending&amp;" "," ")))/(LEN(L_Pending)+1))&gt;SUMPRODUCT((LEN(BE521)-LEN(SUBSTITUTE(BE521," "&amp;L_PendNeg&amp;" "," ")))/(LEN(L_PendNeg)+1))+SUMPRODUCT((LEN(BE521)-LEN(SUBSTITUTE(BE521," "&amp;L_PendPrep&amp;" "," ")))/(LEN(L_PendPrep)+1)),1,0),1)</f>
        <v>0</v>
      </c>
      <c r="BK521" s="61" t="n">
        <f aca="false">IFERROR(IF(SUMPRODUCT((LEN(BF521)-LEN(SUBSTITUTE(BF521," "&amp;L_PendStrict&amp;" "," ")))/(LEN(L_PendStrict)+1))&gt;SUMPRODUCT((LEN(BF521)-LEN(SUBSTITUTE(BF521," "&amp;L_PendNeg&amp;" "," ")))/(LEN(L_PendNeg)+1)),1,0),1)</f>
        <v>0</v>
      </c>
      <c r="BL521" s="61" t="n">
        <f aca="false">IF(ISNA(MATCH(TRIM(S521),L_EvidenceType,0)),0,BZ521)</f>
        <v>0</v>
      </c>
      <c r="BM521" s="61" t="str">
        <f aca="false">SUBSTITUTE(SUBSTITUTE(SUBSTITUTE(SUBSTITUTE(SUBSTITUTE(SUBSTITUTE(SUBSTITUTE(SUBSTITUTE(SUBSTITUTE(LOWER(Z521&amp;""),"1","0"),"2","0"),"3","0"),"4","0"),"5","0"),"6","0"),"7","0"),"8","0"),"9","0")</f>
        <v/>
      </c>
      <c r="BN521" s="61" t="str">
        <f aca="false">SUBSTITUTE(SUBSTITUTE(SUBSTITUTE(SUBSTITUTE(SUBSTITUTE(SUBSTITUTE(SUBSTITUTE(SUBSTITUTE(SUBSTITUTE(SUBSTITUTE(SUBSTITUTE(SUBSTITUTE(SUBSTITUTE(SUBSTITUTE(SUBSTITUTE(SUBSTITUTE(SUBSTITUTE(SUBSTITUTE(SUBSTITUTE(SUBSTITUTE(SUBSTITUTE(SUBSTITUTE(SUBSTITUTE(SUBSTITUTE(SUBSTITUTE(BM521,"b","a"),"c","a"),"d","a"),"e","a"),"f","a"),"g","a"),"h","a"),"i","a"),"j","a"),"k","a"),"l","a"),"m","a"),"n","a"),"o","a"),"p","a"),"q","a"),"r","a"),"s","a"),"t","a"),"u","a"),"v","a"),"w","a"),"x","a"),"y","a"),"z","a")</f>
        <v/>
      </c>
      <c r="BO521" s="61" t="str">
        <f aca="false">SUBSTITUTE(SUBSTITUTE(SUBSTITUTE(SUBSTITUTE(SUBSTITUTE(SUBSTITUTE(SUBSTITUTE(SUBSTITUTE(SUBSTITUTE(LOWER(W521&amp;""),"1","0"),"2","0"),"3","0"),"4","0"),"5","0"),"6","0"),"7","0"),"8","0"),"9","0")</f>
        <v/>
      </c>
      <c r="BP521" s="61" t="str">
        <f aca="false">SUBSTITUTE(SUBSTITUTE(SUBSTITUTE(SUBSTITUTE(SUBSTITUTE(SUBSTITUTE(SUBSTITUTE(SUBSTITUTE(SUBSTITUTE(SUBSTITUTE(SUBSTITUTE(SUBSTITUTE(SUBSTITUTE(SUBSTITUTE(SUBSTITUTE(SUBSTITUTE(SUBSTITUTE(SUBSTITUTE(SUBSTITUTE(SUBSTITUTE(SUBSTITUTE(SUBSTITUTE(SUBSTITUTE(SUBSTITUTE(SUBSTITUTE(BO521,"b","a"),"c","a"),"d","a"),"e","a"),"f","a"),"g","a"),"h","a"),"i","a"),"j","a"),"k","a"),"l","a"),"m","a"),"n","a"),"o","a"),"p","a"),"q","a"),"r","a"),"s","a"),"t","a"),"u","a"),"v","a"),"w","a"),"x","a"),"y","a"),"z","a")</f>
        <v/>
      </c>
      <c r="BQ521" s="61" t="n">
        <f aca="false">IFERROR(IF(AND(ISERROR(SEARCH(" mh"," "&amp;LOWER(W521))),ISNA(MATCH(LEFT(TRIM(BP521),255),{"0000a","000a","00a","0000aa","000aa","00aa","0aa","0000aaa","000aaa","00a00","0a00","0000-0000","00:00","a00","a0","00.00.0000","00/00/0000","00-00-0000","0000-00-00","0000/00/00","0000.00.00","00.00.00","00/00/00","00-00-00","0.00.0000","0/00/0000","0-00-0000"},0)),ISNA(MATCH(LEFT(TRIM(CA521),255),{"0000a","000a","00a","0000aa","000aa","00aa","0aa","0000aaa","000aaa","00a00","0a00","0000-0000","00:00","a00","a0","00.00.0000","00/00/0000","00-00-0000","0000-00-00","0000/00/00","0000.00.00","00.00.00","00/00/00","00-00-00","0.00.0000","0/00/0000","0-00-0000"},0)),LEN(CB521)&gt;=3,NOT(OR(SUBSTITUTE(CB521,"0","")="",AND(LEN(CB521)&gt;=4,CB521=REPT(LEFT(CB521),LEN(CB521))),ISNUMBER(MATCH(CB521,{"123","1234","12345","123456","1234567","12345678","0123","01234","012345","98765","987654","54321"},0)),AND(LEN(CB521)=8,LEFT(CB521,3)="202"))),OR(AND((LEN(CA521)-LEN(SUBSTITUTE(CA521,"a","")))&gt;=1,SUMPRODUCT(--ISNUMBER(SEARCH({"a0","a-0","a_0","a/0","a.0","a#0","0a","0-a","0_a","0/a"},BP521)))&gt;0),ISNUMBER(SEARCH("000000",BP521)))),1,0),0)</f>
        <v>0</v>
      </c>
      <c r="BR521" s="61" t="n">
        <f aca="false">IFERROR(LEN(SUBSTITUTE(CC521," ",""))-SUMPRODUCT((LEN(CC521)-LEN(SUBSTITUTE(CC521," "&amp;L_Role&amp;" "," ")))/(LEN(L_Role)+1)*LEN(L_Role)),0)</f>
        <v>0</v>
      </c>
      <c r="BS521" s="61" t="n">
        <f aca="false">IFERROR(LEN(SUBSTITUTE(CD521," ",""))-SUMPRODUCT((LEN(CD521)-LEN(SUBSTITUTE(CD521," "&amp;L_Role&amp;" "," ")))/(LEN(L_Role)+1)*LEN(L_Role)),0)</f>
        <v>0</v>
      </c>
      <c r="BT5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521,"revision",""),"version",""),"jan",""),"feb",""),"mar",""),"apr",""),"may",""),"jun",""),"jul",""),"aug",""),"sep",""),"oct",""),"nov",""),"dec",""),"utc",""),"gmt",""),"myt",""),"bst",""),"rev",""),"ver",""),"b","a"),"c","a"),"d","a"),"e","a"),"f","a"),"g","a"),"h","a"),"i","a"),"j","a"),"k","a"),"l","a"),"m","a"),"n","a"),"o","a"),"p","a"),"q","a"),"r","a"),"s","a"),"t","a"),"u","a"),"v","a"),"w","a"),"x","a"),"y","a"),"z","a")</f>
        <v/>
      </c>
      <c r="BU521" s="61" t="str">
        <f aca="false">SUBSTITUTE(SUBSTITUTE(SUBSTITUTE(SUBSTITUTE(SUBSTITUTE(SUBSTITUTE(SUBSTITUTE(SUBSTITUTE(SUBSTITUTE(SUBSTITUTE(LEFT(BM521,FIND("0",BM521&amp;"0")-1),"-",""),"_",""),"/",""),".",""),"#",""),"\\",""),":","")," ",""),"(",""),")","")</f>
        <v/>
      </c>
      <c r="BV521" s="61" t="n">
        <f aca="false">0</f>
        <v>0</v>
      </c>
      <c r="BW5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521&amp;""),"a",""),"b",""),"c",""),"d",""),"e",""),"f",""),"g",""),"h",""),"i",""),"j",""),"k",""),"l",""),"m",""),"n",""),"o",""),"p",""),"q",""),"r",""),"s",""),"t",""),"u",""),"v",""),"w",""),"x",""),"y",""),"z",""),"-",""),"_",""),"/",""),".",""),"#",""),"\\",""),":","")," ",""),"(",""),")","")</f>
        <v/>
      </c>
      <c r="BX521" s="61" t="str">
        <f aca="false">SUBSTITUTE(SUBSTITUTE(SUBSTITUTE(SUBSTITUTE(SUBSTITUTE(SUBSTITUTE(SUBSTITUTE(SUBSTITUTE(SUBSTITUTE(SUBSTITUTE(SUBSTITUTE(BM521,"0",""),"-",""),"_",""),"/",""),".",""),"#",""),"\\",""),":","")," ",""),"(",""),")","")</f>
        <v/>
      </c>
      <c r="BY521" s="62" t="n">
        <f aca="false">Q521-T12EarlyH/24</f>
        <v>46320.0486111111</v>
      </c>
      <c r="BZ521" s="61" t="n">
        <f aca="false">IFERROR(IF(IF(TRIM(S521)="Link / file path",AND(LEN(TRIM(Z521))&gt;=5,SUMPRODUCT(--ISNUMBER(SEARCH({"http","www.","\\",":\",".pdf",".jpg",".jpeg",".png",".heic",".xls",".doc",".msg",".eml",".ppt",".txt",".zip"},Z521)))&gt;0),AND(ISERROR(FIND(" ",TRIM(Z521))),NOT(OR(SUMPRODUCT(--ISNUMBER(FIND({",",";","&amp;","+"},Z521)))&gt;0,SUMPRODUCT(--ISNUMBER(SEARCH({"0/aa","0\\aa"},BN521)))&gt;0)),NOT(SUMPRODUCT(--ISNUMBER(SEARCH({"http","www.","\\",":\",".pdf",".jpg",".jpeg",".png",".heic",".xls",".doc",".msg",".eml",".ppt",".txt",".zip"},Z521)))&gt;0),NOT(LOWER(TRIM(Z521))=LOWER(Flights!$F$20)),ISNA(MATCH(BU521,{"mh","rev","revision","ver","version","v","r","a","b","seat","tray","row","gate","bay","stand","page","pg","item","line","no","cart","galley","flight","flt","table","box","bag","oven","etd","eta","std","sta","atd","ata","qty","pax","x","time","tel","ph","mob","day","wk","week","utc","gmt","myt","lt"},0)),NOT(OR(ISNUMBER(MATCH(LEFT(BN521,255),{"0000a","000a","00a","0000aa","000aa","00aa","0aa","0000aaa","000aaa","00a00","0a00","0000-0000","00:00","a00","a0","00.00.0000","00/00/0000","00-00-0000","0000-00-00","0000/00/00","0000.00.00","00.00.00","00/00/00","00-00-00","0.00.0000","0/00/0000","0-00-0000"},0)),ISNUMBER(MATCH(LEFT(BT521,255),{"0000a","000a","00a","0000aa","000aa","00aa","0aa","0000aaa","000aaa","00a00","0a00","0000-0000","00:00","a00","a0","00.00.0000","00/00/0000","00-00-0000","0000-00-00","0000/00/00","0000.00.00","00.00.00","00/00/00","00-00-00","0.00.0000","0/00/0000","0-00-0000"},0)))),NOT(OR(AND(BW521&lt;&gt;"",SUBSTITUTE(BW521,"0","")=""),AND(LEN(BW521)&gt;=4,BW521=REPT(LEFT(BW521),LEN(BW521))),ISNUMBER(MATCH(BW521,{"123","1234","12345","123456","1234567","12345678","0123","01234","012345","98765","987654","54321"},0)),ISNUMBER(MATCH(BX521,{"x","xx","xxx","xxxx","xxxxx","abc","abcd","nil","na","nan","test","tbc","tba","tbd","dummy","sample","example","eg","zz","zzz","none","null","xyz","qwe","asd","id","ref"},0)),AND(LEN(BW521)=8,BX521="",OR(LEFT(BW521,3)="202",ISNUMBER(MATCH(RIGHT(BW521,4),{"2025","2026","2027"},0)))))),OR(AND((LEN(BT521)-LEN(SUBSTITUTE(BT521,"a","")))&gt;=1,(LEN(BN521)-LEN(SUBSTITUTE(BN521,"0","")))&gt;=2,SUMPRODUCT(--ISNUMBER(SEARCH({"a0","a-0","a_0","a/0","a.0","a#0","0a","0-a","0_a","0/a"},BN521)))&gt;0),AND((LEN(BN521)-LEN(SUBSTITUTE(BN521,"a","")))=0,(LEN(BN521)-LEN(SUBSTITUTE(BN521,"0","")))&gt;=5)))),1,0),0)</f>
        <v>0</v>
      </c>
      <c r="CA5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521,"revision",""),"version",""),"jan",""),"feb",""),"mar",""),"apr",""),"may",""),"jun",""),"jul",""),"aug",""),"sep",""),"oct",""),"nov",""),"dec",""),"utc",""),"gmt",""),"myt",""),"bst",""),"rev",""),"ver",""),"b","a"),"c","a"),"d","a"),"e","a"),"f","a"),"g","a"),"h","a"),"i","a"),"j","a"),"k","a"),"l","a"),"m","a"),"n","a"),"o","a"),"p","a"),"q","a"),"r","a"),"s","a"),"t","a"),"u","a"),"v","a"),"w","a"),"x","a"),"y","a"),"z","a")</f>
        <v/>
      </c>
      <c r="CB5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521&amp;""),"a",""),"b",""),"c",""),"d",""),"e",""),"f",""),"g",""),"h",""),"i",""),"j",""),"k",""),"l",""),"m",""),"n",""),"o",""),"p",""),"q",""),"r",""),"s",""),"t",""),"u",""),"v",""),"w",""),"x",""),"y",""),"z",""),"-",""),"_",""),"/",""),".",""),"#",""),"\\",""),":","")," ",""),"(",""),")","")</f>
        <v/>
      </c>
      <c r="CC521" s="0" t="str">
        <f aca="false">" "&amp;TRIM(SUBSTITUTE(SUBSTITUTE(SUBSTITUTE(SUBSTITUTE(SUBSTITUTE(SUBSTITUTE(SUBSTITUTE(SUBSTITUTE(SUBSTITUTE(SUBSTITUTE(SUBSTITUTE(SUBSTITUTE(SUBSTITUTE(SUBSTITUTE(SUBSTITUTE(SUBSTITUTE(SUBSTITUTE(SUBSTITUTE(SUBSTITUTE(SUBSTITUTE(SUBSTITUTE(SUBSTITUTE(SUBSTITUTE(SUBSTITUTE(LOWER(T521&amp;""),CHAR(10)," "),CHAR(13)," "),CHAR(9)," "),CHAR(160)," "),"."," "),","," "),"-"," "),"/"," "),"("," "),")"," "),":"," "),";"," "),"_"," "),"–"," "),"?"," "),"!"," "),"*"," "),"["," "),"]"," "),"'"," "),"#"," "),"+"," "),"&amp;"," "),"\"," "))&amp;" "</f>
        <v>  </v>
      </c>
      <c r="CD521" s="0" t="str">
        <f aca="false">" "&amp;TRIM(SUBSTITUTE(SUBSTITUTE(SUBSTITUTE(SUBSTITUTE(SUBSTITUTE(SUBSTITUTE(SUBSTITUTE(SUBSTITUTE(SUBSTITUTE(SUBSTITUTE(SUBSTITUTE(SUBSTITUTE(SUBSTITUTE(SUBSTITUTE(SUBSTITUTE(SUBSTITUTE(SUBSTITUTE(SUBSTITUTE(SUBSTITUTE(SUBSTITUTE(SUBSTITUTE(SUBSTITUTE(SUBSTITUTE(SUBSTITUTE(LOWER(AE521&amp;""),CHAR(10)," "),CHAR(13)," "),CHAR(9)," "),CHAR(160)," "),"."," "),","," "),"-"," "),"/"," "),"("," "),")"," "),":"," "),";"," "),"_"," "),"–"," "),"?"," "),"!"," "),"*"," "),"["," "),"]"," "),"'"," "),"#"," "),"+"," "),"&amp;"," "),"\"," "))&amp;" "</f>
        <v>  </v>
      </c>
      <c r="CE521" s="68" t="n">
        <f aca="false">IFERROR(IF(AND(LEN(AU521)&gt;0,LEN(AU521)=LEN(AX521),OR(TRIM(MID(SUBSTITUTE(TRIM(CC521)," ",REPT(" ",60)),1,60))="",ISNUMBER(SEARCH(" "&amp;TRIM(MID(SUBSTITUTE(TRIM(CC521)," ",REPT(" ",60)),1,60))&amp;" ",CD521))),OR(TRIM(MID(SUBSTITUTE(TRIM(CC521)," ",REPT(" ",60)),61,60))="",ISNUMBER(SEARCH(" "&amp;TRIM(MID(SUBSTITUTE(TRIM(CC521)," ",REPT(" ",60)),61,60))&amp;" ",CD521))),OR(TRIM(MID(SUBSTITUTE(TRIM(CC521)," ",REPT(" ",60)),121,60))="",ISNUMBER(SEARCH(" "&amp;TRIM(MID(SUBSTITUTE(TRIM(CC521)," ",REPT(" ",60)),121,60))&amp;" ",CD521)))),1,0),0)</f>
        <v>0</v>
      </c>
      <c r="CG521" s="68" t="n">
        <f aca="false">IFERROR(LEN(SUBSTITUTE(BF521," ",""))-SUMPRODUCT((LEN(BF521)-LEN(SUBSTITUTE(BF521," "&amp;L_NAFiller&amp;" "," ")))/(LEN(L_NAFiller)+1)*LEN(L_NAFiller)),0)</f>
        <v>0</v>
      </c>
    </row>
    <row r="522" customFormat="false" ht="39.75" hidden="false" customHeight="true" outlineLevel="0" collapsed="false">
      <c r="A522" s="57" t="s">
        <v>1179</v>
      </c>
      <c r="B522" s="57" t="s">
        <v>280</v>
      </c>
      <c r="C522" s="57" t="str">
        <f aca="false">Flights!$F$20</f>
        <v>MH0072</v>
      </c>
      <c r="D522" s="58" t="n">
        <f aca="false">Flights!$D$20</f>
        <v>46321</v>
      </c>
      <c r="E522" s="57" t="str">
        <f aca="false">Flights!$G$20&amp;"-"&amp;Flights!$H$20</f>
        <v>KUL-HKG</v>
      </c>
      <c r="F522" s="57" t="str">
        <f aca="false">Flights!$K$20</f>
        <v>EY</v>
      </c>
      <c r="G522" s="57" t="s">
        <v>420</v>
      </c>
      <c r="H522" s="57" t="s">
        <v>378</v>
      </c>
      <c r="I522" s="57" t="s">
        <v>428</v>
      </c>
      <c r="J522" s="57" t="s">
        <v>438</v>
      </c>
      <c r="K522" s="67"/>
      <c r="L522" s="67" t="s">
        <v>422</v>
      </c>
      <c r="M522" s="67"/>
      <c r="N522" s="67" t="s">
        <v>383</v>
      </c>
      <c r="O522" s="67" t="s">
        <v>423</v>
      </c>
      <c r="P522" s="57" t="s">
        <v>187</v>
      </c>
      <c r="Q522" s="59" t="n">
        <f aca="false">ROUND((Flights!$AE$20)*1440,0)/1440</f>
        <v>46320.5486111111</v>
      </c>
      <c r="R522" s="59" t="n">
        <f aca="false">Q522+(IF(AND(INDEX(TZ_DSTS,MATCH(P522,TZ_STN,0))&lt;&gt;"",Q522&gt;=INDEX(TZ_DSTS,MATCH(P522,TZ_STN,0)),Q522&lt;INDEX(TZ_DSTE,MATCH(P522,TZ_STN,0))),INDEX(TZ_DST,MATCH(P522,TZ_STN,0)),INDEX(TZ_STD,MATCH(P522,TZ_STN,0))))/24</f>
        <v>46320.8819444444</v>
      </c>
      <c r="S522" s="60"/>
      <c r="T522" s="60"/>
      <c r="U522" s="60"/>
      <c r="V522" s="60"/>
      <c r="W522" s="61"/>
      <c r="X522" s="60"/>
      <c r="Y522" s="60"/>
      <c r="Z522" s="60"/>
      <c r="AA522" s="60"/>
      <c r="AB522" s="60"/>
      <c r="AC522" s="60"/>
      <c r="AD522" s="66"/>
      <c r="AE522" s="60"/>
      <c r="AF522" s="61" t="str">
        <f aca="false">IF(AND(ISNUMBER(X522),ISNUMBER(Y522)),Y522-X522,"")</f>
        <v/>
      </c>
      <c r="AG522" s="62" t="str">
        <f aca="false">IF(ISNUMBER(AD522),AD522-(IF(AND(INDEX(TZ_DSTS,MATCH(P522,TZ_STN,0))&lt;&gt;"",(AD522-INDEX(TZ_STD,MATCH(P522,TZ_STN,0))/24)&gt;=INDEX(TZ_DSTS,MATCH(P522,TZ_STN,0)),(AD522-INDEX(TZ_STD,MATCH(P522,TZ_STN,0))/24)&lt;INDEX(TZ_DSTE,MATCH(P522,TZ_STN,0))),INDEX(TZ_DST,MATCH(P522,TZ_STN,0)),INDEX(TZ_STD,MATCH(P522,TZ_STN,0))))/24,"")</f>
        <v/>
      </c>
      <c r="AH522" s="65" t="str">
        <f aca="false">IFERROR(IF(N522="N/A – rule",IF(OR(TRIM(U522)="",TRIM(U522)="N/A",TRIM(U522)="Not started"),"N/A – RULE","INVALID – this check does not apply to this aircraft: clear the status (or correct the fleet on Flights)"),IF(TRIM(U522)="N/A",IF(AT522=0,"INVALID – N/A not permitted for this check",IF(AND(TRIM(AB522)&lt;&gt;"",TRIM(AB522)&lt;&gt;"Closed"),"INVALID – corrective action still open",IF(AND(NOT(OR(LEN(AZ522)&lt;15,ISNUMBER(MATCH(AZ522,L_Placeholder,0)))),BK522=0,CG522&gt;=8,NOT(OR(LEN(AU522)&lt;2,ISNUMBER(MATCH(AU522,L_Placeholder,0)))),BR522&gt;=3,NOT(OR(LEN(AX522)&lt;2,ISNUMBER(MATCH(AX522,L_Placeholder,0)))),BS522&gt;=3,TRIM(AE522)&lt;&gt;TRIM(T522),AX522&lt;&gt;AU522,CE522=0),"N/A – JUSTIFIED","INVALID – N/A needs a real, settled reason (not 'not applicable' / 'as above' / TBC), a named PIC and a different named verifier"))),IF(OR(TRIM(U522)="Pass",TRIM(U522)="Pass after CA"),IF(NOT(ISNUMBER(AD522)),"INVALID – completion time missing",IF(OR(OR(LEN(AU522)&lt;2,ISNUMBER(MATCH(AU522,L_Placeholder,0))),BR522&lt;3),"INVALID – PIC missing or not a named person (a role such as QA / CSM is not a name)",IF(OR(LEN(AV522)&lt;2,ISNUMBER(MATCH(AV522,L_Placeholder,0))),"INVALID – result / assessment missing",IF(OR(OR(LEN(AW522)&lt;3,ISNUMBER(MATCH(AW522,L_Placeholder,0))),SUMPRODUCT(--ISNUMBER(SEARCH(" "&amp;L_EvidencePhrase&amp;" ",BD522)))&gt;0,BI522=1),"INVALID – evidence missing, placeholder or not yet on file",IF(ISNA(MATCH(TRIM(S522),L_EvidenceType,0)),"INVALID – choose the evidence type from the list (column S)",IF(BL522=0,"INVALID – evidence ID must be the record's own ID only (e.g. SF-2210, IMG_2231, 1045521); a link / file name needs type 'Link / file path'",IF(OR(OR(LEN(AX522)&lt;2,ISNUMBER(MATCH(AX522,L_Placeholder,0))),BS522&lt;3),"INVALID – verifier missing or not a named person (a role such as QA / CSM is not a name)",IF(OR(AX522=AU522,CE522=1,AND(LEN(AU522)&gt;=4,ISNUMBER(SEARCH(AU522,AX522))),AND(LEN(AX522)&gt;=4,ISNUMBER(SEARCH(AX522,AU522)))),"INVALID – verifier must be a different, named person (not the PIC or a role)",IF(BH522=1,"INVALID – result not yet available (awaiting / TBC)",IF(BG522=1,"INVALID – result describes a problem: record Fail, then Pass after CA (or reword if it is not a problem)",IF(BV522=1,"INVALID – wording says not on board: an on-board confirmation needs the item loaded",IF(AND(AQ522=1,OR(OR(LEN(AY522)&lt;3,ISNUMBER(MATCH(AY522,L_Placeholder,0))),BJ522=1,BQ522=0)),"INVALID – batch ID missing, placeholder or not an ID (e.g. PASB-261008-BC-017)",IF(AND(AR522=1,OR(NOT(ISNUMBER(X522)),NOT(ISNUMBER(Y522)))),"INVALID – expected/actual qty missing",IF(AND(AR522=1,OR(X522&lt;=0,Y522&lt;0)),"INVALID – expected qty must be above 0 and actual not negative",IF(BB522&lt;&gt;"",BB522,IF(AND(AS522=1,Documents!$J$20&lt;&gt;"ON FILE"),"INVALID – GLD not on file (Documents sheet)",IF(AND(AS522=2,Documents!$O$20&lt;&gt;"ON FILE"),"INVALID – menu checklist not on file (Documents sheet)",IF(AND(AS522=3,NOT(ISNUMBER(Flights!$AX$20))),"INVALID – enter carrying flight KUL departure (Flights AX)",IF(AND(AS522=3,OR(Flights!$AZ$20&gt;Flights!$AA$20,Flights!$AX$20&lt;Flights!$AA$20-3)),"INVALID – carrying flight (Flights AX) cannot arrive before this leg's STD, or is over 3 days early",IF(AG522&gt;AsOfUTC,"INVALID – completion time is in the future",IF(AND(ISNUMBER(BY522),AG522&lt;BY522),IF(H522="Physical uplift","INVALID – before uplift window (cannot confirm loading)","INVALID – before valid window"),IF(AG522&gt;Flights!$AA$20,"INVALID – completed after departure (cannot establish readiness)",IF(AND(H522="Preparation",AG522&gt;=IF(ISNUMBER(Flights!$BA$20),MIN(Flights!$BA$20,Flights!$AA$20),Flights!$AA$20)),"INVALID – completed after loading / departure (cannot establish readiness)",IF(AND(H522="Physical uplift",AG522&gt;Q522),"INVALID – recorded after the loading flight departed",IF(AG522&gt;Q522,"COMPLETE – LATE","COMPLETE"))))))))))))))))))))))))),IF(TRIM(U522)="Fail","FAIL – DISCREPANCY",IF(AND(TRIM(U522)&lt;&gt;"",TRIM(U522)&lt;&gt;"Not started",TRIM(U522)&lt;&gt;"In progress"),"INVALID – unrecognised status (use the list)",IF(AsOfUTC&gt;Q522,"OVERDUE",IF(N522="Clarification required","OPEN – CLARIFICATION","OPEN"))))))),"INVALID – error value in an input cell")</f>
        <v>OPEN</v>
      </c>
      <c r="AI522" s="61" t="n">
        <f aca="false">IF(OR(AH522="N/A – RULE",AH522="N/A – JUSTIFIED"),0,1)</f>
        <v>1</v>
      </c>
      <c r="AJ522" s="61" t="n">
        <f aca="false">IF(LEFT(AH522,8)="COMPLETE",1,0)</f>
        <v>0</v>
      </c>
      <c r="AK522" s="61" t="n">
        <f aca="false">IF(AND(AI522=1,AJ522=0,AsOfUTC&gt;Q522),1,0)</f>
        <v>0</v>
      </c>
      <c r="AL522" s="61" t="n">
        <f aca="false">IFERROR(IF(AND(AI522=1,OR(TRIM(U522)="Fail",AND(TRIM(AB522)&lt;&gt;"",TRIM(AB522)&lt;&gt;"Closed"),AND(ISNUMBER(AF522),AF522&lt;&gt;0,TRIM(U522)&lt;&gt;"Pass after CA"))),1,0),1)</f>
        <v>0</v>
      </c>
      <c r="AM522" s="61" t="n">
        <f aca="false">IF(LEFT(AH522,7)="INVALID",1,0)</f>
        <v>0</v>
      </c>
      <c r="AN522" s="61" t="n">
        <f aca="false">IF(AND(N522="Clarification required",AI522=1,AJ522=0),1,0)</f>
        <v>0</v>
      </c>
      <c r="AO522" s="61" t="str">
        <f aca="false">IF(AK522=1,SUM(AK$5:AK522),"")</f>
        <v/>
      </c>
      <c r="AP522" s="61" t="str">
        <f aca="false">IF(AL522=1,SUM(AL$5:AL522),"")</f>
        <v/>
      </c>
      <c r="AQ522" s="61" t="n">
        <v>0</v>
      </c>
      <c r="AR522" s="61" t="n">
        <v>0</v>
      </c>
      <c r="AS522" s="61" t="n">
        <v>0</v>
      </c>
      <c r="AT522" s="61" t="n">
        <v>0</v>
      </c>
      <c r="AU522" s="61" t="str">
        <f aca="false">SUBSTITUTE(SUBSTITUTE(SUBSTITUTE(SUBSTITUTE(SUBSTITUTE(SUBSTITUTE(SUBSTITUTE(SUBSTITUTE(SUBSTITUTE(SUBSTITUTE(SUBSTITUTE(SUBSTITUTE(SUBSTITUTE(SUBSTITUTE(SUBSTITUTE(SUBSTITUTE(LOWER(T522&amp;""),CHAR(10),""),CHAR(13),""),CHAR(9),""),CHAR(160),"")," ",""),".",""),"-",""),"/",""),"?",""),"_",""),",",""),"[",""),"]",""),"(",""),")",""),"*","")</f>
        <v/>
      </c>
      <c r="AV522" s="61" t="str">
        <f aca="false">SUBSTITUTE(SUBSTITUTE(SUBSTITUTE(SUBSTITUTE(SUBSTITUTE(SUBSTITUTE(SUBSTITUTE(SUBSTITUTE(SUBSTITUTE(SUBSTITUTE(SUBSTITUTE(SUBSTITUTE(SUBSTITUTE(SUBSTITUTE(SUBSTITUTE(SUBSTITUTE(LOWER(V522&amp;""),CHAR(10),""),CHAR(13),""),CHAR(9),""),CHAR(160),"")," ",""),".",""),"-",""),"/",""),"?",""),"_",""),",",""),"[",""),"]",""),"(",""),")",""),"*","")</f>
        <v/>
      </c>
      <c r="AW522" s="61" t="str">
        <f aca="false">SUBSTITUTE(SUBSTITUTE(SUBSTITUTE(SUBSTITUTE(SUBSTITUTE(SUBSTITUTE(SUBSTITUTE(SUBSTITUTE(SUBSTITUTE(SUBSTITUTE(SUBSTITUTE(SUBSTITUTE(SUBSTITUTE(SUBSTITUTE(SUBSTITUTE(SUBSTITUTE(LOWER(Z522&amp;""),CHAR(10),""),CHAR(13),""),CHAR(9),""),CHAR(160),"")," ",""),".",""),"-",""),"/",""),"?",""),"_",""),",",""),"[",""),"]",""),"(",""),")",""),"*","")</f>
        <v/>
      </c>
      <c r="AX522" s="61" t="str">
        <f aca="false">SUBSTITUTE(SUBSTITUTE(SUBSTITUTE(SUBSTITUTE(SUBSTITUTE(SUBSTITUTE(SUBSTITUTE(SUBSTITUTE(SUBSTITUTE(SUBSTITUTE(SUBSTITUTE(SUBSTITUTE(SUBSTITUTE(SUBSTITUTE(SUBSTITUTE(SUBSTITUTE(LOWER(AE522&amp;""),CHAR(10),""),CHAR(13),""),CHAR(9),""),CHAR(160),"")," ",""),".",""),"-",""),"/",""),"?",""),"_",""),",",""),"[",""),"]",""),"(",""),")",""),"*","")</f>
        <v/>
      </c>
      <c r="AY522" s="61" t="str">
        <f aca="false">SUBSTITUTE(SUBSTITUTE(SUBSTITUTE(SUBSTITUTE(SUBSTITUTE(SUBSTITUTE(SUBSTITUTE(SUBSTITUTE(SUBSTITUTE(SUBSTITUTE(SUBSTITUTE(SUBSTITUTE(SUBSTITUTE(SUBSTITUTE(SUBSTITUTE(SUBSTITUTE(LOWER(W522&amp;""),CHAR(10),""),CHAR(13),""),CHAR(9),""),CHAR(160),"")," ",""),".",""),"-",""),"/",""),"?",""),"_",""),",",""),"[",""),"]",""),"(",""),")",""),"*","")</f>
        <v/>
      </c>
      <c r="AZ522" s="61" t="str">
        <f aca="false">SUBSTITUTE(SUBSTITUTE(SUBSTITUTE(SUBSTITUTE(SUBSTITUTE(SUBSTITUTE(SUBSTITUTE(SUBSTITUTE(SUBSTITUTE(SUBSTITUTE(SUBSTITUTE(SUBSTITUTE(SUBSTITUTE(SUBSTITUTE(SUBSTITUTE(SUBSTITUTE(LOWER(AC522&amp;""),CHAR(10),""),CHAR(13),""),CHAR(9),""),CHAR(160),"")," ",""),".",""),"-",""),"/",""),"?",""),"_",""),",",""),"[",""),"]",""),"(",""),")",""),"*","")</f>
        <v/>
      </c>
      <c r="BA522" s="61" t="str">
        <f aca="false">SUBSTITUTE(SUBSTITUTE(SUBSTITUTE(SUBSTITUTE(SUBSTITUTE(SUBSTITUTE(SUBSTITUTE(SUBSTITUTE(SUBSTITUTE(SUBSTITUTE(SUBSTITUTE(SUBSTITUTE(SUBSTITUTE(SUBSTITUTE(SUBSTITUTE(SUBSTITUTE(LOWER(AA522&amp;""),CHAR(10),""),CHAR(13),""),CHAR(9),""),CHAR(160),"")," ",""),".",""),"-",""),"/",""),"?",""),"_",""),",",""),"[",""),"]",""),"(",""),")",""),"*","")</f>
        <v/>
      </c>
      <c r="BB522" s="61" t="str">
        <f aca="false">IF(AND(TRIM(U522)="Pass",ISNUMBER(AF522)),IF(AF522&lt;&gt;0,"INVALID – qty variance: use Fail or Pass after CA",""),"")&amp;IF(AND(TRIM(U522)="Pass after CA",ISNUMBER(AF522)),IF(AF522&lt;&gt;0,"INVALID – after the corrective action the actual qty must equal expected (update Actual)",""),"")&amp;IF(AND(TRIM(U522)="Pass",TRIM(AB522)&lt;&gt;"",TRIM(AB522)&lt;&gt;"Closed"),"INVALID – corrective action not closed: use Fail, then Pass after CA","")&amp;IF(AND(LEN(BA522)&gt;=2,ISNA(MATCH(LEFT(BA522,255),L_Placeholder,0)),TRIM(AB522)=""),"INVALID – CA status missing for the recorded corrective action","")&amp;IF(AND(TRIM(U522)="Pass after CA",OR(OR(LEN(BA522)&lt;5,ISNUMBER(MATCH(BA522,L_Placeholder,0))),TRIM(AB522)&lt;&gt;"Closed")),"INVALID – corrective action not recorded/closed","")</f>
        <v/>
      </c>
      <c r="BC522" s="61" t="str">
        <f aca="false">" "&amp;TRIM(SUBSTITUTE(SUBSTITUTE(SUBSTITUTE(SUBSTITUTE(SUBSTITUTE(SUBSTITUTE(SUBSTITUTE(SUBSTITUTE(SUBSTITUTE(SUBSTITUTE(SUBSTITUTE(SUBSTITUTE(SUBSTITUTE(SUBSTITUTE(SUBSTITUTE(SUBSTITUTE(SUBSTITUTE(SUBSTITUTE(SUBSTITUTE(SUBSTITUTE(SUBSTITUTE(SUBSTITUTE(SUBSTITUTE(SUBSTITUTE(LOWER(V522&amp;""),CHAR(10)," "),CHAR(13)," "),CHAR(9)," "),CHAR(160)," "),"."," "),","," "),"-"," "),"/"," "),"("," "),")"," "),":"," "),";"," "),"_"," "),"–"," "),"?"," "),"!"," "),"*"," "),"["," "),"]"," "),"'"," "),"#"," "),"+"," "),"&amp;"," "),"\"," "))&amp;" "</f>
        <v>  </v>
      </c>
      <c r="BD522" s="61" t="str">
        <f aca="false">" "&amp;TRIM(SUBSTITUTE(SUBSTITUTE(SUBSTITUTE(SUBSTITUTE(SUBSTITUTE(SUBSTITUTE(SUBSTITUTE(SUBSTITUTE(SUBSTITUTE(SUBSTITUTE(SUBSTITUTE(SUBSTITUTE(SUBSTITUTE(SUBSTITUTE(SUBSTITUTE(SUBSTITUTE(SUBSTITUTE(SUBSTITUTE(SUBSTITUTE(SUBSTITUTE(SUBSTITUTE(SUBSTITUTE(SUBSTITUTE(SUBSTITUTE(LOWER(Z522&amp;""),CHAR(10)," "),CHAR(13)," "),CHAR(9)," "),CHAR(160)," "),"."," "),","," "),"-"," "),"/"," "),"("," "),")"," "),":"," "),";"," "),"_"," "),"–"," "),"?"," "),"!"," "),"*"," "),"["," "),"]"," "),"'"," "),"#"," "),"+"," "),"&amp;"," "),"\"," "))&amp;" "</f>
        <v>  </v>
      </c>
      <c r="BE522" s="61" t="str">
        <f aca="false">" "&amp;TRIM(SUBSTITUTE(SUBSTITUTE(SUBSTITUTE(SUBSTITUTE(SUBSTITUTE(SUBSTITUTE(SUBSTITUTE(SUBSTITUTE(SUBSTITUTE(SUBSTITUTE(SUBSTITUTE(SUBSTITUTE(SUBSTITUTE(SUBSTITUTE(SUBSTITUTE(SUBSTITUTE(SUBSTITUTE(SUBSTITUTE(SUBSTITUTE(SUBSTITUTE(SUBSTITUTE(SUBSTITUTE(SUBSTITUTE(SUBSTITUTE(LOWER(W522&amp;""),CHAR(10)," "),CHAR(13)," "),CHAR(9)," "),CHAR(160)," "),"."," "),","," "),"-"," "),"/"," "),"("," "),")"," "),":"," "),";"," "),"_"," "),"–"," "),"?"," "),"!"," "),"*"," "),"["," "),"]"," "),"'"," "),"#"," "),"+"," "),"&amp;"," "),"\"," "))&amp;" "</f>
        <v>  </v>
      </c>
      <c r="BF522" s="61" t="str">
        <f aca="false">" "&amp;TRIM(SUBSTITUTE(SUBSTITUTE(SUBSTITUTE(SUBSTITUTE(SUBSTITUTE(SUBSTITUTE(SUBSTITUTE(SUBSTITUTE(SUBSTITUTE(SUBSTITUTE(SUBSTITUTE(SUBSTITUTE(SUBSTITUTE(SUBSTITUTE(SUBSTITUTE(SUBSTITUTE(SUBSTITUTE(SUBSTITUTE(SUBSTITUTE(SUBSTITUTE(SUBSTITUTE(SUBSTITUTE(SUBSTITUTE(SUBSTITUTE(LOWER(AC522&amp;""),CHAR(10)," "),CHAR(13)," "),CHAR(9)," "),CHAR(160)," "),"."," "),","," "),"-"," "),"/"," "),"("," "),")"," "),":"," "),";"," "),"_"," "),"–"," "),"?"," "),"!"," "),"*"," "),"["," "),"]"," "),"'"," "),"#"," "),"+"," "),"&amp;"," "),"\"," "))&amp;" "</f>
        <v>  </v>
      </c>
      <c r="BG522" s="61" t="n">
        <f aca="false">IFERROR(IF(AND(TRIM(U522)="Pass",SUMPRODUCT((LEN(BC522)-LEN(SUBSTITUTE(BC522," "&amp;L_ResultBad&amp;" "," ")))/(LEN(L_ResultBad)+1))&gt;SUMPRODUCT((LEN(BC522)-LEN(SUBSTITUTE(BC522," "&amp;L_NegPhrase&amp;" "," ")))/(LEN(L_NegPhrase)+1))),1,0),0)</f>
        <v>0</v>
      </c>
      <c r="BH522" s="61" t="n">
        <f aca="false">IFERROR(IF(SUMPRODUCT((LEN(BC522)-LEN(SUBSTITUTE(BC522," "&amp;L_Pending&amp;" "," ")))/(LEN(L_Pending)+1))&gt;SUMPRODUCT((LEN(BC522)-LEN(SUBSTITUTE(BC522," "&amp;L_PendNeg&amp;" "," ")))/(LEN(L_PendNeg)+1))+SUMPRODUCT((LEN(BC522)-LEN(SUBSTITUTE(BC522," "&amp;L_PendPrep&amp;" "," ")))/(LEN(L_PendPrep)+1)),1,0),1)</f>
        <v>0</v>
      </c>
      <c r="BI522" s="61" t="n">
        <f aca="false">IFERROR(IF(SUMPRODUCT((LEN(BD522)-LEN(SUBSTITUTE(BD522," "&amp;L_PendStrict&amp;" "," ")))/(LEN(L_PendStrict)+1))&gt;SUMPRODUCT((LEN(BD522)-LEN(SUBSTITUTE(BD522," "&amp;L_PendNeg&amp;" "," ")))/(LEN(L_PendNeg)+1)),1,0),1)</f>
        <v>0</v>
      </c>
      <c r="BJ522" s="61" t="n">
        <f aca="false">IFERROR(IF(SUMPRODUCT((LEN(BE522)-LEN(SUBSTITUTE(BE522," "&amp;L_Pending&amp;" "," ")))/(LEN(L_Pending)+1))&gt;SUMPRODUCT((LEN(BE522)-LEN(SUBSTITUTE(BE522," "&amp;L_PendNeg&amp;" "," ")))/(LEN(L_PendNeg)+1))+SUMPRODUCT((LEN(BE522)-LEN(SUBSTITUTE(BE522," "&amp;L_PendPrep&amp;" "," ")))/(LEN(L_PendPrep)+1)),1,0),1)</f>
        <v>0</v>
      </c>
      <c r="BK522" s="61" t="n">
        <f aca="false">IFERROR(IF(SUMPRODUCT((LEN(BF522)-LEN(SUBSTITUTE(BF522," "&amp;L_PendStrict&amp;" "," ")))/(LEN(L_PendStrict)+1))&gt;SUMPRODUCT((LEN(BF522)-LEN(SUBSTITUTE(BF522," "&amp;L_PendNeg&amp;" "," ")))/(LEN(L_PendNeg)+1)),1,0),1)</f>
        <v>0</v>
      </c>
      <c r="BL522" s="61" t="n">
        <f aca="false">IF(ISNA(MATCH(TRIM(S522),L_EvidenceType,0)),0,BZ522)</f>
        <v>0</v>
      </c>
      <c r="BM522" s="61" t="str">
        <f aca="false">SUBSTITUTE(SUBSTITUTE(SUBSTITUTE(SUBSTITUTE(SUBSTITUTE(SUBSTITUTE(SUBSTITUTE(SUBSTITUTE(SUBSTITUTE(LOWER(Z522&amp;""),"1","0"),"2","0"),"3","0"),"4","0"),"5","0"),"6","0"),"7","0"),"8","0"),"9","0")</f>
        <v/>
      </c>
      <c r="BN522" s="61" t="str">
        <f aca="false">SUBSTITUTE(SUBSTITUTE(SUBSTITUTE(SUBSTITUTE(SUBSTITUTE(SUBSTITUTE(SUBSTITUTE(SUBSTITUTE(SUBSTITUTE(SUBSTITUTE(SUBSTITUTE(SUBSTITUTE(SUBSTITUTE(SUBSTITUTE(SUBSTITUTE(SUBSTITUTE(SUBSTITUTE(SUBSTITUTE(SUBSTITUTE(SUBSTITUTE(SUBSTITUTE(SUBSTITUTE(SUBSTITUTE(SUBSTITUTE(SUBSTITUTE(BM522,"b","a"),"c","a"),"d","a"),"e","a"),"f","a"),"g","a"),"h","a"),"i","a"),"j","a"),"k","a"),"l","a"),"m","a"),"n","a"),"o","a"),"p","a"),"q","a"),"r","a"),"s","a"),"t","a"),"u","a"),"v","a"),"w","a"),"x","a"),"y","a"),"z","a")</f>
        <v/>
      </c>
      <c r="BO522" s="61" t="str">
        <f aca="false">SUBSTITUTE(SUBSTITUTE(SUBSTITUTE(SUBSTITUTE(SUBSTITUTE(SUBSTITUTE(SUBSTITUTE(SUBSTITUTE(SUBSTITUTE(LOWER(W522&amp;""),"1","0"),"2","0"),"3","0"),"4","0"),"5","0"),"6","0"),"7","0"),"8","0"),"9","0")</f>
        <v/>
      </c>
      <c r="BP522" s="61" t="str">
        <f aca="false">SUBSTITUTE(SUBSTITUTE(SUBSTITUTE(SUBSTITUTE(SUBSTITUTE(SUBSTITUTE(SUBSTITUTE(SUBSTITUTE(SUBSTITUTE(SUBSTITUTE(SUBSTITUTE(SUBSTITUTE(SUBSTITUTE(SUBSTITUTE(SUBSTITUTE(SUBSTITUTE(SUBSTITUTE(SUBSTITUTE(SUBSTITUTE(SUBSTITUTE(SUBSTITUTE(SUBSTITUTE(SUBSTITUTE(SUBSTITUTE(SUBSTITUTE(BO522,"b","a"),"c","a"),"d","a"),"e","a"),"f","a"),"g","a"),"h","a"),"i","a"),"j","a"),"k","a"),"l","a"),"m","a"),"n","a"),"o","a"),"p","a"),"q","a"),"r","a"),"s","a"),"t","a"),"u","a"),"v","a"),"w","a"),"x","a"),"y","a"),"z","a")</f>
        <v/>
      </c>
      <c r="BQ522" s="61" t="n">
        <f aca="false">IFERROR(IF(AND(ISERROR(SEARCH(" mh"," "&amp;LOWER(W522))),ISNA(MATCH(LEFT(TRIM(BP522),255),{"0000a","000a","00a","0000aa","000aa","00aa","0aa","0000aaa","000aaa","00a00","0a00","0000-0000","00:00","a00","a0","00.00.0000","00/00/0000","00-00-0000","0000-00-00","0000/00/00","0000.00.00","00.00.00","00/00/00","00-00-00","0.00.0000","0/00/0000","0-00-0000"},0)),ISNA(MATCH(LEFT(TRIM(CA522),255),{"0000a","000a","00a","0000aa","000aa","00aa","0aa","0000aaa","000aaa","00a00","0a00","0000-0000","00:00","a00","a0","00.00.0000","00/00/0000","00-00-0000","0000-00-00","0000/00/00","0000.00.00","00.00.00","00/00/00","00-00-00","0.00.0000","0/00/0000","0-00-0000"},0)),LEN(CB522)&gt;=3,NOT(OR(SUBSTITUTE(CB522,"0","")="",AND(LEN(CB522)&gt;=4,CB522=REPT(LEFT(CB522),LEN(CB522))),ISNUMBER(MATCH(CB522,{"123","1234","12345","123456","1234567","12345678","0123","01234","012345","98765","987654","54321"},0)),AND(LEN(CB522)=8,LEFT(CB522,3)="202"))),OR(AND((LEN(CA522)-LEN(SUBSTITUTE(CA522,"a","")))&gt;=1,SUMPRODUCT(--ISNUMBER(SEARCH({"a0","a-0","a_0","a/0","a.0","a#0","0a","0-a","0_a","0/a"},BP522)))&gt;0),ISNUMBER(SEARCH("000000",BP522)))),1,0),0)</f>
        <v>0</v>
      </c>
      <c r="BR522" s="61" t="n">
        <f aca="false">IFERROR(LEN(SUBSTITUTE(CC522," ",""))-SUMPRODUCT((LEN(CC522)-LEN(SUBSTITUTE(CC522," "&amp;L_Role&amp;" "," ")))/(LEN(L_Role)+1)*LEN(L_Role)),0)</f>
        <v>0</v>
      </c>
      <c r="BS522" s="61" t="n">
        <f aca="false">IFERROR(LEN(SUBSTITUTE(CD522," ",""))-SUMPRODUCT((LEN(CD522)-LEN(SUBSTITUTE(CD522," "&amp;L_Role&amp;" "," ")))/(LEN(L_Role)+1)*LEN(L_Role)),0)</f>
        <v>0</v>
      </c>
      <c r="BT5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522,"revision",""),"version",""),"jan",""),"feb",""),"mar",""),"apr",""),"may",""),"jun",""),"jul",""),"aug",""),"sep",""),"oct",""),"nov",""),"dec",""),"utc",""),"gmt",""),"myt",""),"bst",""),"rev",""),"ver",""),"b","a"),"c","a"),"d","a"),"e","a"),"f","a"),"g","a"),"h","a"),"i","a"),"j","a"),"k","a"),"l","a"),"m","a"),"n","a"),"o","a"),"p","a"),"q","a"),"r","a"),"s","a"),"t","a"),"u","a"),"v","a"),"w","a"),"x","a"),"y","a"),"z","a")</f>
        <v/>
      </c>
      <c r="BU522" s="61" t="str">
        <f aca="false">SUBSTITUTE(SUBSTITUTE(SUBSTITUTE(SUBSTITUTE(SUBSTITUTE(SUBSTITUTE(SUBSTITUTE(SUBSTITUTE(SUBSTITUTE(SUBSTITUTE(LEFT(BM522,FIND("0",BM522&amp;"0")-1),"-",""),"_",""),"/",""),".",""),"#",""),"\\",""),":","")," ",""),"(",""),")","")</f>
        <v/>
      </c>
      <c r="BV522" s="61" t="n">
        <f aca="false">0</f>
        <v>0</v>
      </c>
      <c r="BW5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522&amp;""),"a",""),"b",""),"c",""),"d",""),"e",""),"f",""),"g",""),"h",""),"i",""),"j",""),"k",""),"l",""),"m",""),"n",""),"o",""),"p",""),"q",""),"r",""),"s",""),"t",""),"u",""),"v",""),"w",""),"x",""),"y",""),"z",""),"-",""),"_",""),"/",""),".",""),"#",""),"\\",""),":","")," ",""),"(",""),")","")</f>
        <v/>
      </c>
      <c r="BX522" s="61" t="str">
        <f aca="false">SUBSTITUTE(SUBSTITUTE(SUBSTITUTE(SUBSTITUTE(SUBSTITUTE(SUBSTITUTE(SUBSTITUTE(SUBSTITUTE(SUBSTITUTE(SUBSTITUTE(SUBSTITUTE(BM522,"0",""),"-",""),"_",""),"/",""),".",""),"#",""),"\\",""),":","")," ",""),"(",""),")","")</f>
        <v/>
      </c>
      <c r="BY522" s="62" t="n">
        <f aca="false">Q522-T12EarlyH/24</f>
        <v>46320.0486111111</v>
      </c>
      <c r="BZ522" s="61" t="n">
        <f aca="false">IFERROR(IF(IF(TRIM(S522)="Link / file path",AND(LEN(TRIM(Z522))&gt;=5,SUMPRODUCT(--ISNUMBER(SEARCH({"http","www.","\\",":\",".pdf",".jpg",".jpeg",".png",".heic",".xls",".doc",".msg",".eml",".ppt",".txt",".zip"},Z522)))&gt;0),AND(ISERROR(FIND(" ",TRIM(Z522))),NOT(OR(SUMPRODUCT(--ISNUMBER(FIND({",",";","&amp;","+"},Z522)))&gt;0,SUMPRODUCT(--ISNUMBER(SEARCH({"0/aa","0\\aa"},BN522)))&gt;0)),NOT(SUMPRODUCT(--ISNUMBER(SEARCH({"http","www.","\\",":\",".pdf",".jpg",".jpeg",".png",".heic",".xls",".doc",".msg",".eml",".ppt",".txt",".zip"},Z522)))&gt;0),NOT(LOWER(TRIM(Z522))=LOWER(Flights!$F$20)),ISNA(MATCH(BU522,{"mh","rev","revision","ver","version","v","r","a","b","seat","tray","row","gate","bay","stand","page","pg","item","line","no","cart","galley","flight","flt","table","box","bag","oven","etd","eta","std","sta","atd","ata","qty","pax","x","time","tel","ph","mob","day","wk","week","utc","gmt","myt","lt"},0)),NOT(OR(ISNUMBER(MATCH(LEFT(BN522,255),{"0000a","000a","00a","0000aa","000aa","00aa","0aa","0000aaa","000aaa","00a00","0a00","0000-0000","00:00","a00","a0","00.00.0000","00/00/0000","00-00-0000","0000-00-00","0000/00/00","0000.00.00","00.00.00","00/00/00","00-00-00","0.00.0000","0/00/0000","0-00-0000"},0)),ISNUMBER(MATCH(LEFT(BT522,255),{"0000a","000a","00a","0000aa","000aa","00aa","0aa","0000aaa","000aaa","00a00","0a00","0000-0000","00:00","a00","a0","00.00.0000","00/00/0000","00-00-0000","0000-00-00","0000/00/00","0000.00.00","00.00.00","00/00/00","00-00-00","0.00.0000","0/00/0000","0-00-0000"},0)))),NOT(OR(AND(BW522&lt;&gt;"",SUBSTITUTE(BW522,"0","")=""),AND(LEN(BW522)&gt;=4,BW522=REPT(LEFT(BW522),LEN(BW522))),ISNUMBER(MATCH(BW522,{"123","1234","12345","123456","1234567","12345678","0123","01234","012345","98765","987654","54321"},0)),ISNUMBER(MATCH(BX522,{"x","xx","xxx","xxxx","xxxxx","abc","abcd","nil","na","nan","test","tbc","tba","tbd","dummy","sample","example","eg","zz","zzz","none","null","xyz","qwe","asd","id","ref"},0)),AND(LEN(BW522)=8,BX522="",OR(LEFT(BW522,3)="202",ISNUMBER(MATCH(RIGHT(BW522,4),{"2025","2026","2027"},0)))))),OR(AND((LEN(BT522)-LEN(SUBSTITUTE(BT522,"a","")))&gt;=1,(LEN(BN522)-LEN(SUBSTITUTE(BN522,"0","")))&gt;=2,SUMPRODUCT(--ISNUMBER(SEARCH({"a0","a-0","a_0","a/0","a.0","a#0","0a","0-a","0_a","0/a"},BN522)))&gt;0),AND((LEN(BN522)-LEN(SUBSTITUTE(BN522,"a","")))=0,(LEN(BN522)-LEN(SUBSTITUTE(BN522,"0","")))&gt;=5)))),1,0),0)</f>
        <v>0</v>
      </c>
      <c r="CA5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522,"revision",""),"version",""),"jan",""),"feb",""),"mar",""),"apr",""),"may",""),"jun",""),"jul",""),"aug",""),"sep",""),"oct",""),"nov",""),"dec",""),"utc",""),"gmt",""),"myt",""),"bst",""),"rev",""),"ver",""),"b","a"),"c","a"),"d","a"),"e","a"),"f","a"),"g","a"),"h","a"),"i","a"),"j","a"),"k","a"),"l","a"),"m","a"),"n","a"),"o","a"),"p","a"),"q","a"),"r","a"),"s","a"),"t","a"),"u","a"),"v","a"),"w","a"),"x","a"),"y","a"),"z","a")</f>
        <v/>
      </c>
      <c r="CB5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522&amp;""),"a",""),"b",""),"c",""),"d",""),"e",""),"f",""),"g",""),"h",""),"i",""),"j",""),"k",""),"l",""),"m",""),"n",""),"o",""),"p",""),"q",""),"r",""),"s",""),"t",""),"u",""),"v",""),"w",""),"x",""),"y",""),"z",""),"-",""),"_",""),"/",""),".",""),"#",""),"\\",""),":","")," ",""),"(",""),")","")</f>
        <v/>
      </c>
      <c r="CC522" s="0" t="str">
        <f aca="false">" "&amp;TRIM(SUBSTITUTE(SUBSTITUTE(SUBSTITUTE(SUBSTITUTE(SUBSTITUTE(SUBSTITUTE(SUBSTITUTE(SUBSTITUTE(SUBSTITUTE(SUBSTITUTE(SUBSTITUTE(SUBSTITUTE(SUBSTITUTE(SUBSTITUTE(SUBSTITUTE(SUBSTITUTE(SUBSTITUTE(SUBSTITUTE(SUBSTITUTE(SUBSTITUTE(SUBSTITUTE(SUBSTITUTE(SUBSTITUTE(SUBSTITUTE(LOWER(T522&amp;""),CHAR(10)," "),CHAR(13)," "),CHAR(9)," "),CHAR(160)," "),"."," "),","," "),"-"," "),"/"," "),"("," "),")"," "),":"," "),";"," "),"_"," "),"–"," "),"?"," "),"!"," "),"*"," "),"["," "),"]"," "),"'"," "),"#"," "),"+"," "),"&amp;"," "),"\"," "))&amp;" "</f>
        <v>  </v>
      </c>
      <c r="CD522" s="0" t="str">
        <f aca="false">" "&amp;TRIM(SUBSTITUTE(SUBSTITUTE(SUBSTITUTE(SUBSTITUTE(SUBSTITUTE(SUBSTITUTE(SUBSTITUTE(SUBSTITUTE(SUBSTITUTE(SUBSTITUTE(SUBSTITUTE(SUBSTITUTE(SUBSTITUTE(SUBSTITUTE(SUBSTITUTE(SUBSTITUTE(SUBSTITUTE(SUBSTITUTE(SUBSTITUTE(SUBSTITUTE(SUBSTITUTE(SUBSTITUTE(SUBSTITUTE(SUBSTITUTE(LOWER(AE522&amp;""),CHAR(10)," "),CHAR(13)," "),CHAR(9)," "),CHAR(160)," "),"."," "),","," "),"-"," "),"/"," "),"("," "),")"," "),":"," "),";"," "),"_"," "),"–"," "),"?"," "),"!"," "),"*"," "),"["," "),"]"," "),"'"," "),"#"," "),"+"," "),"&amp;"," "),"\"," "))&amp;" "</f>
        <v>  </v>
      </c>
      <c r="CE522" s="68" t="n">
        <f aca="false">IFERROR(IF(AND(LEN(AU522)&gt;0,LEN(AU522)=LEN(AX522),OR(TRIM(MID(SUBSTITUTE(TRIM(CC522)," ",REPT(" ",60)),1,60))="",ISNUMBER(SEARCH(" "&amp;TRIM(MID(SUBSTITUTE(TRIM(CC522)," ",REPT(" ",60)),1,60))&amp;" ",CD522))),OR(TRIM(MID(SUBSTITUTE(TRIM(CC522)," ",REPT(" ",60)),61,60))="",ISNUMBER(SEARCH(" "&amp;TRIM(MID(SUBSTITUTE(TRIM(CC522)," ",REPT(" ",60)),61,60))&amp;" ",CD522))),OR(TRIM(MID(SUBSTITUTE(TRIM(CC522)," ",REPT(" ",60)),121,60))="",ISNUMBER(SEARCH(" "&amp;TRIM(MID(SUBSTITUTE(TRIM(CC522)," ",REPT(" ",60)),121,60))&amp;" ",CD522)))),1,0),0)</f>
        <v>0</v>
      </c>
      <c r="CG522" s="68" t="n">
        <f aca="false">IFERROR(LEN(SUBSTITUTE(BF522," ",""))-SUMPRODUCT((LEN(BF522)-LEN(SUBSTITUTE(BF522," "&amp;L_NAFiller&amp;" "," ")))/(LEN(L_NAFiller)+1)*LEN(L_NAFiller)),0)</f>
        <v>0</v>
      </c>
    </row>
    <row r="523" customFormat="false" ht="41.25" hidden="false" customHeight="true" outlineLevel="0" collapsed="false">
      <c r="A523" s="57" t="s">
        <v>1180</v>
      </c>
      <c r="B523" s="57" t="s">
        <v>280</v>
      </c>
      <c r="C523" s="57" t="str">
        <f aca="false">Flights!$F$20</f>
        <v>MH0072</v>
      </c>
      <c r="D523" s="58" t="n">
        <f aca="false">Flights!$D$20</f>
        <v>46321</v>
      </c>
      <c r="E523" s="57" t="str">
        <f aca="false">Flights!$G$20&amp;"-"&amp;Flights!$H$20</f>
        <v>KUL-HKG</v>
      </c>
      <c r="F523" s="57" t="str">
        <f aca="false">Flights!$K$20</f>
        <v>EY</v>
      </c>
      <c r="G523" s="57" t="s">
        <v>420</v>
      </c>
      <c r="H523" s="57" t="s">
        <v>378</v>
      </c>
      <c r="I523" s="57" t="s">
        <v>447</v>
      </c>
      <c r="J523" s="57" t="s">
        <v>448</v>
      </c>
      <c r="K523" s="67" t="s">
        <v>449</v>
      </c>
      <c r="L523" s="67" t="s">
        <v>1181</v>
      </c>
      <c r="M523" s="67" t="s">
        <v>451</v>
      </c>
      <c r="N523" s="67" t="s">
        <v>383</v>
      </c>
      <c r="O523" s="67" t="s">
        <v>503</v>
      </c>
      <c r="P523" s="57" t="s">
        <v>187</v>
      </c>
      <c r="Q523" s="59" t="n">
        <f aca="false">ROUND((Flights!$AE$20)*1440,0)/1440</f>
        <v>46320.5486111111</v>
      </c>
      <c r="R523" s="59" t="n">
        <f aca="false">Q523+(IF(AND(INDEX(TZ_DSTS,MATCH(P523,TZ_STN,0))&lt;&gt;"",Q523&gt;=INDEX(TZ_DSTS,MATCH(P523,TZ_STN,0)),Q523&lt;INDEX(TZ_DSTE,MATCH(P523,TZ_STN,0))),INDEX(TZ_DST,MATCH(P523,TZ_STN,0)),INDEX(TZ_STD,MATCH(P523,TZ_STN,0))))/24</f>
        <v>46320.8819444444</v>
      </c>
      <c r="S523" s="60"/>
      <c r="T523" s="60"/>
      <c r="U523" s="60"/>
      <c r="V523" s="60"/>
      <c r="W523" s="61"/>
      <c r="X523" s="60"/>
      <c r="Y523" s="60"/>
      <c r="Z523" s="60"/>
      <c r="AA523" s="60"/>
      <c r="AB523" s="60"/>
      <c r="AC523" s="60"/>
      <c r="AD523" s="66"/>
      <c r="AE523" s="60"/>
      <c r="AF523" s="61" t="str">
        <f aca="false">IF(AND(ISNUMBER(X523),ISNUMBER(Y523)),Y523-X523,"")</f>
        <v/>
      </c>
      <c r="AG523" s="62" t="str">
        <f aca="false">IF(ISNUMBER(AD523),AD523-(IF(AND(INDEX(TZ_DSTS,MATCH(P523,TZ_STN,0))&lt;&gt;"",(AD523-INDEX(TZ_STD,MATCH(P523,TZ_STN,0))/24)&gt;=INDEX(TZ_DSTS,MATCH(P523,TZ_STN,0)),(AD523-INDEX(TZ_STD,MATCH(P523,TZ_STN,0))/24)&lt;INDEX(TZ_DSTE,MATCH(P523,TZ_STN,0))),INDEX(TZ_DST,MATCH(P523,TZ_STN,0)),INDEX(TZ_STD,MATCH(P523,TZ_STN,0))))/24,"")</f>
        <v/>
      </c>
      <c r="AH523" s="65" t="str">
        <f aca="false">IFERROR(IF(N523="N/A – rule",IF(OR(TRIM(U523)="",TRIM(U523)="N/A",TRIM(U523)="Not started"),"N/A – RULE","INVALID – this check does not apply to this aircraft: clear the status (or correct the fleet on Flights)"),IF(TRIM(U523)="N/A",IF(AT523=0,"INVALID – N/A not permitted for this check",IF(AND(TRIM(AB523)&lt;&gt;"",TRIM(AB523)&lt;&gt;"Closed"),"INVALID – corrective action still open",IF(AND(NOT(OR(LEN(AZ523)&lt;15,ISNUMBER(MATCH(AZ523,L_Placeholder,0)))),BK523=0,CG523&gt;=8,NOT(OR(LEN(AU523)&lt;2,ISNUMBER(MATCH(AU523,L_Placeholder,0)))),BR523&gt;=3,NOT(OR(LEN(AX523)&lt;2,ISNUMBER(MATCH(AX523,L_Placeholder,0)))),BS523&gt;=3,TRIM(AE523)&lt;&gt;TRIM(T523),AX523&lt;&gt;AU523,CE523=0),"N/A – JUSTIFIED","INVALID – N/A needs a real, settled reason (not 'not applicable' / 'as above' / TBC), a named PIC and a different named verifier"))),IF(OR(TRIM(U523)="Pass",TRIM(U523)="Pass after CA"),IF(NOT(ISNUMBER(AD523)),"INVALID – completion time missing",IF(OR(OR(LEN(AU523)&lt;2,ISNUMBER(MATCH(AU523,L_Placeholder,0))),BR523&lt;3),"INVALID – PIC missing or not a named person (a role such as QA / CSM is not a name)",IF(OR(LEN(AV523)&lt;2,ISNUMBER(MATCH(AV523,L_Placeholder,0))),"INVALID – result / assessment missing",IF(OR(OR(LEN(AW523)&lt;3,ISNUMBER(MATCH(AW523,L_Placeholder,0))),SUMPRODUCT(--ISNUMBER(SEARCH(" "&amp;L_EvidencePhrase&amp;" ",BD523)))&gt;0,BI523=1),"INVALID – evidence missing, placeholder or not yet on file",IF(ISNA(MATCH(TRIM(S523),L_EvidenceType,0)),"INVALID – choose the evidence type from the list (column S)",IF(BL523=0,"INVALID – evidence ID must be the record's own ID only (e.g. SF-2210, IMG_2231, 1045521); a link / file name needs type 'Link / file path'",IF(OR(OR(LEN(AX523)&lt;2,ISNUMBER(MATCH(AX523,L_Placeholder,0))),BS523&lt;3),"INVALID – verifier missing or not a named person (a role such as QA / CSM is not a name)",IF(OR(AX523=AU523,CE523=1,AND(LEN(AU523)&gt;=4,ISNUMBER(SEARCH(AU523,AX523))),AND(LEN(AX523)&gt;=4,ISNUMBER(SEARCH(AX523,AU523)))),"INVALID – verifier must be a different, named person (not the PIC or a role)",IF(BH523=1,"INVALID – result not yet available (awaiting / TBC)",IF(BG523=1,"INVALID – result describes a problem: record Fail, then Pass after CA (or reword if it is not a problem)",IF(BV523=1,"INVALID – wording says not on board: an on-board confirmation needs the item loaded",IF(AND(AQ523=1,OR(OR(LEN(AY523)&lt;3,ISNUMBER(MATCH(AY523,L_Placeholder,0))),BJ523=1,BQ523=0)),"INVALID – batch ID missing, placeholder or not an ID (e.g. PASB-261008-BC-017)",IF(AND(AR523=1,OR(NOT(ISNUMBER(X523)),NOT(ISNUMBER(Y523)))),"INVALID – expected/actual qty missing",IF(AND(AR523=1,OR(X523&lt;=0,Y523&lt;0)),"INVALID – expected qty must be above 0 and actual not negative",IF(BB523&lt;&gt;"",BB523,IF(AND(AS523=1,Documents!$J$20&lt;&gt;"ON FILE"),"INVALID – GLD not on file (Documents sheet)",IF(AND(AS523=2,Documents!$O$20&lt;&gt;"ON FILE"),"INVALID – menu checklist not on file (Documents sheet)",IF(AND(AS523=3,NOT(ISNUMBER(Flights!$AX$20))),"INVALID – enter carrying flight KUL departure (Flights AX)",IF(AND(AS523=3,OR(Flights!$AZ$20&gt;Flights!$AA$20,Flights!$AX$20&lt;Flights!$AA$20-3)),"INVALID – carrying flight (Flights AX) cannot arrive before this leg's STD, or is over 3 days early",IF(AG523&gt;AsOfUTC,"INVALID – completion time is in the future",IF(AND(ISNUMBER(BY523),AG523&lt;BY523),IF(H523="Physical uplift","INVALID – before uplift window (cannot confirm loading)","INVALID – before valid window"),IF(AG523&gt;Flights!$AA$20,"INVALID – completed after departure (cannot establish readiness)",IF(AND(H523="Preparation",AG523&gt;=IF(ISNUMBER(Flights!$BA$20),MIN(Flights!$BA$20,Flights!$AA$20),Flights!$AA$20)),"INVALID – completed after loading / departure (cannot establish readiness)",IF(AND(H523="Physical uplift",AG523&gt;Q523),"INVALID – recorded after the loading flight departed",IF(AG523&gt;Q523,"COMPLETE – LATE","COMPLETE"))))))))))))))))))))))))),IF(TRIM(U523)="Fail","FAIL – DISCREPANCY",IF(AND(TRIM(U523)&lt;&gt;"",TRIM(U523)&lt;&gt;"Not started",TRIM(U523)&lt;&gt;"In progress"),"INVALID – unrecognised status (use the list)",IF(AsOfUTC&gt;Q523,"OVERDUE",IF(N523="Clarification required","OPEN – CLARIFICATION","OPEN"))))))),"INVALID – error value in an input cell")</f>
        <v>OPEN</v>
      </c>
      <c r="AI523" s="61" t="n">
        <f aca="false">IF(OR(AH523="N/A – RULE",AH523="N/A – JUSTIFIED"),0,1)</f>
        <v>1</v>
      </c>
      <c r="AJ523" s="61" t="n">
        <f aca="false">IF(LEFT(AH523,8)="COMPLETE",1,0)</f>
        <v>0</v>
      </c>
      <c r="AK523" s="61" t="n">
        <f aca="false">IF(AND(AI523=1,AJ523=0,AsOfUTC&gt;Q523),1,0)</f>
        <v>0</v>
      </c>
      <c r="AL523" s="61" t="n">
        <f aca="false">IFERROR(IF(AND(AI523=1,OR(TRIM(U523)="Fail",AND(TRIM(AB523)&lt;&gt;"",TRIM(AB523)&lt;&gt;"Closed"),AND(ISNUMBER(AF523),AF523&lt;&gt;0,TRIM(U523)&lt;&gt;"Pass after CA"))),1,0),1)</f>
        <v>0</v>
      </c>
      <c r="AM523" s="61" t="n">
        <f aca="false">IF(LEFT(AH523,7)="INVALID",1,0)</f>
        <v>0</v>
      </c>
      <c r="AN523" s="61" t="n">
        <f aca="false">IF(AND(N523="Clarification required",AI523=1,AJ523=0),1,0)</f>
        <v>0</v>
      </c>
      <c r="AO523" s="61" t="str">
        <f aca="false">IF(AK523=1,SUM(AK$5:AK523),"")</f>
        <v/>
      </c>
      <c r="AP523" s="61" t="str">
        <f aca="false">IF(AL523=1,SUM(AL$5:AL523),"")</f>
        <v/>
      </c>
      <c r="AQ523" s="61" t="n">
        <v>0</v>
      </c>
      <c r="AR523" s="61" t="n">
        <v>0</v>
      </c>
      <c r="AS523" s="61" t="n">
        <v>0</v>
      </c>
      <c r="AT523" s="61" t="n">
        <v>0</v>
      </c>
      <c r="AU523" s="61" t="str">
        <f aca="false">SUBSTITUTE(SUBSTITUTE(SUBSTITUTE(SUBSTITUTE(SUBSTITUTE(SUBSTITUTE(SUBSTITUTE(SUBSTITUTE(SUBSTITUTE(SUBSTITUTE(SUBSTITUTE(SUBSTITUTE(SUBSTITUTE(SUBSTITUTE(SUBSTITUTE(SUBSTITUTE(LOWER(T523&amp;""),CHAR(10),""),CHAR(13),""),CHAR(9),""),CHAR(160),"")," ",""),".",""),"-",""),"/",""),"?",""),"_",""),",",""),"[",""),"]",""),"(",""),")",""),"*","")</f>
        <v/>
      </c>
      <c r="AV523" s="61" t="str">
        <f aca="false">SUBSTITUTE(SUBSTITUTE(SUBSTITUTE(SUBSTITUTE(SUBSTITUTE(SUBSTITUTE(SUBSTITUTE(SUBSTITUTE(SUBSTITUTE(SUBSTITUTE(SUBSTITUTE(SUBSTITUTE(SUBSTITUTE(SUBSTITUTE(SUBSTITUTE(SUBSTITUTE(LOWER(V523&amp;""),CHAR(10),""),CHAR(13),""),CHAR(9),""),CHAR(160),"")," ",""),".",""),"-",""),"/",""),"?",""),"_",""),",",""),"[",""),"]",""),"(",""),")",""),"*","")</f>
        <v/>
      </c>
      <c r="AW523" s="61" t="str">
        <f aca="false">SUBSTITUTE(SUBSTITUTE(SUBSTITUTE(SUBSTITUTE(SUBSTITUTE(SUBSTITUTE(SUBSTITUTE(SUBSTITUTE(SUBSTITUTE(SUBSTITUTE(SUBSTITUTE(SUBSTITUTE(SUBSTITUTE(SUBSTITUTE(SUBSTITUTE(SUBSTITUTE(LOWER(Z523&amp;""),CHAR(10),""),CHAR(13),""),CHAR(9),""),CHAR(160),"")," ",""),".",""),"-",""),"/",""),"?",""),"_",""),",",""),"[",""),"]",""),"(",""),")",""),"*","")</f>
        <v/>
      </c>
      <c r="AX523" s="61" t="str">
        <f aca="false">SUBSTITUTE(SUBSTITUTE(SUBSTITUTE(SUBSTITUTE(SUBSTITUTE(SUBSTITUTE(SUBSTITUTE(SUBSTITUTE(SUBSTITUTE(SUBSTITUTE(SUBSTITUTE(SUBSTITUTE(SUBSTITUTE(SUBSTITUTE(SUBSTITUTE(SUBSTITUTE(LOWER(AE523&amp;""),CHAR(10),""),CHAR(13),""),CHAR(9),""),CHAR(160),"")," ",""),".",""),"-",""),"/",""),"?",""),"_",""),",",""),"[",""),"]",""),"(",""),")",""),"*","")</f>
        <v/>
      </c>
      <c r="AY523" s="61" t="str">
        <f aca="false">SUBSTITUTE(SUBSTITUTE(SUBSTITUTE(SUBSTITUTE(SUBSTITUTE(SUBSTITUTE(SUBSTITUTE(SUBSTITUTE(SUBSTITUTE(SUBSTITUTE(SUBSTITUTE(SUBSTITUTE(SUBSTITUTE(SUBSTITUTE(SUBSTITUTE(SUBSTITUTE(LOWER(W523&amp;""),CHAR(10),""),CHAR(13),""),CHAR(9),""),CHAR(160),"")," ",""),".",""),"-",""),"/",""),"?",""),"_",""),",",""),"[",""),"]",""),"(",""),")",""),"*","")</f>
        <v/>
      </c>
      <c r="AZ523" s="61" t="str">
        <f aca="false">SUBSTITUTE(SUBSTITUTE(SUBSTITUTE(SUBSTITUTE(SUBSTITUTE(SUBSTITUTE(SUBSTITUTE(SUBSTITUTE(SUBSTITUTE(SUBSTITUTE(SUBSTITUTE(SUBSTITUTE(SUBSTITUTE(SUBSTITUTE(SUBSTITUTE(SUBSTITUTE(LOWER(AC523&amp;""),CHAR(10),""),CHAR(13),""),CHAR(9),""),CHAR(160),"")," ",""),".",""),"-",""),"/",""),"?",""),"_",""),",",""),"[",""),"]",""),"(",""),")",""),"*","")</f>
        <v/>
      </c>
      <c r="BA523" s="61" t="str">
        <f aca="false">SUBSTITUTE(SUBSTITUTE(SUBSTITUTE(SUBSTITUTE(SUBSTITUTE(SUBSTITUTE(SUBSTITUTE(SUBSTITUTE(SUBSTITUTE(SUBSTITUTE(SUBSTITUTE(SUBSTITUTE(SUBSTITUTE(SUBSTITUTE(SUBSTITUTE(SUBSTITUTE(LOWER(AA523&amp;""),CHAR(10),""),CHAR(13),""),CHAR(9),""),CHAR(160),"")," ",""),".",""),"-",""),"/",""),"?",""),"_",""),",",""),"[",""),"]",""),"(",""),")",""),"*","")</f>
        <v/>
      </c>
      <c r="BB523" s="61" t="str">
        <f aca="false">IF(AND(TRIM(U523)="Pass",ISNUMBER(AF523)),IF(AF523&lt;&gt;0,"INVALID – qty variance: use Fail or Pass after CA",""),"")&amp;IF(AND(TRIM(U523)="Pass after CA",ISNUMBER(AF523)),IF(AF523&lt;&gt;0,"INVALID – after the corrective action the actual qty must equal expected (update Actual)",""),"")&amp;IF(AND(TRIM(U523)="Pass",TRIM(AB523)&lt;&gt;"",TRIM(AB523)&lt;&gt;"Closed"),"INVALID – corrective action not closed: use Fail, then Pass after CA","")&amp;IF(AND(LEN(BA523)&gt;=2,ISNA(MATCH(LEFT(BA523,255),L_Placeholder,0)),TRIM(AB523)=""),"INVALID – CA status missing for the recorded corrective action","")&amp;IF(AND(TRIM(U523)="Pass after CA",OR(OR(LEN(BA523)&lt;5,ISNUMBER(MATCH(BA523,L_Placeholder,0))),TRIM(AB523)&lt;&gt;"Closed")),"INVALID – corrective action not recorded/closed","")</f>
        <v/>
      </c>
      <c r="BC523" s="61" t="str">
        <f aca="false">" "&amp;TRIM(SUBSTITUTE(SUBSTITUTE(SUBSTITUTE(SUBSTITUTE(SUBSTITUTE(SUBSTITUTE(SUBSTITUTE(SUBSTITUTE(SUBSTITUTE(SUBSTITUTE(SUBSTITUTE(SUBSTITUTE(SUBSTITUTE(SUBSTITUTE(SUBSTITUTE(SUBSTITUTE(SUBSTITUTE(SUBSTITUTE(SUBSTITUTE(SUBSTITUTE(SUBSTITUTE(SUBSTITUTE(SUBSTITUTE(SUBSTITUTE(LOWER(V523&amp;""),CHAR(10)," "),CHAR(13)," "),CHAR(9)," "),CHAR(160)," "),"."," "),","," "),"-"," "),"/"," "),"("," "),")"," "),":"," "),";"," "),"_"," "),"–"," "),"?"," "),"!"," "),"*"," "),"["," "),"]"," "),"'"," "),"#"," "),"+"," "),"&amp;"," "),"\"," "))&amp;" "</f>
        <v>  </v>
      </c>
      <c r="BD523" s="61" t="str">
        <f aca="false">" "&amp;TRIM(SUBSTITUTE(SUBSTITUTE(SUBSTITUTE(SUBSTITUTE(SUBSTITUTE(SUBSTITUTE(SUBSTITUTE(SUBSTITUTE(SUBSTITUTE(SUBSTITUTE(SUBSTITUTE(SUBSTITUTE(SUBSTITUTE(SUBSTITUTE(SUBSTITUTE(SUBSTITUTE(SUBSTITUTE(SUBSTITUTE(SUBSTITUTE(SUBSTITUTE(SUBSTITUTE(SUBSTITUTE(SUBSTITUTE(SUBSTITUTE(LOWER(Z523&amp;""),CHAR(10)," "),CHAR(13)," "),CHAR(9)," "),CHAR(160)," "),"."," "),","," "),"-"," "),"/"," "),"("," "),")"," "),":"," "),";"," "),"_"," "),"–"," "),"?"," "),"!"," "),"*"," "),"["," "),"]"," "),"'"," "),"#"," "),"+"," "),"&amp;"," "),"\"," "))&amp;" "</f>
        <v>  </v>
      </c>
      <c r="BE523" s="61" t="str">
        <f aca="false">" "&amp;TRIM(SUBSTITUTE(SUBSTITUTE(SUBSTITUTE(SUBSTITUTE(SUBSTITUTE(SUBSTITUTE(SUBSTITUTE(SUBSTITUTE(SUBSTITUTE(SUBSTITUTE(SUBSTITUTE(SUBSTITUTE(SUBSTITUTE(SUBSTITUTE(SUBSTITUTE(SUBSTITUTE(SUBSTITUTE(SUBSTITUTE(SUBSTITUTE(SUBSTITUTE(SUBSTITUTE(SUBSTITUTE(SUBSTITUTE(SUBSTITUTE(LOWER(W523&amp;""),CHAR(10)," "),CHAR(13)," "),CHAR(9)," "),CHAR(160)," "),"."," "),","," "),"-"," "),"/"," "),"("," "),")"," "),":"," "),";"," "),"_"," "),"–"," "),"?"," "),"!"," "),"*"," "),"["," "),"]"," "),"'"," "),"#"," "),"+"," "),"&amp;"," "),"\"," "))&amp;" "</f>
        <v>  </v>
      </c>
      <c r="BF523" s="61" t="str">
        <f aca="false">" "&amp;TRIM(SUBSTITUTE(SUBSTITUTE(SUBSTITUTE(SUBSTITUTE(SUBSTITUTE(SUBSTITUTE(SUBSTITUTE(SUBSTITUTE(SUBSTITUTE(SUBSTITUTE(SUBSTITUTE(SUBSTITUTE(SUBSTITUTE(SUBSTITUTE(SUBSTITUTE(SUBSTITUTE(SUBSTITUTE(SUBSTITUTE(SUBSTITUTE(SUBSTITUTE(SUBSTITUTE(SUBSTITUTE(SUBSTITUTE(SUBSTITUTE(LOWER(AC523&amp;""),CHAR(10)," "),CHAR(13)," "),CHAR(9)," "),CHAR(160)," "),"."," "),","," "),"-"," "),"/"," "),"("," "),")"," "),":"," "),";"," "),"_"," "),"–"," "),"?"," "),"!"," "),"*"," "),"["," "),"]"," "),"'"," "),"#"," "),"+"," "),"&amp;"," "),"\"," "))&amp;" "</f>
        <v>  </v>
      </c>
      <c r="BG523" s="61" t="n">
        <f aca="false">IFERROR(IF(AND(TRIM(U523)="Pass",SUMPRODUCT((LEN(BC523)-LEN(SUBSTITUTE(BC523," "&amp;L_ResultBad&amp;" "," ")))/(LEN(L_ResultBad)+1))&gt;SUMPRODUCT((LEN(BC523)-LEN(SUBSTITUTE(BC523," "&amp;L_NegPhrase&amp;" "," ")))/(LEN(L_NegPhrase)+1))),1,0),0)</f>
        <v>0</v>
      </c>
      <c r="BH523" s="61" t="n">
        <f aca="false">IFERROR(IF(SUMPRODUCT((LEN(BC523)-LEN(SUBSTITUTE(BC523," "&amp;L_Pending&amp;" "," ")))/(LEN(L_Pending)+1))&gt;SUMPRODUCT((LEN(BC523)-LEN(SUBSTITUTE(BC523," "&amp;L_PendNeg&amp;" "," ")))/(LEN(L_PendNeg)+1))+SUMPRODUCT((LEN(BC523)-LEN(SUBSTITUTE(BC523," "&amp;L_PendPrep&amp;" "," ")))/(LEN(L_PendPrep)+1)),1,0),1)</f>
        <v>0</v>
      </c>
      <c r="BI523" s="61" t="n">
        <f aca="false">IFERROR(IF(SUMPRODUCT((LEN(BD523)-LEN(SUBSTITUTE(BD523," "&amp;L_PendStrict&amp;" "," ")))/(LEN(L_PendStrict)+1))&gt;SUMPRODUCT((LEN(BD523)-LEN(SUBSTITUTE(BD523," "&amp;L_PendNeg&amp;" "," ")))/(LEN(L_PendNeg)+1)),1,0),1)</f>
        <v>0</v>
      </c>
      <c r="BJ523" s="61" t="n">
        <f aca="false">IFERROR(IF(SUMPRODUCT((LEN(BE523)-LEN(SUBSTITUTE(BE523," "&amp;L_Pending&amp;" "," ")))/(LEN(L_Pending)+1))&gt;SUMPRODUCT((LEN(BE523)-LEN(SUBSTITUTE(BE523," "&amp;L_PendNeg&amp;" "," ")))/(LEN(L_PendNeg)+1))+SUMPRODUCT((LEN(BE523)-LEN(SUBSTITUTE(BE523," "&amp;L_PendPrep&amp;" "," ")))/(LEN(L_PendPrep)+1)),1,0),1)</f>
        <v>0</v>
      </c>
      <c r="BK523" s="61" t="n">
        <f aca="false">IFERROR(IF(SUMPRODUCT((LEN(BF523)-LEN(SUBSTITUTE(BF523," "&amp;L_PendStrict&amp;" "," ")))/(LEN(L_PendStrict)+1))&gt;SUMPRODUCT((LEN(BF523)-LEN(SUBSTITUTE(BF523," "&amp;L_PendNeg&amp;" "," ")))/(LEN(L_PendNeg)+1)),1,0),1)</f>
        <v>0</v>
      </c>
      <c r="BL523" s="61" t="n">
        <f aca="false">IF(ISNA(MATCH(TRIM(S523),L_EvidenceType,0)),0,BZ523)</f>
        <v>0</v>
      </c>
      <c r="BM523" s="61" t="str">
        <f aca="false">SUBSTITUTE(SUBSTITUTE(SUBSTITUTE(SUBSTITUTE(SUBSTITUTE(SUBSTITUTE(SUBSTITUTE(SUBSTITUTE(SUBSTITUTE(LOWER(Z523&amp;""),"1","0"),"2","0"),"3","0"),"4","0"),"5","0"),"6","0"),"7","0"),"8","0"),"9","0")</f>
        <v/>
      </c>
      <c r="BN523" s="61" t="str">
        <f aca="false">SUBSTITUTE(SUBSTITUTE(SUBSTITUTE(SUBSTITUTE(SUBSTITUTE(SUBSTITUTE(SUBSTITUTE(SUBSTITUTE(SUBSTITUTE(SUBSTITUTE(SUBSTITUTE(SUBSTITUTE(SUBSTITUTE(SUBSTITUTE(SUBSTITUTE(SUBSTITUTE(SUBSTITUTE(SUBSTITUTE(SUBSTITUTE(SUBSTITUTE(SUBSTITUTE(SUBSTITUTE(SUBSTITUTE(SUBSTITUTE(SUBSTITUTE(BM523,"b","a"),"c","a"),"d","a"),"e","a"),"f","a"),"g","a"),"h","a"),"i","a"),"j","a"),"k","a"),"l","a"),"m","a"),"n","a"),"o","a"),"p","a"),"q","a"),"r","a"),"s","a"),"t","a"),"u","a"),"v","a"),"w","a"),"x","a"),"y","a"),"z","a")</f>
        <v/>
      </c>
      <c r="BO523" s="61" t="str">
        <f aca="false">SUBSTITUTE(SUBSTITUTE(SUBSTITUTE(SUBSTITUTE(SUBSTITUTE(SUBSTITUTE(SUBSTITUTE(SUBSTITUTE(SUBSTITUTE(LOWER(W523&amp;""),"1","0"),"2","0"),"3","0"),"4","0"),"5","0"),"6","0"),"7","0"),"8","0"),"9","0")</f>
        <v/>
      </c>
      <c r="BP523" s="61" t="str">
        <f aca="false">SUBSTITUTE(SUBSTITUTE(SUBSTITUTE(SUBSTITUTE(SUBSTITUTE(SUBSTITUTE(SUBSTITUTE(SUBSTITUTE(SUBSTITUTE(SUBSTITUTE(SUBSTITUTE(SUBSTITUTE(SUBSTITUTE(SUBSTITUTE(SUBSTITUTE(SUBSTITUTE(SUBSTITUTE(SUBSTITUTE(SUBSTITUTE(SUBSTITUTE(SUBSTITUTE(SUBSTITUTE(SUBSTITUTE(SUBSTITUTE(SUBSTITUTE(BO523,"b","a"),"c","a"),"d","a"),"e","a"),"f","a"),"g","a"),"h","a"),"i","a"),"j","a"),"k","a"),"l","a"),"m","a"),"n","a"),"o","a"),"p","a"),"q","a"),"r","a"),"s","a"),"t","a"),"u","a"),"v","a"),"w","a"),"x","a"),"y","a"),"z","a")</f>
        <v/>
      </c>
      <c r="BQ523" s="61" t="n">
        <f aca="false">IFERROR(IF(AND(ISERROR(SEARCH(" mh"," "&amp;LOWER(W523))),ISNA(MATCH(LEFT(TRIM(BP523),255),{"0000a","000a","00a","0000aa","000aa","00aa","0aa","0000aaa","000aaa","00a00","0a00","0000-0000","00:00","a00","a0","00.00.0000","00/00/0000","00-00-0000","0000-00-00","0000/00/00","0000.00.00","00.00.00","00/00/00","00-00-00","0.00.0000","0/00/0000","0-00-0000"},0)),ISNA(MATCH(LEFT(TRIM(CA523),255),{"0000a","000a","00a","0000aa","000aa","00aa","0aa","0000aaa","000aaa","00a00","0a00","0000-0000","00:00","a00","a0","00.00.0000","00/00/0000","00-00-0000","0000-00-00","0000/00/00","0000.00.00","00.00.00","00/00/00","00-00-00","0.00.0000","0/00/0000","0-00-0000"},0)),LEN(CB523)&gt;=3,NOT(OR(SUBSTITUTE(CB523,"0","")="",AND(LEN(CB523)&gt;=4,CB523=REPT(LEFT(CB523),LEN(CB523))),ISNUMBER(MATCH(CB523,{"123","1234","12345","123456","1234567","12345678","0123","01234","012345","98765","987654","54321"},0)),AND(LEN(CB523)=8,LEFT(CB523,3)="202"))),OR(AND((LEN(CA523)-LEN(SUBSTITUTE(CA523,"a","")))&gt;=1,SUMPRODUCT(--ISNUMBER(SEARCH({"a0","a-0","a_0","a/0","a.0","a#0","0a","0-a","0_a","0/a"},BP523)))&gt;0),ISNUMBER(SEARCH("000000",BP523)))),1,0),0)</f>
        <v>0</v>
      </c>
      <c r="BR523" s="61" t="n">
        <f aca="false">IFERROR(LEN(SUBSTITUTE(CC523," ",""))-SUMPRODUCT((LEN(CC523)-LEN(SUBSTITUTE(CC523," "&amp;L_Role&amp;" "," ")))/(LEN(L_Role)+1)*LEN(L_Role)),0)</f>
        <v>0</v>
      </c>
      <c r="BS523" s="61" t="n">
        <f aca="false">IFERROR(LEN(SUBSTITUTE(CD523," ",""))-SUMPRODUCT((LEN(CD523)-LEN(SUBSTITUTE(CD523," "&amp;L_Role&amp;" "," ")))/(LEN(L_Role)+1)*LEN(L_Role)),0)</f>
        <v>0</v>
      </c>
      <c r="BT5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523,"revision",""),"version",""),"jan",""),"feb",""),"mar",""),"apr",""),"may",""),"jun",""),"jul",""),"aug",""),"sep",""),"oct",""),"nov",""),"dec",""),"utc",""),"gmt",""),"myt",""),"bst",""),"rev",""),"ver",""),"b","a"),"c","a"),"d","a"),"e","a"),"f","a"),"g","a"),"h","a"),"i","a"),"j","a"),"k","a"),"l","a"),"m","a"),"n","a"),"o","a"),"p","a"),"q","a"),"r","a"),"s","a"),"t","a"),"u","a"),"v","a"),"w","a"),"x","a"),"y","a"),"z","a")</f>
        <v/>
      </c>
      <c r="BU523" s="61" t="str">
        <f aca="false">SUBSTITUTE(SUBSTITUTE(SUBSTITUTE(SUBSTITUTE(SUBSTITUTE(SUBSTITUTE(SUBSTITUTE(SUBSTITUTE(SUBSTITUTE(SUBSTITUTE(LEFT(BM523,FIND("0",BM523&amp;"0")-1),"-",""),"_",""),"/",""),".",""),"#",""),"\\",""),":","")," ",""),"(",""),")","")</f>
        <v/>
      </c>
      <c r="BV523" s="61" t="n">
        <f aca="false">0</f>
        <v>0</v>
      </c>
      <c r="BW5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523&amp;""),"a",""),"b",""),"c",""),"d",""),"e",""),"f",""),"g",""),"h",""),"i",""),"j",""),"k",""),"l",""),"m",""),"n",""),"o",""),"p",""),"q",""),"r",""),"s",""),"t",""),"u",""),"v",""),"w",""),"x",""),"y",""),"z",""),"-",""),"_",""),"/",""),".",""),"#",""),"\\",""),":","")," ",""),"(",""),")","")</f>
        <v/>
      </c>
      <c r="BX523" s="61" t="str">
        <f aca="false">SUBSTITUTE(SUBSTITUTE(SUBSTITUTE(SUBSTITUTE(SUBSTITUTE(SUBSTITUTE(SUBSTITUTE(SUBSTITUTE(SUBSTITUTE(SUBSTITUTE(SUBSTITUTE(BM523,"0",""),"-",""),"_",""),"/",""),".",""),"#",""),"\\",""),":","")," ",""),"(",""),")","")</f>
        <v/>
      </c>
      <c r="BY523" s="62" t="n">
        <f aca="false">Q523-T12EarlyH/24</f>
        <v>46320.0486111111</v>
      </c>
      <c r="BZ523" s="61" t="n">
        <f aca="false">IFERROR(IF(IF(TRIM(S523)="Link / file path",AND(LEN(TRIM(Z523))&gt;=5,SUMPRODUCT(--ISNUMBER(SEARCH({"http","www.","\\",":\",".pdf",".jpg",".jpeg",".png",".heic",".xls",".doc",".msg",".eml",".ppt",".txt",".zip"},Z523)))&gt;0),AND(ISERROR(FIND(" ",TRIM(Z523))),NOT(OR(SUMPRODUCT(--ISNUMBER(FIND({",",";","&amp;","+"},Z523)))&gt;0,SUMPRODUCT(--ISNUMBER(SEARCH({"0/aa","0\\aa"},BN523)))&gt;0)),NOT(SUMPRODUCT(--ISNUMBER(SEARCH({"http","www.","\\",":\",".pdf",".jpg",".jpeg",".png",".heic",".xls",".doc",".msg",".eml",".ppt",".txt",".zip"},Z523)))&gt;0),NOT(LOWER(TRIM(Z523))=LOWER(Flights!$F$20)),ISNA(MATCH(BU523,{"mh","rev","revision","ver","version","v","r","a","b","seat","tray","row","gate","bay","stand","page","pg","item","line","no","cart","galley","flight","flt","table","box","bag","oven","etd","eta","std","sta","atd","ata","qty","pax","x","time","tel","ph","mob","day","wk","week","utc","gmt","myt","lt"},0)),NOT(OR(ISNUMBER(MATCH(LEFT(BN523,255),{"0000a","000a","00a","0000aa","000aa","00aa","0aa","0000aaa","000aaa","00a00","0a00","0000-0000","00:00","a00","a0","00.00.0000","00/00/0000","00-00-0000","0000-00-00","0000/00/00","0000.00.00","00.00.00","00/00/00","00-00-00","0.00.0000","0/00/0000","0-00-0000"},0)),ISNUMBER(MATCH(LEFT(BT523,255),{"0000a","000a","00a","0000aa","000aa","00aa","0aa","0000aaa","000aaa","00a00","0a00","0000-0000","00:00","a00","a0","00.00.0000","00/00/0000","00-00-0000","0000-00-00","0000/00/00","0000.00.00","00.00.00","00/00/00","00-00-00","0.00.0000","0/00/0000","0-00-0000"},0)))),NOT(OR(AND(BW523&lt;&gt;"",SUBSTITUTE(BW523,"0","")=""),AND(LEN(BW523)&gt;=4,BW523=REPT(LEFT(BW523),LEN(BW523))),ISNUMBER(MATCH(BW523,{"123","1234","12345","123456","1234567","12345678","0123","01234","012345","98765","987654","54321"},0)),ISNUMBER(MATCH(BX523,{"x","xx","xxx","xxxx","xxxxx","abc","abcd","nil","na","nan","test","tbc","tba","tbd","dummy","sample","example","eg","zz","zzz","none","null","xyz","qwe","asd","id","ref"},0)),AND(LEN(BW523)=8,BX523="",OR(LEFT(BW523,3)="202",ISNUMBER(MATCH(RIGHT(BW523,4),{"2025","2026","2027"},0)))))),OR(AND((LEN(BT523)-LEN(SUBSTITUTE(BT523,"a","")))&gt;=1,(LEN(BN523)-LEN(SUBSTITUTE(BN523,"0","")))&gt;=2,SUMPRODUCT(--ISNUMBER(SEARCH({"a0","a-0","a_0","a/0","a.0","a#0","0a","0-a","0_a","0/a"},BN523)))&gt;0),AND((LEN(BN523)-LEN(SUBSTITUTE(BN523,"a","")))=0,(LEN(BN523)-LEN(SUBSTITUTE(BN523,"0","")))&gt;=5)))),1,0),0)</f>
        <v>0</v>
      </c>
      <c r="CA5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523,"revision",""),"version",""),"jan",""),"feb",""),"mar",""),"apr",""),"may",""),"jun",""),"jul",""),"aug",""),"sep",""),"oct",""),"nov",""),"dec",""),"utc",""),"gmt",""),"myt",""),"bst",""),"rev",""),"ver",""),"b","a"),"c","a"),"d","a"),"e","a"),"f","a"),"g","a"),"h","a"),"i","a"),"j","a"),"k","a"),"l","a"),"m","a"),"n","a"),"o","a"),"p","a"),"q","a"),"r","a"),"s","a"),"t","a"),"u","a"),"v","a"),"w","a"),"x","a"),"y","a"),"z","a")</f>
        <v/>
      </c>
      <c r="CB5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523&amp;""),"a",""),"b",""),"c",""),"d",""),"e",""),"f",""),"g",""),"h",""),"i",""),"j",""),"k",""),"l",""),"m",""),"n",""),"o",""),"p",""),"q",""),"r",""),"s",""),"t",""),"u",""),"v",""),"w",""),"x",""),"y",""),"z",""),"-",""),"_",""),"/",""),".",""),"#",""),"\\",""),":","")," ",""),"(",""),")","")</f>
        <v/>
      </c>
      <c r="CC523" s="0" t="str">
        <f aca="false">" "&amp;TRIM(SUBSTITUTE(SUBSTITUTE(SUBSTITUTE(SUBSTITUTE(SUBSTITUTE(SUBSTITUTE(SUBSTITUTE(SUBSTITUTE(SUBSTITUTE(SUBSTITUTE(SUBSTITUTE(SUBSTITUTE(SUBSTITUTE(SUBSTITUTE(SUBSTITUTE(SUBSTITUTE(SUBSTITUTE(SUBSTITUTE(SUBSTITUTE(SUBSTITUTE(SUBSTITUTE(SUBSTITUTE(SUBSTITUTE(SUBSTITUTE(LOWER(T523&amp;""),CHAR(10)," "),CHAR(13)," "),CHAR(9)," "),CHAR(160)," "),"."," "),","," "),"-"," "),"/"," "),"("," "),")"," "),":"," "),";"," "),"_"," "),"–"," "),"?"," "),"!"," "),"*"," "),"["," "),"]"," "),"'"," "),"#"," "),"+"," "),"&amp;"," "),"\"," "))&amp;" "</f>
        <v>  </v>
      </c>
      <c r="CD523" s="0" t="str">
        <f aca="false">" "&amp;TRIM(SUBSTITUTE(SUBSTITUTE(SUBSTITUTE(SUBSTITUTE(SUBSTITUTE(SUBSTITUTE(SUBSTITUTE(SUBSTITUTE(SUBSTITUTE(SUBSTITUTE(SUBSTITUTE(SUBSTITUTE(SUBSTITUTE(SUBSTITUTE(SUBSTITUTE(SUBSTITUTE(SUBSTITUTE(SUBSTITUTE(SUBSTITUTE(SUBSTITUTE(SUBSTITUTE(SUBSTITUTE(SUBSTITUTE(SUBSTITUTE(LOWER(AE523&amp;""),CHAR(10)," "),CHAR(13)," "),CHAR(9)," "),CHAR(160)," "),"."," "),","," "),"-"," "),"/"," "),"("," "),")"," "),":"," "),";"," "),"_"," "),"–"," "),"?"," "),"!"," "),"*"," "),"["," "),"]"," "),"'"," "),"#"," "),"+"," "),"&amp;"," "),"\"," "))&amp;" "</f>
        <v>  </v>
      </c>
      <c r="CE523" s="68" t="n">
        <f aca="false">IFERROR(IF(AND(LEN(AU523)&gt;0,LEN(AU523)=LEN(AX523),OR(TRIM(MID(SUBSTITUTE(TRIM(CC523)," ",REPT(" ",60)),1,60))="",ISNUMBER(SEARCH(" "&amp;TRIM(MID(SUBSTITUTE(TRIM(CC523)," ",REPT(" ",60)),1,60))&amp;" ",CD523))),OR(TRIM(MID(SUBSTITUTE(TRIM(CC523)," ",REPT(" ",60)),61,60))="",ISNUMBER(SEARCH(" "&amp;TRIM(MID(SUBSTITUTE(TRIM(CC523)," ",REPT(" ",60)),61,60))&amp;" ",CD523))),OR(TRIM(MID(SUBSTITUTE(TRIM(CC523)," ",REPT(" ",60)),121,60))="",ISNUMBER(SEARCH(" "&amp;TRIM(MID(SUBSTITUTE(TRIM(CC523)," ",REPT(" ",60)),121,60))&amp;" ",CD523)))),1,0),0)</f>
        <v>0</v>
      </c>
      <c r="CG523" s="68" t="n">
        <f aca="false">IFERROR(LEN(SUBSTITUTE(BF523," ",""))-SUMPRODUCT((LEN(BF523)-LEN(SUBSTITUTE(BF523," "&amp;L_NAFiller&amp;" "," ")))/(LEN(L_NAFiller)+1)*LEN(L_NAFiller)),0)</f>
        <v>0</v>
      </c>
    </row>
    <row r="524" customFormat="false" ht="116.25" hidden="false" customHeight="true" outlineLevel="0" collapsed="false">
      <c r="A524" s="57" t="s">
        <v>1182</v>
      </c>
      <c r="B524" s="57" t="s">
        <v>280</v>
      </c>
      <c r="C524" s="57" t="str">
        <f aca="false">Flights!$F$20</f>
        <v>MH0072</v>
      </c>
      <c r="D524" s="58" t="n">
        <f aca="false">Flights!$D$20</f>
        <v>46321</v>
      </c>
      <c r="E524" s="57" t="str">
        <f aca="false">Flights!$G$20&amp;"-"&amp;Flights!$H$20</f>
        <v>KUL-HKG</v>
      </c>
      <c r="F524" s="57" t="str">
        <f aca="false">Flights!$K$20</f>
        <v>EY</v>
      </c>
      <c r="G524" s="57" t="s">
        <v>420</v>
      </c>
      <c r="H524" s="57" t="s">
        <v>378</v>
      </c>
      <c r="I524" s="57" t="s">
        <v>447</v>
      </c>
      <c r="J524" s="57" t="s">
        <v>454</v>
      </c>
      <c r="K524" s="67" t="s">
        <v>449</v>
      </c>
      <c r="L524" s="67" t="s">
        <v>1183</v>
      </c>
      <c r="M524" s="67" t="s">
        <v>451</v>
      </c>
      <c r="N524" s="67" t="s">
        <v>444</v>
      </c>
      <c r="O524" s="67" t="s">
        <v>1184</v>
      </c>
      <c r="P524" s="57" t="s">
        <v>187</v>
      </c>
      <c r="Q524" s="59" t="n">
        <f aca="false">ROUND((Flights!$AE$20)*1440,0)/1440</f>
        <v>46320.5486111111</v>
      </c>
      <c r="R524" s="59" t="n">
        <f aca="false">Q524+(IF(AND(INDEX(TZ_DSTS,MATCH(P524,TZ_STN,0))&lt;&gt;"",Q524&gt;=INDEX(TZ_DSTS,MATCH(P524,TZ_STN,0)),Q524&lt;INDEX(TZ_DSTE,MATCH(P524,TZ_STN,0))),INDEX(TZ_DST,MATCH(P524,TZ_STN,0)),INDEX(TZ_STD,MATCH(P524,TZ_STN,0))))/24</f>
        <v>46320.8819444444</v>
      </c>
      <c r="S524" s="60"/>
      <c r="T524" s="60"/>
      <c r="U524" s="60"/>
      <c r="V524" s="60"/>
      <c r="W524" s="61"/>
      <c r="X524" s="60"/>
      <c r="Y524" s="60"/>
      <c r="Z524" s="60"/>
      <c r="AA524" s="60"/>
      <c r="AB524" s="60"/>
      <c r="AC524" s="60"/>
      <c r="AD524" s="66"/>
      <c r="AE524" s="60"/>
      <c r="AF524" s="61" t="str">
        <f aca="false">IF(AND(ISNUMBER(X524),ISNUMBER(Y524)),Y524-X524,"")</f>
        <v/>
      </c>
      <c r="AG524" s="62" t="str">
        <f aca="false">IF(ISNUMBER(AD524),AD524-(IF(AND(INDEX(TZ_DSTS,MATCH(P524,TZ_STN,0))&lt;&gt;"",(AD524-INDEX(TZ_STD,MATCH(P524,TZ_STN,0))/24)&gt;=INDEX(TZ_DSTS,MATCH(P524,TZ_STN,0)),(AD524-INDEX(TZ_STD,MATCH(P524,TZ_STN,0))/24)&lt;INDEX(TZ_DSTE,MATCH(P524,TZ_STN,0))),INDEX(TZ_DST,MATCH(P524,TZ_STN,0)),INDEX(TZ_STD,MATCH(P524,TZ_STN,0))))/24,"")</f>
        <v/>
      </c>
      <c r="AH524" s="65" t="str">
        <f aca="false">IFERROR(IF(N524="N/A – rule",IF(OR(TRIM(U524)="",TRIM(U524)="N/A",TRIM(U524)="Not started"),"N/A – RULE","INVALID – this check does not apply to this aircraft: clear the status (or correct the fleet on Flights)"),IF(TRIM(U524)="N/A",IF(AT524=0,"INVALID – N/A not permitted for this check",IF(AND(TRIM(AB524)&lt;&gt;"",TRIM(AB524)&lt;&gt;"Closed"),"INVALID – corrective action still open",IF(AND(NOT(OR(LEN(AZ524)&lt;15,ISNUMBER(MATCH(AZ524,L_Placeholder,0)))),BK524=0,CG524&gt;=8,NOT(OR(LEN(AU524)&lt;2,ISNUMBER(MATCH(AU524,L_Placeholder,0)))),BR524&gt;=3,NOT(OR(LEN(AX524)&lt;2,ISNUMBER(MATCH(AX524,L_Placeholder,0)))),BS524&gt;=3,TRIM(AE524)&lt;&gt;TRIM(T524),AX524&lt;&gt;AU524,CE524=0),"N/A – JUSTIFIED","INVALID – N/A needs a real, settled reason (not 'not applicable' / 'as above' / TBC), a named PIC and a different named verifier"))),IF(OR(TRIM(U524)="Pass",TRIM(U524)="Pass after CA"),IF(NOT(ISNUMBER(AD524)),"INVALID – completion time missing",IF(OR(OR(LEN(AU524)&lt;2,ISNUMBER(MATCH(AU524,L_Placeholder,0))),BR524&lt;3),"INVALID – PIC missing or not a named person (a role such as QA / CSM is not a name)",IF(OR(LEN(AV524)&lt;2,ISNUMBER(MATCH(AV524,L_Placeholder,0))),"INVALID – result / assessment missing",IF(OR(OR(LEN(AW524)&lt;3,ISNUMBER(MATCH(AW524,L_Placeholder,0))),SUMPRODUCT(--ISNUMBER(SEARCH(" "&amp;L_EvidencePhrase&amp;" ",BD524)))&gt;0,BI524=1),"INVALID – evidence missing, placeholder or not yet on file",IF(ISNA(MATCH(TRIM(S524),L_EvidenceType,0)),"INVALID – choose the evidence type from the list (column S)",IF(BL524=0,"INVALID – evidence ID must be the record's own ID only (e.g. SF-2210, IMG_2231, 1045521); a link / file name needs type 'Link / file path'",IF(OR(OR(LEN(AX524)&lt;2,ISNUMBER(MATCH(AX524,L_Placeholder,0))),BS524&lt;3),"INVALID – verifier missing or not a named person (a role such as QA / CSM is not a name)",IF(OR(AX524=AU524,CE524=1,AND(LEN(AU524)&gt;=4,ISNUMBER(SEARCH(AU524,AX524))),AND(LEN(AX524)&gt;=4,ISNUMBER(SEARCH(AX524,AU524)))),"INVALID – verifier must be a different, named person (not the PIC or a role)",IF(BH524=1,"INVALID – result not yet available (awaiting / TBC)",IF(BG524=1,"INVALID – result describes a problem: record Fail, then Pass after CA (or reword if it is not a problem)",IF(BV524=1,"INVALID – wording says not on board: an on-board confirmation needs the item loaded",IF(AND(AQ524=1,OR(OR(LEN(AY524)&lt;3,ISNUMBER(MATCH(AY524,L_Placeholder,0))),BJ524=1,BQ524=0)),"INVALID – batch ID missing, placeholder or not an ID (e.g. PASB-261008-BC-017)",IF(AND(AR524=1,OR(NOT(ISNUMBER(X524)),NOT(ISNUMBER(Y524)))),"INVALID – expected/actual qty missing",IF(AND(AR524=1,OR(X524&lt;=0,Y524&lt;0)),"INVALID – expected qty must be above 0 and actual not negative",IF(BB524&lt;&gt;"",BB524,IF(AND(AS524=1,Documents!$J$20&lt;&gt;"ON FILE"),"INVALID – GLD not on file (Documents sheet)",IF(AND(AS524=2,Documents!$O$20&lt;&gt;"ON FILE"),"INVALID – menu checklist not on file (Documents sheet)",IF(AND(AS524=3,NOT(ISNUMBER(Flights!$AX$20))),"INVALID – enter carrying flight KUL departure (Flights AX)",IF(AND(AS524=3,OR(Flights!$AZ$20&gt;Flights!$AA$20,Flights!$AX$20&lt;Flights!$AA$20-3)),"INVALID – carrying flight (Flights AX) cannot arrive before this leg's STD, or is over 3 days early",IF(AG524&gt;AsOfUTC,"INVALID – completion time is in the future",IF(AND(ISNUMBER(BY524),AG524&lt;BY524),IF(H524="Physical uplift","INVALID – before uplift window (cannot confirm loading)","INVALID – before valid window"),IF(AG524&gt;Flights!$AA$20,"INVALID – completed after departure (cannot establish readiness)",IF(AND(H524="Preparation",AG524&gt;=IF(ISNUMBER(Flights!$BA$20),MIN(Flights!$BA$20,Flights!$AA$20),Flights!$AA$20)),"INVALID – completed after loading / departure (cannot establish readiness)",IF(AND(H524="Physical uplift",AG524&gt;Q524),"INVALID – recorded after the loading flight departed",IF(AG524&gt;Q524,"COMPLETE – LATE","COMPLETE"))))))))))))))))))))))))),IF(TRIM(U524)="Fail","FAIL – DISCREPANCY",IF(AND(TRIM(U524)&lt;&gt;"",TRIM(U524)&lt;&gt;"Not started",TRIM(U524)&lt;&gt;"In progress"),"INVALID – unrecognised status (use the list)",IF(AsOfUTC&gt;Q524,"OVERDUE",IF(N524="Clarification required","OPEN – CLARIFICATION","OPEN"))))))),"INVALID – error value in an input cell")</f>
        <v>OPEN – CLARIFICATION</v>
      </c>
      <c r="AI524" s="61" t="n">
        <f aca="false">IF(OR(AH524="N/A – RULE",AH524="N/A – JUSTIFIED"),0,1)</f>
        <v>1</v>
      </c>
      <c r="AJ524" s="61" t="n">
        <f aca="false">IF(LEFT(AH524,8)="COMPLETE",1,0)</f>
        <v>0</v>
      </c>
      <c r="AK524" s="61" t="n">
        <f aca="false">IF(AND(AI524=1,AJ524=0,AsOfUTC&gt;Q524),1,0)</f>
        <v>0</v>
      </c>
      <c r="AL524" s="61" t="n">
        <f aca="false">IFERROR(IF(AND(AI524=1,OR(TRIM(U524)="Fail",AND(TRIM(AB524)&lt;&gt;"",TRIM(AB524)&lt;&gt;"Closed"),AND(ISNUMBER(AF524),AF524&lt;&gt;0,TRIM(U524)&lt;&gt;"Pass after CA"))),1,0),1)</f>
        <v>0</v>
      </c>
      <c r="AM524" s="61" t="n">
        <f aca="false">IF(LEFT(AH524,7)="INVALID",1,0)</f>
        <v>0</v>
      </c>
      <c r="AN524" s="61" t="n">
        <f aca="false">IF(AND(N524="Clarification required",AI524=1,AJ524=0),1,0)</f>
        <v>1</v>
      </c>
      <c r="AO524" s="61" t="str">
        <f aca="false">IF(AK524=1,SUM(AK$5:AK524),"")</f>
        <v/>
      </c>
      <c r="AP524" s="61" t="str">
        <f aca="false">IF(AL524=1,SUM(AL$5:AL524),"")</f>
        <v/>
      </c>
      <c r="AQ524" s="61" t="n">
        <v>0</v>
      </c>
      <c r="AR524" s="61" t="n">
        <v>0</v>
      </c>
      <c r="AS524" s="61" t="n">
        <v>0</v>
      </c>
      <c r="AT524" s="61" t="n">
        <v>1</v>
      </c>
      <c r="AU524" s="61" t="str">
        <f aca="false">SUBSTITUTE(SUBSTITUTE(SUBSTITUTE(SUBSTITUTE(SUBSTITUTE(SUBSTITUTE(SUBSTITUTE(SUBSTITUTE(SUBSTITUTE(SUBSTITUTE(SUBSTITUTE(SUBSTITUTE(SUBSTITUTE(SUBSTITUTE(SUBSTITUTE(SUBSTITUTE(LOWER(T524&amp;""),CHAR(10),""),CHAR(13),""),CHAR(9),""),CHAR(160),"")," ",""),".",""),"-",""),"/",""),"?",""),"_",""),",",""),"[",""),"]",""),"(",""),")",""),"*","")</f>
        <v/>
      </c>
      <c r="AV524" s="61" t="str">
        <f aca="false">SUBSTITUTE(SUBSTITUTE(SUBSTITUTE(SUBSTITUTE(SUBSTITUTE(SUBSTITUTE(SUBSTITUTE(SUBSTITUTE(SUBSTITUTE(SUBSTITUTE(SUBSTITUTE(SUBSTITUTE(SUBSTITUTE(SUBSTITUTE(SUBSTITUTE(SUBSTITUTE(LOWER(V524&amp;""),CHAR(10),""),CHAR(13),""),CHAR(9),""),CHAR(160),"")," ",""),".",""),"-",""),"/",""),"?",""),"_",""),",",""),"[",""),"]",""),"(",""),")",""),"*","")</f>
        <v/>
      </c>
      <c r="AW524" s="61" t="str">
        <f aca="false">SUBSTITUTE(SUBSTITUTE(SUBSTITUTE(SUBSTITUTE(SUBSTITUTE(SUBSTITUTE(SUBSTITUTE(SUBSTITUTE(SUBSTITUTE(SUBSTITUTE(SUBSTITUTE(SUBSTITUTE(SUBSTITUTE(SUBSTITUTE(SUBSTITUTE(SUBSTITUTE(LOWER(Z524&amp;""),CHAR(10),""),CHAR(13),""),CHAR(9),""),CHAR(160),"")," ",""),".",""),"-",""),"/",""),"?",""),"_",""),",",""),"[",""),"]",""),"(",""),")",""),"*","")</f>
        <v/>
      </c>
      <c r="AX524" s="61" t="str">
        <f aca="false">SUBSTITUTE(SUBSTITUTE(SUBSTITUTE(SUBSTITUTE(SUBSTITUTE(SUBSTITUTE(SUBSTITUTE(SUBSTITUTE(SUBSTITUTE(SUBSTITUTE(SUBSTITUTE(SUBSTITUTE(SUBSTITUTE(SUBSTITUTE(SUBSTITUTE(SUBSTITUTE(LOWER(AE524&amp;""),CHAR(10),""),CHAR(13),""),CHAR(9),""),CHAR(160),"")," ",""),".",""),"-",""),"/",""),"?",""),"_",""),",",""),"[",""),"]",""),"(",""),")",""),"*","")</f>
        <v/>
      </c>
      <c r="AY524" s="61" t="str">
        <f aca="false">SUBSTITUTE(SUBSTITUTE(SUBSTITUTE(SUBSTITUTE(SUBSTITUTE(SUBSTITUTE(SUBSTITUTE(SUBSTITUTE(SUBSTITUTE(SUBSTITUTE(SUBSTITUTE(SUBSTITUTE(SUBSTITUTE(SUBSTITUTE(SUBSTITUTE(SUBSTITUTE(LOWER(W524&amp;""),CHAR(10),""),CHAR(13),""),CHAR(9),""),CHAR(160),"")," ",""),".",""),"-",""),"/",""),"?",""),"_",""),",",""),"[",""),"]",""),"(",""),")",""),"*","")</f>
        <v/>
      </c>
      <c r="AZ524" s="61" t="str">
        <f aca="false">SUBSTITUTE(SUBSTITUTE(SUBSTITUTE(SUBSTITUTE(SUBSTITUTE(SUBSTITUTE(SUBSTITUTE(SUBSTITUTE(SUBSTITUTE(SUBSTITUTE(SUBSTITUTE(SUBSTITUTE(SUBSTITUTE(SUBSTITUTE(SUBSTITUTE(SUBSTITUTE(LOWER(AC524&amp;""),CHAR(10),""),CHAR(13),""),CHAR(9),""),CHAR(160),"")," ",""),".",""),"-",""),"/",""),"?",""),"_",""),",",""),"[",""),"]",""),"(",""),")",""),"*","")</f>
        <v/>
      </c>
      <c r="BA524" s="61" t="str">
        <f aca="false">SUBSTITUTE(SUBSTITUTE(SUBSTITUTE(SUBSTITUTE(SUBSTITUTE(SUBSTITUTE(SUBSTITUTE(SUBSTITUTE(SUBSTITUTE(SUBSTITUTE(SUBSTITUTE(SUBSTITUTE(SUBSTITUTE(SUBSTITUTE(SUBSTITUTE(SUBSTITUTE(LOWER(AA524&amp;""),CHAR(10),""),CHAR(13),""),CHAR(9),""),CHAR(160),"")," ",""),".",""),"-",""),"/",""),"?",""),"_",""),",",""),"[",""),"]",""),"(",""),")",""),"*","")</f>
        <v/>
      </c>
      <c r="BB524" s="61" t="str">
        <f aca="false">IF(AND(TRIM(U524)="Pass",ISNUMBER(AF524)),IF(AF524&lt;&gt;0,"INVALID – qty variance: use Fail or Pass after CA",""),"")&amp;IF(AND(TRIM(U524)="Pass after CA",ISNUMBER(AF524)),IF(AF524&lt;&gt;0,"INVALID – after the corrective action the actual qty must equal expected (update Actual)",""),"")&amp;IF(AND(TRIM(U524)="Pass",TRIM(AB524)&lt;&gt;"",TRIM(AB524)&lt;&gt;"Closed"),"INVALID – corrective action not closed: use Fail, then Pass after CA","")&amp;IF(AND(LEN(BA524)&gt;=2,ISNA(MATCH(LEFT(BA524,255),L_Placeholder,0)),TRIM(AB524)=""),"INVALID – CA status missing for the recorded corrective action","")&amp;IF(AND(TRIM(U524)="Pass after CA",OR(OR(LEN(BA524)&lt;5,ISNUMBER(MATCH(BA524,L_Placeholder,0))),TRIM(AB524)&lt;&gt;"Closed")),"INVALID – corrective action not recorded/closed","")</f>
        <v/>
      </c>
      <c r="BC524" s="61" t="str">
        <f aca="false">" "&amp;TRIM(SUBSTITUTE(SUBSTITUTE(SUBSTITUTE(SUBSTITUTE(SUBSTITUTE(SUBSTITUTE(SUBSTITUTE(SUBSTITUTE(SUBSTITUTE(SUBSTITUTE(SUBSTITUTE(SUBSTITUTE(SUBSTITUTE(SUBSTITUTE(SUBSTITUTE(SUBSTITUTE(SUBSTITUTE(SUBSTITUTE(SUBSTITUTE(SUBSTITUTE(SUBSTITUTE(SUBSTITUTE(SUBSTITUTE(SUBSTITUTE(LOWER(V524&amp;""),CHAR(10)," "),CHAR(13)," "),CHAR(9)," "),CHAR(160)," "),"."," "),","," "),"-"," "),"/"," "),"("," "),")"," "),":"," "),";"," "),"_"," "),"–"," "),"?"," "),"!"," "),"*"," "),"["," "),"]"," "),"'"," "),"#"," "),"+"," "),"&amp;"," "),"\"," "))&amp;" "</f>
        <v>  </v>
      </c>
      <c r="BD524" s="61" t="str">
        <f aca="false">" "&amp;TRIM(SUBSTITUTE(SUBSTITUTE(SUBSTITUTE(SUBSTITUTE(SUBSTITUTE(SUBSTITUTE(SUBSTITUTE(SUBSTITUTE(SUBSTITUTE(SUBSTITUTE(SUBSTITUTE(SUBSTITUTE(SUBSTITUTE(SUBSTITUTE(SUBSTITUTE(SUBSTITUTE(SUBSTITUTE(SUBSTITUTE(SUBSTITUTE(SUBSTITUTE(SUBSTITUTE(SUBSTITUTE(SUBSTITUTE(SUBSTITUTE(LOWER(Z524&amp;""),CHAR(10)," "),CHAR(13)," "),CHAR(9)," "),CHAR(160)," "),"."," "),","," "),"-"," "),"/"," "),"("," "),")"," "),":"," "),";"," "),"_"," "),"–"," "),"?"," "),"!"," "),"*"," "),"["," "),"]"," "),"'"," "),"#"," "),"+"," "),"&amp;"," "),"\"," "))&amp;" "</f>
        <v>  </v>
      </c>
      <c r="BE524" s="61" t="str">
        <f aca="false">" "&amp;TRIM(SUBSTITUTE(SUBSTITUTE(SUBSTITUTE(SUBSTITUTE(SUBSTITUTE(SUBSTITUTE(SUBSTITUTE(SUBSTITUTE(SUBSTITUTE(SUBSTITUTE(SUBSTITUTE(SUBSTITUTE(SUBSTITUTE(SUBSTITUTE(SUBSTITUTE(SUBSTITUTE(SUBSTITUTE(SUBSTITUTE(SUBSTITUTE(SUBSTITUTE(SUBSTITUTE(SUBSTITUTE(SUBSTITUTE(SUBSTITUTE(LOWER(W524&amp;""),CHAR(10)," "),CHAR(13)," "),CHAR(9)," "),CHAR(160)," "),"."," "),","," "),"-"," "),"/"," "),"("," "),")"," "),":"," "),";"," "),"_"," "),"–"," "),"?"," "),"!"," "),"*"," "),"["," "),"]"," "),"'"," "),"#"," "),"+"," "),"&amp;"," "),"\"," "))&amp;" "</f>
        <v>  </v>
      </c>
      <c r="BF524" s="61" t="str">
        <f aca="false">" "&amp;TRIM(SUBSTITUTE(SUBSTITUTE(SUBSTITUTE(SUBSTITUTE(SUBSTITUTE(SUBSTITUTE(SUBSTITUTE(SUBSTITUTE(SUBSTITUTE(SUBSTITUTE(SUBSTITUTE(SUBSTITUTE(SUBSTITUTE(SUBSTITUTE(SUBSTITUTE(SUBSTITUTE(SUBSTITUTE(SUBSTITUTE(SUBSTITUTE(SUBSTITUTE(SUBSTITUTE(SUBSTITUTE(SUBSTITUTE(SUBSTITUTE(LOWER(AC524&amp;""),CHAR(10)," "),CHAR(13)," "),CHAR(9)," "),CHAR(160)," "),"."," "),","," "),"-"," "),"/"," "),"("," "),")"," "),":"," "),";"," "),"_"," "),"–"," "),"?"," "),"!"," "),"*"," "),"["," "),"]"," "),"'"," "),"#"," "),"+"," "),"&amp;"," "),"\"," "))&amp;" "</f>
        <v>  </v>
      </c>
      <c r="BG524" s="61" t="n">
        <f aca="false">IFERROR(IF(AND(TRIM(U524)="Pass",SUMPRODUCT((LEN(BC524)-LEN(SUBSTITUTE(BC524," "&amp;L_ResultBad&amp;" "," ")))/(LEN(L_ResultBad)+1))&gt;SUMPRODUCT((LEN(BC524)-LEN(SUBSTITUTE(BC524," "&amp;L_NegPhrase&amp;" "," ")))/(LEN(L_NegPhrase)+1))),1,0),0)</f>
        <v>0</v>
      </c>
      <c r="BH524" s="61" t="n">
        <f aca="false">IFERROR(IF(SUMPRODUCT((LEN(BC524)-LEN(SUBSTITUTE(BC524," "&amp;L_Pending&amp;" "," ")))/(LEN(L_Pending)+1))&gt;SUMPRODUCT((LEN(BC524)-LEN(SUBSTITUTE(BC524," "&amp;L_PendNeg&amp;" "," ")))/(LEN(L_PendNeg)+1))+SUMPRODUCT((LEN(BC524)-LEN(SUBSTITUTE(BC524," "&amp;L_PendPrep&amp;" "," ")))/(LEN(L_PendPrep)+1)),1,0),1)</f>
        <v>0</v>
      </c>
      <c r="BI524" s="61" t="n">
        <f aca="false">IFERROR(IF(SUMPRODUCT((LEN(BD524)-LEN(SUBSTITUTE(BD524," "&amp;L_PendStrict&amp;" "," ")))/(LEN(L_PendStrict)+1))&gt;SUMPRODUCT((LEN(BD524)-LEN(SUBSTITUTE(BD524," "&amp;L_PendNeg&amp;" "," ")))/(LEN(L_PendNeg)+1)),1,0),1)</f>
        <v>0</v>
      </c>
      <c r="BJ524" s="61" t="n">
        <f aca="false">IFERROR(IF(SUMPRODUCT((LEN(BE524)-LEN(SUBSTITUTE(BE524," "&amp;L_Pending&amp;" "," ")))/(LEN(L_Pending)+1))&gt;SUMPRODUCT((LEN(BE524)-LEN(SUBSTITUTE(BE524," "&amp;L_PendNeg&amp;" "," ")))/(LEN(L_PendNeg)+1))+SUMPRODUCT((LEN(BE524)-LEN(SUBSTITUTE(BE524," "&amp;L_PendPrep&amp;" "," ")))/(LEN(L_PendPrep)+1)),1,0),1)</f>
        <v>0</v>
      </c>
      <c r="BK524" s="61" t="n">
        <f aca="false">IFERROR(IF(SUMPRODUCT((LEN(BF524)-LEN(SUBSTITUTE(BF524," "&amp;L_PendStrict&amp;" "," ")))/(LEN(L_PendStrict)+1))&gt;SUMPRODUCT((LEN(BF524)-LEN(SUBSTITUTE(BF524," "&amp;L_PendNeg&amp;" "," ")))/(LEN(L_PendNeg)+1)),1,0),1)</f>
        <v>0</v>
      </c>
      <c r="BL524" s="61" t="n">
        <f aca="false">IF(ISNA(MATCH(TRIM(S524),L_EvidenceType,0)),0,BZ524)</f>
        <v>0</v>
      </c>
      <c r="BM524" s="61" t="str">
        <f aca="false">SUBSTITUTE(SUBSTITUTE(SUBSTITUTE(SUBSTITUTE(SUBSTITUTE(SUBSTITUTE(SUBSTITUTE(SUBSTITUTE(SUBSTITUTE(LOWER(Z524&amp;""),"1","0"),"2","0"),"3","0"),"4","0"),"5","0"),"6","0"),"7","0"),"8","0"),"9","0")</f>
        <v/>
      </c>
      <c r="BN524" s="61" t="str">
        <f aca="false">SUBSTITUTE(SUBSTITUTE(SUBSTITUTE(SUBSTITUTE(SUBSTITUTE(SUBSTITUTE(SUBSTITUTE(SUBSTITUTE(SUBSTITUTE(SUBSTITUTE(SUBSTITUTE(SUBSTITUTE(SUBSTITUTE(SUBSTITUTE(SUBSTITUTE(SUBSTITUTE(SUBSTITUTE(SUBSTITUTE(SUBSTITUTE(SUBSTITUTE(SUBSTITUTE(SUBSTITUTE(SUBSTITUTE(SUBSTITUTE(SUBSTITUTE(BM524,"b","a"),"c","a"),"d","a"),"e","a"),"f","a"),"g","a"),"h","a"),"i","a"),"j","a"),"k","a"),"l","a"),"m","a"),"n","a"),"o","a"),"p","a"),"q","a"),"r","a"),"s","a"),"t","a"),"u","a"),"v","a"),"w","a"),"x","a"),"y","a"),"z","a")</f>
        <v/>
      </c>
      <c r="BO524" s="61" t="str">
        <f aca="false">SUBSTITUTE(SUBSTITUTE(SUBSTITUTE(SUBSTITUTE(SUBSTITUTE(SUBSTITUTE(SUBSTITUTE(SUBSTITUTE(SUBSTITUTE(LOWER(W524&amp;""),"1","0"),"2","0"),"3","0"),"4","0"),"5","0"),"6","0"),"7","0"),"8","0"),"9","0")</f>
        <v/>
      </c>
      <c r="BP524" s="61" t="str">
        <f aca="false">SUBSTITUTE(SUBSTITUTE(SUBSTITUTE(SUBSTITUTE(SUBSTITUTE(SUBSTITUTE(SUBSTITUTE(SUBSTITUTE(SUBSTITUTE(SUBSTITUTE(SUBSTITUTE(SUBSTITUTE(SUBSTITUTE(SUBSTITUTE(SUBSTITUTE(SUBSTITUTE(SUBSTITUTE(SUBSTITUTE(SUBSTITUTE(SUBSTITUTE(SUBSTITUTE(SUBSTITUTE(SUBSTITUTE(SUBSTITUTE(SUBSTITUTE(BO524,"b","a"),"c","a"),"d","a"),"e","a"),"f","a"),"g","a"),"h","a"),"i","a"),"j","a"),"k","a"),"l","a"),"m","a"),"n","a"),"o","a"),"p","a"),"q","a"),"r","a"),"s","a"),"t","a"),"u","a"),"v","a"),"w","a"),"x","a"),"y","a"),"z","a")</f>
        <v/>
      </c>
      <c r="BQ524" s="61" t="n">
        <f aca="false">IFERROR(IF(AND(ISERROR(SEARCH(" mh"," "&amp;LOWER(W524))),ISNA(MATCH(LEFT(TRIM(BP524),255),{"0000a","000a","00a","0000aa","000aa","00aa","0aa","0000aaa","000aaa","00a00","0a00","0000-0000","00:00","a00","a0","00.00.0000","00/00/0000","00-00-0000","0000-00-00","0000/00/00","0000.00.00","00.00.00","00/00/00","00-00-00","0.00.0000","0/00/0000","0-00-0000"},0)),ISNA(MATCH(LEFT(TRIM(CA524),255),{"0000a","000a","00a","0000aa","000aa","00aa","0aa","0000aaa","000aaa","00a00","0a00","0000-0000","00:00","a00","a0","00.00.0000","00/00/0000","00-00-0000","0000-00-00","0000/00/00","0000.00.00","00.00.00","00/00/00","00-00-00","0.00.0000","0/00/0000","0-00-0000"},0)),LEN(CB524)&gt;=3,NOT(OR(SUBSTITUTE(CB524,"0","")="",AND(LEN(CB524)&gt;=4,CB524=REPT(LEFT(CB524),LEN(CB524))),ISNUMBER(MATCH(CB524,{"123","1234","12345","123456","1234567","12345678","0123","01234","012345","98765","987654","54321"},0)),AND(LEN(CB524)=8,LEFT(CB524,3)="202"))),OR(AND((LEN(CA524)-LEN(SUBSTITUTE(CA524,"a","")))&gt;=1,SUMPRODUCT(--ISNUMBER(SEARCH({"a0","a-0","a_0","a/0","a.0","a#0","0a","0-a","0_a","0/a"},BP524)))&gt;0),ISNUMBER(SEARCH("000000",BP524)))),1,0),0)</f>
        <v>0</v>
      </c>
      <c r="BR524" s="61" t="n">
        <f aca="false">IFERROR(LEN(SUBSTITUTE(CC524," ",""))-SUMPRODUCT((LEN(CC524)-LEN(SUBSTITUTE(CC524," "&amp;L_Role&amp;" "," ")))/(LEN(L_Role)+1)*LEN(L_Role)),0)</f>
        <v>0</v>
      </c>
      <c r="BS524" s="61" t="n">
        <f aca="false">IFERROR(LEN(SUBSTITUTE(CD524," ",""))-SUMPRODUCT((LEN(CD524)-LEN(SUBSTITUTE(CD524," "&amp;L_Role&amp;" "," ")))/(LEN(L_Role)+1)*LEN(L_Role)),0)</f>
        <v>0</v>
      </c>
      <c r="BT5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524,"revision",""),"version",""),"jan",""),"feb",""),"mar",""),"apr",""),"may",""),"jun",""),"jul",""),"aug",""),"sep",""),"oct",""),"nov",""),"dec",""),"utc",""),"gmt",""),"myt",""),"bst",""),"rev",""),"ver",""),"b","a"),"c","a"),"d","a"),"e","a"),"f","a"),"g","a"),"h","a"),"i","a"),"j","a"),"k","a"),"l","a"),"m","a"),"n","a"),"o","a"),"p","a"),"q","a"),"r","a"),"s","a"),"t","a"),"u","a"),"v","a"),"w","a"),"x","a"),"y","a"),"z","a")</f>
        <v/>
      </c>
      <c r="BU524" s="61" t="str">
        <f aca="false">SUBSTITUTE(SUBSTITUTE(SUBSTITUTE(SUBSTITUTE(SUBSTITUTE(SUBSTITUTE(SUBSTITUTE(SUBSTITUTE(SUBSTITUTE(SUBSTITUTE(LEFT(BM524,FIND("0",BM524&amp;"0")-1),"-",""),"_",""),"/",""),".",""),"#",""),"\\",""),":","")," ",""),"(",""),")","")</f>
        <v/>
      </c>
      <c r="BV524" s="61" t="n">
        <f aca="false">0</f>
        <v>0</v>
      </c>
      <c r="BW5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524&amp;""),"a",""),"b",""),"c",""),"d",""),"e",""),"f",""),"g",""),"h",""),"i",""),"j",""),"k",""),"l",""),"m",""),"n",""),"o",""),"p",""),"q",""),"r",""),"s",""),"t",""),"u",""),"v",""),"w",""),"x",""),"y",""),"z",""),"-",""),"_",""),"/",""),".",""),"#",""),"\\",""),":","")," ",""),"(",""),")","")</f>
        <v/>
      </c>
      <c r="BX524" s="61" t="str">
        <f aca="false">SUBSTITUTE(SUBSTITUTE(SUBSTITUTE(SUBSTITUTE(SUBSTITUTE(SUBSTITUTE(SUBSTITUTE(SUBSTITUTE(SUBSTITUTE(SUBSTITUTE(SUBSTITUTE(BM524,"0",""),"-",""),"_",""),"/",""),".",""),"#",""),"\\",""),":","")," ",""),"(",""),")","")</f>
        <v/>
      </c>
      <c r="BY524" s="62" t="n">
        <f aca="false">Q524-T12EarlyH/24</f>
        <v>46320.0486111111</v>
      </c>
      <c r="BZ524" s="61" t="n">
        <f aca="false">IFERROR(IF(IF(TRIM(S524)="Link / file path",AND(LEN(TRIM(Z524))&gt;=5,SUMPRODUCT(--ISNUMBER(SEARCH({"http","www.","\\",":\",".pdf",".jpg",".jpeg",".png",".heic",".xls",".doc",".msg",".eml",".ppt",".txt",".zip"},Z524)))&gt;0),AND(ISERROR(FIND(" ",TRIM(Z524))),NOT(OR(SUMPRODUCT(--ISNUMBER(FIND({",",";","&amp;","+"},Z524)))&gt;0,SUMPRODUCT(--ISNUMBER(SEARCH({"0/aa","0\\aa"},BN524)))&gt;0)),NOT(SUMPRODUCT(--ISNUMBER(SEARCH({"http","www.","\\",":\",".pdf",".jpg",".jpeg",".png",".heic",".xls",".doc",".msg",".eml",".ppt",".txt",".zip"},Z524)))&gt;0),NOT(LOWER(TRIM(Z524))=LOWER(Flights!$F$20)),ISNA(MATCH(BU524,{"mh","rev","revision","ver","version","v","r","a","b","seat","tray","row","gate","bay","stand","page","pg","item","line","no","cart","galley","flight","flt","table","box","bag","oven","etd","eta","std","sta","atd","ata","qty","pax","x","time","tel","ph","mob","day","wk","week","utc","gmt","myt","lt"},0)),NOT(OR(ISNUMBER(MATCH(LEFT(BN524,255),{"0000a","000a","00a","0000aa","000aa","00aa","0aa","0000aaa","000aaa","00a00","0a00","0000-0000","00:00","a00","a0","00.00.0000","00/00/0000","00-00-0000","0000-00-00","0000/00/00","0000.00.00","00.00.00","00/00/00","00-00-00","0.00.0000","0/00/0000","0-00-0000"},0)),ISNUMBER(MATCH(LEFT(BT524,255),{"0000a","000a","00a","0000aa","000aa","00aa","0aa","0000aaa","000aaa","00a00","0a00","0000-0000","00:00","a00","a0","00.00.0000","00/00/0000","00-00-0000","0000-00-00","0000/00/00","0000.00.00","00.00.00","00/00/00","00-00-00","0.00.0000","0/00/0000","0-00-0000"},0)))),NOT(OR(AND(BW524&lt;&gt;"",SUBSTITUTE(BW524,"0","")=""),AND(LEN(BW524)&gt;=4,BW524=REPT(LEFT(BW524),LEN(BW524))),ISNUMBER(MATCH(BW524,{"123","1234","12345","123456","1234567","12345678","0123","01234","012345","98765","987654","54321"},0)),ISNUMBER(MATCH(BX524,{"x","xx","xxx","xxxx","xxxxx","abc","abcd","nil","na","nan","test","tbc","tba","tbd","dummy","sample","example","eg","zz","zzz","none","null","xyz","qwe","asd","id","ref"},0)),AND(LEN(BW524)=8,BX524="",OR(LEFT(BW524,3)="202",ISNUMBER(MATCH(RIGHT(BW524,4),{"2025","2026","2027"},0)))))),OR(AND((LEN(BT524)-LEN(SUBSTITUTE(BT524,"a","")))&gt;=1,(LEN(BN524)-LEN(SUBSTITUTE(BN524,"0","")))&gt;=2,SUMPRODUCT(--ISNUMBER(SEARCH({"a0","a-0","a_0","a/0","a.0","a#0","0a","0-a","0_a","0/a"},BN524)))&gt;0),AND((LEN(BN524)-LEN(SUBSTITUTE(BN524,"a","")))=0,(LEN(BN524)-LEN(SUBSTITUTE(BN524,"0","")))&gt;=5)))),1,0),0)</f>
        <v>0</v>
      </c>
      <c r="CA5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524,"revision",""),"version",""),"jan",""),"feb",""),"mar",""),"apr",""),"may",""),"jun",""),"jul",""),"aug",""),"sep",""),"oct",""),"nov",""),"dec",""),"utc",""),"gmt",""),"myt",""),"bst",""),"rev",""),"ver",""),"b","a"),"c","a"),"d","a"),"e","a"),"f","a"),"g","a"),"h","a"),"i","a"),"j","a"),"k","a"),"l","a"),"m","a"),"n","a"),"o","a"),"p","a"),"q","a"),"r","a"),"s","a"),"t","a"),"u","a"),"v","a"),"w","a"),"x","a"),"y","a"),"z","a")</f>
        <v/>
      </c>
      <c r="CB5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524&amp;""),"a",""),"b",""),"c",""),"d",""),"e",""),"f",""),"g",""),"h",""),"i",""),"j",""),"k",""),"l",""),"m",""),"n",""),"o",""),"p",""),"q",""),"r",""),"s",""),"t",""),"u",""),"v",""),"w",""),"x",""),"y",""),"z",""),"-",""),"_",""),"/",""),".",""),"#",""),"\\",""),":","")," ",""),"(",""),")","")</f>
        <v/>
      </c>
      <c r="CC524" s="0" t="str">
        <f aca="false">" "&amp;TRIM(SUBSTITUTE(SUBSTITUTE(SUBSTITUTE(SUBSTITUTE(SUBSTITUTE(SUBSTITUTE(SUBSTITUTE(SUBSTITUTE(SUBSTITUTE(SUBSTITUTE(SUBSTITUTE(SUBSTITUTE(SUBSTITUTE(SUBSTITUTE(SUBSTITUTE(SUBSTITUTE(SUBSTITUTE(SUBSTITUTE(SUBSTITUTE(SUBSTITUTE(SUBSTITUTE(SUBSTITUTE(SUBSTITUTE(SUBSTITUTE(LOWER(T524&amp;""),CHAR(10)," "),CHAR(13)," "),CHAR(9)," "),CHAR(160)," "),"."," "),","," "),"-"," "),"/"," "),"("," "),")"," "),":"," "),";"," "),"_"," "),"–"," "),"?"," "),"!"," "),"*"," "),"["," "),"]"," "),"'"," "),"#"," "),"+"," "),"&amp;"," "),"\"," "))&amp;" "</f>
        <v>  </v>
      </c>
      <c r="CD524" s="0" t="str">
        <f aca="false">" "&amp;TRIM(SUBSTITUTE(SUBSTITUTE(SUBSTITUTE(SUBSTITUTE(SUBSTITUTE(SUBSTITUTE(SUBSTITUTE(SUBSTITUTE(SUBSTITUTE(SUBSTITUTE(SUBSTITUTE(SUBSTITUTE(SUBSTITUTE(SUBSTITUTE(SUBSTITUTE(SUBSTITUTE(SUBSTITUTE(SUBSTITUTE(SUBSTITUTE(SUBSTITUTE(SUBSTITUTE(SUBSTITUTE(SUBSTITUTE(SUBSTITUTE(LOWER(AE524&amp;""),CHAR(10)," "),CHAR(13)," "),CHAR(9)," "),CHAR(160)," "),"."," "),","," "),"-"," "),"/"," "),"("," "),")"," "),":"," "),";"," "),"_"," "),"–"," "),"?"," "),"!"," "),"*"," "),"["," "),"]"," "),"'"," "),"#"," "),"+"," "),"&amp;"," "),"\"," "))&amp;" "</f>
        <v>  </v>
      </c>
      <c r="CE524" s="68" t="n">
        <f aca="false">IFERROR(IF(AND(LEN(AU524)&gt;0,LEN(AU524)=LEN(AX524),OR(TRIM(MID(SUBSTITUTE(TRIM(CC524)," ",REPT(" ",60)),1,60))="",ISNUMBER(SEARCH(" "&amp;TRIM(MID(SUBSTITUTE(TRIM(CC524)," ",REPT(" ",60)),1,60))&amp;" ",CD524))),OR(TRIM(MID(SUBSTITUTE(TRIM(CC524)," ",REPT(" ",60)),61,60))="",ISNUMBER(SEARCH(" "&amp;TRIM(MID(SUBSTITUTE(TRIM(CC524)," ",REPT(" ",60)),61,60))&amp;" ",CD524))),OR(TRIM(MID(SUBSTITUTE(TRIM(CC524)," ",REPT(" ",60)),121,60))="",ISNUMBER(SEARCH(" "&amp;TRIM(MID(SUBSTITUTE(TRIM(CC524)," ",REPT(" ",60)),121,60))&amp;" ",CD524)))),1,0),0)</f>
        <v>0</v>
      </c>
      <c r="CG524" s="68" t="n">
        <f aca="false">IFERROR(LEN(SUBSTITUTE(BF524," ",""))-SUMPRODUCT((LEN(BF524)-LEN(SUBSTITUTE(BF524," "&amp;L_NAFiller&amp;" "," ")))/(LEN(L_NAFiller)+1)*LEN(L_NAFiller)),0)</f>
        <v>0</v>
      </c>
    </row>
    <row r="525" customFormat="false" ht="54" hidden="false" customHeight="true" outlineLevel="0" collapsed="false">
      <c r="A525" s="57" t="s">
        <v>1185</v>
      </c>
      <c r="B525" s="57" t="s">
        <v>280</v>
      </c>
      <c r="C525" s="57" t="str">
        <f aca="false">Flights!$F$20</f>
        <v>MH0072</v>
      </c>
      <c r="D525" s="58" t="n">
        <f aca="false">Flights!$D$20</f>
        <v>46321</v>
      </c>
      <c r="E525" s="57" t="str">
        <f aca="false">Flights!$G$20&amp;"-"&amp;Flights!$H$20</f>
        <v>KUL-HKG</v>
      </c>
      <c r="F525" s="57" t="str">
        <f aca="false">Flights!$K$20</f>
        <v>EY</v>
      </c>
      <c r="G525" s="57" t="s">
        <v>420</v>
      </c>
      <c r="H525" s="57" t="s">
        <v>378</v>
      </c>
      <c r="I525" s="57" t="s">
        <v>634</v>
      </c>
      <c r="J525" s="57" t="s">
        <v>1186</v>
      </c>
      <c r="K525" s="67" t="s">
        <v>1187</v>
      </c>
      <c r="L525" s="67" t="s">
        <v>1188</v>
      </c>
      <c r="M525" s="67" t="s">
        <v>451</v>
      </c>
      <c r="N525" s="67" t="s">
        <v>383</v>
      </c>
      <c r="O525" s="67" t="s">
        <v>1189</v>
      </c>
      <c r="P525" s="57" t="s">
        <v>187</v>
      </c>
      <c r="Q525" s="59" t="n">
        <f aca="false">ROUND((Flights!$AE$20)*1440,0)/1440</f>
        <v>46320.5486111111</v>
      </c>
      <c r="R525" s="59" t="n">
        <f aca="false">Q525+(IF(AND(INDEX(TZ_DSTS,MATCH(P525,TZ_STN,0))&lt;&gt;"",Q525&gt;=INDEX(TZ_DSTS,MATCH(P525,TZ_STN,0)),Q525&lt;INDEX(TZ_DSTE,MATCH(P525,TZ_STN,0))),INDEX(TZ_DST,MATCH(P525,TZ_STN,0)),INDEX(TZ_STD,MATCH(P525,TZ_STN,0))))/24</f>
        <v>46320.8819444444</v>
      </c>
      <c r="S525" s="60"/>
      <c r="T525" s="60"/>
      <c r="U525" s="60"/>
      <c r="V525" s="60"/>
      <c r="W525" s="61"/>
      <c r="X525" s="60"/>
      <c r="Y525" s="60"/>
      <c r="Z525" s="60"/>
      <c r="AA525" s="60"/>
      <c r="AB525" s="60"/>
      <c r="AC525" s="60"/>
      <c r="AD525" s="66"/>
      <c r="AE525" s="60"/>
      <c r="AF525" s="61" t="str">
        <f aca="false">IF(AND(ISNUMBER(X525),ISNUMBER(Y525)),Y525-X525,"")</f>
        <v/>
      </c>
      <c r="AG525" s="62" t="str">
        <f aca="false">IF(ISNUMBER(AD525),AD525-(IF(AND(INDEX(TZ_DSTS,MATCH(P525,TZ_STN,0))&lt;&gt;"",(AD525-INDEX(TZ_STD,MATCH(P525,TZ_STN,0))/24)&gt;=INDEX(TZ_DSTS,MATCH(P525,TZ_STN,0)),(AD525-INDEX(TZ_STD,MATCH(P525,TZ_STN,0))/24)&lt;INDEX(TZ_DSTE,MATCH(P525,TZ_STN,0))),INDEX(TZ_DST,MATCH(P525,TZ_STN,0)),INDEX(TZ_STD,MATCH(P525,TZ_STN,0))))/24,"")</f>
        <v/>
      </c>
      <c r="AH525" s="65" t="str">
        <f aca="false">IFERROR(IF(N525="N/A – rule",IF(OR(TRIM(U525)="",TRIM(U525)="N/A",TRIM(U525)="Not started"),"N/A – RULE","INVALID – this check does not apply to this aircraft: clear the status (or correct the fleet on Flights)"),IF(TRIM(U525)="N/A",IF(AT525=0,"INVALID – N/A not permitted for this check",IF(AND(TRIM(AB525)&lt;&gt;"",TRIM(AB525)&lt;&gt;"Closed"),"INVALID – corrective action still open",IF(AND(NOT(OR(LEN(AZ525)&lt;15,ISNUMBER(MATCH(AZ525,L_Placeholder,0)))),BK525=0,CG525&gt;=8,NOT(OR(LEN(AU525)&lt;2,ISNUMBER(MATCH(AU525,L_Placeholder,0)))),BR525&gt;=3,NOT(OR(LEN(AX525)&lt;2,ISNUMBER(MATCH(AX525,L_Placeholder,0)))),BS525&gt;=3,TRIM(AE525)&lt;&gt;TRIM(T525),AX525&lt;&gt;AU525,CE525=0),"N/A – JUSTIFIED","INVALID – N/A needs a real, settled reason (not 'not applicable' / 'as above' / TBC), a named PIC and a different named verifier"))),IF(OR(TRIM(U525)="Pass",TRIM(U525)="Pass after CA"),IF(NOT(ISNUMBER(AD525)),"INVALID – completion time missing",IF(OR(OR(LEN(AU525)&lt;2,ISNUMBER(MATCH(AU525,L_Placeholder,0))),BR525&lt;3),"INVALID – PIC missing or not a named person (a role such as QA / CSM is not a name)",IF(OR(LEN(AV525)&lt;2,ISNUMBER(MATCH(AV525,L_Placeholder,0))),"INVALID – result / assessment missing",IF(OR(OR(LEN(AW525)&lt;3,ISNUMBER(MATCH(AW525,L_Placeholder,0))),SUMPRODUCT(--ISNUMBER(SEARCH(" "&amp;L_EvidencePhrase&amp;" ",BD525)))&gt;0,BI525=1),"INVALID – evidence missing, placeholder or not yet on file",IF(ISNA(MATCH(TRIM(S525),L_EvidenceType,0)),"INVALID – choose the evidence type from the list (column S)",IF(BL525=0,"INVALID – evidence ID must be the record's own ID only (e.g. SF-2210, IMG_2231, 1045521); a link / file name needs type 'Link / file path'",IF(OR(OR(LEN(AX525)&lt;2,ISNUMBER(MATCH(AX525,L_Placeholder,0))),BS525&lt;3),"INVALID – verifier missing or not a named person (a role such as QA / CSM is not a name)",IF(OR(AX525=AU525,CE525=1,AND(LEN(AU525)&gt;=4,ISNUMBER(SEARCH(AU525,AX525))),AND(LEN(AX525)&gt;=4,ISNUMBER(SEARCH(AX525,AU525)))),"INVALID – verifier must be a different, named person (not the PIC or a role)",IF(BH525=1,"INVALID – result not yet available (awaiting / TBC)",IF(BG525=1,"INVALID – result describes a problem: record Fail, then Pass after CA (or reword if it is not a problem)",IF(BV525=1,"INVALID – wording says not on board: an on-board confirmation needs the item loaded",IF(AND(AQ525=1,OR(OR(LEN(AY525)&lt;3,ISNUMBER(MATCH(AY525,L_Placeholder,0))),BJ525=1,BQ525=0)),"INVALID – batch ID missing, placeholder or not an ID (e.g. PASB-261008-BC-017)",IF(AND(AR525=1,OR(NOT(ISNUMBER(X525)),NOT(ISNUMBER(Y525)))),"INVALID – expected/actual qty missing",IF(AND(AR525=1,OR(X525&lt;=0,Y525&lt;0)),"INVALID – expected qty must be above 0 and actual not negative",IF(BB525&lt;&gt;"",BB525,IF(AND(AS525=1,Documents!$J$20&lt;&gt;"ON FILE"),"INVALID – GLD not on file (Documents sheet)",IF(AND(AS525=2,Documents!$O$20&lt;&gt;"ON FILE"),"INVALID – menu checklist not on file (Documents sheet)",IF(AND(AS525=3,NOT(ISNUMBER(Flights!$AX$20))),"INVALID – enter carrying flight KUL departure (Flights AX)",IF(AND(AS525=3,OR(Flights!$AZ$20&gt;Flights!$AA$20,Flights!$AX$20&lt;Flights!$AA$20-3)),"INVALID – carrying flight (Flights AX) cannot arrive before this leg's STD, or is over 3 days early",IF(AG525&gt;AsOfUTC,"INVALID – completion time is in the future",IF(AND(ISNUMBER(BY525),AG525&lt;BY525),IF(H525="Physical uplift","INVALID – before uplift window (cannot confirm loading)","INVALID – before valid window"),IF(AG525&gt;Flights!$AA$20,"INVALID – completed after departure (cannot establish readiness)",IF(AND(H525="Preparation",AG525&gt;=IF(ISNUMBER(Flights!$BA$20),MIN(Flights!$BA$20,Flights!$AA$20),Flights!$AA$20)),"INVALID – completed after loading / departure (cannot establish readiness)",IF(AND(H525="Physical uplift",AG525&gt;Q525),"INVALID – recorded after the loading flight departed",IF(AG525&gt;Q525,"COMPLETE – LATE","COMPLETE"))))))))))))))))))))))))),IF(TRIM(U525)="Fail","FAIL – DISCREPANCY",IF(AND(TRIM(U525)&lt;&gt;"",TRIM(U525)&lt;&gt;"Not started",TRIM(U525)&lt;&gt;"In progress"),"INVALID – unrecognised status (use the list)",IF(AsOfUTC&gt;Q525,"OVERDUE",IF(N525="Clarification required","OPEN – CLARIFICATION","OPEN"))))))),"INVALID – error value in an input cell")</f>
        <v>OPEN</v>
      </c>
      <c r="AI525" s="61" t="n">
        <f aca="false">IF(OR(AH525="N/A – RULE",AH525="N/A – JUSTIFIED"),0,1)</f>
        <v>1</v>
      </c>
      <c r="AJ525" s="61" t="n">
        <f aca="false">IF(LEFT(AH525,8)="COMPLETE",1,0)</f>
        <v>0</v>
      </c>
      <c r="AK525" s="61" t="n">
        <f aca="false">IF(AND(AI525=1,AJ525=0,AsOfUTC&gt;Q525),1,0)</f>
        <v>0</v>
      </c>
      <c r="AL525" s="61" t="n">
        <f aca="false">IFERROR(IF(AND(AI525=1,OR(TRIM(U525)="Fail",AND(TRIM(AB525)&lt;&gt;"",TRIM(AB525)&lt;&gt;"Closed"),AND(ISNUMBER(AF525),AF525&lt;&gt;0,TRIM(U525)&lt;&gt;"Pass after CA"))),1,0),1)</f>
        <v>0</v>
      </c>
      <c r="AM525" s="61" t="n">
        <f aca="false">IF(LEFT(AH525,7)="INVALID",1,0)</f>
        <v>0</v>
      </c>
      <c r="AN525" s="61" t="n">
        <f aca="false">IF(AND(N525="Clarification required",AI525=1,AJ525=0),1,0)</f>
        <v>0</v>
      </c>
      <c r="AO525" s="61" t="str">
        <f aca="false">IF(AK525=1,SUM(AK$5:AK525),"")</f>
        <v/>
      </c>
      <c r="AP525" s="61" t="str">
        <f aca="false">IF(AL525=1,SUM(AL$5:AL525),"")</f>
        <v/>
      </c>
      <c r="AQ525" s="61" t="n">
        <v>0</v>
      </c>
      <c r="AR525" s="61" t="n">
        <v>0</v>
      </c>
      <c r="AS525" s="61" t="n">
        <v>0</v>
      </c>
      <c r="AT525" s="61" t="n">
        <v>0</v>
      </c>
      <c r="AU525" s="61" t="str">
        <f aca="false">SUBSTITUTE(SUBSTITUTE(SUBSTITUTE(SUBSTITUTE(SUBSTITUTE(SUBSTITUTE(SUBSTITUTE(SUBSTITUTE(SUBSTITUTE(SUBSTITUTE(SUBSTITUTE(SUBSTITUTE(SUBSTITUTE(SUBSTITUTE(SUBSTITUTE(SUBSTITUTE(LOWER(T525&amp;""),CHAR(10),""),CHAR(13),""),CHAR(9),""),CHAR(160),"")," ",""),".",""),"-",""),"/",""),"?",""),"_",""),",",""),"[",""),"]",""),"(",""),")",""),"*","")</f>
        <v/>
      </c>
      <c r="AV525" s="61" t="str">
        <f aca="false">SUBSTITUTE(SUBSTITUTE(SUBSTITUTE(SUBSTITUTE(SUBSTITUTE(SUBSTITUTE(SUBSTITUTE(SUBSTITUTE(SUBSTITUTE(SUBSTITUTE(SUBSTITUTE(SUBSTITUTE(SUBSTITUTE(SUBSTITUTE(SUBSTITUTE(SUBSTITUTE(LOWER(V525&amp;""),CHAR(10),""),CHAR(13),""),CHAR(9),""),CHAR(160),"")," ",""),".",""),"-",""),"/",""),"?",""),"_",""),",",""),"[",""),"]",""),"(",""),")",""),"*","")</f>
        <v/>
      </c>
      <c r="AW525" s="61" t="str">
        <f aca="false">SUBSTITUTE(SUBSTITUTE(SUBSTITUTE(SUBSTITUTE(SUBSTITUTE(SUBSTITUTE(SUBSTITUTE(SUBSTITUTE(SUBSTITUTE(SUBSTITUTE(SUBSTITUTE(SUBSTITUTE(SUBSTITUTE(SUBSTITUTE(SUBSTITUTE(SUBSTITUTE(LOWER(Z525&amp;""),CHAR(10),""),CHAR(13),""),CHAR(9),""),CHAR(160),"")," ",""),".",""),"-",""),"/",""),"?",""),"_",""),",",""),"[",""),"]",""),"(",""),")",""),"*","")</f>
        <v/>
      </c>
      <c r="AX525" s="61" t="str">
        <f aca="false">SUBSTITUTE(SUBSTITUTE(SUBSTITUTE(SUBSTITUTE(SUBSTITUTE(SUBSTITUTE(SUBSTITUTE(SUBSTITUTE(SUBSTITUTE(SUBSTITUTE(SUBSTITUTE(SUBSTITUTE(SUBSTITUTE(SUBSTITUTE(SUBSTITUTE(SUBSTITUTE(LOWER(AE525&amp;""),CHAR(10),""),CHAR(13),""),CHAR(9),""),CHAR(160),"")," ",""),".",""),"-",""),"/",""),"?",""),"_",""),",",""),"[",""),"]",""),"(",""),")",""),"*","")</f>
        <v/>
      </c>
      <c r="AY525" s="61" t="str">
        <f aca="false">SUBSTITUTE(SUBSTITUTE(SUBSTITUTE(SUBSTITUTE(SUBSTITUTE(SUBSTITUTE(SUBSTITUTE(SUBSTITUTE(SUBSTITUTE(SUBSTITUTE(SUBSTITUTE(SUBSTITUTE(SUBSTITUTE(SUBSTITUTE(SUBSTITUTE(SUBSTITUTE(LOWER(W525&amp;""),CHAR(10),""),CHAR(13),""),CHAR(9),""),CHAR(160),"")," ",""),".",""),"-",""),"/",""),"?",""),"_",""),",",""),"[",""),"]",""),"(",""),")",""),"*","")</f>
        <v/>
      </c>
      <c r="AZ525" s="61" t="str">
        <f aca="false">SUBSTITUTE(SUBSTITUTE(SUBSTITUTE(SUBSTITUTE(SUBSTITUTE(SUBSTITUTE(SUBSTITUTE(SUBSTITUTE(SUBSTITUTE(SUBSTITUTE(SUBSTITUTE(SUBSTITUTE(SUBSTITUTE(SUBSTITUTE(SUBSTITUTE(SUBSTITUTE(LOWER(AC525&amp;""),CHAR(10),""),CHAR(13),""),CHAR(9),""),CHAR(160),"")," ",""),".",""),"-",""),"/",""),"?",""),"_",""),",",""),"[",""),"]",""),"(",""),")",""),"*","")</f>
        <v/>
      </c>
      <c r="BA525" s="61" t="str">
        <f aca="false">SUBSTITUTE(SUBSTITUTE(SUBSTITUTE(SUBSTITUTE(SUBSTITUTE(SUBSTITUTE(SUBSTITUTE(SUBSTITUTE(SUBSTITUTE(SUBSTITUTE(SUBSTITUTE(SUBSTITUTE(SUBSTITUTE(SUBSTITUTE(SUBSTITUTE(SUBSTITUTE(LOWER(AA525&amp;""),CHAR(10),""),CHAR(13),""),CHAR(9),""),CHAR(160),"")," ",""),".",""),"-",""),"/",""),"?",""),"_",""),",",""),"[",""),"]",""),"(",""),")",""),"*","")</f>
        <v/>
      </c>
      <c r="BB525" s="61" t="str">
        <f aca="false">IF(AND(TRIM(U525)="Pass",ISNUMBER(AF525)),IF(AF525&lt;&gt;0,"INVALID – qty variance: use Fail or Pass after CA",""),"")&amp;IF(AND(TRIM(U525)="Pass after CA",ISNUMBER(AF525)),IF(AF525&lt;&gt;0,"INVALID – after the corrective action the actual qty must equal expected (update Actual)",""),"")&amp;IF(AND(TRIM(U525)="Pass",TRIM(AB525)&lt;&gt;"",TRIM(AB525)&lt;&gt;"Closed"),"INVALID – corrective action not closed: use Fail, then Pass after CA","")&amp;IF(AND(LEN(BA525)&gt;=2,ISNA(MATCH(LEFT(BA525,255),L_Placeholder,0)),TRIM(AB525)=""),"INVALID – CA status missing for the recorded corrective action","")&amp;IF(AND(TRIM(U525)="Pass after CA",OR(OR(LEN(BA525)&lt;5,ISNUMBER(MATCH(BA525,L_Placeholder,0))),TRIM(AB525)&lt;&gt;"Closed")),"INVALID – corrective action not recorded/closed","")</f>
        <v/>
      </c>
      <c r="BC525" s="61" t="str">
        <f aca="false">" "&amp;TRIM(SUBSTITUTE(SUBSTITUTE(SUBSTITUTE(SUBSTITUTE(SUBSTITUTE(SUBSTITUTE(SUBSTITUTE(SUBSTITUTE(SUBSTITUTE(SUBSTITUTE(SUBSTITUTE(SUBSTITUTE(SUBSTITUTE(SUBSTITUTE(SUBSTITUTE(SUBSTITUTE(SUBSTITUTE(SUBSTITUTE(SUBSTITUTE(SUBSTITUTE(SUBSTITUTE(SUBSTITUTE(SUBSTITUTE(SUBSTITUTE(LOWER(V525&amp;""),CHAR(10)," "),CHAR(13)," "),CHAR(9)," "),CHAR(160)," "),"."," "),","," "),"-"," "),"/"," "),"("," "),")"," "),":"," "),";"," "),"_"," "),"–"," "),"?"," "),"!"," "),"*"," "),"["," "),"]"," "),"'"," "),"#"," "),"+"," "),"&amp;"," "),"\"," "))&amp;" "</f>
        <v>  </v>
      </c>
      <c r="BD525" s="61" t="str">
        <f aca="false">" "&amp;TRIM(SUBSTITUTE(SUBSTITUTE(SUBSTITUTE(SUBSTITUTE(SUBSTITUTE(SUBSTITUTE(SUBSTITUTE(SUBSTITUTE(SUBSTITUTE(SUBSTITUTE(SUBSTITUTE(SUBSTITUTE(SUBSTITUTE(SUBSTITUTE(SUBSTITUTE(SUBSTITUTE(SUBSTITUTE(SUBSTITUTE(SUBSTITUTE(SUBSTITUTE(SUBSTITUTE(SUBSTITUTE(SUBSTITUTE(SUBSTITUTE(LOWER(Z525&amp;""),CHAR(10)," "),CHAR(13)," "),CHAR(9)," "),CHAR(160)," "),"."," "),","," "),"-"," "),"/"," "),"("," "),")"," "),":"," "),";"," "),"_"," "),"–"," "),"?"," "),"!"," "),"*"," "),"["," "),"]"," "),"'"," "),"#"," "),"+"," "),"&amp;"," "),"\"," "))&amp;" "</f>
        <v>  </v>
      </c>
      <c r="BE525" s="61" t="str">
        <f aca="false">" "&amp;TRIM(SUBSTITUTE(SUBSTITUTE(SUBSTITUTE(SUBSTITUTE(SUBSTITUTE(SUBSTITUTE(SUBSTITUTE(SUBSTITUTE(SUBSTITUTE(SUBSTITUTE(SUBSTITUTE(SUBSTITUTE(SUBSTITUTE(SUBSTITUTE(SUBSTITUTE(SUBSTITUTE(SUBSTITUTE(SUBSTITUTE(SUBSTITUTE(SUBSTITUTE(SUBSTITUTE(SUBSTITUTE(SUBSTITUTE(SUBSTITUTE(LOWER(W525&amp;""),CHAR(10)," "),CHAR(13)," "),CHAR(9)," "),CHAR(160)," "),"."," "),","," "),"-"," "),"/"," "),"("," "),")"," "),":"," "),";"," "),"_"," "),"–"," "),"?"," "),"!"," "),"*"," "),"["," "),"]"," "),"'"," "),"#"," "),"+"," "),"&amp;"," "),"\"," "))&amp;" "</f>
        <v>  </v>
      </c>
      <c r="BF525" s="61" t="str">
        <f aca="false">" "&amp;TRIM(SUBSTITUTE(SUBSTITUTE(SUBSTITUTE(SUBSTITUTE(SUBSTITUTE(SUBSTITUTE(SUBSTITUTE(SUBSTITUTE(SUBSTITUTE(SUBSTITUTE(SUBSTITUTE(SUBSTITUTE(SUBSTITUTE(SUBSTITUTE(SUBSTITUTE(SUBSTITUTE(SUBSTITUTE(SUBSTITUTE(SUBSTITUTE(SUBSTITUTE(SUBSTITUTE(SUBSTITUTE(SUBSTITUTE(SUBSTITUTE(LOWER(AC525&amp;""),CHAR(10)," "),CHAR(13)," "),CHAR(9)," "),CHAR(160)," "),"."," "),","," "),"-"," "),"/"," "),"("," "),")"," "),":"," "),";"," "),"_"," "),"–"," "),"?"," "),"!"," "),"*"," "),"["," "),"]"," "),"'"," "),"#"," "),"+"," "),"&amp;"," "),"\"," "))&amp;" "</f>
        <v>  </v>
      </c>
      <c r="BG525" s="61" t="n">
        <f aca="false">IFERROR(IF(AND(TRIM(U525)="Pass",SUMPRODUCT((LEN(BC525)-LEN(SUBSTITUTE(BC525," "&amp;L_ResultBad&amp;" "," ")))/(LEN(L_ResultBad)+1))&gt;SUMPRODUCT((LEN(BC525)-LEN(SUBSTITUTE(BC525," "&amp;L_NegPhrase&amp;" "," ")))/(LEN(L_NegPhrase)+1))),1,0),0)</f>
        <v>0</v>
      </c>
      <c r="BH525" s="61" t="n">
        <f aca="false">IFERROR(IF(SUMPRODUCT((LEN(BC525)-LEN(SUBSTITUTE(BC525," "&amp;L_Pending&amp;" "," ")))/(LEN(L_Pending)+1))&gt;SUMPRODUCT((LEN(BC525)-LEN(SUBSTITUTE(BC525," "&amp;L_PendNeg&amp;" "," ")))/(LEN(L_PendNeg)+1))+SUMPRODUCT((LEN(BC525)-LEN(SUBSTITUTE(BC525," "&amp;L_PendPrep&amp;" "," ")))/(LEN(L_PendPrep)+1)),1,0),1)</f>
        <v>0</v>
      </c>
      <c r="BI525" s="61" t="n">
        <f aca="false">IFERROR(IF(SUMPRODUCT((LEN(BD525)-LEN(SUBSTITUTE(BD525," "&amp;L_PendStrict&amp;" "," ")))/(LEN(L_PendStrict)+1))&gt;SUMPRODUCT((LEN(BD525)-LEN(SUBSTITUTE(BD525," "&amp;L_PendNeg&amp;" "," ")))/(LEN(L_PendNeg)+1)),1,0),1)</f>
        <v>0</v>
      </c>
      <c r="BJ525" s="61" t="n">
        <f aca="false">IFERROR(IF(SUMPRODUCT((LEN(BE525)-LEN(SUBSTITUTE(BE525," "&amp;L_Pending&amp;" "," ")))/(LEN(L_Pending)+1))&gt;SUMPRODUCT((LEN(BE525)-LEN(SUBSTITUTE(BE525," "&amp;L_PendNeg&amp;" "," ")))/(LEN(L_PendNeg)+1))+SUMPRODUCT((LEN(BE525)-LEN(SUBSTITUTE(BE525," "&amp;L_PendPrep&amp;" "," ")))/(LEN(L_PendPrep)+1)),1,0),1)</f>
        <v>0</v>
      </c>
      <c r="BK525" s="61" t="n">
        <f aca="false">IFERROR(IF(SUMPRODUCT((LEN(BF525)-LEN(SUBSTITUTE(BF525," "&amp;L_PendStrict&amp;" "," ")))/(LEN(L_PendStrict)+1))&gt;SUMPRODUCT((LEN(BF525)-LEN(SUBSTITUTE(BF525," "&amp;L_PendNeg&amp;" "," ")))/(LEN(L_PendNeg)+1)),1,0),1)</f>
        <v>0</v>
      </c>
      <c r="BL525" s="61" t="n">
        <f aca="false">IF(ISNA(MATCH(TRIM(S525),L_EvidenceType,0)),0,BZ525)</f>
        <v>0</v>
      </c>
      <c r="BM525" s="61" t="str">
        <f aca="false">SUBSTITUTE(SUBSTITUTE(SUBSTITUTE(SUBSTITUTE(SUBSTITUTE(SUBSTITUTE(SUBSTITUTE(SUBSTITUTE(SUBSTITUTE(LOWER(Z525&amp;""),"1","0"),"2","0"),"3","0"),"4","0"),"5","0"),"6","0"),"7","0"),"8","0"),"9","0")</f>
        <v/>
      </c>
      <c r="BN525" s="61" t="str">
        <f aca="false">SUBSTITUTE(SUBSTITUTE(SUBSTITUTE(SUBSTITUTE(SUBSTITUTE(SUBSTITUTE(SUBSTITUTE(SUBSTITUTE(SUBSTITUTE(SUBSTITUTE(SUBSTITUTE(SUBSTITUTE(SUBSTITUTE(SUBSTITUTE(SUBSTITUTE(SUBSTITUTE(SUBSTITUTE(SUBSTITUTE(SUBSTITUTE(SUBSTITUTE(SUBSTITUTE(SUBSTITUTE(SUBSTITUTE(SUBSTITUTE(SUBSTITUTE(BM525,"b","a"),"c","a"),"d","a"),"e","a"),"f","a"),"g","a"),"h","a"),"i","a"),"j","a"),"k","a"),"l","a"),"m","a"),"n","a"),"o","a"),"p","a"),"q","a"),"r","a"),"s","a"),"t","a"),"u","a"),"v","a"),"w","a"),"x","a"),"y","a"),"z","a")</f>
        <v/>
      </c>
      <c r="BO525" s="61" t="str">
        <f aca="false">SUBSTITUTE(SUBSTITUTE(SUBSTITUTE(SUBSTITUTE(SUBSTITUTE(SUBSTITUTE(SUBSTITUTE(SUBSTITUTE(SUBSTITUTE(LOWER(W525&amp;""),"1","0"),"2","0"),"3","0"),"4","0"),"5","0"),"6","0"),"7","0"),"8","0"),"9","0")</f>
        <v/>
      </c>
      <c r="BP525" s="61" t="str">
        <f aca="false">SUBSTITUTE(SUBSTITUTE(SUBSTITUTE(SUBSTITUTE(SUBSTITUTE(SUBSTITUTE(SUBSTITUTE(SUBSTITUTE(SUBSTITUTE(SUBSTITUTE(SUBSTITUTE(SUBSTITUTE(SUBSTITUTE(SUBSTITUTE(SUBSTITUTE(SUBSTITUTE(SUBSTITUTE(SUBSTITUTE(SUBSTITUTE(SUBSTITUTE(SUBSTITUTE(SUBSTITUTE(SUBSTITUTE(SUBSTITUTE(SUBSTITUTE(BO525,"b","a"),"c","a"),"d","a"),"e","a"),"f","a"),"g","a"),"h","a"),"i","a"),"j","a"),"k","a"),"l","a"),"m","a"),"n","a"),"o","a"),"p","a"),"q","a"),"r","a"),"s","a"),"t","a"),"u","a"),"v","a"),"w","a"),"x","a"),"y","a"),"z","a")</f>
        <v/>
      </c>
      <c r="BQ525" s="61" t="n">
        <f aca="false">IFERROR(IF(AND(ISERROR(SEARCH(" mh"," "&amp;LOWER(W525))),ISNA(MATCH(LEFT(TRIM(BP525),255),{"0000a","000a","00a","0000aa","000aa","00aa","0aa","0000aaa","000aaa","00a00","0a00","0000-0000","00:00","a00","a0","00.00.0000","00/00/0000","00-00-0000","0000-00-00","0000/00/00","0000.00.00","00.00.00","00/00/00","00-00-00","0.00.0000","0/00/0000","0-00-0000"},0)),ISNA(MATCH(LEFT(TRIM(CA525),255),{"0000a","000a","00a","0000aa","000aa","00aa","0aa","0000aaa","000aaa","00a00","0a00","0000-0000","00:00","a00","a0","00.00.0000","00/00/0000","00-00-0000","0000-00-00","0000/00/00","0000.00.00","00.00.00","00/00/00","00-00-00","0.00.0000","0/00/0000","0-00-0000"},0)),LEN(CB525)&gt;=3,NOT(OR(SUBSTITUTE(CB525,"0","")="",AND(LEN(CB525)&gt;=4,CB525=REPT(LEFT(CB525),LEN(CB525))),ISNUMBER(MATCH(CB525,{"123","1234","12345","123456","1234567","12345678","0123","01234","012345","98765","987654","54321"},0)),AND(LEN(CB525)=8,LEFT(CB525,3)="202"))),OR(AND((LEN(CA525)-LEN(SUBSTITUTE(CA525,"a","")))&gt;=1,SUMPRODUCT(--ISNUMBER(SEARCH({"a0","a-0","a_0","a/0","a.0","a#0","0a","0-a","0_a","0/a"},BP525)))&gt;0),ISNUMBER(SEARCH("000000",BP525)))),1,0),0)</f>
        <v>0</v>
      </c>
      <c r="BR525" s="61" t="n">
        <f aca="false">IFERROR(LEN(SUBSTITUTE(CC525," ",""))-SUMPRODUCT((LEN(CC525)-LEN(SUBSTITUTE(CC525," "&amp;L_Role&amp;" "," ")))/(LEN(L_Role)+1)*LEN(L_Role)),0)</f>
        <v>0</v>
      </c>
      <c r="BS525" s="61" t="n">
        <f aca="false">IFERROR(LEN(SUBSTITUTE(CD525," ",""))-SUMPRODUCT((LEN(CD525)-LEN(SUBSTITUTE(CD525," "&amp;L_Role&amp;" "," ")))/(LEN(L_Role)+1)*LEN(L_Role)),0)</f>
        <v>0</v>
      </c>
      <c r="BT5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525,"revision",""),"version",""),"jan",""),"feb",""),"mar",""),"apr",""),"may",""),"jun",""),"jul",""),"aug",""),"sep",""),"oct",""),"nov",""),"dec",""),"utc",""),"gmt",""),"myt",""),"bst",""),"rev",""),"ver",""),"b","a"),"c","a"),"d","a"),"e","a"),"f","a"),"g","a"),"h","a"),"i","a"),"j","a"),"k","a"),"l","a"),"m","a"),"n","a"),"o","a"),"p","a"),"q","a"),"r","a"),"s","a"),"t","a"),"u","a"),"v","a"),"w","a"),"x","a"),"y","a"),"z","a")</f>
        <v/>
      </c>
      <c r="BU525" s="61" t="str">
        <f aca="false">SUBSTITUTE(SUBSTITUTE(SUBSTITUTE(SUBSTITUTE(SUBSTITUTE(SUBSTITUTE(SUBSTITUTE(SUBSTITUTE(SUBSTITUTE(SUBSTITUTE(LEFT(BM525,FIND("0",BM525&amp;"0")-1),"-",""),"_",""),"/",""),".",""),"#",""),"\\",""),":","")," ",""),"(",""),")","")</f>
        <v/>
      </c>
      <c r="BV525" s="61" t="n">
        <f aca="false">0</f>
        <v>0</v>
      </c>
      <c r="BW5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525&amp;""),"a",""),"b",""),"c",""),"d",""),"e",""),"f",""),"g",""),"h",""),"i",""),"j",""),"k",""),"l",""),"m",""),"n",""),"o",""),"p",""),"q",""),"r",""),"s",""),"t",""),"u",""),"v",""),"w",""),"x",""),"y",""),"z",""),"-",""),"_",""),"/",""),".",""),"#",""),"\\",""),":","")," ",""),"(",""),")","")</f>
        <v/>
      </c>
      <c r="BX525" s="61" t="str">
        <f aca="false">SUBSTITUTE(SUBSTITUTE(SUBSTITUTE(SUBSTITUTE(SUBSTITUTE(SUBSTITUTE(SUBSTITUTE(SUBSTITUTE(SUBSTITUTE(SUBSTITUTE(SUBSTITUTE(BM525,"0",""),"-",""),"_",""),"/",""),".",""),"#",""),"\\",""),":","")," ",""),"(",""),")","")</f>
        <v/>
      </c>
      <c r="BY525" s="62" t="n">
        <f aca="false">Q525-T12EarlyH/24</f>
        <v>46320.0486111111</v>
      </c>
      <c r="BZ525" s="61" t="n">
        <f aca="false">IFERROR(IF(IF(TRIM(S525)="Link / file path",AND(LEN(TRIM(Z525))&gt;=5,SUMPRODUCT(--ISNUMBER(SEARCH({"http","www.","\\",":\",".pdf",".jpg",".jpeg",".png",".heic",".xls",".doc",".msg",".eml",".ppt",".txt",".zip"},Z525)))&gt;0),AND(ISERROR(FIND(" ",TRIM(Z525))),NOT(OR(SUMPRODUCT(--ISNUMBER(FIND({",",";","&amp;","+"},Z525)))&gt;0,SUMPRODUCT(--ISNUMBER(SEARCH({"0/aa","0\\aa"},BN525)))&gt;0)),NOT(SUMPRODUCT(--ISNUMBER(SEARCH({"http","www.","\\",":\",".pdf",".jpg",".jpeg",".png",".heic",".xls",".doc",".msg",".eml",".ppt",".txt",".zip"},Z525)))&gt;0),NOT(LOWER(TRIM(Z525))=LOWER(Flights!$F$20)),ISNA(MATCH(BU525,{"mh","rev","revision","ver","version","v","r","a","b","seat","tray","row","gate","bay","stand","page","pg","item","line","no","cart","galley","flight","flt","table","box","bag","oven","etd","eta","std","sta","atd","ata","qty","pax","x","time","tel","ph","mob","day","wk","week","utc","gmt","myt","lt"},0)),NOT(OR(ISNUMBER(MATCH(LEFT(BN525,255),{"0000a","000a","00a","0000aa","000aa","00aa","0aa","0000aaa","000aaa","00a00","0a00","0000-0000","00:00","a00","a0","00.00.0000","00/00/0000","00-00-0000","0000-00-00","0000/00/00","0000.00.00","00.00.00","00/00/00","00-00-00","0.00.0000","0/00/0000","0-00-0000"},0)),ISNUMBER(MATCH(LEFT(BT525,255),{"0000a","000a","00a","0000aa","000aa","00aa","0aa","0000aaa","000aaa","00a00","0a00","0000-0000","00:00","a00","a0","00.00.0000","00/00/0000","00-00-0000","0000-00-00","0000/00/00","0000.00.00","00.00.00","00/00/00","00-00-00","0.00.0000","0/00/0000","0-00-0000"},0)))),NOT(OR(AND(BW525&lt;&gt;"",SUBSTITUTE(BW525,"0","")=""),AND(LEN(BW525)&gt;=4,BW525=REPT(LEFT(BW525),LEN(BW525))),ISNUMBER(MATCH(BW525,{"123","1234","12345","123456","1234567","12345678","0123","01234","012345","98765","987654","54321"},0)),ISNUMBER(MATCH(BX525,{"x","xx","xxx","xxxx","xxxxx","abc","abcd","nil","na","nan","test","tbc","tba","tbd","dummy","sample","example","eg","zz","zzz","none","null","xyz","qwe","asd","id","ref"},0)),AND(LEN(BW525)=8,BX525="",OR(LEFT(BW525,3)="202",ISNUMBER(MATCH(RIGHT(BW525,4),{"2025","2026","2027"},0)))))),OR(AND((LEN(BT525)-LEN(SUBSTITUTE(BT525,"a","")))&gt;=1,(LEN(BN525)-LEN(SUBSTITUTE(BN525,"0","")))&gt;=2,SUMPRODUCT(--ISNUMBER(SEARCH({"a0","a-0","a_0","a/0","a.0","a#0","0a","0-a","0_a","0/a"},BN525)))&gt;0),AND((LEN(BN525)-LEN(SUBSTITUTE(BN525,"a","")))=0,(LEN(BN525)-LEN(SUBSTITUTE(BN525,"0","")))&gt;=5)))),1,0),0)</f>
        <v>0</v>
      </c>
      <c r="CA5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525,"revision",""),"version",""),"jan",""),"feb",""),"mar",""),"apr",""),"may",""),"jun",""),"jul",""),"aug",""),"sep",""),"oct",""),"nov",""),"dec",""),"utc",""),"gmt",""),"myt",""),"bst",""),"rev",""),"ver",""),"b","a"),"c","a"),"d","a"),"e","a"),"f","a"),"g","a"),"h","a"),"i","a"),"j","a"),"k","a"),"l","a"),"m","a"),"n","a"),"o","a"),"p","a"),"q","a"),"r","a"),"s","a"),"t","a"),"u","a"),"v","a"),"w","a"),"x","a"),"y","a"),"z","a")</f>
        <v/>
      </c>
      <c r="CB5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525&amp;""),"a",""),"b",""),"c",""),"d",""),"e",""),"f",""),"g",""),"h",""),"i",""),"j",""),"k",""),"l",""),"m",""),"n",""),"o",""),"p",""),"q",""),"r",""),"s",""),"t",""),"u",""),"v",""),"w",""),"x",""),"y",""),"z",""),"-",""),"_",""),"/",""),".",""),"#",""),"\\",""),":","")," ",""),"(",""),")","")</f>
        <v/>
      </c>
      <c r="CC525" s="0" t="str">
        <f aca="false">" "&amp;TRIM(SUBSTITUTE(SUBSTITUTE(SUBSTITUTE(SUBSTITUTE(SUBSTITUTE(SUBSTITUTE(SUBSTITUTE(SUBSTITUTE(SUBSTITUTE(SUBSTITUTE(SUBSTITUTE(SUBSTITUTE(SUBSTITUTE(SUBSTITUTE(SUBSTITUTE(SUBSTITUTE(SUBSTITUTE(SUBSTITUTE(SUBSTITUTE(SUBSTITUTE(SUBSTITUTE(SUBSTITUTE(SUBSTITUTE(SUBSTITUTE(LOWER(T525&amp;""),CHAR(10)," "),CHAR(13)," "),CHAR(9)," "),CHAR(160)," "),"."," "),","," "),"-"," "),"/"," "),"("," "),")"," "),":"," "),";"," "),"_"," "),"–"," "),"?"," "),"!"," "),"*"," "),"["," "),"]"," "),"'"," "),"#"," "),"+"," "),"&amp;"," "),"\"," "))&amp;" "</f>
        <v>  </v>
      </c>
      <c r="CD525" s="0" t="str">
        <f aca="false">" "&amp;TRIM(SUBSTITUTE(SUBSTITUTE(SUBSTITUTE(SUBSTITUTE(SUBSTITUTE(SUBSTITUTE(SUBSTITUTE(SUBSTITUTE(SUBSTITUTE(SUBSTITUTE(SUBSTITUTE(SUBSTITUTE(SUBSTITUTE(SUBSTITUTE(SUBSTITUTE(SUBSTITUTE(SUBSTITUTE(SUBSTITUTE(SUBSTITUTE(SUBSTITUTE(SUBSTITUTE(SUBSTITUTE(SUBSTITUTE(SUBSTITUTE(LOWER(AE525&amp;""),CHAR(10)," "),CHAR(13)," "),CHAR(9)," "),CHAR(160)," "),"."," "),","," "),"-"," "),"/"," "),"("," "),")"," "),":"," "),";"," "),"_"," "),"–"," "),"?"," "),"!"," "),"*"," "),"["," "),"]"," "),"'"," "),"#"," "),"+"," "),"&amp;"," "),"\"," "))&amp;" "</f>
        <v>  </v>
      </c>
      <c r="CE525" s="68" t="n">
        <f aca="false">IFERROR(IF(AND(LEN(AU525)&gt;0,LEN(AU525)=LEN(AX525),OR(TRIM(MID(SUBSTITUTE(TRIM(CC525)," ",REPT(" ",60)),1,60))="",ISNUMBER(SEARCH(" "&amp;TRIM(MID(SUBSTITUTE(TRIM(CC525)," ",REPT(" ",60)),1,60))&amp;" ",CD525))),OR(TRIM(MID(SUBSTITUTE(TRIM(CC525)," ",REPT(" ",60)),61,60))="",ISNUMBER(SEARCH(" "&amp;TRIM(MID(SUBSTITUTE(TRIM(CC525)," ",REPT(" ",60)),61,60))&amp;" ",CD525))),OR(TRIM(MID(SUBSTITUTE(TRIM(CC525)," ",REPT(" ",60)),121,60))="",ISNUMBER(SEARCH(" "&amp;TRIM(MID(SUBSTITUTE(TRIM(CC525)," ",REPT(" ",60)),121,60))&amp;" ",CD525)))),1,0),0)</f>
        <v>0</v>
      </c>
      <c r="CG525" s="68" t="n">
        <f aca="false">IFERROR(LEN(SUBSTITUTE(BF525," ",""))-SUMPRODUCT((LEN(BF525)-LEN(SUBSTITUTE(BF525," "&amp;L_NAFiller&amp;" "," ")))/(LEN(L_NAFiller)+1)*LEN(L_NAFiller)),0)</f>
        <v>0</v>
      </c>
    </row>
    <row r="526" customFormat="false" ht="39.75" hidden="false" customHeight="true" outlineLevel="0" collapsed="false">
      <c r="A526" s="57" t="s">
        <v>1190</v>
      </c>
      <c r="B526" s="57" t="s">
        <v>280</v>
      </c>
      <c r="C526" s="57" t="str">
        <f aca="false">Flights!$F$20</f>
        <v>MH0072</v>
      </c>
      <c r="D526" s="58" t="n">
        <f aca="false">Flights!$D$20</f>
        <v>46321</v>
      </c>
      <c r="E526" s="57" t="str">
        <f aca="false">Flights!$G$20&amp;"-"&amp;Flights!$H$20</f>
        <v>KUL-HKG</v>
      </c>
      <c r="F526" s="57" t="str">
        <f aca="false">Flights!$K$20</f>
        <v>EY</v>
      </c>
      <c r="G526" s="57" t="s">
        <v>459</v>
      </c>
      <c r="H526" s="57" t="s">
        <v>460</v>
      </c>
      <c r="I526" s="57" t="s">
        <v>379</v>
      </c>
      <c r="J526" s="57" t="s">
        <v>461</v>
      </c>
      <c r="K526" s="67" t="s">
        <v>426</v>
      </c>
      <c r="L526" s="67" t="s">
        <v>462</v>
      </c>
      <c r="M526" s="67"/>
      <c r="N526" s="67" t="s">
        <v>383</v>
      </c>
      <c r="O526" s="67" t="s">
        <v>463</v>
      </c>
      <c r="P526" s="57" t="s">
        <v>187</v>
      </c>
      <c r="Q526" s="59" t="n">
        <f aca="false">ROUND((Flights!$AF$20)*1440,0)/1440</f>
        <v>46321.0486111111</v>
      </c>
      <c r="R526" s="59" t="n">
        <f aca="false">Q526+(IF(AND(INDEX(TZ_DSTS,MATCH(P526,TZ_STN,0))&lt;&gt;"",Q526&gt;=INDEX(TZ_DSTS,MATCH(P526,TZ_STN,0)),Q526&lt;INDEX(TZ_DSTE,MATCH(P526,TZ_STN,0))),INDEX(TZ_DST,MATCH(P526,TZ_STN,0)),INDEX(TZ_STD,MATCH(P526,TZ_STN,0))))/24</f>
        <v>46321.3819444444</v>
      </c>
      <c r="S526" s="60"/>
      <c r="T526" s="60"/>
      <c r="U526" s="60"/>
      <c r="V526" s="60"/>
      <c r="W526" s="61"/>
      <c r="X526" s="60"/>
      <c r="Y526" s="60"/>
      <c r="Z526" s="60"/>
      <c r="AA526" s="60"/>
      <c r="AB526" s="60"/>
      <c r="AC526" s="60"/>
      <c r="AD526" s="66"/>
      <c r="AE526" s="60"/>
      <c r="AF526" s="61" t="str">
        <f aca="false">IF(AND(ISNUMBER(X526),ISNUMBER(Y526)),Y526-X526,"")</f>
        <v/>
      </c>
      <c r="AG526" s="62" t="str">
        <f aca="false">IF(ISNUMBER(AD526),AD526-(IF(AND(INDEX(TZ_DSTS,MATCH(P526,TZ_STN,0))&lt;&gt;"",(AD526-INDEX(TZ_STD,MATCH(P526,TZ_STN,0))/24)&gt;=INDEX(TZ_DSTS,MATCH(P526,TZ_STN,0)),(AD526-INDEX(TZ_STD,MATCH(P526,TZ_STN,0))/24)&lt;INDEX(TZ_DSTE,MATCH(P526,TZ_STN,0))),INDEX(TZ_DST,MATCH(P526,TZ_STN,0)),INDEX(TZ_STD,MATCH(P526,TZ_STN,0))))/24,"")</f>
        <v/>
      </c>
      <c r="AH526" s="65" t="str">
        <f aca="false">IFERROR(IF(N526="N/A – rule",IF(OR(TRIM(U526)="",TRIM(U526)="N/A",TRIM(U526)="Not started"),"N/A – RULE","INVALID – this check does not apply to this aircraft: clear the status (or correct the fleet on Flights)"),IF(TRIM(U526)="N/A",IF(AT526=0,"INVALID – N/A not permitted for this check",IF(AND(TRIM(AB526)&lt;&gt;"",TRIM(AB526)&lt;&gt;"Closed"),"INVALID – corrective action still open",IF(AND(NOT(OR(LEN(AZ526)&lt;15,ISNUMBER(MATCH(AZ526,L_Placeholder,0)))),BK526=0,CG526&gt;=8,NOT(OR(LEN(AU526)&lt;2,ISNUMBER(MATCH(AU526,L_Placeholder,0)))),BR526&gt;=3,NOT(OR(LEN(AX526)&lt;2,ISNUMBER(MATCH(AX526,L_Placeholder,0)))),BS526&gt;=3,TRIM(AE526)&lt;&gt;TRIM(T526),AX526&lt;&gt;AU526,CE526=0),"N/A – JUSTIFIED","INVALID – N/A needs a real, settled reason (not 'not applicable' / 'as above' / TBC), a named PIC and a different named verifier"))),IF(OR(TRIM(U526)="Pass",TRIM(U526)="Pass after CA"),IF(NOT(ISNUMBER(AD526)),"INVALID – completion time missing",IF(OR(OR(LEN(AU526)&lt;2,ISNUMBER(MATCH(AU526,L_Placeholder,0))),BR526&lt;3),"INVALID – PIC missing or not a named person (a role such as QA / CSM is not a name)",IF(OR(LEN(AV526)&lt;2,ISNUMBER(MATCH(AV526,L_Placeholder,0))),"INVALID – result / assessment missing",IF(OR(OR(LEN(AW526)&lt;3,ISNUMBER(MATCH(AW526,L_Placeholder,0))),SUMPRODUCT(--ISNUMBER(SEARCH(" "&amp;L_EvidencePhrase&amp;" ",BD526)))&gt;0,BI526=1),"INVALID – evidence missing, placeholder or not yet on file",IF(ISNA(MATCH(TRIM(S526),L_EvidenceType,0)),"INVALID – choose the evidence type from the list (column S)",IF(BL526=0,"INVALID – evidence ID must be the record's own ID only (e.g. SF-2210, IMG_2231, 1045521); a link / file name needs type 'Link / file path'",IF(OR(OR(LEN(AX526)&lt;2,ISNUMBER(MATCH(AX526,L_Placeholder,0))),BS526&lt;3),"INVALID – verifier missing or not a named person (a role such as QA / CSM is not a name)",IF(OR(AX526=AU526,CE526=1,AND(LEN(AU526)&gt;=4,ISNUMBER(SEARCH(AU526,AX526))),AND(LEN(AX526)&gt;=4,ISNUMBER(SEARCH(AX526,AU526)))),"INVALID – verifier must be a different, named person (not the PIC or a role)",IF(BH526=1,"INVALID – result not yet available (awaiting / TBC)",IF(BG526=1,"INVALID – result describes a problem: record Fail, then Pass after CA (or reword if it is not a problem)",IF(BV526=1,"INVALID – wording says not on board: an on-board confirmation needs the item loaded",IF(AND(AQ526=1,OR(OR(LEN(AY526)&lt;3,ISNUMBER(MATCH(AY526,L_Placeholder,0))),BJ526=1,BQ526=0)),"INVALID – batch ID missing, placeholder or not an ID (e.g. PASB-261008-BC-017)",IF(AND(AR526=1,OR(NOT(ISNUMBER(X526)),NOT(ISNUMBER(Y526)))),"INVALID – expected/actual qty missing",IF(AND(AR526=1,OR(X526&lt;=0,Y526&lt;0)),"INVALID – expected qty must be above 0 and actual not negative",IF(AH517="N/A – JUSTIFIED","INVALID – preparation row F16-T12-02 is N/A",IF(AND(AR526=1,ISNUMBER(X517),X526&lt;&gt;X517,TRIM(U526)&lt;&gt;"Pass after CA"),"INVALID – expected qty differs from preparation check F16-T12-02: record the load change as a corrective action (Pass after CA)",IF(BB526&lt;&gt;"",BB526,IF(AND(AS526=1,Documents!$J$20&lt;&gt;"ON FILE"),"INVALID – GLD not on file (Documents sheet)",IF(AND(AS526=2,Documents!$O$20&lt;&gt;"ON FILE"),"INVALID – menu checklist not on file (Documents sheet)",IF(AND(AS526=3,NOT(ISNUMBER(Flights!$AX$20))),"INVALID – enter carrying flight KUL departure (Flights AX)",IF(AND(AS526=3,OR(Flights!$AZ$20&gt;Flights!$AA$20,Flights!$AX$20&lt;Flights!$AA$20-3)),"INVALID – carrying flight (Flights AX) cannot arrive before this leg's STD, or is over 3 days early",IF(AG526&gt;AsOfUTC,"INVALID – completion time is in the future",IF(AND(ISNUMBER(BY526),AG526&lt;BY526),IF(H526="Physical uplift","INVALID – before uplift window (cannot confirm loading)","INVALID – before valid window"),IF(AG526&gt;Flights!$AA$20,"INVALID – completed after departure (cannot establish readiness)",IF(AND(H526="Preparation",AG526&gt;=IF(ISNUMBER(Flights!$BA$20),MIN(Flights!$BA$20,Flights!$AA$20),Flights!$AA$20)),"INVALID – completed after loading / departure (cannot establish readiness)",IF(AND(H526="Physical uplift",AG526&gt;Q526),"INVALID – recorded after the loading flight departed",IF(AG526&gt;Q526,"COMPLETE – LATE","COMPLETE"))))))))))))))))))))))))))),IF(TRIM(U526)="Fail","FAIL – DISCREPANCY",IF(AND(TRIM(U526)&lt;&gt;"",TRIM(U526)&lt;&gt;"Not started",TRIM(U526)&lt;&gt;"In progress"),"INVALID – unrecognised status (use the list)",IF(AsOfUTC&gt;Q526,"OVERDUE",IF(N526="Clarification required","OPEN – CLARIFICATION","OPEN"))))))),"INVALID – error value in an input cell")</f>
        <v>OPEN</v>
      </c>
      <c r="AI526" s="61" t="n">
        <f aca="false">IF(OR(AH526="N/A – RULE",AH526="N/A – JUSTIFIED"),0,1)</f>
        <v>1</v>
      </c>
      <c r="AJ526" s="61" t="n">
        <f aca="false">IF(LEFT(AH526,8)="COMPLETE",1,0)</f>
        <v>0</v>
      </c>
      <c r="AK526" s="61" t="n">
        <f aca="false">IF(AND(AI526=1,AJ526=0,AsOfUTC&gt;Q526),1,0)</f>
        <v>0</v>
      </c>
      <c r="AL526" s="61" t="n">
        <f aca="false">IFERROR(IF(AND(AI526=1,OR(TRIM(U526)="Fail",AND(TRIM(AB526)&lt;&gt;"",TRIM(AB526)&lt;&gt;"Closed"),AND(ISNUMBER(AF526),AF526&lt;&gt;0,TRIM(U526)&lt;&gt;"Pass after CA"))),1,0),1)</f>
        <v>0</v>
      </c>
      <c r="AM526" s="61" t="n">
        <f aca="false">IF(LEFT(AH526,7)="INVALID",1,0)</f>
        <v>0</v>
      </c>
      <c r="AN526" s="61" t="n">
        <f aca="false">IF(AND(N526="Clarification required",AI526=1,AJ526=0),1,0)</f>
        <v>0</v>
      </c>
      <c r="AO526" s="61" t="str">
        <f aca="false">IF(AK526=1,SUM(AK$5:AK526),"")</f>
        <v/>
      </c>
      <c r="AP526" s="61" t="str">
        <f aca="false">IF(AL526=1,SUM(AL$5:AL526),"")</f>
        <v/>
      </c>
      <c r="AQ526" s="61" t="n">
        <v>0</v>
      </c>
      <c r="AR526" s="61" t="n">
        <v>1</v>
      </c>
      <c r="AS526" s="61" t="n">
        <v>0</v>
      </c>
      <c r="AT526" s="61" t="n">
        <v>0</v>
      </c>
      <c r="AU526" s="61" t="str">
        <f aca="false">SUBSTITUTE(SUBSTITUTE(SUBSTITUTE(SUBSTITUTE(SUBSTITUTE(SUBSTITUTE(SUBSTITUTE(SUBSTITUTE(SUBSTITUTE(SUBSTITUTE(SUBSTITUTE(SUBSTITUTE(SUBSTITUTE(SUBSTITUTE(SUBSTITUTE(SUBSTITUTE(LOWER(T526&amp;""),CHAR(10),""),CHAR(13),""),CHAR(9),""),CHAR(160),"")," ",""),".",""),"-",""),"/",""),"?",""),"_",""),",",""),"[",""),"]",""),"(",""),")",""),"*","")</f>
        <v/>
      </c>
      <c r="AV526" s="61" t="str">
        <f aca="false">SUBSTITUTE(SUBSTITUTE(SUBSTITUTE(SUBSTITUTE(SUBSTITUTE(SUBSTITUTE(SUBSTITUTE(SUBSTITUTE(SUBSTITUTE(SUBSTITUTE(SUBSTITUTE(SUBSTITUTE(SUBSTITUTE(SUBSTITUTE(SUBSTITUTE(SUBSTITUTE(LOWER(V526&amp;""),CHAR(10),""),CHAR(13),""),CHAR(9),""),CHAR(160),"")," ",""),".",""),"-",""),"/",""),"?",""),"_",""),",",""),"[",""),"]",""),"(",""),")",""),"*","")</f>
        <v/>
      </c>
      <c r="AW526" s="61" t="str">
        <f aca="false">SUBSTITUTE(SUBSTITUTE(SUBSTITUTE(SUBSTITUTE(SUBSTITUTE(SUBSTITUTE(SUBSTITUTE(SUBSTITUTE(SUBSTITUTE(SUBSTITUTE(SUBSTITUTE(SUBSTITUTE(SUBSTITUTE(SUBSTITUTE(SUBSTITUTE(SUBSTITUTE(LOWER(Z526&amp;""),CHAR(10),""),CHAR(13),""),CHAR(9),""),CHAR(160),"")," ",""),".",""),"-",""),"/",""),"?",""),"_",""),",",""),"[",""),"]",""),"(",""),")",""),"*","")</f>
        <v/>
      </c>
      <c r="AX526" s="61" t="str">
        <f aca="false">SUBSTITUTE(SUBSTITUTE(SUBSTITUTE(SUBSTITUTE(SUBSTITUTE(SUBSTITUTE(SUBSTITUTE(SUBSTITUTE(SUBSTITUTE(SUBSTITUTE(SUBSTITUTE(SUBSTITUTE(SUBSTITUTE(SUBSTITUTE(SUBSTITUTE(SUBSTITUTE(LOWER(AE526&amp;""),CHAR(10),""),CHAR(13),""),CHAR(9),""),CHAR(160),"")," ",""),".",""),"-",""),"/",""),"?",""),"_",""),",",""),"[",""),"]",""),"(",""),")",""),"*","")</f>
        <v/>
      </c>
      <c r="AY526" s="61" t="str">
        <f aca="false">SUBSTITUTE(SUBSTITUTE(SUBSTITUTE(SUBSTITUTE(SUBSTITUTE(SUBSTITUTE(SUBSTITUTE(SUBSTITUTE(SUBSTITUTE(SUBSTITUTE(SUBSTITUTE(SUBSTITUTE(SUBSTITUTE(SUBSTITUTE(SUBSTITUTE(SUBSTITUTE(LOWER(W526&amp;""),CHAR(10),""),CHAR(13),""),CHAR(9),""),CHAR(160),"")," ",""),".",""),"-",""),"/",""),"?",""),"_",""),",",""),"[",""),"]",""),"(",""),")",""),"*","")</f>
        <v/>
      </c>
      <c r="AZ526" s="61" t="str">
        <f aca="false">SUBSTITUTE(SUBSTITUTE(SUBSTITUTE(SUBSTITUTE(SUBSTITUTE(SUBSTITUTE(SUBSTITUTE(SUBSTITUTE(SUBSTITUTE(SUBSTITUTE(SUBSTITUTE(SUBSTITUTE(SUBSTITUTE(SUBSTITUTE(SUBSTITUTE(SUBSTITUTE(LOWER(AC526&amp;""),CHAR(10),""),CHAR(13),""),CHAR(9),""),CHAR(160),"")," ",""),".",""),"-",""),"/",""),"?",""),"_",""),",",""),"[",""),"]",""),"(",""),")",""),"*","")</f>
        <v/>
      </c>
      <c r="BA526" s="61" t="str">
        <f aca="false">SUBSTITUTE(SUBSTITUTE(SUBSTITUTE(SUBSTITUTE(SUBSTITUTE(SUBSTITUTE(SUBSTITUTE(SUBSTITUTE(SUBSTITUTE(SUBSTITUTE(SUBSTITUTE(SUBSTITUTE(SUBSTITUTE(SUBSTITUTE(SUBSTITUTE(SUBSTITUTE(LOWER(AA526&amp;""),CHAR(10),""),CHAR(13),""),CHAR(9),""),CHAR(160),"")," ",""),".",""),"-",""),"/",""),"?",""),"_",""),",",""),"[",""),"]",""),"(",""),")",""),"*","")</f>
        <v/>
      </c>
      <c r="BB526" s="61" t="str">
        <f aca="false">IF(AND(TRIM(U526)="Pass",ISNUMBER(AF526)),IF(AF526&lt;&gt;0,"INVALID – qty variance: use Fail or Pass after CA",""),"")&amp;IF(AND(TRIM(U526)="Pass after CA",ISNUMBER(AF526)),IF(AF526&lt;&gt;0,"INVALID – after the corrective action the actual qty must equal expected (update Actual)",""),"")&amp;IF(AND(TRIM(U526)="Pass",TRIM(AB526)&lt;&gt;"",TRIM(AB526)&lt;&gt;"Closed"),"INVALID – corrective action not closed: use Fail, then Pass after CA","")&amp;IF(AND(LEN(BA526)&gt;=2,ISNA(MATCH(LEFT(BA526,255),L_Placeholder,0)),TRIM(AB526)=""),"INVALID – CA status missing for the recorded corrective action","")&amp;IF(AND(TRIM(U526)="Pass after CA",OR(OR(LEN(BA526)&lt;5,ISNUMBER(MATCH(BA526,L_Placeholder,0))),TRIM(AB526)&lt;&gt;"Closed")),"INVALID – corrective action not recorded/closed","")</f>
        <v/>
      </c>
      <c r="BC526" s="61" t="str">
        <f aca="false">" "&amp;TRIM(SUBSTITUTE(SUBSTITUTE(SUBSTITUTE(SUBSTITUTE(SUBSTITUTE(SUBSTITUTE(SUBSTITUTE(SUBSTITUTE(SUBSTITUTE(SUBSTITUTE(SUBSTITUTE(SUBSTITUTE(SUBSTITUTE(SUBSTITUTE(SUBSTITUTE(SUBSTITUTE(SUBSTITUTE(SUBSTITUTE(SUBSTITUTE(SUBSTITUTE(SUBSTITUTE(SUBSTITUTE(SUBSTITUTE(SUBSTITUTE(LOWER(V526&amp;""),CHAR(10)," "),CHAR(13)," "),CHAR(9)," "),CHAR(160)," "),"."," "),","," "),"-"," "),"/"," "),"("," "),")"," "),":"," "),";"," "),"_"," "),"–"," "),"?"," "),"!"," "),"*"," "),"["," "),"]"," "),"'"," "),"#"," "),"+"," "),"&amp;"," "),"\"," "))&amp;" "</f>
        <v>  </v>
      </c>
      <c r="BD526" s="61" t="str">
        <f aca="false">" "&amp;TRIM(SUBSTITUTE(SUBSTITUTE(SUBSTITUTE(SUBSTITUTE(SUBSTITUTE(SUBSTITUTE(SUBSTITUTE(SUBSTITUTE(SUBSTITUTE(SUBSTITUTE(SUBSTITUTE(SUBSTITUTE(SUBSTITUTE(SUBSTITUTE(SUBSTITUTE(SUBSTITUTE(SUBSTITUTE(SUBSTITUTE(SUBSTITUTE(SUBSTITUTE(SUBSTITUTE(SUBSTITUTE(SUBSTITUTE(SUBSTITUTE(LOWER(Z526&amp;""),CHAR(10)," "),CHAR(13)," "),CHAR(9)," "),CHAR(160)," "),"."," "),","," "),"-"," "),"/"," "),"("," "),")"," "),":"," "),";"," "),"_"," "),"–"," "),"?"," "),"!"," "),"*"," "),"["," "),"]"," "),"'"," "),"#"," "),"+"," "),"&amp;"," "),"\"," "))&amp;" "</f>
        <v>  </v>
      </c>
      <c r="BE526" s="61" t="str">
        <f aca="false">" "&amp;TRIM(SUBSTITUTE(SUBSTITUTE(SUBSTITUTE(SUBSTITUTE(SUBSTITUTE(SUBSTITUTE(SUBSTITUTE(SUBSTITUTE(SUBSTITUTE(SUBSTITUTE(SUBSTITUTE(SUBSTITUTE(SUBSTITUTE(SUBSTITUTE(SUBSTITUTE(SUBSTITUTE(SUBSTITUTE(SUBSTITUTE(SUBSTITUTE(SUBSTITUTE(SUBSTITUTE(SUBSTITUTE(SUBSTITUTE(SUBSTITUTE(LOWER(W526&amp;""),CHAR(10)," "),CHAR(13)," "),CHAR(9)," "),CHAR(160)," "),"."," "),","," "),"-"," "),"/"," "),"("," "),")"," "),":"," "),";"," "),"_"," "),"–"," "),"?"," "),"!"," "),"*"," "),"["," "),"]"," "),"'"," "),"#"," "),"+"," "),"&amp;"," "),"\"," "))&amp;" "</f>
        <v>  </v>
      </c>
      <c r="BF526" s="61" t="str">
        <f aca="false">" "&amp;TRIM(SUBSTITUTE(SUBSTITUTE(SUBSTITUTE(SUBSTITUTE(SUBSTITUTE(SUBSTITUTE(SUBSTITUTE(SUBSTITUTE(SUBSTITUTE(SUBSTITUTE(SUBSTITUTE(SUBSTITUTE(SUBSTITUTE(SUBSTITUTE(SUBSTITUTE(SUBSTITUTE(SUBSTITUTE(SUBSTITUTE(SUBSTITUTE(SUBSTITUTE(SUBSTITUTE(SUBSTITUTE(SUBSTITUTE(SUBSTITUTE(LOWER(AC526&amp;""),CHAR(10)," "),CHAR(13)," "),CHAR(9)," "),CHAR(160)," "),"."," "),","," "),"-"," "),"/"," "),"("," "),")"," "),":"," "),";"," "),"_"," "),"–"," "),"?"," "),"!"," "),"*"," "),"["," "),"]"," "),"'"," "),"#"," "),"+"," "),"&amp;"," "),"\"," "))&amp;" "</f>
        <v>  </v>
      </c>
      <c r="BG526" s="61" t="n">
        <f aca="false">IFERROR(IF(AND(TRIM(U526)="Pass",SUMPRODUCT((LEN(BC526)-LEN(SUBSTITUTE(BC526," "&amp;L_ResultBad&amp;" "," ")))/(LEN(L_ResultBad)+1))&gt;SUMPRODUCT((LEN(BC526)-LEN(SUBSTITUTE(BC526," "&amp;L_NegPhrase&amp;" "," ")))/(LEN(L_NegPhrase)+1))),1,0),0)</f>
        <v>0</v>
      </c>
      <c r="BH526" s="61" t="n">
        <f aca="false">IFERROR(IF(SUMPRODUCT((LEN(BC526)-LEN(SUBSTITUTE(BC526," "&amp;L_Pending&amp;" "," ")))/(LEN(L_Pending)+1))&gt;SUMPRODUCT((LEN(BC526)-LEN(SUBSTITUTE(BC526," "&amp;L_PendNeg&amp;" "," ")))/(LEN(L_PendNeg)+1)),1,0),1)</f>
        <v>0</v>
      </c>
      <c r="BI526" s="61" t="n">
        <f aca="false">IFERROR(IF(SUMPRODUCT((LEN(BD526)-LEN(SUBSTITUTE(BD526," "&amp;L_PendStrict&amp;" "," ")))/(LEN(L_PendStrict)+1))&gt;SUMPRODUCT((LEN(BD526)-LEN(SUBSTITUTE(BD526," "&amp;L_PendNeg&amp;" "," ")))/(LEN(L_PendNeg)+1)),1,0),1)</f>
        <v>0</v>
      </c>
      <c r="BJ526" s="61" t="n">
        <f aca="false">IFERROR(IF(SUMPRODUCT((LEN(BE526)-LEN(SUBSTITUTE(BE526," "&amp;L_Pending&amp;" "," ")))/(LEN(L_Pending)+1))&gt;SUMPRODUCT((LEN(BE526)-LEN(SUBSTITUTE(BE526," "&amp;L_PendNeg&amp;" "," ")))/(LEN(L_PendNeg)+1)),1,0),1)</f>
        <v>0</v>
      </c>
      <c r="BK526" s="61" t="n">
        <f aca="false">IFERROR(IF(SUMPRODUCT((LEN(BF526)-LEN(SUBSTITUTE(BF526," "&amp;L_PendStrict&amp;" "," ")))/(LEN(L_PendStrict)+1))&gt;SUMPRODUCT((LEN(BF526)-LEN(SUBSTITUTE(BF526," "&amp;L_PendNeg&amp;" "," ")))/(LEN(L_PendNeg)+1)),1,0),1)</f>
        <v>0</v>
      </c>
      <c r="BL526" s="61" t="n">
        <f aca="false">IF(ISNA(MATCH(TRIM(S526),L_EvidenceType,0)),0,BZ526)</f>
        <v>0</v>
      </c>
      <c r="BM526" s="61" t="str">
        <f aca="false">SUBSTITUTE(SUBSTITUTE(SUBSTITUTE(SUBSTITUTE(SUBSTITUTE(SUBSTITUTE(SUBSTITUTE(SUBSTITUTE(SUBSTITUTE(LOWER(Z526&amp;""),"1","0"),"2","0"),"3","0"),"4","0"),"5","0"),"6","0"),"7","0"),"8","0"),"9","0")</f>
        <v/>
      </c>
      <c r="BN526" s="61" t="str">
        <f aca="false">SUBSTITUTE(SUBSTITUTE(SUBSTITUTE(SUBSTITUTE(SUBSTITUTE(SUBSTITUTE(SUBSTITUTE(SUBSTITUTE(SUBSTITUTE(SUBSTITUTE(SUBSTITUTE(SUBSTITUTE(SUBSTITUTE(SUBSTITUTE(SUBSTITUTE(SUBSTITUTE(SUBSTITUTE(SUBSTITUTE(SUBSTITUTE(SUBSTITUTE(SUBSTITUTE(SUBSTITUTE(SUBSTITUTE(SUBSTITUTE(SUBSTITUTE(BM526,"b","a"),"c","a"),"d","a"),"e","a"),"f","a"),"g","a"),"h","a"),"i","a"),"j","a"),"k","a"),"l","a"),"m","a"),"n","a"),"o","a"),"p","a"),"q","a"),"r","a"),"s","a"),"t","a"),"u","a"),"v","a"),"w","a"),"x","a"),"y","a"),"z","a")</f>
        <v/>
      </c>
      <c r="BO526" s="61" t="str">
        <f aca="false">SUBSTITUTE(SUBSTITUTE(SUBSTITUTE(SUBSTITUTE(SUBSTITUTE(SUBSTITUTE(SUBSTITUTE(SUBSTITUTE(SUBSTITUTE(LOWER(W526&amp;""),"1","0"),"2","0"),"3","0"),"4","0"),"5","0"),"6","0"),"7","0"),"8","0"),"9","0")</f>
        <v/>
      </c>
      <c r="BP526" s="61" t="str">
        <f aca="false">SUBSTITUTE(SUBSTITUTE(SUBSTITUTE(SUBSTITUTE(SUBSTITUTE(SUBSTITUTE(SUBSTITUTE(SUBSTITUTE(SUBSTITUTE(SUBSTITUTE(SUBSTITUTE(SUBSTITUTE(SUBSTITUTE(SUBSTITUTE(SUBSTITUTE(SUBSTITUTE(SUBSTITUTE(SUBSTITUTE(SUBSTITUTE(SUBSTITUTE(SUBSTITUTE(SUBSTITUTE(SUBSTITUTE(SUBSTITUTE(SUBSTITUTE(BO526,"b","a"),"c","a"),"d","a"),"e","a"),"f","a"),"g","a"),"h","a"),"i","a"),"j","a"),"k","a"),"l","a"),"m","a"),"n","a"),"o","a"),"p","a"),"q","a"),"r","a"),"s","a"),"t","a"),"u","a"),"v","a"),"w","a"),"x","a"),"y","a"),"z","a")</f>
        <v/>
      </c>
      <c r="BQ526" s="61" t="n">
        <f aca="false">IFERROR(IF(AND(ISERROR(SEARCH(" mh"," "&amp;LOWER(W526))),ISNA(MATCH(LEFT(TRIM(BP526),255),{"0000a","000a","00a","0000aa","000aa","00aa","0aa","0000aaa","000aaa","00a00","0a00","0000-0000","00:00","a00","a0","00.00.0000","00/00/0000","00-00-0000","0000-00-00","0000/00/00","0000.00.00","00.00.00","00/00/00","00-00-00","0.00.0000","0/00/0000","0-00-0000"},0)),ISNA(MATCH(LEFT(TRIM(CA526),255),{"0000a","000a","00a","0000aa","000aa","00aa","0aa","0000aaa","000aaa","00a00","0a00","0000-0000","00:00","a00","a0","00.00.0000","00/00/0000","00-00-0000","0000-00-00","0000/00/00","0000.00.00","00.00.00","00/00/00","00-00-00","0.00.0000","0/00/0000","0-00-0000"},0)),LEN(CB526)&gt;=3,NOT(OR(SUBSTITUTE(CB526,"0","")="",AND(LEN(CB526)&gt;=4,CB526=REPT(LEFT(CB526),LEN(CB526))),ISNUMBER(MATCH(CB526,{"123","1234","12345","123456","1234567","12345678","0123","01234","012345","98765","987654","54321"},0)),AND(LEN(CB526)=8,LEFT(CB526,3)="202"))),OR(AND((LEN(CA526)-LEN(SUBSTITUTE(CA526,"a","")))&gt;=1,SUMPRODUCT(--ISNUMBER(SEARCH({"a0","a-0","a_0","a/0","a.0","a#0","0a","0-a","0_a","0/a"},BP526)))&gt;0),ISNUMBER(SEARCH("000000",BP526)))),1,0),0)</f>
        <v>0</v>
      </c>
      <c r="BR526" s="61" t="n">
        <f aca="false">IFERROR(LEN(SUBSTITUTE(CC526," ",""))-SUMPRODUCT((LEN(CC526)-LEN(SUBSTITUTE(CC526," "&amp;L_Role&amp;" "," ")))/(LEN(L_Role)+1)*LEN(L_Role)),0)</f>
        <v>0</v>
      </c>
      <c r="BS526" s="61" t="n">
        <f aca="false">IFERROR(LEN(SUBSTITUTE(CD526," ",""))-SUMPRODUCT((LEN(CD526)-LEN(SUBSTITUTE(CD526," "&amp;L_Role&amp;" "," ")))/(LEN(L_Role)+1)*LEN(L_Role)),0)</f>
        <v>0</v>
      </c>
      <c r="BT5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526,"revision",""),"version",""),"jan",""),"feb",""),"mar",""),"apr",""),"may",""),"jun",""),"jul",""),"aug",""),"sep",""),"oct",""),"nov",""),"dec",""),"utc",""),"gmt",""),"myt",""),"bst",""),"rev",""),"ver",""),"b","a"),"c","a"),"d","a"),"e","a"),"f","a"),"g","a"),"h","a"),"i","a"),"j","a"),"k","a"),"l","a"),"m","a"),"n","a"),"o","a"),"p","a"),"q","a"),"r","a"),"s","a"),"t","a"),"u","a"),"v","a"),"w","a"),"x","a"),"y","a"),"z","a")</f>
        <v/>
      </c>
      <c r="BU526" s="61" t="str">
        <f aca="false">SUBSTITUTE(SUBSTITUTE(SUBSTITUTE(SUBSTITUTE(SUBSTITUTE(SUBSTITUTE(SUBSTITUTE(SUBSTITUTE(SUBSTITUTE(SUBSTITUTE(LEFT(BM526,FIND("0",BM526&amp;"0")-1),"-",""),"_",""),"/",""),".",""),"#",""),"\\",""),":","")," ",""),"(",""),")","")</f>
        <v/>
      </c>
      <c r="BV526" s="61" t="n">
        <f aca="false">IFERROR(IF(OR(SUMPRODUCT((LEN(BC526)-LEN(SUBSTITUTE(BC526," "&amp;L_NotLoaded&amp;" "," ")))/(LEN(L_NotLoaded)+1))&gt;SUMPRODUCT((LEN(BC526)-LEN(SUBSTITUTE(BC526," "&amp;L_NotLoadedNeg&amp;" "," ")))/(LEN(L_NotLoadedNeg)+1)),SUMPRODUCT((LEN(BD526)-LEN(SUBSTITUTE(BD526," "&amp;L_NotLoaded&amp;" "," ")))/(LEN(L_NotLoaded)+1))&gt;SUMPRODUCT((LEN(BD526)-LEN(SUBSTITUTE(BD526," "&amp;L_NotLoadedNeg&amp;" "," ")))/(LEN(L_NotLoadedNeg)+1))),1,0),0)</f>
        <v>0</v>
      </c>
      <c r="BW5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526&amp;""),"a",""),"b",""),"c",""),"d",""),"e",""),"f",""),"g",""),"h",""),"i",""),"j",""),"k",""),"l",""),"m",""),"n",""),"o",""),"p",""),"q",""),"r",""),"s",""),"t",""),"u",""),"v",""),"w",""),"x",""),"y",""),"z",""),"-",""),"_",""),"/",""),".",""),"#",""),"\\",""),":","")," ",""),"(",""),")","")</f>
        <v/>
      </c>
      <c r="BX526" s="61" t="str">
        <f aca="false">SUBSTITUTE(SUBSTITUTE(SUBSTITUTE(SUBSTITUTE(SUBSTITUTE(SUBSTITUTE(SUBSTITUTE(SUBSTITUTE(SUBSTITUTE(SUBSTITUTE(SUBSTITUTE(BM526,"0",""),"-",""),"_",""),"/",""),".",""),"#",""),"\\",""),":","")," ",""),"(",""),")","")</f>
        <v/>
      </c>
      <c r="BY526" s="62" t="n">
        <f aca="false">IF(ISNUMBER(Flights!$AZ$20),MAX(Q526-UpliftWindowH/24,Flights!$AZ$20),Q526-UpliftWindowH/24)</f>
        <v>46320.7986111111</v>
      </c>
      <c r="BZ526" s="61" t="n">
        <f aca="false">IFERROR(IF(IF(TRIM(S526)="Link / file path",AND(LEN(TRIM(Z526))&gt;=5,SUMPRODUCT(--ISNUMBER(SEARCH({"http","www.","\\",":\",".pdf",".jpg",".jpeg",".png",".heic",".xls",".doc",".msg",".eml",".ppt",".txt",".zip"},Z526)))&gt;0),AND(ISERROR(FIND(" ",TRIM(Z526))),NOT(OR(SUMPRODUCT(--ISNUMBER(FIND({",",";","&amp;","+"},Z526)))&gt;0,SUMPRODUCT(--ISNUMBER(SEARCH({"0/aa","0\\aa"},BN526)))&gt;0)),NOT(SUMPRODUCT(--ISNUMBER(SEARCH({"http","www.","\\",":\",".pdf",".jpg",".jpeg",".png",".heic",".xls",".doc",".msg",".eml",".ppt",".txt",".zip"},Z526)))&gt;0),NOT(LOWER(TRIM(Z526))=LOWER(Flights!$F$20)),ISNA(MATCH(BU526,{"mh","rev","revision","ver","version","v","r","a","b","seat","tray","row","gate","bay","stand","page","pg","item","line","no","cart","galley","flight","flt","table","box","bag","oven","etd","eta","std","sta","atd","ata","qty","pax","x","time","tel","ph","mob","day","wk","week","utc","gmt","myt","lt"},0)),NOT(OR(ISNUMBER(MATCH(LEFT(BN526,255),{"0000a","000a","00a","0000aa","000aa","00aa","0aa","0000aaa","000aaa","00a00","0a00","0000-0000","00:00","a00","a0","00.00.0000","00/00/0000","00-00-0000","0000-00-00","0000/00/00","0000.00.00","00.00.00","00/00/00","00-00-00","0.00.0000","0/00/0000","0-00-0000"},0)),ISNUMBER(MATCH(LEFT(BT526,255),{"0000a","000a","00a","0000aa","000aa","00aa","0aa","0000aaa","000aaa","00a00","0a00","0000-0000","00:00","a00","a0","00.00.0000","00/00/0000","00-00-0000","0000-00-00","0000/00/00","0000.00.00","00.00.00","00/00/00","00-00-00","0.00.0000","0/00/0000","0-00-0000"},0)))),NOT(OR(AND(BW526&lt;&gt;"",SUBSTITUTE(BW526,"0","")=""),AND(LEN(BW526)&gt;=4,BW526=REPT(LEFT(BW526),LEN(BW526))),ISNUMBER(MATCH(BW526,{"123","1234","12345","123456","1234567","12345678","0123","01234","012345","98765","987654","54321"},0)),ISNUMBER(MATCH(BX526,{"x","xx","xxx","xxxx","xxxxx","abc","abcd","nil","na","nan","test","tbc","tba","tbd","dummy","sample","example","eg","zz","zzz","none","null","xyz","qwe","asd","id","ref"},0)),AND(LEN(BW526)=8,BX526="",OR(LEFT(BW526,3)="202",ISNUMBER(MATCH(RIGHT(BW526,4),{"2025","2026","2027"},0)))))),OR(AND((LEN(BT526)-LEN(SUBSTITUTE(BT526,"a","")))&gt;=1,(LEN(BN526)-LEN(SUBSTITUTE(BN526,"0","")))&gt;=2,SUMPRODUCT(--ISNUMBER(SEARCH({"a0","a-0","a_0","a/0","a.0","a#0","0a","0-a","0_a","0/a"},BN526)))&gt;0),AND((LEN(BN526)-LEN(SUBSTITUTE(BN526,"a","")))=0,(LEN(BN526)-LEN(SUBSTITUTE(BN526,"0","")))&gt;=5)))),1,0),0)</f>
        <v>0</v>
      </c>
      <c r="CA5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526,"revision",""),"version",""),"jan",""),"feb",""),"mar",""),"apr",""),"may",""),"jun",""),"jul",""),"aug",""),"sep",""),"oct",""),"nov",""),"dec",""),"utc",""),"gmt",""),"myt",""),"bst",""),"rev",""),"ver",""),"b","a"),"c","a"),"d","a"),"e","a"),"f","a"),"g","a"),"h","a"),"i","a"),"j","a"),"k","a"),"l","a"),"m","a"),"n","a"),"o","a"),"p","a"),"q","a"),"r","a"),"s","a"),"t","a"),"u","a"),"v","a"),"w","a"),"x","a"),"y","a"),"z","a")</f>
        <v/>
      </c>
      <c r="CB5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526&amp;""),"a",""),"b",""),"c",""),"d",""),"e",""),"f",""),"g",""),"h",""),"i",""),"j",""),"k",""),"l",""),"m",""),"n",""),"o",""),"p",""),"q",""),"r",""),"s",""),"t",""),"u",""),"v",""),"w",""),"x",""),"y",""),"z",""),"-",""),"_",""),"/",""),".",""),"#",""),"\\",""),":","")," ",""),"(",""),")","")</f>
        <v/>
      </c>
      <c r="CC526" s="0" t="str">
        <f aca="false">" "&amp;TRIM(SUBSTITUTE(SUBSTITUTE(SUBSTITUTE(SUBSTITUTE(SUBSTITUTE(SUBSTITUTE(SUBSTITUTE(SUBSTITUTE(SUBSTITUTE(SUBSTITUTE(SUBSTITUTE(SUBSTITUTE(SUBSTITUTE(SUBSTITUTE(SUBSTITUTE(SUBSTITUTE(SUBSTITUTE(SUBSTITUTE(SUBSTITUTE(SUBSTITUTE(SUBSTITUTE(SUBSTITUTE(SUBSTITUTE(SUBSTITUTE(LOWER(T526&amp;""),CHAR(10)," "),CHAR(13)," "),CHAR(9)," "),CHAR(160)," "),"."," "),","," "),"-"," "),"/"," "),"("," "),")"," "),":"," "),";"," "),"_"," "),"–"," "),"?"," "),"!"," "),"*"," "),"["," "),"]"," "),"'"," "),"#"," "),"+"," "),"&amp;"," "),"\"," "))&amp;" "</f>
        <v>  </v>
      </c>
      <c r="CD526" s="0" t="str">
        <f aca="false">" "&amp;TRIM(SUBSTITUTE(SUBSTITUTE(SUBSTITUTE(SUBSTITUTE(SUBSTITUTE(SUBSTITUTE(SUBSTITUTE(SUBSTITUTE(SUBSTITUTE(SUBSTITUTE(SUBSTITUTE(SUBSTITUTE(SUBSTITUTE(SUBSTITUTE(SUBSTITUTE(SUBSTITUTE(SUBSTITUTE(SUBSTITUTE(SUBSTITUTE(SUBSTITUTE(SUBSTITUTE(SUBSTITUTE(SUBSTITUTE(SUBSTITUTE(LOWER(AE526&amp;""),CHAR(10)," "),CHAR(13)," "),CHAR(9)," "),CHAR(160)," "),"."," "),","," "),"-"," "),"/"," "),"("," "),")"," "),":"," "),";"," "),"_"," "),"–"," "),"?"," "),"!"," "),"*"," "),"["," "),"]"," "),"'"," "),"#"," "),"+"," "),"&amp;"," "),"\"," "))&amp;" "</f>
        <v>  </v>
      </c>
      <c r="CE526" s="68" t="n">
        <f aca="false">IFERROR(IF(AND(LEN(AU526)&gt;0,LEN(AU526)=LEN(AX526),OR(TRIM(MID(SUBSTITUTE(TRIM(CC526)," ",REPT(" ",60)),1,60))="",ISNUMBER(SEARCH(" "&amp;TRIM(MID(SUBSTITUTE(TRIM(CC526)," ",REPT(" ",60)),1,60))&amp;" ",CD526))),OR(TRIM(MID(SUBSTITUTE(TRIM(CC526)," ",REPT(" ",60)),61,60))="",ISNUMBER(SEARCH(" "&amp;TRIM(MID(SUBSTITUTE(TRIM(CC526)," ",REPT(" ",60)),61,60))&amp;" ",CD526))),OR(TRIM(MID(SUBSTITUTE(TRIM(CC526)," ",REPT(" ",60)),121,60))="",ISNUMBER(SEARCH(" "&amp;TRIM(MID(SUBSTITUTE(TRIM(CC526)," ",REPT(" ",60)),121,60))&amp;" ",CD526)))),1,0),0)</f>
        <v>0</v>
      </c>
      <c r="CG526" s="68" t="n">
        <f aca="false">IFERROR(LEN(SUBSTITUTE(BF526," ",""))-SUMPRODUCT((LEN(BF526)-LEN(SUBSTITUTE(BF526," "&amp;L_NAFiller&amp;" "," ")))/(LEN(L_NAFiller)+1)*LEN(L_NAFiller)),0)</f>
        <v>0</v>
      </c>
    </row>
    <row r="527" customFormat="false" ht="39.75" hidden="false" customHeight="true" outlineLevel="0" collapsed="false">
      <c r="A527" s="57" t="s">
        <v>1191</v>
      </c>
      <c r="B527" s="57" t="s">
        <v>280</v>
      </c>
      <c r="C527" s="57" t="str">
        <f aca="false">Flights!$F$20</f>
        <v>MH0072</v>
      </c>
      <c r="D527" s="58" t="n">
        <f aca="false">Flights!$D$20</f>
        <v>46321</v>
      </c>
      <c r="E527" s="57" t="str">
        <f aca="false">Flights!$G$20&amp;"-"&amp;Flights!$H$20</f>
        <v>KUL-HKG</v>
      </c>
      <c r="F527" s="57" t="str">
        <f aca="false">Flights!$K$20</f>
        <v>EY</v>
      </c>
      <c r="G527" s="57" t="s">
        <v>459</v>
      </c>
      <c r="H527" s="57" t="s">
        <v>460</v>
      </c>
      <c r="I527" s="57" t="s">
        <v>428</v>
      </c>
      <c r="J527" s="57" t="s">
        <v>465</v>
      </c>
      <c r="K527" s="67" t="s">
        <v>426</v>
      </c>
      <c r="L527" s="67" t="s">
        <v>462</v>
      </c>
      <c r="M527" s="67"/>
      <c r="N527" s="67" t="s">
        <v>383</v>
      </c>
      <c r="O527" s="67" t="s">
        <v>463</v>
      </c>
      <c r="P527" s="57" t="s">
        <v>187</v>
      </c>
      <c r="Q527" s="59" t="n">
        <f aca="false">ROUND((Flights!$AF$20)*1440,0)/1440</f>
        <v>46321.0486111111</v>
      </c>
      <c r="R527" s="59" t="n">
        <f aca="false">Q527+(IF(AND(INDEX(TZ_DSTS,MATCH(P527,TZ_STN,0))&lt;&gt;"",Q527&gt;=INDEX(TZ_DSTS,MATCH(P527,TZ_STN,0)),Q527&lt;INDEX(TZ_DSTE,MATCH(P527,TZ_STN,0))),INDEX(TZ_DST,MATCH(P527,TZ_STN,0)),INDEX(TZ_STD,MATCH(P527,TZ_STN,0))))/24</f>
        <v>46321.3819444444</v>
      </c>
      <c r="S527" s="60"/>
      <c r="T527" s="60"/>
      <c r="U527" s="60"/>
      <c r="V527" s="60"/>
      <c r="W527" s="61"/>
      <c r="X527" s="60"/>
      <c r="Y527" s="60"/>
      <c r="Z527" s="60"/>
      <c r="AA527" s="60"/>
      <c r="AB527" s="60"/>
      <c r="AC527" s="60"/>
      <c r="AD527" s="66"/>
      <c r="AE527" s="60"/>
      <c r="AF527" s="61" t="str">
        <f aca="false">IF(AND(ISNUMBER(X527),ISNUMBER(Y527)),Y527-X527,"")</f>
        <v/>
      </c>
      <c r="AG527" s="62" t="str">
        <f aca="false">IF(ISNUMBER(AD527),AD527-(IF(AND(INDEX(TZ_DSTS,MATCH(P527,TZ_STN,0))&lt;&gt;"",(AD527-INDEX(TZ_STD,MATCH(P527,TZ_STN,0))/24)&gt;=INDEX(TZ_DSTS,MATCH(P527,TZ_STN,0)),(AD527-INDEX(TZ_STD,MATCH(P527,TZ_STN,0))/24)&lt;INDEX(TZ_DSTE,MATCH(P527,TZ_STN,0))),INDEX(TZ_DST,MATCH(P527,TZ_STN,0)),INDEX(TZ_STD,MATCH(P527,TZ_STN,0))))/24,"")</f>
        <v/>
      </c>
      <c r="AH527" s="65" t="str">
        <f aca="false">IFERROR(IF(N527="N/A – rule",IF(OR(TRIM(U527)="",TRIM(U527)="N/A",TRIM(U527)="Not started"),"N/A – RULE","INVALID – this check does not apply to this aircraft: clear the status (or correct the fleet on Flights)"),IF(TRIM(U527)="N/A",IF(AT527=0,"INVALID – N/A not permitted for this check",IF(AND(TRIM(AB527)&lt;&gt;"",TRIM(AB527)&lt;&gt;"Closed"),"INVALID – corrective action still open",IF(AND(NOT(OR(LEN(AZ527)&lt;15,ISNUMBER(MATCH(AZ527,L_Placeholder,0)))),BK527=0,CG527&gt;=8,NOT(OR(LEN(AU527)&lt;2,ISNUMBER(MATCH(AU527,L_Placeholder,0)))),BR527&gt;=3,NOT(OR(LEN(AX527)&lt;2,ISNUMBER(MATCH(AX527,L_Placeholder,0)))),BS527&gt;=3,TRIM(AE527)&lt;&gt;TRIM(T527),AX527&lt;&gt;AU527,CE527=0),"N/A – JUSTIFIED","INVALID – N/A needs a real, settled reason (not 'not applicable' / 'as above' / TBC), a named PIC and a different named verifier"))),IF(OR(TRIM(U527)="Pass",TRIM(U527)="Pass after CA"),IF(NOT(ISNUMBER(AD527)),"INVALID – completion time missing",IF(OR(OR(LEN(AU527)&lt;2,ISNUMBER(MATCH(AU527,L_Placeholder,0))),BR527&lt;3),"INVALID – PIC missing or not a named person (a role such as QA / CSM is not a name)",IF(OR(LEN(AV527)&lt;2,ISNUMBER(MATCH(AV527,L_Placeholder,0))),"INVALID – result / assessment missing",IF(OR(OR(LEN(AW527)&lt;3,ISNUMBER(MATCH(AW527,L_Placeholder,0))),SUMPRODUCT(--ISNUMBER(SEARCH(" "&amp;L_EvidencePhrase&amp;" ",BD527)))&gt;0,BI527=1),"INVALID – evidence missing, placeholder or not yet on file",IF(ISNA(MATCH(TRIM(S527),L_EvidenceType,0)),"INVALID – choose the evidence type from the list (column S)",IF(BL527=0,"INVALID – evidence ID must be the record's own ID only (e.g. SF-2210, IMG_2231, 1045521); a link / file name needs type 'Link / file path'",IF(OR(OR(LEN(AX527)&lt;2,ISNUMBER(MATCH(AX527,L_Placeholder,0))),BS527&lt;3),"INVALID – verifier missing or not a named person (a role such as QA / CSM is not a name)",IF(OR(AX527=AU527,CE527=1,AND(LEN(AU527)&gt;=4,ISNUMBER(SEARCH(AU527,AX527))),AND(LEN(AX527)&gt;=4,ISNUMBER(SEARCH(AX527,AU527)))),"INVALID – verifier must be a different, named person (not the PIC or a role)",IF(BH527=1,"INVALID – result not yet available (awaiting / TBC)",IF(BG527=1,"INVALID – result describes a problem: record Fail, then Pass after CA (or reword if it is not a problem)",IF(BV527=1,"INVALID – wording says not on board: an on-board confirmation needs the item loaded",IF(AND(AQ527=1,OR(OR(LEN(AY527)&lt;3,ISNUMBER(MATCH(AY527,L_Placeholder,0))),BJ527=1,BQ527=0)),"INVALID – batch ID missing, placeholder or not an ID (e.g. PASB-261008-BC-017)",IF(AND(AR527=1,OR(NOT(ISNUMBER(X527)),NOT(ISNUMBER(Y527)))),"INVALID – expected/actual qty missing",IF(AND(AR527=1,OR(X527&lt;=0,Y527&lt;0)),"INVALID – expected qty must be above 0 and actual not negative",IF(AH521="N/A – JUSTIFIED","INVALID – preparation row F16-T12-06 is N/A",IF(AND(AR527=1,ISNUMBER(X521),X527&lt;&gt;X521,TRIM(U527)&lt;&gt;"Pass after CA"),"INVALID – expected qty differs from preparation check F16-T12-06: record the load change as a corrective action (Pass after CA)",IF(BB527&lt;&gt;"",BB527,IF(AND(AS527=1,Documents!$J$20&lt;&gt;"ON FILE"),"INVALID – GLD not on file (Documents sheet)",IF(AND(AS527=2,Documents!$O$20&lt;&gt;"ON FILE"),"INVALID – menu checklist not on file (Documents sheet)",IF(AND(AS527=3,NOT(ISNUMBER(Flights!$AX$20))),"INVALID – enter carrying flight KUL departure (Flights AX)",IF(AND(AS527=3,OR(Flights!$AZ$20&gt;Flights!$AA$20,Flights!$AX$20&lt;Flights!$AA$20-3)),"INVALID – carrying flight (Flights AX) cannot arrive before this leg's STD, or is over 3 days early",IF(AG527&gt;AsOfUTC,"INVALID – completion time is in the future",IF(AND(ISNUMBER(BY527),AG527&lt;BY527),IF(H527="Physical uplift","INVALID – before uplift window (cannot confirm loading)","INVALID – before valid window"),IF(AG527&gt;Flights!$AA$20,"INVALID – completed after departure (cannot establish readiness)",IF(AND(H527="Preparation",AG527&gt;=IF(ISNUMBER(Flights!$BA$20),MIN(Flights!$BA$20,Flights!$AA$20),Flights!$AA$20)),"INVALID – completed after loading / departure (cannot establish readiness)",IF(AND(H527="Physical uplift",AG527&gt;Q527),"INVALID – recorded after the loading flight departed",IF(AG527&gt;Q527,"COMPLETE – LATE","COMPLETE"))))))))))))))))))))))))))),IF(TRIM(U527)="Fail","FAIL – DISCREPANCY",IF(AND(TRIM(U527)&lt;&gt;"",TRIM(U527)&lt;&gt;"Not started",TRIM(U527)&lt;&gt;"In progress"),"INVALID – unrecognised status (use the list)",IF(AsOfUTC&gt;Q527,"OVERDUE",IF(N527="Clarification required","OPEN – CLARIFICATION","OPEN"))))))),"INVALID – error value in an input cell")</f>
        <v>OPEN</v>
      </c>
      <c r="AI527" s="61" t="n">
        <f aca="false">IF(OR(AH527="N/A – RULE",AH527="N/A – JUSTIFIED"),0,1)</f>
        <v>1</v>
      </c>
      <c r="AJ527" s="61" t="n">
        <f aca="false">IF(LEFT(AH527,8)="COMPLETE",1,0)</f>
        <v>0</v>
      </c>
      <c r="AK527" s="61" t="n">
        <f aca="false">IF(AND(AI527=1,AJ527=0,AsOfUTC&gt;Q527),1,0)</f>
        <v>0</v>
      </c>
      <c r="AL527" s="61" t="n">
        <f aca="false">IFERROR(IF(AND(AI527=1,OR(TRIM(U527)="Fail",AND(TRIM(AB527)&lt;&gt;"",TRIM(AB527)&lt;&gt;"Closed"),AND(ISNUMBER(AF527),AF527&lt;&gt;0,TRIM(U527)&lt;&gt;"Pass after CA"))),1,0),1)</f>
        <v>0</v>
      </c>
      <c r="AM527" s="61" t="n">
        <f aca="false">IF(LEFT(AH527,7)="INVALID",1,0)</f>
        <v>0</v>
      </c>
      <c r="AN527" s="61" t="n">
        <f aca="false">IF(AND(N527="Clarification required",AI527=1,AJ527=0),1,0)</f>
        <v>0</v>
      </c>
      <c r="AO527" s="61" t="str">
        <f aca="false">IF(AK527=1,SUM(AK$5:AK527),"")</f>
        <v/>
      </c>
      <c r="AP527" s="61" t="str">
        <f aca="false">IF(AL527=1,SUM(AL$5:AL527),"")</f>
        <v/>
      </c>
      <c r="AQ527" s="61" t="n">
        <v>0</v>
      </c>
      <c r="AR527" s="61" t="n">
        <v>1</v>
      </c>
      <c r="AS527" s="61" t="n">
        <v>0</v>
      </c>
      <c r="AT527" s="61" t="n">
        <v>0</v>
      </c>
      <c r="AU527" s="61" t="str">
        <f aca="false">SUBSTITUTE(SUBSTITUTE(SUBSTITUTE(SUBSTITUTE(SUBSTITUTE(SUBSTITUTE(SUBSTITUTE(SUBSTITUTE(SUBSTITUTE(SUBSTITUTE(SUBSTITUTE(SUBSTITUTE(SUBSTITUTE(SUBSTITUTE(SUBSTITUTE(SUBSTITUTE(LOWER(T527&amp;""),CHAR(10),""),CHAR(13),""),CHAR(9),""),CHAR(160),"")," ",""),".",""),"-",""),"/",""),"?",""),"_",""),",",""),"[",""),"]",""),"(",""),")",""),"*","")</f>
        <v/>
      </c>
      <c r="AV527" s="61" t="str">
        <f aca="false">SUBSTITUTE(SUBSTITUTE(SUBSTITUTE(SUBSTITUTE(SUBSTITUTE(SUBSTITUTE(SUBSTITUTE(SUBSTITUTE(SUBSTITUTE(SUBSTITUTE(SUBSTITUTE(SUBSTITUTE(SUBSTITUTE(SUBSTITUTE(SUBSTITUTE(SUBSTITUTE(LOWER(V527&amp;""),CHAR(10),""),CHAR(13),""),CHAR(9),""),CHAR(160),"")," ",""),".",""),"-",""),"/",""),"?",""),"_",""),",",""),"[",""),"]",""),"(",""),")",""),"*","")</f>
        <v/>
      </c>
      <c r="AW527" s="61" t="str">
        <f aca="false">SUBSTITUTE(SUBSTITUTE(SUBSTITUTE(SUBSTITUTE(SUBSTITUTE(SUBSTITUTE(SUBSTITUTE(SUBSTITUTE(SUBSTITUTE(SUBSTITUTE(SUBSTITUTE(SUBSTITUTE(SUBSTITUTE(SUBSTITUTE(SUBSTITUTE(SUBSTITUTE(LOWER(Z527&amp;""),CHAR(10),""),CHAR(13),""),CHAR(9),""),CHAR(160),"")," ",""),".",""),"-",""),"/",""),"?",""),"_",""),",",""),"[",""),"]",""),"(",""),")",""),"*","")</f>
        <v/>
      </c>
      <c r="AX527" s="61" t="str">
        <f aca="false">SUBSTITUTE(SUBSTITUTE(SUBSTITUTE(SUBSTITUTE(SUBSTITUTE(SUBSTITUTE(SUBSTITUTE(SUBSTITUTE(SUBSTITUTE(SUBSTITUTE(SUBSTITUTE(SUBSTITUTE(SUBSTITUTE(SUBSTITUTE(SUBSTITUTE(SUBSTITUTE(LOWER(AE527&amp;""),CHAR(10),""),CHAR(13),""),CHAR(9),""),CHAR(160),"")," ",""),".",""),"-",""),"/",""),"?",""),"_",""),",",""),"[",""),"]",""),"(",""),")",""),"*","")</f>
        <v/>
      </c>
      <c r="AY527" s="61" t="str">
        <f aca="false">SUBSTITUTE(SUBSTITUTE(SUBSTITUTE(SUBSTITUTE(SUBSTITUTE(SUBSTITUTE(SUBSTITUTE(SUBSTITUTE(SUBSTITUTE(SUBSTITUTE(SUBSTITUTE(SUBSTITUTE(SUBSTITUTE(SUBSTITUTE(SUBSTITUTE(SUBSTITUTE(LOWER(W527&amp;""),CHAR(10),""),CHAR(13),""),CHAR(9),""),CHAR(160),"")," ",""),".",""),"-",""),"/",""),"?",""),"_",""),",",""),"[",""),"]",""),"(",""),")",""),"*","")</f>
        <v/>
      </c>
      <c r="AZ527" s="61" t="str">
        <f aca="false">SUBSTITUTE(SUBSTITUTE(SUBSTITUTE(SUBSTITUTE(SUBSTITUTE(SUBSTITUTE(SUBSTITUTE(SUBSTITUTE(SUBSTITUTE(SUBSTITUTE(SUBSTITUTE(SUBSTITUTE(SUBSTITUTE(SUBSTITUTE(SUBSTITUTE(SUBSTITUTE(LOWER(AC527&amp;""),CHAR(10),""),CHAR(13),""),CHAR(9),""),CHAR(160),"")," ",""),".",""),"-",""),"/",""),"?",""),"_",""),",",""),"[",""),"]",""),"(",""),")",""),"*","")</f>
        <v/>
      </c>
      <c r="BA527" s="61" t="str">
        <f aca="false">SUBSTITUTE(SUBSTITUTE(SUBSTITUTE(SUBSTITUTE(SUBSTITUTE(SUBSTITUTE(SUBSTITUTE(SUBSTITUTE(SUBSTITUTE(SUBSTITUTE(SUBSTITUTE(SUBSTITUTE(SUBSTITUTE(SUBSTITUTE(SUBSTITUTE(SUBSTITUTE(LOWER(AA527&amp;""),CHAR(10),""),CHAR(13),""),CHAR(9),""),CHAR(160),"")," ",""),".",""),"-",""),"/",""),"?",""),"_",""),",",""),"[",""),"]",""),"(",""),")",""),"*","")</f>
        <v/>
      </c>
      <c r="BB527" s="61" t="str">
        <f aca="false">IF(AND(TRIM(U527)="Pass",ISNUMBER(AF527)),IF(AF527&lt;&gt;0,"INVALID – qty variance: use Fail or Pass after CA",""),"")&amp;IF(AND(TRIM(U527)="Pass after CA",ISNUMBER(AF527)),IF(AF527&lt;&gt;0,"INVALID – after the corrective action the actual qty must equal expected (update Actual)",""),"")&amp;IF(AND(TRIM(U527)="Pass",TRIM(AB527)&lt;&gt;"",TRIM(AB527)&lt;&gt;"Closed"),"INVALID – corrective action not closed: use Fail, then Pass after CA","")&amp;IF(AND(LEN(BA527)&gt;=2,ISNA(MATCH(LEFT(BA527,255),L_Placeholder,0)),TRIM(AB527)=""),"INVALID – CA status missing for the recorded corrective action","")&amp;IF(AND(TRIM(U527)="Pass after CA",OR(OR(LEN(BA527)&lt;5,ISNUMBER(MATCH(BA527,L_Placeholder,0))),TRIM(AB527)&lt;&gt;"Closed")),"INVALID – corrective action not recorded/closed","")</f>
        <v/>
      </c>
      <c r="BC527" s="61" t="str">
        <f aca="false">" "&amp;TRIM(SUBSTITUTE(SUBSTITUTE(SUBSTITUTE(SUBSTITUTE(SUBSTITUTE(SUBSTITUTE(SUBSTITUTE(SUBSTITUTE(SUBSTITUTE(SUBSTITUTE(SUBSTITUTE(SUBSTITUTE(SUBSTITUTE(SUBSTITUTE(SUBSTITUTE(SUBSTITUTE(SUBSTITUTE(SUBSTITUTE(SUBSTITUTE(SUBSTITUTE(SUBSTITUTE(SUBSTITUTE(SUBSTITUTE(SUBSTITUTE(LOWER(V527&amp;""),CHAR(10)," "),CHAR(13)," "),CHAR(9)," "),CHAR(160)," "),"."," "),","," "),"-"," "),"/"," "),"("," "),")"," "),":"," "),";"," "),"_"," "),"–"," "),"?"," "),"!"," "),"*"," "),"["," "),"]"," "),"'"," "),"#"," "),"+"," "),"&amp;"," "),"\"," "))&amp;" "</f>
        <v>  </v>
      </c>
      <c r="BD527" s="61" t="str">
        <f aca="false">" "&amp;TRIM(SUBSTITUTE(SUBSTITUTE(SUBSTITUTE(SUBSTITUTE(SUBSTITUTE(SUBSTITUTE(SUBSTITUTE(SUBSTITUTE(SUBSTITUTE(SUBSTITUTE(SUBSTITUTE(SUBSTITUTE(SUBSTITUTE(SUBSTITUTE(SUBSTITUTE(SUBSTITUTE(SUBSTITUTE(SUBSTITUTE(SUBSTITUTE(SUBSTITUTE(SUBSTITUTE(SUBSTITUTE(SUBSTITUTE(SUBSTITUTE(LOWER(Z527&amp;""),CHAR(10)," "),CHAR(13)," "),CHAR(9)," "),CHAR(160)," "),"."," "),","," "),"-"," "),"/"," "),"("," "),")"," "),":"," "),";"," "),"_"," "),"–"," "),"?"," "),"!"," "),"*"," "),"["," "),"]"," "),"'"," "),"#"," "),"+"," "),"&amp;"," "),"\"," "))&amp;" "</f>
        <v>  </v>
      </c>
      <c r="BE527" s="61" t="str">
        <f aca="false">" "&amp;TRIM(SUBSTITUTE(SUBSTITUTE(SUBSTITUTE(SUBSTITUTE(SUBSTITUTE(SUBSTITUTE(SUBSTITUTE(SUBSTITUTE(SUBSTITUTE(SUBSTITUTE(SUBSTITUTE(SUBSTITUTE(SUBSTITUTE(SUBSTITUTE(SUBSTITUTE(SUBSTITUTE(SUBSTITUTE(SUBSTITUTE(SUBSTITUTE(SUBSTITUTE(SUBSTITUTE(SUBSTITUTE(SUBSTITUTE(SUBSTITUTE(LOWER(W527&amp;""),CHAR(10)," "),CHAR(13)," "),CHAR(9)," "),CHAR(160)," "),"."," "),","," "),"-"," "),"/"," "),"("," "),")"," "),":"," "),";"," "),"_"," "),"–"," "),"?"," "),"!"," "),"*"," "),"["," "),"]"," "),"'"," "),"#"," "),"+"," "),"&amp;"," "),"\"," "))&amp;" "</f>
        <v>  </v>
      </c>
      <c r="BF527" s="61" t="str">
        <f aca="false">" "&amp;TRIM(SUBSTITUTE(SUBSTITUTE(SUBSTITUTE(SUBSTITUTE(SUBSTITUTE(SUBSTITUTE(SUBSTITUTE(SUBSTITUTE(SUBSTITUTE(SUBSTITUTE(SUBSTITUTE(SUBSTITUTE(SUBSTITUTE(SUBSTITUTE(SUBSTITUTE(SUBSTITUTE(SUBSTITUTE(SUBSTITUTE(SUBSTITUTE(SUBSTITUTE(SUBSTITUTE(SUBSTITUTE(SUBSTITUTE(SUBSTITUTE(LOWER(AC527&amp;""),CHAR(10)," "),CHAR(13)," "),CHAR(9)," "),CHAR(160)," "),"."," "),","," "),"-"," "),"/"," "),"("," "),")"," "),":"," "),";"," "),"_"," "),"–"," "),"?"," "),"!"," "),"*"," "),"["," "),"]"," "),"'"," "),"#"," "),"+"," "),"&amp;"," "),"\"," "))&amp;" "</f>
        <v>  </v>
      </c>
      <c r="BG527" s="61" t="n">
        <f aca="false">IFERROR(IF(AND(TRIM(U527)="Pass",SUMPRODUCT((LEN(BC527)-LEN(SUBSTITUTE(BC527," "&amp;L_ResultBad&amp;" "," ")))/(LEN(L_ResultBad)+1))&gt;SUMPRODUCT((LEN(BC527)-LEN(SUBSTITUTE(BC527," "&amp;L_NegPhrase&amp;" "," ")))/(LEN(L_NegPhrase)+1))),1,0),0)</f>
        <v>0</v>
      </c>
      <c r="BH527" s="61" t="n">
        <f aca="false">IFERROR(IF(SUMPRODUCT((LEN(BC527)-LEN(SUBSTITUTE(BC527," "&amp;L_Pending&amp;" "," ")))/(LEN(L_Pending)+1))&gt;SUMPRODUCT((LEN(BC527)-LEN(SUBSTITUTE(BC527," "&amp;L_PendNeg&amp;" "," ")))/(LEN(L_PendNeg)+1)),1,0),1)</f>
        <v>0</v>
      </c>
      <c r="BI527" s="61" t="n">
        <f aca="false">IFERROR(IF(SUMPRODUCT((LEN(BD527)-LEN(SUBSTITUTE(BD527," "&amp;L_PendStrict&amp;" "," ")))/(LEN(L_PendStrict)+1))&gt;SUMPRODUCT((LEN(BD527)-LEN(SUBSTITUTE(BD527," "&amp;L_PendNeg&amp;" "," ")))/(LEN(L_PendNeg)+1)),1,0),1)</f>
        <v>0</v>
      </c>
      <c r="BJ527" s="61" t="n">
        <f aca="false">IFERROR(IF(SUMPRODUCT((LEN(BE527)-LEN(SUBSTITUTE(BE527," "&amp;L_Pending&amp;" "," ")))/(LEN(L_Pending)+1))&gt;SUMPRODUCT((LEN(BE527)-LEN(SUBSTITUTE(BE527," "&amp;L_PendNeg&amp;" "," ")))/(LEN(L_PendNeg)+1)),1,0),1)</f>
        <v>0</v>
      </c>
      <c r="BK527" s="61" t="n">
        <f aca="false">IFERROR(IF(SUMPRODUCT((LEN(BF527)-LEN(SUBSTITUTE(BF527," "&amp;L_PendStrict&amp;" "," ")))/(LEN(L_PendStrict)+1))&gt;SUMPRODUCT((LEN(BF527)-LEN(SUBSTITUTE(BF527," "&amp;L_PendNeg&amp;" "," ")))/(LEN(L_PendNeg)+1)),1,0),1)</f>
        <v>0</v>
      </c>
      <c r="BL527" s="61" t="n">
        <f aca="false">IF(ISNA(MATCH(TRIM(S527),L_EvidenceType,0)),0,BZ527)</f>
        <v>0</v>
      </c>
      <c r="BM527" s="61" t="str">
        <f aca="false">SUBSTITUTE(SUBSTITUTE(SUBSTITUTE(SUBSTITUTE(SUBSTITUTE(SUBSTITUTE(SUBSTITUTE(SUBSTITUTE(SUBSTITUTE(LOWER(Z527&amp;""),"1","0"),"2","0"),"3","0"),"4","0"),"5","0"),"6","0"),"7","0"),"8","0"),"9","0")</f>
        <v/>
      </c>
      <c r="BN527" s="61" t="str">
        <f aca="false">SUBSTITUTE(SUBSTITUTE(SUBSTITUTE(SUBSTITUTE(SUBSTITUTE(SUBSTITUTE(SUBSTITUTE(SUBSTITUTE(SUBSTITUTE(SUBSTITUTE(SUBSTITUTE(SUBSTITUTE(SUBSTITUTE(SUBSTITUTE(SUBSTITUTE(SUBSTITUTE(SUBSTITUTE(SUBSTITUTE(SUBSTITUTE(SUBSTITUTE(SUBSTITUTE(SUBSTITUTE(SUBSTITUTE(SUBSTITUTE(SUBSTITUTE(BM527,"b","a"),"c","a"),"d","a"),"e","a"),"f","a"),"g","a"),"h","a"),"i","a"),"j","a"),"k","a"),"l","a"),"m","a"),"n","a"),"o","a"),"p","a"),"q","a"),"r","a"),"s","a"),"t","a"),"u","a"),"v","a"),"w","a"),"x","a"),"y","a"),"z","a")</f>
        <v/>
      </c>
      <c r="BO527" s="61" t="str">
        <f aca="false">SUBSTITUTE(SUBSTITUTE(SUBSTITUTE(SUBSTITUTE(SUBSTITUTE(SUBSTITUTE(SUBSTITUTE(SUBSTITUTE(SUBSTITUTE(LOWER(W527&amp;""),"1","0"),"2","0"),"3","0"),"4","0"),"5","0"),"6","0"),"7","0"),"8","0"),"9","0")</f>
        <v/>
      </c>
      <c r="BP527" s="61" t="str">
        <f aca="false">SUBSTITUTE(SUBSTITUTE(SUBSTITUTE(SUBSTITUTE(SUBSTITUTE(SUBSTITUTE(SUBSTITUTE(SUBSTITUTE(SUBSTITUTE(SUBSTITUTE(SUBSTITUTE(SUBSTITUTE(SUBSTITUTE(SUBSTITUTE(SUBSTITUTE(SUBSTITUTE(SUBSTITUTE(SUBSTITUTE(SUBSTITUTE(SUBSTITUTE(SUBSTITUTE(SUBSTITUTE(SUBSTITUTE(SUBSTITUTE(SUBSTITUTE(BO527,"b","a"),"c","a"),"d","a"),"e","a"),"f","a"),"g","a"),"h","a"),"i","a"),"j","a"),"k","a"),"l","a"),"m","a"),"n","a"),"o","a"),"p","a"),"q","a"),"r","a"),"s","a"),"t","a"),"u","a"),"v","a"),"w","a"),"x","a"),"y","a"),"z","a")</f>
        <v/>
      </c>
      <c r="BQ527" s="61" t="n">
        <f aca="false">IFERROR(IF(AND(ISERROR(SEARCH(" mh"," "&amp;LOWER(W527))),ISNA(MATCH(LEFT(TRIM(BP527),255),{"0000a","000a","00a","0000aa","000aa","00aa","0aa","0000aaa","000aaa","00a00","0a00","0000-0000","00:00","a00","a0","00.00.0000","00/00/0000","00-00-0000","0000-00-00","0000/00/00","0000.00.00","00.00.00","00/00/00","00-00-00","0.00.0000","0/00/0000","0-00-0000"},0)),ISNA(MATCH(LEFT(TRIM(CA527),255),{"0000a","000a","00a","0000aa","000aa","00aa","0aa","0000aaa","000aaa","00a00","0a00","0000-0000","00:00","a00","a0","00.00.0000","00/00/0000","00-00-0000","0000-00-00","0000/00/00","0000.00.00","00.00.00","00/00/00","00-00-00","0.00.0000","0/00/0000","0-00-0000"},0)),LEN(CB527)&gt;=3,NOT(OR(SUBSTITUTE(CB527,"0","")="",AND(LEN(CB527)&gt;=4,CB527=REPT(LEFT(CB527),LEN(CB527))),ISNUMBER(MATCH(CB527,{"123","1234","12345","123456","1234567","12345678","0123","01234","012345","98765","987654","54321"},0)),AND(LEN(CB527)=8,LEFT(CB527,3)="202"))),OR(AND((LEN(CA527)-LEN(SUBSTITUTE(CA527,"a","")))&gt;=1,SUMPRODUCT(--ISNUMBER(SEARCH({"a0","a-0","a_0","a/0","a.0","a#0","0a","0-a","0_a","0/a"},BP527)))&gt;0),ISNUMBER(SEARCH("000000",BP527)))),1,0),0)</f>
        <v>0</v>
      </c>
      <c r="BR527" s="61" t="n">
        <f aca="false">IFERROR(LEN(SUBSTITUTE(CC527," ",""))-SUMPRODUCT((LEN(CC527)-LEN(SUBSTITUTE(CC527," "&amp;L_Role&amp;" "," ")))/(LEN(L_Role)+1)*LEN(L_Role)),0)</f>
        <v>0</v>
      </c>
      <c r="BS527" s="61" t="n">
        <f aca="false">IFERROR(LEN(SUBSTITUTE(CD527," ",""))-SUMPRODUCT((LEN(CD527)-LEN(SUBSTITUTE(CD527," "&amp;L_Role&amp;" "," ")))/(LEN(L_Role)+1)*LEN(L_Role)),0)</f>
        <v>0</v>
      </c>
      <c r="BT5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527,"revision",""),"version",""),"jan",""),"feb",""),"mar",""),"apr",""),"may",""),"jun",""),"jul",""),"aug",""),"sep",""),"oct",""),"nov",""),"dec",""),"utc",""),"gmt",""),"myt",""),"bst",""),"rev",""),"ver",""),"b","a"),"c","a"),"d","a"),"e","a"),"f","a"),"g","a"),"h","a"),"i","a"),"j","a"),"k","a"),"l","a"),"m","a"),"n","a"),"o","a"),"p","a"),"q","a"),"r","a"),"s","a"),"t","a"),"u","a"),"v","a"),"w","a"),"x","a"),"y","a"),"z","a")</f>
        <v/>
      </c>
      <c r="BU527" s="61" t="str">
        <f aca="false">SUBSTITUTE(SUBSTITUTE(SUBSTITUTE(SUBSTITUTE(SUBSTITUTE(SUBSTITUTE(SUBSTITUTE(SUBSTITUTE(SUBSTITUTE(SUBSTITUTE(LEFT(BM527,FIND("0",BM527&amp;"0")-1),"-",""),"_",""),"/",""),".",""),"#",""),"\\",""),":","")," ",""),"(",""),")","")</f>
        <v/>
      </c>
      <c r="BV527" s="61" t="n">
        <f aca="false">IFERROR(IF(OR(SUMPRODUCT((LEN(BC527)-LEN(SUBSTITUTE(BC527," "&amp;L_NotLoaded&amp;" "," ")))/(LEN(L_NotLoaded)+1))&gt;SUMPRODUCT((LEN(BC527)-LEN(SUBSTITUTE(BC527," "&amp;L_NotLoadedNeg&amp;" "," ")))/(LEN(L_NotLoadedNeg)+1)),SUMPRODUCT((LEN(BD527)-LEN(SUBSTITUTE(BD527," "&amp;L_NotLoaded&amp;" "," ")))/(LEN(L_NotLoaded)+1))&gt;SUMPRODUCT((LEN(BD527)-LEN(SUBSTITUTE(BD527," "&amp;L_NotLoadedNeg&amp;" "," ")))/(LEN(L_NotLoadedNeg)+1))),1,0),0)</f>
        <v>0</v>
      </c>
      <c r="BW5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527&amp;""),"a",""),"b",""),"c",""),"d",""),"e",""),"f",""),"g",""),"h",""),"i",""),"j",""),"k",""),"l",""),"m",""),"n",""),"o",""),"p",""),"q",""),"r",""),"s",""),"t",""),"u",""),"v",""),"w",""),"x",""),"y",""),"z",""),"-",""),"_",""),"/",""),".",""),"#",""),"\\",""),":","")," ",""),"(",""),")","")</f>
        <v/>
      </c>
      <c r="BX527" s="61" t="str">
        <f aca="false">SUBSTITUTE(SUBSTITUTE(SUBSTITUTE(SUBSTITUTE(SUBSTITUTE(SUBSTITUTE(SUBSTITUTE(SUBSTITUTE(SUBSTITUTE(SUBSTITUTE(SUBSTITUTE(BM527,"0",""),"-",""),"_",""),"/",""),".",""),"#",""),"\\",""),":","")," ",""),"(",""),")","")</f>
        <v/>
      </c>
      <c r="BY527" s="62" t="n">
        <f aca="false">IF(ISNUMBER(Flights!$AZ$20),MAX(Q527-UpliftWindowH/24,Flights!$AZ$20),Q527-UpliftWindowH/24)</f>
        <v>46320.7986111111</v>
      </c>
      <c r="BZ527" s="61" t="n">
        <f aca="false">IFERROR(IF(IF(TRIM(S527)="Link / file path",AND(LEN(TRIM(Z527))&gt;=5,SUMPRODUCT(--ISNUMBER(SEARCH({"http","www.","\\",":\",".pdf",".jpg",".jpeg",".png",".heic",".xls",".doc",".msg",".eml",".ppt",".txt",".zip"},Z527)))&gt;0),AND(ISERROR(FIND(" ",TRIM(Z527))),NOT(OR(SUMPRODUCT(--ISNUMBER(FIND({",",";","&amp;","+"},Z527)))&gt;0,SUMPRODUCT(--ISNUMBER(SEARCH({"0/aa","0\\aa"},BN527)))&gt;0)),NOT(SUMPRODUCT(--ISNUMBER(SEARCH({"http","www.","\\",":\",".pdf",".jpg",".jpeg",".png",".heic",".xls",".doc",".msg",".eml",".ppt",".txt",".zip"},Z527)))&gt;0),NOT(LOWER(TRIM(Z527))=LOWER(Flights!$F$20)),ISNA(MATCH(BU527,{"mh","rev","revision","ver","version","v","r","a","b","seat","tray","row","gate","bay","stand","page","pg","item","line","no","cart","galley","flight","flt","table","box","bag","oven","etd","eta","std","sta","atd","ata","qty","pax","x","time","tel","ph","mob","day","wk","week","utc","gmt","myt","lt"},0)),NOT(OR(ISNUMBER(MATCH(LEFT(BN527,255),{"0000a","000a","00a","0000aa","000aa","00aa","0aa","0000aaa","000aaa","00a00","0a00","0000-0000","00:00","a00","a0","00.00.0000","00/00/0000","00-00-0000","0000-00-00","0000/00/00","0000.00.00","00.00.00","00/00/00","00-00-00","0.00.0000","0/00/0000","0-00-0000"},0)),ISNUMBER(MATCH(LEFT(BT527,255),{"0000a","000a","00a","0000aa","000aa","00aa","0aa","0000aaa","000aaa","00a00","0a00","0000-0000","00:00","a00","a0","00.00.0000","00/00/0000","00-00-0000","0000-00-00","0000/00/00","0000.00.00","00.00.00","00/00/00","00-00-00","0.00.0000","0/00/0000","0-00-0000"},0)))),NOT(OR(AND(BW527&lt;&gt;"",SUBSTITUTE(BW527,"0","")=""),AND(LEN(BW527)&gt;=4,BW527=REPT(LEFT(BW527),LEN(BW527))),ISNUMBER(MATCH(BW527,{"123","1234","12345","123456","1234567","12345678","0123","01234","012345","98765","987654","54321"},0)),ISNUMBER(MATCH(BX527,{"x","xx","xxx","xxxx","xxxxx","abc","abcd","nil","na","nan","test","tbc","tba","tbd","dummy","sample","example","eg","zz","zzz","none","null","xyz","qwe","asd","id","ref"},0)),AND(LEN(BW527)=8,BX527="",OR(LEFT(BW527,3)="202",ISNUMBER(MATCH(RIGHT(BW527,4),{"2025","2026","2027"},0)))))),OR(AND((LEN(BT527)-LEN(SUBSTITUTE(BT527,"a","")))&gt;=1,(LEN(BN527)-LEN(SUBSTITUTE(BN527,"0","")))&gt;=2,SUMPRODUCT(--ISNUMBER(SEARCH({"a0","a-0","a_0","a/0","a.0","a#0","0a","0-a","0_a","0/a"},BN527)))&gt;0),AND((LEN(BN527)-LEN(SUBSTITUTE(BN527,"a","")))=0,(LEN(BN527)-LEN(SUBSTITUTE(BN527,"0","")))&gt;=5)))),1,0),0)</f>
        <v>0</v>
      </c>
      <c r="CA5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527,"revision",""),"version",""),"jan",""),"feb",""),"mar",""),"apr",""),"may",""),"jun",""),"jul",""),"aug",""),"sep",""),"oct",""),"nov",""),"dec",""),"utc",""),"gmt",""),"myt",""),"bst",""),"rev",""),"ver",""),"b","a"),"c","a"),"d","a"),"e","a"),"f","a"),"g","a"),"h","a"),"i","a"),"j","a"),"k","a"),"l","a"),"m","a"),"n","a"),"o","a"),"p","a"),"q","a"),"r","a"),"s","a"),"t","a"),"u","a"),"v","a"),"w","a"),"x","a"),"y","a"),"z","a")</f>
        <v/>
      </c>
      <c r="CB5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527&amp;""),"a",""),"b",""),"c",""),"d",""),"e",""),"f",""),"g",""),"h",""),"i",""),"j",""),"k",""),"l",""),"m",""),"n",""),"o",""),"p",""),"q",""),"r",""),"s",""),"t",""),"u",""),"v",""),"w",""),"x",""),"y",""),"z",""),"-",""),"_",""),"/",""),".",""),"#",""),"\\",""),":","")," ",""),"(",""),")","")</f>
        <v/>
      </c>
      <c r="CC527" s="0" t="str">
        <f aca="false">" "&amp;TRIM(SUBSTITUTE(SUBSTITUTE(SUBSTITUTE(SUBSTITUTE(SUBSTITUTE(SUBSTITUTE(SUBSTITUTE(SUBSTITUTE(SUBSTITUTE(SUBSTITUTE(SUBSTITUTE(SUBSTITUTE(SUBSTITUTE(SUBSTITUTE(SUBSTITUTE(SUBSTITUTE(SUBSTITUTE(SUBSTITUTE(SUBSTITUTE(SUBSTITUTE(SUBSTITUTE(SUBSTITUTE(SUBSTITUTE(SUBSTITUTE(LOWER(T527&amp;""),CHAR(10)," "),CHAR(13)," "),CHAR(9)," "),CHAR(160)," "),"."," "),","," "),"-"," "),"/"," "),"("," "),")"," "),":"," "),";"," "),"_"," "),"–"," "),"?"," "),"!"," "),"*"," "),"["," "),"]"," "),"'"," "),"#"," "),"+"," "),"&amp;"," "),"\"," "))&amp;" "</f>
        <v>  </v>
      </c>
      <c r="CD527" s="0" t="str">
        <f aca="false">" "&amp;TRIM(SUBSTITUTE(SUBSTITUTE(SUBSTITUTE(SUBSTITUTE(SUBSTITUTE(SUBSTITUTE(SUBSTITUTE(SUBSTITUTE(SUBSTITUTE(SUBSTITUTE(SUBSTITUTE(SUBSTITUTE(SUBSTITUTE(SUBSTITUTE(SUBSTITUTE(SUBSTITUTE(SUBSTITUTE(SUBSTITUTE(SUBSTITUTE(SUBSTITUTE(SUBSTITUTE(SUBSTITUTE(SUBSTITUTE(SUBSTITUTE(LOWER(AE527&amp;""),CHAR(10)," "),CHAR(13)," "),CHAR(9)," "),CHAR(160)," "),"."," "),","," "),"-"," "),"/"," "),"("," "),")"," "),":"," "),";"," "),"_"," "),"–"," "),"?"," "),"!"," "),"*"," "),"["," "),"]"," "),"'"," "),"#"," "),"+"," "),"&amp;"," "),"\"," "))&amp;" "</f>
        <v>  </v>
      </c>
      <c r="CE527" s="68" t="n">
        <f aca="false">IFERROR(IF(AND(LEN(AU527)&gt;0,LEN(AU527)=LEN(AX527),OR(TRIM(MID(SUBSTITUTE(TRIM(CC527)," ",REPT(" ",60)),1,60))="",ISNUMBER(SEARCH(" "&amp;TRIM(MID(SUBSTITUTE(TRIM(CC527)," ",REPT(" ",60)),1,60))&amp;" ",CD527))),OR(TRIM(MID(SUBSTITUTE(TRIM(CC527)," ",REPT(" ",60)),61,60))="",ISNUMBER(SEARCH(" "&amp;TRIM(MID(SUBSTITUTE(TRIM(CC527)," ",REPT(" ",60)),61,60))&amp;" ",CD527))),OR(TRIM(MID(SUBSTITUTE(TRIM(CC527)," ",REPT(" ",60)),121,60))="",ISNUMBER(SEARCH(" "&amp;TRIM(MID(SUBSTITUTE(TRIM(CC527)," ",REPT(" ",60)),121,60))&amp;" ",CD527)))),1,0),0)</f>
        <v>0</v>
      </c>
      <c r="CG527" s="68" t="n">
        <f aca="false">IFERROR(LEN(SUBSTITUTE(BF527," ",""))-SUMPRODUCT((LEN(BF527)-LEN(SUBSTITUTE(BF527," "&amp;L_NAFiller&amp;" "," ")))/(LEN(L_NAFiller)+1)*LEN(L_NAFiller)),0)</f>
        <v>0</v>
      </c>
    </row>
    <row r="528" customFormat="false" ht="39.75" hidden="false" customHeight="true" outlineLevel="0" collapsed="false">
      <c r="A528" s="57" t="s">
        <v>1192</v>
      </c>
      <c r="B528" s="57" t="s">
        <v>280</v>
      </c>
      <c r="C528" s="57" t="str">
        <f aca="false">Flights!$F$20</f>
        <v>MH0072</v>
      </c>
      <c r="D528" s="58" t="n">
        <f aca="false">Flights!$D$20</f>
        <v>46321</v>
      </c>
      <c r="E528" s="57" t="str">
        <f aca="false">Flights!$G$20&amp;"-"&amp;Flights!$H$20</f>
        <v>KUL-HKG</v>
      </c>
      <c r="F528" s="57" t="str">
        <f aca="false">Flights!$K$20</f>
        <v>EY</v>
      </c>
      <c r="G528" s="57" t="s">
        <v>459</v>
      </c>
      <c r="H528" s="57" t="s">
        <v>460</v>
      </c>
      <c r="I528" s="57" t="s">
        <v>447</v>
      </c>
      <c r="J528" s="57" t="s">
        <v>469</v>
      </c>
      <c r="K528" s="67" t="s">
        <v>449</v>
      </c>
      <c r="L528" s="67" t="s">
        <v>1181</v>
      </c>
      <c r="M528" s="67" t="s">
        <v>451</v>
      </c>
      <c r="N528" s="67" t="s">
        <v>383</v>
      </c>
      <c r="O528" s="67"/>
      <c r="P528" s="57" t="s">
        <v>187</v>
      </c>
      <c r="Q528" s="59" t="n">
        <f aca="false">ROUND((Flights!$AF$20)*1440,0)/1440</f>
        <v>46321.0486111111</v>
      </c>
      <c r="R528" s="59" t="n">
        <f aca="false">Q528+(IF(AND(INDEX(TZ_DSTS,MATCH(P528,TZ_STN,0))&lt;&gt;"",Q528&gt;=INDEX(TZ_DSTS,MATCH(P528,TZ_STN,0)),Q528&lt;INDEX(TZ_DSTE,MATCH(P528,TZ_STN,0))),INDEX(TZ_DST,MATCH(P528,TZ_STN,0)),INDEX(TZ_STD,MATCH(P528,TZ_STN,0))))/24</f>
        <v>46321.3819444444</v>
      </c>
      <c r="S528" s="60"/>
      <c r="T528" s="60"/>
      <c r="U528" s="60"/>
      <c r="V528" s="60"/>
      <c r="W528" s="61"/>
      <c r="X528" s="60"/>
      <c r="Y528" s="60"/>
      <c r="Z528" s="60"/>
      <c r="AA528" s="60"/>
      <c r="AB528" s="60"/>
      <c r="AC528" s="60"/>
      <c r="AD528" s="66"/>
      <c r="AE528" s="60"/>
      <c r="AF528" s="61" t="str">
        <f aca="false">IF(AND(ISNUMBER(X528),ISNUMBER(Y528)),Y528-X528,"")</f>
        <v/>
      </c>
      <c r="AG528" s="62" t="str">
        <f aca="false">IF(ISNUMBER(AD528),AD528-(IF(AND(INDEX(TZ_DSTS,MATCH(P528,TZ_STN,0))&lt;&gt;"",(AD528-INDEX(TZ_STD,MATCH(P528,TZ_STN,0))/24)&gt;=INDEX(TZ_DSTS,MATCH(P528,TZ_STN,0)),(AD528-INDEX(TZ_STD,MATCH(P528,TZ_STN,0))/24)&lt;INDEX(TZ_DSTE,MATCH(P528,TZ_STN,0))),INDEX(TZ_DST,MATCH(P528,TZ_STN,0)),INDEX(TZ_STD,MATCH(P528,TZ_STN,0))))/24,"")</f>
        <v/>
      </c>
      <c r="AH528" s="65" t="str">
        <f aca="false">IFERROR(IF(N528="N/A – rule",IF(OR(TRIM(U528)="",TRIM(U528)="N/A",TRIM(U528)="Not started"),"N/A – RULE","INVALID – this check does not apply to this aircraft: clear the status (or correct the fleet on Flights)"),IF(TRIM(U528)="N/A",IF(AT528=0,"INVALID – N/A not permitted for this check",IF(AND(TRIM(AB528)&lt;&gt;"",TRIM(AB528)&lt;&gt;"Closed"),"INVALID – corrective action still open",IF(AND(NOT(OR(LEN(AZ528)&lt;15,ISNUMBER(MATCH(AZ528,L_Placeholder,0)))),BK528=0,CG528&gt;=8,NOT(OR(LEN(AU528)&lt;2,ISNUMBER(MATCH(AU528,L_Placeholder,0)))),BR528&gt;=3,NOT(OR(LEN(AX528)&lt;2,ISNUMBER(MATCH(AX528,L_Placeholder,0)))),BS528&gt;=3,TRIM(AE528)&lt;&gt;TRIM(T528),AX528&lt;&gt;AU528,CE528=0),"N/A – JUSTIFIED","INVALID – N/A needs a real, settled reason (not 'not applicable' / 'as above' / TBC), a named PIC and a different named verifier"))),IF(OR(TRIM(U528)="Pass",TRIM(U528)="Pass after CA"),IF(NOT(ISNUMBER(AD528)),"INVALID – completion time missing",IF(OR(OR(LEN(AU528)&lt;2,ISNUMBER(MATCH(AU528,L_Placeholder,0))),BR528&lt;3),"INVALID – PIC missing or not a named person (a role such as QA / CSM is not a name)",IF(OR(LEN(AV528)&lt;2,ISNUMBER(MATCH(AV528,L_Placeholder,0))),"INVALID – result / assessment missing",IF(OR(OR(LEN(AW528)&lt;3,ISNUMBER(MATCH(AW528,L_Placeholder,0))),SUMPRODUCT(--ISNUMBER(SEARCH(" "&amp;L_EvidencePhrase&amp;" ",BD528)))&gt;0,BI528=1),"INVALID – evidence missing, placeholder or not yet on file",IF(ISNA(MATCH(TRIM(S528),L_EvidenceType,0)),"INVALID – choose the evidence type from the list (column S)",IF(BL528=0,"INVALID – evidence ID must be the record's own ID only (e.g. SF-2210, IMG_2231, 1045521); a link / file name needs type 'Link / file path'",IF(OR(OR(LEN(AX528)&lt;2,ISNUMBER(MATCH(AX528,L_Placeholder,0))),BS528&lt;3),"INVALID – verifier missing or not a named person (a role such as QA / CSM is not a name)",IF(OR(AX528=AU528,CE528=1,AND(LEN(AU528)&gt;=4,ISNUMBER(SEARCH(AU528,AX528))),AND(LEN(AX528)&gt;=4,ISNUMBER(SEARCH(AX528,AU528)))),"INVALID – verifier must be a different, named person (not the PIC or a role)",IF(BH528=1,"INVALID – result not yet available (awaiting / TBC)",IF(BG528=1,"INVALID – result describes a problem: record Fail, then Pass after CA (or reword if it is not a problem)",IF(BV528=1,"INVALID – wording says not on board: an on-board confirmation needs the item loaded",IF(AND(AQ528=1,OR(OR(LEN(AY528)&lt;3,ISNUMBER(MATCH(AY528,L_Placeholder,0))),BJ528=1,BQ528=0)),"INVALID – batch ID missing, placeholder or not an ID (e.g. PASB-261008-BC-017)",IF(AND(AR528=1,OR(NOT(ISNUMBER(X528)),NOT(ISNUMBER(Y528)))),"INVALID – expected/actual qty missing",IF(AND(AR528=1,OR(X528&lt;=0,Y528&lt;0)),"INVALID – expected qty must be above 0 and actual not negative",IF(AH523="N/A – JUSTIFIED","INVALID – preparation row F16-T12-08 is N/A",IF(AND(AR528=1,ISNUMBER(X523),X528&lt;&gt;X523,TRIM(U528)&lt;&gt;"Pass after CA"),"INVALID – expected qty differs from preparation check F16-T12-08: record the load change as a corrective action (Pass after CA)",IF(BB528&lt;&gt;"",BB528,IF(AND(AS528=1,Documents!$J$20&lt;&gt;"ON FILE"),"INVALID – GLD not on file (Documents sheet)",IF(AND(AS528=2,Documents!$O$20&lt;&gt;"ON FILE"),"INVALID – menu checklist not on file (Documents sheet)",IF(AND(AS528=3,NOT(ISNUMBER(Flights!$AX$20))),"INVALID – enter carrying flight KUL departure (Flights AX)",IF(AND(AS528=3,OR(Flights!$AZ$20&gt;Flights!$AA$20,Flights!$AX$20&lt;Flights!$AA$20-3)),"INVALID – carrying flight (Flights AX) cannot arrive before this leg's STD, or is over 3 days early",IF(AG528&gt;AsOfUTC,"INVALID – completion time is in the future",IF(AND(ISNUMBER(BY528),AG528&lt;BY528),IF(H528="Physical uplift","INVALID – before uplift window (cannot confirm loading)","INVALID – before valid window"),IF(AG528&gt;Flights!$AA$20,"INVALID – completed after departure (cannot establish readiness)",IF(AND(H528="Preparation",AG528&gt;=IF(ISNUMBER(Flights!$BA$20),MIN(Flights!$BA$20,Flights!$AA$20),Flights!$AA$20)),"INVALID – completed after loading / departure (cannot establish readiness)",IF(AND(H528="Physical uplift",AG528&gt;Q528),"INVALID – recorded after the loading flight departed",IF(AG528&gt;Q528,"COMPLETE – LATE","COMPLETE"))))))))))))))))))))))))))),IF(TRIM(U528)="Fail","FAIL – DISCREPANCY",IF(AND(TRIM(U528)&lt;&gt;"",TRIM(U528)&lt;&gt;"Not started",TRIM(U528)&lt;&gt;"In progress"),"INVALID – unrecognised status (use the list)",IF(AsOfUTC&gt;Q528,"OVERDUE",IF(N528="Clarification required","OPEN – CLARIFICATION","OPEN"))))))),"INVALID – error value in an input cell")</f>
        <v>OPEN</v>
      </c>
      <c r="AI528" s="61" t="n">
        <f aca="false">IF(OR(AH528="N/A – RULE",AH528="N/A – JUSTIFIED"),0,1)</f>
        <v>1</v>
      </c>
      <c r="AJ528" s="61" t="n">
        <f aca="false">IF(LEFT(AH528,8)="COMPLETE",1,0)</f>
        <v>0</v>
      </c>
      <c r="AK528" s="61" t="n">
        <f aca="false">IF(AND(AI528=1,AJ528=0,AsOfUTC&gt;Q528),1,0)</f>
        <v>0</v>
      </c>
      <c r="AL528" s="61" t="n">
        <f aca="false">IFERROR(IF(AND(AI528=1,OR(TRIM(U528)="Fail",AND(TRIM(AB528)&lt;&gt;"",TRIM(AB528)&lt;&gt;"Closed"),AND(ISNUMBER(AF528),AF528&lt;&gt;0,TRIM(U528)&lt;&gt;"Pass after CA"))),1,0),1)</f>
        <v>0</v>
      </c>
      <c r="AM528" s="61" t="n">
        <f aca="false">IF(LEFT(AH528,7)="INVALID",1,0)</f>
        <v>0</v>
      </c>
      <c r="AN528" s="61" t="n">
        <f aca="false">IF(AND(N528="Clarification required",AI528=1,AJ528=0),1,0)</f>
        <v>0</v>
      </c>
      <c r="AO528" s="61" t="str">
        <f aca="false">IF(AK528=1,SUM(AK$5:AK528),"")</f>
        <v/>
      </c>
      <c r="AP528" s="61" t="str">
        <f aca="false">IF(AL528=1,SUM(AL$5:AL528),"")</f>
        <v/>
      </c>
      <c r="AQ528" s="61" t="n">
        <v>0</v>
      </c>
      <c r="AR528" s="61" t="n">
        <v>0</v>
      </c>
      <c r="AS528" s="61" t="n">
        <v>0</v>
      </c>
      <c r="AT528" s="61" t="n">
        <v>0</v>
      </c>
      <c r="AU528" s="61" t="str">
        <f aca="false">SUBSTITUTE(SUBSTITUTE(SUBSTITUTE(SUBSTITUTE(SUBSTITUTE(SUBSTITUTE(SUBSTITUTE(SUBSTITUTE(SUBSTITUTE(SUBSTITUTE(SUBSTITUTE(SUBSTITUTE(SUBSTITUTE(SUBSTITUTE(SUBSTITUTE(SUBSTITUTE(LOWER(T528&amp;""),CHAR(10),""),CHAR(13),""),CHAR(9),""),CHAR(160),"")," ",""),".",""),"-",""),"/",""),"?",""),"_",""),",",""),"[",""),"]",""),"(",""),")",""),"*","")</f>
        <v/>
      </c>
      <c r="AV528" s="61" t="str">
        <f aca="false">SUBSTITUTE(SUBSTITUTE(SUBSTITUTE(SUBSTITUTE(SUBSTITUTE(SUBSTITUTE(SUBSTITUTE(SUBSTITUTE(SUBSTITUTE(SUBSTITUTE(SUBSTITUTE(SUBSTITUTE(SUBSTITUTE(SUBSTITUTE(SUBSTITUTE(SUBSTITUTE(LOWER(V528&amp;""),CHAR(10),""),CHAR(13),""),CHAR(9),""),CHAR(160),"")," ",""),".",""),"-",""),"/",""),"?",""),"_",""),",",""),"[",""),"]",""),"(",""),")",""),"*","")</f>
        <v/>
      </c>
      <c r="AW528" s="61" t="str">
        <f aca="false">SUBSTITUTE(SUBSTITUTE(SUBSTITUTE(SUBSTITUTE(SUBSTITUTE(SUBSTITUTE(SUBSTITUTE(SUBSTITUTE(SUBSTITUTE(SUBSTITUTE(SUBSTITUTE(SUBSTITUTE(SUBSTITUTE(SUBSTITUTE(SUBSTITUTE(SUBSTITUTE(LOWER(Z528&amp;""),CHAR(10),""),CHAR(13),""),CHAR(9),""),CHAR(160),"")," ",""),".",""),"-",""),"/",""),"?",""),"_",""),",",""),"[",""),"]",""),"(",""),")",""),"*","")</f>
        <v/>
      </c>
      <c r="AX528" s="61" t="str">
        <f aca="false">SUBSTITUTE(SUBSTITUTE(SUBSTITUTE(SUBSTITUTE(SUBSTITUTE(SUBSTITUTE(SUBSTITUTE(SUBSTITUTE(SUBSTITUTE(SUBSTITUTE(SUBSTITUTE(SUBSTITUTE(SUBSTITUTE(SUBSTITUTE(SUBSTITUTE(SUBSTITUTE(LOWER(AE528&amp;""),CHAR(10),""),CHAR(13),""),CHAR(9),""),CHAR(160),"")," ",""),".",""),"-",""),"/",""),"?",""),"_",""),",",""),"[",""),"]",""),"(",""),")",""),"*","")</f>
        <v/>
      </c>
      <c r="AY528" s="61" t="str">
        <f aca="false">SUBSTITUTE(SUBSTITUTE(SUBSTITUTE(SUBSTITUTE(SUBSTITUTE(SUBSTITUTE(SUBSTITUTE(SUBSTITUTE(SUBSTITUTE(SUBSTITUTE(SUBSTITUTE(SUBSTITUTE(SUBSTITUTE(SUBSTITUTE(SUBSTITUTE(SUBSTITUTE(LOWER(W528&amp;""),CHAR(10),""),CHAR(13),""),CHAR(9),""),CHAR(160),"")," ",""),".",""),"-",""),"/",""),"?",""),"_",""),",",""),"[",""),"]",""),"(",""),")",""),"*","")</f>
        <v/>
      </c>
      <c r="AZ528" s="61" t="str">
        <f aca="false">SUBSTITUTE(SUBSTITUTE(SUBSTITUTE(SUBSTITUTE(SUBSTITUTE(SUBSTITUTE(SUBSTITUTE(SUBSTITUTE(SUBSTITUTE(SUBSTITUTE(SUBSTITUTE(SUBSTITUTE(SUBSTITUTE(SUBSTITUTE(SUBSTITUTE(SUBSTITUTE(LOWER(AC528&amp;""),CHAR(10),""),CHAR(13),""),CHAR(9),""),CHAR(160),"")," ",""),".",""),"-",""),"/",""),"?",""),"_",""),",",""),"[",""),"]",""),"(",""),")",""),"*","")</f>
        <v/>
      </c>
      <c r="BA528" s="61" t="str">
        <f aca="false">SUBSTITUTE(SUBSTITUTE(SUBSTITUTE(SUBSTITUTE(SUBSTITUTE(SUBSTITUTE(SUBSTITUTE(SUBSTITUTE(SUBSTITUTE(SUBSTITUTE(SUBSTITUTE(SUBSTITUTE(SUBSTITUTE(SUBSTITUTE(SUBSTITUTE(SUBSTITUTE(LOWER(AA528&amp;""),CHAR(10),""),CHAR(13),""),CHAR(9),""),CHAR(160),"")," ",""),".",""),"-",""),"/",""),"?",""),"_",""),",",""),"[",""),"]",""),"(",""),")",""),"*","")</f>
        <v/>
      </c>
      <c r="BB528" s="61" t="str">
        <f aca="false">IF(AND(TRIM(U528)="Pass",ISNUMBER(AF528)),IF(AF528&lt;&gt;0,"INVALID – qty variance: use Fail or Pass after CA",""),"")&amp;IF(AND(TRIM(U528)="Pass after CA",ISNUMBER(AF528)),IF(AF528&lt;&gt;0,"INVALID – after the corrective action the actual qty must equal expected (update Actual)",""),"")&amp;IF(AND(TRIM(U528)="Pass",TRIM(AB528)&lt;&gt;"",TRIM(AB528)&lt;&gt;"Closed"),"INVALID – corrective action not closed: use Fail, then Pass after CA","")&amp;IF(AND(LEN(BA528)&gt;=2,ISNA(MATCH(LEFT(BA528,255),L_Placeholder,0)),TRIM(AB528)=""),"INVALID – CA status missing for the recorded corrective action","")&amp;IF(AND(TRIM(U528)="Pass after CA",OR(OR(LEN(BA528)&lt;5,ISNUMBER(MATCH(BA528,L_Placeholder,0))),TRIM(AB528)&lt;&gt;"Closed")),"INVALID – corrective action not recorded/closed","")</f>
        <v/>
      </c>
      <c r="BC528" s="61" t="str">
        <f aca="false">" "&amp;TRIM(SUBSTITUTE(SUBSTITUTE(SUBSTITUTE(SUBSTITUTE(SUBSTITUTE(SUBSTITUTE(SUBSTITUTE(SUBSTITUTE(SUBSTITUTE(SUBSTITUTE(SUBSTITUTE(SUBSTITUTE(SUBSTITUTE(SUBSTITUTE(SUBSTITUTE(SUBSTITUTE(SUBSTITUTE(SUBSTITUTE(SUBSTITUTE(SUBSTITUTE(SUBSTITUTE(SUBSTITUTE(SUBSTITUTE(SUBSTITUTE(LOWER(V528&amp;""),CHAR(10)," "),CHAR(13)," "),CHAR(9)," "),CHAR(160)," "),"."," "),","," "),"-"," "),"/"," "),"("," "),")"," "),":"," "),";"," "),"_"," "),"–"," "),"?"," "),"!"," "),"*"," "),"["," "),"]"," "),"'"," "),"#"," "),"+"," "),"&amp;"," "),"\"," "))&amp;" "</f>
        <v>  </v>
      </c>
      <c r="BD528" s="61" t="str">
        <f aca="false">" "&amp;TRIM(SUBSTITUTE(SUBSTITUTE(SUBSTITUTE(SUBSTITUTE(SUBSTITUTE(SUBSTITUTE(SUBSTITUTE(SUBSTITUTE(SUBSTITUTE(SUBSTITUTE(SUBSTITUTE(SUBSTITUTE(SUBSTITUTE(SUBSTITUTE(SUBSTITUTE(SUBSTITUTE(SUBSTITUTE(SUBSTITUTE(SUBSTITUTE(SUBSTITUTE(SUBSTITUTE(SUBSTITUTE(SUBSTITUTE(SUBSTITUTE(LOWER(Z528&amp;""),CHAR(10)," "),CHAR(13)," "),CHAR(9)," "),CHAR(160)," "),"."," "),","," "),"-"," "),"/"," "),"("," "),")"," "),":"," "),";"," "),"_"," "),"–"," "),"?"," "),"!"," "),"*"," "),"["," "),"]"," "),"'"," "),"#"," "),"+"," "),"&amp;"," "),"\"," "))&amp;" "</f>
        <v>  </v>
      </c>
      <c r="BE528" s="61" t="str">
        <f aca="false">" "&amp;TRIM(SUBSTITUTE(SUBSTITUTE(SUBSTITUTE(SUBSTITUTE(SUBSTITUTE(SUBSTITUTE(SUBSTITUTE(SUBSTITUTE(SUBSTITUTE(SUBSTITUTE(SUBSTITUTE(SUBSTITUTE(SUBSTITUTE(SUBSTITUTE(SUBSTITUTE(SUBSTITUTE(SUBSTITUTE(SUBSTITUTE(SUBSTITUTE(SUBSTITUTE(SUBSTITUTE(SUBSTITUTE(SUBSTITUTE(SUBSTITUTE(LOWER(W528&amp;""),CHAR(10)," "),CHAR(13)," "),CHAR(9)," "),CHAR(160)," "),"."," "),","," "),"-"," "),"/"," "),"("," "),")"," "),":"," "),";"," "),"_"," "),"–"," "),"?"," "),"!"," "),"*"," "),"["," "),"]"," "),"'"," "),"#"," "),"+"," "),"&amp;"," "),"\"," "))&amp;" "</f>
        <v>  </v>
      </c>
      <c r="BF528" s="61" t="str">
        <f aca="false">" "&amp;TRIM(SUBSTITUTE(SUBSTITUTE(SUBSTITUTE(SUBSTITUTE(SUBSTITUTE(SUBSTITUTE(SUBSTITUTE(SUBSTITUTE(SUBSTITUTE(SUBSTITUTE(SUBSTITUTE(SUBSTITUTE(SUBSTITUTE(SUBSTITUTE(SUBSTITUTE(SUBSTITUTE(SUBSTITUTE(SUBSTITUTE(SUBSTITUTE(SUBSTITUTE(SUBSTITUTE(SUBSTITUTE(SUBSTITUTE(SUBSTITUTE(LOWER(AC528&amp;""),CHAR(10)," "),CHAR(13)," "),CHAR(9)," "),CHAR(160)," "),"."," "),","," "),"-"," "),"/"," "),"("," "),")"," "),":"," "),";"," "),"_"," "),"–"," "),"?"," "),"!"," "),"*"," "),"["," "),"]"," "),"'"," "),"#"," "),"+"," "),"&amp;"," "),"\"," "))&amp;" "</f>
        <v>  </v>
      </c>
      <c r="BG528" s="61" t="n">
        <f aca="false">IFERROR(IF(AND(TRIM(U528)="Pass",SUMPRODUCT((LEN(BC528)-LEN(SUBSTITUTE(BC528," "&amp;L_ResultBad&amp;" "," ")))/(LEN(L_ResultBad)+1))&gt;SUMPRODUCT((LEN(BC528)-LEN(SUBSTITUTE(BC528," "&amp;L_NegPhrase&amp;" "," ")))/(LEN(L_NegPhrase)+1))),1,0),0)</f>
        <v>0</v>
      </c>
      <c r="BH528" s="61" t="n">
        <f aca="false">IFERROR(IF(SUMPRODUCT((LEN(BC528)-LEN(SUBSTITUTE(BC528," "&amp;L_Pending&amp;" "," ")))/(LEN(L_Pending)+1))&gt;SUMPRODUCT((LEN(BC528)-LEN(SUBSTITUTE(BC528," "&amp;L_PendNeg&amp;" "," ")))/(LEN(L_PendNeg)+1)),1,0),1)</f>
        <v>0</v>
      </c>
      <c r="BI528" s="61" t="n">
        <f aca="false">IFERROR(IF(SUMPRODUCT((LEN(BD528)-LEN(SUBSTITUTE(BD528," "&amp;L_PendStrict&amp;" "," ")))/(LEN(L_PendStrict)+1))&gt;SUMPRODUCT((LEN(BD528)-LEN(SUBSTITUTE(BD528," "&amp;L_PendNeg&amp;" "," ")))/(LEN(L_PendNeg)+1)),1,0),1)</f>
        <v>0</v>
      </c>
      <c r="BJ528" s="61" t="n">
        <f aca="false">IFERROR(IF(SUMPRODUCT((LEN(BE528)-LEN(SUBSTITUTE(BE528," "&amp;L_Pending&amp;" "," ")))/(LEN(L_Pending)+1))&gt;SUMPRODUCT((LEN(BE528)-LEN(SUBSTITUTE(BE528," "&amp;L_PendNeg&amp;" "," ")))/(LEN(L_PendNeg)+1)),1,0),1)</f>
        <v>0</v>
      </c>
      <c r="BK528" s="61" t="n">
        <f aca="false">IFERROR(IF(SUMPRODUCT((LEN(BF528)-LEN(SUBSTITUTE(BF528," "&amp;L_PendStrict&amp;" "," ")))/(LEN(L_PendStrict)+1))&gt;SUMPRODUCT((LEN(BF528)-LEN(SUBSTITUTE(BF528," "&amp;L_PendNeg&amp;" "," ")))/(LEN(L_PendNeg)+1)),1,0),1)</f>
        <v>0</v>
      </c>
      <c r="BL528" s="61" t="n">
        <f aca="false">IF(ISNA(MATCH(TRIM(S528),L_EvidenceType,0)),0,BZ528)</f>
        <v>0</v>
      </c>
      <c r="BM528" s="61" t="str">
        <f aca="false">SUBSTITUTE(SUBSTITUTE(SUBSTITUTE(SUBSTITUTE(SUBSTITUTE(SUBSTITUTE(SUBSTITUTE(SUBSTITUTE(SUBSTITUTE(LOWER(Z528&amp;""),"1","0"),"2","0"),"3","0"),"4","0"),"5","0"),"6","0"),"7","0"),"8","0"),"9","0")</f>
        <v/>
      </c>
      <c r="BN528" s="61" t="str">
        <f aca="false">SUBSTITUTE(SUBSTITUTE(SUBSTITUTE(SUBSTITUTE(SUBSTITUTE(SUBSTITUTE(SUBSTITUTE(SUBSTITUTE(SUBSTITUTE(SUBSTITUTE(SUBSTITUTE(SUBSTITUTE(SUBSTITUTE(SUBSTITUTE(SUBSTITUTE(SUBSTITUTE(SUBSTITUTE(SUBSTITUTE(SUBSTITUTE(SUBSTITUTE(SUBSTITUTE(SUBSTITUTE(SUBSTITUTE(SUBSTITUTE(SUBSTITUTE(BM528,"b","a"),"c","a"),"d","a"),"e","a"),"f","a"),"g","a"),"h","a"),"i","a"),"j","a"),"k","a"),"l","a"),"m","a"),"n","a"),"o","a"),"p","a"),"q","a"),"r","a"),"s","a"),"t","a"),"u","a"),"v","a"),"w","a"),"x","a"),"y","a"),"z","a")</f>
        <v/>
      </c>
      <c r="BO528" s="61" t="str">
        <f aca="false">SUBSTITUTE(SUBSTITUTE(SUBSTITUTE(SUBSTITUTE(SUBSTITUTE(SUBSTITUTE(SUBSTITUTE(SUBSTITUTE(SUBSTITUTE(LOWER(W528&amp;""),"1","0"),"2","0"),"3","0"),"4","0"),"5","0"),"6","0"),"7","0"),"8","0"),"9","0")</f>
        <v/>
      </c>
      <c r="BP528" s="61" t="str">
        <f aca="false">SUBSTITUTE(SUBSTITUTE(SUBSTITUTE(SUBSTITUTE(SUBSTITUTE(SUBSTITUTE(SUBSTITUTE(SUBSTITUTE(SUBSTITUTE(SUBSTITUTE(SUBSTITUTE(SUBSTITUTE(SUBSTITUTE(SUBSTITUTE(SUBSTITUTE(SUBSTITUTE(SUBSTITUTE(SUBSTITUTE(SUBSTITUTE(SUBSTITUTE(SUBSTITUTE(SUBSTITUTE(SUBSTITUTE(SUBSTITUTE(SUBSTITUTE(BO528,"b","a"),"c","a"),"d","a"),"e","a"),"f","a"),"g","a"),"h","a"),"i","a"),"j","a"),"k","a"),"l","a"),"m","a"),"n","a"),"o","a"),"p","a"),"q","a"),"r","a"),"s","a"),"t","a"),"u","a"),"v","a"),"w","a"),"x","a"),"y","a"),"z","a")</f>
        <v/>
      </c>
      <c r="BQ528" s="61" t="n">
        <f aca="false">IFERROR(IF(AND(ISERROR(SEARCH(" mh"," "&amp;LOWER(W528))),ISNA(MATCH(LEFT(TRIM(BP528),255),{"0000a","000a","00a","0000aa","000aa","00aa","0aa","0000aaa","000aaa","00a00","0a00","0000-0000","00:00","a00","a0","00.00.0000","00/00/0000","00-00-0000","0000-00-00","0000/00/00","0000.00.00","00.00.00","00/00/00","00-00-00","0.00.0000","0/00/0000","0-00-0000"},0)),ISNA(MATCH(LEFT(TRIM(CA528),255),{"0000a","000a","00a","0000aa","000aa","00aa","0aa","0000aaa","000aaa","00a00","0a00","0000-0000","00:00","a00","a0","00.00.0000","00/00/0000","00-00-0000","0000-00-00","0000/00/00","0000.00.00","00.00.00","00/00/00","00-00-00","0.00.0000","0/00/0000","0-00-0000"},0)),LEN(CB528)&gt;=3,NOT(OR(SUBSTITUTE(CB528,"0","")="",AND(LEN(CB528)&gt;=4,CB528=REPT(LEFT(CB528),LEN(CB528))),ISNUMBER(MATCH(CB528,{"123","1234","12345","123456","1234567","12345678","0123","01234","012345","98765","987654","54321"},0)),AND(LEN(CB528)=8,LEFT(CB528,3)="202"))),OR(AND((LEN(CA528)-LEN(SUBSTITUTE(CA528,"a","")))&gt;=1,SUMPRODUCT(--ISNUMBER(SEARCH({"a0","a-0","a_0","a/0","a.0","a#0","0a","0-a","0_a","0/a"},BP528)))&gt;0),ISNUMBER(SEARCH("000000",BP528)))),1,0),0)</f>
        <v>0</v>
      </c>
      <c r="BR528" s="61" t="n">
        <f aca="false">IFERROR(LEN(SUBSTITUTE(CC528," ",""))-SUMPRODUCT((LEN(CC528)-LEN(SUBSTITUTE(CC528," "&amp;L_Role&amp;" "," ")))/(LEN(L_Role)+1)*LEN(L_Role)),0)</f>
        <v>0</v>
      </c>
      <c r="BS528" s="61" t="n">
        <f aca="false">IFERROR(LEN(SUBSTITUTE(CD528," ",""))-SUMPRODUCT((LEN(CD528)-LEN(SUBSTITUTE(CD528," "&amp;L_Role&amp;" "," ")))/(LEN(L_Role)+1)*LEN(L_Role)),0)</f>
        <v>0</v>
      </c>
      <c r="BT5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528,"revision",""),"version",""),"jan",""),"feb",""),"mar",""),"apr",""),"may",""),"jun",""),"jul",""),"aug",""),"sep",""),"oct",""),"nov",""),"dec",""),"utc",""),"gmt",""),"myt",""),"bst",""),"rev",""),"ver",""),"b","a"),"c","a"),"d","a"),"e","a"),"f","a"),"g","a"),"h","a"),"i","a"),"j","a"),"k","a"),"l","a"),"m","a"),"n","a"),"o","a"),"p","a"),"q","a"),"r","a"),"s","a"),"t","a"),"u","a"),"v","a"),"w","a"),"x","a"),"y","a"),"z","a")</f>
        <v/>
      </c>
      <c r="BU528" s="61" t="str">
        <f aca="false">SUBSTITUTE(SUBSTITUTE(SUBSTITUTE(SUBSTITUTE(SUBSTITUTE(SUBSTITUTE(SUBSTITUTE(SUBSTITUTE(SUBSTITUTE(SUBSTITUTE(LEFT(BM528,FIND("0",BM528&amp;"0")-1),"-",""),"_",""),"/",""),".",""),"#",""),"\\",""),":","")," ",""),"(",""),")","")</f>
        <v/>
      </c>
      <c r="BV528" s="61" t="n">
        <f aca="false">IFERROR(IF(OR(SUMPRODUCT((LEN(BC528)-LEN(SUBSTITUTE(BC528," "&amp;L_NotLoaded&amp;" "," ")))/(LEN(L_NotLoaded)+1))&gt;SUMPRODUCT((LEN(BC528)-LEN(SUBSTITUTE(BC528," "&amp;L_NotLoadedNeg&amp;" "," ")))/(LEN(L_NotLoadedNeg)+1)),SUMPRODUCT((LEN(BD528)-LEN(SUBSTITUTE(BD528," "&amp;L_NotLoaded&amp;" "," ")))/(LEN(L_NotLoaded)+1))&gt;SUMPRODUCT((LEN(BD528)-LEN(SUBSTITUTE(BD528," "&amp;L_NotLoadedNeg&amp;" "," ")))/(LEN(L_NotLoadedNeg)+1))),1,0),0)</f>
        <v>0</v>
      </c>
      <c r="BW5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528&amp;""),"a",""),"b",""),"c",""),"d",""),"e",""),"f",""),"g",""),"h",""),"i",""),"j",""),"k",""),"l",""),"m",""),"n",""),"o",""),"p",""),"q",""),"r",""),"s",""),"t",""),"u",""),"v",""),"w",""),"x",""),"y",""),"z",""),"-",""),"_",""),"/",""),".",""),"#",""),"\\",""),":","")," ",""),"(",""),")","")</f>
        <v/>
      </c>
      <c r="BX528" s="61" t="str">
        <f aca="false">SUBSTITUTE(SUBSTITUTE(SUBSTITUTE(SUBSTITUTE(SUBSTITUTE(SUBSTITUTE(SUBSTITUTE(SUBSTITUTE(SUBSTITUTE(SUBSTITUTE(SUBSTITUTE(BM528,"0",""),"-",""),"_",""),"/",""),".",""),"#",""),"\\",""),":","")," ",""),"(",""),")","")</f>
        <v/>
      </c>
      <c r="BY528" s="62" t="n">
        <f aca="false">IF(ISNUMBER(Flights!$AZ$20),MAX(Q528-UpliftWindowH/24,Flights!$AZ$20),Q528-UpliftWindowH/24)</f>
        <v>46320.7986111111</v>
      </c>
      <c r="BZ528" s="61" t="n">
        <f aca="false">IFERROR(IF(IF(TRIM(S528)="Link / file path",AND(LEN(TRIM(Z528))&gt;=5,SUMPRODUCT(--ISNUMBER(SEARCH({"http","www.","\\",":\",".pdf",".jpg",".jpeg",".png",".heic",".xls",".doc",".msg",".eml",".ppt",".txt",".zip"},Z528)))&gt;0),AND(ISERROR(FIND(" ",TRIM(Z528))),NOT(OR(SUMPRODUCT(--ISNUMBER(FIND({",",";","&amp;","+"},Z528)))&gt;0,SUMPRODUCT(--ISNUMBER(SEARCH({"0/aa","0\\aa"},BN528)))&gt;0)),NOT(SUMPRODUCT(--ISNUMBER(SEARCH({"http","www.","\\",":\",".pdf",".jpg",".jpeg",".png",".heic",".xls",".doc",".msg",".eml",".ppt",".txt",".zip"},Z528)))&gt;0),NOT(LOWER(TRIM(Z528))=LOWER(Flights!$F$20)),ISNA(MATCH(BU528,{"mh","rev","revision","ver","version","v","r","a","b","seat","tray","row","gate","bay","stand","page","pg","item","line","no","cart","galley","flight","flt","table","box","bag","oven","etd","eta","std","sta","atd","ata","qty","pax","x","time","tel","ph","mob","day","wk","week","utc","gmt","myt","lt"},0)),NOT(OR(ISNUMBER(MATCH(LEFT(BN528,255),{"0000a","000a","00a","0000aa","000aa","00aa","0aa","0000aaa","000aaa","00a00","0a00","0000-0000","00:00","a00","a0","00.00.0000","00/00/0000","00-00-0000","0000-00-00","0000/00/00","0000.00.00","00.00.00","00/00/00","00-00-00","0.00.0000","0/00/0000","0-00-0000"},0)),ISNUMBER(MATCH(LEFT(BT528,255),{"0000a","000a","00a","0000aa","000aa","00aa","0aa","0000aaa","000aaa","00a00","0a00","0000-0000","00:00","a00","a0","00.00.0000","00/00/0000","00-00-0000","0000-00-00","0000/00/00","0000.00.00","00.00.00","00/00/00","00-00-00","0.00.0000","0/00/0000","0-00-0000"},0)))),NOT(OR(AND(BW528&lt;&gt;"",SUBSTITUTE(BW528,"0","")=""),AND(LEN(BW528)&gt;=4,BW528=REPT(LEFT(BW528),LEN(BW528))),ISNUMBER(MATCH(BW528,{"123","1234","12345","123456","1234567","12345678","0123","01234","012345","98765","987654","54321"},0)),ISNUMBER(MATCH(BX528,{"x","xx","xxx","xxxx","xxxxx","abc","abcd","nil","na","nan","test","tbc","tba","tbd","dummy","sample","example","eg","zz","zzz","none","null","xyz","qwe","asd","id","ref"},0)),AND(LEN(BW528)=8,BX528="",OR(LEFT(BW528,3)="202",ISNUMBER(MATCH(RIGHT(BW528,4),{"2025","2026","2027"},0)))))),OR(AND((LEN(BT528)-LEN(SUBSTITUTE(BT528,"a","")))&gt;=1,(LEN(BN528)-LEN(SUBSTITUTE(BN528,"0","")))&gt;=2,SUMPRODUCT(--ISNUMBER(SEARCH({"a0","a-0","a_0","a/0","a.0","a#0","0a","0-a","0_a","0/a"},BN528)))&gt;0),AND((LEN(BN528)-LEN(SUBSTITUTE(BN528,"a","")))=0,(LEN(BN528)-LEN(SUBSTITUTE(BN528,"0","")))&gt;=5)))),1,0),0)</f>
        <v>0</v>
      </c>
      <c r="CA5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528,"revision",""),"version",""),"jan",""),"feb",""),"mar",""),"apr",""),"may",""),"jun",""),"jul",""),"aug",""),"sep",""),"oct",""),"nov",""),"dec",""),"utc",""),"gmt",""),"myt",""),"bst",""),"rev",""),"ver",""),"b","a"),"c","a"),"d","a"),"e","a"),"f","a"),"g","a"),"h","a"),"i","a"),"j","a"),"k","a"),"l","a"),"m","a"),"n","a"),"o","a"),"p","a"),"q","a"),"r","a"),"s","a"),"t","a"),"u","a"),"v","a"),"w","a"),"x","a"),"y","a"),"z","a")</f>
        <v/>
      </c>
      <c r="CB5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528&amp;""),"a",""),"b",""),"c",""),"d",""),"e",""),"f",""),"g",""),"h",""),"i",""),"j",""),"k",""),"l",""),"m",""),"n",""),"o",""),"p",""),"q",""),"r",""),"s",""),"t",""),"u",""),"v",""),"w",""),"x",""),"y",""),"z",""),"-",""),"_",""),"/",""),".",""),"#",""),"\\",""),":","")," ",""),"(",""),")","")</f>
        <v/>
      </c>
      <c r="CC528" s="0" t="str">
        <f aca="false">" "&amp;TRIM(SUBSTITUTE(SUBSTITUTE(SUBSTITUTE(SUBSTITUTE(SUBSTITUTE(SUBSTITUTE(SUBSTITUTE(SUBSTITUTE(SUBSTITUTE(SUBSTITUTE(SUBSTITUTE(SUBSTITUTE(SUBSTITUTE(SUBSTITUTE(SUBSTITUTE(SUBSTITUTE(SUBSTITUTE(SUBSTITUTE(SUBSTITUTE(SUBSTITUTE(SUBSTITUTE(SUBSTITUTE(SUBSTITUTE(SUBSTITUTE(LOWER(T528&amp;""),CHAR(10)," "),CHAR(13)," "),CHAR(9)," "),CHAR(160)," "),"."," "),","," "),"-"," "),"/"," "),"("," "),")"," "),":"," "),";"," "),"_"," "),"–"," "),"?"," "),"!"," "),"*"," "),"["," "),"]"," "),"'"," "),"#"," "),"+"," "),"&amp;"," "),"\"," "))&amp;" "</f>
        <v>  </v>
      </c>
      <c r="CD528" s="0" t="str">
        <f aca="false">" "&amp;TRIM(SUBSTITUTE(SUBSTITUTE(SUBSTITUTE(SUBSTITUTE(SUBSTITUTE(SUBSTITUTE(SUBSTITUTE(SUBSTITUTE(SUBSTITUTE(SUBSTITUTE(SUBSTITUTE(SUBSTITUTE(SUBSTITUTE(SUBSTITUTE(SUBSTITUTE(SUBSTITUTE(SUBSTITUTE(SUBSTITUTE(SUBSTITUTE(SUBSTITUTE(SUBSTITUTE(SUBSTITUTE(SUBSTITUTE(SUBSTITUTE(LOWER(AE528&amp;""),CHAR(10)," "),CHAR(13)," "),CHAR(9)," "),CHAR(160)," "),"."," "),","," "),"-"," "),"/"," "),"("," "),")"," "),":"," "),";"," "),"_"," "),"–"," "),"?"," "),"!"," "),"*"," "),"["," "),"]"," "),"'"," "),"#"," "),"+"," "),"&amp;"," "),"\"," "))&amp;" "</f>
        <v>  </v>
      </c>
      <c r="CE528" s="68" t="n">
        <f aca="false">IFERROR(IF(AND(LEN(AU528)&gt;0,LEN(AU528)=LEN(AX528),OR(TRIM(MID(SUBSTITUTE(TRIM(CC528)," ",REPT(" ",60)),1,60))="",ISNUMBER(SEARCH(" "&amp;TRIM(MID(SUBSTITUTE(TRIM(CC528)," ",REPT(" ",60)),1,60))&amp;" ",CD528))),OR(TRIM(MID(SUBSTITUTE(TRIM(CC528)," ",REPT(" ",60)),61,60))="",ISNUMBER(SEARCH(" "&amp;TRIM(MID(SUBSTITUTE(TRIM(CC528)," ",REPT(" ",60)),61,60))&amp;" ",CD528))),OR(TRIM(MID(SUBSTITUTE(TRIM(CC528)," ",REPT(" ",60)),121,60))="",ISNUMBER(SEARCH(" "&amp;TRIM(MID(SUBSTITUTE(TRIM(CC528)," ",REPT(" ",60)),121,60))&amp;" ",CD528)))),1,0),0)</f>
        <v>0</v>
      </c>
      <c r="CG528" s="68" t="n">
        <f aca="false">IFERROR(LEN(SUBSTITUTE(BF528," ",""))-SUMPRODUCT((LEN(BF528)-LEN(SUBSTITUTE(BF528," "&amp;L_NAFiller&amp;" "," ")))/(LEN(L_NAFiller)+1)*LEN(L_NAFiller)),0)</f>
        <v>0</v>
      </c>
    </row>
    <row r="529" customFormat="false" ht="91.5" hidden="false" customHeight="true" outlineLevel="0" collapsed="false">
      <c r="A529" s="57" t="s">
        <v>1193</v>
      </c>
      <c r="B529" s="57" t="s">
        <v>280</v>
      </c>
      <c r="C529" s="57" t="str">
        <f aca="false">Flights!$F$20</f>
        <v>MH0072</v>
      </c>
      <c r="D529" s="58" t="n">
        <f aca="false">Flights!$D$20</f>
        <v>46321</v>
      </c>
      <c r="E529" s="57" t="str">
        <f aca="false">Flights!$G$20&amp;"-"&amp;Flights!$H$20</f>
        <v>KUL-HKG</v>
      </c>
      <c r="F529" s="57" t="str">
        <f aca="false">Flights!$K$20</f>
        <v>EY</v>
      </c>
      <c r="G529" s="57" t="s">
        <v>459</v>
      </c>
      <c r="H529" s="57" t="s">
        <v>460</v>
      </c>
      <c r="I529" s="57" t="s">
        <v>447</v>
      </c>
      <c r="J529" s="57" t="s">
        <v>471</v>
      </c>
      <c r="K529" s="67" t="s">
        <v>449</v>
      </c>
      <c r="L529" s="67" t="s">
        <v>1183</v>
      </c>
      <c r="M529" s="67" t="s">
        <v>451</v>
      </c>
      <c r="N529" s="67" t="s">
        <v>444</v>
      </c>
      <c r="O529" s="67" t="s">
        <v>1194</v>
      </c>
      <c r="P529" s="57" t="s">
        <v>187</v>
      </c>
      <c r="Q529" s="59" t="n">
        <f aca="false">ROUND((Flights!$AF$20)*1440,0)/1440</f>
        <v>46321.0486111111</v>
      </c>
      <c r="R529" s="59" t="n">
        <f aca="false">Q529+(IF(AND(INDEX(TZ_DSTS,MATCH(P529,TZ_STN,0))&lt;&gt;"",Q529&gt;=INDEX(TZ_DSTS,MATCH(P529,TZ_STN,0)),Q529&lt;INDEX(TZ_DSTE,MATCH(P529,TZ_STN,0))),INDEX(TZ_DST,MATCH(P529,TZ_STN,0)),INDEX(TZ_STD,MATCH(P529,TZ_STN,0))))/24</f>
        <v>46321.3819444444</v>
      </c>
      <c r="S529" s="60"/>
      <c r="T529" s="60"/>
      <c r="U529" s="60"/>
      <c r="V529" s="60"/>
      <c r="W529" s="61"/>
      <c r="X529" s="60"/>
      <c r="Y529" s="60"/>
      <c r="Z529" s="60"/>
      <c r="AA529" s="60"/>
      <c r="AB529" s="60"/>
      <c r="AC529" s="60"/>
      <c r="AD529" s="66"/>
      <c r="AE529" s="60"/>
      <c r="AF529" s="61" t="str">
        <f aca="false">IF(AND(ISNUMBER(X529),ISNUMBER(Y529)),Y529-X529,"")</f>
        <v/>
      </c>
      <c r="AG529" s="62" t="str">
        <f aca="false">IF(ISNUMBER(AD529),AD529-(IF(AND(INDEX(TZ_DSTS,MATCH(P529,TZ_STN,0))&lt;&gt;"",(AD529-INDEX(TZ_STD,MATCH(P529,TZ_STN,0))/24)&gt;=INDEX(TZ_DSTS,MATCH(P529,TZ_STN,0)),(AD529-INDEX(TZ_STD,MATCH(P529,TZ_STN,0))/24)&lt;INDEX(TZ_DSTE,MATCH(P529,TZ_STN,0))),INDEX(TZ_DST,MATCH(P529,TZ_STN,0)),INDEX(TZ_STD,MATCH(P529,TZ_STN,0))))/24,"")</f>
        <v/>
      </c>
      <c r="AH529" s="65" t="str">
        <f aca="false">IFERROR(IF(N529="N/A – rule",IF(OR(TRIM(U529)="",TRIM(U529)="N/A",TRIM(U529)="Not started"),"N/A – RULE","INVALID – this check does not apply to this aircraft: clear the status (or correct the fleet on Flights)"),IF(TRIM(U529)="N/A",IF(AT529=0,"INVALID – N/A not permitted for this check",IF(AND(TRIM(AB529)&lt;&gt;"",TRIM(AB529)&lt;&gt;"Closed"),"INVALID – corrective action still open",IF(AND(NOT(OR(LEN(AZ529)&lt;15,ISNUMBER(MATCH(AZ529,L_Placeholder,0)))),BK529=0,CG529&gt;=8,NOT(OR(LEN(AU529)&lt;2,ISNUMBER(MATCH(AU529,L_Placeholder,0)))),BR529&gt;=3,NOT(OR(LEN(AX529)&lt;2,ISNUMBER(MATCH(AX529,L_Placeholder,0)))),BS529&gt;=3,TRIM(AE529)&lt;&gt;TRIM(T529),AX529&lt;&gt;AU529,CE529=0),"N/A – JUSTIFIED","INVALID – N/A needs a real, settled reason (not 'not applicable' / 'as above' / TBC), a named PIC and a different named verifier"))),IF(OR(TRIM(U529)="Pass",TRIM(U529)="Pass after CA"),IF(NOT(ISNUMBER(AD529)),"INVALID – completion time missing",IF(OR(OR(LEN(AU529)&lt;2,ISNUMBER(MATCH(AU529,L_Placeholder,0))),BR529&lt;3),"INVALID – PIC missing or not a named person (a role such as QA / CSM is not a name)",IF(OR(LEN(AV529)&lt;2,ISNUMBER(MATCH(AV529,L_Placeholder,0))),"INVALID – result / assessment missing",IF(OR(OR(LEN(AW529)&lt;3,ISNUMBER(MATCH(AW529,L_Placeholder,0))),SUMPRODUCT(--ISNUMBER(SEARCH(" "&amp;L_EvidencePhrase&amp;" ",BD529)))&gt;0,BI529=1),"INVALID – evidence missing, placeholder or not yet on file",IF(ISNA(MATCH(TRIM(S529),L_EvidenceType,0)),"INVALID – choose the evidence type from the list (column S)",IF(BL529=0,"INVALID – evidence ID must be the record's own ID only (e.g. SF-2210, IMG_2231, 1045521); a link / file name needs type 'Link / file path'",IF(OR(OR(LEN(AX529)&lt;2,ISNUMBER(MATCH(AX529,L_Placeholder,0))),BS529&lt;3),"INVALID – verifier missing or not a named person (a role such as QA / CSM is not a name)",IF(OR(AX529=AU529,CE529=1,AND(LEN(AU529)&gt;=4,ISNUMBER(SEARCH(AU529,AX529))),AND(LEN(AX529)&gt;=4,ISNUMBER(SEARCH(AX529,AU529)))),"INVALID – verifier must be a different, named person (not the PIC or a role)",IF(BH529=1,"INVALID – result not yet available (awaiting / TBC)",IF(BG529=1,"INVALID – result describes a problem: record Fail, then Pass after CA (or reword if it is not a problem)",IF(BV529=1,"INVALID – wording says not on board: an on-board confirmation needs the item loaded",IF(AND(AQ529=1,OR(OR(LEN(AY529)&lt;3,ISNUMBER(MATCH(AY529,L_Placeholder,0))),BJ529=1,BQ529=0)),"INVALID – batch ID missing, placeholder or not an ID (e.g. PASB-261008-BC-017)",IF(AND(AR529=1,OR(NOT(ISNUMBER(X529)),NOT(ISNUMBER(Y529)))),"INVALID – expected/actual qty missing",IF(AND(AR529=1,OR(X529&lt;=0,Y529&lt;0)),"INVALID – expected qty must be above 0 and actual not negative",IF(AH524="N/A – JUSTIFIED","INVALID – preparation row F16-T12-09 is N/A",IF(AND(AR529=1,ISNUMBER(X524),X529&lt;&gt;X524,TRIM(U529)&lt;&gt;"Pass after CA"),"INVALID – expected qty differs from preparation check F16-T12-09: record the load change as a corrective action (Pass after CA)",IF(BB529&lt;&gt;"",BB529,IF(AND(AS529=1,Documents!$J$20&lt;&gt;"ON FILE"),"INVALID – GLD not on file (Documents sheet)",IF(AND(AS529=2,Documents!$O$20&lt;&gt;"ON FILE"),"INVALID – menu checklist not on file (Documents sheet)",IF(AND(AS529=3,NOT(ISNUMBER(Flights!$AX$20))),"INVALID – enter carrying flight KUL departure (Flights AX)",IF(AND(AS529=3,OR(Flights!$AZ$20&gt;Flights!$AA$20,Flights!$AX$20&lt;Flights!$AA$20-3)),"INVALID – carrying flight (Flights AX) cannot arrive before this leg's STD, or is over 3 days early",IF(AG529&gt;AsOfUTC,"INVALID – completion time is in the future",IF(AND(ISNUMBER(BY529),AG529&lt;BY529),IF(H529="Physical uplift","INVALID – before uplift window (cannot confirm loading)","INVALID – before valid window"),IF(AG529&gt;Flights!$AA$20,"INVALID – completed after departure (cannot establish readiness)",IF(AND(H529="Preparation",AG529&gt;=IF(ISNUMBER(Flights!$BA$20),MIN(Flights!$BA$20,Flights!$AA$20),Flights!$AA$20)),"INVALID – completed after loading / departure (cannot establish readiness)",IF(AND(H529="Physical uplift",AG529&gt;Q529),"INVALID – recorded after the loading flight departed",IF(AG529&gt;Q529,"COMPLETE – LATE","COMPLETE"))))))))))))))))))))))))))),IF(TRIM(U529)="Fail","FAIL – DISCREPANCY",IF(AND(TRIM(U529)&lt;&gt;"",TRIM(U529)&lt;&gt;"Not started",TRIM(U529)&lt;&gt;"In progress"),"INVALID – unrecognised status (use the list)",IF(AsOfUTC&gt;Q529,"OVERDUE",IF(N529="Clarification required","OPEN – CLARIFICATION","OPEN"))))))),"INVALID – error value in an input cell")</f>
        <v>OPEN – CLARIFICATION</v>
      </c>
      <c r="AI529" s="61" t="n">
        <f aca="false">IF(OR(AH529="N/A – RULE",AH529="N/A – JUSTIFIED"),0,1)</f>
        <v>1</v>
      </c>
      <c r="AJ529" s="61" t="n">
        <f aca="false">IF(LEFT(AH529,8)="COMPLETE",1,0)</f>
        <v>0</v>
      </c>
      <c r="AK529" s="61" t="n">
        <f aca="false">IF(AND(AI529=1,AJ529=0,AsOfUTC&gt;Q529),1,0)</f>
        <v>0</v>
      </c>
      <c r="AL529" s="61" t="n">
        <f aca="false">IFERROR(IF(AND(AI529=1,OR(TRIM(U529)="Fail",AND(TRIM(AB529)&lt;&gt;"",TRIM(AB529)&lt;&gt;"Closed"),AND(ISNUMBER(AF529),AF529&lt;&gt;0,TRIM(U529)&lt;&gt;"Pass after CA"))),1,0),1)</f>
        <v>0</v>
      </c>
      <c r="AM529" s="61" t="n">
        <f aca="false">IF(LEFT(AH529,7)="INVALID",1,0)</f>
        <v>0</v>
      </c>
      <c r="AN529" s="61" t="n">
        <f aca="false">IF(AND(N529="Clarification required",AI529=1,AJ529=0),1,0)</f>
        <v>1</v>
      </c>
      <c r="AO529" s="61" t="str">
        <f aca="false">IF(AK529=1,SUM(AK$5:AK529),"")</f>
        <v/>
      </c>
      <c r="AP529" s="61" t="str">
        <f aca="false">IF(AL529=1,SUM(AL$5:AL529),"")</f>
        <v/>
      </c>
      <c r="AQ529" s="61" t="n">
        <v>0</v>
      </c>
      <c r="AR529" s="61" t="n">
        <v>0</v>
      </c>
      <c r="AS529" s="61" t="n">
        <v>0</v>
      </c>
      <c r="AT529" s="61" t="n">
        <v>1</v>
      </c>
      <c r="AU529" s="61" t="str">
        <f aca="false">SUBSTITUTE(SUBSTITUTE(SUBSTITUTE(SUBSTITUTE(SUBSTITUTE(SUBSTITUTE(SUBSTITUTE(SUBSTITUTE(SUBSTITUTE(SUBSTITUTE(SUBSTITUTE(SUBSTITUTE(SUBSTITUTE(SUBSTITUTE(SUBSTITUTE(SUBSTITUTE(LOWER(T529&amp;""),CHAR(10),""),CHAR(13),""),CHAR(9),""),CHAR(160),"")," ",""),".",""),"-",""),"/",""),"?",""),"_",""),",",""),"[",""),"]",""),"(",""),")",""),"*","")</f>
        <v/>
      </c>
      <c r="AV529" s="61" t="str">
        <f aca="false">SUBSTITUTE(SUBSTITUTE(SUBSTITUTE(SUBSTITUTE(SUBSTITUTE(SUBSTITUTE(SUBSTITUTE(SUBSTITUTE(SUBSTITUTE(SUBSTITUTE(SUBSTITUTE(SUBSTITUTE(SUBSTITUTE(SUBSTITUTE(SUBSTITUTE(SUBSTITUTE(LOWER(V529&amp;""),CHAR(10),""),CHAR(13),""),CHAR(9),""),CHAR(160),"")," ",""),".",""),"-",""),"/",""),"?",""),"_",""),",",""),"[",""),"]",""),"(",""),")",""),"*","")</f>
        <v/>
      </c>
      <c r="AW529" s="61" t="str">
        <f aca="false">SUBSTITUTE(SUBSTITUTE(SUBSTITUTE(SUBSTITUTE(SUBSTITUTE(SUBSTITUTE(SUBSTITUTE(SUBSTITUTE(SUBSTITUTE(SUBSTITUTE(SUBSTITUTE(SUBSTITUTE(SUBSTITUTE(SUBSTITUTE(SUBSTITUTE(SUBSTITUTE(LOWER(Z529&amp;""),CHAR(10),""),CHAR(13),""),CHAR(9),""),CHAR(160),"")," ",""),".",""),"-",""),"/",""),"?",""),"_",""),",",""),"[",""),"]",""),"(",""),")",""),"*","")</f>
        <v/>
      </c>
      <c r="AX529" s="61" t="str">
        <f aca="false">SUBSTITUTE(SUBSTITUTE(SUBSTITUTE(SUBSTITUTE(SUBSTITUTE(SUBSTITUTE(SUBSTITUTE(SUBSTITUTE(SUBSTITUTE(SUBSTITUTE(SUBSTITUTE(SUBSTITUTE(SUBSTITUTE(SUBSTITUTE(SUBSTITUTE(SUBSTITUTE(LOWER(AE529&amp;""),CHAR(10),""),CHAR(13),""),CHAR(9),""),CHAR(160),"")," ",""),".",""),"-",""),"/",""),"?",""),"_",""),",",""),"[",""),"]",""),"(",""),")",""),"*","")</f>
        <v/>
      </c>
      <c r="AY529" s="61" t="str">
        <f aca="false">SUBSTITUTE(SUBSTITUTE(SUBSTITUTE(SUBSTITUTE(SUBSTITUTE(SUBSTITUTE(SUBSTITUTE(SUBSTITUTE(SUBSTITUTE(SUBSTITUTE(SUBSTITUTE(SUBSTITUTE(SUBSTITUTE(SUBSTITUTE(SUBSTITUTE(SUBSTITUTE(LOWER(W529&amp;""),CHAR(10),""),CHAR(13),""),CHAR(9),""),CHAR(160),"")," ",""),".",""),"-",""),"/",""),"?",""),"_",""),",",""),"[",""),"]",""),"(",""),")",""),"*","")</f>
        <v/>
      </c>
      <c r="AZ529" s="61" t="str">
        <f aca="false">SUBSTITUTE(SUBSTITUTE(SUBSTITUTE(SUBSTITUTE(SUBSTITUTE(SUBSTITUTE(SUBSTITUTE(SUBSTITUTE(SUBSTITUTE(SUBSTITUTE(SUBSTITUTE(SUBSTITUTE(SUBSTITUTE(SUBSTITUTE(SUBSTITUTE(SUBSTITUTE(LOWER(AC529&amp;""),CHAR(10),""),CHAR(13),""),CHAR(9),""),CHAR(160),"")," ",""),".",""),"-",""),"/",""),"?",""),"_",""),",",""),"[",""),"]",""),"(",""),")",""),"*","")</f>
        <v/>
      </c>
      <c r="BA529" s="61" t="str">
        <f aca="false">SUBSTITUTE(SUBSTITUTE(SUBSTITUTE(SUBSTITUTE(SUBSTITUTE(SUBSTITUTE(SUBSTITUTE(SUBSTITUTE(SUBSTITUTE(SUBSTITUTE(SUBSTITUTE(SUBSTITUTE(SUBSTITUTE(SUBSTITUTE(SUBSTITUTE(SUBSTITUTE(LOWER(AA529&amp;""),CHAR(10),""),CHAR(13),""),CHAR(9),""),CHAR(160),"")," ",""),".",""),"-",""),"/",""),"?",""),"_",""),",",""),"[",""),"]",""),"(",""),")",""),"*","")</f>
        <v/>
      </c>
      <c r="BB529" s="61" t="str">
        <f aca="false">IF(AND(TRIM(U529)="Pass",ISNUMBER(AF529)),IF(AF529&lt;&gt;0,"INVALID – qty variance: use Fail or Pass after CA",""),"")&amp;IF(AND(TRIM(U529)="Pass after CA",ISNUMBER(AF529)),IF(AF529&lt;&gt;0,"INVALID – after the corrective action the actual qty must equal expected (update Actual)",""),"")&amp;IF(AND(TRIM(U529)="Pass",TRIM(AB529)&lt;&gt;"",TRIM(AB529)&lt;&gt;"Closed"),"INVALID – corrective action not closed: use Fail, then Pass after CA","")&amp;IF(AND(LEN(BA529)&gt;=2,ISNA(MATCH(LEFT(BA529,255),L_Placeholder,0)),TRIM(AB529)=""),"INVALID – CA status missing for the recorded corrective action","")&amp;IF(AND(TRIM(U529)="Pass after CA",OR(OR(LEN(BA529)&lt;5,ISNUMBER(MATCH(BA529,L_Placeholder,0))),TRIM(AB529)&lt;&gt;"Closed")),"INVALID – corrective action not recorded/closed","")</f>
        <v/>
      </c>
      <c r="BC529" s="61" t="str">
        <f aca="false">" "&amp;TRIM(SUBSTITUTE(SUBSTITUTE(SUBSTITUTE(SUBSTITUTE(SUBSTITUTE(SUBSTITUTE(SUBSTITUTE(SUBSTITUTE(SUBSTITUTE(SUBSTITUTE(SUBSTITUTE(SUBSTITUTE(SUBSTITUTE(SUBSTITUTE(SUBSTITUTE(SUBSTITUTE(SUBSTITUTE(SUBSTITUTE(SUBSTITUTE(SUBSTITUTE(SUBSTITUTE(SUBSTITUTE(SUBSTITUTE(SUBSTITUTE(LOWER(V529&amp;""),CHAR(10)," "),CHAR(13)," "),CHAR(9)," "),CHAR(160)," "),"."," "),","," "),"-"," "),"/"," "),"("," "),")"," "),":"," "),";"," "),"_"," "),"–"," "),"?"," "),"!"," "),"*"," "),"["," "),"]"," "),"'"," "),"#"," "),"+"," "),"&amp;"," "),"\"," "))&amp;" "</f>
        <v>  </v>
      </c>
      <c r="BD529" s="61" t="str">
        <f aca="false">" "&amp;TRIM(SUBSTITUTE(SUBSTITUTE(SUBSTITUTE(SUBSTITUTE(SUBSTITUTE(SUBSTITUTE(SUBSTITUTE(SUBSTITUTE(SUBSTITUTE(SUBSTITUTE(SUBSTITUTE(SUBSTITUTE(SUBSTITUTE(SUBSTITUTE(SUBSTITUTE(SUBSTITUTE(SUBSTITUTE(SUBSTITUTE(SUBSTITUTE(SUBSTITUTE(SUBSTITUTE(SUBSTITUTE(SUBSTITUTE(SUBSTITUTE(LOWER(Z529&amp;""),CHAR(10)," "),CHAR(13)," "),CHAR(9)," "),CHAR(160)," "),"."," "),","," "),"-"," "),"/"," "),"("," "),")"," "),":"," "),";"," "),"_"," "),"–"," "),"?"," "),"!"," "),"*"," "),"["," "),"]"," "),"'"," "),"#"," "),"+"," "),"&amp;"," "),"\"," "))&amp;" "</f>
        <v>  </v>
      </c>
      <c r="BE529" s="61" t="str">
        <f aca="false">" "&amp;TRIM(SUBSTITUTE(SUBSTITUTE(SUBSTITUTE(SUBSTITUTE(SUBSTITUTE(SUBSTITUTE(SUBSTITUTE(SUBSTITUTE(SUBSTITUTE(SUBSTITUTE(SUBSTITUTE(SUBSTITUTE(SUBSTITUTE(SUBSTITUTE(SUBSTITUTE(SUBSTITUTE(SUBSTITUTE(SUBSTITUTE(SUBSTITUTE(SUBSTITUTE(SUBSTITUTE(SUBSTITUTE(SUBSTITUTE(SUBSTITUTE(LOWER(W529&amp;""),CHAR(10)," "),CHAR(13)," "),CHAR(9)," "),CHAR(160)," "),"."," "),","," "),"-"," "),"/"," "),"("," "),")"," "),":"," "),";"," "),"_"," "),"–"," "),"?"," "),"!"," "),"*"," "),"["," "),"]"," "),"'"," "),"#"," "),"+"," "),"&amp;"," "),"\"," "))&amp;" "</f>
        <v>  </v>
      </c>
      <c r="BF529" s="61" t="str">
        <f aca="false">" "&amp;TRIM(SUBSTITUTE(SUBSTITUTE(SUBSTITUTE(SUBSTITUTE(SUBSTITUTE(SUBSTITUTE(SUBSTITUTE(SUBSTITUTE(SUBSTITUTE(SUBSTITUTE(SUBSTITUTE(SUBSTITUTE(SUBSTITUTE(SUBSTITUTE(SUBSTITUTE(SUBSTITUTE(SUBSTITUTE(SUBSTITUTE(SUBSTITUTE(SUBSTITUTE(SUBSTITUTE(SUBSTITUTE(SUBSTITUTE(SUBSTITUTE(LOWER(AC529&amp;""),CHAR(10)," "),CHAR(13)," "),CHAR(9)," "),CHAR(160)," "),"."," "),","," "),"-"," "),"/"," "),"("," "),")"," "),":"," "),";"," "),"_"," "),"–"," "),"?"," "),"!"," "),"*"," "),"["," "),"]"," "),"'"," "),"#"," "),"+"," "),"&amp;"," "),"\"," "))&amp;" "</f>
        <v>  </v>
      </c>
      <c r="BG529" s="61" t="n">
        <f aca="false">IFERROR(IF(AND(TRIM(U529)="Pass",SUMPRODUCT((LEN(BC529)-LEN(SUBSTITUTE(BC529," "&amp;L_ResultBad&amp;" "," ")))/(LEN(L_ResultBad)+1))&gt;SUMPRODUCT((LEN(BC529)-LEN(SUBSTITUTE(BC529," "&amp;L_NegPhrase&amp;" "," ")))/(LEN(L_NegPhrase)+1))),1,0),0)</f>
        <v>0</v>
      </c>
      <c r="BH529" s="61" t="n">
        <f aca="false">IFERROR(IF(SUMPRODUCT((LEN(BC529)-LEN(SUBSTITUTE(BC529," "&amp;L_Pending&amp;" "," ")))/(LEN(L_Pending)+1))&gt;SUMPRODUCT((LEN(BC529)-LEN(SUBSTITUTE(BC529," "&amp;L_PendNeg&amp;" "," ")))/(LEN(L_PendNeg)+1)),1,0),1)</f>
        <v>0</v>
      </c>
      <c r="BI529" s="61" t="n">
        <f aca="false">IFERROR(IF(SUMPRODUCT((LEN(BD529)-LEN(SUBSTITUTE(BD529," "&amp;L_PendStrict&amp;" "," ")))/(LEN(L_PendStrict)+1))&gt;SUMPRODUCT((LEN(BD529)-LEN(SUBSTITUTE(BD529," "&amp;L_PendNeg&amp;" "," ")))/(LEN(L_PendNeg)+1)),1,0),1)</f>
        <v>0</v>
      </c>
      <c r="BJ529" s="61" t="n">
        <f aca="false">IFERROR(IF(SUMPRODUCT((LEN(BE529)-LEN(SUBSTITUTE(BE529," "&amp;L_Pending&amp;" "," ")))/(LEN(L_Pending)+1))&gt;SUMPRODUCT((LEN(BE529)-LEN(SUBSTITUTE(BE529," "&amp;L_PendNeg&amp;" "," ")))/(LEN(L_PendNeg)+1)),1,0),1)</f>
        <v>0</v>
      </c>
      <c r="BK529" s="61" t="n">
        <f aca="false">IFERROR(IF(SUMPRODUCT((LEN(BF529)-LEN(SUBSTITUTE(BF529," "&amp;L_PendStrict&amp;" "," ")))/(LEN(L_PendStrict)+1))&gt;SUMPRODUCT((LEN(BF529)-LEN(SUBSTITUTE(BF529," "&amp;L_PendNeg&amp;" "," ")))/(LEN(L_PendNeg)+1)),1,0),1)</f>
        <v>0</v>
      </c>
      <c r="BL529" s="61" t="n">
        <f aca="false">IF(ISNA(MATCH(TRIM(S529),L_EvidenceType,0)),0,BZ529)</f>
        <v>0</v>
      </c>
      <c r="BM529" s="61" t="str">
        <f aca="false">SUBSTITUTE(SUBSTITUTE(SUBSTITUTE(SUBSTITUTE(SUBSTITUTE(SUBSTITUTE(SUBSTITUTE(SUBSTITUTE(SUBSTITUTE(LOWER(Z529&amp;""),"1","0"),"2","0"),"3","0"),"4","0"),"5","0"),"6","0"),"7","0"),"8","0"),"9","0")</f>
        <v/>
      </c>
      <c r="BN529" s="61" t="str">
        <f aca="false">SUBSTITUTE(SUBSTITUTE(SUBSTITUTE(SUBSTITUTE(SUBSTITUTE(SUBSTITUTE(SUBSTITUTE(SUBSTITUTE(SUBSTITUTE(SUBSTITUTE(SUBSTITUTE(SUBSTITUTE(SUBSTITUTE(SUBSTITUTE(SUBSTITUTE(SUBSTITUTE(SUBSTITUTE(SUBSTITUTE(SUBSTITUTE(SUBSTITUTE(SUBSTITUTE(SUBSTITUTE(SUBSTITUTE(SUBSTITUTE(SUBSTITUTE(BM529,"b","a"),"c","a"),"d","a"),"e","a"),"f","a"),"g","a"),"h","a"),"i","a"),"j","a"),"k","a"),"l","a"),"m","a"),"n","a"),"o","a"),"p","a"),"q","a"),"r","a"),"s","a"),"t","a"),"u","a"),"v","a"),"w","a"),"x","a"),"y","a"),"z","a")</f>
        <v/>
      </c>
      <c r="BO529" s="61" t="str">
        <f aca="false">SUBSTITUTE(SUBSTITUTE(SUBSTITUTE(SUBSTITUTE(SUBSTITUTE(SUBSTITUTE(SUBSTITUTE(SUBSTITUTE(SUBSTITUTE(LOWER(W529&amp;""),"1","0"),"2","0"),"3","0"),"4","0"),"5","0"),"6","0"),"7","0"),"8","0"),"9","0")</f>
        <v/>
      </c>
      <c r="BP529" s="61" t="str">
        <f aca="false">SUBSTITUTE(SUBSTITUTE(SUBSTITUTE(SUBSTITUTE(SUBSTITUTE(SUBSTITUTE(SUBSTITUTE(SUBSTITUTE(SUBSTITUTE(SUBSTITUTE(SUBSTITUTE(SUBSTITUTE(SUBSTITUTE(SUBSTITUTE(SUBSTITUTE(SUBSTITUTE(SUBSTITUTE(SUBSTITUTE(SUBSTITUTE(SUBSTITUTE(SUBSTITUTE(SUBSTITUTE(SUBSTITUTE(SUBSTITUTE(SUBSTITUTE(BO529,"b","a"),"c","a"),"d","a"),"e","a"),"f","a"),"g","a"),"h","a"),"i","a"),"j","a"),"k","a"),"l","a"),"m","a"),"n","a"),"o","a"),"p","a"),"q","a"),"r","a"),"s","a"),"t","a"),"u","a"),"v","a"),"w","a"),"x","a"),"y","a"),"z","a")</f>
        <v/>
      </c>
      <c r="BQ529" s="61" t="n">
        <f aca="false">IFERROR(IF(AND(ISERROR(SEARCH(" mh"," "&amp;LOWER(W529))),ISNA(MATCH(LEFT(TRIM(BP529),255),{"0000a","000a","00a","0000aa","000aa","00aa","0aa","0000aaa","000aaa","00a00","0a00","0000-0000","00:00","a00","a0","00.00.0000","00/00/0000","00-00-0000","0000-00-00","0000/00/00","0000.00.00","00.00.00","00/00/00","00-00-00","0.00.0000","0/00/0000","0-00-0000"},0)),ISNA(MATCH(LEFT(TRIM(CA529),255),{"0000a","000a","00a","0000aa","000aa","00aa","0aa","0000aaa","000aaa","00a00","0a00","0000-0000","00:00","a00","a0","00.00.0000","00/00/0000","00-00-0000","0000-00-00","0000/00/00","0000.00.00","00.00.00","00/00/00","00-00-00","0.00.0000","0/00/0000","0-00-0000"},0)),LEN(CB529)&gt;=3,NOT(OR(SUBSTITUTE(CB529,"0","")="",AND(LEN(CB529)&gt;=4,CB529=REPT(LEFT(CB529),LEN(CB529))),ISNUMBER(MATCH(CB529,{"123","1234","12345","123456","1234567","12345678","0123","01234","012345","98765","987654","54321"},0)),AND(LEN(CB529)=8,LEFT(CB529,3)="202"))),OR(AND((LEN(CA529)-LEN(SUBSTITUTE(CA529,"a","")))&gt;=1,SUMPRODUCT(--ISNUMBER(SEARCH({"a0","a-0","a_0","a/0","a.0","a#0","0a","0-a","0_a","0/a"},BP529)))&gt;0),ISNUMBER(SEARCH("000000",BP529)))),1,0),0)</f>
        <v>0</v>
      </c>
      <c r="BR529" s="61" t="n">
        <f aca="false">IFERROR(LEN(SUBSTITUTE(CC529," ",""))-SUMPRODUCT((LEN(CC529)-LEN(SUBSTITUTE(CC529," "&amp;L_Role&amp;" "," ")))/(LEN(L_Role)+1)*LEN(L_Role)),0)</f>
        <v>0</v>
      </c>
      <c r="BS529" s="61" t="n">
        <f aca="false">IFERROR(LEN(SUBSTITUTE(CD529," ",""))-SUMPRODUCT((LEN(CD529)-LEN(SUBSTITUTE(CD529," "&amp;L_Role&amp;" "," ")))/(LEN(L_Role)+1)*LEN(L_Role)),0)</f>
        <v>0</v>
      </c>
      <c r="BT5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529,"revision",""),"version",""),"jan",""),"feb",""),"mar",""),"apr",""),"may",""),"jun",""),"jul",""),"aug",""),"sep",""),"oct",""),"nov",""),"dec",""),"utc",""),"gmt",""),"myt",""),"bst",""),"rev",""),"ver",""),"b","a"),"c","a"),"d","a"),"e","a"),"f","a"),"g","a"),"h","a"),"i","a"),"j","a"),"k","a"),"l","a"),"m","a"),"n","a"),"o","a"),"p","a"),"q","a"),"r","a"),"s","a"),"t","a"),"u","a"),"v","a"),"w","a"),"x","a"),"y","a"),"z","a")</f>
        <v/>
      </c>
      <c r="BU529" s="61" t="str">
        <f aca="false">SUBSTITUTE(SUBSTITUTE(SUBSTITUTE(SUBSTITUTE(SUBSTITUTE(SUBSTITUTE(SUBSTITUTE(SUBSTITUTE(SUBSTITUTE(SUBSTITUTE(LEFT(BM529,FIND("0",BM529&amp;"0")-1),"-",""),"_",""),"/",""),".",""),"#",""),"\\",""),":","")," ",""),"(",""),")","")</f>
        <v/>
      </c>
      <c r="BV529" s="61" t="n">
        <f aca="false">IFERROR(IF(OR(SUMPRODUCT((LEN(BC529)-LEN(SUBSTITUTE(BC529," "&amp;L_NotLoaded&amp;" "," ")))/(LEN(L_NotLoaded)+1))&gt;SUMPRODUCT((LEN(BC529)-LEN(SUBSTITUTE(BC529," "&amp;L_NotLoadedNeg&amp;" "," ")))/(LEN(L_NotLoadedNeg)+1)),SUMPRODUCT((LEN(BD529)-LEN(SUBSTITUTE(BD529," "&amp;L_NotLoaded&amp;" "," ")))/(LEN(L_NotLoaded)+1))&gt;SUMPRODUCT((LEN(BD529)-LEN(SUBSTITUTE(BD529," "&amp;L_NotLoadedNeg&amp;" "," ")))/(LEN(L_NotLoadedNeg)+1))),1,0),0)</f>
        <v>0</v>
      </c>
      <c r="BW5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529&amp;""),"a",""),"b",""),"c",""),"d",""),"e",""),"f",""),"g",""),"h",""),"i",""),"j",""),"k",""),"l",""),"m",""),"n",""),"o",""),"p",""),"q",""),"r",""),"s",""),"t",""),"u",""),"v",""),"w",""),"x",""),"y",""),"z",""),"-",""),"_",""),"/",""),".",""),"#",""),"\\",""),":","")," ",""),"(",""),")","")</f>
        <v/>
      </c>
      <c r="BX529" s="61" t="str">
        <f aca="false">SUBSTITUTE(SUBSTITUTE(SUBSTITUTE(SUBSTITUTE(SUBSTITUTE(SUBSTITUTE(SUBSTITUTE(SUBSTITUTE(SUBSTITUTE(SUBSTITUTE(SUBSTITUTE(BM529,"0",""),"-",""),"_",""),"/",""),".",""),"#",""),"\\",""),":","")," ",""),"(",""),")","")</f>
        <v/>
      </c>
      <c r="BY529" s="62" t="n">
        <f aca="false">IF(ISNUMBER(Flights!$AZ$20),MAX(Q529-UpliftWindowH/24,Flights!$AZ$20),Q529-UpliftWindowH/24)</f>
        <v>46320.7986111111</v>
      </c>
      <c r="BZ529" s="61" t="n">
        <f aca="false">IFERROR(IF(IF(TRIM(S529)="Link / file path",AND(LEN(TRIM(Z529))&gt;=5,SUMPRODUCT(--ISNUMBER(SEARCH({"http","www.","\\",":\",".pdf",".jpg",".jpeg",".png",".heic",".xls",".doc",".msg",".eml",".ppt",".txt",".zip"},Z529)))&gt;0),AND(ISERROR(FIND(" ",TRIM(Z529))),NOT(OR(SUMPRODUCT(--ISNUMBER(FIND({",",";","&amp;","+"},Z529)))&gt;0,SUMPRODUCT(--ISNUMBER(SEARCH({"0/aa","0\\aa"},BN529)))&gt;0)),NOT(SUMPRODUCT(--ISNUMBER(SEARCH({"http","www.","\\",":\",".pdf",".jpg",".jpeg",".png",".heic",".xls",".doc",".msg",".eml",".ppt",".txt",".zip"},Z529)))&gt;0),NOT(LOWER(TRIM(Z529))=LOWER(Flights!$F$20)),ISNA(MATCH(BU529,{"mh","rev","revision","ver","version","v","r","a","b","seat","tray","row","gate","bay","stand","page","pg","item","line","no","cart","galley","flight","flt","table","box","bag","oven","etd","eta","std","sta","atd","ata","qty","pax","x","time","tel","ph","mob","day","wk","week","utc","gmt","myt","lt"},0)),NOT(OR(ISNUMBER(MATCH(LEFT(BN529,255),{"0000a","000a","00a","0000aa","000aa","00aa","0aa","0000aaa","000aaa","00a00","0a00","0000-0000","00:00","a00","a0","00.00.0000","00/00/0000","00-00-0000","0000-00-00","0000/00/00","0000.00.00","00.00.00","00/00/00","00-00-00","0.00.0000","0/00/0000","0-00-0000"},0)),ISNUMBER(MATCH(LEFT(BT529,255),{"0000a","000a","00a","0000aa","000aa","00aa","0aa","0000aaa","000aaa","00a00","0a00","0000-0000","00:00","a00","a0","00.00.0000","00/00/0000","00-00-0000","0000-00-00","0000/00/00","0000.00.00","00.00.00","00/00/00","00-00-00","0.00.0000","0/00/0000","0-00-0000"},0)))),NOT(OR(AND(BW529&lt;&gt;"",SUBSTITUTE(BW529,"0","")=""),AND(LEN(BW529)&gt;=4,BW529=REPT(LEFT(BW529),LEN(BW529))),ISNUMBER(MATCH(BW529,{"123","1234","12345","123456","1234567","12345678","0123","01234","012345","98765","987654","54321"},0)),ISNUMBER(MATCH(BX529,{"x","xx","xxx","xxxx","xxxxx","abc","abcd","nil","na","nan","test","tbc","tba","tbd","dummy","sample","example","eg","zz","zzz","none","null","xyz","qwe","asd","id","ref"},0)),AND(LEN(BW529)=8,BX529="",OR(LEFT(BW529,3)="202",ISNUMBER(MATCH(RIGHT(BW529,4),{"2025","2026","2027"},0)))))),OR(AND((LEN(BT529)-LEN(SUBSTITUTE(BT529,"a","")))&gt;=1,(LEN(BN529)-LEN(SUBSTITUTE(BN529,"0","")))&gt;=2,SUMPRODUCT(--ISNUMBER(SEARCH({"a0","a-0","a_0","a/0","a.0","a#0","0a","0-a","0_a","0/a"},BN529)))&gt;0),AND((LEN(BN529)-LEN(SUBSTITUTE(BN529,"a","")))=0,(LEN(BN529)-LEN(SUBSTITUTE(BN529,"0","")))&gt;=5)))),1,0),0)</f>
        <v>0</v>
      </c>
      <c r="CA5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529,"revision",""),"version",""),"jan",""),"feb",""),"mar",""),"apr",""),"may",""),"jun",""),"jul",""),"aug",""),"sep",""),"oct",""),"nov",""),"dec",""),"utc",""),"gmt",""),"myt",""),"bst",""),"rev",""),"ver",""),"b","a"),"c","a"),"d","a"),"e","a"),"f","a"),"g","a"),"h","a"),"i","a"),"j","a"),"k","a"),"l","a"),"m","a"),"n","a"),"o","a"),"p","a"),"q","a"),"r","a"),"s","a"),"t","a"),"u","a"),"v","a"),"w","a"),"x","a"),"y","a"),"z","a")</f>
        <v/>
      </c>
      <c r="CB5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529&amp;""),"a",""),"b",""),"c",""),"d",""),"e",""),"f",""),"g",""),"h",""),"i",""),"j",""),"k",""),"l",""),"m",""),"n",""),"o",""),"p",""),"q",""),"r",""),"s",""),"t",""),"u",""),"v",""),"w",""),"x",""),"y",""),"z",""),"-",""),"_",""),"/",""),".",""),"#",""),"\\",""),":","")," ",""),"(",""),")","")</f>
        <v/>
      </c>
      <c r="CC529" s="0" t="str">
        <f aca="false">" "&amp;TRIM(SUBSTITUTE(SUBSTITUTE(SUBSTITUTE(SUBSTITUTE(SUBSTITUTE(SUBSTITUTE(SUBSTITUTE(SUBSTITUTE(SUBSTITUTE(SUBSTITUTE(SUBSTITUTE(SUBSTITUTE(SUBSTITUTE(SUBSTITUTE(SUBSTITUTE(SUBSTITUTE(SUBSTITUTE(SUBSTITUTE(SUBSTITUTE(SUBSTITUTE(SUBSTITUTE(SUBSTITUTE(SUBSTITUTE(SUBSTITUTE(LOWER(T529&amp;""),CHAR(10)," "),CHAR(13)," "),CHAR(9)," "),CHAR(160)," "),"."," "),","," "),"-"," "),"/"," "),"("," "),")"," "),":"," "),";"," "),"_"," "),"–"," "),"?"," "),"!"," "),"*"," "),"["," "),"]"," "),"'"," "),"#"," "),"+"," "),"&amp;"," "),"\"," "))&amp;" "</f>
        <v>  </v>
      </c>
      <c r="CD529" s="0" t="str">
        <f aca="false">" "&amp;TRIM(SUBSTITUTE(SUBSTITUTE(SUBSTITUTE(SUBSTITUTE(SUBSTITUTE(SUBSTITUTE(SUBSTITUTE(SUBSTITUTE(SUBSTITUTE(SUBSTITUTE(SUBSTITUTE(SUBSTITUTE(SUBSTITUTE(SUBSTITUTE(SUBSTITUTE(SUBSTITUTE(SUBSTITUTE(SUBSTITUTE(SUBSTITUTE(SUBSTITUTE(SUBSTITUTE(SUBSTITUTE(SUBSTITUTE(SUBSTITUTE(LOWER(AE529&amp;""),CHAR(10)," "),CHAR(13)," "),CHAR(9)," "),CHAR(160)," "),"."," "),","," "),"-"," "),"/"," "),"("," "),")"," "),":"," "),";"," "),"_"," "),"–"," "),"?"," "),"!"," "),"*"," "),"["," "),"]"," "),"'"," "),"#"," "),"+"," "),"&amp;"," "),"\"," "))&amp;" "</f>
        <v>  </v>
      </c>
      <c r="CE529" s="68" t="n">
        <f aca="false">IFERROR(IF(AND(LEN(AU529)&gt;0,LEN(AU529)=LEN(AX529),OR(TRIM(MID(SUBSTITUTE(TRIM(CC529)," ",REPT(" ",60)),1,60))="",ISNUMBER(SEARCH(" "&amp;TRIM(MID(SUBSTITUTE(TRIM(CC529)," ",REPT(" ",60)),1,60))&amp;" ",CD529))),OR(TRIM(MID(SUBSTITUTE(TRIM(CC529)," ",REPT(" ",60)),61,60))="",ISNUMBER(SEARCH(" "&amp;TRIM(MID(SUBSTITUTE(TRIM(CC529)," ",REPT(" ",60)),61,60))&amp;" ",CD529))),OR(TRIM(MID(SUBSTITUTE(TRIM(CC529)," ",REPT(" ",60)),121,60))="",ISNUMBER(SEARCH(" "&amp;TRIM(MID(SUBSTITUTE(TRIM(CC529)," ",REPT(" ",60)),121,60))&amp;" ",CD529)))),1,0),0)</f>
        <v>0</v>
      </c>
      <c r="CG529" s="68" t="n">
        <f aca="false">IFERROR(LEN(SUBSTITUTE(BF529," ",""))-SUMPRODUCT((LEN(BF529)-LEN(SUBSTITUTE(BF529," "&amp;L_NAFiller&amp;" "," ")))/(LEN(L_NAFiller)+1)*LEN(L_NAFiller)),0)</f>
        <v>0</v>
      </c>
    </row>
    <row r="530" customFormat="false" ht="41.25" hidden="false" customHeight="true" outlineLevel="0" collapsed="false">
      <c r="A530" s="57" t="s">
        <v>1195</v>
      </c>
      <c r="B530" s="57" t="s">
        <v>280</v>
      </c>
      <c r="C530" s="57" t="str">
        <f aca="false">Flights!$F$20</f>
        <v>MH0072</v>
      </c>
      <c r="D530" s="58" t="n">
        <f aca="false">Flights!$D$20</f>
        <v>46321</v>
      </c>
      <c r="E530" s="57" t="str">
        <f aca="false">Flights!$G$20&amp;"-"&amp;Flights!$H$20</f>
        <v>KUL-HKG</v>
      </c>
      <c r="F530" s="57" t="str">
        <f aca="false">Flights!$K$20</f>
        <v>EY</v>
      </c>
      <c r="G530" s="57" t="s">
        <v>459</v>
      </c>
      <c r="H530" s="57" t="s">
        <v>460</v>
      </c>
      <c r="I530" s="57" t="s">
        <v>634</v>
      </c>
      <c r="J530" s="57" t="s">
        <v>1196</v>
      </c>
      <c r="K530" s="67" t="s">
        <v>1187</v>
      </c>
      <c r="L530" s="67" t="s">
        <v>1188</v>
      </c>
      <c r="M530" s="67" t="s">
        <v>451</v>
      </c>
      <c r="N530" s="67" t="s">
        <v>383</v>
      </c>
      <c r="O530" s="67" t="s">
        <v>1197</v>
      </c>
      <c r="P530" s="57" t="s">
        <v>187</v>
      </c>
      <c r="Q530" s="59" t="n">
        <f aca="false">ROUND((Flights!$AF$20)*1440,0)/1440</f>
        <v>46321.0486111111</v>
      </c>
      <c r="R530" s="59" t="n">
        <f aca="false">Q530+(IF(AND(INDEX(TZ_DSTS,MATCH(P530,TZ_STN,0))&lt;&gt;"",Q530&gt;=INDEX(TZ_DSTS,MATCH(P530,TZ_STN,0)),Q530&lt;INDEX(TZ_DSTE,MATCH(P530,TZ_STN,0))),INDEX(TZ_DST,MATCH(P530,TZ_STN,0)),INDEX(TZ_STD,MATCH(P530,TZ_STN,0))))/24</f>
        <v>46321.3819444444</v>
      </c>
      <c r="S530" s="60"/>
      <c r="T530" s="60"/>
      <c r="U530" s="60"/>
      <c r="V530" s="60"/>
      <c r="W530" s="61"/>
      <c r="X530" s="60"/>
      <c r="Y530" s="60"/>
      <c r="Z530" s="60"/>
      <c r="AA530" s="60"/>
      <c r="AB530" s="60"/>
      <c r="AC530" s="60"/>
      <c r="AD530" s="66"/>
      <c r="AE530" s="60"/>
      <c r="AF530" s="61" t="str">
        <f aca="false">IF(AND(ISNUMBER(X530),ISNUMBER(Y530)),Y530-X530,"")</f>
        <v/>
      </c>
      <c r="AG530" s="62" t="str">
        <f aca="false">IF(ISNUMBER(AD530),AD530-(IF(AND(INDEX(TZ_DSTS,MATCH(P530,TZ_STN,0))&lt;&gt;"",(AD530-INDEX(TZ_STD,MATCH(P530,TZ_STN,0))/24)&gt;=INDEX(TZ_DSTS,MATCH(P530,TZ_STN,0)),(AD530-INDEX(TZ_STD,MATCH(P530,TZ_STN,0))/24)&lt;INDEX(TZ_DSTE,MATCH(P530,TZ_STN,0))),INDEX(TZ_DST,MATCH(P530,TZ_STN,0)),INDEX(TZ_STD,MATCH(P530,TZ_STN,0))))/24,"")</f>
        <v/>
      </c>
      <c r="AH530" s="65" t="str">
        <f aca="false">IFERROR(IF(N530="N/A – rule",IF(OR(TRIM(U530)="",TRIM(U530)="N/A",TRIM(U530)="Not started"),"N/A – RULE","INVALID – this check does not apply to this aircraft: clear the status (or correct the fleet on Flights)"),IF(TRIM(U530)="N/A",IF(AT530=0,"INVALID – N/A not permitted for this check",IF(AND(TRIM(AB530)&lt;&gt;"",TRIM(AB530)&lt;&gt;"Closed"),"INVALID – corrective action still open",IF(AND(NOT(OR(LEN(AZ530)&lt;15,ISNUMBER(MATCH(AZ530,L_Placeholder,0)))),BK530=0,CG530&gt;=8,NOT(OR(LEN(AU530)&lt;2,ISNUMBER(MATCH(AU530,L_Placeholder,0)))),BR530&gt;=3,NOT(OR(LEN(AX530)&lt;2,ISNUMBER(MATCH(AX530,L_Placeholder,0)))),BS530&gt;=3,TRIM(AE530)&lt;&gt;TRIM(T530),AX530&lt;&gt;AU530,CE530=0),"N/A – JUSTIFIED","INVALID – N/A needs a real, settled reason (not 'not applicable' / 'as above' / TBC), a named PIC and a different named verifier"))),IF(OR(TRIM(U530)="Pass",TRIM(U530)="Pass after CA"),IF(NOT(ISNUMBER(AD530)),"INVALID – completion time missing",IF(OR(OR(LEN(AU530)&lt;2,ISNUMBER(MATCH(AU530,L_Placeholder,0))),BR530&lt;3),"INVALID – PIC missing or not a named person (a role such as QA / CSM is not a name)",IF(OR(LEN(AV530)&lt;2,ISNUMBER(MATCH(AV530,L_Placeholder,0))),"INVALID – result / assessment missing",IF(OR(OR(LEN(AW530)&lt;3,ISNUMBER(MATCH(AW530,L_Placeholder,0))),SUMPRODUCT(--ISNUMBER(SEARCH(" "&amp;L_EvidencePhrase&amp;" ",BD530)))&gt;0,BI530=1),"INVALID – evidence missing, placeholder or not yet on file",IF(ISNA(MATCH(TRIM(S530),L_EvidenceType,0)),"INVALID – choose the evidence type from the list (column S)",IF(BL530=0,"INVALID – evidence ID must be the record's own ID only (e.g. SF-2210, IMG_2231, 1045521); a link / file name needs type 'Link / file path'",IF(OR(OR(LEN(AX530)&lt;2,ISNUMBER(MATCH(AX530,L_Placeholder,0))),BS530&lt;3),"INVALID – verifier missing or not a named person (a role such as QA / CSM is not a name)",IF(OR(AX530=AU530,CE530=1,AND(LEN(AU530)&gt;=4,ISNUMBER(SEARCH(AU530,AX530))),AND(LEN(AX530)&gt;=4,ISNUMBER(SEARCH(AX530,AU530)))),"INVALID – verifier must be a different, named person (not the PIC or a role)",IF(BH530=1,"INVALID – result not yet available (awaiting / TBC)",IF(BG530=1,"INVALID – result describes a problem: record Fail, then Pass after CA (or reword if it is not a problem)",IF(BV530=1,"INVALID – wording says not on board: an on-board confirmation needs the item loaded",IF(AND(AQ530=1,OR(OR(LEN(AY530)&lt;3,ISNUMBER(MATCH(AY530,L_Placeholder,0))),BJ530=1,BQ530=0)),"INVALID – batch ID missing, placeholder or not an ID (e.g. PASB-261008-BC-017)",IF(AND(AR530=1,OR(NOT(ISNUMBER(X530)),NOT(ISNUMBER(Y530)))),"INVALID – expected/actual qty missing",IF(AND(AR530=1,OR(X530&lt;=0,Y530&lt;0)),"INVALID – expected qty must be above 0 and actual not negative",IF(AH525="N/A – JUSTIFIED","INVALID – preparation row F16-T12-10 is N/A",IF(AND(AR530=1,ISNUMBER(X525),X530&lt;&gt;X525,TRIM(U530)&lt;&gt;"Pass after CA"),"INVALID – expected qty differs from preparation check F16-T12-10: record the load change as a corrective action (Pass after CA)",IF(BB530&lt;&gt;"",BB530,IF(AND(AS530=1,Documents!$J$20&lt;&gt;"ON FILE"),"INVALID – GLD not on file (Documents sheet)",IF(AND(AS530=2,Documents!$O$20&lt;&gt;"ON FILE"),"INVALID – menu checklist not on file (Documents sheet)",IF(AND(AS530=3,NOT(ISNUMBER(Flights!$AX$20))),"INVALID – enter carrying flight KUL departure (Flights AX)",IF(AND(AS530=3,OR(Flights!$AZ$20&gt;Flights!$AA$20,Flights!$AX$20&lt;Flights!$AA$20-3)),"INVALID – carrying flight (Flights AX) cannot arrive before this leg's STD, or is over 3 days early",IF(AG530&gt;AsOfUTC,"INVALID – completion time is in the future",IF(AND(ISNUMBER(BY530),AG530&lt;BY530),IF(H530="Physical uplift","INVALID – before uplift window (cannot confirm loading)","INVALID – before valid window"),IF(AG530&gt;Flights!$AA$20,"INVALID – completed after departure (cannot establish readiness)",IF(AND(H530="Preparation",AG530&gt;=IF(ISNUMBER(Flights!$BA$20),MIN(Flights!$BA$20,Flights!$AA$20),Flights!$AA$20)),"INVALID – completed after loading / departure (cannot establish readiness)",IF(AND(H530="Physical uplift",AG530&gt;Q530),"INVALID – recorded after the loading flight departed",IF(AG530&gt;Q530,"COMPLETE – LATE","COMPLETE"))))))))))))))))))))))))))),IF(TRIM(U530)="Fail","FAIL – DISCREPANCY",IF(AND(TRIM(U530)&lt;&gt;"",TRIM(U530)&lt;&gt;"Not started",TRIM(U530)&lt;&gt;"In progress"),"INVALID – unrecognised status (use the list)",IF(AsOfUTC&gt;Q530,"OVERDUE",IF(N530="Clarification required","OPEN – CLARIFICATION","OPEN"))))))),"INVALID – error value in an input cell")</f>
        <v>OPEN</v>
      </c>
      <c r="AI530" s="61" t="n">
        <f aca="false">IF(OR(AH530="N/A – RULE",AH530="N/A – JUSTIFIED"),0,1)</f>
        <v>1</v>
      </c>
      <c r="AJ530" s="61" t="n">
        <f aca="false">IF(LEFT(AH530,8)="COMPLETE",1,0)</f>
        <v>0</v>
      </c>
      <c r="AK530" s="61" t="n">
        <f aca="false">IF(AND(AI530=1,AJ530=0,AsOfUTC&gt;Q530),1,0)</f>
        <v>0</v>
      </c>
      <c r="AL530" s="61" t="n">
        <f aca="false">IFERROR(IF(AND(AI530=1,OR(TRIM(U530)="Fail",AND(TRIM(AB530)&lt;&gt;"",TRIM(AB530)&lt;&gt;"Closed"),AND(ISNUMBER(AF530),AF530&lt;&gt;0,TRIM(U530)&lt;&gt;"Pass after CA"))),1,0),1)</f>
        <v>0</v>
      </c>
      <c r="AM530" s="61" t="n">
        <f aca="false">IF(LEFT(AH530,7)="INVALID",1,0)</f>
        <v>0</v>
      </c>
      <c r="AN530" s="61" t="n">
        <f aca="false">IF(AND(N530="Clarification required",AI530=1,AJ530=0),1,0)</f>
        <v>0</v>
      </c>
      <c r="AO530" s="61" t="str">
        <f aca="false">IF(AK530=1,SUM(AK$5:AK530),"")</f>
        <v/>
      </c>
      <c r="AP530" s="61" t="str">
        <f aca="false">IF(AL530=1,SUM(AL$5:AL530),"")</f>
        <v/>
      </c>
      <c r="AQ530" s="61" t="n">
        <v>0</v>
      </c>
      <c r="AR530" s="61" t="n">
        <v>0</v>
      </c>
      <c r="AS530" s="61" t="n">
        <v>0</v>
      </c>
      <c r="AT530" s="61" t="n">
        <v>0</v>
      </c>
      <c r="AU530" s="61" t="str">
        <f aca="false">SUBSTITUTE(SUBSTITUTE(SUBSTITUTE(SUBSTITUTE(SUBSTITUTE(SUBSTITUTE(SUBSTITUTE(SUBSTITUTE(SUBSTITUTE(SUBSTITUTE(SUBSTITUTE(SUBSTITUTE(SUBSTITUTE(SUBSTITUTE(SUBSTITUTE(SUBSTITUTE(LOWER(T530&amp;""),CHAR(10),""),CHAR(13),""),CHAR(9),""),CHAR(160),"")," ",""),".",""),"-",""),"/",""),"?",""),"_",""),",",""),"[",""),"]",""),"(",""),")",""),"*","")</f>
        <v/>
      </c>
      <c r="AV530" s="61" t="str">
        <f aca="false">SUBSTITUTE(SUBSTITUTE(SUBSTITUTE(SUBSTITUTE(SUBSTITUTE(SUBSTITUTE(SUBSTITUTE(SUBSTITUTE(SUBSTITUTE(SUBSTITUTE(SUBSTITUTE(SUBSTITUTE(SUBSTITUTE(SUBSTITUTE(SUBSTITUTE(SUBSTITUTE(LOWER(V530&amp;""),CHAR(10),""),CHAR(13),""),CHAR(9),""),CHAR(160),"")," ",""),".",""),"-",""),"/",""),"?",""),"_",""),",",""),"[",""),"]",""),"(",""),")",""),"*","")</f>
        <v/>
      </c>
      <c r="AW530" s="61" t="str">
        <f aca="false">SUBSTITUTE(SUBSTITUTE(SUBSTITUTE(SUBSTITUTE(SUBSTITUTE(SUBSTITUTE(SUBSTITUTE(SUBSTITUTE(SUBSTITUTE(SUBSTITUTE(SUBSTITUTE(SUBSTITUTE(SUBSTITUTE(SUBSTITUTE(SUBSTITUTE(SUBSTITUTE(LOWER(Z530&amp;""),CHAR(10),""),CHAR(13),""),CHAR(9),""),CHAR(160),"")," ",""),".",""),"-",""),"/",""),"?",""),"_",""),",",""),"[",""),"]",""),"(",""),")",""),"*","")</f>
        <v/>
      </c>
      <c r="AX530" s="61" t="str">
        <f aca="false">SUBSTITUTE(SUBSTITUTE(SUBSTITUTE(SUBSTITUTE(SUBSTITUTE(SUBSTITUTE(SUBSTITUTE(SUBSTITUTE(SUBSTITUTE(SUBSTITUTE(SUBSTITUTE(SUBSTITUTE(SUBSTITUTE(SUBSTITUTE(SUBSTITUTE(SUBSTITUTE(LOWER(AE530&amp;""),CHAR(10),""),CHAR(13),""),CHAR(9),""),CHAR(160),"")," ",""),".",""),"-",""),"/",""),"?",""),"_",""),",",""),"[",""),"]",""),"(",""),")",""),"*","")</f>
        <v/>
      </c>
      <c r="AY530" s="61" t="str">
        <f aca="false">SUBSTITUTE(SUBSTITUTE(SUBSTITUTE(SUBSTITUTE(SUBSTITUTE(SUBSTITUTE(SUBSTITUTE(SUBSTITUTE(SUBSTITUTE(SUBSTITUTE(SUBSTITUTE(SUBSTITUTE(SUBSTITUTE(SUBSTITUTE(SUBSTITUTE(SUBSTITUTE(LOWER(W530&amp;""),CHAR(10),""),CHAR(13),""),CHAR(9),""),CHAR(160),"")," ",""),".",""),"-",""),"/",""),"?",""),"_",""),",",""),"[",""),"]",""),"(",""),")",""),"*","")</f>
        <v/>
      </c>
      <c r="AZ530" s="61" t="str">
        <f aca="false">SUBSTITUTE(SUBSTITUTE(SUBSTITUTE(SUBSTITUTE(SUBSTITUTE(SUBSTITUTE(SUBSTITUTE(SUBSTITUTE(SUBSTITUTE(SUBSTITUTE(SUBSTITUTE(SUBSTITUTE(SUBSTITUTE(SUBSTITUTE(SUBSTITUTE(SUBSTITUTE(LOWER(AC530&amp;""),CHAR(10),""),CHAR(13),""),CHAR(9),""),CHAR(160),"")," ",""),".",""),"-",""),"/",""),"?",""),"_",""),",",""),"[",""),"]",""),"(",""),")",""),"*","")</f>
        <v/>
      </c>
      <c r="BA530" s="61" t="str">
        <f aca="false">SUBSTITUTE(SUBSTITUTE(SUBSTITUTE(SUBSTITUTE(SUBSTITUTE(SUBSTITUTE(SUBSTITUTE(SUBSTITUTE(SUBSTITUTE(SUBSTITUTE(SUBSTITUTE(SUBSTITUTE(SUBSTITUTE(SUBSTITUTE(SUBSTITUTE(SUBSTITUTE(LOWER(AA530&amp;""),CHAR(10),""),CHAR(13),""),CHAR(9),""),CHAR(160),"")," ",""),".",""),"-",""),"/",""),"?",""),"_",""),",",""),"[",""),"]",""),"(",""),")",""),"*","")</f>
        <v/>
      </c>
      <c r="BB530" s="61" t="str">
        <f aca="false">IF(AND(TRIM(U530)="Pass",ISNUMBER(AF530)),IF(AF530&lt;&gt;0,"INVALID – qty variance: use Fail or Pass after CA",""),"")&amp;IF(AND(TRIM(U530)="Pass after CA",ISNUMBER(AF530)),IF(AF530&lt;&gt;0,"INVALID – after the corrective action the actual qty must equal expected (update Actual)",""),"")&amp;IF(AND(TRIM(U530)="Pass",TRIM(AB530)&lt;&gt;"",TRIM(AB530)&lt;&gt;"Closed"),"INVALID – corrective action not closed: use Fail, then Pass after CA","")&amp;IF(AND(LEN(BA530)&gt;=2,ISNA(MATCH(LEFT(BA530,255),L_Placeholder,0)),TRIM(AB530)=""),"INVALID – CA status missing for the recorded corrective action","")&amp;IF(AND(TRIM(U530)="Pass after CA",OR(OR(LEN(BA530)&lt;5,ISNUMBER(MATCH(BA530,L_Placeholder,0))),TRIM(AB530)&lt;&gt;"Closed")),"INVALID – corrective action not recorded/closed","")</f>
        <v/>
      </c>
      <c r="BC530" s="61" t="str">
        <f aca="false">" "&amp;TRIM(SUBSTITUTE(SUBSTITUTE(SUBSTITUTE(SUBSTITUTE(SUBSTITUTE(SUBSTITUTE(SUBSTITUTE(SUBSTITUTE(SUBSTITUTE(SUBSTITUTE(SUBSTITUTE(SUBSTITUTE(SUBSTITUTE(SUBSTITUTE(SUBSTITUTE(SUBSTITUTE(SUBSTITUTE(SUBSTITUTE(SUBSTITUTE(SUBSTITUTE(SUBSTITUTE(SUBSTITUTE(SUBSTITUTE(SUBSTITUTE(LOWER(V530&amp;""),CHAR(10)," "),CHAR(13)," "),CHAR(9)," "),CHAR(160)," "),"."," "),","," "),"-"," "),"/"," "),"("," "),")"," "),":"," "),";"," "),"_"," "),"–"," "),"?"," "),"!"," "),"*"," "),"["," "),"]"," "),"'"," "),"#"," "),"+"," "),"&amp;"," "),"\"," "))&amp;" "</f>
        <v>  </v>
      </c>
      <c r="BD530" s="61" t="str">
        <f aca="false">" "&amp;TRIM(SUBSTITUTE(SUBSTITUTE(SUBSTITUTE(SUBSTITUTE(SUBSTITUTE(SUBSTITUTE(SUBSTITUTE(SUBSTITUTE(SUBSTITUTE(SUBSTITUTE(SUBSTITUTE(SUBSTITUTE(SUBSTITUTE(SUBSTITUTE(SUBSTITUTE(SUBSTITUTE(SUBSTITUTE(SUBSTITUTE(SUBSTITUTE(SUBSTITUTE(SUBSTITUTE(SUBSTITUTE(SUBSTITUTE(SUBSTITUTE(LOWER(Z530&amp;""),CHAR(10)," "),CHAR(13)," "),CHAR(9)," "),CHAR(160)," "),"."," "),","," "),"-"," "),"/"," "),"("," "),")"," "),":"," "),";"," "),"_"," "),"–"," "),"?"," "),"!"," "),"*"," "),"["," "),"]"," "),"'"," "),"#"," "),"+"," "),"&amp;"," "),"\"," "))&amp;" "</f>
        <v>  </v>
      </c>
      <c r="BE530" s="61" t="str">
        <f aca="false">" "&amp;TRIM(SUBSTITUTE(SUBSTITUTE(SUBSTITUTE(SUBSTITUTE(SUBSTITUTE(SUBSTITUTE(SUBSTITUTE(SUBSTITUTE(SUBSTITUTE(SUBSTITUTE(SUBSTITUTE(SUBSTITUTE(SUBSTITUTE(SUBSTITUTE(SUBSTITUTE(SUBSTITUTE(SUBSTITUTE(SUBSTITUTE(SUBSTITUTE(SUBSTITUTE(SUBSTITUTE(SUBSTITUTE(SUBSTITUTE(SUBSTITUTE(LOWER(W530&amp;""),CHAR(10)," "),CHAR(13)," "),CHAR(9)," "),CHAR(160)," "),"."," "),","," "),"-"," "),"/"," "),"("," "),")"," "),":"," "),";"," "),"_"," "),"–"," "),"?"," "),"!"," "),"*"," "),"["," "),"]"," "),"'"," "),"#"," "),"+"," "),"&amp;"," "),"\"," "))&amp;" "</f>
        <v>  </v>
      </c>
      <c r="BF530" s="61" t="str">
        <f aca="false">" "&amp;TRIM(SUBSTITUTE(SUBSTITUTE(SUBSTITUTE(SUBSTITUTE(SUBSTITUTE(SUBSTITUTE(SUBSTITUTE(SUBSTITUTE(SUBSTITUTE(SUBSTITUTE(SUBSTITUTE(SUBSTITUTE(SUBSTITUTE(SUBSTITUTE(SUBSTITUTE(SUBSTITUTE(SUBSTITUTE(SUBSTITUTE(SUBSTITUTE(SUBSTITUTE(SUBSTITUTE(SUBSTITUTE(SUBSTITUTE(SUBSTITUTE(LOWER(AC530&amp;""),CHAR(10)," "),CHAR(13)," "),CHAR(9)," "),CHAR(160)," "),"."," "),","," "),"-"," "),"/"," "),"("," "),")"," "),":"," "),";"," "),"_"," "),"–"," "),"?"," "),"!"," "),"*"," "),"["," "),"]"," "),"'"," "),"#"," "),"+"," "),"&amp;"," "),"\"," "))&amp;" "</f>
        <v>  </v>
      </c>
      <c r="BG530" s="61" t="n">
        <f aca="false">IFERROR(IF(AND(TRIM(U530)="Pass",SUMPRODUCT((LEN(BC530)-LEN(SUBSTITUTE(BC530," "&amp;L_ResultBad&amp;" "," ")))/(LEN(L_ResultBad)+1))&gt;SUMPRODUCT((LEN(BC530)-LEN(SUBSTITUTE(BC530," "&amp;L_NegPhrase&amp;" "," ")))/(LEN(L_NegPhrase)+1))),1,0),0)</f>
        <v>0</v>
      </c>
      <c r="BH530" s="61" t="n">
        <f aca="false">IFERROR(IF(SUMPRODUCT((LEN(BC530)-LEN(SUBSTITUTE(BC530," "&amp;L_Pending&amp;" "," ")))/(LEN(L_Pending)+1))&gt;SUMPRODUCT((LEN(BC530)-LEN(SUBSTITUTE(BC530," "&amp;L_PendNeg&amp;" "," ")))/(LEN(L_PendNeg)+1)),1,0),1)</f>
        <v>0</v>
      </c>
      <c r="BI530" s="61" t="n">
        <f aca="false">IFERROR(IF(SUMPRODUCT((LEN(BD530)-LEN(SUBSTITUTE(BD530," "&amp;L_PendStrict&amp;" "," ")))/(LEN(L_PendStrict)+1))&gt;SUMPRODUCT((LEN(BD530)-LEN(SUBSTITUTE(BD530," "&amp;L_PendNeg&amp;" "," ")))/(LEN(L_PendNeg)+1)),1,0),1)</f>
        <v>0</v>
      </c>
      <c r="BJ530" s="61" t="n">
        <f aca="false">IFERROR(IF(SUMPRODUCT((LEN(BE530)-LEN(SUBSTITUTE(BE530," "&amp;L_Pending&amp;" "," ")))/(LEN(L_Pending)+1))&gt;SUMPRODUCT((LEN(BE530)-LEN(SUBSTITUTE(BE530," "&amp;L_PendNeg&amp;" "," ")))/(LEN(L_PendNeg)+1)),1,0),1)</f>
        <v>0</v>
      </c>
      <c r="BK530" s="61" t="n">
        <f aca="false">IFERROR(IF(SUMPRODUCT((LEN(BF530)-LEN(SUBSTITUTE(BF530," "&amp;L_PendStrict&amp;" "," ")))/(LEN(L_PendStrict)+1))&gt;SUMPRODUCT((LEN(BF530)-LEN(SUBSTITUTE(BF530," "&amp;L_PendNeg&amp;" "," ")))/(LEN(L_PendNeg)+1)),1,0),1)</f>
        <v>0</v>
      </c>
      <c r="BL530" s="61" t="n">
        <f aca="false">IF(ISNA(MATCH(TRIM(S530),L_EvidenceType,0)),0,BZ530)</f>
        <v>0</v>
      </c>
      <c r="BM530" s="61" t="str">
        <f aca="false">SUBSTITUTE(SUBSTITUTE(SUBSTITUTE(SUBSTITUTE(SUBSTITUTE(SUBSTITUTE(SUBSTITUTE(SUBSTITUTE(SUBSTITUTE(LOWER(Z530&amp;""),"1","0"),"2","0"),"3","0"),"4","0"),"5","0"),"6","0"),"7","0"),"8","0"),"9","0")</f>
        <v/>
      </c>
      <c r="BN530" s="61" t="str">
        <f aca="false">SUBSTITUTE(SUBSTITUTE(SUBSTITUTE(SUBSTITUTE(SUBSTITUTE(SUBSTITUTE(SUBSTITUTE(SUBSTITUTE(SUBSTITUTE(SUBSTITUTE(SUBSTITUTE(SUBSTITUTE(SUBSTITUTE(SUBSTITUTE(SUBSTITUTE(SUBSTITUTE(SUBSTITUTE(SUBSTITUTE(SUBSTITUTE(SUBSTITUTE(SUBSTITUTE(SUBSTITUTE(SUBSTITUTE(SUBSTITUTE(SUBSTITUTE(BM530,"b","a"),"c","a"),"d","a"),"e","a"),"f","a"),"g","a"),"h","a"),"i","a"),"j","a"),"k","a"),"l","a"),"m","a"),"n","a"),"o","a"),"p","a"),"q","a"),"r","a"),"s","a"),"t","a"),"u","a"),"v","a"),"w","a"),"x","a"),"y","a"),"z","a")</f>
        <v/>
      </c>
      <c r="BO530" s="61" t="str">
        <f aca="false">SUBSTITUTE(SUBSTITUTE(SUBSTITUTE(SUBSTITUTE(SUBSTITUTE(SUBSTITUTE(SUBSTITUTE(SUBSTITUTE(SUBSTITUTE(LOWER(W530&amp;""),"1","0"),"2","0"),"3","0"),"4","0"),"5","0"),"6","0"),"7","0"),"8","0"),"9","0")</f>
        <v/>
      </c>
      <c r="BP530" s="61" t="str">
        <f aca="false">SUBSTITUTE(SUBSTITUTE(SUBSTITUTE(SUBSTITUTE(SUBSTITUTE(SUBSTITUTE(SUBSTITUTE(SUBSTITUTE(SUBSTITUTE(SUBSTITUTE(SUBSTITUTE(SUBSTITUTE(SUBSTITUTE(SUBSTITUTE(SUBSTITUTE(SUBSTITUTE(SUBSTITUTE(SUBSTITUTE(SUBSTITUTE(SUBSTITUTE(SUBSTITUTE(SUBSTITUTE(SUBSTITUTE(SUBSTITUTE(SUBSTITUTE(BO530,"b","a"),"c","a"),"d","a"),"e","a"),"f","a"),"g","a"),"h","a"),"i","a"),"j","a"),"k","a"),"l","a"),"m","a"),"n","a"),"o","a"),"p","a"),"q","a"),"r","a"),"s","a"),"t","a"),"u","a"),"v","a"),"w","a"),"x","a"),"y","a"),"z","a")</f>
        <v/>
      </c>
      <c r="BQ530" s="61" t="n">
        <f aca="false">IFERROR(IF(AND(ISERROR(SEARCH(" mh"," "&amp;LOWER(W530))),ISNA(MATCH(LEFT(TRIM(BP530),255),{"0000a","000a","00a","0000aa","000aa","00aa","0aa","0000aaa","000aaa","00a00","0a00","0000-0000","00:00","a00","a0","00.00.0000","00/00/0000","00-00-0000","0000-00-00","0000/00/00","0000.00.00","00.00.00","00/00/00","00-00-00","0.00.0000","0/00/0000","0-00-0000"},0)),ISNA(MATCH(LEFT(TRIM(CA530),255),{"0000a","000a","00a","0000aa","000aa","00aa","0aa","0000aaa","000aaa","00a00","0a00","0000-0000","00:00","a00","a0","00.00.0000","00/00/0000","00-00-0000","0000-00-00","0000/00/00","0000.00.00","00.00.00","00/00/00","00-00-00","0.00.0000","0/00/0000","0-00-0000"},0)),LEN(CB530)&gt;=3,NOT(OR(SUBSTITUTE(CB530,"0","")="",AND(LEN(CB530)&gt;=4,CB530=REPT(LEFT(CB530),LEN(CB530))),ISNUMBER(MATCH(CB530,{"123","1234","12345","123456","1234567","12345678","0123","01234","012345","98765","987654","54321"},0)),AND(LEN(CB530)=8,LEFT(CB530,3)="202"))),OR(AND((LEN(CA530)-LEN(SUBSTITUTE(CA530,"a","")))&gt;=1,SUMPRODUCT(--ISNUMBER(SEARCH({"a0","a-0","a_0","a/0","a.0","a#0","0a","0-a","0_a","0/a"},BP530)))&gt;0),ISNUMBER(SEARCH("000000",BP530)))),1,0),0)</f>
        <v>0</v>
      </c>
      <c r="BR530" s="61" t="n">
        <f aca="false">IFERROR(LEN(SUBSTITUTE(CC530," ",""))-SUMPRODUCT((LEN(CC530)-LEN(SUBSTITUTE(CC530," "&amp;L_Role&amp;" "," ")))/(LEN(L_Role)+1)*LEN(L_Role)),0)</f>
        <v>0</v>
      </c>
      <c r="BS530" s="61" t="n">
        <f aca="false">IFERROR(LEN(SUBSTITUTE(CD530," ",""))-SUMPRODUCT((LEN(CD530)-LEN(SUBSTITUTE(CD530," "&amp;L_Role&amp;" "," ")))/(LEN(L_Role)+1)*LEN(L_Role)),0)</f>
        <v>0</v>
      </c>
      <c r="BT5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530,"revision",""),"version",""),"jan",""),"feb",""),"mar",""),"apr",""),"may",""),"jun",""),"jul",""),"aug",""),"sep",""),"oct",""),"nov",""),"dec",""),"utc",""),"gmt",""),"myt",""),"bst",""),"rev",""),"ver",""),"b","a"),"c","a"),"d","a"),"e","a"),"f","a"),"g","a"),"h","a"),"i","a"),"j","a"),"k","a"),"l","a"),"m","a"),"n","a"),"o","a"),"p","a"),"q","a"),"r","a"),"s","a"),"t","a"),"u","a"),"v","a"),"w","a"),"x","a"),"y","a"),"z","a")</f>
        <v/>
      </c>
      <c r="BU530" s="61" t="str">
        <f aca="false">SUBSTITUTE(SUBSTITUTE(SUBSTITUTE(SUBSTITUTE(SUBSTITUTE(SUBSTITUTE(SUBSTITUTE(SUBSTITUTE(SUBSTITUTE(SUBSTITUTE(LEFT(BM530,FIND("0",BM530&amp;"0")-1),"-",""),"_",""),"/",""),".",""),"#",""),"\\",""),":","")," ",""),"(",""),")","")</f>
        <v/>
      </c>
      <c r="BV530" s="61" t="n">
        <f aca="false">IFERROR(IF(OR(SUMPRODUCT((LEN(BC530)-LEN(SUBSTITUTE(BC530," "&amp;L_NotLoaded&amp;" "," ")))/(LEN(L_NotLoaded)+1))&gt;SUMPRODUCT((LEN(BC530)-LEN(SUBSTITUTE(BC530," "&amp;L_NotLoadedNeg&amp;" "," ")))/(LEN(L_NotLoadedNeg)+1)),SUMPRODUCT((LEN(BD530)-LEN(SUBSTITUTE(BD530," "&amp;L_NotLoaded&amp;" "," ")))/(LEN(L_NotLoaded)+1))&gt;SUMPRODUCT((LEN(BD530)-LEN(SUBSTITUTE(BD530," "&amp;L_NotLoadedNeg&amp;" "," ")))/(LEN(L_NotLoadedNeg)+1))),1,0),0)</f>
        <v>0</v>
      </c>
      <c r="BW5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530&amp;""),"a",""),"b",""),"c",""),"d",""),"e",""),"f",""),"g",""),"h",""),"i",""),"j",""),"k",""),"l",""),"m",""),"n",""),"o",""),"p",""),"q",""),"r",""),"s",""),"t",""),"u",""),"v",""),"w",""),"x",""),"y",""),"z",""),"-",""),"_",""),"/",""),".",""),"#",""),"\\",""),":","")," ",""),"(",""),")","")</f>
        <v/>
      </c>
      <c r="BX530" s="61" t="str">
        <f aca="false">SUBSTITUTE(SUBSTITUTE(SUBSTITUTE(SUBSTITUTE(SUBSTITUTE(SUBSTITUTE(SUBSTITUTE(SUBSTITUTE(SUBSTITUTE(SUBSTITUTE(SUBSTITUTE(BM530,"0",""),"-",""),"_",""),"/",""),".",""),"#",""),"\\",""),":","")," ",""),"(",""),")","")</f>
        <v/>
      </c>
      <c r="BY530" s="62" t="n">
        <f aca="false">IF(ISNUMBER(Flights!$AZ$20),MAX(Q530-UpliftWindowH/24,Flights!$AZ$20),Q530-UpliftWindowH/24)</f>
        <v>46320.7986111111</v>
      </c>
      <c r="BZ530" s="61" t="n">
        <f aca="false">IFERROR(IF(IF(TRIM(S530)="Link / file path",AND(LEN(TRIM(Z530))&gt;=5,SUMPRODUCT(--ISNUMBER(SEARCH({"http","www.","\\",":\",".pdf",".jpg",".jpeg",".png",".heic",".xls",".doc",".msg",".eml",".ppt",".txt",".zip"},Z530)))&gt;0),AND(ISERROR(FIND(" ",TRIM(Z530))),NOT(OR(SUMPRODUCT(--ISNUMBER(FIND({",",";","&amp;","+"},Z530)))&gt;0,SUMPRODUCT(--ISNUMBER(SEARCH({"0/aa","0\\aa"},BN530)))&gt;0)),NOT(SUMPRODUCT(--ISNUMBER(SEARCH({"http","www.","\\",":\",".pdf",".jpg",".jpeg",".png",".heic",".xls",".doc",".msg",".eml",".ppt",".txt",".zip"},Z530)))&gt;0),NOT(LOWER(TRIM(Z530))=LOWER(Flights!$F$20)),ISNA(MATCH(BU530,{"mh","rev","revision","ver","version","v","r","a","b","seat","tray","row","gate","bay","stand","page","pg","item","line","no","cart","galley","flight","flt","table","box","bag","oven","etd","eta","std","sta","atd","ata","qty","pax","x","time","tel","ph","mob","day","wk","week","utc","gmt","myt","lt"},0)),NOT(OR(ISNUMBER(MATCH(LEFT(BN530,255),{"0000a","000a","00a","0000aa","000aa","00aa","0aa","0000aaa","000aaa","00a00","0a00","0000-0000","00:00","a00","a0","00.00.0000","00/00/0000","00-00-0000","0000-00-00","0000/00/00","0000.00.00","00.00.00","00/00/00","00-00-00","0.00.0000","0/00/0000","0-00-0000"},0)),ISNUMBER(MATCH(LEFT(BT530,255),{"0000a","000a","00a","0000aa","000aa","00aa","0aa","0000aaa","000aaa","00a00","0a00","0000-0000","00:00","a00","a0","00.00.0000","00/00/0000","00-00-0000","0000-00-00","0000/00/00","0000.00.00","00.00.00","00/00/00","00-00-00","0.00.0000","0/00/0000","0-00-0000"},0)))),NOT(OR(AND(BW530&lt;&gt;"",SUBSTITUTE(BW530,"0","")=""),AND(LEN(BW530)&gt;=4,BW530=REPT(LEFT(BW530),LEN(BW530))),ISNUMBER(MATCH(BW530,{"123","1234","12345","123456","1234567","12345678","0123","01234","012345","98765","987654","54321"},0)),ISNUMBER(MATCH(BX530,{"x","xx","xxx","xxxx","xxxxx","abc","abcd","nil","na","nan","test","tbc","tba","tbd","dummy","sample","example","eg","zz","zzz","none","null","xyz","qwe","asd","id","ref"},0)),AND(LEN(BW530)=8,BX530="",OR(LEFT(BW530,3)="202",ISNUMBER(MATCH(RIGHT(BW530,4),{"2025","2026","2027"},0)))))),OR(AND((LEN(BT530)-LEN(SUBSTITUTE(BT530,"a","")))&gt;=1,(LEN(BN530)-LEN(SUBSTITUTE(BN530,"0","")))&gt;=2,SUMPRODUCT(--ISNUMBER(SEARCH({"a0","a-0","a_0","a/0","a.0","a#0","0a","0-a","0_a","0/a"},BN530)))&gt;0),AND((LEN(BN530)-LEN(SUBSTITUTE(BN530,"a","")))=0,(LEN(BN530)-LEN(SUBSTITUTE(BN530,"0","")))&gt;=5)))),1,0),0)</f>
        <v>0</v>
      </c>
      <c r="CA5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530,"revision",""),"version",""),"jan",""),"feb",""),"mar",""),"apr",""),"may",""),"jun",""),"jul",""),"aug",""),"sep",""),"oct",""),"nov",""),"dec",""),"utc",""),"gmt",""),"myt",""),"bst",""),"rev",""),"ver",""),"b","a"),"c","a"),"d","a"),"e","a"),"f","a"),"g","a"),"h","a"),"i","a"),"j","a"),"k","a"),"l","a"),"m","a"),"n","a"),"o","a"),"p","a"),"q","a"),"r","a"),"s","a"),"t","a"),"u","a"),"v","a"),"w","a"),"x","a"),"y","a"),"z","a")</f>
        <v/>
      </c>
      <c r="CB5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530&amp;""),"a",""),"b",""),"c",""),"d",""),"e",""),"f",""),"g",""),"h",""),"i",""),"j",""),"k",""),"l",""),"m",""),"n",""),"o",""),"p",""),"q",""),"r",""),"s",""),"t",""),"u",""),"v",""),"w",""),"x",""),"y",""),"z",""),"-",""),"_",""),"/",""),".",""),"#",""),"\\",""),":","")," ",""),"(",""),")","")</f>
        <v/>
      </c>
      <c r="CC530" s="0" t="str">
        <f aca="false">" "&amp;TRIM(SUBSTITUTE(SUBSTITUTE(SUBSTITUTE(SUBSTITUTE(SUBSTITUTE(SUBSTITUTE(SUBSTITUTE(SUBSTITUTE(SUBSTITUTE(SUBSTITUTE(SUBSTITUTE(SUBSTITUTE(SUBSTITUTE(SUBSTITUTE(SUBSTITUTE(SUBSTITUTE(SUBSTITUTE(SUBSTITUTE(SUBSTITUTE(SUBSTITUTE(SUBSTITUTE(SUBSTITUTE(SUBSTITUTE(SUBSTITUTE(LOWER(T530&amp;""),CHAR(10)," "),CHAR(13)," "),CHAR(9)," "),CHAR(160)," "),"."," "),","," "),"-"," "),"/"," "),"("," "),")"," "),":"," "),";"," "),"_"," "),"–"," "),"?"," "),"!"," "),"*"," "),"["," "),"]"," "),"'"," "),"#"," "),"+"," "),"&amp;"," "),"\"," "))&amp;" "</f>
        <v>  </v>
      </c>
      <c r="CD530" s="0" t="str">
        <f aca="false">" "&amp;TRIM(SUBSTITUTE(SUBSTITUTE(SUBSTITUTE(SUBSTITUTE(SUBSTITUTE(SUBSTITUTE(SUBSTITUTE(SUBSTITUTE(SUBSTITUTE(SUBSTITUTE(SUBSTITUTE(SUBSTITUTE(SUBSTITUTE(SUBSTITUTE(SUBSTITUTE(SUBSTITUTE(SUBSTITUTE(SUBSTITUTE(SUBSTITUTE(SUBSTITUTE(SUBSTITUTE(SUBSTITUTE(SUBSTITUTE(SUBSTITUTE(LOWER(AE530&amp;""),CHAR(10)," "),CHAR(13)," "),CHAR(9)," "),CHAR(160)," "),"."," "),","," "),"-"," "),"/"," "),"("," "),")"," "),":"," "),";"," "),"_"," "),"–"," "),"?"," "),"!"," "),"*"," "),"["," "),"]"," "),"'"," "),"#"," "),"+"," "),"&amp;"," "),"\"," "))&amp;" "</f>
        <v>  </v>
      </c>
      <c r="CE530" s="68" t="n">
        <f aca="false">IFERROR(IF(AND(LEN(AU530)&gt;0,LEN(AU530)=LEN(AX530),OR(TRIM(MID(SUBSTITUTE(TRIM(CC530)," ",REPT(" ",60)),1,60))="",ISNUMBER(SEARCH(" "&amp;TRIM(MID(SUBSTITUTE(TRIM(CC530)," ",REPT(" ",60)),1,60))&amp;" ",CD530))),OR(TRIM(MID(SUBSTITUTE(TRIM(CC530)," ",REPT(" ",60)),61,60))="",ISNUMBER(SEARCH(" "&amp;TRIM(MID(SUBSTITUTE(TRIM(CC530)," ",REPT(" ",60)),61,60))&amp;" ",CD530))),OR(TRIM(MID(SUBSTITUTE(TRIM(CC530)," ",REPT(" ",60)),121,60))="",ISNUMBER(SEARCH(" "&amp;TRIM(MID(SUBSTITUTE(TRIM(CC530)," ",REPT(" ",60)),121,60))&amp;" ",CD530)))),1,0),0)</f>
        <v>0</v>
      </c>
      <c r="CG530" s="68" t="n">
        <f aca="false">IFERROR(LEN(SUBSTITUTE(BF530," ",""))-SUMPRODUCT((LEN(BF530)-LEN(SUBSTITUTE(BF530," "&amp;L_NAFiller&amp;" "," ")))/(LEN(L_NAFiller)+1)*LEN(L_NAFiller)),0)</f>
        <v>0</v>
      </c>
    </row>
    <row r="531" customFormat="false" ht="39.75" hidden="false" customHeight="true" outlineLevel="0" collapsed="false">
      <c r="A531" s="57" t="s">
        <v>1198</v>
      </c>
      <c r="B531" s="57" t="s">
        <v>290</v>
      </c>
      <c r="C531" s="57" t="str">
        <f aca="false">Flights!$F$21</f>
        <v>MH0073</v>
      </c>
      <c r="D531" s="58" t="n">
        <f aca="false">Flights!$D$21</f>
        <v>46322</v>
      </c>
      <c r="E531" s="57" t="str">
        <f aca="false">Flights!$G$21&amp;"-"&amp;Flights!$H$21</f>
        <v>HKG-KUL</v>
      </c>
      <c r="F531" s="57" t="str">
        <f aca="false">Flights!$K$21</f>
        <v>BC</v>
      </c>
      <c r="G531" s="57" t="s">
        <v>81</v>
      </c>
      <c r="H531" s="57" t="s">
        <v>378</v>
      </c>
      <c r="I531" s="57" t="s">
        <v>379</v>
      </c>
      <c r="J531" s="57" t="s">
        <v>380</v>
      </c>
      <c r="K531" s="67" t="s">
        <v>381</v>
      </c>
      <c r="L531" s="67" t="s">
        <v>382</v>
      </c>
      <c r="M531" s="67"/>
      <c r="N531" s="67" t="s">
        <v>383</v>
      </c>
      <c r="O531" s="67"/>
      <c r="P531" s="57" t="s">
        <v>282</v>
      </c>
      <c r="Q531" s="59" t="n">
        <f aca="false">ROUND((Flights!$AC$21)*1440,0)/1440</f>
        <v>46315.2847222222</v>
      </c>
      <c r="R531" s="59" t="n">
        <f aca="false">Q531+(IF(AND(INDEX(TZ_DSTS,MATCH(P531,TZ_STN,0))&lt;&gt;"",Q531&gt;=INDEX(TZ_DSTS,MATCH(P531,TZ_STN,0)),Q531&lt;INDEX(TZ_DSTE,MATCH(P531,TZ_STN,0))),INDEX(TZ_DST,MATCH(P531,TZ_STN,0)),INDEX(TZ_STD,MATCH(P531,TZ_STN,0))))/24</f>
        <v>46315.6180555556</v>
      </c>
      <c r="S531" s="60"/>
      <c r="T531" s="60"/>
      <c r="U531" s="60"/>
      <c r="V531" s="60"/>
      <c r="W531" s="61"/>
      <c r="X531" s="60"/>
      <c r="Y531" s="60"/>
      <c r="Z531" s="60"/>
      <c r="AA531" s="60"/>
      <c r="AB531" s="60"/>
      <c r="AC531" s="60"/>
      <c r="AD531" s="66"/>
      <c r="AE531" s="60"/>
      <c r="AF531" s="61" t="str">
        <f aca="false">IF(AND(ISNUMBER(X531),ISNUMBER(Y531)),Y531-X531,"")</f>
        <v/>
      </c>
      <c r="AG531" s="62" t="str">
        <f aca="false">IF(ISNUMBER(AD531),AD531-(IF(AND(INDEX(TZ_DSTS,MATCH(P531,TZ_STN,0))&lt;&gt;"",(AD531-INDEX(TZ_STD,MATCH(P531,TZ_STN,0))/24)&gt;=INDEX(TZ_DSTS,MATCH(P531,TZ_STN,0)),(AD531-INDEX(TZ_STD,MATCH(P531,TZ_STN,0))/24)&lt;INDEX(TZ_DSTE,MATCH(P531,TZ_STN,0))),INDEX(TZ_DST,MATCH(P531,TZ_STN,0)),INDEX(TZ_STD,MATCH(P531,TZ_STN,0))))/24,"")</f>
        <v/>
      </c>
      <c r="AH531" s="65" t="str">
        <f aca="false">IFERROR(IF(N531="N/A – rule",IF(OR(TRIM(U531)="",TRIM(U531)="N/A",TRIM(U531)="Not started"),"N/A – RULE","INVALID – this check does not apply to this aircraft: clear the status (or correct the fleet on Flights)"),IF(TRIM(U531)="N/A",IF(AT531=0,"INVALID – N/A not permitted for this check",IF(AND(TRIM(AB531)&lt;&gt;"",TRIM(AB531)&lt;&gt;"Closed"),"INVALID – corrective action still open",IF(AND(NOT(OR(LEN(AZ531)&lt;15,ISNUMBER(MATCH(AZ531,L_Placeholder,0)))),BK531=0,CG531&gt;=8,NOT(OR(LEN(AU531)&lt;2,ISNUMBER(MATCH(AU531,L_Placeholder,0)))),BR531&gt;=3,NOT(OR(LEN(AX531)&lt;2,ISNUMBER(MATCH(AX531,L_Placeholder,0)))),BS531&gt;=3,TRIM(AE531)&lt;&gt;TRIM(T531),AX531&lt;&gt;AU531,CE531=0),"N/A – JUSTIFIED","INVALID – N/A needs a real, settled reason (not 'not applicable' / 'as above' / TBC), a named PIC and a different named verifier"))),IF(OR(TRIM(U531)="Pass",TRIM(U531)="Pass after CA"),IF(NOT(ISNUMBER(AD531)),"INVALID – completion time missing",IF(OR(OR(LEN(AU531)&lt;2,ISNUMBER(MATCH(AU531,L_Placeholder,0))),BR531&lt;3),"INVALID – PIC missing or not a named person (a role such as QA / CSM is not a name)",IF(OR(LEN(AV531)&lt;2,ISNUMBER(MATCH(AV531,L_Placeholder,0))),"INVALID – result / assessment missing",IF(OR(OR(LEN(AW531)&lt;3,ISNUMBER(MATCH(AW531,L_Placeholder,0))),SUMPRODUCT(--ISNUMBER(SEARCH(" "&amp;L_EvidencePhrase&amp;" ",BD531)))&gt;0,BI531=1),"INVALID – evidence missing, placeholder or not yet on file",IF(ISNA(MATCH(TRIM(S531),L_EvidenceType,0)),"INVALID – choose the evidence type from the list (column S)",IF(BL531=0,"INVALID – evidence ID must be the record's own ID only (e.g. SF-2210, IMG_2231, 1045521); a link / file name needs type 'Link / file path'",IF(OR(OR(LEN(AX531)&lt;2,ISNUMBER(MATCH(AX531,L_Placeholder,0))),BS531&lt;3),"INVALID – verifier missing or not a named person (a role such as QA / CSM is not a name)",IF(OR(AX531=AU531,CE531=1,AND(LEN(AU531)&gt;=4,ISNUMBER(SEARCH(AU531,AX531))),AND(LEN(AX531)&gt;=4,ISNUMBER(SEARCH(AX531,AU531)))),"INVALID – verifier must be a different, named person (not the PIC or a role)",IF(BH531=1,"INVALID – result not yet available (awaiting / TBC)",IF(BG531=1,"INVALID – result describes a problem: record Fail, then Pass after CA (or reword if it is not a problem)",IF(BV531=1,"INVALID – wording says not on board: an on-board confirmation needs the item loaded",IF(AND(AQ531=1,OR(OR(LEN(AY531)&lt;3,ISNUMBER(MATCH(AY531,L_Placeholder,0))),BJ531=1,BQ531=0)),"INVALID – batch ID missing, placeholder or not an ID (e.g. PASB-261008-BC-017)",IF(AND(AR531=1,OR(NOT(ISNUMBER(X531)),NOT(ISNUMBER(Y531)))),"INVALID – expected/actual qty missing",IF(AND(AR531=1,OR(X531&lt;=0,Y531&lt;0)),"INVALID – expected qty must be above 0 and actual not negative",IF(BB531&lt;&gt;"",BB531,IF(AND(AS531=1,Documents!$J$21&lt;&gt;"ON FILE"),"INVALID – GLD not on file (Documents sheet)",IF(AND(AS531=2,Documents!$O$21&lt;&gt;"ON FILE"),"INVALID – menu checklist not on file (Documents sheet)",IF(AND(AS531=3,NOT(ISNUMBER(Flights!$AX$21))),"INVALID – enter carrying flight KUL departure (Flights AX)",IF(AND(AS531=3,OR(Flights!$AZ$21&gt;Flights!$AA$21,Flights!$AX$21&lt;Flights!$AA$21-3)),"INVALID – carrying flight (Flights AX) cannot arrive before this leg's STD, or is over 3 days early",IF(AG531&gt;AsOfUTC,"INVALID – completion time is in the future",IF(AND(ISNUMBER(BY531),AG531&lt;BY531),IF(H531="Physical uplift","INVALID – before uplift window (cannot confirm loading)","INVALID – before valid window"),IF(AG531&gt;Flights!$AA$21,"INVALID – completed after departure (cannot establish readiness)",IF(AND(H531="Preparation",AG531&gt;=IF(ISNUMBER(Flights!$BA$21),MIN(Flights!$BA$21,Flights!$AA$21),Flights!$AA$21)),"INVALID – completed after loading / departure (cannot establish readiness)",IF(AND(H531="Physical uplift",AG531&gt;Q531),"INVALID – recorded after the loading flight departed",IF(AG531&gt;Q531,"COMPLETE – LATE","COMPLETE"))))))))))))))))))))))))),IF(TRIM(U531)="Fail","FAIL – DISCREPANCY",IF(AND(TRIM(U531)&lt;&gt;"",TRIM(U531)&lt;&gt;"Not started",TRIM(U531)&lt;&gt;"In progress"),"INVALID – unrecognised status (use the list)",IF(AsOfUTC&gt;Q531,"OVERDUE",IF(N531="Clarification required","OPEN – CLARIFICATION","OPEN"))))))),"INVALID – error value in an input cell")</f>
        <v>OPEN</v>
      </c>
      <c r="AI531" s="61" t="n">
        <f aca="false">IF(OR(AH531="N/A – RULE",AH531="N/A – JUSTIFIED"),0,1)</f>
        <v>1</v>
      </c>
      <c r="AJ531" s="61" t="n">
        <f aca="false">IF(LEFT(AH531,8)="COMPLETE",1,0)</f>
        <v>0</v>
      </c>
      <c r="AK531" s="61" t="n">
        <f aca="false">IF(AND(AI531=1,AJ531=0,AsOfUTC&gt;Q531),1,0)</f>
        <v>0</v>
      </c>
      <c r="AL531" s="61" t="n">
        <f aca="false">IFERROR(IF(AND(AI531=1,OR(TRIM(U531)="Fail",AND(TRIM(AB531)&lt;&gt;"",TRIM(AB531)&lt;&gt;"Closed"),AND(ISNUMBER(AF531),AF531&lt;&gt;0,TRIM(U531)&lt;&gt;"Pass after CA"))),1,0),1)</f>
        <v>0</v>
      </c>
      <c r="AM531" s="61" t="n">
        <f aca="false">IF(LEFT(AH531,7)="INVALID",1,0)</f>
        <v>0</v>
      </c>
      <c r="AN531" s="61" t="n">
        <f aca="false">IF(AND(N531="Clarification required",AI531=1,AJ531=0),1,0)</f>
        <v>0</v>
      </c>
      <c r="AO531" s="61" t="str">
        <f aca="false">IF(AK531=1,SUM(AK$5:AK531),"")</f>
        <v/>
      </c>
      <c r="AP531" s="61" t="str">
        <f aca="false">IF(AL531=1,SUM(AL$5:AL531),"")</f>
        <v/>
      </c>
      <c r="AQ531" s="61" t="n">
        <v>0</v>
      </c>
      <c r="AR531" s="61" t="n">
        <v>0</v>
      </c>
      <c r="AS531" s="61" t="n">
        <v>0</v>
      </c>
      <c r="AT531" s="61" t="n">
        <v>0</v>
      </c>
      <c r="AU531" s="61" t="str">
        <f aca="false">SUBSTITUTE(SUBSTITUTE(SUBSTITUTE(SUBSTITUTE(SUBSTITUTE(SUBSTITUTE(SUBSTITUTE(SUBSTITUTE(SUBSTITUTE(SUBSTITUTE(SUBSTITUTE(SUBSTITUTE(SUBSTITUTE(SUBSTITUTE(SUBSTITUTE(SUBSTITUTE(LOWER(T531&amp;""),CHAR(10),""),CHAR(13),""),CHAR(9),""),CHAR(160),"")," ",""),".",""),"-",""),"/",""),"?",""),"_",""),",",""),"[",""),"]",""),"(",""),")",""),"*","")</f>
        <v/>
      </c>
      <c r="AV531" s="61" t="str">
        <f aca="false">SUBSTITUTE(SUBSTITUTE(SUBSTITUTE(SUBSTITUTE(SUBSTITUTE(SUBSTITUTE(SUBSTITUTE(SUBSTITUTE(SUBSTITUTE(SUBSTITUTE(SUBSTITUTE(SUBSTITUTE(SUBSTITUTE(SUBSTITUTE(SUBSTITUTE(SUBSTITUTE(LOWER(V531&amp;""),CHAR(10),""),CHAR(13),""),CHAR(9),""),CHAR(160),"")," ",""),".",""),"-",""),"/",""),"?",""),"_",""),",",""),"[",""),"]",""),"(",""),")",""),"*","")</f>
        <v/>
      </c>
      <c r="AW531" s="61" t="str">
        <f aca="false">SUBSTITUTE(SUBSTITUTE(SUBSTITUTE(SUBSTITUTE(SUBSTITUTE(SUBSTITUTE(SUBSTITUTE(SUBSTITUTE(SUBSTITUTE(SUBSTITUTE(SUBSTITUTE(SUBSTITUTE(SUBSTITUTE(SUBSTITUTE(SUBSTITUTE(SUBSTITUTE(LOWER(Z531&amp;""),CHAR(10),""),CHAR(13),""),CHAR(9),""),CHAR(160),"")," ",""),".",""),"-",""),"/",""),"?",""),"_",""),",",""),"[",""),"]",""),"(",""),")",""),"*","")</f>
        <v/>
      </c>
      <c r="AX531" s="61" t="str">
        <f aca="false">SUBSTITUTE(SUBSTITUTE(SUBSTITUTE(SUBSTITUTE(SUBSTITUTE(SUBSTITUTE(SUBSTITUTE(SUBSTITUTE(SUBSTITUTE(SUBSTITUTE(SUBSTITUTE(SUBSTITUTE(SUBSTITUTE(SUBSTITUTE(SUBSTITUTE(SUBSTITUTE(LOWER(AE531&amp;""),CHAR(10),""),CHAR(13),""),CHAR(9),""),CHAR(160),"")," ",""),".",""),"-",""),"/",""),"?",""),"_",""),",",""),"[",""),"]",""),"(",""),")",""),"*","")</f>
        <v/>
      </c>
      <c r="AY531" s="61" t="str">
        <f aca="false">SUBSTITUTE(SUBSTITUTE(SUBSTITUTE(SUBSTITUTE(SUBSTITUTE(SUBSTITUTE(SUBSTITUTE(SUBSTITUTE(SUBSTITUTE(SUBSTITUTE(SUBSTITUTE(SUBSTITUTE(SUBSTITUTE(SUBSTITUTE(SUBSTITUTE(SUBSTITUTE(LOWER(W531&amp;""),CHAR(10),""),CHAR(13),""),CHAR(9),""),CHAR(160),"")," ",""),".",""),"-",""),"/",""),"?",""),"_",""),",",""),"[",""),"]",""),"(",""),")",""),"*","")</f>
        <v/>
      </c>
      <c r="AZ531" s="61" t="str">
        <f aca="false">SUBSTITUTE(SUBSTITUTE(SUBSTITUTE(SUBSTITUTE(SUBSTITUTE(SUBSTITUTE(SUBSTITUTE(SUBSTITUTE(SUBSTITUTE(SUBSTITUTE(SUBSTITUTE(SUBSTITUTE(SUBSTITUTE(SUBSTITUTE(SUBSTITUTE(SUBSTITUTE(LOWER(AC531&amp;""),CHAR(10),""),CHAR(13),""),CHAR(9),""),CHAR(160),"")," ",""),".",""),"-",""),"/",""),"?",""),"_",""),",",""),"[",""),"]",""),"(",""),")",""),"*","")</f>
        <v/>
      </c>
      <c r="BA531" s="61" t="str">
        <f aca="false">SUBSTITUTE(SUBSTITUTE(SUBSTITUTE(SUBSTITUTE(SUBSTITUTE(SUBSTITUTE(SUBSTITUTE(SUBSTITUTE(SUBSTITUTE(SUBSTITUTE(SUBSTITUTE(SUBSTITUTE(SUBSTITUTE(SUBSTITUTE(SUBSTITUTE(SUBSTITUTE(LOWER(AA531&amp;""),CHAR(10),""),CHAR(13),""),CHAR(9),""),CHAR(160),"")," ",""),".",""),"-",""),"/",""),"?",""),"_",""),",",""),"[",""),"]",""),"(",""),")",""),"*","")</f>
        <v/>
      </c>
      <c r="BB531" s="61" t="str">
        <f aca="false">IF(AND(TRIM(U531)="Pass",ISNUMBER(AF531)),IF(AF531&lt;&gt;0,"INVALID – qty variance: use Fail or Pass after CA",""),"")&amp;IF(AND(TRIM(U531)="Pass after CA",ISNUMBER(AF531)),IF(AF531&lt;&gt;0,"INVALID – after the corrective action the actual qty must equal expected (update Actual)",""),"")&amp;IF(AND(TRIM(U531)="Pass",TRIM(AB531)&lt;&gt;"",TRIM(AB531)&lt;&gt;"Closed"),"INVALID – corrective action not closed: use Fail, then Pass after CA","")&amp;IF(AND(LEN(BA531)&gt;=2,ISNA(MATCH(LEFT(BA531,255),L_Placeholder,0)),TRIM(AB531)=""),"INVALID – CA status missing for the recorded corrective action","")&amp;IF(AND(TRIM(U531)="Pass after CA",OR(OR(LEN(BA531)&lt;5,ISNUMBER(MATCH(BA531,L_Placeholder,0))),TRIM(AB531)&lt;&gt;"Closed")),"INVALID – corrective action not recorded/closed","")</f>
        <v/>
      </c>
      <c r="BC531" s="61" t="str">
        <f aca="false">" "&amp;TRIM(SUBSTITUTE(SUBSTITUTE(SUBSTITUTE(SUBSTITUTE(SUBSTITUTE(SUBSTITUTE(SUBSTITUTE(SUBSTITUTE(SUBSTITUTE(SUBSTITUTE(SUBSTITUTE(SUBSTITUTE(SUBSTITUTE(SUBSTITUTE(SUBSTITUTE(SUBSTITUTE(SUBSTITUTE(SUBSTITUTE(SUBSTITUTE(SUBSTITUTE(SUBSTITUTE(SUBSTITUTE(SUBSTITUTE(SUBSTITUTE(LOWER(V531&amp;""),CHAR(10)," "),CHAR(13)," "),CHAR(9)," "),CHAR(160)," "),"."," "),","," "),"-"," "),"/"," "),"("," "),")"," "),":"," "),";"," "),"_"," "),"–"," "),"?"," "),"!"," "),"*"," "),"["," "),"]"," "),"'"," "),"#"," "),"+"," "),"&amp;"," "),"\"," "))&amp;" "</f>
        <v>  </v>
      </c>
      <c r="BD531" s="61" t="str">
        <f aca="false">" "&amp;TRIM(SUBSTITUTE(SUBSTITUTE(SUBSTITUTE(SUBSTITUTE(SUBSTITUTE(SUBSTITUTE(SUBSTITUTE(SUBSTITUTE(SUBSTITUTE(SUBSTITUTE(SUBSTITUTE(SUBSTITUTE(SUBSTITUTE(SUBSTITUTE(SUBSTITUTE(SUBSTITUTE(SUBSTITUTE(SUBSTITUTE(SUBSTITUTE(SUBSTITUTE(SUBSTITUTE(SUBSTITUTE(SUBSTITUTE(SUBSTITUTE(LOWER(Z531&amp;""),CHAR(10)," "),CHAR(13)," "),CHAR(9)," "),CHAR(160)," "),"."," "),","," "),"-"," "),"/"," "),"("," "),")"," "),":"," "),";"," "),"_"," "),"–"," "),"?"," "),"!"," "),"*"," "),"["," "),"]"," "),"'"," "),"#"," "),"+"," "),"&amp;"," "),"\"," "))&amp;" "</f>
        <v>  </v>
      </c>
      <c r="BE531" s="61" t="str">
        <f aca="false">" "&amp;TRIM(SUBSTITUTE(SUBSTITUTE(SUBSTITUTE(SUBSTITUTE(SUBSTITUTE(SUBSTITUTE(SUBSTITUTE(SUBSTITUTE(SUBSTITUTE(SUBSTITUTE(SUBSTITUTE(SUBSTITUTE(SUBSTITUTE(SUBSTITUTE(SUBSTITUTE(SUBSTITUTE(SUBSTITUTE(SUBSTITUTE(SUBSTITUTE(SUBSTITUTE(SUBSTITUTE(SUBSTITUTE(SUBSTITUTE(SUBSTITUTE(LOWER(W531&amp;""),CHAR(10)," "),CHAR(13)," "),CHAR(9)," "),CHAR(160)," "),"."," "),","," "),"-"," "),"/"," "),"("," "),")"," "),":"," "),";"," "),"_"," "),"–"," "),"?"," "),"!"," "),"*"," "),"["," "),"]"," "),"'"," "),"#"," "),"+"," "),"&amp;"," "),"\"," "))&amp;" "</f>
        <v>  </v>
      </c>
      <c r="BF531" s="61" t="str">
        <f aca="false">" "&amp;TRIM(SUBSTITUTE(SUBSTITUTE(SUBSTITUTE(SUBSTITUTE(SUBSTITUTE(SUBSTITUTE(SUBSTITUTE(SUBSTITUTE(SUBSTITUTE(SUBSTITUTE(SUBSTITUTE(SUBSTITUTE(SUBSTITUTE(SUBSTITUTE(SUBSTITUTE(SUBSTITUTE(SUBSTITUTE(SUBSTITUTE(SUBSTITUTE(SUBSTITUTE(SUBSTITUTE(SUBSTITUTE(SUBSTITUTE(SUBSTITUTE(LOWER(AC531&amp;""),CHAR(10)," "),CHAR(13)," "),CHAR(9)," "),CHAR(160)," "),"."," "),","," "),"-"," "),"/"," "),"("," "),")"," "),":"," "),";"," "),"_"," "),"–"," "),"?"," "),"!"," "),"*"," "),"["," "),"]"," "),"'"," "),"#"," "),"+"," "),"&amp;"," "),"\"," "))&amp;" "</f>
        <v>  </v>
      </c>
      <c r="BG531" s="61" t="n">
        <f aca="false">IFERROR(IF(AND(TRIM(U531)="Pass",SUMPRODUCT((LEN(BC531)-LEN(SUBSTITUTE(BC531," "&amp;L_ResultBad&amp;" "," ")))/(LEN(L_ResultBad)+1))&gt;SUMPRODUCT((LEN(BC531)-LEN(SUBSTITUTE(BC531," "&amp;L_NegPhrase&amp;" "," ")))/(LEN(L_NegPhrase)+1))),1,0),0)</f>
        <v>0</v>
      </c>
      <c r="BH531" s="61" t="n">
        <f aca="false">IFERROR(IF(SUMPRODUCT((LEN(BC531)-LEN(SUBSTITUTE(BC531," "&amp;L_Pending&amp;" "," ")))/(LEN(L_Pending)+1))&gt;SUMPRODUCT((LEN(BC531)-LEN(SUBSTITUTE(BC531," "&amp;L_PendNeg&amp;" "," ")))/(LEN(L_PendNeg)+1))+SUMPRODUCT((LEN(BC531)-LEN(SUBSTITUTE(BC531," "&amp;L_PendPrep&amp;" "," ")))/(LEN(L_PendPrep)+1)),1,0),1)</f>
        <v>0</v>
      </c>
      <c r="BI531" s="61" t="n">
        <f aca="false">IFERROR(IF(SUMPRODUCT((LEN(BD531)-LEN(SUBSTITUTE(BD531," "&amp;L_PendStrict&amp;" "," ")))/(LEN(L_PendStrict)+1))&gt;SUMPRODUCT((LEN(BD531)-LEN(SUBSTITUTE(BD531," "&amp;L_PendNeg&amp;" "," ")))/(LEN(L_PendNeg)+1)),1,0),1)</f>
        <v>0</v>
      </c>
      <c r="BJ531" s="61" t="n">
        <f aca="false">IFERROR(IF(SUMPRODUCT((LEN(BE531)-LEN(SUBSTITUTE(BE531," "&amp;L_Pending&amp;" "," ")))/(LEN(L_Pending)+1))&gt;SUMPRODUCT((LEN(BE531)-LEN(SUBSTITUTE(BE531," "&amp;L_PendNeg&amp;" "," ")))/(LEN(L_PendNeg)+1))+SUMPRODUCT((LEN(BE531)-LEN(SUBSTITUTE(BE531," "&amp;L_PendPrep&amp;" "," ")))/(LEN(L_PendPrep)+1)),1,0),1)</f>
        <v>0</v>
      </c>
      <c r="BK531" s="61" t="n">
        <f aca="false">IFERROR(IF(SUMPRODUCT((LEN(BF531)-LEN(SUBSTITUTE(BF531," "&amp;L_PendStrict&amp;" "," ")))/(LEN(L_PendStrict)+1))&gt;SUMPRODUCT((LEN(BF531)-LEN(SUBSTITUTE(BF531," "&amp;L_PendNeg&amp;" "," ")))/(LEN(L_PendNeg)+1)),1,0),1)</f>
        <v>0</v>
      </c>
      <c r="BL531" s="61" t="n">
        <f aca="false">IF(ISNA(MATCH(TRIM(S531),L_EvidenceType,0)),0,BZ531)</f>
        <v>0</v>
      </c>
      <c r="BM531" s="61" t="str">
        <f aca="false">SUBSTITUTE(SUBSTITUTE(SUBSTITUTE(SUBSTITUTE(SUBSTITUTE(SUBSTITUTE(SUBSTITUTE(SUBSTITUTE(SUBSTITUTE(LOWER(Z531&amp;""),"1","0"),"2","0"),"3","0"),"4","0"),"5","0"),"6","0"),"7","0"),"8","0"),"9","0")</f>
        <v/>
      </c>
      <c r="BN531" s="61" t="str">
        <f aca="false">SUBSTITUTE(SUBSTITUTE(SUBSTITUTE(SUBSTITUTE(SUBSTITUTE(SUBSTITUTE(SUBSTITUTE(SUBSTITUTE(SUBSTITUTE(SUBSTITUTE(SUBSTITUTE(SUBSTITUTE(SUBSTITUTE(SUBSTITUTE(SUBSTITUTE(SUBSTITUTE(SUBSTITUTE(SUBSTITUTE(SUBSTITUTE(SUBSTITUTE(SUBSTITUTE(SUBSTITUTE(SUBSTITUTE(SUBSTITUTE(SUBSTITUTE(BM531,"b","a"),"c","a"),"d","a"),"e","a"),"f","a"),"g","a"),"h","a"),"i","a"),"j","a"),"k","a"),"l","a"),"m","a"),"n","a"),"o","a"),"p","a"),"q","a"),"r","a"),"s","a"),"t","a"),"u","a"),"v","a"),"w","a"),"x","a"),"y","a"),"z","a")</f>
        <v/>
      </c>
      <c r="BO531" s="61" t="str">
        <f aca="false">SUBSTITUTE(SUBSTITUTE(SUBSTITUTE(SUBSTITUTE(SUBSTITUTE(SUBSTITUTE(SUBSTITUTE(SUBSTITUTE(SUBSTITUTE(LOWER(W531&amp;""),"1","0"),"2","0"),"3","0"),"4","0"),"5","0"),"6","0"),"7","0"),"8","0"),"9","0")</f>
        <v/>
      </c>
      <c r="BP531" s="61" t="str">
        <f aca="false">SUBSTITUTE(SUBSTITUTE(SUBSTITUTE(SUBSTITUTE(SUBSTITUTE(SUBSTITUTE(SUBSTITUTE(SUBSTITUTE(SUBSTITUTE(SUBSTITUTE(SUBSTITUTE(SUBSTITUTE(SUBSTITUTE(SUBSTITUTE(SUBSTITUTE(SUBSTITUTE(SUBSTITUTE(SUBSTITUTE(SUBSTITUTE(SUBSTITUTE(SUBSTITUTE(SUBSTITUTE(SUBSTITUTE(SUBSTITUTE(SUBSTITUTE(BO531,"b","a"),"c","a"),"d","a"),"e","a"),"f","a"),"g","a"),"h","a"),"i","a"),"j","a"),"k","a"),"l","a"),"m","a"),"n","a"),"o","a"),"p","a"),"q","a"),"r","a"),"s","a"),"t","a"),"u","a"),"v","a"),"w","a"),"x","a"),"y","a"),"z","a")</f>
        <v/>
      </c>
      <c r="BQ531" s="61" t="n">
        <f aca="false">IFERROR(IF(AND(ISERROR(SEARCH(" mh"," "&amp;LOWER(W531))),ISNA(MATCH(LEFT(TRIM(BP531),255),{"0000a","000a","00a","0000aa","000aa","00aa","0aa","0000aaa","000aaa","00a00","0a00","0000-0000","00:00","a00","a0","00.00.0000","00/00/0000","00-00-0000","0000-00-00","0000/00/00","0000.00.00","00.00.00","00/00/00","00-00-00","0.00.0000","0/00/0000","0-00-0000"},0)),ISNA(MATCH(LEFT(TRIM(CA531),255),{"0000a","000a","00a","0000aa","000aa","00aa","0aa","0000aaa","000aaa","00a00","0a00","0000-0000","00:00","a00","a0","00.00.0000","00/00/0000","00-00-0000","0000-00-00","0000/00/00","0000.00.00","00.00.00","00/00/00","00-00-00","0.00.0000","0/00/0000","0-00-0000"},0)),LEN(CB531)&gt;=3,NOT(OR(SUBSTITUTE(CB531,"0","")="",AND(LEN(CB531)&gt;=4,CB531=REPT(LEFT(CB531),LEN(CB531))),ISNUMBER(MATCH(CB531,{"123","1234","12345","123456","1234567","12345678","0123","01234","012345","98765","987654","54321"},0)),AND(LEN(CB531)=8,LEFT(CB531,3)="202"))),OR(AND((LEN(CA531)-LEN(SUBSTITUTE(CA531,"a","")))&gt;=1,SUMPRODUCT(--ISNUMBER(SEARCH({"a0","a-0","a_0","a/0","a.0","a#0","0a","0-a","0_a","0/a"},BP531)))&gt;0),ISNUMBER(SEARCH("000000",BP531)))),1,0),0)</f>
        <v>0</v>
      </c>
      <c r="BR531" s="61" t="n">
        <f aca="false">IFERROR(LEN(SUBSTITUTE(CC531," ",""))-SUMPRODUCT((LEN(CC531)-LEN(SUBSTITUTE(CC531," "&amp;L_Role&amp;" "," ")))/(LEN(L_Role)+1)*LEN(L_Role)),0)</f>
        <v>0</v>
      </c>
      <c r="BS531" s="61" t="n">
        <f aca="false">IFERROR(LEN(SUBSTITUTE(CD531," ",""))-SUMPRODUCT((LEN(CD531)-LEN(SUBSTITUTE(CD531," "&amp;L_Role&amp;" "," ")))/(LEN(L_Role)+1)*LEN(L_Role)),0)</f>
        <v>0</v>
      </c>
      <c r="BT5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531,"revision",""),"version",""),"jan",""),"feb",""),"mar",""),"apr",""),"may",""),"jun",""),"jul",""),"aug",""),"sep",""),"oct",""),"nov",""),"dec",""),"utc",""),"gmt",""),"myt",""),"bst",""),"rev",""),"ver",""),"b","a"),"c","a"),"d","a"),"e","a"),"f","a"),"g","a"),"h","a"),"i","a"),"j","a"),"k","a"),"l","a"),"m","a"),"n","a"),"o","a"),"p","a"),"q","a"),"r","a"),"s","a"),"t","a"),"u","a"),"v","a"),"w","a"),"x","a"),"y","a"),"z","a")</f>
        <v/>
      </c>
      <c r="BU531" s="61" t="str">
        <f aca="false">SUBSTITUTE(SUBSTITUTE(SUBSTITUTE(SUBSTITUTE(SUBSTITUTE(SUBSTITUTE(SUBSTITUTE(SUBSTITUTE(SUBSTITUTE(SUBSTITUTE(LEFT(BM531,FIND("0",BM531&amp;"0")-1),"-",""),"_",""),"/",""),".",""),"#",""),"\\",""),":","")," ",""),"(",""),")","")</f>
        <v/>
      </c>
      <c r="BV531" s="61" t="n">
        <f aca="false">0</f>
        <v>0</v>
      </c>
      <c r="BW5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531&amp;""),"a",""),"b",""),"c",""),"d",""),"e",""),"f",""),"g",""),"h",""),"i",""),"j",""),"k",""),"l",""),"m",""),"n",""),"o",""),"p",""),"q",""),"r",""),"s",""),"t",""),"u",""),"v",""),"w",""),"x",""),"y",""),"z",""),"-",""),"_",""),"/",""),".",""),"#",""),"\\",""),":","")," ",""),"(",""),")","")</f>
        <v/>
      </c>
      <c r="BX531" s="61" t="str">
        <f aca="false">SUBSTITUTE(SUBSTITUTE(SUBSTITUTE(SUBSTITUTE(SUBSTITUTE(SUBSTITUTE(SUBSTITUTE(SUBSTITUTE(SUBSTITUTE(SUBSTITUTE(SUBSTITUTE(BM531,"0",""),"-",""),"_",""),"/",""),".",""),"#",""),"\\",""),":","")," ",""),"(",""),")","")</f>
        <v/>
      </c>
      <c r="BY531" s="62" t="n">
        <f aca="false">Q531-T7EarlyD*24/24</f>
        <v>46301.2847222222</v>
      </c>
      <c r="BZ531" s="61" t="n">
        <f aca="false">IFERROR(IF(IF(TRIM(S531)="Link / file path",AND(LEN(TRIM(Z531))&gt;=5,SUMPRODUCT(--ISNUMBER(SEARCH({"http","www.","\\",":\",".pdf",".jpg",".jpeg",".png",".heic",".xls",".doc",".msg",".eml",".ppt",".txt",".zip"},Z531)))&gt;0),AND(ISERROR(FIND(" ",TRIM(Z531))),NOT(OR(SUMPRODUCT(--ISNUMBER(FIND({",",";","&amp;","+"},Z531)))&gt;0,SUMPRODUCT(--ISNUMBER(SEARCH({"0/aa","0\\aa"},BN531)))&gt;0)),NOT(SUMPRODUCT(--ISNUMBER(SEARCH({"http","www.","\\",":\",".pdf",".jpg",".jpeg",".png",".heic",".xls",".doc",".msg",".eml",".ppt",".txt",".zip"},Z531)))&gt;0),NOT(LOWER(TRIM(Z531))=LOWER(Flights!$F$21)),ISNA(MATCH(BU531,{"mh","rev","revision","ver","version","v","r","a","b","seat","tray","row","gate","bay","stand","page","pg","item","line","no","cart","galley","flight","flt","table","box","bag","oven","etd","eta","std","sta","atd","ata","qty","pax","x","time","tel","ph","mob","day","wk","week","utc","gmt","myt","lt"},0)),NOT(OR(ISNUMBER(MATCH(LEFT(BN531,255),{"0000a","000a","00a","0000aa","000aa","00aa","0aa","0000aaa","000aaa","00a00","0a00","0000-0000","00:00","a00","a0","00.00.0000","00/00/0000","00-00-0000","0000-00-00","0000/00/00","0000.00.00","00.00.00","00/00/00","00-00-00","0.00.0000","0/00/0000","0-00-0000"},0)),ISNUMBER(MATCH(LEFT(BT531,255),{"0000a","000a","00a","0000aa","000aa","00aa","0aa","0000aaa","000aaa","00a00","0a00","0000-0000","00:00","a00","a0","00.00.0000","00/00/0000","00-00-0000","0000-00-00","0000/00/00","0000.00.00","00.00.00","00/00/00","00-00-00","0.00.0000","0/00/0000","0-00-0000"},0)))),NOT(OR(AND(BW531&lt;&gt;"",SUBSTITUTE(BW531,"0","")=""),AND(LEN(BW531)&gt;=4,BW531=REPT(LEFT(BW531),LEN(BW531))),ISNUMBER(MATCH(BW531,{"123","1234","12345","123456","1234567","12345678","0123","01234","012345","98765","987654","54321"},0)),ISNUMBER(MATCH(BX531,{"x","xx","xxx","xxxx","xxxxx","abc","abcd","nil","na","nan","test","tbc","tba","tbd","dummy","sample","example","eg","zz","zzz","none","null","xyz","qwe","asd","id","ref"},0)),AND(LEN(BW531)=8,BX531="",OR(LEFT(BW531,3)="202",ISNUMBER(MATCH(RIGHT(BW531,4),{"2025","2026","2027"},0)))))),OR(AND((LEN(BT531)-LEN(SUBSTITUTE(BT531,"a","")))&gt;=1,(LEN(BN531)-LEN(SUBSTITUTE(BN531,"0","")))&gt;=2,SUMPRODUCT(--ISNUMBER(SEARCH({"a0","a-0","a_0","a/0","a.0","a#0","0a","0-a","0_a","0/a"},BN531)))&gt;0),AND((LEN(BN531)-LEN(SUBSTITUTE(BN531,"a","")))=0,(LEN(BN531)-LEN(SUBSTITUTE(BN531,"0","")))&gt;=5)))),1,0),0)</f>
        <v>0</v>
      </c>
      <c r="CA5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531,"revision",""),"version",""),"jan",""),"feb",""),"mar",""),"apr",""),"may",""),"jun",""),"jul",""),"aug",""),"sep",""),"oct",""),"nov",""),"dec",""),"utc",""),"gmt",""),"myt",""),"bst",""),"rev",""),"ver",""),"b","a"),"c","a"),"d","a"),"e","a"),"f","a"),"g","a"),"h","a"),"i","a"),"j","a"),"k","a"),"l","a"),"m","a"),"n","a"),"o","a"),"p","a"),"q","a"),"r","a"),"s","a"),"t","a"),"u","a"),"v","a"),"w","a"),"x","a"),"y","a"),"z","a")</f>
        <v/>
      </c>
      <c r="CB5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531&amp;""),"a",""),"b",""),"c",""),"d",""),"e",""),"f",""),"g",""),"h",""),"i",""),"j",""),"k",""),"l",""),"m",""),"n",""),"o",""),"p",""),"q",""),"r",""),"s",""),"t",""),"u",""),"v",""),"w",""),"x",""),"y",""),"z",""),"-",""),"_",""),"/",""),".",""),"#",""),"\\",""),":","")," ",""),"(",""),")","")</f>
        <v/>
      </c>
      <c r="CC531" s="0" t="str">
        <f aca="false">" "&amp;TRIM(SUBSTITUTE(SUBSTITUTE(SUBSTITUTE(SUBSTITUTE(SUBSTITUTE(SUBSTITUTE(SUBSTITUTE(SUBSTITUTE(SUBSTITUTE(SUBSTITUTE(SUBSTITUTE(SUBSTITUTE(SUBSTITUTE(SUBSTITUTE(SUBSTITUTE(SUBSTITUTE(SUBSTITUTE(SUBSTITUTE(SUBSTITUTE(SUBSTITUTE(SUBSTITUTE(SUBSTITUTE(SUBSTITUTE(SUBSTITUTE(LOWER(T531&amp;""),CHAR(10)," "),CHAR(13)," "),CHAR(9)," "),CHAR(160)," "),"."," "),","," "),"-"," "),"/"," "),"("," "),")"," "),":"," "),";"," "),"_"," "),"–"," "),"?"," "),"!"," "),"*"," "),"["," "),"]"," "),"'"," "),"#"," "),"+"," "),"&amp;"," "),"\"," "))&amp;" "</f>
        <v>  </v>
      </c>
      <c r="CD531" s="0" t="str">
        <f aca="false">" "&amp;TRIM(SUBSTITUTE(SUBSTITUTE(SUBSTITUTE(SUBSTITUTE(SUBSTITUTE(SUBSTITUTE(SUBSTITUTE(SUBSTITUTE(SUBSTITUTE(SUBSTITUTE(SUBSTITUTE(SUBSTITUTE(SUBSTITUTE(SUBSTITUTE(SUBSTITUTE(SUBSTITUTE(SUBSTITUTE(SUBSTITUTE(SUBSTITUTE(SUBSTITUTE(SUBSTITUTE(SUBSTITUTE(SUBSTITUTE(SUBSTITUTE(LOWER(AE531&amp;""),CHAR(10)," "),CHAR(13)," "),CHAR(9)," "),CHAR(160)," "),"."," "),","," "),"-"," "),"/"," "),"("," "),")"," "),":"," "),";"," "),"_"," "),"–"," "),"?"," "),"!"," "),"*"," "),"["," "),"]"," "),"'"," "),"#"," "),"+"," "),"&amp;"," "),"\"," "))&amp;" "</f>
        <v>  </v>
      </c>
      <c r="CE531" s="68" t="n">
        <f aca="false">IFERROR(IF(AND(LEN(AU531)&gt;0,LEN(AU531)=LEN(AX531),OR(TRIM(MID(SUBSTITUTE(TRIM(CC531)," ",REPT(" ",60)),1,60))="",ISNUMBER(SEARCH(" "&amp;TRIM(MID(SUBSTITUTE(TRIM(CC531)," ",REPT(" ",60)),1,60))&amp;" ",CD531))),OR(TRIM(MID(SUBSTITUTE(TRIM(CC531)," ",REPT(" ",60)),61,60))="",ISNUMBER(SEARCH(" "&amp;TRIM(MID(SUBSTITUTE(TRIM(CC531)," ",REPT(" ",60)),61,60))&amp;" ",CD531))),OR(TRIM(MID(SUBSTITUTE(TRIM(CC531)," ",REPT(" ",60)),121,60))="",ISNUMBER(SEARCH(" "&amp;TRIM(MID(SUBSTITUTE(TRIM(CC531)," ",REPT(" ",60)),121,60))&amp;" ",CD531)))),1,0),0)</f>
        <v>0</v>
      </c>
      <c r="CG531" s="68" t="n">
        <f aca="false">IFERROR(LEN(SUBSTITUTE(BF531," ",""))-SUMPRODUCT((LEN(BF531)-LEN(SUBSTITUTE(BF531," "&amp;L_NAFiller&amp;" "," ")))/(LEN(L_NAFiller)+1)*LEN(L_NAFiller)),0)</f>
        <v>0</v>
      </c>
    </row>
    <row r="532" customFormat="false" ht="39.75" hidden="false" customHeight="true" outlineLevel="0" collapsed="false">
      <c r="A532" s="57" t="s">
        <v>1199</v>
      </c>
      <c r="B532" s="57" t="s">
        <v>290</v>
      </c>
      <c r="C532" s="57" t="str">
        <f aca="false">Flights!$F$21</f>
        <v>MH0073</v>
      </c>
      <c r="D532" s="58" t="n">
        <f aca="false">Flights!$D$21</f>
        <v>46322</v>
      </c>
      <c r="E532" s="57" t="str">
        <f aca="false">Flights!$G$21&amp;"-"&amp;Flights!$H$21</f>
        <v>HKG-KUL</v>
      </c>
      <c r="F532" s="57" t="str">
        <f aca="false">Flights!$K$21</f>
        <v>BC</v>
      </c>
      <c r="G532" s="57" t="s">
        <v>81</v>
      </c>
      <c r="H532" s="57" t="s">
        <v>378</v>
      </c>
      <c r="I532" s="57" t="s">
        <v>385</v>
      </c>
      <c r="J532" s="57" t="s">
        <v>386</v>
      </c>
      <c r="K532" s="67" t="s">
        <v>387</v>
      </c>
      <c r="L532" s="67" t="s">
        <v>382</v>
      </c>
      <c r="M532" s="67"/>
      <c r="N532" s="67" t="s">
        <v>383</v>
      </c>
      <c r="O532" s="67"/>
      <c r="P532" s="57" t="s">
        <v>282</v>
      </c>
      <c r="Q532" s="59" t="n">
        <f aca="false">ROUND((Flights!$AC$21)*1440,0)/1440</f>
        <v>46315.2847222222</v>
      </c>
      <c r="R532" s="59" t="n">
        <f aca="false">Q532+(IF(AND(INDEX(TZ_DSTS,MATCH(P532,TZ_STN,0))&lt;&gt;"",Q532&gt;=INDEX(TZ_DSTS,MATCH(P532,TZ_STN,0)),Q532&lt;INDEX(TZ_DSTE,MATCH(P532,TZ_STN,0))),INDEX(TZ_DST,MATCH(P532,TZ_STN,0)),INDEX(TZ_STD,MATCH(P532,TZ_STN,0))))/24</f>
        <v>46315.6180555556</v>
      </c>
      <c r="S532" s="60"/>
      <c r="T532" s="60"/>
      <c r="U532" s="60"/>
      <c r="V532" s="60"/>
      <c r="W532" s="61"/>
      <c r="X532" s="60"/>
      <c r="Y532" s="60"/>
      <c r="Z532" s="60"/>
      <c r="AA532" s="60"/>
      <c r="AB532" s="60"/>
      <c r="AC532" s="60"/>
      <c r="AD532" s="66"/>
      <c r="AE532" s="60"/>
      <c r="AF532" s="61" t="str">
        <f aca="false">IF(AND(ISNUMBER(X532),ISNUMBER(Y532)),Y532-X532,"")</f>
        <v/>
      </c>
      <c r="AG532" s="62" t="str">
        <f aca="false">IF(ISNUMBER(AD532),AD532-(IF(AND(INDEX(TZ_DSTS,MATCH(P532,TZ_STN,0))&lt;&gt;"",(AD532-INDEX(TZ_STD,MATCH(P532,TZ_STN,0))/24)&gt;=INDEX(TZ_DSTS,MATCH(P532,TZ_STN,0)),(AD532-INDEX(TZ_STD,MATCH(P532,TZ_STN,0))/24)&lt;INDEX(TZ_DSTE,MATCH(P532,TZ_STN,0))),INDEX(TZ_DST,MATCH(P532,TZ_STN,0)),INDEX(TZ_STD,MATCH(P532,TZ_STN,0))))/24,"")</f>
        <v/>
      </c>
      <c r="AH532" s="65" t="str">
        <f aca="false">IFERROR(IF(N532="N/A – rule",IF(OR(TRIM(U532)="",TRIM(U532)="N/A",TRIM(U532)="Not started"),"N/A – RULE","INVALID – this check does not apply to this aircraft: clear the status (or correct the fleet on Flights)"),IF(TRIM(U532)="N/A",IF(AT532=0,"INVALID – N/A not permitted for this check",IF(AND(TRIM(AB532)&lt;&gt;"",TRIM(AB532)&lt;&gt;"Closed"),"INVALID – corrective action still open",IF(AND(NOT(OR(LEN(AZ532)&lt;15,ISNUMBER(MATCH(AZ532,L_Placeholder,0)))),BK532=0,CG532&gt;=8,NOT(OR(LEN(AU532)&lt;2,ISNUMBER(MATCH(AU532,L_Placeholder,0)))),BR532&gt;=3,NOT(OR(LEN(AX532)&lt;2,ISNUMBER(MATCH(AX532,L_Placeholder,0)))),BS532&gt;=3,TRIM(AE532)&lt;&gt;TRIM(T532),AX532&lt;&gt;AU532,CE532=0),"N/A – JUSTIFIED","INVALID – N/A needs a real, settled reason (not 'not applicable' / 'as above' / TBC), a named PIC and a different named verifier"))),IF(OR(TRIM(U532)="Pass",TRIM(U532)="Pass after CA"),IF(NOT(ISNUMBER(AD532)),"INVALID – completion time missing",IF(OR(OR(LEN(AU532)&lt;2,ISNUMBER(MATCH(AU532,L_Placeholder,0))),BR532&lt;3),"INVALID – PIC missing or not a named person (a role such as QA / CSM is not a name)",IF(OR(LEN(AV532)&lt;2,ISNUMBER(MATCH(AV532,L_Placeholder,0))),"INVALID – result / assessment missing",IF(OR(OR(LEN(AW532)&lt;3,ISNUMBER(MATCH(AW532,L_Placeholder,0))),SUMPRODUCT(--ISNUMBER(SEARCH(" "&amp;L_EvidencePhrase&amp;" ",BD532)))&gt;0,BI532=1),"INVALID – evidence missing, placeholder or not yet on file",IF(ISNA(MATCH(TRIM(S532),L_EvidenceType,0)),"INVALID – choose the evidence type from the list (column S)",IF(BL532=0,"INVALID – evidence ID must be the record's own ID only (e.g. SF-2210, IMG_2231, 1045521); a link / file name needs type 'Link / file path'",IF(OR(OR(LEN(AX532)&lt;2,ISNUMBER(MATCH(AX532,L_Placeholder,0))),BS532&lt;3),"INVALID – verifier missing or not a named person (a role such as QA / CSM is not a name)",IF(OR(AX532=AU532,CE532=1,AND(LEN(AU532)&gt;=4,ISNUMBER(SEARCH(AU532,AX532))),AND(LEN(AX532)&gt;=4,ISNUMBER(SEARCH(AX532,AU532)))),"INVALID – verifier must be a different, named person (not the PIC or a role)",IF(BH532=1,"INVALID – result not yet available (awaiting / TBC)",IF(BG532=1,"INVALID – result describes a problem: record Fail, then Pass after CA (or reword if it is not a problem)",IF(BV532=1,"INVALID – wording says not on board: an on-board confirmation needs the item loaded",IF(AND(AQ532=1,OR(OR(LEN(AY532)&lt;3,ISNUMBER(MATCH(AY532,L_Placeholder,0))),BJ532=1,BQ532=0)),"INVALID – batch ID missing, placeholder or not an ID (e.g. PASB-261008-BC-017)",IF(AND(AR532=1,OR(NOT(ISNUMBER(X532)),NOT(ISNUMBER(Y532)))),"INVALID – expected/actual qty missing",IF(AND(AR532=1,OR(X532&lt;=0,Y532&lt;0)),"INVALID – expected qty must be above 0 and actual not negative",IF(BB532&lt;&gt;"",BB532,IF(AND(AS532=1,Documents!$J$21&lt;&gt;"ON FILE"),"INVALID – GLD not on file (Documents sheet)",IF(AND(AS532=2,Documents!$O$21&lt;&gt;"ON FILE"),"INVALID – menu checklist not on file (Documents sheet)",IF(AND(AS532=3,NOT(ISNUMBER(Flights!$AX$21))),"INVALID – enter carrying flight KUL departure (Flights AX)",IF(AND(AS532=3,OR(Flights!$AZ$21&gt;Flights!$AA$21,Flights!$AX$21&lt;Flights!$AA$21-3)),"INVALID – carrying flight (Flights AX) cannot arrive before this leg's STD, or is over 3 days early",IF(AG532&gt;AsOfUTC,"INVALID – completion time is in the future",IF(AND(ISNUMBER(BY532),AG532&lt;BY532),IF(H532="Physical uplift","INVALID – before uplift window (cannot confirm loading)","INVALID – before valid window"),IF(AG532&gt;Flights!$AA$21,"INVALID – completed after departure (cannot establish readiness)",IF(AND(H532="Preparation",AG532&gt;=IF(ISNUMBER(Flights!$BA$21),MIN(Flights!$BA$21,Flights!$AA$21),Flights!$AA$21)),"INVALID – completed after loading / departure (cannot establish readiness)",IF(AND(H532="Physical uplift",AG532&gt;Q532),"INVALID – recorded after the loading flight departed",IF(AG532&gt;Q532,"COMPLETE – LATE","COMPLETE"))))))))))))))))))))))))),IF(TRIM(U532)="Fail","FAIL – DISCREPANCY",IF(AND(TRIM(U532)&lt;&gt;"",TRIM(U532)&lt;&gt;"Not started",TRIM(U532)&lt;&gt;"In progress"),"INVALID – unrecognised status (use the list)",IF(AsOfUTC&gt;Q532,"OVERDUE",IF(N532="Clarification required","OPEN – CLARIFICATION","OPEN"))))))),"INVALID – error value in an input cell")</f>
        <v>OPEN</v>
      </c>
      <c r="AI532" s="61" t="n">
        <f aca="false">IF(OR(AH532="N/A – RULE",AH532="N/A – JUSTIFIED"),0,1)</f>
        <v>1</v>
      </c>
      <c r="AJ532" s="61" t="n">
        <f aca="false">IF(LEFT(AH532,8)="COMPLETE",1,0)</f>
        <v>0</v>
      </c>
      <c r="AK532" s="61" t="n">
        <f aca="false">IF(AND(AI532=1,AJ532=0,AsOfUTC&gt;Q532),1,0)</f>
        <v>0</v>
      </c>
      <c r="AL532" s="61" t="n">
        <f aca="false">IFERROR(IF(AND(AI532=1,OR(TRIM(U532)="Fail",AND(TRIM(AB532)&lt;&gt;"",TRIM(AB532)&lt;&gt;"Closed"),AND(ISNUMBER(AF532),AF532&lt;&gt;0,TRIM(U532)&lt;&gt;"Pass after CA"))),1,0),1)</f>
        <v>0</v>
      </c>
      <c r="AM532" s="61" t="n">
        <f aca="false">IF(LEFT(AH532,7)="INVALID",1,0)</f>
        <v>0</v>
      </c>
      <c r="AN532" s="61" t="n">
        <f aca="false">IF(AND(N532="Clarification required",AI532=1,AJ532=0),1,0)</f>
        <v>0</v>
      </c>
      <c r="AO532" s="61" t="str">
        <f aca="false">IF(AK532=1,SUM(AK$5:AK532),"")</f>
        <v/>
      </c>
      <c r="AP532" s="61" t="str">
        <f aca="false">IF(AL532=1,SUM(AL$5:AL532),"")</f>
        <v/>
      </c>
      <c r="AQ532" s="61" t="n">
        <v>0</v>
      </c>
      <c r="AR532" s="61" t="n">
        <v>0</v>
      </c>
      <c r="AS532" s="61" t="n">
        <v>0</v>
      </c>
      <c r="AT532" s="61" t="n">
        <v>0</v>
      </c>
      <c r="AU532" s="61" t="str">
        <f aca="false">SUBSTITUTE(SUBSTITUTE(SUBSTITUTE(SUBSTITUTE(SUBSTITUTE(SUBSTITUTE(SUBSTITUTE(SUBSTITUTE(SUBSTITUTE(SUBSTITUTE(SUBSTITUTE(SUBSTITUTE(SUBSTITUTE(SUBSTITUTE(SUBSTITUTE(SUBSTITUTE(LOWER(T532&amp;""),CHAR(10),""),CHAR(13),""),CHAR(9),""),CHAR(160),"")," ",""),".",""),"-",""),"/",""),"?",""),"_",""),",",""),"[",""),"]",""),"(",""),")",""),"*","")</f>
        <v/>
      </c>
      <c r="AV532" s="61" t="str">
        <f aca="false">SUBSTITUTE(SUBSTITUTE(SUBSTITUTE(SUBSTITUTE(SUBSTITUTE(SUBSTITUTE(SUBSTITUTE(SUBSTITUTE(SUBSTITUTE(SUBSTITUTE(SUBSTITUTE(SUBSTITUTE(SUBSTITUTE(SUBSTITUTE(SUBSTITUTE(SUBSTITUTE(LOWER(V532&amp;""),CHAR(10),""),CHAR(13),""),CHAR(9),""),CHAR(160),"")," ",""),".",""),"-",""),"/",""),"?",""),"_",""),",",""),"[",""),"]",""),"(",""),")",""),"*","")</f>
        <v/>
      </c>
      <c r="AW532" s="61" t="str">
        <f aca="false">SUBSTITUTE(SUBSTITUTE(SUBSTITUTE(SUBSTITUTE(SUBSTITUTE(SUBSTITUTE(SUBSTITUTE(SUBSTITUTE(SUBSTITUTE(SUBSTITUTE(SUBSTITUTE(SUBSTITUTE(SUBSTITUTE(SUBSTITUTE(SUBSTITUTE(SUBSTITUTE(LOWER(Z532&amp;""),CHAR(10),""),CHAR(13),""),CHAR(9),""),CHAR(160),"")," ",""),".",""),"-",""),"/",""),"?",""),"_",""),",",""),"[",""),"]",""),"(",""),")",""),"*","")</f>
        <v/>
      </c>
      <c r="AX532" s="61" t="str">
        <f aca="false">SUBSTITUTE(SUBSTITUTE(SUBSTITUTE(SUBSTITUTE(SUBSTITUTE(SUBSTITUTE(SUBSTITUTE(SUBSTITUTE(SUBSTITUTE(SUBSTITUTE(SUBSTITUTE(SUBSTITUTE(SUBSTITUTE(SUBSTITUTE(SUBSTITUTE(SUBSTITUTE(LOWER(AE532&amp;""),CHAR(10),""),CHAR(13),""),CHAR(9),""),CHAR(160),"")," ",""),".",""),"-",""),"/",""),"?",""),"_",""),",",""),"[",""),"]",""),"(",""),")",""),"*","")</f>
        <v/>
      </c>
      <c r="AY532" s="61" t="str">
        <f aca="false">SUBSTITUTE(SUBSTITUTE(SUBSTITUTE(SUBSTITUTE(SUBSTITUTE(SUBSTITUTE(SUBSTITUTE(SUBSTITUTE(SUBSTITUTE(SUBSTITUTE(SUBSTITUTE(SUBSTITUTE(SUBSTITUTE(SUBSTITUTE(SUBSTITUTE(SUBSTITUTE(LOWER(W532&amp;""),CHAR(10),""),CHAR(13),""),CHAR(9),""),CHAR(160),"")," ",""),".",""),"-",""),"/",""),"?",""),"_",""),",",""),"[",""),"]",""),"(",""),")",""),"*","")</f>
        <v/>
      </c>
      <c r="AZ532" s="61" t="str">
        <f aca="false">SUBSTITUTE(SUBSTITUTE(SUBSTITUTE(SUBSTITUTE(SUBSTITUTE(SUBSTITUTE(SUBSTITUTE(SUBSTITUTE(SUBSTITUTE(SUBSTITUTE(SUBSTITUTE(SUBSTITUTE(SUBSTITUTE(SUBSTITUTE(SUBSTITUTE(SUBSTITUTE(LOWER(AC532&amp;""),CHAR(10),""),CHAR(13),""),CHAR(9),""),CHAR(160),"")," ",""),".",""),"-",""),"/",""),"?",""),"_",""),",",""),"[",""),"]",""),"(",""),")",""),"*","")</f>
        <v/>
      </c>
      <c r="BA532" s="61" t="str">
        <f aca="false">SUBSTITUTE(SUBSTITUTE(SUBSTITUTE(SUBSTITUTE(SUBSTITUTE(SUBSTITUTE(SUBSTITUTE(SUBSTITUTE(SUBSTITUTE(SUBSTITUTE(SUBSTITUTE(SUBSTITUTE(SUBSTITUTE(SUBSTITUTE(SUBSTITUTE(SUBSTITUTE(LOWER(AA532&amp;""),CHAR(10),""),CHAR(13),""),CHAR(9),""),CHAR(160),"")," ",""),".",""),"-",""),"/",""),"?",""),"_",""),",",""),"[",""),"]",""),"(",""),")",""),"*","")</f>
        <v/>
      </c>
      <c r="BB532" s="61" t="str">
        <f aca="false">IF(AND(TRIM(U532)="Pass",ISNUMBER(AF532)),IF(AF532&lt;&gt;0,"INVALID – qty variance: use Fail or Pass after CA",""),"")&amp;IF(AND(TRIM(U532)="Pass after CA",ISNUMBER(AF532)),IF(AF532&lt;&gt;0,"INVALID – after the corrective action the actual qty must equal expected (update Actual)",""),"")&amp;IF(AND(TRIM(U532)="Pass",TRIM(AB532)&lt;&gt;"",TRIM(AB532)&lt;&gt;"Closed"),"INVALID – corrective action not closed: use Fail, then Pass after CA","")&amp;IF(AND(LEN(BA532)&gt;=2,ISNA(MATCH(LEFT(BA532,255),L_Placeholder,0)),TRIM(AB532)=""),"INVALID – CA status missing for the recorded corrective action","")&amp;IF(AND(TRIM(U532)="Pass after CA",OR(OR(LEN(BA532)&lt;5,ISNUMBER(MATCH(BA532,L_Placeholder,0))),TRIM(AB532)&lt;&gt;"Closed")),"INVALID – corrective action not recorded/closed","")</f>
        <v/>
      </c>
      <c r="BC532" s="61" t="str">
        <f aca="false">" "&amp;TRIM(SUBSTITUTE(SUBSTITUTE(SUBSTITUTE(SUBSTITUTE(SUBSTITUTE(SUBSTITUTE(SUBSTITUTE(SUBSTITUTE(SUBSTITUTE(SUBSTITUTE(SUBSTITUTE(SUBSTITUTE(SUBSTITUTE(SUBSTITUTE(SUBSTITUTE(SUBSTITUTE(SUBSTITUTE(SUBSTITUTE(SUBSTITUTE(SUBSTITUTE(SUBSTITUTE(SUBSTITUTE(SUBSTITUTE(SUBSTITUTE(LOWER(V532&amp;""),CHAR(10)," "),CHAR(13)," "),CHAR(9)," "),CHAR(160)," "),"."," "),","," "),"-"," "),"/"," "),"("," "),")"," "),":"," "),";"," "),"_"," "),"–"," "),"?"," "),"!"," "),"*"," "),"["," "),"]"," "),"'"," "),"#"," "),"+"," "),"&amp;"," "),"\"," "))&amp;" "</f>
        <v>  </v>
      </c>
      <c r="BD532" s="61" t="str">
        <f aca="false">" "&amp;TRIM(SUBSTITUTE(SUBSTITUTE(SUBSTITUTE(SUBSTITUTE(SUBSTITUTE(SUBSTITUTE(SUBSTITUTE(SUBSTITUTE(SUBSTITUTE(SUBSTITUTE(SUBSTITUTE(SUBSTITUTE(SUBSTITUTE(SUBSTITUTE(SUBSTITUTE(SUBSTITUTE(SUBSTITUTE(SUBSTITUTE(SUBSTITUTE(SUBSTITUTE(SUBSTITUTE(SUBSTITUTE(SUBSTITUTE(SUBSTITUTE(LOWER(Z532&amp;""),CHAR(10)," "),CHAR(13)," "),CHAR(9)," "),CHAR(160)," "),"."," "),","," "),"-"," "),"/"," "),"("," "),")"," "),":"," "),";"," "),"_"," "),"–"," "),"?"," "),"!"," "),"*"," "),"["," "),"]"," "),"'"," "),"#"," "),"+"," "),"&amp;"," "),"\"," "))&amp;" "</f>
        <v>  </v>
      </c>
      <c r="BE532" s="61" t="str">
        <f aca="false">" "&amp;TRIM(SUBSTITUTE(SUBSTITUTE(SUBSTITUTE(SUBSTITUTE(SUBSTITUTE(SUBSTITUTE(SUBSTITUTE(SUBSTITUTE(SUBSTITUTE(SUBSTITUTE(SUBSTITUTE(SUBSTITUTE(SUBSTITUTE(SUBSTITUTE(SUBSTITUTE(SUBSTITUTE(SUBSTITUTE(SUBSTITUTE(SUBSTITUTE(SUBSTITUTE(SUBSTITUTE(SUBSTITUTE(SUBSTITUTE(SUBSTITUTE(LOWER(W532&amp;""),CHAR(10)," "),CHAR(13)," "),CHAR(9)," "),CHAR(160)," "),"."," "),","," "),"-"," "),"/"," "),"("," "),")"," "),":"," "),";"," "),"_"," "),"–"," "),"?"," "),"!"," "),"*"," "),"["," "),"]"," "),"'"," "),"#"," "),"+"," "),"&amp;"," "),"\"," "))&amp;" "</f>
        <v>  </v>
      </c>
      <c r="BF532" s="61" t="str">
        <f aca="false">" "&amp;TRIM(SUBSTITUTE(SUBSTITUTE(SUBSTITUTE(SUBSTITUTE(SUBSTITUTE(SUBSTITUTE(SUBSTITUTE(SUBSTITUTE(SUBSTITUTE(SUBSTITUTE(SUBSTITUTE(SUBSTITUTE(SUBSTITUTE(SUBSTITUTE(SUBSTITUTE(SUBSTITUTE(SUBSTITUTE(SUBSTITUTE(SUBSTITUTE(SUBSTITUTE(SUBSTITUTE(SUBSTITUTE(SUBSTITUTE(SUBSTITUTE(LOWER(AC532&amp;""),CHAR(10)," "),CHAR(13)," "),CHAR(9)," "),CHAR(160)," "),"."," "),","," "),"-"," "),"/"," "),"("," "),")"," "),":"," "),";"," "),"_"," "),"–"," "),"?"," "),"!"," "),"*"," "),"["," "),"]"," "),"'"," "),"#"," "),"+"," "),"&amp;"," "),"\"," "))&amp;" "</f>
        <v>  </v>
      </c>
      <c r="BG532" s="61" t="n">
        <f aca="false">IFERROR(IF(AND(TRIM(U532)="Pass",SUMPRODUCT((LEN(BC532)-LEN(SUBSTITUTE(BC532," "&amp;L_ResultBad&amp;" "," ")))/(LEN(L_ResultBad)+1))&gt;SUMPRODUCT((LEN(BC532)-LEN(SUBSTITUTE(BC532," "&amp;L_NegPhrase&amp;" "," ")))/(LEN(L_NegPhrase)+1))),1,0),0)</f>
        <v>0</v>
      </c>
      <c r="BH532" s="61" t="n">
        <f aca="false">IFERROR(IF(SUMPRODUCT((LEN(BC532)-LEN(SUBSTITUTE(BC532," "&amp;L_Pending&amp;" "," ")))/(LEN(L_Pending)+1))&gt;SUMPRODUCT((LEN(BC532)-LEN(SUBSTITUTE(BC532," "&amp;L_PendNeg&amp;" "," ")))/(LEN(L_PendNeg)+1))+SUMPRODUCT((LEN(BC532)-LEN(SUBSTITUTE(BC532," "&amp;L_PendPrep&amp;" "," ")))/(LEN(L_PendPrep)+1)),1,0),1)</f>
        <v>0</v>
      </c>
      <c r="BI532" s="61" t="n">
        <f aca="false">IFERROR(IF(SUMPRODUCT((LEN(BD532)-LEN(SUBSTITUTE(BD532," "&amp;L_PendStrict&amp;" "," ")))/(LEN(L_PendStrict)+1))&gt;SUMPRODUCT((LEN(BD532)-LEN(SUBSTITUTE(BD532," "&amp;L_PendNeg&amp;" "," ")))/(LEN(L_PendNeg)+1)),1,0),1)</f>
        <v>0</v>
      </c>
      <c r="BJ532" s="61" t="n">
        <f aca="false">IFERROR(IF(SUMPRODUCT((LEN(BE532)-LEN(SUBSTITUTE(BE532," "&amp;L_Pending&amp;" "," ")))/(LEN(L_Pending)+1))&gt;SUMPRODUCT((LEN(BE532)-LEN(SUBSTITUTE(BE532," "&amp;L_PendNeg&amp;" "," ")))/(LEN(L_PendNeg)+1))+SUMPRODUCT((LEN(BE532)-LEN(SUBSTITUTE(BE532," "&amp;L_PendPrep&amp;" "," ")))/(LEN(L_PendPrep)+1)),1,0),1)</f>
        <v>0</v>
      </c>
      <c r="BK532" s="61" t="n">
        <f aca="false">IFERROR(IF(SUMPRODUCT((LEN(BF532)-LEN(SUBSTITUTE(BF532," "&amp;L_PendStrict&amp;" "," ")))/(LEN(L_PendStrict)+1))&gt;SUMPRODUCT((LEN(BF532)-LEN(SUBSTITUTE(BF532," "&amp;L_PendNeg&amp;" "," ")))/(LEN(L_PendNeg)+1)),1,0),1)</f>
        <v>0</v>
      </c>
      <c r="BL532" s="61" t="n">
        <f aca="false">IF(ISNA(MATCH(TRIM(S532),L_EvidenceType,0)),0,BZ532)</f>
        <v>0</v>
      </c>
      <c r="BM532" s="61" t="str">
        <f aca="false">SUBSTITUTE(SUBSTITUTE(SUBSTITUTE(SUBSTITUTE(SUBSTITUTE(SUBSTITUTE(SUBSTITUTE(SUBSTITUTE(SUBSTITUTE(LOWER(Z532&amp;""),"1","0"),"2","0"),"3","0"),"4","0"),"5","0"),"6","0"),"7","0"),"8","0"),"9","0")</f>
        <v/>
      </c>
      <c r="BN532" s="61" t="str">
        <f aca="false">SUBSTITUTE(SUBSTITUTE(SUBSTITUTE(SUBSTITUTE(SUBSTITUTE(SUBSTITUTE(SUBSTITUTE(SUBSTITUTE(SUBSTITUTE(SUBSTITUTE(SUBSTITUTE(SUBSTITUTE(SUBSTITUTE(SUBSTITUTE(SUBSTITUTE(SUBSTITUTE(SUBSTITUTE(SUBSTITUTE(SUBSTITUTE(SUBSTITUTE(SUBSTITUTE(SUBSTITUTE(SUBSTITUTE(SUBSTITUTE(SUBSTITUTE(BM532,"b","a"),"c","a"),"d","a"),"e","a"),"f","a"),"g","a"),"h","a"),"i","a"),"j","a"),"k","a"),"l","a"),"m","a"),"n","a"),"o","a"),"p","a"),"q","a"),"r","a"),"s","a"),"t","a"),"u","a"),"v","a"),"w","a"),"x","a"),"y","a"),"z","a")</f>
        <v/>
      </c>
      <c r="BO532" s="61" t="str">
        <f aca="false">SUBSTITUTE(SUBSTITUTE(SUBSTITUTE(SUBSTITUTE(SUBSTITUTE(SUBSTITUTE(SUBSTITUTE(SUBSTITUTE(SUBSTITUTE(LOWER(W532&amp;""),"1","0"),"2","0"),"3","0"),"4","0"),"5","0"),"6","0"),"7","0"),"8","0"),"9","0")</f>
        <v/>
      </c>
      <c r="BP532" s="61" t="str">
        <f aca="false">SUBSTITUTE(SUBSTITUTE(SUBSTITUTE(SUBSTITUTE(SUBSTITUTE(SUBSTITUTE(SUBSTITUTE(SUBSTITUTE(SUBSTITUTE(SUBSTITUTE(SUBSTITUTE(SUBSTITUTE(SUBSTITUTE(SUBSTITUTE(SUBSTITUTE(SUBSTITUTE(SUBSTITUTE(SUBSTITUTE(SUBSTITUTE(SUBSTITUTE(SUBSTITUTE(SUBSTITUTE(SUBSTITUTE(SUBSTITUTE(SUBSTITUTE(BO532,"b","a"),"c","a"),"d","a"),"e","a"),"f","a"),"g","a"),"h","a"),"i","a"),"j","a"),"k","a"),"l","a"),"m","a"),"n","a"),"o","a"),"p","a"),"q","a"),"r","a"),"s","a"),"t","a"),"u","a"),"v","a"),"w","a"),"x","a"),"y","a"),"z","a")</f>
        <v/>
      </c>
      <c r="BQ532" s="61" t="n">
        <f aca="false">IFERROR(IF(AND(ISERROR(SEARCH(" mh"," "&amp;LOWER(W532))),ISNA(MATCH(LEFT(TRIM(BP532),255),{"0000a","000a","00a","0000aa","000aa","00aa","0aa","0000aaa","000aaa","00a00","0a00","0000-0000","00:00","a00","a0","00.00.0000","00/00/0000","00-00-0000","0000-00-00","0000/00/00","0000.00.00","00.00.00","00/00/00","00-00-00","0.00.0000","0/00/0000","0-00-0000"},0)),ISNA(MATCH(LEFT(TRIM(CA532),255),{"0000a","000a","00a","0000aa","000aa","00aa","0aa","0000aaa","000aaa","00a00","0a00","0000-0000","00:00","a00","a0","00.00.0000","00/00/0000","00-00-0000","0000-00-00","0000/00/00","0000.00.00","00.00.00","00/00/00","00-00-00","0.00.0000","0/00/0000","0-00-0000"},0)),LEN(CB532)&gt;=3,NOT(OR(SUBSTITUTE(CB532,"0","")="",AND(LEN(CB532)&gt;=4,CB532=REPT(LEFT(CB532),LEN(CB532))),ISNUMBER(MATCH(CB532,{"123","1234","12345","123456","1234567","12345678","0123","01234","012345","98765","987654","54321"},0)),AND(LEN(CB532)=8,LEFT(CB532,3)="202"))),OR(AND((LEN(CA532)-LEN(SUBSTITUTE(CA532,"a","")))&gt;=1,SUMPRODUCT(--ISNUMBER(SEARCH({"a0","a-0","a_0","a/0","a.0","a#0","0a","0-a","0_a","0/a"},BP532)))&gt;0),ISNUMBER(SEARCH("000000",BP532)))),1,0),0)</f>
        <v>0</v>
      </c>
      <c r="BR532" s="61" t="n">
        <f aca="false">IFERROR(LEN(SUBSTITUTE(CC532," ",""))-SUMPRODUCT((LEN(CC532)-LEN(SUBSTITUTE(CC532," "&amp;L_Role&amp;" "," ")))/(LEN(L_Role)+1)*LEN(L_Role)),0)</f>
        <v>0</v>
      </c>
      <c r="BS532" s="61" t="n">
        <f aca="false">IFERROR(LEN(SUBSTITUTE(CD532," ",""))-SUMPRODUCT((LEN(CD532)-LEN(SUBSTITUTE(CD532," "&amp;L_Role&amp;" "," ")))/(LEN(L_Role)+1)*LEN(L_Role)),0)</f>
        <v>0</v>
      </c>
      <c r="BT5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532,"revision",""),"version",""),"jan",""),"feb",""),"mar",""),"apr",""),"may",""),"jun",""),"jul",""),"aug",""),"sep",""),"oct",""),"nov",""),"dec",""),"utc",""),"gmt",""),"myt",""),"bst",""),"rev",""),"ver",""),"b","a"),"c","a"),"d","a"),"e","a"),"f","a"),"g","a"),"h","a"),"i","a"),"j","a"),"k","a"),"l","a"),"m","a"),"n","a"),"o","a"),"p","a"),"q","a"),"r","a"),"s","a"),"t","a"),"u","a"),"v","a"),"w","a"),"x","a"),"y","a"),"z","a")</f>
        <v/>
      </c>
      <c r="BU532" s="61" t="str">
        <f aca="false">SUBSTITUTE(SUBSTITUTE(SUBSTITUTE(SUBSTITUTE(SUBSTITUTE(SUBSTITUTE(SUBSTITUTE(SUBSTITUTE(SUBSTITUTE(SUBSTITUTE(LEFT(BM532,FIND("0",BM532&amp;"0")-1),"-",""),"_",""),"/",""),".",""),"#",""),"\\",""),":","")," ",""),"(",""),")","")</f>
        <v/>
      </c>
      <c r="BV532" s="61" t="n">
        <f aca="false">0</f>
        <v>0</v>
      </c>
      <c r="BW5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532&amp;""),"a",""),"b",""),"c",""),"d",""),"e",""),"f",""),"g",""),"h",""),"i",""),"j",""),"k",""),"l",""),"m",""),"n",""),"o",""),"p",""),"q",""),"r",""),"s",""),"t",""),"u",""),"v",""),"w",""),"x",""),"y",""),"z",""),"-",""),"_",""),"/",""),".",""),"#",""),"\\",""),":","")," ",""),"(",""),")","")</f>
        <v/>
      </c>
      <c r="BX532" s="61" t="str">
        <f aca="false">SUBSTITUTE(SUBSTITUTE(SUBSTITUTE(SUBSTITUTE(SUBSTITUTE(SUBSTITUTE(SUBSTITUTE(SUBSTITUTE(SUBSTITUTE(SUBSTITUTE(SUBSTITUTE(BM532,"0",""),"-",""),"_",""),"/",""),".",""),"#",""),"\\",""),":","")," ",""),"(",""),")","")</f>
        <v/>
      </c>
      <c r="BY532" s="62" t="n">
        <f aca="false">Q532-T7EarlyD*24/24</f>
        <v>46301.2847222222</v>
      </c>
      <c r="BZ532" s="61" t="n">
        <f aca="false">IFERROR(IF(IF(TRIM(S532)="Link / file path",AND(LEN(TRIM(Z532))&gt;=5,SUMPRODUCT(--ISNUMBER(SEARCH({"http","www.","\\",":\",".pdf",".jpg",".jpeg",".png",".heic",".xls",".doc",".msg",".eml",".ppt",".txt",".zip"},Z532)))&gt;0),AND(ISERROR(FIND(" ",TRIM(Z532))),NOT(OR(SUMPRODUCT(--ISNUMBER(FIND({",",";","&amp;","+"},Z532)))&gt;0,SUMPRODUCT(--ISNUMBER(SEARCH({"0/aa","0\\aa"},BN532)))&gt;0)),NOT(SUMPRODUCT(--ISNUMBER(SEARCH({"http","www.","\\",":\",".pdf",".jpg",".jpeg",".png",".heic",".xls",".doc",".msg",".eml",".ppt",".txt",".zip"},Z532)))&gt;0),NOT(LOWER(TRIM(Z532))=LOWER(Flights!$F$21)),ISNA(MATCH(BU532,{"mh","rev","revision","ver","version","v","r","a","b","seat","tray","row","gate","bay","stand","page","pg","item","line","no","cart","galley","flight","flt","table","box","bag","oven","etd","eta","std","sta","atd","ata","qty","pax","x","time","tel","ph","mob","day","wk","week","utc","gmt","myt","lt"},0)),NOT(OR(ISNUMBER(MATCH(LEFT(BN532,255),{"0000a","000a","00a","0000aa","000aa","00aa","0aa","0000aaa","000aaa","00a00","0a00","0000-0000","00:00","a00","a0","00.00.0000","00/00/0000","00-00-0000","0000-00-00","0000/00/00","0000.00.00","00.00.00","00/00/00","00-00-00","0.00.0000","0/00/0000","0-00-0000"},0)),ISNUMBER(MATCH(LEFT(BT532,255),{"0000a","000a","00a","0000aa","000aa","00aa","0aa","0000aaa","000aaa","00a00","0a00","0000-0000","00:00","a00","a0","00.00.0000","00/00/0000","00-00-0000","0000-00-00","0000/00/00","0000.00.00","00.00.00","00/00/00","00-00-00","0.00.0000","0/00/0000","0-00-0000"},0)))),NOT(OR(AND(BW532&lt;&gt;"",SUBSTITUTE(BW532,"0","")=""),AND(LEN(BW532)&gt;=4,BW532=REPT(LEFT(BW532),LEN(BW532))),ISNUMBER(MATCH(BW532,{"123","1234","12345","123456","1234567","12345678","0123","01234","012345","98765","987654","54321"},0)),ISNUMBER(MATCH(BX532,{"x","xx","xxx","xxxx","xxxxx","abc","abcd","nil","na","nan","test","tbc","tba","tbd","dummy","sample","example","eg","zz","zzz","none","null","xyz","qwe","asd","id","ref"},0)),AND(LEN(BW532)=8,BX532="",OR(LEFT(BW532,3)="202",ISNUMBER(MATCH(RIGHT(BW532,4),{"2025","2026","2027"},0)))))),OR(AND((LEN(BT532)-LEN(SUBSTITUTE(BT532,"a","")))&gt;=1,(LEN(BN532)-LEN(SUBSTITUTE(BN532,"0","")))&gt;=2,SUMPRODUCT(--ISNUMBER(SEARCH({"a0","a-0","a_0","a/0","a.0","a#0","0a","0-a","0_a","0/a"},BN532)))&gt;0),AND((LEN(BN532)-LEN(SUBSTITUTE(BN532,"a","")))=0,(LEN(BN532)-LEN(SUBSTITUTE(BN532,"0","")))&gt;=5)))),1,0),0)</f>
        <v>0</v>
      </c>
      <c r="CA5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532,"revision",""),"version",""),"jan",""),"feb",""),"mar",""),"apr",""),"may",""),"jun",""),"jul",""),"aug",""),"sep",""),"oct",""),"nov",""),"dec",""),"utc",""),"gmt",""),"myt",""),"bst",""),"rev",""),"ver",""),"b","a"),"c","a"),"d","a"),"e","a"),"f","a"),"g","a"),"h","a"),"i","a"),"j","a"),"k","a"),"l","a"),"m","a"),"n","a"),"o","a"),"p","a"),"q","a"),"r","a"),"s","a"),"t","a"),"u","a"),"v","a"),"w","a"),"x","a"),"y","a"),"z","a")</f>
        <v/>
      </c>
      <c r="CB5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532&amp;""),"a",""),"b",""),"c",""),"d",""),"e",""),"f",""),"g",""),"h",""),"i",""),"j",""),"k",""),"l",""),"m",""),"n",""),"o",""),"p",""),"q",""),"r",""),"s",""),"t",""),"u",""),"v",""),"w",""),"x",""),"y",""),"z",""),"-",""),"_",""),"/",""),".",""),"#",""),"\\",""),":","")," ",""),"(",""),")","")</f>
        <v/>
      </c>
      <c r="CC532" s="0" t="str">
        <f aca="false">" "&amp;TRIM(SUBSTITUTE(SUBSTITUTE(SUBSTITUTE(SUBSTITUTE(SUBSTITUTE(SUBSTITUTE(SUBSTITUTE(SUBSTITUTE(SUBSTITUTE(SUBSTITUTE(SUBSTITUTE(SUBSTITUTE(SUBSTITUTE(SUBSTITUTE(SUBSTITUTE(SUBSTITUTE(SUBSTITUTE(SUBSTITUTE(SUBSTITUTE(SUBSTITUTE(SUBSTITUTE(SUBSTITUTE(SUBSTITUTE(SUBSTITUTE(LOWER(T532&amp;""),CHAR(10)," "),CHAR(13)," "),CHAR(9)," "),CHAR(160)," "),"."," "),","," "),"-"," "),"/"," "),"("," "),")"," "),":"," "),";"," "),"_"," "),"–"," "),"?"," "),"!"," "),"*"," "),"["," "),"]"," "),"'"," "),"#"," "),"+"," "),"&amp;"," "),"\"," "))&amp;" "</f>
        <v>  </v>
      </c>
      <c r="CD532" s="0" t="str">
        <f aca="false">" "&amp;TRIM(SUBSTITUTE(SUBSTITUTE(SUBSTITUTE(SUBSTITUTE(SUBSTITUTE(SUBSTITUTE(SUBSTITUTE(SUBSTITUTE(SUBSTITUTE(SUBSTITUTE(SUBSTITUTE(SUBSTITUTE(SUBSTITUTE(SUBSTITUTE(SUBSTITUTE(SUBSTITUTE(SUBSTITUTE(SUBSTITUTE(SUBSTITUTE(SUBSTITUTE(SUBSTITUTE(SUBSTITUTE(SUBSTITUTE(SUBSTITUTE(LOWER(AE532&amp;""),CHAR(10)," "),CHAR(13)," "),CHAR(9)," "),CHAR(160)," "),"."," "),","," "),"-"," "),"/"," "),"("," "),")"," "),":"," "),";"," "),"_"," "),"–"," "),"?"," "),"!"," "),"*"," "),"["," "),"]"," "),"'"," "),"#"," "),"+"," "),"&amp;"," "),"\"," "))&amp;" "</f>
        <v>  </v>
      </c>
      <c r="CE532" s="68" t="n">
        <f aca="false">IFERROR(IF(AND(LEN(AU532)&gt;0,LEN(AU532)=LEN(AX532),OR(TRIM(MID(SUBSTITUTE(TRIM(CC532)," ",REPT(" ",60)),1,60))="",ISNUMBER(SEARCH(" "&amp;TRIM(MID(SUBSTITUTE(TRIM(CC532)," ",REPT(" ",60)),1,60))&amp;" ",CD532))),OR(TRIM(MID(SUBSTITUTE(TRIM(CC532)," ",REPT(" ",60)),61,60))="",ISNUMBER(SEARCH(" "&amp;TRIM(MID(SUBSTITUTE(TRIM(CC532)," ",REPT(" ",60)),61,60))&amp;" ",CD532))),OR(TRIM(MID(SUBSTITUTE(TRIM(CC532)," ",REPT(" ",60)),121,60))="",ISNUMBER(SEARCH(" "&amp;TRIM(MID(SUBSTITUTE(TRIM(CC532)," ",REPT(" ",60)),121,60))&amp;" ",CD532)))),1,0),0)</f>
        <v>0</v>
      </c>
      <c r="CG532" s="68" t="n">
        <f aca="false">IFERROR(LEN(SUBSTITUTE(BF532," ",""))-SUMPRODUCT((LEN(BF532)-LEN(SUBSTITUTE(BF532," "&amp;L_NAFiller&amp;" "," ")))/(LEN(L_NAFiller)+1)*LEN(L_NAFiller)),0)</f>
        <v>0</v>
      </c>
    </row>
    <row r="533" customFormat="false" ht="41.25" hidden="false" customHeight="true" outlineLevel="0" collapsed="false">
      <c r="A533" s="57" t="s">
        <v>1200</v>
      </c>
      <c r="B533" s="57" t="s">
        <v>290</v>
      </c>
      <c r="C533" s="57" t="str">
        <f aca="false">Flights!$F$21</f>
        <v>MH0073</v>
      </c>
      <c r="D533" s="58" t="n">
        <f aca="false">Flights!$D$21</f>
        <v>46322</v>
      </c>
      <c r="E533" s="57" t="str">
        <f aca="false">Flights!$G$21&amp;"-"&amp;Flights!$H$21</f>
        <v>HKG-KUL</v>
      </c>
      <c r="F533" s="57" t="str">
        <f aca="false">Flights!$K$21</f>
        <v>BC</v>
      </c>
      <c r="G533" s="57" t="s">
        <v>81</v>
      </c>
      <c r="H533" s="57" t="s">
        <v>378</v>
      </c>
      <c r="I533" s="57" t="s">
        <v>389</v>
      </c>
      <c r="J533" s="57" t="s">
        <v>390</v>
      </c>
      <c r="K533" s="67" t="s">
        <v>391</v>
      </c>
      <c r="L533" s="67" t="s">
        <v>382</v>
      </c>
      <c r="M533" s="67"/>
      <c r="N533" s="67" t="str">
        <f aca="false">IF(TRIM(Flights!$L$21)="A339","Required","N/A – rule")</f>
        <v>N/A – rule</v>
      </c>
      <c r="O533" s="67" t="s">
        <v>392</v>
      </c>
      <c r="P533" s="57" t="s">
        <v>282</v>
      </c>
      <c r="Q533" s="59" t="n">
        <f aca="false">ROUND((Flights!$AC$21)*1440,0)/1440</f>
        <v>46315.2847222222</v>
      </c>
      <c r="R533" s="59" t="n">
        <f aca="false">Q533+(IF(AND(INDEX(TZ_DSTS,MATCH(P533,TZ_STN,0))&lt;&gt;"",Q533&gt;=INDEX(TZ_DSTS,MATCH(P533,TZ_STN,0)),Q533&lt;INDEX(TZ_DSTE,MATCH(P533,TZ_STN,0))),INDEX(TZ_DST,MATCH(P533,TZ_STN,0)),INDEX(TZ_STD,MATCH(P533,TZ_STN,0))))/24</f>
        <v>46315.6180555556</v>
      </c>
      <c r="S533" s="60"/>
      <c r="T533" s="60"/>
      <c r="U533" s="60"/>
      <c r="V533" s="60"/>
      <c r="W533" s="61"/>
      <c r="X533" s="60"/>
      <c r="Y533" s="60"/>
      <c r="Z533" s="60"/>
      <c r="AA533" s="60"/>
      <c r="AB533" s="60"/>
      <c r="AC533" s="60"/>
      <c r="AD533" s="66"/>
      <c r="AE533" s="60"/>
      <c r="AF533" s="61" t="str">
        <f aca="false">IF(AND(ISNUMBER(X533),ISNUMBER(Y533)),Y533-X533,"")</f>
        <v/>
      </c>
      <c r="AG533" s="62" t="str">
        <f aca="false">IF(ISNUMBER(AD533),AD533-(IF(AND(INDEX(TZ_DSTS,MATCH(P533,TZ_STN,0))&lt;&gt;"",(AD533-INDEX(TZ_STD,MATCH(P533,TZ_STN,0))/24)&gt;=INDEX(TZ_DSTS,MATCH(P533,TZ_STN,0)),(AD533-INDEX(TZ_STD,MATCH(P533,TZ_STN,0))/24)&lt;INDEX(TZ_DSTE,MATCH(P533,TZ_STN,0))),INDEX(TZ_DST,MATCH(P533,TZ_STN,0)),INDEX(TZ_STD,MATCH(P533,TZ_STN,0))))/24,"")</f>
        <v/>
      </c>
      <c r="AH533" s="65" t="str">
        <f aca="false">IFERROR(IF(N533="N/A – rule",IF(OR(TRIM(U533)="",TRIM(U533)="N/A",TRIM(U533)="Not started"),"N/A – RULE","INVALID – this check does not apply to this aircraft: clear the status (or correct the fleet on Flights)"),IF(TRIM(U533)="N/A",IF(AT533=0,"INVALID – N/A not permitted for this check",IF(AND(TRIM(AB533)&lt;&gt;"",TRIM(AB533)&lt;&gt;"Closed"),"INVALID – corrective action still open",IF(AND(NOT(OR(LEN(AZ533)&lt;15,ISNUMBER(MATCH(AZ533,L_Placeholder,0)))),BK533=0,CG533&gt;=8,NOT(OR(LEN(AU533)&lt;2,ISNUMBER(MATCH(AU533,L_Placeholder,0)))),BR533&gt;=3,NOT(OR(LEN(AX533)&lt;2,ISNUMBER(MATCH(AX533,L_Placeholder,0)))),BS533&gt;=3,TRIM(AE533)&lt;&gt;TRIM(T533),AX533&lt;&gt;AU533,CE533=0),"N/A – JUSTIFIED","INVALID – N/A needs a real, settled reason (not 'not applicable' / 'as above' / TBC), a named PIC and a different named verifier"))),IF(OR(TRIM(U533)="Pass",TRIM(U533)="Pass after CA"),IF(NOT(ISNUMBER(AD533)),"INVALID – completion time missing",IF(OR(OR(LEN(AU533)&lt;2,ISNUMBER(MATCH(AU533,L_Placeholder,0))),BR533&lt;3),"INVALID – PIC missing or not a named person (a role such as QA / CSM is not a name)",IF(OR(LEN(AV533)&lt;2,ISNUMBER(MATCH(AV533,L_Placeholder,0))),"INVALID – result / assessment missing",IF(OR(OR(LEN(AW533)&lt;3,ISNUMBER(MATCH(AW533,L_Placeholder,0))),SUMPRODUCT(--ISNUMBER(SEARCH(" "&amp;L_EvidencePhrase&amp;" ",BD533)))&gt;0,BI533=1),"INVALID – evidence missing, placeholder or not yet on file",IF(ISNA(MATCH(TRIM(S533),L_EvidenceType,0)),"INVALID – choose the evidence type from the list (column S)",IF(BL533=0,"INVALID – evidence ID must be the record's own ID only (e.g. SF-2210, IMG_2231, 1045521); a link / file name needs type 'Link / file path'",IF(OR(OR(LEN(AX533)&lt;2,ISNUMBER(MATCH(AX533,L_Placeholder,0))),BS533&lt;3),"INVALID – verifier missing or not a named person (a role such as QA / CSM is not a name)",IF(OR(AX533=AU533,CE533=1,AND(LEN(AU533)&gt;=4,ISNUMBER(SEARCH(AU533,AX533))),AND(LEN(AX533)&gt;=4,ISNUMBER(SEARCH(AX533,AU533)))),"INVALID – verifier must be a different, named person (not the PIC or a role)",IF(BH533=1,"INVALID – result not yet available (awaiting / TBC)",IF(BG533=1,"INVALID – result describes a problem: record Fail, then Pass after CA (or reword if it is not a problem)",IF(BV533=1,"INVALID – wording says not on board: an on-board confirmation needs the item loaded",IF(AND(AQ533=1,OR(OR(LEN(AY533)&lt;3,ISNUMBER(MATCH(AY533,L_Placeholder,0))),BJ533=1,BQ533=0)),"INVALID – batch ID missing, placeholder or not an ID (e.g. PASB-261008-BC-017)",IF(AND(AR533=1,OR(NOT(ISNUMBER(X533)),NOT(ISNUMBER(Y533)))),"INVALID – expected/actual qty missing",IF(AND(AR533=1,OR(X533&lt;=0,Y533&lt;0)),"INVALID – expected qty must be above 0 and actual not negative",IF(BB533&lt;&gt;"",BB533,IF(AND(AS533=1,Documents!$J$21&lt;&gt;"ON FILE"),"INVALID – GLD not on file (Documents sheet)",IF(AND(AS533=2,Documents!$O$21&lt;&gt;"ON FILE"),"INVALID – menu checklist not on file (Documents sheet)",IF(AND(AS533=3,NOT(ISNUMBER(Flights!$AX$21))),"INVALID – enter carrying flight KUL departure (Flights AX)",IF(AND(AS533=3,OR(Flights!$AZ$21&gt;Flights!$AA$21,Flights!$AX$21&lt;Flights!$AA$21-3)),"INVALID – carrying flight (Flights AX) cannot arrive before this leg's STD, or is over 3 days early",IF(AG533&gt;AsOfUTC,"INVALID – completion time is in the future",IF(AND(ISNUMBER(BY533),AG533&lt;BY533),IF(H533="Physical uplift","INVALID – before uplift window (cannot confirm loading)","INVALID – before valid window"),IF(AG533&gt;Flights!$AA$21,"INVALID – completed after departure (cannot establish readiness)",IF(AND(H533="Preparation",AG533&gt;=IF(ISNUMBER(Flights!$BA$21),MIN(Flights!$BA$21,Flights!$AA$21),Flights!$AA$21)),"INVALID – completed after loading / departure (cannot establish readiness)",IF(AND(H533="Physical uplift",AG533&gt;Q533),"INVALID – recorded after the loading flight departed",IF(AG533&gt;Q533,"COMPLETE – LATE","COMPLETE"))))))))))))))))))))))))),IF(TRIM(U533)="Fail","FAIL – DISCREPANCY",IF(AND(TRIM(U533)&lt;&gt;"",TRIM(U533)&lt;&gt;"Not started",TRIM(U533)&lt;&gt;"In progress"),"INVALID – unrecognised status (use the list)",IF(AsOfUTC&gt;Q533,"OVERDUE",IF(N533="Clarification required","OPEN – CLARIFICATION","OPEN"))))))),"INVALID – error value in an input cell")</f>
        <v>N/A – RULE</v>
      </c>
      <c r="AI533" s="61" t="n">
        <f aca="false">IF(OR(AH533="N/A – RULE",AH533="N/A – JUSTIFIED"),0,1)</f>
        <v>0</v>
      </c>
      <c r="AJ533" s="61" t="n">
        <f aca="false">IF(LEFT(AH533,8)="COMPLETE",1,0)</f>
        <v>0</v>
      </c>
      <c r="AK533" s="61" t="n">
        <f aca="false">IF(AND(AI533=1,AJ533=0,AsOfUTC&gt;Q533),1,0)</f>
        <v>0</v>
      </c>
      <c r="AL533" s="61" t="n">
        <f aca="false">IFERROR(IF(AND(AI533=1,OR(TRIM(U533)="Fail",AND(TRIM(AB533)&lt;&gt;"",TRIM(AB533)&lt;&gt;"Closed"),AND(ISNUMBER(AF533),AF533&lt;&gt;0,TRIM(U533)&lt;&gt;"Pass after CA"))),1,0),1)</f>
        <v>0</v>
      </c>
      <c r="AM533" s="61" t="n">
        <f aca="false">IF(LEFT(AH533,7)="INVALID",1,0)</f>
        <v>0</v>
      </c>
      <c r="AN533" s="61" t="n">
        <f aca="false">IF(AND(N533="Clarification required",AI533=1,AJ533=0),1,0)</f>
        <v>0</v>
      </c>
      <c r="AO533" s="61" t="str">
        <f aca="false">IF(AK533=1,SUM(AK$5:AK533),"")</f>
        <v/>
      </c>
      <c r="AP533" s="61" t="str">
        <f aca="false">IF(AL533=1,SUM(AL$5:AL533),"")</f>
        <v/>
      </c>
      <c r="AQ533" s="61" t="n">
        <v>0</v>
      </c>
      <c r="AR533" s="61" t="n">
        <v>0</v>
      </c>
      <c r="AS533" s="61" t="n">
        <v>0</v>
      </c>
      <c r="AT533" s="61" t="n">
        <v>0</v>
      </c>
      <c r="AU533" s="61" t="str">
        <f aca="false">SUBSTITUTE(SUBSTITUTE(SUBSTITUTE(SUBSTITUTE(SUBSTITUTE(SUBSTITUTE(SUBSTITUTE(SUBSTITUTE(SUBSTITUTE(SUBSTITUTE(SUBSTITUTE(SUBSTITUTE(SUBSTITUTE(SUBSTITUTE(SUBSTITUTE(SUBSTITUTE(LOWER(T533&amp;""),CHAR(10),""),CHAR(13),""),CHAR(9),""),CHAR(160),"")," ",""),".",""),"-",""),"/",""),"?",""),"_",""),",",""),"[",""),"]",""),"(",""),")",""),"*","")</f>
        <v/>
      </c>
      <c r="AV533" s="61" t="str">
        <f aca="false">SUBSTITUTE(SUBSTITUTE(SUBSTITUTE(SUBSTITUTE(SUBSTITUTE(SUBSTITUTE(SUBSTITUTE(SUBSTITUTE(SUBSTITUTE(SUBSTITUTE(SUBSTITUTE(SUBSTITUTE(SUBSTITUTE(SUBSTITUTE(SUBSTITUTE(SUBSTITUTE(LOWER(V533&amp;""),CHAR(10),""),CHAR(13),""),CHAR(9),""),CHAR(160),"")," ",""),".",""),"-",""),"/",""),"?",""),"_",""),",",""),"[",""),"]",""),"(",""),")",""),"*","")</f>
        <v/>
      </c>
      <c r="AW533" s="61" t="str">
        <f aca="false">SUBSTITUTE(SUBSTITUTE(SUBSTITUTE(SUBSTITUTE(SUBSTITUTE(SUBSTITUTE(SUBSTITUTE(SUBSTITUTE(SUBSTITUTE(SUBSTITUTE(SUBSTITUTE(SUBSTITUTE(SUBSTITUTE(SUBSTITUTE(SUBSTITUTE(SUBSTITUTE(LOWER(Z533&amp;""),CHAR(10),""),CHAR(13),""),CHAR(9),""),CHAR(160),"")," ",""),".",""),"-",""),"/",""),"?",""),"_",""),",",""),"[",""),"]",""),"(",""),")",""),"*","")</f>
        <v/>
      </c>
      <c r="AX533" s="61" t="str">
        <f aca="false">SUBSTITUTE(SUBSTITUTE(SUBSTITUTE(SUBSTITUTE(SUBSTITUTE(SUBSTITUTE(SUBSTITUTE(SUBSTITUTE(SUBSTITUTE(SUBSTITUTE(SUBSTITUTE(SUBSTITUTE(SUBSTITUTE(SUBSTITUTE(SUBSTITUTE(SUBSTITUTE(LOWER(AE533&amp;""),CHAR(10),""),CHAR(13),""),CHAR(9),""),CHAR(160),"")," ",""),".",""),"-",""),"/",""),"?",""),"_",""),",",""),"[",""),"]",""),"(",""),")",""),"*","")</f>
        <v/>
      </c>
      <c r="AY533" s="61" t="str">
        <f aca="false">SUBSTITUTE(SUBSTITUTE(SUBSTITUTE(SUBSTITUTE(SUBSTITUTE(SUBSTITUTE(SUBSTITUTE(SUBSTITUTE(SUBSTITUTE(SUBSTITUTE(SUBSTITUTE(SUBSTITUTE(SUBSTITUTE(SUBSTITUTE(SUBSTITUTE(SUBSTITUTE(LOWER(W533&amp;""),CHAR(10),""),CHAR(13),""),CHAR(9),""),CHAR(160),"")," ",""),".",""),"-",""),"/",""),"?",""),"_",""),",",""),"[",""),"]",""),"(",""),")",""),"*","")</f>
        <v/>
      </c>
      <c r="AZ533" s="61" t="str">
        <f aca="false">SUBSTITUTE(SUBSTITUTE(SUBSTITUTE(SUBSTITUTE(SUBSTITUTE(SUBSTITUTE(SUBSTITUTE(SUBSTITUTE(SUBSTITUTE(SUBSTITUTE(SUBSTITUTE(SUBSTITUTE(SUBSTITUTE(SUBSTITUTE(SUBSTITUTE(SUBSTITUTE(LOWER(AC533&amp;""),CHAR(10),""),CHAR(13),""),CHAR(9),""),CHAR(160),"")," ",""),".",""),"-",""),"/",""),"?",""),"_",""),",",""),"[",""),"]",""),"(",""),")",""),"*","")</f>
        <v/>
      </c>
      <c r="BA533" s="61" t="str">
        <f aca="false">SUBSTITUTE(SUBSTITUTE(SUBSTITUTE(SUBSTITUTE(SUBSTITUTE(SUBSTITUTE(SUBSTITUTE(SUBSTITUTE(SUBSTITUTE(SUBSTITUTE(SUBSTITUTE(SUBSTITUTE(SUBSTITUTE(SUBSTITUTE(SUBSTITUTE(SUBSTITUTE(LOWER(AA533&amp;""),CHAR(10),""),CHAR(13),""),CHAR(9),""),CHAR(160),"")," ",""),".",""),"-",""),"/",""),"?",""),"_",""),",",""),"[",""),"]",""),"(",""),")",""),"*","")</f>
        <v/>
      </c>
      <c r="BB533" s="61" t="str">
        <f aca="false">IF(AND(TRIM(U533)="Pass",ISNUMBER(AF533)),IF(AF533&lt;&gt;0,"INVALID – qty variance: use Fail or Pass after CA",""),"")&amp;IF(AND(TRIM(U533)="Pass after CA",ISNUMBER(AF533)),IF(AF533&lt;&gt;0,"INVALID – after the corrective action the actual qty must equal expected (update Actual)",""),"")&amp;IF(AND(TRIM(U533)="Pass",TRIM(AB533)&lt;&gt;"",TRIM(AB533)&lt;&gt;"Closed"),"INVALID – corrective action not closed: use Fail, then Pass after CA","")&amp;IF(AND(LEN(BA533)&gt;=2,ISNA(MATCH(LEFT(BA533,255),L_Placeholder,0)),TRIM(AB533)=""),"INVALID – CA status missing for the recorded corrective action","")&amp;IF(AND(TRIM(U533)="Pass after CA",OR(OR(LEN(BA533)&lt;5,ISNUMBER(MATCH(BA533,L_Placeholder,0))),TRIM(AB533)&lt;&gt;"Closed")),"INVALID – corrective action not recorded/closed","")</f>
        <v/>
      </c>
      <c r="BC533" s="61" t="str">
        <f aca="false">" "&amp;TRIM(SUBSTITUTE(SUBSTITUTE(SUBSTITUTE(SUBSTITUTE(SUBSTITUTE(SUBSTITUTE(SUBSTITUTE(SUBSTITUTE(SUBSTITUTE(SUBSTITUTE(SUBSTITUTE(SUBSTITUTE(SUBSTITUTE(SUBSTITUTE(SUBSTITUTE(SUBSTITUTE(SUBSTITUTE(SUBSTITUTE(SUBSTITUTE(SUBSTITUTE(SUBSTITUTE(SUBSTITUTE(SUBSTITUTE(SUBSTITUTE(LOWER(V533&amp;""),CHAR(10)," "),CHAR(13)," "),CHAR(9)," "),CHAR(160)," "),"."," "),","," "),"-"," "),"/"," "),"("," "),")"," "),":"," "),";"," "),"_"," "),"–"," "),"?"," "),"!"," "),"*"," "),"["," "),"]"," "),"'"," "),"#"," "),"+"," "),"&amp;"," "),"\"," "))&amp;" "</f>
        <v>  </v>
      </c>
      <c r="BD533" s="61" t="str">
        <f aca="false">" "&amp;TRIM(SUBSTITUTE(SUBSTITUTE(SUBSTITUTE(SUBSTITUTE(SUBSTITUTE(SUBSTITUTE(SUBSTITUTE(SUBSTITUTE(SUBSTITUTE(SUBSTITUTE(SUBSTITUTE(SUBSTITUTE(SUBSTITUTE(SUBSTITUTE(SUBSTITUTE(SUBSTITUTE(SUBSTITUTE(SUBSTITUTE(SUBSTITUTE(SUBSTITUTE(SUBSTITUTE(SUBSTITUTE(SUBSTITUTE(SUBSTITUTE(LOWER(Z533&amp;""),CHAR(10)," "),CHAR(13)," "),CHAR(9)," "),CHAR(160)," "),"."," "),","," "),"-"," "),"/"," "),"("," "),")"," "),":"," "),";"," "),"_"," "),"–"," "),"?"," "),"!"," "),"*"," "),"["," "),"]"," "),"'"," "),"#"," "),"+"," "),"&amp;"," "),"\"," "))&amp;" "</f>
        <v>  </v>
      </c>
      <c r="BE533" s="61" t="str">
        <f aca="false">" "&amp;TRIM(SUBSTITUTE(SUBSTITUTE(SUBSTITUTE(SUBSTITUTE(SUBSTITUTE(SUBSTITUTE(SUBSTITUTE(SUBSTITUTE(SUBSTITUTE(SUBSTITUTE(SUBSTITUTE(SUBSTITUTE(SUBSTITUTE(SUBSTITUTE(SUBSTITUTE(SUBSTITUTE(SUBSTITUTE(SUBSTITUTE(SUBSTITUTE(SUBSTITUTE(SUBSTITUTE(SUBSTITUTE(SUBSTITUTE(SUBSTITUTE(LOWER(W533&amp;""),CHAR(10)," "),CHAR(13)," "),CHAR(9)," "),CHAR(160)," "),"."," "),","," "),"-"," "),"/"," "),"("," "),")"," "),":"," "),";"," "),"_"," "),"–"," "),"?"," "),"!"," "),"*"," "),"["," "),"]"," "),"'"," "),"#"," "),"+"," "),"&amp;"," "),"\"," "))&amp;" "</f>
        <v>  </v>
      </c>
      <c r="BF533" s="61" t="str">
        <f aca="false">" "&amp;TRIM(SUBSTITUTE(SUBSTITUTE(SUBSTITUTE(SUBSTITUTE(SUBSTITUTE(SUBSTITUTE(SUBSTITUTE(SUBSTITUTE(SUBSTITUTE(SUBSTITUTE(SUBSTITUTE(SUBSTITUTE(SUBSTITUTE(SUBSTITUTE(SUBSTITUTE(SUBSTITUTE(SUBSTITUTE(SUBSTITUTE(SUBSTITUTE(SUBSTITUTE(SUBSTITUTE(SUBSTITUTE(SUBSTITUTE(SUBSTITUTE(LOWER(AC533&amp;""),CHAR(10)," "),CHAR(13)," "),CHAR(9)," "),CHAR(160)," "),"."," "),","," "),"-"," "),"/"," "),"("," "),")"," "),":"," "),";"," "),"_"," "),"–"," "),"?"," "),"!"," "),"*"," "),"["," "),"]"," "),"'"," "),"#"," "),"+"," "),"&amp;"," "),"\"," "))&amp;" "</f>
        <v>  </v>
      </c>
      <c r="BG533" s="61" t="n">
        <f aca="false">IFERROR(IF(AND(TRIM(U533)="Pass",SUMPRODUCT((LEN(BC533)-LEN(SUBSTITUTE(BC533," "&amp;L_ResultBad&amp;" "," ")))/(LEN(L_ResultBad)+1))&gt;SUMPRODUCT((LEN(BC533)-LEN(SUBSTITUTE(BC533," "&amp;L_NegPhrase&amp;" "," ")))/(LEN(L_NegPhrase)+1))),1,0),0)</f>
        <v>0</v>
      </c>
      <c r="BH533" s="61" t="n">
        <f aca="false">IFERROR(IF(SUMPRODUCT((LEN(BC533)-LEN(SUBSTITUTE(BC533," "&amp;L_Pending&amp;" "," ")))/(LEN(L_Pending)+1))&gt;SUMPRODUCT((LEN(BC533)-LEN(SUBSTITUTE(BC533," "&amp;L_PendNeg&amp;" "," ")))/(LEN(L_PendNeg)+1))+SUMPRODUCT((LEN(BC533)-LEN(SUBSTITUTE(BC533," "&amp;L_PendPrep&amp;" "," ")))/(LEN(L_PendPrep)+1)),1,0),1)</f>
        <v>0</v>
      </c>
      <c r="BI533" s="61" t="n">
        <f aca="false">IFERROR(IF(SUMPRODUCT((LEN(BD533)-LEN(SUBSTITUTE(BD533," "&amp;L_PendStrict&amp;" "," ")))/(LEN(L_PendStrict)+1))&gt;SUMPRODUCT((LEN(BD533)-LEN(SUBSTITUTE(BD533," "&amp;L_PendNeg&amp;" "," ")))/(LEN(L_PendNeg)+1)),1,0),1)</f>
        <v>0</v>
      </c>
      <c r="BJ533" s="61" t="n">
        <f aca="false">IFERROR(IF(SUMPRODUCT((LEN(BE533)-LEN(SUBSTITUTE(BE533," "&amp;L_Pending&amp;" "," ")))/(LEN(L_Pending)+1))&gt;SUMPRODUCT((LEN(BE533)-LEN(SUBSTITUTE(BE533," "&amp;L_PendNeg&amp;" "," ")))/(LEN(L_PendNeg)+1))+SUMPRODUCT((LEN(BE533)-LEN(SUBSTITUTE(BE533," "&amp;L_PendPrep&amp;" "," ")))/(LEN(L_PendPrep)+1)),1,0),1)</f>
        <v>0</v>
      </c>
      <c r="BK533" s="61" t="n">
        <f aca="false">IFERROR(IF(SUMPRODUCT((LEN(BF533)-LEN(SUBSTITUTE(BF533," "&amp;L_PendStrict&amp;" "," ")))/(LEN(L_PendStrict)+1))&gt;SUMPRODUCT((LEN(BF533)-LEN(SUBSTITUTE(BF533," "&amp;L_PendNeg&amp;" "," ")))/(LEN(L_PendNeg)+1)),1,0),1)</f>
        <v>0</v>
      </c>
      <c r="BL533" s="61" t="n">
        <f aca="false">IF(ISNA(MATCH(TRIM(S533),L_EvidenceType,0)),0,BZ533)</f>
        <v>0</v>
      </c>
      <c r="BM533" s="61" t="str">
        <f aca="false">SUBSTITUTE(SUBSTITUTE(SUBSTITUTE(SUBSTITUTE(SUBSTITUTE(SUBSTITUTE(SUBSTITUTE(SUBSTITUTE(SUBSTITUTE(LOWER(Z533&amp;""),"1","0"),"2","0"),"3","0"),"4","0"),"5","0"),"6","0"),"7","0"),"8","0"),"9","0")</f>
        <v/>
      </c>
      <c r="BN533" s="61" t="str">
        <f aca="false">SUBSTITUTE(SUBSTITUTE(SUBSTITUTE(SUBSTITUTE(SUBSTITUTE(SUBSTITUTE(SUBSTITUTE(SUBSTITUTE(SUBSTITUTE(SUBSTITUTE(SUBSTITUTE(SUBSTITUTE(SUBSTITUTE(SUBSTITUTE(SUBSTITUTE(SUBSTITUTE(SUBSTITUTE(SUBSTITUTE(SUBSTITUTE(SUBSTITUTE(SUBSTITUTE(SUBSTITUTE(SUBSTITUTE(SUBSTITUTE(SUBSTITUTE(BM533,"b","a"),"c","a"),"d","a"),"e","a"),"f","a"),"g","a"),"h","a"),"i","a"),"j","a"),"k","a"),"l","a"),"m","a"),"n","a"),"o","a"),"p","a"),"q","a"),"r","a"),"s","a"),"t","a"),"u","a"),"v","a"),"w","a"),"x","a"),"y","a"),"z","a")</f>
        <v/>
      </c>
      <c r="BO533" s="61" t="str">
        <f aca="false">SUBSTITUTE(SUBSTITUTE(SUBSTITUTE(SUBSTITUTE(SUBSTITUTE(SUBSTITUTE(SUBSTITUTE(SUBSTITUTE(SUBSTITUTE(LOWER(W533&amp;""),"1","0"),"2","0"),"3","0"),"4","0"),"5","0"),"6","0"),"7","0"),"8","0"),"9","0")</f>
        <v/>
      </c>
      <c r="BP533" s="61" t="str">
        <f aca="false">SUBSTITUTE(SUBSTITUTE(SUBSTITUTE(SUBSTITUTE(SUBSTITUTE(SUBSTITUTE(SUBSTITUTE(SUBSTITUTE(SUBSTITUTE(SUBSTITUTE(SUBSTITUTE(SUBSTITUTE(SUBSTITUTE(SUBSTITUTE(SUBSTITUTE(SUBSTITUTE(SUBSTITUTE(SUBSTITUTE(SUBSTITUTE(SUBSTITUTE(SUBSTITUTE(SUBSTITUTE(SUBSTITUTE(SUBSTITUTE(SUBSTITUTE(BO533,"b","a"),"c","a"),"d","a"),"e","a"),"f","a"),"g","a"),"h","a"),"i","a"),"j","a"),"k","a"),"l","a"),"m","a"),"n","a"),"o","a"),"p","a"),"q","a"),"r","a"),"s","a"),"t","a"),"u","a"),"v","a"),"w","a"),"x","a"),"y","a"),"z","a")</f>
        <v/>
      </c>
      <c r="BQ533" s="61" t="n">
        <f aca="false">IFERROR(IF(AND(ISERROR(SEARCH(" mh"," "&amp;LOWER(W533))),ISNA(MATCH(LEFT(TRIM(BP533),255),{"0000a","000a","00a","0000aa","000aa","00aa","0aa","0000aaa","000aaa","00a00","0a00","0000-0000","00:00","a00","a0","00.00.0000","00/00/0000","00-00-0000","0000-00-00","0000/00/00","0000.00.00","00.00.00","00/00/00","00-00-00","0.00.0000","0/00/0000","0-00-0000"},0)),ISNA(MATCH(LEFT(TRIM(CA533),255),{"0000a","000a","00a","0000aa","000aa","00aa","0aa","0000aaa","000aaa","00a00","0a00","0000-0000","00:00","a00","a0","00.00.0000","00/00/0000","00-00-0000","0000-00-00","0000/00/00","0000.00.00","00.00.00","00/00/00","00-00-00","0.00.0000","0/00/0000","0-00-0000"},0)),LEN(CB533)&gt;=3,NOT(OR(SUBSTITUTE(CB533,"0","")="",AND(LEN(CB533)&gt;=4,CB533=REPT(LEFT(CB533),LEN(CB533))),ISNUMBER(MATCH(CB533,{"123","1234","12345","123456","1234567","12345678","0123","01234","012345","98765","987654","54321"},0)),AND(LEN(CB533)=8,LEFT(CB533,3)="202"))),OR(AND((LEN(CA533)-LEN(SUBSTITUTE(CA533,"a","")))&gt;=1,SUMPRODUCT(--ISNUMBER(SEARCH({"a0","a-0","a_0","a/0","a.0","a#0","0a","0-a","0_a","0/a"},BP533)))&gt;0),ISNUMBER(SEARCH("000000",BP533)))),1,0),0)</f>
        <v>0</v>
      </c>
      <c r="BR533" s="61" t="n">
        <f aca="false">IFERROR(LEN(SUBSTITUTE(CC533," ",""))-SUMPRODUCT((LEN(CC533)-LEN(SUBSTITUTE(CC533," "&amp;L_Role&amp;" "," ")))/(LEN(L_Role)+1)*LEN(L_Role)),0)</f>
        <v>0</v>
      </c>
      <c r="BS533" s="61" t="n">
        <f aca="false">IFERROR(LEN(SUBSTITUTE(CD533," ",""))-SUMPRODUCT((LEN(CD533)-LEN(SUBSTITUTE(CD533," "&amp;L_Role&amp;" "," ")))/(LEN(L_Role)+1)*LEN(L_Role)),0)</f>
        <v>0</v>
      </c>
      <c r="BT5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533,"revision",""),"version",""),"jan",""),"feb",""),"mar",""),"apr",""),"may",""),"jun",""),"jul",""),"aug",""),"sep",""),"oct",""),"nov",""),"dec",""),"utc",""),"gmt",""),"myt",""),"bst",""),"rev",""),"ver",""),"b","a"),"c","a"),"d","a"),"e","a"),"f","a"),"g","a"),"h","a"),"i","a"),"j","a"),"k","a"),"l","a"),"m","a"),"n","a"),"o","a"),"p","a"),"q","a"),"r","a"),"s","a"),"t","a"),"u","a"),"v","a"),"w","a"),"x","a"),"y","a"),"z","a")</f>
        <v/>
      </c>
      <c r="BU533" s="61" t="str">
        <f aca="false">SUBSTITUTE(SUBSTITUTE(SUBSTITUTE(SUBSTITUTE(SUBSTITUTE(SUBSTITUTE(SUBSTITUTE(SUBSTITUTE(SUBSTITUTE(SUBSTITUTE(LEFT(BM533,FIND("0",BM533&amp;"0")-1),"-",""),"_",""),"/",""),".",""),"#",""),"\\",""),":","")," ",""),"(",""),")","")</f>
        <v/>
      </c>
      <c r="BV533" s="61" t="n">
        <f aca="false">0</f>
        <v>0</v>
      </c>
      <c r="BW5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533&amp;""),"a",""),"b",""),"c",""),"d",""),"e",""),"f",""),"g",""),"h",""),"i",""),"j",""),"k",""),"l",""),"m",""),"n",""),"o",""),"p",""),"q",""),"r",""),"s",""),"t",""),"u",""),"v",""),"w",""),"x",""),"y",""),"z",""),"-",""),"_",""),"/",""),".",""),"#",""),"\\",""),":","")," ",""),"(",""),")","")</f>
        <v/>
      </c>
      <c r="BX533" s="61" t="str">
        <f aca="false">SUBSTITUTE(SUBSTITUTE(SUBSTITUTE(SUBSTITUTE(SUBSTITUTE(SUBSTITUTE(SUBSTITUTE(SUBSTITUTE(SUBSTITUTE(SUBSTITUTE(SUBSTITUTE(BM533,"0",""),"-",""),"_",""),"/",""),".",""),"#",""),"\\",""),":","")," ",""),"(",""),")","")</f>
        <v/>
      </c>
      <c r="BY533" s="62" t="n">
        <f aca="false">Q533-T7EarlyD*24/24</f>
        <v>46301.2847222222</v>
      </c>
      <c r="BZ533" s="61" t="n">
        <f aca="false">IFERROR(IF(IF(TRIM(S533)="Link / file path",AND(LEN(TRIM(Z533))&gt;=5,SUMPRODUCT(--ISNUMBER(SEARCH({"http","www.","\\",":\",".pdf",".jpg",".jpeg",".png",".heic",".xls",".doc",".msg",".eml",".ppt",".txt",".zip"},Z533)))&gt;0),AND(ISERROR(FIND(" ",TRIM(Z533))),NOT(OR(SUMPRODUCT(--ISNUMBER(FIND({",",";","&amp;","+"},Z533)))&gt;0,SUMPRODUCT(--ISNUMBER(SEARCH({"0/aa","0\\aa"},BN533)))&gt;0)),NOT(SUMPRODUCT(--ISNUMBER(SEARCH({"http","www.","\\",":\",".pdf",".jpg",".jpeg",".png",".heic",".xls",".doc",".msg",".eml",".ppt",".txt",".zip"},Z533)))&gt;0),NOT(LOWER(TRIM(Z533))=LOWER(Flights!$F$21)),ISNA(MATCH(BU533,{"mh","rev","revision","ver","version","v","r","a","b","seat","tray","row","gate","bay","stand","page","pg","item","line","no","cart","galley","flight","flt","table","box","bag","oven","etd","eta","std","sta","atd","ata","qty","pax","x","time","tel","ph","mob","day","wk","week","utc","gmt","myt","lt"},0)),NOT(OR(ISNUMBER(MATCH(LEFT(BN533,255),{"0000a","000a","00a","0000aa","000aa","00aa","0aa","0000aaa","000aaa","00a00","0a00","0000-0000","00:00","a00","a0","00.00.0000","00/00/0000","00-00-0000","0000-00-00","0000/00/00","0000.00.00","00.00.00","00/00/00","00-00-00","0.00.0000","0/00/0000","0-00-0000"},0)),ISNUMBER(MATCH(LEFT(BT533,255),{"0000a","000a","00a","0000aa","000aa","00aa","0aa","0000aaa","000aaa","00a00","0a00","0000-0000","00:00","a00","a0","00.00.0000","00/00/0000","00-00-0000","0000-00-00","0000/00/00","0000.00.00","00.00.00","00/00/00","00-00-00","0.00.0000","0/00/0000","0-00-0000"},0)))),NOT(OR(AND(BW533&lt;&gt;"",SUBSTITUTE(BW533,"0","")=""),AND(LEN(BW533)&gt;=4,BW533=REPT(LEFT(BW533),LEN(BW533))),ISNUMBER(MATCH(BW533,{"123","1234","12345","123456","1234567","12345678","0123","01234","012345","98765","987654","54321"},0)),ISNUMBER(MATCH(BX533,{"x","xx","xxx","xxxx","xxxxx","abc","abcd","nil","na","nan","test","tbc","tba","tbd","dummy","sample","example","eg","zz","zzz","none","null","xyz","qwe","asd","id","ref"},0)),AND(LEN(BW533)=8,BX533="",OR(LEFT(BW533,3)="202",ISNUMBER(MATCH(RIGHT(BW533,4),{"2025","2026","2027"},0)))))),OR(AND((LEN(BT533)-LEN(SUBSTITUTE(BT533,"a","")))&gt;=1,(LEN(BN533)-LEN(SUBSTITUTE(BN533,"0","")))&gt;=2,SUMPRODUCT(--ISNUMBER(SEARCH({"a0","a-0","a_0","a/0","a.0","a#0","0a","0-a","0_a","0/a"},BN533)))&gt;0),AND((LEN(BN533)-LEN(SUBSTITUTE(BN533,"a","")))=0,(LEN(BN533)-LEN(SUBSTITUTE(BN533,"0","")))&gt;=5)))),1,0),0)</f>
        <v>0</v>
      </c>
      <c r="CA5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533,"revision",""),"version",""),"jan",""),"feb",""),"mar",""),"apr",""),"may",""),"jun",""),"jul",""),"aug",""),"sep",""),"oct",""),"nov",""),"dec",""),"utc",""),"gmt",""),"myt",""),"bst",""),"rev",""),"ver",""),"b","a"),"c","a"),"d","a"),"e","a"),"f","a"),"g","a"),"h","a"),"i","a"),"j","a"),"k","a"),"l","a"),"m","a"),"n","a"),"o","a"),"p","a"),"q","a"),"r","a"),"s","a"),"t","a"),"u","a"),"v","a"),"w","a"),"x","a"),"y","a"),"z","a")</f>
        <v/>
      </c>
      <c r="CB5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533&amp;""),"a",""),"b",""),"c",""),"d",""),"e",""),"f",""),"g",""),"h",""),"i",""),"j",""),"k",""),"l",""),"m",""),"n",""),"o",""),"p",""),"q",""),"r",""),"s",""),"t",""),"u",""),"v",""),"w",""),"x",""),"y",""),"z",""),"-",""),"_",""),"/",""),".",""),"#",""),"\\",""),":","")," ",""),"(",""),")","")</f>
        <v/>
      </c>
      <c r="CC533" s="0" t="str">
        <f aca="false">" "&amp;TRIM(SUBSTITUTE(SUBSTITUTE(SUBSTITUTE(SUBSTITUTE(SUBSTITUTE(SUBSTITUTE(SUBSTITUTE(SUBSTITUTE(SUBSTITUTE(SUBSTITUTE(SUBSTITUTE(SUBSTITUTE(SUBSTITUTE(SUBSTITUTE(SUBSTITUTE(SUBSTITUTE(SUBSTITUTE(SUBSTITUTE(SUBSTITUTE(SUBSTITUTE(SUBSTITUTE(SUBSTITUTE(SUBSTITUTE(SUBSTITUTE(LOWER(T533&amp;""),CHAR(10)," "),CHAR(13)," "),CHAR(9)," "),CHAR(160)," "),"."," "),","," "),"-"," "),"/"," "),"("," "),")"," "),":"," "),";"," "),"_"," "),"–"," "),"?"," "),"!"," "),"*"," "),"["," "),"]"," "),"'"," "),"#"," "),"+"," "),"&amp;"," "),"\"," "))&amp;" "</f>
        <v>  </v>
      </c>
      <c r="CD533" s="0" t="str">
        <f aca="false">" "&amp;TRIM(SUBSTITUTE(SUBSTITUTE(SUBSTITUTE(SUBSTITUTE(SUBSTITUTE(SUBSTITUTE(SUBSTITUTE(SUBSTITUTE(SUBSTITUTE(SUBSTITUTE(SUBSTITUTE(SUBSTITUTE(SUBSTITUTE(SUBSTITUTE(SUBSTITUTE(SUBSTITUTE(SUBSTITUTE(SUBSTITUTE(SUBSTITUTE(SUBSTITUTE(SUBSTITUTE(SUBSTITUTE(SUBSTITUTE(SUBSTITUTE(LOWER(AE533&amp;""),CHAR(10)," "),CHAR(13)," "),CHAR(9)," "),CHAR(160)," "),"."," "),","," "),"-"," "),"/"," "),"("," "),")"," "),":"," "),";"," "),"_"," "),"–"," "),"?"," "),"!"," "),"*"," "),"["," "),"]"," "),"'"," "),"#"," "),"+"," "),"&amp;"," "),"\"," "))&amp;" "</f>
        <v>  </v>
      </c>
      <c r="CE533" s="68" t="n">
        <f aca="false">IFERROR(IF(AND(LEN(AU533)&gt;0,LEN(AU533)=LEN(AX533),OR(TRIM(MID(SUBSTITUTE(TRIM(CC533)," ",REPT(" ",60)),1,60))="",ISNUMBER(SEARCH(" "&amp;TRIM(MID(SUBSTITUTE(TRIM(CC533)," ",REPT(" ",60)),1,60))&amp;" ",CD533))),OR(TRIM(MID(SUBSTITUTE(TRIM(CC533)," ",REPT(" ",60)),61,60))="",ISNUMBER(SEARCH(" "&amp;TRIM(MID(SUBSTITUTE(TRIM(CC533)," ",REPT(" ",60)),61,60))&amp;" ",CD533))),OR(TRIM(MID(SUBSTITUTE(TRIM(CC533)," ",REPT(" ",60)),121,60))="",ISNUMBER(SEARCH(" "&amp;TRIM(MID(SUBSTITUTE(TRIM(CC533)," ",REPT(" ",60)),121,60))&amp;" ",CD533)))),1,0),0)</f>
        <v>0</v>
      </c>
      <c r="CG533" s="68" t="n">
        <f aca="false">IFERROR(LEN(SUBSTITUTE(BF533," ",""))-SUMPRODUCT((LEN(BF533)-LEN(SUBSTITUTE(BF533," "&amp;L_NAFiller&amp;" "," ")))/(LEN(L_NAFiller)+1)*LEN(L_NAFiller)),0)</f>
        <v>0</v>
      </c>
    </row>
    <row r="534" customFormat="false" ht="39.75" hidden="false" customHeight="true" outlineLevel="0" collapsed="false">
      <c r="A534" s="57" t="s">
        <v>1201</v>
      </c>
      <c r="B534" s="57" t="s">
        <v>290</v>
      </c>
      <c r="C534" s="57" t="str">
        <f aca="false">Flights!$F$21</f>
        <v>MH0073</v>
      </c>
      <c r="D534" s="58" t="n">
        <f aca="false">Flights!$D$21</f>
        <v>46322</v>
      </c>
      <c r="E534" s="57" t="str">
        <f aca="false">Flights!$G$21&amp;"-"&amp;Flights!$H$21</f>
        <v>HKG-KUL</v>
      </c>
      <c r="F534" s="57" t="str">
        <f aca="false">Flights!$K$21</f>
        <v>BC</v>
      </c>
      <c r="G534" s="57" t="s">
        <v>81</v>
      </c>
      <c r="H534" s="57" t="s">
        <v>378</v>
      </c>
      <c r="I534" s="57" t="s">
        <v>394</v>
      </c>
      <c r="J534" s="57" t="s">
        <v>395</v>
      </c>
      <c r="K534" s="67" t="s">
        <v>396</v>
      </c>
      <c r="L534" s="67" t="s">
        <v>382</v>
      </c>
      <c r="M534" s="67"/>
      <c r="N534" s="67" t="s">
        <v>383</v>
      </c>
      <c r="O534" s="67"/>
      <c r="P534" s="57" t="s">
        <v>282</v>
      </c>
      <c r="Q534" s="59" t="n">
        <f aca="false">ROUND((Flights!$AC$21)*1440,0)/1440</f>
        <v>46315.2847222222</v>
      </c>
      <c r="R534" s="59" t="n">
        <f aca="false">Q534+(IF(AND(INDEX(TZ_DSTS,MATCH(P534,TZ_STN,0))&lt;&gt;"",Q534&gt;=INDEX(TZ_DSTS,MATCH(P534,TZ_STN,0)),Q534&lt;INDEX(TZ_DSTE,MATCH(P534,TZ_STN,0))),INDEX(TZ_DST,MATCH(P534,TZ_STN,0)),INDEX(TZ_STD,MATCH(P534,TZ_STN,0))))/24</f>
        <v>46315.6180555556</v>
      </c>
      <c r="S534" s="60"/>
      <c r="T534" s="60"/>
      <c r="U534" s="60"/>
      <c r="V534" s="60"/>
      <c r="W534" s="61"/>
      <c r="X534" s="60"/>
      <c r="Y534" s="60"/>
      <c r="Z534" s="60"/>
      <c r="AA534" s="60"/>
      <c r="AB534" s="60"/>
      <c r="AC534" s="60"/>
      <c r="AD534" s="66"/>
      <c r="AE534" s="60"/>
      <c r="AF534" s="61" t="str">
        <f aca="false">IF(AND(ISNUMBER(X534),ISNUMBER(Y534)),Y534-X534,"")</f>
        <v/>
      </c>
      <c r="AG534" s="62" t="str">
        <f aca="false">IF(ISNUMBER(AD534),AD534-(IF(AND(INDEX(TZ_DSTS,MATCH(P534,TZ_STN,0))&lt;&gt;"",(AD534-INDEX(TZ_STD,MATCH(P534,TZ_STN,0))/24)&gt;=INDEX(TZ_DSTS,MATCH(P534,TZ_STN,0)),(AD534-INDEX(TZ_STD,MATCH(P534,TZ_STN,0))/24)&lt;INDEX(TZ_DSTE,MATCH(P534,TZ_STN,0))),INDEX(TZ_DST,MATCH(P534,TZ_STN,0)),INDEX(TZ_STD,MATCH(P534,TZ_STN,0))))/24,"")</f>
        <v/>
      </c>
      <c r="AH534" s="65" t="str">
        <f aca="false">IFERROR(IF(N534="N/A – rule",IF(OR(TRIM(U534)="",TRIM(U534)="N/A",TRIM(U534)="Not started"),"N/A – RULE","INVALID – this check does not apply to this aircraft: clear the status (or correct the fleet on Flights)"),IF(TRIM(U534)="N/A",IF(AT534=0,"INVALID – N/A not permitted for this check",IF(AND(TRIM(AB534)&lt;&gt;"",TRIM(AB534)&lt;&gt;"Closed"),"INVALID – corrective action still open",IF(AND(NOT(OR(LEN(AZ534)&lt;15,ISNUMBER(MATCH(AZ534,L_Placeholder,0)))),BK534=0,CG534&gt;=8,NOT(OR(LEN(AU534)&lt;2,ISNUMBER(MATCH(AU534,L_Placeholder,0)))),BR534&gt;=3,NOT(OR(LEN(AX534)&lt;2,ISNUMBER(MATCH(AX534,L_Placeholder,0)))),BS534&gt;=3,TRIM(AE534)&lt;&gt;TRIM(T534),AX534&lt;&gt;AU534,CE534=0),"N/A – JUSTIFIED","INVALID – N/A needs a real, settled reason (not 'not applicable' / 'as above' / TBC), a named PIC and a different named verifier"))),IF(OR(TRIM(U534)="Pass",TRIM(U534)="Pass after CA"),IF(NOT(ISNUMBER(AD534)),"INVALID – completion time missing",IF(OR(OR(LEN(AU534)&lt;2,ISNUMBER(MATCH(AU534,L_Placeholder,0))),BR534&lt;3),"INVALID – PIC missing or not a named person (a role such as QA / CSM is not a name)",IF(OR(LEN(AV534)&lt;2,ISNUMBER(MATCH(AV534,L_Placeholder,0))),"INVALID – result / assessment missing",IF(OR(OR(LEN(AW534)&lt;3,ISNUMBER(MATCH(AW534,L_Placeholder,0))),SUMPRODUCT(--ISNUMBER(SEARCH(" "&amp;L_EvidencePhrase&amp;" ",BD534)))&gt;0,BI534=1),"INVALID – evidence missing, placeholder or not yet on file",IF(ISNA(MATCH(TRIM(S534),L_EvidenceType,0)),"INVALID – choose the evidence type from the list (column S)",IF(BL534=0,"INVALID – evidence ID must be the record's own ID only (e.g. SF-2210, IMG_2231, 1045521); a link / file name needs type 'Link / file path'",IF(OR(OR(LEN(AX534)&lt;2,ISNUMBER(MATCH(AX534,L_Placeholder,0))),BS534&lt;3),"INVALID – verifier missing or not a named person (a role such as QA / CSM is not a name)",IF(OR(AX534=AU534,CE534=1,AND(LEN(AU534)&gt;=4,ISNUMBER(SEARCH(AU534,AX534))),AND(LEN(AX534)&gt;=4,ISNUMBER(SEARCH(AX534,AU534)))),"INVALID – verifier must be a different, named person (not the PIC or a role)",IF(BH534=1,"INVALID – result not yet available (awaiting / TBC)",IF(BG534=1,"INVALID – result describes a problem: record Fail, then Pass after CA (or reword if it is not a problem)",IF(BV534=1,"INVALID – wording says not on board: an on-board confirmation needs the item loaded",IF(AND(AQ534=1,OR(OR(LEN(AY534)&lt;3,ISNUMBER(MATCH(AY534,L_Placeholder,0))),BJ534=1,BQ534=0)),"INVALID – batch ID missing, placeholder or not an ID (e.g. PASB-261008-BC-017)",IF(AND(AR534=1,OR(NOT(ISNUMBER(X534)),NOT(ISNUMBER(Y534)))),"INVALID – expected/actual qty missing",IF(AND(AR534=1,OR(X534&lt;=0,Y534&lt;0)),"INVALID – expected qty must be above 0 and actual not negative",IF(BB534&lt;&gt;"",BB534,IF(AND(AS534=1,Documents!$J$21&lt;&gt;"ON FILE"),"INVALID – GLD not on file (Documents sheet)",IF(AND(AS534=2,Documents!$O$21&lt;&gt;"ON FILE"),"INVALID – menu checklist not on file (Documents sheet)",IF(AND(AS534=3,NOT(ISNUMBER(Flights!$AX$21))),"INVALID – enter carrying flight KUL departure (Flights AX)",IF(AND(AS534=3,OR(Flights!$AZ$21&gt;Flights!$AA$21,Flights!$AX$21&lt;Flights!$AA$21-3)),"INVALID – carrying flight (Flights AX) cannot arrive before this leg's STD, or is over 3 days early",IF(AG534&gt;AsOfUTC,"INVALID – completion time is in the future",IF(AND(ISNUMBER(BY534),AG534&lt;BY534),IF(H534="Physical uplift","INVALID – before uplift window (cannot confirm loading)","INVALID – before valid window"),IF(AG534&gt;Flights!$AA$21,"INVALID – completed after departure (cannot establish readiness)",IF(AND(H534="Preparation",AG534&gt;=IF(ISNUMBER(Flights!$BA$21),MIN(Flights!$BA$21,Flights!$AA$21),Flights!$AA$21)),"INVALID – completed after loading / departure (cannot establish readiness)",IF(AND(H534="Physical uplift",AG534&gt;Q534),"INVALID – recorded after the loading flight departed",IF(AG534&gt;Q534,"COMPLETE – LATE","COMPLETE"))))))))))))))))))))))))),IF(TRIM(U534)="Fail","FAIL – DISCREPANCY",IF(AND(TRIM(U534)&lt;&gt;"",TRIM(U534)&lt;&gt;"Not started",TRIM(U534)&lt;&gt;"In progress"),"INVALID – unrecognised status (use the list)",IF(AsOfUTC&gt;Q534,"OVERDUE",IF(N534="Clarification required","OPEN – CLARIFICATION","OPEN"))))))),"INVALID – error value in an input cell")</f>
        <v>OPEN</v>
      </c>
      <c r="AI534" s="61" t="n">
        <f aca="false">IF(OR(AH534="N/A – RULE",AH534="N/A – JUSTIFIED"),0,1)</f>
        <v>1</v>
      </c>
      <c r="AJ534" s="61" t="n">
        <f aca="false">IF(LEFT(AH534,8)="COMPLETE",1,0)</f>
        <v>0</v>
      </c>
      <c r="AK534" s="61" t="n">
        <f aca="false">IF(AND(AI534=1,AJ534=0,AsOfUTC&gt;Q534),1,0)</f>
        <v>0</v>
      </c>
      <c r="AL534" s="61" t="n">
        <f aca="false">IFERROR(IF(AND(AI534=1,OR(TRIM(U534)="Fail",AND(TRIM(AB534)&lt;&gt;"",TRIM(AB534)&lt;&gt;"Closed"),AND(ISNUMBER(AF534),AF534&lt;&gt;0,TRIM(U534)&lt;&gt;"Pass after CA"))),1,0),1)</f>
        <v>0</v>
      </c>
      <c r="AM534" s="61" t="n">
        <f aca="false">IF(LEFT(AH534,7)="INVALID",1,0)</f>
        <v>0</v>
      </c>
      <c r="AN534" s="61" t="n">
        <f aca="false">IF(AND(N534="Clarification required",AI534=1,AJ534=0),1,0)</f>
        <v>0</v>
      </c>
      <c r="AO534" s="61" t="str">
        <f aca="false">IF(AK534=1,SUM(AK$5:AK534),"")</f>
        <v/>
      </c>
      <c r="AP534" s="61" t="str">
        <f aca="false">IF(AL534=1,SUM(AL$5:AL534),"")</f>
        <v/>
      </c>
      <c r="AQ534" s="61" t="n">
        <v>0</v>
      </c>
      <c r="AR534" s="61" t="n">
        <v>0</v>
      </c>
      <c r="AS534" s="61" t="n">
        <v>0</v>
      </c>
      <c r="AT534" s="61" t="n">
        <v>0</v>
      </c>
      <c r="AU534" s="61" t="str">
        <f aca="false">SUBSTITUTE(SUBSTITUTE(SUBSTITUTE(SUBSTITUTE(SUBSTITUTE(SUBSTITUTE(SUBSTITUTE(SUBSTITUTE(SUBSTITUTE(SUBSTITUTE(SUBSTITUTE(SUBSTITUTE(SUBSTITUTE(SUBSTITUTE(SUBSTITUTE(SUBSTITUTE(LOWER(T534&amp;""),CHAR(10),""),CHAR(13),""),CHAR(9),""),CHAR(160),"")," ",""),".",""),"-",""),"/",""),"?",""),"_",""),",",""),"[",""),"]",""),"(",""),")",""),"*","")</f>
        <v/>
      </c>
      <c r="AV534" s="61" t="str">
        <f aca="false">SUBSTITUTE(SUBSTITUTE(SUBSTITUTE(SUBSTITUTE(SUBSTITUTE(SUBSTITUTE(SUBSTITUTE(SUBSTITUTE(SUBSTITUTE(SUBSTITUTE(SUBSTITUTE(SUBSTITUTE(SUBSTITUTE(SUBSTITUTE(SUBSTITUTE(SUBSTITUTE(LOWER(V534&amp;""),CHAR(10),""),CHAR(13),""),CHAR(9),""),CHAR(160),"")," ",""),".",""),"-",""),"/",""),"?",""),"_",""),",",""),"[",""),"]",""),"(",""),")",""),"*","")</f>
        <v/>
      </c>
      <c r="AW534" s="61" t="str">
        <f aca="false">SUBSTITUTE(SUBSTITUTE(SUBSTITUTE(SUBSTITUTE(SUBSTITUTE(SUBSTITUTE(SUBSTITUTE(SUBSTITUTE(SUBSTITUTE(SUBSTITUTE(SUBSTITUTE(SUBSTITUTE(SUBSTITUTE(SUBSTITUTE(SUBSTITUTE(SUBSTITUTE(LOWER(Z534&amp;""),CHAR(10),""),CHAR(13),""),CHAR(9),""),CHAR(160),"")," ",""),".",""),"-",""),"/",""),"?",""),"_",""),",",""),"[",""),"]",""),"(",""),")",""),"*","")</f>
        <v/>
      </c>
      <c r="AX534" s="61" t="str">
        <f aca="false">SUBSTITUTE(SUBSTITUTE(SUBSTITUTE(SUBSTITUTE(SUBSTITUTE(SUBSTITUTE(SUBSTITUTE(SUBSTITUTE(SUBSTITUTE(SUBSTITUTE(SUBSTITUTE(SUBSTITUTE(SUBSTITUTE(SUBSTITUTE(SUBSTITUTE(SUBSTITUTE(LOWER(AE534&amp;""),CHAR(10),""),CHAR(13),""),CHAR(9),""),CHAR(160),"")," ",""),".",""),"-",""),"/",""),"?",""),"_",""),",",""),"[",""),"]",""),"(",""),")",""),"*","")</f>
        <v/>
      </c>
      <c r="AY534" s="61" t="str">
        <f aca="false">SUBSTITUTE(SUBSTITUTE(SUBSTITUTE(SUBSTITUTE(SUBSTITUTE(SUBSTITUTE(SUBSTITUTE(SUBSTITUTE(SUBSTITUTE(SUBSTITUTE(SUBSTITUTE(SUBSTITUTE(SUBSTITUTE(SUBSTITUTE(SUBSTITUTE(SUBSTITUTE(LOWER(W534&amp;""),CHAR(10),""),CHAR(13),""),CHAR(9),""),CHAR(160),"")," ",""),".",""),"-",""),"/",""),"?",""),"_",""),",",""),"[",""),"]",""),"(",""),")",""),"*","")</f>
        <v/>
      </c>
      <c r="AZ534" s="61" t="str">
        <f aca="false">SUBSTITUTE(SUBSTITUTE(SUBSTITUTE(SUBSTITUTE(SUBSTITUTE(SUBSTITUTE(SUBSTITUTE(SUBSTITUTE(SUBSTITUTE(SUBSTITUTE(SUBSTITUTE(SUBSTITUTE(SUBSTITUTE(SUBSTITUTE(SUBSTITUTE(SUBSTITUTE(LOWER(AC534&amp;""),CHAR(10),""),CHAR(13),""),CHAR(9),""),CHAR(160),"")," ",""),".",""),"-",""),"/",""),"?",""),"_",""),",",""),"[",""),"]",""),"(",""),")",""),"*","")</f>
        <v/>
      </c>
      <c r="BA534" s="61" t="str">
        <f aca="false">SUBSTITUTE(SUBSTITUTE(SUBSTITUTE(SUBSTITUTE(SUBSTITUTE(SUBSTITUTE(SUBSTITUTE(SUBSTITUTE(SUBSTITUTE(SUBSTITUTE(SUBSTITUTE(SUBSTITUTE(SUBSTITUTE(SUBSTITUTE(SUBSTITUTE(SUBSTITUTE(LOWER(AA534&amp;""),CHAR(10),""),CHAR(13),""),CHAR(9),""),CHAR(160),"")," ",""),".",""),"-",""),"/",""),"?",""),"_",""),",",""),"[",""),"]",""),"(",""),")",""),"*","")</f>
        <v/>
      </c>
      <c r="BB534" s="61" t="str">
        <f aca="false">IF(AND(TRIM(U534)="Pass",ISNUMBER(AF534)),IF(AF534&lt;&gt;0,"INVALID – qty variance: use Fail or Pass after CA",""),"")&amp;IF(AND(TRIM(U534)="Pass after CA",ISNUMBER(AF534)),IF(AF534&lt;&gt;0,"INVALID – after the corrective action the actual qty must equal expected (update Actual)",""),"")&amp;IF(AND(TRIM(U534)="Pass",TRIM(AB534)&lt;&gt;"",TRIM(AB534)&lt;&gt;"Closed"),"INVALID – corrective action not closed: use Fail, then Pass after CA","")&amp;IF(AND(LEN(BA534)&gt;=2,ISNA(MATCH(LEFT(BA534,255),L_Placeholder,0)),TRIM(AB534)=""),"INVALID – CA status missing for the recorded corrective action","")&amp;IF(AND(TRIM(U534)="Pass after CA",OR(OR(LEN(BA534)&lt;5,ISNUMBER(MATCH(BA534,L_Placeholder,0))),TRIM(AB534)&lt;&gt;"Closed")),"INVALID – corrective action not recorded/closed","")</f>
        <v/>
      </c>
      <c r="BC534" s="61" t="str">
        <f aca="false">" "&amp;TRIM(SUBSTITUTE(SUBSTITUTE(SUBSTITUTE(SUBSTITUTE(SUBSTITUTE(SUBSTITUTE(SUBSTITUTE(SUBSTITUTE(SUBSTITUTE(SUBSTITUTE(SUBSTITUTE(SUBSTITUTE(SUBSTITUTE(SUBSTITUTE(SUBSTITUTE(SUBSTITUTE(SUBSTITUTE(SUBSTITUTE(SUBSTITUTE(SUBSTITUTE(SUBSTITUTE(SUBSTITUTE(SUBSTITUTE(SUBSTITUTE(LOWER(V534&amp;""),CHAR(10)," "),CHAR(13)," "),CHAR(9)," "),CHAR(160)," "),"."," "),","," "),"-"," "),"/"," "),"("," "),")"," "),":"," "),";"," "),"_"," "),"–"," "),"?"," "),"!"," "),"*"," "),"["," "),"]"," "),"'"," "),"#"," "),"+"," "),"&amp;"," "),"\"," "))&amp;" "</f>
        <v>  </v>
      </c>
      <c r="BD534" s="61" t="str">
        <f aca="false">" "&amp;TRIM(SUBSTITUTE(SUBSTITUTE(SUBSTITUTE(SUBSTITUTE(SUBSTITUTE(SUBSTITUTE(SUBSTITUTE(SUBSTITUTE(SUBSTITUTE(SUBSTITUTE(SUBSTITUTE(SUBSTITUTE(SUBSTITUTE(SUBSTITUTE(SUBSTITUTE(SUBSTITUTE(SUBSTITUTE(SUBSTITUTE(SUBSTITUTE(SUBSTITUTE(SUBSTITUTE(SUBSTITUTE(SUBSTITUTE(SUBSTITUTE(LOWER(Z534&amp;""),CHAR(10)," "),CHAR(13)," "),CHAR(9)," "),CHAR(160)," "),"."," "),","," "),"-"," "),"/"," "),"("," "),")"," "),":"," "),";"," "),"_"," "),"–"," "),"?"," "),"!"," "),"*"," "),"["," "),"]"," "),"'"," "),"#"," "),"+"," "),"&amp;"," "),"\"," "))&amp;" "</f>
        <v>  </v>
      </c>
      <c r="BE534" s="61" t="str">
        <f aca="false">" "&amp;TRIM(SUBSTITUTE(SUBSTITUTE(SUBSTITUTE(SUBSTITUTE(SUBSTITUTE(SUBSTITUTE(SUBSTITUTE(SUBSTITUTE(SUBSTITUTE(SUBSTITUTE(SUBSTITUTE(SUBSTITUTE(SUBSTITUTE(SUBSTITUTE(SUBSTITUTE(SUBSTITUTE(SUBSTITUTE(SUBSTITUTE(SUBSTITUTE(SUBSTITUTE(SUBSTITUTE(SUBSTITUTE(SUBSTITUTE(SUBSTITUTE(LOWER(W534&amp;""),CHAR(10)," "),CHAR(13)," "),CHAR(9)," "),CHAR(160)," "),"."," "),","," "),"-"," "),"/"," "),"("," "),")"," "),":"," "),";"," "),"_"," "),"–"," "),"?"," "),"!"," "),"*"," "),"["," "),"]"," "),"'"," "),"#"," "),"+"," "),"&amp;"," "),"\"," "))&amp;" "</f>
        <v>  </v>
      </c>
      <c r="BF534" s="61" t="str">
        <f aca="false">" "&amp;TRIM(SUBSTITUTE(SUBSTITUTE(SUBSTITUTE(SUBSTITUTE(SUBSTITUTE(SUBSTITUTE(SUBSTITUTE(SUBSTITUTE(SUBSTITUTE(SUBSTITUTE(SUBSTITUTE(SUBSTITUTE(SUBSTITUTE(SUBSTITUTE(SUBSTITUTE(SUBSTITUTE(SUBSTITUTE(SUBSTITUTE(SUBSTITUTE(SUBSTITUTE(SUBSTITUTE(SUBSTITUTE(SUBSTITUTE(SUBSTITUTE(LOWER(AC534&amp;""),CHAR(10)," "),CHAR(13)," "),CHAR(9)," "),CHAR(160)," "),"."," "),","," "),"-"," "),"/"," "),"("," "),")"," "),":"," "),";"," "),"_"," "),"–"," "),"?"," "),"!"," "),"*"," "),"["," "),"]"," "),"'"," "),"#"," "),"+"," "),"&amp;"," "),"\"," "))&amp;" "</f>
        <v>  </v>
      </c>
      <c r="BG534" s="61" t="n">
        <f aca="false">IFERROR(IF(AND(TRIM(U534)="Pass",SUMPRODUCT((LEN(BC534)-LEN(SUBSTITUTE(BC534," "&amp;L_ResultBad&amp;" "," ")))/(LEN(L_ResultBad)+1))&gt;SUMPRODUCT((LEN(BC534)-LEN(SUBSTITUTE(BC534," "&amp;L_NegPhrase&amp;" "," ")))/(LEN(L_NegPhrase)+1))),1,0),0)</f>
        <v>0</v>
      </c>
      <c r="BH534" s="61" t="n">
        <f aca="false">IFERROR(IF(SUMPRODUCT((LEN(BC534)-LEN(SUBSTITUTE(BC534," "&amp;L_Pending&amp;" "," ")))/(LEN(L_Pending)+1))&gt;SUMPRODUCT((LEN(BC534)-LEN(SUBSTITUTE(BC534," "&amp;L_PendNeg&amp;" "," ")))/(LEN(L_PendNeg)+1))+SUMPRODUCT((LEN(BC534)-LEN(SUBSTITUTE(BC534," "&amp;L_PendPrep&amp;" "," ")))/(LEN(L_PendPrep)+1)),1,0),1)</f>
        <v>0</v>
      </c>
      <c r="BI534" s="61" t="n">
        <f aca="false">IFERROR(IF(SUMPRODUCT((LEN(BD534)-LEN(SUBSTITUTE(BD534," "&amp;L_PendStrict&amp;" "," ")))/(LEN(L_PendStrict)+1))&gt;SUMPRODUCT((LEN(BD534)-LEN(SUBSTITUTE(BD534," "&amp;L_PendNeg&amp;" "," ")))/(LEN(L_PendNeg)+1)),1,0),1)</f>
        <v>0</v>
      </c>
      <c r="BJ534" s="61" t="n">
        <f aca="false">IFERROR(IF(SUMPRODUCT((LEN(BE534)-LEN(SUBSTITUTE(BE534," "&amp;L_Pending&amp;" "," ")))/(LEN(L_Pending)+1))&gt;SUMPRODUCT((LEN(BE534)-LEN(SUBSTITUTE(BE534," "&amp;L_PendNeg&amp;" "," ")))/(LEN(L_PendNeg)+1))+SUMPRODUCT((LEN(BE534)-LEN(SUBSTITUTE(BE534," "&amp;L_PendPrep&amp;" "," ")))/(LEN(L_PendPrep)+1)),1,0),1)</f>
        <v>0</v>
      </c>
      <c r="BK534" s="61" t="n">
        <f aca="false">IFERROR(IF(SUMPRODUCT((LEN(BF534)-LEN(SUBSTITUTE(BF534," "&amp;L_PendStrict&amp;" "," ")))/(LEN(L_PendStrict)+1))&gt;SUMPRODUCT((LEN(BF534)-LEN(SUBSTITUTE(BF534," "&amp;L_PendNeg&amp;" "," ")))/(LEN(L_PendNeg)+1)),1,0),1)</f>
        <v>0</v>
      </c>
      <c r="BL534" s="61" t="n">
        <f aca="false">IF(ISNA(MATCH(TRIM(S534),L_EvidenceType,0)),0,BZ534)</f>
        <v>0</v>
      </c>
      <c r="BM534" s="61" t="str">
        <f aca="false">SUBSTITUTE(SUBSTITUTE(SUBSTITUTE(SUBSTITUTE(SUBSTITUTE(SUBSTITUTE(SUBSTITUTE(SUBSTITUTE(SUBSTITUTE(LOWER(Z534&amp;""),"1","0"),"2","0"),"3","0"),"4","0"),"5","0"),"6","0"),"7","0"),"8","0"),"9","0")</f>
        <v/>
      </c>
      <c r="BN534" s="61" t="str">
        <f aca="false">SUBSTITUTE(SUBSTITUTE(SUBSTITUTE(SUBSTITUTE(SUBSTITUTE(SUBSTITUTE(SUBSTITUTE(SUBSTITUTE(SUBSTITUTE(SUBSTITUTE(SUBSTITUTE(SUBSTITUTE(SUBSTITUTE(SUBSTITUTE(SUBSTITUTE(SUBSTITUTE(SUBSTITUTE(SUBSTITUTE(SUBSTITUTE(SUBSTITUTE(SUBSTITUTE(SUBSTITUTE(SUBSTITUTE(SUBSTITUTE(SUBSTITUTE(BM534,"b","a"),"c","a"),"d","a"),"e","a"),"f","a"),"g","a"),"h","a"),"i","a"),"j","a"),"k","a"),"l","a"),"m","a"),"n","a"),"o","a"),"p","a"),"q","a"),"r","a"),"s","a"),"t","a"),"u","a"),"v","a"),"w","a"),"x","a"),"y","a"),"z","a")</f>
        <v/>
      </c>
      <c r="BO534" s="61" t="str">
        <f aca="false">SUBSTITUTE(SUBSTITUTE(SUBSTITUTE(SUBSTITUTE(SUBSTITUTE(SUBSTITUTE(SUBSTITUTE(SUBSTITUTE(SUBSTITUTE(LOWER(W534&amp;""),"1","0"),"2","0"),"3","0"),"4","0"),"5","0"),"6","0"),"7","0"),"8","0"),"9","0")</f>
        <v/>
      </c>
      <c r="BP534" s="61" t="str">
        <f aca="false">SUBSTITUTE(SUBSTITUTE(SUBSTITUTE(SUBSTITUTE(SUBSTITUTE(SUBSTITUTE(SUBSTITUTE(SUBSTITUTE(SUBSTITUTE(SUBSTITUTE(SUBSTITUTE(SUBSTITUTE(SUBSTITUTE(SUBSTITUTE(SUBSTITUTE(SUBSTITUTE(SUBSTITUTE(SUBSTITUTE(SUBSTITUTE(SUBSTITUTE(SUBSTITUTE(SUBSTITUTE(SUBSTITUTE(SUBSTITUTE(SUBSTITUTE(BO534,"b","a"),"c","a"),"d","a"),"e","a"),"f","a"),"g","a"),"h","a"),"i","a"),"j","a"),"k","a"),"l","a"),"m","a"),"n","a"),"o","a"),"p","a"),"q","a"),"r","a"),"s","a"),"t","a"),"u","a"),"v","a"),"w","a"),"x","a"),"y","a"),"z","a")</f>
        <v/>
      </c>
      <c r="BQ534" s="61" t="n">
        <f aca="false">IFERROR(IF(AND(ISERROR(SEARCH(" mh"," "&amp;LOWER(W534))),ISNA(MATCH(LEFT(TRIM(BP534),255),{"0000a","000a","00a","0000aa","000aa","00aa","0aa","0000aaa","000aaa","00a00","0a00","0000-0000","00:00","a00","a0","00.00.0000","00/00/0000","00-00-0000","0000-00-00","0000/00/00","0000.00.00","00.00.00","00/00/00","00-00-00","0.00.0000","0/00/0000","0-00-0000"},0)),ISNA(MATCH(LEFT(TRIM(CA534),255),{"0000a","000a","00a","0000aa","000aa","00aa","0aa","0000aaa","000aaa","00a00","0a00","0000-0000","00:00","a00","a0","00.00.0000","00/00/0000","00-00-0000","0000-00-00","0000/00/00","0000.00.00","00.00.00","00/00/00","00-00-00","0.00.0000","0/00/0000","0-00-0000"},0)),LEN(CB534)&gt;=3,NOT(OR(SUBSTITUTE(CB534,"0","")="",AND(LEN(CB534)&gt;=4,CB534=REPT(LEFT(CB534),LEN(CB534))),ISNUMBER(MATCH(CB534,{"123","1234","12345","123456","1234567","12345678","0123","01234","012345","98765","987654","54321"},0)),AND(LEN(CB534)=8,LEFT(CB534,3)="202"))),OR(AND((LEN(CA534)-LEN(SUBSTITUTE(CA534,"a","")))&gt;=1,SUMPRODUCT(--ISNUMBER(SEARCH({"a0","a-0","a_0","a/0","a.0","a#0","0a","0-a","0_a","0/a"},BP534)))&gt;0),ISNUMBER(SEARCH("000000",BP534)))),1,0),0)</f>
        <v>0</v>
      </c>
      <c r="BR534" s="61" t="n">
        <f aca="false">IFERROR(LEN(SUBSTITUTE(CC534," ",""))-SUMPRODUCT((LEN(CC534)-LEN(SUBSTITUTE(CC534," "&amp;L_Role&amp;" "," ")))/(LEN(L_Role)+1)*LEN(L_Role)),0)</f>
        <v>0</v>
      </c>
      <c r="BS534" s="61" t="n">
        <f aca="false">IFERROR(LEN(SUBSTITUTE(CD534," ",""))-SUMPRODUCT((LEN(CD534)-LEN(SUBSTITUTE(CD534," "&amp;L_Role&amp;" "," ")))/(LEN(L_Role)+1)*LEN(L_Role)),0)</f>
        <v>0</v>
      </c>
      <c r="BT5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534,"revision",""),"version",""),"jan",""),"feb",""),"mar",""),"apr",""),"may",""),"jun",""),"jul",""),"aug",""),"sep",""),"oct",""),"nov",""),"dec",""),"utc",""),"gmt",""),"myt",""),"bst",""),"rev",""),"ver",""),"b","a"),"c","a"),"d","a"),"e","a"),"f","a"),"g","a"),"h","a"),"i","a"),"j","a"),"k","a"),"l","a"),"m","a"),"n","a"),"o","a"),"p","a"),"q","a"),"r","a"),"s","a"),"t","a"),"u","a"),"v","a"),"w","a"),"x","a"),"y","a"),"z","a")</f>
        <v/>
      </c>
      <c r="BU534" s="61" t="str">
        <f aca="false">SUBSTITUTE(SUBSTITUTE(SUBSTITUTE(SUBSTITUTE(SUBSTITUTE(SUBSTITUTE(SUBSTITUTE(SUBSTITUTE(SUBSTITUTE(SUBSTITUTE(LEFT(BM534,FIND("0",BM534&amp;"0")-1),"-",""),"_",""),"/",""),".",""),"#",""),"\\",""),":","")," ",""),"(",""),")","")</f>
        <v/>
      </c>
      <c r="BV534" s="61" t="n">
        <f aca="false">0</f>
        <v>0</v>
      </c>
      <c r="BW5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534&amp;""),"a",""),"b",""),"c",""),"d",""),"e",""),"f",""),"g",""),"h",""),"i",""),"j",""),"k",""),"l",""),"m",""),"n",""),"o",""),"p",""),"q",""),"r",""),"s",""),"t",""),"u",""),"v",""),"w",""),"x",""),"y",""),"z",""),"-",""),"_",""),"/",""),".",""),"#",""),"\\",""),":","")," ",""),"(",""),")","")</f>
        <v/>
      </c>
      <c r="BX534" s="61" t="str">
        <f aca="false">SUBSTITUTE(SUBSTITUTE(SUBSTITUTE(SUBSTITUTE(SUBSTITUTE(SUBSTITUTE(SUBSTITUTE(SUBSTITUTE(SUBSTITUTE(SUBSTITUTE(SUBSTITUTE(BM534,"0",""),"-",""),"_",""),"/",""),".",""),"#",""),"\\",""),":","")," ",""),"(",""),")","")</f>
        <v/>
      </c>
      <c r="BY534" s="62" t="n">
        <f aca="false">Q534-T7EarlyD*24/24</f>
        <v>46301.2847222222</v>
      </c>
      <c r="BZ534" s="61" t="n">
        <f aca="false">IFERROR(IF(IF(TRIM(S534)="Link / file path",AND(LEN(TRIM(Z534))&gt;=5,SUMPRODUCT(--ISNUMBER(SEARCH({"http","www.","\\",":\",".pdf",".jpg",".jpeg",".png",".heic",".xls",".doc",".msg",".eml",".ppt",".txt",".zip"},Z534)))&gt;0),AND(ISERROR(FIND(" ",TRIM(Z534))),NOT(OR(SUMPRODUCT(--ISNUMBER(FIND({",",";","&amp;","+"},Z534)))&gt;0,SUMPRODUCT(--ISNUMBER(SEARCH({"0/aa","0\\aa"},BN534)))&gt;0)),NOT(SUMPRODUCT(--ISNUMBER(SEARCH({"http","www.","\\",":\",".pdf",".jpg",".jpeg",".png",".heic",".xls",".doc",".msg",".eml",".ppt",".txt",".zip"},Z534)))&gt;0),NOT(LOWER(TRIM(Z534))=LOWER(Flights!$F$21)),ISNA(MATCH(BU534,{"mh","rev","revision","ver","version","v","r","a","b","seat","tray","row","gate","bay","stand","page","pg","item","line","no","cart","galley","flight","flt","table","box","bag","oven","etd","eta","std","sta","atd","ata","qty","pax","x","time","tel","ph","mob","day","wk","week","utc","gmt","myt","lt"},0)),NOT(OR(ISNUMBER(MATCH(LEFT(BN534,255),{"0000a","000a","00a","0000aa","000aa","00aa","0aa","0000aaa","000aaa","00a00","0a00","0000-0000","00:00","a00","a0","00.00.0000","00/00/0000","00-00-0000","0000-00-00","0000/00/00","0000.00.00","00.00.00","00/00/00","00-00-00","0.00.0000","0/00/0000","0-00-0000"},0)),ISNUMBER(MATCH(LEFT(BT534,255),{"0000a","000a","00a","0000aa","000aa","00aa","0aa","0000aaa","000aaa","00a00","0a00","0000-0000","00:00","a00","a0","00.00.0000","00/00/0000","00-00-0000","0000-00-00","0000/00/00","0000.00.00","00.00.00","00/00/00","00-00-00","0.00.0000","0/00/0000","0-00-0000"},0)))),NOT(OR(AND(BW534&lt;&gt;"",SUBSTITUTE(BW534,"0","")=""),AND(LEN(BW534)&gt;=4,BW534=REPT(LEFT(BW534),LEN(BW534))),ISNUMBER(MATCH(BW534,{"123","1234","12345","123456","1234567","12345678","0123","01234","012345","98765","987654","54321"},0)),ISNUMBER(MATCH(BX534,{"x","xx","xxx","xxxx","xxxxx","abc","abcd","nil","na","nan","test","tbc","tba","tbd","dummy","sample","example","eg","zz","zzz","none","null","xyz","qwe","asd","id","ref"},0)),AND(LEN(BW534)=8,BX534="",OR(LEFT(BW534,3)="202",ISNUMBER(MATCH(RIGHT(BW534,4),{"2025","2026","2027"},0)))))),OR(AND((LEN(BT534)-LEN(SUBSTITUTE(BT534,"a","")))&gt;=1,(LEN(BN534)-LEN(SUBSTITUTE(BN534,"0","")))&gt;=2,SUMPRODUCT(--ISNUMBER(SEARCH({"a0","a-0","a_0","a/0","a.0","a#0","0a","0-a","0_a","0/a"},BN534)))&gt;0),AND((LEN(BN534)-LEN(SUBSTITUTE(BN534,"a","")))=0,(LEN(BN534)-LEN(SUBSTITUTE(BN534,"0","")))&gt;=5)))),1,0),0)</f>
        <v>0</v>
      </c>
      <c r="CA5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534,"revision",""),"version",""),"jan",""),"feb",""),"mar",""),"apr",""),"may",""),"jun",""),"jul",""),"aug",""),"sep",""),"oct",""),"nov",""),"dec",""),"utc",""),"gmt",""),"myt",""),"bst",""),"rev",""),"ver",""),"b","a"),"c","a"),"d","a"),"e","a"),"f","a"),"g","a"),"h","a"),"i","a"),"j","a"),"k","a"),"l","a"),"m","a"),"n","a"),"o","a"),"p","a"),"q","a"),"r","a"),"s","a"),"t","a"),"u","a"),"v","a"),"w","a"),"x","a"),"y","a"),"z","a")</f>
        <v/>
      </c>
      <c r="CB5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534&amp;""),"a",""),"b",""),"c",""),"d",""),"e",""),"f",""),"g",""),"h",""),"i",""),"j",""),"k",""),"l",""),"m",""),"n",""),"o",""),"p",""),"q",""),"r",""),"s",""),"t",""),"u",""),"v",""),"w",""),"x",""),"y",""),"z",""),"-",""),"_",""),"/",""),".",""),"#",""),"\\",""),":","")," ",""),"(",""),")","")</f>
        <v/>
      </c>
      <c r="CC534" s="0" t="str">
        <f aca="false">" "&amp;TRIM(SUBSTITUTE(SUBSTITUTE(SUBSTITUTE(SUBSTITUTE(SUBSTITUTE(SUBSTITUTE(SUBSTITUTE(SUBSTITUTE(SUBSTITUTE(SUBSTITUTE(SUBSTITUTE(SUBSTITUTE(SUBSTITUTE(SUBSTITUTE(SUBSTITUTE(SUBSTITUTE(SUBSTITUTE(SUBSTITUTE(SUBSTITUTE(SUBSTITUTE(SUBSTITUTE(SUBSTITUTE(SUBSTITUTE(SUBSTITUTE(LOWER(T534&amp;""),CHAR(10)," "),CHAR(13)," "),CHAR(9)," "),CHAR(160)," "),"."," "),","," "),"-"," "),"/"," "),"("," "),")"," "),":"," "),";"," "),"_"," "),"–"," "),"?"," "),"!"," "),"*"," "),"["," "),"]"," "),"'"," "),"#"," "),"+"," "),"&amp;"," "),"\"," "))&amp;" "</f>
        <v>  </v>
      </c>
      <c r="CD534" s="0" t="str">
        <f aca="false">" "&amp;TRIM(SUBSTITUTE(SUBSTITUTE(SUBSTITUTE(SUBSTITUTE(SUBSTITUTE(SUBSTITUTE(SUBSTITUTE(SUBSTITUTE(SUBSTITUTE(SUBSTITUTE(SUBSTITUTE(SUBSTITUTE(SUBSTITUTE(SUBSTITUTE(SUBSTITUTE(SUBSTITUTE(SUBSTITUTE(SUBSTITUTE(SUBSTITUTE(SUBSTITUTE(SUBSTITUTE(SUBSTITUTE(SUBSTITUTE(SUBSTITUTE(LOWER(AE534&amp;""),CHAR(10)," "),CHAR(13)," "),CHAR(9)," "),CHAR(160)," "),"."," "),","," "),"-"," "),"/"," "),"("," "),")"," "),":"," "),";"," "),"_"," "),"–"," "),"?"," "),"!"," "),"*"," "),"["," "),"]"," "),"'"," "),"#"," "),"+"," "),"&amp;"," "),"\"," "))&amp;" "</f>
        <v>  </v>
      </c>
      <c r="CE534" s="68" t="n">
        <f aca="false">IFERROR(IF(AND(LEN(AU534)&gt;0,LEN(AU534)=LEN(AX534),OR(TRIM(MID(SUBSTITUTE(TRIM(CC534)," ",REPT(" ",60)),1,60))="",ISNUMBER(SEARCH(" "&amp;TRIM(MID(SUBSTITUTE(TRIM(CC534)," ",REPT(" ",60)),1,60))&amp;" ",CD534))),OR(TRIM(MID(SUBSTITUTE(TRIM(CC534)," ",REPT(" ",60)),61,60))="",ISNUMBER(SEARCH(" "&amp;TRIM(MID(SUBSTITUTE(TRIM(CC534)," ",REPT(" ",60)),61,60))&amp;" ",CD534))),OR(TRIM(MID(SUBSTITUTE(TRIM(CC534)," ",REPT(" ",60)),121,60))="",ISNUMBER(SEARCH(" "&amp;TRIM(MID(SUBSTITUTE(TRIM(CC534)," ",REPT(" ",60)),121,60))&amp;" ",CD534)))),1,0),0)</f>
        <v>0</v>
      </c>
      <c r="CG534" s="68" t="n">
        <f aca="false">IFERROR(LEN(SUBSTITUTE(BF534," ",""))-SUMPRODUCT((LEN(BF534)-LEN(SUBSTITUTE(BF534," "&amp;L_NAFiller&amp;" "," ")))/(LEN(L_NAFiller)+1)*LEN(L_NAFiller)),0)</f>
        <v>0</v>
      </c>
    </row>
    <row r="535" customFormat="false" ht="39.75" hidden="false" customHeight="true" outlineLevel="0" collapsed="false">
      <c r="A535" s="57" t="s">
        <v>1202</v>
      </c>
      <c r="B535" s="57" t="s">
        <v>290</v>
      </c>
      <c r="C535" s="57" t="str">
        <f aca="false">Flights!$F$21</f>
        <v>MH0073</v>
      </c>
      <c r="D535" s="58" t="n">
        <f aca="false">Flights!$D$21</f>
        <v>46322</v>
      </c>
      <c r="E535" s="57" t="str">
        <f aca="false">Flights!$G$21&amp;"-"&amp;Flights!$H$21</f>
        <v>HKG-KUL</v>
      </c>
      <c r="F535" s="57" t="str">
        <f aca="false">Flights!$K$21</f>
        <v>BC</v>
      </c>
      <c r="G535" s="57" t="s">
        <v>81</v>
      </c>
      <c r="H535" s="57" t="s">
        <v>378</v>
      </c>
      <c r="I535" s="57" t="s">
        <v>398</v>
      </c>
      <c r="J535" s="57" t="s">
        <v>399</v>
      </c>
      <c r="K535" s="67" t="s">
        <v>400</v>
      </c>
      <c r="L535" s="67" t="s">
        <v>382</v>
      </c>
      <c r="M535" s="67"/>
      <c r="N535" s="67" t="s">
        <v>383</v>
      </c>
      <c r="O535" s="67"/>
      <c r="P535" s="57" t="s">
        <v>282</v>
      </c>
      <c r="Q535" s="59" t="n">
        <f aca="false">ROUND((Flights!$AC$21)*1440,0)/1440</f>
        <v>46315.2847222222</v>
      </c>
      <c r="R535" s="59" t="n">
        <f aca="false">Q535+(IF(AND(INDEX(TZ_DSTS,MATCH(P535,TZ_STN,0))&lt;&gt;"",Q535&gt;=INDEX(TZ_DSTS,MATCH(P535,TZ_STN,0)),Q535&lt;INDEX(TZ_DSTE,MATCH(P535,TZ_STN,0))),INDEX(TZ_DST,MATCH(P535,TZ_STN,0)),INDEX(TZ_STD,MATCH(P535,TZ_STN,0))))/24</f>
        <v>46315.6180555556</v>
      </c>
      <c r="S535" s="60"/>
      <c r="T535" s="60"/>
      <c r="U535" s="60"/>
      <c r="V535" s="60"/>
      <c r="W535" s="61"/>
      <c r="X535" s="60"/>
      <c r="Y535" s="60"/>
      <c r="Z535" s="60"/>
      <c r="AA535" s="60"/>
      <c r="AB535" s="60"/>
      <c r="AC535" s="60"/>
      <c r="AD535" s="66"/>
      <c r="AE535" s="60"/>
      <c r="AF535" s="61" t="str">
        <f aca="false">IF(AND(ISNUMBER(X535),ISNUMBER(Y535)),Y535-X535,"")</f>
        <v/>
      </c>
      <c r="AG535" s="62" t="str">
        <f aca="false">IF(ISNUMBER(AD535),AD535-(IF(AND(INDEX(TZ_DSTS,MATCH(P535,TZ_STN,0))&lt;&gt;"",(AD535-INDEX(TZ_STD,MATCH(P535,TZ_STN,0))/24)&gt;=INDEX(TZ_DSTS,MATCH(P535,TZ_STN,0)),(AD535-INDEX(TZ_STD,MATCH(P535,TZ_STN,0))/24)&lt;INDEX(TZ_DSTE,MATCH(P535,TZ_STN,0))),INDEX(TZ_DST,MATCH(P535,TZ_STN,0)),INDEX(TZ_STD,MATCH(P535,TZ_STN,0))))/24,"")</f>
        <v/>
      </c>
      <c r="AH535" s="65" t="str">
        <f aca="false">IFERROR(IF(N535="N/A – rule",IF(OR(TRIM(U535)="",TRIM(U535)="N/A",TRIM(U535)="Not started"),"N/A – RULE","INVALID – this check does not apply to this aircraft: clear the status (or correct the fleet on Flights)"),IF(TRIM(U535)="N/A",IF(AT535=0,"INVALID – N/A not permitted for this check",IF(AND(TRIM(AB535)&lt;&gt;"",TRIM(AB535)&lt;&gt;"Closed"),"INVALID – corrective action still open",IF(AND(NOT(OR(LEN(AZ535)&lt;15,ISNUMBER(MATCH(AZ535,L_Placeholder,0)))),BK535=0,CG535&gt;=8,NOT(OR(LEN(AU535)&lt;2,ISNUMBER(MATCH(AU535,L_Placeholder,0)))),BR535&gt;=3,NOT(OR(LEN(AX535)&lt;2,ISNUMBER(MATCH(AX535,L_Placeholder,0)))),BS535&gt;=3,TRIM(AE535)&lt;&gt;TRIM(T535),AX535&lt;&gt;AU535,CE535=0),"N/A – JUSTIFIED","INVALID – N/A needs a real, settled reason (not 'not applicable' / 'as above' / TBC), a named PIC and a different named verifier"))),IF(OR(TRIM(U535)="Pass",TRIM(U535)="Pass after CA"),IF(NOT(ISNUMBER(AD535)),"INVALID – completion time missing",IF(OR(OR(LEN(AU535)&lt;2,ISNUMBER(MATCH(AU535,L_Placeholder,0))),BR535&lt;3),"INVALID – PIC missing or not a named person (a role such as QA / CSM is not a name)",IF(OR(LEN(AV535)&lt;2,ISNUMBER(MATCH(AV535,L_Placeholder,0))),"INVALID – result / assessment missing",IF(OR(OR(LEN(AW535)&lt;3,ISNUMBER(MATCH(AW535,L_Placeholder,0))),SUMPRODUCT(--ISNUMBER(SEARCH(" "&amp;L_EvidencePhrase&amp;" ",BD535)))&gt;0,BI535=1),"INVALID – evidence missing, placeholder or not yet on file",IF(ISNA(MATCH(TRIM(S535),L_EvidenceType,0)),"INVALID – choose the evidence type from the list (column S)",IF(BL535=0,"INVALID – evidence ID must be the record's own ID only (e.g. SF-2210, IMG_2231, 1045521); a link / file name needs type 'Link / file path'",IF(OR(OR(LEN(AX535)&lt;2,ISNUMBER(MATCH(AX535,L_Placeholder,0))),BS535&lt;3),"INVALID – verifier missing or not a named person (a role such as QA / CSM is not a name)",IF(OR(AX535=AU535,CE535=1,AND(LEN(AU535)&gt;=4,ISNUMBER(SEARCH(AU535,AX535))),AND(LEN(AX535)&gt;=4,ISNUMBER(SEARCH(AX535,AU535)))),"INVALID – verifier must be a different, named person (not the PIC or a role)",IF(BH535=1,"INVALID – result not yet available (awaiting / TBC)",IF(BG535=1,"INVALID – result describes a problem: record Fail, then Pass after CA (or reword if it is not a problem)",IF(BV535=1,"INVALID – wording says not on board: an on-board confirmation needs the item loaded",IF(AND(AQ535=1,OR(OR(LEN(AY535)&lt;3,ISNUMBER(MATCH(AY535,L_Placeholder,0))),BJ535=1,BQ535=0)),"INVALID – batch ID missing, placeholder or not an ID (e.g. PASB-261008-BC-017)",IF(AND(AR535=1,OR(NOT(ISNUMBER(X535)),NOT(ISNUMBER(Y535)))),"INVALID – expected/actual qty missing",IF(AND(AR535=1,OR(X535&lt;=0,Y535&lt;0)),"INVALID – expected qty must be above 0 and actual not negative",IF(BB535&lt;&gt;"",BB535,IF(AND(AS535=1,Documents!$J$21&lt;&gt;"ON FILE"),"INVALID – GLD not on file (Documents sheet)",IF(AND(AS535=2,Documents!$O$21&lt;&gt;"ON FILE"),"INVALID – menu checklist not on file (Documents sheet)",IF(AND(AS535=3,NOT(ISNUMBER(Flights!$AX$21))),"INVALID – enter carrying flight KUL departure (Flights AX)",IF(AND(AS535=3,OR(Flights!$AZ$21&gt;Flights!$AA$21,Flights!$AX$21&lt;Flights!$AA$21-3)),"INVALID – carrying flight (Flights AX) cannot arrive before this leg's STD, or is over 3 days early",IF(AG535&gt;AsOfUTC,"INVALID – completion time is in the future",IF(AND(ISNUMBER(BY535),AG535&lt;BY535),IF(H535="Physical uplift","INVALID – before uplift window (cannot confirm loading)","INVALID – before valid window"),IF(AG535&gt;Flights!$AA$21,"INVALID – completed after departure (cannot establish readiness)",IF(AND(H535="Preparation",AG535&gt;=IF(ISNUMBER(Flights!$BA$21),MIN(Flights!$BA$21,Flights!$AA$21),Flights!$AA$21)),"INVALID – completed after loading / departure (cannot establish readiness)",IF(AND(H535="Physical uplift",AG535&gt;Q535),"INVALID – recorded after the loading flight departed",IF(AG535&gt;Q535,"COMPLETE – LATE","COMPLETE"))))))))))))))))))))))))),IF(TRIM(U535)="Fail","FAIL – DISCREPANCY",IF(AND(TRIM(U535)&lt;&gt;"",TRIM(U535)&lt;&gt;"Not started",TRIM(U535)&lt;&gt;"In progress"),"INVALID – unrecognised status (use the list)",IF(AsOfUTC&gt;Q535,"OVERDUE",IF(N535="Clarification required","OPEN – CLARIFICATION","OPEN"))))))),"INVALID – error value in an input cell")</f>
        <v>OPEN</v>
      </c>
      <c r="AI535" s="61" t="n">
        <f aca="false">IF(OR(AH535="N/A – RULE",AH535="N/A – JUSTIFIED"),0,1)</f>
        <v>1</v>
      </c>
      <c r="AJ535" s="61" t="n">
        <f aca="false">IF(LEFT(AH535,8)="COMPLETE",1,0)</f>
        <v>0</v>
      </c>
      <c r="AK535" s="61" t="n">
        <f aca="false">IF(AND(AI535=1,AJ535=0,AsOfUTC&gt;Q535),1,0)</f>
        <v>0</v>
      </c>
      <c r="AL535" s="61" t="n">
        <f aca="false">IFERROR(IF(AND(AI535=1,OR(TRIM(U535)="Fail",AND(TRIM(AB535)&lt;&gt;"",TRIM(AB535)&lt;&gt;"Closed"),AND(ISNUMBER(AF535),AF535&lt;&gt;0,TRIM(U535)&lt;&gt;"Pass after CA"))),1,0),1)</f>
        <v>0</v>
      </c>
      <c r="AM535" s="61" t="n">
        <f aca="false">IF(LEFT(AH535,7)="INVALID",1,0)</f>
        <v>0</v>
      </c>
      <c r="AN535" s="61" t="n">
        <f aca="false">IF(AND(N535="Clarification required",AI535=1,AJ535=0),1,0)</f>
        <v>0</v>
      </c>
      <c r="AO535" s="61" t="str">
        <f aca="false">IF(AK535=1,SUM(AK$5:AK535),"")</f>
        <v/>
      </c>
      <c r="AP535" s="61" t="str">
        <f aca="false">IF(AL535=1,SUM(AL$5:AL535),"")</f>
        <v/>
      </c>
      <c r="AQ535" s="61" t="n">
        <v>0</v>
      </c>
      <c r="AR535" s="61" t="n">
        <v>0</v>
      </c>
      <c r="AS535" s="61" t="n">
        <v>0</v>
      </c>
      <c r="AT535" s="61" t="n">
        <v>0</v>
      </c>
      <c r="AU535" s="61" t="str">
        <f aca="false">SUBSTITUTE(SUBSTITUTE(SUBSTITUTE(SUBSTITUTE(SUBSTITUTE(SUBSTITUTE(SUBSTITUTE(SUBSTITUTE(SUBSTITUTE(SUBSTITUTE(SUBSTITUTE(SUBSTITUTE(SUBSTITUTE(SUBSTITUTE(SUBSTITUTE(SUBSTITUTE(LOWER(T535&amp;""),CHAR(10),""),CHAR(13),""),CHAR(9),""),CHAR(160),"")," ",""),".",""),"-",""),"/",""),"?",""),"_",""),",",""),"[",""),"]",""),"(",""),")",""),"*","")</f>
        <v/>
      </c>
      <c r="AV535" s="61" t="str">
        <f aca="false">SUBSTITUTE(SUBSTITUTE(SUBSTITUTE(SUBSTITUTE(SUBSTITUTE(SUBSTITUTE(SUBSTITUTE(SUBSTITUTE(SUBSTITUTE(SUBSTITUTE(SUBSTITUTE(SUBSTITUTE(SUBSTITUTE(SUBSTITUTE(SUBSTITUTE(SUBSTITUTE(LOWER(V535&amp;""),CHAR(10),""),CHAR(13),""),CHAR(9),""),CHAR(160),"")," ",""),".",""),"-",""),"/",""),"?",""),"_",""),",",""),"[",""),"]",""),"(",""),")",""),"*","")</f>
        <v/>
      </c>
      <c r="AW535" s="61" t="str">
        <f aca="false">SUBSTITUTE(SUBSTITUTE(SUBSTITUTE(SUBSTITUTE(SUBSTITUTE(SUBSTITUTE(SUBSTITUTE(SUBSTITUTE(SUBSTITUTE(SUBSTITUTE(SUBSTITUTE(SUBSTITUTE(SUBSTITUTE(SUBSTITUTE(SUBSTITUTE(SUBSTITUTE(LOWER(Z535&amp;""),CHAR(10),""),CHAR(13),""),CHAR(9),""),CHAR(160),"")," ",""),".",""),"-",""),"/",""),"?",""),"_",""),",",""),"[",""),"]",""),"(",""),")",""),"*","")</f>
        <v/>
      </c>
      <c r="AX535" s="61" t="str">
        <f aca="false">SUBSTITUTE(SUBSTITUTE(SUBSTITUTE(SUBSTITUTE(SUBSTITUTE(SUBSTITUTE(SUBSTITUTE(SUBSTITUTE(SUBSTITUTE(SUBSTITUTE(SUBSTITUTE(SUBSTITUTE(SUBSTITUTE(SUBSTITUTE(SUBSTITUTE(SUBSTITUTE(LOWER(AE535&amp;""),CHAR(10),""),CHAR(13),""),CHAR(9),""),CHAR(160),"")," ",""),".",""),"-",""),"/",""),"?",""),"_",""),",",""),"[",""),"]",""),"(",""),")",""),"*","")</f>
        <v/>
      </c>
      <c r="AY535" s="61" t="str">
        <f aca="false">SUBSTITUTE(SUBSTITUTE(SUBSTITUTE(SUBSTITUTE(SUBSTITUTE(SUBSTITUTE(SUBSTITUTE(SUBSTITUTE(SUBSTITUTE(SUBSTITUTE(SUBSTITUTE(SUBSTITUTE(SUBSTITUTE(SUBSTITUTE(SUBSTITUTE(SUBSTITUTE(LOWER(W535&amp;""),CHAR(10),""),CHAR(13),""),CHAR(9),""),CHAR(160),"")," ",""),".",""),"-",""),"/",""),"?",""),"_",""),",",""),"[",""),"]",""),"(",""),")",""),"*","")</f>
        <v/>
      </c>
      <c r="AZ535" s="61" t="str">
        <f aca="false">SUBSTITUTE(SUBSTITUTE(SUBSTITUTE(SUBSTITUTE(SUBSTITUTE(SUBSTITUTE(SUBSTITUTE(SUBSTITUTE(SUBSTITUTE(SUBSTITUTE(SUBSTITUTE(SUBSTITUTE(SUBSTITUTE(SUBSTITUTE(SUBSTITUTE(SUBSTITUTE(LOWER(AC535&amp;""),CHAR(10),""),CHAR(13),""),CHAR(9),""),CHAR(160),"")," ",""),".",""),"-",""),"/",""),"?",""),"_",""),",",""),"[",""),"]",""),"(",""),")",""),"*","")</f>
        <v/>
      </c>
      <c r="BA535" s="61" t="str">
        <f aca="false">SUBSTITUTE(SUBSTITUTE(SUBSTITUTE(SUBSTITUTE(SUBSTITUTE(SUBSTITUTE(SUBSTITUTE(SUBSTITUTE(SUBSTITUTE(SUBSTITUTE(SUBSTITUTE(SUBSTITUTE(SUBSTITUTE(SUBSTITUTE(SUBSTITUTE(SUBSTITUTE(LOWER(AA535&amp;""),CHAR(10),""),CHAR(13),""),CHAR(9),""),CHAR(160),"")," ",""),".",""),"-",""),"/",""),"?",""),"_",""),",",""),"[",""),"]",""),"(",""),")",""),"*","")</f>
        <v/>
      </c>
      <c r="BB535" s="61" t="str">
        <f aca="false">IF(AND(TRIM(U535)="Pass",ISNUMBER(AF535)),IF(AF535&lt;&gt;0,"INVALID – qty variance: use Fail or Pass after CA",""),"")&amp;IF(AND(TRIM(U535)="Pass after CA",ISNUMBER(AF535)),IF(AF535&lt;&gt;0,"INVALID – after the corrective action the actual qty must equal expected (update Actual)",""),"")&amp;IF(AND(TRIM(U535)="Pass",TRIM(AB535)&lt;&gt;"",TRIM(AB535)&lt;&gt;"Closed"),"INVALID – corrective action not closed: use Fail, then Pass after CA","")&amp;IF(AND(LEN(BA535)&gt;=2,ISNA(MATCH(LEFT(BA535,255),L_Placeholder,0)),TRIM(AB535)=""),"INVALID – CA status missing for the recorded corrective action","")&amp;IF(AND(TRIM(U535)="Pass after CA",OR(OR(LEN(BA535)&lt;5,ISNUMBER(MATCH(BA535,L_Placeholder,0))),TRIM(AB535)&lt;&gt;"Closed")),"INVALID – corrective action not recorded/closed","")</f>
        <v/>
      </c>
      <c r="BC535" s="61" t="str">
        <f aca="false">" "&amp;TRIM(SUBSTITUTE(SUBSTITUTE(SUBSTITUTE(SUBSTITUTE(SUBSTITUTE(SUBSTITUTE(SUBSTITUTE(SUBSTITUTE(SUBSTITUTE(SUBSTITUTE(SUBSTITUTE(SUBSTITUTE(SUBSTITUTE(SUBSTITUTE(SUBSTITUTE(SUBSTITUTE(SUBSTITUTE(SUBSTITUTE(SUBSTITUTE(SUBSTITUTE(SUBSTITUTE(SUBSTITUTE(SUBSTITUTE(SUBSTITUTE(LOWER(V535&amp;""),CHAR(10)," "),CHAR(13)," "),CHAR(9)," "),CHAR(160)," "),"."," "),","," "),"-"," "),"/"," "),"("," "),")"," "),":"," "),";"," "),"_"," "),"–"," "),"?"," "),"!"," "),"*"," "),"["," "),"]"," "),"'"," "),"#"," "),"+"," "),"&amp;"," "),"\"," "))&amp;" "</f>
        <v>  </v>
      </c>
      <c r="BD535" s="61" t="str">
        <f aca="false">" "&amp;TRIM(SUBSTITUTE(SUBSTITUTE(SUBSTITUTE(SUBSTITUTE(SUBSTITUTE(SUBSTITUTE(SUBSTITUTE(SUBSTITUTE(SUBSTITUTE(SUBSTITUTE(SUBSTITUTE(SUBSTITUTE(SUBSTITUTE(SUBSTITUTE(SUBSTITUTE(SUBSTITUTE(SUBSTITUTE(SUBSTITUTE(SUBSTITUTE(SUBSTITUTE(SUBSTITUTE(SUBSTITUTE(SUBSTITUTE(SUBSTITUTE(LOWER(Z535&amp;""),CHAR(10)," "),CHAR(13)," "),CHAR(9)," "),CHAR(160)," "),"."," "),","," "),"-"," "),"/"," "),"("," "),")"," "),":"," "),";"," "),"_"," "),"–"," "),"?"," "),"!"," "),"*"," "),"["," "),"]"," "),"'"," "),"#"," "),"+"," "),"&amp;"," "),"\"," "))&amp;" "</f>
        <v>  </v>
      </c>
      <c r="BE535" s="61" t="str">
        <f aca="false">" "&amp;TRIM(SUBSTITUTE(SUBSTITUTE(SUBSTITUTE(SUBSTITUTE(SUBSTITUTE(SUBSTITUTE(SUBSTITUTE(SUBSTITUTE(SUBSTITUTE(SUBSTITUTE(SUBSTITUTE(SUBSTITUTE(SUBSTITUTE(SUBSTITUTE(SUBSTITUTE(SUBSTITUTE(SUBSTITUTE(SUBSTITUTE(SUBSTITUTE(SUBSTITUTE(SUBSTITUTE(SUBSTITUTE(SUBSTITUTE(SUBSTITUTE(LOWER(W535&amp;""),CHAR(10)," "),CHAR(13)," "),CHAR(9)," "),CHAR(160)," "),"."," "),","," "),"-"," "),"/"," "),"("," "),")"," "),":"," "),";"," "),"_"," "),"–"," "),"?"," "),"!"," "),"*"," "),"["," "),"]"," "),"'"," "),"#"," "),"+"," "),"&amp;"," "),"\"," "))&amp;" "</f>
        <v>  </v>
      </c>
      <c r="BF535" s="61" t="str">
        <f aca="false">" "&amp;TRIM(SUBSTITUTE(SUBSTITUTE(SUBSTITUTE(SUBSTITUTE(SUBSTITUTE(SUBSTITUTE(SUBSTITUTE(SUBSTITUTE(SUBSTITUTE(SUBSTITUTE(SUBSTITUTE(SUBSTITUTE(SUBSTITUTE(SUBSTITUTE(SUBSTITUTE(SUBSTITUTE(SUBSTITUTE(SUBSTITUTE(SUBSTITUTE(SUBSTITUTE(SUBSTITUTE(SUBSTITUTE(SUBSTITUTE(SUBSTITUTE(LOWER(AC535&amp;""),CHAR(10)," "),CHAR(13)," "),CHAR(9)," "),CHAR(160)," "),"."," "),","," "),"-"," "),"/"," "),"("," "),")"," "),":"," "),";"," "),"_"," "),"–"," "),"?"," "),"!"," "),"*"," "),"["," "),"]"," "),"'"," "),"#"," "),"+"," "),"&amp;"," "),"\"," "))&amp;" "</f>
        <v>  </v>
      </c>
      <c r="BG535" s="61" t="n">
        <f aca="false">IFERROR(IF(AND(TRIM(U535)="Pass",SUMPRODUCT((LEN(BC535)-LEN(SUBSTITUTE(BC535," "&amp;L_ResultBad&amp;" "," ")))/(LEN(L_ResultBad)+1))&gt;SUMPRODUCT((LEN(BC535)-LEN(SUBSTITUTE(BC535," "&amp;L_NegPhrase&amp;" "," ")))/(LEN(L_NegPhrase)+1))),1,0),0)</f>
        <v>0</v>
      </c>
      <c r="BH535" s="61" t="n">
        <f aca="false">IFERROR(IF(SUMPRODUCT((LEN(BC535)-LEN(SUBSTITUTE(BC535," "&amp;L_Pending&amp;" "," ")))/(LEN(L_Pending)+1))&gt;SUMPRODUCT((LEN(BC535)-LEN(SUBSTITUTE(BC535," "&amp;L_PendNeg&amp;" "," ")))/(LEN(L_PendNeg)+1))+SUMPRODUCT((LEN(BC535)-LEN(SUBSTITUTE(BC535," "&amp;L_PendPrep&amp;" "," ")))/(LEN(L_PendPrep)+1)),1,0),1)</f>
        <v>0</v>
      </c>
      <c r="BI535" s="61" t="n">
        <f aca="false">IFERROR(IF(SUMPRODUCT((LEN(BD535)-LEN(SUBSTITUTE(BD535," "&amp;L_PendStrict&amp;" "," ")))/(LEN(L_PendStrict)+1))&gt;SUMPRODUCT((LEN(BD535)-LEN(SUBSTITUTE(BD535," "&amp;L_PendNeg&amp;" "," ")))/(LEN(L_PendNeg)+1)),1,0),1)</f>
        <v>0</v>
      </c>
      <c r="BJ535" s="61" t="n">
        <f aca="false">IFERROR(IF(SUMPRODUCT((LEN(BE535)-LEN(SUBSTITUTE(BE535," "&amp;L_Pending&amp;" "," ")))/(LEN(L_Pending)+1))&gt;SUMPRODUCT((LEN(BE535)-LEN(SUBSTITUTE(BE535," "&amp;L_PendNeg&amp;" "," ")))/(LEN(L_PendNeg)+1))+SUMPRODUCT((LEN(BE535)-LEN(SUBSTITUTE(BE535," "&amp;L_PendPrep&amp;" "," ")))/(LEN(L_PendPrep)+1)),1,0),1)</f>
        <v>0</v>
      </c>
      <c r="BK535" s="61" t="n">
        <f aca="false">IFERROR(IF(SUMPRODUCT((LEN(BF535)-LEN(SUBSTITUTE(BF535," "&amp;L_PendStrict&amp;" "," ")))/(LEN(L_PendStrict)+1))&gt;SUMPRODUCT((LEN(BF535)-LEN(SUBSTITUTE(BF535," "&amp;L_PendNeg&amp;" "," ")))/(LEN(L_PendNeg)+1)),1,0),1)</f>
        <v>0</v>
      </c>
      <c r="BL535" s="61" t="n">
        <f aca="false">IF(ISNA(MATCH(TRIM(S535),L_EvidenceType,0)),0,BZ535)</f>
        <v>0</v>
      </c>
      <c r="BM535" s="61" t="str">
        <f aca="false">SUBSTITUTE(SUBSTITUTE(SUBSTITUTE(SUBSTITUTE(SUBSTITUTE(SUBSTITUTE(SUBSTITUTE(SUBSTITUTE(SUBSTITUTE(LOWER(Z535&amp;""),"1","0"),"2","0"),"3","0"),"4","0"),"5","0"),"6","0"),"7","0"),"8","0"),"9","0")</f>
        <v/>
      </c>
      <c r="BN535" s="61" t="str">
        <f aca="false">SUBSTITUTE(SUBSTITUTE(SUBSTITUTE(SUBSTITUTE(SUBSTITUTE(SUBSTITUTE(SUBSTITUTE(SUBSTITUTE(SUBSTITUTE(SUBSTITUTE(SUBSTITUTE(SUBSTITUTE(SUBSTITUTE(SUBSTITUTE(SUBSTITUTE(SUBSTITUTE(SUBSTITUTE(SUBSTITUTE(SUBSTITUTE(SUBSTITUTE(SUBSTITUTE(SUBSTITUTE(SUBSTITUTE(SUBSTITUTE(SUBSTITUTE(BM535,"b","a"),"c","a"),"d","a"),"e","a"),"f","a"),"g","a"),"h","a"),"i","a"),"j","a"),"k","a"),"l","a"),"m","a"),"n","a"),"o","a"),"p","a"),"q","a"),"r","a"),"s","a"),"t","a"),"u","a"),"v","a"),"w","a"),"x","a"),"y","a"),"z","a")</f>
        <v/>
      </c>
      <c r="BO535" s="61" t="str">
        <f aca="false">SUBSTITUTE(SUBSTITUTE(SUBSTITUTE(SUBSTITUTE(SUBSTITUTE(SUBSTITUTE(SUBSTITUTE(SUBSTITUTE(SUBSTITUTE(LOWER(W535&amp;""),"1","0"),"2","0"),"3","0"),"4","0"),"5","0"),"6","0"),"7","0"),"8","0"),"9","0")</f>
        <v/>
      </c>
      <c r="BP535" s="61" t="str">
        <f aca="false">SUBSTITUTE(SUBSTITUTE(SUBSTITUTE(SUBSTITUTE(SUBSTITUTE(SUBSTITUTE(SUBSTITUTE(SUBSTITUTE(SUBSTITUTE(SUBSTITUTE(SUBSTITUTE(SUBSTITUTE(SUBSTITUTE(SUBSTITUTE(SUBSTITUTE(SUBSTITUTE(SUBSTITUTE(SUBSTITUTE(SUBSTITUTE(SUBSTITUTE(SUBSTITUTE(SUBSTITUTE(SUBSTITUTE(SUBSTITUTE(SUBSTITUTE(BO535,"b","a"),"c","a"),"d","a"),"e","a"),"f","a"),"g","a"),"h","a"),"i","a"),"j","a"),"k","a"),"l","a"),"m","a"),"n","a"),"o","a"),"p","a"),"q","a"),"r","a"),"s","a"),"t","a"),"u","a"),"v","a"),"w","a"),"x","a"),"y","a"),"z","a")</f>
        <v/>
      </c>
      <c r="BQ535" s="61" t="n">
        <f aca="false">IFERROR(IF(AND(ISERROR(SEARCH(" mh"," "&amp;LOWER(W535))),ISNA(MATCH(LEFT(TRIM(BP535),255),{"0000a","000a","00a","0000aa","000aa","00aa","0aa","0000aaa","000aaa","00a00","0a00","0000-0000","00:00","a00","a0","00.00.0000","00/00/0000","00-00-0000","0000-00-00","0000/00/00","0000.00.00","00.00.00","00/00/00","00-00-00","0.00.0000","0/00/0000","0-00-0000"},0)),ISNA(MATCH(LEFT(TRIM(CA535),255),{"0000a","000a","00a","0000aa","000aa","00aa","0aa","0000aaa","000aaa","00a00","0a00","0000-0000","00:00","a00","a0","00.00.0000","00/00/0000","00-00-0000","0000-00-00","0000/00/00","0000.00.00","00.00.00","00/00/00","00-00-00","0.00.0000","0/00/0000","0-00-0000"},0)),LEN(CB535)&gt;=3,NOT(OR(SUBSTITUTE(CB535,"0","")="",AND(LEN(CB535)&gt;=4,CB535=REPT(LEFT(CB535),LEN(CB535))),ISNUMBER(MATCH(CB535,{"123","1234","12345","123456","1234567","12345678","0123","01234","012345","98765","987654","54321"},0)),AND(LEN(CB535)=8,LEFT(CB535,3)="202"))),OR(AND((LEN(CA535)-LEN(SUBSTITUTE(CA535,"a","")))&gt;=1,SUMPRODUCT(--ISNUMBER(SEARCH({"a0","a-0","a_0","a/0","a.0","a#0","0a","0-a","0_a","0/a"},BP535)))&gt;0),ISNUMBER(SEARCH("000000",BP535)))),1,0),0)</f>
        <v>0</v>
      </c>
      <c r="BR535" s="61" t="n">
        <f aca="false">IFERROR(LEN(SUBSTITUTE(CC535," ",""))-SUMPRODUCT((LEN(CC535)-LEN(SUBSTITUTE(CC535," "&amp;L_Role&amp;" "," ")))/(LEN(L_Role)+1)*LEN(L_Role)),0)</f>
        <v>0</v>
      </c>
      <c r="BS535" s="61" t="n">
        <f aca="false">IFERROR(LEN(SUBSTITUTE(CD535," ",""))-SUMPRODUCT((LEN(CD535)-LEN(SUBSTITUTE(CD535," "&amp;L_Role&amp;" "," ")))/(LEN(L_Role)+1)*LEN(L_Role)),0)</f>
        <v>0</v>
      </c>
      <c r="BT5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535,"revision",""),"version",""),"jan",""),"feb",""),"mar",""),"apr",""),"may",""),"jun",""),"jul",""),"aug",""),"sep",""),"oct",""),"nov",""),"dec",""),"utc",""),"gmt",""),"myt",""),"bst",""),"rev",""),"ver",""),"b","a"),"c","a"),"d","a"),"e","a"),"f","a"),"g","a"),"h","a"),"i","a"),"j","a"),"k","a"),"l","a"),"m","a"),"n","a"),"o","a"),"p","a"),"q","a"),"r","a"),"s","a"),"t","a"),"u","a"),"v","a"),"w","a"),"x","a"),"y","a"),"z","a")</f>
        <v/>
      </c>
      <c r="BU535" s="61" t="str">
        <f aca="false">SUBSTITUTE(SUBSTITUTE(SUBSTITUTE(SUBSTITUTE(SUBSTITUTE(SUBSTITUTE(SUBSTITUTE(SUBSTITUTE(SUBSTITUTE(SUBSTITUTE(LEFT(BM535,FIND("0",BM535&amp;"0")-1),"-",""),"_",""),"/",""),".",""),"#",""),"\\",""),":","")," ",""),"(",""),")","")</f>
        <v/>
      </c>
      <c r="BV535" s="61" t="n">
        <f aca="false">0</f>
        <v>0</v>
      </c>
      <c r="BW5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535&amp;""),"a",""),"b",""),"c",""),"d",""),"e",""),"f",""),"g",""),"h",""),"i",""),"j",""),"k",""),"l",""),"m",""),"n",""),"o",""),"p",""),"q",""),"r",""),"s",""),"t",""),"u",""),"v",""),"w",""),"x",""),"y",""),"z",""),"-",""),"_",""),"/",""),".",""),"#",""),"\\",""),":","")," ",""),"(",""),")","")</f>
        <v/>
      </c>
      <c r="BX535" s="61" t="str">
        <f aca="false">SUBSTITUTE(SUBSTITUTE(SUBSTITUTE(SUBSTITUTE(SUBSTITUTE(SUBSTITUTE(SUBSTITUTE(SUBSTITUTE(SUBSTITUTE(SUBSTITUTE(SUBSTITUTE(BM535,"0",""),"-",""),"_",""),"/",""),".",""),"#",""),"\\",""),":","")," ",""),"(",""),")","")</f>
        <v/>
      </c>
      <c r="BY535" s="62" t="n">
        <f aca="false">Q535-T7EarlyD*24/24</f>
        <v>46301.2847222222</v>
      </c>
      <c r="BZ535" s="61" t="n">
        <f aca="false">IFERROR(IF(IF(TRIM(S535)="Link / file path",AND(LEN(TRIM(Z535))&gt;=5,SUMPRODUCT(--ISNUMBER(SEARCH({"http","www.","\\",":\",".pdf",".jpg",".jpeg",".png",".heic",".xls",".doc",".msg",".eml",".ppt",".txt",".zip"},Z535)))&gt;0),AND(ISERROR(FIND(" ",TRIM(Z535))),NOT(OR(SUMPRODUCT(--ISNUMBER(FIND({",",";","&amp;","+"},Z535)))&gt;0,SUMPRODUCT(--ISNUMBER(SEARCH({"0/aa","0\\aa"},BN535)))&gt;0)),NOT(SUMPRODUCT(--ISNUMBER(SEARCH({"http","www.","\\",":\",".pdf",".jpg",".jpeg",".png",".heic",".xls",".doc",".msg",".eml",".ppt",".txt",".zip"},Z535)))&gt;0),NOT(LOWER(TRIM(Z535))=LOWER(Flights!$F$21)),ISNA(MATCH(BU535,{"mh","rev","revision","ver","version","v","r","a","b","seat","tray","row","gate","bay","stand","page","pg","item","line","no","cart","galley","flight","flt","table","box","bag","oven","etd","eta","std","sta","atd","ata","qty","pax","x","time","tel","ph","mob","day","wk","week","utc","gmt","myt","lt"},0)),NOT(OR(ISNUMBER(MATCH(LEFT(BN535,255),{"0000a","000a","00a","0000aa","000aa","00aa","0aa","0000aaa","000aaa","00a00","0a00","0000-0000","00:00","a00","a0","00.00.0000","00/00/0000","00-00-0000","0000-00-00","0000/00/00","0000.00.00","00.00.00","00/00/00","00-00-00","0.00.0000","0/00/0000","0-00-0000"},0)),ISNUMBER(MATCH(LEFT(BT535,255),{"0000a","000a","00a","0000aa","000aa","00aa","0aa","0000aaa","000aaa","00a00","0a00","0000-0000","00:00","a00","a0","00.00.0000","00/00/0000","00-00-0000","0000-00-00","0000/00/00","0000.00.00","00.00.00","00/00/00","00-00-00","0.00.0000","0/00/0000","0-00-0000"},0)))),NOT(OR(AND(BW535&lt;&gt;"",SUBSTITUTE(BW535,"0","")=""),AND(LEN(BW535)&gt;=4,BW535=REPT(LEFT(BW535),LEN(BW535))),ISNUMBER(MATCH(BW535,{"123","1234","12345","123456","1234567","12345678","0123","01234","012345","98765","987654","54321"},0)),ISNUMBER(MATCH(BX535,{"x","xx","xxx","xxxx","xxxxx","abc","abcd","nil","na","nan","test","tbc","tba","tbd","dummy","sample","example","eg","zz","zzz","none","null","xyz","qwe","asd","id","ref"},0)),AND(LEN(BW535)=8,BX535="",OR(LEFT(BW535,3)="202",ISNUMBER(MATCH(RIGHT(BW535,4),{"2025","2026","2027"},0)))))),OR(AND((LEN(BT535)-LEN(SUBSTITUTE(BT535,"a","")))&gt;=1,(LEN(BN535)-LEN(SUBSTITUTE(BN535,"0","")))&gt;=2,SUMPRODUCT(--ISNUMBER(SEARCH({"a0","a-0","a_0","a/0","a.0","a#0","0a","0-a","0_a","0/a"},BN535)))&gt;0),AND((LEN(BN535)-LEN(SUBSTITUTE(BN535,"a","")))=0,(LEN(BN535)-LEN(SUBSTITUTE(BN535,"0","")))&gt;=5)))),1,0),0)</f>
        <v>0</v>
      </c>
      <c r="CA5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535,"revision",""),"version",""),"jan",""),"feb",""),"mar",""),"apr",""),"may",""),"jun",""),"jul",""),"aug",""),"sep",""),"oct",""),"nov",""),"dec",""),"utc",""),"gmt",""),"myt",""),"bst",""),"rev",""),"ver",""),"b","a"),"c","a"),"d","a"),"e","a"),"f","a"),"g","a"),"h","a"),"i","a"),"j","a"),"k","a"),"l","a"),"m","a"),"n","a"),"o","a"),"p","a"),"q","a"),"r","a"),"s","a"),"t","a"),"u","a"),"v","a"),"w","a"),"x","a"),"y","a"),"z","a")</f>
        <v/>
      </c>
      <c r="CB5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535&amp;""),"a",""),"b",""),"c",""),"d",""),"e",""),"f",""),"g",""),"h",""),"i",""),"j",""),"k",""),"l",""),"m",""),"n",""),"o",""),"p",""),"q",""),"r",""),"s",""),"t",""),"u",""),"v",""),"w",""),"x",""),"y",""),"z",""),"-",""),"_",""),"/",""),".",""),"#",""),"\\",""),":","")," ",""),"(",""),")","")</f>
        <v/>
      </c>
      <c r="CC535" s="0" t="str">
        <f aca="false">" "&amp;TRIM(SUBSTITUTE(SUBSTITUTE(SUBSTITUTE(SUBSTITUTE(SUBSTITUTE(SUBSTITUTE(SUBSTITUTE(SUBSTITUTE(SUBSTITUTE(SUBSTITUTE(SUBSTITUTE(SUBSTITUTE(SUBSTITUTE(SUBSTITUTE(SUBSTITUTE(SUBSTITUTE(SUBSTITUTE(SUBSTITUTE(SUBSTITUTE(SUBSTITUTE(SUBSTITUTE(SUBSTITUTE(SUBSTITUTE(SUBSTITUTE(LOWER(T535&amp;""),CHAR(10)," "),CHAR(13)," "),CHAR(9)," "),CHAR(160)," "),"."," "),","," "),"-"," "),"/"," "),"("," "),")"," "),":"," "),";"," "),"_"," "),"–"," "),"?"," "),"!"," "),"*"," "),"["," "),"]"," "),"'"," "),"#"," "),"+"," "),"&amp;"," "),"\"," "))&amp;" "</f>
        <v>  </v>
      </c>
      <c r="CD535" s="0" t="str">
        <f aca="false">" "&amp;TRIM(SUBSTITUTE(SUBSTITUTE(SUBSTITUTE(SUBSTITUTE(SUBSTITUTE(SUBSTITUTE(SUBSTITUTE(SUBSTITUTE(SUBSTITUTE(SUBSTITUTE(SUBSTITUTE(SUBSTITUTE(SUBSTITUTE(SUBSTITUTE(SUBSTITUTE(SUBSTITUTE(SUBSTITUTE(SUBSTITUTE(SUBSTITUTE(SUBSTITUTE(SUBSTITUTE(SUBSTITUTE(SUBSTITUTE(SUBSTITUTE(LOWER(AE535&amp;""),CHAR(10)," "),CHAR(13)," "),CHAR(9)," "),CHAR(160)," "),"."," "),","," "),"-"," "),"/"," "),"("," "),")"," "),":"," "),";"," "),"_"," "),"–"," "),"?"," "),"!"," "),"*"," "),"["," "),"]"," "),"'"," "),"#"," "),"+"," "),"&amp;"," "),"\"," "))&amp;" "</f>
        <v>  </v>
      </c>
      <c r="CE535" s="68" t="n">
        <f aca="false">IFERROR(IF(AND(LEN(AU535)&gt;0,LEN(AU535)=LEN(AX535),OR(TRIM(MID(SUBSTITUTE(TRIM(CC535)," ",REPT(" ",60)),1,60))="",ISNUMBER(SEARCH(" "&amp;TRIM(MID(SUBSTITUTE(TRIM(CC535)," ",REPT(" ",60)),1,60))&amp;" ",CD535))),OR(TRIM(MID(SUBSTITUTE(TRIM(CC535)," ",REPT(" ",60)),61,60))="",ISNUMBER(SEARCH(" "&amp;TRIM(MID(SUBSTITUTE(TRIM(CC535)," ",REPT(" ",60)),61,60))&amp;" ",CD535))),OR(TRIM(MID(SUBSTITUTE(TRIM(CC535)," ",REPT(" ",60)),121,60))="",ISNUMBER(SEARCH(" "&amp;TRIM(MID(SUBSTITUTE(TRIM(CC535)," ",REPT(" ",60)),121,60))&amp;" ",CD535)))),1,0),0)</f>
        <v>0</v>
      </c>
      <c r="CG535" s="68" t="n">
        <f aca="false">IFERROR(LEN(SUBSTITUTE(BF535," ",""))-SUMPRODUCT((LEN(BF535)-LEN(SUBSTITUTE(BF535," "&amp;L_NAFiller&amp;" "," ")))/(LEN(L_NAFiller)+1)*LEN(L_NAFiller)),0)</f>
        <v>0</v>
      </c>
    </row>
    <row r="536" customFormat="false" ht="39.75" hidden="false" customHeight="true" outlineLevel="0" collapsed="false">
      <c r="A536" s="57" t="s">
        <v>1203</v>
      </c>
      <c r="B536" s="57" t="s">
        <v>290</v>
      </c>
      <c r="C536" s="57" t="str">
        <f aca="false">Flights!$F$21</f>
        <v>MH0073</v>
      </c>
      <c r="D536" s="58" t="n">
        <f aca="false">Flights!$D$21</f>
        <v>46322</v>
      </c>
      <c r="E536" s="57" t="str">
        <f aca="false">Flights!$G$21&amp;"-"&amp;Flights!$H$21</f>
        <v>HKG-KUL</v>
      </c>
      <c r="F536" s="57" t="str">
        <f aca="false">Flights!$K$21</f>
        <v>BC</v>
      </c>
      <c r="G536" s="57" t="s">
        <v>81</v>
      </c>
      <c r="H536" s="57" t="s">
        <v>378</v>
      </c>
      <c r="I536" s="57" t="s">
        <v>398</v>
      </c>
      <c r="J536" s="57" t="s">
        <v>402</v>
      </c>
      <c r="K536" s="67" t="s">
        <v>403</v>
      </c>
      <c r="L536" s="67" t="s">
        <v>382</v>
      </c>
      <c r="M536" s="67"/>
      <c r="N536" s="67" t="s">
        <v>383</v>
      </c>
      <c r="O536" s="67"/>
      <c r="P536" s="57" t="s">
        <v>282</v>
      </c>
      <c r="Q536" s="59" t="n">
        <f aca="false">ROUND((Flights!$AC$21)*1440,0)/1440</f>
        <v>46315.2847222222</v>
      </c>
      <c r="R536" s="59" t="n">
        <f aca="false">Q536+(IF(AND(INDEX(TZ_DSTS,MATCH(P536,TZ_STN,0))&lt;&gt;"",Q536&gt;=INDEX(TZ_DSTS,MATCH(P536,TZ_STN,0)),Q536&lt;INDEX(TZ_DSTE,MATCH(P536,TZ_STN,0))),INDEX(TZ_DST,MATCH(P536,TZ_STN,0)),INDEX(TZ_STD,MATCH(P536,TZ_STN,0))))/24</f>
        <v>46315.6180555556</v>
      </c>
      <c r="S536" s="60"/>
      <c r="T536" s="60"/>
      <c r="U536" s="60"/>
      <c r="V536" s="60"/>
      <c r="W536" s="61"/>
      <c r="X536" s="60"/>
      <c r="Y536" s="60"/>
      <c r="Z536" s="60"/>
      <c r="AA536" s="60"/>
      <c r="AB536" s="60"/>
      <c r="AC536" s="60"/>
      <c r="AD536" s="66"/>
      <c r="AE536" s="60"/>
      <c r="AF536" s="61" t="str">
        <f aca="false">IF(AND(ISNUMBER(X536),ISNUMBER(Y536)),Y536-X536,"")</f>
        <v/>
      </c>
      <c r="AG536" s="62" t="str">
        <f aca="false">IF(ISNUMBER(AD536),AD536-(IF(AND(INDEX(TZ_DSTS,MATCH(P536,TZ_STN,0))&lt;&gt;"",(AD536-INDEX(TZ_STD,MATCH(P536,TZ_STN,0))/24)&gt;=INDEX(TZ_DSTS,MATCH(P536,TZ_STN,0)),(AD536-INDEX(TZ_STD,MATCH(P536,TZ_STN,0))/24)&lt;INDEX(TZ_DSTE,MATCH(P536,TZ_STN,0))),INDEX(TZ_DST,MATCH(P536,TZ_STN,0)),INDEX(TZ_STD,MATCH(P536,TZ_STN,0))))/24,"")</f>
        <v/>
      </c>
      <c r="AH536" s="65" t="str">
        <f aca="false">IFERROR(IF(N536="N/A – rule",IF(OR(TRIM(U536)="",TRIM(U536)="N/A",TRIM(U536)="Not started"),"N/A – RULE","INVALID – this check does not apply to this aircraft: clear the status (or correct the fleet on Flights)"),IF(TRIM(U536)="N/A",IF(AT536=0,"INVALID – N/A not permitted for this check",IF(AND(TRIM(AB536)&lt;&gt;"",TRIM(AB536)&lt;&gt;"Closed"),"INVALID – corrective action still open",IF(AND(NOT(OR(LEN(AZ536)&lt;15,ISNUMBER(MATCH(AZ536,L_Placeholder,0)))),BK536=0,CG536&gt;=8,NOT(OR(LEN(AU536)&lt;2,ISNUMBER(MATCH(AU536,L_Placeholder,0)))),BR536&gt;=3,NOT(OR(LEN(AX536)&lt;2,ISNUMBER(MATCH(AX536,L_Placeholder,0)))),BS536&gt;=3,TRIM(AE536)&lt;&gt;TRIM(T536),AX536&lt;&gt;AU536,CE536=0),"N/A – JUSTIFIED","INVALID – N/A needs a real, settled reason (not 'not applicable' / 'as above' / TBC), a named PIC and a different named verifier"))),IF(OR(TRIM(U536)="Pass",TRIM(U536)="Pass after CA"),IF(NOT(ISNUMBER(AD536)),"INVALID – completion time missing",IF(OR(OR(LEN(AU536)&lt;2,ISNUMBER(MATCH(AU536,L_Placeholder,0))),BR536&lt;3),"INVALID – PIC missing or not a named person (a role such as QA / CSM is not a name)",IF(OR(LEN(AV536)&lt;2,ISNUMBER(MATCH(AV536,L_Placeholder,0))),"INVALID – result / assessment missing",IF(OR(OR(LEN(AW536)&lt;3,ISNUMBER(MATCH(AW536,L_Placeholder,0))),SUMPRODUCT(--ISNUMBER(SEARCH(" "&amp;L_EvidencePhrase&amp;" ",BD536)))&gt;0,BI536=1),"INVALID – evidence missing, placeholder or not yet on file",IF(ISNA(MATCH(TRIM(S536),L_EvidenceType,0)),"INVALID – choose the evidence type from the list (column S)",IF(BL536=0,"INVALID – evidence ID must be the record's own ID only (e.g. SF-2210, IMG_2231, 1045521); a link / file name needs type 'Link / file path'",IF(OR(OR(LEN(AX536)&lt;2,ISNUMBER(MATCH(AX536,L_Placeholder,0))),BS536&lt;3),"INVALID – verifier missing or not a named person (a role such as QA / CSM is not a name)",IF(OR(AX536=AU536,CE536=1,AND(LEN(AU536)&gt;=4,ISNUMBER(SEARCH(AU536,AX536))),AND(LEN(AX536)&gt;=4,ISNUMBER(SEARCH(AX536,AU536)))),"INVALID – verifier must be a different, named person (not the PIC or a role)",IF(BH536=1,"INVALID – result not yet available (awaiting / TBC)",IF(BG536=1,"INVALID – result describes a problem: record Fail, then Pass after CA (or reword if it is not a problem)",IF(BV536=1,"INVALID – wording says not on board: an on-board confirmation needs the item loaded",IF(AND(AQ536=1,OR(OR(LEN(AY536)&lt;3,ISNUMBER(MATCH(AY536,L_Placeholder,0))),BJ536=1,BQ536=0)),"INVALID – batch ID missing, placeholder or not an ID (e.g. PASB-261008-BC-017)",IF(AND(AR536=1,OR(NOT(ISNUMBER(X536)),NOT(ISNUMBER(Y536)))),"INVALID – expected/actual qty missing",IF(AND(AR536=1,OR(X536&lt;=0,Y536&lt;0)),"INVALID – expected qty must be above 0 and actual not negative",IF(BB536&lt;&gt;"",BB536,IF(AND(AS536=1,Documents!$J$21&lt;&gt;"ON FILE"),"INVALID – GLD not on file (Documents sheet)",IF(AND(AS536=2,Documents!$O$21&lt;&gt;"ON FILE"),"INVALID – menu checklist not on file (Documents sheet)",IF(AND(AS536=3,NOT(ISNUMBER(Flights!$AX$21))),"INVALID – enter carrying flight KUL departure (Flights AX)",IF(AND(AS536=3,OR(Flights!$AZ$21&gt;Flights!$AA$21,Flights!$AX$21&lt;Flights!$AA$21-3)),"INVALID – carrying flight (Flights AX) cannot arrive before this leg's STD, or is over 3 days early",IF(AG536&gt;AsOfUTC,"INVALID – completion time is in the future",IF(AND(ISNUMBER(BY536),AG536&lt;BY536),IF(H536="Physical uplift","INVALID – before uplift window (cannot confirm loading)","INVALID – before valid window"),IF(AG536&gt;Flights!$AA$21,"INVALID – completed after departure (cannot establish readiness)",IF(AND(H536="Preparation",AG536&gt;=IF(ISNUMBER(Flights!$BA$21),MIN(Flights!$BA$21,Flights!$AA$21),Flights!$AA$21)),"INVALID – completed after loading / departure (cannot establish readiness)",IF(AND(H536="Physical uplift",AG536&gt;Q536),"INVALID – recorded after the loading flight departed",IF(AG536&gt;Q536,"COMPLETE – LATE","COMPLETE"))))))))))))))))))))))))),IF(TRIM(U536)="Fail","FAIL – DISCREPANCY",IF(AND(TRIM(U536)&lt;&gt;"",TRIM(U536)&lt;&gt;"Not started",TRIM(U536)&lt;&gt;"In progress"),"INVALID – unrecognised status (use the list)",IF(AsOfUTC&gt;Q536,"OVERDUE",IF(N536="Clarification required","OPEN – CLARIFICATION","OPEN"))))))),"INVALID – error value in an input cell")</f>
        <v>OPEN</v>
      </c>
      <c r="AI536" s="61" t="n">
        <f aca="false">IF(OR(AH536="N/A – RULE",AH536="N/A – JUSTIFIED"),0,1)</f>
        <v>1</v>
      </c>
      <c r="AJ536" s="61" t="n">
        <f aca="false">IF(LEFT(AH536,8)="COMPLETE",1,0)</f>
        <v>0</v>
      </c>
      <c r="AK536" s="61" t="n">
        <f aca="false">IF(AND(AI536=1,AJ536=0,AsOfUTC&gt;Q536),1,0)</f>
        <v>0</v>
      </c>
      <c r="AL536" s="61" t="n">
        <f aca="false">IFERROR(IF(AND(AI536=1,OR(TRIM(U536)="Fail",AND(TRIM(AB536)&lt;&gt;"",TRIM(AB536)&lt;&gt;"Closed"),AND(ISNUMBER(AF536),AF536&lt;&gt;0,TRIM(U536)&lt;&gt;"Pass after CA"))),1,0),1)</f>
        <v>0</v>
      </c>
      <c r="AM536" s="61" t="n">
        <f aca="false">IF(LEFT(AH536,7)="INVALID",1,0)</f>
        <v>0</v>
      </c>
      <c r="AN536" s="61" t="n">
        <f aca="false">IF(AND(N536="Clarification required",AI536=1,AJ536=0),1,0)</f>
        <v>0</v>
      </c>
      <c r="AO536" s="61" t="str">
        <f aca="false">IF(AK536=1,SUM(AK$5:AK536),"")</f>
        <v/>
      </c>
      <c r="AP536" s="61" t="str">
        <f aca="false">IF(AL536=1,SUM(AL$5:AL536),"")</f>
        <v/>
      </c>
      <c r="AQ536" s="61" t="n">
        <v>0</v>
      </c>
      <c r="AR536" s="61" t="n">
        <v>0</v>
      </c>
      <c r="AS536" s="61" t="n">
        <v>0</v>
      </c>
      <c r="AT536" s="61" t="n">
        <v>0</v>
      </c>
      <c r="AU536" s="61" t="str">
        <f aca="false">SUBSTITUTE(SUBSTITUTE(SUBSTITUTE(SUBSTITUTE(SUBSTITUTE(SUBSTITUTE(SUBSTITUTE(SUBSTITUTE(SUBSTITUTE(SUBSTITUTE(SUBSTITUTE(SUBSTITUTE(SUBSTITUTE(SUBSTITUTE(SUBSTITUTE(SUBSTITUTE(LOWER(T536&amp;""),CHAR(10),""),CHAR(13),""),CHAR(9),""),CHAR(160),"")," ",""),".",""),"-",""),"/",""),"?",""),"_",""),",",""),"[",""),"]",""),"(",""),")",""),"*","")</f>
        <v/>
      </c>
      <c r="AV536" s="61" t="str">
        <f aca="false">SUBSTITUTE(SUBSTITUTE(SUBSTITUTE(SUBSTITUTE(SUBSTITUTE(SUBSTITUTE(SUBSTITUTE(SUBSTITUTE(SUBSTITUTE(SUBSTITUTE(SUBSTITUTE(SUBSTITUTE(SUBSTITUTE(SUBSTITUTE(SUBSTITUTE(SUBSTITUTE(LOWER(V536&amp;""),CHAR(10),""),CHAR(13),""),CHAR(9),""),CHAR(160),"")," ",""),".",""),"-",""),"/",""),"?",""),"_",""),",",""),"[",""),"]",""),"(",""),")",""),"*","")</f>
        <v/>
      </c>
      <c r="AW536" s="61" t="str">
        <f aca="false">SUBSTITUTE(SUBSTITUTE(SUBSTITUTE(SUBSTITUTE(SUBSTITUTE(SUBSTITUTE(SUBSTITUTE(SUBSTITUTE(SUBSTITUTE(SUBSTITUTE(SUBSTITUTE(SUBSTITUTE(SUBSTITUTE(SUBSTITUTE(SUBSTITUTE(SUBSTITUTE(LOWER(Z536&amp;""),CHAR(10),""),CHAR(13),""),CHAR(9),""),CHAR(160),"")," ",""),".",""),"-",""),"/",""),"?",""),"_",""),",",""),"[",""),"]",""),"(",""),")",""),"*","")</f>
        <v/>
      </c>
      <c r="AX536" s="61" t="str">
        <f aca="false">SUBSTITUTE(SUBSTITUTE(SUBSTITUTE(SUBSTITUTE(SUBSTITUTE(SUBSTITUTE(SUBSTITUTE(SUBSTITUTE(SUBSTITUTE(SUBSTITUTE(SUBSTITUTE(SUBSTITUTE(SUBSTITUTE(SUBSTITUTE(SUBSTITUTE(SUBSTITUTE(LOWER(AE536&amp;""),CHAR(10),""),CHAR(13),""),CHAR(9),""),CHAR(160),"")," ",""),".",""),"-",""),"/",""),"?",""),"_",""),",",""),"[",""),"]",""),"(",""),")",""),"*","")</f>
        <v/>
      </c>
      <c r="AY536" s="61" t="str">
        <f aca="false">SUBSTITUTE(SUBSTITUTE(SUBSTITUTE(SUBSTITUTE(SUBSTITUTE(SUBSTITUTE(SUBSTITUTE(SUBSTITUTE(SUBSTITUTE(SUBSTITUTE(SUBSTITUTE(SUBSTITUTE(SUBSTITUTE(SUBSTITUTE(SUBSTITUTE(SUBSTITUTE(LOWER(W536&amp;""),CHAR(10),""),CHAR(13),""),CHAR(9),""),CHAR(160),"")," ",""),".",""),"-",""),"/",""),"?",""),"_",""),",",""),"[",""),"]",""),"(",""),")",""),"*","")</f>
        <v/>
      </c>
      <c r="AZ536" s="61" t="str">
        <f aca="false">SUBSTITUTE(SUBSTITUTE(SUBSTITUTE(SUBSTITUTE(SUBSTITUTE(SUBSTITUTE(SUBSTITUTE(SUBSTITUTE(SUBSTITUTE(SUBSTITUTE(SUBSTITUTE(SUBSTITUTE(SUBSTITUTE(SUBSTITUTE(SUBSTITUTE(SUBSTITUTE(LOWER(AC536&amp;""),CHAR(10),""),CHAR(13),""),CHAR(9),""),CHAR(160),"")," ",""),".",""),"-",""),"/",""),"?",""),"_",""),",",""),"[",""),"]",""),"(",""),")",""),"*","")</f>
        <v/>
      </c>
      <c r="BA536" s="61" t="str">
        <f aca="false">SUBSTITUTE(SUBSTITUTE(SUBSTITUTE(SUBSTITUTE(SUBSTITUTE(SUBSTITUTE(SUBSTITUTE(SUBSTITUTE(SUBSTITUTE(SUBSTITUTE(SUBSTITUTE(SUBSTITUTE(SUBSTITUTE(SUBSTITUTE(SUBSTITUTE(SUBSTITUTE(LOWER(AA536&amp;""),CHAR(10),""),CHAR(13),""),CHAR(9),""),CHAR(160),"")," ",""),".",""),"-",""),"/",""),"?",""),"_",""),",",""),"[",""),"]",""),"(",""),")",""),"*","")</f>
        <v/>
      </c>
      <c r="BB536" s="61" t="str">
        <f aca="false">IF(AND(TRIM(U536)="Pass",ISNUMBER(AF536)),IF(AF536&lt;&gt;0,"INVALID – qty variance: use Fail or Pass after CA",""),"")&amp;IF(AND(TRIM(U536)="Pass after CA",ISNUMBER(AF536)),IF(AF536&lt;&gt;0,"INVALID – after the corrective action the actual qty must equal expected (update Actual)",""),"")&amp;IF(AND(TRIM(U536)="Pass",TRIM(AB536)&lt;&gt;"",TRIM(AB536)&lt;&gt;"Closed"),"INVALID – corrective action not closed: use Fail, then Pass after CA","")&amp;IF(AND(LEN(BA536)&gt;=2,ISNA(MATCH(LEFT(BA536,255),L_Placeholder,0)),TRIM(AB536)=""),"INVALID – CA status missing for the recorded corrective action","")&amp;IF(AND(TRIM(U536)="Pass after CA",OR(OR(LEN(BA536)&lt;5,ISNUMBER(MATCH(BA536,L_Placeholder,0))),TRIM(AB536)&lt;&gt;"Closed")),"INVALID – corrective action not recorded/closed","")</f>
        <v/>
      </c>
      <c r="BC536" s="61" t="str">
        <f aca="false">" "&amp;TRIM(SUBSTITUTE(SUBSTITUTE(SUBSTITUTE(SUBSTITUTE(SUBSTITUTE(SUBSTITUTE(SUBSTITUTE(SUBSTITUTE(SUBSTITUTE(SUBSTITUTE(SUBSTITUTE(SUBSTITUTE(SUBSTITUTE(SUBSTITUTE(SUBSTITUTE(SUBSTITUTE(SUBSTITUTE(SUBSTITUTE(SUBSTITUTE(SUBSTITUTE(SUBSTITUTE(SUBSTITUTE(SUBSTITUTE(SUBSTITUTE(LOWER(V536&amp;""),CHAR(10)," "),CHAR(13)," "),CHAR(9)," "),CHAR(160)," "),"."," "),","," "),"-"," "),"/"," "),"("," "),")"," "),":"," "),";"," "),"_"," "),"–"," "),"?"," "),"!"," "),"*"," "),"["," "),"]"," "),"'"," "),"#"," "),"+"," "),"&amp;"," "),"\"," "))&amp;" "</f>
        <v>  </v>
      </c>
      <c r="BD536" s="61" t="str">
        <f aca="false">" "&amp;TRIM(SUBSTITUTE(SUBSTITUTE(SUBSTITUTE(SUBSTITUTE(SUBSTITUTE(SUBSTITUTE(SUBSTITUTE(SUBSTITUTE(SUBSTITUTE(SUBSTITUTE(SUBSTITUTE(SUBSTITUTE(SUBSTITUTE(SUBSTITUTE(SUBSTITUTE(SUBSTITUTE(SUBSTITUTE(SUBSTITUTE(SUBSTITUTE(SUBSTITUTE(SUBSTITUTE(SUBSTITUTE(SUBSTITUTE(SUBSTITUTE(LOWER(Z536&amp;""),CHAR(10)," "),CHAR(13)," "),CHAR(9)," "),CHAR(160)," "),"."," "),","," "),"-"," "),"/"," "),"("," "),")"," "),":"," "),";"," "),"_"," "),"–"," "),"?"," "),"!"," "),"*"," "),"["," "),"]"," "),"'"," "),"#"," "),"+"," "),"&amp;"," "),"\"," "))&amp;" "</f>
        <v>  </v>
      </c>
      <c r="BE536" s="61" t="str">
        <f aca="false">" "&amp;TRIM(SUBSTITUTE(SUBSTITUTE(SUBSTITUTE(SUBSTITUTE(SUBSTITUTE(SUBSTITUTE(SUBSTITUTE(SUBSTITUTE(SUBSTITUTE(SUBSTITUTE(SUBSTITUTE(SUBSTITUTE(SUBSTITUTE(SUBSTITUTE(SUBSTITUTE(SUBSTITUTE(SUBSTITUTE(SUBSTITUTE(SUBSTITUTE(SUBSTITUTE(SUBSTITUTE(SUBSTITUTE(SUBSTITUTE(SUBSTITUTE(LOWER(W536&amp;""),CHAR(10)," "),CHAR(13)," "),CHAR(9)," "),CHAR(160)," "),"."," "),","," "),"-"," "),"/"," "),"("," "),")"," "),":"," "),";"," "),"_"," "),"–"," "),"?"," "),"!"," "),"*"," "),"["," "),"]"," "),"'"," "),"#"," "),"+"," "),"&amp;"," "),"\"," "))&amp;" "</f>
        <v>  </v>
      </c>
      <c r="BF536" s="61" t="str">
        <f aca="false">" "&amp;TRIM(SUBSTITUTE(SUBSTITUTE(SUBSTITUTE(SUBSTITUTE(SUBSTITUTE(SUBSTITUTE(SUBSTITUTE(SUBSTITUTE(SUBSTITUTE(SUBSTITUTE(SUBSTITUTE(SUBSTITUTE(SUBSTITUTE(SUBSTITUTE(SUBSTITUTE(SUBSTITUTE(SUBSTITUTE(SUBSTITUTE(SUBSTITUTE(SUBSTITUTE(SUBSTITUTE(SUBSTITUTE(SUBSTITUTE(SUBSTITUTE(LOWER(AC536&amp;""),CHAR(10)," "),CHAR(13)," "),CHAR(9)," "),CHAR(160)," "),"."," "),","," "),"-"," "),"/"," "),"("," "),")"," "),":"," "),";"," "),"_"," "),"–"," "),"?"," "),"!"," "),"*"," "),"["," "),"]"," "),"'"," "),"#"," "),"+"," "),"&amp;"," "),"\"," "))&amp;" "</f>
        <v>  </v>
      </c>
      <c r="BG536" s="61" t="n">
        <f aca="false">IFERROR(IF(AND(TRIM(U536)="Pass",SUMPRODUCT((LEN(BC536)-LEN(SUBSTITUTE(BC536," "&amp;L_ResultBad&amp;" "," ")))/(LEN(L_ResultBad)+1))&gt;SUMPRODUCT((LEN(BC536)-LEN(SUBSTITUTE(BC536," "&amp;L_NegPhrase&amp;" "," ")))/(LEN(L_NegPhrase)+1))),1,0),0)</f>
        <v>0</v>
      </c>
      <c r="BH536" s="61" t="n">
        <f aca="false">IFERROR(IF(SUMPRODUCT((LEN(BC536)-LEN(SUBSTITUTE(BC536," "&amp;L_Pending&amp;" "," ")))/(LEN(L_Pending)+1))&gt;SUMPRODUCT((LEN(BC536)-LEN(SUBSTITUTE(BC536," "&amp;L_PendNeg&amp;" "," ")))/(LEN(L_PendNeg)+1))+SUMPRODUCT((LEN(BC536)-LEN(SUBSTITUTE(BC536," "&amp;L_PendPrep&amp;" "," ")))/(LEN(L_PendPrep)+1)),1,0),1)</f>
        <v>0</v>
      </c>
      <c r="BI536" s="61" t="n">
        <f aca="false">IFERROR(IF(SUMPRODUCT((LEN(BD536)-LEN(SUBSTITUTE(BD536," "&amp;L_PendStrict&amp;" "," ")))/(LEN(L_PendStrict)+1))&gt;SUMPRODUCT((LEN(BD536)-LEN(SUBSTITUTE(BD536," "&amp;L_PendNeg&amp;" "," ")))/(LEN(L_PendNeg)+1)),1,0),1)</f>
        <v>0</v>
      </c>
      <c r="BJ536" s="61" t="n">
        <f aca="false">IFERROR(IF(SUMPRODUCT((LEN(BE536)-LEN(SUBSTITUTE(BE536," "&amp;L_Pending&amp;" "," ")))/(LEN(L_Pending)+1))&gt;SUMPRODUCT((LEN(BE536)-LEN(SUBSTITUTE(BE536," "&amp;L_PendNeg&amp;" "," ")))/(LEN(L_PendNeg)+1))+SUMPRODUCT((LEN(BE536)-LEN(SUBSTITUTE(BE536," "&amp;L_PendPrep&amp;" "," ")))/(LEN(L_PendPrep)+1)),1,0),1)</f>
        <v>0</v>
      </c>
      <c r="BK536" s="61" t="n">
        <f aca="false">IFERROR(IF(SUMPRODUCT((LEN(BF536)-LEN(SUBSTITUTE(BF536," "&amp;L_PendStrict&amp;" "," ")))/(LEN(L_PendStrict)+1))&gt;SUMPRODUCT((LEN(BF536)-LEN(SUBSTITUTE(BF536," "&amp;L_PendNeg&amp;" "," ")))/(LEN(L_PendNeg)+1)),1,0),1)</f>
        <v>0</v>
      </c>
      <c r="BL536" s="61" t="n">
        <f aca="false">IF(ISNA(MATCH(TRIM(S536),L_EvidenceType,0)),0,BZ536)</f>
        <v>0</v>
      </c>
      <c r="BM536" s="61" t="str">
        <f aca="false">SUBSTITUTE(SUBSTITUTE(SUBSTITUTE(SUBSTITUTE(SUBSTITUTE(SUBSTITUTE(SUBSTITUTE(SUBSTITUTE(SUBSTITUTE(LOWER(Z536&amp;""),"1","0"),"2","0"),"3","0"),"4","0"),"5","0"),"6","0"),"7","0"),"8","0"),"9","0")</f>
        <v/>
      </c>
      <c r="BN536" s="61" t="str">
        <f aca="false">SUBSTITUTE(SUBSTITUTE(SUBSTITUTE(SUBSTITUTE(SUBSTITUTE(SUBSTITUTE(SUBSTITUTE(SUBSTITUTE(SUBSTITUTE(SUBSTITUTE(SUBSTITUTE(SUBSTITUTE(SUBSTITUTE(SUBSTITUTE(SUBSTITUTE(SUBSTITUTE(SUBSTITUTE(SUBSTITUTE(SUBSTITUTE(SUBSTITUTE(SUBSTITUTE(SUBSTITUTE(SUBSTITUTE(SUBSTITUTE(SUBSTITUTE(BM536,"b","a"),"c","a"),"d","a"),"e","a"),"f","a"),"g","a"),"h","a"),"i","a"),"j","a"),"k","a"),"l","a"),"m","a"),"n","a"),"o","a"),"p","a"),"q","a"),"r","a"),"s","a"),"t","a"),"u","a"),"v","a"),"w","a"),"x","a"),"y","a"),"z","a")</f>
        <v/>
      </c>
      <c r="BO536" s="61" t="str">
        <f aca="false">SUBSTITUTE(SUBSTITUTE(SUBSTITUTE(SUBSTITUTE(SUBSTITUTE(SUBSTITUTE(SUBSTITUTE(SUBSTITUTE(SUBSTITUTE(LOWER(W536&amp;""),"1","0"),"2","0"),"3","0"),"4","0"),"5","0"),"6","0"),"7","0"),"8","0"),"9","0")</f>
        <v/>
      </c>
      <c r="BP536" s="61" t="str">
        <f aca="false">SUBSTITUTE(SUBSTITUTE(SUBSTITUTE(SUBSTITUTE(SUBSTITUTE(SUBSTITUTE(SUBSTITUTE(SUBSTITUTE(SUBSTITUTE(SUBSTITUTE(SUBSTITUTE(SUBSTITUTE(SUBSTITUTE(SUBSTITUTE(SUBSTITUTE(SUBSTITUTE(SUBSTITUTE(SUBSTITUTE(SUBSTITUTE(SUBSTITUTE(SUBSTITUTE(SUBSTITUTE(SUBSTITUTE(SUBSTITUTE(SUBSTITUTE(BO536,"b","a"),"c","a"),"d","a"),"e","a"),"f","a"),"g","a"),"h","a"),"i","a"),"j","a"),"k","a"),"l","a"),"m","a"),"n","a"),"o","a"),"p","a"),"q","a"),"r","a"),"s","a"),"t","a"),"u","a"),"v","a"),"w","a"),"x","a"),"y","a"),"z","a")</f>
        <v/>
      </c>
      <c r="BQ536" s="61" t="n">
        <f aca="false">IFERROR(IF(AND(ISERROR(SEARCH(" mh"," "&amp;LOWER(W536))),ISNA(MATCH(LEFT(TRIM(BP536),255),{"0000a","000a","00a","0000aa","000aa","00aa","0aa","0000aaa","000aaa","00a00","0a00","0000-0000","00:00","a00","a0","00.00.0000","00/00/0000","00-00-0000","0000-00-00","0000/00/00","0000.00.00","00.00.00","00/00/00","00-00-00","0.00.0000","0/00/0000","0-00-0000"},0)),ISNA(MATCH(LEFT(TRIM(CA536),255),{"0000a","000a","00a","0000aa","000aa","00aa","0aa","0000aaa","000aaa","00a00","0a00","0000-0000","00:00","a00","a0","00.00.0000","00/00/0000","00-00-0000","0000-00-00","0000/00/00","0000.00.00","00.00.00","00/00/00","00-00-00","0.00.0000","0/00/0000","0-00-0000"},0)),LEN(CB536)&gt;=3,NOT(OR(SUBSTITUTE(CB536,"0","")="",AND(LEN(CB536)&gt;=4,CB536=REPT(LEFT(CB536),LEN(CB536))),ISNUMBER(MATCH(CB536,{"123","1234","12345","123456","1234567","12345678","0123","01234","012345","98765","987654","54321"},0)),AND(LEN(CB536)=8,LEFT(CB536,3)="202"))),OR(AND((LEN(CA536)-LEN(SUBSTITUTE(CA536,"a","")))&gt;=1,SUMPRODUCT(--ISNUMBER(SEARCH({"a0","a-0","a_0","a/0","a.0","a#0","0a","0-a","0_a","0/a"},BP536)))&gt;0),ISNUMBER(SEARCH("000000",BP536)))),1,0),0)</f>
        <v>0</v>
      </c>
      <c r="BR536" s="61" t="n">
        <f aca="false">IFERROR(LEN(SUBSTITUTE(CC536," ",""))-SUMPRODUCT((LEN(CC536)-LEN(SUBSTITUTE(CC536," "&amp;L_Role&amp;" "," ")))/(LEN(L_Role)+1)*LEN(L_Role)),0)</f>
        <v>0</v>
      </c>
      <c r="BS536" s="61" t="n">
        <f aca="false">IFERROR(LEN(SUBSTITUTE(CD536," ",""))-SUMPRODUCT((LEN(CD536)-LEN(SUBSTITUTE(CD536," "&amp;L_Role&amp;" "," ")))/(LEN(L_Role)+1)*LEN(L_Role)),0)</f>
        <v>0</v>
      </c>
      <c r="BT5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536,"revision",""),"version",""),"jan",""),"feb",""),"mar",""),"apr",""),"may",""),"jun",""),"jul",""),"aug",""),"sep",""),"oct",""),"nov",""),"dec",""),"utc",""),"gmt",""),"myt",""),"bst",""),"rev",""),"ver",""),"b","a"),"c","a"),"d","a"),"e","a"),"f","a"),"g","a"),"h","a"),"i","a"),"j","a"),"k","a"),"l","a"),"m","a"),"n","a"),"o","a"),"p","a"),"q","a"),"r","a"),"s","a"),"t","a"),"u","a"),"v","a"),"w","a"),"x","a"),"y","a"),"z","a")</f>
        <v/>
      </c>
      <c r="BU536" s="61" t="str">
        <f aca="false">SUBSTITUTE(SUBSTITUTE(SUBSTITUTE(SUBSTITUTE(SUBSTITUTE(SUBSTITUTE(SUBSTITUTE(SUBSTITUTE(SUBSTITUTE(SUBSTITUTE(LEFT(BM536,FIND("0",BM536&amp;"0")-1),"-",""),"_",""),"/",""),".",""),"#",""),"\\",""),":","")," ",""),"(",""),")","")</f>
        <v/>
      </c>
      <c r="BV536" s="61" t="n">
        <f aca="false">0</f>
        <v>0</v>
      </c>
      <c r="BW5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536&amp;""),"a",""),"b",""),"c",""),"d",""),"e",""),"f",""),"g",""),"h",""),"i",""),"j",""),"k",""),"l",""),"m",""),"n",""),"o",""),"p",""),"q",""),"r",""),"s",""),"t",""),"u",""),"v",""),"w",""),"x",""),"y",""),"z",""),"-",""),"_",""),"/",""),".",""),"#",""),"\\",""),":","")," ",""),"(",""),")","")</f>
        <v/>
      </c>
      <c r="BX536" s="61" t="str">
        <f aca="false">SUBSTITUTE(SUBSTITUTE(SUBSTITUTE(SUBSTITUTE(SUBSTITUTE(SUBSTITUTE(SUBSTITUTE(SUBSTITUTE(SUBSTITUTE(SUBSTITUTE(SUBSTITUTE(BM536,"0",""),"-",""),"_",""),"/",""),".",""),"#",""),"\\",""),":","")," ",""),"(",""),")","")</f>
        <v/>
      </c>
      <c r="BY536" s="62" t="n">
        <f aca="false">Q536-T7EarlyD*24/24</f>
        <v>46301.2847222222</v>
      </c>
      <c r="BZ536" s="61" t="n">
        <f aca="false">IFERROR(IF(IF(TRIM(S536)="Link / file path",AND(LEN(TRIM(Z536))&gt;=5,SUMPRODUCT(--ISNUMBER(SEARCH({"http","www.","\\",":\",".pdf",".jpg",".jpeg",".png",".heic",".xls",".doc",".msg",".eml",".ppt",".txt",".zip"},Z536)))&gt;0),AND(ISERROR(FIND(" ",TRIM(Z536))),NOT(OR(SUMPRODUCT(--ISNUMBER(FIND({",",";","&amp;","+"},Z536)))&gt;0,SUMPRODUCT(--ISNUMBER(SEARCH({"0/aa","0\\aa"},BN536)))&gt;0)),NOT(SUMPRODUCT(--ISNUMBER(SEARCH({"http","www.","\\",":\",".pdf",".jpg",".jpeg",".png",".heic",".xls",".doc",".msg",".eml",".ppt",".txt",".zip"},Z536)))&gt;0),NOT(LOWER(TRIM(Z536))=LOWER(Flights!$F$21)),ISNA(MATCH(BU536,{"mh","rev","revision","ver","version","v","r","a","b","seat","tray","row","gate","bay","stand","page","pg","item","line","no","cart","galley","flight","flt","table","box","bag","oven","etd","eta","std","sta","atd","ata","qty","pax","x","time","tel","ph","mob","day","wk","week","utc","gmt","myt","lt"},0)),NOT(OR(ISNUMBER(MATCH(LEFT(BN536,255),{"0000a","000a","00a","0000aa","000aa","00aa","0aa","0000aaa","000aaa","00a00","0a00","0000-0000","00:00","a00","a0","00.00.0000","00/00/0000","00-00-0000","0000-00-00","0000/00/00","0000.00.00","00.00.00","00/00/00","00-00-00","0.00.0000","0/00/0000","0-00-0000"},0)),ISNUMBER(MATCH(LEFT(BT536,255),{"0000a","000a","00a","0000aa","000aa","00aa","0aa","0000aaa","000aaa","00a00","0a00","0000-0000","00:00","a00","a0","00.00.0000","00/00/0000","00-00-0000","0000-00-00","0000/00/00","0000.00.00","00.00.00","00/00/00","00-00-00","0.00.0000","0/00/0000","0-00-0000"},0)))),NOT(OR(AND(BW536&lt;&gt;"",SUBSTITUTE(BW536,"0","")=""),AND(LEN(BW536)&gt;=4,BW536=REPT(LEFT(BW536),LEN(BW536))),ISNUMBER(MATCH(BW536,{"123","1234","12345","123456","1234567","12345678","0123","01234","012345","98765","987654","54321"},0)),ISNUMBER(MATCH(BX536,{"x","xx","xxx","xxxx","xxxxx","abc","abcd","nil","na","nan","test","tbc","tba","tbd","dummy","sample","example","eg","zz","zzz","none","null","xyz","qwe","asd","id","ref"},0)),AND(LEN(BW536)=8,BX536="",OR(LEFT(BW536,3)="202",ISNUMBER(MATCH(RIGHT(BW536,4),{"2025","2026","2027"},0)))))),OR(AND((LEN(BT536)-LEN(SUBSTITUTE(BT536,"a","")))&gt;=1,(LEN(BN536)-LEN(SUBSTITUTE(BN536,"0","")))&gt;=2,SUMPRODUCT(--ISNUMBER(SEARCH({"a0","a-0","a_0","a/0","a.0","a#0","0a","0-a","0_a","0/a"},BN536)))&gt;0),AND((LEN(BN536)-LEN(SUBSTITUTE(BN536,"a","")))=0,(LEN(BN536)-LEN(SUBSTITUTE(BN536,"0","")))&gt;=5)))),1,0),0)</f>
        <v>0</v>
      </c>
      <c r="CA5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536,"revision",""),"version",""),"jan",""),"feb",""),"mar",""),"apr",""),"may",""),"jun",""),"jul",""),"aug",""),"sep",""),"oct",""),"nov",""),"dec",""),"utc",""),"gmt",""),"myt",""),"bst",""),"rev",""),"ver",""),"b","a"),"c","a"),"d","a"),"e","a"),"f","a"),"g","a"),"h","a"),"i","a"),"j","a"),"k","a"),"l","a"),"m","a"),"n","a"),"o","a"),"p","a"),"q","a"),"r","a"),"s","a"),"t","a"),"u","a"),"v","a"),"w","a"),"x","a"),"y","a"),"z","a")</f>
        <v/>
      </c>
      <c r="CB5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536&amp;""),"a",""),"b",""),"c",""),"d",""),"e",""),"f",""),"g",""),"h",""),"i",""),"j",""),"k",""),"l",""),"m",""),"n",""),"o",""),"p",""),"q",""),"r",""),"s",""),"t",""),"u",""),"v",""),"w",""),"x",""),"y",""),"z",""),"-",""),"_",""),"/",""),".",""),"#",""),"\\",""),":","")," ",""),"(",""),")","")</f>
        <v/>
      </c>
      <c r="CC536" s="0" t="str">
        <f aca="false">" "&amp;TRIM(SUBSTITUTE(SUBSTITUTE(SUBSTITUTE(SUBSTITUTE(SUBSTITUTE(SUBSTITUTE(SUBSTITUTE(SUBSTITUTE(SUBSTITUTE(SUBSTITUTE(SUBSTITUTE(SUBSTITUTE(SUBSTITUTE(SUBSTITUTE(SUBSTITUTE(SUBSTITUTE(SUBSTITUTE(SUBSTITUTE(SUBSTITUTE(SUBSTITUTE(SUBSTITUTE(SUBSTITUTE(SUBSTITUTE(SUBSTITUTE(LOWER(T536&amp;""),CHAR(10)," "),CHAR(13)," "),CHAR(9)," "),CHAR(160)," "),"."," "),","," "),"-"," "),"/"," "),"("," "),")"," "),":"," "),";"," "),"_"," "),"–"," "),"?"," "),"!"," "),"*"," "),"["," "),"]"," "),"'"," "),"#"," "),"+"," "),"&amp;"," "),"\"," "))&amp;" "</f>
        <v>  </v>
      </c>
      <c r="CD536" s="0" t="str">
        <f aca="false">" "&amp;TRIM(SUBSTITUTE(SUBSTITUTE(SUBSTITUTE(SUBSTITUTE(SUBSTITUTE(SUBSTITUTE(SUBSTITUTE(SUBSTITUTE(SUBSTITUTE(SUBSTITUTE(SUBSTITUTE(SUBSTITUTE(SUBSTITUTE(SUBSTITUTE(SUBSTITUTE(SUBSTITUTE(SUBSTITUTE(SUBSTITUTE(SUBSTITUTE(SUBSTITUTE(SUBSTITUTE(SUBSTITUTE(SUBSTITUTE(SUBSTITUTE(LOWER(AE536&amp;""),CHAR(10)," "),CHAR(13)," "),CHAR(9)," "),CHAR(160)," "),"."," "),","," "),"-"," "),"/"," "),"("," "),")"," "),":"," "),";"," "),"_"," "),"–"," "),"?"," "),"!"," "),"*"," "),"["," "),"]"," "),"'"," "),"#"," "),"+"," "),"&amp;"," "),"\"," "))&amp;" "</f>
        <v>  </v>
      </c>
      <c r="CE536" s="68" t="n">
        <f aca="false">IFERROR(IF(AND(LEN(AU536)&gt;0,LEN(AU536)=LEN(AX536),OR(TRIM(MID(SUBSTITUTE(TRIM(CC536)," ",REPT(" ",60)),1,60))="",ISNUMBER(SEARCH(" "&amp;TRIM(MID(SUBSTITUTE(TRIM(CC536)," ",REPT(" ",60)),1,60))&amp;" ",CD536))),OR(TRIM(MID(SUBSTITUTE(TRIM(CC536)," ",REPT(" ",60)),61,60))="",ISNUMBER(SEARCH(" "&amp;TRIM(MID(SUBSTITUTE(TRIM(CC536)," ",REPT(" ",60)),61,60))&amp;" ",CD536))),OR(TRIM(MID(SUBSTITUTE(TRIM(CC536)," ",REPT(" ",60)),121,60))="",ISNUMBER(SEARCH(" "&amp;TRIM(MID(SUBSTITUTE(TRIM(CC536)," ",REPT(" ",60)),121,60))&amp;" ",CD536)))),1,0),0)</f>
        <v>0</v>
      </c>
      <c r="CG536" s="68" t="n">
        <f aca="false">IFERROR(LEN(SUBSTITUTE(BF536," ",""))-SUMPRODUCT((LEN(BF536)-LEN(SUBSTITUTE(BF536," "&amp;L_NAFiller&amp;" "," ")))/(LEN(L_NAFiller)+1)*LEN(L_NAFiller)),0)</f>
        <v>0</v>
      </c>
    </row>
    <row r="537" customFormat="false" ht="39.75" hidden="false" customHeight="true" outlineLevel="0" collapsed="false">
      <c r="A537" s="57" t="s">
        <v>1204</v>
      </c>
      <c r="B537" s="57" t="s">
        <v>290</v>
      </c>
      <c r="C537" s="57" t="str">
        <f aca="false">Flights!$F$21</f>
        <v>MH0073</v>
      </c>
      <c r="D537" s="58" t="n">
        <f aca="false">Flights!$D$21</f>
        <v>46322</v>
      </c>
      <c r="E537" s="57" t="str">
        <f aca="false">Flights!$G$21&amp;"-"&amp;Flights!$H$21</f>
        <v>HKG-KUL</v>
      </c>
      <c r="F537" s="57" t="str">
        <f aca="false">Flights!$K$21</f>
        <v>BC</v>
      </c>
      <c r="G537" s="57" t="s">
        <v>81</v>
      </c>
      <c r="H537" s="57" t="s">
        <v>378</v>
      </c>
      <c r="I537" s="57" t="s">
        <v>405</v>
      </c>
      <c r="J537" s="57" t="s">
        <v>406</v>
      </c>
      <c r="K537" s="67" t="s">
        <v>407</v>
      </c>
      <c r="L537" s="67" t="s">
        <v>382</v>
      </c>
      <c r="M537" s="67"/>
      <c r="N537" s="67" t="s">
        <v>383</v>
      </c>
      <c r="O537" s="67"/>
      <c r="P537" s="57" t="s">
        <v>282</v>
      </c>
      <c r="Q537" s="59" t="n">
        <f aca="false">ROUND((Flights!$AC$21)*1440,0)/1440</f>
        <v>46315.2847222222</v>
      </c>
      <c r="R537" s="59" t="n">
        <f aca="false">Q537+(IF(AND(INDEX(TZ_DSTS,MATCH(P537,TZ_STN,0))&lt;&gt;"",Q537&gt;=INDEX(TZ_DSTS,MATCH(P537,TZ_STN,0)),Q537&lt;INDEX(TZ_DSTE,MATCH(P537,TZ_STN,0))),INDEX(TZ_DST,MATCH(P537,TZ_STN,0)),INDEX(TZ_STD,MATCH(P537,TZ_STN,0))))/24</f>
        <v>46315.6180555556</v>
      </c>
      <c r="S537" s="60"/>
      <c r="T537" s="60"/>
      <c r="U537" s="60"/>
      <c r="V537" s="60"/>
      <c r="W537" s="61"/>
      <c r="X537" s="60"/>
      <c r="Y537" s="60"/>
      <c r="Z537" s="60"/>
      <c r="AA537" s="60"/>
      <c r="AB537" s="60"/>
      <c r="AC537" s="60"/>
      <c r="AD537" s="66"/>
      <c r="AE537" s="60"/>
      <c r="AF537" s="61" t="str">
        <f aca="false">IF(AND(ISNUMBER(X537),ISNUMBER(Y537)),Y537-X537,"")</f>
        <v/>
      </c>
      <c r="AG537" s="62" t="str">
        <f aca="false">IF(ISNUMBER(AD537),AD537-(IF(AND(INDEX(TZ_DSTS,MATCH(P537,TZ_STN,0))&lt;&gt;"",(AD537-INDEX(TZ_STD,MATCH(P537,TZ_STN,0))/24)&gt;=INDEX(TZ_DSTS,MATCH(P537,TZ_STN,0)),(AD537-INDEX(TZ_STD,MATCH(P537,TZ_STN,0))/24)&lt;INDEX(TZ_DSTE,MATCH(P537,TZ_STN,0))),INDEX(TZ_DST,MATCH(P537,TZ_STN,0)),INDEX(TZ_STD,MATCH(P537,TZ_STN,0))))/24,"")</f>
        <v/>
      </c>
      <c r="AH537" s="65" t="str">
        <f aca="false">IFERROR(IF(N537="N/A – rule",IF(OR(TRIM(U537)="",TRIM(U537)="N/A",TRIM(U537)="Not started"),"N/A – RULE","INVALID – this check does not apply to this aircraft: clear the status (or correct the fleet on Flights)"),IF(TRIM(U537)="N/A",IF(AT537=0,"INVALID – N/A not permitted for this check",IF(AND(TRIM(AB537)&lt;&gt;"",TRIM(AB537)&lt;&gt;"Closed"),"INVALID – corrective action still open",IF(AND(NOT(OR(LEN(AZ537)&lt;15,ISNUMBER(MATCH(AZ537,L_Placeholder,0)))),BK537=0,CG537&gt;=8,NOT(OR(LEN(AU537)&lt;2,ISNUMBER(MATCH(AU537,L_Placeholder,0)))),BR537&gt;=3,NOT(OR(LEN(AX537)&lt;2,ISNUMBER(MATCH(AX537,L_Placeholder,0)))),BS537&gt;=3,TRIM(AE537)&lt;&gt;TRIM(T537),AX537&lt;&gt;AU537,CE537=0),"N/A – JUSTIFIED","INVALID – N/A needs a real, settled reason (not 'not applicable' / 'as above' / TBC), a named PIC and a different named verifier"))),IF(OR(TRIM(U537)="Pass",TRIM(U537)="Pass after CA"),IF(NOT(ISNUMBER(AD537)),"INVALID – completion time missing",IF(OR(OR(LEN(AU537)&lt;2,ISNUMBER(MATCH(AU537,L_Placeholder,0))),BR537&lt;3),"INVALID – PIC missing or not a named person (a role such as QA / CSM is not a name)",IF(OR(LEN(AV537)&lt;2,ISNUMBER(MATCH(AV537,L_Placeholder,0))),"INVALID – result / assessment missing",IF(OR(OR(LEN(AW537)&lt;3,ISNUMBER(MATCH(AW537,L_Placeholder,0))),SUMPRODUCT(--ISNUMBER(SEARCH(" "&amp;L_EvidencePhrase&amp;" ",BD537)))&gt;0,BI537=1),"INVALID – evidence missing, placeholder or not yet on file",IF(ISNA(MATCH(TRIM(S537),L_EvidenceType,0)),"INVALID – choose the evidence type from the list (column S)",IF(BL537=0,"INVALID – evidence ID must be the record's own ID only (e.g. SF-2210, IMG_2231, 1045521); a link / file name needs type 'Link / file path'",IF(OR(OR(LEN(AX537)&lt;2,ISNUMBER(MATCH(AX537,L_Placeholder,0))),BS537&lt;3),"INVALID – verifier missing or not a named person (a role such as QA / CSM is not a name)",IF(OR(AX537=AU537,CE537=1,AND(LEN(AU537)&gt;=4,ISNUMBER(SEARCH(AU537,AX537))),AND(LEN(AX537)&gt;=4,ISNUMBER(SEARCH(AX537,AU537)))),"INVALID – verifier must be a different, named person (not the PIC or a role)",IF(BH537=1,"INVALID – result not yet available (awaiting / TBC)",IF(BG537=1,"INVALID – result describes a problem: record Fail, then Pass after CA (or reword if it is not a problem)",IF(BV537=1,"INVALID – wording says not on board: an on-board confirmation needs the item loaded",IF(AND(AQ537=1,OR(OR(LEN(AY537)&lt;3,ISNUMBER(MATCH(AY537,L_Placeholder,0))),BJ537=1,BQ537=0)),"INVALID – batch ID missing, placeholder or not an ID (e.g. PASB-261008-BC-017)",IF(AND(AR537=1,OR(NOT(ISNUMBER(X537)),NOT(ISNUMBER(Y537)))),"INVALID – expected/actual qty missing",IF(AND(AR537=1,OR(X537&lt;=0,Y537&lt;0)),"INVALID – expected qty must be above 0 and actual not negative",IF(BB537&lt;&gt;"",BB537,IF(AND(AS537=1,Documents!$J$21&lt;&gt;"ON FILE"),"INVALID – GLD not on file (Documents sheet)",IF(AND(AS537=2,Documents!$O$21&lt;&gt;"ON FILE"),"INVALID – menu checklist not on file (Documents sheet)",IF(AND(AS537=3,NOT(ISNUMBER(Flights!$AX$21))),"INVALID – enter carrying flight KUL departure (Flights AX)",IF(AND(AS537=3,OR(Flights!$AZ$21&gt;Flights!$AA$21,Flights!$AX$21&lt;Flights!$AA$21-3)),"INVALID – carrying flight (Flights AX) cannot arrive before this leg's STD, or is over 3 days early",IF(AG537&gt;AsOfUTC,"INVALID – completion time is in the future",IF(AND(ISNUMBER(BY537),AG537&lt;BY537),IF(H537="Physical uplift","INVALID – before uplift window (cannot confirm loading)","INVALID – before valid window"),IF(AG537&gt;Flights!$AA$21,"INVALID – completed after departure (cannot establish readiness)",IF(AND(H537="Preparation",AG537&gt;=IF(ISNUMBER(Flights!$BA$21),MIN(Flights!$BA$21,Flights!$AA$21),Flights!$AA$21)),"INVALID – completed after loading / departure (cannot establish readiness)",IF(AND(H537="Physical uplift",AG537&gt;Q537),"INVALID – recorded after the loading flight departed",IF(AG537&gt;Q537,"COMPLETE – LATE","COMPLETE"))))))))))))))))))))))))),IF(TRIM(U537)="Fail","FAIL – DISCREPANCY",IF(AND(TRIM(U537)&lt;&gt;"",TRIM(U537)&lt;&gt;"Not started",TRIM(U537)&lt;&gt;"In progress"),"INVALID – unrecognised status (use the list)",IF(AsOfUTC&gt;Q537,"OVERDUE",IF(N537="Clarification required","OPEN – CLARIFICATION","OPEN"))))))),"INVALID – error value in an input cell")</f>
        <v>OPEN</v>
      </c>
      <c r="AI537" s="61" t="n">
        <f aca="false">IF(OR(AH537="N/A – RULE",AH537="N/A – JUSTIFIED"),0,1)</f>
        <v>1</v>
      </c>
      <c r="AJ537" s="61" t="n">
        <f aca="false">IF(LEFT(AH537,8)="COMPLETE",1,0)</f>
        <v>0</v>
      </c>
      <c r="AK537" s="61" t="n">
        <f aca="false">IF(AND(AI537=1,AJ537=0,AsOfUTC&gt;Q537),1,0)</f>
        <v>0</v>
      </c>
      <c r="AL537" s="61" t="n">
        <f aca="false">IFERROR(IF(AND(AI537=1,OR(TRIM(U537)="Fail",AND(TRIM(AB537)&lt;&gt;"",TRIM(AB537)&lt;&gt;"Closed"),AND(ISNUMBER(AF537),AF537&lt;&gt;0,TRIM(U537)&lt;&gt;"Pass after CA"))),1,0),1)</f>
        <v>0</v>
      </c>
      <c r="AM537" s="61" t="n">
        <f aca="false">IF(LEFT(AH537,7)="INVALID",1,0)</f>
        <v>0</v>
      </c>
      <c r="AN537" s="61" t="n">
        <f aca="false">IF(AND(N537="Clarification required",AI537=1,AJ537=0),1,0)</f>
        <v>0</v>
      </c>
      <c r="AO537" s="61" t="str">
        <f aca="false">IF(AK537=1,SUM(AK$5:AK537),"")</f>
        <v/>
      </c>
      <c r="AP537" s="61" t="str">
        <f aca="false">IF(AL537=1,SUM(AL$5:AL537),"")</f>
        <v/>
      </c>
      <c r="AQ537" s="61" t="n">
        <v>0</v>
      </c>
      <c r="AR537" s="61" t="n">
        <v>0</v>
      </c>
      <c r="AS537" s="61" t="n">
        <v>1</v>
      </c>
      <c r="AT537" s="61" t="n">
        <v>0</v>
      </c>
      <c r="AU537" s="61" t="str">
        <f aca="false">SUBSTITUTE(SUBSTITUTE(SUBSTITUTE(SUBSTITUTE(SUBSTITUTE(SUBSTITUTE(SUBSTITUTE(SUBSTITUTE(SUBSTITUTE(SUBSTITUTE(SUBSTITUTE(SUBSTITUTE(SUBSTITUTE(SUBSTITUTE(SUBSTITUTE(SUBSTITUTE(LOWER(T537&amp;""),CHAR(10),""),CHAR(13),""),CHAR(9),""),CHAR(160),"")," ",""),".",""),"-",""),"/",""),"?",""),"_",""),",",""),"[",""),"]",""),"(",""),")",""),"*","")</f>
        <v/>
      </c>
      <c r="AV537" s="61" t="str">
        <f aca="false">SUBSTITUTE(SUBSTITUTE(SUBSTITUTE(SUBSTITUTE(SUBSTITUTE(SUBSTITUTE(SUBSTITUTE(SUBSTITUTE(SUBSTITUTE(SUBSTITUTE(SUBSTITUTE(SUBSTITUTE(SUBSTITUTE(SUBSTITUTE(SUBSTITUTE(SUBSTITUTE(LOWER(V537&amp;""),CHAR(10),""),CHAR(13),""),CHAR(9),""),CHAR(160),"")," ",""),".",""),"-",""),"/",""),"?",""),"_",""),",",""),"[",""),"]",""),"(",""),")",""),"*","")</f>
        <v/>
      </c>
      <c r="AW537" s="61" t="str">
        <f aca="false">SUBSTITUTE(SUBSTITUTE(SUBSTITUTE(SUBSTITUTE(SUBSTITUTE(SUBSTITUTE(SUBSTITUTE(SUBSTITUTE(SUBSTITUTE(SUBSTITUTE(SUBSTITUTE(SUBSTITUTE(SUBSTITUTE(SUBSTITUTE(SUBSTITUTE(SUBSTITUTE(LOWER(Z537&amp;""),CHAR(10),""),CHAR(13),""),CHAR(9),""),CHAR(160),"")," ",""),".",""),"-",""),"/",""),"?",""),"_",""),",",""),"[",""),"]",""),"(",""),")",""),"*","")</f>
        <v/>
      </c>
      <c r="AX537" s="61" t="str">
        <f aca="false">SUBSTITUTE(SUBSTITUTE(SUBSTITUTE(SUBSTITUTE(SUBSTITUTE(SUBSTITUTE(SUBSTITUTE(SUBSTITUTE(SUBSTITUTE(SUBSTITUTE(SUBSTITUTE(SUBSTITUTE(SUBSTITUTE(SUBSTITUTE(SUBSTITUTE(SUBSTITUTE(LOWER(AE537&amp;""),CHAR(10),""),CHAR(13),""),CHAR(9),""),CHAR(160),"")," ",""),".",""),"-",""),"/",""),"?",""),"_",""),",",""),"[",""),"]",""),"(",""),")",""),"*","")</f>
        <v/>
      </c>
      <c r="AY537" s="61" t="str">
        <f aca="false">SUBSTITUTE(SUBSTITUTE(SUBSTITUTE(SUBSTITUTE(SUBSTITUTE(SUBSTITUTE(SUBSTITUTE(SUBSTITUTE(SUBSTITUTE(SUBSTITUTE(SUBSTITUTE(SUBSTITUTE(SUBSTITUTE(SUBSTITUTE(SUBSTITUTE(SUBSTITUTE(LOWER(W537&amp;""),CHAR(10),""),CHAR(13),""),CHAR(9),""),CHAR(160),"")," ",""),".",""),"-",""),"/",""),"?",""),"_",""),",",""),"[",""),"]",""),"(",""),")",""),"*","")</f>
        <v/>
      </c>
      <c r="AZ537" s="61" t="str">
        <f aca="false">SUBSTITUTE(SUBSTITUTE(SUBSTITUTE(SUBSTITUTE(SUBSTITUTE(SUBSTITUTE(SUBSTITUTE(SUBSTITUTE(SUBSTITUTE(SUBSTITUTE(SUBSTITUTE(SUBSTITUTE(SUBSTITUTE(SUBSTITUTE(SUBSTITUTE(SUBSTITUTE(LOWER(AC537&amp;""),CHAR(10),""),CHAR(13),""),CHAR(9),""),CHAR(160),"")," ",""),".",""),"-",""),"/",""),"?",""),"_",""),",",""),"[",""),"]",""),"(",""),")",""),"*","")</f>
        <v/>
      </c>
      <c r="BA537" s="61" t="str">
        <f aca="false">SUBSTITUTE(SUBSTITUTE(SUBSTITUTE(SUBSTITUTE(SUBSTITUTE(SUBSTITUTE(SUBSTITUTE(SUBSTITUTE(SUBSTITUTE(SUBSTITUTE(SUBSTITUTE(SUBSTITUTE(SUBSTITUTE(SUBSTITUTE(SUBSTITUTE(SUBSTITUTE(LOWER(AA537&amp;""),CHAR(10),""),CHAR(13),""),CHAR(9),""),CHAR(160),"")," ",""),".",""),"-",""),"/",""),"?",""),"_",""),",",""),"[",""),"]",""),"(",""),")",""),"*","")</f>
        <v/>
      </c>
      <c r="BB537" s="61" t="str">
        <f aca="false">IF(AND(TRIM(U537)="Pass",ISNUMBER(AF537)),IF(AF537&lt;&gt;0,"INVALID – qty variance: use Fail or Pass after CA",""),"")&amp;IF(AND(TRIM(U537)="Pass after CA",ISNUMBER(AF537)),IF(AF537&lt;&gt;0,"INVALID – after the corrective action the actual qty must equal expected (update Actual)",""),"")&amp;IF(AND(TRIM(U537)="Pass",TRIM(AB537)&lt;&gt;"",TRIM(AB537)&lt;&gt;"Closed"),"INVALID – corrective action not closed: use Fail, then Pass after CA","")&amp;IF(AND(LEN(BA537)&gt;=2,ISNA(MATCH(LEFT(BA537,255),L_Placeholder,0)),TRIM(AB537)=""),"INVALID – CA status missing for the recorded corrective action","")&amp;IF(AND(TRIM(U537)="Pass after CA",OR(OR(LEN(BA537)&lt;5,ISNUMBER(MATCH(BA537,L_Placeholder,0))),TRIM(AB537)&lt;&gt;"Closed")),"INVALID – corrective action not recorded/closed","")</f>
        <v/>
      </c>
      <c r="BC537" s="61" t="str">
        <f aca="false">" "&amp;TRIM(SUBSTITUTE(SUBSTITUTE(SUBSTITUTE(SUBSTITUTE(SUBSTITUTE(SUBSTITUTE(SUBSTITUTE(SUBSTITUTE(SUBSTITUTE(SUBSTITUTE(SUBSTITUTE(SUBSTITUTE(SUBSTITUTE(SUBSTITUTE(SUBSTITUTE(SUBSTITUTE(SUBSTITUTE(SUBSTITUTE(SUBSTITUTE(SUBSTITUTE(SUBSTITUTE(SUBSTITUTE(SUBSTITUTE(SUBSTITUTE(LOWER(V537&amp;""),CHAR(10)," "),CHAR(13)," "),CHAR(9)," "),CHAR(160)," "),"."," "),","," "),"-"," "),"/"," "),"("," "),")"," "),":"," "),";"," "),"_"," "),"–"," "),"?"," "),"!"," "),"*"," "),"["," "),"]"," "),"'"," "),"#"," "),"+"," "),"&amp;"," "),"\"," "))&amp;" "</f>
        <v>  </v>
      </c>
      <c r="BD537" s="61" t="str">
        <f aca="false">" "&amp;TRIM(SUBSTITUTE(SUBSTITUTE(SUBSTITUTE(SUBSTITUTE(SUBSTITUTE(SUBSTITUTE(SUBSTITUTE(SUBSTITUTE(SUBSTITUTE(SUBSTITUTE(SUBSTITUTE(SUBSTITUTE(SUBSTITUTE(SUBSTITUTE(SUBSTITUTE(SUBSTITUTE(SUBSTITUTE(SUBSTITUTE(SUBSTITUTE(SUBSTITUTE(SUBSTITUTE(SUBSTITUTE(SUBSTITUTE(SUBSTITUTE(LOWER(Z537&amp;""),CHAR(10)," "),CHAR(13)," "),CHAR(9)," "),CHAR(160)," "),"."," "),","," "),"-"," "),"/"," "),"("," "),")"," "),":"," "),";"," "),"_"," "),"–"," "),"?"," "),"!"," "),"*"," "),"["," "),"]"," "),"'"," "),"#"," "),"+"," "),"&amp;"," "),"\"," "))&amp;" "</f>
        <v>  </v>
      </c>
      <c r="BE537" s="61" t="str">
        <f aca="false">" "&amp;TRIM(SUBSTITUTE(SUBSTITUTE(SUBSTITUTE(SUBSTITUTE(SUBSTITUTE(SUBSTITUTE(SUBSTITUTE(SUBSTITUTE(SUBSTITUTE(SUBSTITUTE(SUBSTITUTE(SUBSTITUTE(SUBSTITUTE(SUBSTITUTE(SUBSTITUTE(SUBSTITUTE(SUBSTITUTE(SUBSTITUTE(SUBSTITUTE(SUBSTITUTE(SUBSTITUTE(SUBSTITUTE(SUBSTITUTE(SUBSTITUTE(LOWER(W537&amp;""),CHAR(10)," "),CHAR(13)," "),CHAR(9)," "),CHAR(160)," "),"."," "),","," "),"-"," "),"/"," "),"("," "),")"," "),":"," "),";"," "),"_"," "),"–"," "),"?"," "),"!"," "),"*"," "),"["," "),"]"," "),"'"," "),"#"," "),"+"," "),"&amp;"," "),"\"," "))&amp;" "</f>
        <v>  </v>
      </c>
      <c r="BF537" s="61" t="str">
        <f aca="false">" "&amp;TRIM(SUBSTITUTE(SUBSTITUTE(SUBSTITUTE(SUBSTITUTE(SUBSTITUTE(SUBSTITUTE(SUBSTITUTE(SUBSTITUTE(SUBSTITUTE(SUBSTITUTE(SUBSTITUTE(SUBSTITUTE(SUBSTITUTE(SUBSTITUTE(SUBSTITUTE(SUBSTITUTE(SUBSTITUTE(SUBSTITUTE(SUBSTITUTE(SUBSTITUTE(SUBSTITUTE(SUBSTITUTE(SUBSTITUTE(SUBSTITUTE(LOWER(AC537&amp;""),CHAR(10)," "),CHAR(13)," "),CHAR(9)," "),CHAR(160)," "),"."," "),","," "),"-"," "),"/"," "),"("," "),")"," "),":"," "),";"," "),"_"," "),"–"," "),"?"," "),"!"," "),"*"," "),"["," "),"]"," "),"'"," "),"#"," "),"+"," "),"&amp;"," "),"\"," "))&amp;" "</f>
        <v>  </v>
      </c>
      <c r="BG537" s="61" t="n">
        <f aca="false">IFERROR(IF(AND(TRIM(U537)="Pass",SUMPRODUCT((LEN(BC537)-LEN(SUBSTITUTE(BC537," "&amp;L_ResultBad&amp;" "," ")))/(LEN(L_ResultBad)+1))&gt;SUMPRODUCT((LEN(BC537)-LEN(SUBSTITUTE(BC537," "&amp;L_NegPhrase&amp;" "," ")))/(LEN(L_NegPhrase)+1))),1,0),0)</f>
        <v>0</v>
      </c>
      <c r="BH537" s="61" t="n">
        <f aca="false">IFERROR(IF(SUMPRODUCT((LEN(BC537)-LEN(SUBSTITUTE(BC537," "&amp;L_Pending&amp;" "," ")))/(LEN(L_Pending)+1))&gt;SUMPRODUCT((LEN(BC537)-LEN(SUBSTITUTE(BC537," "&amp;L_PendNeg&amp;" "," ")))/(LEN(L_PendNeg)+1))+SUMPRODUCT((LEN(BC537)-LEN(SUBSTITUTE(BC537," "&amp;L_PendPrep&amp;" "," ")))/(LEN(L_PendPrep)+1)),1,0),1)</f>
        <v>0</v>
      </c>
      <c r="BI537" s="61" t="n">
        <f aca="false">IFERROR(IF(SUMPRODUCT((LEN(BD537)-LEN(SUBSTITUTE(BD537," "&amp;L_PendStrict&amp;" "," ")))/(LEN(L_PendStrict)+1))&gt;SUMPRODUCT((LEN(BD537)-LEN(SUBSTITUTE(BD537," "&amp;L_PendNeg&amp;" "," ")))/(LEN(L_PendNeg)+1)),1,0),1)</f>
        <v>0</v>
      </c>
      <c r="BJ537" s="61" t="n">
        <f aca="false">IFERROR(IF(SUMPRODUCT((LEN(BE537)-LEN(SUBSTITUTE(BE537," "&amp;L_Pending&amp;" "," ")))/(LEN(L_Pending)+1))&gt;SUMPRODUCT((LEN(BE537)-LEN(SUBSTITUTE(BE537," "&amp;L_PendNeg&amp;" "," ")))/(LEN(L_PendNeg)+1))+SUMPRODUCT((LEN(BE537)-LEN(SUBSTITUTE(BE537," "&amp;L_PendPrep&amp;" "," ")))/(LEN(L_PendPrep)+1)),1,0),1)</f>
        <v>0</v>
      </c>
      <c r="BK537" s="61" t="n">
        <f aca="false">IFERROR(IF(SUMPRODUCT((LEN(BF537)-LEN(SUBSTITUTE(BF537," "&amp;L_PendStrict&amp;" "," ")))/(LEN(L_PendStrict)+1))&gt;SUMPRODUCT((LEN(BF537)-LEN(SUBSTITUTE(BF537," "&amp;L_PendNeg&amp;" "," ")))/(LEN(L_PendNeg)+1)),1,0),1)</f>
        <v>0</v>
      </c>
      <c r="BL537" s="61" t="n">
        <f aca="false">IF(ISNA(MATCH(TRIM(S537),L_EvidenceType,0)),0,BZ537)</f>
        <v>0</v>
      </c>
      <c r="BM537" s="61" t="str">
        <f aca="false">SUBSTITUTE(SUBSTITUTE(SUBSTITUTE(SUBSTITUTE(SUBSTITUTE(SUBSTITUTE(SUBSTITUTE(SUBSTITUTE(SUBSTITUTE(LOWER(Z537&amp;""),"1","0"),"2","0"),"3","0"),"4","0"),"5","0"),"6","0"),"7","0"),"8","0"),"9","0")</f>
        <v/>
      </c>
      <c r="BN537" s="61" t="str">
        <f aca="false">SUBSTITUTE(SUBSTITUTE(SUBSTITUTE(SUBSTITUTE(SUBSTITUTE(SUBSTITUTE(SUBSTITUTE(SUBSTITUTE(SUBSTITUTE(SUBSTITUTE(SUBSTITUTE(SUBSTITUTE(SUBSTITUTE(SUBSTITUTE(SUBSTITUTE(SUBSTITUTE(SUBSTITUTE(SUBSTITUTE(SUBSTITUTE(SUBSTITUTE(SUBSTITUTE(SUBSTITUTE(SUBSTITUTE(SUBSTITUTE(SUBSTITUTE(BM537,"b","a"),"c","a"),"d","a"),"e","a"),"f","a"),"g","a"),"h","a"),"i","a"),"j","a"),"k","a"),"l","a"),"m","a"),"n","a"),"o","a"),"p","a"),"q","a"),"r","a"),"s","a"),"t","a"),"u","a"),"v","a"),"w","a"),"x","a"),"y","a"),"z","a")</f>
        <v/>
      </c>
      <c r="BO537" s="61" t="str">
        <f aca="false">SUBSTITUTE(SUBSTITUTE(SUBSTITUTE(SUBSTITUTE(SUBSTITUTE(SUBSTITUTE(SUBSTITUTE(SUBSTITUTE(SUBSTITUTE(LOWER(W537&amp;""),"1","0"),"2","0"),"3","0"),"4","0"),"5","0"),"6","0"),"7","0"),"8","0"),"9","0")</f>
        <v/>
      </c>
      <c r="BP537" s="61" t="str">
        <f aca="false">SUBSTITUTE(SUBSTITUTE(SUBSTITUTE(SUBSTITUTE(SUBSTITUTE(SUBSTITUTE(SUBSTITUTE(SUBSTITUTE(SUBSTITUTE(SUBSTITUTE(SUBSTITUTE(SUBSTITUTE(SUBSTITUTE(SUBSTITUTE(SUBSTITUTE(SUBSTITUTE(SUBSTITUTE(SUBSTITUTE(SUBSTITUTE(SUBSTITUTE(SUBSTITUTE(SUBSTITUTE(SUBSTITUTE(SUBSTITUTE(SUBSTITUTE(BO537,"b","a"),"c","a"),"d","a"),"e","a"),"f","a"),"g","a"),"h","a"),"i","a"),"j","a"),"k","a"),"l","a"),"m","a"),"n","a"),"o","a"),"p","a"),"q","a"),"r","a"),"s","a"),"t","a"),"u","a"),"v","a"),"w","a"),"x","a"),"y","a"),"z","a")</f>
        <v/>
      </c>
      <c r="BQ537" s="61" t="n">
        <f aca="false">IFERROR(IF(AND(ISERROR(SEARCH(" mh"," "&amp;LOWER(W537))),ISNA(MATCH(LEFT(TRIM(BP537),255),{"0000a","000a","00a","0000aa","000aa","00aa","0aa","0000aaa","000aaa","00a00","0a00","0000-0000","00:00","a00","a0","00.00.0000","00/00/0000","00-00-0000","0000-00-00","0000/00/00","0000.00.00","00.00.00","00/00/00","00-00-00","0.00.0000","0/00/0000","0-00-0000"},0)),ISNA(MATCH(LEFT(TRIM(CA537),255),{"0000a","000a","00a","0000aa","000aa","00aa","0aa","0000aaa","000aaa","00a00","0a00","0000-0000","00:00","a00","a0","00.00.0000","00/00/0000","00-00-0000","0000-00-00","0000/00/00","0000.00.00","00.00.00","00/00/00","00-00-00","0.00.0000","0/00/0000","0-00-0000"},0)),LEN(CB537)&gt;=3,NOT(OR(SUBSTITUTE(CB537,"0","")="",AND(LEN(CB537)&gt;=4,CB537=REPT(LEFT(CB537),LEN(CB537))),ISNUMBER(MATCH(CB537,{"123","1234","12345","123456","1234567","12345678","0123","01234","012345","98765","987654","54321"},0)),AND(LEN(CB537)=8,LEFT(CB537,3)="202"))),OR(AND((LEN(CA537)-LEN(SUBSTITUTE(CA537,"a","")))&gt;=1,SUMPRODUCT(--ISNUMBER(SEARCH({"a0","a-0","a_0","a/0","a.0","a#0","0a","0-a","0_a","0/a"},BP537)))&gt;0),ISNUMBER(SEARCH("000000",BP537)))),1,0),0)</f>
        <v>0</v>
      </c>
      <c r="BR537" s="61" t="n">
        <f aca="false">IFERROR(LEN(SUBSTITUTE(CC537," ",""))-SUMPRODUCT((LEN(CC537)-LEN(SUBSTITUTE(CC537," "&amp;L_Role&amp;" "," ")))/(LEN(L_Role)+1)*LEN(L_Role)),0)</f>
        <v>0</v>
      </c>
      <c r="BS537" s="61" t="n">
        <f aca="false">IFERROR(LEN(SUBSTITUTE(CD537," ",""))-SUMPRODUCT((LEN(CD537)-LEN(SUBSTITUTE(CD537," "&amp;L_Role&amp;" "," ")))/(LEN(L_Role)+1)*LEN(L_Role)),0)</f>
        <v>0</v>
      </c>
      <c r="BT5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537,"revision",""),"version",""),"jan",""),"feb",""),"mar",""),"apr",""),"may",""),"jun",""),"jul",""),"aug",""),"sep",""),"oct",""),"nov",""),"dec",""),"utc",""),"gmt",""),"myt",""),"bst",""),"rev",""),"ver",""),"b","a"),"c","a"),"d","a"),"e","a"),"f","a"),"g","a"),"h","a"),"i","a"),"j","a"),"k","a"),"l","a"),"m","a"),"n","a"),"o","a"),"p","a"),"q","a"),"r","a"),"s","a"),"t","a"),"u","a"),"v","a"),"w","a"),"x","a"),"y","a"),"z","a")</f>
        <v/>
      </c>
      <c r="BU537" s="61" t="str">
        <f aca="false">SUBSTITUTE(SUBSTITUTE(SUBSTITUTE(SUBSTITUTE(SUBSTITUTE(SUBSTITUTE(SUBSTITUTE(SUBSTITUTE(SUBSTITUTE(SUBSTITUTE(LEFT(BM537,FIND("0",BM537&amp;"0")-1),"-",""),"_",""),"/",""),".",""),"#",""),"\\",""),":","")," ",""),"(",""),")","")</f>
        <v/>
      </c>
      <c r="BV537" s="61" t="n">
        <f aca="false">0</f>
        <v>0</v>
      </c>
      <c r="BW5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537&amp;""),"a",""),"b",""),"c",""),"d",""),"e",""),"f",""),"g",""),"h",""),"i",""),"j",""),"k",""),"l",""),"m",""),"n",""),"o",""),"p",""),"q",""),"r",""),"s",""),"t",""),"u",""),"v",""),"w",""),"x",""),"y",""),"z",""),"-",""),"_",""),"/",""),".",""),"#",""),"\\",""),":","")," ",""),"(",""),")","")</f>
        <v/>
      </c>
      <c r="BX537" s="61" t="str">
        <f aca="false">SUBSTITUTE(SUBSTITUTE(SUBSTITUTE(SUBSTITUTE(SUBSTITUTE(SUBSTITUTE(SUBSTITUTE(SUBSTITUTE(SUBSTITUTE(SUBSTITUTE(SUBSTITUTE(BM537,"0",""),"-",""),"_",""),"/",""),".",""),"#",""),"\\",""),":","")," ",""),"(",""),")","")</f>
        <v/>
      </c>
      <c r="BY537" s="62" t="n">
        <f aca="false">Q537-T7EarlyD*24/24</f>
        <v>46301.2847222222</v>
      </c>
      <c r="BZ537" s="61" t="n">
        <f aca="false">IFERROR(IF(IF(TRIM(S537)="Link / file path",AND(LEN(TRIM(Z537))&gt;=5,SUMPRODUCT(--ISNUMBER(SEARCH({"http","www.","\\",":\",".pdf",".jpg",".jpeg",".png",".heic",".xls",".doc",".msg",".eml",".ppt",".txt",".zip"},Z537)))&gt;0),AND(ISERROR(FIND(" ",TRIM(Z537))),NOT(OR(SUMPRODUCT(--ISNUMBER(FIND({",",";","&amp;","+"},Z537)))&gt;0,SUMPRODUCT(--ISNUMBER(SEARCH({"0/aa","0\\aa"},BN537)))&gt;0)),NOT(SUMPRODUCT(--ISNUMBER(SEARCH({"http","www.","\\",":\",".pdf",".jpg",".jpeg",".png",".heic",".xls",".doc",".msg",".eml",".ppt",".txt",".zip"},Z537)))&gt;0),NOT(LOWER(TRIM(Z537))=LOWER(Flights!$F$21)),ISNA(MATCH(BU537,{"mh","rev","revision","ver","version","v","r","a","b","seat","tray","row","gate","bay","stand","page","pg","item","line","no","cart","galley","flight","flt","table","box","bag","oven","etd","eta","std","sta","atd","ata","qty","pax","x","time","tel","ph","mob","day","wk","week","utc","gmt","myt","lt"},0)),NOT(OR(ISNUMBER(MATCH(LEFT(BN537,255),{"0000a","000a","00a","0000aa","000aa","00aa","0aa","0000aaa","000aaa","00a00","0a00","0000-0000","00:00","a00","a0","00.00.0000","00/00/0000","00-00-0000","0000-00-00","0000/00/00","0000.00.00","00.00.00","00/00/00","00-00-00","0.00.0000","0/00/0000","0-00-0000"},0)),ISNUMBER(MATCH(LEFT(BT537,255),{"0000a","000a","00a","0000aa","000aa","00aa","0aa","0000aaa","000aaa","00a00","0a00","0000-0000","00:00","a00","a0","00.00.0000","00/00/0000","00-00-0000","0000-00-00","0000/00/00","0000.00.00","00.00.00","00/00/00","00-00-00","0.00.0000","0/00/0000","0-00-0000"},0)))),NOT(OR(AND(BW537&lt;&gt;"",SUBSTITUTE(BW537,"0","")=""),AND(LEN(BW537)&gt;=4,BW537=REPT(LEFT(BW537),LEN(BW537))),ISNUMBER(MATCH(BW537,{"123","1234","12345","123456","1234567","12345678","0123","01234","012345","98765","987654","54321"},0)),ISNUMBER(MATCH(BX537,{"x","xx","xxx","xxxx","xxxxx","abc","abcd","nil","na","nan","test","tbc","tba","tbd","dummy","sample","example","eg","zz","zzz","none","null","xyz","qwe","asd","id","ref"},0)),AND(LEN(BW537)=8,BX537="",OR(LEFT(BW537,3)="202",ISNUMBER(MATCH(RIGHT(BW537,4),{"2025","2026","2027"},0)))))),OR(AND((LEN(BT537)-LEN(SUBSTITUTE(BT537,"a","")))&gt;=1,(LEN(BN537)-LEN(SUBSTITUTE(BN537,"0","")))&gt;=2,SUMPRODUCT(--ISNUMBER(SEARCH({"a0","a-0","a_0","a/0","a.0","a#0","0a","0-a","0_a","0/a"},BN537)))&gt;0),AND((LEN(BN537)-LEN(SUBSTITUTE(BN537,"a","")))=0,(LEN(BN537)-LEN(SUBSTITUTE(BN537,"0","")))&gt;=5)))),1,0),0)</f>
        <v>0</v>
      </c>
      <c r="CA5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537,"revision",""),"version",""),"jan",""),"feb",""),"mar",""),"apr",""),"may",""),"jun",""),"jul",""),"aug",""),"sep",""),"oct",""),"nov",""),"dec",""),"utc",""),"gmt",""),"myt",""),"bst",""),"rev",""),"ver",""),"b","a"),"c","a"),"d","a"),"e","a"),"f","a"),"g","a"),"h","a"),"i","a"),"j","a"),"k","a"),"l","a"),"m","a"),"n","a"),"o","a"),"p","a"),"q","a"),"r","a"),"s","a"),"t","a"),"u","a"),"v","a"),"w","a"),"x","a"),"y","a"),"z","a")</f>
        <v/>
      </c>
      <c r="CB5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537&amp;""),"a",""),"b",""),"c",""),"d",""),"e",""),"f",""),"g",""),"h",""),"i",""),"j",""),"k",""),"l",""),"m",""),"n",""),"o",""),"p",""),"q",""),"r",""),"s",""),"t",""),"u",""),"v",""),"w",""),"x",""),"y",""),"z",""),"-",""),"_",""),"/",""),".",""),"#",""),"\\",""),":","")," ",""),"(",""),")","")</f>
        <v/>
      </c>
      <c r="CC537" s="0" t="str">
        <f aca="false">" "&amp;TRIM(SUBSTITUTE(SUBSTITUTE(SUBSTITUTE(SUBSTITUTE(SUBSTITUTE(SUBSTITUTE(SUBSTITUTE(SUBSTITUTE(SUBSTITUTE(SUBSTITUTE(SUBSTITUTE(SUBSTITUTE(SUBSTITUTE(SUBSTITUTE(SUBSTITUTE(SUBSTITUTE(SUBSTITUTE(SUBSTITUTE(SUBSTITUTE(SUBSTITUTE(SUBSTITUTE(SUBSTITUTE(SUBSTITUTE(SUBSTITUTE(LOWER(T537&amp;""),CHAR(10)," "),CHAR(13)," "),CHAR(9)," "),CHAR(160)," "),"."," "),","," "),"-"," "),"/"," "),"("," "),")"," "),":"," "),";"," "),"_"," "),"–"," "),"?"," "),"!"," "),"*"," "),"["," "),"]"," "),"'"," "),"#"," "),"+"," "),"&amp;"," "),"\"," "))&amp;" "</f>
        <v>  </v>
      </c>
      <c r="CD537" s="0" t="str">
        <f aca="false">" "&amp;TRIM(SUBSTITUTE(SUBSTITUTE(SUBSTITUTE(SUBSTITUTE(SUBSTITUTE(SUBSTITUTE(SUBSTITUTE(SUBSTITUTE(SUBSTITUTE(SUBSTITUTE(SUBSTITUTE(SUBSTITUTE(SUBSTITUTE(SUBSTITUTE(SUBSTITUTE(SUBSTITUTE(SUBSTITUTE(SUBSTITUTE(SUBSTITUTE(SUBSTITUTE(SUBSTITUTE(SUBSTITUTE(SUBSTITUTE(SUBSTITUTE(LOWER(AE537&amp;""),CHAR(10)," "),CHAR(13)," "),CHAR(9)," "),CHAR(160)," "),"."," "),","," "),"-"," "),"/"," "),"("," "),")"," "),":"," "),";"," "),"_"," "),"–"," "),"?"," "),"!"," "),"*"," "),"["," "),"]"," "),"'"," "),"#"," "),"+"," "),"&amp;"," "),"\"," "))&amp;" "</f>
        <v>  </v>
      </c>
      <c r="CE537" s="68" t="n">
        <f aca="false">IFERROR(IF(AND(LEN(AU537)&gt;0,LEN(AU537)=LEN(AX537),OR(TRIM(MID(SUBSTITUTE(TRIM(CC537)," ",REPT(" ",60)),1,60))="",ISNUMBER(SEARCH(" "&amp;TRIM(MID(SUBSTITUTE(TRIM(CC537)," ",REPT(" ",60)),1,60))&amp;" ",CD537))),OR(TRIM(MID(SUBSTITUTE(TRIM(CC537)," ",REPT(" ",60)),61,60))="",ISNUMBER(SEARCH(" "&amp;TRIM(MID(SUBSTITUTE(TRIM(CC537)," ",REPT(" ",60)),61,60))&amp;" ",CD537))),OR(TRIM(MID(SUBSTITUTE(TRIM(CC537)," ",REPT(" ",60)),121,60))="",ISNUMBER(SEARCH(" "&amp;TRIM(MID(SUBSTITUTE(TRIM(CC537)," ",REPT(" ",60)),121,60))&amp;" ",CD537)))),1,0),0)</f>
        <v>0</v>
      </c>
      <c r="CG537" s="68" t="n">
        <f aca="false">IFERROR(LEN(SUBSTITUTE(BF537," ",""))-SUMPRODUCT((LEN(BF537)-LEN(SUBSTITUTE(BF537," "&amp;L_NAFiller&amp;" "," ")))/(LEN(L_NAFiller)+1)*LEN(L_NAFiller)),0)</f>
        <v>0</v>
      </c>
    </row>
    <row r="538" customFormat="false" ht="39.75" hidden="false" customHeight="true" outlineLevel="0" collapsed="false">
      <c r="A538" s="57" t="s">
        <v>1205</v>
      </c>
      <c r="B538" s="57" t="s">
        <v>290</v>
      </c>
      <c r="C538" s="57" t="str">
        <f aca="false">Flights!$F$21</f>
        <v>MH0073</v>
      </c>
      <c r="D538" s="58" t="n">
        <f aca="false">Flights!$D$21</f>
        <v>46322</v>
      </c>
      <c r="E538" s="57" t="str">
        <f aca="false">Flights!$G$21&amp;"-"&amp;Flights!$H$21</f>
        <v>HKG-KUL</v>
      </c>
      <c r="F538" s="57" t="str">
        <f aca="false">Flights!$K$21</f>
        <v>BC</v>
      </c>
      <c r="G538" s="57" t="s">
        <v>81</v>
      </c>
      <c r="H538" s="57" t="s">
        <v>378</v>
      </c>
      <c r="I538" s="57" t="s">
        <v>405</v>
      </c>
      <c r="J538" s="57" t="s">
        <v>409</v>
      </c>
      <c r="K538" s="67" t="s">
        <v>407</v>
      </c>
      <c r="L538" s="67" t="s">
        <v>382</v>
      </c>
      <c r="M538" s="67"/>
      <c r="N538" s="67" t="s">
        <v>383</v>
      </c>
      <c r="O538" s="67"/>
      <c r="P538" s="57" t="s">
        <v>282</v>
      </c>
      <c r="Q538" s="59" t="n">
        <f aca="false">ROUND((Flights!$AC$21)*1440,0)/1440</f>
        <v>46315.2847222222</v>
      </c>
      <c r="R538" s="59" t="n">
        <f aca="false">Q538+(IF(AND(INDEX(TZ_DSTS,MATCH(P538,TZ_STN,0))&lt;&gt;"",Q538&gt;=INDEX(TZ_DSTS,MATCH(P538,TZ_STN,0)),Q538&lt;INDEX(TZ_DSTE,MATCH(P538,TZ_STN,0))),INDEX(TZ_DST,MATCH(P538,TZ_STN,0)),INDEX(TZ_STD,MATCH(P538,TZ_STN,0))))/24</f>
        <v>46315.6180555556</v>
      </c>
      <c r="S538" s="60"/>
      <c r="T538" s="60"/>
      <c r="U538" s="60"/>
      <c r="V538" s="60"/>
      <c r="W538" s="61"/>
      <c r="X538" s="60"/>
      <c r="Y538" s="60"/>
      <c r="Z538" s="60"/>
      <c r="AA538" s="60"/>
      <c r="AB538" s="60"/>
      <c r="AC538" s="60"/>
      <c r="AD538" s="66"/>
      <c r="AE538" s="60"/>
      <c r="AF538" s="61" t="str">
        <f aca="false">IF(AND(ISNUMBER(X538),ISNUMBER(Y538)),Y538-X538,"")</f>
        <v/>
      </c>
      <c r="AG538" s="62" t="str">
        <f aca="false">IF(ISNUMBER(AD538),AD538-(IF(AND(INDEX(TZ_DSTS,MATCH(P538,TZ_STN,0))&lt;&gt;"",(AD538-INDEX(TZ_STD,MATCH(P538,TZ_STN,0))/24)&gt;=INDEX(TZ_DSTS,MATCH(P538,TZ_STN,0)),(AD538-INDEX(TZ_STD,MATCH(P538,TZ_STN,0))/24)&lt;INDEX(TZ_DSTE,MATCH(P538,TZ_STN,0))),INDEX(TZ_DST,MATCH(P538,TZ_STN,0)),INDEX(TZ_STD,MATCH(P538,TZ_STN,0))))/24,"")</f>
        <v/>
      </c>
      <c r="AH538" s="65" t="str">
        <f aca="false">IFERROR(IF(N538="N/A – rule",IF(OR(TRIM(U538)="",TRIM(U538)="N/A",TRIM(U538)="Not started"),"N/A – RULE","INVALID – this check does not apply to this aircraft: clear the status (or correct the fleet on Flights)"),IF(TRIM(U538)="N/A",IF(AT538=0,"INVALID – N/A not permitted for this check",IF(AND(TRIM(AB538)&lt;&gt;"",TRIM(AB538)&lt;&gt;"Closed"),"INVALID – corrective action still open",IF(AND(NOT(OR(LEN(AZ538)&lt;15,ISNUMBER(MATCH(AZ538,L_Placeholder,0)))),BK538=0,CG538&gt;=8,NOT(OR(LEN(AU538)&lt;2,ISNUMBER(MATCH(AU538,L_Placeholder,0)))),BR538&gt;=3,NOT(OR(LEN(AX538)&lt;2,ISNUMBER(MATCH(AX538,L_Placeholder,0)))),BS538&gt;=3,TRIM(AE538)&lt;&gt;TRIM(T538),AX538&lt;&gt;AU538,CE538=0),"N/A – JUSTIFIED","INVALID – N/A needs a real, settled reason (not 'not applicable' / 'as above' / TBC), a named PIC and a different named verifier"))),IF(OR(TRIM(U538)="Pass",TRIM(U538)="Pass after CA"),IF(NOT(ISNUMBER(AD538)),"INVALID – completion time missing",IF(OR(OR(LEN(AU538)&lt;2,ISNUMBER(MATCH(AU538,L_Placeholder,0))),BR538&lt;3),"INVALID – PIC missing or not a named person (a role such as QA / CSM is not a name)",IF(OR(LEN(AV538)&lt;2,ISNUMBER(MATCH(AV538,L_Placeholder,0))),"INVALID – result / assessment missing",IF(OR(OR(LEN(AW538)&lt;3,ISNUMBER(MATCH(AW538,L_Placeholder,0))),SUMPRODUCT(--ISNUMBER(SEARCH(" "&amp;L_EvidencePhrase&amp;" ",BD538)))&gt;0,BI538=1),"INVALID – evidence missing, placeholder or not yet on file",IF(ISNA(MATCH(TRIM(S538),L_EvidenceType,0)),"INVALID – choose the evidence type from the list (column S)",IF(BL538=0,"INVALID – evidence ID must be the record's own ID only (e.g. SF-2210, IMG_2231, 1045521); a link / file name needs type 'Link / file path'",IF(OR(OR(LEN(AX538)&lt;2,ISNUMBER(MATCH(AX538,L_Placeholder,0))),BS538&lt;3),"INVALID – verifier missing or not a named person (a role such as QA / CSM is not a name)",IF(OR(AX538=AU538,CE538=1,AND(LEN(AU538)&gt;=4,ISNUMBER(SEARCH(AU538,AX538))),AND(LEN(AX538)&gt;=4,ISNUMBER(SEARCH(AX538,AU538)))),"INVALID – verifier must be a different, named person (not the PIC or a role)",IF(BH538=1,"INVALID – result not yet available (awaiting / TBC)",IF(BG538=1,"INVALID – result describes a problem: record Fail, then Pass after CA (or reword if it is not a problem)",IF(BV538=1,"INVALID – wording says not on board: an on-board confirmation needs the item loaded",IF(AND(AQ538=1,OR(OR(LEN(AY538)&lt;3,ISNUMBER(MATCH(AY538,L_Placeholder,0))),BJ538=1,BQ538=0)),"INVALID – batch ID missing, placeholder or not an ID (e.g. PASB-261008-BC-017)",IF(AND(AR538=1,OR(NOT(ISNUMBER(X538)),NOT(ISNUMBER(Y538)))),"INVALID – expected/actual qty missing",IF(AND(AR538=1,OR(X538&lt;=0,Y538&lt;0)),"INVALID – expected qty must be above 0 and actual not negative",IF(BB538&lt;&gt;"",BB538,IF(AND(AS538=1,Documents!$J$21&lt;&gt;"ON FILE"),"INVALID – GLD not on file (Documents sheet)",IF(AND(AS538=2,Documents!$O$21&lt;&gt;"ON FILE"),"INVALID – menu checklist not on file (Documents sheet)",IF(AND(AS538=3,NOT(ISNUMBER(Flights!$AX$21))),"INVALID – enter carrying flight KUL departure (Flights AX)",IF(AND(AS538=3,OR(Flights!$AZ$21&gt;Flights!$AA$21,Flights!$AX$21&lt;Flights!$AA$21-3)),"INVALID – carrying flight (Flights AX) cannot arrive before this leg's STD, or is over 3 days early",IF(AG538&gt;AsOfUTC,"INVALID – completion time is in the future",IF(AND(ISNUMBER(BY538),AG538&lt;BY538),IF(H538="Physical uplift","INVALID – before uplift window (cannot confirm loading)","INVALID – before valid window"),IF(AG538&gt;Flights!$AA$21,"INVALID – completed after departure (cannot establish readiness)",IF(AND(H538="Preparation",AG538&gt;=IF(ISNUMBER(Flights!$BA$21),MIN(Flights!$BA$21,Flights!$AA$21),Flights!$AA$21)),"INVALID – completed after loading / departure (cannot establish readiness)",IF(AND(H538="Physical uplift",AG538&gt;Q538),"INVALID – recorded after the loading flight departed",IF(AG538&gt;Q538,"COMPLETE – LATE","COMPLETE"))))))))))))))))))))))))),IF(TRIM(U538)="Fail","FAIL – DISCREPANCY",IF(AND(TRIM(U538)&lt;&gt;"",TRIM(U538)&lt;&gt;"Not started",TRIM(U538)&lt;&gt;"In progress"),"INVALID – unrecognised status (use the list)",IF(AsOfUTC&gt;Q538,"OVERDUE",IF(N538="Clarification required","OPEN – CLARIFICATION","OPEN"))))))),"INVALID – error value in an input cell")</f>
        <v>OPEN</v>
      </c>
      <c r="AI538" s="61" t="n">
        <f aca="false">IF(OR(AH538="N/A – RULE",AH538="N/A – JUSTIFIED"),0,1)</f>
        <v>1</v>
      </c>
      <c r="AJ538" s="61" t="n">
        <f aca="false">IF(LEFT(AH538,8)="COMPLETE",1,0)</f>
        <v>0</v>
      </c>
      <c r="AK538" s="61" t="n">
        <f aca="false">IF(AND(AI538=1,AJ538=0,AsOfUTC&gt;Q538),1,0)</f>
        <v>0</v>
      </c>
      <c r="AL538" s="61" t="n">
        <f aca="false">IFERROR(IF(AND(AI538=1,OR(TRIM(U538)="Fail",AND(TRIM(AB538)&lt;&gt;"",TRIM(AB538)&lt;&gt;"Closed"),AND(ISNUMBER(AF538),AF538&lt;&gt;0,TRIM(U538)&lt;&gt;"Pass after CA"))),1,0),1)</f>
        <v>0</v>
      </c>
      <c r="AM538" s="61" t="n">
        <f aca="false">IF(LEFT(AH538,7)="INVALID",1,0)</f>
        <v>0</v>
      </c>
      <c r="AN538" s="61" t="n">
        <f aca="false">IF(AND(N538="Clarification required",AI538=1,AJ538=0),1,0)</f>
        <v>0</v>
      </c>
      <c r="AO538" s="61" t="str">
        <f aca="false">IF(AK538=1,SUM(AK$5:AK538),"")</f>
        <v/>
      </c>
      <c r="AP538" s="61" t="str">
        <f aca="false">IF(AL538=1,SUM(AL$5:AL538),"")</f>
        <v/>
      </c>
      <c r="AQ538" s="61" t="n">
        <v>0</v>
      </c>
      <c r="AR538" s="61" t="n">
        <v>0</v>
      </c>
      <c r="AS538" s="61" t="n">
        <v>2</v>
      </c>
      <c r="AT538" s="61" t="n">
        <v>0</v>
      </c>
      <c r="AU538" s="61" t="str">
        <f aca="false">SUBSTITUTE(SUBSTITUTE(SUBSTITUTE(SUBSTITUTE(SUBSTITUTE(SUBSTITUTE(SUBSTITUTE(SUBSTITUTE(SUBSTITUTE(SUBSTITUTE(SUBSTITUTE(SUBSTITUTE(SUBSTITUTE(SUBSTITUTE(SUBSTITUTE(SUBSTITUTE(LOWER(T538&amp;""),CHAR(10),""),CHAR(13),""),CHAR(9),""),CHAR(160),"")," ",""),".",""),"-",""),"/",""),"?",""),"_",""),",",""),"[",""),"]",""),"(",""),")",""),"*","")</f>
        <v/>
      </c>
      <c r="AV538" s="61" t="str">
        <f aca="false">SUBSTITUTE(SUBSTITUTE(SUBSTITUTE(SUBSTITUTE(SUBSTITUTE(SUBSTITUTE(SUBSTITUTE(SUBSTITUTE(SUBSTITUTE(SUBSTITUTE(SUBSTITUTE(SUBSTITUTE(SUBSTITUTE(SUBSTITUTE(SUBSTITUTE(SUBSTITUTE(LOWER(V538&amp;""),CHAR(10),""),CHAR(13),""),CHAR(9),""),CHAR(160),"")," ",""),".",""),"-",""),"/",""),"?",""),"_",""),",",""),"[",""),"]",""),"(",""),")",""),"*","")</f>
        <v/>
      </c>
      <c r="AW538" s="61" t="str">
        <f aca="false">SUBSTITUTE(SUBSTITUTE(SUBSTITUTE(SUBSTITUTE(SUBSTITUTE(SUBSTITUTE(SUBSTITUTE(SUBSTITUTE(SUBSTITUTE(SUBSTITUTE(SUBSTITUTE(SUBSTITUTE(SUBSTITUTE(SUBSTITUTE(SUBSTITUTE(SUBSTITUTE(LOWER(Z538&amp;""),CHAR(10),""),CHAR(13),""),CHAR(9),""),CHAR(160),"")," ",""),".",""),"-",""),"/",""),"?",""),"_",""),",",""),"[",""),"]",""),"(",""),")",""),"*","")</f>
        <v/>
      </c>
      <c r="AX538" s="61" t="str">
        <f aca="false">SUBSTITUTE(SUBSTITUTE(SUBSTITUTE(SUBSTITUTE(SUBSTITUTE(SUBSTITUTE(SUBSTITUTE(SUBSTITUTE(SUBSTITUTE(SUBSTITUTE(SUBSTITUTE(SUBSTITUTE(SUBSTITUTE(SUBSTITUTE(SUBSTITUTE(SUBSTITUTE(LOWER(AE538&amp;""),CHAR(10),""),CHAR(13),""),CHAR(9),""),CHAR(160),"")," ",""),".",""),"-",""),"/",""),"?",""),"_",""),",",""),"[",""),"]",""),"(",""),")",""),"*","")</f>
        <v/>
      </c>
      <c r="AY538" s="61" t="str">
        <f aca="false">SUBSTITUTE(SUBSTITUTE(SUBSTITUTE(SUBSTITUTE(SUBSTITUTE(SUBSTITUTE(SUBSTITUTE(SUBSTITUTE(SUBSTITUTE(SUBSTITUTE(SUBSTITUTE(SUBSTITUTE(SUBSTITUTE(SUBSTITUTE(SUBSTITUTE(SUBSTITUTE(LOWER(W538&amp;""),CHAR(10),""),CHAR(13),""),CHAR(9),""),CHAR(160),"")," ",""),".",""),"-",""),"/",""),"?",""),"_",""),",",""),"[",""),"]",""),"(",""),")",""),"*","")</f>
        <v/>
      </c>
      <c r="AZ538" s="61" t="str">
        <f aca="false">SUBSTITUTE(SUBSTITUTE(SUBSTITUTE(SUBSTITUTE(SUBSTITUTE(SUBSTITUTE(SUBSTITUTE(SUBSTITUTE(SUBSTITUTE(SUBSTITUTE(SUBSTITUTE(SUBSTITUTE(SUBSTITUTE(SUBSTITUTE(SUBSTITUTE(SUBSTITUTE(LOWER(AC538&amp;""),CHAR(10),""),CHAR(13),""),CHAR(9),""),CHAR(160),"")," ",""),".",""),"-",""),"/",""),"?",""),"_",""),",",""),"[",""),"]",""),"(",""),")",""),"*","")</f>
        <v/>
      </c>
      <c r="BA538" s="61" t="str">
        <f aca="false">SUBSTITUTE(SUBSTITUTE(SUBSTITUTE(SUBSTITUTE(SUBSTITUTE(SUBSTITUTE(SUBSTITUTE(SUBSTITUTE(SUBSTITUTE(SUBSTITUTE(SUBSTITUTE(SUBSTITUTE(SUBSTITUTE(SUBSTITUTE(SUBSTITUTE(SUBSTITUTE(LOWER(AA538&amp;""),CHAR(10),""),CHAR(13),""),CHAR(9),""),CHAR(160),"")," ",""),".",""),"-",""),"/",""),"?",""),"_",""),",",""),"[",""),"]",""),"(",""),")",""),"*","")</f>
        <v/>
      </c>
      <c r="BB538" s="61" t="str">
        <f aca="false">IF(AND(TRIM(U538)="Pass",ISNUMBER(AF538)),IF(AF538&lt;&gt;0,"INVALID – qty variance: use Fail or Pass after CA",""),"")&amp;IF(AND(TRIM(U538)="Pass after CA",ISNUMBER(AF538)),IF(AF538&lt;&gt;0,"INVALID – after the corrective action the actual qty must equal expected (update Actual)",""),"")&amp;IF(AND(TRIM(U538)="Pass",TRIM(AB538)&lt;&gt;"",TRIM(AB538)&lt;&gt;"Closed"),"INVALID – corrective action not closed: use Fail, then Pass after CA","")&amp;IF(AND(LEN(BA538)&gt;=2,ISNA(MATCH(LEFT(BA538,255),L_Placeholder,0)),TRIM(AB538)=""),"INVALID – CA status missing for the recorded corrective action","")&amp;IF(AND(TRIM(U538)="Pass after CA",OR(OR(LEN(BA538)&lt;5,ISNUMBER(MATCH(BA538,L_Placeholder,0))),TRIM(AB538)&lt;&gt;"Closed")),"INVALID – corrective action not recorded/closed","")</f>
        <v/>
      </c>
      <c r="BC538" s="61" t="str">
        <f aca="false">" "&amp;TRIM(SUBSTITUTE(SUBSTITUTE(SUBSTITUTE(SUBSTITUTE(SUBSTITUTE(SUBSTITUTE(SUBSTITUTE(SUBSTITUTE(SUBSTITUTE(SUBSTITUTE(SUBSTITUTE(SUBSTITUTE(SUBSTITUTE(SUBSTITUTE(SUBSTITUTE(SUBSTITUTE(SUBSTITUTE(SUBSTITUTE(SUBSTITUTE(SUBSTITUTE(SUBSTITUTE(SUBSTITUTE(SUBSTITUTE(SUBSTITUTE(LOWER(V538&amp;""),CHAR(10)," "),CHAR(13)," "),CHAR(9)," "),CHAR(160)," "),"."," "),","," "),"-"," "),"/"," "),"("," "),")"," "),":"," "),";"," "),"_"," "),"–"," "),"?"," "),"!"," "),"*"," "),"["," "),"]"," "),"'"," "),"#"," "),"+"," "),"&amp;"," "),"\"," "))&amp;" "</f>
        <v>  </v>
      </c>
      <c r="BD538" s="61" t="str">
        <f aca="false">" "&amp;TRIM(SUBSTITUTE(SUBSTITUTE(SUBSTITUTE(SUBSTITUTE(SUBSTITUTE(SUBSTITUTE(SUBSTITUTE(SUBSTITUTE(SUBSTITUTE(SUBSTITUTE(SUBSTITUTE(SUBSTITUTE(SUBSTITUTE(SUBSTITUTE(SUBSTITUTE(SUBSTITUTE(SUBSTITUTE(SUBSTITUTE(SUBSTITUTE(SUBSTITUTE(SUBSTITUTE(SUBSTITUTE(SUBSTITUTE(SUBSTITUTE(LOWER(Z538&amp;""),CHAR(10)," "),CHAR(13)," "),CHAR(9)," "),CHAR(160)," "),"."," "),","," "),"-"," "),"/"," "),"("," "),")"," "),":"," "),";"," "),"_"," "),"–"," "),"?"," "),"!"," "),"*"," "),"["," "),"]"," "),"'"," "),"#"," "),"+"," "),"&amp;"," "),"\"," "))&amp;" "</f>
        <v>  </v>
      </c>
      <c r="BE538" s="61" t="str">
        <f aca="false">" "&amp;TRIM(SUBSTITUTE(SUBSTITUTE(SUBSTITUTE(SUBSTITUTE(SUBSTITUTE(SUBSTITUTE(SUBSTITUTE(SUBSTITUTE(SUBSTITUTE(SUBSTITUTE(SUBSTITUTE(SUBSTITUTE(SUBSTITUTE(SUBSTITUTE(SUBSTITUTE(SUBSTITUTE(SUBSTITUTE(SUBSTITUTE(SUBSTITUTE(SUBSTITUTE(SUBSTITUTE(SUBSTITUTE(SUBSTITUTE(SUBSTITUTE(LOWER(W538&amp;""),CHAR(10)," "),CHAR(13)," "),CHAR(9)," "),CHAR(160)," "),"."," "),","," "),"-"," "),"/"," "),"("," "),")"," "),":"," "),";"," "),"_"," "),"–"," "),"?"," "),"!"," "),"*"," "),"["," "),"]"," "),"'"," "),"#"," "),"+"," "),"&amp;"," "),"\"," "))&amp;" "</f>
        <v>  </v>
      </c>
      <c r="BF538" s="61" t="str">
        <f aca="false">" "&amp;TRIM(SUBSTITUTE(SUBSTITUTE(SUBSTITUTE(SUBSTITUTE(SUBSTITUTE(SUBSTITUTE(SUBSTITUTE(SUBSTITUTE(SUBSTITUTE(SUBSTITUTE(SUBSTITUTE(SUBSTITUTE(SUBSTITUTE(SUBSTITUTE(SUBSTITUTE(SUBSTITUTE(SUBSTITUTE(SUBSTITUTE(SUBSTITUTE(SUBSTITUTE(SUBSTITUTE(SUBSTITUTE(SUBSTITUTE(SUBSTITUTE(LOWER(AC538&amp;""),CHAR(10)," "),CHAR(13)," "),CHAR(9)," "),CHAR(160)," "),"."," "),","," "),"-"," "),"/"," "),"("," "),")"," "),":"," "),";"," "),"_"," "),"–"," "),"?"," "),"!"," "),"*"," "),"["," "),"]"," "),"'"," "),"#"," "),"+"," "),"&amp;"," "),"\"," "))&amp;" "</f>
        <v>  </v>
      </c>
      <c r="BG538" s="61" t="n">
        <f aca="false">IFERROR(IF(AND(TRIM(U538)="Pass",SUMPRODUCT((LEN(BC538)-LEN(SUBSTITUTE(BC538," "&amp;L_ResultBad&amp;" "," ")))/(LEN(L_ResultBad)+1))&gt;SUMPRODUCT((LEN(BC538)-LEN(SUBSTITUTE(BC538," "&amp;L_NegPhrase&amp;" "," ")))/(LEN(L_NegPhrase)+1))),1,0),0)</f>
        <v>0</v>
      </c>
      <c r="BH538" s="61" t="n">
        <f aca="false">IFERROR(IF(SUMPRODUCT((LEN(BC538)-LEN(SUBSTITUTE(BC538," "&amp;L_Pending&amp;" "," ")))/(LEN(L_Pending)+1))&gt;SUMPRODUCT((LEN(BC538)-LEN(SUBSTITUTE(BC538," "&amp;L_PendNeg&amp;" "," ")))/(LEN(L_PendNeg)+1))+SUMPRODUCT((LEN(BC538)-LEN(SUBSTITUTE(BC538," "&amp;L_PendPrep&amp;" "," ")))/(LEN(L_PendPrep)+1)),1,0),1)</f>
        <v>0</v>
      </c>
      <c r="BI538" s="61" t="n">
        <f aca="false">IFERROR(IF(SUMPRODUCT((LEN(BD538)-LEN(SUBSTITUTE(BD538," "&amp;L_PendStrict&amp;" "," ")))/(LEN(L_PendStrict)+1))&gt;SUMPRODUCT((LEN(BD538)-LEN(SUBSTITUTE(BD538," "&amp;L_PendNeg&amp;" "," ")))/(LEN(L_PendNeg)+1)),1,0),1)</f>
        <v>0</v>
      </c>
      <c r="BJ538" s="61" t="n">
        <f aca="false">IFERROR(IF(SUMPRODUCT((LEN(BE538)-LEN(SUBSTITUTE(BE538," "&amp;L_Pending&amp;" "," ")))/(LEN(L_Pending)+1))&gt;SUMPRODUCT((LEN(BE538)-LEN(SUBSTITUTE(BE538," "&amp;L_PendNeg&amp;" "," ")))/(LEN(L_PendNeg)+1))+SUMPRODUCT((LEN(BE538)-LEN(SUBSTITUTE(BE538," "&amp;L_PendPrep&amp;" "," ")))/(LEN(L_PendPrep)+1)),1,0),1)</f>
        <v>0</v>
      </c>
      <c r="BK538" s="61" t="n">
        <f aca="false">IFERROR(IF(SUMPRODUCT((LEN(BF538)-LEN(SUBSTITUTE(BF538," "&amp;L_PendStrict&amp;" "," ")))/(LEN(L_PendStrict)+1))&gt;SUMPRODUCT((LEN(BF538)-LEN(SUBSTITUTE(BF538," "&amp;L_PendNeg&amp;" "," ")))/(LEN(L_PendNeg)+1)),1,0),1)</f>
        <v>0</v>
      </c>
      <c r="BL538" s="61" t="n">
        <f aca="false">IF(ISNA(MATCH(TRIM(S538),L_EvidenceType,0)),0,BZ538)</f>
        <v>0</v>
      </c>
      <c r="BM538" s="61" t="str">
        <f aca="false">SUBSTITUTE(SUBSTITUTE(SUBSTITUTE(SUBSTITUTE(SUBSTITUTE(SUBSTITUTE(SUBSTITUTE(SUBSTITUTE(SUBSTITUTE(LOWER(Z538&amp;""),"1","0"),"2","0"),"3","0"),"4","0"),"5","0"),"6","0"),"7","0"),"8","0"),"9","0")</f>
        <v/>
      </c>
      <c r="BN538" s="61" t="str">
        <f aca="false">SUBSTITUTE(SUBSTITUTE(SUBSTITUTE(SUBSTITUTE(SUBSTITUTE(SUBSTITUTE(SUBSTITUTE(SUBSTITUTE(SUBSTITUTE(SUBSTITUTE(SUBSTITUTE(SUBSTITUTE(SUBSTITUTE(SUBSTITUTE(SUBSTITUTE(SUBSTITUTE(SUBSTITUTE(SUBSTITUTE(SUBSTITUTE(SUBSTITUTE(SUBSTITUTE(SUBSTITUTE(SUBSTITUTE(SUBSTITUTE(SUBSTITUTE(BM538,"b","a"),"c","a"),"d","a"),"e","a"),"f","a"),"g","a"),"h","a"),"i","a"),"j","a"),"k","a"),"l","a"),"m","a"),"n","a"),"o","a"),"p","a"),"q","a"),"r","a"),"s","a"),"t","a"),"u","a"),"v","a"),"w","a"),"x","a"),"y","a"),"z","a")</f>
        <v/>
      </c>
      <c r="BO538" s="61" t="str">
        <f aca="false">SUBSTITUTE(SUBSTITUTE(SUBSTITUTE(SUBSTITUTE(SUBSTITUTE(SUBSTITUTE(SUBSTITUTE(SUBSTITUTE(SUBSTITUTE(LOWER(W538&amp;""),"1","0"),"2","0"),"3","0"),"4","0"),"5","0"),"6","0"),"7","0"),"8","0"),"9","0")</f>
        <v/>
      </c>
      <c r="BP538" s="61" t="str">
        <f aca="false">SUBSTITUTE(SUBSTITUTE(SUBSTITUTE(SUBSTITUTE(SUBSTITUTE(SUBSTITUTE(SUBSTITUTE(SUBSTITUTE(SUBSTITUTE(SUBSTITUTE(SUBSTITUTE(SUBSTITUTE(SUBSTITUTE(SUBSTITUTE(SUBSTITUTE(SUBSTITUTE(SUBSTITUTE(SUBSTITUTE(SUBSTITUTE(SUBSTITUTE(SUBSTITUTE(SUBSTITUTE(SUBSTITUTE(SUBSTITUTE(SUBSTITUTE(BO538,"b","a"),"c","a"),"d","a"),"e","a"),"f","a"),"g","a"),"h","a"),"i","a"),"j","a"),"k","a"),"l","a"),"m","a"),"n","a"),"o","a"),"p","a"),"q","a"),"r","a"),"s","a"),"t","a"),"u","a"),"v","a"),"w","a"),"x","a"),"y","a"),"z","a")</f>
        <v/>
      </c>
      <c r="BQ538" s="61" t="n">
        <f aca="false">IFERROR(IF(AND(ISERROR(SEARCH(" mh"," "&amp;LOWER(W538))),ISNA(MATCH(LEFT(TRIM(BP538),255),{"0000a","000a","00a","0000aa","000aa","00aa","0aa","0000aaa","000aaa","00a00","0a00","0000-0000","00:00","a00","a0","00.00.0000","00/00/0000","00-00-0000","0000-00-00","0000/00/00","0000.00.00","00.00.00","00/00/00","00-00-00","0.00.0000","0/00/0000","0-00-0000"},0)),ISNA(MATCH(LEFT(TRIM(CA538),255),{"0000a","000a","00a","0000aa","000aa","00aa","0aa","0000aaa","000aaa","00a00","0a00","0000-0000","00:00","a00","a0","00.00.0000","00/00/0000","00-00-0000","0000-00-00","0000/00/00","0000.00.00","00.00.00","00/00/00","00-00-00","0.00.0000","0/00/0000","0-00-0000"},0)),LEN(CB538)&gt;=3,NOT(OR(SUBSTITUTE(CB538,"0","")="",AND(LEN(CB538)&gt;=4,CB538=REPT(LEFT(CB538),LEN(CB538))),ISNUMBER(MATCH(CB538,{"123","1234","12345","123456","1234567","12345678","0123","01234","012345","98765","987654","54321"},0)),AND(LEN(CB538)=8,LEFT(CB538,3)="202"))),OR(AND((LEN(CA538)-LEN(SUBSTITUTE(CA538,"a","")))&gt;=1,SUMPRODUCT(--ISNUMBER(SEARCH({"a0","a-0","a_0","a/0","a.0","a#0","0a","0-a","0_a","0/a"},BP538)))&gt;0),ISNUMBER(SEARCH("000000",BP538)))),1,0),0)</f>
        <v>0</v>
      </c>
      <c r="BR538" s="61" t="n">
        <f aca="false">IFERROR(LEN(SUBSTITUTE(CC538," ",""))-SUMPRODUCT((LEN(CC538)-LEN(SUBSTITUTE(CC538," "&amp;L_Role&amp;" "," ")))/(LEN(L_Role)+1)*LEN(L_Role)),0)</f>
        <v>0</v>
      </c>
      <c r="BS538" s="61" t="n">
        <f aca="false">IFERROR(LEN(SUBSTITUTE(CD538," ",""))-SUMPRODUCT((LEN(CD538)-LEN(SUBSTITUTE(CD538," "&amp;L_Role&amp;" "," ")))/(LEN(L_Role)+1)*LEN(L_Role)),0)</f>
        <v>0</v>
      </c>
      <c r="BT5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538,"revision",""),"version",""),"jan",""),"feb",""),"mar",""),"apr",""),"may",""),"jun",""),"jul",""),"aug",""),"sep",""),"oct",""),"nov",""),"dec",""),"utc",""),"gmt",""),"myt",""),"bst",""),"rev",""),"ver",""),"b","a"),"c","a"),"d","a"),"e","a"),"f","a"),"g","a"),"h","a"),"i","a"),"j","a"),"k","a"),"l","a"),"m","a"),"n","a"),"o","a"),"p","a"),"q","a"),"r","a"),"s","a"),"t","a"),"u","a"),"v","a"),"w","a"),"x","a"),"y","a"),"z","a")</f>
        <v/>
      </c>
      <c r="BU538" s="61" t="str">
        <f aca="false">SUBSTITUTE(SUBSTITUTE(SUBSTITUTE(SUBSTITUTE(SUBSTITUTE(SUBSTITUTE(SUBSTITUTE(SUBSTITUTE(SUBSTITUTE(SUBSTITUTE(LEFT(BM538,FIND("0",BM538&amp;"0")-1),"-",""),"_",""),"/",""),".",""),"#",""),"\\",""),":","")," ",""),"(",""),")","")</f>
        <v/>
      </c>
      <c r="BV538" s="61" t="n">
        <f aca="false">0</f>
        <v>0</v>
      </c>
      <c r="BW5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538&amp;""),"a",""),"b",""),"c",""),"d",""),"e",""),"f",""),"g",""),"h",""),"i",""),"j",""),"k",""),"l",""),"m",""),"n",""),"o",""),"p",""),"q",""),"r",""),"s",""),"t",""),"u",""),"v",""),"w",""),"x",""),"y",""),"z",""),"-",""),"_",""),"/",""),".",""),"#",""),"\\",""),":","")," ",""),"(",""),")","")</f>
        <v/>
      </c>
      <c r="BX538" s="61" t="str">
        <f aca="false">SUBSTITUTE(SUBSTITUTE(SUBSTITUTE(SUBSTITUTE(SUBSTITUTE(SUBSTITUTE(SUBSTITUTE(SUBSTITUTE(SUBSTITUTE(SUBSTITUTE(SUBSTITUTE(BM538,"0",""),"-",""),"_",""),"/",""),".",""),"#",""),"\\",""),":","")," ",""),"(",""),")","")</f>
        <v/>
      </c>
      <c r="BY538" s="62" t="n">
        <f aca="false">Q538-T7EarlyD*24/24</f>
        <v>46301.2847222222</v>
      </c>
      <c r="BZ538" s="61" t="n">
        <f aca="false">IFERROR(IF(IF(TRIM(S538)="Link / file path",AND(LEN(TRIM(Z538))&gt;=5,SUMPRODUCT(--ISNUMBER(SEARCH({"http","www.","\\",":\",".pdf",".jpg",".jpeg",".png",".heic",".xls",".doc",".msg",".eml",".ppt",".txt",".zip"},Z538)))&gt;0),AND(ISERROR(FIND(" ",TRIM(Z538))),NOT(OR(SUMPRODUCT(--ISNUMBER(FIND({",",";","&amp;","+"},Z538)))&gt;0,SUMPRODUCT(--ISNUMBER(SEARCH({"0/aa","0\\aa"},BN538)))&gt;0)),NOT(SUMPRODUCT(--ISNUMBER(SEARCH({"http","www.","\\",":\",".pdf",".jpg",".jpeg",".png",".heic",".xls",".doc",".msg",".eml",".ppt",".txt",".zip"},Z538)))&gt;0),NOT(LOWER(TRIM(Z538))=LOWER(Flights!$F$21)),ISNA(MATCH(BU538,{"mh","rev","revision","ver","version","v","r","a","b","seat","tray","row","gate","bay","stand","page","pg","item","line","no","cart","galley","flight","flt","table","box","bag","oven","etd","eta","std","sta","atd","ata","qty","pax","x","time","tel","ph","mob","day","wk","week","utc","gmt","myt","lt"},0)),NOT(OR(ISNUMBER(MATCH(LEFT(BN538,255),{"0000a","000a","00a","0000aa","000aa","00aa","0aa","0000aaa","000aaa","00a00","0a00","0000-0000","00:00","a00","a0","00.00.0000","00/00/0000","00-00-0000","0000-00-00","0000/00/00","0000.00.00","00.00.00","00/00/00","00-00-00","0.00.0000","0/00/0000","0-00-0000"},0)),ISNUMBER(MATCH(LEFT(BT538,255),{"0000a","000a","00a","0000aa","000aa","00aa","0aa","0000aaa","000aaa","00a00","0a00","0000-0000","00:00","a00","a0","00.00.0000","00/00/0000","00-00-0000","0000-00-00","0000/00/00","0000.00.00","00.00.00","00/00/00","00-00-00","0.00.0000","0/00/0000","0-00-0000"},0)))),NOT(OR(AND(BW538&lt;&gt;"",SUBSTITUTE(BW538,"0","")=""),AND(LEN(BW538)&gt;=4,BW538=REPT(LEFT(BW538),LEN(BW538))),ISNUMBER(MATCH(BW538,{"123","1234","12345","123456","1234567","12345678","0123","01234","012345","98765","987654","54321"},0)),ISNUMBER(MATCH(BX538,{"x","xx","xxx","xxxx","xxxxx","abc","abcd","nil","na","nan","test","tbc","tba","tbd","dummy","sample","example","eg","zz","zzz","none","null","xyz","qwe","asd","id","ref"},0)),AND(LEN(BW538)=8,BX538="",OR(LEFT(BW538,3)="202",ISNUMBER(MATCH(RIGHT(BW538,4),{"2025","2026","2027"},0)))))),OR(AND((LEN(BT538)-LEN(SUBSTITUTE(BT538,"a","")))&gt;=1,(LEN(BN538)-LEN(SUBSTITUTE(BN538,"0","")))&gt;=2,SUMPRODUCT(--ISNUMBER(SEARCH({"a0","a-0","a_0","a/0","a.0","a#0","0a","0-a","0_a","0/a"},BN538)))&gt;0),AND((LEN(BN538)-LEN(SUBSTITUTE(BN538,"a","")))=0,(LEN(BN538)-LEN(SUBSTITUTE(BN538,"0","")))&gt;=5)))),1,0),0)</f>
        <v>0</v>
      </c>
      <c r="CA5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538,"revision",""),"version",""),"jan",""),"feb",""),"mar",""),"apr",""),"may",""),"jun",""),"jul",""),"aug",""),"sep",""),"oct",""),"nov",""),"dec",""),"utc",""),"gmt",""),"myt",""),"bst",""),"rev",""),"ver",""),"b","a"),"c","a"),"d","a"),"e","a"),"f","a"),"g","a"),"h","a"),"i","a"),"j","a"),"k","a"),"l","a"),"m","a"),"n","a"),"o","a"),"p","a"),"q","a"),"r","a"),"s","a"),"t","a"),"u","a"),"v","a"),"w","a"),"x","a"),"y","a"),"z","a")</f>
        <v/>
      </c>
      <c r="CB5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538&amp;""),"a",""),"b",""),"c",""),"d",""),"e",""),"f",""),"g",""),"h",""),"i",""),"j",""),"k",""),"l",""),"m",""),"n",""),"o",""),"p",""),"q",""),"r",""),"s",""),"t",""),"u",""),"v",""),"w",""),"x",""),"y",""),"z",""),"-",""),"_",""),"/",""),".",""),"#",""),"\\",""),":","")," ",""),"(",""),")","")</f>
        <v/>
      </c>
      <c r="CC538" s="0" t="str">
        <f aca="false">" "&amp;TRIM(SUBSTITUTE(SUBSTITUTE(SUBSTITUTE(SUBSTITUTE(SUBSTITUTE(SUBSTITUTE(SUBSTITUTE(SUBSTITUTE(SUBSTITUTE(SUBSTITUTE(SUBSTITUTE(SUBSTITUTE(SUBSTITUTE(SUBSTITUTE(SUBSTITUTE(SUBSTITUTE(SUBSTITUTE(SUBSTITUTE(SUBSTITUTE(SUBSTITUTE(SUBSTITUTE(SUBSTITUTE(SUBSTITUTE(SUBSTITUTE(LOWER(T538&amp;""),CHAR(10)," "),CHAR(13)," "),CHAR(9)," "),CHAR(160)," "),"."," "),","," "),"-"," "),"/"," "),"("," "),")"," "),":"," "),";"," "),"_"," "),"–"," "),"?"," "),"!"," "),"*"," "),"["," "),"]"," "),"'"," "),"#"," "),"+"," "),"&amp;"," "),"\"," "))&amp;" "</f>
        <v>  </v>
      </c>
      <c r="CD538" s="0" t="str">
        <f aca="false">" "&amp;TRIM(SUBSTITUTE(SUBSTITUTE(SUBSTITUTE(SUBSTITUTE(SUBSTITUTE(SUBSTITUTE(SUBSTITUTE(SUBSTITUTE(SUBSTITUTE(SUBSTITUTE(SUBSTITUTE(SUBSTITUTE(SUBSTITUTE(SUBSTITUTE(SUBSTITUTE(SUBSTITUTE(SUBSTITUTE(SUBSTITUTE(SUBSTITUTE(SUBSTITUTE(SUBSTITUTE(SUBSTITUTE(SUBSTITUTE(SUBSTITUTE(LOWER(AE538&amp;""),CHAR(10)," "),CHAR(13)," "),CHAR(9)," "),CHAR(160)," "),"."," "),","," "),"-"," "),"/"," "),"("," "),")"," "),":"," "),";"," "),"_"," "),"–"," "),"?"," "),"!"," "),"*"," "),"["," "),"]"," "),"'"," "),"#"," "),"+"," "),"&amp;"," "),"\"," "))&amp;" "</f>
        <v>  </v>
      </c>
      <c r="CE538" s="68" t="n">
        <f aca="false">IFERROR(IF(AND(LEN(AU538)&gt;0,LEN(AU538)=LEN(AX538),OR(TRIM(MID(SUBSTITUTE(TRIM(CC538)," ",REPT(" ",60)),1,60))="",ISNUMBER(SEARCH(" "&amp;TRIM(MID(SUBSTITUTE(TRIM(CC538)," ",REPT(" ",60)),1,60))&amp;" ",CD538))),OR(TRIM(MID(SUBSTITUTE(TRIM(CC538)," ",REPT(" ",60)),61,60))="",ISNUMBER(SEARCH(" "&amp;TRIM(MID(SUBSTITUTE(TRIM(CC538)," ",REPT(" ",60)),61,60))&amp;" ",CD538))),OR(TRIM(MID(SUBSTITUTE(TRIM(CC538)," ",REPT(" ",60)),121,60))="",ISNUMBER(SEARCH(" "&amp;TRIM(MID(SUBSTITUTE(TRIM(CC538)," ",REPT(" ",60)),121,60))&amp;" ",CD538)))),1,0),0)</f>
        <v>0</v>
      </c>
      <c r="CG538" s="68" t="n">
        <f aca="false">IFERROR(LEN(SUBSTITUTE(BF538," ",""))-SUMPRODUCT((LEN(BF538)-LEN(SUBSTITUTE(BF538," "&amp;L_NAFiller&amp;" "," ")))/(LEN(L_NAFiller)+1)*LEN(L_NAFiller)),0)</f>
        <v>0</v>
      </c>
    </row>
    <row r="539" customFormat="false" ht="39.75" hidden="false" customHeight="true" outlineLevel="0" collapsed="false">
      <c r="A539" s="57" t="s">
        <v>1206</v>
      </c>
      <c r="B539" s="57" t="s">
        <v>290</v>
      </c>
      <c r="C539" s="57" t="str">
        <f aca="false">Flights!$F$21</f>
        <v>MH0073</v>
      </c>
      <c r="D539" s="58" t="n">
        <f aca="false">Flights!$D$21</f>
        <v>46322</v>
      </c>
      <c r="E539" s="57" t="str">
        <f aca="false">Flights!$G$21&amp;"-"&amp;Flights!$H$21</f>
        <v>HKG-KUL</v>
      </c>
      <c r="F539" s="57" t="str">
        <f aca="false">Flights!$K$21</f>
        <v>BC</v>
      </c>
      <c r="G539" s="57" t="s">
        <v>81</v>
      </c>
      <c r="H539" s="57" t="s">
        <v>378</v>
      </c>
      <c r="I539" s="57" t="s">
        <v>411</v>
      </c>
      <c r="J539" s="57" t="s">
        <v>412</v>
      </c>
      <c r="K539" s="67" t="s">
        <v>1207</v>
      </c>
      <c r="L539" s="67" t="s">
        <v>1171</v>
      </c>
      <c r="M539" s="67"/>
      <c r="N539" s="67" t="s">
        <v>383</v>
      </c>
      <c r="O539" s="67"/>
      <c r="P539" s="57" t="s">
        <v>282</v>
      </c>
      <c r="Q539" s="59" t="n">
        <f aca="false">ROUND((Flights!$AC$21)*1440,0)/1440</f>
        <v>46315.2847222222</v>
      </c>
      <c r="R539" s="59" t="n">
        <f aca="false">Q539+(IF(AND(INDEX(TZ_DSTS,MATCH(P539,TZ_STN,0))&lt;&gt;"",Q539&gt;=INDEX(TZ_DSTS,MATCH(P539,TZ_STN,0)),Q539&lt;INDEX(TZ_DSTE,MATCH(P539,TZ_STN,0))),INDEX(TZ_DST,MATCH(P539,TZ_STN,0)),INDEX(TZ_STD,MATCH(P539,TZ_STN,0))))/24</f>
        <v>46315.6180555556</v>
      </c>
      <c r="S539" s="60"/>
      <c r="T539" s="60"/>
      <c r="U539" s="60"/>
      <c r="V539" s="60"/>
      <c r="W539" s="61"/>
      <c r="X539" s="60"/>
      <c r="Y539" s="60"/>
      <c r="Z539" s="60"/>
      <c r="AA539" s="60"/>
      <c r="AB539" s="60"/>
      <c r="AC539" s="60"/>
      <c r="AD539" s="66"/>
      <c r="AE539" s="60"/>
      <c r="AF539" s="61" t="str">
        <f aca="false">IF(AND(ISNUMBER(X539),ISNUMBER(Y539)),Y539-X539,"")</f>
        <v/>
      </c>
      <c r="AG539" s="62" t="str">
        <f aca="false">IF(ISNUMBER(AD539),AD539-(IF(AND(INDEX(TZ_DSTS,MATCH(P539,TZ_STN,0))&lt;&gt;"",(AD539-INDEX(TZ_STD,MATCH(P539,TZ_STN,0))/24)&gt;=INDEX(TZ_DSTS,MATCH(P539,TZ_STN,0)),(AD539-INDEX(TZ_STD,MATCH(P539,TZ_STN,0))/24)&lt;INDEX(TZ_DSTE,MATCH(P539,TZ_STN,0))),INDEX(TZ_DST,MATCH(P539,TZ_STN,0)),INDEX(TZ_STD,MATCH(P539,TZ_STN,0))))/24,"")</f>
        <v/>
      </c>
      <c r="AH539" s="65" t="str">
        <f aca="false">IFERROR(IF(N539="N/A – rule",IF(OR(TRIM(U539)="",TRIM(U539)="N/A",TRIM(U539)="Not started"),"N/A – RULE","INVALID – this check does not apply to this aircraft: clear the status (or correct the fleet on Flights)"),IF(TRIM(U539)="N/A",IF(AT539=0,"INVALID – N/A not permitted for this check",IF(AND(TRIM(AB539)&lt;&gt;"",TRIM(AB539)&lt;&gt;"Closed"),"INVALID – corrective action still open",IF(AND(NOT(OR(LEN(AZ539)&lt;15,ISNUMBER(MATCH(AZ539,L_Placeholder,0)))),BK539=0,CG539&gt;=8,NOT(OR(LEN(AU539)&lt;2,ISNUMBER(MATCH(AU539,L_Placeholder,0)))),BR539&gt;=3,NOT(OR(LEN(AX539)&lt;2,ISNUMBER(MATCH(AX539,L_Placeholder,0)))),BS539&gt;=3,TRIM(AE539)&lt;&gt;TRIM(T539),AX539&lt;&gt;AU539,CE539=0),"N/A – JUSTIFIED","INVALID – N/A needs a real, settled reason (not 'not applicable' / 'as above' / TBC), a named PIC and a different named verifier"))),IF(OR(TRIM(U539)="Pass",TRIM(U539)="Pass after CA"),IF(NOT(ISNUMBER(AD539)),"INVALID – completion time missing",IF(OR(OR(LEN(AU539)&lt;2,ISNUMBER(MATCH(AU539,L_Placeholder,0))),BR539&lt;3),"INVALID – PIC missing or not a named person (a role such as QA / CSM is not a name)",IF(OR(LEN(AV539)&lt;2,ISNUMBER(MATCH(AV539,L_Placeholder,0))),"INVALID – result / assessment missing",IF(OR(OR(LEN(AW539)&lt;3,ISNUMBER(MATCH(AW539,L_Placeholder,0))),SUMPRODUCT(--ISNUMBER(SEARCH(" "&amp;L_EvidencePhrase&amp;" ",BD539)))&gt;0,BI539=1),"INVALID – evidence missing, placeholder or not yet on file",IF(ISNA(MATCH(TRIM(S539),L_EvidenceType,0)),"INVALID – choose the evidence type from the list (column S)",IF(BL539=0,"INVALID – evidence ID must be the record's own ID only (e.g. SF-2210, IMG_2231, 1045521); a link / file name needs type 'Link / file path'",IF(OR(OR(LEN(AX539)&lt;2,ISNUMBER(MATCH(AX539,L_Placeholder,0))),BS539&lt;3),"INVALID – verifier missing or not a named person (a role such as QA / CSM is not a name)",IF(OR(AX539=AU539,CE539=1,AND(LEN(AU539)&gt;=4,ISNUMBER(SEARCH(AU539,AX539))),AND(LEN(AX539)&gt;=4,ISNUMBER(SEARCH(AX539,AU539)))),"INVALID – verifier must be a different, named person (not the PIC or a role)",IF(BH539=1,"INVALID – result not yet available (awaiting / TBC)",IF(BG539=1,"INVALID – result describes a problem: record Fail, then Pass after CA (or reword if it is not a problem)",IF(BV539=1,"INVALID – wording says not on board: an on-board confirmation needs the item loaded",IF(AND(AQ539=1,OR(OR(LEN(AY539)&lt;3,ISNUMBER(MATCH(AY539,L_Placeholder,0))),BJ539=1,BQ539=0)),"INVALID – batch ID missing, placeholder or not an ID (e.g. PASB-261008-BC-017)",IF(AND(AR539=1,OR(NOT(ISNUMBER(X539)),NOT(ISNUMBER(Y539)))),"INVALID – expected/actual qty missing",IF(AND(AR539=1,OR(X539&lt;=0,Y539&lt;0)),"INVALID – expected qty must be above 0 and actual not negative",IF(BB539&lt;&gt;"",BB539,IF(AND(AS539=1,Documents!$J$21&lt;&gt;"ON FILE"),"INVALID – GLD not on file (Documents sheet)",IF(AND(AS539=2,Documents!$O$21&lt;&gt;"ON FILE"),"INVALID – menu checklist not on file (Documents sheet)",IF(AND(AS539=3,NOT(ISNUMBER(Flights!$AX$21))),"INVALID – enter carrying flight KUL departure (Flights AX)",IF(AND(AS539=3,OR(Flights!$AZ$21&gt;Flights!$AA$21,Flights!$AX$21&lt;Flights!$AA$21-3)),"INVALID – carrying flight (Flights AX) cannot arrive before this leg's STD, or is over 3 days early",IF(AG539&gt;AsOfUTC,"INVALID – completion time is in the future",IF(AND(ISNUMBER(BY539),AG539&lt;BY539),IF(H539="Physical uplift","INVALID – before uplift window (cannot confirm loading)","INVALID – before valid window"),IF(AG539&gt;Flights!$AA$21,"INVALID – completed after departure (cannot establish readiness)",IF(AND(H539="Preparation",AG539&gt;=IF(ISNUMBER(Flights!$BA$21),MIN(Flights!$BA$21,Flights!$AA$21),Flights!$AA$21)),"INVALID – completed after loading / departure (cannot establish readiness)",IF(AND(H539="Physical uplift",AG539&gt;Q539),"INVALID – recorded after the loading flight departed",IF(AG539&gt;Q539,"COMPLETE – LATE","COMPLETE"))))))))))))))))))))))))),IF(TRIM(U539)="Fail","FAIL – DISCREPANCY",IF(AND(TRIM(U539)&lt;&gt;"",TRIM(U539)&lt;&gt;"Not started",TRIM(U539)&lt;&gt;"In progress"),"INVALID – unrecognised status (use the list)",IF(AsOfUTC&gt;Q539,"OVERDUE",IF(N539="Clarification required","OPEN – CLARIFICATION","OPEN"))))))),"INVALID – error value in an input cell")</f>
        <v>OPEN</v>
      </c>
      <c r="AI539" s="61" t="n">
        <f aca="false">IF(OR(AH539="N/A – RULE",AH539="N/A – JUSTIFIED"),0,1)</f>
        <v>1</v>
      </c>
      <c r="AJ539" s="61" t="n">
        <f aca="false">IF(LEFT(AH539,8)="COMPLETE",1,0)</f>
        <v>0</v>
      </c>
      <c r="AK539" s="61" t="n">
        <f aca="false">IF(AND(AI539=1,AJ539=0,AsOfUTC&gt;Q539),1,0)</f>
        <v>0</v>
      </c>
      <c r="AL539" s="61" t="n">
        <f aca="false">IFERROR(IF(AND(AI539=1,OR(TRIM(U539)="Fail",AND(TRIM(AB539)&lt;&gt;"",TRIM(AB539)&lt;&gt;"Closed"),AND(ISNUMBER(AF539),AF539&lt;&gt;0,TRIM(U539)&lt;&gt;"Pass after CA"))),1,0),1)</f>
        <v>0</v>
      </c>
      <c r="AM539" s="61" t="n">
        <f aca="false">IF(LEFT(AH539,7)="INVALID",1,0)</f>
        <v>0</v>
      </c>
      <c r="AN539" s="61" t="n">
        <f aca="false">IF(AND(N539="Clarification required",AI539=1,AJ539=0),1,0)</f>
        <v>0</v>
      </c>
      <c r="AO539" s="61" t="str">
        <f aca="false">IF(AK539=1,SUM(AK$5:AK539),"")</f>
        <v/>
      </c>
      <c r="AP539" s="61" t="str">
        <f aca="false">IF(AL539=1,SUM(AL$5:AL539),"")</f>
        <v/>
      </c>
      <c r="AQ539" s="61" t="n">
        <v>0</v>
      </c>
      <c r="AR539" s="61" t="n">
        <v>0</v>
      </c>
      <c r="AS539" s="61" t="n">
        <v>0</v>
      </c>
      <c r="AT539" s="61" t="n">
        <v>0</v>
      </c>
      <c r="AU539" s="61" t="str">
        <f aca="false">SUBSTITUTE(SUBSTITUTE(SUBSTITUTE(SUBSTITUTE(SUBSTITUTE(SUBSTITUTE(SUBSTITUTE(SUBSTITUTE(SUBSTITUTE(SUBSTITUTE(SUBSTITUTE(SUBSTITUTE(SUBSTITUTE(SUBSTITUTE(SUBSTITUTE(SUBSTITUTE(LOWER(T539&amp;""),CHAR(10),""),CHAR(13),""),CHAR(9),""),CHAR(160),"")," ",""),".",""),"-",""),"/",""),"?",""),"_",""),",",""),"[",""),"]",""),"(",""),")",""),"*","")</f>
        <v/>
      </c>
      <c r="AV539" s="61" t="str">
        <f aca="false">SUBSTITUTE(SUBSTITUTE(SUBSTITUTE(SUBSTITUTE(SUBSTITUTE(SUBSTITUTE(SUBSTITUTE(SUBSTITUTE(SUBSTITUTE(SUBSTITUTE(SUBSTITUTE(SUBSTITUTE(SUBSTITUTE(SUBSTITUTE(SUBSTITUTE(SUBSTITUTE(LOWER(V539&amp;""),CHAR(10),""),CHAR(13),""),CHAR(9),""),CHAR(160),"")," ",""),".",""),"-",""),"/",""),"?",""),"_",""),",",""),"[",""),"]",""),"(",""),")",""),"*","")</f>
        <v/>
      </c>
      <c r="AW539" s="61" t="str">
        <f aca="false">SUBSTITUTE(SUBSTITUTE(SUBSTITUTE(SUBSTITUTE(SUBSTITUTE(SUBSTITUTE(SUBSTITUTE(SUBSTITUTE(SUBSTITUTE(SUBSTITUTE(SUBSTITUTE(SUBSTITUTE(SUBSTITUTE(SUBSTITUTE(SUBSTITUTE(SUBSTITUTE(LOWER(Z539&amp;""),CHAR(10),""),CHAR(13),""),CHAR(9),""),CHAR(160),"")," ",""),".",""),"-",""),"/",""),"?",""),"_",""),",",""),"[",""),"]",""),"(",""),")",""),"*","")</f>
        <v/>
      </c>
      <c r="AX539" s="61" t="str">
        <f aca="false">SUBSTITUTE(SUBSTITUTE(SUBSTITUTE(SUBSTITUTE(SUBSTITUTE(SUBSTITUTE(SUBSTITUTE(SUBSTITUTE(SUBSTITUTE(SUBSTITUTE(SUBSTITUTE(SUBSTITUTE(SUBSTITUTE(SUBSTITUTE(SUBSTITUTE(SUBSTITUTE(LOWER(AE539&amp;""),CHAR(10),""),CHAR(13),""),CHAR(9),""),CHAR(160),"")," ",""),".",""),"-",""),"/",""),"?",""),"_",""),",",""),"[",""),"]",""),"(",""),")",""),"*","")</f>
        <v/>
      </c>
      <c r="AY539" s="61" t="str">
        <f aca="false">SUBSTITUTE(SUBSTITUTE(SUBSTITUTE(SUBSTITUTE(SUBSTITUTE(SUBSTITUTE(SUBSTITUTE(SUBSTITUTE(SUBSTITUTE(SUBSTITUTE(SUBSTITUTE(SUBSTITUTE(SUBSTITUTE(SUBSTITUTE(SUBSTITUTE(SUBSTITUTE(LOWER(W539&amp;""),CHAR(10),""),CHAR(13),""),CHAR(9),""),CHAR(160),"")," ",""),".",""),"-",""),"/",""),"?",""),"_",""),",",""),"[",""),"]",""),"(",""),")",""),"*","")</f>
        <v/>
      </c>
      <c r="AZ539" s="61" t="str">
        <f aca="false">SUBSTITUTE(SUBSTITUTE(SUBSTITUTE(SUBSTITUTE(SUBSTITUTE(SUBSTITUTE(SUBSTITUTE(SUBSTITUTE(SUBSTITUTE(SUBSTITUTE(SUBSTITUTE(SUBSTITUTE(SUBSTITUTE(SUBSTITUTE(SUBSTITUTE(SUBSTITUTE(LOWER(AC539&amp;""),CHAR(10),""),CHAR(13),""),CHAR(9),""),CHAR(160),"")," ",""),".",""),"-",""),"/",""),"?",""),"_",""),",",""),"[",""),"]",""),"(",""),")",""),"*","")</f>
        <v/>
      </c>
      <c r="BA539" s="61" t="str">
        <f aca="false">SUBSTITUTE(SUBSTITUTE(SUBSTITUTE(SUBSTITUTE(SUBSTITUTE(SUBSTITUTE(SUBSTITUTE(SUBSTITUTE(SUBSTITUTE(SUBSTITUTE(SUBSTITUTE(SUBSTITUTE(SUBSTITUTE(SUBSTITUTE(SUBSTITUTE(SUBSTITUTE(LOWER(AA539&amp;""),CHAR(10),""),CHAR(13),""),CHAR(9),""),CHAR(160),"")," ",""),".",""),"-",""),"/",""),"?",""),"_",""),",",""),"[",""),"]",""),"(",""),")",""),"*","")</f>
        <v/>
      </c>
      <c r="BB539" s="61" t="str">
        <f aca="false">IF(AND(TRIM(U539)="Pass",ISNUMBER(AF539)),IF(AF539&lt;&gt;0,"INVALID – qty variance: use Fail or Pass after CA",""),"")&amp;IF(AND(TRIM(U539)="Pass after CA",ISNUMBER(AF539)),IF(AF539&lt;&gt;0,"INVALID – after the corrective action the actual qty must equal expected (update Actual)",""),"")&amp;IF(AND(TRIM(U539)="Pass",TRIM(AB539)&lt;&gt;"",TRIM(AB539)&lt;&gt;"Closed"),"INVALID – corrective action not closed: use Fail, then Pass after CA","")&amp;IF(AND(LEN(BA539)&gt;=2,ISNA(MATCH(LEFT(BA539,255),L_Placeholder,0)),TRIM(AB539)=""),"INVALID – CA status missing for the recorded corrective action","")&amp;IF(AND(TRIM(U539)="Pass after CA",OR(OR(LEN(BA539)&lt;5,ISNUMBER(MATCH(BA539,L_Placeholder,0))),TRIM(AB539)&lt;&gt;"Closed")),"INVALID – corrective action not recorded/closed","")</f>
        <v/>
      </c>
      <c r="BC539" s="61" t="str">
        <f aca="false">" "&amp;TRIM(SUBSTITUTE(SUBSTITUTE(SUBSTITUTE(SUBSTITUTE(SUBSTITUTE(SUBSTITUTE(SUBSTITUTE(SUBSTITUTE(SUBSTITUTE(SUBSTITUTE(SUBSTITUTE(SUBSTITUTE(SUBSTITUTE(SUBSTITUTE(SUBSTITUTE(SUBSTITUTE(SUBSTITUTE(SUBSTITUTE(SUBSTITUTE(SUBSTITUTE(SUBSTITUTE(SUBSTITUTE(SUBSTITUTE(SUBSTITUTE(LOWER(V539&amp;""),CHAR(10)," "),CHAR(13)," "),CHAR(9)," "),CHAR(160)," "),"."," "),","," "),"-"," "),"/"," "),"("," "),")"," "),":"," "),";"," "),"_"," "),"–"," "),"?"," "),"!"," "),"*"," "),"["," "),"]"," "),"'"," "),"#"," "),"+"," "),"&amp;"," "),"\"," "))&amp;" "</f>
        <v>  </v>
      </c>
      <c r="BD539" s="61" t="str">
        <f aca="false">" "&amp;TRIM(SUBSTITUTE(SUBSTITUTE(SUBSTITUTE(SUBSTITUTE(SUBSTITUTE(SUBSTITUTE(SUBSTITUTE(SUBSTITUTE(SUBSTITUTE(SUBSTITUTE(SUBSTITUTE(SUBSTITUTE(SUBSTITUTE(SUBSTITUTE(SUBSTITUTE(SUBSTITUTE(SUBSTITUTE(SUBSTITUTE(SUBSTITUTE(SUBSTITUTE(SUBSTITUTE(SUBSTITUTE(SUBSTITUTE(SUBSTITUTE(LOWER(Z539&amp;""),CHAR(10)," "),CHAR(13)," "),CHAR(9)," "),CHAR(160)," "),"."," "),","," "),"-"," "),"/"," "),"("," "),")"," "),":"," "),";"," "),"_"," "),"–"," "),"?"," "),"!"," "),"*"," "),"["," "),"]"," "),"'"," "),"#"," "),"+"," "),"&amp;"," "),"\"," "))&amp;" "</f>
        <v>  </v>
      </c>
      <c r="BE539" s="61" t="str">
        <f aca="false">" "&amp;TRIM(SUBSTITUTE(SUBSTITUTE(SUBSTITUTE(SUBSTITUTE(SUBSTITUTE(SUBSTITUTE(SUBSTITUTE(SUBSTITUTE(SUBSTITUTE(SUBSTITUTE(SUBSTITUTE(SUBSTITUTE(SUBSTITUTE(SUBSTITUTE(SUBSTITUTE(SUBSTITUTE(SUBSTITUTE(SUBSTITUTE(SUBSTITUTE(SUBSTITUTE(SUBSTITUTE(SUBSTITUTE(SUBSTITUTE(SUBSTITUTE(LOWER(W539&amp;""),CHAR(10)," "),CHAR(13)," "),CHAR(9)," "),CHAR(160)," "),"."," "),","," "),"-"," "),"/"," "),"("," "),")"," "),":"," "),";"," "),"_"," "),"–"," "),"?"," "),"!"," "),"*"," "),"["," "),"]"," "),"'"," "),"#"," "),"+"," "),"&amp;"," "),"\"," "))&amp;" "</f>
        <v>  </v>
      </c>
      <c r="BF539" s="61" t="str">
        <f aca="false">" "&amp;TRIM(SUBSTITUTE(SUBSTITUTE(SUBSTITUTE(SUBSTITUTE(SUBSTITUTE(SUBSTITUTE(SUBSTITUTE(SUBSTITUTE(SUBSTITUTE(SUBSTITUTE(SUBSTITUTE(SUBSTITUTE(SUBSTITUTE(SUBSTITUTE(SUBSTITUTE(SUBSTITUTE(SUBSTITUTE(SUBSTITUTE(SUBSTITUTE(SUBSTITUTE(SUBSTITUTE(SUBSTITUTE(SUBSTITUTE(SUBSTITUTE(LOWER(AC539&amp;""),CHAR(10)," "),CHAR(13)," "),CHAR(9)," "),CHAR(160)," "),"."," "),","," "),"-"," "),"/"," "),"("," "),")"," "),":"," "),";"," "),"_"," "),"–"," "),"?"," "),"!"," "),"*"," "),"["," "),"]"," "),"'"," "),"#"," "),"+"," "),"&amp;"," "),"\"," "))&amp;" "</f>
        <v>  </v>
      </c>
      <c r="BG539" s="61" t="n">
        <f aca="false">IFERROR(IF(AND(TRIM(U539)="Pass",SUMPRODUCT((LEN(BC539)-LEN(SUBSTITUTE(BC539," "&amp;L_ResultBad&amp;" "," ")))/(LEN(L_ResultBad)+1))&gt;SUMPRODUCT((LEN(BC539)-LEN(SUBSTITUTE(BC539," "&amp;L_NegPhrase&amp;" "," ")))/(LEN(L_NegPhrase)+1))),1,0),0)</f>
        <v>0</v>
      </c>
      <c r="BH539" s="61" t="n">
        <f aca="false">IFERROR(IF(SUMPRODUCT((LEN(BC539)-LEN(SUBSTITUTE(BC539," "&amp;L_Pending&amp;" "," ")))/(LEN(L_Pending)+1))&gt;SUMPRODUCT((LEN(BC539)-LEN(SUBSTITUTE(BC539," "&amp;L_PendNeg&amp;" "," ")))/(LEN(L_PendNeg)+1))+SUMPRODUCT((LEN(BC539)-LEN(SUBSTITUTE(BC539," "&amp;L_PendPrep&amp;" "," ")))/(LEN(L_PendPrep)+1)),1,0),1)</f>
        <v>0</v>
      </c>
      <c r="BI539" s="61" t="n">
        <f aca="false">IFERROR(IF(SUMPRODUCT((LEN(BD539)-LEN(SUBSTITUTE(BD539," "&amp;L_PendStrict&amp;" "," ")))/(LEN(L_PendStrict)+1))&gt;SUMPRODUCT((LEN(BD539)-LEN(SUBSTITUTE(BD539," "&amp;L_PendNeg&amp;" "," ")))/(LEN(L_PendNeg)+1)),1,0),1)</f>
        <v>0</v>
      </c>
      <c r="BJ539" s="61" t="n">
        <f aca="false">IFERROR(IF(SUMPRODUCT((LEN(BE539)-LEN(SUBSTITUTE(BE539," "&amp;L_Pending&amp;" "," ")))/(LEN(L_Pending)+1))&gt;SUMPRODUCT((LEN(BE539)-LEN(SUBSTITUTE(BE539," "&amp;L_PendNeg&amp;" "," ")))/(LEN(L_PendNeg)+1))+SUMPRODUCT((LEN(BE539)-LEN(SUBSTITUTE(BE539," "&amp;L_PendPrep&amp;" "," ")))/(LEN(L_PendPrep)+1)),1,0),1)</f>
        <v>0</v>
      </c>
      <c r="BK539" s="61" t="n">
        <f aca="false">IFERROR(IF(SUMPRODUCT((LEN(BF539)-LEN(SUBSTITUTE(BF539," "&amp;L_PendStrict&amp;" "," ")))/(LEN(L_PendStrict)+1))&gt;SUMPRODUCT((LEN(BF539)-LEN(SUBSTITUTE(BF539," "&amp;L_PendNeg&amp;" "," ")))/(LEN(L_PendNeg)+1)),1,0),1)</f>
        <v>0</v>
      </c>
      <c r="BL539" s="61" t="n">
        <f aca="false">IF(ISNA(MATCH(TRIM(S539),L_EvidenceType,0)),0,BZ539)</f>
        <v>0</v>
      </c>
      <c r="BM539" s="61" t="str">
        <f aca="false">SUBSTITUTE(SUBSTITUTE(SUBSTITUTE(SUBSTITUTE(SUBSTITUTE(SUBSTITUTE(SUBSTITUTE(SUBSTITUTE(SUBSTITUTE(LOWER(Z539&amp;""),"1","0"),"2","0"),"3","0"),"4","0"),"5","0"),"6","0"),"7","0"),"8","0"),"9","0")</f>
        <v/>
      </c>
      <c r="BN539" s="61" t="str">
        <f aca="false">SUBSTITUTE(SUBSTITUTE(SUBSTITUTE(SUBSTITUTE(SUBSTITUTE(SUBSTITUTE(SUBSTITUTE(SUBSTITUTE(SUBSTITUTE(SUBSTITUTE(SUBSTITUTE(SUBSTITUTE(SUBSTITUTE(SUBSTITUTE(SUBSTITUTE(SUBSTITUTE(SUBSTITUTE(SUBSTITUTE(SUBSTITUTE(SUBSTITUTE(SUBSTITUTE(SUBSTITUTE(SUBSTITUTE(SUBSTITUTE(SUBSTITUTE(BM539,"b","a"),"c","a"),"d","a"),"e","a"),"f","a"),"g","a"),"h","a"),"i","a"),"j","a"),"k","a"),"l","a"),"m","a"),"n","a"),"o","a"),"p","a"),"q","a"),"r","a"),"s","a"),"t","a"),"u","a"),"v","a"),"w","a"),"x","a"),"y","a"),"z","a")</f>
        <v/>
      </c>
      <c r="BO539" s="61" t="str">
        <f aca="false">SUBSTITUTE(SUBSTITUTE(SUBSTITUTE(SUBSTITUTE(SUBSTITUTE(SUBSTITUTE(SUBSTITUTE(SUBSTITUTE(SUBSTITUTE(LOWER(W539&amp;""),"1","0"),"2","0"),"3","0"),"4","0"),"5","0"),"6","0"),"7","0"),"8","0"),"9","0")</f>
        <v/>
      </c>
      <c r="BP539" s="61" t="str">
        <f aca="false">SUBSTITUTE(SUBSTITUTE(SUBSTITUTE(SUBSTITUTE(SUBSTITUTE(SUBSTITUTE(SUBSTITUTE(SUBSTITUTE(SUBSTITUTE(SUBSTITUTE(SUBSTITUTE(SUBSTITUTE(SUBSTITUTE(SUBSTITUTE(SUBSTITUTE(SUBSTITUTE(SUBSTITUTE(SUBSTITUTE(SUBSTITUTE(SUBSTITUTE(SUBSTITUTE(SUBSTITUTE(SUBSTITUTE(SUBSTITUTE(SUBSTITUTE(BO539,"b","a"),"c","a"),"d","a"),"e","a"),"f","a"),"g","a"),"h","a"),"i","a"),"j","a"),"k","a"),"l","a"),"m","a"),"n","a"),"o","a"),"p","a"),"q","a"),"r","a"),"s","a"),"t","a"),"u","a"),"v","a"),"w","a"),"x","a"),"y","a"),"z","a")</f>
        <v/>
      </c>
      <c r="BQ539" s="61" t="n">
        <f aca="false">IFERROR(IF(AND(ISERROR(SEARCH(" mh"," "&amp;LOWER(W539))),ISNA(MATCH(LEFT(TRIM(BP539),255),{"0000a","000a","00a","0000aa","000aa","00aa","0aa","0000aaa","000aaa","00a00","0a00","0000-0000","00:00","a00","a0","00.00.0000","00/00/0000","00-00-0000","0000-00-00","0000/00/00","0000.00.00","00.00.00","00/00/00","00-00-00","0.00.0000","0/00/0000","0-00-0000"},0)),ISNA(MATCH(LEFT(TRIM(CA539),255),{"0000a","000a","00a","0000aa","000aa","00aa","0aa","0000aaa","000aaa","00a00","0a00","0000-0000","00:00","a00","a0","00.00.0000","00/00/0000","00-00-0000","0000-00-00","0000/00/00","0000.00.00","00.00.00","00/00/00","00-00-00","0.00.0000","0/00/0000","0-00-0000"},0)),LEN(CB539)&gt;=3,NOT(OR(SUBSTITUTE(CB539,"0","")="",AND(LEN(CB539)&gt;=4,CB539=REPT(LEFT(CB539),LEN(CB539))),ISNUMBER(MATCH(CB539,{"123","1234","12345","123456","1234567","12345678","0123","01234","012345","98765","987654","54321"},0)),AND(LEN(CB539)=8,LEFT(CB539,3)="202"))),OR(AND((LEN(CA539)-LEN(SUBSTITUTE(CA539,"a","")))&gt;=1,SUMPRODUCT(--ISNUMBER(SEARCH({"a0","a-0","a_0","a/0","a.0","a#0","0a","0-a","0_a","0/a"},BP539)))&gt;0),ISNUMBER(SEARCH("000000",BP539)))),1,0),0)</f>
        <v>0</v>
      </c>
      <c r="BR539" s="61" t="n">
        <f aca="false">IFERROR(LEN(SUBSTITUTE(CC539," ",""))-SUMPRODUCT((LEN(CC539)-LEN(SUBSTITUTE(CC539," "&amp;L_Role&amp;" "," ")))/(LEN(L_Role)+1)*LEN(L_Role)),0)</f>
        <v>0</v>
      </c>
      <c r="BS539" s="61" t="n">
        <f aca="false">IFERROR(LEN(SUBSTITUTE(CD539," ",""))-SUMPRODUCT((LEN(CD539)-LEN(SUBSTITUTE(CD539," "&amp;L_Role&amp;" "," ")))/(LEN(L_Role)+1)*LEN(L_Role)),0)</f>
        <v>0</v>
      </c>
      <c r="BT5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539,"revision",""),"version",""),"jan",""),"feb",""),"mar",""),"apr",""),"may",""),"jun",""),"jul",""),"aug",""),"sep",""),"oct",""),"nov",""),"dec",""),"utc",""),"gmt",""),"myt",""),"bst",""),"rev",""),"ver",""),"b","a"),"c","a"),"d","a"),"e","a"),"f","a"),"g","a"),"h","a"),"i","a"),"j","a"),"k","a"),"l","a"),"m","a"),"n","a"),"o","a"),"p","a"),"q","a"),"r","a"),"s","a"),"t","a"),"u","a"),"v","a"),"w","a"),"x","a"),"y","a"),"z","a")</f>
        <v/>
      </c>
      <c r="BU539" s="61" t="str">
        <f aca="false">SUBSTITUTE(SUBSTITUTE(SUBSTITUTE(SUBSTITUTE(SUBSTITUTE(SUBSTITUTE(SUBSTITUTE(SUBSTITUTE(SUBSTITUTE(SUBSTITUTE(LEFT(BM539,FIND("0",BM539&amp;"0")-1),"-",""),"_",""),"/",""),".",""),"#",""),"\\",""),":","")," ",""),"(",""),")","")</f>
        <v/>
      </c>
      <c r="BV539" s="61" t="n">
        <f aca="false">0</f>
        <v>0</v>
      </c>
      <c r="BW5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539&amp;""),"a",""),"b",""),"c",""),"d",""),"e",""),"f",""),"g",""),"h",""),"i",""),"j",""),"k",""),"l",""),"m",""),"n",""),"o",""),"p",""),"q",""),"r",""),"s",""),"t",""),"u",""),"v",""),"w",""),"x",""),"y",""),"z",""),"-",""),"_",""),"/",""),".",""),"#",""),"\\",""),":","")," ",""),"(",""),")","")</f>
        <v/>
      </c>
      <c r="BX539" s="61" t="str">
        <f aca="false">SUBSTITUTE(SUBSTITUTE(SUBSTITUTE(SUBSTITUTE(SUBSTITUTE(SUBSTITUTE(SUBSTITUTE(SUBSTITUTE(SUBSTITUTE(SUBSTITUTE(SUBSTITUTE(BM539,"0",""),"-",""),"_",""),"/",""),".",""),"#",""),"\\",""),":","")," ",""),"(",""),")","")</f>
        <v/>
      </c>
      <c r="BY539" s="62" t="n">
        <f aca="false">Q539-T7EarlyD*24/24</f>
        <v>46301.2847222222</v>
      </c>
      <c r="BZ539" s="61" t="n">
        <f aca="false">IFERROR(IF(IF(TRIM(S539)="Link / file path",AND(LEN(TRIM(Z539))&gt;=5,SUMPRODUCT(--ISNUMBER(SEARCH({"http","www.","\\",":\",".pdf",".jpg",".jpeg",".png",".heic",".xls",".doc",".msg",".eml",".ppt",".txt",".zip"},Z539)))&gt;0),AND(ISERROR(FIND(" ",TRIM(Z539))),NOT(OR(SUMPRODUCT(--ISNUMBER(FIND({",",";","&amp;","+"},Z539)))&gt;0,SUMPRODUCT(--ISNUMBER(SEARCH({"0/aa","0\\aa"},BN539)))&gt;0)),NOT(SUMPRODUCT(--ISNUMBER(SEARCH({"http","www.","\\",":\",".pdf",".jpg",".jpeg",".png",".heic",".xls",".doc",".msg",".eml",".ppt",".txt",".zip"},Z539)))&gt;0),NOT(LOWER(TRIM(Z539))=LOWER(Flights!$F$21)),ISNA(MATCH(BU539,{"mh","rev","revision","ver","version","v","r","a","b","seat","tray","row","gate","bay","stand","page","pg","item","line","no","cart","galley","flight","flt","table","box","bag","oven","etd","eta","std","sta","atd","ata","qty","pax","x","time","tel","ph","mob","day","wk","week","utc","gmt","myt","lt"},0)),NOT(OR(ISNUMBER(MATCH(LEFT(BN539,255),{"0000a","000a","00a","0000aa","000aa","00aa","0aa","0000aaa","000aaa","00a00","0a00","0000-0000","00:00","a00","a0","00.00.0000","00/00/0000","00-00-0000","0000-00-00","0000/00/00","0000.00.00","00.00.00","00/00/00","00-00-00","0.00.0000","0/00/0000","0-00-0000"},0)),ISNUMBER(MATCH(LEFT(BT539,255),{"0000a","000a","00a","0000aa","000aa","00aa","0aa","0000aaa","000aaa","00a00","0a00","0000-0000","00:00","a00","a0","00.00.0000","00/00/0000","00-00-0000","0000-00-00","0000/00/00","0000.00.00","00.00.00","00/00/00","00-00-00","0.00.0000","0/00/0000","0-00-0000"},0)))),NOT(OR(AND(BW539&lt;&gt;"",SUBSTITUTE(BW539,"0","")=""),AND(LEN(BW539)&gt;=4,BW539=REPT(LEFT(BW539),LEN(BW539))),ISNUMBER(MATCH(BW539,{"123","1234","12345","123456","1234567","12345678","0123","01234","012345","98765","987654","54321"},0)),ISNUMBER(MATCH(BX539,{"x","xx","xxx","xxxx","xxxxx","abc","abcd","nil","na","nan","test","tbc","tba","tbd","dummy","sample","example","eg","zz","zzz","none","null","xyz","qwe","asd","id","ref"},0)),AND(LEN(BW539)=8,BX539="",OR(LEFT(BW539,3)="202",ISNUMBER(MATCH(RIGHT(BW539,4),{"2025","2026","2027"},0)))))),OR(AND((LEN(BT539)-LEN(SUBSTITUTE(BT539,"a","")))&gt;=1,(LEN(BN539)-LEN(SUBSTITUTE(BN539,"0","")))&gt;=2,SUMPRODUCT(--ISNUMBER(SEARCH({"a0","a-0","a_0","a/0","a.0","a#0","0a","0-a","0_a","0/a"},BN539)))&gt;0),AND((LEN(BN539)-LEN(SUBSTITUTE(BN539,"a","")))=0,(LEN(BN539)-LEN(SUBSTITUTE(BN539,"0","")))&gt;=5)))),1,0),0)</f>
        <v>0</v>
      </c>
      <c r="CA5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539,"revision",""),"version",""),"jan",""),"feb",""),"mar",""),"apr",""),"may",""),"jun",""),"jul",""),"aug",""),"sep",""),"oct",""),"nov",""),"dec",""),"utc",""),"gmt",""),"myt",""),"bst",""),"rev",""),"ver",""),"b","a"),"c","a"),"d","a"),"e","a"),"f","a"),"g","a"),"h","a"),"i","a"),"j","a"),"k","a"),"l","a"),"m","a"),"n","a"),"o","a"),"p","a"),"q","a"),"r","a"),"s","a"),"t","a"),"u","a"),"v","a"),"w","a"),"x","a"),"y","a"),"z","a")</f>
        <v/>
      </c>
      <c r="CB5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539&amp;""),"a",""),"b",""),"c",""),"d",""),"e",""),"f",""),"g",""),"h",""),"i",""),"j",""),"k",""),"l",""),"m",""),"n",""),"o",""),"p",""),"q",""),"r",""),"s",""),"t",""),"u",""),"v",""),"w",""),"x",""),"y",""),"z",""),"-",""),"_",""),"/",""),".",""),"#",""),"\\",""),":","")," ",""),"(",""),")","")</f>
        <v/>
      </c>
      <c r="CC539" s="0" t="str">
        <f aca="false">" "&amp;TRIM(SUBSTITUTE(SUBSTITUTE(SUBSTITUTE(SUBSTITUTE(SUBSTITUTE(SUBSTITUTE(SUBSTITUTE(SUBSTITUTE(SUBSTITUTE(SUBSTITUTE(SUBSTITUTE(SUBSTITUTE(SUBSTITUTE(SUBSTITUTE(SUBSTITUTE(SUBSTITUTE(SUBSTITUTE(SUBSTITUTE(SUBSTITUTE(SUBSTITUTE(SUBSTITUTE(SUBSTITUTE(SUBSTITUTE(SUBSTITUTE(LOWER(T539&amp;""),CHAR(10)," "),CHAR(13)," "),CHAR(9)," "),CHAR(160)," "),"."," "),","," "),"-"," "),"/"," "),"("," "),")"," "),":"," "),";"," "),"_"," "),"–"," "),"?"," "),"!"," "),"*"," "),"["," "),"]"," "),"'"," "),"#"," "),"+"," "),"&amp;"," "),"\"," "))&amp;" "</f>
        <v>  </v>
      </c>
      <c r="CD539" s="0" t="str">
        <f aca="false">" "&amp;TRIM(SUBSTITUTE(SUBSTITUTE(SUBSTITUTE(SUBSTITUTE(SUBSTITUTE(SUBSTITUTE(SUBSTITUTE(SUBSTITUTE(SUBSTITUTE(SUBSTITUTE(SUBSTITUTE(SUBSTITUTE(SUBSTITUTE(SUBSTITUTE(SUBSTITUTE(SUBSTITUTE(SUBSTITUTE(SUBSTITUTE(SUBSTITUTE(SUBSTITUTE(SUBSTITUTE(SUBSTITUTE(SUBSTITUTE(SUBSTITUTE(LOWER(AE539&amp;""),CHAR(10)," "),CHAR(13)," "),CHAR(9)," "),CHAR(160)," "),"."," "),","," "),"-"," "),"/"," "),"("," "),")"," "),":"," "),";"," "),"_"," "),"–"," "),"?"," "),"!"," "),"*"," "),"["," "),"]"," "),"'"," "),"#"," "),"+"," "),"&amp;"," "),"\"," "))&amp;" "</f>
        <v>  </v>
      </c>
      <c r="CE539" s="68" t="n">
        <f aca="false">IFERROR(IF(AND(LEN(AU539)&gt;0,LEN(AU539)=LEN(AX539),OR(TRIM(MID(SUBSTITUTE(TRIM(CC539)," ",REPT(" ",60)),1,60))="",ISNUMBER(SEARCH(" "&amp;TRIM(MID(SUBSTITUTE(TRIM(CC539)," ",REPT(" ",60)),1,60))&amp;" ",CD539))),OR(TRIM(MID(SUBSTITUTE(TRIM(CC539)," ",REPT(" ",60)),61,60))="",ISNUMBER(SEARCH(" "&amp;TRIM(MID(SUBSTITUTE(TRIM(CC539)," ",REPT(" ",60)),61,60))&amp;" ",CD539))),OR(TRIM(MID(SUBSTITUTE(TRIM(CC539)," ",REPT(" ",60)),121,60))="",ISNUMBER(SEARCH(" "&amp;TRIM(MID(SUBSTITUTE(TRIM(CC539)," ",REPT(" ",60)),121,60))&amp;" ",CD539)))),1,0),0)</f>
        <v>0</v>
      </c>
      <c r="CG539" s="68" t="n">
        <f aca="false">IFERROR(LEN(SUBSTITUTE(BF539," ",""))-SUMPRODUCT((LEN(BF539)-LEN(SUBSTITUTE(BF539," "&amp;L_NAFiller&amp;" "," ")))/(LEN(L_NAFiller)+1)*LEN(L_NAFiller)),0)</f>
        <v>0</v>
      </c>
    </row>
    <row r="540" customFormat="false" ht="91.5" hidden="false" customHeight="true" outlineLevel="0" collapsed="false">
      <c r="A540" s="57" t="s">
        <v>1208</v>
      </c>
      <c r="B540" s="57" t="s">
        <v>290</v>
      </c>
      <c r="C540" s="57" t="str">
        <f aca="false">Flights!$F$21</f>
        <v>MH0073</v>
      </c>
      <c r="D540" s="58" t="n">
        <f aca="false">Flights!$D$21</f>
        <v>46322</v>
      </c>
      <c r="E540" s="57" t="str">
        <f aca="false">Flights!$G$21&amp;"-"&amp;Flights!$H$21</f>
        <v>HKG-KUL</v>
      </c>
      <c r="F540" s="57" t="str">
        <f aca="false">Flights!$K$21</f>
        <v>BC</v>
      </c>
      <c r="G540" s="57" t="s">
        <v>81</v>
      </c>
      <c r="H540" s="57" t="s">
        <v>378</v>
      </c>
      <c r="I540" s="57" t="s">
        <v>411</v>
      </c>
      <c r="J540" s="57" t="s">
        <v>1209</v>
      </c>
      <c r="K540" s="67" t="s">
        <v>1210</v>
      </c>
      <c r="L540" s="67" t="s">
        <v>674</v>
      </c>
      <c r="M540" s="67"/>
      <c r="N540" s="67" t="s">
        <v>444</v>
      </c>
      <c r="O540" s="67" t="s">
        <v>1211</v>
      </c>
      <c r="P540" s="57" t="s">
        <v>187</v>
      </c>
      <c r="Q540" s="59" t="n">
        <f aca="false">ROUND((Flights!$AC$21)*1440,0)/1440</f>
        <v>46315.2847222222</v>
      </c>
      <c r="R540" s="59" t="n">
        <f aca="false">Q540+(IF(AND(INDEX(TZ_DSTS,MATCH(P540,TZ_STN,0))&lt;&gt;"",Q540&gt;=INDEX(TZ_DSTS,MATCH(P540,TZ_STN,0)),Q540&lt;INDEX(TZ_DSTE,MATCH(P540,TZ_STN,0))),INDEX(TZ_DST,MATCH(P540,TZ_STN,0)),INDEX(TZ_STD,MATCH(P540,TZ_STN,0))))/24</f>
        <v>46315.6180555556</v>
      </c>
      <c r="S540" s="60"/>
      <c r="T540" s="60"/>
      <c r="U540" s="60"/>
      <c r="V540" s="60"/>
      <c r="W540" s="61"/>
      <c r="X540" s="60"/>
      <c r="Y540" s="60"/>
      <c r="Z540" s="60"/>
      <c r="AA540" s="60"/>
      <c r="AB540" s="60"/>
      <c r="AC540" s="60"/>
      <c r="AD540" s="66"/>
      <c r="AE540" s="60"/>
      <c r="AF540" s="61" t="str">
        <f aca="false">IF(AND(ISNUMBER(X540),ISNUMBER(Y540)),Y540-X540,"")</f>
        <v/>
      </c>
      <c r="AG540" s="62" t="str">
        <f aca="false">IF(ISNUMBER(AD540),AD540-(IF(AND(INDEX(TZ_DSTS,MATCH(P540,TZ_STN,0))&lt;&gt;"",(AD540-INDEX(TZ_STD,MATCH(P540,TZ_STN,0))/24)&gt;=INDEX(TZ_DSTS,MATCH(P540,TZ_STN,0)),(AD540-INDEX(TZ_STD,MATCH(P540,TZ_STN,0))/24)&lt;INDEX(TZ_DSTE,MATCH(P540,TZ_STN,0))),INDEX(TZ_DST,MATCH(P540,TZ_STN,0)),INDEX(TZ_STD,MATCH(P540,TZ_STN,0))))/24,"")</f>
        <v/>
      </c>
      <c r="AH540" s="65" t="str">
        <f aca="false">IFERROR(IF(N540="N/A – rule",IF(OR(TRIM(U540)="",TRIM(U540)="N/A",TRIM(U540)="Not started"),"N/A – RULE","INVALID – this check does not apply to this aircraft: clear the status (or correct the fleet on Flights)"),IF(TRIM(U540)="N/A",IF(AT540=0,"INVALID – N/A not permitted for this check",IF(AND(TRIM(AB540)&lt;&gt;"",TRIM(AB540)&lt;&gt;"Closed"),"INVALID – corrective action still open",IF(AND(NOT(OR(LEN(AZ540)&lt;15,ISNUMBER(MATCH(AZ540,L_Placeholder,0)))),BK540=0,CG540&gt;=8,NOT(OR(LEN(AU540)&lt;2,ISNUMBER(MATCH(AU540,L_Placeholder,0)))),BR540&gt;=3,NOT(OR(LEN(AX540)&lt;2,ISNUMBER(MATCH(AX540,L_Placeholder,0)))),BS540&gt;=3,TRIM(AE540)&lt;&gt;TRIM(T540),AX540&lt;&gt;AU540,CE540=0),"N/A – JUSTIFIED","INVALID – N/A needs a real, settled reason (not 'not applicable' / 'as above' / TBC), a named PIC and a different named verifier"))),IF(OR(TRIM(U540)="Pass",TRIM(U540)="Pass after CA"),IF(NOT(ISNUMBER(AD540)),"INVALID – completion time missing",IF(OR(OR(LEN(AU540)&lt;2,ISNUMBER(MATCH(AU540,L_Placeholder,0))),BR540&lt;3),"INVALID – PIC missing or not a named person (a role such as QA / CSM is not a name)",IF(OR(LEN(AV540)&lt;2,ISNUMBER(MATCH(AV540,L_Placeholder,0))),"INVALID – result / assessment missing",IF(OR(OR(LEN(AW540)&lt;3,ISNUMBER(MATCH(AW540,L_Placeholder,0))),SUMPRODUCT(--ISNUMBER(SEARCH(" "&amp;L_EvidencePhrase&amp;" ",BD540)))&gt;0,BI540=1),"INVALID – evidence missing, placeholder or not yet on file",IF(ISNA(MATCH(TRIM(S540),L_EvidenceType,0)),"INVALID – choose the evidence type from the list (column S)",IF(BL540=0,"INVALID – evidence ID must be the record's own ID only (e.g. SF-2210, IMG_2231, 1045521); a link / file name needs type 'Link / file path'",IF(OR(OR(LEN(AX540)&lt;2,ISNUMBER(MATCH(AX540,L_Placeholder,0))),BS540&lt;3),"INVALID – verifier missing or not a named person (a role such as QA / CSM is not a name)",IF(OR(AX540=AU540,CE540=1,AND(LEN(AU540)&gt;=4,ISNUMBER(SEARCH(AU540,AX540))),AND(LEN(AX540)&gt;=4,ISNUMBER(SEARCH(AX540,AU540)))),"INVALID – verifier must be a different, named person (not the PIC or a role)",IF(BH540=1,"INVALID – result not yet available (awaiting / TBC)",IF(BG540=1,"INVALID – result describes a problem: record Fail, then Pass after CA (or reword if it is not a problem)",IF(BV540=1,"INVALID – wording says not on board: an on-board confirmation needs the item loaded",IF(AND(AQ540=1,OR(OR(LEN(AY540)&lt;3,ISNUMBER(MATCH(AY540,L_Placeholder,0))),BJ540=1,BQ540=0)),"INVALID – batch ID missing, placeholder or not an ID (e.g. PASB-261008-BC-017)",IF(AND(AR540=1,OR(NOT(ISNUMBER(X540)),NOT(ISNUMBER(Y540)))),"INVALID – expected/actual qty missing",IF(AND(AR540=1,OR(X540&lt;=0,Y540&lt;0)),"INVALID – expected qty must be above 0 and actual not negative",IF(BB540&lt;&gt;"",BB540,IF(AND(AS540=1,Documents!$J$21&lt;&gt;"ON FILE"),"INVALID – GLD not on file (Documents sheet)",IF(AND(AS540=2,Documents!$O$21&lt;&gt;"ON FILE"),"INVALID – menu checklist not on file (Documents sheet)",IF(AND(AS540=3,NOT(ISNUMBER(Flights!$AX$21))),"INVALID – enter carrying flight KUL departure (Flights AX)",IF(AND(AS540=3,OR(Flights!$AZ$21&gt;Flights!$AA$21,Flights!$AX$21&lt;Flights!$AA$21-3)),"INVALID – carrying flight (Flights AX) cannot arrive before this leg's STD, or is over 3 days early",IF(AG540&gt;AsOfUTC,"INVALID – completion time is in the future",IF(AND(ISNUMBER(BY540),AG540&lt;BY540),IF(H540="Physical uplift","INVALID – before uplift window (cannot confirm loading)","INVALID – before valid window"),IF(AG540&gt;Flights!$AA$21,"INVALID – completed after departure (cannot establish readiness)",IF(AND(H540="Preparation",AG540&gt;=IF(ISNUMBER(Flights!$BA$21),MIN(Flights!$BA$21,Flights!$AA$21),Flights!$AA$21)),"INVALID – completed after loading / departure (cannot establish readiness)",IF(AND(H540="Physical uplift",AG540&gt;Q540),"INVALID – recorded after the loading flight departed",IF(AG540&gt;Q540,"COMPLETE – LATE","COMPLETE"))))))))))))))))))))))))),IF(TRIM(U540)="Fail","FAIL – DISCREPANCY",IF(AND(TRIM(U540)&lt;&gt;"",TRIM(U540)&lt;&gt;"Not started",TRIM(U540)&lt;&gt;"In progress"),"INVALID – unrecognised status (use the list)",IF(AsOfUTC&gt;Q540,"OVERDUE",IF(N540="Clarification required","OPEN – CLARIFICATION","OPEN"))))))),"INVALID – error value in an input cell")</f>
        <v>OPEN – CLARIFICATION</v>
      </c>
      <c r="AI540" s="61" t="n">
        <f aca="false">IF(OR(AH540="N/A – RULE",AH540="N/A – JUSTIFIED"),0,1)</f>
        <v>1</v>
      </c>
      <c r="AJ540" s="61" t="n">
        <f aca="false">IF(LEFT(AH540,8)="COMPLETE",1,0)</f>
        <v>0</v>
      </c>
      <c r="AK540" s="61" t="n">
        <f aca="false">IF(AND(AI540=1,AJ540=0,AsOfUTC&gt;Q540),1,0)</f>
        <v>0</v>
      </c>
      <c r="AL540" s="61" t="n">
        <f aca="false">IFERROR(IF(AND(AI540=1,OR(TRIM(U540)="Fail",AND(TRIM(AB540)&lt;&gt;"",TRIM(AB540)&lt;&gt;"Closed"),AND(ISNUMBER(AF540),AF540&lt;&gt;0,TRIM(U540)&lt;&gt;"Pass after CA"))),1,0),1)</f>
        <v>0</v>
      </c>
      <c r="AM540" s="61" t="n">
        <f aca="false">IF(LEFT(AH540,7)="INVALID",1,0)</f>
        <v>0</v>
      </c>
      <c r="AN540" s="61" t="n">
        <f aca="false">IF(AND(N540="Clarification required",AI540=1,AJ540=0),1,0)</f>
        <v>1</v>
      </c>
      <c r="AO540" s="61" t="str">
        <f aca="false">IF(AK540=1,SUM(AK$5:AK540),"")</f>
        <v/>
      </c>
      <c r="AP540" s="61" t="str">
        <f aca="false">IF(AL540=1,SUM(AL$5:AL540),"")</f>
        <v/>
      </c>
      <c r="AQ540" s="61" t="n">
        <v>0</v>
      </c>
      <c r="AR540" s="61" t="n">
        <v>0</v>
      </c>
      <c r="AS540" s="61" t="n">
        <v>3</v>
      </c>
      <c r="AT540" s="61" t="n">
        <v>0</v>
      </c>
      <c r="AU540" s="61" t="str">
        <f aca="false">SUBSTITUTE(SUBSTITUTE(SUBSTITUTE(SUBSTITUTE(SUBSTITUTE(SUBSTITUTE(SUBSTITUTE(SUBSTITUTE(SUBSTITUTE(SUBSTITUTE(SUBSTITUTE(SUBSTITUTE(SUBSTITUTE(SUBSTITUTE(SUBSTITUTE(SUBSTITUTE(LOWER(T540&amp;""),CHAR(10),""),CHAR(13),""),CHAR(9),""),CHAR(160),"")," ",""),".",""),"-",""),"/",""),"?",""),"_",""),",",""),"[",""),"]",""),"(",""),")",""),"*","")</f>
        <v/>
      </c>
      <c r="AV540" s="61" t="str">
        <f aca="false">SUBSTITUTE(SUBSTITUTE(SUBSTITUTE(SUBSTITUTE(SUBSTITUTE(SUBSTITUTE(SUBSTITUTE(SUBSTITUTE(SUBSTITUTE(SUBSTITUTE(SUBSTITUTE(SUBSTITUTE(SUBSTITUTE(SUBSTITUTE(SUBSTITUTE(SUBSTITUTE(LOWER(V540&amp;""),CHAR(10),""),CHAR(13),""),CHAR(9),""),CHAR(160),"")," ",""),".",""),"-",""),"/",""),"?",""),"_",""),",",""),"[",""),"]",""),"(",""),")",""),"*","")</f>
        <v/>
      </c>
      <c r="AW540" s="61" t="str">
        <f aca="false">SUBSTITUTE(SUBSTITUTE(SUBSTITUTE(SUBSTITUTE(SUBSTITUTE(SUBSTITUTE(SUBSTITUTE(SUBSTITUTE(SUBSTITUTE(SUBSTITUTE(SUBSTITUTE(SUBSTITUTE(SUBSTITUTE(SUBSTITUTE(SUBSTITUTE(SUBSTITUTE(LOWER(Z540&amp;""),CHAR(10),""),CHAR(13),""),CHAR(9),""),CHAR(160),"")," ",""),".",""),"-",""),"/",""),"?",""),"_",""),",",""),"[",""),"]",""),"(",""),")",""),"*","")</f>
        <v/>
      </c>
      <c r="AX540" s="61" t="str">
        <f aca="false">SUBSTITUTE(SUBSTITUTE(SUBSTITUTE(SUBSTITUTE(SUBSTITUTE(SUBSTITUTE(SUBSTITUTE(SUBSTITUTE(SUBSTITUTE(SUBSTITUTE(SUBSTITUTE(SUBSTITUTE(SUBSTITUTE(SUBSTITUTE(SUBSTITUTE(SUBSTITUTE(LOWER(AE540&amp;""),CHAR(10),""),CHAR(13),""),CHAR(9),""),CHAR(160),"")," ",""),".",""),"-",""),"/",""),"?",""),"_",""),",",""),"[",""),"]",""),"(",""),")",""),"*","")</f>
        <v/>
      </c>
      <c r="AY540" s="61" t="str">
        <f aca="false">SUBSTITUTE(SUBSTITUTE(SUBSTITUTE(SUBSTITUTE(SUBSTITUTE(SUBSTITUTE(SUBSTITUTE(SUBSTITUTE(SUBSTITUTE(SUBSTITUTE(SUBSTITUTE(SUBSTITUTE(SUBSTITUTE(SUBSTITUTE(SUBSTITUTE(SUBSTITUTE(LOWER(W540&amp;""),CHAR(10),""),CHAR(13),""),CHAR(9),""),CHAR(160),"")," ",""),".",""),"-",""),"/",""),"?",""),"_",""),",",""),"[",""),"]",""),"(",""),")",""),"*","")</f>
        <v/>
      </c>
      <c r="AZ540" s="61" t="str">
        <f aca="false">SUBSTITUTE(SUBSTITUTE(SUBSTITUTE(SUBSTITUTE(SUBSTITUTE(SUBSTITUTE(SUBSTITUTE(SUBSTITUTE(SUBSTITUTE(SUBSTITUTE(SUBSTITUTE(SUBSTITUTE(SUBSTITUTE(SUBSTITUTE(SUBSTITUTE(SUBSTITUTE(LOWER(AC540&amp;""),CHAR(10),""),CHAR(13),""),CHAR(9),""),CHAR(160),"")," ",""),".",""),"-",""),"/",""),"?",""),"_",""),",",""),"[",""),"]",""),"(",""),")",""),"*","")</f>
        <v/>
      </c>
      <c r="BA540" s="61" t="str">
        <f aca="false">SUBSTITUTE(SUBSTITUTE(SUBSTITUTE(SUBSTITUTE(SUBSTITUTE(SUBSTITUTE(SUBSTITUTE(SUBSTITUTE(SUBSTITUTE(SUBSTITUTE(SUBSTITUTE(SUBSTITUTE(SUBSTITUTE(SUBSTITUTE(SUBSTITUTE(SUBSTITUTE(LOWER(AA540&amp;""),CHAR(10),""),CHAR(13),""),CHAR(9),""),CHAR(160),"")," ",""),".",""),"-",""),"/",""),"?",""),"_",""),",",""),"[",""),"]",""),"(",""),")",""),"*","")</f>
        <v/>
      </c>
      <c r="BB540" s="61" t="str">
        <f aca="false">IF(AND(TRIM(U540)="Pass",ISNUMBER(AF540)),IF(AF540&lt;&gt;0,"INVALID – qty variance: use Fail or Pass after CA",""),"")&amp;IF(AND(TRIM(U540)="Pass after CA",ISNUMBER(AF540)),IF(AF540&lt;&gt;0,"INVALID – after the corrective action the actual qty must equal expected (update Actual)",""),"")&amp;IF(AND(TRIM(U540)="Pass",TRIM(AB540)&lt;&gt;"",TRIM(AB540)&lt;&gt;"Closed"),"INVALID – corrective action not closed: use Fail, then Pass after CA","")&amp;IF(AND(LEN(BA540)&gt;=2,ISNA(MATCH(LEFT(BA540,255),L_Placeholder,0)),TRIM(AB540)=""),"INVALID – CA status missing for the recorded corrective action","")&amp;IF(AND(TRIM(U540)="Pass after CA",OR(OR(LEN(BA540)&lt;5,ISNUMBER(MATCH(BA540,L_Placeholder,0))),TRIM(AB540)&lt;&gt;"Closed")),"INVALID – corrective action not recorded/closed","")</f>
        <v/>
      </c>
      <c r="BC540" s="61" t="str">
        <f aca="false">" "&amp;TRIM(SUBSTITUTE(SUBSTITUTE(SUBSTITUTE(SUBSTITUTE(SUBSTITUTE(SUBSTITUTE(SUBSTITUTE(SUBSTITUTE(SUBSTITUTE(SUBSTITUTE(SUBSTITUTE(SUBSTITUTE(SUBSTITUTE(SUBSTITUTE(SUBSTITUTE(SUBSTITUTE(SUBSTITUTE(SUBSTITUTE(SUBSTITUTE(SUBSTITUTE(SUBSTITUTE(SUBSTITUTE(SUBSTITUTE(SUBSTITUTE(LOWER(V540&amp;""),CHAR(10)," "),CHAR(13)," "),CHAR(9)," "),CHAR(160)," "),"."," "),","," "),"-"," "),"/"," "),"("," "),")"," "),":"," "),";"," "),"_"," "),"–"," "),"?"," "),"!"," "),"*"," "),"["," "),"]"," "),"'"," "),"#"," "),"+"," "),"&amp;"," "),"\"," "))&amp;" "</f>
        <v>  </v>
      </c>
      <c r="BD540" s="61" t="str">
        <f aca="false">" "&amp;TRIM(SUBSTITUTE(SUBSTITUTE(SUBSTITUTE(SUBSTITUTE(SUBSTITUTE(SUBSTITUTE(SUBSTITUTE(SUBSTITUTE(SUBSTITUTE(SUBSTITUTE(SUBSTITUTE(SUBSTITUTE(SUBSTITUTE(SUBSTITUTE(SUBSTITUTE(SUBSTITUTE(SUBSTITUTE(SUBSTITUTE(SUBSTITUTE(SUBSTITUTE(SUBSTITUTE(SUBSTITUTE(SUBSTITUTE(SUBSTITUTE(LOWER(Z540&amp;""),CHAR(10)," "),CHAR(13)," "),CHAR(9)," "),CHAR(160)," "),"."," "),","," "),"-"," "),"/"," "),"("," "),")"," "),":"," "),";"," "),"_"," "),"–"," "),"?"," "),"!"," "),"*"," "),"["," "),"]"," "),"'"," "),"#"," "),"+"," "),"&amp;"," "),"\"," "))&amp;" "</f>
        <v>  </v>
      </c>
      <c r="BE540" s="61" t="str">
        <f aca="false">" "&amp;TRIM(SUBSTITUTE(SUBSTITUTE(SUBSTITUTE(SUBSTITUTE(SUBSTITUTE(SUBSTITUTE(SUBSTITUTE(SUBSTITUTE(SUBSTITUTE(SUBSTITUTE(SUBSTITUTE(SUBSTITUTE(SUBSTITUTE(SUBSTITUTE(SUBSTITUTE(SUBSTITUTE(SUBSTITUTE(SUBSTITUTE(SUBSTITUTE(SUBSTITUTE(SUBSTITUTE(SUBSTITUTE(SUBSTITUTE(SUBSTITUTE(LOWER(W540&amp;""),CHAR(10)," "),CHAR(13)," "),CHAR(9)," "),CHAR(160)," "),"."," "),","," "),"-"," "),"/"," "),"("," "),")"," "),":"," "),";"," "),"_"," "),"–"," "),"?"," "),"!"," "),"*"," "),"["," "),"]"," "),"'"," "),"#"," "),"+"," "),"&amp;"," "),"\"," "))&amp;" "</f>
        <v>  </v>
      </c>
      <c r="BF540" s="61" t="str">
        <f aca="false">" "&amp;TRIM(SUBSTITUTE(SUBSTITUTE(SUBSTITUTE(SUBSTITUTE(SUBSTITUTE(SUBSTITUTE(SUBSTITUTE(SUBSTITUTE(SUBSTITUTE(SUBSTITUTE(SUBSTITUTE(SUBSTITUTE(SUBSTITUTE(SUBSTITUTE(SUBSTITUTE(SUBSTITUTE(SUBSTITUTE(SUBSTITUTE(SUBSTITUTE(SUBSTITUTE(SUBSTITUTE(SUBSTITUTE(SUBSTITUTE(SUBSTITUTE(LOWER(AC540&amp;""),CHAR(10)," "),CHAR(13)," "),CHAR(9)," "),CHAR(160)," "),"."," "),","," "),"-"," "),"/"," "),"("," "),")"," "),":"," "),";"," "),"_"," "),"–"," "),"?"," "),"!"," "),"*"," "),"["," "),"]"," "),"'"," "),"#"," "),"+"," "),"&amp;"," "),"\"," "))&amp;" "</f>
        <v>  </v>
      </c>
      <c r="BG540" s="61" t="n">
        <f aca="false">IFERROR(IF(AND(TRIM(U540)="Pass",SUMPRODUCT((LEN(BC540)-LEN(SUBSTITUTE(BC540," "&amp;L_ResultBad&amp;" "," ")))/(LEN(L_ResultBad)+1))&gt;SUMPRODUCT((LEN(BC540)-LEN(SUBSTITUTE(BC540," "&amp;L_NegPhrase&amp;" "," ")))/(LEN(L_NegPhrase)+1))),1,0),0)</f>
        <v>0</v>
      </c>
      <c r="BH540" s="61" t="n">
        <f aca="false">IFERROR(IF(SUMPRODUCT((LEN(BC540)-LEN(SUBSTITUTE(BC540," "&amp;L_Pending&amp;" "," ")))/(LEN(L_Pending)+1))&gt;SUMPRODUCT((LEN(BC540)-LEN(SUBSTITUTE(BC540," "&amp;L_PendNeg&amp;" "," ")))/(LEN(L_PendNeg)+1))+SUMPRODUCT((LEN(BC540)-LEN(SUBSTITUTE(BC540," "&amp;L_PendPrep&amp;" "," ")))/(LEN(L_PendPrep)+1)),1,0),1)</f>
        <v>0</v>
      </c>
      <c r="BI540" s="61" t="n">
        <f aca="false">IFERROR(IF(SUMPRODUCT((LEN(BD540)-LEN(SUBSTITUTE(BD540," "&amp;L_PendStrict&amp;" "," ")))/(LEN(L_PendStrict)+1))&gt;SUMPRODUCT((LEN(BD540)-LEN(SUBSTITUTE(BD540," "&amp;L_PendNeg&amp;" "," ")))/(LEN(L_PendNeg)+1)),1,0),1)</f>
        <v>0</v>
      </c>
      <c r="BJ540" s="61" t="n">
        <f aca="false">IFERROR(IF(SUMPRODUCT((LEN(BE540)-LEN(SUBSTITUTE(BE540," "&amp;L_Pending&amp;" "," ")))/(LEN(L_Pending)+1))&gt;SUMPRODUCT((LEN(BE540)-LEN(SUBSTITUTE(BE540," "&amp;L_PendNeg&amp;" "," ")))/(LEN(L_PendNeg)+1))+SUMPRODUCT((LEN(BE540)-LEN(SUBSTITUTE(BE540," "&amp;L_PendPrep&amp;" "," ")))/(LEN(L_PendPrep)+1)),1,0),1)</f>
        <v>0</v>
      </c>
      <c r="BK540" s="61" t="n">
        <f aca="false">IFERROR(IF(SUMPRODUCT((LEN(BF540)-LEN(SUBSTITUTE(BF540," "&amp;L_PendStrict&amp;" "," ")))/(LEN(L_PendStrict)+1))&gt;SUMPRODUCT((LEN(BF540)-LEN(SUBSTITUTE(BF540," "&amp;L_PendNeg&amp;" "," ")))/(LEN(L_PendNeg)+1)),1,0),1)</f>
        <v>0</v>
      </c>
      <c r="BL540" s="61" t="n">
        <f aca="false">IF(ISNA(MATCH(TRIM(S540),L_EvidenceType,0)),0,BZ540)</f>
        <v>0</v>
      </c>
      <c r="BM540" s="61" t="str">
        <f aca="false">SUBSTITUTE(SUBSTITUTE(SUBSTITUTE(SUBSTITUTE(SUBSTITUTE(SUBSTITUTE(SUBSTITUTE(SUBSTITUTE(SUBSTITUTE(LOWER(Z540&amp;""),"1","0"),"2","0"),"3","0"),"4","0"),"5","0"),"6","0"),"7","0"),"8","0"),"9","0")</f>
        <v/>
      </c>
      <c r="BN540" s="61" t="str">
        <f aca="false">SUBSTITUTE(SUBSTITUTE(SUBSTITUTE(SUBSTITUTE(SUBSTITUTE(SUBSTITUTE(SUBSTITUTE(SUBSTITUTE(SUBSTITUTE(SUBSTITUTE(SUBSTITUTE(SUBSTITUTE(SUBSTITUTE(SUBSTITUTE(SUBSTITUTE(SUBSTITUTE(SUBSTITUTE(SUBSTITUTE(SUBSTITUTE(SUBSTITUTE(SUBSTITUTE(SUBSTITUTE(SUBSTITUTE(SUBSTITUTE(SUBSTITUTE(BM540,"b","a"),"c","a"),"d","a"),"e","a"),"f","a"),"g","a"),"h","a"),"i","a"),"j","a"),"k","a"),"l","a"),"m","a"),"n","a"),"o","a"),"p","a"),"q","a"),"r","a"),"s","a"),"t","a"),"u","a"),"v","a"),"w","a"),"x","a"),"y","a"),"z","a")</f>
        <v/>
      </c>
      <c r="BO540" s="61" t="str">
        <f aca="false">SUBSTITUTE(SUBSTITUTE(SUBSTITUTE(SUBSTITUTE(SUBSTITUTE(SUBSTITUTE(SUBSTITUTE(SUBSTITUTE(SUBSTITUTE(LOWER(W540&amp;""),"1","0"),"2","0"),"3","0"),"4","0"),"5","0"),"6","0"),"7","0"),"8","0"),"9","0")</f>
        <v/>
      </c>
      <c r="BP540" s="61" t="str">
        <f aca="false">SUBSTITUTE(SUBSTITUTE(SUBSTITUTE(SUBSTITUTE(SUBSTITUTE(SUBSTITUTE(SUBSTITUTE(SUBSTITUTE(SUBSTITUTE(SUBSTITUTE(SUBSTITUTE(SUBSTITUTE(SUBSTITUTE(SUBSTITUTE(SUBSTITUTE(SUBSTITUTE(SUBSTITUTE(SUBSTITUTE(SUBSTITUTE(SUBSTITUTE(SUBSTITUTE(SUBSTITUTE(SUBSTITUTE(SUBSTITUTE(SUBSTITUTE(BO540,"b","a"),"c","a"),"d","a"),"e","a"),"f","a"),"g","a"),"h","a"),"i","a"),"j","a"),"k","a"),"l","a"),"m","a"),"n","a"),"o","a"),"p","a"),"q","a"),"r","a"),"s","a"),"t","a"),"u","a"),"v","a"),"w","a"),"x","a"),"y","a"),"z","a")</f>
        <v/>
      </c>
      <c r="BQ540" s="61" t="n">
        <f aca="false">IFERROR(IF(AND(ISERROR(SEARCH(" mh"," "&amp;LOWER(W540))),ISNA(MATCH(LEFT(TRIM(BP540),255),{"0000a","000a","00a","0000aa","000aa","00aa","0aa","0000aaa","000aaa","00a00","0a00","0000-0000","00:00","a00","a0","00.00.0000","00/00/0000","00-00-0000","0000-00-00","0000/00/00","0000.00.00","00.00.00","00/00/00","00-00-00","0.00.0000","0/00/0000","0-00-0000"},0)),ISNA(MATCH(LEFT(TRIM(CA540),255),{"0000a","000a","00a","0000aa","000aa","00aa","0aa","0000aaa","000aaa","00a00","0a00","0000-0000","00:00","a00","a0","00.00.0000","00/00/0000","00-00-0000","0000-00-00","0000/00/00","0000.00.00","00.00.00","00/00/00","00-00-00","0.00.0000","0/00/0000","0-00-0000"},0)),LEN(CB540)&gt;=3,NOT(OR(SUBSTITUTE(CB540,"0","")="",AND(LEN(CB540)&gt;=4,CB540=REPT(LEFT(CB540),LEN(CB540))),ISNUMBER(MATCH(CB540,{"123","1234","12345","123456","1234567","12345678","0123","01234","012345","98765","987654","54321"},0)),AND(LEN(CB540)=8,LEFT(CB540,3)="202"))),OR(AND((LEN(CA540)-LEN(SUBSTITUTE(CA540,"a","")))&gt;=1,SUMPRODUCT(--ISNUMBER(SEARCH({"a0","a-0","a_0","a/0","a.0","a#0","0a","0-a","0_a","0/a"},BP540)))&gt;0),ISNUMBER(SEARCH("000000",BP540)))),1,0),0)</f>
        <v>0</v>
      </c>
      <c r="BR540" s="61" t="n">
        <f aca="false">IFERROR(LEN(SUBSTITUTE(CC540," ",""))-SUMPRODUCT((LEN(CC540)-LEN(SUBSTITUTE(CC540," "&amp;L_Role&amp;" "," ")))/(LEN(L_Role)+1)*LEN(L_Role)),0)</f>
        <v>0</v>
      </c>
      <c r="BS540" s="61" t="n">
        <f aca="false">IFERROR(LEN(SUBSTITUTE(CD540," ",""))-SUMPRODUCT((LEN(CD540)-LEN(SUBSTITUTE(CD540," "&amp;L_Role&amp;" "," ")))/(LEN(L_Role)+1)*LEN(L_Role)),0)</f>
        <v>0</v>
      </c>
      <c r="BT5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540,"revision",""),"version",""),"jan",""),"feb",""),"mar",""),"apr",""),"may",""),"jun",""),"jul",""),"aug",""),"sep",""),"oct",""),"nov",""),"dec",""),"utc",""),"gmt",""),"myt",""),"bst",""),"rev",""),"ver",""),"b","a"),"c","a"),"d","a"),"e","a"),"f","a"),"g","a"),"h","a"),"i","a"),"j","a"),"k","a"),"l","a"),"m","a"),"n","a"),"o","a"),"p","a"),"q","a"),"r","a"),"s","a"),"t","a"),"u","a"),"v","a"),"w","a"),"x","a"),"y","a"),"z","a")</f>
        <v/>
      </c>
      <c r="BU540" s="61" t="str">
        <f aca="false">SUBSTITUTE(SUBSTITUTE(SUBSTITUTE(SUBSTITUTE(SUBSTITUTE(SUBSTITUTE(SUBSTITUTE(SUBSTITUTE(SUBSTITUTE(SUBSTITUTE(LEFT(BM540,FIND("0",BM540&amp;"0")-1),"-",""),"_",""),"/",""),".",""),"#",""),"\\",""),":","")," ",""),"(",""),")","")</f>
        <v/>
      </c>
      <c r="BV540" s="61" t="n">
        <f aca="false">0</f>
        <v>0</v>
      </c>
      <c r="BW5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540&amp;""),"a",""),"b",""),"c",""),"d",""),"e",""),"f",""),"g",""),"h",""),"i",""),"j",""),"k",""),"l",""),"m",""),"n",""),"o",""),"p",""),"q",""),"r",""),"s",""),"t",""),"u",""),"v",""),"w",""),"x",""),"y",""),"z",""),"-",""),"_",""),"/",""),".",""),"#",""),"\\",""),":","")," ",""),"(",""),")","")</f>
        <v/>
      </c>
      <c r="BX540" s="61" t="str">
        <f aca="false">SUBSTITUTE(SUBSTITUTE(SUBSTITUTE(SUBSTITUTE(SUBSTITUTE(SUBSTITUTE(SUBSTITUTE(SUBSTITUTE(SUBSTITUTE(SUBSTITUTE(SUBSTITUTE(BM540,"0",""),"-",""),"_",""),"/",""),".",""),"#",""),"\\",""),":","")," ",""),"(",""),")","")</f>
        <v/>
      </c>
      <c r="BY540" s="62" t="n">
        <f aca="false">Q540-T7EarlyD*24/24</f>
        <v>46301.2847222222</v>
      </c>
      <c r="BZ540" s="61" t="n">
        <f aca="false">IFERROR(IF(IF(TRIM(S540)="Link / file path",AND(LEN(TRIM(Z540))&gt;=5,SUMPRODUCT(--ISNUMBER(SEARCH({"http","www.","\\",":\",".pdf",".jpg",".jpeg",".png",".heic",".xls",".doc",".msg",".eml",".ppt",".txt",".zip"},Z540)))&gt;0),AND(ISERROR(FIND(" ",TRIM(Z540))),NOT(OR(SUMPRODUCT(--ISNUMBER(FIND({",",";","&amp;","+"},Z540)))&gt;0,SUMPRODUCT(--ISNUMBER(SEARCH({"0/aa","0\\aa"},BN540)))&gt;0)),NOT(SUMPRODUCT(--ISNUMBER(SEARCH({"http","www.","\\",":\",".pdf",".jpg",".jpeg",".png",".heic",".xls",".doc",".msg",".eml",".ppt",".txt",".zip"},Z540)))&gt;0),NOT(LOWER(TRIM(Z540))=LOWER(Flights!$F$21)),ISNA(MATCH(BU540,{"mh","rev","revision","ver","version","v","r","a","b","seat","tray","row","gate","bay","stand","page","pg","item","line","no","cart","galley","flight","flt","table","box","bag","oven","etd","eta","std","sta","atd","ata","qty","pax","x","time","tel","ph","mob","day","wk","week","utc","gmt","myt","lt"},0)),NOT(OR(ISNUMBER(MATCH(LEFT(BN540,255),{"0000a","000a","00a","0000aa","000aa","00aa","0aa","0000aaa","000aaa","00a00","0a00","0000-0000","00:00","a00","a0","00.00.0000","00/00/0000","00-00-0000","0000-00-00","0000/00/00","0000.00.00","00.00.00","00/00/00","00-00-00","0.00.0000","0/00/0000","0-00-0000"},0)),ISNUMBER(MATCH(LEFT(BT540,255),{"0000a","000a","00a","0000aa","000aa","00aa","0aa","0000aaa","000aaa","00a00","0a00","0000-0000","00:00","a00","a0","00.00.0000","00/00/0000","00-00-0000","0000-00-00","0000/00/00","0000.00.00","00.00.00","00/00/00","00-00-00","0.00.0000","0/00/0000","0-00-0000"},0)))),NOT(OR(AND(BW540&lt;&gt;"",SUBSTITUTE(BW540,"0","")=""),AND(LEN(BW540)&gt;=4,BW540=REPT(LEFT(BW540),LEN(BW540))),ISNUMBER(MATCH(BW540,{"123","1234","12345","123456","1234567","12345678","0123","01234","012345","98765","987654","54321"},0)),ISNUMBER(MATCH(BX540,{"x","xx","xxx","xxxx","xxxxx","abc","abcd","nil","na","nan","test","tbc","tba","tbd","dummy","sample","example","eg","zz","zzz","none","null","xyz","qwe","asd","id","ref"},0)),AND(LEN(BW540)=8,BX540="",OR(LEFT(BW540,3)="202",ISNUMBER(MATCH(RIGHT(BW540,4),{"2025","2026","2027"},0)))))),OR(AND((LEN(BT540)-LEN(SUBSTITUTE(BT540,"a","")))&gt;=1,(LEN(BN540)-LEN(SUBSTITUTE(BN540,"0","")))&gt;=2,SUMPRODUCT(--ISNUMBER(SEARCH({"a0","a-0","a_0","a/0","a.0","a#0","0a","0-a","0_a","0/a"},BN540)))&gt;0),AND((LEN(BN540)-LEN(SUBSTITUTE(BN540,"a","")))=0,(LEN(BN540)-LEN(SUBSTITUTE(BN540,"0","")))&gt;=5)))),1,0),0)</f>
        <v>0</v>
      </c>
      <c r="CA5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540,"revision",""),"version",""),"jan",""),"feb",""),"mar",""),"apr",""),"may",""),"jun",""),"jul",""),"aug",""),"sep",""),"oct",""),"nov",""),"dec",""),"utc",""),"gmt",""),"myt",""),"bst",""),"rev",""),"ver",""),"b","a"),"c","a"),"d","a"),"e","a"),"f","a"),"g","a"),"h","a"),"i","a"),"j","a"),"k","a"),"l","a"),"m","a"),"n","a"),"o","a"),"p","a"),"q","a"),"r","a"),"s","a"),"t","a"),"u","a"),"v","a"),"w","a"),"x","a"),"y","a"),"z","a")</f>
        <v/>
      </c>
      <c r="CB5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540&amp;""),"a",""),"b",""),"c",""),"d",""),"e",""),"f",""),"g",""),"h",""),"i",""),"j",""),"k",""),"l",""),"m",""),"n",""),"o",""),"p",""),"q",""),"r",""),"s",""),"t",""),"u",""),"v",""),"w",""),"x",""),"y",""),"z",""),"-",""),"_",""),"/",""),".",""),"#",""),"\\",""),":","")," ",""),"(",""),")","")</f>
        <v/>
      </c>
      <c r="CC540" s="0" t="str">
        <f aca="false">" "&amp;TRIM(SUBSTITUTE(SUBSTITUTE(SUBSTITUTE(SUBSTITUTE(SUBSTITUTE(SUBSTITUTE(SUBSTITUTE(SUBSTITUTE(SUBSTITUTE(SUBSTITUTE(SUBSTITUTE(SUBSTITUTE(SUBSTITUTE(SUBSTITUTE(SUBSTITUTE(SUBSTITUTE(SUBSTITUTE(SUBSTITUTE(SUBSTITUTE(SUBSTITUTE(SUBSTITUTE(SUBSTITUTE(SUBSTITUTE(SUBSTITUTE(LOWER(T540&amp;""),CHAR(10)," "),CHAR(13)," "),CHAR(9)," "),CHAR(160)," "),"."," "),","," "),"-"," "),"/"," "),"("," "),")"," "),":"," "),";"," "),"_"," "),"–"," "),"?"," "),"!"," "),"*"," "),"["," "),"]"," "),"'"," "),"#"," "),"+"," "),"&amp;"," "),"\"," "))&amp;" "</f>
        <v>  </v>
      </c>
      <c r="CD540" s="0" t="str">
        <f aca="false">" "&amp;TRIM(SUBSTITUTE(SUBSTITUTE(SUBSTITUTE(SUBSTITUTE(SUBSTITUTE(SUBSTITUTE(SUBSTITUTE(SUBSTITUTE(SUBSTITUTE(SUBSTITUTE(SUBSTITUTE(SUBSTITUTE(SUBSTITUTE(SUBSTITUTE(SUBSTITUTE(SUBSTITUTE(SUBSTITUTE(SUBSTITUTE(SUBSTITUTE(SUBSTITUTE(SUBSTITUTE(SUBSTITUTE(SUBSTITUTE(SUBSTITUTE(LOWER(AE540&amp;""),CHAR(10)," "),CHAR(13)," "),CHAR(9)," "),CHAR(160)," "),"."," "),","," "),"-"," "),"/"," "),"("," "),")"," "),":"," "),";"," "),"_"," "),"–"," "),"?"," "),"!"," "),"*"," "),"["," "),"]"," "),"'"," "),"#"," "),"+"," "),"&amp;"," "),"\"," "))&amp;" "</f>
        <v>  </v>
      </c>
      <c r="CE540" s="68" t="n">
        <f aca="false">IFERROR(IF(AND(LEN(AU540)&gt;0,LEN(AU540)=LEN(AX540),OR(TRIM(MID(SUBSTITUTE(TRIM(CC540)," ",REPT(" ",60)),1,60))="",ISNUMBER(SEARCH(" "&amp;TRIM(MID(SUBSTITUTE(TRIM(CC540)," ",REPT(" ",60)),1,60))&amp;" ",CD540))),OR(TRIM(MID(SUBSTITUTE(TRIM(CC540)," ",REPT(" ",60)),61,60))="",ISNUMBER(SEARCH(" "&amp;TRIM(MID(SUBSTITUTE(TRIM(CC540)," ",REPT(" ",60)),61,60))&amp;" ",CD540))),OR(TRIM(MID(SUBSTITUTE(TRIM(CC540)," ",REPT(" ",60)),121,60))="",ISNUMBER(SEARCH(" "&amp;TRIM(MID(SUBSTITUTE(TRIM(CC540)," ",REPT(" ",60)),121,60))&amp;" ",CD540)))),1,0),0)</f>
        <v>0</v>
      </c>
      <c r="CG540" s="68" t="n">
        <f aca="false">IFERROR(LEN(SUBSTITUTE(BF540," ",""))-SUMPRODUCT((LEN(BF540)-LEN(SUBSTITUTE(BF540," "&amp;L_NAFiller&amp;" "," ")))/(LEN(L_NAFiller)+1)*LEN(L_NAFiller)),0)</f>
        <v>0</v>
      </c>
    </row>
    <row r="541" customFormat="false" ht="39.75" hidden="false" customHeight="true" outlineLevel="0" collapsed="false">
      <c r="A541" s="57" t="s">
        <v>1212</v>
      </c>
      <c r="B541" s="57" t="s">
        <v>290</v>
      </c>
      <c r="C541" s="57" t="str">
        <f aca="false">Flights!$F$21</f>
        <v>MH0073</v>
      </c>
      <c r="D541" s="58" t="n">
        <f aca="false">Flights!$D$21</f>
        <v>46322</v>
      </c>
      <c r="E541" s="57" t="str">
        <f aca="false">Flights!$G$21&amp;"-"&amp;Flights!$H$21</f>
        <v>HKG-KUL</v>
      </c>
      <c r="F541" s="57" t="str">
        <f aca="false">Flights!$K$21</f>
        <v>BC</v>
      </c>
      <c r="G541" s="57" t="s">
        <v>83</v>
      </c>
      <c r="H541" s="57" t="s">
        <v>378</v>
      </c>
      <c r="I541" s="57" t="s">
        <v>379</v>
      </c>
      <c r="J541" s="57" t="s">
        <v>416</v>
      </c>
      <c r="K541" s="67" t="s">
        <v>417</v>
      </c>
      <c r="L541" s="67" t="s">
        <v>418</v>
      </c>
      <c r="M541" s="67"/>
      <c r="N541" s="67" t="s">
        <v>383</v>
      </c>
      <c r="O541" s="67"/>
      <c r="P541" s="57" t="s">
        <v>282</v>
      </c>
      <c r="Q541" s="59" t="n">
        <f aca="false">ROUND((Flights!$AD$21)*1440,0)/1440</f>
        <v>46321.2847222222</v>
      </c>
      <c r="R541" s="59" t="n">
        <f aca="false">Q541+(IF(AND(INDEX(TZ_DSTS,MATCH(P541,TZ_STN,0))&lt;&gt;"",Q541&gt;=INDEX(TZ_DSTS,MATCH(P541,TZ_STN,0)),Q541&lt;INDEX(TZ_DSTE,MATCH(P541,TZ_STN,0))),INDEX(TZ_DST,MATCH(P541,TZ_STN,0)),INDEX(TZ_STD,MATCH(P541,TZ_STN,0))))/24</f>
        <v>46321.6180555556</v>
      </c>
      <c r="S541" s="60"/>
      <c r="T541" s="60"/>
      <c r="U541" s="60"/>
      <c r="V541" s="60"/>
      <c r="W541" s="60"/>
      <c r="X541" s="60"/>
      <c r="Y541" s="60"/>
      <c r="Z541" s="60"/>
      <c r="AA541" s="60"/>
      <c r="AB541" s="60"/>
      <c r="AC541" s="60"/>
      <c r="AD541" s="66"/>
      <c r="AE541" s="60"/>
      <c r="AF541" s="61" t="str">
        <f aca="false">IF(AND(ISNUMBER(X541),ISNUMBER(Y541)),Y541-X541,"")</f>
        <v/>
      </c>
      <c r="AG541" s="62" t="str">
        <f aca="false">IF(ISNUMBER(AD541),AD541-(IF(AND(INDEX(TZ_DSTS,MATCH(P541,TZ_STN,0))&lt;&gt;"",(AD541-INDEX(TZ_STD,MATCH(P541,TZ_STN,0))/24)&gt;=INDEX(TZ_DSTS,MATCH(P541,TZ_STN,0)),(AD541-INDEX(TZ_STD,MATCH(P541,TZ_STN,0))/24)&lt;INDEX(TZ_DSTE,MATCH(P541,TZ_STN,0))),INDEX(TZ_DST,MATCH(P541,TZ_STN,0)),INDEX(TZ_STD,MATCH(P541,TZ_STN,0))))/24,"")</f>
        <v/>
      </c>
      <c r="AH541" s="65" t="str">
        <f aca="false">IFERROR(IF(N541="N/A – rule",IF(OR(TRIM(U541)="",TRIM(U541)="N/A",TRIM(U541)="Not started"),"N/A – RULE","INVALID – this check does not apply to this aircraft: clear the status (or correct the fleet on Flights)"),IF(TRIM(U541)="N/A",IF(AT541=0,"INVALID – N/A not permitted for this check",IF(AND(TRIM(AB541)&lt;&gt;"",TRIM(AB541)&lt;&gt;"Closed"),"INVALID – corrective action still open",IF(AND(NOT(OR(LEN(AZ541)&lt;15,ISNUMBER(MATCH(AZ541,L_Placeholder,0)))),BK541=0,CG541&gt;=8,NOT(OR(LEN(AU541)&lt;2,ISNUMBER(MATCH(AU541,L_Placeholder,0)))),BR541&gt;=3,NOT(OR(LEN(AX541)&lt;2,ISNUMBER(MATCH(AX541,L_Placeholder,0)))),BS541&gt;=3,TRIM(AE541)&lt;&gt;TRIM(T541),AX541&lt;&gt;AU541,CE541=0),"N/A – JUSTIFIED","INVALID – N/A needs a real, settled reason (not 'not applicable' / 'as above' / TBC), a named PIC and a different named verifier"))),IF(OR(TRIM(U541)="Pass",TRIM(U541)="Pass after CA"),IF(NOT(ISNUMBER(AD541)),"INVALID – completion time missing",IF(OR(OR(LEN(AU541)&lt;2,ISNUMBER(MATCH(AU541,L_Placeholder,0))),BR541&lt;3),"INVALID – PIC missing or not a named person (a role such as QA / CSM is not a name)",IF(OR(LEN(AV541)&lt;2,ISNUMBER(MATCH(AV541,L_Placeholder,0))),"INVALID – result / assessment missing",IF(OR(OR(LEN(AW541)&lt;3,ISNUMBER(MATCH(AW541,L_Placeholder,0))),SUMPRODUCT(--ISNUMBER(SEARCH(" "&amp;L_EvidencePhrase&amp;" ",BD541)))&gt;0,BI541=1),"INVALID – evidence missing, placeholder or not yet on file",IF(ISNA(MATCH(TRIM(S541),L_EvidenceType,0)),"INVALID – choose the evidence type from the list (column S)",IF(BL541=0,"INVALID – evidence ID must be the record's own ID only (e.g. SF-2210, IMG_2231, 1045521); a link / file name needs type 'Link / file path'",IF(OR(OR(LEN(AX541)&lt;2,ISNUMBER(MATCH(AX541,L_Placeholder,0))),BS541&lt;3),"INVALID – verifier missing or not a named person (a role such as QA / CSM is not a name)",IF(OR(AX541=AU541,CE541=1,AND(LEN(AU541)&gt;=4,ISNUMBER(SEARCH(AU541,AX541))),AND(LEN(AX541)&gt;=4,ISNUMBER(SEARCH(AX541,AU541)))),"INVALID – verifier must be a different, named person (not the PIC or a role)",IF(BH541=1,"INVALID – result not yet available (awaiting / TBC)",IF(BG541=1,"INVALID – result describes a problem: record Fail, then Pass after CA (or reword if it is not a problem)",IF(BV541=1,"INVALID – wording says not on board: an on-board confirmation needs the item loaded",IF(AND(AQ541=1,OR(OR(LEN(AY541)&lt;3,ISNUMBER(MATCH(AY541,L_Placeholder,0))),BJ541=1,BQ541=0)),"INVALID – batch ID missing, placeholder or not an ID (e.g. PASB-261008-BC-017)",IF(AND(AR541=1,OR(NOT(ISNUMBER(X541)),NOT(ISNUMBER(Y541)))),"INVALID – expected/actual qty missing",IF(AND(AR541=1,OR(X541&lt;=0,Y541&lt;0)),"INVALID – expected qty must be above 0 and actual not negative",IF(BB541&lt;&gt;"",BB541,IF(AND(AS541=1,Documents!$J$21&lt;&gt;"ON FILE"),"INVALID – GLD not on file (Documents sheet)",IF(AND(AS541=2,Documents!$O$21&lt;&gt;"ON FILE"),"INVALID – menu checklist not on file (Documents sheet)",IF(AND(AS541=3,NOT(ISNUMBER(Flights!$AX$21))),"INVALID – enter carrying flight KUL departure (Flights AX)",IF(AND(AS541=3,OR(Flights!$AZ$21&gt;Flights!$AA$21,Flights!$AX$21&lt;Flights!$AA$21-3)),"INVALID – carrying flight (Flights AX) cannot arrive before this leg's STD, or is over 3 days early",IF(AG541&gt;AsOfUTC,"INVALID – completion time is in the future",IF(AND(ISNUMBER(BY541),AG541&lt;BY541),IF(H541="Physical uplift","INVALID – before uplift window (cannot confirm loading)","INVALID – before valid window"),IF(AG541&gt;Flights!$AA$21,"INVALID – completed after departure (cannot establish readiness)",IF(AND(H541="Preparation",AG541&gt;=IF(ISNUMBER(Flights!$BA$21),MIN(Flights!$BA$21,Flights!$AA$21),Flights!$AA$21)),"INVALID – completed after loading / departure (cannot establish readiness)",IF(AND(H541="Physical uplift",AG541&gt;Q541),"INVALID – recorded after the loading flight departed",IF(AG541&gt;Q541,"COMPLETE – LATE","COMPLETE"))))))))))))))))))))))))),IF(TRIM(U541)="Fail","FAIL – DISCREPANCY",IF(AND(TRIM(U541)&lt;&gt;"",TRIM(U541)&lt;&gt;"Not started",TRIM(U541)&lt;&gt;"In progress"),"INVALID – unrecognised status (use the list)",IF(AsOfUTC&gt;Q541,"OVERDUE",IF(N541="Clarification required","OPEN – CLARIFICATION","OPEN"))))))),"INVALID – error value in an input cell")</f>
        <v>OPEN</v>
      </c>
      <c r="AI541" s="61" t="n">
        <f aca="false">IF(OR(AH541="N/A – RULE",AH541="N/A – JUSTIFIED"),0,1)</f>
        <v>1</v>
      </c>
      <c r="AJ541" s="61" t="n">
        <f aca="false">IF(LEFT(AH541,8)="COMPLETE",1,0)</f>
        <v>0</v>
      </c>
      <c r="AK541" s="61" t="n">
        <f aca="false">IF(AND(AI541=1,AJ541=0,AsOfUTC&gt;Q541),1,0)</f>
        <v>0</v>
      </c>
      <c r="AL541" s="61" t="n">
        <f aca="false">IFERROR(IF(AND(AI541=1,OR(TRIM(U541)="Fail",AND(TRIM(AB541)&lt;&gt;"",TRIM(AB541)&lt;&gt;"Closed"),AND(ISNUMBER(AF541),AF541&lt;&gt;0,TRIM(U541)&lt;&gt;"Pass after CA"))),1,0),1)</f>
        <v>0</v>
      </c>
      <c r="AM541" s="61" t="n">
        <f aca="false">IF(LEFT(AH541,7)="INVALID",1,0)</f>
        <v>0</v>
      </c>
      <c r="AN541" s="61" t="n">
        <f aca="false">IF(AND(N541="Clarification required",AI541=1,AJ541=0),1,0)</f>
        <v>0</v>
      </c>
      <c r="AO541" s="61" t="str">
        <f aca="false">IF(AK541=1,SUM(AK$5:AK541),"")</f>
        <v/>
      </c>
      <c r="AP541" s="61" t="str">
        <f aca="false">IF(AL541=1,SUM(AL$5:AL541),"")</f>
        <v/>
      </c>
      <c r="AQ541" s="61" t="n">
        <v>1</v>
      </c>
      <c r="AR541" s="61" t="n">
        <v>0</v>
      </c>
      <c r="AS541" s="61" t="n">
        <v>0</v>
      </c>
      <c r="AT541" s="61" t="n">
        <v>0</v>
      </c>
      <c r="AU541" s="61" t="str">
        <f aca="false">SUBSTITUTE(SUBSTITUTE(SUBSTITUTE(SUBSTITUTE(SUBSTITUTE(SUBSTITUTE(SUBSTITUTE(SUBSTITUTE(SUBSTITUTE(SUBSTITUTE(SUBSTITUTE(SUBSTITUTE(SUBSTITUTE(SUBSTITUTE(SUBSTITUTE(SUBSTITUTE(LOWER(T541&amp;""),CHAR(10),""),CHAR(13),""),CHAR(9),""),CHAR(160),"")," ",""),".",""),"-",""),"/",""),"?",""),"_",""),",",""),"[",""),"]",""),"(",""),")",""),"*","")</f>
        <v/>
      </c>
      <c r="AV541" s="61" t="str">
        <f aca="false">SUBSTITUTE(SUBSTITUTE(SUBSTITUTE(SUBSTITUTE(SUBSTITUTE(SUBSTITUTE(SUBSTITUTE(SUBSTITUTE(SUBSTITUTE(SUBSTITUTE(SUBSTITUTE(SUBSTITUTE(SUBSTITUTE(SUBSTITUTE(SUBSTITUTE(SUBSTITUTE(LOWER(V541&amp;""),CHAR(10),""),CHAR(13),""),CHAR(9),""),CHAR(160),"")," ",""),".",""),"-",""),"/",""),"?",""),"_",""),",",""),"[",""),"]",""),"(",""),")",""),"*","")</f>
        <v/>
      </c>
      <c r="AW541" s="61" t="str">
        <f aca="false">SUBSTITUTE(SUBSTITUTE(SUBSTITUTE(SUBSTITUTE(SUBSTITUTE(SUBSTITUTE(SUBSTITUTE(SUBSTITUTE(SUBSTITUTE(SUBSTITUTE(SUBSTITUTE(SUBSTITUTE(SUBSTITUTE(SUBSTITUTE(SUBSTITUTE(SUBSTITUTE(LOWER(Z541&amp;""),CHAR(10),""),CHAR(13),""),CHAR(9),""),CHAR(160),"")," ",""),".",""),"-",""),"/",""),"?",""),"_",""),",",""),"[",""),"]",""),"(",""),")",""),"*","")</f>
        <v/>
      </c>
      <c r="AX541" s="61" t="str">
        <f aca="false">SUBSTITUTE(SUBSTITUTE(SUBSTITUTE(SUBSTITUTE(SUBSTITUTE(SUBSTITUTE(SUBSTITUTE(SUBSTITUTE(SUBSTITUTE(SUBSTITUTE(SUBSTITUTE(SUBSTITUTE(SUBSTITUTE(SUBSTITUTE(SUBSTITUTE(SUBSTITUTE(LOWER(AE541&amp;""),CHAR(10),""),CHAR(13),""),CHAR(9),""),CHAR(160),"")," ",""),".",""),"-",""),"/",""),"?",""),"_",""),",",""),"[",""),"]",""),"(",""),")",""),"*","")</f>
        <v/>
      </c>
      <c r="AY541" s="61" t="str">
        <f aca="false">SUBSTITUTE(SUBSTITUTE(SUBSTITUTE(SUBSTITUTE(SUBSTITUTE(SUBSTITUTE(SUBSTITUTE(SUBSTITUTE(SUBSTITUTE(SUBSTITUTE(SUBSTITUTE(SUBSTITUTE(SUBSTITUTE(SUBSTITUTE(SUBSTITUTE(SUBSTITUTE(LOWER(W541&amp;""),CHAR(10),""),CHAR(13),""),CHAR(9),""),CHAR(160),"")," ",""),".",""),"-",""),"/",""),"?",""),"_",""),",",""),"[",""),"]",""),"(",""),")",""),"*","")</f>
        <v/>
      </c>
      <c r="AZ541" s="61" t="str">
        <f aca="false">SUBSTITUTE(SUBSTITUTE(SUBSTITUTE(SUBSTITUTE(SUBSTITUTE(SUBSTITUTE(SUBSTITUTE(SUBSTITUTE(SUBSTITUTE(SUBSTITUTE(SUBSTITUTE(SUBSTITUTE(SUBSTITUTE(SUBSTITUTE(SUBSTITUTE(SUBSTITUTE(LOWER(AC541&amp;""),CHAR(10),""),CHAR(13),""),CHAR(9),""),CHAR(160),"")," ",""),".",""),"-",""),"/",""),"?",""),"_",""),",",""),"[",""),"]",""),"(",""),")",""),"*","")</f>
        <v/>
      </c>
      <c r="BA541" s="61" t="str">
        <f aca="false">SUBSTITUTE(SUBSTITUTE(SUBSTITUTE(SUBSTITUTE(SUBSTITUTE(SUBSTITUTE(SUBSTITUTE(SUBSTITUTE(SUBSTITUTE(SUBSTITUTE(SUBSTITUTE(SUBSTITUTE(SUBSTITUTE(SUBSTITUTE(SUBSTITUTE(SUBSTITUTE(LOWER(AA541&amp;""),CHAR(10),""),CHAR(13),""),CHAR(9),""),CHAR(160),"")," ",""),".",""),"-",""),"/",""),"?",""),"_",""),",",""),"[",""),"]",""),"(",""),")",""),"*","")</f>
        <v/>
      </c>
      <c r="BB541" s="61" t="str">
        <f aca="false">IF(AND(TRIM(U541)="Pass",ISNUMBER(AF541)),IF(AF541&lt;&gt;0,"INVALID – qty variance: use Fail or Pass after CA",""),"")&amp;IF(AND(TRIM(U541)="Pass after CA",ISNUMBER(AF541)),IF(AF541&lt;&gt;0,"INVALID – after the corrective action the actual qty must equal expected (update Actual)",""),"")&amp;IF(AND(TRIM(U541)="Pass",TRIM(AB541)&lt;&gt;"",TRIM(AB541)&lt;&gt;"Closed"),"INVALID – corrective action not closed: use Fail, then Pass after CA","")&amp;IF(AND(LEN(BA541)&gt;=2,ISNA(MATCH(LEFT(BA541,255),L_Placeholder,0)),TRIM(AB541)=""),"INVALID – CA status missing for the recorded corrective action","")&amp;IF(AND(TRIM(U541)="Pass after CA",OR(OR(LEN(BA541)&lt;5,ISNUMBER(MATCH(BA541,L_Placeholder,0))),TRIM(AB541)&lt;&gt;"Closed")),"INVALID – corrective action not recorded/closed","")</f>
        <v/>
      </c>
      <c r="BC541" s="61" t="str">
        <f aca="false">" "&amp;TRIM(SUBSTITUTE(SUBSTITUTE(SUBSTITUTE(SUBSTITUTE(SUBSTITUTE(SUBSTITUTE(SUBSTITUTE(SUBSTITUTE(SUBSTITUTE(SUBSTITUTE(SUBSTITUTE(SUBSTITUTE(SUBSTITUTE(SUBSTITUTE(SUBSTITUTE(SUBSTITUTE(SUBSTITUTE(SUBSTITUTE(SUBSTITUTE(SUBSTITUTE(SUBSTITUTE(SUBSTITUTE(SUBSTITUTE(SUBSTITUTE(LOWER(V541&amp;""),CHAR(10)," "),CHAR(13)," "),CHAR(9)," "),CHAR(160)," "),"."," "),","," "),"-"," "),"/"," "),"("," "),")"," "),":"," "),";"," "),"_"," "),"–"," "),"?"," "),"!"," "),"*"," "),"["," "),"]"," "),"'"," "),"#"," "),"+"," "),"&amp;"," "),"\"," "))&amp;" "</f>
        <v>  </v>
      </c>
      <c r="BD541" s="61" t="str">
        <f aca="false">" "&amp;TRIM(SUBSTITUTE(SUBSTITUTE(SUBSTITUTE(SUBSTITUTE(SUBSTITUTE(SUBSTITUTE(SUBSTITUTE(SUBSTITUTE(SUBSTITUTE(SUBSTITUTE(SUBSTITUTE(SUBSTITUTE(SUBSTITUTE(SUBSTITUTE(SUBSTITUTE(SUBSTITUTE(SUBSTITUTE(SUBSTITUTE(SUBSTITUTE(SUBSTITUTE(SUBSTITUTE(SUBSTITUTE(SUBSTITUTE(SUBSTITUTE(LOWER(Z541&amp;""),CHAR(10)," "),CHAR(13)," "),CHAR(9)," "),CHAR(160)," "),"."," "),","," "),"-"," "),"/"," "),"("," "),")"," "),":"," "),";"," "),"_"," "),"–"," "),"?"," "),"!"," "),"*"," "),"["," "),"]"," "),"'"," "),"#"," "),"+"," "),"&amp;"," "),"\"," "))&amp;" "</f>
        <v>  </v>
      </c>
      <c r="BE541" s="61" t="str">
        <f aca="false">" "&amp;TRIM(SUBSTITUTE(SUBSTITUTE(SUBSTITUTE(SUBSTITUTE(SUBSTITUTE(SUBSTITUTE(SUBSTITUTE(SUBSTITUTE(SUBSTITUTE(SUBSTITUTE(SUBSTITUTE(SUBSTITUTE(SUBSTITUTE(SUBSTITUTE(SUBSTITUTE(SUBSTITUTE(SUBSTITUTE(SUBSTITUTE(SUBSTITUTE(SUBSTITUTE(SUBSTITUTE(SUBSTITUTE(SUBSTITUTE(SUBSTITUTE(LOWER(W541&amp;""),CHAR(10)," "),CHAR(13)," "),CHAR(9)," "),CHAR(160)," "),"."," "),","," "),"-"," "),"/"," "),"("," "),")"," "),":"," "),";"," "),"_"," "),"–"," "),"?"," "),"!"," "),"*"," "),"["," "),"]"," "),"'"," "),"#"," "),"+"," "),"&amp;"," "),"\"," "))&amp;" "</f>
        <v>  </v>
      </c>
      <c r="BF541" s="61" t="str">
        <f aca="false">" "&amp;TRIM(SUBSTITUTE(SUBSTITUTE(SUBSTITUTE(SUBSTITUTE(SUBSTITUTE(SUBSTITUTE(SUBSTITUTE(SUBSTITUTE(SUBSTITUTE(SUBSTITUTE(SUBSTITUTE(SUBSTITUTE(SUBSTITUTE(SUBSTITUTE(SUBSTITUTE(SUBSTITUTE(SUBSTITUTE(SUBSTITUTE(SUBSTITUTE(SUBSTITUTE(SUBSTITUTE(SUBSTITUTE(SUBSTITUTE(SUBSTITUTE(LOWER(AC541&amp;""),CHAR(10)," "),CHAR(13)," "),CHAR(9)," "),CHAR(160)," "),"."," "),","," "),"-"," "),"/"," "),"("," "),")"," "),":"," "),";"," "),"_"," "),"–"," "),"?"," "),"!"," "),"*"," "),"["," "),"]"," "),"'"," "),"#"," "),"+"," "),"&amp;"," "),"\"," "))&amp;" "</f>
        <v>  </v>
      </c>
      <c r="BG541" s="61" t="n">
        <f aca="false">IFERROR(IF(AND(TRIM(U541)="Pass",SUMPRODUCT((LEN(BC541)-LEN(SUBSTITUTE(BC541," "&amp;L_ResultBad&amp;" "," ")))/(LEN(L_ResultBad)+1))&gt;SUMPRODUCT((LEN(BC541)-LEN(SUBSTITUTE(BC541," "&amp;L_NegPhrase&amp;" "," ")))/(LEN(L_NegPhrase)+1))),1,0),0)</f>
        <v>0</v>
      </c>
      <c r="BH541" s="61" t="n">
        <f aca="false">IFERROR(IF(SUMPRODUCT((LEN(BC541)-LEN(SUBSTITUTE(BC541," "&amp;L_Pending&amp;" "," ")))/(LEN(L_Pending)+1))&gt;SUMPRODUCT((LEN(BC541)-LEN(SUBSTITUTE(BC541," "&amp;L_PendNeg&amp;" "," ")))/(LEN(L_PendNeg)+1))+SUMPRODUCT((LEN(BC541)-LEN(SUBSTITUTE(BC541," "&amp;L_PendPrep&amp;" "," ")))/(LEN(L_PendPrep)+1)),1,0),1)</f>
        <v>0</v>
      </c>
      <c r="BI541" s="61" t="n">
        <f aca="false">IFERROR(IF(SUMPRODUCT((LEN(BD541)-LEN(SUBSTITUTE(BD541," "&amp;L_PendStrict&amp;" "," ")))/(LEN(L_PendStrict)+1))&gt;SUMPRODUCT((LEN(BD541)-LEN(SUBSTITUTE(BD541," "&amp;L_PendNeg&amp;" "," ")))/(LEN(L_PendNeg)+1)),1,0),1)</f>
        <v>0</v>
      </c>
      <c r="BJ541" s="61" t="n">
        <f aca="false">IFERROR(IF(SUMPRODUCT((LEN(BE541)-LEN(SUBSTITUTE(BE541," "&amp;L_Pending&amp;" "," ")))/(LEN(L_Pending)+1))&gt;SUMPRODUCT((LEN(BE541)-LEN(SUBSTITUTE(BE541," "&amp;L_PendNeg&amp;" "," ")))/(LEN(L_PendNeg)+1))+SUMPRODUCT((LEN(BE541)-LEN(SUBSTITUTE(BE541," "&amp;L_PendPrep&amp;" "," ")))/(LEN(L_PendPrep)+1)),1,0),1)</f>
        <v>0</v>
      </c>
      <c r="BK541" s="61" t="n">
        <f aca="false">IFERROR(IF(SUMPRODUCT((LEN(BF541)-LEN(SUBSTITUTE(BF541," "&amp;L_PendStrict&amp;" "," ")))/(LEN(L_PendStrict)+1))&gt;SUMPRODUCT((LEN(BF541)-LEN(SUBSTITUTE(BF541," "&amp;L_PendNeg&amp;" "," ")))/(LEN(L_PendNeg)+1)),1,0),1)</f>
        <v>0</v>
      </c>
      <c r="BL541" s="61" t="n">
        <f aca="false">IF(ISNA(MATCH(TRIM(S541),L_EvidenceType,0)),0,BZ541)</f>
        <v>0</v>
      </c>
      <c r="BM541" s="61" t="str">
        <f aca="false">SUBSTITUTE(SUBSTITUTE(SUBSTITUTE(SUBSTITUTE(SUBSTITUTE(SUBSTITUTE(SUBSTITUTE(SUBSTITUTE(SUBSTITUTE(LOWER(Z541&amp;""),"1","0"),"2","0"),"3","0"),"4","0"),"5","0"),"6","0"),"7","0"),"8","0"),"9","0")</f>
        <v/>
      </c>
      <c r="BN541" s="61" t="str">
        <f aca="false">SUBSTITUTE(SUBSTITUTE(SUBSTITUTE(SUBSTITUTE(SUBSTITUTE(SUBSTITUTE(SUBSTITUTE(SUBSTITUTE(SUBSTITUTE(SUBSTITUTE(SUBSTITUTE(SUBSTITUTE(SUBSTITUTE(SUBSTITUTE(SUBSTITUTE(SUBSTITUTE(SUBSTITUTE(SUBSTITUTE(SUBSTITUTE(SUBSTITUTE(SUBSTITUTE(SUBSTITUTE(SUBSTITUTE(SUBSTITUTE(SUBSTITUTE(BM541,"b","a"),"c","a"),"d","a"),"e","a"),"f","a"),"g","a"),"h","a"),"i","a"),"j","a"),"k","a"),"l","a"),"m","a"),"n","a"),"o","a"),"p","a"),"q","a"),"r","a"),"s","a"),"t","a"),"u","a"),"v","a"),"w","a"),"x","a"),"y","a"),"z","a")</f>
        <v/>
      </c>
      <c r="BO541" s="61" t="str">
        <f aca="false">SUBSTITUTE(SUBSTITUTE(SUBSTITUTE(SUBSTITUTE(SUBSTITUTE(SUBSTITUTE(SUBSTITUTE(SUBSTITUTE(SUBSTITUTE(LOWER(W541&amp;""),"1","0"),"2","0"),"3","0"),"4","0"),"5","0"),"6","0"),"7","0"),"8","0"),"9","0")</f>
        <v/>
      </c>
      <c r="BP541" s="61" t="str">
        <f aca="false">SUBSTITUTE(SUBSTITUTE(SUBSTITUTE(SUBSTITUTE(SUBSTITUTE(SUBSTITUTE(SUBSTITUTE(SUBSTITUTE(SUBSTITUTE(SUBSTITUTE(SUBSTITUTE(SUBSTITUTE(SUBSTITUTE(SUBSTITUTE(SUBSTITUTE(SUBSTITUTE(SUBSTITUTE(SUBSTITUTE(SUBSTITUTE(SUBSTITUTE(SUBSTITUTE(SUBSTITUTE(SUBSTITUTE(SUBSTITUTE(SUBSTITUTE(BO541,"b","a"),"c","a"),"d","a"),"e","a"),"f","a"),"g","a"),"h","a"),"i","a"),"j","a"),"k","a"),"l","a"),"m","a"),"n","a"),"o","a"),"p","a"),"q","a"),"r","a"),"s","a"),"t","a"),"u","a"),"v","a"),"w","a"),"x","a"),"y","a"),"z","a")</f>
        <v/>
      </c>
      <c r="BQ541" s="61" t="n">
        <f aca="false">IFERROR(IF(AND(ISERROR(SEARCH(" mh"," "&amp;LOWER(W541))),ISNA(MATCH(LEFT(TRIM(BP541),255),{"0000a","000a","00a","0000aa","000aa","00aa","0aa","0000aaa","000aaa","00a00","0a00","0000-0000","00:00","a00","a0","00.00.0000","00/00/0000","00-00-0000","0000-00-00","0000/00/00","0000.00.00","00.00.00","00/00/00","00-00-00","0.00.0000","0/00/0000","0-00-0000"},0)),ISNA(MATCH(LEFT(TRIM(CA541),255),{"0000a","000a","00a","0000aa","000aa","00aa","0aa","0000aaa","000aaa","00a00","0a00","0000-0000","00:00","a00","a0","00.00.0000","00/00/0000","00-00-0000","0000-00-00","0000/00/00","0000.00.00","00.00.00","00/00/00","00-00-00","0.00.0000","0/00/0000","0-00-0000"},0)),LEN(CB541)&gt;=3,NOT(OR(SUBSTITUTE(CB541,"0","")="",AND(LEN(CB541)&gt;=4,CB541=REPT(LEFT(CB541),LEN(CB541))),ISNUMBER(MATCH(CB541,{"123","1234","12345","123456","1234567","12345678","0123","01234","012345","98765","987654","54321"},0)),AND(LEN(CB541)=8,LEFT(CB541,3)="202"))),OR(AND((LEN(CA541)-LEN(SUBSTITUTE(CA541,"a","")))&gt;=1,SUMPRODUCT(--ISNUMBER(SEARCH({"a0","a-0","a_0","a/0","a.0","a#0","0a","0-a","0_a","0/a"},BP541)))&gt;0),ISNUMBER(SEARCH("000000",BP541)))),1,0),0)</f>
        <v>0</v>
      </c>
      <c r="BR541" s="61" t="n">
        <f aca="false">IFERROR(LEN(SUBSTITUTE(CC541," ",""))-SUMPRODUCT((LEN(CC541)-LEN(SUBSTITUTE(CC541," "&amp;L_Role&amp;" "," ")))/(LEN(L_Role)+1)*LEN(L_Role)),0)</f>
        <v>0</v>
      </c>
      <c r="BS541" s="61" t="n">
        <f aca="false">IFERROR(LEN(SUBSTITUTE(CD541," ",""))-SUMPRODUCT((LEN(CD541)-LEN(SUBSTITUTE(CD541," "&amp;L_Role&amp;" "," ")))/(LEN(L_Role)+1)*LEN(L_Role)),0)</f>
        <v>0</v>
      </c>
      <c r="BT5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541,"revision",""),"version",""),"jan",""),"feb",""),"mar",""),"apr",""),"may",""),"jun",""),"jul",""),"aug",""),"sep",""),"oct",""),"nov",""),"dec",""),"utc",""),"gmt",""),"myt",""),"bst",""),"rev",""),"ver",""),"b","a"),"c","a"),"d","a"),"e","a"),"f","a"),"g","a"),"h","a"),"i","a"),"j","a"),"k","a"),"l","a"),"m","a"),"n","a"),"o","a"),"p","a"),"q","a"),"r","a"),"s","a"),"t","a"),"u","a"),"v","a"),"w","a"),"x","a"),"y","a"),"z","a")</f>
        <v/>
      </c>
      <c r="BU541" s="61" t="str">
        <f aca="false">SUBSTITUTE(SUBSTITUTE(SUBSTITUTE(SUBSTITUTE(SUBSTITUTE(SUBSTITUTE(SUBSTITUTE(SUBSTITUTE(SUBSTITUTE(SUBSTITUTE(LEFT(BM541,FIND("0",BM541&amp;"0")-1),"-",""),"_",""),"/",""),".",""),"#",""),"\\",""),":","")," ",""),"(",""),")","")</f>
        <v/>
      </c>
      <c r="BV541" s="61" t="n">
        <f aca="false">0</f>
        <v>0</v>
      </c>
      <c r="BW5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541&amp;""),"a",""),"b",""),"c",""),"d",""),"e",""),"f",""),"g",""),"h",""),"i",""),"j",""),"k",""),"l",""),"m",""),"n",""),"o",""),"p",""),"q",""),"r",""),"s",""),"t",""),"u",""),"v",""),"w",""),"x",""),"y",""),"z",""),"-",""),"_",""),"/",""),".",""),"#",""),"\\",""),":","")," ",""),"(",""),")","")</f>
        <v/>
      </c>
      <c r="BX541" s="61" t="str">
        <f aca="false">SUBSTITUTE(SUBSTITUTE(SUBSTITUTE(SUBSTITUTE(SUBSTITUTE(SUBSTITUTE(SUBSTITUTE(SUBSTITUTE(SUBSTITUTE(SUBSTITUTE(SUBSTITUTE(BM541,"0",""),"-",""),"_",""),"/",""),".",""),"#",""),"\\",""),":","")," ",""),"(",""),")","")</f>
        <v/>
      </c>
      <c r="BY541" s="62" t="n">
        <f aca="false">Q541-T24EarlyH/24</f>
        <v>46320.2847222222</v>
      </c>
      <c r="BZ541" s="61" t="n">
        <f aca="false">IFERROR(IF(IF(TRIM(S541)="Link / file path",AND(LEN(TRIM(Z541))&gt;=5,SUMPRODUCT(--ISNUMBER(SEARCH({"http","www.","\\",":\",".pdf",".jpg",".jpeg",".png",".heic",".xls",".doc",".msg",".eml",".ppt",".txt",".zip"},Z541)))&gt;0),AND(ISERROR(FIND(" ",TRIM(Z541))),NOT(OR(SUMPRODUCT(--ISNUMBER(FIND({",",";","&amp;","+"},Z541)))&gt;0,SUMPRODUCT(--ISNUMBER(SEARCH({"0/aa","0\\aa"},BN541)))&gt;0)),NOT(SUMPRODUCT(--ISNUMBER(SEARCH({"http","www.","\\",":\",".pdf",".jpg",".jpeg",".png",".heic",".xls",".doc",".msg",".eml",".ppt",".txt",".zip"},Z541)))&gt;0),NOT(LOWER(TRIM(Z541))=LOWER(Flights!$F$21)),ISNA(MATCH(BU541,{"mh","rev","revision","ver","version","v","r","a","b","seat","tray","row","gate","bay","stand","page","pg","item","line","no","cart","galley","flight","flt","table","box","bag","oven","etd","eta","std","sta","atd","ata","qty","pax","x","time","tel","ph","mob","day","wk","week","utc","gmt","myt","lt"},0)),NOT(OR(ISNUMBER(MATCH(LEFT(BN541,255),{"0000a","000a","00a","0000aa","000aa","00aa","0aa","0000aaa","000aaa","00a00","0a00","0000-0000","00:00","a00","a0","00.00.0000","00/00/0000","00-00-0000","0000-00-00","0000/00/00","0000.00.00","00.00.00","00/00/00","00-00-00","0.00.0000","0/00/0000","0-00-0000"},0)),ISNUMBER(MATCH(LEFT(BT541,255),{"0000a","000a","00a","0000aa","000aa","00aa","0aa","0000aaa","000aaa","00a00","0a00","0000-0000","00:00","a00","a0","00.00.0000","00/00/0000","00-00-0000","0000-00-00","0000/00/00","0000.00.00","00.00.00","00/00/00","00-00-00","0.00.0000","0/00/0000","0-00-0000"},0)))),NOT(OR(AND(BW541&lt;&gt;"",SUBSTITUTE(BW541,"0","")=""),AND(LEN(BW541)&gt;=4,BW541=REPT(LEFT(BW541),LEN(BW541))),ISNUMBER(MATCH(BW541,{"123","1234","12345","123456","1234567","12345678","0123","01234","012345","98765","987654","54321"},0)),ISNUMBER(MATCH(BX541,{"x","xx","xxx","xxxx","xxxxx","abc","abcd","nil","na","nan","test","tbc","tba","tbd","dummy","sample","example","eg","zz","zzz","none","null","xyz","qwe","asd","id","ref"},0)),AND(LEN(BW541)=8,BX541="",OR(LEFT(BW541,3)="202",ISNUMBER(MATCH(RIGHT(BW541,4),{"2025","2026","2027"},0)))))),OR(AND((LEN(BT541)-LEN(SUBSTITUTE(BT541,"a","")))&gt;=1,(LEN(BN541)-LEN(SUBSTITUTE(BN541,"0","")))&gt;=2,SUMPRODUCT(--ISNUMBER(SEARCH({"a0","a-0","a_0","a/0","a.0","a#0","0a","0-a","0_a","0/a"},BN541)))&gt;0),AND((LEN(BN541)-LEN(SUBSTITUTE(BN541,"a","")))=0,(LEN(BN541)-LEN(SUBSTITUTE(BN541,"0","")))&gt;=5)))),1,0),0)</f>
        <v>0</v>
      </c>
      <c r="CA5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541,"revision",""),"version",""),"jan",""),"feb",""),"mar",""),"apr",""),"may",""),"jun",""),"jul",""),"aug",""),"sep",""),"oct",""),"nov",""),"dec",""),"utc",""),"gmt",""),"myt",""),"bst",""),"rev",""),"ver",""),"b","a"),"c","a"),"d","a"),"e","a"),"f","a"),"g","a"),"h","a"),"i","a"),"j","a"),"k","a"),"l","a"),"m","a"),"n","a"),"o","a"),"p","a"),"q","a"),"r","a"),"s","a"),"t","a"),"u","a"),"v","a"),"w","a"),"x","a"),"y","a"),"z","a")</f>
        <v/>
      </c>
      <c r="CB5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541&amp;""),"a",""),"b",""),"c",""),"d",""),"e",""),"f",""),"g",""),"h",""),"i",""),"j",""),"k",""),"l",""),"m",""),"n",""),"o",""),"p",""),"q",""),"r",""),"s",""),"t",""),"u",""),"v",""),"w",""),"x",""),"y",""),"z",""),"-",""),"_",""),"/",""),".",""),"#",""),"\\",""),":","")," ",""),"(",""),")","")</f>
        <v/>
      </c>
      <c r="CC541" s="0" t="str">
        <f aca="false">" "&amp;TRIM(SUBSTITUTE(SUBSTITUTE(SUBSTITUTE(SUBSTITUTE(SUBSTITUTE(SUBSTITUTE(SUBSTITUTE(SUBSTITUTE(SUBSTITUTE(SUBSTITUTE(SUBSTITUTE(SUBSTITUTE(SUBSTITUTE(SUBSTITUTE(SUBSTITUTE(SUBSTITUTE(SUBSTITUTE(SUBSTITUTE(SUBSTITUTE(SUBSTITUTE(SUBSTITUTE(SUBSTITUTE(SUBSTITUTE(SUBSTITUTE(LOWER(T541&amp;""),CHAR(10)," "),CHAR(13)," "),CHAR(9)," "),CHAR(160)," "),"."," "),","," "),"-"," "),"/"," "),"("," "),")"," "),":"," "),";"," "),"_"," "),"–"," "),"?"," "),"!"," "),"*"," "),"["," "),"]"," "),"'"," "),"#"," "),"+"," "),"&amp;"," "),"\"," "))&amp;" "</f>
        <v>  </v>
      </c>
      <c r="CD541" s="0" t="str">
        <f aca="false">" "&amp;TRIM(SUBSTITUTE(SUBSTITUTE(SUBSTITUTE(SUBSTITUTE(SUBSTITUTE(SUBSTITUTE(SUBSTITUTE(SUBSTITUTE(SUBSTITUTE(SUBSTITUTE(SUBSTITUTE(SUBSTITUTE(SUBSTITUTE(SUBSTITUTE(SUBSTITUTE(SUBSTITUTE(SUBSTITUTE(SUBSTITUTE(SUBSTITUTE(SUBSTITUTE(SUBSTITUTE(SUBSTITUTE(SUBSTITUTE(SUBSTITUTE(LOWER(AE541&amp;""),CHAR(10)," "),CHAR(13)," "),CHAR(9)," "),CHAR(160)," "),"."," "),","," "),"-"," "),"/"," "),"("," "),")"," "),":"," "),";"," "),"_"," "),"–"," "),"?"," "),"!"," "),"*"," "),"["," "),"]"," "),"'"," "),"#"," "),"+"," "),"&amp;"," "),"\"," "))&amp;" "</f>
        <v>  </v>
      </c>
      <c r="CE541" s="68" t="n">
        <f aca="false">IFERROR(IF(AND(LEN(AU541)&gt;0,LEN(AU541)=LEN(AX541),OR(TRIM(MID(SUBSTITUTE(TRIM(CC541)," ",REPT(" ",60)),1,60))="",ISNUMBER(SEARCH(" "&amp;TRIM(MID(SUBSTITUTE(TRIM(CC541)," ",REPT(" ",60)),1,60))&amp;" ",CD541))),OR(TRIM(MID(SUBSTITUTE(TRIM(CC541)," ",REPT(" ",60)),61,60))="",ISNUMBER(SEARCH(" "&amp;TRIM(MID(SUBSTITUTE(TRIM(CC541)," ",REPT(" ",60)),61,60))&amp;" ",CD541))),OR(TRIM(MID(SUBSTITUTE(TRIM(CC541)," ",REPT(" ",60)),121,60))="",ISNUMBER(SEARCH(" "&amp;TRIM(MID(SUBSTITUTE(TRIM(CC541)," ",REPT(" ",60)),121,60))&amp;" ",CD541)))),1,0),0)</f>
        <v>0</v>
      </c>
      <c r="CG541" s="68" t="n">
        <f aca="false">IFERROR(LEN(SUBSTITUTE(BF541," ",""))-SUMPRODUCT((LEN(BF541)-LEN(SUBSTITUTE(BF541," "&amp;L_NAFiller&amp;" "," ")))/(LEN(L_NAFiller)+1)*LEN(L_NAFiller)),0)</f>
        <v>0</v>
      </c>
    </row>
    <row r="542" customFormat="false" ht="39.75" hidden="false" customHeight="true" outlineLevel="0" collapsed="false">
      <c r="A542" s="57" t="s">
        <v>1213</v>
      </c>
      <c r="B542" s="57" t="s">
        <v>290</v>
      </c>
      <c r="C542" s="57" t="str">
        <f aca="false">Flights!$F$21</f>
        <v>MH0073</v>
      </c>
      <c r="D542" s="58" t="n">
        <f aca="false">Flights!$D$21</f>
        <v>46322</v>
      </c>
      <c r="E542" s="57" t="str">
        <f aca="false">Flights!$G$21&amp;"-"&amp;Flights!$H$21</f>
        <v>HKG-KUL</v>
      </c>
      <c r="F542" s="57" t="str">
        <f aca="false">Flights!$K$21</f>
        <v>BC</v>
      </c>
      <c r="G542" s="57" t="s">
        <v>420</v>
      </c>
      <c r="H542" s="57" t="s">
        <v>378</v>
      </c>
      <c r="I542" s="57" t="s">
        <v>379</v>
      </c>
      <c r="J542" s="57" t="s">
        <v>421</v>
      </c>
      <c r="K542" s="67"/>
      <c r="L542" s="67" t="s">
        <v>422</v>
      </c>
      <c r="M542" s="67"/>
      <c r="N542" s="67" t="s">
        <v>383</v>
      </c>
      <c r="O542" s="67" t="s">
        <v>423</v>
      </c>
      <c r="P542" s="57" t="s">
        <v>282</v>
      </c>
      <c r="Q542" s="59" t="n">
        <f aca="false">ROUND((Flights!$AE$21)*1440,0)/1440</f>
        <v>46321.7847222222</v>
      </c>
      <c r="R542" s="59" t="n">
        <f aca="false">Q542+(IF(AND(INDEX(TZ_DSTS,MATCH(P542,TZ_STN,0))&lt;&gt;"",Q542&gt;=INDEX(TZ_DSTS,MATCH(P542,TZ_STN,0)),Q542&lt;INDEX(TZ_DSTE,MATCH(P542,TZ_STN,0))),INDEX(TZ_DST,MATCH(P542,TZ_STN,0)),INDEX(TZ_STD,MATCH(P542,TZ_STN,0))))/24</f>
        <v>46322.1180555556</v>
      </c>
      <c r="S542" s="60"/>
      <c r="T542" s="60"/>
      <c r="U542" s="60"/>
      <c r="V542" s="60"/>
      <c r="W542" s="61"/>
      <c r="X542" s="60"/>
      <c r="Y542" s="60"/>
      <c r="Z542" s="60"/>
      <c r="AA542" s="60"/>
      <c r="AB542" s="60"/>
      <c r="AC542" s="60"/>
      <c r="AD542" s="66"/>
      <c r="AE542" s="60"/>
      <c r="AF542" s="61" t="str">
        <f aca="false">IF(AND(ISNUMBER(X542),ISNUMBER(Y542)),Y542-X542,"")</f>
        <v/>
      </c>
      <c r="AG542" s="62" t="str">
        <f aca="false">IF(ISNUMBER(AD542),AD542-(IF(AND(INDEX(TZ_DSTS,MATCH(P542,TZ_STN,0))&lt;&gt;"",(AD542-INDEX(TZ_STD,MATCH(P542,TZ_STN,0))/24)&gt;=INDEX(TZ_DSTS,MATCH(P542,TZ_STN,0)),(AD542-INDEX(TZ_STD,MATCH(P542,TZ_STN,0))/24)&lt;INDEX(TZ_DSTE,MATCH(P542,TZ_STN,0))),INDEX(TZ_DST,MATCH(P542,TZ_STN,0)),INDEX(TZ_STD,MATCH(P542,TZ_STN,0))))/24,"")</f>
        <v/>
      </c>
      <c r="AH542" s="65" t="str">
        <f aca="false">IFERROR(IF(N542="N/A – rule",IF(OR(TRIM(U542)="",TRIM(U542)="N/A",TRIM(U542)="Not started"),"N/A – RULE","INVALID – this check does not apply to this aircraft: clear the status (or correct the fleet on Flights)"),IF(TRIM(U542)="N/A",IF(AT542=0,"INVALID – N/A not permitted for this check",IF(AND(TRIM(AB542)&lt;&gt;"",TRIM(AB542)&lt;&gt;"Closed"),"INVALID – corrective action still open",IF(AND(NOT(OR(LEN(AZ542)&lt;15,ISNUMBER(MATCH(AZ542,L_Placeholder,0)))),BK542=0,CG542&gt;=8,NOT(OR(LEN(AU542)&lt;2,ISNUMBER(MATCH(AU542,L_Placeholder,0)))),BR542&gt;=3,NOT(OR(LEN(AX542)&lt;2,ISNUMBER(MATCH(AX542,L_Placeholder,0)))),BS542&gt;=3,TRIM(AE542)&lt;&gt;TRIM(T542),AX542&lt;&gt;AU542,CE542=0),"N/A – JUSTIFIED","INVALID – N/A needs a real, settled reason (not 'not applicable' / 'as above' / TBC), a named PIC and a different named verifier"))),IF(OR(TRIM(U542)="Pass",TRIM(U542)="Pass after CA"),IF(NOT(ISNUMBER(AD542)),"INVALID – completion time missing",IF(OR(OR(LEN(AU542)&lt;2,ISNUMBER(MATCH(AU542,L_Placeholder,0))),BR542&lt;3),"INVALID – PIC missing or not a named person (a role such as QA / CSM is not a name)",IF(OR(LEN(AV542)&lt;2,ISNUMBER(MATCH(AV542,L_Placeholder,0))),"INVALID – result / assessment missing",IF(OR(OR(LEN(AW542)&lt;3,ISNUMBER(MATCH(AW542,L_Placeholder,0))),SUMPRODUCT(--ISNUMBER(SEARCH(" "&amp;L_EvidencePhrase&amp;" ",BD542)))&gt;0,BI542=1),"INVALID – evidence missing, placeholder or not yet on file",IF(ISNA(MATCH(TRIM(S542),L_EvidenceType,0)),"INVALID – choose the evidence type from the list (column S)",IF(BL542=0,"INVALID – evidence ID must be the record's own ID only (e.g. SF-2210, IMG_2231, 1045521); a link / file name needs type 'Link / file path'",IF(OR(OR(LEN(AX542)&lt;2,ISNUMBER(MATCH(AX542,L_Placeholder,0))),BS542&lt;3),"INVALID – verifier missing or not a named person (a role such as QA / CSM is not a name)",IF(OR(AX542=AU542,CE542=1,AND(LEN(AU542)&gt;=4,ISNUMBER(SEARCH(AU542,AX542))),AND(LEN(AX542)&gt;=4,ISNUMBER(SEARCH(AX542,AU542)))),"INVALID – verifier must be a different, named person (not the PIC or a role)",IF(BH542=1,"INVALID – result not yet available (awaiting / TBC)",IF(BG542=1,"INVALID – result describes a problem: record Fail, then Pass after CA (or reword if it is not a problem)",IF(BV542=1,"INVALID – wording says not on board: an on-board confirmation needs the item loaded",IF(AND(AQ542=1,OR(OR(LEN(AY542)&lt;3,ISNUMBER(MATCH(AY542,L_Placeholder,0))),BJ542=1,BQ542=0)),"INVALID – batch ID missing, placeholder or not an ID (e.g. PASB-261008-BC-017)",IF(AND(AR542=1,OR(NOT(ISNUMBER(X542)),NOT(ISNUMBER(Y542)))),"INVALID – expected/actual qty missing",IF(AND(AR542=1,OR(X542&lt;=0,Y542&lt;0)),"INVALID – expected qty must be above 0 and actual not negative",IF(BB542&lt;&gt;"",BB542,IF(AND(AS542=1,Documents!$J$21&lt;&gt;"ON FILE"),"INVALID – GLD not on file (Documents sheet)",IF(AND(AS542=2,Documents!$O$21&lt;&gt;"ON FILE"),"INVALID – menu checklist not on file (Documents sheet)",IF(AND(AS542=3,NOT(ISNUMBER(Flights!$AX$21))),"INVALID – enter carrying flight KUL departure (Flights AX)",IF(AND(AS542=3,OR(Flights!$AZ$21&gt;Flights!$AA$21,Flights!$AX$21&lt;Flights!$AA$21-3)),"INVALID – carrying flight (Flights AX) cannot arrive before this leg's STD, or is over 3 days early",IF(AG542&gt;AsOfUTC,"INVALID – completion time is in the future",IF(AND(ISNUMBER(BY542),AG542&lt;BY542),IF(H542="Physical uplift","INVALID – before uplift window (cannot confirm loading)","INVALID – before valid window"),IF(AG542&gt;Flights!$AA$21,"INVALID – completed after departure (cannot establish readiness)",IF(AND(H542="Preparation",AG542&gt;=IF(ISNUMBER(Flights!$BA$21),MIN(Flights!$BA$21,Flights!$AA$21),Flights!$AA$21)),"INVALID – completed after loading / departure (cannot establish readiness)",IF(AND(H542="Physical uplift",AG542&gt;Q542),"INVALID – recorded after the loading flight departed",IF(AG542&gt;Q542,"COMPLETE – LATE","COMPLETE"))))))))))))))))))))))))),IF(TRIM(U542)="Fail","FAIL – DISCREPANCY",IF(AND(TRIM(U542)&lt;&gt;"",TRIM(U542)&lt;&gt;"Not started",TRIM(U542)&lt;&gt;"In progress"),"INVALID – unrecognised status (use the list)",IF(AsOfUTC&gt;Q542,"OVERDUE",IF(N542="Clarification required","OPEN – CLARIFICATION","OPEN"))))))),"INVALID – error value in an input cell")</f>
        <v>OPEN</v>
      </c>
      <c r="AI542" s="61" t="n">
        <f aca="false">IF(OR(AH542="N/A – RULE",AH542="N/A – JUSTIFIED"),0,1)</f>
        <v>1</v>
      </c>
      <c r="AJ542" s="61" t="n">
        <f aca="false">IF(LEFT(AH542,8)="COMPLETE",1,0)</f>
        <v>0</v>
      </c>
      <c r="AK542" s="61" t="n">
        <f aca="false">IF(AND(AI542=1,AJ542=0,AsOfUTC&gt;Q542),1,0)</f>
        <v>0</v>
      </c>
      <c r="AL542" s="61" t="n">
        <f aca="false">IFERROR(IF(AND(AI542=1,OR(TRIM(U542)="Fail",AND(TRIM(AB542)&lt;&gt;"",TRIM(AB542)&lt;&gt;"Closed"),AND(ISNUMBER(AF542),AF542&lt;&gt;0,TRIM(U542)&lt;&gt;"Pass after CA"))),1,0),1)</f>
        <v>0</v>
      </c>
      <c r="AM542" s="61" t="n">
        <f aca="false">IF(LEFT(AH542,7)="INVALID",1,0)</f>
        <v>0</v>
      </c>
      <c r="AN542" s="61" t="n">
        <f aca="false">IF(AND(N542="Clarification required",AI542=1,AJ542=0),1,0)</f>
        <v>0</v>
      </c>
      <c r="AO542" s="61" t="str">
        <f aca="false">IF(AK542=1,SUM(AK$5:AK542),"")</f>
        <v/>
      </c>
      <c r="AP542" s="61" t="str">
        <f aca="false">IF(AL542=1,SUM(AL$5:AL542),"")</f>
        <v/>
      </c>
      <c r="AQ542" s="61" t="n">
        <v>0</v>
      </c>
      <c r="AR542" s="61" t="n">
        <v>0</v>
      </c>
      <c r="AS542" s="61" t="n">
        <v>0</v>
      </c>
      <c r="AT542" s="61" t="n">
        <v>0</v>
      </c>
      <c r="AU542" s="61" t="str">
        <f aca="false">SUBSTITUTE(SUBSTITUTE(SUBSTITUTE(SUBSTITUTE(SUBSTITUTE(SUBSTITUTE(SUBSTITUTE(SUBSTITUTE(SUBSTITUTE(SUBSTITUTE(SUBSTITUTE(SUBSTITUTE(SUBSTITUTE(SUBSTITUTE(SUBSTITUTE(SUBSTITUTE(LOWER(T542&amp;""),CHAR(10),""),CHAR(13),""),CHAR(9),""),CHAR(160),"")," ",""),".",""),"-",""),"/",""),"?",""),"_",""),",",""),"[",""),"]",""),"(",""),")",""),"*","")</f>
        <v/>
      </c>
      <c r="AV542" s="61" t="str">
        <f aca="false">SUBSTITUTE(SUBSTITUTE(SUBSTITUTE(SUBSTITUTE(SUBSTITUTE(SUBSTITUTE(SUBSTITUTE(SUBSTITUTE(SUBSTITUTE(SUBSTITUTE(SUBSTITUTE(SUBSTITUTE(SUBSTITUTE(SUBSTITUTE(SUBSTITUTE(SUBSTITUTE(LOWER(V542&amp;""),CHAR(10),""),CHAR(13),""),CHAR(9),""),CHAR(160),"")," ",""),".",""),"-",""),"/",""),"?",""),"_",""),",",""),"[",""),"]",""),"(",""),")",""),"*","")</f>
        <v/>
      </c>
      <c r="AW542" s="61" t="str">
        <f aca="false">SUBSTITUTE(SUBSTITUTE(SUBSTITUTE(SUBSTITUTE(SUBSTITUTE(SUBSTITUTE(SUBSTITUTE(SUBSTITUTE(SUBSTITUTE(SUBSTITUTE(SUBSTITUTE(SUBSTITUTE(SUBSTITUTE(SUBSTITUTE(SUBSTITUTE(SUBSTITUTE(LOWER(Z542&amp;""),CHAR(10),""),CHAR(13),""),CHAR(9),""),CHAR(160),"")," ",""),".",""),"-",""),"/",""),"?",""),"_",""),",",""),"[",""),"]",""),"(",""),")",""),"*","")</f>
        <v/>
      </c>
      <c r="AX542" s="61" t="str">
        <f aca="false">SUBSTITUTE(SUBSTITUTE(SUBSTITUTE(SUBSTITUTE(SUBSTITUTE(SUBSTITUTE(SUBSTITUTE(SUBSTITUTE(SUBSTITUTE(SUBSTITUTE(SUBSTITUTE(SUBSTITUTE(SUBSTITUTE(SUBSTITUTE(SUBSTITUTE(SUBSTITUTE(LOWER(AE542&amp;""),CHAR(10),""),CHAR(13),""),CHAR(9),""),CHAR(160),"")," ",""),".",""),"-",""),"/",""),"?",""),"_",""),",",""),"[",""),"]",""),"(",""),")",""),"*","")</f>
        <v/>
      </c>
      <c r="AY542" s="61" t="str">
        <f aca="false">SUBSTITUTE(SUBSTITUTE(SUBSTITUTE(SUBSTITUTE(SUBSTITUTE(SUBSTITUTE(SUBSTITUTE(SUBSTITUTE(SUBSTITUTE(SUBSTITUTE(SUBSTITUTE(SUBSTITUTE(SUBSTITUTE(SUBSTITUTE(SUBSTITUTE(SUBSTITUTE(LOWER(W542&amp;""),CHAR(10),""),CHAR(13),""),CHAR(9),""),CHAR(160),"")," ",""),".",""),"-",""),"/",""),"?",""),"_",""),",",""),"[",""),"]",""),"(",""),")",""),"*","")</f>
        <v/>
      </c>
      <c r="AZ542" s="61" t="str">
        <f aca="false">SUBSTITUTE(SUBSTITUTE(SUBSTITUTE(SUBSTITUTE(SUBSTITUTE(SUBSTITUTE(SUBSTITUTE(SUBSTITUTE(SUBSTITUTE(SUBSTITUTE(SUBSTITUTE(SUBSTITUTE(SUBSTITUTE(SUBSTITUTE(SUBSTITUTE(SUBSTITUTE(LOWER(AC542&amp;""),CHAR(10),""),CHAR(13),""),CHAR(9),""),CHAR(160),"")," ",""),".",""),"-",""),"/",""),"?",""),"_",""),",",""),"[",""),"]",""),"(",""),")",""),"*","")</f>
        <v/>
      </c>
      <c r="BA542" s="61" t="str">
        <f aca="false">SUBSTITUTE(SUBSTITUTE(SUBSTITUTE(SUBSTITUTE(SUBSTITUTE(SUBSTITUTE(SUBSTITUTE(SUBSTITUTE(SUBSTITUTE(SUBSTITUTE(SUBSTITUTE(SUBSTITUTE(SUBSTITUTE(SUBSTITUTE(SUBSTITUTE(SUBSTITUTE(LOWER(AA542&amp;""),CHAR(10),""),CHAR(13),""),CHAR(9),""),CHAR(160),"")," ",""),".",""),"-",""),"/",""),"?",""),"_",""),",",""),"[",""),"]",""),"(",""),")",""),"*","")</f>
        <v/>
      </c>
      <c r="BB542" s="61" t="str">
        <f aca="false">IF(AND(TRIM(U542)="Pass",ISNUMBER(AF542)),IF(AF542&lt;&gt;0,"INVALID – qty variance: use Fail or Pass after CA",""),"")&amp;IF(AND(TRIM(U542)="Pass after CA",ISNUMBER(AF542)),IF(AF542&lt;&gt;0,"INVALID – after the corrective action the actual qty must equal expected (update Actual)",""),"")&amp;IF(AND(TRIM(U542)="Pass",TRIM(AB542)&lt;&gt;"",TRIM(AB542)&lt;&gt;"Closed"),"INVALID – corrective action not closed: use Fail, then Pass after CA","")&amp;IF(AND(LEN(BA542)&gt;=2,ISNA(MATCH(LEFT(BA542,255),L_Placeholder,0)),TRIM(AB542)=""),"INVALID – CA status missing for the recorded corrective action","")&amp;IF(AND(TRIM(U542)="Pass after CA",OR(OR(LEN(BA542)&lt;5,ISNUMBER(MATCH(BA542,L_Placeholder,0))),TRIM(AB542)&lt;&gt;"Closed")),"INVALID – corrective action not recorded/closed","")</f>
        <v/>
      </c>
      <c r="BC542" s="61" t="str">
        <f aca="false">" "&amp;TRIM(SUBSTITUTE(SUBSTITUTE(SUBSTITUTE(SUBSTITUTE(SUBSTITUTE(SUBSTITUTE(SUBSTITUTE(SUBSTITUTE(SUBSTITUTE(SUBSTITUTE(SUBSTITUTE(SUBSTITUTE(SUBSTITUTE(SUBSTITUTE(SUBSTITUTE(SUBSTITUTE(SUBSTITUTE(SUBSTITUTE(SUBSTITUTE(SUBSTITUTE(SUBSTITUTE(SUBSTITUTE(SUBSTITUTE(SUBSTITUTE(LOWER(V542&amp;""),CHAR(10)," "),CHAR(13)," "),CHAR(9)," "),CHAR(160)," "),"."," "),","," "),"-"," "),"/"," "),"("," "),")"," "),":"," "),";"," "),"_"," "),"–"," "),"?"," "),"!"," "),"*"," "),"["," "),"]"," "),"'"," "),"#"," "),"+"," "),"&amp;"," "),"\"," "))&amp;" "</f>
        <v>  </v>
      </c>
      <c r="BD542" s="61" t="str">
        <f aca="false">" "&amp;TRIM(SUBSTITUTE(SUBSTITUTE(SUBSTITUTE(SUBSTITUTE(SUBSTITUTE(SUBSTITUTE(SUBSTITUTE(SUBSTITUTE(SUBSTITUTE(SUBSTITUTE(SUBSTITUTE(SUBSTITUTE(SUBSTITUTE(SUBSTITUTE(SUBSTITUTE(SUBSTITUTE(SUBSTITUTE(SUBSTITUTE(SUBSTITUTE(SUBSTITUTE(SUBSTITUTE(SUBSTITUTE(SUBSTITUTE(SUBSTITUTE(LOWER(Z542&amp;""),CHAR(10)," "),CHAR(13)," "),CHAR(9)," "),CHAR(160)," "),"."," "),","," "),"-"," "),"/"," "),"("," "),")"," "),":"," "),";"," "),"_"," "),"–"," "),"?"," "),"!"," "),"*"," "),"["," "),"]"," "),"'"," "),"#"," "),"+"," "),"&amp;"," "),"\"," "))&amp;" "</f>
        <v>  </v>
      </c>
      <c r="BE542" s="61" t="str">
        <f aca="false">" "&amp;TRIM(SUBSTITUTE(SUBSTITUTE(SUBSTITUTE(SUBSTITUTE(SUBSTITUTE(SUBSTITUTE(SUBSTITUTE(SUBSTITUTE(SUBSTITUTE(SUBSTITUTE(SUBSTITUTE(SUBSTITUTE(SUBSTITUTE(SUBSTITUTE(SUBSTITUTE(SUBSTITUTE(SUBSTITUTE(SUBSTITUTE(SUBSTITUTE(SUBSTITUTE(SUBSTITUTE(SUBSTITUTE(SUBSTITUTE(SUBSTITUTE(LOWER(W542&amp;""),CHAR(10)," "),CHAR(13)," "),CHAR(9)," "),CHAR(160)," "),"."," "),","," "),"-"," "),"/"," "),"("," "),")"," "),":"," "),";"," "),"_"," "),"–"," "),"?"," "),"!"," "),"*"," "),"["," "),"]"," "),"'"," "),"#"," "),"+"," "),"&amp;"," "),"\"," "))&amp;" "</f>
        <v>  </v>
      </c>
      <c r="BF542" s="61" t="str">
        <f aca="false">" "&amp;TRIM(SUBSTITUTE(SUBSTITUTE(SUBSTITUTE(SUBSTITUTE(SUBSTITUTE(SUBSTITUTE(SUBSTITUTE(SUBSTITUTE(SUBSTITUTE(SUBSTITUTE(SUBSTITUTE(SUBSTITUTE(SUBSTITUTE(SUBSTITUTE(SUBSTITUTE(SUBSTITUTE(SUBSTITUTE(SUBSTITUTE(SUBSTITUTE(SUBSTITUTE(SUBSTITUTE(SUBSTITUTE(SUBSTITUTE(SUBSTITUTE(LOWER(AC542&amp;""),CHAR(10)," "),CHAR(13)," "),CHAR(9)," "),CHAR(160)," "),"."," "),","," "),"-"," "),"/"," "),"("," "),")"," "),":"," "),";"," "),"_"," "),"–"," "),"?"," "),"!"," "),"*"," "),"["," "),"]"," "),"'"," "),"#"," "),"+"," "),"&amp;"," "),"\"," "))&amp;" "</f>
        <v>  </v>
      </c>
      <c r="BG542" s="61" t="n">
        <f aca="false">IFERROR(IF(AND(TRIM(U542)="Pass",SUMPRODUCT((LEN(BC542)-LEN(SUBSTITUTE(BC542," "&amp;L_ResultBad&amp;" "," ")))/(LEN(L_ResultBad)+1))&gt;SUMPRODUCT((LEN(BC542)-LEN(SUBSTITUTE(BC542," "&amp;L_NegPhrase&amp;" "," ")))/(LEN(L_NegPhrase)+1))),1,0),0)</f>
        <v>0</v>
      </c>
      <c r="BH542" s="61" t="n">
        <f aca="false">IFERROR(IF(SUMPRODUCT((LEN(BC542)-LEN(SUBSTITUTE(BC542," "&amp;L_Pending&amp;" "," ")))/(LEN(L_Pending)+1))&gt;SUMPRODUCT((LEN(BC542)-LEN(SUBSTITUTE(BC542," "&amp;L_PendNeg&amp;" "," ")))/(LEN(L_PendNeg)+1))+SUMPRODUCT((LEN(BC542)-LEN(SUBSTITUTE(BC542," "&amp;L_PendPrep&amp;" "," ")))/(LEN(L_PendPrep)+1)),1,0),1)</f>
        <v>0</v>
      </c>
      <c r="BI542" s="61" t="n">
        <f aca="false">IFERROR(IF(SUMPRODUCT((LEN(BD542)-LEN(SUBSTITUTE(BD542," "&amp;L_PendStrict&amp;" "," ")))/(LEN(L_PendStrict)+1))&gt;SUMPRODUCT((LEN(BD542)-LEN(SUBSTITUTE(BD542," "&amp;L_PendNeg&amp;" "," ")))/(LEN(L_PendNeg)+1)),1,0),1)</f>
        <v>0</v>
      </c>
      <c r="BJ542" s="61" t="n">
        <f aca="false">IFERROR(IF(SUMPRODUCT((LEN(BE542)-LEN(SUBSTITUTE(BE542," "&amp;L_Pending&amp;" "," ")))/(LEN(L_Pending)+1))&gt;SUMPRODUCT((LEN(BE542)-LEN(SUBSTITUTE(BE542," "&amp;L_PendNeg&amp;" "," ")))/(LEN(L_PendNeg)+1))+SUMPRODUCT((LEN(BE542)-LEN(SUBSTITUTE(BE542," "&amp;L_PendPrep&amp;" "," ")))/(LEN(L_PendPrep)+1)),1,0),1)</f>
        <v>0</v>
      </c>
      <c r="BK542" s="61" t="n">
        <f aca="false">IFERROR(IF(SUMPRODUCT((LEN(BF542)-LEN(SUBSTITUTE(BF542," "&amp;L_PendStrict&amp;" "," ")))/(LEN(L_PendStrict)+1))&gt;SUMPRODUCT((LEN(BF542)-LEN(SUBSTITUTE(BF542," "&amp;L_PendNeg&amp;" "," ")))/(LEN(L_PendNeg)+1)),1,0),1)</f>
        <v>0</v>
      </c>
      <c r="BL542" s="61" t="n">
        <f aca="false">IF(ISNA(MATCH(TRIM(S542),L_EvidenceType,0)),0,BZ542)</f>
        <v>0</v>
      </c>
      <c r="BM542" s="61" t="str">
        <f aca="false">SUBSTITUTE(SUBSTITUTE(SUBSTITUTE(SUBSTITUTE(SUBSTITUTE(SUBSTITUTE(SUBSTITUTE(SUBSTITUTE(SUBSTITUTE(LOWER(Z542&amp;""),"1","0"),"2","0"),"3","0"),"4","0"),"5","0"),"6","0"),"7","0"),"8","0"),"9","0")</f>
        <v/>
      </c>
      <c r="BN542" s="61" t="str">
        <f aca="false">SUBSTITUTE(SUBSTITUTE(SUBSTITUTE(SUBSTITUTE(SUBSTITUTE(SUBSTITUTE(SUBSTITUTE(SUBSTITUTE(SUBSTITUTE(SUBSTITUTE(SUBSTITUTE(SUBSTITUTE(SUBSTITUTE(SUBSTITUTE(SUBSTITUTE(SUBSTITUTE(SUBSTITUTE(SUBSTITUTE(SUBSTITUTE(SUBSTITUTE(SUBSTITUTE(SUBSTITUTE(SUBSTITUTE(SUBSTITUTE(SUBSTITUTE(BM542,"b","a"),"c","a"),"d","a"),"e","a"),"f","a"),"g","a"),"h","a"),"i","a"),"j","a"),"k","a"),"l","a"),"m","a"),"n","a"),"o","a"),"p","a"),"q","a"),"r","a"),"s","a"),"t","a"),"u","a"),"v","a"),"w","a"),"x","a"),"y","a"),"z","a")</f>
        <v/>
      </c>
      <c r="BO542" s="61" t="str">
        <f aca="false">SUBSTITUTE(SUBSTITUTE(SUBSTITUTE(SUBSTITUTE(SUBSTITUTE(SUBSTITUTE(SUBSTITUTE(SUBSTITUTE(SUBSTITUTE(LOWER(W542&amp;""),"1","0"),"2","0"),"3","0"),"4","0"),"5","0"),"6","0"),"7","0"),"8","0"),"9","0")</f>
        <v/>
      </c>
      <c r="BP542" s="61" t="str">
        <f aca="false">SUBSTITUTE(SUBSTITUTE(SUBSTITUTE(SUBSTITUTE(SUBSTITUTE(SUBSTITUTE(SUBSTITUTE(SUBSTITUTE(SUBSTITUTE(SUBSTITUTE(SUBSTITUTE(SUBSTITUTE(SUBSTITUTE(SUBSTITUTE(SUBSTITUTE(SUBSTITUTE(SUBSTITUTE(SUBSTITUTE(SUBSTITUTE(SUBSTITUTE(SUBSTITUTE(SUBSTITUTE(SUBSTITUTE(SUBSTITUTE(SUBSTITUTE(BO542,"b","a"),"c","a"),"d","a"),"e","a"),"f","a"),"g","a"),"h","a"),"i","a"),"j","a"),"k","a"),"l","a"),"m","a"),"n","a"),"o","a"),"p","a"),"q","a"),"r","a"),"s","a"),"t","a"),"u","a"),"v","a"),"w","a"),"x","a"),"y","a"),"z","a")</f>
        <v/>
      </c>
      <c r="BQ542" s="61" t="n">
        <f aca="false">IFERROR(IF(AND(ISERROR(SEARCH(" mh"," "&amp;LOWER(W542))),ISNA(MATCH(LEFT(TRIM(BP542),255),{"0000a","000a","00a","0000aa","000aa","00aa","0aa","0000aaa","000aaa","00a00","0a00","0000-0000","00:00","a00","a0","00.00.0000","00/00/0000","00-00-0000","0000-00-00","0000/00/00","0000.00.00","00.00.00","00/00/00","00-00-00","0.00.0000","0/00/0000","0-00-0000"},0)),ISNA(MATCH(LEFT(TRIM(CA542),255),{"0000a","000a","00a","0000aa","000aa","00aa","0aa","0000aaa","000aaa","00a00","0a00","0000-0000","00:00","a00","a0","00.00.0000","00/00/0000","00-00-0000","0000-00-00","0000/00/00","0000.00.00","00.00.00","00/00/00","00-00-00","0.00.0000","0/00/0000","0-00-0000"},0)),LEN(CB542)&gt;=3,NOT(OR(SUBSTITUTE(CB542,"0","")="",AND(LEN(CB542)&gt;=4,CB542=REPT(LEFT(CB542),LEN(CB542))),ISNUMBER(MATCH(CB542,{"123","1234","12345","123456","1234567","12345678","0123","01234","012345","98765","987654","54321"},0)),AND(LEN(CB542)=8,LEFT(CB542,3)="202"))),OR(AND((LEN(CA542)-LEN(SUBSTITUTE(CA542,"a","")))&gt;=1,SUMPRODUCT(--ISNUMBER(SEARCH({"a0","a-0","a_0","a/0","a.0","a#0","0a","0-a","0_a","0/a"},BP542)))&gt;0),ISNUMBER(SEARCH("000000",BP542)))),1,0),0)</f>
        <v>0</v>
      </c>
      <c r="BR542" s="61" t="n">
        <f aca="false">IFERROR(LEN(SUBSTITUTE(CC542," ",""))-SUMPRODUCT((LEN(CC542)-LEN(SUBSTITUTE(CC542," "&amp;L_Role&amp;" "," ")))/(LEN(L_Role)+1)*LEN(L_Role)),0)</f>
        <v>0</v>
      </c>
      <c r="BS542" s="61" t="n">
        <f aca="false">IFERROR(LEN(SUBSTITUTE(CD542," ",""))-SUMPRODUCT((LEN(CD542)-LEN(SUBSTITUTE(CD542," "&amp;L_Role&amp;" "," ")))/(LEN(L_Role)+1)*LEN(L_Role)),0)</f>
        <v>0</v>
      </c>
      <c r="BT5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542,"revision",""),"version",""),"jan",""),"feb",""),"mar",""),"apr",""),"may",""),"jun",""),"jul",""),"aug",""),"sep",""),"oct",""),"nov",""),"dec",""),"utc",""),"gmt",""),"myt",""),"bst",""),"rev",""),"ver",""),"b","a"),"c","a"),"d","a"),"e","a"),"f","a"),"g","a"),"h","a"),"i","a"),"j","a"),"k","a"),"l","a"),"m","a"),"n","a"),"o","a"),"p","a"),"q","a"),"r","a"),"s","a"),"t","a"),"u","a"),"v","a"),"w","a"),"x","a"),"y","a"),"z","a")</f>
        <v/>
      </c>
      <c r="BU542" s="61" t="str">
        <f aca="false">SUBSTITUTE(SUBSTITUTE(SUBSTITUTE(SUBSTITUTE(SUBSTITUTE(SUBSTITUTE(SUBSTITUTE(SUBSTITUTE(SUBSTITUTE(SUBSTITUTE(LEFT(BM542,FIND("0",BM542&amp;"0")-1),"-",""),"_",""),"/",""),".",""),"#",""),"\\",""),":","")," ",""),"(",""),")","")</f>
        <v/>
      </c>
      <c r="BV542" s="61" t="n">
        <f aca="false">0</f>
        <v>0</v>
      </c>
      <c r="BW5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542&amp;""),"a",""),"b",""),"c",""),"d",""),"e",""),"f",""),"g",""),"h",""),"i",""),"j",""),"k",""),"l",""),"m",""),"n",""),"o",""),"p",""),"q",""),"r",""),"s",""),"t",""),"u",""),"v",""),"w",""),"x",""),"y",""),"z",""),"-",""),"_",""),"/",""),".",""),"#",""),"\\",""),":","")," ",""),"(",""),")","")</f>
        <v/>
      </c>
      <c r="BX542" s="61" t="str">
        <f aca="false">SUBSTITUTE(SUBSTITUTE(SUBSTITUTE(SUBSTITUTE(SUBSTITUTE(SUBSTITUTE(SUBSTITUTE(SUBSTITUTE(SUBSTITUTE(SUBSTITUTE(SUBSTITUTE(BM542,"0",""),"-",""),"_",""),"/",""),".",""),"#",""),"\\",""),":","")," ",""),"(",""),")","")</f>
        <v/>
      </c>
      <c r="BY542" s="62" t="n">
        <f aca="false">Q542-T12EarlyH/24</f>
        <v>46321.2847222222</v>
      </c>
      <c r="BZ542" s="61" t="n">
        <f aca="false">IFERROR(IF(IF(TRIM(S542)="Link / file path",AND(LEN(TRIM(Z542))&gt;=5,SUMPRODUCT(--ISNUMBER(SEARCH({"http","www.","\\",":\",".pdf",".jpg",".jpeg",".png",".heic",".xls",".doc",".msg",".eml",".ppt",".txt",".zip"},Z542)))&gt;0),AND(ISERROR(FIND(" ",TRIM(Z542))),NOT(OR(SUMPRODUCT(--ISNUMBER(FIND({",",";","&amp;","+"},Z542)))&gt;0,SUMPRODUCT(--ISNUMBER(SEARCH({"0/aa","0\\aa"},BN542)))&gt;0)),NOT(SUMPRODUCT(--ISNUMBER(SEARCH({"http","www.","\\",":\",".pdf",".jpg",".jpeg",".png",".heic",".xls",".doc",".msg",".eml",".ppt",".txt",".zip"},Z542)))&gt;0),NOT(LOWER(TRIM(Z542))=LOWER(Flights!$F$21)),ISNA(MATCH(BU542,{"mh","rev","revision","ver","version","v","r","a","b","seat","tray","row","gate","bay","stand","page","pg","item","line","no","cart","galley","flight","flt","table","box","bag","oven","etd","eta","std","sta","atd","ata","qty","pax","x","time","tel","ph","mob","day","wk","week","utc","gmt","myt","lt"},0)),NOT(OR(ISNUMBER(MATCH(LEFT(BN542,255),{"0000a","000a","00a","0000aa","000aa","00aa","0aa","0000aaa","000aaa","00a00","0a00","0000-0000","00:00","a00","a0","00.00.0000","00/00/0000","00-00-0000","0000-00-00","0000/00/00","0000.00.00","00.00.00","00/00/00","00-00-00","0.00.0000","0/00/0000","0-00-0000"},0)),ISNUMBER(MATCH(LEFT(BT542,255),{"0000a","000a","00a","0000aa","000aa","00aa","0aa","0000aaa","000aaa","00a00","0a00","0000-0000","00:00","a00","a0","00.00.0000","00/00/0000","00-00-0000","0000-00-00","0000/00/00","0000.00.00","00.00.00","00/00/00","00-00-00","0.00.0000","0/00/0000","0-00-0000"},0)))),NOT(OR(AND(BW542&lt;&gt;"",SUBSTITUTE(BW542,"0","")=""),AND(LEN(BW542)&gt;=4,BW542=REPT(LEFT(BW542),LEN(BW542))),ISNUMBER(MATCH(BW542,{"123","1234","12345","123456","1234567","12345678","0123","01234","012345","98765","987654","54321"},0)),ISNUMBER(MATCH(BX542,{"x","xx","xxx","xxxx","xxxxx","abc","abcd","nil","na","nan","test","tbc","tba","tbd","dummy","sample","example","eg","zz","zzz","none","null","xyz","qwe","asd","id","ref"},0)),AND(LEN(BW542)=8,BX542="",OR(LEFT(BW542,3)="202",ISNUMBER(MATCH(RIGHT(BW542,4),{"2025","2026","2027"},0)))))),OR(AND((LEN(BT542)-LEN(SUBSTITUTE(BT542,"a","")))&gt;=1,(LEN(BN542)-LEN(SUBSTITUTE(BN542,"0","")))&gt;=2,SUMPRODUCT(--ISNUMBER(SEARCH({"a0","a-0","a_0","a/0","a.0","a#0","0a","0-a","0_a","0/a"},BN542)))&gt;0),AND((LEN(BN542)-LEN(SUBSTITUTE(BN542,"a","")))=0,(LEN(BN542)-LEN(SUBSTITUTE(BN542,"0","")))&gt;=5)))),1,0),0)</f>
        <v>0</v>
      </c>
      <c r="CA5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542,"revision",""),"version",""),"jan",""),"feb",""),"mar",""),"apr",""),"may",""),"jun",""),"jul",""),"aug",""),"sep",""),"oct",""),"nov",""),"dec",""),"utc",""),"gmt",""),"myt",""),"bst",""),"rev",""),"ver",""),"b","a"),"c","a"),"d","a"),"e","a"),"f","a"),"g","a"),"h","a"),"i","a"),"j","a"),"k","a"),"l","a"),"m","a"),"n","a"),"o","a"),"p","a"),"q","a"),"r","a"),"s","a"),"t","a"),"u","a"),"v","a"),"w","a"),"x","a"),"y","a"),"z","a")</f>
        <v/>
      </c>
      <c r="CB5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542&amp;""),"a",""),"b",""),"c",""),"d",""),"e",""),"f",""),"g",""),"h",""),"i",""),"j",""),"k",""),"l",""),"m",""),"n",""),"o",""),"p",""),"q",""),"r",""),"s",""),"t",""),"u",""),"v",""),"w",""),"x",""),"y",""),"z",""),"-",""),"_",""),"/",""),".",""),"#",""),"\\",""),":","")," ",""),"(",""),")","")</f>
        <v/>
      </c>
      <c r="CC542" s="0" t="str">
        <f aca="false">" "&amp;TRIM(SUBSTITUTE(SUBSTITUTE(SUBSTITUTE(SUBSTITUTE(SUBSTITUTE(SUBSTITUTE(SUBSTITUTE(SUBSTITUTE(SUBSTITUTE(SUBSTITUTE(SUBSTITUTE(SUBSTITUTE(SUBSTITUTE(SUBSTITUTE(SUBSTITUTE(SUBSTITUTE(SUBSTITUTE(SUBSTITUTE(SUBSTITUTE(SUBSTITUTE(SUBSTITUTE(SUBSTITUTE(SUBSTITUTE(SUBSTITUTE(LOWER(T542&amp;""),CHAR(10)," "),CHAR(13)," "),CHAR(9)," "),CHAR(160)," "),"."," "),","," "),"-"," "),"/"," "),"("," "),")"," "),":"," "),";"," "),"_"," "),"–"," "),"?"," "),"!"," "),"*"," "),"["," "),"]"," "),"'"," "),"#"," "),"+"," "),"&amp;"," "),"\"," "))&amp;" "</f>
        <v>  </v>
      </c>
      <c r="CD542" s="0" t="str">
        <f aca="false">" "&amp;TRIM(SUBSTITUTE(SUBSTITUTE(SUBSTITUTE(SUBSTITUTE(SUBSTITUTE(SUBSTITUTE(SUBSTITUTE(SUBSTITUTE(SUBSTITUTE(SUBSTITUTE(SUBSTITUTE(SUBSTITUTE(SUBSTITUTE(SUBSTITUTE(SUBSTITUTE(SUBSTITUTE(SUBSTITUTE(SUBSTITUTE(SUBSTITUTE(SUBSTITUTE(SUBSTITUTE(SUBSTITUTE(SUBSTITUTE(SUBSTITUTE(LOWER(AE542&amp;""),CHAR(10)," "),CHAR(13)," "),CHAR(9)," "),CHAR(160)," "),"."," "),","," "),"-"," "),"/"," "),"("," "),")"," "),":"," "),";"," "),"_"," "),"–"," "),"?"," "),"!"," "),"*"," "),"["," "),"]"," "),"'"," "),"#"," "),"+"," "),"&amp;"," "),"\"," "))&amp;" "</f>
        <v>  </v>
      </c>
      <c r="CE542" s="68" t="n">
        <f aca="false">IFERROR(IF(AND(LEN(AU542)&gt;0,LEN(AU542)=LEN(AX542),OR(TRIM(MID(SUBSTITUTE(TRIM(CC542)," ",REPT(" ",60)),1,60))="",ISNUMBER(SEARCH(" "&amp;TRIM(MID(SUBSTITUTE(TRIM(CC542)," ",REPT(" ",60)),1,60))&amp;" ",CD542))),OR(TRIM(MID(SUBSTITUTE(TRIM(CC542)," ",REPT(" ",60)),61,60))="",ISNUMBER(SEARCH(" "&amp;TRIM(MID(SUBSTITUTE(TRIM(CC542)," ",REPT(" ",60)),61,60))&amp;" ",CD542))),OR(TRIM(MID(SUBSTITUTE(TRIM(CC542)," ",REPT(" ",60)),121,60))="",ISNUMBER(SEARCH(" "&amp;TRIM(MID(SUBSTITUTE(TRIM(CC542)," ",REPT(" ",60)),121,60))&amp;" ",CD542)))),1,0),0)</f>
        <v>0</v>
      </c>
      <c r="CG542" s="68" t="n">
        <f aca="false">IFERROR(LEN(SUBSTITUTE(BF542," ",""))-SUMPRODUCT((LEN(BF542)-LEN(SUBSTITUTE(BF542," "&amp;L_NAFiller&amp;" "," ")))/(LEN(L_NAFiller)+1)*LEN(L_NAFiller)),0)</f>
        <v>0</v>
      </c>
    </row>
    <row r="543" customFormat="false" ht="39.75" hidden="false" customHeight="true" outlineLevel="0" collapsed="false">
      <c r="A543" s="57" t="s">
        <v>1214</v>
      </c>
      <c r="B543" s="57" t="s">
        <v>290</v>
      </c>
      <c r="C543" s="57" t="str">
        <f aca="false">Flights!$F$21</f>
        <v>MH0073</v>
      </c>
      <c r="D543" s="58" t="n">
        <f aca="false">Flights!$D$21</f>
        <v>46322</v>
      </c>
      <c r="E543" s="57" t="str">
        <f aca="false">Flights!$G$21&amp;"-"&amp;Flights!$H$21</f>
        <v>HKG-KUL</v>
      </c>
      <c r="F543" s="57" t="str">
        <f aca="false">Flights!$K$21</f>
        <v>BC</v>
      </c>
      <c r="G543" s="57" t="s">
        <v>420</v>
      </c>
      <c r="H543" s="57" t="s">
        <v>378</v>
      </c>
      <c r="I543" s="57" t="s">
        <v>379</v>
      </c>
      <c r="J543" s="57" t="s">
        <v>425</v>
      </c>
      <c r="K543" s="67" t="s">
        <v>426</v>
      </c>
      <c r="L543" s="67" t="s">
        <v>422</v>
      </c>
      <c r="M543" s="67"/>
      <c r="N543" s="67" t="s">
        <v>383</v>
      </c>
      <c r="O543" s="67" t="s">
        <v>423</v>
      </c>
      <c r="P543" s="57" t="s">
        <v>282</v>
      </c>
      <c r="Q543" s="59" t="n">
        <f aca="false">ROUND((Flights!$AE$21)*1440,0)/1440</f>
        <v>46321.7847222222</v>
      </c>
      <c r="R543" s="59" t="n">
        <f aca="false">Q543+(IF(AND(INDEX(TZ_DSTS,MATCH(P543,TZ_STN,0))&lt;&gt;"",Q543&gt;=INDEX(TZ_DSTS,MATCH(P543,TZ_STN,0)),Q543&lt;INDEX(TZ_DSTE,MATCH(P543,TZ_STN,0))),INDEX(TZ_DST,MATCH(P543,TZ_STN,0)),INDEX(TZ_STD,MATCH(P543,TZ_STN,0))))/24</f>
        <v>46322.1180555556</v>
      </c>
      <c r="S543" s="60"/>
      <c r="T543" s="60"/>
      <c r="U543" s="60"/>
      <c r="V543" s="60"/>
      <c r="W543" s="61"/>
      <c r="X543" s="60"/>
      <c r="Y543" s="60"/>
      <c r="Z543" s="60"/>
      <c r="AA543" s="60"/>
      <c r="AB543" s="60"/>
      <c r="AC543" s="60"/>
      <c r="AD543" s="66"/>
      <c r="AE543" s="60"/>
      <c r="AF543" s="61" t="str">
        <f aca="false">IF(AND(ISNUMBER(X543),ISNUMBER(Y543)),Y543-X543,"")</f>
        <v/>
      </c>
      <c r="AG543" s="62" t="str">
        <f aca="false">IF(ISNUMBER(AD543),AD543-(IF(AND(INDEX(TZ_DSTS,MATCH(P543,TZ_STN,0))&lt;&gt;"",(AD543-INDEX(TZ_STD,MATCH(P543,TZ_STN,0))/24)&gt;=INDEX(TZ_DSTS,MATCH(P543,TZ_STN,0)),(AD543-INDEX(TZ_STD,MATCH(P543,TZ_STN,0))/24)&lt;INDEX(TZ_DSTE,MATCH(P543,TZ_STN,0))),INDEX(TZ_DST,MATCH(P543,TZ_STN,0)),INDEX(TZ_STD,MATCH(P543,TZ_STN,0))))/24,"")</f>
        <v/>
      </c>
      <c r="AH543" s="65" t="str">
        <f aca="false">IFERROR(IF(N543="N/A – rule",IF(OR(TRIM(U543)="",TRIM(U543)="N/A",TRIM(U543)="Not started"),"N/A – RULE","INVALID – this check does not apply to this aircraft: clear the status (or correct the fleet on Flights)"),IF(TRIM(U543)="N/A",IF(AT543=0,"INVALID – N/A not permitted for this check",IF(AND(TRIM(AB543)&lt;&gt;"",TRIM(AB543)&lt;&gt;"Closed"),"INVALID – corrective action still open",IF(AND(NOT(OR(LEN(AZ543)&lt;15,ISNUMBER(MATCH(AZ543,L_Placeholder,0)))),BK543=0,CG543&gt;=8,NOT(OR(LEN(AU543)&lt;2,ISNUMBER(MATCH(AU543,L_Placeholder,0)))),BR543&gt;=3,NOT(OR(LEN(AX543)&lt;2,ISNUMBER(MATCH(AX543,L_Placeholder,0)))),BS543&gt;=3,TRIM(AE543)&lt;&gt;TRIM(T543),AX543&lt;&gt;AU543,CE543=0),"N/A – JUSTIFIED","INVALID – N/A needs a real, settled reason (not 'not applicable' / 'as above' / TBC), a named PIC and a different named verifier"))),IF(OR(TRIM(U543)="Pass",TRIM(U543)="Pass after CA"),IF(NOT(ISNUMBER(AD543)),"INVALID – completion time missing",IF(OR(OR(LEN(AU543)&lt;2,ISNUMBER(MATCH(AU543,L_Placeholder,0))),BR543&lt;3),"INVALID – PIC missing or not a named person (a role such as QA / CSM is not a name)",IF(OR(LEN(AV543)&lt;2,ISNUMBER(MATCH(AV543,L_Placeholder,0))),"INVALID – result / assessment missing",IF(OR(OR(LEN(AW543)&lt;3,ISNUMBER(MATCH(AW543,L_Placeholder,0))),SUMPRODUCT(--ISNUMBER(SEARCH(" "&amp;L_EvidencePhrase&amp;" ",BD543)))&gt;0,BI543=1),"INVALID – evidence missing, placeholder or not yet on file",IF(ISNA(MATCH(TRIM(S543),L_EvidenceType,0)),"INVALID – choose the evidence type from the list (column S)",IF(BL543=0,"INVALID – evidence ID must be the record's own ID only (e.g. SF-2210, IMG_2231, 1045521); a link / file name needs type 'Link / file path'",IF(OR(OR(LEN(AX543)&lt;2,ISNUMBER(MATCH(AX543,L_Placeholder,0))),BS543&lt;3),"INVALID – verifier missing or not a named person (a role such as QA / CSM is not a name)",IF(OR(AX543=AU543,CE543=1,AND(LEN(AU543)&gt;=4,ISNUMBER(SEARCH(AU543,AX543))),AND(LEN(AX543)&gt;=4,ISNUMBER(SEARCH(AX543,AU543)))),"INVALID – verifier must be a different, named person (not the PIC or a role)",IF(BH543=1,"INVALID – result not yet available (awaiting / TBC)",IF(BG543=1,"INVALID – result describes a problem: record Fail, then Pass after CA (or reword if it is not a problem)",IF(BV543=1,"INVALID – wording says not on board: an on-board confirmation needs the item loaded",IF(AND(AQ543=1,OR(OR(LEN(AY543)&lt;3,ISNUMBER(MATCH(AY543,L_Placeholder,0))),BJ543=1,BQ543=0)),"INVALID – batch ID missing, placeholder or not an ID (e.g. PASB-261008-BC-017)",IF(AND(AR543=1,OR(NOT(ISNUMBER(X543)),NOT(ISNUMBER(Y543)))),"INVALID – expected/actual qty missing",IF(AND(AR543=1,OR(X543&lt;=0,Y543&lt;0)),"INVALID – expected qty must be above 0 and actual not negative",IF(BB543&lt;&gt;"",BB543,IF(AND(AS543=1,Documents!$J$21&lt;&gt;"ON FILE"),"INVALID – GLD not on file (Documents sheet)",IF(AND(AS543=2,Documents!$O$21&lt;&gt;"ON FILE"),"INVALID – menu checklist not on file (Documents sheet)",IF(AND(AS543=3,NOT(ISNUMBER(Flights!$AX$21))),"INVALID – enter carrying flight KUL departure (Flights AX)",IF(AND(AS543=3,OR(Flights!$AZ$21&gt;Flights!$AA$21,Flights!$AX$21&lt;Flights!$AA$21-3)),"INVALID – carrying flight (Flights AX) cannot arrive before this leg's STD, or is over 3 days early",IF(AG543&gt;AsOfUTC,"INVALID – completion time is in the future",IF(AND(ISNUMBER(BY543),AG543&lt;BY543),IF(H543="Physical uplift","INVALID – before uplift window (cannot confirm loading)","INVALID – before valid window"),IF(AG543&gt;Flights!$AA$21,"INVALID – completed after departure (cannot establish readiness)",IF(AND(H543="Preparation",AG543&gt;=IF(ISNUMBER(Flights!$BA$21),MIN(Flights!$BA$21,Flights!$AA$21),Flights!$AA$21)),"INVALID – completed after loading / departure (cannot establish readiness)",IF(AND(H543="Physical uplift",AG543&gt;Q543),"INVALID – recorded after the loading flight departed",IF(AG543&gt;Q543,"COMPLETE – LATE","COMPLETE"))))))))))))))))))))))))),IF(TRIM(U543)="Fail","FAIL – DISCREPANCY",IF(AND(TRIM(U543)&lt;&gt;"",TRIM(U543)&lt;&gt;"Not started",TRIM(U543)&lt;&gt;"In progress"),"INVALID – unrecognised status (use the list)",IF(AsOfUTC&gt;Q543,"OVERDUE",IF(N543="Clarification required","OPEN – CLARIFICATION","OPEN"))))))),"INVALID – error value in an input cell")</f>
        <v>OPEN</v>
      </c>
      <c r="AI543" s="61" t="n">
        <f aca="false">IF(OR(AH543="N/A – RULE",AH543="N/A – JUSTIFIED"),0,1)</f>
        <v>1</v>
      </c>
      <c r="AJ543" s="61" t="n">
        <f aca="false">IF(LEFT(AH543,8)="COMPLETE",1,0)</f>
        <v>0</v>
      </c>
      <c r="AK543" s="61" t="n">
        <f aca="false">IF(AND(AI543=1,AJ543=0,AsOfUTC&gt;Q543),1,0)</f>
        <v>0</v>
      </c>
      <c r="AL543" s="61" t="n">
        <f aca="false">IFERROR(IF(AND(AI543=1,OR(TRIM(U543)="Fail",AND(TRIM(AB543)&lt;&gt;"",TRIM(AB543)&lt;&gt;"Closed"),AND(ISNUMBER(AF543),AF543&lt;&gt;0,TRIM(U543)&lt;&gt;"Pass after CA"))),1,0),1)</f>
        <v>0</v>
      </c>
      <c r="AM543" s="61" t="n">
        <f aca="false">IF(LEFT(AH543,7)="INVALID",1,0)</f>
        <v>0</v>
      </c>
      <c r="AN543" s="61" t="n">
        <f aca="false">IF(AND(N543="Clarification required",AI543=1,AJ543=0),1,0)</f>
        <v>0</v>
      </c>
      <c r="AO543" s="61" t="str">
        <f aca="false">IF(AK543=1,SUM(AK$5:AK543),"")</f>
        <v/>
      </c>
      <c r="AP543" s="61" t="str">
        <f aca="false">IF(AL543=1,SUM(AL$5:AL543),"")</f>
        <v/>
      </c>
      <c r="AQ543" s="61" t="n">
        <v>0</v>
      </c>
      <c r="AR543" s="61" t="n">
        <v>1</v>
      </c>
      <c r="AS543" s="61" t="n">
        <v>0</v>
      </c>
      <c r="AT543" s="61" t="n">
        <v>0</v>
      </c>
      <c r="AU543" s="61" t="str">
        <f aca="false">SUBSTITUTE(SUBSTITUTE(SUBSTITUTE(SUBSTITUTE(SUBSTITUTE(SUBSTITUTE(SUBSTITUTE(SUBSTITUTE(SUBSTITUTE(SUBSTITUTE(SUBSTITUTE(SUBSTITUTE(SUBSTITUTE(SUBSTITUTE(SUBSTITUTE(SUBSTITUTE(LOWER(T543&amp;""),CHAR(10),""),CHAR(13),""),CHAR(9),""),CHAR(160),"")," ",""),".",""),"-",""),"/",""),"?",""),"_",""),",",""),"[",""),"]",""),"(",""),")",""),"*","")</f>
        <v/>
      </c>
      <c r="AV543" s="61" t="str">
        <f aca="false">SUBSTITUTE(SUBSTITUTE(SUBSTITUTE(SUBSTITUTE(SUBSTITUTE(SUBSTITUTE(SUBSTITUTE(SUBSTITUTE(SUBSTITUTE(SUBSTITUTE(SUBSTITUTE(SUBSTITUTE(SUBSTITUTE(SUBSTITUTE(SUBSTITUTE(SUBSTITUTE(LOWER(V543&amp;""),CHAR(10),""),CHAR(13),""),CHAR(9),""),CHAR(160),"")," ",""),".",""),"-",""),"/",""),"?",""),"_",""),",",""),"[",""),"]",""),"(",""),")",""),"*","")</f>
        <v/>
      </c>
      <c r="AW543" s="61" t="str">
        <f aca="false">SUBSTITUTE(SUBSTITUTE(SUBSTITUTE(SUBSTITUTE(SUBSTITUTE(SUBSTITUTE(SUBSTITUTE(SUBSTITUTE(SUBSTITUTE(SUBSTITUTE(SUBSTITUTE(SUBSTITUTE(SUBSTITUTE(SUBSTITUTE(SUBSTITUTE(SUBSTITUTE(LOWER(Z543&amp;""),CHAR(10),""),CHAR(13),""),CHAR(9),""),CHAR(160),"")," ",""),".",""),"-",""),"/",""),"?",""),"_",""),",",""),"[",""),"]",""),"(",""),")",""),"*","")</f>
        <v/>
      </c>
      <c r="AX543" s="61" t="str">
        <f aca="false">SUBSTITUTE(SUBSTITUTE(SUBSTITUTE(SUBSTITUTE(SUBSTITUTE(SUBSTITUTE(SUBSTITUTE(SUBSTITUTE(SUBSTITUTE(SUBSTITUTE(SUBSTITUTE(SUBSTITUTE(SUBSTITUTE(SUBSTITUTE(SUBSTITUTE(SUBSTITUTE(LOWER(AE543&amp;""),CHAR(10),""),CHAR(13),""),CHAR(9),""),CHAR(160),"")," ",""),".",""),"-",""),"/",""),"?",""),"_",""),",",""),"[",""),"]",""),"(",""),")",""),"*","")</f>
        <v/>
      </c>
      <c r="AY543" s="61" t="str">
        <f aca="false">SUBSTITUTE(SUBSTITUTE(SUBSTITUTE(SUBSTITUTE(SUBSTITUTE(SUBSTITUTE(SUBSTITUTE(SUBSTITUTE(SUBSTITUTE(SUBSTITUTE(SUBSTITUTE(SUBSTITUTE(SUBSTITUTE(SUBSTITUTE(SUBSTITUTE(SUBSTITUTE(LOWER(W543&amp;""),CHAR(10),""),CHAR(13),""),CHAR(9),""),CHAR(160),"")," ",""),".",""),"-",""),"/",""),"?",""),"_",""),",",""),"[",""),"]",""),"(",""),")",""),"*","")</f>
        <v/>
      </c>
      <c r="AZ543" s="61" t="str">
        <f aca="false">SUBSTITUTE(SUBSTITUTE(SUBSTITUTE(SUBSTITUTE(SUBSTITUTE(SUBSTITUTE(SUBSTITUTE(SUBSTITUTE(SUBSTITUTE(SUBSTITUTE(SUBSTITUTE(SUBSTITUTE(SUBSTITUTE(SUBSTITUTE(SUBSTITUTE(SUBSTITUTE(LOWER(AC543&amp;""),CHAR(10),""),CHAR(13),""),CHAR(9),""),CHAR(160),"")," ",""),".",""),"-",""),"/",""),"?",""),"_",""),",",""),"[",""),"]",""),"(",""),")",""),"*","")</f>
        <v/>
      </c>
      <c r="BA543" s="61" t="str">
        <f aca="false">SUBSTITUTE(SUBSTITUTE(SUBSTITUTE(SUBSTITUTE(SUBSTITUTE(SUBSTITUTE(SUBSTITUTE(SUBSTITUTE(SUBSTITUTE(SUBSTITUTE(SUBSTITUTE(SUBSTITUTE(SUBSTITUTE(SUBSTITUTE(SUBSTITUTE(SUBSTITUTE(LOWER(AA543&amp;""),CHAR(10),""),CHAR(13),""),CHAR(9),""),CHAR(160),"")," ",""),".",""),"-",""),"/",""),"?",""),"_",""),",",""),"[",""),"]",""),"(",""),")",""),"*","")</f>
        <v/>
      </c>
      <c r="BB543" s="61" t="str">
        <f aca="false">IF(AND(TRIM(U543)="Pass",ISNUMBER(AF543)),IF(AF543&lt;&gt;0,"INVALID – qty variance: use Fail or Pass after CA",""),"")&amp;IF(AND(TRIM(U543)="Pass after CA",ISNUMBER(AF543)),IF(AF543&lt;&gt;0,"INVALID – after the corrective action the actual qty must equal expected (update Actual)",""),"")&amp;IF(AND(TRIM(U543)="Pass",TRIM(AB543)&lt;&gt;"",TRIM(AB543)&lt;&gt;"Closed"),"INVALID – corrective action not closed: use Fail, then Pass after CA","")&amp;IF(AND(LEN(BA543)&gt;=2,ISNA(MATCH(LEFT(BA543,255),L_Placeholder,0)),TRIM(AB543)=""),"INVALID – CA status missing for the recorded corrective action","")&amp;IF(AND(TRIM(U543)="Pass after CA",OR(OR(LEN(BA543)&lt;5,ISNUMBER(MATCH(BA543,L_Placeholder,0))),TRIM(AB543)&lt;&gt;"Closed")),"INVALID – corrective action not recorded/closed","")</f>
        <v/>
      </c>
      <c r="BC543" s="61" t="str">
        <f aca="false">" "&amp;TRIM(SUBSTITUTE(SUBSTITUTE(SUBSTITUTE(SUBSTITUTE(SUBSTITUTE(SUBSTITUTE(SUBSTITUTE(SUBSTITUTE(SUBSTITUTE(SUBSTITUTE(SUBSTITUTE(SUBSTITUTE(SUBSTITUTE(SUBSTITUTE(SUBSTITUTE(SUBSTITUTE(SUBSTITUTE(SUBSTITUTE(SUBSTITUTE(SUBSTITUTE(SUBSTITUTE(SUBSTITUTE(SUBSTITUTE(SUBSTITUTE(LOWER(V543&amp;""),CHAR(10)," "),CHAR(13)," "),CHAR(9)," "),CHAR(160)," "),"."," "),","," "),"-"," "),"/"," "),"("," "),")"," "),":"," "),";"," "),"_"," "),"–"," "),"?"," "),"!"," "),"*"," "),"["," "),"]"," "),"'"," "),"#"," "),"+"," "),"&amp;"," "),"\"," "))&amp;" "</f>
        <v>  </v>
      </c>
      <c r="BD543" s="61" t="str">
        <f aca="false">" "&amp;TRIM(SUBSTITUTE(SUBSTITUTE(SUBSTITUTE(SUBSTITUTE(SUBSTITUTE(SUBSTITUTE(SUBSTITUTE(SUBSTITUTE(SUBSTITUTE(SUBSTITUTE(SUBSTITUTE(SUBSTITUTE(SUBSTITUTE(SUBSTITUTE(SUBSTITUTE(SUBSTITUTE(SUBSTITUTE(SUBSTITUTE(SUBSTITUTE(SUBSTITUTE(SUBSTITUTE(SUBSTITUTE(SUBSTITUTE(SUBSTITUTE(LOWER(Z543&amp;""),CHAR(10)," "),CHAR(13)," "),CHAR(9)," "),CHAR(160)," "),"."," "),","," "),"-"," "),"/"," "),"("," "),")"," "),":"," "),";"," "),"_"," "),"–"," "),"?"," "),"!"," "),"*"," "),"["," "),"]"," "),"'"," "),"#"," "),"+"," "),"&amp;"," "),"\"," "))&amp;" "</f>
        <v>  </v>
      </c>
      <c r="BE543" s="61" t="str">
        <f aca="false">" "&amp;TRIM(SUBSTITUTE(SUBSTITUTE(SUBSTITUTE(SUBSTITUTE(SUBSTITUTE(SUBSTITUTE(SUBSTITUTE(SUBSTITUTE(SUBSTITUTE(SUBSTITUTE(SUBSTITUTE(SUBSTITUTE(SUBSTITUTE(SUBSTITUTE(SUBSTITUTE(SUBSTITUTE(SUBSTITUTE(SUBSTITUTE(SUBSTITUTE(SUBSTITUTE(SUBSTITUTE(SUBSTITUTE(SUBSTITUTE(SUBSTITUTE(LOWER(W543&amp;""),CHAR(10)," "),CHAR(13)," "),CHAR(9)," "),CHAR(160)," "),"."," "),","," "),"-"," "),"/"," "),"("," "),")"," "),":"," "),";"," "),"_"," "),"–"," "),"?"," "),"!"," "),"*"," "),"["," "),"]"," "),"'"," "),"#"," "),"+"," "),"&amp;"," "),"\"," "))&amp;" "</f>
        <v>  </v>
      </c>
      <c r="BF543" s="61" t="str">
        <f aca="false">" "&amp;TRIM(SUBSTITUTE(SUBSTITUTE(SUBSTITUTE(SUBSTITUTE(SUBSTITUTE(SUBSTITUTE(SUBSTITUTE(SUBSTITUTE(SUBSTITUTE(SUBSTITUTE(SUBSTITUTE(SUBSTITUTE(SUBSTITUTE(SUBSTITUTE(SUBSTITUTE(SUBSTITUTE(SUBSTITUTE(SUBSTITUTE(SUBSTITUTE(SUBSTITUTE(SUBSTITUTE(SUBSTITUTE(SUBSTITUTE(SUBSTITUTE(LOWER(AC543&amp;""),CHAR(10)," "),CHAR(13)," "),CHAR(9)," "),CHAR(160)," "),"."," "),","," "),"-"," "),"/"," "),"("," "),")"," "),":"," "),";"," "),"_"," "),"–"," "),"?"," "),"!"," "),"*"," "),"["," "),"]"," "),"'"," "),"#"," "),"+"," "),"&amp;"," "),"\"," "))&amp;" "</f>
        <v>  </v>
      </c>
      <c r="BG543" s="61" t="n">
        <f aca="false">IFERROR(IF(AND(TRIM(U543)="Pass",SUMPRODUCT((LEN(BC543)-LEN(SUBSTITUTE(BC543," "&amp;L_ResultBad&amp;" "," ")))/(LEN(L_ResultBad)+1))&gt;SUMPRODUCT((LEN(BC543)-LEN(SUBSTITUTE(BC543," "&amp;L_NegPhrase&amp;" "," ")))/(LEN(L_NegPhrase)+1))),1,0),0)</f>
        <v>0</v>
      </c>
      <c r="BH543" s="61" t="n">
        <f aca="false">IFERROR(IF(SUMPRODUCT((LEN(BC543)-LEN(SUBSTITUTE(BC543," "&amp;L_Pending&amp;" "," ")))/(LEN(L_Pending)+1))&gt;SUMPRODUCT((LEN(BC543)-LEN(SUBSTITUTE(BC543," "&amp;L_PendNeg&amp;" "," ")))/(LEN(L_PendNeg)+1))+SUMPRODUCT((LEN(BC543)-LEN(SUBSTITUTE(BC543," "&amp;L_PendPrep&amp;" "," ")))/(LEN(L_PendPrep)+1)),1,0),1)</f>
        <v>0</v>
      </c>
      <c r="BI543" s="61" t="n">
        <f aca="false">IFERROR(IF(SUMPRODUCT((LEN(BD543)-LEN(SUBSTITUTE(BD543," "&amp;L_PendStrict&amp;" "," ")))/(LEN(L_PendStrict)+1))&gt;SUMPRODUCT((LEN(BD543)-LEN(SUBSTITUTE(BD543," "&amp;L_PendNeg&amp;" "," ")))/(LEN(L_PendNeg)+1)),1,0),1)</f>
        <v>0</v>
      </c>
      <c r="BJ543" s="61" t="n">
        <f aca="false">IFERROR(IF(SUMPRODUCT((LEN(BE543)-LEN(SUBSTITUTE(BE543," "&amp;L_Pending&amp;" "," ")))/(LEN(L_Pending)+1))&gt;SUMPRODUCT((LEN(BE543)-LEN(SUBSTITUTE(BE543," "&amp;L_PendNeg&amp;" "," ")))/(LEN(L_PendNeg)+1))+SUMPRODUCT((LEN(BE543)-LEN(SUBSTITUTE(BE543," "&amp;L_PendPrep&amp;" "," ")))/(LEN(L_PendPrep)+1)),1,0),1)</f>
        <v>0</v>
      </c>
      <c r="BK543" s="61" t="n">
        <f aca="false">IFERROR(IF(SUMPRODUCT((LEN(BF543)-LEN(SUBSTITUTE(BF543," "&amp;L_PendStrict&amp;" "," ")))/(LEN(L_PendStrict)+1))&gt;SUMPRODUCT((LEN(BF543)-LEN(SUBSTITUTE(BF543," "&amp;L_PendNeg&amp;" "," ")))/(LEN(L_PendNeg)+1)),1,0),1)</f>
        <v>0</v>
      </c>
      <c r="BL543" s="61" t="n">
        <f aca="false">IF(ISNA(MATCH(TRIM(S543),L_EvidenceType,0)),0,BZ543)</f>
        <v>0</v>
      </c>
      <c r="BM543" s="61" t="str">
        <f aca="false">SUBSTITUTE(SUBSTITUTE(SUBSTITUTE(SUBSTITUTE(SUBSTITUTE(SUBSTITUTE(SUBSTITUTE(SUBSTITUTE(SUBSTITUTE(LOWER(Z543&amp;""),"1","0"),"2","0"),"3","0"),"4","0"),"5","0"),"6","0"),"7","0"),"8","0"),"9","0")</f>
        <v/>
      </c>
      <c r="BN543" s="61" t="str">
        <f aca="false">SUBSTITUTE(SUBSTITUTE(SUBSTITUTE(SUBSTITUTE(SUBSTITUTE(SUBSTITUTE(SUBSTITUTE(SUBSTITUTE(SUBSTITUTE(SUBSTITUTE(SUBSTITUTE(SUBSTITUTE(SUBSTITUTE(SUBSTITUTE(SUBSTITUTE(SUBSTITUTE(SUBSTITUTE(SUBSTITUTE(SUBSTITUTE(SUBSTITUTE(SUBSTITUTE(SUBSTITUTE(SUBSTITUTE(SUBSTITUTE(SUBSTITUTE(BM543,"b","a"),"c","a"),"d","a"),"e","a"),"f","a"),"g","a"),"h","a"),"i","a"),"j","a"),"k","a"),"l","a"),"m","a"),"n","a"),"o","a"),"p","a"),"q","a"),"r","a"),"s","a"),"t","a"),"u","a"),"v","a"),"w","a"),"x","a"),"y","a"),"z","a")</f>
        <v/>
      </c>
      <c r="BO543" s="61" t="str">
        <f aca="false">SUBSTITUTE(SUBSTITUTE(SUBSTITUTE(SUBSTITUTE(SUBSTITUTE(SUBSTITUTE(SUBSTITUTE(SUBSTITUTE(SUBSTITUTE(LOWER(W543&amp;""),"1","0"),"2","0"),"3","0"),"4","0"),"5","0"),"6","0"),"7","0"),"8","0"),"9","0")</f>
        <v/>
      </c>
      <c r="BP543" s="61" t="str">
        <f aca="false">SUBSTITUTE(SUBSTITUTE(SUBSTITUTE(SUBSTITUTE(SUBSTITUTE(SUBSTITUTE(SUBSTITUTE(SUBSTITUTE(SUBSTITUTE(SUBSTITUTE(SUBSTITUTE(SUBSTITUTE(SUBSTITUTE(SUBSTITUTE(SUBSTITUTE(SUBSTITUTE(SUBSTITUTE(SUBSTITUTE(SUBSTITUTE(SUBSTITUTE(SUBSTITUTE(SUBSTITUTE(SUBSTITUTE(SUBSTITUTE(SUBSTITUTE(BO543,"b","a"),"c","a"),"d","a"),"e","a"),"f","a"),"g","a"),"h","a"),"i","a"),"j","a"),"k","a"),"l","a"),"m","a"),"n","a"),"o","a"),"p","a"),"q","a"),"r","a"),"s","a"),"t","a"),"u","a"),"v","a"),"w","a"),"x","a"),"y","a"),"z","a")</f>
        <v/>
      </c>
      <c r="BQ543" s="61" t="n">
        <f aca="false">IFERROR(IF(AND(ISERROR(SEARCH(" mh"," "&amp;LOWER(W543))),ISNA(MATCH(LEFT(TRIM(BP543),255),{"0000a","000a","00a","0000aa","000aa","00aa","0aa","0000aaa","000aaa","00a00","0a00","0000-0000","00:00","a00","a0","00.00.0000","00/00/0000","00-00-0000","0000-00-00","0000/00/00","0000.00.00","00.00.00","00/00/00","00-00-00","0.00.0000","0/00/0000","0-00-0000"},0)),ISNA(MATCH(LEFT(TRIM(CA543),255),{"0000a","000a","00a","0000aa","000aa","00aa","0aa","0000aaa","000aaa","00a00","0a00","0000-0000","00:00","a00","a0","00.00.0000","00/00/0000","00-00-0000","0000-00-00","0000/00/00","0000.00.00","00.00.00","00/00/00","00-00-00","0.00.0000","0/00/0000","0-00-0000"},0)),LEN(CB543)&gt;=3,NOT(OR(SUBSTITUTE(CB543,"0","")="",AND(LEN(CB543)&gt;=4,CB543=REPT(LEFT(CB543),LEN(CB543))),ISNUMBER(MATCH(CB543,{"123","1234","12345","123456","1234567","12345678","0123","01234","012345","98765","987654","54321"},0)),AND(LEN(CB543)=8,LEFT(CB543,3)="202"))),OR(AND((LEN(CA543)-LEN(SUBSTITUTE(CA543,"a","")))&gt;=1,SUMPRODUCT(--ISNUMBER(SEARCH({"a0","a-0","a_0","a/0","a.0","a#0","0a","0-a","0_a","0/a"},BP543)))&gt;0),ISNUMBER(SEARCH("000000",BP543)))),1,0),0)</f>
        <v>0</v>
      </c>
      <c r="BR543" s="61" t="n">
        <f aca="false">IFERROR(LEN(SUBSTITUTE(CC543," ",""))-SUMPRODUCT((LEN(CC543)-LEN(SUBSTITUTE(CC543," "&amp;L_Role&amp;" "," ")))/(LEN(L_Role)+1)*LEN(L_Role)),0)</f>
        <v>0</v>
      </c>
      <c r="BS543" s="61" t="n">
        <f aca="false">IFERROR(LEN(SUBSTITUTE(CD543," ",""))-SUMPRODUCT((LEN(CD543)-LEN(SUBSTITUTE(CD543," "&amp;L_Role&amp;" "," ")))/(LEN(L_Role)+1)*LEN(L_Role)),0)</f>
        <v>0</v>
      </c>
      <c r="BT5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543,"revision",""),"version",""),"jan",""),"feb",""),"mar",""),"apr",""),"may",""),"jun",""),"jul",""),"aug",""),"sep",""),"oct",""),"nov",""),"dec",""),"utc",""),"gmt",""),"myt",""),"bst",""),"rev",""),"ver",""),"b","a"),"c","a"),"d","a"),"e","a"),"f","a"),"g","a"),"h","a"),"i","a"),"j","a"),"k","a"),"l","a"),"m","a"),"n","a"),"o","a"),"p","a"),"q","a"),"r","a"),"s","a"),"t","a"),"u","a"),"v","a"),"w","a"),"x","a"),"y","a"),"z","a")</f>
        <v/>
      </c>
      <c r="BU543" s="61" t="str">
        <f aca="false">SUBSTITUTE(SUBSTITUTE(SUBSTITUTE(SUBSTITUTE(SUBSTITUTE(SUBSTITUTE(SUBSTITUTE(SUBSTITUTE(SUBSTITUTE(SUBSTITUTE(LEFT(BM543,FIND("0",BM543&amp;"0")-1),"-",""),"_",""),"/",""),".",""),"#",""),"\\",""),":","")," ",""),"(",""),")","")</f>
        <v/>
      </c>
      <c r="BV543" s="61" t="n">
        <f aca="false">0</f>
        <v>0</v>
      </c>
      <c r="BW5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543&amp;""),"a",""),"b",""),"c",""),"d",""),"e",""),"f",""),"g",""),"h",""),"i",""),"j",""),"k",""),"l",""),"m",""),"n",""),"o",""),"p",""),"q",""),"r",""),"s",""),"t",""),"u",""),"v",""),"w",""),"x",""),"y",""),"z",""),"-",""),"_",""),"/",""),".",""),"#",""),"\\",""),":","")," ",""),"(",""),")","")</f>
        <v/>
      </c>
      <c r="BX543" s="61" t="str">
        <f aca="false">SUBSTITUTE(SUBSTITUTE(SUBSTITUTE(SUBSTITUTE(SUBSTITUTE(SUBSTITUTE(SUBSTITUTE(SUBSTITUTE(SUBSTITUTE(SUBSTITUTE(SUBSTITUTE(BM543,"0",""),"-",""),"_",""),"/",""),".",""),"#",""),"\\",""),":","")," ",""),"(",""),")","")</f>
        <v/>
      </c>
      <c r="BY543" s="62" t="n">
        <f aca="false">Q543-T12EarlyH/24</f>
        <v>46321.2847222222</v>
      </c>
      <c r="BZ543" s="61" t="n">
        <f aca="false">IFERROR(IF(IF(TRIM(S543)="Link / file path",AND(LEN(TRIM(Z543))&gt;=5,SUMPRODUCT(--ISNUMBER(SEARCH({"http","www.","\\",":\",".pdf",".jpg",".jpeg",".png",".heic",".xls",".doc",".msg",".eml",".ppt",".txt",".zip"},Z543)))&gt;0),AND(ISERROR(FIND(" ",TRIM(Z543))),NOT(OR(SUMPRODUCT(--ISNUMBER(FIND({",",";","&amp;","+"},Z543)))&gt;0,SUMPRODUCT(--ISNUMBER(SEARCH({"0/aa","0\\aa"},BN543)))&gt;0)),NOT(SUMPRODUCT(--ISNUMBER(SEARCH({"http","www.","\\",":\",".pdf",".jpg",".jpeg",".png",".heic",".xls",".doc",".msg",".eml",".ppt",".txt",".zip"},Z543)))&gt;0),NOT(LOWER(TRIM(Z543))=LOWER(Flights!$F$21)),ISNA(MATCH(BU543,{"mh","rev","revision","ver","version","v","r","a","b","seat","tray","row","gate","bay","stand","page","pg","item","line","no","cart","galley","flight","flt","table","box","bag","oven","etd","eta","std","sta","atd","ata","qty","pax","x","time","tel","ph","mob","day","wk","week","utc","gmt","myt","lt"},0)),NOT(OR(ISNUMBER(MATCH(LEFT(BN543,255),{"0000a","000a","00a","0000aa","000aa","00aa","0aa","0000aaa","000aaa","00a00","0a00","0000-0000","00:00","a00","a0","00.00.0000","00/00/0000","00-00-0000","0000-00-00","0000/00/00","0000.00.00","00.00.00","00/00/00","00-00-00","0.00.0000","0/00/0000","0-00-0000"},0)),ISNUMBER(MATCH(LEFT(BT543,255),{"0000a","000a","00a","0000aa","000aa","00aa","0aa","0000aaa","000aaa","00a00","0a00","0000-0000","00:00","a00","a0","00.00.0000","00/00/0000","00-00-0000","0000-00-00","0000/00/00","0000.00.00","00.00.00","00/00/00","00-00-00","0.00.0000","0/00/0000","0-00-0000"},0)))),NOT(OR(AND(BW543&lt;&gt;"",SUBSTITUTE(BW543,"0","")=""),AND(LEN(BW543)&gt;=4,BW543=REPT(LEFT(BW543),LEN(BW543))),ISNUMBER(MATCH(BW543,{"123","1234","12345","123456","1234567","12345678","0123","01234","012345","98765","987654","54321"},0)),ISNUMBER(MATCH(BX543,{"x","xx","xxx","xxxx","xxxxx","abc","abcd","nil","na","nan","test","tbc","tba","tbd","dummy","sample","example","eg","zz","zzz","none","null","xyz","qwe","asd","id","ref"},0)),AND(LEN(BW543)=8,BX543="",OR(LEFT(BW543,3)="202",ISNUMBER(MATCH(RIGHT(BW543,4),{"2025","2026","2027"},0)))))),OR(AND((LEN(BT543)-LEN(SUBSTITUTE(BT543,"a","")))&gt;=1,(LEN(BN543)-LEN(SUBSTITUTE(BN543,"0","")))&gt;=2,SUMPRODUCT(--ISNUMBER(SEARCH({"a0","a-0","a_0","a/0","a.0","a#0","0a","0-a","0_a","0/a"},BN543)))&gt;0),AND((LEN(BN543)-LEN(SUBSTITUTE(BN543,"a","")))=0,(LEN(BN543)-LEN(SUBSTITUTE(BN543,"0","")))&gt;=5)))),1,0),0)</f>
        <v>0</v>
      </c>
      <c r="CA5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543,"revision",""),"version",""),"jan",""),"feb",""),"mar",""),"apr",""),"may",""),"jun",""),"jul",""),"aug",""),"sep",""),"oct",""),"nov",""),"dec",""),"utc",""),"gmt",""),"myt",""),"bst",""),"rev",""),"ver",""),"b","a"),"c","a"),"d","a"),"e","a"),"f","a"),"g","a"),"h","a"),"i","a"),"j","a"),"k","a"),"l","a"),"m","a"),"n","a"),"o","a"),"p","a"),"q","a"),"r","a"),"s","a"),"t","a"),"u","a"),"v","a"),"w","a"),"x","a"),"y","a"),"z","a")</f>
        <v/>
      </c>
      <c r="CB5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543&amp;""),"a",""),"b",""),"c",""),"d",""),"e",""),"f",""),"g",""),"h",""),"i",""),"j",""),"k",""),"l",""),"m",""),"n",""),"o",""),"p",""),"q",""),"r",""),"s",""),"t",""),"u",""),"v",""),"w",""),"x",""),"y",""),"z",""),"-",""),"_",""),"/",""),".",""),"#",""),"\\",""),":","")," ",""),"(",""),")","")</f>
        <v/>
      </c>
      <c r="CC543" s="0" t="str">
        <f aca="false">" "&amp;TRIM(SUBSTITUTE(SUBSTITUTE(SUBSTITUTE(SUBSTITUTE(SUBSTITUTE(SUBSTITUTE(SUBSTITUTE(SUBSTITUTE(SUBSTITUTE(SUBSTITUTE(SUBSTITUTE(SUBSTITUTE(SUBSTITUTE(SUBSTITUTE(SUBSTITUTE(SUBSTITUTE(SUBSTITUTE(SUBSTITUTE(SUBSTITUTE(SUBSTITUTE(SUBSTITUTE(SUBSTITUTE(SUBSTITUTE(SUBSTITUTE(LOWER(T543&amp;""),CHAR(10)," "),CHAR(13)," "),CHAR(9)," "),CHAR(160)," "),"."," "),","," "),"-"," "),"/"," "),"("," "),")"," "),":"," "),";"," "),"_"," "),"–"," "),"?"," "),"!"," "),"*"," "),"["," "),"]"," "),"'"," "),"#"," "),"+"," "),"&amp;"," "),"\"," "))&amp;" "</f>
        <v>  </v>
      </c>
      <c r="CD543" s="0" t="str">
        <f aca="false">" "&amp;TRIM(SUBSTITUTE(SUBSTITUTE(SUBSTITUTE(SUBSTITUTE(SUBSTITUTE(SUBSTITUTE(SUBSTITUTE(SUBSTITUTE(SUBSTITUTE(SUBSTITUTE(SUBSTITUTE(SUBSTITUTE(SUBSTITUTE(SUBSTITUTE(SUBSTITUTE(SUBSTITUTE(SUBSTITUTE(SUBSTITUTE(SUBSTITUTE(SUBSTITUTE(SUBSTITUTE(SUBSTITUTE(SUBSTITUTE(SUBSTITUTE(LOWER(AE543&amp;""),CHAR(10)," "),CHAR(13)," "),CHAR(9)," "),CHAR(160)," "),"."," "),","," "),"-"," "),"/"," "),"("," "),")"," "),":"," "),";"," "),"_"," "),"–"," "),"?"," "),"!"," "),"*"," "),"["," "),"]"," "),"'"," "),"#"," "),"+"," "),"&amp;"," "),"\"," "))&amp;" "</f>
        <v>  </v>
      </c>
      <c r="CE543" s="68" t="n">
        <f aca="false">IFERROR(IF(AND(LEN(AU543)&gt;0,LEN(AU543)=LEN(AX543),OR(TRIM(MID(SUBSTITUTE(TRIM(CC543)," ",REPT(" ",60)),1,60))="",ISNUMBER(SEARCH(" "&amp;TRIM(MID(SUBSTITUTE(TRIM(CC543)," ",REPT(" ",60)),1,60))&amp;" ",CD543))),OR(TRIM(MID(SUBSTITUTE(TRIM(CC543)," ",REPT(" ",60)),61,60))="",ISNUMBER(SEARCH(" "&amp;TRIM(MID(SUBSTITUTE(TRIM(CC543)," ",REPT(" ",60)),61,60))&amp;" ",CD543))),OR(TRIM(MID(SUBSTITUTE(TRIM(CC543)," ",REPT(" ",60)),121,60))="",ISNUMBER(SEARCH(" "&amp;TRIM(MID(SUBSTITUTE(TRIM(CC543)," ",REPT(" ",60)),121,60))&amp;" ",CD543)))),1,0),0)</f>
        <v>0</v>
      </c>
      <c r="CG543" s="68" t="n">
        <f aca="false">IFERROR(LEN(SUBSTITUTE(BF543," ",""))-SUMPRODUCT((LEN(BF543)-LEN(SUBSTITUTE(BF543," "&amp;L_NAFiller&amp;" "," ")))/(LEN(L_NAFiller)+1)*LEN(L_NAFiller)),0)</f>
        <v>0</v>
      </c>
    </row>
    <row r="544" customFormat="false" ht="39.75" hidden="false" customHeight="true" outlineLevel="0" collapsed="false">
      <c r="A544" s="57" t="s">
        <v>1215</v>
      </c>
      <c r="B544" s="57" t="s">
        <v>290</v>
      </c>
      <c r="C544" s="57" t="str">
        <f aca="false">Flights!$F$21</f>
        <v>MH0073</v>
      </c>
      <c r="D544" s="58" t="n">
        <f aca="false">Flights!$D$21</f>
        <v>46322</v>
      </c>
      <c r="E544" s="57" t="str">
        <f aca="false">Flights!$G$21&amp;"-"&amp;Flights!$H$21</f>
        <v>HKG-KUL</v>
      </c>
      <c r="F544" s="57" t="str">
        <f aca="false">Flights!$K$21</f>
        <v>BC</v>
      </c>
      <c r="G544" s="57" t="s">
        <v>420</v>
      </c>
      <c r="H544" s="57" t="s">
        <v>378</v>
      </c>
      <c r="I544" s="57" t="s">
        <v>428</v>
      </c>
      <c r="J544" s="57" t="s">
        <v>429</v>
      </c>
      <c r="K544" s="67"/>
      <c r="L544" s="67" t="s">
        <v>422</v>
      </c>
      <c r="M544" s="67"/>
      <c r="N544" s="67" t="s">
        <v>383</v>
      </c>
      <c r="O544" s="67" t="s">
        <v>423</v>
      </c>
      <c r="P544" s="57" t="s">
        <v>282</v>
      </c>
      <c r="Q544" s="59" t="n">
        <f aca="false">ROUND((Flights!$AE$21)*1440,0)/1440</f>
        <v>46321.7847222222</v>
      </c>
      <c r="R544" s="59" t="n">
        <f aca="false">Q544+(IF(AND(INDEX(TZ_DSTS,MATCH(P544,TZ_STN,0))&lt;&gt;"",Q544&gt;=INDEX(TZ_DSTS,MATCH(P544,TZ_STN,0)),Q544&lt;INDEX(TZ_DSTE,MATCH(P544,TZ_STN,0))),INDEX(TZ_DST,MATCH(P544,TZ_STN,0)),INDEX(TZ_STD,MATCH(P544,TZ_STN,0))))/24</f>
        <v>46322.1180555556</v>
      </c>
      <c r="S544" s="60"/>
      <c r="T544" s="60"/>
      <c r="U544" s="60"/>
      <c r="V544" s="60"/>
      <c r="W544" s="61"/>
      <c r="X544" s="60"/>
      <c r="Y544" s="60"/>
      <c r="Z544" s="60"/>
      <c r="AA544" s="60"/>
      <c r="AB544" s="60"/>
      <c r="AC544" s="60"/>
      <c r="AD544" s="66"/>
      <c r="AE544" s="60"/>
      <c r="AF544" s="61" t="str">
        <f aca="false">IF(AND(ISNUMBER(X544),ISNUMBER(Y544)),Y544-X544,"")</f>
        <v/>
      </c>
      <c r="AG544" s="62" t="str">
        <f aca="false">IF(ISNUMBER(AD544),AD544-(IF(AND(INDEX(TZ_DSTS,MATCH(P544,TZ_STN,0))&lt;&gt;"",(AD544-INDEX(TZ_STD,MATCH(P544,TZ_STN,0))/24)&gt;=INDEX(TZ_DSTS,MATCH(P544,TZ_STN,0)),(AD544-INDEX(TZ_STD,MATCH(P544,TZ_STN,0))/24)&lt;INDEX(TZ_DSTE,MATCH(P544,TZ_STN,0))),INDEX(TZ_DST,MATCH(P544,TZ_STN,0)),INDEX(TZ_STD,MATCH(P544,TZ_STN,0))))/24,"")</f>
        <v/>
      </c>
      <c r="AH544" s="65" t="str">
        <f aca="false">IFERROR(IF(N544="N/A – rule",IF(OR(TRIM(U544)="",TRIM(U544)="N/A",TRIM(U544)="Not started"),"N/A – RULE","INVALID – this check does not apply to this aircraft: clear the status (or correct the fleet on Flights)"),IF(TRIM(U544)="N/A",IF(AT544=0,"INVALID – N/A not permitted for this check",IF(AND(TRIM(AB544)&lt;&gt;"",TRIM(AB544)&lt;&gt;"Closed"),"INVALID – corrective action still open",IF(AND(NOT(OR(LEN(AZ544)&lt;15,ISNUMBER(MATCH(AZ544,L_Placeholder,0)))),BK544=0,CG544&gt;=8,NOT(OR(LEN(AU544)&lt;2,ISNUMBER(MATCH(AU544,L_Placeholder,0)))),BR544&gt;=3,NOT(OR(LEN(AX544)&lt;2,ISNUMBER(MATCH(AX544,L_Placeholder,0)))),BS544&gt;=3,TRIM(AE544)&lt;&gt;TRIM(T544),AX544&lt;&gt;AU544,CE544=0),"N/A – JUSTIFIED","INVALID – N/A needs a real, settled reason (not 'not applicable' / 'as above' / TBC), a named PIC and a different named verifier"))),IF(OR(TRIM(U544)="Pass",TRIM(U544)="Pass after CA"),IF(NOT(ISNUMBER(AD544)),"INVALID – completion time missing",IF(OR(OR(LEN(AU544)&lt;2,ISNUMBER(MATCH(AU544,L_Placeholder,0))),BR544&lt;3),"INVALID – PIC missing or not a named person (a role such as QA / CSM is not a name)",IF(OR(LEN(AV544)&lt;2,ISNUMBER(MATCH(AV544,L_Placeholder,0))),"INVALID – result / assessment missing",IF(OR(OR(LEN(AW544)&lt;3,ISNUMBER(MATCH(AW544,L_Placeholder,0))),SUMPRODUCT(--ISNUMBER(SEARCH(" "&amp;L_EvidencePhrase&amp;" ",BD544)))&gt;0,BI544=1),"INVALID – evidence missing, placeholder or not yet on file",IF(ISNA(MATCH(TRIM(S544),L_EvidenceType,0)),"INVALID – choose the evidence type from the list (column S)",IF(BL544=0,"INVALID – evidence ID must be the record's own ID only (e.g. SF-2210, IMG_2231, 1045521); a link / file name needs type 'Link / file path'",IF(OR(OR(LEN(AX544)&lt;2,ISNUMBER(MATCH(AX544,L_Placeholder,0))),BS544&lt;3),"INVALID – verifier missing or not a named person (a role such as QA / CSM is not a name)",IF(OR(AX544=AU544,CE544=1,AND(LEN(AU544)&gt;=4,ISNUMBER(SEARCH(AU544,AX544))),AND(LEN(AX544)&gt;=4,ISNUMBER(SEARCH(AX544,AU544)))),"INVALID – verifier must be a different, named person (not the PIC or a role)",IF(BH544=1,"INVALID – result not yet available (awaiting / TBC)",IF(BG544=1,"INVALID – result describes a problem: record Fail, then Pass after CA (or reword if it is not a problem)",IF(BV544=1,"INVALID – wording says not on board: an on-board confirmation needs the item loaded",IF(AND(AQ544=1,OR(OR(LEN(AY544)&lt;3,ISNUMBER(MATCH(AY544,L_Placeholder,0))),BJ544=1,BQ544=0)),"INVALID – batch ID missing, placeholder or not an ID (e.g. PASB-261008-BC-017)",IF(AND(AR544=1,OR(NOT(ISNUMBER(X544)),NOT(ISNUMBER(Y544)))),"INVALID – expected/actual qty missing",IF(AND(AR544=1,OR(X544&lt;=0,Y544&lt;0)),"INVALID – expected qty must be above 0 and actual not negative",IF(BB544&lt;&gt;"",BB544,IF(AND(AS544=1,Documents!$J$21&lt;&gt;"ON FILE"),"INVALID – GLD not on file (Documents sheet)",IF(AND(AS544=2,Documents!$O$21&lt;&gt;"ON FILE"),"INVALID – menu checklist not on file (Documents sheet)",IF(AND(AS544=3,NOT(ISNUMBER(Flights!$AX$21))),"INVALID – enter carrying flight KUL departure (Flights AX)",IF(AND(AS544=3,OR(Flights!$AZ$21&gt;Flights!$AA$21,Flights!$AX$21&lt;Flights!$AA$21-3)),"INVALID – carrying flight (Flights AX) cannot arrive before this leg's STD, or is over 3 days early",IF(AG544&gt;AsOfUTC,"INVALID – completion time is in the future",IF(AND(ISNUMBER(BY544),AG544&lt;BY544),IF(H544="Physical uplift","INVALID – before uplift window (cannot confirm loading)","INVALID – before valid window"),IF(AG544&gt;Flights!$AA$21,"INVALID – completed after departure (cannot establish readiness)",IF(AND(H544="Preparation",AG544&gt;=IF(ISNUMBER(Flights!$BA$21),MIN(Flights!$BA$21,Flights!$AA$21),Flights!$AA$21)),"INVALID – completed after loading / departure (cannot establish readiness)",IF(AND(H544="Physical uplift",AG544&gt;Q544),"INVALID – recorded after the loading flight departed",IF(AG544&gt;Q544,"COMPLETE – LATE","COMPLETE"))))))))))))))))))))))))),IF(TRIM(U544)="Fail","FAIL – DISCREPANCY",IF(AND(TRIM(U544)&lt;&gt;"",TRIM(U544)&lt;&gt;"Not started",TRIM(U544)&lt;&gt;"In progress"),"INVALID – unrecognised status (use the list)",IF(AsOfUTC&gt;Q544,"OVERDUE",IF(N544="Clarification required","OPEN – CLARIFICATION","OPEN"))))))),"INVALID – error value in an input cell")</f>
        <v>OPEN</v>
      </c>
      <c r="AI544" s="61" t="n">
        <f aca="false">IF(OR(AH544="N/A – RULE",AH544="N/A – JUSTIFIED"),0,1)</f>
        <v>1</v>
      </c>
      <c r="AJ544" s="61" t="n">
        <f aca="false">IF(LEFT(AH544,8)="COMPLETE",1,0)</f>
        <v>0</v>
      </c>
      <c r="AK544" s="61" t="n">
        <f aca="false">IF(AND(AI544=1,AJ544=0,AsOfUTC&gt;Q544),1,0)</f>
        <v>0</v>
      </c>
      <c r="AL544" s="61" t="n">
        <f aca="false">IFERROR(IF(AND(AI544=1,OR(TRIM(U544)="Fail",AND(TRIM(AB544)&lt;&gt;"",TRIM(AB544)&lt;&gt;"Closed"),AND(ISNUMBER(AF544),AF544&lt;&gt;0,TRIM(U544)&lt;&gt;"Pass after CA"))),1,0),1)</f>
        <v>0</v>
      </c>
      <c r="AM544" s="61" t="n">
        <f aca="false">IF(LEFT(AH544,7)="INVALID",1,0)</f>
        <v>0</v>
      </c>
      <c r="AN544" s="61" t="n">
        <f aca="false">IF(AND(N544="Clarification required",AI544=1,AJ544=0),1,0)</f>
        <v>0</v>
      </c>
      <c r="AO544" s="61" t="str">
        <f aca="false">IF(AK544=1,SUM(AK$5:AK544),"")</f>
        <v/>
      </c>
      <c r="AP544" s="61" t="str">
        <f aca="false">IF(AL544=1,SUM(AL$5:AL544),"")</f>
        <v/>
      </c>
      <c r="AQ544" s="61" t="n">
        <v>0</v>
      </c>
      <c r="AR544" s="61" t="n">
        <v>0</v>
      </c>
      <c r="AS544" s="61" t="n">
        <v>0</v>
      </c>
      <c r="AT544" s="61" t="n">
        <v>0</v>
      </c>
      <c r="AU544" s="61" t="str">
        <f aca="false">SUBSTITUTE(SUBSTITUTE(SUBSTITUTE(SUBSTITUTE(SUBSTITUTE(SUBSTITUTE(SUBSTITUTE(SUBSTITUTE(SUBSTITUTE(SUBSTITUTE(SUBSTITUTE(SUBSTITUTE(SUBSTITUTE(SUBSTITUTE(SUBSTITUTE(SUBSTITUTE(LOWER(T544&amp;""),CHAR(10),""),CHAR(13),""),CHAR(9),""),CHAR(160),"")," ",""),".",""),"-",""),"/",""),"?",""),"_",""),",",""),"[",""),"]",""),"(",""),")",""),"*","")</f>
        <v/>
      </c>
      <c r="AV544" s="61" t="str">
        <f aca="false">SUBSTITUTE(SUBSTITUTE(SUBSTITUTE(SUBSTITUTE(SUBSTITUTE(SUBSTITUTE(SUBSTITUTE(SUBSTITUTE(SUBSTITUTE(SUBSTITUTE(SUBSTITUTE(SUBSTITUTE(SUBSTITUTE(SUBSTITUTE(SUBSTITUTE(SUBSTITUTE(LOWER(V544&amp;""),CHAR(10),""),CHAR(13),""),CHAR(9),""),CHAR(160),"")," ",""),".",""),"-",""),"/",""),"?",""),"_",""),",",""),"[",""),"]",""),"(",""),")",""),"*","")</f>
        <v/>
      </c>
      <c r="AW544" s="61" t="str">
        <f aca="false">SUBSTITUTE(SUBSTITUTE(SUBSTITUTE(SUBSTITUTE(SUBSTITUTE(SUBSTITUTE(SUBSTITUTE(SUBSTITUTE(SUBSTITUTE(SUBSTITUTE(SUBSTITUTE(SUBSTITUTE(SUBSTITUTE(SUBSTITUTE(SUBSTITUTE(SUBSTITUTE(LOWER(Z544&amp;""),CHAR(10),""),CHAR(13),""),CHAR(9),""),CHAR(160),"")," ",""),".",""),"-",""),"/",""),"?",""),"_",""),",",""),"[",""),"]",""),"(",""),")",""),"*","")</f>
        <v/>
      </c>
      <c r="AX544" s="61" t="str">
        <f aca="false">SUBSTITUTE(SUBSTITUTE(SUBSTITUTE(SUBSTITUTE(SUBSTITUTE(SUBSTITUTE(SUBSTITUTE(SUBSTITUTE(SUBSTITUTE(SUBSTITUTE(SUBSTITUTE(SUBSTITUTE(SUBSTITUTE(SUBSTITUTE(SUBSTITUTE(SUBSTITUTE(LOWER(AE544&amp;""),CHAR(10),""),CHAR(13),""),CHAR(9),""),CHAR(160),"")," ",""),".",""),"-",""),"/",""),"?",""),"_",""),",",""),"[",""),"]",""),"(",""),")",""),"*","")</f>
        <v/>
      </c>
      <c r="AY544" s="61" t="str">
        <f aca="false">SUBSTITUTE(SUBSTITUTE(SUBSTITUTE(SUBSTITUTE(SUBSTITUTE(SUBSTITUTE(SUBSTITUTE(SUBSTITUTE(SUBSTITUTE(SUBSTITUTE(SUBSTITUTE(SUBSTITUTE(SUBSTITUTE(SUBSTITUTE(SUBSTITUTE(SUBSTITUTE(LOWER(W544&amp;""),CHAR(10),""),CHAR(13),""),CHAR(9),""),CHAR(160),"")," ",""),".",""),"-",""),"/",""),"?",""),"_",""),",",""),"[",""),"]",""),"(",""),")",""),"*","")</f>
        <v/>
      </c>
      <c r="AZ544" s="61" t="str">
        <f aca="false">SUBSTITUTE(SUBSTITUTE(SUBSTITUTE(SUBSTITUTE(SUBSTITUTE(SUBSTITUTE(SUBSTITUTE(SUBSTITUTE(SUBSTITUTE(SUBSTITUTE(SUBSTITUTE(SUBSTITUTE(SUBSTITUTE(SUBSTITUTE(SUBSTITUTE(SUBSTITUTE(LOWER(AC544&amp;""),CHAR(10),""),CHAR(13),""),CHAR(9),""),CHAR(160),"")," ",""),".",""),"-",""),"/",""),"?",""),"_",""),",",""),"[",""),"]",""),"(",""),")",""),"*","")</f>
        <v/>
      </c>
      <c r="BA544" s="61" t="str">
        <f aca="false">SUBSTITUTE(SUBSTITUTE(SUBSTITUTE(SUBSTITUTE(SUBSTITUTE(SUBSTITUTE(SUBSTITUTE(SUBSTITUTE(SUBSTITUTE(SUBSTITUTE(SUBSTITUTE(SUBSTITUTE(SUBSTITUTE(SUBSTITUTE(SUBSTITUTE(SUBSTITUTE(LOWER(AA544&amp;""),CHAR(10),""),CHAR(13),""),CHAR(9),""),CHAR(160),"")," ",""),".",""),"-",""),"/",""),"?",""),"_",""),",",""),"[",""),"]",""),"(",""),")",""),"*","")</f>
        <v/>
      </c>
      <c r="BB544" s="61" t="str">
        <f aca="false">IF(AND(TRIM(U544)="Pass",ISNUMBER(AF544)),IF(AF544&lt;&gt;0,"INVALID – qty variance: use Fail or Pass after CA",""),"")&amp;IF(AND(TRIM(U544)="Pass after CA",ISNUMBER(AF544)),IF(AF544&lt;&gt;0,"INVALID – after the corrective action the actual qty must equal expected (update Actual)",""),"")&amp;IF(AND(TRIM(U544)="Pass",TRIM(AB544)&lt;&gt;"",TRIM(AB544)&lt;&gt;"Closed"),"INVALID – corrective action not closed: use Fail, then Pass after CA","")&amp;IF(AND(LEN(BA544)&gt;=2,ISNA(MATCH(LEFT(BA544,255),L_Placeholder,0)),TRIM(AB544)=""),"INVALID – CA status missing for the recorded corrective action","")&amp;IF(AND(TRIM(U544)="Pass after CA",OR(OR(LEN(BA544)&lt;5,ISNUMBER(MATCH(BA544,L_Placeholder,0))),TRIM(AB544)&lt;&gt;"Closed")),"INVALID – corrective action not recorded/closed","")</f>
        <v/>
      </c>
      <c r="BC544" s="61" t="str">
        <f aca="false">" "&amp;TRIM(SUBSTITUTE(SUBSTITUTE(SUBSTITUTE(SUBSTITUTE(SUBSTITUTE(SUBSTITUTE(SUBSTITUTE(SUBSTITUTE(SUBSTITUTE(SUBSTITUTE(SUBSTITUTE(SUBSTITUTE(SUBSTITUTE(SUBSTITUTE(SUBSTITUTE(SUBSTITUTE(SUBSTITUTE(SUBSTITUTE(SUBSTITUTE(SUBSTITUTE(SUBSTITUTE(SUBSTITUTE(SUBSTITUTE(SUBSTITUTE(LOWER(V544&amp;""),CHAR(10)," "),CHAR(13)," "),CHAR(9)," "),CHAR(160)," "),"."," "),","," "),"-"," "),"/"," "),"("," "),")"," "),":"," "),";"," "),"_"," "),"–"," "),"?"," "),"!"," "),"*"," "),"["," "),"]"," "),"'"," "),"#"," "),"+"," "),"&amp;"," "),"\"," "))&amp;" "</f>
        <v>  </v>
      </c>
      <c r="BD544" s="61" t="str">
        <f aca="false">" "&amp;TRIM(SUBSTITUTE(SUBSTITUTE(SUBSTITUTE(SUBSTITUTE(SUBSTITUTE(SUBSTITUTE(SUBSTITUTE(SUBSTITUTE(SUBSTITUTE(SUBSTITUTE(SUBSTITUTE(SUBSTITUTE(SUBSTITUTE(SUBSTITUTE(SUBSTITUTE(SUBSTITUTE(SUBSTITUTE(SUBSTITUTE(SUBSTITUTE(SUBSTITUTE(SUBSTITUTE(SUBSTITUTE(SUBSTITUTE(SUBSTITUTE(LOWER(Z544&amp;""),CHAR(10)," "),CHAR(13)," "),CHAR(9)," "),CHAR(160)," "),"."," "),","," "),"-"," "),"/"," "),"("," "),")"," "),":"," "),";"," "),"_"," "),"–"," "),"?"," "),"!"," "),"*"," "),"["," "),"]"," "),"'"," "),"#"," "),"+"," "),"&amp;"," "),"\"," "))&amp;" "</f>
        <v>  </v>
      </c>
      <c r="BE544" s="61" t="str">
        <f aca="false">" "&amp;TRIM(SUBSTITUTE(SUBSTITUTE(SUBSTITUTE(SUBSTITUTE(SUBSTITUTE(SUBSTITUTE(SUBSTITUTE(SUBSTITUTE(SUBSTITUTE(SUBSTITUTE(SUBSTITUTE(SUBSTITUTE(SUBSTITUTE(SUBSTITUTE(SUBSTITUTE(SUBSTITUTE(SUBSTITUTE(SUBSTITUTE(SUBSTITUTE(SUBSTITUTE(SUBSTITUTE(SUBSTITUTE(SUBSTITUTE(SUBSTITUTE(LOWER(W544&amp;""),CHAR(10)," "),CHAR(13)," "),CHAR(9)," "),CHAR(160)," "),"."," "),","," "),"-"," "),"/"," "),"("," "),")"," "),":"," "),";"," "),"_"," "),"–"," "),"?"," "),"!"," "),"*"," "),"["," "),"]"," "),"'"," "),"#"," "),"+"," "),"&amp;"," "),"\"," "))&amp;" "</f>
        <v>  </v>
      </c>
      <c r="BF544" s="61" t="str">
        <f aca="false">" "&amp;TRIM(SUBSTITUTE(SUBSTITUTE(SUBSTITUTE(SUBSTITUTE(SUBSTITUTE(SUBSTITUTE(SUBSTITUTE(SUBSTITUTE(SUBSTITUTE(SUBSTITUTE(SUBSTITUTE(SUBSTITUTE(SUBSTITUTE(SUBSTITUTE(SUBSTITUTE(SUBSTITUTE(SUBSTITUTE(SUBSTITUTE(SUBSTITUTE(SUBSTITUTE(SUBSTITUTE(SUBSTITUTE(SUBSTITUTE(SUBSTITUTE(LOWER(AC544&amp;""),CHAR(10)," "),CHAR(13)," "),CHAR(9)," "),CHAR(160)," "),"."," "),","," "),"-"," "),"/"," "),"("," "),")"," "),":"," "),";"," "),"_"," "),"–"," "),"?"," "),"!"," "),"*"," "),"["," "),"]"," "),"'"," "),"#"," "),"+"," "),"&amp;"," "),"\"," "))&amp;" "</f>
        <v>  </v>
      </c>
      <c r="BG544" s="61" t="n">
        <f aca="false">IFERROR(IF(AND(TRIM(U544)="Pass",SUMPRODUCT((LEN(BC544)-LEN(SUBSTITUTE(BC544," "&amp;L_ResultBad&amp;" "," ")))/(LEN(L_ResultBad)+1))&gt;SUMPRODUCT((LEN(BC544)-LEN(SUBSTITUTE(BC544," "&amp;L_NegPhrase&amp;" "," ")))/(LEN(L_NegPhrase)+1))),1,0),0)</f>
        <v>0</v>
      </c>
      <c r="BH544" s="61" t="n">
        <f aca="false">IFERROR(IF(SUMPRODUCT((LEN(BC544)-LEN(SUBSTITUTE(BC544," "&amp;L_Pending&amp;" "," ")))/(LEN(L_Pending)+1))&gt;SUMPRODUCT((LEN(BC544)-LEN(SUBSTITUTE(BC544," "&amp;L_PendNeg&amp;" "," ")))/(LEN(L_PendNeg)+1))+SUMPRODUCT((LEN(BC544)-LEN(SUBSTITUTE(BC544," "&amp;L_PendPrep&amp;" "," ")))/(LEN(L_PendPrep)+1)),1,0),1)</f>
        <v>0</v>
      </c>
      <c r="BI544" s="61" t="n">
        <f aca="false">IFERROR(IF(SUMPRODUCT((LEN(BD544)-LEN(SUBSTITUTE(BD544," "&amp;L_PendStrict&amp;" "," ")))/(LEN(L_PendStrict)+1))&gt;SUMPRODUCT((LEN(BD544)-LEN(SUBSTITUTE(BD544," "&amp;L_PendNeg&amp;" "," ")))/(LEN(L_PendNeg)+1)),1,0),1)</f>
        <v>0</v>
      </c>
      <c r="BJ544" s="61" t="n">
        <f aca="false">IFERROR(IF(SUMPRODUCT((LEN(BE544)-LEN(SUBSTITUTE(BE544," "&amp;L_Pending&amp;" "," ")))/(LEN(L_Pending)+1))&gt;SUMPRODUCT((LEN(BE544)-LEN(SUBSTITUTE(BE544," "&amp;L_PendNeg&amp;" "," ")))/(LEN(L_PendNeg)+1))+SUMPRODUCT((LEN(BE544)-LEN(SUBSTITUTE(BE544," "&amp;L_PendPrep&amp;" "," ")))/(LEN(L_PendPrep)+1)),1,0),1)</f>
        <v>0</v>
      </c>
      <c r="BK544" s="61" t="n">
        <f aca="false">IFERROR(IF(SUMPRODUCT((LEN(BF544)-LEN(SUBSTITUTE(BF544," "&amp;L_PendStrict&amp;" "," ")))/(LEN(L_PendStrict)+1))&gt;SUMPRODUCT((LEN(BF544)-LEN(SUBSTITUTE(BF544," "&amp;L_PendNeg&amp;" "," ")))/(LEN(L_PendNeg)+1)),1,0),1)</f>
        <v>0</v>
      </c>
      <c r="BL544" s="61" t="n">
        <f aca="false">IF(ISNA(MATCH(TRIM(S544),L_EvidenceType,0)),0,BZ544)</f>
        <v>0</v>
      </c>
      <c r="BM544" s="61" t="str">
        <f aca="false">SUBSTITUTE(SUBSTITUTE(SUBSTITUTE(SUBSTITUTE(SUBSTITUTE(SUBSTITUTE(SUBSTITUTE(SUBSTITUTE(SUBSTITUTE(LOWER(Z544&amp;""),"1","0"),"2","0"),"3","0"),"4","0"),"5","0"),"6","0"),"7","0"),"8","0"),"9","0")</f>
        <v/>
      </c>
      <c r="BN544" s="61" t="str">
        <f aca="false">SUBSTITUTE(SUBSTITUTE(SUBSTITUTE(SUBSTITUTE(SUBSTITUTE(SUBSTITUTE(SUBSTITUTE(SUBSTITUTE(SUBSTITUTE(SUBSTITUTE(SUBSTITUTE(SUBSTITUTE(SUBSTITUTE(SUBSTITUTE(SUBSTITUTE(SUBSTITUTE(SUBSTITUTE(SUBSTITUTE(SUBSTITUTE(SUBSTITUTE(SUBSTITUTE(SUBSTITUTE(SUBSTITUTE(SUBSTITUTE(SUBSTITUTE(BM544,"b","a"),"c","a"),"d","a"),"e","a"),"f","a"),"g","a"),"h","a"),"i","a"),"j","a"),"k","a"),"l","a"),"m","a"),"n","a"),"o","a"),"p","a"),"q","a"),"r","a"),"s","a"),"t","a"),"u","a"),"v","a"),"w","a"),"x","a"),"y","a"),"z","a")</f>
        <v/>
      </c>
      <c r="BO544" s="61" t="str">
        <f aca="false">SUBSTITUTE(SUBSTITUTE(SUBSTITUTE(SUBSTITUTE(SUBSTITUTE(SUBSTITUTE(SUBSTITUTE(SUBSTITUTE(SUBSTITUTE(LOWER(W544&amp;""),"1","0"),"2","0"),"3","0"),"4","0"),"5","0"),"6","0"),"7","0"),"8","0"),"9","0")</f>
        <v/>
      </c>
      <c r="BP544" s="61" t="str">
        <f aca="false">SUBSTITUTE(SUBSTITUTE(SUBSTITUTE(SUBSTITUTE(SUBSTITUTE(SUBSTITUTE(SUBSTITUTE(SUBSTITUTE(SUBSTITUTE(SUBSTITUTE(SUBSTITUTE(SUBSTITUTE(SUBSTITUTE(SUBSTITUTE(SUBSTITUTE(SUBSTITUTE(SUBSTITUTE(SUBSTITUTE(SUBSTITUTE(SUBSTITUTE(SUBSTITUTE(SUBSTITUTE(SUBSTITUTE(SUBSTITUTE(SUBSTITUTE(BO544,"b","a"),"c","a"),"d","a"),"e","a"),"f","a"),"g","a"),"h","a"),"i","a"),"j","a"),"k","a"),"l","a"),"m","a"),"n","a"),"o","a"),"p","a"),"q","a"),"r","a"),"s","a"),"t","a"),"u","a"),"v","a"),"w","a"),"x","a"),"y","a"),"z","a")</f>
        <v/>
      </c>
      <c r="BQ544" s="61" t="n">
        <f aca="false">IFERROR(IF(AND(ISERROR(SEARCH(" mh"," "&amp;LOWER(W544))),ISNA(MATCH(LEFT(TRIM(BP544),255),{"0000a","000a","00a","0000aa","000aa","00aa","0aa","0000aaa","000aaa","00a00","0a00","0000-0000","00:00","a00","a0","00.00.0000","00/00/0000","00-00-0000","0000-00-00","0000/00/00","0000.00.00","00.00.00","00/00/00","00-00-00","0.00.0000","0/00/0000","0-00-0000"},0)),ISNA(MATCH(LEFT(TRIM(CA544),255),{"0000a","000a","00a","0000aa","000aa","00aa","0aa","0000aaa","000aaa","00a00","0a00","0000-0000","00:00","a00","a0","00.00.0000","00/00/0000","00-00-0000","0000-00-00","0000/00/00","0000.00.00","00.00.00","00/00/00","00-00-00","0.00.0000","0/00/0000","0-00-0000"},0)),LEN(CB544)&gt;=3,NOT(OR(SUBSTITUTE(CB544,"0","")="",AND(LEN(CB544)&gt;=4,CB544=REPT(LEFT(CB544),LEN(CB544))),ISNUMBER(MATCH(CB544,{"123","1234","12345","123456","1234567","12345678","0123","01234","012345","98765","987654","54321"},0)),AND(LEN(CB544)=8,LEFT(CB544,3)="202"))),OR(AND((LEN(CA544)-LEN(SUBSTITUTE(CA544,"a","")))&gt;=1,SUMPRODUCT(--ISNUMBER(SEARCH({"a0","a-0","a_0","a/0","a.0","a#0","0a","0-a","0_a","0/a"},BP544)))&gt;0),ISNUMBER(SEARCH("000000",BP544)))),1,0),0)</f>
        <v>0</v>
      </c>
      <c r="BR544" s="61" t="n">
        <f aca="false">IFERROR(LEN(SUBSTITUTE(CC544," ",""))-SUMPRODUCT((LEN(CC544)-LEN(SUBSTITUTE(CC544," "&amp;L_Role&amp;" "," ")))/(LEN(L_Role)+1)*LEN(L_Role)),0)</f>
        <v>0</v>
      </c>
      <c r="BS544" s="61" t="n">
        <f aca="false">IFERROR(LEN(SUBSTITUTE(CD544," ",""))-SUMPRODUCT((LEN(CD544)-LEN(SUBSTITUTE(CD544," "&amp;L_Role&amp;" "," ")))/(LEN(L_Role)+1)*LEN(L_Role)),0)</f>
        <v>0</v>
      </c>
      <c r="BT5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544,"revision",""),"version",""),"jan",""),"feb",""),"mar",""),"apr",""),"may",""),"jun",""),"jul",""),"aug",""),"sep",""),"oct",""),"nov",""),"dec",""),"utc",""),"gmt",""),"myt",""),"bst",""),"rev",""),"ver",""),"b","a"),"c","a"),"d","a"),"e","a"),"f","a"),"g","a"),"h","a"),"i","a"),"j","a"),"k","a"),"l","a"),"m","a"),"n","a"),"o","a"),"p","a"),"q","a"),"r","a"),"s","a"),"t","a"),"u","a"),"v","a"),"w","a"),"x","a"),"y","a"),"z","a")</f>
        <v/>
      </c>
      <c r="BU544" s="61" t="str">
        <f aca="false">SUBSTITUTE(SUBSTITUTE(SUBSTITUTE(SUBSTITUTE(SUBSTITUTE(SUBSTITUTE(SUBSTITUTE(SUBSTITUTE(SUBSTITUTE(SUBSTITUTE(LEFT(BM544,FIND("0",BM544&amp;"0")-1),"-",""),"_",""),"/",""),".",""),"#",""),"\\",""),":","")," ",""),"(",""),")","")</f>
        <v/>
      </c>
      <c r="BV544" s="61" t="n">
        <f aca="false">0</f>
        <v>0</v>
      </c>
      <c r="BW5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544&amp;""),"a",""),"b",""),"c",""),"d",""),"e",""),"f",""),"g",""),"h",""),"i",""),"j",""),"k",""),"l",""),"m",""),"n",""),"o",""),"p",""),"q",""),"r",""),"s",""),"t",""),"u",""),"v",""),"w",""),"x",""),"y",""),"z",""),"-",""),"_",""),"/",""),".",""),"#",""),"\\",""),":","")," ",""),"(",""),")","")</f>
        <v/>
      </c>
      <c r="BX544" s="61" t="str">
        <f aca="false">SUBSTITUTE(SUBSTITUTE(SUBSTITUTE(SUBSTITUTE(SUBSTITUTE(SUBSTITUTE(SUBSTITUTE(SUBSTITUTE(SUBSTITUTE(SUBSTITUTE(SUBSTITUTE(BM544,"0",""),"-",""),"_",""),"/",""),".",""),"#",""),"\\",""),":","")," ",""),"(",""),")","")</f>
        <v/>
      </c>
      <c r="BY544" s="62" t="n">
        <f aca="false">Q544-T12EarlyH/24</f>
        <v>46321.2847222222</v>
      </c>
      <c r="BZ544" s="61" t="n">
        <f aca="false">IFERROR(IF(IF(TRIM(S544)="Link / file path",AND(LEN(TRIM(Z544))&gt;=5,SUMPRODUCT(--ISNUMBER(SEARCH({"http","www.","\\",":\",".pdf",".jpg",".jpeg",".png",".heic",".xls",".doc",".msg",".eml",".ppt",".txt",".zip"},Z544)))&gt;0),AND(ISERROR(FIND(" ",TRIM(Z544))),NOT(OR(SUMPRODUCT(--ISNUMBER(FIND({",",";","&amp;","+"},Z544)))&gt;0,SUMPRODUCT(--ISNUMBER(SEARCH({"0/aa","0\\aa"},BN544)))&gt;0)),NOT(SUMPRODUCT(--ISNUMBER(SEARCH({"http","www.","\\",":\",".pdf",".jpg",".jpeg",".png",".heic",".xls",".doc",".msg",".eml",".ppt",".txt",".zip"},Z544)))&gt;0),NOT(LOWER(TRIM(Z544))=LOWER(Flights!$F$21)),ISNA(MATCH(BU544,{"mh","rev","revision","ver","version","v","r","a","b","seat","tray","row","gate","bay","stand","page","pg","item","line","no","cart","galley","flight","flt","table","box","bag","oven","etd","eta","std","sta","atd","ata","qty","pax","x","time","tel","ph","mob","day","wk","week","utc","gmt","myt","lt"},0)),NOT(OR(ISNUMBER(MATCH(LEFT(BN544,255),{"0000a","000a","00a","0000aa","000aa","00aa","0aa","0000aaa","000aaa","00a00","0a00","0000-0000","00:00","a00","a0","00.00.0000","00/00/0000","00-00-0000","0000-00-00","0000/00/00","0000.00.00","00.00.00","00/00/00","00-00-00","0.00.0000","0/00/0000","0-00-0000"},0)),ISNUMBER(MATCH(LEFT(BT544,255),{"0000a","000a","00a","0000aa","000aa","00aa","0aa","0000aaa","000aaa","00a00","0a00","0000-0000","00:00","a00","a0","00.00.0000","00/00/0000","00-00-0000","0000-00-00","0000/00/00","0000.00.00","00.00.00","00/00/00","00-00-00","0.00.0000","0/00/0000","0-00-0000"},0)))),NOT(OR(AND(BW544&lt;&gt;"",SUBSTITUTE(BW544,"0","")=""),AND(LEN(BW544)&gt;=4,BW544=REPT(LEFT(BW544),LEN(BW544))),ISNUMBER(MATCH(BW544,{"123","1234","12345","123456","1234567","12345678","0123","01234","012345","98765","987654","54321"},0)),ISNUMBER(MATCH(BX544,{"x","xx","xxx","xxxx","xxxxx","abc","abcd","nil","na","nan","test","tbc","tba","tbd","dummy","sample","example","eg","zz","zzz","none","null","xyz","qwe","asd","id","ref"},0)),AND(LEN(BW544)=8,BX544="",OR(LEFT(BW544,3)="202",ISNUMBER(MATCH(RIGHT(BW544,4),{"2025","2026","2027"},0)))))),OR(AND((LEN(BT544)-LEN(SUBSTITUTE(BT544,"a","")))&gt;=1,(LEN(BN544)-LEN(SUBSTITUTE(BN544,"0","")))&gt;=2,SUMPRODUCT(--ISNUMBER(SEARCH({"a0","a-0","a_0","a/0","a.0","a#0","0a","0-a","0_a","0/a"},BN544)))&gt;0),AND((LEN(BN544)-LEN(SUBSTITUTE(BN544,"a","")))=0,(LEN(BN544)-LEN(SUBSTITUTE(BN544,"0","")))&gt;=5)))),1,0),0)</f>
        <v>0</v>
      </c>
      <c r="CA5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544,"revision",""),"version",""),"jan",""),"feb",""),"mar",""),"apr",""),"may",""),"jun",""),"jul",""),"aug",""),"sep",""),"oct",""),"nov",""),"dec",""),"utc",""),"gmt",""),"myt",""),"bst",""),"rev",""),"ver",""),"b","a"),"c","a"),"d","a"),"e","a"),"f","a"),"g","a"),"h","a"),"i","a"),"j","a"),"k","a"),"l","a"),"m","a"),"n","a"),"o","a"),"p","a"),"q","a"),"r","a"),"s","a"),"t","a"),"u","a"),"v","a"),"w","a"),"x","a"),"y","a"),"z","a")</f>
        <v/>
      </c>
      <c r="CB5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544&amp;""),"a",""),"b",""),"c",""),"d",""),"e",""),"f",""),"g",""),"h",""),"i",""),"j",""),"k",""),"l",""),"m",""),"n",""),"o",""),"p",""),"q",""),"r",""),"s",""),"t",""),"u",""),"v",""),"w",""),"x",""),"y",""),"z",""),"-",""),"_",""),"/",""),".",""),"#",""),"\\",""),":","")," ",""),"(",""),")","")</f>
        <v/>
      </c>
      <c r="CC544" s="0" t="str">
        <f aca="false">" "&amp;TRIM(SUBSTITUTE(SUBSTITUTE(SUBSTITUTE(SUBSTITUTE(SUBSTITUTE(SUBSTITUTE(SUBSTITUTE(SUBSTITUTE(SUBSTITUTE(SUBSTITUTE(SUBSTITUTE(SUBSTITUTE(SUBSTITUTE(SUBSTITUTE(SUBSTITUTE(SUBSTITUTE(SUBSTITUTE(SUBSTITUTE(SUBSTITUTE(SUBSTITUTE(SUBSTITUTE(SUBSTITUTE(SUBSTITUTE(SUBSTITUTE(LOWER(T544&amp;""),CHAR(10)," "),CHAR(13)," "),CHAR(9)," "),CHAR(160)," "),"."," "),","," "),"-"," "),"/"," "),"("," "),")"," "),":"," "),";"," "),"_"," "),"–"," "),"?"," "),"!"," "),"*"," "),"["," "),"]"," "),"'"," "),"#"," "),"+"," "),"&amp;"," "),"\"," "))&amp;" "</f>
        <v>  </v>
      </c>
      <c r="CD544" s="0" t="str">
        <f aca="false">" "&amp;TRIM(SUBSTITUTE(SUBSTITUTE(SUBSTITUTE(SUBSTITUTE(SUBSTITUTE(SUBSTITUTE(SUBSTITUTE(SUBSTITUTE(SUBSTITUTE(SUBSTITUTE(SUBSTITUTE(SUBSTITUTE(SUBSTITUTE(SUBSTITUTE(SUBSTITUTE(SUBSTITUTE(SUBSTITUTE(SUBSTITUTE(SUBSTITUTE(SUBSTITUTE(SUBSTITUTE(SUBSTITUTE(SUBSTITUTE(SUBSTITUTE(LOWER(AE544&amp;""),CHAR(10)," "),CHAR(13)," "),CHAR(9)," "),CHAR(160)," "),"."," "),","," "),"-"," "),"/"," "),"("," "),")"," "),":"," "),";"," "),"_"," "),"–"," "),"?"," "),"!"," "),"*"," "),"["," "),"]"," "),"'"," "),"#"," "),"+"," "),"&amp;"," "),"\"," "))&amp;" "</f>
        <v>  </v>
      </c>
      <c r="CE544" s="68" t="n">
        <f aca="false">IFERROR(IF(AND(LEN(AU544)&gt;0,LEN(AU544)=LEN(AX544),OR(TRIM(MID(SUBSTITUTE(TRIM(CC544)," ",REPT(" ",60)),1,60))="",ISNUMBER(SEARCH(" "&amp;TRIM(MID(SUBSTITUTE(TRIM(CC544)," ",REPT(" ",60)),1,60))&amp;" ",CD544))),OR(TRIM(MID(SUBSTITUTE(TRIM(CC544)," ",REPT(" ",60)),61,60))="",ISNUMBER(SEARCH(" "&amp;TRIM(MID(SUBSTITUTE(TRIM(CC544)," ",REPT(" ",60)),61,60))&amp;" ",CD544))),OR(TRIM(MID(SUBSTITUTE(TRIM(CC544)," ",REPT(" ",60)),121,60))="",ISNUMBER(SEARCH(" "&amp;TRIM(MID(SUBSTITUTE(TRIM(CC544)," ",REPT(" ",60)),121,60))&amp;" ",CD544)))),1,0),0)</f>
        <v>0</v>
      </c>
      <c r="CG544" s="68" t="n">
        <f aca="false">IFERROR(LEN(SUBSTITUTE(BF544," ",""))-SUMPRODUCT((LEN(BF544)-LEN(SUBSTITUTE(BF544," "&amp;L_NAFiller&amp;" "," ")))/(LEN(L_NAFiller)+1)*LEN(L_NAFiller)),0)</f>
        <v>0</v>
      </c>
    </row>
    <row r="545" customFormat="false" ht="39.75" hidden="false" customHeight="true" outlineLevel="0" collapsed="false">
      <c r="A545" s="57" t="s">
        <v>1216</v>
      </c>
      <c r="B545" s="57" t="s">
        <v>290</v>
      </c>
      <c r="C545" s="57" t="str">
        <f aca="false">Flights!$F$21</f>
        <v>MH0073</v>
      </c>
      <c r="D545" s="58" t="n">
        <f aca="false">Flights!$D$21</f>
        <v>46322</v>
      </c>
      <c r="E545" s="57" t="str">
        <f aca="false">Flights!$G$21&amp;"-"&amp;Flights!$H$21</f>
        <v>HKG-KUL</v>
      </c>
      <c r="F545" s="57" t="str">
        <f aca="false">Flights!$K$21</f>
        <v>BC</v>
      </c>
      <c r="G545" s="57" t="s">
        <v>420</v>
      </c>
      <c r="H545" s="57" t="s">
        <v>378</v>
      </c>
      <c r="I545" s="57" t="s">
        <v>428</v>
      </c>
      <c r="J545" s="57" t="s">
        <v>431</v>
      </c>
      <c r="K545" s="67"/>
      <c r="L545" s="67" t="s">
        <v>422</v>
      </c>
      <c r="M545" s="67"/>
      <c r="N545" s="67" t="s">
        <v>383</v>
      </c>
      <c r="O545" s="67" t="s">
        <v>423</v>
      </c>
      <c r="P545" s="57" t="s">
        <v>282</v>
      </c>
      <c r="Q545" s="59" t="n">
        <f aca="false">ROUND((Flights!$AE$21)*1440,0)/1440</f>
        <v>46321.7847222222</v>
      </c>
      <c r="R545" s="59" t="n">
        <f aca="false">Q545+(IF(AND(INDEX(TZ_DSTS,MATCH(P545,TZ_STN,0))&lt;&gt;"",Q545&gt;=INDEX(TZ_DSTS,MATCH(P545,TZ_STN,0)),Q545&lt;INDEX(TZ_DSTE,MATCH(P545,TZ_STN,0))),INDEX(TZ_DST,MATCH(P545,TZ_STN,0)),INDEX(TZ_STD,MATCH(P545,TZ_STN,0))))/24</f>
        <v>46322.1180555556</v>
      </c>
      <c r="S545" s="60"/>
      <c r="T545" s="60"/>
      <c r="U545" s="60"/>
      <c r="V545" s="60"/>
      <c r="W545" s="61"/>
      <c r="X545" s="60"/>
      <c r="Y545" s="60"/>
      <c r="Z545" s="60"/>
      <c r="AA545" s="60"/>
      <c r="AB545" s="60"/>
      <c r="AC545" s="60"/>
      <c r="AD545" s="66"/>
      <c r="AE545" s="60"/>
      <c r="AF545" s="61" t="str">
        <f aca="false">IF(AND(ISNUMBER(X545),ISNUMBER(Y545)),Y545-X545,"")</f>
        <v/>
      </c>
      <c r="AG545" s="62" t="str">
        <f aca="false">IF(ISNUMBER(AD545),AD545-(IF(AND(INDEX(TZ_DSTS,MATCH(P545,TZ_STN,0))&lt;&gt;"",(AD545-INDEX(TZ_STD,MATCH(P545,TZ_STN,0))/24)&gt;=INDEX(TZ_DSTS,MATCH(P545,TZ_STN,0)),(AD545-INDEX(TZ_STD,MATCH(P545,TZ_STN,0))/24)&lt;INDEX(TZ_DSTE,MATCH(P545,TZ_STN,0))),INDEX(TZ_DST,MATCH(P545,TZ_STN,0)),INDEX(TZ_STD,MATCH(P545,TZ_STN,0))))/24,"")</f>
        <v/>
      </c>
      <c r="AH545" s="65" t="str">
        <f aca="false">IFERROR(IF(N545="N/A – rule",IF(OR(TRIM(U545)="",TRIM(U545)="N/A",TRIM(U545)="Not started"),"N/A – RULE","INVALID – this check does not apply to this aircraft: clear the status (or correct the fleet on Flights)"),IF(TRIM(U545)="N/A",IF(AT545=0,"INVALID – N/A not permitted for this check",IF(AND(TRIM(AB545)&lt;&gt;"",TRIM(AB545)&lt;&gt;"Closed"),"INVALID – corrective action still open",IF(AND(NOT(OR(LEN(AZ545)&lt;15,ISNUMBER(MATCH(AZ545,L_Placeholder,0)))),BK545=0,CG545&gt;=8,NOT(OR(LEN(AU545)&lt;2,ISNUMBER(MATCH(AU545,L_Placeholder,0)))),BR545&gt;=3,NOT(OR(LEN(AX545)&lt;2,ISNUMBER(MATCH(AX545,L_Placeholder,0)))),BS545&gt;=3,TRIM(AE545)&lt;&gt;TRIM(T545),AX545&lt;&gt;AU545,CE545=0),"N/A – JUSTIFIED","INVALID – N/A needs a real, settled reason (not 'not applicable' / 'as above' / TBC), a named PIC and a different named verifier"))),IF(OR(TRIM(U545)="Pass",TRIM(U545)="Pass after CA"),IF(NOT(ISNUMBER(AD545)),"INVALID – completion time missing",IF(OR(OR(LEN(AU545)&lt;2,ISNUMBER(MATCH(AU545,L_Placeholder,0))),BR545&lt;3),"INVALID – PIC missing or not a named person (a role such as QA / CSM is not a name)",IF(OR(LEN(AV545)&lt;2,ISNUMBER(MATCH(AV545,L_Placeholder,0))),"INVALID – result / assessment missing",IF(OR(OR(LEN(AW545)&lt;3,ISNUMBER(MATCH(AW545,L_Placeholder,0))),SUMPRODUCT(--ISNUMBER(SEARCH(" "&amp;L_EvidencePhrase&amp;" ",BD545)))&gt;0,BI545=1),"INVALID – evidence missing, placeholder or not yet on file",IF(ISNA(MATCH(TRIM(S545),L_EvidenceType,0)),"INVALID – choose the evidence type from the list (column S)",IF(BL545=0,"INVALID – evidence ID must be the record's own ID only (e.g. SF-2210, IMG_2231, 1045521); a link / file name needs type 'Link / file path'",IF(OR(OR(LEN(AX545)&lt;2,ISNUMBER(MATCH(AX545,L_Placeholder,0))),BS545&lt;3),"INVALID – verifier missing or not a named person (a role such as QA / CSM is not a name)",IF(OR(AX545=AU545,CE545=1,AND(LEN(AU545)&gt;=4,ISNUMBER(SEARCH(AU545,AX545))),AND(LEN(AX545)&gt;=4,ISNUMBER(SEARCH(AX545,AU545)))),"INVALID – verifier must be a different, named person (not the PIC or a role)",IF(BH545=1,"INVALID – result not yet available (awaiting / TBC)",IF(BG545=1,"INVALID – result describes a problem: record Fail, then Pass after CA (or reword if it is not a problem)",IF(BV545=1,"INVALID – wording says not on board: an on-board confirmation needs the item loaded",IF(AND(AQ545=1,OR(OR(LEN(AY545)&lt;3,ISNUMBER(MATCH(AY545,L_Placeholder,0))),BJ545=1,BQ545=0)),"INVALID – batch ID missing, placeholder or not an ID (e.g. PASB-261008-BC-017)",IF(AND(AR545=1,OR(NOT(ISNUMBER(X545)),NOT(ISNUMBER(Y545)))),"INVALID – expected/actual qty missing",IF(AND(AR545=1,OR(X545&lt;=0,Y545&lt;0)),"INVALID – expected qty must be above 0 and actual not negative",IF(BB545&lt;&gt;"",BB545,IF(AND(AS545=1,Documents!$J$21&lt;&gt;"ON FILE"),"INVALID – GLD not on file (Documents sheet)",IF(AND(AS545=2,Documents!$O$21&lt;&gt;"ON FILE"),"INVALID – menu checklist not on file (Documents sheet)",IF(AND(AS545=3,NOT(ISNUMBER(Flights!$AX$21))),"INVALID – enter carrying flight KUL departure (Flights AX)",IF(AND(AS545=3,OR(Flights!$AZ$21&gt;Flights!$AA$21,Flights!$AX$21&lt;Flights!$AA$21-3)),"INVALID – carrying flight (Flights AX) cannot arrive before this leg's STD, or is over 3 days early",IF(AG545&gt;AsOfUTC,"INVALID – completion time is in the future",IF(AND(ISNUMBER(BY545),AG545&lt;BY545),IF(H545="Physical uplift","INVALID – before uplift window (cannot confirm loading)","INVALID – before valid window"),IF(AG545&gt;Flights!$AA$21,"INVALID – completed after departure (cannot establish readiness)",IF(AND(H545="Preparation",AG545&gt;=IF(ISNUMBER(Flights!$BA$21),MIN(Flights!$BA$21,Flights!$AA$21),Flights!$AA$21)),"INVALID – completed after loading / departure (cannot establish readiness)",IF(AND(H545="Physical uplift",AG545&gt;Q545),"INVALID – recorded after the loading flight departed",IF(AG545&gt;Q545,"COMPLETE – LATE","COMPLETE"))))))))))))))))))))))))),IF(TRIM(U545)="Fail","FAIL – DISCREPANCY",IF(AND(TRIM(U545)&lt;&gt;"",TRIM(U545)&lt;&gt;"Not started",TRIM(U545)&lt;&gt;"In progress"),"INVALID – unrecognised status (use the list)",IF(AsOfUTC&gt;Q545,"OVERDUE",IF(N545="Clarification required","OPEN – CLARIFICATION","OPEN"))))))),"INVALID – error value in an input cell")</f>
        <v>OPEN</v>
      </c>
      <c r="AI545" s="61" t="n">
        <f aca="false">IF(OR(AH545="N/A – RULE",AH545="N/A – JUSTIFIED"),0,1)</f>
        <v>1</v>
      </c>
      <c r="AJ545" s="61" t="n">
        <f aca="false">IF(LEFT(AH545,8)="COMPLETE",1,0)</f>
        <v>0</v>
      </c>
      <c r="AK545" s="61" t="n">
        <f aca="false">IF(AND(AI545=1,AJ545=0,AsOfUTC&gt;Q545),1,0)</f>
        <v>0</v>
      </c>
      <c r="AL545" s="61" t="n">
        <f aca="false">IFERROR(IF(AND(AI545=1,OR(TRIM(U545)="Fail",AND(TRIM(AB545)&lt;&gt;"",TRIM(AB545)&lt;&gt;"Closed"),AND(ISNUMBER(AF545),AF545&lt;&gt;0,TRIM(U545)&lt;&gt;"Pass after CA"))),1,0),1)</f>
        <v>0</v>
      </c>
      <c r="AM545" s="61" t="n">
        <f aca="false">IF(LEFT(AH545,7)="INVALID",1,0)</f>
        <v>0</v>
      </c>
      <c r="AN545" s="61" t="n">
        <f aca="false">IF(AND(N545="Clarification required",AI545=1,AJ545=0),1,0)</f>
        <v>0</v>
      </c>
      <c r="AO545" s="61" t="str">
        <f aca="false">IF(AK545=1,SUM(AK$5:AK545),"")</f>
        <v/>
      </c>
      <c r="AP545" s="61" t="str">
        <f aca="false">IF(AL545=1,SUM(AL$5:AL545),"")</f>
        <v/>
      </c>
      <c r="AQ545" s="61" t="n">
        <v>0</v>
      </c>
      <c r="AR545" s="61" t="n">
        <v>0</v>
      </c>
      <c r="AS545" s="61" t="n">
        <v>0</v>
      </c>
      <c r="AT545" s="61" t="n">
        <v>0</v>
      </c>
      <c r="AU545" s="61" t="str">
        <f aca="false">SUBSTITUTE(SUBSTITUTE(SUBSTITUTE(SUBSTITUTE(SUBSTITUTE(SUBSTITUTE(SUBSTITUTE(SUBSTITUTE(SUBSTITUTE(SUBSTITUTE(SUBSTITUTE(SUBSTITUTE(SUBSTITUTE(SUBSTITUTE(SUBSTITUTE(SUBSTITUTE(LOWER(T545&amp;""),CHAR(10),""),CHAR(13),""),CHAR(9),""),CHAR(160),"")," ",""),".",""),"-",""),"/",""),"?",""),"_",""),",",""),"[",""),"]",""),"(",""),")",""),"*","")</f>
        <v/>
      </c>
      <c r="AV545" s="61" t="str">
        <f aca="false">SUBSTITUTE(SUBSTITUTE(SUBSTITUTE(SUBSTITUTE(SUBSTITUTE(SUBSTITUTE(SUBSTITUTE(SUBSTITUTE(SUBSTITUTE(SUBSTITUTE(SUBSTITUTE(SUBSTITUTE(SUBSTITUTE(SUBSTITUTE(SUBSTITUTE(SUBSTITUTE(LOWER(V545&amp;""),CHAR(10),""),CHAR(13),""),CHAR(9),""),CHAR(160),"")," ",""),".",""),"-",""),"/",""),"?",""),"_",""),",",""),"[",""),"]",""),"(",""),")",""),"*","")</f>
        <v/>
      </c>
      <c r="AW545" s="61" t="str">
        <f aca="false">SUBSTITUTE(SUBSTITUTE(SUBSTITUTE(SUBSTITUTE(SUBSTITUTE(SUBSTITUTE(SUBSTITUTE(SUBSTITUTE(SUBSTITUTE(SUBSTITUTE(SUBSTITUTE(SUBSTITUTE(SUBSTITUTE(SUBSTITUTE(SUBSTITUTE(SUBSTITUTE(LOWER(Z545&amp;""),CHAR(10),""),CHAR(13),""),CHAR(9),""),CHAR(160),"")," ",""),".",""),"-",""),"/",""),"?",""),"_",""),",",""),"[",""),"]",""),"(",""),")",""),"*","")</f>
        <v/>
      </c>
      <c r="AX545" s="61" t="str">
        <f aca="false">SUBSTITUTE(SUBSTITUTE(SUBSTITUTE(SUBSTITUTE(SUBSTITUTE(SUBSTITUTE(SUBSTITUTE(SUBSTITUTE(SUBSTITUTE(SUBSTITUTE(SUBSTITUTE(SUBSTITUTE(SUBSTITUTE(SUBSTITUTE(SUBSTITUTE(SUBSTITUTE(LOWER(AE545&amp;""),CHAR(10),""),CHAR(13),""),CHAR(9),""),CHAR(160),"")," ",""),".",""),"-",""),"/",""),"?",""),"_",""),",",""),"[",""),"]",""),"(",""),")",""),"*","")</f>
        <v/>
      </c>
      <c r="AY545" s="61" t="str">
        <f aca="false">SUBSTITUTE(SUBSTITUTE(SUBSTITUTE(SUBSTITUTE(SUBSTITUTE(SUBSTITUTE(SUBSTITUTE(SUBSTITUTE(SUBSTITUTE(SUBSTITUTE(SUBSTITUTE(SUBSTITUTE(SUBSTITUTE(SUBSTITUTE(SUBSTITUTE(SUBSTITUTE(LOWER(W545&amp;""),CHAR(10),""),CHAR(13),""),CHAR(9),""),CHAR(160),"")," ",""),".",""),"-",""),"/",""),"?",""),"_",""),",",""),"[",""),"]",""),"(",""),")",""),"*","")</f>
        <v/>
      </c>
      <c r="AZ545" s="61" t="str">
        <f aca="false">SUBSTITUTE(SUBSTITUTE(SUBSTITUTE(SUBSTITUTE(SUBSTITUTE(SUBSTITUTE(SUBSTITUTE(SUBSTITUTE(SUBSTITUTE(SUBSTITUTE(SUBSTITUTE(SUBSTITUTE(SUBSTITUTE(SUBSTITUTE(SUBSTITUTE(SUBSTITUTE(LOWER(AC545&amp;""),CHAR(10),""),CHAR(13),""),CHAR(9),""),CHAR(160),"")," ",""),".",""),"-",""),"/",""),"?",""),"_",""),",",""),"[",""),"]",""),"(",""),")",""),"*","")</f>
        <v/>
      </c>
      <c r="BA545" s="61" t="str">
        <f aca="false">SUBSTITUTE(SUBSTITUTE(SUBSTITUTE(SUBSTITUTE(SUBSTITUTE(SUBSTITUTE(SUBSTITUTE(SUBSTITUTE(SUBSTITUTE(SUBSTITUTE(SUBSTITUTE(SUBSTITUTE(SUBSTITUTE(SUBSTITUTE(SUBSTITUTE(SUBSTITUTE(LOWER(AA545&amp;""),CHAR(10),""),CHAR(13),""),CHAR(9),""),CHAR(160),"")," ",""),".",""),"-",""),"/",""),"?",""),"_",""),",",""),"[",""),"]",""),"(",""),")",""),"*","")</f>
        <v/>
      </c>
      <c r="BB545" s="61" t="str">
        <f aca="false">IF(AND(TRIM(U545)="Pass",ISNUMBER(AF545)),IF(AF545&lt;&gt;0,"INVALID – qty variance: use Fail or Pass after CA",""),"")&amp;IF(AND(TRIM(U545)="Pass after CA",ISNUMBER(AF545)),IF(AF545&lt;&gt;0,"INVALID – after the corrective action the actual qty must equal expected (update Actual)",""),"")&amp;IF(AND(TRIM(U545)="Pass",TRIM(AB545)&lt;&gt;"",TRIM(AB545)&lt;&gt;"Closed"),"INVALID – corrective action not closed: use Fail, then Pass after CA","")&amp;IF(AND(LEN(BA545)&gt;=2,ISNA(MATCH(LEFT(BA545,255),L_Placeholder,0)),TRIM(AB545)=""),"INVALID – CA status missing for the recorded corrective action","")&amp;IF(AND(TRIM(U545)="Pass after CA",OR(OR(LEN(BA545)&lt;5,ISNUMBER(MATCH(BA545,L_Placeholder,0))),TRIM(AB545)&lt;&gt;"Closed")),"INVALID – corrective action not recorded/closed","")</f>
        <v/>
      </c>
      <c r="BC545" s="61" t="str">
        <f aca="false">" "&amp;TRIM(SUBSTITUTE(SUBSTITUTE(SUBSTITUTE(SUBSTITUTE(SUBSTITUTE(SUBSTITUTE(SUBSTITUTE(SUBSTITUTE(SUBSTITUTE(SUBSTITUTE(SUBSTITUTE(SUBSTITUTE(SUBSTITUTE(SUBSTITUTE(SUBSTITUTE(SUBSTITUTE(SUBSTITUTE(SUBSTITUTE(SUBSTITUTE(SUBSTITUTE(SUBSTITUTE(SUBSTITUTE(SUBSTITUTE(SUBSTITUTE(LOWER(V545&amp;""),CHAR(10)," "),CHAR(13)," "),CHAR(9)," "),CHAR(160)," "),"."," "),","," "),"-"," "),"/"," "),"("," "),")"," "),":"," "),";"," "),"_"," "),"–"," "),"?"," "),"!"," "),"*"," "),"["," "),"]"," "),"'"," "),"#"," "),"+"," "),"&amp;"," "),"\"," "))&amp;" "</f>
        <v>  </v>
      </c>
      <c r="BD545" s="61" t="str">
        <f aca="false">" "&amp;TRIM(SUBSTITUTE(SUBSTITUTE(SUBSTITUTE(SUBSTITUTE(SUBSTITUTE(SUBSTITUTE(SUBSTITUTE(SUBSTITUTE(SUBSTITUTE(SUBSTITUTE(SUBSTITUTE(SUBSTITUTE(SUBSTITUTE(SUBSTITUTE(SUBSTITUTE(SUBSTITUTE(SUBSTITUTE(SUBSTITUTE(SUBSTITUTE(SUBSTITUTE(SUBSTITUTE(SUBSTITUTE(SUBSTITUTE(SUBSTITUTE(LOWER(Z545&amp;""),CHAR(10)," "),CHAR(13)," "),CHAR(9)," "),CHAR(160)," "),"."," "),","," "),"-"," "),"/"," "),"("," "),")"," "),":"," "),";"," "),"_"," "),"–"," "),"?"," "),"!"," "),"*"," "),"["," "),"]"," "),"'"," "),"#"," "),"+"," "),"&amp;"," "),"\"," "))&amp;" "</f>
        <v>  </v>
      </c>
      <c r="BE545" s="61" t="str">
        <f aca="false">" "&amp;TRIM(SUBSTITUTE(SUBSTITUTE(SUBSTITUTE(SUBSTITUTE(SUBSTITUTE(SUBSTITUTE(SUBSTITUTE(SUBSTITUTE(SUBSTITUTE(SUBSTITUTE(SUBSTITUTE(SUBSTITUTE(SUBSTITUTE(SUBSTITUTE(SUBSTITUTE(SUBSTITUTE(SUBSTITUTE(SUBSTITUTE(SUBSTITUTE(SUBSTITUTE(SUBSTITUTE(SUBSTITUTE(SUBSTITUTE(SUBSTITUTE(LOWER(W545&amp;""),CHAR(10)," "),CHAR(13)," "),CHAR(9)," "),CHAR(160)," "),"."," "),","," "),"-"," "),"/"," "),"("," "),")"," "),":"," "),";"," "),"_"," "),"–"," "),"?"," "),"!"," "),"*"," "),"["," "),"]"," "),"'"," "),"#"," "),"+"," "),"&amp;"," "),"\"," "))&amp;" "</f>
        <v>  </v>
      </c>
      <c r="BF545" s="61" t="str">
        <f aca="false">" "&amp;TRIM(SUBSTITUTE(SUBSTITUTE(SUBSTITUTE(SUBSTITUTE(SUBSTITUTE(SUBSTITUTE(SUBSTITUTE(SUBSTITUTE(SUBSTITUTE(SUBSTITUTE(SUBSTITUTE(SUBSTITUTE(SUBSTITUTE(SUBSTITUTE(SUBSTITUTE(SUBSTITUTE(SUBSTITUTE(SUBSTITUTE(SUBSTITUTE(SUBSTITUTE(SUBSTITUTE(SUBSTITUTE(SUBSTITUTE(SUBSTITUTE(LOWER(AC545&amp;""),CHAR(10)," "),CHAR(13)," "),CHAR(9)," "),CHAR(160)," "),"."," "),","," "),"-"," "),"/"," "),"("," "),")"," "),":"," "),";"," "),"_"," "),"–"," "),"?"," "),"!"," "),"*"," "),"["," "),"]"," "),"'"," "),"#"," "),"+"," "),"&amp;"," "),"\"," "))&amp;" "</f>
        <v>  </v>
      </c>
      <c r="BG545" s="61" t="n">
        <f aca="false">IFERROR(IF(AND(TRIM(U545)="Pass",SUMPRODUCT((LEN(BC545)-LEN(SUBSTITUTE(BC545," "&amp;L_ResultBad&amp;" "," ")))/(LEN(L_ResultBad)+1))&gt;SUMPRODUCT((LEN(BC545)-LEN(SUBSTITUTE(BC545," "&amp;L_NegPhrase&amp;" "," ")))/(LEN(L_NegPhrase)+1))),1,0),0)</f>
        <v>0</v>
      </c>
      <c r="BH545" s="61" t="n">
        <f aca="false">IFERROR(IF(SUMPRODUCT((LEN(BC545)-LEN(SUBSTITUTE(BC545," "&amp;L_Pending&amp;" "," ")))/(LEN(L_Pending)+1))&gt;SUMPRODUCT((LEN(BC545)-LEN(SUBSTITUTE(BC545," "&amp;L_PendNeg&amp;" "," ")))/(LEN(L_PendNeg)+1))+SUMPRODUCT((LEN(BC545)-LEN(SUBSTITUTE(BC545," "&amp;L_PendPrep&amp;" "," ")))/(LEN(L_PendPrep)+1)),1,0),1)</f>
        <v>0</v>
      </c>
      <c r="BI545" s="61" t="n">
        <f aca="false">IFERROR(IF(SUMPRODUCT((LEN(BD545)-LEN(SUBSTITUTE(BD545," "&amp;L_PendStrict&amp;" "," ")))/(LEN(L_PendStrict)+1))&gt;SUMPRODUCT((LEN(BD545)-LEN(SUBSTITUTE(BD545," "&amp;L_PendNeg&amp;" "," ")))/(LEN(L_PendNeg)+1)),1,0),1)</f>
        <v>0</v>
      </c>
      <c r="BJ545" s="61" t="n">
        <f aca="false">IFERROR(IF(SUMPRODUCT((LEN(BE545)-LEN(SUBSTITUTE(BE545," "&amp;L_Pending&amp;" "," ")))/(LEN(L_Pending)+1))&gt;SUMPRODUCT((LEN(BE545)-LEN(SUBSTITUTE(BE545," "&amp;L_PendNeg&amp;" "," ")))/(LEN(L_PendNeg)+1))+SUMPRODUCT((LEN(BE545)-LEN(SUBSTITUTE(BE545," "&amp;L_PendPrep&amp;" "," ")))/(LEN(L_PendPrep)+1)),1,0),1)</f>
        <v>0</v>
      </c>
      <c r="BK545" s="61" t="n">
        <f aca="false">IFERROR(IF(SUMPRODUCT((LEN(BF545)-LEN(SUBSTITUTE(BF545," "&amp;L_PendStrict&amp;" "," ")))/(LEN(L_PendStrict)+1))&gt;SUMPRODUCT((LEN(BF545)-LEN(SUBSTITUTE(BF545," "&amp;L_PendNeg&amp;" "," ")))/(LEN(L_PendNeg)+1)),1,0),1)</f>
        <v>0</v>
      </c>
      <c r="BL545" s="61" t="n">
        <f aca="false">IF(ISNA(MATCH(TRIM(S545),L_EvidenceType,0)),0,BZ545)</f>
        <v>0</v>
      </c>
      <c r="BM545" s="61" t="str">
        <f aca="false">SUBSTITUTE(SUBSTITUTE(SUBSTITUTE(SUBSTITUTE(SUBSTITUTE(SUBSTITUTE(SUBSTITUTE(SUBSTITUTE(SUBSTITUTE(LOWER(Z545&amp;""),"1","0"),"2","0"),"3","0"),"4","0"),"5","0"),"6","0"),"7","0"),"8","0"),"9","0")</f>
        <v/>
      </c>
      <c r="BN545" s="61" t="str">
        <f aca="false">SUBSTITUTE(SUBSTITUTE(SUBSTITUTE(SUBSTITUTE(SUBSTITUTE(SUBSTITUTE(SUBSTITUTE(SUBSTITUTE(SUBSTITUTE(SUBSTITUTE(SUBSTITUTE(SUBSTITUTE(SUBSTITUTE(SUBSTITUTE(SUBSTITUTE(SUBSTITUTE(SUBSTITUTE(SUBSTITUTE(SUBSTITUTE(SUBSTITUTE(SUBSTITUTE(SUBSTITUTE(SUBSTITUTE(SUBSTITUTE(SUBSTITUTE(BM545,"b","a"),"c","a"),"d","a"),"e","a"),"f","a"),"g","a"),"h","a"),"i","a"),"j","a"),"k","a"),"l","a"),"m","a"),"n","a"),"o","a"),"p","a"),"q","a"),"r","a"),"s","a"),"t","a"),"u","a"),"v","a"),"w","a"),"x","a"),"y","a"),"z","a")</f>
        <v/>
      </c>
      <c r="BO545" s="61" t="str">
        <f aca="false">SUBSTITUTE(SUBSTITUTE(SUBSTITUTE(SUBSTITUTE(SUBSTITUTE(SUBSTITUTE(SUBSTITUTE(SUBSTITUTE(SUBSTITUTE(LOWER(W545&amp;""),"1","0"),"2","0"),"3","0"),"4","0"),"5","0"),"6","0"),"7","0"),"8","0"),"9","0")</f>
        <v/>
      </c>
      <c r="BP545" s="61" t="str">
        <f aca="false">SUBSTITUTE(SUBSTITUTE(SUBSTITUTE(SUBSTITUTE(SUBSTITUTE(SUBSTITUTE(SUBSTITUTE(SUBSTITUTE(SUBSTITUTE(SUBSTITUTE(SUBSTITUTE(SUBSTITUTE(SUBSTITUTE(SUBSTITUTE(SUBSTITUTE(SUBSTITUTE(SUBSTITUTE(SUBSTITUTE(SUBSTITUTE(SUBSTITUTE(SUBSTITUTE(SUBSTITUTE(SUBSTITUTE(SUBSTITUTE(SUBSTITUTE(BO545,"b","a"),"c","a"),"d","a"),"e","a"),"f","a"),"g","a"),"h","a"),"i","a"),"j","a"),"k","a"),"l","a"),"m","a"),"n","a"),"o","a"),"p","a"),"q","a"),"r","a"),"s","a"),"t","a"),"u","a"),"v","a"),"w","a"),"x","a"),"y","a"),"z","a")</f>
        <v/>
      </c>
      <c r="BQ545" s="61" t="n">
        <f aca="false">IFERROR(IF(AND(ISERROR(SEARCH(" mh"," "&amp;LOWER(W545))),ISNA(MATCH(LEFT(TRIM(BP545),255),{"0000a","000a","00a","0000aa","000aa","00aa","0aa","0000aaa","000aaa","00a00","0a00","0000-0000","00:00","a00","a0","00.00.0000","00/00/0000","00-00-0000","0000-00-00","0000/00/00","0000.00.00","00.00.00","00/00/00","00-00-00","0.00.0000","0/00/0000","0-00-0000"},0)),ISNA(MATCH(LEFT(TRIM(CA545),255),{"0000a","000a","00a","0000aa","000aa","00aa","0aa","0000aaa","000aaa","00a00","0a00","0000-0000","00:00","a00","a0","00.00.0000","00/00/0000","00-00-0000","0000-00-00","0000/00/00","0000.00.00","00.00.00","00/00/00","00-00-00","0.00.0000","0/00/0000","0-00-0000"},0)),LEN(CB545)&gt;=3,NOT(OR(SUBSTITUTE(CB545,"0","")="",AND(LEN(CB545)&gt;=4,CB545=REPT(LEFT(CB545),LEN(CB545))),ISNUMBER(MATCH(CB545,{"123","1234","12345","123456","1234567","12345678","0123","01234","012345","98765","987654","54321"},0)),AND(LEN(CB545)=8,LEFT(CB545,3)="202"))),OR(AND((LEN(CA545)-LEN(SUBSTITUTE(CA545,"a","")))&gt;=1,SUMPRODUCT(--ISNUMBER(SEARCH({"a0","a-0","a_0","a/0","a.0","a#0","0a","0-a","0_a","0/a"},BP545)))&gt;0),ISNUMBER(SEARCH("000000",BP545)))),1,0),0)</f>
        <v>0</v>
      </c>
      <c r="BR545" s="61" t="n">
        <f aca="false">IFERROR(LEN(SUBSTITUTE(CC545," ",""))-SUMPRODUCT((LEN(CC545)-LEN(SUBSTITUTE(CC545," "&amp;L_Role&amp;" "," ")))/(LEN(L_Role)+1)*LEN(L_Role)),0)</f>
        <v>0</v>
      </c>
      <c r="BS545" s="61" t="n">
        <f aca="false">IFERROR(LEN(SUBSTITUTE(CD545," ",""))-SUMPRODUCT((LEN(CD545)-LEN(SUBSTITUTE(CD545," "&amp;L_Role&amp;" "," ")))/(LEN(L_Role)+1)*LEN(L_Role)),0)</f>
        <v>0</v>
      </c>
      <c r="BT5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545,"revision",""),"version",""),"jan",""),"feb",""),"mar",""),"apr",""),"may",""),"jun",""),"jul",""),"aug",""),"sep",""),"oct",""),"nov",""),"dec",""),"utc",""),"gmt",""),"myt",""),"bst",""),"rev",""),"ver",""),"b","a"),"c","a"),"d","a"),"e","a"),"f","a"),"g","a"),"h","a"),"i","a"),"j","a"),"k","a"),"l","a"),"m","a"),"n","a"),"o","a"),"p","a"),"q","a"),"r","a"),"s","a"),"t","a"),"u","a"),"v","a"),"w","a"),"x","a"),"y","a"),"z","a")</f>
        <v/>
      </c>
      <c r="BU545" s="61" t="str">
        <f aca="false">SUBSTITUTE(SUBSTITUTE(SUBSTITUTE(SUBSTITUTE(SUBSTITUTE(SUBSTITUTE(SUBSTITUTE(SUBSTITUTE(SUBSTITUTE(SUBSTITUTE(LEFT(BM545,FIND("0",BM545&amp;"0")-1),"-",""),"_",""),"/",""),".",""),"#",""),"\\",""),":","")," ",""),"(",""),")","")</f>
        <v/>
      </c>
      <c r="BV545" s="61" t="n">
        <f aca="false">0</f>
        <v>0</v>
      </c>
      <c r="BW5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545&amp;""),"a",""),"b",""),"c",""),"d",""),"e",""),"f",""),"g",""),"h",""),"i",""),"j",""),"k",""),"l",""),"m",""),"n",""),"o",""),"p",""),"q",""),"r",""),"s",""),"t",""),"u",""),"v",""),"w",""),"x",""),"y",""),"z",""),"-",""),"_",""),"/",""),".",""),"#",""),"\\",""),":","")," ",""),"(",""),")","")</f>
        <v/>
      </c>
      <c r="BX545" s="61" t="str">
        <f aca="false">SUBSTITUTE(SUBSTITUTE(SUBSTITUTE(SUBSTITUTE(SUBSTITUTE(SUBSTITUTE(SUBSTITUTE(SUBSTITUTE(SUBSTITUTE(SUBSTITUTE(SUBSTITUTE(BM545,"0",""),"-",""),"_",""),"/",""),".",""),"#",""),"\\",""),":","")," ",""),"(",""),")","")</f>
        <v/>
      </c>
      <c r="BY545" s="62" t="n">
        <f aca="false">Q545-T12EarlyH/24</f>
        <v>46321.2847222222</v>
      </c>
      <c r="BZ545" s="61" t="n">
        <f aca="false">IFERROR(IF(IF(TRIM(S545)="Link / file path",AND(LEN(TRIM(Z545))&gt;=5,SUMPRODUCT(--ISNUMBER(SEARCH({"http","www.","\\",":\",".pdf",".jpg",".jpeg",".png",".heic",".xls",".doc",".msg",".eml",".ppt",".txt",".zip"},Z545)))&gt;0),AND(ISERROR(FIND(" ",TRIM(Z545))),NOT(OR(SUMPRODUCT(--ISNUMBER(FIND({",",";","&amp;","+"},Z545)))&gt;0,SUMPRODUCT(--ISNUMBER(SEARCH({"0/aa","0\\aa"},BN545)))&gt;0)),NOT(SUMPRODUCT(--ISNUMBER(SEARCH({"http","www.","\\",":\",".pdf",".jpg",".jpeg",".png",".heic",".xls",".doc",".msg",".eml",".ppt",".txt",".zip"},Z545)))&gt;0),NOT(LOWER(TRIM(Z545))=LOWER(Flights!$F$21)),ISNA(MATCH(BU545,{"mh","rev","revision","ver","version","v","r","a","b","seat","tray","row","gate","bay","stand","page","pg","item","line","no","cart","galley","flight","flt","table","box","bag","oven","etd","eta","std","sta","atd","ata","qty","pax","x","time","tel","ph","mob","day","wk","week","utc","gmt","myt","lt"},0)),NOT(OR(ISNUMBER(MATCH(LEFT(BN545,255),{"0000a","000a","00a","0000aa","000aa","00aa","0aa","0000aaa","000aaa","00a00","0a00","0000-0000","00:00","a00","a0","00.00.0000","00/00/0000","00-00-0000","0000-00-00","0000/00/00","0000.00.00","00.00.00","00/00/00","00-00-00","0.00.0000","0/00/0000","0-00-0000"},0)),ISNUMBER(MATCH(LEFT(BT545,255),{"0000a","000a","00a","0000aa","000aa","00aa","0aa","0000aaa","000aaa","00a00","0a00","0000-0000","00:00","a00","a0","00.00.0000","00/00/0000","00-00-0000","0000-00-00","0000/00/00","0000.00.00","00.00.00","00/00/00","00-00-00","0.00.0000","0/00/0000","0-00-0000"},0)))),NOT(OR(AND(BW545&lt;&gt;"",SUBSTITUTE(BW545,"0","")=""),AND(LEN(BW545)&gt;=4,BW545=REPT(LEFT(BW545),LEN(BW545))),ISNUMBER(MATCH(BW545,{"123","1234","12345","123456","1234567","12345678","0123","01234","012345","98765","987654","54321"},0)),ISNUMBER(MATCH(BX545,{"x","xx","xxx","xxxx","xxxxx","abc","abcd","nil","na","nan","test","tbc","tba","tbd","dummy","sample","example","eg","zz","zzz","none","null","xyz","qwe","asd","id","ref"},0)),AND(LEN(BW545)=8,BX545="",OR(LEFT(BW545,3)="202",ISNUMBER(MATCH(RIGHT(BW545,4),{"2025","2026","2027"},0)))))),OR(AND((LEN(BT545)-LEN(SUBSTITUTE(BT545,"a","")))&gt;=1,(LEN(BN545)-LEN(SUBSTITUTE(BN545,"0","")))&gt;=2,SUMPRODUCT(--ISNUMBER(SEARCH({"a0","a-0","a_0","a/0","a.0","a#0","0a","0-a","0_a","0/a"},BN545)))&gt;0),AND((LEN(BN545)-LEN(SUBSTITUTE(BN545,"a","")))=0,(LEN(BN545)-LEN(SUBSTITUTE(BN545,"0","")))&gt;=5)))),1,0),0)</f>
        <v>0</v>
      </c>
      <c r="CA5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545,"revision",""),"version",""),"jan",""),"feb",""),"mar",""),"apr",""),"may",""),"jun",""),"jul",""),"aug",""),"sep",""),"oct",""),"nov",""),"dec",""),"utc",""),"gmt",""),"myt",""),"bst",""),"rev",""),"ver",""),"b","a"),"c","a"),"d","a"),"e","a"),"f","a"),"g","a"),"h","a"),"i","a"),"j","a"),"k","a"),"l","a"),"m","a"),"n","a"),"o","a"),"p","a"),"q","a"),"r","a"),"s","a"),"t","a"),"u","a"),"v","a"),"w","a"),"x","a"),"y","a"),"z","a")</f>
        <v/>
      </c>
      <c r="CB5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545&amp;""),"a",""),"b",""),"c",""),"d",""),"e",""),"f",""),"g",""),"h",""),"i",""),"j",""),"k",""),"l",""),"m",""),"n",""),"o",""),"p",""),"q",""),"r",""),"s",""),"t",""),"u",""),"v",""),"w",""),"x",""),"y",""),"z",""),"-",""),"_",""),"/",""),".",""),"#",""),"\\",""),":","")," ",""),"(",""),")","")</f>
        <v/>
      </c>
      <c r="CC545" s="0" t="str">
        <f aca="false">" "&amp;TRIM(SUBSTITUTE(SUBSTITUTE(SUBSTITUTE(SUBSTITUTE(SUBSTITUTE(SUBSTITUTE(SUBSTITUTE(SUBSTITUTE(SUBSTITUTE(SUBSTITUTE(SUBSTITUTE(SUBSTITUTE(SUBSTITUTE(SUBSTITUTE(SUBSTITUTE(SUBSTITUTE(SUBSTITUTE(SUBSTITUTE(SUBSTITUTE(SUBSTITUTE(SUBSTITUTE(SUBSTITUTE(SUBSTITUTE(SUBSTITUTE(LOWER(T545&amp;""),CHAR(10)," "),CHAR(13)," "),CHAR(9)," "),CHAR(160)," "),"."," "),","," "),"-"," "),"/"," "),"("," "),")"," "),":"," "),";"," "),"_"," "),"–"," "),"?"," "),"!"," "),"*"," "),"["," "),"]"," "),"'"," "),"#"," "),"+"," "),"&amp;"," "),"\"," "))&amp;" "</f>
        <v>  </v>
      </c>
      <c r="CD545" s="0" t="str">
        <f aca="false">" "&amp;TRIM(SUBSTITUTE(SUBSTITUTE(SUBSTITUTE(SUBSTITUTE(SUBSTITUTE(SUBSTITUTE(SUBSTITUTE(SUBSTITUTE(SUBSTITUTE(SUBSTITUTE(SUBSTITUTE(SUBSTITUTE(SUBSTITUTE(SUBSTITUTE(SUBSTITUTE(SUBSTITUTE(SUBSTITUTE(SUBSTITUTE(SUBSTITUTE(SUBSTITUTE(SUBSTITUTE(SUBSTITUTE(SUBSTITUTE(SUBSTITUTE(LOWER(AE545&amp;""),CHAR(10)," "),CHAR(13)," "),CHAR(9)," "),CHAR(160)," "),"."," "),","," "),"-"," "),"/"," "),"("," "),")"," "),":"," "),";"," "),"_"," "),"–"," "),"?"," "),"!"," "),"*"," "),"["," "),"]"," "),"'"," "),"#"," "),"+"," "),"&amp;"," "),"\"," "))&amp;" "</f>
        <v>  </v>
      </c>
      <c r="CE545" s="68" t="n">
        <f aca="false">IFERROR(IF(AND(LEN(AU545)&gt;0,LEN(AU545)=LEN(AX545),OR(TRIM(MID(SUBSTITUTE(TRIM(CC545)," ",REPT(" ",60)),1,60))="",ISNUMBER(SEARCH(" "&amp;TRIM(MID(SUBSTITUTE(TRIM(CC545)," ",REPT(" ",60)),1,60))&amp;" ",CD545))),OR(TRIM(MID(SUBSTITUTE(TRIM(CC545)," ",REPT(" ",60)),61,60))="",ISNUMBER(SEARCH(" "&amp;TRIM(MID(SUBSTITUTE(TRIM(CC545)," ",REPT(" ",60)),61,60))&amp;" ",CD545))),OR(TRIM(MID(SUBSTITUTE(TRIM(CC545)," ",REPT(" ",60)),121,60))="",ISNUMBER(SEARCH(" "&amp;TRIM(MID(SUBSTITUTE(TRIM(CC545)," ",REPT(" ",60)),121,60))&amp;" ",CD545)))),1,0),0)</f>
        <v>0</v>
      </c>
      <c r="CG545" s="68" t="n">
        <f aca="false">IFERROR(LEN(SUBSTITUTE(BF545," ",""))-SUMPRODUCT((LEN(BF545)-LEN(SUBSTITUTE(BF545," "&amp;L_NAFiller&amp;" "," ")))/(LEN(L_NAFiller)+1)*LEN(L_NAFiller)),0)</f>
        <v>0</v>
      </c>
    </row>
    <row r="546" customFormat="false" ht="39.75" hidden="false" customHeight="true" outlineLevel="0" collapsed="false">
      <c r="A546" s="57" t="s">
        <v>1217</v>
      </c>
      <c r="B546" s="57" t="s">
        <v>290</v>
      </c>
      <c r="C546" s="57" t="str">
        <f aca="false">Flights!$F$21</f>
        <v>MH0073</v>
      </c>
      <c r="D546" s="58" t="n">
        <f aca="false">Flights!$D$21</f>
        <v>46322</v>
      </c>
      <c r="E546" s="57" t="str">
        <f aca="false">Flights!$G$21&amp;"-"&amp;Flights!$H$21</f>
        <v>HKG-KUL</v>
      </c>
      <c r="F546" s="57" t="str">
        <f aca="false">Flights!$K$21</f>
        <v>BC</v>
      </c>
      <c r="G546" s="57" t="s">
        <v>420</v>
      </c>
      <c r="H546" s="57" t="s">
        <v>378</v>
      </c>
      <c r="I546" s="57" t="s">
        <v>428</v>
      </c>
      <c r="J546" s="57" t="s">
        <v>433</v>
      </c>
      <c r="K546" s="67"/>
      <c r="L546" s="67" t="s">
        <v>422</v>
      </c>
      <c r="M546" s="67"/>
      <c r="N546" s="67" t="s">
        <v>383</v>
      </c>
      <c r="O546" s="67" t="s">
        <v>423</v>
      </c>
      <c r="P546" s="57" t="s">
        <v>282</v>
      </c>
      <c r="Q546" s="59" t="n">
        <f aca="false">ROUND((Flights!$AE$21)*1440,0)/1440</f>
        <v>46321.7847222222</v>
      </c>
      <c r="R546" s="59" t="n">
        <f aca="false">Q546+(IF(AND(INDEX(TZ_DSTS,MATCH(P546,TZ_STN,0))&lt;&gt;"",Q546&gt;=INDEX(TZ_DSTS,MATCH(P546,TZ_STN,0)),Q546&lt;INDEX(TZ_DSTE,MATCH(P546,TZ_STN,0))),INDEX(TZ_DST,MATCH(P546,TZ_STN,0)),INDEX(TZ_STD,MATCH(P546,TZ_STN,0))))/24</f>
        <v>46322.1180555556</v>
      </c>
      <c r="S546" s="60"/>
      <c r="T546" s="60"/>
      <c r="U546" s="60"/>
      <c r="V546" s="60"/>
      <c r="W546" s="61"/>
      <c r="X546" s="60"/>
      <c r="Y546" s="60"/>
      <c r="Z546" s="60"/>
      <c r="AA546" s="60"/>
      <c r="AB546" s="60"/>
      <c r="AC546" s="60"/>
      <c r="AD546" s="66"/>
      <c r="AE546" s="60"/>
      <c r="AF546" s="61" t="str">
        <f aca="false">IF(AND(ISNUMBER(X546),ISNUMBER(Y546)),Y546-X546,"")</f>
        <v/>
      </c>
      <c r="AG546" s="62" t="str">
        <f aca="false">IF(ISNUMBER(AD546),AD546-(IF(AND(INDEX(TZ_DSTS,MATCH(P546,TZ_STN,0))&lt;&gt;"",(AD546-INDEX(TZ_STD,MATCH(P546,TZ_STN,0))/24)&gt;=INDEX(TZ_DSTS,MATCH(P546,TZ_STN,0)),(AD546-INDEX(TZ_STD,MATCH(P546,TZ_STN,0))/24)&lt;INDEX(TZ_DSTE,MATCH(P546,TZ_STN,0))),INDEX(TZ_DST,MATCH(P546,TZ_STN,0)),INDEX(TZ_STD,MATCH(P546,TZ_STN,0))))/24,"")</f>
        <v/>
      </c>
      <c r="AH546" s="65" t="str">
        <f aca="false">IFERROR(IF(N546="N/A – rule",IF(OR(TRIM(U546)="",TRIM(U546)="N/A",TRIM(U546)="Not started"),"N/A – RULE","INVALID – this check does not apply to this aircraft: clear the status (or correct the fleet on Flights)"),IF(TRIM(U546)="N/A",IF(AT546=0,"INVALID – N/A not permitted for this check",IF(AND(TRIM(AB546)&lt;&gt;"",TRIM(AB546)&lt;&gt;"Closed"),"INVALID – corrective action still open",IF(AND(NOT(OR(LEN(AZ546)&lt;15,ISNUMBER(MATCH(AZ546,L_Placeholder,0)))),BK546=0,CG546&gt;=8,NOT(OR(LEN(AU546)&lt;2,ISNUMBER(MATCH(AU546,L_Placeholder,0)))),BR546&gt;=3,NOT(OR(LEN(AX546)&lt;2,ISNUMBER(MATCH(AX546,L_Placeholder,0)))),BS546&gt;=3,TRIM(AE546)&lt;&gt;TRIM(T546),AX546&lt;&gt;AU546,CE546=0),"N/A – JUSTIFIED","INVALID – N/A needs a real, settled reason (not 'not applicable' / 'as above' / TBC), a named PIC and a different named verifier"))),IF(OR(TRIM(U546)="Pass",TRIM(U546)="Pass after CA"),IF(NOT(ISNUMBER(AD546)),"INVALID – completion time missing",IF(OR(OR(LEN(AU546)&lt;2,ISNUMBER(MATCH(AU546,L_Placeholder,0))),BR546&lt;3),"INVALID – PIC missing or not a named person (a role such as QA / CSM is not a name)",IF(OR(LEN(AV546)&lt;2,ISNUMBER(MATCH(AV546,L_Placeholder,0))),"INVALID – result / assessment missing",IF(OR(OR(LEN(AW546)&lt;3,ISNUMBER(MATCH(AW546,L_Placeholder,0))),SUMPRODUCT(--ISNUMBER(SEARCH(" "&amp;L_EvidencePhrase&amp;" ",BD546)))&gt;0,BI546=1),"INVALID – evidence missing, placeholder or not yet on file",IF(ISNA(MATCH(TRIM(S546),L_EvidenceType,0)),"INVALID – choose the evidence type from the list (column S)",IF(BL546=0,"INVALID – evidence ID must be the record's own ID only (e.g. SF-2210, IMG_2231, 1045521); a link / file name needs type 'Link / file path'",IF(OR(OR(LEN(AX546)&lt;2,ISNUMBER(MATCH(AX546,L_Placeholder,0))),BS546&lt;3),"INVALID – verifier missing or not a named person (a role such as QA / CSM is not a name)",IF(OR(AX546=AU546,CE546=1,AND(LEN(AU546)&gt;=4,ISNUMBER(SEARCH(AU546,AX546))),AND(LEN(AX546)&gt;=4,ISNUMBER(SEARCH(AX546,AU546)))),"INVALID – verifier must be a different, named person (not the PIC or a role)",IF(BH546=1,"INVALID – result not yet available (awaiting / TBC)",IF(BG546=1,"INVALID – result describes a problem: record Fail, then Pass after CA (or reword if it is not a problem)",IF(BV546=1,"INVALID – wording says not on board: an on-board confirmation needs the item loaded",IF(AND(AQ546=1,OR(OR(LEN(AY546)&lt;3,ISNUMBER(MATCH(AY546,L_Placeholder,0))),BJ546=1,BQ546=0)),"INVALID – batch ID missing, placeholder or not an ID (e.g. PASB-261008-BC-017)",IF(AND(AR546=1,OR(NOT(ISNUMBER(X546)),NOT(ISNUMBER(Y546)))),"INVALID – expected/actual qty missing",IF(AND(AR546=1,OR(X546&lt;=0,Y546&lt;0)),"INVALID – expected qty must be above 0 and actual not negative",IF(BB546&lt;&gt;"",BB546,IF(AND(AS546=1,Documents!$J$21&lt;&gt;"ON FILE"),"INVALID – GLD not on file (Documents sheet)",IF(AND(AS546=2,Documents!$O$21&lt;&gt;"ON FILE"),"INVALID – menu checklist not on file (Documents sheet)",IF(AND(AS546=3,NOT(ISNUMBER(Flights!$AX$21))),"INVALID – enter carrying flight KUL departure (Flights AX)",IF(AND(AS546=3,OR(Flights!$AZ$21&gt;Flights!$AA$21,Flights!$AX$21&lt;Flights!$AA$21-3)),"INVALID – carrying flight (Flights AX) cannot arrive before this leg's STD, or is over 3 days early",IF(AG546&gt;AsOfUTC,"INVALID – completion time is in the future",IF(AND(ISNUMBER(BY546),AG546&lt;BY546),IF(H546="Physical uplift","INVALID – before uplift window (cannot confirm loading)","INVALID – before valid window"),IF(AG546&gt;Flights!$AA$21,"INVALID – completed after departure (cannot establish readiness)",IF(AND(H546="Preparation",AG546&gt;=IF(ISNUMBER(Flights!$BA$21),MIN(Flights!$BA$21,Flights!$AA$21),Flights!$AA$21)),"INVALID – completed after loading / departure (cannot establish readiness)",IF(AND(H546="Physical uplift",AG546&gt;Q546),"INVALID – recorded after the loading flight departed",IF(AG546&gt;Q546,"COMPLETE – LATE","COMPLETE"))))))))))))))))))))))))),IF(TRIM(U546)="Fail","FAIL – DISCREPANCY",IF(AND(TRIM(U546)&lt;&gt;"",TRIM(U546)&lt;&gt;"Not started",TRIM(U546)&lt;&gt;"In progress"),"INVALID – unrecognised status (use the list)",IF(AsOfUTC&gt;Q546,"OVERDUE",IF(N546="Clarification required","OPEN – CLARIFICATION","OPEN"))))))),"INVALID – error value in an input cell")</f>
        <v>OPEN</v>
      </c>
      <c r="AI546" s="61" t="n">
        <f aca="false">IF(OR(AH546="N/A – RULE",AH546="N/A – JUSTIFIED"),0,1)</f>
        <v>1</v>
      </c>
      <c r="AJ546" s="61" t="n">
        <f aca="false">IF(LEFT(AH546,8)="COMPLETE",1,0)</f>
        <v>0</v>
      </c>
      <c r="AK546" s="61" t="n">
        <f aca="false">IF(AND(AI546=1,AJ546=0,AsOfUTC&gt;Q546),1,0)</f>
        <v>0</v>
      </c>
      <c r="AL546" s="61" t="n">
        <f aca="false">IFERROR(IF(AND(AI546=1,OR(TRIM(U546)="Fail",AND(TRIM(AB546)&lt;&gt;"",TRIM(AB546)&lt;&gt;"Closed"),AND(ISNUMBER(AF546),AF546&lt;&gt;0,TRIM(U546)&lt;&gt;"Pass after CA"))),1,0),1)</f>
        <v>0</v>
      </c>
      <c r="AM546" s="61" t="n">
        <f aca="false">IF(LEFT(AH546,7)="INVALID",1,0)</f>
        <v>0</v>
      </c>
      <c r="AN546" s="61" t="n">
        <f aca="false">IF(AND(N546="Clarification required",AI546=1,AJ546=0),1,0)</f>
        <v>0</v>
      </c>
      <c r="AO546" s="61" t="str">
        <f aca="false">IF(AK546=1,SUM(AK$5:AK546),"")</f>
        <v/>
      </c>
      <c r="AP546" s="61" t="str">
        <f aca="false">IF(AL546=1,SUM(AL$5:AL546),"")</f>
        <v/>
      </c>
      <c r="AQ546" s="61" t="n">
        <v>0</v>
      </c>
      <c r="AR546" s="61" t="n">
        <v>0</v>
      </c>
      <c r="AS546" s="61" t="n">
        <v>0</v>
      </c>
      <c r="AT546" s="61" t="n">
        <v>0</v>
      </c>
      <c r="AU546" s="61" t="str">
        <f aca="false">SUBSTITUTE(SUBSTITUTE(SUBSTITUTE(SUBSTITUTE(SUBSTITUTE(SUBSTITUTE(SUBSTITUTE(SUBSTITUTE(SUBSTITUTE(SUBSTITUTE(SUBSTITUTE(SUBSTITUTE(SUBSTITUTE(SUBSTITUTE(SUBSTITUTE(SUBSTITUTE(LOWER(T546&amp;""),CHAR(10),""),CHAR(13),""),CHAR(9),""),CHAR(160),"")," ",""),".",""),"-",""),"/",""),"?",""),"_",""),",",""),"[",""),"]",""),"(",""),")",""),"*","")</f>
        <v/>
      </c>
      <c r="AV546" s="61" t="str">
        <f aca="false">SUBSTITUTE(SUBSTITUTE(SUBSTITUTE(SUBSTITUTE(SUBSTITUTE(SUBSTITUTE(SUBSTITUTE(SUBSTITUTE(SUBSTITUTE(SUBSTITUTE(SUBSTITUTE(SUBSTITUTE(SUBSTITUTE(SUBSTITUTE(SUBSTITUTE(SUBSTITUTE(LOWER(V546&amp;""),CHAR(10),""),CHAR(13),""),CHAR(9),""),CHAR(160),"")," ",""),".",""),"-",""),"/",""),"?",""),"_",""),",",""),"[",""),"]",""),"(",""),")",""),"*","")</f>
        <v/>
      </c>
      <c r="AW546" s="61" t="str">
        <f aca="false">SUBSTITUTE(SUBSTITUTE(SUBSTITUTE(SUBSTITUTE(SUBSTITUTE(SUBSTITUTE(SUBSTITUTE(SUBSTITUTE(SUBSTITUTE(SUBSTITUTE(SUBSTITUTE(SUBSTITUTE(SUBSTITUTE(SUBSTITUTE(SUBSTITUTE(SUBSTITUTE(LOWER(Z546&amp;""),CHAR(10),""),CHAR(13),""),CHAR(9),""),CHAR(160),"")," ",""),".",""),"-",""),"/",""),"?",""),"_",""),",",""),"[",""),"]",""),"(",""),")",""),"*","")</f>
        <v/>
      </c>
      <c r="AX546" s="61" t="str">
        <f aca="false">SUBSTITUTE(SUBSTITUTE(SUBSTITUTE(SUBSTITUTE(SUBSTITUTE(SUBSTITUTE(SUBSTITUTE(SUBSTITUTE(SUBSTITUTE(SUBSTITUTE(SUBSTITUTE(SUBSTITUTE(SUBSTITUTE(SUBSTITUTE(SUBSTITUTE(SUBSTITUTE(LOWER(AE546&amp;""),CHAR(10),""),CHAR(13),""),CHAR(9),""),CHAR(160),"")," ",""),".",""),"-",""),"/",""),"?",""),"_",""),",",""),"[",""),"]",""),"(",""),")",""),"*","")</f>
        <v/>
      </c>
      <c r="AY546" s="61" t="str">
        <f aca="false">SUBSTITUTE(SUBSTITUTE(SUBSTITUTE(SUBSTITUTE(SUBSTITUTE(SUBSTITUTE(SUBSTITUTE(SUBSTITUTE(SUBSTITUTE(SUBSTITUTE(SUBSTITUTE(SUBSTITUTE(SUBSTITUTE(SUBSTITUTE(SUBSTITUTE(SUBSTITUTE(LOWER(W546&amp;""),CHAR(10),""),CHAR(13),""),CHAR(9),""),CHAR(160),"")," ",""),".",""),"-",""),"/",""),"?",""),"_",""),",",""),"[",""),"]",""),"(",""),")",""),"*","")</f>
        <v/>
      </c>
      <c r="AZ546" s="61" t="str">
        <f aca="false">SUBSTITUTE(SUBSTITUTE(SUBSTITUTE(SUBSTITUTE(SUBSTITUTE(SUBSTITUTE(SUBSTITUTE(SUBSTITUTE(SUBSTITUTE(SUBSTITUTE(SUBSTITUTE(SUBSTITUTE(SUBSTITUTE(SUBSTITUTE(SUBSTITUTE(SUBSTITUTE(LOWER(AC546&amp;""),CHAR(10),""),CHAR(13),""),CHAR(9),""),CHAR(160),"")," ",""),".",""),"-",""),"/",""),"?",""),"_",""),",",""),"[",""),"]",""),"(",""),")",""),"*","")</f>
        <v/>
      </c>
      <c r="BA546" s="61" t="str">
        <f aca="false">SUBSTITUTE(SUBSTITUTE(SUBSTITUTE(SUBSTITUTE(SUBSTITUTE(SUBSTITUTE(SUBSTITUTE(SUBSTITUTE(SUBSTITUTE(SUBSTITUTE(SUBSTITUTE(SUBSTITUTE(SUBSTITUTE(SUBSTITUTE(SUBSTITUTE(SUBSTITUTE(LOWER(AA546&amp;""),CHAR(10),""),CHAR(13),""),CHAR(9),""),CHAR(160),"")," ",""),".",""),"-",""),"/",""),"?",""),"_",""),",",""),"[",""),"]",""),"(",""),")",""),"*","")</f>
        <v/>
      </c>
      <c r="BB546" s="61" t="str">
        <f aca="false">IF(AND(TRIM(U546)="Pass",ISNUMBER(AF546)),IF(AF546&lt;&gt;0,"INVALID – qty variance: use Fail or Pass after CA",""),"")&amp;IF(AND(TRIM(U546)="Pass after CA",ISNUMBER(AF546)),IF(AF546&lt;&gt;0,"INVALID – after the corrective action the actual qty must equal expected (update Actual)",""),"")&amp;IF(AND(TRIM(U546)="Pass",TRIM(AB546)&lt;&gt;"",TRIM(AB546)&lt;&gt;"Closed"),"INVALID – corrective action not closed: use Fail, then Pass after CA","")&amp;IF(AND(LEN(BA546)&gt;=2,ISNA(MATCH(LEFT(BA546,255),L_Placeholder,0)),TRIM(AB546)=""),"INVALID – CA status missing for the recorded corrective action","")&amp;IF(AND(TRIM(U546)="Pass after CA",OR(OR(LEN(BA546)&lt;5,ISNUMBER(MATCH(BA546,L_Placeholder,0))),TRIM(AB546)&lt;&gt;"Closed")),"INVALID – corrective action not recorded/closed","")</f>
        <v/>
      </c>
      <c r="BC546" s="61" t="str">
        <f aca="false">" "&amp;TRIM(SUBSTITUTE(SUBSTITUTE(SUBSTITUTE(SUBSTITUTE(SUBSTITUTE(SUBSTITUTE(SUBSTITUTE(SUBSTITUTE(SUBSTITUTE(SUBSTITUTE(SUBSTITUTE(SUBSTITUTE(SUBSTITUTE(SUBSTITUTE(SUBSTITUTE(SUBSTITUTE(SUBSTITUTE(SUBSTITUTE(SUBSTITUTE(SUBSTITUTE(SUBSTITUTE(SUBSTITUTE(SUBSTITUTE(SUBSTITUTE(LOWER(V546&amp;""),CHAR(10)," "),CHAR(13)," "),CHAR(9)," "),CHAR(160)," "),"."," "),","," "),"-"," "),"/"," "),"("," "),")"," "),":"," "),";"," "),"_"," "),"–"," "),"?"," "),"!"," "),"*"," "),"["," "),"]"," "),"'"," "),"#"," "),"+"," "),"&amp;"," "),"\"," "))&amp;" "</f>
        <v>  </v>
      </c>
      <c r="BD546" s="61" t="str">
        <f aca="false">" "&amp;TRIM(SUBSTITUTE(SUBSTITUTE(SUBSTITUTE(SUBSTITUTE(SUBSTITUTE(SUBSTITUTE(SUBSTITUTE(SUBSTITUTE(SUBSTITUTE(SUBSTITUTE(SUBSTITUTE(SUBSTITUTE(SUBSTITUTE(SUBSTITUTE(SUBSTITUTE(SUBSTITUTE(SUBSTITUTE(SUBSTITUTE(SUBSTITUTE(SUBSTITUTE(SUBSTITUTE(SUBSTITUTE(SUBSTITUTE(SUBSTITUTE(LOWER(Z546&amp;""),CHAR(10)," "),CHAR(13)," "),CHAR(9)," "),CHAR(160)," "),"."," "),","," "),"-"," "),"/"," "),"("," "),")"," "),":"," "),";"," "),"_"," "),"–"," "),"?"," "),"!"," "),"*"," "),"["," "),"]"," "),"'"," "),"#"," "),"+"," "),"&amp;"," "),"\"," "))&amp;" "</f>
        <v>  </v>
      </c>
      <c r="BE546" s="61" t="str">
        <f aca="false">" "&amp;TRIM(SUBSTITUTE(SUBSTITUTE(SUBSTITUTE(SUBSTITUTE(SUBSTITUTE(SUBSTITUTE(SUBSTITUTE(SUBSTITUTE(SUBSTITUTE(SUBSTITUTE(SUBSTITUTE(SUBSTITUTE(SUBSTITUTE(SUBSTITUTE(SUBSTITUTE(SUBSTITUTE(SUBSTITUTE(SUBSTITUTE(SUBSTITUTE(SUBSTITUTE(SUBSTITUTE(SUBSTITUTE(SUBSTITUTE(SUBSTITUTE(LOWER(W546&amp;""),CHAR(10)," "),CHAR(13)," "),CHAR(9)," "),CHAR(160)," "),"."," "),","," "),"-"," "),"/"," "),"("," "),")"," "),":"," "),";"," "),"_"," "),"–"," "),"?"," "),"!"," "),"*"," "),"["," "),"]"," "),"'"," "),"#"," "),"+"," "),"&amp;"," "),"\"," "))&amp;" "</f>
        <v>  </v>
      </c>
      <c r="BF546" s="61" t="str">
        <f aca="false">" "&amp;TRIM(SUBSTITUTE(SUBSTITUTE(SUBSTITUTE(SUBSTITUTE(SUBSTITUTE(SUBSTITUTE(SUBSTITUTE(SUBSTITUTE(SUBSTITUTE(SUBSTITUTE(SUBSTITUTE(SUBSTITUTE(SUBSTITUTE(SUBSTITUTE(SUBSTITUTE(SUBSTITUTE(SUBSTITUTE(SUBSTITUTE(SUBSTITUTE(SUBSTITUTE(SUBSTITUTE(SUBSTITUTE(SUBSTITUTE(SUBSTITUTE(LOWER(AC546&amp;""),CHAR(10)," "),CHAR(13)," "),CHAR(9)," "),CHAR(160)," "),"."," "),","," "),"-"," "),"/"," "),"("," "),")"," "),":"," "),";"," "),"_"," "),"–"," "),"?"," "),"!"," "),"*"," "),"["," "),"]"," "),"'"," "),"#"," "),"+"," "),"&amp;"," "),"\"," "))&amp;" "</f>
        <v>  </v>
      </c>
      <c r="BG546" s="61" t="n">
        <f aca="false">IFERROR(IF(AND(TRIM(U546)="Pass",SUMPRODUCT((LEN(BC546)-LEN(SUBSTITUTE(BC546," "&amp;L_ResultBad&amp;" "," ")))/(LEN(L_ResultBad)+1))&gt;SUMPRODUCT((LEN(BC546)-LEN(SUBSTITUTE(BC546," "&amp;L_NegPhrase&amp;" "," ")))/(LEN(L_NegPhrase)+1))),1,0),0)</f>
        <v>0</v>
      </c>
      <c r="BH546" s="61" t="n">
        <f aca="false">IFERROR(IF(SUMPRODUCT((LEN(BC546)-LEN(SUBSTITUTE(BC546," "&amp;L_Pending&amp;" "," ")))/(LEN(L_Pending)+1))&gt;SUMPRODUCT((LEN(BC546)-LEN(SUBSTITUTE(BC546," "&amp;L_PendNeg&amp;" "," ")))/(LEN(L_PendNeg)+1))+SUMPRODUCT((LEN(BC546)-LEN(SUBSTITUTE(BC546," "&amp;L_PendPrep&amp;" "," ")))/(LEN(L_PendPrep)+1)),1,0),1)</f>
        <v>0</v>
      </c>
      <c r="BI546" s="61" t="n">
        <f aca="false">IFERROR(IF(SUMPRODUCT((LEN(BD546)-LEN(SUBSTITUTE(BD546," "&amp;L_PendStrict&amp;" "," ")))/(LEN(L_PendStrict)+1))&gt;SUMPRODUCT((LEN(BD546)-LEN(SUBSTITUTE(BD546," "&amp;L_PendNeg&amp;" "," ")))/(LEN(L_PendNeg)+1)),1,0),1)</f>
        <v>0</v>
      </c>
      <c r="BJ546" s="61" t="n">
        <f aca="false">IFERROR(IF(SUMPRODUCT((LEN(BE546)-LEN(SUBSTITUTE(BE546," "&amp;L_Pending&amp;" "," ")))/(LEN(L_Pending)+1))&gt;SUMPRODUCT((LEN(BE546)-LEN(SUBSTITUTE(BE546," "&amp;L_PendNeg&amp;" "," ")))/(LEN(L_PendNeg)+1))+SUMPRODUCT((LEN(BE546)-LEN(SUBSTITUTE(BE546," "&amp;L_PendPrep&amp;" "," ")))/(LEN(L_PendPrep)+1)),1,0),1)</f>
        <v>0</v>
      </c>
      <c r="BK546" s="61" t="n">
        <f aca="false">IFERROR(IF(SUMPRODUCT((LEN(BF546)-LEN(SUBSTITUTE(BF546," "&amp;L_PendStrict&amp;" "," ")))/(LEN(L_PendStrict)+1))&gt;SUMPRODUCT((LEN(BF546)-LEN(SUBSTITUTE(BF546," "&amp;L_PendNeg&amp;" "," ")))/(LEN(L_PendNeg)+1)),1,0),1)</f>
        <v>0</v>
      </c>
      <c r="BL546" s="61" t="n">
        <f aca="false">IF(ISNA(MATCH(TRIM(S546),L_EvidenceType,0)),0,BZ546)</f>
        <v>0</v>
      </c>
      <c r="BM546" s="61" t="str">
        <f aca="false">SUBSTITUTE(SUBSTITUTE(SUBSTITUTE(SUBSTITUTE(SUBSTITUTE(SUBSTITUTE(SUBSTITUTE(SUBSTITUTE(SUBSTITUTE(LOWER(Z546&amp;""),"1","0"),"2","0"),"3","0"),"4","0"),"5","0"),"6","0"),"7","0"),"8","0"),"9","0")</f>
        <v/>
      </c>
      <c r="BN546" s="61" t="str">
        <f aca="false">SUBSTITUTE(SUBSTITUTE(SUBSTITUTE(SUBSTITUTE(SUBSTITUTE(SUBSTITUTE(SUBSTITUTE(SUBSTITUTE(SUBSTITUTE(SUBSTITUTE(SUBSTITUTE(SUBSTITUTE(SUBSTITUTE(SUBSTITUTE(SUBSTITUTE(SUBSTITUTE(SUBSTITUTE(SUBSTITUTE(SUBSTITUTE(SUBSTITUTE(SUBSTITUTE(SUBSTITUTE(SUBSTITUTE(SUBSTITUTE(SUBSTITUTE(BM546,"b","a"),"c","a"),"d","a"),"e","a"),"f","a"),"g","a"),"h","a"),"i","a"),"j","a"),"k","a"),"l","a"),"m","a"),"n","a"),"o","a"),"p","a"),"q","a"),"r","a"),"s","a"),"t","a"),"u","a"),"v","a"),"w","a"),"x","a"),"y","a"),"z","a")</f>
        <v/>
      </c>
      <c r="BO546" s="61" t="str">
        <f aca="false">SUBSTITUTE(SUBSTITUTE(SUBSTITUTE(SUBSTITUTE(SUBSTITUTE(SUBSTITUTE(SUBSTITUTE(SUBSTITUTE(SUBSTITUTE(LOWER(W546&amp;""),"1","0"),"2","0"),"3","0"),"4","0"),"5","0"),"6","0"),"7","0"),"8","0"),"9","0")</f>
        <v/>
      </c>
      <c r="BP546" s="61" t="str">
        <f aca="false">SUBSTITUTE(SUBSTITUTE(SUBSTITUTE(SUBSTITUTE(SUBSTITUTE(SUBSTITUTE(SUBSTITUTE(SUBSTITUTE(SUBSTITUTE(SUBSTITUTE(SUBSTITUTE(SUBSTITUTE(SUBSTITUTE(SUBSTITUTE(SUBSTITUTE(SUBSTITUTE(SUBSTITUTE(SUBSTITUTE(SUBSTITUTE(SUBSTITUTE(SUBSTITUTE(SUBSTITUTE(SUBSTITUTE(SUBSTITUTE(SUBSTITUTE(BO546,"b","a"),"c","a"),"d","a"),"e","a"),"f","a"),"g","a"),"h","a"),"i","a"),"j","a"),"k","a"),"l","a"),"m","a"),"n","a"),"o","a"),"p","a"),"q","a"),"r","a"),"s","a"),"t","a"),"u","a"),"v","a"),"w","a"),"x","a"),"y","a"),"z","a")</f>
        <v/>
      </c>
      <c r="BQ546" s="61" t="n">
        <f aca="false">IFERROR(IF(AND(ISERROR(SEARCH(" mh"," "&amp;LOWER(W546))),ISNA(MATCH(LEFT(TRIM(BP546),255),{"0000a","000a","00a","0000aa","000aa","00aa","0aa","0000aaa","000aaa","00a00","0a00","0000-0000","00:00","a00","a0","00.00.0000","00/00/0000","00-00-0000","0000-00-00","0000/00/00","0000.00.00","00.00.00","00/00/00","00-00-00","0.00.0000","0/00/0000","0-00-0000"},0)),ISNA(MATCH(LEFT(TRIM(CA546),255),{"0000a","000a","00a","0000aa","000aa","00aa","0aa","0000aaa","000aaa","00a00","0a00","0000-0000","00:00","a00","a0","00.00.0000","00/00/0000","00-00-0000","0000-00-00","0000/00/00","0000.00.00","00.00.00","00/00/00","00-00-00","0.00.0000","0/00/0000","0-00-0000"},0)),LEN(CB546)&gt;=3,NOT(OR(SUBSTITUTE(CB546,"0","")="",AND(LEN(CB546)&gt;=4,CB546=REPT(LEFT(CB546),LEN(CB546))),ISNUMBER(MATCH(CB546,{"123","1234","12345","123456","1234567","12345678","0123","01234","012345","98765","987654","54321"},0)),AND(LEN(CB546)=8,LEFT(CB546,3)="202"))),OR(AND((LEN(CA546)-LEN(SUBSTITUTE(CA546,"a","")))&gt;=1,SUMPRODUCT(--ISNUMBER(SEARCH({"a0","a-0","a_0","a/0","a.0","a#0","0a","0-a","0_a","0/a"},BP546)))&gt;0),ISNUMBER(SEARCH("000000",BP546)))),1,0),0)</f>
        <v>0</v>
      </c>
      <c r="BR546" s="61" t="n">
        <f aca="false">IFERROR(LEN(SUBSTITUTE(CC546," ",""))-SUMPRODUCT((LEN(CC546)-LEN(SUBSTITUTE(CC546," "&amp;L_Role&amp;" "," ")))/(LEN(L_Role)+1)*LEN(L_Role)),0)</f>
        <v>0</v>
      </c>
      <c r="BS546" s="61" t="n">
        <f aca="false">IFERROR(LEN(SUBSTITUTE(CD546," ",""))-SUMPRODUCT((LEN(CD546)-LEN(SUBSTITUTE(CD546," "&amp;L_Role&amp;" "," ")))/(LEN(L_Role)+1)*LEN(L_Role)),0)</f>
        <v>0</v>
      </c>
      <c r="BT5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546,"revision",""),"version",""),"jan",""),"feb",""),"mar",""),"apr",""),"may",""),"jun",""),"jul",""),"aug",""),"sep",""),"oct",""),"nov",""),"dec",""),"utc",""),"gmt",""),"myt",""),"bst",""),"rev",""),"ver",""),"b","a"),"c","a"),"d","a"),"e","a"),"f","a"),"g","a"),"h","a"),"i","a"),"j","a"),"k","a"),"l","a"),"m","a"),"n","a"),"o","a"),"p","a"),"q","a"),"r","a"),"s","a"),"t","a"),"u","a"),"v","a"),"w","a"),"x","a"),"y","a"),"z","a")</f>
        <v/>
      </c>
      <c r="BU546" s="61" t="str">
        <f aca="false">SUBSTITUTE(SUBSTITUTE(SUBSTITUTE(SUBSTITUTE(SUBSTITUTE(SUBSTITUTE(SUBSTITUTE(SUBSTITUTE(SUBSTITUTE(SUBSTITUTE(LEFT(BM546,FIND("0",BM546&amp;"0")-1),"-",""),"_",""),"/",""),".",""),"#",""),"\\",""),":","")," ",""),"(",""),")","")</f>
        <v/>
      </c>
      <c r="BV546" s="61" t="n">
        <f aca="false">0</f>
        <v>0</v>
      </c>
      <c r="BW5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546&amp;""),"a",""),"b",""),"c",""),"d",""),"e",""),"f",""),"g",""),"h",""),"i",""),"j",""),"k",""),"l",""),"m",""),"n",""),"o",""),"p",""),"q",""),"r",""),"s",""),"t",""),"u",""),"v",""),"w",""),"x",""),"y",""),"z",""),"-",""),"_",""),"/",""),".",""),"#",""),"\\",""),":","")," ",""),"(",""),")","")</f>
        <v/>
      </c>
      <c r="BX546" s="61" t="str">
        <f aca="false">SUBSTITUTE(SUBSTITUTE(SUBSTITUTE(SUBSTITUTE(SUBSTITUTE(SUBSTITUTE(SUBSTITUTE(SUBSTITUTE(SUBSTITUTE(SUBSTITUTE(SUBSTITUTE(BM546,"0",""),"-",""),"_",""),"/",""),".",""),"#",""),"\\",""),":","")," ",""),"(",""),")","")</f>
        <v/>
      </c>
      <c r="BY546" s="62" t="n">
        <f aca="false">Q546-T12EarlyH/24</f>
        <v>46321.2847222222</v>
      </c>
      <c r="BZ546" s="61" t="n">
        <f aca="false">IFERROR(IF(IF(TRIM(S546)="Link / file path",AND(LEN(TRIM(Z546))&gt;=5,SUMPRODUCT(--ISNUMBER(SEARCH({"http","www.","\\",":\",".pdf",".jpg",".jpeg",".png",".heic",".xls",".doc",".msg",".eml",".ppt",".txt",".zip"},Z546)))&gt;0),AND(ISERROR(FIND(" ",TRIM(Z546))),NOT(OR(SUMPRODUCT(--ISNUMBER(FIND({",",";","&amp;","+"},Z546)))&gt;0,SUMPRODUCT(--ISNUMBER(SEARCH({"0/aa","0\\aa"},BN546)))&gt;0)),NOT(SUMPRODUCT(--ISNUMBER(SEARCH({"http","www.","\\",":\",".pdf",".jpg",".jpeg",".png",".heic",".xls",".doc",".msg",".eml",".ppt",".txt",".zip"},Z546)))&gt;0),NOT(LOWER(TRIM(Z546))=LOWER(Flights!$F$21)),ISNA(MATCH(BU546,{"mh","rev","revision","ver","version","v","r","a","b","seat","tray","row","gate","bay","stand","page","pg","item","line","no","cart","galley","flight","flt","table","box","bag","oven","etd","eta","std","sta","atd","ata","qty","pax","x","time","tel","ph","mob","day","wk","week","utc","gmt","myt","lt"},0)),NOT(OR(ISNUMBER(MATCH(LEFT(BN546,255),{"0000a","000a","00a","0000aa","000aa","00aa","0aa","0000aaa","000aaa","00a00","0a00","0000-0000","00:00","a00","a0","00.00.0000","00/00/0000","00-00-0000","0000-00-00","0000/00/00","0000.00.00","00.00.00","00/00/00","00-00-00","0.00.0000","0/00/0000","0-00-0000"},0)),ISNUMBER(MATCH(LEFT(BT546,255),{"0000a","000a","00a","0000aa","000aa","00aa","0aa","0000aaa","000aaa","00a00","0a00","0000-0000","00:00","a00","a0","00.00.0000","00/00/0000","00-00-0000","0000-00-00","0000/00/00","0000.00.00","00.00.00","00/00/00","00-00-00","0.00.0000","0/00/0000","0-00-0000"},0)))),NOT(OR(AND(BW546&lt;&gt;"",SUBSTITUTE(BW546,"0","")=""),AND(LEN(BW546)&gt;=4,BW546=REPT(LEFT(BW546),LEN(BW546))),ISNUMBER(MATCH(BW546,{"123","1234","12345","123456","1234567","12345678","0123","01234","012345","98765","987654","54321"},0)),ISNUMBER(MATCH(BX546,{"x","xx","xxx","xxxx","xxxxx","abc","abcd","nil","na","nan","test","tbc","tba","tbd","dummy","sample","example","eg","zz","zzz","none","null","xyz","qwe","asd","id","ref"},0)),AND(LEN(BW546)=8,BX546="",OR(LEFT(BW546,3)="202",ISNUMBER(MATCH(RIGHT(BW546,4),{"2025","2026","2027"},0)))))),OR(AND((LEN(BT546)-LEN(SUBSTITUTE(BT546,"a","")))&gt;=1,(LEN(BN546)-LEN(SUBSTITUTE(BN546,"0","")))&gt;=2,SUMPRODUCT(--ISNUMBER(SEARCH({"a0","a-0","a_0","a/0","a.0","a#0","0a","0-a","0_a","0/a"},BN546)))&gt;0),AND((LEN(BN546)-LEN(SUBSTITUTE(BN546,"a","")))=0,(LEN(BN546)-LEN(SUBSTITUTE(BN546,"0","")))&gt;=5)))),1,0),0)</f>
        <v>0</v>
      </c>
      <c r="CA5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546,"revision",""),"version",""),"jan",""),"feb",""),"mar",""),"apr",""),"may",""),"jun",""),"jul",""),"aug",""),"sep",""),"oct",""),"nov",""),"dec",""),"utc",""),"gmt",""),"myt",""),"bst",""),"rev",""),"ver",""),"b","a"),"c","a"),"d","a"),"e","a"),"f","a"),"g","a"),"h","a"),"i","a"),"j","a"),"k","a"),"l","a"),"m","a"),"n","a"),"o","a"),"p","a"),"q","a"),"r","a"),"s","a"),"t","a"),"u","a"),"v","a"),"w","a"),"x","a"),"y","a"),"z","a")</f>
        <v/>
      </c>
      <c r="CB5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546&amp;""),"a",""),"b",""),"c",""),"d",""),"e",""),"f",""),"g",""),"h",""),"i",""),"j",""),"k",""),"l",""),"m",""),"n",""),"o",""),"p",""),"q",""),"r",""),"s",""),"t",""),"u",""),"v",""),"w",""),"x",""),"y",""),"z",""),"-",""),"_",""),"/",""),".",""),"#",""),"\\",""),":","")," ",""),"(",""),")","")</f>
        <v/>
      </c>
      <c r="CC546" s="0" t="str">
        <f aca="false">" "&amp;TRIM(SUBSTITUTE(SUBSTITUTE(SUBSTITUTE(SUBSTITUTE(SUBSTITUTE(SUBSTITUTE(SUBSTITUTE(SUBSTITUTE(SUBSTITUTE(SUBSTITUTE(SUBSTITUTE(SUBSTITUTE(SUBSTITUTE(SUBSTITUTE(SUBSTITUTE(SUBSTITUTE(SUBSTITUTE(SUBSTITUTE(SUBSTITUTE(SUBSTITUTE(SUBSTITUTE(SUBSTITUTE(SUBSTITUTE(SUBSTITUTE(LOWER(T546&amp;""),CHAR(10)," "),CHAR(13)," "),CHAR(9)," "),CHAR(160)," "),"."," "),","," "),"-"," "),"/"," "),"("," "),")"," "),":"," "),";"," "),"_"," "),"–"," "),"?"," "),"!"," "),"*"," "),"["," "),"]"," "),"'"," "),"#"," "),"+"," "),"&amp;"," "),"\"," "))&amp;" "</f>
        <v>  </v>
      </c>
      <c r="CD546" s="0" t="str">
        <f aca="false">" "&amp;TRIM(SUBSTITUTE(SUBSTITUTE(SUBSTITUTE(SUBSTITUTE(SUBSTITUTE(SUBSTITUTE(SUBSTITUTE(SUBSTITUTE(SUBSTITUTE(SUBSTITUTE(SUBSTITUTE(SUBSTITUTE(SUBSTITUTE(SUBSTITUTE(SUBSTITUTE(SUBSTITUTE(SUBSTITUTE(SUBSTITUTE(SUBSTITUTE(SUBSTITUTE(SUBSTITUTE(SUBSTITUTE(SUBSTITUTE(SUBSTITUTE(LOWER(AE546&amp;""),CHAR(10)," "),CHAR(13)," "),CHAR(9)," "),CHAR(160)," "),"."," "),","," "),"-"," "),"/"," "),"("," "),")"," "),":"," "),";"," "),"_"," "),"–"," "),"?"," "),"!"," "),"*"," "),"["," "),"]"," "),"'"," "),"#"," "),"+"," "),"&amp;"," "),"\"," "))&amp;" "</f>
        <v>  </v>
      </c>
      <c r="CE546" s="68" t="n">
        <f aca="false">IFERROR(IF(AND(LEN(AU546)&gt;0,LEN(AU546)=LEN(AX546),OR(TRIM(MID(SUBSTITUTE(TRIM(CC546)," ",REPT(" ",60)),1,60))="",ISNUMBER(SEARCH(" "&amp;TRIM(MID(SUBSTITUTE(TRIM(CC546)," ",REPT(" ",60)),1,60))&amp;" ",CD546))),OR(TRIM(MID(SUBSTITUTE(TRIM(CC546)," ",REPT(" ",60)),61,60))="",ISNUMBER(SEARCH(" "&amp;TRIM(MID(SUBSTITUTE(TRIM(CC546)," ",REPT(" ",60)),61,60))&amp;" ",CD546))),OR(TRIM(MID(SUBSTITUTE(TRIM(CC546)," ",REPT(" ",60)),121,60))="",ISNUMBER(SEARCH(" "&amp;TRIM(MID(SUBSTITUTE(TRIM(CC546)," ",REPT(" ",60)),121,60))&amp;" ",CD546)))),1,0),0)</f>
        <v>0</v>
      </c>
      <c r="CG546" s="68" t="n">
        <f aca="false">IFERROR(LEN(SUBSTITUTE(BF546," ",""))-SUMPRODUCT((LEN(BF546)-LEN(SUBSTITUTE(BF546," "&amp;L_NAFiller&amp;" "," ")))/(LEN(L_NAFiller)+1)*LEN(L_NAFiller)),0)</f>
        <v>0</v>
      </c>
    </row>
    <row r="547" customFormat="false" ht="78.75" hidden="false" customHeight="true" outlineLevel="0" collapsed="false">
      <c r="A547" s="57" t="s">
        <v>1218</v>
      </c>
      <c r="B547" s="57" t="s">
        <v>290</v>
      </c>
      <c r="C547" s="57" t="str">
        <f aca="false">Flights!$F$21</f>
        <v>MH0073</v>
      </c>
      <c r="D547" s="58" t="n">
        <f aca="false">Flights!$D$21</f>
        <v>46322</v>
      </c>
      <c r="E547" s="57" t="str">
        <f aca="false">Flights!$G$21&amp;"-"&amp;Flights!$H$21</f>
        <v>HKG-KUL</v>
      </c>
      <c r="F547" s="57" t="str">
        <f aca="false">Flights!$K$21</f>
        <v>BC</v>
      </c>
      <c r="G547" s="57" t="s">
        <v>420</v>
      </c>
      <c r="H547" s="57" t="s">
        <v>378</v>
      </c>
      <c r="I547" s="57" t="s">
        <v>428</v>
      </c>
      <c r="J547" s="57" t="s">
        <v>435</v>
      </c>
      <c r="K547" s="67" t="s">
        <v>491</v>
      </c>
      <c r="L547" s="67" t="s">
        <v>422</v>
      </c>
      <c r="M547" s="67"/>
      <c r="N547" s="67" t="s">
        <v>383</v>
      </c>
      <c r="O547" s="67" t="s">
        <v>423</v>
      </c>
      <c r="P547" s="57" t="s">
        <v>282</v>
      </c>
      <c r="Q547" s="59" t="n">
        <f aca="false">ROUND((Flights!$AE$21)*1440,0)/1440</f>
        <v>46321.7847222222</v>
      </c>
      <c r="R547" s="59" t="n">
        <f aca="false">Q547+(IF(AND(INDEX(TZ_DSTS,MATCH(P547,TZ_STN,0))&lt;&gt;"",Q547&gt;=INDEX(TZ_DSTS,MATCH(P547,TZ_STN,0)),Q547&lt;INDEX(TZ_DSTE,MATCH(P547,TZ_STN,0))),INDEX(TZ_DST,MATCH(P547,TZ_STN,0)),INDEX(TZ_STD,MATCH(P547,TZ_STN,0))))/24</f>
        <v>46322.1180555556</v>
      </c>
      <c r="S547" s="60"/>
      <c r="T547" s="60"/>
      <c r="U547" s="60"/>
      <c r="V547" s="60"/>
      <c r="W547" s="61"/>
      <c r="X547" s="60"/>
      <c r="Y547" s="60"/>
      <c r="Z547" s="60"/>
      <c r="AA547" s="60"/>
      <c r="AB547" s="60"/>
      <c r="AC547" s="60"/>
      <c r="AD547" s="66"/>
      <c r="AE547" s="60"/>
      <c r="AF547" s="61" t="str">
        <f aca="false">IF(AND(ISNUMBER(X547),ISNUMBER(Y547)),Y547-X547,"")</f>
        <v/>
      </c>
      <c r="AG547" s="62" t="str">
        <f aca="false">IF(ISNUMBER(AD547),AD547-(IF(AND(INDEX(TZ_DSTS,MATCH(P547,TZ_STN,0))&lt;&gt;"",(AD547-INDEX(TZ_STD,MATCH(P547,TZ_STN,0))/24)&gt;=INDEX(TZ_DSTS,MATCH(P547,TZ_STN,0)),(AD547-INDEX(TZ_STD,MATCH(P547,TZ_STN,0))/24)&lt;INDEX(TZ_DSTE,MATCH(P547,TZ_STN,0))),INDEX(TZ_DST,MATCH(P547,TZ_STN,0)),INDEX(TZ_STD,MATCH(P547,TZ_STN,0))))/24,"")</f>
        <v/>
      </c>
      <c r="AH547" s="65" t="str">
        <f aca="false">IFERROR(IF(N547="N/A – rule",IF(OR(TRIM(U547)="",TRIM(U547)="N/A",TRIM(U547)="Not started"),"N/A – RULE","INVALID – this check does not apply to this aircraft: clear the status (or correct the fleet on Flights)"),IF(TRIM(U547)="N/A",IF(AT547=0,"INVALID – N/A not permitted for this check",IF(AND(TRIM(AB547)&lt;&gt;"",TRIM(AB547)&lt;&gt;"Closed"),"INVALID – corrective action still open",IF(AND(NOT(OR(LEN(AZ547)&lt;15,ISNUMBER(MATCH(AZ547,L_Placeholder,0)))),BK547=0,CG547&gt;=8,NOT(OR(LEN(AU547)&lt;2,ISNUMBER(MATCH(AU547,L_Placeholder,0)))),BR547&gt;=3,NOT(OR(LEN(AX547)&lt;2,ISNUMBER(MATCH(AX547,L_Placeholder,0)))),BS547&gt;=3,TRIM(AE547)&lt;&gt;TRIM(T547),AX547&lt;&gt;AU547,CE547=0),"N/A – JUSTIFIED","INVALID – N/A needs a real, settled reason (not 'not applicable' / 'as above' / TBC), a named PIC and a different named verifier"))),IF(OR(TRIM(U547)="Pass",TRIM(U547)="Pass after CA"),IF(NOT(ISNUMBER(AD547)),"INVALID – completion time missing",IF(OR(OR(LEN(AU547)&lt;2,ISNUMBER(MATCH(AU547,L_Placeholder,0))),BR547&lt;3),"INVALID – PIC missing or not a named person (a role such as QA / CSM is not a name)",IF(OR(LEN(AV547)&lt;2,ISNUMBER(MATCH(AV547,L_Placeholder,0))),"INVALID – result / assessment missing",IF(OR(OR(LEN(AW547)&lt;3,ISNUMBER(MATCH(AW547,L_Placeholder,0))),SUMPRODUCT(--ISNUMBER(SEARCH(" "&amp;L_EvidencePhrase&amp;" ",BD547)))&gt;0,BI547=1),"INVALID – evidence missing, placeholder or not yet on file",IF(ISNA(MATCH(TRIM(S547),L_EvidenceType,0)),"INVALID – choose the evidence type from the list (column S)",IF(BL547=0,"INVALID – evidence ID must be the record's own ID only (e.g. SF-2210, IMG_2231, 1045521); a link / file name needs type 'Link / file path'",IF(OR(OR(LEN(AX547)&lt;2,ISNUMBER(MATCH(AX547,L_Placeholder,0))),BS547&lt;3),"INVALID – verifier missing or not a named person (a role such as QA / CSM is not a name)",IF(OR(AX547=AU547,CE547=1,AND(LEN(AU547)&gt;=4,ISNUMBER(SEARCH(AU547,AX547))),AND(LEN(AX547)&gt;=4,ISNUMBER(SEARCH(AX547,AU547)))),"INVALID – verifier must be a different, named person (not the PIC or a role)",IF(BH547=1,"INVALID – result not yet available (awaiting / TBC)",IF(BG547=1,"INVALID – result describes a problem: record Fail, then Pass after CA (or reword if it is not a problem)",IF(BV547=1,"INVALID – wording says not on board: an on-board confirmation needs the item loaded",IF(AND(AQ547=1,OR(OR(LEN(AY547)&lt;3,ISNUMBER(MATCH(AY547,L_Placeholder,0))),BJ547=1,BQ547=0)),"INVALID – batch ID missing, placeholder or not an ID (e.g. PASB-261008-BC-017)",IF(AND(AR547=1,OR(NOT(ISNUMBER(X547)),NOT(ISNUMBER(Y547)))),"INVALID – expected/actual qty missing",IF(AND(AR547=1,OR(X547&lt;=0,Y547&lt;0)),"INVALID – expected qty must be above 0 and actual not negative",IF(BB547&lt;&gt;"",BB547,IF(AND(AS547=1,Documents!$J$21&lt;&gt;"ON FILE"),"INVALID – GLD not on file (Documents sheet)",IF(AND(AS547=2,Documents!$O$21&lt;&gt;"ON FILE"),"INVALID – menu checklist not on file (Documents sheet)",IF(AND(AS547=3,NOT(ISNUMBER(Flights!$AX$21))),"INVALID – enter carrying flight KUL departure (Flights AX)",IF(AND(AS547=3,OR(Flights!$AZ$21&gt;Flights!$AA$21,Flights!$AX$21&lt;Flights!$AA$21-3)),"INVALID – carrying flight (Flights AX) cannot arrive before this leg's STD, or is over 3 days early",IF(AG547&gt;AsOfUTC,"INVALID – completion time is in the future",IF(AND(ISNUMBER(BY547),AG547&lt;BY547),IF(H547="Physical uplift","INVALID – before uplift window (cannot confirm loading)","INVALID – before valid window"),IF(AG547&gt;Flights!$AA$21,"INVALID – completed after departure (cannot establish readiness)",IF(AND(H547="Preparation",AG547&gt;=IF(ISNUMBER(Flights!$BA$21),MIN(Flights!$BA$21,Flights!$AA$21),Flights!$AA$21)),"INVALID – completed after loading / departure (cannot establish readiness)",IF(AND(H547="Physical uplift",AG547&gt;Q547),"INVALID – recorded after the loading flight departed",IF(AG547&gt;Q547,"COMPLETE – LATE","COMPLETE"))))))))))))))))))))))))),IF(TRIM(U547)="Fail","FAIL – DISCREPANCY",IF(AND(TRIM(U547)&lt;&gt;"",TRIM(U547)&lt;&gt;"Not started",TRIM(U547)&lt;&gt;"In progress"),"INVALID – unrecognised status (use the list)",IF(AsOfUTC&gt;Q547,"OVERDUE",IF(N547="Clarification required","OPEN – CLARIFICATION","OPEN"))))))),"INVALID – error value in an input cell")</f>
        <v>OPEN</v>
      </c>
      <c r="AI547" s="61" t="n">
        <f aca="false">IF(OR(AH547="N/A – RULE",AH547="N/A – JUSTIFIED"),0,1)</f>
        <v>1</v>
      </c>
      <c r="AJ547" s="61" t="n">
        <f aca="false">IF(LEFT(AH547,8)="COMPLETE",1,0)</f>
        <v>0</v>
      </c>
      <c r="AK547" s="61" t="n">
        <f aca="false">IF(AND(AI547=1,AJ547=0,AsOfUTC&gt;Q547),1,0)</f>
        <v>0</v>
      </c>
      <c r="AL547" s="61" t="n">
        <f aca="false">IFERROR(IF(AND(AI547=1,OR(TRIM(U547)="Fail",AND(TRIM(AB547)&lt;&gt;"",TRIM(AB547)&lt;&gt;"Closed"),AND(ISNUMBER(AF547),AF547&lt;&gt;0,TRIM(U547)&lt;&gt;"Pass after CA"))),1,0),1)</f>
        <v>0</v>
      </c>
      <c r="AM547" s="61" t="n">
        <f aca="false">IF(LEFT(AH547,7)="INVALID",1,0)</f>
        <v>0</v>
      </c>
      <c r="AN547" s="61" t="n">
        <f aca="false">IF(AND(N547="Clarification required",AI547=1,AJ547=0),1,0)</f>
        <v>0</v>
      </c>
      <c r="AO547" s="61" t="str">
        <f aca="false">IF(AK547=1,SUM(AK$5:AK547),"")</f>
        <v/>
      </c>
      <c r="AP547" s="61" t="str">
        <f aca="false">IF(AL547=1,SUM(AL$5:AL547),"")</f>
        <v/>
      </c>
      <c r="AQ547" s="61" t="n">
        <v>0</v>
      </c>
      <c r="AR547" s="61" t="n">
        <v>1</v>
      </c>
      <c r="AS547" s="61" t="n">
        <v>0</v>
      </c>
      <c r="AT547" s="61" t="n">
        <v>0</v>
      </c>
      <c r="AU547" s="61" t="str">
        <f aca="false">SUBSTITUTE(SUBSTITUTE(SUBSTITUTE(SUBSTITUTE(SUBSTITUTE(SUBSTITUTE(SUBSTITUTE(SUBSTITUTE(SUBSTITUTE(SUBSTITUTE(SUBSTITUTE(SUBSTITUTE(SUBSTITUTE(SUBSTITUTE(SUBSTITUTE(SUBSTITUTE(LOWER(T547&amp;""),CHAR(10),""),CHAR(13),""),CHAR(9),""),CHAR(160),"")," ",""),".",""),"-",""),"/",""),"?",""),"_",""),",",""),"[",""),"]",""),"(",""),")",""),"*","")</f>
        <v/>
      </c>
      <c r="AV547" s="61" t="str">
        <f aca="false">SUBSTITUTE(SUBSTITUTE(SUBSTITUTE(SUBSTITUTE(SUBSTITUTE(SUBSTITUTE(SUBSTITUTE(SUBSTITUTE(SUBSTITUTE(SUBSTITUTE(SUBSTITUTE(SUBSTITUTE(SUBSTITUTE(SUBSTITUTE(SUBSTITUTE(SUBSTITUTE(LOWER(V547&amp;""),CHAR(10),""),CHAR(13),""),CHAR(9),""),CHAR(160),"")," ",""),".",""),"-",""),"/",""),"?",""),"_",""),",",""),"[",""),"]",""),"(",""),")",""),"*","")</f>
        <v/>
      </c>
      <c r="AW547" s="61" t="str">
        <f aca="false">SUBSTITUTE(SUBSTITUTE(SUBSTITUTE(SUBSTITUTE(SUBSTITUTE(SUBSTITUTE(SUBSTITUTE(SUBSTITUTE(SUBSTITUTE(SUBSTITUTE(SUBSTITUTE(SUBSTITUTE(SUBSTITUTE(SUBSTITUTE(SUBSTITUTE(SUBSTITUTE(LOWER(Z547&amp;""),CHAR(10),""),CHAR(13),""),CHAR(9),""),CHAR(160),"")," ",""),".",""),"-",""),"/",""),"?",""),"_",""),",",""),"[",""),"]",""),"(",""),")",""),"*","")</f>
        <v/>
      </c>
      <c r="AX547" s="61" t="str">
        <f aca="false">SUBSTITUTE(SUBSTITUTE(SUBSTITUTE(SUBSTITUTE(SUBSTITUTE(SUBSTITUTE(SUBSTITUTE(SUBSTITUTE(SUBSTITUTE(SUBSTITUTE(SUBSTITUTE(SUBSTITUTE(SUBSTITUTE(SUBSTITUTE(SUBSTITUTE(SUBSTITUTE(LOWER(AE547&amp;""),CHAR(10),""),CHAR(13),""),CHAR(9),""),CHAR(160),"")," ",""),".",""),"-",""),"/",""),"?",""),"_",""),",",""),"[",""),"]",""),"(",""),")",""),"*","")</f>
        <v/>
      </c>
      <c r="AY547" s="61" t="str">
        <f aca="false">SUBSTITUTE(SUBSTITUTE(SUBSTITUTE(SUBSTITUTE(SUBSTITUTE(SUBSTITUTE(SUBSTITUTE(SUBSTITUTE(SUBSTITUTE(SUBSTITUTE(SUBSTITUTE(SUBSTITUTE(SUBSTITUTE(SUBSTITUTE(SUBSTITUTE(SUBSTITUTE(LOWER(W547&amp;""),CHAR(10),""),CHAR(13),""),CHAR(9),""),CHAR(160),"")," ",""),".",""),"-",""),"/",""),"?",""),"_",""),",",""),"[",""),"]",""),"(",""),")",""),"*","")</f>
        <v/>
      </c>
      <c r="AZ547" s="61" t="str">
        <f aca="false">SUBSTITUTE(SUBSTITUTE(SUBSTITUTE(SUBSTITUTE(SUBSTITUTE(SUBSTITUTE(SUBSTITUTE(SUBSTITUTE(SUBSTITUTE(SUBSTITUTE(SUBSTITUTE(SUBSTITUTE(SUBSTITUTE(SUBSTITUTE(SUBSTITUTE(SUBSTITUTE(LOWER(AC547&amp;""),CHAR(10),""),CHAR(13),""),CHAR(9),""),CHAR(160),"")," ",""),".",""),"-",""),"/",""),"?",""),"_",""),",",""),"[",""),"]",""),"(",""),")",""),"*","")</f>
        <v/>
      </c>
      <c r="BA547" s="61" t="str">
        <f aca="false">SUBSTITUTE(SUBSTITUTE(SUBSTITUTE(SUBSTITUTE(SUBSTITUTE(SUBSTITUTE(SUBSTITUTE(SUBSTITUTE(SUBSTITUTE(SUBSTITUTE(SUBSTITUTE(SUBSTITUTE(SUBSTITUTE(SUBSTITUTE(SUBSTITUTE(SUBSTITUTE(LOWER(AA547&amp;""),CHAR(10),""),CHAR(13),""),CHAR(9),""),CHAR(160),"")," ",""),".",""),"-",""),"/",""),"?",""),"_",""),",",""),"[",""),"]",""),"(",""),")",""),"*","")</f>
        <v/>
      </c>
      <c r="BB547" s="61" t="str">
        <f aca="false">IF(AND(TRIM(U547)="Pass",ISNUMBER(AF547)),IF(AF547&lt;&gt;0,"INVALID – qty variance: use Fail or Pass after CA",""),"")&amp;IF(AND(TRIM(U547)="Pass after CA",ISNUMBER(AF547)),IF(AF547&lt;&gt;0,"INVALID – after the corrective action the actual qty must equal expected (update Actual)",""),"")&amp;IF(AND(TRIM(U547)="Pass",TRIM(AB547)&lt;&gt;"",TRIM(AB547)&lt;&gt;"Closed"),"INVALID – corrective action not closed: use Fail, then Pass after CA","")&amp;IF(AND(LEN(BA547)&gt;=2,ISNA(MATCH(LEFT(BA547,255),L_Placeholder,0)),TRIM(AB547)=""),"INVALID – CA status missing for the recorded corrective action","")&amp;IF(AND(TRIM(U547)="Pass after CA",OR(OR(LEN(BA547)&lt;5,ISNUMBER(MATCH(BA547,L_Placeholder,0))),TRIM(AB547)&lt;&gt;"Closed")),"INVALID – corrective action not recorded/closed","")</f>
        <v/>
      </c>
      <c r="BC547" s="61" t="str">
        <f aca="false">" "&amp;TRIM(SUBSTITUTE(SUBSTITUTE(SUBSTITUTE(SUBSTITUTE(SUBSTITUTE(SUBSTITUTE(SUBSTITUTE(SUBSTITUTE(SUBSTITUTE(SUBSTITUTE(SUBSTITUTE(SUBSTITUTE(SUBSTITUTE(SUBSTITUTE(SUBSTITUTE(SUBSTITUTE(SUBSTITUTE(SUBSTITUTE(SUBSTITUTE(SUBSTITUTE(SUBSTITUTE(SUBSTITUTE(SUBSTITUTE(SUBSTITUTE(LOWER(V547&amp;""),CHAR(10)," "),CHAR(13)," "),CHAR(9)," "),CHAR(160)," "),"."," "),","," "),"-"," "),"/"," "),"("," "),")"," "),":"," "),";"," "),"_"," "),"–"," "),"?"," "),"!"," "),"*"," "),"["," "),"]"," "),"'"," "),"#"," "),"+"," "),"&amp;"," "),"\"," "))&amp;" "</f>
        <v>  </v>
      </c>
      <c r="BD547" s="61" t="str">
        <f aca="false">" "&amp;TRIM(SUBSTITUTE(SUBSTITUTE(SUBSTITUTE(SUBSTITUTE(SUBSTITUTE(SUBSTITUTE(SUBSTITUTE(SUBSTITUTE(SUBSTITUTE(SUBSTITUTE(SUBSTITUTE(SUBSTITUTE(SUBSTITUTE(SUBSTITUTE(SUBSTITUTE(SUBSTITUTE(SUBSTITUTE(SUBSTITUTE(SUBSTITUTE(SUBSTITUTE(SUBSTITUTE(SUBSTITUTE(SUBSTITUTE(SUBSTITUTE(LOWER(Z547&amp;""),CHAR(10)," "),CHAR(13)," "),CHAR(9)," "),CHAR(160)," "),"."," "),","," "),"-"," "),"/"," "),"("," "),")"," "),":"," "),";"," "),"_"," "),"–"," "),"?"," "),"!"," "),"*"," "),"["," "),"]"," "),"'"," "),"#"," "),"+"," "),"&amp;"," "),"\"," "))&amp;" "</f>
        <v>  </v>
      </c>
      <c r="BE547" s="61" t="str">
        <f aca="false">" "&amp;TRIM(SUBSTITUTE(SUBSTITUTE(SUBSTITUTE(SUBSTITUTE(SUBSTITUTE(SUBSTITUTE(SUBSTITUTE(SUBSTITUTE(SUBSTITUTE(SUBSTITUTE(SUBSTITUTE(SUBSTITUTE(SUBSTITUTE(SUBSTITUTE(SUBSTITUTE(SUBSTITUTE(SUBSTITUTE(SUBSTITUTE(SUBSTITUTE(SUBSTITUTE(SUBSTITUTE(SUBSTITUTE(SUBSTITUTE(SUBSTITUTE(LOWER(W547&amp;""),CHAR(10)," "),CHAR(13)," "),CHAR(9)," "),CHAR(160)," "),"."," "),","," "),"-"," "),"/"," "),"("," "),")"," "),":"," "),";"," "),"_"," "),"–"," "),"?"," "),"!"," "),"*"," "),"["," "),"]"," "),"'"," "),"#"," "),"+"," "),"&amp;"," "),"\"," "))&amp;" "</f>
        <v>  </v>
      </c>
      <c r="BF547" s="61" t="str">
        <f aca="false">" "&amp;TRIM(SUBSTITUTE(SUBSTITUTE(SUBSTITUTE(SUBSTITUTE(SUBSTITUTE(SUBSTITUTE(SUBSTITUTE(SUBSTITUTE(SUBSTITUTE(SUBSTITUTE(SUBSTITUTE(SUBSTITUTE(SUBSTITUTE(SUBSTITUTE(SUBSTITUTE(SUBSTITUTE(SUBSTITUTE(SUBSTITUTE(SUBSTITUTE(SUBSTITUTE(SUBSTITUTE(SUBSTITUTE(SUBSTITUTE(SUBSTITUTE(LOWER(AC547&amp;""),CHAR(10)," "),CHAR(13)," "),CHAR(9)," "),CHAR(160)," "),"."," "),","," "),"-"," "),"/"," "),"("," "),")"," "),":"," "),";"," "),"_"," "),"–"," "),"?"," "),"!"," "),"*"," "),"["," "),"]"," "),"'"," "),"#"," "),"+"," "),"&amp;"," "),"\"," "))&amp;" "</f>
        <v>  </v>
      </c>
      <c r="BG547" s="61" t="n">
        <f aca="false">IFERROR(IF(AND(TRIM(U547)="Pass",SUMPRODUCT((LEN(BC547)-LEN(SUBSTITUTE(BC547," "&amp;L_ResultBad&amp;" "," ")))/(LEN(L_ResultBad)+1))&gt;SUMPRODUCT((LEN(BC547)-LEN(SUBSTITUTE(BC547," "&amp;L_NegPhrase&amp;" "," ")))/(LEN(L_NegPhrase)+1))),1,0),0)</f>
        <v>0</v>
      </c>
      <c r="BH547" s="61" t="n">
        <f aca="false">IFERROR(IF(SUMPRODUCT((LEN(BC547)-LEN(SUBSTITUTE(BC547," "&amp;L_Pending&amp;" "," ")))/(LEN(L_Pending)+1))&gt;SUMPRODUCT((LEN(BC547)-LEN(SUBSTITUTE(BC547," "&amp;L_PendNeg&amp;" "," ")))/(LEN(L_PendNeg)+1))+SUMPRODUCT((LEN(BC547)-LEN(SUBSTITUTE(BC547," "&amp;L_PendPrep&amp;" "," ")))/(LEN(L_PendPrep)+1)),1,0),1)</f>
        <v>0</v>
      </c>
      <c r="BI547" s="61" t="n">
        <f aca="false">IFERROR(IF(SUMPRODUCT((LEN(BD547)-LEN(SUBSTITUTE(BD547," "&amp;L_PendStrict&amp;" "," ")))/(LEN(L_PendStrict)+1))&gt;SUMPRODUCT((LEN(BD547)-LEN(SUBSTITUTE(BD547," "&amp;L_PendNeg&amp;" "," ")))/(LEN(L_PendNeg)+1)),1,0),1)</f>
        <v>0</v>
      </c>
      <c r="BJ547" s="61" t="n">
        <f aca="false">IFERROR(IF(SUMPRODUCT((LEN(BE547)-LEN(SUBSTITUTE(BE547," "&amp;L_Pending&amp;" "," ")))/(LEN(L_Pending)+1))&gt;SUMPRODUCT((LEN(BE547)-LEN(SUBSTITUTE(BE547," "&amp;L_PendNeg&amp;" "," ")))/(LEN(L_PendNeg)+1))+SUMPRODUCT((LEN(BE547)-LEN(SUBSTITUTE(BE547," "&amp;L_PendPrep&amp;" "," ")))/(LEN(L_PendPrep)+1)),1,0),1)</f>
        <v>0</v>
      </c>
      <c r="BK547" s="61" t="n">
        <f aca="false">IFERROR(IF(SUMPRODUCT((LEN(BF547)-LEN(SUBSTITUTE(BF547," "&amp;L_PendStrict&amp;" "," ")))/(LEN(L_PendStrict)+1))&gt;SUMPRODUCT((LEN(BF547)-LEN(SUBSTITUTE(BF547," "&amp;L_PendNeg&amp;" "," ")))/(LEN(L_PendNeg)+1)),1,0),1)</f>
        <v>0</v>
      </c>
      <c r="BL547" s="61" t="n">
        <f aca="false">IF(ISNA(MATCH(TRIM(S547),L_EvidenceType,0)),0,BZ547)</f>
        <v>0</v>
      </c>
      <c r="BM547" s="61" t="str">
        <f aca="false">SUBSTITUTE(SUBSTITUTE(SUBSTITUTE(SUBSTITUTE(SUBSTITUTE(SUBSTITUTE(SUBSTITUTE(SUBSTITUTE(SUBSTITUTE(LOWER(Z547&amp;""),"1","0"),"2","0"),"3","0"),"4","0"),"5","0"),"6","0"),"7","0"),"8","0"),"9","0")</f>
        <v/>
      </c>
      <c r="BN547" s="61" t="str">
        <f aca="false">SUBSTITUTE(SUBSTITUTE(SUBSTITUTE(SUBSTITUTE(SUBSTITUTE(SUBSTITUTE(SUBSTITUTE(SUBSTITUTE(SUBSTITUTE(SUBSTITUTE(SUBSTITUTE(SUBSTITUTE(SUBSTITUTE(SUBSTITUTE(SUBSTITUTE(SUBSTITUTE(SUBSTITUTE(SUBSTITUTE(SUBSTITUTE(SUBSTITUTE(SUBSTITUTE(SUBSTITUTE(SUBSTITUTE(SUBSTITUTE(SUBSTITUTE(BM547,"b","a"),"c","a"),"d","a"),"e","a"),"f","a"),"g","a"),"h","a"),"i","a"),"j","a"),"k","a"),"l","a"),"m","a"),"n","a"),"o","a"),"p","a"),"q","a"),"r","a"),"s","a"),"t","a"),"u","a"),"v","a"),"w","a"),"x","a"),"y","a"),"z","a")</f>
        <v/>
      </c>
      <c r="BO547" s="61" t="str">
        <f aca="false">SUBSTITUTE(SUBSTITUTE(SUBSTITUTE(SUBSTITUTE(SUBSTITUTE(SUBSTITUTE(SUBSTITUTE(SUBSTITUTE(SUBSTITUTE(LOWER(W547&amp;""),"1","0"),"2","0"),"3","0"),"4","0"),"5","0"),"6","0"),"7","0"),"8","0"),"9","0")</f>
        <v/>
      </c>
      <c r="BP547" s="61" t="str">
        <f aca="false">SUBSTITUTE(SUBSTITUTE(SUBSTITUTE(SUBSTITUTE(SUBSTITUTE(SUBSTITUTE(SUBSTITUTE(SUBSTITUTE(SUBSTITUTE(SUBSTITUTE(SUBSTITUTE(SUBSTITUTE(SUBSTITUTE(SUBSTITUTE(SUBSTITUTE(SUBSTITUTE(SUBSTITUTE(SUBSTITUTE(SUBSTITUTE(SUBSTITUTE(SUBSTITUTE(SUBSTITUTE(SUBSTITUTE(SUBSTITUTE(SUBSTITUTE(BO547,"b","a"),"c","a"),"d","a"),"e","a"),"f","a"),"g","a"),"h","a"),"i","a"),"j","a"),"k","a"),"l","a"),"m","a"),"n","a"),"o","a"),"p","a"),"q","a"),"r","a"),"s","a"),"t","a"),"u","a"),"v","a"),"w","a"),"x","a"),"y","a"),"z","a")</f>
        <v/>
      </c>
      <c r="BQ547" s="61" t="n">
        <f aca="false">IFERROR(IF(AND(ISERROR(SEARCH(" mh"," "&amp;LOWER(W547))),ISNA(MATCH(LEFT(TRIM(BP547),255),{"0000a","000a","00a","0000aa","000aa","00aa","0aa","0000aaa","000aaa","00a00","0a00","0000-0000","00:00","a00","a0","00.00.0000","00/00/0000","00-00-0000","0000-00-00","0000/00/00","0000.00.00","00.00.00","00/00/00","00-00-00","0.00.0000","0/00/0000","0-00-0000"},0)),ISNA(MATCH(LEFT(TRIM(CA547),255),{"0000a","000a","00a","0000aa","000aa","00aa","0aa","0000aaa","000aaa","00a00","0a00","0000-0000","00:00","a00","a0","00.00.0000","00/00/0000","00-00-0000","0000-00-00","0000/00/00","0000.00.00","00.00.00","00/00/00","00-00-00","0.00.0000","0/00/0000","0-00-0000"},0)),LEN(CB547)&gt;=3,NOT(OR(SUBSTITUTE(CB547,"0","")="",AND(LEN(CB547)&gt;=4,CB547=REPT(LEFT(CB547),LEN(CB547))),ISNUMBER(MATCH(CB547,{"123","1234","12345","123456","1234567","12345678","0123","01234","012345","98765","987654","54321"},0)),AND(LEN(CB547)=8,LEFT(CB547,3)="202"))),OR(AND((LEN(CA547)-LEN(SUBSTITUTE(CA547,"a","")))&gt;=1,SUMPRODUCT(--ISNUMBER(SEARCH({"a0","a-0","a_0","a/0","a.0","a#0","0a","0-a","0_a","0/a"},BP547)))&gt;0),ISNUMBER(SEARCH("000000",BP547)))),1,0),0)</f>
        <v>0</v>
      </c>
      <c r="BR547" s="61" t="n">
        <f aca="false">IFERROR(LEN(SUBSTITUTE(CC547," ",""))-SUMPRODUCT((LEN(CC547)-LEN(SUBSTITUTE(CC547," "&amp;L_Role&amp;" "," ")))/(LEN(L_Role)+1)*LEN(L_Role)),0)</f>
        <v>0</v>
      </c>
      <c r="BS547" s="61" t="n">
        <f aca="false">IFERROR(LEN(SUBSTITUTE(CD547," ",""))-SUMPRODUCT((LEN(CD547)-LEN(SUBSTITUTE(CD547," "&amp;L_Role&amp;" "," ")))/(LEN(L_Role)+1)*LEN(L_Role)),0)</f>
        <v>0</v>
      </c>
      <c r="BT5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547,"revision",""),"version",""),"jan",""),"feb",""),"mar",""),"apr",""),"may",""),"jun",""),"jul",""),"aug",""),"sep",""),"oct",""),"nov",""),"dec",""),"utc",""),"gmt",""),"myt",""),"bst",""),"rev",""),"ver",""),"b","a"),"c","a"),"d","a"),"e","a"),"f","a"),"g","a"),"h","a"),"i","a"),"j","a"),"k","a"),"l","a"),"m","a"),"n","a"),"o","a"),"p","a"),"q","a"),"r","a"),"s","a"),"t","a"),"u","a"),"v","a"),"w","a"),"x","a"),"y","a"),"z","a")</f>
        <v/>
      </c>
      <c r="BU547" s="61" t="str">
        <f aca="false">SUBSTITUTE(SUBSTITUTE(SUBSTITUTE(SUBSTITUTE(SUBSTITUTE(SUBSTITUTE(SUBSTITUTE(SUBSTITUTE(SUBSTITUTE(SUBSTITUTE(LEFT(BM547,FIND("0",BM547&amp;"0")-1),"-",""),"_",""),"/",""),".",""),"#",""),"\\",""),":","")," ",""),"(",""),")","")</f>
        <v/>
      </c>
      <c r="BV547" s="61" t="n">
        <f aca="false">0</f>
        <v>0</v>
      </c>
      <c r="BW5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547&amp;""),"a",""),"b",""),"c",""),"d",""),"e",""),"f",""),"g",""),"h",""),"i",""),"j",""),"k",""),"l",""),"m",""),"n",""),"o",""),"p",""),"q",""),"r",""),"s",""),"t",""),"u",""),"v",""),"w",""),"x",""),"y",""),"z",""),"-",""),"_",""),"/",""),".",""),"#",""),"\\",""),":","")," ",""),"(",""),")","")</f>
        <v/>
      </c>
      <c r="BX547" s="61" t="str">
        <f aca="false">SUBSTITUTE(SUBSTITUTE(SUBSTITUTE(SUBSTITUTE(SUBSTITUTE(SUBSTITUTE(SUBSTITUTE(SUBSTITUTE(SUBSTITUTE(SUBSTITUTE(SUBSTITUTE(BM547,"0",""),"-",""),"_",""),"/",""),".",""),"#",""),"\\",""),":","")," ",""),"(",""),")","")</f>
        <v/>
      </c>
      <c r="BY547" s="62" t="n">
        <f aca="false">Q547-T12EarlyH/24</f>
        <v>46321.2847222222</v>
      </c>
      <c r="BZ547" s="61" t="n">
        <f aca="false">IFERROR(IF(IF(TRIM(S547)="Link / file path",AND(LEN(TRIM(Z547))&gt;=5,SUMPRODUCT(--ISNUMBER(SEARCH({"http","www.","\\",":\",".pdf",".jpg",".jpeg",".png",".heic",".xls",".doc",".msg",".eml",".ppt",".txt",".zip"},Z547)))&gt;0),AND(ISERROR(FIND(" ",TRIM(Z547))),NOT(OR(SUMPRODUCT(--ISNUMBER(FIND({",",";","&amp;","+"},Z547)))&gt;0,SUMPRODUCT(--ISNUMBER(SEARCH({"0/aa","0\\aa"},BN547)))&gt;0)),NOT(SUMPRODUCT(--ISNUMBER(SEARCH({"http","www.","\\",":\",".pdf",".jpg",".jpeg",".png",".heic",".xls",".doc",".msg",".eml",".ppt",".txt",".zip"},Z547)))&gt;0),NOT(LOWER(TRIM(Z547))=LOWER(Flights!$F$21)),ISNA(MATCH(BU547,{"mh","rev","revision","ver","version","v","r","a","b","seat","tray","row","gate","bay","stand","page","pg","item","line","no","cart","galley","flight","flt","table","box","bag","oven","etd","eta","std","sta","atd","ata","qty","pax","x","time","tel","ph","mob","day","wk","week","utc","gmt","myt","lt"},0)),NOT(OR(ISNUMBER(MATCH(LEFT(BN547,255),{"0000a","000a","00a","0000aa","000aa","00aa","0aa","0000aaa","000aaa","00a00","0a00","0000-0000","00:00","a00","a0","00.00.0000","00/00/0000","00-00-0000","0000-00-00","0000/00/00","0000.00.00","00.00.00","00/00/00","00-00-00","0.00.0000","0/00/0000","0-00-0000"},0)),ISNUMBER(MATCH(LEFT(BT547,255),{"0000a","000a","00a","0000aa","000aa","00aa","0aa","0000aaa","000aaa","00a00","0a00","0000-0000","00:00","a00","a0","00.00.0000","00/00/0000","00-00-0000","0000-00-00","0000/00/00","0000.00.00","00.00.00","00/00/00","00-00-00","0.00.0000","0/00/0000","0-00-0000"},0)))),NOT(OR(AND(BW547&lt;&gt;"",SUBSTITUTE(BW547,"0","")=""),AND(LEN(BW547)&gt;=4,BW547=REPT(LEFT(BW547),LEN(BW547))),ISNUMBER(MATCH(BW547,{"123","1234","12345","123456","1234567","12345678","0123","01234","012345","98765","987654","54321"},0)),ISNUMBER(MATCH(BX547,{"x","xx","xxx","xxxx","xxxxx","abc","abcd","nil","na","nan","test","tbc","tba","tbd","dummy","sample","example","eg","zz","zzz","none","null","xyz","qwe","asd","id","ref"},0)),AND(LEN(BW547)=8,BX547="",OR(LEFT(BW547,3)="202",ISNUMBER(MATCH(RIGHT(BW547,4),{"2025","2026","2027"},0)))))),OR(AND((LEN(BT547)-LEN(SUBSTITUTE(BT547,"a","")))&gt;=1,(LEN(BN547)-LEN(SUBSTITUTE(BN547,"0","")))&gt;=2,SUMPRODUCT(--ISNUMBER(SEARCH({"a0","a-0","a_0","a/0","a.0","a#0","0a","0-a","0_a","0/a"},BN547)))&gt;0),AND((LEN(BN547)-LEN(SUBSTITUTE(BN547,"a","")))=0,(LEN(BN547)-LEN(SUBSTITUTE(BN547,"0","")))&gt;=5)))),1,0),0)</f>
        <v>0</v>
      </c>
      <c r="CA5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547,"revision",""),"version",""),"jan",""),"feb",""),"mar",""),"apr",""),"may",""),"jun",""),"jul",""),"aug",""),"sep",""),"oct",""),"nov",""),"dec",""),"utc",""),"gmt",""),"myt",""),"bst",""),"rev",""),"ver",""),"b","a"),"c","a"),"d","a"),"e","a"),"f","a"),"g","a"),"h","a"),"i","a"),"j","a"),"k","a"),"l","a"),"m","a"),"n","a"),"o","a"),"p","a"),"q","a"),"r","a"),"s","a"),"t","a"),"u","a"),"v","a"),"w","a"),"x","a"),"y","a"),"z","a")</f>
        <v/>
      </c>
      <c r="CB5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547&amp;""),"a",""),"b",""),"c",""),"d",""),"e",""),"f",""),"g",""),"h",""),"i",""),"j",""),"k",""),"l",""),"m",""),"n",""),"o",""),"p",""),"q",""),"r",""),"s",""),"t",""),"u",""),"v",""),"w",""),"x",""),"y",""),"z",""),"-",""),"_",""),"/",""),".",""),"#",""),"\\",""),":","")," ",""),"(",""),")","")</f>
        <v/>
      </c>
      <c r="CC547" s="0" t="str">
        <f aca="false">" "&amp;TRIM(SUBSTITUTE(SUBSTITUTE(SUBSTITUTE(SUBSTITUTE(SUBSTITUTE(SUBSTITUTE(SUBSTITUTE(SUBSTITUTE(SUBSTITUTE(SUBSTITUTE(SUBSTITUTE(SUBSTITUTE(SUBSTITUTE(SUBSTITUTE(SUBSTITUTE(SUBSTITUTE(SUBSTITUTE(SUBSTITUTE(SUBSTITUTE(SUBSTITUTE(SUBSTITUTE(SUBSTITUTE(SUBSTITUTE(SUBSTITUTE(LOWER(T547&amp;""),CHAR(10)," "),CHAR(13)," "),CHAR(9)," "),CHAR(160)," "),"."," "),","," "),"-"," "),"/"," "),"("," "),")"," "),":"," "),";"," "),"_"," "),"–"," "),"?"," "),"!"," "),"*"," "),"["," "),"]"," "),"'"," "),"#"," "),"+"," "),"&amp;"," "),"\"," "))&amp;" "</f>
        <v>  </v>
      </c>
      <c r="CD547" s="0" t="str">
        <f aca="false">" "&amp;TRIM(SUBSTITUTE(SUBSTITUTE(SUBSTITUTE(SUBSTITUTE(SUBSTITUTE(SUBSTITUTE(SUBSTITUTE(SUBSTITUTE(SUBSTITUTE(SUBSTITUTE(SUBSTITUTE(SUBSTITUTE(SUBSTITUTE(SUBSTITUTE(SUBSTITUTE(SUBSTITUTE(SUBSTITUTE(SUBSTITUTE(SUBSTITUTE(SUBSTITUTE(SUBSTITUTE(SUBSTITUTE(SUBSTITUTE(SUBSTITUTE(LOWER(AE547&amp;""),CHAR(10)," "),CHAR(13)," "),CHAR(9)," "),CHAR(160)," "),"."," "),","," "),"-"," "),"/"," "),"("," "),")"," "),":"," "),";"," "),"_"," "),"–"," "),"?"," "),"!"," "),"*"," "),"["," "),"]"," "),"'"," "),"#"," "),"+"," "),"&amp;"," "),"\"," "))&amp;" "</f>
        <v>  </v>
      </c>
      <c r="CE547" s="68" t="n">
        <f aca="false">IFERROR(IF(AND(LEN(AU547)&gt;0,LEN(AU547)=LEN(AX547),OR(TRIM(MID(SUBSTITUTE(TRIM(CC547)," ",REPT(" ",60)),1,60))="",ISNUMBER(SEARCH(" "&amp;TRIM(MID(SUBSTITUTE(TRIM(CC547)," ",REPT(" ",60)),1,60))&amp;" ",CD547))),OR(TRIM(MID(SUBSTITUTE(TRIM(CC547)," ",REPT(" ",60)),61,60))="",ISNUMBER(SEARCH(" "&amp;TRIM(MID(SUBSTITUTE(TRIM(CC547)," ",REPT(" ",60)),61,60))&amp;" ",CD547))),OR(TRIM(MID(SUBSTITUTE(TRIM(CC547)," ",REPT(" ",60)),121,60))="",ISNUMBER(SEARCH(" "&amp;TRIM(MID(SUBSTITUTE(TRIM(CC547)," ",REPT(" ",60)),121,60))&amp;" ",CD547)))),1,0),0)</f>
        <v>0</v>
      </c>
      <c r="CG547" s="68" t="n">
        <f aca="false">IFERROR(LEN(SUBSTITUTE(BF547," ",""))-SUMPRODUCT((LEN(BF547)-LEN(SUBSTITUTE(BF547," "&amp;L_NAFiller&amp;" "," ")))/(LEN(L_NAFiller)+1)*LEN(L_NAFiller)),0)</f>
        <v>0</v>
      </c>
    </row>
    <row r="548" customFormat="false" ht="39.75" hidden="false" customHeight="true" outlineLevel="0" collapsed="false">
      <c r="A548" s="57" t="s">
        <v>1219</v>
      </c>
      <c r="B548" s="57" t="s">
        <v>290</v>
      </c>
      <c r="C548" s="57" t="str">
        <f aca="false">Flights!$F$21</f>
        <v>MH0073</v>
      </c>
      <c r="D548" s="58" t="n">
        <f aca="false">Flights!$D$21</f>
        <v>46322</v>
      </c>
      <c r="E548" s="57" t="str">
        <f aca="false">Flights!$G$21&amp;"-"&amp;Flights!$H$21</f>
        <v>HKG-KUL</v>
      </c>
      <c r="F548" s="57" t="str">
        <f aca="false">Flights!$K$21</f>
        <v>BC</v>
      </c>
      <c r="G548" s="57" t="s">
        <v>420</v>
      </c>
      <c r="H548" s="57" t="s">
        <v>378</v>
      </c>
      <c r="I548" s="57" t="s">
        <v>428</v>
      </c>
      <c r="J548" s="57" t="s">
        <v>438</v>
      </c>
      <c r="K548" s="67"/>
      <c r="L548" s="67" t="s">
        <v>422</v>
      </c>
      <c r="M548" s="67"/>
      <c r="N548" s="67" t="s">
        <v>383</v>
      </c>
      <c r="O548" s="67" t="s">
        <v>423</v>
      </c>
      <c r="P548" s="57" t="s">
        <v>282</v>
      </c>
      <c r="Q548" s="59" t="n">
        <f aca="false">ROUND((Flights!$AE$21)*1440,0)/1440</f>
        <v>46321.7847222222</v>
      </c>
      <c r="R548" s="59" t="n">
        <f aca="false">Q548+(IF(AND(INDEX(TZ_DSTS,MATCH(P548,TZ_STN,0))&lt;&gt;"",Q548&gt;=INDEX(TZ_DSTS,MATCH(P548,TZ_STN,0)),Q548&lt;INDEX(TZ_DSTE,MATCH(P548,TZ_STN,0))),INDEX(TZ_DST,MATCH(P548,TZ_STN,0)),INDEX(TZ_STD,MATCH(P548,TZ_STN,0))))/24</f>
        <v>46322.1180555556</v>
      </c>
      <c r="S548" s="60"/>
      <c r="T548" s="60"/>
      <c r="U548" s="60"/>
      <c r="V548" s="60"/>
      <c r="W548" s="61"/>
      <c r="X548" s="60"/>
      <c r="Y548" s="60"/>
      <c r="Z548" s="60"/>
      <c r="AA548" s="60"/>
      <c r="AB548" s="60"/>
      <c r="AC548" s="60"/>
      <c r="AD548" s="66"/>
      <c r="AE548" s="60"/>
      <c r="AF548" s="61" t="str">
        <f aca="false">IF(AND(ISNUMBER(X548),ISNUMBER(Y548)),Y548-X548,"")</f>
        <v/>
      </c>
      <c r="AG548" s="62" t="str">
        <f aca="false">IF(ISNUMBER(AD548),AD548-(IF(AND(INDEX(TZ_DSTS,MATCH(P548,TZ_STN,0))&lt;&gt;"",(AD548-INDEX(TZ_STD,MATCH(P548,TZ_STN,0))/24)&gt;=INDEX(TZ_DSTS,MATCH(P548,TZ_STN,0)),(AD548-INDEX(TZ_STD,MATCH(P548,TZ_STN,0))/24)&lt;INDEX(TZ_DSTE,MATCH(P548,TZ_STN,0))),INDEX(TZ_DST,MATCH(P548,TZ_STN,0)),INDEX(TZ_STD,MATCH(P548,TZ_STN,0))))/24,"")</f>
        <v/>
      </c>
      <c r="AH548" s="65" t="str">
        <f aca="false">IFERROR(IF(N548="N/A – rule",IF(OR(TRIM(U548)="",TRIM(U548)="N/A",TRIM(U548)="Not started"),"N/A – RULE","INVALID – this check does not apply to this aircraft: clear the status (or correct the fleet on Flights)"),IF(TRIM(U548)="N/A",IF(AT548=0,"INVALID – N/A not permitted for this check",IF(AND(TRIM(AB548)&lt;&gt;"",TRIM(AB548)&lt;&gt;"Closed"),"INVALID – corrective action still open",IF(AND(NOT(OR(LEN(AZ548)&lt;15,ISNUMBER(MATCH(AZ548,L_Placeholder,0)))),BK548=0,CG548&gt;=8,NOT(OR(LEN(AU548)&lt;2,ISNUMBER(MATCH(AU548,L_Placeholder,0)))),BR548&gt;=3,NOT(OR(LEN(AX548)&lt;2,ISNUMBER(MATCH(AX548,L_Placeholder,0)))),BS548&gt;=3,TRIM(AE548)&lt;&gt;TRIM(T548),AX548&lt;&gt;AU548,CE548=0),"N/A – JUSTIFIED","INVALID – N/A needs a real, settled reason (not 'not applicable' / 'as above' / TBC), a named PIC and a different named verifier"))),IF(OR(TRIM(U548)="Pass",TRIM(U548)="Pass after CA"),IF(NOT(ISNUMBER(AD548)),"INVALID – completion time missing",IF(OR(OR(LEN(AU548)&lt;2,ISNUMBER(MATCH(AU548,L_Placeholder,0))),BR548&lt;3),"INVALID – PIC missing or not a named person (a role such as QA / CSM is not a name)",IF(OR(LEN(AV548)&lt;2,ISNUMBER(MATCH(AV548,L_Placeholder,0))),"INVALID – result / assessment missing",IF(OR(OR(LEN(AW548)&lt;3,ISNUMBER(MATCH(AW548,L_Placeholder,0))),SUMPRODUCT(--ISNUMBER(SEARCH(" "&amp;L_EvidencePhrase&amp;" ",BD548)))&gt;0,BI548=1),"INVALID – evidence missing, placeholder or not yet on file",IF(ISNA(MATCH(TRIM(S548),L_EvidenceType,0)),"INVALID – choose the evidence type from the list (column S)",IF(BL548=0,"INVALID – evidence ID must be the record's own ID only (e.g. SF-2210, IMG_2231, 1045521); a link / file name needs type 'Link / file path'",IF(OR(OR(LEN(AX548)&lt;2,ISNUMBER(MATCH(AX548,L_Placeholder,0))),BS548&lt;3),"INVALID – verifier missing or not a named person (a role such as QA / CSM is not a name)",IF(OR(AX548=AU548,CE548=1,AND(LEN(AU548)&gt;=4,ISNUMBER(SEARCH(AU548,AX548))),AND(LEN(AX548)&gt;=4,ISNUMBER(SEARCH(AX548,AU548)))),"INVALID – verifier must be a different, named person (not the PIC or a role)",IF(BH548=1,"INVALID – result not yet available (awaiting / TBC)",IF(BG548=1,"INVALID – result describes a problem: record Fail, then Pass after CA (or reword if it is not a problem)",IF(BV548=1,"INVALID – wording says not on board: an on-board confirmation needs the item loaded",IF(AND(AQ548=1,OR(OR(LEN(AY548)&lt;3,ISNUMBER(MATCH(AY548,L_Placeholder,0))),BJ548=1,BQ548=0)),"INVALID – batch ID missing, placeholder or not an ID (e.g. PASB-261008-BC-017)",IF(AND(AR548=1,OR(NOT(ISNUMBER(X548)),NOT(ISNUMBER(Y548)))),"INVALID – expected/actual qty missing",IF(AND(AR548=1,OR(X548&lt;=0,Y548&lt;0)),"INVALID – expected qty must be above 0 and actual not negative",IF(BB548&lt;&gt;"",BB548,IF(AND(AS548=1,Documents!$J$21&lt;&gt;"ON FILE"),"INVALID – GLD not on file (Documents sheet)",IF(AND(AS548=2,Documents!$O$21&lt;&gt;"ON FILE"),"INVALID – menu checklist not on file (Documents sheet)",IF(AND(AS548=3,NOT(ISNUMBER(Flights!$AX$21))),"INVALID – enter carrying flight KUL departure (Flights AX)",IF(AND(AS548=3,OR(Flights!$AZ$21&gt;Flights!$AA$21,Flights!$AX$21&lt;Flights!$AA$21-3)),"INVALID – carrying flight (Flights AX) cannot arrive before this leg's STD, or is over 3 days early",IF(AG548&gt;AsOfUTC,"INVALID – completion time is in the future",IF(AND(ISNUMBER(BY548),AG548&lt;BY548),IF(H548="Physical uplift","INVALID – before uplift window (cannot confirm loading)","INVALID – before valid window"),IF(AG548&gt;Flights!$AA$21,"INVALID – completed after departure (cannot establish readiness)",IF(AND(H548="Preparation",AG548&gt;=IF(ISNUMBER(Flights!$BA$21),MIN(Flights!$BA$21,Flights!$AA$21),Flights!$AA$21)),"INVALID – completed after loading / departure (cannot establish readiness)",IF(AND(H548="Physical uplift",AG548&gt;Q548),"INVALID – recorded after the loading flight departed",IF(AG548&gt;Q548,"COMPLETE – LATE","COMPLETE"))))))))))))))))))))))))),IF(TRIM(U548)="Fail","FAIL – DISCREPANCY",IF(AND(TRIM(U548)&lt;&gt;"",TRIM(U548)&lt;&gt;"Not started",TRIM(U548)&lt;&gt;"In progress"),"INVALID – unrecognised status (use the list)",IF(AsOfUTC&gt;Q548,"OVERDUE",IF(N548="Clarification required","OPEN – CLARIFICATION","OPEN"))))))),"INVALID – error value in an input cell")</f>
        <v>OPEN</v>
      </c>
      <c r="AI548" s="61" t="n">
        <f aca="false">IF(OR(AH548="N/A – RULE",AH548="N/A – JUSTIFIED"),0,1)</f>
        <v>1</v>
      </c>
      <c r="AJ548" s="61" t="n">
        <f aca="false">IF(LEFT(AH548,8)="COMPLETE",1,0)</f>
        <v>0</v>
      </c>
      <c r="AK548" s="61" t="n">
        <f aca="false">IF(AND(AI548=1,AJ548=0,AsOfUTC&gt;Q548),1,0)</f>
        <v>0</v>
      </c>
      <c r="AL548" s="61" t="n">
        <f aca="false">IFERROR(IF(AND(AI548=1,OR(TRIM(U548)="Fail",AND(TRIM(AB548)&lt;&gt;"",TRIM(AB548)&lt;&gt;"Closed"),AND(ISNUMBER(AF548),AF548&lt;&gt;0,TRIM(U548)&lt;&gt;"Pass after CA"))),1,0),1)</f>
        <v>0</v>
      </c>
      <c r="AM548" s="61" t="n">
        <f aca="false">IF(LEFT(AH548,7)="INVALID",1,0)</f>
        <v>0</v>
      </c>
      <c r="AN548" s="61" t="n">
        <f aca="false">IF(AND(N548="Clarification required",AI548=1,AJ548=0),1,0)</f>
        <v>0</v>
      </c>
      <c r="AO548" s="61" t="str">
        <f aca="false">IF(AK548=1,SUM(AK$5:AK548),"")</f>
        <v/>
      </c>
      <c r="AP548" s="61" t="str">
        <f aca="false">IF(AL548=1,SUM(AL$5:AL548),"")</f>
        <v/>
      </c>
      <c r="AQ548" s="61" t="n">
        <v>0</v>
      </c>
      <c r="AR548" s="61" t="n">
        <v>0</v>
      </c>
      <c r="AS548" s="61" t="n">
        <v>0</v>
      </c>
      <c r="AT548" s="61" t="n">
        <v>0</v>
      </c>
      <c r="AU548" s="61" t="str">
        <f aca="false">SUBSTITUTE(SUBSTITUTE(SUBSTITUTE(SUBSTITUTE(SUBSTITUTE(SUBSTITUTE(SUBSTITUTE(SUBSTITUTE(SUBSTITUTE(SUBSTITUTE(SUBSTITUTE(SUBSTITUTE(SUBSTITUTE(SUBSTITUTE(SUBSTITUTE(SUBSTITUTE(LOWER(T548&amp;""),CHAR(10),""),CHAR(13),""),CHAR(9),""),CHAR(160),"")," ",""),".",""),"-",""),"/",""),"?",""),"_",""),",",""),"[",""),"]",""),"(",""),")",""),"*","")</f>
        <v/>
      </c>
      <c r="AV548" s="61" t="str">
        <f aca="false">SUBSTITUTE(SUBSTITUTE(SUBSTITUTE(SUBSTITUTE(SUBSTITUTE(SUBSTITUTE(SUBSTITUTE(SUBSTITUTE(SUBSTITUTE(SUBSTITUTE(SUBSTITUTE(SUBSTITUTE(SUBSTITUTE(SUBSTITUTE(SUBSTITUTE(SUBSTITUTE(LOWER(V548&amp;""),CHAR(10),""),CHAR(13),""),CHAR(9),""),CHAR(160),"")," ",""),".",""),"-",""),"/",""),"?",""),"_",""),",",""),"[",""),"]",""),"(",""),")",""),"*","")</f>
        <v/>
      </c>
      <c r="AW548" s="61" t="str">
        <f aca="false">SUBSTITUTE(SUBSTITUTE(SUBSTITUTE(SUBSTITUTE(SUBSTITUTE(SUBSTITUTE(SUBSTITUTE(SUBSTITUTE(SUBSTITUTE(SUBSTITUTE(SUBSTITUTE(SUBSTITUTE(SUBSTITUTE(SUBSTITUTE(SUBSTITUTE(SUBSTITUTE(LOWER(Z548&amp;""),CHAR(10),""),CHAR(13),""),CHAR(9),""),CHAR(160),"")," ",""),".",""),"-",""),"/",""),"?",""),"_",""),",",""),"[",""),"]",""),"(",""),")",""),"*","")</f>
        <v/>
      </c>
      <c r="AX548" s="61" t="str">
        <f aca="false">SUBSTITUTE(SUBSTITUTE(SUBSTITUTE(SUBSTITUTE(SUBSTITUTE(SUBSTITUTE(SUBSTITUTE(SUBSTITUTE(SUBSTITUTE(SUBSTITUTE(SUBSTITUTE(SUBSTITUTE(SUBSTITUTE(SUBSTITUTE(SUBSTITUTE(SUBSTITUTE(LOWER(AE548&amp;""),CHAR(10),""),CHAR(13),""),CHAR(9),""),CHAR(160),"")," ",""),".",""),"-",""),"/",""),"?",""),"_",""),",",""),"[",""),"]",""),"(",""),")",""),"*","")</f>
        <v/>
      </c>
      <c r="AY548" s="61" t="str">
        <f aca="false">SUBSTITUTE(SUBSTITUTE(SUBSTITUTE(SUBSTITUTE(SUBSTITUTE(SUBSTITUTE(SUBSTITUTE(SUBSTITUTE(SUBSTITUTE(SUBSTITUTE(SUBSTITUTE(SUBSTITUTE(SUBSTITUTE(SUBSTITUTE(SUBSTITUTE(SUBSTITUTE(LOWER(W548&amp;""),CHAR(10),""),CHAR(13),""),CHAR(9),""),CHAR(160),"")," ",""),".",""),"-",""),"/",""),"?",""),"_",""),",",""),"[",""),"]",""),"(",""),")",""),"*","")</f>
        <v/>
      </c>
      <c r="AZ548" s="61" t="str">
        <f aca="false">SUBSTITUTE(SUBSTITUTE(SUBSTITUTE(SUBSTITUTE(SUBSTITUTE(SUBSTITUTE(SUBSTITUTE(SUBSTITUTE(SUBSTITUTE(SUBSTITUTE(SUBSTITUTE(SUBSTITUTE(SUBSTITUTE(SUBSTITUTE(SUBSTITUTE(SUBSTITUTE(LOWER(AC548&amp;""),CHAR(10),""),CHAR(13),""),CHAR(9),""),CHAR(160),"")," ",""),".",""),"-",""),"/",""),"?",""),"_",""),",",""),"[",""),"]",""),"(",""),")",""),"*","")</f>
        <v/>
      </c>
      <c r="BA548" s="61" t="str">
        <f aca="false">SUBSTITUTE(SUBSTITUTE(SUBSTITUTE(SUBSTITUTE(SUBSTITUTE(SUBSTITUTE(SUBSTITUTE(SUBSTITUTE(SUBSTITUTE(SUBSTITUTE(SUBSTITUTE(SUBSTITUTE(SUBSTITUTE(SUBSTITUTE(SUBSTITUTE(SUBSTITUTE(LOWER(AA548&amp;""),CHAR(10),""),CHAR(13),""),CHAR(9),""),CHAR(160),"")," ",""),".",""),"-",""),"/",""),"?",""),"_",""),",",""),"[",""),"]",""),"(",""),")",""),"*","")</f>
        <v/>
      </c>
      <c r="BB548" s="61" t="str">
        <f aca="false">IF(AND(TRIM(U548)="Pass",ISNUMBER(AF548)),IF(AF548&lt;&gt;0,"INVALID – qty variance: use Fail or Pass after CA",""),"")&amp;IF(AND(TRIM(U548)="Pass after CA",ISNUMBER(AF548)),IF(AF548&lt;&gt;0,"INVALID – after the corrective action the actual qty must equal expected (update Actual)",""),"")&amp;IF(AND(TRIM(U548)="Pass",TRIM(AB548)&lt;&gt;"",TRIM(AB548)&lt;&gt;"Closed"),"INVALID – corrective action not closed: use Fail, then Pass after CA","")&amp;IF(AND(LEN(BA548)&gt;=2,ISNA(MATCH(LEFT(BA548,255),L_Placeholder,0)),TRIM(AB548)=""),"INVALID – CA status missing for the recorded corrective action","")&amp;IF(AND(TRIM(U548)="Pass after CA",OR(OR(LEN(BA548)&lt;5,ISNUMBER(MATCH(BA548,L_Placeholder,0))),TRIM(AB548)&lt;&gt;"Closed")),"INVALID – corrective action not recorded/closed","")</f>
        <v/>
      </c>
      <c r="BC548" s="61" t="str">
        <f aca="false">" "&amp;TRIM(SUBSTITUTE(SUBSTITUTE(SUBSTITUTE(SUBSTITUTE(SUBSTITUTE(SUBSTITUTE(SUBSTITUTE(SUBSTITUTE(SUBSTITUTE(SUBSTITUTE(SUBSTITUTE(SUBSTITUTE(SUBSTITUTE(SUBSTITUTE(SUBSTITUTE(SUBSTITUTE(SUBSTITUTE(SUBSTITUTE(SUBSTITUTE(SUBSTITUTE(SUBSTITUTE(SUBSTITUTE(SUBSTITUTE(SUBSTITUTE(LOWER(V548&amp;""),CHAR(10)," "),CHAR(13)," "),CHAR(9)," "),CHAR(160)," "),"."," "),","," "),"-"," "),"/"," "),"("," "),")"," "),":"," "),";"," "),"_"," "),"–"," "),"?"," "),"!"," "),"*"," "),"["," "),"]"," "),"'"," "),"#"," "),"+"," "),"&amp;"," "),"\"," "))&amp;" "</f>
        <v>  </v>
      </c>
      <c r="BD548" s="61" t="str">
        <f aca="false">" "&amp;TRIM(SUBSTITUTE(SUBSTITUTE(SUBSTITUTE(SUBSTITUTE(SUBSTITUTE(SUBSTITUTE(SUBSTITUTE(SUBSTITUTE(SUBSTITUTE(SUBSTITUTE(SUBSTITUTE(SUBSTITUTE(SUBSTITUTE(SUBSTITUTE(SUBSTITUTE(SUBSTITUTE(SUBSTITUTE(SUBSTITUTE(SUBSTITUTE(SUBSTITUTE(SUBSTITUTE(SUBSTITUTE(SUBSTITUTE(SUBSTITUTE(LOWER(Z548&amp;""),CHAR(10)," "),CHAR(13)," "),CHAR(9)," "),CHAR(160)," "),"."," "),","," "),"-"," "),"/"," "),"("," "),")"," "),":"," "),";"," "),"_"," "),"–"," "),"?"," "),"!"," "),"*"," "),"["," "),"]"," "),"'"," "),"#"," "),"+"," "),"&amp;"," "),"\"," "))&amp;" "</f>
        <v>  </v>
      </c>
      <c r="BE548" s="61" t="str">
        <f aca="false">" "&amp;TRIM(SUBSTITUTE(SUBSTITUTE(SUBSTITUTE(SUBSTITUTE(SUBSTITUTE(SUBSTITUTE(SUBSTITUTE(SUBSTITUTE(SUBSTITUTE(SUBSTITUTE(SUBSTITUTE(SUBSTITUTE(SUBSTITUTE(SUBSTITUTE(SUBSTITUTE(SUBSTITUTE(SUBSTITUTE(SUBSTITUTE(SUBSTITUTE(SUBSTITUTE(SUBSTITUTE(SUBSTITUTE(SUBSTITUTE(SUBSTITUTE(LOWER(W548&amp;""),CHAR(10)," "),CHAR(13)," "),CHAR(9)," "),CHAR(160)," "),"."," "),","," "),"-"," "),"/"," "),"("," "),")"," "),":"," "),";"," "),"_"," "),"–"," "),"?"," "),"!"," "),"*"," "),"["," "),"]"," "),"'"," "),"#"," "),"+"," "),"&amp;"," "),"\"," "))&amp;" "</f>
        <v>  </v>
      </c>
      <c r="BF548" s="61" t="str">
        <f aca="false">" "&amp;TRIM(SUBSTITUTE(SUBSTITUTE(SUBSTITUTE(SUBSTITUTE(SUBSTITUTE(SUBSTITUTE(SUBSTITUTE(SUBSTITUTE(SUBSTITUTE(SUBSTITUTE(SUBSTITUTE(SUBSTITUTE(SUBSTITUTE(SUBSTITUTE(SUBSTITUTE(SUBSTITUTE(SUBSTITUTE(SUBSTITUTE(SUBSTITUTE(SUBSTITUTE(SUBSTITUTE(SUBSTITUTE(SUBSTITUTE(SUBSTITUTE(LOWER(AC548&amp;""),CHAR(10)," "),CHAR(13)," "),CHAR(9)," "),CHAR(160)," "),"."," "),","," "),"-"," "),"/"," "),"("," "),")"," "),":"," "),";"," "),"_"," "),"–"," "),"?"," "),"!"," "),"*"," "),"["," "),"]"," "),"'"," "),"#"," "),"+"," "),"&amp;"," "),"\"," "))&amp;" "</f>
        <v>  </v>
      </c>
      <c r="BG548" s="61" t="n">
        <f aca="false">IFERROR(IF(AND(TRIM(U548)="Pass",SUMPRODUCT((LEN(BC548)-LEN(SUBSTITUTE(BC548," "&amp;L_ResultBad&amp;" "," ")))/(LEN(L_ResultBad)+1))&gt;SUMPRODUCT((LEN(BC548)-LEN(SUBSTITUTE(BC548," "&amp;L_NegPhrase&amp;" "," ")))/(LEN(L_NegPhrase)+1))),1,0),0)</f>
        <v>0</v>
      </c>
      <c r="BH548" s="61" t="n">
        <f aca="false">IFERROR(IF(SUMPRODUCT((LEN(BC548)-LEN(SUBSTITUTE(BC548," "&amp;L_Pending&amp;" "," ")))/(LEN(L_Pending)+1))&gt;SUMPRODUCT((LEN(BC548)-LEN(SUBSTITUTE(BC548," "&amp;L_PendNeg&amp;" "," ")))/(LEN(L_PendNeg)+1))+SUMPRODUCT((LEN(BC548)-LEN(SUBSTITUTE(BC548," "&amp;L_PendPrep&amp;" "," ")))/(LEN(L_PendPrep)+1)),1,0),1)</f>
        <v>0</v>
      </c>
      <c r="BI548" s="61" t="n">
        <f aca="false">IFERROR(IF(SUMPRODUCT((LEN(BD548)-LEN(SUBSTITUTE(BD548," "&amp;L_PendStrict&amp;" "," ")))/(LEN(L_PendStrict)+1))&gt;SUMPRODUCT((LEN(BD548)-LEN(SUBSTITUTE(BD548," "&amp;L_PendNeg&amp;" "," ")))/(LEN(L_PendNeg)+1)),1,0),1)</f>
        <v>0</v>
      </c>
      <c r="BJ548" s="61" t="n">
        <f aca="false">IFERROR(IF(SUMPRODUCT((LEN(BE548)-LEN(SUBSTITUTE(BE548," "&amp;L_Pending&amp;" "," ")))/(LEN(L_Pending)+1))&gt;SUMPRODUCT((LEN(BE548)-LEN(SUBSTITUTE(BE548," "&amp;L_PendNeg&amp;" "," ")))/(LEN(L_PendNeg)+1))+SUMPRODUCT((LEN(BE548)-LEN(SUBSTITUTE(BE548," "&amp;L_PendPrep&amp;" "," ")))/(LEN(L_PendPrep)+1)),1,0),1)</f>
        <v>0</v>
      </c>
      <c r="BK548" s="61" t="n">
        <f aca="false">IFERROR(IF(SUMPRODUCT((LEN(BF548)-LEN(SUBSTITUTE(BF548," "&amp;L_PendStrict&amp;" "," ")))/(LEN(L_PendStrict)+1))&gt;SUMPRODUCT((LEN(BF548)-LEN(SUBSTITUTE(BF548," "&amp;L_PendNeg&amp;" "," ")))/(LEN(L_PendNeg)+1)),1,0),1)</f>
        <v>0</v>
      </c>
      <c r="BL548" s="61" t="n">
        <f aca="false">IF(ISNA(MATCH(TRIM(S548),L_EvidenceType,0)),0,BZ548)</f>
        <v>0</v>
      </c>
      <c r="BM548" s="61" t="str">
        <f aca="false">SUBSTITUTE(SUBSTITUTE(SUBSTITUTE(SUBSTITUTE(SUBSTITUTE(SUBSTITUTE(SUBSTITUTE(SUBSTITUTE(SUBSTITUTE(LOWER(Z548&amp;""),"1","0"),"2","0"),"3","0"),"4","0"),"5","0"),"6","0"),"7","0"),"8","0"),"9","0")</f>
        <v/>
      </c>
      <c r="BN548" s="61" t="str">
        <f aca="false">SUBSTITUTE(SUBSTITUTE(SUBSTITUTE(SUBSTITUTE(SUBSTITUTE(SUBSTITUTE(SUBSTITUTE(SUBSTITUTE(SUBSTITUTE(SUBSTITUTE(SUBSTITUTE(SUBSTITUTE(SUBSTITUTE(SUBSTITUTE(SUBSTITUTE(SUBSTITUTE(SUBSTITUTE(SUBSTITUTE(SUBSTITUTE(SUBSTITUTE(SUBSTITUTE(SUBSTITUTE(SUBSTITUTE(SUBSTITUTE(SUBSTITUTE(BM548,"b","a"),"c","a"),"d","a"),"e","a"),"f","a"),"g","a"),"h","a"),"i","a"),"j","a"),"k","a"),"l","a"),"m","a"),"n","a"),"o","a"),"p","a"),"q","a"),"r","a"),"s","a"),"t","a"),"u","a"),"v","a"),"w","a"),"x","a"),"y","a"),"z","a")</f>
        <v/>
      </c>
      <c r="BO548" s="61" t="str">
        <f aca="false">SUBSTITUTE(SUBSTITUTE(SUBSTITUTE(SUBSTITUTE(SUBSTITUTE(SUBSTITUTE(SUBSTITUTE(SUBSTITUTE(SUBSTITUTE(LOWER(W548&amp;""),"1","0"),"2","0"),"3","0"),"4","0"),"5","0"),"6","0"),"7","0"),"8","0"),"9","0")</f>
        <v/>
      </c>
      <c r="BP548" s="61" t="str">
        <f aca="false">SUBSTITUTE(SUBSTITUTE(SUBSTITUTE(SUBSTITUTE(SUBSTITUTE(SUBSTITUTE(SUBSTITUTE(SUBSTITUTE(SUBSTITUTE(SUBSTITUTE(SUBSTITUTE(SUBSTITUTE(SUBSTITUTE(SUBSTITUTE(SUBSTITUTE(SUBSTITUTE(SUBSTITUTE(SUBSTITUTE(SUBSTITUTE(SUBSTITUTE(SUBSTITUTE(SUBSTITUTE(SUBSTITUTE(SUBSTITUTE(SUBSTITUTE(BO548,"b","a"),"c","a"),"d","a"),"e","a"),"f","a"),"g","a"),"h","a"),"i","a"),"j","a"),"k","a"),"l","a"),"m","a"),"n","a"),"o","a"),"p","a"),"q","a"),"r","a"),"s","a"),"t","a"),"u","a"),"v","a"),"w","a"),"x","a"),"y","a"),"z","a")</f>
        <v/>
      </c>
      <c r="BQ548" s="61" t="n">
        <f aca="false">IFERROR(IF(AND(ISERROR(SEARCH(" mh"," "&amp;LOWER(W548))),ISNA(MATCH(LEFT(TRIM(BP548),255),{"0000a","000a","00a","0000aa","000aa","00aa","0aa","0000aaa","000aaa","00a00","0a00","0000-0000","00:00","a00","a0","00.00.0000","00/00/0000","00-00-0000","0000-00-00","0000/00/00","0000.00.00","00.00.00","00/00/00","00-00-00","0.00.0000","0/00/0000","0-00-0000"},0)),ISNA(MATCH(LEFT(TRIM(CA548),255),{"0000a","000a","00a","0000aa","000aa","00aa","0aa","0000aaa","000aaa","00a00","0a00","0000-0000","00:00","a00","a0","00.00.0000","00/00/0000","00-00-0000","0000-00-00","0000/00/00","0000.00.00","00.00.00","00/00/00","00-00-00","0.00.0000","0/00/0000","0-00-0000"},0)),LEN(CB548)&gt;=3,NOT(OR(SUBSTITUTE(CB548,"0","")="",AND(LEN(CB548)&gt;=4,CB548=REPT(LEFT(CB548),LEN(CB548))),ISNUMBER(MATCH(CB548,{"123","1234","12345","123456","1234567","12345678","0123","01234","012345","98765","987654","54321"},0)),AND(LEN(CB548)=8,LEFT(CB548,3)="202"))),OR(AND((LEN(CA548)-LEN(SUBSTITUTE(CA548,"a","")))&gt;=1,SUMPRODUCT(--ISNUMBER(SEARCH({"a0","a-0","a_0","a/0","a.0","a#0","0a","0-a","0_a","0/a"},BP548)))&gt;0),ISNUMBER(SEARCH("000000",BP548)))),1,0),0)</f>
        <v>0</v>
      </c>
      <c r="BR548" s="61" t="n">
        <f aca="false">IFERROR(LEN(SUBSTITUTE(CC548," ",""))-SUMPRODUCT((LEN(CC548)-LEN(SUBSTITUTE(CC548," "&amp;L_Role&amp;" "," ")))/(LEN(L_Role)+1)*LEN(L_Role)),0)</f>
        <v>0</v>
      </c>
      <c r="BS548" s="61" t="n">
        <f aca="false">IFERROR(LEN(SUBSTITUTE(CD548," ",""))-SUMPRODUCT((LEN(CD548)-LEN(SUBSTITUTE(CD548," "&amp;L_Role&amp;" "," ")))/(LEN(L_Role)+1)*LEN(L_Role)),0)</f>
        <v>0</v>
      </c>
      <c r="BT5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548,"revision",""),"version",""),"jan",""),"feb",""),"mar",""),"apr",""),"may",""),"jun",""),"jul",""),"aug",""),"sep",""),"oct",""),"nov",""),"dec",""),"utc",""),"gmt",""),"myt",""),"bst",""),"rev",""),"ver",""),"b","a"),"c","a"),"d","a"),"e","a"),"f","a"),"g","a"),"h","a"),"i","a"),"j","a"),"k","a"),"l","a"),"m","a"),"n","a"),"o","a"),"p","a"),"q","a"),"r","a"),"s","a"),"t","a"),"u","a"),"v","a"),"w","a"),"x","a"),"y","a"),"z","a")</f>
        <v/>
      </c>
      <c r="BU548" s="61" t="str">
        <f aca="false">SUBSTITUTE(SUBSTITUTE(SUBSTITUTE(SUBSTITUTE(SUBSTITUTE(SUBSTITUTE(SUBSTITUTE(SUBSTITUTE(SUBSTITUTE(SUBSTITUTE(LEFT(BM548,FIND("0",BM548&amp;"0")-1),"-",""),"_",""),"/",""),".",""),"#",""),"\\",""),":","")," ",""),"(",""),")","")</f>
        <v/>
      </c>
      <c r="BV548" s="61" t="n">
        <f aca="false">0</f>
        <v>0</v>
      </c>
      <c r="BW5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548&amp;""),"a",""),"b",""),"c",""),"d",""),"e",""),"f",""),"g",""),"h",""),"i",""),"j",""),"k",""),"l",""),"m",""),"n",""),"o",""),"p",""),"q",""),"r",""),"s",""),"t",""),"u",""),"v",""),"w",""),"x",""),"y",""),"z",""),"-",""),"_",""),"/",""),".",""),"#",""),"\\",""),":","")," ",""),"(",""),")","")</f>
        <v/>
      </c>
      <c r="BX548" s="61" t="str">
        <f aca="false">SUBSTITUTE(SUBSTITUTE(SUBSTITUTE(SUBSTITUTE(SUBSTITUTE(SUBSTITUTE(SUBSTITUTE(SUBSTITUTE(SUBSTITUTE(SUBSTITUTE(SUBSTITUTE(BM548,"0",""),"-",""),"_",""),"/",""),".",""),"#",""),"\\",""),":","")," ",""),"(",""),")","")</f>
        <v/>
      </c>
      <c r="BY548" s="62" t="n">
        <f aca="false">Q548-T12EarlyH/24</f>
        <v>46321.2847222222</v>
      </c>
      <c r="BZ548" s="61" t="n">
        <f aca="false">IFERROR(IF(IF(TRIM(S548)="Link / file path",AND(LEN(TRIM(Z548))&gt;=5,SUMPRODUCT(--ISNUMBER(SEARCH({"http","www.","\\",":\",".pdf",".jpg",".jpeg",".png",".heic",".xls",".doc",".msg",".eml",".ppt",".txt",".zip"},Z548)))&gt;0),AND(ISERROR(FIND(" ",TRIM(Z548))),NOT(OR(SUMPRODUCT(--ISNUMBER(FIND({",",";","&amp;","+"},Z548)))&gt;0,SUMPRODUCT(--ISNUMBER(SEARCH({"0/aa","0\\aa"},BN548)))&gt;0)),NOT(SUMPRODUCT(--ISNUMBER(SEARCH({"http","www.","\\",":\",".pdf",".jpg",".jpeg",".png",".heic",".xls",".doc",".msg",".eml",".ppt",".txt",".zip"},Z548)))&gt;0),NOT(LOWER(TRIM(Z548))=LOWER(Flights!$F$21)),ISNA(MATCH(BU548,{"mh","rev","revision","ver","version","v","r","a","b","seat","tray","row","gate","bay","stand","page","pg","item","line","no","cart","galley","flight","flt","table","box","bag","oven","etd","eta","std","sta","atd","ata","qty","pax","x","time","tel","ph","mob","day","wk","week","utc","gmt","myt","lt"},0)),NOT(OR(ISNUMBER(MATCH(LEFT(BN548,255),{"0000a","000a","00a","0000aa","000aa","00aa","0aa","0000aaa","000aaa","00a00","0a00","0000-0000","00:00","a00","a0","00.00.0000","00/00/0000","00-00-0000","0000-00-00","0000/00/00","0000.00.00","00.00.00","00/00/00","00-00-00","0.00.0000","0/00/0000","0-00-0000"},0)),ISNUMBER(MATCH(LEFT(BT548,255),{"0000a","000a","00a","0000aa","000aa","00aa","0aa","0000aaa","000aaa","00a00","0a00","0000-0000","00:00","a00","a0","00.00.0000","00/00/0000","00-00-0000","0000-00-00","0000/00/00","0000.00.00","00.00.00","00/00/00","00-00-00","0.00.0000","0/00/0000","0-00-0000"},0)))),NOT(OR(AND(BW548&lt;&gt;"",SUBSTITUTE(BW548,"0","")=""),AND(LEN(BW548)&gt;=4,BW548=REPT(LEFT(BW548),LEN(BW548))),ISNUMBER(MATCH(BW548,{"123","1234","12345","123456","1234567","12345678","0123","01234","012345","98765","987654","54321"},0)),ISNUMBER(MATCH(BX548,{"x","xx","xxx","xxxx","xxxxx","abc","abcd","nil","na","nan","test","tbc","tba","tbd","dummy","sample","example","eg","zz","zzz","none","null","xyz","qwe","asd","id","ref"},0)),AND(LEN(BW548)=8,BX548="",OR(LEFT(BW548,3)="202",ISNUMBER(MATCH(RIGHT(BW548,4),{"2025","2026","2027"},0)))))),OR(AND((LEN(BT548)-LEN(SUBSTITUTE(BT548,"a","")))&gt;=1,(LEN(BN548)-LEN(SUBSTITUTE(BN548,"0","")))&gt;=2,SUMPRODUCT(--ISNUMBER(SEARCH({"a0","a-0","a_0","a/0","a.0","a#0","0a","0-a","0_a","0/a"},BN548)))&gt;0),AND((LEN(BN548)-LEN(SUBSTITUTE(BN548,"a","")))=0,(LEN(BN548)-LEN(SUBSTITUTE(BN548,"0","")))&gt;=5)))),1,0),0)</f>
        <v>0</v>
      </c>
      <c r="CA5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548,"revision",""),"version",""),"jan",""),"feb",""),"mar",""),"apr",""),"may",""),"jun",""),"jul",""),"aug",""),"sep",""),"oct",""),"nov",""),"dec",""),"utc",""),"gmt",""),"myt",""),"bst",""),"rev",""),"ver",""),"b","a"),"c","a"),"d","a"),"e","a"),"f","a"),"g","a"),"h","a"),"i","a"),"j","a"),"k","a"),"l","a"),"m","a"),"n","a"),"o","a"),"p","a"),"q","a"),"r","a"),"s","a"),"t","a"),"u","a"),"v","a"),"w","a"),"x","a"),"y","a"),"z","a")</f>
        <v/>
      </c>
      <c r="CB5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548&amp;""),"a",""),"b",""),"c",""),"d",""),"e",""),"f",""),"g",""),"h",""),"i",""),"j",""),"k",""),"l",""),"m",""),"n",""),"o",""),"p",""),"q",""),"r",""),"s",""),"t",""),"u",""),"v",""),"w",""),"x",""),"y",""),"z",""),"-",""),"_",""),"/",""),".",""),"#",""),"\\",""),":","")," ",""),"(",""),")","")</f>
        <v/>
      </c>
      <c r="CC548" s="0" t="str">
        <f aca="false">" "&amp;TRIM(SUBSTITUTE(SUBSTITUTE(SUBSTITUTE(SUBSTITUTE(SUBSTITUTE(SUBSTITUTE(SUBSTITUTE(SUBSTITUTE(SUBSTITUTE(SUBSTITUTE(SUBSTITUTE(SUBSTITUTE(SUBSTITUTE(SUBSTITUTE(SUBSTITUTE(SUBSTITUTE(SUBSTITUTE(SUBSTITUTE(SUBSTITUTE(SUBSTITUTE(SUBSTITUTE(SUBSTITUTE(SUBSTITUTE(SUBSTITUTE(LOWER(T548&amp;""),CHAR(10)," "),CHAR(13)," "),CHAR(9)," "),CHAR(160)," "),"."," "),","," "),"-"," "),"/"," "),"("," "),")"," "),":"," "),";"," "),"_"," "),"–"," "),"?"," "),"!"," "),"*"," "),"["," "),"]"," "),"'"," "),"#"," "),"+"," "),"&amp;"," "),"\"," "))&amp;" "</f>
        <v>  </v>
      </c>
      <c r="CD548" s="0" t="str">
        <f aca="false">" "&amp;TRIM(SUBSTITUTE(SUBSTITUTE(SUBSTITUTE(SUBSTITUTE(SUBSTITUTE(SUBSTITUTE(SUBSTITUTE(SUBSTITUTE(SUBSTITUTE(SUBSTITUTE(SUBSTITUTE(SUBSTITUTE(SUBSTITUTE(SUBSTITUTE(SUBSTITUTE(SUBSTITUTE(SUBSTITUTE(SUBSTITUTE(SUBSTITUTE(SUBSTITUTE(SUBSTITUTE(SUBSTITUTE(SUBSTITUTE(SUBSTITUTE(LOWER(AE548&amp;""),CHAR(10)," "),CHAR(13)," "),CHAR(9)," "),CHAR(160)," "),"."," "),","," "),"-"," "),"/"," "),"("," "),")"," "),":"," "),";"," "),"_"," "),"–"," "),"?"," "),"!"," "),"*"," "),"["," "),"]"," "),"'"," "),"#"," "),"+"," "),"&amp;"," "),"\"," "))&amp;" "</f>
        <v>  </v>
      </c>
      <c r="CE548" s="68" t="n">
        <f aca="false">IFERROR(IF(AND(LEN(AU548)&gt;0,LEN(AU548)=LEN(AX548),OR(TRIM(MID(SUBSTITUTE(TRIM(CC548)," ",REPT(" ",60)),1,60))="",ISNUMBER(SEARCH(" "&amp;TRIM(MID(SUBSTITUTE(TRIM(CC548)," ",REPT(" ",60)),1,60))&amp;" ",CD548))),OR(TRIM(MID(SUBSTITUTE(TRIM(CC548)," ",REPT(" ",60)),61,60))="",ISNUMBER(SEARCH(" "&amp;TRIM(MID(SUBSTITUTE(TRIM(CC548)," ",REPT(" ",60)),61,60))&amp;" ",CD548))),OR(TRIM(MID(SUBSTITUTE(TRIM(CC548)," ",REPT(" ",60)),121,60))="",ISNUMBER(SEARCH(" "&amp;TRIM(MID(SUBSTITUTE(TRIM(CC548)," ",REPT(" ",60)),121,60))&amp;" ",CD548)))),1,0),0)</f>
        <v>0</v>
      </c>
      <c r="CG548" s="68" t="n">
        <f aca="false">IFERROR(LEN(SUBSTITUTE(BF548," ",""))-SUMPRODUCT((LEN(BF548)-LEN(SUBSTITUTE(BF548," "&amp;L_NAFiller&amp;" "," ")))/(LEN(L_NAFiller)+1)*LEN(L_NAFiller)),0)</f>
        <v>0</v>
      </c>
    </row>
    <row r="549" customFormat="false" ht="41.25" hidden="false" customHeight="true" outlineLevel="0" collapsed="false">
      <c r="A549" s="57" t="s">
        <v>1220</v>
      </c>
      <c r="B549" s="57" t="s">
        <v>290</v>
      </c>
      <c r="C549" s="57" t="str">
        <f aca="false">Flights!$F$21</f>
        <v>MH0073</v>
      </c>
      <c r="D549" s="58" t="n">
        <f aca="false">Flights!$D$21</f>
        <v>46322</v>
      </c>
      <c r="E549" s="57" t="str">
        <f aca="false">Flights!$G$21&amp;"-"&amp;Flights!$H$21</f>
        <v>HKG-KUL</v>
      </c>
      <c r="F549" s="57" t="str">
        <f aca="false">Flights!$K$21</f>
        <v>BC</v>
      </c>
      <c r="G549" s="57" t="s">
        <v>420</v>
      </c>
      <c r="H549" s="57" t="s">
        <v>378</v>
      </c>
      <c r="I549" s="57" t="s">
        <v>440</v>
      </c>
      <c r="J549" s="57" t="s">
        <v>1221</v>
      </c>
      <c r="K549" s="67" t="s">
        <v>501</v>
      </c>
      <c r="L549" s="67" t="s">
        <v>1222</v>
      </c>
      <c r="M549" s="67" t="s">
        <v>187</v>
      </c>
      <c r="N549" s="67" t="s">
        <v>383</v>
      </c>
      <c r="O549" s="67" t="s">
        <v>1223</v>
      </c>
      <c r="P549" s="57" t="s">
        <v>187</v>
      </c>
      <c r="Q549" s="59" t="n">
        <f aca="false">ROUND((MIN(Flights!$AE$21,Flights!$AY$21))*1440,0)/1440</f>
        <v>46320.7986111111</v>
      </c>
      <c r="R549" s="59" t="n">
        <f aca="false">Q549+(IF(AND(INDEX(TZ_DSTS,MATCH(P549,TZ_STN,0))&lt;&gt;"",Q549&gt;=INDEX(TZ_DSTS,MATCH(P549,TZ_STN,0)),Q549&lt;INDEX(TZ_DSTE,MATCH(P549,TZ_STN,0))),INDEX(TZ_DST,MATCH(P549,TZ_STN,0)),INDEX(TZ_STD,MATCH(P549,TZ_STN,0))))/24</f>
        <v>46321.1319444444</v>
      </c>
      <c r="S549" s="60"/>
      <c r="T549" s="60"/>
      <c r="U549" s="60"/>
      <c r="V549" s="60"/>
      <c r="W549" s="61"/>
      <c r="X549" s="60"/>
      <c r="Y549" s="60"/>
      <c r="Z549" s="60"/>
      <c r="AA549" s="60"/>
      <c r="AB549" s="60"/>
      <c r="AC549" s="60"/>
      <c r="AD549" s="66"/>
      <c r="AE549" s="60"/>
      <c r="AF549" s="61" t="str">
        <f aca="false">IF(AND(ISNUMBER(X549),ISNUMBER(Y549)),Y549-X549,"")</f>
        <v/>
      </c>
      <c r="AG549" s="62" t="str">
        <f aca="false">IF(ISNUMBER(AD549),AD549-(IF(AND(INDEX(TZ_DSTS,MATCH(P549,TZ_STN,0))&lt;&gt;"",(AD549-INDEX(TZ_STD,MATCH(P549,TZ_STN,0))/24)&gt;=INDEX(TZ_DSTS,MATCH(P549,TZ_STN,0)),(AD549-INDEX(TZ_STD,MATCH(P549,TZ_STN,0))/24)&lt;INDEX(TZ_DSTE,MATCH(P549,TZ_STN,0))),INDEX(TZ_DST,MATCH(P549,TZ_STN,0)),INDEX(TZ_STD,MATCH(P549,TZ_STN,0))))/24,"")</f>
        <v/>
      </c>
      <c r="AH549" s="65" t="str">
        <f aca="false">IFERROR(IF(N549="N/A – rule",IF(OR(TRIM(U549)="",TRIM(U549)="N/A",TRIM(U549)="Not started"),"N/A – RULE","INVALID – this check does not apply to this aircraft: clear the status (or correct the fleet on Flights)"),IF(TRIM(U549)="N/A",IF(AT549=0,"INVALID – N/A not permitted for this check",IF(AND(TRIM(AB549)&lt;&gt;"",TRIM(AB549)&lt;&gt;"Closed"),"INVALID – corrective action still open",IF(AND(NOT(OR(LEN(AZ549)&lt;15,ISNUMBER(MATCH(AZ549,L_Placeholder,0)))),BK549=0,CG549&gt;=8,NOT(OR(LEN(AU549)&lt;2,ISNUMBER(MATCH(AU549,L_Placeholder,0)))),BR549&gt;=3,NOT(OR(LEN(AX549)&lt;2,ISNUMBER(MATCH(AX549,L_Placeholder,0)))),BS549&gt;=3,TRIM(AE549)&lt;&gt;TRIM(T549),AX549&lt;&gt;AU549,CE549=0),"N/A – JUSTIFIED","INVALID – N/A needs a real, settled reason (not 'not applicable' / 'as above' / TBC), a named PIC and a different named verifier"))),IF(OR(TRIM(U549)="Pass",TRIM(U549)="Pass after CA"),IF(NOT(ISNUMBER(AD549)),"INVALID – completion time missing",IF(OR(OR(LEN(AU549)&lt;2,ISNUMBER(MATCH(AU549,L_Placeholder,0))),BR549&lt;3),"INVALID – PIC missing or not a named person (a role such as QA / CSM is not a name)",IF(OR(LEN(AV549)&lt;2,ISNUMBER(MATCH(AV549,L_Placeholder,0))),"INVALID – result / assessment missing",IF(OR(OR(LEN(AW549)&lt;3,ISNUMBER(MATCH(AW549,L_Placeholder,0))),SUMPRODUCT(--ISNUMBER(SEARCH(" "&amp;L_EvidencePhrase&amp;" ",BD549)))&gt;0,BI549=1),"INVALID – evidence missing, placeholder or not yet on file",IF(ISNA(MATCH(TRIM(S549),L_EvidenceType,0)),"INVALID – choose the evidence type from the list (column S)",IF(BL549=0,"INVALID – evidence ID must be the record's own ID only (e.g. SF-2210, IMG_2231, 1045521); a link / file name needs type 'Link / file path'",IF(OR(OR(LEN(AX549)&lt;2,ISNUMBER(MATCH(AX549,L_Placeholder,0))),BS549&lt;3),"INVALID – verifier missing or not a named person (a role such as QA / CSM is not a name)",IF(OR(AX549=AU549,CE549=1,AND(LEN(AU549)&gt;=4,ISNUMBER(SEARCH(AU549,AX549))),AND(LEN(AX549)&gt;=4,ISNUMBER(SEARCH(AX549,AU549)))),"INVALID – verifier must be a different, named person (not the PIC or a role)",IF(BH549=1,"INVALID – result not yet available (awaiting / TBC)",IF(BG549=1,"INVALID – result describes a problem: record Fail, then Pass after CA (or reword if it is not a problem)",IF(BV549=1,"INVALID – wording says not on board: an on-board confirmation needs the item loaded",IF(AND(AQ549=1,OR(OR(LEN(AY549)&lt;3,ISNUMBER(MATCH(AY549,L_Placeholder,0))),BJ549=1,BQ549=0)),"INVALID – batch ID missing, placeholder or not an ID (e.g. PASB-261008-BC-017)",IF(AND(AR549=1,OR(NOT(ISNUMBER(X549)),NOT(ISNUMBER(Y549)))),"INVALID – expected/actual qty missing",IF(AND(AR549=1,OR(X549&lt;=0,Y549&lt;0)),"INVALID – expected qty must be above 0 and actual not negative",IF(BB549&lt;&gt;"",BB549,IF(AND(AS549=1,Documents!$J$21&lt;&gt;"ON FILE"),"INVALID – GLD not on file (Documents sheet)",IF(AND(AS549=2,Documents!$O$21&lt;&gt;"ON FILE"),"INVALID – menu checklist not on file (Documents sheet)",IF(AND(AS549=3,NOT(ISNUMBER(Flights!$AX$21))),"INVALID – enter carrying flight KUL departure (Flights AX)",IF(AND(AS549=3,OR(Flights!$AZ$21&gt;Flights!$AA$21,Flights!$AX$21&lt;Flights!$AA$21-3)),"INVALID – carrying flight (Flights AX) cannot arrive before this leg's STD, or is over 3 days early",IF(AG549&gt;AsOfUTC,"INVALID – completion time is in the future",IF(AND(ISNUMBER(BY549),AG549&lt;BY549),IF(H549="Physical uplift","INVALID – before uplift window (cannot confirm loading)","INVALID – before valid window"),IF(AG549&gt;Flights!$AA$21,"INVALID – completed after departure (cannot establish readiness)",IF(AND(H549="Preparation",AG549&gt;=Flights!$AY$21+UpliftWindowH/24),"INVALID – completed after the carrying flight left KUL",IF(AND(H549="Physical uplift",AG549&gt;Q549),"INVALID – recorded after the loading flight departed",IF(AG549&gt;Q549,"COMPLETE – LATE","COMPLETE"))))))))))))))))))))))))),IF(TRIM(U549)="Fail","FAIL – DISCREPANCY",IF(AND(TRIM(U549)&lt;&gt;"",TRIM(U549)&lt;&gt;"Not started",TRIM(U549)&lt;&gt;"In progress"),"INVALID – unrecognised status (use the list)",IF(AsOfUTC&gt;Q549,"OVERDUE",IF(N549="Clarification required","OPEN – CLARIFICATION","OPEN"))))))),"INVALID – error value in an input cell")</f>
        <v>OPEN</v>
      </c>
      <c r="AI549" s="61" t="n">
        <f aca="false">IF(OR(AH549="N/A – RULE",AH549="N/A – JUSTIFIED"),0,1)</f>
        <v>1</v>
      </c>
      <c r="AJ549" s="61" t="n">
        <f aca="false">IF(LEFT(AH549,8)="COMPLETE",1,0)</f>
        <v>0</v>
      </c>
      <c r="AK549" s="61" t="n">
        <f aca="false">IF(AND(AI549=1,AJ549=0,AsOfUTC&gt;Q549),1,0)</f>
        <v>0</v>
      </c>
      <c r="AL549" s="61" t="n">
        <f aca="false">IFERROR(IF(AND(AI549=1,OR(TRIM(U549)="Fail",AND(TRIM(AB549)&lt;&gt;"",TRIM(AB549)&lt;&gt;"Closed"),AND(ISNUMBER(AF549),AF549&lt;&gt;0,TRIM(U549)&lt;&gt;"Pass after CA"))),1,0),1)</f>
        <v>0</v>
      </c>
      <c r="AM549" s="61" t="n">
        <f aca="false">IF(LEFT(AH549,7)="INVALID",1,0)</f>
        <v>0</v>
      </c>
      <c r="AN549" s="61" t="n">
        <f aca="false">IF(AND(N549="Clarification required",AI549=1,AJ549=0),1,0)</f>
        <v>0</v>
      </c>
      <c r="AO549" s="61" t="str">
        <f aca="false">IF(AK549=1,SUM(AK$5:AK549),"")</f>
        <v/>
      </c>
      <c r="AP549" s="61" t="str">
        <f aca="false">IF(AL549=1,SUM(AL$5:AL549),"")</f>
        <v/>
      </c>
      <c r="AQ549" s="61" t="n">
        <v>0</v>
      </c>
      <c r="AR549" s="61" t="n">
        <v>0</v>
      </c>
      <c r="AS549" s="61" t="n">
        <v>0</v>
      </c>
      <c r="AT549" s="61" t="n">
        <v>0</v>
      </c>
      <c r="AU549" s="61" t="str">
        <f aca="false">SUBSTITUTE(SUBSTITUTE(SUBSTITUTE(SUBSTITUTE(SUBSTITUTE(SUBSTITUTE(SUBSTITUTE(SUBSTITUTE(SUBSTITUTE(SUBSTITUTE(SUBSTITUTE(SUBSTITUTE(SUBSTITUTE(SUBSTITUTE(SUBSTITUTE(SUBSTITUTE(LOWER(T549&amp;""),CHAR(10),""),CHAR(13),""),CHAR(9),""),CHAR(160),"")," ",""),".",""),"-",""),"/",""),"?",""),"_",""),",",""),"[",""),"]",""),"(",""),")",""),"*","")</f>
        <v/>
      </c>
      <c r="AV549" s="61" t="str">
        <f aca="false">SUBSTITUTE(SUBSTITUTE(SUBSTITUTE(SUBSTITUTE(SUBSTITUTE(SUBSTITUTE(SUBSTITUTE(SUBSTITUTE(SUBSTITUTE(SUBSTITUTE(SUBSTITUTE(SUBSTITUTE(SUBSTITUTE(SUBSTITUTE(SUBSTITUTE(SUBSTITUTE(LOWER(V549&amp;""),CHAR(10),""),CHAR(13),""),CHAR(9),""),CHAR(160),"")," ",""),".",""),"-",""),"/",""),"?",""),"_",""),",",""),"[",""),"]",""),"(",""),")",""),"*","")</f>
        <v/>
      </c>
      <c r="AW549" s="61" t="str">
        <f aca="false">SUBSTITUTE(SUBSTITUTE(SUBSTITUTE(SUBSTITUTE(SUBSTITUTE(SUBSTITUTE(SUBSTITUTE(SUBSTITUTE(SUBSTITUTE(SUBSTITUTE(SUBSTITUTE(SUBSTITUTE(SUBSTITUTE(SUBSTITUTE(SUBSTITUTE(SUBSTITUTE(LOWER(Z549&amp;""),CHAR(10),""),CHAR(13),""),CHAR(9),""),CHAR(160),"")," ",""),".",""),"-",""),"/",""),"?",""),"_",""),",",""),"[",""),"]",""),"(",""),")",""),"*","")</f>
        <v/>
      </c>
      <c r="AX549" s="61" t="str">
        <f aca="false">SUBSTITUTE(SUBSTITUTE(SUBSTITUTE(SUBSTITUTE(SUBSTITUTE(SUBSTITUTE(SUBSTITUTE(SUBSTITUTE(SUBSTITUTE(SUBSTITUTE(SUBSTITUTE(SUBSTITUTE(SUBSTITUTE(SUBSTITUTE(SUBSTITUTE(SUBSTITUTE(LOWER(AE549&amp;""),CHAR(10),""),CHAR(13),""),CHAR(9),""),CHAR(160),"")," ",""),".",""),"-",""),"/",""),"?",""),"_",""),",",""),"[",""),"]",""),"(",""),")",""),"*","")</f>
        <v/>
      </c>
      <c r="AY549" s="61" t="str">
        <f aca="false">SUBSTITUTE(SUBSTITUTE(SUBSTITUTE(SUBSTITUTE(SUBSTITUTE(SUBSTITUTE(SUBSTITUTE(SUBSTITUTE(SUBSTITUTE(SUBSTITUTE(SUBSTITUTE(SUBSTITUTE(SUBSTITUTE(SUBSTITUTE(SUBSTITUTE(SUBSTITUTE(LOWER(W549&amp;""),CHAR(10),""),CHAR(13),""),CHAR(9),""),CHAR(160),"")," ",""),".",""),"-",""),"/",""),"?",""),"_",""),",",""),"[",""),"]",""),"(",""),")",""),"*","")</f>
        <v/>
      </c>
      <c r="AZ549" s="61" t="str">
        <f aca="false">SUBSTITUTE(SUBSTITUTE(SUBSTITUTE(SUBSTITUTE(SUBSTITUTE(SUBSTITUTE(SUBSTITUTE(SUBSTITUTE(SUBSTITUTE(SUBSTITUTE(SUBSTITUTE(SUBSTITUTE(SUBSTITUTE(SUBSTITUTE(SUBSTITUTE(SUBSTITUTE(LOWER(AC549&amp;""),CHAR(10),""),CHAR(13),""),CHAR(9),""),CHAR(160),"")," ",""),".",""),"-",""),"/",""),"?",""),"_",""),",",""),"[",""),"]",""),"(",""),")",""),"*","")</f>
        <v/>
      </c>
      <c r="BA549" s="61" t="str">
        <f aca="false">SUBSTITUTE(SUBSTITUTE(SUBSTITUTE(SUBSTITUTE(SUBSTITUTE(SUBSTITUTE(SUBSTITUTE(SUBSTITUTE(SUBSTITUTE(SUBSTITUTE(SUBSTITUTE(SUBSTITUTE(SUBSTITUTE(SUBSTITUTE(SUBSTITUTE(SUBSTITUTE(LOWER(AA549&amp;""),CHAR(10),""),CHAR(13),""),CHAR(9),""),CHAR(160),"")," ",""),".",""),"-",""),"/",""),"?",""),"_",""),",",""),"[",""),"]",""),"(",""),")",""),"*","")</f>
        <v/>
      </c>
      <c r="BB549" s="61" t="str">
        <f aca="false">IF(AND(TRIM(U549)="Pass",ISNUMBER(AF549)),IF(AF549&lt;&gt;0,"INVALID – qty variance: use Fail or Pass after CA",""),"")&amp;IF(AND(TRIM(U549)="Pass after CA",ISNUMBER(AF549)),IF(AF549&lt;&gt;0,"INVALID – after the corrective action the actual qty must equal expected (update Actual)",""),"")&amp;IF(AND(TRIM(U549)="Pass",TRIM(AB549)&lt;&gt;"",TRIM(AB549)&lt;&gt;"Closed"),"INVALID – corrective action not closed: use Fail, then Pass after CA","")&amp;IF(AND(LEN(BA549)&gt;=2,ISNA(MATCH(LEFT(BA549,255),L_Placeholder,0)),TRIM(AB549)=""),"INVALID – CA status missing for the recorded corrective action","")&amp;IF(AND(TRIM(U549)="Pass after CA",OR(OR(LEN(BA549)&lt;5,ISNUMBER(MATCH(BA549,L_Placeholder,0))),TRIM(AB549)&lt;&gt;"Closed")),"INVALID – corrective action not recorded/closed","")</f>
        <v/>
      </c>
      <c r="BC549" s="61" t="str">
        <f aca="false">" "&amp;TRIM(SUBSTITUTE(SUBSTITUTE(SUBSTITUTE(SUBSTITUTE(SUBSTITUTE(SUBSTITUTE(SUBSTITUTE(SUBSTITUTE(SUBSTITUTE(SUBSTITUTE(SUBSTITUTE(SUBSTITUTE(SUBSTITUTE(SUBSTITUTE(SUBSTITUTE(SUBSTITUTE(SUBSTITUTE(SUBSTITUTE(SUBSTITUTE(SUBSTITUTE(SUBSTITUTE(SUBSTITUTE(SUBSTITUTE(SUBSTITUTE(LOWER(V549&amp;""),CHAR(10)," "),CHAR(13)," "),CHAR(9)," "),CHAR(160)," "),"."," "),","," "),"-"," "),"/"," "),"("," "),")"," "),":"," "),";"," "),"_"," "),"–"," "),"?"," "),"!"," "),"*"," "),"["," "),"]"," "),"'"," "),"#"," "),"+"," "),"&amp;"," "),"\"," "))&amp;" "</f>
        <v>  </v>
      </c>
      <c r="BD549" s="61" t="str">
        <f aca="false">" "&amp;TRIM(SUBSTITUTE(SUBSTITUTE(SUBSTITUTE(SUBSTITUTE(SUBSTITUTE(SUBSTITUTE(SUBSTITUTE(SUBSTITUTE(SUBSTITUTE(SUBSTITUTE(SUBSTITUTE(SUBSTITUTE(SUBSTITUTE(SUBSTITUTE(SUBSTITUTE(SUBSTITUTE(SUBSTITUTE(SUBSTITUTE(SUBSTITUTE(SUBSTITUTE(SUBSTITUTE(SUBSTITUTE(SUBSTITUTE(SUBSTITUTE(LOWER(Z549&amp;""),CHAR(10)," "),CHAR(13)," "),CHAR(9)," "),CHAR(160)," "),"."," "),","," "),"-"," "),"/"," "),"("," "),")"," "),":"," "),";"," "),"_"," "),"–"," "),"?"," "),"!"," "),"*"," "),"["," "),"]"," "),"'"," "),"#"," "),"+"," "),"&amp;"," "),"\"," "))&amp;" "</f>
        <v>  </v>
      </c>
      <c r="BE549" s="61" t="str">
        <f aca="false">" "&amp;TRIM(SUBSTITUTE(SUBSTITUTE(SUBSTITUTE(SUBSTITUTE(SUBSTITUTE(SUBSTITUTE(SUBSTITUTE(SUBSTITUTE(SUBSTITUTE(SUBSTITUTE(SUBSTITUTE(SUBSTITUTE(SUBSTITUTE(SUBSTITUTE(SUBSTITUTE(SUBSTITUTE(SUBSTITUTE(SUBSTITUTE(SUBSTITUTE(SUBSTITUTE(SUBSTITUTE(SUBSTITUTE(SUBSTITUTE(SUBSTITUTE(LOWER(W549&amp;""),CHAR(10)," "),CHAR(13)," "),CHAR(9)," "),CHAR(160)," "),"."," "),","," "),"-"," "),"/"," "),"("," "),")"," "),":"," "),";"," "),"_"," "),"–"," "),"?"," "),"!"," "),"*"," "),"["," "),"]"," "),"'"," "),"#"," "),"+"," "),"&amp;"," "),"\"," "))&amp;" "</f>
        <v>  </v>
      </c>
      <c r="BF549" s="61" t="str">
        <f aca="false">" "&amp;TRIM(SUBSTITUTE(SUBSTITUTE(SUBSTITUTE(SUBSTITUTE(SUBSTITUTE(SUBSTITUTE(SUBSTITUTE(SUBSTITUTE(SUBSTITUTE(SUBSTITUTE(SUBSTITUTE(SUBSTITUTE(SUBSTITUTE(SUBSTITUTE(SUBSTITUTE(SUBSTITUTE(SUBSTITUTE(SUBSTITUTE(SUBSTITUTE(SUBSTITUTE(SUBSTITUTE(SUBSTITUTE(SUBSTITUTE(SUBSTITUTE(LOWER(AC549&amp;""),CHAR(10)," "),CHAR(13)," "),CHAR(9)," "),CHAR(160)," "),"."," "),","," "),"-"," "),"/"," "),"("," "),")"," "),":"," "),";"," "),"_"," "),"–"," "),"?"," "),"!"," "),"*"," "),"["," "),"]"," "),"'"," "),"#"," "),"+"," "),"&amp;"," "),"\"," "))&amp;" "</f>
        <v>  </v>
      </c>
      <c r="BG549" s="61" t="n">
        <f aca="false">IFERROR(IF(AND(TRIM(U549)="Pass",SUMPRODUCT((LEN(BC549)-LEN(SUBSTITUTE(BC549," "&amp;L_ResultBad&amp;" "," ")))/(LEN(L_ResultBad)+1))&gt;SUMPRODUCT((LEN(BC549)-LEN(SUBSTITUTE(BC549," "&amp;L_NegPhrase&amp;" "," ")))/(LEN(L_NegPhrase)+1))),1,0),0)</f>
        <v>0</v>
      </c>
      <c r="BH549" s="61" t="n">
        <f aca="false">IFERROR(IF(SUMPRODUCT((LEN(BC549)-LEN(SUBSTITUTE(BC549," "&amp;L_Pending&amp;" "," ")))/(LEN(L_Pending)+1))&gt;SUMPRODUCT((LEN(BC549)-LEN(SUBSTITUTE(BC549," "&amp;L_PendNeg&amp;" "," ")))/(LEN(L_PendNeg)+1))+SUMPRODUCT((LEN(BC549)-LEN(SUBSTITUTE(BC549," "&amp;L_PendPrep&amp;" "," ")))/(LEN(L_PendPrep)+1)),1,0),1)</f>
        <v>0</v>
      </c>
      <c r="BI549" s="61" t="n">
        <f aca="false">IFERROR(IF(SUMPRODUCT((LEN(BD549)-LEN(SUBSTITUTE(BD549," "&amp;L_PendStrict&amp;" "," ")))/(LEN(L_PendStrict)+1))&gt;SUMPRODUCT((LEN(BD549)-LEN(SUBSTITUTE(BD549," "&amp;L_PendNeg&amp;" "," ")))/(LEN(L_PendNeg)+1)),1,0),1)</f>
        <v>0</v>
      </c>
      <c r="BJ549" s="61" t="n">
        <f aca="false">IFERROR(IF(SUMPRODUCT((LEN(BE549)-LEN(SUBSTITUTE(BE549," "&amp;L_Pending&amp;" "," ")))/(LEN(L_Pending)+1))&gt;SUMPRODUCT((LEN(BE549)-LEN(SUBSTITUTE(BE549," "&amp;L_PendNeg&amp;" "," ")))/(LEN(L_PendNeg)+1))+SUMPRODUCT((LEN(BE549)-LEN(SUBSTITUTE(BE549," "&amp;L_PendPrep&amp;" "," ")))/(LEN(L_PendPrep)+1)),1,0),1)</f>
        <v>0</v>
      </c>
      <c r="BK549" s="61" t="n">
        <f aca="false">IFERROR(IF(SUMPRODUCT((LEN(BF549)-LEN(SUBSTITUTE(BF549," "&amp;L_PendStrict&amp;" "," ")))/(LEN(L_PendStrict)+1))&gt;SUMPRODUCT((LEN(BF549)-LEN(SUBSTITUTE(BF549," "&amp;L_PendNeg&amp;" "," ")))/(LEN(L_PendNeg)+1)),1,0),1)</f>
        <v>0</v>
      </c>
      <c r="BL549" s="61" t="n">
        <f aca="false">IF(ISNA(MATCH(TRIM(S549),L_EvidenceType,0)),0,BZ549)</f>
        <v>0</v>
      </c>
      <c r="BM549" s="61" t="str">
        <f aca="false">SUBSTITUTE(SUBSTITUTE(SUBSTITUTE(SUBSTITUTE(SUBSTITUTE(SUBSTITUTE(SUBSTITUTE(SUBSTITUTE(SUBSTITUTE(LOWER(Z549&amp;""),"1","0"),"2","0"),"3","0"),"4","0"),"5","0"),"6","0"),"7","0"),"8","0"),"9","0")</f>
        <v/>
      </c>
      <c r="BN549" s="61" t="str">
        <f aca="false">SUBSTITUTE(SUBSTITUTE(SUBSTITUTE(SUBSTITUTE(SUBSTITUTE(SUBSTITUTE(SUBSTITUTE(SUBSTITUTE(SUBSTITUTE(SUBSTITUTE(SUBSTITUTE(SUBSTITUTE(SUBSTITUTE(SUBSTITUTE(SUBSTITUTE(SUBSTITUTE(SUBSTITUTE(SUBSTITUTE(SUBSTITUTE(SUBSTITUTE(SUBSTITUTE(SUBSTITUTE(SUBSTITUTE(SUBSTITUTE(SUBSTITUTE(BM549,"b","a"),"c","a"),"d","a"),"e","a"),"f","a"),"g","a"),"h","a"),"i","a"),"j","a"),"k","a"),"l","a"),"m","a"),"n","a"),"o","a"),"p","a"),"q","a"),"r","a"),"s","a"),"t","a"),"u","a"),"v","a"),"w","a"),"x","a"),"y","a"),"z","a")</f>
        <v/>
      </c>
      <c r="BO549" s="61" t="str">
        <f aca="false">SUBSTITUTE(SUBSTITUTE(SUBSTITUTE(SUBSTITUTE(SUBSTITUTE(SUBSTITUTE(SUBSTITUTE(SUBSTITUTE(SUBSTITUTE(LOWER(W549&amp;""),"1","0"),"2","0"),"3","0"),"4","0"),"5","0"),"6","0"),"7","0"),"8","0"),"9","0")</f>
        <v/>
      </c>
      <c r="BP549" s="61" t="str">
        <f aca="false">SUBSTITUTE(SUBSTITUTE(SUBSTITUTE(SUBSTITUTE(SUBSTITUTE(SUBSTITUTE(SUBSTITUTE(SUBSTITUTE(SUBSTITUTE(SUBSTITUTE(SUBSTITUTE(SUBSTITUTE(SUBSTITUTE(SUBSTITUTE(SUBSTITUTE(SUBSTITUTE(SUBSTITUTE(SUBSTITUTE(SUBSTITUTE(SUBSTITUTE(SUBSTITUTE(SUBSTITUTE(SUBSTITUTE(SUBSTITUTE(SUBSTITUTE(BO549,"b","a"),"c","a"),"d","a"),"e","a"),"f","a"),"g","a"),"h","a"),"i","a"),"j","a"),"k","a"),"l","a"),"m","a"),"n","a"),"o","a"),"p","a"),"q","a"),"r","a"),"s","a"),"t","a"),"u","a"),"v","a"),"w","a"),"x","a"),"y","a"),"z","a")</f>
        <v/>
      </c>
      <c r="BQ549" s="61" t="n">
        <f aca="false">IFERROR(IF(AND(ISERROR(SEARCH(" mh"," "&amp;LOWER(W549))),ISNA(MATCH(LEFT(TRIM(BP549),255),{"0000a","000a","00a","0000aa","000aa","00aa","0aa","0000aaa","000aaa","00a00","0a00","0000-0000","00:00","a00","a0","00.00.0000","00/00/0000","00-00-0000","0000-00-00","0000/00/00","0000.00.00","00.00.00","00/00/00","00-00-00","0.00.0000","0/00/0000","0-00-0000"},0)),ISNA(MATCH(LEFT(TRIM(CA549),255),{"0000a","000a","00a","0000aa","000aa","00aa","0aa","0000aaa","000aaa","00a00","0a00","0000-0000","00:00","a00","a0","00.00.0000","00/00/0000","00-00-0000","0000-00-00","0000/00/00","0000.00.00","00.00.00","00/00/00","00-00-00","0.00.0000","0/00/0000","0-00-0000"},0)),LEN(CB549)&gt;=3,NOT(OR(SUBSTITUTE(CB549,"0","")="",AND(LEN(CB549)&gt;=4,CB549=REPT(LEFT(CB549),LEN(CB549))),ISNUMBER(MATCH(CB549,{"123","1234","12345","123456","1234567","12345678","0123","01234","012345","98765","987654","54321"},0)),AND(LEN(CB549)=8,LEFT(CB549,3)="202"))),OR(AND((LEN(CA549)-LEN(SUBSTITUTE(CA549,"a","")))&gt;=1,SUMPRODUCT(--ISNUMBER(SEARCH({"a0","a-0","a_0","a/0","a.0","a#0","0a","0-a","0_a","0/a"},BP549)))&gt;0),ISNUMBER(SEARCH("000000",BP549)))),1,0),0)</f>
        <v>0</v>
      </c>
      <c r="BR549" s="61" t="n">
        <f aca="false">IFERROR(LEN(SUBSTITUTE(CC549," ",""))-SUMPRODUCT((LEN(CC549)-LEN(SUBSTITUTE(CC549," "&amp;L_Role&amp;" "," ")))/(LEN(L_Role)+1)*LEN(L_Role)),0)</f>
        <v>0</v>
      </c>
      <c r="BS549" s="61" t="n">
        <f aca="false">IFERROR(LEN(SUBSTITUTE(CD549," ",""))-SUMPRODUCT((LEN(CD549)-LEN(SUBSTITUTE(CD549," "&amp;L_Role&amp;" "," ")))/(LEN(L_Role)+1)*LEN(L_Role)),0)</f>
        <v>0</v>
      </c>
      <c r="BT5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549,"revision",""),"version",""),"jan",""),"feb",""),"mar",""),"apr",""),"may",""),"jun",""),"jul",""),"aug",""),"sep",""),"oct",""),"nov",""),"dec",""),"utc",""),"gmt",""),"myt",""),"bst",""),"rev",""),"ver",""),"b","a"),"c","a"),"d","a"),"e","a"),"f","a"),"g","a"),"h","a"),"i","a"),"j","a"),"k","a"),"l","a"),"m","a"),"n","a"),"o","a"),"p","a"),"q","a"),"r","a"),"s","a"),"t","a"),"u","a"),"v","a"),"w","a"),"x","a"),"y","a"),"z","a")</f>
        <v/>
      </c>
      <c r="BU549" s="61" t="str">
        <f aca="false">SUBSTITUTE(SUBSTITUTE(SUBSTITUTE(SUBSTITUTE(SUBSTITUTE(SUBSTITUTE(SUBSTITUTE(SUBSTITUTE(SUBSTITUTE(SUBSTITUTE(LEFT(BM549,FIND("0",BM549&amp;"0")-1),"-",""),"_",""),"/",""),".",""),"#",""),"\\",""),":","")," ",""),"(",""),")","")</f>
        <v/>
      </c>
      <c r="BV549" s="61" t="n">
        <f aca="false">0</f>
        <v>0</v>
      </c>
      <c r="BW5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549&amp;""),"a",""),"b",""),"c",""),"d",""),"e",""),"f",""),"g",""),"h",""),"i",""),"j",""),"k",""),"l",""),"m",""),"n",""),"o",""),"p",""),"q",""),"r",""),"s",""),"t",""),"u",""),"v",""),"w",""),"x",""),"y",""),"z",""),"-",""),"_",""),"/",""),".",""),"#",""),"\\",""),":","")," ",""),"(",""),")","")</f>
        <v/>
      </c>
      <c r="BX549" s="61" t="str">
        <f aca="false">SUBSTITUTE(SUBSTITUTE(SUBSTITUTE(SUBSTITUTE(SUBSTITUTE(SUBSTITUTE(SUBSTITUTE(SUBSTITUTE(SUBSTITUTE(SUBSTITUTE(SUBSTITUTE(BM549,"0",""),"-",""),"_",""),"/",""),".",""),"#",""),"\\",""),":","")," ",""),"(",""),")","")</f>
        <v/>
      </c>
      <c r="BY549" s="62" t="n">
        <f aca="false">Q549-T12EarlyH/24</f>
        <v>46320.2986111111</v>
      </c>
      <c r="BZ549" s="61" t="n">
        <f aca="false">IFERROR(IF(IF(TRIM(S549)="Link / file path",AND(LEN(TRIM(Z549))&gt;=5,SUMPRODUCT(--ISNUMBER(SEARCH({"http","www.","\\",":\",".pdf",".jpg",".jpeg",".png",".heic",".xls",".doc",".msg",".eml",".ppt",".txt",".zip"},Z549)))&gt;0),AND(ISERROR(FIND(" ",TRIM(Z549))),NOT(OR(SUMPRODUCT(--ISNUMBER(FIND({",",";","&amp;","+"},Z549)))&gt;0,SUMPRODUCT(--ISNUMBER(SEARCH({"0/aa","0\\aa"},BN549)))&gt;0)),NOT(SUMPRODUCT(--ISNUMBER(SEARCH({"http","www.","\\",":\",".pdf",".jpg",".jpeg",".png",".heic",".xls",".doc",".msg",".eml",".ppt",".txt",".zip"},Z549)))&gt;0),NOT(LOWER(TRIM(Z549))=LOWER(Flights!$F$21)),ISNA(MATCH(BU549,{"mh","rev","revision","ver","version","v","r","a","b","seat","tray","row","gate","bay","stand","page","pg","item","line","no","cart","galley","flight","flt","table","box","bag","oven","etd","eta","std","sta","atd","ata","qty","pax","x","time","tel","ph","mob","day","wk","week","utc","gmt","myt","lt"},0)),NOT(OR(ISNUMBER(MATCH(LEFT(BN549,255),{"0000a","000a","00a","0000aa","000aa","00aa","0aa","0000aaa","000aaa","00a00","0a00","0000-0000","00:00","a00","a0","00.00.0000","00/00/0000","00-00-0000","0000-00-00","0000/00/00","0000.00.00","00.00.00","00/00/00","00-00-00","0.00.0000","0/00/0000","0-00-0000"},0)),ISNUMBER(MATCH(LEFT(BT549,255),{"0000a","000a","00a","0000aa","000aa","00aa","0aa","0000aaa","000aaa","00a00","0a00","0000-0000","00:00","a00","a0","00.00.0000","00/00/0000","00-00-0000","0000-00-00","0000/00/00","0000.00.00","00.00.00","00/00/00","00-00-00","0.00.0000","0/00/0000","0-00-0000"},0)))),NOT(OR(AND(BW549&lt;&gt;"",SUBSTITUTE(BW549,"0","")=""),AND(LEN(BW549)&gt;=4,BW549=REPT(LEFT(BW549),LEN(BW549))),ISNUMBER(MATCH(BW549,{"123","1234","12345","123456","1234567","12345678","0123","01234","012345","98765","987654","54321"},0)),ISNUMBER(MATCH(BX549,{"x","xx","xxx","xxxx","xxxxx","abc","abcd","nil","na","nan","test","tbc","tba","tbd","dummy","sample","example","eg","zz","zzz","none","null","xyz","qwe","asd","id","ref"},0)),AND(LEN(BW549)=8,BX549="",OR(LEFT(BW549,3)="202",ISNUMBER(MATCH(RIGHT(BW549,4),{"2025","2026","2027"},0)))))),OR(AND((LEN(BT549)-LEN(SUBSTITUTE(BT549,"a","")))&gt;=1,(LEN(BN549)-LEN(SUBSTITUTE(BN549,"0","")))&gt;=2,SUMPRODUCT(--ISNUMBER(SEARCH({"a0","a-0","a_0","a/0","a.0","a#0","0a","0-a","0_a","0/a"},BN549)))&gt;0),AND((LEN(BN549)-LEN(SUBSTITUTE(BN549,"a","")))=0,(LEN(BN549)-LEN(SUBSTITUTE(BN549,"0","")))&gt;=5)))),1,0),0)</f>
        <v>0</v>
      </c>
      <c r="CA5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549,"revision",""),"version",""),"jan",""),"feb",""),"mar",""),"apr",""),"may",""),"jun",""),"jul",""),"aug",""),"sep",""),"oct",""),"nov",""),"dec",""),"utc",""),"gmt",""),"myt",""),"bst",""),"rev",""),"ver",""),"b","a"),"c","a"),"d","a"),"e","a"),"f","a"),"g","a"),"h","a"),"i","a"),"j","a"),"k","a"),"l","a"),"m","a"),"n","a"),"o","a"),"p","a"),"q","a"),"r","a"),"s","a"),"t","a"),"u","a"),"v","a"),"w","a"),"x","a"),"y","a"),"z","a")</f>
        <v/>
      </c>
      <c r="CB5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549&amp;""),"a",""),"b",""),"c",""),"d",""),"e",""),"f",""),"g",""),"h",""),"i",""),"j",""),"k",""),"l",""),"m",""),"n",""),"o",""),"p",""),"q",""),"r",""),"s",""),"t",""),"u",""),"v",""),"w",""),"x",""),"y",""),"z",""),"-",""),"_",""),"/",""),".",""),"#",""),"\\",""),":","")," ",""),"(",""),")","")</f>
        <v/>
      </c>
      <c r="CC549" s="0" t="str">
        <f aca="false">" "&amp;TRIM(SUBSTITUTE(SUBSTITUTE(SUBSTITUTE(SUBSTITUTE(SUBSTITUTE(SUBSTITUTE(SUBSTITUTE(SUBSTITUTE(SUBSTITUTE(SUBSTITUTE(SUBSTITUTE(SUBSTITUTE(SUBSTITUTE(SUBSTITUTE(SUBSTITUTE(SUBSTITUTE(SUBSTITUTE(SUBSTITUTE(SUBSTITUTE(SUBSTITUTE(SUBSTITUTE(SUBSTITUTE(SUBSTITUTE(SUBSTITUTE(LOWER(T549&amp;""),CHAR(10)," "),CHAR(13)," "),CHAR(9)," "),CHAR(160)," "),"."," "),","," "),"-"," "),"/"," "),"("," "),")"," "),":"," "),";"," "),"_"," "),"–"," "),"?"," "),"!"," "),"*"," "),"["," "),"]"," "),"'"," "),"#"," "),"+"," "),"&amp;"," "),"\"," "))&amp;" "</f>
        <v>  </v>
      </c>
      <c r="CD549" s="0" t="str">
        <f aca="false">" "&amp;TRIM(SUBSTITUTE(SUBSTITUTE(SUBSTITUTE(SUBSTITUTE(SUBSTITUTE(SUBSTITUTE(SUBSTITUTE(SUBSTITUTE(SUBSTITUTE(SUBSTITUTE(SUBSTITUTE(SUBSTITUTE(SUBSTITUTE(SUBSTITUTE(SUBSTITUTE(SUBSTITUTE(SUBSTITUTE(SUBSTITUTE(SUBSTITUTE(SUBSTITUTE(SUBSTITUTE(SUBSTITUTE(SUBSTITUTE(SUBSTITUTE(LOWER(AE549&amp;""),CHAR(10)," "),CHAR(13)," "),CHAR(9)," "),CHAR(160)," "),"."," "),","," "),"-"," "),"/"," "),"("," "),")"," "),":"," "),";"," "),"_"," "),"–"," "),"?"," "),"!"," "),"*"," "),"["," "),"]"," "),"'"," "),"#"," "),"+"," "),"&amp;"," "),"\"," "))&amp;" "</f>
        <v>  </v>
      </c>
      <c r="CE549" s="68" t="n">
        <f aca="false">IFERROR(IF(AND(LEN(AU549)&gt;0,LEN(AU549)=LEN(AX549),OR(TRIM(MID(SUBSTITUTE(TRIM(CC549)," ",REPT(" ",60)),1,60))="",ISNUMBER(SEARCH(" "&amp;TRIM(MID(SUBSTITUTE(TRIM(CC549)," ",REPT(" ",60)),1,60))&amp;" ",CD549))),OR(TRIM(MID(SUBSTITUTE(TRIM(CC549)," ",REPT(" ",60)),61,60))="",ISNUMBER(SEARCH(" "&amp;TRIM(MID(SUBSTITUTE(TRIM(CC549)," ",REPT(" ",60)),61,60))&amp;" ",CD549))),OR(TRIM(MID(SUBSTITUTE(TRIM(CC549)," ",REPT(" ",60)),121,60))="",ISNUMBER(SEARCH(" "&amp;TRIM(MID(SUBSTITUTE(TRIM(CC549)," ",REPT(" ",60)),121,60))&amp;" ",CD549)))),1,0),0)</f>
        <v>0</v>
      </c>
      <c r="CG549" s="68" t="n">
        <f aca="false">IFERROR(LEN(SUBSTITUTE(BF549," ",""))-SUMPRODUCT((LEN(BF549)-LEN(SUBSTITUTE(BF549," "&amp;L_NAFiller&amp;" "," ")))/(LEN(L_NAFiller)+1)*LEN(L_NAFiller)),0)</f>
        <v>0</v>
      </c>
    </row>
    <row r="550" customFormat="false" ht="41.25" hidden="false" customHeight="true" outlineLevel="0" collapsed="false">
      <c r="A550" s="57" t="s">
        <v>1224</v>
      </c>
      <c r="B550" s="57" t="s">
        <v>290</v>
      </c>
      <c r="C550" s="57" t="str">
        <f aca="false">Flights!$F$21</f>
        <v>MH0073</v>
      </c>
      <c r="D550" s="58" t="n">
        <f aca="false">Flights!$D$21</f>
        <v>46322</v>
      </c>
      <c r="E550" s="57" t="str">
        <f aca="false">Flights!$G$21&amp;"-"&amp;Flights!$H$21</f>
        <v>HKG-KUL</v>
      </c>
      <c r="F550" s="57" t="str">
        <f aca="false">Flights!$K$21</f>
        <v>BC</v>
      </c>
      <c r="G550" s="57" t="s">
        <v>420</v>
      </c>
      <c r="H550" s="57" t="s">
        <v>378</v>
      </c>
      <c r="I550" s="57" t="s">
        <v>499</v>
      </c>
      <c r="J550" s="57" t="s">
        <v>500</v>
      </c>
      <c r="K550" s="67" t="s">
        <v>501</v>
      </c>
      <c r="L550" s="67" t="s">
        <v>1225</v>
      </c>
      <c r="M550" s="67" t="s">
        <v>451</v>
      </c>
      <c r="N550" s="67" t="s">
        <v>383</v>
      </c>
      <c r="O550" s="67" t="s">
        <v>1226</v>
      </c>
      <c r="P550" s="57" t="s">
        <v>282</v>
      </c>
      <c r="Q550" s="59" t="n">
        <f aca="false">ROUND((Flights!$AE$21)*1440,0)/1440</f>
        <v>46321.7847222222</v>
      </c>
      <c r="R550" s="59" t="n">
        <f aca="false">Q550+(IF(AND(INDEX(TZ_DSTS,MATCH(P550,TZ_STN,0))&lt;&gt;"",Q550&gt;=INDEX(TZ_DSTS,MATCH(P550,TZ_STN,0)),Q550&lt;INDEX(TZ_DSTE,MATCH(P550,TZ_STN,0))),INDEX(TZ_DST,MATCH(P550,TZ_STN,0)),INDEX(TZ_STD,MATCH(P550,TZ_STN,0))))/24</f>
        <v>46322.1180555556</v>
      </c>
      <c r="S550" s="60"/>
      <c r="T550" s="60"/>
      <c r="U550" s="60"/>
      <c r="V550" s="60"/>
      <c r="W550" s="61"/>
      <c r="X550" s="60"/>
      <c r="Y550" s="60"/>
      <c r="Z550" s="60"/>
      <c r="AA550" s="60"/>
      <c r="AB550" s="60"/>
      <c r="AC550" s="60"/>
      <c r="AD550" s="66"/>
      <c r="AE550" s="60"/>
      <c r="AF550" s="61" t="str">
        <f aca="false">IF(AND(ISNUMBER(X550),ISNUMBER(Y550)),Y550-X550,"")</f>
        <v/>
      </c>
      <c r="AG550" s="62" t="str">
        <f aca="false">IF(ISNUMBER(AD550),AD550-(IF(AND(INDEX(TZ_DSTS,MATCH(P550,TZ_STN,0))&lt;&gt;"",(AD550-INDEX(TZ_STD,MATCH(P550,TZ_STN,0))/24)&gt;=INDEX(TZ_DSTS,MATCH(P550,TZ_STN,0)),(AD550-INDEX(TZ_STD,MATCH(P550,TZ_STN,0))/24)&lt;INDEX(TZ_DSTE,MATCH(P550,TZ_STN,0))),INDEX(TZ_DST,MATCH(P550,TZ_STN,0)),INDEX(TZ_STD,MATCH(P550,TZ_STN,0))))/24,"")</f>
        <v/>
      </c>
      <c r="AH550" s="65" t="str">
        <f aca="false">IFERROR(IF(N550="N/A – rule",IF(OR(TRIM(U550)="",TRIM(U550)="N/A",TRIM(U550)="Not started"),"N/A – RULE","INVALID – this check does not apply to this aircraft: clear the status (or correct the fleet on Flights)"),IF(TRIM(U550)="N/A",IF(AT550=0,"INVALID – N/A not permitted for this check",IF(AND(TRIM(AB550)&lt;&gt;"",TRIM(AB550)&lt;&gt;"Closed"),"INVALID – corrective action still open",IF(AND(NOT(OR(LEN(AZ550)&lt;15,ISNUMBER(MATCH(AZ550,L_Placeholder,0)))),BK550=0,CG550&gt;=8,NOT(OR(LEN(AU550)&lt;2,ISNUMBER(MATCH(AU550,L_Placeholder,0)))),BR550&gt;=3,NOT(OR(LEN(AX550)&lt;2,ISNUMBER(MATCH(AX550,L_Placeholder,0)))),BS550&gt;=3,TRIM(AE550)&lt;&gt;TRIM(T550),AX550&lt;&gt;AU550,CE550=0),"N/A – JUSTIFIED","INVALID – N/A needs a real, settled reason (not 'not applicable' / 'as above' / TBC), a named PIC and a different named verifier"))),IF(OR(TRIM(U550)="Pass",TRIM(U550)="Pass after CA"),IF(NOT(ISNUMBER(AD550)),"INVALID – completion time missing",IF(OR(OR(LEN(AU550)&lt;2,ISNUMBER(MATCH(AU550,L_Placeholder,0))),BR550&lt;3),"INVALID – PIC missing or not a named person (a role such as QA / CSM is not a name)",IF(OR(LEN(AV550)&lt;2,ISNUMBER(MATCH(AV550,L_Placeholder,0))),"INVALID – result / assessment missing",IF(OR(OR(LEN(AW550)&lt;3,ISNUMBER(MATCH(AW550,L_Placeholder,0))),SUMPRODUCT(--ISNUMBER(SEARCH(" "&amp;L_EvidencePhrase&amp;" ",BD550)))&gt;0,BI550=1),"INVALID – evidence missing, placeholder or not yet on file",IF(ISNA(MATCH(TRIM(S550),L_EvidenceType,0)),"INVALID – choose the evidence type from the list (column S)",IF(BL550=0,"INVALID – evidence ID must be the record's own ID only (e.g. SF-2210, IMG_2231, 1045521); a link / file name needs type 'Link / file path'",IF(OR(OR(LEN(AX550)&lt;2,ISNUMBER(MATCH(AX550,L_Placeholder,0))),BS550&lt;3),"INVALID – verifier missing or not a named person (a role such as QA / CSM is not a name)",IF(OR(AX550=AU550,CE550=1,AND(LEN(AU550)&gt;=4,ISNUMBER(SEARCH(AU550,AX550))),AND(LEN(AX550)&gt;=4,ISNUMBER(SEARCH(AX550,AU550)))),"INVALID – verifier must be a different, named person (not the PIC or a role)",IF(BH550=1,"INVALID – result not yet available (awaiting / TBC)",IF(BG550=1,"INVALID – result describes a problem: record Fail, then Pass after CA (or reword if it is not a problem)",IF(BV550=1,"INVALID – wording says not on board: an on-board confirmation needs the item loaded",IF(AND(AQ550=1,OR(OR(LEN(AY550)&lt;3,ISNUMBER(MATCH(AY550,L_Placeholder,0))),BJ550=1,BQ550=0)),"INVALID – batch ID missing, placeholder or not an ID (e.g. PASB-261008-BC-017)",IF(AND(AR550=1,OR(NOT(ISNUMBER(X550)),NOT(ISNUMBER(Y550)))),"INVALID – expected/actual qty missing",IF(AND(AR550=1,OR(X550&lt;=0,Y550&lt;0)),"INVALID – expected qty must be above 0 and actual not negative",IF(BB550&lt;&gt;"",BB550,IF(AND(AS550=1,Documents!$J$21&lt;&gt;"ON FILE"),"INVALID – GLD not on file (Documents sheet)",IF(AND(AS550=2,Documents!$O$21&lt;&gt;"ON FILE"),"INVALID – menu checklist not on file (Documents sheet)",IF(AND(AS550=3,NOT(ISNUMBER(Flights!$AX$21))),"INVALID – enter carrying flight KUL departure (Flights AX)",IF(AND(AS550=3,OR(Flights!$AZ$21&gt;Flights!$AA$21,Flights!$AX$21&lt;Flights!$AA$21-3)),"INVALID – carrying flight (Flights AX) cannot arrive before this leg's STD, or is over 3 days early",IF(AG550&gt;AsOfUTC,"INVALID – completion time is in the future",IF(AND(ISNUMBER(BY550),AG550&lt;BY550),IF(H550="Physical uplift","INVALID – before uplift window (cannot confirm loading)","INVALID – before valid window"),IF(AG550&gt;Flights!$AA$21,"INVALID – completed after departure (cannot establish readiness)",IF(AND(H550="Preparation",AG550&gt;=IF(ISNUMBER(Flights!$BA$21),MIN(Flights!$BA$21,Flights!$AA$21),Flights!$AA$21)),"INVALID – completed after loading / departure (cannot establish readiness)",IF(AND(H550="Physical uplift",AG550&gt;Q550),"INVALID – recorded after the loading flight departed",IF(AG550&gt;Q550,"COMPLETE – LATE","COMPLETE"))))))))))))))))))))))))),IF(TRIM(U550)="Fail","FAIL – DISCREPANCY",IF(AND(TRIM(U550)&lt;&gt;"",TRIM(U550)&lt;&gt;"Not started",TRIM(U550)&lt;&gt;"In progress"),"INVALID – unrecognised status (use the list)",IF(AsOfUTC&gt;Q550,"OVERDUE",IF(N550="Clarification required","OPEN – CLARIFICATION","OPEN"))))))),"INVALID – error value in an input cell")</f>
        <v>OPEN</v>
      </c>
      <c r="AI550" s="61" t="n">
        <f aca="false">IF(OR(AH550="N/A – RULE",AH550="N/A – JUSTIFIED"),0,1)</f>
        <v>1</v>
      </c>
      <c r="AJ550" s="61" t="n">
        <f aca="false">IF(LEFT(AH550,8)="COMPLETE",1,0)</f>
        <v>0</v>
      </c>
      <c r="AK550" s="61" t="n">
        <f aca="false">IF(AND(AI550=1,AJ550=0,AsOfUTC&gt;Q550),1,0)</f>
        <v>0</v>
      </c>
      <c r="AL550" s="61" t="n">
        <f aca="false">IFERROR(IF(AND(AI550=1,OR(TRIM(U550)="Fail",AND(TRIM(AB550)&lt;&gt;"",TRIM(AB550)&lt;&gt;"Closed"),AND(ISNUMBER(AF550),AF550&lt;&gt;0,TRIM(U550)&lt;&gt;"Pass after CA"))),1,0),1)</f>
        <v>0</v>
      </c>
      <c r="AM550" s="61" t="n">
        <f aca="false">IF(LEFT(AH550,7)="INVALID",1,0)</f>
        <v>0</v>
      </c>
      <c r="AN550" s="61" t="n">
        <f aca="false">IF(AND(N550="Clarification required",AI550=1,AJ550=0),1,0)</f>
        <v>0</v>
      </c>
      <c r="AO550" s="61" t="str">
        <f aca="false">IF(AK550=1,SUM(AK$5:AK550),"")</f>
        <v/>
      </c>
      <c r="AP550" s="61" t="str">
        <f aca="false">IF(AL550=1,SUM(AL$5:AL550),"")</f>
        <v/>
      </c>
      <c r="AQ550" s="61" t="n">
        <v>0</v>
      </c>
      <c r="AR550" s="61" t="n">
        <v>0</v>
      </c>
      <c r="AS550" s="61" t="n">
        <v>0</v>
      </c>
      <c r="AT550" s="61" t="n">
        <v>0</v>
      </c>
      <c r="AU550" s="61" t="str">
        <f aca="false">SUBSTITUTE(SUBSTITUTE(SUBSTITUTE(SUBSTITUTE(SUBSTITUTE(SUBSTITUTE(SUBSTITUTE(SUBSTITUTE(SUBSTITUTE(SUBSTITUTE(SUBSTITUTE(SUBSTITUTE(SUBSTITUTE(SUBSTITUTE(SUBSTITUTE(SUBSTITUTE(LOWER(T550&amp;""),CHAR(10),""),CHAR(13),""),CHAR(9),""),CHAR(160),"")," ",""),".",""),"-",""),"/",""),"?",""),"_",""),",",""),"[",""),"]",""),"(",""),")",""),"*","")</f>
        <v/>
      </c>
      <c r="AV550" s="61" t="str">
        <f aca="false">SUBSTITUTE(SUBSTITUTE(SUBSTITUTE(SUBSTITUTE(SUBSTITUTE(SUBSTITUTE(SUBSTITUTE(SUBSTITUTE(SUBSTITUTE(SUBSTITUTE(SUBSTITUTE(SUBSTITUTE(SUBSTITUTE(SUBSTITUTE(SUBSTITUTE(SUBSTITUTE(LOWER(V550&amp;""),CHAR(10),""),CHAR(13),""),CHAR(9),""),CHAR(160),"")," ",""),".",""),"-",""),"/",""),"?",""),"_",""),",",""),"[",""),"]",""),"(",""),")",""),"*","")</f>
        <v/>
      </c>
      <c r="AW550" s="61" t="str">
        <f aca="false">SUBSTITUTE(SUBSTITUTE(SUBSTITUTE(SUBSTITUTE(SUBSTITUTE(SUBSTITUTE(SUBSTITUTE(SUBSTITUTE(SUBSTITUTE(SUBSTITUTE(SUBSTITUTE(SUBSTITUTE(SUBSTITUTE(SUBSTITUTE(SUBSTITUTE(SUBSTITUTE(LOWER(Z550&amp;""),CHAR(10),""),CHAR(13),""),CHAR(9),""),CHAR(160),"")," ",""),".",""),"-",""),"/",""),"?",""),"_",""),",",""),"[",""),"]",""),"(",""),")",""),"*","")</f>
        <v/>
      </c>
      <c r="AX550" s="61" t="str">
        <f aca="false">SUBSTITUTE(SUBSTITUTE(SUBSTITUTE(SUBSTITUTE(SUBSTITUTE(SUBSTITUTE(SUBSTITUTE(SUBSTITUTE(SUBSTITUTE(SUBSTITUTE(SUBSTITUTE(SUBSTITUTE(SUBSTITUTE(SUBSTITUTE(SUBSTITUTE(SUBSTITUTE(LOWER(AE550&amp;""),CHAR(10),""),CHAR(13),""),CHAR(9),""),CHAR(160),"")," ",""),".",""),"-",""),"/",""),"?",""),"_",""),",",""),"[",""),"]",""),"(",""),")",""),"*","")</f>
        <v/>
      </c>
      <c r="AY550" s="61" t="str">
        <f aca="false">SUBSTITUTE(SUBSTITUTE(SUBSTITUTE(SUBSTITUTE(SUBSTITUTE(SUBSTITUTE(SUBSTITUTE(SUBSTITUTE(SUBSTITUTE(SUBSTITUTE(SUBSTITUTE(SUBSTITUTE(SUBSTITUTE(SUBSTITUTE(SUBSTITUTE(SUBSTITUTE(LOWER(W550&amp;""),CHAR(10),""),CHAR(13),""),CHAR(9),""),CHAR(160),"")," ",""),".",""),"-",""),"/",""),"?",""),"_",""),",",""),"[",""),"]",""),"(",""),")",""),"*","")</f>
        <v/>
      </c>
      <c r="AZ550" s="61" t="str">
        <f aca="false">SUBSTITUTE(SUBSTITUTE(SUBSTITUTE(SUBSTITUTE(SUBSTITUTE(SUBSTITUTE(SUBSTITUTE(SUBSTITUTE(SUBSTITUTE(SUBSTITUTE(SUBSTITUTE(SUBSTITUTE(SUBSTITUTE(SUBSTITUTE(SUBSTITUTE(SUBSTITUTE(LOWER(AC550&amp;""),CHAR(10),""),CHAR(13),""),CHAR(9),""),CHAR(160),"")," ",""),".",""),"-",""),"/",""),"?",""),"_",""),",",""),"[",""),"]",""),"(",""),")",""),"*","")</f>
        <v/>
      </c>
      <c r="BA550" s="61" t="str">
        <f aca="false">SUBSTITUTE(SUBSTITUTE(SUBSTITUTE(SUBSTITUTE(SUBSTITUTE(SUBSTITUTE(SUBSTITUTE(SUBSTITUTE(SUBSTITUTE(SUBSTITUTE(SUBSTITUTE(SUBSTITUTE(SUBSTITUTE(SUBSTITUTE(SUBSTITUTE(SUBSTITUTE(LOWER(AA550&amp;""),CHAR(10),""),CHAR(13),""),CHAR(9),""),CHAR(160),"")," ",""),".",""),"-",""),"/",""),"?",""),"_",""),",",""),"[",""),"]",""),"(",""),")",""),"*","")</f>
        <v/>
      </c>
      <c r="BB550" s="61" t="str">
        <f aca="false">IF(AND(TRIM(U550)="Pass",ISNUMBER(AF550)),IF(AF550&lt;&gt;0,"INVALID – qty variance: use Fail or Pass after CA",""),"")&amp;IF(AND(TRIM(U550)="Pass after CA",ISNUMBER(AF550)),IF(AF550&lt;&gt;0,"INVALID – after the corrective action the actual qty must equal expected (update Actual)",""),"")&amp;IF(AND(TRIM(U550)="Pass",TRIM(AB550)&lt;&gt;"",TRIM(AB550)&lt;&gt;"Closed"),"INVALID – corrective action not closed: use Fail, then Pass after CA","")&amp;IF(AND(LEN(BA550)&gt;=2,ISNA(MATCH(LEFT(BA550,255),L_Placeholder,0)),TRIM(AB550)=""),"INVALID – CA status missing for the recorded corrective action","")&amp;IF(AND(TRIM(U550)="Pass after CA",OR(OR(LEN(BA550)&lt;5,ISNUMBER(MATCH(BA550,L_Placeholder,0))),TRIM(AB550)&lt;&gt;"Closed")),"INVALID – corrective action not recorded/closed","")</f>
        <v/>
      </c>
      <c r="BC550" s="61" t="str">
        <f aca="false">" "&amp;TRIM(SUBSTITUTE(SUBSTITUTE(SUBSTITUTE(SUBSTITUTE(SUBSTITUTE(SUBSTITUTE(SUBSTITUTE(SUBSTITUTE(SUBSTITUTE(SUBSTITUTE(SUBSTITUTE(SUBSTITUTE(SUBSTITUTE(SUBSTITUTE(SUBSTITUTE(SUBSTITUTE(SUBSTITUTE(SUBSTITUTE(SUBSTITUTE(SUBSTITUTE(SUBSTITUTE(SUBSTITUTE(SUBSTITUTE(SUBSTITUTE(LOWER(V550&amp;""),CHAR(10)," "),CHAR(13)," "),CHAR(9)," "),CHAR(160)," "),"."," "),","," "),"-"," "),"/"," "),"("," "),")"," "),":"," "),";"," "),"_"," "),"–"," "),"?"," "),"!"," "),"*"," "),"["," "),"]"," "),"'"," "),"#"," "),"+"," "),"&amp;"," "),"\"," "))&amp;" "</f>
        <v>  </v>
      </c>
      <c r="BD550" s="61" t="str">
        <f aca="false">" "&amp;TRIM(SUBSTITUTE(SUBSTITUTE(SUBSTITUTE(SUBSTITUTE(SUBSTITUTE(SUBSTITUTE(SUBSTITUTE(SUBSTITUTE(SUBSTITUTE(SUBSTITUTE(SUBSTITUTE(SUBSTITUTE(SUBSTITUTE(SUBSTITUTE(SUBSTITUTE(SUBSTITUTE(SUBSTITUTE(SUBSTITUTE(SUBSTITUTE(SUBSTITUTE(SUBSTITUTE(SUBSTITUTE(SUBSTITUTE(SUBSTITUTE(LOWER(Z550&amp;""),CHAR(10)," "),CHAR(13)," "),CHAR(9)," "),CHAR(160)," "),"."," "),","," "),"-"," "),"/"," "),"("," "),")"," "),":"," "),";"," "),"_"," "),"–"," "),"?"," "),"!"," "),"*"," "),"["," "),"]"," "),"'"," "),"#"," "),"+"," "),"&amp;"," "),"\"," "))&amp;" "</f>
        <v>  </v>
      </c>
      <c r="BE550" s="61" t="str">
        <f aca="false">" "&amp;TRIM(SUBSTITUTE(SUBSTITUTE(SUBSTITUTE(SUBSTITUTE(SUBSTITUTE(SUBSTITUTE(SUBSTITUTE(SUBSTITUTE(SUBSTITUTE(SUBSTITUTE(SUBSTITUTE(SUBSTITUTE(SUBSTITUTE(SUBSTITUTE(SUBSTITUTE(SUBSTITUTE(SUBSTITUTE(SUBSTITUTE(SUBSTITUTE(SUBSTITUTE(SUBSTITUTE(SUBSTITUTE(SUBSTITUTE(SUBSTITUTE(LOWER(W550&amp;""),CHAR(10)," "),CHAR(13)," "),CHAR(9)," "),CHAR(160)," "),"."," "),","," "),"-"," "),"/"," "),"("," "),")"," "),":"," "),";"," "),"_"," "),"–"," "),"?"," "),"!"," "),"*"," "),"["," "),"]"," "),"'"," "),"#"," "),"+"," "),"&amp;"," "),"\"," "))&amp;" "</f>
        <v>  </v>
      </c>
      <c r="BF550" s="61" t="str">
        <f aca="false">" "&amp;TRIM(SUBSTITUTE(SUBSTITUTE(SUBSTITUTE(SUBSTITUTE(SUBSTITUTE(SUBSTITUTE(SUBSTITUTE(SUBSTITUTE(SUBSTITUTE(SUBSTITUTE(SUBSTITUTE(SUBSTITUTE(SUBSTITUTE(SUBSTITUTE(SUBSTITUTE(SUBSTITUTE(SUBSTITUTE(SUBSTITUTE(SUBSTITUTE(SUBSTITUTE(SUBSTITUTE(SUBSTITUTE(SUBSTITUTE(SUBSTITUTE(LOWER(AC550&amp;""),CHAR(10)," "),CHAR(13)," "),CHAR(9)," "),CHAR(160)," "),"."," "),","," "),"-"," "),"/"," "),"("," "),")"," "),":"," "),";"," "),"_"," "),"–"," "),"?"," "),"!"," "),"*"," "),"["," "),"]"," "),"'"," "),"#"," "),"+"," "),"&amp;"," "),"\"," "))&amp;" "</f>
        <v>  </v>
      </c>
      <c r="BG550" s="61" t="n">
        <f aca="false">IFERROR(IF(AND(TRIM(U550)="Pass",SUMPRODUCT((LEN(BC550)-LEN(SUBSTITUTE(BC550," "&amp;L_ResultBad&amp;" "," ")))/(LEN(L_ResultBad)+1))&gt;SUMPRODUCT((LEN(BC550)-LEN(SUBSTITUTE(BC550," "&amp;L_NegPhrase&amp;" "," ")))/(LEN(L_NegPhrase)+1))),1,0),0)</f>
        <v>0</v>
      </c>
      <c r="BH550" s="61" t="n">
        <f aca="false">IFERROR(IF(SUMPRODUCT((LEN(BC550)-LEN(SUBSTITUTE(BC550," "&amp;L_Pending&amp;" "," ")))/(LEN(L_Pending)+1))&gt;SUMPRODUCT((LEN(BC550)-LEN(SUBSTITUTE(BC550," "&amp;L_PendNeg&amp;" "," ")))/(LEN(L_PendNeg)+1))+SUMPRODUCT((LEN(BC550)-LEN(SUBSTITUTE(BC550," "&amp;L_PendPrep&amp;" "," ")))/(LEN(L_PendPrep)+1)),1,0),1)</f>
        <v>0</v>
      </c>
      <c r="BI550" s="61" t="n">
        <f aca="false">IFERROR(IF(SUMPRODUCT((LEN(BD550)-LEN(SUBSTITUTE(BD550," "&amp;L_PendStrict&amp;" "," ")))/(LEN(L_PendStrict)+1))&gt;SUMPRODUCT((LEN(BD550)-LEN(SUBSTITUTE(BD550," "&amp;L_PendNeg&amp;" "," ")))/(LEN(L_PendNeg)+1)),1,0),1)</f>
        <v>0</v>
      </c>
      <c r="BJ550" s="61" t="n">
        <f aca="false">IFERROR(IF(SUMPRODUCT((LEN(BE550)-LEN(SUBSTITUTE(BE550," "&amp;L_Pending&amp;" "," ")))/(LEN(L_Pending)+1))&gt;SUMPRODUCT((LEN(BE550)-LEN(SUBSTITUTE(BE550," "&amp;L_PendNeg&amp;" "," ")))/(LEN(L_PendNeg)+1))+SUMPRODUCT((LEN(BE550)-LEN(SUBSTITUTE(BE550," "&amp;L_PendPrep&amp;" "," ")))/(LEN(L_PendPrep)+1)),1,0),1)</f>
        <v>0</v>
      </c>
      <c r="BK550" s="61" t="n">
        <f aca="false">IFERROR(IF(SUMPRODUCT((LEN(BF550)-LEN(SUBSTITUTE(BF550," "&amp;L_PendStrict&amp;" "," ")))/(LEN(L_PendStrict)+1))&gt;SUMPRODUCT((LEN(BF550)-LEN(SUBSTITUTE(BF550," "&amp;L_PendNeg&amp;" "," ")))/(LEN(L_PendNeg)+1)),1,0),1)</f>
        <v>0</v>
      </c>
      <c r="BL550" s="61" t="n">
        <f aca="false">IF(ISNA(MATCH(TRIM(S550),L_EvidenceType,0)),0,BZ550)</f>
        <v>0</v>
      </c>
      <c r="BM550" s="61" t="str">
        <f aca="false">SUBSTITUTE(SUBSTITUTE(SUBSTITUTE(SUBSTITUTE(SUBSTITUTE(SUBSTITUTE(SUBSTITUTE(SUBSTITUTE(SUBSTITUTE(LOWER(Z550&amp;""),"1","0"),"2","0"),"3","0"),"4","0"),"5","0"),"6","0"),"7","0"),"8","0"),"9","0")</f>
        <v/>
      </c>
      <c r="BN550" s="61" t="str">
        <f aca="false">SUBSTITUTE(SUBSTITUTE(SUBSTITUTE(SUBSTITUTE(SUBSTITUTE(SUBSTITUTE(SUBSTITUTE(SUBSTITUTE(SUBSTITUTE(SUBSTITUTE(SUBSTITUTE(SUBSTITUTE(SUBSTITUTE(SUBSTITUTE(SUBSTITUTE(SUBSTITUTE(SUBSTITUTE(SUBSTITUTE(SUBSTITUTE(SUBSTITUTE(SUBSTITUTE(SUBSTITUTE(SUBSTITUTE(SUBSTITUTE(SUBSTITUTE(BM550,"b","a"),"c","a"),"d","a"),"e","a"),"f","a"),"g","a"),"h","a"),"i","a"),"j","a"),"k","a"),"l","a"),"m","a"),"n","a"),"o","a"),"p","a"),"q","a"),"r","a"),"s","a"),"t","a"),"u","a"),"v","a"),"w","a"),"x","a"),"y","a"),"z","a")</f>
        <v/>
      </c>
      <c r="BO550" s="61" t="str">
        <f aca="false">SUBSTITUTE(SUBSTITUTE(SUBSTITUTE(SUBSTITUTE(SUBSTITUTE(SUBSTITUTE(SUBSTITUTE(SUBSTITUTE(SUBSTITUTE(LOWER(W550&amp;""),"1","0"),"2","0"),"3","0"),"4","0"),"5","0"),"6","0"),"7","0"),"8","0"),"9","0")</f>
        <v/>
      </c>
      <c r="BP550" s="61" t="str">
        <f aca="false">SUBSTITUTE(SUBSTITUTE(SUBSTITUTE(SUBSTITUTE(SUBSTITUTE(SUBSTITUTE(SUBSTITUTE(SUBSTITUTE(SUBSTITUTE(SUBSTITUTE(SUBSTITUTE(SUBSTITUTE(SUBSTITUTE(SUBSTITUTE(SUBSTITUTE(SUBSTITUTE(SUBSTITUTE(SUBSTITUTE(SUBSTITUTE(SUBSTITUTE(SUBSTITUTE(SUBSTITUTE(SUBSTITUTE(SUBSTITUTE(SUBSTITUTE(BO550,"b","a"),"c","a"),"d","a"),"e","a"),"f","a"),"g","a"),"h","a"),"i","a"),"j","a"),"k","a"),"l","a"),"m","a"),"n","a"),"o","a"),"p","a"),"q","a"),"r","a"),"s","a"),"t","a"),"u","a"),"v","a"),"w","a"),"x","a"),"y","a"),"z","a")</f>
        <v/>
      </c>
      <c r="BQ550" s="61" t="n">
        <f aca="false">IFERROR(IF(AND(ISERROR(SEARCH(" mh"," "&amp;LOWER(W550))),ISNA(MATCH(LEFT(TRIM(BP550),255),{"0000a","000a","00a","0000aa","000aa","00aa","0aa","0000aaa","000aaa","00a00","0a00","0000-0000","00:00","a00","a0","00.00.0000","00/00/0000","00-00-0000","0000-00-00","0000/00/00","0000.00.00","00.00.00","00/00/00","00-00-00","0.00.0000","0/00/0000","0-00-0000"},0)),ISNA(MATCH(LEFT(TRIM(CA550),255),{"0000a","000a","00a","0000aa","000aa","00aa","0aa","0000aaa","000aaa","00a00","0a00","0000-0000","00:00","a00","a0","00.00.0000","00/00/0000","00-00-0000","0000-00-00","0000/00/00","0000.00.00","00.00.00","00/00/00","00-00-00","0.00.0000","0/00/0000","0-00-0000"},0)),LEN(CB550)&gt;=3,NOT(OR(SUBSTITUTE(CB550,"0","")="",AND(LEN(CB550)&gt;=4,CB550=REPT(LEFT(CB550),LEN(CB550))),ISNUMBER(MATCH(CB550,{"123","1234","12345","123456","1234567","12345678","0123","01234","012345","98765","987654","54321"},0)),AND(LEN(CB550)=8,LEFT(CB550,3)="202"))),OR(AND((LEN(CA550)-LEN(SUBSTITUTE(CA550,"a","")))&gt;=1,SUMPRODUCT(--ISNUMBER(SEARCH({"a0","a-0","a_0","a/0","a.0","a#0","0a","0-a","0_a","0/a"},BP550)))&gt;0),ISNUMBER(SEARCH("000000",BP550)))),1,0),0)</f>
        <v>0</v>
      </c>
      <c r="BR550" s="61" t="n">
        <f aca="false">IFERROR(LEN(SUBSTITUTE(CC550," ",""))-SUMPRODUCT((LEN(CC550)-LEN(SUBSTITUTE(CC550," "&amp;L_Role&amp;" "," ")))/(LEN(L_Role)+1)*LEN(L_Role)),0)</f>
        <v>0</v>
      </c>
      <c r="BS550" s="61" t="n">
        <f aca="false">IFERROR(LEN(SUBSTITUTE(CD550," ",""))-SUMPRODUCT((LEN(CD550)-LEN(SUBSTITUTE(CD550," "&amp;L_Role&amp;" "," ")))/(LEN(L_Role)+1)*LEN(L_Role)),0)</f>
        <v>0</v>
      </c>
      <c r="BT5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550,"revision",""),"version",""),"jan",""),"feb",""),"mar",""),"apr",""),"may",""),"jun",""),"jul",""),"aug",""),"sep",""),"oct",""),"nov",""),"dec",""),"utc",""),"gmt",""),"myt",""),"bst",""),"rev",""),"ver",""),"b","a"),"c","a"),"d","a"),"e","a"),"f","a"),"g","a"),"h","a"),"i","a"),"j","a"),"k","a"),"l","a"),"m","a"),"n","a"),"o","a"),"p","a"),"q","a"),"r","a"),"s","a"),"t","a"),"u","a"),"v","a"),"w","a"),"x","a"),"y","a"),"z","a")</f>
        <v/>
      </c>
      <c r="BU550" s="61" t="str">
        <f aca="false">SUBSTITUTE(SUBSTITUTE(SUBSTITUTE(SUBSTITUTE(SUBSTITUTE(SUBSTITUTE(SUBSTITUTE(SUBSTITUTE(SUBSTITUTE(SUBSTITUTE(LEFT(BM550,FIND("0",BM550&amp;"0")-1),"-",""),"_",""),"/",""),".",""),"#",""),"\\",""),":","")," ",""),"(",""),")","")</f>
        <v/>
      </c>
      <c r="BV550" s="61" t="n">
        <f aca="false">0</f>
        <v>0</v>
      </c>
      <c r="BW5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550&amp;""),"a",""),"b",""),"c",""),"d",""),"e",""),"f",""),"g",""),"h",""),"i",""),"j",""),"k",""),"l",""),"m",""),"n",""),"o",""),"p",""),"q",""),"r",""),"s",""),"t",""),"u",""),"v",""),"w",""),"x",""),"y",""),"z",""),"-",""),"_",""),"/",""),".",""),"#",""),"\\",""),":","")," ",""),"(",""),")","")</f>
        <v/>
      </c>
      <c r="BX550" s="61" t="str">
        <f aca="false">SUBSTITUTE(SUBSTITUTE(SUBSTITUTE(SUBSTITUTE(SUBSTITUTE(SUBSTITUTE(SUBSTITUTE(SUBSTITUTE(SUBSTITUTE(SUBSTITUTE(SUBSTITUTE(BM550,"0",""),"-",""),"_",""),"/",""),".",""),"#",""),"\\",""),":","")," ",""),"(",""),")","")</f>
        <v/>
      </c>
      <c r="BY550" s="62" t="n">
        <f aca="false">Q550-T12EarlyH/24</f>
        <v>46321.2847222222</v>
      </c>
      <c r="BZ550" s="61" t="n">
        <f aca="false">IFERROR(IF(IF(TRIM(S550)="Link / file path",AND(LEN(TRIM(Z550))&gt;=5,SUMPRODUCT(--ISNUMBER(SEARCH({"http","www.","\\",":\",".pdf",".jpg",".jpeg",".png",".heic",".xls",".doc",".msg",".eml",".ppt",".txt",".zip"},Z550)))&gt;0),AND(ISERROR(FIND(" ",TRIM(Z550))),NOT(OR(SUMPRODUCT(--ISNUMBER(FIND({",",";","&amp;","+"},Z550)))&gt;0,SUMPRODUCT(--ISNUMBER(SEARCH({"0/aa","0\\aa"},BN550)))&gt;0)),NOT(SUMPRODUCT(--ISNUMBER(SEARCH({"http","www.","\\",":\",".pdf",".jpg",".jpeg",".png",".heic",".xls",".doc",".msg",".eml",".ppt",".txt",".zip"},Z550)))&gt;0),NOT(LOWER(TRIM(Z550))=LOWER(Flights!$F$21)),ISNA(MATCH(BU550,{"mh","rev","revision","ver","version","v","r","a","b","seat","tray","row","gate","bay","stand","page","pg","item","line","no","cart","galley","flight","flt","table","box","bag","oven","etd","eta","std","sta","atd","ata","qty","pax","x","time","tel","ph","mob","day","wk","week","utc","gmt","myt","lt"},0)),NOT(OR(ISNUMBER(MATCH(LEFT(BN550,255),{"0000a","000a","00a","0000aa","000aa","00aa","0aa","0000aaa","000aaa","00a00","0a00","0000-0000","00:00","a00","a0","00.00.0000","00/00/0000","00-00-0000","0000-00-00","0000/00/00","0000.00.00","00.00.00","00/00/00","00-00-00","0.00.0000","0/00/0000","0-00-0000"},0)),ISNUMBER(MATCH(LEFT(BT550,255),{"0000a","000a","00a","0000aa","000aa","00aa","0aa","0000aaa","000aaa","00a00","0a00","0000-0000","00:00","a00","a0","00.00.0000","00/00/0000","00-00-0000","0000-00-00","0000/00/00","0000.00.00","00.00.00","00/00/00","00-00-00","0.00.0000","0/00/0000","0-00-0000"},0)))),NOT(OR(AND(BW550&lt;&gt;"",SUBSTITUTE(BW550,"0","")=""),AND(LEN(BW550)&gt;=4,BW550=REPT(LEFT(BW550),LEN(BW550))),ISNUMBER(MATCH(BW550,{"123","1234","12345","123456","1234567","12345678","0123","01234","012345","98765","987654","54321"},0)),ISNUMBER(MATCH(BX550,{"x","xx","xxx","xxxx","xxxxx","abc","abcd","nil","na","nan","test","tbc","tba","tbd","dummy","sample","example","eg","zz","zzz","none","null","xyz","qwe","asd","id","ref"},0)),AND(LEN(BW550)=8,BX550="",OR(LEFT(BW550,3)="202",ISNUMBER(MATCH(RIGHT(BW550,4),{"2025","2026","2027"},0)))))),OR(AND((LEN(BT550)-LEN(SUBSTITUTE(BT550,"a","")))&gt;=1,(LEN(BN550)-LEN(SUBSTITUTE(BN550,"0","")))&gt;=2,SUMPRODUCT(--ISNUMBER(SEARCH({"a0","a-0","a_0","a/0","a.0","a#0","0a","0-a","0_a","0/a"},BN550)))&gt;0),AND((LEN(BN550)-LEN(SUBSTITUTE(BN550,"a","")))=0,(LEN(BN550)-LEN(SUBSTITUTE(BN550,"0","")))&gt;=5)))),1,0),0)</f>
        <v>0</v>
      </c>
      <c r="CA5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550,"revision",""),"version",""),"jan",""),"feb",""),"mar",""),"apr",""),"may",""),"jun",""),"jul",""),"aug",""),"sep",""),"oct",""),"nov",""),"dec",""),"utc",""),"gmt",""),"myt",""),"bst",""),"rev",""),"ver",""),"b","a"),"c","a"),"d","a"),"e","a"),"f","a"),"g","a"),"h","a"),"i","a"),"j","a"),"k","a"),"l","a"),"m","a"),"n","a"),"o","a"),"p","a"),"q","a"),"r","a"),"s","a"),"t","a"),"u","a"),"v","a"),"w","a"),"x","a"),"y","a"),"z","a")</f>
        <v/>
      </c>
      <c r="CB5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550&amp;""),"a",""),"b",""),"c",""),"d",""),"e",""),"f",""),"g",""),"h",""),"i",""),"j",""),"k",""),"l",""),"m",""),"n",""),"o",""),"p",""),"q",""),"r",""),"s",""),"t",""),"u",""),"v",""),"w",""),"x",""),"y",""),"z",""),"-",""),"_",""),"/",""),".",""),"#",""),"\\",""),":","")," ",""),"(",""),")","")</f>
        <v/>
      </c>
      <c r="CC550" s="0" t="str">
        <f aca="false">" "&amp;TRIM(SUBSTITUTE(SUBSTITUTE(SUBSTITUTE(SUBSTITUTE(SUBSTITUTE(SUBSTITUTE(SUBSTITUTE(SUBSTITUTE(SUBSTITUTE(SUBSTITUTE(SUBSTITUTE(SUBSTITUTE(SUBSTITUTE(SUBSTITUTE(SUBSTITUTE(SUBSTITUTE(SUBSTITUTE(SUBSTITUTE(SUBSTITUTE(SUBSTITUTE(SUBSTITUTE(SUBSTITUTE(SUBSTITUTE(SUBSTITUTE(LOWER(T550&amp;""),CHAR(10)," "),CHAR(13)," "),CHAR(9)," "),CHAR(160)," "),"."," "),","," "),"-"," "),"/"," "),"("," "),")"," "),":"," "),";"," "),"_"," "),"–"," "),"?"," "),"!"," "),"*"," "),"["," "),"]"," "),"'"," "),"#"," "),"+"," "),"&amp;"," "),"\"," "))&amp;" "</f>
        <v>  </v>
      </c>
      <c r="CD550" s="0" t="str">
        <f aca="false">" "&amp;TRIM(SUBSTITUTE(SUBSTITUTE(SUBSTITUTE(SUBSTITUTE(SUBSTITUTE(SUBSTITUTE(SUBSTITUTE(SUBSTITUTE(SUBSTITUTE(SUBSTITUTE(SUBSTITUTE(SUBSTITUTE(SUBSTITUTE(SUBSTITUTE(SUBSTITUTE(SUBSTITUTE(SUBSTITUTE(SUBSTITUTE(SUBSTITUTE(SUBSTITUTE(SUBSTITUTE(SUBSTITUTE(SUBSTITUTE(SUBSTITUTE(LOWER(AE550&amp;""),CHAR(10)," "),CHAR(13)," "),CHAR(9)," "),CHAR(160)," "),"."," "),","," "),"-"," "),"/"," "),"("," "),")"," "),":"," "),";"," "),"_"," "),"–"," "),"?"," "),"!"," "),"*"," "),"["," "),"]"," "),"'"," "),"#"," "),"+"," "),"&amp;"," "),"\"," "))&amp;" "</f>
        <v>  </v>
      </c>
      <c r="CE550" s="68" t="n">
        <f aca="false">IFERROR(IF(AND(LEN(AU550)&gt;0,LEN(AU550)=LEN(AX550),OR(TRIM(MID(SUBSTITUTE(TRIM(CC550)," ",REPT(" ",60)),1,60))="",ISNUMBER(SEARCH(" "&amp;TRIM(MID(SUBSTITUTE(TRIM(CC550)," ",REPT(" ",60)),1,60))&amp;" ",CD550))),OR(TRIM(MID(SUBSTITUTE(TRIM(CC550)," ",REPT(" ",60)),61,60))="",ISNUMBER(SEARCH(" "&amp;TRIM(MID(SUBSTITUTE(TRIM(CC550)," ",REPT(" ",60)),61,60))&amp;" ",CD550))),OR(TRIM(MID(SUBSTITUTE(TRIM(CC550)," ",REPT(" ",60)),121,60))="",ISNUMBER(SEARCH(" "&amp;TRIM(MID(SUBSTITUTE(TRIM(CC550)," ",REPT(" ",60)),121,60))&amp;" ",CD550)))),1,0),0)</f>
        <v>0</v>
      </c>
      <c r="CG550" s="68" t="n">
        <f aca="false">IFERROR(LEN(SUBSTITUTE(BF550," ",""))-SUMPRODUCT((LEN(BF550)-LEN(SUBSTITUTE(BF550," "&amp;L_NAFiller&amp;" "," ")))/(LEN(L_NAFiller)+1)*LEN(L_NAFiller)),0)</f>
        <v>0</v>
      </c>
    </row>
    <row r="551" customFormat="false" ht="41.25" hidden="false" customHeight="true" outlineLevel="0" collapsed="false">
      <c r="A551" s="57" t="s">
        <v>1227</v>
      </c>
      <c r="B551" s="57" t="s">
        <v>290</v>
      </c>
      <c r="C551" s="57" t="str">
        <f aca="false">Flights!$F$21</f>
        <v>MH0073</v>
      </c>
      <c r="D551" s="58" t="n">
        <f aca="false">Flights!$D$21</f>
        <v>46322</v>
      </c>
      <c r="E551" s="57" t="str">
        <f aca="false">Flights!$G$21&amp;"-"&amp;Flights!$H$21</f>
        <v>HKG-KUL</v>
      </c>
      <c r="F551" s="57" t="str">
        <f aca="false">Flights!$K$21</f>
        <v>BC</v>
      </c>
      <c r="G551" s="57" t="s">
        <v>420</v>
      </c>
      <c r="H551" s="57" t="s">
        <v>378</v>
      </c>
      <c r="I551" s="57" t="s">
        <v>499</v>
      </c>
      <c r="J551" s="57" t="s">
        <v>505</v>
      </c>
      <c r="K551" s="67" t="s">
        <v>501</v>
      </c>
      <c r="L551" s="67" t="s">
        <v>1228</v>
      </c>
      <c r="M551" s="67" t="s">
        <v>451</v>
      </c>
      <c r="N551" s="67" t="s">
        <v>383</v>
      </c>
      <c r="O551" s="67" t="s">
        <v>1226</v>
      </c>
      <c r="P551" s="57" t="s">
        <v>282</v>
      </c>
      <c r="Q551" s="59" t="n">
        <f aca="false">ROUND((Flights!$AE$21)*1440,0)/1440</f>
        <v>46321.7847222222</v>
      </c>
      <c r="R551" s="59" t="n">
        <f aca="false">Q551+(IF(AND(INDEX(TZ_DSTS,MATCH(P551,TZ_STN,0))&lt;&gt;"",Q551&gt;=INDEX(TZ_DSTS,MATCH(P551,TZ_STN,0)),Q551&lt;INDEX(TZ_DSTE,MATCH(P551,TZ_STN,0))),INDEX(TZ_DST,MATCH(P551,TZ_STN,0)),INDEX(TZ_STD,MATCH(P551,TZ_STN,0))))/24</f>
        <v>46322.1180555556</v>
      </c>
      <c r="S551" s="60"/>
      <c r="T551" s="60"/>
      <c r="U551" s="60"/>
      <c r="V551" s="60"/>
      <c r="W551" s="61"/>
      <c r="X551" s="60"/>
      <c r="Y551" s="60"/>
      <c r="Z551" s="60"/>
      <c r="AA551" s="60"/>
      <c r="AB551" s="60"/>
      <c r="AC551" s="60"/>
      <c r="AD551" s="66"/>
      <c r="AE551" s="60"/>
      <c r="AF551" s="61" t="str">
        <f aca="false">IF(AND(ISNUMBER(X551),ISNUMBER(Y551)),Y551-X551,"")</f>
        <v/>
      </c>
      <c r="AG551" s="62" t="str">
        <f aca="false">IF(ISNUMBER(AD551),AD551-(IF(AND(INDEX(TZ_DSTS,MATCH(P551,TZ_STN,0))&lt;&gt;"",(AD551-INDEX(TZ_STD,MATCH(P551,TZ_STN,0))/24)&gt;=INDEX(TZ_DSTS,MATCH(P551,TZ_STN,0)),(AD551-INDEX(TZ_STD,MATCH(P551,TZ_STN,0))/24)&lt;INDEX(TZ_DSTE,MATCH(P551,TZ_STN,0))),INDEX(TZ_DST,MATCH(P551,TZ_STN,0)),INDEX(TZ_STD,MATCH(P551,TZ_STN,0))))/24,"")</f>
        <v/>
      </c>
      <c r="AH551" s="65" t="str">
        <f aca="false">IFERROR(IF(N551="N/A – rule",IF(OR(TRIM(U551)="",TRIM(U551)="N/A",TRIM(U551)="Not started"),"N/A – RULE","INVALID – this check does not apply to this aircraft: clear the status (or correct the fleet on Flights)"),IF(TRIM(U551)="N/A",IF(AT551=0,"INVALID – N/A not permitted for this check",IF(AND(TRIM(AB551)&lt;&gt;"",TRIM(AB551)&lt;&gt;"Closed"),"INVALID – corrective action still open",IF(AND(NOT(OR(LEN(AZ551)&lt;15,ISNUMBER(MATCH(AZ551,L_Placeholder,0)))),BK551=0,CG551&gt;=8,NOT(OR(LEN(AU551)&lt;2,ISNUMBER(MATCH(AU551,L_Placeholder,0)))),BR551&gt;=3,NOT(OR(LEN(AX551)&lt;2,ISNUMBER(MATCH(AX551,L_Placeholder,0)))),BS551&gt;=3,TRIM(AE551)&lt;&gt;TRIM(T551),AX551&lt;&gt;AU551,CE551=0),"N/A – JUSTIFIED","INVALID – N/A needs a real, settled reason (not 'not applicable' / 'as above' / TBC), a named PIC and a different named verifier"))),IF(OR(TRIM(U551)="Pass",TRIM(U551)="Pass after CA"),IF(NOT(ISNUMBER(AD551)),"INVALID – completion time missing",IF(OR(OR(LEN(AU551)&lt;2,ISNUMBER(MATCH(AU551,L_Placeholder,0))),BR551&lt;3),"INVALID – PIC missing or not a named person (a role such as QA / CSM is not a name)",IF(OR(LEN(AV551)&lt;2,ISNUMBER(MATCH(AV551,L_Placeholder,0))),"INVALID – result / assessment missing",IF(OR(OR(LEN(AW551)&lt;3,ISNUMBER(MATCH(AW551,L_Placeholder,0))),SUMPRODUCT(--ISNUMBER(SEARCH(" "&amp;L_EvidencePhrase&amp;" ",BD551)))&gt;0,BI551=1),"INVALID – evidence missing, placeholder or not yet on file",IF(ISNA(MATCH(TRIM(S551),L_EvidenceType,0)),"INVALID – choose the evidence type from the list (column S)",IF(BL551=0,"INVALID – evidence ID must be the record's own ID only (e.g. SF-2210, IMG_2231, 1045521); a link / file name needs type 'Link / file path'",IF(OR(OR(LEN(AX551)&lt;2,ISNUMBER(MATCH(AX551,L_Placeholder,0))),BS551&lt;3),"INVALID – verifier missing or not a named person (a role such as QA / CSM is not a name)",IF(OR(AX551=AU551,CE551=1,AND(LEN(AU551)&gt;=4,ISNUMBER(SEARCH(AU551,AX551))),AND(LEN(AX551)&gt;=4,ISNUMBER(SEARCH(AX551,AU551)))),"INVALID – verifier must be a different, named person (not the PIC or a role)",IF(BH551=1,"INVALID – result not yet available (awaiting / TBC)",IF(BG551=1,"INVALID – result describes a problem: record Fail, then Pass after CA (or reword if it is not a problem)",IF(BV551=1,"INVALID – wording says not on board: an on-board confirmation needs the item loaded",IF(AND(AQ551=1,OR(OR(LEN(AY551)&lt;3,ISNUMBER(MATCH(AY551,L_Placeholder,0))),BJ551=1,BQ551=0)),"INVALID – batch ID missing, placeholder or not an ID (e.g. PASB-261008-BC-017)",IF(AND(AR551=1,OR(NOT(ISNUMBER(X551)),NOT(ISNUMBER(Y551)))),"INVALID – expected/actual qty missing",IF(AND(AR551=1,OR(X551&lt;=0,Y551&lt;0)),"INVALID – expected qty must be above 0 and actual not negative",IF(BB551&lt;&gt;"",BB551,IF(AND(AS551=1,Documents!$J$21&lt;&gt;"ON FILE"),"INVALID – GLD not on file (Documents sheet)",IF(AND(AS551=2,Documents!$O$21&lt;&gt;"ON FILE"),"INVALID – menu checklist not on file (Documents sheet)",IF(AND(AS551=3,NOT(ISNUMBER(Flights!$AX$21))),"INVALID – enter carrying flight KUL departure (Flights AX)",IF(AND(AS551=3,OR(Flights!$AZ$21&gt;Flights!$AA$21,Flights!$AX$21&lt;Flights!$AA$21-3)),"INVALID – carrying flight (Flights AX) cannot arrive before this leg's STD, or is over 3 days early",IF(AG551&gt;AsOfUTC,"INVALID – completion time is in the future",IF(AND(ISNUMBER(BY551),AG551&lt;BY551),IF(H551="Physical uplift","INVALID – before uplift window (cannot confirm loading)","INVALID – before valid window"),IF(AG551&gt;Flights!$AA$21,"INVALID – completed after departure (cannot establish readiness)",IF(AND(H551="Preparation",AG551&gt;=IF(ISNUMBER(Flights!$BA$21),MIN(Flights!$BA$21,Flights!$AA$21),Flights!$AA$21)),"INVALID – completed after loading / departure (cannot establish readiness)",IF(AND(H551="Physical uplift",AG551&gt;Q551),"INVALID – recorded after the loading flight departed",IF(AG551&gt;Q551,"COMPLETE – LATE","COMPLETE"))))))))))))))))))))))))),IF(TRIM(U551)="Fail","FAIL – DISCREPANCY",IF(AND(TRIM(U551)&lt;&gt;"",TRIM(U551)&lt;&gt;"Not started",TRIM(U551)&lt;&gt;"In progress"),"INVALID – unrecognised status (use the list)",IF(AsOfUTC&gt;Q551,"OVERDUE",IF(N551="Clarification required","OPEN – CLARIFICATION","OPEN"))))))),"INVALID – error value in an input cell")</f>
        <v>OPEN</v>
      </c>
      <c r="AI551" s="61" t="n">
        <f aca="false">IF(OR(AH551="N/A – RULE",AH551="N/A – JUSTIFIED"),0,1)</f>
        <v>1</v>
      </c>
      <c r="AJ551" s="61" t="n">
        <f aca="false">IF(LEFT(AH551,8)="COMPLETE",1,0)</f>
        <v>0</v>
      </c>
      <c r="AK551" s="61" t="n">
        <f aca="false">IF(AND(AI551=1,AJ551=0,AsOfUTC&gt;Q551),1,0)</f>
        <v>0</v>
      </c>
      <c r="AL551" s="61" t="n">
        <f aca="false">IFERROR(IF(AND(AI551=1,OR(TRIM(U551)="Fail",AND(TRIM(AB551)&lt;&gt;"",TRIM(AB551)&lt;&gt;"Closed"),AND(ISNUMBER(AF551),AF551&lt;&gt;0,TRIM(U551)&lt;&gt;"Pass after CA"))),1,0),1)</f>
        <v>0</v>
      </c>
      <c r="AM551" s="61" t="n">
        <f aca="false">IF(LEFT(AH551,7)="INVALID",1,0)</f>
        <v>0</v>
      </c>
      <c r="AN551" s="61" t="n">
        <f aca="false">IF(AND(N551="Clarification required",AI551=1,AJ551=0),1,0)</f>
        <v>0</v>
      </c>
      <c r="AO551" s="61" t="str">
        <f aca="false">IF(AK551=1,SUM(AK$5:AK551),"")</f>
        <v/>
      </c>
      <c r="AP551" s="61" t="str">
        <f aca="false">IF(AL551=1,SUM(AL$5:AL551),"")</f>
        <v/>
      </c>
      <c r="AQ551" s="61" t="n">
        <v>0</v>
      </c>
      <c r="AR551" s="61" t="n">
        <v>0</v>
      </c>
      <c r="AS551" s="61" t="n">
        <v>0</v>
      </c>
      <c r="AT551" s="61" t="n">
        <v>0</v>
      </c>
      <c r="AU551" s="61" t="str">
        <f aca="false">SUBSTITUTE(SUBSTITUTE(SUBSTITUTE(SUBSTITUTE(SUBSTITUTE(SUBSTITUTE(SUBSTITUTE(SUBSTITUTE(SUBSTITUTE(SUBSTITUTE(SUBSTITUTE(SUBSTITUTE(SUBSTITUTE(SUBSTITUTE(SUBSTITUTE(SUBSTITUTE(LOWER(T551&amp;""),CHAR(10),""),CHAR(13),""),CHAR(9),""),CHAR(160),"")," ",""),".",""),"-",""),"/",""),"?",""),"_",""),",",""),"[",""),"]",""),"(",""),")",""),"*","")</f>
        <v/>
      </c>
      <c r="AV551" s="61" t="str">
        <f aca="false">SUBSTITUTE(SUBSTITUTE(SUBSTITUTE(SUBSTITUTE(SUBSTITUTE(SUBSTITUTE(SUBSTITUTE(SUBSTITUTE(SUBSTITUTE(SUBSTITUTE(SUBSTITUTE(SUBSTITUTE(SUBSTITUTE(SUBSTITUTE(SUBSTITUTE(SUBSTITUTE(LOWER(V551&amp;""),CHAR(10),""),CHAR(13),""),CHAR(9),""),CHAR(160),"")," ",""),".",""),"-",""),"/",""),"?",""),"_",""),",",""),"[",""),"]",""),"(",""),")",""),"*","")</f>
        <v/>
      </c>
      <c r="AW551" s="61" t="str">
        <f aca="false">SUBSTITUTE(SUBSTITUTE(SUBSTITUTE(SUBSTITUTE(SUBSTITUTE(SUBSTITUTE(SUBSTITUTE(SUBSTITUTE(SUBSTITUTE(SUBSTITUTE(SUBSTITUTE(SUBSTITUTE(SUBSTITUTE(SUBSTITUTE(SUBSTITUTE(SUBSTITUTE(LOWER(Z551&amp;""),CHAR(10),""),CHAR(13),""),CHAR(9),""),CHAR(160),"")," ",""),".",""),"-",""),"/",""),"?",""),"_",""),",",""),"[",""),"]",""),"(",""),")",""),"*","")</f>
        <v/>
      </c>
      <c r="AX551" s="61" t="str">
        <f aca="false">SUBSTITUTE(SUBSTITUTE(SUBSTITUTE(SUBSTITUTE(SUBSTITUTE(SUBSTITUTE(SUBSTITUTE(SUBSTITUTE(SUBSTITUTE(SUBSTITUTE(SUBSTITUTE(SUBSTITUTE(SUBSTITUTE(SUBSTITUTE(SUBSTITUTE(SUBSTITUTE(LOWER(AE551&amp;""),CHAR(10),""),CHAR(13),""),CHAR(9),""),CHAR(160),"")," ",""),".",""),"-",""),"/",""),"?",""),"_",""),",",""),"[",""),"]",""),"(",""),")",""),"*","")</f>
        <v/>
      </c>
      <c r="AY551" s="61" t="str">
        <f aca="false">SUBSTITUTE(SUBSTITUTE(SUBSTITUTE(SUBSTITUTE(SUBSTITUTE(SUBSTITUTE(SUBSTITUTE(SUBSTITUTE(SUBSTITUTE(SUBSTITUTE(SUBSTITUTE(SUBSTITUTE(SUBSTITUTE(SUBSTITUTE(SUBSTITUTE(SUBSTITUTE(LOWER(W551&amp;""),CHAR(10),""),CHAR(13),""),CHAR(9),""),CHAR(160),"")," ",""),".",""),"-",""),"/",""),"?",""),"_",""),",",""),"[",""),"]",""),"(",""),")",""),"*","")</f>
        <v/>
      </c>
      <c r="AZ551" s="61" t="str">
        <f aca="false">SUBSTITUTE(SUBSTITUTE(SUBSTITUTE(SUBSTITUTE(SUBSTITUTE(SUBSTITUTE(SUBSTITUTE(SUBSTITUTE(SUBSTITUTE(SUBSTITUTE(SUBSTITUTE(SUBSTITUTE(SUBSTITUTE(SUBSTITUTE(SUBSTITUTE(SUBSTITUTE(LOWER(AC551&amp;""),CHAR(10),""),CHAR(13),""),CHAR(9),""),CHAR(160),"")," ",""),".",""),"-",""),"/",""),"?",""),"_",""),",",""),"[",""),"]",""),"(",""),")",""),"*","")</f>
        <v/>
      </c>
      <c r="BA551" s="61" t="str">
        <f aca="false">SUBSTITUTE(SUBSTITUTE(SUBSTITUTE(SUBSTITUTE(SUBSTITUTE(SUBSTITUTE(SUBSTITUTE(SUBSTITUTE(SUBSTITUTE(SUBSTITUTE(SUBSTITUTE(SUBSTITUTE(SUBSTITUTE(SUBSTITUTE(SUBSTITUTE(SUBSTITUTE(LOWER(AA551&amp;""),CHAR(10),""),CHAR(13),""),CHAR(9),""),CHAR(160),"")," ",""),".",""),"-",""),"/",""),"?",""),"_",""),",",""),"[",""),"]",""),"(",""),")",""),"*","")</f>
        <v/>
      </c>
      <c r="BB551" s="61" t="str">
        <f aca="false">IF(AND(TRIM(U551)="Pass",ISNUMBER(AF551)),IF(AF551&lt;&gt;0,"INVALID – qty variance: use Fail or Pass after CA",""),"")&amp;IF(AND(TRIM(U551)="Pass after CA",ISNUMBER(AF551)),IF(AF551&lt;&gt;0,"INVALID – after the corrective action the actual qty must equal expected (update Actual)",""),"")&amp;IF(AND(TRIM(U551)="Pass",TRIM(AB551)&lt;&gt;"",TRIM(AB551)&lt;&gt;"Closed"),"INVALID – corrective action not closed: use Fail, then Pass after CA","")&amp;IF(AND(LEN(BA551)&gt;=2,ISNA(MATCH(LEFT(BA551,255),L_Placeholder,0)),TRIM(AB551)=""),"INVALID – CA status missing for the recorded corrective action","")&amp;IF(AND(TRIM(U551)="Pass after CA",OR(OR(LEN(BA551)&lt;5,ISNUMBER(MATCH(BA551,L_Placeholder,0))),TRIM(AB551)&lt;&gt;"Closed")),"INVALID – corrective action not recorded/closed","")</f>
        <v/>
      </c>
      <c r="BC551" s="61" t="str">
        <f aca="false">" "&amp;TRIM(SUBSTITUTE(SUBSTITUTE(SUBSTITUTE(SUBSTITUTE(SUBSTITUTE(SUBSTITUTE(SUBSTITUTE(SUBSTITUTE(SUBSTITUTE(SUBSTITUTE(SUBSTITUTE(SUBSTITUTE(SUBSTITUTE(SUBSTITUTE(SUBSTITUTE(SUBSTITUTE(SUBSTITUTE(SUBSTITUTE(SUBSTITUTE(SUBSTITUTE(SUBSTITUTE(SUBSTITUTE(SUBSTITUTE(SUBSTITUTE(LOWER(V551&amp;""),CHAR(10)," "),CHAR(13)," "),CHAR(9)," "),CHAR(160)," "),"."," "),","," "),"-"," "),"/"," "),"("," "),")"," "),":"," "),";"," "),"_"," "),"–"," "),"?"," "),"!"," "),"*"," "),"["," "),"]"," "),"'"," "),"#"," "),"+"," "),"&amp;"," "),"\"," "))&amp;" "</f>
        <v>  </v>
      </c>
      <c r="BD551" s="61" t="str">
        <f aca="false">" "&amp;TRIM(SUBSTITUTE(SUBSTITUTE(SUBSTITUTE(SUBSTITUTE(SUBSTITUTE(SUBSTITUTE(SUBSTITUTE(SUBSTITUTE(SUBSTITUTE(SUBSTITUTE(SUBSTITUTE(SUBSTITUTE(SUBSTITUTE(SUBSTITUTE(SUBSTITUTE(SUBSTITUTE(SUBSTITUTE(SUBSTITUTE(SUBSTITUTE(SUBSTITUTE(SUBSTITUTE(SUBSTITUTE(SUBSTITUTE(SUBSTITUTE(LOWER(Z551&amp;""),CHAR(10)," "),CHAR(13)," "),CHAR(9)," "),CHAR(160)," "),"."," "),","," "),"-"," "),"/"," "),"("," "),")"," "),":"," "),";"," "),"_"," "),"–"," "),"?"," "),"!"," "),"*"," "),"["," "),"]"," "),"'"," "),"#"," "),"+"," "),"&amp;"," "),"\"," "))&amp;" "</f>
        <v>  </v>
      </c>
      <c r="BE551" s="61" t="str">
        <f aca="false">" "&amp;TRIM(SUBSTITUTE(SUBSTITUTE(SUBSTITUTE(SUBSTITUTE(SUBSTITUTE(SUBSTITUTE(SUBSTITUTE(SUBSTITUTE(SUBSTITUTE(SUBSTITUTE(SUBSTITUTE(SUBSTITUTE(SUBSTITUTE(SUBSTITUTE(SUBSTITUTE(SUBSTITUTE(SUBSTITUTE(SUBSTITUTE(SUBSTITUTE(SUBSTITUTE(SUBSTITUTE(SUBSTITUTE(SUBSTITUTE(SUBSTITUTE(LOWER(W551&amp;""),CHAR(10)," "),CHAR(13)," "),CHAR(9)," "),CHAR(160)," "),"."," "),","," "),"-"," "),"/"," "),"("," "),")"," "),":"," "),";"," "),"_"," "),"–"," "),"?"," "),"!"," "),"*"," "),"["," "),"]"," "),"'"," "),"#"," "),"+"," "),"&amp;"," "),"\"," "))&amp;" "</f>
        <v>  </v>
      </c>
      <c r="BF551" s="61" t="str">
        <f aca="false">" "&amp;TRIM(SUBSTITUTE(SUBSTITUTE(SUBSTITUTE(SUBSTITUTE(SUBSTITUTE(SUBSTITUTE(SUBSTITUTE(SUBSTITUTE(SUBSTITUTE(SUBSTITUTE(SUBSTITUTE(SUBSTITUTE(SUBSTITUTE(SUBSTITUTE(SUBSTITUTE(SUBSTITUTE(SUBSTITUTE(SUBSTITUTE(SUBSTITUTE(SUBSTITUTE(SUBSTITUTE(SUBSTITUTE(SUBSTITUTE(SUBSTITUTE(LOWER(AC551&amp;""),CHAR(10)," "),CHAR(13)," "),CHAR(9)," "),CHAR(160)," "),"."," "),","," "),"-"," "),"/"," "),"("," "),")"," "),":"," "),";"," "),"_"," "),"–"," "),"?"," "),"!"," "),"*"," "),"["," "),"]"," "),"'"," "),"#"," "),"+"," "),"&amp;"," "),"\"," "))&amp;" "</f>
        <v>  </v>
      </c>
      <c r="BG551" s="61" t="n">
        <f aca="false">IFERROR(IF(AND(TRIM(U551)="Pass",SUMPRODUCT((LEN(BC551)-LEN(SUBSTITUTE(BC551," "&amp;L_ResultBad&amp;" "," ")))/(LEN(L_ResultBad)+1))&gt;SUMPRODUCT((LEN(BC551)-LEN(SUBSTITUTE(BC551," "&amp;L_NegPhrase&amp;" "," ")))/(LEN(L_NegPhrase)+1))),1,0),0)</f>
        <v>0</v>
      </c>
      <c r="BH551" s="61" t="n">
        <f aca="false">IFERROR(IF(SUMPRODUCT((LEN(BC551)-LEN(SUBSTITUTE(BC551," "&amp;L_Pending&amp;" "," ")))/(LEN(L_Pending)+1))&gt;SUMPRODUCT((LEN(BC551)-LEN(SUBSTITUTE(BC551," "&amp;L_PendNeg&amp;" "," ")))/(LEN(L_PendNeg)+1))+SUMPRODUCT((LEN(BC551)-LEN(SUBSTITUTE(BC551," "&amp;L_PendPrep&amp;" "," ")))/(LEN(L_PendPrep)+1)),1,0),1)</f>
        <v>0</v>
      </c>
      <c r="BI551" s="61" t="n">
        <f aca="false">IFERROR(IF(SUMPRODUCT((LEN(BD551)-LEN(SUBSTITUTE(BD551," "&amp;L_PendStrict&amp;" "," ")))/(LEN(L_PendStrict)+1))&gt;SUMPRODUCT((LEN(BD551)-LEN(SUBSTITUTE(BD551," "&amp;L_PendNeg&amp;" "," ")))/(LEN(L_PendNeg)+1)),1,0),1)</f>
        <v>0</v>
      </c>
      <c r="BJ551" s="61" t="n">
        <f aca="false">IFERROR(IF(SUMPRODUCT((LEN(BE551)-LEN(SUBSTITUTE(BE551," "&amp;L_Pending&amp;" "," ")))/(LEN(L_Pending)+1))&gt;SUMPRODUCT((LEN(BE551)-LEN(SUBSTITUTE(BE551," "&amp;L_PendNeg&amp;" "," ")))/(LEN(L_PendNeg)+1))+SUMPRODUCT((LEN(BE551)-LEN(SUBSTITUTE(BE551," "&amp;L_PendPrep&amp;" "," ")))/(LEN(L_PendPrep)+1)),1,0),1)</f>
        <v>0</v>
      </c>
      <c r="BK551" s="61" t="n">
        <f aca="false">IFERROR(IF(SUMPRODUCT((LEN(BF551)-LEN(SUBSTITUTE(BF551," "&amp;L_PendStrict&amp;" "," ")))/(LEN(L_PendStrict)+1))&gt;SUMPRODUCT((LEN(BF551)-LEN(SUBSTITUTE(BF551," "&amp;L_PendNeg&amp;" "," ")))/(LEN(L_PendNeg)+1)),1,0),1)</f>
        <v>0</v>
      </c>
      <c r="BL551" s="61" t="n">
        <f aca="false">IF(ISNA(MATCH(TRIM(S551),L_EvidenceType,0)),0,BZ551)</f>
        <v>0</v>
      </c>
      <c r="BM551" s="61" t="str">
        <f aca="false">SUBSTITUTE(SUBSTITUTE(SUBSTITUTE(SUBSTITUTE(SUBSTITUTE(SUBSTITUTE(SUBSTITUTE(SUBSTITUTE(SUBSTITUTE(LOWER(Z551&amp;""),"1","0"),"2","0"),"3","0"),"4","0"),"5","0"),"6","0"),"7","0"),"8","0"),"9","0")</f>
        <v/>
      </c>
      <c r="BN551" s="61" t="str">
        <f aca="false">SUBSTITUTE(SUBSTITUTE(SUBSTITUTE(SUBSTITUTE(SUBSTITUTE(SUBSTITUTE(SUBSTITUTE(SUBSTITUTE(SUBSTITUTE(SUBSTITUTE(SUBSTITUTE(SUBSTITUTE(SUBSTITUTE(SUBSTITUTE(SUBSTITUTE(SUBSTITUTE(SUBSTITUTE(SUBSTITUTE(SUBSTITUTE(SUBSTITUTE(SUBSTITUTE(SUBSTITUTE(SUBSTITUTE(SUBSTITUTE(SUBSTITUTE(BM551,"b","a"),"c","a"),"d","a"),"e","a"),"f","a"),"g","a"),"h","a"),"i","a"),"j","a"),"k","a"),"l","a"),"m","a"),"n","a"),"o","a"),"p","a"),"q","a"),"r","a"),"s","a"),"t","a"),"u","a"),"v","a"),"w","a"),"x","a"),"y","a"),"z","a")</f>
        <v/>
      </c>
      <c r="BO551" s="61" t="str">
        <f aca="false">SUBSTITUTE(SUBSTITUTE(SUBSTITUTE(SUBSTITUTE(SUBSTITUTE(SUBSTITUTE(SUBSTITUTE(SUBSTITUTE(SUBSTITUTE(LOWER(W551&amp;""),"1","0"),"2","0"),"3","0"),"4","0"),"5","0"),"6","0"),"7","0"),"8","0"),"9","0")</f>
        <v/>
      </c>
      <c r="BP551" s="61" t="str">
        <f aca="false">SUBSTITUTE(SUBSTITUTE(SUBSTITUTE(SUBSTITUTE(SUBSTITUTE(SUBSTITUTE(SUBSTITUTE(SUBSTITUTE(SUBSTITUTE(SUBSTITUTE(SUBSTITUTE(SUBSTITUTE(SUBSTITUTE(SUBSTITUTE(SUBSTITUTE(SUBSTITUTE(SUBSTITUTE(SUBSTITUTE(SUBSTITUTE(SUBSTITUTE(SUBSTITUTE(SUBSTITUTE(SUBSTITUTE(SUBSTITUTE(SUBSTITUTE(BO551,"b","a"),"c","a"),"d","a"),"e","a"),"f","a"),"g","a"),"h","a"),"i","a"),"j","a"),"k","a"),"l","a"),"m","a"),"n","a"),"o","a"),"p","a"),"q","a"),"r","a"),"s","a"),"t","a"),"u","a"),"v","a"),"w","a"),"x","a"),"y","a"),"z","a")</f>
        <v/>
      </c>
      <c r="BQ551" s="61" t="n">
        <f aca="false">IFERROR(IF(AND(ISERROR(SEARCH(" mh"," "&amp;LOWER(W551))),ISNA(MATCH(LEFT(TRIM(BP551),255),{"0000a","000a","00a","0000aa","000aa","00aa","0aa","0000aaa","000aaa","00a00","0a00","0000-0000","00:00","a00","a0","00.00.0000","00/00/0000","00-00-0000","0000-00-00","0000/00/00","0000.00.00","00.00.00","00/00/00","00-00-00","0.00.0000","0/00/0000","0-00-0000"},0)),ISNA(MATCH(LEFT(TRIM(CA551),255),{"0000a","000a","00a","0000aa","000aa","00aa","0aa","0000aaa","000aaa","00a00","0a00","0000-0000","00:00","a00","a0","00.00.0000","00/00/0000","00-00-0000","0000-00-00","0000/00/00","0000.00.00","00.00.00","00/00/00","00-00-00","0.00.0000","0/00/0000","0-00-0000"},0)),LEN(CB551)&gt;=3,NOT(OR(SUBSTITUTE(CB551,"0","")="",AND(LEN(CB551)&gt;=4,CB551=REPT(LEFT(CB551),LEN(CB551))),ISNUMBER(MATCH(CB551,{"123","1234","12345","123456","1234567","12345678","0123","01234","012345","98765","987654","54321"},0)),AND(LEN(CB551)=8,LEFT(CB551,3)="202"))),OR(AND((LEN(CA551)-LEN(SUBSTITUTE(CA551,"a","")))&gt;=1,SUMPRODUCT(--ISNUMBER(SEARCH({"a0","a-0","a_0","a/0","a.0","a#0","0a","0-a","0_a","0/a"},BP551)))&gt;0),ISNUMBER(SEARCH("000000",BP551)))),1,0),0)</f>
        <v>0</v>
      </c>
      <c r="BR551" s="61" t="n">
        <f aca="false">IFERROR(LEN(SUBSTITUTE(CC551," ",""))-SUMPRODUCT((LEN(CC551)-LEN(SUBSTITUTE(CC551," "&amp;L_Role&amp;" "," ")))/(LEN(L_Role)+1)*LEN(L_Role)),0)</f>
        <v>0</v>
      </c>
      <c r="BS551" s="61" t="n">
        <f aca="false">IFERROR(LEN(SUBSTITUTE(CD551," ",""))-SUMPRODUCT((LEN(CD551)-LEN(SUBSTITUTE(CD551," "&amp;L_Role&amp;" "," ")))/(LEN(L_Role)+1)*LEN(L_Role)),0)</f>
        <v>0</v>
      </c>
      <c r="BT5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551,"revision",""),"version",""),"jan",""),"feb",""),"mar",""),"apr",""),"may",""),"jun",""),"jul",""),"aug",""),"sep",""),"oct",""),"nov",""),"dec",""),"utc",""),"gmt",""),"myt",""),"bst",""),"rev",""),"ver",""),"b","a"),"c","a"),"d","a"),"e","a"),"f","a"),"g","a"),"h","a"),"i","a"),"j","a"),"k","a"),"l","a"),"m","a"),"n","a"),"o","a"),"p","a"),"q","a"),"r","a"),"s","a"),"t","a"),"u","a"),"v","a"),"w","a"),"x","a"),"y","a"),"z","a")</f>
        <v/>
      </c>
      <c r="BU551" s="61" t="str">
        <f aca="false">SUBSTITUTE(SUBSTITUTE(SUBSTITUTE(SUBSTITUTE(SUBSTITUTE(SUBSTITUTE(SUBSTITUTE(SUBSTITUTE(SUBSTITUTE(SUBSTITUTE(LEFT(BM551,FIND("0",BM551&amp;"0")-1),"-",""),"_",""),"/",""),".",""),"#",""),"\\",""),":","")," ",""),"(",""),")","")</f>
        <v/>
      </c>
      <c r="BV551" s="61" t="n">
        <f aca="false">0</f>
        <v>0</v>
      </c>
      <c r="BW5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551&amp;""),"a",""),"b",""),"c",""),"d",""),"e",""),"f",""),"g",""),"h",""),"i",""),"j",""),"k",""),"l",""),"m",""),"n",""),"o",""),"p",""),"q",""),"r",""),"s",""),"t",""),"u",""),"v",""),"w",""),"x",""),"y",""),"z",""),"-",""),"_",""),"/",""),".",""),"#",""),"\\",""),":","")," ",""),"(",""),")","")</f>
        <v/>
      </c>
      <c r="BX551" s="61" t="str">
        <f aca="false">SUBSTITUTE(SUBSTITUTE(SUBSTITUTE(SUBSTITUTE(SUBSTITUTE(SUBSTITUTE(SUBSTITUTE(SUBSTITUTE(SUBSTITUTE(SUBSTITUTE(SUBSTITUTE(BM551,"0",""),"-",""),"_",""),"/",""),".",""),"#",""),"\\",""),":","")," ",""),"(",""),")","")</f>
        <v/>
      </c>
      <c r="BY551" s="62" t="n">
        <f aca="false">Q551-T12EarlyH/24</f>
        <v>46321.2847222222</v>
      </c>
      <c r="BZ551" s="61" t="n">
        <f aca="false">IFERROR(IF(IF(TRIM(S551)="Link / file path",AND(LEN(TRIM(Z551))&gt;=5,SUMPRODUCT(--ISNUMBER(SEARCH({"http","www.","\\",":\",".pdf",".jpg",".jpeg",".png",".heic",".xls",".doc",".msg",".eml",".ppt",".txt",".zip"},Z551)))&gt;0),AND(ISERROR(FIND(" ",TRIM(Z551))),NOT(OR(SUMPRODUCT(--ISNUMBER(FIND({",",";","&amp;","+"},Z551)))&gt;0,SUMPRODUCT(--ISNUMBER(SEARCH({"0/aa","0\\aa"},BN551)))&gt;0)),NOT(SUMPRODUCT(--ISNUMBER(SEARCH({"http","www.","\\",":\",".pdf",".jpg",".jpeg",".png",".heic",".xls",".doc",".msg",".eml",".ppt",".txt",".zip"},Z551)))&gt;0),NOT(LOWER(TRIM(Z551))=LOWER(Flights!$F$21)),ISNA(MATCH(BU551,{"mh","rev","revision","ver","version","v","r","a","b","seat","tray","row","gate","bay","stand","page","pg","item","line","no","cart","galley","flight","flt","table","box","bag","oven","etd","eta","std","sta","atd","ata","qty","pax","x","time","tel","ph","mob","day","wk","week","utc","gmt","myt","lt"},0)),NOT(OR(ISNUMBER(MATCH(LEFT(BN551,255),{"0000a","000a","00a","0000aa","000aa","00aa","0aa","0000aaa","000aaa","00a00","0a00","0000-0000","00:00","a00","a0","00.00.0000","00/00/0000","00-00-0000","0000-00-00","0000/00/00","0000.00.00","00.00.00","00/00/00","00-00-00","0.00.0000","0/00/0000","0-00-0000"},0)),ISNUMBER(MATCH(LEFT(BT551,255),{"0000a","000a","00a","0000aa","000aa","00aa","0aa","0000aaa","000aaa","00a00","0a00","0000-0000","00:00","a00","a0","00.00.0000","00/00/0000","00-00-0000","0000-00-00","0000/00/00","0000.00.00","00.00.00","00/00/00","00-00-00","0.00.0000","0/00/0000","0-00-0000"},0)))),NOT(OR(AND(BW551&lt;&gt;"",SUBSTITUTE(BW551,"0","")=""),AND(LEN(BW551)&gt;=4,BW551=REPT(LEFT(BW551),LEN(BW551))),ISNUMBER(MATCH(BW551,{"123","1234","12345","123456","1234567","12345678","0123","01234","012345","98765","987654","54321"},0)),ISNUMBER(MATCH(BX551,{"x","xx","xxx","xxxx","xxxxx","abc","abcd","nil","na","nan","test","tbc","tba","tbd","dummy","sample","example","eg","zz","zzz","none","null","xyz","qwe","asd","id","ref"},0)),AND(LEN(BW551)=8,BX551="",OR(LEFT(BW551,3)="202",ISNUMBER(MATCH(RIGHT(BW551,4),{"2025","2026","2027"},0)))))),OR(AND((LEN(BT551)-LEN(SUBSTITUTE(BT551,"a","")))&gt;=1,(LEN(BN551)-LEN(SUBSTITUTE(BN551,"0","")))&gt;=2,SUMPRODUCT(--ISNUMBER(SEARCH({"a0","a-0","a_0","a/0","a.0","a#0","0a","0-a","0_a","0/a"},BN551)))&gt;0),AND((LEN(BN551)-LEN(SUBSTITUTE(BN551,"a","")))=0,(LEN(BN551)-LEN(SUBSTITUTE(BN551,"0","")))&gt;=5)))),1,0),0)</f>
        <v>0</v>
      </c>
      <c r="CA5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551,"revision",""),"version",""),"jan",""),"feb",""),"mar",""),"apr",""),"may",""),"jun",""),"jul",""),"aug",""),"sep",""),"oct",""),"nov",""),"dec",""),"utc",""),"gmt",""),"myt",""),"bst",""),"rev",""),"ver",""),"b","a"),"c","a"),"d","a"),"e","a"),"f","a"),"g","a"),"h","a"),"i","a"),"j","a"),"k","a"),"l","a"),"m","a"),"n","a"),"o","a"),"p","a"),"q","a"),"r","a"),"s","a"),"t","a"),"u","a"),"v","a"),"w","a"),"x","a"),"y","a"),"z","a")</f>
        <v/>
      </c>
      <c r="CB5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551&amp;""),"a",""),"b",""),"c",""),"d",""),"e",""),"f",""),"g",""),"h",""),"i",""),"j",""),"k",""),"l",""),"m",""),"n",""),"o",""),"p",""),"q",""),"r",""),"s",""),"t",""),"u",""),"v",""),"w",""),"x",""),"y",""),"z",""),"-",""),"_",""),"/",""),".",""),"#",""),"\\",""),":","")," ",""),"(",""),")","")</f>
        <v/>
      </c>
      <c r="CC551" s="0" t="str">
        <f aca="false">" "&amp;TRIM(SUBSTITUTE(SUBSTITUTE(SUBSTITUTE(SUBSTITUTE(SUBSTITUTE(SUBSTITUTE(SUBSTITUTE(SUBSTITUTE(SUBSTITUTE(SUBSTITUTE(SUBSTITUTE(SUBSTITUTE(SUBSTITUTE(SUBSTITUTE(SUBSTITUTE(SUBSTITUTE(SUBSTITUTE(SUBSTITUTE(SUBSTITUTE(SUBSTITUTE(SUBSTITUTE(SUBSTITUTE(SUBSTITUTE(SUBSTITUTE(LOWER(T551&amp;""),CHAR(10)," "),CHAR(13)," "),CHAR(9)," "),CHAR(160)," "),"."," "),","," "),"-"," "),"/"," "),"("," "),")"," "),":"," "),";"," "),"_"," "),"–"," "),"?"," "),"!"," "),"*"," "),"["," "),"]"," "),"'"," "),"#"," "),"+"," "),"&amp;"," "),"\"," "))&amp;" "</f>
        <v>  </v>
      </c>
      <c r="CD551" s="0" t="str">
        <f aca="false">" "&amp;TRIM(SUBSTITUTE(SUBSTITUTE(SUBSTITUTE(SUBSTITUTE(SUBSTITUTE(SUBSTITUTE(SUBSTITUTE(SUBSTITUTE(SUBSTITUTE(SUBSTITUTE(SUBSTITUTE(SUBSTITUTE(SUBSTITUTE(SUBSTITUTE(SUBSTITUTE(SUBSTITUTE(SUBSTITUTE(SUBSTITUTE(SUBSTITUTE(SUBSTITUTE(SUBSTITUTE(SUBSTITUTE(SUBSTITUTE(SUBSTITUTE(LOWER(AE551&amp;""),CHAR(10)," "),CHAR(13)," "),CHAR(9)," "),CHAR(160)," "),"."," "),","," "),"-"," "),"/"," "),"("," "),")"," "),":"," "),";"," "),"_"," "),"–"," "),"?"," "),"!"," "),"*"," "),"["," "),"]"," "),"'"," "),"#"," "),"+"," "),"&amp;"," "),"\"," "))&amp;" "</f>
        <v>  </v>
      </c>
      <c r="CE551" s="68" t="n">
        <f aca="false">IFERROR(IF(AND(LEN(AU551)&gt;0,LEN(AU551)=LEN(AX551),OR(TRIM(MID(SUBSTITUTE(TRIM(CC551)," ",REPT(" ",60)),1,60))="",ISNUMBER(SEARCH(" "&amp;TRIM(MID(SUBSTITUTE(TRIM(CC551)," ",REPT(" ",60)),1,60))&amp;" ",CD551))),OR(TRIM(MID(SUBSTITUTE(TRIM(CC551)," ",REPT(" ",60)),61,60))="",ISNUMBER(SEARCH(" "&amp;TRIM(MID(SUBSTITUTE(TRIM(CC551)," ",REPT(" ",60)),61,60))&amp;" ",CD551))),OR(TRIM(MID(SUBSTITUTE(TRIM(CC551)," ",REPT(" ",60)),121,60))="",ISNUMBER(SEARCH(" "&amp;TRIM(MID(SUBSTITUTE(TRIM(CC551)," ",REPT(" ",60)),121,60))&amp;" ",CD551)))),1,0),0)</f>
        <v>0</v>
      </c>
      <c r="CG551" s="68" t="n">
        <f aca="false">IFERROR(LEN(SUBSTITUTE(BF551," ",""))-SUMPRODUCT((LEN(BF551)-LEN(SUBSTITUTE(BF551," "&amp;L_NAFiller&amp;" "," ")))/(LEN(L_NAFiller)+1)*LEN(L_NAFiller)),0)</f>
        <v>0</v>
      </c>
    </row>
    <row r="552" customFormat="false" ht="41.25" hidden="false" customHeight="true" outlineLevel="0" collapsed="false">
      <c r="A552" s="57" t="s">
        <v>1229</v>
      </c>
      <c r="B552" s="57" t="s">
        <v>290</v>
      </c>
      <c r="C552" s="57" t="str">
        <f aca="false">Flights!$F$21</f>
        <v>MH0073</v>
      </c>
      <c r="D552" s="58" t="n">
        <f aca="false">Flights!$D$21</f>
        <v>46322</v>
      </c>
      <c r="E552" s="57" t="str">
        <f aca="false">Flights!$G$21&amp;"-"&amp;Flights!$H$21</f>
        <v>HKG-KUL</v>
      </c>
      <c r="F552" s="57" t="str">
        <f aca="false">Flights!$K$21</f>
        <v>BC</v>
      </c>
      <c r="G552" s="57" t="s">
        <v>420</v>
      </c>
      <c r="H552" s="57" t="s">
        <v>378</v>
      </c>
      <c r="I552" s="57" t="s">
        <v>499</v>
      </c>
      <c r="J552" s="57" t="s">
        <v>508</v>
      </c>
      <c r="K552" s="67" t="s">
        <v>501</v>
      </c>
      <c r="L552" s="67" t="s">
        <v>1230</v>
      </c>
      <c r="M552" s="67" t="s">
        <v>451</v>
      </c>
      <c r="N552" s="67" t="s">
        <v>383</v>
      </c>
      <c r="O552" s="67" t="s">
        <v>1226</v>
      </c>
      <c r="P552" s="57" t="s">
        <v>282</v>
      </c>
      <c r="Q552" s="59" t="n">
        <f aca="false">ROUND((Flights!$AE$21)*1440,0)/1440</f>
        <v>46321.7847222222</v>
      </c>
      <c r="R552" s="59" t="n">
        <f aca="false">Q552+(IF(AND(INDEX(TZ_DSTS,MATCH(P552,TZ_STN,0))&lt;&gt;"",Q552&gt;=INDEX(TZ_DSTS,MATCH(P552,TZ_STN,0)),Q552&lt;INDEX(TZ_DSTE,MATCH(P552,TZ_STN,0))),INDEX(TZ_DST,MATCH(P552,TZ_STN,0)),INDEX(TZ_STD,MATCH(P552,TZ_STN,0))))/24</f>
        <v>46322.1180555556</v>
      </c>
      <c r="S552" s="60"/>
      <c r="T552" s="60"/>
      <c r="U552" s="60"/>
      <c r="V552" s="60"/>
      <c r="W552" s="61"/>
      <c r="X552" s="60"/>
      <c r="Y552" s="60"/>
      <c r="Z552" s="60"/>
      <c r="AA552" s="60"/>
      <c r="AB552" s="60"/>
      <c r="AC552" s="60"/>
      <c r="AD552" s="66"/>
      <c r="AE552" s="60"/>
      <c r="AF552" s="61" t="str">
        <f aca="false">IF(AND(ISNUMBER(X552),ISNUMBER(Y552)),Y552-X552,"")</f>
        <v/>
      </c>
      <c r="AG552" s="62" t="str">
        <f aca="false">IF(ISNUMBER(AD552),AD552-(IF(AND(INDEX(TZ_DSTS,MATCH(P552,TZ_STN,0))&lt;&gt;"",(AD552-INDEX(TZ_STD,MATCH(P552,TZ_STN,0))/24)&gt;=INDEX(TZ_DSTS,MATCH(P552,TZ_STN,0)),(AD552-INDEX(TZ_STD,MATCH(P552,TZ_STN,0))/24)&lt;INDEX(TZ_DSTE,MATCH(P552,TZ_STN,0))),INDEX(TZ_DST,MATCH(P552,TZ_STN,0)),INDEX(TZ_STD,MATCH(P552,TZ_STN,0))))/24,"")</f>
        <v/>
      </c>
      <c r="AH552" s="65" t="str">
        <f aca="false">IFERROR(IF(N552="N/A – rule",IF(OR(TRIM(U552)="",TRIM(U552)="N/A",TRIM(U552)="Not started"),"N/A – RULE","INVALID – this check does not apply to this aircraft: clear the status (or correct the fleet on Flights)"),IF(TRIM(U552)="N/A",IF(AT552=0,"INVALID – N/A not permitted for this check",IF(AND(TRIM(AB552)&lt;&gt;"",TRIM(AB552)&lt;&gt;"Closed"),"INVALID – corrective action still open",IF(AND(NOT(OR(LEN(AZ552)&lt;15,ISNUMBER(MATCH(AZ552,L_Placeholder,0)))),BK552=0,CG552&gt;=8,NOT(OR(LEN(AU552)&lt;2,ISNUMBER(MATCH(AU552,L_Placeholder,0)))),BR552&gt;=3,NOT(OR(LEN(AX552)&lt;2,ISNUMBER(MATCH(AX552,L_Placeholder,0)))),BS552&gt;=3,TRIM(AE552)&lt;&gt;TRIM(T552),AX552&lt;&gt;AU552,CE552=0),"N/A – JUSTIFIED","INVALID – N/A needs a real, settled reason (not 'not applicable' / 'as above' / TBC), a named PIC and a different named verifier"))),IF(OR(TRIM(U552)="Pass",TRIM(U552)="Pass after CA"),IF(NOT(ISNUMBER(AD552)),"INVALID – completion time missing",IF(OR(OR(LEN(AU552)&lt;2,ISNUMBER(MATCH(AU552,L_Placeholder,0))),BR552&lt;3),"INVALID – PIC missing or not a named person (a role such as QA / CSM is not a name)",IF(OR(LEN(AV552)&lt;2,ISNUMBER(MATCH(AV552,L_Placeholder,0))),"INVALID – result / assessment missing",IF(OR(OR(LEN(AW552)&lt;3,ISNUMBER(MATCH(AW552,L_Placeholder,0))),SUMPRODUCT(--ISNUMBER(SEARCH(" "&amp;L_EvidencePhrase&amp;" ",BD552)))&gt;0,BI552=1),"INVALID – evidence missing, placeholder or not yet on file",IF(ISNA(MATCH(TRIM(S552),L_EvidenceType,0)),"INVALID – choose the evidence type from the list (column S)",IF(BL552=0,"INVALID – evidence ID must be the record's own ID only (e.g. SF-2210, IMG_2231, 1045521); a link / file name needs type 'Link / file path'",IF(OR(OR(LEN(AX552)&lt;2,ISNUMBER(MATCH(AX552,L_Placeholder,0))),BS552&lt;3),"INVALID – verifier missing or not a named person (a role such as QA / CSM is not a name)",IF(OR(AX552=AU552,CE552=1,AND(LEN(AU552)&gt;=4,ISNUMBER(SEARCH(AU552,AX552))),AND(LEN(AX552)&gt;=4,ISNUMBER(SEARCH(AX552,AU552)))),"INVALID – verifier must be a different, named person (not the PIC or a role)",IF(BH552=1,"INVALID – result not yet available (awaiting / TBC)",IF(BG552=1,"INVALID – result describes a problem: record Fail, then Pass after CA (or reword if it is not a problem)",IF(BV552=1,"INVALID – wording says not on board: an on-board confirmation needs the item loaded",IF(AND(AQ552=1,OR(OR(LEN(AY552)&lt;3,ISNUMBER(MATCH(AY552,L_Placeholder,0))),BJ552=1,BQ552=0)),"INVALID – batch ID missing, placeholder or not an ID (e.g. PASB-261008-BC-017)",IF(AND(AR552=1,OR(NOT(ISNUMBER(X552)),NOT(ISNUMBER(Y552)))),"INVALID – expected/actual qty missing",IF(AND(AR552=1,OR(X552&lt;=0,Y552&lt;0)),"INVALID – expected qty must be above 0 and actual not negative",IF(BB552&lt;&gt;"",BB552,IF(AND(AS552=1,Documents!$J$21&lt;&gt;"ON FILE"),"INVALID – GLD not on file (Documents sheet)",IF(AND(AS552=2,Documents!$O$21&lt;&gt;"ON FILE"),"INVALID – menu checklist not on file (Documents sheet)",IF(AND(AS552=3,NOT(ISNUMBER(Flights!$AX$21))),"INVALID – enter carrying flight KUL departure (Flights AX)",IF(AND(AS552=3,OR(Flights!$AZ$21&gt;Flights!$AA$21,Flights!$AX$21&lt;Flights!$AA$21-3)),"INVALID – carrying flight (Flights AX) cannot arrive before this leg's STD, or is over 3 days early",IF(AG552&gt;AsOfUTC,"INVALID – completion time is in the future",IF(AND(ISNUMBER(BY552),AG552&lt;BY552),IF(H552="Physical uplift","INVALID – before uplift window (cannot confirm loading)","INVALID – before valid window"),IF(AG552&gt;Flights!$AA$21,"INVALID – completed after departure (cannot establish readiness)",IF(AND(H552="Preparation",AG552&gt;=IF(ISNUMBER(Flights!$BA$21),MIN(Flights!$BA$21,Flights!$AA$21),Flights!$AA$21)),"INVALID – completed after loading / departure (cannot establish readiness)",IF(AND(H552="Physical uplift",AG552&gt;Q552),"INVALID – recorded after the loading flight departed",IF(AG552&gt;Q552,"COMPLETE – LATE","COMPLETE"))))))))))))))))))))))))),IF(TRIM(U552)="Fail","FAIL – DISCREPANCY",IF(AND(TRIM(U552)&lt;&gt;"",TRIM(U552)&lt;&gt;"Not started",TRIM(U552)&lt;&gt;"In progress"),"INVALID – unrecognised status (use the list)",IF(AsOfUTC&gt;Q552,"OVERDUE",IF(N552="Clarification required","OPEN – CLARIFICATION","OPEN"))))))),"INVALID – error value in an input cell")</f>
        <v>OPEN</v>
      </c>
      <c r="AI552" s="61" t="n">
        <f aca="false">IF(OR(AH552="N/A – RULE",AH552="N/A – JUSTIFIED"),0,1)</f>
        <v>1</v>
      </c>
      <c r="AJ552" s="61" t="n">
        <f aca="false">IF(LEFT(AH552,8)="COMPLETE",1,0)</f>
        <v>0</v>
      </c>
      <c r="AK552" s="61" t="n">
        <f aca="false">IF(AND(AI552=1,AJ552=0,AsOfUTC&gt;Q552),1,0)</f>
        <v>0</v>
      </c>
      <c r="AL552" s="61" t="n">
        <f aca="false">IFERROR(IF(AND(AI552=1,OR(TRIM(U552)="Fail",AND(TRIM(AB552)&lt;&gt;"",TRIM(AB552)&lt;&gt;"Closed"),AND(ISNUMBER(AF552),AF552&lt;&gt;0,TRIM(U552)&lt;&gt;"Pass after CA"))),1,0),1)</f>
        <v>0</v>
      </c>
      <c r="AM552" s="61" t="n">
        <f aca="false">IF(LEFT(AH552,7)="INVALID",1,0)</f>
        <v>0</v>
      </c>
      <c r="AN552" s="61" t="n">
        <f aca="false">IF(AND(N552="Clarification required",AI552=1,AJ552=0),1,0)</f>
        <v>0</v>
      </c>
      <c r="AO552" s="61" t="str">
        <f aca="false">IF(AK552=1,SUM(AK$5:AK552),"")</f>
        <v/>
      </c>
      <c r="AP552" s="61" t="str">
        <f aca="false">IF(AL552=1,SUM(AL$5:AL552),"")</f>
        <v/>
      </c>
      <c r="AQ552" s="61" t="n">
        <v>0</v>
      </c>
      <c r="AR552" s="61" t="n">
        <v>0</v>
      </c>
      <c r="AS552" s="61" t="n">
        <v>0</v>
      </c>
      <c r="AT552" s="61" t="n">
        <v>0</v>
      </c>
      <c r="AU552" s="61" t="str">
        <f aca="false">SUBSTITUTE(SUBSTITUTE(SUBSTITUTE(SUBSTITUTE(SUBSTITUTE(SUBSTITUTE(SUBSTITUTE(SUBSTITUTE(SUBSTITUTE(SUBSTITUTE(SUBSTITUTE(SUBSTITUTE(SUBSTITUTE(SUBSTITUTE(SUBSTITUTE(SUBSTITUTE(LOWER(T552&amp;""),CHAR(10),""),CHAR(13),""),CHAR(9),""),CHAR(160),"")," ",""),".",""),"-",""),"/",""),"?",""),"_",""),",",""),"[",""),"]",""),"(",""),")",""),"*","")</f>
        <v/>
      </c>
      <c r="AV552" s="61" t="str">
        <f aca="false">SUBSTITUTE(SUBSTITUTE(SUBSTITUTE(SUBSTITUTE(SUBSTITUTE(SUBSTITUTE(SUBSTITUTE(SUBSTITUTE(SUBSTITUTE(SUBSTITUTE(SUBSTITUTE(SUBSTITUTE(SUBSTITUTE(SUBSTITUTE(SUBSTITUTE(SUBSTITUTE(LOWER(V552&amp;""),CHAR(10),""),CHAR(13),""),CHAR(9),""),CHAR(160),"")," ",""),".",""),"-",""),"/",""),"?",""),"_",""),",",""),"[",""),"]",""),"(",""),")",""),"*","")</f>
        <v/>
      </c>
      <c r="AW552" s="61" t="str">
        <f aca="false">SUBSTITUTE(SUBSTITUTE(SUBSTITUTE(SUBSTITUTE(SUBSTITUTE(SUBSTITUTE(SUBSTITUTE(SUBSTITUTE(SUBSTITUTE(SUBSTITUTE(SUBSTITUTE(SUBSTITUTE(SUBSTITUTE(SUBSTITUTE(SUBSTITUTE(SUBSTITUTE(LOWER(Z552&amp;""),CHAR(10),""),CHAR(13),""),CHAR(9),""),CHAR(160),"")," ",""),".",""),"-",""),"/",""),"?",""),"_",""),",",""),"[",""),"]",""),"(",""),")",""),"*","")</f>
        <v/>
      </c>
      <c r="AX552" s="61" t="str">
        <f aca="false">SUBSTITUTE(SUBSTITUTE(SUBSTITUTE(SUBSTITUTE(SUBSTITUTE(SUBSTITUTE(SUBSTITUTE(SUBSTITUTE(SUBSTITUTE(SUBSTITUTE(SUBSTITUTE(SUBSTITUTE(SUBSTITUTE(SUBSTITUTE(SUBSTITUTE(SUBSTITUTE(LOWER(AE552&amp;""),CHAR(10),""),CHAR(13),""),CHAR(9),""),CHAR(160),"")," ",""),".",""),"-",""),"/",""),"?",""),"_",""),",",""),"[",""),"]",""),"(",""),")",""),"*","")</f>
        <v/>
      </c>
      <c r="AY552" s="61" t="str">
        <f aca="false">SUBSTITUTE(SUBSTITUTE(SUBSTITUTE(SUBSTITUTE(SUBSTITUTE(SUBSTITUTE(SUBSTITUTE(SUBSTITUTE(SUBSTITUTE(SUBSTITUTE(SUBSTITUTE(SUBSTITUTE(SUBSTITUTE(SUBSTITUTE(SUBSTITUTE(SUBSTITUTE(LOWER(W552&amp;""),CHAR(10),""),CHAR(13),""),CHAR(9),""),CHAR(160),"")," ",""),".",""),"-",""),"/",""),"?",""),"_",""),",",""),"[",""),"]",""),"(",""),")",""),"*","")</f>
        <v/>
      </c>
      <c r="AZ552" s="61" t="str">
        <f aca="false">SUBSTITUTE(SUBSTITUTE(SUBSTITUTE(SUBSTITUTE(SUBSTITUTE(SUBSTITUTE(SUBSTITUTE(SUBSTITUTE(SUBSTITUTE(SUBSTITUTE(SUBSTITUTE(SUBSTITUTE(SUBSTITUTE(SUBSTITUTE(SUBSTITUTE(SUBSTITUTE(LOWER(AC552&amp;""),CHAR(10),""),CHAR(13),""),CHAR(9),""),CHAR(160),"")," ",""),".",""),"-",""),"/",""),"?",""),"_",""),",",""),"[",""),"]",""),"(",""),")",""),"*","")</f>
        <v/>
      </c>
      <c r="BA552" s="61" t="str">
        <f aca="false">SUBSTITUTE(SUBSTITUTE(SUBSTITUTE(SUBSTITUTE(SUBSTITUTE(SUBSTITUTE(SUBSTITUTE(SUBSTITUTE(SUBSTITUTE(SUBSTITUTE(SUBSTITUTE(SUBSTITUTE(SUBSTITUTE(SUBSTITUTE(SUBSTITUTE(SUBSTITUTE(LOWER(AA552&amp;""),CHAR(10),""),CHAR(13),""),CHAR(9),""),CHAR(160),"")," ",""),".",""),"-",""),"/",""),"?",""),"_",""),",",""),"[",""),"]",""),"(",""),")",""),"*","")</f>
        <v/>
      </c>
      <c r="BB552" s="61" t="str">
        <f aca="false">IF(AND(TRIM(U552)="Pass",ISNUMBER(AF552)),IF(AF552&lt;&gt;0,"INVALID – qty variance: use Fail or Pass after CA",""),"")&amp;IF(AND(TRIM(U552)="Pass after CA",ISNUMBER(AF552)),IF(AF552&lt;&gt;0,"INVALID – after the corrective action the actual qty must equal expected (update Actual)",""),"")&amp;IF(AND(TRIM(U552)="Pass",TRIM(AB552)&lt;&gt;"",TRIM(AB552)&lt;&gt;"Closed"),"INVALID – corrective action not closed: use Fail, then Pass after CA","")&amp;IF(AND(LEN(BA552)&gt;=2,ISNA(MATCH(LEFT(BA552,255),L_Placeholder,0)),TRIM(AB552)=""),"INVALID – CA status missing for the recorded corrective action","")&amp;IF(AND(TRIM(U552)="Pass after CA",OR(OR(LEN(BA552)&lt;5,ISNUMBER(MATCH(BA552,L_Placeholder,0))),TRIM(AB552)&lt;&gt;"Closed")),"INVALID – corrective action not recorded/closed","")</f>
        <v/>
      </c>
      <c r="BC552" s="61" t="str">
        <f aca="false">" "&amp;TRIM(SUBSTITUTE(SUBSTITUTE(SUBSTITUTE(SUBSTITUTE(SUBSTITUTE(SUBSTITUTE(SUBSTITUTE(SUBSTITUTE(SUBSTITUTE(SUBSTITUTE(SUBSTITUTE(SUBSTITUTE(SUBSTITUTE(SUBSTITUTE(SUBSTITUTE(SUBSTITUTE(SUBSTITUTE(SUBSTITUTE(SUBSTITUTE(SUBSTITUTE(SUBSTITUTE(SUBSTITUTE(SUBSTITUTE(SUBSTITUTE(LOWER(V552&amp;""),CHAR(10)," "),CHAR(13)," "),CHAR(9)," "),CHAR(160)," "),"."," "),","," "),"-"," "),"/"," "),"("," "),")"," "),":"," "),";"," "),"_"," "),"–"," "),"?"," "),"!"," "),"*"," "),"["," "),"]"," "),"'"," "),"#"," "),"+"," "),"&amp;"," "),"\"," "))&amp;" "</f>
        <v>  </v>
      </c>
      <c r="BD552" s="61" t="str">
        <f aca="false">" "&amp;TRIM(SUBSTITUTE(SUBSTITUTE(SUBSTITUTE(SUBSTITUTE(SUBSTITUTE(SUBSTITUTE(SUBSTITUTE(SUBSTITUTE(SUBSTITUTE(SUBSTITUTE(SUBSTITUTE(SUBSTITUTE(SUBSTITUTE(SUBSTITUTE(SUBSTITUTE(SUBSTITUTE(SUBSTITUTE(SUBSTITUTE(SUBSTITUTE(SUBSTITUTE(SUBSTITUTE(SUBSTITUTE(SUBSTITUTE(SUBSTITUTE(LOWER(Z552&amp;""),CHAR(10)," "),CHAR(13)," "),CHAR(9)," "),CHAR(160)," "),"."," "),","," "),"-"," "),"/"," "),"("," "),")"," "),":"," "),";"," "),"_"," "),"–"," "),"?"," "),"!"," "),"*"," "),"["," "),"]"," "),"'"," "),"#"," "),"+"," "),"&amp;"," "),"\"," "))&amp;" "</f>
        <v>  </v>
      </c>
      <c r="BE552" s="61" t="str">
        <f aca="false">" "&amp;TRIM(SUBSTITUTE(SUBSTITUTE(SUBSTITUTE(SUBSTITUTE(SUBSTITUTE(SUBSTITUTE(SUBSTITUTE(SUBSTITUTE(SUBSTITUTE(SUBSTITUTE(SUBSTITUTE(SUBSTITUTE(SUBSTITUTE(SUBSTITUTE(SUBSTITUTE(SUBSTITUTE(SUBSTITUTE(SUBSTITUTE(SUBSTITUTE(SUBSTITUTE(SUBSTITUTE(SUBSTITUTE(SUBSTITUTE(SUBSTITUTE(LOWER(W552&amp;""),CHAR(10)," "),CHAR(13)," "),CHAR(9)," "),CHAR(160)," "),"."," "),","," "),"-"," "),"/"," "),"("," "),")"," "),":"," "),";"," "),"_"," "),"–"," "),"?"," "),"!"," "),"*"," "),"["," "),"]"," "),"'"," "),"#"," "),"+"," "),"&amp;"," "),"\"," "))&amp;" "</f>
        <v>  </v>
      </c>
      <c r="BF552" s="61" t="str">
        <f aca="false">" "&amp;TRIM(SUBSTITUTE(SUBSTITUTE(SUBSTITUTE(SUBSTITUTE(SUBSTITUTE(SUBSTITUTE(SUBSTITUTE(SUBSTITUTE(SUBSTITUTE(SUBSTITUTE(SUBSTITUTE(SUBSTITUTE(SUBSTITUTE(SUBSTITUTE(SUBSTITUTE(SUBSTITUTE(SUBSTITUTE(SUBSTITUTE(SUBSTITUTE(SUBSTITUTE(SUBSTITUTE(SUBSTITUTE(SUBSTITUTE(SUBSTITUTE(LOWER(AC552&amp;""),CHAR(10)," "),CHAR(13)," "),CHAR(9)," "),CHAR(160)," "),"."," "),","," "),"-"," "),"/"," "),"("," "),")"," "),":"," "),";"," "),"_"," "),"–"," "),"?"," "),"!"," "),"*"," "),"["," "),"]"," "),"'"," "),"#"," "),"+"," "),"&amp;"," "),"\"," "))&amp;" "</f>
        <v>  </v>
      </c>
      <c r="BG552" s="61" t="n">
        <f aca="false">IFERROR(IF(AND(TRIM(U552)="Pass",SUMPRODUCT((LEN(BC552)-LEN(SUBSTITUTE(BC552," "&amp;L_ResultBad&amp;" "," ")))/(LEN(L_ResultBad)+1))&gt;SUMPRODUCT((LEN(BC552)-LEN(SUBSTITUTE(BC552," "&amp;L_NegPhrase&amp;" "," ")))/(LEN(L_NegPhrase)+1))),1,0),0)</f>
        <v>0</v>
      </c>
      <c r="BH552" s="61" t="n">
        <f aca="false">IFERROR(IF(SUMPRODUCT((LEN(BC552)-LEN(SUBSTITUTE(BC552," "&amp;L_Pending&amp;" "," ")))/(LEN(L_Pending)+1))&gt;SUMPRODUCT((LEN(BC552)-LEN(SUBSTITUTE(BC552," "&amp;L_PendNeg&amp;" "," ")))/(LEN(L_PendNeg)+1))+SUMPRODUCT((LEN(BC552)-LEN(SUBSTITUTE(BC552," "&amp;L_PendPrep&amp;" "," ")))/(LEN(L_PendPrep)+1)),1,0),1)</f>
        <v>0</v>
      </c>
      <c r="BI552" s="61" t="n">
        <f aca="false">IFERROR(IF(SUMPRODUCT((LEN(BD552)-LEN(SUBSTITUTE(BD552," "&amp;L_PendStrict&amp;" "," ")))/(LEN(L_PendStrict)+1))&gt;SUMPRODUCT((LEN(BD552)-LEN(SUBSTITUTE(BD552," "&amp;L_PendNeg&amp;" "," ")))/(LEN(L_PendNeg)+1)),1,0),1)</f>
        <v>0</v>
      </c>
      <c r="BJ552" s="61" t="n">
        <f aca="false">IFERROR(IF(SUMPRODUCT((LEN(BE552)-LEN(SUBSTITUTE(BE552," "&amp;L_Pending&amp;" "," ")))/(LEN(L_Pending)+1))&gt;SUMPRODUCT((LEN(BE552)-LEN(SUBSTITUTE(BE552," "&amp;L_PendNeg&amp;" "," ")))/(LEN(L_PendNeg)+1))+SUMPRODUCT((LEN(BE552)-LEN(SUBSTITUTE(BE552," "&amp;L_PendPrep&amp;" "," ")))/(LEN(L_PendPrep)+1)),1,0),1)</f>
        <v>0</v>
      </c>
      <c r="BK552" s="61" t="n">
        <f aca="false">IFERROR(IF(SUMPRODUCT((LEN(BF552)-LEN(SUBSTITUTE(BF552," "&amp;L_PendStrict&amp;" "," ")))/(LEN(L_PendStrict)+1))&gt;SUMPRODUCT((LEN(BF552)-LEN(SUBSTITUTE(BF552," "&amp;L_PendNeg&amp;" "," ")))/(LEN(L_PendNeg)+1)),1,0),1)</f>
        <v>0</v>
      </c>
      <c r="BL552" s="61" t="n">
        <f aca="false">IF(ISNA(MATCH(TRIM(S552),L_EvidenceType,0)),0,BZ552)</f>
        <v>0</v>
      </c>
      <c r="BM552" s="61" t="str">
        <f aca="false">SUBSTITUTE(SUBSTITUTE(SUBSTITUTE(SUBSTITUTE(SUBSTITUTE(SUBSTITUTE(SUBSTITUTE(SUBSTITUTE(SUBSTITUTE(LOWER(Z552&amp;""),"1","0"),"2","0"),"3","0"),"4","0"),"5","0"),"6","0"),"7","0"),"8","0"),"9","0")</f>
        <v/>
      </c>
      <c r="BN552" s="61" t="str">
        <f aca="false">SUBSTITUTE(SUBSTITUTE(SUBSTITUTE(SUBSTITUTE(SUBSTITUTE(SUBSTITUTE(SUBSTITUTE(SUBSTITUTE(SUBSTITUTE(SUBSTITUTE(SUBSTITUTE(SUBSTITUTE(SUBSTITUTE(SUBSTITUTE(SUBSTITUTE(SUBSTITUTE(SUBSTITUTE(SUBSTITUTE(SUBSTITUTE(SUBSTITUTE(SUBSTITUTE(SUBSTITUTE(SUBSTITUTE(SUBSTITUTE(SUBSTITUTE(BM552,"b","a"),"c","a"),"d","a"),"e","a"),"f","a"),"g","a"),"h","a"),"i","a"),"j","a"),"k","a"),"l","a"),"m","a"),"n","a"),"o","a"),"p","a"),"q","a"),"r","a"),"s","a"),"t","a"),"u","a"),"v","a"),"w","a"),"x","a"),"y","a"),"z","a")</f>
        <v/>
      </c>
      <c r="BO552" s="61" t="str">
        <f aca="false">SUBSTITUTE(SUBSTITUTE(SUBSTITUTE(SUBSTITUTE(SUBSTITUTE(SUBSTITUTE(SUBSTITUTE(SUBSTITUTE(SUBSTITUTE(LOWER(W552&amp;""),"1","0"),"2","0"),"3","0"),"4","0"),"5","0"),"6","0"),"7","0"),"8","0"),"9","0")</f>
        <v/>
      </c>
      <c r="BP552" s="61" t="str">
        <f aca="false">SUBSTITUTE(SUBSTITUTE(SUBSTITUTE(SUBSTITUTE(SUBSTITUTE(SUBSTITUTE(SUBSTITUTE(SUBSTITUTE(SUBSTITUTE(SUBSTITUTE(SUBSTITUTE(SUBSTITUTE(SUBSTITUTE(SUBSTITUTE(SUBSTITUTE(SUBSTITUTE(SUBSTITUTE(SUBSTITUTE(SUBSTITUTE(SUBSTITUTE(SUBSTITUTE(SUBSTITUTE(SUBSTITUTE(SUBSTITUTE(SUBSTITUTE(BO552,"b","a"),"c","a"),"d","a"),"e","a"),"f","a"),"g","a"),"h","a"),"i","a"),"j","a"),"k","a"),"l","a"),"m","a"),"n","a"),"o","a"),"p","a"),"q","a"),"r","a"),"s","a"),"t","a"),"u","a"),"v","a"),"w","a"),"x","a"),"y","a"),"z","a")</f>
        <v/>
      </c>
      <c r="BQ552" s="61" t="n">
        <f aca="false">IFERROR(IF(AND(ISERROR(SEARCH(" mh"," "&amp;LOWER(W552))),ISNA(MATCH(LEFT(TRIM(BP552),255),{"0000a","000a","00a","0000aa","000aa","00aa","0aa","0000aaa","000aaa","00a00","0a00","0000-0000","00:00","a00","a0","00.00.0000","00/00/0000","00-00-0000","0000-00-00","0000/00/00","0000.00.00","00.00.00","00/00/00","00-00-00","0.00.0000","0/00/0000","0-00-0000"},0)),ISNA(MATCH(LEFT(TRIM(CA552),255),{"0000a","000a","00a","0000aa","000aa","00aa","0aa","0000aaa","000aaa","00a00","0a00","0000-0000","00:00","a00","a0","00.00.0000","00/00/0000","00-00-0000","0000-00-00","0000/00/00","0000.00.00","00.00.00","00/00/00","00-00-00","0.00.0000","0/00/0000","0-00-0000"},0)),LEN(CB552)&gt;=3,NOT(OR(SUBSTITUTE(CB552,"0","")="",AND(LEN(CB552)&gt;=4,CB552=REPT(LEFT(CB552),LEN(CB552))),ISNUMBER(MATCH(CB552,{"123","1234","12345","123456","1234567","12345678","0123","01234","012345","98765","987654","54321"},0)),AND(LEN(CB552)=8,LEFT(CB552,3)="202"))),OR(AND((LEN(CA552)-LEN(SUBSTITUTE(CA552,"a","")))&gt;=1,SUMPRODUCT(--ISNUMBER(SEARCH({"a0","a-0","a_0","a/0","a.0","a#0","0a","0-a","0_a","0/a"},BP552)))&gt;0),ISNUMBER(SEARCH("000000",BP552)))),1,0),0)</f>
        <v>0</v>
      </c>
      <c r="BR552" s="61" t="n">
        <f aca="false">IFERROR(LEN(SUBSTITUTE(CC552," ",""))-SUMPRODUCT((LEN(CC552)-LEN(SUBSTITUTE(CC552," "&amp;L_Role&amp;" "," ")))/(LEN(L_Role)+1)*LEN(L_Role)),0)</f>
        <v>0</v>
      </c>
      <c r="BS552" s="61" t="n">
        <f aca="false">IFERROR(LEN(SUBSTITUTE(CD552," ",""))-SUMPRODUCT((LEN(CD552)-LEN(SUBSTITUTE(CD552," "&amp;L_Role&amp;" "," ")))/(LEN(L_Role)+1)*LEN(L_Role)),0)</f>
        <v>0</v>
      </c>
      <c r="BT5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552,"revision",""),"version",""),"jan",""),"feb",""),"mar",""),"apr",""),"may",""),"jun",""),"jul",""),"aug",""),"sep",""),"oct",""),"nov",""),"dec",""),"utc",""),"gmt",""),"myt",""),"bst",""),"rev",""),"ver",""),"b","a"),"c","a"),"d","a"),"e","a"),"f","a"),"g","a"),"h","a"),"i","a"),"j","a"),"k","a"),"l","a"),"m","a"),"n","a"),"o","a"),"p","a"),"q","a"),"r","a"),"s","a"),"t","a"),"u","a"),"v","a"),"w","a"),"x","a"),"y","a"),"z","a")</f>
        <v/>
      </c>
      <c r="BU552" s="61" t="str">
        <f aca="false">SUBSTITUTE(SUBSTITUTE(SUBSTITUTE(SUBSTITUTE(SUBSTITUTE(SUBSTITUTE(SUBSTITUTE(SUBSTITUTE(SUBSTITUTE(SUBSTITUTE(LEFT(BM552,FIND("0",BM552&amp;"0")-1),"-",""),"_",""),"/",""),".",""),"#",""),"\\",""),":","")," ",""),"(",""),")","")</f>
        <v/>
      </c>
      <c r="BV552" s="61" t="n">
        <f aca="false">0</f>
        <v>0</v>
      </c>
      <c r="BW5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552&amp;""),"a",""),"b",""),"c",""),"d",""),"e",""),"f",""),"g",""),"h",""),"i",""),"j",""),"k",""),"l",""),"m",""),"n",""),"o",""),"p",""),"q",""),"r",""),"s",""),"t",""),"u",""),"v",""),"w",""),"x",""),"y",""),"z",""),"-",""),"_",""),"/",""),".",""),"#",""),"\\",""),":","")," ",""),"(",""),")","")</f>
        <v/>
      </c>
      <c r="BX552" s="61" t="str">
        <f aca="false">SUBSTITUTE(SUBSTITUTE(SUBSTITUTE(SUBSTITUTE(SUBSTITUTE(SUBSTITUTE(SUBSTITUTE(SUBSTITUTE(SUBSTITUTE(SUBSTITUTE(SUBSTITUTE(BM552,"0",""),"-",""),"_",""),"/",""),".",""),"#",""),"\\",""),":","")," ",""),"(",""),")","")</f>
        <v/>
      </c>
      <c r="BY552" s="62" t="n">
        <f aca="false">Q552-T12EarlyH/24</f>
        <v>46321.2847222222</v>
      </c>
      <c r="BZ552" s="61" t="n">
        <f aca="false">IFERROR(IF(IF(TRIM(S552)="Link / file path",AND(LEN(TRIM(Z552))&gt;=5,SUMPRODUCT(--ISNUMBER(SEARCH({"http","www.","\\",":\",".pdf",".jpg",".jpeg",".png",".heic",".xls",".doc",".msg",".eml",".ppt",".txt",".zip"},Z552)))&gt;0),AND(ISERROR(FIND(" ",TRIM(Z552))),NOT(OR(SUMPRODUCT(--ISNUMBER(FIND({",",";","&amp;","+"},Z552)))&gt;0,SUMPRODUCT(--ISNUMBER(SEARCH({"0/aa","0\\aa"},BN552)))&gt;0)),NOT(SUMPRODUCT(--ISNUMBER(SEARCH({"http","www.","\\",":\",".pdf",".jpg",".jpeg",".png",".heic",".xls",".doc",".msg",".eml",".ppt",".txt",".zip"},Z552)))&gt;0),NOT(LOWER(TRIM(Z552))=LOWER(Flights!$F$21)),ISNA(MATCH(BU552,{"mh","rev","revision","ver","version","v","r","a","b","seat","tray","row","gate","bay","stand","page","pg","item","line","no","cart","galley","flight","flt","table","box","bag","oven","etd","eta","std","sta","atd","ata","qty","pax","x","time","tel","ph","mob","day","wk","week","utc","gmt","myt","lt"},0)),NOT(OR(ISNUMBER(MATCH(LEFT(BN552,255),{"0000a","000a","00a","0000aa","000aa","00aa","0aa","0000aaa","000aaa","00a00","0a00","0000-0000","00:00","a00","a0","00.00.0000","00/00/0000","00-00-0000","0000-00-00","0000/00/00","0000.00.00","00.00.00","00/00/00","00-00-00","0.00.0000","0/00/0000","0-00-0000"},0)),ISNUMBER(MATCH(LEFT(BT552,255),{"0000a","000a","00a","0000aa","000aa","00aa","0aa","0000aaa","000aaa","00a00","0a00","0000-0000","00:00","a00","a0","00.00.0000","00/00/0000","00-00-0000","0000-00-00","0000/00/00","0000.00.00","00.00.00","00/00/00","00-00-00","0.00.0000","0/00/0000","0-00-0000"},0)))),NOT(OR(AND(BW552&lt;&gt;"",SUBSTITUTE(BW552,"0","")=""),AND(LEN(BW552)&gt;=4,BW552=REPT(LEFT(BW552),LEN(BW552))),ISNUMBER(MATCH(BW552,{"123","1234","12345","123456","1234567","12345678","0123","01234","012345","98765","987654","54321"},0)),ISNUMBER(MATCH(BX552,{"x","xx","xxx","xxxx","xxxxx","abc","abcd","nil","na","nan","test","tbc","tba","tbd","dummy","sample","example","eg","zz","zzz","none","null","xyz","qwe","asd","id","ref"},0)),AND(LEN(BW552)=8,BX552="",OR(LEFT(BW552,3)="202",ISNUMBER(MATCH(RIGHT(BW552,4),{"2025","2026","2027"},0)))))),OR(AND((LEN(BT552)-LEN(SUBSTITUTE(BT552,"a","")))&gt;=1,(LEN(BN552)-LEN(SUBSTITUTE(BN552,"0","")))&gt;=2,SUMPRODUCT(--ISNUMBER(SEARCH({"a0","a-0","a_0","a/0","a.0","a#0","0a","0-a","0_a","0/a"},BN552)))&gt;0),AND((LEN(BN552)-LEN(SUBSTITUTE(BN552,"a","")))=0,(LEN(BN552)-LEN(SUBSTITUTE(BN552,"0","")))&gt;=5)))),1,0),0)</f>
        <v>0</v>
      </c>
      <c r="CA5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552,"revision",""),"version",""),"jan",""),"feb",""),"mar",""),"apr",""),"may",""),"jun",""),"jul",""),"aug",""),"sep",""),"oct",""),"nov",""),"dec",""),"utc",""),"gmt",""),"myt",""),"bst",""),"rev",""),"ver",""),"b","a"),"c","a"),"d","a"),"e","a"),"f","a"),"g","a"),"h","a"),"i","a"),"j","a"),"k","a"),"l","a"),"m","a"),"n","a"),"o","a"),"p","a"),"q","a"),"r","a"),"s","a"),"t","a"),"u","a"),"v","a"),"w","a"),"x","a"),"y","a"),"z","a")</f>
        <v/>
      </c>
      <c r="CB5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552&amp;""),"a",""),"b",""),"c",""),"d",""),"e",""),"f",""),"g",""),"h",""),"i",""),"j",""),"k",""),"l",""),"m",""),"n",""),"o",""),"p",""),"q",""),"r",""),"s",""),"t",""),"u",""),"v",""),"w",""),"x",""),"y",""),"z",""),"-",""),"_",""),"/",""),".",""),"#",""),"\\",""),":","")," ",""),"(",""),")","")</f>
        <v/>
      </c>
      <c r="CC552" s="0" t="str">
        <f aca="false">" "&amp;TRIM(SUBSTITUTE(SUBSTITUTE(SUBSTITUTE(SUBSTITUTE(SUBSTITUTE(SUBSTITUTE(SUBSTITUTE(SUBSTITUTE(SUBSTITUTE(SUBSTITUTE(SUBSTITUTE(SUBSTITUTE(SUBSTITUTE(SUBSTITUTE(SUBSTITUTE(SUBSTITUTE(SUBSTITUTE(SUBSTITUTE(SUBSTITUTE(SUBSTITUTE(SUBSTITUTE(SUBSTITUTE(SUBSTITUTE(SUBSTITUTE(LOWER(T552&amp;""),CHAR(10)," "),CHAR(13)," "),CHAR(9)," "),CHAR(160)," "),"."," "),","," "),"-"," "),"/"," "),"("," "),")"," "),":"," "),";"," "),"_"," "),"–"," "),"?"," "),"!"," "),"*"," "),"["," "),"]"," "),"'"," "),"#"," "),"+"," "),"&amp;"," "),"\"," "))&amp;" "</f>
        <v>  </v>
      </c>
      <c r="CD552" s="0" t="str">
        <f aca="false">" "&amp;TRIM(SUBSTITUTE(SUBSTITUTE(SUBSTITUTE(SUBSTITUTE(SUBSTITUTE(SUBSTITUTE(SUBSTITUTE(SUBSTITUTE(SUBSTITUTE(SUBSTITUTE(SUBSTITUTE(SUBSTITUTE(SUBSTITUTE(SUBSTITUTE(SUBSTITUTE(SUBSTITUTE(SUBSTITUTE(SUBSTITUTE(SUBSTITUTE(SUBSTITUTE(SUBSTITUTE(SUBSTITUTE(SUBSTITUTE(SUBSTITUTE(LOWER(AE552&amp;""),CHAR(10)," "),CHAR(13)," "),CHAR(9)," "),CHAR(160)," "),"."," "),","," "),"-"," "),"/"," "),"("," "),")"," "),":"," "),";"," "),"_"," "),"–"," "),"?"," "),"!"," "),"*"," "),"["," "),"]"," "),"'"," "),"#"," "),"+"," "),"&amp;"," "),"\"," "))&amp;" "</f>
        <v>  </v>
      </c>
      <c r="CE552" s="68" t="n">
        <f aca="false">IFERROR(IF(AND(LEN(AU552)&gt;0,LEN(AU552)=LEN(AX552),OR(TRIM(MID(SUBSTITUTE(TRIM(CC552)," ",REPT(" ",60)),1,60))="",ISNUMBER(SEARCH(" "&amp;TRIM(MID(SUBSTITUTE(TRIM(CC552)," ",REPT(" ",60)),1,60))&amp;" ",CD552))),OR(TRIM(MID(SUBSTITUTE(TRIM(CC552)," ",REPT(" ",60)),61,60))="",ISNUMBER(SEARCH(" "&amp;TRIM(MID(SUBSTITUTE(TRIM(CC552)," ",REPT(" ",60)),61,60))&amp;" ",CD552))),OR(TRIM(MID(SUBSTITUTE(TRIM(CC552)," ",REPT(" ",60)),121,60))="",ISNUMBER(SEARCH(" "&amp;TRIM(MID(SUBSTITUTE(TRIM(CC552)," ",REPT(" ",60)),121,60))&amp;" ",CD552)))),1,0),0)</f>
        <v>0</v>
      </c>
      <c r="CG552" s="68" t="n">
        <f aca="false">IFERROR(LEN(SUBSTITUTE(BF552," ",""))-SUMPRODUCT((LEN(BF552)-LEN(SUBSTITUTE(BF552," "&amp;L_NAFiller&amp;" "," ")))/(LEN(L_NAFiller)+1)*LEN(L_NAFiller)),0)</f>
        <v>0</v>
      </c>
    </row>
    <row r="553" customFormat="false" ht="116.25" hidden="false" customHeight="true" outlineLevel="0" collapsed="false">
      <c r="A553" s="57" t="s">
        <v>1231</v>
      </c>
      <c r="B553" s="57" t="s">
        <v>290</v>
      </c>
      <c r="C553" s="57" t="str">
        <f aca="false">Flights!$F$21</f>
        <v>MH0073</v>
      </c>
      <c r="D553" s="58" t="n">
        <f aca="false">Flights!$D$21</f>
        <v>46322</v>
      </c>
      <c r="E553" s="57" t="str">
        <f aca="false">Flights!$G$21&amp;"-"&amp;Flights!$H$21</f>
        <v>HKG-KUL</v>
      </c>
      <c r="F553" s="57" t="str">
        <f aca="false">Flights!$K$21</f>
        <v>BC</v>
      </c>
      <c r="G553" s="57" t="s">
        <v>420</v>
      </c>
      <c r="H553" s="57" t="s">
        <v>378</v>
      </c>
      <c r="I553" s="57" t="s">
        <v>499</v>
      </c>
      <c r="J553" s="57" t="s">
        <v>511</v>
      </c>
      <c r="K553" s="67" t="s">
        <v>501</v>
      </c>
      <c r="L553" s="67" t="s">
        <v>1232</v>
      </c>
      <c r="M553" s="67" t="s">
        <v>451</v>
      </c>
      <c r="N553" s="67" t="s">
        <v>444</v>
      </c>
      <c r="O553" s="67" t="s">
        <v>1233</v>
      </c>
      <c r="P553" s="57" t="s">
        <v>282</v>
      </c>
      <c r="Q553" s="59" t="n">
        <f aca="false">ROUND((Flights!$AE$21)*1440,0)/1440</f>
        <v>46321.7847222222</v>
      </c>
      <c r="R553" s="59" t="n">
        <f aca="false">Q553+(IF(AND(INDEX(TZ_DSTS,MATCH(P553,TZ_STN,0))&lt;&gt;"",Q553&gt;=INDEX(TZ_DSTS,MATCH(P553,TZ_STN,0)),Q553&lt;INDEX(TZ_DSTE,MATCH(P553,TZ_STN,0))),INDEX(TZ_DST,MATCH(P553,TZ_STN,0)),INDEX(TZ_STD,MATCH(P553,TZ_STN,0))))/24</f>
        <v>46322.1180555556</v>
      </c>
      <c r="S553" s="60"/>
      <c r="T553" s="60"/>
      <c r="U553" s="60"/>
      <c r="V553" s="60"/>
      <c r="W553" s="61"/>
      <c r="X553" s="60"/>
      <c r="Y553" s="60"/>
      <c r="Z553" s="60"/>
      <c r="AA553" s="60"/>
      <c r="AB553" s="60"/>
      <c r="AC553" s="60"/>
      <c r="AD553" s="66"/>
      <c r="AE553" s="60"/>
      <c r="AF553" s="61" t="str">
        <f aca="false">IF(AND(ISNUMBER(X553),ISNUMBER(Y553)),Y553-X553,"")</f>
        <v/>
      </c>
      <c r="AG553" s="62" t="str">
        <f aca="false">IF(ISNUMBER(AD553),AD553-(IF(AND(INDEX(TZ_DSTS,MATCH(P553,TZ_STN,0))&lt;&gt;"",(AD553-INDEX(TZ_STD,MATCH(P553,TZ_STN,0))/24)&gt;=INDEX(TZ_DSTS,MATCH(P553,TZ_STN,0)),(AD553-INDEX(TZ_STD,MATCH(P553,TZ_STN,0))/24)&lt;INDEX(TZ_DSTE,MATCH(P553,TZ_STN,0))),INDEX(TZ_DST,MATCH(P553,TZ_STN,0)),INDEX(TZ_STD,MATCH(P553,TZ_STN,0))))/24,"")</f>
        <v/>
      </c>
      <c r="AH553" s="65" t="str">
        <f aca="false">IFERROR(IF(N553="N/A – rule",IF(OR(TRIM(U553)="",TRIM(U553)="N/A",TRIM(U553)="Not started"),"N/A – RULE","INVALID – this check does not apply to this aircraft: clear the status (or correct the fleet on Flights)"),IF(TRIM(U553)="N/A",IF(AT553=0,"INVALID – N/A not permitted for this check",IF(AND(TRIM(AB553)&lt;&gt;"",TRIM(AB553)&lt;&gt;"Closed"),"INVALID – corrective action still open",IF(AND(NOT(OR(LEN(AZ553)&lt;15,ISNUMBER(MATCH(AZ553,L_Placeholder,0)))),BK553=0,CG553&gt;=8,NOT(OR(LEN(AU553)&lt;2,ISNUMBER(MATCH(AU553,L_Placeholder,0)))),BR553&gt;=3,NOT(OR(LEN(AX553)&lt;2,ISNUMBER(MATCH(AX553,L_Placeholder,0)))),BS553&gt;=3,TRIM(AE553)&lt;&gt;TRIM(T553),AX553&lt;&gt;AU553,CE553=0),"N/A – JUSTIFIED","INVALID – N/A needs a real, settled reason (not 'not applicable' / 'as above' / TBC), a named PIC and a different named verifier"))),IF(OR(TRIM(U553)="Pass",TRIM(U553)="Pass after CA"),IF(NOT(ISNUMBER(AD553)),"INVALID – completion time missing",IF(OR(OR(LEN(AU553)&lt;2,ISNUMBER(MATCH(AU553,L_Placeholder,0))),BR553&lt;3),"INVALID – PIC missing or not a named person (a role such as QA / CSM is not a name)",IF(OR(LEN(AV553)&lt;2,ISNUMBER(MATCH(AV553,L_Placeholder,0))),"INVALID – result / assessment missing",IF(OR(OR(LEN(AW553)&lt;3,ISNUMBER(MATCH(AW553,L_Placeholder,0))),SUMPRODUCT(--ISNUMBER(SEARCH(" "&amp;L_EvidencePhrase&amp;" ",BD553)))&gt;0,BI553=1),"INVALID – evidence missing, placeholder or not yet on file",IF(ISNA(MATCH(TRIM(S553),L_EvidenceType,0)),"INVALID – choose the evidence type from the list (column S)",IF(BL553=0,"INVALID – evidence ID must be the record's own ID only (e.g. SF-2210, IMG_2231, 1045521); a link / file name needs type 'Link / file path'",IF(OR(OR(LEN(AX553)&lt;2,ISNUMBER(MATCH(AX553,L_Placeholder,0))),BS553&lt;3),"INVALID – verifier missing or not a named person (a role such as QA / CSM is not a name)",IF(OR(AX553=AU553,CE553=1,AND(LEN(AU553)&gt;=4,ISNUMBER(SEARCH(AU553,AX553))),AND(LEN(AX553)&gt;=4,ISNUMBER(SEARCH(AX553,AU553)))),"INVALID – verifier must be a different, named person (not the PIC or a role)",IF(BH553=1,"INVALID – result not yet available (awaiting / TBC)",IF(BG553=1,"INVALID – result describes a problem: record Fail, then Pass after CA (or reword if it is not a problem)",IF(BV553=1,"INVALID – wording says not on board: an on-board confirmation needs the item loaded",IF(AND(AQ553=1,OR(OR(LEN(AY553)&lt;3,ISNUMBER(MATCH(AY553,L_Placeholder,0))),BJ553=1,BQ553=0)),"INVALID – batch ID missing, placeholder or not an ID (e.g. PASB-261008-BC-017)",IF(AND(AR553=1,OR(NOT(ISNUMBER(X553)),NOT(ISNUMBER(Y553)))),"INVALID – expected/actual qty missing",IF(AND(AR553=1,OR(X553&lt;=0,Y553&lt;0)),"INVALID – expected qty must be above 0 and actual not negative",IF(BB553&lt;&gt;"",BB553,IF(AND(AS553=1,Documents!$J$21&lt;&gt;"ON FILE"),"INVALID – GLD not on file (Documents sheet)",IF(AND(AS553=2,Documents!$O$21&lt;&gt;"ON FILE"),"INVALID – menu checklist not on file (Documents sheet)",IF(AND(AS553=3,NOT(ISNUMBER(Flights!$AX$21))),"INVALID – enter carrying flight KUL departure (Flights AX)",IF(AND(AS553=3,OR(Flights!$AZ$21&gt;Flights!$AA$21,Flights!$AX$21&lt;Flights!$AA$21-3)),"INVALID – carrying flight (Flights AX) cannot arrive before this leg's STD, or is over 3 days early",IF(AG553&gt;AsOfUTC,"INVALID – completion time is in the future",IF(AND(ISNUMBER(BY553),AG553&lt;BY553),IF(H553="Physical uplift","INVALID – before uplift window (cannot confirm loading)","INVALID – before valid window"),IF(AG553&gt;Flights!$AA$21,"INVALID – completed after departure (cannot establish readiness)",IF(AND(H553="Preparation",AG553&gt;=IF(ISNUMBER(Flights!$BA$21),MIN(Flights!$BA$21,Flights!$AA$21),Flights!$AA$21)),"INVALID – completed after loading / departure (cannot establish readiness)",IF(AND(H553="Physical uplift",AG553&gt;Q553),"INVALID – recorded after the loading flight departed",IF(AG553&gt;Q553,"COMPLETE – LATE","COMPLETE"))))))))))))))))))))))))),IF(TRIM(U553)="Fail","FAIL – DISCREPANCY",IF(AND(TRIM(U553)&lt;&gt;"",TRIM(U553)&lt;&gt;"Not started",TRIM(U553)&lt;&gt;"In progress"),"INVALID – unrecognised status (use the list)",IF(AsOfUTC&gt;Q553,"OVERDUE",IF(N553="Clarification required","OPEN – CLARIFICATION","OPEN"))))))),"INVALID – error value in an input cell")</f>
        <v>OPEN – CLARIFICATION</v>
      </c>
      <c r="AI553" s="61" t="n">
        <f aca="false">IF(OR(AH553="N/A – RULE",AH553="N/A – JUSTIFIED"),0,1)</f>
        <v>1</v>
      </c>
      <c r="AJ553" s="61" t="n">
        <f aca="false">IF(LEFT(AH553,8)="COMPLETE",1,0)</f>
        <v>0</v>
      </c>
      <c r="AK553" s="61" t="n">
        <f aca="false">IF(AND(AI553=1,AJ553=0,AsOfUTC&gt;Q553),1,0)</f>
        <v>0</v>
      </c>
      <c r="AL553" s="61" t="n">
        <f aca="false">IFERROR(IF(AND(AI553=1,OR(TRIM(U553)="Fail",AND(TRIM(AB553)&lt;&gt;"",TRIM(AB553)&lt;&gt;"Closed"),AND(ISNUMBER(AF553),AF553&lt;&gt;0,TRIM(U553)&lt;&gt;"Pass after CA"))),1,0),1)</f>
        <v>0</v>
      </c>
      <c r="AM553" s="61" t="n">
        <f aca="false">IF(LEFT(AH553,7)="INVALID",1,0)</f>
        <v>0</v>
      </c>
      <c r="AN553" s="61" t="n">
        <f aca="false">IF(AND(N553="Clarification required",AI553=1,AJ553=0),1,0)</f>
        <v>1</v>
      </c>
      <c r="AO553" s="61" t="str">
        <f aca="false">IF(AK553=1,SUM(AK$5:AK553),"")</f>
        <v/>
      </c>
      <c r="AP553" s="61" t="str">
        <f aca="false">IF(AL553=1,SUM(AL$5:AL553),"")</f>
        <v/>
      </c>
      <c r="AQ553" s="61" t="n">
        <v>0</v>
      </c>
      <c r="AR553" s="61" t="n">
        <v>0</v>
      </c>
      <c r="AS553" s="61" t="n">
        <v>0</v>
      </c>
      <c r="AT553" s="61" t="n">
        <v>1</v>
      </c>
      <c r="AU553" s="61" t="str">
        <f aca="false">SUBSTITUTE(SUBSTITUTE(SUBSTITUTE(SUBSTITUTE(SUBSTITUTE(SUBSTITUTE(SUBSTITUTE(SUBSTITUTE(SUBSTITUTE(SUBSTITUTE(SUBSTITUTE(SUBSTITUTE(SUBSTITUTE(SUBSTITUTE(SUBSTITUTE(SUBSTITUTE(LOWER(T553&amp;""),CHAR(10),""),CHAR(13),""),CHAR(9),""),CHAR(160),"")," ",""),".",""),"-",""),"/",""),"?",""),"_",""),",",""),"[",""),"]",""),"(",""),")",""),"*","")</f>
        <v/>
      </c>
      <c r="AV553" s="61" t="str">
        <f aca="false">SUBSTITUTE(SUBSTITUTE(SUBSTITUTE(SUBSTITUTE(SUBSTITUTE(SUBSTITUTE(SUBSTITUTE(SUBSTITUTE(SUBSTITUTE(SUBSTITUTE(SUBSTITUTE(SUBSTITUTE(SUBSTITUTE(SUBSTITUTE(SUBSTITUTE(SUBSTITUTE(LOWER(V553&amp;""),CHAR(10),""),CHAR(13),""),CHAR(9),""),CHAR(160),"")," ",""),".",""),"-",""),"/",""),"?",""),"_",""),",",""),"[",""),"]",""),"(",""),")",""),"*","")</f>
        <v/>
      </c>
      <c r="AW553" s="61" t="str">
        <f aca="false">SUBSTITUTE(SUBSTITUTE(SUBSTITUTE(SUBSTITUTE(SUBSTITUTE(SUBSTITUTE(SUBSTITUTE(SUBSTITUTE(SUBSTITUTE(SUBSTITUTE(SUBSTITUTE(SUBSTITUTE(SUBSTITUTE(SUBSTITUTE(SUBSTITUTE(SUBSTITUTE(LOWER(Z553&amp;""),CHAR(10),""),CHAR(13),""),CHAR(9),""),CHAR(160),"")," ",""),".",""),"-",""),"/",""),"?",""),"_",""),",",""),"[",""),"]",""),"(",""),")",""),"*","")</f>
        <v/>
      </c>
      <c r="AX553" s="61" t="str">
        <f aca="false">SUBSTITUTE(SUBSTITUTE(SUBSTITUTE(SUBSTITUTE(SUBSTITUTE(SUBSTITUTE(SUBSTITUTE(SUBSTITUTE(SUBSTITUTE(SUBSTITUTE(SUBSTITUTE(SUBSTITUTE(SUBSTITUTE(SUBSTITUTE(SUBSTITUTE(SUBSTITUTE(LOWER(AE553&amp;""),CHAR(10),""),CHAR(13),""),CHAR(9),""),CHAR(160),"")," ",""),".",""),"-",""),"/",""),"?",""),"_",""),",",""),"[",""),"]",""),"(",""),")",""),"*","")</f>
        <v/>
      </c>
      <c r="AY553" s="61" t="str">
        <f aca="false">SUBSTITUTE(SUBSTITUTE(SUBSTITUTE(SUBSTITUTE(SUBSTITUTE(SUBSTITUTE(SUBSTITUTE(SUBSTITUTE(SUBSTITUTE(SUBSTITUTE(SUBSTITUTE(SUBSTITUTE(SUBSTITUTE(SUBSTITUTE(SUBSTITUTE(SUBSTITUTE(LOWER(W553&amp;""),CHAR(10),""),CHAR(13),""),CHAR(9),""),CHAR(160),"")," ",""),".",""),"-",""),"/",""),"?",""),"_",""),",",""),"[",""),"]",""),"(",""),")",""),"*","")</f>
        <v/>
      </c>
      <c r="AZ553" s="61" t="str">
        <f aca="false">SUBSTITUTE(SUBSTITUTE(SUBSTITUTE(SUBSTITUTE(SUBSTITUTE(SUBSTITUTE(SUBSTITUTE(SUBSTITUTE(SUBSTITUTE(SUBSTITUTE(SUBSTITUTE(SUBSTITUTE(SUBSTITUTE(SUBSTITUTE(SUBSTITUTE(SUBSTITUTE(LOWER(AC553&amp;""),CHAR(10),""),CHAR(13),""),CHAR(9),""),CHAR(160),"")," ",""),".",""),"-",""),"/",""),"?",""),"_",""),",",""),"[",""),"]",""),"(",""),")",""),"*","")</f>
        <v/>
      </c>
      <c r="BA553" s="61" t="str">
        <f aca="false">SUBSTITUTE(SUBSTITUTE(SUBSTITUTE(SUBSTITUTE(SUBSTITUTE(SUBSTITUTE(SUBSTITUTE(SUBSTITUTE(SUBSTITUTE(SUBSTITUTE(SUBSTITUTE(SUBSTITUTE(SUBSTITUTE(SUBSTITUTE(SUBSTITUTE(SUBSTITUTE(LOWER(AA553&amp;""),CHAR(10),""),CHAR(13),""),CHAR(9),""),CHAR(160),"")," ",""),".",""),"-",""),"/",""),"?",""),"_",""),",",""),"[",""),"]",""),"(",""),")",""),"*","")</f>
        <v/>
      </c>
      <c r="BB553" s="61" t="str">
        <f aca="false">IF(AND(TRIM(U553)="Pass",ISNUMBER(AF553)),IF(AF553&lt;&gt;0,"INVALID – qty variance: use Fail or Pass after CA",""),"")&amp;IF(AND(TRIM(U553)="Pass after CA",ISNUMBER(AF553)),IF(AF553&lt;&gt;0,"INVALID – after the corrective action the actual qty must equal expected (update Actual)",""),"")&amp;IF(AND(TRIM(U553)="Pass",TRIM(AB553)&lt;&gt;"",TRIM(AB553)&lt;&gt;"Closed"),"INVALID – corrective action not closed: use Fail, then Pass after CA","")&amp;IF(AND(LEN(BA553)&gt;=2,ISNA(MATCH(LEFT(BA553,255),L_Placeholder,0)),TRIM(AB553)=""),"INVALID – CA status missing for the recorded corrective action","")&amp;IF(AND(TRIM(U553)="Pass after CA",OR(OR(LEN(BA553)&lt;5,ISNUMBER(MATCH(BA553,L_Placeholder,0))),TRIM(AB553)&lt;&gt;"Closed")),"INVALID – corrective action not recorded/closed","")</f>
        <v/>
      </c>
      <c r="BC553" s="61" t="str">
        <f aca="false">" "&amp;TRIM(SUBSTITUTE(SUBSTITUTE(SUBSTITUTE(SUBSTITUTE(SUBSTITUTE(SUBSTITUTE(SUBSTITUTE(SUBSTITUTE(SUBSTITUTE(SUBSTITUTE(SUBSTITUTE(SUBSTITUTE(SUBSTITUTE(SUBSTITUTE(SUBSTITUTE(SUBSTITUTE(SUBSTITUTE(SUBSTITUTE(SUBSTITUTE(SUBSTITUTE(SUBSTITUTE(SUBSTITUTE(SUBSTITUTE(SUBSTITUTE(LOWER(V553&amp;""),CHAR(10)," "),CHAR(13)," "),CHAR(9)," "),CHAR(160)," "),"."," "),","," "),"-"," "),"/"," "),"("," "),")"," "),":"," "),";"," "),"_"," "),"–"," "),"?"," "),"!"," "),"*"," "),"["," "),"]"," "),"'"," "),"#"," "),"+"," "),"&amp;"," "),"\"," "))&amp;" "</f>
        <v>  </v>
      </c>
      <c r="BD553" s="61" t="str">
        <f aca="false">" "&amp;TRIM(SUBSTITUTE(SUBSTITUTE(SUBSTITUTE(SUBSTITUTE(SUBSTITUTE(SUBSTITUTE(SUBSTITUTE(SUBSTITUTE(SUBSTITUTE(SUBSTITUTE(SUBSTITUTE(SUBSTITUTE(SUBSTITUTE(SUBSTITUTE(SUBSTITUTE(SUBSTITUTE(SUBSTITUTE(SUBSTITUTE(SUBSTITUTE(SUBSTITUTE(SUBSTITUTE(SUBSTITUTE(SUBSTITUTE(SUBSTITUTE(LOWER(Z553&amp;""),CHAR(10)," "),CHAR(13)," "),CHAR(9)," "),CHAR(160)," "),"."," "),","," "),"-"," "),"/"," "),"("," "),")"," "),":"," "),";"," "),"_"," "),"–"," "),"?"," "),"!"," "),"*"," "),"["," "),"]"," "),"'"," "),"#"," "),"+"," "),"&amp;"," "),"\"," "))&amp;" "</f>
        <v>  </v>
      </c>
      <c r="BE553" s="61" t="str">
        <f aca="false">" "&amp;TRIM(SUBSTITUTE(SUBSTITUTE(SUBSTITUTE(SUBSTITUTE(SUBSTITUTE(SUBSTITUTE(SUBSTITUTE(SUBSTITUTE(SUBSTITUTE(SUBSTITUTE(SUBSTITUTE(SUBSTITUTE(SUBSTITUTE(SUBSTITUTE(SUBSTITUTE(SUBSTITUTE(SUBSTITUTE(SUBSTITUTE(SUBSTITUTE(SUBSTITUTE(SUBSTITUTE(SUBSTITUTE(SUBSTITUTE(SUBSTITUTE(LOWER(W553&amp;""),CHAR(10)," "),CHAR(13)," "),CHAR(9)," "),CHAR(160)," "),"."," "),","," "),"-"," "),"/"," "),"("," "),")"," "),":"," "),";"," "),"_"," "),"–"," "),"?"," "),"!"," "),"*"," "),"["," "),"]"," "),"'"," "),"#"," "),"+"," "),"&amp;"," "),"\"," "))&amp;" "</f>
        <v>  </v>
      </c>
      <c r="BF553" s="61" t="str">
        <f aca="false">" "&amp;TRIM(SUBSTITUTE(SUBSTITUTE(SUBSTITUTE(SUBSTITUTE(SUBSTITUTE(SUBSTITUTE(SUBSTITUTE(SUBSTITUTE(SUBSTITUTE(SUBSTITUTE(SUBSTITUTE(SUBSTITUTE(SUBSTITUTE(SUBSTITUTE(SUBSTITUTE(SUBSTITUTE(SUBSTITUTE(SUBSTITUTE(SUBSTITUTE(SUBSTITUTE(SUBSTITUTE(SUBSTITUTE(SUBSTITUTE(SUBSTITUTE(LOWER(AC553&amp;""),CHAR(10)," "),CHAR(13)," "),CHAR(9)," "),CHAR(160)," "),"."," "),","," "),"-"," "),"/"," "),"("," "),")"," "),":"," "),";"," "),"_"," "),"–"," "),"?"," "),"!"," "),"*"," "),"["," "),"]"," "),"'"," "),"#"," "),"+"," "),"&amp;"," "),"\"," "))&amp;" "</f>
        <v>  </v>
      </c>
      <c r="BG553" s="61" t="n">
        <f aca="false">IFERROR(IF(AND(TRIM(U553)="Pass",SUMPRODUCT((LEN(BC553)-LEN(SUBSTITUTE(BC553," "&amp;L_ResultBad&amp;" "," ")))/(LEN(L_ResultBad)+1))&gt;SUMPRODUCT((LEN(BC553)-LEN(SUBSTITUTE(BC553," "&amp;L_NegPhrase&amp;" "," ")))/(LEN(L_NegPhrase)+1))),1,0),0)</f>
        <v>0</v>
      </c>
      <c r="BH553" s="61" t="n">
        <f aca="false">IFERROR(IF(SUMPRODUCT((LEN(BC553)-LEN(SUBSTITUTE(BC553," "&amp;L_Pending&amp;" "," ")))/(LEN(L_Pending)+1))&gt;SUMPRODUCT((LEN(BC553)-LEN(SUBSTITUTE(BC553," "&amp;L_PendNeg&amp;" "," ")))/(LEN(L_PendNeg)+1))+SUMPRODUCT((LEN(BC553)-LEN(SUBSTITUTE(BC553," "&amp;L_PendPrep&amp;" "," ")))/(LEN(L_PendPrep)+1)),1,0),1)</f>
        <v>0</v>
      </c>
      <c r="BI553" s="61" t="n">
        <f aca="false">IFERROR(IF(SUMPRODUCT((LEN(BD553)-LEN(SUBSTITUTE(BD553," "&amp;L_PendStrict&amp;" "," ")))/(LEN(L_PendStrict)+1))&gt;SUMPRODUCT((LEN(BD553)-LEN(SUBSTITUTE(BD553," "&amp;L_PendNeg&amp;" "," ")))/(LEN(L_PendNeg)+1)),1,0),1)</f>
        <v>0</v>
      </c>
      <c r="BJ553" s="61" t="n">
        <f aca="false">IFERROR(IF(SUMPRODUCT((LEN(BE553)-LEN(SUBSTITUTE(BE553," "&amp;L_Pending&amp;" "," ")))/(LEN(L_Pending)+1))&gt;SUMPRODUCT((LEN(BE553)-LEN(SUBSTITUTE(BE553," "&amp;L_PendNeg&amp;" "," ")))/(LEN(L_PendNeg)+1))+SUMPRODUCT((LEN(BE553)-LEN(SUBSTITUTE(BE553," "&amp;L_PendPrep&amp;" "," ")))/(LEN(L_PendPrep)+1)),1,0),1)</f>
        <v>0</v>
      </c>
      <c r="BK553" s="61" t="n">
        <f aca="false">IFERROR(IF(SUMPRODUCT((LEN(BF553)-LEN(SUBSTITUTE(BF553," "&amp;L_PendStrict&amp;" "," ")))/(LEN(L_PendStrict)+1))&gt;SUMPRODUCT((LEN(BF553)-LEN(SUBSTITUTE(BF553," "&amp;L_PendNeg&amp;" "," ")))/(LEN(L_PendNeg)+1)),1,0),1)</f>
        <v>0</v>
      </c>
      <c r="BL553" s="61" t="n">
        <f aca="false">IF(ISNA(MATCH(TRIM(S553),L_EvidenceType,0)),0,BZ553)</f>
        <v>0</v>
      </c>
      <c r="BM553" s="61" t="str">
        <f aca="false">SUBSTITUTE(SUBSTITUTE(SUBSTITUTE(SUBSTITUTE(SUBSTITUTE(SUBSTITUTE(SUBSTITUTE(SUBSTITUTE(SUBSTITUTE(LOWER(Z553&amp;""),"1","0"),"2","0"),"3","0"),"4","0"),"5","0"),"6","0"),"7","0"),"8","0"),"9","0")</f>
        <v/>
      </c>
      <c r="BN553" s="61" t="str">
        <f aca="false">SUBSTITUTE(SUBSTITUTE(SUBSTITUTE(SUBSTITUTE(SUBSTITUTE(SUBSTITUTE(SUBSTITUTE(SUBSTITUTE(SUBSTITUTE(SUBSTITUTE(SUBSTITUTE(SUBSTITUTE(SUBSTITUTE(SUBSTITUTE(SUBSTITUTE(SUBSTITUTE(SUBSTITUTE(SUBSTITUTE(SUBSTITUTE(SUBSTITUTE(SUBSTITUTE(SUBSTITUTE(SUBSTITUTE(SUBSTITUTE(SUBSTITUTE(BM553,"b","a"),"c","a"),"d","a"),"e","a"),"f","a"),"g","a"),"h","a"),"i","a"),"j","a"),"k","a"),"l","a"),"m","a"),"n","a"),"o","a"),"p","a"),"q","a"),"r","a"),"s","a"),"t","a"),"u","a"),"v","a"),"w","a"),"x","a"),"y","a"),"z","a")</f>
        <v/>
      </c>
      <c r="BO553" s="61" t="str">
        <f aca="false">SUBSTITUTE(SUBSTITUTE(SUBSTITUTE(SUBSTITUTE(SUBSTITUTE(SUBSTITUTE(SUBSTITUTE(SUBSTITUTE(SUBSTITUTE(LOWER(W553&amp;""),"1","0"),"2","0"),"3","0"),"4","0"),"5","0"),"6","0"),"7","0"),"8","0"),"9","0")</f>
        <v/>
      </c>
      <c r="BP553" s="61" t="str">
        <f aca="false">SUBSTITUTE(SUBSTITUTE(SUBSTITUTE(SUBSTITUTE(SUBSTITUTE(SUBSTITUTE(SUBSTITUTE(SUBSTITUTE(SUBSTITUTE(SUBSTITUTE(SUBSTITUTE(SUBSTITUTE(SUBSTITUTE(SUBSTITUTE(SUBSTITUTE(SUBSTITUTE(SUBSTITUTE(SUBSTITUTE(SUBSTITUTE(SUBSTITUTE(SUBSTITUTE(SUBSTITUTE(SUBSTITUTE(SUBSTITUTE(SUBSTITUTE(BO553,"b","a"),"c","a"),"d","a"),"e","a"),"f","a"),"g","a"),"h","a"),"i","a"),"j","a"),"k","a"),"l","a"),"m","a"),"n","a"),"o","a"),"p","a"),"q","a"),"r","a"),"s","a"),"t","a"),"u","a"),"v","a"),"w","a"),"x","a"),"y","a"),"z","a")</f>
        <v/>
      </c>
      <c r="BQ553" s="61" t="n">
        <f aca="false">IFERROR(IF(AND(ISERROR(SEARCH(" mh"," "&amp;LOWER(W553))),ISNA(MATCH(LEFT(TRIM(BP553),255),{"0000a","000a","00a","0000aa","000aa","00aa","0aa","0000aaa","000aaa","00a00","0a00","0000-0000","00:00","a00","a0","00.00.0000","00/00/0000","00-00-0000","0000-00-00","0000/00/00","0000.00.00","00.00.00","00/00/00","00-00-00","0.00.0000","0/00/0000","0-00-0000"},0)),ISNA(MATCH(LEFT(TRIM(CA553),255),{"0000a","000a","00a","0000aa","000aa","00aa","0aa","0000aaa","000aaa","00a00","0a00","0000-0000","00:00","a00","a0","00.00.0000","00/00/0000","00-00-0000","0000-00-00","0000/00/00","0000.00.00","00.00.00","00/00/00","00-00-00","0.00.0000","0/00/0000","0-00-0000"},0)),LEN(CB553)&gt;=3,NOT(OR(SUBSTITUTE(CB553,"0","")="",AND(LEN(CB553)&gt;=4,CB553=REPT(LEFT(CB553),LEN(CB553))),ISNUMBER(MATCH(CB553,{"123","1234","12345","123456","1234567","12345678","0123","01234","012345","98765","987654","54321"},0)),AND(LEN(CB553)=8,LEFT(CB553,3)="202"))),OR(AND((LEN(CA553)-LEN(SUBSTITUTE(CA553,"a","")))&gt;=1,SUMPRODUCT(--ISNUMBER(SEARCH({"a0","a-0","a_0","a/0","a.0","a#0","0a","0-a","0_a","0/a"},BP553)))&gt;0),ISNUMBER(SEARCH("000000",BP553)))),1,0),0)</f>
        <v>0</v>
      </c>
      <c r="BR553" s="61" t="n">
        <f aca="false">IFERROR(LEN(SUBSTITUTE(CC553," ",""))-SUMPRODUCT((LEN(CC553)-LEN(SUBSTITUTE(CC553," "&amp;L_Role&amp;" "," ")))/(LEN(L_Role)+1)*LEN(L_Role)),0)</f>
        <v>0</v>
      </c>
      <c r="BS553" s="61" t="n">
        <f aca="false">IFERROR(LEN(SUBSTITUTE(CD553," ",""))-SUMPRODUCT((LEN(CD553)-LEN(SUBSTITUTE(CD553," "&amp;L_Role&amp;" "," ")))/(LEN(L_Role)+1)*LEN(L_Role)),0)</f>
        <v>0</v>
      </c>
      <c r="BT5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553,"revision",""),"version",""),"jan",""),"feb",""),"mar",""),"apr",""),"may",""),"jun",""),"jul",""),"aug",""),"sep",""),"oct",""),"nov",""),"dec",""),"utc",""),"gmt",""),"myt",""),"bst",""),"rev",""),"ver",""),"b","a"),"c","a"),"d","a"),"e","a"),"f","a"),"g","a"),"h","a"),"i","a"),"j","a"),"k","a"),"l","a"),"m","a"),"n","a"),"o","a"),"p","a"),"q","a"),"r","a"),"s","a"),"t","a"),"u","a"),"v","a"),"w","a"),"x","a"),"y","a"),"z","a")</f>
        <v/>
      </c>
      <c r="BU553" s="61" t="str">
        <f aca="false">SUBSTITUTE(SUBSTITUTE(SUBSTITUTE(SUBSTITUTE(SUBSTITUTE(SUBSTITUTE(SUBSTITUTE(SUBSTITUTE(SUBSTITUTE(SUBSTITUTE(LEFT(BM553,FIND("0",BM553&amp;"0")-1),"-",""),"_",""),"/",""),".",""),"#",""),"\\",""),":","")," ",""),"(",""),")","")</f>
        <v/>
      </c>
      <c r="BV553" s="61" t="n">
        <f aca="false">0</f>
        <v>0</v>
      </c>
      <c r="BW5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553&amp;""),"a",""),"b",""),"c",""),"d",""),"e",""),"f",""),"g",""),"h",""),"i",""),"j",""),"k",""),"l",""),"m",""),"n",""),"o",""),"p",""),"q",""),"r",""),"s",""),"t",""),"u",""),"v",""),"w",""),"x",""),"y",""),"z",""),"-",""),"_",""),"/",""),".",""),"#",""),"\\",""),":","")," ",""),"(",""),")","")</f>
        <v/>
      </c>
      <c r="BX553" s="61" t="str">
        <f aca="false">SUBSTITUTE(SUBSTITUTE(SUBSTITUTE(SUBSTITUTE(SUBSTITUTE(SUBSTITUTE(SUBSTITUTE(SUBSTITUTE(SUBSTITUTE(SUBSTITUTE(SUBSTITUTE(BM553,"0",""),"-",""),"_",""),"/",""),".",""),"#",""),"\\",""),":","")," ",""),"(",""),")","")</f>
        <v/>
      </c>
      <c r="BY553" s="62" t="n">
        <f aca="false">Q553-T12EarlyH/24</f>
        <v>46321.2847222222</v>
      </c>
      <c r="BZ553" s="61" t="n">
        <f aca="false">IFERROR(IF(IF(TRIM(S553)="Link / file path",AND(LEN(TRIM(Z553))&gt;=5,SUMPRODUCT(--ISNUMBER(SEARCH({"http","www.","\\",":\",".pdf",".jpg",".jpeg",".png",".heic",".xls",".doc",".msg",".eml",".ppt",".txt",".zip"},Z553)))&gt;0),AND(ISERROR(FIND(" ",TRIM(Z553))),NOT(OR(SUMPRODUCT(--ISNUMBER(FIND({",",";","&amp;","+"},Z553)))&gt;0,SUMPRODUCT(--ISNUMBER(SEARCH({"0/aa","0\\aa"},BN553)))&gt;0)),NOT(SUMPRODUCT(--ISNUMBER(SEARCH({"http","www.","\\",":\",".pdf",".jpg",".jpeg",".png",".heic",".xls",".doc",".msg",".eml",".ppt",".txt",".zip"},Z553)))&gt;0),NOT(LOWER(TRIM(Z553))=LOWER(Flights!$F$21)),ISNA(MATCH(BU553,{"mh","rev","revision","ver","version","v","r","a","b","seat","tray","row","gate","bay","stand","page","pg","item","line","no","cart","galley","flight","flt","table","box","bag","oven","etd","eta","std","sta","atd","ata","qty","pax","x","time","tel","ph","mob","day","wk","week","utc","gmt","myt","lt"},0)),NOT(OR(ISNUMBER(MATCH(LEFT(BN553,255),{"0000a","000a","00a","0000aa","000aa","00aa","0aa","0000aaa","000aaa","00a00","0a00","0000-0000","00:00","a00","a0","00.00.0000","00/00/0000","00-00-0000","0000-00-00","0000/00/00","0000.00.00","00.00.00","00/00/00","00-00-00","0.00.0000","0/00/0000","0-00-0000"},0)),ISNUMBER(MATCH(LEFT(BT553,255),{"0000a","000a","00a","0000aa","000aa","00aa","0aa","0000aaa","000aaa","00a00","0a00","0000-0000","00:00","a00","a0","00.00.0000","00/00/0000","00-00-0000","0000-00-00","0000/00/00","0000.00.00","00.00.00","00/00/00","00-00-00","0.00.0000","0/00/0000","0-00-0000"},0)))),NOT(OR(AND(BW553&lt;&gt;"",SUBSTITUTE(BW553,"0","")=""),AND(LEN(BW553)&gt;=4,BW553=REPT(LEFT(BW553),LEN(BW553))),ISNUMBER(MATCH(BW553,{"123","1234","12345","123456","1234567","12345678","0123","01234","012345","98765","987654","54321"},0)),ISNUMBER(MATCH(BX553,{"x","xx","xxx","xxxx","xxxxx","abc","abcd","nil","na","nan","test","tbc","tba","tbd","dummy","sample","example","eg","zz","zzz","none","null","xyz","qwe","asd","id","ref"},0)),AND(LEN(BW553)=8,BX553="",OR(LEFT(BW553,3)="202",ISNUMBER(MATCH(RIGHT(BW553,4),{"2025","2026","2027"},0)))))),OR(AND((LEN(BT553)-LEN(SUBSTITUTE(BT553,"a","")))&gt;=1,(LEN(BN553)-LEN(SUBSTITUTE(BN553,"0","")))&gt;=2,SUMPRODUCT(--ISNUMBER(SEARCH({"a0","a-0","a_0","a/0","a.0","a#0","0a","0-a","0_a","0/a"},BN553)))&gt;0),AND((LEN(BN553)-LEN(SUBSTITUTE(BN553,"a","")))=0,(LEN(BN553)-LEN(SUBSTITUTE(BN553,"0","")))&gt;=5)))),1,0),0)</f>
        <v>0</v>
      </c>
      <c r="CA5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553,"revision",""),"version",""),"jan",""),"feb",""),"mar",""),"apr",""),"may",""),"jun",""),"jul",""),"aug",""),"sep",""),"oct",""),"nov",""),"dec",""),"utc",""),"gmt",""),"myt",""),"bst",""),"rev",""),"ver",""),"b","a"),"c","a"),"d","a"),"e","a"),"f","a"),"g","a"),"h","a"),"i","a"),"j","a"),"k","a"),"l","a"),"m","a"),"n","a"),"o","a"),"p","a"),"q","a"),"r","a"),"s","a"),"t","a"),"u","a"),"v","a"),"w","a"),"x","a"),"y","a"),"z","a")</f>
        <v/>
      </c>
      <c r="CB5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553&amp;""),"a",""),"b",""),"c",""),"d",""),"e",""),"f",""),"g",""),"h",""),"i",""),"j",""),"k",""),"l",""),"m",""),"n",""),"o",""),"p",""),"q",""),"r",""),"s",""),"t",""),"u",""),"v",""),"w",""),"x",""),"y",""),"z",""),"-",""),"_",""),"/",""),".",""),"#",""),"\\",""),":","")," ",""),"(",""),")","")</f>
        <v/>
      </c>
      <c r="CC553" s="0" t="str">
        <f aca="false">" "&amp;TRIM(SUBSTITUTE(SUBSTITUTE(SUBSTITUTE(SUBSTITUTE(SUBSTITUTE(SUBSTITUTE(SUBSTITUTE(SUBSTITUTE(SUBSTITUTE(SUBSTITUTE(SUBSTITUTE(SUBSTITUTE(SUBSTITUTE(SUBSTITUTE(SUBSTITUTE(SUBSTITUTE(SUBSTITUTE(SUBSTITUTE(SUBSTITUTE(SUBSTITUTE(SUBSTITUTE(SUBSTITUTE(SUBSTITUTE(SUBSTITUTE(LOWER(T553&amp;""),CHAR(10)," "),CHAR(13)," "),CHAR(9)," "),CHAR(160)," "),"."," "),","," "),"-"," "),"/"," "),"("," "),")"," "),":"," "),";"," "),"_"," "),"–"," "),"?"," "),"!"," "),"*"," "),"["," "),"]"," "),"'"," "),"#"," "),"+"," "),"&amp;"," "),"\"," "))&amp;" "</f>
        <v>  </v>
      </c>
      <c r="CD553" s="0" t="str">
        <f aca="false">" "&amp;TRIM(SUBSTITUTE(SUBSTITUTE(SUBSTITUTE(SUBSTITUTE(SUBSTITUTE(SUBSTITUTE(SUBSTITUTE(SUBSTITUTE(SUBSTITUTE(SUBSTITUTE(SUBSTITUTE(SUBSTITUTE(SUBSTITUTE(SUBSTITUTE(SUBSTITUTE(SUBSTITUTE(SUBSTITUTE(SUBSTITUTE(SUBSTITUTE(SUBSTITUTE(SUBSTITUTE(SUBSTITUTE(SUBSTITUTE(SUBSTITUTE(LOWER(AE553&amp;""),CHAR(10)," "),CHAR(13)," "),CHAR(9)," "),CHAR(160)," "),"."," "),","," "),"-"," "),"/"," "),"("," "),")"," "),":"," "),";"," "),"_"," "),"–"," "),"?"," "),"!"," "),"*"," "),"["," "),"]"," "),"'"," "),"#"," "),"+"," "),"&amp;"," "),"\"," "))&amp;" "</f>
        <v>  </v>
      </c>
      <c r="CE553" s="68" t="n">
        <f aca="false">IFERROR(IF(AND(LEN(AU553)&gt;0,LEN(AU553)=LEN(AX553),OR(TRIM(MID(SUBSTITUTE(TRIM(CC553)," ",REPT(" ",60)),1,60))="",ISNUMBER(SEARCH(" "&amp;TRIM(MID(SUBSTITUTE(TRIM(CC553)," ",REPT(" ",60)),1,60))&amp;" ",CD553))),OR(TRIM(MID(SUBSTITUTE(TRIM(CC553)," ",REPT(" ",60)),61,60))="",ISNUMBER(SEARCH(" "&amp;TRIM(MID(SUBSTITUTE(TRIM(CC553)," ",REPT(" ",60)),61,60))&amp;" ",CD553))),OR(TRIM(MID(SUBSTITUTE(TRIM(CC553)," ",REPT(" ",60)),121,60))="",ISNUMBER(SEARCH(" "&amp;TRIM(MID(SUBSTITUTE(TRIM(CC553)," ",REPT(" ",60)),121,60))&amp;" ",CD553)))),1,0),0)</f>
        <v>0</v>
      </c>
      <c r="CG553" s="68" t="n">
        <f aca="false">IFERROR(LEN(SUBSTITUTE(BF553," ",""))-SUMPRODUCT((LEN(BF553)-LEN(SUBSTITUTE(BF553," "&amp;L_NAFiller&amp;" "," ")))/(LEN(L_NAFiller)+1)*LEN(L_NAFiller)),0)</f>
        <v>0</v>
      </c>
    </row>
    <row r="554" customFormat="false" ht="116.25" hidden="false" customHeight="true" outlineLevel="0" collapsed="false">
      <c r="A554" s="57" t="s">
        <v>1234</v>
      </c>
      <c r="B554" s="57" t="s">
        <v>290</v>
      </c>
      <c r="C554" s="57" t="str">
        <f aca="false">Flights!$F$21</f>
        <v>MH0073</v>
      </c>
      <c r="D554" s="58" t="n">
        <f aca="false">Flights!$D$21</f>
        <v>46322</v>
      </c>
      <c r="E554" s="57" t="str">
        <f aca="false">Flights!$G$21&amp;"-"&amp;Flights!$H$21</f>
        <v>HKG-KUL</v>
      </c>
      <c r="F554" s="57" t="str">
        <f aca="false">Flights!$K$21</f>
        <v>BC</v>
      </c>
      <c r="G554" s="57" t="s">
        <v>420</v>
      </c>
      <c r="H554" s="57" t="s">
        <v>378</v>
      </c>
      <c r="I554" s="57" t="s">
        <v>499</v>
      </c>
      <c r="J554" s="57" t="s">
        <v>515</v>
      </c>
      <c r="K554" s="67" t="s">
        <v>501</v>
      </c>
      <c r="L554" s="67" t="s">
        <v>1235</v>
      </c>
      <c r="M554" s="67" t="s">
        <v>451</v>
      </c>
      <c r="N554" s="67" t="s">
        <v>444</v>
      </c>
      <c r="O554" s="67" t="s">
        <v>1233</v>
      </c>
      <c r="P554" s="57" t="s">
        <v>282</v>
      </c>
      <c r="Q554" s="59" t="n">
        <f aca="false">ROUND((Flights!$AE$21)*1440,0)/1440</f>
        <v>46321.7847222222</v>
      </c>
      <c r="R554" s="59" t="n">
        <f aca="false">Q554+(IF(AND(INDEX(TZ_DSTS,MATCH(P554,TZ_STN,0))&lt;&gt;"",Q554&gt;=INDEX(TZ_DSTS,MATCH(P554,TZ_STN,0)),Q554&lt;INDEX(TZ_DSTE,MATCH(P554,TZ_STN,0))),INDEX(TZ_DST,MATCH(P554,TZ_STN,0)),INDEX(TZ_STD,MATCH(P554,TZ_STN,0))))/24</f>
        <v>46322.1180555556</v>
      </c>
      <c r="S554" s="60"/>
      <c r="T554" s="60"/>
      <c r="U554" s="60"/>
      <c r="V554" s="60"/>
      <c r="W554" s="61"/>
      <c r="X554" s="60"/>
      <c r="Y554" s="60"/>
      <c r="Z554" s="60"/>
      <c r="AA554" s="60"/>
      <c r="AB554" s="60"/>
      <c r="AC554" s="60"/>
      <c r="AD554" s="66"/>
      <c r="AE554" s="60"/>
      <c r="AF554" s="61" t="str">
        <f aca="false">IF(AND(ISNUMBER(X554),ISNUMBER(Y554)),Y554-X554,"")</f>
        <v/>
      </c>
      <c r="AG554" s="62" t="str">
        <f aca="false">IF(ISNUMBER(AD554),AD554-(IF(AND(INDEX(TZ_DSTS,MATCH(P554,TZ_STN,0))&lt;&gt;"",(AD554-INDEX(TZ_STD,MATCH(P554,TZ_STN,0))/24)&gt;=INDEX(TZ_DSTS,MATCH(P554,TZ_STN,0)),(AD554-INDEX(TZ_STD,MATCH(P554,TZ_STN,0))/24)&lt;INDEX(TZ_DSTE,MATCH(P554,TZ_STN,0))),INDEX(TZ_DST,MATCH(P554,TZ_STN,0)),INDEX(TZ_STD,MATCH(P554,TZ_STN,0))))/24,"")</f>
        <v/>
      </c>
      <c r="AH554" s="65" t="str">
        <f aca="false">IFERROR(IF(N554="N/A – rule",IF(OR(TRIM(U554)="",TRIM(U554)="N/A",TRIM(U554)="Not started"),"N/A – RULE","INVALID – this check does not apply to this aircraft: clear the status (or correct the fleet on Flights)"),IF(TRIM(U554)="N/A",IF(AT554=0,"INVALID – N/A not permitted for this check",IF(AND(TRIM(AB554)&lt;&gt;"",TRIM(AB554)&lt;&gt;"Closed"),"INVALID – corrective action still open",IF(AND(NOT(OR(LEN(AZ554)&lt;15,ISNUMBER(MATCH(AZ554,L_Placeholder,0)))),BK554=0,CG554&gt;=8,NOT(OR(LEN(AU554)&lt;2,ISNUMBER(MATCH(AU554,L_Placeholder,0)))),BR554&gt;=3,NOT(OR(LEN(AX554)&lt;2,ISNUMBER(MATCH(AX554,L_Placeholder,0)))),BS554&gt;=3,TRIM(AE554)&lt;&gt;TRIM(T554),AX554&lt;&gt;AU554,CE554=0),"N/A – JUSTIFIED","INVALID – N/A needs a real, settled reason (not 'not applicable' / 'as above' / TBC), a named PIC and a different named verifier"))),IF(OR(TRIM(U554)="Pass",TRIM(U554)="Pass after CA"),IF(NOT(ISNUMBER(AD554)),"INVALID – completion time missing",IF(OR(OR(LEN(AU554)&lt;2,ISNUMBER(MATCH(AU554,L_Placeholder,0))),BR554&lt;3),"INVALID – PIC missing or not a named person (a role such as QA / CSM is not a name)",IF(OR(LEN(AV554)&lt;2,ISNUMBER(MATCH(AV554,L_Placeholder,0))),"INVALID – result / assessment missing",IF(OR(OR(LEN(AW554)&lt;3,ISNUMBER(MATCH(AW554,L_Placeholder,0))),SUMPRODUCT(--ISNUMBER(SEARCH(" "&amp;L_EvidencePhrase&amp;" ",BD554)))&gt;0,BI554=1),"INVALID – evidence missing, placeholder or not yet on file",IF(ISNA(MATCH(TRIM(S554),L_EvidenceType,0)),"INVALID – choose the evidence type from the list (column S)",IF(BL554=0,"INVALID – evidence ID must be the record's own ID only (e.g. SF-2210, IMG_2231, 1045521); a link / file name needs type 'Link / file path'",IF(OR(OR(LEN(AX554)&lt;2,ISNUMBER(MATCH(AX554,L_Placeholder,0))),BS554&lt;3),"INVALID – verifier missing or not a named person (a role such as QA / CSM is not a name)",IF(OR(AX554=AU554,CE554=1,AND(LEN(AU554)&gt;=4,ISNUMBER(SEARCH(AU554,AX554))),AND(LEN(AX554)&gt;=4,ISNUMBER(SEARCH(AX554,AU554)))),"INVALID – verifier must be a different, named person (not the PIC or a role)",IF(BH554=1,"INVALID – result not yet available (awaiting / TBC)",IF(BG554=1,"INVALID – result describes a problem: record Fail, then Pass after CA (or reword if it is not a problem)",IF(BV554=1,"INVALID – wording says not on board: an on-board confirmation needs the item loaded",IF(AND(AQ554=1,OR(OR(LEN(AY554)&lt;3,ISNUMBER(MATCH(AY554,L_Placeholder,0))),BJ554=1,BQ554=0)),"INVALID – batch ID missing, placeholder or not an ID (e.g. PASB-261008-BC-017)",IF(AND(AR554=1,OR(NOT(ISNUMBER(X554)),NOT(ISNUMBER(Y554)))),"INVALID – expected/actual qty missing",IF(AND(AR554=1,OR(X554&lt;=0,Y554&lt;0)),"INVALID – expected qty must be above 0 and actual not negative",IF(BB554&lt;&gt;"",BB554,IF(AND(AS554=1,Documents!$J$21&lt;&gt;"ON FILE"),"INVALID – GLD not on file (Documents sheet)",IF(AND(AS554=2,Documents!$O$21&lt;&gt;"ON FILE"),"INVALID – menu checklist not on file (Documents sheet)",IF(AND(AS554=3,NOT(ISNUMBER(Flights!$AX$21))),"INVALID – enter carrying flight KUL departure (Flights AX)",IF(AND(AS554=3,OR(Flights!$AZ$21&gt;Flights!$AA$21,Flights!$AX$21&lt;Flights!$AA$21-3)),"INVALID – carrying flight (Flights AX) cannot arrive before this leg's STD, or is over 3 days early",IF(AG554&gt;AsOfUTC,"INVALID – completion time is in the future",IF(AND(ISNUMBER(BY554),AG554&lt;BY554),IF(H554="Physical uplift","INVALID – before uplift window (cannot confirm loading)","INVALID – before valid window"),IF(AG554&gt;Flights!$AA$21,"INVALID – completed after departure (cannot establish readiness)",IF(AND(H554="Preparation",AG554&gt;=IF(ISNUMBER(Flights!$BA$21),MIN(Flights!$BA$21,Flights!$AA$21),Flights!$AA$21)),"INVALID – completed after loading / departure (cannot establish readiness)",IF(AND(H554="Physical uplift",AG554&gt;Q554),"INVALID – recorded after the loading flight departed",IF(AG554&gt;Q554,"COMPLETE – LATE","COMPLETE"))))))))))))))))))))))))),IF(TRIM(U554)="Fail","FAIL – DISCREPANCY",IF(AND(TRIM(U554)&lt;&gt;"",TRIM(U554)&lt;&gt;"Not started",TRIM(U554)&lt;&gt;"In progress"),"INVALID – unrecognised status (use the list)",IF(AsOfUTC&gt;Q554,"OVERDUE",IF(N554="Clarification required","OPEN – CLARIFICATION","OPEN"))))))),"INVALID – error value in an input cell")</f>
        <v>OPEN – CLARIFICATION</v>
      </c>
      <c r="AI554" s="61" t="n">
        <f aca="false">IF(OR(AH554="N/A – RULE",AH554="N/A – JUSTIFIED"),0,1)</f>
        <v>1</v>
      </c>
      <c r="AJ554" s="61" t="n">
        <f aca="false">IF(LEFT(AH554,8)="COMPLETE",1,0)</f>
        <v>0</v>
      </c>
      <c r="AK554" s="61" t="n">
        <f aca="false">IF(AND(AI554=1,AJ554=0,AsOfUTC&gt;Q554),1,0)</f>
        <v>0</v>
      </c>
      <c r="AL554" s="61" t="n">
        <f aca="false">IFERROR(IF(AND(AI554=1,OR(TRIM(U554)="Fail",AND(TRIM(AB554)&lt;&gt;"",TRIM(AB554)&lt;&gt;"Closed"),AND(ISNUMBER(AF554),AF554&lt;&gt;0,TRIM(U554)&lt;&gt;"Pass after CA"))),1,0),1)</f>
        <v>0</v>
      </c>
      <c r="AM554" s="61" t="n">
        <f aca="false">IF(LEFT(AH554,7)="INVALID",1,0)</f>
        <v>0</v>
      </c>
      <c r="AN554" s="61" t="n">
        <f aca="false">IF(AND(N554="Clarification required",AI554=1,AJ554=0),1,0)</f>
        <v>1</v>
      </c>
      <c r="AO554" s="61" t="str">
        <f aca="false">IF(AK554=1,SUM(AK$5:AK554),"")</f>
        <v/>
      </c>
      <c r="AP554" s="61" t="str">
        <f aca="false">IF(AL554=1,SUM(AL$5:AL554),"")</f>
        <v/>
      </c>
      <c r="AQ554" s="61" t="n">
        <v>0</v>
      </c>
      <c r="AR554" s="61" t="n">
        <v>0</v>
      </c>
      <c r="AS554" s="61" t="n">
        <v>0</v>
      </c>
      <c r="AT554" s="61" t="n">
        <v>1</v>
      </c>
      <c r="AU554" s="61" t="str">
        <f aca="false">SUBSTITUTE(SUBSTITUTE(SUBSTITUTE(SUBSTITUTE(SUBSTITUTE(SUBSTITUTE(SUBSTITUTE(SUBSTITUTE(SUBSTITUTE(SUBSTITUTE(SUBSTITUTE(SUBSTITUTE(SUBSTITUTE(SUBSTITUTE(SUBSTITUTE(SUBSTITUTE(LOWER(T554&amp;""),CHAR(10),""),CHAR(13),""),CHAR(9),""),CHAR(160),"")," ",""),".",""),"-",""),"/",""),"?",""),"_",""),",",""),"[",""),"]",""),"(",""),")",""),"*","")</f>
        <v/>
      </c>
      <c r="AV554" s="61" t="str">
        <f aca="false">SUBSTITUTE(SUBSTITUTE(SUBSTITUTE(SUBSTITUTE(SUBSTITUTE(SUBSTITUTE(SUBSTITUTE(SUBSTITUTE(SUBSTITUTE(SUBSTITUTE(SUBSTITUTE(SUBSTITUTE(SUBSTITUTE(SUBSTITUTE(SUBSTITUTE(SUBSTITUTE(LOWER(V554&amp;""),CHAR(10),""),CHAR(13),""),CHAR(9),""),CHAR(160),"")," ",""),".",""),"-",""),"/",""),"?",""),"_",""),",",""),"[",""),"]",""),"(",""),")",""),"*","")</f>
        <v/>
      </c>
      <c r="AW554" s="61" t="str">
        <f aca="false">SUBSTITUTE(SUBSTITUTE(SUBSTITUTE(SUBSTITUTE(SUBSTITUTE(SUBSTITUTE(SUBSTITUTE(SUBSTITUTE(SUBSTITUTE(SUBSTITUTE(SUBSTITUTE(SUBSTITUTE(SUBSTITUTE(SUBSTITUTE(SUBSTITUTE(SUBSTITUTE(LOWER(Z554&amp;""),CHAR(10),""),CHAR(13),""),CHAR(9),""),CHAR(160),"")," ",""),".",""),"-",""),"/",""),"?",""),"_",""),",",""),"[",""),"]",""),"(",""),")",""),"*","")</f>
        <v/>
      </c>
      <c r="AX554" s="61" t="str">
        <f aca="false">SUBSTITUTE(SUBSTITUTE(SUBSTITUTE(SUBSTITUTE(SUBSTITUTE(SUBSTITUTE(SUBSTITUTE(SUBSTITUTE(SUBSTITUTE(SUBSTITUTE(SUBSTITUTE(SUBSTITUTE(SUBSTITUTE(SUBSTITUTE(SUBSTITUTE(SUBSTITUTE(LOWER(AE554&amp;""),CHAR(10),""),CHAR(13),""),CHAR(9),""),CHAR(160),"")," ",""),".",""),"-",""),"/",""),"?",""),"_",""),",",""),"[",""),"]",""),"(",""),")",""),"*","")</f>
        <v/>
      </c>
      <c r="AY554" s="61" t="str">
        <f aca="false">SUBSTITUTE(SUBSTITUTE(SUBSTITUTE(SUBSTITUTE(SUBSTITUTE(SUBSTITUTE(SUBSTITUTE(SUBSTITUTE(SUBSTITUTE(SUBSTITUTE(SUBSTITUTE(SUBSTITUTE(SUBSTITUTE(SUBSTITUTE(SUBSTITUTE(SUBSTITUTE(LOWER(W554&amp;""),CHAR(10),""),CHAR(13),""),CHAR(9),""),CHAR(160),"")," ",""),".",""),"-",""),"/",""),"?",""),"_",""),",",""),"[",""),"]",""),"(",""),")",""),"*","")</f>
        <v/>
      </c>
      <c r="AZ554" s="61" t="str">
        <f aca="false">SUBSTITUTE(SUBSTITUTE(SUBSTITUTE(SUBSTITUTE(SUBSTITUTE(SUBSTITUTE(SUBSTITUTE(SUBSTITUTE(SUBSTITUTE(SUBSTITUTE(SUBSTITUTE(SUBSTITUTE(SUBSTITUTE(SUBSTITUTE(SUBSTITUTE(SUBSTITUTE(LOWER(AC554&amp;""),CHAR(10),""),CHAR(13),""),CHAR(9),""),CHAR(160),"")," ",""),".",""),"-",""),"/",""),"?",""),"_",""),",",""),"[",""),"]",""),"(",""),")",""),"*","")</f>
        <v/>
      </c>
      <c r="BA554" s="61" t="str">
        <f aca="false">SUBSTITUTE(SUBSTITUTE(SUBSTITUTE(SUBSTITUTE(SUBSTITUTE(SUBSTITUTE(SUBSTITUTE(SUBSTITUTE(SUBSTITUTE(SUBSTITUTE(SUBSTITUTE(SUBSTITUTE(SUBSTITUTE(SUBSTITUTE(SUBSTITUTE(SUBSTITUTE(LOWER(AA554&amp;""),CHAR(10),""),CHAR(13),""),CHAR(9),""),CHAR(160),"")," ",""),".",""),"-",""),"/",""),"?",""),"_",""),",",""),"[",""),"]",""),"(",""),")",""),"*","")</f>
        <v/>
      </c>
      <c r="BB554" s="61" t="str">
        <f aca="false">IF(AND(TRIM(U554)="Pass",ISNUMBER(AF554)),IF(AF554&lt;&gt;0,"INVALID – qty variance: use Fail or Pass after CA",""),"")&amp;IF(AND(TRIM(U554)="Pass after CA",ISNUMBER(AF554)),IF(AF554&lt;&gt;0,"INVALID – after the corrective action the actual qty must equal expected (update Actual)",""),"")&amp;IF(AND(TRIM(U554)="Pass",TRIM(AB554)&lt;&gt;"",TRIM(AB554)&lt;&gt;"Closed"),"INVALID – corrective action not closed: use Fail, then Pass after CA","")&amp;IF(AND(LEN(BA554)&gt;=2,ISNA(MATCH(LEFT(BA554,255),L_Placeholder,0)),TRIM(AB554)=""),"INVALID – CA status missing for the recorded corrective action","")&amp;IF(AND(TRIM(U554)="Pass after CA",OR(OR(LEN(BA554)&lt;5,ISNUMBER(MATCH(BA554,L_Placeholder,0))),TRIM(AB554)&lt;&gt;"Closed")),"INVALID – corrective action not recorded/closed","")</f>
        <v/>
      </c>
      <c r="BC554" s="61" t="str">
        <f aca="false">" "&amp;TRIM(SUBSTITUTE(SUBSTITUTE(SUBSTITUTE(SUBSTITUTE(SUBSTITUTE(SUBSTITUTE(SUBSTITUTE(SUBSTITUTE(SUBSTITUTE(SUBSTITUTE(SUBSTITUTE(SUBSTITUTE(SUBSTITUTE(SUBSTITUTE(SUBSTITUTE(SUBSTITUTE(SUBSTITUTE(SUBSTITUTE(SUBSTITUTE(SUBSTITUTE(SUBSTITUTE(SUBSTITUTE(SUBSTITUTE(SUBSTITUTE(LOWER(V554&amp;""),CHAR(10)," "),CHAR(13)," "),CHAR(9)," "),CHAR(160)," "),"."," "),","," "),"-"," "),"/"," "),"("," "),")"," "),":"," "),";"," "),"_"," "),"–"," "),"?"," "),"!"," "),"*"," "),"["," "),"]"," "),"'"," "),"#"," "),"+"," "),"&amp;"," "),"\"," "))&amp;" "</f>
        <v>  </v>
      </c>
      <c r="BD554" s="61" t="str">
        <f aca="false">" "&amp;TRIM(SUBSTITUTE(SUBSTITUTE(SUBSTITUTE(SUBSTITUTE(SUBSTITUTE(SUBSTITUTE(SUBSTITUTE(SUBSTITUTE(SUBSTITUTE(SUBSTITUTE(SUBSTITUTE(SUBSTITUTE(SUBSTITUTE(SUBSTITUTE(SUBSTITUTE(SUBSTITUTE(SUBSTITUTE(SUBSTITUTE(SUBSTITUTE(SUBSTITUTE(SUBSTITUTE(SUBSTITUTE(SUBSTITUTE(SUBSTITUTE(LOWER(Z554&amp;""),CHAR(10)," "),CHAR(13)," "),CHAR(9)," "),CHAR(160)," "),"."," "),","," "),"-"," "),"/"," "),"("," "),")"," "),":"," "),";"," "),"_"," "),"–"," "),"?"," "),"!"," "),"*"," "),"["," "),"]"," "),"'"," "),"#"," "),"+"," "),"&amp;"," "),"\"," "))&amp;" "</f>
        <v>  </v>
      </c>
      <c r="BE554" s="61" t="str">
        <f aca="false">" "&amp;TRIM(SUBSTITUTE(SUBSTITUTE(SUBSTITUTE(SUBSTITUTE(SUBSTITUTE(SUBSTITUTE(SUBSTITUTE(SUBSTITUTE(SUBSTITUTE(SUBSTITUTE(SUBSTITUTE(SUBSTITUTE(SUBSTITUTE(SUBSTITUTE(SUBSTITUTE(SUBSTITUTE(SUBSTITUTE(SUBSTITUTE(SUBSTITUTE(SUBSTITUTE(SUBSTITUTE(SUBSTITUTE(SUBSTITUTE(SUBSTITUTE(LOWER(W554&amp;""),CHAR(10)," "),CHAR(13)," "),CHAR(9)," "),CHAR(160)," "),"."," "),","," "),"-"," "),"/"," "),"("," "),")"," "),":"," "),";"," "),"_"," "),"–"," "),"?"," "),"!"," "),"*"," "),"["," "),"]"," "),"'"," "),"#"," "),"+"," "),"&amp;"," "),"\"," "))&amp;" "</f>
        <v>  </v>
      </c>
      <c r="BF554" s="61" t="str">
        <f aca="false">" "&amp;TRIM(SUBSTITUTE(SUBSTITUTE(SUBSTITUTE(SUBSTITUTE(SUBSTITUTE(SUBSTITUTE(SUBSTITUTE(SUBSTITUTE(SUBSTITUTE(SUBSTITUTE(SUBSTITUTE(SUBSTITUTE(SUBSTITUTE(SUBSTITUTE(SUBSTITUTE(SUBSTITUTE(SUBSTITUTE(SUBSTITUTE(SUBSTITUTE(SUBSTITUTE(SUBSTITUTE(SUBSTITUTE(SUBSTITUTE(SUBSTITUTE(LOWER(AC554&amp;""),CHAR(10)," "),CHAR(13)," "),CHAR(9)," "),CHAR(160)," "),"."," "),","," "),"-"," "),"/"," "),"("," "),")"," "),":"," "),";"," "),"_"," "),"–"," "),"?"," "),"!"," "),"*"," "),"["," "),"]"," "),"'"," "),"#"," "),"+"," "),"&amp;"," "),"\"," "))&amp;" "</f>
        <v>  </v>
      </c>
      <c r="BG554" s="61" t="n">
        <f aca="false">IFERROR(IF(AND(TRIM(U554)="Pass",SUMPRODUCT((LEN(BC554)-LEN(SUBSTITUTE(BC554," "&amp;L_ResultBad&amp;" "," ")))/(LEN(L_ResultBad)+1))&gt;SUMPRODUCT((LEN(BC554)-LEN(SUBSTITUTE(BC554," "&amp;L_NegPhrase&amp;" "," ")))/(LEN(L_NegPhrase)+1))),1,0),0)</f>
        <v>0</v>
      </c>
      <c r="BH554" s="61" t="n">
        <f aca="false">IFERROR(IF(SUMPRODUCT((LEN(BC554)-LEN(SUBSTITUTE(BC554," "&amp;L_Pending&amp;" "," ")))/(LEN(L_Pending)+1))&gt;SUMPRODUCT((LEN(BC554)-LEN(SUBSTITUTE(BC554," "&amp;L_PendNeg&amp;" "," ")))/(LEN(L_PendNeg)+1))+SUMPRODUCT((LEN(BC554)-LEN(SUBSTITUTE(BC554," "&amp;L_PendPrep&amp;" "," ")))/(LEN(L_PendPrep)+1)),1,0),1)</f>
        <v>0</v>
      </c>
      <c r="BI554" s="61" t="n">
        <f aca="false">IFERROR(IF(SUMPRODUCT((LEN(BD554)-LEN(SUBSTITUTE(BD554," "&amp;L_PendStrict&amp;" "," ")))/(LEN(L_PendStrict)+1))&gt;SUMPRODUCT((LEN(BD554)-LEN(SUBSTITUTE(BD554," "&amp;L_PendNeg&amp;" "," ")))/(LEN(L_PendNeg)+1)),1,0),1)</f>
        <v>0</v>
      </c>
      <c r="BJ554" s="61" t="n">
        <f aca="false">IFERROR(IF(SUMPRODUCT((LEN(BE554)-LEN(SUBSTITUTE(BE554," "&amp;L_Pending&amp;" "," ")))/(LEN(L_Pending)+1))&gt;SUMPRODUCT((LEN(BE554)-LEN(SUBSTITUTE(BE554," "&amp;L_PendNeg&amp;" "," ")))/(LEN(L_PendNeg)+1))+SUMPRODUCT((LEN(BE554)-LEN(SUBSTITUTE(BE554," "&amp;L_PendPrep&amp;" "," ")))/(LEN(L_PendPrep)+1)),1,0),1)</f>
        <v>0</v>
      </c>
      <c r="BK554" s="61" t="n">
        <f aca="false">IFERROR(IF(SUMPRODUCT((LEN(BF554)-LEN(SUBSTITUTE(BF554," "&amp;L_PendStrict&amp;" "," ")))/(LEN(L_PendStrict)+1))&gt;SUMPRODUCT((LEN(BF554)-LEN(SUBSTITUTE(BF554," "&amp;L_PendNeg&amp;" "," ")))/(LEN(L_PendNeg)+1)),1,0),1)</f>
        <v>0</v>
      </c>
      <c r="BL554" s="61" t="n">
        <f aca="false">IF(ISNA(MATCH(TRIM(S554),L_EvidenceType,0)),0,BZ554)</f>
        <v>0</v>
      </c>
      <c r="BM554" s="61" t="str">
        <f aca="false">SUBSTITUTE(SUBSTITUTE(SUBSTITUTE(SUBSTITUTE(SUBSTITUTE(SUBSTITUTE(SUBSTITUTE(SUBSTITUTE(SUBSTITUTE(LOWER(Z554&amp;""),"1","0"),"2","0"),"3","0"),"4","0"),"5","0"),"6","0"),"7","0"),"8","0"),"9","0")</f>
        <v/>
      </c>
      <c r="BN554" s="61" t="str">
        <f aca="false">SUBSTITUTE(SUBSTITUTE(SUBSTITUTE(SUBSTITUTE(SUBSTITUTE(SUBSTITUTE(SUBSTITUTE(SUBSTITUTE(SUBSTITUTE(SUBSTITUTE(SUBSTITUTE(SUBSTITUTE(SUBSTITUTE(SUBSTITUTE(SUBSTITUTE(SUBSTITUTE(SUBSTITUTE(SUBSTITUTE(SUBSTITUTE(SUBSTITUTE(SUBSTITUTE(SUBSTITUTE(SUBSTITUTE(SUBSTITUTE(SUBSTITUTE(BM554,"b","a"),"c","a"),"d","a"),"e","a"),"f","a"),"g","a"),"h","a"),"i","a"),"j","a"),"k","a"),"l","a"),"m","a"),"n","a"),"o","a"),"p","a"),"q","a"),"r","a"),"s","a"),"t","a"),"u","a"),"v","a"),"w","a"),"x","a"),"y","a"),"z","a")</f>
        <v/>
      </c>
      <c r="BO554" s="61" t="str">
        <f aca="false">SUBSTITUTE(SUBSTITUTE(SUBSTITUTE(SUBSTITUTE(SUBSTITUTE(SUBSTITUTE(SUBSTITUTE(SUBSTITUTE(SUBSTITUTE(LOWER(W554&amp;""),"1","0"),"2","0"),"3","0"),"4","0"),"5","0"),"6","0"),"7","0"),"8","0"),"9","0")</f>
        <v/>
      </c>
      <c r="BP554" s="61" t="str">
        <f aca="false">SUBSTITUTE(SUBSTITUTE(SUBSTITUTE(SUBSTITUTE(SUBSTITUTE(SUBSTITUTE(SUBSTITUTE(SUBSTITUTE(SUBSTITUTE(SUBSTITUTE(SUBSTITUTE(SUBSTITUTE(SUBSTITUTE(SUBSTITUTE(SUBSTITUTE(SUBSTITUTE(SUBSTITUTE(SUBSTITUTE(SUBSTITUTE(SUBSTITUTE(SUBSTITUTE(SUBSTITUTE(SUBSTITUTE(SUBSTITUTE(SUBSTITUTE(BO554,"b","a"),"c","a"),"d","a"),"e","a"),"f","a"),"g","a"),"h","a"),"i","a"),"j","a"),"k","a"),"l","a"),"m","a"),"n","a"),"o","a"),"p","a"),"q","a"),"r","a"),"s","a"),"t","a"),"u","a"),"v","a"),"w","a"),"x","a"),"y","a"),"z","a")</f>
        <v/>
      </c>
      <c r="BQ554" s="61" t="n">
        <f aca="false">IFERROR(IF(AND(ISERROR(SEARCH(" mh"," "&amp;LOWER(W554))),ISNA(MATCH(LEFT(TRIM(BP554),255),{"0000a","000a","00a","0000aa","000aa","00aa","0aa","0000aaa","000aaa","00a00","0a00","0000-0000","00:00","a00","a0","00.00.0000","00/00/0000","00-00-0000","0000-00-00","0000/00/00","0000.00.00","00.00.00","00/00/00","00-00-00","0.00.0000","0/00/0000","0-00-0000"},0)),ISNA(MATCH(LEFT(TRIM(CA554),255),{"0000a","000a","00a","0000aa","000aa","00aa","0aa","0000aaa","000aaa","00a00","0a00","0000-0000","00:00","a00","a0","00.00.0000","00/00/0000","00-00-0000","0000-00-00","0000/00/00","0000.00.00","00.00.00","00/00/00","00-00-00","0.00.0000","0/00/0000","0-00-0000"},0)),LEN(CB554)&gt;=3,NOT(OR(SUBSTITUTE(CB554,"0","")="",AND(LEN(CB554)&gt;=4,CB554=REPT(LEFT(CB554),LEN(CB554))),ISNUMBER(MATCH(CB554,{"123","1234","12345","123456","1234567","12345678","0123","01234","012345","98765","987654","54321"},0)),AND(LEN(CB554)=8,LEFT(CB554,3)="202"))),OR(AND((LEN(CA554)-LEN(SUBSTITUTE(CA554,"a","")))&gt;=1,SUMPRODUCT(--ISNUMBER(SEARCH({"a0","a-0","a_0","a/0","a.0","a#0","0a","0-a","0_a","0/a"},BP554)))&gt;0),ISNUMBER(SEARCH("000000",BP554)))),1,0),0)</f>
        <v>0</v>
      </c>
      <c r="BR554" s="61" t="n">
        <f aca="false">IFERROR(LEN(SUBSTITUTE(CC554," ",""))-SUMPRODUCT((LEN(CC554)-LEN(SUBSTITUTE(CC554," "&amp;L_Role&amp;" "," ")))/(LEN(L_Role)+1)*LEN(L_Role)),0)</f>
        <v>0</v>
      </c>
      <c r="BS554" s="61" t="n">
        <f aca="false">IFERROR(LEN(SUBSTITUTE(CD554," ",""))-SUMPRODUCT((LEN(CD554)-LEN(SUBSTITUTE(CD554," "&amp;L_Role&amp;" "," ")))/(LEN(L_Role)+1)*LEN(L_Role)),0)</f>
        <v>0</v>
      </c>
      <c r="BT5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554,"revision",""),"version",""),"jan",""),"feb",""),"mar",""),"apr",""),"may",""),"jun",""),"jul",""),"aug",""),"sep",""),"oct",""),"nov",""),"dec",""),"utc",""),"gmt",""),"myt",""),"bst",""),"rev",""),"ver",""),"b","a"),"c","a"),"d","a"),"e","a"),"f","a"),"g","a"),"h","a"),"i","a"),"j","a"),"k","a"),"l","a"),"m","a"),"n","a"),"o","a"),"p","a"),"q","a"),"r","a"),"s","a"),"t","a"),"u","a"),"v","a"),"w","a"),"x","a"),"y","a"),"z","a")</f>
        <v/>
      </c>
      <c r="BU554" s="61" t="str">
        <f aca="false">SUBSTITUTE(SUBSTITUTE(SUBSTITUTE(SUBSTITUTE(SUBSTITUTE(SUBSTITUTE(SUBSTITUTE(SUBSTITUTE(SUBSTITUTE(SUBSTITUTE(LEFT(BM554,FIND("0",BM554&amp;"0")-1),"-",""),"_",""),"/",""),".",""),"#",""),"\\",""),":","")," ",""),"(",""),")","")</f>
        <v/>
      </c>
      <c r="BV554" s="61" t="n">
        <f aca="false">0</f>
        <v>0</v>
      </c>
      <c r="BW5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554&amp;""),"a",""),"b",""),"c",""),"d",""),"e",""),"f",""),"g",""),"h",""),"i",""),"j",""),"k",""),"l",""),"m",""),"n",""),"o",""),"p",""),"q",""),"r",""),"s",""),"t",""),"u",""),"v",""),"w",""),"x",""),"y",""),"z",""),"-",""),"_",""),"/",""),".",""),"#",""),"\\",""),":","")," ",""),"(",""),")","")</f>
        <v/>
      </c>
      <c r="BX554" s="61" t="str">
        <f aca="false">SUBSTITUTE(SUBSTITUTE(SUBSTITUTE(SUBSTITUTE(SUBSTITUTE(SUBSTITUTE(SUBSTITUTE(SUBSTITUTE(SUBSTITUTE(SUBSTITUTE(SUBSTITUTE(BM554,"0",""),"-",""),"_",""),"/",""),".",""),"#",""),"\\",""),":","")," ",""),"(",""),")","")</f>
        <v/>
      </c>
      <c r="BY554" s="62" t="n">
        <f aca="false">Q554-T12EarlyH/24</f>
        <v>46321.2847222222</v>
      </c>
      <c r="BZ554" s="61" t="n">
        <f aca="false">IFERROR(IF(IF(TRIM(S554)="Link / file path",AND(LEN(TRIM(Z554))&gt;=5,SUMPRODUCT(--ISNUMBER(SEARCH({"http","www.","\\",":\",".pdf",".jpg",".jpeg",".png",".heic",".xls",".doc",".msg",".eml",".ppt",".txt",".zip"},Z554)))&gt;0),AND(ISERROR(FIND(" ",TRIM(Z554))),NOT(OR(SUMPRODUCT(--ISNUMBER(FIND({",",";","&amp;","+"},Z554)))&gt;0,SUMPRODUCT(--ISNUMBER(SEARCH({"0/aa","0\\aa"},BN554)))&gt;0)),NOT(SUMPRODUCT(--ISNUMBER(SEARCH({"http","www.","\\",":\",".pdf",".jpg",".jpeg",".png",".heic",".xls",".doc",".msg",".eml",".ppt",".txt",".zip"},Z554)))&gt;0),NOT(LOWER(TRIM(Z554))=LOWER(Flights!$F$21)),ISNA(MATCH(BU554,{"mh","rev","revision","ver","version","v","r","a","b","seat","tray","row","gate","bay","stand","page","pg","item","line","no","cart","galley","flight","flt","table","box","bag","oven","etd","eta","std","sta","atd","ata","qty","pax","x","time","tel","ph","mob","day","wk","week","utc","gmt","myt","lt"},0)),NOT(OR(ISNUMBER(MATCH(LEFT(BN554,255),{"0000a","000a","00a","0000aa","000aa","00aa","0aa","0000aaa","000aaa","00a00","0a00","0000-0000","00:00","a00","a0","00.00.0000","00/00/0000","00-00-0000","0000-00-00","0000/00/00","0000.00.00","00.00.00","00/00/00","00-00-00","0.00.0000","0/00/0000","0-00-0000"},0)),ISNUMBER(MATCH(LEFT(BT554,255),{"0000a","000a","00a","0000aa","000aa","00aa","0aa","0000aaa","000aaa","00a00","0a00","0000-0000","00:00","a00","a0","00.00.0000","00/00/0000","00-00-0000","0000-00-00","0000/00/00","0000.00.00","00.00.00","00/00/00","00-00-00","0.00.0000","0/00/0000","0-00-0000"},0)))),NOT(OR(AND(BW554&lt;&gt;"",SUBSTITUTE(BW554,"0","")=""),AND(LEN(BW554)&gt;=4,BW554=REPT(LEFT(BW554),LEN(BW554))),ISNUMBER(MATCH(BW554,{"123","1234","12345","123456","1234567","12345678","0123","01234","012345","98765","987654","54321"},0)),ISNUMBER(MATCH(BX554,{"x","xx","xxx","xxxx","xxxxx","abc","abcd","nil","na","nan","test","tbc","tba","tbd","dummy","sample","example","eg","zz","zzz","none","null","xyz","qwe","asd","id","ref"},0)),AND(LEN(BW554)=8,BX554="",OR(LEFT(BW554,3)="202",ISNUMBER(MATCH(RIGHT(BW554,4),{"2025","2026","2027"},0)))))),OR(AND((LEN(BT554)-LEN(SUBSTITUTE(BT554,"a","")))&gt;=1,(LEN(BN554)-LEN(SUBSTITUTE(BN554,"0","")))&gt;=2,SUMPRODUCT(--ISNUMBER(SEARCH({"a0","a-0","a_0","a/0","a.0","a#0","0a","0-a","0_a","0/a"},BN554)))&gt;0),AND((LEN(BN554)-LEN(SUBSTITUTE(BN554,"a","")))=0,(LEN(BN554)-LEN(SUBSTITUTE(BN554,"0","")))&gt;=5)))),1,0),0)</f>
        <v>0</v>
      </c>
      <c r="CA5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554,"revision",""),"version",""),"jan",""),"feb",""),"mar",""),"apr",""),"may",""),"jun",""),"jul",""),"aug",""),"sep",""),"oct",""),"nov",""),"dec",""),"utc",""),"gmt",""),"myt",""),"bst",""),"rev",""),"ver",""),"b","a"),"c","a"),"d","a"),"e","a"),"f","a"),"g","a"),"h","a"),"i","a"),"j","a"),"k","a"),"l","a"),"m","a"),"n","a"),"o","a"),"p","a"),"q","a"),"r","a"),"s","a"),"t","a"),"u","a"),"v","a"),"w","a"),"x","a"),"y","a"),"z","a")</f>
        <v/>
      </c>
      <c r="CB5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554&amp;""),"a",""),"b",""),"c",""),"d",""),"e",""),"f",""),"g",""),"h",""),"i",""),"j",""),"k",""),"l",""),"m",""),"n",""),"o",""),"p",""),"q",""),"r",""),"s",""),"t",""),"u",""),"v",""),"w",""),"x",""),"y",""),"z",""),"-",""),"_",""),"/",""),".",""),"#",""),"\\",""),":","")," ",""),"(",""),")","")</f>
        <v/>
      </c>
      <c r="CC554" s="0" t="str">
        <f aca="false">" "&amp;TRIM(SUBSTITUTE(SUBSTITUTE(SUBSTITUTE(SUBSTITUTE(SUBSTITUTE(SUBSTITUTE(SUBSTITUTE(SUBSTITUTE(SUBSTITUTE(SUBSTITUTE(SUBSTITUTE(SUBSTITUTE(SUBSTITUTE(SUBSTITUTE(SUBSTITUTE(SUBSTITUTE(SUBSTITUTE(SUBSTITUTE(SUBSTITUTE(SUBSTITUTE(SUBSTITUTE(SUBSTITUTE(SUBSTITUTE(SUBSTITUTE(LOWER(T554&amp;""),CHAR(10)," "),CHAR(13)," "),CHAR(9)," "),CHAR(160)," "),"."," "),","," "),"-"," "),"/"," "),"("," "),")"," "),":"," "),";"," "),"_"," "),"–"," "),"?"," "),"!"," "),"*"," "),"["," "),"]"," "),"'"," "),"#"," "),"+"," "),"&amp;"," "),"\"," "))&amp;" "</f>
        <v>  </v>
      </c>
      <c r="CD554" s="0" t="str">
        <f aca="false">" "&amp;TRIM(SUBSTITUTE(SUBSTITUTE(SUBSTITUTE(SUBSTITUTE(SUBSTITUTE(SUBSTITUTE(SUBSTITUTE(SUBSTITUTE(SUBSTITUTE(SUBSTITUTE(SUBSTITUTE(SUBSTITUTE(SUBSTITUTE(SUBSTITUTE(SUBSTITUTE(SUBSTITUTE(SUBSTITUTE(SUBSTITUTE(SUBSTITUTE(SUBSTITUTE(SUBSTITUTE(SUBSTITUTE(SUBSTITUTE(SUBSTITUTE(LOWER(AE554&amp;""),CHAR(10)," "),CHAR(13)," "),CHAR(9)," "),CHAR(160)," "),"."," "),","," "),"-"," "),"/"," "),"("," "),")"," "),":"," "),";"," "),"_"," "),"–"," "),"?"," "),"!"," "),"*"," "),"["," "),"]"," "),"'"," "),"#"," "),"+"," "),"&amp;"," "),"\"," "))&amp;" "</f>
        <v>  </v>
      </c>
      <c r="CE554" s="68" t="n">
        <f aca="false">IFERROR(IF(AND(LEN(AU554)&gt;0,LEN(AU554)=LEN(AX554),OR(TRIM(MID(SUBSTITUTE(TRIM(CC554)," ",REPT(" ",60)),1,60))="",ISNUMBER(SEARCH(" "&amp;TRIM(MID(SUBSTITUTE(TRIM(CC554)," ",REPT(" ",60)),1,60))&amp;" ",CD554))),OR(TRIM(MID(SUBSTITUTE(TRIM(CC554)," ",REPT(" ",60)),61,60))="",ISNUMBER(SEARCH(" "&amp;TRIM(MID(SUBSTITUTE(TRIM(CC554)," ",REPT(" ",60)),61,60))&amp;" ",CD554))),OR(TRIM(MID(SUBSTITUTE(TRIM(CC554)," ",REPT(" ",60)),121,60))="",ISNUMBER(SEARCH(" "&amp;TRIM(MID(SUBSTITUTE(TRIM(CC554)," ",REPT(" ",60)),121,60))&amp;" ",CD554)))),1,0),0)</f>
        <v>0</v>
      </c>
      <c r="CG554" s="68" t="n">
        <f aca="false">IFERROR(LEN(SUBSTITUTE(BF554," ",""))-SUMPRODUCT((LEN(BF554)-LEN(SUBSTITUTE(BF554," "&amp;L_NAFiller&amp;" "," ")))/(LEN(L_NAFiller)+1)*LEN(L_NAFiller)),0)</f>
        <v>0</v>
      </c>
    </row>
    <row r="555" customFormat="false" ht="54" hidden="false" customHeight="true" outlineLevel="0" collapsed="false">
      <c r="A555" s="57" t="s">
        <v>1236</v>
      </c>
      <c r="B555" s="57" t="s">
        <v>290</v>
      </c>
      <c r="C555" s="57" t="str">
        <f aca="false">Flights!$F$21</f>
        <v>MH0073</v>
      </c>
      <c r="D555" s="58" t="n">
        <f aca="false">Flights!$D$21</f>
        <v>46322</v>
      </c>
      <c r="E555" s="57" t="str">
        <f aca="false">Flights!$G$21&amp;"-"&amp;Flights!$H$21</f>
        <v>HKG-KUL</v>
      </c>
      <c r="F555" s="57" t="str">
        <f aca="false">Flights!$K$21</f>
        <v>BC</v>
      </c>
      <c r="G555" s="57" t="s">
        <v>420</v>
      </c>
      <c r="H555" s="57" t="s">
        <v>378</v>
      </c>
      <c r="I555" s="57" t="s">
        <v>499</v>
      </c>
      <c r="J555" s="57" t="s">
        <v>518</v>
      </c>
      <c r="K555" s="67" t="s">
        <v>519</v>
      </c>
      <c r="L555" s="67" t="s">
        <v>1237</v>
      </c>
      <c r="M555" s="67" t="s">
        <v>451</v>
      </c>
      <c r="N555" s="67" t="s">
        <v>383</v>
      </c>
      <c r="O555" s="67" t="s">
        <v>1238</v>
      </c>
      <c r="P555" s="57" t="s">
        <v>282</v>
      </c>
      <c r="Q555" s="59" t="n">
        <f aca="false">ROUND((Flights!$AE$21)*1440,0)/1440</f>
        <v>46321.7847222222</v>
      </c>
      <c r="R555" s="59" t="n">
        <f aca="false">Q555+(IF(AND(INDEX(TZ_DSTS,MATCH(P555,TZ_STN,0))&lt;&gt;"",Q555&gt;=INDEX(TZ_DSTS,MATCH(P555,TZ_STN,0)),Q555&lt;INDEX(TZ_DSTE,MATCH(P555,TZ_STN,0))),INDEX(TZ_DST,MATCH(P555,TZ_STN,0)),INDEX(TZ_STD,MATCH(P555,TZ_STN,0))))/24</f>
        <v>46322.1180555556</v>
      </c>
      <c r="S555" s="60"/>
      <c r="T555" s="60"/>
      <c r="U555" s="60"/>
      <c r="V555" s="60"/>
      <c r="W555" s="61"/>
      <c r="X555" s="60"/>
      <c r="Y555" s="60"/>
      <c r="Z555" s="60"/>
      <c r="AA555" s="60"/>
      <c r="AB555" s="60"/>
      <c r="AC555" s="60"/>
      <c r="AD555" s="66"/>
      <c r="AE555" s="60"/>
      <c r="AF555" s="61" t="str">
        <f aca="false">IF(AND(ISNUMBER(X555),ISNUMBER(Y555)),Y555-X555,"")</f>
        <v/>
      </c>
      <c r="AG555" s="62" t="str">
        <f aca="false">IF(ISNUMBER(AD555),AD555-(IF(AND(INDEX(TZ_DSTS,MATCH(P555,TZ_STN,0))&lt;&gt;"",(AD555-INDEX(TZ_STD,MATCH(P555,TZ_STN,0))/24)&gt;=INDEX(TZ_DSTS,MATCH(P555,TZ_STN,0)),(AD555-INDEX(TZ_STD,MATCH(P555,TZ_STN,0))/24)&lt;INDEX(TZ_DSTE,MATCH(P555,TZ_STN,0))),INDEX(TZ_DST,MATCH(P555,TZ_STN,0)),INDEX(TZ_STD,MATCH(P555,TZ_STN,0))))/24,"")</f>
        <v/>
      </c>
      <c r="AH555" s="65" t="str">
        <f aca="false">IFERROR(IF(N555="N/A – rule",IF(OR(TRIM(U555)="",TRIM(U555)="N/A",TRIM(U555)="Not started"),"N/A – RULE","INVALID – this check does not apply to this aircraft: clear the status (or correct the fleet on Flights)"),IF(TRIM(U555)="N/A",IF(AT555=0,"INVALID – N/A not permitted for this check",IF(AND(TRIM(AB555)&lt;&gt;"",TRIM(AB555)&lt;&gt;"Closed"),"INVALID – corrective action still open",IF(AND(NOT(OR(LEN(AZ555)&lt;15,ISNUMBER(MATCH(AZ555,L_Placeholder,0)))),BK555=0,CG555&gt;=8,NOT(OR(LEN(AU555)&lt;2,ISNUMBER(MATCH(AU555,L_Placeholder,0)))),BR555&gt;=3,NOT(OR(LEN(AX555)&lt;2,ISNUMBER(MATCH(AX555,L_Placeholder,0)))),BS555&gt;=3,TRIM(AE555)&lt;&gt;TRIM(T555),AX555&lt;&gt;AU555,CE555=0),"N/A – JUSTIFIED","INVALID – N/A needs a real, settled reason (not 'not applicable' / 'as above' / TBC), a named PIC and a different named verifier"))),IF(OR(TRIM(U555)="Pass",TRIM(U555)="Pass after CA"),IF(NOT(ISNUMBER(AD555)),"INVALID – completion time missing",IF(OR(OR(LEN(AU555)&lt;2,ISNUMBER(MATCH(AU555,L_Placeholder,0))),BR555&lt;3),"INVALID – PIC missing or not a named person (a role such as QA / CSM is not a name)",IF(OR(LEN(AV555)&lt;2,ISNUMBER(MATCH(AV555,L_Placeholder,0))),"INVALID – result / assessment missing",IF(OR(OR(LEN(AW555)&lt;3,ISNUMBER(MATCH(AW555,L_Placeholder,0))),SUMPRODUCT(--ISNUMBER(SEARCH(" "&amp;L_EvidencePhrase&amp;" ",BD555)))&gt;0,BI555=1),"INVALID – evidence missing, placeholder or not yet on file",IF(ISNA(MATCH(TRIM(S555),L_EvidenceType,0)),"INVALID – choose the evidence type from the list (column S)",IF(BL555=0,"INVALID – evidence ID must be the record's own ID only (e.g. SF-2210, IMG_2231, 1045521); a link / file name needs type 'Link / file path'",IF(OR(OR(LEN(AX555)&lt;2,ISNUMBER(MATCH(AX555,L_Placeholder,0))),BS555&lt;3),"INVALID – verifier missing or not a named person (a role such as QA / CSM is not a name)",IF(OR(AX555=AU555,CE555=1,AND(LEN(AU555)&gt;=4,ISNUMBER(SEARCH(AU555,AX555))),AND(LEN(AX555)&gt;=4,ISNUMBER(SEARCH(AX555,AU555)))),"INVALID – verifier must be a different, named person (not the PIC or a role)",IF(BH555=1,"INVALID – result not yet available (awaiting / TBC)",IF(BG555=1,"INVALID – result describes a problem: record Fail, then Pass after CA (or reword if it is not a problem)",IF(BV555=1,"INVALID – wording says not on board: an on-board confirmation needs the item loaded",IF(AND(AQ555=1,OR(OR(LEN(AY555)&lt;3,ISNUMBER(MATCH(AY555,L_Placeholder,0))),BJ555=1,BQ555=0)),"INVALID – batch ID missing, placeholder or not an ID (e.g. PASB-261008-BC-017)",IF(AND(AR555=1,OR(NOT(ISNUMBER(X555)),NOT(ISNUMBER(Y555)))),"INVALID – expected/actual qty missing",IF(AND(AR555=1,OR(X555&lt;=0,Y555&lt;0)),"INVALID – expected qty must be above 0 and actual not negative",IF(BB555&lt;&gt;"",BB555,IF(AND(AS555=1,Documents!$J$21&lt;&gt;"ON FILE"),"INVALID – GLD not on file (Documents sheet)",IF(AND(AS555=2,Documents!$O$21&lt;&gt;"ON FILE"),"INVALID – menu checklist not on file (Documents sheet)",IF(AND(AS555=3,NOT(ISNUMBER(Flights!$AX$21))),"INVALID – enter carrying flight KUL departure (Flights AX)",IF(AND(AS555=3,OR(Flights!$AZ$21&gt;Flights!$AA$21,Flights!$AX$21&lt;Flights!$AA$21-3)),"INVALID – carrying flight (Flights AX) cannot arrive before this leg's STD, or is over 3 days early",IF(AG555&gt;AsOfUTC,"INVALID – completion time is in the future",IF(AND(ISNUMBER(BY555),AG555&lt;BY555),IF(H555="Physical uplift","INVALID – before uplift window (cannot confirm loading)","INVALID – before valid window"),IF(AG555&gt;Flights!$AA$21,"INVALID – completed after departure (cannot establish readiness)",IF(AND(H555="Preparation",AG555&gt;=IF(ISNUMBER(Flights!$BA$21),MIN(Flights!$BA$21,Flights!$AA$21),Flights!$AA$21)),"INVALID – completed after loading / departure (cannot establish readiness)",IF(AND(H555="Physical uplift",AG555&gt;Q555),"INVALID – recorded after the loading flight departed",IF(AG555&gt;Q555,"COMPLETE – LATE","COMPLETE"))))))))))))))))))))))))),IF(TRIM(U555)="Fail","FAIL – DISCREPANCY",IF(AND(TRIM(U555)&lt;&gt;"",TRIM(U555)&lt;&gt;"Not started",TRIM(U555)&lt;&gt;"In progress"),"INVALID – unrecognised status (use the list)",IF(AsOfUTC&gt;Q555,"OVERDUE",IF(N555="Clarification required","OPEN – CLARIFICATION","OPEN"))))))),"INVALID – error value in an input cell")</f>
        <v>OPEN</v>
      </c>
      <c r="AI555" s="61" t="n">
        <f aca="false">IF(OR(AH555="N/A – RULE",AH555="N/A – JUSTIFIED"),0,1)</f>
        <v>1</v>
      </c>
      <c r="AJ555" s="61" t="n">
        <f aca="false">IF(LEFT(AH555,8)="COMPLETE",1,0)</f>
        <v>0</v>
      </c>
      <c r="AK555" s="61" t="n">
        <f aca="false">IF(AND(AI555=1,AJ555=0,AsOfUTC&gt;Q555),1,0)</f>
        <v>0</v>
      </c>
      <c r="AL555" s="61" t="n">
        <f aca="false">IFERROR(IF(AND(AI555=1,OR(TRIM(U555)="Fail",AND(TRIM(AB555)&lt;&gt;"",TRIM(AB555)&lt;&gt;"Closed"),AND(ISNUMBER(AF555),AF555&lt;&gt;0,TRIM(U555)&lt;&gt;"Pass after CA"))),1,0),1)</f>
        <v>0</v>
      </c>
      <c r="AM555" s="61" t="n">
        <f aca="false">IF(LEFT(AH555,7)="INVALID",1,0)</f>
        <v>0</v>
      </c>
      <c r="AN555" s="61" t="n">
        <f aca="false">IF(AND(N555="Clarification required",AI555=1,AJ555=0),1,0)</f>
        <v>0</v>
      </c>
      <c r="AO555" s="61" t="str">
        <f aca="false">IF(AK555=1,SUM(AK$5:AK555),"")</f>
        <v/>
      </c>
      <c r="AP555" s="61" t="str">
        <f aca="false">IF(AL555=1,SUM(AL$5:AL555),"")</f>
        <v/>
      </c>
      <c r="AQ555" s="61" t="n">
        <v>0</v>
      </c>
      <c r="AR555" s="61" t="n">
        <v>0</v>
      </c>
      <c r="AS555" s="61" t="n">
        <v>0</v>
      </c>
      <c r="AT555" s="61" t="n">
        <v>0</v>
      </c>
      <c r="AU555" s="61" t="str">
        <f aca="false">SUBSTITUTE(SUBSTITUTE(SUBSTITUTE(SUBSTITUTE(SUBSTITUTE(SUBSTITUTE(SUBSTITUTE(SUBSTITUTE(SUBSTITUTE(SUBSTITUTE(SUBSTITUTE(SUBSTITUTE(SUBSTITUTE(SUBSTITUTE(SUBSTITUTE(SUBSTITUTE(LOWER(T555&amp;""),CHAR(10),""),CHAR(13),""),CHAR(9),""),CHAR(160),"")," ",""),".",""),"-",""),"/",""),"?",""),"_",""),",",""),"[",""),"]",""),"(",""),")",""),"*","")</f>
        <v/>
      </c>
      <c r="AV555" s="61" t="str">
        <f aca="false">SUBSTITUTE(SUBSTITUTE(SUBSTITUTE(SUBSTITUTE(SUBSTITUTE(SUBSTITUTE(SUBSTITUTE(SUBSTITUTE(SUBSTITUTE(SUBSTITUTE(SUBSTITUTE(SUBSTITUTE(SUBSTITUTE(SUBSTITUTE(SUBSTITUTE(SUBSTITUTE(LOWER(V555&amp;""),CHAR(10),""),CHAR(13),""),CHAR(9),""),CHAR(160),"")," ",""),".",""),"-",""),"/",""),"?",""),"_",""),",",""),"[",""),"]",""),"(",""),")",""),"*","")</f>
        <v/>
      </c>
      <c r="AW555" s="61" t="str">
        <f aca="false">SUBSTITUTE(SUBSTITUTE(SUBSTITUTE(SUBSTITUTE(SUBSTITUTE(SUBSTITUTE(SUBSTITUTE(SUBSTITUTE(SUBSTITUTE(SUBSTITUTE(SUBSTITUTE(SUBSTITUTE(SUBSTITUTE(SUBSTITUTE(SUBSTITUTE(SUBSTITUTE(LOWER(Z555&amp;""),CHAR(10),""),CHAR(13),""),CHAR(9),""),CHAR(160),"")," ",""),".",""),"-",""),"/",""),"?",""),"_",""),",",""),"[",""),"]",""),"(",""),")",""),"*","")</f>
        <v/>
      </c>
      <c r="AX555" s="61" t="str">
        <f aca="false">SUBSTITUTE(SUBSTITUTE(SUBSTITUTE(SUBSTITUTE(SUBSTITUTE(SUBSTITUTE(SUBSTITUTE(SUBSTITUTE(SUBSTITUTE(SUBSTITUTE(SUBSTITUTE(SUBSTITUTE(SUBSTITUTE(SUBSTITUTE(SUBSTITUTE(SUBSTITUTE(LOWER(AE555&amp;""),CHAR(10),""),CHAR(13),""),CHAR(9),""),CHAR(160),"")," ",""),".",""),"-",""),"/",""),"?",""),"_",""),",",""),"[",""),"]",""),"(",""),")",""),"*","")</f>
        <v/>
      </c>
      <c r="AY555" s="61" t="str">
        <f aca="false">SUBSTITUTE(SUBSTITUTE(SUBSTITUTE(SUBSTITUTE(SUBSTITUTE(SUBSTITUTE(SUBSTITUTE(SUBSTITUTE(SUBSTITUTE(SUBSTITUTE(SUBSTITUTE(SUBSTITUTE(SUBSTITUTE(SUBSTITUTE(SUBSTITUTE(SUBSTITUTE(LOWER(W555&amp;""),CHAR(10),""),CHAR(13),""),CHAR(9),""),CHAR(160),"")," ",""),".",""),"-",""),"/",""),"?",""),"_",""),",",""),"[",""),"]",""),"(",""),")",""),"*","")</f>
        <v/>
      </c>
      <c r="AZ555" s="61" t="str">
        <f aca="false">SUBSTITUTE(SUBSTITUTE(SUBSTITUTE(SUBSTITUTE(SUBSTITUTE(SUBSTITUTE(SUBSTITUTE(SUBSTITUTE(SUBSTITUTE(SUBSTITUTE(SUBSTITUTE(SUBSTITUTE(SUBSTITUTE(SUBSTITUTE(SUBSTITUTE(SUBSTITUTE(LOWER(AC555&amp;""),CHAR(10),""),CHAR(13),""),CHAR(9),""),CHAR(160),"")," ",""),".",""),"-",""),"/",""),"?",""),"_",""),",",""),"[",""),"]",""),"(",""),")",""),"*","")</f>
        <v/>
      </c>
      <c r="BA555" s="61" t="str">
        <f aca="false">SUBSTITUTE(SUBSTITUTE(SUBSTITUTE(SUBSTITUTE(SUBSTITUTE(SUBSTITUTE(SUBSTITUTE(SUBSTITUTE(SUBSTITUTE(SUBSTITUTE(SUBSTITUTE(SUBSTITUTE(SUBSTITUTE(SUBSTITUTE(SUBSTITUTE(SUBSTITUTE(LOWER(AA555&amp;""),CHAR(10),""),CHAR(13),""),CHAR(9),""),CHAR(160),"")," ",""),".",""),"-",""),"/",""),"?",""),"_",""),",",""),"[",""),"]",""),"(",""),")",""),"*","")</f>
        <v/>
      </c>
      <c r="BB555" s="61" t="str">
        <f aca="false">IF(AND(TRIM(U555)="Pass",ISNUMBER(AF555)),IF(AF555&lt;&gt;0,"INVALID – qty variance: use Fail or Pass after CA",""),"")&amp;IF(AND(TRIM(U555)="Pass after CA",ISNUMBER(AF555)),IF(AF555&lt;&gt;0,"INVALID – after the corrective action the actual qty must equal expected (update Actual)",""),"")&amp;IF(AND(TRIM(U555)="Pass",TRIM(AB555)&lt;&gt;"",TRIM(AB555)&lt;&gt;"Closed"),"INVALID – corrective action not closed: use Fail, then Pass after CA","")&amp;IF(AND(LEN(BA555)&gt;=2,ISNA(MATCH(LEFT(BA555,255),L_Placeholder,0)),TRIM(AB555)=""),"INVALID – CA status missing for the recorded corrective action","")&amp;IF(AND(TRIM(U555)="Pass after CA",OR(OR(LEN(BA555)&lt;5,ISNUMBER(MATCH(BA555,L_Placeholder,0))),TRIM(AB555)&lt;&gt;"Closed")),"INVALID – corrective action not recorded/closed","")</f>
        <v/>
      </c>
      <c r="BC555" s="61" t="str">
        <f aca="false">" "&amp;TRIM(SUBSTITUTE(SUBSTITUTE(SUBSTITUTE(SUBSTITUTE(SUBSTITUTE(SUBSTITUTE(SUBSTITUTE(SUBSTITUTE(SUBSTITUTE(SUBSTITUTE(SUBSTITUTE(SUBSTITUTE(SUBSTITUTE(SUBSTITUTE(SUBSTITUTE(SUBSTITUTE(SUBSTITUTE(SUBSTITUTE(SUBSTITUTE(SUBSTITUTE(SUBSTITUTE(SUBSTITUTE(SUBSTITUTE(SUBSTITUTE(LOWER(V555&amp;""),CHAR(10)," "),CHAR(13)," "),CHAR(9)," "),CHAR(160)," "),"."," "),","," "),"-"," "),"/"," "),"("," "),")"," "),":"," "),";"," "),"_"," "),"–"," "),"?"," "),"!"," "),"*"," "),"["," "),"]"," "),"'"," "),"#"," "),"+"," "),"&amp;"," "),"\"," "))&amp;" "</f>
        <v>  </v>
      </c>
      <c r="BD555" s="61" t="str">
        <f aca="false">" "&amp;TRIM(SUBSTITUTE(SUBSTITUTE(SUBSTITUTE(SUBSTITUTE(SUBSTITUTE(SUBSTITUTE(SUBSTITUTE(SUBSTITUTE(SUBSTITUTE(SUBSTITUTE(SUBSTITUTE(SUBSTITUTE(SUBSTITUTE(SUBSTITUTE(SUBSTITUTE(SUBSTITUTE(SUBSTITUTE(SUBSTITUTE(SUBSTITUTE(SUBSTITUTE(SUBSTITUTE(SUBSTITUTE(SUBSTITUTE(SUBSTITUTE(LOWER(Z555&amp;""),CHAR(10)," "),CHAR(13)," "),CHAR(9)," "),CHAR(160)," "),"."," "),","," "),"-"," "),"/"," "),"("," "),")"," "),":"," "),";"," "),"_"," "),"–"," "),"?"," "),"!"," "),"*"," "),"["," "),"]"," "),"'"," "),"#"," "),"+"," "),"&amp;"," "),"\"," "))&amp;" "</f>
        <v>  </v>
      </c>
      <c r="BE555" s="61" t="str">
        <f aca="false">" "&amp;TRIM(SUBSTITUTE(SUBSTITUTE(SUBSTITUTE(SUBSTITUTE(SUBSTITUTE(SUBSTITUTE(SUBSTITUTE(SUBSTITUTE(SUBSTITUTE(SUBSTITUTE(SUBSTITUTE(SUBSTITUTE(SUBSTITUTE(SUBSTITUTE(SUBSTITUTE(SUBSTITUTE(SUBSTITUTE(SUBSTITUTE(SUBSTITUTE(SUBSTITUTE(SUBSTITUTE(SUBSTITUTE(SUBSTITUTE(SUBSTITUTE(LOWER(W555&amp;""),CHAR(10)," "),CHAR(13)," "),CHAR(9)," "),CHAR(160)," "),"."," "),","," "),"-"," "),"/"," "),"("," "),")"," "),":"," "),";"," "),"_"," "),"–"," "),"?"," "),"!"," "),"*"," "),"["," "),"]"," "),"'"," "),"#"," "),"+"," "),"&amp;"," "),"\"," "))&amp;" "</f>
        <v>  </v>
      </c>
      <c r="BF555" s="61" t="str">
        <f aca="false">" "&amp;TRIM(SUBSTITUTE(SUBSTITUTE(SUBSTITUTE(SUBSTITUTE(SUBSTITUTE(SUBSTITUTE(SUBSTITUTE(SUBSTITUTE(SUBSTITUTE(SUBSTITUTE(SUBSTITUTE(SUBSTITUTE(SUBSTITUTE(SUBSTITUTE(SUBSTITUTE(SUBSTITUTE(SUBSTITUTE(SUBSTITUTE(SUBSTITUTE(SUBSTITUTE(SUBSTITUTE(SUBSTITUTE(SUBSTITUTE(SUBSTITUTE(LOWER(AC555&amp;""),CHAR(10)," "),CHAR(13)," "),CHAR(9)," "),CHAR(160)," "),"."," "),","," "),"-"," "),"/"," "),"("," "),")"," "),":"," "),";"," "),"_"," "),"–"," "),"?"," "),"!"," "),"*"," "),"["," "),"]"," "),"'"," "),"#"," "),"+"," "),"&amp;"," "),"\"," "))&amp;" "</f>
        <v>  </v>
      </c>
      <c r="BG555" s="61" t="n">
        <f aca="false">IFERROR(IF(AND(TRIM(U555)="Pass",SUMPRODUCT((LEN(BC555)-LEN(SUBSTITUTE(BC555," "&amp;L_ResultBad&amp;" "," ")))/(LEN(L_ResultBad)+1))&gt;SUMPRODUCT((LEN(BC555)-LEN(SUBSTITUTE(BC555," "&amp;L_NegPhrase&amp;" "," ")))/(LEN(L_NegPhrase)+1))),1,0),0)</f>
        <v>0</v>
      </c>
      <c r="BH555" s="61" t="n">
        <f aca="false">IFERROR(IF(SUMPRODUCT((LEN(BC555)-LEN(SUBSTITUTE(BC555," "&amp;L_Pending&amp;" "," ")))/(LEN(L_Pending)+1))&gt;SUMPRODUCT((LEN(BC555)-LEN(SUBSTITUTE(BC555," "&amp;L_PendNeg&amp;" "," ")))/(LEN(L_PendNeg)+1))+SUMPRODUCT((LEN(BC555)-LEN(SUBSTITUTE(BC555," "&amp;L_PendPrep&amp;" "," ")))/(LEN(L_PendPrep)+1)),1,0),1)</f>
        <v>0</v>
      </c>
      <c r="BI555" s="61" t="n">
        <f aca="false">IFERROR(IF(SUMPRODUCT((LEN(BD555)-LEN(SUBSTITUTE(BD555," "&amp;L_PendStrict&amp;" "," ")))/(LEN(L_PendStrict)+1))&gt;SUMPRODUCT((LEN(BD555)-LEN(SUBSTITUTE(BD555," "&amp;L_PendNeg&amp;" "," ")))/(LEN(L_PendNeg)+1)),1,0),1)</f>
        <v>0</v>
      </c>
      <c r="BJ555" s="61" t="n">
        <f aca="false">IFERROR(IF(SUMPRODUCT((LEN(BE555)-LEN(SUBSTITUTE(BE555," "&amp;L_Pending&amp;" "," ")))/(LEN(L_Pending)+1))&gt;SUMPRODUCT((LEN(BE555)-LEN(SUBSTITUTE(BE555," "&amp;L_PendNeg&amp;" "," ")))/(LEN(L_PendNeg)+1))+SUMPRODUCT((LEN(BE555)-LEN(SUBSTITUTE(BE555," "&amp;L_PendPrep&amp;" "," ")))/(LEN(L_PendPrep)+1)),1,0),1)</f>
        <v>0</v>
      </c>
      <c r="BK555" s="61" t="n">
        <f aca="false">IFERROR(IF(SUMPRODUCT((LEN(BF555)-LEN(SUBSTITUTE(BF555," "&amp;L_PendStrict&amp;" "," ")))/(LEN(L_PendStrict)+1))&gt;SUMPRODUCT((LEN(BF555)-LEN(SUBSTITUTE(BF555," "&amp;L_PendNeg&amp;" "," ")))/(LEN(L_PendNeg)+1)),1,0),1)</f>
        <v>0</v>
      </c>
      <c r="BL555" s="61" t="n">
        <f aca="false">IF(ISNA(MATCH(TRIM(S555),L_EvidenceType,0)),0,BZ555)</f>
        <v>0</v>
      </c>
      <c r="BM555" s="61" t="str">
        <f aca="false">SUBSTITUTE(SUBSTITUTE(SUBSTITUTE(SUBSTITUTE(SUBSTITUTE(SUBSTITUTE(SUBSTITUTE(SUBSTITUTE(SUBSTITUTE(LOWER(Z555&amp;""),"1","0"),"2","0"),"3","0"),"4","0"),"5","0"),"6","0"),"7","0"),"8","0"),"9","0")</f>
        <v/>
      </c>
      <c r="BN555" s="61" t="str">
        <f aca="false">SUBSTITUTE(SUBSTITUTE(SUBSTITUTE(SUBSTITUTE(SUBSTITUTE(SUBSTITUTE(SUBSTITUTE(SUBSTITUTE(SUBSTITUTE(SUBSTITUTE(SUBSTITUTE(SUBSTITUTE(SUBSTITUTE(SUBSTITUTE(SUBSTITUTE(SUBSTITUTE(SUBSTITUTE(SUBSTITUTE(SUBSTITUTE(SUBSTITUTE(SUBSTITUTE(SUBSTITUTE(SUBSTITUTE(SUBSTITUTE(SUBSTITUTE(BM555,"b","a"),"c","a"),"d","a"),"e","a"),"f","a"),"g","a"),"h","a"),"i","a"),"j","a"),"k","a"),"l","a"),"m","a"),"n","a"),"o","a"),"p","a"),"q","a"),"r","a"),"s","a"),"t","a"),"u","a"),"v","a"),"w","a"),"x","a"),"y","a"),"z","a")</f>
        <v/>
      </c>
      <c r="BO555" s="61" t="str">
        <f aca="false">SUBSTITUTE(SUBSTITUTE(SUBSTITUTE(SUBSTITUTE(SUBSTITUTE(SUBSTITUTE(SUBSTITUTE(SUBSTITUTE(SUBSTITUTE(LOWER(W555&amp;""),"1","0"),"2","0"),"3","0"),"4","0"),"5","0"),"6","0"),"7","0"),"8","0"),"9","0")</f>
        <v/>
      </c>
      <c r="BP555" s="61" t="str">
        <f aca="false">SUBSTITUTE(SUBSTITUTE(SUBSTITUTE(SUBSTITUTE(SUBSTITUTE(SUBSTITUTE(SUBSTITUTE(SUBSTITUTE(SUBSTITUTE(SUBSTITUTE(SUBSTITUTE(SUBSTITUTE(SUBSTITUTE(SUBSTITUTE(SUBSTITUTE(SUBSTITUTE(SUBSTITUTE(SUBSTITUTE(SUBSTITUTE(SUBSTITUTE(SUBSTITUTE(SUBSTITUTE(SUBSTITUTE(SUBSTITUTE(SUBSTITUTE(BO555,"b","a"),"c","a"),"d","a"),"e","a"),"f","a"),"g","a"),"h","a"),"i","a"),"j","a"),"k","a"),"l","a"),"m","a"),"n","a"),"o","a"),"p","a"),"q","a"),"r","a"),"s","a"),"t","a"),"u","a"),"v","a"),"w","a"),"x","a"),"y","a"),"z","a")</f>
        <v/>
      </c>
      <c r="BQ555" s="61" t="n">
        <f aca="false">IFERROR(IF(AND(ISERROR(SEARCH(" mh"," "&amp;LOWER(W555))),ISNA(MATCH(LEFT(TRIM(BP555),255),{"0000a","000a","00a","0000aa","000aa","00aa","0aa","0000aaa","000aaa","00a00","0a00","0000-0000","00:00","a00","a0","00.00.0000","00/00/0000","00-00-0000","0000-00-00","0000/00/00","0000.00.00","00.00.00","00/00/00","00-00-00","0.00.0000","0/00/0000","0-00-0000"},0)),ISNA(MATCH(LEFT(TRIM(CA555),255),{"0000a","000a","00a","0000aa","000aa","00aa","0aa","0000aaa","000aaa","00a00","0a00","0000-0000","00:00","a00","a0","00.00.0000","00/00/0000","00-00-0000","0000-00-00","0000/00/00","0000.00.00","00.00.00","00/00/00","00-00-00","0.00.0000","0/00/0000","0-00-0000"},0)),LEN(CB555)&gt;=3,NOT(OR(SUBSTITUTE(CB555,"0","")="",AND(LEN(CB555)&gt;=4,CB555=REPT(LEFT(CB555),LEN(CB555))),ISNUMBER(MATCH(CB555,{"123","1234","12345","123456","1234567","12345678","0123","01234","012345","98765","987654","54321"},0)),AND(LEN(CB555)=8,LEFT(CB555,3)="202"))),OR(AND((LEN(CA555)-LEN(SUBSTITUTE(CA555,"a","")))&gt;=1,SUMPRODUCT(--ISNUMBER(SEARCH({"a0","a-0","a_0","a/0","a.0","a#0","0a","0-a","0_a","0/a"},BP555)))&gt;0),ISNUMBER(SEARCH("000000",BP555)))),1,0),0)</f>
        <v>0</v>
      </c>
      <c r="BR555" s="61" t="n">
        <f aca="false">IFERROR(LEN(SUBSTITUTE(CC555," ",""))-SUMPRODUCT((LEN(CC555)-LEN(SUBSTITUTE(CC555," "&amp;L_Role&amp;" "," ")))/(LEN(L_Role)+1)*LEN(L_Role)),0)</f>
        <v>0</v>
      </c>
      <c r="BS555" s="61" t="n">
        <f aca="false">IFERROR(LEN(SUBSTITUTE(CD555," ",""))-SUMPRODUCT((LEN(CD555)-LEN(SUBSTITUTE(CD555," "&amp;L_Role&amp;" "," ")))/(LEN(L_Role)+1)*LEN(L_Role)),0)</f>
        <v>0</v>
      </c>
      <c r="BT5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555,"revision",""),"version",""),"jan",""),"feb",""),"mar",""),"apr",""),"may",""),"jun",""),"jul",""),"aug",""),"sep",""),"oct",""),"nov",""),"dec",""),"utc",""),"gmt",""),"myt",""),"bst",""),"rev",""),"ver",""),"b","a"),"c","a"),"d","a"),"e","a"),"f","a"),"g","a"),"h","a"),"i","a"),"j","a"),"k","a"),"l","a"),"m","a"),"n","a"),"o","a"),"p","a"),"q","a"),"r","a"),"s","a"),"t","a"),"u","a"),"v","a"),"w","a"),"x","a"),"y","a"),"z","a")</f>
        <v/>
      </c>
      <c r="BU555" s="61" t="str">
        <f aca="false">SUBSTITUTE(SUBSTITUTE(SUBSTITUTE(SUBSTITUTE(SUBSTITUTE(SUBSTITUTE(SUBSTITUTE(SUBSTITUTE(SUBSTITUTE(SUBSTITUTE(LEFT(BM555,FIND("0",BM555&amp;"0")-1),"-",""),"_",""),"/",""),".",""),"#",""),"\\",""),":","")," ",""),"(",""),")","")</f>
        <v/>
      </c>
      <c r="BV555" s="61" t="n">
        <f aca="false">0</f>
        <v>0</v>
      </c>
      <c r="BW5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555&amp;""),"a",""),"b",""),"c",""),"d",""),"e",""),"f",""),"g",""),"h",""),"i",""),"j",""),"k",""),"l",""),"m",""),"n",""),"o",""),"p",""),"q",""),"r",""),"s",""),"t",""),"u",""),"v",""),"w",""),"x",""),"y",""),"z",""),"-",""),"_",""),"/",""),".",""),"#",""),"\\",""),":","")," ",""),"(",""),")","")</f>
        <v/>
      </c>
      <c r="BX555" s="61" t="str">
        <f aca="false">SUBSTITUTE(SUBSTITUTE(SUBSTITUTE(SUBSTITUTE(SUBSTITUTE(SUBSTITUTE(SUBSTITUTE(SUBSTITUTE(SUBSTITUTE(SUBSTITUTE(SUBSTITUTE(BM555,"0",""),"-",""),"_",""),"/",""),".",""),"#",""),"\\",""),":","")," ",""),"(",""),")","")</f>
        <v/>
      </c>
      <c r="BY555" s="62" t="n">
        <f aca="false">Q555-T12EarlyH/24</f>
        <v>46321.2847222222</v>
      </c>
      <c r="BZ555" s="61" t="n">
        <f aca="false">IFERROR(IF(IF(TRIM(S555)="Link / file path",AND(LEN(TRIM(Z555))&gt;=5,SUMPRODUCT(--ISNUMBER(SEARCH({"http","www.","\\",":\",".pdf",".jpg",".jpeg",".png",".heic",".xls",".doc",".msg",".eml",".ppt",".txt",".zip"},Z555)))&gt;0),AND(ISERROR(FIND(" ",TRIM(Z555))),NOT(OR(SUMPRODUCT(--ISNUMBER(FIND({",",";","&amp;","+"},Z555)))&gt;0,SUMPRODUCT(--ISNUMBER(SEARCH({"0/aa","0\\aa"},BN555)))&gt;0)),NOT(SUMPRODUCT(--ISNUMBER(SEARCH({"http","www.","\\",":\",".pdf",".jpg",".jpeg",".png",".heic",".xls",".doc",".msg",".eml",".ppt",".txt",".zip"},Z555)))&gt;0),NOT(LOWER(TRIM(Z555))=LOWER(Flights!$F$21)),ISNA(MATCH(BU555,{"mh","rev","revision","ver","version","v","r","a","b","seat","tray","row","gate","bay","stand","page","pg","item","line","no","cart","galley","flight","flt","table","box","bag","oven","etd","eta","std","sta","atd","ata","qty","pax","x","time","tel","ph","mob","day","wk","week","utc","gmt","myt","lt"},0)),NOT(OR(ISNUMBER(MATCH(LEFT(BN555,255),{"0000a","000a","00a","0000aa","000aa","00aa","0aa","0000aaa","000aaa","00a00","0a00","0000-0000","00:00","a00","a0","00.00.0000","00/00/0000","00-00-0000","0000-00-00","0000/00/00","0000.00.00","00.00.00","00/00/00","00-00-00","0.00.0000","0/00/0000","0-00-0000"},0)),ISNUMBER(MATCH(LEFT(BT555,255),{"0000a","000a","00a","0000aa","000aa","00aa","0aa","0000aaa","000aaa","00a00","0a00","0000-0000","00:00","a00","a0","00.00.0000","00/00/0000","00-00-0000","0000-00-00","0000/00/00","0000.00.00","00.00.00","00/00/00","00-00-00","0.00.0000","0/00/0000","0-00-0000"},0)))),NOT(OR(AND(BW555&lt;&gt;"",SUBSTITUTE(BW555,"0","")=""),AND(LEN(BW555)&gt;=4,BW555=REPT(LEFT(BW555),LEN(BW555))),ISNUMBER(MATCH(BW555,{"123","1234","12345","123456","1234567","12345678","0123","01234","012345","98765","987654","54321"},0)),ISNUMBER(MATCH(BX555,{"x","xx","xxx","xxxx","xxxxx","abc","abcd","nil","na","nan","test","tbc","tba","tbd","dummy","sample","example","eg","zz","zzz","none","null","xyz","qwe","asd","id","ref"},0)),AND(LEN(BW555)=8,BX555="",OR(LEFT(BW555,3)="202",ISNUMBER(MATCH(RIGHT(BW555,4),{"2025","2026","2027"},0)))))),OR(AND((LEN(BT555)-LEN(SUBSTITUTE(BT555,"a","")))&gt;=1,(LEN(BN555)-LEN(SUBSTITUTE(BN555,"0","")))&gt;=2,SUMPRODUCT(--ISNUMBER(SEARCH({"a0","a-0","a_0","a/0","a.0","a#0","0a","0-a","0_a","0/a"},BN555)))&gt;0),AND((LEN(BN555)-LEN(SUBSTITUTE(BN555,"a","")))=0,(LEN(BN555)-LEN(SUBSTITUTE(BN555,"0","")))&gt;=5)))),1,0),0)</f>
        <v>0</v>
      </c>
      <c r="CA5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555,"revision",""),"version",""),"jan",""),"feb",""),"mar",""),"apr",""),"may",""),"jun",""),"jul",""),"aug",""),"sep",""),"oct",""),"nov",""),"dec",""),"utc",""),"gmt",""),"myt",""),"bst",""),"rev",""),"ver",""),"b","a"),"c","a"),"d","a"),"e","a"),"f","a"),"g","a"),"h","a"),"i","a"),"j","a"),"k","a"),"l","a"),"m","a"),"n","a"),"o","a"),"p","a"),"q","a"),"r","a"),"s","a"),"t","a"),"u","a"),"v","a"),"w","a"),"x","a"),"y","a"),"z","a")</f>
        <v/>
      </c>
      <c r="CB5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555&amp;""),"a",""),"b",""),"c",""),"d",""),"e",""),"f",""),"g",""),"h",""),"i",""),"j",""),"k",""),"l",""),"m",""),"n",""),"o",""),"p",""),"q",""),"r",""),"s",""),"t",""),"u",""),"v",""),"w",""),"x",""),"y",""),"z",""),"-",""),"_",""),"/",""),".",""),"#",""),"\\",""),":","")," ",""),"(",""),")","")</f>
        <v/>
      </c>
      <c r="CC555" s="0" t="str">
        <f aca="false">" "&amp;TRIM(SUBSTITUTE(SUBSTITUTE(SUBSTITUTE(SUBSTITUTE(SUBSTITUTE(SUBSTITUTE(SUBSTITUTE(SUBSTITUTE(SUBSTITUTE(SUBSTITUTE(SUBSTITUTE(SUBSTITUTE(SUBSTITUTE(SUBSTITUTE(SUBSTITUTE(SUBSTITUTE(SUBSTITUTE(SUBSTITUTE(SUBSTITUTE(SUBSTITUTE(SUBSTITUTE(SUBSTITUTE(SUBSTITUTE(SUBSTITUTE(LOWER(T555&amp;""),CHAR(10)," "),CHAR(13)," "),CHAR(9)," "),CHAR(160)," "),"."," "),","," "),"-"," "),"/"," "),"("," "),")"," "),":"," "),";"," "),"_"," "),"–"," "),"?"," "),"!"," "),"*"," "),"["," "),"]"," "),"'"," "),"#"," "),"+"," "),"&amp;"," "),"\"," "))&amp;" "</f>
        <v>  </v>
      </c>
      <c r="CD555" s="0" t="str">
        <f aca="false">" "&amp;TRIM(SUBSTITUTE(SUBSTITUTE(SUBSTITUTE(SUBSTITUTE(SUBSTITUTE(SUBSTITUTE(SUBSTITUTE(SUBSTITUTE(SUBSTITUTE(SUBSTITUTE(SUBSTITUTE(SUBSTITUTE(SUBSTITUTE(SUBSTITUTE(SUBSTITUTE(SUBSTITUTE(SUBSTITUTE(SUBSTITUTE(SUBSTITUTE(SUBSTITUTE(SUBSTITUTE(SUBSTITUTE(SUBSTITUTE(SUBSTITUTE(LOWER(AE555&amp;""),CHAR(10)," "),CHAR(13)," "),CHAR(9)," "),CHAR(160)," "),"."," "),","," "),"-"," "),"/"," "),"("," "),")"," "),":"," "),";"," "),"_"," "),"–"," "),"?"," "),"!"," "),"*"," "),"["," "),"]"," "),"'"," "),"#"," "),"+"," "),"&amp;"," "),"\"," "))&amp;" "</f>
        <v>  </v>
      </c>
      <c r="CE555" s="68" t="n">
        <f aca="false">IFERROR(IF(AND(LEN(AU555)&gt;0,LEN(AU555)=LEN(AX555),OR(TRIM(MID(SUBSTITUTE(TRIM(CC555)," ",REPT(" ",60)),1,60))="",ISNUMBER(SEARCH(" "&amp;TRIM(MID(SUBSTITUTE(TRIM(CC555)," ",REPT(" ",60)),1,60))&amp;" ",CD555))),OR(TRIM(MID(SUBSTITUTE(TRIM(CC555)," ",REPT(" ",60)),61,60))="",ISNUMBER(SEARCH(" "&amp;TRIM(MID(SUBSTITUTE(TRIM(CC555)," ",REPT(" ",60)),61,60))&amp;" ",CD555))),OR(TRIM(MID(SUBSTITUTE(TRIM(CC555)," ",REPT(" ",60)),121,60))="",ISNUMBER(SEARCH(" "&amp;TRIM(MID(SUBSTITUTE(TRIM(CC555)," ",REPT(" ",60)),121,60))&amp;" ",CD555)))),1,0),0)</f>
        <v>0</v>
      </c>
      <c r="CG555" s="68" t="n">
        <f aca="false">IFERROR(LEN(SUBSTITUTE(BF555," ",""))-SUMPRODUCT((LEN(BF555)-LEN(SUBSTITUTE(BF555," "&amp;L_NAFiller&amp;" "," ")))/(LEN(L_NAFiller)+1)*LEN(L_NAFiller)),0)</f>
        <v>0</v>
      </c>
    </row>
    <row r="556" customFormat="false" ht="41.25" hidden="false" customHeight="true" outlineLevel="0" collapsed="false">
      <c r="A556" s="57" t="s">
        <v>1239</v>
      </c>
      <c r="B556" s="57" t="s">
        <v>290</v>
      </c>
      <c r="C556" s="57" t="str">
        <f aca="false">Flights!$F$21</f>
        <v>MH0073</v>
      </c>
      <c r="D556" s="58" t="n">
        <f aca="false">Flights!$D$21</f>
        <v>46322</v>
      </c>
      <c r="E556" s="57" t="str">
        <f aca="false">Flights!$G$21&amp;"-"&amp;Flights!$H$21</f>
        <v>HKG-KUL</v>
      </c>
      <c r="F556" s="57" t="str">
        <f aca="false">Flights!$K$21</f>
        <v>BC</v>
      </c>
      <c r="G556" s="57" t="s">
        <v>420</v>
      </c>
      <c r="H556" s="57" t="s">
        <v>378</v>
      </c>
      <c r="I556" s="57" t="s">
        <v>499</v>
      </c>
      <c r="J556" s="57" t="s">
        <v>523</v>
      </c>
      <c r="K556" s="67" t="s">
        <v>501</v>
      </c>
      <c r="L556" s="67" t="s">
        <v>1240</v>
      </c>
      <c r="M556" s="67" t="s">
        <v>451</v>
      </c>
      <c r="N556" s="67" t="s">
        <v>383</v>
      </c>
      <c r="O556" s="67" t="s">
        <v>1226</v>
      </c>
      <c r="P556" s="57" t="s">
        <v>282</v>
      </c>
      <c r="Q556" s="59" t="n">
        <f aca="false">ROUND((Flights!$AE$21)*1440,0)/1440</f>
        <v>46321.7847222222</v>
      </c>
      <c r="R556" s="59" t="n">
        <f aca="false">Q556+(IF(AND(INDEX(TZ_DSTS,MATCH(P556,TZ_STN,0))&lt;&gt;"",Q556&gt;=INDEX(TZ_DSTS,MATCH(P556,TZ_STN,0)),Q556&lt;INDEX(TZ_DSTE,MATCH(P556,TZ_STN,0))),INDEX(TZ_DST,MATCH(P556,TZ_STN,0)),INDEX(TZ_STD,MATCH(P556,TZ_STN,0))))/24</f>
        <v>46322.1180555556</v>
      </c>
      <c r="S556" s="60"/>
      <c r="T556" s="60"/>
      <c r="U556" s="60"/>
      <c r="V556" s="60"/>
      <c r="W556" s="61"/>
      <c r="X556" s="60"/>
      <c r="Y556" s="60"/>
      <c r="Z556" s="60"/>
      <c r="AA556" s="60"/>
      <c r="AB556" s="60"/>
      <c r="AC556" s="60"/>
      <c r="AD556" s="66"/>
      <c r="AE556" s="60"/>
      <c r="AF556" s="61" t="str">
        <f aca="false">IF(AND(ISNUMBER(X556),ISNUMBER(Y556)),Y556-X556,"")</f>
        <v/>
      </c>
      <c r="AG556" s="62" t="str">
        <f aca="false">IF(ISNUMBER(AD556),AD556-(IF(AND(INDEX(TZ_DSTS,MATCH(P556,TZ_STN,0))&lt;&gt;"",(AD556-INDEX(TZ_STD,MATCH(P556,TZ_STN,0))/24)&gt;=INDEX(TZ_DSTS,MATCH(P556,TZ_STN,0)),(AD556-INDEX(TZ_STD,MATCH(P556,TZ_STN,0))/24)&lt;INDEX(TZ_DSTE,MATCH(P556,TZ_STN,0))),INDEX(TZ_DST,MATCH(P556,TZ_STN,0)),INDEX(TZ_STD,MATCH(P556,TZ_STN,0))))/24,"")</f>
        <v/>
      </c>
      <c r="AH556" s="65" t="str">
        <f aca="false">IFERROR(IF(N556="N/A – rule",IF(OR(TRIM(U556)="",TRIM(U556)="N/A",TRIM(U556)="Not started"),"N/A – RULE","INVALID – this check does not apply to this aircraft: clear the status (or correct the fleet on Flights)"),IF(TRIM(U556)="N/A",IF(AT556=0,"INVALID – N/A not permitted for this check",IF(AND(TRIM(AB556)&lt;&gt;"",TRIM(AB556)&lt;&gt;"Closed"),"INVALID – corrective action still open",IF(AND(NOT(OR(LEN(AZ556)&lt;15,ISNUMBER(MATCH(AZ556,L_Placeholder,0)))),BK556=0,CG556&gt;=8,NOT(OR(LEN(AU556)&lt;2,ISNUMBER(MATCH(AU556,L_Placeholder,0)))),BR556&gt;=3,NOT(OR(LEN(AX556)&lt;2,ISNUMBER(MATCH(AX556,L_Placeholder,0)))),BS556&gt;=3,TRIM(AE556)&lt;&gt;TRIM(T556),AX556&lt;&gt;AU556,CE556=0),"N/A – JUSTIFIED","INVALID – N/A needs a real, settled reason (not 'not applicable' / 'as above' / TBC), a named PIC and a different named verifier"))),IF(OR(TRIM(U556)="Pass",TRIM(U556)="Pass after CA"),IF(NOT(ISNUMBER(AD556)),"INVALID – completion time missing",IF(OR(OR(LEN(AU556)&lt;2,ISNUMBER(MATCH(AU556,L_Placeholder,0))),BR556&lt;3),"INVALID – PIC missing or not a named person (a role such as QA / CSM is not a name)",IF(OR(LEN(AV556)&lt;2,ISNUMBER(MATCH(AV556,L_Placeholder,0))),"INVALID – result / assessment missing",IF(OR(OR(LEN(AW556)&lt;3,ISNUMBER(MATCH(AW556,L_Placeholder,0))),SUMPRODUCT(--ISNUMBER(SEARCH(" "&amp;L_EvidencePhrase&amp;" ",BD556)))&gt;0,BI556=1),"INVALID – evidence missing, placeholder or not yet on file",IF(ISNA(MATCH(TRIM(S556),L_EvidenceType,0)),"INVALID – choose the evidence type from the list (column S)",IF(BL556=0,"INVALID – evidence ID must be the record's own ID only (e.g. SF-2210, IMG_2231, 1045521); a link / file name needs type 'Link / file path'",IF(OR(OR(LEN(AX556)&lt;2,ISNUMBER(MATCH(AX556,L_Placeholder,0))),BS556&lt;3),"INVALID – verifier missing or not a named person (a role such as QA / CSM is not a name)",IF(OR(AX556=AU556,CE556=1,AND(LEN(AU556)&gt;=4,ISNUMBER(SEARCH(AU556,AX556))),AND(LEN(AX556)&gt;=4,ISNUMBER(SEARCH(AX556,AU556)))),"INVALID – verifier must be a different, named person (not the PIC or a role)",IF(BH556=1,"INVALID – result not yet available (awaiting / TBC)",IF(BG556=1,"INVALID – result describes a problem: record Fail, then Pass after CA (or reword if it is not a problem)",IF(BV556=1,"INVALID – wording says not on board: an on-board confirmation needs the item loaded",IF(AND(AQ556=1,OR(OR(LEN(AY556)&lt;3,ISNUMBER(MATCH(AY556,L_Placeholder,0))),BJ556=1,BQ556=0)),"INVALID – batch ID missing, placeholder or not an ID (e.g. PASB-261008-BC-017)",IF(AND(AR556=1,OR(NOT(ISNUMBER(X556)),NOT(ISNUMBER(Y556)))),"INVALID – expected/actual qty missing",IF(AND(AR556=1,OR(X556&lt;=0,Y556&lt;0)),"INVALID – expected qty must be above 0 and actual not negative",IF(BB556&lt;&gt;"",BB556,IF(AND(AS556=1,Documents!$J$21&lt;&gt;"ON FILE"),"INVALID – GLD not on file (Documents sheet)",IF(AND(AS556=2,Documents!$O$21&lt;&gt;"ON FILE"),"INVALID – menu checklist not on file (Documents sheet)",IF(AND(AS556=3,NOT(ISNUMBER(Flights!$AX$21))),"INVALID – enter carrying flight KUL departure (Flights AX)",IF(AND(AS556=3,OR(Flights!$AZ$21&gt;Flights!$AA$21,Flights!$AX$21&lt;Flights!$AA$21-3)),"INVALID – carrying flight (Flights AX) cannot arrive before this leg's STD, or is over 3 days early",IF(AG556&gt;AsOfUTC,"INVALID – completion time is in the future",IF(AND(ISNUMBER(BY556),AG556&lt;BY556),IF(H556="Physical uplift","INVALID – before uplift window (cannot confirm loading)","INVALID – before valid window"),IF(AG556&gt;Flights!$AA$21,"INVALID – completed after departure (cannot establish readiness)",IF(AND(H556="Preparation",AG556&gt;=IF(ISNUMBER(Flights!$BA$21),MIN(Flights!$BA$21,Flights!$AA$21),Flights!$AA$21)),"INVALID – completed after loading / departure (cannot establish readiness)",IF(AND(H556="Physical uplift",AG556&gt;Q556),"INVALID – recorded after the loading flight departed",IF(AG556&gt;Q556,"COMPLETE – LATE","COMPLETE"))))))))))))))))))))))))),IF(TRIM(U556)="Fail","FAIL – DISCREPANCY",IF(AND(TRIM(U556)&lt;&gt;"",TRIM(U556)&lt;&gt;"Not started",TRIM(U556)&lt;&gt;"In progress"),"INVALID – unrecognised status (use the list)",IF(AsOfUTC&gt;Q556,"OVERDUE",IF(N556="Clarification required","OPEN – CLARIFICATION","OPEN"))))))),"INVALID – error value in an input cell")</f>
        <v>OPEN</v>
      </c>
      <c r="AI556" s="61" t="n">
        <f aca="false">IF(OR(AH556="N/A – RULE",AH556="N/A – JUSTIFIED"),0,1)</f>
        <v>1</v>
      </c>
      <c r="AJ556" s="61" t="n">
        <f aca="false">IF(LEFT(AH556,8)="COMPLETE",1,0)</f>
        <v>0</v>
      </c>
      <c r="AK556" s="61" t="n">
        <f aca="false">IF(AND(AI556=1,AJ556=0,AsOfUTC&gt;Q556),1,0)</f>
        <v>0</v>
      </c>
      <c r="AL556" s="61" t="n">
        <f aca="false">IFERROR(IF(AND(AI556=1,OR(TRIM(U556)="Fail",AND(TRIM(AB556)&lt;&gt;"",TRIM(AB556)&lt;&gt;"Closed"),AND(ISNUMBER(AF556),AF556&lt;&gt;0,TRIM(U556)&lt;&gt;"Pass after CA"))),1,0),1)</f>
        <v>0</v>
      </c>
      <c r="AM556" s="61" t="n">
        <f aca="false">IF(LEFT(AH556,7)="INVALID",1,0)</f>
        <v>0</v>
      </c>
      <c r="AN556" s="61" t="n">
        <f aca="false">IF(AND(N556="Clarification required",AI556=1,AJ556=0),1,0)</f>
        <v>0</v>
      </c>
      <c r="AO556" s="61" t="str">
        <f aca="false">IF(AK556=1,SUM(AK$5:AK556),"")</f>
        <v/>
      </c>
      <c r="AP556" s="61" t="str">
        <f aca="false">IF(AL556=1,SUM(AL$5:AL556),"")</f>
        <v/>
      </c>
      <c r="AQ556" s="61" t="n">
        <v>0</v>
      </c>
      <c r="AR556" s="61" t="n">
        <v>0</v>
      </c>
      <c r="AS556" s="61" t="n">
        <v>0</v>
      </c>
      <c r="AT556" s="61" t="n">
        <v>0</v>
      </c>
      <c r="AU556" s="61" t="str">
        <f aca="false">SUBSTITUTE(SUBSTITUTE(SUBSTITUTE(SUBSTITUTE(SUBSTITUTE(SUBSTITUTE(SUBSTITUTE(SUBSTITUTE(SUBSTITUTE(SUBSTITUTE(SUBSTITUTE(SUBSTITUTE(SUBSTITUTE(SUBSTITUTE(SUBSTITUTE(SUBSTITUTE(LOWER(T556&amp;""),CHAR(10),""),CHAR(13),""),CHAR(9),""),CHAR(160),"")," ",""),".",""),"-",""),"/",""),"?",""),"_",""),",",""),"[",""),"]",""),"(",""),")",""),"*","")</f>
        <v/>
      </c>
      <c r="AV556" s="61" t="str">
        <f aca="false">SUBSTITUTE(SUBSTITUTE(SUBSTITUTE(SUBSTITUTE(SUBSTITUTE(SUBSTITUTE(SUBSTITUTE(SUBSTITUTE(SUBSTITUTE(SUBSTITUTE(SUBSTITUTE(SUBSTITUTE(SUBSTITUTE(SUBSTITUTE(SUBSTITUTE(SUBSTITUTE(LOWER(V556&amp;""),CHAR(10),""),CHAR(13),""),CHAR(9),""),CHAR(160),"")," ",""),".",""),"-",""),"/",""),"?",""),"_",""),",",""),"[",""),"]",""),"(",""),")",""),"*","")</f>
        <v/>
      </c>
      <c r="AW556" s="61" t="str">
        <f aca="false">SUBSTITUTE(SUBSTITUTE(SUBSTITUTE(SUBSTITUTE(SUBSTITUTE(SUBSTITUTE(SUBSTITUTE(SUBSTITUTE(SUBSTITUTE(SUBSTITUTE(SUBSTITUTE(SUBSTITUTE(SUBSTITUTE(SUBSTITUTE(SUBSTITUTE(SUBSTITUTE(LOWER(Z556&amp;""),CHAR(10),""),CHAR(13),""),CHAR(9),""),CHAR(160),"")," ",""),".",""),"-",""),"/",""),"?",""),"_",""),",",""),"[",""),"]",""),"(",""),")",""),"*","")</f>
        <v/>
      </c>
      <c r="AX556" s="61" t="str">
        <f aca="false">SUBSTITUTE(SUBSTITUTE(SUBSTITUTE(SUBSTITUTE(SUBSTITUTE(SUBSTITUTE(SUBSTITUTE(SUBSTITUTE(SUBSTITUTE(SUBSTITUTE(SUBSTITUTE(SUBSTITUTE(SUBSTITUTE(SUBSTITUTE(SUBSTITUTE(SUBSTITUTE(LOWER(AE556&amp;""),CHAR(10),""),CHAR(13),""),CHAR(9),""),CHAR(160),"")," ",""),".",""),"-",""),"/",""),"?",""),"_",""),",",""),"[",""),"]",""),"(",""),")",""),"*","")</f>
        <v/>
      </c>
      <c r="AY556" s="61" t="str">
        <f aca="false">SUBSTITUTE(SUBSTITUTE(SUBSTITUTE(SUBSTITUTE(SUBSTITUTE(SUBSTITUTE(SUBSTITUTE(SUBSTITUTE(SUBSTITUTE(SUBSTITUTE(SUBSTITUTE(SUBSTITUTE(SUBSTITUTE(SUBSTITUTE(SUBSTITUTE(SUBSTITUTE(LOWER(W556&amp;""),CHAR(10),""),CHAR(13),""),CHAR(9),""),CHAR(160),"")," ",""),".",""),"-",""),"/",""),"?",""),"_",""),",",""),"[",""),"]",""),"(",""),")",""),"*","")</f>
        <v/>
      </c>
      <c r="AZ556" s="61" t="str">
        <f aca="false">SUBSTITUTE(SUBSTITUTE(SUBSTITUTE(SUBSTITUTE(SUBSTITUTE(SUBSTITUTE(SUBSTITUTE(SUBSTITUTE(SUBSTITUTE(SUBSTITUTE(SUBSTITUTE(SUBSTITUTE(SUBSTITUTE(SUBSTITUTE(SUBSTITUTE(SUBSTITUTE(LOWER(AC556&amp;""),CHAR(10),""),CHAR(13),""),CHAR(9),""),CHAR(160),"")," ",""),".",""),"-",""),"/",""),"?",""),"_",""),",",""),"[",""),"]",""),"(",""),")",""),"*","")</f>
        <v/>
      </c>
      <c r="BA556" s="61" t="str">
        <f aca="false">SUBSTITUTE(SUBSTITUTE(SUBSTITUTE(SUBSTITUTE(SUBSTITUTE(SUBSTITUTE(SUBSTITUTE(SUBSTITUTE(SUBSTITUTE(SUBSTITUTE(SUBSTITUTE(SUBSTITUTE(SUBSTITUTE(SUBSTITUTE(SUBSTITUTE(SUBSTITUTE(LOWER(AA556&amp;""),CHAR(10),""),CHAR(13),""),CHAR(9),""),CHAR(160),"")," ",""),".",""),"-",""),"/",""),"?",""),"_",""),",",""),"[",""),"]",""),"(",""),")",""),"*","")</f>
        <v/>
      </c>
      <c r="BB556" s="61" t="str">
        <f aca="false">IF(AND(TRIM(U556)="Pass",ISNUMBER(AF556)),IF(AF556&lt;&gt;0,"INVALID – qty variance: use Fail or Pass after CA",""),"")&amp;IF(AND(TRIM(U556)="Pass after CA",ISNUMBER(AF556)),IF(AF556&lt;&gt;0,"INVALID – after the corrective action the actual qty must equal expected (update Actual)",""),"")&amp;IF(AND(TRIM(U556)="Pass",TRIM(AB556)&lt;&gt;"",TRIM(AB556)&lt;&gt;"Closed"),"INVALID – corrective action not closed: use Fail, then Pass after CA","")&amp;IF(AND(LEN(BA556)&gt;=2,ISNA(MATCH(LEFT(BA556,255),L_Placeholder,0)),TRIM(AB556)=""),"INVALID – CA status missing for the recorded corrective action","")&amp;IF(AND(TRIM(U556)="Pass after CA",OR(OR(LEN(BA556)&lt;5,ISNUMBER(MATCH(BA556,L_Placeholder,0))),TRIM(AB556)&lt;&gt;"Closed")),"INVALID – corrective action not recorded/closed","")</f>
        <v/>
      </c>
      <c r="BC556" s="61" t="str">
        <f aca="false">" "&amp;TRIM(SUBSTITUTE(SUBSTITUTE(SUBSTITUTE(SUBSTITUTE(SUBSTITUTE(SUBSTITUTE(SUBSTITUTE(SUBSTITUTE(SUBSTITUTE(SUBSTITUTE(SUBSTITUTE(SUBSTITUTE(SUBSTITUTE(SUBSTITUTE(SUBSTITUTE(SUBSTITUTE(SUBSTITUTE(SUBSTITUTE(SUBSTITUTE(SUBSTITUTE(SUBSTITUTE(SUBSTITUTE(SUBSTITUTE(SUBSTITUTE(LOWER(V556&amp;""),CHAR(10)," "),CHAR(13)," "),CHAR(9)," "),CHAR(160)," "),"."," "),","," "),"-"," "),"/"," "),"("," "),")"," "),":"," "),";"," "),"_"," "),"–"," "),"?"," "),"!"," "),"*"," "),"["," "),"]"," "),"'"," "),"#"," "),"+"," "),"&amp;"," "),"\"," "))&amp;" "</f>
        <v>  </v>
      </c>
      <c r="BD556" s="61" t="str">
        <f aca="false">" "&amp;TRIM(SUBSTITUTE(SUBSTITUTE(SUBSTITUTE(SUBSTITUTE(SUBSTITUTE(SUBSTITUTE(SUBSTITUTE(SUBSTITUTE(SUBSTITUTE(SUBSTITUTE(SUBSTITUTE(SUBSTITUTE(SUBSTITUTE(SUBSTITUTE(SUBSTITUTE(SUBSTITUTE(SUBSTITUTE(SUBSTITUTE(SUBSTITUTE(SUBSTITUTE(SUBSTITUTE(SUBSTITUTE(SUBSTITUTE(SUBSTITUTE(LOWER(Z556&amp;""),CHAR(10)," "),CHAR(13)," "),CHAR(9)," "),CHAR(160)," "),"."," "),","," "),"-"," "),"/"," "),"("," "),")"," "),":"," "),";"," "),"_"," "),"–"," "),"?"," "),"!"," "),"*"," "),"["," "),"]"," "),"'"," "),"#"," "),"+"," "),"&amp;"," "),"\"," "))&amp;" "</f>
        <v>  </v>
      </c>
      <c r="BE556" s="61" t="str">
        <f aca="false">" "&amp;TRIM(SUBSTITUTE(SUBSTITUTE(SUBSTITUTE(SUBSTITUTE(SUBSTITUTE(SUBSTITUTE(SUBSTITUTE(SUBSTITUTE(SUBSTITUTE(SUBSTITUTE(SUBSTITUTE(SUBSTITUTE(SUBSTITUTE(SUBSTITUTE(SUBSTITUTE(SUBSTITUTE(SUBSTITUTE(SUBSTITUTE(SUBSTITUTE(SUBSTITUTE(SUBSTITUTE(SUBSTITUTE(SUBSTITUTE(SUBSTITUTE(LOWER(W556&amp;""),CHAR(10)," "),CHAR(13)," "),CHAR(9)," "),CHAR(160)," "),"."," "),","," "),"-"," "),"/"," "),"("," "),")"," "),":"," "),";"," "),"_"," "),"–"," "),"?"," "),"!"," "),"*"," "),"["," "),"]"," "),"'"," "),"#"," "),"+"," "),"&amp;"," "),"\"," "))&amp;" "</f>
        <v>  </v>
      </c>
      <c r="BF556" s="61" t="str">
        <f aca="false">" "&amp;TRIM(SUBSTITUTE(SUBSTITUTE(SUBSTITUTE(SUBSTITUTE(SUBSTITUTE(SUBSTITUTE(SUBSTITUTE(SUBSTITUTE(SUBSTITUTE(SUBSTITUTE(SUBSTITUTE(SUBSTITUTE(SUBSTITUTE(SUBSTITUTE(SUBSTITUTE(SUBSTITUTE(SUBSTITUTE(SUBSTITUTE(SUBSTITUTE(SUBSTITUTE(SUBSTITUTE(SUBSTITUTE(SUBSTITUTE(SUBSTITUTE(LOWER(AC556&amp;""),CHAR(10)," "),CHAR(13)," "),CHAR(9)," "),CHAR(160)," "),"."," "),","," "),"-"," "),"/"," "),"("," "),")"," "),":"," "),";"," "),"_"," "),"–"," "),"?"," "),"!"," "),"*"," "),"["," "),"]"," "),"'"," "),"#"," "),"+"," "),"&amp;"," "),"\"," "))&amp;" "</f>
        <v>  </v>
      </c>
      <c r="BG556" s="61" t="n">
        <f aca="false">IFERROR(IF(AND(TRIM(U556)="Pass",SUMPRODUCT((LEN(BC556)-LEN(SUBSTITUTE(BC556," "&amp;L_ResultBad&amp;" "," ")))/(LEN(L_ResultBad)+1))&gt;SUMPRODUCT((LEN(BC556)-LEN(SUBSTITUTE(BC556," "&amp;L_NegPhrase&amp;" "," ")))/(LEN(L_NegPhrase)+1))),1,0),0)</f>
        <v>0</v>
      </c>
      <c r="BH556" s="61" t="n">
        <f aca="false">IFERROR(IF(SUMPRODUCT((LEN(BC556)-LEN(SUBSTITUTE(BC556," "&amp;L_Pending&amp;" "," ")))/(LEN(L_Pending)+1))&gt;SUMPRODUCT((LEN(BC556)-LEN(SUBSTITUTE(BC556," "&amp;L_PendNeg&amp;" "," ")))/(LEN(L_PendNeg)+1))+SUMPRODUCT((LEN(BC556)-LEN(SUBSTITUTE(BC556," "&amp;L_PendPrep&amp;" "," ")))/(LEN(L_PendPrep)+1)),1,0),1)</f>
        <v>0</v>
      </c>
      <c r="BI556" s="61" t="n">
        <f aca="false">IFERROR(IF(SUMPRODUCT((LEN(BD556)-LEN(SUBSTITUTE(BD556," "&amp;L_PendStrict&amp;" "," ")))/(LEN(L_PendStrict)+1))&gt;SUMPRODUCT((LEN(BD556)-LEN(SUBSTITUTE(BD556," "&amp;L_PendNeg&amp;" "," ")))/(LEN(L_PendNeg)+1)),1,0),1)</f>
        <v>0</v>
      </c>
      <c r="BJ556" s="61" t="n">
        <f aca="false">IFERROR(IF(SUMPRODUCT((LEN(BE556)-LEN(SUBSTITUTE(BE556," "&amp;L_Pending&amp;" "," ")))/(LEN(L_Pending)+1))&gt;SUMPRODUCT((LEN(BE556)-LEN(SUBSTITUTE(BE556," "&amp;L_PendNeg&amp;" "," ")))/(LEN(L_PendNeg)+1))+SUMPRODUCT((LEN(BE556)-LEN(SUBSTITUTE(BE556," "&amp;L_PendPrep&amp;" "," ")))/(LEN(L_PendPrep)+1)),1,0),1)</f>
        <v>0</v>
      </c>
      <c r="BK556" s="61" t="n">
        <f aca="false">IFERROR(IF(SUMPRODUCT((LEN(BF556)-LEN(SUBSTITUTE(BF556," "&amp;L_PendStrict&amp;" "," ")))/(LEN(L_PendStrict)+1))&gt;SUMPRODUCT((LEN(BF556)-LEN(SUBSTITUTE(BF556," "&amp;L_PendNeg&amp;" "," ")))/(LEN(L_PendNeg)+1)),1,0),1)</f>
        <v>0</v>
      </c>
      <c r="BL556" s="61" t="n">
        <f aca="false">IF(ISNA(MATCH(TRIM(S556),L_EvidenceType,0)),0,BZ556)</f>
        <v>0</v>
      </c>
      <c r="BM556" s="61" t="str">
        <f aca="false">SUBSTITUTE(SUBSTITUTE(SUBSTITUTE(SUBSTITUTE(SUBSTITUTE(SUBSTITUTE(SUBSTITUTE(SUBSTITUTE(SUBSTITUTE(LOWER(Z556&amp;""),"1","0"),"2","0"),"3","0"),"4","0"),"5","0"),"6","0"),"7","0"),"8","0"),"9","0")</f>
        <v/>
      </c>
      <c r="BN556" s="61" t="str">
        <f aca="false">SUBSTITUTE(SUBSTITUTE(SUBSTITUTE(SUBSTITUTE(SUBSTITUTE(SUBSTITUTE(SUBSTITUTE(SUBSTITUTE(SUBSTITUTE(SUBSTITUTE(SUBSTITUTE(SUBSTITUTE(SUBSTITUTE(SUBSTITUTE(SUBSTITUTE(SUBSTITUTE(SUBSTITUTE(SUBSTITUTE(SUBSTITUTE(SUBSTITUTE(SUBSTITUTE(SUBSTITUTE(SUBSTITUTE(SUBSTITUTE(SUBSTITUTE(BM556,"b","a"),"c","a"),"d","a"),"e","a"),"f","a"),"g","a"),"h","a"),"i","a"),"j","a"),"k","a"),"l","a"),"m","a"),"n","a"),"o","a"),"p","a"),"q","a"),"r","a"),"s","a"),"t","a"),"u","a"),"v","a"),"w","a"),"x","a"),"y","a"),"z","a")</f>
        <v/>
      </c>
      <c r="BO556" s="61" t="str">
        <f aca="false">SUBSTITUTE(SUBSTITUTE(SUBSTITUTE(SUBSTITUTE(SUBSTITUTE(SUBSTITUTE(SUBSTITUTE(SUBSTITUTE(SUBSTITUTE(LOWER(W556&amp;""),"1","0"),"2","0"),"3","0"),"4","0"),"5","0"),"6","0"),"7","0"),"8","0"),"9","0")</f>
        <v/>
      </c>
      <c r="BP556" s="61" t="str">
        <f aca="false">SUBSTITUTE(SUBSTITUTE(SUBSTITUTE(SUBSTITUTE(SUBSTITUTE(SUBSTITUTE(SUBSTITUTE(SUBSTITUTE(SUBSTITUTE(SUBSTITUTE(SUBSTITUTE(SUBSTITUTE(SUBSTITUTE(SUBSTITUTE(SUBSTITUTE(SUBSTITUTE(SUBSTITUTE(SUBSTITUTE(SUBSTITUTE(SUBSTITUTE(SUBSTITUTE(SUBSTITUTE(SUBSTITUTE(SUBSTITUTE(SUBSTITUTE(BO556,"b","a"),"c","a"),"d","a"),"e","a"),"f","a"),"g","a"),"h","a"),"i","a"),"j","a"),"k","a"),"l","a"),"m","a"),"n","a"),"o","a"),"p","a"),"q","a"),"r","a"),"s","a"),"t","a"),"u","a"),"v","a"),"w","a"),"x","a"),"y","a"),"z","a")</f>
        <v/>
      </c>
      <c r="BQ556" s="61" t="n">
        <f aca="false">IFERROR(IF(AND(ISERROR(SEARCH(" mh"," "&amp;LOWER(W556))),ISNA(MATCH(LEFT(TRIM(BP556),255),{"0000a","000a","00a","0000aa","000aa","00aa","0aa","0000aaa","000aaa","00a00","0a00","0000-0000","00:00","a00","a0","00.00.0000","00/00/0000","00-00-0000","0000-00-00","0000/00/00","0000.00.00","00.00.00","00/00/00","00-00-00","0.00.0000","0/00/0000","0-00-0000"},0)),ISNA(MATCH(LEFT(TRIM(CA556),255),{"0000a","000a","00a","0000aa","000aa","00aa","0aa","0000aaa","000aaa","00a00","0a00","0000-0000","00:00","a00","a0","00.00.0000","00/00/0000","00-00-0000","0000-00-00","0000/00/00","0000.00.00","00.00.00","00/00/00","00-00-00","0.00.0000","0/00/0000","0-00-0000"},0)),LEN(CB556)&gt;=3,NOT(OR(SUBSTITUTE(CB556,"0","")="",AND(LEN(CB556)&gt;=4,CB556=REPT(LEFT(CB556),LEN(CB556))),ISNUMBER(MATCH(CB556,{"123","1234","12345","123456","1234567","12345678","0123","01234","012345","98765","987654","54321"},0)),AND(LEN(CB556)=8,LEFT(CB556,3)="202"))),OR(AND((LEN(CA556)-LEN(SUBSTITUTE(CA556,"a","")))&gt;=1,SUMPRODUCT(--ISNUMBER(SEARCH({"a0","a-0","a_0","a/0","a.0","a#0","0a","0-a","0_a","0/a"},BP556)))&gt;0),ISNUMBER(SEARCH("000000",BP556)))),1,0),0)</f>
        <v>0</v>
      </c>
      <c r="BR556" s="61" t="n">
        <f aca="false">IFERROR(LEN(SUBSTITUTE(CC556," ",""))-SUMPRODUCT((LEN(CC556)-LEN(SUBSTITUTE(CC556," "&amp;L_Role&amp;" "," ")))/(LEN(L_Role)+1)*LEN(L_Role)),0)</f>
        <v>0</v>
      </c>
      <c r="BS556" s="61" t="n">
        <f aca="false">IFERROR(LEN(SUBSTITUTE(CD556," ",""))-SUMPRODUCT((LEN(CD556)-LEN(SUBSTITUTE(CD556," "&amp;L_Role&amp;" "," ")))/(LEN(L_Role)+1)*LEN(L_Role)),0)</f>
        <v>0</v>
      </c>
      <c r="BT5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556,"revision",""),"version",""),"jan",""),"feb",""),"mar",""),"apr",""),"may",""),"jun",""),"jul",""),"aug",""),"sep",""),"oct",""),"nov",""),"dec",""),"utc",""),"gmt",""),"myt",""),"bst",""),"rev",""),"ver",""),"b","a"),"c","a"),"d","a"),"e","a"),"f","a"),"g","a"),"h","a"),"i","a"),"j","a"),"k","a"),"l","a"),"m","a"),"n","a"),"o","a"),"p","a"),"q","a"),"r","a"),"s","a"),"t","a"),"u","a"),"v","a"),"w","a"),"x","a"),"y","a"),"z","a")</f>
        <v/>
      </c>
      <c r="BU556" s="61" t="str">
        <f aca="false">SUBSTITUTE(SUBSTITUTE(SUBSTITUTE(SUBSTITUTE(SUBSTITUTE(SUBSTITUTE(SUBSTITUTE(SUBSTITUTE(SUBSTITUTE(SUBSTITUTE(LEFT(BM556,FIND("0",BM556&amp;"0")-1),"-",""),"_",""),"/",""),".",""),"#",""),"\\",""),":","")," ",""),"(",""),")","")</f>
        <v/>
      </c>
      <c r="BV556" s="61" t="n">
        <f aca="false">0</f>
        <v>0</v>
      </c>
      <c r="BW5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556&amp;""),"a",""),"b",""),"c",""),"d",""),"e",""),"f",""),"g",""),"h",""),"i",""),"j",""),"k",""),"l",""),"m",""),"n",""),"o",""),"p",""),"q",""),"r",""),"s",""),"t",""),"u",""),"v",""),"w",""),"x",""),"y",""),"z",""),"-",""),"_",""),"/",""),".",""),"#",""),"\\",""),":","")," ",""),"(",""),")","")</f>
        <v/>
      </c>
      <c r="BX556" s="61" t="str">
        <f aca="false">SUBSTITUTE(SUBSTITUTE(SUBSTITUTE(SUBSTITUTE(SUBSTITUTE(SUBSTITUTE(SUBSTITUTE(SUBSTITUTE(SUBSTITUTE(SUBSTITUTE(SUBSTITUTE(BM556,"0",""),"-",""),"_",""),"/",""),".",""),"#",""),"\\",""),":","")," ",""),"(",""),")","")</f>
        <v/>
      </c>
      <c r="BY556" s="62" t="n">
        <f aca="false">Q556-T12EarlyH/24</f>
        <v>46321.2847222222</v>
      </c>
      <c r="BZ556" s="61" t="n">
        <f aca="false">IFERROR(IF(IF(TRIM(S556)="Link / file path",AND(LEN(TRIM(Z556))&gt;=5,SUMPRODUCT(--ISNUMBER(SEARCH({"http","www.","\\",":\",".pdf",".jpg",".jpeg",".png",".heic",".xls",".doc",".msg",".eml",".ppt",".txt",".zip"},Z556)))&gt;0),AND(ISERROR(FIND(" ",TRIM(Z556))),NOT(OR(SUMPRODUCT(--ISNUMBER(FIND({",",";","&amp;","+"},Z556)))&gt;0,SUMPRODUCT(--ISNUMBER(SEARCH({"0/aa","0\\aa"},BN556)))&gt;0)),NOT(SUMPRODUCT(--ISNUMBER(SEARCH({"http","www.","\\",":\",".pdf",".jpg",".jpeg",".png",".heic",".xls",".doc",".msg",".eml",".ppt",".txt",".zip"},Z556)))&gt;0),NOT(LOWER(TRIM(Z556))=LOWER(Flights!$F$21)),ISNA(MATCH(BU556,{"mh","rev","revision","ver","version","v","r","a","b","seat","tray","row","gate","bay","stand","page","pg","item","line","no","cart","galley","flight","flt","table","box","bag","oven","etd","eta","std","sta","atd","ata","qty","pax","x","time","tel","ph","mob","day","wk","week","utc","gmt","myt","lt"},0)),NOT(OR(ISNUMBER(MATCH(LEFT(BN556,255),{"0000a","000a","00a","0000aa","000aa","00aa","0aa","0000aaa","000aaa","00a00","0a00","0000-0000","00:00","a00","a0","00.00.0000","00/00/0000","00-00-0000","0000-00-00","0000/00/00","0000.00.00","00.00.00","00/00/00","00-00-00","0.00.0000","0/00/0000","0-00-0000"},0)),ISNUMBER(MATCH(LEFT(BT556,255),{"0000a","000a","00a","0000aa","000aa","00aa","0aa","0000aaa","000aaa","00a00","0a00","0000-0000","00:00","a00","a0","00.00.0000","00/00/0000","00-00-0000","0000-00-00","0000/00/00","0000.00.00","00.00.00","00/00/00","00-00-00","0.00.0000","0/00/0000","0-00-0000"},0)))),NOT(OR(AND(BW556&lt;&gt;"",SUBSTITUTE(BW556,"0","")=""),AND(LEN(BW556)&gt;=4,BW556=REPT(LEFT(BW556),LEN(BW556))),ISNUMBER(MATCH(BW556,{"123","1234","12345","123456","1234567","12345678","0123","01234","012345","98765","987654","54321"},0)),ISNUMBER(MATCH(BX556,{"x","xx","xxx","xxxx","xxxxx","abc","abcd","nil","na","nan","test","tbc","tba","tbd","dummy","sample","example","eg","zz","zzz","none","null","xyz","qwe","asd","id","ref"},0)),AND(LEN(BW556)=8,BX556="",OR(LEFT(BW556,3)="202",ISNUMBER(MATCH(RIGHT(BW556,4),{"2025","2026","2027"},0)))))),OR(AND((LEN(BT556)-LEN(SUBSTITUTE(BT556,"a","")))&gt;=1,(LEN(BN556)-LEN(SUBSTITUTE(BN556,"0","")))&gt;=2,SUMPRODUCT(--ISNUMBER(SEARCH({"a0","a-0","a_0","a/0","a.0","a#0","0a","0-a","0_a","0/a"},BN556)))&gt;0),AND((LEN(BN556)-LEN(SUBSTITUTE(BN556,"a","")))=0,(LEN(BN556)-LEN(SUBSTITUTE(BN556,"0","")))&gt;=5)))),1,0),0)</f>
        <v>0</v>
      </c>
      <c r="CA5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556,"revision",""),"version",""),"jan",""),"feb",""),"mar",""),"apr",""),"may",""),"jun",""),"jul",""),"aug",""),"sep",""),"oct",""),"nov",""),"dec",""),"utc",""),"gmt",""),"myt",""),"bst",""),"rev",""),"ver",""),"b","a"),"c","a"),"d","a"),"e","a"),"f","a"),"g","a"),"h","a"),"i","a"),"j","a"),"k","a"),"l","a"),"m","a"),"n","a"),"o","a"),"p","a"),"q","a"),"r","a"),"s","a"),"t","a"),"u","a"),"v","a"),"w","a"),"x","a"),"y","a"),"z","a")</f>
        <v/>
      </c>
      <c r="CB5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556&amp;""),"a",""),"b",""),"c",""),"d",""),"e",""),"f",""),"g",""),"h",""),"i",""),"j",""),"k",""),"l",""),"m",""),"n",""),"o",""),"p",""),"q",""),"r",""),"s",""),"t",""),"u",""),"v",""),"w",""),"x",""),"y",""),"z",""),"-",""),"_",""),"/",""),".",""),"#",""),"\\",""),":","")," ",""),"(",""),")","")</f>
        <v/>
      </c>
      <c r="CC556" s="0" t="str">
        <f aca="false">" "&amp;TRIM(SUBSTITUTE(SUBSTITUTE(SUBSTITUTE(SUBSTITUTE(SUBSTITUTE(SUBSTITUTE(SUBSTITUTE(SUBSTITUTE(SUBSTITUTE(SUBSTITUTE(SUBSTITUTE(SUBSTITUTE(SUBSTITUTE(SUBSTITUTE(SUBSTITUTE(SUBSTITUTE(SUBSTITUTE(SUBSTITUTE(SUBSTITUTE(SUBSTITUTE(SUBSTITUTE(SUBSTITUTE(SUBSTITUTE(SUBSTITUTE(LOWER(T556&amp;""),CHAR(10)," "),CHAR(13)," "),CHAR(9)," "),CHAR(160)," "),"."," "),","," "),"-"," "),"/"," "),"("," "),")"," "),":"," "),";"," "),"_"," "),"–"," "),"?"," "),"!"," "),"*"," "),"["," "),"]"," "),"'"," "),"#"," "),"+"," "),"&amp;"," "),"\"," "))&amp;" "</f>
        <v>  </v>
      </c>
      <c r="CD556" s="0" t="str">
        <f aca="false">" "&amp;TRIM(SUBSTITUTE(SUBSTITUTE(SUBSTITUTE(SUBSTITUTE(SUBSTITUTE(SUBSTITUTE(SUBSTITUTE(SUBSTITUTE(SUBSTITUTE(SUBSTITUTE(SUBSTITUTE(SUBSTITUTE(SUBSTITUTE(SUBSTITUTE(SUBSTITUTE(SUBSTITUTE(SUBSTITUTE(SUBSTITUTE(SUBSTITUTE(SUBSTITUTE(SUBSTITUTE(SUBSTITUTE(SUBSTITUTE(SUBSTITUTE(LOWER(AE556&amp;""),CHAR(10)," "),CHAR(13)," "),CHAR(9)," "),CHAR(160)," "),"."," "),","," "),"-"," "),"/"," "),"("," "),")"," "),":"," "),";"," "),"_"," "),"–"," "),"?"," "),"!"," "),"*"," "),"["," "),"]"," "),"'"," "),"#"," "),"+"," "),"&amp;"," "),"\"," "))&amp;" "</f>
        <v>  </v>
      </c>
      <c r="CE556" s="68" t="n">
        <f aca="false">IFERROR(IF(AND(LEN(AU556)&gt;0,LEN(AU556)=LEN(AX556),OR(TRIM(MID(SUBSTITUTE(TRIM(CC556)," ",REPT(" ",60)),1,60))="",ISNUMBER(SEARCH(" "&amp;TRIM(MID(SUBSTITUTE(TRIM(CC556)," ",REPT(" ",60)),1,60))&amp;" ",CD556))),OR(TRIM(MID(SUBSTITUTE(TRIM(CC556)," ",REPT(" ",60)),61,60))="",ISNUMBER(SEARCH(" "&amp;TRIM(MID(SUBSTITUTE(TRIM(CC556)," ",REPT(" ",60)),61,60))&amp;" ",CD556))),OR(TRIM(MID(SUBSTITUTE(TRIM(CC556)," ",REPT(" ",60)),121,60))="",ISNUMBER(SEARCH(" "&amp;TRIM(MID(SUBSTITUTE(TRIM(CC556)," ",REPT(" ",60)),121,60))&amp;" ",CD556)))),1,0),0)</f>
        <v>0</v>
      </c>
      <c r="CG556" s="68" t="n">
        <f aca="false">IFERROR(LEN(SUBSTITUTE(BF556," ",""))-SUMPRODUCT((LEN(BF556)-LEN(SUBSTITUTE(BF556," "&amp;L_NAFiller&amp;" "," ")))/(LEN(L_NAFiller)+1)*LEN(L_NAFiller)),0)</f>
        <v>0</v>
      </c>
    </row>
    <row r="557" customFormat="false" ht="41.25" hidden="false" customHeight="true" outlineLevel="0" collapsed="false">
      <c r="A557" s="57" t="s">
        <v>1241</v>
      </c>
      <c r="B557" s="57" t="s">
        <v>290</v>
      </c>
      <c r="C557" s="57" t="str">
        <f aca="false">Flights!$F$21</f>
        <v>MH0073</v>
      </c>
      <c r="D557" s="58" t="n">
        <f aca="false">Flights!$D$21</f>
        <v>46322</v>
      </c>
      <c r="E557" s="57" t="str">
        <f aca="false">Flights!$G$21&amp;"-"&amp;Flights!$H$21</f>
        <v>HKG-KUL</v>
      </c>
      <c r="F557" s="57" t="str">
        <f aca="false">Flights!$K$21</f>
        <v>BC</v>
      </c>
      <c r="G557" s="57" t="s">
        <v>420</v>
      </c>
      <c r="H557" s="57" t="s">
        <v>378</v>
      </c>
      <c r="I557" s="57" t="s">
        <v>447</v>
      </c>
      <c r="J557" s="57" t="s">
        <v>526</v>
      </c>
      <c r="K557" s="67" t="s">
        <v>449</v>
      </c>
      <c r="L557" s="67" t="s">
        <v>1242</v>
      </c>
      <c r="M557" s="67" t="s">
        <v>451</v>
      </c>
      <c r="N557" s="67" t="s">
        <v>383</v>
      </c>
      <c r="O557" s="67" t="s">
        <v>1226</v>
      </c>
      <c r="P557" s="57" t="s">
        <v>282</v>
      </c>
      <c r="Q557" s="59" t="n">
        <f aca="false">ROUND((Flights!$AE$21)*1440,0)/1440</f>
        <v>46321.7847222222</v>
      </c>
      <c r="R557" s="59" t="n">
        <f aca="false">Q557+(IF(AND(INDEX(TZ_DSTS,MATCH(P557,TZ_STN,0))&lt;&gt;"",Q557&gt;=INDEX(TZ_DSTS,MATCH(P557,TZ_STN,0)),Q557&lt;INDEX(TZ_DSTE,MATCH(P557,TZ_STN,0))),INDEX(TZ_DST,MATCH(P557,TZ_STN,0)),INDEX(TZ_STD,MATCH(P557,TZ_STN,0))))/24</f>
        <v>46322.1180555556</v>
      </c>
      <c r="S557" s="60"/>
      <c r="T557" s="60"/>
      <c r="U557" s="60"/>
      <c r="V557" s="60"/>
      <c r="W557" s="61"/>
      <c r="X557" s="60"/>
      <c r="Y557" s="60"/>
      <c r="Z557" s="60"/>
      <c r="AA557" s="60"/>
      <c r="AB557" s="60"/>
      <c r="AC557" s="60"/>
      <c r="AD557" s="66"/>
      <c r="AE557" s="60"/>
      <c r="AF557" s="61" t="str">
        <f aca="false">IF(AND(ISNUMBER(X557),ISNUMBER(Y557)),Y557-X557,"")</f>
        <v/>
      </c>
      <c r="AG557" s="62" t="str">
        <f aca="false">IF(ISNUMBER(AD557),AD557-(IF(AND(INDEX(TZ_DSTS,MATCH(P557,TZ_STN,0))&lt;&gt;"",(AD557-INDEX(TZ_STD,MATCH(P557,TZ_STN,0))/24)&gt;=INDEX(TZ_DSTS,MATCH(P557,TZ_STN,0)),(AD557-INDEX(TZ_STD,MATCH(P557,TZ_STN,0))/24)&lt;INDEX(TZ_DSTE,MATCH(P557,TZ_STN,0))),INDEX(TZ_DST,MATCH(P557,TZ_STN,0)),INDEX(TZ_STD,MATCH(P557,TZ_STN,0))))/24,"")</f>
        <v/>
      </c>
      <c r="AH557" s="65" t="str">
        <f aca="false">IFERROR(IF(N557="N/A – rule",IF(OR(TRIM(U557)="",TRIM(U557)="N/A",TRIM(U557)="Not started"),"N/A – RULE","INVALID – this check does not apply to this aircraft: clear the status (or correct the fleet on Flights)"),IF(TRIM(U557)="N/A",IF(AT557=0,"INVALID – N/A not permitted for this check",IF(AND(TRIM(AB557)&lt;&gt;"",TRIM(AB557)&lt;&gt;"Closed"),"INVALID – corrective action still open",IF(AND(NOT(OR(LEN(AZ557)&lt;15,ISNUMBER(MATCH(AZ557,L_Placeholder,0)))),BK557=0,CG557&gt;=8,NOT(OR(LEN(AU557)&lt;2,ISNUMBER(MATCH(AU557,L_Placeholder,0)))),BR557&gt;=3,NOT(OR(LEN(AX557)&lt;2,ISNUMBER(MATCH(AX557,L_Placeholder,0)))),BS557&gt;=3,TRIM(AE557)&lt;&gt;TRIM(T557),AX557&lt;&gt;AU557,CE557=0),"N/A – JUSTIFIED","INVALID – N/A needs a real, settled reason (not 'not applicable' / 'as above' / TBC), a named PIC and a different named verifier"))),IF(OR(TRIM(U557)="Pass",TRIM(U557)="Pass after CA"),IF(NOT(ISNUMBER(AD557)),"INVALID – completion time missing",IF(OR(OR(LEN(AU557)&lt;2,ISNUMBER(MATCH(AU557,L_Placeholder,0))),BR557&lt;3),"INVALID – PIC missing or not a named person (a role such as QA / CSM is not a name)",IF(OR(LEN(AV557)&lt;2,ISNUMBER(MATCH(AV557,L_Placeholder,0))),"INVALID – result / assessment missing",IF(OR(OR(LEN(AW557)&lt;3,ISNUMBER(MATCH(AW557,L_Placeholder,0))),SUMPRODUCT(--ISNUMBER(SEARCH(" "&amp;L_EvidencePhrase&amp;" ",BD557)))&gt;0,BI557=1),"INVALID – evidence missing, placeholder or not yet on file",IF(ISNA(MATCH(TRIM(S557),L_EvidenceType,0)),"INVALID – choose the evidence type from the list (column S)",IF(BL557=0,"INVALID – evidence ID must be the record's own ID only (e.g. SF-2210, IMG_2231, 1045521); a link / file name needs type 'Link / file path'",IF(OR(OR(LEN(AX557)&lt;2,ISNUMBER(MATCH(AX557,L_Placeholder,0))),BS557&lt;3),"INVALID – verifier missing or not a named person (a role such as QA / CSM is not a name)",IF(OR(AX557=AU557,CE557=1,AND(LEN(AU557)&gt;=4,ISNUMBER(SEARCH(AU557,AX557))),AND(LEN(AX557)&gt;=4,ISNUMBER(SEARCH(AX557,AU557)))),"INVALID – verifier must be a different, named person (not the PIC or a role)",IF(BH557=1,"INVALID – result not yet available (awaiting / TBC)",IF(BG557=1,"INVALID – result describes a problem: record Fail, then Pass after CA (or reword if it is not a problem)",IF(BV557=1,"INVALID – wording says not on board: an on-board confirmation needs the item loaded",IF(AND(AQ557=1,OR(OR(LEN(AY557)&lt;3,ISNUMBER(MATCH(AY557,L_Placeholder,0))),BJ557=1,BQ557=0)),"INVALID – batch ID missing, placeholder or not an ID (e.g. PASB-261008-BC-017)",IF(AND(AR557=1,OR(NOT(ISNUMBER(X557)),NOT(ISNUMBER(Y557)))),"INVALID – expected/actual qty missing",IF(AND(AR557=1,OR(X557&lt;=0,Y557&lt;0)),"INVALID – expected qty must be above 0 and actual not negative",IF(BB557&lt;&gt;"",BB557,IF(AND(AS557=1,Documents!$J$21&lt;&gt;"ON FILE"),"INVALID – GLD not on file (Documents sheet)",IF(AND(AS557=2,Documents!$O$21&lt;&gt;"ON FILE"),"INVALID – menu checklist not on file (Documents sheet)",IF(AND(AS557=3,NOT(ISNUMBER(Flights!$AX$21))),"INVALID – enter carrying flight KUL departure (Flights AX)",IF(AND(AS557=3,OR(Flights!$AZ$21&gt;Flights!$AA$21,Flights!$AX$21&lt;Flights!$AA$21-3)),"INVALID – carrying flight (Flights AX) cannot arrive before this leg's STD, or is over 3 days early",IF(AG557&gt;AsOfUTC,"INVALID – completion time is in the future",IF(AND(ISNUMBER(BY557),AG557&lt;BY557),IF(H557="Physical uplift","INVALID – before uplift window (cannot confirm loading)","INVALID – before valid window"),IF(AG557&gt;Flights!$AA$21,"INVALID – completed after departure (cannot establish readiness)",IF(AND(H557="Preparation",AG557&gt;=IF(ISNUMBER(Flights!$BA$21),MIN(Flights!$BA$21,Flights!$AA$21),Flights!$AA$21)),"INVALID – completed after loading / departure (cannot establish readiness)",IF(AND(H557="Physical uplift",AG557&gt;Q557),"INVALID – recorded after the loading flight departed",IF(AG557&gt;Q557,"COMPLETE – LATE","COMPLETE"))))))))))))))))))))))))),IF(TRIM(U557)="Fail","FAIL – DISCREPANCY",IF(AND(TRIM(U557)&lt;&gt;"",TRIM(U557)&lt;&gt;"Not started",TRIM(U557)&lt;&gt;"In progress"),"INVALID – unrecognised status (use the list)",IF(AsOfUTC&gt;Q557,"OVERDUE",IF(N557="Clarification required","OPEN – CLARIFICATION","OPEN"))))))),"INVALID – error value in an input cell")</f>
        <v>OPEN</v>
      </c>
      <c r="AI557" s="61" t="n">
        <f aca="false">IF(OR(AH557="N/A – RULE",AH557="N/A – JUSTIFIED"),0,1)</f>
        <v>1</v>
      </c>
      <c r="AJ557" s="61" t="n">
        <f aca="false">IF(LEFT(AH557,8)="COMPLETE",1,0)</f>
        <v>0</v>
      </c>
      <c r="AK557" s="61" t="n">
        <f aca="false">IF(AND(AI557=1,AJ557=0,AsOfUTC&gt;Q557),1,0)</f>
        <v>0</v>
      </c>
      <c r="AL557" s="61" t="n">
        <f aca="false">IFERROR(IF(AND(AI557=1,OR(TRIM(U557)="Fail",AND(TRIM(AB557)&lt;&gt;"",TRIM(AB557)&lt;&gt;"Closed"),AND(ISNUMBER(AF557),AF557&lt;&gt;0,TRIM(U557)&lt;&gt;"Pass after CA"))),1,0),1)</f>
        <v>0</v>
      </c>
      <c r="AM557" s="61" t="n">
        <f aca="false">IF(LEFT(AH557,7)="INVALID",1,0)</f>
        <v>0</v>
      </c>
      <c r="AN557" s="61" t="n">
        <f aca="false">IF(AND(N557="Clarification required",AI557=1,AJ557=0),1,0)</f>
        <v>0</v>
      </c>
      <c r="AO557" s="61" t="str">
        <f aca="false">IF(AK557=1,SUM(AK$5:AK557),"")</f>
        <v/>
      </c>
      <c r="AP557" s="61" t="str">
        <f aca="false">IF(AL557=1,SUM(AL$5:AL557),"")</f>
        <v/>
      </c>
      <c r="AQ557" s="61" t="n">
        <v>0</v>
      </c>
      <c r="AR557" s="61" t="n">
        <v>0</v>
      </c>
      <c r="AS557" s="61" t="n">
        <v>0</v>
      </c>
      <c r="AT557" s="61" t="n">
        <v>0</v>
      </c>
      <c r="AU557" s="61" t="str">
        <f aca="false">SUBSTITUTE(SUBSTITUTE(SUBSTITUTE(SUBSTITUTE(SUBSTITUTE(SUBSTITUTE(SUBSTITUTE(SUBSTITUTE(SUBSTITUTE(SUBSTITUTE(SUBSTITUTE(SUBSTITUTE(SUBSTITUTE(SUBSTITUTE(SUBSTITUTE(SUBSTITUTE(LOWER(T557&amp;""),CHAR(10),""),CHAR(13),""),CHAR(9),""),CHAR(160),"")," ",""),".",""),"-",""),"/",""),"?",""),"_",""),",",""),"[",""),"]",""),"(",""),")",""),"*","")</f>
        <v/>
      </c>
      <c r="AV557" s="61" t="str">
        <f aca="false">SUBSTITUTE(SUBSTITUTE(SUBSTITUTE(SUBSTITUTE(SUBSTITUTE(SUBSTITUTE(SUBSTITUTE(SUBSTITUTE(SUBSTITUTE(SUBSTITUTE(SUBSTITUTE(SUBSTITUTE(SUBSTITUTE(SUBSTITUTE(SUBSTITUTE(SUBSTITUTE(LOWER(V557&amp;""),CHAR(10),""),CHAR(13),""),CHAR(9),""),CHAR(160),"")," ",""),".",""),"-",""),"/",""),"?",""),"_",""),",",""),"[",""),"]",""),"(",""),")",""),"*","")</f>
        <v/>
      </c>
      <c r="AW557" s="61" t="str">
        <f aca="false">SUBSTITUTE(SUBSTITUTE(SUBSTITUTE(SUBSTITUTE(SUBSTITUTE(SUBSTITUTE(SUBSTITUTE(SUBSTITUTE(SUBSTITUTE(SUBSTITUTE(SUBSTITUTE(SUBSTITUTE(SUBSTITUTE(SUBSTITUTE(SUBSTITUTE(SUBSTITUTE(LOWER(Z557&amp;""),CHAR(10),""),CHAR(13),""),CHAR(9),""),CHAR(160),"")," ",""),".",""),"-",""),"/",""),"?",""),"_",""),",",""),"[",""),"]",""),"(",""),")",""),"*","")</f>
        <v/>
      </c>
      <c r="AX557" s="61" t="str">
        <f aca="false">SUBSTITUTE(SUBSTITUTE(SUBSTITUTE(SUBSTITUTE(SUBSTITUTE(SUBSTITUTE(SUBSTITUTE(SUBSTITUTE(SUBSTITUTE(SUBSTITUTE(SUBSTITUTE(SUBSTITUTE(SUBSTITUTE(SUBSTITUTE(SUBSTITUTE(SUBSTITUTE(LOWER(AE557&amp;""),CHAR(10),""),CHAR(13),""),CHAR(9),""),CHAR(160),"")," ",""),".",""),"-",""),"/",""),"?",""),"_",""),",",""),"[",""),"]",""),"(",""),")",""),"*","")</f>
        <v/>
      </c>
      <c r="AY557" s="61" t="str">
        <f aca="false">SUBSTITUTE(SUBSTITUTE(SUBSTITUTE(SUBSTITUTE(SUBSTITUTE(SUBSTITUTE(SUBSTITUTE(SUBSTITUTE(SUBSTITUTE(SUBSTITUTE(SUBSTITUTE(SUBSTITUTE(SUBSTITUTE(SUBSTITUTE(SUBSTITUTE(SUBSTITUTE(LOWER(W557&amp;""),CHAR(10),""),CHAR(13),""),CHAR(9),""),CHAR(160),"")," ",""),".",""),"-",""),"/",""),"?",""),"_",""),",",""),"[",""),"]",""),"(",""),")",""),"*","")</f>
        <v/>
      </c>
      <c r="AZ557" s="61" t="str">
        <f aca="false">SUBSTITUTE(SUBSTITUTE(SUBSTITUTE(SUBSTITUTE(SUBSTITUTE(SUBSTITUTE(SUBSTITUTE(SUBSTITUTE(SUBSTITUTE(SUBSTITUTE(SUBSTITUTE(SUBSTITUTE(SUBSTITUTE(SUBSTITUTE(SUBSTITUTE(SUBSTITUTE(LOWER(AC557&amp;""),CHAR(10),""),CHAR(13),""),CHAR(9),""),CHAR(160),"")," ",""),".",""),"-",""),"/",""),"?",""),"_",""),",",""),"[",""),"]",""),"(",""),")",""),"*","")</f>
        <v/>
      </c>
      <c r="BA557" s="61" t="str">
        <f aca="false">SUBSTITUTE(SUBSTITUTE(SUBSTITUTE(SUBSTITUTE(SUBSTITUTE(SUBSTITUTE(SUBSTITUTE(SUBSTITUTE(SUBSTITUTE(SUBSTITUTE(SUBSTITUTE(SUBSTITUTE(SUBSTITUTE(SUBSTITUTE(SUBSTITUTE(SUBSTITUTE(LOWER(AA557&amp;""),CHAR(10),""),CHAR(13),""),CHAR(9),""),CHAR(160),"")," ",""),".",""),"-",""),"/",""),"?",""),"_",""),",",""),"[",""),"]",""),"(",""),")",""),"*","")</f>
        <v/>
      </c>
      <c r="BB557" s="61" t="str">
        <f aca="false">IF(AND(TRIM(U557)="Pass",ISNUMBER(AF557)),IF(AF557&lt;&gt;0,"INVALID – qty variance: use Fail or Pass after CA",""),"")&amp;IF(AND(TRIM(U557)="Pass after CA",ISNUMBER(AF557)),IF(AF557&lt;&gt;0,"INVALID – after the corrective action the actual qty must equal expected (update Actual)",""),"")&amp;IF(AND(TRIM(U557)="Pass",TRIM(AB557)&lt;&gt;"",TRIM(AB557)&lt;&gt;"Closed"),"INVALID – corrective action not closed: use Fail, then Pass after CA","")&amp;IF(AND(LEN(BA557)&gt;=2,ISNA(MATCH(LEFT(BA557,255),L_Placeholder,0)),TRIM(AB557)=""),"INVALID – CA status missing for the recorded corrective action","")&amp;IF(AND(TRIM(U557)="Pass after CA",OR(OR(LEN(BA557)&lt;5,ISNUMBER(MATCH(BA557,L_Placeholder,0))),TRIM(AB557)&lt;&gt;"Closed")),"INVALID – corrective action not recorded/closed","")</f>
        <v/>
      </c>
      <c r="BC557" s="61" t="str">
        <f aca="false">" "&amp;TRIM(SUBSTITUTE(SUBSTITUTE(SUBSTITUTE(SUBSTITUTE(SUBSTITUTE(SUBSTITUTE(SUBSTITUTE(SUBSTITUTE(SUBSTITUTE(SUBSTITUTE(SUBSTITUTE(SUBSTITUTE(SUBSTITUTE(SUBSTITUTE(SUBSTITUTE(SUBSTITUTE(SUBSTITUTE(SUBSTITUTE(SUBSTITUTE(SUBSTITUTE(SUBSTITUTE(SUBSTITUTE(SUBSTITUTE(SUBSTITUTE(LOWER(V557&amp;""),CHAR(10)," "),CHAR(13)," "),CHAR(9)," "),CHAR(160)," "),"."," "),","," "),"-"," "),"/"," "),"("," "),")"," "),":"," "),";"," "),"_"," "),"–"," "),"?"," "),"!"," "),"*"," "),"["," "),"]"," "),"'"," "),"#"," "),"+"," "),"&amp;"," "),"\"," "))&amp;" "</f>
        <v>  </v>
      </c>
      <c r="BD557" s="61" t="str">
        <f aca="false">" "&amp;TRIM(SUBSTITUTE(SUBSTITUTE(SUBSTITUTE(SUBSTITUTE(SUBSTITUTE(SUBSTITUTE(SUBSTITUTE(SUBSTITUTE(SUBSTITUTE(SUBSTITUTE(SUBSTITUTE(SUBSTITUTE(SUBSTITUTE(SUBSTITUTE(SUBSTITUTE(SUBSTITUTE(SUBSTITUTE(SUBSTITUTE(SUBSTITUTE(SUBSTITUTE(SUBSTITUTE(SUBSTITUTE(SUBSTITUTE(SUBSTITUTE(LOWER(Z557&amp;""),CHAR(10)," "),CHAR(13)," "),CHAR(9)," "),CHAR(160)," "),"."," "),","," "),"-"," "),"/"," "),"("," "),")"," "),":"," "),";"," "),"_"," "),"–"," "),"?"," "),"!"," "),"*"," "),"["," "),"]"," "),"'"," "),"#"," "),"+"," "),"&amp;"," "),"\"," "))&amp;" "</f>
        <v>  </v>
      </c>
      <c r="BE557" s="61" t="str">
        <f aca="false">" "&amp;TRIM(SUBSTITUTE(SUBSTITUTE(SUBSTITUTE(SUBSTITUTE(SUBSTITUTE(SUBSTITUTE(SUBSTITUTE(SUBSTITUTE(SUBSTITUTE(SUBSTITUTE(SUBSTITUTE(SUBSTITUTE(SUBSTITUTE(SUBSTITUTE(SUBSTITUTE(SUBSTITUTE(SUBSTITUTE(SUBSTITUTE(SUBSTITUTE(SUBSTITUTE(SUBSTITUTE(SUBSTITUTE(SUBSTITUTE(SUBSTITUTE(LOWER(W557&amp;""),CHAR(10)," "),CHAR(13)," "),CHAR(9)," "),CHAR(160)," "),"."," "),","," "),"-"," "),"/"," "),"("," "),")"," "),":"," "),";"," "),"_"," "),"–"," "),"?"," "),"!"," "),"*"," "),"["," "),"]"," "),"'"," "),"#"," "),"+"," "),"&amp;"," "),"\"," "))&amp;" "</f>
        <v>  </v>
      </c>
      <c r="BF557" s="61" t="str">
        <f aca="false">" "&amp;TRIM(SUBSTITUTE(SUBSTITUTE(SUBSTITUTE(SUBSTITUTE(SUBSTITUTE(SUBSTITUTE(SUBSTITUTE(SUBSTITUTE(SUBSTITUTE(SUBSTITUTE(SUBSTITUTE(SUBSTITUTE(SUBSTITUTE(SUBSTITUTE(SUBSTITUTE(SUBSTITUTE(SUBSTITUTE(SUBSTITUTE(SUBSTITUTE(SUBSTITUTE(SUBSTITUTE(SUBSTITUTE(SUBSTITUTE(SUBSTITUTE(LOWER(AC557&amp;""),CHAR(10)," "),CHAR(13)," "),CHAR(9)," "),CHAR(160)," "),"."," "),","," "),"-"," "),"/"," "),"("," "),")"," "),":"," "),";"," "),"_"," "),"–"," "),"?"," "),"!"," "),"*"," "),"["," "),"]"," "),"'"," "),"#"," "),"+"," "),"&amp;"," "),"\"," "))&amp;" "</f>
        <v>  </v>
      </c>
      <c r="BG557" s="61" t="n">
        <f aca="false">IFERROR(IF(AND(TRIM(U557)="Pass",SUMPRODUCT((LEN(BC557)-LEN(SUBSTITUTE(BC557," "&amp;L_ResultBad&amp;" "," ")))/(LEN(L_ResultBad)+1))&gt;SUMPRODUCT((LEN(BC557)-LEN(SUBSTITUTE(BC557," "&amp;L_NegPhrase&amp;" "," ")))/(LEN(L_NegPhrase)+1))),1,0),0)</f>
        <v>0</v>
      </c>
      <c r="BH557" s="61" t="n">
        <f aca="false">IFERROR(IF(SUMPRODUCT((LEN(BC557)-LEN(SUBSTITUTE(BC557," "&amp;L_Pending&amp;" "," ")))/(LEN(L_Pending)+1))&gt;SUMPRODUCT((LEN(BC557)-LEN(SUBSTITUTE(BC557," "&amp;L_PendNeg&amp;" "," ")))/(LEN(L_PendNeg)+1))+SUMPRODUCT((LEN(BC557)-LEN(SUBSTITUTE(BC557," "&amp;L_PendPrep&amp;" "," ")))/(LEN(L_PendPrep)+1)),1,0),1)</f>
        <v>0</v>
      </c>
      <c r="BI557" s="61" t="n">
        <f aca="false">IFERROR(IF(SUMPRODUCT((LEN(BD557)-LEN(SUBSTITUTE(BD557," "&amp;L_PendStrict&amp;" "," ")))/(LEN(L_PendStrict)+1))&gt;SUMPRODUCT((LEN(BD557)-LEN(SUBSTITUTE(BD557," "&amp;L_PendNeg&amp;" "," ")))/(LEN(L_PendNeg)+1)),1,0),1)</f>
        <v>0</v>
      </c>
      <c r="BJ557" s="61" t="n">
        <f aca="false">IFERROR(IF(SUMPRODUCT((LEN(BE557)-LEN(SUBSTITUTE(BE557," "&amp;L_Pending&amp;" "," ")))/(LEN(L_Pending)+1))&gt;SUMPRODUCT((LEN(BE557)-LEN(SUBSTITUTE(BE557," "&amp;L_PendNeg&amp;" "," ")))/(LEN(L_PendNeg)+1))+SUMPRODUCT((LEN(BE557)-LEN(SUBSTITUTE(BE557," "&amp;L_PendPrep&amp;" "," ")))/(LEN(L_PendPrep)+1)),1,0),1)</f>
        <v>0</v>
      </c>
      <c r="BK557" s="61" t="n">
        <f aca="false">IFERROR(IF(SUMPRODUCT((LEN(BF557)-LEN(SUBSTITUTE(BF557," "&amp;L_PendStrict&amp;" "," ")))/(LEN(L_PendStrict)+1))&gt;SUMPRODUCT((LEN(BF557)-LEN(SUBSTITUTE(BF557," "&amp;L_PendNeg&amp;" "," ")))/(LEN(L_PendNeg)+1)),1,0),1)</f>
        <v>0</v>
      </c>
      <c r="BL557" s="61" t="n">
        <f aca="false">IF(ISNA(MATCH(TRIM(S557),L_EvidenceType,0)),0,BZ557)</f>
        <v>0</v>
      </c>
      <c r="BM557" s="61" t="str">
        <f aca="false">SUBSTITUTE(SUBSTITUTE(SUBSTITUTE(SUBSTITUTE(SUBSTITUTE(SUBSTITUTE(SUBSTITUTE(SUBSTITUTE(SUBSTITUTE(LOWER(Z557&amp;""),"1","0"),"2","0"),"3","0"),"4","0"),"5","0"),"6","0"),"7","0"),"8","0"),"9","0")</f>
        <v/>
      </c>
      <c r="BN557" s="61" t="str">
        <f aca="false">SUBSTITUTE(SUBSTITUTE(SUBSTITUTE(SUBSTITUTE(SUBSTITUTE(SUBSTITUTE(SUBSTITUTE(SUBSTITUTE(SUBSTITUTE(SUBSTITUTE(SUBSTITUTE(SUBSTITUTE(SUBSTITUTE(SUBSTITUTE(SUBSTITUTE(SUBSTITUTE(SUBSTITUTE(SUBSTITUTE(SUBSTITUTE(SUBSTITUTE(SUBSTITUTE(SUBSTITUTE(SUBSTITUTE(SUBSTITUTE(SUBSTITUTE(BM557,"b","a"),"c","a"),"d","a"),"e","a"),"f","a"),"g","a"),"h","a"),"i","a"),"j","a"),"k","a"),"l","a"),"m","a"),"n","a"),"o","a"),"p","a"),"q","a"),"r","a"),"s","a"),"t","a"),"u","a"),"v","a"),"w","a"),"x","a"),"y","a"),"z","a")</f>
        <v/>
      </c>
      <c r="BO557" s="61" t="str">
        <f aca="false">SUBSTITUTE(SUBSTITUTE(SUBSTITUTE(SUBSTITUTE(SUBSTITUTE(SUBSTITUTE(SUBSTITUTE(SUBSTITUTE(SUBSTITUTE(LOWER(W557&amp;""),"1","0"),"2","0"),"3","0"),"4","0"),"5","0"),"6","0"),"7","0"),"8","0"),"9","0")</f>
        <v/>
      </c>
      <c r="BP557" s="61" t="str">
        <f aca="false">SUBSTITUTE(SUBSTITUTE(SUBSTITUTE(SUBSTITUTE(SUBSTITUTE(SUBSTITUTE(SUBSTITUTE(SUBSTITUTE(SUBSTITUTE(SUBSTITUTE(SUBSTITUTE(SUBSTITUTE(SUBSTITUTE(SUBSTITUTE(SUBSTITUTE(SUBSTITUTE(SUBSTITUTE(SUBSTITUTE(SUBSTITUTE(SUBSTITUTE(SUBSTITUTE(SUBSTITUTE(SUBSTITUTE(SUBSTITUTE(SUBSTITUTE(BO557,"b","a"),"c","a"),"d","a"),"e","a"),"f","a"),"g","a"),"h","a"),"i","a"),"j","a"),"k","a"),"l","a"),"m","a"),"n","a"),"o","a"),"p","a"),"q","a"),"r","a"),"s","a"),"t","a"),"u","a"),"v","a"),"w","a"),"x","a"),"y","a"),"z","a")</f>
        <v/>
      </c>
      <c r="BQ557" s="61" t="n">
        <f aca="false">IFERROR(IF(AND(ISERROR(SEARCH(" mh"," "&amp;LOWER(W557))),ISNA(MATCH(LEFT(TRIM(BP557),255),{"0000a","000a","00a","0000aa","000aa","00aa","0aa","0000aaa","000aaa","00a00","0a00","0000-0000","00:00","a00","a0","00.00.0000","00/00/0000","00-00-0000","0000-00-00","0000/00/00","0000.00.00","00.00.00","00/00/00","00-00-00","0.00.0000","0/00/0000","0-00-0000"},0)),ISNA(MATCH(LEFT(TRIM(CA557),255),{"0000a","000a","00a","0000aa","000aa","00aa","0aa","0000aaa","000aaa","00a00","0a00","0000-0000","00:00","a00","a0","00.00.0000","00/00/0000","00-00-0000","0000-00-00","0000/00/00","0000.00.00","00.00.00","00/00/00","00-00-00","0.00.0000","0/00/0000","0-00-0000"},0)),LEN(CB557)&gt;=3,NOT(OR(SUBSTITUTE(CB557,"0","")="",AND(LEN(CB557)&gt;=4,CB557=REPT(LEFT(CB557),LEN(CB557))),ISNUMBER(MATCH(CB557,{"123","1234","12345","123456","1234567","12345678","0123","01234","012345","98765","987654","54321"},0)),AND(LEN(CB557)=8,LEFT(CB557,3)="202"))),OR(AND((LEN(CA557)-LEN(SUBSTITUTE(CA557,"a","")))&gt;=1,SUMPRODUCT(--ISNUMBER(SEARCH({"a0","a-0","a_0","a/0","a.0","a#0","0a","0-a","0_a","0/a"},BP557)))&gt;0),ISNUMBER(SEARCH("000000",BP557)))),1,0),0)</f>
        <v>0</v>
      </c>
      <c r="BR557" s="61" t="n">
        <f aca="false">IFERROR(LEN(SUBSTITUTE(CC557," ",""))-SUMPRODUCT((LEN(CC557)-LEN(SUBSTITUTE(CC557," "&amp;L_Role&amp;" "," ")))/(LEN(L_Role)+1)*LEN(L_Role)),0)</f>
        <v>0</v>
      </c>
      <c r="BS557" s="61" t="n">
        <f aca="false">IFERROR(LEN(SUBSTITUTE(CD557," ",""))-SUMPRODUCT((LEN(CD557)-LEN(SUBSTITUTE(CD557," "&amp;L_Role&amp;" "," ")))/(LEN(L_Role)+1)*LEN(L_Role)),0)</f>
        <v>0</v>
      </c>
      <c r="BT5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557,"revision",""),"version",""),"jan",""),"feb",""),"mar",""),"apr",""),"may",""),"jun",""),"jul",""),"aug",""),"sep",""),"oct",""),"nov",""),"dec",""),"utc",""),"gmt",""),"myt",""),"bst",""),"rev",""),"ver",""),"b","a"),"c","a"),"d","a"),"e","a"),"f","a"),"g","a"),"h","a"),"i","a"),"j","a"),"k","a"),"l","a"),"m","a"),"n","a"),"o","a"),"p","a"),"q","a"),"r","a"),"s","a"),"t","a"),"u","a"),"v","a"),"w","a"),"x","a"),"y","a"),"z","a")</f>
        <v/>
      </c>
      <c r="BU557" s="61" t="str">
        <f aca="false">SUBSTITUTE(SUBSTITUTE(SUBSTITUTE(SUBSTITUTE(SUBSTITUTE(SUBSTITUTE(SUBSTITUTE(SUBSTITUTE(SUBSTITUTE(SUBSTITUTE(LEFT(BM557,FIND("0",BM557&amp;"0")-1),"-",""),"_",""),"/",""),".",""),"#",""),"\\",""),":","")," ",""),"(",""),")","")</f>
        <v/>
      </c>
      <c r="BV557" s="61" t="n">
        <f aca="false">0</f>
        <v>0</v>
      </c>
      <c r="BW5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557&amp;""),"a",""),"b",""),"c",""),"d",""),"e",""),"f",""),"g",""),"h",""),"i",""),"j",""),"k",""),"l",""),"m",""),"n",""),"o",""),"p",""),"q",""),"r",""),"s",""),"t",""),"u",""),"v",""),"w",""),"x",""),"y",""),"z",""),"-",""),"_",""),"/",""),".",""),"#",""),"\\",""),":","")," ",""),"(",""),")","")</f>
        <v/>
      </c>
      <c r="BX557" s="61" t="str">
        <f aca="false">SUBSTITUTE(SUBSTITUTE(SUBSTITUTE(SUBSTITUTE(SUBSTITUTE(SUBSTITUTE(SUBSTITUTE(SUBSTITUTE(SUBSTITUTE(SUBSTITUTE(SUBSTITUTE(BM557,"0",""),"-",""),"_",""),"/",""),".",""),"#",""),"\\",""),":","")," ",""),"(",""),")","")</f>
        <v/>
      </c>
      <c r="BY557" s="62" t="n">
        <f aca="false">Q557-T12EarlyH/24</f>
        <v>46321.2847222222</v>
      </c>
      <c r="BZ557" s="61" t="n">
        <f aca="false">IFERROR(IF(IF(TRIM(S557)="Link / file path",AND(LEN(TRIM(Z557))&gt;=5,SUMPRODUCT(--ISNUMBER(SEARCH({"http","www.","\\",":\",".pdf",".jpg",".jpeg",".png",".heic",".xls",".doc",".msg",".eml",".ppt",".txt",".zip"},Z557)))&gt;0),AND(ISERROR(FIND(" ",TRIM(Z557))),NOT(OR(SUMPRODUCT(--ISNUMBER(FIND({",",";","&amp;","+"},Z557)))&gt;0,SUMPRODUCT(--ISNUMBER(SEARCH({"0/aa","0\\aa"},BN557)))&gt;0)),NOT(SUMPRODUCT(--ISNUMBER(SEARCH({"http","www.","\\",":\",".pdf",".jpg",".jpeg",".png",".heic",".xls",".doc",".msg",".eml",".ppt",".txt",".zip"},Z557)))&gt;0),NOT(LOWER(TRIM(Z557))=LOWER(Flights!$F$21)),ISNA(MATCH(BU557,{"mh","rev","revision","ver","version","v","r","a","b","seat","tray","row","gate","bay","stand","page","pg","item","line","no","cart","galley","flight","flt","table","box","bag","oven","etd","eta","std","sta","atd","ata","qty","pax","x","time","tel","ph","mob","day","wk","week","utc","gmt","myt","lt"},0)),NOT(OR(ISNUMBER(MATCH(LEFT(BN557,255),{"0000a","000a","00a","0000aa","000aa","00aa","0aa","0000aaa","000aaa","00a00","0a00","0000-0000","00:00","a00","a0","00.00.0000","00/00/0000","00-00-0000","0000-00-00","0000/00/00","0000.00.00","00.00.00","00/00/00","00-00-00","0.00.0000","0/00/0000","0-00-0000"},0)),ISNUMBER(MATCH(LEFT(BT557,255),{"0000a","000a","00a","0000aa","000aa","00aa","0aa","0000aaa","000aaa","00a00","0a00","0000-0000","00:00","a00","a0","00.00.0000","00/00/0000","00-00-0000","0000-00-00","0000/00/00","0000.00.00","00.00.00","00/00/00","00-00-00","0.00.0000","0/00/0000","0-00-0000"},0)))),NOT(OR(AND(BW557&lt;&gt;"",SUBSTITUTE(BW557,"0","")=""),AND(LEN(BW557)&gt;=4,BW557=REPT(LEFT(BW557),LEN(BW557))),ISNUMBER(MATCH(BW557,{"123","1234","12345","123456","1234567","12345678","0123","01234","012345","98765","987654","54321"},0)),ISNUMBER(MATCH(BX557,{"x","xx","xxx","xxxx","xxxxx","abc","abcd","nil","na","nan","test","tbc","tba","tbd","dummy","sample","example","eg","zz","zzz","none","null","xyz","qwe","asd","id","ref"},0)),AND(LEN(BW557)=8,BX557="",OR(LEFT(BW557,3)="202",ISNUMBER(MATCH(RIGHT(BW557,4),{"2025","2026","2027"},0)))))),OR(AND((LEN(BT557)-LEN(SUBSTITUTE(BT557,"a","")))&gt;=1,(LEN(BN557)-LEN(SUBSTITUTE(BN557,"0","")))&gt;=2,SUMPRODUCT(--ISNUMBER(SEARCH({"a0","a-0","a_0","a/0","a.0","a#0","0a","0-a","0_a","0/a"},BN557)))&gt;0),AND((LEN(BN557)-LEN(SUBSTITUTE(BN557,"a","")))=0,(LEN(BN557)-LEN(SUBSTITUTE(BN557,"0","")))&gt;=5)))),1,0),0)</f>
        <v>0</v>
      </c>
      <c r="CA5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557,"revision",""),"version",""),"jan",""),"feb",""),"mar",""),"apr",""),"may",""),"jun",""),"jul",""),"aug",""),"sep",""),"oct",""),"nov",""),"dec",""),"utc",""),"gmt",""),"myt",""),"bst",""),"rev",""),"ver",""),"b","a"),"c","a"),"d","a"),"e","a"),"f","a"),"g","a"),"h","a"),"i","a"),"j","a"),"k","a"),"l","a"),"m","a"),"n","a"),"o","a"),"p","a"),"q","a"),"r","a"),"s","a"),"t","a"),"u","a"),"v","a"),"w","a"),"x","a"),"y","a"),"z","a")</f>
        <v/>
      </c>
      <c r="CB5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557&amp;""),"a",""),"b",""),"c",""),"d",""),"e",""),"f",""),"g",""),"h",""),"i",""),"j",""),"k",""),"l",""),"m",""),"n",""),"o",""),"p",""),"q",""),"r",""),"s",""),"t",""),"u",""),"v",""),"w",""),"x",""),"y",""),"z",""),"-",""),"_",""),"/",""),".",""),"#",""),"\\",""),":","")," ",""),"(",""),")","")</f>
        <v/>
      </c>
      <c r="CC557" s="0" t="str">
        <f aca="false">" "&amp;TRIM(SUBSTITUTE(SUBSTITUTE(SUBSTITUTE(SUBSTITUTE(SUBSTITUTE(SUBSTITUTE(SUBSTITUTE(SUBSTITUTE(SUBSTITUTE(SUBSTITUTE(SUBSTITUTE(SUBSTITUTE(SUBSTITUTE(SUBSTITUTE(SUBSTITUTE(SUBSTITUTE(SUBSTITUTE(SUBSTITUTE(SUBSTITUTE(SUBSTITUTE(SUBSTITUTE(SUBSTITUTE(SUBSTITUTE(SUBSTITUTE(LOWER(T557&amp;""),CHAR(10)," "),CHAR(13)," "),CHAR(9)," "),CHAR(160)," "),"."," "),","," "),"-"," "),"/"," "),"("," "),")"," "),":"," "),";"," "),"_"," "),"–"," "),"?"," "),"!"," "),"*"," "),"["," "),"]"," "),"'"," "),"#"," "),"+"," "),"&amp;"," "),"\"," "))&amp;" "</f>
        <v>  </v>
      </c>
      <c r="CD557" s="0" t="str">
        <f aca="false">" "&amp;TRIM(SUBSTITUTE(SUBSTITUTE(SUBSTITUTE(SUBSTITUTE(SUBSTITUTE(SUBSTITUTE(SUBSTITUTE(SUBSTITUTE(SUBSTITUTE(SUBSTITUTE(SUBSTITUTE(SUBSTITUTE(SUBSTITUTE(SUBSTITUTE(SUBSTITUTE(SUBSTITUTE(SUBSTITUTE(SUBSTITUTE(SUBSTITUTE(SUBSTITUTE(SUBSTITUTE(SUBSTITUTE(SUBSTITUTE(SUBSTITUTE(LOWER(AE557&amp;""),CHAR(10)," "),CHAR(13)," "),CHAR(9)," "),CHAR(160)," "),"."," "),","," "),"-"," "),"/"," "),"("," "),")"," "),":"," "),";"," "),"_"," "),"–"," "),"?"," "),"!"," "),"*"," "),"["," "),"]"," "),"'"," "),"#"," "),"+"," "),"&amp;"," "),"\"," "))&amp;" "</f>
        <v>  </v>
      </c>
      <c r="CE557" s="68" t="n">
        <f aca="false">IFERROR(IF(AND(LEN(AU557)&gt;0,LEN(AU557)=LEN(AX557),OR(TRIM(MID(SUBSTITUTE(TRIM(CC557)," ",REPT(" ",60)),1,60))="",ISNUMBER(SEARCH(" "&amp;TRIM(MID(SUBSTITUTE(TRIM(CC557)," ",REPT(" ",60)),1,60))&amp;" ",CD557))),OR(TRIM(MID(SUBSTITUTE(TRIM(CC557)," ",REPT(" ",60)),61,60))="",ISNUMBER(SEARCH(" "&amp;TRIM(MID(SUBSTITUTE(TRIM(CC557)," ",REPT(" ",60)),61,60))&amp;" ",CD557))),OR(TRIM(MID(SUBSTITUTE(TRIM(CC557)," ",REPT(" ",60)),121,60))="",ISNUMBER(SEARCH(" "&amp;TRIM(MID(SUBSTITUTE(TRIM(CC557)," ",REPT(" ",60)),121,60))&amp;" ",CD557)))),1,0),0)</f>
        <v>0</v>
      </c>
      <c r="CG557" s="68" t="n">
        <f aca="false">IFERROR(LEN(SUBSTITUTE(BF557," ",""))-SUMPRODUCT((LEN(BF557)-LEN(SUBSTITUTE(BF557," "&amp;L_NAFiller&amp;" "," ")))/(LEN(L_NAFiller)+1)*LEN(L_NAFiller)),0)</f>
        <v>0</v>
      </c>
    </row>
    <row r="558" customFormat="false" ht="41.25" hidden="false" customHeight="true" outlineLevel="0" collapsed="false">
      <c r="A558" s="57" t="s">
        <v>1243</v>
      </c>
      <c r="B558" s="57" t="s">
        <v>290</v>
      </c>
      <c r="C558" s="57" t="str">
        <f aca="false">Flights!$F$21</f>
        <v>MH0073</v>
      </c>
      <c r="D558" s="58" t="n">
        <f aca="false">Flights!$D$21</f>
        <v>46322</v>
      </c>
      <c r="E558" s="57" t="str">
        <f aca="false">Flights!$G$21&amp;"-"&amp;Flights!$H$21</f>
        <v>HKG-KUL</v>
      </c>
      <c r="F558" s="57" t="str">
        <f aca="false">Flights!$K$21</f>
        <v>BC</v>
      </c>
      <c r="G558" s="57" t="s">
        <v>420</v>
      </c>
      <c r="H558" s="57" t="s">
        <v>378</v>
      </c>
      <c r="I558" s="57" t="s">
        <v>447</v>
      </c>
      <c r="J558" s="57" t="s">
        <v>529</v>
      </c>
      <c r="K558" s="67" t="s">
        <v>449</v>
      </c>
      <c r="L558" s="67" t="s">
        <v>1244</v>
      </c>
      <c r="M558" s="67" t="s">
        <v>451</v>
      </c>
      <c r="N558" s="67" t="s">
        <v>383</v>
      </c>
      <c r="O558" s="67" t="s">
        <v>1226</v>
      </c>
      <c r="P558" s="57" t="s">
        <v>282</v>
      </c>
      <c r="Q558" s="59" t="n">
        <f aca="false">ROUND((Flights!$AE$21)*1440,0)/1440</f>
        <v>46321.7847222222</v>
      </c>
      <c r="R558" s="59" t="n">
        <f aca="false">Q558+(IF(AND(INDEX(TZ_DSTS,MATCH(P558,TZ_STN,0))&lt;&gt;"",Q558&gt;=INDEX(TZ_DSTS,MATCH(P558,TZ_STN,0)),Q558&lt;INDEX(TZ_DSTE,MATCH(P558,TZ_STN,0))),INDEX(TZ_DST,MATCH(P558,TZ_STN,0)),INDEX(TZ_STD,MATCH(P558,TZ_STN,0))))/24</f>
        <v>46322.1180555556</v>
      </c>
      <c r="S558" s="60"/>
      <c r="T558" s="60"/>
      <c r="U558" s="60"/>
      <c r="V558" s="60"/>
      <c r="W558" s="61"/>
      <c r="X558" s="60"/>
      <c r="Y558" s="60"/>
      <c r="Z558" s="60"/>
      <c r="AA558" s="60"/>
      <c r="AB558" s="60"/>
      <c r="AC558" s="60"/>
      <c r="AD558" s="66"/>
      <c r="AE558" s="60"/>
      <c r="AF558" s="61" t="str">
        <f aca="false">IF(AND(ISNUMBER(X558),ISNUMBER(Y558)),Y558-X558,"")</f>
        <v/>
      </c>
      <c r="AG558" s="62" t="str">
        <f aca="false">IF(ISNUMBER(AD558),AD558-(IF(AND(INDEX(TZ_DSTS,MATCH(P558,TZ_STN,0))&lt;&gt;"",(AD558-INDEX(TZ_STD,MATCH(P558,TZ_STN,0))/24)&gt;=INDEX(TZ_DSTS,MATCH(P558,TZ_STN,0)),(AD558-INDEX(TZ_STD,MATCH(P558,TZ_STN,0))/24)&lt;INDEX(TZ_DSTE,MATCH(P558,TZ_STN,0))),INDEX(TZ_DST,MATCH(P558,TZ_STN,0)),INDEX(TZ_STD,MATCH(P558,TZ_STN,0))))/24,"")</f>
        <v/>
      </c>
      <c r="AH558" s="65" t="str">
        <f aca="false">IFERROR(IF(N558="N/A – rule",IF(OR(TRIM(U558)="",TRIM(U558)="N/A",TRIM(U558)="Not started"),"N/A – RULE","INVALID – this check does not apply to this aircraft: clear the status (or correct the fleet on Flights)"),IF(TRIM(U558)="N/A",IF(AT558=0,"INVALID – N/A not permitted for this check",IF(AND(TRIM(AB558)&lt;&gt;"",TRIM(AB558)&lt;&gt;"Closed"),"INVALID – corrective action still open",IF(AND(NOT(OR(LEN(AZ558)&lt;15,ISNUMBER(MATCH(AZ558,L_Placeholder,0)))),BK558=0,CG558&gt;=8,NOT(OR(LEN(AU558)&lt;2,ISNUMBER(MATCH(AU558,L_Placeholder,0)))),BR558&gt;=3,NOT(OR(LEN(AX558)&lt;2,ISNUMBER(MATCH(AX558,L_Placeholder,0)))),BS558&gt;=3,TRIM(AE558)&lt;&gt;TRIM(T558),AX558&lt;&gt;AU558,CE558=0),"N/A – JUSTIFIED","INVALID – N/A needs a real, settled reason (not 'not applicable' / 'as above' / TBC), a named PIC and a different named verifier"))),IF(OR(TRIM(U558)="Pass",TRIM(U558)="Pass after CA"),IF(NOT(ISNUMBER(AD558)),"INVALID – completion time missing",IF(OR(OR(LEN(AU558)&lt;2,ISNUMBER(MATCH(AU558,L_Placeholder,0))),BR558&lt;3),"INVALID – PIC missing or not a named person (a role such as QA / CSM is not a name)",IF(OR(LEN(AV558)&lt;2,ISNUMBER(MATCH(AV558,L_Placeholder,0))),"INVALID – result / assessment missing",IF(OR(OR(LEN(AW558)&lt;3,ISNUMBER(MATCH(AW558,L_Placeholder,0))),SUMPRODUCT(--ISNUMBER(SEARCH(" "&amp;L_EvidencePhrase&amp;" ",BD558)))&gt;0,BI558=1),"INVALID – evidence missing, placeholder or not yet on file",IF(ISNA(MATCH(TRIM(S558),L_EvidenceType,0)),"INVALID – choose the evidence type from the list (column S)",IF(BL558=0,"INVALID – evidence ID must be the record's own ID only (e.g. SF-2210, IMG_2231, 1045521); a link / file name needs type 'Link / file path'",IF(OR(OR(LEN(AX558)&lt;2,ISNUMBER(MATCH(AX558,L_Placeholder,0))),BS558&lt;3),"INVALID – verifier missing or not a named person (a role such as QA / CSM is not a name)",IF(OR(AX558=AU558,CE558=1,AND(LEN(AU558)&gt;=4,ISNUMBER(SEARCH(AU558,AX558))),AND(LEN(AX558)&gt;=4,ISNUMBER(SEARCH(AX558,AU558)))),"INVALID – verifier must be a different, named person (not the PIC or a role)",IF(BH558=1,"INVALID – result not yet available (awaiting / TBC)",IF(BG558=1,"INVALID – result describes a problem: record Fail, then Pass after CA (or reword if it is not a problem)",IF(BV558=1,"INVALID – wording says not on board: an on-board confirmation needs the item loaded",IF(AND(AQ558=1,OR(OR(LEN(AY558)&lt;3,ISNUMBER(MATCH(AY558,L_Placeholder,0))),BJ558=1,BQ558=0)),"INVALID – batch ID missing, placeholder or not an ID (e.g. PASB-261008-BC-017)",IF(AND(AR558=1,OR(NOT(ISNUMBER(X558)),NOT(ISNUMBER(Y558)))),"INVALID – expected/actual qty missing",IF(AND(AR558=1,OR(X558&lt;=0,Y558&lt;0)),"INVALID – expected qty must be above 0 and actual not negative",IF(BB558&lt;&gt;"",BB558,IF(AND(AS558=1,Documents!$J$21&lt;&gt;"ON FILE"),"INVALID – GLD not on file (Documents sheet)",IF(AND(AS558=2,Documents!$O$21&lt;&gt;"ON FILE"),"INVALID – menu checklist not on file (Documents sheet)",IF(AND(AS558=3,NOT(ISNUMBER(Flights!$AX$21))),"INVALID – enter carrying flight KUL departure (Flights AX)",IF(AND(AS558=3,OR(Flights!$AZ$21&gt;Flights!$AA$21,Flights!$AX$21&lt;Flights!$AA$21-3)),"INVALID – carrying flight (Flights AX) cannot arrive before this leg's STD, or is over 3 days early",IF(AG558&gt;AsOfUTC,"INVALID – completion time is in the future",IF(AND(ISNUMBER(BY558),AG558&lt;BY558),IF(H558="Physical uplift","INVALID – before uplift window (cannot confirm loading)","INVALID – before valid window"),IF(AG558&gt;Flights!$AA$21,"INVALID – completed after departure (cannot establish readiness)",IF(AND(H558="Preparation",AG558&gt;=IF(ISNUMBER(Flights!$BA$21),MIN(Flights!$BA$21,Flights!$AA$21),Flights!$AA$21)),"INVALID – completed after loading / departure (cannot establish readiness)",IF(AND(H558="Physical uplift",AG558&gt;Q558),"INVALID – recorded after the loading flight departed",IF(AG558&gt;Q558,"COMPLETE – LATE","COMPLETE"))))))))))))))))))))))))),IF(TRIM(U558)="Fail","FAIL – DISCREPANCY",IF(AND(TRIM(U558)&lt;&gt;"",TRIM(U558)&lt;&gt;"Not started",TRIM(U558)&lt;&gt;"In progress"),"INVALID – unrecognised status (use the list)",IF(AsOfUTC&gt;Q558,"OVERDUE",IF(N558="Clarification required","OPEN – CLARIFICATION","OPEN"))))))),"INVALID – error value in an input cell")</f>
        <v>OPEN</v>
      </c>
      <c r="AI558" s="61" t="n">
        <f aca="false">IF(OR(AH558="N/A – RULE",AH558="N/A – JUSTIFIED"),0,1)</f>
        <v>1</v>
      </c>
      <c r="AJ558" s="61" t="n">
        <f aca="false">IF(LEFT(AH558,8)="COMPLETE",1,0)</f>
        <v>0</v>
      </c>
      <c r="AK558" s="61" t="n">
        <f aca="false">IF(AND(AI558=1,AJ558=0,AsOfUTC&gt;Q558),1,0)</f>
        <v>0</v>
      </c>
      <c r="AL558" s="61" t="n">
        <f aca="false">IFERROR(IF(AND(AI558=1,OR(TRIM(U558)="Fail",AND(TRIM(AB558)&lt;&gt;"",TRIM(AB558)&lt;&gt;"Closed"),AND(ISNUMBER(AF558),AF558&lt;&gt;0,TRIM(U558)&lt;&gt;"Pass after CA"))),1,0),1)</f>
        <v>0</v>
      </c>
      <c r="AM558" s="61" t="n">
        <f aca="false">IF(LEFT(AH558,7)="INVALID",1,0)</f>
        <v>0</v>
      </c>
      <c r="AN558" s="61" t="n">
        <f aca="false">IF(AND(N558="Clarification required",AI558=1,AJ558=0),1,0)</f>
        <v>0</v>
      </c>
      <c r="AO558" s="61" t="str">
        <f aca="false">IF(AK558=1,SUM(AK$5:AK558),"")</f>
        <v/>
      </c>
      <c r="AP558" s="61" t="str">
        <f aca="false">IF(AL558=1,SUM(AL$5:AL558),"")</f>
        <v/>
      </c>
      <c r="AQ558" s="61" t="n">
        <v>0</v>
      </c>
      <c r="AR558" s="61" t="n">
        <v>0</v>
      </c>
      <c r="AS558" s="61" t="n">
        <v>0</v>
      </c>
      <c r="AT558" s="61" t="n">
        <v>0</v>
      </c>
      <c r="AU558" s="61" t="str">
        <f aca="false">SUBSTITUTE(SUBSTITUTE(SUBSTITUTE(SUBSTITUTE(SUBSTITUTE(SUBSTITUTE(SUBSTITUTE(SUBSTITUTE(SUBSTITUTE(SUBSTITUTE(SUBSTITUTE(SUBSTITUTE(SUBSTITUTE(SUBSTITUTE(SUBSTITUTE(SUBSTITUTE(LOWER(T558&amp;""),CHAR(10),""),CHAR(13),""),CHAR(9),""),CHAR(160),"")," ",""),".",""),"-",""),"/",""),"?",""),"_",""),",",""),"[",""),"]",""),"(",""),")",""),"*","")</f>
        <v/>
      </c>
      <c r="AV558" s="61" t="str">
        <f aca="false">SUBSTITUTE(SUBSTITUTE(SUBSTITUTE(SUBSTITUTE(SUBSTITUTE(SUBSTITUTE(SUBSTITUTE(SUBSTITUTE(SUBSTITUTE(SUBSTITUTE(SUBSTITUTE(SUBSTITUTE(SUBSTITUTE(SUBSTITUTE(SUBSTITUTE(SUBSTITUTE(LOWER(V558&amp;""),CHAR(10),""),CHAR(13),""),CHAR(9),""),CHAR(160),"")," ",""),".",""),"-",""),"/",""),"?",""),"_",""),",",""),"[",""),"]",""),"(",""),")",""),"*","")</f>
        <v/>
      </c>
      <c r="AW558" s="61" t="str">
        <f aca="false">SUBSTITUTE(SUBSTITUTE(SUBSTITUTE(SUBSTITUTE(SUBSTITUTE(SUBSTITUTE(SUBSTITUTE(SUBSTITUTE(SUBSTITUTE(SUBSTITUTE(SUBSTITUTE(SUBSTITUTE(SUBSTITUTE(SUBSTITUTE(SUBSTITUTE(SUBSTITUTE(LOWER(Z558&amp;""),CHAR(10),""),CHAR(13),""),CHAR(9),""),CHAR(160),"")," ",""),".",""),"-",""),"/",""),"?",""),"_",""),",",""),"[",""),"]",""),"(",""),")",""),"*","")</f>
        <v/>
      </c>
      <c r="AX558" s="61" t="str">
        <f aca="false">SUBSTITUTE(SUBSTITUTE(SUBSTITUTE(SUBSTITUTE(SUBSTITUTE(SUBSTITUTE(SUBSTITUTE(SUBSTITUTE(SUBSTITUTE(SUBSTITUTE(SUBSTITUTE(SUBSTITUTE(SUBSTITUTE(SUBSTITUTE(SUBSTITUTE(SUBSTITUTE(LOWER(AE558&amp;""),CHAR(10),""),CHAR(13),""),CHAR(9),""),CHAR(160),"")," ",""),".",""),"-",""),"/",""),"?",""),"_",""),",",""),"[",""),"]",""),"(",""),")",""),"*","")</f>
        <v/>
      </c>
      <c r="AY558" s="61" t="str">
        <f aca="false">SUBSTITUTE(SUBSTITUTE(SUBSTITUTE(SUBSTITUTE(SUBSTITUTE(SUBSTITUTE(SUBSTITUTE(SUBSTITUTE(SUBSTITUTE(SUBSTITUTE(SUBSTITUTE(SUBSTITUTE(SUBSTITUTE(SUBSTITUTE(SUBSTITUTE(SUBSTITUTE(LOWER(W558&amp;""),CHAR(10),""),CHAR(13),""),CHAR(9),""),CHAR(160),"")," ",""),".",""),"-",""),"/",""),"?",""),"_",""),",",""),"[",""),"]",""),"(",""),")",""),"*","")</f>
        <v/>
      </c>
      <c r="AZ558" s="61" t="str">
        <f aca="false">SUBSTITUTE(SUBSTITUTE(SUBSTITUTE(SUBSTITUTE(SUBSTITUTE(SUBSTITUTE(SUBSTITUTE(SUBSTITUTE(SUBSTITUTE(SUBSTITUTE(SUBSTITUTE(SUBSTITUTE(SUBSTITUTE(SUBSTITUTE(SUBSTITUTE(SUBSTITUTE(LOWER(AC558&amp;""),CHAR(10),""),CHAR(13),""),CHAR(9),""),CHAR(160),"")," ",""),".",""),"-",""),"/",""),"?",""),"_",""),",",""),"[",""),"]",""),"(",""),")",""),"*","")</f>
        <v/>
      </c>
      <c r="BA558" s="61" t="str">
        <f aca="false">SUBSTITUTE(SUBSTITUTE(SUBSTITUTE(SUBSTITUTE(SUBSTITUTE(SUBSTITUTE(SUBSTITUTE(SUBSTITUTE(SUBSTITUTE(SUBSTITUTE(SUBSTITUTE(SUBSTITUTE(SUBSTITUTE(SUBSTITUTE(SUBSTITUTE(SUBSTITUTE(LOWER(AA558&amp;""),CHAR(10),""),CHAR(13),""),CHAR(9),""),CHAR(160),"")," ",""),".",""),"-",""),"/",""),"?",""),"_",""),",",""),"[",""),"]",""),"(",""),")",""),"*","")</f>
        <v/>
      </c>
      <c r="BB558" s="61" t="str">
        <f aca="false">IF(AND(TRIM(U558)="Pass",ISNUMBER(AF558)),IF(AF558&lt;&gt;0,"INVALID – qty variance: use Fail or Pass after CA",""),"")&amp;IF(AND(TRIM(U558)="Pass after CA",ISNUMBER(AF558)),IF(AF558&lt;&gt;0,"INVALID – after the corrective action the actual qty must equal expected (update Actual)",""),"")&amp;IF(AND(TRIM(U558)="Pass",TRIM(AB558)&lt;&gt;"",TRIM(AB558)&lt;&gt;"Closed"),"INVALID – corrective action not closed: use Fail, then Pass after CA","")&amp;IF(AND(LEN(BA558)&gt;=2,ISNA(MATCH(LEFT(BA558,255),L_Placeholder,0)),TRIM(AB558)=""),"INVALID – CA status missing for the recorded corrective action","")&amp;IF(AND(TRIM(U558)="Pass after CA",OR(OR(LEN(BA558)&lt;5,ISNUMBER(MATCH(BA558,L_Placeholder,0))),TRIM(AB558)&lt;&gt;"Closed")),"INVALID – corrective action not recorded/closed","")</f>
        <v/>
      </c>
      <c r="BC558" s="61" t="str">
        <f aca="false">" "&amp;TRIM(SUBSTITUTE(SUBSTITUTE(SUBSTITUTE(SUBSTITUTE(SUBSTITUTE(SUBSTITUTE(SUBSTITUTE(SUBSTITUTE(SUBSTITUTE(SUBSTITUTE(SUBSTITUTE(SUBSTITUTE(SUBSTITUTE(SUBSTITUTE(SUBSTITUTE(SUBSTITUTE(SUBSTITUTE(SUBSTITUTE(SUBSTITUTE(SUBSTITUTE(SUBSTITUTE(SUBSTITUTE(SUBSTITUTE(SUBSTITUTE(LOWER(V558&amp;""),CHAR(10)," "),CHAR(13)," "),CHAR(9)," "),CHAR(160)," "),"."," "),","," "),"-"," "),"/"," "),"("," "),")"," "),":"," "),";"," "),"_"," "),"–"," "),"?"," "),"!"," "),"*"," "),"["," "),"]"," "),"'"," "),"#"," "),"+"," "),"&amp;"," "),"\"," "))&amp;" "</f>
        <v>  </v>
      </c>
      <c r="BD558" s="61" t="str">
        <f aca="false">" "&amp;TRIM(SUBSTITUTE(SUBSTITUTE(SUBSTITUTE(SUBSTITUTE(SUBSTITUTE(SUBSTITUTE(SUBSTITUTE(SUBSTITUTE(SUBSTITUTE(SUBSTITUTE(SUBSTITUTE(SUBSTITUTE(SUBSTITUTE(SUBSTITUTE(SUBSTITUTE(SUBSTITUTE(SUBSTITUTE(SUBSTITUTE(SUBSTITUTE(SUBSTITUTE(SUBSTITUTE(SUBSTITUTE(SUBSTITUTE(SUBSTITUTE(LOWER(Z558&amp;""),CHAR(10)," "),CHAR(13)," "),CHAR(9)," "),CHAR(160)," "),"."," "),","," "),"-"," "),"/"," "),"("," "),")"," "),":"," "),";"," "),"_"," "),"–"," "),"?"," "),"!"," "),"*"," "),"["," "),"]"," "),"'"," "),"#"," "),"+"," "),"&amp;"," "),"\"," "))&amp;" "</f>
        <v>  </v>
      </c>
      <c r="BE558" s="61" t="str">
        <f aca="false">" "&amp;TRIM(SUBSTITUTE(SUBSTITUTE(SUBSTITUTE(SUBSTITUTE(SUBSTITUTE(SUBSTITUTE(SUBSTITUTE(SUBSTITUTE(SUBSTITUTE(SUBSTITUTE(SUBSTITUTE(SUBSTITUTE(SUBSTITUTE(SUBSTITUTE(SUBSTITUTE(SUBSTITUTE(SUBSTITUTE(SUBSTITUTE(SUBSTITUTE(SUBSTITUTE(SUBSTITUTE(SUBSTITUTE(SUBSTITUTE(SUBSTITUTE(LOWER(W558&amp;""),CHAR(10)," "),CHAR(13)," "),CHAR(9)," "),CHAR(160)," "),"."," "),","," "),"-"," "),"/"," "),"("," "),")"," "),":"," "),";"," "),"_"," "),"–"," "),"?"," "),"!"," "),"*"," "),"["," "),"]"," "),"'"," "),"#"," "),"+"," "),"&amp;"," "),"\"," "))&amp;" "</f>
        <v>  </v>
      </c>
      <c r="BF558" s="61" t="str">
        <f aca="false">" "&amp;TRIM(SUBSTITUTE(SUBSTITUTE(SUBSTITUTE(SUBSTITUTE(SUBSTITUTE(SUBSTITUTE(SUBSTITUTE(SUBSTITUTE(SUBSTITUTE(SUBSTITUTE(SUBSTITUTE(SUBSTITUTE(SUBSTITUTE(SUBSTITUTE(SUBSTITUTE(SUBSTITUTE(SUBSTITUTE(SUBSTITUTE(SUBSTITUTE(SUBSTITUTE(SUBSTITUTE(SUBSTITUTE(SUBSTITUTE(SUBSTITUTE(LOWER(AC558&amp;""),CHAR(10)," "),CHAR(13)," "),CHAR(9)," "),CHAR(160)," "),"."," "),","," "),"-"," "),"/"," "),"("," "),")"," "),":"," "),";"," "),"_"," "),"–"," "),"?"," "),"!"," "),"*"," "),"["," "),"]"," "),"'"," "),"#"," "),"+"," "),"&amp;"," "),"\"," "))&amp;" "</f>
        <v>  </v>
      </c>
      <c r="BG558" s="61" t="n">
        <f aca="false">IFERROR(IF(AND(TRIM(U558)="Pass",SUMPRODUCT((LEN(BC558)-LEN(SUBSTITUTE(BC558," "&amp;L_ResultBad&amp;" "," ")))/(LEN(L_ResultBad)+1))&gt;SUMPRODUCT((LEN(BC558)-LEN(SUBSTITUTE(BC558," "&amp;L_NegPhrase&amp;" "," ")))/(LEN(L_NegPhrase)+1))),1,0),0)</f>
        <v>0</v>
      </c>
      <c r="BH558" s="61" t="n">
        <f aca="false">IFERROR(IF(SUMPRODUCT((LEN(BC558)-LEN(SUBSTITUTE(BC558," "&amp;L_Pending&amp;" "," ")))/(LEN(L_Pending)+1))&gt;SUMPRODUCT((LEN(BC558)-LEN(SUBSTITUTE(BC558," "&amp;L_PendNeg&amp;" "," ")))/(LEN(L_PendNeg)+1))+SUMPRODUCT((LEN(BC558)-LEN(SUBSTITUTE(BC558," "&amp;L_PendPrep&amp;" "," ")))/(LEN(L_PendPrep)+1)),1,0),1)</f>
        <v>0</v>
      </c>
      <c r="BI558" s="61" t="n">
        <f aca="false">IFERROR(IF(SUMPRODUCT((LEN(BD558)-LEN(SUBSTITUTE(BD558," "&amp;L_PendStrict&amp;" "," ")))/(LEN(L_PendStrict)+1))&gt;SUMPRODUCT((LEN(BD558)-LEN(SUBSTITUTE(BD558," "&amp;L_PendNeg&amp;" "," ")))/(LEN(L_PendNeg)+1)),1,0),1)</f>
        <v>0</v>
      </c>
      <c r="BJ558" s="61" t="n">
        <f aca="false">IFERROR(IF(SUMPRODUCT((LEN(BE558)-LEN(SUBSTITUTE(BE558," "&amp;L_Pending&amp;" "," ")))/(LEN(L_Pending)+1))&gt;SUMPRODUCT((LEN(BE558)-LEN(SUBSTITUTE(BE558," "&amp;L_PendNeg&amp;" "," ")))/(LEN(L_PendNeg)+1))+SUMPRODUCT((LEN(BE558)-LEN(SUBSTITUTE(BE558," "&amp;L_PendPrep&amp;" "," ")))/(LEN(L_PendPrep)+1)),1,0),1)</f>
        <v>0</v>
      </c>
      <c r="BK558" s="61" t="n">
        <f aca="false">IFERROR(IF(SUMPRODUCT((LEN(BF558)-LEN(SUBSTITUTE(BF558," "&amp;L_PendStrict&amp;" "," ")))/(LEN(L_PendStrict)+1))&gt;SUMPRODUCT((LEN(BF558)-LEN(SUBSTITUTE(BF558," "&amp;L_PendNeg&amp;" "," ")))/(LEN(L_PendNeg)+1)),1,0),1)</f>
        <v>0</v>
      </c>
      <c r="BL558" s="61" t="n">
        <f aca="false">IF(ISNA(MATCH(TRIM(S558),L_EvidenceType,0)),0,BZ558)</f>
        <v>0</v>
      </c>
      <c r="BM558" s="61" t="str">
        <f aca="false">SUBSTITUTE(SUBSTITUTE(SUBSTITUTE(SUBSTITUTE(SUBSTITUTE(SUBSTITUTE(SUBSTITUTE(SUBSTITUTE(SUBSTITUTE(LOWER(Z558&amp;""),"1","0"),"2","0"),"3","0"),"4","0"),"5","0"),"6","0"),"7","0"),"8","0"),"9","0")</f>
        <v/>
      </c>
      <c r="BN558" s="61" t="str">
        <f aca="false">SUBSTITUTE(SUBSTITUTE(SUBSTITUTE(SUBSTITUTE(SUBSTITUTE(SUBSTITUTE(SUBSTITUTE(SUBSTITUTE(SUBSTITUTE(SUBSTITUTE(SUBSTITUTE(SUBSTITUTE(SUBSTITUTE(SUBSTITUTE(SUBSTITUTE(SUBSTITUTE(SUBSTITUTE(SUBSTITUTE(SUBSTITUTE(SUBSTITUTE(SUBSTITUTE(SUBSTITUTE(SUBSTITUTE(SUBSTITUTE(SUBSTITUTE(BM558,"b","a"),"c","a"),"d","a"),"e","a"),"f","a"),"g","a"),"h","a"),"i","a"),"j","a"),"k","a"),"l","a"),"m","a"),"n","a"),"o","a"),"p","a"),"q","a"),"r","a"),"s","a"),"t","a"),"u","a"),"v","a"),"w","a"),"x","a"),"y","a"),"z","a")</f>
        <v/>
      </c>
      <c r="BO558" s="61" t="str">
        <f aca="false">SUBSTITUTE(SUBSTITUTE(SUBSTITUTE(SUBSTITUTE(SUBSTITUTE(SUBSTITUTE(SUBSTITUTE(SUBSTITUTE(SUBSTITUTE(LOWER(W558&amp;""),"1","0"),"2","0"),"3","0"),"4","0"),"5","0"),"6","0"),"7","0"),"8","0"),"9","0")</f>
        <v/>
      </c>
      <c r="BP558" s="61" t="str">
        <f aca="false">SUBSTITUTE(SUBSTITUTE(SUBSTITUTE(SUBSTITUTE(SUBSTITUTE(SUBSTITUTE(SUBSTITUTE(SUBSTITUTE(SUBSTITUTE(SUBSTITUTE(SUBSTITUTE(SUBSTITUTE(SUBSTITUTE(SUBSTITUTE(SUBSTITUTE(SUBSTITUTE(SUBSTITUTE(SUBSTITUTE(SUBSTITUTE(SUBSTITUTE(SUBSTITUTE(SUBSTITUTE(SUBSTITUTE(SUBSTITUTE(SUBSTITUTE(BO558,"b","a"),"c","a"),"d","a"),"e","a"),"f","a"),"g","a"),"h","a"),"i","a"),"j","a"),"k","a"),"l","a"),"m","a"),"n","a"),"o","a"),"p","a"),"q","a"),"r","a"),"s","a"),"t","a"),"u","a"),"v","a"),"w","a"),"x","a"),"y","a"),"z","a")</f>
        <v/>
      </c>
      <c r="BQ558" s="61" t="n">
        <f aca="false">IFERROR(IF(AND(ISERROR(SEARCH(" mh"," "&amp;LOWER(W558))),ISNA(MATCH(LEFT(TRIM(BP558),255),{"0000a","000a","00a","0000aa","000aa","00aa","0aa","0000aaa","000aaa","00a00","0a00","0000-0000","00:00","a00","a0","00.00.0000","00/00/0000","00-00-0000","0000-00-00","0000/00/00","0000.00.00","00.00.00","00/00/00","00-00-00","0.00.0000","0/00/0000","0-00-0000"},0)),ISNA(MATCH(LEFT(TRIM(CA558),255),{"0000a","000a","00a","0000aa","000aa","00aa","0aa","0000aaa","000aaa","00a00","0a00","0000-0000","00:00","a00","a0","00.00.0000","00/00/0000","00-00-0000","0000-00-00","0000/00/00","0000.00.00","00.00.00","00/00/00","00-00-00","0.00.0000","0/00/0000","0-00-0000"},0)),LEN(CB558)&gt;=3,NOT(OR(SUBSTITUTE(CB558,"0","")="",AND(LEN(CB558)&gt;=4,CB558=REPT(LEFT(CB558),LEN(CB558))),ISNUMBER(MATCH(CB558,{"123","1234","12345","123456","1234567","12345678","0123","01234","012345","98765","987654","54321"},0)),AND(LEN(CB558)=8,LEFT(CB558,3)="202"))),OR(AND((LEN(CA558)-LEN(SUBSTITUTE(CA558,"a","")))&gt;=1,SUMPRODUCT(--ISNUMBER(SEARCH({"a0","a-0","a_0","a/0","a.0","a#0","0a","0-a","0_a","0/a"},BP558)))&gt;0),ISNUMBER(SEARCH("000000",BP558)))),1,0),0)</f>
        <v>0</v>
      </c>
      <c r="BR558" s="61" t="n">
        <f aca="false">IFERROR(LEN(SUBSTITUTE(CC558," ",""))-SUMPRODUCT((LEN(CC558)-LEN(SUBSTITUTE(CC558," "&amp;L_Role&amp;" "," ")))/(LEN(L_Role)+1)*LEN(L_Role)),0)</f>
        <v>0</v>
      </c>
      <c r="BS558" s="61" t="n">
        <f aca="false">IFERROR(LEN(SUBSTITUTE(CD558," ",""))-SUMPRODUCT((LEN(CD558)-LEN(SUBSTITUTE(CD558," "&amp;L_Role&amp;" "," ")))/(LEN(L_Role)+1)*LEN(L_Role)),0)</f>
        <v>0</v>
      </c>
      <c r="BT5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558,"revision",""),"version",""),"jan",""),"feb",""),"mar",""),"apr",""),"may",""),"jun",""),"jul",""),"aug",""),"sep",""),"oct",""),"nov",""),"dec",""),"utc",""),"gmt",""),"myt",""),"bst",""),"rev",""),"ver",""),"b","a"),"c","a"),"d","a"),"e","a"),"f","a"),"g","a"),"h","a"),"i","a"),"j","a"),"k","a"),"l","a"),"m","a"),"n","a"),"o","a"),"p","a"),"q","a"),"r","a"),"s","a"),"t","a"),"u","a"),"v","a"),"w","a"),"x","a"),"y","a"),"z","a")</f>
        <v/>
      </c>
      <c r="BU558" s="61" t="str">
        <f aca="false">SUBSTITUTE(SUBSTITUTE(SUBSTITUTE(SUBSTITUTE(SUBSTITUTE(SUBSTITUTE(SUBSTITUTE(SUBSTITUTE(SUBSTITUTE(SUBSTITUTE(LEFT(BM558,FIND("0",BM558&amp;"0")-1),"-",""),"_",""),"/",""),".",""),"#",""),"\\",""),":","")," ",""),"(",""),")","")</f>
        <v/>
      </c>
      <c r="BV558" s="61" t="n">
        <f aca="false">0</f>
        <v>0</v>
      </c>
      <c r="BW5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558&amp;""),"a",""),"b",""),"c",""),"d",""),"e",""),"f",""),"g",""),"h",""),"i",""),"j",""),"k",""),"l",""),"m",""),"n",""),"o",""),"p",""),"q",""),"r",""),"s",""),"t",""),"u",""),"v",""),"w",""),"x",""),"y",""),"z",""),"-",""),"_",""),"/",""),".",""),"#",""),"\\",""),":","")," ",""),"(",""),")","")</f>
        <v/>
      </c>
      <c r="BX558" s="61" t="str">
        <f aca="false">SUBSTITUTE(SUBSTITUTE(SUBSTITUTE(SUBSTITUTE(SUBSTITUTE(SUBSTITUTE(SUBSTITUTE(SUBSTITUTE(SUBSTITUTE(SUBSTITUTE(SUBSTITUTE(BM558,"0",""),"-",""),"_",""),"/",""),".",""),"#",""),"\\",""),":","")," ",""),"(",""),")","")</f>
        <v/>
      </c>
      <c r="BY558" s="62" t="n">
        <f aca="false">Q558-T12EarlyH/24</f>
        <v>46321.2847222222</v>
      </c>
      <c r="BZ558" s="61" t="n">
        <f aca="false">IFERROR(IF(IF(TRIM(S558)="Link / file path",AND(LEN(TRIM(Z558))&gt;=5,SUMPRODUCT(--ISNUMBER(SEARCH({"http","www.","\\",":\",".pdf",".jpg",".jpeg",".png",".heic",".xls",".doc",".msg",".eml",".ppt",".txt",".zip"},Z558)))&gt;0),AND(ISERROR(FIND(" ",TRIM(Z558))),NOT(OR(SUMPRODUCT(--ISNUMBER(FIND({",",";","&amp;","+"},Z558)))&gt;0,SUMPRODUCT(--ISNUMBER(SEARCH({"0/aa","0\\aa"},BN558)))&gt;0)),NOT(SUMPRODUCT(--ISNUMBER(SEARCH({"http","www.","\\",":\",".pdf",".jpg",".jpeg",".png",".heic",".xls",".doc",".msg",".eml",".ppt",".txt",".zip"},Z558)))&gt;0),NOT(LOWER(TRIM(Z558))=LOWER(Flights!$F$21)),ISNA(MATCH(BU558,{"mh","rev","revision","ver","version","v","r","a","b","seat","tray","row","gate","bay","stand","page","pg","item","line","no","cart","galley","flight","flt","table","box","bag","oven","etd","eta","std","sta","atd","ata","qty","pax","x","time","tel","ph","mob","day","wk","week","utc","gmt","myt","lt"},0)),NOT(OR(ISNUMBER(MATCH(LEFT(BN558,255),{"0000a","000a","00a","0000aa","000aa","00aa","0aa","0000aaa","000aaa","00a00","0a00","0000-0000","00:00","a00","a0","00.00.0000","00/00/0000","00-00-0000","0000-00-00","0000/00/00","0000.00.00","00.00.00","00/00/00","00-00-00","0.00.0000","0/00/0000","0-00-0000"},0)),ISNUMBER(MATCH(LEFT(BT558,255),{"0000a","000a","00a","0000aa","000aa","00aa","0aa","0000aaa","000aaa","00a00","0a00","0000-0000","00:00","a00","a0","00.00.0000","00/00/0000","00-00-0000","0000-00-00","0000/00/00","0000.00.00","00.00.00","00/00/00","00-00-00","0.00.0000","0/00/0000","0-00-0000"},0)))),NOT(OR(AND(BW558&lt;&gt;"",SUBSTITUTE(BW558,"0","")=""),AND(LEN(BW558)&gt;=4,BW558=REPT(LEFT(BW558),LEN(BW558))),ISNUMBER(MATCH(BW558,{"123","1234","12345","123456","1234567","12345678","0123","01234","012345","98765","987654","54321"},0)),ISNUMBER(MATCH(BX558,{"x","xx","xxx","xxxx","xxxxx","abc","abcd","nil","na","nan","test","tbc","tba","tbd","dummy","sample","example","eg","zz","zzz","none","null","xyz","qwe","asd","id","ref"},0)),AND(LEN(BW558)=8,BX558="",OR(LEFT(BW558,3)="202",ISNUMBER(MATCH(RIGHT(BW558,4),{"2025","2026","2027"},0)))))),OR(AND((LEN(BT558)-LEN(SUBSTITUTE(BT558,"a","")))&gt;=1,(LEN(BN558)-LEN(SUBSTITUTE(BN558,"0","")))&gt;=2,SUMPRODUCT(--ISNUMBER(SEARCH({"a0","a-0","a_0","a/0","a.0","a#0","0a","0-a","0_a","0/a"},BN558)))&gt;0),AND((LEN(BN558)-LEN(SUBSTITUTE(BN558,"a","")))=0,(LEN(BN558)-LEN(SUBSTITUTE(BN558,"0","")))&gt;=5)))),1,0),0)</f>
        <v>0</v>
      </c>
      <c r="CA5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558,"revision",""),"version",""),"jan",""),"feb",""),"mar",""),"apr",""),"may",""),"jun",""),"jul",""),"aug",""),"sep",""),"oct",""),"nov",""),"dec",""),"utc",""),"gmt",""),"myt",""),"bst",""),"rev",""),"ver",""),"b","a"),"c","a"),"d","a"),"e","a"),"f","a"),"g","a"),"h","a"),"i","a"),"j","a"),"k","a"),"l","a"),"m","a"),"n","a"),"o","a"),"p","a"),"q","a"),"r","a"),"s","a"),"t","a"),"u","a"),"v","a"),"w","a"),"x","a"),"y","a"),"z","a")</f>
        <v/>
      </c>
      <c r="CB5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558&amp;""),"a",""),"b",""),"c",""),"d",""),"e",""),"f",""),"g",""),"h",""),"i",""),"j",""),"k",""),"l",""),"m",""),"n",""),"o",""),"p",""),"q",""),"r",""),"s",""),"t",""),"u",""),"v",""),"w",""),"x",""),"y",""),"z",""),"-",""),"_",""),"/",""),".",""),"#",""),"\\",""),":","")," ",""),"(",""),")","")</f>
        <v/>
      </c>
      <c r="CC558" s="0" t="str">
        <f aca="false">" "&amp;TRIM(SUBSTITUTE(SUBSTITUTE(SUBSTITUTE(SUBSTITUTE(SUBSTITUTE(SUBSTITUTE(SUBSTITUTE(SUBSTITUTE(SUBSTITUTE(SUBSTITUTE(SUBSTITUTE(SUBSTITUTE(SUBSTITUTE(SUBSTITUTE(SUBSTITUTE(SUBSTITUTE(SUBSTITUTE(SUBSTITUTE(SUBSTITUTE(SUBSTITUTE(SUBSTITUTE(SUBSTITUTE(SUBSTITUTE(SUBSTITUTE(LOWER(T558&amp;""),CHAR(10)," "),CHAR(13)," "),CHAR(9)," "),CHAR(160)," "),"."," "),","," "),"-"," "),"/"," "),"("," "),")"," "),":"," "),";"," "),"_"," "),"–"," "),"?"," "),"!"," "),"*"," "),"["," "),"]"," "),"'"," "),"#"," "),"+"," "),"&amp;"," "),"\"," "))&amp;" "</f>
        <v>  </v>
      </c>
      <c r="CD558" s="0" t="str">
        <f aca="false">" "&amp;TRIM(SUBSTITUTE(SUBSTITUTE(SUBSTITUTE(SUBSTITUTE(SUBSTITUTE(SUBSTITUTE(SUBSTITUTE(SUBSTITUTE(SUBSTITUTE(SUBSTITUTE(SUBSTITUTE(SUBSTITUTE(SUBSTITUTE(SUBSTITUTE(SUBSTITUTE(SUBSTITUTE(SUBSTITUTE(SUBSTITUTE(SUBSTITUTE(SUBSTITUTE(SUBSTITUTE(SUBSTITUTE(SUBSTITUTE(SUBSTITUTE(LOWER(AE558&amp;""),CHAR(10)," "),CHAR(13)," "),CHAR(9)," "),CHAR(160)," "),"."," "),","," "),"-"," "),"/"," "),"("," "),")"," "),":"," "),";"," "),"_"," "),"–"," "),"?"," "),"!"," "),"*"," "),"["," "),"]"," "),"'"," "),"#"," "),"+"," "),"&amp;"," "),"\"," "))&amp;" "</f>
        <v>  </v>
      </c>
      <c r="CE558" s="68" t="n">
        <f aca="false">IFERROR(IF(AND(LEN(AU558)&gt;0,LEN(AU558)=LEN(AX558),OR(TRIM(MID(SUBSTITUTE(TRIM(CC558)," ",REPT(" ",60)),1,60))="",ISNUMBER(SEARCH(" "&amp;TRIM(MID(SUBSTITUTE(TRIM(CC558)," ",REPT(" ",60)),1,60))&amp;" ",CD558))),OR(TRIM(MID(SUBSTITUTE(TRIM(CC558)," ",REPT(" ",60)),61,60))="",ISNUMBER(SEARCH(" "&amp;TRIM(MID(SUBSTITUTE(TRIM(CC558)," ",REPT(" ",60)),61,60))&amp;" ",CD558))),OR(TRIM(MID(SUBSTITUTE(TRIM(CC558)," ",REPT(" ",60)),121,60))="",ISNUMBER(SEARCH(" "&amp;TRIM(MID(SUBSTITUTE(TRIM(CC558)," ",REPT(" ",60)),121,60))&amp;" ",CD558)))),1,0),0)</f>
        <v>0</v>
      </c>
      <c r="CG558" s="68" t="n">
        <f aca="false">IFERROR(LEN(SUBSTITUTE(BF558," ",""))-SUMPRODUCT((LEN(BF558)-LEN(SUBSTITUTE(BF558," "&amp;L_NAFiller&amp;" "," ")))/(LEN(L_NAFiller)+1)*LEN(L_NAFiller)),0)</f>
        <v>0</v>
      </c>
    </row>
    <row r="559" customFormat="false" ht="91.5" hidden="false" customHeight="true" outlineLevel="0" collapsed="false">
      <c r="A559" s="57" t="s">
        <v>1245</v>
      </c>
      <c r="B559" s="57" t="s">
        <v>290</v>
      </c>
      <c r="C559" s="57" t="str">
        <f aca="false">Flights!$F$21</f>
        <v>MH0073</v>
      </c>
      <c r="D559" s="58" t="n">
        <f aca="false">Flights!$D$21</f>
        <v>46322</v>
      </c>
      <c r="E559" s="57" t="str">
        <f aca="false">Flights!$G$21&amp;"-"&amp;Flights!$H$21</f>
        <v>HKG-KUL</v>
      </c>
      <c r="F559" s="57" t="str">
        <f aca="false">Flights!$K$21</f>
        <v>BC</v>
      </c>
      <c r="G559" s="57" t="s">
        <v>420</v>
      </c>
      <c r="H559" s="57" t="s">
        <v>378</v>
      </c>
      <c r="I559" s="57" t="s">
        <v>634</v>
      </c>
      <c r="J559" s="57" t="s">
        <v>1186</v>
      </c>
      <c r="K559" s="67" t="s">
        <v>1187</v>
      </c>
      <c r="L559" s="67" t="s">
        <v>1188</v>
      </c>
      <c r="M559" s="67" t="s">
        <v>451</v>
      </c>
      <c r="N559" s="67" t="s">
        <v>444</v>
      </c>
      <c r="O559" s="67" t="s">
        <v>1246</v>
      </c>
      <c r="P559" s="57" t="s">
        <v>282</v>
      </c>
      <c r="Q559" s="59" t="n">
        <f aca="false">ROUND((Flights!$AE$21)*1440,0)/1440</f>
        <v>46321.7847222222</v>
      </c>
      <c r="R559" s="59" t="n">
        <f aca="false">Q559+(IF(AND(INDEX(TZ_DSTS,MATCH(P559,TZ_STN,0))&lt;&gt;"",Q559&gt;=INDEX(TZ_DSTS,MATCH(P559,TZ_STN,0)),Q559&lt;INDEX(TZ_DSTE,MATCH(P559,TZ_STN,0))),INDEX(TZ_DST,MATCH(P559,TZ_STN,0)),INDEX(TZ_STD,MATCH(P559,TZ_STN,0))))/24</f>
        <v>46322.1180555556</v>
      </c>
      <c r="S559" s="60"/>
      <c r="T559" s="60"/>
      <c r="U559" s="60"/>
      <c r="V559" s="60"/>
      <c r="W559" s="61"/>
      <c r="X559" s="60"/>
      <c r="Y559" s="60"/>
      <c r="Z559" s="60"/>
      <c r="AA559" s="60"/>
      <c r="AB559" s="60"/>
      <c r="AC559" s="60"/>
      <c r="AD559" s="66"/>
      <c r="AE559" s="60"/>
      <c r="AF559" s="61" t="str">
        <f aca="false">IF(AND(ISNUMBER(X559),ISNUMBER(Y559)),Y559-X559,"")</f>
        <v/>
      </c>
      <c r="AG559" s="62" t="str">
        <f aca="false">IF(ISNUMBER(AD559),AD559-(IF(AND(INDEX(TZ_DSTS,MATCH(P559,TZ_STN,0))&lt;&gt;"",(AD559-INDEX(TZ_STD,MATCH(P559,TZ_STN,0))/24)&gt;=INDEX(TZ_DSTS,MATCH(P559,TZ_STN,0)),(AD559-INDEX(TZ_STD,MATCH(P559,TZ_STN,0))/24)&lt;INDEX(TZ_DSTE,MATCH(P559,TZ_STN,0))),INDEX(TZ_DST,MATCH(P559,TZ_STN,0)),INDEX(TZ_STD,MATCH(P559,TZ_STN,0))))/24,"")</f>
        <v/>
      </c>
      <c r="AH559" s="65" t="str">
        <f aca="false">IFERROR(IF(N559="N/A – rule",IF(OR(TRIM(U559)="",TRIM(U559)="N/A",TRIM(U559)="Not started"),"N/A – RULE","INVALID – this check does not apply to this aircraft: clear the status (or correct the fleet on Flights)"),IF(TRIM(U559)="N/A",IF(AT559=0,"INVALID – N/A not permitted for this check",IF(AND(TRIM(AB559)&lt;&gt;"",TRIM(AB559)&lt;&gt;"Closed"),"INVALID – corrective action still open",IF(AND(NOT(OR(LEN(AZ559)&lt;15,ISNUMBER(MATCH(AZ559,L_Placeholder,0)))),BK559=0,CG559&gt;=8,NOT(OR(LEN(AU559)&lt;2,ISNUMBER(MATCH(AU559,L_Placeholder,0)))),BR559&gt;=3,NOT(OR(LEN(AX559)&lt;2,ISNUMBER(MATCH(AX559,L_Placeholder,0)))),BS559&gt;=3,TRIM(AE559)&lt;&gt;TRIM(T559),AX559&lt;&gt;AU559,CE559=0),"N/A – JUSTIFIED","INVALID – N/A needs a real, settled reason (not 'not applicable' / 'as above' / TBC), a named PIC and a different named verifier"))),IF(OR(TRIM(U559)="Pass",TRIM(U559)="Pass after CA"),IF(NOT(ISNUMBER(AD559)),"INVALID – completion time missing",IF(OR(OR(LEN(AU559)&lt;2,ISNUMBER(MATCH(AU559,L_Placeholder,0))),BR559&lt;3),"INVALID – PIC missing or not a named person (a role such as QA / CSM is not a name)",IF(OR(LEN(AV559)&lt;2,ISNUMBER(MATCH(AV559,L_Placeholder,0))),"INVALID – result / assessment missing",IF(OR(OR(LEN(AW559)&lt;3,ISNUMBER(MATCH(AW559,L_Placeholder,0))),SUMPRODUCT(--ISNUMBER(SEARCH(" "&amp;L_EvidencePhrase&amp;" ",BD559)))&gt;0,BI559=1),"INVALID – evidence missing, placeholder or not yet on file",IF(ISNA(MATCH(TRIM(S559),L_EvidenceType,0)),"INVALID – choose the evidence type from the list (column S)",IF(BL559=0,"INVALID – evidence ID must be the record's own ID only (e.g. SF-2210, IMG_2231, 1045521); a link / file name needs type 'Link / file path'",IF(OR(OR(LEN(AX559)&lt;2,ISNUMBER(MATCH(AX559,L_Placeholder,0))),BS559&lt;3),"INVALID – verifier missing or not a named person (a role such as QA / CSM is not a name)",IF(OR(AX559=AU559,CE559=1,AND(LEN(AU559)&gt;=4,ISNUMBER(SEARCH(AU559,AX559))),AND(LEN(AX559)&gt;=4,ISNUMBER(SEARCH(AX559,AU559)))),"INVALID – verifier must be a different, named person (not the PIC or a role)",IF(BH559=1,"INVALID – result not yet available (awaiting / TBC)",IF(BG559=1,"INVALID – result describes a problem: record Fail, then Pass after CA (or reword if it is not a problem)",IF(BV559=1,"INVALID – wording says not on board: an on-board confirmation needs the item loaded",IF(AND(AQ559=1,OR(OR(LEN(AY559)&lt;3,ISNUMBER(MATCH(AY559,L_Placeholder,0))),BJ559=1,BQ559=0)),"INVALID – batch ID missing, placeholder or not an ID (e.g. PASB-261008-BC-017)",IF(AND(AR559=1,OR(NOT(ISNUMBER(X559)),NOT(ISNUMBER(Y559)))),"INVALID – expected/actual qty missing",IF(AND(AR559=1,OR(X559&lt;=0,Y559&lt;0)),"INVALID – expected qty must be above 0 and actual not negative",IF(BB559&lt;&gt;"",BB559,IF(AND(AS559=1,Documents!$J$21&lt;&gt;"ON FILE"),"INVALID – GLD not on file (Documents sheet)",IF(AND(AS559=2,Documents!$O$21&lt;&gt;"ON FILE"),"INVALID – menu checklist not on file (Documents sheet)",IF(AND(AS559=3,NOT(ISNUMBER(Flights!$AX$21))),"INVALID – enter carrying flight KUL departure (Flights AX)",IF(AND(AS559=3,OR(Flights!$AZ$21&gt;Flights!$AA$21,Flights!$AX$21&lt;Flights!$AA$21-3)),"INVALID – carrying flight (Flights AX) cannot arrive before this leg's STD, or is over 3 days early",IF(AG559&gt;AsOfUTC,"INVALID – completion time is in the future",IF(AND(ISNUMBER(BY559),AG559&lt;BY559),IF(H559="Physical uplift","INVALID – before uplift window (cannot confirm loading)","INVALID – before valid window"),IF(AG559&gt;Flights!$AA$21,"INVALID – completed after departure (cannot establish readiness)",IF(AND(H559="Preparation",AG559&gt;=IF(ISNUMBER(Flights!$BA$21),MIN(Flights!$BA$21,Flights!$AA$21),Flights!$AA$21)),"INVALID – completed after loading / departure (cannot establish readiness)",IF(AND(H559="Physical uplift",AG559&gt;Q559),"INVALID – recorded after the loading flight departed",IF(AG559&gt;Q559,"COMPLETE – LATE","COMPLETE"))))))))))))))))))))))))),IF(TRIM(U559)="Fail","FAIL – DISCREPANCY",IF(AND(TRIM(U559)&lt;&gt;"",TRIM(U559)&lt;&gt;"Not started",TRIM(U559)&lt;&gt;"In progress"),"INVALID – unrecognised status (use the list)",IF(AsOfUTC&gt;Q559,"OVERDUE",IF(N559="Clarification required","OPEN – CLARIFICATION","OPEN"))))))),"INVALID – error value in an input cell")</f>
        <v>OPEN – CLARIFICATION</v>
      </c>
      <c r="AI559" s="61" t="n">
        <f aca="false">IF(OR(AH559="N/A – RULE",AH559="N/A – JUSTIFIED"),0,1)</f>
        <v>1</v>
      </c>
      <c r="AJ559" s="61" t="n">
        <f aca="false">IF(LEFT(AH559,8)="COMPLETE",1,0)</f>
        <v>0</v>
      </c>
      <c r="AK559" s="61" t="n">
        <f aca="false">IF(AND(AI559=1,AJ559=0,AsOfUTC&gt;Q559),1,0)</f>
        <v>0</v>
      </c>
      <c r="AL559" s="61" t="n">
        <f aca="false">IFERROR(IF(AND(AI559=1,OR(TRIM(U559)="Fail",AND(TRIM(AB559)&lt;&gt;"",TRIM(AB559)&lt;&gt;"Closed"),AND(ISNUMBER(AF559),AF559&lt;&gt;0,TRIM(U559)&lt;&gt;"Pass after CA"))),1,0),1)</f>
        <v>0</v>
      </c>
      <c r="AM559" s="61" t="n">
        <f aca="false">IF(LEFT(AH559,7)="INVALID",1,0)</f>
        <v>0</v>
      </c>
      <c r="AN559" s="61" t="n">
        <f aca="false">IF(AND(N559="Clarification required",AI559=1,AJ559=0),1,0)</f>
        <v>1</v>
      </c>
      <c r="AO559" s="61" t="str">
        <f aca="false">IF(AK559=1,SUM(AK$5:AK559),"")</f>
        <v/>
      </c>
      <c r="AP559" s="61" t="str">
        <f aca="false">IF(AL559=1,SUM(AL$5:AL559),"")</f>
        <v/>
      </c>
      <c r="AQ559" s="61" t="n">
        <v>0</v>
      </c>
      <c r="AR559" s="61" t="n">
        <v>0</v>
      </c>
      <c r="AS559" s="61" t="n">
        <v>0</v>
      </c>
      <c r="AT559" s="61" t="n">
        <v>1</v>
      </c>
      <c r="AU559" s="61" t="str">
        <f aca="false">SUBSTITUTE(SUBSTITUTE(SUBSTITUTE(SUBSTITUTE(SUBSTITUTE(SUBSTITUTE(SUBSTITUTE(SUBSTITUTE(SUBSTITUTE(SUBSTITUTE(SUBSTITUTE(SUBSTITUTE(SUBSTITUTE(SUBSTITUTE(SUBSTITUTE(SUBSTITUTE(LOWER(T559&amp;""),CHAR(10),""),CHAR(13),""),CHAR(9),""),CHAR(160),"")," ",""),".",""),"-",""),"/",""),"?",""),"_",""),",",""),"[",""),"]",""),"(",""),")",""),"*","")</f>
        <v/>
      </c>
      <c r="AV559" s="61" t="str">
        <f aca="false">SUBSTITUTE(SUBSTITUTE(SUBSTITUTE(SUBSTITUTE(SUBSTITUTE(SUBSTITUTE(SUBSTITUTE(SUBSTITUTE(SUBSTITUTE(SUBSTITUTE(SUBSTITUTE(SUBSTITUTE(SUBSTITUTE(SUBSTITUTE(SUBSTITUTE(SUBSTITUTE(LOWER(V559&amp;""),CHAR(10),""),CHAR(13),""),CHAR(9),""),CHAR(160),"")," ",""),".",""),"-",""),"/",""),"?",""),"_",""),",",""),"[",""),"]",""),"(",""),")",""),"*","")</f>
        <v/>
      </c>
      <c r="AW559" s="61" t="str">
        <f aca="false">SUBSTITUTE(SUBSTITUTE(SUBSTITUTE(SUBSTITUTE(SUBSTITUTE(SUBSTITUTE(SUBSTITUTE(SUBSTITUTE(SUBSTITUTE(SUBSTITUTE(SUBSTITUTE(SUBSTITUTE(SUBSTITUTE(SUBSTITUTE(SUBSTITUTE(SUBSTITUTE(LOWER(Z559&amp;""),CHAR(10),""),CHAR(13),""),CHAR(9),""),CHAR(160),"")," ",""),".",""),"-",""),"/",""),"?",""),"_",""),",",""),"[",""),"]",""),"(",""),")",""),"*","")</f>
        <v/>
      </c>
      <c r="AX559" s="61" t="str">
        <f aca="false">SUBSTITUTE(SUBSTITUTE(SUBSTITUTE(SUBSTITUTE(SUBSTITUTE(SUBSTITUTE(SUBSTITUTE(SUBSTITUTE(SUBSTITUTE(SUBSTITUTE(SUBSTITUTE(SUBSTITUTE(SUBSTITUTE(SUBSTITUTE(SUBSTITUTE(SUBSTITUTE(LOWER(AE559&amp;""),CHAR(10),""),CHAR(13),""),CHAR(9),""),CHAR(160),"")," ",""),".",""),"-",""),"/",""),"?",""),"_",""),",",""),"[",""),"]",""),"(",""),")",""),"*","")</f>
        <v/>
      </c>
      <c r="AY559" s="61" t="str">
        <f aca="false">SUBSTITUTE(SUBSTITUTE(SUBSTITUTE(SUBSTITUTE(SUBSTITUTE(SUBSTITUTE(SUBSTITUTE(SUBSTITUTE(SUBSTITUTE(SUBSTITUTE(SUBSTITUTE(SUBSTITUTE(SUBSTITUTE(SUBSTITUTE(SUBSTITUTE(SUBSTITUTE(LOWER(W559&amp;""),CHAR(10),""),CHAR(13),""),CHAR(9),""),CHAR(160),"")," ",""),".",""),"-",""),"/",""),"?",""),"_",""),",",""),"[",""),"]",""),"(",""),")",""),"*","")</f>
        <v/>
      </c>
      <c r="AZ559" s="61" t="str">
        <f aca="false">SUBSTITUTE(SUBSTITUTE(SUBSTITUTE(SUBSTITUTE(SUBSTITUTE(SUBSTITUTE(SUBSTITUTE(SUBSTITUTE(SUBSTITUTE(SUBSTITUTE(SUBSTITUTE(SUBSTITUTE(SUBSTITUTE(SUBSTITUTE(SUBSTITUTE(SUBSTITUTE(LOWER(AC559&amp;""),CHAR(10),""),CHAR(13),""),CHAR(9),""),CHAR(160),"")," ",""),".",""),"-",""),"/",""),"?",""),"_",""),",",""),"[",""),"]",""),"(",""),")",""),"*","")</f>
        <v/>
      </c>
      <c r="BA559" s="61" t="str">
        <f aca="false">SUBSTITUTE(SUBSTITUTE(SUBSTITUTE(SUBSTITUTE(SUBSTITUTE(SUBSTITUTE(SUBSTITUTE(SUBSTITUTE(SUBSTITUTE(SUBSTITUTE(SUBSTITUTE(SUBSTITUTE(SUBSTITUTE(SUBSTITUTE(SUBSTITUTE(SUBSTITUTE(LOWER(AA559&amp;""),CHAR(10),""),CHAR(13),""),CHAR(9),""),CHAR(160),"")," ",""),".",""),"-",""),"/",""),"?",""),"_",""),",",""),"[",""),"]",""),"(",""),")",""),"*","")</f>
        <v/>
      </c>
      <c r="BB559" s="61" t="str">
        <f aca="false">IF(AND(TRIM(U559)="Pass",ISNUMBER(AF559)),IF(AF559&lt;&gt;0,"INVALID – qty variance: use Fail or Pass after CA",""),"")&amp;IF(AND(TRIM(U559)="Pass after CA",ISNUMBER(AF559)),IF(AF559&lt;&gt;0,"INVALID – after the corrective action the actual qty must equal expected (update Actual)",""),"")&amp;IF(AND(TRIM(U559)="Pass",TRIM(AB559)&lt;&gt;"",TRIM(AB559)&lt;&gt;"Closed"),"INVALID – corrective action not closed: use Fail, then Pass after CA","")&amp;IF(AND(LEN(BA559)&gt;=2,ISNA(MATCH(LEFT(BA559,255),L_Placeholder,0)),TRIM(AB559)=""),"INVALID – CA status missing for the recorded corrective action","")&amp;IF(AND(TRIM(U559)="Pass after CA",OR(OR(LEN(BA559)&lt;5,ISNUMBER(MATCH(BA559,L_Placeholder,0))),TRIM(AB559)&lt;&gt;"Closed")),"INVALID – corrective action not recorded/closed","")</f>
        <v/>
      </c>
      <c r="BC559" s="61" t="str">
        <f aca="false">" "&amp;TRIM(SUBSTITUTE(SUBSTITUTE(SUBSTITUTE(SUBSTITUTE(SUBSTITUTE(SUBSTITUTE(SUBSTITUTE(SUBSTITUTE(SUBSTITUTE(SUBSTITUTE(SUBSTITUTE(SUBSTITUTE(SUBSTITUTE(SUBSTITUTE(SUBSTITUTE(SUBSTITUTE(SUBSTITUTE(SUBSTITUTE(SUBSTITUTE(SUBSTITUTE(SUBSTITUTE(SUBSTITUTE(SUBSTITUTE(SUBSTITUTE(LOWER(V559&amp;""),CHAR(10)," "),CHAR(13)," "),CHAR(9)," "),CHAR(160)," "),"."," "),","," "),"-"," "),"/"," "),"("," "),")"," "),":"," "),";"," "),"_"," "),"–"," "),"?"," "),"!"," "),"*"," "),"["," "),"]"," "),"'"," "),"#"," "),"+"," "),"&amp;"," "),"\"," "))&amp;" "</f>
        <v>  </v>
      </c>
      <c r="BD559" s="61" t="str">
        <f aca="false">" "&amp;TRIM(SUBSTITUTE(SUBSTITUTE(SUBSTITUTE(SUBSTITUTE(SUBSTITUTE(SUBSTITUTE(SUBSTITUTE(SUBSTITUTE(SUBSTITUTE(SUBSTITUTE(SUBSTITUTE(SUBSTITUTE(SUBSTITUTE(SUBSTITUTE(SUBSTITUTE(SUBSTITUTE(SUBSTITUTE(SUBSTITUTE(SUBSTITUTE(SUBSTITUTE(SUBSTITUTE(SUBSTITUTE(SUBSTITUTE(SUBSTITUTE(LOWER(Z559&amp;""),CHAR(10)," "),CHAR(13)," "),CHAR(9)," "),CHAR(160)," "),"."," "),","," "),"-"," "),"/"," "),"("," "),")"," "),":"," "),";"," "),"_"," "),"–"," "),"?"," "),"!"," "),"*"," "),"["," "),"]"," "),"'"," "),"#"," "),"+"," "),"&amp;"," "),"\"," "))&amp;" "</f>
        <v>  </v>
      </c>
      <c r="BE559" s="61" t="str">
        <f aca="false">" "&amp;TRIM(SUBSTITUTE(SUBSTITUTE(SUBSTITUTE(SUBSTITUTE(SUBSTITUTE(SUBSTITUTE(SUBSTITUTE(SUBSTITUTE(SUBSTITUTE(SUBSTITUTE(SUBSTITUTE(SUBSTITUTE(SUBSTITUTE(SUBSTITUTE(SUBSTITUTE(SUBSTITUTE(SUBSTITUTE(SUBSTITUTE(SUBSTITUTE(SUBSTITUTE(SUBSTITUTE(SUBSTITUTE(SUBSTITUTE(SUBSTITUTE(LOWER(W559&amp;""),CHAR(10)," "),CHAR(13)," "),CHAR(9)," "),CHAR(160)," "),"."," "),","," "),"-"," "),"/"," "),"("," "),")"," "),":"," "),";"," "),"_"," "),"–"," "),"?"," "),"!"," "),"*"," "),"["," "),"]"," "),"'"," "),"#"," "),"+"," "),"&amp;"," "),"\"," "))&amp;" "</f>
        <v>  </v>
      </c>
      <c r="BF559" s="61" t="str">
        <f aca="false">" "&amp;TRIM(SUBSTITUTE(SUBSTITUTE(SUBSTITUTE(SUBSTITUTE(SUBSTITUTE(SUBSTITUTE(SUBSTITUTE(SUBSTITUTE(SUBSTITUTE(SUBSTITUTE(SUBSTITUTE(SUBSTITUTE(SUBSTITUTE(SUBSTITUTE(SUBSTITUTE(SUBSTITUTE(SUBSTITUTE(SUBSTITUTE(SUBSTITUTE(SUBSTITUTE(SUBSTITUTE(SUBSTITUTE(SUBSTITUTE(SUBSTITUTE(LOWER(AC559&amp;""),CHAR(10)," "),CHAR(13)," "),CHAR(9)," "),CHAR(160)," "),"."," "),","," "),"-"," "),"/"," "),"("," "),")"," "),":"," "),";"," "),"_"," "),"–"," "),"?"," "),"!"," "),"*"," "),"["," "),"]"," "),"'"," "),"#"," "),"+"," "),"&amp;"," "),"\"," "))&amp;" "</f>
        <v>  </v>
      </c>
      <c r="BG559" s="61" t="n">
        <f aca="false">IFERROR(IF(AND(TRIM(U559)="Pass",SUMPRODUCT((LEN(BC559)-LEN(SUBSTITUTE(BC559," "&amp;L_ResultBad&amp;" "," ")))/(LEN(L_ResultBad)+1))&gt;SUMPRODUCT((LEN(BC559)-LEN(SUBSTITUTE(BC559," "&amp;L_NegPhrase&amp;" "," ")))/(LEN(L_NegPhrase)+1))),1,0),0)</f>
        <v>0</v>
      </c>
      <c r="BH559" s="61" t="n">
        <f aca="false">IFERROR(IF(SUMPRODUCT((LEN(BC559)-LEN(SUBSTITUTE(BC559," "&amp;L_Pending&amp;" "," ")))/(LEN(L_Pending)+1))&gt;SUMPRODUCT((LEN(BC559)-LEN(SUBSTITUTE(BC559," "&amp;L_PendNeg&amp;" "," ")))/(LEN(L_PendNeg)+1))+SUMPRODUCT((LEN(BC559)-LEN(SUBSTITUTE(BC559," "&amp;L_PendPrep&amp;" "," ")))/(LEN(L_PendPrep)+1)),1,0),1)</f>
        <v>0</v>
      </c>
      <c r="BI559" s="61" t="n">
        <f aca="false">IFERROR(IF(SUMPRODUCT((LEN(BD559)-LEN(SUBSTITUTE(BD559," "&amp;L_PendStrict&amp;" "," ")))/(LEN(L_PendStrict)+1))&gt;SUMPRODUCT((LEN(BD559)-LEN(SUBSTITUTE(BD559," "&amp;L_PendNeg&amp;" "," ")))/(LEN(L_PendNeg)+1)),1,0),1)</f>
        <v>0</v>
      </c>
      <c r="BJ559" s="61" t="n">
        <f aca="false">IFERROR(IF(SUMPRODUCT((LEN(BE559)-LEN(SUBSTITUTE(BE559," "&amp;L_Pending&amp;" "," ")))/(LEN(L_Pending)+1))&gt;SUMPRODUCT((LEN(BE559)-LEN(SUBSTITUTE(BE559," "&amp;L_PendNeg&amp;" "," ")))/(LEN(L_PendNeg)+1))+SUMPRODUCT((LEN(BE559)-LEN(SUBSTITUTE(BE559," "&amp;L_PendPrep&amp;" "," ")))/(LEN(L_PendPrep)+1)),1,0),1)</f>
        <v>0</v>
      </c>
      <c r="BK559" s="61" t="n">
        <f aca="false">IFERROR(IF(SUMPRODUCT((LEN(BF559)-LEN(SUBSTITUTE(BF559," "&amp;L_PendStrict&amp;" "," ")))/(LEN(L_PendStrict)+1))&gt;SUMPRODUCT((LEN(BF559)-LEN(SUBSTITUTE(BF559," "&amp;L_PendNeg&amp;" "," ")))/(LEN(L_PendNeg)+1)),1,0),1)</f>
        <v>0</v>
      </c>
      <c r="BL559" s="61" t="n">
        <f aca="false">IF(ISNA(MATCH(TRIM(S559),L_EvidenceType,0)),0,BZ559)</f>
        <v>0</v>
      </c>
      <c r="BM559" s="61" t="str">
        <f aca="false">SUBSTITUTE(SUBSTITUTE(SUBSTITUTE(SUBSTITUTE(SUBSTITUTE(SUBSTITUTE(SUBSTITUTE(SUBSTITUTE(SUBSTITUTE(LOWER(Z559&amp;""),"1","0"),"2","0"),"3","0"),"4","0"),"5","0"),"6","0"),"7","0"),"8","0"),"9","0")</f>
        <v/>
      </c>
      <c r="BN559" s="61" t="str">
        <f aca="false">SUBSTITUTE(SUBSTITUTE(SUBSTITUTE(SUBSTITUTE(SUBSTITUTE(SUBSTITUTE(SUBSTITUTE(SUBSTITUTE(SUBSTITUTE(SUBSTITUTE(SUBSTITUTE(SUBSTITUTE(SUBSTITUTE(SUBSTITUTE(SUBSTITUTE(SUBSTITUTE(SUBSTITUTE(SUBSTITUTE(SUBSTITUTE(SUBSTITUTE(SUBSTITUTE(SUBSTITUTE(SUBSTITUTE(SUBSTITUTE(SUBSTITUTE(BM559,"b","a"),"c","a"),"d","a"),"e","a"),"f","a"),"g","a"),"h","a"),"i","a"),"j","a"),"k","a"),"l","a"),"m","a"),"n","a"),"o","a"),"p","a"),"q","a"),"r","a"),"s","a"),"t","a"),"u","a"),"v","a"),"w","a"),"x","a"),"y","a"),"z","a")</f>
        <v/>
      </c>
      <c r="BO559" s="61" t="str">
        <f aca="false">SUBSTITUTE(SUBSTITUTE(SUBSTITUTE(SUBSTITUTE(SUBSTITUTE(SUBSTITUTE(SUBSTITUTE(SUBSTITUTE(SUBSTITUTE(LOWER(W559&amp;""),"1","0"),"2","0"),"3","0"),"4","0"),"5","0"),"6","0"),"7","0"),"8","0"),"9","0")</f>
        <v/>
      </c>
      <c r="BP559" s="61" t="str">
        <f aca="false">SUBSTITUTE(SUBSTITUTE(SUBSTITUTE(SUBSTITUTE(SUBSTITUTE(SUBSTITUTE(SUBSTITUTE(SUBSTITUTE(SUBSTITUTE(SUBSTITUTE(SUBSTITUTE(SUBSTITUTE(SUBSTITUTE(SUBSTITUTE(SUBSTITUTE(SUBSTITUTE(SUBSTITUTE(SUBSTITUTE(SUBSTITUTE(SUBSTITUTE(SUBSTITUTE(SUBSTITUTE(SUBSTITUTE(SUBSTITUTE(SUBSTITUTE(BO559,"b","a"),"c","a"),"d","a"),"e","a"),"f","a"),"g","a"),"h","a"),"i","a"),"j","a"),"k","a"),"l","a"),"m","a"),"n","a"),"o","a"),"p","a"),"q","a"),"r","a"),"s","a"),"t","a"),"u","a"),"v","a"),"w","a"),"x","a"),"y","a"),"z","a")</f>
        <v/>
      </c>
      <c r="BQ559" s="61" t="n">
        <f aca="false">IFERROR(IF(AND(ISERROR(SEARCH(" mh"," "&amp;LOWER(W559))),ISNA(MATCH(LEFT(TRIM(BP559),255),{"0000a","000a","00a","0000aa","000aa","00aa","0aa","0000aaa","000aaa","00a00","0a00","0000-0000","00:00","a00","a0","00.00.0000","00/00/0000","00-00-0000","0000-00-00","0000/00/00","0000.00.00","00.00.00","00/00/00","00-00-00","0.00.0000","0/00/0000","0-00-0000"},0)),ISNA(MATCH(LEFT(TRIM(CA559),255),{"0000a","000a","00a","0000aa","000aa","00aa","0aa","0000aaa","000aaa","00a00","0a00","0000-0000","00:00","a00","a0","00.00.0000","00/00/0000","00-00-0000","0000-00-00","0000/00/00","0000.00.00","00.00.00","00/00/00","00-00-00","0.00.0000","0/00/0000","0-00-0000"},0)),LEN(CB559)&gt;=3,NOT(OR(SUBSTITUTE(CB559,"0","")="",AND(LEN(CB559)&gt;=4,CB559=REPT(LEFT(CB559),LEN(CB559))),ISNUMBER(MATCH(CB559,{"123","1234","12345","123456","1234567","12345678","0123","01234","012345","98765","987654","54321"},0)),AND(LEN(CB559)=8,LEFT(CB559,3)="202"))),OR(AND((LEN(CA559)-LEN(SUBSTITUTE(CA559,"a","")))&gt;=1,SUMPRODUCT(--ISNUMBER(SEARCH({"a0","a-0","a_0","a/0","a.0","a#0","0a","0-a","0_a","0/a"},BP559)))&gt;0),ISNUMBER(SEARCH("000000",BP559)))),1,0),0)</f>
        <v>0</v>
      </c>
      <c r="BR559" s="61" t="n">
        <f aca="false">IFERROR(LEN(SUBSTITUTE(CC559," ",""))-SUMPRODUCT((LEN(CC559)-LEN(SUBSTITUTE(CC559," "&amp;L_Role&amp;" "," ")))/(LEN(L_Role)+1)*LEN(L_Role)),0)</f>
        <v>0</v>
      </c>
      <c r="BS559" s="61" t="n">
        <f aca="false">IFERROR(LEN(SUBSTITUTE(CD559," ",""))-SUMPRODUCT((LEN(CD559)-LEN(SUBSTITUTE(CD559," "&amp;L_Role&amp;" "," ")))/(LEN(L_Role)+1)*LEN(L_Role)),0)</f>
        <v>0</v>
      </c>
      <c r="BT5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559,"revision",""),"version",""),"jan",""),"feb",""),"mar",""),"apr",""),"may",""),"jun",""),"jul",""),"aug",""),"sep",""),"oct",""),"nov",""),"dec",""),"utc",""),"gmt",""),"myt",""),"bst",""),"rev",""),"ver",""),"b","a"),"c","a"),"d","a"),"e","a"),"f","a"),"g","a"),"h","a"),"i","a"),"j","a"),"k","a"),"l","a"),"m","a"),"n","a"),"o","a"),"p","a"),"q","a"),"r","a"),"s","a"),"t","a"),"u","a"),"v","a"),"w","a"),"x","a"),"y","a"),"z","a")</f>
        <v/>
      </c>
      <c r="BU559" s="61" t="str">
        <f aca="false">SUBSTITUTE(SUBSTITUTE(SUBSTITUTE(SUBSTITUTE(SUBSTITUTE(SUBSTITUTE(SUBSTITUTE(SUBSTITUTE(SUBSTITUTE(SUBSTITUTE(LEFT(BM559,FIND("0",BM559&amp;"0")-1),"-",""),"_",""),"/",""),".",""),"#",""),"\\",""),":","")," ",""),"(",""),")","")</f>
        <v/>
      </c>
      <c r="BV559" s="61" t="n">
        <f aca="false">0</f>
        <v>0</v>
      </c>
      <c r="BW5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559&amp;""),"a",""),"b",""),"c",""),"d",""),"e",""),"f",""),"g",""),"h",""),"i",""),"j",""),"k",""),"l",""),"m",""),"n",""),"o",""),"p",""),"q",""),"r",""),"s",""),"t",""),"u",""),"v",""),"w",""),"x",""),"y",""),"z",""),"-",""),"_",""),"/",""),".",""),"#",""),"\\",""),":","")," ",""),"(",""),")","")</f>
        <v/>
      </c>
      <c r="BX559" s="61" t="str">
        <f aca="false">SUBSTITUTE(SUBSTITUTE(SUBSTITUTE(SUBSTITUTE(SUBSTITUTE(SUBSTITUTE(SUBSTITUTE(SUBSTITUTE(SUBSTITUTE(SUBSTITUTE(SUBSTITUTE(BM559,"0",""),"-",""),"_",""),"/",""),".",""),"#",""),"\\",""),":","")," ",""),"(",""),")","")</f>
        <v/>
      </c>
      <c r="BY559" s="62" t="n">
        <f aca="false">Q559-T12EarlyH/24</f>
        <v>46321.2847222222</v>
      </c>
      <c r="BZ559" s="61" t="n">
        <f aca="false">IFERROR(IF(IF(TRIM(S559)="Link / file path",AND(LEN(TRIM(Z559))&gt;=5,SUMPRODUCT(--ISNUMBER(SEARCH({"http","www.","\\",":\",".pdf",".jpg",".jpeg",".png",".heic",".xls",".doc",".msg",".eml",".ppt",".txt",".zip"},Z559)))&gt;0),AND(ISERROR(FIND(" ",TRIM(Z559))),NOT(OR(SUMPRODUCT(--ISNUMBER(FIND({",",";","&amp;","+"},Z559)))&gt;0,SUMPRODUCT(--ISNUMBER(SEARCH({"0/aa","0\\aa"},BN559)))&gt;0)),NOT(SUMPRODUCT(--ISNUMBER(SEARCH({"http","www.","\\",":\",".pdf",".jpg",".jpeg",".png",".heic",".xls",".doc",".msg",".eml",".ppt",".txt",".zip"},Z559)))&gt;0),NOT(LOWER(TRIM(Z559))=LOWER(Flights!$F$21)),ISNA(MATCH(BU559,{"mh","rev","revision","ver","version","v","r","a","b","seat","tray","row","gate","bay","stand","page","pg","item","line","no","cart","galley","flight","flt","table","box","bag","oven","etd","eta","std","sta","atd","ata","qty","pax","x","time","tel","ph","mob","day","wk","week","utc","gmt","myt","lt"},0)),NOT(OR(ISNUMBER(MATCH(LEFT(BN559,255),{"0000a","000a","00a","0000aa","000aa","00aa","0aa","0000aaa","000aaa","00a00","0a00","0000-0000","00:00","a00","a0","00.00.0000","00/00/0000","00-00-0000","0000-00-00","0000/00/00","0000.00.00","00.00.00","00/00/00","00-00-00","0.00.0000","0/00/0000","0-00-0000"},0)),ISNUMBER(MATCH(LEFT(BT559,255),{"0000a","000a","00a","0000aa","000aa","00aa","0aa","0000aaa","000aaa","00a00","0a00","0000-0000","00:00","a00","a0","00.00.0000","00/00/0000","00-00-0000","0000-00-00","0000/00/00","0000.00.00","00.00.00","00/00/00","00-00-00","0.00.0000","0/00/0000","0-00-0000"},0)))),NOT(OR(AND(BW559&lt;&gt;"",SUBSTITUTE(BW559,"0","")=""),AND(LEN(BW559)&gt;=4,BW559=REPT(LEFT(BW559),LEN(BW559))),ISNUMBER(MATCH(BW559,{"123","1234","12345","123456","1234567","12345678","0123","01234","012345","98765","987654","54321"},0)),ISNUMBER(MATCH(BX559,{"x","xx","xxx","xxxx","xxxxx","abc","abcd","nil","na","nan","test","tbc","tba","tbd","dummy","sample","example","eg","zz","zzz","none","null","xyz","qwe","asd","id","ref"},0)),AND(LEN(BW559)=8,BX559="",OR(LEFT(BW559,3)="202",ISNUMBER(MATCH(RIGHT(BW559,4),{"2025","2026","2027"},0)))))),OR(AND((LEN(BT559)-LEN(SUBSTITUTE(BT559,"a","")))&gt;=1,(LEN(BN559)-LEN(SUBSTITUTE(BN559,"0","")))&gt;=2,SUMPRODUCT(--ISNUMBER(SEARCH({"a0","a-0","a_0","a/0","a.0","a#0","0a","0-a","0_a","0/a"},BN559)))&gt;0),AND((LEN(BN559)-LEN(SUBSTITUTE(BN559,"a","")))=0,(LEN(BN559)-LEN(SUBSTITUTE(BN559,"0","")))&gt;=5)))),1,0),0)</f>
        <v>0</v>
      </c>
      <c r="CA5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559,"revision",""),"version",""),"jan",""),"feb",""),"mar",""),"apr",""),"may",""),"jun",""),"jul",""),"aug",""),"sep",""),"oct",""),"nov",""),"dec",""),"utc",""),"gmt",""),"myt",""),"bst",""),"rev",""),"ver",""),"b","a"),"c","a"),"d","a"),"e","a"),"f","a"),"g","a"),"h","a"),"i","a"),"j","a"),"k","a"),"l","a"),"m","a"),"n","a"),"o","a"),"p","a"),"q","a"),"r","a"),"s","a"),"t","a"),"u","a"),"v","a"),"w","a"),"x","a"),"y","a"),"z","a")</f>
        <v/>
      </c>
      <c r="CB5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559&amp;""),"a",""),"b",""),"c",""),"d",""),"e",""),"f",""),"g",""),"h",""),"i",""),"j",""),"k",""),"l",""),"m",""),"n",""),"o",""),"p",""),"q",""),"r",""),"s",""),"t",""),"u",""),"v",""),"w",""),"x",""),"y",""),"z",""),"-",""),"_",""),"/",""),".",""),"#",""),"\\",""),":","")," ",""),"(",""),")","")</f>
        <v/>
      </c>
      <c r="CC559" s="0" t="str">
        <f aca="false">" "&amp;TRIM(SUBSTITUTE(SUBSTITUTE(SUBSTITUTE(SUBSTITUTE(SUBSTITUTE(SUBSTITUTE(SUBSTITUTE(SUBSTITUTE(SUBSTITUTE(SUBSTITUTE(SUBSTITUTE(SUBSTITUTE(SUBSTITUTE(SUBSTITUTE(SUBSTITUTE(SUBSTITUTE(SUBSTITUTE(SUBSTITUTE(SUBSTITUTE(SUBSTITUTE(SUBSTITUTE(SUBSTITUTE(SUBSTITUTE(SUBSTITUTE(LOWER(T559&amp;""),CHAR(10)," "),CHAR(13)," "),CHAR(9)," "),CHAR(160)," "),"."," "),","," "),"-"," "),"/"," "),"("," "),")"," "),":"," "),";"," "),"_"," "),"–"," "),"?"," "),"!"," "),"*"," "),"["," "),"]"," "),"'"," "),"#"," "),"+"," "),"&amp;"," "),"\"," "))&amp;" "</f>
        <v>  </v>
      </c>
      <c r="CD559" s="0" t="str">
        <f aca="false">" "&amp;TRIM(SUBSTITUTE(SUBSTITUTE(SUBSTITUTE(SUBSTITUTE(SUBSTITUTE(SUBSTITUTE(SUBSTITUTE(SUBSTITUTE(SUBSTITUTE(SUBSTITUTE(SUBSTITUTE(SUBSTITUTE(SUBSTITUTE(SUBSTITUTE(SUBSTITUTE(SUBSTITUTE(SUBSTITUTE(SUBSTITUTE(SUBSTITUTE(SUBSTITUTE(SUBSTITUTE(SUBSTITUTE(SUBSTITUTE(SUBSTITUTE(LOWER(AE559&amp;""),CHAR(10)," "),CHAR(13)," "),CHAR(9)," "),CHAR(160)," "),"."," "),","," "),"-"," "),"/"," "),"("," "),")"," "),":"," "),";"," "),"_"," "),"–"," "),"?"," "),"!"," "),"*"," "),"["," "),"]"," "),"'"," "),"#"," "),"+"," "),"&amp;"," "),"\"," "))&amp;" "</f>
        <v>  </v>
      </c>
      <c r="CE559" s="68" t="n">
        <f aca="false">IFERROR(IF(AND(LEN(AU559)&gt;0,LEN(AU559)=LEN(AX559),OR(TRIM(MID(SUBSTITUTE(TRIM(CC559)," ",REPT(" ",60)),1,60))="",ISNUMBER(SEARCH(" "&amp;TRIM(MID(SUBSTITUTE(TRIM(CC559)," ",REPT(" ",60)),1,60))&amp;" ",CD559))),OR(TRIM(MID(SUBSTITUTE(TRIM(CC559)," ",REPT(" ",60)),61,60))="",ISNUMBER(SEARCH(" "&amp;TRIM(MID(SUBSTITUTE(TRIM(CC559)," ",REPT(" ",60)),61,60))&amp;" ",CD559))),OR(TRIM(MID(SUBSTITUTE(TRIM(CC559)," ",REPT(" ",60)),121,60))="",ISNUMBER(SEARCH(" "&amp;TRIM(MID(SUBSTITUTE(TRIM(CC559)," ",REPT(" ",60)),121,60))&amp;" ",CD559)))),1,0),0)</f>
        <v>0</v>
      </c>
      <c r="CG559" s="68" t="n">
        <f aca="false">IFERROR(LEN(SUBSTITUTE(BF559," ",""))-SUMPRODUCT((LEN(BF559)-LEN(SUBSTITUTE(BF559," "&amp;L_NAFiller&amp;" "," ")))/(LEN(L_NAFiller)+1)*LEN(L_NAFiller)),0)</f>
        <v>0</v>
      </c>
    </row>
    <row r="560" customFormat="false" ht="39.75" hidden="false" customHeight="true" outlineLevel="0" collapsed="false">
      <c r="A560" s="57" t="s">
        <v>1247</v>
      </c>
      <c r="B560" s="57" t="s">
        <v>290</v>
      </c>
      <c r="C560" s="57" t="str">
        <f aca="false">Flights!$F$21</f>
        <v>MH0073</v>
      </c>
      <c r="D560" s="58" t="n">
        <f aca="false">Flights!$D$21</f>
        <v>46322</v>
      </c>
      <c r="E560" s="57" t="str">
        <f aca="false">Flights!$G$21&amp;"-"&amp;Flights!$H$21</f>
        <v>HKG-KUL</v>
      </c>
      <c r="F560" s="57" t="str">
        <f aca="false">Flights!$K$21</f>
        <v>BC</v>
      </c>
      <c r="G560" s="57" t="s">
        <v>459</v>
      </c>
      <c r="H560" s="57" t="s">
        <v>460</v>
      </c>
      <c r="I560" s="57" t="s">
        <v>379</v>
      </c>
      <c r="J560" s="57" t="s">
        <v>461</v>
      </c>
      <c r="K560" s="67" t="s">
        <v>426</v>
      </c>
      <c r="L560" s="67" t="s">
        <v>462</v>
      </c>
      <c r="M560" s="67"/>
      <c r="N560" s="67" t="s">
        <v>383</v>
      </c>
      <c r="O560" s="67" t="s">
        <v>463</v>
      </c>
      <c r="P560" s="57" t="s">
        <v>282</v>
      </c>
      <c r="Q560" s="59" t="n">
        <f aca="false">ROUND((Flights!$AF$21)*1440,0)/1440</f>
        <v>46322.2847222222</v>
      </c>
      <c r="R560" s="59" t="n">
        <f aca="false">Q560+(IF(AND(INDEX(TZ_DSTS,MATCH(P560,TZ_STN,0))&lt;&gt;"",Q560&gt;=INDEX(TZ_DSTS,MATCH(P560,TZ_STN,0)),Q560&lt;INDEX(TZ_DSTE,MATCH(P560,TZ_STN,0))),INDEX(TZ_DST,MATCH(P560,TZ_STN,0)),INDEX(TZ_STD,MATCH(P560,TZ_STN,0))))/24</f>
        <v>46322.6180555556</v>
      </c>
      <c r="S560" s="60"/>
      <c r="T560" s="60"/>
      <c r="U560" s="60"/>
      <c r="V560" s="60"/>
      <c r="W560" s="61"/>
      <c r="X560" s="60"/>
      <c r="Y560" s="60"/>
      <c r="Z560" s="60"/>
      <c r="AA560" s="60"/>
      <c r="AB560" s="60"/>
      <c r="AC560" s="60"/>
      <c r="AD560" s="66"/>
      <c r="AE560" s="60"/>
      <c r="AF560" s="61" t="str">
        <f aca="false">IF(AND(ISNUMBER(X560),ISNUMBER(Y560)),Y560-X560,"")</f>
        <v/>
      </c>
      <c r="AG560" s="62" t="str">
        <f aca="false">IF(ISNUMBER(AD560),AD560-(IF(AND(INDEX(TZ_DSTS,MATCH(P560,TZ_STN,0))&lt;&gt;"",(AD560-INDEX(TZ_STD,MATCH(P560,TZ_STN,0))/24)&gt;=INDEX(TZ_DSTS,MATCH(P560,TZ_STN,0)),(AD560-INDEX(TZ_STD,MATCH(P560,TZ_STN,0))/24)&lt;INDEX(TZ_DSTE,MATCH(P560,TZ_STN,0))),INDEX(TZ_DST,MATCH(P560,TZ_STN,0)),INDEX(TZ_STD,MATCH(P560,TZ_STN,0))))/24,"")</f>
        <v/>
      </c>
      <c r="AH560" s="65" t="str">
        <f aca="false">IFERROR(IF(N560="N/A – rule",IF(OR(TRIM(U560)="",TRIM(U560)="N/A",TRIM(U560)="Not started"),"N/A – RULE","INVALID – this check does not apply to this aircraft: clear the status (or correct the fleet on Flights)"),IF(TRIM(U560)="N/A",IF(AT560=0,"INVALID – N/A not permitted for this check",IF(AND(TRIM(AB560)&lt;&gt;"",TRIM(AB560)&lt;&gt;"Closed"),"INVALID – corrective action still open",IF(AND(NOT(OR(LEN(AZ560)&lt;15,ISNUMBER(MATCH(AZ560,L_Placeholder,0)))),BK560=0,CG560&gt;=8,NOT(OR(LEN(AU560)&lt;2,ISNUMBER(MATCH(AU560,L_Placeholder,0)))),BR560&gt;=3,NOT(OR(LEN(AX560)&lt;2,ISNUMBER(MATCH(AX560,L_Placeholder,0)))),BS560&gt;=3,TRIM(AE560)&lt;&gt;TRIM(T560),AX560&lt;&gt;AU560,CE560=0),"N/A – JUSTIFIED","INVALID – N/A needs a real, settled reason (not 'not applicable' / 'as above' / TBC), a named PIC and a different named verifier"))),IF(OR(TRIM(U560)="Pass",TRIM(U560)="Pass after CA"),IF(NOT(ISNUMBER(AD560)),"INVALID – completion time missing",IF(OR(OR(LEN(AU560)&lt;2,ISNUMBER(MATCH(AU560,L_Placeholder,0))),BR560&lt;3),"INVALID – PIC missing or not a named person (a role such as QA / CSM is not a name)",IF(OR(LEN(AV560)&lt;2,ISNUMBER(MATCH(AV560,L_Placeholder,0))),"INVALID – result / assessment missing",IF(OR(OR(LEN(AW560)&lt;3,ISNUMBER(MATCH(AW560,L_Placeholder,0))),SUMPRODUCT(--ISNUMBER(SEARCH(" "&amp;L_EvidencePhrase&amp;" ",BD560)))&gt;0,BI560=1),"INVALID – evidence missing, placeholder or not yet on file",IF(ISNA(MATCH(TRIM(S560),L_EvidenceType,0)),"INVALID – choose the evidence type from the list (column S)",IF(BL560=0,"INVALID – evidence ID must be the record's own ID only (e.g. SF-2210, IMG_2231, 1045521); a link / file name needs type 'Link / file path'",IF(OR(OR(LEN(AX560)&lt;2,ISNUMBER(MATCH(AX560,L_Placeholder,0))),BS560&lt;3),"INVALID – verifier missing or not a named person (a role such as QA / CSM is not a name)",IF(OR(AX560=AU560,CE560=1,AND(LEN(AU560)&gt;=4,ISNUMBER(SEARCH(AU560,AX560))),AND(LEN(AX560)&gt;=4,ISNUMBER(SEARCH(AX560,AU560)))),"INVALID – verifier must be a different, named person (not the PIC or a role)",IF(BH560=1,"INVALID – result not yet available (awaiting / TBC)",IF(BG560=1,"INVALID – result describes a problem: record Fail, then Pass after CA (or reword if it is not a problem)",IF(BV560=1,"INVALID – wording says not on board: an on-board confirmation needs the item loaded",IF(AND(AQ560=1,OR(OR(LEN(AY560)&lt;3,ISNUMBER(MATCH(AY560,L_Placeholder,0))),BJ560=1,BQ560=0)),"INVALID – batch ID missing, placeholder or not an ID (e.g. PASB-261008-BC-017)",IF(AND(AR560=1,OR(NOT(ISNUMBER(X560)),NOT(ISNUMBER(Y560)))),"INVALID – expected/actual qty missing",IF(AND(AR560=1,OR(X560&lt;=0,Y560&lt;0)),"INVALID – expected qty must be above 0 and actual not negative",IF(AH543="N/A – JUSTIFIED","INVALID – preparation row F17-T12-02 is N/A",IF(AND(AR560=1,ISNUMBER(X543),X560&lt;&gt;X543,TRIM(U560)&lt;&gt;"Pass after CA"),"INVALID – expected qty differs from preparation check F17-T12-02: record the load change as a corrective action (Pass after CA)",IF(BB560&lt;&gt;"",BB560,IF(AND(AS560=1,Documents!$J$21&lt;&gt;"ON FILE"),"INVALID – GLD not on file (Documents sheet)",IF(AND(AS560=2,Documents!$O$21&lt;&gt;"ON FILE"),"INVALID – menu checklist not on file (Documents sheet)",IF(AND(AS560=3,NOT(ISNUMBER(Flights!$AX$21))),"INVALID – enter carrying flight KUL departure (Flights AX)",IF(AND(AS560=3,OR(Flights!$AZ$21&gt;Flights!$AA$21,Flights!$AX$21&lt;Flights!$AA$21-3)),"INVALID – carrying flight (Flights AX) cannot arrive before this leg's STD, or is over 3 days early",IF(AG560&gt;AsOfUTC,"INVALID – completion time is in the future",IF(AND(ISNUMBER(BY560),AG560&lt;BY560),IF(H560="Physical uplift","INVALID – before uplift window (cannot confirm loading)","INVALID – before valid window"),IF(AG560&gt;Flights!$AA$21,"INVALID – completed after departure (cannot establish readiness)",IF(AND(H560="Preparation",AG560&gt;=IF(ISNUMBER(Flights!$BA$21),MIN(Flights!$BA$21,Flights!$AA$21),Flights!$AA$21)),"INVALID – completed after loading / departure (cannot establish readiness)",IF(AND(H560="Physical uplift",AG560&gt;Q560),"INVALID – recorded after the loading flight departed",IF(AG560&gt;Q560,"COMPLETE – LATE","COMPLETE"))))))))))))))))))))))))))),IF(TRIM(U560)="Fail","FAIL – DISCREPANCY",IF(AND(TRIM(U560)&lt;&gt;"",TRIM(U560)&lt;&gt;"Not started",TRIM(U560)&lt;&gt;"In progress"),"INVALID – unrecognised status (use the list)",IF(AsOfUTC&gt;Q560,"OVERDUE",IF(N560="Clarification required","OPEN – CLARIFICATION","OPEN"))))))),"INVALID – error value in an input cell")</f>
        <v>OPEN</v>
      </c>
      <c r="AI560" s="61" t="n">
        <f aca="false">IF(OR(AH560="N/A – RULE",AH560="N/A – JUSTIFIED"),0,1)</f>
        <v>1</v>
      </c>
      <c r="AJ560" s="61" t="n">
        <f aca="false">IF(LEFT(AH560,8)="COMPLETE",1,0)</f>
        <v>0</v>
      </c>
      <c r="AK560" s="61" t="n">
        <f aca="false">IF(AND(AI560=1,AJ560=0,AsOfUTC&gt;Q560),1,0)</f>
        <v>0</v>
      </c>
      <c r="AL560" s="61" t="n">
        <f aca="false">IFERROR(IF(AND(AI560=1,OR(TRIM(U560)="Fail",AND(TRIM(AB560)&lt;&gt;"",TRIM(AB560)&lt;&gt;"Closed"),AND(ISNUMBER(AF560),AF560&lt;&gt;0,TRIM(U560)&lt;&gt;"Pass after CA"))),1,0),1)</f>
        <v>0</v>
      </c>
      <c r="AM560" s="61" t="n">
        <f aca="false">IF(LEFT(AH560,7)="INVALID",1,0)</f>
        <v>0</v>
      </c>
      <c r="AN560" s="61" t="n">
        <f aca="false">IF(AND(N560="Clarification required",AI560=1,AJ560=0),1,0)</f>
        <v>0</v>
      </c>
      <c r="AO560" s="61" t="str">
        <f aca="false">IF(AK560=1,SUM(AK$5:AK560),"")</f>
        <v/>
      </c>
      <c r="AP560" s="61" t="str">
        <f aca="false">IF(AL560=1,SUM(AL$5:AL560),"")</f>
        <v/>
      </c>
      <c r="AQ560" s="61" t="n">
        <v>0</v>
      </c>
      <c r="AR560" s="61" t="n">
        <v>1</v>
      </c>
      <c r="AS560" s="61" t="n">
        <v>0</v>
      </c>
      <c r="AT560" s="61" t="n">
        <v>0</v>
      </c>
      <c r="AU560" s="61" t="str">
        <f aca="false">SUBSTITUTE(SUBSTITUTE(SUBSTITUTE(SUBSTITUTE(SUBSTITUTE(SUBSTITUTE(SUBSTITUTE(SUBSTITUTE(SUBSTITUTE(SUBSTITUTE(SUBSTITUTE(SUBSTITUTE(SUBSTITUTE(SUBSTITUTE(SUBSTITUTE(SUBSTITUTE(LOWER(T560&amp;""),CHAR(10),""),CHAR(13),""),CHAR(9),""),CHAR(160),"")," ",""),".",""),"-",""),"/",""),"?",""),"_",""),",",""),"[",""),"]",""),"(",""),")",""),"*","")</f>
        <v/>
      </c>
      <c r="AV560" s="61" t="str">
        <f aca="false">SUBSTITUTE(SUBSTITUTE(SUBSTITUTE(SUBSTITUTE(SUBSTITUTE(SUBSTITUTE(SUBSTITUTE(SUBSTITUTE(SUBSTITUTE(SUBSTITUTE(SUBSTITUTE(SUBSTITUTE(SUBSTITUTE(SUBSTITUTE(SUBSTITUTE(SUBSTITUTE(LOWER(V560&amp;""),CHAR(10),""),CHAR(13),""),CHAR(9),""),CHAR(160),"")," ",""),".",""),"-",""),"/",""),"?",""),"_",""),",",""),"[",""),"]",""),"(",""),")",""),"*","")</f>
        <v/>
      </c>
      <c r="AW560" s="61" t="str">
        <f aca="false">SUBSTITUTE(SUBSTITUTE(SUBSTITUTE(SUBSTITUTE(SUBSTITUTE(SUBSTITUTE(SUBSTITUTE(SUBSTITUTE(SUBSTITUTE(SUBSTITUTE(SUBSTITUTE(SUBSTITUTE(SUBSTITUTE(SUBSTITUTE(SUBSTITUTE(SUBSTITUTE(LOWER(Z560&amp;""),CHAR(10),""),CHAR(13),""),CHAR(9),""),CHAR(160),"")," ",""),".",""),"-",""),"/",""),"?",""),"_",""),",",""),"[",""),"]",""),"(",""),")",""),"*","")</f>
        <v/>
      </c>
      <c r="AX560" s="61" t="str">
        <f aca="false">SUBSTITUTE(SUBSTITUTE(SUBSTITUTE(SUBSTITUTE(SUBSTITUTE(SUBSTITUTE(SUBSTITUTE(SUBSTITUTE(SUBSTITUTE(SUBSTITUTE(SUBSTITUTE(SUBSTITUTE(SUBSTITUTE(SUBSTITUTE(SUBSTITUTE(SUBSTITUTE(LOWER(AE560&amp;""),CHAR(10),""),CHAR(13),""),CHAR(9),""),CHAR(160),"")," ",""),".",""),"-",""),"/",""),"?",""),"_",""),",",""),"[",""),"]",""),"(",""),")",""),"*","")</f>
        <v/>
      </c>
      <c r="AY560" s="61" t="str">
        <f aca="false">SUBSTITUTE(SUBSTITUTE(SUBSTITUTE(SUBSTITUTE(SUBSTITUTE(SUBSTITUTE(SUBSTITUTE(SUBSTITUTE(SUBSTITUTE(SUBSTITUTE(SUBSTITUTE(SUBSTITUTE(SUBSTITUTE(SUBSTITUTE(SUBSTITUTE(SUBSTITUTE(LOWER(W560&amp;""),CHAR(10),""),CHAR(13),""),CHAR(9),""),CHAR(160),"")," ",""),".",""),"-",""),"/",""),"?",""),"_",""),",",""),"[",""),"]",""),"(",""),")",""),"*","")</f>
        <v/>
      </c>
      <c r="AZ560" s="61" t="str">
        <f aca="false">SUBSTITUTE(SUBSTITUTE(SUBSTITUTE(SUBSTITUTE(SUBSTITUTE(SUBSTITUTE(SUBSTITUTE(SUBSTITUTE(SUBSTITUTE(SUBSTITUTE(SUBSTITUTE(SUBSTITUTE(SUBSTITUTE(SUBSTITUTE(SUBSTITUTE(SUBSTITUTE(LOWER(AC560&amp;""),CHAR(10),""),CHAR(13),""),CHAR(9),""),CHAR(160),"")," ",""),".",""),"-",""),"/",""),"?",""),"_",""),",",""),"[",""),"]",""),"(",""),")",""),"*","")</f>
        <v/>
      </c>
      <c r="BA560" s="61" t="str">
        <f aca="false">SUBSTITUTE(SUBSTITUTE(SUBSTITUTE(SUBSTITUTE(SUBSTITUTE(SUBSTITUTE(SUBSTITUTE(SUBSTITUTE(SUBSTITUTE(SUBSTITUTE(SUBSTITUTE(SUBSTITUTE(SUBSTITUTE(SUBSTITUTE(SUBSTITUTE(SUBSTITUTE(LOWER(AA560&amp;""),CHAR(10),""),CHAR(13),""),CHAR(9),""),CHAR(160),"")," ",""),".",""),"-",""),"/",""),"?",""),"_",""),",",""),"[",""),"]",""),"(",""),")",""),"*","")</f>
        <v/>
      </c>
      <c r="BB560" s="61" t="str">
        <f aca="false">IF(AND(TRIM(U560)="Pass",ISNUMBER(AF560)),IF(AF560&lt;&gt;0,"INVALID – qty variance: use Fail or Pass after CA",""),"")&amp;IF(AND(TRIM(U560)="Pass after CA",ISNUMBER(AF560)),IF(AF560&lt;&gt;0,"INVALID – after the corrective action the actual qty must equal expected (update Actual)",""),"")&amp;IF(AND(TRIM(U560)="Pass",TRIM(AB560)&lt;&gt;"",TRIM(AB560)&lt;&gt;"Closed"),"INVALID – corrective action not closed: use Fail, then Pass after CA","")&amp;IF(AND(LEN(BA560)&gt;=2,ISNA(MATCH(LEFT(BA560,255),L_Placeholder,0)),TRIM(AB560)=""),"INVALID – CA status missing for the recorded corrective action","")&amp;IF(AND(TRIM(U560)="Pass after CA",OR(OR(LEN(BA560)&lt;5,ISNUMBER(MATCH(BA560,L_Placeholder,0))),TRIM(AB560)&lt;&gt;"Closed")),"INVALID – corrective action not recorded/closed","")</f>
        <v/>
      </c>
      <c r="BC560" s="61" t="str">
        <f aca="false">" "&amp;TRIM(SUBSTITUTE(SUBSTITUTE(SUBSTITUTE(SUBSTITUTE(SUBSTITUTE(SUBSTITUTE(SUBSTITUTE(SUBSTITUTE(SUBSTITUTE(SUBSTITUTE(SUBSTITUTE(SUBSTITUTE(SUBSTITUTE(SUBSTITUTE(SUBSTITUTE(SUBSTITUTE(SUBSTITUTE(SUBSTITUTE(SUBSTITUTE(SUBSTITUTE(SUBSTITUTE(SUBSTITUTE(SUBSTITUTE(SUBSTITUTE(LOWER(V560&amp;""),CHAR(10)," "),CHAR(13)," "),CHAR(9)," "),CHAR(160)," "),"."," "),","," "),"-"," "),"/"," "),"("," "),")"," "),":"," "),";"," "),"_"," "),"–"," "),"?"," "),"!"," "),"*"," "),"["," "),"]"," "),"'"," "),"#"," "),"+"," "),"&amp;"," "),"\"," "))&amp;" "</f>
        <v>  </v>
      </c>
      <c r="BD560" s="61" t="str">
        <f aca="false">" "&amp;TRIM(SUBSTITUTE(SUBSTITUTE(SUBSTITUTE(SUBSTITUTE(SUBSTITUTE(SUBSTITUTE(SUBSTITUTE(SUBSTITUTE(SUBSTITUTE(SUBSTITUTE(SUBSTITUTE(SUBSTITUTE(SUBSTITUTE(SUBSTITUTE(SUBSTITUTE(SUBSTITUTE(SUBSTITUTE(SUBSTITUTE(SUBSTITUTE(SUBSTITUTE(SUBSTITUTE(SUBSTITUTE(SUBSTITUTE(SUBSTITUTE(LOWER(Z560&amp;""),CHAR(10)," "),CHAR(13)," "),CHAR(9)," "),CHAR(160)," "),"."," "),","," "),"-"," "),"/"," "),"("," "),")"," "),":"," "),";"," "),"_"," "),"–"," "),"?"," "),"!"," "),"*"," "),"["," "),"]"," "),"'"," "),"#"," "),"+"," "),"&amp;"," "),"\"," "))&amp;" "</f>
        <v>  </v>
      </c>
      <c r="BE560" s="61" t="str">
        <f aca="false">" "&amp;TRIM(SUBSTITUTE(SUBSTITUTE(SUBSTITUTE(SUBSTITUTE(SUBSTITUTE(SUBSTITUTE(SUBSTITUTE(SUBSTITUTE(SUBSTITUTE(SUBSTITUTE(SUBSTITUTE(SUBSTITUTE(SUBSTITUTE(SUBSTITUTE(SUBSTITUTE(SUBSTITUTE(SUBSTITUTE(SUBSTITUTE(SUBSTITUTE(SUBSTITUTE(SUBSTITUTE(SUBSTITUTE(SUBSTITUTE(SUBSTITUTE(LOWER(W560&amp;""),CHAR(10)," "),CHAR(13)," "),CHAR(9)," "),CHAR(160)," "),"."," "),","," "),"-"," "),"/"," "),"("," "),")"," "),":"," "),";"," "),"_"," "),"–"," "),"?"," "),"!"," "),"*"," "),"["," "),"]"," "),"'"," "),"#"," "),"+"," "),"&amp;"," "),"\"," "))&amp;" "</f>
        <v>  </v>
      </c>
      <c r="BF560" s="61" t="str">
        <f aca="false">" "&amp;TRIM(SUBSTITUTE(SUBSTITUTE(SUBSTITUTE(SUBSTITUTE(SUBSTITUTE(SUBSTITUTE(SUBSTITUTE(SUBSTITUTE(SUBSTITUTE(SUBSTITUTE(SUBSTITUTE(SUBSTITUTE(SUBSTITUTE(SUBSTITUTE(SUBSTITUTE(SUBSTITUTE(SUBSTITUTE(SUBSTITUTE(SUBSTITUTE(SUBSTITUTE(SUBSTITUTE(SUBSTITUTE(SUBSTITUTE(SUBSTITUTE(LOWER(AC560&amp;""),CHAR(10)," "),CHAR(13)," "),CHAR(9)," "),CHAR(160)," "),"."," "),","," "),"-"," "),"/"," "),"("," "),")"," "),":"," "),";"," "),"_"," "),"–"," "),"?"," "),"!"," "),"*"," "),"["," "),"]"," "),"'"," "),"#"," "),"+"," "),"&amp;"," "),"\"," "))&amp;" "</f>
        <v>  </v>
      </c>
      <c r="BG560" s="61" t="n">
        <f aca="false">IFERROR(IF(AND(TRIM(U560)="Pass",SUMPRODUCT((LEN(BC560)-LEN(SUBSTITUTE(BC560," "&amp;L_ResultBad&amp;" "," ")))/(LEN(L_ResultBad)+1))&gt;SUMPRODUCT((LEN(BC560)-LEN(SUBSTITUTE(BC560," "&amp;L_NegPhrase&amp;" "," ")))/(LEN(L_NegPhrase)+1))),1,0),0)</f>
        <v>0</v>
      </c>
      <c r="BH560" s="61" t="n">
        <f aca="false">IFERROR(IF(SUMPRODUCT((LEN(BC560)-LEN(SUBSTITUTE(BC560," "&amp;L_Pending&amp;" "," ")))/(LEN(L_Pending)+1))&gt;SUMPRODUCT((LEN(BC560)-LEN(SUBSTITUTE(BC560," "&amp;L_PendNeg&amp;" "," ")))/(LEN(L_PendNeg)+1)),1,0),1)</f>
        <v>0</v>
      </c>
      <c r="BI560" s="61" t="n">
        <f aca="false">IFERROR(IF(SUMPRODUCT((LEN(BD560)-LEN(SUBSTITUTE(BD560," "&amp;L_PendStrict&amp;" "," ")))/(LEN(L_PendStrict)+1))&gt;SUMPRODUCT((LEN(BD560)-LEN(SUBSTITUTE(BD560," "&amp;L_PendNeg&amp;" "," ")))/(LEN(L_PendNeg)+1)),1,0),1)</f>
        <v>0</v>
      </c>
      <c r="BJ560" s="61" t="n">
        <f aca="false">IFERROR(IF(SUMPRODUCT((LEN(BE560)-LEN(SUBSTITUTE(BE560," "&amp;L_Pending&amp;" "," ")))/(LEN(L_Pending)+1))&gt;SUMPRODUCT((LEN(BE560)-LEN(SUBSTITUTE(BE560," "&amp;L_PendNeg&amp;" "," ")))/(LEN(L_PendNeg)+1)),1,0),1)</f>
        <v>0</v>
      </c>
      <c r="BK560" s="61" t="n">
        <f aca="false">IFERROR(IF(SUMPRODUCT((LEN(BF560)-LEN(SUBSTITUTE(BF560," "&amp;L_PendStrict&amp;" "," ")))/(LEN(L_PendStrict)+1))&gt;SUMPRODUCT((LEN(BF560)-LEN(SUBSTITUTE(BF560," "&amp;L_PendNeg&amp;" "," ")))/(LEN(L_PendNeg)+1)),1,0),1)</f>
        <v>0</v>
      </c>
      <c r="BL560" s="61" t="n">
        <f aca="false">IF(ISNA(MATCH(TRIM(S560),L_EvidenceType,0)),0,BZ560)</f>
        <v>0</v>
      </c>
      <c r="BM560" s="61" t="str">
        <f aca="false">SUBSTITUTE(SUBSTITUTE(SUBSTITUTE(SUBSTITUTE(SUBSTITUTE(SUBSTITUTE(SUBSTITUTE(SUBSTITUTE(SUBSTITUTE(LOWER(Z560&amp;""),"1","0"),"2","0"),"3","0"),"4","0"),"5","0"),"6","0"),"7","0"),"8","0"),"9","0")</f>
        <v/>
      </c>
      <c r="BN560" s="61" t="str">
        <f aca="false">SUBSTITUTE(SUBSTITUTE(SUBSTITUTE(SUBSTITUTE(SUBSTITUTE(SUBSTITUTE(SUBSTITUTE(SUBSTITUTE(SUBSTITUTE(SUBSTITUTE(SUBSTITUTE(SUBSTITUTE(SUBSTITUTE(SUBSTITUTE(SUBSTITUTE(SUBSTITUTE(SUBSTITUTE(SUBSTITUTE(SUBSTITUTE(SUBSTITUTE(SUBSTITUTE(SUBSTITUTE(SUBSTITUTE(SUBSTITUTE(SUBSTITUTE(BM560,"b","a"),"c","a"),"d","a"),"e","a"),"f","a"),"g","a"),"h","a"),"i","a"),"j","a"),"k","a"),"l","a"),"m","a"),"n","a"),"o","a"),"p","a"),"q","a"),"r","a"),"s","a"),"t","a"),"u","a"),"v","a"),"w","a"),"x","a"),"y","a"),"z","a")</f>
        <v/>
      </c>
      <c r="BO560" s="61" t="str">
        <f aca="false">SUBSTITUTE(SUBSTITUTE(SUBSTITUTE(SUBSTITUTE(SUBSTITUTE(SUBSTITUTE(SUBSTITUTE(SUBSTITUTE(SUBSTITUTE(LOWER(W560&amp;""),"1","0"),"2","0"),"3","0"),"4","0"),"5","0"),"6","0"),"7","0"),"8","0"),"9","0")</f>
        <v/>
      </c>
      <c r="BP560" s="61" t="str">
        <f aca="false">SUBSTITUTE(SUBSTITUTE(SUBSTITUTE(SUBSTITUTE(SUBSTITUTE(SUBSTITUTE(SUBSTITUTE(SUBSTITUTE(SUBSTITUTE(SUBSTITUTE(SUBSTITUTE(SUBSTITUTE(SUBSTITUTE(SUBSTITUTE(SUBSTITUTE(SUBSTITUTE(SUBSTITUTE(SUBSTITUTE(SUBSTITUTE(SUBSTITUTE(SUBSTITUTE(SUBSTITUTE(SUBSTITUTE(SUBSTITUTE(SUBSTITUTE(BO560,"b","a"),"c","a"),"d","a"),"e","a"),"f","a"),"g","a"),"h","a"),"i","a"),"j","a"),"k","a"),"l","a"),"m","a"),"n","a"),"o","a"),"p","a"),"q","a"),"r","a"),"s","a"),"t","a"),"u","a"),"v","a"),"w","a"),"x","a"),"y","a"),"z","a")</f>
        <v/>
      </c>
      <c r="BQ560" s="61" t="n">
        <f aca="false">IFERROR(IF(AND(ISERROR(SEARCH(" mh"," "&amp;LOWER(W560))),ISNA(MATCH(LEFT(TRIM(BP560),255),{"0000a","000a","00a","0000aa","000aa","00aa","0aa","0000aaa","000aaa","00a00","0a00","0000-0000","00:00","a00","a0","00.00.0000","00/00/0000","00-00-0000","0000-00-00","0000/00/00","0000.00.00","00.00.00","00/00/00","00-00-00","0.00.0000","0/00/0000","0-00-0000"},0)),ISNA(MATCH(LEFT(TRIM(CA560),255),{"0000a","000a","00a","0000aa","000aa","00aa","0aa","0000aaa","000aaa","00a00","0a00","0000-0000","00:00","a00","a0","00.00.0000","00/00/0000","00-00-0000","0000-00-00","0000/00/00","0000.00.00","00.00.00","00/00/00","00-00-00","0.00.0000","0/00/0000","0-00-0000"},0)),LEN(CB560)&gt;=3,NOT(OR(SUBSTITUTE(CB560,"0","")="",AND(LEN(CB560)&gt;=4,CB560=REPT(LEFT(CB560),LEN(CB560))),ISNUMBER(MATCH(CB560,{"123","1234","12345","123456","1234567","12345678","0123","01234","012345","98765","987654","54321"},0)),AND(LEN(CB560)=8,LEFT(CB560,3)="202"))),OR(AND((LEN(CA560)-LEN(SUBSTITUTE(CA560,"a","")))&gt;=1,SUMPRODUCT(--ISNUMBER(SEARCH({"a0","a-0","a_0","a/0","a.0","a#0","0a","0-a","0_a","0/a"},BP560)))&gt;0),ISNUMBER(SEARCH("000000",BP560)))),1,0),0)</f>
        <v>0</v>
      </c>
      <c r="BR560" s="61" t="n">
        <f aca="false">IFERROR(LEN(SUBSTITUTE(CC560," ",""))-SUMPRODUCT((LEN(CC560)-LEN(SUBSTITUTE(CC560," "&amp;L_Role&amp;" "," ")))/(LEN(L_Role)+1)*LEN(L_Role)),0)</f>
        <v>0</v>
      </c>
      <c r="BS560" s="61" t="n">
        <f aca="false">IFERROR(LEN(SUBSTITUTE(CD560," ",""))-SUMPRODUCT((LEN(CD560)-LEN(SUBSTITUTE(CD560," "&amp;L_Role&amp;" "," ")))/(LEN(L_Role)+1)*LEN(L_Role)),0)</f>
        <v>0</v>
      </c>
      <c r="BT5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560,"revision",""),"version",""),"jan",""),"feb",""),"mar",""),"apr",""),"may",""),"jun",""),"jul",""),"aug",""),"sep",""),"oct",""),"nov",""),"dec",""),"utc",""),"gmt",""),"myt",""),"bst",""),"rev",""),"ver",""),"b","a"),"c","a"),"d","a"),"e","a"),"f","a"),"g","a"),"h","a"),"i","a"),"j","a"),"k","a"),"l","a"),"m","a"),"n","a"),"o","a"),"p","a"),"q","a"),"r","a"),"s","a"),"t","a"),"u","a"),"v","a"),"w","a"),"x","a"),"y","a"),"z","a")</f>
        <v/>
      </c>
      <c r="BU560" s="61" t="str">
        <f aca="false">SUBSTITUTE(SUBSTITUTE(SUBSTITUTE(SUBSTITUTE(SUBSTITUTE(SUBSTITUTE(SUBSTITUTE(SUBSTITUTE(SUBSTITUTE(SUBSTITUTE(LEFT(BM560,FIND("0",BM560&amp;"0")-1),"-",""),"_",""),"/",""),".",""),"#",""),"\\",""),":","")," ",""),"(",""),")","")</f>
        <v/>
      </c>
      <c r="BV560" s="61" t="n">
        <f aca="false">IFERROR(IF(OR(SUMPRODUCT((LEN(BC560)-LEN(SUBSTITUTE(BC560," "&amp;L_NotLoaded&amp;" "," ")))/(LEN(L_NotLoaded)+1))&gt;SUMPRODUCT((LEN(BC560)-LEN(SUBSTITUTE(BC560," "&amp;L_NotLoadedNeg&amp;" "," ")))/(LEN(L_NotLoadedNeg)+1)),SUMPRODUCT((LEN(BD560)-LEN(SUBSTITUTE(BD560," "&amp;L_NotLoaded&amp;" "," ")))/(LEN(L_NotLoaded)+1))&gt;SUMPRODUCT((LEN(BD560)-LEN(SUBSTITUTE(BD560," "&amp;L_NotLoadedNeg&amp;" "," ")))/(LEN(L_NotLoadedNeg)+1))),1,0),0)</f>
        <v>0</v>
      </c>
      <c r="BW5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560&amp;""),"a",""),"b",""),"c",""),"d",""),"e",""),"f",""),"g",""),"h",""),"i",""),"j",""),"k",""),"l",""),"m",""),"n",""),"o",""),"p",""),"q",""),"r",""),"s",""),"t",""),"u",""),"v",""),"w",""),"x",""),"y",""),"z",""),"-",""),"_",""),"/",""),".",""),"#",""),"\\",""),":","")," ",""),"(",""),")","")</f>
        <v/>
      </c>
      <c r="BX560" s="61" t="str">
        <f aca="false">SUBSTITUTE(SUBSTITUTE(SUBSTITUTE(SUBSTITUTE(SUBSTITUTE(SUBSTITUTE(SUBSTITUTE(SUBSTITUTE(SUBSTITUTE(SUBSTITUTE(SUBSTITUTE(BM560,"0",""),"-",""),"_",""),"/",""),".",""),"#",""),"\\",""),":","")," ",""),"(",""),")","")</f>
        <v/>
      </c>
      <c r="BY560" s="62" t="n">
        <f aca="false">IF(ISNUMBER(Flights!$AZ$21),MAX(Q560-UpliftWindowH/24,Flights!$AZ$21),Q560-UpliftWindowH/24)</f>
        <v>46322.0347222222</v>
      </c>
      <c r="BZ560" s="61" t="n">
        <f aca="false">IFERROR(IF(IF(TRIM(S560)="Link / file path",AND(LEN(TRIM(Z560))&gt;=5,SUMPRODUCT(--ISNUMBER(SEARCH({"http","www.","\\",":\",".pdf",".jpg",".jpeg",".png",".heic",".xls",".doc",".msg",".eml",".ppt",".txt",".zip"},Z560)))&gt;0),AND(ISERROR(FIND(" ",TRIM(Z560))),NOT(OR(SUMPRODUCT(--ISNUMBER(FIND({",",";","&amp;","+"},Z560)))&gt;0,SUMPRODUCT(--ISNUMBER(SEARCH({"0/aa","0\\aa"},BN560)))&gt;0)),NOT(SUMPRODUCT(--ISNUMBER(SEARCH({"http","www.","\\",":\",".pdf",".jpg",".jpeg",".png",".heic",".xls",".doc",".msg",".eml",".ppt",".txt",".zip"},Z560)))&gt;0),NOT(LOWER(TRIM(Z560))=LOWER(Flights!$F$21)),ISNA(MATCH(BU560,{"mh","rev","revision","ver","version","v","r","a","b","seat","tray","row","gate","bay","stand","page","pg","item","line","no","cart","galley","flight","flt","table","box","bag","oven","etd","eta","std","sta","atd","ata","qty","pax","x","time","tel","ph","mob","day","wk","week","utc","gmt","myt","lt"},0)),NOT(OR(ISNUMBER(MATCH(LEFT(BN560,255),{"0000a","000a","00a","0000aa","000aa","00aa","0aa","0000aaa","000aaa","00a00","0a00","0000-0000","00:00","a00","a0","00.00.0000","00/00/0000","00-00-0000","0000-00-00","0000/00/00","0000.00.00","00.00.00","00/00/00","00-00-00","0.00.0000","0/00/0000","0-00-0000"},0)),ISNUMBER(MATCH(LEFT(BT560,255),{"0000a","000a","00a","0000aa","000aa","00aa","0aa","0000aaa","000aaa","00a00","0a00","0000-0000","00:00","a00","a0","00.00.0000","00/00/0000","00-00-0000","0000-00-00","0000/00/00","0000.00.00","00.00.00","00/00/00","00-00-00","0.00.0000","0/00/0000","0-00-0000"},0)))),NOT(OR(AND(BW560&lt;&gt;"",SUBSTITUTE(BW560,"0","")=""),AND(LEN(BW560)&gt;=4,BW560=REPT(LEFT(BW560),LEN(BW560))),ISNUMBER(MATCH(BW560,{"123","1234","12345","123456","1234567","12345678","0123","01234","012345","98765","987654","54321"},0)),ISNUMBER(MATCH(BX560,{"x","xx","xxx","xxxx","xxxxx","abc","abcd","nil","na","nan","test","tbc","tba","tbd","dummy","sample","example","eg","zz","zzz","none","null","xyz","qwe","asd","id","ref"},0)),AND(LEN(BW560)=8,BX560="",OR(LEFT(BW560,3)="202",ISNUMBER(MATCH(RIGHT(BW560,4),{"2025","2026","2027"},0)))))),OR(AND((LEN(BT560)-LEN(SUBSTITUTE(BT560,"a","")))&gt;=1,(LEN(BN560)-LEN(SUBSTITUTE(BN560,"0","")))&gt;=2,SUMPRODUCT(--ISNUMBER(SEARCH({"a0","a-0","a_0","a/0","a.0","a#0","0a","0-a","0_a","0/a"},BN560)))&gt;0),AND((LEN(BN560)-LEN(SUBSTITUTE(BN560,"a","")))=0,(LEN(BN560)-LEN(SUBSTITUTE(BN560,"0","")))&gt;=5)))),1,0),0)</f>
        <v>0</v>
      </c>
      <c r="CA5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560,"revision",""),"version",""),"jan",""),"feb",""),"mar",""),"apr",""),"may",""),"jun",""),"jul",""),"aug",""),"sep",""),"oct",""),"nov",""),"dec",""),"utc",""),"gmt",""),"myt",""),"bst",""),"rev",""),"ver",""),"b","a"),"c","a"),"d","a"),"e","a"),"f","a"),"g","a"),"h","a"),"i","a"),"j","a"),"k","a"),"l","a"),"m","a"),"n","a"),"o","a"),"p","a"),"q","a"),"r","a"),"s","a"),"t","a"),"u","a"),"v","a"),"w","a"),"x","a"),"y","a"),"z","a")</f>
        <v/>
      </c>
      <c r="CB5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560&amp;""),"a",""),"b",""),"c",""),"d",""),"e",""),"f",""),"g",""),"h",""),"i",""),"j",""),"k",""),"l",""),"m",""),"n",""),"o",""),"p",""),"q",""),"r",""),"s",""),"t",""),"u",""),"v",""),"w",""),"x",""),"y",""),"z",""),"-",""),"_",""),"/",""),".",""),"#",""),"\\",""),":","")," ",""),"(",""),")","")</f>
        <v/>
      </c>
      <c r="CC560" s="0" t="str">
        <f aca="false">" "&amp;TRIM(SUBSTITUTE(SUBSTITUTE(SUBSTITUTE(SUBSTITUTE(SUBSTITUTE(SUBSTITUTE(SUBSTITUTE(SUBSTITUTE(SUBSTITUTE(SUBSTITUTE(SUBSTITUTE(SUBSTITUTE(SUBSTITUTE(SUBSTITUTE(SUBSTITUTE(SUBSTITUTE(SUBSTITUTE(SUBSTITUTE(SUBSTITUTE(SUBSTITUTE(SUBSTITUTE(SUBSTITUTE(SUBSTITUTE(SUBSTITUTE(LOWER(T560&amp;""),CHAR(10)," "),CHAR(13)," "),CHAR(9)," "),CHAR(160)," "),"."," "),","," "),"-"," "),"/"," "),"("," "),")"," "),":"," "),";"," "),"_"," "),"–"," "),"?"," "),"!"," "),"*"," "),"["," "),"]"," "),"'"," "),"#"," "),"+"," "),"&amp;"," "),"\"," "))&amp;" "</f>
        <v>  </v>
      </c>
      <c r="CD560" s="0" t="str">
        <f aca="false">" "&amp;TRIM(SUBSTITUTE(SUBSTITUTE(SUBSTITUTE(SUBSTITUTE(SUBSTITUTE(SUBSTITUTE(SUBSTITUTE(SUBSTITUTE(SUBSTITUTE(SUBSTITUTE(SUBSTITUTE(SUBSTITUTE(SUBSTITUTE(SUBSTITUTE(SUBSTITUTE(SUBSTITUTE(SUBSTITUTE(SUBSTITUTE(SUBSTITUTE(SUBSTITUTE(SUBSTITUTE(SUBSTITUTE(SUBSTITUTE(SUBSTITUTE(LOWER(AE560&amp;""),CHAR(10)," "),CHAR(13)," "),CHAR(9)," "),CHAR(160)," "),"."," "),","," "),"-"," "),"/"," "),"("," "),")"," "),":"," "),";"," "),"_"," "),"–"," "),"?"," "),"!"," "),"*"," "),"["," "),"]"," "),"'"," "),"#"," "),"+"," "),"&amp;"," "),"\"," "))&amp;" "</f>
        <v>  </v>
      </c>
      <c r="CE560" s="68" t="n">
        <f aca="false">IFERROR(IF(AND(LEN(AU560)&gt;0,LEN(AU560)=LEN(AX560),OR(TRIM(MID(SUBSTITUTE(TRIM(CC560)," ",REPT(" ",60)),1,60))="",ISNUMBER(SEARCH(" "&amp;TRIM(MID(SUBSTITUTE(TRIM(CC560)," ",REPT(" ",60)),1,60))&amp;" ",CD560))),OR(TRIM(MID(SUBSTITUTE(TRIM(CC560)," ",REPT(" ",60)),61,60))="",ISNUMBER(SEARCH(" "&amp;TRIM(MID(SUBSTITUTE(TRIM(CC560)," ",REPT(" ",60)),61,60))&amp;" ",CD560))),OR(TRIM(MID(SUBSTITUTE(TRIM(CC560)," ",REPT(" ",60)),121,60))="",ISNUMBER(SEARCH(" "&amp;TRIM(MID(SUBSTITUTE(TRIM(CC560)," ",REPT(" ",60)),121,60))&amp;" ",CD560)))),1,0),0)</f>
        <v>0</v>
      </c>
      <c r="CG560" s="68" t="n">
        <f aca="false">IFERROR(LEN(SUBSTITUTE(BF560," ",""))-SUMPRODUCT((LEN(BF560)-LEN(SUBSTITUTE(BF560," "&amp;L_NAFiller&amp;" "," ")))/(LEN(L_NAFiller)+1)*LEN(L_NAFiller)),0)</f>
        <v>0</v>
      </c>
    </row>
    <row r="561" customFormat="false" ht="39.75" hidden="false" customHeight="true" outlineLevel="0" collapsed="false">
      <c r="A561" s="57" t="s">
        <v>1248</v>
      </c>
      <c r="B561" s="57" t="s">
        <v>290</v>
      </c>
      <c r="C561" s="57" t="str">
        <f aca="false">Flights!$F$21</f>
        <v>MH0073</v>
      </c>
      <c r="D561" s="58" t="n">
        <f aca="false">Flights!$D$21</f>
        <v>46322</v>
      </c>
      <c r="E561" s="57" t="str">
        <f aca="false">Flights!$G$21&amp;"-"&amp;Flights!$H$21</f>
        <v>HKG-KUL</v>
      </c>
      <c r="F561" s="57" t="str">
        <f aca="false">Flights!$K$21</f>
        <v>BC</v>
      </c>
      <c r="G561" s="57" t="s">
        <v>459</v>
      </c>
      <c r="H561" s="57" t="s">
        <v>460</v>
      </c>
      <c r="I561" s="57" t="s">
        <v>428</v>
      </c>
      <c r="J561" s="57" t="s">
        <v>465</v>
      </c>
      <c r="K561" s="67" t="s">
        <v>426</v>
      </c>
      <c r="L561" s="67" t="s">
        <v>462</v>
      </c>
      <c r="M561" s="67"/>
      <c r="N561" s="67" t="s">
        <v>383</v>
      </c>
      <c r="O561" s="67" t="s">
        <v>463</v>
      </c>
      <c r="P561" s="57" t="s">
        <v>282</v>
      </c>
      <c r="Q561" s="59" t="n">
        <f aca="false">ROUND((Flights!$AF$21)*1440,0)/1440</f>
        <v>46322.2847222222</v>
      </c>
      <c r="R561" s="59" t="n">
        <f aca="false">Q561+(IF(AND(INDEX(TZ_DSTS,MATCH(P561,TZ_STN,0))&lt;&gt;"",Q561&gt;=INDEX(TZ_DSTS,MATCH(P561,TZ_STN,0)),Q561&lt;INDEX(TZ_DSTE,MATCH(P561,TZ_STN,0))),INDEX(TZ_DST,MATCH(P561,TZ_STN,0)),INDEX(TZ_STD,MATCH(P561,TZ_STN,0))))/24</f>
        <v>46322.6180555556</v>
      </c>
      <c r="S561" s="60"/>
      <c r="T561" s="60"/>
      <c r="U561" s="60"/>
      <c r="V561" s="60"/>
      <c r="W561" s="61"/>
      <c r="X561" s="60"/>
      <c r="Y561" s="60"/>
      <c r="Z561" s="60"/>
      <c r="AA561" s="60"/>
      <c r="AB561" s="60"/>
      <c r="AC561" s="60"/>
      <c r="AD561" s="66"/>
      <c r="AE561" s="60"/>
      <c r="AF561" s="61" t="str">
        <f aca="false">IF(AND(ISNUMBER(X561),ISNUMBER(Y561)),Y561-X561,"")</f>
        <v/>
      </c>
      <c r="AG561" s="62" t="str">
        <f aca="false">IF(ISNUMBER(AD561),AD561-(IF(AND(INDEX(TZ_DSTS,MATCH(P561,TZ_STN,0))&lt;&gt;"",(AD561-INDEX(TZ_STD,MATCH(P561,TZ_STN,0))/24)&gt;=INDEX(TZ_DSTS,MATCH(P561,TZ_STN,0)),(AD561-INDEX(TZ_STD,MATCH(P561,TZ_STN,0))/24)&lt;INDEX(TZ_DSTE,MATCH(P561,TZ_STN,0))),INDEX(TZ_DST,MATCH(P561,TZ_STN,0)),INDEX(TZ_STD,MATCH(P561,TZ_STN,0))))/24,"")</f>
        <v/>
      </c>
      <c r="AH561" s="65" t="str">
        <f aca="false">IFERROR(IF(N561="N/A – rule",IF(OR(TRIM(U561)="",TRIM(U561)="N/A",TRIM(U561)="Not started"),"N/A – RULE","INVALID – this check does not apply to this aircraft: clear the status (or correct the fleet on Flights)"),IF(TRIM(U561)="N/A",IF(AT561=0,"INVALID – N/A not permitted for this check",IF(AND(TRIM(AB561)&lt;&gt;"",TRIM(AB561)&lt;&gt;"Closed"),"INVALID – corrective action still open",IF(AND(NOT(OR(LEN(AZ561)&lt;15,ISNUMBER(MATCH(AZ561,L_Placeholder,0)))),BK561=0,CG561&gt;=8,NOT(OR(LEN(AU561)&lt;2,ISNUMBER(MATCH(AU561,L_Placeholder,0)))),BR561&gt;=3,NOT(OR(LEN(AX561)&lt;2,ISNUMBER(MATCH(AX561,L_Placeholder,0)))),BS561&gt;=3,TRIM(AE561)&lt;&gt;TRIM(T561),AX561&lt;&gt;AU561,CE561=0),"N/A – JUSTIFIED","INVALID – N/A needs a real, settled reason (not 'not applicable' / 'as above' / TBC), a named PIC and a different named verifier"))),IF(OR(TRIM(U561)="Pass",TRIM(U561)="Pass after CA"),IF(NOT(ISNUMBER(AD561)),"INVALID – completion time missing",IF(OR(OR(LEN(AU561)&lt;2,ISNUMBER(MATCH(AU561,L_Placeholder,0))),BR561&lt;3),"INVALID – PIC missing or not a named person (a role such as QA / CSM is not a name)",IF(OR(LEN(AV561)&lt;2,ISNUMBER(MATCH(AV561,L_Placeholder,0))),"INVALID – result / assessment missing",IF(OR(OR(LEN(AW561)&lt;3,ISNUMBER(MATCH(AW561,L_Placeholder,0))),SUMPRODUCT(--ISNUMBER(SEARCH(" "&amp;L_EvidencePhrase&amp;" ",BD561)))&gt;0,BI561=1),"INVALID – evidence missing, placeholder or not yet on file",IF(ISNA(MATCH(TRIM(S561),L_EvidenceType,0)),"INVALID – choose the evidence type from the list (column S)",IF(BL561=0,"INVALID – evidence ID must be the record's own ID only (e.g. SF-2210, IMG_2231, 1045521); a link / file name needs type 'Link / file path'",IF(OR(OR(LEN(AX561)&lt;2,ISNUMBER(MATCH(AX561,L_Placeholder,0))),BS561&lt;3),"INVALID – verifier missing or not a named person (a role such as QA / CSM is not a name)",IF(OR(AX561=AU561,CE561=1,AND(LEN(AU561)&gt;=4,ISNUMBER(SEARCH(AU561,AX561))),AND(LEN(AX561)&gt;=4,ISNUMBER(SEARCH(AX561,AU561)))),"INVALID – verifier must be a different, named person (not the PIC or a role)",IF(BH561=1,"INVALID – result not yet available (awaiting / TBC)",IF(BG561=1,"INVALID – result describes a problem: record Fail, then Pass after CA (or reword if it is not a problem)",IF(BV561=1,"INVALID – wording says not on board: an on-board confirmation needs the item loaded",IF(AND(AQ561=1,OR(OR(LEN(AY561)&lt;3,ISNUMBER(MATCH(AY561,L_Placeholder,0))),BJ561=1,BQ561=0)),"INVALID – batch ID missing, placeholder or not an ID (e.g. PASB-261008-BC-017)",IF(AND(AR561=1,OR(NOT(ISNUMBER(X561)),NOT(ISNUMBER(Y561)))),"INVALID – expected/actual qty missing",IF(AND(AR561=1,OR(X561&lt;=0,Y561&lt;0)),"INVALID – expected qty must be above 0 and actual not negative",IF(AH547="N/A – JUSTIFIED","INVALID – preparation row F17-T12-06 is N/A",IF(AND(AR561=1,ISNUMBER(X547),X561&lt;&gt;X547,TRIM(U561)&lt;&gt;"Pass after CA"),"INVALID – expected qty differs from preparation check F17-T12-06: record the load change as a corrective action (Pass after CA)",IF(BB561&lt;&gt;"",BB561,IF(AND(AS561=1,Documents!$J$21&lt;&gt;"ON FILE"),"INVALID – GLD not on file (Documents sheet)",IF(AND(AS561=2,Documents!$O$21&lt;&gt;"ON FILE"),"INVALID – menu checklist not on file (Documents sheet)",IF(AND(AS561=3,NOT(ISNUMBER(Flights!$AX$21))),"INVALID – enter carrying flight KUL departure (Flights AX)",IF(AND(AS561=3,OR(Flights!$AZ$21&gt;Flights!$AA$21,Flights!$AX$21&lt;Flights!$AA$21-3)),"INVALID – carrying flight (Flights AX) cannot arrive before this leg's STD, or is over 3 days early",IF(AG561&gt;AsOfUTC,"INVALID – completion time is in the future",IF(AND(ISNUMBER(BY561),AG561&lt;BY561),IF(H561="Physical uplift","INVALID – before uplift window (cannot confirm loading)","INVALID – before valid window"),IF(AG561&gt;Flights!$AA$21,"INVALID – completed after departure (cannot establish readiness)",IF(AND(H561="Preparation",AG561&gt;=IF(ISNUMBER(Flights!$BA$21),MIN(Flights!$BA$21,Flights!$AA$21),Flights!$AA$21)),"INVALID – completed after loading / departure (cannot establish readiness)",IF(AND(H561="Physical uplift",AG561&gt;Q561),"INVALID – recorded after the loading flight departed",IF(AG561&gt;Q561,"COMPLETE – LATE","COMPLETE"))))))))))))))))))))))))))),IF(TRIM(U561)="Fail","FAIL – DISCREPANCY",IF(AND(TRIM(U561)&lt;&gt;"",TRIM(U561)&lt;&gt;"Not started",TRIM(U561)&lt;&gt;"In progress"),"INVALID – unrecognised status (use the list)",IF(AsOfUTC&gt;Q561,"OVERDUE",IF(N561="Clarification required","OPEN – CLARIFICATION","OPEN"))))))),"INVALID – error value in an input cell")</f>
        <v>OPEN</v>
      </c>
      <c r="AI561" s="61" t="n">
        <f aca="false">IF(OR(AH561="N/A – RULE",AH561="N/A – JUSTIFIED"),0,1)</f>
        <v>1</v>
      </c>
      <c r="AJ561" s="61" t="n">
        <f aca="false">IF(LEFT(AH561,8)="COMPLETE",1,0)</f>
        <v>0</v>
      </c>
      <c r="AK561" s="61" t="n">
        <f aca="false">IF(AND(AI561=1,AJ561=0,AsOfUTC&gt;Q561),1,0)</f>
        <v>0</v>
      </c>
      <c r="AL561" s="61" t="n">
        <f aca="false">IFERROR(IF(AND(AI561=1,OR(TRIM(U561)="Fail",AND(TRIM(AB561)&lt;&gt;"",TRIM(AB561)&lt;&gt;"Closed"),AND(ISNUMBER(AF561),AF561&lt;&gt;0,TRIM(U561)&lt;&gt;"Pass after CA"))),1,0),1)</f>
        <v>0</v>
      </c>
      <c r="AM561" s="61" t="n">
        <f aca="false">IF(LEFT(AH561,7)="INVALID",1,0)</f>
        <v>0</v>
      </c>
      <c r="AN561" s="61" t="n">
        <f aca="false">IF(AND(N561="Clarification required",AI561=1,AJ561=0),1,0)</f>
        <v>0</v>
      </c>
      <c r="AO561" s="61" t="str">
        <f aca="false">IF(AK561=1,SUM(AK$5:AK561),"")</f>
        <v/>
      </c>
      <c r="AP561" s="61" t="str">
        <f aca="false">IF(AL561=1,SUM(AL$5:AL561),"")</f>
        <v/>
      </c>
      <c r="AQ561" s="61" t="n">
        <v>0</v>
      </c>
      <c r="AR561" s="61" t="n">
        <v>1</v>
      </c>
      <c r="AS561" s="61" t="n">
        <v>0</v>
      </c>
      <c r="AT561" s="61" t="n">
        <v>0</v>
      </c>
      <c r="AU561" s="61" t="str">
        <f aca="false">SUBSTITUTE(SUBSTITUTE(SUBSTITUTE(SUBSTITUTE(SUBSTITUTE(SUBSTITUTE(SUBSTITUTE(SUBSTITUTE(SUBSTITUTE(SUBSTITUTE(SUBSTITUTE(SUBSTITUTE(SUBSTITUTE(SUBSTITUTE(SUBSTITUTE(SUBSTITUTE(LOWER(T561&amp;""),CHAR(10),""),CHAR(13),""),CHAR(9),""),CHAR(160),"")," ",""),".",""),"-",""),"/",""),"?",""),"_",""),",",""),"[",""),"]",""),"(",""),")",""),"*","")</f>
        <v/>
      </c>
      <c r="AV561" s="61" t="str">
        <f aca="false">SUBSTITUTE(SUBSTITUTE(SUBSTITUTE(SUBSTITUTE(SUBSTITUTE(SUBSTITUTE(SUBSTITUTE(SUBSTITUTE(SUBSTITUTE(SUBSTITUTE(SUBSTITUTE(SUBSTITUTE(SUBSTITUTE(SUBSTITUTE(SUBSTITUTE(SUBSTITUTE(LOWER(V561&amp;""),CHAR(10),""),CHAR(13),""),CHAR(9),""),CHAR(160),"")," ",""),".",""),"-",""),"/",""),"?",""),"_",""),",",""),"[",""),"]",""),"(",""),")",""),"*","")</f>
        <v/>
      </c>
      <c r="AW561" s="61" t="str">
        <f aca="false">SUBSTITUTE(SUBSTITUTE(SUBSTITUTE(SUBSTITUTE(SUBSTITUTE(SUBSTITUTE(SUBSTITUTE(SUBSTITUTE(SUBSTITUTE(SUBSTITUTE(SUBSTITUTE(SUBSTITUTE(SUBSTITUTE(SUBSTITUTE(SUBSTITUTE(SUBSTITUTE(LOWER(Z561&amp;""),CHAR(10),""),CHAR(13),""),CHAR(9),""),CHAR(160),"")," ",""),".",""),"-",""),"/",""),"?",""),"_",""),",",""),"[",""),"]",""),"(",""),")",""),"*","")</f>
        <v/>
      </c>
      <c r="AX561" s="61" t="str">
        <f aca="false">SUBSTITUTE(SUBSTITUTE(SUBSTITUTE(SUBSTITUTE(SUBSTITUTE(SUBSTITUTE(SUBSTITUTE(SUBSTITUTE(SUBSTITUTE(SUBSTITUTE(SUBSTITUTE(SUBSTITUTE(SUBSTITUTE(SUBSTITUTE(SUBSTITUTE(SUBSTITUTE(LOWER(AE561&amp;""),CHAR(10),""),CHAR(13),""),CHAR(9),""),CHAR(160),"")," ",""),".",""),"-",""),"/",""),"?",""),"_",""),",",""),"[",""),"]",""),"(",""),")",""),"*","")</f>
        <v/>
      </c>
      <c r="AY561" s="61" t="str">
        <f aca="false">SUBSTITUTE(SUBSTITUTE(SUBSTITUTE(SUBSTITUTE(SUBSTITUTE(SUBSTITUTE(SUBSTITUTE(SUBSTITUTE(SUBSTITUTE(SUBSTITUTE(SUBSTITUTE(SUBSTITUTE(SUBSTITUTE(SUBSTITUTE(SUBSTITUTE(SUBSTITUTE(LOWER(W561&amp;""),CHAR(10),""),CHAR(13),""),CHAR(9),""),CHAR(160),"")," ",""),".",""),"-",""),"/",""),"?",""),"_",""),",",""),"[",""),"]",""),"(",""),")",""),"*","")</f>
        <v/>
      </c>
      <c r="AZ561" s="61" t="str">
        <f aca="false">SUBSTITUTE(SUBSTITUTE(SUBSTITUTE(SUBSTITUTE(SUBSTITUTE(SUBSTITUTE(SUBSTITUTE(SUBSTITUTE(SUBSTITUTE(SUBSTITUTE(SUBSTITUTE(SUBSTITUTE(SUBSTITUTE(SUBSTITUTE(SUBSTITUTE(SUBSTITUTE(LOWER(AC561&amp;""),CHAR(10),""),CHAR(13),""),CHAR(9),""),CHAR(160),"")," ",""),".",""),"-",""),"/",""),"?",""),"_",""),",",""),"[",""),"]",""),"(",""),")",""),"*","")</f>
        <v/>
      </c>
      <c r="BA561" s="61" t="str">
        <f aca="false">SUBSTITUTE(SUBSTITUTE(SUBSTITUTE(SUBSTITUTE(SUBSTITUTE(SUBSTITUTE(SUBSTITUTE(SUBSTITUTE(SUBSTITUTE(SUBSTITUTE(SUBSTITUTE(SUBSTITUTE(SUBSTITUTE(SUBSTITUTE(SUBSTITUTE(SUBSTITUTE(LOWER(AA561&amp;""),CHAR(10),""),CHAR(13),""),CHAR(9),""),CHAR(160),"")," ",""),".",""),"-",""),"/",""),"?",""),"_",""),",",""),"[",""),"]",""),"(",""),")",""),"*","")</f>
        <v/>
      </c>
      <c r="BB561" s="61" t="str">
        <f aca="false">IF(AND(TRIM(U561)="Pass",ISNUMBER(AF561)),IF(AF561&lt;&gt;0,"INVALID – qty variance: use Fail or Pass after CA",""),"")&amp;IF(AND(TRIM(U561)="Pass after CA",ISNUMBER(AF561)),IF(AF561&lt;&gt;0,"INVALID – after the corrective action the actual qty must equal expected (update Actual)",""),"")&amp;IF(AND(TRIM(U561)="Pass",TRIM(AB561)&lt;&gt;"",TRIM(AB561)&lt;&gt;"Closed"),"INVALID – corrective action not closed: use Fail, then Pass after CA","")&amp;IF(AND(LEN(BA561)&gt;=2,ISNA(MATCH(LEFT(BA561,255),L_Placeholder,0)),TRIM(AB561)=""),"INVALID – CA status missing for the recorded corrective action","")&amp;IF(AND(TRIM(U561)="Pass after CA",OR(OR(LEN(BA561)&lt;5,ISNUMBER(MATCH(BA561,L_Placeholder,0))),TRIM(AB561)&lt;&gt;"Closed")),"INVALID – corrective action not recorded/closed","")</f>
        <v/>
      </c>
      <c r="BC561" s="61" t="str">
        <f aca="false">" "&amp;TRIM(SUBSTITUTE(SUBSTITUTE(SUBSTITUTE(SUBSTITUTE(SUBSTITUTE(SUBSTITUTE(SUBSTITUTE(SUBSTITUTE(SUBSTITUTE(SUBSTITUTE(SUBSTITUTE(SUBSTITUTE(SUBSTITUTE(SUBSTITUTE(SUBSTITUTE(SUBSTITUTE(SUBSTITUTE(SUBSTITUTE(SUBSTITUTE(SUBSTITUTE(SUBSTITUTE(SUBSTITUTE(SUBSTITUTE(SUBSTITUTE(LOWER(V561&amp;""),CHAR(10)," "),CHAR(13)," "),CHAR(9)," "),CHAR(160)," "),"."," "),","," "),"-"," "),"/"," "),"("," "),")"," "),":"," "),";"," "),"_"," "),"–"," "),"?"," "),"!"," "),"*"," "),"["," "),"]"," "),"'"," "),"#"," "),"+"," "),"&amp;"," "),"\"," "))&amp;" "</f>
        <v>  </v>
      </c>
      <c r="BD561" s="61" t="str">
        <f aca="false">" "&amp;TRIM(SUBSTITUTE(SUBSTITUTE(SUBSTITUTE(SUBSTITUTE(SUBSTITUTE(SUBSTITUTE(SUBSTITUTE(SUBSTITUTE(SUBSTITUTE(SUBSTITUTE(SUBSTITUTE(SUBSTITUTE(SUBSTITUTE(SUBSTITUTE(SUBSTITUTE(SUBSTITUTE(SUBSTITUTE(SUBSTITUTE(SUBSTITUTE(SUBSTITUTE(SUBSTITUTE(SUBSTITUTE(SUBSTITUTE(SUBSTITUTE(LOWER(Z561&amp;""),CHAR(10)," "),CHAR(13)," "),CHAR(9)," "),CHAR(160)," "),"."," "),","," "),"-"," "),"/"," "),"("," "),")"," "),":"," "),";"," "),"_"," "),"–"," "),"?"," "),"!"," "),"*"," "),"["," "),"]"," "),"'"," "),"#"," "),"+"," "),"&amp;"," "),"\"," "))&amp;" "</f>
        <v>  </v>
      </c>
      <c r="BE561" s="61" t="str">
        <f aca="false">" "&amp;TRIM(SUBSTITUTE(SUBSTITUTE(SUBSTITUTE(SUBSTITUTE(SUBSTITUTE(SUBSTITUTE(SUBSTITUTE(SUBSTITUTE(SUBSTITUTE(SUBSTITUTE(SUBSTITUTE(SUBSTITUTE(SUBSTITUTE(SUBSTITUTE(SUBSTITUTE(SUBSTITUTE(SUBSTITUTE(SUBSTITUTE(SUBSTITUTE(SUBSTITUTE(SUBSTITUTE(SUBSTITUTE(SUBSTITUTE(SUBSTITUTE(LOWER(W561&amp;""),CHAR(10)," "),CHAR(13)," "),CHAR(9)," "),CHAR(160)," "),"."," "),","," "),"-"," "),"/"," "),"("," "),")"," "),":"," "),";"," "),"_"," "),"–"," "),"?"," "),"!"," "),"*"," "),"["," "),"]"," "),"'"," "),"#"," "),"+"," "),"&amp;"," "),"\"," "))&amp;" "</f>
        <v>  </v>
      </c>
      <c r="BF561" s="61" t="str">
        <f aca="false">" "&amp;TRIM(SUBSTITUTE(SUBSTITUTE(SUBSTITUTE(SUBSTITUTE(SUBSTITUTE(SUBSTITUTE(SUBSTITUTE(SUBSTITUTE(SUBSTITUTE(SUBSTITUTE(SUBSTITUTE(SUBSTITUTE(SUBSTITUTE(SUBSTITUTE(SUBSTITUTE(SUBSTITUTE(SUBSTITUTE(SUBSTITUTE(SUBSTITUTE(SUBSTITUTE(SUBSTITUTE(SUBSTITUTE(SUBSTITUTE(SUBSTITUTE(LOWER(AC561&amp;""),CHAR(10)," "),CHAR(13)," "),CHAR(9)," "),CHAR(160)," "),"."," "),","," "),"-"," "),"/"," "),"("," "),")"," "),":"," "),";"," "),"_"," "),"–"," "),"?"," "),"!"," "),"*"," "),"["," "),"]"," "),"'"," "),"#"," "),"+"," "),"&amp;"," "),"\"," "))&amp;" "</f>
        <v>  </v>
      </c>
      <c r="BG561" s="61" t="n">
        <f aca="false">IFERROR(IF(AND(TRIM(U561)="Pass",SUMPRODUCT((LEN(BC561)-LEN(SUBSTITUTE(BC561," "&amp;L_ResultBad&amp;" "," ")))/(LEN(L_ResultBad)+1))&gt;SUMPRODUCT((LEN(BC561)-LEN(SUBSTITUTE(BC561," "&amp;L_NegPhrase&amp;" "," ")))/(LEN(L_NegPhrase)+1))),1,0),0)</f>
        <v>0</v>
      </c>
      <c r="BH561" s="61" t="n">
        <f aca="false">IFERROR(IF(SUMPRODUCT((LEN(BC561)-LEN(SUBSTITUTE(BC561," "&amp;L_Pending&amp;" "," ")))/(LEN(L_Pending)+1))&gt;SUMPRODUCT((LEN(BC561)-LEN(SUBSTITUTE(BC561," "&amp;L_PendNeg&amp;" "," ")))/(LEN(L_PendNeg)+1)),1,0),1)</f>
        <v>0</v>
      </c>
      <c r="BI561" s="61" t="n">
        <f aca="false">IFERROR(IF(SUMPRODUCT((LEN(BD561)-LEN(SUBSTITUTE(BD561," "&amp;L_PendStrict&amp;" "," ")))/(LEN(L_PendStrict)+1))&gt;SUMPRODUCT((LEN(BD561)-LEN(SUBSTITUTE(BD561," "&amp;L_PendNeg&amp;" "," ")))/(LEN(L_PendNeg)+1)),1,0),1)</f>
        <v>0</v>
      </c>
      <c r="BJ561" s="61" t="n">
        <f aca="false">IFERROR(IF(SUMPRODUCT((LEN(BE561)-LEN(SUBSTITUTE(BE561," "&amp;L_Pending&amp;" "," ")))/(LEN(L_Pending)+1))&gt;SUMPRODUCT((LEN(BE561)-LEN(SUBSTITUTE(BE561," "&amp;L_PendNeg&amp;" "," ")))/(LEN(L_PendNeg)+1)),1,0),1)</f>
        <v>0</v>
      </c>
      <c r="BK561" s="61" t="n">
        <f aca="false">IFERROR(IF(SUMPRODUCT((LEN(BF561)-LEN(SUBSTITUTE(BF561," "&amp;L_PendStrict&amp;" "," ")))/(LEN(L_PendStrict)+1))&gt;SUMPRODUCT((LEN(BF561)-LEN(SUBSTITUTE(BF561," "&amp;L_PendNeg&amp;" "," ")))/(LEN(L_PendNeg)+1)),1,0),1)</f>
        <v>0</v>
      </c>
      <c r="BL561" s="61" t="n">
        <f aca="false">IF(ISNA(MATCH(TRIM(S561),L_EvidenceType,0)),0,BZ561)</f>
        <v>0</v>
      </c>
      <c r="BM561" s="61" t="str">
        <f aca="false">SUBSTITUTE(SUBSTITUTE(SUBSTITUTE(SUBSTITUTE(SUBSTITUTE(SUBSTITUTE(SUBSTITUTE(SUBSTITUTE(SUBSTITUTE(LOWER(Z561&amp;""),"1","0"),"2","0"),"3","0"),"4","0"),"5","0"),"6","0"),"7","0"),"8","0"),"9","0")</f>
        <v/>
      </c>
      <c r="BN561" s="61" t="str">
        <f aca="false">SUBSTITUTE(SUBSTITUTE(SUBSTITUTE(SUBSTITUTE(SUBSTITUTE(SUBSTITUTE(SUBSTITUTE(SUBSTITUTE(SUBSTITUTE(SUBSTITUTE(SUBSTITUTE(SUBSTITUTE(SUBSTITUTE(SUBSTITUTE(SUBSTITUTE(SUBSTITUTE(SUBSTITUTE(SUBSTITUTE(SUBSTITUTE(SUBSTITUTE(SUBSTITUTE(SUBSTITUTE(SUBSTITUTE(SUBSTITUTE(SUBSTITUTE(BM561,"b","a"),"c","a"),"d","a"),"e","a"),"f","a"),"g","a"),"h","a"),"i","a"),"j","a"),"k","a"),"l","a"),"m","a"),"n","a"),"o","a"),"p","a"),"q","a"),"r","a"),"s","a"),"t","a"),"u","a"),"v","a"),"w","a"),"x","a"),"y","a"),"z","a")</f>
        <v/>
      </c>
      <c r="BO561" s="61" t="str">
        <f aca="false">SUBSTITUTE(SUBSTITUTE(SUBSTITUTE(SUBSTITUTE(SUBSTITUTE(SUBSTITUTE(SUBSTITUTE(SUBSTITUTE(SUBSTITUTE(LOWER(W561&amp;""),"1","0"),"2","0"),"3","0"),"4","0"),"5","0"),"6","0"),"7","0"),"8","0"),"9","0")</f>
        <v/>
      </c>
      <c r="BP561" s="61" t="str">
        <f aca="false">SUBSTITUTE(SUBSTITUTE(SUBSTITUTE(SUBSTITUTE(SUBSTITUTE(SUBSTITUTE(SUBSTITUTE(SUBSTITUTE(SUBSTITUTE(SUBSTITUTE(SUBSTITUTE(SUBSTITUTE(SUBSTITUTE(SUBSTITUTE(SUBSTITUTE(SUBSTITUTE(SUBSTITUTE(SUBSTITUTE(SUBSTITUTE(SUBSTITUTE(SUBSTITUTE(SUBSTITUTE(SUBSTITUTE(SUBSTITUTE(SUBSTITUTE(BO561,"b","a"),"c","a"),"d","a"),"e","a"),"f","a"),"g","a"),"h","a"),"i","a"),"j","a"),"k","a"),"l","a"),"m","a"),"n","a"),"o","a"),"p","a"),"q","a"),"r","a"),"s","a"),"t","a"),"u","a"),"v","a"),"w","a"),"x","a"),"y","a"),"z","a")</f>
        <v/>
      </c>
      <c r="BQ561" s="61" t="n">
        <f aca="false">IFERROR(IF(AND(ISERROR(SEARCH(" mh"," "&amp;LOWER(W561))),ISNA(MATCH(LEFT(TRIM(BP561),255),{"0000a","000a","00a","0000aa","000aa","00aa","0aa","0000aaa","000aaa","00a00","0a00","0000-0000","00:00","a00","a0","00.00.0000","00/00/0000","00-00-0000","0000-00-00","0000/00/00","0000.00.00","00.00.00","00/00/00","00-00-00","0.00.0000","0/00/0000","0-00-0000"},0)),ISNA(MATCH(LEFT(TRIM(CA561),255),{"0000a","000a","00a","0000aa","000aa","00aa","0aa","0000aaa","000aaa","00a00","0a00","0000-0000","00:00","a00","a0","00.00.0000","00/00/0000","00-00-0000","0000-00-00","0000/00/00","0000.00.00","00.00.00","00/00/00","00-00-00","0.00.0000","0/00/0000","0-00-0000"},0)),LEN(CB561)&gt;=3,NOT(OR(SUBSTITUTE(CB561,"0","")="",AND(LEN(CB561)&gt;=4,CB561=REPT(LEFT(CB561),LEN(CB561))),ISNUMBER(MATCH(CB561,{"123","1234","12345","123456","1234567","12345678","0123","01234","012345","98765","987654","54321"},0)),AND(LEN(CB561)=8,LEFT(CB561,3)="202"))),OR(AND((LEN(CA561)-LEN(SUBSTITUTE(CA561,"a","")))&gt;=1,SUMPRODUCT(--ISNUMBER(SEARCH({"a0","a-0","a_0","a/0","a.0","a#0","0a","0-a","0_a","0/a"},BP561)))&gt;0),ISNUMBER(SEARCH("000000",BP561)))),1,0),0)</f>
        <v>0</v>
      </c>
      <c r="BR561" s="61" t="n">
        <f aca="false">IFERROR(LEN(SUBSTITUTE(CC561," ",""))-SUMPRODUCT((LEN(CC561)-LEN(SUBSTITUTE(CC561," "&amp;L_Role&amp;" "," ")))/(LEN(L_Role)+1)*LEN(L_Role)),0)</f>
        <v>0</v>
      </c>
      <c r="BS561" s="61" t="n">
        <f aca="false">IFERROR(LEN(SUBSTITUTE(CD561," ",""))-SUMPRODUCT((LEN(CD561)-LEN(SUBSTITUTE(CD561," "&amp;L_Role&amp;" "," ")))/(LEN(L_Role)+1)*LEN(L_Role)),0)</f>
        <v>0</v>
      </c>
      <c r="BT5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561,"revision",""),"version",""),"jan",""),"feb",""),"mar",""),"apr",""),"may",""),"jun",""),"jul",""),"aug",""),"sep",""),"oct",""),"nov",""),"dec",""),"utc",""),"gmt",""),"myt",""),"bst",""),"rev",""),"ver",""),"b","a"),"c","a"),"d","a"),"e","a"),"f","a"),"g","a"),"h","a"),"i","a"),"j","a"),"k","a"),"l","a"),"m","a"),"n","a"),"o","a"),"p","a"),"q","a"),"r","a"),"s","a"),"t","a"),"u","a"),"v","a"),"w","a"),"x","a"),"y","a"),"z","a")</f>
        <v/>
      </c>
      <c r="BU561" s="61" t="str">
        <f aca="false">SUBSTITUTE(SUBSTITUTE(SUBSTITUTE(SUBSTITUTE(SUBSTITUTE(SUBSTITUTE(SUBSTITUTE(SUBSTITUTE(SUBSTITUTE(SUBSTITUTE(LEFT(BM561,FIND("0",BM561&amp;"0")-1),"-",""),"_",""),"/",""),".",""),"#",""),"\\",""),":","")," ",""),"(",""),")","")</f>
        <v/>
      </c>
      <c r="BV561" s="61" t="n">
        <f aca="false">IFERROR(IF(OR(SUMPRODUCT((LEN(BC561)-LEN(SUBSTITUTE(BC561," "&amp;L_NotLoaded&amp;" "," ")))/(LEN(L_NotLoaded)+1))&gt;SUMPRODUCT((LEN(BC561)-LEN(SUBSTITUTE(BC561," "&amp;L_NotLoadedNeg&amp;" "," ")))/(LEN(L_NotLoadedNeg)+1)),SUMPRODUCT((LEN(BD561)-LEN(SUBSTITUTE(BD561," "&amp;L_NotLoaded&amp;" "," ")))/(LEN(L_NotLoaded)+1))&gt;SUMPRODUCT((LEN(BD561)-LEN(SUBSTITUTE(BD561," "&amp;L_NotLoadedNeg&amp;" "," ")))/(LEN(L_NotLoadedNeg)+1))),1,0),0)</f>
        <v>0</v>
      </c>
      <c r="BW5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561&amp;""),"a",""),"b",""),"c",""),"d",""),"e",""),"f",""),"g",""),"h",""),"i",""),"j",""),"k",""),"l",""),"m",""),"n",""),"o",""),"p",""),"q",""),"r",""),"s",""),"t",""),"u",""),"v",""),"w",""),"x",""),"y",""),"z",""),"-",""),"_",""),"/",""),".",""),"#",""),"\\",""),":","")," ",""),"(",""),")","")</f>
        <v/>
      </c>
      <c r="BX561" s="61" t="str">
        <f aca="false">SUBSTITUTE(SUBSTITUTE(SUBSTITUTE(SUBSTITUTE(SUBSTITUTE(SUBSTITUTE(SUBSTITUTE(SUBSTITUTE(SUBSTITUTE(SUBSTITUTE(SUBSTITUTE(BM561,"0",""),"-",""),"_",""),"/",""),".",""),"#",""),"\\",""),":","")," ",""),"(",""),")","")</f>
        <v/>
      </c>
      <c r="BY561" s="62" t="n">
        <f aca="false">IF(ISNUMBER(Flights!$AZ$21),MAX(Q561-UpliftWindowH/24,Flights!$AZ$21),Q561-UpliftWindowH/24)</f>
        <v>46322.0347222222</v>
      </c>
      <c r="BZ561" s="61" t="n">
        <f aca="false">IFERROR(IF(IF(TRIM(S561)="Link / file path",AND(LEN(TRIM(Z561))&gt;=5,SUMPRODUCT(--ISNUMBER(SEARCH({"http","www.","\\",":\",".pdf",".jpg",".jpeg",".png",".heic",".xls",".doc",".msg",".eml",".ppt",".txt",".zip"},Z561)))&gt;0),AND(ISERROR(FIND(" ",TRIM(Z561))),NOT(OR(SUMPRODUCT(--ISNUMBER(FIND({",",";","&amp;","+"},Z561)))&gt;0,SUMPRODUCT(--ISNUMBER(SEARCH({"0/aa","0\\aa"},BN561)))&gt;0)),NOT(SUMPRODUCT(--ISNUMBER(SEARCH({"http","www.","\\",":\",".pdf",".jpg",".jpeg",".png",".heic",".xls",".doc",".msg",".eml",".ppt",".txt",".zip"},Z561)))&gt;0),NOT(LOWER(TRIM(Z561))=LOWER(Flights!$F$21)),ISNA(MATCH(BU561,{"mh","rev","revision","ver","version","v","r","a","b","seat","tray","row","gate","bay","stand","page","pg","item","line","no","cart","galley","flight","flt","table","box","bag","oven","etd","eta","std","sta","atd","ata","qty","pax","x","time","tel","ph","mob","day","wk","week","utc","gmt","myt","lt"},0)),NOT(OR(ISNUMBER(MATCH(LEFT(BN561,255),{"0000a","000a","00a","0000aa","000aa","00aa","0aa","0000aaa","000aaa","00a00","0a00","0000-0000","00:00","a00","a0","00.00.0000","00/00/0000","00-00-0000","0000-00-00","0000/00/00","0000.00.00","00.00.00","00/00/00","00-00-00","0.00.0000","0/00/0000","0-00-0000"},0)),ISNUMBER(MATCH(LEFT(BT561,255),{"0000a","000a","00a","0000aa","000aa","00aa","0aa","0000aaa","000aaa","00a00","0a00","0000-0000","00:00","a00","a0","00.00.0000","00/00/0000","00-00-0000","0000-00-00","0000/00/00","0000.00.00","00.00.00","00/00/00","00-00-00","0.00.0000","0/00/0000","0-00-0000"},0)))),NOT(OR(AND(BW561&lt;&gt;"",SUBSTITUTE(BW561,"0","")=""),AND(LEN(BW561)&gt;=4,BW561=REPT(LEFT(BW561),LEN(BW561))),ISNUMBER(MATCH(BW561,{"123","1234","12345","123456","1234567","12345678","0123","01234","012345","98765","987654","54321"},0)),ISNUMBER(MATCH(BX561,{"x","xx","xxx","xxxx","xxxxx","abc","abcd","nil","na","nan","test","tbc","tba","tbd","dummy","sample","example","eg","zz","zzz","none","null","xyz","qwe","asd","id","ref"},0)),AND(LEN(BW561)=8,BX561="",OR(LEFT(BW561,3)="202",ISNUMBER(MATCH(RIGHT(BW561,4),{"2025","2026","2027"},0)))))),OR(AND((LEN(BT561)-LEN(SUBSTITUTE(BT561,"a","")))&gt;=1,(LEN(BN561)-LEN(SUBSTITUTE(BN561,"0","")))&gt;=2,SUMPRODUCT(--ISNUMBER(SEARCH({"a0","a-0","a_0","a/0","a.0","a#0","0a","0-a","0_a","0/a"},BN561)))&gt;0),AND((LEN(BN561)-LEN(SUBSTITUTE(BN561,"a","")))=0,(LEN(BN561)-LEN(SUBSTITUTE(BN561,"0","")))&gt;=5)))),1,0),0)</f>
        <v>0</v>
      </c>
      <c r="CA5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561,"revision",""),"version",""),"jan",""),"feb",""),"mar",""),"apr",""),"may",""),"jun",""),"jul",""),"aug",""),"sep",""),"oct",""),"nov",""),"dec",""),"utc",""),"gmt",""),"myt",""),"bst",""),"rev",""),"ver",""),"b","a"),"c","a"),"d","a"),"e","a"),"f","a"),"g","a"),"h","a"),"i","a"),"j","a"),"k","a"),"l","a"),"m","a"),"n","a"),"o","a"),"p","a"),"q","a"),"r","a"),"s","a"),"t","a"),"u","a"),"v","a"),"w","a"),"x","a"),"y","a"),"z","a")</f>
        <v/>
      </c>
      <c r="CB5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561&amp;""),"a",""),"b",""),"c",""),"d",""),"e",""),"f",""),"g",""),"h",""),"i",""),"j",""),"k",""),"l",""),"m",""),"n",""),"o",""),"p",""),"q",""),"r",""),"s",""),"t",""),"u",""),"v",""),"w",""),"x",""),"y",""),"z",""),"-",""),"_",""),"/",""),".",""),"#",""),"\\",""),":","")," ",""),"(",""),")","")</f>
        <v/>
      </c>
      <c r="CC561" s="0" t="str">
        <f aca="false">" "&amp;TRIM(SUBSTITUTE(SUBSTITUTE(SUBSTITUTE(SUBSTITUTE(SUBSTITUTE(SUBSTITUTE(SUBSTITUTE(SUBSTITUTE(SUBSTITUTE(SUBSTITUTE(SUBSTITUTE(SUBSTITUTE(SUBSTITUTE(SUBSTITUTE(SUBSTITUTE(SUBSTITUTE(SUBSTITUTE(SUBSTITUTE(SUBSTITUTE(SUBSTITUTE(SUBSTITUTE(SUBSTITUTE(SUBSTITUTE(SUBSTITUTE(LOWER(T561&amp;""),CHAR(10)," "),CHAR(13)," "),CHAR(9)," "),CHAR(160)," "),"."," "),","," "),"-"," "),"/"," "),"("," "),")"," "),":"," "),";"," "),"_"," "),"–"," "),"?"," "),"!"," "),"*"," "),"["," "),"]"," "),"'"," "),"#"," "),"+"," "),"&amp;"," "),"\"," "))&amp;" "</f>
        <v>  </v>
      </c>
      <c r="CD561" s="0" t="str">
        <f aca="false">" "&amp;TRIM(SUBSTITUTE(SUBSTITUTE(SUBSTITUTE(SUBSTITUTE(SUBSTITUTE(SUBSTITUTE(SUBSTITUTE(SUBSTITUTE(SUBSTITUTE(SUBSTITUTE(SUBSTITUTE(SUBSTITUTE(SUBSTITUTE(SUBSTITUTE(SUBSTITUTE(SUBSTITUTE(SUBSTITUTE(SUBSTITUTE(SUBSTITUTE(SUBSTITUTE(SUBSTITUTE(SUBSTITUTE(SUBSTITUTE(SUBSTITUTE(LOWER(AE561&amp;""),CHAR(10)," "),CHAR(13)," "),CHAR(9)," "),CHAR(160)," "),"."," "),","," "),"-"," "),"/"," "),"("," "),")"," "),":"," "),";"," "),"_"," "),"–"," "),"?"," "),"!"," "),"*"," "),"["," "),"]"," "),"'"," "),"#"," "),"+"," "),"&amp;"," "),"\"," "))&amp;" "</f>
        <v>  </v>
      </c>
      <c r="CE561" s="68" t="n">
        <f aca="false">IFERROR(IF(AND(LEN(AU561)&gt;0,LEN(AU561)=LEN(AX561),OR(TRIM(MID(SUBSTITUTE(TRIM(CC561)," ",REPT(" ",60)),1,60))="",ISNUMBER(SEARCH(" "&amp;TRIM(MID(SUBSTITUTE(TRIM(CC561)," ",REPT(" ",60)),1,60))&amp;" ",CD561))),OR(TRIM(MID(SUBSTITUTE(TRIM(CC561)," ",REPT(" ",60)),61,60))="",ISNUMBER(SEARCH(" "&amp;TRIM(MID(SUBSTITUTE(TRIM(CC561)," ",REPT(" ",60)),61,60))&amp;" ",CD561))),OR(TRIM(MID(SUBSTITUTE(TRIM(CC561)," ",REPT(" ",60)),121,60))="",ISNUMBER(SEARCH(" "&amp;TRIM(MID(SUBSTITUTE(TRIM(CC561)," ",REPT(" ",60)),121,60))&amp;" ",CD561)))),1,0),0)</f>
        <v>0</v>
      </c>
      <c r="CG561" s="68" t="n">
        <f aca="false">IFERROR(LEN(SUBSTITUTE(BF561," ",""))-SUMPRODUCT((LEN(BF561)-LEN(SUBSTITUTE(BF561," "&amp;L_NAFiller&amp;" "," ")))/(LEN(L_NAFiller)+1)*LEN(L_NAFiller)),0)</f>
        <v>0</v>
      </c>
    </row>
    <row r="562" customFormat="false" ht="41.25" hidden="false" customHeight="true" outlineLevel="0" collapsed="false">
      <c r="A562" s="57" t="s">
        <v>1249</v>
      </c>
      <c r="B562" s="57" t="s">
        <v>290</v>
      </c>
      <c r="C562" s="57" t="str">
        <f aca="false">Flights!$F$21</f>
        <v>MH0073</v>
      </c>
      <c r="D562" s="58" t="n">
        <f aca="false">Flights!$D$21</f>
        <v>46322</v>
      </c>
      <c r="E562" s="57" t="str">
        <f aca="false">Flights!$G$21&amp;"-"&amp;Flights!$H$21</f>
        <v>HKG-KUL</v>
      </c>
      <c r="F562" s="57" t="str">
        <f aca="false">Flights!$K$21</f>
        <v>BC</v>
      </c>
      <c r="G562" s="57" t="s">
        <v>459</v>
      </c>
      <c r="H562" s="57" t="s">
        <v>460</v>
      </c>
      <c r="I562" s="57" t="s">
        <v>411</v>
      </c>
      <c r="J562" s="57" t="s">
        <v>1250</v>
      </c>
      <c r="K562" s="67" t="s">
        <v>1251</v>
      </c>
      <c r="L562" s="67" t="s">
        <v>699</v>
      </c>
      <c r="M562" s="67"/>
      <c r="N562" s="67" t="s">
        <v>383</v>
      </c>
      <c r="O562" s="67" t="s">
        <v>700</v>
      </c>
      <c r="P562" s="57" t="s">
        <v>187</v>
      </c>
      <c r="Q562" s="59" t="n">
        <f aca="false">ROUND((Flights!$AY$21+UpliftWindowH/24)*1440,0)/1440</f>
        <v>46321.0486111111</v>
      </c>
      <c r="R562" s="59" t="n">
        <f aca="false">Q562+(IF(AND(INDEX(TZ_DSTS,MATCH(P562,TZ_STN,0))&lt;&gt;"",Q562&gt;=INDEX(TZ_DSTS,MATCH(P562,TZ_STN,0)),Q562&lt;INDEX(TZ_DSTE,MATCH(P562,TZ_STN,0))),INDEX(TZ_DST,MATCH(P562,TZ_STN,0)),INDEX(TZ_STD,MATCH(P562,TZ_STN,0))))/24</f>
        <v>46321.3819444444</v>
      </c>
      <c r="S562" s="60"/>
      <c r="T562" s="60"/>
      <c r="U562" s="60"/>
      <c r="V562" s="60"/>
      <c r="W562" s="61"/>
      <c r="X562" s="60"/>
      <c r="Y562" s="60"/>
      <c r="Z562" s="60"/>
      <c r="AA562" s="60"/>
      <c r="AB562" s="60"/>
      <c r="AC562" s="60"/>
      <c r="AD562" s="66"/>
      <c r="AE562" s="60"/>
      <c r="AF562" s="61" t="str">
        <f aca="false">IF(AND(ISNUMBER(X562),ISNUMBER(Y562)),Y562-X562,"")</f>
        <v/>
      </c>
      <c r="AG562" s="62" t="str">
        <f aca="false">IF(ISNUMBER(AD562),AD562-(IF(AND(INDEX(TZ_DSTS,MATCH(P562,TZ_STN,0))&lt;&gt;"",(AD562-INDEX(TZ_STD,MATCH(P562,TZ_STN,0))/24)&gt;=INDEX(TZ_DSTS,MATCH(P562,TZ_STN,0)),(AD562-INDEX(TZ_STD,MATCH(P562,TZ_STN,0))/24)&lt;INDEX(TZ_DSTE,MATCH(P562,TZ_STN,0))),INDEX(TZ_DST,MATCH(P562,TZ_STN,0)),INDEX(TZ_STD,MATCH(P562,TZ_STN,0))))/24,"")</f>
        <v/>
      </c>
      <c r="AH562" s="65" t="str">
        <f aca="false">IFERROR(IF(N562="N/A – rule",IF(OR(TRIM(U562)="",TRIM(U562)="N/A",TRIM(U562)="Not started"),"N/A – RULE","INVALID – this check does not apply to this aircraft: clear the status (or correct the fleet on Flights)"),IF(TRIM(U562)="N/A",IF(AT562=0,"INVALID – N/A not permitted for this check",IF(AND(TRIM(AB562)&lt;&gt;"",TRIM(AB562)&lt;&gt;"Closed"),"INVALID – corrective action still open",IF(AND(NOT(OR(LEN(AZ562)&lt;15,ISNUMBER(MATCH(AZ562,L_Placeholder,0)))),BK562=0,CG562&gt;=8,NOT(OR(LEN(AU562)&lt;2,ISNUMBER(MATCH(AU562,L_Placeholder,0)))),BR562&gt;=3,NOT(OR(LEN(AX562)&lt;2,ISNUMBER(MATCH(AX562,L_Placeholder,0)))),BS562&gt;=3,TRIM(AE562)&lt;&gt;TRIM(T562),AX562&lt;&gt;AU562,CE562=0),"N/A – JUSTIFIED","INVALID – N/A needs a real, settled reason (not 'not applicable' / 'as above' / TBC), a named PIC and a different named verifier"))),IF(OR(TRIM(U562)="Pass",TRIM(U562)="Pass after CA"),IF(NOT(ISNUMBER(AD562)),"INVALID – completion time missing",IF(OR(OR(LEN(AU562)&lt;2,ISNUMBER(MATCH(AU562,L_Placeholder,0))),BR562&lt;3),"INVALID – PIC missing or not a named person (a role such as QA / CSM is not a name)",IF(OR(LEN(AV562)&lt;2,ISNUMBER(MATCH(AV562,L_Placeholder,0))),"INVALID – result / assessment missing",IF(OR(OR(LEN(AW562)&lt;3,ISNUMBER(MATCH(AW562,L_Placeholder,0))),SUMPRODUCT(--ISNUMBER(SEARCH(" "&amp;L_EvidencePhrase&amp;" ",BD562)))&gt;0,BI562=1),"INVALID – evidence missing, placeholder or not yet on file",IF(ISNA(MATCH(TRIM(S562),L_EvidenceType,0)),"INVALID – choose the evidence type from the list (column S)",IF(BL562=0,"INVALID – evidence ID must be the record's own ID only (e.g. SF-2210, IMG_2231, 1045521); a link / file name needs type 'Link / file path'",IF(OR(OR(LEN(AX562)&lt;2,ISNUMBER(MATCH(AX562,L_Placeholder,0))),BS562&lt;3),"INVALID – verifier missing or not a named person (a role such as QA / CSM is not a name)",IF(OR(AX562=AU562,CE562=1,AND(LEN(AU562)&gt;=4,ISNUMBER(SEARCH(AU562,AX562))),AND(LEN(AX562)&gt;=4,ISNUMBER(SEARCH(AX562,AU562)))),"INVALID – verifier must be a different, named person (not the PIC or a role)",IF(BH562=1,"INVALID – result not yet available (awaiting / TBC)",IF(BG562=1,"INVALID – result describes a problem: record Fail, then Pass after CA (or reword if it is not a problem)",IF(BV562=1,"INVALID – wording says not on board: an on-board confirmation needs the item loaded",IF(AND(AQ562=1,OR(OR(LEN(AY562)&lt;3,ISNUMBER(MATCH(AY562,L_Placeholder,0))),BJ562=1,BQ562=0)),"INVALID – batch ID missing, placeholder or not an ID (e.g. PASB-261008-BC-017)",IF(AND(AR562=1,OR(NOT(ISNUMBER(X562)),NOT(ISNUMBER(Y562)))),"INVALID – expected/actual qty missing",IF(AND(AR562=1,OR(X562&lt;=0,Y562&lt;0)),"INVALID – expected qty must be above 0 and actual not negative",IF(BB562&lt;&gt;"",BB562,IF(AND(AS562=1,Documents!$J$21&lt;&gt;"ON FILE"),"INVALID – GLD not on file (Documents sheet)",IF(AND(AS562=2,Documents!$O$21&lt;&gt;"ON FILE"),"INVALID – menu checklist not on file (Documents sheet)",IF(AND(AS562=3,NOT(ISNUMBER(Flights!$AX$21))),"INVALID – enter carrying flight KUL departure (Flights AX)",IF(AND(AS562=3,OR(Flights!$AZ$21&gt;Flights!$AA$21,Flights!$AX$21&lt;Flights!$AA$21-3)),"INVALID – carrying flight (Flights AX) cannot arrive before this leg's STD, or is over 3 days early",IF(AG562&gt;AsOfUTC,"INVALID – completion time is in the future",IF(AND(ISNUMBER(BY562),AG562&lt;BY562),IF(H562="Physical uplift","INVALID – before uplift window (cannot confirm loading)","INVALID – before valid window"),IF(AG562&gt;Flights!$AA$21,"INVALID – completed after departure (cannot establish readiness)",IF(AND(H562="Preparation",AG562&gt;=Flights!$AY$21+UpliftWindowH/24),"INVALID – completed after the carrying flight left KUL",IF(AND(H562="Physical uplift",AG562&gt;Q562),"INVALID – recorded after the loading flight departed",IF(AG562&gt;Q562,"COMPLETE – LATE","COMPLETE"))))))))))))))))))))))))),IF(TRIM(U562)="Fail","FAIL – DISCREPANCY",IF(AND(TRIM(U562)&lt;&gt;"",TRIM(U562)&lt;&gt;"Not started",TRIM(U562)&lt;&gt;"In progress"),"INVALID – unrecognised status (use the list)",IF(AsOfUTC&gt;Q562,"OVERDUE",IF(N562="Clarification required","OPEN – CLARIFICATION","OPEN"))))))),"INVALID – error value in an input cell")</f>
        <v>OPEN</v>
      </c>
      <c r="AI562" s="61" t="n">
        <f aca="false">IF(OR(AH562="N/A – RULE",AH562="N/A – JUSTIFIED"),0,1)</f>
        <v>1</v>
      </c>
      <c r="AJ562" s="61" t="n">
        <f aca="false">IF(LEFT(AH562,8)="COMPLETE",1,0)</f>
        <v>0</v>
      </c>
      <c r="AK562" s="61" t="n">
        <f aca="false">IF(AND(AI562=1,AJ562=0,AsOfUTC&gt;Q562),1,0)</f>
        <v>0</v>
      </c>
      <c r="AL562" s="61" t="n">
        <f aca="false">IFERROR(IF(AND(AI562=1,OR(TRIM(U562)="Fail",AND(TRIM(AB562)&lt;&gt;"",TRIM(AB562)&lt;&gt;"Closed"),AND(ISNUMBER(AF562),AF562&lt;&gt;0,TRIM(U562)&lt;&gt;"Pass after CA"))),1,0),1)</f>
        <v>0</v>
      </c>
      <c r="AM562" s="61" t="n">
        <f aca="false">IF(LEFT(AH562,7)="INVALID",1,0)</f>
        <v>0</v>
      </c>
      <c r="AN562" s="61" t="n">
        <f aca="false">IF(AND(N562="Clarification required",AI562=1,AJ562=0),1,0)</f>
        <v>0</v>
      </c>
      <c r="AO562" s="61" t="str">
        <f aca="false">IF(AK562=1,SUM(AK$5:AK562),"")</f>
        <v/>
      </c>
      <c r="AP562" s="61" t="str">
        <f aca="false">IF(AL562=1,SUM(AL$5:AL562),"")</f>
        <v/>
      </c>
      <c r="AQ562" s="61" t="n">
        <v>0</v>
      </c>
      <c r="AR562" s="61" t="n">
        <v>0</v>
      </c>
      <c r="AS562" s="61" t="n">
        <v>0</v>
      </c>
      <c r="AT562" s="61" t="n">
        <v>0</v>
      </c>
      <c r="AU562" s="61" t="str">
        <f aca="false">SUBSTITUTE(SUBSTITUTE(SUBSTITUTE(SUBSTITUTE(SUBSTITUTE(SUBSTITUTE(SUBSTITUTE(SUBSTITUTE(SUBSTITUTE(SUBSTITUTE(SUBSTITUTE(SUBSTITUTE(SUBSTITUTE(SUBSTITUTE(SUBSTITUTE(SUBSTITUTE(LOWER(T562&amp;""),CHAR(10),""),CHAR(13),""),CHAR(9),""),CHAR(160),"")," ",""),".",""),"-",""),"/",""),"?",""),"_",""),",",""),"[",""),"]",""),"(",""),")",""),"*","")</f>
        <v/>
      </c>
      <c r="AV562" s="61" t="str">
        <f aca="false">SUBSTITUTE(SUBSTITUTE(SUBSTITUTE(SUBSTITUTE(SUBSTITUTE(SUBSTITUTE(SUBSTITUTE(SUBSTITUTE(SUBSTITUTE(SUBSTITUTE(SUBSTITUTE(SUBSTITUTE(SUBSTITUTE(SUBSTITUTE(SUBSTITUTE(SUBSTITUTE(LOWER(V562&amp;""),CHAR(10),""),CHAR(13),""),CHAR(9),""),CHAR(160),"")," ",""),".",""),"-",""),"/",""),"?",""),"_",""),",",""),"[",""),"]",""),"(",""),")",""),"*","")</f>
        <v/>
      </c>
      <c r="AW562" s="61" t="str">
        <f aca="false">SUBSTITUTE(SUBSTITUTE(SUBSTITUTE(SUBSTITUTE(SUBSTITUTE(SUBSTITUTE(SUBSTITUTE(SUBSTITUTE(SUBSTITUTE(SUBSTITUTE(SUBSTITUTE(SUBSTITUTE(SUBSTITUTE(SUBSTITUTE(SUBSTITUTE(SUBSTITUTE(LOWER(Z562&amp;""),CHAR(10),""),CHAR(13),""),CHAR(9),""),CHAR(160),"")," ",""),".",""),"-",""),"/",""),"?",""),"_",""),",",""),"[",""),"]",""),"(",""),")",""),"*","")</f>
        <v/>
      </c>
      <c r="AX562" s="61" t="str">
        <f aca="false">SUBSTITUTE(SUBSTITUTE(SUBSTITUTE(SUBSTITUTE(SUBSTITUTE(SUBSTITUTE(SUBSTITUTE(SUBSTITUTE(SUBSTITUTE(SUBSTITUTE(SUBSTITUTE(SUBSTITUTE(SUBSTITUTE(SUBSTITUTE(SUBSTITUTE(SUBSTITUTE(LOWER(AE562&amp;""),CHAR(10),""),CHAR(13),""),CHAR(9),""),CHAR(160),"")," ",""),".",""),"-",""),"/",""),"?",""),"_",""),",",""),"[",""),"]",""),"(",""),")",""),"*","")</f>
        <v/>
      </c>
      <c r="AY562" s="61" t="str">
        <f aca="false">SUBSTITUTE(SUBSTITUTE(SUBSTITUTE(SUBSTITUTE(SUBSTITUTE(SUBSTITUTE(SUBSTITUTE(SUBSTITUTE(SUBSTITUTE(SUBSTITUTE(SUBSTITUTE(SUBSTITUTE(SUBSTITUTE(SUBSTITUTE(SUBSTITUTE(SUBSTITUTE(LOWER(W562&amp;""),CHAR(10),""),CHAR(13),""),CHAR(9),""),CHAR(160),"")," ",""),".",""),"-",""),"/",""),"?",""),"_",""),",",""),"[",""),"]",""),"(",""),")",""),"*","")</f>
        <v/>
      </c>
      <c r="AZ562" s="61" t="str">
        <f aca="false">SUBSTITUTE(SUBSTITUTE(SUBSTITUTE(SUBSTITUTE(SUBSTITUTE(SUBSTITUTE(SUBSTITUTE(SUBSTITUTE(SUBSTITUTE(SUBSTITUTE(SUBSTITUTE(SUBSTITUTE(SUBSTITUTE(SUBSTITUTE(SUBSTITUTE(SUBSTITUTE(LOWER(AC562&amp;""),CHAR(10),""),CHAR(13),""),CHAR(9),""),CHAR(160),"")," ",""),".",""),"-",""),"/",""),"?",""),"_",""),",",""),"[",""),"]",""),"(",""),")",""),"*","")</f>
        <v/>
      </c>
      <c r="BA562" s="61" t="str">
        <f aca="false">SUBSTITUTE(SUBSTITUTE(SUBSTITUTE(SUBSTITUTE(SUBSTITUTE(SUBSTITUTE(SUBSTITUTE(SUBSTITUTE(SUBSTITUTE(SUBSTITUTE(SUBSTITUTE(SUBSTITUTE(SUBSTITUTE(SUBSTITUTE(SUBSTITUTE(SUBSTITUTE(LOWER(AA562&amp;""),CHAR(10),""),CHAR(13),""),CHAR(9),""),CHAR(160),"")," ",""),".",""),"-",""),"/",""),"?",""),"_",""),",",""),"[",""),"]",""),"(",""),")",""),"*","")</f>
        <v/>
      </c>
      <c r="BB562" s="61" t="str">
        <f aca="false">IF(AND(TRIM(U562)="Pass",ISNUMBER(AF562)),IF(AF562&lt;&gt;0,"INVALID – qty variance: use Fail or Pass after CA",""),"")&amp;IF(AND(TRIM(U562)="Pass after CA",ISNUMBER(AF562)),IF(AF562&lt;&gt;0,"INVALID – after the corrective action the actual qty must equal expected (update Actual)",""),"")&amp;IF(AND(TRIM(U562)="Pass",TRIM(AB562)&lt;&gt;"",TRIM(AB562)&lt;&gt;"Closed"),"INVALID – corrective action not closed: use Fail, then Pass after CA","")&amp;IF(AND(LEN(BA562)&gt;=2,ISNA(MATCH(LEFT(BA562,255),L_Placeholder,0)),TRIM(AB562)=""),"INVALID – CA status missing for the recorded corrective action","")&amp;IF(AND(TRIM(U562)="Pass after CA",OR(OR(LEN(BA562)&lt;5,ISNUMBER(MATCH(BA562,L_Placeholder,0))),TRIM(AB562)&lt;&gt;"Closed")),"INVALID – corrective action not recorded/closed","")</f>
        <v/>
      </c>
      <c r="BC562" s="61" t="str">
        <f aca="false">" "&amp;TRIM(SUBSTITUTE(SUBSTITUTE(SUBSTITUTE(SUBSTITUTE(SUBSTITUTE(SUBSTITUTE(SUBSTITUTE(SUBSTITUTE(SUBSTITUTE(SUBSTITUTE(SUBSTITUTE(SUBSTITUTE(SUBSTITUTE(SUBSTITUTE(SUBSTITUTE(SUBSTITUTE(SUBSTITUTE(SUBSTITUTE(SUBSTITUTE(SUBSTITUTE(SUBSTITUTE(SUBSTITUTE(SUBSTITUTE(SUBSTITUTE(LOWER(V562&amp;""),CHAR(10)," "),CHAR(13)," "),CHAR(9)," "),CHAR(160)," "),"."," "),","," "),"-"," "),"/"," "),"("," "),")"," "),":"," "),";"," "),"_"," "),"–"," "),"?"," "),"!"," "),"*"," "),"["," "),"]"," "),"'"," "),"#"," "),"+"," "),"&amp;"," "),"\"," "))&amp;" "</f>
        <v>  </v>
      </c>
      <c r="BD562" s="61" t="str">
        <f aca="false">" "&amp;TRIM(SUBSTITUTE(SUBSTITUTE(SUBSTITUTE(SUBSTITUTE(SUBSTITUTE(SUBSTITUTE(SUBSTITUTE(SUBSTITUTE(SUBSTITUTE(SUBSTITUTE(SUBSTITUTE(SUBSTITUTE(SUBSTITUTE(SUBSTITUTE(SUBSTITUTE(SUBSTITUTE(SUBSTITUTE(SUBSTITUTE(SUBSTITUTE(SUBSTITUTE(SUBSTITUTE(SUBSTITUTE(SUBSTITUTE(SUBSTITUTE(LOWER(Z562&amp;""),CHAR(10)," "),CHAR(13)," "),CHAR(9)," "),CHAR(160)," "),"."," "),","," "),"-"," "),"/"," "),"("," "),")"," "),":"," "),";"," "),"_"," "),"–"," "),"?"," "),"!"," "),"*"," "),"["," "),"]"," "),"'"," "),"#"," "),"+"," "),"&amp;"," "),"\"," "))&amp;" "</f>
        <v>  </v>
      </c>
      <c r="BE562" s="61" t="str">
        <f aca="false">" "&amp;TRIM(SUBSTITUTE(SUBSTITUTE(SUBSTITUTE(SUBSTITUTE(SUBSTITUTE(SUBSTITUTE(SUBSTITUTE(SUBSTITUTE(SUBSTITUTE(SUBSTITUTE(SUBSTITUTE(SUBSTITUTE(SUBSTITUTE(SUBSTITUTE(SUBSTITUTE(SUBSTITUTE(SUBSTITUTE(SUBSTITUTE(SUBSTITUTE(SUBSTITUTE(SUBSTITUTE(SUBSTITUTE(SUBSTITUTE(SUBSTITUTE(LOWER(W562&amp;""),CHAR(10)," "),CHAR(13)," "),CHAR(9)," "),CHAR(160)," "),"."," "),","," "),"-"," "),"/"," "),"("," "),")"," "),":"," "),";"," "),"_"," "),"–"," "),"?"," "),"!"," "),"*"," "),"["," "),"]"," "),"'"," "),"#"," "),"+"," "),"&amp;"," "),"\"," "))&amp;" "</f>
        <v>  </v>
      </c>
      <c r="BF562" s="61" t="str">
        <f aca="false">" "&amp;TRIM(SUBSTITUTE(SUBSTITUTE(SUBSTITUTE(SUBSTITUTE(SUBSTITUTE(SUBSTITUTE(SUBSTITUTE(SUBSTITUTE(SUBSTITUTE(SUBSTITUTE(SUBSTITUTE(SUBSTITUTE(SUBSTITUTE(SUBSTITUTE(SUBSTITUTE(SUBSTITUTE(SUBSTITUTE(SUBSTITUTE(SUBSTITUTE(SUBSTITUTE(SUBSTITUTE(SUBSTITUTE(SUBSTITUTE(SUBSTITUTE(LOWER(AC562&amp;""),CHAR(10)," "),CHAR(13)," "),CHAR(9)," "),CHAR(160)," "),"."," "),","," "),"-"," "),"/"," "),"("," "),")"," "),":"," "),";"," "),"_"," "),"–"," "),"?"," "),"!"," "),"*"," "),"["," "),"]"," "),"'"," "),"#"," "),"+"," "),"&amp;"," "),"\"," "))&amp;" "</f>
        <v>  </v>
      </c>
      <c r="BG562" s="61" t="n">
        <f aca="false">IFERROR(IF(AND(TRIM(U562)="Pass",SUMPRODUCT((LEN(BC562)-LEN(SUBSTITUTE(BC562," "&amp;L_ResultBad&amp;" "," ")))/(LEN(L_ResultBad)+1))&gt;SUMPRODUCT((LEN(BC562)-LEN(SUBSTITUTE(BC562," "&amp;L_NegPhrase&amp;" "," ")))/(LEN(L_NegPhrase)+1))),1,0),0)</f>
        <v>0</v>
      </c>
      <c r="BH562" s="61" t="n">
        <f aca="false">IFERROR(IF(SUMPRODUCT((LEN(BC562)-LEN(SUBSTITUTE(BC562," "&amp;L_Pending&amp;" "," ")))/(LEN(L_Pending)+1))&gt;SUMPRODUCT((LEN(BC562)-LEN(SUBSTITUTE(BC562," "&amp;L_PendNeg&amp;" "," ")))/(LEN(L_PendNeg)+1)),1,0),1)</f>
        <v>0</v>
      </c>
      <c r="BI562" s="61" t="n">
        <f aca="false">IFERROR(IF(SUMPRODUCT((LEN(BD562)-LEN(SUBSTITUTE(BD562," "&amp;L_PendStrict&amp;" "," ")))/(LEN(L_PendStrict)+1))&gt;SUMPRODUCT((LEN(BD562)-LEN(SUBSTITUTE(BD562," "&amp;L_PendNeg&amp;" "," ")))/(LEN(L_PendNeg)+1)),1,0),1)</f>
        <v>0</v>
      </c>
      <c r="BJ562" s="61" t="n">
        <f aca="false">IFERROR(IF(SUMPRODUCT((LEN(BE562)-LEN(SUBSTITUTE(BE562," "&amp;L_Pending&amp;" "," ")))/(LEN(L_Pending)+1))&gt;SUMPRODUCT((LEN(BE562)-LEN(SUBSTITUTE(BE562," "&amp;L_PendNeg&amp;" "," ")))/(LEN(L_PendNeg)+1)),1,0),1)</f>
        <v>0</v>
      </c>
      <c r="BK562" s="61" t="n">
        <f aca="false">IFERROR(IF(SUMPRODUCT((LEN(BF562)-LEN(SUBSTITUTE(BF562," "&amp;L_PendStrict&amp;" "," ")))/(LEN(L_PendStrict)+1))&gt;SUMPRODUCT((LEN(BF562)-LEN(SUBSTITUTE(BF562," "&amp;L_PendNeg&amp;" "," ")))/(LEN(L_PendNeg)+1)),1,0),1)</f>
        <v>0</v>
      </c>
      <c r="BL562" s="61" t="n">
        <f aca="false">IF(ISNA(MATCH(TRIM(S562),L_EvidenceType,0)),0,BZ562)</f>
        <v>0</v>
      </c>
      <c r="BM562" s="61" t="str">
        <f aca="false">SUBSTITUTE(SUBSTITUTE(SUBSTITUTE(SUBSTITUTE(SUBSTITUTE(SUBSTITUTE(SUBSTITUTE(SUBSTITUTE(SUBSTITUTE(LOWER(Z562&amp;""),"1","0"),"2","0"),"3","0"),"4","0"),"5","0"),"6","0"),"7","0"),"8","0"),"9","0")</f>
        <v/>
      </c>
      <c r="BN562" s="61" t="str">
        <f aca="false">SUBSTITUTE(SUBSTITUTE(SUBSTITUTE(SUBSTITUTE(SUBSTITUTE(SUBSTITUTE(SUBSTITUTE(SUBSTITUTE(SUBSTITUTE(SUBSTITUTE(SUBSTITUTE(SUBSTITUTE(SUBSTITUTE(SUBSTITUTE(SUBSTITUTE(SUBSTITUTE(SUBSTITUTE(SUBSTITUTE(SUBSTITUTE(SUBSTITUTE(SUBSTITUTE(SUBSTITUTE(SUBSTITUTE(SUBSTITUTE(SUBSTITUTE(BM562,"b","a"),"c","a"),"d","a"),"e","a"),"f","a"),"g","a"),"h","a"),"i","a"),"j","a"),"k","a"),"l","a"),"m","a"),"n","a"),"o","a"),"p","a"),"q","a"),"r","a"),"s","a"),"t","a"),"u","a"),"v","a"),"w","a"),"x","a"),"y","a"),"z","a")</f>
        <v/>
      </c>
      <c r="BO562" s="61" t="str">
        <f aca="false">SUBSTITUTE(SUBSTITUTE(SUBSTITUTE(SUBSTITUTE(SUBSTITUTE(SUBSTITUTE(SUBSTITUTE(SUBSTITUTE(SUBSTITUTE(LOWER(W562&amp;""),"1","0"),"2","0"),"3","0"),"4","0"),"5","0"),"6","0"),"7","0"),"8","0"),"9","0")</f>
        <v/>
      </c>
      <c r="BP562" s="61" t="str">
        <f aca="false">SUBSTITUTE(SUBSTITUTE(SUBSTITUTE(SUBSTITUTE(SUBSTITUTE(SUBSTITUTE(SUBSTITUTE(SUBSTITUTE(SUBSTITUTE(SUBSTITUTE(SUBSTITUTE(SUBSTITUTE(SUBSTITUTE(SUBSTITUTE(SUBSTITUTE(SUBSTITUTE(SUBSTITUTE(SUBSTITUTE(SUBSTITUTE(SUBSTITUTE(SUBSTITUTE(SUBSTITUTE(SUBSTITUTE(SUBSTITUTE(SUBSTITUTE(BO562,"b","a"),"c","a"),"d","a"),"e","a"),"f","a"),"g","a"),"h","a"),"i","a"),"j","a"),"k","a"),"l","a"),"m","a"),"n","a"),"o","a"),"p","a"),"q","a"),"r","a"),"s","a"),"t","a"),"u","a"),"v","a"),"w","a"),"x","a"),"y","a"),"z","a")</f>
        <v/>
      </c>
      <c r="BQ562" s="61" t="n">
        <f aca="false">IFERROR(IF(AND(ISERROR(SEARCH(" mh"," "&amp;LOWER(W562))),ISNA(MATCH(LEFT(TRIM(BP562),255),{"0000a","000a","00a","0000aa","000aa","00aa","0aa","0000aaa","000aaa","00a00","0a00","0000-0000","00:00","a00","a0","00.00.0000","00/00/0000","00-00-0000","0000-00-00","0000/00/00","0000.00.00","00.00.00","00/00/00","00-00-00","0.00.0000","0/00/0000","0-00-0000"},0)),ISNA(MATCH(LEFT(TRIM(CA562),255),{"0000a","000a","00a","0000aa","000aa","00aa","0aa","0000aaa","000aaa","00a00","0a00","0000-0000","00:00","a00","a0","00.00.0000","00/00/0000","00-00-0000","0000-00-00","0000/00/00","0000.00.00","00.00.00","00/00/00","00-00-00","0.00.0000","0/00/0000","0-00-0000"},0)),LEN(CB562)&gt;=3,NOT(OR(SUBSTITUTE(CB562,"0","")="",AND(LEN(CB562)&gt;=4,CB562=REPT(LEFT(CB562),LEN(CB562))),ISNUMBER(MATCH(CB562,{"123","1234","12345","123456","1234567","12345678","0123","01234","012345","98765","987654","54321"},0)),AND(LEN(CB562)=8,LEFT(CB562,3)="202"))),OR(AND((LEN(CA562)-LEN(SUBSTITUTE(CA562,"a","")))&gt;=1,SUMPRODUCT(--ISNUMBER(SEARCH({"a0","a-0","a_0","a/0","a.0","a#0","0a","0-a","0_a","0/a"},BP562)))&gt;0),ISNUMBER(SEARCH("000000",BP562)))),1,0),0)</f>
        <v>0</v>
      </c>
      <c r="BR562" s="61" t="n">
        <f aca="false">IFERROR(LEN(SUBSTITUTE(CC562," ",""))-SUMPRODUCT((LEN(CC562)-LEN(SUBSTITUTE(CC562," "&amp;L_Role&amp;" "," ")))/(LEN(L_Role)+1)*LEN(L_Role)),0)</f>
        <v>0</v>
      </c>
      <c r="BS562" s="61" t="n">
        <f aca="false">IFERROR(LEN(SUBSTITUTE(CD562," ",""))-SUMPRODUCT((LEN(CD562)-LEN(SUBSTITUTE(CD562," "&amp;L_Role&amp;" "," ")))/(LEN(L_Role)+1)*LEN(L_Role)),0)</f>
        <v>0</v>
      </c>
      <c r="BT5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562,"revision",""),"version",""),"jan",""),"feb",""),"mar",""),"apr",""),"may",""),"jun",""),"jul",""),"aug",""),"sep",""),"oct",""),"nov",""),"dec",""),"utc",""),"gmt",""),"myt",""),"bst",""),"rev",""),"ver",""),"b","a"),"c","a"),"d","a"),"e","a"),"f","a"),"g","a"),"h","a"),"i","a"),"j","a"),"k","a"),"l","a"),"m","a"),"n","a"),"o","a"),"p","a"),"q","a"),"r","a"),"s","a"),"t","a"),"u","a"),"v","a"),"w","a"),"x","a"),"y","a"),"z","a")</f>
        <v/>
      </c>
      <c r="BU562" s="61" t="str">
        <f aca="false">SUBSTITUTE(SUBSTITUTE(SUBSTITUTE(SUBSTITUTE(SUBSTITUTE(SUBSTITUTE(SUBSTITUTE(SUBSTITUTE(SUBSTITUTE(SUBSTITUTE(LEFT(BM562,FIND("0",BM562&amp;"0")-1),"-",""),"_",""),"/",""),".",""),"#",""),"\\",""),":","")," ",""),"(",""),")","")</f>
        <v/>
      </c>
      <c r="BV562" s="61" t="n">
        <f aca="false">IFERROR(IF(OR(SUMPRODUCT((LEN(BC562)-LEN(SUBSTITUTE(BC562," "&amp;L_NotLoaded&amp;" "," ")))/(LEN(L_NotLoaded)+1))&gt;SUMPRODUCT((LEN(BC562)-LEN(SUBSTITUTE(BC562," "&amp;L_NotLoadedNeg&amp;" "," ")))/(LEN(L_NotLoadedNeg)+1)),SUMPRODUCT((LEN(BD562)-LEN(SUBSTITUTE(BD562," "&amp;L_NotLoaded&amp;" "," ")))/(LEN(L_NotLoaded)+1))&gt;SUMPRODUCT((LEN(BD562)-LEN(SUBSTITUTE(BD562," "&amp;L_NotLoadedNeg&amp;" "," ")))/(LEN(L_NotLoadedNeg)+1))),1,0),0)</f>
        <v>0</v>
      </c>
      <c r="BW5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562&amp;""),"a",""),"b",""),"c",""),"d",""),"e",""),"f",""),"g",""),"h",""),"i",""),"j",""),"k",""),"l",""),"m",""),"n",""),"o",""),"p",""),"q",""),"r",""),"s",""),"t",""),"u",""),"v",""),"w",""),"x",""),"y",""),"z",""),"-",""),"_",""),"/",""),".",""),"#",""),"\\",""),":","")," ",""),"(",""),")","")</f>
        <v/>
      </c>
      <c r="BX562" s="61" t="str">
        <f aca="false">SUBSTITUTE(SUBSTITUTE(SUBSTITUTE(SUBSTITUTE(SUBSTITUTE(SUBSTITUTE(SUBSTITUTE(SUBSTITUTE(SUBSTITUTE(SUBSTITUTE(SUBSTITUTE(BM562,"0",""),"-",""),"_",""),"/",""),".",""),"#",""),"\\",""),":","")," ",""),"(",""),")","")</f>
        <v/>
      </c>
      <c r="BY562" s="62" t="n">
        <f aca="false">Q562-UpliftWindowH/24</f>
        <v>46320.7986111111</v>
      </c>
      <c r="BZ562" s="61" t="n">
        <f aca="false">IFERROR(IF(IF(TRIM(S562)="Link / file path",AND(LEN(TRIM(Z562))&gt;=5,SUMPRODUCT(--ISNUMBER(SEARCH({"http","www.","\\",":\",".pdf",".jpg",".jpeg",".png",".heic",".xls",".doc",".msg",".eml",".ppt",".txt",".zip"},Z562)))&gt;0),AND(ISERROR(FIND(" ",TRIM(Z562))),NOT(OR(SUMPRODUCT(--ISNUMBER(FIND({",",";","&amp;","+"},Z562)))&gt;0,SUMPRODUCT(--ISNUMBER(SEARCH({"0/aa","0\\aa"},BN562)))&gt;0)),NOT(SUMPRODUCT(--ISNUMBER(SEARCH({"http","www.","\\",":\",".pdf",".jpg",".jpeg",".png",".heic",".xls",".doc",".msg",".eml",".ppt",".txt",".zip"},Z562)))&gt;0),NOT(LOWER(TRIM(Z562))=LOWER(Flights!$F$21)),ISNA(MATCH(BU562,{"mh","rev","revision","ver","version","v","r","a","b","seat","tray","row","gate","bay","stand","page","pg","item","line","no","cart","galley","flight","flt","table","box","bag","oven","etd","eta","std","sta","atd","ata","qty","pax","x","time","tel","ph","mob","day","wk","week","utc","gmt","myt","lt"},0)),NOT(OR(ISNUMBER(MATCH(LEFT(BN562,255),{"0000a","000a","00a","0000aa","000aa","00aa","0aa","0000aaa","000aaa","00a00","0a00","0000-0000","00:00","a00","a0","00.00.0000","00/00/0000","00-00-0000","0000-00-00","0000/00/00","0000.00.00","00.00.00","00/00/00","00-00-00","0.00.0000","0/00/0000","0-00-0000"},0)),ISNUMBER(MATCH(LEFT(BT562,255),{"0000a","000a","00a","0000aa","000aa","00aa","0aa","0000aaa","000aaa","00a00","0a00","0000-0000","00:00","a00","a0","00.00.0000","00/00/0000","00-00-0000","0000-00-00","0000/00/00","0000.00.00","00.00.00","00/00/00","00-00-00","0.00.0000","0/00/0000","0-00-0000"},0)))),NOT(OR(AND(BW562&lt;&gt;"",SUBSTITUTE(BW562,"0","")=""),AND(LEN(BW562)&gt;=4,BW562=REPT(LEFT(BW562),LEN(BW562))),ISNUMBER(MATCH(BW562,{"123","1234","12345","123456","1234567","12345678","0123","01234","012345","98765","987654","54321"},0)),ISNUMBER(MATCH(BX562,{"x","xx","xxx","xxxx","xxxxx","abc","abcd","nil","na","nan","test","tbc","tba","tbd","dummy","sample","example","eg","zz","zzz","none","null","xyz","qwe","asd","id","ref"},0)),AND(LEN(BW562)=8,BX562="",OR(LEFT(BW562,3)="202",ISNUMBER(MATCH(RIGHT(BW562,4),{"2025","2026","2027"},0)))))),OR(AND((LEN(BT562)-LEN(SUBSTITUTE(BT562,"a","")))&gt;=1,(LEN(BN562)-LEN(SUBSTITUTE(BN562,"0","")))&gt;=2,SUMPRODUCT(--ISNUMBER(SEARCH({"a0","a-0","a_0","a/0","a.0","a#0","0a","0-a","0_a","0/a"},BN562)))&gt;0),AND((LEN(BN562)-LEN(SUBSTITUTE(BN562,"a","")))=0,(LEN(BN562)-LEN(SUBSTITUTE(BN562,"0","")))&gt;=5)))),1,0),0)</f>
        <v>0</v>
      </c>
      <c r="CA5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562,"revision",""),"version",""),"jan",""),"feb",""),"mar",""),"apr",""),"may",""),"jun",""),"jul",""),"aug",""),"sep",""),"oct",""),"nov",""),"dec",""),"utc",""),"gmt",""),"myt",""),"bst",""),"rev",""),"ver",""),"b","a"),"c","a"),"d","a"),"e","a"),"f","a"),"g","a"),"h","a"),"i","a"),"j","a"),"k","a"),"l","a"),"m","a"),"n","a"),"o","a"),"p","a"),"q","a"),"r","a"),"s","a"),"t","a"),"u","a"),"v","a"),"w","a"),"x","a"),"y","a"),"z","a")</f>
        <v/>
      </c>
      <c r="CB5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562&amp;""),"a",""),"b",""),"c",""),"d",""),"e",""),"f",""),"g",""),"h",""),"i",""),"j",""),"k",""),"l",""),"m",""),"n",""),"o",""),"p",""),"q",""),"r",""),"s",""),"t",""),"u",""),"v",""),"w",""),"x",""),"y",""),"z",""),"-",""),"_",""),"/",""),".",""),"#",""),"\\",""),":","")," ",""),"(",""),")","")</f>
        <v/>
      </c>
      <c r="CC562" s="0" t="str">
        <f aca="false">" "&amp;TRIM(SUBSTITUTE(SUBSTITUTE(SUBSTITUTE(SUBSTITUTE(SUBSTITUTE(SUBSTITUTE(SUBSTITUTE(SUBSTITUTE(SUBSTITUTE(SUBSTITUTE(SUBSTITUTE(SUBSTITUTE(SUBSTITUTE(SUBSTITUTE(SUBSTITUTE(SUBSTITUTE(SUBSTITUTE(SUBSTITUTE(SUBSTITUTE(SUBSTITUTE(SUBSTITUTE(SUBSTITUTE(SUBSTITUTE(SUBSTITUTE(LOWER(T562&amp;""),CHAR(10)," "),CHAR(13)," "),CHAR(9)," "),CHAR(160)," "),"."," "),","," "),"-"," "),"/"," "),"("," "),")"," "),":"," "),";"," "),"_"," "),"–"," "),"?"," "),"!"," "),"*"," "),"["," "),"]"," "),"'"," "),"#"," "),"+"," "),"&amp;"," "),"\"," "))&amp;" "</f>
        <v>  </v>
      </c>
      <c r="CD562" s="0" t="str">
        <f aca="false">" "&amp;TRIM(SUBSTITUTE(SUBSTITUTE(SUBSTITUTE(SUBSTITUTE(SUBSTITUTE(SUBSTITUTE(SUBSTITUTE(SUBSTITUTE(SUBSTITUTE(SUBSTITUTE(SUBSTITUTE(SUBSTITUTE(SUBSTITUTE(SUBSTITUTE(SUBSTITUTE(SUBSTITUTE(SUBSTITUTE(SUBSTITUTE(SUBSTITUTE(SUBSTITUTE(SUBSTITUTE(SUBSTITUTE(SUBSTITUTE(SUBSTITUTE(LOWER(AE562&amp;""),CHAR(10)," "),CHAR(13)," "),CHAR(9)," "),CHAR(160)," "),"."," "),","," "),"-"," "),"/"," "),"("," "),")"," "),":"," "),";"," "),"_"," "),"–"," "),"?"," "),"!"," "),"*"," "),"["," "),"]"," "),"'"," "),"#"," "),"+"," "),"&amp;"," "),"\"," "))&amp;" "</f>
        <v>  </v>
      </c>
      <c r="CE562" s="68" t="n">
        <f aca="false">IFERROR(IF(AND(LEN(AU562)&gt;0,LEN(AU562)=LEN(AX562),OR(TRIM(MID(SUBSTITUTE(TRIM(CC562)," ",REPT(" ",60)),1,60))="",ISNUMBER(SEARCH(" "&amp;TRIM(MID(SUBSTITUTE(TRIM(CC562)," ",REPT(" ",60)),1,60))&amp;" ",CD562))),OR(TRIM(MID(SUBSTITUTE(TRIM(CC562)," ",REPT(" ",60)),61,60))="",ISNUMBER(SEARCH(" "&amp;TRIM(MID(SUBSTITUTE(TRIM(CC562)," ",REPT(" ",60)),61,60))&amp;" ",CD562))),OR(TRIM(MID(SUBSTITUTE(TRIM(CC562)," ",REPT(" ",60)),121,60))="",ISNUMBER(SEARCH(" "&amp;TRIM(MID(SUBSTITUTE(TRIM(CC562)," ",REPT(" ",60)),121,60))&amp;" ",CD562)))),1,0),0)</f>
        <v>0</v>
      </c>
      <c r="CG562" s="68" t="n">
        <f aca="false">IFERROR(LEN(SUBSTITUTE(BF562," ",""))-SUMPRODUCT((LEN(BF562)-LEN(SUBSTITUTE(BF562," "&amp;L_NAFiller&amp;" "," ")))/(LEN(L_NAFiller)+1)*LEN(L_NAFiller)),0)</f>
        <v>0</v>
      </c>
    </row>
    <row r="563" customFormat="false" ht="39.75" hidden="false" customHeight="true" outlineLevel="0" collapsed="false">
      <c r="A563" s="57" t="s">
        <v>1252</v>
      </c>
      <c r="B563" s="57" t="s">
        <v>290</v>
      </c>
      <c r="C563" s="57" t="str">
        <f aca="false">Flights!$F$21</f>
        <v>MH0073</v>
      </c>
      <c r="D563" s="58" t="n">
        <f aca="false">Flights!$D$21</f>
        <v>46322</v>
      </c>
      <c r="E563" s="57" t="str">
        <f aca="false">Flights!$G$21&amp;"-"&amp;Flights!$H$21</f>
        <v>HKG-KUL</v>
      </c>
      <c r="F563" s="57" t="str">
        <f aca="false">Flights!$K$21</f>
        <v>BC</v>
      </c>
      <c r="G563" s="57" t="s">
        <v>459</v>
      </c>
      <c r="H563" s="57" t="s">
        <v>460</v>
      </c>
      <c r="I563" s="57" t="s">
        <v>440</v>
      </c>
      <c r="J563" s="57" t="s">
        <v>1253</v>
      </c>
      <c r="K563" s="67" t="s">
        <v>501</v>
      </c>
      <c r="L563" s="67" t="s">
        <v>1222</v>
      </c>
      <c r="M563" s="67" t="s">
        <v>187</v>
      </c>
      <c r="N563" s="67" t="s">
        <v>383</v>
      </c>
      <c r="O563" s="67"/>
      <c r="P563" s="57" t="s">
        <v>282</v>
      </c>
      <c r="Q563" s="59" t="n">
        <f aca="false">ROUND((Flights!$AF$21)*1440,0)/1440</f>
        <v>46322.2847222222</v>
      </c>
      <c r="R563" s="59" t="n">
        <f aca="false">Q563+(IF(AND(INDEX(TZ_DSTS,MATCH(P563,TZ_STN,0))&lt;&gt;"",Q563&gt;=INDEX(TZ_DSTS,MATCH(P563,TZ_STN,0)),Q563&lt;INDEX(TZ_DSTE,MATCH(P563,TZ_STN,0))),INDEX(TZ_DST,MATCH(P563,TZ_STN,0)),INDEX(TZ_STD,MATCH(P563,TZ_STN,0))))/24</f>
        <v>46322.6180555556</v>
      </c>
      <c r="S563" s="60"/>
      <c r="T563" s="60"/>
      <c r="U563" s="60"/>
      <c r="V563" s="60"/>
      <c r="W563" s="61"/>
      <c r="X563" s="60"/>
      <c r="Y563" s="60"/>
      <c r="Z563" s="60"/>
      <c r="AA563" s="60"/>
      <c r="AB563" s="60"/>
      <c r="AC563" s="60"/>
      <c r="AD563" s="66"/>
      <c r="AE563" s="60"/>
      <c r="AF563" s="61" t="str">
        <f aca="false">IF(AND(ISNUMBER(X563),ISNUMBER(Y563)),Y563-X563,"")</f>
        <v/>
      </c>
      <c r="AG563" s="62" t="str">
        <f aca="false">IF(ISNUMBER(AD563),AD563-(IF(AND(INDEX(TZ_DSTS,MATCH(P563,TZ_STN,0))&lt;&gt;"",(AD563-INDEX(TZ_STD,MATCH(P563,TZ_STN,0))/24)&gt;=INDEX(TZ_DSTS,MATCH(P563,TZ_STN,0)),(AD563-INDEX(TZ_STD,MATCH(P563,TZ_STN,0))/24)&lt;INDEX(TZ_DSTE,MATCH(P563,TZ_STN,0))),INDEX(TZ_DST,MATCH(P563,TZ_STN,0)),INDEX(TZ_STD,MATCH(P563,TZ_STN,0))))/24,"")</f>
        <v/>
      </c>
      <c r="AH563" s="65" t="str">
        <f aca="false">IFERROR(IF(N563="N/A – rule",IF(OR(TRIM(U563)="",TRIM(U563)="N/A",TRIM(U563)="Not started"),"N/A – RULE","INVALID – this check does not apply to this aircraft: clear the status (or correct the fleet on Flights)"),IF(TRIM(U563)="N/A",IF(AT563=0,"INVALID – N/A not permitted for this check",IF(AND(TRIM(AB563)&lt;&gt;"",TRIM(AB563)&lt;&gt;"Closed"),"INVALID – corrective action still open",IF(AND(NOT(OR(LEN(AZ563)&lt;15,ISNUMBER(MATCH(AZ563,L_Placeholder,0)))),BK563=0,CG563&gt;=8,NOT(OR(LEN(AU563)&lt;2,ISNUMBER(MATCH(AU563,L_Placeholder,0)))),BR563&gt;=3,NOT(OR(LEN(AX563)&lt;2,ISNUMBER(MATCH(AX563,L_Placeholder,0)))),BS563&gt;=3,TRIM(AE563)&lt;&gt;TRIM(T563),AX563&lt;&gt;AU563,CE563=0),"N/A – JUSTIFIED","INVALID – N/A needs a real, settled reason (not 'not applicable' / 'as above' / TBC), a named PIC and a different named verifier"))),IF(OR(TRIM(U563)="Pass",TRIM(U563)="Pass after CA"),IF(NOT(ISNUMBER(AD563)),"INVALID – completion time missing",IF(OR(OR(LEN(AU563)&lt;2,ISNUMBER(MATCH(AU563,L_Placeholder,0))),BR563&lt;3),"INVALID – PIC missing or not a named person (a role such as QA / CSM is not a name)",IF(OR(LEN(AV563)&lt;2,ISNUMBER(MATCH(AV563,L_Placeholder,0))),"INVALID – result / assessment missing",IF(OR(OR(LEN(AW563)&lt;3,ISNUMBER(MATCH(AW563,L_Placeholder,0))),SUMPRODUCT(--ISNUMBER(SEARCH(" "&amp;L_EvidencePhrase&amp;" ",BD563)))&gt;0,BI563=1),"INVALID – evidence missing, placeholder or not yet on file",IF(ISNA(MATCH(TRIM(S563),L_EvidenceType,0)),"INVALID – choose the evidence type from the list (column S)",IF(BL563=0,"INVALID – evidence ID must be the record's own ID only (e.g. SF-2210, IMG_2231, 1045521); a link / file name needs type 'Link / file path'",IF(OR(OR(LEN(AX563)&lt;2,ISNUMBER(MATCH(AX563,L_Placeholder,0))),BS563&lt;3),"INVALID – verifier missing or not a named person (a role such as QA / CSM is not a name)",IF(OR(AX563=AU563,CE563=1,AND(LEN(AU563)&gt;=4,ISNUMBER(SEARCH(AU563,AX563))),AND(LEN(AX563)&gt;=4,ISNUMBER(SEARCH(AX563,AU563)))),"INVALID – verifier must be a different, named person (not the PIC or a role)",IF(BH563=1,"INVALID – result not yet available (awaiting / TBC)",IF(BG563=1,"INVALID – result describes a problem: record Fail, then Pass after CA (or reword if it is not a problem)",IF(BV563=1,"INVALID – wording says not on board: an on-board confirmation needs the item loaded",IF(AND(AQ563=1,OR(OR(LEN(AY563)&lt;3,ISNUMBER(MATCH(AY563,L_Placeholder,0))),BJ563=1,BQ563=0)),"INVALID – batch ID missing, placeholder or not an ID (e.g. PASB-261008-BC-017)",IF(AND(AR563=1,OR(NOT(ISNUMBER(X563)),NOT(ISNUMBER(Y563)))),"INVALID – expected/actual qty missing",IF(AND(AR563=1,OR(X563&lt;=0,Y563&lt;0)),"INVALID – expected qty must be above 0 and actual not negative",IF(AH549="N/A – JUSTIFIED","INVALID – preparation row F17-T12-08 is N/A",IF(AND(AR563=1,ISNUMBER(X549),X563&lt;&gt;X549,TRIM(U563)&lt;&gt;"Pass after CA"),"INVALID – expected qty differs from preparation check F17-T12-08: record the load change as a corrective action (Pass after CA)",IF(BB563&lt;&gt;"",BB563,IF(AND(AS563=1,Documents!$J$21&lt;&gt;"ON FILE"),"INVALID – GLD not on file (Documents sheet)",IF(AND(AS563=2,Documents!$O$21&lt;&gt;"ON FILE"),"INVALID – menu checklist not on file (Documents sheet)",IF(AND(AS563=3,NOT(ISNUMBER(Flights!$AX$21))),"INVALID – enter carrying flight KUL departure (Flights AX)",IF(AND(AS563=3,OR(Flights!$AZ$21&gt;Flights!$AA$21,Flights!$AX$21&lt;Flights!$AA$21-3)),"INVALID – carrying flight (Flights AX) cannot arrive before this leg's STD, or is over 3 days early",IF(AG563&gt;AsOfUTC,"INVALID – completion time is in the future",IF(AND(ISNUMBER(BY563),AG563&lt;BY563),IF(H563="Physical uplift","INVALID – before uplift window (cannot confirm loading)","INVALID – before valid window"),IF(AG563&gt;Flights!$AA$21,"INVALID – completed after departure (cannot establish readiness)",IF(AND(H563="Preparation",AG563&gt;=IF(ISNUMBER(Flights!$BA$21),MIN(Flights!$BA$21,Flights!$AA$21),Flights!$AA$21)),"INVALID – completed after loading / departure (cannot establish readiness)",IF(AND(H563="Physical uplift",AG563&gt;Q563),"INVALID – recorded after the loading flight departed",IF(AG563&gt;Q563,"COMPLETE – LATE","COMPLETE"))))))))))))))))))))))))))),IF(TRIM(U563)="Fail","FAIL – DISCREPANCY",IF(AND(TRIM(U563)&lt;&gt;"",TRIM(U563)&lt;&gt;"Not started",TRIM(U563)&lt;&gt;"In progress"),"INVALID – unrecognised status (use the list)",IF(AsOfUTC&gt;Q563,"OVERDUE",IF(N563="Clarification required","OPEN – CLARIFICATION","OPEN"))))))),"INVALID – error value in an input cell")</f>
        <v>OPEN</v>
      </c>
      <c r="AI563" s="61" t="n">
        <f aca="false">IF(OR(AH563="N/A – RULE",AH563="N/A – JUSTIFIED"),0,1)</f>
        <v>1</v>
      </c>
      <c r="AJ563" s="61" t="n">
        <f aca="false">IF(LEFT(AH563,8)="COMPLETE",1,0)</f>
        <v>0</v>
      </c>
      <c r="AK563" s="61" t="n">
        <f aca="false">IF(AND(AI563=1,AJ563=0,AsOfUTC&gt;Q563),1,0)</f>
        <v>0</v>
      </c>
      <c r="AL563" s="61" t="n">
        <f aca="false">IFERROR(IF(AND(AI563=1,OR(TRIM(U563)="Fail",AND(TRIM(AB563)&lt;&gt;"",TRIM(AB563)&lt;&gt;"Closed"),AND(ISNUMBER(AF563),AF563&lt;&gt;0,TRIM(U563)&lt;&gt;"Pass after CA"))),1,0),1)</f>
        <v>0</v>
      </c>
      <c r="AM563" s="61" t="n">
        <f aca="false">IF(LEFT(AH563,7)="INVALID",1,0)</f>
        <v>0</v>
      </c>
      <c r="AN563" s="61" t="n">
        <f aca="false">IF(AND(N563="Clarification required",AI563=1,AJ563=0),1,0)</f>
        <v>0</v>
      </c>
      <c r="AO563" s="61" t="str">
        <f aca="false">IF(AK563=1,SUM(AK$5:AK563),"")</f>
        <v/>
      </c>
      <c r="AP563" s="61" t="str">
        <f aca="false">IF(AL563=1,SUM(AL$5:AL563),"")</f>
        <v/>
      </c>
      <c r="AQ563" s="61" t="n">
        <v>0</v>
      </c>
      <c r="AR563" s="61" t="n">
        <v>0</v>
      </c>
      <c r="AS563" s="61" t="n">
        <v>0</v>
      </c>
      <c r="AT563" s="61" t="n">
        <v>0</v>
      </c>
      <c r="AU563" s="61" t="str">
        <f aca="false">SUBSTITUTE(SUBSTITUTE(SUBSTITUTE(SUBSTITUTE(SUBSTITUTE(SUBSTITUTE(SUBSTITUTE(SUBSTITUTE(SUBSTITUTE(SUBSTITUTE(SUBSTITUTE(SUBSTITUTE(SUBSTITUTE(SUBSTITUTE(SUBSTITUTE(SUBSTITUTE(LOWER(T563&amp;""),CHAR(10),""),CHAR(13),""),CHAR(9),""),CHAR(160),"")," ",""),".",""),"-",""),"/",""),"?",""),"_",""),",",""),"[",""),"]",""),"(",""),")",""),"*","")</f>
        <v/>
      </c>
      <c r="AV563" s="61" t="str">
        <f aca="false">SUBSTITUTE(SUBSTITUTE(SUBSTITUTE(SUBSTITUTE(SUBSTITUTE(SUBSTITUTE(SUBSTITUTE(SUBSTITUTE(SUBSTITUTE(SUBSTITUTE(SUBSTITUTE(SUBSTITUTE(SUBSTITUTE(SUBSTITUTE(SUBSTITUTE(SUBSTITUTE(LOWER(V563&amp;""),CHAR(10),""),CHAR(13),""),CHAR(9),""),CHAR(160),"")," ",""),".",""),"-",""),"/",""),"?",""),"_",""),",",""),"[",""),"]",""),"(",""),")",""),"*","")</f>
        <v/>
      </c>
      <c r="AW563" s="61" t="str">
        <f aca="false">SUBSTITUTE(SUBSTITUTE(SUBSTITUTE(SUBSTITUTE(SUBSTITUTE(SUBSTITUTE(SUBSTITUTE(SUBSTITUTE(SUBSTITUTE(SUBSTITUTE(SUBSTITUTE(SUBSTITUTE(SUBSTITUTE(SUBSTITUTE(SUBSTITUTE(SUBSTITUTE(LOWER(Z563&amp;""),CHAR(10),""),CHAR(13),""),CHAR(9),""),CHAR(160),"")," ",""),".",""),"-",""),"/",""),"?",""),"_",""),",",""),"[",""),"]",""),"(",""),")",""),"*","")</f>
        <v/>
      </c>
      <c r="AX563" s="61" t="str">
        <f aca="false">SUBSTITUTE(SUBSTITUTE(SUBSTITUTE(SUBSTITUTE(SUBSTITUTE(SUBSTITUTE(SUBSTITUTE(SUBSTITUTE(SUBSTITUTE(SUBSTITUTE(SUBSTITUTE(SUBSTITUTE(SUBSTITUTE(SUBSTITUTE(SUBSTITUTE(SUBSTITUTE(LOWER(AE563&amp;""),CHAR(10),""),CHAR(13),""),CHAR(9),""),CHAR(160),"")," ",""),".",""),"-",""),"/",""),"?",""),"_",""),",",""),"[",""),"]",""),"(",""),")",""),"*","")</f>
        <v/>
      </c>
      <c r="AY563" s="61" t="str">
        <f aca="false">SUBSTITUTE(SUBSTITUTE(SUBSTITUTE(SUBSTITUTE(SUBSTITUTE(SUBSTITUTE(SUBSTITUTE(SUBSTITUTE(SUBSTITUTE(SUBSTITUTE(SUBSTITUTE(SUBSTITUTE(SUBSTITUTE(SUBSTITUTE(SUBSTITUTE(SUBSTITUTE(LOWER(W563&amp;""),CHAR(10),""),CHAR(13),""),CHAR(9),""),CHAR(160),"")," ",""),".",""),"-",""),"/",""),"?",""),"_",""),",",""),"[",""),"]",""),"(",""),")",""),"*","")</f>
        <v/>
      </c>
      <c r="AZ563" s="61" t="str">
        <f aca="false">SUBSTITUTE(SUBSTITUTE(SUBSTITUTE(SUBSTITUTE(SUBSTITUTE(SUBSTITUTE(SUBSTITUTE(SUBSTITUTE(SUBSTITUTE(SUBSTITUTE(SUBSTITUTE(SUBSTITUTE(SUBSTITUTE(SUBSTITUTE(SUBSTITUTE(SUBSTITUTE(LOWER(AC563&amp;""),CHAR(10),""),CHAR(13),""),CHAR(9),""),CHAR(160),"")," ",""),".",""),"-",""),"/",""),"?",""),"_",""),",",""),"[",""),"]",""),"(",""),")",""),"*","")</f>
        <v/>
      </c>
      <c r="BA563" s="61" t="str">
        <f aca="false">SUBSTITUTE(SUBSTITUTE(SUBSTITUTE(SUBSTITUTE(SUBSTITUTE(SUBSTITUTE(SUBSTITUTE(SUBSTITUTE(SUBSTITUTE(SUBSTITUTE(SUBSTITUTE(SUBSTITUTE(SUBSTITUTE(SUBSTITUTE(SUBSTITUTE(SUBSTITUTE(LOWER(AA563&amp;""),CHAR(10),""),CHAR(13),""),CHAR(9),""),CHAR(160),"")," ",""),".",""),"-",""),"/",""),"?",""),"_",""),",",""),"[",""),"]",""),"(",""),")",""),"*","")</f>
        <v/>
      </c>
      <c r="BB563" s="61" t="str">
        <f aca="false">IF(AND(TRIM(U563)="Pass",ISNUMBER(AF563)),IF(AF563&lt;&gt;0,"INVALID – qty variance: use Fail or Pass after CA",""),"")&amp;IF(AND(TRIM(U563)="Pass after CA",ISNUMBER(AF563)),IF(AF563&lt;&gt;0,"INVALID – after the corrective action the actual qty must equal expected (update Actual)",""),"")&amp;IF(AND(TRIM(U563)="Pass",TRIM(AB563)&lt;&gt;"",TRIM(AB563)&lt;&gt;"Closed"),"INVALID – corrective action not closed: use Fail, then Pass after CA","")&amp;IF(AND(LEN(BA563)&gt;=2,ISNA(MATCH(LEFT(BA563,255),L_Placeholder,0)),TRIM(AB563)=""),"INVALID – CA status missing for the recorded corrective action","")&amp;IF(AND(TRIM(U563)="Pass after CA",OR(OR(LEN(BA563)&lt;5,ISNUMBER(MATCH(BA563,L_Placeholder,0))),TRIM(AB563)&lt;&gt;"Closed")),"INVALID – corrective action not recorded/closed","")</f>
        <v/>
      </c>
      <c r="BC563" s="61" t="str">
        <f aca="false">" "&amp;TRIM(SUBSTITUTE(SUBSTITUTE(SUBSTITUTE(SUBSTITUTE(SUBSTITUTE(SUBSTITUTE(SUBSTITUTE(SUBSTITUTE(SUBSTITUTE(SUBSTITUTE(SUBSTITUTE(SUBSTITUTE(SUBSTITUTE(SUBSTITUTE(SUBSTITUTE(SUBSTITUTE(SUBSTITUTE(SUBSTITUTE(SUBSTITUTE(SUBSTITUTE(SUBSTITUTE(SUBSTITUTE(SUBSTITUTE(SUBSTITUTE(LOWER(V563&amp;""),CHAR(10)," "),CHAR(13)," "),CHAR(9)," "),CHAR(160)," "),"."," "),","," "),"-"," "),"/"," "),"("," "),")"," "),":"," "),";"," "),"_"," "),"–"," "),"?"," "),"!"," "),"*"," "),"["," "),"]"," "),"'"," "),"#"," "),"+"," "),"&amp;"," "),"\"," "))&amp;" "</f>
        <v>  </v>
      </c>
      <c r="BD563" s="61" t="str">
        <f aca="false">" "&amp;TRIM(SUBSTITUTE(SUBSTITUTE(SUBSTITUTE(SUBSTITUTE(SUBSTITUTE(SUBSTITUTE(SUBSTITUTE(SUBSTITUTE(SUBSTITUTE(SUBSTITUTE(SUBSTITUTE(SUBSTITUTE(SUBSTITUTE(SUBSTITUTE(SUBSTITUTE(SUBSTITUTE(SUBSTITUTE(SUBSTITUTE(SUBSTITUTE(SUBSTITUTE(SUBSTITUTE(SUBSTITUTE(SUBSTITUTE(SUBSTITUTE(LOWER(Z563&amp;""),CHAR(10)," "),CHAR(13)," "),CHAR(9)," "),CHAR(160)," "),"."," "),","," "),"-"," "),"/"," "),"("," "),")"," "),":"," "),";"," "),"_"," "),"–"," "),"?"," "),"!"," "),"*"," "),"["," "),"]"," "),"'"," "),"#"," "),"+"," "),"&amp;"," "),"\"," "))&amp;" "</f>
        <v>  </v>
      </c>
      <c r="BE563" s="61" t="str">
        <f aca="false">" "&amp;TRIM(SUBSTITUTE(SUBSTITUTE(SUBSTITUTE(SUBSTITUTE(SUBSTITUTE(SUBSTITUTE(SUBSTITUTE(SUBSTITUTE(SUBSTITUTE(SUBSTITUTE(SUBSTITUTE(SUBSTITUTE(SUBSTITUTE(SUBSTITUTE(SUBSTITUTE(SUBSTITUTE(SUBSTITUTE(SUBSTITUTE(SUBSTITUTE(SUBSTITUTE(SUBSTITUTE(SUBSTITUTE(SUBSTITUTE(SUBSTITUTE(LOWER(W563&amp;""),CHAR(10)," "),CHAR(13)," "),CHAR(9)," "),CHAR(160)," "),"."," "),","," "),"-"," "),"/"," "),"("," "),")"," "),":"," "),";"," "),"_"," "),"–"," "),"?"," "),"!"," "),"*"," "),"["," "),"]"," "),"'"," "),"#"," "),"+"," "),"&amp;"," "),"\"," "))&amp;" "</f>
        <v>  </v>
      </c>
      <c r="BF563" s="61" t="str">
        <f aca="false">" "&amp;TRIM(SUBSTITUTE(SUBSTITUTE(SUBSTITUTE(SUBSTITUTE(SUBSTITUTE(SUBSTITUTE(SUBSTITUTE(SUBSTITUTE(SUBSTITUTE(SUBSTITUTE(SUBSTITUTE(SUBSTITUTE(SUBSTITUTE(SUBSTITUTE(SUBSTITUTE(SUBSTITUTE(SUBSTITUTE(SUBSTITUTE(SUBSTITUTE(SUBSTITUTE(SUBSTITUTE(SUBSTITUTE(SUBSTITUTE(SUBSTITUTE(LOWER(AC563&amp;""),CHAR(10)," "),CHAR(13)," "),CHAR(9)," "),CHAR(160)," "),"."," "),","," "),"-"," "),"/"," "),"("," "),")"," "),":"," "),";"," "),"_"," "),"–"," "),"?"," "),"!"," "),"*"," "),"["," "),"]"," "),"'"," "),"#"," "),"+"," "),"&amp;"," "),"\"," "))&amp;" "</f>
        <v>  </v>
      </c>
      <c r="BG563" s="61" t="n">
        <f aca="false">IFERROR(IF(AND(TRIM(U563)="Pass",SUMPRODUCT((LEN(BC563)-LEN(SUBSTITUTE(BC563," "&amp;L_ResultBad&amp;" "," ")))/(LEN(L_ResultBad)+1))&gt;SUMPRODUCT((LEN(BC563)-LEN(SUBSTITUTE(BC563," "&amp;L_NegPhrase&amp;" "," ")))/(LEN(L_NegPhrase)+1))),1,0),0)</f>
        <v>0</v>
      </c>
      <c r="BH563" s="61" t="n">
        <f aca="false">IFERROR(IF(SUMPRODUCT((LEN(BC563)-LEN(SUBSTITUTE(BC563," "&amp;L_Pending&amp;" "," ")))/(LEN(L_Pending)+1))&gt;SUMPRODUCT((LEN(BC563)-LEN(SUBSTITUTE(BC563," "&amp;L_PendNeg&amp;" "," ")))/(LEN(L_PendNeg)+1)),1,0),1)</f>
        <v>0</v>
      </c>
      <c r="BI563" s="61" t="n">
        <f aca="false">IFERROR(IF(SUMPRODUCT((LEN(BD563)-LEN(SUBSTITUTE(BD563," "&amp;L_PendStrict&amp;" "," ")))/(LEN(L_PendStrict)+1))&gt;SUMPRODUCT((LEN(BD563)-LEN(SUBSTITUTE(BD563," "&amp;L_PendNeg&amp;" "," ")))/(LEN(L_PendNeg)+1)),1,0),1)</f>
        <v>0</v>
      </c>
      <c r="BJ563" s="61" t="n">
        <f aca="false">IFERROR(IF(SUMPRODUCT((LEN(BE563)-LEN(SUBSTITUTE(BE563," "&amp;L_Pending&amp;" "," ")))/(LEN(L_Pending)+1))&gt;SUMPRODUCT((LEN(BE563)-LEN(SUBSTITUTE(BE563," "&amp;L_PendNeg&amp;" "," ")))/(LEN(L_PendNeg)+1)),1,0),1)</f>
        <v>0</v>
      </c>
      <c r="BK563" s="61" t="n">
        <f aca="false">IFERROR(IF(SUMPRODUCT((LEN(BF563)-LEN(SUBSTITUTE(BF563," "&amp;L_PendStrict&amp;" "," ")))/(LEN(L_PendStrict)+1))&gt;SUMPRODUCT((LEN(BF563)-LEN(SUBSTITUTE(BF563," "&amp;L_PendNeg&amp;" "," ")))/(LEN(L_PendNeg)+1)),1,0),1)</f>
        <v>0</v>
      </c>
      <c r="BL563" s="61" t="n">
        <f aca="false">IF(ISNA(MATCH(TRIM(S563),L_EvidenceType,0)),0,BZ563)</f>
        <v>0</v>
      </c>
      <c r="BM563" s="61" t="str">
        <f aca="false">SUBSTITUTE(SUBSTITUTE(SUBSTITUTE(SUBSTITUTE(SUBSTITUTE(SUBSTITUTE(SUBSTITUTE(SUBSTITUTE(SUBSTITUTE(LOWER(Z563&amp;""),"1","0"),"2","0"),"3","0"),"4","0"),"5","0"),"6","0"),"7","0"),"8","0"),"9","0")</f>
        <v/>
      </c>
      <c r="BN563" s="61" t="str">
        <f aca="false">SUBSTITUTE(SUBSTITUTE(SUBSTITUTE(SUBSTITUTE(SUBSTITUTE(SUBSTITUTE(SUBSTITUTE(SUBSTITUTE(SUBSTITUTE(SUBSTITUTE(SUBSTITUTE(SUBSTITUTE(SUBSTITUTE(SUBSTITUTE(SUBSTITUTE(SUBSTITUTE(SUBSTITUTE(SUBSTITUTE(SUBSTITUTE(SUBSTITUTE(SUBSTITUTE(SUBSTITUTE(SUBSTITUTE(SUBSTITUTE(SUBSTITUTE(BM563,"b","a"),"c","a"),"d","a"),"e","a"),"f","a"),"g","a"),"h","a"),"i","a"),"j","a"),"k","a"),"l","a"),"m","a"),"n","a"),"o","a"),"p","a"),"q","a"),"r","a"),"s","a"),"t","a"),"u","a"),"v","a"),"w","a"),"x","a"),"y","a"),"z","a")</f>
        <v/>
      </c>
      <c r="BO563" s="61" t="str">
        <f aca="false">SUBSTITUTE(SUBSTITUTE(SUBSTITUTE(SUBSTITUTE(SUBSTITUTE(SUBSTITUTE(SUBSTITUTE(SUBSTITUTE(SUBSTITUTE(LOWER(W563&amp;""),"1","0"),"2","0"),"3","0"),"4","0"),"5","0"),"6","0"),"7","0"),"8","0"),"9","0")</f>
        <v/>
      </c>
      <c r="BP563" s="61" t="str">
        <f aca="false">SUBSTITUTE(SUBSTITUTE(SUBSTITUTE(SUBSTITUTE(SUBSTITUTE(SUBSTITUTE(SUBSTITUTE(SUBSTITUTE(SUBSTITUTE(SUBSTITUTE(SUBSTITUTE(SUBSTITUTE(SUBSTITUTE(SUBSTITUTE(SUBSTITUTE(SUBSTITUTE(SUBSTITUTE(SUBSTITUTE(SUBSTITUTE(SUBSTITUTE(SUBSTITUTE(SUBSTITUTE(SUBSTITUTE(SUBSTITUTE(SUBSTITUTE(BO563,"b","a"),"c","a"),"d","a"),"e","a"),"f","a"),"g","a"),"h","a"),"i","a"),"j","a"),"k","a"),"l","a"),"m","a"),"n","a"),"o","a"),"p","a"),"q","a"),"r","a"),"s","a"),"t","a"),"u","a"),"v","a"),"w","a"),"x","a"),"y","a"),"z","a")</f>
        <v/>
      </c>
      <c r="BQ563" s="61" t="n">
        <f aca="false">IFERROR(IF(AND(ISERROR(SEARCH(" mh"," "&amp;LOWER(W563))),ISNA(MATCH(LEFT(TRIM(BP563),255),{"0000a","000a","00a","0000aa","000aa","00aa","0aa","0000aaa","000aaa","00a00","0a00","0000-0000","00:00","a00","a0","00.00.0000","00/00/0000","00-00-0000","0000-00-00","0000/00/00","0000.00.00","00.00.00","00/00/00","00-00-00","0.00.0000","0/00/0000","0-00-0000"},0)),ISNA(MATCH(LEFT(TRIM(CA563),255),{"0000a","000a","00a","0000aa","000aa","00aa","0aa","0000aaa","000aaa","00a00","0a00","0000-0000","00:00","a00","a0","00.00.0000","00/00/0000","00-00-0000","0000-00-00","0000/00/00","0000.00.00","00.00.00","00/00/00","00-00-00","0.00.0000","0/00/0000","0-00-0000"},0)),LEN(CB563)&gt;=3,NOT(OR(SUBSTITUTE(CB563,"0","")="",AND(LEN(CB563)&gt;=4,CB563=REPT(LEFT(CB563),LEN(CB563))),ISNUMBER(MATCH(CB563,{"123","1234","12345","123456","1234567","12345678","0123","01234","012345","98765","987654","54321"},0)),AND(LEN(CB563)=8,LEFT(CB563,3)="202"))),OR(AND((LEN(CA563)-LEN(SUBSTITUTE(CA563,"a","")))&gt;=1,SUMPRODUCT(--ISNUMBER(SEARCH({"a0","a-0","a_0","a/0","a.0","a#0","0a","0-a","0_a","0/a"},BP563)))&gt;0),ISNUMBER(SEARCH("000000",BP563)))),1,0),0)</f>
        <v>0</v>
      </c>
      <c r="BR563" s="61" t="n">
        <f aca="false">IFERROR(LEN(SUBSTITUTE(CC563," ",""))-SUMPRODUCT((LEN(CC563)-LEN(SUBSTITUTE(CC563," "&amp;L_Role&amp;" "," ")))/(LEN(L_Role)+1)*LEN(L_Role)),0)</f>
        <v>0</v>
      </c>
      <c r="BS563" s="61" t="n">
        <f aca="false">IFERROR(LEN(SUBSTITUTE(CD563," ",""))-SUMPRODUCT((LEN(CD563)-LEN(SUBSTITUTE(CD563," "&amp;L_Role&amp;" "," ")))/(LEN(L_Role)+1)*LEN(L_Role)),0)</f>
        <v>0</v>
      </c>
      <c r="BT5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563,"revision",""),"version",""),"jan",""),"feb",""),"mar",""),"apr",""),"may",""),"jun",""),"jul",""),"aug",""),"sep",""),"oct",""),"nov",""),"dec",""),"utc",""),"gmt",""),"myt",""),"bst",""),"rev",""),"ver",""),"b","a"),"c","a"),"d","a"),"e","a"),"f","a"),"g","a"),"h","a"),"i","a"),"j","a"),"k","a"),"l","a"),"m","a"),"n","a"),"o","a"),"p","a"),"q","a"),"r","a"),"s","a"),"t","a"),"u","a"),"v","a"),"w","a"),"x","a"),"y","a"),"z","a")</f>
        <v/>
      </c>
      <c r="BU563" s="61" t="str">
        <f aca="false">SUBSTITUTE(SUBSTITUTE(SUBSTITUTE(SUBSTITUTE(SUBSTITUTE(SUBSTITUTE(SUBSTITUTE(SUBSTITUTE(SUBSTITUTE(SUBSTITUTE(LEFT(BM563,FIND("0",BM563&amp;"0")-1),"-",""),"_",""),"/",""),".",""),"#",""),"\\",""),":","")," ",""),"(",""),")","")</f>
        <v/>
      </c>
      <c r="BV563" s="61" t="n">
        <f aca="false">IFERROR(IF(OR(SUMPRODUCT((LEN(BC563)-LEN(SUBSTITUTE(BC563," "&amp;L_NotLoaded&amp;" "," ")))/(LEN(L_NotLoaded)+1))&gt;SUMPRODUCT((LEN(BC563)-LEN(SUBSTITUTE(BC563," "&amp;L_NotLoadedNeg&amp;" "," ")))/(LEN(L_NotLoadedNeg)+1)),SUMPRODUCT((LEN(BD563)-LEN(SUBSTITUTE(BD563," "&amp;L_NotLoaded&amp;" "," ")))/(LEN(L_NotLoaded)+1))&gt;SUMPRODUCT((LEN(BD563)-LEN(SUBSTITUTE(BD563," "&amp;L_NotLoadedNeg&amp;" "," ")))/(LEN(L_NotLoadedNeg)+1))),1,0),0)</f>
        <v>0</v>
      </c>
      <c r="BW5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563&amp;""),"a",""),"b",""),"c",""),"d",""),"e",""),"f",""),"g",""),"h",""),"i",""),"j",""),"k",""),"l",""),"m",""),"n",""),"o",""),"p",""),"q",""),"r",""),"s",""),"t",""),"u",""),"v",""),"w",""),"x",""),"y",""),"z",""),"-",""),"_",""),"/",""),".",""),"#",""),"\\",""),":","")," ",""),"(",""),")","")</f>
        <v/>
      </c>
      <c r="BX563" s="61" t="str">
        <f aca="false">SUBSTITUTE(SUBSTITUTE(SUBSTITUTE(SUBSTITUTE(SUBSTITUTE(SUBSTITUTE(SUBSTITUTE(SUBSTITUTE(SUBSTITUTE(SUBSTITUTE(SUBSTITUTE(BM563,"0",""),"-",""),"_",""),"/",""),".",""),"#",""),"\\",""),":","")," ",""),"(",""),")","")</f>
        <v/>
      </c>
      <c r="BY563" s="62" t="n">
        <f aca="false">IF(ISNUMBER(Flights!$AZ$21),MAX(Q563-UpliftWindowH/24,Flights!$AZ$21),Q563-UpliftWindowH/24)</f>
        <v>46322.0347222222</v>
      </c>
      <c r="BZ563" s="61" t="n">
        <f aca="false">IFERROR(IF(IF(TRIM(S563)="Link / file path",AND(LEN(TRIM(Z563))&gt;=5,SUMPRODUCT(--ISNUMBER(SEARCH({"http","www.","\\",":\",".pdf",".jpg",".jpeg",".png",".heic",".xls",".doc",".msg",".eml",".ppt",".txt",".zip"},Z563)))&gt;0),AND(ISERROR(FIND(" ",TRIM(Z563))),NOT(OR(SUMPRODUCT(--ISNUMBER(FIND({",",";","&amp;","+"},Z563)))&gt;0,SUMPRODUCT(--ISNUMBER(SEARCH({"0/aa","0\\aa"},BN563)))&gt;0)),NOT(SUMPRODUCT(--ISNUMBER(SEARCH({"http","www.","\\",":\",".pdf",".jpg",".jpeg",".png",".heic",".xls",".doc",".msg",".eml",".ppt",".txt",".zip"},Z563)))&gt;0),NOT(LOWER(TRIM(Z563))=LOWER(Flights!$F$21)),ISNA(MATCH(BU563,{"mh","rev","revision","ver","version","v","r","a","b","seat","tray","row","gate","bay","stand","page","pg","item","line","no","cart","galley","flight","flt","table","box","bag","oven","etd","eta","std","sta","atd","ata","qty","pax","x","time","tel","ph","mob","day","wk","week","utc","gmt","myt","lt"},0)),NOT(OR(ISNUMBER(MATCH(LEFT(BN563,255),{"0000a","000a","00a","0000aa","000aa","00aa","0aa","0000aaa","000aaa","00a00","0a00","0000-0000","00:00","a00","a0","00.00.0000","00/00/0000","00-00-0000","0000-00-00","0000/00/00","0000.00.00","00.00.00","00/00/00","00-00-00","0.00.0000","0/00/0000","0-00-0000"},0)),ISNUMBER(MATCH(LEFT(BT563,255),{"0000a","000a","00a","0000aa","000aa","00aa","0aa","0000aaa","000aaa","00a00","0a00","0000-0000","00:00","a00","a0","00.00.0000","00/00/0000","00-00-0000","0000-00-00","0000/00/00","0000.00.00","00.00.00","00/00/00","00-00-00","0.00.0000","0/00/0000","0-00-0000"},0)))),NOT(OR(AND(BW563&lt;&gt;"",SUBSTITUTE(BW563,"0","")=""),AND(LEN(BW563)&gt;=4,BW563=REPT(LEFT(BW563),LEN(BW563))),ISNUMBER(MATCH(BW563,{"123","1234","12345","123456","1234567","12345678","0123","01234","012345","98765","987654","54321"},0)),ISNUMBER(MATCH(BX563,{"x","xx","xxx","xxxx","xxxxx","abc","abcd","nil","na","nan","test","tbc","tba","tbd","dummy","sample","example","eg","zz","zzz","none","null","xyz","qwe","asd","id","ref"},0)),AND(LEN(BW563)=8,BX563="",OR(LEFT(BW563,3)="202",ISNUMBER(MATCH(RIGHT(BW563,4),{"2025","2026","2027"},0)))))),OR(AND((LEN(BT563)-LEN(SUBSTITUTE(BT563,"a","")))&gt;=1,(LEN(BN563)-LEN(SUBSTITUTE(BN563,"0","")))&gt;=2,SUMPRODUCT(--ISNUMBER(SEARCH({"a0","a-0","a_0","a/0","a.0","a#0","0a","0-a","0_a","0/a"},BN563)))&gt;0),AND((LEN(BN563)-LEN(SUBSTITUTE(BN563,"a","")))=0,(LEN(BN563)-LEN(SUBSTITUTE(BN563,"0","")))&gt;=5)))),1,0),0)</f>
        <v>0</v>
      </c>
      <c r="CA5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563,"revision",""),"version",""),"jan",""),"feb",""),"mar",""),"apr",""),"may",""),"jun",""),"jul",""),"aug",""),"sep",""),"oct",""),"nov",""),"dec",""),"utc",""),"gmt",""),"myt",""),"bst",""),"rev",""),"ver",""),"b","a"),"c","a"),"d","a"),"e","a"),"f","a"),"g","a"),"h","a"),"i","a"),"j","a"),"k","a"),"l","a"),"m","a"),"n","a"),"o","a"),"p","a"),"q","a"),"r","a"),"s","a"),"t","a"),"u","a"),"v","a"),"w","a"),"x","a"),"y","a"),"z","a")</f>
        <v/>
      </c>
      <c r="CB5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563&amp;""),"a",""),"b",""),"c",""),"d",""),"e",""),"f",""),"g",""),"h",""),"i",""),"j",""),"k",""),"l",""),"m",""),"n",""),"o",""),"p",""),"q",""),"r",""),"s",""),"t",""),"u",""),"v",""),"w",""),"x",""),"y",""),"z",""),"-",""),"_",""),"/",""),".",""),"#",""),"\\",""),":","")," ",""),"(",""),")","")</f>
        <v/>
      </c>
      <c r="CC563" s="0" t="str">
        <f aca="false">" "&amp;TRIM(SUBSTITUTE(SUBSTITUTE(SUBSTITUTE(SUBSTITUTE(SUBSTITUTE(SUBSTITUTE(SUBSTITUTE(SUBSTITUTE(SUBSTITUTE(SUBSTITUTE(SUBSTITUTE(SUBSTITUTE(SUBSTITUTE(SUBSTITUTE(SUBSTITUTE(SUBSTITUTE(SUBSTITUTE(SUBSTITUTE(SUBSTITUTE(SUBSTITUTE(SUBSTITUTE(SUBSTITUTE(SUBSTITUTE(SUBSTITUTE(LOWER(T563&amp;""),CHAR(10)," "),CHAR(13)," "),CHAR(9)," "),CHAR(160)," "),"."," "),","," "),"-"," "),"/"," "),"("," "),")"," "),":"," "),";"," "),"_"," "),"–"," "),"?"," "),"!"," "),"*"," "),"["," "),"]"," "),"'"," "),"#"," "),"+"," "),"&amp;"," "),"\"," "))&amp;" "</f>
        <v>  </v>
      </c>
      <c r="CD563" s="0" t="str">
        <f aca="false">" "&amp;TRIM(SUBSTITUTE(SUBSTITUTE(SUBSTITUTE(SUBSTITUTE(SUBSTITUTE(SUBSTITUTE(SUBSTITUTE(SUBSTITUTE(SUBSTITUTE(SUBSTITUTE(SUBSTITUTE(SUBSTITUTE(SUBSTITUTE(SUBSTITUTE(SUBSTITUTE(SUBSTITUTE(SUBSTITUTE(SUBSTITUTE(SUBSTITUTE(SUBSTITUTE(SUBSTITUTE(SUBSTITUTE(SUBSTITUTE(SUBSTITUTE(LOWER(AE563&amp;""),CHAR(10)," "),CHAR(13)," "),CHAR(9)," "),CHAR(160)," "),"."," "),","," "),"-"," "),"/"," "),"("," "),")"," "),":"," "),";"," "),"_"," "),"–"," "),"?"," "),"!"," "),"*"," "),"["," "),"]"," "),"'"," "),"#"," "),"+"," "),"&amp;"," "),"\"," "))&amp;" "</f>
        <v>  </v>
      </c>
      <c r="CE563" s="68" t="n">
        <f aca="false">IFERROR(IF(AND(LEN(AU563)&gt;0,LEN(AU563)=LEN(AX563),OR(TRIM(MID(SUBSTITUTE(TRIM(CC563)," ",REPT(" ",60)),1,60))="",ISNUMBER(SEARCH(" "&amp;TRIM(MID(SUBSTITUTE(TRIM(CC563)," ",REPT(" ",60)),1,60))&amp;" ",CD563))),OR(TRIM(MID(SUBSTITUTE(TRIM(CC563)," ",REPT(" ",60)),61,60))="",ISNUMBER(SEARCH(" "&amp;TRIM(MID(SUBSTITUTE(TRIM(CC563)," ",REPT(" ",60)),61,60))&amp;" ",CD563))),OR(TRIM(MID(SUBSTITUTE(TRIM(CC563)," ",REPT(" ",60)),121,60))="",ISNUMBER(SEARCH(" "&amp;TRIM(MID(SUBSTITUTE(TRIM(CC563)," ",REPT(" ",60)),121,60))&amp;" ",CD563)))),1,0),0)</f>
        <v>0</v>
      </c>
      <c r="CG563" s="68" t="n">
        <f aca="false">IFERROR(LEN(SUBSTITUTE(BF563," ",""))-SUMPRODUCT((LEN(BF563)-LEN(SUBSTITUTE(BF563," "&amp;L_NAFiller&amp;" "," ")))/(LEN(L_NAFiller)+1)*LEN(L_NAFiller)),0)</f>
        <v>0</v>
      </c>
    </row>
    <row r="564" customFormat="false" ht="39.75" hidden="false" customHeight="true" outlineLevel="0" collapsed="false">
      <c r="A564" s="57" t="s">
        <v>1254</v>
      </c>
      <c r="B564" s="57" t="s">
        <v>290</v>
      </c>
      <c r="C564" s="57" t="str">
        <f aca="false">Flights!$F$21</f>
        <v>MH0073</v>
      </c>
      <c r="D564" s="58" t="n">
        <f aca="false">Flights!$D$21</f>
        <v>46322</v>
      </c>
      <c r="E564" s="57" t="str">
        <f aca="false">Flights!$G$21&amp;"-"&amp;Flights!$H$21</f>
        <v>HKG-KUL</v>
      </c>
      <c r="F564" s="57" t="str">
        <f aca="false">Flights!$K$21</f>
        <v>BC</v>
      </c>
      <c r="G564" s="57" t="s">
        <v>459</v>
      </c>
      <c r="H564" s="57" t="s">
        <v>460</v>
      </c>
      <c r="I564" s="57" t="s">
        <v>499</v>
      </c>
      <c r="J564" s="57" t="s">
        <v>537</v>
      </c>
      <c r="K564" s="67" t="s">
        <v>501</v>
      </c>
      <c r="L564" s="67" t="s">
        <v>1225</v>
      </c>
      <c r="M564" s="67" t="s">
        <v>451</v>
      </c>
      <c r="N564" s="67" t="s">
        <v>383</v>
      </c>
      <c r="O564" s="67"/>
      <c r="P564" s="57" t="s">
        <v>282</v>
      </c>
      <c r="Q564" s="59" t="n">
        <f aca="false">ROUND((Flights!$AF$21)*1440,0)/1440</f>
        <v>46322.2847222222</v>
      </c>
      <c r="R564" s="59" t="n">
        <f aca="false">Q564+(IF(AND(INDEX(TZ_DSTS,MATCH(P564,TZ_STN,0))&lt;&gt;"",Q564&gt;=INDEX(TZ_DSTS,MATCH(P564,TZ_STN,0)),Q564&lt;INDEX(TZ_DSTE,MATCH(P564,TZ_STN,0))),INDEX(TZ_DST,MATCH(P564,TZ_STN,0)),INDEX(TZ_STD,MATCH(P564,TZ_STN,0))))/24</f>
        <v>46322.6180555556</v>
      </c>
      <c r="S564" s="60"/>
      <c r="T564" s="60"/>
      <c r="U564" s="60"/>
      <c r="V564" s="60"/>
      <c r="W564" s="61"/>
      <c r="X564" s="60"/>
      <c r="Y564" s="60"/>
      <c r="Z564" s="60"/>
      <c r="AA564" s="60"/>
      <c r="AB564" s="60"/>
      <c r="AC564" s="60"/>
      <c r="AD564" s="66"/>
      <c r="AE564" s="60"/>
      <c r="AF564" s="61" t="str">
        <f aca="false">IF(AND(ISNUMBER(X564),ISNUMBER(Y564)),Y564-X564,"")</f>
        <v/>
      </c>
      <c r="AG564" s="62" t="str">
        <f aca="false">IF(ISNUMBER(AD564),AD564-(IF(AND(INDEX(TZ_DSTS,MATCH(P564,TZ_STN,0))&lt;&gt;"",(AD564-INDEX(TZ_STD,MATCH(P564,TZ_STN,0))/24)&gt;=INDEX(TZ_DSTS,MATCH(P564,TZ_STN,0)),(AD564-INDEX(TZ_STD,MATCH(P564,TZ_STN,0))/24)&lt;INDEX(TZ_DSTE,MATCH(P564,TZ_STN,0))),INDEX(TZ_DST,MATCH(P564,TZ_STN,0)),INDEX(TZ_STD,MATCH(P564,TZ_STN,0))))/24,"")</f>
        <v/>
      </c>
      <c r="AH564" s="65" t="str">
        <f aca="false">IFERROR(IF(N564="N/A – rule",IF(OR(TRIM(U564)="",TRIM(U564)="N/A",TRIM(U564)="Not started"),"N/A – RULE","INVALID – this check does not apply to this aircraft: clear the status (or correct the fleet on Flights)"),IF(TRIM(U564)="N/A",IF(AT564=0,"INVALID – N/A not permitted for this check",IF(AND(TRIM(AB564)&lt;&gt;"",TRIM(AB564)&lt;&gt;"Closed"),"INVALID – corrective action still open",IF(AND(NOT(OR(LEN(AZ564)&lt;15,ISNUMBER(MATCH(AZ564,L_Placeholder,0)))),BK564=0,CG564&gt;=8,NOT(OR(LEN(AU564)&lt;2,ISNUMBER(MATCH(AU564,L_Placeholder,0)))),BR564&gt;=3,NOT(OR(LEN(AX564)&lt;2,ISNUMBER(MATCH(AX564,L_Placeholder,0)))),BS564&gt;=3,TRIM(AE564)&lt;&gt;TRIM(T564),AX564&lt;&gt;AU564,CE564=0),"N/A – JUSTIFIED","INVALID – N/A needs a real, settled reason (not 'not applicable' / 'as above' / TBC), a named PIC and a different named verifier"))),IF(OR(TRIM(U564)="Pass",TRIM(U564)="Pass after CA"),IF(NOT(ISNUMBER(AD564)),"INVALID – completion time missing",IF(OR(OR(LEN(AU564)&lt;2,ISNUMBER(MATCH(AU564,L_Placeholder,0))),BR564&lt;3),"INVALID – PIC missing or not a named person (a role such as QA / CSM is not a name)",IF(OR(LEN(AV564)&lt;2,ISNUMBER(MATCH(AV564,L_Placeholder,0))),"INVALID – result / assessment missing",IF(OR(OR(LEN(AW564)&lt;3,ISNUMBER(MATCH(AW564,L_Placeholder,0))),SUMPRODUCT(--ISNUMBER(SEARCH(" "&amp;L_EvidencePhrase&amp;" ",BD564)))&gt;0,BI564=1),"INVALID – evidence missing, placeholder or not yet on file",IF(ISNA(MATCH(TRIM(S564),L_EvidenceType,0)),"INVALID – choose the evidence type from the list (column S)",IF(BL564=0,"INVALID – evidence ID must be the record's own ID only (e.g. SF-2210, IMG_2231, 1045521); a link / file name needs type 'Link / file path'",IF(OR(OR(LEN(AX564)&lt;2,ISNUMBER(MATCH(AX564,L_Placeholder,0))),BS564&lt;3),"INVALID – verifier missing or not a named person (a role such as QA / CSM is not a name)",IF(OR(AX564=AU564,CE564=1,AND(LEN(AU564)&gt;=4,ISNUMBER(SEARCH(AU564,AX564))),AND(LEN(AX564)&gt;=4,ISNUMBER(SEARCH(AX564,AU564)))),"INVALID – verifier must be a different, named person (not the PIC or a role)",IF(BH564=1,"INVALID – result not yet available (awaiting / TBC)",IF(BG564=1,"INVALID – result describes a problem: record Fail, then Pass after CA (or reword if it is not a problem)",IF(BV564=1,"INVALID – wording says not on board: an on-board confirmation needs the item loaded",IF(AND(AQ564=1,OR(OR(LEN(AY564)&lt;3,ISNUMBER(MATCH(AY564,L_Placeholder,0))),BJ564=1,BQ564=0)),"INVALID – batch ID missing, placeholder or not an ID (e.g. PASB-261008-BC-017)",IF(AND(AR564=1,OR(NOT(ISNUMBER(X564)),NOT(ISNUMBER(Y564)))),"INVALID – expected/actual qty missing",IF(AND(AR564=1,OR(X564&lt;=0,Y564&lt;0)),"INVALID – expected qty must be above 0 and actual not negative",IF(AH550="N/A – JUSTIFIED","INVALID – preparation row F17-T12-09 is N/A",IF(AND(AR564=1,ISNUMBER(X550),X564&lt;&gt;X550,TRIM(U564)&lt;&gt;"Pass after CA"),"INVALID – expected qty differs from preparation check F17-T12-09: record the load change as a corrective action (Pass after CA)",IF(BB564&lt;&gt;"",BB564,IF(AND(AS564=1,Documents!$J$21&lt;&gt;"ON FILE"),"INVALID – GLD not on file (Documents sheet)",IF(AND(AS564=2,Documents!$O$21&lt;&gt;"ON FILE"),"INVALID – menu checklist not on file (Documents sheet)",IF(AND(AS564=3,NOT(ISNUMBER(Flights!$AX$21))),"INVALID – enter carrying flight KUL departure (Flights AX)",IF(AND(AS564=3,OR(Flights!$AZ$21&gt;Flights!$AA$21,Flights!$AX$21&lt;Flights!$AA$21-3)),"INVALID – carrying flight (Flights AX) cannot arrive before this leg's STD, or is over 3 days early",IF(AG564&gt;AsOfUTC,"INVALID – completion time is in the future",IF(AND(ISNUMBER(BY564),AG564&lt;BY564),IF(H564="Physical uplift","INVALID – before uplift window (cannot confirm loading)","INVALID – before valid window"),IF(AG564&gt;Flights!$AA$21,"INVALID – completed after departure (cannot establish readiness)",IF(AND(H564="Preparation",AG564&gt;=IF(ISNUMBER(Flights!$BA$21),MIN(Flights!$BA$21,Flights!$AA$21),Flights!$AA$21)),"INVALID – completed after loading / departure (cannot establish readiness)",IF(AND(H564="Physical uplift",AG564&gt;Q564),"INVALID – recorded after the loading flight departed",IF(AG564&gt;Q564,"COMPLETE – LATE","COMPLETE"))))))))))))))))))))))))))),IF(TRIM(U564)="Fail","FAIL – DISCREPANCY",IF(AND(TRIM(U564)&lt;&gt;"",TRIM(U564)&lt;&gt;"Not started",TRIM(U564)&lt;&gt;"In progress"),"INVALID – unrecognised status (use the list)",IF(AsOfUTC&gt;Q564,"OVERDUE",IF(N564="Clarification required","OPEN – CLARIFICATION","OPEN"))))))),"INVALID – error value in an input cell")</f>
        <v>OPEN</v>
      </c>
      <c r="AI564" s="61" t="n">
        <f aca="false">IF(OR(AH564="N/A – RULE",AH564="N/A – JUSTIFIED"),0,1)</f>
        <v>1</v>
      </c>
      <c r="AJ564" s="61" t="n">
        <f aca="false">IF(LEFT(AH564,8)="COMPLETE",1,0)</f>
        <v>0</v>
      </c>
      <c r="AK564" s="61" t="n">
        <f aca="false">IF(AND(AI564=1,AJ564=0,AsOfUTC&gt;Q564),1,0)</f>
        <v>0</v>
      </c>
      <c r="AL564" s="61" t="n">
        <f aca="false">IFERROR(IF(AND(AI564=1,OR(TRIM(U564)="Fail",AND(TRIM(AB564)&lt;&gt;"",TRIM(AB564)&lt;&gt;"Closed"),AND(ISNUMBER(AF564),AF564&lt;&gt;0,TRIM(U564)&lt;&gt;"Pass after CA"))),1,0),1)</f>
        <v>0</v>
      </c>
      <c r="AM564" s="61" t="n">
        <f aca="false">IF(LEFT(AH564,7)="INVALID",1,0)</f>
        <v>0</v>
      </c>
      <c r="AN564" s="61" t="n">
        <f aca="false">IF(AND(N564="Clarification required",AI564=1,AJ564=0),1,0)</f>
        <v>0</v>
      </c>
      <c r="AO564" s="61" t="str">
        <f aca="false">IF(AK564=1,SUM(AK$5:AK564),"")</f>
        <v/>
      </c>
      <c r="AP564" s="61" t="str">
        <f aca="false">IF(AL564=1,SUM(AL$5:AL564),"")</f>
        <v/>
      </c>
      <c r="AQ564" s="61" t="n">
        <v>0</v>
      </c>
      <c r="AR564" s="61" t="n">
        <v>0</v>
      </c>
      <c r="AS564" s="61" t="n">
        <v>0</v>
      </c>
      <c r="AT564" s="61" t="n">
        <v>0</v>
      </c>
      <c r="AU564" s="61" t="str">
        <f aca="false">SUBSTITUTE(SUBSTITUTE(SUBSTITUTE(SUBSTITUTE(SUBSTITUTE(SUBSTITUTE(SUBSTITUTE(SUBSTITUTE(SUBSTITUTE(SUBSTITUTE(SUBSTITUTE(SUBSTITUTE(SUBSTITUTE(SUBSTITUTE(SUBSTITUTE(SUBSTITUTE(LOWER(T564&amp;""),CHAR(10),""),CHAR(13),""),CHAR(9),""),CHAR(160),"")," ",""),".",""),"-",""),"/",""),"?",""),"_",""),",",""),"[",""),"]",""),"(",""),")",""),"*","")</f>
        <v/>
      </c>
      <c r="AV564" s="61" t="str">
        <f aca="false">SUBSTITUTE(SUBSTITUTE(SUBSTITUTE(SUBSTITUTE(SUBSTITUTE(SUBSTITUTE(SUBSTITUTE(SUBSTITUTE(SUBSTITUTE(SUBSTITUTE(SUBSTITUTE(SUBSTITUTE(SUBSTITUTE(SUBSTITUTE(SUBSTITUTE(SUBSTITUTE(LOWER(V564&amp;""),CHAR(10),""),CHAR(13),""),CHAR(9),""),CHAR(160),"")," ",""),".",""),"-",""),"/",""),"?",""),"_",""),",",""),"[",""),"]",""),"(",""),")",""),"*","")</f>
        <v/>
      </c>
      <c r="AW564" s="61" t="str">
        <f aca="false">SUBSTITUTE(SUBSTITUTE(SUBSTITUTE(SUBSTITUTE(SUBSTITUTE(SUBSTITUTE(SUBSTITUTE(SUBSTITUTE(SUBSTITUTE(SUBSTITUTE(SUBSTITUTE(SUBSTITUTE(SUBSTITUTE(SUBSTITUTE(SUBSTITUTE(SUBSTITUTE(LOWER(Z564&amp;""),CHAR(10),""),CHAR(13),""),CHAR(9),""),CHAR(160),"")," ",""),".",""),"-",""),"/",""),"?",""),"_",""),",",""),"[",""),"]",""),"(",""),")",""),"*","")</f>
        <v/>
      </c>
      <c r="AX564" s="61" t="str">
        <f aca="false">SUBSTITUTE(SUBSTITUTE(SUBSTITUTE(SUBSTITUTE(SUBSTITUTE(SUBSTITUTE(SUBSTITUTE(SUBSTITUTE(SUBSTITUTE(SUBSTITUTE(SUBSTITUTE(SUBSTITUTE(SUBSTITUTE(SUBSTITUTE(SUBSTITUTE(SUBSTITUTE(LOWER(AE564&amp;""),CHAR(10),""),CHAR(13),""),CHAR(9),""),CHAR(160),"")," ",""),".",""),"-",""),"/",""),"?",""),"_",""),",",""),"[",""),"]",""),"(",""),")",""),"*","")</f>
        <v/>
      </c>
      <c r="AY564" s="61" t="str">
        <f aca="false">SUBSTITUTE(SUBSTITUTE(SUBSTITUTE(SUBSTITUTE(SUBSTITUTE(SUBSTITUTE(SUBSTITUTE(SUBSTITUTE(SUBSTITUTE(SUBSTITUTE(SUBSTITUTE(SUBSTITUTE(SUBSTITUTE(SUBSTITUTE(SUBSTITUTE(SUBSTITUTE(LOWER(W564&amp;""),CHAR(10),""),CHAR(13),""),CHAR(9),""),CHAR(160),"")," ",""),".",""),"-",""),"/",""),"?",""),"_",""),",",""),"[",""),"]",""),"(",""),")",""),"*","")</f>
        <v/>
      </c>
      <c r="AZ564" s="61" t="str">
        <f aca="false">SUBSTITUTE(SUBSTITUTE(SUBSTITUTE(SUBSTITUTE(SUBSTITUTE(SUBSTITUTE(SUBSTITUTE(SUBSTITUTE(SUBSTITUTE(SUBSTITUTE(SUBSTITUTE(SUBSTITUTE(SUBSTITUTE(SUBSTITUTE(SUBSTITUTE(SUBSTITUTE(LOWER(AC564&amp;""),CHAR(10),""),CHAR(13),""),CHAR(9),""),CHAR(160),"")," ",""),".",""),"-",""),"/",""),"?",""),"_",""),",",""),"[",""),"]",""),"(",""),")",""),"*","")</f>
        <v/>
      </c>
      <c r="BA564" s="61" t="str">
        <f aca="false">SUBSTITUTE(SUBSTITUTE(SUBSTITUTE(SUBSTITUTE(SUBSTITUTE(SUBSTITUTE(SUBSTITUTE(SUBSTITUTE(SUBSTITUTE(SUBSTITUTE(SUBSTITUTE(SUBSTITUTE(SUBSTITUTE(SUBSTITUTE(SUBSTITUTE(SUBSTITUTE(LOWER(AA564&amp;""),CHAR(10),""),CHAR(13),""),CHAR(9),""),CHAR(160),"")," ",""),".",""),"-",""),"/",""),"?",""),"_",""),",",""),"[",""),"]",""),"(",""),")",""),"*","")</f>
        <v/>
      </c>
      <c r="BB564" s="61" t="str">
        <f aca="false">IF(AND(TRIM(U564)="Pass",ISNUMBER(AF564)),IF(AF564&lt;&gt;0,"INVALID – qty variance: use Fail or Pass after CA",""),"")&amp;IF(AND(TRIM(U564)="Pass after CA",ISNUMBER(AF564)),IF(AF564&lt;&gt;0,"INVALID – after the corrective action the actual qty must equal expected (update Actual)",""),"")&amp;IF(AND(TRIM(U564)="Pass",TRIM(AB564)&lt;&gt;"",TRIM(AB564)&lt;&gt;"Closed"),"INVALID – corrective action not closed: use Fail, then Pass after CA","")&amp;IF(AND(LEN(BA564)&gt;=2,ISNA(MATCH(LEFT(BA564,255),L_Placeholder,0)),TRIM(AB564)=""),"INVALID – CA status missing for the recorded corrective action","")&amp;IF(AND(TRIM(U564)="Pass after CA",OR(OR(LEN(BA564)&lt;5,ISNUMBER(MATCH(BA564,L_Placeholder,0))),TRIM(AB564)&lt;&gt;"Closed")),"INVALID – corrective action not recorded/closed","")</f>
        <v/>
      </c>
      <c r="BC564" s="61" t="str">
        <f aca="false">" "&amp;TRIM(SUBSTITUTE(SUBSTITUTE(SUBSTITUTE(SUBSTITUTE(SUBSTITUTE(SUBSTITUTE(SUBSTITUTE(SUBSTITUTE(SUBSTITUTE(SUBSTITUTE(SUBSTITUTE(SUBSTITUTE(SUBSTITUTE(SUBSTITUTE(SUBSTITUTE(SUBSTITUTE(SUBSTITUTE(SUBSTITUTE(SUBSTITUTE(SUBSTITUTE(SUBSTITUTE(SUBSTITUTE(SUBSTITUTE(SUBSTITUTE(LOWER(V564&amp;""),CHAR(10)," "),CHAR(13)," "),CHAR(9)," "),CHAR(160)," "),"."," "),","," "),"-"," "),"/"," "),"("," "),")"," "),":"," "),";"," "),"_"," "),"–"," "),"?"," "),"!"," "),"*"," "),"["," "),"]"," "),"'"," "),"#"," "),"+"," "),"&amp;"," "),"\"," "))&amp;" "</f>
        <v>  </v>
      </c>
      <c r="BD564" s="61" t="str">
        <f aca="false">" "&amp;TRIM(SUBSTITUTE(SUBSTITUTE(SUBSTITUTE(SUBSTITUTE(SUBSTITUTE(SUBSTITUTE(SUBSTITUTE(SUBSTITUTE(SUBSTITUTE(SUBSTITUTE(SUBSTITUTE(SUBSTITUTE(SUBSTITUTE(SUBSTITUTE(SUBSTITUTE(SUBSTITUTE(SUBSTITUTE(SUBSTITUTE(SUBSTITUTE(SUBSTITUTE(SUBSTITUTE(SUBSTITUTE(SUBSTITUTE(SUBSTITUTE(LOWER(Z564&amp;""),CHAR(10)," "),CHAR(13)," "),CHAR(9)," "),CHAR(160)," "),"."," "),","," "),"-"," "),"/"," "),"("," "),")"," "),":"," "),";"," "),"_"," "),"–"," "),"?"," "),"!"," "),"*"," "),"["," "),"]"," "),"'"," "),"#"," "),"+"," "),"&amp;"," "),"\"," "))&amp;" "</f>
        <v>  </v>
      </c>
      <c r="BE564" s="61" t="str">
        <f aca="false">" "&amp;TRIM(SUBSTITUTE(SUBSTITUTE(SUBSTITUTE(SUBSTITUTE(SUBSTITUTE(SUBSTITUTE(SUBSTITUTE(SUBSTITUTE(SUBSTITUTE(SUBSTITUTE(SUBSTITUTE(SUBSTITUTE(SUBSTITUTE(SUBSTITUTE(SUBSTITUTE(SUBSTITUTE(SUBSTITUTE(SUBSTITUTE(SUBSTITUTE(SUBSTITUTE(SUBSTITUTE(SUBSTITUTE(SUBSTITUTE(SUBSTITUTE(LOWER(W564&amp;""),CHAR(10)," "),CHAR(13)," "),CHAR(9)," "),CHAR(160)," "),"."," "),","," "),"-"," "),"/"," "),"("," "),")"," "),":"," "),";"," "),"_"," "),"–"," "),"?"," "),"!"," "),"*"," "),"["," "),"]"," "),"'"," "),"#"," "),"+"," "),"&amp;"," "),"\"," "))&amp;" "</f>
        <v>  </v>
      </c>
      <c r="BF564" s="61" t="str">
        <f aca="false">" "&amp;TRIM(SUBSTITUTE(SUBSTITUTE(SUBSTITUTE(SUBSTITUTE(SUBSTITUTE(SUBSTITUTE(SUBSTITUTE(SUBSTITUTE(SUBSTITUTE(SUBSTITUTE(SUBSTITUTE(SUBSTITUTE(SUBSTITUTE(SUBSTITUTE(SUBSTITUTE(SUBSTITUTE(SUBSTITUTE(SUBSTITUTE(SUBSTITUTE(SUBSTITUTE(SUBSTITUTE(SUBSTITUTE(SUBSTITUTE(SUBSTITUTE(LOWER(AC564&amp;""),CHAR(10)," "),CHAR(13)," "),CHAR(9)," "),CHAR(160)," "),"."," "),","," "),"-"," "),"/"," "),"("," "),")"," "),":"," "),";"," "),"_"," "),"–"," "),"?"," "),"!"," "),"*"," "),"["," "),"]"," "),"'"," "),"#"," "),"+"," "),"&amp;"," "),"\"," "))&amp;" "</f>
        <v>  </v>
      </c>
      <c r="BG564" s="61" t="n">
        <f aca="false">IFERROR(IF(AND(TRIM(U564)="Pass",SUMPRODUCT((LEN(BC564)-LEN(SUBSTITUTE(BC564," "&amp;L_ResultBad&amp;" "," ")))/(LEN(L_ResultBad)+1))&gt;SUMPRODUCT((LEN(BC564)-LEN(SUBSTITUTE(BC564," "&amp;L_NegPhrase&amp;" "," ")))/(LEN(L_NegPhrase)+1))),1,0),0)</f>
        <v>0</v>
      </c>
      <c r="BH564" s="61" t="n">
        <f aca="false">IFERROR(IF(SUMPRODUCT((LEN(BC564)-LEN(SUBSTITUTE(BC564," "&amp;L_Pending&amp;" "," ")))/(LEN(L_Pending)+1))&gt;SUMPRODUCT((LEN(BC564)-LEN(SUBSTITUTE(BC564," "&amp;L_PendNeg&amp;" "," ")))/(LEN(L_PendNeg)+1)),1,0),1)</f>
        <v>0</v>
      </c>
      <c r="BI564" s="61" t="n">
        <f aca="false">IFERROR(IF(SUMPRODUCT((LEN(BD564)-LEN(SUBSTITUTE(BD564," "&amp;L_PendStrict&amp;" "," ")))/(LEN(L_PendStrict)+1))&gt;SUMPRODUCT((LEN(BD564)-LEN(SUBSTITUTE(BD564," "&amp;L_PendNeg&amp;" "," ")))/(LEN(L_PendNeg)+1)),1,0),1)</f>
        <v>0</v>
      </c>
      <c r="BJ564" s="61" t="n">
        <f aca="false">IFERROR(IF(SUMPRODUCT((LEN(BE564)-LEN(SUBSTITUTE(BE564," "&amp;L_Pending&amp;" "," ")))/(LEN(L_Pending)+1))&gt;SUMPRODUCT((LEN(BE564)-LEN(SUBSTITUTE(BE564," "&amp;L_PendNeg&amp;" "," ")))/(LEN(L_PendNeg)+1)),1,0),1)</f>
        <v>0</v>
      </c>
      <c r="BK564" s="61" t="n">
        <f aca="false">IFERROR(IF(SUMPRODUCT((LEN(BF564)-LEN(SUBSTITUTE(BF564," "&amp;L_PendStrict&amp;" "," ")))/(LEN(L_PendStrict)+1))&gt;SUMPRODUCT((LEN(BF564)-LEN(SUBSTITUTE(BF564," "&amp;L_PendNeg&amp;" "," ")))/(LEN(L_PendNeg)+1)),1,0),1)</f>
        <v>0</v>
      </c>
      <c r="BL564" s="61" t="n">
        <f aca="false">IF(ISNA(MATCH(TRIM(S564),L_EvidenceType,0)),0,BZ564)</f>
        <v>0</v>
      </c>
      <c r="BM564" s="61" t="str">
        <f aca="false">SUBSTITUTE(SUBSTITUTE(SUBSTITUTE(SUBSTITUTE(SUBSTITUTE(SUBSTITUTE(SUBSTITUTE(SUBSTITUTE(SUBSTITUTE(LOWER(Z564&amp;""),"1","0"),"2","0"),"3","0"),"4","0"),"5","0"),"6","0"),"7","0"),"8","0"),"9","0")</f>
        <v/>
      </c>
      <c r="BN564" s="61" t="str">
        <f aca="false">SUBSTITUTE(SUBSTITUTE(SUBSTITUTE(SUBSTITUTE(SUBSTITUTE(SUBSTITUTE(SUBSTITUTE(SUBSTITUTE(SUBSTITUTE(SUBSTITUTE(SUBSTITUTE(SUBSTITUTE(SUBSTITUTE(SUBSTITUTE(SUBSTITUTE(SUBSTITUTE(SUBSTITUTE(SUBSTITUTE(SUBSTITUTE(SUBSTITUTE(SUBSTITUTE(SUBSTITUTE(SUBSTITUTE(SUBSTITUTE(SUBSTITUTE(BM564,"b","a"),"c","a"),"d","a"),"e","a"),"f","a"),"g","a"),"h","a"),"i","a"),"j","a"),"k","a"),"l","a"),"m","a"),"n","a"),"o","a"),"p","a"),"q","a"),"r","a"),"s","a"),"t","a"),"u","a"),"v","a"),"w","a"),"x","a"),"y","a"),"z","a")</f>
        <v/>
      </c>
      <c r="BO564" s="61" t="str">
        <f aca="false">SUBSTITUTE(SUBSTITUTE(SUBSTITUTE(SUBSTITUTE(SUBSTITUTE(SUBSTITUTE(SUBSTITUTE(SUBSTITUTE(SUBSTITUTE(LOWER(W564&amp;""),"1","0"),"2","0"),"3","0"),"4","0"),"5","0"),"6","0"),"7","0"),"8","0"),"9","0")</f>
        <v/>
      </c>
      <c r="BP564" s="61" t="str">
        <f aca="false">SUBSTITUTE(SUBSTITUTE(SUBSTITUTE(SUBSTITUTE(SUBSTITUTE(SUBSTITUTE(SUBSTITUTE(SUBSTITUTE(SUBSTITUTE(SUBSTITUTE(SUBSTITUTE(SUBSTITUTE(SUBSTITUTE(SUBSTITUTE(SUBSTITUTE(SUBSTITUTE(SUBSTITUTE(SUBSTITUTE(SUBSTITUTE(SUBSTITUTE(SUBSTITUTE(SUBSTITUTE(SUBSTITUTE(SUBSTITUTE(SUBSTITUTE(BO564,"b","a"),"c","a"),"d","a"),"e","a"),"f","a"),"g","a"),"h","a"),"i","a"),"j","a"),"k","a"),"l","a"),"m","a"),"n","a"),"o","a"),"p","a"),"q","a"),"r","a"),"s","a"),"t","a"),"u","a"),"v","a"),"w","a"),"x","a"),"y","a"),"z","a")</f>
        <v/>
      </c>
      <c r="BQ564" s="61" t="n">
        <f aca="false">IFERROR(IF(AND(ISERROR(SEARCH(" mh"," "&amp;LOWER(W564))),ISNA(MATCH(LEFT(TRIM(BP564),255),{"0000a","000a","00a","0000aa","000aa","00aa","0aa","0000aaa","000aaa","00a00","0a00","0000-0000","00:00","a00","a0","00.00.0000","00/00/0000","00-00-0000","0000-00-00","0000/00/00","0000.00.00","00.00.00","00/00/00","00-00-00","0.00.0000","0/00/0000","0-00-0000"},0)),ISNA(MATCH(LEFT(TRIM(CA564),255),{"0000a","000a","00a","0000aa","000aa","00aa","0aa","0000aaa","000aaa","00a00","0a00","0000-0000","00:00","a00","a0","00.00.0000","00/00/0000","00-00-0000","0000-00-00","0000/00/00","0000.00.00","00.00.00","00/00/00","00-00-00","0.00.0000","0/00/0000","0-00-0000"},0)),LEN(CB564)&gt;=3,NOT(OR(SUBSTITUTE(CB564,"0","")="",AND(LEN(CB564)&gt;=4,CB564=REPT(LEFT(CB564),LEN(CB564))),ISNUMBER(MATCH(CB564,{"123","1234","12345","123456","1234567","12345678","0123","01234","012345","98765","987654","54321"},0)),AND(LEN(CB564)=8,LEFT(CB564,3)="202"))),OR(AND((LEN(CA564)-LEN(SUBSTITUTE(CA564,"a","")))&gt;=1,SUMPRODUCT(--ISNUMBER(SEARCH({"a0","a-0","a_0","a/0","a.0","a#0","0a","0-a","0_a","0/a"},BP564)))&gt;0),ISNUMBER(SEARCH("000000",BP564)))),1,0),0)</f>
        <v>0</v>
      </c>
      <c r="BR564" s="61" t="n">
        <f aca="false">IFERROR(LEN(SUBSTITUTE(CC564," ",""))-SUMPRODUCT((LEN(CC564)-LEN(SUBSTITUTE(CC564," "&amp;L_Role&amp;" "," ")))/(LEN(L_Role)+1)*LEN(L_Role)),0)</f>
        <v>0</v>
      </c>
      <c r="BS564" s="61" t="n">
        <f aca="false">IFERROR(LEN(SUBSTITUTE(CD564," ",""))-SUMPRODUCT((LEN(CD564)-LEN(SUBSTITUTE(CD564," "&amp;L_Role&amp;" "," ")))/(LEN(L_Role)+1)*LEN(L_Role)),0)</f>
        <v>0</v>
      </c>
      <c r="BT5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564,"revision",""),"version",""),"jan",""),"feb",""),"mar",""),"apr",""),"may",""),"jun",""),"jul",""),"aug",""),"sep",""),"oct",""),"nov",""),"dec",""),"utc",""),"gmt",""),"myt",""),"bst",""),"rev",""),"ver",""),"b","a"),"c","a"),"d","a"),"e","a"),"f","a"),"g","a"),"h","a"),"i","a"),"j","a"),"k","a"),"l","a"),"m","a"),"n","a"),"o","a"),"p","a"),"q","a"),"r","a"),"s","a"),"t","a"),"u","a"),"v","a"),"w","a"),"x","a"),"y","a"),"z","a")</f>
        <v/>
      </c>
      <c r="BU564" s="61" t="str">
        <f aca="false">SUBSTITUTE(SUBSTITUTE(SUBSTITUTE(SUBSTITUTE(SUBSTITUTE(SUBSTITUTE(SUBSTITUTE(SUBSTITUTE(SUBSTITUTE(SUBSTITUTE(LEFT(BM564,FIND("0",BM564&amp;"0")-1),"-",""),"_",""),"/",""),".",""),"#",""),"\\",""),":","")," ",""),"(",""),")","")</f>
        <v/>
      </c>
      <c r="BV564" s="61" t="n">
        <f aca="false">IFERROR(IF(OR(SUMPRODUCT((LEN(BC564)-LEN(SUBSTITUTE(BC564," "&amp;L_NotLoaded&amp;" "," ")))/(LEN(L_NotLoaded)+1))&gt;SUMPRODUCT((LEN(BC564)-LEN(SUBSTITUTE(BC564," "&amp;L_NotLoadedNeg&amp;" "," ")))/(LEN(L_NotLoadedNeg)+1)),SUMPRODUCT((LEN(BD564)-LEN(SUBSTITUTE(BD564," "&amp;L_NotLoaded&amp;" "," ")))/(LEN(L_NotLoaded)+1))&gt;SUMPRODUCT((LEN(BD564)-LEN(SUBSTITUTE(BD564," "&amp;L_NotLoadedNeg&amp;" "," ")))/(LEN(L_NotLoadedNeg)+1))),1,0),0)</f>
        <v>0</v>
      </c>
      <c r="BW5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564&amp;""),"a",""),"b",""),"c",""),"d",""),"e",""),"f",""),"g",""),"h",""),"i",""),"j",""),"k",""),"l",""),"m",""),"n",""),"o",""),"p",""),"q",""),"r",""),"s",""),"t",""),"u",""),"v",""),"w",""),"x",""),"y",""),"z",""),"-",""),"_",""),"/",""),".",""),"#",""),"\\",""),":","")," ",""),"(",""),")","")</f>
        <v/>
      </c>
      <c r="BX564" s="61" t="str">
        <f aca="false">SUBSTITUTE(SUBSTITUTE(SUBSTITUTE(SUBSTITUTE(SUBSTITUTE(SUBSTITUTE(SUBSTITUTE(SUBSTITUTE(SUBSTITUTE(SUBSTITUTE(SUBSTITUTE(BM564,"0",""),"-",""),"_",""),"/",""),".",""),"#",""),"\\",""),":","")," ",""),"(",""),")","")</f>
        <v/>
      </c>
      <c r="BY564" s="62" t="n">
        <f aca="false">IF(ISNUMBER(Flights!$AZ$21),MAX(Q564-UpliftWindowH/24,Flights!$AZ$21),Q564-UpliftWindowH/24)</f>
        <v>46322.0347222222</v>
      </c>
      <c r="BZ564" s="61" t="n">
        <f aca="false">IFERROR(IF(IF(TRIM(S564)="Link / file path",AND(LEN(TRIM(Z564))&gt;=5,SUMPRODUCT(--ISNUMBER(SEARCH({"http","www.","\\",":\",".pdf",".jpg",".jpeg",".png",".heic",".xls",".doc",".msg",".eml",".ppt",".txt",".zip"},Z564)))&gt;0),AND(ISERROR(FIND(" ",TRIM(Z564))),NOT(OR(SUMPRODUCT(--ISNUMBER(FIND({",",";","&amp;","+"},Z564)))&gt;0,SUMPRODUCT(--ISNUMBER(SEARCH({"0/aa","0\\aa"},BN564)))&gt;0)),NOT(SUMPRODUCT(--ISNUMBER(SEARCH({"http","www.","\\",":\",".pdf",".jpg",".jpeg",".png",".heic",".xls",".doc",".msg",".eml",".ppt",".txt",".zip"},Z564)))&gt;0),NOT(LOWER(TRIM(Z564))=LOWER(Flights!$F$21)),ISNA(MATCH(BU564,{"mh","rev","revision","ver","version","v","r","a","b","seat","tray","row","gate","bay","stand","page","pg","item","line","no","cart","galley","flight","flt","table","box","bag","oven","etd","eta","std","sta","atd","ata","qty","pax","x","time","tel","ph","mob","day","wk","week","utc","gmt","myt","lt"},0)),NOT(OR(ISNUMBER(MATCH(LEFT(BN564,255),{"0000a","000a","00a","0000aa","000aa","00aa","0aa","0000aaa","000aaa","00a00","0a00","0000-0000","00:00","a00","a0","00.00.0000","00/00/0000","00-00-0000","0000-00-00","0000/00/00","0000.00.00","00.00.00","00/00/00","00-00-00","0.00.0000","0/00/0000","0-00-0000"},0)),ISNUMBER(MATCH(LEFT(BT564,255),{"0000a","000a","00a","0000aa","000aa","00aa","0aa","0000aaa","000aaa","00a00","0a00","0000-0000","00:00","a00","a0","00.00.0000","00/00/0000","00-00-0000","0000-00-00","0000/00/00","0000.00.00","00.00.00","00/00/00","00-00-00","0.00.0000","0/00/0000","0-00-0000"},0)))),NOT(OR(AND(BW564&lt;&gt;"",SUBSTITUTE(BW564,"0","")=""),AND(LEN(BW564)&gt;=4,BW564=REPT(LEFT(BW564),LEN(BW564))),ISNUMBER(MATCH(BW564,{"123","1234","12345","123456","1234567","12345678","0123","01234","012345","98765","987654","54321"},0)),ISNUMBER(MATCH(BX564,{"x","xx","xxx","xxxx","xxxxx","abc","abcd","nil","na","nan","test","tbc","tba","tbd","dummy","sample","example","eg","zz","zzz","none","null","xyz","qwe","asd","id","ref"},0)),AND(LEN(BW564)=8,BX564="",OR(LEFT(BW564,3)="202",ISNUMBER(MATCH(RIGHT(BW564,4),{"2025","2026","2027"},0)))))),OR(AND((LEN(BT564)-LEN(SUBSTITUTE(BT564,"a","")))&gt;=1,(LEN(BN564)-LEN(SUBSTITUTE(BN564,"0","")))&gt;=2,SUMPRODUCT(--ISNUMBER(SEARCH({"a0","a-0","a_0","a/0","a.0","a#0","0a","0-a","0_a","0/a"},BN564)))&gt;0),AND((LEN(BN564)-LEN(SUBSTITUTE(BN564,"a","")))=0,(LEN(BN564)-LEN(SUBSTITUTE(BN564,"0","")))&gt;=5)))),1,0),0)</f>
        <v>0</v>
      </c>
      <c r="CA5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564,"revision",""),"version",""),"jan",""),"feb",""),"mar",""),"apr",""),"may",""),"jun",""),"jul",""),"aug",""),"sep",""),"oct",""),"nov",""),"dec",""),"utc",""),"gmt",""),"myt",""),"bst",""),"rev",""),"ver",""),"b","a"),"c","a"),"d","a"),"e","a"),"f","a"),"g","a"),"h","a"),"i","a"),"j","a"),"k","a"),"l","a"),"m","a"),"n","a"),"o","a"),"p","a"),"q","a"),"r","a"),"s","a"),"t","a"),"u","a"),"v","a"),"w","a"),"x","a"),"y","a"),"z","a")</f>
        <v/>
      </c>
      <c r="CB5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564&amp;""),"a",""),"b",""),"c",""),"d",""),"e",""),"f",""),"g",""),"h",""),"i",""),"j",""),"k",""),"l",""),"m",""),"n",""),"o",""),"p",""),"q",""),"r",""),"s",""),"t",""),"u",""),"v",""),"w",""),"x",""),"y",""),"z",""),"-",""),"_",""),"/",""),".",""),"#",""),"\\",""),":","")," ",""),"(",""),")","")</f>
        <v/>
      </c>
      <c r="CC564" s="0" t="str">
        <f aca="false">" "&amp;TRIM(SUBSTITUTE(SUBSTITUTE(SUBSTITUTE(SUBSTITUTE(SUBSTITUTE(SUBSTITUTE(SUBSTITUTE(SUBSTITUTE(SUBSTITUTE(SUBSTITUTE(SUBSTITUTE(SUBSTITUTE(SUBSTITUTE(SUBSTITUTE(SUBSTITUTE(SUBSTITUTE(SUBSTITUTE(SUBSTITUTE(SUBSTITUTE(SUBSTITUTE(SUBSTITUTE(SUBSTITUTE(SUBSTITUTE(SUBSTITUTE(LOWER(T564&amp;""),CHAR(10)," "),CHAR(13)," "),CHAR(9)," "),CHAR(160)," "),"."," "),","," "),"-"," "),"/"," "),"("," "),")"," "),":"," "),";"," "),"_"," "),"–"," "),"?"," "),"!"," "),"*"," "),"["," "),"]"," "),"'"," "),"#"," "),"+"," "),"&amp;"," "),"\"," "))&amp;" "</f>
        <v>  </v>
      </c>
      <c r="CD564" s="0" t="str">
        <f aca="false">" "&amp;TRIM(SUBSTITUTE(SUBSTITUTE(SUBSTITUTE(SUBSTITUTE(SUBSTITUTE(SUBSTITUTE(SUBSTITUTE(SUBSTITUTE(SUBSTITUTE(SUBSTITUTE(SUBSTITUTE(SUBSTITUTE(SUBSTITUTE(SUBSTITUTE(SUBSTITUTE(SUBSTITUTE(SUBSTITUTE(SUBSTITUTE(SUBSTITUTE(SUBSTITUTE(SUBSTITUTE(SUBSTITUTE(SUBSTITUTE(SUBSTITUTE(LOWER(AE564&amp;""),CHAR(10)," "),CHAR(13)," "),CHAR(9)," "),CHAR(160)," "),"."," "),","," "),"-"," "),"/"," "),"("," "),")"," "),":"," "),";"," "),"_"," "),"–"," "),"?"," "),"!"," "),"*"," "),"["," "),"]"," "),"'"," "),"#"," "),"+"," "),"&amp;"," "),"\"," "))&amp;" "</f>
        <v>  </v>
      </c>
      <c r="CE564" s="68" t="n">
        <f aca="false">IFERROR(IF(AND(LEN(AU564)&gt;0,LEN(AU564)=LEN(AX564),OR(TRIM(MID(SUBSTITUTE(TRIM(CC564)," ",REPT(" ",60)),1,60))="",ISNUMBER(SEARCH(" "&amp;TRIM(MID(SUBSTITUTE(TRIM(CC564)," ",REPT(" ",60)),1,60))&amp;" ",CD564))),OR(TRIM(MID(SUBSTITUTE(TRIM(CC564)," ",REPT(" ",60)),61,60))="",ISNUMBER(SEARCH(" "&amp;TRIM(MID(SUBSTITUTE(TRIM(CC564)," ",REPT(" ",60)),61,60))&amp;" ",CD564))),OR(TRIM(MID(SUBSTITUTE(TRIM(CC564)," ",REPT(" ",60)),121,60))="",ISNUMBER(SEARCH(" "&amp;TRIM(MID(SUBSTITUTE(TRIM(CC564)," ",REPT(" ",60)),121,60))&amp;" ",CD564)))),1,0),0)</f>
        <v>0</v>
      </c>
      <c r="CG564" s="68" t="n">
        <f aca="false">IFERROR(LEN(SUBSTITUTE(BF564," ",""))-SUMPRODUCT((LEN(BF564)-LEN(SUBSTITUTE(BF564," "&amp;L_NAFiller&amp;" "," ")))/(LEN(L_NAFiller)+1)*LEN(L_NAFiller)),0)</f>
        <v>0</v>
      </c>
    </row>
    <row r="565" customFormat="false" ht="39.75" hidden="false" customHeight="true" outlineLevel="0" collapsed="false">
      <c r="A565" s="57" t="s">
        <v>1255</v>
      </c>
      <c r="B565" s="57" t="s">
        <v>290</v>
      </c>
      <c r="C565" s="57" t="str">
        <f aca="false">Flights!$F$21</f>
        <v>MH0073</v>
      </c>
      <c r="D565" s="58" t="n">
        <f aca="false">Flights!$D$21</f>
        <v>46322</v>
      </c>
      <c r="E565" s="57" t="str">
        <f aca="false">Flights!$G$21&amp;"-"&amp;Flights!$H$21</f>
        <v>HKG-KUL</v>
      </c>
      <c r="F565" s="57" t="str">
        <f aca="false">Flights!$K$21</f>
        <v>BC</v>
      </c>
      <c r="G565" s="57" t="s">
        <v>459</v>
      </c>
      <c r="H565" s="57" t="s">
        <v>460</v>
      </c>
      <c r="I565" s="57" t="s">
        <v>499</v>
      </c>
      <c r="J565" s="57" t="s">
        <v>539</v>
      </c>
      <c r="K565" s="67" t="s">
        <v>501</v>
      </c>
      <c r="L565" s="67" t="s">
        <v>1228</v>
      </c>
      <c r="M565" s="67" t="s">
        <v>451</v>
      </c>
      <c r="N565" s="67" t="s">
        <v>383</v>
      </c>
      <c r="O565" s="67"/>
      <c r="P565" s="57" t="s">
        <v>282</v>
      </c>
      <c r="Q565" s="59" t="n">
        <f aca="false">ROUND((Flights!$AF$21)*1440,0)/1440</f>
        <v>46322.2847222222</v>
      </c>
      <c r="R565" s="59" t="n">
        <f aca="false">Q565+(IF(AND(INDEX(TZ_DSTS,MATCH(P565,TZ_STN,0))&lt;&gt;"",Q565&gt;=INDEX(TZ_DSTS,MATCH(P565,TZ_STN,0)),Q565&lt;INDEX(TZ_DSTE,MATCH(P565,TZ_STN,0))),INDEX(TZ_DST,MATCH(P565,TZ_STN,0)),INDEX(TZ_STD,MATCH(P565,TZ_STN,0))))/24</f>
        <v>46322.6180555556</v>
      </c>
      <c r="S565" s="60"/>
      <c r="T565" s="60"/>
      <c r="U565" s="60"/>
      <c r="V565" s="60"/>
      <c r="W565" s="61"/>
      <c r="X565" s="60"/>
      <c r="Y565" s="60"/>
      <c r="Z565" s="60"/>
      <c r="AA565" s="60"/>
      <c r="AB565" s="60"/>
      <c r="AC565" s="60"/>
      <c r="AD565" s="66"/>
      <c r="AE565" s="60"/>
      <c r="AF565" s="61" t="str">
        <f aca="false">IF(AND(ISNUMBER(X565),ISNUMBER(Y565)),Y565-X565,"")</f>
        <v/>
      </c>
      <c r="AG565" s="62" t="str">
        <f aca="false">IF(ISNUMBER(AD565),AD565-(IF(AND(INDEX(TZ_DSTS,MATCH(P565,TZ_STN,0))&lt;&gt;"",(AD565-INDEX(TZ_STD,MATCH(P565,TZ_STN,0))/24)&gt;=INDEX(TZ_DSTS,MATCH(P565,TZ_STN,0)),(AD565-INDEX(TZ_STD,MATCH(P565,TZ_STN,0))/24)&lt;INDEX(TZ_DSTE,MATCH(P565,TZ_STN,0))),INDEX(TZ_DST,MATCH(P565,TZ_STN,0)),INDEX(TZ_STD,MATCH(P565,TZ_STN,0))))/24,"")</f>
        <v/>
      </c>
      <c r="AH565" s="65" t="str">
        <f aca="false">IFERROR(IF(N565="N/A – rule",IF(OR(TRIM(U565)="",TRIM(U565)="N/A",TRIM(U565)="Not started"),"N/A – RULE","INVALID – this check does not apply to this aircraft: clear the status (or correct the fleet on Flights)"),IF(TRIM(U565)="N/A",IF(AT565=0,"INVALID – N/A not permitted for this check",IF(AND(TRIM(AB565)&lt;&gt;"",TRIM(AB565)&lt;&gt;"Closed"),"INVALID – corrective action still open",IF(AND(NOT(OR(LEN(AZ565)&lt;15,ISNUMBER(MATCH(AZ565,L_Placeholder,0)))),BK565=0,CG565&gt;=8,NOT(OR(LEN(AU565)&lt;2,ISNUMBER(MATCH(AU565,L_Placeholder,0)))),BR565&gt;=3,NOT(OR(LEN(AX565)&lt;2,ISNUMBER(MATCH(AX565,L_Placeholder,0)))),BS565&gt;=3,TRIM(AE565)&lt;&gt;TRIM(T565),AX565&lt;&gt;AU565,CE565=0),"N/A – JUSTIFIED","INVALID – N/A needs a real, settled reason (not 'not applicable' / 'as above' / TBC), a named PIC and a different named verifier"))),IF(OR(TRIM(U565)="Pass",TRIM(U565)="Pass after CA"),IF(NOT(ISNUMBER(AD565)),"INVALID – completion time missing",IF(OR(OR(LEN(AU565)&lt;2,ISNUMBER(MATCH(AU565,L_Placeholder,0))),BR565&lt;3),"INVALID – PIC missing or not a named person (a role such as QA / CSM is not a name)",IF(OR(LEN(AV565)&lt;2,ISNUMBER(MATCH(AV565,L_Placeholder,0))),"INVALID – result / assessment missing",IF(OR(OR(LEN(AW565)&lt;3,ISNUMBER(MATCH(AW565,L_Placeholder,0))),SUMPRODUCT(--ISNUMBER(SEARCH(" "&amp;L_EvidencePhrase&amp;" ",BD565)))&gt;0,BI565=1),"INVALID – evidence missing, placeholder or not yet on file",IF(ISNA(MATCH(TRIM(S565),L_EvidenceType,0)),"INVALID – choose the evidence type from the list (column S)",IF(BL565=0,"INVALID – evidence ID must be the record's own ID only (e.g. SF-2210, IMG_2231, 1045521); a link / file name needs type 'Link / file path'",IF(OR(OR(LEN(AX565)&lt;2,ISNUMBER(MATCH(AX565,L_Placeholder,0))),BS565&lt;3),"INVALID – verifier missing or not a named person (a role such as QA / CSM is not a name)",IF(OR(AX565=AU565,CE565=1,AND(LEN(AU565)&gt;=4,ISNUMBER(SEARCH(AU565,AX565))),AND(LEN(AX565)&gt;=4,ISNUMBER(SEARCH(AX565,AU565)))),"INVALID – verifier must be a different, named person (not the PIC or a role)",IF(BH565=1,"INVALID – result not yet available (awaiting / TBC)",IF(BG565=1,"INVALID – result describes a problem: record Fail, then Pass after CA (or reword if it is not a problem)",IF(BV565=1,"INVALID – wording says not on board: an on-board confirmation needs the item loaded",IF(AND(AQ565=1,OR(OR(LEN(AY565)&lt;3,ISNUMBER(MATCH(AY565,L_Placeholder,0))),BJ565=1,BQ565=0)),"INVALID – batch ID missing, placeholder or not an ID (e.g. PASB-261008-BC-017)",IF(AND(AR565=1,OR(NOT(ISNUMBER(X565)),NOT(ISNUMBER(Y565)))),"INVALID – expected/actual qty missing",IF(AND(AR565=1,OR(X565&lt;=0,Y565&lt;0)),"INVALID – expected qty must be above 0 and actual not negative",IF(AH551="N/A – JUSTIFIED","INVALID – preparation row F17-T12-10 is N/A",IF(AND(AR565=1,ISNUMBER(X551),X565&lt;&gt;X551,TRIM(U565)&lt;&gt;"Pass after CA"),"INVALID – expected qty differs from preparation check F17-T12-10: record the load change as a corrective action (Pass after CA)",IF(BB565&lt;&gt;"",BB565,IF(AND(AS565=1,Documents!$J$21&lt;&gt;"ON FILE"),"INVALID – GLD not on file (Documents sheet)",IF(AND(AS565=2,Documents!$O$21&lt;&gt;"ON FILE"),"INVALID – menu checklist not on file (Documents sheet)",IF(AND(AS565=3,NOT(ISNUMBER(Flights!$AX$21))),"INVALID – enter carrying flight KUL departure (Flights AX)",IF(AND(AS565=3,OR(Flights!$AZ$21&gt;Flights!$AA$21,Flights!$AX$21&lt;Flights!$AA$21-3)),"INVALID – carrying flight (Flights AX) cannot arrive before this leg's STD, or is over 3 days early",IF(AG565&gt;AsOfUTC,"INVALID – completion time is in the future",IF(AND(ISNUMBER(BY565),AG565&lt;BY565),IF(H565="Physical uplift","INVALID – before uplift window (cannot confirm loading)","INVALID – before valid window"),IF(AG565&gt;Flights!$AA$21,"INVALID – completed after departure (cannot establish readiness)",IF(AND(H565="Preparation",AG565&gt;=IF(ISNUMBER(Flights!$BA$21),MIN(Flights!$BA$21,Flights!$AA$21),Flights!$AA$21)),"INVALID – completed after loading / departure (cannot establish readiness)",IF(AND(H565="Physical uplift",AG565&gt;Q565),"INVALID – recorded after the loading flight departed",IF(AG565&gt;Q565,"COMPLETE – LATE","COMPLETE"))))))))))))))))))))))))))),IF(TRIM(U565)="Fail","FAIL – DISCREPANCY",IF(AND(TRIM(U565)&lt;&gt;"",TRIM(U565)&lt;&gt;"Not started",TRIM(U565)&lt;&gt;"In progress"),"INVALID – unrecognised status (use the list)",IF(AsOfUTC&gt;Q565,"OVERDUE",IF(N565="Clarification required","OPEN – CLARIFICATION","OPEN"))))))),"INVALID – error value in an input cell")</f>
        <v>OPEN</v>
      </c>
      <c r="AI565" s="61" t="n">
        <f aca="false">IF(OR(AH565="N/A – RULE",AH565="N/A – JUSTIFIED"),0,1)</f>
        <v>1</v>
      </c>
      <c r="AJ565" s="61" t="n">
        <f aca="false">IF(LEFT(AH565,8)="COMPLETE",1,0)</f>
        <v>0</v>
      </c>
      <c r="AK565" s="61" t="n">
        <f aca="false">IF(AND(AI565=1,AJ565=0,AsOfUTC&gt;Q565),1,0)</f>
        <v>0</v>
      </c>
      <c r="AL565" s="61" t="n">
        <f aca="false">IFERROR(IF(AND(AI565=1,OR(TRIM(U565)="Fail",AND(TRIM(AB565)&lt;&gt;"",TRIM(AB565)&lt;&gt;"Closed"),AND(ISNUMBER(AF565),AF565&lt;&gt;0,TRIM(U565)&lt;&gt;"Pass after CA"))),1,0),1)</f>
        <v>0</v>
      </c>
      <c r="AM565" s="61" t="n">
        <f aca="false">IF(LEFT(AH565,7)="INVALID",1,0)</f>
        <v>0</v>
      </c>
      <c r="AN565" s="61" t="n">
        <f aca="false">IF(AND(N565="Clarification required",AI565=1,AJ565=0),1,0)</f>
        <v>0</v>
      </c>
      <c r="AO565" s="61" t="str">
        <f aca="false">IF(AK565=1,SUM(AK$5:AK565),"")</f>
        <v/>
      </c>
      <c r="AP565" s="61" t="str">
        <f aca="false">IF(AL565=1,SUM(AL$5:AL565),"")</f>
        <v/>
      </c>
      <c r="AQ565" s="61" t="n">
        <v>0</v>
      </c>
      <c r="AR565" s="61" t="n">
        <v>0</v>
      </c>
      <c r="AS565" s="61" t="n">
        <v>0</v>
      </c>
      <c r="AT565" s="61" t="n">
        <v>0</v>
      </c>
      <c r="AU565" s="61" t="str">
        <f aca="false">SUBSTITUTE(SUBSTITUTE(SUBSTITUTE(SUBSTITUTE(SUBSTITUTE(SUBSTITUTE(SUBSTITUTE(SUBSTITUTE(SUBSTITUTE(SUBSTITUTE(SUBSTITUTE(SUBSTITUTE(SUBSTITUTE(SUBSTITUTE(SUBSTITUTE(SUBSTITUTE(LOWER(T565&amp;""),CHAR(10),""),CHAR(13),""),CHAR(9),""),CHAR(160),"")," ",""),".",""),"-",""),"/",""),"?",""),"_",""),",",""),"[",""),"]",""),"(",""),")",""),"*","")</f>
        <v/>
      </c>
      <c r="AV565" s="61" t="str">
        <f aca="false">SUBSTITUTE(SUBSTITUTE(SUBSTITUTE(SUBSTITUTE(SUBSTITUTE(SUBSTITUTE(SUBSTITUTE(SUBSTITUTE(SUBSTITUTE(SUBSTITUTE(SUBSTITUTE(SUBSTITUTE(SUBSTITUTE(SUBSTITUTE(SUBSTITUTE(SUBSTITUTE(LOWER(V565&amp;""),CHAR(10),""),CHAR(13),""),CHAR(9),""),CHAR(160),"")," ",""),".",""),"-",""),"/",""),"?",""),"_",""),",",""),"[",""),"]",""),"(",""),")",""),"*","")</f>
        <v/>
      </c>
      <c r="AW565" s="61" t="str">
        <f aca="false">SUBSTITUTE(SUBSTITUTE(SUBSTITUTE(SUBSTITUTE(SUBSTITUTE(SUBSTITUTE(SUBSTITUTE(SUBSTITUTE(SUBSTITUTE(SUBSTITUTE(SUBSTITUTE(SUBSTITUTE(SUBSTITUTE(SUBSTITUTE(SUBSTITUTE(SUBSTITUTE(LOWER(Z565&amp;""),CHAR(10),""),CHAR(13),""),CHAR(9),""),CHAR(160),"")," ",""),".",""),"-",""),"/",""),"?",""),"_",""),",",""),"[",""),"]",""),"(",""),")",""),"*","")</f>
        <v/>
      </c>
      <c r="AX565" s="61" t="str">
        <f aca="false">SUBSTITUTE(SUBSTITUTE(SUBSTITUTE(SUBSTITUTE(SUBSTITUTE(SUBSTITUTE(SUBSTITUTE(SUBSTITUTE(SUBSTITUTE(SUBSTITUTE(SUBSTITUTE(SUBSTITUTE(SUBSTITUTE(SUBSTITUTE(SUBSTITUTE(SUBSTITUTE(LOWER(AE565&amp;""),CHAR(10),""),CHAR(13),""),CHAR(9),""),CHAR(160),"")," ",""),".",""),"-",""),"/",""),"?",""),"_",""),",",""),"[",""),"]",""),"(",""),")",""),"*","")</f>
        <v/>
      </c>
      <c r="AY565" s="61" t="str">
        <f aca="false">SUBSTITUTE(SUBSTITUTE(SUBSTITUTE(SUBSTITUTE(SUBSTITUTE(SUBSTITUTE(SUBSTITUTE(SUBSTITUTE(SUBSTITUTE(SUBSTITUTE(SUBSTITUTE(SUBSTITUTE(SUBSTITUTE(SUBSTITUTE(SUBSTITUTE(SUBSTITUTE(LOWER(W565&amp;""),CHAR(10),""),CHAR(13),""),CHAR(9),""),CHAR(160),"")," ",""),".",""),"-",""),"/",""),"?",""),"_",""),",",""),"[",""),"]",""),"(",""),")",""),"*","")</f>
        <v/>
      </c>
      <c r="AZ565" s="61" t="str">
        <f aca="false">SUBSTITUTE(SUBSTITUTE(SUBSTITUTE(SUBSTITUTE(SUBSTITUTE(SUBSTITUTE(SUBSTITUTE(SUBSTITUTE(SUBSTITUTE(SUBSTITUTE(SUBSTITUTE(SUBSTITUTE(SUBSTITUTE(SUBSTITUTE(SUBSTITUTE(SUBSTITUTE(LOWER(AC565&amp;""),CHAR(10),""),CHAR(13),""),CHAR(9),""),CHAR(160),"")," ",""),".",""),"-",""),"/",""),"?",""),"_",""),",",""),"[",""),"]",""),"(",""),")",""),"*","")</f>
        <v/>
      </c>
      <c r="BA565" s="61" t="str">
        <f aca="false">SUBSTITUTE(SUBSTITUTE(SUBSTITUTE(SUBSTITUTE(SUBSTITUTE(SUBSTITUTE(SUBSTITUTE(SUBSTITUTE(SUBSTITUTE(SUBSTITUTE(SUBSTITUTE(SUBSTITUTE(SUBSTITUTE(SUBSTITUTE(SUBSTITUTE(SUBSTITUTE(LOWER(AA565&amp;""),CHAR(10),""),CHAR(13),""),CHAR(9),""),CHAR(160),"")," ",""),".",""),"-",""),"/",""),"?",""),"_",""),",",""),"[",""),"]",""),"(",""),")",""),"*","")</f>
        <v/>
      </c>
      <c r="BB565" s="61" t="str">
        <f aca="false">IF(AND(TRIM(U565)="Pass",ISNUMBER(AF565)),IF(AF565&lt;&gt;0,"INVALID – qty variance: use Fail or Pass after CA",""),"")&amp;IF(AND(TRIM(U565)="Pass after CA",ISNUMBER(AF565)),IF(AF565&lt;&gt;0,"INVALID – after the corrective action the actual qty must equal expected (update Actual)",""),"")&amp;IF(AND(TRIM(U565)="Pass",TRIM(AB565)&lt;&gt;"",TRIM(AB565)&lt;&gt;"Closed"),"INVALID – corrective action not closed: use Fail, then Pass after CA","")&amp;IF(AND(LEN(BA565)&gt;=2,ISNA(MATCH(LEFT(BA565,255),L_Placeholder,0)),TRIM(AB565)=""),"INVALID – CA status missing for the recorded corrective action","")&amp;IF(AND(TRIM(U565)="Pass after CA",OR(OR(LEN(BA565)&lt;5,ISNUMBER(MATCH(BA565,L_Placeholder,0))),TRIM(AB565)&lt;&gt;"Closed")),"INVALID – corrective action not recorded/closed","")</f>
        <v/>
      </c>
      <c r="BC565" s="61" t="str">
        <f aca="false">" "&amp;TRIM(SUBSTITUTE(SUBSTITUTE(SUBSTITUTE(SUBSTITUTE(SUBSTITUTE(SUBSTITUTE(SUBSTITUTE(SUBSTITUTE(SUBSTITUTE(SUBSTITUTE(SUBSTITUTE(SUBSTITUTE(SUBSTITUTE(SUBSTITUTE(SUBSTITUTE(SUBSTITUTE(SUBSTITUTE(SUBSTITUTE(SUBSTITUTE(SUBSTITUTE(SUBSTITUTE(SUBSTITUTE(SUBSTITUTE(SUBSTITUTE(LOWER(V565&amp;""),CHAR(10)," "),CHAR(13)," "),CHAR(9)," "),CHAR(160)," "),"."," "),","," "),"-"," "),"/"," "),"("," "),")"," "),":"," "),";"," "),"_"," "),"–"," "),"?"," "),"!"," "),"*"," "),"["," "),"]"," "),"'"," "),"#"," "),"+"," "),"&amp;"," "),"\"," "))&amp;" "</f>
        <v>  </v>
      </c>
      <c r="BD565" s="61" t="str">
        <f aca="false">" "&amp;TRIM(SUBSTITUTE(SUBSTITUTE(SUBSTITUTE(SUBSTITUTE(SUBSTITUTE(SUBSTITUTE(SUBSTITUTE(SUBSTITUTE(SUBSTITUTE(SUBSTITUTE(SUBSTITUTE(SUBSTITUTE(SUBSTITUTE(SUBSTITUTE(SUBSTITUTE(SUBSTITUTE(SUBSTITUTE(SUBSTITUTE(SUBSTITUTE(SUBSTITUTE(SUBSTITUTE(SUBSTITUTE(SUBSTITUTE(SUBSTITUTE(LOWER(Z565&amp;""),CHAR(10)," "),CHAR(13)," "),CHAR(9)," "),CHAR(160)," "),"."," "),","," "),"-"," "),"/"," "),"("," "),")"," "),":"," "),";"," "),"_"," "),"–"," "),"?"," "),"!"," "),"*"," "),"["," "),"]"," "),"'"," "),"#"," "),"+"," "),"&amp;"," "),"\"," "))&amp;" "</f>
        <v>  </v>
      </c>
      <c r="BE565" s="61" t="str">
        <f aca="false">" "&amp;TRIM(SUBSTITUTE(SUBSTITUTE(SUBSTITUTE(SUBSTITUTE(SUBSTITUTE(SUBSTITUTE(SUBSTITUTE(SUBSTITUTE(SUBSTITUTE(SUBSTITUTE(SUBSTITUTE(SUBSTITUTE(SUBSTITUTE(SUBSTITUTE(SUBSTITUTE(SUBSTITUTE(SUBSTITUTE(SUBSTITUTE(SUBSTITUTE(SUBSTITUTE(SUBSTITUTE(SUBSTITUTE(SUBSTITUTE(SUBSTITUTE(LOWER(W565&amp;""),CHAR(10)," "),CHAR(13)," "),CHAR(9)," "),CHAR(160)," "),"."," "),","," "),"-"," "),"/"," "),"("," "),")"," "),":"," "),";"," "),"_"," "),"–"," "),"?"," "),"!"," "),"*"," "),"["," "),"]"," "),"'"," "),"#"," "),"+"," "),"&amp;"," "),"\"," "))&amp;" "</f>
        <v>  </v>
      </c>
      <c r="BF565" s="61" t="str">
        <f aca="false">" "&amp;TRIM(SUBSTITUTE(SUBSTITUTE(SUBSTITUTE(SUBSTITUTE(SUBSTITUTE(SUBSTITUTE(SUBSTITUTE(SUBSTITUTE(SUBSTITUTE(SUBSTITUTE(SUBSTITUTE(SUBSTITUTE(SUBSTITUTE(SUBSTITUTE(SUBSTITUTE(SUBSTITUTE(SUBSTITUTE(SUBSTITUTE(SUBSTITUTE(SUBSTITUTE(SUBSTITUTE(SUBSTITUTE(SUBSTITUTE(SUBSTITUTE(LOWER(AC565&amp;""),CHAR(10)," "),CHAR(13)," "),CHAR(9)," "),CHAR(160)," "),"."," "),","," "),"-"," "),"/"," "),"("," "),")"," "),":"," "),";"," "),"_"," "),"–"," "),"?"," "),"!"," "),"*"," "),"["," "),"]"," "),"'"," "),"#"," "),"+"," "),"&amp;"," "),"\"," "))&amp;" "</f>
        <v>  </v>
      </c>
      <c r="BG565" s="61" t="n">
        <f aca="false">IFERROR(IF(AND(TRIM(U565)="Pass",SUMPRODUCT((LEN(BC565)-LEN(SUBSTITUTE(BC565," "&amp;L_ResultBad&amp;" "," ")))/(LEN(L_ResultBad)+1))&gt;SUMPRODUCT((LEN(BC565)-LEN(SUBSTITUTE(BC565," "&amp;L_NegPhrase&amp;" "," ")))/(LEN(L_NegPhrase)+1))),1,0),0)</f>
        <v>0</v>
      </c>
      <c r="BH565" s="61" t="n">
        <f aca="false">IFERROR(IF(SUMPRODUCT((LEN(BC565)-LEN(SUBSTITUTE(BC565," "&amp;L_Pending&amp;" "," ")))/(LEN(L_Pending)+1))&gt;SUMPRODUCT((LEN(BC565)-LEN(SUBSTITUTE(BC565," "&amp;L_PendNeg&amp;" "," ")))/(LEN(L_PendNeg)+1)),1,0),1)</f>
        <v>0</v>
      </c>
      <c r="BI565" s="61" t="n">
        <f aca="false">IFERROR(IF(SUMPRODUCT((LEN(BD565)-LEN(SUBSTITUTE(BD565," "&amp;L_PendStrict&amp;" "," ")))/(LEN(L_PendStrict)+1))&gt;SUMPRODUCT((LEN(BD565)-LEN(SUBSTITUTE(BD565," "&amp;L_PendNeg&amp;" "," ")))/(LEN(L_PendNeg)+1)),1,0),1)</f>
        <v>0</v>
      </c>
      <c r="BJ565" s="61" t="n">
        <f aca="false">IFERROR(IF(SUMPRODUCT((LEN(BE565)-LEN(SUBSTITUTE(BE565," "&amp;L_Pending&amp;" "," ")))/(LEN(L_Pending)+1))&gt;SUMPRODUCT((LEN(BE565)-LEN(SUBSTITUTE(BE565," "&amp;L_PendNeg&amp;" "," ")))/(LEN(L_PendNeg)+1)),1,0),1)</f>
        <v>0</v>
      </c>
      <c r="BK565" s="61" t="n">
        <f aca="false">IFERROR(IF(SUMPRODUCT((LEN(BF565)-LEN(SUBSTITUTE(BF565," "&amp;L_PendStrict&amp;" "," ")))/(LEN(L_PendStrict)+1))&gt;SUMPRODUCT((LEN(BF565)-LEN(SUBSTITUTE(BF565," "&amp;L_PendNeg&amp;" "," ")))/(LEN(L_PendNeg)+1)),1,0),1)</f>
        <v>0</v>
      </c>
      <c r="BL565" s="61" t="n">
        <f aca="false">IF(ISNA(MATCH(TRIM(S565),L_EvidenceType,0)),0,BZ565)</f>
        <v>0</v>
      </c>
      <c r="BM565" s="61" t="str">
        <f aca="false">SUBSTITUTE(SUBSTITUTE(SUBSTITUTE(SUBSTITUTE(SUBSTITUTE(SUBSTITUTE(SUBSTITUTE(SUBSTITUTE(SUBSTITUTE(LOWER(Z565&amp;""),"1","0"),"2","0"),"3","0"),"4","0"),"5","0"),"6","0"),"7","0"),"8","0"),"9","0")</f>
        <v/>
      </c>
      <c r="BN565" s="61" t="str">
        <f aca="false">SUBSTITUTE(SUBSTITUTE(SUBSTITUTE(SUBSTITUTE(SUBSTITUTE(SUBSTITUTE(SUBSTITUTE(SUBSTITUTE(SUBSTITUTE(SUBSTITUTE(SUBSTITUTE(SUBSTITUTE(SUBSTITUTE(SUBSTITUTE(SUBSTITUTE(SUBSTITUTE(SUBSTITUTE(SUBSTITUTE(SUBSTITUTE(SUBSTITUTE(SUBSTITUTE(SUBSTITUTE(SUBSTITUTE(SUBSTITUTE(SUBSTITUTE(BM565,"b","a"),"c","a"),"d","a"),"e","a"),"f","a"),"g","a"),"h","a"),"i","a"),"j","a"),"k","a"),"l","a"),"m","a"),"n","a"),"o","a"),"p","a"),"q","a"),"r","a"),"s","a"),"t","a"),"u","a"),"v","a"),"w","a"),"x","a"),"y","a"),"z","a")</f>
        <v/>
      </c>
      <c r="BO565" s="61" t="str">
        <f aca="false">SUBSTITUTE(SUBSTITUTE(SUBSTITUTE(SUBSTITUTE(SUBSTITUTE(SUBSTITUTE(SUBSTITUTE(SUBSTITUTE(SUBSTITUTE(LOWER(W565&amp;""),"1","0"),"2","0"),"3","0"),"4","0"),"5","0"),"6","0"),"7","0"),"8","0"),"9","0")</f>
        <v/>
      </c>
      <c r="BP565" s="61" t="str">
        <f aca="false">SUBSTITUTE(SUBSTITUTE(SUBSTITUTE(SUBSTITUTE(SUBSTITUTE(SUBSTITUTE(SUBSTITUTE(SUBSTITUTE(SUBSTITUTE(SUBSTITUTE(SUBSTITUTE(SUBSTITUTE(SUBSTITUTE(SUBSTITUTE(SUBSTITUTE(SUBSTITUTE(SUBSTITUTE(SUBSTITUTE(SUBSTITUTE(SUBSTITUTE(SUBSTITUTE(SUBSTITUTE(SUBSTITUTE(SUBSTITUTE(SUBSTITUTE(BO565,"b","a"),"c","a"),"d","a"),"e","a"),"f","a"),"g","a"),"h","a"),"i","a"),"j","a"),"k","a"),"l","a"),"m","a"),"n","a"),"o","a"),"p","a"),"q","a"),"r","a"),"s","a"),"t","a"),"u","a"),"v","a"),"w","a"),"x","a"),"y","a"),"z","a")</f>
        <v/>
      </c>
      <c r="BQ565" s="61" t="n">
        <f aca="false">IFERROR(IF(AND(ISERROR(SEARCH(" mh"," "&amp;LOWER(W565))),ISNA(MATCH(LEFT(TRIM(BP565),255),{"0000a","000a","00a","0000aa","000aa","00aa","0aa","0000aaa","000aaa","00a00","0a00","0000-0000","00:00","a00","a0","00.00.0000","00/00/0000","00-00-0000","0000-00-00","0000/00/00","0000.00.00","00.00.00","00/00/00","00-00-00","0.00.0000","0/00/0000","0-00-0000"},0)),ISNA(MATCH(LEFT(TRIM(CA565),255),{"0000a","000a","00a","0000aa","000aa","00aa","0aa","0000aaa","000aaa","00a00","0a00","0000-0000","00:00","a00","a0","00.00.0000","00/00/0000","00-00-0000","0000-00-00","0000/00/00","0000.00.00","00.00.00","00/00/00","00-00-00","0.00.0000","0/00/0000","0-00-0000"},0)),LEN(CB565)&gt;=3,NOT(OR(SUBSTITUTE(CB565,"0","")="",AND(LEN(CB565)&gt;=4,CB565=REPT(LEFT(CB565),LEN(CB565))),ISNUMBER(MATCH(CB565,{"123","1234","12345","123456","1234567","12345678","0123","01234","012345","98765","987654","54321"},0)),AND(LEN(CB565)=8,LEFT(CB565,3)="202"))),OR(AND((LEN(CA565)-LEN(SUBSTITUTE(CA565,"a","")))&gt;=1,SUMPRODUCT(--ISNUMBER(SEARCH({"a0","a-0","a_0","a/0","a.0","a#0","0a","0-a","0_a","0/a"},BP565)))&gt;0),ISNUMBER(SEARCH("000000",BP565)))),1,0),0)</f>
        <v>0</v>
      </c>
      <c r="BR565" s="61" t="n">
        <f aca="false">IFERROR(LEN(SUBSTITUTE(CC565," ",""))-SUMPRODUCT((LEN(CC565)-LEN(SUBSTITUTE(CC565," "&amp;L_Role&amp;" "," ")))/(LEN(L_Role)+1)*LEN(L_Role)),0)</f>
        <v>0</v>
      </c>
      <c r="BS565" s="61" t="n">
        <f aca="false">IFERROR(LEN(SUBSTITUTE(CD565," ",""))-SUMPRODUCT((LEN(CD565)-LEN(SUBSTITUTE(CD565," "&amp;L_Role&amp;" "," ")))/(LEN(L_Role)+1)*LEN(L_Role)),0)</f>
        <v>0</v>
      </c>
      <c r="BT5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565,"revision",""),"version",""),"jan",""),"feb",""),"mar",""),"apr",""),"may",""),"jun",""),"jul",""),"aug",""),"sep",""),"oct",""),"nov",""),"dec",""),"utc",""),"gmt",""),"myt",""),"bst",""),"rev",""),"ver",""),"b","a"),"c","a"),"d","a"),"e","a"),"f","a"),"g","a"),"h","a"),"i","a"),"j","a"),"k","a"),"l","a"),"m","a"),"n","a"),"o","a"),"p","a"),"q","a"),"r","a"),"s","a"),"t","a"),"u","a"),"v","a"),"w","a"),"x","a"),"y","a"),"z","a")</f>
        <v/>
      </c>
      <c r="BU565" s="61" t="str">
        <f aca="false">SUBSTITUTE(SUBSTITUTE(SUBSTITUTE(SUBSTITUTE(SUBSTITUTE(SUBSTITUTE(SUBSTITUTE(SUBSTITUTE(SUBSTITUTE(SUBSTITUTE(LEFT(BM565,FIND("0",BM565&amp;"0")-1),"-",""),"_",""),"/",""),".",""),"#",""),"\\",""),":","")," ",""),"(",""),")","")</f>
        <v/>
      </c>
      <c r="BV565" s="61" t="n">
        <f aca="false">IFERROR(IF(OR(SUMPRODUCT((LEN(BC565)-LEN(SUBSTITUTE(BC565," "&amp;L_NotLoaded&amp;" "," ")))/(LEN(L_NotLoaded)+1))&gt;SUMPRODUCT((LEN(BC565)-LEN(SUBSTITUTE(BC565," "&amp;L_NotLoadedNeg&amp;" "," ")))/(LEN(L_NotLoadedNeg)+1)),SUMPRODUCT((LEN(BD565)-LEN(SUBSTITUTE(BD565," "&amp;L_NotLoaded&amp;" "," ")))/(LEN(L_NotLoaded)+1))&gt;SUMPRODUCT((LEN(BD565)-LEN(SUBSTITUTE(BD565," "&amp;L_NotLoadedNeg&amp;" "," ")))/(LEN(L_NotLoadedNeg)+1))),1,0),0)</f>
        <v>0</v>
      </c>
      <c r="BW5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565&amp;""),"a",""),"b",""),"c",""),"d",""),"e",""),"f",""),"g",""),"h",""),"i",""),"j",""),"k",""),"l",""),"m",""),"n",""),"o",""),"p",""),"q",""),"r",""),"s",""),"t",""),"u",""),"v",""),"w",""),"x",""),"y",""),"z",""),"-",""),"_",""),"/",""),".",""),"#",""),"\\",""),":","")," ",""),"(",""),")","")</f>
        <v/>
      </c>
      <c r="BX565" s="61" t="str">
        <f aca="false">SUBSTITUTE(SUBSTITUTE(SUBSTITUTE(SUBSTITUTE(SUBSTITUTE(SUBSTITUTE(SUBSTITUTE(SUBSTITUTE(SUBSTITUTE(SUBSTITUTE(SUBSTITUTE(BM565,"0",""),"-",""),"_",""),"/",""),".",""),"#",""),"\\",""),":","")," ",""),"(",""),")","")</f>
        <v/>
      </c>
      <c r="BY565" s="62" t="n">
        <f aca="false">IF(ISNUMBER(Flights!$AZ$21),MAX(Q565-UpliftWindowH/24,Flights!$AZ$21),Q565-UpliftWindowH/24)</f>
        <v>46322.0347222222</v>
      </c>
      <c r="BZ565" s="61" t="n">
        <f aca="false">IFERROR(IF(IF(TRIM(S565)="Link / file path",AND(LEN(TRIM(Z565))&gt;=5,SUMPRODUCT(--ISNUMBER(SEARCH({"http","www.","\\",":\",".pdf",".jpg",".jpeg",".png",".heic",".xls",".doc",".msg",".eml",".ppt",".txt",".zip"},Z565)))&gt;0),AND(ISERROR(FIND(" ",TRIM(Z565))),NOT(OR(SUMPRODUCT(--ISNUMBER(FIND({",",";","&amp;","+"},Z565)))&gt;0,SUMPRODUCT(--ISNUMBER(SEARCH({"0/aa","0\\aa"},BN565)))&gt;0)),NOT(SUMPRODUCT(--ISNUMBER(SEARCH({"http","www.","\\",":\",".pdf",".jpg",".jpeg",".png",".heic",".xls",".doc",".msg",".eml",".ppt",".txt",".zip"},Z565)))&gt;0),NOT(LOWER(TRIM(Z565))=LOWER(Flights!$F$21)),ISNA(MATCH(BU565,{"mh","rev","revision","ver","version","v","r","a","b","seat","tray","row","gate","bay","stand","page","pg","item","line","no","cart","galley","flight","flt","table","box","bag","oven","etd","eta","std","sta","atd","ata","qty","pax","x","time","tel","ph","mob","day","wk","week","utc","gmt","myt","lt"},0)),NOT(OR(ISNUMBER(MATCH(LEFT(BN565,255),{"0000a","000a","00a","0000aa","000aa","00aa","0aa","0000aaa","000aaa","00a00","0a00","0000-0000","00:00","a00","a0","00.00.0000","00/00/0000","00-00-0000","0000-00-00","0000/00/00","0000.00.00","00.00.00","00/00/00","00-00-00","0.00.0000","0/00/0000","0-00-0000"},0)),ISNUMBER(MATCH(LEFT(BT565,255),{"0000a","000a","00a","0000aa","000aa","00aa","0aa","0000aaa","000aaa","00a00","0a00","0000-0000","00:00","a00","a0","00.00.0000","00/00/0000","00-00-0000","0000-00-00","0000/00/00","0000.00.00","00.00.00","00/00/00","00-00-00","0.00.0000","0/00/0000","0-00-0000"},0)))),NOT(OR(AND(BW565&lt;&gt;"",SUBSTITUTE(BW565,"0","")=""),AND(LEN(BW565)&gt;=4,BW565=REPT(LEFT(BW565),LEN(BW565))),ISNUMBER(MATCH(BW565,{"123","1234","12345","123456","1234567","12345678","0123","01234","012345","98765","987654","54321"},0)),ISNUMBER(MATCH(BX565,{"x","xx","xxx","xxxx","xxxxx","abc","abcd","nil","na","nan","test","tbc","tba","tbd","dummy","sample","example","eg","zz","zzz","none","null","xyz","qwe","asd","id","ref"},0)),AND(LEN(BW565)=8,BX565="",OR(LEFT(BW565,3)="202",ISNUMBER(MATCH(RIGHT(BW565,4),{"2025","2026","2027"},0)))))),OR(AND((LEN(BT565)-LEN(SUBSTITUTE(BT565,"a","")))&gt;=1,(LEN(BN565)-LEN(SUBSTITUTE(BN565,"0","")))&gt;=2,SUMPRODUCT(--ISNUMBER(SEARCH({"a0","a-0","a_0","a/0","a.0","a#0","0a","0-a","0_a","0/a"},BN565)))&gt;0),AND((LEN(BN565)-LEN(SUBSTITUTE(BN565,"a","")))=0,(LEN(BN565)-LEN(SUBSTITUTE(BN565,"0","")))&gt;=5)))),1,0),0)</f>
        <v>0</v>
      </c>
      <c r="CA5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565,"revision",""),"version",""),"jan",""),"feb",""),"mar",""),"apr",""),"may",""),"jun",""),"jul",""),"aug",""),"sep",""),"oct",""),"nov",""),"dec",""),"utc",""),"gmt",""),"myt",""),"bst",""),"rev",""),"ver",""),"b","a"),"c","a"),"d","a"),"e","a"),"f","a"),"g","a"),"h","a"),"i","a"),"j","a"),"k","a"),"l","a"),"m","a"),"n","a"),"o","a"),"p","a"),"q","a"),"r","a"),"s","a"),"t","a"),"u","a"),"v","a"),"w","a"),"x","a"),"y","a"),"z","a")</f>
        <v/>
      </c>
      <c r="CB5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565&amp;""),"a",""),"b",""),"c",""),"d",""),"e",""),"f",""),"g",""),"h",""),"i",""),"j",""),"k",""),"l",""),"m",""),"n",""),"o",""),"p",""),"q",""),"r",""),"s",""),"t",""),"u",""),"v",""),"w",""),"x",""),"y",""),"z",""),"-",""),"_",""),"/",""),".",""),"#",""),"\\",""),":","")," ",""),"(",""),")","")</f>
        <v/>
      </c>
      <c r="CC565" s="0" t="str">
        <f aca="false">" "&amp;TRIM(SUBSTITUTE(SUBSTITUTE(SUBSTITUTE(SUBSTITUTE(SUBSTITUTE(SUBSTITUTE(SUBSTITUTE(SUBSTITUTE(SUBSTITUTE(SUBSTITUTE(SUBSTITUTE(SUBSTITUTE(SUBSTITUTE(SUBSTITUTE(SUBSTITUTE(SUBSTITUTE(SUBSTITUTE(SUBSTITUTE(SUBSTITUTE(SUBSTITUTE(SUBSTITUTE(SUBSTITUTE(SUBSTITUTE(SUBSTITUTE(LOWER(T565&amp;""),CHAR(10)," "),CHAR(13)," "),CHAR(9)," "),CHAR(160)," "),"."," "),","," "),"-"," "),"/"," "),"("," "),")"," "),":"," "),";"," "),"_"," "),"–"," "),"?"," "),"!"," "),"*"," "),"["," "),"]"," "),"'"," "),"#"," "),"+"," "),"&amp;"," "),"\"," "))&amp;" "</f>
        <v>  </v>
      </c>
      <c r="CD565" s="0" t="str">
        <f aca="false">" "&amp;TRIM(SUBSTITUTE(SUBSTITUTE(SUBSTITUTE(SUBSTITUTE(SUBSTITUTE(SUBSTITUTE(SUBSTITUTE(SUBSTITUTE(SUBSTITUTE(SUBSTITUTE(SUBSTITUTE(SUBSTITUTE(SUBSTITUTE(SUBSTITUTE(SUBSTITUTE(SUBSTITUTE(SUBSTITUTE(SUBSTITUTE(SUBSTITUTE(SUBSTITUTE(SUBSTITUTE(SUBSTITUTE(SUBSTITUTE(SUBSTITUTE(LOWER(AE565&amp;""),CHAR(10)," "),CHAR(13)," "),CHAR(9)," "),CHAR(160)," "),"."," "),","," "),"-"," "),"/"," "),"("," "),")"," "),":"," "),";"," "),"_"," "),"–"," "),"?"," "),"!"," "),"*"," "),"["," "),"]"," "),"'"," "),"#"," "),"+"," "),"&amp;"," "),"\"," "))&amp;" "</f>
        <v>  </v>
      </c>
      <c r="CE565" s="68" t="n">
        <f aca="false">IFERROR(IF(AND(LEN(AU565)&gt;0,LEN(AU565)=LEN(AX565),OR(TRIM(MID(SUBSTITUTE(TRIM(CC565)," ",REPT(" ",60)),1,60))="",ISNUMBER(SEARCH(" "&amp;TRIM(MID(SUBSTITUTE(TRIM(CC565)," ",REPT(" ",60)),1,60))&amp;" ",CD565))),OR(TRIM(MID(SUBSTITUTE(TRIM(CC565)," ",REPT(" ",60)),61,60))="",ISNUMBER(SEARCH(" "&amp;TRIM(MID(SUBSTITUTE(TRIM(CC565)," ",REPT(" ",60)),61,60))&amp;" ",CD565))),OR(TRIM(MID(SUBSTITUTE(TRIM(CC565)," ",REPT(" ",60)),121,60))="",ISNUMBER(SEARCH(" "&amp;TRIM(MID(SUBSTITUTE(TRIM(CC565)," ",REPT(" ",60)),121,60))&amp;" ",CD565)))),1,0),0)</f>
        <v>0</v>
      </c>
      <c r="CG565" s="68" t="n">
        <f aca="false">IFERROR(LEN(SUBSTITUTE(BF565," ",""))-SUMPRODUCT((LEN(BF565)-LEN(SUBSTITUTE(BF565," "&amp;L_NAFiller&amp;" "," ")))/(LEN(L_NAFiller)+1)*LEN(L_NAFiller)),0)</f>
        <v>0</v>
      </c>
    </row>
    <row r="566" customFormat="false" ht="39.75" hidden="false" customHeight="true" outlineLevel="0" collapsed="false">
      <c r="A566" s="57" t="s">
        <v>1256</v>
      </c>
      <c r="B566" s="57" t="s">
        <v>290</v>
      </c>
      <c r="C566" s="57" t="str">
        <f aca="false">Flights!$F$21</f>
        <v>MH0073</v>
      </c>
      <c r="D566" s="58" t="n">
        <f aca="false">Flights!$D$21</f>
        <v>46322</v>
      </c>
      <c r="E566" s="57" t="str">
        <f aca="false">Flights!$G$21&amp;"-"&amp;Flights!$H$21</f>
        <v>HKG-KUL</v>
      </c>
      <c r="F566" s="57" t="str">
        <f aca="false">Flights!$K$21</f>
        <v>BC</v>
      </c>
      <c r="G566" s="57" t="s">
        <v>459</v>
      </c>
      <c r="H566" s="57" t="s">
        <v>460</v>
      </c>
      <c r="I566" s="57" t="s">
        <v>499</v>
      </c>
      <c r="J566" s="57" t="s">
        <v>541</v>
      </c>
      <c r="K566" s="67" t="s">
        <v>501</v>
      </c>
      <c r="L566" s="67" t="s">
        <v>1230</v>
      </c>
      <c r="M566" s="67" t="s">
        <v>451</v>
      </c>
      <c r="N566" s="67" t="s">
        <v>383</v>
      </c>
      <c r="O566" s="67"/>
      <c r="P566" s="57" t="s">
        <v>282</v>
      </c>
      <c r="Q566" s="59" t="n">
        <f aca="false">ROUND((Flights!$AF$21)*1440,0)/1440</f>
        <v>46322.2847222222</v>
      </c>
      <c r="R566" s="59" t="n">
        <f aca="false">Q566+(IF(AND(INDEX(TZ_DSTS,MATCH(P566,TZ_STN,0))&lt;&gt;"",Q566&gt;=INDEX(TZ_DSTS,MATCH(P566,TZ_STN,0)),Q566&lt;INDEX(TZ_DSTE,MATCH(P566,TZ_STN,0))),INDEX(TZ_DST,MATCH(P566,TZ_STN,0)),INDEX(TZ_STD,MATCH(P566,TZ_STN,0))))/24</f>
        <v>46322.6180555556</v>
      </c>
      <c r="S566" s="60"/>
      <c r="T566" s="60"/>
      <c r="U566" s="60"/>
      <c r="V566" s="60"/>
      <c r="W566" s="61"/>
      <c r="X566" s="60"/>
      <c r="Y566" s="60"/>
      <c r="Z566" s="60"/>
      <c r="AA566" s="60"/>
      <c r="AB566" s="60"/>
      <c r="AC566" s="60"/>
      <c r="AD566" s="66"/>
      <c r="AE566" s="60"/>
      <c r="AF566" s="61" t="str">
        <f aca="false">IF(AND(ISNUMBER(X566),ISNUMBER(Y566)),Y566-X566,"")</f>
        <v/>
      </c>
      <c r="AG566" s="62" t="str">
        <f aca="false">IF(ISNUMBER(AD566),AD566-(IF(AND(INDEX(TZ_DSTS,MATCH(P566,TZ_STN,0))&lt;&gt;"",(AD566-INDEX(TZ_STD,MATCH(P566,TZ_STN,0))/24)&gt;=INDEX(TZ_DSTS,MATCH(P566,TZ_STN,0)),(AD566-INDEX(TZ_STD,MATCH(P566,TZ_STN,0))/24)&lt;INDEX(TZ_DSTE,MATCH(P566,TZ_STN,0))),INDEX(TZ_DST,MATCH(P566,TZ_STN,0)),INDEX(TZ_STD,MATCH(P566,TZ_STN,0))))/24,"")</f>
        <v/>
      </c>
      <c r="AH566" s="65" t="str">
        <f aca="false">IFERROR(IF(N566="N/A – rule",IF(OR(TRIM(U566)="",TRIM(U566)="N/A",TRIM(U566)="Not started"),"N/A – RULE","INVALID – this check does not apply to this aircraft: clear the status (or correct the fleet on Flights)"),IF(TRIM(U566)="N/A",IF(AT566=0,"INVALID – N/A not permitted for this check",IF(AND(TRIM(AB566)&lt;&gt;"",TRIM(AB566)&lt;&gt;"Closed"),"INVALID – corrective action still open",IF(AND(NOT(OR(LEN(AZ566)&lt;15,ISNUMBER(MATCH(AZ566,L_Placeholder,0)))),BK566=0,CG566&gt;=8,NOT(OR(LEN(AU566)&lt;2,ISNUMBER(MATCH(AU566,L_Placeholder,0)))),BR566&gt;=3,NOT(OR(LEN(AX566)&lt;2,ISNUMBER(MATCH(AX566,L_Placeholder,0)))),BS566&gt;=3,TRIM(AE566)&lt;&gt;TRIM(T566),AX566&lt;&gt;AU566,CE566=0),"N/A – JUSTIFIED","INVALID – N/A needs a real, settled reason (not 'not applicable' / 'as above' / TBC), a named PIC and a different named verifier"))),IF(OR(TRIM(U566)="Pass",TRIM(U566)="Pass after CA"),IF(NOT(ISNUMBER(AD566)),"INVALID – completion time missing",IF(OR(OR(LEN(AU566)&lt;2,ISNUMBER(MATCH(AU566,L_Placeholder,0))),BR566&lt;3),"INVALID – PIC missing or not a named person (a role such as QA / CSM is not a name)",IF(OR(LEN(AV566)&lt;2,ISNUMBER(MATCH(AV566,L_Placeholder,0))),"INVALID – result / assessment missing",IF(OR(OR(LEN(AW566)&lt;3,ISNUMBER(MATCH(AW566,L_Placeholder,0))),SUMPRODUCT(--ISNUMBER(SEARCH(" "&amp;L_EvidencePhrase&amp;" ",BD566)))&gt;0,BI566=1),"INVALID – evidence missing, placeholder or not yet on file",IF(ISNA(MATCH(TRIM(S566),L_EvidenceType,0)),"INVALID – choose the evidence type from the list (column S)",IF(BL566=0,"INVALID – evidence ID must be the record's own ID only (e.g. SF-2210, IMG_2231, 1045521); a link / file name needs type 'Link / file path'",IF(OR(OR(LEN(AX566)&lt;2,ISNUMBER(MATCH(AX566,L_Placeholder,0))),BS566&lt;3),"INVALID – verifier missing or not a named person (a role such as QA / CSM is not a name)",IF(OR(AX566=AU566,CE566=1,AND(LEN(AU566)&gt;=4,ISNUMBER(SEARCH(AU566,AX566))),AND(LEN(AX566)&gt;=4,ISNUMBER(SEARCH(AX566,AU566)))),"INVALID – verifier must be a different, named person (not the PIC or a role)",IF(BH566=1,"INVALID – result not yet available (awaiting / TBC)",IF(BG566=1,"INVALID – result describes a problem: record Fail, then Pass after CA (or reword if it is not a problem)",IF(BV566=1,"INVALID – wording says not on board: an on-board confirmation needs the item loaded",IF(AND(AQ566=1,OR(OR(LEN(AY566)&lt;3,ISNUMBER(MATCH(AY566,L_Placeholder,0))),BJ566=1,BQ566=0)),"INVALID – batch ID missing, placeholder or not an ID (e.g. PASB-261008-BC-017)",IF(AND(AR566=1,OR(NOT(ISNUMBER(X566)),NOT(ISNUMBER(Y566)))),"INVALID – expected/actual qty missing",IF(AND(AR566=1,OR(X566&lt;=0,Y566&lt;0)),"INVALID – expected qty must be above 0 and actual not negative",IF(AH552="N/A – JUSTIFIED","INVALID – preparation row F17-T12-11 is N/A",IF(AND(AR566=1,ISNUMBER(X552),X566&lt;&gt;X552,TRIM(U566)&lt;&gt;"Pass after CA"),"INVALID – expected qty differs from preparation check F17-T12-11: record the load change as a corrective action (Pass after CA)",IF(BB566&lt;&gt;"",BB566,IF(AND(AS566=1,Documents!$J$21&lt;&gt;"ON FILE"),"INVALID – GLD not on file (Documents sheet)",IF(AND(AS566=2,Documents!$O$21&lt;&gt;"ON FILE"),"INVALID – menu checklist not on file (Documents sheet)",IF(AND(AS566=3,NOT(ISNUMBER(Flights!$AX$21))),"INVALID – enter carrying flight KUL departure (Flights AX)",IF(AND(AS566=3,OR(Flights!$AZ$21&gt;Flights!$AA$21,Flights!$AX$21&lt;Flights!$AA$21-3)),"INVALID – carrying flight (Flights AX) cannot arrive before this leg's STD, or is over 3 days early",IF(AG566&gt;AsOfUTC,"INVALID – completion time is in the future",IF(AND(ISNUMBER(BY566),AG566&lt;BY566),IF(H566="Physical uplift","INVALID – before uplift window (cannot confirm loading)","INVALID – before valid window"),IF(AG566&gt;Flights!$AA$21,"INVALID – completed after departure (cannot establish readiness)",IF(AND(H566="Preparation",AG566&gt;=IF(ISNUMBER(Flights!$BA$21),MIN(Flights!$BA$21,Flights!$AA$21),Flights!$AA$21)),"INVALID – completed after loading / departure (cannot establish readiness)",IF(AND(H566="Physical uplift",AG566&gt;Q566),"INVALID – recorded after the loading flight departed",IF(AG566&gt;Q566,"COMPLETE – LATE","COMPLETE"))))))))))))))))))))))))))),IF(TRIM(U566)="Fail","FAIL – DISCREPANCY",IF(AND(TRIM(U566)&lt;&gt;"",TRIM(U566)&lt;&gt;"Not started",TRIM(U566)&lt;&gt;"In progress"),"INVALID – unrecognised status (use the list)",IF(AsOfUTC&gt;Q566,"OVERDUE",IF(N566="Clarification required","OPEN – CLARIFICATION","OPEN"))))))),"INVALID – error value in an input cell")</f>
        <v>OPEN</v>
      </c>
      <c r="AI566" s="61" t="n">
        <f aca="false">IF(OR(AH566="N/A – RULE",AH566="N/A – JUSTIFIED"),0,1)</f>
        <v>1</v>
      </c>
      <c r="AJ566" s="61" t="n">
        <f aca="false">IF(LEFT(AH566,8)="COMPLETE",1,0)</f>
        <v>0</v>
      </c>
      <c r="AK566" s="61" t="n">
        <f aca="false">IF(AND(AI566=1,AJ566=0,AsOfUTC&gt;Q566),1,0)</f>
        <v>0</v>
      </c>
      <c r="AL566" s="61" t="n">
        <f aca="false">IFERROR(IF(AND(AI566=1,OR(TRIM(U566)="Fail",AND(TRIM(AB566)&lt;&gt;"",TRIM(AB566)&lt;&gt;"Closed"),AND(ISNUMBER(AF566),AF566&lt;&gt;0,TRIM(U566)&lt;&gt;"Pass after CA"))),1,0),1)</f>
        <v>0</v>
      </c>
      <c r="AM566" s="61" t="n">
        <f aca="false">IF(LEFT(AH566,7)="INVALID",1,0)</f>
        <v>0</v>
      </c>
      <c r="AN566" s="61" t="n">
        <f aca="false">IF(AND(N566="Clarification required",AI566=1,AJ566=0),1,0)</f>
        <v>0</v>
      </c>
      <c r="AO566" s="61" t="str">
        <f aca="false">IF(AK566=1,SUM(AK$5:AK566),"")</f>
        <v/>
      </c>
      <c r="AP566" s="61" t="str">
        <f aca="false">IF(AL566=1,SUM(AL$5:AL566),"")</f>
        <v/>
      </c>
      <c r="AQ566" s="61" t="n">
        <v>0</v>
      </c>
      <c r="AR566" s="61" t="n">
        <v>0</v>
      </c>
      <c r="AS566" s="61" t="n">
        <v>0</v>
      </c>
      <c r="AT566" s="61" t="n">
        <v>0</v>
      </c>
      <c r="AU566" s="61" t="str">
        <f aca="false">SUBSTITUTE(SUBSTITUTE(SUBSTITUTE(SUBSTITUTE(SUBSTITUTE(SUBSTITUTE(SUBSTITUTE(SUBSTITUTE(SUBSTITUTE(SUBSTITUTE(SUBSTITUTE(SUBSTITUTE(SUBSTITUTE(SUBSTITUTE(SUBSTITUTE(SUBSTITUTE(LOWER(T566&amp;""),CHAR(10),""),CHAR(13),""),CHAR(9),""),CHAR(160),"")," ",""),".",""),"-",""),"/",""),"?",""),"_",""),",",""),"[",""),"]",""),"(",""),")",""),"*","")</f>
        <v/>
      </c>
      <c r="AV566" s="61" t="str">
        <f aca="false">SUBSTITUTE(SUBSTITUTE(SUBSTITUTE(SUBSTITUTE(SUBSTITUTE(SUBSTITUTE(SUBSTITUTE(SUBSTITUTE(SUBSTITUTE(SUBSTITUTE(SUBSTITUTE(SUBSTITUTE(SUBSTITUTE(SUBSTITUTE(SUBSTITUTE(SUBSTITUTE(LOWER(V566&amp;""),CHAR(10),""),CHAR(13),""),CHAR(9),""),CHAR(160),"")," ",""),".",""),"-",""),"/",""),"?",""),"_",""),",",""),"[",""),"]",""),"(",""),")",""),"*","")</f>
        <v/>
      </c>
      <c r="AW566" s="61" t="str">
        <f aca="false">SUBSTITUTE(SUBSTITUTE(SUBSTITUTE(SUBSTITUTE(SUBSTITUTE(SUBSTITUTE(SUBSTITUTE(SUBSTITUTE(SUBSTITUTE(SUBSTITUTE(SUBSTITUTE(SUBSTITUTE(SUBSTITUTE(SUBSTITUTE(SUBSTITUTE(SUBSTITUTE(LOWER(Z566&amp;""),CHAR(10),""),CHAR(13),""),CHAR(9),""),CHAR(160),"")," ",""),".",""),"-",""),"/",""),"?",""),"_",""),",",""),"[",""),"]",""),"(",""),")",""),"*","")</f>
        <v/>
      </c>
      <c r="AX566" s="61" t="str">
        <f aca="false">SUBSTITUTE(SUBSTITUTE(SUBSTITUTE(SUBSTITUTE(SUBSTITUTE(SUBSTITUTE(SUBSTITUTE(SUBSTITUTE(SUBSTITUTE(SUBSTITUTE(SUBSTITUTE(SUBSTITUTE(SUBSTITUTE(SUBSTITUTE(SUBSTITUTE(SUBSTITUTE(LOWER(AE566&amp;""),CHAR(10),""),CHAR(13),""),CHAR(9),""),CHAR(160),"")," ",""),".",""),"-",""),"/",""),"?",""),"_",""),",",""),"[",""),"]",""),"(",""),")",""),"*","")</f>
        <v/>
      </c>
      <c r="AY566" s="61" t="str">
        <f aca="false">SUBSTITUTE(SUBSTITUTE(SUBSTITUTE(SUBSTITUTE(SUBSTITUTE(SUBSTITUTE(SUBSTITUTE(SUBSTITUTE(SUBSTITUTE(SUBSTITUTE(SUBSTITUTE(SUBSTITUTE(SUBSTITUTE(SUBSTITUTE(SUBSTITUTE(SUBSTITUTE(LOWER(W566&amp;""),CHAR(10),""),CHAR(13),""),CHAR(9),""),CHAR(160),"")," ",""),".",""),"-",""),"/",""),"?",""),"_",""),",",""),"[",""),"]",""),"(",""),")",""),"*","")</f>
        <v/>
      </c>
      <c r="AZ566" s="61" t="str">
        <f aca="false">SUBSTITUTE(SUBSTITUTE(SUBSTITUTE(SUBSTITUTE(SUBSTITUTE(SUBSTITUTE(SUBSTITUTE(SUBSTITUTE(SUBSTITUTE(SUBSTITUTE(SUBSTITUTE(SUBSTITUTE(SUBSTITUTE(SUBSTITUTE(SUBSTITUTE(SUBSTITUTE(LOWER(AC566&amp;""),CHAR(10),""),CHAR(13),""),CHAR(9),""),CHAR(160),"")," ",""),".",""),"-",""),"/",""),"?",""),"_",""),",",""),"[",""),"]",""),"(",""),")",""),"*","")</f>
        <v/>
      </c>
      <c r="BA566" s="61" t="str">
        <f aca="false">SUBSTITUTE(SUBSTITUTE(SUBSTITUTE(SUBSTITUTE(SUBSTITUTE(SUBSTITUTE(SUBSTITUTE(SUBSTITUTE(SUBSTITUTE(SUBSTITUTE(SUBSTITUTE(SUBSTITUTE(SUBSTITUTE(SUBSTITUTE(SUBSTITUTE(SUBSTITUTE(LOWER(AA566&amp;""),CHAR(10),""),CHAR(13),""),CHAR(9),""),CHAR(160),"")," ",""),".",""),"-",""),"/",""),"?",""),"_",""),",",""),"[",""),"]",""),"(",""),")",""),"*","")</f>
        <v/>
      </c>
      <c r="BB566" s="61" t="str">
        <f aca="false">IF(AND(TRIM(U566)="Pass",ISNUMBER(AF566)),IF(AF566&lt;&gt;0,"INVALID – qty variance: use Fail or Pass after CA",""),"")&amp;IF(AND(TRIM(U566)="Pass after CA",ISNUMBER(AF566)),IF(AF566&lt;&gt;0,"INVALID – after the corrective action the actual qty must equal expected (update Actual)",""),"")&amp;IF(AND(TRIM(U566)="Pass",TRIM(AB566)&lt;&gt;"",TRIM(AB566)&lt;&gt;"Closed"),"INVALID – corrective action not closed: use Fail, then Pass after CA","")&amp;IF(AND(LEN(BA566)&gt;=2,ISNA(MATCH(LEFT(BA566,255),L_Placeholder,0)),TRIM(AB566)=""),"INVALID – CA status missing for the recorded corrective action","")&amp;IF(AND(TRIM(U566)="Pass after CA",OR(OR(LEN(BA566)&lt;5,ISNUMBER(MATCH(BA566,L_Placeholder,0))),TRIM(AB566)&lt;&gt;"Closed")),"INVALID – corrective action not recorded/closed","")</f>
        <v/>
      </c>
      <c r="BC566" s="61" t="str">
        <f aca="false">" "&amp;TRIM(SUBSTITUTE(SUBSTITUTE(SUBSTITUTE(SUBSTITUTE(SUBSTITUTE(SUBSTITUTE(SUBSTITUTE(SUBSTITUTE(SUBSTITUTE(SUBSTITUTE(SUBSTITUTE(SUBSTITUTE(SUBSTITUTE(SUBSTITUTE(SUBSTITUTE(SUBSTITUTE(SUBSTITUTE(SUBSTITUTE(SUBSTITUTE(SUBSTITUTE(SUBSTITUTE(SUBSTITUTE(SUBSTITUTE(SUBSTITUTE(LOWER(V566&amp;""),CHAR(10)," "),CHAR(13)," "),CHAR(9)," "),CHAR(160)," "),"."," "),","," "),"-"," "),"/"," "),"("," "),")"," "),":"," "),";"," "),"_"," "),"–"," "),"?"," "),"!"," "),"*"," "),"["," "),"]"," "),"'"," "),"#"," "),"+"," "),"&amp;"," "),"\"," "))&amp;" "</f>
        <v>  </v>
      </c>
      <c r="BD566" s="61" t="str">
        <f aca="false">" "&amp;TRIM(SUBSTITUTE(SUBSTITUTE(SUBSTITUTE(SUBSTITUTE(SUBSTITUTE(SUBSTITUTE(SUBSTITUTE(SUBSTITUTE(SUBSTITUTE(SUBSTITUTE(SUBSTITUTE(SUBSTITUTE(SUBSTITUTE(SUBSTITUTE(SUBSTITUTE(SUBSTITUTE(SUBSTITUTE(SUBSTITUTE(SUBSTITUTE(SUBSTITUTE(SUBSTITUTE(SUBSTITUTE(SUBSTITUTE(SUBSTITUTE(LOWER(Z566&amp;""),CHAR(10)," "),CHAR(13)," "),CHAR(9)," "),CHAR(160)," "),"."," "),","," "),"-"," "),"/"," "),"("," "),")"," "),":"," "),";"," "),"_"," "),"–"," "),"?"," "),"!"," "),"*"," "),"["," "),"]"," "),"'"," "),"#"," "),"+"," "),"&amp;"," "),"\"," "))&amp;" "</f>
        <v>  </v>
      </c>
      <c r="BE566" s="61" t="str">
        <f aca="false">" "&amp;TRIM(SUBSTITUTE(SUBSTITUTE(SUBSTITUTE(SUBSTITUTE(SUBSTITUTE(SUBSTITUTE(SUBSTITUTE(SUBSTITUTE(SUBSTITUTE(SUBSTITUTE(SUBSTITUTE(SUBSTITUTE(SUBSTITUTE(SUBSTITUTE(SUBSTITUTE(SUBSTITUTE(SUBSTITUTE(SUBSTITUTE(SUBSTITUTE(SUBSTITUTE(SUBSTITUTE(SUBSTITUTE(SUBSTITUTE(SUBSTITUTE(LOWER(W566&amp;""),CHAR(10)," "),CHAR(13)," "),CHAR(9)," "),CHAR(160)," "),"."," "),","," "),"-"," "),"/"," "),"("," "),")"," "),":"," "),";"," "),"_"," "),"–"," "),"?"," "),"!"," "),"*"," "),"["," "),"]"," "),"'"," "),"#"," "),"+"," "),"&amp;"," "),"\"," "))&amp;" "</f>
        <v>  </v>
      </c>
      <c r="BF566" s="61" t="str">
        <f aca="false">" "&amp;TRIM(SUBSTITUTE(SUBSTITUTE(SUBSTITUTE(SUBSTITUTE(SUBSTITUTE(SUBSTITUTE(SUBSTITUTE(SUBSTITUTE(SUBSTITUTE(SUBSTITUTE(SUBSTITUTE(SUBSTITUTE(SUBSTITUTE(SUBSTITUTE(SUBSTITUTE(SUBSTITUTE(SUBSTITUTE(SUBSTITUTE(SUBSTITUTE(SUBSTITUTE(SUBSTITUTE(SUBSTITUTE(SUBSTITUTE(SUBSTITUTE(LOWER(AC566&amp;""),CHAR(10)," "),CHAR(13)," "),CHAR(9)," "),CHAR(160)," "),"."," "),","," "),"-"," "),"/"," "),"("," "),")"," "),":"," "),";"," "),"_"," "),"–"," "),"?"," "),"!"," "),"*"," "),"["," "),"]"," "),"'"," "),"#"," "),"+"," "),"&amp;"," "),"\"," "))&amp;" "</f>
        <v>  </v>
      </c>
      <c r="BG566" s="61" t="n">
        <f aca="false">IFERROR(IF(AND(TRIM(U566)="Pass",SUMPRODUCT((LEN(BC566)-LEN(SUBSTITUTE(BC566," "&amp;L_ResultBad&amp;" "," ")))/(LEN(L_ResultBad)+1))&gt;SUMPRODUCT((LEN(BC566)-LEN(SUBSTITUTE(BC566," "&amp;L_NegPhrase&amp;" "," ")))/(LEN(L_NegPhrase)+1))),1,0),0)</f>
        <v>0</v>
      </c>
      <c r="BH566" s="61" t="n">
        <f aca="false">IFERROR(IF(SUMPRODUCT((LEN(BC566)-LEN(SUBSTITUTE(BC566," "&amp;L_Pending&amp;" "," ")))/(LEN(L_Pending)+1))&gt;SUMPRODUCT((LEN(BC566)-LEN(SUBSTITUTE(BC566," "&amp;L_PendNeg&amp;" "," ")))/(LEN(L_PendNeg)+1)),1,0),1)</f>
        <v>0</v>
      </c>
      <c r="BI566" s="61" t="n">
        <f aca="false">IFERROR(IF(SUMPRODUCT((LEN(BD566)-LEN(SUBSTITUTE(BD566," "&amp;L_PendStrict&amp;" "," ")))/(LEN(L_PendStrict)+1))&gt;SUMPRODUCT((LEN(BD566)-LEN(SUBSTITUTE(BD566," "&amp;L_PendNeg&amp;" "," ")))/(LEN(L_PendNeg)+1)),1,0),1)</f>
        <v>0</v>
      </c>
      <c r="BJ566" s="61" t="n">
        <f aca="false">IFERROR(IF(SUMPRODUCT((LEN(BE566)-LEN(SUBSTITUTE(BE566," "&amp;L_Pending&amp;" "," ")))/(LEN(L_Pending)+1))&gt;SUMPRODUCT((LEN(BE566)-LEN(SUBSTITUTE(BE566," "&amp;L_PendNeg&amp;" "," ")))/(LEN(L_PendNeg)+1)),1,0),1)</f>
        <v>0</v>
      </c>
      <c r="BK566" s="61" t="n">
        <f aca="false">IFERROR(IF(SUMPRODUCT((LEN(BF566)-LEN(SUBSTITUTE(BF566," "&amp;L_PendStrict&amp;" "," ")))/(LEN(L_PendStrict)+1))&gt;SUMPRODUCT((LEN(BF566)-LEN(SUBSTITUTE(BF566," "&amp;L_PendNeg&amp;" "," ")))/(LEN(L_PendNeg)+1)),1,0),1)</f>
        <v>0</v>
      </c>
      <c r="BL566" s="61" t="n">
        <f aca="false">IF(ISNA(MATCH(TRIM(S566),L_EvidenceType,0)),0,BZ566)</f>
        <v>0</v>
      </c>
      <c r="BM566" s="61" t="str">
        <f aca="false">SUBSTITUTE(SUBSTITUTE(SUBSTITUTE(SUBSTITUTE(SUBSTITUTE(SUBSTITUTE(SUBSTITUTE(SUBSTITUTE(SUBSTITUTE(LOWER(Z566&amp;""),"1","0"),"2","0"),"3","0"),"4","0"),"5","0"),"6","0"),"7","0"),"8","0"),"9","0")</f>
        <v/>
      </c>
      <c r="BN566" s="61" t="str">
        <f aca="false">SUBSTITUTE(SUBSTITUTE(SUBSTITUTE(SUBSTITUTE(SUBSTITUTE(SUBSTITUTE(SUBSTITUTE(SUBSTITUTE(SUBSTITUTE(SUBSTITUTE(SUBSTITUTE(SUBSTITUTE(SUBSTITUTE(SUBSTITUTE(SUBSTITUTE(SUBSTITUTE(SUBSTITUTE(SUBSTITUTE(SUBSTITUTE(SUBSTITUTE(SUBSTITUTE(SUBSTITUTE(SUBSTITUTE(SUBSTITUTE(SUBSTITUTE(BM566,"b","a"),"c","a"),"d","a"),"e","a"),"f","a"),"g","a"),"h","a"),"i","a"),"j","a"),"k","a"),"l","a"),"m","a"),"n","a"),"o","a"),"p","a"),"q","a"),"r","a"),"s","a"),"t","a"),"u","a"),"v","a"),"w","a"),"x","a"),"y","a"),"z","a")</f>
        <v/>
      </c>
      <c r="BO566" s="61" t="str">
        <f aca="false">SUBSTITUTE(SUBSTITUTE(SUBSTITUTE(SUBSTITUTE(SUBSTITUTE(SUBSTITUTE(SUBSTITUTE(SUBSTITUTE(SUBSTITUTE(LOWER(W566&amp;""),"1","0"),"2","0"),"3","0"),"4","0"),"5","0"),"6","0"),"7","0"),"8","0"),"9","0")</f>
        <v/>
      </c>
      <c r="BP566" s="61" t="str">
        <f aca="false">SUBSTITUTE(SUBSTITUTE(SUBSTITUTE(SUBSTITUTE(SUBSTITUTE(SUBSTITUTE(SUBSTITUTE(SUBSTITUTE(SUBSTITUTE(SUBSTITUTE(SUBSTITUTE(SUBSTITUTE(SUBSTITUTE(SUBSTITUTE(SUBSTITUTE(SUBSTITUTE(SUBSTITUTE(SUBSTITUTE(SUBSTITUTE(SUBSTITUTE(SUBSTITUTE(SUBSTITUTE(SUBSTITUTE(SUBSTITUTE(SUBSTITUTE(BO566,"b","a"),"c","a"),"d","a"),"e","a"),"f","a"),"g","a"),"h","a"),"i","a"),"j","a"),"k","a"),"l","a"),"m","a"),"n","a"),"o","a"),"p","a"),"q","a"),"r","a"),"s","a"),"t","a"),"u","a"),"v","a"),"w","a"),"x","a"),"y","a"),"z","a")</f>
        <v/>
      </c>
      <c r="BQ566" s="61" t="n">
        <f aca="false">IFERROR(IF(AND(ISERROR(SEARCH(" mh"," "&amp;LOWER(W566))),ISNA(MATCH(LEFT(TRIM(BP566),255),{"0000a","000a","00a","0000aa","000aa","00aa","0aa","0000aaa","000aaa","00a00","0a00","0000-0000","00:00","a00","a0","00.00.0000","00/00/0000","00-00-0000","0000-00-00","0000/00/00","0000.00.00","00.00.00","00/00/00","00-00-00","0.00.0000","0/00/0000","0-00-0000"},0)),ISNA(MATCH(LEFT(TRIM(CA566),255),{"0000a","000a","00a","0000aa","000aa","00aa","0aa","0000aaa","000aaa","00a00","0a00","0000-0000","00:00","a00","a0","00.00.0000","00/00/0000","00-00-0000","0000-00-00","0000/00/00","0000.00.00","00.00.00","00/00/00","00-00-00","0.00.0000","0/00/0000","0-00-0000"},0)),LEN(CB566)&gt;=3,NOT(OR(SUBSTITUTE(CB566,"0","")="",AND(LEN(CB566)&gt;=4,CB566=REPT(LEFT(CB566),LEN(CB566))),ISNUMBER(MATCH(CB566,{"123","1234","12345","123456","1234567","12345678","0123","01234","012345","98765","987654","54321"},0)),AND(LEN(CB566)=8,LEFT(CB566,3)="202"))),OR(AND((LEN(CA566)-LEN(SUBSTITUTE(CA566,"a","")))&gt;=1,SUMPRODUCT(--ISNUMBER(SEARCH({"a0","a-0","a_0","a/0","a.0","a#0","0a","0-a","0_a","0/a"},BP566)))&gt;0),ISNUMBER(SEARCH("000000",BP566)))),1,0),0)</f>
        <v>0</v>
      </c>
      <c r="BR566" s="61" t="n">
        <f aca="false">IFERROR(LEN(SUBSTITUTE(CC566," ",""))-SUMPRODUCT((LEN(CC566)-LEN(SUBSTITUTE(CC566," "&amp;L_Role&amp;" "," ")))/(LEN(L_Role)+1)*LEN(L_Role)),0)</f>
        <v>0</v>
      </c>
      <c r="BS566" s="61" t="n">
        <f aca="false">IFERROR(LEN(SUBSTITUTE(CD566," ",""))-SUMPRODUCT((LEN(CD566)-LEN(SUBSTITUTE(CD566," "&amp;L_Role&amp;" "," ")))/(LEN(L_Role)+1)*LEN(L_Role)),0)</f>
        <v>0</v>
      </c>
      <c r="BT5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566,"revision",""),"version",""),"jan",""),"feb",""),"mar",""),"apr",""),"may",""),"jun",""),"jul",""),"aug",""),"sep",""),"oct",""),"nov",""),"dec",""),"utc",""),"gmt",""),"myt",""),"bst",""),"rev",""),"ver",""),"b","a"),"c","a"),"d","a"),"e","a"),"f","a"),"g","a"),"h","a"),"i","a"),"j","a"),"k","a"),"l","a"),"m","a"),"n","a"),"o","a"),"p","a"),"q","a"),"r","a"),"s","a"),"t","a"),"u","a"),"v","a"),"w","a"),"x","a"),"y","a"),"z","a")</f>
        <v/>
      </c>
      <c r="BU566" s="61" t="str">
        <f aca="false">SUBSTITUTE(SUBSTITUTE(SUBSTITUTE(SUBSTITUTE(SUBSTITUTE(SUBSTITUTE(SUBSTITUTE(SUBSTITUTE(SUBSTITUTE(SUBSTITUTE(LEFT(BM566,FIND("0",BM566&amp;"0")-1),"-",""),"_",""),"/",""),".",""),"#",""),"\\",""),":","")," ",""),"(",""),")","")</f>
        <v/>
      </c>
      <c r="BV566" s="61" t="n">
        <f aca="false">IFERROR(IF(OR(SUMPRODUCT((LEN(BC566)-LEN(SUBSTITUTE(BC566," "&amp;L_NotLoaded&amp;" "," ")))/(LEN(L_NotLoaded)+1))&gt;SUMPRODUCT((LEN(BC566)-LEN(SUBSTITUTE(BC566," "&amp;L_NotLoadedNeg&amp;" "," ")))/(LEN(L_NotLoadedNeg)+1)),SUMPRODUCT((LEN(BD566)-LEN(SUBSTITUTE(BD566," "&amp;L_NotLoaded&amp;" "," ")))/(LEN(L_NotLoaded)+1))&gt;SUMPRODUCT((LEN(BD566)-LEN(SUBSTITUTE(BD566," "&amp;L_NotLoadedNeg&amp;" "," ")))/(LEN(L_NotLoadedNeg)+1))),1,0),0)</f>
        <v>0</v>
      </c>
      <c r="BW5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566&amp;""),"a",""),"b",""),"c",""),"d",""),"e",""),"f",""),"g",""),"h",""),"i",""),"j",""),"k",""),"l",""),"m",""),"n",""),"o",""),"p",""),"q",""),"r",""),"s",""),"t",""),"u",""),"v",""),"w",""),"x",""),"y",""),"z",""),"-",""),"_",""),"/",""),".",""),"#",""),"\\",""),":","")," ",""),"(",""),")","")</f>
        <v/>
      </c>
      <c r="BX566" s="61" t="str">
        <f aca="false">SUBSTITUTE(SUBSTITUTE(SUBSTITUTE(SUBSTITUTE(SUBSTITUTE(SUBSTITUTE(SUBSTITUTE(SUBSTITUTE(SUBSTITUTE(SUBSTITUTE(SUBSTITUTE(BM566,"0",""),"-",""),"_",""),"/",""),".",""),"#",""),"\\",""),":","")," ",""),"(",""),")","")</f>
        <v/>
      </c>
      <c r="BY566" s="62" t="n">
        <f aca="false">IF(ISNUMBER(Flights!$AZ$21),MAX(Q566-UpliftWindowH/24,Flights!$AZ$21),Q566-UpliftWindowH/24)</f>
        <v>46322.0347222222</v>
      </c>
      <c r="BZ566" s="61" t="n">
        <f aca="false">IFERROR(IF(IF(TRIM(S566)="Link / file path",AND(LEN(TRIM(Z566))&gt;=5,SUMPRODUCT(--ISNUMBER(SEARCH({"http","www.","\\",":\",".pdf",".jpg",".jpeg",".png",".heic",".xls",".doc",".msg",".eml",".ppt",".txt",".zip"},Z566)))&gt;0),AND(ISERROR(FIND(" ",TRIM(Z566))),NOT(OR(SUMPRODUCT(--ISNUMBER(FIND({",",";","&amp;","+"},Z566)))&gt;0,SUMPRODUCT(--ISNUMBER(SEARCH({"0/aa","0\\aa"},BN566)))&gt;0)),NOT(SUMPRODUCT(--ISNUMBER(SEARCH({"http","www.","\\",":\",".pdf",".jpg",".jpeg",".png",".heic",".xls",".doc",".msg",".eml",".ppt",".txt",".zip"},Z566)))&gt;0),NOT(LOWER(TRIM(Z566))=LOWER(Flights!$F$21)),ISNA(MATCH(BU566,{"mh","rev","revision","ver","version","v","r","a","b","seat","tray","row","gate","bay","stand","page","pg","item","line","no","cart","galley","flight","flt","table","box","bag","oven","etd","eta","std","sta","atd","ata","qty","pax","x","time","tel","ph","mob","day","wk","week","utc","gmt","myt","lt"},0)),NOT(OR(ISNUMBER(MATCH(LEFT(BN566,255),{"0000a","000a","00a","0000aa","000aa","00aa","0aa","0000aaa","000aaa","00a00","0a00","0000-0000","00:00","a00","a0","00.00.0000","00/00/0000","00-00-0000","0000-00-00","0000/00/00","0000.00.00","00.00.00","00/00/00","00-00-00","0.00.0000","0/00/0000","0-00-0000"},0)),ISNUMBER(MATCH(LEFT(BT566,255),{"0000a","000a","00a","0000aa","000aa","00aa","0aa","0000aaa","000aaa","00a00","0a00","0000-0000","00:00","a00","a0","00.00.0000","00/00/0000","00-00-0000","0000-00-00","0000/00/00","0000.00.00","00.00.00","00/00/00","00-00-00","0.00.0000","0/00/0000","0-00-0000"},0)))),NOT(OR(AND(BW566&lt;&gt;"",SUBSTITUTE(BW566,"0","")=""),AND(LEN(BW566)&gt;=4,BW566=REPT(LEFT(BW566),LEN(BW566))),ISNUMBER(MATCH(BW566,{"123","1234","12345","123456","1234567","12345678","0123","01234","012345","98765","987654","54321"},0)),ISNUMBER(MATCH(BX566,{"x","xx","xxx","xxxx","xxxxx","abc","abcd","nil","na","nan","test","tbc","tba","tbd","dummy","sample","example","eg","zz","zzz","none","null","xyz","qwe","asd","id","ref"},0)),AND(LEN(BW566)=8,BX566="",OR(LEFT(BW566,3)="202",ISNUMBER(MATCH(RIGHT(BW566,4),{"2025","2026","2027"},0)))))),OR(AND((LEN(BT566)-LEN(SUBSTITUTE(BT566,"a","")))&gt;=1,(LEN(BN566)-LEN(SUBSTITUTE(BN566,"0","")))&gt;=2,SUMPRODUCT(--ISNUMBER(SEARCH({"a0","a-0","a_0","a/0","a.0","a#0","0a","0-a","0_a","0/a"},BN566)))&gt;0),AND((LEN(BN566)-LEN(SUBSTITUTE(BN566,"a","")))=0,(LEN(BN566)-LEN(SUBSTITUTE(BN566,"0","")))&gt;=5)))),1,0),0)</f>
        <v>0</v>
      </c>
      <c r="CA5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566,"revision",""),"version",""),"jan",""),"feb",""),"mar",""),"apr",""),"may",""),"jun",""),"jul",""),"aug",""),"sep",""),"oct",""),"nov",""),"dec",""),"utc",""),"gmt",""),"myt",""),"bst",""),"rev",""),"ver",""),"b","a"),"c","a"),"d","a"),"e","a"),"f","a"),"g","a"),"h","a"),"i","a"),"j","a"),"k","a"),"l","a"),"m","a"),"n","a"),"o","a"),"p","a"),"q","a"),"r","a"),"s","a"),"t","a"),"u","a"),"v","a"),"w","a"),"x","a"),"y","a"),"z","a")</f>
        <v/>
      </c>
      <c r="CB5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566&amp;""),"a",""),"b",""),"c",""),"d",""),"e",""),"f",""),"g",""),"h",""),"i",""),"j",""),"k",""),"l",""),"m",""),"n",""),"o",""),"p",""),"q",""),"r",""),"s",""),"t",""),"u",""),"v",""),"w",""),"x",""),"y",""),"z",""),"-",""),"_",""),"/",""),".",""),"#",""),"\\",""),":","")," ",""),"(",""),")","")</f>
        <v/>
      </c>
      <c r="CC566" s="0" t="str">
        <f aca="false">" "&amp;TRIM(SUBSTITUTE(SUBSTITUTE(SUBSTITUTE(SUBSTITUTE(SUBSTITUTE(SUBSTITUTE(SUBSTITUTE(SUBSTITUTE(SUBSTITUTE(SUBSTITUTE(SUBSTITUTE(SUBSTITUTE(SUBSTITUTE(SUBSTITUTE(SUBSTITUTE(SUBSTITUTE(SUBSTITUTE(SUBSTITUTE(SUBSTITUTE(SUBSTITUTE(SUBSTITUTE(SUBSTITUTE(SUBSTITUTE(SUBSTITUTE(LOWER(T566&amp;""),CHAR(10)," "),CHAR(13)," "),CHAR(9)," "),CHAR(160)," "),"."," "),","," "),"-"," "),"/"," "),"("," "),")"," "),":"," "),";"," "),"_"," "),"–"," "),"?"," "),"!"," "),"*"," "),"["," "),"]"," "),"'"," "),"#"," "),"+"," "),"&amp;"," "),"\"," "))&amp;" "</f>
        <v>  </v>
      </c>
      <c r="CD566" s="0" t="str">
        <f aca="false">" "&amp;TRIM(SUBSTITUTE(SUBSTITUTE(SUBSTITUTE(SUBSTITUTE(SUBSTITUTE(SUBSTITUTE(SUBSTITUTE(SUBSTITUTE(SUBSTITUTE(SUBSTITUTE(SUBSTITUTE(SUBSTITUTE(SUBSTITUTE(SUBSTITUTE(SUBSTITUTE(SUBSTITUTE(SUBSTITUTE(SUBSTITUTE(SUBSTITUTE(SUBSTITUTE(SUBSTITUTE(SUBSTITUTE(SUBSTITUTE(SUBSTITUTE(LOWER(AE566&amp;""),CHAR(10)," "),CHAR(13)," "),CHAR(9)," "),CHAR(160)," "),"."," "),","," "),"-"," "),"/"," "),"("," "),")"," "),":"," "),";"," "),"_"," "),"–"," "),"?"," "),"!"," "),"*"," "),"["," "),"]"," "),"'"," "),"#"," "),"+"," "),"&amp;"," "),"\"," "))&amp;" "</f>
        <v>  </v>
      </c>
      <c r="CE566" s="68" t="n">
        <f aca="false">IFERROR(IF(AND(LEN(AU566)&gt;0,LEN(AU566)=LEN(AX566),OR(TRIM(MID(SUBSTITUTE(TRIM(CC566)," ",REPT(" ",60)),1,60))="",ISNUMBER(SEARCH(" "&amp;TRIM(MID(SUBSTITUTE(TRIM(CC566)," ",REPT(" ",60)),1,60))&amp;" ",CD566))),OR(TRIM(MID(SUBSTITUTE(TRIM(CC566)," ",REPT(" ",60)),61,60))="",ISNUMBER(SEARCH(" "&amp;TRIM(MID(SUBSTITUTE(TRIM(CC566)," ",REPT(" ",60)),61,60))&amp;" ",CD566))),OR(TRIM(MID(SUBSTITUTE(TRIM(CC566)," ",REPT(" ",60)),121,60))="",ISNUMBER(SEARCH(" "&amp;TRIM(MID(SUBSTITUTE(TRIM(CC566)," ",REPT(" ",60)),121,60))&amp;" ",CD566)))),1,0),0)</f>
        <v>0</v>
      </c>
      <c r="CG566" s="68" t="n">
        <f aca="false">IFERROR(LEN(SUBSTITUTE(BF566," ",""))-SUMPRODUCT((LEN(BF566)-LEN(SUBSTITUTE(BF566," "&amp;L_NAFiller&amp;" "," ")))/(LEN(L_NAFiller)+1)*LEN(L_NAFiller)),0)</f>
        <v>0</v>
      </c>
    </row>
    <row r="567" customFormat="false" ht="78.75" hidden="false" customHeight="true" outlineLevel="0" collapsed="false">
      <c r="A567" s="57" t="s">
        <v>1257</v>
      </c>
      <c r="B567" s="57" t="s">
        <v>290</v>
      </c>
      <c r="C567" s="57" t="str">
        <f aca="false">Flights!$F$21</f>
        <v>MH0073</v>
      </c>
      <c r="D567" s="58" t="n">
        <f aca="false">Flights!$D$21</f>
        <v>46322</v>
      </c>
      <c r="E567" s="57" t="str">
        <f aca="false">Flights!$G$21&amp;"-"&amp;Flights!$H$21</f>
        <v>HKG-KUL</v>
      </c>
      <c r="F567" s="57" t="str">
        <f aca="false">Flights!$K$21</f>
        <v>BC</v>
      </c>
      <c r="G567" s="57" t="s">
        <v>459</v>
      </c>
      <c r="H567" s="57" t="s">
        <v>460</v>
      </c>
      <c r="I567" s="57" t="s">
        <v>499</v>
      </c>
      <c r="J567" s="57" t="s">
        <v>543</v>
      </c>
      <c r="K567" s="67" t="s">
        <v>501</v>
      </c>
      <c r="L567" s="67" t="s">
        <v>1232</v>
      </c>
      <c r="M567" s="67" t="s">
        <v>451</v>
      </c>
      <c r="N567" s="67" t="s">
        <v>444</v>
      </c>
      <c r="O567" s="67" t="s">
        <v>1258</v>
      </c>
      <c r="P567" s="57" t="s">
        <v>282</v>
      </c>
      <c r="Q567" s="59" t="n">
        <f aca="false">ROUND((Flights!$AF$21)*1440,0)/1440</f>
        <v>46322.2847222222</v>
      </c>
      <c r="R567" s="59" t="n">
        <f aca="false">Q567+(IF(AND(INDEX(TZ_DSTS,MATCH(P567,TZ_STN,0))&lt;&gt;"",Q567&gt;=INDEX(TZ_DSTS,MATCH(P567,TZ_STN,0)),Q567&lt;INDEX(TZ_DSTE,MATCH(P567,TZ_STN,0))),INDEX(TZ_DST,MATCH(P567,TZ_STN,0)),INDEX(TZ_STD,MATCH(P567,TZ_STN,0))))/24</f>
        <v>46322.6180555556</v>
      </c>
      <c r="S567" s="60"/>
      <c r="T567" s="60"/>
      <c r="U567" s="60"/>
      <c r="V567" s="60"/>
      <c r="W567" s="61"/>
      <c r="X567" s="60"/>
      <c r="Y567" s="60"/>
      <c r="Z567" s="60"/>
      <c r="AA567" s="60"/>
      <c r="AB567" s="60"/>
      <c r="AC567" s="60"/>
      <c r="AD567" s="66"/>
      <c r="AE567" s="60"/>
      <c r="AF567" s="61" t="str">
        <f aca="false">IF(AND(ISNUMBER(X567),ISNUMBER(Y567)),Y567-X567,"")</f>
        <v/>
      </c>
      <c r="AG567" s="62" t="str">
        <f aca="false">IF(ISNUMBER(AD567),AD567-(IF(AND(INDEX(TZ_DSTS,MATCH(P567,TZ_STN,0))&lt;&gt;"",(AD567-INDEX(TZ_STD,MATCH(P567,TZ_STN,0))/24)&gt;=INDEX(TZ_DSTS,MATCH(P567,TZ_STN,0)),(AD567-INDEX(TZ_STD,MATCH(P567,TZ_STN,0))/24)&lt;INDEX(TZ_DSTE,MATCH(P567,TZ_STN,0))),INDEX(TZ_DST,MATCH(P567,TZ_STN,0)),INDEX(TZ_STD,MATCH(P567,TZ_STN,0))))/24,"")</f>
        <v/>
      </c>
      <c r="AH567" s="65" t="str">
        <f aca="false">IFERROR(IF(N567="N/A – rule",IF(OR(TRIM(U567)="",TRIM(U567)="N/A",TRIM(U567)="Not started"),"N/A – RULE","INVALID – this check does not apply to this aircraft: clear the status (or correct the fleet on Flights)"),IF(TRIM(U567)="N/A",IF(AT567=0,"INVALID – N/A not permitted for this check",IF(AND(TRIM(AB567)&lt;&gt;"",TRIM(AB567)&lt;&gt;"Closed"),"INVALID – corrective action still open",IF(AND(NOT(OR(LEN(AZ567)&lt;15,ISNUMBER(MATCH(AZ567,L_Placeholder,0)))),BK567=0,CG567&gt;=8,NOT(OR(LEN(AU567)&lt;2,ISNUMBER(MATCH(AU567,L_Placeholder,0)))),BR567&gt;=3,NOT(OR(LEN(AX567)&lt;2,ISNUMBER(MATCH(AX567,L_Placeholder,0)))),BS567&gt;=3,TRIM(AE567)&lt;&gt;TRIM(T567),AX567&lt;&gt;AU567,CE567=0),"N/A – JUSTIFIED","INVALID – N/A needs a real, settled reason (not 'not applicable' / 'as above' / TBC), a named PIC and a different named verifier"))),IF(OR(TRIM(U567)="Pass",TRIM(U567)="Pass after CA"),IF(NOT(ISNUMBER(AD567)),"INVALID – completion time missing",IF(OR(OR(LEN(AU567)&lt;2,ISNUMBER(MATCH(AU567,L_Placeholder,0))),BR567&lt;3),"INVALID – PIC missing or not a named person (a role such as QA / CSM is not a name)",IF(OR(LEN(AV567)&lt;2,ISNUMBER(MATCH(AV567,L_Placeholder,0))),"INVALID – result / assessment missing",IF(OR(OR(LEN(AW567)&lt;3,ISNUMBER(MATCH(AW567,L_Placeholder,0))),SUMPRODUCT(--ISNUMBER(SEARCH(" "&amp;L_EvidencePhrase&amp;" ",BD567)))&gt;0,BI567=1),"INVALID – evidence missing, placeholder or not yet on file",IF(ISNA(MATCH(TRIM(S567),L_EvidenceType,0)),"INVALID – choose the evidence type from the list (column S)",IF(BL567=0,"INVALID – evidence ID must be the record's own ID only (e.g. SF-2210, IMG_2231, 1045521); a link / file name needs type 'Link / file path'",IF(OR(OR(LEN(AX567)&lt;2,ISNUMBER(MATCH(AX567,L_Placeholder,0))),BS567&lt;3),"INVALID – verifier missing or not a named person (a role such as QA / CSM is not a name)",IF(OR(AX567=AU567,CE567=1,AND(LEN(AU567)&gt;=4,ISNUMBER(SEARCH(AU567,AX567))),AND(LEN(AX567)&gt;=4,ISNUMBER(SEARCH(AX567,AU567)))),"INVALID – verifier must be a different, named person (not the PIC or a role)",IF(BH567=1,"INVALID – result not yet available (awaiting / TBC)",IF(BG567=1,"INVALID – result describes a problem: record Fail, then Pass after CA (or reword if it is not a problem)",IF(BV567=1,"INVALID – wording says not on board: an on-board confirmation needs the item loaded",IF(AND(AQ567=1,OR(OR(LEN(AY567)&lt;3,ISNUMBER(MATCH(AY567,L_Placeholder,0))),BJ567=1,BQ567=0)),"INVALID – batch ID missing, placeholder or not an ID (e.g. PASB-261008-BC-017)",IF(AND(AR567=1,OR(NOT(ISNUMBER(X567)),NOT(ISNUMBER(Y567)))),"INVALID – expected/actual qty missing",IF(AND(AR567=1,OR(X567&lt;=0,Y567&lt;0)),"INVALID – expected qty must be above 0 and actual not negative",IF(AH553="N/A – JUSTIFIED","INVALID – preparation row F17-T12-12 is N/A",IF(AND(AR567=1,ISNUMBER(X553),X567&lt;&gt;X553,TRIM(U567)&lt;&gt;"Pass after CA"),"INVALID – expected qty differs from preparation check F17-T12-12: record the load change as a corrective action (Pass after CA)",IF(BB567&lt;&gt;"",BB567,IF(AND(AS567=1,Documents!$J$21&lt;&gt;"ON FILE"),"INVALID – GLD not on file (Documents sheet)",IF(AND(AS567=2,Documents!$O$21&lt;&gt;"ON FILE"),"INVALID – menu checklist not on file (Documents sheet)",IF(AND(AS567=3,NOT(ISNUMBER(Flights!$AX$21))),"INVALID – enter carrying flight KUL departure (Flights AX)",IF(AND(AS567=3,OR(Flights!$AZ$21&gt;Flights!$AA$21,Flights!$AX$21&lt;Flights!$AA$21-3)),"INVALID – carrying flight (Flights AX) cannot arrive before this leg's STD, or is over 3 days early",IF(AG567&gt;AsOfUTC,"INVALID – completion time is in the future",IF(AND(ISNUMBER(BY567),AG567&lt;BY567),IF(H567="Physical uplift","INVALID – before uplift window (cannot confirm loading)","INVALID – before valid window"),IF(AG567&gt;Flights!$AA$21,"INVALID – completed after departure (cannot establish readiness)",IF(AND(H567="Preparation",AG567&gt;=IF(ISNUMBER(Flights!$BA$21),MIN(Flights!$BA$21,Flights!$AA$21),Flights!$AA$21)),"INVALID – completed after loading / departure (cannot establish readiness)",IF(AND(H567="Physical uplift",AG567&gt;Q567),"INVALID – recorded after the loading flight departed",IF(AG567&gt;Q567,"COMPLETE – LATE","COMPLETE"))))))))))))))))))))))))))),IF(TRIM(U567)="Fail","FAIL – DISCREPANCY",IF(AND(TRIM(U567)&lt;&gt;"",TRIM(U567)&lt;&gt;"Not started",TRIM(U567)&lt;&gt;"In progress"),"INVALID – unrecognised status (use the list)",IF(AsOfUTC&gt;Q567,"OVERDUE",IF(N567="Clarification required","OPEN – CLARIFICATION","OPEN"))))))),"INVALID – error value in an input cell")</f>
        <v>OPEN – CLARIFICATION</v>
      </c>
      <c r="AI567" s="61" t="n">
        <f aca="false">IF(OR(AH567="N/A – RULE",AH567="N/A – JUSTIFIED"),0,1)</f>
        <v>1</v>
      </c>
      <c r="AJ567" s="61" t="n">
        <f aca="false">IF(LEFT(AH567,8)="COMPLETE",1,0)</f>
        <v>0</v>
      </c>
      <c r="AK567" s="61" t="n">
        <f aca="false">IF(AND(AI567=1,AJ567=0,AsOfUTC&gt;Q567),1,0)</f>
        <v>0</v>
      </c>
      <c r="AL567" s="61" t="n">
        <f aca="false">IFERROR(IF(AND(AI567=1,OR(TRIM(U567)="Fail",AND(TRIM(AB567)&lt;&gt;"",TRIM(AB567)&lt;&gt;"Closed"),AND(ISNUMBER(AF567),AF567&lt;&gt;0,TRIM(U567)&lt;&gt;"Pass after CA"))),1,0),1)</f>
        <v>0</v>
      </c>
      <c r="AM567" s="61" t="n">
        <f aca="false">IF(LEFT(AH567,7)="INVALID",1,0)</f>
        <v>0</v>
      </c>
      <c r="AN567" s="61" t="n">
        <f aca="false">IF(AND(N567="Clarification required",AI567=1,AJ567=0),1,0)</f>
        <v>1</v>
      </c>
      <c r="AO567" s="61" t="str">
        <f aca="false">IF(AK567=1,SUM(AK$5:AK567),"")</f>
        <v/>
      </c>
      <c r="AP567" s="61" t="str">
        <f aca="false">IF(AL567=1,SUM(AL$5:AL567),"")</f>
        <v/>
      </c>
      <c r="AQ567" s="61" t="n">
        <v>0</v>
      </c>
      <c r="AR567" s="61" t="n">
        <v>0</v>
      </c>
      <c r="AS567" s="61" t="n">
        <v>0</v>
      </c>
      <c r="AT567" s="61" t="n">
        <v>1</v>
      </c>
      <c r="AU567" s="61" t="str">
        <f aca="false">SUBSTITUTE(SUBSTITUTE(SUBSTITUTE(SUBSTITUTE(SUBSTITUTE(SUBSTITUTE(SUBSTITUTE(SUBSTITUTE(SUBSTITUTE(SUBSTITUTE(SUBSTITUTE(SUBSTITUTE(SUBSTITUTE(SUBSTITUTE(SUBSTITUTE(SUBSTITUTE(LOWER(T567&amp;""),CHAR(10),""),CHAR(13),""),CHAR(9),""),CHAR(160),"")," ",""),".",""),"-",""),"/",""),"?",""),"_",""),",",""),"[",""),"]",""),"(",""),")",""),"*","")</f>
        <v/>
      </c>
      <c r="AV567" s="61" t="str">
        <f aca="false">SUBSTITUTE(SUBSTITUTE(SUBSTITUTE(SUBSTITUTE(SUBSTITUTE(SUBSTITUTE(SUBSTITUTE(SUBSTITUTE(SUBSTITUTE(SUBSTITUTE(SUBSTITUTE(SUBSTITUTE(SUBSTITUTE(SUBSTITUTE(SUBSTITUTE(SUBSTITUTE(LOWER(V567&amp;""),CHAR(10),""),CHAR(13),""),CHAR(9),""),CHAR(160),"")," ",""),".",""),"-",""),"/",""),"?",""),"_",""),",",""),"[",""),"]",""),"(",""),")",""),"*","")</f>
        <v/>
      </c>
      <c r="AW567" s="61" t="str">
        <f aca="false">SUBSTITUTE(SUBSTITUTE(SUBSTITUTE(SUBSTITUTE(SUBSTITUTE(SUBSTITUTE(SUBSTITUTE(SUBSTITUTE(SUBSTITUTE(SUBSTITUTE(SUBSTITUTE(SUBSTITUTE(SUBSTITUTE(SUBSTITUTE(SUBSTITUTE(SUBSTITUTE(LOWER(Z567&amp;""),CHAR(10),""),CHAR(13),""),CHAR(9),""),CHAR(160),"")," ",""),".",""),"-",""),"/",""),"?",""),"_",""),",",""),"[",""),"]",""),"(",""),")",""),"*","")</f>
        <v/>
      </c>
      <c r="AX567" s="61" t="str">
        <f aca="false">SUBSTITUTE(SUBSTITUTE(SUBSTITUTE(SUBSTITUTE(SUBSTITUTE(SUBSTITUTE(SUBSTITUTE(SUBSTITUTE(SUBSTITUTE(SUBSTITUTE(SUBSTITUTE(SUBSTITUTE(SUBSTITUTE(SUBSTITUTE(SUBSTITUTE(SUBSTITUTE(LOWER(AE567&amp;""),CHAR(10),""),CHAR(13),""),CHAR(9),""),CHAR(160),"")," ",""),".",""),"-",""),"/",""),"?",""),"_",""),",",""),"[",""),"]",""),"(",""),")",""),"*","")</f>
        <v/>
      </c>
      <c r="AY567" s="61" t="str">
        <f aca="false">SUBSTITUTE(SUBSTITUTE(SUBSTITUTE(SUBSTITUTE(SUBSTITUTE(SUBSTITUTE(SUBSTITUTE(SUBSTITUTE(SUBSTITUTE(SUBSTITUTE(SUBSTITUTE(SUBSTITUTE(SUBSTITUTE(SUBSTITUTE(SUBSTITUTE(SUBSTITUTE(LOWER(W567&amp;""),CHAR(10),""),CHAR(13),""),CHAR(9),""),CHAR(160),"")," ",""),".",""),"-",""),"/",""),"?",""),"_",""),",",""),"[",""),"]",""),"(",""),")",""),"*","")</f>
        <v/>
      </c>
      <c r="AZ567" s="61" t="str">
        <f aca="false">SUBSTITUTE(SUBSTITUTE(SUBSTITUTE(SUBSTITUTE(SUBSTITUTE(SUBSTITUTE(SUBSTITUTE(SUBSTITUTE(SUBSTITUTE(SUBSTITUTE(SUBSTITUTE(SUBSTITUTE(SUBSTITUTE(SUBSTITUTE(SUBSTITUTE(SUBSTITUTE(LOWER(AC567&amp;""),CHAR(10),""),CHAR(13),""),CHAR(9),""),CHAR(160),"")," ",""),".",""),"-",""),"/",""),"?",""),"_",""),",",""),"[",""),"]",""),"(",""),")",""),"*","")</f>
        <v/>
      </c>
      <c r="BA567" s="61" t="str">
        <f aca="false">SUBSTITUTE(SUBSTITUTE(SUBSTITUTE(SUBSTITUTE(SUBSTITUTE(SUBSTITUTE(SUBSTITUTE(SUBSTITUTE(SUBSTITUTE(SUBSTITUTE(SUBSTITUTE(SUBSTITUTE(SUBSTITUTE(SUBSTITUTE(SUBSTITUTE(SUBSTITUTE(LOWER(AA567&amp;""),CHAR(10),""),CHAR(13),""),CHAR(9),""),CHAR(160),"")," ",""),".",""),"-",""),"/",""),"?",""),"_",""),",",""),"[",""),"]",""),"(",""),")",""),"*","")</f>
        <v/>
      </c>
      <c r="BB567" s="61" t="str">
        <f aca="false">IF(AND(TRIM(U567)="Pass",ISNUMBER(AF567)),IF(AF567&lt;&gt;0,"INVALID – qty variance: use Fail or Pass after CA",""),"")&amp;IF(AND(TRIM(U567)="Pass after CA",ISNUMBER(AF567)),IF(AF567&lt;&gt;0,"INVALID – after the corrective action the actual qty must equal expected (update Actual)",""),"")&amp;IF(AND(TRIM(U567)="Pass",TRIM(AB567)&lt;&gt;"",TRIM(AB567)&lt;&gt;"Closed"),"INVALID – corrective action not closed: use Fail, then Pass after CA","")&amp;IF(AND(LEN(BA567)&gt;=2,ISNA(MATCH(LEFT(BA567,255),L_Placeholder,0)),TRIM(AB567)=""),"INVALID – CA status missing for the recorded corrective action","")&amp;IF(AND(TRIM(U567)="Pass after CA",OR(OR(LEN(BA567)&lt;5,ISNUMBER(MATCH(BA567,L_Placeholder,0))),TRIM(AB567)&lt;&gt;"Closed")),"INVALID – corrective action not recorded/closed","")</f>
        <v/>
      </c>
      <c r="BC567" s="61" t="str">
        <f aca="false">" "&amp;TRIM(SUBSTITUTE(SUBSTITUTE(SUBSTITUTE(SUBSTITUTE(SUBSTITUTE(SUBSTITUTE(SUBSTITUTE(SUBSTITUTE(SUBSTITUTE(SUBSTITUTE(SUBSTITUTE(SUBSTITUTE(SUBSTITUTE(SUBSTITUTE(SUBSTITUTE(SUBSTITUTE(SUBSTITUTE(SUBSTITUTE(SUBSTITUTE(SUBSTITUTE(SUBSTITUTE(SUBSTITUTE(SUBSTITUTE(SUBSTITUTE(LOWER(V567&amp;""),CHAR(10)," "),CHAR(13)," "),CHAR(9)," "),CHAR(160)," "),"."," "),","," "),"-"," "),"/"," "),"("," "),")"," "),":"," "),";"," "),"_"," "),"–"," "),"?"," "),"!"," "),"*"," "),"["," "),"]"," "),"'"," "),"#"," "),"+"," "),"&amp;"," "),"\"," "))&amp;" "</f>
        <v>  </v>
      </c>
      <c r="BD567" s="61" t="str">
        <f aca="false">" "&amp;TRIM(SUBSTITUTE(SUBSTITUTE(SUBSTITUTE(SUBSTITUTE(SUBSTITUTE(SUBSTITUTE(SUBSTITUTE(SUBSTITUTE(SUBSTITUTE(SUBSTITUTE(SUBSTITUTE(SUBSTITUTE(SUBSTITUTE(SUBSTITUTE(SUBSTITUTE(SUBSTITUTE(SUBSTITUTE(SUBSTITUTE(SUBSTITUTE(SUBSTITUTE(SUBSTITUTE(SUBSTITUTE(SUBSTITUTE(SUBSTITUTE(LOWER(Z567&amp;""),CHAR(10)," "),CHAR(13)," "),CHAR(9)," "),CHAR(160)," "),"."," "),","," "),"-"," "),"/"," "),"("," "),")"," "),":"," "),";"," "),"_"," "),"–"," "),"?"," "),"!"," "),"*"," "),"["," "),"]"," "),"'"," "),"#"," "),"+"," "),"&amp;"," "),"\"," "))&amp;" "</f>
        <v>  </v>
      </c>
      <c r="BE567" s="61" t="str">
        <f aca="false">" "&amp;TRIM(SUBSTITUTE(SUBSTITUTE(SUBSTITUTE(SUBSTITUTE(SUBSTITUTE(SUBSTITUTE(SUBSTITUTE(SUBSTITUTE(SUBSTITUTE(SUBSTITUTE(SUBSTITUTE(SUBSTITUTE(SUBSTITUTE(SUBSTITUTE(SUBSTITUTE(SUBSTITUTE(SUBSTITUTE(SUBSTITUTE(SUBSTITUTE(SUBSTITUTE(SUBSTITUTE(SUBSTITUTE(SUBSTITUTE(SUBSTITUTE(LOWER(W567&amp;""),CHAR(10)," "),CHAR(13)," "),CHAR(9)," "),CHAR(160)," "),"."," "),","," "),"-"," "),"/"," "),"("," "),")"," "),":"," "),";"," "),"_"," "),"–"," "),"?"," "),"!"," "),"*"," "),"["," "),"]"," "),"'"," "),"#"," "),"+"," "),"&amp;"," "),"\"," "))&amp;" "</f>
        <v>  </v>
      </c>
      <c r="BF567" s="61" t="str">
        <f aca="false">" "&amp;TRIM(SUBSTITUTE(SUBSTITUTE(SUBSTITUTE(SUBSTITUTE(SUBSTITUTE(SUBSTITUTE(SUBSTITUTE(SUBSTITUTE(SUBSTITUTE(SUBSTITUTE(SUBSTITUTE(SUBSTITUTE(SUBSTITUTE(SUBSTITUTE(SUBSTITUTE(SUBSTITUTE(SUBSTITUTE(SUBSTITUTE(SUBSTITUTE(SUBSTITUTE(SUBSTITUTE(SUBSTITUTE(SUBSTITUTE(SUBSTITUTE(LOWER(AC567&amp;""),CHAR(10)," "),CHAR(13)," "),CHAR(9)," "),CHAR(160)," "),"."," "),","," "),"-"," "),"/"," "),"("," "),")"," "),":"," "),";"," "),"_"," "),"–"," "),"?"," "),"!"," "),"*"," "),"["," "),"]"," "),"'"," "),"#"," "),"+"," "),"&amp;"," "),"\"," "))&amp;" "</f>
        <v>  </v>
      </c>
      <c r="BG567" s="61" t="n">
        <f aca="false">IFERROR(IF(AND(TRIM(U567)="Pass",SUMPRODUCT((LEN(BC567)-LEN(SUBSTITUTE(BC567," "&amp;L_ResultBad&amp;" "," ")))/(LEN(L_ResultBad)+1))&gt;SUMPRODUCT((LEN(BC567)-LEN(SUBSTITUTE(BC567," "&amp;L_NegPhrase&amp;" "," ")))/(LEN(L_NegPhrase)+1))),1,0),0)</f>
        <v>0</v>
      </c>
      <c r="BH567" s="61" t="n">
        <f aca="false">IFERROR(IF(SUMPRODUCT((LEN(BC567)-LEN(SUBSTITUTE(BC567," "&amp;L_Pending&amp;" "," ")))/(LEN(L_Pending)+1))&gt;SUMPRODUCT((LEN(BC567)-LEN(SUBSTITUTE(BC567," "&amp;L_PendNeg&amp;" "," ")))/(LEN(L_PendNeg)+1)),1,0),1)</f>
        <v>0</v>
      </c>
      <c r="BI567" s="61" t="n">
        <f aca="false">IFERROR(IF(SUMPRODUCT((LEN(BD567)-LEN(SUBSTITUTE(BD567," "&amp;L_PendStrict&amp;" "," ")))/(LEN(L_PendStrict)+1))&gt;SUMPRODUCT((LEN(BD567)-LEN(SUBSTITUTE(BD567," "&amp;L_PendNeg&amp;" "," ")))/(LEN(L_PendNeg)+1)),1,0),1)</f>
        <v>0</v>
      </c>
      <c r="BJ567" s="61" t="n">
        <f aca="false">IFERROR(IF(SUMPRODUCT((LEN(BE567)-LEN(SUBSTITUTE(BE567," "&amp;L_Pending&amp;" "," ")))/(LEN(L_Pending)+1))&gt;SUMPRODUCT((LEN(BE567)-LEN(SUBSTITUTE(BE567," "&amp;L_PendNeg&amp;" "," ")))/(LEN(L_PendNeg)+1)),1,0),1)</f>
        <v>0</v>
      </c>
      <c r="BK567" s="61" t="n">
        <f aca="false">IFERROR(IF(SUMPRODUCT((LEN(BF567)-LEN(SUBSTITUTE(BF567," "&amp;L_PendStrict&amp;" "," ")))/(LEN(L_PendStrict)+1))&gt;SUMPRODUCT((LEN(BF567)-LEN(SUBSTITUTE(BF567," "&amp;L_PendNeg&amp;" "," ")))/(LEN(L_PendNeg)+1)),1,0),1)</f>
        <v>0</v>
      </c>
      <c r="BL567" s="61" t="n">
        <f aca="false">IF(ISNA(MATCH(TRIM(S567),L_EvidenceType,0)),0,BZ567)</f>
        <v>0</v>
      </c>
      <c r="BM567" s="61" t="str">
        <f aca="false">SUBSTITUTE(SUBSTITUTE(SUBSTITUTE(SUBSTITUTE(SUBSTITUTE(SUBSTITUTE(SUBSTITUTE(SUBSTITUTE(SUBSTITUTE(LOWER(Z567&amp;""),"1","0"),"2","0"),"3","0"),"4","0"),"5","0"),"6","0"),"7","0"),"8","0"),"9","0")</f>
        <v/>
      </c>
      <c r="BN567" s="61" t="str">
        <f aca="false">SUBSTITUTE(SUBSTITUTE(SUBSTITUTE(SUBSTITUTE(SUBSTITUTE(SUBSTITUTE(SUBSTITUTE(SUBSTITUTE(SUBSTITUTE(SUBSTITUTE(SUBSTITUTE(SUBSTITUTE(SUBSTITUTE(SUBSTITUTE(SUBSTITUTE(SUBSTITUTE(SUBSTITUTE(SUBSTITUTE(SUBSTITUTE(SUBSTITUTE(SUBSTITUTE(SUBSTITUTE(SUBSTITUTE(SUBSTITUTE(SUBSTITUTE(BM567,"b","a"),"c","a"),"d","a"),"e","a"),"f","a"),"g","a"),"h","a"),"i","a"),"j","a"),"k","a"),"l","a"),"m","a"),"n","a"),"o","a"),"p","a"),"q","a"),"r","a"),"s","a"),"t","a"),"u","a"),"v","a"),"w","a"),"x","a"),"y","a"),"z","a")</f>
        <v/>
      </c>
      <c r="BO567" s="61" t="str">
        <f aca="false">SUBSTITUTE(SUBSTITUTE(SUBSTITUTE(SUBSTITUTE(SUBSTITUTE(SUBSTITUTE(SUBSTITUTE(SUBSTITUTE(SUBSTITUTE(LOWER(W567&amp;""),"1","0"),"2","0"),"3","0"),"4","0"),"5","0"),"6","0"),"7","0"),"8","0"),"9","0")</f>
        <v/>
      </c>
      <c r="BP567" s="61" t="str">
        <f aca="false">SUBSTITUTE(SUBSTITUTE(SUBSTITUTE(SUBSTITUTE(SUBSTITUTE(SUBSTITUTE(SUBSTITUTE(SUBSTITUTE(SUBSTITUTE(SUBSTITUTE(SUBSTITUTE(SUBSTITUTE(SUBSTITUTE(SUBSTITUTE(SUBSTITUTE(SUBSTITUTE(SUBSTITUTE(SUBSTITUTE(SUBSTITUTE(SUBSTITUTE(SUBSTITUTE(SUBSTITUTE(SUBSTITUTE(SUBSTITUTE(SUBSTITUTE(BO567,"b","a"),"c","a"),"d","a"),"e","a"),"f","a"),"g","a"),"h","a"),"i","a"),"j","a"),"k","a"),"l","a"),"m","a"),"n","a"),"o","a"),"p","a"),"q","a"),"r","a"),"s","a"),"t","a"),"u","a"),"v","a"),"w","a"),"x","a"),"y","a"),"z","a")</f>
        <v/>
      </c>
      <c r="BQ567" s="61" t="n">
        <f aca="false">IFERROR(IF(AND(ISERROR(SEARCH(" mh"," "&amp;LOWER(W567))),ISNA(MATCH(LEFT(TRIM(BP567),255),{"0000a","000a","00a","0000aa","000aa","00aa","0aa","0000aaa","000aaa","00a00","0a00","0000-0000","00:00","a00","a0","00.00.0000","00/00/0000","00-00-0000","0000-00-00","0000/00/00","0000.00.00","00.00.00","00/00/00","00-00-00","0.00.0000","0/00/0000","0-00-0000"},0)),ISNA(MATCH(LEFT(TRIM(CA567),255),{"0000a","000a","00a","0000aa","000aa","00aa","0aa","0000aaa","000aaa","00a00","0a00","0000-0000","00:00","a00","a0","00.00.0000","00/00/0000","00-00-0000","0000-00-00","0000/00/00","0000.00.00","00.00.00","00/00/00","00-00-00","0.00.0000","0/00/0000","0-00-0000"},0)),LEN(CB567)&gt;=3,NOT(OR(SUBSTITUTE(CB567,"0","")="",AND(LEN(CB567)&gt;=4,CB567=REPT(LEFT(CB567),LEN(CB567))),ISNUMBER(MATCH(CB567,{"123","1234","12345","123456","1234567","12345678","0123","01234","012345","98765","987654","54321"},0)),AND(LEN(CB567)=8,LEFT(CB567,3)="202"))),OR(AND((LEN(CA567)-LEN(SUBSTITUTE(CA567,"a","")))&gt;=1,SUMPRODUCT(--ISNUMBER(SEARCH({"a0","a-0","a_0","a/0","a.0","a#0","0a","0-a","0_a","0/a"},BP567)))&gt;0),ISNUMBER(SEARCH("000000",BP567)))),1,0),0)</f>
        <v>0</v>
      </c>
      <c r="BR567" s="61" t="n">
        <f aca="false">IFERROR(LEN(SUBSTITUTE(CC567," ",""))-SUMPRODUCT((LEN(CC567)-LEN(SUBSTITUTE(CC567," "&amp;L_Role&amp;" "," ")))/(LEN(L_Role)+1)*LEN(L_Role)),0)</f>
        <v>0</v>
      </c>
      <c r="BS567" s="61" t="n">
        <f aca="false">IFERROR(LEN(SUBSTITUTE(CD567," ",""))-SUMPRODUCT((LEN(CD567)-LEN(SUBSTITUTE(CD567," "&amp;L_Role&amp;" "," ")))/(LEN(L_Role)+1)*LEN(L_Role)),0)</f>
        <v>0</v>
      </c>
      <c r="BT5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567,"revision",""),"version",""),"jan",""),"feb",""),"mar",""),"apr",""),"may",""),"jun",""),"jul",""),"aug",""),"sep",""),"oct",""),"nov",""),"dec",""),"utc",""),"gmt",""),"myt",""),"bst",""),"rev",""),"ver",""),"b","a"),"c","a"),"d","a"),"e","a"),"f","a"),"g","a"),"h","a"),"i","a"),"j","a"),"k","a"),"l","a"),"m","a"),"n","a"),"o","a"),"p","a"),"q","a"),"r","a"),"s","a"),"t","a"),"u","a"),"v","a"),"w","a"),"x","a"),"y","a"),"z","a")</f>
        <v/>
      </c>
      <c r="BU567" s="61" t="str">
        <f aca="false">SUBSTITUTE(SUBSTITUTE(SUBSTITUTE(SUBSTITUTE(SUBSTITUTE(SUBSTITUTE(SUBSTITUTE(SUBSTITUTE(SUBSTITUTE(SUBSTITUTE(LEFT(BM567,FIND("0",BM567&amp;"0")-1),"-",""),"_",""),"/",""),".",""),"#",""),"\\",""),":","")," ",""),"(",""),")","")</f>
        <v/>
      </c>
      <c r="BV567" s="61" t="n">
        <f aca="false">IFERROR(IF(OR(SUMPRODUCT((LEN(BC567)-LEN(SUBSTITUTE(BC567," "&amp;L_NotLoaded&amp;" "," ")))/(LEN(L_NotLoaded)+1))&gt;SUMPRODUCT((LEN(BC567)-LEN(SUBSTITUTE(BC567," "&amp;L_NotLoadedNeg&amp;" "," ")))/(LEN(L_NotLoadedNeg)+1)),SUMPRODUCT((LEN(BD567)-LEN(SUBSTITUTE(BD567," "&amp;L_NotLoaded&amp;" "," ")))/(LEN(L_NotLoaded)+1))&gt;SUMPRODUCT((LEN(BD567)-LEN(SUBSTITUTE(BD567," "&amp;L_NotLoadedNeg&amp;" "," ")))/(LEN(L_NotLoadedNeg)+1))),1,0),0)</f>
        <v>0</v>
      </c>
      <c r="BW5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567&amp;""),"a",""),"b",""),"c",""),"d",""),"e",""),"f",""),"g",""),"h",""),"i",""),"j",""),"k",""),"l",""),"m",""),"n",""),"o",""),"p",""),"q",""),"r",""),"s",""),"t",""),"u",""),"v",""),"w",""),"x",""),"y",""),"z",""),"-",""),"_",""),"/",""),".",""),"#",""),"\\",""),":","")," ",""),"(",""),")","")</f>
        <v/>
      </c>
      <c r="BX567" s="61" t="str">
        <f aca="false">SUBSTITUTE(SUBSTITUTE(SUBSTITUTE(SUBSTITUTE(SUBSTITUTE(SUBSTITUTE(SUBSTITUTE(SUBSTITUTE(SUBSTITUTE(SUBSTITUTE(SUBSTITUTE(BM567,"0",""),"-",""),"_",""),"/",""),".",""),"#",""),"\\",""),":","")," ",""),"(",""),")","")</f>
        <v/>
      </c>
      <c r="BY567" s="62" t="n">
        <f aca="false">IF(ISNUMBER(Flights!$AZ$21),MAX(Q567-UpliftWindowH/24,Flights!$AZ$21),Q567-UpliftWindowH/24)</f>
        <v>46322.0347222222</v>
      </c>
      <c r="BZ567" s="61" t="n">
        <f aca="false">IFERROR(IF(IF(TRIM(S567)="Link / file path",AND(LEN(TRIM(Z567))&gt;=5,SUMPRODUCT(--ISNUMBER(SEARCH({"http","www.","\\",":\",".pdf",".jpg",".jpeg",".png",".heic",".xls",".doc",".msg",".eml",".ppt",".txt",".zip"},Z567)))&gt;0),AND(ISERROR(FIND(" ",TRIM(Z567))),NOT(OR(SUMPRODUCT(--ISNUMBER(FIND({",",";","&amp;","+"},Z567)))&gt;0,SUMPRODUCT(--ISNUMBER(SEARCH({"0/aa","0\\aa"},BN567)))&gt;0)),NOT(SUMPRODUCT(--ISNUMBER(SEARCH({"http","www.","\\",":\",".pdf",".jpg",".jpeg",".png",".heic",".xls",".doc",".msg",".eml",".ppt",".txt",".zip"},Z567)))&gt;0),NOT(LOWER(TRIM(Z567))=LOWER(Flights!$F$21)),ISNA(MATCH(BU567,{"mh","rev","revision","ver","version","v","r","a","b","seat","tray","row","gate","bay","stand","page","pg","item","line","no","cart","galley","flight","flt","table","box","bag","oven","etd","eta","std","sta","atd","ata","qty","pax","x","time","tel","ph","mob","day","wk","week","utc","gmt","myt","lt"},0)),NOT(OR(ISNUMBER(MATCH(LEFT(BN567,255),{"0000a","000a","00a","0000aa","000aa","00aa","0aa","0000aaa","000aaa","00a00","0a00","0000-0000","00:00","a00","a0","00.00.0000","00/00/0000","00-00-0000","0000-00-00","0000/00/00","0000.00.00","00.00.00","00/00/00","00-00-00","0.00.0000","0/00/0000","0-00-0000"},0)),ISNUMBER(MATCH(LEFT(BT567,255),{"0000a","000a","00a","0000aa","000aa","00aa","0aa","0000aaa","000aaa","00a00","0a00","0000-0000","00:00","a00","a0","00.00.0000","00/00/0000","00-00-0000","0000-00-00","0000/00/00","0000.00.00","00.00.00","00/00/00","00-00-00","0.00.0000","0/00/0000","0-00-0000"},0)))),NOT(OR(AND(BW567&lt;&gt;"",SUBSTITUTE(BW567,"0","")=""),AND(LEN(BW567)&gt;=4,BW567=REPT(LEFT(BW567),LEN(BW567))),ISNUMBER(MATCH(BW567,{"123","1234","12345","123456","1234567","12345678","0123","01234","012345","98765","987654","54321"},0)),ISNUMBER(MATCH(BX567,{"x","xx","xxx","xxxx","xxxxx","abc","abcd","nil","na","nan","test","tbc","tba","tbd","dummy","sample","example","eg","zz","zzz","none","null","xyz","qwe","asd","id","ref"},0)),AND(LEN(BW567)=8,BX567="",OR(LEFT(BW567,3)="202",ISNUMBER(MATCH(RIGHT(BW567,4),{"2025","2026","2027"},0)))))),OR(AND((LEN(BT567)-LEN(SUBSTITUTE(BT567,"a","")))&gt;=1,(LEN(BN567)-LEN(SUBSTITUTE(BN567,"0","")))&gt;=2,SUMPRODUCT(--ISNUMBER(SEARCH({"a0","a-0","a_0","a/0","a.0","a#0","0a","0-a","0_a","0/a"},BN567)))&gt;0),AND((LEN(BN567)-LEN(SUBSTITUTE(BN567,"a","")))=0,(LEN(BN567)-LEN(SUBSTITUTE(BN567,"0","")))&gt;=5)))),1,0),0)</f>
        <v>0</v>
      </c>
      <c r="CA5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567,"revision",""),"version",""),"jan",""),"feb",""),"mar",""),"apr",""),"may",""),"jun",""),"jul",""),"aug",""),"sep",""),"oct",""),"nov",""),"dec",""),"utc",""),"gmt",""),"myt",""),"bst",""),"rev",""),"ver",""),"b","a"),"c","a"),"d","a"),"e","a"),"f","a"),"g","a"),"h","a"),"i","a"),"j","a"),"k","a"),"l","a"),"m","a"),"n","a"),"o","a"),"p","a"),"q","a"),"r","a"),"s","a"),"t","a"),"u","a"),"v","a"),"w","a"),"x","a"),"y","a"),"z","a")</f>
        <v/>
      </c>
      <c r="CB5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567&amp;""),"a",""),"b",""),"c",""),"d",""),"e",""),"f",""),"g",""),"h",""),"i",""),"j",""),"k",""),"l",""),"m",""),"n",""),"o",""),"p",""),"q",""),"r",""),"s",""),"t",""),"u",""),"v",""),"w",""),"x",""),"y",""),"z",""),"-",""),"_",""),"/",""),".",""),"#",""),"\\",""),":","")," ",""),"(",""),")","")</f>
        <v/>
      </c>
      <c r="CC567" s="0" t="str">
        <f aca="false">" "&amp;TRIM(SUBSTITUTE(SUBSTITUTE(SUBSTITUTE(SUBSTITUTE(SUBSTITUTE(SUBSTITUTE(SUBSTITUTE(SUBSTITUTE(SUBSTITUTE(SUBSTITUTE(SUBSTITUTE(SUBSTITUTE(SUBSTITUTE(SUBSTITUTE(SUBSTITUTE(SUBSTITUTE(SUBSTITUTE(SUBSTITUTE(SUBSTITUTE(SUBSTITUTE(SUBSTITUTE(SUBSTITUTE(SUBSTITUTE(SUBSTITUTE(LOWER(T567&amp;""),CHAR(10)," "),CHAR(13)," "),CHAR(9)," "),CHAR(160)," "),"."," "),","," "),"-"," "),"/"," "),"("," "),")"," "),":"," "),";"," "),"_"," "),"–"," "),"?"," "),"!"," "),"*"," "),"["," "),"]"," "),"'"," "),"#"," "),"+"," "),"&amp;"," "),"\"," "))&amp;" "</f>
        <v>  </v>
      </c>
      <c r="CD567" s="0" t="str">
        <f aca="false">" "&amp;TRIM(SUBSTITUTE(SUBSTITUTE(SUBSTITUTE(SUBSTITUTE(SUBSTITUTE(SUBSTITUTE(SUBSTITUTE(SUBSTITUTE(SUBSTITUTE(SUBSTITUTE(SUBSTITUTE(SUBSTITUTE(SUBSTITUTE(SUBSTITUTE(SUBSTITUTE(SUBSTITUTE(SUBSTITUTE(SUBSTITUTE(SUBSTITUTE(SUBSTITUTE(SUBSTITUTE(SUBSTITUTE(SUBSTITUTE(SUBSTITUTE(LOWER(AE567&amp;""),CHAR(10)," "),CHAR(13)," "),CHAR(9)," "),CHAR(160)," "),"."," "),","," "),"-"," "),"/"," "),"("," "),")"," "),":"," "),";"," "),"_"," "),"–"," "),"?"," "),"!"," "),"*"," "),"["," "),"]"," "),"'"," "),"#"," "),"+"," "),"&amp;"," "),"\"," "))&amp;" "</f>
        <v>  </v>
      </c>
      <c r="CE567" s="68" t="n">
        <f aca="false">IFERROR(IF(AND(LEN(AU567)&gt;0,LEN(AU567)=LEN(AX567),OR(TRIM(MID(SUBSTITUTE(TRIM(CC567)," ",REPT(" ",60)),1,60))="",ISNUMBER(SEARCH(" "&amp;TRIM(MID(SUBSTITUTE(TRIM(CC567)," ",REPT(" ",60)),1,60))&amp;" ",CD567))),OR(TRIM(MID(SUBSTITUTE(TRIM(CC567)," ",REPT(" ",60)),61,60))="",ISNUMBER(SEARCH(" "&amp;TRIM(MID(SUBSTITUTE(TRIM(CC567)," ",REPT(" ",60)),61,60))&amp;" ",CD567))),OR(TRIM(MID(SUBSTITUTE(TRIM(CC567)," ",REPT(" ",60)),121,60))="",ISNUMBER(SEARCH(" "&amp;TRIM(MID(SUBSTITUTE(TRIM(CC567)," ",REPT(" ",60)),121,60))&amp;" ",CD567)))),1,0),0)</f>
        <v>0</v>
      </c>
      <c r="CG567" s="68" t="n">
        <f aca="false">IFERROR(LEN(SUBSTITUTE(BF567," ",""))-SUMPRODUCT((LEN(BF567)-LEN(SUBSTITUTE(BF567," "&amp;L_NAFiller&amp;" "," ")))/(LEN(L_NAFiller)+1)*LEN(L_NAFiller)),0)</f>
        <v>0</v>
      </c>
    </row>
    <row r="568" customFormat="false" ht="78.75" hidden="false" customHeight="true" outlineLevel="0" collapsed="false">
      <c r="A568" s="57" t="s">
        <v>1259</v>
      </c>
      <c r="B568" s="57" t="s">
        <v>290</v>
      </c>
      <c r="C568" s="57" t="str">
        <f aca="false">Flights!$F$21</f>
        <v>MH0073</v>
      </c>
      <c r="D568" s="58" t="n">
        <f aca="false">Flights!$D$21</f>
        <v>46322</v>
      </c>
      <c r="E568" s="57" t="str">
        <f aca="false">Flights!$G$21&amp;"-"&amp;Flights!$H$21</f>
        <v>HKG-KUL</v>
      </c>
      <c r="F568" s="57" t="str">
        <f aca="false">Flights!$K$21</f>
        <v>BC</v>
      </c>
      <c r="G568" s="57" t="s">
        <v>459</v>
      </c>
      <c r="H568" s="57" t="s">
        <v>460</v>
      </c>
      <c r="I568" s="57" t="s">
        <v>499</v>
      </c>
      <c r="J568" s="57" t="s">
        <v>546</v>
      </c>
      <c r="K568" s="67" t="s">
        <v>501</v>
      </c>
      <c r="L568" s="67" t="s">
        <v>1235</v>
      </c>
      <c r="M568" s="67" t="s">
        <v>451</v>
      </c>
      <c r="N568" s="67" t="s">
        <v>444</v>
      </c>
      <c r="O568" s="67" t="s">
        <v>1258</v>
      </c>
      <c r="P568" s="57" t="s">
        <v>282</v>
      </c>
      <c r="Q568" s="59" t="n">
        <f aca="false">ROUND((Flights!$AF$21)*1440,0)/1440</f>
        <v>46322.2847222222</v>
      </c>
      <c r="R568" s="59" t="n">
        <f aca="false">Q568+(IF(AND(INDEX(TZ_DSTS,MATCH(P568,TZ_STN,0))&lt;&gt;"",Q568&gt;=INDEX(TZ_DSTS,MATCH(P568,TZ_STN,0)),Q568&lt;INDEX(TZ_DSTE,MATCH(P568,TZ_STN,0))),INDEX(TZ_DST,MATCH(P568,TZ_STN,0)),INDEX(TZ_STD,MATCH(P568,TZ_STN,0))))/24</f>
        <v>46322.6180555556</v>
      </c>
      <c r="S568" s="60"/>
      <c r="T568" s="60"/>
      <c r="U568" s="60"/>
      <c r="V568" s="60"/>
      <c r="W568" s="61"/>
      <c r="X568" s="60"/>
      <c r="Y568" s="60"/>
      <c r="Z568" s="60"/>
      <c r="AA568" s="60"/>
      <c r="AB568" s="60"/>
      <c r="AC568" s="60"/>
      <c r="AD568" s="66"/>
      <c r="AE568" s="60"/>
      <c r="AF568" s="61" t="str">
        <f aca="false">IF(AND(ISNUMBER(X568),ISNUMBER(Y568)),Y568-X568,"")</f>
        <v/>
      </c>
      <c r="AG568" s="62" t="str">
        <f aca="false">IF(ISNUMBER(AD568),AD568-(IF(AND(INDEX(TZ_DSTS,MATCH(P568,TZ_STN,0))&lt;&gt;"",(AD568-INDEX(TZ_STD,MATCH(P568,TZ_STN,0))/24)&gt;=INDEX(TZ_DSTS,MATCH(P568,TZ_STN,0)),(AD568-INDEX(TZ_STD,MATCH(P568,TZ_STN,0))/24)&lt;INDEX(TZ_DSTE,MATCH(P568,TZ_STN,0))),INDEX(TZ_DST,MATCH(P568,TZ_STN,0)),INDEX(TZ_STD,MATCH(P568,TZ_STN,0))))/24,"")</f>
        <v/>
      </c>
      <c r="AH568" s="65" t="str">
        <f aca="false">IFERROR(IF(N568="N/A – rule",IF(OR(TRIM(U568)="",TRIM(U568)="N/A",TRIM(U568)="Not started"),"N/A – RULE","INVALID – this check does not apply to this aircraft: clear the status (or correct the fleet on Flights)"),IF(TRIM(U568)="N/A",IF(AT568=0,"INVALID – N/A not permitted for this check",IF(AND(TRIM(AB568)&lt;&gt;"",TRIM(AB568)&lt;&gt;"Closed"),"INVALID – corrective action still open",IF(AND(NOT(OR(LEN(AZ568)&lt;15,ISNUMBER(MATCH(AZ568,L_Placeholder,0)))),BK568=0,CG568&gt;=8,NOT(OR(LEN(AU568)&lt;2,ISNUMBER(MATCH(AU568,L_Placeholder,0)))),BR568&gt;=3,NOT(OR(LEN(AX568)&lt;2,ISNUMBER(MATCH(AX568,L_Placeholder,0)))),BS568&gt;=3,TRIM(AE568)&lt;&gt;TRIM(T568),AX568&lt;&gt;AU568,CE568=0),"N/A – JUSTIFIED","INVALID – N/A needs a real, settled reason (not 'not applicable' / 'as above' / TBC), a named PIC and a different named verifier"))),IF(OR(TRIM(U568)="Pass",TRIM(U568)="Pass after CA"),IF(NOT(ISNUMBER(AD568)),"INVALID – completion time missing",IF(OR(OR(LEN(AU568)&lt;2,ISNUMBER(MATCH(AU568,L_Placeholder,0))),BR568&lt;3),"INVALID – PIC missing or not a named person (a role such as QA / CSM is not a name)",IF(OR(LEN(AV568)&lt;2,ISNUMBER(MATCH(AV568,L_Placeholder,0))),"INVALID – result / assessment missing",IF(OR(OR(LEN(AW568)&lt;3,ISNUMBER(MATCH(AW568,L_Placeholder,0))),SUMPRODUCT(--ISNUMBER(SEARCH(" "&amp;L_EvidencePhrase&amp;" ",BD568)))&gt;0,BI568=1),"INVALID – evidence missing, placeholder or not yet on file",IF(ISNA(MATCH(TRIM(S568),L_EvidenceType,0)),"INVALID – choose the evidence type from the list (column S)",IF(BL568=0,"INVALID – evidence ID must be the record's own ID only (e.g. SF-2210, IMG_2231, 1045521); a link / file name needs type 'Link / file path'",IF(OR(OR(LEN(AX568)&lt;2,ISNUMBER(MATCH(AX568,L_Placeholder,0))),BS568&lt;3),"INVALID – verifier missing or not a named person (a role such as QA / CSM is not a name)",IF(OR(AX568=AU568,CE568=1,AND(LEN(AU568)&gt;=4,ISNUMBER(SEARCH(AU568,AX568))),AND(LEN(AX568)&gt;=4,ISNUMBER(SEARCH(AX568,AU568)))),"INVALID – verifier must be a different, named person (not the PIC or a role)",IF(BH568=1,"INVALID – result not yet available (awaiting / TBC)",IF(BG568=1,"INVALID – result describes a problem: record Fail, then Pass after CA (or reword if it is not a problem)",IF(BV568=1,"INVALID – wording says not on board: an on-board confirmation needs the item loaded",IF(AND(AQ568=1,OR(OR(LEN(AY568)&lt;3,ISNUMBER(MATCH(AY568,L_Placeholder,0))),BJ568=1,BQ568=0)),"INVALID – batch ID missing, placeholder or not an ID (e.g. PASB-261008-BC-017)",IF(AND(AR568=1,OR(NOT(ISNUMBER(X568)),NOT(ISNUMBER(Y568)))),"INVALID – expected/actual qty missing",IF(AND(AR568=1,OR(X568&lt;=0,Y568&lt;0)),"INVALID – expected qty must be above 0 and actual not negative",IF(AH554="N/A – JUSTIFIED","INVALID – preparation row F17-T12-13 is N/A",IF(AND(AR568=1,ISNUMBER(X554),X568&lt;&gt;X554,TRIM(U568)&lt;&gt;"Pass after CA"),"INVALID – expected qty differs from preparation check F17-T12-13: record the load change as a corrective action (Pass after CA)",IF(BB568&lt;&gt;"",BB568,IF(AND(AS568=1,Documents!$J$21&lt;&gt;"ON FILE"),"INVALID – GLD not on file (Documents sheet)",IF(AND(AS568=2,Documents!$O$21&lt;&gt;"ON FILE"),"INVALID – menu checklist not on file (Documents sheet)",IF(AND(AS568=3,NOT(ISNUMBER(Flights!$AX$21))),"INVALID – enter carrying flight KUL departure (Flights AX)",IF(AND(AS568=3,OR(Flights!$AZ$21&gt;Flights!$AA$21,Flights!$AX$21&lt;Flights!$AA$21-3)),"INVALID – carrying flight (Flights AX) cannot arrive before this leg's STD, or is over 3 days early",IF(AG568&gt;AsOfUTC,"INVALID – completion time is in the future",IF(AND(ISNUMBER(BY568),AG568&lt;BY568),IF(H568="Physical uplift","INVALID – before uplift window (cannot confirm loading)","INVALID – before valid window"),IF(AG568&gt;Flights!$AA$21,"INVALID – completed after departure (cannot establish readiness)",IF(AND(H568="Preparation",AG568&gt;=IF(ISNUMBER(Flights!$BA$21),MIN(Flights!$BA$21,Flights!$AA$21),Flights!$AA$21)),"INVALID – completed after loading / departure (cannot establish readiness)",IF(AND(H568="Physical uplift",AG568&gt;Q568),"INVALID – recorded after the loading flight departed",IF(AG568&gt;Q568,"COMPLETE – LATE","COMPLETE"))))))))))))))))))))))))))),IF(TRIM(U568)="Fail","FAIL – DISCREPANCY",IF(AND(TRIM(U568)&lt;&gt;"",TRIM(U568)&lt;&gt;"Not started",TRIM(U568)&lt;&gt;"In progress"),"INVALID – unrecognised status (use the list)",IF(AsOfUTC&gt;Q568,"OVERDUE",IF(N568="Clarification required","OPEN – CLARIFICATION","OPEN"))))))),"INVALID – error value in an input cell")</f>
        <v>OPEN – CLARIFICATION</v>
      </c>
      <c r="AI568" s="61" t="n">
        <f aca="false">IF(OR(AH568="N/A – RULE",AH568="N/A – JUSTIFIED"),0,1)</f>
        <v>1</v>
      </c>
      <c r="AJ568" s="61" t="n">
        <f aca="false">IF(LEFT(AH568,8)="COMPLETE",1,0)</f>
        <v>0</v>
      </c>
      <c r="AK568" s="61" t="n">
        <f aca="false">IF(AND(AI568=1,AJ568=0,AsOfUTC&gt;Q568),1,0)</f>
        <v>0</v>
      </c>
      <c r="AL568" s="61" t="n">
        <f aca="false">IFERROR(IF(AND(AI568=1,OR(TRIM(U568)="Fail",AND(TRIM(AB568)&lt;&gt;"",TRIM(AB568)&lt;&gt;"Closed"),AND(ISNUMBER(AF568),AF568&lt;&gt;0,TRIM(U568)&lt;&gt;"Pass after CA"))),1,0),1)</f>
        <v>0</v>
      </c>
      <c r="AM568" s="61" t="n">
        <f aca="false">IF(LEFT(AH568,7)="INVALID",1,0)</f>
        <v>0</v>
      </c>
      <c r="AN568" s="61" t="n">
        <f aca="false">IF(AND(N568="Clarification required",AI568=1,AJ568=0),1,0)</f>
        <v>1</v>
      </c>
      <c r="AO568" s="61" t="str">
        <f aca="false">IF(AK568=1,SUM(AK$5:AK568),"")</f>
        <v/>
      </c>
      <c r="AP568" s="61" t="str">
        <f aca="false">IF(AL568=1,SUM(AL$5:AL568),"")</f>
        <v/>
      </c>
      <c r="AQ568" s="61" t="n">
        <v>0</v>
      </c>
      <c r="AR568" s="61" t="n">
        <v>0</v>
      </c>
      <c r="AS568" s="61" t="n">
        <v>0</v>
      </c>
      <c r="AT568" s="61" t="n">
        <v>1</v>
      </c>
      <c r="AU568" s="61" t="str">
        <f aca="false">SUBSTITUTE(SUBSTITUTE(SUBSTITUTE(SUBSTITUTE(SUBSTITUTE(SUBSTITUTE(SUBSTITUTE(SUBSTITUTE(SUBSTITUTE(SUBSTITUTE(SUBSTITUTE(SUBSTITUTE(SUBSTITUTE(SUBSTITUTE(SUBSTITUTE(SUBSTITUTE(LOWER(T568&amp;""),CHAR(10),""),CHAR(13),""),CHAR(9),""),CHAR(160),"")," ",""),".",""),"-",""),"/",""),"?",""),"_",""),",",""),"[",""),"]",""),"(",""),")",""),"*","")</f>
        <v/>
      </c>
      <c r="AV568" s="61" t="str">
        <f aca="false">SUBSTITUTE(SUBSTITUTE(SUBSTITUTE(SUBSTITUTE(SUBSTITUTE(SUBSTITUTE(SUBSTITUTE(SUBSTITUTE(SUBSTITUTE(SUBSTITUTE(SUBSTITUTE(SUBSTITUTE(SUBSTITUTE(SUBSTITUTE(SUBSTITUTE(SUBSTITUTE(LOWER(V568&amp;""),CHAR(10),""),CHAR(13),""),CHAR(9),""),CHAR(160),"")," ",""),".",""),"-",""),"/",""),"?",""),"_",""),",",""),"[",""),"]",""),"(",""),")",""),"*","")</f>
        <v/>
      </c>
      <c r="AW568" s="61" t="str">
        <f aca="false">SUBSTITUTE(SUBSTITUTE(SUBSTITUTE(SUBSTITUTE(SUBSTITUTE(SUBSTITUTE(SUBSTITUTE(SUBSTITUTE(SUBSTITUTE(SUBSTITUTE(SUBSTITUTE(SUBSTITUTE(SUBSTITUTE(SUBSTITUTE(SUBSTITUTE(SUBSTITUTE(LOWER(Z568&amp;""),CHAR(10),""),CHAR(13),""),CHAR(9),""),CHAR(160),"")," ",""),".",""),"-",""),"/",""),"?",""),"_",""),",",""),"[",""),"]",""),"(",""),")",""),"*","")</f>
        <v/>
      </c>
      <c r="AX568" s="61" t="str">
        <f aca="false">SUBSTITUTE(SUBSTITUTE(SUBSTITUTE(SUBSTITUTE(SUBSTITUTE(SUBSTITUTE(SUBSTITUTE(SUBSTITUTE(SUBSTITUTE(SUBSTITUTE(SUBSTITUTE(SUBSTITUTE(SUBSTITUTE(SUBSTITUTE(SUBSTITUTE(SUBSTITUTE(LOWER(AE568&amp;""),CHAR(10),""),CHAR(13),""),CHAR(9),""),CHAR(160),"")," ",""),".",""),"-",""),"/",""),"?",""),"_",""),",",""),"[",""),"]",""),"(",""),")",""),"*","")</f>
        <v/>
      </c>
      <c r="AY568" s="61" t="str">
        <f aca="false">SUBSTITUTE(SUBSTITUTE(SUBSTITUTE(SUBSTITUTE(SUBSTITUTE(SUBSTITUTE(SUBSTITUTE(SUBSTITUTE(SUBSTITUTE(SUBSTITUTE(SUBSTITUTE(SUBSTITUTE(SUBSTITUTE(SUBSTITUTE(SUBSTITUTE(SUBSTITUTE(LOWER(W568&amp;""),CHAR(10),""),CHAR(13),""),CHAR(9),""),CHAR(160),"")," ",""),".",""),"-",""),"/",""),"?",""),"_",""),",",""),"[",""),"]",""),"(",""),")",""),"*","")</f>
        <v/>
      </c>
      <c r="AZ568" s="61" t="str">
        <f aca="false">SUBSTITUTE(SUBSTITUTE(SUBSTITUTE(SUBSTITUTE(SUBSTITUTE(SUBSTITUTE(SUBSTITUTE(SUBSTITUTE(SUBSTITUTE(SUBSTITUTE(SUBSTITUTE(SUBSTITUTE(SUBSTITUTE(SUBSTITUTE(SUBSTITUTE(SUBSTITUTE(LOWER(AC568&amp;""),CHAR(10),""),CHAR(13),""),CHAR(9),""),CHAR(160),"")," ",""),".",""),"-",""),"/",""),"?",""),"_",""),",",""),"[",""),"]",""),"(",""),")",""),"*","")</f>
        <v/>
      </c>
      <c r="BA568" s="61" t="str">
        <f aca="false">SUBSTITUTE(SUBSTITUTE(SUBSTITUTE(SUBSTITUTE(SUBSTITUTE(SUBSTITUTE(SUBSTITUTE(SUBSTITUTE(SUBSTITUTE(SUBSTITUTE(SUBSTITUTE(SUBSTITUTE(SUBSTITUTE(SUBSTITUTE(SUBSTITUTE(SUBSTITUTE(LOWER(AA568&amp;""),CHAR(10),""),CHAR(13),""),CHAR(9),""),CHAR(160),"")," ",""),".",""),"-",""),"/",""),"?",""),"_",""),",",""),"[",""),"]",""),"(",""),")",""),"*","")</f>
        <v/>
      </c>
      <c r="BB568" s="61" t="str">
        <f aca="false">IF(AND(TRIM(U568)="Pass",ISNUMBER(AF568)),IF(AF568&lt;&gt;0,"INVALID – qty variance: use Fail or Pass after CA",""),"")&amp;IF(AND(TRIM(U568)="Pass after CA",ISNUMBER(AF568)),IF(AF568&lt;&gt;0,"INVALID – after the corrective action the actual qty must equal expected (update Actual)",""),"")&amp;IF(AND(TRIM(U568)="Pass",TRIM(AB568)&lt;&gt;"",TRIM(AB568)&lt;&gt;"Closed"),"INVALID – corrective action not closed: use Fail, then Pass after CA","")&amp;IF(AND(LEN(BA568)&gt;=2,ISNA(MATCH(LEFT(BA568,255),L_Placeholder,0)),TRIM(AB568)=""),"INVALID – CA status missing for the recorded corrective action","")&amp;IF(AND(TRIM(U568)="Pass after CA",OR(OR(LEN(BA568)&lt;5,ISNUMBER(MATCH(BA568,L_Placeholder,0))),TRIM(AB568)&lt;&gt;"Closed")),"INVALID – corrective action not recorded/closed","")</f>
        <v/>
      </c>
      <c r="BC568" s="61" t="str">
        <f aca="false">" "&amp;TRIM(SUBSTITUTE(SUBSTITUTE(SUBSTITUTE(SUBSTITUTE(SUBSTITUTE(SUBSTITUTE(SUBSTITUTE(SUBSTITUTE(SUBSTITUTE(SUBSTITUTE(SUBSTITUTE(SUBSTITUTE(SUBSTITUTE(SUBSTITUTE(SUBSTITUTE(SUBSTITUTE(SUBSTITUTE(SUBSTITUTE(SUBSTITUTE(SUBSTITUTE(SUBSTITUTE(SUBSTITUTE(SUBSTITUTE(SUBSTITUTE(LOWER(V568&amp;""),CHAR(10)," "),CHAR(13)," "),CHAR(9)," "),CHAR(160)," "),"."," "),","," "),"-"," "),"/"," "),"("," "),")"," "),":"," "),";"," "),"_"," "),"–"," "),"?"," "),"!"," "),"*"," "),"["," "),"]"," "),"'"," "),"#"," "),"+"," "),"&amp;"," "),"\"," "))&amp;" "</f>
        <v>  </v>
      </c>
      <c r="BD568" s="61" t="str">
        <f aca="false">" "&amp;TRIM(SUBSTITUTE(SUBSTITUTE(SUBSTITUTE(SUBSTITUTE(SUBSTITUTE(SUBSTITUTE(SUBSTITUTE(SUBSTITUTE(SUBSTITUTE(SUBSTITUTE(SUBSTITUTE(SUBSTITUTE(SUBSTITUTE(SUBSTITUTE(SUBSTITUTE(SUBSTITUTE(SUBSTITUTE(SUBSTITUTE(SUBSTITUTE(SUBSTITUTE(SUBSTITUTE(SUBSTITUTE(SUBSTITUTE(SUBSTITUTE(LOWER(Z568&amp;""),CHAR(10)," "),CHAR(13)," "),CHAR(9)," "),CHAR(160)," "),"."," "),","," "),"-"," "),"/"," "),"("," "),")"," "),":"," "),";"," "),"_"," "),"–"," "),"?"," "),"!"," "),"*"," "),"["," "),"]"," "),"'"," "),"#"," "),"+"," "),"&amp;"," "),"\"," "))&amp;" "</f>
        <v>  </v>
      </c>
      <c r="BE568" s="61" t="str">
        <f aca="false">" "&amp;TRIM(SUBSTITUTE(SUBSTITUTE(SUBSTITUTE(SUBSTITUTE(SUBSTITUTE(SUBSTITUTE(SUBSTITUTE(SUBSTITUTE(SUBSTITUTE(SUBSTITUTE(SUBSTITUTE(SUBSTITUTE(SUBSTITUTE(SUBSTITUTE(SUBSTITUTE(SUBSTITUTE(SUBSTITUTE(SUBSTITUTE(SUBSTITUTE(SUBSTITUTE(SUBSTITUTE(SUBSTITUTE(SUBSTITUTE(SUBSTITUTE(LOWER(W568&amp;""),CHAR(10)," "),CHAR(13)," "),CHAR(9)," "),CHAR(160)," "),"."," "),","," "),"-"," "),"/"," "),"("," "),")"," "),":"," "),";"," "),"_"," "),"–"," "),"?"," "),"!"," "),"*"," "),"["," "),"]"," "),"'"," "),"#"," "),"+"," "),"&amp;"," "),"\"," "))&amp;" "</f>
        <v>  </v>
      </c>
      <c r="BF568" s="61" t="str">
        <f aca="false">" "&amp;TRIM(SUBSTITUTE(SUBSTITUTE(SUBSTITUTE(SUBSTITUTE(SUBSTITUTE(SUBSTITUTE(SUBSTITUTE(SUBSTITUTE(SUBSTITUTE(SUBSTITUTE(SUBSTITUTE(SUBSTITUTE(SUBSTITUTE(SUBSTITUTE(SUBSTITUTE(SUBSTITUTE(SUBSTITUTE(SUBSTITUTE(SUBSTITUTE(SUBSTITUTE(SUBSTITUTE(SUBSTITUTE(SUBSTITUTE(SUBSTITUTE(LOWER(AC568&amp;""),CHAR(10)," "),CHAR(13)," "),CHAR(9)," "),CHAR(160)," "),"."," "),","," "),"-"," "),"/"," "),"("," "),")"," "),":"," "),";"," "),"_"," "),"–"," "),"?"," "),"!"," "),"*"," "),"["," "),"]"," "),"'"," "),"#"," "),"+"," "),"&amp;"," "),"\"," "))&amp;" "</f>
        <v>  </v>
      </c>
      <c r="BG568" s="61" t="n">
        <f aca="false">IFERROR(IF(AND(TRIM(U568)="Pass",SUMPRODUCT((LEN(BC568)-LEN(SUBSTITUTE(BC568," "&amp;L_ResultBad&amp;" "," ")))/(LEN(L_ResultBad)+1))&gt;SUMPRODUCT((LEN(BC568)-LEN(SUBSTITUTE(BC568," "&amp;L_NegPhrase&amp;" "," ")))/(LEN(L_NegPhrase)+1))),1,0),0)</f>
        <v>0</v>
      </c>
      <c r="BH568" s="61" t="n">
        <f aca="false">IFERROR(IF(SUMPRODUCT((LEN(BC568)-LEN(SUBSTITUTE(BC568," "&amp;L_Pending&amp;" "," ")))/(LEN(L_Pending)+1))&gt;SUMPRODUCT((LEN(BC568)-LEN(SUBSTITUTE(BC568," "&amp;L_PendNeg&amp;" "," ")))/(LEN(L_PendNeg)+1)),1,0),1)</f>
        <v>0</v>
      </c>
      <c r="BI568" s="61" t="n">
        <f aca="false">IFERROR(IF(SUMPRODUCT((LEN(BD568)-LEN(SUBSTITUTE(BD568," "&amp;L_PendStrict&amp;" "," ")))/(LEN(L_PendStrict)+1))&gt;SUMPRODUCT((LEN(BD568)-LEN(SUBSTITUTE(BD568," "&amp;L_PendNeg&amp;" "," ")))/(LEN(L_PendNeg)+1)),1,0),1)</f>
        <v>0</v>
      </c>
      <c r="BJ568" s="61" t="n">
        <f aca="false">IFERROR(IF(SUMPRODUCT((LEN(BE568)-LEN(SUBSTITUTE(BE568," "&amp;L_Pending&amp;" "," ")))/(LEN(L_Pending)+1))&gt;SUMPRODUCT((LEN(BE568)-LEN(SUBSTITUTE(BE568," "&amp;L_PendNeg&amp;" "," ")))/(LEN(L_PendNeg)+1)),1,0),1)</f>
        <v>0</v>
      </c>
      <c r="BK568" s="61" t="n">
        <f aca="false">IFERROR(IF(SUMPRODUCT((LEN(BF568)-LEN(SUBSTITUTE(BF568," "&amp;L_PendStrict&amp;" "," ")))/(LEN(L_PendStrict)+1))&gt;SUMPRODUCT((LEN(BF568)-LEN(SUBSTITUTE(BF568," "&amp;L_PendNeg&amp;" "," ")))/(LEN(L_PendNeg)+1)),1,0),1)</f>
        <v>0</v>
      </c>
      <c r="BL568" s="61" t="n">
        <f aca="false">IF(ISNA(MATCH(TRIM(S568),L_EvidenceType,0)),0,BZ568)</f>
        <v>0</v>
      </c>
      <c r="BM568" s="61" t="str">
        <f aca="false">SUBSTITUTE(SUBSTITUTE(SUBSTITUTE(SUBSTITUTE(SUBSTITUTE(SUBSTITUTE(SUBSTITUTE(SUBSTITUTE(SUBSTITUTE(LOWER(Z568&amp;""),"1","0"),"2","0"),"3","0"),"4","0"),"5","0"),"6","0"),"7","0"),"8","0"),"9","0")</f>
        <v/>
      </c>
      <c r="BN568" s="61" t="str">
        <f aca="false">SUBSTITUTE(SUBSTITUTE(SUBSTITUTE(SUBSTITUTE(SUBSTITUTE(SUBSTITUTE(SUBSTITUTE(SUBSTITUTE(SUBSTITUTE(SUBSTITUTE(SUBSTITUTE(SUBSTITUTE(SUBSTITUTE(SUBSTITUTE(SUBSTITUTE(SUBSTITUTE(SUBSTITUTE(SUBSTITUTE(SUBSTITUTE(SUBSTITUTE(SUBSTITUTE(SUBSTITUTE(SUBSTITUTE(SUBSTITUTE(SUBSTITUTE(BM568,"b","a"),"c","a"),"d","a"),"e","a"),"f","a"),"g","a"),"h","a"),"i","a"),"j","a"),"k","a"),"l","a"),"m","a"),"n","a"),"o","a"),"p","a"),"q","a"),"r","a"),"s","a"),"t","a"),"u","a"),"v","a"),"w","a"),"x","a"),"y","a"),"z","a")</f>
        <v/>
      </c>
      <c r="BO568" s="61" t="str">
        <f aca="false">SUBSTITUTE(SUBSTITUTE(SUBSTITUTE(SUBSTITUTE(SUBSTITUTE(SUBSTITUTE(SUBSTITUTE(SUBSTITUTE(SUBSTITUTE(LOWER(W568&amp;""),"1","0"),"2","0"),"3","0"),"4","0"),"5","0"),"6","0"),"7","0"),"8","0"),"9","0")</f>
        <v/>
      </c>
      <c r="BP568" s="61" t="str">
        <f aca="false">SUBSTITUTE(SUBSTITUTE(SUBSTITUTE(SUBSTITUTE(SUBSTITUTE(SUBSTITUTE(SUBSTITUTE(SUBSTITUTE(SUBSTITUTE(SUBSTITUTE(SUBSTITUTE(SUBSTITUTE(SUBSTITUTE(SUBSTITUTE(SUBSTITUTE(SUBSTITUTE(SUBSTITUTE(SUBSTITUTE(SUBSTITUTE(SUBSTITUTE(SUBSTITUTE(SUBSTITUTE(SUBSTITUTE(SUBSTITUTE(SUBSTITUTE(BO568,"b","a"),"c","a"),"d","a"),"e","a"),"f","a"),"g","a"),"h","a"),"i","a"),"j","a"),"k","a"),"l","a"),"m","a"),"n","a"),"o","a"),"p","a"),"q","a"),"r","a"),"s","a"),"t","a"),"u","a"),"v","a"),"w","a"),"x","a"),"y","a"),"z","a")</f>
        <v/>
      </c>
      <c r="BQ568" s="61" t="n">
        <f aca="false">IFERROR(IF(AND(ISERROR(SEARCH(" mh"," "&amp;LOWER(W568))),ISNA(MATCH(LEFT(TRIM(BP568),255),{"0000a","000a","00a","0000aa","000aa","00aa","0aa","0000aaa","000aaa","00a00","0a00","0000-0000","00:00","a00","a0","00.00.0000","00/00/0000","00-00-0000","0000-00-00","0000/00/00","0000.00.00","00.00.00","00/00/00","00-00-00","0.00.0000","0/00/0000","0-00-0000"},0)),ISNA(MATCH(LEFT(TRIM(CA568),255),{"0000a","000a","00a","0000aa","000aa","00aa","0aa","0000aaa","000aaa","00a00","0a00","0000-0000","00:00","a00","a0","00.00.0000","00/00/0000","00-00-0000","0000-00-00","0000/00/00","0000.00.00","00.00.00","00/00/00","00-00-00","0.00.0000","0/00/0000","0-00-0000"},0)),LEN(CB568)&gt;=3,NOT(OR(SUBSTITUTE(CB568,"0","")="",AND(LEN(CB568)&gt;=4,CB568=REPT(LEFT(CB568),LEN(CB568))),ISNUMBER(MATCH(CB568,{"123","1234","12345","123456","1234567","12345678","0123","01234","012345","98765","987654","54321"},0)),AND(LEN(CB568)=8,LEFT(CB568,3)="202"))),OR(AND((LEN(CA568)-LEN(SUBSTITUTE(CA568,"a","")))&gt;=1,SUMPRODUCT(--ISNUMBER(SEARCH({"a0","a-0","a_0","a/0","a.0","a#0","0a","0-a","0_a","0/a"},BP568)))&gt;0),ISNUMBER(SEARCH("000000",BP568)))),1,0),0)</f>
        <v>0</v>
      </c>
      <c r="BR568" s="61" t="n">
        <f aca="false">IFERROR(LEN(SUBSTITUTE(CC568," ",""))-SUMPRODUCT((LEN(CC568)-LEN(SUBSTITUTE(CC568," "&amp;L_Role&amp;" "," ")))/(LEN(L_Role)+1)*LEN(L_Role)),0)</f>
        <v>0</v>
      </c>
      <c r="BS568" s="61" t="n">
        <f aca="false">IFERROR(LEN(SUBSTITUTE(CD568," ",""))-SUMPRODUCT((LEN(CD568)-LEN(SUBSTITUTE(CD568," "&amp;L_Role&amp;" "," ")))/(LEN(L_Role)+1)*LEN(L_Role)),0)</f>
        <v>0</v>
      </c>
      <c r="BT5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568,"revision",""),"version",""),"jan",""),"feb",""),"mar",""),"apr",""),"may",""),"jun",""),"jul",""),"aug",""),"sep",""),"oct",""),"nov",""),"dec",""),"utc",""),"gmt",""),"myt",""),"bst",""),"rev",""),"ver",""),"b","a"),"c","a"),"d","a"),"e","a"),"f","a"),"g","a"),"h","a"),"i","a"),"j","a"),"k","a"),"l","a"),"m","a"),"n","a"),"o","a"),"p","a"),"q","a"),"r","a"),"s","a"),"t","a"),"u","a"),"v","a"),"w","a"),"x","a"),"y","a"),"z","a")</f>
        <v/>
      </c>
      <c r="BU568" s="61" t="str">
        <f aca="false">SUBSTITUTE(SUBSTITUTE(SUBSTITUTE(SUBSTITUTE(SUBSTITUTE(SUBSTITUTE(SUBSTITUTE(SUBSTITUTE(SUBSTITUTE(SUBSTITUTE(LEFT(BM568,FIND("0",BM568&amp;"0")-1),"-",""),"_",""),"/",""),".",""),"#",""),"\\",""),":","")," ",""),"(",""),")","")</f>
        <v/>
      </c>
      <c r="BV568" s="61" t="n">
        <f aca="false">IFERROR(IF(OR(SUMPRODUCT((LEN(BC568)-LEN(SUBSTITUTE(BC568," "&amp;L_NotLoaded&amp;" "," ")))/(LEN(L_NotLoaded)+1))&gt;SUMPRODUCT((LEN(BC568)-LEN(SUBSTITUTE(BC568," "&amp;L_NotLoadedNeg&amp;" "," ")))/(LEN(L_NotLoadedNeg)+1)),SUMPRODUCT((LEN(BD568)-LEN(SUBSTITUTE(BD568," "&amp;L_NotLoaded&amp;" "," ")))/(LEN(L_NotLoaded)+1))&gt;SUMPRODUCT((LEN(BD568)-LEN(SUBSTITUTE(BD568," "&amp;L_NotLoadedNeg&amp;" "," ")))/(LEN(L_NotLoadedNeg)+1))),1,0),0)</f>
        <v>0</v>
      </c>
      <c r="BW5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568&amp;""),"a",""),"b",""),"c",""),"d",""),"e",""),"f",""),"g",""),"h",""),"i",""),"j",""),"k",""),"l",""),"m",""),"n",""),"o",""),"p",""),"q",""),"r",""),"s",""),"t",""),"u",""),"v",""),"w",""),"x",""),"y",""),"z",""),"-",""),"_",""),"/",""),".",""),"#",""),"\\",""),":","")," ",""),"(",""),")","")</f>
        <v/>
      </c>
      <c r="BX568" s="61" t="str">
        <f aca="false">SUBSTITUTE(SUBSTITUTE(SUBSTITUTE(SUBSTITUTE(SUBSTITUTE(SUBSTITUTE(SUBSTITUTE(SUBSTITUTE(SUBSTITUTE(SUBSTITUTE(SUBSTITUTE(BM568,"0",""),"-",""),"_",""),"/",""),".",""),"#",""),"\\",""),":","")," ",""),"(",""),")","")</f>
        <v/>
      </c>
      <c r="BY568" s="62" t="n">
        <f aca="false">IF(ISNUMBER(Flights!$AZ$21),MAX(Q568-UpliftWindowH/24,Flights!$AZ$21),Q568-UpliftWindowH/24)</f>
        <v>46322.0347222222</v>
      </c>
      <c r="BZ568" s="61" t="n">
        <f aca="false">IFERROR(IF(IF(TRIM(S568)="Link / file path",AND(LEN(TRIM(Z568))&gt;=5,SUMPRODUCT(--ISNUMBER(SEARCH({"http","www.","\\",":\",".pdf",".jpg",".jpeg",".png",".heic",".xls",".doc",".msg",".eml",".ppt",".txt",".zip"},Z568)))&gt;0),AND(ISERROR(FIND(" ",TRIM(Z568))),NOT(OR(SUMPRODUCT(--ISNUMBER(FIND({",",";","&amp;","+"},Z568)))&gt;0,SUMPRODUCT(--ISNUMBER(SEARCH({"0/aa","0\\aa"},BN568)))&gt;0)),NOT(SUMPRODUCT(--ISNUMBER(SEARCH({"http","www.","\\",":\",".pdf",".jpg",".jpeg",".png",".heic",".xls",".doc",".msg",".eml",".ppt",".txt",".zip"},Z568)))&gt;0),NOT(LOWER(TRIM(Z568))=LOWER(Flights!$F$21)),ISNA(MATCH(BU568,{"mh","rev","revision","ver","version","v","r","a","b","seat","tray","row","gate","bay","stand","page","pg","item","line","no","cart","galley","flight","flt","table","box","bag","oven","etd","eta","std","sta","atd","ata","qty","pax","x","time","tel","ph","mob","day","wk","week","utc","gmt","myt","lt"},0)),NOT(OR(ISNUMBER(MATCH(LEFT(BN568,255),{"0000a","000a","00a","0000aa","000aa","00aa","0aa","0000aaa","000aaa","00a00","0a00","0000-0000","00:00","a00","a0","00.00.0000","00/00/0000","00-00-0000","0000-00-00","0000/00/00","0000.00.00","00.00.00","00/00/00","00-00-00","0.00.0000","0/00/0000","0-00-0000"},0)),ISNUMBER(MATCH(LEFT(BT568,255),{"0000a","000a","00a","0000aa","000aa","00aa","0aa","0000aaa","000aaa","00a00","0a00","0000-0000","00:00","a00","a0","00.00.0000","00/00/0000","00-00-0000","0000-00-00","0000/00/00","0000.00.00","00.00.00","00/00/00","00-00-00","0.00.0000","0/00/0000","0-00-0000"},0)))),NOT(OR(AND(BW568&lt;&gt;"",SUBSTITUTE(BW568,"0","")=""),AND(LEN(BW568)&gt;=4,BW568=REPT(LEFT(BW568),LEN(BW568))),ISNUMBER(MATCH(BW568,{"123","1234","12345","123456","1234567","12345678","0123","01234","012345","98765","987654","54321"},0)),ISNUMBER(MATCH(BX568,{"x","xx","xxx","xxxx","xxxxx","abc","abcd","nil","na","nan","test","tbc","tba","tbd","dummy","sample","example","eg","zz","zzz","none","null","xyz","qwe","asd","id","ref"},0)),AND(LEN(BW568)=8,BX568="",OR(LEFT(BW568,3)="202",ISNUMBER(MATCH(RIGHT(BW568,4),{"2025","2026","2027"},0)))))),OR(AND((LEN(BT568)-LEN(SUBSTITUTE(BT568,"a","")))&gt;=1,(LEN(BN568)-LEN(SUBSTITUTE(BN568,"0","")))&gt;=2,SUMPRODUCT(--ISNUMBER(SEARCH({"a0","a-0","a_0","a/0","a.0","a#0","0a","0-a","0_a","0/a"},BN568)))&gt;0),AND((LEN(BN568)-LEN(SUBSTITUTE(BN568,"a","")))=0,(LEN(BN568)-LEN(SUBSTITUTE(BN568,"0","")))&gt;=5)))),1,0),0)</f>
        <v>0</v>
      </c>
      <c r="CA5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568,"revision",""),"version",""),"jan",""),"feb",""),"mar",""),"apr",""),"may",""),"jun",""),"jul",""),"aug",""),"sep",""),"oct",""),"nov",""),"dec",""),"utc",""),"gmt",""),"myt",""),"bst",""),"rev",""),"ver",""),"b","a"),"c","a"),"d","a"),"e","a"),"f","a"),"g","a"),"h","a"),"i","a"),"j","a"),"k","a"),"l","a"),"m","a"),"n","a"),"o","a"),"p","a"),"q","a"),"r","a"),"s","a"),"t","a"),"u","a"),"v","a"),"w","a"),"x","a"),"y","a"),"z","a")</f>
        <v/>
      </c>
      <c r="CB5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568&amp;""),"a",""),"b",""),"c",""),"d",""),"e",""),"f",""),"g",""),"h",""),"i",""),"j",""),"k",""),"l",""),"m",""),"n",""),"o",""),"p",""),"q",""),"r",""),"s",""),"t",""),"u",""),"v",""),"w",""),"x",""),"y",""),"z",""),"-",""),"_",""),"/",""),".",""),"#",""),"\\",""),":","")," ",""),"(",""),")","")</f>
        <v/>
      </c>
      <c r="CC568" s="0" t="str">
        <f aca="false">" "&amp;TRIM(SUBSTITUTE(SUBSTITUTE(SUBSTITUTE(SUBSTITUTE(SUBSTITUTE(SUBSTITUTE(SUBSTITUTE(SUBSTITUTE(SUBSTITUTE(SUBSTITUTE(SUBSTITUTE(SUBSTITUTE(SUBSTITUTE(SUBSTITUTE(SUBSTITUTE(SUBSTITUTE(SUBSTITUTE(SUBSTITUTE(SUBSTITUTE(SUBSTITUTE(SUBSTITUTE(SUBSTITUTE(SUBSTITUTE(SUBSTITUTE(LOWER(T568&amp;""),CHAR(10)," "),CHAR(13)," "),CHAR(9)," "),CHAR(160)," "),"."," "),","," "),"-"," "),"/"," "),"("," "),")"," "),":"," "),";"," "),"_"," "),"–"," "),"?"," "),"!"," "),"*"," "),"["," "),"]"," "),"'"," "),"#"," "),"+"," "),"&amp;"," "),"\"," "))&amp;" "</f>
        <v>  </v>
      </c>
      <c r="CD568" s="0" t="str">
        <f aca="false">" "&amp;TRIM(SUBSTITUTE(SUBSTITUTE(SUBSTITUTE(SUBSTITUTE(SUBSTITUTE(SUBSTITUTE(SUBSTITUTE(SUBSTITUTE(SUBSTITUTE(SUBSTITUTE(SUBSTITUTE(SUBSTITUTE(SUBSTITUTE(SUBSTITUTE(SUBSTITUTE(SUBSTITUTE(SUBSTITUTE(SUBSTITUTE(SUBSTITUTE(SUBSTITUTE(SUBSTITUTE(SUBSTITUTE(SUBSTITUTE(SUBSTITUTE(LOWER(AE568&amp;""),CHAR(10)," "),CHAR(13)," "),CHAR(9)," "),CHAR(160)," "),"."," "),","," "),"-"," "),"/"," "),"("," "),")"," "),":"," "),";"," "),"_"," "),"–"," "),"?"," "),"!"," "),"*"," "),"["," "),"]"," "),"'"," "),"#"," "),"+"," "),"&amp;"," "),"\"," "))&amp;" "</f>
        <v>  </v>
      </c>
      <c r="CE568" s="68" t="n">
        <f aca="false">IFERROR(IF(AND(LEN(AU568)&gt;0,LEN(AU568)=LEN(AX568),OR(TRIM(MID(SUBSTITUTE(TRIM(CC568)," ",REPT(" ",60)),1,60))="",ISNUMBER(SEARCH(" "&amp;TRIM(MID(SUBSTITUTE(TRIM(CC568)," ",REPT(" ",60)),1,60))&amp;" ",CD568))),OR(TRIM(MID(SUBSTITUTE(TRIM(CC568)," ",REPT(" ",60)),61,60))="",ISNUMBER(SEARCH(" "&amp;TRIM(MID(SUBSTITUTE(TRIM(CC568)," ",REPT(" ",60)),61,60))&amp;" ",CD568))),OR(TRIM(MID(SUBSTITUTE(TRIM(CC568)," ",REPT(" ",60)),121,60))="",ISNUMBER(SEARCH(" "&amp;TRIM(MID(SUBSTITUTE(TRIM(CC568)," ",REPT(" ",60)),121,60))&amp;" ",CD568)))),1,0),0)</f>
        <v>0</v>
      </c>
      <c r="CG568" s="68" t="n">
        <f aca="false">IFERROR(LEN(SUBSTITUTE(BF568," ",""))-SUMPRODUCT((LEN(BF568)-LEN(SUBSTITUTE(BF568," "&amp;L_NAFiller&amp;" "," ")))/(LEN(L_NAFiller)+1)*LEN(L_NAFiller)),0)</f>
        <v>0</v>
      </c>
    </row>
    <row r="569" customFormat="false" ht="39.75" hidden="false" customHeight="true" outlineLevel="0" collapsed="false">
      <c r="A569" s="57" t="s">
        <v>1260</v>
      </c>
      <c r="B569" s="57" t="s">
        <v>290</v>
      </c>
      <c r="C569" s="57" t="str">
        <f aca="false">Flights!$F$21</f>
        <v>MH0073</v>
      </c>
      <c r="D569" s="58" t="n">
        <f aca="false">Flights!$D$21</f>
        <v>46322</v>
      </c>
      <c r="E569" s="57" t="str">
        <f aca="false">Flights!$G$21&amp;"-"&amp;Flights!$H$21</f>
        <v>HKG-KUL</v>
      </c>
      <c r="F569" s="57" t="str">
        <f aca="false">Flights!$K$21</f>
        <v>BC</v>
      </c>
      <c r="G569" s="57" t="s">
        <v>459</v>
      </c>
      <c r="H569" s="57" t="s">
        <v>460</v>
      </c>
      <c r="I569" s="57" t="s">
        <v>499</v>
      </c>
      <c r="J569" s="57" t="s">
        <v>548</v>
      </c>
      <c r="K569" s="67" t="s">
        <v>519</v>
      </c>
      <c r="L569" s="67" t="s">
        <v>1237</v>
      </c>
      <c r="M569" s="67" t="s">
        <v>451</v>
      </c>
      <c r="N569" s="67" t="s">
        <v>383</v>
      </c>
      <c r="O569" s="67" t="s">
        <v>549</v>
      </c>
      <c r="P569" s="57" t="s">
        <v>282</v>
      </c>
      <c r="Q569" s="59" t="n">
        <f aca="false">ROUND((Flights!$AF$21)*1440,0)/1440</f>
        <v>46322.2847222222</v>
      </c>
      <c r="R569" s="59" t="n">
        <f aca="false">Q569+(IF(AND(INDEX(TZ_DSTS,MATCH(P569,TZ_STN,0))&lt;&gt;"",Q569&gt;=INDEX(TZ_DSTS,MATCH(P569,TZ_STN,0)),Q569&lt;INDEX(TZ_DSTE,MATCH(P569,TZ_STN,0))),INDEX(TZ_DST,MATCH(P569,TZ_STN,0)),INDEX(TZ_STD,MATCH(P569,TZ_STN,0))))/24</f>
        <v>46322.6180555556</v>
      </c>
      <c r="S569" s="60"/>
      <c r="T569" s="60"/>
      <c r="U569" s="60"/>
      <c r="V569" s="60"/>
      <c r="W569" s="61"/>
      <c r="X569" s="60"/>
      <c r="Y569" s="60"/>
      <c r="Z569" s="60"/>
      <c r="AA569" s="60"/>
      <c r="AB569" s="60"/>
      <c r="AC569" s="60"/>
      <c r="AD569" s="66"/>
      <c r="AE569" s="60"/>
      <c r="AF569" s="61" t="str">
        <f aca="false">IF(AND(ISNUMBER(X569),ISNUMBER(Y569)),Y569-X569,"")</f>
        <v/>
      </c>
      <c r="AG569" s="62" t="str">
        <f aca="false">IF(ISNUMBER(AD569),AD569-(IF(AND(INDEX(TZ_DSTS,MATCH(P569,TZ_STN,0))&lt;&gt;"",(AD569-INDEX(TZ_STD,MATCH(P569,TZ_STN,0))/24)&gt;=INDEX(TZ_DSTS,MATCH(P569,TZ_STN,0)),(AD569-INDEX(TZ_STD,MATCH(P569,TZ_STN,0))/24)&lt;INDEX(TZ_DSTE,MATCH(P569,TZ_STN,0))),INDEX(TZ_DST,MATCH(P569,TZ_STN,0)),INDEX(TZ_STD,MATCH(P569,TZ_STN,0))))/24,"")</f>
        <v/>
      </c>
      <c r="AH569" s="65" t="str">
        <f aca="false">IFERROR(IF(N569="N/A – rule",IF(OR(TRIM(U569)="",TRIM(U569)="N/A",TRIM(U569)="Not started"),"N/A – RULE","INVALID – this check does not apply to this aircraft: clear the status (or correct the fleet on Flights)"),IF(TRIM(U569)="N/A",IF(AT569=0,"INVALID – N/A not permitted for this check",IF(AND(TRIM(AB569)&lt;&gt;"",TRIM(AB569)&lt;&gt;"Closed"),"INVALID – corrective action still open",IF(AND(NOT(OR(LEN(AZ569)&lt;15,ISNUMBER(MATCH(AZ569,L_Placeholder,0)))),BK569=0,CG569&gt;=8,NOT(OR(LEN(AU569)&lt;2,ISNUMBER(MATCH(AU569,L_Placeholder,0)))),BR569&gt;=3,NOT(OR(LEN(AX569)&lt;2,ISNUMBER(MATCH(AX569,L_Placeholder,0)))),BS569&gt;=3,TRIM(AE569)&lt;&gt;TRIM(T569),AX569&lt;&gt;AU569,CE569=0),"N/A – JUSTIFIED","INVALID – N/A needs a real, settled reason (not 'not applicable' / 'as above' / TBC), a named PIC and a different named verifier"))),IF(OR(TRIM(U569)="Pass",TRIM(U569)="Pass after CA"),IF(NOT(ISNUMBER(AD569)),"INVALID – completion time missing",IF(OR(OR(LEN(AU569)&lt;2,ISNUMBER(MATCH(AU569,L_Placeholder,0))),BR569&lt;3),"INVALID – PIC missing or not a named person (a role such as QA / CSM is not a name)",IF(OR(LEN(AV569)&lt;2,ISNUMBER(MATCH(AV569,L_Placeholder,0))),"INVALID – result / assessment missing",IF(OR(OR(LEN(AW569)&lt;3,ISNUMBER(MATCH(AW569,L_Placeholder,0))),SUMPRODUCT(--ISNUMBER(SEARCH(" "&amp;L_EvidencePhrase&amp;" ",BD569)))&gt;0,BI569=1),"INVALID – evidence missing, placeholder or not yet on file",IF(ISNA(MATCH(TRIM(S569),L_EvidenceType,0)),"INVALID – choose the evidence type from the list (column S)",IF(BL569=0,"INVALID – evidence ID must be the record's own ID only (e.g. SF-2210, IMG_2231, 1045521); a link / file name needs type 'Link / file path'",IF(OR(OR(LEN(AX569)&lt;2,ISNUMBER(MATCH(AX569,L_Placeholder,0))),BS569&lt;3),"INVALID – verifier missing or not a named person (a role such as QA / CSM is not a name)",IF(OR(AX569=AU569,CE569=1,AND(LEN(AU569)&gt;=4,ISNUMBER(SEARCH(AU569,AX569))),AND(LEN(AX569)&gt;=4,ISNUMBER(SEARCH(AX569,AU569)))),"INVALID – verifier must be a different, named person (not the PIC or a role)",IF(BH569=1,"INVALID – result not yet available (awaiting / TBC)",IF(BG569=1,"INVALID – result describes a problem: record Fail, then Pass after CA (or reword if it is not a problem)",IF(BV569=1,"INVALID – wording says not on board: an on-board confirmation needs the item loaded",IF(AND(AQ569=1,OR(OR(LEN(AY569)&lt;3,ISNUMBER(MATCH(AY569,L_Placeholder,0))),BJ569=1,BQ569=0)),"INVALID – batch ID missing, placeholder or not an ID (e.g. PASB-261008-BC-017)",IF(AND(AR569=1,OR(NOT(ISNUMBER(X569)),NOT(ISNUMBER(Y569)))),"INVALID – expected/actual qty missing",IF(AND(AR569=1,OR(X569&lt;=0,Y569&lt;0)),"INVALID – expected qty must be above 0 and actual not negative",IF(AH555="N/A – JUSTIFIED","INVALID – preparation row F17-T12-14 is N/A",IF(AND(AR569=1,ISNUMBER(X555),X569&lt;&gt;X555,TRIM(U569)&lt;&gt;"Pass after CA"),"INVALID – expected qty differs from preparation check F17-T12-14: record the load change as a corrective action (Pass after CA)",IF(BB569&lt;&gt;"",BB569,IF(AND(AS569=1,Documents!$J$21&lt;&gt;"ON FILE"),"INVALID – GLD not on file (Documents sheet)",IF(AND(AS569=2,Documents!$O$21&lt;&gt;"ON FILE"),"INVALID – menu checklist not on file (Documents sheet)",IF(AND(AS569=3,NOT(ISNUMBER(Flights!$AX$21))),"INVALID – enter carrying flight KUL departure (Flights AX)",IF(AND(AS569=3,OR(Flights!$AZ$21&gt;Flights!$AA$21,Flights!$AX$21&lt;Flights!$AA$21-3)),"INVALID – carrying flight (Flights AX) cannot arrive before this leg's STD, or is over 3 days early",IF(AG569&gt;AsOfUTC,"INVALID – completion time is in the future",IF(AND(ISNUMBER(BY569),AG569&lt;BY569),IF(H569="Physical uplift","INVALID – before uplift window (cannot confirm loading)","INVALID – before valid window"),IF(AG569&gt;Flights!$AA$21,"INVALID – completed after departure (cannot establish readiness)",IF(AND(H569="Preparation",AG569&gt;=IF(ISNUMBER(Flights!$BA$21),MIN(Flights!$BA$21,Flights!$AA$21),Flights!$AA$21)),"INVALID – completed after loading / departure (cannot establish readiness)",IF(AND(H569="Physical uplift",AG569&gt;Q569),"INVALID – recorded after the loading flight departed",IF(AG569&gt;Q569,"COMPLETE – LATE","COMPLETE"))))))))))))))))))))))))))),IF(TRIM(U569)="Fail","FAIL – DISCREPANCY",IF(AND(TRIM(U569)&lt;&gt;"",TRIM(U569)&lt;&gt;"Not started",TRIM(U569)&lt;&gt;"In progress"),"INVALID – unrecognised status (use the list)",IF(AsOfUTC&gt;Q569,"OVERDUE",IF(N569="Clarification required","OPEN – CLARIFICATION","OPEN"))))))),"INVALID – error value in an input cell")</f>
        <v>OPEN</v>
      </c>
      <c r="AI569" s="61" t="n">
        <f aca="false">IF(OR(AH569="N/A – RULE",AH569="N/A – JUSTIFIED"),0,1)</f>
        <v>1</v>
      </c>
      <c r="AJ569" s="61" t="n">
        <f aca="false">IF(LEFT(AH569,8)="COMPLETE",1,0)</f>
        <v>0</v>
      </c>
      <c r="AK569" s="61" t="n">
        <f aca="false">IF(AND(AI569=1,AJ569=0,AsOfUTC&gt;Q569),1,0)</f>
        <v>0</v>
      </c>
      <c r="AL569" s="61" t="n">
        <f aca="false">IFERROR(IF(AND(AI569=1,OR(TRIM(U569)="Fail",AND(TRIM(AB569)&lt;&gt;"",TRIM(AB569)&lt;&gt;"Closed"),AND(ISNUMBER(AF569),AF569&lt;&gt;0,TRIM(U569)&lt;&gt;"Pass after CA"))),1,0),1)</f>
        <v>0</v>
      </c>
      <c r="AM569" s="61" t="n">
        <f aca="false">IF(LEFT(AH569,7)="INVALID",1,0)</f>
        <v>0</v>
      </c>
      <c r="AN569" s="61" t="n">
        <f aca="false">IF(AND(N569="Clarification required",AI569=1,AJ569=0),1,0)</f>
        <v>0</v>
      </c>
      <c r="AO569" s="61" t="str">
        <f aca="false">IF(AK569=1,SUM(AK$5:AK569),"")</f>
        <v/>
      </c>
      <c r="AP569" s="61" t="str">
        <f aca="false">IF(AL569=1,SUM(AL$5:AL569),"")</f>
        <v/>
      </c>
      <c r="AQ569" s="61" t="n">
        <v>0</v>
      </c>
      <c r="AR569" s="61" t="n">
        <v>0</v>
      </c>
      <c r="AS569" s="61" t="n">
        <v>0</v>
      </c>
      <c r="AT569" s="61" t="n">
        <v>0</v>
      </c>
      <c r="AU569" s="61" t="str">
        <f aca="false">SUBSTITUTE(SUBSTITUTE(SUBSTITUTE(SUBSTITUTE(SUBSTITUTE(SUBSTITUTE(SUBSTITUTE(SUBSTITUTE(SUBSTITUTE(SUBSTITUTE(SUBSTITUTE(SUBSTITUTE(SUBSTITUTE(SUBSTITUTE(SUBSTITUTE(SUBSTITUTE(LOWER(T569&amp;""),CHAR(10),""),CHAR(13),""),CHAR(9),""),CHAR(160),"")," ",""),".",""),"-",""),"/",""),"?",""),"_",""),",",""),"[",""),"]",""),"(",""),")",""),"*","")</f>
        <v/>
      </c>
      <c r="AV569" s="61" t="str">
        <f aca="false">SUBSTITUTE(SUBSTITUTE(SUBSTITUTE(SUBSTITUTE(SUBSTITUTE(SUBSTITUTE(SUBSTITUTE(SUBSTITUTE(SUBSTITUTE(SUBSTITUTE(SUBSTITUTE(SUBSTITUTE(SUBSTITUTE(SUBSTITUTE(SUBSTITUTE(SUBSTITUTE(LOWER(V569&amp;""),CHAR(10),""),CHAR(13),""),CHAR(9),""),CHAR(160),"")," ",""),".",""),"-",""),"/",""),"?",""),"_",""),",",""),"[",""),"]",""),"(",""),")",""),"*","")</f>
        <v/>
      </c>
      <c r="AW569" s="61" t="str">
        <f aca="false">SUBSTITUTE(SUBSTITUTE(SUBSTITUTE(SUBSTITUTE(SUBSTITUTE(SUBSTITUTE(SUBSTITUTE(SUBSTITUTE(SUBSTITUTE(SUBSTITUTE(SUBSTITUTE(SUBSTITUTE(SUBSTITUTE(SUBSTITUTE(SUBSTITUTE(SUBSTITUTE(LOWER(Z569&amp;""),CHAR(10),""),CHAR(13),""),CHAR(9),""),CHAR(160),"")," ",""),".",""),"-",""),"/",""),"?",""),"_",""),",",""),"[",""),"]",""),"(",""),")",""),"*","")</f>
        <v/>
      </c>
      <c r="AX569" s="61" t="str">
        <f aca="false">SUBSTITUTE(SUBSTITUTE(SUBSTITUTE(SUBSTITUTE(SUBSTITUTE(SUBSTITUTE(SUBSTITUTE(SUBSTITUTE(SUBSTITUTE(SUBSTITUTE(SUBSTITUTE(SUBSTITUTE(SUBSTITUTE(SUBSTITUTE(SUBSTITUTE(SUBSTITUTE(LOWER(AE569&amp;""),CHAR(10),""),CHAR(13),""),CHAR(9),""),CHAR(160),"")," ",""),".",""),"-",""),"/",""),"?",""),"_",""),",",""),"[",""),"]",""),"(",""),")",""),"*","")</f>
        <v/>
      </c>
      <c r="AY569" s="61" t="str">
        <f aca="false">SUBSTITUTE(SUBSTITUTE(SUBSTITUTE(SUBSTITUTE(SUBSTITUTE(SUBSTITUTE(SUBSTITUTE(SUBSTITUTE(SUBSTITUTE(SUBSTITUTE(SUBSTITUTE(SUBSTITUTE(SUBSTITUTE(SUBSTITUTE(SUBSTITUTE(SUBSTITUTE(LOWER(W569&amp;""),CHAR(10),""),CHAR(13),""),CHAR(9),""),CHAR(160),"")," ",""),".",""),"-",""),"/",""),"?",""),"_",""),",",""),"[",""),"]",""),"(",""),")",""),"*","")</f>
        <v/>
      </c>
      <c r="AZ569" s="61" t="str">
        <f aca="false">SUBSTITUTE(SUBSTITUTE(SUBSTITUTE(SUBSTITUTE(SUBSTITUTE(SUBSTITUTE(SUBSTITUTE(SUBSTITUTE(SUBSTITUTE(SUBSTITUTE(SUBSTITUTE(SUBSTITUTE(SUBSTITUTE(SUBSTITUTE(SUBSTITUTE(SUBSTITUTE(LOWER(AC569&amp;""),CHAR(10),""),CHAR(13),""),CHAR(9),""),CHAR(160),"")," ",""),".",""),"-",""),"/",""),"?",""),"_",""),",",""),"[",""),"]",""),"(",""),")",""),"*","")</f>
        <v/>
      </c>
      <c r="BA569" s="61" t="str">
        <f aca="false">SUBSTITUTE(SUBSTITUTE(SUBSTITUTE(SUBSTITUTE(SUBSTITUTE(SUBSTITUTE(SUBSTITUTE(SUBSTITUTE(SUBSTITUTE(SUBSTITUTE(SUBSTITUTE(SUBSTITUTE(SUBSTITUTE(SUBSTITUTE(SUBSTITUTE(SUBSTITUTE(LOWER(AA569&amp;""),CHAR(10),""),CHAR(13),""),CHAR(9),""),CHAR(160),"")," ",""),".",""),"-",""),"/",""),"?",""),"_",""),",",""),"[",""),"]",""),"(",""),")",""),"*","")</f>
        <v/>
      </c>
      <c r="BB569" s="61" t="str">
        <f aca="false">IF(AND(TRIM(U569)="Pass",ISNUMBER(AF569)),IF(AF569&lt;&gt;0,"INVALID – qty variance: use Fail or Pass after CA",""),"")&amp;IF(AND(TRIM(U569)="Pass after CA",ISNUMBER(AF569)),IF(AF569&lt;&gt;0,"INVALID – after the corrective action the actual qty must equal expected (update Actual)",""),"")&amp;IF(AND(TRIM(U569)="Pass",TRIM(AB569)&lt;&gt;"",TRIM(AB569)&lt;&gt;"Closed"),"INVALID – corrective action not closed: use Fail, then Pass after CA","")&amp;IF(AND(LEN(BA569)&gt;=2,ISNA(MATCH(LEFT(BA569,255),L_Placeholder,0)),TRIM(AB569)=""),"INVALID – CA status missing for the recorded corrective action","")&amp;IF(AND(TRIM(U569)="Pass after CA",OR(OR(LEN(BA569)&lt;5,ISNUMBER(MATCH(BA569,L_Placeholder,0))),TRIM(AB569)&lt;&gt;"Closed")),"INVALID – corrective action not recorded/closed","")</f>
        <v/>
      </c>
      <c r="BC569" s="61" t="str">
        <f aca="false">" "&amp;TRIM(SUBSTITUTE(SUBSTITUTE(SUBSTITUTE(SUBSTITUTE(SUBSTITUTE(SUBSTITUTE(SUBSTITUTE(SUBSTITUTE(SUBSTITUTE(SUBSTITUTE(SUBSTITUTE(SUBSTITUTE(SUBSTITUTE(SUBSTITUTE(SUBSTITUTE(SUBSTITUTE(SUBSTITUTE(SUBSTITUTE(SUBSTITUTE(SUBSTITUTE(SUBSTITUTE(SUBSTITUTE(SUBSTITUTE(SUBSTITUTE(LOWER(V569&amp;""),CHAR(10)," "),CHAR(13)," "),CHAR(9)," "),CHAR(160)," "),"."," "),","," "),"-"," "),"/"," "),"("," "),")"," "),":"," "),";"," "),"_"," "),"–"," "),"?"," "),"!"," "),"*"," "),"["," "),"]"," "),"'"," "),"#"," "),"+"," "),"&amp;"," "),"\"," "))&amp;" "</f>
        <v>  </v>
      </c>
      <c r="BD569" s="61" t="str">
        <f aca="false">" "&amp;TRIM(SUBSTITUTE(SUBSTITUTE(SUBSTITUTE(SUBSTITUTE(SUBSTITUTE(SUBSTITUTE(SUBSTITUTE(SUBSTITUTE(SUBSTITUTE(SUBSTITUTE(SUBSTITUTE(SUBSTITUTE(SUBSTITUTE(SUBSTITUTE(SUBSTITUTE(SUBSTITUTE(SUBSTITUTE(SUBSTITUTE(SUBSTITUTE(SUBSTITUTE(SUBSTITUTE(SUBSTITUTE(SUBSTITUTE(SUBSTITUTE(LOWER(Z569&amp;""),CHAR(10)," "),CHAR(13)," "),CHAR(9)," "),CHAR(160)," "),"."," "),","," "),"-"," "),"/"," "),"("," "),")"," "),":"," "),";"," "),"_"," "),"–"," "),"?"," "),"!"," "),"*"," "),"["," "),"]"," "),"'"," "),"#"," "),"+"," "),"&amp;"," "),"\"," "))&amp;" "</f>
        <v>  </v>
      </c>
      <c r="BE569" s="61" t="str">
        <f aca="false">" "&amp;TRIM(SUBSTITUTE(SUBSTITUTE(SUBSTITUTE(SUBSTITUTE(SUBSTITUTE(SUBSTITUTE(SUBSTITUTE(SUBSTITUTE(SUBSTITUTE(SUBSTITUTE(SUBSTITUTE(SUBSTITUTE(SUBSTITUTE(SUBSTITUTE(SUBSTITUTE(SUBSTITUTE(SUBSTITUTE(SUBSTITUTE(SUBSTITUTE(SUBSTITUTE(SUBSTITUTE(SUBSTITUTE(SUBSTITUTE(SUBSTITUTE(LOWER(W569&amp;""),CHAR(10)," "),CHAR(13)," "),CHAR(9)," "),CHAR(160)," "),"."," "),","," "),"-"," "),"/"," "),"("," "),")"," "),":"," "),";"," "),"_"," "),"–"," "),"?"," "),"!"," "),"*"," "),"["," "),"]"," "),"'"," "),"#"," "),"+"," "),"&amp;"," "),"\"," "))&amp;" "</f>
        <v>  </v>
      </c>
      <c r="BF569" s="61" t="str">
        <f aca="false">" "&amp;TRIM(SUBSTITUTE(SUBSTITUTE(SUBSTITUTE(SUBSTITUTE(SUBSTITUTE(SUBSTITUTE(SUBSTITUTE(SUBSTITUTE(SUBSTITUTE(SUBSTITUTE(SUBSTITUTE(SUBSTITUTE(SUBSTITUTE(SUBSTITUTE(SUBSTITUTE(SUBSTITUTE(SUBSTITUTE(SUBSTITUTE(SUBSTITUTE(SUBSTITUTE(SUBSTITUTE(SUBSTITUTE(SUBSTITUTE(SUBSTITUTE(LOWER(AC569&amp;""),CHAR(10)," "),CHAR(13)," "),CHAR(9)," "),CHAR(160)," "),"."," "),","," "),"-"," "),"/"," "),"("," "),")"," "),":"," "),";"," "),"_"," "),"–"," "),"?"," "),"!"," "),"*"," "),"["," "),"]"," "),"'"," "),"#"," "),"+"," "),"&amp;"," "),"\"," "))&amp;" "</f>
        <v>  </v>
      </c>
      <c r="BG569" s="61" t="n">
        <f aca="false">IFERROR(IF(AND(TRIM(U569)="Pass",SUMPRODUCT((LEN(BC569)-LEN(SUBSTITUTE(BC569," "&amp;L_ResultBad&amp;" "," ")))/(LEN(L_ResultBad)+1))&gt;SUMPRODUCT((LEN(BC569)-LEN(SUBSTITUTE(BC569," "&amp;L_NegPhrase&amp;" "," ")))/(LEN(L_NegPhrase)+1))),1,0),0)</f>
        <v>0</v>
      </c>
      <c r="BH569" s="61" t="n">
        <f aca="false">IFERROR(IF(SUMPRODUCT((LEN(BC569)-LEN(SUBSTITUTE(BC569," "&amp;L_Pending&amp;" "," ")))/(LEN(L_Pending)+1))&gt;SUMPRODUCT((LEN(BC569)-LEN(SUBSTITUTE(BC569," "&amp;L_PendNeg&amp;" "," ")))/(LEN(L_PendNeg)+1)),1,0),1)</f>
        <v>0</v>
      </c>
      <c r="BI569" s="61" t="n">
        <f aca="false">IFERROR(IF(SUMPRODUCT((LEN(BD569)-LEN(SUBSTITUTE(BD569," "&amp;L_PendStrict&amp;" "," ")))/(LEN(L_PendStrict)+1))&gt;SUMPRODUCT((LEN(BD569)-LEN(SUBSTITUTE(BD569," "&amp;L_PendNeg&amp;" "," ")))/(LEN(L_PendNeg)+1)),1,0),1)</f>
        <v>0</v>
      </c>
      <c r="BJ569" s="61" t="n">
        <f aca="false">IFERROR(IF(SUMPRODUCT((LEN(BE569)-LEN(SUBSTITUTE(BE569," "&amp;L_Pending&amp;" "," ")))/(LEN(L_Pending)+1))&gt;SUMPRODUCT((LEN(BE569)-LEN(SUBSTITUTE(BE569," "&amp;L_PendNeg&amp;" "," ")))/(LEN(L_PendNeg)+1)),1,0),1)</f>
        <v>0</v>
      </c>
      <c r="BK569" s="61" t="n">
        <f aca="false">IFERROR(IF(SUMPRODUCT((LEN(BF569)-LEN(SUBSTITUTE(BF569," "&amp;L_PendStrict&amp;" "," ")))/(LEN(L_PendStrict)+1))&gt;SUMPRODUCT((LEN(BF569)-LEN(SUBSTITUTE(BF569," "&amp;L_PendNeg&amp;" "," ")))/(LEN(L_PendNeg)+1)),1,0),1)</f>
        <v>0</v>
      </c>
      <c r="BL569" s="61" t="n">
        <f aca="false">IF(ISNA(MATCH(TRIM(S569),L_EvidenceType,0)),0,BZ569)</f>
        <v>0</v>
      </c>
      <c r="BM569" s="61" t="str">
        <f aca="false">SUBSTITUTE(SUBSTITUTE(SUBSTITUTE(SUBSTITUTE(SUBSTITUTE(SUBSTITUTE(SUBSTITUTE(SUBSTITUTE(SUBSTITUTE(LOWER(Z569&amp;""),"1","0"),"2","0"),"3","0"),"4","0"),"5","0"),"6","0"),"7","0"),"8","0"),"9","0")</f>
        <v/>
      </c>
      <c r="BN569" s="61" t="str">
        <f aca="false">SUBSTITUTE(SUBSTITUTE(SUBSTITUTE(SUBSTITUTE(SUBSTITUTE(SUBSTITUTE(SUBSTITUTE(SUBSTITUTE(SUBSTITUTE(SUBSTITUTE(SUBSTITUTE(SUBSTITUTE(SUBSTITUTE(SUBSTITUTE(SUBSTITUTE(SUBSTITUTE(SUBSTITUTE(SUBSTITUTE(SUBSTITUTE(SUBSTITUTE(SUBSTITUTE(SUBSTITUTE(SUBSTITUTE(SUBSTITUTE(SUBSTITUTE(BM569,"b","a"),"c","a"),"d","a"),"e","a"),"f","a"),"g","a"),"h","a"),"i","a"),"j","a"),"k","a"),"l","a"),"m","a"),"n","a"),"o","a"),"p","a"),"q","a"),"r","a"),"s","a"),"t","a"),"u","a"),"v","a"),"w","a"),"x","a"),"y","a"),"z","a")</f>
        <v/>
      </c>
      <c r="BO569" s="61" t="str">
        <f aca="false">SUBSTITUTE(SUBSTITUTE(SUBSTITUTE(SUBSTITUTE(SUBSTITUTE(SUBSTITUTE(SUBSTITUTE(SUBSTITUTE(SUBSTITUTE(LOWER(W569&amp;""),"1","0"),"2","0"),"3","0"),"4","0"),"5","0"),"6","0"),"7","0"),"8","0"),"9","0")</f>
        <v/>
      </c>
      <c r="BP569" s="61" t="str">
        <f aca="false">SUBSTITUTE(SUBSTITUTE(SUBSTITUTE(SUBSTITUTE(SUBSTITUTE(SUBSTITUTE(SUBSTITUTE(SUBSTITUTE(SUBSTITUTE(SUBSTITUTE(SUBSTITUTE(SUBSTITUTE(SUBSTITUTE(SUBSTITUTE(SUBSTITUTE(SUBSTITUTE(SUBSTITUTE(SUBSTITUTE(SUBSTITUTE(SUBSTITUTE(SUBSTITUTE(SUBSTITUTE(SUBSTITUTE(SUBSTITUTE(SUBSTITUTE(BO569,"b","a"),"c","a"),"d","a"),"e","a"),"f","a"),"g","a"),"h","a"),"i","a"),"j","a"),"k","a"),"l","a"),"m","a"),"n","a"),"o","a"),"p","a"),"q","a"),"r","a"),"s","a"),"t","a"),"u","a"),"v","a"),"w","a"),"x","a"),"y","a"),"z","a")</f>
        <v/>
      </c>
      <c r="BQ569" s="61" t="n">
        <f aca="false">IFERROR(IF(AND(ISERROR(SEARCH(" mh"," "&amp;LOWER(W569))),ISNA(MATCH(LEFT(TRIM(BP569),255),{"0000a","000a","00a","0000aa","000aa","00aa","0aa","0000aaa","000aaa","00a00","0a00","0000-0000","00:00","a00","a0","00.00.0000","00/00/0000","00-00-0000","0000-00-00","0000/00/00","0000.00.00","00.00.00","00/00/00","00-00-00","0.00.0000","0/00/0000","0-00-0000"},0)),ISNA(MATCH(LEFT(TRIM(CA569),255),{"0000a","000a","00a","0000aa","000aa","00aa","0aa","0000aaa","000aaa","00a00","0a00","0000-0000","00:00","a00","a0","00.00.0000","00/00/0000","00-00-0000","0000-00-00","0000/00/00","0000.00.00","00.00.00","00/00/00","00-00-00","0.00.0000","0/00/0000","0-00-0000"},0)),LEN(CB569)&gt;=3,NOT(OR(SUBSTITUTE(CB569,"0","")="",AND(LEN(CB569)&gt;=4,CB569=REPT(LEFT(CB569),LEN(CB569))),ISNUMBER(MATCH(CB569,{"123","1234","12345","123456","1234567","12345678","0123","01234","012345","98765","987654","54321"},0)),AND(LEN(CB569)=8,LEFT(CB569,3)="202"))),OR(AND((LEN(CA569)-LEN(SUBSTITUTE(CA569,"a","")))&gt;=1,SUMPRODUCT(--ISNUMBER(SEARCH({"a0","a-0","a_0","a/0","a.0","a#0","0a","0-a","0_a","0/a"},BP569)))&gt;0),ISNUMBER(SEARCH("000000",BP569)))),1,0),0)</f>
        <v>0</v>
      </c>
      <c r="BR569" s="61" t="n">
        <f aca="false">IFERROR(LEN(SUBSTITUTE(CC569," ",""))-SUMPRODUCT((LEN(CC569)-LEN(SUBSTITUTE(CC569," "&amp;L_Role&amp;" "," ")))/(LEN(L_Role)+1)*LEN(L_Role)),0)</f>
        <v>0</v>
      </c>
      <c r="BS569" s="61" t="n">
        <f aca="false">IFERROR(LEN(SUBSTITUTE(CD569," ",""))-SUMPRODUCT((LEN(CD569)-LEN(SUBSTITUTE(CD569," "&amp;L_Role&amp;" "," ")))/(LEN(L_Role)+1)*LEN(L_Role)),0)</f>
        <v>0</v>
      </c>
      <c r="BT5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569,"revision",""),"version",""),"jan",""),"feb",""),"mar",""),"apr",""),"may",""),"jun",""),"jul",""),"aug",""),"sep",""),"oct",""),"nov",""),"dec",""),"utc",""),"gmt",""),"myt",""),"bst",""),"rev",""),"ver",""),"b","a"),"c","a"),"d","a"),"e","a"),"f","a"),"g","a"),"h","a"),"i","a"),"j","a"),"k","a"),"l","a"),"m","a"),"n","a"),"o","a"),"p","a"),"q","a"),"r","a"),"s","a"),"t","a"),"u","a"),"v","a"),"w","a"),"x","a"),"y","a"),"z","a")</f>
        <v/>
      </c>
      <c r="BU569" s="61" t="str">
        <f aca="false">SUBSTITUTE(SUBSTITUTE(SUBSTITUTE(SUBSTITUTE(SUBSTITUTE(SUBSTITUTE(SUBSTITUTE(SUBSTITUTE(SUBSTITUTE(SUBSTITUTE(LEFT(BM569,FIND("0",BM569&amp;"0")-1),"-",""),"_",""),"/",""),".",""),"#",""),"\\",""),":","")," ",""),"(",""),")","")</f>
        <v/>
      </c>
      <c r="BV569" s="61" t="n">
        <f aca="false">IFERROR(IF(OR(SUMPRODUCT((LEN(BC569)-LEN(SUBSTITUTE(BC569," "&amp;L_NotLoaded&amp;" "," ")))/(LEN(L_NotLoaded)+1))&gt;SUMPRODUCT((LEN(BC569)-LEN(SUBSTITUTE(BC569," "&amp;L_NotLoadedNeg&amp;" "," ")))/(LEN(L_NotLoadedNeg)+1)),SUMPRODUCT((LEN(BD569)-LEN(SUBSTITUTE(BD569," "&amp;L_NotLoaded&amp;" "," ")))/(LEN(L_NotLoaded)+1))&gt;SUMPRODUCT((LEN(BD569)-LEN(SUBSTITUTE(BD569," "&amp;L_NotLoadedNeg&amp;" "," ")))/(LEN(L_NotLoadedNeg)+1))),1,0),0)</f>
        <v>0</v>
      </c>
      <c r="BW5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569&amp;""),"a",""),"b",""),"c",""),"d",""),"e",""),"f",""),"g",""),"h",""),"i",""),"j",""),"k",""),"l",""),"m",""),"n",""),"o",""),"p",""),"q",""),"r",""),"s",""),"t",""),"u",""),"v",""),"w",""),"x",""),"y",""),"z",""),"-",""),"_",""),"/",""),".",""),"#",""),"\\",""),":","")," ",""),"(",""),")","")</f>
        <v/>
      </c>
      <c r="BX569" s="61" t="str">
        <f aca="false">SUBSTITUTE(SUBSTITUTE(SUBSTITUTE(SUBSTITUTE(SUBSTITUTE(SUBSTITUTE(SUBSTITUTE(SUBSTITUTE(SUBSTITUTE(SUBSTITUTE(SUBSTITUTE(BM569,"0",""),"-",""),"_",""),"/",""),".",""),"#",""),"\\",""),":","")," ",""),"(",""),")","")</f>
        <v/>
      </c>
      <c r="BY569" s="62" t="n">
        <f aca="false">IF(ISNUMBER(Flights!$AZ$21),MAX(Q569-UpliftWindowH/24,Flights!$AZ$21),Q569-UpliftWindowH/24)</f>
        <v>46322.0347222222</v>
      </c>
      <c r="BZ569" s="61" t="n">
        <f aca="false">IFERROR(IF(IF(TRIM(S569)="Link / file path",AND(LEN(TRIM(Z569))&gt;=5,SUMPRODUCT(--ISNUMBER(SEARCH({"http","www.","\\",":\",".pdf",".jpg",".jpeg",".png",".heic",".xls",".doc",".msg",".eml",".ppt",".txt",".zip"},Z569)))&gt;0),AND(ISERROR(FIND(" ",TRIM(Z569))),NOT(OR(SUMPRODUCT(--ISNUMBER(FIND({",",";","&amp;","+"},Z569)))&gt;0,SUMPRODUCT(--ISNUMBER(SEARCH({"0/aa","0\\aa"},BN569)))&gt;0)),NOT(SUMPRODUCT(--ISNUMBER(SEARCH({"http","www.","\\",":\",".pdf",".jpg",".jpeg",".png",".heic",".xls",".doc",".msg",".eml",".ppt",".txt",".zip"},Z569)))&gt;0),NOT(LOWER(TRIM(Z569))=LOWER(Flights!$F$21)),ISNA(MATCH(BU569,{"mh","rev","revision","ver","version","v","r","a","b","seat","tray","row","gate","bay","stand","page","pg","item","line","no","cart","galley","flight","flt","table","box","bag","oven","etd","eta","std","sta","atd","ata","qty","pax","x","time","tel","ph","mob","day","wk","week","utc","gmt","myt","lt"},0)),NOT(OR(ISNUMBER(MATCH(LEFT(BN569,255),{"0000a","000a","00a","0000aa","000aa","00aa","0aa","0000aaa","000aaa","00a00","0a00","0000-0000","00:00","a00","a0","00.00.0000","00/00/0000","00-00-0000","0000-00-00","0000/00/00","0000.00.00","00.00.00","00/00/00","00-00-00","0.00.0000","0/00/0000","0-00-0000"},0)),ISNUMBER(MATCH(LEFT(BT569,255),{"0000a","000a","00a","0000aa","000aa","00aa","0aa","0000aaa","000aaa","00a00","0a00","0000-0000","00:00","a00","a0","00.00.0000","00/00/0000","00-00-0000","0000-00-00","0000/00/00","0000.00.00","00.00.00","00/00/00","00-00-00","0.00.0000","0/00/0000","0-00-0000"},0)))),NOT(OR(AND(BW569&lt;&gt;"",SUBSTITUTE(BW569,"0","")=""),AND(LEN(BW569)&gt;=4,BW569=REPT(LEFT(BW569),LEN(BW569))),ISNUMBER(MATCH(BW569,{"123","1234","12345","123456","1234567","12345678","0123","01234","012345","98765","987654","54321"},0)),ISNUMBER(MATCH(BX569,{"x","xx","xxx","xxxx","xxxxx","abc","abcd","nil","na","nan","test","tbc","tba","tbd","dummy","sample","example","eg","zz","zzz","none","null","xyz","qwe","asd","id","ref"},0)),AND(LEN(BW569)=8,BX569="",OR(LEFT(BW569,3)="202",ISNUMBER(MATCH(RIGHT(BW569,4),{"2025","2026","2027"},0)))))),OR(AND((LEN(BT569)-LEN(SUBSTITUTE(BT569,"a","")))&gt;=1,(LEN(BN569)-LEN(SUBSTITUTE(BN569,"0","")))&gt;=2,SUMPRODUCT(--ISNUMBER(SEARCH({"a0","a-0","a_0","a/0","a.0","a#0","0a","0-a","0_a","0/a"},BN569)))&gt;0),AND((LEN(BN569)-LEN(SUBSTITUTE(BN569,"a","")))=0,(LEN(BN569)-LEN(SUBSTITUTE(BN569,"0","")))&gt;=5)))),1,0),0)</f>
        <v>0</v>
      </c>
      <c r="CA5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569,"revision",""),"version",""),"jan",""),"feb",""),"mar",""),"apr",""),"may",""),"jun",""),"jul",""),"aug",""),"sep",""),"oct",""),"nov",""),"dec",""),"utc",""),"gmt",""),"myt",""),"bst",""),"rev",""),"ver",""),"b","a"),"c","a"),"d","a"),"e","a"),"f","a"),"g","a"),"h","a"),"i","a"),"j","a"),"k","a"),"l","a"),"m","a"),"n","a"),"o","a"),"p","a"),"q","a"),"r","a"),"s","a"),"t","a"),"u","a"),"v","a"),"w","a"),"x","a"),"y","a"),"z","a")</f>
        <v/>
      </c>
      <c r="CB5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569&amp;""),"a",""),"b",""),"c",""),"d",""),"e",""),"f",""),"g",""),"h",""),"i",""),"j",""),"k",""),"l",""),"m",""),"n",""),"o",""),"p",""),"q",""),"r",""),"s",""),"t",""),"u",""),"v",""),"w",""),"x",""),"y",""),"z",""),"-",""),"_",""),"/",""),".",""),"#",""),"\\",""),":","")," ",""),"(",""),")","")</f>
        <v/>
      </c>
      <c r="CC569" s="0" t="str">
        <f aca="false">" "&amp;TRIM(SUBSTITUTE(SUBSTITUTE(SUBSTITUTE(SUBSTITUTE(SUBSTITUTE(SUBSTITUTE(SUBSTITUTE(SUBSTITUTE(SUBSTITUTE(SUBSTITUTE(SUBSTITUTE(SUBSTITUTE(SUBSTITUTE(SUBSTITUTE(SUBSTITUTE(SUBSTITUTE(SUBSTITUTE(SUBSTITUTE(SUBSTITUTE(SUBSTITUTE(SUBSTITUTE(SUBSTITUTE(SUBSTITUTE(SUBSTITUTE(LOWER(T569&amp;""),CHAR(10)," "),CHAR(13)," "),CHAR(9)," "),CHAR(160)," "),"."," "),","," "),"-"," "),"/"," "),"("," "),")"," "),":"," "),";"," "),"_"," "),"–"," "),"?"," "),"!"," "),"*"," "),"["," "),"]"," "),"'"," "),"#"," "),"+"," "),"&amp;"," "),"\"," "))&amp;" "</f>
        <v>  </v>
      </c>
      <c r="CD569" s="0" t="str">
        <f aca="false">" "&amp;TRIM(SUBSTITUTE(SUBSTITUTE(SUBSTITUTE(SUBSTITUTE(SUBSTITUTE(SUBSTITUTE(SUBSTITUTE(SUBSTITUTE(SUBSTITUTE(SUBSTITUTE(SUBSTITUTE(SUBSTITUTE(SUBSTITUTE(SUBSTITUTE(SUBSTITUTE(SUBSTITUTE(SUBSTITUTE(SUBSTITUTE(SUBSTITUTE(SUBSTITUTE(SUBSTITUTE(SUBSTITUTE(SUBSTITUTE(SUBSTITUTE(LOWER(AE569&amp;""),CHAR(10)," "),CHAR(13)," "),CHAR(9)," "),CHAR(160)," "),"."," "),","," "),"-"," "),"/"," "),"("," "),")"," "),":"," "),";"," "),"_"," "),"–"," "),"?"," "),"!"," "),"*"," "),"["," "),"]"," "),"'"," "),"#"," "),"+"," "),"&amp;"," "),"\"," "))&amp;" "</f>
        <v>  </v>
      </c>
      <c r="CE569" s="68" t="n">
        <f aca="false">IFERROR(IF(AND(LEN(AU569)&gt;0,LEN(AU569)=LEN(AX569),OR(TRIM(MID(SUBSTITUTE(TRIM(CC569)," ",REPT(" ",60)),1,60))="",ISNUMBER(SEARCH(" "&amp;TRIM(MID(SUBSTITUTE(TRIM(CC569)," ",REPT(" ",60)),1,60))&amp;" ",CD569))),OR(TRIM(MID(SUBSTITUTE(TRIM(CC569)," ",REPT(" ",60)),61,60))="",ISNUMBER(SEARCH(" "&amp;TRIM(MID(SUBSTITUTE(TRIM(CC569)," ",REPT(" ",60)),61,60))&amp;" ",CD569))),OR(TRIM(MID(SUBSTITUTE(TRIM(CC569)," ",REPT(" ",60)),121,60))="",ISNUMBER(SEARCH(" "&amp;TRIM(MID(SUBSTITUTE(TRIM(CC569)," ",REPT(" ",60)),121,60))&amp;" ",CD569)))),1,0),0)</f>
        <v>0</v>
      </c>
      <c r="CG569" s="68" t="n">
        <f aca="false">IFERROR(LEN(SUBSTITUTE(BF569," ",""))-SUMPRODUCT((LEN(BF569)-LEN(SUBSTITUTE(BF569," "&amp;L_NAFiller&amp;" "," ")))/(LEN(L_NAFiller)+1)*LEN(L_NAFiller)),0)</f>
        <v>0</v>
      </c>
    </row>
    <row r="570" customFormat="false" ht="39.75" hidden="false" customHeight="true" outlineLevel="0" collapsed="false">
      <c r="A570" s="57" t="s">
        <v>1261</v>
      </c>
      <c r="B570" s="57" t="s">
        <v>290</v>
      </c>
      <c r="C570" s="57" t="str">
        <f aca="false">Flights!$F$21</f>
        <v>MH0073</v>
      </c>
      <c r="D570" s="58" t="n">
        <f aca="false">Flights!$D$21</f>
        <v>46322</v>
      </c>
      <c r="E570" s="57" t="str">
        <f aca="false">Flights!$G$21&amp;"-"&amp;Flights!$H$21</f>
        <v>HKG-KUL</v>
      </c>
      <c r="F570" s="57" t="str">
        <f aca="false">Flights!$K$21</f>
        <v>BC</v>
      </c>
      <c r="G570" s="57" t="s">
        <v>459</v>
      </c>
      <c r="H570" s="57" t="s">
        <v>460</v>
      </c>
      <c r="I570" s="57" t="s">
        <v>499</v>
      </c>
      <c r="J570" s="57" t="s">
        <v>551</v>
      </c>
      <c r="K570" s="67" t="s">
        <v>501</v>
      </c>
      <c r="L570" s="67" t="s">
        <v>1240</v>
      </c>
      <c r="M570" s="67" t="s">
        <v>451</v>
      </c>
      <c r="N570" s="67" t="s">
        <v>383</v>
      </c>
      <c r="O570" s="67"/>
      <c r="P570" s="57" t="s">
        <v>282</v>
      </c>
      <c r="Q570" s="59" t="n">
        <f aca="false">ROUND((Flights!$AF$21)*1440,0)/1440</f>
        <v>46322.2847222222</v>
      </c>
      <c r="R570" s="59" t="n">
        <f aca="false">Q570+(IF(AND(INDEX(TZ_DSTS,MATCH(P570,TZ_STN,0))&lt;&gt;"",Q570&gt;=INDEX(TZ_DSTS,MATCH(P570,TZ_STN,0)),Q570&lt;INDEX(TZ_DSTE,MATCH(P570,TZ_STN,0))),INDEX(TZ_DST,MATCH(P570,TZ_STN,0)),INDEX(TZ_STD,MATCH(P570,TZ_STN,0))))/24</f>
        <v>46322.6180555556</v>
      </c>
      <c r="S570" s="60"/>
      <c r="T570" s="60"/>
      <c r="U570" s="60"/>
      <c r="V570" s="60"/>
      <c r="W570" s="61"/>
      <c r="X570" s="60"/>
      <c r="Y570" s="60"/>
      <c r="Z570" s="60"/>
      <c r="AA570" s="60"/>
      <c r="AB570" s="60"/>
      <c r="AC570" s="60"/>
      <c r="AD570" s="66"/>
      <c r="AE570" s="60"/>
      <c r="AF570" s="61" t="str">
        <f aca="false">IF(AND(ISNUMBER(X570),ISNUMBER(Y570)),Y570-X570,"")</f>
        <v/>
      </c>
      <c r="AG570" s="62" t="str">
        <f aca="false">IF(ISNUMBER(AD570),AD570-(IF(AND(INDEX(TZ_DSTS,MATCH(P570,TZ_STN,0))&lt;&gt;"",(AD570-INDEX(TZ_STD,MATCH(P570,TZ_STN,0))/24)&gt;=INDEX(TZ_DSTS,MATCH(P570,TZ_STN,0)),(AD570-INDEX(TZ_STD,MATCH(P570,TZ_STN,0))/24)&lt;INDEX(TZ_DSTE,MATCH(P570,TZ_STN,0))),INDEX(TZ_DST,MATCH(P570,TZ_STN,0)),INDEX(TZ_STD,MATCH(P570,TZ_STN,0))))/24,"")</f>
        <v/>
      </c>
      <c r="AH570" s="65" t="str">
        <f aca="false">IFERROR(IF(N570="N/A – rule",IF(OR(TRIM(U570)="",TRIM(U570)="N/A",TRIM(U570)="Not started"),"N/A – RULE","INVALID – this check does not apply to this aircraft: clear the status (or correct the fleet on Flights)"),IF(TRIM(U570)="N/A",IF(AT570=0,"INVALID – N/A not permitted for this check",IF(AND(TRIM(AB570)&lt;&gt;"",TRIM(AB570)&lt;&gt;"Closed"),"INVALID – corrective action still open",IF(AND(NOT(OR(LEN(AZ570)&lt;15,ISNUMBER(MATCH(AZ570,L_Placeholder,0)))),BK570=0,CG570&gt;=8,NOT(OR(LEN(AU570)&lt;2,ISNUMBER(MATCH(AU570,L_Placeholder,0)))),BR570&gt;=3,NOT(OR(LEN(AX570)&lt;2,ISNUMBER(MATCH(AX570,L_Placeholder,0)))),BS570&gt;=3,TRIM(AE570)&lt;&gt;TRIM(T570),AX570&lt;&gt;AU570,CE570=0),"N/A – JUSTIFIED","INVALID – N/A needs a real, settled reason (not 'not applicable' / 'as above' / TBC), a named PIC and a different named verifier"))),IF(OR(TRIM(U570)="Pass",TRIM(U570)="Pass after CA"),IF(NOT(ISNUMBER(AD570)),"INVALID – completion time missing",IF(OR(OR(LEN(AU570)&lt;2,ISNUMBER(MATCH(AU570,L_Placeholder,0))),BR570&lt;3),"INVALID – PIC missing or not a named person (a role such as QA / CSM is not a name)",IF(OR(LEN(AV570)&lt;2,ISNUMBER(MATCH(AV570,L_Placeholder,0))),"INVALID – result / assessment missing",IF(OR(OR(LEN(AW570)&lt;3,ISNUMBER(MATCH(AW570,L_Placeholder,0))),SUMPRODUCT(--ISNUMBER(SEARCH(" "&amp;L_EvidencePhrase&amp;" ",BD570)))&gt;0,BI570=1),"INVALID – evidence missing, placeholder or not yet on file",IF(ISNA(MATCH(TRIM(S570),L_EvidenceType,0)),"INVALID – choose the evidence type from the list (column S)",IF(BL570=0,"INVALID – evidence ID must be the record's own ID only (e.g. SF-2210, IMG_2231, 1045521); a link / file name needs type 'Link / file path'",IF(OR(OR(LEN(AX570)&lt;2,ISNUMBER(MATCH(AX570,L_Placeholder,0))),BS570&lt;3),"INVALID – verifier missing or not a named person (a role such as QA / CSM is not a name)",IF(OR(AX570=AU570,CE570=1,AND(LEN(AU570)&gt;=4,ISNUMBER(SEARCH(AU570,AX570))),AND(LEN(AX570)&gt;=4,ISNUMBER(SEARCH(AX570,AU570)))),"INVALID – verifier must be a different, named person (not the PIC or a role)",IF(BH570=1,"INVALID – result not yet available (awaiting / TBC)",IF(BG570=1,"INVALID – result describes a problem: record Fail, then Pass after CA (or reword if it is not a problem)",IF(BV570=1,"INVALID – wording says not on board: an on-board confirmation needs the item loaded",IF(AND(AQ570=1,OR(OR(LEN(AY570)&lt;3,ISNUMBER(MATCH(AY570,L_Placeholder,0))),BJ570=1,BQ570=0)),"INVALID – batch ID missing, placeholder or not an ID (e.g. PASB-261008-BC-017)",IF(AND(AR570=1,OR(NOT(ISNUMBER(X570)),NOT(ISNUMBER(Y570)))),"INVALID – expected/actual qty missing",IF(AND(AR570=1,OR(X570&lt;=0,Y570&lt;0)),"INVALID – expected qty must be above 0 and actual not negative",IF(AH556="N/A – JUSTIFIED","INVALID – preparation row F17-T12-15 is N/A",IF(AND(AR570=1,ISNUMBER(X556),X570&lt;&gt;X556,TRIM(U570)&lt;&gt;"Pass after CA"),"INVALID – expected qty differs from preparation check F17-T12-15: record the load change as a corrective action (Pass after CA)",IF(BB570&lt;&gt;"",BB570,IF(AND(AS570=1,Documents!$J$21&lt;&gt;"ON FILE"),"INVALID – GLD not on file (Documents sheet)",IF(AND(AS570=2,Documents!$O$21&lt;&gt;"ON FILE"),"INVALID – menu checklist not on file (Documents sheet)",IF(AND(AS570=3,NOT(ISNUMBER(Flights!$AX$21))),"INVALID – enter carrying flight KUL departure (Flights AX)",IF(AND(AS570=3,OR(Flights!$AZ$21&gt;Flights!$AA$21,Flights!$AX$21&lt;Flights!$AA$21-3)),"INVALID – carrying flight (Flights AX) cannot arrive before this leg's STD, or is over 3 days early",IF(AG570&gt;AsOfUTC,"INVALID – completion time is in the future",IF(AND(ISNUMBER(BY570),AG570&lt;BY570),IF(H570="Physical uplift","INVALID – before uplift window (cannot confirm loading)","INVALID – before valid window"),IF(AG570&gt;Flights!$AA$21,"INVALID – completed after departure (cannot establish readiness)",IF(AND(H570="Preparation",AG570&gt;=IF(ISNUMBER(Flights!$BA$21),MIN(Flights!$BA$21,Flights!$AA$21),Flights!$AA$21)),"INVALID – completed after loading / departure (cannot establish readiness)",IF(AND(H570="Physical uplift",AG570&gt;Q570),"INVALID – recorded after the loading flight departed",IF(AG570&gt;Q570,"COMPLETE – LATE","COMPLETE"))))))))))))))))))))))))))),IF(TRIM(U570)="Fail","FAIL – DISCREPANCY",IF(AND(TRIM(U570)&lt;&gt;"",TRIM(U570)&lt;&gt;"Not started",TRIM(U570)&lt;&gt;"In progress"),"INVALID – unrecognised status (use the list)",IF(AsOfUTC&gt;Q570,"OVERDUE",IF(N570="Clarification required","OPEN – CLARIFICATION","OPEN"))))))),"INVALID – error value in an input cell")</f>
        <v>OPEN</v>
      </c>
      <c r="AI570" s="61" t="n">
        <f aca="false">IF(OR(AH570="N/A – RULE",AH570="N/A – JUSTIFIED"),0,1)</f>
        <v>1</v>
      </c>
      <c r="AJ570" s="61" t="n">
        <f aca="false">IF(LEFT(AH570,8)="COMPLETE",1,0)</f>
        <v>0</v>
      </c>
      <c r="AK570" s="61" t="n">
        <f aca="false">IF(AND(AI570=1,AJ570=0,AsOfUTC&gt;Q570),1,0)</f>
        <v>0</v>
      </c>
      <c r="AL570" s="61" t="n">
        <f aca="false">IFERROR(IF(AND(AI570=1,OR(TRIM(U570)="Fail",AND(TRIM(AB570)&lt;&gt;"",TRIM(AB570)&lt;&gt;"Closed"),AND(ISNUMBER(AF570),AF570&lt;&gt;0,TRIM(U570)&lt;&gt;"Pass after CA"))),1,0),1)</f>
        <v>0</v>
      </c>
      <c r="AM570" s="61" t="n">
        <f aca="false">IF(LEFT(AH570,7)="INVALID",1,0)</f>
        <v>0</v>
      </c>
      <c r="AN570" s="61" t="n">
        <f aca="false">IF(AND(N570="Clarification required",AI570=1,AJ570=0),1,0)</f>
        <v>0</v>
      </c>
      <c r="AO570" s="61" t="str">
        <f aca="false">IF(AK570=1,SUM(AK$5:AK570),"")</f>
        <v/>
      </c>
      <c r="AP570" s="61" t="str">
        <f aca="false">IF(AL570=1,SUM(AL$5:AL570),"")</f>
        <v/>
      </c>
      <c r="AQ570" s="61" t="n">
        <v>0</v>
      </c>
      <c r="AR570" s="61" t="n">
        <v>0</v>
      </c>
      <c r="AS570" s="61" t="n">
        <v>0</v>
      </c>
      <c r="AT570" s="61" t="n">
        <v>0</v>
      </c>
      <c r="AU570" s="61" t="str">
        <f aca="false">SUBSTITUTE(SUBSTITUTE(SUBSTITUTE(SUBSTITUTE(SUBSTITUTE(SUBSTITUTE(SUBSTITUTE(SUBSTITUTE(SUBSTITUTE(SUBSTITUTE(SUBSTITUTE(SUBSTITUTE(SUBSTITUTE(SUBSTITUTE(SUBSTITUTE(SUBSTITUTE(LOWER(T570&amp;""),CHAR(10),""),CHAR(13),""),CHAR(9),""),CHAR(160),"")," ",""),".",""),"-",""),"/",""),"?",""),"_",""),",",""),"[",""),"]",""),"(",""),")",""),"*","")</f>
        <v/>
      </c>
      <c r="AV570" s="61" t="str">
        <f aca="false">SUBSTITUTE(SUBSTITUTE(SUBSTITUTE(SUBSTITUTE(SUBSTITUTE(SUBSTITUTE(SUBSTITUTE(SUBSTITUTE(SUBSTITUTE(SUBSTITUTE(SUBSTITUTE(SUBSTITUTE(SUBSTITUTE(SUBSTITUTE(SUBSTITUTE(SUBSTITUTE(LOWER(V570&amp;""),CHAR(10),""),CHAR(13),""),CHAR(9),""),CHAR(160),"")," ",""),".",""),"-",""),"/",""),"?",""),"_",""),",",""),"[",""),"]",""),"(",""),")",""),"*","")</f>
        <v/>
      </c>
      <c r="AW570" s="61" t="str">
        <f aca="false">SUBSTITUTE(SUBSTITUTE(SUBSTITUTE(SUBSTITUTE(SUBSTITUTE(SUBSTITUTE(SUBSTITUTE(SUBSTITUTE(SUBSTITUTE(SUBSTITUTE(SUBSTITUTE(SUBSTITUTE(SUBSTITUTE(SUBSTITUTE(SUBSTITUTE(SUBSTITUTE(LOWER(Z570&amp;""),CHAR(10),""),CHAR(13),""),CHAR(9),""),CHAR(160),"")," ",""),".",""),"-",""),"/",""),"?",""),"_",""),",",""),"[",""),"]",""),"(",""),")",""),"*","")</f>
        <v/>
      </c>
      <c r="AX570" s="61" t="str">
        <f aca="false">SUBSTITUTE(SUBSTITUTE(SUBSTITUTE(SUBSTITUTE(SUBSTITUTE(SUBSTITUTE(SUBSTITUTE(SUBSTITUTE(SUBSTITUTE(SUBSTITUTE(SUBSTITUTE(SUBSTITUTE(SUBSTITUTE(SUBSTITUTE(SUBSTITUTE(SUBSTITUTE(LOWER(AE570&amp;""),CHAR(10),""),CHAR(13),""),CHAR(9),""),CHAR(160),"")," ",""),".",""),"-",""),"/",""),"?",""),"_",""),",",""),"[",""),"]",""),"(",""),")",""),"*","")</f>
        <v/>
      </c>
      <c r="AY570" s="61" t="str">
        <f aca="false">SUBSTITUTE(SUBSTITUTE(SUBSTITUTE(SUBSTITUTE(SUBSTITUTE(SUBSTITUTE(SUBSTITUTE(SUBSTITUTE(SUBSTITUTE(SUBSTITUTE(SUBSTITUTE(SUBSTITUTE(SUBSTITUTE(SUBSTITUTE(SUBSTITUTE(SUBSTITUTE(LOWER(W570&amp;""),CHAR(10),""),CHAR(13),""),CHAR(9),""),CHAR(160),"")," ",""),".",""),"-",""),"/",""),"?",""),"_",""),",",""),"[",""),"]",""),"(",""),")",""),"*","")</f>
        <v/>
      </c>
      <c r="AZ570" s="61" t="str">
        <f aca="false">SUBSTITUTE(SUBSTITUTE(SUBSTITUTE(SUBSTITUTE(SUBSTITUTE(SUBSTITUTE(SUBSTITUTE(SUBSTITUTE(SUBSTITUTE(SUBSTITUTE(SUBSTITUTE(SUBSTITUTE(SUBSTITUTE(SUBSTITUTE(SUBSTITUTE(SUBSTITUTE(LOWER(AC570&amp;""),CHAR(10),""),CHAR(13),""),CHAR(9),""),CHAR(160),"")," ",""),".",""),"-",""),"/",""),"?",""),"_",""),",",""),"[",""),"]",""),"(",""),")",""),"*","")</f>
        <v/>
      </c>
      <c r="BA570" s="61" t="str">
        <f aca="false">SUBSTITUTE(SUBSTITUTE(SUBSTITUTE(SUBSTITUTE(SUBSTITUTE(SUBSTITUTE(SUBSTITUTE(SUBSTITUTE(SUBSTITUTE(SUBSTITUTE(SUBSTITUTE(SUBSTITUTE(SUBSTITUTE(SUBSTITUTE(SUBSTITUTE(SUBSTITUTE(LOWER(AA570&amp;""),CHAR(10),""),CHAR(13),""),CHAR(9),""),CHAR(160),"")," ",""),".",""),"-",""),"/",""),"?",""),"_",""),",",""),"[",""),"]",""),"(",""),")",""),"*","")</f>
        <v/>
      </c>
      <c r="BB570" s="61" t="str">
        <f aca="false">IF(AND(TRIM(U570)="Pass",ISNUMBER(AF570)),IF(AF570&lt;&gt;0,"INVALID – qty variance: use Fail or Pass after CA",""),"")&amp;IF(AND(TRIM(U570)="Pass after CA",ISNUMBER(AF570)),IF(AF570&lt;&gt;0,"INVALID – after the corrective action the actual qty must equal expected (update Actual)",""),"")&amp;IF(AND(TRIM(U570)="Pass",TRIM(AB570)&lt;&gt;"",TRIM(AB570)&lt;&gt;"Closed"),"INVALID – corrective action not closed: use Fail, then Pass after CA","")&amp;IF(AND(LEN(BA570)&gt;=2,ISNA(MATCH(LEFT(BA570,255),L_Placeholder,0)),TRIM(AB570)=""),"INVALID – CA status missing for the recorded corrective action","")&amp;IF(AND(TRIM(U570)="Pass after CA",OR(OR(LEN(BA570)&lt;5,ISNUMBER(MATCH(BA570,L_Placeholder,0))),TRIM(AB570)&lt;&gt;"Closed")),"INVALID – corrective action not recorded/closed","")</f>
        <v/>
      </c>
      <c r="BC570" s="61" t="str">
        <f aca="false">" "&amp;TRIM(SUBSTITUTE(SUBSTITUTE(SUBSTITUTE(SUBSTITUTE(SUBSTITUTE(SUBSTITUTE(SUBSTITUTE(SUBSTITUTE(SUBSTITUTE(SUBSTITUTE(SUBSTITUTE(SUBSTITUTE(SUBSTITUTE(SUBSTITUTE(SUBSTITUTE(SUBSTITUTE(SUBSTITUTE(SUBSTITUTE(SUBSTITUTE(SUBSTITUTE(SUBSTITUTE(SUBSTITUTE(SUBSTITUTE(SUBSTITUTE(LOWER(V570&amp;""),CHAR(10)," "),CHAR(13)," "),CHAR(9)," "),CHAR(160)," "),"."," "),","," "),"-"," "),"/"," "),"("," "),")"," "),":"," "),";"," "),"_"," "),"–"," "),"?"," "),"!"," "),"*"," "),"["," "),"]"," "),"'"," "),"#"," "),"+"," "),"&amp;"," "),"\"," "))&amp;" "</f>
        <v>  </v>
      </c>
      <c r="BD570" s="61" t="str">
        <f aca="false">" "&amp;TRIM(SUBSTITUTE(SUBSTITUTE(SUBSTITUTE(SUBSTITUTE(SUBSTITUTE(SUBSTITUTE(SUBSTITUTE(SUBSTITUTE(SUBSTITUTE(SUBSTITUTE(SUBSTITUTE(SUBSTITUTE(SUBSTITUTE(SUBSTITUTE(SUBSTITUTE(SUBSTITUTE(SUBSTITUTE(SUBSTITUTE(SUBSTITUTE(SUBSTITUTE(SUBSTITUTE(SUBSTITUTE(SUBSTITUTE(SUBSTITUTE(LOWER(Z570&amp;""),CHAR(10)," "),CHAR(13)," "),CHAR(9)," "),CHAR(160)," "),"."," "),","," "),"-"," "),"/"," "),"("," "),")"," "),":"," "),";"," "),"_"," "),"–"," "),"?"," "),"!"," "),"*"," "),"["," "),"]"," "),"'"," "),"#"," "),"+"," "),"&amp;"," "),"\"," "))&amp;" "</f>
        <v>  </v>
      </c>
      <c r="BE570" s="61" t="str">
        <f aca="false">" "&amp;TRIM(SUBSTITUTE(SUBSTITUTE(SUBSTITUTE(SUBSTITUTE(SUBSTITUTE(SUBSTITUTE(SUBSTITUTE(SUBSTITUTE(SUBSTITUTE(SUBSTITUTE(SUBSTITUTE(SUBSTITUTE(SUBSTITUTE(SUBSTITUTE(SUBSTITUTE(SUBSTITUTE(SUBSTITUTE(SUBSTITUTE(SUBSTITUTE(SUBSTITUTE(SUBSTITUTE(SUBSTITUTE(SUBSTITUTE(SUBSTITUTE(LOWER(W570&amp;""),CHAR(10)," "),CHAR(13)," "),CHAR(9)," "),CHAR(160)," "),"."," "),","," "),"-"," "),"/"," "),"("," "),")"," "),":"," "),";"," "),"_"," "),"–"," "),"?"," "),"!"," "),"*"," "),"["," "),"]"," "),"'"," "),"#"," "),"+"," "),"&amp;"," "),"\"," "))&amp;" "</f>
        <v>  </v>
      </c>
      <c r="BF570" s="61" t="str">
        <f aca="false">" "&amp;TRIM(SUBSTITUTE(SUBSTITUTE(SUBSTITUTE(SUBSTITUTE(SUBSTITUTE(SUBSTITUTE(SUBSTITUTE(SUBSTITUTE(SUBSTITUTE(SUBSTITUTE(SUBSTITUTE(SUBSTITUTE(SUBSTITUTE(SUBSTITUTE(SUBSTITUTE(SUBSTITUTE(SUBSTITUTE(SUBSTITUTE(SUBSTITUTE(SUBSTITUTE(SUBSTITUTE(SUBSTITUTE(SUBSTITUTE(SUBSTITUTE(LOWER(AC570&amp;""),CHAR(10)," "),CHAR(13)," "),CHAR(9)," "),CHAR(160)," "),"."," "),","," "),"-"," "),"/"," "),"("," "),")"," "),":"," "),";"," "),"_"," "),"–"," "),"?"," "),"!"," "),"*"," "),"["," "),"]"," "),"'"," "),"#"," "),"+"," "),"&amp;"," "),"\"," "))&amp;" "</f>
        <v>  </v>
      </c>
      <c r="BG570" s="61" t="n">
        <f aca="false">IFERROR(IF(AND(TRIM(U570)="Pass",SUMPRODUCT((LEN(BC570)-LEN(SUBSTITUTE(BC570," "&amp;L_ResultBad&amp;" "," ")))/(LEN(L_ResultBad)+1))&gt;SUMPRODUCT((LEN(BC570)-LEN(SUBSTITUTE(BC570," "&amp;L_NegPhrase&amp;" "," ")))/(LEN(L_NegPhrase)+1))),1,0),0)</f>
        <v>0</v>
      </c>
      <c r="BH570" s="61" t="n">
        <f aca="false">IFERROR(IF(SUMPRODUCT((LEN(BC570)-LEN(SUBSTITUTE(BC570," "&amp;L_Pending&amp;" "," ")))/(LEN(L_Pending)+1))&gt;SUMPRODUCT((LEN(BC570)-LEN(SUBSTITUTE(BC570," "&amp;L_PendNeg&amp;" "," ")))/(LEN(L_PendNeg)+1)),1,0),1)</f>
        <v>0</v>
      </c>
      <c r="BI570" s="61" t="n">
        <f aca="false">IFERROR(IF(SUMPRODUCT((LEN(BD570)-LEN(SUBSTITUTE(BD570," "&amp;L_PendStrict&amp;" "," ")))/(LEN(L_PendStrict)+1))&gt;SUMPRODUCT((LEN(BD570)-LEN(SUBSTITUTE(BD570," "&amp;L_PendNeg&amp;" "," ")))/(LEN(L_PendNeg)+1)),1,0),1)</f>
        <v>0</v>
      </c>
      <c r="BJ570" s="61" t="n">
        <f aca="false">IFERROR(IF(SUMPRODUCT((LEN(BE570)-LEN(SUBSTITUTE(BE570," "&amp;L_Pending&amp;" "," ")))/(LEN(L_Pending)+1))&gt;SUMPRODUCT((LEN(BE570)-LEN(SUBSTITUTE(BE570," "&amp;L_PendNeg&amp;" "," ")))/(LEN(L_PendNeg)+1)),1,0),1)</f>
        <v>0</v>
      </c>
      <c r="BK570" s="61" t="n">
        <f aca="false">IFERROR(IF(SUMPRODUCT((LEN(BF570)-LEN(SUBSTITUTE(BF570," "&amp;L_PendStrict&amp;" "," ")))/(LEN(L_PendStrict)+1))&gt;SUMPRODUCT((LEN(BF570)-LEN(SUBSTITUTE(BF570," "&amp;L_PendNeg&amp;" "," ")))/(LEN(L_PendNeg)+1)),1,0),1)</f>
        <v>0</v>
      </c>
      <c r="BL570" s="61" t="n">
        <f aca="false">IF(ISNA(MATCH(TRIM(S570),L_EvidenceType,0)),0,BZ570)</f>
        <v>0</v>
      </c>
      <c r="BM570" s="61" t="str">
        <f aca="false">SUBSTITUTE(SUBSTITUTE(SUBSTITUTE(SUBSTITUTE(SUBSTITUTE(SUBSTITUTE(SUBSTITUTE(SUBSTITUTE(SUBSTITUTE(LOWER(Z570&amp;""),"1","0"),"2","0"),"3","0"),"4","0"),"5","0"),"6","0"),"7","0"),"8","0"),"9","0")</f>
        <v/>
      </c>
      <c r="BN570" s="61" t="str">
        <f aca="false">SUBSTITUTE(SUBSTITUTE(SUBSTITUTE(SUBSTITUTE(SUBSTITUTE(SUBSTITUTE(SUBSTITUTE(SUBSTITUTE(SUBSTITUTE(SUBSTITUTE(SUBSTITUTE(SUBSTITUTE(SUBSTITUTE(SUBSTITUTE(SUBSTITUTE(SUBSTITUTE(SUBSTITUTE(SUBSTITUTE(SUBSTITUTE(SUBSTITUTE(SUBSTITUTE(SUBSTITUTE(SUBSTITUTE(SUBSTITUTE(SUBSTITUTE(BM570,"b","a"),"c","a"),"d","a"),"e","a"),"f","a"),"g","a"),"h","a"),"i","a"),"j","a"),"k","a"),"l","a"),"m","a"),"n","a"),"o","a"),"p","a"),"q","a"),"r","a"),"s","a"),"t","a"),"u","a"),"v","a"),"w","a"),"x","a"),"y","a"),"z","a")</f>
        <v/>
      </c>
      <c r="BO570" s="61" t="str">
        <f aca="false">SUBSTITUTE(SUBSTITUTE(SUBSTITUTE(SUBSTITUTE(SUBSTITUTE(SUBSTITUTE(SUBSTITUTE(SUBSTITUTE(SUBSTITUTE(LOWER(W570&amp;""),"1","0"),"2","0"),"3","0"),"4","0"),"5","0"),"6","0"),"7","0"),"8","0"),"9","0")</f>
        <v/>
      </c>
      <c r="BP570" s="61" t="str">
        <f aca="false">SUBSTITUTE(SUBSTITUTE(SUBSTITUTE(SUBSTITUTE(SUBSTITUTE(SUBSTITUTE(SUBSTITUTE(SUBSTITUTE(SUBSTITUTE(SUBSTITUTE(SUBSTITUTE(SUBSTITUTE(SUBSTITUTE(SUBSTITUTE(SUBSTITUTE(SUBSTITUTE(SUBSTITUTE(SUBSTITUTE(SUBSTITUTE(SUBSTITUTE(SUBSTITUTE(SUBSTITUTE(SUBSTITUTE(SUBSTITUTE(SUBSTITUTE(BO570,"b","a"),"c","a"),"d","a"),"e","a"),"f","a"),"g","a"),"h","a"),"i","a"),"j","a"),"k","a"),"l","a"),"m","a"),"n","a"),"o","a"),"p","a"),"q","a"),"r","a"),"s","a"),"t","a"),"u","a"),"v","a"),"w","a"),"x","a"),"y","a"),"z","a")</f>
        <v/>
      </c>
      <c r="BQ570" s="61" t="n">
        <f aca="false">IFERROR(IF(AND(ISERROR(SEARCH(" mh"," "&amp;LOWER(W570))),ISNA(MATCH(LEFT(TRIM(BP570),255),{"0000a","000a","00a","0000aa","000aa","00aa","0aa","0000aaa","000aaa","00a00","0a00","0000-0000","00:00","a00","a0","00.00.0000","00/00/0000","00-00-0000","0000-00-00","0000/00/00","0000.00.00","00.00.00","00/00/00","00-00-00","0.00.0000","0/00/0000","0-00-0000"},0)),ISNA(MATCH(LEFT(TRIM(CA570),255),{"0000a","000a","00a","0000aa","000aa","00aa","0aa","0000aaa","000aaa","00a00","0a00","0000-0000","00:00","a00","a0","00.00.0000","00/00/0000","00-00-0000","0000-00-00","0000/00/00","0000.00.00","00.00.00","00/00/00","00-00-00","0.00.0000","0/00/0000","0-00-0000"},0)),LEN(CB570)&gt;=3,NOT(OR(SUBSTITUTE(CB570,"0","")="",AND(LEN(CB570)&gt;=4,CB570=REPT(LEFT(CB570),LEN(CB570))),ISNUMBER(MATCH(CB570,{"123","1234","12345","123456","1234567","12345678","0123","01234","012345","98765","987654","54321"},0)),AND(LEN(CB570)=8,LEFT(CB570,3)="202"))),OR(AND((LEN(CA570)-LEN(SUBSTITUTE(CA570,"a","")))&gt;=1,SUMPRODUCT(--ISNUMBER(SEARCH({"a0","a-0","a_0","a/0","a.0","a#0","0a","0-a","0_a","0/a"},BP570)))&gt;0),ISNUMBER(SEARCH("000000",BP570)))),1,0),0)</f>
        <v>0</v>
      </c>
      <c r="BR570" s="61" t="n">
        <f aca="false">IFERROR(LEN(SUBSTITUTE(CC570," ",""))-SUMPRODUCT((LEN(CC570)-LEN(SUBSTITUTE(CC570," "&amp;L_Role&amp;" "," ")))/(LEN(L_Role)+1)*LEN(L_Role)),0)</f>
        <v>0</v>
      </c>
      <c r="BS570" s="61" t="n">
        <f aca="false">IFERROR(LEN(SUBSTITUTE(CD570," ",""))-SUMPRODUCT((LEN(CD570)-LEN(SUBSTITUTE(CD570," "&amp;L_Role&amp;" "," ")))/(LEN(L_Role)+1)*LEN(L_Role)),0)</f>
        <v>0</v>
      </c>
      <c r="BT5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570,"revision",""),"version",""),"jan",""),"feb",""),"mar",""),"apr",""),"may",""),"jun",""),"jul",""),"aug",""),"sep",""),"oct",""),"nov",""),"dec",""),"utc",""),"gmt",""),"myt",""),"bst",""),"rev",""),"ver",""),"b","a"),"c","a"),"d","a"),"e","a"),"f","a"),"g","a"),"h","a"),"i","a"),"j","a"),"k","a"),"l","a"),"m","a"),"n","a"),"o","a"),"p","a"),"q","a"),"r","a"),"s","a"),"t","a"),"u","a"),"v","a"),"w","a"),"x","a"),"y","a"),"z","a")</f>
        <v/>
      </c>
      <c r="BU570" s="61" t="str">
        <f aca="false">SUBSTITUTE(SUBSTITUTE(SUBSTITUTE(SUBSTITUTE(SUBSTITUTE(SUBSTITUTE(SUBSTITUTE(SUBSTITUTE(SUBSTITUTE(SUBSTITUTE(LEFT(BM570,FIND("0",BM570&amp;"0")-1),"-",""),"_",""),"/",""),".",""),"#",""),"\\",""),":","")," ",""),"(",""),")","")</f>
        <v/>
      </c>
      <c r="BV570" s="61" t="n">
        <f aca="false">IFERROR(IF(OR(SUMPRODUCT((LEN(BC570)-LEN(SUBSTITUTE(BC570," "&amp;L_NotLoaded&amp;" "," ")))/(LEN(L_NotLoaded)+1))&gt;SUMPRODUCT((LEN(BC570)-LEN(SUBSTITUTE(BC570," "&amp;L_NotLoadedNeg&amp;" "," ")))/(LEN(L_NotLoadedNeg)+1)),SUMPRODUCT((LEN(BD570)-LEN(SUBSTITUTE(BD570," "&amp;L_NotLoaded&amp;" "," ")))/(LEN(L_NotLoaded)+1))&gt;SUMPRODUCT((LEN(BD570)-LEN(SUBSTITUTE(BD570," "&amp;L_NotLoadedNeg&amp;" "," ")))/(LEN(L_NotLoadedNeg)+1))),1,0),0)</f>
        <v>0</v>
      </c>
      <c r="BW5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570&amp;""),"a",""),"b",""),"c",""),"d",""),"e",""),"f",""),"g",""),"h",""),"i",""),"j",""),"k",""),"l",""),"m",""),"n",""),"o",""),"p",""),"q",""),"r",""),"s",""),"t",""),"u",""),"v",""),"w",""),"x",""),"y",""),"z",""),"-",""),"_",""),"/",""),".",""),"#",""),"\\",""),":","")," ",""),"(",""),")","")</f>
        <v/>
      </c>
      <c r="BX570" s="61" t="str">
        <f aca="false">SUBSTITUTE(SUBSTITUTE(SUBSTITUTE(SUBSTITUTE(SUBSTITUTE(SUBSTITUTE(SUBSTITUTE(SUBSTITUTE(SUBSTITUTE(SUBSTITUTE(SUBSTITUTE(BM570,"0",""),"-",""),"_",""),"/",""),".",""),"#",""),"\\",""),":","")," ",""),"(",""),")","")</f>
        <v/>
      </c>
      <c r="BY570" s="62" t="n">
        <f aca="false">IF(ISNUMBER(Flights!$AZ$21),MAX(Q570-UpliftWindowH/24,Flights!$AZ$21),Q570-UpliftWindowH/24)</f>
        <v>46322.0347222222</v>
      </c>
      <c r="BZ570" s="61" t="n">
        <f aca="false">IFERROR(IF(IF(TRIM(S570)="Link / file path",AND(LEN(TRIM(Z570))&gt;=5,SUMPRODUCT(--ISNUMBER(SEARCH({"http","www.","\\",":\",".pdf",".jpg",".jpeg",".png",".heic",".xls",".doc",".msg",".eml",".ppt",".txt",".zip"},Z570)))&gt;0),AND(ISERROR(FIND(" ",TRIM(Z570))),NOT(OR(SUMPRODUCT(--ISNUMBER(FIND({",",";","&amp;","+"},Z570)))&gt;0,SUMPRODUCT(--ISNUMBER(SEARCH({"0/aa","0\\aa"},BN570)))&gt;0)),NOT(SUMPRODUCT(--ISNUMBER(SEARCH({"http","www.","\\",":\",".pdf",".jpg",".jpeg",".png",".heic",".xls",".doc",".msg",".eml",".ppt",".txt",".zip"},Z570)))&gt;0),NOT(LOWER(TRIM(Z570))=LOWER(Flights!$F$21)),ISNA(MATCH(BU570,{"mh","rev","revision","ver","version","v","r","a","b","seat","tray","row","gate","bay","stand","page","pg","item","line","no","cart","galley","flight","flt","table","box","bag","oven","etd","eta","std","sta","atd","ata","qty","pax","x","time","tel","ph","mob","day","wk","week","utc","gmt","myt","lt"},0)),NOT(OR(ISNUMBER(MATCH(LEFT(BN570,255),{"0000a","000a","00a","0000aa","000aa","00aa","0aa","0000aaa","000aaa","00a00","0a00","0000-0000","00:00","a00","a0","00.00.0000","00/00/0000","00-00-0000","0000-00-00","0000/00/00","0000.00.00","00.00.00","00/00/00","00-00-00","0.00.0000","0/00/0000","0-00-0000"},0)),ISNUMBER(MATCH(LEFT(BT570,255),{"0000a","000a","00a","0000aa","000aa","00aa","0aa","0000aaa","000aaa","00a00","0a00","0000-0000","00:00","a00","a0","00.00.0000","00/00/0000","00-00-0000","0000-00-00","0000/00/00","0000.00.00","00.00.00","00/00/00","00-00-00","0.00.0000","0/00/0000","0-00-0000"},0)))),NOT(OR(AND(BW570&lt;&gt;"",SUBSTITUTE(BW570,"0","")=""),AND(LEN(BW570)&gt;=4,BW570=REPT(LEFT(BW570),LEN(BW570))),ISNUMBER(MATCH(BW570,{"123","1234","12345","123456","1234567","12345678","0123","01234","012345","98765","987654","54321"},0)),ISNUMBER(MATCH(BX570,{"x","xx","xxx","xxxx","xxxxx","abc","abcd","nil","na","nan","test","tbc","tba","tbd","dummy","sample","example","eg","zz","zzz","none","null","xyz","qwe","asd","id","ref"},0)),AND(LEN(BW570)=8,BX570="",OR(LEFT(BW570,3)="202",ISNUMBER(MATCH(RIGHT(BW570,4),{"2025","2026","2027"},0)))))),OR(AND((LEN(BT570)-LEN(SUBSTITUTE(BT570,"a","")))&gt;=1,(LEN(BN570)-LEN(SUBSTITUTE(BN570,"0","")))&gt;=2,SUMPRODUCT(--ISNUMBER(SEARCH({"a0","a-0","a_0","a/0","a.0","a#0","0a","0-a","0_a","0/a"},BN570)))&gt;0),AND((LEN(BN570)-LEN(SUBSTITUTE(BN570,"a","")))=0,(LEN(BN570)-LEN(SUBSTITUTE(BN570,"0","")))&gt;=5)))),1,0),0)</f>
        <v>0</v>
      </c>
      <c r="CA5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570,"revision",""),"version",""),"jan",""),"feb",""),"mar",""),"apr",""),"may",""),"jun",""),"jul",""),"aug",""),"sep",""),"oct",""),"nov",""),"dec",""),"utc",""),"gmt",""),"myt",""),"bst",""),"rev",""),"ver",""),"b","a"),"c","a"),"d","a"),"e","a"),"f","a"),"g","a"),"h","a"),"i","a"),"j","a"),"k","a"),"l","a"),"m","a"),"n","a"),"o","a"),"p","a"),"q","a"),"r","a"),"s","a"),"t","a"),"u","a"),"v","a"),"w","a"),"x","a"),"y","a"),"z","a")</f>
        <v/>
      </c>
      <c r="CB5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570&amp;""),"a",""),"b",""),"c",""),"d",""),"e",""),"f",""),"g",""),"h",""),"i",""),"j",""),"k",""),"l",""),"m",""),"n",""),"o",""),"p",""),"q",""),"r",""),"s",""),"t",""),"u",""),"v",""),"w",""),"x",""),"y",""),"z",""),"-",""),"_",""),"/",""),".",""),"#",""),"\\",""),":","")," ",""),"(",""),")","")</f>
        <v/>
      </c>
      <c r="CC570" s="0" t="str">
        <f aca="false">" "&amp;TRIM(SUBSTITUTE(SUBSTITUTE(SUBSTITUTE(SUBSTITUTE(SUBSTITUTE(SUBSTITUTE(SUBSTITUTE(SUBSTITUTE(SUBSTITUTE(SUBSTITUTE(SUBSTITUTE(SUBSTITUTE(SUBSTITUTE(SUBSTITUTE(SUBSTITUTE(SUBSTITUTE(SUBSTITUTE(SUBSTITUTE(SUBSTITUTE(SUBSTITUTE(SUBSTITUTE(SUBSTITUTE(SUBSTITUTE(SUBSTITUTE(LOWER(T570&amp;""),CHAR(10)," "),CHAR(13)," "),CHAR(9)," "),CHAR(160)," "),"."," "),","," "),"-"," "),"/"," "),"("," "),")"," "),":"," "),";"," "),"_"," "),"–"," "),"?"," "),"!"," "),"*"," "),"["," "),"]"," "),"'"," "),"#"," "),"+"," "),"&amp;"," "),"\"," "))&amp;" "</f>
        <v>  </v>
      </c>
      <c r="CD570" s="0" t="str">
        <f aca="false">" "&amp;TRIM(SUBSTITUTE(SUBSTITUTE(SUBSTITUTE(SUBSTITUTE(SUBSTITUTE(SUBSTITUTE(SUBSTITUTE(SUBSTITUTE(SUBSTITUTE(SUBSTITUTE(SUBSTITUTE(SUBSTITUTE(SUBSTITUTE(SUBSTITUTE(SUBSTITUTE(SUBSTITUTE(SUBSTITUTE(SUBSTITUTE(SUBSTITUTE(SUBSTITUTE(SUBSTITUTE(SUBSTITUTE(SUBSTITUTE(SUBSTITUTE(LOWER(AE570&amp;""),CHAR(10)," "),CHAR(13)," "),CHAR(9)," "),CHAR(160)," "),"."," "),","," "),"-"," "),"/"," "),"("," "),")"," "),":"," "),";"," "),"_"," "),"–"," "),"?"," "),"!"," "),"*"," "),"["," "),"]"," "),"'"," "),"#"," "),"+"," "),"&amp;"," "),"\"," "))&amp;" "</f>
        <v>  </v>
      </c>
      <c r="CE570" s="68" t="n">
        <f aca="false">IFERROR(IF(AND(LEN(AU570)&gt;0,LEN(AU570)=LEN(AX570),OR(TRIM(MID(SUBSTITUTE(TRIM(CC570)," ",REPT(" ",60)),1,60))="",ISNUMBER(SEARCH(" "&amp;TRIM(MID(SUBSTITUTE(TRIM(CC570)," ",REPT(" ",60)),1,60))&amp;" ",CD570))),OR(TRIM(MID(SUBSTITUTE(TRIM(CC570)," ",REPT(" ",60)),61,60))="",ISNUMBER(SEARCH(" "&amp;TRIM(MID(SUBSTITUTE(TRIM(CC570)," ",REPT(" ",60)),61,60))&amp;" ",CD570))),OR(TRIM(MID(SUBSTITUTE(TRIM(CC570)," ",REPT(" ",60)),121,60))="",ISNUMBER(SEARCH(" "&amp;TRIM(MID(SUBSTITUTE(TRIM(CC570)," ",REPT(" ",60)),121,60))&amp;" ",CD570)))),1,0),0)</f>
        <v>0</v>
      </c>
      <c r="CG570" s="68" t="n">
        <f aca="false">IFERROR(LEN(SUBSTITUTE(BF570," ",""))-SUMPRODUCT((LEN(BF570)-LEN(SUBSTITUTE(BF570," "&amp;L_NAFiller&amp;" "," ")))/(LEN(L_NAFiller)+1)*LEN(L_NAFiller)),0)</f>
        <v>0</v>
      </c>
    </row>
    <row r="571" customFormat="false" ht="39.75" hidden="false" customHeight="true" outlineLevel="0" collapsed="false">
      <c r="A571" s="57" t="s">
        <v>1262</v>
      </c>
      <c r="B571" s="57" t="s">
        <v>290</v>
      </c>
      <c r="C571" s="57" t="str">
        <f aca="false">Flights!$F$21</f>
        <v>MH0073</v>
      </c>
      <c r="D571" s="58" t="n">
        <f aca="false">Flights!$D$21</f>
        <v>46322</v>
      </c>
      <c r="E571" s="57" t="str">
        <f aca="false">Flights!$G$21&amp;"-"&amp;Flights!$H$21</f>
        <v>HKG-KUL</v>
      </c>
      <c r="F571" s="57" t="str">
        <f aca="false">Flights!$K$21</f>
        <v>BC</v>
      </c>
      <c r="G571" s="57" t="s">
        <v>459</v>
      </c>
      <c r="H571" s="57" t="s">
        <v>460</v>
      </c>
      <c r="I571" s="57" t="s">
        <v>447</v>
      </c>
      <c r="J571" s="57" t="s">
        <v>553</v>
      </c>
      <c r="K571" s="67" t="s">
        <v>449</v>
      </c>
      <c r="L571" s="67" t="s">
        <v>1242</v>
      </c>
      <c r="M571" s="67" t="s">
        <v>451</v>
      </c>
      <c r="N571" s="67" t="s">
        <v>383</v>
      </c>
      <c r="O571" s="67"/>
      <c r="P571" s="57" t="s">
        <v>282</v>
      </c>
      <c r="Q571" s="59" t="n">
        <f aca="false">ROUND((Flights!$AF$21)*1440,0)/1440</f>
        <v>46322.2847222222</v>
      </c>
      <c r="R571" s="59" t="n">
        <f aca="false">Q571+(IF(AND(INDEX(TZ_DSTS,MATCH(P571,TZ_STN,0))&lt;&gt;"",Q571&gt;=INDEX(TZ_DSTS,MATCH(P571,TZ_STN,0)),Q571&lt;INDEX(TZ_DSTE,MATCH(P571,TZ_STN,0))),INDEX(TZ_DST,MATCH(P571,TZ_STN,0)),INDEX(TZ_STD,MATCH(P571,TZ_STN,0))))/24</f>
        <v>46322.6180555556</v>
      </c>
      <c r="S571" s="60"/>
      <c r="T571" s="60"/>
      <c r="U571" s="60"/>
      <c r="V571" s="60"/>
      <c r="W571" s="61"/>
      <c r="X571" s="60"/>
      <c r="Y571" s="60"/>
      <c r="Z571" s="60"/>
      <c r="AA571" s="60"/>
      <c r="AB571" s="60"/>
      <c r="AC571" s="60"/>
      <c r="AD571" s="66"/>
      <c r="AE571" s="60"/>
      <c r="AF571" s="61" t="str">
        <f aca="false">IF(AND(ISNUMBER(X571),ISNUMBER(Y571)),Y571-X571,"")</f>
        <v/>
      </c>
      <c r="AG571" s="62" t="str">
        <f aca="false">IF(ISNUMBER(AD571),AD571-(IF(AND(INDEX(TZ_DSTS,MATCH(P571,TZ_STN,0))&lt;&gt;"",(AD571-INDEX(TZ_STD,MATCH(P571,TZ_STN,0))/24)&gt;=INDEX(TZ_DSTS,MATCH(P571,TZ_STN,0)),(AD571-INDEX(TZ_STD,MATCH(P571,TZ_STN,0))/24)&lt;INDEX(TZ_DSTE,MATCH(P571,TZ_STN,0))),INDEX(TZ_DST,MATCH(P571,TZ_STN,0)),INDEX(TZ_STD,MATCH(P571,TZ_STN,0))))/24,"")</f>
        <v/>
      </c>
      <c r="AH571" s="65" t="str">
        <f aca="false">IFERROR(IF(N571="N/A – rule",IF(OR(TRIM(U571)="",TRIM(U571)="N/A",TRIM(U571)="Not started"),"N/A – RULE","INVALID – this check does not apply to this aircraft: clear the status (or correct the fleet on Flights)"),IF(TRIM(U571)="N/A",IF(AT571=0,"INVALID – N/A not permitted for this check",IF(AND(TRIM(AB571)&lt;&gt;"",TRIM(AB571)&lt;&gt;"Closed"),"INVALID – corrective action still open",IF(AND(NOT(OR(LEN(AZ571)&lt;15,ISNUMBER(MATCH(AZ571,L_Placeholder,0)))),BK571=0,CG571&gt;=8,NOT(OR(LEN(AU571)&lt;2,ISNUMBER(MATCH(AU571,L_Placeholder,0)))),BR571&gt;=3,NOT(OR(LEN(AX571)&lt;2,ISNUMBER(MATCH(AX571,L_Placeholder,0)))),BS571&gt;=3,TRIM(AE571)&lt;&gt;TRIM(T571),AX571&lt;&gt;AU571,CE571=0),"N/A – JUSTIFIED","INVALID – N/A needs a real, settled reason (not 'not applicable' / 'as above' / TBC), a named PIC and a different named verifier"))),IF(OR(TRIM(U571)="Pass",TRIM(U571)="Pass after CA"),IF(NOT(ISNUMBER(AD571)),"INVALID – completion time missing",IF(OR(OR(LEN(AU571)&lt;2,ISNUMBER(MATCH(AU571,L_Placeholder,0))),BR571&lt;3),"INVALID – PIC missing or not a named person (a role such as QA / CSM is not a name)",IF(OR(LEN(AV571)&lt;2,ISNUMBER(MATCH(AV571,L_Placeholder,0))),"INVALID – result / assessment missing",IF(OR(OR(LEN(AW571)&lt;3,ISNUMBER(MATCH(AW571,L_Placeholder,0))),SUMPRODUCT(--ISNUMBER(SEARCH(" "&amp;L_EvidencePhrase&amp;" ",BD571)))&gt;0,BI571=1),"INVALID – evidence missing, placeholder or not yet on file",IF(ISNA(MATCH(TRIM(S571),L_EvidenceType,0)),"INVALID – choose the evidence type from the list (column S)",IF(BL571=0,"INVALID – evidence ID must be the record's own ID only (e.g. SF-2210, IMG_2231, 1045521); a link / file name needs type 'Link / file path'",IF(OR(OR(LEN(AX571)&lt;2,ISNUMBER(MATCH(AX571,L_Placeholder,0))),BS571&lt;3),"INVALID – verifier missing or not a named person (a role such as QA / CSM is not a name)",IF(OR(AX571=AU571,CE571=1,AND(LEN(AU571)&gt;=4,ISNUMBER(SEARCH(AU571,AX571))),AND(LEN(AX571)&gt;=4,ISNUMBER(SEARCH(AX571,AU571)))),"INVALID – verifier must be a different, named person (not the PIC or a role)",IF(BH571=1,"INVALID – result not yet available (awaiting / TBC)",IF(BG571=1,"INVALID – result describes a problem: record Fail, then Pass after CA (or reword if it is not a problem)",IF(BV571=1,"INVALID – wording says not on board: an on-board confirmation needs the item loaded",IF(AND(AQ571=1,OR(OR(LEN(AY571)&lt;3,ISNUMBER(MATCH(AY571,L_Placeholder,0))),BJ571=1,BQ571=0)),"INVALID – batch ID missing, placeholder or not an ID (e.g. PASB-261008-BC-017)",IF(AND(AR571=1,OR(NOT(ISNUMBER(X571)),NOT(ISNUMBER(Y571)))),"INVALID – expected/actual qty missing",IF(AND(AR571=1,OR(X571&lt;=0,Y571&lt;0)),"INVALID – expected qty must be above 0 and actual not negative",IF(AH557="N/A – JUSTIFIED","INVALID – preparation row F17-T12-16 is N/A",IF(AND(AR571=1,ISNUMBER(X557),X571&lt;&gt;X557,TRIM(U571)&lt;&gt;"Pass after CA"),"INVALID – expected qty differs from preparation check F17-T12-16: record the load change as a corrective action (Pass after CA)",IF(BB571&lt;&gt;"",BB571,IF(AND(AS571=1,Documents!$J$21&lt;&gt;"ON FILE"),"INVALID – GLD not on file (Documents sheet)",IF(AND(AS571=2,Documents!$O$21&lt;&gt;"ON FILE"),"INVALID – menu checklist not on file (Documents sheet)",IF(AND(AS571=3,NOT(ISNUMBER(Flights!$AX$21))),"INVALID – enter carrying flight KUL departure (Flights AX)",IF(AND(AS571=3,OR(Flights!$AZ$21&gt;Flights!$AA$21,Flights!$AX$21&lt;Flights!$AA$21-3)),"INVALID – carrying flight (Flights AX) cannot arrive before this leg's STD, or is over 3 days early",IF(AG571&gt;AsOfUTC,"INVALID – completion time is in the future",IF(AND(ISNUMBER(BY571),AG571&lt;BY571),IF(H571="Physical uplift","INVALID – before uplift window (cannot confirm loading)","INVALID – before valid window"),IF(AG571&gt;Flights!$AA$21,"INVALID – completed after departure (cannot establish readiness)",IF(AND(H571="Preparation",AG571&gt;=IF(ISNUMBER(Flights!$BA$21),MIN(Flights!$BA$21,Flights!$AA$21),Flights!$AA$21)),"INVALID – completed after loading / departure (cannot establish readiness)",IF(AND(H571="Physical uplift",AG571&gt;Q571),"INVALID – recorded after the loading flight departed",IF(AG571&gt;Q571,"COMPLETE – LATE","COMPLETE"))))))))))))))))))))))))))),IF(TRIM(U571)="Fail","FAIL – DISCREPANCY",IF(AND(TRIM(U571)&lt;&gt;"",TRIM(U571)&lt;&gt;"Not started",TRIM(U571)&lt;&gt;"In progress"),"INVALID – unrecognised status (use the list)",IF(AsOfUTC&gt;Q571,"OVERDUE",IF(N571="Clarification required","OPEN – CLARIFICATION","OPEN"))))))),"INVALID – error value in an input cell")</f>
        <v>OPEN</v>
      </c>
      <c r="AI571" s="61" t="n">
        <f aca="false">IF(OR(AH571="N/A – RULE",AH571="N/A – JUSTIFIED"),0,1)</f>
        <v>1</v>
      </c>
      <c r="AJ571" s="61" t="n">
        <f aca="false">IF(LEFT(AH571,8)="COMPLETE",1,0)</f>
        <v>0</v>
      </c>
      <c r="AK571" s="61" t="n">
        <f aca="false">IF(AND(AI571=1,AJ571=0,AsOfUTC&gt;Q571),1,0)</f>
        <v>0</v>
      </c>
      <c r="AL571" s="61" t="n">
        <f aca="false">IFERROR(IF(AND(AI571=1,OR(TRIM(U571)="Fail",AND(TRIM(AB571)&lt;&gt;"",TRIM(AB571)&lt;&gt;"Closed"),AND(ISNUMBER(AF571),AF571&lt;&gt;0,TRIM(U571)&lt;&gt;"Pass after CA"))),1,0),1)</f>
        <v>0</v>
      </c>
      <c r="AM571" s="61" t="n">
        <f aca="false">IF(LEFT(AH571,7)="INVALID",1,0)</f>
        <v>0</v>
      </c>
      <c r="AN571" s="61" t="n">
        <f aca="false">IF(AND(N571="Clarification required",AI571=1,AJ571=0),1,0)</f>
        <v>0</v>
      </c>
      <c r="AO571" s="61" t="str">
        <f aca="false">IF(AK571=1,SUM(AK$5:AK571),"")</f>
        <v/>
      </c>
      <c r="AP571" s="61" t="str">
        <f aca="false">IF(AL571=1,SUM(AL$5:AL571),"")</f>
        <v/>
      </c>
      <c r="AQ571" s="61" t="n">
        <v>0</v>
      </c>
      <c r="AR571" s="61" t="n">
        <v>0</v>
      </c>
      <c r="AS571" s="61" t="n">
        <v>0</v>
      </c>
      <c r="AT571" s="61" t="n">
        <v>0</v>
      </c>
      <c r="AU571" s="61" t="str">
        <f aca="false">SUBSTITUTE(SUBSTITUTE(SUBSTITUTE(SUBSTITUTE(SUBSTITUTE(SUBSTITUTE(SUBSTITUTE(SUBSTITUTE(SUBSTITUTE(SUBSTITUTE(SUBSTITUTE(SUBSTITUTE(SUBSTITUTE(SUBSTITUTE(SUBSTITUTE(SUBSTITUTE(LOWER(T571&amp;""),CHAR(10),""),CHAR(13),""),CHAR(9),""),CHAR(160),"")," ",""),".",""),"-",""),"/",""),"?",""),"_",""),",",""),"[",""),"]",""),"(",""),")",""),"*","")</f>
        <v/>
      </c>
      <c r="AV571" s="61" t="str">
        <f aca="false">SUBSTITUTE(SUBSTITUTE(SUBSTITUTE(SUBSTITUTE(SUBSTITUTE(SUBSTITUTE(SUBSTITUTE(SUBSTITUTE(SUBSTITUTE(SUBSTITUTE(SUBSTITUTE(SUBSTITUTE(SUBSTITUTE(SUBSTITUTE(SUBSTITUTE(SUBSTITUTE(LOWER(V571&amp;""),CHAR(10),""),CHAR(13),""),CHAR(9),""),CHAR(160),"")," ",""),".",""),"-",""),"/",""),"?",""),"_",""),",",""),"[",""),"]",""),"(",""),")",""),"*","")</f>
        <v/>
      </c>
      <c r="AW571" s="61" t="str">
        <f aca="false">SUBSTITUTE(SUBSTITUTE(SUBSTITUTE(SUBSTITUTE(SUBSTITUTE(SUBSTITUTE(SUBSTITUTE(SUBSTITUTE(SUBSTITUTE(SUBSTITUTE(SUBSTITUTE(SUBSTITUTE(SUBSTITUTE(SUBSTITUTE(SUBSTITUTE(SUBSTITUTE(LOWER(Z571&amp;""),CHAR(10),""),CHAR(13),""),CHAR(9),""),CHAR(160),"")," ",""),".",""),"-",""),"/",""),"?",""),"_",""),",",""),"[",""),"]",""),"(",""),")",""),"*","")</f>
        <v/>
      </c>
      <c r="AX571" s="61" t="str">
        <f aca="false">SUBSTITUTE(SUBSTITUTE(SUBSTITUTE(SUBSTITUTE(SUBSTITUTE(SUBSTITUTE(SUBSTITUTE(SUBSTITUTE(SUBSTITUTE(SUBSTITUTE(SUBSTITUTE(SUBSTITUTE(SUBSTITUTE(SUBSTITUTE(SUBSTITUTE(SUBSTITUTE(LOWER(AE571&amp;""),CHAR(10),""),CHAR(13),""),CHAR(9),""),CHAR(160),"")," ",""),".",""),"-",""),"/",""),"?",""),"_",""),",",""),"[",""),"]",""),"(",""),")",""),"*","")</f>
        <v/>
      </c>
      <c r="AY571" s="61" t="str">
        <f aca="false">SUBSTITUTE(SUBSTITUTE(SUBSTITUTE(SUBSTITUTE(SUBSTITUTE(SUBSTITUTE(SUBSTITUTE(SUBSTITUTE(SUBSTITUTE(SUBSTITUTE(SUBSTITUTE(SUBSTITUTE(SUBSTITUTE(SUBSTITUTE(SUBSTITUTE(SUBSTITUTE(LOWER(W571&amp;""),CHAR(10),""),CHAR(13),""),CHAR(9),""),CHAR(160),"")," ",""),".",""),"-",""),"/",""),"?",""),"_",""),",",""),"[",""),"]",""),"(",""),")",""),"*","")</f>
        <v/>
      </c>
      <c r="AZ571" s="61" t="str">
        <f aca="false">SUBSTITUTE(SUBSTITUTE(SUBSTITUTE(SUBSTITUTE(SUBSTITUTE(SUBSTITUTE(SUBSTITUTE(SUBSTITUTE(SUBSTITUTE(SUBSTITUTE(SUBSTITUTE(SUBSTITUTE(SUBSTITUTE(SUBSTITUTE(SUBSTITUTE(SUBSTITUTE(LOWER(AC571&amp;""),CHAR(10),""),CHAR(13),""),CHAR(9),""),CHAR(160),"")," ",""),".",""),"-",""),"/",""),"?",""),"_",""),",",""),"[",""),"]",""),"(",""),")",""),"*","")</f>
        <v/>
      </c>
      <c r="BA571" s="61" t="str">
        <f aca="false">SUBSTITUTE(SUBSTITUTE(SUBSTITUTE(SUBSTITUTE(SUBSTITUTE(SUBSTITUTE(SUBSTITUTE(SUBSTITUTE(SUBSTITUTE(SUBSTITUTE(SUBSTITUTE(SUBSTITUTE(SUBSTITUTE(SUBSTITUTE(SUBSTITUTE(SUBSTITUTE(LOWER(AA571&amp;""),CHAR(10),""),CHAR(13),""),CHAR(9),""),CHAR(160),"")," ",""),".",""),"-",""),"/",""),"?",""),"_",""),",",""),"[",""),"]",""),"(",""),")",""),"*","")</f>
        <v/>
      </c>
      <c r="BB571" s="61" t="str">
        <f aca="false">IF(AND(TRIM(U571)="Pass",ISNUMBER(AF571)),IF(AF571&lt;&gt;0,"INVALID – qty variance: use Fail or Pass after CA",""),"")&amp;IF(AND(TRIM(U571)="Pass after CA",ISNUMBER(AF571)),IF(AF571&lt;&gt;0,"INVALID – after the corrective action the actual qty must equal expected (update Actual)",""),"")&amp;IF(AND(TRIM(U571)="Pass",TRIM(AB571)&lt;&gt;"",TRIM(AB571)&lt;&gt;"Closed"),"INVALID – corrective action not closed: use Fail, then Pass after CA","")&amp;IF(AND(LEN(BA571)&gt;=2,ISNA(MATCH(LEFT(BA571,255),L_Placeholder,0)),TRIM(AB571)=""),"INVALID – CA status missing for the recorded corrective action","")&amp;IF(AND(TRIM(U571)="Pass after CA",OR(OR(LEN(BA571)&lt;5,ISNUMBER(MATCH(BA571,L_Placeholder,0))),TRIM(AB571)&lt;&gt;"Closed")),"INVALID – corrective action not recorded/closed","")</f>
        <v/>
      </c>
      <c r="BC571" s="61" t="str">
        <f aca="false">" "&amp;TRIM(SUBSTITUTE(SUBSTITUTE(SUBSTITUTE(SUBSTITUTE(SUBSTITUTE(SUBSTITUTE(SUBSTITUTE(SUBSTITUTE(SUBSTITUTE(SUBSTITUTE(SUBSTITUTE(SUBSTITUTE(SUBSTITUTE(SUBSTITUTE(SUBSTITUTE(SUBSTITUTE(SUBSTITUTE(SUBSTITUTE(SUBSTITUTE(SUBSTITUTE(SUBSTITUTE(SUBSTITUTE(SUBSTITUTE(SUBSTITUTE(LOWER(V571&amp;""),CHAR(10)," "),CHAR(13)," "),CHAR(9)," "),CHAR(160)," "),"."," "),","," "),"-"," "),"/"," "),"("," "),")"," "),":"," "),";"," "),"_"," "),"–"," "),"?"," "),"!"," "),"*"," "),"["," "),"]"," "),"'"," "),"#"," "),"+"," "),"&amp;"," "),"\"," "))&amp;" "</f>
        <v>  </v>
      </c>
      <c r="BD571" s="61" t="str">
        <f aca="false">" "&amp;TRIM(SUBSTITUTE(SUBSTITUTE(SUBSTITUTE(SUBSTITUTE(SUBSTITUTE(SUBSTITUTE(SUBSTITUTE(SUBSTITUTE(SUBSTITUTE(SUBSTITUTE(SUBSTITUTE(SUBSTITUTE(SUBSTITUTE(SUBSTITUTE(SUBSTITUTE(SUBSTITUTE(SUBSTITUTE(SUBSTITUTE(SUBSTITUTE(SUBSTITUTE(SUBSTITUTE(SUBSTITUTE(SUBSTITUTE(SUBSTITUTE(LOWER(Z571&amp;""),CHAR(10)," "),CHAR(13)," "),CHAR(9)," "),CHAR(160)," "),"."," "),","," "),"-"," "),"/"," "),"("," "),")"," "),":"," "),";"," "),"_"," "),"–"," "),"?"," "),"!"," "),"*"," "),"["," "),"]"," "),"'"," "),"#"," "),"+"," "),"&amp;"," "),"\"," "))&amp;" "</f>
        <v>  </v>
      </c>
      <c r="BE571" s="61" t="str">
        <f aca="false">" "&amp;TRIM(SUBSTITUTE(SUBSTITUTE(SUBSTITUTE(SUBSTITUTE(SUBSTITUTE(SUBSTITUTE(SUBSTITUTE(SUBSTITUTE(SUBSTITUTE(SUBSTITUTE(SUBSTITUTE(SUBSTITUTE(SUBSTITUTE(SUBSTITUTE(SUBSTITUTE(SUBSTITUTE(SUBSTITUTE(SUBSTITUTE(SUBSTITUTE(SUBSTITUTE(SUBSTITUTE(SUBSTITUTE(SUBSTITUTE(SUBSTITUTE(LOWER(W571&amp;""),CHAR(10)," "),CHAR(13)," "),CHAR(9)," "),CHAR(160)," "),"."," "),","," "),"-"," "),"/"," "),"("," "),")"," "),":"," "),";"," "),"_"," "),"–"," "),"?"," "),"!"," "),"*"," "),"["," "),"]"," "),"'"," "),"#"," "),"+"," "),"&amp;"," "),"\"," "))&amp;" "</f>
        <v>  </v>
      </c>
      <c r="BF571" s="61" t="str">
        <f aca="false">" "&amp;TRIM(SUBSTITUTE(SUBSTITUTE(SUBSTITUTE(SUBSTITUTE(SUBSTITUTE(SUBSTITUTE(SUBSTITUTE(SUBSTITUTE(SUBSTITUTE(SUBSTITUTE(SUBSTITUTE(SUBSTITUTE(SUBSTITUTE(SUBSTITUTE(SUBSTITUTE(SUBSTITUTE(SUBSTITUTE(SUBSTITUTE(SUBSTITUTE(SUBSTITUTE(SUBSTITUTE(SUBSTITUTE(SUBSTITUTE(SUBSTITUTE(LOWER(AC571&amp;""),CHAR(10)," "),CHAR(13)," "),CHAR(9)," "),CHAR(160)," "),"."," "),","," "),"-"," "),"/"," "),"("," "),")"," "),":"," "),";"," "),"_"," "),"–"," "),"?"," "),"!"," "),"*"," "),"["," "),"]"," "),"'"," "),"#"," "),"+"," "),"&amp;"," "),"\"," "))&amp;" "</f>
        <v>  </v>
      </c>
      <c r="BG571" s="61" t="n">
        <f aca="false">IFERROR(IF(AND(TRIM(U571)="Pass",SUMPRODUCT((LEN(BC571)-LEN(SUBSTITUTE(BC571," "&amp;L_ResultBad&amp;" "," ")))/(LEN(L_ResultBad)+1))&gt;SUMPRODUCT((LEN(BC571)-LEN(SUBSTITUTE(BC571," "&amp;L_NegPhrase&amp;" "," ")))/(LEN(L_NegPhrase)+1))),1,0),0)</f>
        <v>0</v>
      </c>
      <c r="BH571" s="61" t="n">
        <f aca="false">IFERROR(IF(SUMPRODUCT((LEN(BC571)-LEN(SUBSTITUTE(BC571," "&amp;L_Pending&amp;" "," ")))/(LEN(L_Pending)+1))&gt;SUMPRODUCT((LEN(BC571)-LEN(SUBSTITUTE(BC571," "&amp;L_PendNeg&amp;" "," ")))/(LEN(L_PendNeg)+1)),1,0),1)</f>
        <v>0</v>
      </c>
      <c r="BI571" s="61" t="n">
        <f aca="false">IFERROR(IF(SUMPRODUCT((LEN(BD571)-LEN(SUBSTITUTE(BD571," "&amp;L_PendStrict&amp;" "," ")))/(LEN(L_PendStrict)+1))&gt;SUMPRODUCT((LEN(BD571)-LEN(SUBSTITUTE(BD571," "&amp;L_PendNeg&amp;" "," ")))/(LEN(L_PendNeg)+1)),1,0),1)</f>
        <v>0</v>
      </c>
      <c r="BJ571" s="61" t="n">
        <f aca="false">IFERROR(IF(SUMPRODUCT((LEN(BE571)-LEN(SUBSTITUTE(BE571," "&amp;L_Pending&amp;" "," ")))/(LEN(L_Pending)+1))&gt;SUMPRODUCT((LEN(BE571)-LEN(SUBSTITUTE(BE571," "&amp;L_PendNeg&amp;" "," ")))/(LEN(L_PendNeg)+1)),1,0),1)</f>
        <v>0</v>
      </c>
      <c r="BK571" s="61" t="n">
        <f aca="false">IFERROR(IF(SUMPRODUCT((LEN(BF571)-LEN(SUBSTITUTE(BF571," "&amp;L_PendStrict&amp;" "," ")))/(LEN(L_PendStrict)+1))&gt;SUMPRODUCT((LEN(BF571)-LEN(SUBSTITUTE(BF571," "&amp;L_PendNeg&amp;" "," ")))/(LEN(L_PendNeg)+1)),1,0),1)</f>
        <v>0</v>
      </c>
      <c r="BL571" s="61" t="n">
        <f aca="false">IF(ISNA(MATCH(TRIM(S571),L_EvidenceType,0)),0,BZ571)</f>
        <v>0</v>
      </c>
      <c r="BM571" s="61" t="str">
        <f aca="false">SUBSTITUTE(SUBSTITUTE(SUBSTITUTE(SUBSTITUTE(SUBSTITUTE(SUBSTITUTE(SUBSTITUTE(SUBSTITUTE(SUBSTITUTE(LOWER(Z571&amp;""),"1","0"),"2","0"),"3","0"),"4","0"),"5","0"),"6","0"),"7","0"),"8","0"),"9","0")</f>
        <v/>
      </c>
      <c r="BN571" s="61" t="str">
        <f aca="false">SUBSTITUTE(SUBSTITUTE(SUBSTITUTE(SUBSTITUTE(SUBSTITUTE(SUBSTITUTE(SUBSTITUTE(SUBSTITUTE(SUBSTITUTE(SUBSTITUTE(SUBSTITUTE(SUBSTITUTE(SUBSTITUTE(SUBSTITUTE(SUBSTITUTE(SUBSTITUTE(SUBSTITUTE(SUBSTITUTE(SUBSTITUTE(SUBSTITUTE(SUBSTITUTE(SUBSTITUTE(SUBSTITUTE(SUBSTITUTE(SUBSTITUTE(BM571,"b","a"),"c","a"),"d","a"),"e","a"),"f","a"),"g","a"),"h","a"),"i","a"),"j","a"),"k","a"),"l","a"),"m","a"),"n","a"),"o","a"),"p","a"),"q","a"),"r","a"),"s","a"),"t","a"),"u","a"),"v","a"),"w","a"),"x","a"),"y","a"),"z","a")</f>
        <v/>
      </c>
      <c r="BO571" s="61" t="str">
        <f aca="false">SUBSTITUTE(SUBSTITUTE(SUBSTITUTE(SUBSTITUTE(SUBSTITUTE(SUBSTITUTE(SUBSTITUTE(SUBSTITUTE(SUBSTITUTE(LOWER(W571&amp;""),"1","0"),"2","0"),"3","0"),"4","0"),"5","0"),"6","0"),"7","0"),"8","0"),"9","0")</f>
        <v/>
      </c>
      <c r="BP571" s="61" t="str">
        <f aca="false">SUBSTITUTE(SUBSTITUTE(SUBSTITUTE(SUBSTITUTE(SUBSTITUTE(SUBSTITUTE(SUBSTITUTE(SUBSTITUTE(SUBSTITUTE(SUBSTITUTE(SUBSTITUTE(SUBSTITUTE(SUBSTITUTE(SUBSTITUTE(SUBSTITUTE(SUBSTITUTE(SUBSTITUTE(SUBSTITUTE(SUBSTITUTE(SUBSTITUTE(SUBSTITUTE(SUBSTITUTE(SUBSTITUTE(SUBSTITUTE(SUBSTITUTE(BO571,"b","a"),"c","a"),"d","a"),"e","a"),"f","a"),"g","a"),"h","a"),"i","a"),"j","a"),"k","a"),"l","a"),"m","a"),"n","a"),"o","a"),"p","a"),"q","a"),"r","a"),"s","a"),"t","a"),"u","a"),"v","a"),"w","a"),"x","a"),"y","a"),"z","a")</f>
        <v/>
      </c>
      <c r="BQ571" s="61" t="n">
        <f aca="false">IFERROR(IF(AND(ISERROR(SEARCH(" mh"," "&amp;LOWER(W571))),ISNA(MATCH(LEFT(TRIM(BP571),255),{"0000a","000a","00a","0000aa","000aa","00aa","0aa","0000aaa","000aaa","00a00","0a00","0000-0000","00:00","a00","a0","00.00.0000","00/00/0000","00-00-0000","0000-00-00","0000/00/00","0000.00.00","00.00.00","00/00/00","00-00-00","0.00.0000","0/00/0000","0-00-0000"},0)),ISNA(MATCH(LEFT(TRIM(CA571),255),{"0000a","000a","00a","0000aa","000aa","00aa","0aa","0000aaa","000aaa","00a00","0a00","0000-0000","00:00","a00","a0","00.00.0000","00/00/0000","00-00-0000","0000-00-00","0000/00/00","0000.00.00","00.00.00","00/00/00","00-00-00","0.00.0000","0/00/0000","0-00-0000"},0)),LEN(CB571)&gt;=3,NOT(OR(SUBSTITUTE(CB571,"0","")="",AND(LEN(CB571)&gt;=4,CB571=REPT(LEFT(CB571),LEN(CB571))),ISNUMBER(MATCH(CB571,{"123","1234","12345","123456","1234567","12345678","0123","01234","012345","98765","987654","54321"},0)),AND(LEN(CB571)=8,LEFT(CB571,3)="202"))),OR(AND((LEN(CA571)-LEN(SUBSTITUTE(CA571,"a","")))&gt;=1,SUMPRODUCT(--ISNUMBER(SEARCH({"a0","a-0","a_0","a/0","a.0","a#0","0a","0-a","0_a","0/a"},BP571)))&gt;0),ISNUMBER(SEARCH("000000",BP571)))),1,0),0)</f>
        <v>0</v>
      </c>
      <c r="BR571" s="61" t="n">
        <f aca="false">IFERROR(LEN(SUBSTITUTE(CC571," ",""))-SUMPRODUCT((LEN(CC571)-LEN(SUBSTITUTE(CC571," "&amp;L_Role&amp;" "," ")))/(LEN(L_Role)+1)*LEN(L_Role)),0)</f>
        <v>0</v>
      </c>
      <c r="BS571" s="61" t="n">
        <f aca="false">IFERROR(LEN(SUBSTITUTE(CD571," ",""))-SUMPRODUCT((LEN(CD571)-LEN(SUBSTITUTE(CD571," "&amp;L_Role&amp;" "," ")))/(LEN(L_Role)+1)*LEN(L_Role)),0)</f>
        <v>0</v>
      </c>
      <c r="BT5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571,"revision",""),"version",""),"jan",""),"feb",""),"mar",""),"apr",""),"may",""),"jun",""),"jul",""),"aug",""),"sep",""),"oct",""),"nov",""),"dec",""),"utc",""),"gmt",""),"myt",""),"bst",""),"rev",""),"ver",""),"b","a"),"c","a"),"d","a"),"e","a"),"f","a"),"g","a"),"h","a"),"i","a"),"j","a"),"k","a"),"l","a"),"m","a"),"n","a"),"o","a"),"p","a"),"q","a"),"r","a"),"s","a"),"t","a"),"u","a"),"v","a"),"w","a"),"x","a"),"y","a"),"z","a")</f>
        <v/>
      </c>
      <c r="BU571" s="61" t="str">
        <f aca="false">SUBSTITUTE(SUBSTITUTE(SUBSTITUTE(SUBSTITUTE(SUBSTITUTE(SUBSTITUTE(SUBSTITUTE(SUBSTITUTE(SUBSTITUTE(SUBSTITUTE(LEFT(BM571,FIND("0",BM571&amp;"0")-1),"-",""),"_",""),"/",""),".",""),"#",""),"\\",""),":","")," ",""),"(",""),")","")</f>
        <v/>
      </c>
      <c r="BV571" s="61" t="n">
        <f aca="false">IFERROR(IF(OR(SUMPRODUCT((LEN(BC571)-LEN(SUBSTITUTE(BC571," "&amp;L_NotLoaded&amp;" "," ")))/(LEN(L_NotLoaded)+1))&gt;SUMPRODUCT((LEN(BC571)-LEN(SUBSTITUTE(BC571," "&amp;L_NotLoadedNeg&amp;" "," ")))/(LEN(L_NotLoadedNeg)+1)),SUMPRODUCT((LEN(BD571)-LEN(SUBSTITUTE(BD571," "&amp;L_NotLoaded&amp;" "," ")))/(LEN(L_NotLoaded)+1))&gt;SUMPRODUCT((LEN(BD571)-LEN(SUBSTITUTE(BD571," "&amp;L_NotLoadedNeg&amp;" "," ")))/(LEN(L_NotLoadedNeg)+1))),1,0),0)</f>
        <v>0</v>
      </c>
      <c r="BW5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571&amp;""),"a",""),"b",""),"c",""),"d",""),"e",""),"f",""),"g",""),"h",""),"i",""),"j",""),"k",""),"l",""),"m",""),"n",""),"o",""),"p",""),"q",""),"r",""),"s",""),"t",""),"u",""),"v",""),"w",""),"x",""),"y",""),"z",""),"-",""),"_",""),"/",""),".",""),"#",""),"\\",""),":","")," ",""),"(",""),")","")</f>
        <v/>
      </c>
      <c r="BX571" s="61" t="str">
        <f aca="false">SUBSTITUTE(SUBSTITUTE(SUBSTITUTE(SUBSTITUTE(SUBSTITUTE(SUBSTITUTE(SUBSTITUTE(SUBSTITUTE(SUBSTITUTE(SUBSTITUTE(SUBSTITUTE(BM571,"0",""),"-",""),"_",""),"/",""),".",""),"#",""),"\\",""),":","")," ",""),"(",""),")","")</f>
        <v/>
      </c>
      <c r="BY571" s="62" t="n">
        <f aca="false">IF(ISNUMBER(Flights!$AZ$21),MAX(Q571-UpliftWindowH/24,Flights!$AZ$21),Q571-UpliftWindowH/24)</f>
        <v>46322.0347222222</v>
      </c>
      <c r="BZ571" s="61" t="n">
        <f aca="false">IFERROR(IF(IF(TRIM(S571)="Link / file path",AND(LEN(TRIM(Z571))&gt;=5,SUMPRODUCT(--ISNUMBER(SEARCH({"http","www.","\\",":\",".pdf",".jpg",".jpeg",".png",".heic",".xls",".doc",".msg",".eml",".ppt",".txt",".zip"},Z571)))&gt;0),AND(ISERROR(FIND(" ",TRIM(Z571))),NOT(OR(SUMPRODUCT(--ISNUMBER(FIND({",",";","&amp;","+"},Z571)))&gt;0,SUMPRODUCT(--ISNUMBER(SEARCH({"0/aa","0\\aa"},BN571)))&gt;0)),NOT(SUMPRODUCT(--ISNUMBER(SEARCH({"http","www.","\\",":\",".pdf",".jpg",".jpeg",".png",".heic",".xls",".doc",".msg",".eml",".ppt",".txt",".zip"},Z571)))&gt;0),NOT(LOWER(TRIM(Z571))=LOWER(Flights!$F$21)),ISNA(MATCH(BU571,{"mh","rev","revision","ver","version","v","r","a","b","seat","tray","row","gate","bay","stand","page","pg","item","line","no","cart","galley","flight","flt","table","box","bag","oven","etd","eta","std","sta","atd","ata","qty","pax","x","time","tel","ph","mob","day","wk","week","utc","gmt","myt","lt"},0)),NOT(OR(ISNUMBER(MATCH(LEFT(BN571,255),{"0000a","000a","00a","0000aa","000aa","00aa","0aa","0000aaa","000aaa","00a00","0a00","0000-0000","00:00","a00","a0","00.00.0000","00/00/0000","00-00-0000","0000-00-00","0000/00/00","0000.00.00","00.00.00","00/00/00","00-00-00","0.00.0000","0/00/0000","0-00-0000"},0)),ISNUMBER(MATCH(LEFT(BT571,255),{"0000a","000a","00a","0000aa","000aa","00aa","0aa","0000aaa","000aaa","00a00","0a00","0000-0000","00:00","a00","a0","00.00.0000","00/00/0000","00-00-0000","0000-00-00","0000/00/00","0000.00.00","00.00.00","00/00/00","00-00-00","0.00.0000","0/00/0000","0-00-0000"},0)))),NOT(OR(AND(BW571&lt;&gt;"",SUBSTITUTE(BW571,"0","")=""),AND(LEN(BW571)&gt;=4,BW571=REPT(LEFT(BW571),LEN(BW571))),ISNUMBER(MATCH(BW571,{"123","1234","12345","123456","1234567","12345678","0123","01234","012345","98765","987654","54321"},0)),ISNUMBER(MATCH(BX571,{"x","xx","xxx","xxxx","xxxxx","abc","abcd","nil","na","nan","test","tbc","tba","tbd","dummy","sample","example","eg","zz","zzz","none","null","xyz","qwe","asd","id","ref"},0)),AND(LEN(BW571)=8,BX571="",OR(LEFT(BW571,3)="202",ISNUMBER(MATCH(RIGHT(BW571,4),{"2025","2026","2027"},0)))))),OR(AND((LEN(BT571)-LEN(SUBSTITUTE(BT571,"a","")))&gt;=1,(LEN(BN571)-LEN(SUBSTITUTE(BN571,"0","")))&gt;=2,SUMPRODUCT(--ISNUMBER(SEARCH({"a0","a-0","a_0","a/0","a.0","a#0","0a","0-a","0_a","0/a"},BN571)))&gt;0),AND((LEN(BN571)-LEN(SUBSTITUTE(BN571,"a","")))=0,(LEN(BN571)-LEN(SUBSTITUTE(BN571,"0","")))&gt;=5)))),1,0),0)</f>
        <v>0</v>
      </c>
      <c r="CA5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571,"revision",""),"version",""),"jan",""),"feb",""),"mar",""),"apr",""),"may",""),"jun",""),"jul",""),"aug",""),"sep",""),"oct",""),"nov",""),"dec",""),"utc",""),"gmt",""),"myt",""),"bst",""),"rev",""),"ver",""),"b","a"),"c","a"),"d","a"),"e","a"),"f","a"),"g","a"),"h","a"),"i","a"),"j","a"),"k","a"),"l","a"),"m","a"),"n","a"),"o","a"),"p","a"),"q","a"),"r","a"),"s","a"),"t","a"),"u","a"),"v","a"),"w","a"),"x","a"),"y","a"),"z","a")</f>
        <v/>
      </c>
      <c r="CB5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571&amp;""),"a",""),"b",""),"c",""),"d",""),"e",""),"f",""),"g",""),"h",""),"i",""),"j",""),"k",""),"l",""),"m",""),"n",""),"o",""),"p",""),"q",""),"r",""),"s",""),"t",""),"u",""),"v",""),"w",""),"x",""),"y",""),"z",""),"-",""),"_",""),"/",""),".",""),"#",""),"\\",""),":","")," ",""),"(",""),")","")</f>
        <v/>
      </c>
      <c r="CC571" s="0" t="str">
        <f aca="false">" "&amp;TRIM(SUBSTITUTE(SUBSTITUTE(SUBSTITUTE(SUBSTITUTE(SUBSTITUTE(SUBSTITUTE(SUBSTITUTE(SUBSTITUTE(SUBSTITUTE(SUBSTITUTE(SUBSTITUTE(SUBSTITUTE(SUBSTITUTE(SUBSTITUTE(SUBSTITUTE(SUBSTITUTE(SUBSTITUTE(SUBSTITUTE(SUBSTITUTE(SUBSTITUTE(SUBSTITUTE(SUBSTITUTE(SUBSTITUTE(SUBSTITUTE(LOWER(T571&amp;""),CHAR(10)," "),CHAR(13)," "),CHAR(9)," "),CHAR(160)," "),"."," "),","," "),"-"," "),"/"," "),"("," "),")"," "),":"," "),";"," "),"_"," "),"–"," "),"?"," "),"!"," "),"*"," "),"["," "),"]"," "),"'"," "),"#"," "),"+"," "),"&amp;"," "),"\"," "))&amp;" "</f>
        <v>  </v>
      </c>
      <c r="CD571" s="0" t="str">
        <f aca="false">" "&amp;TRIM(SUBSTITUTE(SUBSTITUTE(SUBSTITUTE(SUBSTITUTE(SUBSTITUTE(SUBSTITUTE(SUBSTITUTE(SUBSTITUTE(SUBSTITUTE(SUBSTITUTE(SUBSTITUTE(SUBSTITUTE(SUBSTITUTE(SUBSTITUTE(SUBSTITUTE(SUBSTITUTE(SUBSTITUTE(SUBSTITUTE(SUBSTITUTE(SUBSTITUTE(SUBSTITUTE(SUBSTITUTE(SUBSTITUTE(SUBSTITUTE(LOWER(AE571&amp;""),CHAR(10)," "),CHAR(13)," "),CHAR(9)," "),CHAR(160)," "),"."," "),","," "),"-"," "),"/"," "),"("," "),")"," "),":"," "),";"," "),"_"," "),"–"," "),"?"," "),"!"," "),"*"," "),"["," "),"]"," "),"'"," "),"#"," "),"+"," "),"&amp;"," "),"\"," "))&amp;" "</f>
        <v>  </v>
      </c>
      <c r="CE571" s="68" t="n">
        <f aca="false">IFERROR(IF(AND(LEN(AU571)&gt;0,LEN(AU571)=LEN(AX571),OR(TRIM(MID(SUBSTITUTE(TRIM(CC571)," ",REPT(" ",60)),1,60))="",ISNUMBER(SEARCH(" "&amp;TRIM(MID(SUBSTITUTE(TRIM(CC571)," ",REPT(" ",60)),1,60))&amp;" ",CD571))),OR(TRIM(MID(SUBSTITUTE(TRIM(CC571)," ",REPT(" ",60)),61,60))="",ISNUMBER(SEARCH(" "&amp;TRIM(MID(SUBSTITUTE(TRIM(CC571)," ",REPT(" ",60)),61,60))&amp;" ",CD571))),OR(TRIM(MID(SUBSTITUTE(TRIM(CC571)," ",REPT(" ",60)),121,60))="",ISNUMBER(SEARCH(" "&amp;TRIM(MID(SUBSTITUTE(TRIM(CC571)," ",REPT(" ",60)),121,60))&amp;" ",CD571)))),1,0),0)</f>
        <v>0</v>
      </c>
      <c r="CG571" s="68" t="n">
        <f aca="false">IFERROR(LEN(SUBSTITUTE(BF571," ",""))-SUMPRODUCT((LEN(BF571)-LEN(SUBSTITUTE(BF571," "&amp;L_NAFiller&amp;" "," ")))/(LEN(L_NAFiller)+1)*LEN(L_NAFiller)),0)</f>
        <v>0</v>
      </c>
    </row>
    <row r="572" customFormat="false" ht="39.75" hidden="false" customHeight="true" outlineLevel="0" collapsed="false">
      <c r="A572" s="57" t="s">
        <v>1263</v>
      </c>
      <c r="B572" s="57" t="s">
        <v>290</v>
      </c>
      <c r="C572" s="57" t="str">
        <f aca="false">Flights!$F$21</f>
        <v>MH0073</v>
      </c>
      <c r="D572" s="58" t="n">
        <f aca="false">Flights!$D$21</f>
        <v>46322</v>
      </c>
      <c r="E572" s="57" t="str">
        <f aca="false">Flights!$G$21&amp;"-"&amp;Flights!$H$21</f>
        <v>HKG-KUL</v>
      </c>
      <c r="F572" s="57" t="str">
        <f aca="false">Flights!$K$21</f>
        <v>BC</v>
      </c>
      <c r="G572" s="57" t="s">
        <v>459</v>
      </c>
      <c r="H572" s="57" t="s">
        <v>460</v>
      </c>
      <c r="I572" s="57" t="s">
        <v>447</v>
      </c>
      <c r="J572" s="57" t="s">
        <v>555</v>
      </c>
      <c r="K572" s="67" t="s">
        <v>449</v>
      </c>
      <c r="L572" s="67" t="s">
        <v>1244</v>
      </c>
      <c r="M572" s="67" t="s">
        <v>451</v>
      </c>
      <c r="N572" s="67" t="s">
        <v>383</v>
      </c>
      <c r="O572" s="67"/>
      <c r="P572" s="57" t="s">
        <v>282</v>
      </c>
      <c r="Q572" s="59" t="n">
        <f aca="false">ROUND((Flights!$AF$21)*1440,0)/1440</f>
        <v>46322.2847222222</v>
      </c>
      <c r="R572" s="59" t="n">
        <f aca="false">Q572+(IF(AND(INDEX(TZ_DSTS,MATCH(P572,TZ_STN,0))&lt;&gt;"",Q572&gt;=INDEX(TZ_DSTS,MATCH(P572,TZ_STN,0)),Q572&lt;INDEX(TZ_DSTE,MATCH(P572,TZ_STN,0))),INDEX(TZ_DST,MATCH(P572,TZ_STN,0)),INDEX(TZ_STD,MATCH(P572,TZ_STN,0))))/24</f>
        <v>46322.6180555556</v>
      </c>
      <c r="S572" s="60"/>
      <c r="T572" s="60"/>
      <c r="U572" s="60"/>
      <c r="V572" s="60"/>
      <c r="W572" s="61"/>
      <c r="X572" s="60"/>
      <c r="Y572" s="60"/>
      <c r="Z572" s="60"/>
      <c r="AA572" s="60"/>
      <c r="AB572" s="60"/>
      <c r="AC572" s="60"/>
      <c r="AD572" s="66"/>
      <c r="AE572" s="60"/>
      <c r="AF572" s="61" t="str">
        <f aca="false">IF(AND(ISNUMBER(X572),ISNUMBER(Y572)),Y572-X572,"")</f>
        <v/>
      </c>
      <c r="AG572" s="62" t="str">
        <f aca="false">IF(ISNUMBER(AD572),AD572-(IF(AND(INDEX(TZ_DSTS,MATCH(P572,TZ_STN,0))&lt;&gt;"",(AD572-INDEX(TZ_STD,MATCH(P572,TZ_STN,0))/24)&gt;=INDEX(TZ_DSTS,MATCH(P572,TZ_STN,0)),(AD572-INDEX(TZ_STD,MATCH(P572,TZ_STN,0))/24)&lt;INDEX(TZ_DSTE,MATCH(P572,TZ_STN,0))),INDEX(TZ_DST,MATCH(P572,TZ_STN,0)),INDEX(TZ_STD,MATCH(P572,TZ_STN,0))))/24,"")</f>
        <v/>
      </c>
      <c r="AH572" s="65" t="str">
        <f aca="false">IFERROR(IF(N572="N/A – rule",IF(OR(TRIM(U572)="",TRIM(U572)="N/A",TRIM(U572)="Not started"),"N/A – RULE","INVALID – this check does not apply to this aircraft: clear the status (or correct the fleet on Flights)"),IF(TRIM(U572)="N/A",IF(AT572=0,"INVALID – N/A not permitted for this check",IF(AND(TRIM(AB572)&lt;&gt;"",TRIM(AB572)&lt;&gt;"Closed"),"INVALID – corrective action still open",IF(AND(NOT(OR(LEN(AZ572)&lt;15,ISNUMBER(MATCH(AZ572,L_Placeholder,0)))),BK572=0,CG572&gt;=8,NOT(OR(LEN(AU572)&lt;2,ISNUMBER(MATCH(AU572,L_Placeholder,0)))),BR572&gt;=3,NOT(OR(LEN(AX572)&lt;2,ISNUMBER(MATCH(AX572,L_Placeholder,0)))),BS572&gt;=3,TRIM(AE572)&lt;&gt;TRIM(T572),AX572&lt;&gt;AU572,CE572=0),"N/A – JUSTIFIED","INVALID – N/A needs a real, settled reason (not 'not applicable' / 'as above' / TBC), a named PIC and a different named verifier"))),IF(OR(TRIM(U572)="Pass",TRIM(U572)="Pass after CA"),IF(NOT(ISNUMBER(AD572)),"INVALID – completion time missing",IF(OR(OR(LEN(AU572)&lt;2,ISNUMBER(MATCH(AU572,L_Placeholder,0))),BR572&lt;3),"INVALID – PIC missing or not a named person (a role such as QA / CSM is not a name)",IF(OR(LEN(AV572)&lt;2,ISNUMBER(MATCH(AV572,L_Placeholder,0))),"INVALID – result / assessment missing",IF(OR(OR(LEN(AW572)&lt;3,ISNUMBER(MATCH(AW572,L_Placeholder,0))),SUMPRODUCT(--ISNUMBER(SEARCH(" "&amp;L_EvidencePhrase&amp;" ",BD572)))&gt;0,BI572=1),"INVALID – evidence missing, placeholder or not yet on file",IF(ISNA(MATCH(TRIM(S572),L_EvidenceType,0)),"INVALID – choose the evidence type from the list (column S)",IF(BL572=0,"INVALID – evidence ID must be the record's own ID only (e.g. SF-2210, IMG_2231, 1045521); a link / file name needs type 'Link / file path'",IF(OR(OR(LEN(AX572)&lt;2,ISNUMBER(MATCH(AX572,L_Placeholder,0))),BS572&lt;3),"INVALID – verifier missing or not a named person (a role such as QA / CSM is not a name)",IF(OR(AX572=AU572,CE572=1,AND(LEN(AU572)&gt;=4,ISNUMBER(SEARCH(AU572,AX572))),AND(LEN(AX572)&gt;=4,ISNUMBER(SEARCH(AX572,AU572)))),"INVALID – verifier must be a different, named person (not the PIC or a role)",IF(BH572=1,"INVALID – result not yet available (awaiting / TBC)",IF(BG572=1,"INVALID – result describes a problem: record Fail, then Pass after CA (or reword if it is not a problem)",IF(BV572=1,"INVALID – wording says not on board: an on-board confirmation needs the item loaded",IF(AND(AQ572=1,OR(OR(LEN(AY572)&lt;3,ISNUMBER(MATCH(AY572,L_Placeholder,0))),BJ572=1,BQ572=0)),"INVALID – batch ID missing, placeholder or not an ID (e.g. PASB-261008-BC-017)",IF(AND(AR572=1,OR(NOT(ISNUMBER(X572)),NOT(ISNUMBER(Y572)))),"INVALID – expected/actual qty missing",IF(AND(AR572=1,OR(X572&lt;=0,Y572&lt;0)),"INVALID – expected qty must be above 0 and actual not negative",IF(AH558="N/A – JUSTIFIED","INVALID – preparation row F17-T12-17 is N/A",IF(AND(AR572=1,ISNUMBER(X558),X572&lt;&gt;X558,TRIM(U572)&lt;&gt;"Pass after CA"),"INVALID – expected qty differs from preparation check F17-T12-17: record the load change as a corrective action (Pass after CA)",IF(BB572&lt;&gt;"",BB572,IF(AND(AS572=1,Documents!$J$21&lt;&gt;"ON FILE"),"INVALID – GLD not on file (Documents sheet)",IF(AND(AS572=2,Documents!$O$21&lt;&gt;"ON FILE"),"INVALID – menu checklist not on file (Documents sheet)",IF(AND(AS572=3,NOT(ISNUMBER(Flights!$AX$21))),"INVALID – enter carrying flight KUL departure (Flights AX)",IF(AND(AS572=3,OR(Flights!$AZ$21&gt;Flights!$AA$21,Flights!$AX$21&lt;Flights!$AA$21-3)),"INVALID – carrying flight (Flights AX) cannot arrive before this leg's STD, or is over 3 days early",IF(AG572&gt;AsOfUTC,"INVALID – completion time is in the future",IF(AND(ISNUMBER(BY572),AG572&lt;BY572),IF(H572="Physical uplift","INVALID – before uplift window (cannot confirm loading)","INVALID – before valid window"),IF(AG572&gt;Flights!$AA$21,"INVALID – completed after departure (cannot establish readiness)",IF(AND(H572="Preparation",AG572&gt;=IF(ISNUMBER(Flights!$BA$21),MIN(Flights!$BA$21,Flights!$AA$21),Flights!$AA$21)),"INVALID – completed after loading / departure (cannot establish readiness)",IF(AND(H572="Physical uplift",AG572&gt;Q572),"INVALID – recorded after the loading flight departed",IF(AG572&gt;Q572,"COMPLETE – LATE","COMPLETE"))))))))))))))))))))))))))),IF(TRIM(U572)="Fail","FAIL – DISCREPANCY",IF(AND(TRIM(U572)&lt;&gt;"",TRIM(U572)&lt;&gt;"Not started",TRIM(U572)&lt;&gt;"In progress"),"INVALID – unrecognised status (use the list)",IF(AsOfUTC&gt;Q572,"OVERDUE",IF(N572="Clarification required","OPEN – CLARIFICATION","OPEN"))))))),"INVALID – error value in an input cell")</f>
        <v>OPEN</v>
      </c>
      <c r="AI572" s="61" t="n">
        <f aca="false">IF(OR(AH572="N/A – RULE",AH572="N/A – JUSTIFIED"),0,1)</f>
        <v>1</v>
      </c>
      <c r="AJ572" s="61" t="n">
        <f aca="false">IF(LEFT(AH572,8)="COMPLETE",1,0)</f>
        <v>0</v>
      </c>
      <c r="AK572" s="61" t="n">
        <f aca="false">IF(AND(AI572=1,AJ572=0,AsOfUTC&gt;Q572),1,0)</f>
        <v>0</v>
      </c>
      <c r="AL572" s="61" t="n">
        <f aca="false">IFERROR(IF(AND(AI572=1,OR(TRIM(U572)="Fail",AND(TRIM(AB572)&lt;&gt;"",TRIM(AB572)&lt;&gt;"Closed"),AND(ISNUMBER(AF572),AF572&lt;&gt;0,TRIM(U572)&lt;&gt;"Pass after CA"))),1,0),1)</f>
        <v>0</v>
      </c>
      <c r="AM572" s="61" t="n">
        <f aca="false">IF(LEFT(AH572,7)="INVALID",1,0)</f>
        <v>0</v>
      </c>
      <c r="AN572" s="61" t="n">
        <f aca="false">IF(AND(N572="Clarification required",AI572=1,AJ572=0),1,0)</f>
        <v>0</v>
      </c>
      <c r="AO572" s="61" t="str">
        <f aca="false">IF(AK572=1,SUM(AK$5:AK572),"")</f>
        <v/>
      </c>
      <c r="AP572" s="61" t="str">
        <f aca="false">IF(AL572=1,SUM(AL$5:AL572),"")</f>
        <v/>
      </c>
      <c r="AQ572" s="61" t="n">
        <v>0</v>
      </c>
      <c r="AR572" s="61" t="n">
        <v>0</v>
      </c>
      <c r="AS572" s="61" t="n">
        <v>0</v>
      </c>
      <c r="AT572" s="61" t="n">
        <v>0</v>
      </c>
      <c r="AU572" s="61" t="str">
        <f aca="false">SUBSTITUTE(SUBSTITUTE(SUBSTITUTE(SUBSTITUTE(SUBSTITUTE(SUBSTITUTE(SUBSTITUTE(SUBSTITUTE(SUBSTITUTE(SUBSTITUTE(SUBSTITUTE(SUBSTITUTE(SUBSTITUTE(SUBSTITUTE(SUBSTITUTE(SUBSTITUTE(LOWER(T572&amp;""),CHAR(10),""),CHAR(13),""),CHAR(9),""),CHAR(160),"")," ",""),".",""),"-",""),"/",""),"?",""),"_",""),",",""),"[",""),"]",""),"(",""),")",""),"*","")</f>
        <v/>
      </c>
      <c r="AV572" s="61" t="str">
        <f aca="false">SUBSTITUTE(SUBSTITUTE(SUBSTITUTE(SUBSTITUTE(SUBSTITUTE(SUBSTITUTE(SUBSTITUTE(SUBSTITUTE(SUBSTITUTE(SUBSTITUTE(SUBSTITUTE(SUBSTITUTE(SUBSTITUTE(SUBSTITUTE(SUBSTITUTE(SUBSTITUTE(LOWER(V572&amp;""),CHAR(10),""),CHAR(13),""),CHAR(9),""),CHAR(160),"")," ",""),".",""),"-",""),"/",""),"?",""),"_",""),",",""),"[",""),"]",""),"(",""),")",""),"*","")</f>
        <v/>
      </c>
      <c r="AW572" s="61" t="str">
        <f aca="false">SUBSTITUTE(SUBSTITUTE(SUBSTITUTE(SUBSTITUTE(SUBSTITUTE(SUBSTITUTE(SUBSTITUTE(SUBSTITUTE(SUBSTITUTE(SUBSTITUTE(SUBSTITUTE(SUBSTITUTE(SUBSTITUTE(SUBSTITUTE(SUBSTITUTE(SUBSTITUTE(LOWER(Z572&amp;""),CHAR(10),""),CHAR(13),""),CHAR(9),""),CHAR(160),"")," ",""),".",""),"-",""),"/",""),"?",""),"_",""),",",""),"[",""),"]",""),"(",""),")",""),"*","")</f>
        <v/>
      </c>
      <c r="AX572" s="61" t="str">
        <f aca="false">SUBSTITUTE(SUBSTITUTE(SUBSTITUTE(SUBSTITUTE(SUBSTITUTE(SUBSTITUTE(SUBSTITUTE(SUBSTITUTE(SUBSTITUTE(SUBSTITUTE(SUBSTITUTE(SUBSTITUTE(SUBSTITUTE(SUBSTITUTE(SUBSTITUTE(SUBSTITUTE(LOWER(AE572&amp;""),CHAR(10),""),CHAR(13),""),CHAR(9),""),CHAR(160),"")," ",""),".",""),"-",""),"/",""),"?",""),"_",""),",",""),"[",""),"]",""),"(",""),")",""),"*","")</f>
        <v/>
      </c>
      <c r="AY572" s="61" t="str">
        <f aca="false">SUBSTITUTE(SUBSTITUTE(SUBSTITUTE(SUBSTITUTE(SUBSTITUTE(SUBSTITUTE(SUBSTITUTE(SUBSTITUTE(SUBSTITUTE(SUBSTITUTE(SUBSTITUTE(SUBSTITUTE(SUBSTITUTE(SUBSTITUTE(SUBSTITUTE(SUBSTITUTE(LOWER(W572&amp;""),CHAR(10),""),CHAR(13),""),CHAR(9),""),CHAR(160),"")," ",""),".",""),"-",""),"/",""),"?",""),"_",""),",",""),"[",""),"]",""),"(",""),")",""),"*","")</f>
        <v/>
      </c>
      <c r="AZ572" s="61" t="str">
        <f aca="false">SUBSTITUTE(SUBSTITUTE(SUBSTITUTE(SUBSTITUTE(SUBSTITUTE(SUBSTITUTE(SUBSTITUTE(SUBSTITUTE(SUBSTITUTE(SUBSTITUTE(SUBSTITUTE(SUBSTITUTE(SUBSTITUTE(SUBSTITUTE(SUBSTITUTE(SUBSTITUTE(LOWER(AC572&amp;""),CHAR(10),""),CHAR(13),""),CHAR(9),""),CHAR(160),"")," ",""),".",""),"-",""),"/",""),"?",""),"_",""),",",""),"[",""),"]",""),"(",""),")",""),"*","")</f>
        <v/>
      </c>
      <c r="BA572" s="61" t="str">
        <f aca="false">SUBSTITUTE(SUBSTITUTE(SUBSTITUTE(SUBSTITUTE(SUBSTITUTE(SUBSTITUTE(SUBSTITUTE(SUBSTITUTE(SUBSTITUTE(SUBSTITUTE(SUBSTITUTE(SUBSTITUTE(SUBSTITUTE(SUBSTITUTE(SUBSTITUTE(SUBSTITUTE(LOWER(AA572&amp;""),CHAR(10),""),CHAR(13),""),CHAR(9),""),CHAR(160),"")," ",""),".",""),"-",""),"/",""),"?",""),"_",""),",",""),"[",""),"]",""),"(",""),")",""),"*","")</f>
        <v/>
      </c>
      <c r="BB572" s="61" t="str">
        <f aca="false">IF(AND(TRIM(U572)="Pass",ISNUMBER(AF572)),IF(AF572&lt;&gt;0,"INVALID – qty variance: use Fail or Pass after CA",""),"")&amp;IF(AND(TRIM(U572)="Pass after CA",ISNUMBER(AF572)),IF(AF572&lt;&gt;0,"INVALID – after the corrective action the actual qty must equal expected (update Actual)",""),"")&amp;IF(AND(TRIM(U572)="Pass",TRIM(AB572)&lt;&gt;"",TRIM(AB572)&lt;&gt;"Closed"),"INVALID – corrective action not closed: use Fail, then Pass after CA","")&amp;IF(AND(LEN(BA572)&gt;=2,ISNA(MATCH(LEFT(BA572,255),L_Placeholder,0)),TRIM(AB572)=""),"INVALID – CA status missing for the recorded corrective action","")&amp;IF(AND(TRIM(U572)="Pass after CA",OR(OR(LEN(BA572)&lt;5,ISNUMBER(MATCH(BA572,L_Placeholder,0))),TRIM(AB572)&lt;&gt;"Closed")),"INVALID – corrective action not recorded/closed","")</f>
        <v/>
      </c>
      <c r="BC572" s="61" t="str">
        <f aca="false">" "&amp;TRIM(SUBSTITUTE(SUBSTITUTE(SUBSTITUTE(SUBSTITUTE(SUBSTITUTE(SUBSTITUTE(SUBSTITUTE(SUBSTITUTE(SUBSTITUTE(SUBSTITUTE(SUBSTITUTE(SUBSTITUTE(SUBSTITUTE(SUBSTITUTE(SUBSTITUTE(SUBSTITUTE(SUBSTITUTE(SUBSTITUTE(SUBSTITUTE(SUBSTITUTE(SUBSTITUTE(SUBSTITUTE(SUBSTITUTE(SUBSTITUTE(LOWER(V572&amp;""),CHAR(10)," "),CHAR(13)," "),CHAR(9)," "),CHAR(160)," "),"."," "),","," "),"-"," "),"/"," "),"("," "),")"," "),":"," "),";"," "),"_"," "),"–"," "),"?"," "),"!"," "),"*"," "),"["," "),"]"," "),"'"," "),"#"," "),"+"," "),"&amp;"," "),"\"," "))&amp;" "</f>
        <v>  </v>
      </c>
      <c r="BD572" s="61" t="str">
        <f aca="false">" "&amp;TRIM(SUBSTITUTE(SUBSTITUTE(SUBSTITUTE(SUBSTITUTE(SUBSTITUTE(SUBSTITUTE(SUBSTITUTE(SUBSTITUTE(SUBSTITUTE(SUBSTITUTE(SUBSTITUTE(SUBSTITUTE(SUBSTITUTE(SUBSTITUTE(SUBSTITUTE(SUBSTITUTE(SUBSTITUTE(SUBSTITUTE(SUBSTITUTE(SUBSTITUTE(SUBSTITUTE(SUBSTITUTE(SUBSTITUTE(SUBSTITUTE(LOWER(Z572&amp;""),CHAR(10)," "),CHAR(13)," "),CHAR(9)," "),CHAR(160)," "),"."," "),","," "),"-"," "),"/"," "),"("," "),")"," "),":"," "),";"," "),"_"," "),"–"," "),"?"," "),"!"," "),"*"," "),"["," "),"]"," "),"'"," "),"#"," "),"+"," "),"&amp;"," "),"\"," "))&amp;" "</f>
        <v>  </v>
      </c>
      <c r="BE572" s="61" t="str">
        <f aca="false">" "&amp;TRIM(SUBSTITUTE(SUBSTITUTE(SUBSTITUTE(SUBSTITUTE(SUBSTITUTE(SUBSTITUTE(SUBSTITUTE(SUBSTITUTE(SUBSTITUTE(SUBSTITUTE(SUBSTITUTE(SUBSTITUTE(SUBSTITUTE(SUBSTITUTE(SUBSTITUTE(SUBSTITUTE(SUBSTITUTE(SUBSTITUTE(SUBSTITUTE(SUBSTITUTE(SUBSTITUTE(SUBSTITUTE(SUBSTITUTE(SUBSTITUTE(LOWER(W572&amp;""),CHAR(10)," "),CHAR(13)," "),CHAR(9)," "),CHAR(160)," "),"."," "),","," "),"-"," "),"/"," "),"("," "),")"," "),":"," "),";"," "),"_"," "),"–"," "),"?"," "),"!"," "),"*"," "),"["," "),"]"," "),"'"," "),"#"," "),"+"," "),"&amp;"," "),"\"," "))&amp;" "</f>
        <v>  </v>
      </c>
      <c r="BF572" s="61" t="str">
        <f aca="false">" "&amp;TRIM(SUBSTITUTE(SUBSTITUTE(SUBSTITUTE(SUBSTITUTE(SUBSTITUTE(SUBSTITUTE(SUBSTITUTE(SUBSTITUTE(SUBSTITUTE(SUBSTITUTE(SUBSTITUTE(SUBSTITUTE(SUBSTITUTE(SUBSTITUTE(SUBSTITUTE(SUBSTITUTE(SUBSTITUTE(SUBSTITUTE(SUBSTITUTE(SUBSTITUTE(SUBSTITUTE(SUBSTITUTE(SUBSTITUTE(SUBSTITUTE(LOWER(AC572&amp;""),CHAR(10)," "),CHAR(13)," "),CHAR(9)," "),CHAR(160)," "),"."," "),","," "),"-"," "),"/"," "),"("," "),")"," "),":"," "),";"," "),"_"," "),"–"," "),"?"," "),"!"," "),"*"," "),"["," "),"]"," "),"'"," "),"#"," "),"+"," "),"&amp;"," "),"\"," "))&amp;" "</f>
        <v>  </v>
      </c>
      <c r="BG572" s="61" t="n">
        <f aca="false">IFERROR(IF(AND(TRIM(U572)="Pass",SUMPRODUCT((LEN(BC572)-LEN(SUBSTITUTE(BC572," "&amp;L_ResultBad&amp;" "," ")))/(LEN(L_ResultBad)+1))&gt;SUMPRODUCT((LEN(BC572)-LEN(SUBSTITUTE(BC572," "&amp;L_NegPhrase&amp;" "," ")))/(LEN(L_NegPhrase)+1))),1,0),0)</f>
        <v>0</v>
      </c>
      <c r="BH572" s="61" t="n">
        <f aca="false">IFERROR(IF(SUMPRODUCT((LEN(BC572)-LEN(SUBSTITUTE(BC572," "&amp;L_Pending&amp;" "," ")))/(LEN(L_Pending)+1))&gt;SUMPRODUCT((LEN(BC572)-LEN(SUBSTITUTE(BC572," "&amp;L_PendNeg&amp;" "," ")))/(LEN(L_PendNeg)+1)),1,0),1)</f>
        <v>0</v>
      </c>
      <c r="BI572" s="61" t="n">
        <f aca="false">IFERROR(IF(SUMPRODUCT((LEN(BD572)-LEN(SUBSTITUTE(BD572," "&amp;L_PendStrict&amp;" "," ")))/(LEN(L_PendStrict)+1))&gt;SUMPRODUCT((LEN(BD572)-LEN(SUBSTITUTE(BD572," "&amp;L_PendNeg&amp;" "," ")))/(LEN(L_PendNeg)+1)),1,0),1)</f>
        <v>0</v>
      </c>
      <c r="BJ572" s="61" t="n">
        <f aca="false">IFERROR(IF(SUMPRODUCT((LEN(BE572)-LEN(SUBSTITUTE(BE572," "&amp;L_Pending&amp;" "," ")))/(LEN(L_Pending)+1))&gt;SUMPRODUCT((LEN(BE572)-LEN(SUBSTITUTE(BE572," "&amp;L_PendNeg&amp;" "," ")))/(LEN(L_PendNeg)+1)),1,0),1)</f>
        <v>0</v>
      </c>
      <c r="BK572" s="61" t="n">
        <f aca="false">IFERROR(IF(SUMPRODUCT((LEN(BF572)-LEN(SUBSTITUTE(BF572," "&amp;L_PendStrict&amp;" "," ")))/(LEN(L_PendStrict)+1))&gt;SUMPRODUCT((LEN(BF572)-LEN(SUBSTITUTE(BF572," "&amp;L_PendNeg&amp;" "," ")))/(LEN(L_PendNeg)+1)),1,0),1)</f>
        <v>0</v>
      </c>
      <c r="BL572" s="61" t="n">
        <f aca="false">IF(ISNA(MATCH(TRIM(S572),L_EvidenceType,0)),0,BZ572)</f>
        <v>0</v>
      </c>
      <c r="BM572" s="61" t="str">
        <f aca="false">SUBSTITUTE(SUBSTITUTE(SUBSTITUTE(SUBSTITUTE(SUBSTITUTE(SUBSTITUTE(SUBSTITUTE(SUBSTITUTE(SUBSTITUTE(LOWER(Z572&amp;""),"1","0"),"2","0"),"3","0"),"4","0"),"5","0"),"6","0"),"7","0"),"8","0"),"9","0")</f>
        <v/>
      </c>
      <c r="BN572" s="61" t="str">
        <f aca="false">SUBSTITUTE(SUBSTITUTE(SUBSTITUTE(SUBSTITUTE(SUBSTITUTE(SUBSTITUTE(SUBSTITUTE(SUBSTITUTE(SUBSTITUTE(SUBSTITUTE(SUBSTITUTE(SUBSTITUTE(SUBSTITUTE(SUBSTITUTE(SUBSTITUTE(SUBSTITUTE(SUBSTITUTE(SUBSTITUTE(SUBSTITUTE(SUBSTITUTE(SUBSTITUTE(SUBSTITUTE(SUBSTITUTE(SUBSTITUTE(SUBSTITUTE(BM572,"b","a"),"c","a"),"d","a"),"e","a"),"f","a"),"g","a"),"h","a"),"i","a"),"j","a"),"k","a"),"l","a"),"m","a"),"n","a"),"o","a"),"p","a"),"q","a"),"r","a"),"s","a"),"t","a"),"u","a"),"v","a"),"w","a"),"x","a"),"y","a"),"z","a")</f>
        <v/>
      </c>
      <c r="BO572" s="61" t="str">
        <f aca="false">SUBSTITUTE(SUBSTITUTE(SUBSTITUTE(SUBSTITUTE(SUBSTITUTE(SUBSTITUTE(SUBSTITUTE(SUBSTITUTE(SUBSTITUTE(LOWER(W572&amp;""),"1","0"),"2","0"),"3","0"),"4","0"),"5","0"),"6","0"),"7","0"),"8","0"),"9","0")</f>
        <v/>
      </c>
      <c r="BP572" s="61" t="str">
        <f aca="false">SUBSTITUTE(SUBSTITUTE(SUBSTITUTE(SUBSTITUTE(SUBSTITUTE(SUBSTITUTE(SUBSTITUTE(SUBSTITUTE(SUBSTITUTE(SUBSTITUTE(SUBSTITUTE(SUBSTITUTE(SUBSTITUTE(SUBSTITUTE(SUBSTITUTE(SUBSTITUTE(SUBSTITUTE(SUBSTITUTE(SUBSTITUTE(SUBSTITUTE(SUBSTITUTE(SUBSTITUTE(SUBSTITUTE(SUBSTITUTE(SUBSTITUTE(BO572,"b","a"),"c","a"),"d","a"),"e","a"),"f","a"),"g","a"),"h","a"),"i","a"),"j","a"),"k","a"),"l","a"),"m","a"),"n","a"),"o","a"),"p","a"),"q","a"),"r","a"),"s","a"),"t","a"),"u","a"),"v","a"),"w","a"),"x","a"),"y","a"),"z","a")</f>
        <v/>
      </c>
      <c r="BQ572" s="61" t="n">
        <f aca="false">IFERROR(IF(AND(ISERROR(SEARCH(" mh"," "&amp;LOWER(W572))),ISNA(MATCH(LEFT(TRIM(BP572),255),{"0000a","000a","00a","0000aa","000aa","00aa","0aa","0000aaa","000aaa","00a00","0a00","0000-0000","00:00","a00","a0","00.00.0000","00/00/0000","00-00-0000","0000-00-00","0000/00/00","0000.00.00","00.00.00","00/00/00","00-00-00","0.00.0000","0/00/0000","0-00-0000"},0)),ISNA(MATCH(LEFT(TRIM(CA572),255),{"0000a","000a","00a","0000aa","000aa","00aa","0aa","0000aaa","000aaa","00a00","0a00","0000-0000","00:00","a00","a0","00.00.0000","00/00/0000","00-00-0000","0000-00-00","0000/00/00","0000.00.00","00.00.00","00/00/00","00-00-00","0.00.0000","0/00/0000","0-00-0000"},0)),LEN(CB572)&gt;=3,NOT(OR(SUBSTITUTE(CB572,"0","")="",AND(LEN(CB572)&gt;=4,CB572=REPT(LEFT(CB572),LEN(CB572))),ISNUMBER(MATCH(CB572,{"123","1234","12345","123456","1234567","12345678","0123","01234","012345","98765","987654","54321"},0)),AND(LEN(CB572)=8,LEFT(CB572,3)="202"))),OR(AND((LEN(CA572)-LEN(SUBSTITUTE(CA572,"a","")))&gt;=1,SUMPRODUCT(--ISNUMBER(SEARCH({"a0","a-0","a_0","a/0","a.0","a#0","0a","0-a","0_a","0/a"},BP572)))&gt;0),ISNUMBER(SEARCH("000000",BP572)))),1,0),0)</f>
        <v>0</v>
      </c>
      <c r="BR572" s="61" t="n">
        <f aca="false">IFERROR(LEN(SUBSTITUTE(CC572," ",""))-SUMPRODUCT((LEN(CC572)-LEN(SUBSTITUTE(CC572," "&amp;L_Role&amp;" "," ")))/(LEN(L_Role)+1)*LEN(L_Role)),0)</f>
        <v>0</v>
      </c>
      <c r="BS572" s="61" t="n">
        <f aca="false">IFERROR(LEN(SUBSTITUTE(CD572," ",""))-SUMPRODUCT((LEN(CD572)-LEN(SUBSTITUTE(CD572," "&amp;L_Role&amp;" "," ")))/(LEN(L_Role)+1)*LEN(L_Role)),0)</f>
        <v>0</v>
      </c>
      <c r="BT5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572,"revision",""),"version",""),"jan",""),"feb",""),"mar",""),"apr",""),"may",""),"jun",""),"jul",""),"aug",""),"sep",""),"oct",""),"nov",""),"dec",""),"utc",""),"gmt",""),"myt",""),"bst",""),"rev",""),"ver",""),"b","a"),"c","a"),"d","a"),"e","a"),"f","a"),"g","a"),"h","a"),"i","a"),"j","a"),"k","a"),"l","a"),"m","a"),"n","a"),"o","a"),"p","a"),"q","a"),"r","a"),"s","a"),"t","a"),"u","a"),"v","a"),"w","a"),"x","a"),"y","a"),"z","a")</f>
        <v/>
      </c>
      <c r="BU572" s="61" t="str">
        <f aca="false">SUBSTITUTE(SUBSTITUTE(SUBSTITUTE(SUBSTITUTE(SUBSTITUTE(SUBSTITUTE(SUBSTITUTE(SUBSTITUTE(SUBSTITUTE(SUBSTITUTE(LEFT(BM572,FIND("0",BM572&amp;"0")-1),"-",""),"_",""),"/",""),".",""),"#",""),"\\",""),":","")," ",""),"(",""),")","")</f>
        <v/>
      </c>
      <c r="BV572" s="61" t="n">
        <f aca="false">IFERROR(IF(OR(SUMPRODUCT((LEN(BC572)-LEN(SUBSTITUTE(BC572," "&amp;L_NotLoaded&amp;" "," ")))/(LEN(L_NotLoaded)+1))&gt;SUMPRODUCT((LEN(BC572)-LEN(SUBSTITUTE(BC572," "&amp;L_NotLoadedNeg&amp;" "," ")))/(LEN(L_NotLoadedNeg)+1)),SUMPRODUCT((LEN(BD572)-LEN(SUBSTITUTE(BD572," "&amp;L_NotLoaded&amp;" "," ")))/(LEN(L_NotLoaded)+1))&gt;SUMPRODUCT((LEN(BD572)-LEN(SUBSTITUTE(BD572," "&amp;L_NotLoadedNeg&amp;" "," ")))/(LEN(L_NotLoadedNeg)+1))),1,0),0)</f>
        <v>0</v>
      </c>
      <c r="BW5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572&amp;""),"a",""),"b",""),"c",""),"d",""),"e",""),"f",""),"g",""),"h",""),"i",""),"j",""),"k",""),"l",""),"m",""),"n",""),"o",""),"p",""),"q",""),"r",""),"s",""),"t",""),"u",""),"v",""),"w",""),"x",""),"y",""),"z",""),"-",""),"_",""),"/",""),".",""),"#",""),"\\",""),":","")," ",""),"(",""),")","")</f>
        <v/>
      </c>
      <c r="BX572" s="61" t="str">
        <f aca="false">SUBSTITUTE(SUBSTITUTE(SUBSTITUTE(SUBSTITUTE(SUBSTITUTE(SUBSTITUTE(SUBSTITUTE(SUBSTITUTE(SUBSTITUTE(SUBSTITUTE(SUBSTITUTE(BM572,"0",""),"-",""),"_",""),"/",""),".",""),"#",""),"\\",""),":","")," ",""),"(",""),")","")</f>
        <v/>
      </c>
      <c r="BY572" s="62" t="n">
        <f aca="false">IF(ISNUMBER(Flights!$AZ$21),MAX(Q572-UpliftWindowH/24,Flights!$AZ$21),Q572-UpliftWindowH/24)</f>
        <v>46322.0347222222</v>
      </c>
      <c r="BZ572" s="61" t="n">
        <f aca="false">IFERROR(IF(IF(TRIM(S572)="Link / file path",AND(LEN(TRIM(Z572))&gt;=5,SUMPRODUCT(--ISNUMBER(SEARCH({"http","www.","\\",":\",".pdf",".jpg",".jpeg",".png",".heic",".xls",".doc",".msg",".eml",".ppt",".txt",".zip"},Z572)))&gt;0),AND(ISERROR(FIND(" ",TRIM(Z572))),NOT(OR(SUMPRODUCT(--ISNUMBER(FIND({",",";","&amp;","+"},Z572)))&gt;0,SUMPRODUCT(--ISNUMBER(SEARCH({"0/aa","0\\aa"},BN572)))&gt;0)),NOT(SUMPRODUCT(--ISNUMBER(SEARCH({"http","www.","\\",":\",".pdf",".jpg",".jpeg",".png",".heic",".xls",".doc",".msg",".eml",".ppt",".txt",".zip"},Z572)))&gt;0),NOT(LOWER(TRIM(Z572))=LOWER(Flights!$F$21)),ISNA(MATCH(BU572,{"mh","rev","revision","ver","version","v","r","a","b","seat","tray","row","gate","bay","stand","page","pg","item","line","no","cart","galley","flight","flt","table","box","bag","oven","etd","eta","std","sta","atd","ata","qty","pax","x","time","tel","ph","mob","day","wk","week","utc","gmt","myt","lt"},0)),NOT(OR(ISNUMBER(MATCH(LEFT(BN572,255),{"0000a","000a","00a","0000aa","000aa","00aa","0aa","0000aaa","000aaa","00a00","0a00","0000-0000","00:00","a00","a0","00.00.0000","00/00/0000","00-00-0000","0000-00-00","0000/00/00","0000.00.00","00.00.00","00/00/00","00-00-00","0.00.0000","0/00/0000","0-00-0000"},0)),ISNUMBER(MATCH(LEFT(BT572,255),{"0000a","000a","00a","0000aa","000aa","00aa","0aa","0000aaa","000aaa","00a00","0a00","0000-0000","00:00","a00","a0","00.00.0000","00/00/0000","00-00-0000","0000-00-00","0000/00/00","0000.00.00","00.00.00","00/00/00","00-00-00","0.00.0000","0/00/0000","0-00-0000"},0)))),NOT(OR(AND(BW572&lt;&gt;"",SUBSTITUTE(BW572,"0","")=""),AND(LEN(BW572)&gt;=4,BW572=REPT(LEFT(BW572),LEN(BW572))),ISNUMBER(MATCH(BW572,{"123","1234","12345","123456","1234567","12345678","0123","01234","012345","98765","987654","54321"},0)),ISNUMBER(MATCH(BX572,{"x","xx","xxx","xxxx","xxxxx","abc","abcd","nil","na","nan","test","tbc","tba","tbd","dummy","sample","example","eg","zz","zzz","none","null","xyz","qwe","asd","id","ref"},0)),AND(LEN(BW572)=8,BX572="",OR(LEFT(BW572,3)="202",ISNUMBER(MATCH(RIGHT(BW572,4),{"2025","2026","2027"},0)))))),OR(AND((LEN(BT572)-LEN(SUBSTITUTE(BT572,"a","")))&gt;=1,(LEN(BN572)-LEN(SUBSTITUTE(BN572,"0","")))&gt;=2,SUMPRODUCT(--ISNUMBER(SEARCH({"a0","a-0","a_0","a/0","a.0","a#0","0a","0-a","0_a","0/a"},BN572)))&gt;0),AND((LEN(BN572)-LEN(SUBSTITUTE(BN572,"a","")))=0,(LEN(BN572)-LEN(SUBSTITUTE(BN572,"0","")))&gt;=5)))),1,0),0)</f>
        <v>0</v>
      </c>
      <c r="CA5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572,"revision",""),"version",""),"jan",""),"feb",""),"mar",""),"apr",""),"may",""),"jun",""),"jul",""),"aug",""),"sep",""),"oct",""),"nov",""),"dec",""),"utc",""),"gmt",""),"myt",""),"bst",""),"rev",""),"ver",""),"b","a"),"c","a"),"d","a"),"e","a"),"f","a"),"g","a"),"h","a"),"i","a"),"j","a"),"k","a"),"l","a"),"m","a"),"n","a"),"o","a"),"p","a"),"q","a"),"r","a"),"s","a"),"t","a"),"u","a"),"v","a"),"w","a"),"x","a"),"y","a"),"z","a")</f>
        <v/>
      </c>
      <c r="CB5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572&amp;""),"a",""),"b",""),"c",""),"d",""),"e",""),"f",""),"g",""),"h",""),"i",""),"j",""),"k",""),"l",""),"m",""),"n",""),"o",""),"p",""),"q",""),"r",""),"s",""),"t",""),"u",""),"v",""),"w",""),"x",""),"y",""),"z",""),"-",""),"_",""),"/",""),".",""),"#",""),"\\",""),":","")," ",""),"(",""),")","")</f>
        <v/>
      </c>
      <c r="CC572" s="0" t="str">
        <f aca="false">" "&amp;TRIM(SUBSTITUTE(SUBSTITUTE(SUBSTITUTE(SUBSTITUTE(SUBSTITUTE(SUBSTITUTE(SUBSTITUTE(SUBSTITUTE(SUBSTITUTE(SUBSTITUTE(SUBSTITUTE(SUBSTITUTE(SUBSTITUTE(SUBSTITUTE(SUBSTITUTE(SUBSTITUTE(SUBSTITUTE(SUBSTITUTE(SUBSTITUTE(SUBSTITUTE(SUBSTITUTE(SUBSTITUTE(SUBSTITUTE(SUBSTITUTE(LOWER(T572&amp;""),CHAR(10)," "),CHAR(13)," "),CHAR(9)," "),CHAR(160)," "),"."," "),","," "),"-"," "),"/"," "),"("," "),")"," "),":"," "),";"," "),"_"," "),"–"," "),"?"," "),"!"," "),"*"," "),"["," "),"]"," "),"'"," "),"#"," "),"+"," "),"&amp;"," "),"\"," "))&amp;" "</f>
        <v>  </v>
      </c>
      <c r="CD572" s="0" t="str">
        <f aca="false">" "&amp;TRIM(SUBSTITUTE(SUBSTITUTE(SUBSTITUTE(SUBSTITUTE(SUBSTITUTE(SUBSTITUTE(SUBSTITUTE(SUBSTITUTE(SUBSTITUTE(SUBSTITUTE(SUBSTITUTE(SUBSTITUTE(SUBSTITUTE(SUBSTITUTE(SUBSTITUTE(SUBSTITUTE(SUBSTITUTE(SUBSTITUTE(SUBSTITUTE(SUBSTITUTE(SUBSTITUTE(SUBSTITUTE(SUBSTITUTE(SUBSTITUTE(LOWER(AE572&amp;""),CHAR(10)," "),CHAR(13)," "),CHAR(9)," "),CHAR(160)," "),"."," "),","," "),"-"," "),"/"," "),"("," "),")"," "),":"," "),";"," "),"_"," "),"–"," "),"?"," "),"!"," "),"*"," "),"["," "),"]"," "),"'"," "),"#"," "),"+"," "),"&amp;"," "),"\"," "))&amp;" "</f>
        <v>  </v>
      </c>
      <c r="CE572" s="68" t="n">
        <f aca="false">IFERROR(IF(AND(LEN(AU572)&gt;0,LEN(AU572)=LEN(AX572),OR(TRIM(MID(SUBSTITUTE(TRIM(CC572)," ",REPT(" ",60)),1,60))="",ISNUMBER(SEARCH(" "&amp;TRIM(MID(SUBSTITUTE(TRIM(CC572)," ",REPT(" ",60)),1,60))&amp;" ",CD572))),OR(TRIM(MID(SUBSTITUTE(TRIM(CC572)," ",REPT(" ",60)),61,60))="",ISNUMBER(SEARCH(" "&amp;TRIM(MID(SUBSTITUTE(TRIM(CC572)," ",REPT(" ",60)),61,60))&amp;" ",CD572))),OR(TRIM(MID(SUBSTITUTE(TRIM(CC572)," ",REPT(" ",60)),121,60))="",ISNUMBER(SEARCH(" "&amp;TRIM(MID(SUBSTITUTE(TRIM(CC572)," ",REPT(" ",60)),121,60))&amp;" ",CD572)))),1,0),0)</f>
        <v>0</v>
      </c>
      <c r="CG572" s="68" t="n">
        <f aca="false">IFERROR(LEN(SUBSTITUTE(BF572," ",""))-SUMPRODUCT((LEN(BF572)-LEN(SUBSTITUTE(BF572," "&amp;L_NAFiller&amp;" "," ")))/(LEN(L_NAFiller)+1)*LEN(L_NAFiller)),0)</f>
        <v>0</v>
      </c>
    </row>
    <row r="573" customFormat="false" ht="66" hidden="false" customHeight="true" outlineLevel="0" collapsed="false">
      <c r="A573" s="57" t="s">
        <v>1264</v>
      </c>
      <c r="B573" s="57" t="s">
        <v>290</v>
      </c>
      <c r="C573" s="57" t="str">
        <f aca="false">Flights!$F$21</f>
        <v>MH0073</v>
      </c>
      <c r="D573" s="58" t="n">
        <f aca="false">Flights!$D$21</f>
        <v>46322</v>
      </c>
      <c r="E573" s="57" t="str">
        <f aca="false">Flights!$G$21&amp;"-"&amp;Flights!$H$21</f>
        <v>HKG-KUL</v>
      </c>
      <c r="F573" s="57" t="str">
        <f aca="false">Flights!$K$21</f>
        <v>BC</v>
      </c>
      <c r="G573" s="57" t="s">
        <v>459</v>
      </c>
      <c r="H573" s="57" t="s">
        <v>460</v>
      </c>
      <c r="I573" s="57" t="s">
        <v>634</v>
      </c>
      <c r="J573" s="57" t="s">
        <v>1196</v>
      </c>
      <c r="K573" s="67" t="s">
        <v>1187</v>
      </c>
      <c r="L573" s="67" t="s">
        <v>1188</v>
      </c>
      <c r="M573" s="67" t="s">
        <v>451</v>
      </c>
      <c r="N573" s="67" t="s">
        <v>444</v>
      </c>
      <c r="O573" s="67" t="s">
        <v>1265</v>
      </c>
      <c r="P573" s="57" t="s">
        <v>282</v>
      </c>
      <c r="Q573" s="59" t="n">
        <f aca="false">ROUND((Flights!$AF$21)*1440,0)/1440</f>
        <v>46322.2847222222</v>
      </c>
      <c r="R573" s="59" t="n">
        <f aca="false">Q573+(IF(AND(INDEX(TZ_DSTS,MATCH(P573,TZ_STN,0))&lt;&gt;"",Q573&gt;=INDEX(TZ_DSTS,MATCH(P573,TZ_STN,0)),Q573&lt;INDEX(TZ_DSTE,MATCH(P573,TZ_STN,0))),INDEX(TZ_DST,MATCH(P573,TZ_STN,0)),INDEX(TZ_STD,MATCH(P573,TZ_STN,0))))/24</f>
        <v>46322.6180555556</v>
      </c>
      <c r="S573" s="60"/>
      <c r="T573" s="60"/>
      <c r="U573" s="60"/>
      <c r="V573" s="60"/>
      <c r="W573" s="61"/>
      <c r="X573" s="60"/>
      <c r="Y573" s="60"/>
      <c r="Z573" s="60"/>
      <c r="AA573" s="60"/>
      <c r="AB573" s="60"/>
      <c r="AC573" s="60"/>
      <c r="AD573" s="66"/>
      <c r="AE573" s="60"/>
      <c r="AF573" s="61" t="str">
        <f aca="false">IF(AND(ISNUMBER(X573),ISNUMBER(Y573)),Y573-X573,"")</f>
        <v/>
      </c>
      <c r="AG573" s="62" t="str">
        <f aca="false">IF(ISNUMBER(AD573),AD573-(IF(AND(INDEX(TZ_DSTS,MATCH(P573,TZ_STN,0))&lt;&gt;"",(AD573-INDEX(TZ_STD,MATCH(P573,TZ_STN,0))/24)&gt;=INDEX(TZ_DSTS,MATCH(P573,TZ_STN,0)),(AD573-INDEX(TZ_STD,MATCH(P573,TZ_STN,0))/24)&lt;INDEX(TZ_DSTE,MATCH(P573,TZ_STN,0))),INDEX(TZ_DST,MATCH(P573,TZ_STN,0)),INDEX(TZ_STD,MATCH(P573,TZ_STN,0))))/24,"")</f>
        <v/>
      </c>
      <c r="AH573" s="65" t="str">
        <f aca="false">IFERROR(IF(N573="N/A – rule",IF(OR(TRIM(U573)="",TRIM(U573)="N/A",TRIM(U573)="Not started"),"N/A – RULE","INVALID – this check does not apply to this aircraft: clear the status (or correct the fleet on Flights)"),IF(TRIM(U573)="N/A",IF(AT573=0,"INVALID – N/A not permitted for this check",IF(AND(TRIM(AB573)&lt;&gt;"",TRIM(AB573)&lt;&gt;"Closed"),"INVALID – corrective action still open",IF(AND(NOT(OR(LEN(AZ573)&lt;15,ISNUMBER(MATCH(AZ573,L_Placeholder,0)))),BK573=0,CG573&gt;=8,NOT(OR(LEN(AU573)&lt;2,ISNUMBER(MATCH(AU573,L_Placeholder,0)))),BR573&gt;=3,NOT(OR(LEN(AX573)&lt;2,ISNUMBER(MATCH(AX573,L_Placeholder,0)))),BS573&gt;=3,TRIM(AE573)&lt;&gt;TRIM(T573),AX573&lt;&gt;AU573,CE573=0),"N/A – JUSTIFIED","INVALID – N/A needs a real, settled reason (not 'not applicable' / 'as above' / TBC), a named PIC and a different named verifier"))),IF(OR(TRIM(U573)="Pass",TRIM(U573)="Pass after CA"),IF(NOT(ISNUMBER(AD573)),"INVALID – completion time missing",IF(OR(OR(LEN(AU573)&lt;2,ISNUMBER(MATCH(AU573,L_Placeholder,0))),BR573&lt;3),"INVALID – PIC missing or not a named person (a role such as QA / CSM is not a name)",IF(OR(LEN(AV573)&lt;2,ISNUMBER(MATCH(AV573,L_Placeholder,0))),"INVALID – result / assessment missing",IF(OR(OR(LEN(AW573)&lt;3,ISNUMBER(MATCH(AW573,L_Placeholder,0))),SUMPRODUCT(--ISNUMBER(SEARCH(" "&amp;L_EvidencePhrase&amp;" ",BD573)))&gt;0,BI573=1),"INVALID – evidence missing, placeholder or not yet on file",IF(ISNA(MATCH(TRIM(S573),L_EvidenceType,0)),"INVALID – choose the evidence type from the list (column S)",IF(BL573=0,"INVALID – evidence ID must be the record's own ID only (e.g. SF-2210, IMG_2231, 1045521); a link / file name needs type 'Link / file path'",IF(OR(OR(LEN(AX573)&lt;2,ISNUMBER(MATCH(AX573,L_Placeholder,0))),BS573&lt;3),"INVALID – verifier missing or not a named person (a role such as QA / CSM is not a name)",IF(OR(AX573=AU573,CE573=1,AND(LEN(AU573)&gt;=4,ISNUMBER(SEARCH(AU573,AX573))),AND(LEN(AX573)&gt;=4,ISNUMBER(SEARCH(AX573,AU573)))),"INVALID – verifier must be a different, named person (not the PIC or a role)",IF(BH573=1,"INVALID – result not yet available (awaiting / TBC)",IF(BG573=1,"INVALID – result describes a problem: record Fail, then Pass after CA (or reword if it is not a problem)",IF(BV573=1,"INVALID – wording says not on board: an on-board confirmation needs the item loaded",IF(AND(AQ573=1,OR(OR(LEN(AY573)&lt;3,ISNUMBER(MATCH(AY573,L_Placeholder,0))),BJ573=1,BQ573=0)),"INVALID – batch ID missing, placeholder or not an ID (e.g. PASB-261008-BC-017)",IF(AND(AR573=1,OR(NOT(ISNUMBER(X573)),NOT(ISNUMBER(Y573)))),"INVALID – expected/actual qty missing",IF(AND(AR573=1,OR(X573&lt;=0,Y573&lt;0)),"INVALID – expected qty must be above 0 and actual not negative",IF(AH559="N/A – JUSTIFIED","INVALID – preparation row F17-T12-18 is N/A",IF(AND(AR573=1,ISNUMBER(X559),X573&lt;&gt;X559,TRIM(U573)&lt;&gt;"Pass after CA"),"INVALID – expected qty differs from preparation check F17-T12-18: record the load change as a corrective action (Pass after CA)",IF(BB573&lt;&gt;"",BB573,IF(AND(AS573=1,Documents!$J$21&lt;&gt;"ON FILE"),"INVALID – GLD not on file (Documents sheet)",IF(AND(AS573=2,Documents!$O$21&lt;&gt;"ON FILE"),"INVALID – menu checklist not on file (Documents sheet)",IF(AND(AS573=3,NOT(ISNUMBER(Flights!$AX$21))),"INVALID – enter carrying flight KUL departure (Flights AX)",IF(AND(AS573=3,OR(Flights!$AZ$21&gt;Flights!$AA$21,Flights!$AX$21&lt;Flights!$AA$21-3)),"INVALID – carrying flight (Flights AX) cannot arrive before this leg's STD, or is over 3 days early",IF(AG573&gt;AsOfUTC,"INVALID – completion time is in the future",IF(AND(ISNUMBER(BY573),AG573&lt;BY573),IF(H573="Physical uplift","INVALID – before uplift window (cannot confirm loading)","INVALID – before valid window"),IF(AG573&gt;Flights!$AA$21,"INVALID – completed after departure (cannot establish readiness)",IF(AND(H573="Preparation",AG573&gt;=IF(ISNUMBER(Flights!$BA$21),MIN(Flights!$BA$21,Flights!$AA$21),Flights!$AA$21)),"INVALID – completed after loading / departure (cannot establish readiness)",IF(AND(H573="Physical uplift",AG573&gt;Q573),"INVALID – recorded after the loading flight departed",IF(AG573&gt;Q573,"COMPLETE – LATE","COMPLETE"))))))))))))))))))))))))))),IF(TRIM(U573)="Fail","FAIL – DISCREPANCY",IF(AND(TRIM(U573)&lt;&gt;"",TRIM(U573)&lt;&gt;"Not started",TRIM(U573)&lt;&gt;"In progress"),"INVALID – unrecognised status (use the list)",IF(AsOfUTC&gt;Q573,"OVERDUE",IF(N573="Clarification required","OPEN – CLARIFICATION","OPEN"))))))),"INVALID – error value in an input cell")</f>
        <v>OPEN – CLARIFICATION</v>
      </c>
      <c r="AI573" s="61" t="n">
        <f aca="false">IF(OR(AH573="N/A – RULE",AH573="N/A – JUSTIFIED"),0,1)</f>
        <v>1</v>
      </c>
      <c r="AJ573" s="61" t="n">
        <f aca="false">IF(LEFT(AH573,8)="COMPLETE",1,0)</f>
        <v>0</v>
      </c>
      <c r="AK573" s="61" t="n">
        <f aca="false">IF(AND(AI573=1,AJ573=0,AsOfUTC&gt;Q573),1,0)</f>
        <v>0</v>
      </c>
      <c r="AL573" s="61" t="n">
        <f aca="false">IFERROR(IF(AND(AI573=1,OR(TRIM(U573)="Fail",AND(TRIM(AB573)&lt;&gt;"",TRIM(AB573)&lt;&gt;"Closed"),AND(ISNUMBER(AF573),AF573&lt;&gt;0,TRIM(U573)&lt;&gt;"Pass after CA"))),1,0),1)</f>
        <v>0</v>
      </c>
      <c r="AM573" s="61" t="n">
        <f aca="false">IF(LEFT(AH573,7)="INVALID",1,0)</f>
        <v>0</v>
      </c>
      <c r="AN573" s="61" t="n">
        <f aca="false">IF(AND(N573="Clarification required",AI573=1,AJ573=0),1,0)</f>
        <v>1</v>
      </c>
      <c r="AO573" s="61" t="str">
        <f aca="false">IF(AK573=1,SUM(AK$5:AK573),"")</f>
        <v/>
      </c>
      <c r="AP573" s="61" t="str">
        <f aca="false">IF(AL573=1,SUM(AL$5:AL573),"")</f>
        <v/>
      </c>
      <c r="AQ573" s="61" t="n">
        <v>0</v>
      </c>
      <c r="AR573" s="61" t="n">
        <v>0</v>
      </c>
      <c r="AS573" s="61" t="n">
        <v>0</v>
      </c>
      <c r="AT573" s="61" t="n">
        <v>1</v>
      </c>
      <c r="AU573" s="61" t="str">
        <f aca="false">SUBSTITUTE(SUBSTITUTE(SUBSTITUTE(SUBSTITUTE(SUBSTITUTE(SUBSTITUTE(SUBSTITUTE(SUBSTITUTE(SUBSTITUTE(SUBSTITUTE(SUBSTITUTE(SUBSTITUTE(SUBSTITUTE(SUBSTITUTE(SUBSTITUTE(SUBSTITUTE(LOWER(T573&amp;""),CHAR(10),""),CHAR(13),""),CHAR(9),""),CHAR(160),"")," ",""),".",""),"-",""),"/",""),"?",""),"_",""),",",""),"[",""),"]",""),"(",""),")",""),"*","")</f>
        <v/>
      </c>
      <c r="AV573" s="61" t="str">
        <f aca="false">SUBSTITUTE(SUBSTITUTE(SUBSTITUTE(SUBSTITUTE(SUBSTITUTE(SUBSTITUTE(SUBSTITUTE(SUBSTITUTE(SUBSTITUTE(SUBSTITUTE(SUBSTITUTE(SUBSTITUTE(SUBSTITUTE(SUBSTITUTE(SUBSTITUTE(SUBSTITUTE(LOWER(V573&amp;""),CHAR(10),""),CHAR(13),""),CHAR(9),""),CHAR(160),"")," ",""),".",""),"-",""),"/",""),"?",""),"_",""),",",""),"[",""),"]",""),"(",""),")",""),"*","")</f>
        <v/>
      </c>
      <c r="AW573" s="61" t="str">
        <f aca="false">SUBSTITUTE(SUBSTITUTE(SUBSTITUTE(SUBSTITUTE(SUBSTITUTE(SUBSTITUTE(SUBSTITUTE(SUBSTITUTE(SUBSTITUTE(SUBSTITUTE(SUBSTITUTE(SUBSTITUTE(SUBSTITUTE(SUBSTITUTE(SUBSTITUTE(SUBSTITUTE(LOWER(Z573&amp;""),CHAR(10),""),CHAR(13),""),CHAR(9),""),CHAR(160),"")," ",""),".",""),"-",""),"/",""),"?",""),"_",""),",",""),"[",""),"]",""),"(",""),")",""),"*","")</f>
        <v/>
      </c>
      <c r="AX573" s="61" t="str">
        <f aca="false">SUBSTITUTE(SUBSTITUTE(SUBSTITUTE(SUBSTITUTE(SUBSTITUTE(SUBSTITUTE(SUBSTITUTE(SUBSTITUTE(SUBSTITUTE(SUBSTITUTE(SUBSTITUTE(SUBSTITUTE(SUBSTITUTE(SUBSTITUTE(SUBSTITUTE(SUBSTITUTE(LOWER(AE573&amp;""),CHAR(10),""),CHAR(13),""),CHAR(9),""),CHAR(160),"")," ",""),".",""),"-",""),"/",""),"?",""),"_",""),",",""),"[",""),"]",""),"(",""),")",""),"*","")</f>
        <v/>
      </c>
      <c r="AY573" s="61" t="str">
        <f aca="false">SUBSTITUTE(SUBSTITUTE(SUBSTITUTE(SUBSTITUTE(SUBSTITUTE(SUBSTITUTE(SUBSTITUTE(SUBSTITUTE(SUBSTITUTE(SUBSTITUTE(SUBSTITUTE(SUBSTITUTE(SUBSTITUTE(SUBSTITUTE(SUBSTITUTE(SUBSTITUTE(LOWER(W573&amp;""),CHAR(10),""),CHAR(13),""),CHAR(9),""),CHAR(160),"")," ",""),".",""),"-",""),"/",""),"?",""),"_",""),",",""),"[",""),"]",""),"(",""),")",""),"*","")</f>
        <v/>
      </c>
      <c r="AZ573" s="61" t="str">
        <f aca="false">SUBSTITUTE(SUBSTITUTE(SUBSTITUTE(SUBSTITUTE(SUBSTITUTE(SUBSTITUTE(SUBSTITUTE(SUBSTITUTE(SUBSTITUTE(SUBSTITUTE(SUBSTITUTE(SUBSTITUTE(SUBSTITUTE(SUBSTITUTE(SUBSTITUTE(SUBSTITUTE(LOWER(AC573&amp;""),CHAR(10),""),CHAR(13),""),CHAR(9),""),CHAR(160),"")," ",""),".",""),"-",""),"/",""),"?",""),"_",""),",",""),"[",""),"]",""),"(",""),")",""),"*","")</f>
        <v/>
      </c>
      <c r="BA573" s="61" t="str">
        <f aca="false">SUBSTITUTE(SUBSTITUTE(SUBSTITUTE(SUBSTITUTE(SUBSTITUTE(SUBSTITUTE(SUBSTITUTE(SUBSTITUTE(SUBSTITUTE(SUBSTITUTE(SUBSTITUTE(SUBSTITUTE(SUBSTITUTE(SUBSTITUTE(SUBSTITUTE(SUBSTITUTE(LOWER(AA573&amp;""),CHAR(10),""),CHAR(13),""),CHAR(9),""),CHAR(160),"")," ",""),".",""),"-",""),"/",""),"?",""),"_",""),",",""),"[",""),"]",""),"(",""),")",""),"*","")</f>
        <v/>
      </c>
      <c r="BB573" s="61" t="str">
        <f aca="false">IF(AND(TRIM(U573)="Pass",ISNUMBER(AF573)),IF(AF573&lt;&gt;0,"INVALID – qty variance: use Fail or Pass after CA",""),"")&amp;IF(AND(TRIM(U573)="Pass after CA",ISNUMBER(AF573)),IF(AF573&lt;&gt;0,"INVALID – after the corrective action the actual qty must equal expected (update Actual)",""),"")&amp;IF(AND(TRIM(U573)="Pass",TRIM(AB573)&lt;&gt;"",TRIM(AB573)&lt;&gt;"Closed"),"INVALID – corrective action not closed: use Fail, then Pass after CA","")&amp;IF(AND(LEN(BA573)&gt;=2,ISNA(MATCH(LEFT(BA573,255),L_Placeholder,0)),TRIM(AB573)=""),"INVALID – CA status missing for the recorded corrective action","")&amp;IF(AND(TRIM(U573)="Pass after CA",OR(OR(LEN(BA573)&lt;5,ISNUMBER(MATCH(BA573,L_Placeholder,0))),TRIM(AB573)&lt;&gt;"Closed")),"INVALID – corrective action not recorded/closed","")</f>
        <v/>
      </c>
      <c r="BC573" s="61" t="str">
        <f aca="false">" "&amp;TRIM(SUBSTITUTE(SUBSTITUTE(SUBSTITUTE(SUBSTITUTE(SUBSTITUTE(SUBSTITUTE(SUBSTITUTE(SUBSTITUTE(SUBSTITUTE(SUBSTITUTE(SUBSTITUTE(SUBSTITUTE(SUBSTITUTE(SUBSTITUTE(SUBSTITUTE(SUBSTITUTE(SUBSTITUTE(SUBSTITUTE(SUBSTITUTE(SUBSTITUTE(SUBSTITUTE(SUBSTITUTE(SUBSTITUTE(SUBSTITUTE(LOWER(V573&amp;""),CHAR(10)," "),CHAR(13)," "),CHAR(9)," "),CHAR(160)," "),"."," "),","," "),"-"," "),"/"," "),"("," "),")"," "),":"," "),";"," "),"_"," "),"–"," "),"?"," "),"!"," "),"*"," "),"["," "),"]"," "),"'"," "),"#"," "),"+"," "),"&amp;"," "),"\"," "))&amp;" "</f>
        <v>  </v>
      </c>
      <c r="BD573" s="61" t="str">
        <f aca="false">" "&amp;TRIM(SUBSTITUTE(SUBSTITUTE(SUBSTITUTE(SUBSTITUTE(SUBSTITUTE(SUBSTITUTE(SUBSTITUTE(SUBSTITUTE(SUBSTITUTE(SUBSTITUTE(SUBSTITUTE(SUBSTITUTE(SUBSTITUTE(SUBSTITUTE(SUBSTITUTE(SUBSTITUTE(SUBSTITUTE(SUBSTITUTE(SUBSTITUTE(SUBSTITUTE(SUBSTITUTE(SUBSTITUTE(SUBSTITUTE(SUBSTITUTE(LOWER(Z573&amp;""),CHAR(10)," "),CHAR(13)," "),CHAR(9)," "),CHAR(160)," "),"."," "),","," "),"-"," "),"/"," "),"("," "),")"," "),":"," "),";"," "),"_"," "),"–"," "),"?"," "),"!"," "),"*"," "),"["," "),"]"," "),"'"," "),"#"," "),"+"," "),"&amp;"," "),"\"," "))&amp;" "</f>
        <v>  </v>
      </c>
      <c r="BE573" s="61" t="str">
        <f aca="false">" "&amp;TRIM(SUBSTITUTE(SUBSTITUTE(SUBSTITUTE(SUBSTITUTE(SUBSTITUTE(SUBSTITUTE(SUBSTITUTE(SUBSTITUTE(SUBSTITUTE(SUBSTITUTE(SUBSTITUTE(SUBSTITUTE(SUBSTITUTE(SUBSTITUTE(SUBSTITUTE(SUBSTITUTE(SUBSTITUTE(SUBSTITUTE(SUBSTITUTE(SUBSTITUTE(SUBSTITUTE(SUBSTITUTE(SUBSTITUTE(SUBSTITUTE(LOWER(W573&amp;""),CHAR(10)," "),CHAR(13)," "),CHAR(9)," "),CHAR(160)," "),"."," "),","," "),"-"," "),"/"," "),"("," "),")"," "),":"," "),";"," "),"_"," "),"–"," "),"?"," "),"!"," "),"*"," "),"["," "),"]"," "),"'"," "),"#"," "),"+"," "),"&amp;"," "),"\"," "))&amp;" "</f>
        <v>  </v>
      </c>
      <c r="BF573" s="61" t="str">
        <f aca="false">" "&amp;TRIM(SUBSTITUTE(SUBSTITUTE(SUBSTITUTE(SUBSTITUTE(SUBSTITUTE(SUBSTITUTE(SUBSTITUTE(SUBSTITUTE(SUBSTITUTE(SUBSTITUTE(SUBSTITUTE(SUBSTITUTE(SUBSTITUTE(SUBSTITUTE(SUBSTITUTE(SUBSTITUTE(SUBSTITUTE(SUBSTITUTE(SUBSTITUTE(SUBSTITUTE(SUBSTITUTE(SUBSTITUTE(SUBSTITUTE(SUBSTITUTE(LOWER(AC573&amp;""),CHAR(10)," "),CHAR(13)," "),CHAR(9)," "),CHAR(160)," "),"."," "),","," "),"-"," "),"/"," "),"("," "),")"," "),":"," "),";"," "),"_"," "),"–"," "),"?"," "),"!"," "),"*"," "),"["," "),"]"," "),"'"," "),"#"," "),"+"," "),"&amp;"," "),"\"," "))&amp;" "</f>
        <v>  </v>
      </c>
      <c r="BG573" s="61" t="n">
        <f aca="false">IFERROR(IF(AND(TRIM(U573)="Pass",SUMPRODUCT((LEN(BC573)-LEN(SUBSTITUTE(BC573," "&amp;L_ResultBad&amp;" "," ")))/(LEN(L_ResultBad)+1))&gt;SUMPRODUCT((LEN(BC573)-LEN(SUBSTITUTE(BC573," "&amp;L_NegPhrase&amp;" "," ")))/(LEN(L_NegPhrase)+1))),1,0),0)</f>
        <v>0</v>
      </c>
      <c r="BH573" s="61" t="n">
        <f aca="false">IFERROR(IF(SUMPRODUCT((LEN(BC573)-LEN(SUBSTITUTE(BC573," "&amp;L_Pending&amp;" "," ")))/(LEN(L_Pending)+1))&gt;SUMPRODUCT((LEN(BC573)-LEN(SUBSTITUTE(BC573," "&amp;L_PendNeg&amp;" "," ")))/(LEN(L_PendNeg)+1)),1,0),1)</f>
        <v>0</v>
      </c>
      <c r="BI573" s="61" t="n">
        <f aca="false">IFERROR(IF(SUMPRODUCT((LEN(BD573)-LEN(SUBSTITUTE(BD573," "&amp;L_PendStrict&amp;" "," ")))/(LEN(L_PendStrict)+1))&gt;SUMPRODUCT((LEN(BD573)-LEN(SUBSTITUTE(BD573," "&amp;L_PendNeg&amp;" "," ")))/(LEN(L_PendNeg)+1)),1,0),1)</f>
        <v>0</v>
      </c>
      <c r="BJ573" s="61" t="n">
        <f aca="false">IFERROR(IF(SUMPRODUCT((LEN(BE573)-LEN(SUBSTITUTE(BE573," "&amp;L_Pending&amp;" "," ")))/(LEN(L_Pending)+1))&gt;SUMPRODUCT((LEN(BE573)-LEN(SUBSTITUTE(BE573," "&amp;L_PendNeg&amp;" "," ")))/(LEN(L_PendNeg)+1)),1,0),1)</f>
        <v>0</v>
      </c>
      <c r="BK573" s="61" t="n">
        <f aca="false">IFERROR(IF(SUMPRODUCT((LEN(BF573)-LEN(SUBSTITUTE(BF573," "&amp;L_PendStrict&amp;" "," ")))/(LEN(L_PendStrict)+1))&gt;SUMPRODUCT((LEN(BF573)-LEN(SUBSTITUTE(BF573," "&amp;L_PendNeg&amp;" "," ")))/(LEN(L_PendNeg)+1)),1,0),1)</f>
        <v>0</v>
      </c>
      <c r="BL573" s="61" t="n">
        <f aca="false">IF(ISNA(MATCH(TRIM(S573),L_EvidenceType,0)),0,BZ573)</f>
        <v>0</v>
      </c>
      <c r="BM573" s="61" t="str">
        <f aca="false">SUBSTITUTE(SUBSTITUTE(SUBSTITUTE(SUBSTITUTE(SUBSTITUTE(SUBSTITUTE(SUBSTITUTE(SUBSTITUTE(SUBSTITUTE(LOWER(Z573&amp;""),"1","0"),"2","0"),"3","0"),"4","0"),"5","0"),"6","0"),"7","0"),"8","0"),"9","0")</f>
        <v/>
      </c>
      <c r="BN573" s="61" t="str">
        <f aca="false">SUBSTITUTE(SUBSTITUTE(SUBSTITUTE(SUBSTITUTE(SUBSTITUTE(SUBSTITUTE(SUBSTITUTE(SUBSTITUTE(SUBSTITUTE(SUBSTITUTE(SUBSTITUTE(SUBSTITUTE(SUBSTITUTE(SUBSTITUTE(SUBSTITUTE(SUBSTITUTE(SUBSTITUTE(SUBSTITUTE(SUBSTITUTE(SUBSTITUTE(SUBSTITUTE(SUBSTITUTE(SUBSTITUTE(SUBSTITUTE(SUBSTITUTE(BM573,"b","a"),"c","a"),"d","a"),"e","a"),"f","a"),"g","a"),"h","a"),"i","a"),"j","a"),"k","a"),"l","a"),"m","a"),"n","a"),"o","a"),"p","a"),"q","a"),"r","a"),"s","a"),"t","a"),"u","a"),"v","a"),"w","a"),"x","a"),"y","a"),"z","a")</f>
        <v/>
      </c>
      <c r="BO573" s="61" t="str">
        <f aca="false">SUBSTITUTE(SUBSTITUTE(SUBSTITUTE(SUBSTITUTE(SUBSTITUTE(SUBSTITUTE(SUBSTITUTE(SUBSTITUTE(SUBSTITUTE(LOWER(W573&amp;""),"1","0"),"2","0"),"3","0"),"4","0"),"5","0"),"6","0"),"7","0"),"8","0"),"9","0")</f>
        <v/>
      </c>
      <c r="BP573" s="61" t="str">
        <f aca="false">SUBSTITUTE(SUBSTITUTE(SUBSTITUTE(SUBSTITUTE(SUBSTITUTE(SUBSTITUTE(SUBSTITUTE(SUBSTITUTE(SUBSTITUTE(SUBSTITUTE(SUBSTITUTE(SUBSTITUTE(SUBSTITUTE(SUBSTITUTE(SUBSTITUTE(SUBSTITUTE(SUBSTITUTE(SUBSTITUTE(SUBSTITUTE(SUBSTITUTE(SUBSTITUTE(SUBSTITUTE(SUBSTITUTE(SUBSTITUTE(SUBSTITUTE(BO573,"b","a"),"c","a"),"d","a"),"e","a"),"f","a"),"g","a"),"h","a"),"i","a"),"j","a"),"k","a"),"l","a"),"m","a"),"n","a"),"o","a"),"p","a"),"q","a"),"r","a"),"s","a"),"t","a"),"u","a"),"v","a"),"w","a"),"x","a"),"y","a"),"z","a")</f>
        <v/>
      </c>
      <c r="BQ573" s="61" t="n">
        <f aca="false">IFERROR(IF(AND(ISERROR(SEARCH(" mh"," "&amp;LOWER(W573))),ISNA(MATCH(LEFT(TRIM(BP573),255),{"0000a","000a","00a","0000aa","000aa","00aa","0aa","0000aaa","000aaa","00a00","0a00","0000-0000","00:00","a00","a0","00.00.0000","00/00/0000","00-00-0000","0000-00-00","0000/00/00","0000.00.00","00.00.00","00/00/00","00-00-00","0.00.0000","0/00/0000","0-00-0000"},0)),ISNA(MATCH(LEFT(TRIM(CA573),255),{"0000a","000a","00a","0000aa","000aa","00aa","0aa","0000aaa","000aaa","00a00","0a00","0000-0000","00:00","a00","a0","00.00.0000","00/00/0000","00-00-0000","0000-00-00","0000/00/00","0000.00.00","00.00.00","00/00/00","00-00-00","0.00.0000","0/00/0000","0-00-0000"},0)),LEN(CB573)&gt;=3,NOT(OR(SUBSTITUTE(CB573,"0","")="",AND(LEN(CB573)&gt;=4,CB573=REPT(LEFT(CB573),LEN(CB573))),ISNUMBER(MATCH(CB573,{"123","1234","12345","123456","1234567","12345678","0123","01234","012345","98765","987654","54321"},0)),AND(LEN(CB573)=8,LEFT(CB573,3)="202"))),OR(AND((LEN(CA573)-LEN(SUBSTITUTE(CA573,"a","")))&gt;=1,SUMPRODUCT(--ISNUMBER(SEARCH({"a0","a-0","a_0","a/0","a.0","a#0","0a","0-a","0_a","0/a"},BP573)))&gt;0),ISNUMBER(SEARCH("000000",BP573)))),1,0),0)</f>
        <v>0</v>
      </c>
      <c r="BR573" s="61" t="n">
        <f aca="false">IFERROR(LEN(SUBSTITUTE(CC573," ",""))-SUMPRODUCT((LEN(CC573)-LEN(SUBSTITUTE(CC573," "&amp;L_Role&amp;" "," ")))/(LEN(L_Role)+1)*LEN(L_Role)),0)</f>
        <v>0</v>
      </c>
      <c r="BS573" s="61" t="n">
        <f aca="false">IFERROR(LEN(SUBSTITUTE(CD573," ",""))-SUMPRODUCT((LEN(CD573)-LEN(SUBSTITUTE(CD573," "&amp;L_Role&amp;" "," ")))/(LEN(L_Role)+1)*LEN(L_Role)),0)</f>
        <v>0</v>
      </c>
      <c r="BT5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573,"revision",""),"version",""),"jan",""),"feb",""),"mar",""),"apr",""),"may",""),"jun",""),"jul",""),"aug",""),"sep",""),"oct",""),"nov",""),"dec",""),"utc",""),"gmt",""),"myt",""),"bst",""),"rev",""),"ver",""),"b","a"),"c","a"),"d","a"),"e","a"),"f","a"),"g","a"),"h","a"),"i","a"),"j","a"),"k","a"),"l","a"),"m","a"),"n","a"),"o","a"),"p","a"),"q","a"),"r","a"),"s","a"),"t","a"),"u","a"),"v","a"),"w","a"),"x","a"),"y","a"),"z","a")</f>
        <v/>
      </c>
      <c r="BU573" s="61" t="str">
        <f aca="false">SUBSTITUTE(SUBSTITUTE(SUBSTITUTE(SUBSTITUTE(SUBSTITUTE(SUBSTITUTE(SUBSTITUTE(SUBSTITUTE(SUBSTITUTE(SUBSTITUTE(LEFT(BM573,FIND("0",BM573&amp;"0")-1),"-",""),"_",""),"/",""),".",""),"#",""),"\\",""),":","")," ",""),"(",""),")","")</f>
        <v/>
      </c>
      <c r="BV573" s="61" t="n">
        <f aca="false">IFERROR(IF(OR(SUMPRODUCT((LEN(BC573)-LEN(SUBSTITUTE(BC573," "&amp;L_NotLoaded&amp;" "," ")))/(LEN(L_NotLoaded)+1))&gt;SUMPRODUCT((LEN(BC573)-LEN(SUBSTITUTE(BC573," "&amp;L_NotLoadedNeg&amp;" "," ")))/(LEN(L_NotLoadedNeg)+1)),SUMPRODUCT((LEN(BD573)-LEN(SUBSTITUTE(BD573," "&amp;L_NotLoaded&amp;" "," ")))/(LEN(L_NotLoaded)+1))&gt;SUMPRODUCT((LEN(BD573)-LEN(SUBSTITUTE(BD573," "&amp;L_NotLoadedNeg&amp;" "," ")))/(LEN(L_NotLoadedNeg)+1))),1,0),0)</f>
        <v>0</v>
      </c>
      <c r="BW5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573&amp;""),"a",""),"b",""),"c",""),"d",""),"e",""),"f",""),"g",""),"h",""),"i",""),"j",""),"k",""),"l",""),"m",""),"n",""),"o",""),"p",""),"q",""),"r",""),"s",""),"t",""),"u",""),"v",""),"w",""),"x",""),"y",""),"z",""),"-",""),"_",""),"/",""),".",""),"#",""),"\\",""),":","")," ",""),"(",""),")","")</f>
        <v/>
      </c>
      <c r="BX573" s="61" t="str">
        <f aca="false">SUBSTITUTE(SUBSTITUTE(SUBSTITUTE(SUBSTITUTE(SUBSTITUTE(SUBSTITUTE(SUBSTITUTE(SUBSTITUTE(SUBSTITUTE(SUBSTITUTE(SUBSTITUTE(BM573,"0",""),"-",""),"_",""),"/",""),".",""),"#",""),"\\",""),":","")," ",""),"(",""),")","")</f>
        <v/>
      </c>
      <c r="BY573" s="62" t="n">
        <f aca="false">IF(ISNUMBER(Flights!$AZ$21),MAX(Q573-UpliftWindowH/24,Flights!$AZ$21),Q573-UpliftWindowH/24)</f>
        <v>46322.0347222222</v>
      </c>
      <c r="BZ573" s="61" t="n">
        <f aca="false">IFERROR(IF(IF(TRIM(S573)="Link / file path",AND(LEN(TRIM(Z573))&gt;=5,SUMPRODUCT(--ISNUMBER(SEARCH({"http","www.","\\",":\",".pdf",".jpg",".jpeg",".png",".heic",".xls",".doc",".msg",".eml",".ppt",".txt",".zip"},Z573)))&gt;0),AND(ISERROR(FIND(" ",TRIM(Z573))),NOT(OR(SUMPRODUCT(--ISNUMBER(FIND({",",";","&amp;","+"},Z573)))&gt;0,SUMPRODUCT(--ISNUMBER(SEARCH({"0/aa","0\\aa"},BN573)))&gt;0)),NOT(SUMPRODUCT(--ISNUMBER(SEARCH({"http","www.","\\",":\",".pdf",".jpg",".jpeg",".png",".heic",".xls",".doc",".msg",".eml",".ppt",".txt",".zip"},Z573)))&gt;0),NOT(LOWER(TRIM(Z573))=LOWER(Flights!$F$21)),ISNA(MATCH(BU573,{"mh","rev","revision","ver","version","v","r","a","b","seat","tray","row","gate","bay","stand","page","pg","item","line","no","cart","galley","flight","flt","table","box","bag","oven","etd","eta","std","sta","atd","ata","qty","pax","x","time","tel","ph","mob","day","wk","week","utc","gmt","myt","lt"},0)),NOT(OR(ISNUMBER(MATCH(LEFT(BN573,255),{"0000a","000a","00a","0000aa","000aa","00aa","0aa","0000aaa","000aaa","00a00","0a00","0000-0000","00:00","a00","a0","00.00.0000","00/00/0000","00-00-0000","0000-00-00","0000/00/00","0000.00.00","00.00.00","00/00/00","00-00-00","0.00.0000","0/00/0000","0-00-0000"},0)),ISNUMBER(MATCH(LEFT(BT573,255),{"0000a","000a","00a","0000aa","000aa","00aa","0aa","0000aaa","000aaa","00a00","0a00","0000-0000","00:00","a00","a0","00.00.0000","00/00/0000","00-00-0000","0000-00-00","0000/00/00","0000.00.00","00.00.00","00/00/00","00-00-00","0.00.0000","0/00/0000","0-00-0000"},0)))),NOT(OR(AND(BW573&lt;&gt;"",SUBSTITUTE(BW573,"0","")=""),AND(LEN(BW573)&gt;=4,BW573=REPT(LEFT(BW573),LEN(BW573))),ISNUMBER(MATCH(BW573,{"123","1234","12345","123456","1234567","12345678","0123","01234","012345","98765","987654","54321"},0)),ISNUMBER(MATCH(BX573,{"x","xx","xxx","xxxx","xxxxx","abc","abcd","nil","na","nan","test","tbc","tba","tbd","dummy","sample","example","eg","zz","zzz","none","null","xyz","qwe","asd","id","ref"},0)),AND(LEN(BW573)=8,BX573="",OR(LEFT(BW573,3)="202",ISNUMBER(MATCH(RIGHT(BW573,4),{"2025","2026","2027"},0)))))),OR(AND((LEN(BT573)-LEN(SUBSTITUTE(BT573,"a","")))&gt;=1,(LEN(BN573)-LEN(SUBSTITUTE(BN573,"0","")))&gt;=2,SUMPRODUCT(--ISNUMBER(SEARCH({"a0","a-0","a_0","a/0","a.0","a#0","0a","0-a","0_a","0/a"},BN573)))&gt;0),AND((LEN(BN573)-LEN(SUBSTITUTE(BN573,"a","")))=0,(LEN(BN573)-LEN(SUBSTITUTE(BN573,"0","")))&gt;=5)))),1,0),0)</f>
        <v>0</v>
      </c>
      <c r="CA5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573,"revision",""),"version",""),"jan",""),"feb",""),"mar",""),"apr",""),"may",""),"jun",""),"jul",""),"aug",""),"sep",""),"oct",""),"nov",""),"dec",""),"utc",""),"gmt",""),"myt",""),"bst",""),"rev",""),"ver",""),"b","a"),"c","a"),"d","a"),"e","a"),"f","a"),"g","a"),"h","a"),"i","a"),"j","a"),"k","a"),"l","a"),"m","a"),"n","a"),"o","a"),"p","a"),"q","a"),"r","a"),"s","a"),"t","a"),"u","a"),"v","a"),"w","a"),"x","a"),"y","a"),"z","a")</f>
        <v/>
      </c>
      <c r="CB5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573&amp;""),"a",""),"b",""),"c",""),"d",""),"e",""),"f",""),"g",""),"h",""),"i",""),"j",""),"k",""),"l",""),"m",""),"n",""),"o",""),"p",""),"q",""),"r",""),"s",""),"t",""),"u",""),"v",""),"w",""),"x",""),"y",""),"z",""),"-",""),"_",""),"/",""),".",""),"#",""),"\\",""),":","")," ",""),"(",""),")","")</f>
        <v/>
      </c>
      <c r="CC573" s="0" t="str">
        <f aca="false">" "&amp;TRIM(SUBSTITUTE(SUBSTITUTE(SUBSTITUTE(SUBSTITUTE(SUBSTITUTE(SUBSTITUTE(SUBSTITUTE(SUBSTITUTE(SUBSTITUTE(SUBSTITUTE(SUBSTITUTE(SUBSTITUTE(SUBSTITUTE(SUBSTITUTE(SUBSTITUTE(SUBSTITUTE(SUBSTITUTE(SUBSTITUTE(SUBSTITUTE(SUBSTITUTE(SUBSTITUTE(SUBSTITUTE(SUBSTITUTE(SUBSTITUTE(LOWER(T573&amp;""),CHAR(10)," "),CHAR(13)," "),CHAR(9)," "),CHAR(160)," "),"."," "),","," "),"-"," "),"/"," "),"("," "),")"," "),":"," "),";"," "),"_"," "),"–"," "),"?"," "),"!"," "),"*"," "),"["," "),"]"," "),"'"," "),"#"," "),"+"," "),"&amp;"," "),"\"," "))&amp;" "</f>
        <v>  </v>
      </c>
      <c r="CD573" s="0" t="str">
        <f aca="false">" "&amp;TRIM(SUBSTITUTE(SUBSTITUTE(SUBSTITUTE(SUBSTITUTE(SUBSTITUTE(SUBSTITUTE(SUBSTITUTE(SUBSTITUTE(SUBSTITUTE(SUBSTITUTE(SUBSTITUTE(SUBSTITUTE(SUBSTITUTE(SUBSTITUTE(SUBSTITUTE(SUBSTITUTE(SUBSTITUTE(SUBSTITUTE(SUBSTITUTE(SUBSTITUTE(SUBSTITUTE(SUBSTITUTE(SUBSTITUTE(SUBSTITUTE(LOWER(AE573&amp;""),CHAR(10)," "),CHAR(13)," "),CHAR(9)," "),CHAR(160)," "),"."," "),","," "),"-"," "),"/"," "),"("," "),")"," "),":"," "),";"," "),"_"," "),"–"," "),"?"," "),"!"," "),"*"," "),"["," "),"]"," "),"'"," "),"#"," "),"+"," "),"&amp;"," "),"\"," "))&amp;" "</f>
        <v>  </v>
      </c>
      <c r="CE573" s="68" t="n">
        <f aca="false">IFERROR(IF(AND(LEN(AU573)&gt;0,LEN(AU573)=LEN(AX573),OR(TRIM(MID(SUBSTITUTE(TRIM(CC573)," ",REPT(" ",60)),1,60))="",ISNUMBER(SEARCH(" "&amp;TRIM(MID(SUBSTITUTE(TRIM(CC573)," ",REPT(" ",60)),1,60))&amp;" ",CD573))),OR(TRIM(MID(SUBSTITUTE(TRIM(CC573)," ",REPT(" ",60)),61,60))="",ISNUMBER(SEARCH(" "&amp;TRIM(MID(SUBSTITUTE(TRIM(CC573)," ",REPT(" ",60)),61,60))&amp;" ",CD573))),OR(TRIM(MID(SUBSTITUTE(TRIM(CC573)," ",REPT(" ",60)),121,60))="",ISNUMBER(SEARCH(" "&amp;TRIM(MID(SUBSTITUTE(TRIM(CC573)," ",REPT(" ",60)),121,60))&amp;" ",CD573)))),1,0),0)</f>
        <v>0</v>
      </c>
      <c r="CG573" s="68" t="n">
        <f aca="false">IFERROR(LEN(SUBSTITUTE(BF573," ",""))-SUMPRODUCT((LEN(BF573)-LEN(SUBSTITUTE(BF573," "&amp;L_NAFiller&amp;" "," ")))/(LEN(L_NAFiller)+1)*LEN(L_NAFiller)),0)</f>
        <v>0</v>
      </c>
    </row>
    <row r="574" customFormat="false" ht="39.75" hidden="false" customHeight="true" outlineLevel="0" collapsed="false">
      <c r="A574" s="57" t="s">
        <v>1266</v>
      </c>
      <c r="B574" s="57" t="s">
        <v>293</v>
      </c>
      <c r="C574" s="57" t="str">
        <f aca="false">Flights!$F$22</f>
        <v>MH0052</v>
      </c>
      <c r="D574" s="58" t="n">
        <f aca="false">Flights!$D$22</f>
        <v>46322</v>
      </c>
      <c r="E574" s="57" t="str">
        <f aca="false">Flights!$G$22&amp;"-"&amp;Flights!$H$22</f>
        <v>KUL-KIX</v>
      </c>
      <c r="F574" s="57" t="str">
        <f aca="false">Flights!$K$22</f>
        <v>BC</v>
      </c>
      <c r="G574" s="57" t="s">
        <v>81</v>
      </c>
      <c r="H574" s="57" t="s">
        <v>378</v>
      </c>
      <c r="I574" s="57" t="s">
        <v>379</v>
      </c>
      <c r="J574" s="57" t="s">
        <v>380</v>
      </c>
      <c r="K574" s="67" t="s">
        <v>381</v>
      </c>
      <c r="L574" s="67" t="s">
        <v>382</v>
      </c>
      <c r="M574" s="67"/>
      <c r="N574" s="67" t="s">
        <v>383</v>
      </c>
      <c r="O574" s="67"/>
      <c r="P574" s="57" t="s">
        <v>187</v>
      </c>
      <c r="Q574" s="59" t="n">
        <f aca="false">ROUND((Flights!$AC$22)*1440,0)/1440</f>
        <v>46315.6006944444</v>
      </c>
      <c r="R574" s="59" t="n">
        <f aca="false">Q574+(IF(AND(INDEX(TZ_DSTS,MATCH(P574,TZ_STN,0))&lt;&gt;"",Q574&gt;=INDEX(TZ_DSTS,MATCH(P574,TZ_STN,0)),Q574&lt;INDEX(TZ_DSTE,MATCH(P574,TZ_STN,0))),INDEX(TZ_DST,MATCH(P574,TZ_STN,0)),INDEX(TZ_STD,MATCH(P574,TZ_STN,0))))/24</f>
        <v>46315.9340277778</v>
      </c>
      <c r="S574" s="60"/>
      <c r="T574" s="60"/>
      <c r="U574" s="60"/>
      <c r="V574" s="60"/>
      <c r="W574" s="61"/>
      <c r="X574" s="60"/>
      <c r="Y574" s="60"/>
      <c r="Z574" s="60"/>
      <c r="AA574" s="60"/>
      <c r="AB574" s="60"/>
      <c r="AC574" s="60"/>
      <c r="AD574" s="66"/>
      <c r="AE574" s="60"/>
      <c r="AF574" s="61" t="str">
        <f aca="false">IF(AND(ISNUMBER(X574),ISNUMBER(Y574)),Y574-X574,"")</f>
        <v/>
      </c>
      <c r="AG574" s="62" t="str">
        <f aca="false">IF(ISNUMBER(AD574),AD574-(IF(AND(INDEX(TZ_DSTS,MATCH(P574,TZ_STN,0))&lt;&gt;"",(AD574-INDEX(TZ_STD,MATCH(P574,TZ_STN,0))/24)&gt;=INDEX(TZ_DSTS,MATCH(P574,TZ_STN,0)),(AD574-INDEX(TZ_STD,MATCH(P574,TZ_STN,0))/24)&lt;INDEX(TZ_DSTE,MATCH(P574,TZ_STN,0))),INDEX(TZ_DST,MATCH(P574,TZ_STN,0)),INDEX(TZ_STD,MATCH(P574,TZ_STN,0))))/24,"")</f>
        <v/>
      </c>
      <c r="AH574" s="65" t="str">
        <f aca="false">IFERROR(IF(N574="N/A – rule",IF(OR(TRIM(U574)="",TRIM(U574)="N/A",TRIM(U574)="Not started"),"N/A – RULE","INVALID – this check does not apply to this aircraft: clear the status (or correct the fleet on Flights)"),IF(TRIM(U574)="N/A",IF(AT574=0,"INVALID – N/A not permitted for this check",IF(AND(TRIM(AB574)&lt;&gt;"",TRIM(AB574)&lt;&gt;"Closed"),"INVALID – corrective action still open",IF(AND(NOT(OR(LEN(AZ574)&lt;15,ISNUMBER(MATCH(AZ574,L_Placeholder,0)))),BK574=0,CG574&gt;=8,NOT(OR(LEN(AU574)&lt;2,ISNUMBER(MATCH(AU574,L_Placeholder,0)))),BR574&gt;=3,NOT(OR(LEN(AX574)&lt;2,ISNUMBER(MATCH(AX574,L_Placeholder,0)))),BS574&gt;=3,TRIM(AE574)&lt;&gt;TRIM(T574),AX574&lt;&gt;AU574,CE574=0),"N/A – JUSTIFIED","INVALID – N/A needs a real, settled reason (not 'not applicable' / 'as above' / TBC), a named PIC and a different named verifier"))),IF(OR(TRIM(U574)="Pass",TRIM(U574)="Pass after CA"),IF(NOT(ISNUMBER(AD574)),"INVALID – completion time missing",IF(OR(OR(LEN(AU574)&lt;2,ISNUMBER(MATCH(AU574,L_Placeholder,0))),BR574&lt;3),"INVALID – PIC missing or not a named person (a role such as QA / CSM is not a name)",IF(OR(LEN(AV574)&lt;2,ISNUMBER(MATCH(AV574,L_Placeholder,0))),"INVALID – result / assessment missing",IF(OR(OR(LEN(AW574)&lt;3,ISNUMBER(MATCH(AW574,L_Placeholder,0))),SUMPRODUCT(--ISNUMBER(SEARCH(" "&amp;L_EvidencePhrase&amp;" ",BD574)))&gt;0,BI574=1),"INVALID – evidence missing, placeholder or not yet on file",IF(ISNA(MATCH(TRIM(S574),L_EvidenceType,0)),"INVALID – choose the evidence type from the list (column S)",IF(BL574=0,"INVALID – evidence ID must be the record's own ID only (e.g. SF-2210, IMG_2231, 1045521); a link / file name needs type 'Link / file path'",IF(OR(OR(LEN(AX574)&lt;2,ISNUMBER(MATCH(AX574,L_Placeholder,0))),BS574&lt;3),"INVALID – verifier missing or not a named person (a role such as QA / CSM is not a name)",IF(OR(AX574=AU574,CE574=1,AND(LEN(AU574)&gt;=4,ISNUMBER(SEARCH(AU574,AX574))),AND(LEN(AX574)&gt;=4,ISNUMBER(SEARCH(AX574,AU574)))),"INVALID – verifier must be a different, named person (not the PIC or a role)",IF(BH574=1,"INVALID – result not yet available (awaiting / TBC)",IF(BG574=1,"INVALID – result describes a problem: record Fail, then Pass after CA (or reword if it is not a problem)",IF(BV574=1,"INVALID – wording says not on board: an on-board confirmation needs the item loaded",IF(AND(AQ574=1,OR(OR(LEN(AY574)&lt;3,ISNUMBER(MATCH(AY574,L_Placeholder,0))),BJ574=1,BQ574=0)),"INVALID – batch ID missing, placeholder or not an ID (e.g. PASB-261008-BC-017)",IF(AND(AR574=1,OR(NOT(ISNUMBER(X574)),NOT(ISNUMBER(Y574)))),"INVALID – expected/actual qty missing",IF(AND(AR574=1,OR(X574&lt;=0,Y574&lt;0)),"INVALID – expected qty must be above 0 and actual not negative",IF(BB574&lt;&gt;"",BB574,IF(AND(AS574=1,Documents!$J$22&lt;&gt;"ON FILE"),"INVALID – GLD not on file (Documents sheet)",IF(AND(AS574=2,Documents!$O$22&lt;&gt;"ON FILE"),"INVALID – menu checklist not on file (Documents sheet)",IF(AND(AS574=3,NOT(ISNUMBER(Flights!$AX$22))),"INVALID – enter carrying flight KUL departure (Flights AX)",IF(AND(AS574=3,OR(Flights!$AZ$22&gt;Flights!$AA$22,Flights!$AX$22&lt;Flights!$AA$22-3)),"INVALID – carrying flight (Flights AX) cannot arrive before this leg's STD, or is over 3 days early",IF(AG574&gt;AsOfUTC,"INVALID – completion time is in the future",IF(AND(ISNUMBER(BY574),AG574&lt;BY574),IF(H574="Physical uplift","INVALID – before uplift window (cannot confirm loading)","INVALID – before valid window"),IF(AG574&gt;Flights!$AA$22,"INVALID – completed after departure (cannot establish readiness)",IF(AND(H574="Preparation",AG574&gt;=IF(ISNUMBER(Flights!$BA$22),MIN(Flights!$BA$22,Flights!$AA$22),Flights!$AA$22)),"INVALID – completed after loading / departure (cannot establish readiness)",IF(AND(H574="Physical uplift",AG574&gt;Q574),"INVALID – recorded after the loading flight departed",IF(AG574&gt;Q574,"COMPLETE – LATE","COMPLETE"))))))))))))))))))))))))),IF(TRIM(U574)="Fail","FAIL – DISCREPANCY",IF(AND(TRIM(U574)&lt;&gt;"",TRIM(U574)&lt;&gt;"Not started",TRIM(U574)&lt;&gt;"In progress"),"INVALID – unrecognised status (use the list)",IF(AsOfUTC&gt;Q574,"OVERDUE",IF(N574="Clarification required","OPEN – CLARIFICATION","OPEN"))))))),"INVALID – error value in an input cell")</f>
        <v>OPEN</v>
      </c>
      <c r="AI574" s="61" t="n">
        <f aca="false">IF(OR(AH574="N/A – RULE",AH574="N/A – JUSTIFIED"),0,1)</f>
        <v>1</v>
      </c>
      <c r="AJ574" s="61" t="n">
        <f aca="false">IF(LEFT(AH574,8)="COMPLETE",1,0)</f>
        <v>0</v>
      </c>
      <c r="AK574" s="61" t="n">
        <f aca="false">IF(AND(AI574=1,AJ574=0,AsOfUTC&gt;Q574),1,0)</f>
        <v>0</v>
      </c>
      <c r="AL574" s="61" t="n">
        <f aca="false">IFERROR(IF(AND(AI574=1,OR(TRIM(U574)="Fail",AND(TRIM(AB574)&lt;&gt;"",TRIM(AB574)&lt;&gt;"Closed"),AND(ISNUMBER(AF574),AF574&lt;&gt;0,TRIM(U574)&lt;&gt;"Pass after CA"))),1,0),1)</f>
        <v>0</v>
      </c>
      <c r="AM574" s="61" t="n">
        <f aca="false">IF(LEFT(AH574,7)="INVALID",1,0)</f>
        <v>0</v>
      </c>
      <c r="AN574" s="61" t="n">
        <f aca="false">IF(AND(N574="Clarification required",AI574=1,AJ574=0),1,0)</f>
        <v>0</v>
      </c>
      <c r="AO574" s="61" t="str">
        <f aca="false">IF(AK574=1,SUM(AK$5:AK574),"")</f>
        <v/>
      </c>
      <c r="AP574" s="61" t="str">
        <f aca="false">IF(AL574=1,SUM(AL$5:AL574),"")</f>
        <v/>
      </c>
      <c r="AQ574" s="61" t="n">
        <v>0</v>
      </c>
      <c r="AR574" s="61" t="n">
        <v>0</v>
      </c>
      <c r="AS574" s="61" t="n">
        <v>0</v>
      </c>
      <c r="AT574" s="61" t="n">
        <v>0</v>
      </c>
      <c r="AU574" s="61" t="str">
        <f aca="false">SUBSTITUTE(SUBSTITUTE(SUBSTITUTE(SUBSTITUTE(SUBSTITUTE(SUBSTITUTE(SUBSTITUTE(SUBSTITUTE(SUBSTITUTE(SUBSTITUTE(SUBSTITUTE(SUBSTITUTE(SUBSTITUTE(SUBSTITUTE(SUBSTITUTE(SUBSTITUTE(LOWER(T574&amp;""),CHAR(10),""),CHAR(13),""),CHAR(9),""),CHAR(160),"")," ",""),".",""),"-",""),"/",""),"?",""),"_",""),",",""),"[",""),"]",""),"(",""),")",""),"*","")</f>
        <v/>
      </c>
      <c r="AV574" s="61" t="str">
        <f aca="false">SUBSTITUTE(SUBSTITUTE(SUBSTITUTE(SUBSTITUTE(SUBSTITUTE(SUBSTITUTE(SUBSTITUTE(SUBSTITUTE(SUBSTITUTE(SUBSTITUTE(SUBSTITUTE(SUBSTITUTE(SUBSTITUTE(SUBSTITUTE(SUBSTITUTE(SUBSTITUTE(LOWER(V574&amp;""),CHAR(10),""),CHAR(13),""),CHAR(9),""),CHAR(160),"")," ",""),".",""),"-",""),"/",""),"?",""),"_",""),",",""),"[",""),"]",""),"(",""),")",""),"*","")</f>
        <v/>
      </c>
      <c r="AW574" s="61" t="str">
        <f aca="false">SUBSTITUTE(SUBSTITUTE(SUBSTITUTE(SUBSTITUTE(SUBSTITUTE(SUBSTITUTE(SUBSTITUTE(SUBSTITUTE(SUBSTITUTE(SUBSTITUTE(SUBSTITUTE(SUBSTITUTE(SUBSTITUTE(SUBSTITUTE(SUBSTITUTE(SUBSTITUTE(LOWER(Z574&amp;""),CHAR(10),""),CHAR(13),""),CHAR(9),""),CHAR(160),"")," ",""),".",""),"-",""),"/",""),"?",""),"_",""),",",""),"[",""),"]",""),"(",""),")",""),"*","")</f>
        <v/>
      </c>
      <c r="AX574" s="61" t="str">
        <f aca="false">SUBSTITUTE(SUBSTITUTE(SUBSTITUTE(SUBSTITUTE(SUBSTITUTE(SUBSTITUTE(SUBSTITUTE(SUBSTITUTE(SUBSTITUTE(SUBSTITUTE(SUBSTITUTE(SUBSTITUTE(SUBSTITUTE(SUBSTITUTE(SUBSTITUTE(SUBSTITUTE(LOWER(AE574&amp;""),CHAR(10),""),CHAR(13),""),CHAR(9),""),CHAR(160),"")," ",""),".",""),"-",""),"/",""),"?",""),"_",""),",",""),"[",""),"]",""),"(",""),")",""),"*","")</f>
        <v/>
      </c>
      <c r="AY574" s="61" t="str">
        <f aca="false">SUBSTITUTE(SUBSTITUTE(SUBSTITUTE(SUBSTITUTE(SUBSTITUTE(SUBSTITUTE(SUBSTITUTE(SUBSTITUTE(SUBSTITUTE(SUBSTITUTE(SUBSTITUTE(SUBSTITUTE(SUBSTITUTE(SUBSTITUTE(SUBSTITUTE(SUBSTITUTE(LOWER(W574&amp;""),CHAR(10),""),CHAR(13),""),CHAR(9),""),CHAR(160),"")," ",""),".",""),"-",""),"/",""),"?",""),"_",""),",",""),"[",""),"]",""),"(",""),")",""),"*","")</f>
        <v/>
      </c>
      <c r="AZ574" s="61" t="str">
        <f aca="false">SUBSTITUTE(SUBSTITUTE(SUBSTITUTE(SUBSTITUTE(SUBSTITUTE(SUBSTITUTE(SUBSTITUTE(SUBSTITUTE(SUBSTITUTE(SUBSTITUTE(SUBSTITUTE(SUBSTITUTE(SUBSTITUTE(SUBSTITUTE(SUBSTITUTE(SUBSTITUTE(LOWER(AC574&amp;""),CHAR(10),""),CHAR(13),""),CHAR(9),""),CHAR(160),"")," ",""),".",""),"-",""),"/",""),"?",""),"_",""),",",""),"[",""),"]",""),"(",""),")",""),"*","")</f>
        <v/>
      </c>
      <c r="BA574" s="61" t="str">
        <f aca="false">SUBSTITUTE(SUBSTITUTE(SUBSTITUTE(SUBSTITUTE(SUBSTITUTE(SUBSTITUTE(SUBSTITUTE(SUBSTITUTE(SUBSTITUTE(SUBSTITUTE(SUBSTITUTE(SUBSTITUTE(SUBSTITUTE(SUBSTITUTE(SUBSTITUTE(SUBSTITUTE(LOWER(AA574&amp;""),CHAR(10),""),CHAR(13),""),CHAR(9),""),CHAR(160),"")," ",""),".",""),"-",""),"/",""),"?",""),"_",""),",",""),"[",""),"]",""),"(",""),")",""),"*","")</f>
        <v/>
      </c>
      <c r="BB574" s="61" t="str">
        <f aca="false">IF(AND(TRIM(U574)="Pass",ISNUMBER(AF574)),IF(AF574&lt;&gt;0,"INVALID – qty variance: use Fail or Pass after CA",""),"")&amp;IF(AND(TRIM(U574)="Pass after CA",ISNUMBER(AF574)),IF(AF574&lt;&gt;0,"INVALID – after the corrective action the actual qty must equal expected (update Actual)",""),"")&amp;IF(AND(TRIM(U574)="Pass",TRIM(AB574)&lt;&gt;"",TRIM(AB574)&lt;&gt;"Closed"),"INVALID – corrective action not closed: use Fail, then Pass after CA","")&amp;IF(AND(LEN(BA574)&gt;=2,ISNA(MATCH(LEFT(BA574,255),L_Placeholder,0)),TRIM(AB574)=""),"INVALID – CA status missing for the recorded corrective action","")&amp;IF(AND(TRIM(U574)="Pass after CA",OR(OR(LEN(BA574)&lt;5,ISNUMBER(MATCH(BA574,L_Placeholder,0))),TRIM(AB574)&lt;&gt;"Closed")),"INVALID – corrective action not recorded/closed","")</f>
        <v/>
      </c>
      <c r="BC574" s="61" t="str">
        <f aca="false">" "&amp;TRIM(SUBSTITUTE(SUBSTITUTE(SUBSTITUTE(SUBSTITUTE(SUBSTITUTE(SUBSTITUTE(SUBSTITUTE(SUBSTITUTE(SUBSTITUTE(SUBSTITUTE(SUBSTITUTE(SUBSTITUTE(SUBSTITUTE(SUBSTITUTE(SUBSTITUTE(SUBSTITUTE(SUBSTITUTE(SUBSTITUTE(SUBSTITUTE(SUBSTITUTE(SUBSTITUTE(SUBSTITUTE(SUBSTITUTE(SUBSTITUTE(LOWER(V574&amp;""),CHAR(10)," "),CHAR(13)," "),CHAR(9)," "),CHAR(160)," "),"."," "),","," "),"-"," "),"/"," "),"("," "),")"," "),":"," "),";"," "),"_"," "),"–"," "),"?"," "),"!"," "),"*"," "),"["," "),"]"," "),"'"," "),"#"," "),"+"," "),"&amp;"," "),"\"," "))&amp;" "</f>
        <v>  </v>
      </c>
      <c r="BD574" s="61" t="str">
        <f aca="false">" "&amp;TRIM(SUBSTITUTE(SUBSTITUTE(SUBSTITUTE(SUBSTITUTE(SUBSTITUTE(SUBSTITUTE(SUBSTITUTE(SUBSTITUTE(SUBSTITUTE(SUBSTITUTE(SUBSTITUTE(SUBSTITUTE(SUBSTITUTE(SUBSTITUTE(SUBSTITUTE(SUBSTITUTE(SUBSTITUTE(SUBSTITUTE(SUBSTITUTE(SUBSTITUTE(SUBSTITUTE(SUBSTITUTE(SUBSTITUTE(SUBSTITUTE(LOWER(Z574&amp;""),CHAR(10)," "),CHAR(13)," "),CHAR(9)," "),CHAR(160)," "),"."," "),","," "),"-"," "),"/"," "),"("," "),")"," "),":"," "),";"," "),"_"," "),"–"," "),"?"," "),"!"," "),"*"," "),"["," "),"]"," "),"'"," "),"#"," "),"+"," "),"&amp;"," "),"\"," "))&amp;" "</f>
        <v>  </v>
      </c>
      <c r="BE574" s="61" t="str">
        <f aca="false">" "&amp;TRIM(SUBSTITUTE(SUBSTITUTE(SUBSTITUTE(SUBSTITUTE(SUBSTITUTE(SUBSTITUTE(SUBSTITUTE(SUBSTITUTE(SUBSTITUTE(SUBSTITUTE(SUBSTITUTE(SUBSTITUTE(SUBSTITUTE(SUBSTITUTE(SUBSTITUTE(SUBSTITUTE(SUBSTITUTE(SUBSTITUTE(SUBSTITUTE(SUBSTITUTE(SUBSTITUTE(SUBSTITUTE(SUBSTITUTE(SUBSTITUTE(LOWER(W574&amp;""),CHAR(10)," "),CHAR(13)," "),CHAR(9)," "),CHAR(160)," "),"."," "),","," "),"-"," "),"/"," "),"("," "),")"," "),":"," "),";"," "),"_"," "),"–"," "),"?"," "),"!"," "),"*"," "),"["," "),"]"," "),"'"," "),"#"," "),"+"," "),"&amp;"," "),"\"," "))&amp;" "</f>
        <v>  </v>
      </c>
      <c r="BF574" s="61" t="str">
        <f aca="false">" "&amp;TRIM(SUBSTITUTE(SUBSTITUTE(SUBSTITUTE(SUBSTITUTE(SUBSTITUTE(SUBSTITUTE(SUBSTITUTE(SUBSTITUTE(SUBSTITUTE(SUBSTITUTE(SUBSTITUTE(SUBSTITUTE(SUBSTITUTE(SUBSTITUTE(SUBSTITUTE(SUBSTITUTE(SUBSTITUTE(SUBSTITUTE(SUBSTITUTE(SUBSTITUTE(SUBSTITUTE(SUBSTITUTE(SUBSTITUTE(SUBSTITUTE(LOWER(AC574&amp;""),CHAR(10)," "),CHAR(13)," "),CHAR(9)," "),CHAR(160)," "),"."," "),","," "),"-"," "),"/"," "),"("," "),")"," "),":"," "),";"," "),"_"," "),"–"," "),"?"," "),"!"," "),"*"," "),"["," "),"]"," "),"'"," "),"#"," "),"+"," "),"&amp;"," "),"\"," "))&amp;" "</f>
        <v>  </v>
      </c>
      <c r="BG574" s="61" t="n">
        <f aca="false">IFERROR(IF(AND(TRIM(U574)="Pass",SUMPRODUCT((LEN(BC574)-LEN(SUBSTITUTE(BC574," "&amp;L_ResultBad&amp;" "," ")))/(LEN(L_ResultBad)+1))&gt;SUMPRODUCT((LEN(BC574)-LEN(SUBSTITUTE(BC574," "&amp;L_NegPhrase&amp;" "," ")))/(LEN(L_NegPhrase)+1))),1,0),0)</f>
        <v>0</v>
      </c>
      <c r="BH574" s="61" t="n">
        <f aca="false">IFERROR(IF(SUMPRODUCT((LEN(BC574)-LEN(SUBSTITUTE(BC574," "&amp;L_Pending&amp;" "," ")))/(LEN(L_Pending)+1))&gt;SUMPRODUCT((LEN(BC574)-LEN(SUBSTITUTE(BC574," "&amp;L_PendNeg&amp;" "," ")))/(LEN(L_PendNeg)+1))+SUMPRODUCT((LEN(BC574)-LEN(SUBSTITUTE(BC574," "&amp;L_PendPrep&amp;" "," ")))/(LEN(L_PendPrep)+1)),1,0),1)</f>
        <v>0</v>
      </c>
      <c r="BI574" s="61" t="n">
        <f aca="false">IFERROR(IF(SUMPRODUCT((LEN(BD574)-LEN(SUBSTITUTE(BD574," "&amp;L_PendStrict&amp;" "," ")))/(LEN(L_PendStrict)+1))&gt;SUMPRODUCT((LEN(BD574)-LEN(SUBSTITUTE(BD574," "&amp;L_PendNeg&amp;" "," ")))/(LEN(L_PendNeg)+1)),1,0),1)</f>
        <v>0</v>
      </c>
      <c r="BJ574" s="61" t="n">
        <f aca="false">IFERROR(IF(SUMPRODUCT((LEN(BE574)-LEN(SUBSTITUTE(BE574," "&amp;L_Pending&amp;" "," ")))/(LEN(L_Pending)+1))&gt;SUMPRODUCT((LEN(BE574)-LEN(SUBSTITUTE(BE574," "&amp;L_PendNeg&amp;" "," ")))/(LEN(L_PendNeg)+1))+SUMPRODUCT((LEN(BE574)-LEN(SUBSTITUTE(BE574," "&amp;L_PendPrep&amp;" "," ")))/(LEN(L_PendPrep)+1)),1,0),1)</f>
        <v>0</v>
      </c>
      <c r="BK574" s="61" t="n">
        <f aca="false">IFERROR(IF(SUMPRODUCT((LEN(BF574)-LEN(SUBSTITUTE(BF574," "&amp;L_PendStrict&amp;" "," ")))/(LEN(L_PendStrict)+1))&gt;SUMPRODUCT((LEN(BF574)-LEN(SUBSTITUTE(BF574," "&amp;L_PendNeg&amp;" "," ")))/(LEN(L_PendNeg)+1)),1,0),1)</f>
        <v>0</v>
      </c>
      <c r="BL574" s="61" t="n">
        <f aca="false">IF(ISNA(MATCH(TRIM(S574),L_EvidenceType,0)),0,BZ574)</f>
        <v>0</v>
      </c>
      <c r="BM574" s="61" t="str">
        <f aca="false">SUBSTITUTE(SUBSTITUTE(SUBSTITUTE(SUBSTITUTE(SUBSTITUTE(SUBSTITUTE(SUBSTITUTE(SUBSTITUTE(SUBSTITUTE(LOWER(Z574&amp;""),"1","0"),"2","0"),"3","0"),"4","0"),"5","0"),"6","0"),"7","0"),"8","0"),"9","0")</f>
        <v/>
      </c>
      <c r="BN574" s="61" t="str">
        <f aca="false">SUBSTITUTE(SUBSTITUTE(SUBSTITUTE(SUBSTITUTE(SUBSTITUTE(SUBSTITUTE(SUBSTITUTE(SUBSTITUTE(SUBSTITUTE(SUBSTITUTE(SUBSTITUTE(SUBSTITUTE(SUBSTITUTE(SUBSTITUTE(SUBSTITUTE(SUBSTITUTE(SUBSTITUTE(SUBSTITUTE(SUBSTITUTE(SUBSTITUTE(SUBSTITUTE(SUBSTITUTE(SUBSTITUTE(SUBSTITUTE(SUBSTITUTE(BM574,"b","a"),"c","a"),"d","a"),"e","a"),"f","a"),"g","a"),"h","a"),"i","a"),"j","a"),"k","a"),"l","a"),"m","a"),"n","a"),"o","a"),"p","a"),"q","a"),"r","a"),"s","a"),"t","a"),"u","a"),"v","a"),"w","a"),"x","a"),"y","a"),"z","a")</f>
        <v/>
      </c>
      <c r="BO574" s="61" t="str">
        <f aca="false">SUBSTITUTE(SUBSTITUTE(SUBSTITUTE(SUBSTITUTE(SUBSTITUTE(SUBSTITUTE(SUBSTITUTE(SUBSTITUTE(SUBSTITUTE(LOWER(W574&amp;""),"1","0"),"2","0"),"3","0"),"4","0"),"5","0"),"6","0"),"7","0"),"8","0"),"9","0")</f>
        <v/>
      </c>
      <c r="BP574" s="61" t="str">
        <f aca="false">SUBSTITUTE(SUBSTITUTE(SUBSTITUTE(SUBSTITUTE(SUBSTITUTE(SUBSTITUTE(SUBSTITUTE(SUBSTITUTE(SUBSTITUTE(SUBSTITUTE(SUBSTITUTE(SUBSTITUTE(SUBSTITUTE(SUBSTITUTE(SUBSTITUTE(SUBSTITUTE(SUBSTITUTE(SUBSTITUTE(SUBSTITUTE(SUBSTITUTE(SUBSTITUTE(SUBSTITUTE(SUBSTITUTE(SUBSTITUTE(SUBSTITUTE(BO574,"b","a"),"c","a"),"d","a"),"e","a"),"f","a"),"g","a"),"h","a"),"i","a"),"j","a"),"k","a"),"l","a"),"m","a"),"n","a"),"o","a"),"p","a"),"q","a"),"r","a"),"s","a"),"t","a"),"u","a"),"v","a"),"w","a"),"x","a"),"y","a"),"z","a")</f>
        <v/>
      </c>
      <c r="BQ574" s="61" t="n">
        <f aca="false">IFERROR(IF(AND(ISERROR(SEARCH(" mh"," "&amp;LOWER(W574))),ISNA(MATCH(LEFT(TRIM(BP574),255),{"0000a","000a","00a","0000aa","000aa","00aa","0aa","0000aaa","000aaa","00a00","0a00","0000-0000","00:00","a00","a0","00.00.0000","00/00/0000","00-00-0000","0000-00-00","0000/00/00","0000.00.00","00.00.00","00/00/00","00-00-00","0.00.0000","0/00/0000","0-00-0000"},0)),ISNA(MATCH(LEFT(TRIM(CA574),255),{"0000a","000a","00a","0000aa","000aa","00aa","0aa","0000aaa","000aaa","00a00","0a00","0000-0000","00:00","a00","a0","00.00.0000","00/00/0000","00-00-0000","0000-00-00","0000/00/00","0000.00.00","00.00.00","00/00/00","00-00-00","0.00.0000","0/00/0000","0-00-0000"},0)),LEN(CB574)&gt;=3,NOT(OR(SUBSTITUTE(CB574,"0","")="",AND(LEN(CB574)&gt;=4,CB574=REPT(LEFT(CB574),LEN(CB574))),ISNUMBER(MATCH(CB574,{"123","1234","12345","123456","1234567","12345678","0123","01234","012345","98765","987654","54321"},0)),AND(LEN(CB574)=8,LEFT(CB574,3)="202"))),OR(AND((LEN(CA574)-LEN(SUBSTITUTE(CA574,"a","")))&gt;=1,SUMPRODUCT(--ISNUMBER(SEARCH({"a0","a-0","a_0","a/0","a.0","a#0","0a","0-a","0_a","0/a"},BP574)))&gt;0),ISNUMBER(SEARCH("000000",BP574)))),1,0),0)</f>
        <v>0</v>
      </c>
      <c r="BR574" s="61" t="n">
        <f aca="false">IFERROR(LEN(SUBSTITUTE(CC574," ",""))-SUMPRODUCT((LEN(CC574)-LEN(SUBSTITUTE(CC574," "&amp;L_Role&amp;" "," ")))/(LEN(L_Role)+1)*LEN(L_Role)),0)</f>
        <v>0</v>
      </c>
      <c r="BS574" s="61" t="n">
        <f aca="false">IFERROR(LEN(SUBSTITUTE(CD574," ",""))-SUMPRODUCT((LEN(CD574)-LEN(SUBSTITUTE(CD574," "&amp;L_Role&amp;" "," ")))/(LEN(L_Role)+1)*LEN(L_Role)),0)</f>
        <v>0</v>
      </c>
      <c r="BT5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574,"revision",""),"version",""),"jan",""),"feb",""),"mar",""),"apr",""),"may",""),"jun",""),"jul",""),"aug",""),"sep",""),"oct",""),"nov",""),"dec",""),"utc",""),"gmt",""),"myt",""),"bst",""),"rev",""),"ver",""),"b","a"),"c","a"),"d","a"),"e","a"),"f","a"),"g","a"),"h","a"),"i","a"),"j","a"),"k","a"),"l","a"),"m","a"),"n","a"),"o","a"),"p","a"),"q","a"),"r","a"),"s","a"),"t","a"),"u","a"),"v","a"),"w","a"),"x","a"),"y","a"),"z","a")</f>
        <v/>
      </c>
      <c r="BU574" s="61" t="str">
        <f aca="false">SUBSTITUTE(SUBSTITUTE(SUBSTITUTE(SUBSTITUTE(SUBSTITUTE(SUBSTITUTE(SUBSTITUTE(SUBSTITUTE(SUBSTITUTE(SUBSTITUTE(LEFT(BM574,FIND("0",BM574&amp;"0")-1),"-",""),"_",""),"/",""),".",""),"#",""),"\\",""),":","")," ",""),"(",""),")","")</f>
        <v/>
      </c>
      <c r="BV574" s="61" t="n">
        <f aca="false">0</f>
        <v>0</v>
      </c>
      <c r="BW5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574&amp;""),"a",""),"b",""),"c",""),"d",""),"e",""),"f",""),"g",""),"h",""),"i",""),"j",""),"k",""),"l",""),"m",""),"n",""),"o",""),"p",""),"q",""),"r",""),"s",""),"t",""),"u",""),"v",""),"w",""),"x",""),"y",""),"z",""),"-",""),"_",""),"/",""),".",""),"#",""),"\\",""),":","")," ",""),"(",""),")","")</f>
        <v/>
      </c>
      <c r="BX574" s="61" t="str">
        <f aca="false">SUBSTITUTE(SUBSTITUTE(SUBSTITUTE(SUBSTITUTE(SUBSTITUTE(SUBSTITUTE(SUBSTITUTE(SUBSTITUTE(SUBSTITUTE(SUBSTITUTE(SUBSTITUTE(BM574,"0",""),"-",""),"_",""),"/",""),".",""),"#",""),"\\",""),":","")," ",""),"(",""),")","")</f>
        <v/>
      </c>
      <c r="BY574" s="62" t="n">
        <f aca="false">Q574-T7EarlyD*24/24</f>
        <v>46301.6006944444</v>
      </c>
      <c r="BZ574" s="61" t="n">
        <f aca="false">IFERROR(IF(IF(TRIM(S574)="Link / file path",AND(LEN(TRIM(Z574))&gt;=5,SUMPRODUCT(--ISNUMBER(SEARCH({"http","www.","\\",":\",".pdf",".jpg",".jpeg",".png",".heic",".xls",".doc",".msg",".eml",".ppt",".txt",".zip"},Z574)))&gt;0),AND(ISERROR(FIND(" ",TRIM(Z574))),NOT(OR(SUMPRODUCT(--ISNUMBER(FIND({",",";","&amp;","+"},Z574)))&gt;0,SUMPRODUCT(--ISNUMBER(SEARCH({"0/aa","0\\aa"},BN574)))&gt;0)),NOT(SUMPRODUCT(--ISNUMBER(SEARCH({"http","www.","\\",":\",".pdf",".jpg",".jpeg",".png",".heic",".xls",".doc",".msg",".eml",".ppt",".txt",".zip"},Z574)))&gt;0),NOT(LOWER(TRIM(Z574))=LOWER(Flights!$F$22)),ISNA(MATCH(BU574,{"mh","rev","revision","ver","version","v","r","a","b","seat","tray","row","gate","bay","stand","page","pg","item","line","no","cart","galley","flight","flt","table","box","bag","oven","etd","eta","std","sta","atd","ata","qty","pax","x","time","tel","ph","mob","day","wk","week","utc","gmt","myt","lt"},0)),NOT(OR(ISNUMBER(MATCH(LEFT(BN574,255),{"0000a","000a","00a","0000aa","000aa","00aa","0aa","0000aaa","000aaa","00a00","0a00","0000-0000","00:00","a00","a0","00.00.0000","00/00/0000","00-00-0000","0000-00-00","0000/00/00","0000.00.00","00.00.00","00/00/00","00-00-00","0.00.0000","0/00/0000","0-00-0000"},0)),ISNUMBER(MATCH(LEFT(BT574,255),{"0000a","000a","00a","0000aa","000aa","00aa","0aa","0000aaa","000aaa","00a00","0a00","0000-0000","00:00","a00","a0","00.00.0000","00/00/0000","00-00-0000","0000-00-00","0000/00/00","0000.00.00","00.00.00","00/00/00","00-00-00","0.00.0000","0/00/0000","0-00-0000"},0)))),NOT(OR(AND(BW574&lt;&gt;"",SUBSTITUTE(BW574,"0","")=""),AND(LEN(BW574)&gt;=4,BW574=REPT(LEFT(BW574),LEN(BW574))),ISNUMBER(MATCH(BW574,{"123","1234","12345","123456","1234567","12345678","0123","01234","012345","98765","987654","54321"},0)),ISNUMBER(MATCH(BX574,{"x","xx","xxx","xxxx","xxxxx","abc","abcd","nil","na","nan","test","tbc","tba","tbd","dummy","sample","example","eg","zz","zzz","none","null","xyz","qwe","asd","id","ref"},0)),AND(LEN(BW574)=8,BX574="",OR(LEFT(BW574,3)="202",ISNUMBER(MATCH(RIGHT(BW574,4),{"2025","2026","2027"},0)))))),OR(AND((LEN(BT574)-LEN(SUBSTITUTE(BT574,"a","")))&gt;=1,(LEN(BN574)-LEN(SUBSTITUTE(BN574,"0","")))&gt;=2,SUMPRODUCT(--ISNUMBER(SEARCH({"a0","a-0","a_0","a/0","a.0","a#0","0a","0-a","0_a","0/a"},BN574)))&gt;0),AND((LEN(BN574)-LEN(SUBSTITUTE(BN574,"a","")))=0,(LEN(BN574)-LEN(SUBSTITUTE(BN574,"0","")))&gt;=5)))),1,0),0)</f>
        <v>0</v>
      </c>
      <c r="CA5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574,"revision",""),"version",""),"jan",""),"feb",""),"mar",""),"apr",""),"may",""),"jun",""),"jul",""),"aug",""),"sep",""),"oct",""),"nov",""),"dec",""),"utc",""),"gmt",""),"myt",""),"bst",""),"rev",""),"ver",""),"b","a"),"c","a"),"d","a"),"e","a"),"f","a"),"g","a"),"h","a"),"i","a"),"j","a"),"k","a"),"l","a"),"m","a"),"n","a"),"o","a"),"p","a"),"q","a"),"r","a"),"s","a"),"t","a"),"u","a"),"v","a"),"w","a"),"x","a"),"y","a"),"z","a")</f>
        <v/>
      </c>
      <c r="CB5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574&amp;""),"a",""),"b",""),"c",""),"d",""),"e",""),"f",""),"g",""),"h",""),"i",""),"j",""),"k",""),"l",""),"m",""),"n",""),"o",""),"p",""),"q",""),"r",""),"s",""),"t",""),"u",""),"v",""),"w",""),"x",""),"y",""),"z",""),"-",""),"_",""),"/",""),".",""),"#",""),"\\",""),":","")," ",""),"(",""),")","")</f>
        <v/>
      </c>
      <c r="CC574" s="0" t="str">
        <f aca="false">" "&amp;TRIM(SUBSTITUTE(SUBSTITUTE(SUBSTITUTE(SUBSTITUTE(SUBSTITUTE(SUBSTITUTE(SUBSTITUTE(SUBSTITUTE(SUBSTITUTE(SUBSTITUTE(SUBSTITUTE(SUBSTITUTE(SUBSTITUTE(SUBSTITUTE(SUBSTITUTE(SUBSTITUTE(SUBSTITUTE(SUBSTITUTE(SUBSTITUTE(SUBSTITUTE(SUBSTITUTE(SUBSTITUTE(SUBSTITUTE(SUBSTITUTE(LOWER(T574&amp;""),CHAR(10)," "),CHAR(13)," "),CHAR(9)," "),CHAR(160)," "),"."," "),","," "),"-"," "),"/"," "),"("," "),")"," "),":"," "),";"," "),"_"," "),"–"," "),"?"," "),"!"," "),"*"," "),"["," "),"]"," "),"'"," "),"#"," "),"+"," "),"&amp;"," "),"\"," "))&amp;" "</f>
        <v>  </v>
      </c>
      <c r="CD574" s="0" t="str">
        <f aca="false">" "&amp;TRIM(SUBSTITUTE(SUBSTITUTE(SUBSTITUTE(SUBSTITUTE(SUBSTITUTE(SUBSTITUTE(SUBSTITUTE(SUBSTITUTE(SUBSTITUTE(SUBSTITUTE(SUBSTITUTE(SUBSTITUTE(SUBSTITUTE(SUBSTITUTE(SUBSTITUTE(SUBSTITUTE(SUBSTITUTE(SUBSTITUTE(SUBSTITUTE(SUBSTITUTE(SUBSTITUTE(SUBSTITUTE(SUBSTITUTE(SUBSTITUTE(LOWER(AE574&amp;""),CHAR(10)," "),CHAR(13)," "),CHAR(9)," "),CHAR(160)," "),"."," "),","," "),"-"," "),"/"," "),"("," "),")"," "),":"," "),";"," "),"_"," "),"–"," "),"?"," "),"!"," "),"*"," "),"["," "),"]"," "),"'"," "),"#"," "),"+"," "),"&amp;"," "),"\"," "))&amp;" "</f>
        <v>  </v>
      </c>
      <c r="CE574" s="68" t="n">
        <f aca="false">IFERROR(IF(AND(LEN(AU574)&gt;0,LEN(AU574)=LEN(AX574),OR(TRIM(MID(SUBSTITUTE(TRIM(CC574)," ",REPT(" ",60)),1,60))="",ISNUMBER(SEARCH(" "&amp;TRIM(MID(SUBSTITUTE(TRIM(CC574)," ",REPT(" ",60)),1,60))&amp;" ",CD574))),OR(TRIM(MID(SUBSTITUTE(TRIM(CC574)," ",REPT(" ",60)),61,60))="",ISNUMBER(SEARCH(" "&amp;TRIM(MID(SUBSTITUTE(TRIM(CC574)," ",REPT(" ",60)),61,60))&amp;" ",CD574))),OR(TRIM(MID(SUBSTITUTE(TRIM(CC574)," ",REPT(" ",60)),121,60))="",ISNUMBER(SEARCH(" "&amp;TRIM(MID(SUBSTITUTE(TRIM(CC574)," ",REPT(" ",60)),121,60))&amp;" ",CD574)))),1,0),0)</f>
        <v>0</v>
      </c>
      <c r="CG574" s="68" t="n">
        <f aca="false">IFERROR(LEN(SUBSTITUTE(BF574," ",""))-SUMPRODUCT((LEN(BF574)-LEN(SUBSTITUTE(BF574," "&amp;L_NAFiller&amp;" "," ")))/(LEN(L_NAFiller)+1)*LEN(L_NAFiller)),0)</f>
        <v>0</v>
      </c>
    </row>
    <row r="575" customFormat="false" ht="39.75" hidden="false" customHeight="true" outlineLevel="0" collapsed="false">
      <c r="A575" s="57" t="s">
        <v>1267</v>
      </c>
      <c r="B575" s="57" t="s">
        <v>293</v>
      </c>
      <c r="C575" s="57" t="str">
        <f aca="false">Flights!$F$22</f>
        <v>MH0052</v>
      </c>
      <c r="D575" s="58" t="n">
        <f aca="false">Flights!$D$22</f>
        <v>46322</v>
      </c>
      <c r="E575" s="57" t="str">
        <f aca="false">Flights!$G$22&amp;"-"&amp;Flights!$H$22</f>
        <v>KUL-KIX</v>
      </c>
      <c r="F575" s="57" t="str">
        <f aca="false">Flights!$K$22</f>
        <v>BC</v>
      </c>
      <c r="G575" s="57" t="s">
        <v>81</v>
      </c>
      <c r="H575" s="57" t="s">
        <v>378</v>
      </c>
      <c r="I575" s="57" t="s">
        <v>385</v>
      </c>
      <c r="J575" s="57" t="s">
        <v>386</v>
      </c>
      <c r="K575" s="67" t="s">
        <v>387</v>
      </c>
      <c r="L575" s="67" t="s">
        <v>382</v>
      </c>
      <c r="M575" s="67"/>
      <c r="N575" s="67" t="s">
        <v>383</v>
      </c>
      <c r="O575" s="67"/>
      <c r="P575" s="57" t="s">
        <v>187</v>
      </c>
      <c r="Q575" s="59" t="n">
        <f aca="false">ROUND((Flights!$AC$22)*1440,0)/1440</f>
        <v>46315.6006944444</v>
      </c>
      <c r="R575" s="59" t="n">
        <f aca="false">Q575+(IF(AND(INDEX(TZ_DSTS,MATCH(P575,TZ_STN,0))&lt;&gt;"",Q575&gt;=INDEX(TZ_DSTS,MATCH(P575,TZ_STN,0)),Q575&lt;INDEX(TZ_DSTE,MATCH(P575,TZ_STN,0))),INDEX(TZ_DST,MATCH(P575,TZ_STN,0)),INDEX(TZ_STD,MATCH(P575,TZ_STN,0))))/24</f>
        <v>46315.9340277778</v>
      </c>
      <c r="S575" s="60"/>
      <c r="T575" s="60"/>
      <c r="U575" s="60"/>
      <c r="V575" s="60"/>
      <c r="W575" s="61"/>
      <c r="X575" s="60"/>
      <c r="Y575" s="60"/>
      <c r="Z575" s="60"/>
      <c r="AA575" s="60"/>
      <c r="AB575" s="60"/>
      <c r="AC575" s="60"/>
      <c r="AD575" s="66"/>
      <c r="AE575" s="60"/>
      <c r="AF575" s="61" t="str">
        <f aca="false">IF(AND(ISNUMBER(X575),ISNUMBER(Y575)),Y575-X575,"")</f>
        <v/>
      </c>
      <c r="AG575" s="62" t="str">
        <f aca="false">IF(ISNUMBER(AD575),AD575-(IF(AND(INDEX(TZ_DSTS,MATCH(P575,TZ_STN,0))&lt;&gt;"",(AD575-INDEX(TZ_STD,MATCH(P575,TZ_STN,0))/24)&gt;=INDEX(TZ_DSTS,MATCH(P575,TZ_STN,0)),(AD575-INDEX(TZ_STD,MATCH(P575,TZ_STN,0))/24)&lt;INDEX(TZ_DSTE,MATCH(P575,TZ_STN,0))),INDEX(TZ_DST,MATCH(P575,TZ_STN,0)),INDEX(TZ_STD,MATCH(P575,TZ_STN,0))))/24,"")</f>
        <v/>
      </c>
      <c r="AH575" s="65" t="str">
        <f aca="false">IFERROR(IF(N575="N/A – rule",IF(OR(TRIM(U575)="",TRIM(U575)="N/A",TRIM(U575)="Not started"),"N/A – RULE","INVALID – this check does not apply to this aircraft: clear the status (or correct the fleet on Flights)"),IF(TRIM(U575)="N/A",IF(AT575=0,"INVALID – N/A not permitted for this check",IF(AND(TRIM(AB575)&lt;&gt;"",TRIM(AB575)&lt;&gt;"Closed"),"INVALID – corrective action still open",IF(AND(NOT(OR(LEN(AZ575)&lt;15,ISNUMBER(MATCH(AZ575,L_Placeholder,0)))),BK575=0,CG575&gt;=8,NOT(OR(LEN(AU575)&lt;2,ISNUMBER(MATCH(AU575,L_Placeholder,0)))),BR575&gt;=3,NOT(OR(LEN(AX575)&lt;2,ISNUMBER(MATCH(AX575,L_Placeholder,0)))),BS575&gt;=3,TRIM(AE575)&lt;&gt;TRIM(T575),AX575&lt;&gt;AU575,CE575=0),"N/A – JUSTIFIED","INVALID – N/A needs a real, settled reason (not 'not applicable' / 'as above' / TBC), a named PIC and a different named verifier"))),IF(OR(TRIM(U575)="Pass",TRIM(U575)="Pass after CA"),IF(NOT(ISNUMBER(AD575)),"INVALID – completion time missing",IF(OR(OR(LEN(AU575)&lt;2,ISNUMBER(MATCH(AU575,L_Placeholder,0))),BR575&lt;3),"INVALID – PIC missing or not a named person (a role such as QA / CSM is not a name)",IF(OR(LEN(AV575)&lt;2,ISNUMBER(MATCH(AV575,L_Placeholder,0))),"INVALID – result / assessment missing",IF(OR(OR(LEN(AW575)&lt;3,ISNUMBER(MATCH(AW575,L_Placeholder,0))),SUMPRODUCT(--ISNUMBER(SEARCH(" "&amp;L_EvidencePhrase&amp;" ",BD575)))&gt;0,BI575=1),"INVALID – evidence missing, placeholder or not yet on file",IF(ISNA(MATCH(TRIM(S575),L_EvidenceType,0)),"INVALID – choose the evidence type from the list (column S)",IF(BL575=0,"INVALID – evidence ID must be the record's own ID only (e.g. SF-2210, IMG_2231, 1045521); a link / file name needs type 'Link / file path'",IF(OR(OR(LEN(AX575)&lt;2,ISNUMBER(MATCH(AX575,L_Placeholder,0))),BS575&lt;3),"INVALID – verifier missing or not a named person (a role such as QA / CSM is not a name)",IF(OR(AX575=AU575,CE575=1,AND(LEN(AU575)&gt;=4,ISNUMBER(SEARCH(AU575,AX575))),AND(LEN(AX575)&gt;=4,ISNUMBER(SEARCH(AX575,AU575)))),"INVALID – verifier must be a different, named person (not the PIC or a role)",IF(BH575=1,"INVALID – result not yet available (awaiting / TBC)",IF(BG575=1,"INVALID – result describes a problem: record Fail, then Pass after CA (or reword if it is not a problem)",IF(BV575=1,"INVALID – wording says not on board: an on-board confirmation needs the item loaded",IF(AND(AQ575=1,OR(OR(LEN(AY575)&lt;3,ISNUMBER(MATCH(AY575,L_Placeholder,0))),BJ575=1,BQ575=0)),"INVALID – batch ID missing, placeholder or not an ID (e.g. PASB-261008-BC-017)",IF(AND(AR575=1,OR(NOT(ISNUMBER(X575)),NOT(ISNUMBER(Y575)))),"INVALID – expected/actual qty missing",IF(AND(AR575=1,OR(X575&lt;=0,Y575&lt;0)),"INVALID – expected qty must be above 0 and actual not negative",IF(BB575&lt;&gt;"",BB575,IF(AND(AS575=1,Documents!$J$22&lt;&gt;"ON FILE"),"INVALID – GLD not on file (Documents sheet)",IF(AND(AS575=2,Documents!$O$22&lt;&gt;"ON FILE"),"INVALID – menu checklist not on file (Documents sheet)",IF(AND(AS575=3,NOT(ISNUMBER(Flights!$AX$22))),"INVALID – enter carrying flight KUL departure (Flights AX)",IF(AND(AS575=3,OR(Flights!$AZ$22&gt;Flights!$AA$22,Flights!$AX$22&lt;Flights!$AA$22-3)),"INVALID – carrying flight (Flights AX) cannot arrive before this leg's STD, or is over 3 days early",IF(AG575&gt;AsOfUTC,"INVALID – completion time is in the future",IF(AND(ISNUMBER(BY575),AG575&lt;BY575),IF(H575="Physical uplift","INVALID – before uplift window (cannot confirm loading)","INVALID – before valid window"),IF(AG575&gt;Flights!$AA$22,"INVALID – completed after departure (cannot establish readiness)",IF(AND(H575="Preparation",AG575&gt;=IF(ISNUMBER(Flights!$BA$22),MIN(Flights!$BA$22,Flights!$AA$22),Flights!$AA$22)),"INVALID – completed after loading / departure (cannot establish readiness)",IF(AND(H575="Physical uplift",AG575&gt;Q575),"INVALID – recorded after the loading flight departed",IF(AG575&gt;Q575,"COMPLETE – LATE","COMPLETE"))))))))))))))))))))))))),IF(TRIM(U575)="Fail","FAIL – DISCREPANCY",IF(AND(TRIM(U575)&lt;&gt;"",TRIM(U575)&lt;&gt;"Not started",TRIM(U575)&lt;&gt;"In progress"),"INVALID – unrecognised status (use the list)",IF(AsOfUTC&gt;Q575,"OVERDUE",IF(N575="Clarification required","OPEN – CLARIFICATION","OPEN"))))))),"INVALID – error value in an input cell")</f>
        <v>OPEN</v>
      </c>
      <c r="AI575" s="61" t="n">
        <f aca="false">IF(OR(AH575="N/A – RULE",AH575="N/A – JUSTIFIED"),0,1)</f>
        <v>1</v>
      </c>
      <c r="AJ575" s="61" t="n">
        <f aca="false">IF(LEFT(AH575,8)="COMPLETE",1,0)</f>
        <v>0</v>
      </c>
      <c r="AK575" s="61" t="n">
        <f aca="false">IF(AND(AI575=1,AJ575=0,AsOfUTC&gt;Q575),1,0)</f>
        <v>0</v>
      </c>
      <c r="AL575" s="61" t="n">
        <f aca="false">IFERROR(IF(AND(AI575=1,OR(TRIM(U575)="Fail",AND(TRIM(AB575)&lt;&gt;"",TRIM(AB575)&lt;&gt;"Closed"),AND(ISNUMBER(AF575),AF575&lt;&gt;0,TRIM(U575)&lt;&gt;"Pass after CA"))),1,0),1)</f>
        <v>0</v>
      </c>
      <c r="AM575" s="61" t="n">
        <f aca="false">IF(LEFT(AH575,7)="INVALID",1,0)</f>
        <v>0</v>
      </c>
      <c r="AN575" s="61" t="n">
        <f aca="false">IF(AND(N575="Clarification required",AI575=1,AJ575=0),1,0)</f>
        <v>0</v>
      </c>
      <c r="AO575" s="61" t="str">
        <f aca="false">IF(AK575=1,SUM(AK$5:AK575),"")</f>
        <v/>
      </c>
      <c r="AP575" s="61" t="str">
        <f aca="false">IF(AL575=1,SUM(AL$5:AL575),"")</f>
        <v/>
      </c>
      <c r="AQ575" s="61" t="n">
        <v>0</v>
      </c>
      <c r="AR575" s="61" t="n">
        <v>0</v>
      </c>
      <c r="AS575" s="61" t="n">
        <v>0</v>
      </c>
      <c r="AT575" s="61" t="n">
        <v>0</v>
      </c>
      <c r="AU575" s="61" t="str">
        <f aca="false">SUBSTITUTE(SUBSTITUTE(SUBSTITUTE(SUBSTITUTE(SUBSTITUTE(SUBSTITUTE(SUBSTITUTE(SUBSTITUTE(SUBSTITUTE(SUBSTITUTE(SUBSTITUTE(SUBSTITUTE(SUBSTITUTE(SUBSTITUTE(SUBSTITUTE(SUBSTITUTE(LOWER(T575&amp;""),CHAR(10),""),CHAR(13),""),CHAR(9),""),CHAR(160),"")," ",""),".",""),"-",""),"/",""),"?",""),"_",""),",",""),"[",""),"]",""),"(",""),")",""),"*","")</f>
        <v/>
      </c>
      <c r="AV575" s="61" t="str">
        <f aca="false">SUBSTITUTE(SUBSTITUTE(SUBSTITUTE(SUBSTITUTE(SUBSTITUTE(SUBSTITUTE(SUBSTITUTE(SUBSTITUTE(SUBSTITUTE(SUBSTITUTE(SUBSTITUTE(SUBSTITUTE(SUBSTITUTE(SUBSTITUTE(SUBSTITUTE(SUBSTITUTE(LOWER(V575&amp;""),CHAR(10),""),CHAR(13),""),CHAR(9),""),CHAR(160),"")," ",""),".",""),"-",""),"/",""),"?",""),"_",""),",",""),"[",""),"]",""),"(",""),")",""),"*","")</f>
        <v/>
      </c>
      <c r="AW575" s="61" t="str">
        <f aca="false">SUBSTITUTE(SUBSTITUTE(SUBSTITUTE(SUBSTITUTE(SUBSTITUTE(SUBSTITUTE(SUBSTITUTE(SUBSTITUTE(SUBSTITUTE(SUBSTITUTE(SUBSTITUTE(SUBSTITUTE(SUBSTITUTE(SUBSTITUTE(SUBSTITUTE(SUBSTITUTE(LOWER(Z575&amp;""),CHAR(10),""),CHAR(13),""),CHAR(9),""),CHAR(160),"")," ",""),".",""),"-",""),"/",""),"?",""),"_",""),",",""),"[",""),"]",""),"(",""),")",""),"*","")</f>
        <v/>
      </c>
      <c r="AX575" s="61" t="str">
        <f aca="false">SUBSTITUTE(SUBSTITUTE(SUBSTITUTE(SUBSTITUTE(SUBSTITUTE(SUBSTITUTE(SUBSTITUTE(SUBSTITUTE(SUBSTITUTE(SUBSTITUTE(SUBSTITUTE(SUBSTITUTE(SUBSTITUTE(SUBSTITUTE(SUBSTITUTE(SUBSTITUTE(LOWER(AE575&amp;""),CHAR(10),""),CHAR(13),""),CHAR(9),""),CHAR(160),"")," ",""),".",""),"-",""),"/",""),"?",""),"_",""),",",""),"[",""),"]",""),"(",""),")",""),"*","")</f>
        <v/>
      </c>
      <c r="AY575" s="61" t="str">
        <f aca="false">SUBSTITUTE(SUBSTITUTE(SUBSTITUTE(SUBSTITUTE(SUBSTITUTE(SUBSTITUTE(SUBSTITUTE(SUBSTITUTE(SUBSTITUTE(SUBSTITUTE(SUBSTITUTE(SUBSTITUTE(SUBSTITUTE(SUBSTITUTE(SUBSTITUTE(SUBSTITUTE(LOWER(W575&amp;""),CHAR(10),""),CHAR(13),""),CHAR(9),""),CHAR(160),"")," ",""),".",""),"-",""),"/",""),"?",""),"_",""),",",""),"[",""),"]",""),"(",""),")",""),"*","")</f>
        <v/>
      </c>
      <c r="AZ575" s="61" t="str">
        <f aca="false">SUBSTITUTE(SUBSTITUTE(SUBSTITUTE(SUBSTITUTE(SUBSTITUTE(SUBSTITUTE(SUBSTITUTE(SUBSTITUTE(SUBSTITUTE(SUBSTITUTE(SUBSTITUTE(SUBSTITUTE(SUBSTITUTE(SUBSTITUTE(SUBSTITUTE(SUBSTITUTE(LOWER(AC575&amp;""),CHAR(10),""),CHAR(13),""),CHAR(9),""),CHAR(160),"")," ",""),".",""),"-",""),"/",""),"?",""),"_",""),",",""),"[",""),"]",""),"(",""),")",""),"*","")</f>
        <v/>
      </c>
      <c r="BA575" s="61" t="str">
        <f aca="false">SUBSTITUTE(SUBSTITUTE(SUBSTITUTE(SUBSTITUTE(SUBSTITUTE(SUBSTITUTE(SUBSTITUTE(SUBSTITUTE(SUBSTITUTE(SUBSTITUTE(SUBSTITUTE(SUBSTITUTE(SUBSTITUTE(SUBSTITUTE(SUBSTITUTE(SUBSTITUTE(LOWER(AA575&amp;""),CHAR(10),""),CHAR(13),""),CHAR(9),""),CHAR(160),"")," ",""),".",""),"-",""),"/",""),"?",""),"_",""),",",""),"[",""),"]",""),"(",""),")",""),"*","")</f>
        <v/>
      </c>
      <c r="BB575" s="61" t="str">
        <f aca="false">IF(AND(TRIM(U575)="Pass",ISNUMBER(AF575)),IF(AF575&lt;&gt;0,"INVALID – qty variance: use Fail or Pass after CA",""),"")&amp;IF(AND(TRIM(U575)="Pass after CA",ISNUMBER(AF575)),IF(AF575&lt;&gt;0,"INVALID – after the corrective action the actual qty must equal expected (update Actual)",""),"")&amp;IF(AND(TRIM(U575)="Pass",TRIM(AB575)&lt;&gt;"",TRIM(AB575)&lt;&gt;"Closed"),"INVALID – corrective action not closed: use Fail, then Pass after CA","")&amp;IF(AND(LEN(BA575)&gt;=2,ISNA(MATCH(LEFT(BA575,255),L_Placeholder,0)),TRIM(AB575)=""),"INVALID – CA status missing for the recorded corrective action","")&amp;IF(AND(TRIM(U575)="Pass after CA",OR(OR(LEN(BA575)&lt;5,ISNUMBER(MATCH(BA575,L_Placeholder,0))),TRIM(AB575)&lt;&gt;"Closed")),"INVALID – corrective action not recorded/closed","")</f>
        <v/>
      </c>
      <c r="BC575" s="61" t="str">
        <f aca="false">" "&amp;TRIM(SUBSTITUTE(SUBSTITUTE(SUBSTITUTE(SUBSTITUTE(SUBSTITUTE(SUBSTITUTE(SUBSTITUTE(SUBSTITUTE(SUBSTITUTE(SUBSTITUTE(SUBSTITUTE(SUBSTITUTE(SUBSTITUTE(SUBSTITUTE(SUBSTITUTE(SUBSTITUTE(SUBSTITUTE(SUBSTITUTE(SUBSTITUTE(SUBSTITUTE(SUBSTITUTE(SUBSTITUTE(SUBSTITUTE(SUBSTITUTE(LOWER(V575&amp;""),CHAR(10)," "),CHAR(13)," "),CHAR(9)," "),CHAR(160)," "),"."," "),","," "),"-"," "),"/"," "),"("," "),")"," "),":"," "),";"," "),"_"," "),"–"," "),"?"," "),"!"," "),"*"," "),"["," "),"]"," "),"'"," "),"#"," "),"+"," "),"&amp;"," "),"\"," "))&amp;" "</f>
        <v>  </v>
      </c>
      <c r="BD575" s="61" t="str">
        <f aca="false">" "&amp;TRIM(SUBSTITUTE(SUBSTITUTE(SUBSTITUTE(SUBSTITUTE(SUBSTITUTE(SUBSTITUTE(SUBSTITUTE(SUBSTITUTE(SUBSTITUTE(SUBSTITUTE(SUBSTITUTE(SUBSTITUTE(SUBSTITUTE(SUBSTITUTE(SUBSTITUTE(SUBSTITUTE(SUBSTITUTE(SUBSTITUTE(SUBSTITUTE(SUBSTITUTE(SUBSTITUTE(SUBSTITUTE(SUBSTITUTE(SUBSTITUTE(LOWER(Z575&amp;""),CHAR(10)," "),CHAR(13)," "),CHAR(9)," "),CHAR(160)," "),"."," "),","," "),"-"," "),"/"," "),"("," "),")"," "),":"," "),";"," "),"_"," "),"–"," "),"?"," "),"!"," "),"*"," "),"["," "),"]"," "),"'"," "),"#"," "),"+"," "),"&amp;"," "),"\"," "))&amp;" "</f>
        <v>  </v>
      </c>
      <c r="BE575" s="61" t="str">
        <f aca="false">" "&amp;TRIM(SUBSTITUTE(SUBSTITUTE(SUBSTITUTE(SUBSTITUTE(SUBSTITUTE(SUBSTITUTE(SUBSTITUTE(SUBSTITUTE(SUBSTITUTE(SUBSTITUTE(SUBSTITUTE(SUBSTITUTE(SUBSTITUTE(SUBSTITUTE(SUBSTITUTE(SUBSTITUTE(SUBSTITUTE(SUBSTITUTE(SUBSTITUTE(SUBSTITUTE(SUBSTITUTE(SUBSTITUTE(SUBSTITUTE(SUBSTITUTE(LOWER(W575&amp;""),CHAR(10)," "),CHAR(13)," "),CHAR(9)," "),CHAR(160)," "),"."," "),","," "),"-"," "),"/"," "),"("," "),")"," "),":"," "),";"," "),"_"," "),"–"," "),"?"," "),"!"," "),"*"," "),"["," "),"]"," "),"'"," "),"#"," "),"+"," "),"&amp;"," "),"\"," "))&amp;" "</f>
        <v>  </v>
      </c>
      <c r="BF575" s="61" t="str">
        <f aca="false">" "&amp;TRIM(SUBSTITUTE(SUBSTITUTE(SUBSTITUTE(SUBSTITUTE(SUBSTITUTE(SUBSTITUTE(SUBSTITUTE(SUBSTITUTE(SUBSTITUTE(SUBSTITUTE(SUBSTITUTE(SUBSTITUTE(SUBSTITUTE(SUBSTITUTE(SUBSTITUTE(SUBSTITUTE(SUBSTITUTE(SUBSTITUTE(SUBSTITUTE(SUBSTITUTE(SUBSTITUTE(SUBSTITUTE(SUBSTITUTE(SUBSTITUTE(LOWER(AC575&amp;""),CHAR(10)," "),CHAR(13)," "),CHAR(9)," "),CHAR(160)," "),"."," "),","," "),"-"," "),"/"," "),"("," "),")"," "),":"," "),";"," "),"_"," "),"–"," "),"?"," "),"!"," "),"*"," "),"["," "),"]"," "),"'"," "),"#"," "),"+"," "),"&amp;"," "),"\"," "))&amp;" "</f>
        <v>  </v>
      </c>
      <c r="BG575" s="61" t="n">
        <f aca="false">IFERROR(IF(AND(TRIM(U575)="Pass",SUMPRODUCT((LEN(BC575)-LEN(SUBSTITUTE(BC575," "&amp;L_ResultBad&amp;" "," ")))/(LEN(L_ResultBad)+1))&gt;SUMPRODUCT((LEN(BC575)-LEN(SUBSTITUTE(BC575," "&amp;L_NegPhrase&amp;" "," ")))/(LEN(L_NegPhrase)+1))),1,0),0)</f>
        <v>0</v>
      </c>
      <c r="BH575" s="61" t="n">
        <f aca="false">IFERROR(IF(SUMPRODUCT((LEN(BC575)-LEN(SUBSTITUTE(BC575," "&amp;L_Pending&amp;" "," ")))/(LEN(L_Pending)+1))&gt;SUMPRODUCT((LEN(BC575)-LEN(SUBSTITUTE(BC575," "&amp;L_PendNeg&amp;" "," ")))/(LEN(L_PendNeg)+1))+SUMPRODUCT((LEN(BC575)-LEN(SUBSTITUTE(BC575," "&amp;L_PendPrep&amp;" "," ")))/(LEN(L_PendPrep)+1)),1,0),1)</f>
        <v>0</v>
      </c>
      <c r="BI575" s="61" t="n">
        <f aca="false">IFERROR(IF(SUMPRODUCT((LEN(BD575)-LEN(SUBSTITUTE(BD575," "&amp;L_PendStrict&amp;" "," ")))/(LEN(L_PendStrict)+1))&gt;SUMPRODUCT((LEN(BD575)-LEN(SUBSTITUTE(BD575," "&amp;L_PendNeg&amp;" "," ")))/(LEN(L_PendNeg)+1)),1,0),1)</f>
        <v>0</v>
      </c>
      <c r="BJ575" s="61" t="n">
        <f aca="false">IFERROR(IF(SUMPRODUCT((LEN(BE575)-LEN(SUBSTITUTE(BE575," "&amp;L_Pending&amp;" "," ")))/(LEN(L_Pending)+1))&gt;SUMPRODUCT((LEN(BE575)-LEN(SUBSTITUTE(BE575," "&amp;L_PendNeg&amp;" "," ")))/(LEN(L_PendNeg)+1))+SUMPRODUCT((LEN(BE575)-LEN(SUBSTITUTE(BE575," "&amp;L_PendPrep&amp;" "," ")))/(LEN(L_PendPrep)+1)),1,0),1)</f>
        <v>0</v>
      </c>
      <c r="BK575" s="61" t="n">
        <f aca="false">IFERROR(IF(SUMPRODUCT((LEN(BF575)-LEN(SUBSTITUTE(BF575," "&amp;L_PendStrict&amp;" "," ")))/(LEN(L_PendStrict)+1))&gt;SUMPRODUCT((LEN(BF575)-LEN(SUBSTITUTE(BF575," "&amp;L_PendNeg&amp;" "," ")))/(LEN(L_PendNeg)+1)),1,0),1)</f>
        <v>0</v>
      </c>
      <c r="BL575" s="61" t="n">
        <f aca="false">IF(ISNA(MATCH(TRIM(S575),L_EvidenceType,0)),0,BZ575)</f>
        <v>0</v>
      </c>
      <c r="BM575" s="61" t="str">
        <f aca="false">SUBSTITUTE(SUBSTITUTE(SUBSTITUTE(SUBSTITUTE(SUBSTITUTE(SUBSTITUTE(SUBSTITUTE(SUBSTITUTE(SUBSTITUTE(LOWER(Z575&amp;""),"1","0"),"2","0"),"3","0"),"4","0"),"5","0"),"6","0"),"7","0"),"8","0"),"9","0")</f>
        <v/>
      </c>
      <c r="BN575" s="61" t="str">
        <f aca="false">SUBSTITUTE(SUBSTITUTE(SUBSTITUTE(SUBSTITUTE(SUBSTITUTE(SUBSTITUTE(SUBSTITUTE(SUBSTITUTE(SUBSTITUTE(SUBSTITUTE(SUBSTITUTE(SUBSTITUTE(SUBSTITUTE(SUBSTITUTE(SUBSTITUTE(SUBSTITUTE(SUBSTITUTE(SUBSTITUTE(SUBSTITUTE(SUBSTITUTE(SUBSTITUTE(SUBSTITUTE(SUBSTITUTE(SUBSTITUTE(SUBSTITUTE(BM575,"b","a"),"c","a"),"d","a"),"e","a"),"f","a"),"g","a"),"h","a"),"i","a"),"j","a"),"k","a"),"l","a"),"m","a"),"n","a"),"o","a"),"p","a"),"q","a"),"r","a"),"s","a"),"t","a"),"u","a"),"v","a"),"w","a"),"x","a"),"y","a"),"z","a")</f>
        <v/>
      </c>
      <c r="BO575" s="61" t="str">
        <f aca="false">SUBSTITUTE(SUBSTITUTE(SUBSTITUTE(SUBSTITUTE(SUBSTITUTE(SUBSTITUTE(SUBSTITUTE(SUBSTITUTE(SUBSTITUTE(LOWER(W575&amp;""),"1","0"),"2","0"),"3","0"),"4","0"),"5","0"),"6","0"),"7","0"),"8","0"),"9","0")</f>
        <v/>
      </c>
      <c r="BP575" s="61" t="str">
        <f aca="false">SUBSTITUTE(SUBSTITUTE(SUBSTITUTE(SUBSTITUTE(SUBSTITUTE(SUBSTITUTE(SUBSTITUTE(SUBSTITUTE(SUBSTITUTE(SUBSTITUTE(SUBSTITUTE(SUBSTITUTE(SUBSTITUTE(SUBSTITUTE(SUBSTITUTE(SUBSTITUTE(SUBSTITUTE(SUBSTITUTE(SUBSTITUTE(SUBSTITUTE(SUBSTITUTE(SUBSTITUTE(SUBSTITUTE(SUBSTITUTE(SUBSTITUTE(BO575,"b","a"),"c","a"),"d","a"),"e","a"),"f","a"),"g","a"),"h","a"),"i","a"),"j","a"),"k","a"),"l","a"),"m","a"),"n","a"),"o","a"),"p","a"),"q","a"),"r","a"),"s","a"),"t","a"),"u","a"),"v","a"),"w","a"),"x","a"),"y","a"),"z","a")</f>
        <v/>
      </c>
      <c r="BQ575" s="61" t="n">
        <f aca="false">IFERROR(IF(AND(ISERROR(SEARCH(" mh"," "&amp;LOWER(W575))),ISNA(MATCH(LEFT(TRIM(BP575),255),{"0000a","000a","00a","0000aa","000aa","00aa","0aa","0000aaa","000aaa","00a00","0a00","0000-0000","00:00","a00","a0","00.00.0000","00/00/0000","00-00-0000","0000-00-00","0000/00/00","0000.00.00","00.00.00","00/00/00","00-00-00","0.00.0000","0/00/0000","0-00-0000"},0)),ISNA(MATCH(LEFT(TRIM(CA575),255),{"0000a","000a","00a","0000aa","000aa","00aa","0aa","0000aaa","000aaa","00a00","0a00","0000-0000","00:00","a00","a0","00.00.0000","00/00/0000","00-00-0000","0000-00-00","0000/00/00","0000.00.00","00.00.00","00/00/00","00-00-00","0.00.0000","0/00/0000","0-00-0000"},0)),LEN(CB575)&gt;=3,NOT(OR(SUBSTITUTE(CB575,"0","")="",AND(LEN(CB575)&gt;=4,CB575=REPT(LEFT(CB575),LEN(CB575))),ISNUMBER(MATCH(CB575,{"123","1234","12345","123456","1234567","12345678","0123","01234","012345","98765","987654","54321"},0)),AND(LEN(CB575)=8,LEFT(CB575,3)="202"))),OR(AND((LEN(CA575)-LEN(SUBSTITUTE(CA575,"a","")))&gt;=1,SUMPRODUCT(--ISNUMBER(SEARCH({"a0","a-0","a_0","a/0","a.0","a#0","0a","0-a","0_a","0/a"},BP575)))&gt;0),ISNUMBER(SEARCH("000000",BP575)))),1,0),0)</f>
        <v>0</v>
      </c>
      <c r="BR575" s="61" t="n">
        <f aca="false">IFERROR(LEN(SUBSTITUTE(CC575," ",""))-SUMPRODUCT((LEN(CC575)-LEN(SUBSTITUTE(CC575," "&amp;L_Role&amp;" "," ")))/(LEN(L_Role)+1)*LEN(L_Role)),0)</f>
        <v>0</v>
      </c>
      <c r="BS575" s="61" t="n">
        <f aca="false">IFERROR(LEN(SUBSTITUTE(CD575," ",""))-SUMPRODUCT((LEN(CD575)-LEN(SUBSTITUTE(CD575," "&amp;L_Role&amp;" "," ")))/(LEN(L_Role)+1)*LEN(L_Role)),0)</f>
        <v>0</v>
      </c>
      <c r="BT5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575,"revision",""),"version",""),"jan",""),"feb",""),"mar",""),"apr",""),"may",""),"jun",""),"jul",""),"aug",""),"sep",""),"oct",""),"nov",""),"dec",""),"utc",""),"gmt",""),"myt",""),"bst",""),"rev",""),"ver",""),"b","a"),"c","a"),"d","a"),"e","a"),"f","a"),"g","a"),"h","a"),"i","a"),"j","a"),"k","a"),"l","a"),"m","a"),"n","a"),"o","a"),"p","a"),"q","a"),"r","a"),"s","a"),"t","a"),"u","a"),"v","a"),"w","a"),"x","a"),"y","a"),"z","a")</f>
        <v/>
      </c>
      <c r="BU575" s="61" t="str">
        <f aca="false">SUBSTITUTE(SUBSTITUTE(SUBSTITUTE(SUBSTITUTE(SUBSTITUTE(SUBSTITUTE(SUBSTITUTE(SUBSTITUTE(SUBSTITUTE(SUBSTITUTE(LEFT(BM575,FIND("0",BM575&amp;"0")-1),"-",""),"_",""),"/",""),".",""),"#",""),"\\",""),":","")," ",""),"(",""),")","")</f>
        <v/>
      </c>
      <c r="BV575" s="61" t="n">
        <f aca="false">0</f>
        <v>0</v>
      </c>
      <c r="BW5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575&amp;""),"a",""),"b",""),"c",""),"d",""),"e",""),"f",""),"g",""),"h",""),"i",""),"j",""),"k",""),"l",""),"m",""),"n",""),"o",""),"p",""),"q",""),"r",""),"s",""),"t",""),"u",""),"v",""),"w",""),"x",""),"y",""),"z",""),"-",""),"_",""),"/",""),".",""),"#",""),"\\",""),":","")," ",""),"(",""),")","")</f>
        <v/>
      </c>
      <c r="BX575" s="61" t="str">
        <f aca="false">SUBSTITUTE(SUBSTITUTE(SUBSTITUTE(SUBSTITUTE(SUBSTITUTE(SUBSTITUTE(SUBSTITUTE(SUBSTITUTE(SUBSTITUTE(SUBSTITUTE(SUBSTITUTE(BM575,"0",""),"-",""),"_",""),"/",""),".",""),"#",""),"\\",""),":","")," ",""),"(",""),")","")</f>
        <v/>
      </c>
      <c r="BY575" s="62" t="n">
        <f aca="false">Q575-T7EarlyD*24/24</f>
        <v>46301.6006944444</v>
      </c>
      <c r="BZ575" s="61" t="n">
        <f aca="false">IFERROR(IF(IF(TRIM(S575)="Link / file path",AND(LEN(TRIM(Z575))&gt;=5,SUMPRODUCT(--ISNUMBER(SEARCH({"http","www.","\\",":\",".pdf",".jpg",".jpeg",".png",".heic",".xls",".doc",".msg",".eml",".ppt",".txt",".zip"},Z575)))&gt;0),AND(ISERROR(FIND(" ",TRIM(Z575))),NOT(OR(SUMPRODUCT(--ISNUMBER(FIND({",",";","&amp;","+"},Z575)))&gt;0,SUMPRODUCT(--ISNUMBER(SEARCH({"0/aa","0\\aa"},BN575)))&gt;0)),NOT(SUMPRODUCT(--ISNUMBER(SEARCH({"http","www.","\\",":\",".pdf",".jpg",".jpeg",".png",".heic",".xls",".doc",".msg",".eml",".ppt",".txt",".zip"},Z575)))&gt;0),NOT(LOWER(TRIM(Z575))=LOWER(Flights!$F$22)),ISNA(MATCH(BU575,{"mh","rev","revision","ver","version","v","r","a","b","seat","tray","row","gate","bay","stand","page","pg","item","line","no","cart","galley","flight","flt","table","box","bag","oven","etd","eta","std","sta","atd","ata","qty","pax","x","time","tel","ph","mob","day","wk","week","utc","gmt","myt","lt"},0)),NOT(OR(ISNUMBER(MATCH(LEFT(BN575,255),{"0000a","000a","00a","0000aa","000aa","00aa","0aa","0000aaa","000aaa","00a00","0a00","0000-0000","00:00","a00","a0","00.00.0000","00/00/0000","00-00-0000","0000-00-00","0000/00/00","0000.00.00","00.00.00","00/00/00","00-00-00","0.00.0000","0/00/0000","0-00-0000"},0)),ISNUMBER(MATCH(LEFT(BT575,255),{"0000a","000a","00a","0000aa","000aa","00aa","0aa","0000aaa","000aaa","00a00","0a00","0000-0000","00:00","a00","a0","00.00.0000","00/00/0000","00-00-0000","0000-00-00","0000/00/00","0000.00.00","00.00.00","00/00/00","00-00-00","0.00.0000","0/00/0000","0-00-0000"},0)))),NOT(OR(AND(BW575&lt;&gt;"",SUBSTITUTE(BW575,"0","")=""),AND(LEN(BW575)&gt;=4,BW575=REPT(LEFT(BW575),LEN(BW575))),ISNUMBER(MATCH(BW575,{"123","1234","12345","123456","1234567","12345678","0123","01234","012345","98765","987654","54321"},0)),ISNUMBER(MATCH(BX575,{"x","xx","xxx","xxxx","xxxxx","abc","abcd","nil","na","nan","test","tbc","tba","tbd","dummy","sample","example","eg","zz","zzz","none","null","xyz","qwe","asd","id","ref"},0)),AND(LEN(BW575)=8,BX575="",OR(LEFT(BW575,3)="202",ISNUMBER(MATCH(RIGHT(BW575,4),{"2025","2026","2027"},0)))))),OR(AND((LEN(BT575)-LEN(SUBSTITUTE(BT575,"a","")))&gt;=1,(LEN(BN575)-LEN(SUBSTITUTE(BN575,"0","")))&gt;=2,SUMPRODUCT(--ISNUMBER(SEARCH({"a0","a-0","a_0","a/0","a.0","a#0","0a","0-a","0_a","0/a"},BN575)))&gt;0),AND((LEN(BN575)-LEN(SUBSTITUTE(BN575,"a","")))=0,(LEN(BN575)-LEN(SUBSTITUTE(BN575,"0","")))&gt;=5)))),1,0),0)</f>
        <v>0</v>
      </c>
      <c r="CA5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575,"revision",""),"version",""),"jan",""),"feb",""),"mar",""),"apr",""),"may",""),"jun",""),"jul",""),"aug",""),"sep",""),"oct",""),"nov",""),"dec",""),"utc",""),"gmt",""),"myt",""),"bst",""),"rev",""),"ver",""),"b","a"),"c","a"),"d","a"),"e","a"),"f","a"),"g","a"),"h","a"),"i","a"),"j","a"),"k","a"),"l","a"),"m","a"),"n","a"),"o","a"),"p","a"),"q","a"),"r","a"),"s","a"),"t","a"),"u","a"),"v","a"),"w","a"),"x","a"),"y","a"),"z","a")</f>
        <v/>
      </c>
      <c r="CB5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575&amp;""),"a",""),"b",""),"c",""),"d",""),"e",""),"f",""),"g",""),"h",""),"i",""),"j",""),"k",""),"l",""),"m",""),"n",""),"o",""),"p",""),"q",""),"r",""),"s",""),"t",""),"u",""),"v",""),"w",""),"x",""),"y",""),"z",""),"-",""),"_",""),"/",""),".",""),"#",""),"\\",""),":","")," ",""),"(",""),")","")</f>
        <v/>
      </c>
      <c r="CC575" s="0" t="str">
        <f aca="false">" "&amp;TRIM(SUBSTITUTE(SUBSTITUTE(SUBSTITUTE(SUBSTITUTE(SUBSTITUTE(SUBSTITUTE(SUBSTITUTE(SUBSTITUTE(SUBSTITUTE(SUBSTITUTE(SUBSTITUTE(SUBSTITUTE(SUBSTITUTE(SUBSTITUTE(SUBSTITUTE(SUBSTITUTE(SUBSTITUTE(SUBSTITUTE(SUBSTITUTE(SUBSTITUTE(SUBSTITUTE(SUBSTITUTE(SUBSTITUTE(SUBSTITUTE(LOWER(T575&amp;""),CHAR(10)," "),CHAR(13)," "),CHAR(9)," "),CHAR(160)," "),"."," "),","," "),"-"," "),"/"," "),"("," "),")"," "),":"," "),";"," "),"_"," "),"–"," "),"?"," "),"!"," "),"*"," "),"["," "),"]"," "),"'"," "),"#"," "),"+"," "),"&amp;"," "),"\"," "))&amp;" "</f>
        <v>  </v>
      </c>
      <c r="CD575" s="0" t="str">
        <f aca="false">" "&amp;TRIM(SUBSTITUTE(SUBSTITUTE(SUBSTITUTE(SUBSTITUTE(SUBSTITUTE(SUBSTITUTE(SUBSTITUTE(SUBSTITUTE(SUBSTITUTE(SUBSTITUTE(SUBSTITUTE(SUBSTITUTE(SUBSTITUTE(SUBSTITUTE(SUBSTITUTE(SUBSTITUTE(SUBSTITUTE(SUBSTITUTE(SUBSTITUTE(SUBSTITUTE(SUBSTITUTE(SUBSTITUTE(SUBSTITUTE(SUBSTITUTE(LOWER(AE575&amp;""),CHAR(10)," "),CHAR(13)," "),CHAR(9)," "),CHAR(160)," "),"."," "),","," "),"-"," "),"/"," "),"("," "),")"," "),":"," "),";"," "),"_"," "),"–"," "),"?"," "),"!"," "),"*"," "),"["," "),"]"," "),"'"," "),"#"," "),"+"," "),"&amp;"," "),"\"," "))&amp;" "</f>
        <v>  </v>
      </c>
      <c r="CE575" s="68" t="n">
        <f aca="false">IFERROR(IF(AND(LEN(AU575)&gt;0,LEN(AU575)=LEN(AX575),OR(TRIM(MID(SUBSTITUTE(TRIM(CC575)," ",REPT(" ",60)),1,60))="",ISNUMBER(SEARCH(" "&amp;TRIM(MID(SUBSTITUTE(TRIM(CC575)," ",REPT(" ",60)),1,60))&amp;" ",CD575))),OR(TRIM(MID(SUBSTITUTE(TRIM(CC575)," ",REPT(" ",60)),61,60))="",ISNUMBER(SEARCH(" "&amp;TRIM(MID(SUBSTITUTE(TRIM(CC575)," ",REPT(" ",60)),61,60))&amp;" ",CD575))),OR(TRIM(MID(SUBSTITUTE(TRIM(CC575)," ",REPT(" ",60)),121,60))="",ISNUMBER(SEARCH(" "&amp;TRIM(MID(SUBSTITUTE(TRIM(CC575)," ",REPT(" ",60)),121,60))&amp;" ",CD575)))),1,0),0)</f>
        <v>0</v>
      </c>
      <c r="CG575" s="68" t="n">
        <f aca="false">IFERROR(LEN(SUBSTITUTE(BF575," ",""))-SUMPRODUCT((LEN(BF575)-LEN(SUBSTITUTE(BF575," "&amp;L_NAFiller&amp;" "," ")))/(LEN(L_NAFiller)+1)*LEN(L_NAFiller)),0)</f>
        <v>0</v>
      </c>
    </row>
    <row r="576" customFormat="false" ht="41.25" hidden="false" customHeight="true" outlineLevel="0" collapsed="false">
      <c r="A576" s="57" t="s">
        <v>1268</v>
      </c>
      <c r="B576" s="57" t="s">
        <v>293</v>
      </c>
      <c r="C576" s="57" t="str">
        <f aca="false">Flights!$F$22</f>
        <v>MH0052</v>
      </c>
      <c r="D576" s="58" t="n">
        <f aca="false">Flights!$D$22</f>
        <v>46322</v>
      </c>
      <c r="E576" s="57" t="str">
        <f aca="false">Flights!$G$22&amp;"-"&amp;Flights!$H$22</f>
        <v>KUL-KIX</v>
      </c>
      <c r="F576" s="57" t="str">
        <f aca="false">Flights!$K$22</f>
        <v>BC</v>
      </c>
      <c r="G576" s="57" t="s">
        <v>81</v>
      </c>
      <c r="H576" s="57" t="s">
        <v>378</v>
      </c>
      <c r="I576" s="57" t="s">
        <v>389</v>
      </c>
      <c r="J576" s="57" t="s">
        <v>390</v>
      </c>
      <c r="K576" s="67" t="s">
        <v>391</v>
      </c>
      <c r="L576" s="67" t="s">
        <v>382</v>
      </c>
      <c r="M576" s="67"/>
      <c r="N576" s="67" t="str">
        <f aca="false">IF(TRIM(Flights!$L$22)="A339","Required","N/A – rule")</f>
        <v>N/A – rule</v>
      </c>
      <c r="O576" s="67" t="s">
        <v>392</v>
      </c>
      <c r="P576" s="57" t="s">
        <v>187</v>
      </c>
      <c r="Q576" s="59" t="n">
        <f aca="false">ROUND((Flights!$AC$22)*1440,0)/1440</f>
        <v>46315.6006944444</v>
      </c>
      <c r="R576" s="59" t="n">
        <f aca="false">Q576+(IF(AND(INDEX(TZ_DSTS,MATCH(P576,TZ_STN,0))&lt;&gt;"",Q576&gt;=INDEX(TZ_DSTS,MATCH(P576,TZ_STN,0)),Q576&lt;INDEX(TZ_DSTE,MATCH(P576,TZ_STN,0))),INDEX(TZ_DST,MATCH(P576,TZ_STN,0)),INDEX(TZ_STD,MATCH(P576,TZ_STN,0))))/24</f>
        <v>46315.9340277778</v>
      </c>
      <c r="S576" s="60"/>
      <c r="T576" s="60"/>
      <c r="U576" s="60"/>
      <c r="V576" s="60"/>
      <c r="W576" s="61"/>
      <c r="X576" s="60"/>
      <c r="Y576" s="60"/>
      <c r="Z576" s="60"/>
      <c r="AA576" s="60"/>
      <c r="AB576" s="60"/>
      <c r="AC576" s="60"/>
      <c r="AD576" s="66"/>
      <c r="AE576" s="60"/>
      <c r="AF576" s="61" t="str">
        <f aca="false">IF(AND(ISNUMBER(X576),ISNUMBER(Y576)),Y576-X576,"")</f>
        <v/>
      </c>
      <c r="AG576" s="62" t="str">
        <f aca="false">IF(ISNUMBER(AD576),AD576-(IF(AND(INDEX(TZ_DSTS,MATCH(P576,TZ_STN,0))&lt;&gt;"",(AD576-INDEX(TZ_STD,MATCH(P576,TZ_STN,0))/24)&gt;=INDEX(TZ_DSTS,MATCH(P576,TZ_STN,0)),(AD576-INDEX(TZ_STD,MATCH(P576,TZ_STN,0))/24)&lt;INDEX(TZ_DSTE,MATCH(P576,TZ_STN,0))),INDEX(TZ_DST,MATCH(P576,TZ_STN,0)),INDEX(TZ_STD,MATCH(P576,TZ_STN,0))))/24,"")</f>
        <v/>
      </c>
      <c r="AH576" s="65" t="str">
        <f aca="false">IFERROR(IF(N576="N/A – rule",IF(OR(TRIM(U576)="",TRIM(U576)="N/A",TRIM(U576)="Not started"),"N/A – RULE","INVALID – this check does not apply to this aircraft: clear the status (or correct the fleet on Flights)"),IF(TRIM(U576)="N/A",IF(AT576=0,"INVALID – N/A not permitted for this check",IF(AND(TRIM(AB576)&lt;&gt;"",TRIM(AB576)&lt;&gt;"Closed"),"INVALID – corrective action still open",IF(AND(NOT(OR(LEN(AZ576)&lt;15,ISNUMBER(MATCH(AZ576,L_Placeholder,0)))),BK576=0,CG576&gt;=8,NOT(OR(LEN(AU576)&lt;2,ISNUMBER(MATCH(AU576,L_Placeholder,0)))),BR576&gt;=3,NOT(OR(LEN(AX576)&lt;2,ISNUMBER(MATCH(AX576,L_Placeholder,0)))),BS576&gt;=3,TRIM(AE576)&lt;&gt;TRIM(T576),AX576&lt;&gt;AU576,CE576=0),"N/A – JUSTIFIED","INVALID – N/A needs a real, settled reason (not 'not applicable' / 'as above' / TBC), a named PIC and a different named verifier"))),IF(OR(TRIM(U576)="Pass",TRIM(U576)="Pass after CA"),IF(NOT(ISNUMBER(AD576)),"INVALID – completion time missing",IF(OR(OR(LEN(AU576)&lt;2,ISNUMBER(MATCH(AU576,L_Placeholder,0))),BR576&lt;3),"INVALID – PIC missing or not a named person (a role such as QA / CSM is not a name)",IF(OR(LEN(AV576)&lt;2,ISNUMBER(MATCH(AV576,L_Placeholder,0))),"INVALID – result / assessment missing",IF(OR(OR(LEN(AW576)&lt;3,ISNUMBER(MATCH(AW576,L_Placeholder,0))),SUMPRODUCT(--ISNUMBER(SEARCH(" "&amp;L_EvidencePhrase&amp;" ",BD576)))&gt;0,BI576=1),"INVALID – evidence missing, placeholder or not yet on file",IF(ISNA(MATCH(TRIM(S576),L_EvidenceType,0)),"INVALID – choose the evidence type from the list (column S)",IF(BL576=0,"INVALID – evidence ID must be the record's own ID only (e.g. SF-2210, IMG_2231, 1045521); a link / file name needs type 'Link / file path'",IF(OR(OR(LEN(AX576)&lt;2,ISNUMBER(MATCH(AX576,L_Placeholder,0))),BS576&lt;3),"INVALID – verifier missing or not a named person (a role such as QA / CSM is not a name)",IF(OR(AX576=AU576,CE576=1,AND(LEN(AU576)&gt;=4,ISNUMBER(SEARCH(AU576,AX576))),AND(LEN(AX576)&gt;=4,ISNUMBER(SEARCH(AX576,AU576)))),"INVALID – verifier must be a different, named person (not the PIC or a role)",IF(BH576=1,"INVALID – result not yet available (awaiting / TBC)",IF(BG576=1,"INVALID – result describes a problem: record Fail, then Pass after CA (or reword if it is not a problem)",IF(BV576=1,"INVALID – wording says not on board: an on-board confirmation needs the item loaded",IF(AND(AQ576=1,OR(OR(LEN(AY576)&lt;3,ISNUMBER(MATCH(AY576,L_Placeholder,0))),BJ576=1,BQ576=0)),"INVALID – batch ID missing, placeholder or not an ID (e.g. PASB-261008-BC-017)",IF(AND(AR576=1,OR(NOT(ISNUMBER(X576)),NOT(ISNUMBER(Y576)))),"INVALID – expected/actual qty missing",IF(AND(AR576=1,OR(X576&lt;=0,Y576&lt;0)),"INVALID – expected qty must be above 0 and actual not negative",IF(BB576&lt;&gt;"",BB576,IF(AND(AS576=1,Documents!$J$22&lt;&gt;"ON FILE"),"INVALID – GLD not on file (Documents sheet)",IF(AND(AS576=2,Documents!$O$22&lt;&gt;"ON FILE"),"INVALID – menu checklist not on file (Documents sheet)",IF(AND(AS576=3,NOT(ISNUMBER(Flights!$AX$22))),"INVALID – enter carrying flight KUL departure (Flights AX)",IF(AND(AS576=3,OR(Flights!$AZ$22&gt;Flights!$AA$22,Flights!$AX$22&lt;Flights!$AA$22-3)),"INVALID – carrying flight (Flights AX) cannot arrive before this leg's STD, or is over 3 days early",IF(AG576&gt;AsOfUTC,"INVALID – completion time is in the future",IF(AND(ISNUMBER(BY576),AG576&lt;BY576),IF(H576="Physical uplift","INVALID – before uplift window (cannot confirm loading)","INVALID – before valid window"),IF(AG576&gt;Flights!$AA$22,"INVALID – completed after departure (cannot establish readiness)",IF(AND(H576="Preparation",AG576&gt;=IF(ISNUMBER(Flights!$BA$22),MIN(Flights!$BA$22,Flights!$AA$22),Flights!$AA$22)),"INVALID – completed after loading / departure (cannot establish readiness)",IF(AND(H576="Physical uplift",AG576&gt;Q576),"INVALID – recorded after the loading flight departed",IF(AG576&gt;Q576,"COMPLETE – LATE","COMPLETE"))))))))))))))))))))))))),IF(TRIM(U576)="Fail","FAIL – DISCREPANCY",IF(AND(TRIM(U576)&lt;&gt;"",TRIM(U576)&lt;&gt;"Not started",TRIM(U576)&lt;&gt;"In progress"),"INVALID – unrecognised status (use the list)",IF(AsOfUTC&gt;Q576,"OVERDUE",IF(N576="Clarification required","OPEN – CLARIFICATION","OPEN"))))))),"INVALID – error value in an input cell")</f>
        <v>N/A – RULE</v>
      </c>
      <c r="AI576" s="61" t="n">
        <f aca="false">IF(OR(AH576="N/A – RULE",AH576="N/A – JUSTIFIED"),0,1)</f>
        <v>0</v>
      </c>
      <c r="AJ576" s="61" t="n">
        <f aca="false">IF(LEFT(AH576,8)="COMPLETE",1,0)</f>
        <v>0</v>
      </c>
      <c r="AK576" s="61" t="n">
        <f aca="false">IF(AND(AI576=1,AJ576=0,AsOfUTC&gt;Q576),1,0)</f>
        <v>0</v>
      </c>
      <c r="AL576" s="61" t="n">
        <f aca="false">IFERROR(IF(AND(AI576=1,OR(TRIM(U576)="Fail",AND(TRIM(AB576)&lt;&gt;"",TRIM(AB576)&lt;&gt;"Closed"),AND(ISNUMBER(AF576),AF576&lt;&gt;0,TRIM(U576)&lt;&gt;"Pass after CA"))),1,0),1)</f>
        <v>0</v>
      </c>
      <c r="AM576" s="61" t="n">
        <f aca="false">IF(LEFT(AH576,7)="INVALID",1,0)</f>
        <v>0</v>
      </c>
      <c r="AN576" s="61" t="n">
        <f aca="false">IF(AND(N576="Clarification required",AI576=1,AJ576=0),1,0)</f>
        <v>0</v>
      </c>
      <c r="AO576" s="61" t="str">
        <f aca="false">IF(AK576=1,SUM(AK$5:AK576),"")</f>
        <v/>
      </c>
      <c r="AP576" s="61" t="str">
        <f aca="false">IF(AL576=1,SUM(AL$5:AL576),"")</f>
        <v/>
      </c>
      <c r="AQ576" s="61" t="n">
        <v>0</v>
      </c>
      <c r="AR576" s="61" t="n">
        <v>0</v>
      </c>
      <c r="AS576" s="61" t="n">
        <v>0</v>
      </c>
      <c r="AT576" s="61" t="n">
        <v>0</v>
      </c>
      <c r="AU576" s="61" t="str">
        <f aca="false">SUBSTITUTE(SUBSTITUTE(SUBSTITUTE(SUBSTITUTE(SUBSTITUTE(SUBSTITUTE(SUBSTITUTE(SUBSTITUTE(SUBSTITUTE(SUBSTITUTE(SUBSTITUTE(SUBSTITUTE(SUBSTITUTE(SUBSTITUTE(SUBSTITUTE(SUBSTITUTE(LOWER(T576&amp;""),CHAR(10),""),CHAR(13),""),CHAR(9),""),CHAR(160),"")," ",""),".",""),"-",""),"/",""),"?",""),"_",""),",",""),"[",""),"]",""),"(",""),")",""),"*","")</f>
        <v/>
      </c>
      <c r="AV576" s="61" t="str">
        <f aca="false">SUBSTITUTE(SUBSTITUTE(SUBSTITUTE(SUBSTITUTE(SUBSTITUTE(SUBSTITUTE(SUBSTITUTE(SUBSTITUTE(SUBSTITUTE(SUBSTITUTE(SUBSTITUTE(SUBSTITUTE(SUBSTITUTE(SUBSTITUTE(SUBSTITUTE(SUBSTITUTE(LOWER(V576&amp;""),CHAR(10),""),CHAR(13),""),CHAR(9),""),CHAR(160),"")," ",""),".",""),"-",""),"/",""),"?",""),"_",""),",",""),"[",""),"]",""),"(",""),")",""),"*","")</f>
        <v/>
      </c>
      <c r="AW576" s="61" t="str">
        <f aca="false">SUBSTITUTE(SUBSTITUTE(SUBSTITUTE(SUBSTITUTE(SUBSTITUTE(SUBSTITUTE(SUBSTITUTE(SUBSTITUTE(SUBSTITUTE(SUBSTITUTE(SUBSTITUTE(SUBSTITUTE(SUBSTITUTE(SUBSTITUTE(SUBSTITUTE(SUBSTITUTE(LOWER(Z576&amp;""),CHAR(10),""),CHAR(13),""),CHAR(9),""),CHAR(160),"")," ",""),".",""),"-",""),"/",""),"?",""),"_",""),",",""),"[",""),"]",""),"(",""),")",""),"*","")</f>
        <v/>
      </c>
      <c r="AX576" s="61" t="str">
        <f aca="false">SUBSTITUTE(SUBSTITUTE(SUBSTITUTE(SUBSTITUTE(SUBSTITUTE(SUBSTITUTE(SUBSTITUTE(SUBSTITUTE(SUBSTITUTE(SUBSTITUTE(SUBSTITUTE(SUBSTITUTE(SUBSTITUTE(SUBSTITUTE(SUBSTITUTE(SUBSTITUTE(LOWER(AE576&amp;""),CHAR(10),""),CHAR(13),""),CHAR(9),""),CHAR(160),"")," ",""),".",""),"-",""),"/",""),"?",""),"_",""),",",""),"[",""),"]",""),"(",""),")",""),"*","")</f>
        <v/>
      </c>
      <c r="AY576" s="61" t="str">
        <f aca="false">SUBSTITUTE(SUBSTITUTE(SUBSTITUTE(SUBSTITUTE(SUBSTITUTE(SUBSTITUTE(SUBSTITUTE(SUBSTITUTE(SUBSTITUTE(SUBSTITUTE(SUBSTITUTE(SUBSTITUTE(SUBSTITUTE(SUBSTITUTE(SUBSTITUTE(SUBSTITUTE(LOWER(W576&amp;""),CHAR(10),""),CHAR(13),""),CHAR(9),""),CHAR(160),"")," ",""),".",""),"-",""),"/",""),"?",""),"_",""),",",""),"[",""),"]",""),"(",""),")",""),"*","")</f>
        <v/>
      </c>
      <c r="AZ576" s="61" t="str">
        <f aca="false">SUBSTITUTE(SUBSTITUTE(SUBSTITUTE(SUBSTITUTE(SUBSTITUTE(SUBSTITUTE(SUBSTITUTE(SUBSTITUTE(SUBSTITUTE(SUBSTITUTE(SUBSTITUTE(SUBSTITUTE(SUBSTITUTE(SUBSTITUTE(SUBSTITUTE(SUBSTITUTE(LOWER(AC576&amp;""),CHAR(10),""),CHAR(13),""),CHAR(9),""),CHAR(160),"")," ",""),".",""),"-",""),"/",""),"?",""),"_",""),",",""),"[",""),"]",""),"(",""),")",""),"*","")</f>
        <v/>
      </c>
      <c r="BA576" s="61" t="str">
        <f aca="false">SUBSTITUTE(SUBSTITUTE(SUBSTITUTE(SUBSTITUTE(SUBSTITUTE(SUBSTITUTE(SUBSTITUTE(SUBSTITUTE(SUBSTITUTE(SUBSTITUTE(SUBSTITUTE(SUBSTITUTE(SUBSTITUTE(SUBSTITUTE(SUBSTITUTE(SUBSTITUTE(LOWER(AA576&amp;""),CHAR(10),""),CHAR(13),""),CHAR(9),""),CHAR(160),"")," ",""),".",""),"-",""),"/",""),"?",""),"_",""),",",""),"[",""),"]",""),"(",""),")",""),"*","")</f>
        <v/>
      </c>
      <c r="BB576" s="61" t="str">
        <f aca="false">IF(AND(TRIM(U576)="Pass",ISNUMBER(AF576)),IF(AF576&lt;&gt;0,"INVALID – qty variance: use Fail or Pass after CA",""),"")&amp;IF(AND(TRIM(U576)="Pass after CA",ISNUMBER(AF576)),IF(AF576&lt;&gt;0,"INVALID – after the corrective action the actual qty must equal expected (update Actual)",""),"")&amp;IF(AND(TRIM(U576)="Pass",TRIM(AB576)&lt;&gt;"",TRIM(AB576)&lt;&gt;"Closed"),"INVALID – corrective action not closed: use Fail, then Pass after CA","")&amp;IF(AND(LEN(BA576)&gt;=2,ISNA(MATCH(LEFT(BA576,255),L_Placeholder,0)),TRIM(AB576)=""),"INVALID – CA status missing for the recorded corrective action","")&amp;IF(AND(TRIM(U576)="Pass after CA",OR(OR(LEN(BA576)&lt;5,ISNUMBER(MATCH(BA576,L_Placeholder,0))),TRIM(AB576)&lt;&gt;"Closed")),"INVALID – corrective action not recorded/closed","")</f>
        <v/>
      </c>
      <c r="BC576" s="61" t="str">
        <f aca="false">" "&amp;TRIM(SUBSTITUTE(SUBSTITUTE(SUBSTITUTE(SUBSTITUTE(SUBSTITUTE(SUBSTITUTE(SUBSTITUTE(SUBSTITUTE(SUBSTITUTE(SUBSTITUTE(SUBSTITUTE(SUBSTITUTE(SUBSTITUTE(SUBSTITUTE(SUBSTITUTE(SUBSTITUTE(SUBSTITUTE(SUBSTITUTE(SUBSTITUTE(SUBSTITUTE(SUBSTITUTE(SUBSTITUTE(SUBSTITUTE(SUBSTITUTE(LOWER(V576&amp;""),CHAR(10)," "),CHAR(13)," "),CHAR(9)," "),CHAR(160)," "),"."," "),","," "),"-"," "),"/"," "),"("," "),")"," "),":"," "),";"," "),"_"," "),"–"," "),"?"," "),"!"," "),"*"," "),"["," "),"]"," "),"'"," "),"#"," "),"+"," "),"&amp;"," "),"\"," "))&amp;" "</f>
        <v>  </v>
      </c>
      <c r="BD576" s="61" t="str">
        <f aca="false">" "&amp;TRIM(SUBSTITUTE(SUBSTITUTE(SUBSTITUTE(SUBSTITUTE(SUBSTITUTE(SUBSTITUTE(SUBSTITUTE(SUBSTITUTE(SUBSTITUTE(SUBSTITUTE(SUBSTITUTE(SUBSTITUTE(SUBSTITUTE(SUBSTITUTE(SUBSTITUTE(SUBSTITUTE(SUBSTITUTE(SUBSTITUTE(SUBSTITUTE(SUBSTITUTE(SUBSTITUTE(SUBSTITUTE(SUBSTITUTE(SUBSTITUTE(LOWER(Z576&amp;""),CHAR(10)," "),CHAR(13)," "),CHAR(9)," "),CHAR(160)," "),"."," "),","," "),"-"," "),"/"," "),"("," "),")"," "),":"," "),";"," "),"_"," "),"–"," "),"?"," "),"!"," "),"*"," "),"["," "),"]"," "),"'"," "),"#"," "),"+"," "),"&amp;"," "),"\"," "))&amp;" "</f>
        <v>  </v>
      </c>
      <c r="BE576" s="61" t="str">
        <f aca="false">" "&amp;TRIM(SUBSTITUTE(SUBSTITUTE(SUBSTITUTE(SUBSTITUTE(SUBSTITUTE(SUBSTITUTE(SUBSTITUTE(SUBSTITUTE(SUBSTITUTE(SUBSTITUTE(SUBSTITUTE(SUBSTITUTE(SUBSTITUTE(SUBSTITUTE(SUBSTITUTE(SUBSTITUTE(SUBSTITUTE(SUBSTITUTE(SUBSTITUTE(SUBSTITUTE(SUBSTITUTE(SUBSTITUTE(SUBSTITUTE(SUBSTITUTE(LOWER(W576&amp;""),CHAR(10)," "),CHAR(13)," "),CHAR(9)," "),CHAR(160)," "),"."," "),","," "),"-"," "),"/"," "),"("," "),")"," "),":"," "),";"," "),"_"," "),"–"," "),"?"," "),"!"," "),"*"," "),"["," "),"]"," "),"'"," "),"#"," "),"+"," "),"&amp;"," "),"\"," "))&amp;" "</f>
        <v>  </v>
      </c>
      <c r="BF576" s="61" t="str">
        <f aca="false">" "&amp;TRIM(SUBSTITUTE(SUBSTITUTE(SUBSTITUTE(SUBSTITUTE(SUBSTITUTE(SUBSTITUTE(SUBSTITUTE(SUBSTITUTE(SUBSTITUTE(SUBSTITUTE(SUBSTITUTE(SUBSTITUTE(SUBSTITUTE(SUBSTITUTE(SUBSTITUTE(SUBSTITUTE(SUBSTITUTE(SUBSTITUTE(SUBSTITUTE(SUBSTITUTE(SUBSTITUTE(SUBSTITUTE(SUBSTITUTE(SUBSTITUTE(LOWER(AC576&amp;""),CHAR(10)," "),CHAR(13)," "),CHAR(9)," "),CHAR(160)," "),"."," "),","," "),"-"," "),"/"," "),"("," "),")"," "),":"," "),";"," "),"_"," "),"–"," "),"?"," "),"!"," "),"*"," "),"["," "),"]"," "),"'"," "),"#"," "),"+"," "),"&amp;"," "),"\"," "))&amp;" "</f>
        <v>  </v>
      </c>
      <c r="BG576" s="61" t="n">
        <f aca="false">IFERROR(IF(AND(TRIM(U576)="Pass",SUMPRODUCT((LEN(BC576)-LEN(SUBSTITUTE(BC576," "&amp;L_ResultBad&amp;" "," ")))/(LEN(L_ResultBad)+1))&gt;SUMPRODUCT((LEN(BC576)-LEN(SUBSTITUTE(BC576," "&amp;L_NegPhrase&amp;" "," ")))/(LEN(L_NegPhrase)+1))),1,0),0)</f>
        <v>0</v>
      </c>
      <c r="BH576" s="61" t="n">
        <f aca="false">IFERROR(IF(SUMPRODUCT((LEN(BC576)-LEN(SUBSTITUTE(BC576," "&amp;L_Pending&amp;" "," ")))/(LEN(L_Pending)+1))&gt;SUMPRODUCT((LEN(BC576)-LEN(SUBSTITUTE(BC576," "&amp;L_PendNeg&amp;" "," ")))/(LEN(L_PendNeg)+1))+SUMPRODUCT((LEN(BC576)-LEN(SUBSTITUTE(BC576," "&amp;L_PendPrep&amp;" "," ")))/(LEN(L_PendPrep)+1)),1,0),1)</f>
        <v>0</v>
      </c>
      <c r="BI576" s="61" t="n">
        <f aca="false">IFERROR(IF(SUMPRODUCT((LEN(BD576)-LEN(SUBSTITUTE(BD576," "&amp;L_PendStrict&amp;" "," ")))/(LEN(L_PendStrict)+1))&gt;SUMPRODUCT((LEN(BD576)-LEN(SUBSTITUTE(BD576," "&amp;L_PendNeg&amp;" "," ")))/(LEN(L_PendNeg)+1)),1,0),1)</f>
        <v>0</v>
      </c>
      <c r="BJ576" s="61" t="n">
        <f aca="false">IFERROR(IF(SUMPRODUCT((LEN(BE576)-LEN(SUBSTITUTE(BE576," "&amp;L_Pending&amp;" "," ")))/(LEN(L_Pending)+1))&gt;SUMPRODUCT((LEN(BE576)-LEN(SUBSTITUTE(BE576," "&amp;L_PendNeg&amp;" "," ")))/(LEN(L_PendNeg)+1))+SUMPRODUCT((LEN(BE576)-LEN(SUBSTITUTE(BE576," "&amp;L_PendPrep&amp;" "," ")))/(LEN(L_PendPrep)+1)),1,0),1)</f>
        <v>0</v>
      </c>
      <c r="BK576" s="61" t="n">
        <f aca="false">IFERROR(IF(SUMPRODUCT((LEN(BF576)-LEN(SUBSTITUTE(BF576," "&amp;L_PendStrict&amp;" "," ")))/(LEN(L_PendStrict)+1))&gt;SUMPRODUCT((LEN(BF576)-LEN(SUBSTITUTE(BF576," "&amp;L_PendNeg&amp;" "," ")))/(LEN(L_PendNeg)+1)),1,0),1)</f>
        <v>0</v>
      </c>
      <c r="BL576" s="61" t="n">
        <f aca="false">IF(ISNA(MATCH(TRIM(S576),L_EvidenceType,0)),0,BZ576)</f>
        <v>0</v>
      </c>
      <c r="BM576" s="61" t="str">
        <f aca="false">SUBSTITUTE(SUBSTITUTE(SUBSTITUTE(SUBSTITUTE(SUBSTITUTE(SUBSTITUTE(SUBSTITUTE(SUBSTITUTE(SUBSTITUTE(LOWER(Z576&amp;""),"1","0"),"2","0"),"3","0"),"4","0"),"5","0"),"6","0"),"7","0"),"8","0"),"9","0")</f>
        <v/>
      </c>
      <c r="BN576" s="61" t="str">
        <f aca="false">SUBSTITUTE(SUBSTITUTE(SUBSTITUTE(SUBSTITUTE(SUBSTITUTE(SUBSTITUTE(SUBSTITUTE(SUBSTITUTE(SUBSTITUTE(SUBSTITUTE(SUBSTITUTE(SUBSTITUTE(SUBSTITUTE(SUBSTITUTE(SUBSTITUTE(SUBSTITUTE(SUBSTITUTE(SUBSTITUTE(SUBSTITUTE(SUBSTITUTE(SUBSTITUTE(SUBSTITUTE(SUBSTITUTE(SUBSTITUTE(SUBSTITUTE(BM576,"b","a"),"c","a"),"d","a"),"e","a"),"f","a"),"g","a"),"h","a"),"i","a"),"j","a"),"k","a"),"l","a"),"m","a"),"n","a"),"o","a"),"p","a"),"q","a"),"r","a"),"s","a"),"t","a"),"u","a"),"v","a"),"w","a"),"x","a"),"y","a"),"z","a")</f>
        <v/>
      </c>
      <c r="BO576" s="61" t="str">
        <f aca="false">SUBSTITUTE(SUBSTITUTE(SUBSTITUTE(SUBSTITUTE(SUBSTITUTE(SUBSTITUTE(SUBSTITUTE(SUBSTITUTE(SUBSTITUTE(LOWER(W576&amp;""),"1","0"),"2","0"),"3","0"),"4","0"),"5","0"),"6","0"),"7","0"),"8","0"),"9","0")</f>
        <v/>
      </c>
      <c r="BP576" s="61" t="str">
        <f aca="false">SUBSTITUTE(SUBSTITUTE(SUBSTITUTE(SUBSTITUTE(SUBSTITUTE(SUBSTITUTE(SUBSTITUTE(SUBSTITUTE(SUBSTITUTE(SUBSTITUTE(SUBSTITUTE(SUBSTITUTE(SUBSTITUTE(SUBSTITUTE(SUBSTITUTE(SUBSTITUTE(SUBSTITUTE(SUBSTITUTE(SUBSTITUTE(SUBSTITUTE(SUBSTITUTE(SUBSTITUTE(SUBSTITUTE(SUBSTITUTE(SUBSTITUTE(BO576,"b","a"),"c","a"),"d","a"),"e","a"),"f","a"),"g","a"),"h","a"),"i","a"),"j","a"),"k","a"),"l","a"),"m","a"),"n","a"),"o","a"),"p","a"),"q","a"),"r","a"),"s","a"),"t","a"),"u","a"),"v","a"),"w","a"),"x","a"),"y","a"),"z","a")</f>
        <v/>
      </c>
      <c r="BQ576" s="61" t="n">
        <f aca="false">IFERROR(IF(AND(ISERROR(SEARCH(" mh"," "&amp;LOWER(W576))),ISNA(MATCH(LEFT(TRIM(BP576),255),{"0000a","000a","00a","0000aa","000aa","00aa","0aa","0000aaa","000aaa","00a00","0a00","0000-0000","00:00","a00","a0","00.00.0000","00/00/0000","00-00-0000","0000-00-00","0000/00/00","0000.00.00","00.00.00","00/00/00","00-00-00","0.00.0000","0/00/0000","0-00-0000"},0)),ISNA(MATCH(LEFT(TRIM(CA576),255),{"0000a","000a","00a","0000aa","000aa","00aa","0aa","0000aaa","000aaa","00a00","0a00","0000-0000","00:00","a00","a0","00.00.0000","00/00/0000","00-00-0000","0000-00-00","0000/00/00","0000.00.00","00.00.00","00/00/00","00-00-00","0.00.0000","0/00/0000","0-00-0000"},0)),LEN(CB576)&gt;=3,NOT(OR(SUBSTITUTE(CB576,"0","")="",AND(LEN(CB576)&gt;=4,CB576=REPT(LEFT(CB576),LEN(CB576))),ISNUMBER(MATCH(CB576,{"123","1234","12345","123456","1234567","12345678","0123","01234","012345","98765","987654","54321"},0)),AND(LEN(CB576)=8,LEFT(CB576,3)="202"))),OR(AND((LEN(CA576)-LEN(SUBSTITUTE(CA576,"a","")))&gt;=1,SUMPRODUCT(--ISNUMBER(SEARCH({"a0","a-0","a_0","a/0","a.0","a#0","0a","0-a","0_a","0/a"},BP576)))&gt;0),ISNUMBER(SEARCH("000000",BP576)))),1,0),0)</f>
        <v>0</v>
      </c>
      <c r="BR576" s="61" t="n">
        <f aca="false">IFERROR(LEN(SUBSTITUTE(CC576," ",""))-SUMPRODUCT((LEN(CC576)-LEN(SUBSTITUTE(CC576," "&amp;L_Role&amp;" "," ")))/(LEN(L_Role)+1)*LEN(L_Role)),0)</f>
        <v>0</v>
      </c>
      <c r="BS576" s="61" t="n">
        <f aca="false">IFERROR(LEN(SUBSTITUTE(CD576," ",""))-SUMPRODUCT((LEN(CD576)-LEN(SUBSTITUTE(CD576," "&amp;L_Role&amp;" "," ")))/(LEN(L_Role)+1)*LEN(L_Role)),0)</f>
        <v>0</v>
      </c>
      <c r="BT5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576,"revision",""),"version",""),"jan",""),"feb",""),"mar",""),"apr",""),"may",""),"jun",""),"jul",""),"aug",""),"sep",""),"oct",""),"nov",""),"dec",""),"utc",""),"gmt",""),"myt",""),"bst",""),"rev",""),"ver",""),"b","a"),"c","a"),"d","a"),"e","a"),"f","a"),"g","a"),"h","a"),"i","a"),"j","a"),"k","a"),"l","a"),"m","a"),"n","a"),"o","a"),"p","a"),"q","a"),"r","a"),"s","a"),"t","a"),"u","a"),"v","a"),"w","a"),"x","a"),"y","a"),"z","a")</f>
        <v/>
      </c>
      <c r="BU576" s="61" t="str">
        <f aca="false">SUBSTITUTE(SUBSTITUTE(SUBSTITUTE(SUBSTITUTE(SUBSTITUTE(SUBSTITUTE(SUBSTITUTE(SUBSTITUTE(SUBSTITUTE(SUBSTITUTE(LEFT(BM576,FIND("0",BM576&amp;"0")-1),"-",""),"_",""),"/",""),".",""),"#",""),"\\",""),":","")," ",""),"(",""),")","")</f>
        <v/>
      </c>
      <c r="BV576" s="61" t="n">
        <f aca="false">0</f>
        <v>0</v>
      </c>
      <c r="BW5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576&amp;""),"a",""),"b",""),"c",""),"d",""),"e",""),"f",""),"g",""),"h",""),"i",""),"j",""),"k",""),"l",""),"m",""),"n",""),"o",""),"p",""),"q",""),"r",""),"s",""),"t",""),"u",""),"v",""),"w",""),"x",""),"y",""),"z",""),"-",""),"_",""),"/",""),".",""),"#",""),"\\",""),":","")," ",""),"(",""),")","")</f>
        <v/>
      </c>
      <c r="BX576" s="61" t="str">
        <f aca="false">SUBSTITUTE(SUBSTITUTE(SUBSTITUTE(SUBSTITUTE(SUBSTITUTE(SUBSTITUTE(SUBSTITUTE(SUBSTITUTE(SUBSTITUTE(SUBSTITUTE(SUBSTITUTE(BM576,"0",""),"-",""),"_",""),"/",""),".",""),"#",""),"\\",""),":","")," ",""),"(",""),")","")</f>
        <v/>
      </c>
      <c r="BY576" s="62" t="n">
        <f aca="false">Q576-T7EarlyD*24/24</f>
        <v>46301.6006944444</v>
      </c>
      <c r="BZ576" s="61" t="n">
        <f aca="false">IFERROR(IF(IF(TRIM(S576)="Link / file path",AND(LEN(TRIM(Z576))&gt;=5,SUMPRODUCT(--ISNUMBER(SEARCH({"http","www.","\\",":\",".pdf",".jpg",".jpeg",".png",".heic",".xls",".doc",".msg",".eml",".ppt",".txt",".zip"},Z576)))&gt;0),AND(ISERROR(FIND(" ",TRIM(Z576))),NOT(OR(SUMPRODUCT(--ISNUMBER(FIND({",",";","&amp;","+"},Z576)))&gt;0,SUMPRODUCT(--ISNUMBER(SEARCH({"0/aa","0\\aa"},BN576)))&gt;0)),NOT(SUMPRODUCT(--ISNUMBER(SEARCH({"http","www.","\\",":\",".pdf",".jpg",".jpeg",".png",".heic",".xls",".doc",".msg",".eml",".ppt",".txt",".zip"},Z576)))&gt;0),NOT(LOWER(TRIM(Z576))=LOWER(Flights!$F$22)),ISNA(MATCH(BU576,{"mh","rev","revision","ver","version","v","r","a","b","seat","tray","row","gate","bay","stand","page","pg","item","line","no","cart","galley","flight","flt","table","box","bag","oven","etd","eta","std","sta","atd","ata","qty","pax","x","time","tel","ph","mob","day","wk","week","utc","gmt","myt","lt"},0)),NOT(OR(ISNUMBER(MATCH(LEFT(BN576,255),{"0000a","000a","00a","0000aa","000aa","00aa","0aa","0000aaa","000aaa","00a00","0a00","0000-0000","00:00","a00","a0","00.00.0000","00/00/0000","00-00-0000","0000-00-00","0000/00/00","0000.00.00","00.00.00","00/00/00","00-00-00","0.00.0000","0/00/0000","0-00-0000"},0)),ISNUMBER(MATCH(LEFT(BT576,255),{"0000a","000a","00a","0000aa","000aa","00aa","0aa","0000aaa","000aaa","00a00","0a00","0000-0000","00:00","a00","a0","00.00.0000","00/00/0000","00-00-0000","0000-00-00","0000/00/00","0000.00.00","00.00.00","00/00/00","00-00-00","0.00.0000","0/00/0000","0-00-0000"},0)))),NOT(OR(AND(BW576&lt;&gt;"",SUBSTITUTE(BW576,"0","")=""),AND(LEN(BW576)&gt;=4,BW576=REPT(LEFT(BW576),LEN(BW576))),ISNUMBER(MATCH(BW576,{"123","1234","12345","123456","1234567","12345678","0123","01234","012345","98765","987654","54321"},0)),ISNUMBER(MATCH(BX576,{"x","xx","xxx","xxxx","xxxxx","abc","abcd","nil","na","nan","test","tbc","tba","tbd","dummy","sample","example","eg","zz","zzz","none","null","xyz","qwe","asd","id","ref"},0)),AND(LEN(BW576)=8,BX576="",OR(LEFT(BW576,3)="202",ISNUMBER(MATCH(RIGHT(BW576,4),{"2025","2026","2027"},0)))))),OR(AND((LEN(BT576)-LEN(SUBSTITUTE(BT576,"a","")))&gt;=1,(LEN(BN576)-LEN(SUBSTITUTE(BN576,"0","")))&gt;=2,SUMPRODUCT(--ISNUMBER(SEARCH({"a0","a-0","a_0","a/0","a.0","a#0","0a","0-a","0_a","0/a"},BN576)))&gt;0),AND((LEN(BN576)-LEN(SUBSTITUTE(BN576,"a","")))=0,(LEN(BN576)-LEN(SUBSTITUTE(BN576,"0","")))&gt;=5)))),1,0),0)</f>
        <v>0</v>
      </c>
      <c r="CA5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576,"revision",""),"version",""),"jan",""),"feb",""),"mar",""),"apr",""),"may",""),"jun",""),"jul",""),"aug",""),"sep",""),"oct",""),"nov",""),"dec",""),"utc",""),"gmt",""),"myt",""),"bst",""),"rev",""),"ver",""),"b","a"),"c","a"),"d","a"),"e","a"),"f","a"),"g","a"),"h","a"),"i","a"),"j","a"),"k","a"),"l","a"),"m","a"),"n","a"),"o","a"),"p","a"),"q","a"),"r","a"),"s","a"),"t","a"),"u","a"),"v","a"),"w","a"),"x","a"),"y","a"),"z","a")</f>
        <v/>
      </c>
      <c r="CB5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576&amp;""),"a",""),"b",""),"c",""),"d",""),"e",""),"f",""),"g",""),"h",""),"i",""),"j",""),"k",""),"l",""),"m",""),"n",""),"o",""),"p",""),"q",""),"r",""),"s",""),"t",""),"u",""),"v",""),"w",""),"x",""),"y",""),"z",""),"-",""),"_",""),"/",""),".",""),"#",""),"\\",""),":","")," ",""),"(",""),")","")</f>
        <v/>
      </c>
      <c r="CC576" s="0" t="str">
        <f aca="false">" "&amp;TRIM(SUBSTITUTE(SUBSTITUTE(SUBSTITUTE(SUBSTITUTE(SUBSTITUTE(SUBSTITUTE(SUBSTITUTE(SUBSTITUTE(SUBSTITUTE(SUBSTITUTE(SUBSTITUTE(SUBSTITUTE(SUBSTITUTE(SUBSTITUTE(SUBSTITUTE(SUBSTITUTE(SUBSTITUTE(SUBSTITUTE(SUBSTITUTE(SUBSTITUTE(SUBSTITUTE(SUBSTITUTE(SUBSTITUTE(SUBSTITUTE(LOWER(T576&amp;""),CHAR(10)," "),CHAR(13)," "),CHAR(9)," "),CHAR(160)," "),"."," "),","," "),"-"," "),"/"," "),"("," "),")"," "),":"," "),";"," "),"_"," "),"–"," "),"?"," "),"!"," "),"*"," "),"["," "),"]"," "),"'"," "),"#"," "),"+"," "),"&amp;"," "),"\"," "))&amp;" "</f>
        <v>  </v>
      </c>
      <c r="CD576" s="0" t="str">
        <f aca="false">" "&amp;TRIM(SUBSTITUTE(SUBSTITUTE(SUBSTITUTE(SUBSTITUTE(SUBSTITUTE(SUBSTITUTE(SUBSTITUTE(SUBSTITUTE(SUBSTITUTE(SUBSTITUTE(SUBSTITUTE(SUBSTITUTE(SUBSTITUTE(SUBSTITUTE(SUBSTITUTE(SUBSTITUTE(SUBSTITUTE(SUBSTITUTE(SUBSTITUTE(SUBSTITUTE(SUBSTITUTE(SUBSTITUTE(SUBSTITUTE(SUBSTITUTE(LOWER(AE576&amp;""),CHAR(10)," "),CHAR(13)," "),CHAR(9)," "),CHAR(160)," "),"."," "),","," "),"-"," "),"/"," "),"("," "),")"," "),":"," "),";"," "),"_"," "),"–"," "),"?"," "),"!"," "),"*"," "),"["," "),"]"," "),"'"," "),"#"," "),"+"," "),"&amp;"," "),"\"," "))&amp;" "</f>
        <v>  </v>
      </c>
      <c r="CE576" s="68" t="n">
        <f aca="false">IFERROR(IF(AND(LEN(AU576)&gt;0,LEN(AU576)=LEN(AX576),OR(TRIM(MID(SUBSTITUTE(TRIM(CC576)," ",REPT(" ",60)),1,60))="",ISNUMBER(SEARCH(" "&amp;TRIM(MID(SUBSTITUTE(TRIM(CC576)," ",REPT(" ",60)),1,60))&amp;" ",CD576))),OR(TRIM(MID(SUBSTITUTE(TRIM(CC576)," ",REPT(" ",60)),61,60))="",ISNUMBER(SEARCH(" "&amp;TRIM(MID(SUBSTITUTE(TRIM(CC576)," ",REPT(" ",60)),61,60))&amp;" ",CD576))),OR(TRIM(MID(SUBSTITUTE(TRIM(CC576)," ",REPT(" ",60)),121,60))="",ISNUMBER(SEARCH(" "&amp;TRIM(MID(SUBSTITUTE(TRIM(CC576)," ",REPT(" ",60)),121,60))&amp;" ",CD576)))),1,0),0)</f>
        <v>0</v>
      </c>
      <c r="CG576" s="68" t="n">
        <f aca="false">IFERROR(LEN(SUBSTITUTE(BF576," ",""))-SUMPRODUCT((LEN(BF576)-LEN(SUBSTITUTE(BF576," "&amp;L_NAFiller&amp;" "," ")))/(LEN(L_NAFiller)+1)*LEN(L_NAFiller)),0)</f>
        <v>0</v>
      </c>
    </row>
    <row r="577" customFormat="false" ht="39.75" hidden="false" customHeight="true" outlineLevel="0" collapsed="false">
      <c r="A577" s="57" t="s">
        <v>1269</v>
      </c>
      <c r="B577" s="57" t="s">
        <v>293</v>
      </c>
      <c r="C577" s="57" t="str">
        <f aca="false">Flights!$F$22</f>
        <v>MH0052</v>
      </c>
      <c r="D577" s="58" t="n">
        <f aca="false">Flights!$D$22</f>
        <v>46322</v>
      </c>
      <c r="E577" s="57" t="str">
        <f aca="false">Flights!$G$22&amp;"-"&amp;Flights!$H$22</f>
        <v>KUL-KIX</v>
      </c>
      <c r="F577" s="57" t="str">
        <f aca="false">Flights!$K$22</f>
        <v>BC</v>
      </c>
      <c r="G577" s="57" t="s">
        <v>81</v>
      </c>
      <c r="H577" s="57" t="s">
        <v>378</v>
      </c>
      <c r="I577" s="57" t="s">
        <v>394</v>
      </c>
      <c r="J577" s="57" t="s">
        <v>395</v>
      </c>
      <c r="K577" s="67" t="s">
        <v>396</v>
      </c>
      <c r="L577" s="67" t="s">
        <v>382</v>
      </c>
      <c r="M577" s="67"/>
      <c r="N577" s="67" t="s">
        <v>383</v>
      </c>
      <c r="O577" s="67"/>
      <c r="P577" s="57" t="s">
        <v>187</v>
      </c>
      <c r="Q577" s="59" t="n">
        <f aca="false">ROUND((Flights!$AC$22)*1440,0)/1440</f>
        <v>46315.6006944444</v>
      </c>
      <c r="R577" s="59" t="n">
        <f aca="false">Q577+(IF(AND(INDEX(TZ_DSTS,MATCH(P577,TZ_STN,0))&lt;&gt;"",Q577&gt;=INDEX(TZ_DSTS,MATCH(P577,TZ_STN,0)),Q577&lt;INDEX(TZ_DSTE,MATCH(P577,TZ_STN,0))),INDEX(TZ_DST,MATCH(P577,TZ_STN,0)),INDEX(TZ_STD,MATCH(P577,TZ_STN,0))))/24</f>
        <v>46315.9340277778</v>
      </c>
      <c r="S577" s="60"/>
      <c r="T577" s="60"/>
      <c r="U577" s="60"/>
      <c r="V577" s="60"/>
      <c r="W577" s="61"/>
      <c r="X577" s="60"/>
      <c r="Y577" s="60"/>
      <c r="Z577" s="60"/>
      <c r="AA577" s="60"/>
      <c r="AB577" s="60"/>
      <c r="AC577" s="60"/>
      <c r="AD577" s="66"/>
      <c r="AE577" s="60"/>
      <c r="AF577" s="61" t="str">
        <f aca="false">IF(AND(ISNUMBER(X577),ISNUMBER(Y577)),Y577-X577,"")</f>
        <v/>
      </c>
      <c r="AG577" s="62" t="str">
        <f aca="false">IF(ISNUMBER(AD577),AD577-(IF(AND(INDEX(TZ_DSTS,MATCH(P577,TZ_STN,0))&lt;&gt;"",(AD577-INDEX(TZ_STD,MATCH(P577,TZ_STN,0))/24)&gt;=INDEX(TZ_DSTS,MATCH(P577,TZ_STN,0)),(AD577-INDEX(TZ_STD,MATCH(P577,TZ_STN,0))/24)&lt;INDEX(TZ_DSTE,MATCH(P577,TZ_STN,0))),INDEX(TZ_DST,MATCH(P577,TZ_STN,0)),INDEX(TZ_STD,MATCH(P577,TZ_STN,0))))/24,"")</f>
        <v/>
      </c>
      <c r="AH577" s="65" t="str">
        <f aca="false">IFERROR(IF(N577="N/A – rule",IF(OR(TRIM(U577)="",TRIM(U577)="N/A",TRIM(U577)="Not started"),"N/A – RULE","INVALID – this check does not apply to this aircraft: clear the status (or correct the fleet on Flights)"),IF(TRIM(U577)="N/A",IF(AT577=0,"INVALID – N/A not permitted for this check",IF(AND(TRIM(AB577)&lt;&gt;"",TRIM(AB577)&lt;&gt;"Closed"),"INVALID – corrective action still open",IF(AND(NOT(OR(LEN(AZ577)&lt;15,ISNUMBER(MATCH(AZ577,L_Placeholder,0)))),BK577=0,CG577&gt;=8,NOT(OR(LEN(AU577)&lt;2,ISNUMBER(MATCH(AU577,L_Placeholder,0)))),BR577&gt;=3,NOT(OR(LEN(AX577)&lt;2,ISNUMBER(MATCH(AX577,L_Placeholder,0)))),BS577&gt;=3,TRIM(AE577)&lt;&gt;TRIM(T577),AX577&lt;&gt;AU577,CE577=0),"N/A – JUSTIFIED","INVALID – N/A needs a real, settled reason (not 'not applicable' / 'as above' / TBC), a named PIC and a different named verifier"))),IF(OR(TRIM(U577)="Pass",TRIM(U577)="Pass after CA"),IF(NOT(ISNUMBER(AD577)),"INVALID – completion time missing",IF(OR(OR(LEN(AU577)&lt;2,ISNUMBER(MATCH(AU577,L_Placeholder,0))),BR577&lt;3),"INVALID – PIC missing or not a named person (a role such as QA / CSM is not a name)",IF(OR(LEN(AV577)&lt;2,ISNUMBER(MATCH(AV577,L_Placeholder,0))),"INVALID – result / assessment missing",IF(OR(OR(LEN(AW577)&lt;3,ISNUMBER(MATCH(AW577,L_Placeholder,0))),SUMPRODUCT(--ISNUMBER(SEARCH(" "&amp;L_EvidencePhrase&amp;" ",BD577)))&gt;0,BI577=1),"INVALID – evidence missing, placeholder or not yet on file",IF(ISNA(MATCH(TRIM(S577),L_EvidenceType,0)),"INVALID – choose the evidence type from the list (column S)",IF(BL577=0,"INVALID – evidence ID must be the record's own ID only (e.g. SF-2210, IMG_2231, 1045521); a link / file name needs type 'Link / file path'",IF(OR(OR(LEN(AX577)&lt;2,ISNUMBER(MATCH(AX577,L_Placeholder,0))),BS577&lt;3),"INVALID – verifier missing or not a named person (a role such as QA / CSM is not a name)",IF(OR(AX577=AU577,CE577=1,AND(LEN(AU577)&gt;=4,ISNUMBER(SEARCH(AU577,AX577))),AND(LEN(AX577)&gt;=4,ISNUMBER(SEARCH(AX577,AU577)))),"INVALID – verifier must be a different, named person (not the PIC or a role)",IF(BH577=1,"INVALID – result not yet available (awaiting / TBC)",IF(BG577=1,"INVALID – result describes a problem: record Fail, then Pass after CA (or reword if it is not a problem)",IF(BV577=1,"INVALID – wording says not on board: an on-board confirmation needs the item loaded",IF(AND(AQ577=1,OR(OR(LEN(AY577)&lt;3,ISNUMBER(MATCH(AY577,L_Placeholder,0))),BJ577=1,BQ577=0)),"INVALID – batch ID missing, placeholder or not an ID (e.g. PASB-261008-BC-017)",IF(AND(AR577=1,OR(NOT(ISNUMBER(X577)),NOT(ISNUMBER(Y577)))),"INVALID – expected/actual qty missing",IF(AND(AR577=1,OR(X577&lt;=0,Y577&lt;0)),"INVALID – expected qty must be above 0 and actual not negative",IF(BB577&lt;&gt;"",BB577,IF(AND(AS577=1,Documents!$J$22&lt;&gt;"ON FILE"),"INVALID – GLD not on file (Documents sheet)",IF(AND(AS577=2,Documents!$O$22&lt;&gt;"ON FILE"),"INVALID – menu checklist not on file (Documents sheet)",IF(AND(AS577=3,NOT(ISNUMBER(Flights!$AX$22))),"INVALID – enter carrying flight KUL departure (Flights AX)",IF(AND(AS577=3,OR(Flights!$AZ$22&gt;Flights!$AA$22,Flights!$AX$22&lt;Flights!$AA$22-3)),"INVALID – carrying flight (Flights AX) cannot arrive before this leg's STD, or is over 3 days early",IF(AG577&gt;AsOfUTC,"INVALID – completion time is in the future",IF(AND(ISNUMBER(BY577),AG577&lt;BY577),IF(H577="Physical uplift","INVALID – before uplift window (cannot confirm loading)","INVALID – before valid window"),IF(AG577&gt;Flights!$AA$22,"INVALID – completed after departure (cannot establish readiness)",IF(AND(H577="Preparation",AG577&gt;=IF(ISNUMBER(Flights!$BA$22),MIN(Flights!$BA$22,Flights!$AA$22),Flights!$AA$22)),"INVALID – completed after loading / departure (cannot establish readiness)",IF(AND(H577="Physical uplift",AG577&gt;Q577),"INVALID – recorded after the loading flight departed",IF(AG577&gt;Q577,"COMPLETE – LATE","COMPLETE"))))))))))))))))))))))))),IF(TRIM(U577)="Fail","FAIL – DISCREPANCY",IF(AND(TRIM(U577)&lt;&gt;"",TRIM(U577)&lt;&gt;"Not started",TRIM(U577)&lt;&gt;"In progress"),"INVALID – unrecognised status (use the list)",IF(AsOfUTC&gt;Q577,"OVERDUE",IF(N577="Clarification required","OPEN – CLARIFICATION","OPEN"))))))),"INVALID – error value in an input cell")</f>
        <v>OPEN</v>
      </c>
      <c r="AI577" s="61" t="n">
        <f aca="false">IF(OR(AH577="N/A – RULE",AH577="N/A – JUSTIFIED"),0,1)</f>
        <v>1</v>
      </c>
      <c r="AJ577" s="61" t="n">
        <f aca="false">IF(LEFT(AH577,8)="COMPLETE",1,0)</f>
        <v>0</v>
      </c>
      <c r="AK577" s="61" t="n">
        <f aca="false">IF(AND(AI577=1,AJ577=0,AsOfUTC&gt;Q577),1,0)</f>
        <v>0</v>
      </c>
      <c r="AL577" s="61" t="n">
        <f aca="false">IFERROR(IF(AND(AI577=1,OR(TRIM(U577)="Fail",AND(TRIM(AB577)&lt;&gt;"",TRIM(AB577)&lt;&gt;"Closed"),AND(ISNUMBER(AF577),AF577&lt;&gt;0,TRIM(U577)&lt;&gt;"Pass after CA"))),1,0),1)</f>
        <v>0</v>
      </c>
      <c r="AM577" s="61" t="n">
        <f aca="false">IF(LEFT(AH577,7)="INVALID",1,0)</f>
        <v>0</v>
      </c>
      <c r="AN577" s="61" t="n">
        <f aca="false">IF(AND(N577="Clarification required",AI577=1,AJ577=0),1,0)</f>
        <v>0</v>
      </c>
      <c r="AO577" s="61" t="str">
        <f aca="false">IF(AK577=1,SUM(AK$5:AK577),"")</f>
        <v/>
      </c>
      <c r="AP577" s="61" t="str">
        <f aca="false">IF(AL577=1,SUM(AL$5:AL577),"")</f>
        <v/>
      </c>
      <c r="AQ577" s="61" t="n">
        <v>0</v>
      </c>
      <c r="AR577" s="61" t="n">
        <v>0</v>
      </c>
      <c r="AS577" s="61" t="n">
        <v>0</v>
      </c>
      <c r="AT577" s="61" t="n">
        <v>0</v>
      </c>
      <c r="AU577" s="61" t="str">
        <f aca="false">SUBSTITUTE(SUBSTITUTE(SUBSTITUTE(SUBSTITUTE(SUBSTITUTE(SUBSTITUTE(SUBSTITUTE(SUBSTITUTE(SUBSTITUTE(SUBSTITUTE(SUBSTITUTE(SUBSTITUTE(SUBSTITUTE(SUBSTITUTE(SUBSTITUTE(SUBSTITUTE(LOWER(T577&amp;""),CHAR(10),""),CHAR(13),""),CHAR(9),""),CHAR(160),"")," ",""),".",""),"-",""),"/",""),"?",""),"_",""),",",""),"[",""),"]",""),"(",""),")",""),"*","")</f>
        <v/>
      </c>
      <c r="AV577" s="61" t="str">
        <f aca="false">SUBSTITUTE(SUBSTITUTE(SUBSTITUTE(SUBSTITUTE(SUBSTITUTE(SUBSTITUTE(SUBSTITUTE(SUBSTITUTE(SUBSTITUTE(SUBSTITUTE(SUBSTITUTE(SUBSTITUTE(SUBSTITUTE(SUBSTITUTE(SUBSTITUTE(SUBSTITUTE(LOWER(V577&amp;""),CHAR(10),""),CHAR(13),""),CHAR(9),""),CHAR(160),"")," ",""),".",""),"-",""),"/",""),"?",""),"_",""),",",""),"[",""),"]",""),"(",""),")",""),"*","")</f>
        <v/>
      </c>
      <c r="AW577" s="61" t="str">
        <f aca="false">SUBSTITUTE(SUBSTITUTE(SUBSTITUTE(SUBSTITUTE(SUBSTITUTE(SUBSTITUTE(SUBSTITUTE(SUBSTITUTE(SUBSTITUTE(SUBSTITUTE(SUBSTITUTE(SUBSTITUTE(SUBSTITUTE(SUBSTITUTE(SUBSTITUTE(SUBSTITUTE(LOWER(Z577&amp;""),CHAR(10),""),CHAR(13),""),CHAR(9),""),CHAR(160),"")," ",""),".",""),"-",""),"/",""),"?",""),"_",""),",",""),"[",""),"]",""),"(",""),")",""),"*","")</f>
        <v/>
      </c>
      <c r="AX577" s="61" t="str">
        <f aca="false">SUBSTITUTE(SUBSTITUTE(SUBSTITUTE(SUBSTITUTE(SUBSTITUTE(SUBSTITUTE(SUBSTITUTE(SUBSTITUTE(SUBSTITUTE(SUBSTITUTE(SUBSTITUTE(SUBSTITUTE(SUBSTITUTE(SUBSTITUTE(SUBSTITUTE(SUBSTITUTE(LOWER(AE577&amp;""),CHAR(10),""),CHAR(13),""),CHAR(9),""),CHAR(160),"")," ",""),".",""),"-",""),"/",""),"?",""),"_",""),",",""),"[",""),"]",""),"(",""),")",""),"*","")</f>
        <v/>
      </c>
      <c r="AY577" s="61" t="str">
        <f aca="false">SUBSTITUTE(SUBSTITUTE(SUBSTITUTE(SUBSTITUTE(SUBSTITUTE(SUBSTITUTE(SUBSTITUTE(SUBSTITUTE(SUBSTITUTE(SUBSTITUTE(SUBSTITUTE(SUBSTITUTE(SUBSTITUTE(SUBSTITUTE(SUBSTITUTE(SUBSTITUTE(LOWER(W577&amp;""),CHAR(10),""),CHAR(13),""),CHAR(9),""),CHAR(160),"")," ",""),".",""),"-",""),"/",""),"?",""),"_",""),",",""),"[",""),"]",""),"(",""),")",""),"*","")</f>
        <v/>
      </c>
      <c r="AZ577" s="61" t="str">
        <f aca="false">SUBSTITUTE(SUBSTITUTE(SUBSTITUTE(SUBSTITUTE(SUBSTITUTE(SUBSTITUTE(SUBSTITUTE(SUBSTITUTE(SUBSTITUTE(SUBSTITUTE(SUBSTITUTE(SUBSTITUTE(SUBSTITUTE(SUBSTITUTE(SUBSTITUTE(SUBSTITUTE(LOWER(AC577&amp;""),CHAR(10),""),CHAR(13),""),CHAR(9),""),CHAR(160),"")," ",""),".",""),"-",""),"/",""),"?",""),"_",""),",",""),"[",""),"]",""),"(",""),")",""),"*","")</f>
        <v/>
      </c>
      <c r="BA577" s="61" t="str">
        <f aca="false">SUBSTITUTE(SUBSTITUTE(SUBSTITUTE(SUBSTITUTE(SUBSTITUTE(SUBSTITUTE(SUBSTITUTE(SUBSTITUTE(SUBSTITUTE(SUBSTITUTE(SUBSTITUTE(SUBSTITUTE(SUBSTITUTE(SUBSTITUTE(SUBSTITUTE(SUBSTITUTE(LOWER(AA577&amp;""),CHAR(10),""),CHAR(13),""),CHAR(9),""),CHAR(160),"")," ",""),".",""),"-",""),"/",""),"?",""),"_",""),",",""),"[",""),"]",""),"(",""),")",""),"*","")</f>
        <v/>
      </c>
      <c r="BB577" s="61" t="str">
        <f aca="false">IF(AND(TRIM(U577)="Pass",ISNUMBER(AF577)),IF(AF577&lt;&gt;0,"INVALID – qty variance: use Fail or Pass after CA",""),"")&amp;IF(AND(TRIM(U577)="Pass after CA",ISNUMBER(AF577)),IF(AF577&lt;&gt;0,"INVALID – after the corrective action the actual qty must equal expected (update Actual)",""),"")&amp;IF(AND(TRIM(U577)="Pass",TRIM(AB577)&lt;&gt;"",TRIM(AB577)&lt;&gt;"Closed"),"INVALID – corrective action not closed: use Fail, then Pass after CA","")&amp;IF(AND(LEN(BA577)&gt;=2,ISNA(MATCH(LEFT(BA577,255),L_Placeholder,0)),TRIM(AB577)=""),"INVALID – CA status missing for the recorded corrective action","")&amp;IF(AND(TRIM(U577)="Pass after CA",OR(OR(LEN(BA577)&lt;5,ISNUMBER(MATCH(BA577,L_Placeholder,0))),TRIM(AB577)&lt;&gt;"Closed")),"INVALID – corrective action not recorded/closed","")</f>
        <v/>
      </c>
      <c r="BC577" s="61" t="str">
        <f aca="false">" "&amp;TRIM(SUBSTITUTE(SUBSTITUTE(SUBSTITUTE(SUBSTITUTE(SUBSTITUTE(SUBSTITUTE(SUBSTITUTE(SUBSTITUTE(SUBSTITUTE(SUBSTITUTE(SUBSTITUTE(SUBSTITUTE(SUBSTITUTE(SUBSTITUTE(SUBSTITUTE(SUBSTITUTE(SUBSTITUTE(SUBSTITUTE(SUBSTITUTE(SUBSTITUTE(SUBSTITUTE(SUBSTITUTE(SUBSTITUTE(SUBSTITUTE(LOWER(V577&amp;""),CHAR(10)," "),CHAR(13)," "),CHAR(9)," "),CHAR(160)," "),"."," "),","," "),"-"," "),"/"," "),"("," "),")"," "),":"," "),";"," "),"_"," "),"–"," "),"?"," "),"!"," "),"*"," "),"["," "),"]"," "),"'"," "),"#"," "),"+"," "),"&amp;"," "),"\"," "))&amp;" "</f>
        <v>  </v>
      </c>
      <c r="BD577" s="61" t="str">
        <f aca="false">" "&amp;TRIM(SUBSTITUTE(SUBSTITUTE(SUBSTITUTE(SUBSTITUTE(SUBSTITUTE(SUBSTITUTE(SUBSTITUTE(SUBSTITUTE(SUBSTITUTE(SUBSTITUTE(SUBSTITUTE(SUBSTITUTE(SUBSTITUTE(SUBSTITUTE(SUBSTITUTE(SUBSTITUTE(SUBSTITUTE(SUBSTITUTE(SUBSTITUTE(SUBSTITUTE(SUBSTITUTE(SUBSTITUTE(SUBSTITUTE(SUBSTITUTE(LOWER(Z577&amp;""),CHAR(10)," "),CHAR(13)," "),CHAR(9)," "),CHAR(160)," "),"."," "),","," "),"-"," "),"/"," "),"("," "),")"," "),":"," "),";"," "),"_"," "),"–"," "),"?"," "),"!"," "),"*"," "),"["," "),"]"," "),"'"," "),"#"," "),"+"," "),"&amp;"," "),"\"," "))&amp;" "</f>
        <v>  </v>
      </c>
      <c r="BE577" s="61" t="str">
        <f aca="false">" "&amp;TRIM(SUBSTITUTE(SUBSTITUTE(SUBSTITUTE(SUBSTITUTE(SUBSTITUTE(SUBSTITUTE(SUBSTITUTE(SUBSTITUTE(SUBSTITUTE(SUBSTITUTE(SUBSTITUTE(SUBSTITUTE(SUBSTITUTE(SUBSTITUTE(SUBSTITUTE(SUBSTITUTE(SUBSTITUTE(SUBSTITUTE(SUBSTITUTE(SUBSTITUTE(SUBSTITUTE(SUBSTITUTE(SUBSTITUTE(SUBSTITUTE(LOWER(W577&amp;""),CHAR(10)," "),CHAR(13)," "),CHAR(9)," "),CHAR(160)," "),"."," "),","," "),"-"," "),"/"," "),"("," "),")"," "),":"," "),";"," "),"_"," "),"–"," "),"?"," "),"!"," "),"*"," "),"["," "),"]"," "),"'"," "),"#"," "),"+"," "),"&amp;"," "),"\"," "))&amp;" "</f>
        <v>  </v>
      </c>
      <c r="BF577" s="61" t="str">
        <f aca="false">" "&amp;TRIM(SUBSTITUTE(SUBSTITUTE(SUBSTITUTE(SUBSTITUTE(SUBSTITUTE(SUBSTITUTE(SUBSTITUTE(SUBSTITUTE(SUBSTITUTE(SUBSTITUTE(SUBSTITUTE(SUBSTITUTE(SUBSTITUTE(SUBSTITUTE(SUBSTITUTE(SUBSTITUTE(SUBSTITUTE(SUBSTITUTE(SUBSTITUTE(SUBSTITUTE(SUBSTITUTE(SUBSTITUTE(SUBSTITUTE(SUBSTITUTE(LOWER(AC577&amp;""),CHAR(10)," "),CHAR(13)," "),CHAR(9)," "),CHAR(160)," "),"."," "),","," "),"-"," "),"/"," "),"("," "),")"," "),":"," "),";"," "),"_"," "),"–"," "),"?"," "),"!"," "),"*"," "),"["," "),"]"," "),"'"," "),"#"," "),"+"," "),"&amp;"," "),"\"," "))&amp;" "</f>
        <v>  </v>
      </c>
      <c r="BG577" s="61" t="n">
        <f aca="false">IFERROR(IF(AND(TRIM(U577)="Pass",SUMPRODUCT((LEN(BC577)-LEN(SUBSTITUTE(BC577," "&amp;L_ResultBad&amp;" "," ")))/(LEN(L_ResultBad)+1))&gt;SUMPRODUCT((LEN(BC577)-LEN(SUBSTITUTE(BC577," "&amp;L_NegPhrase&amp;" "," ")))/(LEN(L_NegPhrase)+1))),1,0),0)</f>
        <v>0</v>
      </c>
      <c r="BH577" s="61" t="n">
        <f aca="false">IFERROR(IF(SUMPRODUCT((LEN(BC577)-LEN(SUBSTITUTE(BC577," "&amp;L_Pending&amp;" "," ")))/(LEN(L_Pending)+1))&gt;SUMPRODUCT((LEN(BC577)-LEN(SUBSTITUTE(BC577," "&amp;L_PendNeg&amp;" "," ")))/(LEN(L_PendNeg)+1))+SUMPRODUCT((LEN(BC577)-LEN(SUBSTITUTE(BC577," "&amp;L_PendPrep&amp;" "," ")))/(LEN(L_PendPrep)+1)),1,0),1)</f>
        <v>0</v>
      </c>
      <c r="BI577" s="61" t="n">
        <f aca="false">IFERROR(IF(SUMPRODUCT((LEN(BD577)-LEN(SUBSTITUTE(BD577," "&amp;L_PendStrict&amp;" "," ")))/(LEN(L_PendStrict)+1))&gt;SUMPRODUCT((LEN(BD577)-LEN(SUBSTITUTE(BD577," "&amp;L_PendNeg&amp;" "," ")))/(LEN(L_PendNeg)+1)),1,0),1)</f>
        <v>0</v>
      </c>
      <c r="BJ577" s="61" t="n">
        <f aca="false">IFERROR(IF(SUMPRODUCT((LEN(BE577)-LEN(SUBSTITUTE(BE577," "&amp;L_Pending&amp;" "," ")))/(LEN(L_Pending)+1))&gt;SUMPRODUCT((LEN(BE577)-LEN(SUBSTITUTE(BE577," "&amp;L_PendNeg&amp;" "," ")))/(LEN(L_PendNeg)+1))+SUMPRODUCT((LEN(BE577)-LEN(SUBSTITUTE(BE577," "&amp;L_PendPrep&amp;" "," ")))/(LEN(L_PendPrep)+1)),1,0),1)</f>
        <v>0</v>
      </c>
      <c r="BK577" s="61" t="n">
        <f aca="false">IFERROR(IF(SUMPRODUCT((LEN(BF577)-LEN(SUBSTITUTE(BF577," "&amp;L_PendStrict&amp;" "," ")))/(LEN(L_PendStrict)+1))&gt;SUMPRODUCT((LEN(BF577)-LEN(SUBSTITUTE(BF577," "&amp;L_PendNeg&amp;" "," ")))/(LEN(L_PendNeg)+1)),1,0),1)</f>
        <v>0</v>
      </c>
      <c r="BL577" s="61" t="n">
        <f aca="false">IF(ISNA(MATCH(TRIM(S577),L_EvidenceType,0)),0,BZ577)</f>
        <v>0</v>
      </c>
      <c r="BM577" s="61" t="str">
        <f aca="false">SUBSTITUTE(SUBSTITUTE(SUBSTITUTE(SUBSTITUTE(SUBSTITUTE(SUBSTITUTE(SUBSTITUTE(SUBSTITUTE(SUBSTITUTE(LOWER(Z577&amp;""),"1","0"),"2","0"),"3","0"),"4","0"),"5","0"),"6","0"),"7","0"),"8","0"),"9","0")</f>
        <v/>
      </c>
      <c r="BN577" s="61" t="str">
        <f aca="false">SUBSTITUTE(SUBSTITUTE(SUBSTITUTE(SUBSTITUTE(SUBSTITUTE(SUBSTITUTE(SUBSTITUTE(SUBSTITUTE(SUBSTITUTE(SUBSTITUTE(SUBSTITUTE(SUBSTITUTE(SUBSTITUTE(SUBSTITUTE(SUBSTITUTE(SUBSTITUTE(SUBSTITUTE(SUBSTITUTE(SUBSTITUTE(SUBSTITUTE(SUBSTITUTE(SUBSTITUTE(SUBSTITUTE(SUBSTITUTE(SUBSTITUTE(BM577,"b","a"),"c","a"),"d","a"),"e","a"),"f","a"),"g","a"),"h","a"),"i","a"),"j","a"),"k","a"),"l","a"),"m","a"),"n","a"),"o","a"),"p","a"),"q","a"),"r","a"),"s","a"),"t","a"),"u","a"),"v","a"),"w","a"),"x","a"),"y","a"),"z","a")</f>
        <v/>
      </c>
      <c r="BO577" s="61" t="str">
        <f aca="false">SUBSTITUTE(SUBSTITUTE(SUBSTITUTE(SUBSTITUTE(SUBSTITUTE(SUBSTITUTE(SUBSTITUTE(SUBSTITUTE(SUBSTITUTE(LOWER(W577&amp;""),"1","0"),"2","0"),"3","0"),"4","0"),"5","0"),"6","0"),"7","0"),"8","0"),"9","0")</f>
        <v/>
      </c>
      <c r="BP577" s="61" t="str">
        <f aca="false">SUBSTITUTE(SUBSTITUTE(SUBSTITUTE(SUBSTITUTE(SUBSTITUTE(SUBSTITUTE(SUBSTITUTE(SUBSTITUTE(SUBSTITUTE(SUBSTITUTE(SUBSTITUTE(SUBSTITUTE(SUBSTITUTE(SUBSTITUTE(SUBSTITUTE(SUBSTITUTE(SUBSTITUTE(SUBSTITUTE(SUBSTITUTE(SUBSTITUTE(SUBSTITUTE(SUBSTITUTE(SUBSTITUTE(SUBSTITUTE(SUBSTITUTE(BO577,"b","a"),"c","a"),"d","a"),"e","a"),"f","a"),"g","a"),"h","a"),"i","a"),"j","a"),"k","a"),"l","a"),"m","a"),"n","a"),"o","a"),"p","a"),"q","a"),"r","a"),"s","a"),"t","a"),"u","a"),"v","a"),"w","a"),"x","a"),"y","a"),"z","a")</f>
        <v/>
      </c>
      <c r="BQ577" s="61" t="n">
        <f aca="false">IFERROR(IF(AND(ISERROR(SEARCH(" mh"," "&amp;LOWER(W577))),ISNA(MATCH(LEFT(TRIM(BP577),255),{"0000a","000a","00a","0000aa","000aa","00aa","0aa","0000aaa","000aaa","00a00","0a00","0000-0000","00:00","a00","a0","00.00.0000","00/00/0000","00-00-0000","0000-00-00","0000/00/00","0000.00.00","00.00.00","00/00/00","00-00-00","0.00.0000","0/00/0000","0-00-0000"},0)),ISNA(MATCH(LEFT(TRIM(CA577),255),{"0000a","000a","00a","0000aa","000aa","00aa","0aa","0000aaa","000aaa","00a00","0a00","0000-0000","00:00","a00","a0","00.00.0000","00/00/0000","00-00-0000","0000-00-00","0000/00/00","0000.00.00","00.00.00","00/00/00","00-00-00","0.00.0000","0/00/0000","0-00-0000"},0)),LEN(CB577)&gt;=3,NOT(OR(SUBSTITUTE(CB577,"0","")="",AND(LEN(CB577)&gt;=4,CB577=REPT(LEFT(CB577),LEN(CB577))),ISNUMBER(MATCH(CB577,{"123","1234","12345","123456","1234567","12345678","0123","01234","012345","98765","987654","54321"},0)),AND(LEN(CB577)=8,LEFT(CB577,3)="202"))),OR(AND((LEN(CA577)-LEN(SUBSTITUTE(CA577,"a","")))&gt;=1,SUMPRODUCT(--ISNUMBER(SEARCH({"a0","a-0","a_0","a/0","a.0","a#0","0a","0-a","0_a","0/a"},BP577)))&gt;0),ISNUMBER(SEARCH("000000",BP577)))),1,0),0)</f>
        <v>0</v>
      </c>
      <c r="BR577" s="61" t="n">
        <f aca="false">IFERROR(LEN(SUBSTITUTE(CC577," ",""))-SUMPRODUCT((LEN(CC577)-LEN(SUBSTITUTE(CC577," "&amp;L_Role&amp;" "," ")))/(LEN(L_Role)+1)*LEN(L_Role)),0)</f>
        <v>0</v>
      </c>
      <c r="BS577" s="61" t="n">
        <f aca="false">IFERROR(LEN(SUBSTITUTE(CD577," ",""))-SUMPRODUCT((LEN(CD577)-LEN(SUBSTITUTE(CD577," "&amp;L_Role&amp;" "," ")))/(LEN(L_Role)+1)*LEN(L_Role)),0)</f>
        <v>0</v>
      </c>
      <c r="BT5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577,"revision",""),"version",""),"jan",""),"feb",""),"mar",""),"apr",""),"may",""),"jun",""),"jul",""),"aug",""),"sep",""),"oct",""),"nov",""),"dec",""),"utc",""),"gmt",""),"myt",""),"bst",""),"rev",""),"ver",""),"b","a"),"c","a"),"d","a"),"e","a"),"f","a"),"g","a"),"h","a"),"i","a"),"j","a"),"k","a"),"l","a"),"m","a"),"n","a"),"o","a"),"p","a"),"q","a"),"r","a"),"s","a"),"t","a"),"u","a"),"v","a"),"w","a"),"x","a"),"y","a"),"z","a")</f>
        <v/>
      </c>
      <c r="BU577" s="61" t="str">
        <f aca="false">SUBSTITUTE(SUBSTITUTE(SUBSTITUTE(SUBSTITUTE(SUBSTITUTE(SUBSTITUTE(SUBSTITUTE(SUBSTITUTE(SUBSTITUTE(SUBSTITUTE(LEFT(BM577,FIND("0",BM577&amp;"0")-1),"-",""),"_",""),"/",""),".",""),"#",""),"\\",""),":","")," ",""),"(",""),")","")</f>
        <v/>
      </c>
      <c r="BV577" s="61" t="n">
        <f aca="false">0</f>
        <v>0</v>
      </c>
      <c r="BW5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577&amp;""),"a",""),"b",""),"c",""),"d",""),"e",""),"f",""),"g",""),"h",""),"i",""),"j",""),"k",""),"l",""),"m",""),"n",""),"o",""),"p",""),"q",""),"r",""),"s",""),"t",""),"u",""),"v",""),"w",""),"x",""),"y",""),"z",""),"-",""),"_",""),"/",""),".",""),"#",""),"\\",""),":","")," ",""),"(",""),")","")</f>
        <v/>
      </c>
      <c r="BX577" s="61" t="str">
        <f aca="false">SUBSTITUTE(SUBSTITUTE(SUBSTITUTE(SUBSTITUTE(SUBSTITUTE(SUBSTITUTE(SUBSTITUTE(SUBSTITUTE(SUBSTITUTE(SUBSTITUTE(SUBSTITUTE(BM577,"0",""),"-",""),"_",""),"/",""),".",""),"#",""),"\\",""),":","")," ",""),"(",""),")","")</f>
        <v/>
      </c>
      <c r="BY577" s="62" t="n">
        <f aca="false">Q577-T7EarlyD*24/24</f>
        <v>46301.6006944444</v>
      </c>
      <c r="BZ577" s="61" t="n">
        <f aca="false">IFERROR(IF(IF(TRIM(S577)="Link / file path",AND(LEN(TRIM(Z577))&gt;=5,SUMPRODUCT(--ISNUMBER(SEARCH({"http","www.","\\",":\",".pdf",".jpg",".jpeg",".png",".heic",".xls",".doc",".msg",".eml",".ppt",".txt",".zip"},Z577)))&gt;0),AND(ISERROR(FIND(" ",TRIM(Z577))),NOT(OR(SUMPRODUCT(--ISNUMBER(FIND({",",";","&amp;","+"},Z577)))&gt;0,SUMPRODUCT(--ISNUMBER(SEARCH({"0/aa","0\\aa"},BN577)))&gt;0)),NOT(SUMPRODUCT(--ISNUMBER(SEARCH({"http","www.","\\",":\",".pdf",".jpg",".jpeg",".png",".heic",".xls",".doc",".msg",".eml",".ppt",".txt",".zip"},Z577)))&gt;0),NOT(LOWER(TRIM(Z577))=LOWER(Flights!$F$22)),ISNA(MATCH(BU577,{"mh","rev","revision","ver","version","v","r","a","b","seat","tray","row","gate","bay","stand","page","pg","item","line","no","cart","galley","flight","flt","table","box","bag","oven","etd","eta","std","sta","atd","ata","qty","pax","x","time","tel","ph","mob","day","wk","week","utc","gmt","myt","lt"},0)),NOT(OR(ISNUMBER(MATCH(LEFT(BN577,255),{"0000a","000a","00a","0000aa","000aa","00aa","0aa","0000aaa","000aaa","00a00","0a00","0000-0000","00:00","a00","a0","00.00.0000","00/00/0000","00-00-0000","0000-00-00","0000/00/00","0000.00.00","00.00.00","00/00/00","00-00-00","0.00.0000","0/00/0000","0-00-0000"},0)),ISNUMBER(MATCH(LEFT(BT577,255),{"0000a","000a","00a","0000aa","000aa","00aa","0aa","0000aaa","000aaa","00a00","0a00","0000-0000","00:00","a00","a0","00.00.0000","00/00/0000","00-00-0000","0000-00-00","0000/00/00","0000.00.00","00.00.00","00/00/00","00-00-00","0.00.0000","0/00/0000","0-00-0000"},0)))),NOT(OR(AND(BW577&lt;&gt;"",SUBSTITUTE(BW577,"0","")=""),AND(LEN(BW577)&gt;=4,BW577=REPT(LEFT(BW577),LEN(BW577))),ISNUMBER(MATCH(BW577,{"123","1234","12345","123456","1234567","12345678","0123","01234","012345","98765","987654","54321"},0)),ISNUMBER(MATCH(BX577,{"x","xx","xxx","xxxx","xxxxx","abc","abcd","nil","na","nan","test","tbc","tba","tbd","dummy","sample","example","eg","zz","zzz","none","null","xyz","qwe","asd","id","ref"},0)),AND(LEN(BW577)=8,BX577="",OR(LEFT(BW577,3)="202",ISNUMBER(MATCH(RIGHT(BW577,4),{"2025","2026","2027"},0)))))),OR(AND((LEN(BT577)-LEN(SUBSTITUTE(BT577,"a","")))&gt;=1,(LEN(BN577)-LEN(SUBSTITUTE(BN577,"0","")))&gt;=2,SUMPRODUCT(--ISNUMBER(SEARCH({"a0","a-0","a_0","a/0","a.0","a#0","0a","0-a","0_a","0/a"},BN577)))&gt;0),AND((LEN(BN577)-LEN(SUBSTITUTE(BN577,"a","")))=0,(LEN(BN577)-LEN(SUBSTITUTE(BN577,"0","")))&gt;=5)))),1,0),0)</f>
        <v>0</v>
      </c>
      <c r="CA5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577,"revision",""),"version",""),"jan",""),"feb",""),"mar",""),"apr",""),"may",""),"jun",""),"jul",""),"aug",""),"sep",""),"oct",""),"nov",""),"dec",""),"utc",""),"gmt",""),"myt",""),"bst",""),"rev",""),"ver",""),"b","a"),"c","a"),"d","a"),"e","a"),"f","a"),"g","a"),"h","a"),"i","a"),"j","a"),"k","a"),"l","a"),"m","a"),"n","a"),"o","a"),"p","a"),"q","a"),"r","a"),"s","a"),"t","a"),"u","a"),"v","a"),"w","a"),"x","a"),"y","a"),"z","a")</f>
        <v/>
      </c>
      <c r="CB5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577&amp;""),"a",""),"b",""),"c",""),"d",""),"e",""),"f",""),"g",""),"h",""),"i",""),"j",""),"k",""),"l",""),"m",""),"n",""),"o",""),"p",""),"q",""),"r",""),"s",""),"t",""),"u",""),"v",""),"w",""),"x",""),"y",""),"z",""),"-",""),"_",""),"/",""),".",""),"#",""),"\\",""),":","")," ",""),"(",""),")","")</f>
        <v/>
      </c>
      <c r="CC577" s="0" t="str">
        <f aca="false">" "&amp;TRIM(SUBSTITUTE(SUBSTITUTE(SUBSTITUTE(SUBSTITUTE(SUBSTITUTE(SUBSTITUTE(SUBSTITUTE(SUBSTITUTE(SUBSTITUTE(SUBSTITUTE(SUBSTITUTE(SUBSTITUTE(SUBSTITUTE(SUBSTITUTE(SUBSTITUTE(SUBSTITUTE(SUBSTITUTE(SUBSTITUTE(SUBSTITUTE(SUBSTITUTE(SUBSTITUTE(SUBSTITUTE(SUBSTITUTE(SUBSTITUTE(LOWER(T577&amp;""),CHAR(10)," "),CHAR(13)," "),CHAR(9)," "),CHAR(160)," "),"."," "),","," "),"-"," "),"/"," "),"("," "),")"," "),":"," "),";"," "),"_"," "),"–"," "),"?"," "),"!"," "),"*"," "),"["," "),"]"," "),"'"," "),"#"," "),"+"," "),"&amp;"," "),"\"," "))&amp;" "</f>
        <v>  </v>
      </c>
      <c r="CD577" s="0" t="str">
        <f aca="false">" "&amp;TRIM(SUBSTITUTE(SUBSTITUTE(SUBSTITUTE(SUBSTITUTE(SUBSTITUTE(SUBSTITUTE(SUBSTITUTE(SUBSTITUTE(SUBSTITUTE(SUBSTITUTE(SUBSTITUTE(SUBSTITUTE(SUBSTITUTE(SUBSTITUTE(SUBSTITUTE(SUBSTITUTE(SUBSTITUTE(SUBSTITUTE(SUBSTITUTE(SUBSTITUTE(SUBSTITUTE(SUBSTITUTE(SUBSTITUTE(SUBSTITUTE(LOWER(AE577&amp;""),CHAR(10)," "),CHAR(13)," "),CHAR(9)," "),CHAR(160)," "),"."," "),","," "),"-"," "),"/"," "),"("," "),")"," "),":"," "),";"," "),"_"," "),"–"," "),"?"," "),"!"," "),"*"," "),"["," "),"]"," "),"'"," "),"#"," "),"+"," "),"&amp;"," "),"\"," "))&amp;" "</f>
        <v>  </v>
      </c>
      <c r="CE577" s="68" t="n">
        <f aca="false">IFERROR(IF(AND(LEN(AU577)&gt;0,LEN(AU577)=LEN(AX577),OR(TRIM(MID(SUBSTITUTE(TRIM(CC577)," ",REPT(" ",60)),1,60))="",ISNUMBER(SEARCH(" "&amp;TRIM(MID(SUBSTITUTE(TRIM(CC577)," ",REPT(" ",60)),1,60))&amp;" ",CD577))),OR(TRIM(MID(SUBSTITUTE(TRIM(CC577)," ",REPT(" ",60)),61,60))="",ISNUMBER(SEARCH(" "&amp;TRIM(MID(SUBSTITUTE(TRIM(CC577)," ",REPT(" ",60)),61,60))&amp;" ",CD577))),OR(TRIM(MID(SUBSTITUTE(TRIM(CC577)," ",REPT(" ",60)),121,60))="",ISNUMBER(SEARCH(" "&amp;TRIM(MID(SUBSTITUTE(TRIM(CC577)," ",REPT(" ",60)),121,60))&amp;" ",CD577)))),1,0),0)</f>
        <v>0</v>
      </c>
      <c r="CG577" s="68" t="n">
        <f aca="false">IFERROR(LEN(SUBSTITUTE(BF577," ",""))-SUMPRODUCT((LEN(BF577)-LEN(SUBSTITUTE(BF577," "&amp;L_NAFiller&amp;" "," ")))/(LEN(L_NAFiller)+1)*LEN(L_NAFiller)),0)</f>
        <v>0</v>
      </c>
    </row>
    <row r="578" customFormat="false" ht="39.75" hidden="false" customHeight="true" outlineLevel="0" collapsed="false">
      <c r="A578" s="57" t="s">
        <v>1270</v>
      </c>
      <c r="B578" s="57" t="s">
        <v>293</v>
      </c>
      <c r="C578" s="57" t="str">
        <f aca="false">Flights!$F$22</f>
        <v>MH0052</v>
      </c>
      <c r="D578" s="58" t="n">
        <f aca="false">Flights!$D$22</f>
        <v>46322</v>
      </c>
      <c r="E578" s="57" t="str">
        <f aca="false">Flights!$G$22&amp;"-"&amp;Flights!$H$22</f>
        <v>KUL-KIX</v>
      </c>
      <c r="F578" s="57" t="str">
        <f aca="false">Flights!$K$22</f>
        <v>BC</v>
      </c>
      <c r="G578" s="57" t="s">
        <v>81</v>
      </c>
      <c r="H578" s="57" t="s">
        <v>378</v>
      </c>
      <c r="I578" s="57" t="s">
        <v>398</v>
      </c>
      <c r="J578" s="57" t="s">
        <v>399</v>
      </c>
      <c r="K578" s="67" t="s">
        <v>400</v>
      </c>
      <c r="L578" s="67" t="s">
        <v>382</v>
      </c>
      <c r="M578" s="67"/>
      <c r="N578" s="67" t="s">
        <v>383</v>
      </c>
      <c r="O578" s="67"/>
      <c r="P578" s="57" t="s">
        <v>187</v>
      </c>
      <c r="Q578" s="59" t="n">
        <f aca="false">ROUND((Flights!$AC$22)*1440,0)/1440</f>
        <v>46315.6006944444</v>
      </c>
      <c r="R578" s="59" t="n">
        <f aca="false">Q578+(IF(AND(INDEX(TZ_DSTS,MATCH(P578,TZ_STN,0))&lt;&gt;"",Q578&gt;=INDEX(TZ_DSTS,MATCH(P578,TZ_STN,0)),Q578&lt;INDEX(TZ_DSTE,MATCH(P578,TZ_STN,0))),INDEX(TZ_DST,MATCH(P578,TZ_STN,0)),INDEX(TZ_STD,MATCH(P578,TZ_STN,0))))/24</f>
        <v>46315.9340277778</v>
      </c>
      <c r="S578" s="60"/>
      <c r="T578" s="60"/>
      <c r="U578" s="60"/>
      <c r="V578" s="60"/>
      <c r="W578" s="61"/>
      <c r="X578" s="60"/>
      <c r="Y578" s="60"/>
      <c r="Z578" s="60"/>
      <c r="AA578" s="60"/>
      <c r="AB578" s="60"/>
      <c r="AC578" s="60"/>
      <c r="AD578" s="66"/>
      <c r="AE578" s="60"/>
      <c r="AF578" s="61" t="str">
        <f aca="false">IF(AND(ISNUMBER(X578),ISNUMBER(Y578)),Y578-X578,"")</f>
        <v/>
      </c>
      <c r="AG578" s="62" t="str">
        <f aca="false">IF(ISNUMBER(AD578),AD578-(IF(AND(INDEX(TZ_DSTS,MATCH(P578,TZ_STN,0))&lt;&gt;"",(AD578-INDEX(TZ_STD,MATCH(P578,TZ_STN,0))/24)&gt;=INDEX(TZ_DSTS,MATCH(P578,TZ_STN,0)),(AD578-INDEX(TZ_STD,MATCH(P578,TZ_STN,0))/24)&lt;INDEX(TZ_DSTE,MATCH(P578,TZ_STN,0))),INDEX(TZ_DST,MATCH(P578,TZ_STN,0)),INDEX(TZ_STD,MATCH(P578,TZ_STN,0))))/24,"")</f>
        <v/>
      </c>
      <c r="AH578" s="65" t="str">
        <f aca="false">IFERROR(IF(N578="N/A – rule",IF(OR(TRIM(U578)="",TRIM(U578)="N/A",TRIM(U578)="Not started"),"N/A – RULE","INVALID – this check does not apply to this aircraft: clear the status (or correct the fleet on Flights)"),IF(TRIM(U578)="N/A",IF(AT578=0,"INVALID – N/A not permitted for this check",IF(AND(TRIM(AB578)&lt;&gt;"",TRIM(AB578)&lt;&gt;"Closed"),"INVALID – corrective action still open",IF(AND(NOT(OR(LEN(AZ578)&lt;15,ISNUMBER(MATCH(AZ578,L_Placeholder,0)))),BK578=0,CG578&gt;=8,NOT(OR(LEN(AU578)&lt;2,ISNUMBER(MATCH(AU578,L_Placeholder,0)))),BR578&gt;=3,NOT(OR(LEN(AX578)&lt;2,ISNUMBER(MATCH(AX578,L_Placeholder,0)))),BS578&gt;=3,TRIM(AE578)&lt;&gt;TRIM(T578),AX578&lt;&gt;AU578,CE578=0),"N/A – JUSTIFIED","INVALID – N/A needs a real, settled reason (not 'not applicable' / 'as above' / TBC), a named PIC and a different named verifier"))),IF(OR(TRIM(U578)="Pass",TRIM(U578)="Pass after CA"),IF(NOT(ISNUMBER(AD578)),"INVALID – completion time missing",IF(OR(OR(LEN(AU578)&lt;2,ISNUMBER(MATCH(AU578,L_Placeholder,0))),BR578&lt;3),"INVALID – PIC missing or not a named person (a role such as QA / CSM is not a name)",IF(OR(LEN(AV578)&lt;2,ISNUMBER(MATCH(AV578,L_Placeholder,0))),"INVALID – result / assessment missing",IF(OR(OR(LEN(AW578)&lt;3,ISNUMBER(MATCH(AW578,L_Placeholder,0))),SUMPRODUCT(--ISNUMBER(SEARCH(" "&amp;L_EvidencePhrase&amp;" ",BD578)))&gt;0,BI578=1),"INVALID – evidence missing, placeholder or not yet on file",IF(ISNA(MATCH(TRIM(S578),L_EvidenceType,0)),"INVALID – choose the evidence type from the list (column S)",IF(BL578=0,"INVALID – evidence ID must be the record's own ID only (e.g. SF-2210, IMG_2231, 1045521); a link / file name needs type 'Link / file path'",IF(OR(OR(LEN(AX578)&lt;2,ISNUMBER(MATCH(AX578,L_Placeholder,0))),BS578&lt;3),"INVALID – verifier missing or not a named person (a role such as QA / CSM is not a name)",IF(OR(AX578=AU578,CE578=1,AND(LEN(AU578)&gt;=4,ISNUMBER(SEARCH(AU578,AX578))),AND(LEN(AX578)&gt;=4,ISNUMBER(SEARCH(AX578,AU578)))),"INVALID – verifier must be a different, named person (not the PIC or a role)",IF(BH578=1,"INVALID – result not yet available (awaiting / TBC)",IF(BG578=1,"INVALID – result describes a problem: record Fail, then Pass after CA (or reword if it is not a problem)",IF(BV578=1,"INVALID – wording says not on board: an on-board confirmation needs the item loaded",IF(AND(AQ578=1,OR(OR(LEN(AY578)&lt;3,ISNUMBER(MATCH(AY578,L_Placeholder,0))),BJ578=1,BQ578=0)),"INVALID – batch ID missing, placeholder or not an ID (e.g. PASB-261008-BC-017)",IF(AND(AR578=1,OR(NOT(ISNUMBER(X578)),NOT(ISNUMBER(Y578)))),"INVALID – expected/actual qty missing",IF(AND(AR578=1,OR(X578&lt;=0,Y578&lt;0)),"INVALID – expected qty must be above 0 and actual not negative",IF(BB578&lt;&gt;"",BB578,IF(AND(AS578=1,Documents!$J$22&lt;&gt;"ON FILE"),"INVALID – GLD not on file (Documents sheet)",IF(AND(AS578=2,Documents!$O$22&lt;&gt;"ON FILE"),"INVALID – menu checklist not on file (Documents sheet)",IF(AND(AS578=3,NOT(ISNUMBER(Flights!$AX$22))),"INVALID – enter carrying flight KUL departure (Flights AX)",IF(AND(AS578=3,OR(Flights!$AZ$22&gt;Flights!$AA$22,Flights!$AX$22&lt;Flights!$AA$22-3)),"INVALID – carrying flight (Flights AX) cannot arrive before this leg's STD, or is over 3 days early",IF(AG578&gt;AsOfUTC,"INVALID – completion time is in the future",IF(AND(ISNUMBER(BY578),AG578&lt;BY578),IF(H578="Physical uplift","INVALID – before uplift window (cannot confirm loading)","INVALID – before valid window"),IF(AG578&gt;Flights!$AA$22,"INVALID – completed after departure (cannot establish readiness)",IF(AND(H578="Preparation",AG578&gt;=IF(ISNUMBER(Flights!$BA$22),MIN(Flights!$BA$22,Flights!$AA$22),Flights!$AA$22)),"INVALID – completed after loading / departure (cannot establish readiness)",IF(AND(H578="Physical uplift",AG578&gt;Q578),"INVALID – recorded after the loading flight departed",IF(AG578&gt;Q578,"COMPLETE – LATE","COMPLETE"))))))))))))))))))))))))),IF(TRIM(U578)="Fail","FAIL – DISCREPANCY",IF(AND(TRIM(U578)&lt;&gt;"",TRIM(U578)&lt;&gt;"Not started",TRIM(U578)&lt;&gt;"In progress"),"INVALID – unrecognised status (use the list)",IF(AsOfUTC&gt;Q578,"OVERDUE",IF(N578="Clarification required","OPEN – CLARIFICATION","OPEN"))))))),"INVALID – error value in an input cell")</f>
        <v>OPEN</v>
      </c>
      <c r="AI578" s="61" t="n">
        <f aca="false">IF(OR(AH578="N/A – RULE",AH578="N/A – JUSTIFIED"),0,1)</f>
        <v>1</v>
      </c>
      <c r="AJ578" s="61" t="n">
        <f aca="false">IF(LEFT(AH578,8)="COMPLETE",1,0)</f>
        <v>0</v>
      </c>
      <c r="AK578" s="61" t="n">
        <f aca="false">IF(AND(AI578=1,AJ578=0,AsOfUTC&gt;Q578),1,0)</f>
        <v>0</v>
      </c>
      <c r="AL578" s="61" t="n">
        <f aca="false">IFERROR(IF(AND(AI578=1,OR(TRIM(U578)="Fail",AND(TRIM(AB578)&lt;&gt;"",TRIM(AB578)&lt;&gt;"Closed"),AND(ISNUMBER(AF578),AF578&lt;&gt;0,TRIM(U578)&lt;&gt;"Pass after CA"))),1,0),1)</f>
        <v>0</v>
      </c>
      <c r="AM578" s="61" t="n">
        <f aca="false">IF(LEFT(AH578,7)="INVALID",1,0)</f>
        <v>0</v>
      </c>
      <c r="AN578" s="61" t="n">
        <f aca="false">IF(AND(N578="Clarification required",AI578=1,AJ578=0),1,0)</f>
        <v>0</v>
      </c>
      <c r="AO578" s="61" t="str">
        <f aca="false">IF(AK578=1,SUM(AK$5:AK578),"")</f>
        <v/>
      </c>
      <c r="AP578" s="61" t="str">
        <f aca="false">IF(AL578=1,SUM(AL$5:AL578),"")</f>
        <v/>
      </c>
      <c r="AQ578" s="61" t="n">
        <v>0</v>
      </c>
      <c r="AR578" s="61" t="n">
        <v>0</v>
      </c>
      <c r="AS578" s="61" t="n">
        <v>0</v>
      </c>
      <c r="AT578" s="61" t="n">
        <v>0</v>
      </c>
      <c r="AU578" s="61" t="str">
        <f aca="false">SUBSTITUTE(SUBSTITUTE(SUBSTITUTE(SUBSTITUTE(SUBSTITUTE(SUBSTITUTE(SUBSTITUTE(SUBSTITUTE(SUBSTITUTE(SUBSTITUTE(SUBSTITUTE(SUBSTITUTE(SUBSTITUTE(SUBSTITUTE(SUBSTITUTE(SUBSTITUTE(LOWER(T578&amp;""),CHAR(10),""),CHAR(13),""),CHAR(9),""),CHAR(160),"")," ",""),".",""),"-",""),"/",""),"?",""),"_",""),",",""),"[",""),"]",""),"(",""),")",""),"*","")</f>
        <v/>
      </c>
      <c r="AV578" s="61" t="str">
        <f aca="false">SUBSTITUTE(SUBSTITUTE(SUBSTITUTE(SUBSTITUTE(SUBSTITUTE(SUBSTITUTE(SUBSTITUTE(SUBSTITUTE(SUBSTITUTE(SUBSTITUTE(SUBSTITUTE(SUBSTITUTE(SUBSTITUTE(SUBSTITUTE(SUBSTITUTE(SUBSTITUTE(LOWER(V578&amp;""),CHAR(10),""),CHAR(13),""),CHAR(9),""),CHAR(160),"")," ",""),".",""),"-",""),"/",""),"?",""),"_",""),",",""),"[",""),"]",""),"(",""),")",""),"*","")</f>
        <v/>
      </c>
      <c r="AW578" s="61" t="str">
        <f aca="false">SUBSTITUTE(SUBSTITUTE(SUBSTITUTE(SUBSTITUTE(SUBSTITUTE(SUBSTITUTE(SUBSTITUTE(SUBSTITUTE(SUBSTITUTE(SUBSTITUTE(SUBSTITUTE(SUBSTITUTE(SUBSTITUTE(SUBSTITUTE(SUBSTITUTE(SUBSTITUTE(LOWER(Z578&amp;""),CHAR(10),""),CHAR(13),""),CHAR(9),""),CHAR(160),"")," ",""),".",""),"-",""),"/",""),"?",""),"_",""),",",""),"[",""),"]",""),"(",""),")",""),"*","")</f>
        <v/>
      </c>
      <c r="AX578" s="61" t="str">
        <f aca="false">SUBSTITUTE(SUBSTITUTE(SUBSTITUTE(SUBSTITUTE(SUBSTITUTE(SUBSTITUTE(SUBSTITUTE(SUBSTITUTE(SUBSTITUTE(SUBSTITUTE(SUBSTITUTE(SUBSTITUTE(SUBSTITUTE(SUBSTITUTE(SUBSTITUTE(SUBSTITUTE(LOWER(AE578&amp;""),CHAR(10),""),CHAR(13),""),CHAR(9),""),CHAR(160),"")," ",""),".",""),"-",""),"/",""),"?",""),"_",""),",",""),"[",""),"]",""),"(",""),")",""),"*","")</f>
        <v/>
      </c>
      <c r="AY578" s="61" t="str">
        <f aca="false">SUBSTITUTE(SUBSTITUTE(SUBSTITUTE(SUBSTITUTE(SUBSTITUTE(SUBSTITUTE(SUBSTITUTE(SUBSTITUTE(SUBSTITUTE(SUBSTITUTE(SUBSTITUTE(SUBSTITUTE(SUBSTITUTE(SUBSTITUTE(SUBSTITUTE(SUBSTITUTE(LOWER(W578&amp;""),CHAR(10),""),CHAR(13),""),CHAR(9),""),CHAR(160),"")," ",""),".",""),"-",""),"/",""),"?",""),"_",""),",",""),"[",""),"]",""),"(",""),")",""),"*","")</f>
        <v/>
      </c>
      <c r="AZ578" s="61" t="str">
        <f aca="false">SUBSTITUTE(SUBSTITUTE(SUBSTITUTE(SUBSTITUTE(SUBSTITUTE(SUBSTITUTE(SUBSTITUTE(SUBSTITUTE(SUBSTITUTE(SUBSTITUTE(SUBSTITUTE(SUBSTITUTE(SUBSTITUTE(SUBSTITUTE(SUBSTITUTE(SUBSTITUTE(LOWER(AC578&amp;""),CHAR(10),""),CHAR(13),""),CHAR(9),""),CHAR(160),"")," ",""),".",""),"-",""),"/",""),"?",""),"_",""),",",""),"[",""),"]",""),"(",""),")",""),"*","")</f>
        <v/>
      </c>
      <c r="BA578" s="61" t="str">
        <f aca="false">SUBSTITUTE(SUBSTITUTE(SUBSTITUTE(SUBSTITUTE(SUBSTITUTE(SUBSTITUTE(SUBSTITUTE(SUBSTITUTE(SUBSTITUTE(SUBSTITUTE(SUBSTITUTE(SUBSTITUTE(SUBSTITUTE(SUBSTITUTE(SUBSTITUTE(SUBSTITUTE(LOWER(AA578&amp;""),CHAR(10),""),CHAR(13),""),CHAR(9),""),CHAR(160),"")," ",""),".",""),"-",""),"/",""),"?",""),"_",""),",",""),"[",""),"]",""),"(",""),")",""),"*","")</f>
        <v/>
      </c>
      <c r="BB578" s="61" t="str">
        <f aca="false">IF(AND(TRIM(U578)="Pass",ISNUMBER(AF578)),IF(AF578&lt;&gt;0,"INVALID – qty variance: use Fail or Pass after CA",""),"")&amp;IF(AND(TRIM(U578)="Pass after CA",ISNUMBER(AF578)),IF(AF578&lt;&gt;0,"INVALID – after the corrective action the actual qty must equal expected (update Actual)",""),"")&amp;IF(AND(TRIM(U578)="Pass",TRIM(AB578)&lt;&gt;"",TRIM(AB578)&lt;&gt;"Closed"),"INVALID – corrective action not closed: use Fail, then Pass after CA","")&amp;IF(AND(LEN(BA578)&gt;=2,ISNA(MATCH(LEFT(BA578,255),L_Placeholder,0)),TRIM(AB578)=""),"INVALID – CA status missing for the recorded corrective action","")&amp;IF(AND(TRIM(U578)="Pass after CA",OR(OR(LEN(BA578)&lt;5,ISNUMBER(MATCH(BA578,L_Placeholder,0))),TRIM(AB578)&lt;&gt;"Closed")),"INVALID – corrective action not recorded/closed","")</f>
        <v/>
      </c>
      <c r="BC578" s="61" t="str">
        <f aca="false">" "&amp;TRIM(SUBSTITUTE(SUBSTITUTE(SUBSTITUTE(SUBSTITUTE(SUBSTITUTE(SUBSTITUTE(SUBSTITUTE(SUBSTITUTE(SUBSTITUTE(SUBSTITUTE(SUBSTITUTE(SUBSTITUTE(SUBSTITUTE(SUBSTITUTE(SUBSTITUTE(SUBSTITUTE(SUBSTITUTE(SUBSTITUTE(SUBSTITUTE(SUBSTITUTE(SUBSTITUTE(SUBSTITUTE(SUBSTITUTE(SUBSTITUTE(LOWER(V578&amp;""),CHAR(10)," "),CHAR(13)," "),CHAR(9)," "),CHAR(160)," "),"."," "),","," "),"-"," "),"/"," "),"("," "),")"," "),":"," "),";"," "),"_"," "),"–"," "),"?"," "),"!"," "),"*"," "),"["," "),"]"," "),"'"," "),"#"," "),"+"," "),"&amp;"," "),"\"," "))&amp;" "</f>
        <v>  </v>
      </c>
      <c r="BD578" s="61" t="str">
        <f aca="false">" "&amp;TRIM(SUBSTITUTE(SUBSTITUTE(SUBSTITUTE(SUBSTITUTE(SUBSTITUTE(SUBSTITUTE(SUBSTITUTE(SUBSTITUTE(SUBSTITUTE(SUBSTITUTE(SUBSTITUTE(SUBSTITUTE(SUBSTITUTE(SUBSTITUTE(SUBSTITUTE(SUBSTITUTE(SUBSTITUTE(SUBSTITUTE(SUBSTITUTE(SUBSTITUTE(SUBSTITUTE(SUBSTITUTE(SUBSTITUTE(SUBSTITUTE(LOWER(Z578&amp;""),CHAR(10)," "),CHAR(13)," "),CHAR(9)," "),CHAR(160)," "),"."," "),","," "),"-"," "),"/"," "),"("," "),")"," "),":"," "),";"," "),"_"," "),"–"," "),"?"," "),"!"," "),"*"," "),"["," "),"]"," "),"'"," "),"#"," "),"+"," "),"&amp;"," "),"\"," "))&amp;" "</f>
        <v>  </v>
      </c>
      <c r="BE578" s="61" t="str">
        <f aca="false">" "&amp;TRIM(SUBSTITUTE(SUBSTITUTE(SUBSTITUTE(SUBSTITUTE(SUBSTITUTE(SUBSTITUTE(SUBSTITUTE(SUBSTITUTE(SUBSTITUTE(SUBSTITUTE(SUBSTITUTE(SUBSTITUTE(SUBSTITUTE(SUBSTITUTE(SUBSTITUTE(SUBSTITUTE(SUBSTITUTE(SUBSTITUTE(SUBSTITUTE(SUBSTITUTE(SUBSTITUTE(SUBSTITUTE(SUBSTITUTE(SUBSTITUTE(LOWER(W578&amp;""),CHAR(10)," "),CHAR(13)," "),CHAR(9)," "),CHAR(160)," "),"."," "),","," "),"-"," "),"/"," "),"("," "),")"," "),":"," "),";"," "),"_"," "),"–"," "),"?"," "),"!"," "),"*"," "),"["," "),"]"," "),"'"," "),"#"," "),"+"," "),"&amp;"," "),"\"," "))&amp;" "</f>
        <v>  </v>
      </c>
      <c r="BF578" s="61" t="str">
        <f aca="false">" "&amp;TRIM(SUBSTITUTE(SUBSTITUTE(SUBSTITUTE(SUBSTITUTE(SUBSTITUTE(SUBSTITUTE(SUBSTITUTE(SUBSTITUTE(SUBSTITUTE(SUBSTITUTE(SUBSTITUTE(SUBSTITUTE(SUBSTITUTE(SUBSTITUTE(SUBSTITUTE(SUBSTITUTE(SUBSTITUTE(SUBSTITUTE(SUBSTITUTE(SUBSTITUTE(SUBSTITUTE(SUBSTITUTE(SUBSTITUTE(SUBSTITUTE(LOWER(AC578&amp;""),CHAR(10)," "),CHAR(13)," "),CHAR(9)," "),CHAR(160)," "),"."," "),","," "),"-"," "),"/"," "),"("," "),")"," "),":"," "),";"," "),"_"," "),"–"," "),"?"," "),"!"," "),"*"," "),"["," "),"]"," "),"'"," "),"#"," "),"+"," "),"&amp;"," "),"\"," "))&amp;" "</f>
        <v>  </v>
      </c>
      <c r="BG578" s="61" t="n">
        <f aca="false">IFERROR(IF(AND(TRIM(U578)="Pass",SUMPRODUCT((LEN(BC578)-LEN(SUBSTITUTE(BC578," "&amp;L_ResultBad&amp;" "," ")))/(LEN(L_ResultBad)+1))&gt;SUMPRODUCT((LEN(BC578)-LEN(SUBSTITUTE(BC578," "&amp;L_NegPhrase&amp;" "," ")))/(LEN(L_NegPhrase)+1))),1,0),0)</f>
        <v>0</v>
      </c>
      <c r="BH578" s="61" t="n">
        <f aca="false">IFERROR(IF(SUMPRODUCT((LEN(BC578)-LEN(SUBSTITUTE(BC578," "&amp;L_Pending&amp;" "," ")))/(LEN(L_Pending)+1))&gt;SUMPRODUCT((LEN(BC578)-LEN(SUBSTITUTE(BC578," "&amp;L_PendNeg&amp;" "," ")))/(LEN(L_PendNeg)+1))+SUMPRODUCT((LEN(BC578)-LEN(SUBSTITUTE(BC578," "&amp;L_PendPrep&amp;" "," ")))/(LEN(L_PendPrep)+1)),1,0),1)</f>
        <v>0</v>
      </c>
      <c r="BI578" s="61" t="n">
        <f aca="false">IFERROR(IF(SUMPRODUCT((LEN(BD578)-LEN(SUBSTITUTE(BD578," "&amp;L_PendStrict&amp;" "," ")))/(LEN(L_PendStrict)+1))&gt;SUMPRODUCT((LEN(BD578)-LEN(SUBSTITUTE(BD578," "&amp;L_PendNeg&amp;" "," ")))/(LEN(L_PendNeg)+1)),1,0),1)</f>
        <v>0</v>
      </c>
      <c r="BJ578" s="61" t="n">
        <f aca="false">IFERROR(IF(SUMPRODUCT((LEN(BE578)-LEN(SUBSTITUTE(BE578," "&amp;L_Pending&amp;" "," ")))/(LEN(L_Pending)+1))&gt;SUMPRODUCT((LEN(BE578)-LEN(SUBSTITUTE(BE578," "&amp;L_PendNeg&amp;" "," ")))/(LEN(L_PendNeg)+1))+SUMPRODUCT((LEN(BE578)-LEN(SUBSTITUTE(BE578," "&amp;L_PendPrep&amp;" "," ")))/(LEN(L_PendPrep)+1)),1,0),1)</f>
        <v>0</v>
      </c>
      <c r="BK578" s="61" t="n">
        <f aca="false">IFERROR(IF(SUMPRODUCT((LEN(BF578)-LEN(SUBSTITUTE(BF578," "&amp;L_PendStrict&amp;" "," ")))/(LEN(L_PendStrict)+1))&gt;SUMPRODUCT((LEN(BF578)-LEN(SUBSTITUTE(BF578," "&amp;L_PendNeg&amp;" "," ")))/(LEN(L_PendNeg)+1)),1,0),1)</f>
        <v>0</v>
      </c>
      <c r="BL578" s="61" t="n">
        <f aca="false">IF(ISNA(MATCH(TRIM(S578),L_EvidenceType,0)),0,BZ578)</f>
        <v>0</v>
      </c>
      <c r="BM578" s="61" t="str">
        <f aca="false">SUBSTITUTE(SUBSTITUTE(SUBSTITUTE(SUBSTITUTE(SUBSTITUTE(SUBSTITUTE(SUBSTITUTE(SUBSTITUTE(SUBSTITUTE(LOWER(Z578&amp;""),"1","0"),"2","0"),"3","0"),"4","0"),"5","0"),"6","0"),"7","0"),"8","0"),"9","0")</f>
        <v/>
      </c>
      <c r="BN578" s="61" t="str">
        <f aca="false">SUBSTITUTE(SUBSTITUTE(SUBSTITUTE(SUBSTITUTE(SUBSTITUTE(SUBSTITUTE(SUBSTITUTE(SUBSTITUTE(SUBSTITUTE(SUBSTITUTE(SUBSTITUTE(SUBSTITUTE(SUBSTITUTE(SUBSTITUTE(SUBSTITUTE(SUBSTITUTE(SUBSTITUTE(SUBSTITUTE(SUBSTITUTE(SUBSTITUTE(SUBSTITUTE(SUBSTITUTE(SUBSTITUTE(SUBSTITUTE(SUBSTITUTE(BM578,"b","a"),"c","a"),"d","a"),"e","a"),"f","a"),"g","a"),"h","a"),"i","a"),"j","a"),"k","a"),"l","a"),"m","a"),"n","a"),"o","a"),"p","a"),"q","a"),"r","a"),"s","a"),"t","a"),"u","a"),"v","a"),"w","a"),"x","a"),"y","a"),"z","a")</f>
        <v/>
      </c>
      <c r="BO578" s="61" t="str">
        <f aca="false">SUBSTITUTE(SUBSTITUTE(SUBSTITUTE(SUBSTITUTE(SUBSTITUTE(SUBSTITUTE(SUBSTITUTE(SUBSTITUTE(SUBSTITUTE(LOWER(W578&amp;""),"1","0"),"2","0"),"3","0"),"4","0"),"5","0"),"6","0"),"7","0"),"8","0"),"9","0")</f>
        <v/>
      </c>
      <c r="BP578" s="61" t="str">
        <f aca="false">SUBSTITUTE(SUBSTITUTE(SUBSTITUTE(SUBSTITUTE(SUBSTITUTE(SUBSTITUTE(SUBSTITUTE(SUBSTITUTE(SUBSTITUTE(SUBSTITUTE(SUBSTITUTE(SUBSTITUTE(SUBSTITUTE(SUBSTITUTE(SUBSTITUTE(SUBSTITUTE(SUBSTITUTE(SUBSTITUTE(SUBSTITUTE(SUBSTITUTE(SUBSTITUTE(SUBSTITUTE(SUBSTITUTE(SUBSTITUTE(SUBSTITUTE(BO578,"b","a"),"c","a"),"d","a"),"e","a"),"f","a"),"g","a"),"h","a"),"i","a"),"j","a"),"k","a"),"l","a"),"m","a"),"n","a"),"o","a"),"p","a"),"q","a"),"r","a"),"s","a"),"t","a"),"u","a"),"v","a"),"w","a"),"x","a"),"y","a"),"z","a")</f>
        <v/>
      </c>
      <c r="BQ578" s="61" t="n">
        <f aca="false">IFERROR(IF(AND(ISERROR(SEARCH(" mh"," "&amp;LOWER(W578))),ISNA(MATCH(LEFT(TRIM(BP578),255),{"0000a","000a","00a","0000aa","000aa","00aa","0aa","0000aaa","000aaa","00a00","0a00","0000-0000","00:00","a00","a0","00.00.0000","00/00/0000","00-00-0000","0000-00-00","0000/00/00","0000.00.00","00.00.00","00/00/00","00-00-00","0.00.0000","0/00/0000","0-00-0000"},0)),ISNA(MATCH(LEFT(TRIM(CA578),255),{"0000a","000a","00a","0000aa","000aa","00aa","0aa","0000aaa","000aaa","00a00","0a00","0000-0000","00:00","a00","a0","00.00.0000","00/00/0000","00-00-0000","0000-00-00","0000/00/00","0000.00.00","00.00.00","00/00/00","00-00-00","0.00.0000","0/00/0000","0-00-0000"},0)),LEN(CB578)&gt;=3,NOT(OR(SUBSTITUTE(CB578,"0","")="",AND(LEN(CB578)&gt;=4,CB578=REPT(LEFT(CB578),LEN(CB578))),ISNUMBER(MATCH(CB578,{"123","1234","12345","123456","1234567","12345678","0123","01234","012345","98765","987654","54321"},0)),AND(LEN(CB578)=8,LEFT(CB578,3)="202"))),OR(AND((LEN(CA578)-LEN(SUBSTITUTE(CA578,"a","")))&gt;=1,SUMPRODUCT(--ISNUMBER(SEARCH({"a0","a-0","a_0","a/0","a.0","a#0","0a","0-a","0_a","0/a"},BP578)))&gt;0),ISNUMBER(SEARCH("000000",BP578)))),1,0),0)</f>
        <v>0</v>
      </c>
      <c r="BR578" s="61" t="n">
        <f aca="false">IFERROR(LEN(SUBSTITUTE(CC578," ",""))-SUMPRODUCT((LEN(CC578)-LEN(SUBSTITUTE(CC578," "&amp;L_Role&amp;" "," ")))/(LEN(L_Role)+1)*LEN(L_Role)),0)</f>
        <v>0</v>
      </c>
      <c r="BS578" s="61" t="n">
        <f aca="false">IFERROR(LEN(SUBSTITUTE(CD578," ",""))-SUMPRODUCT((LEN(CD578)-LEN(SUBSTITUTE(CD578," "&amp;L_Role&amp;" "," ")))/(LEN(L_Role)+1)*LEN(L_Role)),0)</f>
        <v>0</v>
      </c>
      <c r="BT5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578,"revision",""),"version",""),"jan",""),"feb",""),"mar",""),"apr",""),"may",""),"jun",""),"jul",""),"aug",""),"sep",""),"oct",""),"nov",""),"dec",""),"utc",""),"gmt",""),"myt",""),"bst",""),"rev",""),"ver",""),"b","a"),"c","a"),"d","a"),"e","a"),"f","a"),"g","a"),"h","a"),"i","a"),"j","a"),"k","a"),"l","a"),"m","a"),"n","a"),"o","a"),"p","a"),"q","a"),"r","a"),"s","a"),"t","a"),"u","a"),"v","a"),"w","a"),"x","a"),"y","a"),"z","a")</f>
        <v/>
      </c>
      <c r="BU578" s="61" t="str">
        <f aca="false">SUBSTITUTE(SUBSTITUTE(SUBSTITUTE(SUBSTITUTE(SUBSTITUTE(SUBSTITUTE(SUBSTITUTE(SUBSTITUTE(SUBSTITUTE(SUBSTITUTE(LEFT(BM578,FIND("0",BM578&amp;"0")-1),"-",""),"_",""),"/",""),".",""),"#",""),"\\",""),":","")," ",""),"(",""),")","")</f>
        <v/>
      </c>
      <c r="BV578" s="61" t="n">
        <f aca="false">0</f>
        <v>0</v>
      </c>
      <c r="BW5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578&amp;""),"a",""),"b",""),"c",""),"d",""),"e",""),"f",""),"g",""),"h",""),"i",""),"j",""),"k",""),"l",""),"m",""),"n",""),"o",""),"p",""),"q",""),"r",""),"s",""),"t",""),"u",""),"v",""),"w",""),"x",""),"y",""),"z",""),"-",""),"_",""),"/",""),".",""),"#",""),"\\",""),":","")," ",""),"(",""),")","")</f>
        <v/>
      </c>
      <c r="BX578" s="61" t="str">
        <f aca="false">SUBSTITUTE(SUBSTITUTE(SUBSTITUTE(SUBSTITUTE(SUBSTITUTE(SUBSTITUTE(SUBSTITUTE(SUBSTITUTE(SUBSTITUTE(SUBSTITUTE(SUBSTITUTE(BM578,"0",""),"-",""),"_",""),"/",""),".",""),"#",""),"\\",""),":","")," ",""),"(",""),")","")</f>
        <v/>
      </c>
      <c r="BY578" s="62" t="n">
        <f aca="false">Q578-T7EarlyD*24/24</f>
        <v>46301.6006944444</v>
      </c>
      <c r="BZ578" s="61" t="n">
        <f aca="false">IFERROR(IF(IF(TRIM(S578)="Link / file path",AND(LEN(TRIM(Z578))&gt;=5,SUMPRODUCT(--ISNUMBER(SEARCH({"http","www.","\\",":\",".pdf",".jpg",".jpeg",".png",".heic",".xls",".doc",".msg",".eml",".ppt",".txt",".zip"},Z578)))&gt;0),AND(ISERROR(FIND(" ",TRIM(Z578))),NOT(OR(SUMPRODUCT(--ISNUMBER(FIND({",",";","&amp;","+"},Z578)))&gt;0,SUMPRODUCT(--ISNUMBER(SEARCH({"0/aa","0\\aa"},BN578)))&gt;0)),NOT(SUMPRODUCT(--ISNUMBER(SEARCH({"http","www.","\\",":\",".pdf",".jpg",".jpeg",".png",".heic",".xls",".doc",".msg",".eml",".ppt",".txt",".zip"},Z578)))&gt;0),NOT(LOWER(TRIM(Z578))=LOWER(Flights!$F$22)),ISNA(MATCH(BU578,{"mh","rev","revision","ver","version","v","r","a","b","seat","tray","row","gate","bay","stand","page","pg","item","line","no","cart","galley","flight","flt","table","box","bag","oven","etd","eta","std","sta","atd","ata","qty","pax","x","time","tel","ph","mob","day","wk","week","utc","gmt","myt","lt"},0)),NOT(OR(ISNUMBER(MATCH(LEFT(BN578,255),{"0000a","000a","00a","0000aa","000aa","00aa","0aa","0000aaa","000aaa","00a00","0a00","0000-0000","00:00","a00","a0","00.00.0000","00/00/0000","00-00-0000","0000-00-00","0000/00/00","0000.00.00","00.00.00","00/00/00","00-00-00","0.00.0000","0/00/0000","0-00-0000"},0)),ISNUMBER(MATCH(LEFT(BT578,255),{"0000a","000a","00a","0000aa","000aa","00aa","0aa","0000aaa","000aaa","00a00","0a00","0000-0000","00:00","a00","a0","00.00.0000","00/00/0000","00-00-0000","0000-00-00","0000/00/00","0000.00.00","00.00.00","00/00/00","00-00-00","0.00.0000","0/00/0000","0-00-0000"},0)))),NOT(OR(AND(BW578&lt;&gt;"",SUBSTITUTE(BW578,"0","")=""),AND(LEN(BW578)&gt;=4,BW578=REPT(LEFT(BW578),LEN(BW578))),ISNUMBER(MATCH(BW578,{"123","1234","12345","123456","1234567","12345678","0123","01234","012345","98765","987654","54321"},0)),ISNUMBER(MATCH(BX578,{"x","xx","xxx","xxxx","xxxxx","abc","abcd","nil","na","nan","test","tbc","tba","tbd","dummy","sample","example","eg","zz","zzz","none","null","xyz","qwe","asd","id","ref"},0)),AND(LEN(BW578)=8,BX578="",OR(LEFT(BW578,3)="202",ISNUMBER(MATCH(RIGHT(BW578,4),{"2025","2026","2027"},0)))))),OR(AND((LEN(BT578)-LEN(SUBSTITUTE(BT578,"a","")))&gt;=1,(LEN(BN578)-LEN(SUBSTITUTE(BN578,"0","")))&gt;=2,SUMPRODUCT(--ISNUMBER(SEARCH({"a0","a-0","a_0","a/0","a.0","a#0","0a","0-a","0_a","0/a"},BN578)))&gt;0),AND((LEN(BN578)-LEN(SUBSTITUTE(BN578,"a","")))=0,(LEN(BN578)-LEN(SUBSTITUTE(BN578,"0","")))&gt;=5)))),1,0),0)</f>
        <v>0</v>
      </c>
      <c r="CA5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578,"revision",""),"version",""),"jan",""),"feb",""),"mar",""),"apr",""),"may",""),"jun",""),"jul",""),"aug",""),"sep",""),"oct",""),"nov",""),"dec",""),"utc",""),"gmt",""),"myt",""),"bst",""),"rev",""),"ver",""),"b","a"),"c","a"),"d","a"),"e","a"),"f","a"),"g","a"),"h","a"),"i","a"),"j","a"),"k","a"),"l","a"),"m","a"),"n","a"),"o","a"),"p","a"),"q","a"),"r","a"),"s","a"),"t","a"),"u","a"),"v","a"),"w","a"),"x","a"),"y","a"),"z","a")</f>
        <v/>
      </c>
      <c r="CB5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578&amp;""),"a",""),"b",""),"c",""),"d",""),"e",""),"f",""),"g",""),"h",""),"i",""),"j",""),"k",""),"l",""),"m",""),"n",""),"o",""),"p",""),"q",""),"r",""),"s",""),"t",""),"u",""),"v",""),"w",""),"x",""),"y",""),"z",""),"-",""),"_",""),"/",""),".",""),"#",""),"\\",""),":","")," ",""),"(",""),")","")</f>
        <v/>
      </c>
      <c r="CC578" s="0" t="str">
        <f aca="false">" "&amp;TRIM(SUBSTITUTE(SUBSTITUTE(SUBSTITUTE(SUBSTITUTE(SUBSTITUTE(SUBSTITUTE(SUBSTITUTE(SUBSTITUTE(SUBSTITUTE(SUBSTITUTE(SUBSTITUTE(SUBSTITUTE(SUBSTITUTE(SUBSTITUTE(SUBSTITUTE(SUBSTITUTE(SUBSTITUTE(SUBSTITUTE(SUBSTITUTE(SUBSTITUTE(SUBSTITUTE(SUBSTITUTE(SUBSTITUTE(SUBSTITUTE(LOWER(T578&amp;""),CHAR(10)," "),CHAR(13)," "),CHAR(9)," "),CHAR(160)," "),"."," "),","," "),"-"," "),"/"," "),"("," "),")"," "),":"," "),";"," "),"_"," "),"–"," "),"?"," "),"!"," "),"*"," "),"["," "),"]"," "),"'"," "),"#"," "),"+"," "),"&amp;"," "),"\"," "))&amp;" "</f>
        <v>  </v>
      </c>
      <c r="CD578" s="0" t="str">
        <f aca="false">" "&amp;TRIM(SUBSTITUTE(SUBSTITUTE(SUBSTITUTE(SUBSTITUTE(SUBSTITUTE(SUBSTITUTE(SUBSTITUTE(SUBSTITUTE(SUBSTITUTE(SUBSTITUTE(SUBSTITUTE(SUBSTITUTE(SUBSTITUTE(SUBSTITUTE(SUBSTITUTE(SUBSTITUTE(SUBSTITUTE(SUBSTITUTE(SUBSTITUTE(SUBSTITUTE(SUBSTITUTE(SUBSTITUTE(SUBSTITUTE(SUBSTITUTE(LOWER(AE578&amp;""),CHAR(10)," "),CHAR(13)," "),CHAR(9)," "),CHAR(160)," "),"."," "),","," "),"-"," "),"/"," "),"("," "),")"," "),":"," "),";"," "),"_"," "),"–"," "),"?"," "),"!"," "),"*"," "),"["," "),"]"," "),"'"," "),"#"," "),"+"," "),"&amp;"," "),"\"," "))&amp;" "</f>
        <v>  </v>
      </c>
      <c r="CE578" s="68" t="n">
        <f aca="false">IFERROR(IF(AND(LEN(AU578)&gt;0,LEN(AU578)=LEN(AX578),OR(TRIM(MID(SUBSTITUTE(TRIM(CC578)," ",REPT(" ",60)),1,60))="",ISNUMBER(SEARCH(" "&amp;TRIM(MID(SUBSTITUTE(TRIM(CC578)," ",REPT(" ",60)),1,60))&amp;" ",CD578))),OR(TRIM(MID(SUBSTITUTE(TRIM(CC578)," ",REPT(" ",60)),61,60))="",ISNUMBER(SEARCH(" "&amp;TRIM(MID(SUBSTITUTE(TRIM(CC578)," ",REPT(" ",60)),61,60))&amp;" ",CD578))),OR(TRIM(MID(SUBSTITUTE(TRIM(CC578)," ",REPT(" ",60)),121,60))="",ISNUMBER(SEARCH(" "&amp;TRIM(MID(SUBSTITUTE(TRIM(CC578)," ",REPT(" ",60)),121,60))&amp;" ",CD578)))),1,0),0)</f>
        <v>0</v>
      </c>
      <c r="CG578" s="68" t="n">
        <f aca="false">IFERROR(LEN(SUBSTITUTE(BF578," ",""))-SUMPRODUCT((LEN(BF578)-LEN(SUBSTITUTE(BF578," "&amp;L_NAFiller&amp;" "," ")))/(LEN(L_NAFiller)+1)*LEN(L_NAFiller)),0)</f>
        <v>0</v>
      </c>
    </row>
    <row r="579" customFormat="false" ht="39.75" hidden="false" customHeight="true" outlineLevel="0" collapsed="false">
      <c r="A579" s="57" t="s">
        <v>1271</v>
      </c>
      <c r="B579" s="57" t="s">
        <v>293</v>
      </c>
      <c r="C579" s="57" t="str">
        <f aca="false">Flights!$F$22</f>
        <v>MH0052</v>
      </c>
      <c r="D579" s="58" t="n">
        <f aca="false">Flights!$D$22</f>
        <v>46322</v>
      </c>
      <c r="E579" s="57" t="str">
        <f aca="false">Flights!$G$22&amp;"-"&amp;Flights!$H$22</f>
        <v>KUL-KIX</v>
      </c>
      <c r="F579" s="57" t="str">
        <f aca="false">Flights!$K$22</f>
        <v>BC</v>
      </c>
      <c r="G579" s="57" t="s">
        <v>81</v>
      </c>
      <c r="H579" s="57" t="s">
        <v>378</v>
      </c>
      <c r="I579" s="57" t="s">
        <v>398</v>
      </c>
      <c r="J579" s="57" t="s">
        <v>402</v>
      </c>
      <c r="K579" s="67" t="s">
        <v>403</v>
      </c>
      <c r="L579" s="67" t="s">
        <v>382</v>
      </c>
      <c r="M579" s="67"/>
      <c r="N579" s="67" t="s">
        <v>383</v>
      </c>
      <c r="O579" s="67"/>
      <c r="P579" s="57" t="s">
        <v>187</v>
      </c>
      <c r="Q579" s="59" t="n">
        <f aca="false">ROUND((Flights!$AC$22)*1440,0)/1440</f>
        <v>46315.6006944444</v>
      </c>
      <c r="R579" s="59" t="n">
        <f aca="false">Q579+(IF(AND(INDEX(TZ_DSTS,MATCH(P579,TZ_STN,0))&lt;&gt;"",Q579&gt;=INDEX(TZ_DSTS,MATCH(P579,TZ_STN,0)),Q579&lt;INDEX(TZ_DSTE,MATCH(P579,TZ_STN,0))),INDEX(TZ_DST,MATCH(P579,TZ_STN,0)),INDEX(TZ_STD,MATCH(P579,TZ_STN,0))))/24</f>
        <v>46315.9340277778</v>
      </c>
      <c r="S579" s="60"/>
      <c r="T579" s="60"/>
      <c r="U579" s="60"/>
      <c r="V579" s="60"/>
      <c r="W579" s="61"/>
      <c r="X579" s="60"/>
      <c r="Y579" s="60"/>
      <c r="Z579" s="60"/>
      <c r="AA579" s="60"/>
      <c r="AB579" s="60"/>
      <c r="AC579" s="60"/>
      <c r="AD579" s="66"/>
      <c r="AE579" s="60"/>
      <c r="AF579" s="61" t="str">
        <f aca="false">IF(AND(ISNUMBER(X579),ISNUMBER(Y579)),Y579-X579,"")</f>
        <v/>
      </c>
      <c r="AG579" s="62" t="str">
        <f aca="false">IF(ISNUMBER(AD579),AD579-(IF(AND(INDEX(TZ_DSTS,MATCH(P579,TZ_STN,0))&lt;&gt;"",(AD579-INDEX(TZ_STD,MATCH(P579,TZ_STN,0))/24)&gt;=INDEX(TZ_DSTS,MATCH(P579,TZ_STN,0)),(AD579-INDEX(TZ_STD,MATCH(P579,TZ_STN,0))/24)&lt;INDEX(TZ_DSTE,MATCH(P579,TZ_STN,0))),INDEX(TZ_DST,MATCH(P579,TZ_STN,0)),INDEX(TZ_STD,MATCH(P579,TZ_STN,0))))/24,"")</f>
        <v/>
      </c>
      <c r="AH579" s="65" t="str">
        <f aca="false">IFERROR(IF(N579="N/A – rule",IF(OR(TRIM(U579)="",TRIM(U579)="N/A",TRIM(U579)="Not started"),"N/A – RULE","INVALID – this check does not apply to this aircraft: clear the status (or correct the fleet on Flights)"),IF(TRIM(U579)="N/A",IF(AT579=0,"INVALID – N/A not permitted for this check",IF(AND(TRIM(AB579)&lt;&gt;"",TRIM(AB579)&lt;&gt;"Closed"),"INVALID – corrective action still open",IF(AND(NOT(OR(LEN(AZ579)&lt;15,ISNUMBER(MATCH(AZ579,L_Placeholder,0)))),BK579=0,CG579&gt;=8,NOT(OR(LEN(AU579)&lt;2,ISNUMBER(MATCH(AU579,L_Placeholder,0)))),BR579&gt;=3,NOT(OR(LEN(AX579)&lt;2,ISNUMBER(MATCH(AX579,L_Placeholder,0)))),BS579&gt;=3,TRIM(AE579)&lt;&gt;TRIM(T579),AX579&lt;&gt;AU579,CE579=0),"N/A – JUSTIFIED","INVALID – N/A needs a real, settled reason (not 'not applicable' / 'as above' / TBC), a named PIC and a different named verifier"))),IF(OR(TRIM(U579)="Pass",TRIM(U579)="Pass after CA"),IF(NOT(ISNUMBER(AD579)),"INVALID – completion time missing",IF(OR(OR(LEN(AU579)&lt;2,ISNUMBER(MATCH(AU579,L_Placeholder,0))),BR579&lt;3),"INVALID – PIC missing or not a named person (a role such as QA / CSM is not a name)",IF(OR(LEN(AV579)&lt;2,ISNUMBER(MATCH(AV579,L_Placeholder,0))),"INVALID – result / assessment missing",IF(OR(OR(LEN(AW579)&lt;3,ISNUMBER(MATCH(AW579,L_Placeholder,0))),SUMPRODUCT(--ISNUMBER(SEARCH(" "&amp;L_EvidencePhrase&amp;" ",BD579)))&gt;0,BI579=1),"INVALID – evidence missing, placeholder or not yet on file",IF(ISNA(MATCH(TRIM(S579),L_EvidenceType,0)),"INVALID – choose the evidence type from the list (column S)",IF(BL579=0,"INVALID – evidence ID must be the record's own ID only (e.g. SF-2210, IMG_2231, 1045521); a link / file name needs type 'Link / file path'",IF(OR(OR(LEN(AX579)&lt;2,ISNUMBER(MATCH(AX579,L_Placeholder,0))),BS579&lt;3),"INVALID – verifier missing or not a named person (a role such as QA / CSM is not a name)",IF(OR(AX579=AU579,CE579=1,AND(LEN(AU579)&gt;=4,ISNUMBER(SEARCH(AU579,AX579))),AND(LEN(AX579)&gt;=4,ISNUMBER(SEARCH(AX579,AU579)))),"INVALID – verifier must be a different, named person (not the PIC or a role)",IF(BH579=1,"INVALID – result not yet available (awaiting / TBC)",IF(BG579=1,"INVALID – result describes a problem: record Fail, then Pass after CA (or reword if it is not a problem)",IF(BV579=1,"INVALID – wording says not on board: an on-board confirmation needs the item loaded",IF(AND(AQ579=1,OR(OR(LEN(AY579)&lt;3,ISNUMBER(MATCH(AY579,L_Placeholder,0))),BJ579=1,BQ579=0)),"INVALID – batch ID missing, placeholder or not an ID (e.g. PASB-261008-BC-017)",IF(AND(AR579=1,OR(NOT(ISNUMBER(X579)),NOT(ISNUMBER(Y579)))),"INVALID – expected/actual qty missing",IF(AND(AR579=1,OR(X579&lt;=0,Y579&lt;0)),"INVALID – expected qty must be above 0 and actual not negative",IF(BB579&lt;&gt;"",BB579,IF(AND(AS579=1,Documents!$J$22&lt;&gt;"ON FILE"),"INVALID – GLD not on file (Documents sheet)",IF(AND(AS579=2,Documents!$O$22&lt;&gt;"ON FILE"),"INVALID – menu checklist not on file (Documents sheet)",IF(AND(AS579=3,NOT(ISNUMBER(Flights!$AX$22))),"INVALID – enter carrying flight KUL departure (Flights AX)",IF(AND(AS579=3,OR(Flights!$AZ$22&gt;Flights!$AA$22,Flights!$AX$22&lt;Flights!$AA$22-3)),"INVALID – carrying flight (Flights AX) cannot arrive before this leg's STD, or is over 3 days early",IF(AG579&gt;AsOfUTC,"INVALID – completion time is in the future",IF(AND(ISNUMBER(BY579),AG579&lt;BY579),IF(H579="Physical uplift","INVALID – before uplift window (cannot confirm loading)","INVALID – before valid window"),IF(AG579&gt;Flights!$AA$22,"INVALID – completed after departure (cannot establish readiness)",IF(AND(H579="Preparation",AG579&gt;=IF(ISNUMBER(Flights!$BA$22),MIN(Flights!$BA$22,Flights!$AA$22),Flights!$AA$22)),"INVALID – completed after loading / departure (cannot establish readiness)",IF(AND(H579="Physical uplift",AG579&gt;Q579),"INVALID – recorded after the loading flight departed",IF(AG579&gt;Q579,"COMPLETE – LATE","COMPLETE"))))))))))))))))))))))))),IF(TRIM(U579)="Fail","FAIL – DISCREPANCY",IF(AND(TRIM(U579)&lt;&gt;"",TRIM(U579)&lt;&gt;"Not started",TRIM(U579)&lt;&gt;"In progress"),"INVALID – unrecognised status (use the list)",IF(AsOfUTC&gt;Q579,"OVERDUE",IF(N579="Clarification required","OPEN – CLARIFICATION","OPEN"))))))),"INVALID – error value in an input cell")</f>
        <v>OPEN</v>
      </c>
      <c r="AI579" s="61" t="n">
        <f aca="false">IF(OR(AH579="N/A – RULE",AH579="N/A – JUSTIFIED"),0,1)</f>
        <v>1</v>
      </c>
      <c r="AJ579" s="61" t="n">
        <f aca="false">IF(LEFT(AH579,8)="COMPLETE",1,0)</f>
        <v>0</v>
      </c>
      <c r="AK579" s="61" t="n">
        <f aca="false">IF(AND(AI579=1,AJ579=0,AsOfUTC&gt;Q579),1,0)</f>
        <v>0</v>
      </c>
      <c r="AL579" s="61" t="n">
        <f aca="false">IFERROR(IF(AND(AI579=1,OR(TRIM(U579)="Fail",AND(TRIM(AB579)&lt;&gt;"",TRIM(AB579)&lt;&gt;"Closed"),AND(ISNUMBER(AF579),AF579&lt;&gt;0,TRIM(U579)&lt;&gt;"Pass after CA"))),1,0),1)</f>
        <v>0</v>
      </c>
      <c r="AM579" s="61" t="n">
        <f aca="false">IF(LEFT(AH579,7)="INVALID",1,0)</f>
        <v>0</v>
      </c>
      <c r="AN579" s="61" t="n">
        <f aca="false">IF(AND(N579="Clarification required",AI579=1,AJ579=0),1,0)</f>
        <v>0</v>
      </c>
      <c r="AO579" s="61" t="str">
        <f aca="false">IF(AK579=1,SUM(AK$5:AK579),"")</f>
        <v/>
      </c>
      <c r="AP579" s="61" t="str">
        <f aca="false">IF(AL579=1,SUM(AL$5:AL579),"")</f>
        <v/>
      </c>
      <c r="AQ579" s="61" t="n">
        <v>0</v>
      </c>
      <c r="AR579" s="61" t="n">
        <v>0</v>
      </c>
      <c r="AS579" s="61" t="n">
        <v>0</v>
      </c>
      <c r="AT579" s="61" t="n">
        <v>0</v>
      </c>
      <c r="AU579" s="61" t="str">
        <f aca="false">SUBSTITUTE(SUBSTITUTE(SUBSTITUTE(SUBSTITUTE(SUBSTITUTE(SUBSTITUTE(SUBSTITUTE(SUBSTITUTE(SUBSTITUTE(SUBSTITUTE(SUBSTITUTE(SUBSTITUTE(SUBSTITUTE(SUBSTITUTE(SUBSTITUTE(SUBSTITUTE(LOWER(T579&amp;""),CHAR(10),""),CHAR(13),""),CHAR(9),""),CHAR(160),"")," ",""),".",""),"-",""),"/",""),"?",""),"_",""),",",""),"[",""),"]",""),"(",""),")",""),"*","")</f>
        <v/>
      </c>
      <c r="AV579" s="61" t="str">
        <f aca="false">SUBSTITUTE(SUBSTITUTE(SUBSTITUTE(SUBSTITUTE(SUBSTITUTE(SUBSTITUTE(SUBSTITUTE(SUBSTITUTE(SUBSTITUTE(SUBSTITUTE(SUBSTITUTE(SUBSTITUTE(SUBSTITUTE(SUBSTITUTE(SUBSTITUTE(SUBSTITUTE(LOWER(V579&amp;""),CHAR(10),""),CHAR(13),""),CHAR(9),""),CHAR(160),"")," ",""),".",""),"-",""),"/",""),"?",""),"_",""),",",""),"[",""),"]",""),"(",""),")",""),"*","")</f>
        <v/>
      </c>
      <c r="AW579" s="61" t="str">
        <f aca="false">SUBSTITUTE(SUBSTITUTE(SUBSTITUTE(SUBSTITUTE(SUBSTITUTE(SUBSTITUTE(SUBSTITUTE(SUBSTITUTE(SUBSTITUTE(SUBSTITUTE(SUBSTITUTE(SUBSTITUTE(SUBSTITUTE(SUBSTITUTE(SUBSTITUTE(SUBSTITUTE(LOWER(Z579&amp;""),CHAR(10),""),CHAR(13),""),CHAR(9),""),CHAR(160),"")," ",""),".",""),"-",""),"/",""),"?",""),"_",""),",",""),"[",""),"]",""),"(",""),")",""),"*","")</f>
        <v/>
      </c>
      <c r="AX579" s="61" t="str">
        <f aca="false">SUBSTITUTE(SUBSTITUTE(SUBSTITUTE(SUBSTITUTE(SUBSTITUTE(SUBSTITUTE(SUBSTITUTE(SUBSTITUTE(SUBSTITUTE(SUBSTITUTE(SUBSTITUTE(SUBSTITUTE(SUBSTITUTE(SUBSTITUTE(SUBSTITUTE(SUBSTITUTE(LOWER(AE579&amp;""),CHAR(10),""),CHAR(13),""),CHAR(9),""),CHAR(160),"")," ",""),".",""),"-",""),"/",""),"?",""),"_",""),",",""),"[",""),"]",""),"(",""),")",""),"*","")</f>
        <v/>
      </c>
      <c r="AY579" s="61" t="str">
        <f aca="false">SUBSTITUTE(SUBSTITUTE(SUBSTITUTE(SUBSTITUTE(SUBSTITUTE(SUBSTITUTE(SUBSTITUTE(SUBSTITUTE(SUBSTITUTE(SUBSTITUTE(SUBSTITUTE(SUBSTITUTE(SUBSTITUTE(SUBSTITUTE(SUBSTITUTE(SUBSTITUTE(LOWER(W579&amp;""),CHAR(10),""),CHAR(13),""),CHAR(9),""),CHAR(160),"")," ",""),".",""),"-",""),"/",""),"?",""),"_",""),",",""),"[",""),"]",""),"(",""),")",""),"*","")</f>
        <v/>
      </c>
      <c r="AZ579" s="61" t="str">
        <f aca="false">SUBSTITUTE(SUBSTITUTE(SUBSTITUTE(SUBSTITUTE(SUBSTITUTE(SUBSTITUTE(SUBSTITUTE(SUBSTITUTE(SUBSTITUTE(SUBSTITUTE(SUBSTITUTE(SUBSTITUTE(SUBSTITUTE(SUBSTITUTE(SUBSTITUTE(SUBSTITUTE(LOWER(AC579&amp;""),CHAR(10),""),CHAR(13),""),CHAR(9),""),CHAR(160),"")," ",""),".",""),"-",""),"/",""),"?",""),"_",""),",",""),"[",""),"]",""),"(",""),")",""),"*","")</f>
        <v/>
      </c>
      <c r="BA579" s="61" t="str">
        <f aca="false">SUBSTITUTE(SUBSTITUTE(SUBSTITUTE(SUBSTITUTE(SUBSTITUTE(SUBSTITUTE(SUBSTITUTE(SUBSTITUTE(SUBSTITUTE(SUBSTITUTE(SUBSTITUTE(SUBSTITUTE(SUBSTITUTE(SUBSTITUTE(SUBSTITUTE(SUBSTITUTE(LOWER(AA579&amp;""),CHAR(10),""),CHAR(13),""),CHAR(9),""),CHAR(160),"")," ",""),".",""),"-",""),"/",""),"?",""),"_",""),",",""),"[",""),"]",""),"(",""),")",""),"*","")</f>
        <v/>
      </c>
      <c r="BB579" s="61" t="str">
        <f aca="false">IF(AND(TRIM(U579)="Pass",ISNUMBER(AF579)),IF(AF579&lt;&gt;0,"INVALID – qty variance: use Fail or Pass after CA",""),"")&amp;IF(AND(TRIM(U579)="Pass after CA",ISNUMBER(AF579)),IF(AF579&lt;&gt;0,"INVALID – after the corrective action the actual qty must equal expected (update Actual)",""),"")&amp;IF(AND(TRIM(U579)="Pass",TRIM(AB579)&lt;&gt;"",TRIM(AB579)&lt;&gt;"Closed"),"INVALID – corrective action not closed: use Fail, then Pass after CA","")&amp;IF(AND(LEN(BA579)&gt;=2,ISNA(MATCH(LEFT(BA579,255),L_Placeholder,0)),TRIM(AB579)=""),"INVALID – CA status missing for the recorded corrective action","")&amp;IF(AND(TRIM(U579)="Pass after CA",OR(OR(LEN(BA579)&lt;5,ISNUMBER(MATCH(BA579,L_Placeholder,0))),TRIM(AB579)&lt;&gt;"Closed")),"INVALID – corrective action not recorded/closed","")</f>
        <v/>
      </c>
      <c r="BC579" s="61" t="str">
        <f aca="false">" "&amp;TRIM(SUBSTITUTE(SUBSTITUTE(SUBSTITUTE(SUBSTITUTE(SUBSTITUTE(SUBSTITUTE(SUBSTITUTE(SUBSTITUTE(SUBSTITUTE(SUBSTITUTE(SUBSTITUTE(SUBSTITUTE(SUBSTITUTE(SUBSTITUTE(SUBSTITUTE(SUBSTITUTE(SUBSTITUTE(SUBSTITUTE(SUBSTITUTE(SUBSTITUTE(SUBSTITUTE(SUBSTITUTE(SUBSTITUTE(SUBSTITUTE(LOWER(V579&amp;""),CHAR(10)," "),CHAR(13)," "),CHAR(9)," "),CHAR(160)," "),"."," "),","," "),"-"," "),"/"," "),"("," "),")"," "),":"," "),";"," "),"_"," "),"–"," "),"?"," "),"!"," "),"*"," "),"["," "),"]"," "),"'"," "),"#"," "),"+"," "),"&amp;"," "),"\"," "))&amp;" "</f>
        <v>  </v>
      </c>
      <c r="BD579" s="61" t="str">
        <f aca="false">" "&amp;TRIM(SUBSTITUTE(SUBSTITUTE(SUBSTITUTE(SUBSTITUTE(SUBSTITUTE(SUBSTITUTE(SUBSTITUTE(SUBSTITUTE(SUBSTITUTE(SUBSTITUTE(SUBSTITUTE(SUBSTITUTE(SUBSTITUTE(SUBSTITUTE(SUBSTITUTE(SUBSTITUTE(SUBSTITUTE(SUBSTITUTE(SUBSTITUTE(SUBSTITUTE(SUBSTITUTE(SUBSTITUTE(SUBSTITUTE(SUBSTITUTE(LOWER(Z579&amp;""),CHAR(10)," "),CHAR(13)," "),CHAR(9)," "),CHAR(160)," "),"."," "),","," "),"-"," "),"/"," "),"("," "),")"," "),":"," "),";"," "),"_"," "),"–"," "),"?"," "),"!"," "),"*"," "),"["," "),"]"," "),"'"," "),"#"," "),"+"," "),"&amp;"," "),"\"," "))&amp;" "</f>
        <v>  </v>
      </c>
      <c r="BE579" s="61" t="str">
        <f aca="false">" "&amp;TRIM(SUBSTITUTE(SUBSTITUTE(SUBSTITUTE(SUBSTITUTE(SUBSTITUTE(SUBSTITUTE(SUBSTITUTE(SUBSTITUTE(SUBSTITUTE(SUBSTITUTE(SUBSTITUTE(SUBSTITUTE(SUBSTITUTE(SUBSTITUTE(SUBSTITUTE(SUBSTITUTE(SUBSTITUTE(SUBSTITUTE(SUBSTITUTE(SUBSTITUTE(SUBSTITUTE(SUBSTITUTE(SUBSTITUTE(SUBSTITUTE(LOWER(W579&amp;""),CHAR(10)," "),CHAR(13)," "),CHAR(9)," "),CHAR(160)," "),"."," "),","," "),"-"," "),"/"," "),"("," "),")"," "),":"," "),";"," "),"_"," "),"–"," "),"?"," "),"!"," "),"*"," "),"["," "),"]"," "),"'"," "),"#"," "),"+"," "),"&amp;"," "),"\"," "))&amp;" "</f>
        <v>  </v>
      </c>
      <c r="BF579" s="61" t="str">
        <f aca="false">" "&amp;TRIM(SUBSTITUTE(SUBSTITUTE(SUBSTITUTE(SUBSTITUTE(SUBSTITUTE(SUBSTITUTE(SUBSTITUTE(SUBSTITUTE(SUBSTITUTE(SUBSTITUTE(SUBSTITUTE(SUBSTITUTE(SUBSTITUTE(SUBSTITUTE(SUBSTITUTE(SUBSTITUTE(SUBSTITUTE(SUBSTITUTE(SUBSTITUTE(SUBSTITUTE(SUBSTITUTE(SUBSTITUTE(SUBSTITUTE(SUBSTITUTE(LOWER(AC579&amp;""),CHAR(10)," "),CHAR(13)," "),CHAR(9)," "),CHAR(160)," "),"."," "),","," "),"-"," "),"/"," "),"("," "),")"," "),":"," "),";"," "),"_"," "),"–"," "),"?"," "),"!"," "),"*"," "),"["," "),"]"," "),"'"," "),"#"," "),"+"," "),"&amp;"," "),"\"," "))&amp;" "</f>
        <v>  </v>
      </c>
      <c r="BG579" s="61" t="n">
        <f aca="false">IFERROR(IF(AND(TRIM(U579)="Pass",SUMPRODUCT((LEN(BC579)-LEN(SUBSTITUTE(BC579," "&amp;L_ResultBad&amp;" "," ")))/(LEN(L_ResultBad)+1))&gt;SUMPRODUCT((LEN(BC579)-LEN(SUBSTITUTE(BC579," "&amp;L_NegPhrase&amp;" "," ")))/(LEN(L_NegPhrase)+1))),1,0),0)</f>
        <v>0</v>
      </c>
      <c r="BH579" s="61" t="n">
        <f aca="false">IFERROR(IF(SUMPRODUCT((LEN(BC579)-LEN(SUBSTITUTE(BC579," "&amp;L_Pending&amp;" "," ")))/(LEN(L_Pending)+1))&gt;SUMPRODUCT((LEN(BC579)-LEN(SUBSTITUTE(BC579," "&amp;L_PendNeg&amp;" "," ")))/(LEN(L_PendNeg)+1))+SUMPRODUCT((LEN(BC579)-LEN(SUBSTITUTE(BC579," "&amp;L_PendPrep&amp;" "," ")))/(LEN(L_PendPrep)+1)),1,0),1)</f>
        <v>0</v>
      </c>
      <c r="BI579" s="61" t="n">
        <f aca="false">IFERROR(IF(SUMPRODUCT((LEN(BD579)-LEN(SUBSTITUTE(BD579," "&amp;L_PendStrict&amp;" "," ")))/(LEN(L_PendStrict)+1))&gt;SUMPRODUCT((LEN(BD579)-LEN(SUBSTITUTE(BD579," "&amp;L_PendNeg&amp;" "," ")))/(LEN(L_PendNeg)+1)),1,0),1)</f>
        <v>0</v>
      </c>
      <c r="BJ579" s="61" t="n">
        <f aca="false">IFERROR(IF(SUMPRODUCT((LEN(BE579)-LEN(SUBSTITUTE(BE579," "&amp;L_Pending&amp;" "," ")))/(LEN(L_Pending)+1))&gt;SUMPRODUCT((LEN(BE579)-LEN(SUBSTITUTE(BE579," "&amp;L_PendNeg&amp;" "," ")))/(LEN(L_PendNeg)+1))+SUMPRODUCT((LEN(BE579)-LEN(SUBSTITUTE(BE579," "&amp;L_PendPrep&amp;" "," ")))/(LEN(L_PendPrep)+1)),1,0),1)</f>
        <v>0</v>
      </c>
      <c r="BK579" s="61" t="n">
        <f aca="false">IFERROR(IF(SUMPRODUCT((LEN(BF579)-LEN(SUBSTITUTE(BF579," "&amp;L_PendStrict&amp;" "," ")))/(LEN(L_PendStrict)+1))&gt;SUMPRODUCT((LEN(BF579)-LEN(SUBSTITUTE(BF579," "&amp;L_PendNeg&amp;" "," ")))/(LEN(L_PendNeg)+1)),1,0),1)</f>
        <v>0</v>
      </c>
      <c r="BL579" s="61" t="n">
        <f aca="false">IF(ISNA(MATCH(TRIM(S579),L_EvidenceType,0)),0,BZ579)</f>
        <v>0</v>
      </c>
      <c r="BM579" s="61" t="str">
        <f aca="false">SUBSTITUTE(SUBSTITUTE(SUBSTITUTE(SUBSTITUTE(SUBSTITUTE(SUBSTITUTE(SUBSTITUTE(SUBSTITUTE(SUBSTITUTE(LOWER(Z579&amp;""),"1","0"),"2","0"),"3","0"),"4","0"),"5","0"),"6","0"),"7","0"),"8","0"),"9","0")</f>
        <v/>
      </c>
      <c r="BN579" s="61" t="str">
        <f aca="false">SUBSTITUTE(SUBSTITUTE(SUBSTITUTE(SUBSTITUTE(SUBSTITUTE(SUBSTITUTE(SUBSTITUTE(SUBSTITUTE(SUBSTITUTE(SUBSTITUTE(SUBSTITUTE(SUBSTITUTE(SUBSTITUTE(SUBSTITUTE(SUBSTITUTE(SUBSTITUTE(SUBSTITUTE(SUBSTITUTE(SUBSTITUTE(SUBSTITUTE(SUBSTITUTE(SUBSTITUTE(SUBSTITUTE(SUBSTITUTE(SUBSTITUTE(BM579,"b","a"),"c","a"),"d","a"),"e","a"),"f","a"),"g","a"),"h","a"),"i","a"),"j","a"),"k","a"),"l","a"),"m","a"),"n","a"),"o","a"),"p","a"),"q","a"),"r","a"),"s","a"),"t","a"),"u","a"),"v","a"),"w","a"),"x","a"),"y","a"),"z","a")</f>
        <v/>
      </c>
      <c r="BO579" s="61" t="str">
        <f aca="false">SUBSTITUTE(SUBSTITUTE(SUBSTITUTE(SUBSTITUTE(SUBSTITUTE(SUBSTITUTE(SUBSTITUTE(SUBSTITUTE(SUBSTITUTE(LOWER(W579&amp;""),"1","0"),"2","0"),"3","0"),"4","0"),"5","0"),"6","0"),"7","0"),"8","0"),"9","0")</f>
        <v/>
      </c>
      <c r="BP579" s="61" t="str">
        <f aca="false">SUBSTITUTE(SUBSTITUTE(SUBSTITUTE(SUBSTITUTE(SUBSTITUTE(SUBSTITUTE(SUBSTITUTE(SUBSTITUTE(SUBSTITUTE(SUBSTITUTE(SUBSTITUTE(SUBSTITUTE(SUBSTITUTE(SUBSTITUTE(SUBSTITUTE(SUBSTITUTE(SUBSTITUTE(SUBSTITUTE(SUBSTITUTE(SUBSTITUTE(SUBSTITUTE(SUBSTITUTE(SUBSTITUTE(SUBSTITUTE(SUBSTITUTE(BO579,"b","a"),"c","a"),"d","a"),"e","a"),"f","a"),"g","a"),"h","a"),"i","a"),"j","a"),"k","a"),"l","a"),"m","a"),"n","a"),"o","a"),"p","a"),"q","a"),"r","a"),"s","a"),"t","a"),"u","a"),"v","a"),"w","a"),"x","a"),"y","a"),"z","a")</f>
        <v/>
      </c>
      <c r="BQ579" s="61" t="n">
        <f aca="false">IFERROR(IF(AND(ISERROR(SEARCH(" mh"," "&amp;LOWER(W579))),ISNA(MATCH(LEFT(TRIM(BP579),255),{"0000a","000a","00a","0000aa","000aa","00aa","0aa","0000aaa","000aaa","00a00","0a00","0000-0000","00:00","a00","a0","00.00.0000","00/00/0000","00-00-0000","0000-00-00","0000/00/00","0000.00.00","00.00.00","00/00/00","00-00-00","0.00.0000","0/00/0000","0-00-0000"},0)),ISNA(MATCH(LEFT(TRIM(CA579),255),{"0000a","000a","00a","0000aa","000aa","00aa","0aa","0000aaa","000aaa","00a00","0a00","0000-0000","00:00","a00","a0","00.00.0000","00/00/0000","00-00-0000","0000-00-00","0000/00/00","0000.00.00","00.00.00","00/00/00","00-00-00","0.00.0000","0/00/0000","0-00-0000"},0)),LEN(CB579)&gt;=3,NOT(OR(SUBSTITUTE(CB579,"0","")="",AND(LEN(CB579)&gt;=4,CB579=REPT(LEFT(CB579),LEN(CB579))),ISNUMBER(MATCH(CB579,{"123","1234","12345","123456","1234567","12345678","0123","01234","012345","98765","987654","54321"},0)),AND(LEN(CB579)=8,LEFT(CB579,3)="202"))),OR(AND((LEN(CA579)-LEN(SUBSTITUTE(CA579,"a","")))&gt;=1,SUMPRODUCT(--ISNUMBER(SEARCH({"a0","a-0","a_0","a/0","a.0","a#0","0a","0-a","0_a","0/a"},BP579)))&gt;0),ISNUMBER(SEARCH("000000",BP579)))),1,0),0)</f>
        <v>0</v>
      </c>
      <c r="BR579" s="61" t="n">
        <f aca="false">IFERROR(LEN(SUBSTITUTE(CC579," ",""))-SUMPRODUCT((LEN(CC579)-LEN(SUBSTITUTE(CC579," "&amp;L_Role&amp;" "," ")))/(LEN(L_Role)+1)*LEN(L_Role)),0)</f>
        <v>0</v>
      </c>
      <c r="BS579" s="61" t="n">
        <f aca="false">IFERROR(LEN(SUBSTITUTE(CD579," ",""))-SUMPRODUCT((LEN(CD579)-LEN(SUBSTITUTE(CD579," "&amp;L_Role&amp;" "," ")))/(LEN(L_Role)+1)*LEN(L_Role)),0)</f>
        <v>0</v>
      </c>
      <c r="BT5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579,"revision",""),"version",""),"jan",""),"feb",""),"mar",""),"apr",""),"may",""),"jun",""),"jul",""),"aug",""),"sep",""),"oct",""),"nov",""),"dec",""),"utc",""),"gmt",""),"myt",""),"bst",""),"rev",""),"ver",""),"b","a"),"c","a"),"d","a"),"e","a"),"f","a"),"g","a"),"h","a"),"i","a"),"j","a"),"k","a"),"l","a"),"m","a"),"n","a"),"o","a"),"p","a"),"q","a"),"r","a"),"s","a"),"t","a"),"u","a"),"v","a"),"w","a"),"x","a"),"y","a"),"z","a")</f>
        <v/>
      </c>
      <c r="BU579" s="61" t="str">
        <f aca="false">SUBSTITUTE(SUBSTITUTE(SUBSTITUTE(SUBSTITUTE(SUBSTITUTE(SUBSTITUTE(SUBSTITUTE(SUBSTITUTE(SUBSTITUTE(SUBSTITUTE(LEFT(BM579,FIND("0",BM579&amp;"0")-1),"-",""),"_",""),"/",""),".",""),"#",""),"\\",""),":","")," ",""),"(",""),")","")</f>
        <v/>
      </c>
      <c r="BV579" s="61" t="n">
        <f aca="false">0</f>
        <v>0</v>
      </c>
      <c r="BW5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579&amp;""),"a",""),"b",""),"c",""),"d",""),"e",""),"f",""),"g",""),"h",""),"i",""),"j",""),"k",""),"l",""),"m",""),"n",""),"o",""),"p",""),"q",""),"r",""),"s",""),"t",""),"u",""),"v",""),"w",""),"x",""),"y",""),"z",""),"-",""),"_",""),"/",""),".",""),"#",""),"\\",""),":","")," ",""),"(",""),")","")</f>
        <v/>
      </c>
      <c r="BX579" s="61" t="str">
        <f aca="false">SUBSTITUTE(SUBSTITUTE(SUBSTITUTE(SUBSTITUTE(SUBSTITUTE(SUBSTITUTE(SUBSTITUTE(SUBSTITUTE(SUBSTITUTE(SUBSTITUTE(SUBSTITUTE(BM579,"0",""),"-",""),"_",""),"/",""),".",""),"#",""),"\\",""),":","")," ",""),"(",""),")","")</f>
        <v/>
      </c>
      <c r="BY579" s="62" t="n">
        <f aca="false">Q579-T7EarlyD*24/24</f>
        <v>46301.6006944444</v>
      </c>
      <c r="BZ579" s="61" t="n">
        <f aca="false">IFERROR(IF(IF(TRIM(S579)="Link / file path",AND(LEN(TRIM(Z579))&gt;=5,SUMPRODUCT(--ISNUMBER(SEARCH({"http","www.","\\",":\",".pdf",".jpg",".jpeg",".png",".heic",".xls",".doc",".msg",".eml",".ppt",".txt",".zip"},Z579)))&gt;0),AND(ISERROR(FIND(" ",TRIM(Z579))),NOT(OR(SUMPRODUCT(--ISNUMBER(FIND({",",";","&amp;","+"},Z579)))&gt;0,SUMPRODUCT(--ISNUMBER(SEARCH({"0/aa","0\\aa"},BN579)))&gt;0)),NOT(SUMPRODUCT(--ISNUMBER(SEARCH({"http","www.","\\",":\",".pdf",".jpg",".jpeg",".png",".heic",".xls",".doc",".msg",".eml",".ppt",".txt",".zip"},Z579)))&gt;0),NOT(LOWER(TRIM(Z579))=LOWER(Flights!$F$22)),ISNA(MATCH(BU579,{"mh","rev","revision","ver","version","v","r","a","b","seat","tray","row","gate","bay","stand","page","pg","item","line","no","cart","galley","flight","flt","table","box","bag","oven","etd","eta","std","sta","atd","ata","qty","pax","x","time","tel","ph","mob","day","wk","week","utc","gmt","myt","lt"},0)),NOT(OR(ISNUMBER(MATCH(LEFT(BN579,255),{"0000a","000a","00a","0000aa","000aa","00aa","0aa","0000aaa","000aaa","00a00","0a00","0000-0000","00:00","a00","a0","00.00.0000","00/00/0000","00-00-0000","0000-00-00","0000/00/00","0000.00.00","00.00.00","00/00/00","00-00-00","0.00.0000","0/00/0000","0-00-0000"},0)),ISNUMBER(MATCH(LEFT(BT579,255),{"0000a","000a","00a","0000aa","000aa","00aa","0aa","0000aaa","000aaa","00a00","0a00","0000-0000","00:00","a00","a0","00.00.0000","00/00/0000","00-00-0000","0000-00-00","0000/00/00","0000.00.00","00.00.00","00/00/00","00-00-00","0.00.0000","0/00/0000","0-00-0000"},0)))),NOT(OR(AND(BW579&lt;&gt;"",SUBSTITUTE(BW579,"0","")=""),AND(LEN(BW579)&gt;=4,BW579=REPT(LEFT(BW579),LEN(BW579))),ISNUMBER(MATCH(BW579,{"123","1234","12345","123456","1234567","12345678","0123","01234","012345","98765","987654","54321"},0)),ISNUMBER(MATCH(BX579,{"x","xx","xxx","xxxx","xxxxx","abc","abcd","nil","na","nan","test","tbc","tba","tbd","dummy","sample","example","eg","zz","zzz","none","null","xyz","qwe","asd","id","ref"},0)),AND(LEN(BW579)=8,BX579="",OR(LEFT(BW579,3)="202",ISNUMBER(MATCH(RIGHT(BW579,4),{"2025","2026","2027"},0)))))),OR(AND((LEN(BT579)-LEN(SUBSTITUTE(BT579,"a","")))&gt;=1,(LEN(BN579)-LEN(SUBSTITUTE(BN579,"0","")))&gt;=2,SUMPRODUCT(--ISNUMBER(SEARCH({"a0","a-0","a_0","a/0","a.0","a#0","0a","0-a","0_a","0/a"},BN579)))&gt;0),AND((LEN(BN579)-LEN(SUBSTITUTE(BN579,"a","")))=0,(LEN(BN579)-LEN(SUBSTITUTE(BN579,"0","")))&gt;=5)))),1,0),0)</f>
        <v>0</v>
      </c>
      <c r="CA5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579,"revision",""),"version",""),"jan",""),"feb",""),"mar",""),"apr",""),"may",""),"jun",""),"jul",""),"aug",""),"sep",""),"oct",""),"nov",""),"dec",""),"utc",""),"gmt",""),"myt",""),"bst",""),"rev",""),"ver",""),"b","a"),"c","a"),"d","a"),"e","a"),"f","a"),"g","a"),"h","a"),"i","a"),"j","a"),"k","a"),"l","a"),"m","a"),"n","a"),"o","a"),"p","a"),"q","a"),"r","a"),"s","a"),"t","a"),"u","a"),"v","a"),"w","a"),"x","a"),"y","a"),"z","a")</f>
        <v/>
      </c>
      <c r="CB5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579&amp;""),"a",""),"b",""),"c",""),"d",""),"e",""),"f",""),"g",""),"h",""),"i",""),"j",""),"k",""),"l",""),"m",""),"n",""),"o",""),"p",""),"q",""),"r",""),"s",""),"t",""),"u",""),"v",""),"w",""),"x",""),"y",""),"z",""),"-",""),"_",""),"/",""),".",""),"#",""),"\\",""),":","")," ",""),"(",""),")","")</f>
        <v/>
      </c>
      <c r="CC579" s="0" t="str">
        <f aca="false">" "&amp;TRIM(SUBSTITUTE(SUBSTITUTE(SUBSTITUTE(SUBSTITUTE(SUBSTITUTE(SUBSTITUTE(SUBSTITUTE(SUBSTITUTE(SUBSTITUTE(SUBSTITUTE(SUBSTITUTE(SUBSTITUTE(SUBSTITUTE(SUBSTITUTE(SUBSTITUTE(SUBSTITUTE(SUBSTITUTE(SUBSTITUTE(SUBSTITUTE(SUBSTITUTE(SUBSTITUTE(SUBSTITUTE(SUBSTITUTE(SUBSTITUTE(LOWER(T579&amp;""),CHAR(10)," "),CHAR(13)," "),CHAR(9)," "),CHAR(160)," "),"."," "),","," "),"-"," "),"/"," "),"("," "),")"," "),":"," "),";"," "),"_"," "),"–"," "),"?"," "),"!"," "),"*"," "),"["," "),"]"," "),"'"," "),"#"," "),"+"," "),"&amp;"," "),"\"," "))&amp;" "</f>
        <v>  </v>
      </c>
      <c r="CD579" s="0" t="str">
        <f aca="false">" "&amp;TRIM(SUBSTITUTE(SUBSTITUTE(SUBSTITUTE(SUBSTITUTE(SUBSTITUTE(SUBSTITUTE(SUBSTITUTE(SUBSTITUTE(SUBSTITUTE(SUBSTITUTE(SUBSTITUTE(SUBSTITUTE(SUBSTITUTE(SUBSTITUTE(SUBSTITUTE(SUBSTITUTE(SUBSTITUTE(SUBSTITUTE(SUBSTITUTE(SUBSTITUTE(SUBSTITUTE(SUBSTITUTE(SUBSTITUTE(SUBSTITUTE(LOWER(AE579&amp;""),CHAR(10)," "),CHAR(13)," "),CHAR(9)," "),CHAR(160)," "),"."," "),","," "),"-"," "),"/"," "),"("," "),")"," "),":"," "),";"," "),"_"," "),"–"," "),"?"," "),"!"," "),"*"," "),"["," "),"]"," "),"'"," "),"#"," "),"+"," "),"&amp;"," "),"\"," "))&amp;" "</f>
        <v>  </v>
      </c>
      <c r="CE579" s="68" t="n">
        <f aca="false">IFERROR(IF(AND(LEN(AU579)&gt;0,LEN(AU579)=LEN(AX579),OR(TRIM(MID(SUBSTITUTE(TRIM(CC579)," ",REPT(" ",60)),1,60))="",ISNUMBER(SEARCH(" "&amp;TRIM(MID(SUBSTITUTE(TRIM(CC579)," ",REPT(" ",60)),1,60))&amp;" ",CD579))),OR(TRIM(MID(SUBSTITUTE(TRIM(CC579)," ",REPT(" ",60)),61,60))="",ISNUMBER(SEARCH(" "&amp;TRIM(MID(SUBSTITUTE(TRIM(CC579)," ",REPT(" ",60)),61,60))&amp;" ",CD579))),OR(TRIM(MID(SUBSTITUTE(TRIM(CC579)," ",REPT(" ",60)),121,60))="",ISNUMBER(SEARCH(" "&amp;TRIM(MID(SUBSTITUTE(TRIM(CC579)," ",REPT(" ",60)),121,60))&amp;" ",CD579)))),1,0),0)</f>
        <v>0</v>
      </c>
      <c r="CG579" s="68" t="n">
        <f aca="false">IFERROR(LEN(SUBSTITUTE(BF579," ",""))-SUMPRODUCT((LEN(BF579)-LEN(SUBSTITUTE(BF579," "&amp;L_NAFiller&amp;" "," ")))/(LEN(L_NAFiller)+1)*LEN(L_NAFiller)),0)</f>
        <v>0</v>
      </c>
    </row>
    <row r="580" customFormat="false" ht="39.75" hidden="false" customHeight="true" outlineLevel="0" collapsed="false">
      <c r="A580" s="57" t="s">
        <v>1272</v>
      </c>
      <c r="B580" s="57" t="s">
        <v>293</v>
      </c>
      <c r="C580" s="57" t="str">
        <f aca="false">Flights!$F$22</f>
        <v>MH0052</v>
      </c>
      <c r="D580" s="58" t="n">
        <f aca="false">Flights!$D$22</f>
        <v>46322</v>
      </c>
      <c r="E580" s="57" t="str">
        <f aca="false">Flights!$G$22&amp;"-"&amp;Flights!$H$22</f>
        <v>KUL-KIX</v>
      </c>
      <c r="F580" s="57" t="str">
        <f aca="false">Flights!$K$22</f>
        <v>BC</v>
      </c>
      <c r="G580" s="57" t="s">
        <v>81</v>
      </c>
      <c r="H580" s="57" t="s">
        <v>378</v>
      </c>
      <c r="I580" s="57" t="s">
        <v>405</v>
      </c>
      <c r="J580" s="57" t="s">
        <v>406</v>
      </c>
      <c r="K580" s="67" t="s">
        <v>407</v>
      </c>
      <c r="L580" s="67" t="s">
        <v>382</v>
      </c>
      <c r="M580" s="67"/>
      <c r="N580" s="67" t="s">
        <v>383</v>
      </c>
      <c r="O580" s="67"/>
      <c r="P580" s="57" t="s">
        <v>187</v>
      </c>
      <c r="Q580" s="59" t="n">
        <f aca="false">ROUND((Flights!$AC$22)*1440,0)/1440</f>
        <v>46315.6006944444</v>
      </c>
      <c r="R580" s="59" t="n">
        <f aca="false">Q580+(IF(AND(INDEX(TZ_DSTS,MATCH(P580,TZ_STN,0))&lt;&gt;"",Q580&gt;=INDEX(TZ_DSTS,MATCH(P580,TZ_STN,0)),Q580&lt;INDEX(TZ_DSTE,MATCH(P580,TZ_STN,0))),INDEX(TZ_DST,MATCH(P580,TZ_STN,0)),INDEX(TZ_STD,MATCH(P580,TZ_STN,0))))/24</f>
        <v>46315.9340277778</v>
      </c>
      <c r="S580" s="60"/>
      <c r="T580" s="60"/>
      <c r="U580" s="60"/>
      <c r="V580" s="60"/>
      <c r="W580" s="61"/>
      <c r="X580" s="60"/>
      <c r="Y580" s="60"/>
      <c r="Z580" s="60"/>
      <c r="AA580" s="60"/>
      <c r="AB580" s="60"/>
      <c r="AC580" s="60"/>
      <c r="AD580" s="66"/>
      <c r="AE580" s="60"/>
      <c r="AF580" s="61" t="str">
        <f aca="false">IF(AND(ISNUMBER(X580),ISNUMBER(Y580)),Y580-X580,"")</f>
        <v/>
      </c>
      <c r="AG580" s="62" t="str">
        <f aca="false">IF(ISNUMBER(AD580),AD580-(IF(AND(INDEX(TZ_DSTS,MATCH(P580,TZ_STN,0))&lt;&gt;"",(AD580-INDEX(TZ_STD,MATCH(P580,TZ_STN,0))/24)&gt;=INDEX(TZ_DSTS,MATCH(P580,TZ_STN,0)),(AD580-INDEX(TZ_STD,MATCH(P580,TZ_STN,0))/24)&lt;INDEX(TZ_DSTE,MATCH(P580,TZ_STN,0))),INDEX(TZ_DST,MATCH(P580,TZ_STN,0)),INDEX(TZ_STD,MATCH(P580,TZ_STN,0))))/24,"")</f>
        <v/>
      </c>
      <c r="AH580" s="65" t="str">
        <f aca="false">IFERROR(IF(N580="N/A – rule",IF(OR(TRIM(U580)="",TRIM(U580)="N/A",TRIM(U580)="Not started"),"N/A – RULE","INVALID – this check does not apply to this aircraft: clear the status (or correct the fleet on Flights)"),IF(TRIM(U580)="N/A",IF(AT580=0,"INVALID – N/A not permitted for this check",IF(AND(TRIM(AB580)&lt;&gt;"",TRIM(AB580)&lt;&gt;"Closed"),"INVALID – corrective action still open",IF(AND(NOT(OR(LEN(AZ580)&lt;15,ISNUMBER(MATCH(AZ580,L_Placeholder,0)))),BK580=0,CG580&gt;=8,NOT(OR(LEN(AU580)&lt;2,ISNUMBER(MATCH(AU580,L_Placeholder,0)))),BR580&gt;=3,NOT(OR(LEN(AX580)&lt;2,ISNUMBER(MATCH(AX580,L_Placeholder,0)))),BS580&gt;=3,TRIM(AE580)&lt;&gt;TRIM(T580),AX580&lt;&gt;AU580,CE580=0),"N/A – JUSTIFIED","INVALID – N/A needs a real, settled reason (not 'not applicable' / 'as above' / TBC), a named PIC and a different named verifier"))),IF(OR(TRIM(U580)="Pass",TRIM(U580)="Pass after CA"),IF(NOT(ISNUMBER(AD580)),"INVALID – completion time missing",IF(OR(OR(LEN(AU580)&lt;2,ISNUMBER(MATCH(AU580,L_Placeholder,0))),BR580&lt;3),"INVALID – PIC missing or not a named person (a role such as QA / CSM is not a name)",IF(OR(LEN(AV580)&lt;2,ISNUMBER(MATCH(AV580,L_Placeholder,0))),"INVALID – result / assessment missing",IF(OR(OR(LEN(AW580)&lt;3,ISNUMBER(MATCH(AW580,L_Placeholder,0))),SUMPRODUCT(--ISNUMBER(SEARCH(" "&amp;L_EvidencePhrase&amp;" ",BD580)))&gt;0,BI580=1),"INVALID – evidence missing, placeholder or not yet on file",IF(ISNA(MATCH(TRIM(S580),L_EvidenceType,0)),"INVALID – choose the evidence type from the list (column S)",IF(BL580=0,"INVALID – evidence ID must be the record's own ID only (e.g. SF-2210, IMG_2231, 1045521); a link / file name needs type 'Link / file path'",IF(OR(OR(LEN(AX580)&lt;2,ISNUMBER(MATCH(AX580,L_Placeholder,0))),BS580&lt;3),"INVALID – verifier missing or not a named person (a role such as QA / CSM is not a name)",IF(OR(AX580=AU580,CE580=1,AND(LEN(AU580)&gt;=4,ISNUMBER(SEARCH(AU580,AX580))),AND(LEN(AX580)&gt;=4,ISNUMBER(SEARCH(AX580,AU580)))),"INVALID – verifier must be a different, named person (not the PIC or a role)",IF(BH580=1,"INVALID – result not yet available (awaiting / TBC)",IF(BG580=1,"INVALID – result describes a problem: record Fail, then Pass after CA (or reword if it is not a problem)",IF(BV580=1,"INVALID – wording says not on board: an on-board confirmation needs the item loaded",IF(AND(AQ580=1,OR(OR(LEN(AY580)&lt;3,ISNUMBER(MATCH(AY580,L_Placeholder,0))),BJ580=1,BQ580=0)),"INVALID – batch ID missing, placeholder or not an ID (e.g. PASB-261008-BC-017)",IF(AND(AR580=1,OR(NOT(ISNUMBER(X580)),NOT(ISNUMBER(Y580)))),"INVALID – expected/actual qty missing",IF(AND(AR580=1,OR(X580&lt;=0,Y580&lt;0)),"INVALID – expected qty must be above 0 and actual not negative",IF(BB580&lt;&gt;"",BB580,IF(AND(AS580=1,Documents!$J$22&lt;&gt;"ON FILE"),"INVALID – GLD not on file (Documents sheet)",IF(AND(AS580=2,Documents!$O$22&lt;&gt;"ON FILE"),"INVALID – menu checklist not on file (Documents sheet)",IF(AND(AS580=3,NOT(ISNUMBER(Flights!$AX$22))),"INVALID – enter carrying flight KUL departure (Flights AX)",IF(AND(AS580=3,OR(Flights!$AZ$22&gt;Flights!$AA$22,Flights!$AX$22&lt;Flights!$AA$22-3)),"INVALID – carrying flight (Flights AX) cannot arrive before this leg's STD, or is over 3 days early",IF(AG580&gt;AsOfUTC,"INVALID – completion time is in the future",IF(AND(ISNUMBER(BY580),AG580&lt;BY580),IF(H580="Physical uplift","INVALID – before uplift window (cannot confirm loading)","INVALID – before valid window"),IF(AG580&gt;Flights!$AA$22,"INVALID – completed after departure (cannot establish readiness)",IF(AND(H580="Preparation",AG580&gt;=IF(ISNUMBER(Flights!$BA$22),MIN(Flights!$BA$22,Flights!$AA$22),Flights!$AA$22)),"INVALID – completed after loading / departure (cannot establish readiness)",IF(AND(H580="Physical uplift",AG580&gt;Q580),"INVALID – recorded after the loading flight departed",IF(AG580&gt;Q580,"COMPLETE – LATE","COMPLETE"))))))))))))))))))))))))),IF(TRIM(U580)="Fail","FAIL – DISCREPANCY",IF(AND(TRIM(U580)&lt;&gt;"",TRIM(U580)&lt;&gt;"Not started",TRIM(U580)&lt;&gt;"In progress"),"INVALID – unrecognised status (use the list)",IF(AsOfUTC&gt;Q580,"OVERDUE",IF(N580="Clarification required","OPEN – CLARIFICATION","OPEN"))))))),"INVALID – error value in an input cell")</f>
        <v>OPEN</v>
      </c>
      <c r="AI580" s="61" t="n">
        <f aca="false">IF(OR(AH580="N/A – RULE",AH580="N/A – JUSTIFIED"),0,1)</f>
        <v>1</v>
      </c>
      <c r="AJ580" s="61" t="n">
        <f aca="false">IF(LEFT(AH580,8)="COMPLETE",1,0)</f>
        <v>0</v>
      </c>
      <c r="AK580" s="61" t="n">
        <f aca="false">IF(AND(AI580=1,AJ580=0,AsOfUTC&gt;Q580),1,0)</f>
        <v>0</v>
      </c>
      <c r="AL580" s="61" t="n">
        <f aca="false">IFERROR(IF(AND(AI580=1,OR(TRIM(U580)="Fail",AND(TRIM(AB580)&lt;&gt;"",TRIM(AB580)&lt;&gt;"Closed"),AND(ISNUMBER(AF580),AF580&lt;&gt;0,TRIM(U580)&lt;&gt;"Pass after CA"))),1,0),1)</f>
        <v>0</v>
      </c>
      <c r="AM580" s="61" t="n">
        <f aca="false">IF(LEFT(AH580,7)="INVALID",1,0)</f>
        <v>0</v>
      </c>
      <c r="AN580" s="61" t="n">
        <f aca="false">IF(AND(N580="Clarification required",AI580=1,AJ580=0),1,0)</f>
        <v>0</v>
      </c>
      <c r="AO580" s="61" t="str">
        <f aca="false">IF(AK580=1,SUM(AK$5:AK580),"")</f>
        <v/>
      </c>
      <c r="AP580" s="61" t="str">
        <f aca="false">IF(AL580=1,SUM(AL$5:AL580),"")</f>
        <v/>
      </c>
      <c r="AQ580" s="61" t="n">
        <v>0</v>
      </c>
      <c r="AR580" s="61" t="n">
        <v>0</v>
      </c>
      <c r="AS580" s="61" t="n">
        <v>1</v>
      </c>
      <c r="AT580" s="61" t="n">
        <v>0</v>
      </c>
      <c r="AU580" s="61" t="str">
        <f aca="false">SUBSTITUTE(SUBSTITUTE(SUBSTITUTE(SUBSTITUTE(SUBSTITUTE(SUBSTITUTE(SUBSTITUTE(SUBSTITUTE(SUBSTITUTE(SUBSTITUTE(SUBSTITUTE(SUBSTITUTE(SUBSTITUTE(SUBSTITUTE(SUBSTITUTE(SUBSTITUTE(LOWER(T580&amp;""),CHAR(10),""),CHAR(13),""),CHAR(9),""),CHAR(160),"")," ",""),".",""),"-",""),"/",""),"?",""),"_",""),",",""),"[",""),"]",""),"(",""),")",""),"*","")</f>
        <v/>
      </c>
      <c r="AV580" s="61" t="str">
        <f aca="false">SUBSTITUTE(SUBSTITUTE(SUBSTITUTE(SUBSTITUTE(SUBSTITUTE(SUBSTITUTE(SUBSTITUTE(SUBSTITUTE(SUBSTITUTE(SUBSTITUTE(SUBSTITUTE(SUBSTITUTE(SUBSTITUTE(SUBSTITUTE(SUBSTITUTE(SUBSTITUTE(LOWER(V580&amp;""),CHAR(10),""),CHAR(13),""),CHAR(9),""),CHAR(160),"")," ",""),".",""),"-",""),"/",""),"?",""),"_",""),",",""),"[",""),"]",""),"(",""),")",""),"*","")</f>
        <v/>
      </c>
      <c r="AW580" s="61" t="str">
        <f aca="false">SUBSTITUTE(SUBSTITUTE(SUBSTITUTE(SUBSTITUTE(SUBSTITUTE(SUBSTITUTE(SUBSTITUTE(SUBSTITUTE(SUBSTITUTE(SUBSTITUTE(SUBSTITUTE(SUBSTITUTE(SUBSTITUTE(SUBSTITUTE(SUBSTITUTE(SUBSTITUTE(LOWER(Z580&amp;""),CHAR(10),""),CHAR(13),""),CHAR(9),""),CHAR(160),"")," ",""),".",""),"-",""),"/",""),"?",""),"_",""),",",""),"[",""),"]",""),"(",""),")",""),"*","")</f>
        <v/>
      </c>
      <c r="AX580" s="61" t="str">
        <f aca="false">SUBSTITUTE(SUBSTITUTE(SUBSTITUTE(SUBSTITUTE(SUBSTITUTE(SUBSTITUTE(SUBSTITUTE(SUBSTITUTE(SUBSTITUTE(SUBSTITUTE(SUBSTITUTE(SUBSTITUTE(SUBSTITUTE(SUBSTITUTE(SUBSTITUTE(SUBSTITUTE(LOWER(AE580&amp;""),CHAR(10),""),CHAR(13),""),CHAR(9),""),CHAR(160),"")," ",""),".",""),"-",""),"/",""),"?",""),"_",""),",",""),"[",""),"]",""),"(",""),")",""),"*","")</f>
        <v/>
      </c>
      <c r="AY580" s="61" t="str">
        <f aca="false">SUBSTITUTE(SUBSTITUTE(SUBSTITUTE(SUBSTITUTE(SUBSTITUTE(SUBSTITUTE(SUBSTITUTE(SUBSTITUTE(SUBSTITUTE(SUBSTITUTE(SUBSTITUTE(SUBSTITUTE(SUBSTITUTE(SUBSTITUTE(SUBSTITUTE(SUBSTITUTE(LOWER(W580&amp;""),CHAR(10),""),CHAR(13),""),CHAR(9),""),CHAR(160),"")," ",""),".",""),"-",""),"/",""),"?",""),"_",""),",",""),"[",""),"]",""),"(",""),")",""),"*","")</f>
        <v/>
      </c>
      <c r="AZ580" s="61" t="str">
        <f aca="false">SUBSTITUTE(SUBSTITUTE(SUBSTITUTE(SUBSTITUTE(SUBSTITUTE(SUBSTITUTE(SUBSTITUTE(SUBSTITUTE(SUBSTITUTE(SUBSTITUTE(SUBSTITUTE(SUBSTITUTE(SUBSTITUTE(SUBSTITUTE(SUBSTITUTE(SUBSTITUTE(LOWER(AC580&amp;""),CHAR(10),""),CHAR(13),""),CHAR(9),""),CHAR(160),"")," ",""),".",""),"-",""),"/",""),"?",""),"_",""),",",""),"[",""),"]",""),"(",""),")",""),"*","")</f>
        <v/>
      </c>
      <c r="BA580" s="61" t="str">
        <f aca="false">SUBSTITUTE(SUBSTITUTE(SUBSTITUTE(SUBSTITUTE(SUBSTITUTE(SUBSTITUTE(SUBSTITUTE(SUBSTITUTE(SUBSTITUTE(SUBSTITUTE(SUBSTITUTE(SUBSTITUTE(SUBSTITUTE(SUBSTITUTE(SUBSTITUTE(SUBSTITUTE(LOWER(AA580&amp;""),CHAR(10),""),CHAR(13),""),CHAR(9),""),CHAR(160),"")," ",""),".",""),"-",""),"/",""),"?",""),"_",""),",",""),"[",""),"]",""),"(",""),")",""),"*","")</f>
        <v/>
      </c>
      <c r="BB580" s="61" t="str">
        <f aca="false">IF(AND(TRIM(U580)="Pass",ISNUMBER(AF580)),IF(AF580&lt;&gt;0,"INVALID – qty variance: use Fail or Pass after CA",""),"")&amp;IF(AND(TRIM(U580)="Pass after CA",ISNUMBER(AF580)),IF(AF580&lt;&gt;0,"INVALID – after the corrective action the actual qty must equal expected (update Actual)",""),"")&amp;IF(AND(TRIM(U580)="Pass",TRIM(AB580)&lt;&gt;"",TRIM(AB580)&lt;&gt;"Closed"),"INVALID – corrective action not closed: use Fail, then Pass after CA","")&amp;IF(AND(LEN(BA580)&gt;=2,ISNA(MATCH(LEFT(BA580,255),L_Placeholder,0)),TRIM(AB580)=""),"INVALID – CA status missing for the recorded corrective action","")&amp;IF(AND(TRIM(U580)="Pass after CA",OR(OR(LEN(BA580)&lt;5,ISNUMBER(MATCH(BA580,L_Placeholder,0))),TRIM(AB580)&lt;&gt;"Closed")),"INVALID – corrective action not recorded/closed","")</f>
        <v/>
      </c>
      <c r="BC580" s="61" t="str">
        <f aca="false">" "&amp;TRIM(SUBSTITUTE(SUBSTITUTE(SUBSTITUTE(SUBSTITUTE(SUBSTITUTE(SUBSTITUTE(SUBSTITUTE(SUBSTITUTE(SUBSTITUTE(SUBSTITUTE(SUBSTITUTE(SUBSTITUTE(SUBSTITUTE(SUBSTITUTE(SUBSTITUTE(SUBSTITUTE(SUBSTITUTE(SUBSTITUTE(SUBSTITUTE(SUBSTITUTE(SUBSTITUTE(SUBSTITUTE(SUBSTITUTE(SUBSTITUTE(LOWER(V580&amp;""),CHAR(10)," "),CHAR(13)," "),CHAR(9)," "),CHAR(160)," "),"."," "),","," "),"-"," "),"/"," "),"("," "),")"," "),":"," "),";"," "),"_"," "),"–"," "),"?"," "),"!"," "),"*"," "),"["," "),"]"," "),"'"," "),"#"," "),"+"," "),"&amp;"," "),"\"," "))&amp;" "</f>
        <v>  </v>
      </c>
      <c r="BD580" s="61" t="str">
        <f aca="false">" "&amp;TRIM(SUBSTITUTE(SUBSTITUTE(SUBSTITUTE(SUBSTITUTE(SUBSTITUTE(SUBSTITUTE(SUBSTITUTE(SUBSTITUTE(SUBSTITUTE(SUBSTITUTE(SUBSTITUTE(SUBSTITUTE(SUBSTITUTE(SUBSTITUTE(SUBSTITUTE(SUBSTITUTE(SUBSTITUTE(SUBSTITUTE(SUBSTITUTE(SUBSTITUTE(SUBSTITUTE(SUBSTITUTE(SUBSTITUTE(SUBSTITUTE(LOWER(Z580&amp;""),CHAR(10)," "),CHAR(13)," "),CHAR(9)," "),CHAR(160)," "),"."," "),","," "),"-"," "),"/"," "),"("," "),")"," "),":"," "),";"," "),"_"," "),"–"," "),"?"," "),"!"," "),"*"," "),"["," "),"]"," "),"'"," "),"#"," "),"+"," "),"&amp;"," "),"\"," "))&amp;" "</f>
        <v>  </v>
      </c>
      <c r="BE580" s="61" t="str">
        <f aca="false">" "&amp;TRIM(SUBSTITUTE(SUBSTITUTE(SUBSTITUTE(SUBSTITUTE(SUBSTITUTE(SUBSTITUTE(SUBSTITUTE(SUBSTITUTE(SUBSTITUTE(SUBSTITUTE(SUBSTITUTE(SUBSTITUTE(SUBSTITUTE(SUBSTITUTE(SUBSTITUTE(SUBSTITUTE(SUBSTITUTE(SUBSTITUTE(SUBSTITUTE(SUBSTITUTE(SUBSTITUTE(SUBSTITUTE(SUBSTITUTE(SUBSTITUTE(LOWER(W580&amp;""),CHAR(10)," "),CHAR(13)," "),CHAR(9)," "),CHAR(160)," "),"."," "),","," "),"-"," "),"/"," "),"("," "),")"," "),":"," "),";"," "),"_"," "),"–"," "),"?"," "),"!"," "),"*"," "),"["," "),"]"," "),"'"," "),"#"," "),"+"," "),"&amp;"," "),"\"," "))&amp;" "</f>
        <v>  </v>
      </c>
      <c r="BF580" s="61" t="str">
        <f aca="false">" "&amp;TRIM(SUBSTITUTE(SUBSTITUTE(SUBSTITUTE(SUBSTITUTE(SUBSTITUTE(SUBSTITUTE(SUBSTITUTE(SUBSTITUTE(SUBSTITUTE(SUBSTITUTE(SUBSTITUTE(SUBSTITUTE(SUBSTITUTE(SUBSTITUTE(SUBSTITUTE(SUBSTITUTE(SUBSTITUTE(SUBSTITUTE(SUBSTITUTE(SUBSTITUTE(SUBSTITUTE(SUBSTITUTE(SUBSTITUTE(SUBSTITUTE(LOWER(AC580&amp;""),CHAR(10)," "),CHAR(13)," "),CHAR(9)," "),CHAR(160)," "),"."," "),","," "),"-"," "),"/"," "),"("," "),")"," "),":"," "),";"," "),"_"," "),"–"," "),"?"," "),"!"," "),"*"," "),"["," "),"]"," "),"'"," "),"#"," "),"+"," "),"&amp;"," "),"\"," "))&amp;" "</f>
        <v>  </v>
      </c>
      <c r="BG580" s="61" t="n">
        <f aca="false">IFERROR(IF(AND(TRIM(U580)="Pass",SUMPRODUCT((LEN(BC580)-LEN(SUBSTITUTE(BC580," "&amp;L_ResultBad&amp;" "," ")))/(LEN(L_ResultBad)+1))&gt;SUMPRODUCT((LEN(BC580)-LEN(SUBSTITUTE(BC580," "&amp;L_NegPhrase&amp;" "," ")))/(LEN(L_NegPhrase)+1))),1,0),0)</f>
        <v>0</v>
      </c>
      <c r="BH580" s="61" t="n">
        <f aca="false">IFERROR(IF(SUMPRODUCT((LEN(BC580)-LEN(SUBSTITUTE(BC580," "&amp;L_Pending&amp;" "," ")))/(LEN(L_Pending)+1))&gt;SUMPRODUCT((LEN(BC580)-LEN(SUBSTITUTE(BC580," "&amp;L_PendNeg&amp;" "," ")))/(LEN(L_PendNeg)+1))+SUMPRODUCT((LEN(BC580)-LEN(SUBSTITUTE(BC580," "&amp;L_PendPrep&amp;" "," ")))/(LEN(L_PendPrep)+1)),1,0),1)</f>
        <v>0</v>
      </c>
      <c r="BI580" s="61" t="n">
        <f aca="false">IFERROR(IF(SUMPRODUCT((LEN(BD580)-LEN(SUBSTITUTE(BD580," "&amp;L_PendStrict&amp;" "," ")))/(LEN(L_PendStrict)+1))&gt;SUMPRODUCT((LEN(BD580)-LEN(SUBSTITUTE(BD580," "&amp;L_PendNeg&amp;" "," ")))/(LEN(L_PendNeg)+1)),1,0),1)</f>
        <v>0</v>
      </c>
      <c r="BJ580" s="61" t="n">
        <f aca="false">IFERROR(IF(SUMPRODUCT((LEN(BE580)-LEN(SUBSTITUTE(BE580," "&amp;L_Pending&amp;" "," ")))/(LEN(L_Pending)+1))&gt;SUMPRODUCT((LEN(BE580)-LEN(SUBSTITUTE(BE580," "&amp;L_PendNeg&amp;" "," ")))/(LEN(L_PendNeg)+1))+SUMPRODUCT((LEN(BE580)-LEN(SUBSTITUTE(BE580," "&amp;L_PendPrep&amp;" "," ")))/(LEN(L_PendPrep)+1)),1,0),1)</f>
        <v>0</v>
      </c>
      <c r="BK580" s="61" t="n">
        <f aca="false">IFERROR(IF(SUMPRODUCT((LEN(BF580)-LEN(SUBSTITUTE(BF580," "&amp;L_PendStrict&amp;" "," ")))/(LEN(L_PendStrict)+1))&gt;SUMPRODUCT((LEN(BF580)-LEN(SUBSTITUTE(BF580," "&amp;L_PendNeg&amp;" "," ")))/(LEN(L_PendNeg)+1)),1,0),1)</f>
        <v>0</v>
      </c>
      <c r="BL580" s="61" t="n">
        <f aca="false">IF(ISNA(MATCH(TRIM(S580),L_EvidenceType,0)),0,BZ580)</f>
        <v>0</v>
      </c>
      <c r="BM580" s="61" t="str">
        <f aca="false">SUBSTITUTE(SUBSTITUTE(SUBSTITUTE(SUBSTITUTE(SUBSTITUTE(SUBSTITUTE(SUBSTITUTE(SUBSTITUTE(SUBSTITUTE(LOWER(Z580&amp;""),"1","0"),"2","0"),"3","0"),"4","0"),"5","0"),"6","0"),"7","0"),"8","0"),"9","0")</f>
        <v/>
      </c>
      <c r="BN580" s="61" t="str">
        <f aca="false">SUBSTITUTE(SUBSTITUTE(SUBSTITUTE(SUBSTITUTE(SUBSTITUTE(SUBSTITUTE(SUBSTITUTE(SUBSTITUTE(SUBSTITUTE(SUBSTITUTE(SUBSTITUTE(SUBSTITUTE(SUBSTITUTE(SUBSTITUTE(SUBSTITUTE(SUBSTITUTE(SUBSTITUTE(SUBSTITUTE(SUBSTITUTE(SUBSTITUTE(SUBSTITUTE(SUBSTITUTE(SUBSTITUTE(SUBSTITUTE(SUBSTITUTE(BM580,"b","a"),"c","a"),"d","a"),"e","a"),"f","a"),"g","a"),"h","a"),"i","a"),"j","a"),"k","a"),"l","a"),"m","a"),"n","a"),"o","a"),"p","a"),"q","a"),"r","a"),"s","a"),"t","a"),"u","a"),"v","a"),"w","a"),"x","a"),"y","a"),"z","a")</f>
        <v/>
      </c>
      <c r="BO580" s="61" t="str">
        <f aca="false">SUBSTITUTE(SUBSTITUTE(SUBSTITUTE(SUBSTITUTE(SUBSTITUTE(SUBSTITUTE(SUBSTITUTE(SUBSTITUTE(SUBSTITUTE(LOWER(W580&amp;""),"1","0"),"2","0"),"3","0"),"4","0"),"5","0"),"6","0"),"7","0"),"8","0"),"9","0")</f>
        <v/>
      </c>
      <c r="BP580" s="61" t="str">
        <f aca="false">SUBSTITUTE(SUBSTITUTE(SUBSTITUTE(SUBSTITUTE(SUBSTITUTE(SUBSTITUTE(SUBSTITUTE(SUBSTITUTE(SUBSTITUTE(SUBSTITUTE(SUBSTITUTE(SUBSTITUTE(SUBSTITUTE(SUBSTITUTE(SUBSTITUTE(SUBSTITUTE(SUBSTITUTE(SUBSTITUTE(SUBSTITUTE(SUBSTITUTE(SUBSTITUTE(SUBSTITUTE(SUBSTITUTE(SUBSTITUTE(SUBSTITUTE(BO580,"b","a"),"c","a"),"d","a"),"e","a"),"f","a"),"g","a"),"h","a"),"i","a"),"j","a"),"k","a"),"l","a"),"m","a"),"n","a"),"o","a"),"p","a"),"q","a"),"r","a"),"s","a"),"t","a"),"u","a"),"v","a"),"w","a"),"x","a"),"y","a"),"z","a")</f>
        <v/>
      </c>
      <c r="BQ580" s="61" t="n">
        <f aca="false">IFERROR(IF(AND(ISERROR(SEARCH(" mh"," "&amp;LOWER(W580))),ISNA(MATCH(LEFT(TRIM(BP580),255),{"0000a","000a","00a","0000aa","000aa","00aa","0aa","0000aaa","000aaa","00a00","0a00","0000-0000","00:00","a00","a0","00.00.0000","00/00/0000","00-00-0000","0000-00-00","0000/00/00","0000.00.00","00.00.00","00/00/00","00-00-00","0.00.0000","0/00/0000","0-00-0000"},0)),ISNA(MATCH(LEFT(TRIM(CA580),255),{"0000a","000a","00a","0000aa","000aa","00aa","0aa","0000aaa","000aaa","00a00","0a00","0000-0000","00:00","a00","a0","00.00.0000","00/00/0000","00-00-0000","0000-00-00","0000/00/00","0000.00.00","00.00.00","00/00/00","00-00-00","0.00.0000","0/00/0000","0-00-0000"},0)),LEN(CB580)&gt;=3,NOT(OR(SUBSTITUTE(CB580,"0","")="",AND(LEN(CB580)&gt;=4,CB580=REPT(LEFT(CB580),LEN(CB580))),ISNUMBER(MATCH(CB580,{"123","1234","12345","123456","1234567","12345678","0123","01234","012345","98765","987654","54321"},0)),AND(LEN(CB580)=8,LEFT(CB580,3)="202"))),OR(AND((LEN(CA580)-LEN(SUBSTITUTE(CA580,"a","")))&gt;=1,SUMPRODUCT(--ISNUMBER(SEARCH({"a0","a-0","a_0","a/0","a.0","a#0","0a","0-a","0_a","0/a"},BP580)))&gt;0),ISNUMBER(SEARCH("000000",BP580)))),1,0),0)</f>
        <v>0</v>
      </c>
      <c r="BR580" s="61" t="n">
        <f aca="false">IFERROR(LEN(SUBSTITUTE(CC580," ",""))-SUMPRODUCT((LEN(CC580)-LEN(SUBSTITUTE(CC580," "&amp;L_Role&amp;" "," ")))/(LEN(L_Role)+1)*LEN(L_Role)),0)</f>
        <v>0</v>
      </c>
      <c r="BS580" s="61" t="n">
        <f aca="false">IFERROR(LEN(SUBSTITUTE(CD580," ",""))-SUMPRODUCT((LEN(CD580)-LEN(SUBSTITUTE(CD580," "&amp;L_Role&amp;" "," ")))/(LEN(L_Role)+1)*LEN(L_Role)),0)</f>
        <v>0</v>
      </c>
      <c r="BT5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580,"revision",""),"version",""),"jan",""),"feb",""),"mar",""),"apr",""),"may",""),"jun",""),"jul",""),"aug",""),"sep",""),"oct",""),"nov",""),"dec",""),"utc",""),"gmt",""),"myt",""),"bst",""),"rev",""),"ver",""),"b","a"),"c","a"),"d","a"),"e","a"),"f","a"),"g","a"),"h","a"),"i","a"),"j","a"),"k","a"),"l","a"),"m","a"),"n","a"),"o","a"),"p","a"),"q","a"),"r","a"),"s","a"),"t","a"),"u","a"),"v","a"),"w","a"),"x","a"),"y","a"),"z","a")</f>
        <v/>
      </c>
      <c r="BU580" s="61" t="str">
        <f aca="false">SUBSTITUTE(SUBSTITUTE(SUBSTITUTE(SUBSTITUTE(SUBSTITUTE(SUBSTITUTE(SUBSTITUTE(SUBSTITUTE(SUBSTITUTE(SUBSTITUTE(LEFT(BM580,FIND("0",BM580&amp;"0")-1),"-",""),"_",""),"/",""),".",""),"#",""),"\\",""),":","")," ",""),"(",""),")","")</f>
        <v/>
      </c>
      <c r="BV580" s="61" t="n">
        <f aca="false">0</f>
        <v>0</v>
      </c>
      <c r="BW5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580&amp;""),"a",""),"b",""),"c",""),"d",""),"e",""),"f",""),"g",""),"h",""),"i",""),"j",""),"k",""),"l",""),"m",""),"n",""),"o",""),"p",""),"q",""),"r",""),"s",""),"t",""),"u",""),"v",""),"w",""),"x",""),"y",""),"z",""),"-",""),"_",""),"/",""),".",""),"#",""),"\\",""),":","")," ",""),"(",""),")","")</f>
        <v/>
      </c>
      <c r="BX580" s="61" t="str">
        <f aca="false">SUBSTITUTE(SUBSTITUTE(SUBSTITUTE(SUBSTITUTE(SUBSTITUTE(SUBSTITUTE(SUBSTITUTE(SUBSTITUTE(SUBSTITUTE(SUBSTITUTE(SUBSTITUTE(BM580,"0",""),"-",""),"_",""),"/",""),".",""),"#",""),"\\",""),":","")," ",""),"(",""),")","")</f>
        <v/>
      </c>
      <c r="BY580" s="62" t="n">
        <f aca="false">Q580-T7EarlyD*24/24</f>
        <v>46301.6006944444</v>
      </c>
      <c r="BZ580" s="61" t="n">
        <f aca="false">IFERROR(IF(IF(TRIM(S580)="Link / file path",AND(LEN(TRIM(Z580))&gt;=5,SUMPRODUCT(--ISNUMBER(SEARCH({"http","www.","\\",":\",".pdf",".jpg",".jpeg",".png",".heic",".xls",".doc",".msg",".eml",".ppt",".txt",".zip"},Z580)))&gt;0),AND(ISERROR(FIND(" ",TRIM(Z580))),NOT(OR(SUMPRODUCT(--ISNUMBER(FIND({",",";","&amp;","+"},Z580)))&gt;0,SUMPRODUCT(--ISNUMBER(SEARCH({"0/aa","0\\aa"},BN580)))&gt;0)),NOT(SUMPRODUCT(--ISNUMBER(SEARCH({"http","www.","\\",":\",".pdf",".jpg",".jpeg",".png",".heic",".xls",".doc",".msg",".eml",".ppt",".txt",".zip"},Z580)))&gt;0),NOT(LOWER(TRIM(Z580))=LOWER(Flights!$F$22)),ISNA(MATCH(BU580,{"mh","rev","revision","ver","version","v","r","a","b","seat","tray","row","gate","bay","stand","page","pg","item","line","no","cart","galley","flight","flt","table","box","bag","oven","etd","eta","std","sta","atd","ata","qty","pax","x","time","tel","ph","mob","day","wk","week","utc","gmt","myt","lt"},0)),NOT(OR(ISNUMBER(MATCH(LEFT(BN580,255),{"0000a","000a","00a","0000aa","000aa","00aa","0aa","0000aaa","000aaa","00a00","0a00","0000-0000","00:00","a00","a0","00.00.0000","00/00/0000","00-00-0000","0000-00-00","0000/00/00","0000.00.00","00.00.00","00/00/00","00-00-00","0.00.0000","0/00/0000","0-00-0000"},0)),ISNUMBER(MATCH(LEFT(BT580,255),{"0000a","000a","00a","0000aa","000aa","00aa","0aa","0000aaa","000aaa","00a00","0a00","0000-0000","00:00","a00","a0","00.00.0000","00/00/0000","00-00-0000","0000-00-00","0000/00/00","0000.00.00","00.00.00","00/00/00","00-00-00","0.00.0000","0/00/0000","0-00-0000"},0)))),NOT(OR(AND(BW580&lt;&gt;"",SUBSTITUTE(BW580,"0","")=""),AND(LEN(BW580)&gt;=4,BW580=REPT(LEFT(BW580),LEN(BW580))),ISNUMBER(MATCH(BW580,{"123","1234","12345","123456","1234567","12345678","0123","01234","012345","98765","987654","54321"},0)),ISNUMBER(MATCH(BX580,{"x","xx","xxx","xxxx","xxxxx","abc","abcd","nil","na","nan","test","tbc","tba","tbd","dummy","sample","example","eg","zz","zzz","none","null","xyz","qwe","asd","id","ref"},0)),AND(LEN(BW580)=8,BX580="",OR(LEFT(BW580,3)="202",ISNUMBER(MATCH(RIGHT(BW580,4),{"2025","2026","2027"},0)))))),OR(AND((LEN(BT580)-LEN(SUBSTITUTE(BT580,"a","")))&gt;=1,(LEN(BN580)-LEN(SUBSTITUTE(BN580,"0","")))&gt;=2,SUMPRODUCT(--ISNUMBER(SEARCH({"a0","a-0","a_0","a/0","a.0","a#0","0a","0-a","0_a","0/a"},BN580)))&gt;0),AND((LEN(BN580)-LEN(SUBSTITUTE(BN580,"a","")))=0,(LEN(BN580)-LEN(SUBSTITUTE(BN580,"0","")))&gt;=5)))),1,0),0)</f>
        <v>0</v>
      </c>
      <c r="CA5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580,"revision",""),"version",""),"jan",""),"feb",""),"mar",""),"apr",""),"may",""),"jun",""),"jul",""),"aug",""),"sep",""),"oct",""),"nov",""),"dec",""),"utc",""),"gmt",""),"myt",""),"bst",""),"rev",""),"ver",""),"b","a"),"c","a"),"d","a"),"e","a"),"f","a"),"g","a"),"h","a"),"i","a"),"j","a"),"k","a"),"l","a"),"m","a"),"n","a"),"o","a"),"p","a"),"q","a"),"r","a"),"s","a"),"t","a"),"u","a"),"v","a"),"w","a"),"x","a"),"y","a"),"z","a")</f>
        <v/>
      </c>
      <c r="CB5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580&amp;""),"a",""),"b",""),"c",""),"d",""),"e",""),"f",""),"g",""),"h",""),"i",""),"j",""),"k",""),"l",""),"m",""),"n",""),"o",""),"p",""),"q",""),"r",""),"s",""),"t",""),"u",""),"v",""),"w",""),"x",""),"y",""),"z",""),"-",""),"_",""),"/",""),".",""),"#",""),"\\",""),":","")," ",""),"(",""),")","")</f>
        <v/>
      </c>
      <c r="CC580" s="0" t="str">
        <f aca="false">" "&amp;TRIM(SUBSTITUTE(SUBSTITUTE(SUBSTITUTE(SUBSTITUTE(SUBSTITUTE(SUBSTITUTE(SUBSTITUTE(SUBSTITUTE(SUBSTITUTE(SUBSTITUTE(SUBSTITUTE(SUBSTITUTE(SUBSTITUTE(SUBSTITUTE(SUBSTITUTE(SUBSTITUTE(SUBSTITUTE(SUBSTITUTE(SUBSTITUTE(SUBSTITUTE(SUBSTITUTE(SUBSTITUTE(SUBSTITUTE(SUBSTITUTE(LOWER(T580&amp;""),CHAR(10)," "),CHAR(13)," "),CHAR(9)," "),CHAR(160)," "),"."," "),","," "),"-"," "),"/"," "),"("," "),")"," "),":"," "),";"," "),"_"," "),"–"," "),"?"," "),"!"," "),"*"," "),"["," "),"]"," "),"'"," "),"#"," "),"+"," "),"&amp;"," "),"\"," "))&amp;" "</f>
        <v>  </v>
      </c>
      <c r="CD580" s="0" t="str">
        <f aca="false">" "&amp;TRIM(SUBSTITUTE(SUBSTITUTE(SUBSTITUTE(SUBSTITUTE(SUBSTITUTE(SUBSTITUTE(SUBSTITUTE(SUBSTITUTE(SUBSTITUTE(SUBSTITUTE(SUBSTITUTE(SUBSTITUTE(SUBSTITUTE(SUBSTITUTE(SUBSTITUTE(SUBSTITUTE(SUBSTITUTE(SUBSTITUTE(SUBSTITUTE(SUBSTITUTE(SUBSTITUTE(SUBSTITUTE(SUBSTITUTE(SUBSTITUTE(LOWER(AE580&amp;""),CHAR(10)," "),CHAR(13)," "),CHAR(9)," "),CHAR(160)," "),"."," "),","," "),"-"," "),"/"," "),"("," "),")"," "),":"," "),";"," "),"_"," "),"–"," "),"?"," "),"!"," "),"*"," "),"["," "),"]"," "),"'"," "),"#"," "),"+"," "),"&amp;"," "),"\"," "))&amp;" "</f>
        <v>  </v>
      </c>
      <c r="CE580" s="68" t="n">
        <f aca="false">IFERROR(IF(AND(LEN(AU580)&gt;0,LEN(AU580)=LEN(AX580),OR(TRIM(MID(SUBSTITUTE(TRIM(CC580)," ",REPT(" ",60)),1,60))="",ISNUMBER(SEARCH(" "&amp;TRIM(MID(SUBSTITUTE(TRIM(CC580)," ",REPT(" ",60)),1,60))&amp;" ",CD580))),OR(TRIM(MID(SUBSTITUTE(TRIM(CC580)," ",REPT(" ",60)),61,60))="",ISNUMBER(SEARCH(" "&amp;TRIM(MID(SUBSTITUTE(TRIM(CC580)," ",REPT(" ",60)),61,60))&amp;" ",CD580))),OR(TRIM(MID(SUBSTITUTE(TRIM(CC580)," ",REPT(" ",60)),121,60))="",ISNUMBER(SEARCH(" "&amp;TRIM(MID(SUBSTITUTE(TRIM(CC580)," ",REPT(" ",60)),121,60))&amp;" ",CD580)))),1,0),0)</f>
        <v>0</v>
      </c>
      <c r="CG580" s="68" t="n">
        <f aca="false">IFERROR(LEN(SUBSTITUTE(BF580," ",""))-SUMPRODUCT((LEN(BF580)-LEN(SUBSTITUTE(BF580," "&amp;L_NAFiller&amp;" "," ")))/(LEN(L_NAFiller)+1)*LEN(L_NAFiller)),0)</f>
        <v>0</v>
      </c>
    </row>
    <row r="581" customFormat="false" ht="39.75" hidden="false" customHeight="true" outlineLevel="0" collapsed="false">
      <c r="A581" s="57" t="s">
        <v>1273</v>
      </c>
      <c r="B581" s="57" t="s">
        <v>293</v>
      </c>
      <c r="C581" s="57" t="str">
        <f aca="false">Flights!$F$22</f>
        <v>MH0052</v>
      </c>
      <c r="D581" s="58" t="n">
        <f aca="false">Flights!$D$22</f>
        <v>46322</v>
      </c>
      <c r="E581" s="57" t="str">
        <f aca="false">Flights!$G$22&amp;"-"&amp;Flights!$H$22</f>
        <v>KUL-KIX</v>
      </c>
      <c r="F581" s="57" t="str">
        <f aca="false">Flights!$K$22</f>
        <v>BC</v>
      </c>
      <c r="G581" s="57" t="s">
        <v>81</v>
      </c>
      <c r="H581" s="57" t="s">
        <v>378</v>
      </c>
      <c r="I581" s="57" t="s">
        <v>405</v>
      </c>
      <c r="J581" s="57" t="s">
        <v>409</v>
      </c>
      <c r="K581" s="67" t="s">
        <v>407</v>
      </c>
      <c r="L581" s="67" t="s">
        <v>382</v>
      </c>
      <c r="M581" s="67"/>
      <c r="N581" s="67" t="s">
        <v>383</v>
      </c>
      <c r="O581" s="67"/>
      <c r="P581" s="57" t="s">
        <v>187</v>
      </c>
      <c r="Q581" s="59" t="n">
        <f aca="false">ROUND((Flights!$AC$22)*1440,0)/1440</f>
        <v>46315.6006944444</v>
      </c>
      <c r="R581" s="59" t="n">
        <f aca="false">Q581+(IF(AND(INDEX(TZ_DSTS,MATCH(P581,TZ_STN,0))&lt;&gt;"",Q581&gt;=INDEX(TZ_DSTS,MATCH(P581,TZ_STN,0)),Q581&lt;INDEX(TZ_DSTE,MATCH(P581,TZ_STN,0))),INDEX(TZ_DST,MATCH(P581,TZ_STN,0)),INDEX(TZ_STD,MATCH(P581,TZ_STN,0))))/24</f>
        <v>46315.9340277778</v>
      </c>
      <c r="S581" s="60"/>
      <c r="T581" s="60"/>
      <c r="U581" s="60"/>
      <c r="V581" s="60"/>
      <c r="W581" s="61"/>
      <c r="X581" s="60"/>
      <c r="Y581" s="60"/>
      <c r="Z581" s="60"/>
      <c r="AA581" s="60"/>
      <c r="AB581" s="60"/>
      <c r="AC581" s="60"/>
      <c r="AD581" s="66"/>
      <c r="AE581" s="60"/>
      <c r="AF581" s="61" t="str">
        <f aca="false">IF(AND(ISNUMBER(X581),ISNUMBER(Y581)),Y581-X581,"")</f>
        <v/>
      </c>
      <c r="AG581" s="62" t="str">
        <f aca="false">IF(ISNUMBER(AD581),AD581-(IF(AND(INDEX(TZ_DSTS,MATCH(P581,TZ_STN,0))&lt;&gt;"",(AD581-INDEX(TZ_STD,MATCH(P581,TZ_STN,0))/24)&gt;=INDEX(TZ_DSTS,MATCH(P581,TZ_STN,0)),(AD581-INDEX(TZ_STD,MATCH(P581,TZ_STN,0))/24)&lt;INDEX(TZ_DSTE,MATCH(P581,TZ_STN,0))),INDEX(TZ_DST,MATCH(P581,TZ_STN,0)),INDEX(TZ_STD,MATCH(P581,TZ_STN,0))))/24,"")</f>
        <v/>
      </c>
      <c r="AH581" s="65" t="str">
        <f aca="false">IFERROR(IF(N581="N/A – rule",IF(OR(TRIM(U581)="",TRIM(U581)="N/A",TRIM(U581)="Not started"),"N/A – RULE","INVALID – this check does not apply to this aircraft: clear the status (or correct the fleet on Flights)"),IF(TRIM(U581)="N/A",IF(AT581=0,"INVALID – N/A not permitted for this check",IF(AND(TRIM(AB581)&lt;&gt;"",TRIM(AB581)&lt;&gt;"Closed"),"INVALID – corrective action still open",IF(AND(NOT(OR(LEN(AZ581)&lt;15,ISNUMBER(MATCH(AZ581,L_Placeholder,0)))),BK581=0,CG581&gt;=8,NOT(OR(LEN(AU581)&lt;2,ISNUMBER(MATCH(AU581,L_Placeholder,0)))),BR581&gt;=3,NOT(OR(LEN(AX581)&lt;2,ISNUMBER(MATCH(AX581,L_Placeholder,0)))),BS581&gt;=3,TRIM(AE581)&lt;&gt;TRIM(T581),AX581&lt;&gt;AU581,CE581=0),"N/A – JUSTIFIED","INVALID – N/A needs a real, settled reason (not 'not applicable' / 'as above' / TBC), a named PIC and a different named verifier"))),IF(OR(TRIM(U581)="Pass",TRIM(U581)="Pass after CA"),IF(NOT(ISNUMBER(AD581)),"INVALID – completion time missing",IF(OR(OR(LEN(AU581)&lt;2,ISNUMBER(MATCH(AU581,L_Placeholder,0))),BR581&lt;3),"INVALID – PIC missing or not a named person (a role such as QA / CSM is not a name)",IF(OR(LEN(AV581)&lt;2,ISNUMBER(MATCH(AV581,L_Placeholder,0))),"INVALID – result / assessment missing",IF(OR(OR(LEN(AW581)&lt;3,ISNUMBER(MATCH(AW581,L_Placeholder,0))),SUMPRODUCT(--ISNUMBER(SEARCH(" "&amp;L_EvidencePhrase&amp;" ",BD581)))&gt;0,BI581=1),"INVALID – evidence missing, placeholder or not yet on file",IF(ISNA(MATCH(TRIM(S581),L_EvidenceType,0)),"INVALID – choose the evidence type from the list (column S)",IF(BL581=0,"INVALID – evidence ID must be the record's own ID only (e.g. SF-2210, IMG_2231, 1045521); a link / file name needs type 'Link / file path'",IF(OR(OR(LEN(AX581)&lt;2,ISNUMBER(MATCH(AX581,L_Placeholder,0))),BS581&lt;3),"INVALID – verifier missing or not a named person (a role such as QA / CSM is not a name)",IF(OR(AX581=AU581,CE581=1,AND(LEN(AU581)&gt;=4,ISNUMBER(SEARCH(AU581,AX581))),AND(LEN(AX581)&gt;=4,ISNUMBER(SEARCH(AX581,AU581)))),"INVALID – verifier must be a different, named person (not the PIC or a role)",IF(BH581=1,"INVALID – result not yet available (awaiting / TBC)",IF(BG581=1,"INVALID – result describes a problem: record Fail, then Pass after CA (or reword if it is not a problem)",IF(BV581=1,"INVALID – wording says not on board: an on-board confirmation needs the item loaded",IF(AND(AQ581=1,OR(OR(LEN(AY581)&lt;3,ISNUMBER(MATCH(AY581,L_Placeholder,0))),BJ581=1,BQ581=0)),"INVALID – batch ID missing, placeholder or not an ID (e.g. PASB-261008-BC-017)",IF(AND(AR581=1,OR(NOT(ISNUMBER(X581)),NOT(ISNUMBER(Y581)))),"INVALID – expected/actual qty missing",IF(AND(AR581=1,OR(X581&lt;=0,Y581&lt;0)),"INVALID – expected qty must be above 0 and actual not negative",IF(BB581&lt;&gt;"",BB581,IF(AND(AS581=1,Documents!$J$22&lt;&gt;"ON FILE"),"INVALID – GLD not on file (Documents sheet)",IF(AND(AS581=2,Documents!$O$22&lt;&gt;"ON FILE"),"INVALID – menu checklist not on file (Documents sheet)",IF(AND(AS581=3,NOT(ISNUMBER(Flights!$AX$22))),"INVALID – enter carrying flight KUL departure (Flights AX)",IF(AND(AS581=3,OR(Flights!$AZ$22&gt;Flights!$AA$22,Flights!$AX$22&lt;Flights!$AA$22-3)),"INVALID – carrying flight (Flights AX) cannot arrive before this leg's STD, or is over 3 days early",IF(AG581&gt;AsOfUTC,"INVALID – completion time is in the future",IF(AND(ISNUMBER(BY581),AG581&lt;BY581),IF(H581="Physical uplift","INVALID – before uplift window (cannot confirm loading)","INVALID – before valid window"),IF(AG581&gt;Flights!$AA$22,"INVALID – completed after departure (cannot establish readiness)",IF(AND(H581="Preparation",AG581&gt;=IF(ISNUMBER(Flights!$BA$22),MIN(Flights!$BA$22,Flights!$AA$22),Flights!$AA$22)),"INVALID – completed after loading / departure (cannot establish readiness)",IF(AND(H581="Physical uplift",AG581&gt;Q581),"INVALID – recorded after the loading flight departed",IF(AG581&gt;Q581,"COMPLETE – LATE","COMPLETE"))))))))))))))))))))))))),IF(TRIM(U581)="Fail","FAIL – DISCREPANCY",IF(AND(TRIM(U581)&lt;&gt;"",TRIM(U581)&lt;&gt;"Not started",TRIM(U581)&lt;&gt;"In progress"),"INVALID – unrecognised status (use the list)",IF(AsOfUTC&gt;Q581,"OVERDUE",IF(N581="Clarification required","OPEN – CLARIFICATION","OPEN"))))))),"INVALID – error value in an input cell")</f>
        <v>OPEN</v>
      </c>
      <c r="AI581" s="61" t="n">
        <f aca="false">IF(OR(AH581="N/A – RULE",AH581="N/A – JUSTIFIED"),0,1)</f>
        <v>1</v>
      </c>
      <c r="AJ581" s="61" t="n">
        <f aca="false">IF(LEFT(AH581,8)="COMPLETE",1,0)</f>
        <v>0</v>
      </c>
      <c r="AK581" s="61" t="n">
        <f aca="false">IF(AND(AI581=1,AJ581=0,AsOfUTC&gt;Q581),1,0)</f>
        <v>0</v>
      </c>
      <c r="AL581" s="61" t="n">
        <f aca="false">IFERROR(IF(AND(AI581=1,OR(TRIM(U581)="Fail",AND(TRIM(AB581)&lt;&gt;"",TRIM(AB581)&lt;&gt;"Closed"),AND(ISNUMBER(AF581),AF581&lt;&gt;0,TRIM(U581)&lt;&gt;"Pass after CA"))),1,0),1)</f>
        <v>0</v>
      </c>
      <c r="AM581" s="61" t="n">
        <f aca="false">IF(LEFT(AH581,7)="INVALID",1,0)</f>
        <v>0</v>
      </c>
      <c r="AN581" s="61" t="n">
        <f aca="false">IF(AND(N581="Clarification required",AI581=1,AJ581=0),1,0)</f>
        <v>0</v>
      </c>
      <c r="AO581" s="61" t="str">
        <f aca="false">IF(AK581=1,SUM(AK$5:AK581),"")</f>
        <v/>
      </c>
      <c r="AP581" s="61" t="str">
        <f aca="false">IF(AL581=1,SUM(AL$5:AL581),"")</f>
        <v/>
      </c>
      <c r="AQ581" s="61" t="n">
        <v>0</v>
      </c>
      <c r="AR581" s="61" t="n">
        <v>0</v>
      </c>
      <c r="AS581" s="61" t="n">
        <v>2</v>
      </c>
      <c r="AT581" s="61" t="n">
        <v>0</v>
      </c>
      <c r="AU581" s="61" t="str">
        <f aca="false">SUBSTITUTE(SUBSTITUTE(SUBSTITUTE(SUBSTITUTE(SUBSTITUTE(SUBSTITUTE(SUBSTITUTE(SUBSTITUTE(SUBSTITUTE(SUBSTITUTE(SUBSTITUTE(SUBSTITUTE(SUBSTITUTE(SUBSTITUTE(SUBSTITUTE(SUBSTITUTE(LOWER(T581&amp;""),CHAR(10),""),CHAR(13),""),CHAR(9),""),CHAR(160),"")," ",""),".",""),"-",""),"/",""),"?",""),"_",""),",",""),"[",""),"]",""),"(",""),")",""),"*","")</f>
        <v/>
      </c>
      <c r="AV581" s="61" t="str">
        <f aca="false">SUBSTITUTE(SUBSTITUTE(SUBSTITUTE(SUBSTITUTE(SUBSTITUTE(SUBSTITUTE(SUBSTITUTE(SUBSTITUTE(SUBSTITUTE(SUBSTITUTE(SUBSTITUTE(SUBSTITUTE(SUBSTITUTE(SUBSTITUTE(SUBSTITUTE(SUBSTITUTE(LOWER(V581&amp;""),CHAR(10),""),CHAR(13),""),CHAR(9),""),CHAR(160),"")," ",""),".",""),"-",""),"/",""),"?",""),"_",""),",",""),"[",""),"]",""),"(",""),")",""),"*","")</f>
        <v/>
      </c>
      <c r="AW581" s="61" t="str">
        <f aca="false">SUBSTITUTE(SUBSTITUTE(SUBSTITUTE(SUBSTITUTE(SUBSTITUTE(SUBSTITUTE(SUBSTITUTE(SUBSTITUTE(SUBSTITUTE(SUBSTITUTE(SUBSTITUTE(SUBSTITUTE(SUBSTITUTE(SUBSTITUTE(SUBSTITUTE(SUBSTITUTE(LOWER(Z581&amp;""),CHAR(10),""),CHAR(13),""),CHAR(9),""),CHAR(160),"")," ",""),".",""),"-",""),"/",""),"?",""),"_",""),",",""),"[",""),"]",""),"(",""),")",""),"*","")</f>
        <v/>
      </c>
      <c r="AX581" s="61" t="str">
        <f aca="false">SUBSTITUTE(SUBSTITUTE(SUBSTITUTE(SUBSTITUTE(SUBSTITUTE(SUBSTITUTE(SUBSTITUTE(SUBSTITUTE(SUBSTITUTE(SUBSTITUTE(SUBSTITUTE(SUBSTITUTE(SUBSTITUTE(SUBSTITUTE(SUBSTITUTE(SUBSTITUTE(LOWER(AE581&amp;""),CHAR(10),""),CHAR(13),""),CHAR(9),""),CHAR(160),"")," ",""),".",""),"-",""),"/",""),"?",""),"_",""),",",""),"[",""),"]",""),"(",""),")",""),"*","")</f>
        <v/>
      </c>
      <c r="AY581" s="61" t="str">
        <f aca="false">SUBSTITUTE(SUBSTITUTE(SUBSTITUTE(SUBSTITUTE(SUBSTITUTE(SUBSTITUTE(SUBSTITUTE(SUBSTITUTE(SUBSTITUTE(SUBSTITUTE(SUBSTITUTE(SUBSTITUTE(SUBSTITUTE(SUBSTITUTE(SUBSTITUTE(SUBSTITUTE(LOWER(W581&amp;""),CHAR(10),""),CHAR(13),""),CHAR(9),""),CHAR(160),"")," ",""),".",""),"-",""),"/",""),"?",""),"_",""),",",""),"[",""),"]",""),"(",""),")",""),"*","")</f>
        <v/>
      </c>
      <c r="AZ581" s="61" t="str">
        <f aca="false">SUBSTITUTE(SUBSTITUTE(SUBSTITUTE(SUBSTITUTE(SUBSTITUTE(SUBSTITUTE(SUBSTITUTE(SUBSTITUTE(SUBSTITUTE(SUBSTITUTE(SUBSTITUTE(SUBSTITUTE(SUBSTITUTE(SUBSTITUTE(SUBSTITUTE(SUBSTITUTE(LOWER(AC581&amp;""),CHAR(10),""),CHAR(13),""),CHAR(9),""),CHAR(160),"")," ",""),".",""),"-",""),"/",""),"?",""),"_",""),",",""),"[",""),"]",""),"(",""),")",""),"*","")</f>
        <v/>
      </c>
      <c r="BA581" s="61" t="str">
        <f aca="false">SUBSTITUTE(SUBSTITUTE(SUBSTITUTE(SUBSTITUTE(SUBSTITUTE(SUBSTITUTE(SUBSTITUTE(SUBSTITUTE(SUBSTITUTE(SUBSTITUTE(SUBSTITUTE(SUBSTITUTE(SUBSTITUTE(SUBSTITUTE(SUBSTITUTE(SUBSTITUTE(LOWER(AA581&amp;""),CHAR(10),""),CHAR(13),""),CHAR(9),""),CHAR(160),"")," ",""),".",""),"-",""),"/",""),"?",""),"_",""),",",""),"[",""),"]",""),"(",""),")",""),"*","")</f>
        <v/>
      </c>
      <c r="BB581" s="61" t="str">
        <f aca="false">IF(AND(TRIM(U581)="Pass",ISNUMBER(AF581)),IF(AF581&lt;&gt;0,"INVALID – qty variance: use Fail or Pass after CA",""),"")&amp;IF(AND(TRIM(U581)="Pass after CA",ISNUMBER(AF581)),IF(AF581&lt;&gt;0,"INVALID – after the corrective action the actual qty must equal expected (update Actual)",""),"")&amp;IF(AND(TRIM(U581)="Pass",TRIM(AB581)&lt;&gt;"",TRIM(AB581)&lt;&gt;"Closed"),"INVALID – corrective action not closed: use Fail, then Pass after CA","")&amp;IF(AND(LEN(BA581)&gt;=2,ISNA(MATCH(LEFT(BA581,255),L_Placeholder,0)),TRIM(AB581)=""),"INVALID – CA status missing for the recorded corrective action","")&amp;IF(AND(TRIM(U581)="Pass after CA",OR(OR(LEN(BA581)&lt;5,ISNUMBER(MATCH(BA581,L_Placeholder,0))),TRIM(AB581)&lt;&gt;"Closed")),"INVALID – corrective action not recorded/closed","")</f>
        <v/>
      </c>
      <c r="BC581" s="61" t="str">
        <f aca="false">" "&amp;TRIM(SUBSTITUTE(SUBSTITUTE(SUBSTITUTE(SUBSTITUTE(SUBSTITUTE(SUBSTITUTE(SUBSTITUTE(SUBSTITUTE(SUBSTITUTE(SUBSTITUTE(SUBSTITUTE(SUBSTITUTE(SUBSTITUTE(SUBSTITUTE(SUBSTITUTE(SUBSTITUTE(SUBSTITUTE(SUBSTITUTE(SUBSTITUTE(SUBSTITUTE(SUBSTITUTE(SUBSTITUTE(SUBSTITUTE(SUBSTITUTE(LOWER(V581&amp;""),CHAR(10)," "),CHAR(13)," "),CHAR(9)," "),CHAR(160)," "),"."," "),","," "),"-"," "),"/"," "),"("," "),")"," "),":"," "),";"," "),"_"," "),"–"," "),"?"," "),"!"," "),"*"," "),"["," "),"]"," "),"'"," "),"#"," "),"+"," "),"&amp;"," "),"\"," "))&amp;" "</f>
        <v>  </v>
      </c>
      <c r="BD581" s="61" t="str">
        <f aca="false">" "&amp;TRIM(SUBSTITUTE(SUBSTITUTE(SUBSTITUTE(SUBSTITUTE(SUBSTITUTE(SUBSTITUTE(SUBSTITUTE(SUBSTITUTE(SUBSTITUTE(SUBSTITUTE(SUBSTITUTE(SUBSTITUTE(SUBSTITUTE(SUBSTITUTE(SUBSTITUTE(SUBSTITUTE(SUBSTITUTE(SUBSTITUTE(SUBSTITUTE(SUBSTITUTE(SUBSTITUTE(SUBSTITUTE(SUBSTITUTE(SUBSTITUTE(LOWER(Z581&amp;""),CHAR(10)," "),CHAR(13)," "),CHAR(9)," "),CHAR(160)," "),"."," "),","," "),"-"," "),"/"," "),"("," "),")"," "),":"," "),";"," "),"_"," "),"–"," "),"?"," "),"!"," "),"*"," "),"["," "),"]"," "),"'"," "),"#"," "),"+"," "),"&amp;"," "),"\"," "))&amp;" "</f>
        <v>  </v>
      </c>
      <c r="BE581" s="61" t="str">
        <f aca="false">" "&amp;TRIM(SUBSTITUTE(SUBSTITUTE(SUBSTITUTE(SUBSTITUTE(SUBSTITUTE(SUBSTITUTE(SUBSTITUTE(SUBSTITUTE(SUBSTITUTE(SUBSTITUTE(SUBSTITUTE(SUBSTITUTE(SUBSTITUTE(SUBSTITUTE(SUBSTITUTE(SUBSTITUTE(SUBSTITUTE(SUBSTITUTE(SUBSTITUTE(SUBSTITUTE(SUBSTITUTE(SUBSTITUTE(SUBSTITUTE(SUBSTITUTE(LOWER(W581&amp;""),CHAR(10)," "),CHAR(13)," "),CHAR(9)," "),CHAR(160)," "),"."," "),","," "),"-"," "),"/"," "),"("," "),")"," "),":"," "),";"," "),"_"," "),"–"," "),"?"," "),"!"," "),"*"," "),"["," "),"]"," "),"'"," "),"#"," "),"+"," "),"&amp;"," "),"\"," "))&amp;" "</f>
        <v>  </v>
      </c>
      <c r="BF581" s="61" t="str">
        <f aca="false">" "&amp;TRIM(SUBSTITUTE(SUBSTITUTE(SUBSTITUTE(SUBSTITUTE(SUBSTITUTE(SUBSTITUTE(SUBSTITUTE(SUBSTITUTE(SUBSTITUTE(SUBSTITUTE(SUBSTITUTE(SUBSTITUTE(SUBSTITUTE(SUBSTITUTE(SUBSTITUTE(SUBSTITUTE(SUBSTITUTE(SUBSTITUTE(SUBSTITUTE(SUBSTITUTE(SUBSTITUTE(SUBSTITUTE(SUBSTITUTE(SUBSTITUTE(LOWER(AC581&amp;""),CHAR(10)," "),CHAR(13)," "),CHAR(9)," "),CHAR(160)," "),"."," "),","," "),"-"," "),"/"," "),"("," "),")"," "),":"," "),";"," "),"_"," "),"–"," "),"?"," "),"!"," "),"*"," "),"["," "),"]"," "),"'"," "),"#"," "),"+"," "),"&amp;"," "),"\"," "))&amp;" "</f>
        <v>  </v>
      </c>
      <c r="BG581" s="61" t="n">
        <f aca="false">IFERROR(IF(AND(TRIM(U581)="Pass",SUMPRODUCT((LEN(BC581)-LEN(SUBSTITUTE(BC581," "&amp;L_ResultBad&amp;" "," ")))/(LEN(L_ResultBad)+1))&gt;SUMPRODUCT((LEN(BC581)-LEN(SUBSTITUTE(BC581," "&amp;L_NegPhrase&amp;" "," ")))/(LEN(L_NegPhrase)+1))),1,0),0)</f>
        <v>0</v>
      </c>
      <c r="BH581" s="61" t="n">
        <f aca="false">IFERROR(IF(SUMPRODUCT((LEN(BC581)-LEN(SUBSTITUTE(BC581," "&amp;L_Pending&amp;" "," ")))/(LEN(L_Pending)+1))&gt;SUMPRODUCT((LEN(BC581)-LEN(SUBSTITUTE(BC581," "&amp;L_PendNeg&amp;" "," ")))/(LEN(L_PendNeg)+1))+SUMPRODUCT((LEN(BC581)-LEN(SUBSTITUTE(BC581," "&amp;L_PendPrep&amp;" "," ")))/(LEN(L_PendPrep)+1)),1,0),1)</f>
        <v>0</v>
      </c>
      <c r="BI581" s="61" t="n">
        <f aca="false">IFERROR(IF(SUMPRODUCT((LEN(BD581)-LEN(SUBSTITUTE(BD581," "&amp;L_PendStrict&amp;" "," ")))/(LEN(L_PendStrict)+1))&gt;SUMPRODUCT((LEN(BD581)-LEN(SUBSTITUTE(BD581," "&amp;L_PendNeg&amp;" "," ")))/(LEN(L_PendNeg)+1)),1,0),1)</f>
        <v>0</v>
      </c>
      <c r="BJ581" s="61" t="n">
        <f aca="false">IFERROR(IF(SUMPRODUCT((LEN(BE581)-LEN(SUBSTITUTE(BE581," "&amp;L_Pending&amp;" "," ")))/(LEN(L_Pending)+1))&gt;SUMPRODUCT((LEN(BE581)-LEN(SUBSTITUTE(BE581," "&amp;L_PendNeg&amp;" "," ")))/(LEN(L_PendNeg)+1))+SUMPRODUCT((LEN(BE581)-LEN(SUBSTITUTE(BE581," "&amp;L_PendPrep&amp;" "," ")))/(LEN(L_PendPrep)+1)),1,0),1)</f>
        <v>0</v>
      </c>
      <c r="BK581" s="61" t="n">
        <f aca="false">IFERROR(IF(SUMPRODUCT((LEN(BF581)-LEN(SUBSTITUTE(BF581," "&amp;L_PendStrict&amp;" "," ")))/(LEN(L_PendStrict)+1))&gt;SUMPRODUCT((LEN(BF581)-LEN(SUBSTITUTE(BF581," "&amp;L_PendNeg&amp;" "," ")))/(LEN(L_PendNeg)+1)),1,0),1)</f>
        <v>0</v>
      </c>
      <c r="BL581" s="61" t="n">
        <f aca="false">IF(ISNA(MATCH(TRIM(S581),L_EvidenceType,0)),0,BZ581)</f>
        <v>0</v>
      </c>
      <c r="BM581" s="61" t="str">
        <f aca="false">SUBSTITUTE(SUBSTITUTE(SUBSTITUTE(SUBSTITUTE(SUBSTITUTE(SUBSTITUTE(SUBSTITUTE(SUBSTITUTE(SUBSTITUTE(LOWER(Z581&amp;""),"1","0"),"2","0"),"3","0"),"4","0"),"5","0"),"6","0"),"7","0"),"8","0"),"9","0")</f>
        <v/>
      </c>
      <c r="BN581" s="61" t="str">
        <f aca="false">SUBSTITUTE(SUBSTITUTE(SUBSTITUTE(SUBSTITUTE(SUBSTITUTE(SUBSTITUTE(SUBSTITUTE(SUBSTITUTE(SUBSTITUTE(SUBSTITUTE(SUBSTITUTE(SUBSTITUTE(SUBSTITUTE(SUBSTITUTE(SUBSTITUTE(SUBSTITUTE(SUBSTITUTE(SUBSTITUTE(SUBSTITUTE(SUBSTITUTE(SUBSTITUTE(SUBSTITUTE(SUBSTITUTE(SUBSTITUTE(SUBSTITUTE(BM581,"b","a"),"c","a"),"d","a"),"e","a"),"f","a"),"g","a"),"h","a"),"i","a"),"j","a"),"k","a"),"l","a"),"m","a"),"n","a"),"o","a"),"p","a"),"q","a"),"r","a"),"s","a"),"t","a"),"u","a"),"v","a"),"w","a"),"x","a"),"y","a"),"z","a")</f>
        <v/>
      </c>
      <c r="BO581" s="61" t="str">
        <f aca="false">SUBSTITUTE(SUBSTITUTE(SUBSTITUTE(SUBSTITUTE(SUBSTITUTE(SUBSTITUTE(SUBSTITUTE(SUBSTITUTE(SUBSTITUTE(LOWER(W581&amp;""),"1","0"),"2","0"),"3","0"),"4","0"),"5","0"),"6","0"),"7","0"),"8","0"),"9","0")</f>
        <v/>
      </c>
      <c r="BP581" s="61" t="str">
        <f aca="false">SUBSTITUTE(SUBSTITUTE(SUBSTITUTE(SUBSTITUTE(SUBSTITUTE(SUBSTITUTE(SUBSTITUTE(SUBSTITUTE(SUBSTITUTE(SUBSTITUTE(SUBSTITUTE(SUBSTITUTE(SUBSTITUTE(SUBSTITUTE(SUBSTITUTE(SUBSTITUTE(SUBSTITUTE(SUBSTITUTE(SUBSTITUTE(SUBSTITUTE(SUBSTITUTE(SUBSTITUTE(SUBSTITUTE(SUBSTITUTE(SUBSTITUTE(BO581,"b","a"),"c","a"),"d","a"),"e","a"),"f","a"),"g","a"),"h","a"),"i","a"),"j","a"),"k","a"),"l","a"),"m","a"),"n","a"),"o","a"),"p","a"),"q","a"),"r","a"),"s","a"),"t","a"),"u","a"),"v","a"),"w","a"),"x","a"),"y","a"),"z","a")</f>
        <v/>
      </c>
      <c r="BQ581" s="61" t="n">
        <f aca="false">IFERROR(IF(AND(ISERROR(SEARCH(" mh"," "&amp;LOWER(W581))),ISNA(MATCH(LEFT(TRIM(BP581),255),{"0000a","000a","00a","0000aa","000aa","00aa","0aa","0000aaa","000aaa","00a00","0a00","0000-0000","00:00","a00","a0","00.00.0000","00/00/0000","00-00-0000","0000-00-00","0000/00/00","0000.00.00","00.00.00","00/00/00","00-00-00","0.00.0000","0/00/0000","0-00-0000"},0)),ISNA(MATCH(LEFT(TRIM(CA581),255),{"0000a","000a","00a","0000aa","000aa","00aa","0aa","0000aaa","000aaa","00a00","0a00","0000-0000","00:00","a00","a0","00.00.0000","00/00/0000","00-00-0000","0000-00-00","0000/00/00","0000.00.00","00.00.00","00/00/00","00-00-00","0.00.0000","0/00/0000","0-00-0000"},0)),LEN(CB581)&gt;=3,NOT(OR(SUBSTITUTE(CB581,"0","")="",AND(LEN(CB581)&gt;=4,CB581=REPT(LEFT(CB581),LEN(CB581))),ISNUMBER(MATCH(CB581,{"123","1234","12345","123456","1234567","12345678","0123","01234","012345","98765","987654","54321"},0)),AND(LEN(CB581)=8,LEFT(CB581,3)="202"))),OR(AND((LEN(CA581)-LEN(SUBSTITUTE(CA581,"a","")))&gt;=1,SUMPRODUCT(--ISNUMBER(SEARCH({"a0","a-0","a_0","a/0","a.0","a#0","0a","0-a","0_a","0/a"},BP581)))&gt;0),ISNUMBER(SEARCH("000000",BP581)))),1,0),0)</f>
        <v>0</v>
      </c>
      <c r="BR581" s="61" t="n">
        <f aca="false">IFERROR(LEN(SUBSTITUTE(CC581," ",""))-SUMPRODUCT((LEN(CC581)-LEN(SUBSTITUTE(CC581," "&amp;L_Role&amp;" "," ")))/(LEN(L_Role)+1)*LEN(L_Role)),0)</f>
        <v>0</v>
      </c>
      <c r="BS581" s="61" t="n">
        <f aca="false">IFERROR(LEN(SUBSTITUTE(CD581," ",""))-SUMPRODUCT((LEN(CD581)-LEN(SUBSTITUTE(CD581," "&amp;L_Role&amp;" "," ")))/(LEN(L_Role)+1)*LEN(L_Role)),0)</f>
        <v>0</v>
      </c>
      <c r="BT5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581,"revision",""),"version",""),"jan",""),"feb",""),"mar",""),"apr",""),"may",""),"jun",""),"jul",""),"aug",""),"sep",""),"oct",""),"nov",""),"dec",""),"utc",""),"gmt",""),"myt",""),"bst",""),"rev",""),"ver",""),"b","a"),"c","a"),"d","a"),"e","a"),"f","a"),"g","a"),"h","a"),"i","a"),"j","a"),"k","a"),"l","a"),"m","a"),"n","a"),"o","a"),"p","a"),"q","a"),"r","a"),"s","a"),"t","a"),"u","a"),"v","a"),"w","a"),"x","a"),"y","a"),"z","a")</f>
        <v/>
      </c>
      <c r="BU581" s="61" t="str">
        <f aca="false">SUBSTITUTE(SUBSTITUTE(SUBSTITUTE(SUBSTITUTE(SUBSTITUTE(SUBSTITUTE(SUBSTITUTE(SUBSTITUTE(SUBSTITUTE(SUBSTITUTE(LEFT(BM581,FIND("0",BM581&amp;"0")-1),"-",""),"_",""),"/",""),".",""),"#",""),"\\",""),":","")," ",""),"(",""),")","")</f>
        <v/>
      </c>
      <c r="BV581" s="61" t="n">
        <f aca="false">0</f>
        <v>0</v>
      </c>
      <c r="BW5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581&amp;""),"a",""),"b",""),"c",""),"d",""),"e",""),"f",""),"g",""),"h",""),"i",""),"j",""),"k",""),"l",""),"m",""),"n",""),"o",""),"p",""),"q",""),"r",""),"s",""),"t",""),"u",""),"v",""),"w",""),"x",""),"y",""),"z",""),"-",""),"_",""),"/",""),".",""),"#",""),"\\",""),":","")," ",""),"(",""),")","")</f>
        <v/>
      </c>
      <c r="BX581" s="61" t="str">
        <f aca="false">SUBSTITUTE(SUBSTITUTE(SUBSTITUTE(SUBSTITUTE(SUBSTITUTE(SUBSTITUTE(SUBSTITUTE(SUBSTITUTE(SUBSTITUTE(SUBSTITUTE(SUBSTITUTE(BM581,"0",""),"-",""),"_",""),"/",""),".",""),"#",""),"\\",""),":","")," ",""),"(",""),")","")</f>
        <v/>
      </c>
      <c r="BY581" s="62" t="n">
        <f aca="false">Q581-T7EarlyD*24/24</f>
        <v>46301.6006944444</v>
      </c>
      <c r="BZ581" s="61" t="n">
        <f aca="false">IFERROR(IF(IF(TRIM(S581)="Link / file path",AND(LEN(TRIM(Z581))&gt;=5,SUMPRODUCT(--ISNUMBER(SEARCH({"http","www.","\\",":\",".pdf",".jpg",".jpeg",".png",".heic",".xls",".doc",".msg",".eml",".ppt",".txt",".zip"},Z581)))&gt;0),AND(ISERROR(FIND(" ",TRIM(Z581))),NOT(OR(SUMPRODUCT(--ISNUMBER(FIND({",",";","&amp;","+"},Z581)))&gt;0,SUMPRODUCT(--ISNUMBER(SEARCH({"0/aa","0\\aa"},BN581)))&gt;0)),NOT(SUMPRODUCT(--ISNUMBER(SEARCH({"http","www.","\\",":\",".pdf",".jpg",".jpeg",".png",".heic",".xls",".doc",".msg",".eml",".ppt",".txt",".zip"},Z581)))&gt;0),NOT(LOWER(TRIM(Z581))=LOWER(Flights!$F$22)),ISNA(MATCH(BU581,{"mh","rev","revision","ver","version","v","r","a","b","seat","tray","row","gate","bay","stand","page","pg","item","line","no","cart","galley","flight","flt","table","box","bag","oven","etd","eta","std","sta","atd","ata","qty","pax","x","time","tel","ph","mob","day","wk","week","utc","gmt","myt","lt"},0)),NOT(OR(ISNUMBER(MATCH(LEFT(BN581,255),{"0000a","000a","00a","0000aa","000aa","00aa","0aa","0000aaa","000aaa","00a00","0a00","0000-0000","00:00","a00","a0","00.00.0000","00/00/0000","00-00-0000","0000-00-00","0000/00/00","0000.00.00","00.00.00","00/00/00","00-00-00","0.00.0000","0/00/0000","0-00-0000"},0)),ISNUMBER(MATCH(LEFT(BT581,255),{"0000a","000a","00a","0000aa","000aa","00aa","0aa","0000aaa","000aaa","00a00","0a00","0000-0000","00:00","a00","a0","00.00.0000","00/00/0000","00-00-0000","0000-00-00","0000/00/00","0000.00.00","00.00.00","00/00/00","00-00-00","0.00.0000","0/00/0000","0-00-0000"},0)))),NOT(OR(AND(BW581&lt;&gt;"",SUBSTITUTE(BW581,"0","")=""),AND(LEN(BW581)&gt;=4,BW581=REPT(LEFT(BW581),LEN(BW581))),ISNUMBER(MATCH(BW581,{"123","1234","12345","123456","1234567","12345678","0123","01234","012345","98765","987654","54321"},0)),ISNUMBER(MATCH(BX581,{"x","xx","xxx","xxxx","xxxxx","abc","abcd","nil","na","nan","test","tbc","tba","tbd","dummy","sample","example","eg","zz","zzz","none","null","xyz","qwe","asd","id","ref"},0)),AND(LEN(BW581)=8,BX581="",OR(LEFT(BW581,3)="202",ISNUMBER(MATCH(RIGHT(BW581,4),{"2025","2026","2027"},0)))))),OR(AND((LEN(BT581)-LEN(SUBSTITUTE(BT581,"a","")))&gt;=1,(LEN(BN581)-LEN(SUBSTITUTE(BN581,"0","")))&gt;=2,SUMPRODUCT(--ISNUMBER(SEARCH({"a0","a-0","a_0","a/0","a.0","a#0","0a","0-a","0_a","0/a"},BN581)))&gt;0),AND((LEN(BN581)-LEN(SUBSTITUTE(BN581,"a","")))=0,(LEN(BN581)-LEN(SUBSTITUTE(BN581,"0","")))&gt;=5)))),1,0),0)</f>
        <v>0</v>
      </c>
      <c r="CA5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581,"revision",""),"version",""),"jan",""),"feb",""),"mar",""),"apr",""),"may",""),"jun",""),"jul",""),"aug",""),"sep",""),"oct",""),"nov",""),"dec",""),"utc",""),"gmt",""),"myt",""),"bst",""),"rev",""),"ver",""),"b","a"),"c","a"),"d","a"),"e","a"),"f","a"),"g","a"),"h","a"),"i","a"),"j","a"),"k","a"),"l","a"),"m","a"),"n","a"),"o","a"),"p","a"),"q","a"),"r","a"),"s","a"),"t","a"),"u","a"),"v","a"),"w","a"),"x","a"),"y","a"),"z","a")</f>
        <v/>
      </c>
      <c r="CB5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581&amp;""),"a",""),"b",""),"c",""),"d",""),"e",""),"f",""),"g",""),"h",""),"i",""),"j",""),"k",""),"l",""),"m",""),"n",""),"o",""),"p",""),"q",""),"r",""),"s",""),"t",""),"u",""),"v",""),"w",""),"x",""),"y",""),"z",""),"-",""),"_",""),"/",""),".",""),"#",""),"\\",""),":","")," ",""),"(",""),")","")</f>
        <v/>
      </c>
      <c r="CC581" s="0" t="str">
        <f aca="false">" "&amp;TRIM(SUBSTITUTE(SUBSTITUTE(SUBSTITUTE(SUBSTITUTE(SUBSTITUTE(SUBSTITUTE(SUBSTITUTE(SUBSTITUTE(SUBSTITUTE(SUBSTITUTE(SUBSTITUTE(SUBSTITUTE(SUBSTITUTE(SUBSTITUTE(SUBSTITUTE(SUBSTITUTE(SUBSTITUTE(SUBSTITUTE(SUBSTITUTE(SUBSTITUTE(SUBSTITUTE(SUBSTITUTE(SUBSTITUTE(SUBSTITUTE(LOWER(T581&amp;""),CHAR(10)," "),CHAR(13)," "),CHAR(9)," "),CHAR(160)," "),"."," "),","," "),"-"," "),"/"," "),"("," "),")"," "),":"," "),";"," "),"_"," "),"–"," "),"?"," "),"!"," "),"*"," "),"["," "),"]"," "),"'"," "),"#"," "),"+"," "),"&amp;"," "),"\"," "))&amp;" "</f>
        <v>  </v>
      </c>
      <c r="CD581" s="0" t="str">
        <f aca="false">" "&amp;TRIM(SUBSTITUTE(SUBSTITUTE(SUBSTITUTE(SUBSTITUTE(SUBSTITUTE(SUBSTITUTE(SUBSTITUTE(SUBSTITUTE(SUBSTITUTE(SUBSTITUTE(SUBSTITUTE(SUBSTITUTE(SUBSTITUTE(SUBSTITUTE(SUBSTITUTE(SUBSTITUTE(SUBSTITUTE(SUBSTITUTE(SUBSTITUTE(SUBSTITUTE(SUBSTITUTE(SUBSTITUTE(SUBSTITUTE(SUBSTITUTE(LOWER(AE581&amp;""),CHAR(10)," "),CHAR(13)," "),CHAR(9)," "),CHAR(160)," "),"."," "),","," "),"-"," "),"/"," "),"("," "),")"," "),":"," "),";"," "),"_"," "),"–"," "),"?"," "),"!"," "),"*"," "),"["," "),"]"," "),"'"," "),"#"," "),"+"," "),"&amp;"," "),"\"," "))&amp;" "</f>
        <v>  </v>
      </c>
      <c r="CE581" s="68" t="n">
        <f aca="false">IFERROR(IF(AND(LEN(AU581)&gt;0,LEN(AU581)=LEN(AX581),OR(TRIM(MID(SUBSTITUTE(TRIM(CC581)," ",REPT(" ",60)),1,60))="",ISNUMBER(SEARCH(" "&amp;TRIM(MID(SUBSTITUTE(TRIM(CC581)," ",REPT(" ",60)),1,60))&amp;" ",CD581))),OR(TRIM(MID(SUBSTITUTE(TRIM(CC581)," ",REPT(" ",60)),61,60))="",ISNUMBER(SEARCH(" "&amp;TRIM(MID(SUBSTITUTE(TRIM(CC581)," ",REPT(" ",60)),61,60))&amp;" ",CD581))),OR(TRIM(MID(SUBSTITUTE(TRIM(CC581)," ",REPT(" ",60)),121,60))="",ISNUMBER(SEARCH(" "&amp;TRIM(MID(SUBSTITUTE(TRIM(CC581)," ",REPT(" ",60)),121,60))&amp;" ",CD581)))),1,0),0)</f>
        <v>0</v>
      </c>
      <c r="CG581" s="68" t="n">
        <f aca="false">IFERROR(LEN(SUBSTITUTE(BF581," ",""))-SUMPRODUCT((LEN(BF581)-LEN(SUBSTITUTE(BF581," "&amp;L_NAFiller&amp;" "," ")))/(LEN(L_NAFiller)+1)*LEN(L_NAFiller)),0)</f>
        <v>0</v>
      </c>
    </row>
    <row r="582" customFormat="false" ht="39.75" hidden="false" customHeight="true" outlineLevel="0" collapsed="false">
      <c r="A582" s="57" t="s">
        <v>1274</v>
      </c>
      <c r="B582" s="57" t="s">
        <v>293</v>
      </c>
      <c r="C582" s="57" t="str">
        <f aca="false">Flights!$F$22</f>
        <v>MH0052</v>
      </c>
      <c r="D582" s="58" t="n">
        <f aca="false">Flights!$D$22</f>
        <v>46322</v>
      </c>
      <c r="E582" s="57" t="str">
        <f aca="false">Flights!$G$22&amp;"-"&amp;Flights!$H$22</f>
        <v>KUL-KIX</v>
      </c>
      <c r="F582" s="57" t="str">
        <f aca="false">Flights!$K$22</f>
        <v>BC</v>
      </c>
      <c r="G582" s="57" t="s">
        <v>81</v>
      </c>
      <c r="H582" s="57" t="s">
        <v>378</v>
      </c>
      <c r="I582" s="57" t="s">
        <v>411</v>
      </c>
      <c r="J582" s="57" t="s">
        <v>412</v>
      </c>
      <c r="K582" s="67" t="s">
        <v>1275</v>
      </c>
      <c r="L582" s="67" t="s">
        <v>1276</v>
      </c>
      <c r="M582" s="67"/>
      <c r="N582" s="67" t="s">
        <v>383</v>
      </c>
      <c r="O582" s="67"/>
      <c r="P582" s="57" t="s">
        <v>187</v>
      </c>
      <c r="Q582" s="59" t="n">
        <f aca="false">ROUND((Flights!$AC$22)*1440,0)/1440</f>
        <v>46315.6006944444</v>
      </c>
      <c r="R582" s="59" t="n">
        <f aca="false">Q582+(IF(AND(INDEX(TZ_DSTS,MATCH(P582,TZ_STN,0))&lt;&gt;"",Q582&gt;=INDEX(TZ_DSTS,MATCH(P582,TZ_STN,0)),Q582&lt;INDEX(TZ_DSTE,MATCH(P582,TZ_STN,0))),INDEX(TZ_DST,MATCH(P582,TZ_STN,0)),INDEX(TZ_STD,MATCH(P582,TZ_STN,0))))/24</f>
        <v>46315.9340277778</v>
      </c>
      <c r="S582" s="60"/>
      <c r="T582" s="60"/>
      <c r="U582" s="60"/>
      <c r="V582" s="60"/>
      <c r="W582" s="61"/>
      <c r="X582" s="60"/>
      <c r="Y582" s="60"/>
      <c r="Z582" s="60"/>
      <c r="AA582" s="60"/>
      <c r="AB582" s="60"/>
      <c r="AC582" s="60"/>
      <c r="AD582" s="66"/>
      <c r="AE582" s="60"/>
      <c r="AF582" s="61" t="str">
        <f aca="false">IF(AND(ISNUMBER(X582),ISNUMBER(Y582)),Y582-X582,"")</f>
        <v/>
      </c>
      <c r="AG582" s="62" t="str">
        <f aca="false">IF(ISNUMBER(AD582),AD582-(IF(AND(INDEX(TZ_DSTS,MATCH(P582,TZ_STN,0))&lt;&gt;"",(AD582-INDEX(TZ_STD,MATCH(P582,TZ_STN,0))/24)&gt;=INDEX(TZ_DSTS,MATCH(P582,TZ_STN,0)),(AD582-INDEX(TZ_STD,MATCH(P582,TZ_STN,0))/24)&lt;INDEX(TZ_DSTE,MATCH(P582,TZ_STN,0))),INDEX(TZ_DST,MATCH(P582,TZ_STN,0)),INDEX(TZ_STD,MATCH(P582,TZ_STN,0))))/24,"")</f>
        <v/>
      </c>
      <c r="AH582" s="65" t="str">
        <f aca="false">IFERROR(IF(N582="N/A – rule",IF(OR(TRIM(U582)="",TRIM(U582)="N/A",TRIM(U582)="Not started"),"N/A – RULE","INVALID – this check does not apply to this aircraft: clear the status (or correct the fleet on Flights)"),IF(TRIM(U582)="N/A",IF(AT582=0,"INVALID – N/A not permitted for this check",IF(AND(TRIM(AB582)&lt;&gt;"",TRIM(AB582)&lt;&gt;"Closed"),"INVALID – corrective action still open",IF(AND(NOT(OR(LEN(AZ582)&lt;15,ISNUMBER(MATCH(AZ582,L_Placeholder,0)))),BK582=0,CG582&gt;=8,NOT(OR(LEN(AU582)&lt;2,ISNUMBER(MATCH(AU582,L_Placeholder,0)))),BR582&gt;=3,NOT(OR(LEN(AX582)&lt;2,ISNUMBER(MATCH(AX582,L_Placeholder,0)))),BS582&gt;=3,TRIM(AE582)&lt;&gt;TRIM(T582),AX582&lt;&gt;AU582,CE582=0),"N/A – JUSTIFIED","INVALID – N/A needs a real, settled reason (not 'not applicable' / 'as above' / TBC), a named PIC and a different named verifier"))),IF(OR(TRIM(U582)="Pass",TRIM(U582)="Pass after CA"),IF(NOT(ISNUMBER(AD582)),"INVALID – completion time missing",IF(OR(OR(LEN(AU582)&lt;2,ISNUMBER(MATCH(AU582,L_Placeholder,0))),BR582&lt;3),"INVALID – PIC missing or not a named person (a role such as QA / CSM is not a name)",IF(OR(LEN(AV582)&lt;2,ISNUMBER(MATCH(AV582,L_Placeholder,0))),"INVALID – result / assessment missing",IF(OR(OR(LEN(AW582)&lt;3,ISNUMBER(MATCH(AW582,L_Placeholder,0))),SUMPRODUCT(--ISNUMBER(SEARCH(" "&amp;L_EvidencePhrase&amp;" ",BD582)))&gt;0,BI582=1),"INVALID – evidence missing, placeholder or not yet on file",IF(ISNA(MATCH(TRIM(S582),L_EvidenceType,0)),"INVALID – choose the evidence type from the list (column S)",IF(BL582=0,"INVALID – evidence ID must be the record's own ID only (e.g. SF-2210, IMG_2231, 1045521); a link / file name needs type 'Link / file path'",IF(OR(OR(LEN(AX582)&lt;2,ISNUMBER(MATCH(AX582,L_Placeholder,0))),BS582&lt;3),"INVALID – verifier missing or not a named person (a role such as QA / CSM is not a name)",IF(OR(AX582=AU582,CE582=1,AND(LEN(AU582)&gt;=4,ISNUMBER(SEARCH(AU582,AX582))),AND(LEN(AX582)&gt;=4,ISNUMBER(SEARCH(AX582,AU582)))),"INVALID – verifier must be a different, named person (not the PIC or a role)",IF(BH582=1,"INVALID – result not yet available (awaiting / TBC)",IF(BG582=1,"INVALID – result describes a problem: record Fail, then Pass after CA (or reword if it is not a problem)",IF(BV582=1,"INVALID – wording says not on board: an on-board confirmation needs the item loaded",IF(AND(AQ582=1,OR(OR(LEN(AY582)&lt;3,ISNUMBER(MATCH(AY582,L_Placeholder,0))),BJ582=1,BQ582=0)),"INVALID – batch ID missing, placeholder or not an ID (e.g. PASB-261008-BC-017)",IF(AND(AR582=1,OR(NOT(ISNUMBER(X582)),NOT(ISNUMBER(Y582)))),"INVALID – expected/actual qty missing",IF(AND(AR582=1,OR(X582&lt;=0,Y582&lt;0)),"INVALID – expected qty must be above 0 and actual not negative",IF(BB582&lt;&gt;"",BB582,IF(AND(AS582=1,Documents!$J$22&lt;&gt;"ON FILE"),"INVALID – GLD not on file (Documents sheet)",IF(AND(AS582=2,Documents!$O$22&lt;&gt;"ON FILE"),"INVALID – menu checklist not on file (Documents sheet)",IF(AND(AS582=3,NOT(ISNUMBER(Flights!$AX$22))),"INVALID – enter carrying flight KUL departure (Flights AX)",IF(AND(AS582=3,OR(Flights!$AZ$22&gt;Flights!$AA$22,Flights!$AX$22&lt;Flights!$AA$22-3)),"INVALID – carrying flight (Flights AX) cannot arrive before this leg's STD, or is over 3 days early",IF(AG582&gt;AsOfUTC,"INVALID – completion time is in the future",IF(AND(ISNUMBER(BY582),AG582&lt;BY582),IF(H582="Physical uplift","INVALID – before uplift window (cannot confirm loading)","INVALID – before valid window"),IF(AG582&gt;Flights!$AA$22,"INVALID – completed after departure (cannot establish readiness)",IF(AND(H582="Preparation",AG582&gt;=IF(ISNUMBER(Flights!$BA$22),MIN(Flights!$BA$22,Flights!$AA$22),Flights!$AA$22)),"INVALID – completed after loading / departure (cannot establish readiness)",IF(AND(H582="Physical uplift",AG582&gt;Q582),"INVALID – recorded after the loading flight departed",IF(AG582&gt;Q582,"COMPLETE – LATE","COMPLETE"))))))))))))))))))))))))),IF(TRIM(U582)="Fail","FAIL – DISCREPANCY",IF(AND(TRIM(U582)&lt;&gt;"",TRIM(U582)&lt;&gt;"Not started",TRIM(U582)&lt;&gt;"In progress"),"INVALID – unrecognised status (use the list)",IF(AsOfUTC&gt;Q582,"OVERDUE",IF(N582="Clarification required","OPEN – CLARIFICATION","OPEN"))))))),"INVALID – error value in an input cell")</f>
        <v>OPEN</v>
      </c>
      <c r="AI582" s="61" t="n">
        <f aca="false">IF(OR(AH582="N/A – RULE",AH582="N/A – JUSTIFIED"),0,1)</f>
        <v>1</v>
      </c>
      <c r="AJ582" s="61" t="n">
        <f aca="false">IF(LEFT(AH582,8)="COMPLETE",1,0)</f>
        <v>0</v>
      </c>
      <c r="AK582" s="61" t="n">
        <f aca="false">IF(AND(AI582=1,AJ582=0,AsOfUTC&gt;Q582),1,0)</f>
        <v>0</v>
      </c>
      <c r="AL582" s="61" t="n">
        <f aca="false">IFERROR(IF(AND(AI582=1,OR(TRIM(U582)="Fail",AND(TRIM(AB582)&lt;&gt;"",TRIM(AB582)&lt;&gt;"Closed"),AND(ISNUMBER(AF582),AF582&lt;&gt;0,TRIM(U582)&lt;&gt;"Pass after CA"))),1,0),1)</f>
        <v>0</v>
      </c>
      <c r="AM582" s="61" t="n">
        <f aca="false">IF(LEFT(AH582,7)="INVALID",1,0)</f>
        <v>0</v>
      </c>
      <c r="AN582" s="61" t="n">
        <f aca="false">IF(AND(N582="Clarification required",AI582=1,AJ582=0),1,0)</f>
        <v>0</v>
      </c>
      <c r="AO582" s="61" t="str">
        <f aca="false">IF(AK582=1,SUM(AK$5:AK582),"")</f>
        <v/>
      </c>
      <c r="AP582" s="61" t="str">
        <f aca="false">IF(AL582=1,SUM(AL$5:AL582),"")</f>
        <v/>
      </c>
      <c r="AQ582" s="61" t="n">
        <v>0</v>
      </c>
      <c r="AR582" s="61" t="n">
        <v>0</v>
      </c>
      <c r="AS582" s="61" t="n">
        <v>0</v>
      </c>
      <c r="AT582" s="61" t="n">
        <v>0</v>
      </c>
      <c r="AU582" s="61" t="str">
        <f aca="false">SUBSTITUTE(SUBSTITUTE(SUBSTITUTE(SUBSTITUTE(SUBSTITUTE(SUBSTITUTE(SUBSTITUTE(SUBSTITUTE(SUBSTITUTE(SUBSTITUTE(SUBSTITUTE(SUBSTITUTE(SUBSTITUTE(SUBSTITUTE(SUBSTITUTE(SUBSTITUTE(LOWER(T582&amp;""),CHAR(10),""),CHAR(13),""),CHAR(9),""),CHAR(160),"")," ",""),".",""),"-",""),"/",""),"?",""),"_",""),",",""),"[",""),"]",""),"(",""),")",""),"*","")</f>
        <v/>
      </c>
      <c r="AV582" s="61" t="str">
        <f aca="false">SUBSTITUTE(SUBSTITUTE(SUBSTITUTE(SUBSTITUTE(SUBSTITUTE(SUBSTITUTE(SUBSTITUTE(SUBSTITUTE(SUBSTITUTE(SUBSTITUTE(SUBSTITUTE(SUBSTITUTE(SUBSTITUTE(SUBSTITUTE(SUBSTITUTE(SUBSTITUTE(LOWER(V582&amp;""),CHAR(10),""),CHAR(13),""),CHAR(9),""),CHAR(160),"")," ",""),".",""),"-",""),"/",""),"?",""),"_",""),",",""),"[",""),"]",""),"(",""),")",""),"*","")</f>
        <v/>
      </c>
      <c r="AW582" s="61" t="str">
        <f aca="false">SUBSTITUTE(SUBSTITUTE(SUBSTITUTE(SUBSTITUTE(SUBSTITUTE(SUBSTITUTE(SUBSTITUTE(SUBSTITUTE(SUBSTITUTE(SUBSTITUTE(SUBSTITUTE(SUBSTITUTE(SUBSTITUTE(SUBSTITUTE(SUBSTITUTE(SUBSTITUTE(LOWER(Z582&amp;""),CHAR(10),""),CHAR(13),""),CHAR(9),""),CHAR(160),"")," ",""),".",""),"-",""),"/",""),"?",""),"_",""),",",""),"[",""),"]",""),"(",""),")",""),"*","")</f>
        <v/>
      </c>
      <c r="AX582" s="61" t="str">
        <f aca="false">SUBSTITUTE(SUBSTITUTE(SUBSTITUTE(SUBSTITUTE(SUBSTITUTE(SUBSTITUTE(SUBSTITUTE(SUBSTITUTE(SUBSTITUTE(SUBSTITUTE(SUBSTITUTE(SUBSTITUTE(SUBSTITUTE(SUBSTITUTE(SUBSTITUTE(SUBSTITUTE(LOWER(AE582&amp;""),CHAR(10),""),CHAR(13),""),CHAR(9),""),CHAR(160),"")," ",""),".",""),"-",""),"/",""),"?",""),"_",""),",",""),"[",""),"]",""),"(",""),")",""),"*","")</f>
        <v/>
      </c>
      <c r="AY582" s="61" t="str">
        <f aca="false">SUBSTITUTE(SUBSTITUTE(SUBSTITUTE(SUBSTITUTE(SUBSTITUTE(SUBSTITUTE(SUBSTITUTE(SUBSTITUTE(SUBSTITUTE(SUBSTITUTE(SUBSTITUTE(SUBSTITUTE(SUBSTITUTE(SUBSTITUTE(SUBSTITUTE(SUBSTITUTE(LOWER(W582&amp;""),CHAR(10),""),CHAR(13),""),CHAR(9),""),CHAR(160),"")," ",""),".",""),"-",""),"/",""),"?",""),"_",""),",",""),"[",""),"]",""),"(",""),")",""),"*","")</f>
        <v/>
      </c>
      <c r="AZ582" s="61" t="str">
        <f aca="false">SUBSTITUTE(SUBSTITUTE(SUBSTITUTE(SUBSTITUTE(SUBSTITUTE(SUBSTITUTE(SUBSTITUTE(SUBSTITUTE(SUBSTITUTE(SUBSTITUTE(SUBSTITUTE(SUBSTITUTE(SUBSTITUTE(SUBSTITUTE(SUBSTITUTE(SUBSTITUTE(LOWER(AC582&amp;""),CHAR(10),""),CHAR(13),""),CHAR(9),""),CHAR(160),"")," ",""),".",""),"-",""),"/",""),"?",""),"_",""),",",""),"[",""),"]",""),"(",""),")",""),"*","")</f>
        <v/>
      </c>
      <c r="BA582" s="61" t="str">
        <f aca="false">SUBSTITUTE(SUBSTITUTE(SUBSTITUTE(SUBSTITUTE(SUBSTITUTE(SUBSTITUTE(SUBSTITUTE(SUBSTITUTE(SUBSTITUTE(SUBSTITUTE(SUBSTITUTE(SUBSTITUTE(SUBSTITUTE(SUBSTITUTE(SUBSTITUTE(SUBSTITUTE(LOWER(AA582&amp;""),CHAR(10),""),CHAR(13),""),CHAR(9),""),CHAR(160),"")," ",""),".",""),"-",""),"/",""),"?",""),"_",""),",",""),"[",""),"]",""),"(",""),")",""),"*","")</f>
        <v/>
      </c>
      <c r="BB582" s="61" t="str">
        <f aca="false">IF(AND(TRIM(U582)="Pass",ISNUMBER(AF582)),IF(AF582&lt;&gt;0,"INVALID – qty variance: use Fail or Pass after CA",""),"")&amp;IF(AND(TRIM(U582)="Pass after CA",ISNUMBER(AF582)),IF(AF582&lt;&gt;0,"INVALID – after the corrective action the actual qty must equal expected (update Actual)",""),"")&amp;IF(AND(TRIM(U582)="Pass",TRIM(AB582)&lt;&gt;"",TRIM(AB582)&lt;&gt;"Closed"),"INVALID – corrective action not closed: use Fail, then Pass after CA","")&amp;IF(AND(LEN(BA582)&gt;=2,ISNA(MATCH(LEFT(BA582,255),L_Placeholder,0)),TRIM(AB582)=""),"INVALID – CA status missing for the recorded corrective action","")&amp;IF(AND(TRIM(U582)="Pass after CA",OR(OR(LEN(BA582)&lt;5,ISNUMBER(MATCH(BA582,L_Placeholder,0))),TRIM(AB582)&lt;&gt;"Closed")),"INVALID – corrective action not recorded/closed","")</f>
        <v/>
      </c>
      <c r="BC582" s="61" t="str">
        <f aca="false">" "&amp;TRIM(SUBSTITUTE(SUBSTITUTE(SUBSTITUTE(SUBSTITUTE(SUBSTITUTE(SUBSTITUTE(SUBSTITUTE(SUBSTITUTE(SUBSTITUTE(SUBSTITUTE(SUBSTITUTE(SUBSTITUTE(SUBSTITUTE(SUBSTITUTE(SUBSTITUTE(SUBSTITUTE(SUBSTITUTE(SUBSTITUTE(SUBSTITUTE(SUBSTITUTE(SUBSTITUTE(SUBSTITUTE(SUBSTITUTE(SUBSTITUTE(LOWER(V582&amp;""),CHAR(10)," "),CHAR(13)," "),CHAR(9)," "),CHAR(160)," "),"."," "),","," "),"-"," "),"/"," "),"("," "),")"," "),":"," "),";"," "),"_"," "),"–"," "),"?"," "),"!"," "),"*"," "),"["," "),"]"," "),"'"," "),"#"," "),"+"," "),"&amp;"," "),"\"," "))&amp;" "</f>
        <v>  </v>
      </c>
      <c r="BD582" s="61" t="str">
        <f aca="false">" "&amp;TRIM(SUBSTITUTE(SUBSTITUTE(SUBSTITUTE(SUBSTITUTE(SUBSTITUTE(SUBSTITUTE(SUBSTITUTE(SUBSTITUTE(SUBSTITUTE(SUBSTITUTE(SUBSTITUTE(SUBSTITUTE(SUBSTITUTE(SUBSTITUTE(SUBSTITUTE(SUBSTITUTE(SUBSTITUTE(SUBSTITUTE(SUBSTITUTE(SUBSTITUTE(SUBSTITUTE(SUBSTITUTE(SUBSTITUTE(SUBSTITUTE(LOWER(Z582&amp;""),CHAR(10)," "),CHAR(13)," "),CHAR(9)," "),CHAR(160)," "),"."," "),","," "),"-"," "),"/"," "),"("," "),")"," "),":"," "),";"," "),"_"," "),"–"," "),"?"," "),"!"," "),"*"," "),"["," "),"]"," "),"'"," "),"#"," "),"+"," "),"&amp;"," "),"\"," "))&amp;" "</f>
        <v>  </v>
      </c>
      <c r="BE582" s="61" t="str">
        <f aca="false">" "&amp;TRIM(SUBSTITUTE(SUBSTITUTE(SUBSTITUTE(SUBSTITUTE(SUBSTITUTE(SUBSTITUTE(SUBSTITUTE(SUBSTITUTE(SUBSTITUTE(SUBSTITUTE(SUBSTITUTE(SUBSTITUTE(SUBSTITUTE(SUBSTITUTE(SUBSTITUTE(SUBSTITUTE(SUBSTITUTE(SUBSTITUTE(SUBSTITUTE(SUBSTITUTE(SUBSTITUTE(SUBSTITUTE(SUBSTITUTE(SUBSTITUTE(LOWER(W582&amp;""),CHAR(10)," "),CHAR(13)," "),CHAR(9)," "),CHAR(160)," "),"."," "),","," "),"-"," "),"/"," "),"("," "),")"," "),":"," "),";"," "),"_"," "),"–"," "),"?"," "),"!"," "),"*"," "),"["," "),"]"," "),"'"," "),"#"," "),"+"," "),"&amp;"," "),"\"," "))&amp;" "</f>
        <v>  </v>
      </c>
      <c r="BF582" s="61" t="str">
        <f aca="false">" "&amp;TRIM(SUBSTITUTE(SUBSTITUTE(SUBSTITUTE(SUBSTITUTE(SUBSTITUTE(SUBSTITUTE(SUBSTITUTE(SUBSTITUTE(SUBSTITUTE(SUBSTITUTE(SUBSTITUTE(SUBSTITUTE(SUBSTITUTE(SUBSTITUTE(SUBSTITUTE(SUBSTITUTE(SUBSTITUTE(SUBSTITUTE(SUBSTITUTE(SUBSTITUTE(SUBSTITUTE(SUBSTITUTE(SUBSTITUTE(SUBSTITUTE(LOWER(AC582&amp;""),CHAR(10)," "),CHAR(13)," "),CHAR(9)," "),CHAR(160)," "),"."," "),","," "),"-"," "),"/"," "),"("," "),")"," "),":"," "),";"," "),"_"," "),"–"," "),"?"," "),"!"," "),"*"," "),"["," "),"]"," "),"'"," "),"#"," "),"+"," "),"&amp;"," "),"\"," "))&amp;" "</f>
        <v>  </v>
      </c>
      <c r="BG582" s="61" t="n">
        <f aca="false">IFERROR(IF(AND(TRIM(U582)="Pass",SUMPRODUCT((LEN(BC582)-LEN(SUBSTITUTE(BC582," "&amp;L_ResultBad&amp;" "," ")))/(LEN(L_ResultBad)+1))&gt;SUMPRODUCT((LEN(BC582)-LEN(SUBSTITUTE(BC582," "&amp;L_NegPhrase&amp;" "," ")))/(LEN(L_NegPhrase)+1))),1,0),0)</f>
        <v>0</v>
      </c>
      <c r="BH582" s="61" t="n">
        <f aca="false">IFERROR(IF(SUMPRODUCT((LEN(BC582)-LEN(SUBSTITUTE(BC582," "&amp;L_Pending&amp;" "," ")))/(LEN(L_Pending)+1))&gt;SUMPRODUCT((LEN(BC582)-LEN(SUBSTITUTE(BC582," "&amp;L_PendNeg&amp;" "," ")))/(LEN(L_PendNeg)+1))+SUMPRODUCT((LEN(BC582)-LEN(SUBSTITUTE(BC582," "&amp;L_PendPrep&amp;" "," ")))/(LEN(L_PendPrep)+1)),1,0),1)</f>
        <v>0</v>
      </c>
      <c r="BI582" s="61" t="n">
        <f aca="false">IFERROR(IF(SUMPRODUCT((LEN(BD582)-LEN(SUBSTITUTE(BD582," "&amp;L_PendStrict&amp;" "," ")))/(LEN(L_PendStrict)+1))&gt;SUMPRODUCT((LEN(BD582)-LEN(SUBSTITUTE(BD582," "&amp;L_PendNeg&amp;" "," ")))/(LEN(L_PendNeg)+1)),1,0),1)</f>
        <v>0</v>
      </c>
      <c r="BJ582" s="61" t="n">
        <f aca="false">IFERROR(IF(SUMPRODUCT((LEN(BE582)-LEN(SUBSTITUTE(BE582," "&amp;L_Pending&amp;" "," ")))/(LEN(L_Pending)+1))&gt;SUMPRODUCT((LEN(BE582)-LEN(SUBSTITUTE(BE582," "&amp;L_PendNeg&amp;" "," ")))/(LEN(L_PendNeg)+1))+SUMPRODUCT((LEN(BE582)-LEN(SUBSTITUTE(BE582," "&amp;L_PendPrep&amp;" "," ")))/(LEN(L_PendPrep)+1)),1,0),1)</f>
        <v>0</v>
      </c>
      <c r="BK582" s="61" t="n">
        <f aca="false">IFERROR(IF(SUMPRODUCT((LEN(BF582)-LEN(SUBSTITUTE(BF582," "&amp;L_PendStrict&amp;" "," ")))/(LEN(L_PendStrict)+1))&gt;SUMPRODUCT((LEN(BF582)-LEN(SUBSTITUTE(BF582," "&amp;L_PendNeg&amp;" "," ")))/(LEN(L_PendNeg)+1)),1,0),1)</f>
        <v>0</v>
      </c>
      <c r="BL582" s="61" t="n">
        <f aca="false">IF(ISNA(MATCH(TRIM(S582),L_EvidenceType,0)),0,BZ582)</f>
        <v>0</v>
      </c>
      <c r="BM582" s="61" t="str">
        <f aca="false">SUBSTITUTE(SUBSTITUTE(SUBSTITUTE(SUBSTITUTE(SUBSTITUTE(SUBSTITUTE(SUBSTITUTE(SUBSTITUTE(SUBSTITUTE(LOWER(Z582&amp;""),"1","0"),"2","0"),"3","0"),"4","0"),"5","0"),"6","0"),"7","0"),"8","0"),"9","0")</f>
        <v/>
      </c>
      <c r="BN582" s="61" t="str">
        <f aca="false">SUBSTITUTE(SUBSTITUTE(SUBSTITUTE(SUBSTITUTE(SUBSTITUTE(SUBSTITUTE(SUBSTITUTE(SUBSTITUTE(SUBSTITUTE(SUBSTITUTE(SUBSTITUTE(SUBSTITUTE(SUBSTITUTE(SUBSTITUTE(SUBSTITUTE(SUBSTITUTE(SUBSTITUTE(SUBSTITUTE(SUBSTITUTE(SUBSTITUTE(SUBSTITUTE(SUBSTITUTE(SUBSTITUTE(SUBSTITUTE(SUBSTITUTE(BM582,"b","a"),"c","a"),"d","a"),"e","a"),"f","a"),"g","a"),"h","a"),"i","a"),"j","a"),"k","a"),"l","a"),"m","a"),"n","a"),"o","a"),"p","a"),"q","a"),"r","a"),"s","a"),"t","a"),"u","a"),"v","a"),"w","a"),"x","a"),"y","a"),"z","a")</f>
        <v/>
      </c>
      <c r="BO582" s="61" t="str">
        <f aca="false">SUBSTITUTE(SUBSTITUTE(SUBSTITUTE(SUBSTITUTE(SUBSTITUTE(SUBSTITUTE(SUBSTITUTE(SUBSTITUTE(SUBSTITUTE(LOWER(W582&amp;""),"1","0"),"2","0"),"3","0"),"4","0"),"5","0"),"6","0"),"7","0"),"8","0"),"9","0")</f>
        <v/>
      </c>
      <c r="BP582" s="61" t="str">
        <f aca="false">SUBSTITUTE(SUBSTITUTE(SUBSTITUTE(SUBSTITUTE(SUBSTITUTE(SUBSTITUTE(SUBSTITUTE(SUBSTITUTE(SUBSTITUTE(SUBSTITUTE(SUBSTITUTE(SUBSTITUTE(SUBSTITUTE(SUBSTITUTE(SUBSTITUTE(SUBSTITUTE(SUBSTITUTE(SUBSTITUTE(SUBSTITUTE(SUBSTITUTE(SUBSTITUTE(SUBSTITUTE(SUBSTITUTE(SUBSTITUTE(SUBSTITUTE(BO582,"b","a"),"c","a"),"d","a"),"e","a"),"f","a"),"g","a"),"h","a"),"i","a"),"j","a"),"k","a"),"l","a"),"m","a"),"n","a"),"o","a"),"p","a"),"q","a"),"r","a"),"s","a"),"t","a"),"u","a"),"v","a"),"w","a"),"x","a"),"y","a"),"z","a")</f>
        <v/>
      </c>
      <c r="BQ582" s="61" t="n">
        <f aca="false">IFERROR(IF(AND(ISERROR(SEARCH(" mh"," "&amp;LOWER(W582))),ISNA(MATCH(LEFT(TRIM(BP582),255),{"0000a","000a","00a","0000aa","000aa","00aa","0aa","0000aaa","000aaa","00a00","0a00","0000-0000","00:00","a00","a0","00.00.0000","00/00/0000","00-00-0000","0000-00-00","0000/00/00","0000.00.00","00.00.00","00/00/00","00-00-00","0.00.0000","0/00/0000","0-00-0000"},0)),ISNA(MATCH(LEFT(TRIM(CA582),255),{"0000a","000a","00a","0000aa","000aa","00aa","0aa","0000aaa","000aaa","00a00","0a00","0000-0000","00:00","a00","a0","00.00.0000","00/00/0000","00-00-0000","0000-00-00","0000/00/00","0000.00.00","00.00.00","00/00/00","00-00-00","0.00.0000","0/00/0000","0-00-0000"},0)),LEN(CB582)&gt;=3,NOT(OR(SUBSTITUTE(CB582,"0","")="",AND(LEN(CB582)&gt;=4,CB582=REPT(LEFT(CB582),LEN(CB582))),ISNUMBER(MATCH(CB582,{"123","1234","12345","123456","1234567","12345678","0123","01234","012345","98765","987654","54321"},0)),AND(LEN(CB582)=8,LEFT(CB582,3)="202"))),OR(AND((LEN(CA582)-LEN(SUBSTITUTE(CA582,"a","")))&gt;=1,SUMPRODUCT(--ISNUMBER(SEARCH({"a0","a-0","a_0","a/0","a.0","a#0","0a","0-a","0_a","0/a"},BP582)))&gt;0),ISNUMBER(SEARCH("000000",BP582)))),1,0),0)</f>
        <v>0</v>
      </c>
      <c r="BR582" s="61" t="n">
        <f aca="false">IFERROR(LEN(SUBSTITUTE(CC582," ",""))-SUMPRODUCT((LEN(CC582)-LEN(SUBSTITUTE(CC582," "&amp;L_Role&amp;" "," ")))/(LEN(L_Role)+1)*LEN(L_Role)),0)</f>
        <v>0</v>
      </c>
      <c r="BS582" s="61" t="n">
        <f aca="false">IFERROR(LEN(SUBSTITUTE(CD582," ",""))-SUMPRODUCT((LEN(CD582)-LEN(SUBSTITUTE(CD582," "&amp;L_Role&amp;" "," ")))/(LEN(L_Role)+1)*LEN(L_Role)),0)</f>
        <v>0</v>
      </c>
      <c r="BT5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582,"revision",""),"version",""),"jan",""),"feb",""),"mar",""),"apr",""),"may",""),"jun",""),"jul",""),"aug",""),"sep",""),"oct",""),"nov",""),"dec",""),"utc",""),"gmt",""),"myt",""),"bst",""),"rev",""),"ver",""),"b","a"),"c","a"),"d","a"),"e","a"),"f","a"),"g","a"),"h","a"),"i","a"),"j","a"),"k","a"),"l","a"),"m","a"),"n","a"),"o","a"),"p","a"),"q","a"),"r","a"),"s","a"),"t","a"),"u","a"),"v","a"),"w","a"),"x","a"),"y","a"),"z","a")</f>
        <v/>
      </c>
      <c r="BU582" s="61" t="str">
        <f aca="false">SUBSTITUTE(SUBSTITUTE(SUBSTITUTE(SUBSTITUTE(SUBSTITUTE(SUBSTITUTE(SUBSTITUTE(SUBSTITUTE(SUBSTITUTE(SUBSTITUTE(LEFT(BM582,FIND("0",BM582&amp;"0")-1),"-",""),"_",""),"/",""),".",""),"#",""),"\\",""),":","")," ",""),"(",""),")","")</f>
        <v/>
      </c>
      <c r="BV582" s="61" t="n">
        <f aca="false">0</f>
        <v>0</v>
      </c>
      <c r="BW5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582&amp;""),"a",""),"b",""),"c",""),"d",""),"e",""),"f",""),"g",""),"h",""),"i",""),"j",""),"k",""),"l",""),"m",""),"n",""),"o",""),"p",""),"q",""),"r",""),"s",""),"t",""),"u",""),"v",""),"w",""),"x",""),"y",""),"z",""),"-",""),"_",""),"/",""),".",""),"#",""),"\\",""),":","")," ",""),"(",""),")","")</f>
        <v/>
      </c>
      <c r="BX582" s="61" t="str">
        <f aca="false">SUBSTITUTE(SUBSTITUTE(SUBSTITUTE(SUBSTITUTE(SUBSTITUTE(SUBSTITUTE(SUBSTITUTE(SUBSTITUTE(SUBSTITUTE(SUBSTITUTE(SUBSTITUTE(BM582,"0",""),"-",""),"_",""),"/",""),".",""),"#",""),"\\",""),":","")," ",""),"(",""),")","")</f>
        <v/>
      </c>
      <c r="BY582" s="62" t="n">
        <f aca="false">Q582-T7EarlyD*24/24</f>
        <v>46301.6006944444</v>
      </c>
      <c r="BZ582" s="61" t="n">
        <f aca="false">IFERROR(IF(IF(TRIM(S582)="Link / file path",AND(LEN(TRIM(Z582))&gt;=5,SUMPRODUCT(--ISNUMBER(SEARCH({"http","www.","\\",":\",".pdf",".jpg",".jpeg",".png",".heic",".xls",".doc",".msg",".eml",".ppt",".txt",".zip"},Z582)))&gt;0),AND(ISERROR(FIND(" ",TRIM(Z582))),NOT(OR(SUMPRODUCT(--ISNUMBER(FIND({",",";","&amp;","+"},Z582)))&gt;0,SUMPRODUCT(--ISNUMBER(SEARCH({"0/aa","0\\aa"},BN582)))&gt;0)),NOT(SUMPRODUCT(--ISNUMBER(SEARCH({"http","www.","\\",":\",".pdf",".jpg",".jpeg",".png",".heic",".xls",".doc",".msg",".eml",".ppt",".txt",".zip"},Z582)))&gt;0),NOT(LOWER(TRIM(Z582))=LOWER(Flights!$F$22)),ISNA(MATCH(BU582,{"mh","rev","revision","ver","version","v","r","a","b","seat","tray","row","gate","bay","stand","page","pg","item","line","no","cart","galley","flight","flt","table","box","bag","oven","etd","eta","std","sta","atd","ata","qty","pax","x","time","tel","ph","mob","day","wk","week","utc","gmt","myt","lt"},0)),NOT(OR(ISNUMBER(MATCH(LEFT(BN582,255),{"0000a","000a","00a","0000aa","000aa","00aa","0aa","0000aaa","000aaa","00a00","0a00","0000-0000","00:00","a00","a0","00.00.0000","00/00/0000","00-00-0000","0000-00-00","0000/00/00","0000.00.00","00.00.00","00/00/00","00-00-00","0.00.0000","0/00/0000","0-00-0000"},0)),ISNUMBER(MATCH(LEFT(BT582,255),{"0000a","000a","00a","0000aa","000aa","00aa","0aa","0000aaa","000aaa","00a00","0a00","0000-0000","00:00","a00","a0","00.00.0000","00/00/0000","00-00-0000","0000-00-00","0000/00/00","0000.00.00","00.00.00","00/00/00","00-00-00","0.00.0000","0/00/0000","0-00-0000"},0)))),NOT(OR(AND(BW582&lt;&gt;"",SUBSTITUTE(BW582,"0","")=""),AND(LEN(BW582)&gt;=4,BW582=REPT(LEFT(BW582),LEN(BW582))),ISNUMBER(MATCH(BW582,{"123","1234","12345","123456","1234567","12345678","0123","01234","012345","98765","987654","54321"},0)),ISNUMBER(MATCH(BX582,{"x","xx","xxx","xxxx","xxxxx","abc","abcd","nil","na","nan","test","tbc","tba","tbd","dummy","sample","example","eg","zz","zzz","none","null","xyz","qwe","asd","id","ref"},0)),AND(LEN(BW582)=8,BX582="",OR(LEFT(BW582,3)="202",ISNUMBER(MATCH(RIGHT(BW582,4),{"2025","2026","2027"},0)))))),OR(AND((LEN(BT582)-LEN(SUBSTITUTE(BT582,"a","")))&gt;=1,(LEN(BN582)-LEN(SUBSTITUTE(BN582,"0","")))&gt;=2,SUMPRODUCT(--ISNUMBER(SEARCH({"a0","a-0","a_0","a/0","a.0","a#0","0a","0-a","0_a","0/a"},BN582)))&gt;0),AND((LEN(BN582)-LEN(SUBSTITUTE(BN582,"a","")))=0,(LEN(BN582)-LEN(SUBSTITUTE(BN582,"0","")))&gt;=5)))),1,0),0)</f>
        <v>0</v>
      </c>
      <c r="CA5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582,"revision",""),"version",""),"jan",""),"feb",""),"mar",""),"apr",""),"may",""),"jun",""),"jul",""),"aug",""),"sep",""),"oct",""),"nov",""),"dec",""),"utc",""),"gmt",""),"myt",""),"bst",""),"rev",""),"ver",""),"b","a"),"c","a"),"d","a"),"e","a"),"f","a"),"g","a"),"h","a"),"i","a"),"j","a"),"k","a"),"l","a"),"m","a"),"n","a"),"o","a"),"p","a"),"q","a"),"r","a"),"s","a"),"t","a"),"u","a"),"v","a"),"w","a"),"x","a"),"y","a"),"z","a")</f>
        <v/>
      </c>
      <c r="CB5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582&amp;""),"a",""),"b",""),"c",""),"d",""),"e",""),"f",""),"g",""),"h",""),"i",""),"j",""),"k",""),"l",""),"m",""),"n",""),"o",""),"p",""),"q",""),"r",""),"s",""),"t",""),"u",""),"v",""),"w",""),"x",""),"y",""),"z",""),"-",""),"_",""),"/",""),".",""),"#",""),"\\",""),":","")," ",""),"(",""),")","")</f>
        <v/>
      </c>
      <c r="CC582" s="0" t="str">
        <f aca="false">" "&amp;TRIM(SUBSTITUTE(SUBSTITUTE(SUBSTITUTE(SUBSTITUTE(SUBSTITUTE(SUBSTITUTE(SUBSTITUTE(SUBSTITUTE(SUBSTITUTE(SUBSTITUTE(SUBSTITUTE(SUBSTITUTE(SUBSTITUTE(SUBSTITUTE(SUBSTITUTE(SUBSTITUTE(SUBSTITUTE(SUBSTITUTE(SUBSTITUTE(SUBSTITUTE(SUBSTITUTE(SUBSTITUTE(SUBSTITUTE(SUBSTITUTE(LOWER(T582&amp;""),CHAR(10)," "),CHAR(13)," "),CHAR(9)," "),CHAR(160)," "),"."," "),","," "),"-"," "),"/"," "),"("," "),")"," "),":"," "),";"," "),"_"," "),"–"," "),"?"," "),"!"," "),"*"," "),"["," "),"]"," "),"'"," "),"#"," "),"+"," "),"&amp;"," "),"\"," "))&amp;" "</f>
        <v>  </v>
      </c>
      <c r="CD582" s="0" t="str">
        <f aca="false">" "&amp;TRIM(SUBSTITUTE(SUBSTITUTE(SUBSTITUTE(SUBSTITUTE(SUBSTITUTE(SUBSTITUTE(SUBSTITUTE(SUBSTITUTE(SUBSTITUTE(SUBSTITUTE(SUBSTITUTE(SUBSTITUTE(SUBSTITUTE(SUBSTITUTE(SUBSTITUTE(SUBSTITUTE(SUBSTITUTE(SUBSTITUTE(SUBSTITUTE(SUBSTITUTE(SUBSTITUTE(SUBSTITUTE(SUBSTITUTE(SUBSTITUTE(LOWER(AE582&amp;""),CHAR(10)," "),CHAR(13)," "),CHAR(9)," "),CHAR(160)," "),"."," "),","," "),"-"," "),"/"," "),"("," "),")"," "),":"," "),";"," "),"_"," "),"–"," "),"?"," "),"!"," "),"*"," "),"["," "),"]"," "),"'"," "),"#"," "),"+"," "),"&amp;"," "),"\"," "))&amp;" "</f>
        <v>  </v>
      </c>
      <c r="CE582" s="68" t="n">
        <f aca="false">IFERROR(IF(AND(LEN(AU582)&gt;0,LEN(AU582)=LEN(AX582),OR(TRIM(MID(SUBSTITUTE(TRIM(CC582)," ",REPT(" ",60)),1,60))="",ISNUMBER(SEARCH(" "&amp;TRIM(MID(SUBSTITUTE(TRIM(CC582)," ",REPT(" ",60)),1,60))&amp;" ",CD582))),OR(TRIM(MID(SUBSTITUTE(TRIM(CC582)," ",REPT(" ",60)),61,60))="",ISNUMBER(SEARCH(" "&amp;TRIM(MID(SUBSTITUTE(TRIM(CC582)," ",REPT(" ",60)),61,60))&amp;" ",CD582))),OR(TRIM(MID(SUBSTITUTE(TRIM(CC582)," ",REPT(" ",60)),121,60))="",ISNUMBER(SEARCH(" "&amp;TRIM(MID(SUBSTITUTE(TRIM(CC582)," ",REPT(" ",60)),121,60))&amp;" ",CD582)))),1,0),0)</f>
        <v>0</v>
      </c>
      <c r="CG582" s="68" t="n">
        <f aca="false">IFERROR(LEN(SUBSTITUTE(BF582," ",""))-SUMPRODUCT((LEN(BF582)-LEN(SUBSTITUTE(BF582," "&amp;L_NAFiller&amp;" "," ")))/(LEN(L_NAFiller)+1)*LEN(L_NAFiller)),0)</f>
        <v>0</v>
      </c>
    </row>
    <row r="583" customFormat="false" ht="39.75" hidden="false" customHeight="true" outlineLevel="0" collapsed="false">
      <c r="A583" s="57" t="s">
        <v>1277</v>
      </c>
      <c r="B583" s="57" t="s">
        <v>293</v>
      </c>
      <c r="C583" s="57" t="str">
        <f aca="false">Flights!$F$22</f>
        <v>MH0052</v>
      </c>
      <c r="D583" s="58" t="n">
        <f aca="false">Flights!$D$22</f>
        <v>46322</v>
      </c>
      <c r="E583" s="57" t="str">
        <f aca="false">Flights!$G$22&amp;"-"&amp;Flights!$H$22</f>
        <v>KUL-KIX</v>
      </c>
      <c r="F583" s="57" t="str">
        <f aca="false">Flights!$K$22</f>
        <v>BC</v>
      </c>
      <c r="G583" s="57" t="s">
        <v>83</v>
      </c>
      <c r="H583" s="57" t="s">
        <v>378</v>
      </c>
      <c r="I583" s="57" t="s">
        <v>379</v>
      </c>
      <c r="J583" s="57" t="s">
        <v>416</v>
      </c>
      <c r="K583" s="67" t="s">
        <v>417</v>
      </c>
      <c r="L583" s="67" t="s">
        <v>418</v>
      </c>
      <c r="M583" s="67"/>
      <c r="N583" s="67" t="s">
        <v>383</v>
      </c>
      <c r="O583" s="67"/>
      <c r="P583" s="57" t="s">
        <v>187</v>
      </c>
      <c r="Q583" s="59" t="n">
        <f aca="false">ROUND((Flights!$AD$22)*1440,0)/1440</f>
        <v>46321.6006944444</v>
      </c>
      <c r="R583" s="59" t="n">
        <f aca="false">Q583+(IF(AND(INDEX(TZ_DSTS,MATCH(P583,TZ_STN,0))&lt;&gt;"",Q583&gt;=INDEX(TZ_DSTS,MATCH(P583,TZ_STN,0)),Q583&lt;INDEX(TZ_DSTE,MATCH(P583,TZ_STN,0))),INDEX(TZ_DST,MATCH(P583,TZ_STN,0)),INDEX(TZ_STD,MATCH(P583,TZ_STN,0))))/24</f>
        <v>46321.9340277778</v>
      </c>
      <c r="S583" s="60"/>
      <c r="T583" s="60"/>
      <c r="U583" s="60"/>
      <c r="V583" s="60"/>
      <c r="W583" s="60"/>
      <c r="X583" s="60"/>
      <c r="Y583" s="60"/>
      <c r="Z583" s="60"/>
      <c r="AA583" s="60"/>
      <c r="AB583" s="60"/>
      <c r="AC583" s="60"/>
      <c r="AD583" s="66"/>
      <c r="AE583" s="60"/>
      <c r="AF583" s="61" t="str">
        <f aca="false">IF(AND(ISNUMBER(X583),ISNUMBER(Y583)),Y583-X583,"")</f>
        <v/>
      </c>
      <c r="AG583" s="62" t="str">
        <f aca="false">IF(ISNUMBER(AD583),AD583-(IF(AND(INDEX(TZ_DSTS,MATCH(P583,TZ_STN,0))&lt;&gt;"",(AD583-INDEX(TZ_STD,MATCH(P583,TZ_STN,0))/24)&gt;=INDEX(TZ_DSTS,MATCH(P583,TZ_STN,0)),(AD583-INDEX(TZ_STD,MATCH(P583,TZ_STN,0))/24)&lt;INDEX(TZ_DSTE,MATCH(P583,TZ_STN,0))),INDEX(TZ_DST,MATCH(P583,TZ_STN,0)),INDEX(TZ_STD,MATCH(P583,TZ_STN,0))))/24,"")</f>
        <v/>
      </c>
      <c r="AH583" s="65" t="str">
        <f aca="false">IFERROR(IF(N583="N/A – rule",IF(OR(TRIM(U583)="",TRIM(U583)="N/A",TRIM(U583)="Not started"),"N/A – RULE","INVALID – this check does not apply to this aircraft: clear the status (or correct the fleet on Flights)"),IF(TRIM(U583)="N/A",IF(AT583=0,"INVALID – N/A not permitted for this check",IF(AND(TRIM(AB583)&lt;&gt;"",TRIM(AB583)&lt;&gt;"Closed"),"INVALID – corrective action still open",IF(AND(NOT(OR(LEN(AZ583)&lt;15,ISNUMBER(MATCH(AZ583,L_Placeholder,0)))),BK583=0,CG583&gt;=8,NOT(OR(LEN(AU583)&lt;2,ISNUMBER(MATCH(AU583,L_Placeholder,0)))),BR583&gt;=3,NOT(OR(LEN(AX583)&lt;2,ISNUMBER(MATCH(AX583,L_Placeholder,0)))),BS583&gt;=3,TRIM(AE583)&lt;&gt;TRIM(T583),AX583&lt;&gt;AU583,CE583=0),"N/A – JUSTIFIED","INVALID – N/A needs a real, settled reason (not 'not applicable' / 'as above' / TBC), a named PIC and a different named verifier"))),IF(OR(TRIM(U583)="Pass",TRIM(U583)="Pass after CA"),IF(NOT(ISNUMBER(AD583)),"INVALID – completion time missing",IF(OR(OR(LEN(AU583)&lt;2,ISNUMBER(MATCH(AU583,L_Placeholder,0))),BR583&lt;3),"INVALID – PIC missing or not a named person (a role such as QA / CSM is not a name)",IF(OR(LEN(AV583)&lt;2,ISNUMBER(MATCH(AV583,L_Placeholder,0))),"INVALID – result / assessment missing",IF(OR(OR(LEN(AW583)&lt;3,ISNUMBER(MATCH(AW583,L_Placeholder,0))),SUMPRODUCT(--ISNUMBER(SEARCH(" "&amp;L_EvidencePhrase&amp;" ",BD583)))&gt;0,BI583=1),"INVALID – evidence missing, placeholder or not yet on file",IF(ISNA(MATCH(TRIM(S583),L_EvidenceType,0)),"INVALID – choose the evidence type from the list (column S)",IF(BL583=0,"INVALID – evidence ID must be the record's own ID only (e.g. SF-2210, IMG_2231, 1045521); a link / file name needs type 'Link / file path'",IF(OR(OR(LEN(AX583)&lt;2,ISNUMBER(MATCH(AX583,L_Placeholder,0))),BS583&lt;3),"INVALID – verifier missing or not a named person (a role such as QA / CSM is not a name)",IF(OR(AX583=AU583,CE583=1,AND(LEN(AU583)&gt;=4,ISNUMBER(SEARCH(AU583,AX583))),AND(LEN(AX583)&gt;=4,ISNUMBER(SEARCH(AX583,AU583)))),"INVALID – verifier must be a different, named person (not the PIC or a role)",IF(BH583=1,"INVALID – result not yet available (awaiting / TBC)",IF(BG583=1,"INVALID – result describes a problem: record Fail, then Pass after CA (or reword if it is not a problem)",IF(BV583=1,"INVALID – wording says not on board: an on-board confirmation needs the item loaded",IF(AND(AQ583=1,OR(OR(LEN(AY583)&lt;3,ISNUMBER(MATCH(AY583,L_Placeholder,0))),BJ583=1,BQ583=0)),"INVALID – batch ID missing, placeholder or not an ID (e.g. PASB-261008-BC-017)",IF(AND(AR583=1,OR(NOT(ISNUMBER(X583)),NOT(ISNUMBER(Y583)))),"INVALID – expected/actual qty missing",IF(AND(AR583=1,OR(X583&lt;=0,Y583&lt;0)),"INVALID – expected qty must be above 0 and actual not negative",IF(BB583&lt;&gt;"",BB583,IF(AND(AS583=1,Documents!$J$22&lt;&gt;"ON FILE"),"INVALID – GLD not on file (Documents sheet)",IF(AND(AS583=2,Documents!$O$22&lt;&gt;"ON FILE"),"INVALID – menu checklist not on file (Documents sheet)",IF(AND(AS583=3,NOT(ISNUMBER(Flights!$AX$22))),"INVALID – enter carrying flight KUL departure (Flights AX)",IF(AND(AS583=3,OR(Flights!$AZ$22&gt;Flights!$AA$22,Flights!$AX$22&lt;Flights!$AA$22-3)),"INVALID – carrying flight (Flights AX) cannot arrive before this leg's STD, or is over 3 days early",IF(AG583&gt;AsOfUTC,"INVALID – completion time is in the future",IF(AND(ISNUMBER(BY583),AG583&lt;BY583),IF(H583="Physical uplift","INVALID – before uplift window (cannot confirm loading)","INVALID – before valid window"),IF(AG583&gt;Flights!$AA$22,"INVALID – completed after departure (cannot establish readiness)",IF(AND(H583="Preparation",AG583&gt;=IF(ISNUMBER(Flights!$BA$22),MIN(Flights!$BA$22,Flights!$AA$22),Flights!$AA$22)),"INVALID – completed after loading / departure (cannot establish readiness)",IF(AND(H583="Physical uplift",AG583&gt;Q583),"INVALID – recorded after the loading flight departed",IF(AG583&gt;Q583,"COMPLETE – LATE","COMPLETE"))))))))))))))))))))))))),IF(TRIM(U583)="Fail","FAIL – DISCREPANCY",IF(AND(TRIM(U583)&lt;&gt;"",TRIM(U583)&lt;&gt;"Not started",TRIM(U583)&lt;&gt;"In progress"),"INVALID – unrecognised status (use the list)",IF(AsOfUTC&gt;Q583,"OVERDUE",IF(N583="Clarification required","OPEN – CLARIFICATION","OPEN"))))))),"INVALID – error value in an input cell")</f>
        <v>OPEN</v>
      </c>
      <c r="AI583" s="61" t="n">
        <f aca="false">IF(OR(AH583="N/A – RULE",AH583="N/A – JUSTIFIED"),0,1)</f>
        <v>1</v>
      </c>
      <c r="AJ583" s="61" t="n">
        <f aca="false">IF(LEFT(AH583,8)="COMPLETE",1,0)</f>
        <v>0</v>
      </c>
      <c r="AK583" s="61" t="n">
        <f aca="false">IF(AND(AI583=1,AJ583=0,AsOfUTC&gt;Q583),1,0)</f>
        <v>0</v>
      </c>
      <c r="AL583" s="61" t="n">
        <f aca="false">IFERROR(IF(AND(AI583=1,OR(TRIM(U583)="Fail",AND(TRIM(AB583)&lt;&gt;"",TRIM(AB583)&lt;&gt;"Closed"),AND(ISNUMBER(AF583),AF583&lt;&gt;0,TRIM(U583)&lt;&gt;"Pass after CA"))),1,0),1)</f>
        <v>0</v>
      </c>
      <c r="AM583" s="61" t="n">
        <f aca="false">IF(LEFT(AH583,7)="INVALID",1,0)</f>
        <v>0</v>
      </c>
      <c r="AN583" s="61" t="n">
        <f aca="false">IF(AND(N583="Clarification required",AI583=1,AJ583=0),1,0)</f>
        <v>0</v>
      </c>
      <c r="AO583" s="61" t="str">
        <f aca="false">IF(AK583=1,SUM(AK$5:AK583),"")</f>
        <v/>
      </c>
      <c r="AP583" s="61" t="str">
        <f aca="false">IF(AL583=1,SUM(AL$5:AL583),"")</f>
        <v/>
      </c>
      <c r="AQ583" s="61" t="n">
        <v>1</v>
      </c>
      <c r="AR583" s="61" t="n">
        <v>0</v>
      </c>
      <c r="AS583" s="61" t="n">
        <v>0</v>
      </c>
      <c r="AT583" s="61" t="n">
        <v>0</v>
      </c>
      <c r="AU583" s="61" t="str">
        <f aca="false">SUBSTITUTE(SUBSTITUTE(SUBSTITUTE(SUBSTITUTE(SUBSTITUTE(SUBSTITUTE(SUBSTITUTE(SUBSTITUTE(SUBSTITUTE(SUBSTITUTE(SUBSTITUTE(SUBSTITUTE(SUBSTITUTE(SUBSTITUTE(SUBSTITUTE(SUBSTITUTE(LOWER(T583&amp;""),CHAR(10),""),CHAR(13),""),CHAR(9),""),CHAR(160),"")," ",""),".",""),"-",""),"/",""),"?",""),"_",""),",",""),"[",""),"]",""),"(",""),")",""),"*","")</f>
        <v/>
      </c>
      <c r="AV583" s="61" t="str">
        <f aca="false">SUBSTITUTE(SUBSTITUTE(SUBSTITUTE(SUBSTITUTE(SUBSTITUTE(SUBSTITUTE(SUBSTITUTE(SUBSTITUTE(SUBSTITUTE(SUBSTITUTE(SUBSTITUTE(SUBSTITUTE(SUBSTITUTE(SUBSTITUTE(SUBSTITUTE(SUBSTITUTE(LOWER(V583&amp;""),CHAR(10),""),CHAR(13),""),CHAR(9),""),CHAR(160),"")," ",""),".",""),"-",""),"/",""),"?",""),"_",""),",",""),"[",""),"]",""),"(",""),")",""),"*","")</f>
        <v/>
      </c>
      <c r="AW583" s="61" t="str">
        <f aca="false">SUBSTITUTE(SUBSTITUTE(SUBSTITUTE(SUBSTITUTE(SUBSTITUTE(SUBSTITUTE(SUBSTITUTE(SUBSTITUTE(SUBSTITUTE(SUBSTITUTE(SUBSTITUTE(SUBSTITUTE(SUBSTITUTE(SUBSTITUTE(SUBSTITUTE(SUBSTITUTE(LOWER(Z583&amp;""),CHAR(10),""),CHAR(13),""),CHAR(9),""),CHAR(160),"")," ",""),".",""),"-",""),"/",""),"?",""),"_",""),",",""),"[",""),"]",""),"(",""),")",""),"*","")</f>
        <v/>
      </c>
      <c r="AX583" s="61" t="str">
        <f aca="false">SUBSTITUTE(SUBSTITUTE(SUBSTITUTE(SUBSTITUTE(SUBSTITUTE(SUBSTITUTE(SUBSTITUTE(SUBSTITUTE(SUBSTITUTE(SUBSTITUTE(SUBSTITUTE(SUBSTITUTE(SUBSTITUTE(SUBSTITUTE(SUBSTITUTE(SUBSTITUTE(LOWER(AE583&amp;""),CHAR(10),""),CHAR(13),""),CHAR(9),""),CHAR(160),"")," ",""),".",""),"-",""),"/",""),"?",""),"_",""),",",""),"[",""),"]",""),"(",""),")",""),"*","")</f>
        <v/>
      </c>
      <c r="AY583" s="61" t="str">
        <f aca="false">SUBSTITUTE(SUBSTITUTE(SUBSTITUTE(SUBSTITUTE(SUBSTITUTE(SUBSTITUTE(SUBSTITUTE(SUBSTITUTE(SUBSTITUTE(SUBSTITUTE(SUBSTITUTE(SUBSTITUTE(SUBSTITUTE(SUBSTITUTE(SUBSTITUTE(SUBSTITUTE(LOWER(W583&amp;""),CHAR(10),""),CHAR(13),""),CHAR(9),""),CHAR(160),"")," ",""),".",""),"-",""),"/",""),"?",""),"_",""),",",""),"[",""),"]",""),"(",""),")",""),"*","")</f>
        <v/>
      </c>
      <c r="AZ583" s="61" t="str">
        <f aca="false">SUBSTITUTE(SUBSTITUTE(SUBSTITUTE(SUBSTITUTE(SUBSTITUTE(SUBSTITUTE(SUBSTITUTE(SUBSTITUTE(SUBSTITUTE(SUBSTITUTE(SUBSTITUTE(SUBSTITUTE(SUBSTITUTE(SUBSTITUTE(SUBSTITUTE(SUBSTITUTE(LOWER(AC583&amp;""),CHAR(10),""),CHAR(13),""),CHAR(9),""),CHAR(160),"")," ",""),".",""),"-",""),"/",""),"?",""),"_",""),",",""),"[",""),"]",""),"(",""),")",""),"*","")</f>
        <v/>
      </c>
      <c r="BA583" s="61" t="str">
        <f aca="false">SUBSTITUTE(SUBSTITUTE(SUBSTITUTE(SUBSTITUTE(SUBSTITUTE(SUBSTITUTE(SUBSTITUTE(SUBSTITUTE(SUBSTITUTE(SUBSTITUTE(SUBSTITUTE(SUBSTITUTE(SUBSTITUTE(SUBSTITUTE(SUBSTITUTE(SUBSTITUTE(LOWER(AA583&amp;""),CHAR(10),""),CHAR(13),""),CHAR(9),""),CHAR(160),"")," ",""),".",""),"-",""),"/",""),"?",""),"_",""),",",""),"[",""),"]",""),"(",""),")",""),"*","")</f>
        <v/>
      </c>
      <c r="BB583" s="61" t="str">
        <f aca="false">IF(AND(TRIM(U583)="Pass",ISNUMBER(AF583)),IF(AF583&lt;&gt;0,"INVALID – qty variance: use Fail or Pass after CA",""),"")&amp;IF(AND(TRIM(U583)="Pass after CA",ISNUMBER(AF583)),IF(AF583&lt;&gt;0,"INVALID – after the corrective action the actual qty must equal expected (update Actual)",""),"")&amp;IF(AND(TRIM(U583)="Pass",TRIM(AB583)&lt;&gt;"",TRIM(AB583)&lt;&gt;"Closed"),"INVALID – corrective action not closed: use Fail, then Pass after CA","")&amp;IF(AND(LEN(BA583)&gt;=2,ISNA(MATCH(LEFT(BA583,255),L_Placeholder,0)),TRIM(AB583)=""),"INVALID – CA status missing for the recorded corrective action","")&amp;IF(AND(TRIM(U583)="Pass after CA",OR(OR(LEN(BA583)&lt;5,ISNUMBER(MATCH(BA583,L_Placeholder,0))),TRIM(AB583)&lt;&gt;"Closed")),"INVALID – corrective action not recorded/closed","")</f>
        <v/>
      </c>
      <c r="BC583" s="61" t="str">
        <f aca="false">" "&amp;TRIM(SUBSTITUTE(SUBSTITUTE(SUBSTITUTE(SUBSTITUTE(SUBSTITUTE(SUBSTITUTE(SUBSTITUTE(SUBSTITUTE(SUBSTITUTE(SUBSTITUTE(SUBSTITUTE(SUBSTITUTE(SUBSTITUTE(SUBSTITUTE(SUBSTITUTE(SUBSTITUTE(SUBSTITUTE(SUBSTITUTE(SUBSTITUTE(SUBSTITUTE(SUBSTITUTE(SUBSTITUTE(SUBSTITUTE(SUBSTITUTE(LOWER(V583&amp;""),CHAR(10)," "),CHAR(13)," "),CHAR(9)," "),CHAR(160)," "),"."," "),","," "),"-"," "),"/"," "),"("," "),")"," "),":"," "),";"," "),"_"," "),"–"," "),"?"," "),"!"," "),"*"," "),"["," "),"]"," "),"'"," "),"#"," "),"+"," "),"&amp;"," "),"\"," "))&amp;" "</f>
        <v>  </v>
      </c>
      <c r="BD583" s="61" t="str">
        <f aca="false">" "&amp;TRIM(SUBSTITUTE(SUBSTITUTE(SUBSTITUTE(SUBSTITUTE(SUBSTITUTE(SUBSTITUTE(SUBSTITUTE(SUBSTITUTE(SUBSTITUTE(SUBSTITUTE(SUBSTITUTE(SUBSTITUTE(SUBSTITUTE(SUBSTITUTE(SUBSTITUTE(SUBSTITUTE(SUBSTITUTE(SUBSTITUTE(SUBSTITUTE(SUBSTITUTE(SUBSTITUTE(SUBSTITUTE(SUBSTITUTE(SUBSTITUTE(LOWER(Z583&amp;""),CHAR(10)," "),CHAR(13)," "),CHAR(9)," "),CHAR(160)," "),"."," "),","," "),"-"," "),"/"," "),"("," "),")"," "),":"," "),";"," "),"_"," "),"–"," "),"?"," "),"!"," "),"*"," "),"["," "),"]"," "),"'"," "),"#"," "),"+"," "),"&amp;"," "),"\"," "))&amp;" "</f>
        <v>  </v>
      </c>
      <c r="BE583" s="61" t="str">
        <f aca="false">" "&amp;TRIM(SUBSTITUTE(SUBSTITUTE(SUBSTITUTE(SUBSTITUTE(SUBSTITUTE(SUBSTITUTE(SUBSTITUTE(SUBSTITUTE(SUBSTITUTE(SUBSTITUTE(SUBSTITUTE(SUBSTITUTE(SUBSTITUTE(SUBSTITUTE(SUBSTITUTE(SUBSTITUTE(SUBSTITUTE(SUBSTITUTE(SUBSTITUTE(SUBSTITUTE(SUBSTITUTE(SUBSTITUTE(SUBSTITUTE(SUBSTITUTE(LOWER(W583&amp;""),CHAR(10)," "),CHAR(13)," "),CHAR(9)," "),CHAR(160)," "),"."," "),","," "),"-"," "),"/"," "),"("," "),")"," "),":"," "),";"," "),"_"," "),"–"," "),"?"," "),"!"," "),"*"," "),"["," "),"]"," "),"'"," "),"#"," "),"+"," "),"&amp;"," "),"\"," "))&amp;" "</f>
        <v>  </v>
      </c>
      <c r="BF583" s="61" t="str">
        <f aca="false">" "&amp;TRIM(SUBSTITUTE(SUBSTITUTE(SUBSTITUTE(SUBSTITUTE(SUBSTITUTE(SUBSTITUTE(SUBSTITUTE(SUBSTITUTE(SUBSTITUTE(SUBSTITUTE(SUBSTITUTE(SUBSTITUTE(SUBSTITUTE(SUBSTITUTE(SUBSTITUTE(SUBSTITUTE(SUBSTITUTE(SUBSTITUTE(SUBSTITUTE(SUBSTITUTE(SUBSTITUTE(SUBSTITUTE(SUBSTITUTE(SUBSTITUTE(LOWER(AC583&amp;""),CHAR(10)," "),CHAR(13)," "),CHAR(9)," "),CHAR(160)," "),"."," "),","," "),"-"," "),"/"," "),"("," "),")"," "),":"," "),";"," "),"_"," "),"–"," "),"?"," "),"!"," "),"*"," "),"["," "),"]"," "),"'"," "),"#"," "),"+"," "),"&amp;"," "),"\"," "))&amp;" "</f>
        <v>  </v>
      </c>
      <c r="BG583" s="61" t="n">
        <f aca="false">IFERROR(IF(AND(TRIM(U583)="Pass",SUMPRODUCT((LEN(BC583)-LEN(SUBSTITUTE(BC583," "&amp;L_ResultBad&amp;" "," ")))/(LEN(L_ResultBad)+1))&gt;SUMPRODUCT((LEN(BC583)-LEN(SUBSTITUTE(BC583," "&amp;L_NegPhrase&amp;" "," ")))/(LEN(L_NegPhrase)+1))),1,0),0)</f>
        <v>0</v>
      </c>
      <c r="BH583" s="61" t="n">
        <f aca="false">IFERROR(IF(SUMPRODUCT((LEN(BC583)-LEN(SUBSTITUTE(BC583," "&amp;L_Pending&amp;" "," ")))/(LEN(L_Pending)+1))&gt;SUMPRODUCT((LEN(BC583)-LEN(SUBSTITUTE(BC583," "&amp;L_PendNeg&amp;" "," ")))/(LEN(L_PendNeg)+1))+SUMPRODUCT((LEN(BC583)-LEN(SUBSTITUTE(BC583," "&amp;L_PendPrep&amp;" "," ")))/(LEN(L_PendPrep)+1)),1,0),1)</f>
        <v>0</v>
      </c>
      <c r="BI583" s="61" t="n">
        <f aca="false">IFERROR(IF(SUMPRODUCT((LEN(BD583)-LEN(SUBSTITUTE(BD583," "&amp;L_PendStrict&amp;" "," ")))/(LEN(L_PendStrict)+1))&gt;SUMPRODUCT((LEN(BD583)-LEN(SUBSTITUTE(BD583," "&amp;L_PendNeg&amp;" "," ")))/(LEN(L_PendNeg)+1)),1,0),1)</f>
        <v>0</v>
      </c>
      <c r="BJ583" s="61" t="n">
        <f aca="false">IFERROR(IF(SUMPRODUCT((LEN(BE583)-LEN(SUBSTITUTE(BE583," "&amp;L_Pending&amp;" "," ")))/(LEN(L_Pending)+1))&gt;SUMPRODUCT((LEN(BE583)-LEN(SUBSTITUTE(BE583," "&amp;L_PendNeg&amp;" "," ")))/(LEN(L_PendNeg)+1))+SUMPRODUCT((LEN(BE583)-LEN(SUBSTITUTE(BE583," "&amp;L_PendPrep&amp;" "," ")))/(LEN(L_PendPrep)+1)),1,0),1)</f>
        <v>0</v>
      </c>
      <c r="BK583" s="61" t="n">
        <f aca="false">IFERROR(IF(SUMPRODUCT((LEN(BF583)-LEN(SUBSTITUTE(BF583," "&amp;L_PendStrict&amp;" "," ")))/(LEN(L_PendStrict)+1))&gt;SUMPRODUCT((LEN(BF583)-LEN(SUBSTITUTE(BF583," "&amp;L_PendNeg&amp;" "," ")))/(LEN(L_PendNeg)+1)),1,0),1)</f>
        <v>0</v>
      </c>
      <c r="BL583" s="61" t="n">
        <f aca="false">IF(ISNA(MATCH(TRIM(S583),L_EvidenceType,0)),0,BZ583)</f>
        <v>0</v>
      </c>
      <c r="BM583" s="61" t="str">
        <f aca="false">SUBSTITUTE(SUBSTITUTE(SUBSTITUTE(SUBSTITUTE(SUBSTITUTE(SUBSTITUTE(SUBSTITUTE(SUBSTITUTE(SUBSTITUTE(LOWER(Z583&amp;""),"1","0"),"2","0"),"3","0"),"4","0"),"5","0"),"6","0"),"7","0"),"8","0"),"9","0")</f>
        <v/>
      </c>
      <c r="BN583" s="61" t="str">
        <f aca="false">SUBSTITUTE(SUBSTITUTE(SUBSTITUTE(SUBSTITUTE(SUBSTITUTE(SUBSTITUTE(SUBSTITUTE(SUBSTITUTE(SUBSTITUTE(SUBSTITUTE(SUBSTITUTE(SUBSTITUTE(SUBSTITUTE(SUBSTITUTE(SUBSTITUTE(SUBSTITUTE(SUBSTITUTE(SUBSTITUTE(SUBSTITUTE(SUBSTITUTE(SUBSTITUTE(SUBSTITUTE(SUBSTITUTE(SUBSTITUTE(SUBSTITUTE(BM583,"b","a"),"c","a"),"d","a"),"e","a"),"f","a"),"g","a"),"h","a"),"i","a"),"j","a"),"k","a"),"l","a"),"m","a"),"n","a"),"o","a"),"p","a"),"q","a"),"r","a"),"s","a"),"t","a"),"u","a"),"v","a"),"w","a"),"x","a"),"y","a"),"z","a")</f>
        <v/>
      </c>
      <c r="BO583" s="61" t="str">
        <f aca="false">SUBSTITUTE(SUBSTITUTE(SUBSTITUTE(SUBSTITUTE(SUBSTITUTE(SUBSTITUTE(SUBSTITUTE(SUBSTITUTE(SUBSTITUTE(LOWER(W583&amp;""),"1","0"),"2","0"),"3","0"),"4","0"),"5","0"),"6","0"),"7","0"),"8","0"),"9","0")</f>
        <v/>
      </c>
      <c r="BP583" s="61" t="str">
        <f aca="false">SUBSTITUTE(SUBSTITUTE(SUBSTITUTE(SUBSTITUTE(SUBSTITUTE(SUBSTITUTE(SUBSTITUTE(SUBSTITUTE(SUBSTITUTE(SUBSTITUTE(SUBSTITUTE(SUBSTITUTE(SUBSTITUTE(SUBSTITUTE(SUBSTITUTE(SUBSTITUTE(SUBSTITUTE(SUBSTITUTE(SUBSTITUTE(SUBSTITUTE(SUBSTITUTE(SUBSTITUTE(SUBSTITUTE(SUBSTITUTE(SUBSTITUTE(BO583,"b","a"),"c","a"),"d","a"),"e","a"),"f","a"),"g","a"),"h","a"),"i","a"),"j","a"),"k","a"),"l","a"),"m","a"),"n","a"),"o","a"),"p","a"),"q","a"),"r","a"),"s","a"),"t","a"),"u","a"),"v","a"),"w","a"),"x","a"),"y","a"),"z","a")</f>
        <v/>
      </c>
      <c r="BQ583" s="61" t="n">
        <f aca="false">IFERROR(IF(AND(ISERROR(SEARCH(" mh"," "&amp;LOWER(W583))),ISNA(MATCH(LEFT(TRIM(BP583),255),{"0000a","000a","00a","0000aa","000aa","00aa","0aa","0000aaa","000aaa","00a00","0a00","0000-0000","00:00","a00","a0","00.00.0000","00/00/0000","00-00-0000","0000-00-00","0000/00/00","0000.00.00","00.00.00","00/00/00","00-00-00","0.00.0000","0/00/0000","0-00-0000"},0)),ISNA(MATCH(LEFT(TRIM(CA583),255),{"0000a","000a","00a","0000aa","000aa","00aa","0aa","0000aaa","000aaa","00a00","0a00","0000-0000","00:00","a00","a0","00.00.0000","00/00/0000","00-00-0000","0000-00-00","0000/00/00","0000.00.00","00.00.00","00/00/00","00-00-00","0.00.0000","0/00/0000","0-00-0000"},0)),LEN(CB583)&gt;=3,NOT(OR(SUBSTITUTE(CB583,"0","")="",AND(LEN(CB583)&gt;=4,CB583=REPT(LEFT(CB583),LEN(CB583))),ISNUMBER(MATCH(CB583,{"123","1234","12345","123456","1234567","12345678","0123","01234","012345","98765","987654","54321"},0)),AND(LEN(CB583)=8,LEFT(CB583,3)="202"))),OR(AND((LEN(CA583)-LEN(SUBSTITUTE(CA583,"a","")))&gt;=1,SUMPRODUCT(--ISNUMBER(SEARCH({"a0","a-0","a_0","a/0","a.0","a#0","0a","0-a","0_a","0/a"},BP583)))&gt;0),ISNUMBER(SEARCH("000000",BP583)))),1,0),0)</f>
        <v>0</v>
      </c>
      <c r="BR583" s="61" t="n">
        <f aca="false">IFERROR(LEN(SUBSTITUTE(CC583," ",""))-SUMPRODUCT((LEN(CC583)-LEN(SUBSTITUTE(CC583," "&amp;L_Role&amp;" "," ")))/(LEN(L_Role)+1)*LEN(L_Role)),0)</f>
        <v>0</v>
      </c>
      <c r="BS583" s="61" t="n">
        <f aca="false">IFERROR(LEN(SUBSTITUTE(CD583," ",""))-SUMPRODUCT((LEN(CD583)-LEN(SUBSTITUTE(CD583," "&amp;L_Role&amp;" "," ")))/(LEN(L_Role)+1)*LEN(L_Role)),0)</f>
        <v>0</v>
      </c>
      <c r="BT5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583,"revision",""),"version",""),"jan",""),"feb",""),"mar",""),"apr",""),"may",""),"jun",""),"jul",""),"aug",""),"sep",""),"oct",""),"nov",""),"dec",""),"utc",""),"gmt",""),"myt",""),"bst",""),"rev",""),"ver",""),"b","a"),"c","a"),"d","a"),"e","a"),"f","a"),"g","a"),"h","a"),"i","a"),"j","a"),"k","a"),"l","a"),"m","a"),"n","a"),"o","a"),"p","a"),"q","a"),"r","a"),"s","a"),"t","a"),"u","a"),"v","a"),"w","a"),"x","a"),"y","a"),"z","a")</f>
        <v/>
      </c>
      <c r="BU583" s="61" t="str">
        <f aca="false">SUBSTITUTE(SUBSTITUTE(SUBSTITUTE(SUBSTITUTE(SUBSTITUTE(SUBSTITUTE(SUBSTITUTE(SUBSTITUTE(SUBSTITUTE(SUBSTITUTE(LEFT(BM583,FIND("0",BM583&amp;"0")-1),"-",""),"_",""),"/",""),".",""),"#",""),"\\",""),":","")," ",""),"(",""),")","")</f>
        <v/>
      </c>
      <c r="BV583" s="61" t="n">
        <f aca="false">0</f>
        <v>0</v>
      </c>
      <c r="BW5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583&amp;""),"a",""),"b",""),"c",""),"d",""),"e",""),"f",""),"g",""),"h",""),"i",""),"j",""),"k",""),"l",""),"m",""),"n",""),"o",""),"p",""),"q",""),"r",""),"s",""),"t",""),"u",""),"v",""),"w",""),"x",""),"y",""),"z",""),"-",""),"_",""),"/",""),".",""),"#",""),"\\",""),":","")," ",""),"(",""),")","")</f>
        <v/>
      </c>
      <c r="BX583" s="61" t="str">
        <f aca="false">SUBSTITUTE(SUBSTITUTE(SUBSTITUTE(SUBSTITUTE(SUBSTITUTE(SUBSTITUTE(SUBSTITUTE(SUBSTITUTE(SUBSTITUTE(SUBSTITUTE(SUBSTITUTE(BM583,"0",""),"-",""),"_",""),"/",""),".",""),"#",""),"\\",""),":","")," ",""),"(",""),")","")</f>
        <v/>
      </c>
      <c r="BY583" s="62" t="n">
        <f aca="false">Q583-T24EarlyH/24</f>
        <v>46320.6006944444</v>
      </c>
      <c r="BZ583" s="61" t="n">
        <f aca="false">IFERROR(IF(IF(TRIM(S583)="Link / file path",AND(LEN(TRIM(Z583))&gt;=5,SUMPRODUCT(--ISNUMBER(SEARCH({"http","www.","\\",":\",".pdf",".jpg",".jpeg",".png",".heic",".xls",".doc",".msg",".eml",".ppt",".txt",".zip"},Z583)))&gt;0),AND(ISERROR(FIND(" ",TRIM(Z583))),NOT(OR(SUMPRODUCT(--ISNUMBER(FIND({",",";","&amp;","+"},Z583)))&gt;0,SUMPRODUCT(--ISNUMBER(SEARCH({"0/aa","0\\aa"},BN583)))&gt;0)),NOT(SUMPRODUCT(--ISNUMBER(SEARCH({"http","www.","\\",":\",".pdf",".jpg",".jpeg",".png",".heic",".xls",".doc",".msg",".eml",".ppt",".txt",".zip"},Z583)))&gt;0),NOT(LOWER(TRIM(Z583))=LOWER(Flights!$F$22)),ISNA(MATCH(BU583,{"mh","rev","revision","ver","version","v","r","a","b","seat","tray","row","gate","bay","stand","page","pg","item","line","no","cart","galley","flight","flt","table","box","bag","oven","etd","eta","std","sta","atd","ata","qty","pax","x","time","tel","ph","mob","day","wk","week","utc","gmt","myt","lt"},0)),NOT(OR(ISNUMBER(MATCH(LEFT(BN583,255),{"0000a","000a","00a","0000aa","000aa","00aa","0aa","0000aaa","000aaa","00a00","0a00","0000-0000","00:00","a00","a0","00.00.0000","00/00/0000","00-00-0000","0000-00-00","0000/00/00","0000.00.00","00.00.00","00/00/00","00-00-00","0.00.0000","0/00/0000","0-00-0000"},0)),ISNUMBER(MATCH(LEFT(BT583,255),{"0000a","000a","00a","0000aa","000aa","00aa","0aa","0000aaa","000aaa","00a00","0a00","0000-0000","00:00","a00","a0","00.00.0000","00/00/0000","00-00-0000","0000-00-00","0000/00/00","0000.00.00","00.00.00","00/00/00","00-00-00","0.00.0000","0/00/0000","0-00-0000"},0)))),NOT(OR(AND(BW583&lt;&gt;"",SUBSTITUTE(BW583,"0","")=""),AND(LEN(BW583)&gt;=4,BW583=REPT(LEFT(BW583),LEN(BW583))),ISNUMBER(MATCH(BW583,{"123","1234","12345","123456","1234567","12345678","0123","01234","012345","98765","987654","54321"},0)),ISNUMBER(MATCH(BX583,{"x","xx","xxx","xxxx","xxxxx","abc","abcd","nil","na","nan","test","tbc","tba","tbd","dummy","sample","example","eg","zz","zzz","none","null","xyz","qwe","asd","id","ref"},0)),AND(LEN(BW583)=8,BX583="",OR(LEFT(BW583,3)="202",ISNUMBER(MATCH(RIGHT(BW583,4),{"2025","2026","2027"},0)))))),OR(AND((LEN(BT583)-LEN(SUBSTITUTE(BT583,"a","")))&gt;=1,(LEN(BN583)-LEN(SUBSTITUTE(BN583,"0","")))&gt;=2,SUMPRODUCT(--ISNUMBER(SEARCH({"a0","a-0","a_0","a/0","a.0","a#0","0a","0-a","0_a","0/a"},BN583)))&gt;0),AND((LEN(BN583)-LEN(SUBSTITUTE(BN583,"a","")))=0,(LEN(BN583)-LEN(SUBSTITUTE(BN583,"0","")))&gt;=5)))),1,0),0)</f>
        <v>0</v>
      </c>
      <c r="CA5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583,"revision",""),"version",""),"jan",""),"feb",""),"mar",""),"apr",""),"may",""),"jun",""),"jul",""),"aug",""),"sep",""),"oct",""),"nov",""),"dec",""),"utc",""),"gmt",""),"myt",""),"bst",""),"rev",""),"ver",""),"b","a"),"c","a"),"d","a"),"e","a"),"f","a"),"g","a"),"h","a"),"i","a"),"j","a"),"k","a"),"l","a"),"m","a"),"n","a"),"o","a"),"p","a"),"q","a"),"r","a"),"s","a"),"t","a"),"u","a"),"v","a"),"w","a"),"x","a"),"y","a"),"z","a")</f>
        <v/>
      </c>
      <c r="CB5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583&amp;""),"a",""),"b",""),"c",""),"d",""),"e",""),"f",""),"g",""),"h",""),"i",""),"j",""),"k",""),"l",""),"m",""),"n",""),"o",""),"p",""),"q",""),"r",""),"s",""),"t",""),"u",""),"v",""),"w",""),"x",""),"y",""),"z",""),"-",""),"_",""),"/",""),".",""),"#",""),"\\",""),":","")," ",""),"(",""),")","")</f>
        <v/>
      </c>
      <c r="CC583" s="0" t="str">
        <f aca="false">" "&amp;TRIM(SUBSTITUTE(SUBSTITUTE(SUBSTITUTE(SUBSTITUTE(SUBSTITUTE(SUBSTITUTE(SUBSTITUTE(SUBSTITUTE(SUBSTITUTE(SUBSTITUTE(SUBSTITUTE(SUBSTITUTE(SUBSTITUTE(SUBSTITUTE(SUBSTITUTE(SUBSTITUTE(SUBSTITUTE(SUBSTITUTE(SUBSTITUTE(SUBSTITUTE(SUBSTITUTE(SUBSTITUTE(SUBSTITUTE(SUBSTITUTE(LOWER(T583&amp;""),CHAR(10)," "),CHAR(13)," "),CHAR(9)," "),CHAR(160)," "),"."," "),","," "),"-"," "),"/"," "),"("," "),")"," "),":"," "),";"," "),"_"," "),"–"," "),"?"," "),"!"," "),"*"," "),"["," "),"]"," "),"'"," "),"#"," "),"+"," "),"&amp;"," "),"\"," "))&amp;" "</f>
        <v>  </v>
      </c>
      <c r="CD583" s="0" t="str">
        <f aca="false">" "&amp;TRIM(SUBSTITUTE(SUBSTITUTE(SUBSTITUTE(SUBSTITUTE(SUBSTITUTE(SUBSTITUTE(SUBSTITUTE(SUBSTITUTE(SUBSTITUTE(SUBSTITUTE(SUBSTITUTE(SUBSTITUTE(SUBSTITUTE(SUBSTITUTE(SUBSTITUTE(SUBSTITUTE(SUBSTITUTE(SUBSTITUTE(SUBSTITUTE(SUBSTITUTE(SUBSTITUTE(SUBSTITUTE(SUBSTITUTE(SUBSTITUTE(LOWER(AE583&amp;""),CHAR(10)," "),CHAR(13)," "),CHAR(9)," "),CHAR(160)," "),"."," "),","," "),"-"," "),"/"," "),"("," "),")"," "),":"," "),";"," "),"_"," "),"–"," "),"?"," "),"!"," "),"*"," "),"["," "),"]"," "),"'"," "),"#"," "),"+"," "),"&amp;"," "),"\"," "))&amp;" "</f>
        <v>  </v>
      </c>
      <c r="CE583" s="68" t="n">
        <f aca="false">IFERROR(IF(AND(LEN(AU583)&gt;0,LEN(AU583)=LEN(AX583),OR(TRIM(MID(SUBSTITUTE(TRIM(CC583)," ",REPT(" ",60)),1,60))="",ISNUMBER(SEARCH(" "&amp;TRIM(MID(SUBSTITUTE(TRIM(CC583)," ",REPT(" ",60)),1,60))&amp;" ",CD583))),OR(TRIM(MID(SUBSTITUTE(TRIM(CC583)," ",REPT(" ",60)),61,60))="",ISNUMBER(SEARCH(" "&amp;TRIM(MID(SUBSTITUTE(TRIM(CC583)," ",REPT(" ",60)),61,60))&amp;" ",CD583))),OR(TRIM(MID(SUBSTITUTE(TRIM(CC583)," ",REPT(" ",60)),121,60))="",ISNUMBER(SEARCH(" "&amp;TRIM(MID(SUBSTITUTE(TRIM(CC583)," ",REPT(" ",60)),121,60))&amp;" ",CD583)))),1,0),0)</f>
        <v>0</v>
      </c>
      <c r="CG583" s="68" t="n">
        <f aca="false">IFERROR(LEN(SUBSTITUTE(BF583," ",""))-SUMPRODUCT((LEN(BF583)-LEN(SUBSTITUTE(BF583," "&amp;L_NAFiller&amp;" "," ")))/(LEN(L_NAFiller)+1)*LEN(L_NAFiller)),0)</f>
        <v>0</v>
      </c>
    </row>
    <row r="584" customFormat="false" ht="39.75" hidden="false" customHeight="true" outlineLevel="0" collapsed="false">
      <c r="A584" s="57" t="s">
        <v>1278</v>
      </c>
      <c r="B584" s="57" t="s">
        <v>293</v>
      </c>
      <c r="C584" s="57" t="str">
        <f aca="false">Flights!$F$22</f>
        <v>MH0052</v>
      </c>
      <c r="D584" s="58" t="n">
        <f aca="false">Flights!$D$22</f>
        <v>46322</v>
      </c>
      <c r="E584" s="57" t="str">
        <f aca="false">Flights!$G$22&amp;"-"&amp;Flights!$H$22</f>
        <v>KUL-KIX</v>
      </c>
      <c r="F584" s="57" t="str">
        <f aca="false">Flights!$K$22</f>
        <v>BC</v>
      </c>
      <c r="G584" s="57" t="s">
        <v>420</v>
      </c>
      <c r="H584" s="57" t="s">
        <v>378</v>
      </c>
      <c r="I584" s="57" t="s">
        <v>379</v>
      </c>
      <c r="J584" s="57" t="s">
        <v>421</v>
      </c>
      <c r="K584" s="67"/>
      <c r="L584" s="67" t="s">
        <v>422</v>
      </c>
      <c r="M584" s="67"/>
      <c r="N584" s="67" t="s">
        <v>383</v>
      </c>
      <c r="O584" s="67" t="s">
        <v>423</v>
      </c>
      <c r="P584" s="57" t="s">
        <v>187</v>
      </c>
      <c r="Q584" s="59" t="n">
        <f aca="false">ROUND((Flights!$AE$22)*1440,0)/1440</f>
        <v>46322.1006944444</v>
      </c>
      <c r="R584" s="59" t="n">
        <f aca="false">Q584+(IF(AND(INDEX(TZ_DSTS,MATCH(P584,TZ_STN,0))&lt;&gt;"",Q584&gt;=INDEX(TZ_DSTS,MATCH(P584,TZ_STN,0)),Q584&lt;INDEX(TZ_DSTE,MATCH(P584,TZ_STN,0))),INDEX(TZ_DST,MATCH(P584,TZ_STN,0)),INDEX(TZ_STD,MATCH(P584,TZ_STN,0))))/24</f>
        <v>46322.4340277778</v>
      </c>
      <c r="S584" s="60"/>
      <c r="T584" s="60"/>
      <c r="U584" s="60"/>
      <c r="V584" s="60"/>
      <c r="W584" s="61"/>
      <c r="X584" s="60"/>
      <c r="Y584" s="60"/>
      <c r="Z584" s="60"/>
      <c r="AA584" s="60"/>
      <c r="AB584" s="60"/>
      <c r="AC584" s="60"/>
      <c r="AD584" s="66"/>
      <c r="AE584" s="60"/>
      <c r="AF584" s="61" t="str">
        <f aca="false">IF(AND(ISNUMBER(X584),ISNUMBER(Y584)),Y584-X584,"")</f>
        <v/>
      </c>
      <c r="AG584" s="62" t="str">
        <f aca="false">IF(ISNUMBER(AD584),AD584-(IF(AND(INDEX(TZ_DSTS,MATCH(P584,TZ_STN,0))&lt;&gt;"",(AD584-INDEX(TZ_STD,MATCH(P584,TZ_STN,0))/24)&gt;=INDEX(TZ_DSTS,MATCH(P584,TZ_STN,0)),(AD584-INDEX(TZ_STD,MATCH(P584,TZ_STN,0))/24)&lt;INDEX(TZ_DSTE,MATCH(P584,TZ_STN,0))),INDEX(TZ_DST,MATCH(P584,TZ_STN,0)),INDEX(TZ_STD,MATCH(P584,TZ_STN,0))))/24,"")</f>
        <v/>
      </c>
      <c r="AH584" s="65" t="str">
        <f aca="false">IFERROR(IF(N584="N/A – rule",IF(OR(TRIM(U584)="",TRIM(U584)="N/A",TRIM(U584)="Not started"),"N/A – RULE","INVALID – this check does not apply to this aircraft: clear the status (or correct the fleet on Flights)"),IF(TRIM(U584)="N/A",IF(AT584=0,"INVALID – N/A not permitted for this check",IF(AND(TRIM(AB584)&lt;&gt;"",TRIM(AB584)&lt;&gt;"Closed"),"INVALID – corrective action still open",IF(AND(NOT(OR(LEN(AZ584)&lt;15,ISNUMBER(MATCH(AZ584,L_Placeholder,0)))),BK584=0,CG584&gt;=8,NOT(OR(LEN(AU584)&lt;2,ISNUMBER(MATCH(AU584,L_Placeholder,0)))),BR584&gt;=3,NOT(OR(LEN(AX584)&lt;2,ISNUMBER(MATCH(AX584,L_Placeholder,0)))),BS584&gt;=3,TRIM(AE584)&lt;&gt;TRIM(T584),AX584&lt;&gt;AU584,CE584=0),"N/A – JUSTIFIED","INVALID – N/A needs a real, settled reason (not 'not applicable' / 'as above' / TBC), a named PIC and a different named verifier"))),IF(OR(TRIM(U584)="Pass",TRIM(U584)="Pass after CA"),IF(NOT(ISNUMBER(AD584)),"INVALID – completion time missing",IF(OR(OR(LEN(AU584)&lt;2,ISNUMBER(MATCH(AU584,L_Placeholder,0))),BR584&lt;3),"INVALID – PIC missing or not a named person (a role such as QA / CSM is not a name)",IF(OR(LEN(AV584)&lt;2,ISNUMBER(MATCH(AV584,L_Placeholder,0))),"INVALID – result / assessment missing",IF(OR(OR(LEN(AW584)&lt;3,ISNUMBER(MATCH(AW584,L_Placeholder,0))),SUMPRODUCT(--ISNUMBER(SEARCH(" "&amp;L_EvidencePhrase&amp;" ",BD584)))&gt;0,BI584=1),"INVALID – evidence missing, placeholder or not yet on file",IF(ISNA(MATCH(TRIM(S584),L_EvidenceType,0)),"INVALID – choose the evidence type from the list (column S)",IF(BL584=0,"INVALID – evidence ID must be the record's own ID only (e.g. SF-2210, IMG_2231, 1045521); a link / file name needs type 'Link / file path'",IF(OR(OR(LEN(AX584)&lt;2,ISNUMBER(MATCH(AX584,L_Placeholder,0))),BS584&lt;3),"INVALID – verifier missing or not a named person (a role such as QA / CSM is not a name)",IF(OR(AX584=AU584,CE584=1,AND(LEN(AU584)&gt;=4,ISNUMBER(SEARCH(AU584,AX584))),AND(LEN(AX584)&gt;=4,ISNUMBER(SEARCH(AX584,AU584)))),"INVALID – verifier must be a different, named person (not the PIC or a role)",IF(BH584=1,"INVALID – result not yet available (awaiting / TBC)",IF(BG584=1,"INVALID – result describes a problem: record Fail, then Pass after CA (or reword if it is not a problem)",IF(BV584=1,"INVALID – wording says not on board: an on-board confirmation needs the item loaded",IF(AND(AQ584=1,OR(OR(LEN(AY584)&lt;3,ISNUMBER(MATCH(AY584,L_Placeholder,0))),BJ584=1,BQ584=0)),"INVALID – batch ID missing, placeholder or not an ID (e.g. PASB-261008-BC-017)",IF(AND(AR584=1,OR(NOT(ISNUMBER(X584)),NOT(ISNUMBER(Y584)))),"INVALID – expected/actual qty missing",IF(AND(AR584=1,OR(X584&lt;=0,Y584&lt;0)),"INVALID – expected qty must be above 0 and actual not negative",IF(BB584&lt;&gt;"",BB584,IF(AND(AS584=1,Documents!$J$22&lt;&gt;"ON FILE"),"INVALID – GLD not on file (Documents sheet)",IF(AND(AS584=2,Documents!$O$22&lt;&gt;"ON FILE"),"INVALID – menu checklist not on file (Documents sheet)",IF(AND(AS584=3,NOT(ISNUMBER(Flights!$AX$22))),"INVALID – enter carrying flight KUL departure (Flights AX)",IF(AND(AS584=3,OR(Flights!$AZ$22&gt;Flights!$AA$22,Flights!$AX$22&lt;Flights!$AA$22-3)),"INVALID – carrying flight (Flights AX) cannot arrive before this leg's STD, or is over 3 days early",IF(AG584&gt;AsOfUTC,"INVALID – completion time is in the future",IF(AND(ISNUMBER(BY584),AG584&lt;BY584),IF(H584="Physical uplift","INVALID – before uplift window (cannot confirm loading)","INVALID – before valid window"),IF(AG584&gt;Flights!$AA$22,"INVALID – completed after departure (cannot establish readiness)",IF(AND(H584="Preparation",AG584&gt;=IF(ISNUMBER(Flights!$BA$22),MIN(Flights!$BA$22,Flights!$AA$22),Flights!$AA$22)),"INVALID – completed after loading / departure (cannot establish readiness)",IF(AND(H584="Physical uplift",AG584&gt;Q584),"INVALID – recorded after the loading flight departed",IF(AG584&gt;Q584,"COMPLETE – LATE","COMPLETE"))))))))))))))))))))))))),IF(TRIM(U584)="Fail","FAIL – DISCREPANCY",IF(AND(TRIM(U584)&lt;&gt;"",TRIM(U584)&lt;&gt;"Not started",TRIM(U584)&lt;&gt;"In progress"),"INVALID – unrecognised status (use the list)",IF(AsOfUTC&gt;Q584,"OVERDUE",IF(N584="Clarification required","OPEN – CLARIFICATION","OPEN"))))))),"INVALID – error value in an input cell")</f>
        <v>OPEN</v>
      </c>
      <c r="AI584" s="61" t="n">
        <f aca="false">IF(OR(AH584="N/A – RULE",AH584="N/A – JUSTIFIED"),0,1)</f>
        <v>1</v>
      </c>
      <c r="AJ584" s="61" t="n">
        <f aca="false">IF(LEFT(AH584,8)="COMPLETE",1,0)</f>
        <v>0</v>
      </c>
      <c r="AK584" s="61" t="n">
        <f aca="false">IF(AND(AI584=1,AJ584=0,AsOfUTC&gt;Q584),1,0)</f>
        <v>0</v>
      </c>
      <c r="AL584" s="61" t="n">
        <f aca="false">IFERROR(IF(AND(AI584=1,OR(TRIM(U584)="Fail",AND(TRIM(AB584)&lt;&gt;"",TRIM(AB584)&lt;&gt;"Closed"),AND(ISNUMBER(AF584),AF584&lt;&gt;0,TRIM(U584)&lt;&gt;"Pass after CA"))),1,0),1)</f>
        <v>0</v>
      </c>
      <c r="AM584" s="61" t="n">
        <f aca="false">IF(LEFT(AH584,7)="INVALID",1,0)</f>
        <v>0</v>
      </c>
      <c r="AN584" s="61" t="n">
        <f aca="false">IF(AND(N584="Clarification required",AI584=1,AJ584=0),1,0)</f>
        <v>0</v>
      </c>
      <c r="AO584" s="61" t="str">
        <f aca="false">IF(AK584=1,SUM(AK$5:AK584),"")</f>
        <v/>
      </c>
      <c r="AP584" s="61" t="str">
        <f aca="false">IF(AL584=1,SUM(AL$5:AL584),"")</f>
        <v/>
      </c>
      <c r="AQ584" s="61" t="n">
        <v>0</v>
      </c>
      <c r="AR584" s="61" t="n">
        <v>0</v>
      </c>
      <c r="AS584" s="61" t="n">
        <v>0</v>
      </c>
      <c r="AT584" s="61" t="n">
        <v>0</v>
      </c>
      <c r="AU584" s="61" t="str">
        <f aca="false">SUBSTITUTE(SUBSTITUTE(SUBSTITUTE(SUBSTITUTE(SUBSTITUTE(SUBSTITUTE(SUBSTITUTE(SUBSTITUTE(SUBSTITUTE(SUBSTITUTE(SUBSTITUTE(SUBSTITUTE(SUBSTITUTE(SUBSTITUTE(SUBSTITUTE(SUBSTITUTE(LOWER(T584&amp;""),CHAR(10),""),CHAR(13),""),CHAR(9),""),CHAR(160),"")," ",""),".",""),"-",""),"/",""),"?",""),"_",""),",",""),"[",""),"]",""),"(",""),")",""),"*","")</f>
        <v/>
      </c>
      <c r="AV584" s="61" t="str">
        <f aca="false">SUBSTITUTE(SUBSTITUTE(SUBSTITUTE(SUBSTITUTE(SUBSTITUTE(SUBSTITUTE(SUBSTITUTE(SUBSTITUTE(SUBSTITUTE(SUBSTITUTE(SUBSTITUTE(SUBSTITUTE(SUBSTITUTE(SUBSTITUTE(SUBSTITUTE(SUBSTITUTE(LOWER(V584&amp;""),CHAR(10),""),CHAR(13),""),CHAR(9),""),CHAR(160),"")," ",""),".",""),"-",""),"/",""),"?",""),"_",""),",",""),"[",""),"]",""),"(",""),")",""),"*","")</f>
        <v/>
      </c>
      <c r="AW584" s="61" t="str">
        <f aca="false">SUBSTITUTE(SUBSTITUTE(SUBSTITUTE(SUBSTITUTE(SUBSTITUTE(SUBSTITUTE(SUBSTITUTE(SUBSTITUTE(SUBSTITUTE(SUBSTITUTE(SUBSTITUTE(SUBSTITUTE(SUBSTITUTE(SUBSTITUTE(SUBSTITUTE(SUBSTITUTE(LOWER(Z584&amp;""),CHAR(10),""),CHAR(13),""),CHAR(9),""),CHAR(160),"")," ",""),".",""),"-",""),"/",""),"?",""),"_",""),",",""),"[",""),"]",""),"(",""),")",""),"*","")</f>
        <v/>
      </c>
      <c r="AX584" s="61" t="str">
        <f aca="false">SUBSTITUTE(SUBSTITUTE(SUBSTITUTE(SUBSTITUTE(SUBSTITUTE(SUBSTITUTE(SUBSTITUTE(SUBSTITUTE(SUBSTITUTE(SUBSTITUTE(SUBSTITUTE(SUBSTITUTE(SUBSTITUTE(SUBSTITUTE(SUBSTITUTE(SUBSTITUTE(LOWER(AE584&amp;""),CHAR(10),""),CHAR(13),""),CHAR(9),""),CHAR(160),"")," ",""),".",""),"-",""),"/",""),"?",""),"_",""),",",""),"[",""),"]",""),"(",""),")",""),"*","")</f>
        <v/>
      </c>
      <c r="AY584" s="61" t="str">
        <f aca="false">SUBSTITUTE(SUBSTITUTE(SUBSTITUTE(SUBSTITUTE(SUBSTITUTE(SUBSTITUTE(SUBSTITUTE(SUBSTITUTE(SUBSTITUTE(SUBSTITUTE(SUBSTITUTE(SUBSTITUTE(SUBSTITUTE(SUBSTITUTE(SUBSTITUTE(SUBSTITUTE(LOWER(W584&amp;""),CHAR(10),""),CHAR(13),""),CHAR(9),""),CHAR(160),"")," ",""),".",""),"-",""),"/",""),"?",""),"_",""),",",""),"[",""),"]",""),"(",""),")",""),"*","")</f>
        <v/>
      </c>
      <c r="AZ584" s="61" t="str">
        <f aca="false">SUBSTITUTE(SUBSTITUTE(SUBSTITUTE(SUBSTITUTE(SUBSTITUTE(SUBSTITUTE(SUBSTITUTE(SUBSTITUTE(SUBSTITUTE(SUBSTITUTE(SUBSTITUTE(SUBSTITUTE(SUBSTITUTE(SUBSTITUTE(SUBSTITUTE(SUBSTITUTE(LOWER(AC584&amp;""),CHAR(10),""),CHAR(13),""),CHAR(9),""),CHAR(160),"")," ",""),".",""),"-",""),"/",""),"?",""),"_",""),",",""),"[",""),"]",""),"(",""),")",""),"*","")</f>
        <v/>
      </c>
      <c r="BA584" s="61" t="str">
        <f aca="false">SUBSTITUTE(SUBSTITUTE(SUBSTITUTE(SUBSTITUTE(SUBSTITUTE(SUBSTITUTE(SUBSTITUTE(SUBSTITUTE(SUBSTITUTE(SUBSTITUTE(SUBSTITUTE(SUBSTITUTE(SUBSTITUTE(SUBSTITUTE(SUBSTITUTE(SUBSTITUTE(LOWER(AA584&amp;""),CHAR(10),""),CHAR(13),""),CHAR(9),""),CHAR(160),"")," ",""),".",""),"-",""),"/",""),"?",""),"_",""),",",""),"[",""),"]",""),"(",""),")",""),"*","")</f>
        <v/>
      </c>
      <c r="BB584" s="61" t="str">
        <f aca="false">IF(AND(TRIM(U584)="Pass",ISNUMBER(AF584)),IF(AF584&lt;&gt;0,"INVALID – qty variance: use Fail or Pass after CA",""),"")&amp;IF(AND(TRIM(U584)="Pass after CA",ISNUMBER(AF584)),IF(AF584&lt;&gt;0,"INVALID – after the corrective action the actual qty must equal expected (update Actual)",""),"")&amp;IF(AND(TRIM(U584)="Pass",TRIM(AB584)&lt;&gt;"",TRIM(AB584)&lt;&gt;"Closed"),"INVALID – corrective action not closed: use Fail, then Pass after CA","")&amp;IF(AND(LEN(BA584)&gt;=2,ISNA(MATCH(LEFT(BA584,255),L_Placeholder,0)),TRIM(AB584)=""),"INVALID – CA status missing for the recorded corrective action","")&amp;IF(AND(TRIM(U584)="Pass after CA",OR(OR(LEN(BA584)&lt;5,ISNUMBER(MATCH(BA584,L_Placeholder,0))),TRIM(AB584)&lt;&gt;"Closed")),"INVALID – corrective action not recorded/closed","")</f>
        <v/>
      </c>
      <c r="BC584" s="61" t="str">
        <f aca="false">" "&amp;TRIM(SUBSTITUTE(SUBSTITUTE(SUBSTITUTE(SUBSTITUTE(SUBSTITUTE(SUBSTITUTE(SUBSTITUTE(SUBSTITUTE(SUBSTITUTE(SUBSTITUTE(SUBSTITUTE(SUBSTITUTE(SUBSTITUTE(SUBSTITUTE(SUBSTITUTE(SUBSTITUTE(SUBSTITUTE(SUBSTITUTE(SUBSTITUTE(SUBSTITUTE(SUBSTITUTE(SUBSTITUTE(SUBSTITUTE(SUBSTITUTE(LOWER(V584&amp;""),CHAR(10)," "),CHAR(13)," "),CHAR(9)," "),CHAR(160)," "),"."," "),","," "),"-"," "),"/"," "),"("," "),")"," "),":"," "),";"," "),"_"," "),"–"," "),"?"," "),"!"," "),"*"," "),"["," "),"]"," "),"'"," "),"#"," "),"+"," "),"&amp;"," "),"\"," "))&amp;" "</f>
        <v>  </v>
      </c>
      <c r="BD584" s="61" t="str">
        <f aca="false">" "&amp;TRIM(SUBSTITUTE(SUBSTITUTE(SUBSTITUTE(SUBSTITUTE(SUBSTITUTE(SUBSTITUTE(SUBSTITUTE(SUBSTITUTE(SUBSTITUTE(SUBSTITUTE(SUBSTITUTE(SUBSTITUTE(SUBSTITUTE(SUBSTITUTE(SUBSTITUTE(SUBSTITUTE(SUBSTITUTE(SUBSTITUTE(SUBSTITUTE(SUBSTITUTE(SUBSTITUTE(SUBSTITUTE(SUBSTITUTE(SUBSTITUTE(LOWER(Z584&amp;""),CHAR(10)," "),CHAR(13)," "),CHAR(9)," "),CHAR(160)," "),"."," "),","," "),"-"," "),"/"," "),"("," "),")"," "),":"," "),";"," "),"_"," "),"–"," "),"?"," "),"!"," "),"*"," "),"["," "),"]"," "),"'"," "),"#"," "),"+"," "),"&amp;"," "),"\"," "))&amp;" "</f>
        <v>  </v>
      </c>
      <c r="BE584" s="61" t="str">
        <f aca="false">" "&amp;TRIM(SUBSTITUTE(SUBSTITUTE(SUBSTITUTE(SUBSTITUTE(SUBSTITUTE(SUBSTITUTE(SUBSTITUTE(SUBSTITUTE(SUBSTITUTE(SUBSTITUTE(SUBSTITUTE(SUBSTITUTE(SUBSTITUTE(SUBSTITUTE(SUBSTITUTE(SUBSTITUTE(SUBSTITUTE(SUBSTITUTE(SUBSTITUTE(SUBSTITUTE(SUBSTITUTE(SUBSTITUTE(SUBSTITUTE(SUBSTITUTE(LOWER(W584&amp;""),CHAR(10)," "),CHAR(13)," "),CHAR(9)," "),CHAR(160)," "),"."," "),","," "),"-"," "),"/"," "),"("," "),")"," "),":"," "),";"," "),"_"," "),"–"," "),"?"," "),"!"," "),"*"," "),"["," "),"]"," "),"'"," "),"#"," "),"+"," "),"&amp;"," "),"\"," "))&amp;" "</f>
        <v>  </v>
      </c>
      <c r="BF584" s="61" t="str">
        <f aca="false">" "&amp;TRIM(SUBSTITUTE(SUBSTITUTE(SUBSTITUTE(SUBSTITUTE(SUBSTITUTE(SUBSTITUTE(SUBSTITUTE(SUBSTITUTE(SUBSTITUTE(SUBSTITUTE(SUBSTITUTE(SUBSTITUTE(SUBSTITUTE(SUBSTITUTE(SUBSTITUTE(SUBSTITUTE(SUBSTITUTE(SUBSTITUTE(SUBSTITUTE(SUBSTITUTE(SUBSTITUTE(SUBSTITUTE(SUBSTITUTE(SUBSTITUTE(LOWER(AC584&amp;""),CHAR(10)," "),CHAR(13)," "),CHAR(9)," "),CHAR(160)," "),"."," "),","," "),"-"," "),"/"," "),"("," "),")"," "),":"," "),";"," "),"_"," "),"–"," "),"?"," "),"!"," "),"*"," "),"["," "),"]"," "),"'"," "),"#"," "),"+"," "),"&amp;"," "),"\"," "))&amp;" "</f>
        <v>  </v>
      </c>
      <c r="BG584" s="61" t="n">
        <f aca="false">IFERROR(IF(AND(TRIM(U584)="Pass",SUMPRODUCT((LEN(BC584)-LEN(SUBSTITUTE(BC584," "&amp;L_ResultBad&amp;" "," ")))/(LEN(L_ResultBad)+1))&gt;SUMPRODUCT((LEN(BC584)-LEN(SUBSTITUTE(BC584," "&amp;L_NegPhrase&amp;" "," ")))/(LEN(L_NegPhrase)+1))),1,0),0)</f>
        <v>0</v>
      </c>
      <c r="BH584" s="61" t="n">
        <f aca="false">IFERROR(IF(SUMPRODUCT((LEN(BC584)-LEN(SUBSTITUTE(BC584," "&amp;L_Pending&amp;" "," ")))/(LEN(L_Pending)+1))&gt;SUMPRODUCT((LEN(BC584)-LEN(SUBSTITUTE(BC584," "&amp;L_PendNeg&amp;" "," ")))/(LEN(L_PendNeg)+1))+SUMPRODUCT((LEN(BC584)-LEN(SUBSTITUTE(BC584," "&amp;L_PendPrep&amp;" "," ")))/(LEN(L_PendPrep)+1)),1,0),1)</f>
        <v>0</v>
      </c>
      <c r="BI584" s="61" t="n">
        <f aca="false">IFERROR(IF(SUMPRODUCT((LEN(BD584)-LEN(SUBSTITUTE(BD584," "&amp;L_PendStrict&amp;" "," ")))/(LEN(L_PendStrict)+1))&gt;SUMPRODUCT((LEN(BD584)-LEN(SUBSTITUTE(BD584," "&amp;L_PendNeg&amp;" "," ")))/(LEN(L_PendNeg)+1)),1,0),1)</f>
        <v>0</v>
      </c>
      <c r="BJ584" s="61" t="n">
        <f aca="false">IFERROR(IF(SUMPRODUCT((LEN(BE584)-LEN(SUBSTITUTE(BE584," "&amp;L_Pending&amp;" "," ")))/(LEN(L_Pending)+1))&gt;SUMPRODUCT((LEN(BE584)-LEN(SUBSTITUTE(BE584," "&amp;L_PendNeg&amp;" "," ")))/(LEN(L_PendNeg)+1))+SUMPRODUCT((LEN(BE584)-LEN(SUBSTITUTE(BE584," "&amp;L_PendPrep&amp;" "," ")))/(LEN(L_PendPrep)+1)),1,0),1)</f>
        <v>0</v>
      </c>
      <c r="BK584" s="61" t="n">
        <f aca="false">IFERROR(IF(SUMPRODUCT((LEN(BF584)-LEN(SUBSTITUTE(BF584," "&amp;L_PendStrict&amp;" "," ")))/(LEN(L_PendStrict)+1))&gt;SUMPRODUCT((LEN(BF584)-LEN(SUBSTITUTE(BF584," "&amp;L_PendNeg&amp;" "," ")))/(LEN(L_PendNeg)+1)),1,0),1)</f>
        <v>0</v>
      </c>
      <c r="BL584" s="61" t="n">
        <f aca="false">IF(ISNA(MATCH(TRIM(S584),L_EvidenceType,0)),0,BZ584)</f>
        <v>0</v>
      </c>
      <c r="BM584" s="61" t="str">
        <f aca="false">SUBSTITUTE(SUBSTITUTE(SUBSTITUTE(SUBSTITUTE(SUBSTITUTE(SUBSTITUTE(SUBSTITUTE(SUBSTITUTE(SUBSTITUTE(LOWER(Z584&amp;""),"1","0"),"2","0"),"3","0"),"4","0"),"5","0"),"6","0"),"7","0"),"8","0"),"9","0")</f>
        <v/>
      </c>
      <c r="BN584" s="61" t="str">
        <f aca="false">SUBSTITUTE(SUBSTITUTE(SUBSTITUTE(SUBSTITUTE(SUBSTITUTE(SUBSTITUTE(SUBSTITUTE(SUBSTITUTE(SUBSTITUTE(SUBSTITUTE(SUBSTITUTE(SUBSTITUTE(SUBSTITUTE(SUBSTITUTE(SUBSTITUTE(SUBSTITUTE(SUBSTITUTE(SUBSTITUTE(SUBSTITUTE(SUBSTITUTE(SUBSTITUTE(SUBSTITUTE(SUBSTITUTE(SUBSTITUTE(SUBSTITUTE(BM584,"b","a"),"c","a"),"d","a"),"e","a"),"f","a"),"g","a"),"h","a"),"i","a"),"j","a"),"k","a"),"l","a"),"m","a"),"n","a"),"o","a"),"p","a"),"q","a"),"r","a"),"s","a"),"t","a"),"u","a"),"v","a"),"w","a"),"x","a"),"y","a"),"z","a")</f>
        <v/>
      </c>
      <c r="BO584" s="61" t="str">
        <f aca="false">SUBSTITUTE(SUBSTITUTE(SUBSTITUTE(SUBSTITUTE(SUBSTITUTE(SUBSTITUTE(SUBSTITUTE(SUBSTITUTE(SUBSTITUTE(LOWER(W584&amp;""),"1","0"),"2","0"),"3","0"),"4","0"),"5","0"),"6","0"),"7","0"),"8","0"),"9","0")</f>
        <v/>
      </c>
      <c r="BP584" s="61" t="str">
        <f aca="false">SUBSTITUTE(SUBSTITUTE(SUBSTITUTE(SUBSTITUTE(SUBSTITUTE(SUBSTITUTE(SUBSTITUTE(SUBSTITUTE(SUBSTITUTE(SUBSTITUTE(SUBSTITUTE(SUBSTITUTE(SUBSTITUTE(SUBSTITUTE(SUBSTITUTE(SUBSTITUTE(SUBSTITUTE(SUBSTITUTE(SUBSTITUTE(SUBSTITUTE(SUBSTITUTE(SUBSTITUTE(SUBSTITUTE(SUBSTITUTE(SUBSTITUTE(BO584,"b","a"),"c","a"),"d","a"),"e","a"),"f","a"),"g","a"),"h","a"),"i","a"),"j","a"),"k","a"),"l","a"),"m","a"),"n","a"),"o","a"),"p","a"),"q","a"),"r","a"),"s","a"),"t","a"),"u","a"),"v","a"),"w","a"),"x","a"),"y","a"),"z","a")</f>
        <v/>
      </c>
      <c r="BQ584" s="61" t="n">
        <f aca="false">IFERROR(IF(AND(ISERROR(SEARCH(" mh"," "&amp;LOWER(W584))),ISNA(MATCH(LEFT(TRIM(BP584),255),{"0000a","000a","00a","0000aa","000aa","00aa","0aa","0000aaa","000aaa","00a00","0a00","0000-0000","00:00","a00","a0","00.00.0000","00/00/0000","00-00-0000","0000-00-00","0000/00/00","0000.00.00","00.00.00","00/00/00","00-00-00","0.00.0000","0/00/0000","0-00-0000"},0)),ISNA(MATCH(LEFT(TRIM(CA584),255),{"0000a","000a","00a","0000aa","000aa","00aa","0aa","0000aaa","000aaa","00a00","0a00","0000-0000","00:00","a00","a0","00.00.0000","00/00/0000","00-00-0000","0000-00-00","0000/00/00","0000.00.00","00.00.00","00/00/00","00-00-00","0.00.0000","0/00/0000","0-00-0000"},0)),LEN(CB584)&gt;=3,NOT(OR(SUBSTITUTE(CB584,"0","")="",AND(LEN(CB584)&gt;=4,CB584=REPT(LEFT(CB584),LEN(CB584))),ISNUMBER(MATCH(CB584,{"123","1234","12345","123456","1234567","12345678","0123","01234","012345","98765","987654","54321"},0)),AND(LEN(CB584)=8,LEFT(CB584,3)="202"))),OR(AND((LEN(CA584)-LEN(SUBSTITUTE(CA584,"a","")))&gt;=1,SUMPRODUCT(--ISNUMBER(SEARCH({"a0","a-0","a_0","a/0","a.0","a#0","0a","0-a","0_a","0/a"},BP584)))&gt;0),ISNUMBER(SEARCH("000000",BP584)))),1,0),0)</f>
        <v>0</v>
      </c>
      <c r="BR584" s="61" t="n">
        <f aca="false">IFERROR(LEN(SUBSTITUTE(CC584," ",""))-SUMPRODUCT((LEN(CC584)-LEN(SUBSTITUTE(CC584," "&amp;L_Role&amp;" "," ")))/(LEN(L_Role)+1)*LEN(L_Role)),0)</f>
        <v>0</v>
      </c>
      <c r="BS584" s="61" t="n">
        <f aca="false">IFERROR(LEN(SUBSTITUTE(CD584," ",""))-SUMPRODUCT((LEN(CD584)-LEN(SUBSTITUTE(CD584," "&amp;L_Role&amp;" "," ")))/(LEN(L_Role)+1)*LEN(L_Role)),0)</f>
        <v>0</v>
      </c>
      <c r="BT5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584,"revision",""),"version",""),"jan",""),"feb",""),"mar",""),"apr",""),"may",""),"jun",""),"jul",""),"aug",""),"sep",""),"oct",""),"nov",""),"dec",""),"utc",""),"gmt",""),"myt",""),"bst",""),"rev",""),"ver",""),"b","a"),"c","a"),"d","a"),"e","a"),"f","a"),"g","a"),"h","a"),"i","a"),"j","a"),"k","a"),"l","a"),"m","a"),"n","a"),"o","a"),"p","a"),"q","a"),"r","a"),"s","a"),"t","a"),"u","a"),"v","a"),"w","a"),"x","a"),"y","a"),"z","a")</f>
        <v/>
      </c>
      <c r="BU584" s="61" t="str">
        <f aca="false">SUBSTITUTE(SUBSTITUTE(SUBSTITUTE(SUBSTITUTE(SUBSTITUTE(SUBSTITUTE(SUBSTITUTE(SUBSTITUTE(SUBSTITUTE(SUBSTITUTE(LEFT(BM584,FIND("0",BM584&amp;"0")-1),"-",""),"_",""),"/",""),".",""),"#",""),"\\",""),":","")," ",""),"(",""),")","")</f>
        <v/>
      </c>
      <c r="BV584" s="61" t="n">
        <f aca="false">0</f>
        <v>0</v>
      </c>
      <c r="BW5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584&amp;""),"a",""),"b",""),"c",""),"d",""),"e",""),"f",""),"g",""),"h",""),"i",""),"j",""),"k",""),"l",""),"m",""),"n",""),"o",""),"p",""),"q",""),"r",""),"s",""),"t",""),"u",""),"v",""),"w",""),"x",""),"y",""),"z",""),"-",""),"_",""),"/",""),".",""),"#",""),"\\",""),":","")," ",""),"(",""),")","")</f>
        <v/>
      </c>
      <c r="BX584" s="61" t="str">
        <f aca="false">SUBSTITUTE(SUBSTITUTE(SUBSTITUTE(SUBSTITUTE(SUBSTITUTE(SUBSTITUTE(SUBSTITUTE(SUBSTITUTE(SUBSTITUTE(SUBSTITUTE(SUBSTITUTE(BM584,"0",""),"-",""),"_",""),"/",""),".",""),"#",""),"\\",""),":","")," ",""),"(",""),")","")</f>
        <v/>
      </c>
      <c r="BY584" s="62" t="n">
        <f aca="false">Q584-T12EarlyH/24</f>
        <v>46321.6006944444</v>
      </c>
      <c r="BZ584" s="61" t="n">
        <f aca="false">IFERROR(IF(IF(TRIM(S584)="Link / file path",AND(LEN(TRIM(Z584))&gt;=5,SUMPRODUCT(--ISNUMBER(SEARCH({"http","www.","\\",":\",".pdf",".jpg",".jpeg",".png",".heic",".xls",".doc",".msg",".eml",".ppt",".txt",".zip"},Z584)))&gt;0),AND(ISERROR(FIND(" ",TRIM(Z584))),NOT(OR(SUMPRODUCT(--ISNUMBER(FIND({",",";","&amp;","+"},Z584)))&gt;0,SUMPRODUCT(--ISNUMBER(SEARCH({"0/aa","0\\aa"},BN584)))&gt;0)),NOT(SUMPRODUCT(--ISNUMBER(SEARCH({"http","www.","\\",":\",".pdf",".jpg",".jpeg",".png",".heic",".xls",".doc",".msg",".eml",".ppt",".txt",".zip"},Z584)))&gt;0),NOT(LOWER(TRIM(Z584))=LOWER(Flights!$F$22)),ISNA(MATCH(BU584,{"mh","rev","revision","ver","version","v","r","a","b","seat","tray","row","gate","bay","stand","page","pg","item","line","no","cart","galley","flight","flt","table","box","bag","oven","etd","eta","std","sta","atd","ata","qty","pax","x","time","tel","ph","mob","day","wk","week","utc","gmt","myt","lt"},0)),NOT(OR(ISNUMBER(MATCH(LEFT(BN584,255),{"0000a","000a","00a","0000aa","000aa","00aa","0aa","0000aaa","000aaa","00a00","0a00","0000-0000","00:00","a00","a0","00.00.0000","00/00/0000","00-00-0000","0000-00-00","0000/00/00","0000.00.00","00.00.00","00/00/00","00-00-00","0.00.0000","0/00/0000","0-00-0000"},0)),ISNUMBER(MATCH(LEFT(BT584,255),{"0000a","000a","00a","0000aa","000aa","00aa","0aa","0000aaa","000aaa","00a00","0a00","0000-0000","00:00","a00","a0","00.00.0000","00/00/0000","00-00-0000","0000-00-00","0000/00/00","0000.00.00","00.00.00","00/00/00","00-00-00","0.00.0000","0/00/0000","0-00-0000"},0)))),NOT(OR(AND(BW584&lt;&gt;"",SUBSTITUTE(BW584,"0","")=""),AND(LEN(BW584)&gt;=4,BW584=REPT(LEFT(BW584),LEN(BW584))),ISNUMBER(MATCH(BW584,{"123","1234","12345","123456","1234567","12345678","0123","01234","012345","98765","987654","54321"},0)),ISNUMBER(MATCH(BX584,{"x","xx","xxx","xxxx","xxxxx","abc","abcd","nil","na","nan","test","tbc","tba","tbd","dummy","sample","example","eg","zz","zzz","none","null","xyz","qwe","asd","id","ref"},0)),AND(LEN(BW584)=8,BX584="",OR(LEFT(BW584,3)="202",ISNUMBER(MATCH(RIGHT(BW584,4),{"2025","2026","2027"},0)))))),OR(AND((LEN(BT584)-LEN(SUBSTITUTE(BT584,"a","")))&gt;=1,(LEN(BN584)-LEN(SUBSTITUTE(BN584,"0","")))&gt;=2,SUMPRODUCT(--ISNUMBER(SEARCH({"a0","a-0","a_0","a/0","a.0","a#0","0a","0-a","0_a","0/a"},BN584)))&gt;0),AND((LEN(BN584)-LEN(SUBSTITUTE(BN584,"a","")))=0,(LEN(BN584)-LEN(SUBSTITUTE(BN584,"0","")))&gt;=5)))),1,0),0)</f>
        <v>0</v>
      </c>
      <c r="CA5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584,"revision",""),"version",""),"jan",""),"feb",""),"mar",""),"apr",""),"may",""),"jun",""),"jul",""),"aug",""),"sep",""),"oct",""),"nov",""),"dec",""),"utc",""),"gmt",""),"myt",""),"bst",""),"rev",""),"ver",""),"b","a"),"c","a"),"d","a"),"e","a"),"f","a"),"g","a"),"h","a"),"i","a"),"j","a"),"k","a"),"l","a"),"m","a"),"n","a"),"o","a"),"p","a"),"q","a"),"r","a"),"s","a"),"t","a"),"u","a"),"v","a"),"w","a"),"x","a"),"y","a"),"z","a")</f>
        <v/>
      </c>
      <c r="CB5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584&amp;""),"a",""),"b",""),"c",""),"d",""),"e",""),"f",""),"g",""),"h",""),"i",""),"j",""),"k",""),"l",""),"m",""),"n",""),"o",""),"p",""),"q",""),"r",""),"s",""),"t",""),"u",""),"v",""),"w",""),"x",""),"y",""),"z",""),"-",""),"_",""),"/",""),".",""),"#",""),"\\",""),":","")," ",""),"(",""),")","")</f>
        <v/>
      </c>
      <c r="CC584" s="0" t="str">
        <f aca="false">" "&amp;TRIM(SUBSTITUTE(SUBSTITUTE(SUBSTITUTE(SUBSTITUTE(SUBSTITUTE(SUBSTITUTE(SUBSTITUTE(SUBSTITUTE(SUBSTITUTE(SUBSTITUTE(SUBSTITUTE(SUBSTITUTE(SUBSTITUTE(SUBSTITUTE(SUBSTITUTE(SUBSTITUTE(SUBSTITUTE(SUBSTITUTE(SUBSTITUTE(SUBSTITUTE(SUBSTITUTE(SUBSTITUTE(SUBSTITUTE(SUBSTITUTE(LOWER(T584&amp;""),CHAR(10)," "),CHAR(13)," "),CHAR(9)," "),CHAR(160)," "),"."," "),","," "),"-"," "),"/"," "),"("," "),")"," "),":"," "),";"," "),"_"," "),"–"," "),"?"," "),"!"," "),"*"," "),"["," "),"]"," "),"'"," "),"#"," "),"+"," "),"&amp;"," "),"\"," "))&amp;" "</f>
        <v>  </v>
      </c>
      <c r="CD584" s="0" t="str">
        <f aca="false">" "&amp;TRIM(SUBSTITUTE(SUBSTITUTE(SUBSTITUTE(SUBSTITUTE(SUBSTITUTE(SUBSTITUTE(SUBSTITUTE(SUBSTITUTE(SUBSTITUTE(SUBSTITUTE(SUBSTITUTE(SUBSTITUTE(SUBSTITUTE(SUBSTITUTE(SUBSTITUTE(SUBSTITUTE(SUBSTITUTE(SUBSTITUTE(SUBSTITUTE(SUBSTITUTE(SUBSTITUTE(SUBSTITUTE(SUBSTITUTE(SUBSTITUTE(LOWER(AE584&amp;""),CHAR(10)," "),CHAR(13)," "),CHAR(9)," "),CHAR(160)," "),"."," "),","," "),"-"," "),"/"," "),"("," "),")"," "),":"," "),";"," "),"_"," "),"–"," "),"?"," "),"!"," "),"*"," "),"["," "),"]"," "),"'"," "),"#"," "),"+"," "),"&amp;"," "),"\"," "))&amp;" "</f>
        <v>  </v>
      </c>
      <c r="CE584" s="68" t="n">
        <f aca="false">IFERROR(IF(AND(LEN(AU584)&gt;0,LEN(AU584)=LEN(AX584),OR(TRIM(MID(SUBSTITUTE(TRIM(CC584)," ",REPT(" ",60)),1,60))="",ISNUMBER(SEARCH(" "&amp;TRIM(MID(SUBSTITUTE(TRIM(CC584)," ",REPT(" ",60)),1,60))&amp;" ",CD584))),OR(TRIM(MID(SUBSTITUTE(TRIM(CC584)," ",REPT(" ",60)),61,60))="",ISNUMBER(SEARCH(" "&amp;TRIM(MID(SUBSTITUTE(TRIM(CC584)," ",REPT(" ",60)),61,60))&amp;" ",CD584))),OR(TRIM(MID(SUBSTITUTE(TRIM(CC584)," ",REPT(" ",60)),121,60))="",ISNUMBER(SEARCH(" "&amp;TRIM(MID(SUBSTITUTE(TRIM(CC584)," ",REPT(" ",60)),121,60))&amp;" ",CD584)))),1,0),0)</f>
        <v>0</v>
      </c>
      <c r="CG584" s="68" t="n">
        <f aca="false">IFERROR(LEN(SUBSTITUTE(BF584," ",""))-SUMPRODUCT((LEN(BF584)-LEN(SUBSTITUTE(BF584," "&amp;L_NAFiller&amp;" "," ")))/(LEN(L_NAFiller)+1)*LEN(L_NAFiller)),0)</f>
        <v>0</v>
      </c>
    </row>
    <row r="585" customFormat="false" ht="39.75" hidden="false" customHeight="true" outlineLevel="0" collapsed="false">
      <c r="A585" s="57" t="s">
        <v>1279</v>
      </c>
      <c r="B585" s="57" t="s">
        <v>293</v>
      </c>
      <c r="C585" s="57" t="str">
        <f aca="false">Flights!$F$22</f>
        <v>MH0052</v>
      </c>
      <c r="D585" s="58" t="n">
        <f aca="false">Flights!$D$22</f>
        <v>46322</v>
      </c>
      <c r="E585" s="57" t="str">
        <f aca="false">Flights!$G$22&amp;"-"&amp;Flights!$H$22</f>
        <v>KUL-KIX</v>
      </c>
      <c r="F585" s="57" t="str">
        <f aca="false">Flights!$K$22</f>
        <v>BC</v>
      </c>
      <c r="G585" s="57" t="s">
        <v>420</v>
      </c>
      <c r="H585" s="57" t="s">
        <v>378</v>
      </c>
      <c r="I585" s="57" t="s">
        <v>379</v>
      </c>
      <c r="J585" s="57" t="s">
        <v>425</v>
      </c>
      <c r="K585" s="67" t="s">
        <v>426</v>
      </c>
      <c r="L585" s="67" t="s">
        <v>422</v>
      </c>
      <c r="M585" s="67"/>
      <c r="N585" s="67" t="s">
        <v>383</v>
      </c>
      <c r="O585" s="67" t="s">
        <v>423</v>
      </c>
      <c r="P585" s="57" t="s">
        <v>187</v>
      </c>
      <c r="Q585" s="59" t="n">
        <f aca="false">ROUND((Flights!$AE$22)*1440,0)/1440</f>
        <v>46322.1006944444</v>
      </c>
      <c r="R585" s="59" t="n">
        <f aca="false">Q585+(IF(AND(INDEX(TZ_DSTS,MATCH(P585,TZ_STN,0))&lt;&gt;"",Q585&gt;=INDEX(TZ_DSTS,MATCH(P585,TZ_STN,0)),Q585&lt;INDEX(TZ_DSTE,MATCH(P585,TZ_STN,0))),INDEX(TZ_DST,MATCH(P585,TZ_STN,0)),INDEX(TZ_STD,MATCH(P585,TZ_STN,0))))/24</f>
        <v>46322.4340277778</v>
      </c>
      <c r="S585" s="60"/>
      <c r="T585" s="60"/>
      <c r="U585" s="60"/>
      <c r="V585" s="60"/>
      <c r="W585" s="61"/>
      <c r="X585" s="60"/>
      <c r="Y585" s="60"/>
      <c r="Z585" s="60"/>
      <c r="AA585" s="60"/>
      <c r="AB585" s="60"/>
      <c r="AC585" s="60"/>
      <c r="AD585" s="66"/>
      <c r="AE585" s="60"/>
      <c r="AF585" s="61" t="str">
        <f aca="false">IF(AND(ISNUMBER(X585),ISNUMBER(Y585)),Y585-X585,"")</f>
        <v/>
      </c>
      <c r="AG585" s="62" t="str">
        <f aca="false">IF(ISNUMBER(AD585),AD585-(IF(AND(INDEX(TZ_DSTS,MATCH(P585,TZ_STN,0))&lt;&gt;"",(AD585-INDEX(TZ_STD,MATCH(P585,TZ_STN,0))/24)&gt;=INDEX(TZ_DSTS,MATCH(P585,TZ_STN,0)),(AD585-INDEX(TZ_STD,MATCH(P585,TZ_STN,0))/24)&lt;INDEX(TZ_DSTE,MATCH(P585,TZ_STN,0))),INDEX(TZ_DST,MATCH(P585,TZ_STN,0)),INDEX(TZ_STD,MATCH(P585,TZ_STN,0))))/24,"")</f>
        <v/>
      </c>
      <c r="AH585" s="65" t="str">
        <f aca="false">IFERROR(IF(N585="N/A – rule",IF(OR(TRIM(U585)="",TRIM(U585)="N/A",TRIM(U585)="Not started"),"N/A – RULE","INVALID – this check does not apply to this aircraft: clear the status (or correct the fleet on Flights)"),IF(TRIM(U585)="N/A",IF(AT585=0,"INVALID – N/A not permitted for this check",IF(AND(TRIM(AB585)&lt;&gt;"",TRIM(AB585)&lt;&gt;"Closed"),"INVALID – corrective action still open",IF(AND(NOT(OR(LEN(AZ585)&lt;15,ISNUMBER(MATCH(AZ585,L_Placeholder,0)))),BK585=0,CG585&gt;=8,NOT(OR(LEN(AU585)&lt;2,ISNUMBER(MATCH(AU585,L_Placeholder,0)))),BR585&gt;=3,NOT(OR(LEN(AX585)&lt;2,ISNUMBER(MATCH(AX585,L_Placeholder,0)))),BS585&gt;=3,TRIM(AE585)&lt;&gt;TRIM(T585),AX585&lt;&gt;AU585,CE585=0),"N/A – JUSTIFIED","INVALID – N/A needs a real, settled reason (not 'not applicable' / 'as above' / TBC), a named PIC and a different named verifier"))),IF(OR(TRIM(U585)="Pass",TRIM(U585)="Pass after CA"),IF(NOT(ISNUMBER(AD585)),"INVALID – completion time missing",IF(OR(OR(LEN(AU585)&lt;2,ISNUMBER(MATCH(AU585,L_Placeholder,0))),BR585&lt;3),"INVALID – PIC missing or not a named person (a role such as QA / CSM is not a name)",IF(OR(LEN(AV585)&lt;2,ISNUMBER(MATCH(AV585,L_Placeholder,0))),"INVALID – result / assessment missing",IF(OR(OR(LEN(AW585)&lt;3,ISNUMBER(MATCH(AW585,L_Placeholder,0))),SUMPRODUCT(--ISNUMBER(SEARCH(" "&amp;L_EvidencePhrase&amp;" ",BD585)))&gt;0,BI585=1),"INVALID – evidence missing, placeholder or not yet on file",IF(ISNA(MATCH(TRIM(S585),L_EvidenceType,0)),"INVALID – choose the evidence type from the list (column S)",IF(BL585=0,"INVALID – evidence ID must be the record's own ID only (e.g. SF-2210, IMG_2231, 1045521); a link / file name needs type 'Link / file path'",IF(OR(OR(LEN(AX585)&lt;2,ISNUMBER(MATCH(AX585,L_Placeholder,0))),BS585&lt;3),"INVALID – verifier missing or not a named person (a role such as QA / CSM is not a name)",IF(OR(AX585=AU585,CE585=1,AND(LEN(AU585)&gt;=4,ISNUMBER(SEARCH(AU585,AX585))),AND(LEN(AX585)&gt;=4,ISNUMBER(SEARCH(AX585,AU585)))),"INVALID – verifier must be a different, named person (not the PIC or a role)",IF(BH585=1,"INVALID – result not yet available (awaiting / TBC)",IF(BG585=1,"INVALID – result describes a problem: record Fail, then Pass after CA (or reword if it is not a problem)",IF(BV585=1,"INVALID – wording says not on board: an on-board confirmation needs the item loaded",IF(AND(AQ585=1,OR(OR(LEN(AY585)&lt;3,ISNUMBER(MATCH(AY585,L_Placeholder,0))),BJ585=1,BQ585=0)),"INVALID – batch ID missing, placeholder or not an ID (e.g. PASB-261008-BC-017)",IF(AND(AR585=1,OR(NOT(ISNUMBER(X585)),NOT(ISNUMBER(Y585)))),"INVALID – expected/actual qty missing",IF(AND(AR585=1,OR(X585&lt;=0,Y585&lt;0)),"INVALID – expected qty must be above 0 and actual not negative",IF(BB585&lt;&gt;"",BB585,IF(AND(AS585=1,Documents!$J$22&lt;&gt;"ON FILE"),"INVALID – GLD not on file (Documents sheet)",IF(AND(AS585=2,Documents!$O$22&lt;&gt;"ON FILE"),"INVALID – menu checklist not on file (Documents sheet)",IF(AND(AS585=3,NOT(ISNUMBER(Flights!$AX$22))),"INVALID – enter carrying flight KUL departure (Flights AX)",IF(AND(AS585=3,OR(Flights!$AZ$22&gt;Flights!$AA$22,Flights!$AX$22&lt;Flights!$AA$22-3)),"INVALID – carrying flight (Flights AX) cannot arrive before this leg's STD, or is over 3 days early",IF(AG585&gt;AsOfUTC,"INVALID – completion time is in the future",IF(AND(ISNUMBER(BY585),AG585&lt;BY585),IF(H585="Physical uplift","INVALID – before uplift window (cannot confirm loading)","INVALID – before valid window"),IF(AG585&gt;Flights!$AA$22,"INVALID – completed after departure (cannot establish readiness)",IF(AND(H585="Preparation",AG585&gt;=IF(ISNUMBER(Flights!$BA$22),MIN(Flights!$BA$22,Flights!$AA$22),Flights!$AA$22)),"INVALID – completed after loading / departure (cannot establish readiness)",IF(AND(H585="Physical uplift",AG585&gt;Q585),"INVALID – recorded after the loading flight departed",IF(AG585&gt;Q585,"COMPLETE – LATE","COMPLETE"))))))))))))))))))))))))),IF(TRIM(U585)="Fail","FAIL – DISCREPANCY",IF(AND(TRIM(U585)&lt;&gt;"",TRIM(U585)&lt;&gt;"Not started",TRIM(U585)&lt;&gt;"In progress"),"INVALID – unrecognised status (use the list)",IF(AsOfUTC&gt;Q585,"OVERDUE",IF(N585="Clarification required","OPEN – CLARIFICATION","OPEN"))))))),"INVALID – error value in an input cell")</f>
        <v>OPEN</v>
      </c>
      <c r="AI585" s="61" t="n">
        <f aca="false">IF(OR(AH585="N/A – RULE",AH585="N/A – JUSTIFIED"),0,1)</f>
        <v>1</v>
      </c>
      <c r="AJ585" s="61" t="n">
        <f aca="false">IF(LEFT(AH585,8)="COMPLETE",1,0)</f>
        <v>0</v>
      </c>
      <c r="AK585" s="61" t="n">
        <f aca="false">IF(AND(AI585=1,AJ585=0,AsOfUTC&gt;Q585),1,0)</f>
        <v>0</v>
      </c>
      <c r="AL585" s="61" t="n">
        <f aca="false">IFERROR(IF(AND(AI585=1,OR(TRIM(U585)="Fail",AND(TRIM(AB585)&lt;&gt;"",TRIM(AB585)&lt;&gt;"Closed"),AND(ISNUMBER(AF585),AF585&lt;&gt;0,TRIM(U585)&lt;&gt;"Pass after CA"))),1,0),1)</f>
        <v>0</v>
      </c>
      <c r="AM585" s="61" t="n">
        <f aca="false">IF(LEFT(AH585,7)="INVALID",1,0)</f>
        <v>0</v>
      </c>
      <c r="AN585" s="61" t="n">
        <f aca="false">IF(AND(N585="Clarification required",AI585=1,AJ585=0),1,0)</f>
        <v>0</v>
      </c>
      <c r="AO585" s="61" t="str">
        <f aca="false">IF(AK585=1,SUM(AK$5:AK585),"")</f>
        <v/>
      </c>
      <c r="AP585" s="61" t="str">
        <f aca="false">IF(AL585=1,SUM(AL$5:AL585),"")</f>
        <v/>
      </c>
      <c r="AQ585" s="61" t="n">
        <v>0</v>
      </c>
      <c r="AR585" s="61" t="n">
        <v>1</v>
      </c>
      <c r="AS585" s="61" t="n">
        <v>0</v>
      </c>
      <c r="AT585" s="61" t="n">
        <v>0</v>
      </c>
      <c r="AU585" s="61" t="str">
        <f aca="false">SUBSTITUTE(SUBSTITUTE(SUBSTITUTE(SUBSTITUTE(SUBSTITUTE(SUBSTITUTE(SUBSTITUTE(SUBSTITUTE(SUBSTITUTE(SUBSTITUTE(SUBSTITUTE(SUBSTITUTE(SUBSTITUTE(SUBSTITUTE(SUBSTITUTE(SUBSTITUTE(LOWER(T585&amp;""),CHAR(10),""),CHAR(13),""),CHAR(9),""),CHAR(160),"")," ",""),".",""),"-",""),"/",""),"?",""),"_",""),",",""),"[",""),"]",""),"(",""),")",""),"*","")</f>
        <v/>
      </c>
      <c r="AV585" s="61" t="str">
        <f aca="false">SUBSTITUTE(SUBSTITUTE(SUBSTITUTE(SUBSTITUTE(SUBSTITUTE(SUBSTITUTE(SUBSTITUTE(SUBSTITUTE(SUBSTITUTE(SUBSTITUTE(SUBSTITUTE(SUBSTITUTE(SUBSTITUTE(SUBSTITUTE(SUBSTITUTE(SUBSTITUTE(LOWER(V585&amp;""),CHAR(10),""),CHAR(13),""),CHAR(9),""),CHAR(160),"")," ",""),".",""),"-",""),"/",""),"?",""),"_",""),",",""),"[",""),"]",""),"(",""),")",""),"*","")</f>
        <v/>
      </c>
      <c r="AW585" s="61" t="str">
        <f aca="false">SUBSTITUTE(SUBSTITUTE(SUBSTITUTE(SUBSTITUTE(SUBSTITUTE(SUBSTITUTE(SUBSTITUTE(SUBSTITUTE(SUBSTITUTE(SUBSTITUTE(SUBSTITUTE(SUBSTITUTE(SUBSTITUTE(SUBSTITUTE(SUBSTITUTE(SUBSTITUTE(LOWER(Z585&amp;""),CHAR(10),""),CHAR(13),""),CHAR(9),""),CHAR(160),"")," ",""),".",""),"-",""),"/",""),"?",""),"_",""),",",""),"[",""),"]",""),"(",""),")",""),"*","")</f>
        <v/>
      </c>
      <c r="AX585" s="61" t="str">
        <f aca="false">SUBSTITUTE(SUBSTITUTE(SUBSTITUTE(SUBSTITUTE(SUBSTITUTE(SUBSTITUTE(SUBSTITUTE(SUBSTITUTE(SUBSTITUTE(SUBSTITUTE(SUBSTITUTE(SUBSTITUTE(SUBSTITUTE(SUBSTITUTE(SUBSTITUTE(SUBSTITUTE(LOWER(AE585&amp;""),CHAR(10),""),CHAR(13),""),CHAR(9),""),CHAR(160),"")," ",""),".",""),"-",""),"/",""),"?",""),"_",""),",",""),"[",""),"]",""),"(",""),")",""),"*","")</f>
        <v/>
      </c>
      <c r="AY585" s="61" t="str">
        <f aca="false">SUBSTITUTE(SUBSTITUTE(SUBSTITUTE(SUBSTITUTE(SUBSTITUTE(SUBSTITUTE(SUBSTITUTE(SUBSTITUTE(SUBSTITUTE(SUBSTITUTE(SUBSTITUTE(SUBSTITUTE(SUBSTITUTE(SUBSTITUTE(SUBSTITUTE(SUBSTITUTE(LOWER(W585&amp;""),CHAR(10),""),CHAR(13),""),CHAR(9),""),CHAR(160),"")," ",""),".",""),"-",""),"/",""),"?",""),"_",""),",",""),"[",""),"]",""),"(",""),")",""),"*","")</f>
        <v/>
      </c>
      <c r="AZ585" s="61" t="str">
        <f aca="false">SUBSTITUTE(SUBSTITUTE(SUBSTITUTE(SUBSTITUTE(SUBSTITUTE(SUBSTITUTE(SUBSTITUTE(SUBSTITUTE(SUBSTITUTE(SUBSTITUTE(SUBSTITUTE(SUBSTITUTE(SUBSTITUTE(SUBSTITUTE(SUBSTITUTE(SUBSTITUTE(LOWER(AC585&amp;""),CHAR(10),""),CHAR(13),""),CHAR(9),""),CHAR(160),"")," ",""),".",""),"-",""),"/",""),"?",""),"_",""),",",""),"[",""),"]",""),"(",""),")",""),"*","")</f>
        <v/>
      </c>
      <c r="BA585" s="61" t="str">
        <f aca="false">SUBSTITUTE(SUBSTITUTE(SUBSTITUTE(SUBSTITUTE(SUBSTITUTE(SUBSTITUTE(SUBSTITUTE(SUBSTITUTE(SUBSTITUTE(SUBSTITUTE(SUBSTITUTE(SUBSTITUTE(SUBSTITUTE(SUBSTITUTE(SUBSTITUTE(SUBSTITUTE(LOWER(AA585&amp;""),CHAR(10),""),CHAR(13),""),CHAR(9),""),CHAR(160),"")," ",""),".",""),"-",""),"/",""),"?",""),"_",""),",",""),"[",""),"]",""),"(",""),")",""),"*","")</f>
        <v/>
      </c>
      <c r="BB585" s="61" t="str">
        <f aca="false">IF(AND(TRIM(U585)="Pass",ISNUMBER(AF585)),IF(AF585&lt;&gt;0,"INVALID – qty variance: use Fail or Pass after CA",""),"")&amp;IF(AND(TRIM(U585)="Pass after CA",ISNUMBER(AF585)),IF(AF585&lt;&gt;0,"INVALID – after the corrective action the actual qty must equal expected (update Actual)",""),"")&amp;IF(AND(TRIM(U585)="Pass",TRIM(AB585)&lt;&gt;"",TRIM(AB585)&lt;&gt;"Closed"),"INVALID – corrective action not closed: use Fail, then Pass after CA","")&amp;IF(AND(LEN(BA585)&gt;=2,ISNA(MATCH(LEFT(BA585,255),L_Placeholder,0)),TRIM(AB585)=""),"INVALID – CA status missing for the recorded corrective action","")&amp;IF(AND(TRIM(U585)="Pass after CA",OR(OR(LEN(BA585)&lt;5,ISNUMBER(MATCH(BA585,L_Placeholder,0))),TRIM(AB585)&lt;&gt;"Closed")),"INVALID – corrective action not recorded/closed","")</f>
        <v/>
      </c>
      <c r="BC585" s="61" t="str">
        <f aca="false">" "&amp;TRIM(SUBSTITUTE(SUBSTITUTE(SUBSTITUTE(SUBSTITUTE(SUBSTITUTE(SUBSTITUTE(SUBSTITUTE(SUBSTITUTE(SUBSTITUTE(SUBSTITUTE(SUBSTITUTE(SUBSTITUTE(SUBSTITUTE(SUBSTITUTE(SUBSTITUTE(SUBSTITUTE(SUBSTITUTE(SUBSTITUTE(SUBSTITUTE(SUBSTITUTE(SUBSTITUTE(SUBSTITUTE(SUBSTITUTE(SUBSTITUTE(LOWER(V585&amp;""),CHAR(10)," "),CHAR(13)," "),CHAR(9)," "),CHAR(160)," "),"."," "),","," "),"-"," "),"/"," "),"("," "),")"," "),":"," "),";"," "),"_"," "),"–"," "),"?"," "),"!"," "),"*"," "),"["," "),"]"," "),"'"," "),"#"," "),"+"," "),"&amp;"," "),"\"," "))&amp;" "</f>
        <v>  </v>
      </c>
      <c r="BD585" s="61" t="str">
        <f aca="false">" "&amp;TRIM(SUBSTITUTE(SUBSTITUTE(SUBSTITUTE(SUBSTITUTE(SUBSTITUTE(SUBSTITUTE(SUBSTITUTE(SUBSTITUTE(SUBSTITUTE(SUBSTITUTE(SUBSTITUTE(SUBSTITUTE(SUBSTITUTE(SUBSTITUTE(SUBSTITUTE(SUBSTITUTE(SUBSTITUTE(SUBSTITUTE(SUBSTITUTE(SUBSTITUTE(SUBSTITUTE(SUBSTITUTE(SUBSTITUTE(SUBSTITUTE(LOWER(Z585&amp;""),CHAR(10)," "),CHAR(13)," "),CHAR(9)," "),CHAR(160)," "),"."," "),","," "),"-"," "),"/"," "),"("," "),")"," "),":"," "),";"," "),"_"," "),"–"," "),"?"," "),"!"," "),"*"," "),"["," "),"]"," "),"'"," "),"#"," "),"+"," "),"&amp;"," "),"\"," "))&amp;" "</f>
        <v>  </v>
      </c>
      <c r="BE585" s="61" t="str">
        <f aca="false">" "&amp;TRIM(SUBSTITUTE(SUBSTITUTE(SUBSTITUTE(SUBSTITUTE(SUBSTITUTE(SUBSTITUTE(SUBSTITUTE(SUBSTITUTE(SUBSTITUTE(SUBSTITUTE(SUBSTITUTE(SUBSTITUTE(SUBSTITUTE(SUBSTITUTE(SUBSTITUTE(SUBSTITUTE(SUBSTITUTE(SUBSTITUTE(SUBSTITUTE(SUBSTITUTE(SUBSTITUTE(SUBSTITUTE(SUBSTITUTE(SUBSTITUTE(LOWER(W585&amp;""),CHAR(10)," "),CHAR(13)," "),CHAR(9)," "),CHAR(160)," "),"."," "),","," "),"-"," "),"/"," "),"("," "),")"," "),":"," "),";"," "),"_"," "),"–"," "),"?"," "),"!"," "),"*"," "),"["," "),"]"," "),"'"," "),"#"," "),"+"," "),"&amp;"," "),"\"," "))&amp;" "</f>
        <v>  </v>
      </c>
      <c r="BF585" s="61" t="str">
        <f aca="false">" "&amp;TRIM(SUBSTITUTE(SUBSTITUTE(SUBSTITUTE(SUBSTITUTE(SUBSTITUTE(SUBSTITUTE(SUBSTITUTE(SUBSTITUTE(SUBSTITUTE(SUBSTITUTE(SUBSTITUTE(SUBSTITUTE(SUBSTITUTE(SUBSTITUTE(SUBSTITUTE(SUBSTITUTE(SUBSTITUTE(SUBSTITUTE(SUBSTITUTE(SUBSTITUTE(SUBSTITUTE(SUBSTITUTE(SUBSTITUTE(SUBSTITUTE(LOWER(AC585&amp;""),CHAR(10)," "),CHAR(13)," "),CHAR(9)," "),CHAR(160)," "),"."," "),","," "),"-"," "),"/"," "),"("," "),")"," "),":"," "),";"," "),"_"," "),"–"," "),"?"," "),"!"," "),"*"," "),"["," "),"]"," "),"'"," "),"#"," "),"+"," "),"&amp;"," "),"\"," "))&amp;" "</f>
        <v>  </v>
      </c>
      <c r="BG585" s="61" t="n">
        <f aca="false">IFERROR(IF(AND(TRIM(U585)="Pass",SUMPRODUCT((LEN(BC585)-LEN(SUBSTITUTE(BC585," "&amp;L_ResultBad&amp;" "," ")))/(LEN(L_ResultBad)+1))&gt;SUMPRODUCT((LEN(BC585)-LEN(SUBSTITUTE(BC585," "&amp;L_NegPhrase&amp;" "," ")))/(LEN(L_NegPhrase)+1))),1,0),0)</f>
        <v>0</v>
      </c>
      <c r="BH585" s="61" t="n">
        <f aca="false">IFERROR(IF(SUMPRODUCT((LEN(BC585)-LEN(SUBSTITUTE(BC585," "&amp;L_Pending&amp;" "," ")))/(LEN(L_Pending)+1))&gt;SUMPRODUCT((LEN(BC585)-LEN(SUBSTITUTE(BC585," "&amp;L_PendNeg&amp;" "," ")))/(LEN(L_PendNeg)+1))+SUMPRODUCT((LEN(BC585)-LEN(SUBSTITUTE(BC585," "&amp;L_PendPrep&amp;" "," ")))/(LEN(L_PendPrep)+1)),1,0),1)</f>
        <v>0</v>
      </c>
      <c r="BI585" s="61" t="n">
        <f aca="false">IFERROR(IF(SUMPRODUCT((LEN(BD585)-LEN(SUBSTITUTE(BD585," "&amp;L_PendStrict&amp;" "," ")))/(LEN(L_PendStrict)+1))&gt;SUMPRODUCT((LEN(BD585)-LEN(SUBSTITUTE(BD585," "&amp;L_PendNeg&amp;" "," ")))/(LEN(L_PendNeg)+1)),1,0),1)</f>
        <v>0</v>
      </c>
      <c r="BJ585" s="61" t="n">
        <f aca="false">IFERROR(IF(SUMPRODUCT((LEN(BE585)-LEN(SUBSTITUTE(BE585," "&amp;L_Pending&amp;" "," ")))/(LEN(L_Pending)+1))&gt;SUMPRODUCT((LEN(BE585)-LEN(SUBSTITUTE(BE585," "&amp;L_PendNeg&amp;" "," ")))/(LEN(L_PendNeg)+1))+SUMPRODUCT((LEN(BE585)-LEN(SUBSTITUTE(BE585," "&amp;L_PendPrep&amp;" "," ")))/(LEN(L_PendPrep)+1)),1,0),1)</f>
        <v>0</v>
      </c>
      <c r="BK585" s="61" t="n">
        <f aca="false">IFERROR(IF(SUMPRODUCT((LEN(BF585)-LEN(SUBSTITUTE(BF585," "&amp;L_PendStrict&amp;" "," ")))/(LEN(L_PendStrict)+1))&gt;SUMPRODUCT((LEN(BF585)-LEN(SUBSTITUTE(BF585," "&amp;L_PendNeg&amp;" "," ")))/(LEN(L_PendNeg)+1)),1,0),1)</f>
        <v>0</v>
      </c>
      <c r="BL585" s="61" t="n">
        <f aca="false">IF(ISNA(MATCH(TRIM(S585),L_EvidenceType,0)),0,BZ585)</f>
        <v>0</v>
      </c>
      <c r="BM585" s="61" t="str">
        <f aca="false">SUBSTITUTE(SUBSTITUTE(SUBSTITUTE(SUBSTITUTE(SUBSTITUTE(SUBSTITUTE(SUBSTITUTE(SUBSTITUTE(SUBSTITUTE(LOWER(Z585&amp;""),"1","0"),"2","0"),"3","0"),"4","0"),"5","0"),"6","0"),"7","0"),"8","0"),"9","0")</f>
        <v/>
      </c>
      <c r="BN585" s="61" t="str">
        <f aca="false">SUBSTITUTE(SUBSTITUTE(SUBSTITUTE(SUBSTITUTE(SUBSTITUTE(SUBSTITUTE(SUBSTITUTE(SUBSTITUTE(SUBSTITUTE(SUBSTITUTE(SUBSTITUTE(SUBSTITUTE(SUBSTITUTE(SUBSTITUTE(SUBSTITUTE(SUBSTITUTE(SUBSTITUTE(SUBSTITUTE(SUBSTITUTE(SUBSTITUTE(SUBSTITUTE(SUBSTITUTE(SUBSTITUTE(SUBSTITUTE(SUBSTITUTE(BM585,"b","a"),"c","a"),"d","a"),"e","a"),"f","a"),"g","a"),"h","a"),"i","a"),"j","a"),"k","a"),"l","a"),"m","a"),"n","a"),"o","a"),"p","a"),"q","a"),"r","a"),"s","a"),"t","a"),"u","a"),"v","a"),"w","a"),"x","a"),"y","a"),"z","a")</f>
        <v/>
      </c>
      <c r="BO585" s="61" t="str">
        <f aca="false">SUBSTITUTE(SUBSTITUTE(SUBSTITUTE(SUBSTITUTE(SUBSTITUTE(SUBSTITUTE(SUBSTITUTE(SUBSTITUTE(SUBSTITUTE(LOWER(W585&amp;""),"1","0"),"2","0"),"3","0"),"4","0"),"5","0"),"6","0"),"7","0"),"8","0"),"9","0")</f>
        <v/>
      </c>
      <c r="BP585" s="61" t="str">
        <f aca="false">SUBSTITUTE(SUBSTITUTE(SUBSTITUTE(SUBSTITUTE(SUBSTITUTE(SUBSTITUTE(SUBSTITUTE(SUBSTITUTE(SUBSTITUTE(SUBSTITUTE(SUBSTITUTE(SUBSTITUTE(SUBSTITUTE(SUBSTITUTE(SUBSTITUTE(SUBSTITUTE(SUBSTITUTE(SUBSTITUTE(SUBSTITUTE(SUBSTITUTE(SUBSTITUTE(SUBSTITUTE(SUBSTITUTE(SUBSTITUTE(SUBSTITUTE(BO585,"b","a"),"c","a"),"d","a"),"e","a"),"f","a"),"g","a"),"h","a"),"i","a"),"j","a"),"k","a"),"l","a"),"m","a"),"n","a"),"o","a"),"p","a"),"q","a"),"r","a"),"s","a"),"t","a"),"u","a"),"v","a"),"w","a"),"x","a"),"y","a"),"z","a")</f>
        <v/>
      </c>
      <c r="BQ585" s="61" t="n">
        <f aca="false">IFERROR(IF(AND(ISERROR(SEARCH(" mh"," "&amp;LOWER(W585))),ISNA(MATCH(LEFT(TRIM(BP585),255),{"0000a","000a","00a","0000aa","000aa","00aa","0aa","0000aaa","000aaa","00a00","0a00","0000-0000","00:00","a00","a0","00.00.0000","00/00/0000","00-00-0000","0000-00-00","0000/00/00","0000.00.00","00.00.00","00/00/00","00-00-00","0.00.0000","0/00/0000","0-00-0000"},0)),ISNA(MATCH(LEFT(TRIM(CA585),255),{"0000a","000a","00a","0000aa","000aa","00aa","0aa","0000aaa","000aaa","00a00","0a00","0000-0000","00:00","a00","a0","00.00.0000","00/00/0000","00-00-0000","0000-00-00","0000/00/00","0000.00.00","00.00.00","00/00/00","00-00-00","0.00.0000","0/00/0000","0-00-0000"},0)),LEN(CB585)&gt;=3,NOT(OR(SUBSTITUTE(CB585,"0","")="",AND(LEN(CB585)&gt;=4,CB585=REPT(LEFT(CB585),LEN(CB585))),ISNUMBER(MATCH(CB585,{"123","1234","12345","123456","1234567","12345678","0123","01234","012345","98765","987654","54321"},0)),AND(LEN(CB585)=8,LEFT(CB585,3)="202"))),OR(AND((LEN(CA585)-LEN(SUBSTITUTE(CA585,"a","")))&gt;=1,SUMPRODUCT(--ISNUMBER(SEARCH({"a0","a-0","a_0","a/0","a.0","a#0","0a","0-a","0_a","0/a"},BP585)))&gt;0),ISNUMBER(SEARCH("000000",BP585)))),1,0),0)</f>
        <v>0</v>
      </c>
      <c r="BR585" s="61" t="n">
        <f aca="false">IFERROR(LEN(SUBSTITUTE(CC585," ",""))-SUMPRODUCT((LEN(CC585)-LEN(SUBSTITUTE(CC585," "&amp;L_Role&amp;" "," ")))/(LEN(L_Role)+1)*LEN(L_Role)),0)</f>
        <v>0</v>
      </c>
      <c r="BS585" s="61" t="n">
        <f aca="false">IFERROR(LEN(SUBSTITUTE(CD585," ",""))-SUMPRODUCT((LEN(CD585)-LEN(SUBSTITUTE(CD585," "&amp;L_Role&amp;" "," ")))/(LEN(L_Role)+1)*LEN(L_Role)),0)</f>
        <v>0</v>
      </c>
      <c r="BT5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585,"revision",""),"version",""),"jan",""),"feb",""),"mar",""),"apr",""),"may",""),"jun",""),"jul",""),"aug",""),"sep",""),"oct",""),"nov",""),"dec",""),"utc",""),"gmt",""),"myt",""),"bst",""),"rev",""),"ver",""),"b","a"),"c","a"),"d","a"),"e","a"),"f","a"),"g","a"),"h","a"),"i","a"),"j","a"),"k","a"),"l","a"),"m","a"),"n","a"),"o","a"),"p","a"),"q","a"),"r","a"),"s","a"),"t","a"),"u","a"),"v","a"),"w","a"),"x","a"),"y","a"),"z","a")</f>
        <v/>
      </c>
      <c r="BU585" s="61" t="str">
        <f aca="false">SUBSTITUTE(SUBSTITUTE(SUBSTITUTE(SUBSTITUTE(SUBSTITUTE(SUBSTITUTE(SUBSTITUTE(SUBSTITUTE(SUBSTITUTE(SUBSTITUTE(LEFT(BM585,FIND("0",BM585&amp;"0")-1),"-",""),"_",""),"/",""),".",""),"#",""),"\\",""),":","")," ",""),"(",""),")","")</f>
        <v/>
      </c>
      <c r="BV585" s="61" t="n">
        <f aca="false">0</f>
        <v>0</v>
      </c>
      <c r="BW5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585&amp;""),"a",""),"b",""),"c",""),"d",""),"e",""),"f",""),"g",""),"h",""),"i",""),"j",""),"k",""),"l",""),"m",""),"n",""),"o",""),"p",""),"q",""),"r",""),"s",""),"t",""),"u",""),"v",""),"w",""),"x",""),"y",""),"z",""),"-",""),"_",""),"/",""),".",""),"#",""),"\\",""),":","")," ",""),"(",""),")","")</f>
        <v/>
      </c>
      <c r="BX585" s="61" t="str">
        <f aca="false">SUBSTITUTE(SUBSTITUTE(SUBSTITUTE(SUBSTITUTE(SUBSTITUTE(SUBSTITUTE(SUBSTITUTE(SUBSTITUTE(SUBSTITUTE(SUBSTITUTE(SUBSTITUTE(BM585,"0",""),"-",""),"_",""),"/",""),".",""),"#",""),"\\",""),":","")," ",""),"(",""),")","")</f>
        <v/>
      </c>
      <c r="BY585" s="62" t="n">
        <f aca="false">Q585-T12EarlyH/24</f>
        <v>46321.6006944444</v>
      </c>
      <c r="BZ585" s="61" t="n">
        <f aca="false">IFERROR(IF(IF(TRIM(S585)="Link / file path",AND(LEN(TRIM(Z585))&gt;=5,SUMPRODUCT(--ISNUMBER(SEARCH({"http","www.","\\",":\",".pdf",".jpg",".jpeg",".png",".heic",".xls",".doc",".msg",".eml",".ppt",".txt",".zip"},Z585)))&gt;0),AND(ISERROR(FIND(" ",TRIM(Z585))),NOT(OR(SUMPRODUCT(--ISNUMBER(FIND({",",";","&amp;","+"},Z585)))&gt;0,SUMPRODUCT(--ISNUMBER(SEARCH({"0/aa","0\\aa"},BN585)))&gt;0)),NOT(SUMPRODUCT(--ISNUMBER(SEARCH({"http","www.","\\",":\",".pdf",".jpg",".jpeg",".png",".heic",".xls",".doc",".msg",".eml",".ppt",".txt",".zip"},Z585)))&gt;0),NOT(LOWER(TRIM(Z585))=LOWER(Flights!$F$22)),ISNA(MATCH(BU585,{"mh","rev","revision","ver","version","v","r","a","b","seat","tray","row","gate","bay","stand","page","pg","item","line","no","cart","galley","flight","flt","table","box","bag","oven","etd","eta","std","sta","atd","ata","qty","pax","x","time","tel","ph","mob","day","wk","week","utc","gmt","myt","lt"},0)),NOT(OR(ISNUMBER(MATCH(LEFT(BN585,255),{"0000a","000a","00a","0000aa","000aa","00aa","0aa","0000aaa","000aaa","00a00","0a00","0000-0000","00:00","a00","a0","00.00.0000","00/00/0000","00-00-0000","0000-00-00","0000/00/00","0000.00.00","00.00.00","00/00/00","00-00-00","0.00.0000","0/00/0000","0-00-0000"},0)),ISNUMBER(MATCH(LEFT(BT585,255),{"0000a","000a","00a","0000aa","000aa","00aa","0aa","0000aaa","000aaa","00a00","0a00","0000-0000","00:00","a00","a0","00.00.0000","00/00/0000","00-00-0000","0000-00-00","0000/00/00","0000.00.00","00.00.00","00/00/00","00-00-00","0.00.0000","0/00/0000","0-00-0000"},0)))),NOT(OR(AND(BW585&lt;&gt;"",SUBSTITUTE(BW585,"0","")=""),AND(LEN(BW585)&gt;=4,BW585=REPT(LEFT(BW585),LEN(BW585))),ISNUMBER(MATCH(BW585,{"123","1234","12345","123456","1234567","12345678","0123","01234","012345","98765","987654","54321"},0)),ISNUMBER(MATCH(BX585,{"x","xx","xxx","xxxx","xxxxx","abc","abcd","nil","na","nan","test","tbc","tba","tbd","dummy","sample","example","eg","zz","zzz","none","null","xyz","qwe","asd","id","ref"},0)),AND(LEN(BW585)=8,BX585="",OR(LEFT(BW585,3)="202",ISNUMBER(MATCH(RIGHT(BW585,4),{"2025","2026","2027"},0)))))),OR(AND((LEN(BT585)-LEN(SUBSTITUTE(BT585,"a","")))&gt;=1,(LEN(BN585)-LEN(SUBSTITUTE(BN585,"0","")))&gt;=2,SUMPRODUCT(--ISNUMBER(SEARCH({"a0","a-0","a_0","a/0","a.0","a#0","0a","0-a","0_a","0/a"},BN585)))&gt;0),AND((LEN(BN585)-LEN(SUBSTITUTE(BN585,"a","")))=0,(LEN(BN585)-LEN(SUBSTITUTE(BN585,"0","")))&gt;=5)))),1,0),0)</f>
        <v>0</v>
      </c>
      <c r="CA5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585,"revision",""),"version",""),"jan",""),"feb",""),"mar",""),"apr",""),"may",""),"jun",""),"jul",""),"aug",""),"sep",""),"oct",""),"nov",""),"dec",""),"utc",""),"gmt",""),"myt",""),"bst",""),"rev",""),"ver",""),"b","a"),"c","a"),"d","a"),"e","a"),"f","a"),"g","a"),"h","a"),"i","a"),"j","a"),"k","a"),"l","a"),"m","a"),"n","a"),"o","a"),"p","a"),"q","a"),"r","a"),"s","a"),"t","a"),"u","a"),"v","a"),"w","a"),"x","a"),"y","a"),"z","a")</f>
        <v/>
      </c>
      <c r="CB5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585&amp;""),"a",""),"b",""),"c",""),"d",""),"e",""),"f",""),"g",""),"h",""),"i",""),"j",""),"k",""),"l",""),"m",""),"n",""),"o",""),"p",""),"q",""),"r",""),"s",""),"t",""),"u",""),"v",""),"w",""),"x",""),"y",""),"z",""),"-",""),"_",""),"/",""),".",""),"#",""),"\\",""),":","")," ",""),"(",""),")","")</f>
        <v/>
      </c>
      <c r="CC585" s="0" t="str">
        <f aca="false">" "&amp;TRIM(SUBSTITUTE(SUBSTITUTE(SUBSTITUTE(SUBSTITUTE(SUBSTITUTE(SUBSTITUTE(SUBSTITUTE(SUBSTITUTE(SUBSTITUTE(SUBSTITUTE(SUBSTITUTE(SUBSTITUTE(SUBSTITUTE(SUBSTITUTE(SUBSTITUTE(SUBSTITUTE(SUBSTITUTE(SUBSTITUTE(SUBSTITUTE(SUBSTITUTE(SUBSTITUTE(SUBSTITUTE(SUBSTITUTE(SUBSTITUTE(LOWER(T585&amp;""),CHAR(10)," "),CHAR(13)," "),CHAR(9)," "),CHAR(160)," "),"."," "),","," "),"-"," "),"/"," "),"("," "),")"," "),":"," "),";"," "),"_"," "),"–"," "),"?"," "),"!"," "),"*"," "),"["," "),"]"," "),"'"," "),"#"," "),"+"," "),"&amp;"," "),"\"," "))&amp;" "</f>
        <v>  </v>
      </c>
      <c r="CD585" s="0" t="str">
        <f aca="false">" "&amp;TRIM(SUBSTITUTE(SUBSTITUTE(SUBSTITUTE(SUBSTITUTE(SUBSTITUTE(SUBSTITUTE(SUBSTITUTE(SUBSTITUTE(SUBSTITUTE(SUBSTITUTE(SUBSTITUTE(SUBSTITUTE(SUBSTITUTE(SUBSTITUTE(SUBSTITUTE(SUBSTITUTE(SUBSTITUTE(SUBSTITUTE(SUBSTITUTE(SUBSTITUTE(SUBSTITUTE(SUBSTITUTE(SUBSTITUTE(SUBSTITUTE(LOWER(AE585&amp;""),CHAR(10)," "),CHAR(13)," "),CHAR(9)," "),CHAR(160)," "),"."," "),","," "),"-"," "),"/"," "),"("," "),")"," "),":"," "),";"," "),"_"," "),"–"," "),"?"," "),"!"," "),"*"," "),"["," "),"]"," "),"'"," "),"#"," "),"+"," "),"&amp;"," "),"\"," "))&amp;" "</f>
        <v>  </v>
      </c>
      <c r="CE585" s="68" t="n">
        <f aca="false">IFERROR(IF(AND(LEN(AU585)&gt;0,LEN(AU585)=LEN(AX585),OR(TRIM(MID(SUBSTITUTE(TRIM(CC585)," ",REPT(" ",60)),1,60))="",ISNUMBER(SEARCH(" "&amp;TRIM(MID(SUBSTITUTE(TRIM(CC585)," ",REPT(" ",60)),1,60))&amp;" ",CD585))),OR(TRIM(MID(SUBSTITUTE(TRIM(CC585)," ",REPT(" ",60)),61,60))="",ISNUMBER(SEARCH(" "&amp;TRIM(MID(SUBSTITUTE(TRIM(CC585)," ",REPT(" ",60)),61,60))&amp;" ",CD585))),OR(TRIM(MID(SUBSTITUTE(TRIM(CC585)," ",REPT(" ",60)),121,60))="",ISNUMBER(SEARCH(" "&amp;TRIM(MID(SUBSTITUTE(TRIM(CC585)," ",REPT(" ",60)),121,60))&amp;" ",CD585)))),1,0),0)</f>
        <v>0</v>
      </c>
      <c r="CG585" s="68" t="n">
        <f aca="false">IFERROR(LEN(SUBSTITUTE(BF585," ",""))-SUMPRODUCT((LEN(BF585)-LEN(SUBSTITUTE(BF585," "&amp;L_NAFiller&amp;" "," ")))/(LEN(L_NAFiller)+1)*LEN(L_NAFiller)),0)</f>
        <v>0</v>
      </c>
    </row>
    <row r="586" customFormat="false" ht="39.75" hidden="false" customHeight="true" outlineLevel="0" collapsed="false">
      <c r="A586" s="57" t="s">
        <v>1280</v>
      </c>
      <c r="B586" s="57" t="s">
        <v>293</v>
      </c>
      <c r="C586" s="57" t="str">
        <f aca="false">Flights!$F$22</f>
        <v>MH0052</v>
      </c>
      <c r="D586" s="58" t="n">
        <f aca="false">Flights!$D$22</f>
        <v>46322</v>
      </c>
      <c r="E586" s="57" t="str">
        <f aca="false">Flights!$G$22&amp;"-"&amp;Flights!$H$22</f>
        <v>KUL-KIX</v>
      </c>
      <c r="F586" s="57" t="str">
        <f aca="false">Flights!$K$22</f>
        <v>BC</v>
      </c>
      <c r="G586" s="57" t="s">
        <v>420</v>
      </c>
      <c r="H586" s="57" t="s">
        <v>378</v>
      </c>
      <c r="I586" s="57" t="s">
        <v>428</v>
      </c>
      <c r="J586" s="57" t="s">
        <v>429</v>
      </c>
      <c r="K586" s="67"/>
      <c r="L586" s="67" t="s">
        <v>422</v>
      </c>
      <c r="M586" s="67"/>
      <c r="N586" s="67" t="s">
        <v>383</v>
      </c>
      <c r="O586" s="67" t="s">
        <v>423</v>
      </c>
      <c r="P586" s="57" t="s">
        <v>187</v>
      </c>
      <c r="Q586" s="59" t="n">
        <f aca="false">ROUND((Flights!$AE$22)*1440,0)/1440</f>
        <v>46322.1006944444</v>
      </c>
      <c r="R586" s="59" t="n">
        <f aca="false">Q586+(IF(AND(INDEX(TZ_DSTS,MATCH(P586,TZ_STN,0))&lt;&gt;"",Q586&gt;=INDEX(TZ_DSTS,MATCH(P586,TZ_STN,0)),Q586&lt;INDEX(TZ_DSTE,MATCH(P586,TZ_STN,0))),INDEX(TZ_DST,MATCH(P586,TZ_STN,0)),INDEX(TZ_STD,MATCH(P586,TZ_STN,0))))/24</f>
        <v>46322.4340277778</v>
      </c>
      <c r="S586" s="60"/>
      <c r="T586" s="60"/>
      <c r="U586" s="60"/>
      <c r="V586" s="60"/>
      <c r="W586" s="61"/>
      <c r="X586" s="60"/>
      <c r="Y586" s="60"/>
      <c r="Z586" s="60"/>
      <c r="AA586" s="60"/>
      <c r="AB586" s="60"/>
      <c r="AC586" s="60"/>
      <c r="AD586" s="66"/>
      <c r="AE586" s="60"/>
      <c r="AF586" s="61" t="str">
        <f aca="false">IF(AND(ISNUMBER(X586),ISNUMBER(Y586)),Y586-X586,"")</f>
        <v/>
      </c>
      <c r="AG586" s="62" t="str">
        <f aca="false">IF(ISNUMBER(AD586),AD586-(IF(AND(INDEX(TZ_DSTS,MATCH(P586,TZ_STN,0))&lt;&gt;"",(AD586-INDEX(TZ_STD,MATCH(P586,TZ_STN,0))/24)&gt;=INDEX(TZ_DSTS,MATCH(P586,TZ_STN,0)),(AD586-INDEX(TZ_STD,MATCH(P586,TZ_STN,0))/24)&lt;INDEX(TZ_DSTE,MATCH(P586,TZ_STN,0))),INDEX(TZ_DST,MATCH(P586,TZ_STN,0)),INDEX(TZ_STD,MATCH(P586,TZ_STN,0))))/24,"")</f>
        <v/>
      </c>
      <c r="AH586" s="65" t="str">
        <f aca="false">IFERROR(IF(N586="N/A – rule",IF(OR(TRIM(U586)="",TRIM(U586)="N/A",TRIM(U586)="Not started"),"N/A – RULE","INVALID – this check does not apply to this aircraft: clear the status (or correct the fleet on Flights)"),IF(TRIM(U586)="N/A",IF(AT586=0,"INVALID – N/A not permitted for this check",IF(AND(TRIM(AB586)&lt;&gt;"",TRIM(AB586)&lt;&gt;"Closed"),"INVALID – corrective action still open",IF(AND(NOT(OR(LEN(AZ586)&lt;15,ISNUMBER(MATCH(AZ586,L_Placeholder,0)))),BK586=0,CG586&gt;=8,NOT(OR(LEN(AU586)&lt;2,ISNUMBER(MATCH(AU586,L_Placeholder,0)))),BR586&gt;=3,NOT(OR(LEN(AX586)&lt;2,ISNUMBER(MATCH(AX586,L_Placeholder,0)))),BS586&gt;=3,TRIM(AE586)&lt;&gt;TRIM(T586),AX586&lt;&gt;AU586,CE586=0),"N/A – JUSTIFIED","INVALID – N/A needs a real, settled reason (not 'not applicable' / 'as above' / TBC), a named PIC and a different named verifier"))),IF(OR(TRIM(U586)="Pass",TRIM(U586)="Pass after CA"),IF(NOT(ISNUMBER(AD586)),"INVALID – completion time missing",IF(OR(OR(LEN(AU586)&lt;2,ISNUMBER(MATCH(AU586,L_Placeholder,0))),BR586&lt;3),"INVALID – PIC missing or not a named person (a role such as QA / CSM is not a name)",IF(OR(LEN(AV586)&lt;2,ISNUMBER(MATCH(AV586,L_Placeholder,0))),"INVALID – result / assessment missing",IF(OR(OR(LEN(AW586)&lt;3,ISNUMBER(MATCH(AW586,L_Placeholder,0))),SUMPRODUCT(--ISNUMBER(SEARCH(" "&amp;L_EvidencePhrase&amp;" ",BD586)))&gt;0,BI586=1),"INVALID – evidence missing, placeholder or not yet on file",IF(ISNA(MATCH(TRIM(S586),L_EvidenceType,0)),"INVALID – choose the evidence type from the list (column S)",IF(BL586=0,"INVALID – evidence ID must be the record's own ID only (e.g. SF-2210, IMG_2231, 1045521); a link / file name needs type 'Link / file path'",IF(OR(OR(LEN(AX586)&lt;2,ISNUMBER(MATCH(AX586,L_Placeholder,0))),BS586&lt;3),"INVALID – verifier missing or not a named person (a role such as QA / CSM is not a name)",IF(OR(AX586=AU586,CE586=1,AND(LEN(AU586)&gt;=4,ISNUMBER(SEARCH(AU586,AX586))),AND(LEN(AX586)&gt;=4,ISNUMBER(SEARCH(AX586,AU586)))),"INVALID – verifier must be a different, named person (not the PIC or a role)",IF(BH586=1,"INVALID – result not yet available (awaiting / TBC)",IF(BG586=1,"INVALID – result describes a problem: record Fail, then Pass after CA (or reword if it is not a problem)",IF(BV586=1,"INVALID – wording says not on board: an on-board confirmation needs the item loaded",IF(AND(AQ586=1,OR(OR(LEN(AY586)&lt;3,ISNUMBER(MATCH(AY586,L_Placeholder,0))),BJ586=1,BQ586=0)),"INVALID – batch ID missing, placeholder or not an ID (e.g. PASB-261008-BC-017)",IF(AND(AR586=1,OR(NOT(ISNUMBER(X586)),NOT(ISNUMBER(Y586)))),"INVALID – expected/actual qty missing",IF(AND(AR586=1,OR(X586&lt;=0,Y586&lt;0)),"INVALID – expected qty must be above 0 and actual not negative",IF(BB586&lt;&gt;"",BB586,IF(AND(AS586=1,Documents!$J$22&lt;&gt;"ON FILE"),"INVALID – GLD not on file (Documents sheet)",IF(AND(AS586=2,Documents!$O$22&lt;&gt;"ON FILE"),"INVALID – menu checklist not on file (Documents sheet)",IF(AND(AS586=3,NOT(ISNUMBER(Flights!$AX$22))),"INVALID – enter carrying flight KUL departure (Flights AX)",IF(AND(AS586=3,OR(Flights!$AZ$22&gt;Flights!$AA$22,Flights!$AX$22&lt;Flights!$AA$22-3)),"INVALID – carrying flight (Flights AX) cannot arrive before this leg's STD, or is over 3 days early",IF(AG586&gt;AsOfUTC,"INVALID – completion time is in the future",IF(AND(ISNUMBER(BY586),AG586&lt;BY586),IF(H586="Physical uplift","INVALID – before uplift window (cannot confirm loading)","INVALID – before valid window"),IF(AG586&gt;Flights!$AA$22,"INVALID – completed after departure (cannot establish readiness)",IF(AND(H586="Preparation",AG586&gt;=IF(ISNUMBER(Flights!$BA$22),MIN(Flights!$BA$22,Flights!$AA$22),Flights!$AA$22)),"INVALID – completed after loading / departure (cannot establish readiness)",IF(AND(H586="Physical uplift",AG586&gt;Q586),"INVALID – recorded after the loading flight departed",IF(AG586&gt;Q586,"COMPLETE – LATE","COMPLETE"))))))))))))))))))))))))),IF(TRIM(U586)="Fail","FAIL – DISCREPANCY",IF(AND(TRIM(U586)&lt;&gt;"",TRIM(U586)&lt;&gt;"Not started",TRIM(U586)&lt;&gt;"In progress"),"INVALID – unrecognised status (use the list)",IF(AsOfUTC&gt;Q586,"OVERDUE",IF(N586="Clarification required","OPEN – CLARIFICATION","OPEN"))))))),"INVALID – error value in an input cell")</f>
        <v>OPEN</v>
      </c>
      <c r="AI586" s="61" t="n">
        <f aca="false">IF(OR(AH586="N/A – RULE",AH586="N/A – JUSTIFIED"),0,1)</f>
        <v>1</v>
      </c>
      <c r="AJ586" s="61" t="n">
        <f aca="false">IF(LEFT(AH586,8)="COMPLETE",1,0)</f>
        <v>0</v>
      </c>
      <c r="AK586" s="61" t="n">
        <f aca="false">IF(AND(AI586=1,AJ586=0,AsOfUTC&gt;Q586),1,0)</f>
        <v>0</v>
      </c>
      <c r="AL586" s="61" t="n">
        <f aca="false">IFERROR(IF(AND(AI586=1,OR(TRIM(U586)="Fail",AND(TRIM(AB586)&lt;&gt;"",TRIM(AB586)&lt;&gt;"Closed"),AND(ISNUMBER(AF586),AF586&lt;&gt;0,TRIM(U586)&lt;&gt;"Pass after CA"))),1,0),1)</f>
        <v>0</v>
      </c>
      <c r="AM586" s="61" t="n">
        <f aca="false">IF(LEFT(AH586,7)="INVALID",1,0)</f>
        <v>0</v>
      </c>
      <c r="AN586" s="61" t="n">
        <f aca="false">IF(AND(N586="Clarification required",AI586=1,AJ586=0),1,0)</f>
        <v>0</v>
      </c>
      <c r="AO586" s="61" t="str">
        <f aca="false">IF(AK586=1,SUM(AK$5:AK586),"")</f>
        <v/>
      </c>
      <c r="AP586" s="61" t="str">
        <f aca="false">IF(AL586=1,SUM(AL$5:AL586),"")</f>
        <v/>
      </c>
      <c r="AQ586" s="61" t="n">
        <v>0</v>
      </c>
      <c r="AR586" s="61" t="n">
        <v>0</v>
      </c>
      <c r="AS586" s="61" t="n">
        <v>0</v>
      </c>
      <c r="AT586" s="61" t="n">
        <v>0</v>
      </c>
      <c r="AU586" s="61" t="str">
        <f aca="false">SUBSTITUTE(SUBSTITUTE(SUBSTITUTE(SUBSTITUTE(SUBSTITUTE(SUBSTITUTE(SUBSTITUTE(SUBSTITUTE(SUBSTITUTE(SUBSTITUTE(SUBSTITUTE(SUBSTITUTE(SUBSTITUTE(SUBSTITUTE(SUBSTITUTE(SUBSTITUTE(LOWER(T586&amp;""),CHAR(10),""),CHAR(13),""),CHAR(9),""),CHAR(160),"")," ",""),".",""),"-",""),"/",""),"?",""),"_",""),",",""),"[",""),"]",""),"(",""),")",""),"*","")</f>
        <v/>
      </c>
      <c r="AV586" s="61" t="str">
        <f aca="false">SUBSTITUTE(SUBSTITUTE(SUBSTITUTE(SUBSTITUTE(SUBSTITUTE(SUBSTITUTE(SUBSTITUTE(SUBSTITUTE(SUBSTITUTE(SUBSTITUTE(SUBSTITUTE(SUBSTITUTE(SUBSTITUTE(SUBSTITUTE(SUBSTITUTE(SUBSTITUTE(LOWER(V586&amp;""),CHAR(10),""),CHAR(13),""),CHAR(9),""),CHAR(160),"")," ",""),".",""),"-",""),"/",""),"?",""),"_",""),",",""),"[",""),"]",""),"(",""),")",""),"*","")</f>
        <v/>
      </c>
      <c r="AW586" s="61" t="str">
        <f aca="false">SUBSTITUTE(SUBSTITUTE(SUBSTITUTE(SUBSTITUTE(SUBSTITUTE(SUBSTITUTE(SUBSTITUTE(SUBSTITUTE(SUBSTITUTE(SUBSTITUTE(SUBSTITUTE(SUBSTITUTE(SUBSTITUTE(SUBSTITUTE(SUBSTITUTE(SUBSTITUTE(LOWER(Z586&amp;""),CHAR(10),""),CHAR(13),""),CHAR(9),""),CHAR(160),"")," ",""),".",""),"-",""),"/",""),"?",""),"_",""),",",""),"[",""),"]",""),"(",""),")",""),"*","")</f>
        <v/>
      </c>
      <c r="AX586" s="61" t="str">
        <f aca="false">SUBSTITUTE(SUBSTITUTE(SUBSTITUTE(SUBSTITUTE(SUBSTITUTE(SUBSTITUTE(SUBSTITUTE(SUBSTITUTE(SUBSTITUTE(SUBSTITUTE(SUBSTITUTE(SUBSTITUTE(SUBSTITUTE(SUBSTITUTE(SUBSTITUTE(SUBSTITUTE(LOWER(AE586&amp;""),CHAR(10),""),CHAR(13),""),CHAR(9),""),CHAR(160),"")," ",""),".",""),"-",""),"/",""),"?",""),"_",""),",",""),"[",""),"]",""),"(",""),")",""),"*","")</f>
        <v/>
      </c>
      <c r="AY586" s="61" t="str">
        <f aca="false">SUBSTITUTE(SUBSTITUTE(SUBSTITUTE(SUBSTITUTE(SUBSTITUTE(SUBSTITUTE(SUBSTITUTE(SUBSTITUTE(SUBSTITUTE(SUBSTITUTE(SUBSTITUTE(SUBSTITUTE(SUBSTITUTE(SUBSTITUTE(SUBSTITUTE(SUBSTITUTE(LOWER(W586&amp;""),CHAR(10),""),CHAR(13),""),CHAR(9),""),CHAR(160),"")," ",""),".",""),"-",""),"/",""),"?",""),"_",""),",",""),"[",""),"]",""),"(",""),")",""),"*","")</f>
        <v/>
      </c>
      <c r="AZ586" s="61" t="str">
        <f aca="false">SUBSTITUTE(SUBSTITUTE(SUBSTITUTE(SUBSTITUTE(SUBSTITUTE(SUBSTITUTE(SUBSTITUTE(SUBSTITUTE(SUBSTITUTE(SUBSTITUTE(SUBSTITUTE(SUBSTITUTE(SUBSTITUTE(SUBSTITUTE(SUBSTITUTE(SUBSTITUTE(LOWER(AC586&amp;""),CHAR(10),""),CHAR(13),""),CHAR(9),""),CHAR(160),"")," ",""),".",""),"-",""),"/",""),"?",""),"_",""),",",""),"[",""),"]",""),"(",""),")",""),"*","")</f>
        <v/>
      </c>
      <c r="BA586" s="61" t="str">
        <f aca="false">SUBSTITUTE(SUBSTITUTE(SUBSTITUTE(SUBSTITUTE(SUBSTITUTE(SUBSTITUTE(SUBSTITUTE(SUBSTITUTE(SUBSTITUTE(SUBSTITUTE(SUBSTITUTE(SUBSTITUTE(SUBSTITUTE(SUBSTITUTE(SUBSTITUTE(SUBSTITUTE(LOWER(AA586&amp;""),CHAR(10),""),CHAR(13),""),CHAR(9),""),CHAR(160),"")," ",""),".",""),"-",""),"/",""),"?",""),"_",""),",",""),"[",""),"]",""),"(",""),")",""),"*","")</f>
        <v/>
      </c>
      <c r="BB586" s="61" t="str">
        <f aca="false">IF(AND(TRIM(U586)="Pass",ISNUMBER(AF586)),IF(AF586&lt;&gt;0,"INVALID – qty variance: use Fail or Pass after CA",""),"")&amp;IF(AND(TRIM(U586)="Pass after CA",ISNUMBER(AF586)),IF(AF586&lt;&gt;0,"INVALID – after the corrective action the actual qty must equal expected (update Actual)",""),"")&amp;IF(AND(TRIM(U586)="Pass",TRIM(AB586)&lt;&gt;"",TRIM(AB586)&lt;&gt;"Closed"),"INVALID – corrective action not closed: use Fail, then Pass after CA","")&amp;IF(AND(LEN(BA586)&gt;=2,ISNA(MATCH(LEFT(BA586,255),L_Placeholder,0)),TRIM(AB586)=""),"INVALID – CA status missing for the recorded corrective action","")&amp;IF(AND(TRIM(U586)="Pass after CA",OR(OR(LEN(BA586)&lt;5,ISNUMBER(MATCH(BA586,L_Placeholder,0))),TRIM(AB586)&lt;&gt;"Closed")),"INVALID – corrective action not recorded/closed","")</f>
        <v/>
      </c>
      <c r="BC586" s="61" t="str">
        <f aca="false">" "&amp;TRIM(SUBSTITUTE(SUBSTITUTE(SUBSTITUTE(SUBSTITUTE(SUBSTITUTE(SUBSTITUTE(SUBSTITUTE(SUBSTITUTE(SUBSTITUTE(SUBSTITUTE(SUBSTITUTE(SUBSTITUTE(SUBSTITUTE(SUBSTITUTE(SUBSTITUTE(SUBSTITUTE(SUBSTITUTE(SUBSTITUTE(SUBSTITUTE(SUBSTITUTE(SUBSTITUTE(SUBSTITUTE(SUBSTITUTE(SUBSTITUTE(LOWER(V586&amp;""),CHAR(10)," "),CHAR(13)," "),CHAR(9)," "),CHAR(160)," "),"."," "),","," "),"-"," "),"/"," "),"("," "),")"," "),":"," "),";"," "),"_"," "),"–"," "),"?"," "),"!"," "),"*"," "),"["," "),"]"," "),"'"," "),"#"," "),"+"," "),"&amp;"," "),"\"," "))&amp;" "</f>
        <v>  </v>
      </c>
      <c r="BD586" s="61" t="str">
        <f aca="false">" "&amp;TRIM(SUBSTITUTE(SUBSTITUTE(SUBSTITUTE(SUBSTITUTE(SUBSTITUTE(SUBSTITUTE(SUBSTITUTE(SUBSTITUTE(SUBSTITUTE(SUBSTITUTE(SUBSTITUTE(SUBSTITUTE(SUBSTITUTE(SUBSTITUTE(SUBSTITUTE(SUBSTITUTE(SUBSTITUTE(SUBSTITUTE(SUBSTITUTE(SUBSTITUTE(SUBSTITUTE(SUBSTITUTE(SUBSTITUTE(SUBSTITUTE(LOWER(Z586&amp;""),CHAR(10)," "),CHAR(13)," "),CHAR(9)," "),CHAR(160)," "),"."," "),","," "),"-"," "),"/"," "),"("," "),")"," "),":"," "),";"," "),"_"," "),"–"," "),"?"," "),"!"," "),"*"," "),"["," "),"]"," "),"'"," "),"#"," "),"+"," "),"&amp;"," "),"\"," "))&amp;" "</f>
        <v>  </v>
      </c>
      <c r="BE586" s="61" t="str">
        <f aca="false">" "&amp;TRIM(SUBSTITUTE(SUBSTITUTE(SUBSTITUTE(SUBSTITUTE(SUBSTITUTE(SUBSTITUTE(SUBSTITUTE(SUBSTITUTE(SUBSTITUTE(SUBSTITUTE(SUBSTITUTE(SUBSTITUTE(SUBSTITUTE(SUBSTITUTE(SUBSTITUTE(SUBSTITUTE(SUBSTITUTE(SUBSTITUTE(SUBSTITUTE(SUBSTITUTE(SUBSTITUTE(SUBSTITUTE(SUBSTITUTE(SUBSTITUTE(LOWER(W586&amp;""),CHAR(10)," "),CHAR(13)," "),CHAR(9)," "),CHAR(160)," "),"."," "),","," "),"-"," "),"/"," "),"("," "),")"," "),":"," "),";"," "),"_"," "),"–"," "),"?"," "),"!"," "),"*"," "),"["," "),"]"," "),"'"," "),"#"," "),"+"," "),"&amp;"," "),"\"," "))&amp;" "</f>
        <v>  </v>
      </c>
      <c r="BF586" s="61" t="str">
        <f aca="false">" "&amp;TRIM(SUBSTITUTE(SUBSTITUTE(SUBSTITUTE(SUBSTITUTE(SUBSTITUTE(SUBSTITUTE(SUBSTITUTE(SUBSTITUTE(SUBSTITUTE(SUBSTITUTE(SUBSTITUTE(SUBSTITUTE(SUBSTITUTE(SUBSTITUTE(SUBSTITUTE(SUBSTITUTE(SUBSTITUTE(SUBSTITUTE(SUBSTITUTE(SUBSTITUTE(SUBSTITUTE(SUBSTITUTE(SUBSTITUTE(SUBSTITUTE(LOWER(AC586&amp;""),CHAR(10)," "),CHAR(13)," "),CHAR(9)," "),CHAR(160)," "),"."," "),","," "),"-"," "),"/"," "),"("," "),")"," "),":"," "),";"," "),"_"," "),"–"," "),"?"," "),"!"," "),"*"," "),"["," "),"]"," "),"'"," "),"#"," "),"+"," "),"&amp;"," "),"\"," "))&amp;" "</f>
        <v>  </v>
      </c>
      <c r="BG586" s="61" t="n">
        <f aca="false">IFERROR(IF(AND(TRIM(U586)="Pass",SUMPRODUCT((LEN(BC586)-LEN(SUBSTITUTE(BC586," "&amp;L_ResultBad&amp;" "," ")))/(LEN(L_ResultBad)+1))&gt;SUMPRODUCT((LEN(BC586)-LEN(SUBSTITUTE(BC586," "&amp;L_NegPhrase&amp;" "," ")))/(LEN(L_NegPhrase)+1))),1,0),0)</f>
        <v>0</v>
      </c>
      <c r="BH586" s="61" t="n">
        <f aca="false">IFERROR(IF(SUMPRODUCT((LEN(BC586)-LEN(SUBSTITUTE(BC586," "&amp;L_Pending&amp;" "," ")))/(LEN(L_Pending)+1))&gt;SUMPRODUCT((LEN(BC586)-LEN(SUBSTITUTE(BC586," "&amp;L_PendNeg&amp;" "," ")))/(LEN(L_PendNeg)+1))+SUMPRODUCT((LEN(BC586)-LEN(SUBSTITUTE(BC586," "&amp;L_PendPrep&amp;" "," ")))/(LEN(L_PendPrep)+1)),1,0),1)</f>
        <v>0</v>
      </c>
      <c r="BI586" s="61" t="n">
        <f aca="false">IFERROR(IF(SUMPRODUCT((LEN(BD586)-LEN(SUBSTITUTE(BD586," "&amp;L_PendStrict&amp;" "," ")))/(LEN(L_PendStrict)+1))&gt;SUMPRODUCT((LEN(BD586)-LEN(SUBSTITUTE(BD586," "&amp;L_PendNeg&amp;" "," ")))/(LEN(L_PendNeg)+1)),1,0),1)</f>
        <v>0</v>
      </c>
      <c r="BJ586" s="61" t="n">
        <f aca="false">IFERROR(IF(SUMPRODUCT((LEN(BE586)-LEN(SUBSTITUTE(BE586," "&amp;L_Pending&amp;" "," ")))/(LEN(L_Pending)+1))&gt;SUMPRODUCT((LEN(BE586)-LEN(SUBSTITUTE(BE586," "&amp;L_PendNeg&amp;" "," ")))/(LEN(L_PendNeg)+1))+SUMPRODUCT((LEN(BE586)-LEN(SUBSTITUTE(BE586," "&amp;L_PendPrep&amp;" "," ")))/(LEN(L_PendPrep)+1)),1,0),1)</f>
        <v>0</v>
      </c>
      <c r="BK586" s="61" t="n">
        <f aca="false">IFERROR(IF(SUMPRODUCT((LEN(BF586)-LEN(SUBSTITUTE(BF586," "&amp;L_PendStrict&amp;" "," ")))/(LEN(L_PendStrict)+1))&gt;SUMPRODUCT((LEN(BF586)-LEN(SUBSTITUTE(BF586," "&amp;L_PendNeg&amp;" "," ")))/(LEN(L_PendNeg)+1)),1,0),1)</f>
        <v>0</v>
      </c>
      <c r="BL586" s="61" t="n">
        <f aca="false">IF(ISNA(MATCH(TRIM(S586),L_EvidenceType,0)),0,BZ586)</f>
        <v>0</v>
      </c>
      <c r="BM586" s="61" t="str">
        <f aca="false">SUBSTITUTE(SUBSTITUTE(SUBSTITUTE(SUBSTITUTE(SUBSTITUTE(SUBSTITUTE(SUBSTITUTE(SUBSTITUTE(SUBSTITUTE(LOWER(Z586&amp;""),"1","0"),"2","0"),"3","0"),"4","0"),"5","0"),"6","0"),"7","0"),"8","0"),"9","0")</f>
        <v/>
      </c>
      <c r="BN586" s="61" t="str">
        <f aca="false">SUBSTITUTE(SUBSTITUTE(SUBSTITUTE(SUBSTITUTE(SUBSTITUTE(SUBSTITUTE(SUBSTITUTE(SUBSTITUTE(SUBSTITUTE(SUBSTITUTE(SUBSTITUTE(SUBSTITUTE(SUBSTITUTE(SUBSTITUTE(SUBSTITUTE(SUBSTITUTE(SUBSTITUTE(SUBSTITUTE(SUBSTITUTE(SUBSTITUTE(SUBSTITUTE(SUBSTITUTE(SUBSTITUTE(SUBSTITUTE(SUBSTITUTE(BM586,"b","a"),"c","a"),"d","a"),"e","a"),"f","a"),"g","a"),"h","a"),"i","a"),"j","a"),"k","a"),"l","a"),"m","a"),"n","a"),"o","a"),"p","a"),"q","a"),"r","a"),"s","a"),"t","a"),"u","a"),"v","a"),"w","a"),"x","a"),"y","a"),"z","a")</f>
        <v/>
      </c>
      <c r="BO586" s="61" t="str">
        <f aca="false">SUBSTITUTE(SUBSTITUTE(SUBSTITUTE(SUBSTITUTE(SUBSTITUTE(SUBSTITUTE(SUBSTITUTE(SUBSTITUTE(SUBSTITUTE(LOWER(W586&amp;""),"1","0"),"2","0"),"3","0"),"4","0"),"5","0"),"6","0"),"7","0"),"8","0"),"9","0")</f>
        <v/>
      </c>
      <c r="BP586" s="61" t="str">
        <f aca="false">SUBSTITUTE(SUBSTITUTE(SUBSTITUTE(SUBSTITUTE(SUBSTITUTE(SUBSTITUTE(SUBSTITUTE(SUBSTITUTE(SUBSTITUTE(SUBSTITUTE(SUBSTITUTE(SUBSTITUTE(SUBSTITUTE(SUBSTITUTE(SUBSTITUTE(SUBSTITUTE(SUBSTITUTE(SUBSTITUTE(SUBSTITUTE(SUBSTITUTE(SUBSTITUTE(SUBSTITUTE(SUBSTITUTE(SUBSTITUTE(SUBSTITUTE(BO586,"b","a"),"c","a"),"d","a"),"e","a"),"f","a"),"g","a"),"h","a"),"i","a"),"j","a"),"k","a"),"l","a"),"m","a"),"n","a"),"o","a"),"p","a"),"q","a"),"r","a"),"s","a"),"t","a"),"u","a"),"v","a"),"w","a"),"x","a"),"y","a"),"z","a")</f>
        <v/>
      </c>
      <c r="BQ586" s="61" t="n">
        <f aca="false">IFERROR(IF(AND(ISERROR(SEARCH(" mh"," "&amp;LOWER(W586))),ISNA(MATCH(LEFT(TRIM(BP586),255),{"0000a","000a","00a","0000aa","000aa","00aa","0aa","0000aaa","000aaa","00a00","0a00","0000-0000","00:00","a00","a0","00.00.0000","00/00/0000","00-00-0000","0000-00-00","0000/00/00","0000.00.00","00.00.00","00/00/00","00-00-00","0.00.0000","0/00/0000","0-00-0000"},0)),ISNA(MATCH(LEFT(TRIM(CA586),255),{"0000a","000a","00a","0000aa","000aa","00aa","0aa","0000aaa","000aaa","00a00","0a00","0000-0000","00:00","a00","a0","00.00.0000","00/00/0000","00-00-0000","0000-00-00","0000/00/00","0000.00.00","00.00.00","00/00/00","00-00-00","0.00.0000","0/00/0000","0-00-0000"},0)),LEN(CB586)&gt;=3,NOT(OR(SUBSTITUTE(CB586,"0","")="",AND(LEN(CB586)&gt;=4,CB586=REPT(LEFT(CB586),LEN(CB586))),ISNUMBER(MATCH(CB586,{"123","1234","12345","123456","1234567","12345678","0123","01234","012345","98765","987654","54321"},0)),AND(LEN(CB586)=8,LEFT(CB586,3)="202"))),OR(AND((LEN(CA586)-LEN(SUBSTITUTE(CA586,"a","")))&gt;=1,SUMPRODUCT(--ISNUMBER(SEARCH({"a0","a-0","a_0","a/0","a.0","a#0","0a","0-a","0_a","0/a"},BP586)))&gt;0),ISNUMBER(SEARCH("000000",BP586)))),1,0),0)</f>
        <v>0</v>
      </c>
      <c r="BR586" s="61" t="n">
        <f aca="false">IFERROR(LEN(SUBSTITUTE(CC586," ",""))-SUMPRODUCT((LEN(CC586)-LEN(SUBSTITUTE(CC586," "&amp;L_Role&amp;" "," ")))/(LEN(L_Role)+1)*LEN(L_Role)),0)</f>
        <v>0</v>
      </c>
      <c r="BS586" s="61" t="n">
        <f aca="false">IFERROR(LEN(SUBSTITUTE(CD586," ",""))-SUMPRODUCT((LEN(CD586)-LEN(SUBSTITUTE(CD586," "&amp;L_Role&amp;" "," ")))/(LEN(L_Role)+1)*LEN(L_Role)),0)</f>
        <v>0</v>
      </c>
      <c r="BT5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586,"revision",""),"version",""),"jan",""),"feb",""),"mar",""),"apr",""),"may",""),"jun",""),"jul",""),"aug",""),"sep",""),"oct",""),"nov",""),"dec",""),"utc",""),"gmt",""),"myt",""),"bst",""),"rev",""),"ver",""),"b","a"),"c","a"),"d","a"),"e","a"),"f","a"),"g","a"),"h","a"),"i","a"),"j","a"),"k","a"),"l","a"),"m","a"),"n","a"),"o","a"),"p","a"),"q","a"),"r","a"),"s","a"),"t","a"),"u","a"),"v","a"),"w","a"),"x","a"),"y","a"),"z","a")</f>
        <v/>
      </c>
      <c r="BU586" s="61" t="str">
        <f aca="false">SUBSTITUTE(SUBSTITUTE(SUBSTITUTE(SUBSTITUTE(SUBSTITUTE(SUBSTITUTE(SUBSTITUTE(SUBSTITUTE(SUBSTITUTE(SUBSTITUTE(LEFT(BM586,FIND("0",BM586&amp;"0")-1),"-",""),"_",""),"/",""),".",""),"#",""),"\\",""),":","")," ",""),"(",""),")","")</f>
        <v/>
      </c>
      <c r="BV586" s="61" t="n">
        <f aca="false">0</f>
        <v>0</v>
      </c>
      <c r="BW5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586&amp;""),"a",""),"b",""),"c",""),"d",""),"e",""),"f",""),"g",""),"h",""),"i",""),"j",""),"k",""),"l",""),"m",""),"n",""),"o",""),"p",""),"q",""),"r",""),"s",""),"t",""),"u",""),"v",""),"w",""),"x",""),"y",""),"z",""),"-",""),"_",""),"/",""),".",""),"#",""),"\\",""),":","")," ",""),"(",""),")","")</f>
        <v/>
      </c>
      <c r="BX586" s="61" t="str">
        <f aca="false">SUBSTITUTE(SUBSTITUTE(SUBSTITUTE(SUBSTITUTE(SUBSTITUTE(SUBSTITUTE(SUBSTITUTE(SUBSTITUTE(SUBSTITUTE(SUBSTITUTE(SUBSTITUTE(BM586,"0",""),"-",""),"_",""),"/",""),".",""),"#",""),"\\",""),":","")," ",""),"(",""),")","")</f>
        <v/>
      </c>
      <c r="BY586" s="62" t="n">
        <f aca="false">Q586-T12EarlyH/24</f>
        <v>46321.6006944444</v>
      </c>
      <c r="BZ586" s="61" t="n">
        <f aca="false">IFERROR(IF(IF(TRIM(S586)="Link / file path",AND(LEN(TRIM(Z586))&gt;=5,SUMPRODUCT(--ISNUMBER(SEARCH({"http","www.","\\",":\",".pdf",".jpg",".jpeg",".png",".heic",".xls",".doc",".msg",".eml",".ppt",".txt",".zip"},Z586)))&gt;0),AND(ISERROR(FIND(" ",TRIM(Z586))),NOT(OR(SUMPRODUCT(--ISNUMBER(FIND({",",";","&amp;","+"},Z586)))&gt;0,SUMPRODUCT(--ISNUMBER(SEARCH({"0/aa","0\\aa"},BN586)))&gt;0)),NOT(SUMPRODUCT(--ISNUMBER(SEARCH({"http","www.","\\",":\",".pdf",".jpg",".jpeg",".png",".heic",".xls",".doc",".msg",".eml",".ppt",".txt",".zip"},Z586)))&gt;0),NOT(LOWER(TRIM(Z586))=LOWER(Flights!$F$22)),ISNA(MATCH(BU586,{"mh","rev","revision","ver","version","v","r","a","b","seat","tray","row","gate","bay","stand","page","pg","item","line","no","cart","galley","flight","flt","table","box","bag","oven","etd","eta","std","sta","atd","ata","qty","pax","x","time","tel","ph","mob","day","wk","week","utc","gmt","myt","lt"},0)),NOT(OR(ISNUMBER(MATCH(LEFT(BN586,255),{"0000a","000a","00a","0000aa","000aa","00aa","0aa","0000aaa","000aaa","00a00","0a00","0000-0000","00:00","a00","a0","00.00.0000","00/00/0000","00-00-0000","0000-00-00","0000/00/00","0000.00.00","00.00.00","00/00/00","00-00-00","0.00.0000","0/00/0000","0-00-0000"},0)),ISNUMBER(MATCH(LEFT(BT586,255),{"0000a","000a","00a","0000aa","000aa","00aa","0aa","0000aaa","000aaa","00a00","0a00","0000-0000","00:00","a00","a0","00.00.0000","00/00/0000","00-00-0000","0000-00-00","0000/00/00","0000.00.00","00.00.00","00/00/00","00-00-00","0.00.0000","0/00/0000","0-00-0000"},0)))),NOT(OR(AND(BW586&lt;&gt;"",SUBSTITUTE(BW586,"0","")=""),AND(LEN(BW586)&gt;=4,BW586=REPT(LEFT(BW586),LEN(BW586))),ISNUMBER(MATCH(BW586,{"123","1234","12345","123456","1234567","12345678","0123","01234","012345","98765","987654","54321"},0)),ISNUMBER(MATCH(BX586,{"x","xx","xxx","xxxx","xxxxx","abc","abcd","nil","na","nan","test","tbc","tba","tbd","dummy","sample","example","eg","zz","zzz","none","null","xyz","qwe","asd","id","ref"},0)),AND(LEN(BW586)=8,BX586="",OR(LEFT(BW586,3)="202",ISNUMBER(MATCH(RIGHT(BW586,4),{"2025","2026","2027"},0)))))),OR(AND((LEN(BT586)-LEN(SUBSTITUTE(BT586,"a","")))&gt;=1,(LEN(BN586)-LEN(SUBSTITUTE(BN586,"0","")))&gt;=2,SUMPRODUCT(--ISNUMBER(SEARCH({"a0","a-0","a_0","a/0","a.0","a#0","0a","0-a","0_a","0/a"},BN586)))&gt;0),AND((LEN(BN586)-LEN(SUBSTITUTE(BN586,"a","")))=0,(LEN(BN586)-LEN(SUBSTITUTE(BN586,"0","")))&gt;=5)))),1,0),0)</f>
        <v>0</v>
      </c>
      <c r="CA5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586,"revision",""),"version",""),"jan",""),"feb",""),"mar",""),"apr",""),"may",""),"jun",""),"jul",""),"aug",""),"sep",""),"oct",""),"nov",""),"dec",""),"utc",""),"gmt",""),"myt",""),"bst",""),"rev",""),"ver",""),"b","a"),"c","a"),"d","a"),"e","a"),"f","a"),"g","a"),"h","a"),"i","a"),"j","a"),"k","a"),"l","a"),"m","a"),"n","a"),"o","a"),"p","a"),"q","a"),"r","a"),"s","a"),"t","a"),"u","a"),"v","a"),"w","a"),"x","a"),"y","a"),"z","a")</f>
        <v/>
      </c>
      <c r="CB5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586&amp;""),"a",""),"b",""),"c",""),"d",""),"e",""),"f",""),"g",""),"h",""),"i",""),"j",""),"k",""),"l",""),"m",""),"n",""),"o",""),"p",""),"q",""),"r",""),"s",""),"t",""),"u",""),"v",""),"w",""),"x",""),"y",""),"z",""),"-",""),"_",""),"/",""),".",""),"#",""),"\\",""),":","")," ",""),"(",""),")","")</f>
        <v/>
      </c>
      <c r="CC586" s="0" t="str">
        <f aca="false">" "&amp;TRIM(SUBSTITUTE(SUBSTITUTE(SUBSTITUTE(SUBSTITUTE(SUBSTITUTE(SUBSTITUTE(SUBSTITUTE(SUBSTITUTE(SUBSTITUTE(SUBSTITUTE(SUBSTITUTE(SUBSTITUTE(SUBSTITUTE(SUBSTITUTE(SUBSTITUTE(SUBSTITUTE(SUBSTITUTE(SUBSTITUTE(SUBSTITUTE(SUBSTITUTE(SUBSTITUTE(SUBSTITUTE(SUBSTITUTE(SUBSTITUTE(LOWER(T586&amp;""),CHAR(10)," "),CHAR(13)," "),CHAR(9)," "),CHAR(160)," "),"."," "),","," "),"-"," "),"/"," "),"("," "),")"," "),":"," "),";"," "),"_"," "),"–"," "),"?"," "),"!"," "),"*"," "),"["," "),"]"," "),"'"," "),"#"," "),"+"," "),"&amp;"," "),"\"," "))&amp;" "</f>
        <v>  </v>
      </c>
      <c r="CD586" s="0" t="str">
        <f aca="false">" "&amp;TRIM(SUBSTITUTE(SUBSTITUTE(SUBSTITUTE(SUBSTITUTE(SUBSTITUTE(SUBSTITUTE(SUBSTITUTE(SUBSTITUTE(SUBSTITUTE(SUBSTITUTE(SUBSTITUTE(SUBSTITUTE(SUBSTITUTE(SUBSTITUTE(SUBSTITUTE(SUBSTITUTE(SUBSTITUTE(SUBSTITUTE(SUBSTITUTE(SUBSTITUTE(SUBSTITUTE(SUBSTITUTE(SUBSTITUTE(SUBSTITUTE(LOWER(AE586&amp;""),CHAR(10)," "),CHAR(13)," "),CHAR(9)," "),CHAR(160)," "),"."," "),","," "),"-"," "),"/"," "),"("," "),")"," "),":"," "),";"," "),"_"," "),"–"," "),"?"," "),"!"," "),"*"," "),"["," "),"]"," "),"'"," "),"#"," "),"+"," "),"&amp;"," "),"\"," "))&amp;" "</f>
        <v>  </v>
      </c>
      <c r="CE586" s="68" t="n">
        <f aca="false">IFERROR(IF(AND(LEN(AU586)&gt;0,LEN(AU586)=LEN(AX586),OR(TRIM(MID(SUBSTITUTE(TRIM(CC586)," ",REPT(" ",60)),1,60))="",ISNUMBER(SEARCH(" "&amp;TRIM(MID(SUBSTITUTE(TRIM(CC586)," ",REPT(" ",60)),1,60))&amp;" ",CD586))),OR(TRIM(MID(SUBSTITUTE(TRIM(CC586)," ",REPT(" ",60)),61,60))="",ISNUMBER(SEARCH(" "&amp;TRIM(MID(SUBSTITUTE(TRIM(CC586)," ",REPT(" ",60)),61,60))&amp;" ",CD586))),OR(TRIM(MID(SUBSTITUTE(TRIM(CC586)," ",REPT(" ",60)),121,60))="",ISNUMBER(SEARCH(" "&amp;TRIM(MID(SUBSTITUTE(TRIM(CC586)," ",REPT(" ",60)),121,60))&amp;" ",CD586)))),1,0),0)</f>
        <v>0</v>
      </c>
      <c r="CG586" s="68" t="n">
        <f aca="false">IFERROR(LEN(SUBSTITUTE(BF586," ",""))-SUMPRODUCT((LEN(BF586)-LEN(SUBSTITUTE(BF586," "&amp;L_NAFiller&amp;" "," ")))/(LEN(L_NAFiller)+1)*LEN(L_NAFiller)),0)</f>
        <v>0</v>
      </c>
    </row>
    <row r="587" customFormat="false" ht="39.75" hidden="false" customHeight="true" outlineLevel="0" collapsed="false">
      <c r="A587" s="57" t="s">
        <v>1281</v>
      </c>
      <c r="B587" s="57" t="s">
        <v>293</v>
      </c>
      <c r="C587" s="57" t="str">
        <f aca="false">Flights!$F$22</f>
        <v>MH0052</v>
      </c>
      <c r="D587" s="58" t="n">
        <f aca="false">Flights!$D$22</f>
        <v>46322</v>
      </c>
      <c r="E587" s="57" t="str">
        <f aca="false">Flights!$G$22&amp;"-"&amp;Flights!$H$22</f>
        <v>KUL-KIX</v>
      </c>
      <c r="F587" s="57" t="str">
        <f aca="false">Flights!$K$22</f>
        <v>BC</v>
      </c>
      <c r="G587" s="57" t="s">
        <v>420</v>
      </c>
      <c r="H587" s="57" t="s">
        <v>378</v>
      </c>
      <c r="I587" s="57" t="s">
        <v>428</v>
      </c>
      <c r="J587" s="57" t="s">
        <v>431</v>
      </c>
      <c r="K587" s="67"/>
      <c r="L587" s="67" t="s">
        <v>422</v>
      </c>
      <c r="M587" s="67"/>
      <c r="N587" s="67" t="s">
        <v>383</v>
      </c>
      <c r="O587" s="67" t="s">
        <v>423</v>
      </c>
      <c r="P587" s="57" t="s">
        <v>187</v>
      </c>
      <c r="Q587" s="59" t="n">
        <f aca="false">ROUND((Flights!$AE$22)*1440,0)/1440</f>
        <v>46322.1006944444</v>
      </c>
      <c r="R587" s="59" t="n">
        <f aca="false">Q587+(IF(AND(INDEX(TZ_DSTS,MATCH(P587,TZ_STN,0))&lt;&gt;"",Q587&gt;=INDEX(TZ_DSTS,MATCH(P587,TZ_STN,0)),Q587&lt;INDEX(TZ_DSTE,MATCH(P587,TZ_STN,0))),INDEX(TZ_DST,MATCH(P587,TZ_STN,0)),INDEX(TZ_STD,MATCH(P587,TZ_STN,0))))/24</f>
        <v>46322.4340277778</v>
      </c>
      <c r="S587" s="60"/>
      <c r="T587" s="60"/>
      <c r="U587" s="60"/>
      <c r="V587" s="60"/>
      <c r="W587" s="61"/>
      <c r="X587" s="60"/>
      <c r="Y587" s="60"/>
      <c r="Z587" s="60"/>
      <c r="AA587" s="60"/>
      <c r="AB587" s="60"/>
      <c r="AC587" s="60"/>
      <c r="AD587" s="66"/>
      <c r="AE587" s="60"/>
      <c r="AF587" s="61" t="str">
        <f aca="false">IF(AND(ISNUMBER(X587),ISNUMBER(Y587)),Y587-X587,"")</f>
        <v/>
      </c>
      <c r="AG587" s="62" t="str">
        <f aca="false">IF(ISNUMBER(AD587),AD587-(IF(AND(INDEX(TZ_DSTS,MATCH(P587,TZ_STN,0))&lt;&gt;"",(AD587-INDEX(TZ_STD,MATCH(P587,TZ_STN,0))/24)&gt;=INDEX(TZ_DSTS,MATCH(P587,TZ_STN,0)),(AD587-INDEX(TZ_STD,MATCH(P587,TZ_STN,0))/24)&lt;INDEX(TZ_DSTE,MATCH(P587,TZ_STN,0))),INDEX(TZ_DST,MATCH(P587,TZ_STN,0)),INDEX(TZ_STD,MATCH(P587,TZ_STN,0))))/24,"")</f>
        <v/>
      </c>
      <c r="AH587" s="65" t="str">
        <f aca="false">IFERROR(IF(N587="N/A – rule",IF(OR(TRIM(U587)="",TRIM(U587)="N/A",TRIM(U587)="Not started"),"N/A – RULE","INVALID – this check does not apply to this aircraft: clear the status (or correct the fleet on Flights)"),IF(TRIM(U587)="N/A",IF(AT587=0,"INVALID – N/A not permitted for this check",IF(AND(TRIM(AB587)&lt;&gt;"",TRIM(AB587)&lt;&gt;"Closed"),"INVALID – corrective action still open",IF(AND(NOT(OR(LEN(AZ587)&lt;15,ISNUMBER(MATCH(AZ587,L_Placeholder,0)))),BK587=0,CG587&gt;=8,NOT(OR(LEN(AU587)&lt;2,ISNUMBER(MATCH(AU587,L_Placeholder,0)))),BR587&gt;=3,NOT(OR(LEN(AX587)&lt;2,ISNUMBER(MATCH(AX587,L_Placeholder,0)))),BS587&gt;=3,TRIM(AE587)&lt;&gt;TRIM(T587),AX587&lt;&gt;AU587,CE587=0),"N/A – JUSTIFIED","INVALID – N/A needs a real, settled reason (not 'not applicable' / 'as above' / TBC), a named PIC and a different named verifier"))),IF(OR(TRIM(U587)="Pass",TRIM(U587)="Pass after CA"),IF(NOT(ISNUMBER(AD587)),"INVALID – completion time missing",IF(OR(OR(LEN(AU587)&lt;2,ISNUMBER(MATCH(AU587,L_Placeholder,0))),BR587&lt;3),"INVALID – PIC missing or not a named person (a role such as QA / CSM is not a name)",IF(OR(LEN(AV587)&lt;2,ISNUMBER(MATCH(AV587,L_Placeholder,0))),"INVALID – result / assessment missing",IF(OR(OR(LEN(AW587)&lt;3,ISNUMBER(MATCH(AW587,L_Placeholder,0))),SUMPRODUCT(--ISNUMBER(SEARCH(" "&amp;L_EvidencePhrase&amp;" ",BD587)))&gt;0,BI587=1),"INVALID – evidence missing, placeholder or not yet on file",IF(ISNA(MATCH(TRIM(S587),L_EvidenceType,0)),"INVALID – choose the evidence type from the list (column S)",IF(BL587=0,"INVALID – evidence ID must be the record's own ID only (e.g. SF-2210, IMG_2231, 1045521); a link / file name needs type 'Link / file path'",IF(OR(OR(LEN(AX587)&lt;2,ISNUMBER(MATCH(AX587,L_Placeholder,0))),BS587&lt;3),"INVALID – verifier missing or not a named person (a role such as QA / CSM is not a name)",IF(OR(AX587=AU587,CE587=1,AND(LEN(AU587)&gt;=4,ISNUMBER(SEARCH(AU587,AX587))),AND(LEN(AX587)&gt;=4,ISNUMBER(SEARCH(AX587,AU587)))),"INVALID – verifier must be a different, named person (not the PIC or a role)",IF(BH587=1,"INVALID – result not yet available (awaiting / TBC)",IF(BG587=1,"INVALID – result describes a problem: record Fail, then Pass after CA (or reword if it is not a problem)",IF(BV587=1,"INVALID – wording says not on board: an on-board confirmation needs the item loaded",IF(AND(AQ587=1,OR(OR(LEN(AY587)&lt;3,ISNUMBER(MATCH(AY587,L_Placeholder,0))),BJ587=1,BQ587=0)),"INVALID – batch ID missing, placeholder or not an ID (e.g. PASB-261008-BC-017)",IF(AND(AR587=1,OR(NOT(ISNUMBER(X587)),NOT(ISNUMBER(Y587)))),"INVALID – expected/actual qty missing",IF(AND(AR587=1,OR(X587&lt;=0,Y587&lt;0)),"INVALID – expected qty must be above 0 and actual not negative",IF(BB587&lt;&gt;"",BB587,IF(AND(AS587=1,Documents!$J$22&lt;&gt;"ON FILE"),"INVALID – GLD not on file (Documents sheet)",IF(AND(AS587=2,Documents!$O$22&lt;&gt;"ON FILE"),"INVALID – menu checklist not on file (Documents sheet)",IF(AND(AS587=3,NOT(ISNUMBER(Flights!$AX$22))),"INVALID – enter carrying flight KUL departure (Flights AX)",IF(AND(AS587=3,OR(Flights!$AZ$22&gt;Flights!$AA$22,Flights!$AX$22&lt;Flights!$AA$22-3)),"INVALID – carrying flight (Flights AX) cannot arrive before this leg's STD, or is over 3 days early",IF(AG587&gt;AsOfUTC,"INVALID – completion time is in the future",IF(AND(ISNUMBER(BY587),AG587&lt;BY587),IF(H587="Physical uplift","INVALID – before uplift window (cannot confirm loading)","INVALID – before valid window"),IF(AG587&gt;Flights!$AA$22,"INVALID – completed after departure (cannot establish readiness)",IF(AND(H587="Preparation",AG587&gt;=IF(ISNUMBER(Flights!$BA$22),MIN(Flights!$BA$22,Flights!$AA$22),Flights!$AA$22)),"INVALID – completed after loading / departure (cannot establish readiness)",IF(AND(H587="Physical uplift",AG587&gt;Q587),"INVALID – recorded after the loading flight departed",IF(AG587&gt;Q587,"COMPLETE – LATE","COMPLETE"))))))))))))))))))))))))),IF(TRIM(U587)="Fail","FAIL – DISCREPANCY",IF(AND(TRIM(U587)&lt;&gt;"",TRIM(U587)&lt;&gt;"Not started",TRIM(U587)&lt;&gt;"In progress"),"INVALID – unrecognised status (use the list)",IF(AsOfUTC&gt;Q587,"OVERDUE",IF(N587="Clarification required","OPEN – CLARIFICATION","OPEN"))))))),"INVALID – error value in an input cell")</f>
        <v>OPEN</v>
      </c>
      <c r="AI587" s="61" t="n">
        <f aca="false">IF(OR(AH587="N/A – RULE",AH587="N/A – JUSTIFIED"),0,1)</f>
        <v>1</v>
      </c>
      <c r="AJ587" s="61" t="n">
        <f aca="false">IF(LEFT(AH587,8)="COMPLETE",1,0)</f>
        <v>0</v>
      </c>
      <c r="AK587" s="61" t="n">
        <f aca="false">IF(AND(AI587=1,AJ587=0,AsOfUTC&gt;Q587),1,0)</f>
        <v>0</v>
      </c>
      <c r="AL587" s="61" t="n">
        <f aca="false">IFERROR(IF(AND(AI587=1,OR(TRIM(U587)="Fail",AND(TRIM(AB587)&lt;&gt;"",TRIM(AB587)&lt;&gt;"Closed"),AND(ISNUMBER(AF587),AF587&lt;&gt;0,TRIM(U587)&lt;&gt;"Pass after CA"))),1,0),1)</f>
        <v>0</v>
      </c>
      <c r="AM587" s="61" t="n">
        <f aca="false">IF(LEFT(AH587,7)="INVALID",1,0)</f>
        <v>0</v>
      </c>
      <c r="AN587" s="61" t="n">
        <f aca="false">IF(AND(N587="Clarification required",AI587=1,AJ587=0),1,0)</f>
        <v>0</v>
      </c>
      <c r="AO587" s="61" t="str">
        <f aca="false">IF(AK587=1,SUM(AK$5:AK587),"")</f>
        <v/>
      </c>
      <c r="AP587" s="61" t="str">
        <f aca="false">IF(AL587=1,SUM(AL$5:AL587),"")</f>
        <v/>
      </c>
      <c r="AQ587" s="61" t="n">
        <v>0</v>
      </c>
      <c r="AR587" s="61" t="n">
        <v>0</v>
      </c>
      <c r="AS587" s="61" t="n">
        <v>0</v>
      </c>
      <c r="AT587" s="61" t="n">
        <v>0</v>
      </c>
      <c r="AU587" s="61" t="str">
        <f aca="false">SUBSTITUTE(SUBSTITUTE(SUBSTITUTE(SUBSTITUTE(SUBSTITUTE(SUBSTITUTE(SUBSTITUTE(SUBSTITUTE(SUBSTITUTE(SUBSTITUTE(SUBSTITUTE(SUBSTITUTE(SUBSTITUTE(SUBSTITUTE(SUBSTITUTE(SUBSTITUTE(LOWER(T587&amp;""),CHAR(10),""),CHAR(13),""),CHAR(9),""),CHAR(160),"")," ",""),".",""),"-",""),"/",""),"?",""),"_",""),",",""),"[",""),"]",""),"(",""),")",""),"*","")</f>
        <v/>
      </c>
      <c r="AV587" s="61" t="str">
        <f aca="false">SUBSTITUTE(SUBSTITUTE(SUBSTITUTE(SUBSTITUTE(SUBSTITUTE(SUBSTITUTE(SUBSTITUTE(SUBSTITUTE(SUBSTITUTE(SUBSTITUTE(SUBSTITUTE(SUBSTITUTE(SUBSTITUTE(SUBSTITUTE(SUBSTITUTE(SUBSTITUTE(LOWER(V587&amp;""),CHAR(10),""),CHAR(13),""),CHAR(9),""),CHAR(160),"")," ",""),".",""),"-",""),"/",""),"?",""),"_",""),",",""),"[",""),"]",""),"(",""),")",""),"*","")</f>
        <v/>
      </c>
      <c r="AW587" s="61" t="str">
        <f aca="false">SUBSTITUTE(SUBSTITUTE(SUBSTITUTE(SUBSTITUTE(SUBSTITUTE(SUBSTITUTE(SUBSTITUTE(SUBSTITUTE(SUBSTITUTE(SUBSTITUTE(SUBSTITUTE(SUBSTITUTE(SUBSTITUTE(SUBSTITUTE(SUBSTITUTE(SUBSTITUTE(LOWER(Z587&amp;""),CHAR(10),""),CHAR(13),""),CHAR(9),""),CHAR(160),"")," ",""),".",""),"-",""),"/",""),"?",""),"_",""),",",""),"[",""),"]",""),"(",""),")",""),"*","")</f>
        <v/>
      </c>
      <c r="AX587" s="61" t="str">
        <f aca="false">SUBSTITUTE(SUBSTITUTE(SUBSTITUTE(SUBSTITUTE(SUBSTITUTE(SUBSTITUTE(SUBSTITUTE(SUBSTITUTE(SUBSTITUTE(SUBSTITUTE(SUBSTITUTE(SUBSTITUTE(SUBSTITUTE(SUBSTITUTE(SUBSTITUTE(SUBSTITUTE(LOWER(AE587&amp;""),CHAR(10),""),CHAR(13),""),CHAR(9),""),CHAR(160),"")," ",""),".",""),"-",""),"/",""),"?",""),"_",""),",",""),"[",""),"]",""),"(",""),")",""),"*","")</f>
        <v/>
      </c>
      <c r="AY587" s="61" t="str">
        <f aca="false">SUBSTITUTE(SUBSTITUTE(SUBSTITUTE(SUBSTITUTE(SUBSTITUTE(SUBSTITUTE(SUBSTITUTE(SUBSTITUTE(SUBSTITUTE(SUBSTITUTE(SUBSTITUTE(SUBSTITUTE(SUBSTITUTE(SUBSTITUTE(SUBSTITUTE(SUBSTITUTE(LOWER(W587&amp;""),CHAR(10),""),CHAR(13),""),CHAR(9),""),CHAR(160),"")," ",""),".",""),"-",""),"/",""),"?",""),"_",""),",",""),"[",""),"]",""),"(",""),")",""),"*","")</f>
        <v/>
      </c>
      <c r="AZ587" s="61" t="str">
        <f aca="false">SUBSTITUTE(SUBSTITUTE(SUBSTITUTE(SUBSTITUTE(SUBSTITUTE(SUBSTITUTE(SUBSTITUTE(SUBSTITUTE(SUBSTITUTE(SUBSTITUTE(SUBSTITUTE(SUBSTITUTE(SUBSTITUTE(SUBSTITUTE(SUBSTITUTE(SUBSTITUTE(LOWER(AC587&amp;""),CHAR(10),""),CHAR(13),""),CHAR(9),""),CHAR(160),"")," ",""),".",""),"-",""),"/",""),"?",""),"_",""),",",""),"[",""),"]",""),"(",""),")",""),"*","")</f>
        <v/>
      </c>
      <c r="BA587" s="61" t="str">
        <f aca="false">SUBSTITUTE(SUBSTITUTE(SUBSTITUTE(SUBSTITUTE(SUBSTITUTE(SUBSTITUTE(SUBSTITUTE(SUBSTITUTE(SUBSTITUTE(SUBSTITUTE(SUBSTITUTE(SUBSTITUTE(SUBSTITUTE(SUBSTITUTE(SUBSTITUTE(SUBSTITUTE(LOWER(AA587&amp;""),CHAR(10),""),CHAR(13),""),CHAR(9),""),CHAR(160),"")," ",""),".",""),"-",""),"/",""),"?",""),"_",""),",",""),"[",""),"]",""),"(",""),")",""),"*","")</f>
        <v/>
      </c>
      <c r="BB587" s="61" t="str">
        <f aca="false">IF(AND(TRIM(U587)="Pass",ISNUMBER(AF587)),IF(AF587&lt;&gt;0,"INVALID – qty variance: use Fail or Pass after CA",""),"")&amp;IF(AND(TRIM(U587)="Pass after CA",ISNUMBER(AF587)),IF(AF587&lt;&gt;0,"INVALID – after the corrective action the actual qty must equal expected (update Actual)",""),"")&amp;IF(AND(TRIM(U587)="Pass",TRIM(AB587)&lt;&gt;"",TRIM(AB587)&lt;&gt;"Closed"),"INVALID – corrective action not closed: use Fail, then Pass after CA","")&amp;IF(AND(LEN(BA587)&gt;=2,ISNA(MATCH(LEFT(BA587,255),L_Placeholder,0)),TRIM(AB587)=""),"INVALID – CA status missing for the recorded corrective action","")&amp;IF(AND(TRIM(U587)="Pass after CA",OR(OR(LEN(BA587)&lt;5,ISNUMBER(MATCH(BA587,L_Placeholder,0))),TRIM(AB587)&lt;&gt;"Closed")),"INVALID – corrective action not recorded/closed","")</f>
        <v/>
      </c>
      <c r="BC587" s="61" t="str">
        <f aca="false">" "&amp;TRIM(SUBSTITUTE(SUBSTITUTE(SUBSTITUTE(SUBSTITUTE(SUBSTITUTE(SUBSTITUTE(SUBSTITUTE(SUBSTITUTE(SUBSTITUTE(SUBSTITUTE(SUBSTITUTE(SUBSTITUTE(SUBSTITUTE(SUBSTITUTE(SUBSTITUTE(SUBSTITUTE(SUBSTITUTE(SUBSTITUTE(SUBSTITUTE(SUBSTITUTE(SUBSTITUTE(SUBSTITUTE(SUBSTITUTE(SUBSTITUTE(LOWER(V587&amp;""),CHAR(10)," "),CHAR(13)," "),CHAR(9)," "),CHAR(160)," "),"."," "),","," "),"-"," "),"/"," "),"("," "),")"," "),":"," "),";"," "),"_"," "),"–"," "),"?"," "),"!"," "),"*"," "),"["," "),"]"," "),"'"," "),"#"," "),"+"," "),"&amp;"," "),"\"," "))&amp;" "</f>
        <v>  </v>
      </c>
      <c r="BD587" s="61" t="str">
        <f aca="false">" "&amp;TRIM(SUBSTITUTE(SUBSTITUTE(SUBSTITUTE(SUBSTITUTE(SUBSTITUTE(SUBSTITUTE(SUBSTITUTE(SUBSTITUTE(SUBSTITUTE(SUBSTITUTE(SUBSTITUTE(SUBSTITUTE(SUBSTITUTE(SUBSTITUTE(SUBSTITUTE(SUBSTITUTE(SUBSTITUTE(SUBSTITUTE(SUBSTITUTE(SUBSTITUTE(SUBSTITUTE(SUBSTITUTE(SUBSTITUTE(SUBSTITUTE(LOWER(Z587&amp;""),CHAR(10)," "),CHAR(13)," "),CHAR(9)," "),CHAR(160)," "),"."," "),","," "),"-"," "),"/"," "),"("," "),")"," "),":"," "),";"," "),"_"," "),"–"," "),"?"," "),"!"," "),"*"," "),"["," "),"]"," "),"'"," "),"#"," "),"+"," "),"&amp;"," "),"\"," "))&amp;" "</f>
        <v>  </v>
      </c>
      <c r="BE587" s="61" t="str">
        <f aca="false">" "&amp;TRIM(SUBSTITUTE(SUBSTITUTE(SUBSTITUTE(SUBSTITUTE(SUBSTITUTE(SUBSTITUTE(SUBSTITUTE(SUBSTITUTE(SUBSTITUTE(SUBSTITUTE(SUBSTITUTE(SUBSTITUTE(SUBSTITUTE(SUBSTITUTE(SUBSTITUTE(SUBSTITUTE(SUBSTITUTE(SUBSTITUTE(SUBSTITUTE(SUBSTITUTE(SUBSTITUTE(SUBSTITUTE(SUBSTITUTE(SUBSTITUTE(LOWER(W587&amp;""),CHAR(10)," "),CHAR(13)," "),CHAR(9)," "),CHAR(160)," "),"."," "),","," "),"-"," "),"/"," "),"("," "),")"," "),":"," "),";"," "),"_"," "),"–"," "),"?"," "),"!"," "),"*"," "),"["," "),"]"," "),"'"," "),"#"," "),"+"," "),"&amp;"," "),"\"," "))&amp;" "</f>
        <v>  </v>
      </c>
      <c r="BF587" s="61" t="str">
        <f aca="false">" "&amp;TRIM(SUBSTITUTE(SUBSTITUTE(SUBSTITUTE(SUBSTITUTE(SUBSTITUTE(SUBSTITUTE(SUBSTITUTE(SUBSTITUTE(SUBSTITUTE(SUBSTITUTE(SUBSTITUTE(SUBSTITUTE(SUBSTITUTE(SUBSTITUTE(SUBSTITUTE(SUBSTITUTE(SUBSTITUTE(SUBSTITUTE(SUBSTITUTE(SUBSTITUTE(SUBSTITUTE(SUBSTITUTE(SUBSTITUTE(SUBSTITUTE(LOWER(AC587&amp;""),CHAR(10)," "),CHAR(13)," "),CHAR(9)," "),CHAR(160)," "),"."," "),","," "),"-"," "),"/"," "),"("," "),")"," "),":"," "),";"," "),"_"," "),"–"," "),"?"," "),"!"," "),"*"," "),"["," "),"]"," "),"'"," "),"#"," "),"+"," "),"&amp;"," "),"\"," "))&amp;" "</f>
        <v>  </v>
      </c>
      <c r="BG587" s="61" t="n">
        <f aca="false">IFERROR(IF(AND(TRIM(U587)="Pass",SUMPRODUCT((LEN(BC587)-LEN(SUBSTITUTE(BC587," "&amp;L_ResultBad&amp;" "," ")))/(LEN(L_ResultBad)+1))&gt;SUMPRODUCT((LEN(BC587)-LEN(SUBSTITUTE(BC587," "&amp;L_NegPhrase&amp;" "," ")))/(LEN(L_NegPhrase)+1))),1,0),0)</f>
        <v>0</v>
      </c>
      <c r="BH587" s="61" t="n">
        <f aca="false">IFERROR(IF(SUMPRODUCT((LEN(BC587)-LEN(SUBSTITUTE(BC587," "&amp;L_Pending&amp;" "," ")))/(LEN(L_Pending)+1))&gt;SUMPRODUCT((LEN(BC587)-LEN(SUBSTITUTE(BC587," "&amp;L_PendNeg&amp;" "," ")))/(LEN(L_PendNeg)+1))+SUMPRODUCT((LEN(BC587)-LEN(SUBSTITUTE(BC587," "&amp;L_PendPrep&amp;" "," ")))/(LEN(L_PendPrep)+1)),1,0),1)</f>
        <v>0</v>
      </c>
      <c r="BI587" s="61" t="n">
        <f aca="false">IFERROR(IF(SUMPRODUCT((LEN(BD587)-LEN(SUBSTITUTE(BD587," "&amp;L_PendStrict&amp;" "," ")))/(LEN(L_PendStrict)+1))&gt;SUMPRODUCT((LEN(BD587)-LEN(SUBSTITUTE(BD587," "&amp;L_PendNeg&amp;" "," ")))/(LEN(L_PendNeg)+1)),1,0),1)</f>
        <v>0</v>
      </c>
      <c r="BJ587" s="61" t="n">
        <f aca="false">IFERROR(IF(SUMPRODUCT((LEN(BE587)-LEN(SUBSTITUTE(BE587," "&amp;L_Pending&amp;" "," ")))/(LEN(L_Pending)+1))&gt;SUMPRODUCT((LEN(BE587)-LEN(SUBSTITUTE(BE587," "&amp;L_PendNeg&amp;" "," ")))/(LEN(L_PendNeg)+1))+SUMPRODUCT((LEN(BE587)-LEN(SUBSTITUTE(BE587," "&amp;L_PendPrep&amp;" "," ")))/(LEN(L_PendPrep)+1)),1,0),1)</f>
        <v>0</v>
      </c>
      <c r="BK587" s="61" t="n">
        <f aca="false">IFERROR(IF(SUMPRODUCT((LEN(BF587)-LEN(SUBSTITUTE(BF587," "&amp;L_PendStrict&amp;" "," ")))/(LEN(L_PendStrict)+1))&gt;SUMPRODUCT((LEN(BF587)-LEN(SUBSTITUTE(BF587," "&amp;L_PendNeg&amp;" "," ")))/(LEN(L_PendNeg)+1)),1,0),1)</f>
        <v>0</v>
      </c>
      <c r="BL587" s="61" t="n">
        <f aca="false">IF(ISNA(MATCH(TRIM(S587),L_EvidenceType,0)),0,BZ587)</f>
        <v>0</v>
      </c>
      <c r="BM587" s="61" t="str">
        <f aca="false">SUBSTITUTE(SUBSTITUTE(SUBSTITUTE(SUBSTITUTE(SUBSTITUTE(SUBSTITUTE(SUBSTITUTE(SUBSTITUTE(SUBSTITUTE(LOWER(Z587&amp;""),"1","0"),"2","0"),"3","0"),"4","0"),"5","0"),"6","0"),"7","0"),"8","0"),"9","0")</f>
        <v/>
      </c>
      <c r="BN587" s="61" t="str">
        <f aca="false">SUBSTITUTE(SUBSTITUTE(SUBSTITUTE(SUBSTITUTE(SUBSTITUTE(SUBSTITUTE(SUBSTITUTE(SUBSTITUTE(SUBSTITUTE(SUBSTITUTE(SUBSTITUTE(SUBSTITUTE(SUBSTITUTE(SUBSTITUTE(SUBSTITUTE(SUBSTITUTE(SUBSTITUTE(SUBSTITUTE(SUBSTITUTE(SUBSTITUTE(SUBSTITUTE(SUBSTITUTE(SUBSTITUTE(SUBSTITUTE(SUBSTITUTE(BM587,"b","a"),"c","a"),"d","a"),"e","a"),"f","a"),"g","a"),"h","a"),"i","a"),"j","a"),"k","a"),"l","a"),"m","a"),"n","a"),"o","a"),"p","a"),"q","a"),"r","a"),"s","a"),"t","a"),"u","a"),"v","a"),"w","a"),"x","a"),"y","a"),"z","a")</f>
        <v/>
      </c>
      <c r="BO587" s="61" t="str">
        <f aca="false">SUBSTITUTE(SUBSTITUTE(SUBSTITUTE(SUBSTITUTE(SUBSTITUTE(SUBSTITUTE(SUBSTITUTE(SUBSTITUTE(SUBSTITUTE(LOWER(W587&amp;""),"1","0"),"2","0"),"3","0"),"4","0"),"5","0"),"6","0"),"7","0"),"8","0"),"9","0")</f>
        <v/>
      </c>
      <c r="BP587" s="61" t="str">
        <f aca="false">SUBSTITUTE(SUBSTITUTE(SUBSTITUTE(SUBSTITUTE(SUBSTITUTE(SUBSTITUTE(SUBSTITUTE(SUBSTITUTE(SUBSTITUTE(SUBSTITUTE(SUBSTITUTE(SUBSTITUTE(SUBSTITUTE(SUBSTITUTE(SUBSTITUTE(SUBSTITUTE(SUBSTITUTE(SUBSTITUTE(SUBSTITUTE(SUBSTITUTE(SUBSTITUTE(SUBSTITUTE(SUBSTITUTE(SUBSTITUTE(SUBSTITUTE(BO587,"b","a"),"c","a"),"d","a"),"e","a"),"f","a"),"g","a"),"h","a"),"i","a"),"j","a"),"k","a"),"l","a"),"m","a"),"n","a"),"o","a"),"p","a"),"q","a"),"r","a"),"s","a"),"t","a"),"u","a"),"v","a"),"w","a"),"x","a"),"y","a"),"z","a")</f>
        <v/>
      </c>
      <c r="BQ587" s="61" t="n">
        <f aca="false">IFERROR(IF(AND(ISERROR(SEARCH(" mh"," "&amp;LOWER(W587))),ISNA(MATCH(LEFT(TRIM(BP587),255),{"0000a","000a","00a","0000aa","000aa","00aa","0aa","0000aaa","000aaa","00a00","0a00","0000-0000","00:00","a00","a0","00.00.0000","00/00/0000","00-00-0000","0000-00-00","0000/00/00","0000.00.00","00.00.00","00/00/00","00-00-00","0.00.0000","0/00/0000","0-00-0000"},0)),ISNA(MATCH(LEFT(TRIM(CA587),255),{"0000a","000a","00a","0000aa","000aa","00aa","0aa","0000aaa","000aaa","00a00","0a00","0000-0000","00:00","a00","a0","00.00.0000","00/00/0000","00-00-0000","0000-00-00","0000/00/00","0000.00.00","00.00.00","00/00/00","00-00-00","0.00.0000","0/00/0000","0-00-0000"},0)),LEN(CB587)&gt;=3,NOT(OR(SUBSTITUTE(CB587,"0","")="",AND(LEN(CB587)&gt;=4,CB587=REPT(LEFT(CB587),LEN(CB587))),ISNUMBER(MATCH(CB587,{"123","1234","12345","123456","1234567","12345678","0123","01234","012345","98765","987654","54321"},0)),AND(LEN(CB587)=8,LEFT(CB587,3)="202"))),OR(AND((LEN(CA587)-LEN(SUBSTITUTE(CA587,"a","")))&gt;=1,SUMPRODUCT(--ISNUMBER(SEARCH({"a0","a-0","a_0","a/0","a.0","a#0","0a","0-a","0_a","0/a"},BP587)))&gt;0),ISNUMBER(SEARCH("000000",BP587)))),1,0),0)</f>
        <v>0</v>
      </c>
      <c r="BR587" s="61" t="n">
        <f aca="false">IFERROR(LEN(SUBSTITUTE(CC587," ",""))-SUMPRODUCT((LEN(CC587)-LEN(SUBSTITUTE(CC587," "&amp;L_Role&amp;" "," ")))/(LEN(L_Role)+1)*LEN(L_Role)),0)</f>
        <v>0</v>
      </c>
      <c r="BS587" s="61" t="n">
        <f aca="false">IFERROR(LEN(SUBSTITUTE(CD587," ",""))-SUMPRODUCT((LEN(CD587)-LEN(SUBSTITUTE(CD587," "&amp;L_Role&amp;" "," ")))/(LEN(L_Role)+1)*LEN(L_Role)),0)</f>
        <v>0</v>
      </c>
      <c r="BT5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587,"revision",""),"version",""),"jan",""),"feb",""),"mar",""),"apr",""),"may",""),"jun",""),"jul",""),"aug",""),"sep",""),"oct",""),"nov",""),"dec",""),"utc",""),"gmt",""),"myt",""),"bst",""),"rev",""),"ver",""),"b","a"),"c","a"),"d","a"),"e","a"),"f","a"),"g","a"),"h","a"),"i","a"),"j","a"),"k","a"),"l","a"),"m","a"),"n","a"),"o","a"),"p","a"),"q","a"),"r","a"),"s","a"),"t","a"),"u","a"),"v","a"),"w","a"),"x","a"),"y","a"),"z","a")</f>
        <v/>
      </c>
      <c r="BU587" s="61" t="str">
        <f aca="false">SUBSTITUTE(SUBSTITUTE(SUBSTITUTE(SUBSTITUTE(SUBSTITUTE(SUBSTITUTE(SUBSTITUTE(SUBSTITUTE(SUBSTITUTE(SUBSTITUTE(LEFT(BM587,FIND("0",BM587&amp;"0")-1),"-",""),"_",""),"/",""),".",""),"#",""),"\\",""),":","")," ",""),"(",""),")","")</f>
        <v/>
      </c>
      <c r="BV587" s="61" t="n">
        <f aca="false">0</f>
        <v>0</v>
      </c>
      <c r="BW5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587&amp;""),"a",""),"b",""),"c",""),"d",""),"e",""),"f",""),"g",""),"h",""),"i",""),"j",""),"k",""),"l",""),"m",""),"n",""),"o",""),"p",""),"q",""),"r",""),"s",""),"t",""),"u",""),"v",""),"w",""),"x",""),"y",""),"z",""),"-",""),"_",""),"/",""),".",""),"#",""),"\\",""),":","")," ",""),"(",""),")","")</f>
        <v/>
      </c>
      <c r="BX587" s="61" t="str">
        <f aca="false">SUBSTITUTE(SUBSTITUTE(SUBSTITUTE(SUBSTITUTE(SUBSTITUTE(SUBSTITUTE(SUBSTITUTE(SUBSTITUTE(SUBSTITUTE(SUBSTITUTE(SUBSTITUTE(BM587,"0",""),"-",""),"_",""),"/",""),".",""),"#",""),"\\",""),":","")," ",""),"(",""),")","")</f>
        <v/>
      </c>
      <c r="BY587" s="62" t="n">
        <f aca="false">Q587-T12EarlyH/24</f>
        <v>46321.6006944444</v>
      </c>
      <c r="BZ587" s="61" t="n">
        <f aca="false">IFERROR(IF(IF(TRIM(S587)="Link / file path",AND(LEN(TRIM(Z587))&gt;=5,SUMPRODUCT(--ISNUMBER(SEARCH({"http","www.","\\",":\",".pdf",".jpg",".jpeg",".png",".heic",".xls",".doc",".msg",".eml",".ppt",".txt",".zip"},Z587)))&gt;0),AND(ISERROR(FIND(" ",TRIM(Z587))),NOT(OR(SUMPRODUCT(--ISNUMBER(FIND({",",";","&amp;","+"},Z587)))&gt;0,SUMPRODUCT(--ISNUMBER(SEARCH({"0/aa","0\\aa"},BN587)))&gt;0)),NOT(SUMPRODUCT(--ISNUMBER(SEARCH({"http","www.","\\",":\",".pdf",".jpg",".jpeg",".png",".heic",".xls",".doc",".msg",".eml",".ppt",".txt",".zip"},Z587)))&gt;0),NOT(LOWER(TRIM(Z587))=LOWER(Flights!$F$22)),ISNA(MATCH(BU587,{"mh","rev","revision","ver","version","v","r","a","b","seat","tray","row","gate","bay","stand","page","pg","item","line","no","cart","galley","flight","flt","table","box","bag","oven","etd","eta","std","sta","atd","ata","qty","pax","x","time","tel","ph","mob","day","wk","week","utc","gmt","myt","lt"},0)),NOT(OR(ISNUMBER(MATCH(LEFT(BN587,255),{"0000a","000a","00a","0000aa","000aa","00aa","0aa","0000aaa","000aaa","00a00","0a00","0000-0000","00:00","a00","a0","00.00.0000","00/00/0000","00-00-0000","0000-00-00","0000/00/00","0000.00.00","00.00.00","00/00/00","00-00-00","0.00.0000","0/00/0000","0-00-0000"},0)),ISNUMBER(MATCH(LEFT(BT587,255),{"0000a","000a","00a","0000aa","000aa","00aa","0aa","0000aaa","000aaa","00a00","0a00","0000-0000","00:00","a00","a0","00.00.0000","00/00/0000","00-00-0000","0000-00-00","0000/00/00","0000.00.00","00.00.00","00/00/00","00-00-00","0.00.0000","0/00/0000","0-00-0000"},0)))),NOT(OR(AND(BW587&lt;&gt;"",SUBSTITUTE(BW587,"0","")=""),AND(LEN(BW587)&gt;=4,BW587=REPT(LEFT(BW587),LEN(BW587))),ISNUMBER(MATCH(BW587,{"123","1234","12345","123456","1234567","12345678","0123","01234","012345","98765","987654","54321"},0)),ISNUMBER(MATCH(BX587,{"x","xx","xxx","xxxx","xxxxx","abc","abcd","nil","na","nan","test","tbc","tba","tbd","dummy","sample","example","eg","zz","zzz","none","null","xyz","qwe","asd","id","ref"},0)),AND(LEN(BW587)=8,BX587="",OR(LEFT(BW587,3)="202",ISNUMBER(MATCH(RIGHT(BW587,4),{"2025","2026","2027"},0)))))),OR(AND((LEN(BT587)-LEN(SUBSTITUTE(BT587,"a","")))&gt;=1,(LEN(BN587)-LEN(SUBSTITUTE(BN587,"0","")))&gt;=2,SUMPRODUCT(--ISNUMBER(SEARCH({"a0","a-0","a_0","a/0","a.0","a#0","0a","0-a","0_a","0/a"},BN587)))&gt;0),AND((LEN(BN587)-LEN(SUBSTITUTE(BN587,"a","")))=0,(LEN(BN587)-LEN(SUBSTITUTE(BN587,"0","")))&gt;=5)))),1,0),0)</f>
        <v>0</v>
      </c>
      <c r="CA5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587,"revision",""),"version",""),"jan",""),"feb",""),"mar",""),"apr",""),"may",""),"jun",""),"jul",""),"aug",""),"sep",""),"oct",""),"nov",""),"dec",""),"utc",""),"gmt",""),"myt",""),"bst",""),"rev",""),"ver",""),"b","a"),"c","a"),"d","a"),"e","a"),"f","a"),"g","a"),"h","a"),"i","a"),"j","a"),"k","a"),"l","a"),"m","a"),"n","a"),"o","a"),"p","a"),"q","a"),"r","a"),"s","a"),"t","a"),"u","a"),"v","a"),"w","a"),"x","a"),"y","a"),"z","a")</f>
        <v/>
      </c>
      <c r="CB5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587&amp;""),"a",""),"b",""),"c",""),"d",""),"e",""),"f",""),"g",""),"h",""),"i",""),"j",""),"k",""),"l",""),"m",""),"n",""),"o",""),"p",""),"q",""),"r",""),"s",""),"t",""),"u",""),"v",""),"w",""),"x",""),"y",""),"z",""),"-",""),"_",""),"/",""),".",""),"#",""),"\\",""),":","")," ",""),"(",""),")","")</f>
        <v/>
      </c>
      <c r="CC587" s="0" t="str">
        <f aca="false">" "&amp;TRIM(SUBSTITUTE(SUBSTITUTE(SUBSTITUTE(SUBSTITUTE(SUBSTITUTE(SUBSTITUTE(SUBSTITUTE(SUBSTITUTE(SUBSTITUTE(SUBSTITUTE(SUBSTITUTE(SUBSTITUTE(SUBSTITUTE(SUBSTITUTE(SUBSTITUTE(SUBSTITUTE(SUBSTITUTE(SUBSTITUTE(SUBSTITUTE(SUBSTITUTE(SUBSTITUTE(SUBSTITUTE(SUBSTITUTE(SUBSTITUTE(LOWER(T587&amp;""),CHAR(10)," "),CHAR(13)," "),CHAR(9)," "),CHAR(160)," "),"."," "),","," "),"-"," "),"/"," "),"("," "),")"," "),":"," "),";"," "),"_"," "),"–"," "),"?"," "),"!"," "),"*"," "),"["," "),"]"," "),"'"," "),"#"," "),"+"," "),"&amp;"," "),"\"," "))&amp;" "</f>
        <v>  </v>
      </c>
      <c r="CD587" s="0" t="str">
        <f aca="false">" "&amp;TRIM(SUBSTITUTE(SUBSTITUTE(SUBSTITUTE(SUBSTITUTE(SUBSTITUTE(SUBSTITUTE(SUBSTITUTE(SUBSTITUTE(SUBSTITUTE(SUBSTITUTE(SUBSTITUTE(SUBSTITUTE(SUBSTITUTE(SUBSTITUTE(SUBSTITUTE(SUBSTITUTE(SUBSTITUTE(SUBSTITUTE(SUBSTITUTE(SUBSTITUTE(SUBSTITUTE(SUBSTITUTE(SUBSTITUTE(SUBSTITUTE(LOWER(AE587&amp;""),CHAR(10)," "),CHAR(13)," "),CHAR(9)," "),CHAR(160)," "),"."," "),","," "),"-"," "),"/"," "),"("," "),")"," "),":"," "),";"," "),"_"," "),"–"," "),"?"," "),"!"," "),"*"," "),"["," "),"]"," "),"'"," "),"#"," "),"+"," "),"&amp;"," "),"\"," "))&amp;" "</f>
        <v>  </v>
      </c>
      <c r="CE587" s="68" t="n">
        <f aca="false">IFERROR(IF(AND(LEN(AU587)&gt;0,LEN(AU587)=LEN(AX587),OR(TRIM(MID(SUBSTITUTE(TRIM(CC587)," ",REPT(" ",60)),1,60))="",ISNUMBER(SEARCH(" "&amp;TRIM(MID(SUBSTITUTE(TRIM(CC587)," ",REPT(" ",60)),1,60))&amp;" ",CD587))),OR(TRIM(MID(SUBSTITUTE(TRIM(CC587)," ",REPT(" ",60)),61,60))="",ISNUMBER(SEARCH(" "&amp;TRIM(MID(SUBSTITUTE(TRIM(CC587)," ",REPT(" ",60)),61,60))&amp;" ",CD587))),OR(TRIM(MID(SUBSTITUTE(TRIM(CC587)," ",REPT(" ",60)),121,60))="",ISNUMBER(SEARCH(" "&amp;TRIM(MID(SUBSTITUTE(TRIM(CC587)," ",REPT(" ",60)),121,60))&amp;" ",CD587)))),1,0),0)</f>
        <v>0</v>
      </c>
      <c r="CG587" s="68" t="n">
        <f aca="false">IFERROR(LEN(SUBSTITUTE(BF587," ",""))-SUMPRODUCT((LEN(BF587)-LEN(SUBSTITUTE(BF587," "&amp;L_NAFiller&amp;" "," ")))/(LEN(L_NAFiller)+1)*LEN(L_NAFiller)),0)</f>
        <v>0</v>
      </c>
    </row>
    <row r="588" customFormat="false" ht="39.75" hidden="false" customHeight="true" outlineLevel="0" collapsed="false">
      <c r="A588" s="57" t="s">
        <v>1282</v>
      </c>
      <c r="B588" s="57" t="s">
        <v>293</v>
      </c>
      <c r="C588" s="57" t="str">
        <f aca="false">Flights!$F$22</f>
        <v>MH0052</v>
      </c>
      <c r="D588" s="58" t="n">
        <f aca="false">Flights!$D$22</f>
        <v>46322</v>
      </c>
      <c r="E588" s="57" t="str">
        <f aca="false">Flights!$G$22&amp;"-"&amp;Flights!$H$22</f>
        <v>KUL-KIX</v>
      </c>
      <c r="F588" s="57" t="str">
        <f aca="false">Flights!$K$22</f>
        <v>BC</v>
      </c>
      <c r="G588" s="57" t="s">
        <v>420</v>
      </c>
      <c r="H588" s="57" t="s">
        <v>378</v>
      </c>
      <c r="I588" s="57" t="s">
        <v>428</v>
      </c>
      <c r="J588" s="57" t="s">
        <v>433</v>
      </c>
      <c r="K588" s="67"/>
      <c r="L588" s="67" t="s">
        <v>422</v>
      </c>
      <c r="M588" s="67"/>
      <c r="N588" s="67" t="s">
        <v>383</v>
      </c>
      <c r="O588" s="67" t="s">
        <v>423</v>
      </c>
      <c r="P588" s="57" t="s">
        <v>187</v>
      </c>
      <c r="Q588" s="59" t="n">
        <f aca="false">ROUND((Flights!$AE$22)*1440,0)/1440</f>
        <v>46322.1006944444</v>
      </c>
      <c r="R588" s="59" t="n">
        <f aca="false">Q588+(IF(AND(INDEX(TZ_DSTS,MATCH(P588,TZ_STN,0))&lt;&gt;"",Q588&gt;=INDEX(TZ_DSTS,MATCH(P588,TZ_STN,0)),Q588&lt;INDEX(TZ_DSTE,MATCH(P588,TZ_STN,0))),INDEX(TZ_DST,MATCH(P588,TZ_STN,0)),INDEX(TZ_STD,MATCH(P588,TZ_STN,0))))/24</f>
        <v>46322.4340277778</v>
      </c>
      <c r="S588" s="60"/>
      <c r="T588" s="60"/>
      <c r="U588" s="60"/>
      <c r="V588" s="60"/>
      <c r="W588" s="61"/>
      <c r="X588" s="60"/>
      <c r="Y588" s="60"/>
      <c r="Z588" s="60"/>
      <c r="AA588" s="60"/>
      <c r="AB588" s="60"/>
      <c r="AC588" s="60"/>
      <c r="AD588" s="66"/>
      <c r="AE588" s="60"/>
      <c r="AF588" s="61" t="str">
        <f aca="false">IF(AND(ISNUMBER(X588),ISNUMBER(Y588)),Y588-X588,"")</f>
        <v/>
      </c>
      <c r="AG588" s="62" t="str">
        <f aca="false">IF(ISNUMBER(AD588),AD588-(IF(AND(INDEX(TZ_DSTS,MATCH(P588,TZ_STN,0))&lt;&gt;"",(AD588-INDEX(TZ_STD,MATCH(P588,TZ_STN,0))/24)&gt;=INDEX(TZ_DSTS,MATCH(P588,TZ_STN,0)),(AD588-INDEX(TZ_STD,MATCH(P588,TZ_STN,0))/24)&lt;INDEX(TZ_DSTE,MATCH(P588,TZ_STN,0))),INDEX(TZ_DST,MATCH(P588,TZ_STN,0)),INDEX(TZ_STD,MATCH(P588,TZ_STN,0))))/24,"")</f>
        <v/>
      </c>
      <c r="AH588" s="65" t="str">
        <f aca="false">IFERROR(IF(N588="N/A – rule",IF(OR(TRIM(U588)="",TRIM(U588)="N/A",TRIM(U588)="Not started"),"N/A – RULE","INVALID – this check does not apply to this aircraft: clear the status (or correct the fleet on Flights)"),IF(TRIM(U588)="N/A",IF(AT588=0,"INVALID – N/A not permitted for this check",IF(AND(TRIM(AB588)&lt;&gt;"",TRIM(AB588)&lt;&gt;"Closed"),"INVALID – corrective action still open",IF(AND(NOT(OR(LEN(AZ588)&lt;15,ISNUMBER(MATCH(AZ588,L_Placeholder,0)))),BK588=0,CG588&gt;=8,NOT(OR(LEN(AU588)&lt;2,ISNUMBER(MATCH(AU588,L_Placeholder,0)))),BR588&gt;=3,NOT(OR(LEN(AX588)&lt;2,ISNUMBER(MATCH(AX588,L_Placeholder,0)))),BS588&gt;=3,TRIM(AE588)&lt;&gt;TRIM(T588),AX588&lt;&gt;AU588,CE588=0),"N/A – JUSTIFIED","INVALID – N/A needs a real, settled reason (not 'not applicable' / 'as above' / TBC), a named PIC and a different named verifier"))),IF(OR(TRIM(U588)="Pass",TRIM(U588)="Pass after CA"),IF(NOT(ISNUMBER(AD588)),"INVALID – completion time missing",IF(OR(OR(LEN(AU588)&lt;2,ISNUMBER(MATCH(AU588,L_Placeholder,0))),BR588&lt;3),"INVALID – PIC missing or not a named person (a role such as QA / CSM is not a name)",IF(OR(LEN(AV588)&lt;2,ISNUMBER(MATCH(AV588,L_Placeholder,0))),"INVALID – result / assessment missing",IF(OR(OR(LEN(AW588)&lt;3,ISNUMBER(MATCH(AW588,L_Placeholder,0))),SUMPRODUCT(--ISNUMBER(SEARCH(" "&amp;L_EvidencePhrase&amp;" ",BD588)))&gt;0,BI588=1),"INVALID – evidence missing, placeholder or not yet on file",IF(ISNA(MATCH(TRIM(S588),L_EvidenceType,0)),"INVALID – choose the evidence type from the list (column S)",IF(BL588=0,"INVALID – evidence ID must be the record's own ID only (e.g. SF-2210, IMG_2231, 1045521); a link / file name needs type 'Link / file path'",IF(OR(OR(LEN(AX588)&lt;2,ISNUMBER(MATCH(AX588,L_Placeholder,0))),BS588&lt;3),"INVALID – verifier missing or not a named person (a role such as QA / CSM is not a name)",IF(OR(AX588=AU588,CE588=1,AND(LEN(AU588)&gt;=4,ISNUMBER(SEARCH(AU588,AX588))),AND(LEN(AX588)&gt;=4,ISNUMBER(SEARCH(AX588,AU588)))),"INVALID – verifier must be a different, named person (not the PIC or a role)",IF(BH588=1,"INVALID – result not yet available (awaiting / TBC)",IF(BG588=1,"INVALID – result describes a problem: record Fail, then Pass after CA (or reword if it is not a problem)",IF(BV588=1,"INVALID – wording says not on board: an on-board confirmation needs the item loaded",IF(AND(AQ588=1,OR(OR(LEN(AY588)&lt;3,ISNUMBER(MATCH(AY588,L_Placeholder,0))),BJ588=1,BQ588=0)),"INVALID – batch ID missing, placeholder or not an ID (e.g. PASB-261008-BC-017)",IF(AND(AR588=1,OR(NOT(ISNUMBER(X588)),NOT(ISNUMBER(Y588)))),"INVALID – expected/actual qty missing",IF(AND(AR588=1,OR(X588&lt;=0,Y588&lt;0)),"INVALID – expected qty must be above 0 and actual not negative",IF(BB588&lt;&gt;"",BB588,IF(AND(AS588=1,Documents!$J$22&lt;&gt;"ON FILE"),"INVALID – GLD not on file (Documents sheet)",IF(AND(AS588=2,Documents!$O$22&lt;&gt;"ON FILE"),"INVALID – menu checklist not on file (Documents sheet)",IF(AND(AS588=3,NOT(ISNUMBER(Flights!$AX$22))),"INVALID – enter carrying flight KUL departure (Flights AX)",IF(AND(AS588=3,OR(Flights!$AZ$22&gt;Flights!$AA$22,Flights!$AX$22&lt;Flights!$AA$22-3)),"INVALID – carrying flight (Flights AX) cannot arrive before this leg's STD, or is over 3 days early",IF(AG588&gt;AsOfUTC,"INVALID – completion time is in the future",IF(AND(ISNUMBER(BY588),AG588&lt;BY588),IF(H588="Physical uplift","INVALID – before uplift window (cannot confirm loading)","INVALID – before valid window"),IF(AG588&gt;Flights!$AA$22,"INVALID – completed after departure (cannot establish readiness)",IF(AND(H588="Preparation",AG588&gt;=IF(ISNUMBER(Flights!$BA$22),MIN(Flights!$BA$22,Flights!$AA$22),Flights!$AA$22)),"INVALID – completed after loading / departure (cannot establish readiness)",IF(AND(H588="Physical uplift",AG588&gt;Q588),"INVALID – recorded after the loading flight departed",IF(AG588&gt;Q588,"COMPLETE – LATE","COMPLETE"))))))))))))))))))))))))),IF(TRIM(U588)="Fail","FAIL – DISCREPANCY",IF(AND(TRIM(U588)&lt;&gt;"",TRIM(U588)&lt;&gt;"Not started",TRIM(U588)&lt;&gt;"In progress"),"INVALID – unrecognised status (use the list)",IF(AsOfUTC&gt;Q588,"OVERDUE",IF(N588="Clarification required","OPEN – CLARIFICATION","OPEN"))))))),"INVALID – error value in an input cell")</f>
        <v>OPEN</v>
      </c>
      <c r="AI588" s="61" t="n">
        <f aca="false">IF(OR(AH588="N/A – RULE",AH588="N/A – JUSTIFIED"),0,1)</f>
        <v>1</v>
      </c>
      <c r="AJ588" s="61" t="n">
        <f aca="false">IF(LEFT(AH588,8)="COMPLETE",1,0)</f>
        <v>0</v>
      </c>
      <c r="AK588" s="61" t="n">
        <f aca="false">IF(AND(AI588=1,AJ588=0,AsOfUTC&gt;Q588),1,0)</f>
        <v>0</v>
      </c>
      <c r="AL588" s="61" t="n">
        <f aca="false">IFERROR(IF(AND(AI588=1,OR(TRIM(U588)="Fail",AND(TRIM(AB588)&lt;&gt;"",TRIM(AB588)&lt;&gt;"Closed"),AND(ISNUMBER(AF588),AF588&lt;&gt;0,TRIM(U588)&lt;&gt;"Pass after CA"))),1,0),1)</f>
        <v>0</v>
      </c>
      <c r="AM588" s="61" t="n">
        <f aca="false">IF(LEFT(AH588,7)="INVALID",1,0)</f>
        <v>0</v>
      </c>
      <c r="AN588" s="61" t="n">
        <f aca="false">IF(AND(N588="Clarification required",AI588=1,AJ588=0),1,0)</f>
        <v>0</v>
      </c>
      <c r="AO588" s="61" t="str">
        <f aca="false">IF(AK588=1,SUM(AK$5:AK588),"")</f>
        <v/>
      </c>
      <c r="AP588" s="61" t="str">
        <f aca="false">IF(AL588=1,SUM(AL$5:AL588),"")</f>
        <v/>
      </c>
      <c r="AQ588" s="61" t="n">
        <v>0</v>
      </c>
      <c r="AR588" s="61" t="n">
        <v>0</v>
      </c>
      <c r="AS588" s="61" t="n">
        <v>0</v>
      </c>
      <c r="AT588" s="61" t="n">
        <v>0</v>
      </c>
      <c r="AU588" s="61" t="str">
        <f aca="false">SUBSTITUTE(SUBSTITUTE(SUBSTITUTE(SUBSTITUTE(SUBSTITUTE(SUBSTITUTE(SUBSTITUTE(SUBSTITUTE(SUBSTITUTE(SUBSTITUTE(SUBSTITUTE(SUBSTITUTE(SUBSTITUTE(SUBSTITUTE(SUBSTITUTE(SUBSTITUTE(LOWER(T588&amp;""),CHAR(10),""),CHAR(13),""),CHAR(9),""),CHAR(160),"")," ",""),".",""),"-",""),"/",""),"?",""),"_",""),",",""),"[",""),"]",""),"(",""),")",""),"*","")</f>
        <v/>
      </c>
      <c r="AV588" s="61" t="str">
        <f aca="false">SUBSTITUTE(SUBSTITUTE(SUBSTITUTE(SUBSTITUTE(SUBSTITUTE(SUBSTITUTE(SUBSTITUTE(SUBSTITUTE(SUBSTITUTE(SUBSTITUTE(SUBSTITUTE(SUBSTITUTE(SUBSTITUTE(SUBSTITUTE(SUBSTITUTE(SUBSTITUTE(LOWER(V588&amp;""),CHAR(10),""),CHAR(13),""),CHAR(9),""),CHAR(160),"")," ",""),".",""),"-",""),"/",""),"?",""),"_",""),",",""),"[",""),"]",""),"(",""),")",""),"*","")</f>
        <v/>
      </c>
      <c r="AW588" s="61" t="str">
        <f aca="false">SUBSTITUTE(SUBSTITUTE(SUBSTITUTE(SUBSTITUTE(SUBSTITUTE(SUBSTITUTE(SUBSTITUTE(SUBSTITUTE(SUBSTITUTE(SUBSTITUTE(SUBSTITUTE(SUBSTITUTE(SUBSTITUTE(SUBSTITUTE(SUBSTITUTE(SUBSTITUTE(LOWER(Z588&amp;""),CHAR(10),""),CHAR(13),""),CHAR(9),""),CHAR(160),"")," ",""),".",""),"-",""),"/",""),"?",""),"_",""),",",""),"[",""),"]",""),"(",""),")",""),"*","")</f>
        <v/>
      </c>
      <c r="AX588" s="61" t="str">
        <f aca="false">SUBSTITUTE(SUBSTITUTE(SUBSTITUTE(SUBSTITUTE(SUBSTITUTE(SUBSTITUTE(SUBSTITUTE(SUBSTITUTE(SUBSTITUTE(SUBSTITUTE(SUBSTITUTE(SUBSTITUTE(SUBSTITUTE(SUBSTITUTE(SUBSTITUTE(SUBSTITUTE(LOWER(AE588&amp;""),CHAR(10),""),CHAR(13),""),CHAR(9),""),CHAR(160),"")," ",""),".",""),"-",""),"/",""),"?",""),"_",""),",",""),"[",""),"]",""),"(",""),")",""),"*","")</f>
        <v/>
      </c>
      <c r="AY588" s="61" t="str">
        <f aca="false">SUBSTITUTE(SUBSTITUTE(SUBSTITUTE(SUBSTITUTE(SUBSTITUTE(SUBSTITUTE(SUBSTITUTE(SUBSTITUTE(SUBSTITUTE(SUBSTITUTE(SUBSTITUTE(SUBSTITUTE(SUBSTITUTE(SUBSTITUTE(SUBSTITUTE(SUBSTITUTE(LOWER(W588&amp;""),CHAR(10),""),CHAR(13),""),CHAR(9),""),CHAR(160),"")," ",""),".",""),"-",""),"/",""),"?",""),"_",""),",",""),"[",""),"]",""),"(",""),")",""),"*","")</f>
        <v/>
      </c>
      <c r="AZ588" s="61" t="str">
        <f aca="false">SUBSTITUTE(SUBSTITUTE(SUBSTITUTE(SUBSTITUTE(SUBSTITUTE(SUBSTITUTE(SUBSTITUTE(SUBSTITUTE(SUBSTITUTE(SUBSTITUTE(SUBSTITUTE(SUBSTITUTE(SUBSTITUTE(SUBSTITUTE(SUBSTITUTE(SUBSTITUTE(LOWER(AC588&amp;""),CHAR(10),""),CHAR(13),""),CHAR(9),""),CHAR(160),"")," ",""),".",""),"-",""),"/",""),"?",""),"_",""),",",""),"[",""),"]",""),"(",""),")",""),"*","")</f>
        <v/>
      </c>
      <c r="BA588" s="61" t="str">
        <f aca="false">SUBSTITUTE(SUBSTITUTE(SUBSTITUTE(SUBSTITUTE(SUBSTITUTE(SUBSTITUTE(SUBSTITUTE(SUBSTITUTE(SUBSTITUTE(SUBSTITUTE(SUBSTITUTE(SUBSTITUTE(SUBSTITUTE(SUBSTITUTE(SUBSTITUTE(SUBSTITUTE(LOWER(AA588&amp;""),CHAR(10),""),CHAR(13),""),CHAR(9),""),CHAR(160),"")," ",""),".",""),"-",""),"/",""),"?",""),"_",""),",",""),"[",""),"]",""),"(",""),")",""),"*","")</f>
        <v/>
      </c>
      <c r="BB588" s="61" t="str">
        <f aca="false">IF(AND(TRIM(U588)="Pass",ISNUMBER(AF588)),IF(AF588&lt;&gt;0,"INVALID – qty variance: use Fail or Pass after CA",""),"")&amp;IF(AND(TRIM(U588)="Pass after CA",ISNUMBER(AF588)),IF(AF588&lt;&gt;0,"INVALID – after the corrective action the actual qty must equal expected (update Actual)",""),"")&amp;IF(AND(TRIM(U588)="Pass",TRIM(AB588)&lt;&gt;"",TRIM(AB588)&lt;&gt;"Closed"),"INVALID – corrective action not closed: use Fail, then Pass after CA","")&amp;IF(AND(LEN(BA588)&gt;=2,ISNA(MATCH(LEFT(BA588,255),L_Placeholder,0)),TRIM(AB588)=""),"INVALID – CA status missing for the recorded corrective action","")&amp;IF(AND(TRIM(U588)="Pass after CA",OR(OR(LEN(BA588)&lt;5,ISNUMBER(MATCH(BA588,L_Placeholder,0))),TRIM(AB588)&lt;&gt;"Closed")),"INVALID – corrective action not recorded/closed","")</f>
        <v/>
      </c>
      <c r="BC588" s="61" t="str">
        <f aca="false">" "&amp;TRIM(SUBSTITUTE(SUBSTITUTE(SUBSTITUTE(SUBSTITUTE(SUBSTITUTE(SUBSTITUTE(SUBSTITUTE(SUBSTITUTE(SUBSTITUTE(SUBSTITUTE(SUBSTITUTE(SUBSTITUTE(SUBSTITUTE(SUBSTITUTE(SUBSTITUTE(SUBSTITUTE(SUBSTITUTE(SUBSTITUTE(SUBSTITUTE(SUBSTITUTE(SUBSTITUTE(SUBSTITUTE(SUBSTITUTE(SUBSTITUTE(LOWER(V588&amp;""),CHAR(10)," "),CHAR(13)," "),CHAR(9)," "),CHAR(160)," "),"."," "),","," "),"-"," "),"/"," "),"("," "),")"," "),":"," "),";"," "),"_"," "),"–"," "),"?"," "),"!"," "),"*"," "),"["," "),"]"," "),"'"," "),"#"," "),"+"," "),"&amp;"," "),"\"," "))&amp;" "</f>
        <v>  </v>
      </c>
      <c r="BD588" s="61" t="str">
        <f aca="false">" "&amp;TRIM(SUBSTITUTE(SUBSTITUTE(SUBSTITUTE(SUBSTITUTE(SUBSTITUTE(SUBSTITUTE(SUBSTITUTE(SUBSTITUTE(SUBSTITUTE(SUBSTITUTE(SUBSTITUTE(SUBSTITUTE(SUBSTITUTE(SUBSTITUTE(SUBSTITUTE(SUBSTITUTE(SUBSTITUTE(SUBSTITUTE(SUBSTITUTE(SUBSTITUTE(SUBSTITUTE(SUBSTITUTE(SUBSTITUTE(SUBSTITUTE(LOWER(Z588&amp;""),CHAR(10)," "),CHAR(13)," "),CHAR(9)," "),CHAR(160)," "),"."," "),","," "),"-"," "),"/"," "),"("," "),")"," "),":"," "),";"," "),"_"," "),"–"," "),"?"," "),"!"," "),"*"," "),"["," "),"]"," "),"'"," "),"#"," "),"+"," "),"&amp;"," "),"\"," "))&amp;" "</f>
        <v>  </v>
      </c>
      <c r="BE588" s="61" t="str">
        <f aca="false">" "&amp;TRIM(SUBSTITUTE(SUBSTITUTE(SUBSTITUTE(SUBSTITUTE(SUBSTITUTE(SUBSTITUTE(SUBSTITUTE(SUBSTITUTE(SUBSTITUTE(SUBSTITUTE(SUBSTITUTE(SUBSTITUTE(SUBSTITUTE(SUBSTITUTE(SUBSTITUTE(SUBSTITUTE(SUBSTITUTE(SUBSTITUTE(SUBSTITUTE(SUBSTITUTE(SUBSTITUTE(SUBSTITUTE(SUBSTITUTE(SUBSTITUTE(LOWER(W588&amp;""),CHAR(10)," "),CHAR(13)," "),CHAR(9)," "),CHAR(160)," "),"."," "),","," "),"-"," "),"/"," "),"("," "),")"," "),":"," "),";"," "),"_"," "),"–"," "),"?"," "),"!"," "),"*"," "),"["," "),"]"," "),"'"," "),"#"," "),"+"," "),"&amp;"," "),"\"," "))&amp;" "</f>
        <v>  </v>
      </c>
      <c r="BF588" s="61" t="str">
        <f aca="false">" "&amp;TRIM(SUBSTITUTE(SUBSTITUTE(SUBSTITUTE(SUBSTITUTE(SUBSTITUTE(SUBSTITUTE(SUBSTITUTE(SUBSTITUTE(SUBSTITUTE(SUBSTITUTE(SUBSTITUTE(SUBSTITUTE(SUBSTITUTE(SUBSTITUTE(SUBSTITUTE(SUBSTITUTE(SUBSTITUTE(SUBSTITUTE(SUBSTITUTE(SUBSTITUTE(SUBSTITUTE(SUBSTITUTE(SUBSTITUTE(SUBSTITUTE(LOWER(AC588&amp;""),CHAR(10)," "),CHAR(13)," "),CHAR(9)," "),CHAR(160)," "),"."," "),","," "),"-"," "),"/"," "),"("," "),")"," "),":"," "),";"," "),"_"," "),"–"," "),"?"," "),"!"," "),"*"," "),"["," "),"]"," "),"'"," "),"#"," "),"+"," "),"&amp;"," "),"\"," "))&amp;" "</f>
        <v>  </v>
      </c>
      <c r="BG588" s="61" t="n">
        <f aca="false">IFERROR(IF(AND(TRIM(U588)="Pass",SUMPRODUCT((LEN(BC588)-LEN(SUBSTITUTE(BC588," "&amp;L_ResultBad&amp;" "," ")))/(LEN(L_ResultBad)+1))&gt;SUMPRODUCT((LEN(BC588)-LEN(SUBSTITUTE(BC588," "&amp;L_NegPhrase&amp;" "," ")))/(LEN(L_NegPhrase)+1))),1,0),0)</f>
        <v>0</v>
      </c>
      <c r="BH588" s="61" t="n">
        <f aca="false">IFERROR(IF(SUMPRODUCT((LEN(BC588)-LEN(SUBSTITUTE(BC588," "&amp;L_Pending&amp;" "," ")))/(LEN(L_Pending)+1))&gt;SUMPRODUCT((LEN(BC588)-LEN(SUBSTITUTE(BC588," "&amp;L_PendNeg&amp;" "," ")))/(LEN(L_PendNeg)+1))+SUMPRODUCT((LEN(BC588)-LEN(SUBSTITUTE(BC588," "&amp;L_PendPrep&amp;" "," ")))/(LEN(L_PendPrep)+1)),1,0),1)</f>
        <v>0</v>
      </c>
      <c r="BI588" s="61" t="n">
        <f aca="false">IFERROR(IF(SUMPRODUCT((LEN(BD588)-LEN(SUBSTITUTE(BD588," "&amp;L_PendStrict&amp;" "," ")))/(LEN(L_PendStrict)+1))&gt;SUMPRODUCT((LEN(BD588)-LEN(SUBSTITUTE(BD588," "&amp;L_PendNeg&amp;" "," ")))/(LEN(L_PendNeg)+1)),1,0),1)</f>
        <v>0</v>
      </c>
      <c r="BJ588" s="61" t="n">
        <f aca="false">IFERROR(IF(SUMPRODUCT((LEN(BE588)-LEN(SUBSTITUTE(BE588," "&amp;L_Pending&amp;" "," ")))/(LEN(L_Pending)+1))&gt;SUMPRODUCT((LEN(BE588)-LEN(SUBSTITUTE(BE588," "&amp;L_PendNeg&amp;" "," ")))/(LEN(L_PendNeg)+1))+SUMPRODUCT((LEN(BE588)-LEN(SUBSTITUTE(BE588," "&amp;L_PendPrep&amp;" "," ")))/(LEN(L_PendPrep)+1)),1,0),1)</f>
        <v>0</v>
      </c>
      <c r="BK588" s="61" t="n">
        <f aca="false">IFERROR(IF(SUMPRODUCT((LEN(BF588)-LEN(SUBSTITUTE(BF588," "&amp;L_PendStrict&amp;" "," ")))/(LEN(L_PendStrict)+1))&gt;SUMPRODUCT((LEN(BF588)-LEN(SUBSTITUTE(BF588," "&amp;L_PendNeg&amp;" "," ")))/(LEN(L_PendNeg)+1)),1,0),1)</f>
        <v>0</v>
      </c>
      <c r="BL588" s="61" t="n">
        <f aca="false">IF(ISNA(MATCH(TRIM(S588),L_EvidenceType,0)),0,BZ588)</f>
        <v>0</v>
      </c>
      <c r="BM588" s="61" t="str">
        <f aca="false">SUBSTITUTE(SUBSTITUTE(SUBSTITUTE(SUBSTITUTE(SUBSTITUTE(SUBSTITUTE(SUBSTITUTE(SUBSTITUTE(SUBSTITUTE(LOWER(Z588&amp;""),"1","0"),"2","0"),"3","0"),"4","0"),"5","0"),"6","0"),"7","0"),"8","0"),"9","0")</f>
        <v/>
      </c>
      <c r="BN588" s="61" t="str">
        <f aca="false">SUBSTITUTE(SUBSTITUTE(SUBSTITUTE(SUBSTITUTE(SUBSTITUTE(SUBSTITUTE(SUBSTITUTE(SUBSTITUTE(SUBSTITUTE(SUBSTITUTE(SUBSTITUTE(SUBSTITUTE(SUBSTITUTE(SUBSTITUTE(SUBSTITUTE(SUBSTITUTE(SUBSTITUTE(SUBSTITUTE(SUBSTITUTE(SUBSTITUTE(SUBSTITUTE(SUBSTITUTE(SUBSTITUTE(SUBSTITUTE(SUBSTITUTE(BM588,"b","a"),"c","a"),"d","a"),"e","a"),"f","a"),"g","a"),"h","a"),"i","a"),"j","a"),"k","a"),"l","a"),"m","a"),"n","a"),"o","a"),"p","a"),"q","a"),"r","a"),"s","a"),"t","a"),"u","a"),"v","a"),"w","a"),"x","a"),"y","a"),"z","a")</f>
        <v/>
      </c>
      <c r="BO588" s="61" t="str">
        <f aca="false">SUBSTITUTE(SUBSTITUTE(SUBSTITUTE(SUBSTITUTE(SUBSTITUTE(SUBSTITUTE(SUBSTITUTE(SUBSTITUTE(SUBSTITUTE(LOWER(W588&amp;""),"1","0"),"2","0"),"3","0"),"4","0"),"5","0"),"6","0"),"7","0"),"8","0"),"9","0")</f>
        <v/>
      </c>
      <c r="BP588" s="61" t="str">
        <f aca="false">SUBSTITUTE(SUBSTITUTE(SUBSTITUTE(SUBSTITUTE(SUBSTITUTE(SUBSTITUTE(SUBSTITUTE(SUBSTITUTE(SUBSTITUTE(SUBSTITUTE(SUBSTITUTE(SUBSTITUTE(SUBSTITUTE(SUBSTITUTE(SUBSTITUTE(SUBSTITUTE(SUBSTITUTE(SUBSTITUTE(SUBSTITUTE(SUBSTITUTE(SUBSTITUTE(SUBSTITUTE(SUBSTITUTE(SUBSTITUTE(SUBSTITUTE(BO588,"b","a"),"c","a"),"d","a"),"e","a"),"f","a"),"g","a"),"h","a"),"i","a"),"j","a"),"k","a"),"l","a"),"m","a"),"n","a"),"o","a"),"p","a"),"q","a"),"r","a"),"s","a"),"t","a"),"u","a"),"v","a"),"w","a"),"x","a"),"y","a"),"z","a")</f>
        <v/>
      </c>
      <c r="BQ588" s="61" t="n">
        <f aca="false">IFERROR(IF(AND(ISERROR(SEARCH(" mh"," "&amp;LOWER(W588))),ISNA(MATCH(LEFT(TRIM(BP588),255),{"0000a","000a","00a","0000aa","000aa","00aa","0aa","0000aaa","000aaa","00a00","0a00","0000-0000","00:00","a00","a0","00.00.0000","00/00/0000","00-00-0000","0000-00-00","0000/00/00","0000.00.00","00.00.00","00/00/00","00-00-00","0.00.0000","0/00/0000","0-00-0000"},0)),ISNA(MATCH(LEFT(TRIM(CA588),255),{"0000a","000a","00a","0000aa","000aa","00aa","0aa","0000aaa","000aaa","00a00","0a00","0000-0000","00:00","a00","a0","00.00.0000","00/00/0000","00-00-0000","0000-00-00","0000/00/00","0000.00.00","00.00.00","00/00/00","00-00-00","0.00.0000","0/00/0000","0-00-0000"},0)),LEN(CB588)&gt;=3,NOT(OR(SUBSTITUTE(CB588,"0","")="",AND(LEN(CB588)&gt;=4,CB588=REPT(LEFT(CB588),LEN(CB588))),ISNUMBER(MATCH(CB588,{"123","1234","12345","123456","1234567","12345678","0123","01234","012345","98765","987654","54321"},0)),AND(LEN(CB588)=8,LEFT(CB588,3)="202"))),OR(AND((LEN(CA588)-LEN(SUBSTITUTE(CA588,"a","")))&gt;=1,SUMPRODUCT(--ISNUMBER(SEARCH({"a0","a-0","a_0","a/0","a.0","a#0","0a","0-a","0_a","0/a"},BP588)))&gt;0),ISNUMBER(SEARCH("000000",BP588)))),1,0),0)</f>
        <v>0</v>
      </c>
      <c r="BR588" s="61" t="n">
        <f aca="false">IFERROR(LEN(SUBSTITUTE(CC588," ",""))-SUMPRODUCT((LEN(CC588)-LEN(SUBSTITUTE(CC588," "&amp;L_Role&amp;" "," ")))/(LEN(L_Role)+1)*LEN(L_Role)),0)</f>
        <v>0</v>
      </c>
      <c r="BS588" s="61" t="n">
        <f aca="false">IFERROR(LEN(SUBSTITUTE(CD588," ",""))-SUMPRODUCT((LEN(CD588)-LEN(SUBSTITUTE(CD588," "&amp;L_Role&amp;" "," ")))/(LEN(L_Role)+1)*LEN(L_Role)),0)</f>
        <v>0</v>
      </c>
      <c r="BT5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588,"revision",""),"version",""),"jan",""),"feb",""),"mar",""),"apr",""),"may",""),"jun",""),"jul",""),"aug",""),"sep",""),"oct",""),"nov",""),"dec",""),"utc",""),"gmt",""),"myt",""),"bst",""),"rev",""),"ver",""),"b","a"),"c","a"),"d","a"),"e","a"),"f","a"),"g","a"),"h","a"),"i","a"),"j","a"),"k","a"),"l","a"),"m","a"),"n","a"),"o","a"),"p","a"),"q","a"),"r","a"),"s","a"),"t","a"),"u","a"),"v","a"),"w","a"),"x","a"),"y","a"),"z","a")</f>
        <v/>
      </c>
      <c r="BU588" s="61" t="str">
        <f aca="false">SUBSTITUTE(SUBSTITUTE(SUBSTITUTE(SUBSTITUTE(SUBSTITUTE(SUBSTITUTE(SUBSTITUTE(SUBSTITUTE(SUBSTITUTE(SUBSTITUTE(LEFT(BM588,FIND("0",BM588&amp;"0")-1),"-",""),"_",""),"/",""),".",""),"#",""),"\\",""),":","")," ",""),"(",""),")","")</f>
        <v/>
      </c>
      <c r="BV588" s="61" t="n">
        <f aca="false">0</f>
        <v>0</v>
      </c>
      <c r="BW5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588&amp;""),"a",""),"b",""),"c",""),"d",""),"e",""),"f",""),"g",""),"h",""),"i",""),"j",""),"k",""),"l",""),"m",""),"n",""),"o",""),"p",""),"q",""),"r",""),"s",""),"t",""),"u",""),"v",""),"w",""),"x",""),"y",""),"z",""),"-",""),"_",""),"/",""),".",""),"#",""),"\\",""),":","")," ",""),"(",""),")","")</f>
        <v/>
      </c>
      <c r="BX588" s="61" t="str">
        <f aca="false">SUBSTITUTE(SUBSTITUTE(SUBSTITUTE(SUBSTITUTE(SUBSTITUTE(SUBSTITUTE(SUBSTITUTE(SUBSTITUTE(SUBSTITUTE(SUBSTITUTE(SUBSTITUTE(BM588,"0",""),"-",""),"_",""),"/",""),".",""),"#",""),"\\",""),":","")," ",""),"(",""),")","")</f>
        <v/>
      </c>
      <c r="BY588" s="62" t="n">
        <f aca="false">Q588-T12EarlyH/24</f>
        <v>46321.6006944444</v>
      </c>
      <c r="BZ588" s="61" t="n">
        <f aca="false">IFERROR(IF(IF(TRIM(S588)="Link / file path",AND(LEN(TRIM(Z588))&gt;=5,SUMPRODUCT(--ISNUMBER(SEARCH({"http","www.","\\",":\",".pdf",".jpg",".jpeg",".png",".heic",".xls",".doc",".msg",".eml",".ppt",".txt",".zip"},Z588)))&gt;0),AND(ISERROR(FIND(" ",TRIM(Z588))),NOT(OR(SUMPRODUCT(--ISNUMBER(FIND({",",";","&amp;","+"},Z588)))&gt;0,SUMPRODUCT(--ISNUMBER(SEARCH({"0/aa","0\\aa"},BN588)))&gt;0)),NOT(SUMPRODUCT(--ISNUMBER(SEARCH({"http","www.","\\",":\",".pdf",".jpg",".jpeg",".png",".heic",".xls",".doc",".msg",".eml",".ppt",".txt",".zip"},Z588)))&gt;0),NOT(LOWER(TRIM(Z588))=LOWER(Flights!$F$22)),ISNA(MATCH(BU588,{"mh","rev","revision","ver","version","v","r","a","b","seat","tray","row","gate","bay","stand","page","pg","item","line","no","cart","galley","flight","flt","table","box","bag","oven","etd","eta","std","sta","atd","ata","qty","pax","x","time","tel","ph","mob","day","wk","week","utc","gmt","myt","lt"},0)),NOT(OR(ISNUMBER(MATCH(LEFT(BN588,255),{"0000a","000a","00a","0000aa","000aa","00aa","0aa","0000aaa","000aaa","00a00","0a00","0000-0000","00:00","a00","a0","00.00.0000","00/00/0000","00-00-0000","0000-00-00","0000/00/00","0000.00.00","00.00.00","00/00/00","00-00-00","0.00.0000","0/00/0000","0-00-0000"},0)),ISNUMBER(MATCH(LEFT(BT588,255),{"0000a","000a","00a","0000aa","000aa","00aa","0aa","0000aaa","000aaa","00a00","0a00","0000-0000","00:00","a00","a0","00.00.0000","00/00/0000","00-00-0000","0000-00-00","0000/00/00","0000.00.00","00.00.00","00/00/00","00-00-00","0.00.0000","0/00/0000","0-00-0000"},0)))),NOT(OR(AND(BW588&lt;&gt;"",SUBSTITUTE(BW588,"0","")=""),AND(LEN(BW588)&gt;=4,BW588=REPT(LEFT(BW588),LEN(BW588))),ISNUMBER(MATCH(BW588,{"123","1234","12345","123456","1234567","12345678","0123","01234","012345","98765","987654","54321"},0)),ISNUMBER(MATCH(BX588,{"x","xx","xxx","xxxx","xxxxx","abc","abcd","nil","na","nan","test","tbc","tba","tbd","dummy","sample","example","eg","zz","zzz","none","null","xyz","qwe","asd","id","ref"},0)),AND(LEN(BW588)=8,BX588="",OR(LEFT(BW588,3)="202",ISNUMBER(MATCH(RIGHT(BW588,4),{"2025","2026","2027"},0)))))),OR(AND((LEN(BT588)-LEN(SUBSTITUTE(BT588,"a","")))&gt;=1,(LEN(BN588)-LEN(SUBSTITUTE(BN588,"0","")))&gt;=2,SUMPRODUCT(--ISNUMBER(SEARCH({"a0","a-0","a_0","a/0","a.0","a#0","0a","0-a","0_a","0/a"},BN588)))&gt;0),AND((LEN(BN588)-LEN(SUBSTITUTE(BN588,"a","")))=0,(LEN(BN588)-LEN(SUBSTITUTE(BN588,"0","")))&gt;=5)))),1,0),0)</f>
        <v>0</v>
      </c>
      <c r="CA5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588,"revision",""),"version",""),"jan",""),"feb",""),"mar",""),"apr",""),"may",""),"jun",""),"jul",""),"aug",""),"sep",""),"oct",""),"nov",""),"dec",""),"utc",""),"gmt",""),"myt",""),"bst",""),"rev",""),"ver",""),"b","a"),"c","a"),"d","a"),"e","a"),"f","a"),"g","a"),"h","a"),"i","a"),"j","a"),"k","a"),"l","a"),"m","a"),"n","a"),"o","a"),"p","a"),"q","a"),"r","a"),"s","a"),"t","a"),"u","a"),"v","a"),"w","a"),"x","a"),"y","a"),"z","a")</f>
        <v/>
      </c>
      <c r="CB5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588&amp;""),"a",""),"b",""),"c",""),"d",""),"e",""),"f",""),"g",""),"h",""),"i",""),"j",""),"k",""),"l",""),"m",""),"n",""),"o",""),"p",""),"q",""),"r",""),"s",""),"t",""),"u",""),"v",""),"w",""),"x",""),"y",""),"z",""),"-",""),"_",""),"/",""),".",""),"#",""),"\\",""),":","")," ",""),"(",""),")","")</f>
        <v/>
      </c>
      <c r="CC588" s="0" t="str">
        <f aca="false">" "&amp;TRIM(SUBSTITUTE(SUBSTITUTE(SUBSTITUTE(SUBSTITUTE(SUBSTITUTE(SUBSTITUTE(SUBSTITUTE(SUBSTITUTE(SUBSTITUTE(SUBSTITUTE(SUBSTITUTE(SUBSTITUTE(SUBSTITUTE(SUBSTITUTE(SUBSTITUTE(SUBSTITUTE(SUBSTITUTE(SUBSTITUTE(SUBSTITUTE(SUBSTITUTE(SUBSTITUTE(SUBSTITUTE(SUBSTITUTE(SUBSTITUTE(LOWER(T588&amp;""),CHAR(10)," "),CHAR(13)," "),CHAR(9)," "),CHAR(160)," "),"."," "),","," "),"-"," "),"/"," "),"("," "),")"," "),":"," "),";"," "),"_"," "),"–"," "),"?"," "),"!"," "),"*"," "),"["," "),"]"," "),"'"," "),"#"," "),"+"," "),"&amp;"," "),"\"," "))&amp;" "</f>
        <v>  </v>
      </c>
      <c r="CD588" s="0" t="str">
        <f aca="false">" "&amp;TRIM(SUBSTITUTE(SUBSTITUTE(SUBSTITUTE(SUBSTITUTE(SUBSTITUTE(SUBSTITUTE(SUBSTITUTE(SUBSTITUTE(SUBSTITUTE(SUBSTITUTE(SUBSTITUTE(SUBSTITUTE(SUBSTITUTE(SUBSTITUTE(SUBSTITUTE(SUBSTITUTE(SUBSTITUTE(SUBSTITUTE(SUBSTITUTE(SUBSTITUTE(SUBSTITUTE(SUBSTITUTE(SUBSTITUTE(SUBSTITUTE(LOWER(AE588&amp;""),CHAR(10)," "),CHAR(13)," "),CHAR(9)," "),CHAR(160)," "),"."," "),","," "),"-"," "),"/"," "),"("," "),")"," "),":"," "),";"," "),"_"," "),"–"," "),"?"," "),"!"," "),"*"," "),"["," "),"]"," "),"'"," "),"#"," "),"+"," "),"&amp;"," "),"\"," "))&amp;" "</f>
        <v>  </v>
      </c>
      <c r="CE588" s="68" t="n">
        <f aca="false">IFERROR(IF(AND(LEN(AU588)&gt;0,LEN(AU588)=LEN(AX588),OR(TRIM(MID(SUBSTITUTE(TRIM(CC588)," ",REPT(" ",60)),1,60))="",ISNUMBER(SEARCH(" "&amp;TRIM(MID(SUBSTITUTE(TRIM(CC588)," ",REPT(" ",60)),1,60))&amp;" ",CD588))),OR(TRIM(MID(SUBSTITUTE(TRIM(CC588)," ",REPT(" ",60)),61,60))="",ISNUMBER(SEARCH(" "&amp;TRIM(MID(SUBSTITUTE(TRIM(CC588)," ",REPT(" ",60)),61,60))&amp;" ",CD588))),OR(TRIM(MID(SUBSTITUTE(TRIM(CC588)," ",REPT(" ",60)),121,60))="",ISNUMBER(SEARCH(" "&amp;TRIM(MID(SUBSTITUTE(TRIM(CC588)," ",REPT(" ",60)),121,60))&amp;" ",CD588)))),1,0),0)</f>
        <v>0</v>
      </c>
      <c r="CG588" s="68" t="n">
        <f aca="false">IFERROR(LEN(SUBSTITUTE(BF588," ",""))-SUMPRODUCT((LEN(BF588)-LEN(SUBSTITUTE(BF588," "&amp;L_NAFiller&amp;" "," ")))/(LEN(L_NAFiller)+1)*LEN(L_NAFiller)),0)</f>
        <v>0</v>
      </c>
    </row>
    <row r="589" customFormat="false" ht="78.75" hidden="false" customHeight="true" outlineLevel="0" collapsed="false">
      <c r="A589" s="57" t="s">
        <v>1283</v>
      </c>
      <c r="B589" s="57" t="s">
        <v>293</v>
      </c>
      <c r="C589" s="57" t="str">
        <f aca="false">Flights!$F$22</f>
        <v>MH0052</v>
      </c>
      <c r="D589" s="58" t="n">
        <f aca="false">Flights!$D$22</f>
        <v>46322</v>
      </c>
      <c r="E589" s="57" t="str">
        <f aca="false">Flights!$G$22&amp;"-"&amp;Flights!$H$22</f>
        <v>KUL-KIX</v>
      </c>
      <c r="F589" s="57" t="str">
        <f aca="false">Flights!$K$22</f>
        <v>BC</v>
      </c>
      <c r="G589" s="57" t="s">
        <v>420</v>
      </c>
      <c r="H589" s="57" t="s">
        <v>378</v>
      </c>
      <c r="I589" s="57" t="s">
        <v>428</v>
      </c>
      <c r="J589" s="57" t="s">
        <v>435</v>
      </c>
      <c r="K589" s="67" t="s">
        <v>573</v>
      </c>
      <c r="L589" s="67" t="s">
        <v>422</v>
      </c>
      <c r="M589" s="67"/>
      <c r="N589" s="67" t="s">
        <v>383</v>
      </c>
      <c r="O589" s="67" t="s">
        <v>423</v>
      </c>
      <c r="P589" s="57" t="s">
        <v>187</v>
      </c>
      <c r="Q589" s="59" t="n">
        <f aca="false">ROUND((Flights!$AE$22)*1440,0)/1440</f>
        <v>46322.1006944444</v>
      </c>
      <c r="R589" s="59" t="n">
        <f aca="false">Q589+(IF(AND(INDEX(TZ_DSTS,MATCH(P589,TZ_STN,0))&lt;&gt;"",Q589&gt;=INDEX(TZ_DSTS,MATCH(P589,TZ_STN,0)),Q589&lt;INDEX(TZ_DSTE,MATCH(P589,TZ_STN,0))),INDEX(TZ_DST,MATCH(P589,TZ_STN,0)),INDEX(TZ_STD,MATCH(P589,TZ_STN,0))))/24</f>
        <v>46322.4340277778</v>
      </c>
      <c r="S589" s="60"/>
      <c r="T589" s="60"/>
      <c r="U589" s="60"/>
      <c r="V589" s="60"/>
      <c r="W589" s="61"/>
      <c r="X589" s="60"/>
      <c r="Y589" s="60"/>
      <c r="Z589" s="60"/>
      <c r="AA589" s="60"/>
      <c r="AB589" s="60"/>
      <c r="AC589" s="60"/>
      <c r="AD589" s="66"/>
      <c r="AE589" s="60"/>
      <c r="AF589" s="61" t="str">
        <f aca="false">IF(AND(ISNUMBER(X589),ISNUMBER(Y589)),Y589-X589,"")</f>
        <v/>
      </c>
      <c r="AG589" s="62" t="str">
        <f aca="false">IF(ISNUMBER(AD589),AD589-(IF(AND(INDEX(TZ_DSTS,MATCH(P589,TZ_STN,0))&lt;&gt;"",(AD589-INDEX(TZ_STD,MATCH(P589,TZ_STN,0))/24)&gt;=INDEX(TZ_DSTS,MATCH(P589,TZ_STN,0)),(AD589-INDEX(TZ_STD,MATCH(P589,TZ_STN,0))/24)&lt;INDEX(TZ_DSTE,MATCH(P589,TZ_STN,0))),INDEX(TZ_DST,MATCH(P589,TZ_STN,0)),INDEX(TZ_STD,MATCH(P589,TZ_STN,0))))/24,"")</f>
        <v/>
      </c>
      <c r="AH589" s="65" t="str">
        <f aca="false">IFERROR(IF(N589="N/A – rule",IF(OR(TRIM(U589)="",TRIM(U589)="N/A",TRIM(U589)="Not started"),"N/A – RULE","INVALID – this check does not apply to this aircraft: clear the status (or correct the fleet on Flights)"),IF(TRIM(U589)="N/A",IF(AT589=0,"INVALID – N/A not permitted for this check",IF(AND(TRIM(AB589)&lt;&gt;"",TRIM(AB589)&lt;&gt;"Closed"),"INVALID – corrective action still open",IF(AND(NOT(OR(LEN(AZ589)&lt;15,ISNUMBER(MATCH(AZ589,L_Placeholder,0)))),BK589=0,CG589&gt;=8,NOT(OR(LEN(AU589)&lt;2,ISNUMBER(MATCH(AU589,L_Placeholder,0)))),BR589&gt;=3,NOT(OR(LEN(AX589)&lt;2,ISNUMBER(MATCH(AX589,L_Placeholder,0)))),BS589&gt;=3,TRIM(AE589)&lt;&gt;TRIM(T589),AX589&lt;&gt;AU589,CE589=0),"N/A – JUSTIFIED","INVALID – N/A needs a real, settled reason (not 'not applicable' / 'as above' / TBC), a named PIC and a different named verifier"))),IF(OR(TRIM(U589)="Pass",TRIM(U589)="Pass after CA"),IF(NOT(ISNUMBER(AD589)),"INVALID – completion time missing",IF(OR(OR(LEN(AU589)&lt;2,ISNUMBER(MATCH(AU589,L_Placeholder,0))),BR589&lt;3),"INVALID – PIC missing or not a named person (a role such as QA / CSM is not a name)",IF(OR(LEN(AV589)&lt;2,ISNUMBER(MATCH(AV589,L_Placeholder,0))),"INVALID – result / assessment missing",IF(OR(OR(LEN(AW589)&lt;3,ISNUMBER(MATCH(AW589,L_Placeholder,0))),SUMPRODUCT(--ISNUMBER(SEARCH(" "&amp;L_EvidencePhrase&amp;" ",BD589)))&gt;0,BI589=1),"INVALID – evidence missing, placeholder or not yet on file",IF(ISNA(MATCH(TRIM(S589),L_EvidenceType,0)),"INVALID – choose the evidence type from the list (column S)",IF(BL589=0,"INVALID – evidence ID must be the record's own ID only (e.g. SF-2210, IMG_2231, 1045521); a link / file name needs type 'Link / file path'",IF(OR(OR(LEN(AX589)&lt;2,ISNUMBER(MATCH(AX589,L_Placeholder,0))),BS589&lt;3),"INVALID – verifier missing or not a named person (a role such as QA / CSM is not a name)",IF(OR(AX589=AU589,CE589=1,AND(LEN(AU589)&gt;=4,ISNUMBER(SEARCH(AU589,AX589))),AND(LEN(AX589)&gt;=4,ISNUMBER(SEARCH(AX589,AU589)))),"INVALID – verifier must be a different, named person (not the PIC or a role)",IF(BH589=1,"INVALID – result not yet available (awaiting / TBC)",IF(BG589=1,"INVALID – result describes a problem: record Fail, then Pass after CA (or reword if it is not a problem)",IF(BV589=1,"INVALID – wording says not on board: an on-board confirmation needs the item loaded",IF(AND(AQ589=1,OR(OR(LEN(AY589)&lt;3,ISNUMBER(MATCH(AY589,L_Placeholder,0))),BJ589=1,BQ589=0)),"INVALID – batch ID missing, placeholder or not an ID (e.g. PASB-261008-BC-017)",IF(AND(AR589=1,OR(NOT(ISNUMBER(X589)),NOT(ISNUMBER(Y589)))),"INVALID – expected/actual qty missing",IF(AND(AR589=1,OR(X589&lt;=0,Y589&lt;0)),"INVALID – expected qty must be above 0 and actual not negative",IF(BB589&lt;&gt;"",BB589,IF(AND(AS589=1,Documents!$J$22&lt;&gt;"ON FILE"),"INVALID – GLD not on file (Documents sheet)",IF(AND(AS589=2,Documents!$O$22&lt;&gt;"ON FILE"),"INVALID – menu checklist not on file (Documents sheet)",IF(AND(AS589=3,NOT(ISNUMBER(Flights!$AX$22))),"INVALID – enter carrying flight KUL departure (Flights AX)",IF(AND(AS589=3,OR(Flights!$AZ$22&gt;Flights!$AA$22,Flights!$AX$22&lt;Flights!$AA$22-3)),"INVALID – carrying flight (Flights AX) cannot arrive before this leg's STD, or is over 3 days early",IF(AG589&gt;AsOfUTC,"INVALID – completion time is in the future",IF(AND(ISNUMBER(BY589),AG589&lt;BY589),IF(H589="Physical uplift","INVALID – before uplift window (cannot confirm loading)","INVALID – before valid window"),IF(AG589&gt;Flights!$AA$22,"INVALID – completed after departure (cannot establish readiness)",IF(AND(H589="Preparation",AG589&gt;=IF(ISNUMBER(Flights!$BA$22),MIN(Flights!$BA$22,Flights!$AA$22),Flights!$AA$22)),"INVALID – completed after loading / departure (cannot establish readiness)",IF(AND(H589="Physical uplift",AG589&gt;Q589),"INVALID – recorded after the loading flight departed",IF(AG589&gt;Q589,"COMPLETE – LATE","COMPLETE"))))))))))))))))))))))))),IF(TRIM(U589)="Fail","FAIL – DISCREPANCY",IF(AND(TRIM(U589)&lt;&gt;"",TRIM(U589)&lt;&gt;"Not started",TRIM(U589)&lt;&gt;"In progress"),"INVALID – unrecognised status (use the list)",IF(AsOfUTC&gt;Q589,"OVERDUE",IF(N589="Clarification required","OPEN – CLARIFICATION","OPEN"))))))),"INVALID – error value in an input cell")</f>
        <v>OPEN</v>
      </c>
      <c r="AI589" s="61" t="n">
        <f aca="false">IF(OR(AH589="N/A – RULE",AH589="N/A – JUSTIFIED"),0,1)</f>
        <v>1</v>
      </c>
      <c r="AJ589" s="61" t="n">
        <f aca="false">IF(LEFT(AH589,8)="COMPLETE",1,0)</f>
        <v>0</v>
      </c>
      <c r="AK589" s="61" t="n">
        <f aca="false">IF(AND(AI589=1,AJ589=0,AsOfUTC&gt;Q589),1,0)</f>
        <v>0</v>
      </c>
      <c r="AL589" s="61" t="n">
        <f aca="false">IFERROR(IF(AND(AI589=1,OR(TRIM(U589)="Fail",AND(TRIM(AB589)&lt;&gt;"",TRIM(AB589)&lt;&gt;"Closed"),AND(ISNUMBER(AF589),AF589&lt;&gt;0,TRIM(U589)&lt;&gt;"Pass after CA"))),1,0),1)</f>
        <v>0</v>
      </c>
      <c r="AM589" s="61" t="n">
        <f aca="false">IF(LEFT(AH589,7)="INVALID",1,0)</f>
        <v>0</v>
      </c>
      <c r="AN589" s="61" t="n">
        <f aca="false">IF(AND(N589="Clarification required",AI589=1,AJ589=0),1,0)</f>
        <v>0</v>
      </c>
      <c r="AO589" s="61" t="str">
        <f aca="false">IF(AK589=1,SUM(AK$5:AK589),"")</f>
        <v/>
      </c>
      <c r="AP589" s="61" t="str">
        <f aca="false">IF(AL589=1,SUM(AL$5:AL589),"")</f>
        <v/>
      </c>
      <c r="AQ589" s="61" t="n">
        <v>0</v>
      </c>
      <c r="AR589" s="61" t="n">
        <v>1</v>
      </c>
      <c r="AS589" s="61" t="n">
        <v>0</v>
      </c>
      <c r="AT589" s="61" t="n">
        <v>0</v>
      </c>
      <c r="AU589" s="61" t="str">
        <f aca="false">SUBSTITUTE(SUBSTITUTE(SUBSTITUTE(SUBSTITUTE(SUBSTITUTE(SUBSTITUTE(SUBSTITUTE(SUBSTITUTE(SUBSTITUTE(SUBSTITUTE(SUBSTITUTE(SUBSTITUTE(SUBSTITUTE(SUBSTITUTE(SUBSTITUTE(SUBSTITUTE(LOWER(T589&amp;""),CHAR(10),""),CHAR(13),""),CHAR(9),""),CHAR(160),"")," ",""),".",""),"-",""),"/",""),"?",""),"_",""),",",""),"[",""),"]",""),"(",""),")",""),"*","")</f>
        <v/>
      </c>
      <c r="AV589" s="61" t="str">
        <f aca="false">SUBSTITUTE(SUBSTITUTE(SUBSTITUTE(SUBSTITUTE(SUBSTITUTE(SUBSTITUTE(SUBSTITUTE(SUBSTITUTE(SUBSTITUTE(SUBSTITUTE(SUBSTITUTE(SUBSTITUTE(SUBSTITUTE(SUBSTITUTE(SUBSTITUTE(SUBSTITUTE(LOWER(V589&amp;""),CHAR(10),""),CHAR(13),""),CHAR(9),""),CHAR(160),"")," ",""),".",""),"-",""),"/",""),"?",""),"_",""),",",""),"[",""),"]",""),"(",""),")",""),"*","")</f>
        <v/>
      </c>
      <c r="AW589" s="61" t="str">
        <f aca="false">SUBSTITUTE(SUBSTITUTE(SUBSTITUTE(SUBSTITUTE(SUBSTITUTE(SUBSTITUTE(SUBSTITUTE(SUBSTITUTE(SUBSTITUTE(SUBSTITUTE(SUBSTITUTE(SUBSTITUTE(SUBSTITUTE(SUBSTITUTE(SUBSTITUTE(SUBSTITUTE(LOWER(Z589&amp;""),CHAR(10),""),CHAR(13),""),CHAR(9),""),CHAR(160),"")," ",""),".",""),"-",""),"/",""),"?",""),"_",""),",",""),"[",""),"]",""),"(",""),")",""),"*","")</f>
        <v/>
      </c>
      <c r="AX589" s="61" t="str">
        <f aca="false">SUBSTITUTE(SUBSTITUTE(SUBSTITUTE(SUBSTITUTE(SUBSTITUTE(SUBSTITUTE(SUBSTITUTE(SUBSTITUTE(SUBSTITUTE(SUBSTITUTE(SUBSTITUTE(SUBSTITUTE(SUBSTITUTE(SUBSTITUTE(SUBSTITUTE(SUBSTITUTE(LOWER(AE589&amp;""),CHAR(10),""),CHAR(13),""),CHAR(9),""),CHAR(160),"")," ",""),".",""),"-",""),"/",""),"?",""),"_",""),",",""),"[",""),"]",""),"(",""),")",""),"*","")</f>
        <v/>
      </c>
      <c r="AY589" s="61" t="str">
        <f aca="false">SUBSTITUTE(SUBSTITUTE(SUBSTITUTE(SUBSTITUTE(SUBSTITUTE(SUBSTITUTE(SUBSTITUTE(SUBSTITUTE(SUBSTITUTE(SUBSTITUTE(SUBSTITUTE(SUBSTITUTE(SUBSTITUTE(SUBSTITUTE(SUBSTITUTE(SUBSTITUTE(LOWER(W589&amp;""),CHAR(10),""),CHAR(13),""),CHAR(9),""),CHAR(160),"")," ",""),".",""),"-",""),"/",""),"?",""),"_",""),",",""),"[",""),"]",""),"(",""),")",""),"*","")</f>
        <v/>
      </c>
      <c r="AZ589" s="61" t="str">
        <f aca="false">SUBSTITUTE(SUBSTITUTE(SUBSTITUTE(SUBSTITUTE(SUBSTITUTE(SUBSTITUTE(SUBSTITUTE(SUBSTITUTE(SUBSTITUTE(SUBSTITUTE(SUBSTITUTE(SUBSTITUTE(SUBSTITUTE(SUBSTITUTE(SUBSTITUTE(SUBSTITUTE(LOWER(AC589&amp;""),CHAR(10),""),CHAR(13),""),CHAR(9),""),CHAR(160),"")," ",""),".",""),"-",""),"/",""),"?",""),"_",""),",",""),"[",""),"]",""),"(",""),")",""),"*","")</f>
        <v/>
      </c>
      <c r="BA589" s="61" t="str">
        <f aca="false">SUBSTITUTE(SUBSTITUTE(SUBSTITUTE(SUBSTITUTE(SUBSTITUTE(SUBSTITUTE(SUBSTITUTE(SUBSTITUTE(SUBSTITUTE(SUBSTITUTE(SUBSTITUTE(SUBSTITUTE(SUBSTITUTE(SUBSTITUTE(SUBSTITUTE(SUBSTITUTE(LOWER(AA589&amp;""),CHAR(10),""),CHAR(13),""),CHAR(9),""),CHAR(160),"")," ",""),".",""),"-",""),"/",""),"?",""),"_",""),",",""),"[",""),"]",""),"(",""),")",""),"*","")</f>
        <v/>
      </c>
      <c r="BB589" s="61" t="str">
        <f aca="false">IF(AND(TRIM(U589)="Pass",ISNUMBER(AF589)),IF(AF589&lt;&gt;0,"INVALID – qty variance: use Fail or Pass after CA",""),"")&amp;IF(AND(TRIM(U589)="Pass after CA",ISNUMBER(AF589)),IF(AF589&lt;&gt;0,"INVALID – after the corrective action the actual qty must equal expected (update Actual)",""),"")&amp;IF(AND(TRIM(U589)="Pass",TRIM(AB589)&lt;&gt;"",TRIM(AB589)&lt;&gt;"Closed"),"INVALID – corrective action not closed: use Fail, then Pass after CA","")&amp;IF(AND(LEN(BA589)&gt;=2,ISNA(MATCH(LEFT(BA589,255),L_Placeholder,0)),TRIM(AB589)=""),"INVALID – CA status missing for the recorded corrective action","")&amp;IF(AND(TRIM(U589)="Pass after CA",OR(OR(LEN(BA589)&lt;5,ISNUMBER(MATCH(BA589,L_Placeholder,0))),TRIM(AB589)&lt;&gt;"Closed")),"INVALID – corrective action not recorded/closed","")</f>
        <v/>
      </c>
      <c r="BC589" s="61" t="str">
        <f aca="false">" "&amp;TRIM(SUBSTITUTE(SUBSTITUTE(SUBSTITUTE(SUBSTITUTE(SUBSTITUTE(SUBSTITUTE(SUBSTITUTE(SUBSTITUTE(SUBSTITUTE(SUBSTITUTE(SUBSTITUTE(SUBSTITUTE(SUBSTITUTE(SUBSTITUTE(SUBSTITUTE(SUBSTITUTE(SUBSTITUTE(SUBSTITUTE(SUBSTITUTE(SUBSTITUTE(SUBSTITUTE(SUBSTITUTE(SUBSTITUTE(SUBSTITUTE(LOWER(V589&amp;""),CHAR(10)," "),CHAR(13)," "),CHAR(9)," "),CHAR(160)," "),"."," "),","," "),"-"," "),"/"," "),"("," "),")"," "),":"," "),";"," "),"_"," "),"–"," "),"?"," "),"!"," "),"*"," "),"["," "),"]"," "),"'"," "),"#"," "),"+"," "),"&amp;"," "),"\"," "))&amp;" "</f>
        <v>  </v>
      </c>
      <c r="BD589" s="61" t="str">
        <f aca="false">" "&amp;TRIM(SUBSTITUTE(SUBSTITUTE(SUBSTITUTE(SUBSTITUTE(SUBSTITUTE(SUBSTITUTE(SUBSTITUTE(SUBSTITUTE(SUBSTITUTE(SUBSTITUTE(SUBSTITUTE(SUBSTITUTE(SUBSTITUTE(SUBSTITUTE(SUBSTITUTE(SUBSTITUTE(SUBSTITUTE(SUBSTITUTE(SUBSTITUTE(SUBSTITUTE(SUBSTITUTE(SUBSTITUTE(SUBSTITUTE(SUBSTITUTE(LOWER(Z589&amp;""),CHAR(10)," "),CHAR(13)," "),CHAR(9)," "),CHAR(160)," "),"."," "),","," "),"-"," "),"/"," "),"("," "),")"," "),":"," "),";"," "),"_"," "),"–"," "),"?"," "),"!"," "),"*"," "),"["," "),"]"," "),"'"," "),"#"," "),"+"," "),"&amp;"," "),"\"," "))&amp;" "</f>
        <v>  </v>
      </c>
      <c r="BE589" s="61" t="str">
        <f aca="false">" "&amp;TRIM(SUBSTITUTE(SUBSTITUTE(SUBSTITUTE(SUBSTITUTE(SUBSTITUTE(SUBSTITUTE(SUBSTITUTE(SUBSTITUTE(SUBSTITUTE(SUBSTITUTE(SUBSTITUTE(SUBSTITUTE(SUBSTITUTE(SUBSTITUTE(SUBSTITUTE(SUBSTITUTE(SUBSTITUTE(SUBSTITUTE(SUBSTITUTE(SUBSTITUTE(SUBSTITUTE(SUBSTITUTE(SUBSTITUTE(SUBSTITUTE(LOWER(W589&amp;""),CHAR(10)," "),CHAR(13)," "),CHAR(9)," "),CHAR(160)," "),"."," "),","," "),"-"," "),"/"," "),"("," "),")"," "),":"," "),";"," "),"_"," "),"–"," "),"?"," "),"!"," "),"*"," "),"["," "),"]"," "),"'"," "),"#"," "),"+"," "),"&amp;"," "),"\"," "))&amp;" "</f>
        <v>  </v>
      </c>
      <c r="BF589" s="61" t="str">
        <f aca="false">" "&amp;TRIM(SUBSTITUTE(SUBSTITUTE(SUBSTITUTE(SUBSTITUTE(SUBSTITUTE(SUBSTITUTE(SUBSTITUTE(SUBSTITUTE(SUBSTITUTE(SUBSTITUTE(SUBSTITUTE(SUBSTITUTE(SUBSTITUTE(SUBSTITUTE(SUBSTITUTE(SUBSTITUTE(SUBSTITUTE(SUBSTITUTE(SUBSTITUTE(SUBSTITUTE(SUBSTITUTE(SUBSTITUTE(SUBSTITUTE(SUBSTITUTE(LOWER(AC589&amp;""),CHAR(10)," "),CHAR(13)," "),CHAR(9)," "),CHAR(160)," "),"."," "),","," "),"-"," "),"/"," "),"("," "),")"," "),":"," "),";"," "),"_"," "),"–"," "),"?"," "),"!"," "),"*"," "),"["," "),"]"," "),"'"," "),"#"," "),"+"," "),"&amp;"," "),"\"," "))&amp;" "</f>
        <v>  </v>
      </c>
      <c r="BG589" s="61" t="n">
        <f aca="false">IFERROR(IF(AND(TRIM(U589)="Pass",SUMPRODUCT((LEN(BC589)-LEN(SUBSTITUTE(BC589," "&amp;L_ResultBad&amp;" "," ")))/(LEN(L_ResultBad)+1))&gt;SUMPRODUCT((LEN(BC589)-LEN(SUBSTITUTE(BC589," "&amp;L_NegPhrase&amp;" "," ")))/(LEN(L_NegPhrase)+1))),1,0),0)</f>
        <v>0</v>
      </c>
      <c r="BH589" s="61" t="n">
        <f aca="false">IFERROR(IF(SUMPRODUCT((LEN(BC589)-LEN(SUBSTITUTE(BC589," "&amp;L_Pending&amp;" "," ")))/(LEN(L_Pending)+1))&gt;SUMPRODUCT((LEN(BC589)-LEN(SUBSTITUTE(BC589," "&amp;L_PendNeg&amp;" "," ")))/(LEN(L_PendNeg)+1))+SUMPRODUCT((LEN(BC589)-LEN(SUBSTITUTE(BC589," "&amp;L_PendPrep&amp;" "," ")))/(LEN(L_PendPrep)+1)),1,0),1)</f>
        <v>0</v>
      </c>
      <c r="BI589" s="61" t="n">
        <f aca="false">IFERROR(IF(SUMPRODUCT((LEN(BD589)-LEN(SUBSTITUTE(BD589," "&amp;L_PendStrict&amp;" "," ")))/(LEN(L_PendStrict)+1))&gt;SUMPRODUCT((LEN(BD589)-LEN(SUBSTITUTE(BD589," "&amp;L_PendNeg&amp;" "," ")))/(LEN(L_PendNeg)+1)),1,0),1)</f>
        <v>0</v>
      </c>
      <c r="BJ589" s="61" t="n">
        <f aca="false">IFERROR(IF(SUMPRODUCT((LEN(BE589)-LEN(SUBSTITUTE(BE589," "&amp;L_Pending&amp;" "," ")))/(LEN(L_Pending)+1))&gt;SUMPRODUCT((LEN(BE589)-LEN(SUBSTITUTE(BE589," "&amp;L_PendNeg&amp;" "," ")))/(LEN(L_PendNeg)+1))+SUMPRODUCT((LEN(BE589)-LEN(SUBSTITUTE(BE589," "&amp;L_PendPrep&amp;" "," ")))/(LEN(L_PendPrep)+1)),1,0),1)</f>
        <v>0</v>
      </c>
      <c r="BK589" s="61" t="n">
        <f aca="false">IFERROR(IF(SUMPRODUCT((LEN(BF589)-LEN(SUBSTITUTE(BF589," "&amp;L_PendStrict&amp;" "," ")))/(LEN(L_PendStrict)+1))&gt;SUMPRODUCT((LEN(BF589)-LEN(SUBSTITUTE(BF589," "&amp;L_PendNeg&amp;" "," ")))/(LEN(L_PendNeg)+1)),1,0),1)</f>
        <v>0</v>
      </c>
      <c r="BL589" s="61" t="n">
        <f aca="false">IF(ISNA(MATCH(TRIM(S589),L_EvidenceType,0)),0,BZ589)</f>
        <v>0</v>
      </c>
      <c r="BM589" s="61" t="str">
        <f aca="false">SUBSTITUTE(SUBSTITUTE(SUBSTITUTE(SUBSTITUTE(SUBSTITUTE(SUBSTITUTE(SUBSTITUTE(SUBSTITUTE(SUBSTITUTE(LOWER(Z589&amp;""),"1","0"),"2","0"),"3","0"),"4","0"),"5","0"),"6","0"),"7","0"),"8","0"),"9","0")</f>
        <v/>
      </c>
      <c r="BN589" s="61" t="str">
        <f aca="false">SUBSTITUTE(SUBSTITUTE(SUBSTITUTE(SUBSTITUTE(SUBSTITUTE(SUBSTITUTE(SUBSTITUTE(SUBSTITUTE(SUBSTITUTE(SUBSTITUTE(SUBSTITUTE(SUBSTITUTE(SUBSTITUTE(SUBSTITUTE(SUBSTITUTE(SUBSTITUTE(SUBSTITUTE(SUBSTITUTE(SUBSTITUTE(SUBSTITUTE(SUBSTITUTE(SUBSTITUTE(SUBSTITUTE(SUBSTITUTE(SUBSTITUTE(BM589,"b","a"),"c","a"),"d","a"),"e","a"),"f","a"),"g","a"),"h","a"),"i","a"),"j","a"),"k","a"),"l","a"),"m","a"),"n","a"),"o","a"),"p","a"),"q","a"),"r","a"),"s","a"),"t","a"),"u","a"),"v","a"),"w","a"),"x","a"),"y","a"),"z","a")</f>
        <v/>
      </c>
      <c r="BO589" s="61" t="str">
        <f aca="false">SUBSTITUTE(SUBSTITUTE(SUBSTITUTE(SUBSTITUTE(SUBSTITUTE(SUBSTITUTE(SUBSTITUTE(SUBSTITUTE(SUBSTITUTE(LOWER(W589&amp;""),"1","0"),"2","0"),"3","0"),"4","0"),"5","0"),"6","0"),"7","0"),"8","0"),"9","0")</f>
        <v/>
      </c>
      <c r="BP589" s="61" t="str">
        <f aca="false">SUBSTITUTE(SUBSTITUTE(SUBSTITUTE(SUBSTITUTE(SUBSTITUTE(SUBSTITUTE(SUBSTITUTE(SUBSTITUTE(SUBSTITUTE(SUBSTITUTE(SUBSTITUTE(SUBSTITUTE(SUBSTITUTE(SUBSTITUTE(SUBSTITUTE(SUBSTITUTE(SUBSTITUTE(SUBSTITUTE(SUBSTITUTE(SUBSTITUTE(SUBSTITUTE(SUBSTITUTE(SUBSTITUTE(SUBSTITUTE(SUBSTITUTE(BO589,"b","a"),"c","a"),"d","a"),"e","a"),"f","a"),"g","a"),"h","a"),"i","a"),"j","a"),"k","a"),"l","a"),"m","a"),"n","a"),"o","a"),"p","a"),"q","a"),"r","a"),"s","a"),"t","a"),"u","a"),"v","a"),"w","a"),"x","a"),"y","a"),"z","a")</f>
        <v/>
      </c>
      <c r="BQ589" s="61" t="n">
        <f aca="false">IFERROR(IF(AND(ISERROR(SEARCH(" mh"," "&amp;LOWER(W589))),ISNA(MATCH(LEFT(TRIM(BP589),255),{"0000a","000a","00a","0000aa","000aa","00aa","0aa","0000aaa","000aaa","00a00","0a00","0000-0000","00:00","a00","a0","00.00.0000","00/00/0000","00-00-0000","0000-00-00","0000/00/00","0000.00.00","00.00.00","00/00/00","00-00-00","0.00.0000","0/00/0000","0-00-0000"},0)),ISNA(MATCH(LEFT(TRIM(CA589),255),{"0000a","000a","00a","0000aa","000aa","00aa","0aa","0000aaa","000aaa","00a00","0a00","0000-0000","00:00","a00","a0","00.00.0000","00/00/0000","00-00-0000","0000-00-00","0000/00/00","0000.00.00","00.00.00","00/00/00","00-00-00","0.00.0000","0/00/0000","0-00-0000"},0)),LEN(CB589)&gt;=3,NOT(OR(SUBSTITUTE(CB589,"0","")="",AND(LEN(CB589)&gt;=4,CB589=REPT(LEFT(CB589),LEN(CB589))),ISNUMBER(MATCH(CB589,{"123","1234","12345","123456","1234567","12345678","0123","01234","012345","98765","987654","54321"},0)),AND(LEN(CB589)=8,LEFT(CB589,3)="202"))),OR(AND((LEN(CA589)-LEN(SUBSTITUTE(CA589,"a","")))&gt;=1,SUMPRODUCT(--ISNUMBER(SEARCH({"a0","a-0","a_0","a/0","a.0","a#0","0a","0-a","0_a","0/a"},BP589)))&gt;0),ISNUMBER(SEARCH("000000",BP589)))),1,0),0)</f>
        <v>0</v>
      </c>
      <c r="BR589" s="61" t="n">
        <f aca="false">IFERROR(LEN(SUBSTITUTE(CC589," ",""))-SUMPRODUCT((LEN(CC589)-LEN(SUBSTITUTE(CC589," "&amp;L_Role&amp;" "," ")))/(LEN(L_Role)+1)*LEN(L_Role)),0)</f>
        <v>0</v>
      </c>
      <c r="BS589" s="61" t="n">
        <f aca="false">IFERROR(LEN(SUBSTITUTE(CD589," ",""))-SUMPRODUCT((LEN(CD589)-LEN(SUBSTITUTE(CD589," "&amp;L_Role&amp;" "," ")))/(LEN(L_Role)+1)*LEN(L_Role)),0)</f>
        <v>0</v>
      </c>
      <c r="BT5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589,"revision",""),"version",""),"jan",""),"feb",""),"mar",""),"apr",""),"may",""),"jun",""),"jul",""),"aug",""),"sep",""),"oct",""),"nov",""),"dec",""),"utc",""),"gmt",""),"myt",""),"bst",""),"rev",""),"ver",""),"b","a"),"c","a"),"d","a"),"e","a"),"f","a"),"g","a"),"h","a"),"i","a"),"j","a"),"k","a"),"l","a"),"m","a"),"n","a"),"o","a"),"p","a"),"q","a"),"r","a"),"s","a"),"t","a"),"u","a"),"v","a"),"w","a"),"x","a"),"y","a"),"z","a")</f>
        <v/>
      </c>
      <c r="BU589" s="61" t="str">
        <f aca="false">SUBSTITUTE(SUBSTITUTE(SUBSTITUTE(SUBSTITUTE(SUBSTITUTE(SUBSTITUTE(SUBSTITUTE(SUBSTITUTE(SUBSTITUTE(SUBSTITUTE(LEFT(BM589,FIND("0",BM589&amp;"0")-1),"-",""),"_",""),"/",""),".",""),"#",""),"\\",""),":","")," ",""),"(",""),")","")</f>
        <v/>
      </c>
      <c r="BV589" s="61" t="n">
        <f aca="false">0</f>
        <v>0</v>
      </c>
      <c r="BW5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589&amp;""),"a",""),"b",""),"c",""),"d",""),"e",""),"f",""),"g",""),"h",""),"i",""),"j",""),"k",""),"l",""),"m",""),"n",""),"o",""),"p",""),"q",""),"r",""),"s",""),"t",""),"u",""),"v",""),"w",""),"x",""),"y",""),"z",""),"-",""),"_",""),"/",""),".",""),"#",""),"\\",""),":","")," ",""),"(",""),")","")</f>
        <v/>
      </c>
      <c r="BX589" s="61" t="str">
        <f aca="false">SUBSTITUTE(SUBSTITUTE(SUBSTITUTE(SUBSTITUTE(SUBSTITUTE(SUBSTITUTE(SUBSTITUTE(SUBSTITUTE(SUBSTITUTE(SUBSTITUTE(SUBSTITUTE(BM589,"0",""),"-",""),"_",""),"/",""),".",""),"#",""),"\\",""),":","")," ",""),"(",""),")","")</f>
        <v/>
      </c>
      <c r="BY589" s="62" t="n">
        <f aca="false">Q589-T12EarlyH/24</f>
        <v>46321.6006944444</v>
      </c>
      <c r="BZ589" s="61" t="n">
        <f aca="false">IFERROR(IF(IF(TRIM(S589)="Link / file path",AND(LEN(TRIM(Z589))&gt;=5,SUMPRODUCT(--ISNUMBER(SEARCH({"http","www.","\\",":\",".pdf",".jpg",".jpeg",".png",".heic",".xls",".doc",".msg",".eml",".ppt",".txt",".zip"},Z589)))&gt;0),AND(ISERROR(FIND(" ",TRIM(Z589))),NOT(OR(SUMPRODUCT(--ISNUMBER(FIND({",",";","&amp;","+"},Z589)))&gt;0,SUMPRODUCT(--ISNUMBER(SEARCH({"0/aa","0\\aa"},BN589)))&gt;0)),NOT(SUMPRODUCT(--ISNUMBER(SEARCH({"http","www.","\\",":\",".pdf",".jpg",".jpeg",".png",".heic",".xls",".doc",".msg",".eml",".ppt",".txt",".zip"},Z589)))&gt;0),NOT(LOWER(TRIM(Z589))=LOWER(Flights!$F$22)),ISNA(MATCH(BU589,{"mh","rev","revision","ver","version","v","r","a","b","seat","tray","row","gate","bay","stand","page","pg","item","line","no","cart","galley","flight","flt","table","box","bag","oven","etd","eta","std","sta","atd","ata","qty","pax","x","time","tel","ph","mob","day","wk","week","utc","gmt","myt","lt"},0)),NOT(OR(ISNUMBER(MATCH(LEFT(BN589,255),{"0000a","000a","00a","0000aa","000aa","00aa","0aa","0000aaa","000aaa","00a00","0a00","0000-0000","00:00","a00","a0","00.00.0000","00/00/0000","00-00-0000","0000-00-00","0000/00/00","0000.00.00","00.00.00","00/00/00","00-00-00","0.00.0000","0/00/0000","0-00-0000"},0)),ISNUMBER(MATCH(LEFT(BT589,255),{"0000a","000a","00a","0000aa","000aa","00aa","0aa","0000aaa","000aaa","00a00","0a00","0000-0000","00:00","a00","a0","00.00.0000","00/00/0000","00-00-0000","0000-00-00","0000/00/00","0000.00.00","00.00.00","00/00/00","00-00-00","0.00.0000","0/00/0000","0-00-0000"},0)))),NOT(OR(AND(BW589&lt;&gt;"",SUBSTITUTE(BW589,"0","")=""),AND(LEN(BW589)&gt;=4,BW589=REPT(LEFT(BW589),LEN(BW589))),ISNUMBER(MATCH(BW589,{"123","1234","12345","123456","1234567","12345678","0123","01234","012345","98765","987654","54321"},0)),ISNUMBER(MATCH(BX589,{"x","xx","xxx","xxxx","xxxxx","abc","abcd","nil","na","nan","test","tbc","tba","tbd","dummy","sample","example","eg","zz","zzz","none","null","xyz","qwe","asd","id","ref"},0)),AND(LEN(BW589)=8,BX589="",OR(LEFT(BW589,3)="202",ISNUMBER(MATCH(RIGHT(BW589,4),{"2025","2026","2027"},0)))))),OR(AND((LEN(BT589)-LEN(SUBSTITUTE(BT589,"a","")))&gt;=1,(LEN(BN589)-LEN(SUBSTITUTE(BN589,"0","")))&gt;=2,SUMPRODUCT(--ISNUMBER(SEARCH({"a0","a-0","a_0","a/0","a.0","a#0","0a","0-a","0_a","0/a"},BN589)))&gt;0),AND((LEN(BN589)-LEN(SUBSTITUTE(BN589,"a","")))=0,(LEN(BN589)-LEN(SUBSTITUTE(BN589,"0","")))&gt;=5)))),1,0),0)</f>
        <v>0</v>
      </c>
      <c r="CA5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589,"revision",""),"version",""),"jan",""),"feb",""),"mar",""),"apr",""),"may",""),"jun",""),"jul",""),"aug",""),"sep",""),"oct",""),"nov",""),"dec",""),"utc",""),"gmt",""),"myt",""),"bst",""),"rev",""),"ver",""),"b","a"),"c","a"),"d","a"),"e","a"),"f","a"),"g","a"),"h","a"),"i","a"),"j","a"),"k","a"),"l","a"),"m","a"),"n","a"),"o","a"),"p","a"),"q","a"),"r","a"),"s","a"),"t","a"),"u","a"),"v","a"),"w","a"),"x","a"),"y","a"),"z","a")</f>
        <v/>
      </c>
      <c r="CB5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589&amp;""),"a",""),"b",""),"c",""),"d",""),"e",""),"f",""),"g",""),"h",""),"i",""),"j",""),"k",""),"l",""),"m",""),"n",""),"o",""),"p",""),"q",""),"r",""),"s",""),"t",""),"u",""),"v",""),"w",""),"x",""),"y",""),"z",""),"-",""),"_",""),"/",""),".",""),"#",""),"\\",""),":","")," ",""),"(",""),")","")</f>
        <v/>
      </c>
      <c r="CC589" s="0" t="str">
        <f aca="false">" "&amp;TRIM(SUBSTITUTE(SUBSTITUTE(SUBSTITUTE(SUBSTITUTE(SUBSTITUTE(SUBSTITUTE(SUBSTITUTE(SUBSTITUTE(SUBSTITUTE(SUBSTITUTE(SUBSTITUTE(SUBSTITUTE(SUBSTITUTE(SUBSTITUTE(SUBSTITUTE(SUBSTITUTE(SUBSTITUTE(SUBSTITUTE(SUBSTITUTE(SUBSTITUTE(SUBSTITUTE(SUBSTITUTE(SUBSTITUTE(SUBSTITUTE(LOWER(T589&amp;""),CHAR(10)," "),CHAR(13)," "),CHAR(9)," "),CHAR(160)," "),"."," "),","," "),"-"," "),"/"," "),"("," "),")"," "),":"," "),";"," "),"_"," "),"–"," "),"?"," "),"!"," "),"*"," "),"["," "),"]"," "),"'"," "),"#"," "),"+"," "),"&amp;"," "),"\"," "))&amp;" "</f>
        <v>  </v>
      </c>
      <c r="CD589" s="0" t="str">
        <f aca="false">" "&amp;TRIM(SUBSTITUTE(SUBSTITUTE(SUBSTITUTE(SUBSTITUTE(SUBSTITUTE(SUBSTITUTE(SUBSTITUTE(SUBSTITUTE(SUBSTITUTE(SUBSTITUTE(SUBSTITUTE(SUBSTITUTE(SUBSTITUTE(SUBSTITUTE(SUBSTITUTE(SUBSTITUTE(SUBSTITUTE(SUBSTITUTE(SUBSTITUTE(SUBSTITUTE(SUBSTITUTE(SUBSTITUTE(SUBSTITUTE(SUBSTITUTE(LOWER(AE589&amp;""),CHAR(10)," "),CHAR(13)," "),CHAR(9)," "),CHAR(160)," "),"."," "),","," "),"-"," "),"/"," "),"("," "),")"," "),":"," "),";"," "),"_"," "),"–"," "),"?"," "),"!"," "),"*"," "),"["," "),"]"," "),"'"," "),"#"," "),"+"," "),"&amp;"," "),"\"," "))&amp;" "</f>
        <v>  </v>
      </c>
      <c r="CE589" s="68" t="n">
        <f aca="false">IFERROR(IF(AND(LEN(AU589)&gt;0,LEN(AU589)=LEN(AX589),OR(TRIM(MID(SUBSTITUTE(TRIM(CC589)," ",REPT(" ",60)),1,60))="",ISNUMBER(SEARCH(" "&amp;TRIM(MID(SUBSTITUTE(TRIM(CC589)," ",REPT(" ",60)),1,60))&amp;" ",CD589))),OR(TRIM(MID(SUBSTITUTE(TRIM(CC589)," ",REPT(" ",60)),61,60))="",ISNUMBER(SEARCH(" "&amp;TRIM(MID(SUBSTITUTE(TRIM(CC589)," ",REPT(" ",60)),61,60))&amp;" ",CD589))),OR(TRIM(MID(SUBSTITUTE(TRIM(CC589)," ",REPT(" ",60)),121,60))="",ISNUMBER(SEARCH(" "&amp;TRIM(MID(SUBSTITUTE(TRIM(CC589)," ",REPT(" ",60)),121,60))&amp;" ",CD589)))),1,0),0)</f>
        <v>0</v>
      </c>
      <c r="CG589" s="68" t="n">
        <f aca="false">IFERROR(LEN(SUBSTITUTE(BF589," ",""))-SUMPRODUCT((LEN(BF589)-LEN(SUBSTITUTE(BF589," "&amp;L_NAFiller&amp;" "," ")))/(LEN(L_NAFiller)+1)*LEN(L_NAFiller)),0)</f>
        <v>0</v>
      </c>
    </row>
    <row r="590" customFormat="false" ht="39.75" hidden="false" customHeight="true" outlineLevel="0" collapsed="false">
      <c r="A590" s="57" t="s">
        <v>1284</v>
      </c>
      <c r="B590" s="57" t="s">
        <v>293</v>
      </c>
      <c r="C590" s="57" t="str">
        <f aca="false">Flights!$F$22</f>
        <v>MH0052</v>
      </c>
      <c r="D590" s="58" t="n">
        <f aca="false">Flights!$D$22</f>
        <v>46322</v>
      </c>
      <c r="E590" s="57" t="str">
        <f aca="false">Flights!$G$22&amp;"-"&amp;Flights!$H$22</f>
        <v>KUL-KIX</v>
      </c>
      <c r="F590" s="57" t="str">
        <f aca="false">Flights!$K$22</f>
        <v>BC</v>
      </c>
      <c r="G590" s="57" t="s">
        <v>420</v>
      </c>
      <c r="H590" s="57" t="s">
        <v>378</v>
      </c>
      <c r="I590" s="57" t="s">
        <v>428</v>
      </c>
      <c r="J590" s="57" t="s">
        <v>438</v>
      </c>
      <c r="K590" s="67"/>
      <c r="L590" s="67" t="s">
        <v>422</v>
      </c>
      <c r="M590" s="67"/>
      <c r="N590" s="67" t="s">
        <v>383</v>
      </c>
      <c r="O590" s="67" t="s">
        <v>423</v>
      </c>
      <c r="P590" s="57" t="s">
        <v>187</v>
      </c>
      <c r="Q590" s="59" t="n">
        <f aca="false">ROUND((Flights!$AE$22)*1440,0)/1440</f>
        <v>46322.1006944444</v>
      </c>
      <c r="R590" s="59" t="n">
        <f aca="false">Q590+(IF(AND(INDEX(TZ_DSTS,MATCH(P590,TZ_STN,0))&lt;&gt;"",Q590&gt;=INDEX(TZ_DSTS,MATCH(P590,TZ_STN,0)),Q590&lt;INDEX(TZ_DSTE,MATCH(P590,TZ_STN,0))),INDEX(TZ_DST,MATCH(P590,TZ_STN,0)),INDEX(TZ_STD,MATCH(P590,TZ_STN,0))))/24</f>
        <v>46322.4340277778</v>
      </c>
      <c r="S590" s="60"/>
      <c r="T590" s="60"/>
      <c r="U590" s="60"/>
      <c r="V590" s="60"/>
      <c r="W590" s="61"/>
      <c r="X590" s="60"/>
      <c r="Y590" s="60"/>
      <c r="Z590" s="60"/>
      <c r="AA590" s="60"/>
      <c r="AB590" s="60"/>
      <c r="AC590" s="60"/>
      <c r="AD590" s="66"/>
      <c r="AE590" s="60"/>
      <c r="AF590" s="61" t="str">
        <f aca="false">IF(AND(ISNUMBER(X590),ISNUMBER(Y590)),Y590-X590,"")</f>
        <v/>
      </c>
      <c r="AG590" s="62" t="str">
        <f aca="false">IF(ISNUMBER(AD590),AD590-(IF(AND(INDEX(TZ_DSTS,MATCH(P590,TZ_STN,0))&lt;&gt;"",(AD590-INDEX(TZ_STD,MATCH(P590,TZ_STN,0))/24)&gt;=INDEX(TZ_DSTS,MATCH(P590,TZ_STN,0)),(AD590-INDEX(TZ_STD,MATCH(P590,TZ_STN,0))/24)&lt;INDEX(TZ_DSTE,MATCH(P590,TZ_STN,0))),INDEX(TZ_DST,MATCH(P590,TZ_STN,0)),INDEX(TZ_STD,MATCH(P590,TZ_STN,0))))/24,"")</f>
        <v/>
      </c>
      <c r="AH590" s="65" t="str">
        <f aca="false">IFERROR(IF(N590="N/A – rule",IF(OR(TRIM(U590)="",TRIM(U590)="N/A",TRIM(U590)="Not started"),"N/A – RULE","INVALID – this check does not apply to this aircraft: clear the status (or correct the fleet on Flights)"),IF(TRIM(U590)="N/A",IF(AT590=0,"INVALID – N/A not permitted for this check",IF(AND(TRIM(AB590)&lt;&gt;"",TRIM(AB590)&lt;&gt;"Closed"),"INVALID – corrective action still open",IF(AND(NOT(OR(LEN(AZ590)&lt;15,ISNUMBER(MATCH(AZ590,L_Placeholder,0)))),BK590=0,CG590&gt;=8,NOT(OR(LEN(AU590)&lt;2,ISNUMBER(MATCH(AU590,L_Placeholder,0)))),BR590&gt;=3,NOT(OR(LEN(AX590)&lt;2,ISNUMBER(MATCH(AX590,L_Placeholder,0)))),BS590&gt;=3,TRIM(AE590)&lt;&gt;TRIM(T590),AX590&lt;&gt;AU590,CE590=0),"N/A – JUSTIFIED","INVALID – N/A needs a real, settled reason (not 'not applicable' / 'as above' / TBC), a named PIC and a different named verifier"))),IF(OR(TRIM(U590)="Pass",TRIM(U590)="Pass after CA"),IF(NOT(ISNUMBER(AD590)),"INVALID – completion time missing",IF(OR(OR(LEN(AU590)&lt;2,ISNUMBER(MATCH(AU590,L_Placeholder,0))),BR590&lt;3),"INVALID – PIC missing or not a named person (a role such as QA / CSM is not a name)",IF(OR(LEN(AV590)&lt;2,ISNUMBER(MATCH(AV590,L_Placeholder,0))),"INVALID – result / assessment missing",IF(OR(OR(LEN(AW590)&lt;3,ISNUMBER(MATCH(AW590,L_Placeholder,0))),SUMPRODUCT(--ISNUMBER(SEARCH(" "&amp;L_EvidencePhrase&amp;" ",BD590)))&gt;0,BI590=1),"INVALID – evidence missing, placeholder or not yet on file",IF(ISNA(MATCH(TRIM(S590),L_EvidenceType,0)),"INVALID – choose the evidence type from the list (column S)",IF(BL590=0,"INVALID – evidence ID must be the record's own ID only (e.g. SF-2210, IMG_2231, 1045521); a link / file name needs type 'Link / file path'",IF(OR(OR(LEN(AX590)&lt;2,ISNUMBER(MATCH(AX590,L_Placeholder,0))),BS590&lt;3),"INVALID – verifier missing or not a named person (a role such as QA / CSM is not a name)",IF(OR(AX590=AU590,CE590=1,AND(LEN(AU590)&gt;=4,ISNUMBER(SEARCH(AU590,AX590))),AND(LEN(AX590)&gt;=4,ISNUMBER(SEARCH(AX590,AU590)))),"INVALID – verifier must be a different, named person (not the PIC or a role)",IF(BH590=1,"INVALID – result not yet available (awaiting / TBC)",IF(BG590=1,"INVALID – result describes a problem: record Fail, then Pass after CA (or reword if it is not a problem)",IF(BV590=1,"INVALID – wording says not on board: an on-board confirmation needs the item loaded",IF(AND(AQ590=1,OR(OR(LEN(AY590)&lt;3,ISNUMBER(MATCH(AY590,L_Placeholder,0))),BJ590=1,BQ590=0)),"INVALID – batch ID missing, placeholder or not an ID (e.g. PASB-261008-BC-017)",IF(AND(AR590=1,OR(NOT(ISNUMBER(X590)),NOT(ISNUMBER(Y590)))),"INVALID – expected/actual qty missing",IF(AND(AR590=1,OR(X590&lt;=0,Y590&lt;0)),"INVALID – expected qty must be above 0 and actual not negative",IF(BB590&lt;&gt;"",BB590,IF(AND(AS590=1,Documents!$J$22&lt;&gt;"ON FILE"),"INVALID – GLD not on file (Documents sheet)",IF(AND(AS590=2,Documents!$O$22&lt;&gt;"ON FILE"),"INVALID – menu checklist not on file (Documents sheet)",IF(AND(AS590=3,NOT(ISNUMBER(Flights!$AX$22))),"INVALID – enter carrying flight KUL departure (Flights AX)",IF(AND(AS590=3,OR(Flights!$AZ$22&gt;Flights!$AA$22,Flights!$AX$22&lt;Flights!$AA$22-3)),"INVALID – carrying flight (Flights AX) cannot arrive before this leg's STD, or is over 3 days early",IF(AG590&gt;AsOfUTC,"INVALID – completion time is in the future",IF(AND(ISNUMBER(BY590),AG590&lt;BY590),IF(H590="Physical uplift","INVALID – before uplift window (cannot confirm loading)","INVALID – before valid window"),IF(AG590&gt;Flights!$AA$22,"INVALID – completed after departure (cannot establish readiness)",IF(AND(H590="Preparation",AG590&gt;=IF(ISNUMBER(Flights!$BA$22),MIN(Flights!$BA$22,Flights!$AA$22),Flights!$AA$22)),"INVALID – completed after loading / departure (cannot establish readiness)",IF(AND(H590="Physical uplift",AG590&gt;Q590),"INVALID – recorded after the loading flight departed",IF(AG590&gt;Q590,"COMPLETE – LATE","COMPLETE"))))))))))))))))))))))))),IF(TRIM(U590)="Fail","FAIL – DISCREPANCY",IF(AND(TRIM(U590)&lt;&gt;"",TRIM(U590)&lt;&gt;"Not started",TRIM(U590)&lt;&gt;"In progress"),"INVALID – unrecognised status (use the list)",IF(AsOfUTC&gt;Q590,"OVERDUE",IF(N590="Clarification required","OPEN – CLARIFICATION","OPEN"))))))),"INVALID – error value in an input cell")</f>
        <v>OPEN</v>
      </c>
      <c r="AI590" s="61" t="n">
        <f aca="false">IF(OR(AH590="N/A – RULE",AH590="N/A – JUSTIFIED"),0,1)</f>
        <v>1</v>
      </c>
      <c r="AJ590" s="61" t="n">
        <f aca="false">IF(LEFT(AH590,8)="COMPLETE",1,0)</f>
        <v>0</v>
      </c>
      <c r="AK590" s="61" t="n">
        <f aca="false">IF(AND(AI590=1,AJ590=0,AsOfUTC&gt;Q590),1,0)</f>
        <v>0</v>
      </c>
      <c r="AL590" s="61" t="n">
        <f aca="false">IFERROR(IF(AND(AI590=1,OR(TRIM(U590)="Fail",AND(TRIM(AB590)&lt;&gt;"",TRIM(AB590)&lt;&gt;"Closed"),AND(ISNUMBER(AF590),AF590&lt;&gt;0,TRIM(U590)&lt;&gt;"Pass after CA"))),1,0),1)</f>
        <v>0</v>
      </c>
      <c r="AM590" s="61" t="n">
        <f aca="false">IF(LEFT(AH590,7)="INVALID",1,0)</f>
        <v>0</v>
      </c>
      <c r="AN590" s="61" t="n">
        <f aca="false">IF(AND(N590="Clarification required",AI590=1,AJ590=0),1,0)</f>
        <v>0</v>
      </c>
      <c r="AO590" s="61" t="str">
        <f aca="false">IF(AK590=1,SUM(AK$5:AK590),"")</f>
        <v/>
      </c>
      <c r="AP590" s="61" t="str">
        <f aca="false">IF(AL590=1,SUM(AL$5:AL590),"")</f>
        <v/>
      </c>
      <c r="AQ590" s="61" t="n">
        <v>0</v>
      </c>
      <c r="AR590" s="61" t="n">
        <v>0</v>
      </c>
      <c r="AS590" s="61" t="n">
        <v>0</v>
      </c>
      <c r="AT590" s="61" t="n">
        <v>0</v>
      </c>
      <c r="AU590" s="61" t="str">
        <f aca="false">SUBSTITUTE(SUBSTITUTE(SUBSTITUTE(SUBSTITUTE(SUBSTITUTE(SUBSTITUTE(SUBSTITUTE(SUBSTITUTE(SUBSTITUTE(SUBSTITUTE(SUBSTITUTE(SUBSTITUTE(SUBSTITUTE(SUBSTITUTE(SUBSTITUTE(SUBSTITUTE(LOWER(T590&amp;""),CHAR(10),""),CHAR(13),""),CHAR(9),""),CHAR(160),"")," ",""),".",""),"-",""),"/",""),"?",""),"_",""),",",""),"[",""),"]",""),"(",""),")",""),"*","")</f>
        <v/>
      </c>
      <c r="AV590" s="61" t="str">
        <f aca="false">SUBSTITUTE(SUBSTITUTE(SUBSTITUTE(SUBSTITUTE(SUBSTITUTE(SUBSTITUTE(SUBSTITUTE(SUBSTITUTE(SUBSTITUTE(SUBSTITUTE(SUBSTITUTE(SUBSTITUTE(SUBSTITUTE(SUBSTITUTE(SUBSTITUTE(SUBSTITUTE(LOWER(V590&amp;""),CHAR(10),""),CHAR(13),""),CHAR(9),""),CHAR(160),"")," ",""),".",""),"-",""),"/",""),"?",""),"_",""),",",""),"[",""),"]",""),"(",""),")",""),"*","")</f>
        <v/>
      </c>
      <c r="AW590" s="61" t="str">
        <f aca="false">SUBSTITUTE(SUBSTITUTE(SUBSTITUTE(SUBSTITUTE(SUBSTITUTE(SUBSTITUTE(SUBSTITUTE(SUBSTITUTE(SUBSTITUTE(SUBSTITUTE(SUBSTITUTE(SUBSTITUTE(SUBSTITUTE(SUBSTITUTE(SUBSTITUTE(SUBSTITUTE(LOWER(Z590&amp;""),CHAR(10),""),CHAR(13),""),CHAR(9),""),CHAR(160),"")," ",""),".",""),"-",""),"/",""),"?",""),"_",""),",",""),"[",""),"]",""),"(",""),")",""),"*","")</f>
        <v/>
      </c>
      <c r="AX590" s="61" t="str">
        <f aca="false">SUBSTITUTE(SUBSTITUTE(SUBSTITUTE(SUBSTITUTE(SUBSTITUTE(SUBSTITUTE(SUBSTITUTE(SUBSTITUTE(SUBSTITUTE(SUBSTITUTE(SUBSTITUTE(SUBSTITUTE(SUBSTITUTE(SUBSTITUTE(SUBSTITUTE(SUBSTITUTE(LOWER(AE590&amp;""),CHAR(10),""),CHAR(13),""),CHAR(9),""),CHAR(160),"")," ",""),".",""),"-",""),"/",""),"?",""),"_",""),",",""),"[",""),"]",""),"(",""),")",""),"*","")</f>
        <v/>
      </c>
      <c r="AY590" s="61" t="str">
        <f aca="false">SUBSTITUTE(SUBSTITUTE(SUBSTITUTE(SUBSTITUTE(SUBSTITUTE(SUBSTITUTE(SUBSTITUTE(SUBSTITUTE(SUBSTITUTE(SUBSTITUTE(SUBSTITUTE(SUBSTITUTE(SUBSTITUTE(SUBSTITUTE(SUBSTITUTE(SUBSTITUTE(LOWER(W590&amp;""),CHAR(10),""),CHAR(13),""),CHAR(9),""),CHAR(160),"")," ",""),".",""),"-",""),"/",""),"?",""),"_",""),",",""),"[",""),"]",""),"(",""),")",""),"*","")</f>
        <v/>
      </c>
      <c r="AZ590" s="61" t="str">
        <f aca="false">SUBSTITUTE(SUBSTITUTE(SUBSTITUTE(SUBSTITUTE(SUBSTITUTE(SUBSTITUTE(SUBSTITUTE(SUBSTITUTE(SUBSTITUTE(SUBSTITUTE(SUBSTITUTE(SUBSTITUTE(SUBSTITUTE(SUBSTITUTE(SUBSTITUTE(SUBSTITUTE(LOWER(AC590&amp;""),CHAR(10),""),CHAR(13),""),CHAR(9),""),CHAR(160),"")," ",""),".",""),"-",""),"/",""),"?",""),"_",""),",",""),"[",""),"]",""),"(",""),")",""),"*","")</f>
        <v/>
      </c>
      <c r="BA590" s="61" t="str">
        <f aca="false">SUBSTITUTE(SUBSTITUTE(SUBSTITUTE(SUBSTITUTE(SUBSTITUTE(SUBSTITUTE(SUBSTITUTE(SUBSTITUTE(SUBSTITUTE(SUBSTITUTE(SUBSTITUTE(SUBSTITUTE(SUBSTITUTE(SUBSTITUTE(SUBSTITUTE(SUBSTITUTE(LOWER(AA590&amp;""),CHAR(10),""),CHAR(13),""),CHAR(9),""),CHAR(160),"")," ",""),".",""),"-",""),"/",""),"?",""),"_",""),",",""),"[",""),"]",""),"(",""),")",""),"*","")</f>
        <v/>
      </c>
      <c r="BB590" s="61" t="str">
        <f aca="false">IF(AND(TRIM(U590)="Pass",ISNUMBER(AF590)),IF(AF590&lt;&gt;0,"INVALID – qty variance: use Fail or Pass after CA",""),"")&amp;IF(AND(TRIM(U590)="Pass after CA",ISNUMBER(AF590)),IF(AF590&lt;&gt;0,"INVALID – after the corrective action the actual qty must equal expected (update Actual)",""),"")&amp;IF(AND(TRIM(U590)="Pass",TRIM(AB590)&lt;&gt;"",TRIM(AB590)&lt;&gt;"Closed"),"INVALID – corrective action not closed: use Fail, then Pass after CA","")&amp;IF(AND(LEN(BA590)&gt;=2,ISNA(MATCH(LEFT(BA590,255),L_Placeholder,0)),TRIM(AB590)=""),"INVALID – CA status missing for the recorded corrective action","")&amp;IF(AND(TRIM(U590)="Pass after CA",OR(OR(LEN(BA590)&lt;5,ISNUMBER(MATCH(BA590,L_Placeholder,0))),TRIM(AB590)&lt;&gt;"Closed")),"INVALID – corrective action not recorded/closed","")</f>
        <v/>
      </c>
      <c r="BC590" s="61" t="str">
        <f aca="false">" "&amp;TRIM(SUBSTITUTE(SUBSTITUTE(SUBSTITUTE(SUBSTITUTE(SUBSTITUTE(SUBSTITUTE(SUBSTITUTE(SUBSTITUTE(SUBSTITUTE(SUBSTITUTE(SUBSTITUTE(SUBSTITUTE(SUBSTITUTE(SUBSTITUTE(SUBSTITUTE(SUBSTITUTE(SUBSTITUTE(SUBSTITUTE(SUBSTITUTE(SUBSTITUTE(SUBSTITUTE(SUBSTITUTE(SUBSTITUTE(SUBSTITUTE(LOWER(V590&amp;""),CHAR(10)," "),CHAR(13)," "),CHAR(9)," "),CHAR(160)," "),"."," "),","," "),"-"," "),"/"," "),"("," "),")"," "),":"," "),";"," "),"_"," "),"–"," "),"?"," "),"!"," "),"*"," "),"["," "),"]"," "),"'"," "),"#"," "),"+"," "),"&amp;"," "),"\"," "))&amp;" "</f>
        <v>  </v>
      </c>
      <c r="BD590" s="61" t="str">
        <f aca="false">" "&amp;TRIM(SUBSTITUTE(SUBSTITUTE(SUBSTITUTE(SUBSTITUTE(SUBSTITUTE(SUBSTITUTE(SUBSTITUTE(SUBSTITUTE(SUBSTITUTE(SUBSTITUTE(SUBSTITUTE(SUBSTITUTE(SUBSTITUTE(SUBSTITUTE(SUBSTITUTE(SUBSTITUTE(SUBSTITUTE(SUBSTITUTE(SUBSTITUTE(SUBSTITUTE(SUBSTITUTE(SUBSTITUTE(SUBSTITUTE(SUBSTITUTE(LOWER(Z590&amp;""),CHAR(10)," "),CHAR(13)," "),CHAR(9)," "),CHAR(160)," "),"."," "),","," "),"-"," "),"/"," "),"("," "),")"," "),":"," "),";"," "),"_"," "),"–"," "),"?"," "),"!"," "),"*"," "),"["," "),"]"," "),"'"," "),"#"," "),"+"," "),"&amp;"," "),"\"," "))&amp;" "</f>
        <v>  </v>
      </c>
      <c r="BE590" s="61" t="str">
        <f aca="false">" "&amp;TRIM(SUBSTITUTE(SUBSTITUTE(SUBSTITUTE(SUBSTITUTE(SUBSTITUTE(SUBSTITUTE(SUBSTITUTE(SUBSTITUTE(SUBSTITUTE(SUBSTITUTE(SUBSTITUTE(SUBSTITUTE(SUBSTITUTE(SUBSTITUTE(SUBSTITUTE(SUBSTITUTE(SUBSTITUTE(SUBSTITUTE(SUBSTITUTE(SUBSTITUTE(SUBSTITUTE(SUBSTITUTE(SUBSTITUTE(SUBSTITUTE(LOWER(W590&amp;""),CHAR(10)," "),CHAR(13)," "),CHAR(9)," "),CHAR(160)," "),"."," "),","," "),"-"," "),"/"," "),"("," "),")"," "),":"," "),";"," "),"_"," "),"–"," "),"?"," "),"!"," "),"*"," "),"["," "),"]"," "),"'"," "),"#"," "),"+"," "),"&amp;"," "),"\"," "))&amp;" "</f>
        <v>  </v>
      </c>
      <c r="BF590" s="61" t="str">
        <f aca="false">" "&amp;TRIM(SUBSTITUTE(SUBSTITUTE(SUBSTITUTE(SUBSTITUTE(SUBSTITUTE(SUBSTITUTE(SUBSTITUTE(SUBSTITUTE(SUBSTITUTE(SUBSTITUTE(SUBSTITUTE(SUBSTITUTE(SUBSTITUTE(SUBSTITUTE(SUBSTITUTE(SUBSTITUTE(SUBSTITUTE(SUBSTITUTE(SUBSTITUTE(SUBSTITUTE(SUBSTITUTE(SUBSTITUTE(SUBSTITUTE(SUBSTITUTE(LOWER(AC590&amp;""),CHAR(10)," "),CHAR(13)," "),CHAR(9)," "),CHAR(160)," "),"."," "),","," "),"-"," "),"/"," "),"("," "),")"," "),":"," "),";"," "),"_"," "),"–"," "),"?"," "),"!"," "),"*"," "),"["," "),"]"," "),"'"," "),"#"," "),"+"," "),"&amp;"," "),"\"," "))&amp;" "</f>
        <v>  </v>
      </c>
      <c r="BG590" s="61" t="n">
        <f aca="false">IFERROR(IF(AND(TRIM(U590)="Pass",SUMPRODUCT((LEN(BC590)-LEN(SUBSTITUTE(BC590," "&amp;L_ResultBad&amp;" "," ")))/(LEN(L_ResultBad)+1))&gt;SUMPRODUCT((LEN(BC590)-LEN(SUBSTITUTE(BC590," "&amp;L_NegPhrase&amp;" "," ")))/(LEN(L_NegPhrase)+1))),1,0),0)</f>
        <v>0</v>
      </c>
      <c r="BH590" s="61" t="n">
        <f aca="false">IFERROR(IF(SUMPRODUCT((LEN(BC590)-LEN(SUBSTITUTE(BC590," "&amp;L_Pending&amp;" "," ")))/(LEN(L_Pending)+1))&gt;SUMPRODUCT((LEN(BC590)-LEN(SUBSTITUTE(BC590," "&amp;L_PendNeg&amp;" "," ")))/(LEN(L_PendNeg)+1))+SUMPRODUCT((LEN(BC590)-LEN(SUBSTITUTE(BC590," "&amp;L_PendPrep&amp;" "," ")))/(LEN(L_PendPrep)+1)),1,0),1)</f>
        <v>0</v>
      </c>
      <c r="BI590" s="61" t="n">
        <f aca="false">IFERROR(IF(SUMPRODUCT((LEN(BD590)-LEN(SUBSTITUTE(BD590," "&amp;L_PendStrict&amp;" "," ")))/(LEN(L_PendStrict)+1))&gt;SUMPRODUCT((LEN(BD590)-LEN(SUBSTITUTE(BD590," "&amp;L_PendNeg&amp;" "," ")))/(LEN(L_PendNeg)+1)),1,0),1)</f>
        <v>0</v>
      </c>
      <c r="BJ590" s="61" t="n">
        <f aca="false">IFERROR(IF(SUMPRODUCT((LEN(BE590)-LEN(SUBSTITUTE(BE590," "&amp;L_Pending&amp;" "," ")))/(LEN(L_Pending)+1))&gt;SUMPRODUCT((LEN(BE590)-LEN(SUBSTITUTE(BE590," "&amp;L_PendNeg&amp;" "," ")))/(LEN(L_PendNeg)+1))+SUMPRODUCT((LEN(BE590)-LEN(SUBSTITUTE(BE590," "&amp;L_PendPrep&amp;" "," ")))/(LEN(L_PendPrep)+1)),1,0),1)</f>
        <v>0</v>
      </c>
      <c r="BK590" s="61" t="n">
        <f aca="false">IFERROR(IF(SUMPRODUCT((LEN(BF590)-LEN(SUBSTITUTE(BF590," "&amp;L_PendStrict&amp;" "," ")))/(LEN(L_PendStrict)+1))&gt;SUMPRODUCT((LEN(BF590)-LEN(SUBSTITUTE(BF590," "&amp;L_PendNeg&amp;" "," ")))/(LEN(L_PendNeg)+1)),1,0),1)</f>
        <v>0</v>
      </c>
      <c r="BL590" s="61" t="n">
        <f aca="false">IF(ISNA(MATCH(TRIM(S590),L_EvidenceType,0)),0,BZ590)</f>
        <v>0</v>
      </c>
      <c r="BM590" s="61" t="str">
        <f aca="false">SUBSTITUTE(SUBSTITUTE(SUBSTITUTE(SUBSTITUTE(SUBSTITUTE(SUBSTITUTE(SUBSTITUTE(SUBSTITUTE(SUBSTITUTE(LOWER(Z590&amp;""),"1","0"),"2","0"),"3","0"),"4","0"),"5","0"),"6","0"),"7","0"),"8","0"),"9","0")</f>
        <v/>
      </c>
      <c r="BN590" s="61" t="str">
        <f aca="false">SUBSTITUTE(SUBSTITUTE(SUBSTITUTE(SUBSTITUTE(SUBSTITUTE(SUBSTITUTE(SUBSTITUTE(SUBSTITUTE(SUBSTITUTE(SUBSTITUTE(SUBSTITUTE(SUBSTITUTE(SUBSTITUTE(SUBSTITUTE(SUBSTITUTE(SUBSTITUTE(SUBSTITUTE(SUBSTITUTE(SUBSTITUTE(SUBSTITUTE(SUBSTITUTE(SUBSTITUTE(SUBSTITUTE(SUBSTITUTE(SUBSTITUTE(BM590,"b","a"),"c","a"),"d","a"),"e","a"),"f","a"),"g","a"),"h","a"),"i","a"),"j","a"),"k","a"),"l","a"),"m","a"),"n","a"),"o","a"),"p","a"),"q","a"),"r","a"),"s","a"),"t","a"),"u","a"),"v","a"),"w","a"),"x","a"),"y","a"),"z","a")</f>
        <v/>
      </c>
      <c r="BO590" s="61" t="str">
        <f aca="false">SUBSTITUTE(SUBSTITUTE(SUBSTITUTE(SUBSTITUTE(SUBSTITUTE(SUBSTITUTE(SUBSTITUTE(SUBSTITUTE(SUBSTITUTE(LOWER(W590&amp;""),"1","0"),"2","0"),"3","0"),"4","0"),"5","0"),"6","0"),"7","0"),"8","0"),"9","0")</f>
        <v/>
      </c>
      <c r="BP590" s="61" t="str">
        <f aca="false">SUBSTITUTE(SUBSTITUTE(SUBSTITUTE(SUBSTITUTE(SUBSTITUTE(SUBSTITUTE(SUBSTITUTE(SUBSTITUTE(SUBSTITUTE(SUBSTITUTE(SUBSTITUTE(SUBSTITUTE(SUBSTITUTE(SUBSTITUTE(SUBSTITUTE(SUBSTITUTE(SUBSTITUTE(SUBSTITUTE(SUBSTITUTE(SUBSTITUTE(SUBSTITUTE(SUBSTITUTE(SUBSTITUTE(SUBSTITUTE(SUBSTITUTE(BO590,"b","a"),"c","a"),"d","a"),"e","a"),"f","a"),"g","a"),"h","a"),"i","a"),"j","a"),"k","a"),"l","a"),"m","a"),"n","a"),"o","a"),"p","a"),"q","a"),"r","a"),"s","a"),"t","a"),"u","a"),"v","a"),"w","a"),"x","a"),"y","a"),"z","a")</f>
        <v/>
      </c>
      <c r="BQ590" s="61" t="n">
        <f aca="false">IFERROR(IF(AND(ISERROR(SEARCH(" mh"," "&amp;LOWER(W590))),ISNA(MATCH(LEFT(TRIM(BP590),255),{"0000a","000a","00a","0000aa","000aa","00aa","0aa","0000aaa","000aaa","00a00","0a00","0000-0000","00:00","a00","a0","00.00.0000","00/00/0000","00-00-0000","0000-00-00","0000/00/00","0000.00.00","00.00.00","00/00/00","00-00-00","0.00.0000","0/00/0000","0-00-0000"},0)),ISNA(MATCH(LEFT(TRIM(CA590),255),{"0000a","000a","00a","0000aa","000aa","00aa","0aa","0000aaa","000aaa","00a00","0a00","0000-0000","00:00","a00","a0","00.00.0000","00/00/0000","00-00-0000","0000-00-00","0000/00/00","0000.00.00","00.00.00","00/00/00","00-00-00","0.00.0000","0/00/0000","0-00-0000"},0)),LEN(CB590)&gt;=3,NOT(OR(SUBSTITUTE(CB590,"0","")="",AND(LEN(CB590)&gt;=4,CB590=REPT(LEFT(CB590),LEN(CB590))),ISNUMBER(MATCH(CB590,{"123","1234","12345","123456","1234567","12345678","0123","01234","012345","98765","987654","54321"},0)),AND(LEN(CB590)=8,LEFT(CB590,3)="202"))),OR(AND((LEN(CA590)-LEN(SUBSTITUTE(CA590,"a","")))&gt;=1,SUMPRODUCT(--ISNUMBER(SEARCH({"a0","a-0","a_0","a/0","a.0","a#0","0a","0-a","0_a","0/a"},BP590)))&gt;0),ISNUMBER(SEARCH("000000",BP590)))),1,0),0)</f>
        <v>0</v>
      </c>
      <c r="BR590" s="61" t="n">
        <f aca="false">IFERROR(LEN(SUBSTITUTE(CC590," ",""))-SUMPRODUCT((LEN(CC590)-LEN(SUBSTITUTE(CC590," "&amp;L_Role&amp;" "," ")))/(LEN(L_Role)+1)*LEN(L_Role)),0)</f>
        <v>0</v>
      </c>
      <c r="BS590" s="61" t="n">
        <f aca="false">IFERROR(LEN(SUBSTITUTE(CD590," ",""))-SUMPRODUCT((LEN(CD590)-LEN(SUBSTITUTE(CD590," "&amp;L_Role&amp;" "," ")))/(LEN(L_Role)+1)*LEN(L_Role)),0)</f>
        <v>0</v>
      </c>
      <c r="BT5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590,"revision",""),"version",""),"jan",""),"feb",""),"mar",""),"apr",""),"may",""),"jun",""),"jul",""),"aug",""),"sep",""),"oct",""),"nov",""),"dec",""),"utc",""),"gmt",""),"myt",""),"bst",""),"rev",""),"ver",""),"b","a"),"c","a"),"d","a"),"e","a"),"f","a"),"g","a"),"h","a"),"i","a"),"j","a"),"k","a"),"l","a"),"m","a"),"n","a"),"o","a"),"p","a"),"q","a"),"r","a"),"s","a"),"t","a"),"u","a"),"v","a"),"w","a"),"x","a"),"y","a"),"z","a")</f>
        <v/>
      </c>
      <c r="BU590" s="61" t="str">
        <f aca="false">SUBSTITUTE(SUBSTITUTE(SUBSTITUTE(SUBSTITUTE(SUBSTITUTE(SUBSTITUTE(SUBSTITUTE(SUBSTITUTE(SUBSTITUTE(SUBSTITUTE(LEFT(BM590,FIND("0",BM590&amp;"0")-1),"-",""),"_",""),"/",""),".",""),"#",""),"\\",""),":","")," ",""),"(",""),")","")</f>
        <v/>
      </c>
      <c r="BV590" s="61" t="n">
        <f aca="false">0</f>
        <v>0</v>
      </c>
      <c r="BW5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590&amp;""),"a",""),"b",""),"c",""),"d",""),"e",""),"f",""),"g",""),"h",""),"i",""),"j",""),"k",""),"l",""),"m",""),"n",""),"o",""),"p",""),"q",""),"r",""),"s",""),"t",""),"u",""),"v",""),"w",""),"x",""),"y",""),"z",""),"-",""),"_",""),"/",""),".",""),"#",""),"\\",""),":","")," ",""),"(",""),")","")</f>
        <v/>
      </c>
      <c r="BX590" s="61" t="str">
        <f aca="false">SUBSTITUTE(SUBSTITUTE(SUBSTITUTE(SUBSTITUTE(SUBSTITUTE(SUBSTITUTE(SUBSTITUTE(SUBSTITUTE(SUBSTITUTE(SUBSTITUTE(SUBSTITUTE(BM590,"0",""),"-",""),"_",""),"/",""),".",""),"#",""),"\\",""),":","")," ",""),"(",""),")","")</f>
        <v/>
      </c>
      <c r="BY590" s="62" t="n">
        <f aca="false">Q590-T12EarlyH/24</f>
        <v>46321.6006944444</v>
      </c>
      <c r="BZ590" s="61" t="n">
        <f aca="false">IFERROR(IF(IF(TRIM(S590)="Link / file path",AND(LEN(TRIM(Z590))&gt;=5,SUMPRODUCT(--ISNUMBER(SEARCH({"http","www.","\\",":\",".pdf",".jpg",".jpeg",".png",".heic",".xls",".doc",".msg",".eml",".ppt",".txt",".zip"},Z590)))&gt;0),AND(ISERROR(FIND(" ",TRIM(Z590))),NOT(OR(SUMPRODUCT(--ISNUMBER(FIND({",",";","&amp;","+"},Z590)))&gt;0,SUMPRODUCT(--ISNUMBER(SEARCH({"0/aa","0\\aa"},BN590)))&gt;0)),NOT(SUMPRODUCT(--ISNUMBER(SEARCH({"http","www.","\\",":\",".pdf",".jpg",".jpeg",".png",".heic",".xls",".doc",".msg",".eml",".ppt",".txt",".zip"},Z590)))&gt;0),NOT(LOWER(TRIM(Z590))=LOWER(Flights!$F$22)),ISNA(MATCH(BU590,{"mh","rev","revision","ver","version","v","r","a","b","seat","tray","row","gate","bay","stand","page","pg","item","line","no","cart","galley","flight","flt","table","box","bag","oven","etd","eta","std","sta","atd","ata","qty","pax","x","time","tel","ph","mob","day","wk","week","utc","gmt","myt","lt"},0)),NOT(OR(ISNUMBER(MATCH(LEFT(BN590,255),{"0000a","000a","00a","0000aa","000aa","00aa","0aa","0000aaa","000aaa","00a00","0a00","0000-0000","00:00","a00","a0","00.00.0000","00/00/0000","00-00-0000","0000-00-00","0000/00/00","0000.00.00","00.00.00","00/00/00","00-00-00","0.00.0000","0/00/0000","0-00-0000"},0)),ISNUMBER(MATCH(LEFT(BT590,255),{"0000a","000a","00a","0000aa","000aa","00aa","0aa","0000aaa","000aaa","00a00","0a00","0000-0000","00:00","a00","a0","00.00.0000","00/00/0000","00-00-0000","0000-00-00","0000/00/00","0000.00.00","00.00.00","00/00/00","00-00-00","0.00.0000","0/00/0000","0-00-0000"},0)))),NOT(OR(AND(BW590&lt;&gt;"",SUBSTITUTE(BW590,"0","")=""),AND(LEN(BW590)&gt;=4,BW590=REPT(LEFT(BW590),LEN(BW590))),ISNUMBER(MATCH(BW590,{"123","1234","12345","123456","1234567","12345678","0123","01234","012345","98765","987654","54321"},0)),ISNUMBER(MATCH(BX590,{"x","xx","xxx","xxxx","xxxxx","abc","abcd","nil","na","nan","test","tbc","tba","tbd","dummy","sample","example","eg","zz","zzz","none","null","xyz","qwe","asd","id","ref"},0)),AND(LEN(BW590)=8,BX590="",OR(LEFT(BW590,3)="202",ISNUMBER(MATCH(RIGHT(BW590,4),{"2025","2026","2027"},0)))))),OR(AND((LEN(BT590)-LEN(SUBSTITUTE(BT590,"a","")))&gt;=1,(LEN(BN590)-LEN(SUBSTITUTE(BN590,"0","")))&gt;=2,SUMPRODUCT(--ISNUMBER(SEARCH({"a0","a-0","a_0","a/0","a.0","a#0","0a","0-a","0_a","0/a"},BN590)))&gt;0),AND((LEN(BN590)-LEN(SUBSTITUTE(BN590,"a","")))=0,(LEN(BN590)-LEN(SUBSTITUTE(BN590,"0","")))&gt;=5)))),1,0),0)</f>
        <v>0</v>
      </c>
      <c r="CA5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590,"revision",""),"version",""),"jan",""),"feb",""),"mar",""),"apr",""),"may",""),"jun",""),"jul",""),"aug",""),"sep",""),"oct",""),"nov",""),"dec",""),"utc",""),"gmt",""),"myt",""),"bst",""),"rev",""),"ver",""),"b","a"),"c","a"),"d","a"),"e","a"),"f","a"),"g","a"),"h","a"),"i","a"),"j","a"),"k","a"),"l","a"),"m","a"),"n","a"),"o","a"),"p","a"),"q","a"),"r","a"),"s","a"),"t","a"),"u","a"),"v","a"),"w","a"),"x","a"),"y","a"),"z","a")</f>
        <v/>
      </c>
      <c r="CB5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590&amp;""),"a",""),"b",""),"c",""),"d",""),"e",""),"f",""),"g",""),"h",""),"i",""),"j",""),"k",""),"l",""),"m",""),"n",""),"o",""),"p",""),"q",""),"r",""),"s",""),"t",""),"u",""),"v",""),"w",""),"x",""),"y",""),"z",""),"-",""),"_",""),"/",""),".",""),"#",""),"\\",""),":","")," ",""),"(",""),")","")</f>
        <v/>
      </c>
      <c r="CC590" s="0" t="str">
        <f aca="false">" "&amp;TRIM(SUBSTITUTE(SUBSTITUTE(SUBSTITUTE(SUBSTITUTE(SUBSTITUTE(SUBSTITUTE(SUBSTITUTE(SUBSTITUTE(SUBSTITUTE(SUBSTITUTE(SUBSTITUTE(SUBSTITUTE(SUBSTITUTE(SUBSTITUTE(SUBSTITUTE(SUBSTITUTE(SUBSTITUTE(SUBSTITUTE(SUBSTITUTE(SUBSTITUTE(SUBSTITUTE(SUBSTITUTE(SUBSTITUTE(SUBSTITUTE(LOWER(T590&amp;""),CHAR(10)," "),CHAR(13)," "),CHAR(9)," "),CHAR(160)," "),"."," "),","," "),"-"," "),"/"," "),"("," "),")"," "),":"," "),";"," "),"_"," "),"–"," "),"?"," "),"!"," "),"*"," "),"["," "),"]"," "),"'"," "),"#"," "),"+"," "),"&amp;"," "),"\"," "))&amp;" "</f>
        <v>  </v>
      </c>
      <c r="CD590" s="0" t="str">
        <f aca="false">" "&amp;TRIM(SUBSTITUTE(SUBSTITUTE(SUBSTITUTE(SUBSTITUTE(SUBSTITUTE(SUBSTITUTE(SUBSTITUTE(SUBSTITUTE(SUBSTITUTE(SUBSTITUTE(SUBSTITUTE(SUBSTITUTE(SUBSTITUTE(SUBSTITUTE(SUBSTITUTE(SUBSTITUTE(SUBSTITUTE(SUBSTITUTE(SUBSTITUTE(SUBSTITUTE(SUBSTITUTE(SUBSTITUTE(SUBSTITUTE(SUBSTITUTE(LOWER(AE590&amp;""),CHAR(10)," "),CHAR(13)," "),CHAR(9)," "),CHAR(160)," "),"."," "),","," "),"-"," "),"/"," "),"("," "),")"," "),":"," "),";"," "),"_"," "),"–"," "),"?"," "),"!"," "),"*"," "),"["," "),"]"," "),"'"," "),"#"," "),"+"," "),"&amp;"," "),"\"," "))&amp;" "</f>
        <v>  </v>
      </c>
      <c r="CE590" s="68" t="n">
        <f aca="false">IFERROR(IF(AND(LEN(AU590)&gt;0,LEN(AU590)=LEN(AX590),OR(TRIM(MID(SUBSTITUTE(TRIM(CC590)," ",REPT(" ",60)),1,60))="",ISNUMBER(SEARCH(" "&amp;TRIM(MID(SUBSTITUTE(TRIM(CC590)," ",REPT(" ",60)),1,60))&amp;" ",CD590))),OR(TRIM(MID(SUBSTITUTE(TRIM(CC590)," ",REPT(" ",60)),61,60))="",ISNUMBER(SEARCH(" "&amp;TRIM(MID(SUBSTITUTE(TRIM(CC590)," ",REPT(" ",60)),61,60))&amp;" ",CD590))),OR(TRIM(MID(SUBSTITUTE(TRIM(CC590)," ",REPT(" ",60)),121,60))="",ISNUMBER(SEARCH(" "&amp;TRIM(MID(SUBSTITUTE(TRIM(CC590)," ",REPT(" ",60)),121,60))&amp;" ",CD590)))),1,0),0)</f>
        <v>0</v>
      </c>
      <c r="CG590" s="68" t="n">
        <f aca="false">IFERROR(LEN(SUBSTITUTE(BF590," ",""))-SUMPRODUCT((LEN(BF590)-LEN(SUBSTITUTE(BF590," "&amp;L_NAFiller&amp;" "," ")))/(LEN(L_NAFiller)+1)*LEN(L_NAFiller)),0)</f>
        <v>0</v>
      </c>
    </row>
    <row r="591" customFormat="false" ht="39.75" hidden="false" customHeight="true" outlineLevel="0" collapsed="false">
      <c r="A591" s="57" t="s">
        <v>1285</v>
      </c>
      <c r="B591" s="57" t="s">
        <v>293</v>
      </c>
      <c r="C591" s="57" t="str">
        <f aca="false">Flights!$F$22</f>
        <v>MH0052</v>
      </c>
      <c r="D591" s="58" t="n">
        <f aca="false">Flights!$D$22</f>
        <v>46322</v>
      </c>
      <c r="E591" s="57" t="str">
        <f aca="false">Flights!$G$22&amp;"-"&amp;Flights!$H$22</f>
        <v>KUL-KIX</v>
      </c>
      <c r="F591" s="57" t="str">
        <f aca="false">Flights!$K$22</f>
        <v>BC</v>
      </c>
      <c r="G591" s="57" t="s">
        <v>420</v>
      </c>
      <c r="H591" s="57" t="s">
        <v>378</v>
      </c>
      <c r="I591" s="57" t="s">
        <v>440</v>
      </c>
      <c r="J591" s="57" t="s">
        <v>603</v>
      </c>
      <c r="K591" s="67" t="s">
        <v>501</v>
      </c>
      <c r="L591" s="67" t="s">
        <v>1286</v>
      </c>
      <c r="M591" s="67" t="s">
        <v>187</v>
      </c>
      <c r="N591" s="67" t="s">
        <v>383</v>
      </c>
      <c r="O591" s="67"/>
      <c r="P591" s="57" t="s">
        <v>187</v>
      </c>
      <c r="Q591" s="59" t="n">
        <f aca="false">ROUND((Flights!$AE$22)*1440,0)/1440</f>
        <v>46322.1006944444</v>
      </c>
      <c r="R591" s="59" t="n">
        <f aca="false">Q591+(IF(AND(INDEX(TZ_DSTS,MATCH(P591,TZ_STN,0))&lt;&gt;"",Q591&gt;=INDEX(TZ_DSTS,MATCH(P591,TZ_STN,0)),Q591&lt;INDEX(TZ_DSTE,MATCH(P591,TZ_STN,0))),INDEX(TZ_DST,MATCH(P591,TZ_STN,0)),INDEX(TZ_STD,MATCH(P591,TZ_STN,0))))/24</f>
        <v>46322.4340277778</v>
      </c>
      <c r="S591" s="60"/>
      <c r="T591" s="60"/>
      <c r="U591" s="60"/>
      <c r="V591" s="60"/>
      <c r="W591" s="61"/>
      <c r="X591" s="60"/>
      <c r="Y591" s="60"/>
      <c r="Z591" s="60"/>
      <c r="AA591" s="60"/>
      <c r="AB591" s="60"/>
      <c r="AC591" s="60"/>
      <c r="AD591" s="66"/>
      <c r="AE591" s="60"/>
      <c r="AF591" s="61" t="str">
        <f aca="false">IF(AND(ISNUMBER(X591),ISNUMBER(Y591)),Y591-X591,"")</f>
        <v/>
      </c>
      <c r="AG591" s="62" t="str">
        <f aca="false">IF(ISNUMBER(AD591),AD591-(IF(AND(INDEX(TZ_DSTS,MATCH(P591,TZ_STN,0))&lt;&gt;"",(AD591-INDEX(TZ_STD,MATCH(P591,TZ_STN,0))/24)&gt;=INDEX(TZ_DSTS,MATCH(P591,TZ_STN,0)),(AD591-INDEX(TZ_STD,MATCH(P591,TZ_STN,0))/24)&lt;INDEX(TZ_DSTE,MATCH(P591,TZ_STN,0))),INDEX(TZ_DST,MATCH(P591,TZ_STN,0)),INDEX(TZ_STD,MATCH(P591,TZ_STN,0))))/24,"")</f>
        <v/>
      </c>
      <c r="AH591" s="65" t="str">
        <f aca="false">IFERROR(IF(N591="N/A – rule",IF(OR(TRIM(U591)="",TRIM(U591)="N/A",TRIM(U591)="Not started"),"N/A – RULE","INVALID – this check does not apply to this aircraft: clear the status (or correct the fleet on Flights)"),IF(TRIM(U591)="N/A",IF(AT591=0,"INVALID – N/A not permitted for this check",IF(AND(TRIM(AB591)&lt;&gt;"",TRIM(AB591)&lt;&gt;"Closed"),"INVALID – corrective action still open",IF(AND(NOT(OR(LEN(AZ591)&lt;15,ISNUMBER(MATCH(AZ591,L_Placeholder,0)))),BK591=0,CG591&gt;=8,NOT(OR(LEN(AU591)&lt;2,ISNUMBER(MATCH(AU591,L_Placeholder,0)))),BR591&gt;=3,NOT(OR(LEN(AX591)&lt;2,ISNUMBER(MATCH(AX591,L_Placeholder,0)))),BS591&gt;=3,TRIM(AE591)&lt;&gt;TRIM(T591),AX591&lt;&gt;AU591,CE591=0),"N/A – JUSTIFIED","INVALID – N/A needs a real, settled reason (not 'not applicable' / 'as above' / TBC), a named PIC and a different named verifier"))),IF(OR(TRIM(U591)="Pass",TRIM(U591)="Pass after CA"),IF(NOT(ISNUMBER(AD591)),"INVALID – completion time missing",IF(OR(OR(LEN(AU591)&lt;2,ISNUMBER(MATCH(AU591,L_Placeholder,0))),BR591&lt;3),"INVALID – PIC missing or not a named person (a role such as QA / CSM is not a name)",IF(OR(LEN(AV591)&lt;2,ISNUMBER(MATCH(AV591,L_Placeholder,0))),"INVALID – result / assessment missing",IF(OR(OR(LEN(AW591)&lt;3,ISNUMBER(MATCH(AW591,L_Placeholder,0))),SUMPRODUCT(--ISNUMBER(SEARCH(" "&amp;L_EvidencePhrase&amp;" ",BD591)))&gt;0,BI591=1),"INVALID – evidence missing, placeholder or not yet on file",IF(ISNA(MATCH(TRIM(S591),L_EvidenceType,0)),"INVALID – choose the evidence type from the list (column S)",IF(BL591=0,"INVALID – evidence ID must be the record's own ID only (e.g. SF-2210, IMG_2231, 1045521); a link / file name needs type 'Link / file path'",IF(OR(OR(LEN(AX591)&lt;2,ISNUMBER(MATCH(AX591,L_Placeholder,0))),BS591&lt;3),"INVALID – verifier missing or not a named person (a role such as QA / CSM is not a name)",IF(OR(AX591=AU591,CE591=1,AND(LEN(AU591)&gt;=4,ISNUMBER(SEARCH(AU591,AX591))),AND(LEN(AX591)&gt;=4,ISNUMBER(SEARCH(AX591,AU591)))),"INVALID – verifier must be a different, named person (not the PIC or a role)",IF(BH591=1,"INVALID – result not yet available (awaiting / TBC)",IF(BG591=1,"INVALID – result describes a problem: record Fail, then Pass after CA (or reword if it is not a problem)",IF(BV591=1,"INVALID – wording says not on board: an on-board confirmation needs the item loaded",IF(AND(AQ591=1,OR(OR(LEN(AY591)&lt;3,ISNUMBER(MATCH(AY591,L_Placeholder,0))),BJ591=1,BQ591=0)),"INVALID – batch ID missing, placeholder or not an ID (e.g. PASB-261008-BC-017)",IF(AND(AR591=1,OR(NOT(ISNUMBER(X591)),NOT(ISNUMBER(Y591)))),"INVALID – expected/actual qty missing",IF(AND(AR591=1,OR(X591&lt;=0,Y591&lt;0)),"INVALID – expected qty must be above 0 and actual not negative",IF(BB591&lt;&gt;"",BB591,IF(AND(AS591=1,Documents!$J$22&lt;&gt;"ON FILE"),"INVALID – GLD not on file (Documents sheet)",IF(AND(AS591=2,Documents!$O$22&lt;&gt;"ON FILE"),"INVALID – menu checklist not on file (Documents sheet)",IF(AND(AS591=3,NOT(ISNUMBER(Flights!$AX$22))),"INVALID – enter carrying flight KUL departure (Flights AX)",IF(AND(AS591=3,OR(Flights!$AZ$22&gt;Flights!$AA$22,Flights!$AX$22&lt;Flights!$AA$22-3)),"INVALID – carrying flight (Flights AX) cannot arrive before this leg's STD, or is over 3 days early",IF(AG591&gt;AsOfUTC,"INVALID – completion time is in the future",IF(AND(ISNUMBER(BY591),AG591&lt;BY591),IF(H591="Physical uplift","INVALID – before uplift window (cannot confirm loading)","INVALID – before valid window"),IF(AG591&gt;Flights!$AA$22,"INVALID – completed after departure (cannot establish readiness)",IF(AND(H591="Preparation",AG591&gt;=IF(ISNUMBER(Flights!$BA$22),MIN(Flights!$BA$22,Flights!$AA$22),Flights!$AA$22)),"INVALID – completed after loading / departure (cannot establish readiness)",IF(AND(H591="Physical uplift",AG591&gt;Q591),"INVALID – recorded after the loading flight departed",IF(AG591&gt;Q591,"COMPLETE – LATE","COMPLETE"))))))))))))))))))))))))),IF(TRIM(U591)="Fail","FAIL – DISCREPANCY",IF(AND(TRIM(U591)&lt;&gt;"",TRIM(U591)&lt;&gt;"Not started",TRIM(U591)&lt;&gt;"In progress"),"INVALID – unrecognised status (use the list)",IF(AsOfUTC&gt;Q591,"OVERDUE",IF(N591="Clarification required","OPEN – CLARIFICATION","OPEN"))))))),"INVALID – error value in an input cell")</f>
        <v>OPEN</v>
      </c>
      <c r="AI591" s="61" t="n">
        <f aca="false">IF(OR(AH591="N/A – RULE",AH591="N/A – JUSTIFIED"),0,1)</f>
        <v>1</v>
      </c>
      <c r="AJ591" s="61" t="n">
        <f aca="false">IF(LEFT(AH591,8)="COMPLETE",1,0)</f>
        <v>0</v>
      </c>
      <c r="AK591" s="61" t="n">
        <f aca="false">IF(AND(AI591=1,AJ591=0,AsOfUTC&gt;Q591),1,0)</f>
        <v>0</v>
      </c>
      <c r="AL591" s="61" t="n">
        <f aca="false">IFERROR(IF(AND(AI591=1,OR(TRIM(U591)="Fail",AND(TRIM(AB591)&lt;&gt;"",TRIM(AB591)&lt;&gt;"Closed"),AND(ISNUMBER(AF591),AF591&lt;&gt;0,TRIM(U591)&lt;&gt;"Pass after CA"))),1,0),1)</f>
        <v>0</v>
      </c>
      <c r="AM591" s="61" t="n">
        <f aca="false">IF(LEFT(AH591,7)="INVALID",1,0)</f>
        <v>0</v>
      </c>
      <c r="AN591" s="61" t="n">
        <f aca="false">IF(AND(N591="Clarification required",AI591=1,AJ591=0),1,0)</f>
        <v>0</v>
      </c>
      <c r="AO591" s="61" t="str">
        <f aca="false">IF(AK591=1,SUM(AK$5:AK591),"")</f>
        <v/>
      </c>
      <c r="AP591" s="61" t="str">
        <f aca="false">IF(AL591=1,SUM(AL$5:AL591),"")</f>
        <v/>
      </c>
      <c r="AQ591" s="61" t="n">
        <v>0</v>
      </c>
      <c r="AR591" s="61" t="n">
        <v>0</v>
      </c>
      <c r="AS591" s="61" t="n">
        <v>0</v>
      </c>
      <c r="AT591" s="61" t="n">
        <v>0</v>
      </c>
      <c r="AU591" s="61" t="str">
        <f aca="false">SUBSTITUTE(SUBSTITUTE(SUBSTITUTE(SUBSTITUTE(SUBSTITUTE(SUBSTITUTE(SUBSTITUTE(SUBSTITUTE(SUBSTITUTE(SUBSTITUTE(SUBSTITUTE(SUBSTITUTE(SUBSTITUTE(SUBSTITUTE(SUBSTITUTE(SUBSTITUTE(LOWER(T591&amp;""),CHAR(10),""),CHAR(13),""),CHAR(9),""),CHAR(160),"")," ",""),".",""),"-",""),"/",""),"?",""),"_",""),",",""),"[",""),"]",""),"(",""),")",""),"*","")</f>
        <v/>
      </c>
      <c r="AV591" s="61" t="str">
        <f aca="false">SUBSTITUTE(SUBSTITUTE(SUBSTITUTE(SUBSTITUTE(SUBSTITUTE(SUBSTITUTE(SUBSTITUTE(SUBSTITUTE(SUBSTITUTE(SUBSTITUTE(SUBSTITUTE(SUBSTITUTE(SUBSTITUTE(SUBSTITUTE(SUBSTITUTE(SUBSTITUTE(LOWER(V591&amp;""),CHAR(10),""),CHAR(13),""),CHAR(9),""),CHAR(160),"")," ",""),".",""),"-",""),"/",""),"?",""),"_",""),",",""),"[",""),"]",""),"(",""),")",""),"*","")</f>
        <v/>
      </c>
      <c r="AW591" s="61" t="str">
        <f aca="false">SUBSTITUTE(SUBSTITUTE(SUBSTITUTE(SUBSTITUTE(SUBSTITUTE(SUBSTITUTE(SUBSTITUTE(SUBSTITUTE(SUBSTITUTE(SUBSTITUTE(SUBSTITUTE(SUBSTITUTE(SUBSTITUTE(SUBSTITUTE(SUBSTITUTE(SUBSTITUTE(LOWER(Z591&amp;""),CHAR(10),""),CHAR(13),""),CHAR(9),""),CHAR(160),"")," ",""),".",""),"-",""),"/",""),"?",""),"_",""),",",""),"[",""),"]",""),"(",""),")",""),"*","")</f>
        <v/>
      </c>
      <c r="AX591" s="61" t="str">
        <f aca="false">SUBSTITUTE(SUBSTITUTE(SUBSTITUTE(SUBSTITUTE(SUBSTITUTE(SUBSTITUTE(SUBSTITUTE(SUBSTITUTE(SUBSTITUTE(SUBSTITUTE(SUBSTITUTE(SUBSTITUTE(SUBSTITUTE(SUBSTITUTE(SUBSTITUTE(SUBSTITUTE(LOWER(AE591&amp;""),CHAR(10),""),CHAR(13),""),CHAR(9),""),CHAR(160),"")," ",""),".",""),"-",""),"/",""),"?",""),"_",""),",",""),"[",""),"]",""),"(",""),")",""),"*","")</f>
        <v/>
      </c>
      <c r="AY591" s="61" t="str">
        <f aca="false">SUBSTITUTE(SUBSTITUTE(SUBSTITUTE(SUBSTITUTE(SUBSTITUTE(SUBSTITUTE(SUBSTITUTE(SUBSTITUTE(SUBSTITUTE(SUBSTITUTE(SUBSTITUTE(SUBSTITUTE(SUBSTITUTE(SUBSTITUTE(SUBSTITUTE(SUBSTITUTE(LOWER(W591&amp;""),CHAR(10),""),CHAR(13),""),CHAR(9),""),CHAR(160),"")," ",""),".",""),"-",""),"/",""),"?",""),"_",""),",",""),"[",""),"]",""),"(",""),")",""),"*","")</f>
        <v/>
      </c>
      <c r="AZ591" s="61" t="str">
        <f aca="false">SUBSTITUTE(SUBSTITUTE(SUBSTITUTE(SUBSTITUTE(SUBSTITUTE(SUBSTITUTE(SUBSTITUTE(SUBSTITUTE(SUBSTITUTE(SUBSTITUTE(SUBSTITUTE(SUBSTITUTE(SUBSTITUTE(SUBSTITUTE(SUBSTITUTE(SUBSTITUTE(LOWER(AC591&amp;""),CHAR(10),""),CHAR(13),""),CHAR(9),""),CHAR(160),"")," ",""),".",""),"-",""),"/",""),"?",""),"_",""),",",""),"[",""),"]",""),"(",""),")",""),"*","")</f>
        <v/>
      </c>
      <c r="BA591" s="61" t="str">
        <f aca="false">SUBSTITUTE(SUBSTITUTE(SUBSTITUTE(SUBSTITUTE(SUBSTITUTE(SUBSTITUTE(SUBSTITUTE(SUBSTITUTE(SUBSTITUTE(SUBSTITUTE(SUBSTITUTE(SUBSTITUTE(SUBSTITUTE(SUBSTITUTE(SUBSTITUTE(SUBSTITUTE(LOWER(AA591&amp;""),CHAR(10),""),CHAR(13),""),CHAR(9),""),CHAR(160),"")," ",""),".",""),"-",""),"/",""),"?",""),"_",""),",",""),"[",""),"]",""),"(",""),")",""),"*","")</f>
        <v/>
      </c>
      <c r="BB591" s="61" t="str">
        <f aca="false">IF(AND(TRIM(U591)="Pass",ISNUMBER(AF591)),IF(AF591&lt;&gt;0,"INVALID – qty variance: use Fail or Pass after CA",""),"")&amp;IF(AND(TRIM(U591)="Pass after CA",ISNUMBER(AF591)),IF(AF591&lt;&gt;0,"INVALID – after the corrective action the actual qty must equal expected (update Actual)",""),"")&amp;IF(AND(TRIM(U591)="Pass",TRIM(AB591)&lt;&gt;"",TRIM(AB591)&lt;&gt;"Closed"),"INVALID – corrective action not closed: use Fail, then Pass after CA","")&amp;IF(AND(LEN(BA591)&gt;=2,ISNA(MATCH(LEFT(BA591,255),L_Placeholder,0)),TRIM(AB591)=""),"INVALID – CA status missing for the recorded corrective action","")&amp;IF(AND(TRIM(U591)="Pass after CA",OR(OR(LEN(BA591)&lt;5,ISNUMBER(MATCH(BA591,L_Placeholder,0))),TRIM(AB591)&lt;&gt;"Closed")),"INVALID – corrective action not recorded/closed","")</f>
        <v/>
      </c>
      <c r="BC591" s="61" t="str">
        <f aca="false">" "&amp;TRIM(SUBSTITUTE(SUBSTITUTE(SUBSTITUTE(SUBSTITUTE(SUBSTITUTE(SUBSTITUTE(SUBSTITUTE(SUBSTITUTE(SUBSTITUTE(SUBSTITUTE(SUBSTITUTE(SUBSTITUTE(SUBSTITUTE(SUBSTITUTE(SUBSTITUTE(SUBSTITUTE(SUBSTITUTE(SUBSTITUTE(SUBSTITUTE(SUBSTITUTE(SUBSTITUTE(SUBSTITUTE(SUBSTITUTE(SUBSTITUTE(LOWER(V591&amp;""),CHAR(10)," "),CHAR(13)," "),CHAR(9)," "),CHAR(160)," "),"."," "),","," "),"-"," "),"/"," "),"("," "),")"," "),":"," "),";"," "),"_"," "),"–"," "),"?"," "),"!"," "),"*"," "),"["," "),"]"," "),"'"," "),"#"," "),"+"," "),"&amp;"," "),"\"," "))&amp;" "</f>
        <v>  </v>
      </c>
      <c r="BD591" s="61" t="str">
        <f aca="false">" "&amp;TRIM(SUBSTITUTE(SUBSTITUTE(SUBSTITUTE(SUBSTITUTE(SUBSTITUTE(SUBSTITUTE(SUBSTITUTE(SUBSTITUTE(SUBSTITUTE(SUBSTITUTE(SUBSTITUTE(SUBSTITUTE(SUBSTITUTE(SUBSTITUTE(SUBSTITUTE(SUBSTITUTE(SUBSTITUTE(SUBSTITUTE(SUBSTITUTE(SUBSTITUTE(SUBSTITUTE(SUBSTITUTE(SUBSTITUTE(SUBSTITUTE(LOWER(Z591&amp;""),CHAR(10)," "),CHAR(13)," "),CHAR(9)," "),CHAR(160)," "),"."," "),","," "),"-"," "),"/"," "),"("," "),")"," "),":"," "),";"," "),"_"," "),"–"," "),"?"," "),"!"," "),"*"," "),"["," "),"]"," "),"'"," "),"#"," "),"+"," "),"&amp;"," "),"\"," "))&amp;" "</f>
        <v>  </v>
      </c>
      <c r="BE591" s="61" t="str">
        <f aca="false">" "&amp;TRIM(SUBSTITUTE(SUBSTITUTE(SUBSTITUTE(SUBSTITUTE(SUBSTITUTE(SUBSTITUTE(SUBSTITUTE(SUBSTITUTE(SUBSTITUTE(SUBSTITUTE(SUBSTITUTE(SUBSTITUTE(SUBSTITUTE(SUBSTITUTE(SUBSTITUTE(SUBSTITUTE(SUBSTITUTE(SUBSTITUTE(SUBSTITUTE(SUBSTITUTE(SUBSTITUTE(SUBSTITUTE(SUBSTITUTE(SUBSTITUTE(LOWER(W591&amp;""),CHAR(10)," "),CHAR(13)," "),CHAR(9)," "),CHAR(160)," "),"."," "),","," "),"-"," "),"/"," "),"("," "),")"," "),":"," "),";"," "),"_"," "),"–"," "),"?"," "),"!"," "),"*"," "),"["," "),"]"," "),"'"," "),"#"," "),"+"," "),"&amp;"," "),"\"," "))&amp;" "</f>
        <v>  </v>
      </c>
      <c r="BF591" s="61" t="str">
        <f aca="false">" "&amp;TRIM(SUBSTITUTE(SUBSTITUTE(SUBSTITUTE(SUBSTITUTE(SUBSTITUTE(SUBSTITUTE(SUBSTITUTE(SUBSTITUTE(SUBSTITUTE(SUBSTITUTE(SUBSTITUTE(SUBSTITUTE(SUBSTITUTE(SUBSTITUTE(SUBSTITUTE(SUBSTITUTE(SUBSTITUTE(SUBSTITUTE(SUBSTITUTE(SUBSTITUTE(SUBSTITUTE(SUBSTITUTE(SUBSTITUTE(SUBSTITUTE(LOWER(AC591&amp;""),CHAR(10)," "),CHAR(13)," "),CHAR(9)," "),CHAR(160)," "),"."," "),","," "),"-"," "),"/"," "),"("," "),")"," "),":"," "),";"," "),"_"," "),"–"," "),"?"," "),"!"," "),"*"," "),"["," "),"]"," "),"'"," "),"#"," "),"+"," "),"&amp;"," "),"\"," "))&amp;" "</f>
        <v>  </v>
      </c>
      <c r="BG591" s="61" t="n">
        <f aca="false">IFERROR(IF(AND(TRIM(U591)="Pass",SUMPRODUCT((LEN(BC591)-LEN(SUBSTITUTE(BC591," "&amp;L_ResultBad&amp;" "," ")))/(LEN(L_ResultBad)+1))&gt;SUMPRODUCT((LEN(BC591)-LEN(SUBSTITUTE(BC591," "&amp;L_NegPhrase&amp;" "," ")))/(LEN(L_NegPhrase)+1))),1,0),0)</f>
        <v>0</v>
      </c>
      <c r="BH591" s="61" t="n">
        <f aca="false">IFERROR(IF(SUMPRODUCT((LEN(BC591)-LEN(SUBSTITUTE(BC591," "&amp;L_Pending&amp;" "," ")))/(LEN(L_Pending)+1))&gt;SUMPRODUCT((LEN(BC591)-LEN(SUBSTITUTE(BC591," "&amp;L_PendNeg&amp;" "," ")))/(LEN(L_PendNeg)+1))+SUMPRODUCT((LEN(BC591)-LEN(SUBSTITUTE(BC591," "&amp;L_PendPrep&amp;" "," ")))/(LEN(L_PendPrep)+1)),1,0),1)</f>
        <v>0</v>
      </c>
      <c r="BI591" s="61" t="n">
        <f aca="false">IFERROR(IF(SUMPRODUCT((LEN(BD591)-LEN(SUBSTITUTE(BD591," "&amp;L_PendStrict&amp;" "," ")))/(LEN(L_PendStrict)+1))&gt;SUMPRODUCT((LEN(BD591)-LEN(SUBSTITUTE(BD591," "&amp;L_PendNeg&amp;" "," ")))/(LEN(L_PendNeg)+1)),1,0),1)</f>
        <v>0</v>
      </c>
      <c r="BJ591" s="61" t="n">
        <f aca="false">IFERROR(IF(SUMPRODUCT((LEN(BE591)-LEN(SUBSTITUTE(BE591," "&amp;L_Pending&amp;" "," ")))/(LEN(L_Pending)+1))&gt;SUMPRODUCT((LEN(BE591)-LEN(SUBSTITUTE(BE591," "&amp;L_PendNeg&amp;" "," ")))/(LEN(L_PendNeg)+1))+SUMPRODUCT((LEN(BE591)-LEN(SUBSTITUTE(BE591," "&amp;L_PendPrep&amp;" "," ")))/(LEN(L_PendPrep)+1)),1,0),1)</f>
        <v>0</v>
      </c>
      <c r="BK591" s="61" t="n">
        <f aca="false">IFERROR(IF(SUMPRODUCT((LEN(BF591)-LEN(SUBSTITUTE(BF591," "&amp;L_PendStrict&amp;" "," ")))/(LEN(L_PendStrict)+1))&gt;SUMPRODUCT((LEN(BF591)-LEN(SUBSTITUTE(BF591," "&amp;L_PendNeg&amp;" "," ")))/(LEN(L_PendNeg)+1)),1,0),1)</f>
        <v>0</v>
      </c>
      <c r="BL591" s="61" t="n">
        <f aca="false">IF(ISNA(MATCH(TRIM(S591),L_EvidenceType,0)),0,BZ591)</f>
        <v>0</v>
      </c>
      <c r="BM591" s="61" t="str">
        <f aca="false">SUBSTITUTE(SUBSTITUTE(SUBSTITUTE(SUBSTITUTE(SUBSTITUTE(SUBSTITUTE(SUBSTITUTE(SUBSTITUTE(SUBSTITUTE(LOWER(Z591&amp;""),"1","0"),"2","0"),"3","0"),"4","0"),"5","0"),"6","0"),"7","0"),"8","0"),"9","0")</f>
        <v/>
      </c>
      <c r="BN591" s="61" t="str">
        <f aca="false">SUBSTITUTE(SUBSTITUTE(SUBSTITUTE(SUBSTITUTE(SUBSTITUTE(SUBSTITUTE(SUBSTITUTE(SUBSTITUTE(SUBSTITUTE(SUBSTITUTE(SUBSTITUTE(SUBSTITUTE(SUBSTITUTE(SUBSTITUTE(SUBSTITUTE(SUBSTITUTE(SUBSTITUTE(SUBSTITUTE(SUBSTITUTE(SUBSTITUTE(SUBSTITUTE(SUBSTITUTE(SUBSTITUTE(SUBSTITUTE(SUBSTITUTE(BM591,"b","a"),"c","a"),"d","a"),"e","a"),"f","a"),"g","a"),"h","a"),"i","a"),"j","a"),"k","a"),"l","a"),"m","a"),"n","a"),"o","a"),"p","a"),"q","a"),"r","a"),"s","a"),"t","a"),"u","a"),"v","a"),"w","a"),"x","a"),"y","a"),"z","a")</f>
        <v/>
      </c>
      <c r="BO591" s="61" t="str">
        <f aca="false">SUBSTITUTE(SUBSTITUTE(SUBSTITUTE(SUBSTITUTE(SUBSTITUTE(SUBSTITUTE(SUBSTITUTE(SUBSTITUTE(SUBSTITUTE(LOWER(W591&amp;""),"1","0"),"2","0"),"3","0"),"4","0"),"5","0"),"6","0"),"7","0"),"8","0"),"9","0")</f>
        <v/>
      </c>
      <c r="BP591" s="61" t="str">
        <f aca="false">SUBSTITUTE(SUBSTITUTE(SUBSTITUTE(SUBSTITUTE(SUBSTITUTE(SUBSTITUTE(SUBSTITUTE(SUBSTITUTE(SUBSTITUTE(SUBSTITUTE(SUBSTITUTE(SUBSTITUTE(SUBSTITUTE(SUBSTITUTE(SUBSTITUTE(SUBSTITUTE(SUBSTITUTE(SUBSTITUTE(SUBSTITUTE(SUBSTITUTE(SUBSTITUTE(SUBSTITUTE(SUBSTITUTE(SUBSTITUTE(SUBSTITUTE(BO591,"b","a"),"c","a"),"d","a"),"e","a"),"f","a"),"g","a"),"h","a"),"i","a"),"j","a"),"k","a"),"l","a"),"m","a"),"n","a"),"o","a"),"p","a"),"q","a"),"r","a"),"s","a"),"t","a"),"u","a"),"v","a"),"w","a"),"x","a"),"y","a"),"z","a")</f>
        <v/>
      </c>
      <c r="BQ591" s="61" t="n">
        <f aca="false">IFERROR(IF(AND(ISERROR(SEARCH(" mh"," "&amp;LOWER(W591))),ISNA(MATCH(LEFT(TRIM(BP591),255),{"0000a","000a","00a","0000aa","000aa","00aa","0aa","0000aaa","000aaa","00a00","0a00","0000-0000","00:00","a00","a0","00.00.0000","00/00/0000","00-00-0000","0000-00-00","0000/00/00","0000.00.00","00.00.00","00/00/00","00-00-00","0.00.0000","0/00/0000","0-00-0000"},0)),ISNA(MATCH(LEFT(TRIM(CA591),255),{"0000a","000a","00a","0000aa","000aa","00aa","0aa","0000aaa","000aaa","00a00","0a00","0000-0000","00:00","a00","a0","00.00.0000","00/00/0000","00-00-0000","0000-00-00","0000/00/00","0000.00.00","00.00.00","00/00/00","00-00-00","0.00.0000","0/00/0000","0-00-0000"},0)),LEN(CB591)&gt;=3,NOT(OR(SUBSTITUTE(CB591,"0","")="",AND(LEN(CB591)&gt;=4,CB591=REPT(LEFT(CB591),LEN(CB591))),ISNUMBER(MATCH(CB591,{"123","1234","12345","123456","1234567","12345678","0123","01234","012345","98765","987654","54321"},0)),AND(LEN(CB591)=8,LEFT(CB591,3)="202"))),OR(AND((LEN(CA591)-LEN(SUBSTITUTE(CA591,"a","")))&gt;=1,SUMPRODUCT(--ISNUMBER(SEARCH({"a0","a-0","a_0","a/0","a.0","a#0","0a","0-a","0_a","0/a"},BP591)))&gt;0),ISNUMBER(SEARCH("000000",BP591)))),1,0),0)</f>
        <v>0</v>
      </c>
      <c r="BR591" s="61" t="n">
        <f aca="false">IFERROR(LEN(SUBSTITUTE(CC591," ",""))-SUMPRODUCT((LEN(CC591)-LEN(SUBSTITUTE(CC591," "&amp;L_Role&amp;" "," ")))/(LEN(L_Role)+1)*LEN(L_Role)),0)</f>
        <v>0</v>
      </c>
      <c r="BS591" s="61" t="n">
        <f aca="false">IFERROR(LEN(SUBSTITUTE(CD591," ",""))-SUMPRODUCT((LEN(CD591)-LEN(SUBSTITUTE(CD591," "&amp;L_Role&amp;" "," ")))/(LEN(L_Role)+1)*LEN(L_Role)),0)</f>
        <v>0</v>
      </c>
      <c r="BT5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591,"revision",""),"version",""),"jan",""),"feb",""),"mar",""),"apr",""),"may",""),"jun",""),"jul",""),"aug",""),"sep",""),"oct",""),"nov",""),"dec",""),"utc",""),"gmt",""),"myt",""),"bst",""),"rev",""),"ver",""),"b","a"),"c","a"),"d","a"),"e","a"),"f","a"),"g","a"),"h","a"),"i","a"),"j","a"),"k","a"),"l","a"),"m","a"),"n","a"),"o","a"),"p","a"),"q","a"),"r","a"),"s","a"),"t","a"),"u","a"),"v","a"),"w","a"),"x","a"),"y","a"),"z","a")</f>
        <v/>
      </c>
      <c r="BU591" s="61" t="str">
        <f aca="false">SUBSTITUTE(SUBSTITUTE(SUBSTITUTE(SUBSTITUTE(SUBSTITUTE(SUBSTITUTE(SUBSTITUTE(SUBSTITUTE(SUBSTITUTE(SUBSTITUTE(LEFT(BM591,FIND("0",BM591&amp;"0")-1),"-",""),"_",""),"/",""),".",""),"#",""),"\\",""),":","")," ",""),"(",""),")","")</f>
        <v/>
      </c>
      <c r="BV591" s="61" t="n">
        <f aca="false">0</f>
        <v>0</v>
      </c>
      <c r="BW5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591&amp;""),"a",""),"b",""),"c",""),"d",""),"e",""),"f",""),"g",""),"h",""),"i",""),"j",""),"k",""),"l",""),"m",""),"n",""),"o",""),"p",""),"q",""),"r",""),"s",""),"t",""),"u",""),"v",""),"w",""),"x",""),"y",""),"z",""),"-",""),"_",""),"/",""),".",""),"#",""),"\\",""),":","")," ",""),"(",""),")","")</f>
        <v/>
      </c>
      <c r="BX591" s="61" t="str">
        <f aca="false">SUBSTITUTE(SUBSTITUTE(SUBSTITUTE(SUBSTITUTE(SUBSTITUTE(SUBSTITUTE(SUBSTITUTE(SUBSTITUTE(SUBSTITUTE(SUBSTITUTE(SUBSTITUTE(BM591,"0",""),"-",""),"_",""),"/",""),".",""),"#",""),"\\",""),":","")," ",""),"(",""),")","")</f>
        <v/>
      </c>
      <c r="BY591" s="62" t="n">
        <f aca="false">Q591-T12EarlyH/24</f>
        <v>46321.6006944444</v>
      </c>
      <c r="BZ591" s="61" t="n">
        <f aca="false">IFERROR(IF(IF(TRIM(S591)="Link / file path",AND(LEN(TRIM(Z591))&gt;=5,SUMPRODUCT(--ISNUMBER(SEARCH({"http","www.","\\",":\",".pdf",".jpg",".jpeg",".png",".heic",".xls",".doc",".msg",".eml",".ppt",".txt",".zip"},Z591)))&gt;0),AND(ISERROR(FIND(" ",TRIM(Z591))),NOT(OR(SUMPRODUCT(--ISNUMBER(FIND({",",";","&amp;","+"},Z591)))&gt;0,SUMPRODUCT(--ISNUMBER(SEARCH({"0/aa","0\\aa"},BN591)))&gt;0)),NOT(SUMPRODUCT(--ISNUMBER(SEARCH({"http","www.","\\",":\",".pdf",".jpg",".jpeg",".png",".heic",".xls",".doc",".msg",".eml",".ppt",".txt",".zip"},Z591)))&gt;0),NOT(LOWER(TRIM(Z591))=LOWER(Flights!$F$22)),ISNA(MATCH(BU591,{"mh","rev","revision","ver","version","v","r","a","b","seat","tray","row","gate","bay","stand","page","pg","item","line","no","cart","galley","flight","flt","table","box","bag","oven","etd","eta","std","sta","atd","ata","qty","pax","x","time","tel","ph","mob","day","wk","week","utc","gmt","myt","lt"},0)),NOT(OR(ISNUMBER(MATCH(LEFT(BN591,255),{"0000a","000a","00a","0000aa","000aa","00aa","0aa","0000aaa","000aaa","00a00","0a00","0000-0000","00:00","a00","a0","00.00.0000","00/00/0000","00-00-0000","0000-00-00","0000/00/00","0000.00.00","00.00.00","00/00/00","00-00-00","0.00.0000","0/00/0000","0-00-0000"},0)),ISNUMBER(MATCH(LEFT(BT591,255),{"0000a","000a","00a","0000aa","000aa","00aa","0aa","0000aaa","000aaa","00a00","0a00","0000-0000","00:00","a00","a0","00.00.0000","00/00/0000","00-00-0000","0000-00-00","0000/00/00","0000.00.00","00.00.00","00/00/00","00-00-00","0.00.0000","0/00/0000","0-00-0000"},0)))),NOT(OR(AND(BW591&lt;&gt;"",SUBSTITUTE(BW591,"0","")=""),AND(LEN(BW591)&gt;=4,BW591=REPT(LEFT(BW591),LEN(BW591))),ISNUMBER(MATCH(BW591,{"123","1234","12345","123456","1234567","12345678","0123","01234","012345","98765","987654","54321"},0)),ISNUMBER(MATCH(BX591,{"x","xx","xxx","xxxx","xxxxx","abc","abcd","nil","na","nan","test","tbc","tba","tbd","dummy","sample","example","eg","zz","zzz","none","null","xyz","qwe","asd","id","ref"},0)),AND(LEN(BW591)=8,BX591="",OR(LEFT(BW591,3)="202",ISNUMBER(MATCH(RIGHT(BW591,4),{"2025","2026","2027"},0)))))),OR(AND((LEN(BT591)-LEN(SUBSTITUTE(BT591,"a","")))&gt;=1,(LEN(BN591)-LEN(SUBSTITUTE(BN591,"0","")))&gt;=2,SUMPRODUCT(--ISNUMBER(SEARCH({"a0","a-0","a_0","a/0","a.0","a#0","0a","0-a","0_a","0/a"},BN591)))&gt;0),AND((LEN(BN591)-LEN(SUBSTITUTE(BN591,"a","")))=0,(LEN(BN591)-LEN(SUBSTITUTE(BN591,"0","")))&gt;=5)))),1,0),0)</f>
        <v>0</v>
      </c>
      <c r="CA5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591,"revision",""),"version",""),"jan",""),"feb",""),"mar",""),"apr",""),"may",""),"jun",""),"jul",""),"aug",""),"sep",""),"oct",""),"nov",""),"dec",""),"utc",""),"gmt",""),"myt",""),"bst",""),"rev",""),"ver",""),"b","a"),"c","a"),"d","a"),"e","a"),"f","a"),"g","a"),"h","a"),"i","a"),"j","a"),"k","a"),"l","a"),"m","a"),"n","a"),"o","a"),"p","a"),"q","a"),"r","a"),"s","a"),"t","a"),"u","a"),"v","a"),"w","a"),"x","a"),"y","a"),"z","a")</f>
        <v/>
      </c>
      <c r="CB5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591&amp;""),"a",""),"b",""),"c",""),"d",""),"e",""),"f",""),"g",""),"h",""),"i",""),"j",""),"k",""),"l",""),"m",""),"n",""),"o",""),"p",""),"q",""),"r",""),"s",""),"t",""),"u",""),"v",""),"w",""),"x",""),"y",""),"z",""),"-",""),"_",""),"/",""),".",""),"#",""),"\\",""),":","")," ",""),"(",""),")","")</f>
        <v/>
      </c>
      <c r="CC591" s="0" t="str">
        <f aca="false">" "&amp;TRIM(SUBSTITUTE(SUBSTITUTE(SUBSTITUTE(SUBSTITUTE(SUBSTITUTE(SUBSTITUTE(SUBSTITUTE(SUBSTITUTE(SUBSTITUTE(SUBSTITUTE(SUBSTITUTE(SUBSTITUTE(SUBSTITUTE(SUBSTITUTE(SUBSTITUTE(SUBSTITUTE(SUBSTITUTE(SUBSTITUTE(SUBSTITUTE(SUBSTITUTE(SUBSTITUTE(SUBSTITUTE(SUBSTITUTE(SUBSTITUTE(LOWER(T591&amp;""),CHAR(10)," "),CHAR(13)," "),CHAR(9)," "),CHAR(160)," "),"."," "),","," "),"-"," "),"/"," "),"("," "),")"," "),":"," "),";"," "),"_"," "),"–"," "),"?"," "),"!"," "),"*"," "),"["," "),"]"," "),"'"," "),"#"," "),"+"," "),"&amp;"," "),"\"," "))&amp;" "</f>
        <v>  </v>
      </c>
      <c r="CD591" s="0" t="str">
        <f aca="false">" "&amp;TRIM(SUBSTITUTE(SUBSTITUTE(SUBSTITUTE(SUBSTITUTE(SUBSTITUTE(SUBSTITUTE(SUBSTITUTE(SUBSTITUTE(SUBSTITUTE(SUBSTITUTE(SUBSTITUTE(SUBSTITUTE(SUBSTITUTE(SUBSTITUTE(SUBSTITUTE(SUBSTITUTE(SUBSTITUTE(SUBSTITUTE(SUBSTITUTE(SUBSTITUTE(SUBSTITUTE(SUBSTITUTE(SUBSTITUTE(SUBSTITUTE(LOWER(AE591&amp;""),CHAR(10)," "),CHAR(13)," "),CHAR(9)," "),CHAR(160)," "),"."," "),","," "),"-"," "),"/"," "),"("," "),")"," "),":"," "),";"," "),"_"," "),"–"," "),"?"," "),"!"," "),"*"," "),"["," "),"]"," "),"'"," "),"#"," "),"+"," "),"&amp;"," "),"\"," "))&amp;" "</f>
        <v>  </v>
      </c>
      <c r="CE591" s="68" t="n">
        <f aca="false">IFERROR(IF(AND(LEN(AU591)&gt;0,LEN(AU591)=LEN(AX591),OR(TRIM(MID(SUBSTITUTE(TRIM(CC591)," ",REPT(" ",60)),1,60))="",ISNUMBER(SEARCH(" "&amp;TRIM(MID(SUBSTITUTE(TRIM(CC591)," ",REPT(" ",60)),1,60))&amp;" ",CD591))),OR(TRIM(MID(SUBSTITUTE(TRIM(CC591)," ",REPT(" ",60)),61,60))="",ISNUMBER(SEARCH(" "&amp;TRIM(MID(SUBSTITUTE(TRIM(CC591)," ",REPT(" ",60)),61,60))&amp;" ",CD591))),OR(TRIM(MID(SUBSTITUTE(TRIM(CC591)," ",REPT(" ",60)),121,60))="",ISNUMBER(SEARCH(" "&amp;TRIM(MID(SUBSTITUTE(TRIM(CC591)," ",REPT(" ",60)),121,60))&amp;" ",CD591)))),1,0),0)</f>
        <v>0</v>
      </c>
      <c r="CG591" s="68" t="n">
        <f aca="false">IFERROR(LEN(SUBSTITUTE(BF591," ",""))-SUMPRODUCT((LEN(BF591)-LEN(SUBSTITUTE(BF591," "&amp;L_NAFiller&amp;" "," ")))/(LEN(L_NAFiller)+1)*LEN(L_NAFiller)),0)</f>
        <v>0</v>
      </c>
    </row>
    <row r="592" customFormat="false" ht="41.25" hidden="false" customHeight="true" outlineLevel="0" collapsed="false">
      <c r="A592" s="57" t="s">
        <v>1287</v>
      </c>
      <c r="B592" s="57" t="s">
        <v>293</v>
      </c>
      <c r="C592" s="57" t="str">
        <f aca="false">Flights!$F$22</f>
        <v>MH0052</v>
      </c>
      <c r="D592" s="58" t="n">
        <f aca="false">Flights!$D$22</f>
        <v>46322</v>
      </c>
      <c r="E592" s="57" t="str">
        <f aca="false">Flights!$G$22&amp;"-"&amp;Flights!$H$22</f>
        <v>KUL-KIX</v>
      </c>
      <c r="F592" s="57" t="str">
        <f aca="false">Flights!$K$22</f>
        <v>BC</v>
      </c>
      <c r="G592" s="57" t="s">
        <v>420</v>
      </c>
      <c r="H592" s="57" t="s">
        <v>378</v>
      </c>
      <c r="I592" s="57" t="s">
        <v>499</v>
      </c>
      <c r="J592" s="57" t="s">
        <v>500</v>
      </c>
      <c r="K592" s="67" t="s">
        <v>501</v>
      </c>
      <c r="L592" s="67" t="s">
        <v>1288</v>
      </c>
      <c r="M592" s="67" t="s">
        <v>451</v>
      </c>
      <c r="N592" s="67" t="s">
        <v>383</v>
      </c>
      <c r="O592" s="67" t="s">
        <v>503</v>
      </c>
      <c r="P592" s="57" t="s">
        <v>187</v>
      </c>
      <c r="Q592" s="59" t="n">
        <f aca="false">ROUND((Flights!$AE$22)*1440,0)/1440</f>
        <v>46322.1006944444</v>
      </c>
      <c r="R592" s="59" t="n">
        <f aca="false">Q592+(IF(AND(INDEX(TZ_DSTS,MATCH(P592,TZ_STN,0))&lt;&gt;"",Q592&gt;=INDEX(TZ_DSTS,MATCH(P592,TZ_STN,0)),Q592&lt;INDEX(TZ_DSTE,MATCH(P592,TZ_STN,0))),INDEX(TZ_DST,MATCH(P592,TZ_STN,0)),INDEX(TZ_STD,MATCH(P592,TZ_STN,0))))/24</f>
        <v>46322.4340277778</v>
      </c>
      <c r="S592" s="60"/>
      <c r="T592" s="60"/>
      <c r="U592" s="60"/>
      <c r="V592" s="60"/>
      <c r="W592" s="61"/>
      <c r="X592" s="60"/>
      <c r="Y592" s="60"/>
      <c r="Z592" s="60"/>
      <c r="AA592" s="60"/>
      <c r="AB592" s="60"/>
      <c r="AC592" s="60"/>
      <c r="AD592" s="66"/>
      <c r="AE592" s="60"/>
      <c r="AF592" s="61" t="str">
        <f aca="false">IF(AND(ISNUMBER(X592),ISNUMBER(Y592)),Y592-X592,"")</f>
        <v/>
      </c>
      <c r="AG592" s="62" t="str">
        <f aca="false">IF(ISNUMBER(AD592),AD592-(IF(AND(INDEX(TZ_DSTS,MATCH(P592,TZ_STN,0))&lt;&gt;"",(AD592-INDEX(TZ_STD,MATCH(P592,TZ_STN,0))/24)&gt;=INDEX(TZ_DSTS,MATCH(P592,TZ_STN,0)),(AD592-INDEX(TZ_STD,MATCH(P592,TZ_STN,0))/24)&lt;INDEX(TZ_DSTE,MATCH(P592,TZ_STN,0))),INDEX(TZ_DST,MATCH(P592,TZ_STN,0)),INDEX(TZ_STD,MATCH(P592,TZ_STN,0))))/24,"")</f>
        <v/>
      </c>
      <c r="AH592" s="65" t="str">
        <f aca="false">IFERROR(IF(N592="N/A – rule",IF(OR(TRIM(U592)="",TRIM(U592)="N/A",TRIM(U592)="Not started"),"N/A – RULE","INVALID – this check does not apply to this aircraft: clear the status (or correct the fleet on Flights)"),IF(TRIM(U592)="N/A",IF(AT592=0,"INVALID – N/A not permitted for this check",IF(AND(TRIM(AB592)&lt;&gt;"",TRIM(AB592)&lt;&gt;"Closed"),"INVALID – corrective action still open",IF(AND(NOT(OR(LEN(AZ592)&lt;15,ISNUMBER(MATCH(AZ592,L_Placeholder,0)))),BK592=0,CG592&gt;=8,NOT(OR(LEN(AU592)&lt;2,ISNUMBER(MATCH(AU592,L_Placeholder,0)))),BR592&gt;=3,NOT(OR(LEN(AX592)&lt;2,ISNUMBER(MATCH(AX592,L_Placeholder,0)))),BS592&gt;=3,TRIM(AE592)&lt;&gt;TRIM(T592),AX592&lt;&gt;AU592,CE592=0),"N/A – JUSTIFIED","INVALID – N/A needs a real, settled reason (not 'not applicable' / 'as above' / TBC), a named PIC and a different named verifier"))),IF(OR(TRIM(U592)="Pass",TRIM(U592)="Pass after CA"),IF(NOT(ISNUMBER(AD592)),"INVALID – completion time missing",IF(OR(OR(LEN(AU592)&lt;2,ISNUMBER(MATCH(AU592,L_Placeholder,0))),BR592&lt;3),"INVALID – PIC missing or not a named person (a role such as QA / CSM is not a name)",IF(OR(LEN(AV592)&lt;2,ISNUMBER(MATCH(AV592,L_Placeholder,0))),"INVALID – result / assessment missing",IF(OR(OR(LEN(AW592)&lt;3,ISNUMBER(MATCH(AW592,L_Placeholder,0))),SUMPRODUCT(--ISNUMBER(SEARCH(" "&amp;L_EvidencePhrase&amp;" ",BD592)))&gt;0,BI592=1),"INVALID – evidence missing, placeholder or not yet on file",IF(ISNA(MATCH(TRIM(S592),L_EvidenceType,0)),"INVALID – choose the evidence type from the list (column S)",IF(BL592=0,"INVALID – evidence ID must be the record's own ID only (e.g. SF-2210, IMG_2231, 1045521); a link / file name needs type 'Link / file path'",IF(OR(OR(LEN(AX592)&lt;2,ISNUMBER(MATCH(AX592,L_Placeholder,0))),BS592&lt;3),"INVALID – verifier missing or not a named person (a role such as QA / CSM is not a name)",IF(OR(AX592=AU592,CE592=1,AND(LEN(AU592)&gt;=4,ISNUMBER(SEARCH(AU592,AX592))),AND(LEN(AX592)&gt;=4,ISNUMBER(SEARCH(AX592,AU592)))),"INVALID – verifier must be a different, named person (not the PIC or a role)",IF(BH592=1,"INVALID – result not yet available (awaiting / TBC)",IF(BG592=1,"INVALID – result describes a problem: record Fail, then Pass after CA (or reword if it is not a problem)",IF(BV592=1,"INVALID – wording says not on board: an on-board confirmation needs the item loaded",IF(AND(AQ592=1,OR(OR(LEN(AY592)&lt;3,ISNUMBER(MATCH(AY592,L_Placeholder,0))),BJ592=1,BQ592=0)),"INVALID – batch ID missing, placeholder or not an ID (e.g. PASB-261008-BC-017)",IF(AND(AR592=1,OR(NOT(ISNUMBER(X592)),NOT(ISNUMBER(Y592)))),"INVALID – expected/actual qty missing",IF(AND(AR592=1,OR(X592&lt;=0,Y592&lt;0)),"INVALID – expected qty must be above 0 and actual not negative",IF(BB592&lt;&gt;"",BB592,IF(AND(AS592=1,Documents!$J$22&lt;&gt;"ON FILE"),"INVALID – GLD not on file (Documents sheet)",IF(AND(AS592=2,Documents!$O$22&lt;&gt;"ON FILE"),"INVALID – menu checklist not on file (Documents sheet)",IF(AND(AS592=3,NOT(ISNUMBER(Flights!$AX$22))),"INVALID – enter carrying flight KUL departure (Flights AX)",IF(AND(AS592=3,OR(Flights!$AZ$22&gt;Flights!$AA$22,Flights!$AX$22&lt;Flights!$AA$22-3)),"INVALID – carrying flight (Flights AX) cannot arrive before this leg's STD, or is over 3 days early",IF(AG592&gt;AsOfUTC,"INVALID – completion time is in the future",IF(AND(ISNUMBER(BY592),AG592&lt;BY592),IF(H592="Physical uplift","INVALID – before uplift window (cannot confirm loading)","INVALID – before valid window"),IF(AG592&gt;Flights!$AA$22,"INVALID – completed after departure (cannot establish readiness)",IF(AND(H592="Preparation",AG592&gt;=IF(ISNUMBER(Flights!$BA$22),MIN(Flights!$BA$22,Flights!$AA$22),Flights!$AA$22)),"INVALID – completed after loading / departure (cannot establish readiness)",IF(AND(H592="Physical uplift",AG592&gt;Q592),"INVALID – recorded after the loading flight departed",IF(AG592&gt;Q592,"COMPLETE – LATE","COMPLETE"))))))))))))))))))))))))),IF(TRIM(U592)="Fail","FAIL – DISCREPANCY",IF(AND(TRIM(U592)&lt;&gt;"",TRIM(U592)&lt;&gt;"Not started",TRIM(U592)&lt;&gt;"In progress"),"INVALID – unrecognised status (use the list)",IF(AsOfUTC&gt;Q592,"OVERDUE",IF(N592="Clarification required","OPEN – CLARIFICATION","OPEN"))))))),"INVALID – error value in an input cell")</f>
        <v>OPEN</v>
      </c>
      <c r="AI592" s="61" t="n">
        <f aca="false">IF(OR(AH592="N/A – RULE",AH592="N/A – JUSTIFIED"),0,1)</f>
        <v>1</v>
      </c>
      <c r="AJ592" s="61" t="n">
        <f aca="false">IF(LEFT(AH592,8)="COMPLETE",1,0)</f>
        <v>0</v>
      </c>
      <c r="AK592" s="61" t="n">
        <f aca="false">IF(AND(AI592=1,AJ592=0,AsOfUTC&gt;Q592),1,0)</f>
        <v>0</v>
      </c>
      <c r="AL592" s="61" t="n">
        <f aca="false">IFERROR(IF(AND(AI592=1,OR(TRIM(U592)="Fail",AND(TRIM(AB592)&lt;&gt;"",TRIM(AB592)&lt;&gt;"Closed"),AND(ISNUMBER(AF592),AF592&lt;&gt;0,TRIM(U592)&lt;&gt;"Pass after CA"))),1,0),1)</f>
        <v>0</v>
      </c>
      <c r="AM592" s="61" t="n">
        <f aca="false">IF(LEFT(AH592,7)="INVALID",1,0)</f>
        <v>0</v>
      </c>
      <c r="AN592" s="61" t="n">
        <f aca="false">IF(AND(N592="Clarification required",AI592=1,AJ592=0),1,0)</f>
        <v>0</v>
      </c>
      <c r="AO592" s="61" t="str">
        <f aca="false">IF(AK592=1,SUM(AK$5:AK592),"")</f>
        <v/>
      </c>
      <c r="AP592" s="61" t="str">
        <f aca="false">IF(AL592=1,SUM(AL$5:AL592),"")</f>
        <v/>
      </c>
      <c r="AQ592" s="61" t="n">
        <v>0</v>
      </c>
      <c r="AR592" s="61" t="n">
        <v>0</v>
      </c>
      <c r="AS592" s="61" t="n">
        <v>0</v>
      </c>
      <c r="AT592" s="61" t="n">
        <v>0</v>
      </c>
      <c r="AU592" s="61" t="str">
        <f aca="false">SUBSTITUTE(SUBSTITUTE(SUBSTITUTE(SUBSTITUTE(SUBSTITUTE(SUBSTITUTE(SUBSTITUTE(SUBSTITUTE(SUBSTITUTE(SUBSTITUTE(SUBSTITUTE(SUBSTITUTE(SUBSTITUTE(SUBSTITUTE(SUBSTITUTE(SUBSTITUTE(LOWER(T592&amp;""),CHAR(10),""),CHAR(13),""),CHAR(9),""),CHAR(160),"")," ",""),".",""),"-",""),"/",""),"?",""),"_",""),",",""),"[",""),"]",""),"(",""),")",""),"*","")</f>
        <v/>
      </c>
      <c r="AV592" s="61" t="str">
        <f aca="false">SUBSTITUTE(SUBSTITUTE(SUBSTITUTE(SUBSTITUTE(SUBSTITUTE(SUBSTITUTE(SUBSTITUTE(SUBSTITUTE(SUBSTITUTE(SUBSTITUTE(SUBSTITUTE(SUBSTITUTE(SUBSTITUTE(SUBSTITUTE(SUBSTITUTE(SUBSTITUTE(LOWER(V592&amp;""),CHAR(10),""),CHAR(13),""),CHAR(9),""),CHAR(160),"")," ",""),".",""),"-",""),"/",""),"?",""),"_",""),",",""),"[",""),"]",""),"(",""),")",""),"*","")</f>
        <v/>
      </c>
      <c r="AW592" s="61" t="str">
        <f aca="false">SUBSTITUTE(SUBSTITUTE(SUBSTITUTE(SUBSTITUTE(SUBSTITUTE(SUBSTITUTE(SUBSTITUTE(SUBSTITUTE(SUBSTITUTE(SUBSTITUTE(SUBSTITUTE(SUBSTITUTE(SUBSTITUTE(SUBSTITUTE(SUBSTITUTE(SUBSTITUTE(LOWER(Z592&amp;""),CHAR(10),""),CHAR(13),""),CHAR(9),""),CHAR(160),"")," ",""),".",""),"-",""),"/",""),"?",""),"_",""),",",""),"[",""),"]",""),"(",""),")",""),"*","")</f>
        <v/>
      </c>
      <c r="AX592" s="61" t="str">
        <f aca="false">SUBSTITUTE(SUBSTITUTE(SUBSTITUTE(SUBSTITUTE(SUBSTITUTE(SUBSTITUTE(SUBSTITUTE(SUBSTITUTE(SUBSTITUTE(SUBSTITUTE(SUBSTITUTE(SUBSTITUTE(SUBSTITUTE(SUBSTITUTE(SUBSTITUTE(SUBSTITUTE(LOWER(AE592&amp;""),CHAR(10),""),CHAR(13),""),CHAR(9),""),CHAR(160),"")," ",""),".",""),"-",""),"/",""),"?",""),"_",""),",",""),"[",""),"]",""),"(",""),")",""),"*","")</f>
        <v/>
      </c>
      <c r="AY592" s="61" t="str">
        <f aca="false">SUBSTITUTE(SUBSTITUTE(SUBSTITUTE(SUBSTITUTE(SUBSTITUTE(SUBSTITUTE(SUBSTITUTE(SUBSTITUTE(SUBSTITUTE(SUBSTITUTE(SUBSTITUTE(SUBSTITUTE(SUBSTITUTE(SUBSTITUTE(SUBSTITUTE(SUBSTITUTE(LOWER(W592&amp;""),CHAR(10),""),CHAR(13),""),CHAR(9),""),CHAR(160),"")," ",""),".",""),"-",""),"/",""),"?",""),"_",""),",",""),"[",""),"]",""),"(",""),")",""),"*","")</f>
        <v/>
      </c>
      <c r="AZ592" s="61" t="str">
        <f aca="false">SUBSTITUTE(SUBSTITUTE(SUBSTITUTE(SUBSTITUTE(SUBSTITUTE(SUBSTITUTE(SUBSTITUTE(SUBSTITUTE(SUBSTITUTE(SUBSTITUTE(SUBSTITUTE(SUBSTITUTE(SUBSTITUTE(SUBSTITUTE(SUBSTITUTE(SUBSTITUTE(LOWER(AC592&amp;""),CHAR(10),""),CHAR(13),""),CHAR(9),""),CHAR(160),"")," ",""),".",""),"-",""),"/",""),"?",""),"_",""),",",""),"[",""),"]",""),"(",""),")",""),"*","")</f>
        <v/>
      </c>
      <c r="BA592" s="61" t="str">
        <f aca="false">SUBSTITUTE(SUBSTITUTE(SUBSTITUTE(SUBSTITUTE(SUBSTITUTE(SUBSTITUTE(SUBSTITUTE(SUBSTITUTE(SUBSTITUTE(SUBSTITUTE(SUBSTITUTE(SUBSTITUTE(SUBSTITUTE(SUBSTITUTE(SUBSTITUTE(SUBSTITUTE(LOWER(AA592&amp;""),CHAR(10),""),CHAR(13),""),CHAR(9),""),CHAR(160),"")," ",""),".",""),"-",""),"/",""),"?",""),"_",""),",",""),"[",""),"]",""),"(",""),")",""),"*","")</f>
        <v/>
      </c>
      <c r="BB592" s="61" t="str">
        <f aca="false">IF(AND(TRIM(U592)="Pass",ISNUMBER(AF592)),IF(AF592&lt;&gt;0,"INVALID – qty variance: use Fail or Pass after CA",""),"")&amp;IF(AND(TRIM(U592)="Pass after CA",ISNUMBER(AF592)),IF(AF592&lt;&gt;0,"INVALID – after the corrective action the actual qty must equal expected (update Actual)",""),"")&amp;IF(AND(TRIM(U592)="Pass",TRIM(AB592)&lt;&gt;"",TRIM(AB592)&lt;&gt;"Closed"),"INVALID – corrective action not closed: use Fail, then Pass after CA","")&amp;IF(AND(LEN(BA592)&gt;=2,ISNA(MATCH(LEFT(BA592,255),L_Placeholder,0)),TRIM(AB592)=""),"INVALID – CA status missing for the recorded corrective action","")&amp;IF(AND(TRIM(U592)="Pass after CA",OR(OR(LEN(BA592)&lt;5,ISNUMBER(MATCH(BA592,L_Placeholder,0))),TRIM(AB592)&lt;&gt;"Closed")),"INVALID – corrective action not recorded/closed","")</f>
        <v/>
      </c>
      <c r="BC592" s="61" t="str">
        <f aca="false">" "&amp;TRIM(SUBSTITUTE(SUBSTITUTE(SUBSTITUTE(SUBSTITUTE(SUBSTITUTE(SUBSTITUTE(SUBSTITUTE(SUBSTITUTE(SUBSTITUTE(SUBSTITUTE(SUBSTITUTE(SUBSTITUTE(SUBSTITUTE(SUBSTITUTE(SUBSTITUTE(SUBSTITUTE(SUBSTITUTE(SUBSTITUTE(SUBSTITUTE(SUBSTITUTE(SUBSTITUTE(SUBSTITUTE(SUBSTITUTE(SUBSTITUTE(LOWER(V592&amp;""),CHAR(10)," "),CHAR(13)," "),CHAR(9)," "),CHAR(160)," "),"."," "),","," "),"-"," "),"/"," "),"("," "),")"," "),":"," "),";"," "),"_"," "),"–"," "),"?"," "),"!"," "),"*"," "),"["," "),"]"," "),"'"," "),"#"," "),"+"," "),"&amp;"," "),"\"," "))&amp;" "</f>
        <v>  </v>
      </c>
      <c r="BD592" s="61" t="str">
        <f aca="false">" "&amp;TRIM(SUBSTITUTE(SUBSTITUTE(SUBSTITUTE(SUBSTITUTE(SUBSTITUTE(SUBSTITUTE(SUBSTITUTE(SUBSTITUTE(SUBSTITUTE(SUBSTITUTE(SUBSTITUTE(SUBSTITUTE(SUBSTITUTE(SUBSTITUTE(SUBSTITUTE(SUBSTITUTE(SUBSTITUTE(SUBSTITUTE(SUBSTITUTE(SUBSTITUTE(SUBSTITUTE(SUBSTITUTE(SUBSTITUTE(SUBSTITUTE(LOWER(Z592&amp;""),CHAR(10)," "),CHAR(13)," "),CHAR(9)," "),CHAR(160)," "),"."," "),","," "),"-"," "),"/"," "),"("," "),")"," "),":"," "),";"," "),"_"," "),"–"," "),"?"," "),"!"," "),"*"," "),"["," "),"]"," "),"'"," "),"#"," "),"+"," "),"&amp;"," "),"\"," "))&amp;" "</f>
        <v>  </v>
      </c>
      <c r="BE592" s="61" t="str">
        <f aca="false">" "&amp;TRIM(SUBSTITUTE(SUBSTITUTE(SUBSTITUTE(SUBSTITUTE(SUBSTITUTE(SUBSTITUTE(SUBSTITUTE(SUBSTITUTE(SUBSTITUTE(SUBSTITUTE(SUBSTITUTE(SUBSTITUTE(SUBSTITUTE(SUBSTITUTE(SUBSTITUTE(SUBSTITUTE(SUBSTITUTE(SUBSTITUTE(SUBSTITUTE(SUBSTITUTE(SUBSTITUTE(SUBSTITUTE(SUBSTITUTE(SUBSTITUTE(LOWER(W592&amp;""),CHAR(10)," "),CHAR(13)," "),CHAR(9)," "),CHAR(160)," "),"."," "),","," "),"-"," "),"/"," "),"("," "),")"," "),":"," "),";"," "),"_"," "),"–"," "),"?"," "),"!"," "),"*"," "),"["," "),"]"," "),"'"," "),"#"," "),"+"," "),"&amp;"," "),"\"," "))&amp;" "</f>
        <v>  </v>
      </c>
      <c r="BF592" s="61" t="str">
        <f aca="false">" "&amp;TRIM(SUBSTITUTE(SUBSTITUTE(SUBSTITUTE(SUBSTITUTE(SUBSTITUTE(SUBSTITUTE(SUBSTITUTE(SUBSTITUTE(SUBSTITUTE(SUBSTITUTE(SUBSTITUTE(SUBSTITUTE(SUBSTITUTE(SUBSTITUTE(SUBSTITUTE(SUBSTITUTE(SUBSTITUTE(SUBSTITUTE(SUBSTITUTE(SUBSTITUTE(SUBSTITUTE(SUBSTITUTE(SUBSTITUTE(SUBSTITUTE(LOWER(AC592&amp;""),CHAR(10)," "),CHAR(13)," "),CHAR(9)," "),CHAR(160)," "),"."," "),","," "),"-"," "),"/"," "),"("," "),")"," "),":"," "),";"," "),"_"," "),"–"," "),"?"," "),"!"," "),"*"," "),"["," "),"]"," "),"'"," "),"#"," "),"+"," "),"&amp;"," "),"\"," "))&amp;" "</f>
        <v>  </v>
      </c>
      <c r="BG592" s="61" t="n">
        <f aca="false">IFERROR(IF(AND(TRIM(U592)="Pass",SUMPRODUCT((LEN(BC592)-LEN(SUBSTITUTE(BC592," "&amp;L_ResultBad&amp;" "," ")))/(LEN(L_ResultBad)+1))&gt;SUMPRODUCT((LEN(BC592)-LEN(SUBSTITUTE(BC592," "&amp;L_NegPhrase&amp;" "," ")))/(LEN(L_NegPhrase)+1))),1,0),0)</f>
        <v>0</v>
      </c>
      <c r="BH592" s="61" t="n">
        <f aca="false">IFERROR(IF(SUMPRODUCT((LEN(BC592)-LEN(SUBSTITUTE(BC592," "&amp;L_Pending&amp;" "," ")))/(LEN(L_Pending)+1))&gt;SUMPRODUCT((LEN(BC592)-LEN(SUBSTITUTE(BC592," "&amp;L_PendNeg&amp;" "," ")))/(LEN(L_PendNeg)+1))+SUMPRODUCT((LEN(BC592)-LEN(SUBSTITUTE(BC592," "&amp;L_PendPrep&amp;" "," ")))/(LEN(L_PendPrep)+1)),1,0),1)</f>
        <v>0</v>
      </c>
      <c r="BI592" s="61" t="n">
        <f aca="false">IFERROR(IF(SUMPRODUCT((LEN(BD592)-LEN(SUBSTITUTE(BD592," "&amp;L_PendStrict&amp;" "," ")))/(LEN(L_PendStrict)+1))&gt;SUMPRODUCT((LEN(BD592)-LEN(SUBSTITUTE(BD592," "&amp;L_PendNeg&amp;" "," ")))/(LEN(L_PendNeg)+1)),1,0),1)</f>
        <v>0</v>
      </c>
      <c r="BJ592" s="61" t="n">
        <f aca="false">IFERROR(IF(SUMPRODUCT((LEN(BE592)-LEN(SUBSTITUTE(BE592," "&amp;L_Pending&amp;" "," ")))/(LEN(L_Pending)+1))&gt;SUMPRODUCT((LEN(BE592)-LEN(SUBSTITUTE(BE592," "&amp;L_PendNeg&amp;" "," ")))/(LEN(L_PendNeg)+1))+SUMPRODUCT((LEN(BE592)-LEN(SUBSTITUTE(BE592," "&amp;L_PendPrep&amp;" "," ")))/(LEN(L_PendPrep)+1)),1,0),1)</f>
        <v>0</v>
      </c>
      <c r="BK592" s="61" t="n">
        <f aca="false">IFERROR(IF(SUMPRODUCT((LEN(BF592)-LEN(SUBSTITUTE(BF592," "&amp;L_PendStrict&amp;" "," ")))/(LEN(L_PendStrict)+1))&gt;SUMPRODUCT((LEN(BF592)-LEN(SUBSTITUTE(BF592," "&amp;L_PendNeg&amp;" "," ")))/(LEN(L_PendNeg)+1)),1,0),1)</f>
        <v>0</v>
      </c>
      <c r="BL592" s="61" t="n">
        <f aca="false">IF(ISNA(MATCH(TRIM(S592),L_EvidenceType,0)),0,BZ592)</f>
        <v>0</v>
      </c>
      <c r="BM592" s="61" t="str">
        <f aca="false">SUBSTITUTE(SUBSTITUTE(SUBSTITUTE(SUBSTITUTE(SUBSTITUTE(SUBSTITUTE(SUBSTITUTE(SUBSTITUTE(SUBSTITUTE(LOWER(Z592&amp;""),"1","0"),"2","0"),"3","0"),"4","0"),"5","0"),"6","0"),"7","0"),"8","0"),"9","0")</f>
        <v/>
      </c>
      <c r="BN592" s="61" t="str">
        <f aca="false">SUBSTITUTE(SUBSTITUTE(SUBSTITUTE(SUBSTITUTE(SUBSTITUTE(SUBSTITUTE(SUBSTITUTE(SUBSTITUTE(SUBSTITUTE(SUBSTITUTE(SUBSTITUTE(SUBSTITUTE(SUBSTITUTE(SUBSTITUTE(SUBSTITUTE(SUBSTITUTE(SUBSTITUTE(SUBSTITUTE(SUBSTITUTE(SUBSTITUTE(SUBSTITUTE(SUBSTITUTE(SUBSTITUTE(SUBSTITUTE(SUBSTITUTE(BM592,"b","a"),"c","a"),"d","a"),"e","a"),"f","a"),"g","a"),"h","a"),"i","a"),"j","a"),"k","a"),"l","a"),"m","a"),"n","a"),"o","a"),"p","a"),"q","a"),"r","a"),"s","a"),"t","a"),"u","a"),"v","a"),"w","a"),"x","a"),"y","a"),"z","a")</f>
        <v/>
      </c>
      <c r="BO592" s="61" t="str">
        <f aca="false">SUBSTITUTE(SUBSTITUTE(SUBSTITUTE(SUBSTITUTE(SUBSTITUTE(SUBSTITUTE(SUBSTITUTE(SUBSTITUTE(SUBSTITUTE(LOWER(W592&amp;""),"1","0"),"2","0"),"3","0"),"4","0"),"5","0"),"6","0"),"7","0"),"8","0"),"9","0")</f>
        <v/>
      </c>
      <c r="BP592" s="61" t="str">
        <f aca="false">SUBSTITUTE(SUBSTITUTE(SUBSTITUTE(SUBSTITUTE(SUBSTITUTE(SUBSTITUTE(SUBSTITUTE(SUBSTITUTE(SUBSTITUTE(SUBSTITUTE(SUBSTITUTE(SUBSTITUTE(SUBSTITUTE(SUBSTITUTE(SUBSTITUTE(SUBSTITUTE(SUBSTITUTE(SUBSTITUTE(SUBSTITUTE(SUBSTITUTE(SUBSTITUTE(SUBSTITUTE(SUBSTITUTE(SUBSTITUTE(SUBSTITUTE(BO592,"b","a"),"c","a"),"d","a"),"e","a"),"f","a"),"g","a"),"h","a"),"i","a"),"j","a"),"k","a"),"l","a"),"m","a"),"n","a"),"o","a"),"p","a"),"q","a"),"r","a"),"s","a"),"t","a"),"u","a"),"v","a"),"w","a"),"x","a"),"y","a"),"z","a")</f>
        <v/>
      </c>
      <c r="BQ592" s="61" t="n">
        <f aca="false">IFERROR(IF(AND(ISERROR(SEARCH(" mh"," "&amp;LOWER(W592))),ISNA(MATCH(LEFT(TRIM(BP592),255),{"0000a","000a","00a","0000aa","000aa","00aa","0aa","0000aaa","000aaa","00a00","0a00","0000-0000","00:00","a00","a0","00.00.0000","00/00/0000","00-00-0000","0000-00-00","0000/00/00","0000.00.00","00.00.00","00/00/00","00-00-00","0.00.0000","0/00/0000","0-00-0000"},0)),ISNA(MATCH(LEFT(TRIM(CA592),255),{"0000a","000a","00a","0000aa","000aa","00aa","0aa","0000aaa","000aaa","00a00","0a00","0000-0000","00:00","a00","a0","00.00.0000","00/00/0000","00-00-0000","0000-00-00","0000/00/00","0000.00.00","00.00.00","00/00/00","00-00-00","0.00.0000","0/00/0000","0-00-0000"},0)),LEN(CB592)&gt;=3,NOT(OR(SUBSTITUTE(CB592,"0","")="",AND(LEN(CB592)&gt;=4,CB592=REPT(LEFT(CB592),LEN(CB592))),ISNUMBER(MATCH(CB592,{"123","1234","12345","123456","1234567","12345678","0123","01234","012345","98765","987654","54321"},0)),AND(LEN(CB592)=8,LEFT(CB592,3)="202"))),OR(AND((LEN(CA592)-LEN(SUBSTITUTE(CA592,"a","")))&gt;=1,SUMPRODUCT(--ISNUMBER(SEARCH({"a0","a-0","a_0","a/0","a.0","a#0","0a","0-a","0_a","0/a"},BP592)))&gt;0),ISNUMBER(SEARCH("000000",BP592)))),1,0),0)</f>
        <v>0</v>
      </c>
      <c r="BR592" s="61" t="n">
        <f aca="false">IFERROR(LEN(SUBSTITUTE(CC592," ",""))-SUMPRODUCT((LEN(CC592)-LEN(SUBSTITUTE(CC592," "&amp;L_Role&amp;" "," ")))/(LEN(L_Role)+1)*LEN(L_Role)),0)</f>
        <v>0</v>
      </c>
      <c r="BS592" s="61" t="n">
        <f aca="false">IFERROR(LEN(SUBSTITUTE(CD592," ",""))-SUMPRODUCT((LEN(CD592)-LEN(SUBSTITUTE(CD592," "&amp;L_Role&amp;" "," ")))/(LEN(L_Role)+1)*LEN(L_Role)),0)</f>
        <v>0</v>
      </c>
      <c r="BT5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592,"revision",""),"version",""),"jan",""),"feb",""),"mar",""),"apr",""),"may",""),"jun",""),"jul",""),"aug",""),"sep",""),"oct",""),"nov",""),"dec",""),"utc",""),"gmt",""),"myt",""),"bst",""),"rev",""),"ver",""),"b","a"),"c","a"),"d","a"),"e","a"),"f","a"),"g","a"),"h","a"),"i","a"),"j","a"),"k","a"),"l","a"),"m","a"),"n","a"),"o","a"),"p","a"),"q","a"),"r","a"),"s","a"),"t","a"),"u","a"),"v","a"),"w","a"),"x","a"),"y","a"),"z","a")</f>
        <v/>
      </c>
      <c r="BU592" s="61" t="str">
        <f aca="false">SUBSTITUTE(SUBSTITUTE(SUBSTITUTE(SUBSTITUTE(SUBSTITUTE(SUBSTITUTE(SUBSTITUTE(SUBSTITUTE(SUBSTITUTE(SUBSTITUTE(LEFT(BM592,FIND("0",BM592&amp;"0")-1),"-",""),"_",""),"/",""),".",""),"#",""),"\\",""),":","")," ",""),"(",""),")","")</f>
        <v/>
      </c>
      <c r="BV592" s="61" t="n">
        <f aca="false">0</f>
        <v>0</v>
      </c>
      <c r="BW5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592&amp;""),"a",""),"b",""),"c",""),"d",""),"e",""),"f",""),"g",""),"h",""),"i",""),"j",""),"k",""),"l",""),"m",""),"n",""),"o",""),"p",""),"q",""),"r",""),"s",""),"t",""),"u",""),"v",""),"w",""),"x",""),"y",""),"z",""),"-",""),"_",""),"/",""),".",""),"#",""),"\\",""),":","")," ",""),"(",""),")","")</f>
        <v/>
      </c>
      <c r="BX592" s="61" t="str">
        <f aca="false">SUBSTITUTE(SUBSTITUTE(SUBSTITUTE(SUBSTITUTE(SUBSTITUTE(SUBSTITUTE(SUBSTITUTE(SUBSTITUTE(SUBSTITUTE(SUBSTITUTE(SUBSTITUTE(BM592,"0",""),"-",""),"_",""),"/",""),".",""),"#",""),"\\",""),":","")," ",""),"(",""),")","")</f>
        <v/>
      </c>
      <c r="BY592" s="62" t="n">
        <f aca="false">Q592-T12EarlyH/24</f>
        <v>46321.6006944444</v>
      </c>
      <c r="BZ592" s="61" t="n">
        <f aca="false">IFERROR(IF(IF(TRIM(S592)="Link / file path",AND(LEN(TRIM(Z592))&gt;=5,SUMPRODUCT(--ISNUMBER(SEARCH({"http","www.","\\",":\",".pdf",".jpg",".jpeg",".png",".heic",".xls",".doc",".msg",".eml",".ppt",".txt",".zip"},Z592)))&gt;0),AND(ISERROR(FIND(" ",TRIM(Z592))),NOT(OR(SUMPRODUCT(--ISNUMBER(FIND({",",";","&amp;","+"},Z592)))&gt;0,SUMPRODUCT(--ISNUMBER(SEARCH({"0/aa","0\\aa"},BN592)))&gt;0)),NOT(SUMPRODUCT(--ISNUMBER(SEARCH({"http","www.","\\",":\",".pdf",".jpg",".jpeg",".png",".heic",".xls",".doc",".msg",".eml",".ppt",".txt",".zip"},Z592)))&gt;0),NOT(LOWER(TRIM(Z592))=LOWER(Flights!$F$22)),ISNA(MATCH(BU592,{"mh","rev","revision","ver","version","v","r","a","b","seat","tray","row","gate","bay","stand","page","pg","item","line","no","cart","galley","flight","flt","table","box","bag","oven","etd","eta","std","sta","atd","ata","qty","pax","x","time","tel","ph","mob","day","wk","week","utc","gmt","myt","lt"},0)),NOT(OR(ISNUMBER(MATCH(LEFT(BN592,255),{"0000a","000a","00a","0000aa","000aa","00aa","0aa","0000aaa","000aaa","00a00","0a00","0000-0000","00:00","a00","a0","00.00.0000","00/00/0000","00-00-0000","0000-00-00","0000/00/00","0000.00.00","00.00.00","00/00/00","00-00-00","0.00.0000","0/00/0000","0-00-0000"},0)),ISNUMBER(MATCH(LEFT(BT592,255),{"0000a","000a","00a","0000aa","000aa","00aa","0aa","0000aaa","000aaa","00a00","0a00","0000-0000","00:00","a00","a0","00.00.0000","00/00/0000","00-00-0000","0000-00-00","0000/00/00","0000.00.00","00.00.00","00/00/00","00-00-00","0.00.0000","0/00/0000","0-00-0000"},0)))),NOT(OR(AND(BW592&lt;&gt;"",SUBSTITUTE(BW592,"0","")=""),AND(LEN(BW592)&gt;=4,BW592=REPT(LEFT(BW592),LEN(BW592))),ISNUMBER(MATCH(BW592,{"123","1234","12345","123456","1234567","12345678","0123","01234","012345","98765","987654","54321"},0)),ISNUMBER(MATCH(BX592,{"x","xx","xxx","xxxx","xxxxx","abc","abcd","nil","na","nan","test","tbc","tba","tbd","dummy","sample","example","eg","zz","zzz","none","null","xyz","qwe","asd","id","ref"},0)),AND(LEN(BW592)=8,BX592="",OR(LEFT(BW592,3)="202",ISNUMBER(MATCH(RIGHT(BW592,4),{"2025","2026","2027"},0)))))),OR(AND((LEN(BT592)-LEN(SUBSTITUTE(BT592,"a","")))&gt;=1,(LEN(BN592)-LEN(SUBSTITUTE(BN592,"0","")))&gt;=2,SUMPRODUCT(--ISNUMBER(SEARCH({"a0","a-0","a_0","a/0","a.0","a#0","0a","0-a","0_a","0/a"},BN592)))&gt;0),AND((LEN(BN592)-LEN(SUBSTITUTE(BN592,"a","")))=0,(LEN(BN592)-LEN(SUBSTITUTE(BN592,"0","")))&gt;=5)))),1,0),0)</f>
        <v>0</v>
      </c>
      <c r="CA5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592,"revision",""),"version",""),"jan",""),"feb",""),"mar",""),"apr",""),"may",""),"jun",""),"jul",""),"aug",""),"sep",""),"oct",""),"nov",""),"dec",""),"utc",""),"gmt",""),"myt",""),"bst",""),"rev",""),"ver",""),"b","a"),"c","a"),"d","a"),"e","a"),"f","a"),"g","a"),"h","a"),"i","a"),"j","a"),"k","a"),"l","a"),"m","a"),"n","a"),"o","a"),"p","a"),"q","a"),"r","a"),"s","a"),"t","a"),"u","a"),"v","a"),"w","a"),"x","a"),"y","a"),"z","a")</f>
        <v/>
      </c>
      <c r="CB5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592&amp;""),"a",""),"b",""),"c",""),"d",""),"e",""),"f",""),"g",""),"h",""),"i",""),"j",""),"k",""),"l",""),"m",""),"n",""),"o",""),"p",""),"q",""),"r",""),"s",""),"t",""),"u",""),"v",""),"w",""),"x",""),"y",""),"z",""),"-",""),"_",""),"/",""),".",""),"#",""),"\\",""),":","")," ",""),"(",""),")","")</f>
        <v/>
      </c>
      <c r="CC592" s="0" t="str">
        <f aca="false">" "&amp;TRIM(SUBSTITUTE(SUBSTITUTE(SUBSTITUTE(SUBSTITUTE(SUBSTITUTE(SUBSTITUTE(SUBSTITUTE(SUBSTITUTE(SUBSTITUTE(SUBSTITUTE(SUBSTITUTE(SUBSTITUTE(SUBSTITUTE(SUBSTITUTE(SUBSTITUTE(SUBSTITUTE(SUBSTITUTE(SUBSTITUTE(SUBSTITUTE(SUBSTITUTE(SUBSTITUTE(SUBSTITUTE(SUBSTITUTE(SUBSTITUTE(LOWER(T592&amp;""),CHAR(10)," "),CHAR(13)," "),CHAR(9)," "),CHAR(160)," "),"."," "),","," "),"-"," "),"/"," "),"("," "),")"," "),":"," "),";"," "),"_"," "),"–"," "),"?"," "),"!"," "),"*"," "),"["," "),"]"," "),"'"," "),"#"," "),"+"," "),"&amp;"," "),"\"," "))&amp;" "</f>
        <v>  </v>
      </c>
      <c r="CD592" s="0" t="str">
        <f aca="false">" "&amp;TRIM(SUBSTITUTE(SUBSTITUTE(SUBSTITUTE(SUBSTITUTE(SUBSTITUTE(SUBSTITUTE(SUBSTITUTE(SUBSTITUTE(SUBSTITUTE(SUBSTITUTE(SUBSTITUTE(SUBSTITUTE(SUBSTITUTE(SUBSTITUTE(SUBSTITUTE(SUBSTITUTE(SUBSTITUTE(SUBSTITUTE(SUBSTITUTE(SUBSTITUTE(SUBSTITUTE(SUBSTITUTE(SUBSTITUTE(SUBSTITUTE(LOWER(AE592&amp;""),CHAR(10)," "),CHAR(13)," "),CHAR(9)," "),CHAR(160)," "),"."," "),","," "),"-"," "),"/"," "),"("," "),")"," "),":"," "),";"," "),"_"," "),"–"," "),"?"," "),"!"," "),"*"," "),"["," "),"]"," "),"'"," "),"#"," "),"+"," "),"&amp;"," "),"\"," "))&amp;" "</f>
        <v>  </v>
      </c>
      <c r="CE592" s="68" t="n">
        <f aca="false">IFERROR(IF(AND(LEN(AU592)&gt;0,LEN(AU592)=LEN(AX592),OR(TRIM(MID(SUBSTITUTE(TRIM(CC592)," ",REPT(" ",60)),1,60))="",ISNUMBER(SEARCH(" "&amp;TRIM(MID(SUBSTITUTE(TRIM(CC592)," ",REPT(" ",60)),1,60))&amp;" ",CD592))),OR(TRIM(MID(SUBSTITUTE(TRIM(CC592)," ",REPT(" ",60)),61,60))="",ISNUMBER(SEARCH(" "&amp;TRIM(MID(SUBSTITUTE(TRIM(CC592)," ",REPT(" ",60)),61,60))&amp;" ",CD592))),OR(TRIM(MID(SUBSTITUTE(TRIM(CC592)," ",REPT(" ",60)),121,60))="",ISNUMBER(SEARCH(" "&amp;TRIM(MID(SUBSTITUTE(TRIM(CC592)," ",REPT(" ",60)),121,60))&amp;" ",CD592)))),1,0),0)</f>
        <v>0</v>
      </c>
      <c r="CG592" s="68" t="n">
        <f aca="false">IFERROR(LEN(SUBSTITUTE(BF592," ",""))-SUMPRODUCT((LEN(BF592)-LEN(SUBSTITUTE(BF592," "&amp;L_NAFiller&amp;" "," ")))/(LEN(L_NAFiller)+1)*LEN(L_NAFiller)),0)</f>
        <v>0</v>
      </c>
    </row>
    <row r="593" customFormat="false" ht="41.25" hidden="false" customHeight="true" outlineLevel="0" collapsed="false">
      <c r="A593" s="57" t="s">
        <v>1289</v>
      </c>
      <c r="B593" s="57" t="s">
        <v>293</v>
      </c>
      <c r="C593" s="57" t="str">
        <f aca="false">Flights!$F$22</f>
        <v>MH0052</v>
      </c>
      <c r="D593" s="58" t="n">
        <f aca="false">Flights!$D$22</f>
        <v>46322</v>
      </c>
      <c r="E593" s="57" t="str">
        <f aca="false">Flights!$G$22&amp;"-"&amp;Flights!$H$22</f>
        <v>KUL-KIX</v>
      </c>
      <c r="F593" s="57" t="str">
        <f aca="false">Flights!$K$22</f>
        <v>BC</v>
      </c>
      <c r="G593" s="57" t="s">
        <v>420</v>
      </c>
      <c r="H593" s="57" t="s">
        <v>378</v>
      </c>
      <c r="I593" s="57" t="s">
        <v>499</v>
      </c>
      <c r="J593" s="57" t="s">
        <v>505</v>
      </c>
      <c r="K593" s="67" t="s">
        <v>501</v>
      </c>
      <c r="L593" s="67" t="s">
        <v>1290</v>
      </c>
      <c r="M593" s="67" t="s">
        <v>451</v>
      </c>
      <c r="N593" s="67" t="s">
        <v>383</v>
      </c>
      <c r="O593" s="67" t="s">
        <v>503</v>
      </c>
      <c r="P593" s="57" t="s">
        <v>187</v>
      </c>
      <c r="Q593" s="59" t="n">
        <f aca="false">ROUND((Flights!$AE$22)*1440,0)/1440</f>
        <v>46322.1006944444</v>
      </c>
      <c r="R593" s="59" t="n">
        <f aca="false">Q593+(IF(AND(INDEX(TZ_DSTS,MATCH(P593,TZ_STN,0))&lt;&gt;"",Q593&gt;=INDEX(TZ_DSTS,MATCH(P593,TZ_STN,0)),Q593&lt;INDEX(TZ_DSTE,MATCH(P593,TZ_STN,0))),INDEX(TZ_DST,MATCH(P593,TZ_STN,0)),INDEX(TZ_STD,MATCH(P593,TZ_STN,0))))/24</f>
        <v>46322.4340277778</v>
      </c>
      <c r="S593" s="60"/>
      <c r="T593" s="60"/>
      <c r="U593" s="60"/>
      <c r="V593" s="60"/>
      <c r="W593" s="61"/>
      <c r="X593" s="60"/>
      <c r="Y593" s="60"/>
      <c r="Z593" s="60"/>
      <c r="AA593" s="60"/>
      <c r="AB593" s="60"/>
      <c r="AC593" s="60"/>
      <c r="AD593" s="66"/>
      <c r="AE593" s="60"/>
      <c r="AF593" s="61" t="str">
        <f aca="false">IF(AND(ISNUMBER(X593),ISNUMBER(Y593)),Y593-X593,"")</f>
        <v/>
      </c>
      <c r="AG593" s="62" t="str">
        <f aca="false">IF(ISNUMBER(AD593),AD593-(IF(AND(INDEX(TZ_DSTS,MATCH(P593,TZ_STN,0))&lt;&gt;"",(AD593-INDEX(TZ_STD,MATCH(P593,TZ_STN,0))/24)&gt;=INDEX(TZ_DSTS,MATCH(P593,TZ_STN,0)),(AD593-INDEX(TZ_STD,MATCH(P593,TZ_STN,0))/24)&lt;INDEX(TZ_DSTE,MATCH(P593,TZ_STN,0))),INDEX(TZ_DST,MATCH(P593,TZ_STN,0)),INDEX(TZ_STD,MATCH(P593,TZ_STN,0))))/24,"")</f>
        <v/>
      </c>
      <c r="AH593" s="65" t="str">
        <f aca="false">IFERROR(IF(N593="N/A – rule",IF(OR(TRIM(U593)="",TRIM(U593)="N/A",TRIM(U593)="Not started"),"N/A – RULE","INVALID – this check does not apply to this aircraft: clear the status (or correct the fleet on Flights)"),IF(TRIM(U593)="N/A",IF(AT593=0,"INVALID – N/A not permitted for this check",IF(AND(TRIM(AB593)&lt;&gt;"",TRIM(AB593)&lt;&gt;"Closed"),"INVALID – corrective action still open",IF(AND(NOT(OR(LEN(AZ593)&lt;15,ISNUMBER(MATCH(AZ593,L_Placeholder,0)))),BK593=0,CG593&gt;=8,NOT(OR(LEN(AU593)&lt;2,ISNUMBER(MATCH(AU593,L_Placeholder,0)))),BR593&gt;=3,NOT(OR(LEN(AX593)&lt;2,ISNUMBER(MATCH(AX593,L_Placeholder,0)))),BS593&gt;=3,TRIM(AE593)&lt;&gt;TRIM(T593),AX593&lt;&gt;AU593,CE593=0),"N/A – JUSTIFIED","INVALID – N/A needs a real, settled reason (not 'not applicable' / 'as above' / TBC), a named PIC and a different named verifier"))),IF(OR(TRIM(U593)="Pass",TRIM(U593)="Pass after CA"),IF(NOT(ISNUMBER(AD593)),"INVALID – completion time missing",IF(OR(OR(LEN(AU593)&lt;2,ISNUMBER(MATCH(AU593,L_Placeholder,0))),BR593&lt;3),"INVALID – PIC missing or not a named person (a role such as QA / CSM is not a name)",IF(OR(LEN(AV593)&lt;2,ISNUMBER(MATCH(AV593,L_Placeholder,0))),"INVALID – result / assessment missing",IF(OR(OR(LEN(AW593)&lt;3,ISNUMBER(MATCH(AW593,L_Placeholder,0))),SUMPRODUCT(--ISNUMBER(SEARCH(" "&amp;L_EvidencePhrase&amp;" ",BD593)))&gt;0,BI593=1),"INVALID – evidence missing, placeholder or not yet on file",IF(ISNA(MATCH(TRIM(S593),L_EvidenceType,0)),"INVALID – choose the evidence type from the list (column S)",IF(BL593=0,"INVALID – evidence ID must be the record's own ID only (e.g. SF-2210, IMG_2231, 1045521); a link / file name needs type 'Link / file path'",IF(OR(OR(LEN(AX593)&lt;2,ISNUMBER(MATCH(AX593,L_Placeholder,0))),BS593&lt;3),"INVALID – verifier missing or not a named person (a role such as QA / CSM is not a name)",IF(OR(AX593=AU593,CE593=1,AND(LEN(AU593)&gt;=4,ISNUMBER(SEARCH(AU593,AX593))),AND(LEN(AX593)&gt;=4,ISNUMBER(SEARCH(AX593,AU593)))),"INVALID – verifier must be a different, named person (not the PIC or a role)",IF(BH593=1,"INVALID – result not yet available (awaiting / TBC)",IF(BG593=1,"INVALID – result describes a problem: record Fail, then Pass after CA (or reword if it is not a problem)",IF(BV593=1,"INVALID – wording says not on board: an on-board confirmation needs the item loaded",IF(AND(AQ593=1,OR(OR(LEN(AY593)&lt;3,ISNUMBER(MATCH(AY593,L_Placeholder,0))),BJ593=1,BQ593=0)),"INVALID – batch ID missing, placeholder or not an ID (e.g. PASB-261008-BC-017)",IF(AND(AR593=1,OR(NOT(ISNUMBER(X593)),NOT(ISNUMBER(Y593)))),"INVALID – expected/actual qty missing",IF(AND(AR593=1,OR(X593&lt;=0,Y593&lt;0)),"INVALID – expected qty must be above 0 and actual not negative",IF(BB593&lt;&gt;"",BB593,IF(AND(AS593=1,Documents!$J$22&lt;&gt;"ON FILE"),"INVALID – GLD not on file (Documents sheet)",IF(AND(AS593=2,Documents!$O$22&lt;&gt;"ON FILE"),"INVALID – menu checklist not on file (Documents sheet)",IF(AND(AS593=3,NOT(ISNUMBER(Flights!$AX$22))),"INVALID – enter carrying flight KUL departure (Flights AX)",IF(AND(AS593=3,OR(Flights!$AZ$22&gt;Flights!$AA$22,Flights!$AX$22&lt;Flights!$AA$22-3)),"INVALID – carrying flight (Flights AX) cannot arrive before this leg's STD, or is over 3 days early",IF(AG593&gt;AsOfUTC,"INVALID – completion time is in the future",IF(AND(ISNUMBER(BY593),AG593&lt;BY593),IF(H593="Physical uplift","INVALID – before uplift window (cannot confirm loading)","INVALID – before valid window"),IF(AG593&gt;Flights!$AA$22,"INVALID – completed after departure (cannot establish readiness)",IF(AND(H593="Preparation",AG593&gt;=IF(ISNUMBER(Flights!$BA$22),MIN(Flights!$BA$22,Flights!$AA$22),Flights!$AA$22)),"INVALID – completed after loading / departure (cannot establish readiness)",IF(AND(H593="Physical uplift",AG593&gt;Q593),"INVALID – recorded after the loading flight departed",IF(AG593&gt;Q593,"COMPLETE – LATE","COMPLETE"))))))))))))))))))))))))),IF(TRIM(U593)="Fail","FAIL – DISCREPANCY",IF(AND(TRIM(U593)&lt;&gt;"",TRIM(U593)&lt;&gt;"Not started",TRIM(U593)&lt;&gt;"In progress"),"INVALID – unrecognised status (use the list)",IF(AsOfUTC&gt;Q593,"OVERDUE",IF(N593="Clarification required","OPEN – CLARIFICATION","OPEN"))))))),"INVALID – error value in an input cell")</f>
        <v>OPEN</v>
      </c>
      <c r="AI593" s="61" t="n">
        <f aca="false">IF(OR(AH593="N/A – RULE",AH593="N/A – JUSTIFIED"),0,1)</f>
        <v>1</v>
      </c>
      <c r="AJ593" s="61" t="n">
        <f aca="false">IF(LEFT(AH593,8)="COMPLETE",1,0)</f>
        <v>0</v>
      </c>
      <c r="AK593" s="61" t="n">
        <f aca="false">IF(AND(AI593=1,AJ593=0,AsOfUTC&gt;Q593),1,0)</f>
        <v>0</v>
      </c>
      <c r="AL593" s="61" t="n">
        <f aca="false">IFERROR(IF(AND(AI593=1,OR(TRIM(U593)="Fail",AND(TRIM(AB593)&lt;&gt;"",TRIM(AB593)&lt;&gt;"Closed"),AND(ISNUMBER(AF593),AF593&lt;&gt;0,TRIM(U593)&lt;&gt;"Pass after CA"))),1,0),1)</f>
        <v>0</v>
      </c>
      <c r="AM593" s="61" t="n">
        <f aca="false">IF(LEFT(AH593,7)="INVALID",1,0)</f>
        <v>0</v>
      </c>
      <c r="AN593" s="61" t="n">
        <f aca="false">IF(AND(N593="Clarification required",AI593=1,AJ593=0),1,0)</f>
        <v>0</v>
      </c>
      <c r="AO593" s="61" t="str">
        <f aca="false">IF(AK593=1,SUM(AK$5:AK593),"")</f>
        <v/>
      </c>
      <c r="AP593" s="61" t="str">
        <f aca="false">IF(AL593=1,SUM(AL$5:AL593),"")</f>
        <v/>
      </c>
      <c r="AQ593" s="61" t="n">
        <v>0</v>
      </c>
      <c r="AR593" s="61" t="n">
        <v>0</v>
      </c>
      <c r="AS593" s="61" t="n">
        <v>0</v>
      </c>
      <c r="AT593" s="61" t="n">
        <v>0</v>
      </c>
      <c r="AU593" s="61" t="str">
        <f aca="false">SUBSTITUTE(SUBSTITUTE(SUBSTITUTE(SUBSTITUTE(SUBSTITUTE(SUBSTITUTE(SUBSTITUTE(SUBSTITUTE(SUBSTITUTE(SUBSTITUTE(SUBSTITUTE(SUBSTITUTE(SUBSTITUTE(SUBSTITUTE(SUBSTITUTE(SUBSTITUTE(LOWER(T593&amp;""),CHAR(10),""),CHAR(13),""),CHAR(9),""),CHAR(160),"")," ",""),".",""),"-",""),"/",""),"?",""),"_",""),",",""),"[",""),"]",""),"(",""),")",""),"*","")</f>
        <v/>
      </c>
      <c r="AV593" s="61" t="str">
        <f aca="false">SUBSTITUTE(SUBSTITUTE(SUBSTITUTE(SUBSTITUTE(SUBSTITUTE(SUBSTITUTE(SUBSTITUTE(SUBSTITUTE(SUBSTITUTE(SUBSTITUTE(SUBSTITUTE(SUBSTITUTE(SUBSTITUTE(SUBSTITUTE(SUBSTITUTE(SUBSTITUTE(LOWER(V593&amp;""),CHAR(10),""),CHAR(13),""),CHAR(9),""),CHAR(160),"")," ",""),".",""),"-",""),"/",""),"?",""),"_",""),",",""),"[",""),"]",""),"(",""),")",""),"*","")</f>
        <v/>
      </c>
      <c r="AW593" s="61" t="str">
        <f aca="false">SUBSTITUTE(SUBSTITUTE(SUBSTITUTE(SUBSTITUTE(SUBSTITUTE(SUBSTITUTE(SUBSTITUTE(SUBSTITUTE(SUBSTITUTE(SUBSTITUTE(SUBSTITUTE(SUBSTITUTE(SUBSTITUTE(SUBSTITUTE(SUBSTITUTE(SUBSTITUTE(LOWER(Z593&amp;""),CHAR(10),""),CHAR(13),""),CHAR(9),""),CHAR(160),"")," ",""),".",""),"-",""),"/",""),"?",""),"_",""),",",""),"[",""),"]",""),"(",""),")",""),"*","")</f>
        <v/>
      </c>
      <c r="AX593" s="61" t="str">
        <f aca="false">SUBSTITUTE(SUBSTITUTE(SUBSTITUTE(SUBSTITUTE(SUBSTITUTE(SUBSTITUTE(SUBSTITUTE(SUBSTITUTE(SUBSTITUTE(SUBSTITUTE(SUBSTITUTE(SUBSTITUTE(SUBSTITUTE(SUBSTITUTE(SUBSTITUTE(SUBSTITUTE(LOWER(AE593&amp;""),CHAR(10),""),CHAR(13),""),CHAR(9),""),CHAR(160),"")," ",""),".",""),"-",""),"/",""),"?",""),"_",""),",",""),"[",""),"]",""),"(",""),")",""),"*","")</f>
        <v/>
      </c>
      <c r="AY593" s="61" t="str">
        <f aca="false">SUBSTITUTE(SUBSTITUTE(SUBSTITUTE(SUBSTITUTE(SUBSTITUTE(SUBSTITUTE(SUBSTITUTE(SUBSTITUTE(SUBSTITUTE(SUBSTITUTE(SUBSTITUTE(SUBSTITUTE(SUBSTITUTE(SUBSTITUTE(SUBSTITUTE(SUBSTITUTE(LOWER(W593&amp;""),CHAR(10),""),CHAR(13),""),CHAR(9),""),CHAR(160),"")," ",""),".",""),"-",""),"/",""),"?",""),"_",""),",",""),"[",""),"]",""),"(",""),")",""),"*","")</f>
        <v/>
      </c>
      <c r="AZ593" s="61" t="str">
        <f aca="false">SUBSTITUTE(SUBSTITUTE(SUBSTITUTE(SUBSTITUTE(SUBSTITUTE(SUBSTITUTE(SUBSTITUTE(SUBSTITUTE(SUBSTITUTE(SUBSTITUTE(SUBSTITUTE(SUBSTITUTE(SUBSTITUTE(SUBSTITUTE(SUBSTITUTE(SUBSTITUTE(LOWER(AC593&amp;""),CHAR(10),""),CHAR(13),""),CHAR(9),""),CHAR(160),"")," ",""),".",""),"-",""),"/",""),"?",""),"_",""),",",""),"[",""),"]",""),"(",""),")",""),"*","")</f>
        <v/>
      </c>
      <c r="BA593" s="61" t="str">
        <f aca="false">SUBSTITUTE(SUBSTITUTE(SUBSTITUTE(SUBSTITUTE(SUBSTITUTE(SUBSTITUTE(SUBSTITUTE(SUBSTITUTE(SUBSTITUTE(SUBSTITUTE(SUBSTITUTE(SUBSTITUTE(SUBSTITUTE(SUBSTITUTE(SUBSTITUTE(SUBSTITUTE(LOWER(AA593&amp;""),CHAR(10),""),CHAR(13),""),CHAR(9),""),CHAR(160),"")," ",""),".",""),"-",""),"/",""),"?",""),"_",""),",",""),"[",""),"]",""),"(",""),")",""),"*","")</f>
        <v/>
      </c>
      <c r="BB593" s="61" t="str">
        <f aca="false">IF(AND(TRIM(U593)="Pass",ISNUMBER(AF593)),IF(AF593&lt;&gt;0,"INVALID – qty variance: use Fail or Pass after CA",""),"")&amp;IF(AND(TRIM(U593)="Pass after CA",ISNUMBER(AF593)),IF(AF593&lt;&gt;0,"INVALID – after the corrective action the actual qty must equal expected (update Actual)",""),"")&amp;IF(AND(TRIM(U593)="Pass",TRIM(AB593)&lt;&gt;"",TRIM(AB593)&lt;&gt;"Closed"),"INVALID – corrective action not closed: use Fail, then Pass after CA","")&amp;IF(AND(LEN(BA593)&gt;=2,ISNA(MATCH(LEFT(BA593,255),L_Placeholder,0)),TRIM(AB593)=""),"INVALID – CA status missing for the recorded corrective action","")&amp;IF(AND(TRIM(U593)="Pass after CA",OR(OR(LEN(BA593)&lt;5,ISNUMBER(MATCH(BA593,L_Placeholder,0))),TRIM(AB593)&lt;&gt;"Closed")),"INVALID – corrective action not recorded/closed","")</f>
        <v/>
      </c>
      <c r="BC593" s="61" t="str">
        <f aca="false">" "&amp;TRIM(SUBSTITUTE(SUBSTITUTE(SUBSTITUTE(SUBSTITUTE(SUBSTITUTE(SUBSTITUTE(SUBSTITUTE(SUBSTITUTE(SUBSTITUTE(SUBSTITUTE(SUBSTITUTE(SUBSTITUTE(SUBSTITUTE(SUBSTITUTE(SUBSTITUTE(SUBSTITUTE(SUBSTITUTE(SUBSTITUTE(SUBSTITUTE(SUBSTITUTE(SUBSTITUTE(SUBSTITUTE(SUBSTITUTE(SUBSTITUTE(LOWER(V593&amp;""),CHAR(10)," "),CHAR(13)," "),CHAR(9)," "),CHAR(160)," "),"."," "),","," "),"-"," "),"/"," "),"("," "),")"," "),":"," "),";"," "),"_"," "),"–"," "),"?"," "),"!"," "),"*"," "),"["," "),"]"," "),"'"," "),"#"," "),"+"," "),"&amp;"," "),"\"," "))&amp;" "</f>
        <v>  </v>
      </c>
      <c r="BD593" s="61" t="str">
        <f aca="false">" "&amp;TRIM(SUBSTITUTE(SUBSTITUTE(SUBSTITUTE(SUBSTITUTE(SUBSTITUTE(SUBSTITUTE(SUBSTITUTE(SUBSTITUTE(SUBSTITUTE(SUBSTITUTE(SUBSTITUTE(SUBSTITUTE(SUBSTITUTE(SUBSTITUTE(SUBSTITUTE(SUBSTITUTE(SUBSTITUTE(SUBSTITUTE(SUBSTITUTE(SUBSTITUTE(SUBSTITUTE(SUBSTITUTE(SUBSTITUTE(SUBSTITUTE(LOWER(Z593&amp;""),CHAR(10)," "),CHAR(13)," "),CHAR(9)," "),CHAR(160)," "),"."," "),","," "),"-"," "),"/"," "),"("," "),")"," "),":"," "),";"," "),"_"," "),"–"," "),"?"," "),"!"," "),"*"," "),"["," "),"]"," "),"'"," "),"#"," "),"+"," "),"&amp;"," "),"\"," "))&amp;" "</f>
        <v>  </v>
      </c>
      <c r="BE593" s="61" t="str">
        <f aca="false">" "&amp;TRIM(SUBSTITUTE(SUBSTITUTE(SUBSTITUTE(SUBSTITUTE(SUBSTITUTE(SUBSTITUTE(SUBSTITUTE(SUBSTITUTE(SUBSTITUTE(SUBSTITUTE(SUBSTITUTE(SUBSTITUTE(SUBSTITUTE(SUBSTITUTE(SUBSTITUTE(SUBSTITUTE(SUBSTITUTE(SUBSTITUTE(SUBSTITUTE(SUBSTITUTE(SUBSTITUTE(SUBSTITUTE(SUBSTITUTE(SUBSTITUTE(LOWER(W593&amp;""),CHAR(10)," "),CHAR(13)," "),CHAR(9)," "),CHAR(160)," "),"."," "),","," "),"-"," "),"/"," "),"("," "),")"," "),":"," "),";"," "),"_"," "),"–"," "),"?"," "),"!"," "),"*"," "),"["," "),"]"," "),"'"," "),"#"," "),"+"," "),"&amp;"," "),"\"," "))&amp;" "</f>
        <v>  </v>
      </c>
      <c r="BF593" s="61" t="str">
        <f aca="false">" "&amp;TRIM(SUBSTITUTE(SUBSTITUTE(SUBSTITUTE(SUBSTITUTE(SUBSTITUTE(SUBSTITUTE(SUBSTITUTE(SUBSTITUTE(SUBSTITUTE(SUBSTITUTE(SUBSTITUTE(SUBSTITUTE(SUBSTITUTE(SUBSTITUTE(SUBSTITUTE(SUBSTITUTE(SUBSTITUTE(SUBSTITUTE(SUBSTITUTE(SUBSTITUTE(SUBSTITUTE(SUBSTITUTE(SUBSTITUTE(SUBSTITUTE(LOWER(AC593&amp;""),CHAR(10)," "),CHAR(13)," "),CHAR(9)," "),CHAR(160)," "),"."," "),","," "),"-"," "),"/"," "),"("," "),")"," "),":"," "),";"," "),"_"," "),"–"," "),"?"," "),"!"," "),"*"," "),"["," "),"]"," "),"'"," "),"#"," "),"+"," "),"&amp;"," "),"\"," "))&amp;" "</f>
        <v>  </v>
      </c>
      <c r="BG593" s="61" t="n">
        <f aca="false">IFERROR(IF(AND(TRIM(U593)="Pass",SUMPRODUCT((LEN(BC593)-LEN(SUBSTITUTE(BC593," "&amp;L_ResultBad&amp;" "," ")))/(LEN(L_ResultBad)+1))&gt;SUMPRODUCT((LEN(BC593)-LEN(SUBSTITUTE(BC593," "&amp;L_NegPhrase&amp;" "," ")))/(LEN(L_NegPhrase)+1))),1,0),0)</f>
        <v>0</v>
      </c>
      <c r="BH593" s="61" t="n">
        <f aca="false">IFERROR(IF(SUMPRODUCT((LEN(BC593)-LEN(SUBSTITUTE(BC593," "&amp;L_Pending&amp;" "," ")))/(LEN(L_Pending)+1))&gt;SUMPRODUCT((LEN(BC593)-LEN(SUBSTITUTE(BC593," "&amp;L_PendNeg&amp;" "," ")))/(LEN(L_PendNeg)+1))+SUMPRODUCT((LEN(BC593)-LEN(SUBSTITUTE(BC593," "&amp;L_PendPrep&amp;" "," ")))/(LEN(L_PendPrep)+1)),1,0),1)</f>
        <v>0</v>
      </c>
      <c r="BI593" s="61" t="n">
        <f aca="false">IFERROR(IF(SUMPRODUCT((LEN(BD593)-LEN(SUBSTITUTE(BD593," "&amp;L_PendStrict&amp;" "," ")))/(LEN(L_PendStrict)+1))&gt;SUMPRODUCT((LEN(BD593)-LEN(SUBSTITUTE(BD593," "&amp;L_PendNeg&amp;" "," ")))/(LEN(L_PendNeg)+1)),1,0),1)</f>
        <v>0</v>
      </c>
      <c r="BJ593" s="61" t="n">
        <f aca="false">IFERROR(IF(SUMPRODUCT((LEN(BE593)-LEN(SUBSTITUTE(BE593," "&amp;L_Pending&amp;" "," ")))/(LEN(L_Pending)+1))&gt;SUMPRODUCT((LEN(BE593)-LEN(SUBSTITUTE(BE593," "&amp;L_PendNeg&amp;" "," ")))/(LEN(L_PendNeg)+1))+SUMPRODUCT((LEN(BE593)-LEN(SUBSTITUTE(BE593," "&amp;L_PendPrep&amp;" "," ")))/(LEN(L_PendPrep)+1)),1,0),1)</f>
        <v>0</v>
      </c>
      <c r="BK593" s="61" t="n">
        <f aca="false">IFERROR(IF(SUMPRODUCT((LEN(BF593)-LEN(SUBSTITUTE(BF593," "&amp;L_PendStrict&amp;" "," ")))/(LEN(L_PendStrict)+1))&gt;SUMPRODUCT((LEN(BF593)-LEN(SUBSTITUTE(BF593," "&amp;L_PendNeg&amp;" "," ")))/(LEN(L_PendNeg)+1)),1,0),1)</f>
        <v>0</v>
      </c>
      <c r="BL593" s="61" t="n">
        <f aca="false">IF(ISNA(MATCH(TRIM(S593),L_EvidenceType,0)),0,BZ593)</f>
        <v>0</v>
      </c>
      <c r="BM593" s="61" t="str">
        <f aca="false">SUBSTITUTE(SUBSTITUTE(SUBSTITUTE(SUBSTITUTE(SUBSTITUTE(SUBSTITUTE(SUBSTITUTE(SUBSTITUTE(SUBSTITUTE(LOWER(Z593&amp;""),"1","0"),"2","0"),"3","0"),"4","0"),"5","0"),"6","0"),"7","0"),"8","0"),"9","0")</f>
        <v/>
      </c>
      <c r="BN593" s="61" t="str">
        <f aca="false">SUBSTITUTE(SUBSTITUTE(SUBSTITUTE(SUBSTITUTE(SUBSTITUTE(SUBSTITUTE(SUBSTITUTE(SUBSTITUTE(SUBSTITUTE(SUBSTITUTE(SUBSTITUTE(SUBSTITUTE(SUBSTITUTE(SUBSTITUTE(SUBSTITUTE(SUBSTITUTE(SUBSTITUTE(SUBSTITUTE(SUBSTITUTE(SUBSTITUTE(SUBSTITUTE(SUBSTITUTE(SUBSTITUTE(SUBSTITUTE(SUBSTITUTE(BM593,"b","a"),"c","a"),"d","a"),"e","a"),"f","a"),"g","a"),"h","a"),"i","a"),"j","a"),"k","a"),"l","a"),"m","a"),"n","a"),"o","a"),"p","a"),"q","a"),"r","a"),"s","a"),"t","a"),"u","a"),"v","a"),"w","a"),"x","a"),"y","a"),"z","a")</f>
        <v/>
      </c>
      <c r="BO593" s="61" t="str">
        <f aca="false">SUBSTITUTE(SUBSTITUTE(SUBSTITUTE(SUBSTITUTE(SUBSTITUTE(SUBSTITUTE(SUBSTITUTE(SUBSTITUTE(SUBSTITUTE(LOWER(W593&amp;""),"1","0"),"2","0"),"3","0"),"4","0"),"5","0"),"6","0"),"7","0"),"8","0"),"9","0")</f>
        <v/>
      </c>
      <c r="BP593" s="61" t="str">
        <f aca="false">SUBSTITUTE(SUBSTITUTE(SUBSTITUTE(SUBSTITUTE(SUBSTITUTE(SUBSTITUTE(SUBSTITUTE(SUBSTITUTE(SUBSTITUTE(SUBSTITUTE(SUBSTITUTE(SUBSTITUTE(SUBSTITUTE(SUBSTITUTE(SUBSTITUTE(SUBSTITUTE(SUBSTITUTE(SUBSTITUTE(SUBSTITUTE(SUBSTITUTE(SUBSTITUTE(SUBSTITUTE(SUBSTITUTE(SUBSTITUTE(SUBSTITUTE(BO593,"b","a"),"c","a"),"d","a"),"e","a"),"f","a"),"g","a"),"h","a"),"i","a"),"j","a"),"k","a"),"l","a"),"m","a"),"n","a"),"o","a"),"p","a"),"q","a"),"r","a"),"s","a"),"t","a"),"u","a"),"v","a"),"w","a"),"x","a"),"y","a"),"z","a")</f>
        <v/>
      </c>
      <c r="BQ593" s="61" t="n">
        <f aca="false">IFERROR(IF(AND(ISERROR(SEARCH(" mh"," "&amp;LOWER(W593))),ISNA(MATCH(LEFT(TRIM(BP593),255),{"0000a","000a","00a","0000aa","000aa","00aa","0aa","0000aaa","000aaa","00a00","0a00","0000-0000","00:00","a00","a0","00.00.0000","00/00/0000","00-00-0000","0000-00-00","0000/00/00","0000.00.00","00.00.00","00/00/00","00-00-00","0.00.0000","0/00/0000","0-00-0000"},0)),ISNA(MATCH(LEFT(TRIM(CA593),255),{"0000a","000a","00a","0000aa","000aa","00aa","0aa","0000aaa","000aaa","00a00","0a00","0000-0000","00:00","a00","a0","00.00.0000","00/00/0000","00-00-0000","0000-00-00","0000/00/00","0000.00.00","00.00.00","00/00/00","00-00-00","0.00.0000","0/00/0000","0-00-0000"},0)),LEN(CB593)&gt;=3,NOT(OR(SUBSTITUTE(CB593,"0","")="",AND(LEN(CB593)&gt;=4,CB593=REPT(LEFT(CB593),LEN(CB593))),ISNUMBER(MATCH(CB593,{"123","1234","12345","123456","1234567","12345678","0123","01234","012345","98765","987654","54321"},0)),AND(LEN(CB593)=8,LEFT(CB593,3)="202"))),OR(AND((LEN(CA593)-LEN(SUBSTITUTE(CA593,"a","")))&gt;=1,SUMPRODUCT(--ISNUMBER(SEARCH({"a0","a-0","a_0","a/0","a.0","a#0","0a","0-a","0_a","0/a"},BP593)))&gt;0),ISNUMBER(SEARCH("000000",BP593)))),1,0),0)</f>
        <v>0</v>
      </c>
      <c r="BR593" s="61" t="n">
        <f aca="false">IFERROR(LEN(SUBSTITUTE(CC593," ",""))-SUMPRODUCT((LEN(CC593)-LEN(SUBSTITUTE(CC593," "&amp;L_Role&amp;" "," ")))/(LEN(L_Role)+1)*LEN(L_Role)),0)</f>
        <v>0</v>
      </c>
      <c r="BS593" s="61" t="n">
        <f aca="false">IFERROR(LEN(SUBSTITUTE(CD593," ",""))-SUMPRODUCT((LEN(CD593)-LEN(SUBSTITUTE(CD593," "&amp;L_Role&amp;" "," ")))/(LEN(L_Role)+1)*LEN(L_Role)),0)</f>
        <v>0</v>
      </c>
      <c r="BT5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593,"revision",""),"version",""),"jan",""),"feb",""),"mar",""),"apr",""),"may",""),"jun",""),"jul",""),"aug",""),"sep",""),"oct",""),"nov",""),"dec",""),"utc",""),"gmt",""),"myt",""),"bst",""),"rev",""),"ver",""),"b","a"),"c","a"),"d","a"),"e","a"),"f","a"),"g","a"),"h","a"),"i","a"),"j","a"),"k","a"),"l","a"),"m","a"),"n","a"),"o","a"),"p","a"),"q","a"),"r","a"),"s","a"),"t","a"),"u","a"),"v","a"),"w","a"),"x","a"),"y","a"),"z","a")</f>
        <v/>
      </c>
      <c r="BU593" s="61" t="str">
        <f aca="false">SUBSTITUTE(SUBSTITUTE(SUBSTITUTE(SUBSTITUTE(SUBSTITUTE(SUBSTITUTE(SUBSTITUTE(SUBSTITUTE(SUBSTITUTE(SUBSTITUTE(LEFT(BM593,FIND("0",BM593&amp;"0")-1),"-",""),"_",""),"/",""),".",""),"#",""),"\\",""),":","")," ",""),"(",""),")","")</f>
        <v/>
      </c>
      <c r="BV593" s="61" t="n">
        <f aca="false">0</f>
        <v>0</v>
      </c>
      <c r="BW5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593&amp;""),"a",""),"b",""),"c",""),"d",""),"e",""),"f",""),"g",""),"h",""),"i",""),"j",""),"k",""),"l",""),"m",""),"n",""),"o",""),"p",""),"q",""),"r",""),"s",""),"t",""),"u",""),"v",""),"w",""),"x",""),"y",""),"z",""),"-",""),"_",""),"/",""),".",""),"#",""),"\\",""),":","")," ",""),"(",""),")","")</f>
        <v/>
      </c>
      <c r="BX593" s="61" t="str">
        <f aca="false">SUBSTITUTE(SUBSTITUTE(SUBSTITUTE(SUBSTITUTE(SUBSTITUTE(SUBSTITUTE(SUBSTITUTE(SUBSTITUTE(SUBSTITUTE(SUBSTITUTE(SUBSTITUTE(BM593,"0",""),"-",""),"_",""),"/",""),".",""),"#",""),"\\",""),":","")," ",""),"(",""),")","")</f>
        <v/>
      </c>
      <c r="BY593" s="62" t="n">
        <f aca="false">Q593-T12EarlyH/24</f>
        <v>46321.6006944444</v>
      </c>
      <c r="BZ593" s="61" t="n">
        <f aca="false">IFERROR(IF(IF(TRIM(S593)="Link / file path",AND(LEN(TRIM(Z593))&gt;=5,SUMPRODUCT(--ISNUMBER(SEARCH({"http","www.","\\",":\",".pdf",".jpg",".jpeg",".png",".heic",".xls",".doc",".msg",".eml",".ppt",".txt",".zip"},Z593)))&gt;0),AND(ISERROR(FIND(" ",TRIM(Z593))),NOT(OR(SUMPRODUCT(--ISNUMBER(FIND({",",";","&amp;","+"},Z593)))&gt;0,SUMPRODUCT(--ISNUMBER(SEARCH({"0/aa","0\\aa"},BN593)))&gt;0)),NOT(SUMPRODUCT(--ISNUMBER(SEARCH({"http","www.","\\",":\",".pdf",".jpg",".jpeg",".png",".heic",".xls",".doc",".msg",".eml",".ppt",".txt",".zip"},Z593)))&gt;0),NOT(LOWER(TRIM(Z593))=LOWER(Flights!$F$22)),ISNA(MATCH(BU593,{"mh","rev","revision","ver","version","v","r","a","b","seat","tray","row","gate","bay","stand","page","pg","item","line","no","cart","galley","flight","flt","table","box","bag","oven","etd","eta","std","sta","atd","ata","qty","pax","x","time","tel","ph","mob","day","wk","week","utc","gmt","myt","lt"},0)),NOT(OR(ISNUMBER(MATCH(LEFT(BN593,255),{"0000a","000a","00a","0000aa","000aa","00aa","0aa","0000aaa","000aaa","00a00","0a00","0000-0000","00:00","a00","a0","00.00.0000","00/00/0000","00-00-0000","0000-00-00","0000/00/00","0000.00.00","00.00.00","00/00/00","00-00-00","0.00.0000","0/00/0000","0-00-0000"},0)),ISNUMBER(MATCH(LEFT(BT593,255),{"0000a","000a","00a","0000aa","000aa","00aa","0aa","0000aaa","000aaa","00a00","0a00","0000-0000","00:00","a00","a0","00.00.0000","00/00/0000","00-00-0000","0000-00-00","0000/00/00","0000.00.00","00.00.00","00/00/00","00-00-00","0.00.0000","0/00/0000","0-00-0000"},0)))),NOT(OR(AND(BW593&lt;&gt;"",SUBSTITUTE(BW593,"0","")=""),AND(LEN(BW593)&gt;=4,BW593=REPT(LEFT(BW593),LEN(BW593))),ISNUMBER(MATCH(BW593,{"123","1234","12345","123456","1234567","12345678","0123","01234","012345","98765","987654","54321"},0)),ISNUMBER(MATCH(BX593,{"x","xx","xxx","xxxx","xxxxx","abc","abcd","nil","na","nan","test","tbc","tba","tbd","dummy","sample","example","eg","zz","zzz","none","null","xyz","qwe","asd","id","ref"},0)),AND(LEN(BW593)=8,BX593="",OR(LEFT(BW593,3)="202",ISNUMBER(MATCH(RIGHT(BW593,4),{"2025","2026","2027"},0)))))),OR(AND((LEN(BT593)-LEN(SUBSTITUTE(BT593,"a","")))&gt;=1,(LEN(BN593)-LEN(SUBSTITUTE(BN593,"0","")))&gt;=2,SUMPRODUCT(--ISNUMBER(SEARCH({"a0","a-0","a_0","a/0","a.0","a#0","0a","0-a","0_a","0/a"},BN593)))&gt;0),AND((LEN(BN593)-LEN(SUBSTITUTE(BN593,"a","")))=0,(LEN(BN593)-LEN(SUBSTITUTE(BN593,"0","")))&gt;=5)))),1,0),0)</f>
        <v>0</v>
      </c>
      <c r="CA5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593,"revision",""),"version",""),"jan",""),"feb",""),"mar",""),"apr",""),"may",""),"jun",""),"jul",""),"aug",""),"sep",""),"oct",""),"nov",""),"dec",""),"utc",""),"gmt",""),"myt",""),"bst",""),"rev",""),"ver",""),"b","a"),"c","a"),"d","a"),"e","a"),"f","a"),"g","a"),"h","a"),"i","a"),"j","a"),"k","a"),"l","a"),"m","a"),"n","a"),"o","a"),"p","a"),"q","a"),"r","a"),"s","a"),"t","a"),"u","a"),"v","a"),"w","a"),"x","a"),"y","a"),"z","a")</f>
        <v/>
      </c>
      <c r="CB5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593&amp;""),"a",""),"b",""),"c",""),"d",""),"e",""),"f",""),"g",""),"h",""),"i",""),"j",""),"k",""),"l",""),"m",""),"n",""),"o",""),"p",""),"q",""),"r",""),"s",""),"t",""),"u",""),"v",""),"w",""),"x",""),"y",""),"z",""),"-",""),"_",""),"/",""),".",""),"#",""),"\\",""),":","")," ",""),"(",""),")","")</f>
        <v/>
      </c>
      <c r="CC593" s="0" t="str">
        <f aca="false">" "&amp;TRIM(SUBSTITUTE(SUBSTITUTE(SUBSTITUTE(SUBSTITUTE(SUBSTITUTE(SUBSTITUTE(SUBSTITUTE(SUBSTITUTE(SUBSTITUTE(SUBSTITUTE(SUBSTITUTE(SUBSTITUTE(SUBSTITUTE(SUBSTITUTE(SUBSTITUTE(SUBSTITUTE(SUBSTITUTE(SUBSTITUTE(SUBSTITUTE(SUBSTITUTE(SUBSTITUTE(SUBSTITUTE(SUBSTITUTE(SUBSTITUTE(LOWER(T593&amp;""),CHAR(10)," "),CHAR(13)," "),CHAR(9)," "),CHAR(160)," "),"."," "),","," "),"-"," "),"/"," "),"("," "),")"," "),":"," "),";"," "),"_"," "),"–"," "),"?"," "),"!"," "),"*"," "),"["," "),"]"," "),"'"," "),"#"," "),"+"," "),"&amp;"," "),"\"," "))&amp;" "</f>
        <v>  </v>
      </c>
      <c r="CD593" s="0" t="str">
        <f aca="false">" "&amp;TRIM(SUBSTITUTE(SUBSTITUTE(SUBSTITUTE(SUBSTITUTE(SUBSTITUTE(SUBSTITUTE(SUBSTITUTE(SUBSTITUTE(SUBSTITUTE(SUBSTITUTE(SUBSTITUTE(SUBSTITUTE(SUBSTITUTE(SUBSTITUTE(SUBSTITUTE(SUBSTITUTE(SUBSTITUTE(SUBSTITUTE(SUBSTITUTE(SUBSTITUTE(SUBSTITUTE(SUBSTITUTE(SUBSTITUTE(SUBSTITUTE(LOWER(AE593&amp;""),CHAR(10)," "),CHAR(13)," "),CHAR(9)," "),CHAR(160)," "),"."," "),","," "),"-"," "),"/"," "),"("," "),")"," "),":"," "),";"," "),"_"," "),"–"," "),"?"," "),"!"," "),"*"," "),"["," "),"]"," "),"'"," "),"#"," "),"+"," "),"&amp;"," "),"\"," "))&amp;" "</f>
        <v>  </v>
      </c>
      <c r="CE593" s="68" t="n">
        <f aca="false">IFERROR(IF(AND(LEN(AU593)&gt;0,LEN(AU593)=LEN(AX593),OR(TRIM(MID(SUBSTITUTE(TRIM(CC593)," ",REPT(" ",60)),1,60))="",ISNUMBER(SEARCH(" "&amp;TRIM(MID(SUBSTITUTE(TRIM(CC593)," ",REPT(" ",60)),1,60))&amp;" ",CD593))),OR(TRIM(MID(SUBSTITUTE(TRIM(CC593)," ",REPT(" ",60)),61,60))="",ISNUMBER(SEARCH(" "&amp;TRIM(MID(SUBSTITUTE(TRIM(CC593)," ",REPT(" ",60)),61,60))&amp;" ",CD593))),OR(TRIM(MID(SUBSTITUTE(TRIM(CC593)," ",REPT(" ",60)),121,60))="",ISNUMBER(SEARCH(" "&amp;TRIM(MID(SUBSTITUTE(TRIM(CC593)," ",REPT(" ",60)),121,60))&amp;" ",CD593)))),1,0),0)</f>
        <v>0</v>
      </c>
      <c r="CG593" s="68" t="n">
        <f aca="false">IFERROR(LEN(SUBSTITUTE(BF593," ",""))-SUMPRODUCT((LEN(BF593)-LEN(SUBSTITUTE(BF593," "&amp;L_NAFiller&amp;" "," ")))/(LEN(L_NAFiller)+1)*LEN(L_NAFiller)),0)</f>
        <v>0</v>
      </c>
    </row>
    <row r="594" customFormat="false" ht="41.25" hidden="false" customHeight="true" outlineLevel="0" collapsed="false">
      <c r="A594" s="57" t="s">
        <v>1291</v>
      </c>
      <c r="B594" s="57" t="s">
        <v>293</v>
      </c>
      <c r="C594" s="57" t="str">
        <f aca="false">Flights!$F$22</f>
        <v>MH0052</v>
      </c>
      <c r="D594" s="58" t="n">
        <f aca="false">Flights!$D$22</f>
        <v>46322</v>
      </c>
      <c r="E594" s="57" t="str">
        <f aca="false">Flights!$G$22&amp;"-"&amp;Flights!$H$22</f>
        <v>KUL-KIX</v>
      </c>
      <c r="F594" s="57" t="str">
        <f aca="false">Flights!$K$22</f>
        <v>BC</v>
      </c>
      <c r="G594" s="57" t="s">
        <v>420</v>
      </c>
      <c r="H594" s="57" t="s">
        <v>378</v>
      </c>
      <c r="I594" s="57" t="s">
        <v>499</v>
      </c>
      <c r="J594" s="57" t="s">
        <v>508</v>
      </c>
      <c r="K594" s="67" t="s">
        <v>501</v>
      </c>
      <c r="L594" s="67" t="s">
        <v>1292</v>
      </c>
      <c r="M594" s="67" t="s">
        <v>451</v>
      </c>
      <c r="N594" s="67" t="s">
        <v>383</v>
      </c>
      <c r="O594" s="67" t="s">
        <v>503</v>
      </c>
      <c r="P594" s="57" t="s">
        <v>187</v>
      </c>
      <c r="Q594" s="59" t="n">
        <f aca="false">ROUND((Flights!$AE$22)*1440,0)/1440</f>
        <v>46322.1006944444</v>
      </c>
      <c r="R594" s="59" t="n">
        <f aca="false">Q594+(IF(AND(INDEX(TZ_DSTS,MATCH(P594,TZ_STN,0))&lt;&gt;"",Q594&gt;=INDEX(TZ_DSTS,MATCH(P594,TZ_STN,0)),Q594&lt;INDEX(TZ_DSTE,MATCH(P594,TZ_STN,0))),INDEX(TZ_DST,MATCH(P594,TZ_STN,0)),INDEX(TZ_STD,MATCH(P594,TZ_STN,0))))/24</f>
        <v>46322.4340277778</v>
      </c>
      <c r="S594" s="60"/>
      <c r="T594" s="60"/>
      <c r="U594" s="60"/>
      <c r="V594" s="60"/>
      <c r="W594" s="61"/>
      <c r="X594" s="60"/>
      <c r="Y594" s="60"/>
      <c r="Z594" s="60"/>
      <c r="AA594" s="60"/>
      <c r="AB594" s="60"/>
      <c r="AC594" s="60"/>
      <c r="AD594" s="66"/>
      <c r="AE594" s="60"/>
      <c r="AF594" s="61" t="str">
        <f aca="false">IF(AND(ISNUMBER(X594),ISNUMBER(Y594)),Y594-X594,"")</f>
        <v/>
      </c>
      <c r="AG594" s="62" t="str">
        <f aca="false">IF(ISNUMBER(AD594),AD594-(IF(AND(INDEX(TZ_DSTS,MATCH(P594,TZ_STN,0))&lt;&gt;"",(AD594-INDEX(TZ_STD,MATCH(P594,TZ_STN,0))/24)&gt;=INDEX(TZ_DSTS,MATCH(P594,TZ_STN,0)),(AD594-INDEX(TZ_STD,MATCH(P594,TZ_STN,0))/24)&lt;INDEX(TZ_DSTE,MATCH(P594,TZ_STN,0))),INDEX(TZ_DST,MATCH(P594,TZ_STN,0)),INDEX(TZ_STD,MATCH(P594,TZ_STN,0))))/24,"")</f>
        <v/>
      </c>
      <c r="AH594" s="65" t="str">
        <f aca="false">IFERROR(IF(N594="N/A – rule",IF(OR(TRIM(U594)="",TRIM(U594)="N/A",TRIM(U594)="Not started"),"N/A – RULE","INVALID – this check does not apply to this aircraft: clear the status (or correct the fleet on Flights)"),IF(TRIM(U594)="N/A",IF(AT594=0,"INVALID – N/A not permitted for this check",IF(AND(TRIM(AB594)&lt;&gt;"",TRIM(AB594)&lt;&gt;"Closed"),"INVALID – corrective action still open",IF(AND(NOT(OR(LEN(AZ594)&lt;15,ISNUMBER(MATCH(AZ594,L_Placeholder,0)))),BK594=0,CG594&gt;=8,NOT(OR(LEN(AU594)&lt;2,ISNUMBER(MATCH(AU594,L_Placeholder,0)))),BR594&gt;=3,NOT(OR(LEN(AX594)&lt;2,ISNUMBER(MATCH(AX594,L_Placeholder,0)))),BS594&gt;=3,TRIM(AE594)&lt;&gt;TRIM(T594),AX594&lt;&gt;AU594,CE594=0),"N/A – JUSTIFIED","INVALID – N/A needs a real, settled reason (not 'not applicable' / 'as above' / TBC), a named PIC and a different named verifier"))),IF(OR(TRIM(U594)="Pass",TRIM(U594)="Pass after CA"),IF(NOT(ISNUMBER(AD594)),"INVALID – completion time missing",IF(OR(OR(LEN(AU594)&lt;2,ISNUMBER(MATCH(AU594,L_Placeholder,0))),BR594&lt;3),"INVALID – PIC missing or not a named person (a role such as QA / CSM is not a name)",IF(OR(LEN(AV594)&lt;2,ISNUMBER(MATCH(AV594,L_Placeholder,0))),"INVALID – result / assessment missing",IF(OR(OR(LEN(AW594)&lt;3,ISNUMBER(MATCH(AW594,L_Placeholder,0))),SUMPRODUCT(--ISNUMBER(SEARCH(" "&amp;L_EvidencePhrase&amp;" ",BD594)))&gt;0,BI594=1),"INVALID – evidence missing, placeholder or not yet on file",IF(ISNA(MATCH(TRIM(S594),L_EvidenceType,0)),"INVALID – choose the evidence type from the list (column S)",IF(BL594=0,"INVALID – evidence ID must be the record's own ID only (e.g. SF-2210, IMG_2231, 1045521); a link / file name needs type 'Link / file path'",IF(OR(OR(LEN(AX594)&lt;2,ISNUMBER(MATCH(AX594,L_Placeholder,0))),BS594&lt;3),"INVALID – verifier missing or not a named person (a role such as QA / CSM is not a name)",IF(OR(AX594=AU594,CE594=1,AND(LEN(AU594)&gt;=4,ISNUMBER(SEARCH(AU594,AX594))),AND(LEN(AX594)&gt;=4,ISNUMBER(SEARCH(AX594,AU594)))),"INVALID – verifier must be a different, named person (not the PIC or a role)",IF(BH594=1,"INVALID – result not yet available (awaiting / TBC)",IF(BG594=1,"INVALID – result describes a problem: record Fail, then Pass after CA (or reword if it is not a problem)",IF(BV594=1,"INVALID – wording says not on board: an on-board confirmation needs the item loaded",IF(AND(AQ594=1,OR(OR(LEN(AY594)&lt;3,ISNUMBER(MATCH(AY594,L_Placeholder,0))),BJ594=1,BQ594=0)),"INVALID – batch ID missing, placeholder or not an ID (e.g. PASB-261008-BC-017)",IF(AND(AR594=1,OR(NOT(ISNUMBER(X594)),NOT(ISNUMBER(Y594)))),"INVALID – expected/actual qty missing",IF(AND(AR594=1,OR(X594&lt;=0,Y594&lt;0)),"INVALID – expected qty must be above 0 and actual not negative",IF(BB594&lt;&gt;"",BB594,IF(AND(AS594=1,Documents!$J$22&lt;&gt;"ON FILE"),"INVALID – GLD not on file (Documents sheet)",IF(AND(AS594=2,Documents!$O$22&lt;&gt;"ON FILE"),"INVALID – menu checklist not on file (Documents sheet)",IF(AND(AS594=3,NOT(ISNUMBER(Flights!$AX$22))),"INVALID – enter carrying flight KUL departure (Flights AX)",IF(AND(AS594=3,OR(Flights!$AZ$22&gt;Flights!$AA$22,Flights!$AX$22&lt;Flights!$AA$22-3)),"INVALID – carrying flight (Flights AX) cannot arrive before this leg's STD, or is over 3 days early",IF(AG594&gt;AsOfUTC,"INVALID – completion time is in the future",IF(AND(ISNUMBER(BY594),AG594&lt;BY594),IF(H594="Physical uplift","INVALID – before uplift window (cannot confirm loading)","INVALID – before valid window"),IF(AG594&gt;Flights!$AA$22,"INVALID – completed after departure (cannot establish readiness)",IF(AND(H594="Preparation",AG594&gt;=IF(ISNUMBER(Flights!$BA$22),MIN(Flights!$BA$22,Flights!$AA$22),Flights!$AA$22)),"INVALID – completed after loading / departure (cannot establish readiness)",IF(AND(H594="Physical uplift",AG594&gt;Q594),"INVALID – recorded after the loading flight departed",IF(AG594&gt;Q594,"COMPLETE – LATE","COMPLETE"))))))))))))))))))))))))),IF(TRIM(U594)="Fail","FAIL – DISCREPANCY",IF(AND(TRIM(U594)&lt;&gt;"",TRIM(U594)&lt;&gt;"Not started",TRIM(U594)&lt;&gt;"In progress"),"INVALID – unrecognised status (use the list)",IF(AsOfUTC&gt;Q594,"OVERDUE",IF(N594="Clarification required","OPEN – CLARIFICATION","OPEN"))))))),"INVALID – error value in an input cell")</f>
        <v>OPEN</v>
      </c>
      <c r="AI594" s="61" t="n">
        <f aca="false">IF(OR(AH594="N/A – RULE",AH594="N/A – JUSTIFIED"),0,1)</f>
        <v>1</v>
      </c>
      <c r="AJ594" s="61" t="n">
        <f aca="false">IF(LEFT(AH594,8)="COMPLETE",1,0)</f>
        <v>0</v>
      </c>
      <c r="AK594" s="61" t="n">
        <f aca="false">IF(AND(AI594=1,AJ594=0,AsOfUTC&gt;Q594),1,0)</f>
        <v>0</v>
      </c>
      <c r="AL594" s="61" t="n">
        <f aca="false">IFERROR(IF(AND(AI594=1,OR(TRIM(U594)="Fail",AND(TRIM(AB594)&lt;&gt;"",TRIM(AB594)&lt;&gt;"Closed"),AND(ISNUMBER(AF594),AF594&lt;&gt;0,TRIM(U594)&lt;&gt;"Pass after CA"))),1,0),1)</f>
        <v>0</v>
      </c>
      <c r="AM594" s="61" t="n">
        <f aca="false">IF(LEFT(AH594,7)="INVALID",1,0)</f>
        <v>0</v>
      </c>
      <c r="AN594" s="61" t="n">
        <f aca="false">IF(AND(N594="Clarification required",AI594=1,AJ594=0),1,0)</f>
        <v>0</v>
      </c>
      <c r="AO594" s="61" t="str">
        <f aca="false">IF(AK594=1,SUM(AK$5:AK594),"")</f>
        <v/>
      </c>
      <c r="AP594" s="61" t="str">
        <f aca="false">IF(AL594=1,SUM(AL$5:AL594),"")</f>
        <v/>
      </c>
      <c r="AQ594" s="61" t="n">
        <v>0</v>
      </c>
      <c r="AR594" s="61" t="n">
        <v>0</v>
      </c>
      <c r="AS594" s="61" t="n">
        <v>0</v>
      </c>
      <c r="AT594" s="61" t="n">
        <v>0</v>
      </c>
      <c r="AU594" s="61" t="str">
        <f aca="false">SUBSTITUTE(SUBSTITUTE(SUBSTITUTE(SUBSTITUTE(SUBSTITUTE(SUBSTITUTE(SUBSTITUTE(SUBSTITUTE(SUBSTITUTE(SUBSTITUTE(SUBSTITUTE(SUBSTITUTE(SUBSTITUTE(SUBSTITUTE(SUBSTITUTE(SUBSTITUTE(LOWER(T594&amp;""),CHAR(10),""),CHAR(13),""),CHAR(9),""),CHAR(160),"")," ",""),".",""),"-",""),"/",""),"?",""),"_",""),",",""),"[",""),"]",""),"(",""),")",""),"*","")</f>
        <v/>
      </c>
      <c r="AV594" s="61" t="str">
        <f aca="false">SUBSTITUTE(SUBSTITUTE(SUBSTITUTE(SUBSTITUTE(SUBSTITUTE(SUBSTITUTE(SUBSTITUTE(SUBSTITUTE(SUBSTITUTE(SUBSTITUTE(SUBSTITUTE(SUBSTITUTE(SUBSTITUTE(SUBSTITUTE(SUBSTITUTE(SUBSTITUTE(LOWER(V594&amp;""),CHAR(10),""),CHAR(13),""),CHAR(9),""),CHAR(160),"")," ",""),".",""),"-",""),"/",""),"?",""),"_",""),",",""),"[",""),"]",""),"(",""),")",""),"*","")</f>
        <v/>
      </c>
      <c r="AW594" s="61" t="str">
        <f aca="false">SUBSTITUTE(SUBSTITUTE(SUBSTITUTE(SUBSTITUTE(SUBSTITUTE(SUBSTITUTE(SUBSTITUTE(SUBSTITUTE(SUBSTITUTE(SUBSTITUTE(SUBSTITUTE(SUBSTITUTE(SUBSTITUTE(SUBSTITUTE(SUBSTITUTE(SUBSTITUTE(LOWER(Z594&amp;""),CHAR(10),""),CHAR(13),""),CHAR(9),""),CHAR(160),"")," ",""),".",""),"-",""),"/",""),"?",""),"_",""),",",""),"[",""),"]",""),"(",""),")",""),"*","")</f>
        <v/>
      </c>
      <c r="AX594" s="61" t="str">
        <f aca="false">SUBSTITUTE(SUBSTITUTE(SUBSTITUTE(SUBSTITUTE(SUBSTITUTE(SUBSTITUTE(SUBSTITUTE(SUBSTITUTE(SUBSTITUTE(SUBSTITUTE(SUBSTITUTE(SUBSTITUTE(SUBSTITUTE(SUBSTITUTE(SUBSTITUTE(SUBSTITUTE(LOWER(AE594&amp;""),CHAR(10),""),CHAR(13),""),CHAR(9),""),CHAR(160),"")," ",""),".",""),"-",""),"/",""),"?",""),"_",""),",",""),"[",""),"]",""),"(",""),")",""),"*","")</f>
        <v/>
      </c>
      <c r="AY594" s="61" t="str">
        <f aca="false">SUBSTITUTE(SUBSTITUTE(SUBSTITUTE(SUBSTITUTE(SUBSTITUTE(SUBSTITUTE(SUBSTITUTE(SUBSTITUTE(SUBSTITUTE(SUBSTITUTE(SUBSTITUTE(SUBSTITUTE(SUBSTITUTE(SUBSTITUTE(SUBSTITUTE(SUBSTITUTE(LOWER(W594&amp;""),CHAR(10),""),CHAR(13),""),CHAR(9),""),CHAR(160),"")," ",""),".",""),"-",""),"/",""),"?",""),"_",""),",",""),"[",""),"]",""),"(",""),")",""),"*","")</f>
        <v/>
      </c>
      <c r="AZ594" s="61" t="str">
        <f aca="false">SUBSTITUTE(SUBSTITUTE(SUBSTITUTE(SUBSTITUTE(SUBSTITUTE(SUBSTITUTE(SUBSTITUTE(SUBSTITUTE(SUBSTITUTE(SUBSTITUTE(SUBSTITUTE(SUBSTITUTE(SUBSTITUTE(SUBSTITUTE(SUBSTITUTE(SUBSTITUTE(LOWER(AC594&amp;""),CHAR(10),""),CHAR(13),""),CHAR(9),""),CHAR(160),"")," ",""),".",""),"-",""),"/",""),"?",""),"_",""),",",""),"[",""),"]",""),"(",""),")",""),"*","")</f>
        <v/>
      </c>
      <c r="BA594" s="61" t="str">
        <f aca="false">SUBSTITUTE(SUBSTITUTE(SUBSTITUTE(SUBSTITUTE(SUBSTITUTE(SUBSTITUTE(SUBSTITUTE(SUBSTITUTE(SUBSTITUTE(SUBSTITUTE(SUBSTITUTE(SUBSTITUTE(SUBSTITUTE(SUBSTITUTE(SUBSTITUTE(SUBSTITUTE(LOWER(AA594&amp;""),CHAR(10),""),CHAR(13),""),CHAR(9),""),CHAR(160),"")," ",""),".",""),"-",""),"/",""),"?",""),"_",""),",",""),"[",""),"]",""),"(",""),")",""),"*","")</f>
        <v/>
      </c>
      <c r="BB594" s="61" t="str">
        <f aca="false">IF(AND(TRIM(U594)="Pass",ISNUMBER(AF594)),IF(AF594&lt;&gt;0,"INVALID – qty variance: use Fail or Pass after CA",""),"")&amp;IF(AND(TRIM(U594)="Pass after CA",ISNUMBER(AF594)),IF(AF594&lt;&gt;0,"INVALID – after the corrective action the actual qty must equal expected (update Actual)",""),"")&amp;IF(AND(TRIM(U594)="Pass",TRIM(AB594)&lt;&gt;"",TRIM(AB594)&lt;&gt;"Closed"),"INVALID – corrective action not closed: use Fail, then Pass after CA","")&amp;IF(AND(LEN(BA594)&gt;=2,ISNA(MATCH(LEFT(BA594,255),L_Placeholder,0)),TRIM(AB594)=""),"INVALID – CA status missing for the recorded corrective action","")&amp;IF(AND(TRIM(U594)="Pass after CA",OR(OR(LEN(BA594)&lt;5,ISNUMBER(MATCH(BA594,L_Placeholder,0))),TRIM(AB594)&lt;&gt;"Closed")),"INVALID – corrective action not recorded/closed","")</f>
        <v/>
      </c>
      <c r="BC594" s="61" t="str">
        <f aca="false">" "&amp;TRIM(SUBSTITUTE(SUBSTITUTE(SUBSTITUTE(SUBSTITUTE(SUBSTITUTE(SUBSTITUTE(SUBSTITUTE(SUBSTITUTE(SUBSTITUTE(SUBSTITUTE(SUBSTITUTE(SUBSTITUTE(SUBSTITUTE(SUBSTITUTE(SUBSTITUTE(SUBSTITUTE(SUBSTITUTE(SUBSTITUTE(SUBSTITUTE(SUBSTITUTE(SUBSTITUTE(SUBSTITUTE(SUBSTITUTE(SUBSTITUTE(LOWER(V594&amp;""),CHAR(10)," "),CHAR(13)," "),CHAR(9)," "),CHAR(160)," "),"."," "),","," "),"-"," "),"/"," "),"("," "),")"," "),":"," "),";"," "),"_"," "),"–"," "),"?"," "),"!"," "),"*"," "),"["," "),"]"," "),"'"," "),"#"," "),"+"," "),"&amp;"," "),"\"," "))&amp;" "</f>
        <v>  </v>
      </c>
      <c r="BD594" s="61" t="str">
        <f aca="false">" "&amp;TRIM(SUBSTITUTE(SUBSTITUTE(SUBSTITUTE(SUBSTITUTE(SUBSTITUTE(SUBSTITUTE(SUBSTITUTE(SUBSTITUTE(SUBSTITUTE(SUBSTITUTE(SUBSTITUTE(SUBSTITUTE(SUBSTITUTE(SUBSTITUTE(SUBSTITUTE(SUBSTITUTE(SUBSTITUTE(SUBSTITUTE(SUBSTITUTE(SUBSTITUTE(SUBSTITUTE(SUBSTITUTE(SUBSTITUTE(SUBSTITUTE(LOWER(Z594&amp;""),CHAR(10)," "),CHAR(13)," "),CHAR(9)," "),CHAR(160)," "),"."," "),","," "),"-"," "),"/"," "),"("," "),")"," "),":"," "),";"," "),"_"," "),"–"," "),"?"," "),"!"," "),"*"," "),"["," "),"]"," "),"'"," "),"#"," "),"+"," "),"&amp;"," "),"\"," "))&amp;" "</f>
        <v>  </v>
      </c>
      <c r="BE594" s="61" t="str">
        <f aca="false">" "&amp;TRIM(SUBSTITUTE(SUBSTITUTE(SUBSTITUTE(SUBSTITUTE(SUBSTITUTE(SUBSTITUTE(SUBSTITUTE(SUBSTITUTE(SUBSTITUTE(SUBSTITUTE(SUBSTITUTE(SUBSTITUTE(SUBSTITUTE(SUBSTITUTE(SUBSTITUTE(SUBSTITUTE(SUBSTITUTE(SUBSTITUTE(SUBSTITUTE(SUBSTITUTE(SUBSTITUTE(SUBSTITUTE(SUBSTITUTE(SUBSTITUTE(LOWER(W594&amp;""),CHAR(10)," "),CHAR(13)," "),CHAR(9)," "),CHAR(160)," "),"."," "),","," "),"-"," "),"/"," "),"("," "),")"," "),":"," "),";"," "),"_"," "),"–"," "),"?"," "),"!"," "),"*"," "),"["," "),"]"," "),"'"," "),"#"," "),"+"," "),"&amp;"," "),"\"," "))&amp;" "</f>
        <v>  </v>
      </c>
      <c r="BF594" s="61" t="str">
        <f aca="false">" "&amp;TRIM(SUBSTITUTE(SUBSTITUTE(SUBSTITUTE(SUBSTITUTE(SUBSTITUTE(SUBSTITUTE(SUBSTITUTE(SUBSTITUTE(SUBSTITUTE(SUBSTITUTE(SUBSTITUTE(SUBSTITUTE(SUBSTITUTE(SUBSTITUTE(SUBSTITUTE(SUBSTITUTE(SUBSTITUTE(SUBSTITUTE(SUBSTITUTE(SUBSTITUTE(SUBSTITUTE(SUBSTITUTE(SUBSTITUTE(SUBSTITUTE(LOWER(AC594&amp;""),CHAR(10)," "),CHAR(13)," "),CHAR(9)," "),CHAR(160)," "),"."," "),","," "),"-"," "),"/"," "),"("," "),")"," "),":"," "),";"," "),"_"," "),"–"," "),"?"," "),"!"," "),"*"," "),"["," "),"]"," "),"'"," "),"#"," "),"+"," "),"&amp;"," "),"\"," "))&amp;" "</f>
        <v>  </v>
      </c>
      <c r="BG594" s="61" t="n">
        <f aca="false">IFERROR(IF(AND(TRIM(U594)="Pass",SUMPRODUCT((LEN(BC594)-LEN(SUBSTITUTE(BC594," "&amp;L_ResultBad&amp;" "," ")))/(LEN(L_ResultBad)+1))&gt;SUMPRODUCT((LEN(BC594)-LEN(SUBSTITUTE(BC594," "&amp;L_NegPhrase&amp;" "," ")))/(LEN(L_NegPhrase)+1))),1,0),0)</f>
        <v>0</v>
      </c>
      <c r="BH594" s="61" t="n">
        <f aca="false">IFERROR(IF(SUMPRODUCT((LEN(BC594)-LEN(SUBSTITUTE(BC594," "&amp;L_Pending&amp;" "," ")))/(LEN(L_Pending)+1))&gt;SUMPRODUCT((LEN(BC594)-LEN(SUBSTITUTE(BC594," "&amp;L_PendNeg&amp;" "," ")))/(LEN(L_PendNeg)+1))+SUMPRODUCT((LEN(BC594)-LEN(SUBSTITUTE(BC594," "&amp;L_PendPrep&amp;" "," ")))/(LEN(L_PendPrep)+1)),1,0),1)</f>
        <v>0</v>
      </c>
      <c r="BI594" s="61" t="n">
        <f aca="false">IFERROR(IF(SUMPRODUCT((LEN(BD594)-LEN(SUBSTITUTE(BD594," "&amp;L_PendStrict&amp;" "," ")))/(LEN(L_PendStrict)+1))&gt;SUMPRODUCT((LEN(BD594)-LEN(SUBSTITUTE(BD594," "&amp;L_PendNeg&amp;" "," ")))/(LEN(L_PendNeg)+1)),1,0),1)</f>
        <v>0</v>
      </c>
      <c r="BJ594" s="61" t="n">
        <f aca="false">IFERROR(IF(SUMPRODUCT((LEN(BE594)-LEN(SUBSTITUTE(BE594," "&amp;L_Pending&amp;" "," ")))/(LEN(L_Pending)+1))&gt;SUMPRODUCT((LEN(BE594)-LEN(SUBSTITUTE(BE594," "&amp;L_PendNeg&amp;" "," ")))/(LEN(L_PendNeg)+1))+SUMPRODUCT((LEN(BE594)-LEN(SUBSTITUTE(BE594," "&amp;L_PendPrep&amp;" "," ")))/(LEN(L_PendPrep)+1)),1,0),1)</f>
        <v>0</v>
      </c>
      <c r="BK594" s="61" t="n">
        <f aca="false">IFERROR(IF(SUMPRODUCT((LEN(BF594)-LEN(SUBSTITUTE(BF594," "&amp;L_PendStrict&amp;" "," ")))/(LEN(L_PendStrict)+1))&gt;SUMPRODUCT((LEN(BF594)-LEN(SUBSTITUTE(BF594," "&amp;L_PendNeg&amp;" "," ")))/(LEN(L_PendNeg)+1)),1,0),1)</f>
        <v>0</v>
      </c>
      <c r="BL594" s="61" t="n">
        <f aca="false">IF(ISNA(MATCH(TRIM(S594),L_EvidenceType,0)),0,BZ594)</f>
        <v>0</v>
      </c>
      <c r="BM594" s="61" t="str">
        <f aca="false">SUBSTITUTE(SUBSTITUTE(SUBSTITUTE(SUBSTITUTE(SUBSTITUTE(SUBSTITUTE(SUBSTITUTE(SUBSTITUTE(SUBSTITUTE(LOWER(Z594&amp;""),"1","0"),"2","0"),"3","0"),"4","0"),"5","0"),"6","0"),"7","0"),"8","0"),"9","0")</f>
        <v/>
      </c>
      <c r="BN594" s="61" t="str">
        <f aca="false">SUBSTITUTE(SUBSTITUTE(SUBSTITUTE(SUBSTITUTE(SUBSTITUTE(SUBSTITUTE(SUBSTITUTE(SUBSTITUTE(SUBSTITUTE(SUBSTITUTE(SUBSTITUTE(SUBSTITUTE(SUBSTITUTE(SUBSTITUTE(SUBSTITUTE(SUBSTITUTE(SUBSTITUTE(SUBSTITUTE(SUBSTITUTE(SUBSTITUTE(SUBSTITUTE(SUBSTITUTE(SUBSTITUTE(SUBSTITUTE(SUBSTITUTE(BM594,"b","a"),"c","a"),"d","a"),"e","a"),"f","a"),"g","a"),"h","a"),"i","a"),"j","a"),"k","a"),"l","a"),"m","a"),"n","a"),"o","a"),"p","a"),"q","a"),"r","a"),"s","a"),"t","a"),"u","a"),"v","a"),"w","a"),"x","a"),"y","a"),"z","a")</f>
        <v/>
      </c>
      <c r="BO594" s="61" t="str">
        <f aca="false">SUBSTITUTE(SUBSTITUTE(SUBSTITUTE(SUBSTITUTE(SUBSTITUTE(SUBSTITUTE(SUBSTITUTE(SUBSTITUTE(SUBSTITUTE(LOWER(W594&amp;""),"1","0"),"2","0"),"3","0"),"4","0"),"5","0"),"6","0"),"7","0"),"8","0"),"9","0")</f>
        <v/>
      </c>
      <c r="BP594" s="61" t="str">
        <f aca="false">SUBSTITUTE(SUBSTITUTE(SUBSTITUTE(SUBSTITUTE(SUBSTITUTE(SUBSTITUTE(SUBSTITUTE(SUBSTITUTE(SUBSTITUTE(SUBSTITUTE(SUBSTITUTE(SUBSTITUTE(SUBSTITUTE(SUBSTITUTE(SUBSTITUTE(SUBSTITUTE(SUBSTITUTE(SUBSTITUTE(SUBSTITUTE(SUBSTITUTE(SUBSTITUTE(SUBSTITUTE(SUBSTITUTE(SUBSTITUTE(SUBSTITUTE(BO594,"b","a"),"c","a"),"d","a"),"e","a"),"f","a"),"g","a"),"h","a"),"i","a"),"j","a"),"k","a"),"l","a"),"m","a"),"n","a"),"o","a"),"p","a"),"q","a"),"r","a"),"s","a"),"t","a"),"u","a"),"v","a"),"w","a"),"x","a"),"y","a"),"z","a")</f>
        <v/>
      </c>
      <c r="BQ594" s="61" t="n">
        <f aca="false">IFERROR(IF(AND(ISERROR(SEARCH(" mh"," "&amp;LOWER(W594))),ISNA(MATCH(LEFT(TRIM(BP594),255),{"0000a","000a","00a","0000aa","000aa","00aa","0aa","0000aaa","000aaa","00a00","0a00","0000-0000","00:00","a00","a0","00.00.0000","00/00/0000","00-00-0000","0000-00-00","0000/00/00","0000.00.00","00.00.00","00/00/00","00-00-00","0.00.0000","0/00/0000","0-00-0000"},0)),ISNA(MATCH(LEFT(TRIM(CA594),255),{"0000a","000a","00a","0000aa","000aa","00aa","0aa","0000aaa","000aaa","00a00","0a00","0000-0000","00:00","a00","a0","00.00.0000","00/00/0000","00-00-0000","0000-00-00","0000/00/00","0000.00.00","00.00.00","00/00/00","00-00-00","0.00.0000","0/00/0000","0-00-0000"},0)),LEN(CB594)&gt;=3,NOT(OR(SUBSTITUTE(CB594,"0","")="",AND(LEN(CB594)&gt;=4,CB594=REPT(LEFT(CB594),LEN(CB594))),ISNUMBER(MATCH(CB594,{"123","1234","12345","123456","1234567","12345678","0123","01234","012345","98765","987654","54321"},0)),AND(LEN(CB594)=8,LEFT(CB594,3)="202"))),OR(AND((LEN(CA594)-LEN(SUBSTITUTE(CA594,"a","")))&gt;=1,SUMPRODUCT(--ISNUMBER(SEARCH({"a0","a-0","a_0","a/0","a.0","a#0","0a","0-a","0_a","0/a"},BP594)))&gt;0),ISNUMBER(SEARCH("000000",BP594)))),1,0),0)</f>
        <v>0</v>
      </c>
      <c r="BR594" s="61" t="n">
        <f aca="false">IFERROR(LEN(SUBSTITUTE(CC594," ",""))-SUMPRODUCT((LEN(CC594)-LEN(SUBSTITUTE(CC594," "&amp;L_Role&amp;" "," ")))/(LEN(L_Role)+1)*LEN(L_Role)),0)</f>
        <v>0</v>
      </c>
      <c r="BS594" s="61" t="n">
        <f aca="false">IFERROR(LEN(SUBSTITUTE(CD594," ",""))-SUMPRODUCT((LEN(CD594)-LEN(SUBSTITUTE(CD594," "&amp;L_Role&amp;" "," ")))/(LEN(L_Role)+1)*LEN(L_Role)),0)</f>
        <v>0</v>
      </c>
      <c r="BT5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594,"revision",""),"version",""),"jan",""),"feb",""),"mar",""),"apr",""),"may",""),"jun",""),"jul",""),"aug",""),"sep",""),"oct",""),"nov",""),"dec",""),"utc",""),"gmt",""),"myt",""),"bst",""),"rev",""),"ver",""),"b","a"),"c","a"),"d","a"),"e","a"),"f","a"),"g","a"),"h","a"),"i","a"),"j","a"),"k","a"),"l","a"),"m","a"),"n","a"),"o","a"),"p","a"),"q","a"),"r","a"),"s","a"),"t","a"),"u","a"),"v","a"),"w","a"),"x","a"),"y","a"),"z","a")</f>
        <v/>
      </c>
      <c r="BU594" s="61" t="str">
        <f aca="false">SUBSTITUTE(SUBSTITUTE(SUBSTITUTE(SUBSTITUTE(SUBSTITUTE(SUBSTITUTE(SUBSTITUTE(SUBSTITUTE(SUBSTITUTE(SUBSTITUTE(LEFT(BM594,FIND("0",BM594&amp;"0")-1),"-",""),"_",""),"/",""),".",""),"#",""),"\\",""),":","")," ",""),"(",""),")","")</f>
        <v/>
      </c>
      <c r="BV594" s="61" t="n">
        <f aca="false">0</f>
        <v>0</v>
      </c>
      <c r="BW5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594&amp;""),"a",""),"b",""),"c",""),"d",""),"e",""),"f",""),"g",""),"h",""),"i",""),"j",""),"k",""),"l",""),"m",""),"n",""),"o",""),"p",""),"q",""),"r",""),"s",""),"t",""),"u",""),"v",""),"w",""),"x",""),"y",""),"z",""),"-",""),"_",""),"/",""),".",""),"#",""),"\\",""),":","")," ",""),"(",""),")","")</f>
        <v/>
      </c>
      <c r="BX594" s="61" t="str">
        <f aca="false">SUBSTITUTE(SUBSTITUTE(SUBSTITUTE(SUBSTITUTE(SUBSTITUTE(SUBSTITUTE(SUBSTITUTE(SUBSTITUTE(SUBSTITUTE(SUBSTITUTE(SUBSTITUTE(BM594,"0",""),"-",""),"_",""),"/",""),".",""),"#",""),"\\",""),":","")," ",""),"(",""),")","")</f>
        <v/>
      </c>
      <c r="BY594" s="62" t="n">
        <f aca="false">Q594-T12EarlyH/24</f>
        <v>46321.6006944444</v>
      </c>
      <c r="BZ594" s="61" t="n">
        <f aca="false">IFERROR(IF(IF(TRIM(S594)="Link / file path",AND(LEN(TRIM(Z594))&gt;=5,SUMPRODUCT(--ISNUMBER(SEARCH({"http","www.","\\",":\",".pdf",".jpg",".jpeg",".png",".heic",".xls",".doc",".msg",".eml",".ppt",".txt",".zip"},Z594)))&gt;0),AND(ISERROR(FIND(" ",TRIM(Z594))),NOT(OR(SUMPRODUCT(--ISNUMBER(FIND({",",";","&amp;","+"},Z594)))&gt;0,SUMPRODUCT(--ISNUMBER(SEARCH({"0/aa","0\\aa"},BN594)))&gt;0)),NOT(SUMPRODUCT(--ISNUMBER(SEARCH({"http","www.","\\",":\",".pdf",".jpg",".jpeg",".png",".heic",".xls",".doc",".msg",".eml",".ppt",".txt",".zip"},Z594)))&gt;0),NOT(LOWER(TRIM(Z594))=LOWER(Flights!$F$22)),ISNA(MATCH(BU594,{"mh","rev","revision","ver","version","v","r","a","b","seat","tray","row","gate","bay","stand","page","pg","item","line","no","cart","galley","flight","flt","table","box","bag","oven","etd","eta","std","sta","atd","ata","qty","pax","x","time","tel","ph","mob","day","wk","week","utc","gmt","myt","lt"},0)),NOT(OR(ISNUMBER(MATCH(LEFT(BN594,255),{"0000a","000a","00a","0000aa","000aa","00aa","0aa","0000aaa","000aaa","00a00","0a00","0000-0000","00:00","a00","a0","00.00.0000","00/00/0000","00-00-0000","0000-00-00","0000/00/00","0000.00.00","00.00.00","00/00/00","00-00-00","0.00.0000","0/00/0000","0-00-0000"},0)),ISNUMBER(MATCH(LEFT(BT594,255),{"0000a","000a","00a","0000aa","000aa","00aa","0aa","0000aaa","000aaa","00a00","0a00","0000-0000","00:00","a00","a0","00.00.0000","00/00/0000","00-00-0000","0000-00-00","0000/00/00","0000.00.00","00.00.00","00/00/00","00-00-00","0.00.0000","0/00/0000","0-00-0000"},0)))),NOT(OR(AND(BW594&lt;&gt;"",SUBSTITUTE(BW594,"0","")=""),AND(LEN(BW594)&gt;=4,BW594=REPT(LEFT(BW594),LEN(BW594))),ISNUMBER(MATCH(BW594,{"123","1234","12345","123456","1234567","12345678","0123","01234","012345","98765","987654","54321"},0)),ISNUMBER(MATCH(BX594,{"x","xx","xxx","xxxx","xxxxx","abc","abcd","nil","na","nan","test","tbc","tba","tbd","dummy","sample","example","eg","zz","zzz","none","null","xyz","qwe","asd","id","ref"},0)),AND(LEN(BW594)=8,BX594="",OR(LEFT(BW594,3)="202",ISNUMBER(MATCH(RIGHT(BW594,4),{"2025","2026","2027"},0)))))),OR(AND((LEN(BT594)-LEN(SUBSTITUTE(BT594,"a","")))&gt;=1,(LEN(BN594)-LEN(SUBSTITUTE(BN594,"0","")))&gt;=2,SUMPRODUCT(--ISNUMBER(SEARCH({"a0","a-0","a_0","a/0","a.0","a#0","0a","0-a","0_a","0/a"},BN594)))&gt;0),AND((LEN(BN594)-LEN(SUBSTITUTE(BN594,"a","")))=0,(LEN(BN594)-LEN(SUBSTITUTE(BN594,"0","")))&gt;=5)))),1,0),0)</f>
        <v>0</v>
      </c>
      <c r="CA5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594,"revision",""),"version",""),"jan",""),"feb",""),"mar",""),"apr",""),"may",""),"jun",""),"jul",""),"aug",""),"sep",""),"oct",""),"nov",""),"dec",""),"utc",""),"gmt",""),"myt",""),"bst",""),"rev",""),"ver",""),"b","a"),"c","a"),"d","a"),"e","a"),"f","a"),"g","a"),"h","a"),"i","a"),"j","a"),"k","a"),"l","a"),"m","a"),"n","a"),"o","a"),"p","a"),"q","a"),"r","a"),"s","a"),"t","a"),"u","a"),"v","a"),"w","a"),"x","a"),"y","a"),"z","a")</f>
        <v/>
      </c>
      <c r="CB5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594&amp;""),"a",""),"b",""),"c",""),"d",""),"e",""),"f",""),"g",""),"h",""),"i",""),"j",""),"k",""),"l",""),"m",""),"n",""),"o",""),"p",""),"q",""),"r",""),"s",""),"t",""),"u",""),"v",""),"w",""),"x",""),"y",""),"z",""),"-",""),"_",""),"/",""),".",""),"#",""),"\\",""),":","")," ",""),"(",""),")","")</f>
        <v/>
      </c>
      <c r="CC594" s="0" t="str">
        <f aca="false">" "&amp;TRIM(SUBSTITUTE(SUBSTITUTE(SUBSTITUTE(SUBSTITUTE(SUBSTITUTE(SUBSTITUTE(SUBSTITUTE(SUBSTITUTE(SUBSTITUTE(SUBSTITUTE(SUBSTITUTE(SUBSTITUTE(SUBSTITUTE(SUBSTITUTE(SUBSTITUTE(SUBSTITUTE(SUBSTITUTE(SUBSTITUTE(SUBSTITUTE(SUBSTITUTE(SUBSTITUTE(SUBSTITUTE(SUBSTITUTE(SUBSTITUTE(LOWER(T594&amp;""),CHAR(10)," "),CHAR(13)," "),CHAR(9)," "),CHAR(160)," "),"."," "),","," "),"-"," "),"/"," "),"("," "),")"," "),":"," "),";"," "),"_"," "),"–"," "),"?"," "),"!"," "),"*"," "),"["," "),"]"," "),"'"," "),"#"," "),"+"," "),"&amp;"," "),"\"," "))&amp;" "</f>
        <v>  </v>
      </c>
      <c r="CD594" s="0" t="str">
        <f aca="false">" "&amp;TRIM(SUBSTITUTE(SUBSTITUTE(SUBSTITUTE(SUBSTITUTE(SUBSTITUTE(SUBSTITUTE(SUBSTITUTE(SUBSTITUTE(SUBSTITUTE(SUBSTITUTE(SUBSTITUTE(SUBSTITUTE(SUBSTITUTE(SUBSTITUTE(SUBSTITUTE(SUBSTITUTE(SUBSTITUTE(SUBSTITUTE(SUBSTITUTE(SUBSTITUTE(SUBSTITUTE(SUBSTITUTE(SUBSTITUTE(SUBSTITUTE(LOWER(AE594&amp;""),CHAR(10)," "),CHAR(13)," "),CHAR(9)," "),CHAR(160)," "),"."," "),","," "),"-"," "),"/"," "),"("," "),")"," "),":"," "),";"," "),"_"," "),"–"," "),"?"," "),"!"," "),"*"," "),"["," "),"]"," "),"'"," "),"#"," "),"+"," "),"&amp;"," "),"\"," "))&amp;" "</f>
        <v>  </v>
      </c>
      <c r="CE594" s="68" t="n">
        <f aca="false">IFERROR(IF(AND(LEN(AU594)&gt;0,LEN(AU594)=LEN(AX594),OR(TRIM(MID(SUBSTITUTE(TRIM(CC594)," ",REPT(" ",60)),1,60))="",ISNUMBER(SEARCH(" "&amp;TRIM(MID(SUBSTITUTE(TRIM(CC594)," ",REPT(" ",60)),1,60))&amp;" ",CD594))),OR(TRIM(MID(SUBSTITUTE(TRIM(CC594)," ",REPT(" ",60)),61,60))="",ISNUMBER(SEARCH(" "&amp;TRIM(MID(SUBSTITUTE(TRIM(CC594)," ",REPT(" ",60)),61,60))&amp;" ",CD594))),OR(TRIM(MID(SUBSTITUTE(TRIM(CC594)," ",REPT(" ",60)),121,60))="",ISNUMBER(SEARCH(" "&amp;TRIM(MID(SUBSTITUTE(TRIM(CC594)," ",REPT(" ",60)),121,60))&amp;" ",CD594)))),1,0),0)</f>
        <v>0</v>
      </c>
      <c r="CG594" s="68" t="n">
        <f aca="false">IFERROR(LEN(SUBSTITUTE(BF594," ",""))-SUMPRODUCT((LEN(BF594)-LEN(SUBSTITUTE(BF594," "&amp;L_NAFiller&amp;" "," ")))/(LEN(L_NAFiller)+1)*LEN(L_NAFiller)),0)</f>
        <v>0</v>
      </c>
    </row>
    <row r="595" customFormat="false" ht="41.25" hidden="false" customHeight="true" outlineLevel="0" collapsed="false">
      <c r="A595" s="57" t="s">
        <v>1293</v>
      </c>
      <c r="B595" s="57" t="s">
        <v>293</v>
      </c>
      <c r="C595" s="57" t="str">
        <f aca="false">Flights!$F$22</f>
        <v>MH0052</v>
      </c>
      <c r="D595" s="58" t="n">
        <f aca="false">Flights!$D$22</f>
        <v>46322</v>
      </c>
      <c r="E595" s="57" t="str">
        <f aca="false">Flights!$G$22&amp;"-"&amp;Flights!$H$22</f>
        <v>KUL-KIX</v>
      </c>
      <c r="F595" s="57" t="str">
        <f aca="false">Flights!$K$22</f>
        <v>BC</v>
      </c>
      <c r="G595" s="57" t="s">
        <v>420</v>
      </c>
      <c r="H595" s="57" t="s">
        <v>378</v>
      </c>
      <c r="I595" s="57" t="s">
        <v>499</v>
      </c>
      <c r="J595" s="57" t="s">
        <v>511</v>
      </c>
      <c r="K595" s="67" t="s">
        <v>501</v>
      </c>
      <c r="L595" s="67" t="s">
        <v>1294</v>
      </c>
      <c r="M595" s="67" t="s">
        <v>451</v>
      </c>
      <c r="N595" s="67" t="s">
        <v>383</v>
      </c>
      <c r="O595" s="67" t="s">
        <v>503</v>
      </c>
      <c r="P595" s="57" t="s">
        <v>187</v>
      </c>
      <c r="Q595" s="59" t="n">
        <f aca="false">ROUND((Flights!$AE$22)*1440,0)/1440</f>
        <v>46322.1006944444</v>
      </c>
      <c r="R595" s="59" t="n">
        <f aca="false">Q595+(IF(AND(INDEX(TZ_DSTS,MATCH(P595,TZ_STN,0))&lt;&gt;"",Q595&gt;=INDEX(TZ_DSTS,MATCH(P595,TZ_STN,0)),Q595&lt;INDEX(TZ_DSTE,MATCH(P595,TZ_STN,0))),INDEX(TZ_DST,MATCH(P595,TZ_STN,0)),INDEX(TZ_STD,MATCH(P595,TZ_STN,0))))/24</f>
        <v>46322.4340277778</v>
      </c>
      <c r="S595" s="60"/>
      <c r="T595" s="60"/>
      <c r="U595" s="60"/>
      <c r="V595" s="60"/>
      <c r="W595" s="61"/>
      <c r="X595" s="60"/>
      <c r="Y595" s="60"/>
      <c r="Z595" s="60"/>
      <c r="AA595" s="60"/>
      <c r="AB595" s="60"/>
      <c r="AC595" s="60"/>
      <c r="AD595" s="66"/>
      <c r="AE595" s="60"/>
      <c r="AF595" s="61" t="str">
        <f aca="false">IF(AND(ISNUMBER(X595),ISNUMBER(Y595)),Y595-X595,"")</f>
        <v/>
      </c>
      <c r="AG595" s="62" t="str">
        <f aca="false">IF(ISNUMBER(AD595),AD595-(IF(AND(INDEX(TZ_DSTS,MATCH(P595,TZ_STN,0))&lt;&gt;"",(AD595-INDEX(TZ_STD,MATCH(P595,TZ_STN,0))/24)&gt;=INDEX(TZ_DSTS,MATCH(P595,TZ_STN,0)),(AD595-INDEX(TZ_STD,MATCH(P595,TZ_STN,0))/24)&lt;INDEX(TZ_DSTE,MATCH(P595,TZ_STN,0))),INDEX(TZ_DST,MATCH(P595,TZ_STN,0)),INDEX(TZ_STD,MATCH(P595,TZ_STN,0))))/24,"")</f>
        <v/>
      </c>
      <c r="AH595" s="65" t="str">
        <f aca="false">IFERROR(IF(N595="N/A – rule",IF(OR(TRIM(U595)="",TRIM(U595)="N/A",TRIM(U595)="Not started"),"N/A – RULE","INVALID – this check does not apply to this aircraft: clear the status (or correct the fleet on Flights)"),IF(TRIM(U595)="N/A",IF(AT595=0,"INVALID – N/A not permitted for this check",IF(AND(TRIM(AB595)&lt;&gt;"",TRIM(AB595)&lt;&gt;"Closed"),"INVALID – corrective action still open",IF(AND(NOT(OR(LEN(AZ595)&lt;15,ISNUMBER(MATCH(AZ595,L_Placeholder,0)))),BK595=0,CG595&gt;=8,NOT(OR(LEN(AU595)&lt;2,ISNUMBER(MATCH(AU595,L_Placeholder,0)))),BR595&gt;=3,NOT(OR(LEN(AX595)&lt;2,ISNUMBER(MATCH(AX595,L_Placeholder,0)))),BS595&gt;=3,TRIM(AE595)&lt;&gt;TRIM(T595),AX595&lt;&gt;AU595,CE595=0),"N/A – JUSTIFIED","INVALID – N/A needs a real, settled reason (not 'not applicable' / 'as above' / TBC), a named PIC and a different named verifier"))),IF(OR(TRIM(U595)="Pass",TRIM(U595)="Pass after CA"),IF(NOT(ISNUMBER(AD595)),"INVALID – completion time missing",IF(OR(OR(LEN(AU595)&lt;2,ISNUMBER(MATCH(AU595,L_Placeholder,0))),BR595&lt;3),"INVALID – PIC missing or not a named person (a role such as QA / CSM is not a name)",IF(OR(LEN(AV595)&lt;2,ISNUMBER(MATCH(AV595,L_Placeholder,0))),"INVALID – result / assessment missing",IF(OR(OR(LEN(AW595)&lt;3,ISNUMBER(MATCH(AW595,L_Placeholder,0))),SUMPRODUCT(--ISNUMBER(SEARCH(" "&amp;L_EvidencePhrase&amp;" ",BD595)))&gt;0,BI595=1),"INVALID – evidence missing, placeholder or not yet on file",IF(ISNA(MATCH(TRIM(S595),L_EvidenceType,0)),"INVALID – choose the evidence type from the list (column S)",IF(BL595=0,"INVALID – evidence ID must be the record's own ID only (e.g. SF-2210, IMG_2231, 1045521); a link / file name needs type 'Link / file path'",IF(OR(OR(LEN(AX595)&lt;2,ISNUMBER(MATCH(AX595,L_Placeholder,0))),BS595&lt;3),"INVALID – verifier missing or not a named person (a role such as QA / CSM is not a name)",IF(OR(AX595=AU595,CE595=1,AND(LEN(AU595)&gt;=4,ISNUMBER(SEARCH(AU595,AX595))),AND(LEN(AX595)&gt;=4,ISNUMBER(SEARCH(AX595,AU595)))),"INVALID – verifier must be a different, named person (not the PIC or a role)",IF(BH595=1,"INVALID – result not yet available (awaiting / TBC)",IF(BG595=1,"INVALID – result describes a problem: record Fail, then Pass after CA (or reword if it is not a problem)",IF(BV595=1,"INVALID – wording says not on board: an on-board confirmation needs the item loaded",IF(AND(AQ595=1,OR(OR(LEN(AY595)&lt;3,ISNUMBER(MATCH(AY595,L_Placeholder,0))),BJ595=1,BQ595=0)),"INVALID – batch ID missing, placeholder or not an ID (e.g. PASB-261008-BC-017)",IF(AND(AR595=1,OR(NOT(ISNUMBER(X595)),NOT(ISNUMBER(Y595)))),"INVALID – expected/actual qty missing",IF(AND(AR595=1,OR(X595&lt;=0,Y595&lt;0)),"INVALID – expected qty must be above 0 and actual not negative",IF(BB595&lt;&gt;"",BB595,IF(AND(AS595=1,Documents!$J$22&lt;&gt;"ON FILE"),"INVALID – GLD not on file (Documents sheet)",IF(AND(AS595=2,Documents!$O$22&lt;&gt;"ON FILE"),"INVALID – menu checklist not on file (Documents sheet)",IF(AND(AS595=3,NOT(ISNUMBER(Flights!$AX$22))),"INVALID – enter carrying flight KUL departure (Flights AX)",IF(AND(AS595=3,OR(Flights!$AZ$22&gt;Flights!$AA$22,Flights!$AX$22&lt;Flights!$AA$22-3)),"INVALID – carrying flight (Flights AX) cannot arrive before this leg's STD, or is over 3 days early",IF(AG595&gt;AsOfUTC,"INVALID – completion time is in the future",IF(AND(ISNUMBER(BY595),AG595&lt;BY595),IF(H595="Physical uplift","INVALID – before uplift window (cannot confirm loading)","INVALID – before valid window"),IF(AG595&gt;Flights!$AA$22,"INVALID – completed after departure (cannot establish readiness)",IF(AND(H595="Preparation",AG595&gt;=IF(ISNUMBER(Flights!$BA$22),MIN(Flights!$BA$22,Flights!$AA$22),Flights!$AA$22)),"INVALID – completed after loading / departure (cannot establish readiness)",IF(AND(H595="Physical uplift",AG595&gt;Q595),"INVALID – recorded after the loading flight departed",IF(AG595&gt;Q595,"COMPLETE – LATE","COMPLETE"))))))))))))))))))))))))),IF(TRIM(U595)="Fail","FAIL – DISCREPANCY",IF(AND(TRIM(U595)&lt;&gt;"",TRIM(U595)&lt;&gt;"Not started",TRIM(U595)&lt;&gt;"In progress"),"INVALID – unrecognised status (use the list)",IF(AsOfUTC&gt;Q595,"OVERDUE",IF(N595="Clarification required","OPEN – CLARIFICATION","OPEN"))))))),"INVALID – error value in an input cell")</f>
        <v>OPEN</v>
      </c>
      <c r="AI595" s="61" t="n">
        <f aca="false">IF(OR(AH595="N/A – RULE",AH595="N/A – JUSTIFIED"),0,1)</f>
        <v>1</v>
      </c>
      <c r="AJ595" s="61" t="n">
        <f aca="false">IF(LEFT(AH595,8)="COMPLETE",1,0)</f>
        <v>0</v>
      </c>
      <c r="AK595" s="61" t="n">
        <f aca="false">IF(AND(AI595=1,AJ595=0,AsOfUTC&gt;Q595),1,0)</f>
        <v>0</v>
      </c>
      <c r="AL595" s="61" t="n">
        <f aca="false">IFERROR(IF(AND(AI595=1,OR(TRIM(U595)="Fail",AND(TRIM(AB595)&lt;&gt;"",TRIM(AB595)&lt;&gt;"Closed"),AND(ISNUMBER(AF595),AF595&lt;&gt;0,TRIM(U595)&lt;&gt;"Pass after CA"))),1,0),1)</f>
        <v>0</v>
      </c>
      <c r="AM595" s="61" t="n">
        <f aca="false">IF(LEFT(AH595,7)="INVALID",1,0)</f>
        <v>0</v>
      </c>
      <c r="AN595" s="61" t="n">
        <f aca="false">IF(AND(N595="Clarification required",AI595=1,AJ595=0),1,0)</f>
        <v>0</v>
      </c>
      <c r="AO595" s="61" t="str">
        <f aca="false">IF(AK595=1,SUM(AK$5:AK595),"")</f>
        <v/>
      </c>
      <c r="AP595" s="61" t="str">
        <f aca="false">IF(AL595=1,SUM(AL$5:AL595),"")</f>
        <v/>
      </c>
      <c r="AQ595" s="61" t="n">
        <v>0</v>
      </c>
      <c r="AR595" s="61" t="n">
        <v>0</v>
      </c>
      <c r="AS595" s="61" t="n">
        <v>0</v>
      </c>
      <c r="AT595" s="61" t="n">
        <v>0</v>
      </c>
      <c r="AU595" s="61" t="str">
        <f aca="false">SUBSTITUTE(SUBSTITUTE(SUBSTITUTE(SUBSTITUTE(SUBSTITUTE(SUBSTITUTE(SUBSTITUTE(SUBSTITUTE(SUBSTITUTE(SUBSTITUTE(SUBSTITUTE(SUBSTITUTE(SUBSTITUTE(SUBSTITUTE(SUBSTITUTE(SUBSTITUTE(LOWER(T595&amp;""),CHAR(10),""),CHAR(13),""),CHAR(9),""),CHAR(160),"")," ",""),".",""),"-",""),"/",""),"?",""),"_",""),",",""),"[",""),"]",""),"(",""),")",""),"*","")</f>
        <v/>
      </c>
      <c r="AV595" s="61" t="str">
        <f aca="false">SUBSTITUTE(SUBSTITUTE(SUBSTITUTE(SUBSTITUTE(SUBSTITUTE(SUBSTITUTE(SUBSTITUTE(SUBSTITUTE(SUBSTITUTE(SUBSTITUTE(SUBSTITUTE(SUBSTITUTE(SUBSTITUTE(SUBSTITUTE(SUBSTITUTE(SUBSTITUTE(LOWER(V595&amp;""),CHAR(10),""),CHAR(13),""),CHAR(9),""),CHAR(160),"")," ",""),".",""),"-",""),"/",""),"?",""),"_",""),",",""),"[",""),"]",""),"(",""),")",""),"*","")</f>
        <v/>
      </c>
      <c r="AW595" s="61" t="str">
        <f aca="false">SUBSTITUTE(SUBSTITUTE(SUBSTITUTE(SUBSTITUTE(SUBSTITUTE(SUBSTITUTE(SUBSTITUTE(SUBSTITUTE(SUBSTITUTE(SUBSTITUTE(SUBSTITUTE(SUBSTITUTE(SUBSTITUTE(SUBSTITUTE(SUBSTITUTE(SUBSTITUTE(LOWER(Z595&amp;""),CHAR(10),""),CHAR(13),""),CHAR(9),""),CHAR(160),"")," ",""),".",""),"-",""),"/",""),"?",""),"_",""),",",""),"[",""),"]",""),"(",""),")",""),"*","")</f>
        <v/>
      </c>
      <c r="AX595" s="61" t="str">
        <f aca="false">SUBSTITUTE(SUBSTITUTE(SUBSTITUTE(SUBSTITUTE(SUBSTITUTE(SUBSTITUTE(SUBSTITUTE(SUBSTITUTE(SUBSTITUTE(SUBSTITUTE(SUBSTITUTE(SUBSTITUTE(SUBSTITUTE(SUBSTITUTE(SUBSTITUTE(SUBSTITUTE(LOWER(AE595&amp;""),CHAR(10),""),CHAR(13),""),CHAR(9),""),CHAR(160),"")," ",""),".",""),"-",""),"/",""),"?",""),"_",""),",",""),"[",""),"]",""),"(",""),")",""),"*","")</f>
        <v/>
      </c>
      <c r="AY595" s="61" t="str">
        <f aca="false">SUBSTITUTE(SUBSTITUTE(SUBSTITUTE(SUBSTITUTE(SUBSTITUTE(SUBSTITUTE(SUBSTITUTE(SUBSTITUTE(SUBSTITUTE(SUBSTITUTE(SUBSTITUTE(SUBSTITUTE(SUBSTITUTE(SUBSTITUTE(SUBSTITUTE(SUBSTITUTE(LOWER(W595&amp;""),CHAR(10),""),CHAR(13),""),CHAR(9),""),CHAR(160),"")," ",""),".",""),"-",""),"/",""),"?",""),"_",""),",",""),"[",""),"]",""),"(",""),")",""),"*","")</f>
        <v/>
      </c>
      <c r="AZ595" s="61" t="str">
        <f aca="false">SUBSTITUTE(SUBSTITUTE(SUBSTITUTE(SUBSTITUTE(SUBSTITUTE(SUBSTITUTE(SUBSTITUTE(SUBSTITUTE(SUBSTITUTE(SUBSTITUTE(SUBSTITUTE(SUBSTITUTE(SUBSTITUTE(SUBSTITUTE(SUBSTITUTE(SUBSTITUTE(LOWER(AC595&amp;""),CHAR(10),""),CHAR(13),""),CHAR(9),""),CHAR(160),"")," ",""),".",""),"-",""),"/",""),"?",""),"_",""),",",""),"[",""),"]",""),"(",""),")",""),"*","")</f>
        <v/>
      </c>
      <c r="BA595" s="61" t="str">
        <f aca="false">SUBSTITUTE(SUBSTITUTE(SUBSTITUTE(SUBSTITUTE(SUBSTITUTE(SUBSTITUTE(SUBSTITUTE(SUBSTITUTE(SUBSTITUTE(SUBSTITUTE(SUBSTITUTE(SUBSTITUTE(SUBSTITUTE(SUBSTITUTE(SUBSTITUTE(SUBSTITUTE(LOWER(AA595&amp;""),CHAR(10),""),CHAR(13),""),CHAR(9),""),CHAR(160),"")," ",""),".",""),"-",""),"/",""),"?",""),"_",""),",",""),"[",""),"]",""),"(",""),")",""),"*","")</f>
        <v/>
      </c>
      <c r="BB595" s="61" t="str">
        <f aca="false">IF(AND(TRIM(U595)="Pass",ISNUMBER(AF595)),IF(AF595&lt;&gt;0,"INVALID – qty variance: use Fail or Pass after CA",""),"")&amp;IF(AND(TRIM(U595)="Pass after CA",ISNUMBER(AF595)),IF(AF595&lt;&gt;0,"INVALID – after the corrective action the actual qty must equal expected (update Actual)",""),"")&amp;IF(AND(TRIM(U595)="Pass",TRIM(AB595)&lt;&gt;"",TRIM(AB595)&lt;&gt;"Closed"),"INVALID – corrective action not closed: use Fail, then Pass after CA","")&amp;IF(AND(LEN(BA595)&gt;=2,ISNA(MATCH(LEFT(BA595,255),L_Placeholder,0)),TRIM(AB595)=""),"INVALID – CA status missing for the recorded corrective action","")&amp;IF(AND(TRIM(U595)="Pass after CA",OR(OR(LEN(BA595)&lt;5,ISNUMBER(MATCH(BA595,L_Placeholder,0))),TRIM(AB595)&lt;&gt;"Closed")),"INVALID – corrective action not recorded/closed","")</f>
        <v/>
      </c>
      <c r="BC595" s="61" t="str">
        <f aca="false">" "&amp;TRIM(SUBSTITUTE(SUBSTITUTE(SUBSTITUTE(SUBSTITUTE(SUBSTITUTE(SUBSTITUTE(SUBSTITUTE(SUBSTITUTE(SUBSTITUTE(SUBSTITUTE(SUBSTITUTE(SUBSTITUTE(SUBSTITUTE(SUBSTITUTE(SUBSTITUTE(SUBSTITUTE(SUBSTITUTE(SUBSTITUTE(SUBSTITUTE(SUBSTITUTE(SUBSTITUTE(SUBSTITUTE(SUBSTITUTE(SUBSTITUTE(LOWER(V595&amp;""),CHAR(10)," "),CHAR(13)," "),CHAR(9)," "),CHAR(160)," "),"."," "),","," "),"-"," "),"/"," "),"("," "),")"," "),":"," "),";"," "),"_"," "),"–"," "),"?"," "),"!"," "),"*"," "),"["," "),"]"," "),"'"," "),"#"," "),"+"," "),"&amp;"," "),"\"," "))&amp;" "</f>
        <v>  </v>
      </c>
      <c r="BD595" s="61" t="str">
        <f aca="false">" "&amp;TRIM(SUBSTITUTE(SUBSTITUTE(SUBSTITUTE(SUBSTITUTE(SUBSTITUTE(SUBSTITUTE(SUBSTITUTE(SUBSTITUTE(SUBSTITUTE(SUBSTITUTE(SUBSTITUTE(SUBSTITUTE(SUBSTITUTE(SUBSTITUTE(SUBSTITUTE(SUBSTITUTE(SUBSTITUTE(SUBSTITUTE(SUBSTITUTE(SUBSTITUTE(SUBSTITUTE(SUBSTITUTE(SUBSTITUTE(SUBSTITUTE(LOWER(Z595&amp;""),CHAR(10)," "),CHAR(13)," "),CHAR(9)," "),CHAR(160)," "),"."," "),","," "),"-"," "),"/"," "),"("," "),")"," "),":"," "),";"," "),"_"," "),"–"," "),"?"," "),"!"," "),"*"," "),"["," "),"]"," "),"'"," "),"#"," "),"+"," "),"&amp;"," "),"\"," "))&amp;" "</f>
        <v>  </v>
      </c>
      <c r="BE595" s="61" t="str">
        <f aca="false">" "&amp;TRIM(SUBSTITUTE(SUBSTITUTE(SUBSTITUTE(SUBSTITUTE(SUBSTITUTE(SUBSTITUTE(SUBSTITUTE(SUBSTITUTE(SUBSTITUTE(SUBSTITUTE(SUBSTITUTE(SUBSTITUTE(SUBSTITUTE(SUBSTITUTE(SUBSTITUTE(SUBSTITUTE(SUBSTITUTE(SUBSTITUTE(SUBSTITUTE(SUBSTITUTE(SUBSTITUTE(SUBSTITUTE(SUBSTITUTE(SUBSTITUTE(LOWER(W595&amp;""),CHAR(10)," "),CHAR(13)," "),CHAR(9)," "),CHAR(160)," "),"."," "),","," "),"-"," "),"/"," "),"("," "),")"," "),":"," "),";"," "),"_"," "),"–"," "),"?"," "),"!"," "),"*"," "),"["," "),"]"," "),"'"," "),"#"," "),"+"," "),"&amp;"," "),"\"," "))&amp;" "</f>
        <v>  </v>
      </c>
      <c r="BF595" s="61" t="str">
        <f aca="false">" "&amp;TRIM(SUBSTITUTE(SUBSTITUTE(SUBSTITUTE(SUBSTITUTE(SUBSTITUTE(SUBSTITUTE(SUBSTITUTE(SUBSTITUTE(SUBSTITUTE(SUBSTITUTE(SUBSTITUTE(SUBSTITUTE(SUBSTITUTE(SUBSTITUTE(SUBSTITUTE(SUBSTITUTE(SUBSTITUTE(SUBSTITUTE(SUBSTITUTE(SUBSTITUTE(SUBSTITUTE(SUBSTITUTE(SUBSTITUTE(SUBSTITUTE(LOWER(AC595&amp;""),CHAR(10)," "),CHAR(13)," "),CHAR(9)," "),CHAR(160)," "),"."," "),","," "),"-"," "),"/"," "),"("," "),")"," "),":"," "),";"," "),"_"," "),"–"," "),"?"," "),"!"," "),"*"," "),"["," "),"]"," "),"'"," "),"#"," "),"+"," "),"&amp;"," "),"\"," "))&amp;" "</f>
        <v>  </v>
      </c>
      <c r="BG595" s="61" t="n">
        <f aca="false">IFERROR(IF(AND(TRIM(U595)="Pass",SUMPRODUCT((LEN(BC595)-LEN(SUBSTITUTE(BC595," "&amp;L_ResultBad&amp;" "," ")))/(LEN(L_ResultBad)+1))&gt;SUMPRODUCT((LEN(BC595)-LEN(SUBSTITUTE(BC595," "&amp;L_NegPhrase&amp;" "," ")))/(LEN(L_NegPhrase)+1))),1,0),0)</f>
        <v>0</v>
      </c>
      <c r="BH595" s="61" t="n">
        <f aca="false">IFERROR(IF(SUMPRODUCT((LEN(BC595)-LEN(SUBSTITUTE(BC595," "&amp;L_Pending&amp;" "," ")))/(LEN(L_Pending)+1))&gt;SUMPRODUCT((LEN(BC595)-LEN(SUBSTITUTE(BC595," "&amp;L_PendNeg&amp;" "," ")))/(LEN(L_PendNeg)+1))+SUMPRODUCT((LEN(BC595)-LEN(SUBSTITUTE(BC595," "&amp;L_PendPrep&amp;" "," ")))/(LEN(L_PendPrep)+1)),1,0),1)</f>
        <v>0</v>
      </c>
      <c r="BI595" s="61" t="n">
        <f aca="false">IFERROR(IF(SUMPRODUCT((LEN(BD595)-LEN(SUBSTITUTE(BD595," "&amp;L_PendStrict&amp;" "," ")))/(LEN(L_PendStrict)+1))&gt;SUMPRODUCT((LEN(BD595)-LEN(SUBSTITUTE(BD595," "&amp;L_PendNeg&amp;" "," ")))/(LEN(L_PendNeg)+1)),1,0),1)</f>
        <v>0</v>
      </c>
      <c r="BJ595" s="61" t="n">
        <f aca="false">IFERROR(IF(SUMPRODUCT((LEN(BE595)-LEN(SUBSTITUTE(BE595," "&amp;L_Pending&amp;" "," ")))/(LEN(L_Pending)+1))&gt;SUMPRODUCT((LEN(BE595)-LEN(SUBSTITUTE(BE595," "&amp;L_PendNeg&amp;" "," ")))/(LEN(L_PendNeg)+1))+SUMPRODUCT((LEN(BE595)-LEN(SUBSTITUTE(BE595," "&amp;L_PendPrep&amp;" "," ")))/(LEN(L_PendPrep)+1)),1,0),1)</f>
        <v>0</v>
      </c>
      <c r="BK595" s="61" t="n">
        <f aca="false">IFERROR(IF(SUMPRODUCT((LEN(BF595)-LEN(SUBSTITUTE(BF595," "&amp;L_PendStrict&amp;" "," ")))/(LEN(L_PendStrict)+1))&gt;SUMPRODUCT((LEN(BF595)-LEN(SUBSTITUTE(BF595," "&amp;L_PendNeg&amp;" "," ")))/(LEN(L_PendNeg)+1)),1,0),1)</f>
        <v>0</v>
      </c>
      <c r="BL595" s="61" t="n">
        <f aca="false">IF(ISNA(MATCH(TRIM(S595),L_EvidenceType,0)),0,BZ595)</f>
        <v>0</v>
      </c>
      <c r="BM595" s="61" t="str">
        <f aca="false">SUBSTITUTE(SUBSTITUTE(SUBSTITUTE(SUBSTITUTE(SUBSTITUTE(SUBSTITUTE(SUBSTITUTE(SUBSTITUTE(SUBSTITUTE(LOWER(Z595&amp;""),"1","0"),"2","0"),"3","0"),"4","0"),"5","0"),"6","0"),"7","0"),"8","0"),"9","0")</f>
        <v/>
      </c>
      <c r="BN595" s="61" t="str">
        <f aca="false">SUBSTITUTE(SUBSTITUTE(SUBSTITUTE(SUBSTITUTE(SUBSTITUTE(SUBSTITUTE(SUBSTITUTE(SUBSTITUTE(SUBSTITUTE(SUBSTITUTE(SUBSTITUTE(SUBSTITUTE(SUBSTITUTE(SUBSTITUTE(SUBSTITUTE(SUBSTITUTE(SUBSTITUTE(SUBSTITUTE(SUBSTITUTE(SUBSTITUTE(SUBSTITUTE(SUBSTITUTE(SUBSTITUTE(SUBSTITUTE(SUBSTITUTE(BM595,"b","a"),"c","a"),"d","a"),"e","a"),"f","a"),"g","a"),"h","a"),"i","a"),"j","a"),"k","a"),"l","a"),"m","a"),"n","a"),"o","a"),"p","a"),"q","a"),"r","a"),"s","a"),"t","a"),"u","a"),"v","a"),"w","a"),"x","a"),"y","a"),"z","a")</f>
        <v/>
      </c>
      <c r="BO595" s="61" t="str">
        <f aca="false">SUBSTITUTE(SUBSTITUTE(SUBSTITUTE(SUBSTITUTE(SUBSTITUTE(SUBSTITUTE(SUBSTITUTE(SUBSTITUTE(SUBSTITUTE(LOWER(W595&amp;""),"1","0"),"2","0"),"3","0"),"4","0"),"5","0"),"6","0"),"7","0"),"8","0"),"9","0")</f>
        <v/>
      </c>
      <c r="BP595" s="61" t="str">
        <f aca="false">SUBSTITUTE(SUBSTITUTE(SUBSTITUTE(SUBSTITUTE(SUBSTITUTE(SUBSTITUTE(SUBSTITUTE(SUBSTITUTE(SUBSTITUTE(SUBSTITUTE(SUBSTITUTE(SUBSTITUTE(SUBSTITUTE(SUBSTITUTE(SUBSTITUTE(SUBSTITUTE(SUBSTITUTE(SUBSTITUTE(SUBSTITUTE(SUBSTITUTE(SUBSTITUTE(SUBSTITUTE(SUBSTITUTE(SUBSTITUTE(SUBSTITUTE(BO595,"b","a"),"c","a"),"d","a"),"e","a"),"f","a"),"g","a"),"h","a"),"i","a"),"j","a"),"k","a"),"l","a"),"m","a"),"n","a"),"o","a"),"p","a"),"q","a"),"r","a"),"s","a"),"t","a"),"u","a"),"v","a"),"w","a"),"x","a"),"y","a"),"z","a")</f>
        <v/>
      </c>
      <c r="BQ595" s="61" t="n">
        <f aca="false">IFERROR(IF(AND(ISERROR(SEARCH(" mh"," "&amp;LOWER(W595))),ISNA(MATCH(LEFT(TRIM(BP595),255),{"0000a","000a","00a","0000aa","000aa","00aa","0aa","0000aaa","000aaa","00a00","0a00","0000-0000","00:00","a00","a0","00.00.0000","00/00/0000","00-00-0000","0000-00-00","0000/00/00","0000.00.00","00.00.00","00/00/00","00-00-00","0.00.0000","0/00/0000","0-00-0000"},0)),ISNA(MATCH(LEFT(TRIM(CA595),255),{"0000a","000a","00a","0000aa","000aa","00aa","0aa","0000aaa","000aaa","00a00","0a00","0000-0000","00:00","a00","a0","00.00.0000","00/00/0000","00-00-0000","0000-00-00","0000/00/00","0000.00.00","00.00.00","00/00/00","00-00-00","0.00.0000","0/00/0000","0-00-0000"},0)),LEN(CB595)&gt;=3,NOT(OR(SUBSTITUTE(CB595,"0","")="",AND(LEN(CB595)&gt;=4,CB595=REPT(LEFT(CB595),LEN(CB595))),ISNUMBER(MATCH(CB595,{"123","1234","12345","123456","1234567","12345678","0123","01234","012345","98765","987654","54321"},0)),AND(LEN(CB595)=8,LEFT(CB595,3)="202"))),OR(AND((LEN(CA595)-LEN(SUBSTITUTE(CA595,"a","")))&gt;=1,SUMPRODUCT(--ISNUMBER(SEARCH({"a0","a-0","a_0","a/0","a.0","a#0","0a","0-a","0_a","0/a"},BP595)))&gt;0),ISNUMBER(SEARCH("000000",BP595)))),1,0),0)</f>
        <v>0</v>
      </c>
      <c r="BR595" s="61" t="n">
        <f aca="false">IFERROR(LEN(SUBSTITUTE(CC595," ",""))-SUMPRODUCT((LEN(CC595)-LEN(SUBSTITUTE(CC595," "&amp;L_Role&amp;" "," ")))/(LEN(L_Role)+1)*LEN(L_Role)),0)</f>
        <v>0</v>
      </c>
      <c r="BS595" s="61" t="n">
        <f aca="false">IFERROR(LEN(SUBSTITUTE(CD595," ",""))-SUMPRODUCT((LEN(CD595)-LEN(SUBSTITUTE(CD595," "&amp;L_Role&amp;" "," ")))/(LEN(L_Role)+1)*LEN(L_Role)),0)</f>
        <v>0</v>
      </c>
      <c r="BT5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595,"revision",""),"version",""),"jan",""),"feb",""),"mar",""),"apr",""),"may",""),"jun",""),"jul",""),"aug",""),"sep",""),"oct",""),"nov",""),"dec",""),"utc",""),"gmt",""),"myt",""),"bst",""),"rev",""),"ver",""),"b","a"),"c","a"),"d","a"),"e","a"),"f","a"),"g","a"),"h","a"),"i","a"),"j","a"),"k","a"),"l","a"),"m","a"),"n","a"),"o","a"),"p","a"),"q","a"),"r","a"),"s","a"),"t","a"),"u","a"),"v","a"),"w","a"),"x","a"),"y","a"),"z","a")</f>
        <v/>
      </c>
      <c r="BU595" s="61" t="str">
        <f aca="false">SUBSTITUTE(SUBSTITUTE(SUBSTITUTE(SUBSTITUTE(SUBSTITUTE(SUBSTITUTE(SUBSTITUTE(SUBSTITUTE(SUBSTITUTE(SUBSTITUTE(LEFT(BM595,FIND("0",BM595&amp;"0")-1),"-",""),"_",""),"/",""),".",""),"#",""),"\\",""),":","")," ",""),"(",""),")","")</f>
        <v/>
      </c>
      <c r="BV595" s="61" t="n">
        <f aca="false">0</f>
        <v>0</v>
      </c>
      <c r="BW5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595&amp;""),"a",""),"b",""),"c",""),"d",""),"e",""),"f",""),"g",""),"h",""),"i",""),"j",""),"k",""),"l",""),"m",""),"n",""),"o",""),"p",""),"q",""),"r",""),"s",""),"t",""),"u",""),"v",""),"w",""),"x",""),"y",""),"z",""),"-",""),"_",""),"/",""),".",""),"#",""),"\\",""),":","")," ",""),"(",""),")","")</f>
        <v/>
      </c>
      <c r="BX595" s="61" t="str">
        <f aca="false">SUBSTITUTE(SUBSTITUTE(SUBSTITUTE(SUBSTITUTE(SUBSTITUTE(SUBSTITUTE(SUBSTITUTE(SUBSTITUTE(SUBSTITUTE(SUBSTITUTE(SUBSTITUTE(BM595,"0",""),"-",""),"_",""),"/",""),".",""),"#",""),"\\",""),":","")," ",""),"(",""),")","")</f>
        <v/>
      </c>
      <c r="BY595" s="62" t="n">
        <f aca="false">Q595-T12EarlyH/24</f>
        <v>46321.6006944444</v>
      </c>
      <c r="BZ595" s="61" t="n">
        <f aca="false">IFERROR(IF(IF(TRIM(S595)="Link / file path",AND(LEN(TRIM(Z595))&gt;=5,SUMPRODUCT(--ISNUMBER(SEARCH({"http","www.","\\",":\",".pdf",".jpg",".jpeg",".png",".heic",".xls",".doc",".msg",".eml",".ppt",".txt",".zip"},Z595)))&gt;0),AND(ISERROR(FIND(" ",TRIM(Z595))),NOT(OR(SUMPRODUCT(--ISNUMBER(FIND({",",";","&amp;","+"},Z595)))&gt;0,SUMPRODUCT(--ISNUMBER(SEARCH({"0/aa","0\\aa"},BN595)))&gt;0)),NOT(SUMPRODUCT(--ISNUMBER(SEARCH({"http","www.","\\",":\",".pdf",".jpg",".jpeg",".png",".heic",".xls",".doc",".msg",".eml",".ppt",".txt",".zip"},Z595)))&gt;0),NOT(LOWER(TRIM(Z595))=LOWER(Flights!$F$22)),ISNA(MATCH(BU595,{"mh","rev","revision","ver","version","v","r","a","b","seat","tray","row","gate","bay","stand","page","pg","item","line","no","cart","galley","flight","flt","table","box","bag","oven","etd","eta","std","sta","atd","ata","qty","pax","x","time","tel","ph","mob","day","wk","week","utc","gmt","myt","lt"},0)),NOT(OR(ISNUMBER(MATCH(LEFT(BN595,255),{"0000a","000a","00a","0000aa","000aa","00aa","0aa","0000aaa","000aaa","00a00","0a00","0000-0000","00:00","a00","a0","00.00.0000","00/00/0000","00-00-0000","0000-00-00","0000/00/00","0000.00.00","00.00.00","00/00/00","00-00-00","0.00.0000","0/00/0000","0-00-0000"},0)),ISNUMBER(MATCH(LEFT(BT595,255),{"0000a","000a","00a","0000aa","000aa","00aa","0aa","0000aaa","000aaa","00a00","0a00","0000-0000","00:00","a00","a0","00.00.0000","00/00/0000","00-00-0000","0000-00-00","0000/00/00","0000.00.00","00.00.00","00/00/00","00-00-00","0.00.0000","0/00/0000","0-00-0000"},0)))),NOT(OR(AND(BW595&lt;&gt;"",SUBSTITUTE(BW595,"0","")=""),AND(LEN(BW595)&gt;=4,BW595=REPT(LEFT(BW595),LEN(BW595))),ISNUMBER(MATCH(BW595,{"123","1234","12345","123456","1234567","12345678","0123","01234","012345","98765","987654","54321"},0)),ISNUMBER(MATCH(BX595,{"x","xx","xxx","xxxx","xxxxx","abc","abcd","nil","na","nan","test","tbc","tba","tbd","dummy","sample","example","eg","zz","zzz","none","null","xyz","qwe","asd","id","ref"},0)),AND(LEN(BW595)=8,BX595="",OR(LEFT(BW595,3)="202",ISNUMBER(MATCH(RIGHT(BW595,4),{"2025","2026","2027"},0)))))),OR(AND((LEN(BT595)-LEN(SUBSTITUTE(BT595,"a","")))&gt;=1,(LEN(BN595)-LEN(SUBSTITUTE(BN595,"0","")))&gt;=2,SUMPRODUCT(--ISNUMBER(SEARCH({"a0","a-0","a_0","a/0","a.0","a#0","0a","0-a","0_a","0/a"},BN595)))&gt;0),AND((LEN(BN595)-LEN(SUBSTITUTE(BN595,"a","")))=0,(LEN(BN595)-LEN(SUBSTITUTE(BN595,"0","")))&gt;=5)))),1,0),0)</f>
        <v>0</v>
      </c>
      <c r="CA5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595,"revision",""),"version",""),"jan",""),"feb",""),"mar",""),"apr",""),"may",""),"jun",""),"jul",""),"aug",""),"sep",""),"oct",""),"nov",""),"dec",""),"utc",""),"gmt",""),"myt",""),"bst",""),"rev",""),"ver",""),"b","a"),"c","a"),"d","a"),"e","a"),"f","a"),"g","a"),"h","a"),"i","a"),"j","a"),"k","a"),"l","a"),"m","a"),"n","a"),"o","a"),"p","a"),"q","a"),"r","a"),"s","a"),"t","a"),"u","a"),"v","a"),"w","a"),"x","a"),"y","a"),"z","a")</f>
        <v/>
      </c>
      <c r="CB5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595&amp;""),"a",""),"b",""),"c",""),"d",""),"e",""),"f",""),"g",""),"h",""),"i",""),"j",""),"k",""),"l",""),"m",""),"n",""),"o",""),"p",""),"q",""),"r",""),"s",""),"t",""),"u",""),"v",""),"w",""),"x",""),"y",""),"z",""),"-",""),"_",""),"/",""),".",""),"#",""),"\\",""),":","")," ",""),"(",""),")","")</f>
        <v/>
      </c>
      <c r="CC595" s="0" t="str">
        <f aca="false">" "&amp;TRIM(SUBSTITUTE(SUBSTITUTE(SUBSTITUTE(SUBSTITUTE(SUBSTITUTE(SUBSTITUTE(SUBSTITUTE(SUBSTITUTE(SUBSTITUTE(SUBSTITUTE(SUBSTITUTE(SUBSTITUTE(SUBSTITUTE(SUBSTITUTE(SUBSTITUTE(SUBSTITUTE(SUBSTITUTE(SUBSTITUTE(SUBSTITUTE(SUBSTITUTE(SUBSTITUTE(SUBSTITUTE(SUBSTITUTE(SUBSTITUTE(LOWER(T595&amp;""),CHAR(10)," "),CHAR(13)," "),CHAR(9)," "),CHAR(160)," "),"."," "),","," "),"-"," "),"/"," "),"("," "),")"," "),":"," "),";"," "),"_"," "),"–"," "),"?"," "),"!"," "),"*"," "),"["," "),"]"," "),"'"," "),"#"," "),"+"," "),"&amp;"," "),"\"," "))&amp;" "</f>
        <v>  </v>
      </c>
      <c r="CD595" s="0" t="str">
        <f aca="false">" "&amp;TRIM(SUBSTITUTE(SUBSTITUTE(SUBSTITUTE(SUBSTITUTE(SUBSTITUTE(SUBSTITUTE(SUBSTITUTE(SUBSTITUTE(SUBSTITUTE(SUBSTITUTE(SUBSTITUTE(SUBSTITUTE(SUBSTITUTE(SUBSTITUTE(SUBSTITUTE(SUBSTITUTE(SUBSTITUTE(SUBSTITUTE(SUBSTITUTE(SUBSTITUTE(SUBSTITUTE(SUBSTITUTE(SUBSTITUTE(SUBSTITUTE(LOWER(AE595&amp;""),CHAR(10)," "),CHAR(13)," "),CHAR(9)," "),CHAR(160)," "),"."," "),","," "),"-"," "),"/"," "),"("," "),")"," "),":"," "),";"," "),"_"," "),"–"," "),"?"," "),"!"," "),"*"," "),"["," "),"]"," "),"'"," "),"#"," "),"+"," "),"&amp;"," "),"\"," "))&amp;" "</f>
        <v>  </v>
      </c>
      <c r="CE595" s="68" t="n">
        <f aca="false">IFERROR(IF(AND(LEN(AU595)&gt;0,LEN(AU595)=LEN(AX595),OR(TRIM(MID(SUBSTITUTE(TRIM(CC595)," ",REPT(" ",60)),1,60))="",ISNUMBER(SEARCH(" "&amp;TRIM(MID(SUBSTITUTE(TRIM(CC595)," ",REPT(" ",60)),1,60))&amp;" ",CD595))),OR(TRIM(MID(SUBSTITUTE(TRIM(CC595)," ",REPT(" ",60)),61,60))="",ISNUMBER(SEARCH(" "&amp;TRIM(MID(SUBSTITUTE(TRIM(CC595)," ",REPT(" ",60)),61,60))&amp;" ",CD595))),OR(TRIM(MID(SUBSTITUTE(TRIM(CC595)," ",REPT(" ",60)),121,60))="",ISNUMBER(SEARCH(" "&amp;TRIM(MID(SUBSTITUTE(TRIM(CC595)," ",REPT(" ",60)),121,60))&amp;" ",CD595)))),1,0),0)</f>
        <v>0</v>
      </c>
      <c r="CG595" s="68" t="n">
        <f aca="false">IFERROR(LEN(SUBSTITUTE(BF595," ",""))-SUMPRODUCT((LEN(BF595)-LEN(SUBSTITUTE(BF595," "&amp;L_NAFiller&amp;" "," ")))/(LEN(L_NAFiller)+1)*LEN(L_NAFiller)),0)</f>
        <v>0</v>
      </c>
    </row>
    <row r="596" customFormat="false" ht="41.25" hidden="false" customHeight="true" outlineLevel="0" collapsed="false">
      <c r="A596" s="57" t="s">
        <v>1295</v>
      </c>
      <c r="B596" s="57" t="s">
        <v>293</v>
      </c>
      <c r="C596" s="57" t="str">
        <f aca="false">Flights!$F$22</f>
        <v>MH0052</v>
      </c>
      <c r="D596" s="58" t="n">
        <f aca="false">Flights!$D$22</f>
        <v>46322</v>
      </c>
      <c r="E596" s="57" t="str">
        <f aca="false">Flights!$G$22&amp;"-"&amp;Flights!$H$22</f>
        <v>KUL-KIX</v>
      </c>
      <c r="F596" s="57" t="str">
        <f aca="false">Flights!$K$22</f>
        <v>BC</v>
      </c>
      <c r="G596" s="57" t="s">
        <v>420</v>
      </c>
      <c r="H596" s="57" t="s">
        <v>378</v>
      </c>
      <c r="I596" s="57" t="s">
        <v>499</v>
      </c>
      <c r="J596" s="57" t="s">
        <v>515</v>
      </c>
      <c r="K596" s="67" t="s">
        <v>501</v>
      </c>
      <c r="L596" s="67" t="s">
        <v>1296</v>
      </c>
      <c r="M596" s="67" t="s">
        <v>451</v>
      </c>
      <c r="N596" s="67" t="s">
        <v>383</v>
      </c>
      <c r="O596" s="67" t="s">
        <v>503</v>
      </c>
      <c r="P596" s="57" t="s">
        <v>187</v>
      </c>
      <c r="Q596" s="59" t="n">
        <f aca="false">ROUND((Flights!$AE$22)*1440,0)/1440</f>
        <v>46322.1006944444</v>
      </c>
      <c r="R596" s="59" t="n">
        <f aca="false">Q596+(IF(AND(INDEX(TZ_DSTS,MATCH(P596,TZ_STN,0))&lt;&gt;"",Q596&gt;=INDEX(TZ_DSTS,MATCH(P596,TZ_STN,0)),Q596&lt;INDEX(TZ_DSTE,MATCH(P596,TZ_STN,0))),INDEX(TZ_DST,MATCH(P596,TZ_STN,0)),INDEX(TZ_STD,MATCH(P596,TZ_STN,0))))/24</f>
        <v>46322.4340277778</v>
      </c>
      <c r="S596" s="60"/>
      <c r="T596" s="60"/>
      <c r="U596" s="60"/>
      <c r="V596" s="60"/>
      <c r="W596" s="61"/>
      <c r="X596" s="60"/>
      <c r="Y596" s="60"/>
      <c r="Z596" s="60"/>
      <c r="AA596" s="60"/>
      <c r="AB596" s="60"/>
      <c r="AC596" s="60"/>
      <c r="AD596" s="66"/>
      <c r="AE596" s="60"/>
      <c r="AF596" s="61" t="str">
        <f aca="false">IF(AND(ISNUMBER(X596),ISNUMBER(Y596)),Y596-X596,"")</f>
        <v/>
      </c>
      <c r="AG596" s="62" t="str">
        <f aca="false">IF(ISNUMBER(AD596),AD596-(IF(AND(INDEX(TZ_DSTS,MATCH(P596,TZ_STN,0))&lt;&gt;"",(AD596-INDEX(TZ_STD,MATCH(P596,TZ_STN,0))/24)&gt;=INDEX(TZ_DSTS,MATCH(P596,TZ_STN,0)),(AD596-INDEX(TZ_STD,MATCH(P596,TZ_STN,0))/24)&lt;INDEX(TZ_DSTE,MATCH(P596,TZ_STN,0))),INDEX(TZ_DST,MATCH(P596,TZ_STN,0)),INDEX(TZ_STD,MATCH(P596,TZ_STN,0))))/24,"")</f>
        <v/>
      </c>
      <c r="AH596" s="65" t="str">
        <f aca="false">IFERROR(IF(N596="N/A – rule",IF(OR(TRIM(U596)="",TRIM(U596)="N/A",TRIM(U596)="Not started"),"N/A – RULE","INVALID – this check does not apply to this aircraft: clear the status (or correct the fleet on Flights)"),IF(TRIM(U596)="N/A",IF(AT596=0,"INVALID – N/A not permitted for this check",IF(AND(TRIM(AB596)&lt;&gt;"",TRIM(AB596)&lt;&gt;"Closed"),"INVALID – corrective action still open",IF(AND(NOT(OR(LEN(AZ596)&lt;15,ISNUMBER(MATCH(AZ596,L_Placeholder,0)))),BK596=0,CG596&gt;=8,NOT(OR(LEN(AU596)&lt;2,ISNUMBER(MATCH(AU596,L_Placeholder,0)))),BR596&gt;=3,NOT(OR(LEN(AX596)&lt;2,ISNUMBER(MATCH(AX596,L_Placeholder,0)))),BS596&gt;=3,TRIM(AE596)&lt;&gt;TRIM(T596),AX596&lt;&gt;AU596,CE596=0),"N/A – JUSTIFIED","INVALID – N/A needs a real, settled reason (not 'not applicable' / 'as above' / TBC), a named PIC and a different named verifier"))),IF(OR(TRIM(U596)="Pass",TRIM(U596)="Pass after CA"),IF(NOT(ISNUMBER(AD596)),"INVALID – completion time missing",IF(OR(OR(LEN(AU596)&lt;2,ISNUMBER(MATCH(AU596,L_Placeholder,0))),BR596&lt;3),"INVALID – PIC missing or not a named person (a role such as QA / CSM is not a name)",IF(OR(LEN(AV596)&lt;2,ISNUMBER(MATCH(AV596,L_Placeholder,0))),"INVALID – result / assessment missing",IF(OR(OR(LEN(AW596)&lt;3,ISNUMBER(MATCH(AW596,L_Placeholder,0))),SUMPRODUCT(--ISNUMBER(SEARCH(" "&amp;L_EvidencePhrase&amp;" ",BD596)))&gt;0,BI596=1),"INVALID – evidence missing, placeholder or not yet on file",IF(ISNA(MATCH(TRIM(S596),L_EvidenceType,0)),"INVALID – choose the evidence type from the list (column S)",IF(BL596=0,"INVALID – evidence ID must be the record's own ID only (e.g. SF-2210, IMG_2231, 1045521); a link / file name needs type 'Link / file path'",IF(OR(OR(LEN(AX596)&lt;2,ISNUMBER(MATCH(AX596,L_Placeholder,0))),BS596&lt;3),"INVALID – verifier missing or not a named person (a role such as QA / CSM is not a name)",IF(OR(AX596=AU596,CE596=1,AND(LEN(AU596)&gt;=4,ISNUMBER(SEARCH(AU596,AX596))),AND(LEN(AX596)&gt;=4,ISNUMBER(SEARCH(AX596,AU596)))),"INVALID – verifier must be a different, named person (not the PIC or a role)",IF(BH596=1,"INVALID – result not yet available (awaiting / TBC)",IF(BG596=1,"INVALID – result describes a problem: record Fail, then Pass after CA (or reword if it is not a problem)",IF(BV596=1,"INVALID – wording says not on board: an on-board confirmation needs the item loaded",IF(AND(AQ596=1,OR(OR(LEN(AY596)&lt;3,ISNUMBER(MATCH(AY596,L_Placeholder,0))),BJ596=1,BQ596=0)),"INVALID – batch ID missing, placeholder or not an ID (e.g. PASB-261008-BC-017)",IF(AND(AR596=1,OR(NOT(ISNUMBER(X596)),NOT(ISNUMBER(Y596)))),"INVALID – expected/actual qty missing",IF(AND(AR596=1,OR(X596&lt;=0,Y596&lt;0)),"INVALID – expected qty must be above 0 and actual not negative",IF(BB596&lt;&gt;"",BB596,IF(AND(AS596=1,Documents!$J$22&lt;&gt;"ON FILE"),"INVALID – GLD not on file (Documents sheet)",IF(AND(AS596=2,Documents!$O$22&lt;&gt;"ON FILE"),"INVALID – menu checklist not on file (Documents sheet)",IF(AND(AS596=3,NOT(ISNUMBER(Flights!$AX$22))),"INVALID – enter carrying flight KUL departure (Flights AX)",IF(AND(AS596=3,OR(Flights!$AZ$22&gt;Flights!$AA$22,Flights!$AX$22&lt;Flights!$AA$22-3)),"INVALID – carrying flight (Flights AX) cannot arrive before this leg's STD, or is over 3 days early",IF(AG596&gt;AsOfUTC,"INVALID – completion time is in the future",IF(AND(ISNUMBER(BY596),AG596&lt;BY596),IF(H596="Physical uplift","INVALID – before uplift window (cannot confirm loading)","INVALID – before valid window"),IF(AG596&gt;Flights!$AA$22,"INVALID – completed after departure (cannot establish readiness)",IF(AND(H596="Preparation",AG596&gt;=IF(ISNUMBER(Flights!$BA$22),MIN(Flights!$BA$22,Flights!$AA$22),Flights!$AA$22)),"INVALID – completed after loading / departure (cannot establish readiness)",IF(AND(H596="Physical uplift",AG596&gt;Q596),"INVALID – recorded after the loading flight departed",IF(AG596&gt;Q596,"COMPLETE – LATE","COMPLETE"))))))))))))))))))))))))),IF(TRIM(U596)="Fail","FAIL – DISCREPANCY",IF(AND(TRIM(U596)&lt;&gt;"",TRIM(U596)&lt;&gt;"Not started",TRIM(U596)&lt;&gt;"In progress"),"INVALID – unrecognised status (use the list)",IF(AsOfUTC&gt;Q596,"OVERDUE",IF(N596="Clarification required","OPEN – CLARIFICATION","OPEN"))))))),"INVALID – error value in an input cell")</f>
        <v>OPEN</v>
      </c>
      <c r="AI596" s="61" t="n">
        <f aca="false">IF(OR(AH596="N/A – RULE",AH596="N/A – JUSTIFIED"),0,1)</f>
        <v>1</v>
      </c>
      <c r="AJ596" s="61" t="n">
        <f aca="false">IF(LEFT(AH596,8)="COMPLETE",1,0)</f>
        <v>0</v>
      </c>
      <c r="AK596" s="61" t="n">
        <f aca="false">IF(AND(AI596=1,AJ596=0,AsOfUTC&gt;Q596),1,0)</f>
        <v>0</v>
      </c>
      <c r="AL596" s="61" t="n">
        <f aca="false">IFERROR(IF(AND(AI596=1,OR(TRIM(U596)="Fail",AND(TRIM(AB596)&lt;&gt;"",TRIM(AB596)&lt;&gt;"Closed"),AND(ISNUMBER(AF596),AF596&lt;&gt;0,TRIM(U596)&lt;&gt;"Pass after CA"))),1,0),1)</f>
        <v>0</v>
      </c>
      <c r="AM596" s="61" t="n">
        <f aca="false">IF(LEFT(AH596,7)="INVALID",1,0)</f>
        <v>0</v>
      </c>
      <c r="AN596" s="61" t="n">
        <f aca="false">IF(AND(N596="Clarification required",AI596=1,AJ596=0),1,0)</f>
        <v>0</v>
      </c>
      <c r="AO596" s="61" t="str">
        <f aca="false">IF(AK596=1,SUM(AK$5:AK596),"")</f>
        <v/>
      </c>
      <c r="AP596" s="61" t="str">
        <f aca="false">IF(AL596=1,SUM(AL$5:AL596),"")</f>
        <v/>
      </c>
      <c r="AQ596" s="61" t="n">
        <v>0</v>
      </c>
      <c r="AR596" s="61" t="n">
        <v>0</v>
      </c>
      <c r="AS596" s="61" t="n">
        <v>0</v>
      </c>
      <c r="AT596" s="61" t="n">
        <v>0</v>
      </c>
      <c r="AU596" s="61" t="str">
        <f aca="false">SUBSTITUTE(SUBSTITUTE(SUBSTITUTE(SUBSTITUTE(SUBSTITUTE(SUBSTITUTE(SUBSTITUTE(SUBSTITUTE(SUBSTITUTE(SUBSTITUTE(SUBSTITUTE(SUBSTITUTE(SUBSTITUTE(SUBSTITUTE(SUBSTITUTE(SUBSTITUTE(LOWER(T596&amp;""),CHAR(10),""),CHAR(13),""),CHAR(9),""),CHAR(160),"")," ",""),".",""),"-",""),"/",""),"?",""),"_",""),",",""),"[",""),"]",""),"(",""),")",""),"*","")</f>
        <v/>
      </c>
      <c r="AV596" s="61" t="str">
        <f aca="false">SUBSTITUTE(SUBSTITUTE(SUBSTITUTE(SUBSTITUTE(SUBSTITUTE(SUBSTITUTE(SUBSTITUTE(SUBSTITUTE(SUBSTITUTE(SUBSTITUTE(SUBSTITUTE(SUBSTITUTE(SUBSTITUTE(SUBSTITUTE(SUBSTITUTE(SUBSTITUTE(LOWER(V596&amp;""),CHAR(10),""),CHAR(13),""),CHAR(9),""),CHAR(160),"")," ",""),".",""),"-",""),"/",""),"?",""),"_",""),",",""),"[",""),"]",""),"(",""),")",""),"*","")</f>
        <v/>
      </c>
      <c r="AW596" s="61" t="str">
        <f aca="false">SUBSTITUTE(SUBSTITUTE(SUBSTITUTE(SUBSTITUTE(SUBSTITUTE(SUBSTITUTE(SUBSTITUTE(SUBSTITUTE(SUBSTITUTE(SUBSTITUTE(SUBSTITUTE(SUBSTITUTE(SUBSTITUTE(SUBSTITUTE(SUBSTITUTE(SUBSTITUTE(LOWER(Z596&amp;""),CHAR(10),""),CHAR(13),""),CHAR(9),""),CHAR(160),"")," ",""),".",""),"-",""),"/",""),"?",""),"_",""),",",""),"[",""),"]",""),"(",""),")",""),"*","")</f>
        <v/>
      </c>
      <c r="AX596" s="61" t="str">
        <f aca="false">SUBSTITUTE(SUBSTITUTE(SUBSTITUTE(SUBSTITUTE(SUBSTITUTE(SUBSTITUTE(SUBSTITUTE(SUBSTITUTE(SUBSTITUTE(SUBSTITUTE(SUBSTITUTE(SUBSTITUTE(SUBSTITUTE(SUBSTITUTE(SUBSTITUTE(SUBSTITUTE(LOWER(AE596&amp;""),CHAR(10),""),CHAR(13),""),CHAR(9),""),CHAR(160),"")," ",""),".",""),"-",""),"/",""),"?",""),"_",""),",",""),"[",""),"]",""),"(",""),")",""),"*","")</f>
        <v/>
      </c>
      <c r="AY596" s="61" t="str">
        <f aca="false">SUBSTITUTE(SUBSTITUTE(SUBSTITUTE(SUBSTITUTE(SUBSTITUTE(SUBSTITUTE(SUBSTITUTE(SUBSTITUTE(SUBSTITUTE(SUBSTITUTE(SUBSTITUTE(SUBSTITUTE(SUBSTITUTE(SUBSTITUTE(SUBSTITUTE(SUBSTITUTE(LOWER(W596&amp;""),CHAR(10),""),CHAR(13),""),CHAR(9),""),CHAR(160),"")," ",""),".",""),"-",""),"/",""),"?",""),"_",""),",",""),"[",""),"]",""),"(",""),")",""),"*","")</f>
        <v/>
      </c>
      <c r="AZ596" s="61" t="str">
        <f aca="false">SUBSTITUTE(SUBSTITUTE(SUBSTITUTE(SUBSTITUTE(SUBSTITUTE(SUBSTITUTE(SUBSTITUTE(SUBSTITUTE(SUBSTITUTE(SUBSTITUTE(SUBSTITUTE(SUBSTITUTE(SUBSTITUTE(SUBSTITUTE(SUBSTITUTE(SUBSTITUTE(LOWER(AC596&amp;""),CHAR(10),""),CHAR(13),""),CHAR(9),""),CHAR(160),"")," ",""),".",""),"-",""),"/",""),"?",""),"_",""),",",""),"[",""),"]",""),"(",""),")",""),"*","")</f>
        <v/>
      </c>
      <c r="BA596" s="61" t="str">
        <f aca="false">SUBSTITUTE(SUBSTITUTE(SUBSTITUTE(SUBSTITUTE(SUBSTITUTE(SUBSTITUTE(SUBSTITUTE(SUBSTITUTE(SUBSTITUTE(SUBSTITUTE(SUBSTITUTE(SUBSTITUTE(SUBSTITUTE(SUBSTITUTE(SUBSTITUTE(SUBSTITUTE(LOWER(AA596&amp;""),CHAR(10),""),CHAR(13),""),CHAR(9),""),CHAR(160),"")," ",""),".",""),"-",""),"/",""),"?",""),"_",""),",",""),"[",""),"]",""),"(",""),")",""),"*","")</f>
        <v/>
      </c>
      <c r="BB596" s="61" t="str">
        <f aca="false">IF(AND(TRIM(U596)="Pass",ISNUMBER(AF596)),IF(AF596&lt;&gt;0,"INVALID – qty variance: use Fail or Pass after CA",""),"")&amp;IF(AND(TRIM(U596)="Pass after CA",ISNUMBER(AF596)),IF(AF596&lt;&gt;0,"INVALID – after the corrective action the actual qty must equal expected (update Actual)",""),"")&amp;IF(AND(TRIM(U596)="Pass",TRIM(AB596)&lt;&gt;"",TRIM(AB596)&lt;&gt;"Closed"),"INVALID – corrective action not closed: use Fail, then Pass after CA","")&amp;IF(AND(LEN(BA596)&gt;=2,ISNA(MATCH(LEFT(BA596,255),L_Placeholder,0)),TRIM(AB596)=""),"INVALID – CA status missing for the recorded corrective action","")&amp;IF(AND(TRIM(U596)="Pass after CA",OR(OR(LEN(BA596)&lt;5,ISNUMBER(MATCH(BA596,L_Placeholder,0))),TRIM(AB596)&lt;&gt;"Closed")),"INVALID – corrective action not recorded/closed","")</f>
        <v/>
      </c>
      <c r="BC596" s="61" t="str">
        <f aca="false">" "&amp;TRIM(SUBSTITUTE(SUBSTITUTE(SUBSTITUTE(SUBSTITUTE(SUBSTITUTE(SUBSTITUTE(SUBSTITUTE(SUBSTITUTE(SUBSTITUTE(SUBSTITUTE(SUBSTITUTE(SUBSTITUTE(SUBSTITUTE(SUBSTITUTE(SUBSTITUTE(SUBSTITUTE(SUBSTITUTE(SUBSTITUTE(SUBSTITUTE(SUBSTITUTE(SUBSTITUTE(SUBSTITUTE(SUBSTITUTE(SUBSTITUTE(LOWER(V596&amp;""),CHAR(10)," "),CHAR(13)," "),CHAR(9)," "),CHAR(160)," "),"."," "),","," "),"-"," "),"/"," "),"("," "),")"," "),":"," "),";"," "),"_"," "),"–"," "),"?"," "),"!"," "),"*"," "),"["," "),"]"," "),"'"," "),"#"," "),"+"," "),"&amp;"," "),"\"," "))&amp;" "</f>
        <v>  </v>
      </c>
      <c r="BD596" s="61" t="str">
        <f aca="false">" "&amp;TRIM(SUBSTITUTE(SUBSTITUTE(SUBSTITUTE(SUBSTITUTE(SUBSTITUTE(SUBSTITUTE(SUBSTITUTE(SUBSTITUTE(SUBSTITUTE(SUBSTITUTE(SUBSTITUTE(SUBSTITUTE(SUBSTITUTE(SUBSTITUTE(SUBSTITUTE(SUBSTITUTE(SUBSTITUTE(SUBSTITUTE(SUBSTITUTE(SUBSTITUTE(SUBSTITUTE(SUBSTITUTE(SUBSTITUTE(SUBSTITUTE(LOWER(Z596&amp;""),CHAR(10)," "),CHAR(13)," "),CHAR(9)," "),CHAR(160)," "),"."," "),","," "),"-"," "),"/"," "),"("," "),")"," "),":"," "),";"," "),"_"," "),"–"," "),"?"," "),"!"," "),"*"," "),"["," "),"]"," "),"'"," "),"#"," "),"+"," "),"&amp;"," "),"\"," "))&amp;" "</f>
        <v>  </v>
      </c>
      <c r="BE596" s="61" t="str">
        <f aca="false">" "&amp;TRIM(SUBSTITUTE(SUBSTITUTE(SUBSTITUTE(SUBSTITUTE(SUBSTITUTE(SUBSTITUTE(SUBSTITUTE(SUBSTITUTE(SUBSTITUTE(SUBSTITUTE(SUBSTITUTE(SUBSTITUTE(SUBSTITUTE(SUBSTITUTE(SUBSTITUTE(SUBSTITUTE(SUBSTITUTE(SUBSTITUTE(SUBSTITUTE(SUBSTITUTE(SUBSTITUTE(SUBSTITUTE(SUBSTITUTE(SUBSTITUTE(LOWER(W596&amp;""),CHAR(10)," "),CHAR(13)," "),CHAR(9)," "),CHAR(160)," "),"."," "),","," "),"-"," "),"/"," "),"("," "),")"," "),":"," "),";"," "),"_"," "),"–"," "),"?"," "),"!"," "),"*"," "),"["," "),"]"," "),"'"," "),"#"," "),"+"," "),"&amp;"," "),"\"," "))&amp;" "</f>
        <v>  </v>
      </c>
      <c r="BF596" s="61" t="str">
        <f aca="false">" "&amp;TRIM(SUBSTITUTE(SUBSTITUTE(SUBSTITUTE(SUBSTITUTE(SUBSTITUTE(SUBSTITUTE(SUBSTITUTE(SUBSTITUTE(SUBSTITUTE(SUBSTITUTE(SUBSTITUTE(SUBSTITUTE(SUBSTITUTE(SUBSTITUTE(SUBSTITUTE(SUBSTITUTE(SUBSTITUTE(SUBSTITUTE(SUBSTITUTE(SUBSTITUTE(SUBSTITUTE(SUBSTITUTE(SUBSTITUTE(SUBSTITUTE(LOWER(AC596&amp;""),CHAR(10)," "),CHAR(13)," "),CHAR(9)," "),CHAR(160)," "),"."," "),","," "),"-"," "),"/"," "),"("," "),")"," "),":"," "),";"," "),"_"," "),"–"," "),"?"," "),"!"," "),"*"," "),"["," "),"]"," "),"'"," "),"#"," "),"+"," "),"&amp;"," "),"\"," "))&amp;" "</f>
        <v>  </v>
      </c>
      <c r="BG596" s="61" t="n">
        <f aca="false">IFERROR(IF(AND(TRIM(U596)="Pass",SUMPRODUCT((LEN(BC596)-LEN(SUBSTITUTE(BC596," "&amp;L_ResultBad&amp;" "," ")))/(LEN(L_ResultBad)+1))&gt;SUMPRODUCT((LEN(BC596)-LEN(SUBSTITUTE(BC596," "&amp;L_NegPhrase&amp;" "," ")))/(LEN(L_NegPhrase)+1))),1,0),0)</f>
        <v>0</v>
      </c>
      <c r="BH596" s="61" t="n">
        <f aca="false">IFERROR(IF(SUMPRODUCT((LEN(BC596)-LEN(SUBSTITUTE(BC596," "&amp;L_Pending&amp;" "," ")))/(LEN(L_Pending)+1))&gt;SUMPRODUCT((LEN(BC596)-LEN(SUBSTITUTE(BC596," "&amp;L_PendNeg&amp;" "," ")))/(LEN(L_PendNeg)+1))+SUMPRODUCT((LEN(BC596)-LEN(SUBSTITUTE(BC596," "&amp;L_PendPrep&amp;" "," ")))/(LEN(L_PendPrep)+1)),1,0),1)</f>
        <v>0</v>
      </c>
      <c r="BI596" s="61" t="n">
        <f aca="false">IFERROR(IF(SUMPRODUCT((LEN(BD596)-LEN(SUBSTITUTE(BD596," "&amp;L_PendStrict&amp;" "," ")))/(LEN(L_PendStrict)+1))&gt;SUMPRODUCT((LEN(BD596)-LEN(SUBSTITUTE(BD596," "&amp;L_PendNeg&amp;" "," ")))/(LEN(L_PendNeg)+1)),1,0),1)</f>
        <v>0</v>
      </c>
      <c r="BJ596" s="61" t="n">
        <f aca="false">IFERROR(IF(SUMPRODUCT((LEN(BE596)-LEN(SUBSTITUTE(BE596," "&amp;L_Pending&amp;" "," ")))/(LEN(L_Pending)+1))&gt;SUMPRODUCT((LEN(BE596)-LEN(SUBSTITUTE(BE596," "&amp;L_PendNeg&amp;" "," ")))/(LEN(L_PendNeg)+1))+SUMPRODUCT((LEN(BE596)-LEN(SUBSTITUTE(BE596," "&amp;L_PendPrep&amp;" "," ")))/(LEN(L_PendPrep)+1)),1,0),1)</f>
        <v>0</v>
      </c>
      <c r="BK596" s="61" t="n">
        <f aca="false">IFERROR(IF(SUMPRODUCT((LEN(BF596)-LEN(SUBSTITUTE(BF596," "&amp;L_PendStrict&amp;" "," ")))/(LEN(L_PendStrict)+1))&gt;SUMPRODUCT((LEN(BF596)-LEN(SUBSTITUTE(BF596," "&amp;L_PendNeg&amp;" "," ")))/(LEN(L_PendNeg)+1)),1,0),1)</f>
        <v>0</v>
      </c>
      <c r="BL596" s="61" t="n">
        <f aca="false">IF(ISNA(MATCH(TRIM(S596),L_EvidenceType,0)),0,BZ596)</f>
        <v>0</v>
      </c>
      <c r="BM596" s="61" t="str">
        <f aca="false">SUBSTITUTE(SUBSTITUTE(SUBSTITUTE(SUBSTITUTE(SUBSTITUTE(SUBSTITUTE(SUBSTITUTE(SUBSTITUTE(SUBSTITUTE(LOWER(Z596&amp;""),"1","0"),"2","0"),"3","0"),"4","0"),"5","0"),"6","0"),"7","0"),"8","0"),"9","0")</f>
        <v/>
      </c>
      <c r="BN596" s="61" t="str">
        <f aca="false">SUBSTITUTE(SUBSTITUTE(SUBSTITUTE(SUBSTITUTE(SUBSTITUTE(SUBSTITUTE(SUBSTITUTE(SUBSTITUTE(SUBSTITUTE(SUBSTITUTE(SUBSTITUTE(SUBSTITUTE(SUBSTITUTE(SUBSTITUTE(SUBSTITUTE(SUBSTITUTE(SUBSTITUTE(SUBSTITUTE(SUBSTITUTE(SUBSTITUTE(SUBSTITUTE(SUBSTITUTE(SUBSTITUTE(SUBSTITUTE(SUBSTITUTE(BM596,"b","a"),"c","a"),"d","a"),"e","a"),"f","a"),"g","a"),"h","a"),"i","a"),"j","a"),"k","a"),"l","a"),"m","a"),"n","a"),"o","a"),"p","a"),"q","a"),"r","a"),"s","a"),"t","a"),"u","a"),"v","a"),"w","a"),"x","a"),"y","a"),"z","a")</f>
        <v/>
      </c>
      <c r="BO596" s="61" t="str">
        <f aca="false">SUBSTITUTE(SUBSTITUTE(SUBSTITUTE(SUBSTITUTE(SUBSTITUTE(SUBSTITUTE(SUBSTITUTE(SUBSTITUTE(SUBSTITUTE(LOWER(W596&amp;""),"1","0"),"2","0"),"3","0"),"4","0"),"5","0"),"6","0"),"7","0"),"8","0"),"9","0")</f>
        <v/>
      </c>
      <c r="BP596" s="61" t="str">
        <f aca="false">SUBSTITUTE(SUBSTITUTE(SUBSTITUTE(SUBSTITUTE(SUBSTITUTE(SUBSTITUTE(SUBSTITUTE(SUBSTITUTE(SUBSTITUTE(SUBSTITUTE(SUBSTITUTE(SUBSTITUTE(SUBSTITUTE(SUBSTITUTE(SUBSTITUTE(SUBSTITUTE(SUBSTITUTE(SUBSTITUTE(SUBSTITUTE(SUBSTITUTE(SUBSTITUTE(SUBSTITUTE(SUBSTITUTE(SUBSTITUTE(SUBSTITUTE(BO596,"b","a"),"c","a"),"d","a"),"e","a"),"f","a"),"g","a"),"h","a"),"i","a"),"j","a"),"k","a"),"l","a"),"m","a"),"n","a"),"o","a"),"p","a"),"q","a"),"r","a"),"s","a"),"t","a"),"u","a"),"v","a"),"w","a"),"x","a"),"y","a"),"z","a")</f>
        <v/>
      </c>
      <c r="BQ596" s="61" t="n">
        <f aca="false">IFERROR(IF(AND(ISERROR(SEARCH(" mh"," "&amp;LOWER(W596))),ISNA(MATCH(LEFT(TRIM(BP596),255),{"0000a","000a","00a","0000aa","000aa","00aa","0aa","0000aaa","000aaa","00a00","0a00","0000-0000","00:00","a00","a0","00.00.0000","00/00/0000","00-00-0000","0000-00-00","0000/00/00","0000.00.00","00.00.00","00/00/00","00-00-00","0.00.0000","0/00/0000","0-00-0000"},0)),ISNA(MATCH(LEFT(TRIM(CA596),255),{"0000a","000a","00a","0000aa","000aa","00aa","0aa","0000aaa","000aaa","00a00","0a00","0000-0000","00:00","a00","a0","00.00.0000","00/00/0000","00-00-0000","0000-00-00","0000/00/00","0000.00.00","00.00.00","00/00/00","00-00-00","0.00.0000","0/00/0000","0-00-0000"},0)),LEN(CB596)&gt;=3,NOT(OR(SUBSTITUTE(CB596,"0","")="",AND(LEN(CB596)&gt;=4,CB596=REPT(LEFT(CB596),LEN(CB596))),ISNUMBER(MATCH(CB596,{"123","1234","12345","123456","1234567","12345678","0123","01234","012345","98765","987654","54321"},0)),AND(LEN(CB596)=8,LEFT(CB596,3)="202"))),OR(AND((LEN(CA596)-LEN(SUBSTITUTE(CA596,"a","")))&gt;=1,SUMPRODUCT(--ISNUMBER(SEARCH({"a0","a-0","a_0","a/0","a.0","a#0","0a","0-a","0_a","0/a"},BP596)))&gt;0),ISNUMBER(SEARCH("000000",BP596)))),1,0),0)</f>
        <v>0</v>
      </c>
      <c r="BR596" s="61" t="n">
        <f aca="false">IFERROR(LEN(SUBSTITUTE(CC596," ",""))-SUMPRODUCT((LEN(CC596)-LEN(SUBSTITUTE(CC596," "&amp;L_Role&amp;" "," ")))/(LEN(L_Role)+1)*LEN(L_Role)),0)</f>
        <v>0</v>
      </c>
      <c r="BS596" s="61" t="n">
        <f aca="false">IFERROR(LEN(SUBSTITUTE(CD596," ",""))-SUMPRODUCT((LEN(CD596)-LEN(SUBSTITUTE(CD596," "&amp;L_Role&amp;" "," ")))/(LEN(L_Role)+1)*LEN(L_Role)),0)</f>
        <v>0</v>
      </c>
      <c r="BT5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596,"revision",""),"version",""),"jan",""),"feb",""),"mar",""),"apr",""),"may",""),"jun",""),"jul",""),"aug",""),"sep",""),"oct",""),"nov",""),"dec",""),"utc",""),"gmt",""),"myt",""),"bst",""),"rev",""),"ver",""),"b","a"),"c","a"),"d","a"),"e","a"),"f","a"),"g","a"),"h","a"),"i","a"),"j","a"),"k","a"),"l","a"),"m","a"),"n","a"),"o","a"),"p","a"),"q","a"),"r","a"),"s","a"),"t","a"),"u","a"),"v","a"),"w","a"),"x","a"),"y","a"),"z","a")</f>
        <v/>
      </c>
      <c r="BU596" s="61" t="str">
        <f aca="false">SUBSTITUTE(SUBSTITUTE(SUBSTITUTE(SUBSTITUTE(SUBSTITUTE(SUBSTITUTE(SUBSTITUTE(SUBSTITUTE(SUBSTITUTE(SUBSTITUTE(LEFT(BM596,FIND("0",BM596&amp;"0")-1),"-",""),"_",""),"/",""),".",""),"#",""),"\\",""),":","")," ",""),"(",""),")","")</f>
        <v/>
      </c>
      <c r="BV596" s="61" t="n">
        <f aca="false">0</f>
        <v>0</v>
      </c>
      <c r="BW5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596&amp;""),"a",""),"b",""),"c",""),"d",""),"e",""),"f",""),"g",""),"h",""),"i",""),"j",""),"k",""),"l",""),"m",""),"n",""),"o",""),"p",""),"q",""),"r",""),"s",""),"t",""),"u",""),"v",""),"w",""),"x",""),"y",""),"z",""),"-",""),"_",""),"/",""),".",""),"#",""),"\\",""),":","")," ",""),"(",""),")","")</f>
        <v/>
      </c>
      <c r="BX596" s="61" t="str">
        <f aca="false">SUBSTITUTE(SUBSTITUTE(SUBSTITUTE(SUBSTITUTE(SUBSTITUTE(SUBSTITUTE(SUBSTITUTE(SUBSTITUTE(SUBSTITUTE(SUBSTITUTE(SUBSTITUTE(BM596,"0",""),"-",""),"_",""),"/",""),".",""),"#",""),"\\",""),":","")," ",""),"(",""),")","")</f>
        <v/>
      </c>
      <c r="BY596" s="62" t="n">
        <f aca="false">Q596-T12EarlyH/24</f>
        <v>46321.6006944444</v>
      </c>
      <c r="BZ596" s="61" t="n">
        <f aca="false">IFERROR(IF(IF(TRIM(S596)="Link / file path",AND(LEN(TRIM(Z596))&gt;=5,SUMPRODUCT(--ISNUMBER(SEARCH({"http","www.","\\",":\",".pdf",".jpg",".jpeg",".png",".heic",".xls",".doc",".msg",".eml",".ppt",".txt",".zip"},Z596)))&gt;0),AND(ISERROR(FIND(" ",TRIM(Z596))),NOT(OR(SUMPRODUCT(--ISNUMBER(FIND({",",";","&amp;","+"},Z596)))&gt;0,SUMPRODUCT(--ISNUMBER(SEARCH({"0/aa","0\\aa"},BN596)))&gt;0)),NOT(SUMPRODUCT(--ISNUMBER(SEARCH({"http","www.","\\",":\",".pdf",".jpg",".jpeg",".png",".heic",".xls",".doc",".msg",".eml",".ppt",".txt",".zip"},Z596)))&gt;0),NOT(LOWER(TRIM(Z596))=LOWER(Flights!$F$22)),ISNA(MATCH(BU596,{"mh","rev","revision","ver","version","v","r","a","b","seat","tray","row","gate","bay","stand","page","pg","item","line","no","cart","galley","flight","flt","table","box","bag","oven","etd","eta","std","sta","atd","ata","qty","pax","x","time","tel","ph","mob","day","wk","week","utc","gmt","myt","lt"},0)),NOT(OR(ISNUMBER(MATCH(LEFT(BN596,255),{"0000a","000a","00a","0000aa","000aa","00aa","0aa","0000aaa","000aaa","00a00","0a00","0000-0000","00:00","a00","a0","00.00.0000","00/00/0000","00-00-0000","0000-00-00","0000/00/00","0000.00.00","00.00.00","00/00/00","00-00-00","0.00.0000","0/00/0000","0-00-0000"},0)),ISNUMBER(MATCH(LEFT(BT596,255),{"0000a","000a","00a","0000aa","000aa","00aa","0aa","0000aaa","000aaa","00a00","0a00","0000-0000","00:00","a00","a0","00.00.0000","00/00/0000","00-00-0000","0000-00-00","0000/00/00","0000.00.00","00.00.00","00/00/00","00-00-00","0.00.0000","0/00/0000","0-00-0000"},0)))),NOT(OR(AND(BW596&lt;&gt;"",SUBSTITUTE(BW596,"0","")=""),AND(LEN(BW596)&gt;=4,BW596=REPT(LEFT(BW596),LEN(BW596))),ISNUMBER(MATCH(BW596,{"123","1234","12345","123456","1234567","12345678","0123","01234","012345","98765","987654","54321"},0)),ISNUMBER(MATCH(BX596,{"x","xx","xxx","xxxx","xxxxx","abc","abcd","nil","na","nan","test","tbc","tba","tbd","dummy","sample","example","eg","zz","zzz","none","null","xyz","qwe","asd","id","ref"},0)),AND(LEN(BW596)=8,BX596="",OR(LEFT(BW596,3)="202",ISNUMBER(MATCH(RIGHT(BW596,4),{"2025","2026","2027"},0)))))),OR(AND((LEN(BT596)-LEN(SUBSTITUTE(BT596,"a","")))&gt;=1,(LEN(BN596)-LEN(SUBSTITUTE(BN596,"0","")))&gt;=2,SUMPRODUCT(--ISNUMBER(SEARCH({"a0","a-0","a_0","a/0","a.0","a#0","0a","0-a","0_a","0/a"},BN596)))&gt;0),AND((LEN(BN596)-LEN(SUBSTITUTE(BN596,"a","")))=0,(LEN(BN596)-LEN(SUBSTITUTE(BN596,"0","")))&gt;=5)))),1,0),0)</f>
        <v>0</v>
      </c>
      <c r="CA5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596,"revision",""),"version",""),"jan",""),"feb",""),"mar",""),"apr",""),"may",""),"jun",""),"jul",""),"aug",""),"sep",""),"oct",""),"nov",""),"dec",""),"utc",""),"gmt",""),"myt",""),"bst",""),"rev",""),"ver",""),"b","a"),"c","a"),"d","a"),"e","a"),"f","a"),"g","a"),"h","a"),"i","a"),"j","a"),"k","a"),"l","a"),"m","a"),"n","a"),"o","a"),"p","a"),"q","a"),"r","a"),"s","a"),"t","a"),"u","a"),"v","a"),"w","a"),"x","a"),"y","a"),"z","a")</f>
        <v/>
      </c>
      <c r="CB5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596&amp;""),"a",""),"b",""),"c",""),"d",""),"e",""),"f",""),"g",""),"h",""),"i",""),"j",""),"k",""),"l",""),"m",""),"n",""),"o",""),"p",""),"q",""),"r",""),"s",""),"t",""),"u",""),"v",""),"w",""),"x",""),"y",""),"z",""),"-",""),"_",""),"/",""),".",""),"#",""),"\\",""),":","")," ",""),"(",""),")","")</f>
        <v/>
      </c>
      <c r="CC596" s="0" t="str">
        <f aca="false">" "&amp;TRIM(SUBSTITUTE(SUBSTITUTE(SUBSTITUTE(SUBSTITUTE(SUBSTITUTE(SUBSTITUTE(SUBSTITUTE(SUBSTITUTE(SUBSTITUTE(SUBSTITUTE(SUBSTITUTE(SUBSTITUTE(SUBSTITUTE(SUBSTITUTE(SUBSTITUTE(SUBSTITUTE(SUBSTITUTE(SUBSTITUTE(SUBSTITUTE(SUBSTITUTE(SUBSTITUTE(SUBSTITUTE(SUBSTITUTE(SUBSTITUTE(LOWER(T596&amp;""),CHAR(10)," "),CHAR(13)," "),CHAR(9)," "),CHAR(160)," "),"."," "),","," "),"-"," "),"/"," "),"("," "),")"," "),":"," "),";"," "),"_"," "),"–"," "),"?"," "),"!"," "),"*"," "),"["," "),"]"," "),"'"," "),"#"," "),"+"," "),"&amp;"," "),"\"," "))&amp;" "</f>
        <v>  </v>
      </c>
      <c r="CD596" s="0" t="str">
        <f aca="false">" "&amp;TRIM(SUBSTITUTE(SUBSTITUTE(SUBSTITUTE(SUBSTITUTE(SUBSTITUTE(SUBSTITUTE(SUBSTITUTE(SUBSTITUTE(SUBSTITUTE(SUBSTITUTE(SUBSTITUTE(SUBSTITUTE(SUBSTITUTE(SUBSTITUTE(SUBSTITUTE(SUBSTITUTE(SUBSTITUTE(SUBSTITUTE(SUBSTITUTE(SUBSTITUTE(SUBSTITUTE(SUBSTITUTE(SUBSTITUTE(SUBSTITUTE(LOWER(AE596&amp;""),CHAR(10)," "),CHAR(13)," "),CHAR(9)," "),CHAR(160)," "),"."," "),","," "),"-"," "),"/"," "),"("," "),")"," "),":"," "),";"," "),"_"," "),"–"," "),"?"," "),"!"," "),"*"," "),"["," "),"]"," "),"'"," "),"#"," "),"+"," "),"&amp;"," "),"\"," "))&amp;" "</f>
        <v>  </v>
      </c>
      <c r="CE596" s="68" t="n">
        <f aca="false">IFERROR(IF(AND(LEN(AU596)&gt;0,LEN(AU596)=LEN(AX596),OR(TRIM(MID(SUBSTITUTE(TRIM(CC596)," ",REPT(" ",60)),1,60))="",ISNUMBER(SEARCH(" "&amp;TRIM(MID(SUBSTITUTE(TRIM(CC596)," ",REPT(" ",60)),1,60))&amp;" ",CD596))),OR(TRIM(MID(SUBSTITUTE(TRIM(CC596)," ",REPT(" ",60)),61,60))="",ISNUMBER(SEARCH(" "&amp;TRIM(MID(SUBSTITUTE(TRIM(CC596)," ",REPT(" ",60)),61,60))&amp;" ",CD596))),OR(TRIM(MID(SUBSTITUTE(TRIM(CC596)," ",REPT(" ",60)),121,60))="",ISNUMBER(SEARCH(" "&amp;TRIM(MID(SUBSTITUTE(TRIM(CC596)," ",REPT(" ",60)),121,60))&amp;" ",CD596)))),1,0),0)</f>
        <v>0</v>
      </c>
      <c r="CG596" s="68" t="n">
        <f aca="false">IFERROR(LEN(SUBSTITUTE(BF596," ",""))-SUMPRODUCT((LEN(BF596)-LEN(SUBSTITUTE(BF596," "&amp;L_NAFiller&amp;" "," ")))/(LEN(L_NAFiller)+1)*LEN(L_NAFiller)),0)</f>
        <v>0</v>
      </c>
    </row>
    <row r="597" customFormat="false" ht="54" hidden="false" customHeight="true" outlineLevel="0" collapsed="false">
      <c r="A597" s="57" t="s">
        <v>1297</v>
      </c>
      <c r="B597" s="57" t="s">
        <v>293</v>
      </c>
      <c r="C597" s="57" t="str">
        <f aca="false">Flights!$F$22</f>
        <v>MH0052</v>
      </c>
      <c r="D597" s="58" t="n">
        <f aca="false">Flights!$D$22</f>
        <v>46322</v>
      </c>
      <c r="E597" s="57" t="str">
        <f aca="false">Flights!$G$22&amp;"-"&amp;Flights!$H$22</f>
        <v>KUL-KIX</v>
      </c>
      <c r="F597" s="57" t="str">
        <f aca="false">Flights!$K$22</f>
        <v>BC</v>
      </c>
      <c r="G597" s="57" t="s">
        <v>420</v>
      </c>
      <c r="H597" s="57" t="s">
        <v>378</v>
      </c>
      <c r="I597" s="57" t="s">
        <v>499</v>
      </c>
      <c r="J597" s="57" t="s">
        <v>518</v>
      </c>
      <c r="K597" s="67" t="s">
        <v>616</v>
      </c>
      <c r="L597" s="67" t="s">
        <v>1298</v>
      </c>
      <c r="M597" s="67" t="s">
        <v>451</v>
      </c>
      <c r="N597" s="67" t="s">
        <v>383</v>
      </c>
      <c r="O597" s="67" t="s">
        <v>521</v>
      </c>
      <c r="P597" s="57" t="s">
        <v>187</v>
      </c>
      <c r="Q597" s="59" t="n">
        <f aca="false">ROUND((Flights!$AE$22)*1440,0)/1440</f>
        <v>46322.1006944444</v>
      </c>
      <c r="R597" s="59" t="n">
        <f aca="false">Q597+(IF(AND(INDEX(TZ_DSTS,MATCH(P597,TZ_STN,0))&lt;&gt;"",Q597&gt;=INDEX(TZ_DSTS,MATCH(P597,TZ_STN,0)),Q597&lt;INDEX(TZ_DSTE,MATCH(P597,TZ_STN,0))),INDEX(TZ_DST,MATCH(P597,TZ_STN,0)),INDEX(TZ_STD,MATCH(P597,TZ_STN,0))))/24</f>
        <v>46322.4340277778</v>
      </c>
      <c r="S597" s="60"/>
      <c r="T597" s="60"/>
      <c r="U597" s="60"/>
      <c r="V597" s="60"/>
      <c r="W597" s="61"/>
      <c r="X597" s="60"/>
      <c r="Y597" s="60"/>
      <c r="Z597" s="60"/>
      <c r="AA597" s="60"/>
      <c r="AB597" s="60"/>
      <c r="AC597" s="60"/>
      <c r="AD597" s="66"/>
      <c r="AE597" s="60"/>
      <c r="AF597" s="61" t="str">
        <f aca="false">IF(AND(ISNUMBER(X597),ISNUMBER(Y597)),Y597-X597,"")</f>
        <v/>
      </c>
      <c r="AG597" s="62" t="str">
        <f aca="false">IF(ISNUMBER(AD597),AD597-(IF(AND(INDEX(TZ_DSTS,MATCH(P597,TZ_STN,0))&lt;&gt;"",(AD597-INDEX(TZ_STD,MATCH(P597,TZ_STN,0))/24)&gt;=INDEX(TZ_DSTS,MATCH(P597,TZ_STN,0)),(AD597-INDEX(TZ_STD,MATCH(P597,TZ_STN,0))/24)&lt;INDEX(TZ_DSTE,MATCH(P597,TZ_STN,0))),INDEX(TZ_DST,MATCH(P597,TZ_STN,0)),INDEX(TZ_STD,MATCH(P597,TZ_STN,0))))/24,"")</f>
        <v/>
      </c>
      <c r="AH597" s="65" t="str">
        <f aca="false">IFERROR(IF(N597="N/A – rule",IF(OR(TRIM(U597)="",TRIM(U597)="N/A",TRIM(U597)="Not started"),"N/A – RULE","INVALID – this check does not apply to this aircraft: clear the status (or correct the fleet on Flights)"),IF(TRIM(U597)="N/A",IF(AT597=0,"INVALID – N/A not permitted for this check",IF(AND(TRIM(AB597)&lt;&gt;"",TRIM(AB597)&lt;&gt;"Closed"),"INVALID – corrective action still open",IF(AND(NOT(OR(LEN(AZ597)&lt;15,ISNUMBER(MATCH(AZ597,L_Placeholder,0)))),BK597=0,CG597&gt;=8,NOT(OR(LEN(AU597)&lt;2,ISNUMBER(MATCH(AU597,L_Placeholder,0)))),BR597&gt;=3,NOT(OR(LEN(AX597)&lt;2,ISNUMBER(MATCH(AX597,L_Placeholder,0)))),BS597&gt;=3,TRIM(AE597)&lt;&gt;TRIM(T597),AX597&lt;&gt;AU597,CE597=0),"N/A – JUSTIFIED","INVALID – N/A needs a real, settled reason (not 'not applicable' / 'as above' / TBC), a named PIC and a different named verifier"))),IF(OR(TRIM(U597)="Pass",TRIM(U597)="Pass after CA"),IF(NOT(ISNUMBER(AD597)),"INVALID – completion time missing",IF(OR(OR(LEN(AU597)&lt;2,ISNUMBER(MATCH(AU597,L_Placeholder,0))),BR597&lt;3),"INVALID – PIC missing or not a named person (a role such as QA / CSM is not a name)",IF(OR(LEN(AV597)&lt;2,ISNUMBER(MATCH(AV597,L_Placeholder,0))),"INVALID – result / assessment missing",IF(OR(OR(LEN(AW597)&lt;3,ISNUMBER(MATCH(AW597,L_Placeholder,0))),SUMPRODUCT(--ISNUMBER(SEARCH(" "&amp;L_EvidencePhrase&amp;" ",BD597)))&gt;0,BI597=1),"INVALID – evidence missing, placeholder or not yet on file",IF(ISNA(MATCH(TRIM(S597),L_EvidenceType,0)),"INVALID – choose the evidence type from the list (column S)",IF(BL597=0,"INVALID – evidence ID must be the record's own ID only (e.g. SF-2210, IMG_2231, 1045521); a link / file name needs type 'Link / file path'",IF(OR(OR(LEN(AX597)&lt;2,ISNUMBER(MATCH(AX597,L_Placeholder,0))),BS597&lt;3),"INVALID – verifier missing or not a named person (a role such as QA / CSM is not a name)",IF(OR(AX597=AU597,CE597=1,AND(LEN(AU597)&gt;=4,ISNUMBER(SEARCH(AU597,AX597))),AND(LEN(AX597)&gt;=4,ISNUMBER(SEARCH(AX597,AU597)))),"INVALID – verifier must be a different, named person (not the PIC or a role)",IF(BH597=1,"INVALID – result not yet available (awaiting / TBC)",IF(BG597=1,"INVALID – result describes a problem: record Fail, then Pass after CA (or reword if it is not a problem)",IF(BV597=1,"INVALID – wording says not on board: an on-board confirmation needs the item loaded",IF(AND(AQ597=1,OR(OR(LEN(AY597)&lt;3,ISNUMBER(MATCH(AY597,L_Placeholder,0))),BJ597=1,BQ597=0)),"INVALID – batch ID missing, placeholder or not an ID (e.g. PASB-261008-BC-017)",IF(AND(AR597=1,OR(NOT(ISNUMBER(X597)),NOT(ISNUMBER(Y597)))),"INVALID – expected/actual qty missing",IF(AND(AR597=1,OR(X597&lt;=0,Y597&lt;0)),"INVALID – expected qty must be above 0 and actual not negative",IF(BB597&lt;&gt;"",BB597,IF(AND(AS597=1,Documents!$J$22&lt;&gt;"ON FILE"),"INVALID – GLD not on file (Documents sheet)",IF(AND(AS597=2,Documents!$O$22&lt;&gt;"ON FILE"),"INVALID – menu checklist not on file (Documents sheet)",IF(AND(AS597=3,NOT(ISNUMBER(Flights!$AX$22))),"INVALID – enter carrying flight KUL departure (Flights AX)",IF(AND(AS597=3,OR(Flights!$AZ$22&gt;Flights!$AA$22,Flights!$AX$22&lt;Flights!$AA$22-3)),"INVALID – carrying flight (Flights AX) cannot arrive before this leg's STD, or is over 3 days early",IF(AG597&gt;AsOfUTC,"INVALID – completion time is in the future",IF(AND(ISNUMBER(BY597),AG597&lt;BY597),IF(H597="Physical uplift","INVALID – before uplift window (cannot confirm loading)","INVALID – before valid window"),IF(AG597&gt;Flights!$AA$22,"INVALID – completed after departure (cannot establish readiness)",IF(AND(H597="Preparation",AG597&gt;=IF(ISNUMBER(Flights!$BA$22),MIN(Flights!$BA$22,Flights!$AA$22),Flights!$AA$22)),"INVALID – completed after loading / departure (cannot establish readiness)",IF(AND(H597="Physical uplift",AG597&gt;Q597),"INVALID – recorded after the loading flight departed",IF(AG597&gt;Q597,"COMPLETE – LATE","COMPLETE"))))))))))))))))))))))))),IF(TRIM(U597)="Fail","FAIL – DISCREPANCY",IF(AND(TRIM(U597)&lt;&gt;"",TRIM(U597)&lt;&gt;"Not started",TRIM(U597)&lt;&gt;"In progress"),"INVALID – unrecognised status (use the list)",IF(AsOfUTC&gt;Q597,"OVERDUE",IF(N597="Clarification required","OPEN – CLARIFICATION","OPEN"))))))),"INVALID – error value in an input cell")</f>
        <v>OPEN</v>
      </c>
      <c r="AI597" s="61" t="n">
        <f aca="false">IF(OR(AH597="N/A – RULE",AH597="N/A – JUSTIFIED"),0,1)</f>
        <v>1</v>
      </c>
      <c r="AJ597" s="61" t="n">
        <f aca="false">IF(LEFT(AH597,8)="COMPLETE",1,0)</f>
        <v>0</v>
      </c>
      <c r="AK597" s="61" t="n">
        <f aca="false">IF(AND(AI597=1,AJ597=0,AsOfUTC&gt;Q597),1,0)</f>
        <v>0</v>
      </c>
      <c r="AL597" s="61" t="n">
        <f aca="false">IFERROR(IF(AND(AI597=1,OR(TRIM(U597)="Fail",AND(TRIM(AB597)&lt;&gt;"",TRIM(AB597)&lt;&gt;"Closed"),AND(ISNUMBER(AF597),AF597&lt;&gt;0,TRIM(U597)&lt;&gt;"Pass after CA"))),1,0),1)</f>
        <v>0</v>
      </c>
      <c r="AM597" s="61" t="n">
        <f aca="false">IF(LEFT(AH597,7)="INVALID",1,0)</f>
        <v>0</v>
      </c>
      <c r="AN597" s="61" t="n">
        <f aca="false">IF(AND(N597="Clarification required",AI597=1,AJ597=0),1,0)</f>
        <v>0</v>
      </c>
      <c r="AO597" s="61" t="str">
        <f aca="false">IF(AK597=1,SUM(AK$5:AK597),"")</f>
        <v/>
      </c>
      <c r="AP597" s="61" t="str">
        <f aca="false">IF(AL597=1,SUM(AL$5:AL597),"")</f>
        <v/>
      </c>
      <c r="AQ597" s="61" t="n">
        <v>0</v>
      </c>
      <c r="AR597" s="61" t="n">
        <v>0</v>
      </c>
      <c r="AS597" s="61" t="n">
        <v>0</v>
      </c>
      <c r="AT597" s="61" t="n">
        <v>0</v>
      </c>
      <c r="AU597" s="61" t="str">
        <f aca="false">SUBSTITUTE(SUBSTITUTE(SUBSTITUTE(SUBSTITUTE(SUBSTITUTE(SUBSTITUTE(SUBSTITUTE(SUBSTITUTE(SUBSTITUTE(SUBSTITUTE(SUBSTITUTE(SUBSTITUTE(SUBSTITUTE(SUBSTITUTE(SUBSTITUTE(SUBSTITUTE(LOWER(T597&amp;""),CHAR(10),""),CHAR(13),""),CHAR(9),""),CHAR(160),"")," ",""),".",""),"-",""),"/",""),"?",""),"_",""),",",""),"[",""),"]",""),"(",""),")",""),"*","")</f>
        <v/>
      </c>
      <c r="AV597" s="61" t="str">
        <f aca="false">SUBSTITUTE(SUBSTITUTE(SUBSTITUTE(SUBSTITUTE(SUBSTITUTE(SUBSTITUTE(SUBSTITUTE(SUBSTITUTE(SUBSTITUTE(SUBSTITUTE(SUBSTITUTE(SUBSTITUTE(SUBSTITUTE(SUBSTITUTE(SUBSTITUTE(SUBSTITUTE(LOWER(V597&amp;""),CHAR(10),""),CHAR(13),""),CHAR(9),""),CHAR(160),"")," ",""),".",""),"-",""),"/",""),"?",""),"_",""),",",""),"[",""),"]",""),"(",""),")",""),"*","")</f>
        <v/>
      </c>
      <c r="AW597" s="61" t="str">
        <f aca="false">SUBSTITUTE(SUBSTITUTE(SUBSTITUTE(SUBSTITUTE(SUBSTITUTE(SUBSTITUTE(SUBSTITUTE(SUBSTITUTE(SUBSTITUTE(SUBSTITUTE(SUBSTITUTE(SUBSTITUTE(SUBSTITUTE(SUBSTITUTE(SUBSTITUTE(SUBSTITUTE(LOWER(Z597&amp;""),CHAR(10),""),CHAR(13),""),CHAR(9),""),CHAR(160),"")," ",""),".",""),"-",""),"/",""),"?",""),"_",""),",",""),"[",""),"]",""),"(",""),")",""),"*","")</f>
        <v/>
      </c>
      <c r="AX597" s="61" t="str">
        <f aca="false">SUBSTITUTE(SUBSTITUTE(SUBSTITUTE(SUBSTITUTE(SUBSTITUTE(SUBSTITUTE(SUBSTITUTE(SUBSTITUTE(SUBSTITUTE(SUBSTITUTE(SUBSTITUTE(SUBSTITUTE(SUBSTITUTE(SUBSTITUTE(SUBSTITUTE(SUBSTITUTE(LOWER(AE597&amp;""),CHAR(10),""),CHAR(13),""),CHAR(9),""),CHAR(160),"")," ",""),".",""),"-",""),"/",""),"?",""),"_",""),",",""),"[",""),"]",""),"(",""),")",""),"*","")</f>
        <v/>
      </c>
      <c r="AY597" s="61" t="str">
        <f aca="false">SUBSTITUTE(SUBSTITUTE(SUBSTITUTE(SUBSTITUTE(SUBSTITUTE(SUBSTITUTE(SUBSTITUTE(SUBSTITUTE(SUBSTITUTE(SUBSTITUTE(SUBSTITUTE(SUBSTITUTE(SUBSTITUTE(SUBSTITUTE(SUBSTITUTE(SUBSTITUTE(LOWER(W597&amp;""),CHAR(10),""),CHAR(13),""),CHAR(9),""),CHAR(160),"")," ",""),".",""),"-",""),"/",""),"?",""),"_",""),",",""),"[",""),"]",""),"(",""),")",""),"*","")</f>
        <v/>
      </c>
      <c r="AZ597" s="61" t="str">
        <f aca="false">SUBSTITUTE(SUBSTITUTE(SUBSTITUTE(SUBSTITUTE(SUBSTITUTE(SUBSTITUTE(SUBSTITUTE(SUBSTITUTE(SUBSTITUTE(SUBSTITUTE(SUBSTITUTE(SUBSTITUTE(SUBSTITUTE(SUBSTITUTE(SUBSTITUTE(SUBSTITUTE(LOWER(AC597&amp;""),CHAR(10),""),CHAR(13),""),CHAR(9),""),CHAR(160),"")," ",""),".",""),"-",""),"/",""),"?",""),"_",""),",",""),"[",""),"]",""),"(",""),")",""),"*","")</f>
        <v/>
      </c>
      <c r="BA597" s="61" t="str">
        <f aca="false">SUBSTITUTE(SUBSTITUTE(SUBSTITUTE(SUBSTITUTE(SUBSTITUTE(SUBSTITUTE(SUBSTITUTE(SUBSTITUTE(SUBSTITUTE(SUBSTITUTE(SUBSTITUTE(SUBSTITUTE(SUBSTITUTE(SUBSTITUTE(SUBSTITUTE(SUBSTITUTE(LOWER(AA597&amp;""),CHAR(10),""),CHAR(13),""),CHAR(9),""),CHAR(160),"")," ",""),".",""),"-",""),"/",""),"?",""),"_",""),",",""),"[",""),"]",""),"(",""),")",""),"*","")</f>
        <v/>
      </c>
      <c r="BB597" s="61" t="str">
        <f aca="false">IF(AND(TRIM(U597)="Pass",ISNUMBER(AF597)),IF(AF597&lt;&gt;0,"INVALID – qty variance: use Fail or Pass after CA",""),"")&amp;IF(AND(TRIM(U597)="Pass after CA",ISNUMBER(AF597)),IF(AF597&lt;&gt;0,"INVALID – after the corrective action the actual qty must equal expected (update Actual)",""),"")&amp;IF(AND(TRIM(U597)="Pass",TRIM(AB597)&lt;&gt;"",TRIM(AB597)&lt;&gt;"Closed"),"INVALID – corrective action not closed: use Fail, then Pass after CA","")&amp;IF(AND(LEN(BA597)&gt;=2,ISNA(MATCH(LEFT(BA597,255),L_Placeholder,0)),TRIM(AB597)=""),"INVALID – CA status missing for the recorded corrective action","")&amp;IF(AND(TRIM(U597)="Pass after CA",OR(OR(LEN(BA597)&lt;5,ISNUMBER(MATCH(BA597,L_Placeholder,0))),TRIM(AB597)&lt;&gt;"Closed")),"INVALID – corrective action not recorded/closed","")</f>
        <v/>
      </c>
      <c r="BC597" s="61" t="str">
        <f aca="false">" "&amp;TRIM(SUBSTITUTE(SUBSTITUTE(SUBSTITUTE(SUBSTITUTE(SUBSTITUTE(SUBSTITUTE(SUBSTITUTE(SUBSTITUTE(SUBSTITUTE(SUBSTITUTE(SUBSTITUTE(SUBSTITUTE(SUBSTITUTE(SUBSTITUTE(SUBSTITUTE(SUBSTITUTE(SUBSTITUTE(SUBSTITUTE(SUBSTITUTE(SUBSTITUTE(SUBSTITUTE(SUBSTITUTE(SUBSTITUTE(SUBSTITUTE(LOWER(V597&amp;""),CHAR(10)," "),CHAR(13)," "),CHAR(9)," "),CHAR(160)," "),"."," "),","," "),"-"," "),"/"," "),"("," "),")"," "),":"," "),";"," "),"_"," "),"–"," "),"?"," "),"!"," "),"*"," "),"["," "),"]"," "),"'"," "),"#"," "),"+"," "),"&amp;"," "),"\"," "))&amp;" "</f>
        <v>  </v>
      </c>
      <c r="BD597" s="61" t="str">
        <f aca="false">" "&amp;TRIM(SUBSTITUTE(SUBSTITUTE(SUBSTITUTE(SUBSTITUTE(SUBSTITUTE(SUBSTITUTE(SUBSTITUTE(SUBSTITUTE(SUBSTITUTE(SUBSTITUTE(SUBSTITUTE(SUBSTITUTE(SUBSTITUTE(SUBSTITUTE(SUBSTITUTE(SUBSTITUTE(SUBSTITUTE(SUBSTITUTE(SUBSTITUTE(SUBSTITUTE(SUBSTITUTE(SUBSTITUTE(SUBSTITUTE(SUBSTITUTE(LOWER(Z597&amp;""),CHAR(10)," "),CHAR(13)," "),CHAR(9)," "),CHAR(160)," "),"."," "),","," "),"-"," "),"/"," "),"("," "),")"," "),":"," "),";"," "),"_"," "),"–"," "),"?"," "),"!"," "),"*"," "),"["," "),"]"," "),"'"," "),"#"," "),"+"," "),"&amp;"," "),"\"," "))&amp;" "</f>
        <v>  </v>
      </c>
      <c r="BE597" s="61" t="str">
        <f aca="false">" "&amp;TRIM(SUBSTITUTE(SUBSTITUTE(SUBSTITUTE(SUBSTITUTE(SUBSTITUTE(SUBSTITUTE(SUBSTITUTE(SUBSTITUTE(SUBSTITUTE(SUBSTITUTE(SUBSTITUTE(SUBSTITUTE(SUBSTITUTE(SUBSTITUTE(SUBSTITUTE(SUBSTITUTE(SUBSTITUTE(SUBSTITUTE(SUBSTITUTE(SUBSTITUTE(SUBSTITUTE(SUBSTITUTE(SUBSTITUTE(SUBSTITUTE(LOWER(W597&amp;""),CHAR(10)," "),CHAR(13)," "),CHAR(9)," "),CHAR(160)," "),"."," "),","," "),"-"," "),"/"," "),"("," "),")"," "),":"," "),";"," "),"_"," "),"–"," "),"?"," "),"!"," "),"*"," "),"["," "),"]"," "),"'"," "),"#"," "),"+"," "),"&amp;"," "),"\"," "))&amp;" "</f>
        <v>  </v>
      </c>
      <c r="BF597" s="61" t="str">
        <f aca="false">" "&amp;TRIM(SUBSTITUTE(SUBSTITUTE(SUBSTITUTE(SUBSTITUTE(SUBSTITUTE(SUBSTITUTE(SUBSTITUTE(SUBSTITUTE(SUBSTITUTE(SUBSTITUTE(SUBSTITUTE(SUBSTITUTE(SUBSTITUTE(SUBSTITUTE(SUBSTITUTE(SUBSTITUTE(SUBSTITUTE(SUBSTITUTE(SUBSTITUTE(SUBSTITUTE(SUBSTITUTE(SUBSTITUTE(SUBSTITUTE(SUBSTITUTE(LOWER(AC597&amp;""),CHAR(10)," "),CHAR(13)," "),CHAR(9)," "),CHAR(160)," "),"."," "),","," "),"-"," "),"/"," "),"("," "),")"," "),":"," "),";"," "),"_"," "),"–"," "),"?"," "),"!"," "),"*"," "),"["," "),"]"," "),"'"," "),"#"," "),"+"," "),"&amp;"," "),"\"," "))&amp;" "</f>
        <v>  </v>
      </c>
      <c r="BG597" s="61" t="n">
        <f aca="false">IFERROR(IF(AND(TRIM(U597)="Pass",SUMPRODUCT((LEN(BC597)-LEN(SUBSTITUTE(BC597," "&amp;L_ResultBad&amp;" "," ")))/(LEN(L_ResultBad)+1))&gt;SUMPRODUCT((LEN(BC597)-LEN(SUBSTITUTE(BC597," "&amp;L_NegPhrase&amp;" "," ")))/(LEN(L_NegPhrase)+1))),1,0),0)</f>
        <v>0</v>
      </c>
      <c r="BH597" s="61" t="n">
        <f aca="false">IFERROR(IF(SUMPRODUCT((LEN(BC597)-LEN(SUBSTITUTE(BC597," "&amp;L_Pending&amp;" "," ")))/(LEN(L_Pending)+1))&gt;SUMPRODUCT((LEN(BC597)-LEN(SUBSTITUTE(BC597," "&amp;L_PendNeg&amp;" "," ")))/(LEN(L_PendNeg)+1))+SUMPRODUCT((LEN(BC597)-LEN(SUBSTITUTE(BC597," "&amp;L_PendPrep&amp;" "," ")))/(LEN(L_PendPrep)+1)),1,0),1)</f>
        <v>0</v>
      </c>
      <c r="BI597" s="61" t="n">
        <f aca="false">IFERROR(IF(SUMPRODUCT((LEN(BD597)-LEN(SUBSTITUTE(BD597," "&amp;L_PendStrict&amp;" "," ")))/(LEN(L_PendStrict)+1))&gt;SUMPRODUCT((LEN(BD597)-LEN(SUBSTITUTE(BD597," "&amp;L_PendNeg&amp;" "," ")))/(LEN(L_PendNeg)+1)),1,0),1)</f>
        <v>0</v>
      </c>
      <c r="BJ597" s="61" t="n">
        <f aca="false">IFERROR(IF(SUMPRODUCT((LEN(BE597)-LEN(SUBSTITUTE(BE597," "&amp;L_Pending&amp;" "," ")))/(LEN(L_Pending)+1))&gt;SUMPRODUCT((LEN(BE597)-LEN(SUBSTITUTE(BE597," "&amp;L_PendNeg&amp;" "," ")))/(LEN(L_PendNeg)+1))+SUMPRODUCT((LEN(BE597)-LEN(SUBSTITUTE(BE597," "&amp;L_PendPrep&amp;" "," ")))/(LEN(L_PendPrep)+1)),1,0),1)</f>
        <v>0</v>
      </c>
      <c r="BK597" s="61" t="n">
        <f aca="false">IFERROR(IF(SUMPRODUCT((LEN(BF597)-LEN(SUBSTITUTE(BF597," "&amp;L_PendStrict&amp;" "," ")))/(LEN(L_PendStrict)+1))&gt;SUMPRODUCT((LEN(BF597)-LEN(SUBSTITUTE(BF597," "&amp;L_PendNeg&amp;" "," ")))/(LEN(L_PendNeg)+1)),1,0),1)</f>
        <v>0</v>
      </c>
      <c r="BL597" s="61" t="n">
        <f aca="false">IF(ISNA(MATCH(TRIM(S597),L_EvidenceType,0)),0,BZ597)</f>
        <v>0</v>
      </c>
      <c r="BM597" s="61" t="str">
        <f aca="false">SUBSTITUTE(SUBSTITUTE(SUBSTITUTE(SUBSTITUTE(SUBSTITUTE(SUBSTITUTE(SUBSTITUTE(SUBSTITUTE(SUBSTITUTE(LOWER(Z597&amp;""),"1","0"),"2","0"),"3","0"),"4","0"),"5","0"),"6","0"),"7","0"),"8","0"),"9","0")</f>
        <v/>
      </c>
      <c r="BN597" s="61" t="str">
        <f aca="false">SUBSTITUTE(SUBSTITUTE(SUBSTITUTE(SUBSTITUTE(SUBSTITUTE(SUBSTITUTE(SUBSTITUTE(SUBSTITUTE(SUBSTITUTE(SUBSTITUTE(SUBSTITUTE(SUBSTITUTE(SUBSTITUTE(SUBSTITUTE(SUBSTITUTE(SUBSTITUTE(SUBSTITUTE(SUBSTITUTE(SUBSTITUTE(SUBSTITUTE(SUBSTITUTE(SUBSTITUTE(SUBSTITUTE(SUBSTITUTE(SUBSTITUTE(BM597,"b","a"),"c","a"),"d","a"),"e","a"),"f","a"),"g","a"),"h","a"),"i","a"),"j","a"),"k","a"),"l","a"),"m","a"),"n","a"),"o","a"),"p","a"),"q","a"),"r","a"),"s","a"),"t","a"),"u","a"),"v","a"),"w","a"),"x","a"),"y","a"),"z","a")</f>
        <v/>
      </c>
      <c r="BO597" s="61" t="str">
        <f aca="false">SUBSTITUTE(SUBSTITUTE(SUBSTITUTE(SUBSTITUTE(SUBSTITUTE(SUBSTITUTE(SUBSTITUTE(SUBSTITUTE(SUBSTITUTE(LOWER(W597&amp;""),"1","0"),"2","0"),"3","0"),"4","0"),"5","0"),"6","0"),"7","0"),"8","0"),"9","0")</f>
        <v/>
      </c>
      <c r="BP597" s="61" t="str">
        <f aca="false">SUBSTITUTE(SUBSTITUTE(SUBSTITUTE(SUBSTITUTE(SUBSTITUTE(SUBSTITUTE(SUBSTITUTE(SUBSTITUTE(SUBSTITUTE(SUBSTITUTE(SUBSTITUTE(SUBSTITUTE(SUBSTITUTE(SUBSTITUTE(SUBSTITUTE(SUBSTITUTE(SUBSTITUTE(SUBSTITUTE(SUBSTITUTE(SUBSTITUTE(SUBSTITUTE(SUBSTITUTE(SUBSTITUTE(SUBSTITUTE(SUBSTITUTE(BO597,"b","a"),"c","a"),"d","a"),"e","a"),"f","a"),"g","a"),"h","a"),"i","a"),"j","a"),"k","a"),"l","a"),"m","a"),"n","a"),"o","a"),"p","a"),"q","a"),"r","a"),"s","a"),"t","a"),"u","a"),"v","a"),"w","a"),"x","a"),"y","a"),"z","a")</f>
        <v/>
      </c>
      <c r="BQ597" s="61" t="n">
        <f aca="false">IFERROR(IF(AND(ISERROR(SEARCH(" mh"," "&amp;LOWER(W597))),ISNA(MATCH(LEFT(TRIM(BP597),255),{"0000a","000a","00a","0000aa","000aa","00aa","0aa","0000aaa","000aaa","00a00","0a00","0000-0000","00:00","a00","a0","00.00.0000","00/00/0000","00-00-0000","0000-00-00","0000/00/00","0000.00.00","00.00.00","00/00/00","00-00-00","0.00.0000","0/00/0000","0-00-0000"},0)),ISNA(MATCH(LEFT(TRIM(CA597),255),{"0000a","000a","00a","0000aa","000aa","00aa","0aa","0000aaa","000aaa","00a00","0a00","0000-0000","00:00","a00","a0","00.00.0000","00/00/0000","00-00-0000","0000-00-00","0000/00/00","0000.00.00","00.00.00","00/00/00","00-00-00","0.00.0000","0/00/0000","0-00-0000"},0)),LEN(CB597)&gt;=3,NOT(OR(SUBSTITUTE(CB597,"0","")="",AND(LEN(CB597)&gt;=4,CB597=REPT(LEFT(CB597),LEN(CB597))),ISNUMBER(MATCH(CB597,{"123","1234","12345","123456","1234567","12345678","0123","01234","012345","98765","987654","54321"},0)),AND(LEN(CB597)=8,LEFT(CB597,3)="202"))),OR(AND((LEN(CA597)-LEN(SUBSTITUTE(CA597,"a","")))&gt;=1,SUMPRODUCT(--ISNUMBER(SEARCH({"a0","a-0","a_0","a/0","a.0","a#0","0a","0-a","0_a","0/a"},BP597)))&gt;0),ISNUMBER(SEARCH("000000",BP597)))),1,0),0)</f>
        <v>0</v>
      </c>
      <c r="BR597" s="61" t="n">
        <f aca="false">IFERROR(LEN(SUBSTITUTE(CC597," ",""))-SUMPRODUCT((LEN(CC597)-LEN(SUBSTITUTE(CC597," "&amp;L_Role&amp;" "," ")))/(LEN(L_Role)+1)*LEN(L_Role)),0)</f>
        <v>0</v>
      </c>
      <c r="BS597" s="61" t="n">
        <f aca="false">IFERROR(LEN(SUBSTITUTE(CD597," ",""))-SUMPRODUCT((LEN(CD597)-LEN(SUBSTITUTE(CD597," "&amp;L_Role&amp;" "," ")))/(LEN(L_Role)+1)*LEN(L_Role)),0)</f>
        <v>0</v>
      </c>
      <c r="BT5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597,"revision",""),"version",""),"jan",""),"feb",""),"mar",""),"apr",""),"may",""),"jun",""),"jul",""),"aug",""),"sep",""),"oct",""),"nov",""),"dec",""),"utc",""),"gmt",""),"myt",""),"bst",""),"rev",""),"ver",""),"b","a"),"c","a"),"d","a"),"e","a"),"f","a"),"g","a"),"h","a"),"i","a"),"j","a"),"k","a"),"l","a"),"m","a"),"n","a"),"o","a"),"p","a"),"q","a"),"r","a"),"s","a"),"t","a"),"u","a"),"v","a"),"w","a"),"x","a"),"y","a"),"z","a")</f>
        <v/>
      </c>
      <c r="BU597" s="61" t="str">
        <f aca="false">SUBSTITUTE(SUBSTITUTE(SUBSTITUTE(SUBSTITUTE(SUBSTITUTE(SUBSTITUTE(SUBSTITUTE(SUBSTITUTE(SUBSTITUTE(SUBSTITUTE(LEFT(BM597,FIND("0",BM597&amp;"0")-1),"-",""),"_",""),"/",""),".",""),"#",""),"\\",""),":","")," ",""),"(",""),")","")</f>
        <v/>
      </c>
      <c r="BV597" s="61" t="n">
        <f aca="false">0</f>
        <v>0</v>
      </c>
      <c r="BW5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597&amp;""),"a",""),"b",""),"c",""),"d",""),"e",""),"f",""),"g",""),"h",""),"i",""),"j",""),"k",""),"l",""),"m",""),"n",""),"o",""),"p",""),"q",""),"r",""),"s",""),"t",""),"u",""),"v",""),"w",""),"x",""),"y",""),"z",""),"-",""),"_",""),"/",""),".",""),"#",""),"\\",""),":","")," ",""),"(",""),")","")</f>
        <v/>
      </c>
      <c r="BX597" s="61" t="str">
        <f aca="false">SUBSTITUTE(SUBSTITUTE(SUBSTITUTE(SUBSTITUTE(SUBSTITUTE(SUBSTITUTE(SUBSTITUTE(SUBSTITUTE(SUBSTITUTE(SUBSTITUTE(SUBSTITUTE(BM597,"0",""),"-",""),"_",""),"/",""),".",""),"#",""),"\\",""),":","")," ",""),"(",""),")","")</f>
        <v/>
      </c>
      <c r="BY597" s="62" t="n">
        <f aca="false">Q597-T12EarlyH/24</f>
        <v>46321.6006944444</v>
      </c>
      <c r="BZ597" s="61" t="n">
        <f aca="false">IFERROR(IF(IF(TRIM(S597)="Link / file path",AND(LEN(TRIM(Z597))&gt;=5,SUMPRODUCT(--ISNUMBER(SEARCH({"http","www.","\\",":\",".pdf",".jpg",".jpeg",".png",".heic",".xls",".doc",".msg",".eml",".ppt",".txt",".zip"},Z597)))&gt;0),AND(ISERROR(FIND(" ",TRIM(Z597))),NOT(OR(SUMPRODUCT(--ISNUMBER(FIND({",",";","&amp;","+"},Z597)))&gt;0,SUMPRODUCT(--ISNUMBER(SEARCH({"0/aa","0\\aa"},BN597)))&gt;0)),NOT(SUMPRODUCT(--ISNUMBER(SEARCH({"http","www.","\\",":\",".pdf",".jpg",".jpeg",".png",".heic",".xls",".doc",".msg",".eml",".ppt",".txt",".zip"},Z597)))&gt;0),NOT(LOWER(TRIM(Z597))=LOWER(Flights!$F$22)),ISNA(MATCH(BU597,{"mh","rev","revision","ver","version","v","r","a","b","seat","tray","row","gate","bay","stand","page","pg","item","line","no","cart","galley","flight","flt","table","box","bag","oven","etd","eta","std","sta","atd","ata","qty","pax","x","time","tel","ph","mob","day","wk","week","utc","gmt","myt","lt"},0)),NOT(OR(ISNUMBER(MATCH(LEFT(BN597,255),{"0000a","000a","00a","0000aa","000aa","00aa","0aa","0000aaa","000aaa","00a00","0a00","0000-0000","00:00","a00","a0","00.00.0000","00/00/0000","00-00-0000","0000-00-00","0000/00/00","0000.00.00","00.00.00","00/00/00","00-00-00","0.00.0000","0/00/0000","0-00-0000"},0)),ISNUMBER(MATCH(LEFT(BT597,255),{"0000a","000a","00a","0000aa","000aa","00aa","0aa","0000aaa","000aaa","00a00","0a00","0000-0000","00:00","a00","a0","00.00.0000","00/00/0000","00-00-0000","0000-00-00","0000/00/00","0000.00.00","00.00.00","00/00/00","00-00-00","0.00.0000","0/00/0000","0-00-0000"},0)))),NOT(OR(AND(BW597&lt;&gt;"",SUBSTITUTE(BW597,"0","")=""),AND(LEN(BW597)&gt;=4,BW597=REPT(LEFT(BW597),LEN(BW597))),ISNUMBER(MATCH(BW597,{"123","1234","12345","123456","1234567","12345678","0123","01234","012345","98765","987654","54321"},0)),ISNUMBER(MATCH(BX597,{"x","xx","xxx","xxxx","xxxxx","abc","abcd","nil","na","nan","test","tbc","tba","tbd","dummy","sample","example","eg","zz","zzz","none","null","xyz","qwe","asd","id","ref"},0)),AND(LEN(BW597)=8,BX597="",OR(LEFT(BW597,3)="202",ISNUMBER(MATCH(RIGHT(BW597,4),{"2025","2026","2027"},0)))))),OR(AND((LEN(BT597)-LEN(SUBSTITUTE(BT597,"a","")))&gt;=1,(LEN(BN597)-LEN(SUBSTITUTE(BN597,"0","")))&gt;=2,SUMPRODUCT(--ISNUMBER(SEARCH({"a0","a-0","a_0","a/0","a.0","a#0","0a","0-a","0_a","0/a"},BN597)))&gt;0),AND((LEN(BN597)-LEN(SUBSTITUTE(BN597,"a","")))=0,(LEN(BN597)-LEN(SUBSTITUTE(BN597,"0","")))&gt;=5)))),1,0),0)</f>
        <v>0</v>
      </c>
      <c r="CA5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597,"revision",""),"version",""),"jan",""),"feb",""),"mar",""),"apr",""),"may",""),"jun",""),"jul",""),"aug",""),"sep",""),"oct",""),"nov",""),"dec",""),"utc",""),"gmt",""),"myt",""),"bst",""),"rev",""),"ver",""),"b","a"),"c","a"),"d","a"),"e","a"),"f","a"),"g","a"),"h","a"),"i","a"),"j","a"),"k","a"),"l","a"),"m","a"),"n","a"),"o","a"),"p","a"),"q","a"),"r","a"),"s","a"),"t","a"),"u","a"),"v","a"),"w","a"),"x","a"),"y","a"),"z","a")</f>
        <v/>
      </c>
      <c r="CB5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597&amp;""),"a",""),"b",""),"c",""),"d",""),"e",""),"f",""),"g",""),"h",""),"i",""),"j",""),"k",""),"l",""),"m",""),"n",""),"o",""),"p",""),"q",""),"r",""),"s",""),"t",""),"u",""),"v",""),"w",""),"x",""),"y",""),"z",""),"-",""),"_",""),"/",""),".",""),"#",""),"\\",""),":","")," ",""),"(",""),")","")</f>
        <v/>
      </c>
      <c r="CC597" s="0" t="str">
        <f aca="false">" "&amp;TRIM(SUBSTITUTE(SUBSTITUTE(SUBSTITUTE(SUBSTITUTE(SUBSTITUTE(SUBSTITUTE(SUBSTITUTE(SUBSTITUTE(SUBSTITUTE(SUBSTITUTE(SUBSTITUTE(SUBSTITUTE(SUBSTITUTE(SUBSTITUTE(SUBSTITUTE(SUBSTITUTE(SUBSTITUTE(SUBSTITUTE(SUBSTITUTE(SUBSTITUTE(SUBSTITUTE(SUBSTITUTE(SUBSTITUTE(SUBSTITUTE(LOWER(T597&amp;""),CHAR(10)," "),CHAR(13)," "),CHAR(9)," "),CHAR(160)," "),"."," "),","," "),"-"," "),"/"," "),"("," "),")"," "),":"," "),";"," "),"_"," "),"–"," "),"?"," "),"!"," "),"*"," "),"["," "),"]"," "),"'"," "),"#"," "),"+"," "),"&amp;"," "),"\"," "))&amp;" "</f>
        <v>  </v>
      </c>
      <c r="CD597" s="0" t="str">
        <f aca="false">" "&amp;TRIM(SUBSTITUTE(SUBSTITUTE(SUBSTITUTE(SUBSTITUTE(SUBSTITUTE(SUBSTITUTE(SUBSTITUTE(SUBSTITUTE(SUBSTITUTE(SUBSTITUTE(SUBSTITUTE(SUBSTITUTE(SUBSTITUTE(SUBSTITUTE(SUBSTITUTE(SUBSTITUTE(SUBSTITUTE(SUBSTITUTE(SUBSTITUTE(SUBSTITUTE(SUBSTITUTE(SUBSTITUTE(SUBSTITUTE(SUBSTITUTE(LOWER(AE597&amp;""),CHAR(10)," "),CHAR(13)," "),CHAR(9)," "),CHAR(160)," "),"."," "),","," "),"-"," "),"/"," "),"("," "),")"," "),":"," "),";"," "),"_"," "),"–"," "),"?"," "),"!"," "),"*"," "),"["," "),"]"," "),"'"," "),"#"," "),"+"," "),"&amp;"," "),"\"," "))&amp;" "</f>
        <v>  </v>
      </c>
      <c r="CE597" s="68" t="n">
        <f aca="false">IFERROR(IF(AND(LEN(AU597)&gt;0,LEN(AU597)=LEN(AX597),OR(TRIM(MID(SUBSTITUTE(TRIM(CC597)," ",REPT(" ",60)),1,60))="",ISNUMBER(SEARCH(" "&amp;TRIM(MID(SUBSTITUTE(TRIM(CC597)," ",REPT(" ",60)),1,60))&amp;" ",CD597))),OR(TRIM(MID(SUBSTITUTE(TRIM(CC597)," ",REPT(" ",60)),61,60))="",ISNUMBER(SEARCH(" "&amp;TRIM(MID(SUBSTITUTE(TRIM(CC597)," ",REPT(" ",60)),61,60))&amp;" ",CD597))),OR(TRIM(MID(SUBSTITUTE(TRIM(CC597)," ",REPT(" ",60)),121,60))="",ISNUMBER(SEARCH(" "&amp;TRIM(MID(SUBSTITUTE(TRIM(CC597)," ",REPT(" ",60)),121,60))&amp;" ",CD597)))),1,0),0)</f>
        <v>0</v>
      </c>
      <c r="CG597" s="68" t="n">
        <f aca="false">IFERROR(LEN(SUBSTITUTE(BF597," ",""))-SUMPRODUCT((LEN(BF597)-LEN(SUBSTITUTE(BF597," "&amp;L_NAFiller&amp;" "," ")))/(LEN(L_NAFiller)+1)*LEN(L_NAFiller)),0)</f>
        <v>0</v>
      </c>
    </row>
    <row r="598" customFormat="false" ht="41.25" hidden="false" customHeight="true" outlineLevel="0" collapsed="false">
      <c r="A598" s="57" t="s">
        <v>1299</v>
      </c>
      <c r="B598" s="57" t="s">
        <v>293</v>
      </c>
      <c r="C598" s="57" t="str">
        <f aca="false">Flights!$F$22</f>
        <v>MH0052</v>
      </c>
      <c r="D598" s="58" t="n">
        <f aca="false">Flights!$D$22</f>
        <v>46322</v>
      </c>
      <c r="E598" s="57" t="str">
        <f aca="false">Flights!$G$22&amp;"-"&amp;Flights!$H$22</f>
        <v>KUL-KIX</v>
      </c>
      <c r="F598" s="57" t="str">
        <f aca="false">Flights!$K$22</f>
        <v>BC</v>
      </c>
      <c r="G598" s="57" t="s">
        <v>420</v>
      </c>
      <c r="H598" s="57" t="s">
        <v>378</v>
      </c>
      <c r="I598" s="57" t="s">
        <v>499</v>
      </c>
      <c r="J598" s="57" t="s">
        <v>523</v>
      </c>
      <c r="K598" s="67" t="s">
        <v>501</v>
      </c>
      <c r="L598" s="67" t="s">
        <v>1300</v>
      </c>
      <c r="M598" s="67" t="s">
        <v>451</v>
      </c>
      <c r="N598" s="67" t="s">
        <v>383</v>
      </c>
      <c r="O598" s="67" t="s">
        <v>503</v>
      </c>
      <c r="P598" s="57" t="s">
        <v>187</v>
      </c>
      <c r="Q598" s="59" t="n">
        <f aca="false">ROUND((Flights!$AE$22)*1440,0)/1440</f>
        <v>46322.1006944444</v>
      </c>
      <c r="R598" s="59" t="n">
        <f aca="false">Q598+(IF(AND(INDEX(TZ_DSTS,MATCH(P598,TZ_STN,0))&lt;&gt;"",Q598&gt;=INDEX(TZ_DSTS,MATCH(P598,TZ_STN,0)),Q598&lt;INDEX(TZ_DSTE,MATCH(P598,TZ_STN,0))),INDEX(TZ_DST,MATCH(P598,TZ_STN,0)),INDEX(TZ_STD,MATCH(P598,TZ_STN,0))))/24</f>
        <v>46322.4340277778</v>
      </c>
      <c r="S598" s="60"/>
      <c r="T598" s="60"/>
      <c r="U598" s="60"/>
      <c r="V598" s="60"/>
      <c r="W598" s="61"/>
      <c r="X598" s="60"/>
      <c r="Y598" s="60"/>
      <c r="Z598" s="60"/>
      <c r="AA598" s="60"/>
      <c r="AB598" s="60"/>
      <c r="AC598" s="60"/>
      <c r="AD598" s="66"/>
      <c r="AE598" s="60"/>
      <c r="AF598" s="61" t="str">
        <f aca="false">IF(AND(ISNUMBER(X598),ISNUMBER(Y598)),Y598-X598,"")</f>
        <v/>
      </c>
      <c r="AG598" s="62" t="str">
        <f aca="false">IF(ISNUMBER(AD598),AD598-(IF(AND(INDEX(TZ_DSTS,MATCH(P598,TZ_STN,0))&lt;&gt;"",(AD598-INDEX(TZ_STD,MATCH(P598,TZ_STN,0))/24)&gt;=INDEX(TZ_DSTS,MATCH(P598,TZ_STN,0)),(AD598-INDEX(TZ_STD,MATCH(P598,TZ_STN,0))/24)&lt;INDEX(TZ_DSTE,MATCH(P598,TZ_STN,0))),INDEX(TZ_DST,MATCH(P598,TZ_STN,0)),INDEX(TZ_STD,MATCH(P598,TZ_STN,0))))/24,"")</f>
        <v/>
      </c>
      <c r="AH598" s="65" t="str">
        <f aca="false">IFERROR(IF(N598="N/A – rule",IF(OR(TRIM(U598)="",TRIM(U598)="N/A",TRIM(U598)="Not started"),"N/A – RULE","INVALID – this check does not apply to this aircraft: clear the status (or correct the fleet on Flights)"),IF(TRIM(U598)="N/A",IF(AT598=0,"INVALID – N/A not permitted for this check",IF(AND(TRIM(AB598)&lt;&gt;"",TRIM(AB598)&lt;&gt;"Closed"),"INVALID – corrective action still open",IF(AND(NOT(OR(LEN(AZ598)&lt;15,ISNUMBER(MATCH(AZ598,L_Placeholder,0)))),BK598=0,CG598&gt;=8,NOT(OR(LEN(AU598)&lt;2,ISNUMBER(MATCH(AU598,L_Placeholder,0)))),BR598&gt;=3,NOT(OR(LEN(AX598)&lt;2,ISNUMBER(MATCH(AX598,L_Placeholder,0)))),BS598&gt;=3,TRIM(AE598)&lt;&gt;TRIM(T598),AX598&lt;&gt;AU598,CE598=0),"N/A – JUSTIFIED","INVALID – N/A needs a real, settled reason (not 'not applicable' / 'as above' / TBC), a named PIC and a different named verifier"))),IF(OR(TRIM(U598)="Pass",TRIM(U598)="Pass after CA"),IF(NOT(ISNUMBER(AD598)),"INVALID – completion time missing",IF(OR(OR(LEN(AU598)&lt;2,ISNUMBER(MATCH(AU598,L_Placeholder,0))),BR598&lt;3),"INVALID – PIC missing or not a named person (a role such as QA / CSM is not a name)",IF(OR(LEN(AV598)&lt;2,ISNUMBER(MATCH(AV598,L_Placeholder,0))),"INVALID – result / assessment missing",IF(OR(OR(LEN(AW598)&lt;3,ISNUMBER(MATCH(AW598,L_Placeholder,0))),SUMPRODUCT(--ISNUMBER(SEARCH(" "&amp;L_EvidencePhrase&amp;" ",BD598)))&gt;0,BI598=1),"INVALID – evidence missing, placeholder or not yet on file",IF(ISNA(MATCH(TRIM(S598),L_EvidenceType,0)),"INVALID – choose the evidence type from the list (column S)",IF(BL598=0,"INVALID – evidence ID must be the record's own ID only (e.g. SF-2210, IMG_2231, 1045521); a link / file name needs type 'Link / file path'",IF(OR(OR(LEN(AX598)&lt;2,ISNUMBER(MATCH(AX598,L_Placeholder,0))),BS598&lt;3),"INVALID – verifier missing or not a named person (a role such as QA / CSM is not a name)",IF(OR(AX598=AU598,CE598=1,AND(LEN(AU598)&gt;=4,ISNUMBER(SEARCH(AU598,AX598))),AND(LEN(AX598)&gt;=4,ISNUMBER(SEARCH(AX598,AU598)))),"INVALID – verifier must be a different, named person (not the PIC or a role)",IF(BH598=1,"INVALID – result not yet available (awaiting / TBC)",IF(BG598=1,"INVALID – result describes a problem: record Fail, then Pass after CA (or reword if it is not a problem)",IF(BV598=1,"INVALID – wording says not on board: an on-board confirmation needs the item loaded",IF(AND(AQ598=1,OR(OR(LEN(AY598)&lt;3,ISNUMBER(MATCH(AY598,L_Placeholder,0))),BJ598=1,BQ598=0)),"INVALID – batch ID missing, placeholder or not an ID (e.g. PASB-261008-BC-017)",IF(AND(AR598=1,OR(NOT(ISNUMBER(X598)),NOT(ISNUMBER(Y598)))),"INVALID – expected/actual qty missing",IF(AND(AR598=1,OR(X598&lt;=0,Y598&lt;0)),"INVALID – expected qty must be above 0 and actual not negative",IF(BB598&lt;&gt;"",BB598,IF(AND(AS598=1,Documents!$J$22&lt;&gt;"ON FILE"),"INVALID – GLD not on file (Documents sheet)",IF(AND(AS598=2,Documents!$O$22&lt;&gt;"ON FILE"),"INVALID – menu checklist not on file (Documents sheet)",IF(AND(AS598=3,NOT(ISNUMBER(Flights!$AX$22))),"INVALID – enter carrying flight KUL departure (Flights AX)",IF(AND(AS598=3,OR(Flights!$AZ$22&gt;Flights!$AA$22,Flights!$AX$22&lt;Flights!$AA$22-3)),"INVALID – carrying flight (Flights AX) cannot arrive before this leg's STD, or is over 3 days early",IF(AG598&gt;AsOfUTC,"INVALID – completion time is in the future",IF(AND(ISNUMBER(BY598),AG598&lt;BY598),IF(H598="Physical uplift","INVALID – before uplift window (cannot confirm loading)","INVALID – before valid window"),IF(AG598&gt;Flights!$AA$22,"INVALID – completed after departure (cannot establish readiness)",IF(AND(H598="Preparation",AG598&gt;=IF(ISNUMBER(Flights!$BA$22),MIN(Flights!$BA$22,Flights!$AA$22),Flights!$AA$22)),"INVALID – completed after loading / departure (cannot establish readiness)",IF(AND(H598="Physical uplift",AG598&gt;Q598),"INVALID – recorded after the loading flight departed",IF(AG598&gt;Q598,"COMPLETE – LATE","COMPLETE"))))))))))))))))))))))))),IF(TRIM(U598)="Fail","FAIL – DISCREPANCY",IF(AND(TRIM(U598)&lt;&gt;"",TRIM(U598)&lt;&gt;"Not started",TRIM(U598)&lt;&gt;"In progress"),"INVALID – unrecognised status (use the list)",IF(AsOfUTC&gt;Q598,"OVERDUE",IF(N598="Clarification required","OPEN – CLARIFICATION","OPEN"))))))),"INVALID – error value in an input cell")</f>
        <v>OPEN</v>
      </c>
      <c r="AI598" s="61" t="n">
        <f aca="false">IF(OR(AH598="N/A – RULE",AH598="N/A – JUSTIFIED"),0,1)</f>
        <v>1</v>
      </c>
      <c r="AJ598" s="61" t="n">
        <f aca="false">IF(LEFT(AH598,8)="COMPLETE",1,0)</f>
        <v>0</v>
      </c>
      <c r="AK598" s="61" t="n">
        <f aca="false">IF(AND(AI598=1,AJ598=0,AsOfUTC&gt;Q598),1,0)</f>
        <v>0</v>
      </c>
      <c r="AL598" s="61" t="n">
        <f aca="false">IFERROR(IF(AND(AI598=1,OR(TRIM(U598)="Fail",AND(TRIM(AB598)&lt;&gt;"",TRIM(AB598)&lt;&gt;"Closed"),AND(ISNUMBER(AF598),AF598&lt;&gt;0,TRIM(U598)&lt;&gt;"Pass after CA"))),1,0),1)</f>
        <v>0</v>
      </c>
      <c r="AM598" s="61" t="n">
        <f aca="false">IF(LEFT(AH598,7)="INVALID",1,0)</f>
        <v>0</v>
      </c>
      <c r="AN598" s="61" t="n">
        <f aca="false">IF(AND(N598="Clarification required",AI598=1,AJ598=0),1,0)</f>
        <v>0</v>
      </c>
      <c r="AO598" s="61" t="str">
        <f aca="false">IF(AK598=1,SUM(AK$5:AK598),"")</f>
        <v/>
      </c>
      <c r="AP598" s="61" t="str">
        <f aca="false">IF(AL598=1,SUM(AL$5:AL598),"")</f>
        <v/>
      </c>
      <c r="AQ598" s="61" t="n">
        <v>0</v>
      </c>
      <c r="AR598" s="61" t="n">
        <v>0</v>
      </c>
      <c r="AS598" s="61" t="n">
        <v>0</v>
      </c>
      <c r="AT598" s="61" t="n">
        <v>0</v>
      </c>
      <c r="AU598" s="61" t="str">
        <f aca="false">SUBSTITUTE(SUBSTITUTE(SUBSTITUTE(SUBSTITUTE(SUBSTITUTE(SUBSTITUTE(SUBSTITUTE(SUBSTITUTE(SUBSTITUTE(SUBSTITUTE(SUBSTITUTE(SUBSTITUTE(SUBSTITUTE(SUBSTITUTE(SUBSTITUTE(SUBSTITUTE(LOWER(T598&amp;""),CHAR(10),""),CHAR(13),""),CHAR(9),""),CHAR(160),"")," ",""),".",""),"-",""),"/",""),"?",""),"_",""),",",""),"[",""),"]",""),"(",""),")",""),"*","")</f>
        <v/>
      </c>
      <c r="AV598" s="61" t="str">
        <f aca="false">SUBSTITUTE(SUBSTITUTE(SUBSTITUTE(SUBSTITUTE(SUBSTITUTE(SUBSTITUTE(SUBSTITUTE(SUBSTITUTE(SUBSTITUTE(SUBSTITUTE(SUBSTITUTE(SUBSTITUTE(SUBSTITUTE(SUBSTITUTE(SUBSTITUTE(SUBSTITUTE(LOWER(V598&amp;""),CHAR(10),""),CHAR(13),""),CHAR(9),""),CHAR(160),"")," ",""),".",""),"-",""),"/",""),"?",""),"_",""),",",""),"[",""),"]",""),"(",""),")",""),"*","")</f>
        <v/>
      </c>
      <c r="AW598" s="61" t="str">
        <f aca="false">SUBSTITUTE(SUBSTITUTE(SUBSTITUTE(SUBSTITUTE(SUBSTITUTE(SUBSTITUTE(SUBSTITUTE(SUBSTITUTE(SUBSTITUTE(SUBSTITUTE(SUBSTITUTE(SUBSTITUTE(SUBSTITUTE(SUBSTITUTE(SUBSTITUTE(SUBSTITUTE(LOWER(Z598&amp;""),CHAR(10),""),CHAR(13),""),CHAR(9),""),CHAR(160),"")," ",""),".",""),"-",""),"/",""),"?",""),"_",""),",",""),"[",""),"]",""),"(",""),")",""),"*","")</f>
        <v/>
      </c>
      <c r="AX598" s="61" t="str">
        <f aca="false">SUBSTITUTE(SUBSTITUTE(SUBSTITUTE(SUBSTITUTE(SUBSTITUTE(SUBSTITUTE(SUBSTITUTE(SUBSTITUTE(SUBSTITUTE(SUBSTITUTE(SUBSTITUTE(SUBSTITUTE(SUBSTITUTE(SUBSTITUTE(SUBSTITUTE(SUBSTITUTE(LOWER(AE598&amp;""),CHAR(10),""),CHAR(13),""),CHAR(9),""),CHAR(160),"")," ",""),".",""),"-",""),"/",""),"?",""),"_",""),",",""),"[",""),"]",""),"(",""),")",""),"*","")</f>
        <v/>
      </c>
      <c r="AY598" s="61" t="str">
        <f aca="false">SUBSTITUTE(SUBSTITUTE(SUBSTITUTE(SUBSTITUTE(SUBSTITUTE(SUBSTITUTE(SUBSTITUTE(SUBSTITUTE(SUBSTITUTE(SUBSTITUTE(SUBSTITUTE(SUBSTITUTE(SUBSTITUTE(SUBSTITUTE(SUBSTITUTE(SUBSTITUTE(LOWER(W598&amp;""),CHAR(10),""),CHAR(13),""),CHAR(9),""),CHAR(160),"")," ",""),".",""),"-",""),"/",""),"?",""),"_",""),",",""),"[",""),"]",""),"(",""),")",""),"*","")</f>
        <v/>
      </c>
      <c r="AZ598" s="61" t="str">
        <f aca="false">SUBSTITUTE(SUBSTITUTE(SUBSTITUTE(SUBSTITUTE(SUBSTITUTE(SUBSTITUTE(SUBSTITUTE(SUBSTITUTE(SUBSTITUTE(SUBSTITUTE(SUBSTITUTE(SUBSTITUTE(SUBSTITUTE(SUBSTITUTE(SUBSTITUTE(SUBSTITUTE(LOWER(AC598&amp;""),CHAR(10),""),CHAR(13),""),CHAR(9),""),CHAR(160),"")," ",""),".",""),"-",""),"/",""),"?",""),"_",""),",",""),"[",""),"]",""),"(",""),")",""),"*","")</f>
        <v/>
      </c>
      <c r="BA598" s="61" t="str">
        <f aca="false">SUBSTITUTE(SUBSTITUTE(SUBSTITUTE(SUBSTITUTE(SUBSTITUTE(SUBSTITUTE(SUBSTITUTE(SUBSTITUTE(SUBSTITUTE(SUBSTITUTE(SUBSTITUTE(SUBSTITUTE(SUBSTITUTE(SUBSTITUTE(SUBSTITUTE(SUBSTITUTE(LOWER(AA598&amp;""),CHAR(10),""),CHAR(13),""),CHAR(9),""),CHAR(160),"")," ",""),".",""),"-",""),"/",""),"?",""),"_",""),",",""),"[",""),"]",""),"(",""),")",""),"*","")</f>
        <v/>
      </c>
      <c r="BB598" s="61" t="str">
        <f aca="false">IF(AND(TRIM(U598)="Pass",ISNUMBER(AF598)),IF(AF598&lt;&gt;0,"INVALID – qty variance: use Fail or Pass after CA",""),"")&amp;IF(AND(TRIM(U598)="Pass after CA",ISNUMBER(AF598)),IF(AF598&lt;&gt;0,"INVALID – after the corrective action the actual qty must equal expected (update Actual)",""),"")&amp;IF(AND(TRIM(U598)="Pass",TRIM(AB598)&lt;&gt;"",TRIM(AB598)&lt;&gt;"Closed"),"INVALID – corrective action not closed: use Fail, then Pass after CA","")&amp;IF(AND(LEN(BA598)&gt;=2,ISNA(MATCH(LEFT(BA598,255),L_Placeholder,0)),TRIM(AB598)=""),"INVALID – CA status missing for the recorded corrective action","")&amp;IF(AND(TRIM(U598)="Pass after CA",OR(OR(LEN(BA598)&lt;5,ISNUMBER(MATCH(BA598,L_Placeholder,0))),TRIM(AB598)&lt;&gt;"Closed")),"INVALID – corrective action not recorded/closed","")</f>
        <v/>
      </c>
      <c r="BC598" s="61" t="str">
        <f aca="false">" "&amp;TRIM(SUBSTITUTE(SUBSTITUTE(SUBSTITUTE(SUBSTITUTE(SUBSTITUTE(SUBSTITUTE(SUBSTITUTE(SUBSTITUTE(SUBSTITUTE(SUBSTITUTE(SUBSTITUTE(SUBSTITUTE(SUBSTITUTE(SUBSTITUTE(SUBSTITUTE(SUBSTITUTE(SUBSTITUTE(SUBSTITUTE(SUBSTITUTE(SUBSTITUTE(SUBSTITUTE(SUBSTITUTE(SUBSTITUTE(SUBSTITUTE(LOWER(V598&amp;""),CHAR(10)," "),CHAR(13)," "),CHAR(9)," "),CHAR(160)," "),"."," "),","," "),"-"," "),"/"," "),"("," "),")"," "),":"," "),";"," "),"_"," "),"–"," "),"?"," "),"!"," "),"*"," "),"["," "),"]"," "),"'"," "),"#"," "),"+"," "),"&amp;"," "),"\"," "))&amp;" "</f>
        <v>  </v>
      </c>
      <c r="BD598" s="61" t="str">
        <f aca="false">" "&amp;TRIM(SUBSTITUTE(SUBSTITUTE(SUBSTITUTE(SUBSTITUTE(SUBSTITUTE(SUBSTITUTE(SUBSTITUTE(SUBSTITUTE(SUBSTITUTE(SUBSTITUTE(SUBSTITUTE(SUBSTITUTE(SUBSTITUTE(SUBSTITUTE(SUBSTITUTE(SUBSTITUTE(SUBSTITUTE(SUBSTITUTE(SUBSTITUTE(SUBSTITUTE(SUBSTITUTE(SUBSTITUTE(SUBSTITUTE(SUBSTITUTE(LOWER(Z598&amp;""),CHAR(10)," "),CHAR(13)," "),CHAR(9)," "),CHAR(160)," "),"."," "),","," "),"-"," "),"/"," "),"("," "),")"," "),":"," "),";"," "),"_"," "),"–"," "),"?"," "),"!"," "),"*"," "),"["," "),"]"," "),"'"," "),"#"," "),"+"," "),"&amp;"," "),"\"," "))&amp;" "</f>
        <v>  </v>
      </c>
      <c r="BE598" s="61" t="str">
        <f aca="false">" "&amp;TRIM(SUBSTITUTE(SUBSTITUTE(SUBSTITUTE(SUBSTITUTE(SUBSTITUTE(SUBSTITUTE(SUBSTITUTE(SUBSTITUTE(SUBSTITUTE(SUBSTITUTE(SUBSTITUTE(SUBSTITUTE(SUBSTITUTE(SUBSTITUTE(SUBSTITUTE(SUBSTITUTE(SUBSTITUTE(SUBSTITUTE(SUBSTITUTE(SUBSTITUTE(SUBSTITUTE(SUBSTITUTE(SUBSTITUTE(SUBSTITUTE(LOWER(W598&amp;""),CHAR(10)," "),CHAR(13)," "),CHAR(9)," "),CHAR(160)," "),"."," "),","," "),"-"," "),"/"," "),"("," "),")"," "),":"," "),";"," "),"_"," "),"–"," "),"?"," "),"!"," "),"*"," "),"["," "),"]"," "),"'"," "),"#"," "),"+"," "),"&amp;"," "),"\"," "))&amp;" "</f>
        <v>  </v>
      </c>
      <c r="BF598" s="61" t="str">
        <f aca="false">" "&amp;TRIM(SUBSTITUTE(SUBSTITUTE(SUBSTITUTE(SUBSTITUTE(SUBSTITUTE(SUBSTITUTE(SUBSTITUTE(SUBSTITUTE(SUBSTITUTE(SUBSTITUTE(SUBSTITUTE(SUBSTITUTE(SUBSTITUTE(SUBSTITUTE(SUBSTITUTE(SUBSTITUTE(SUBSTITUTE(SUBSTITUTE(SUBSTITUTE(SUBSTITUTE(SUBSTITUTE(SUBSTITUTE(SUBSTITUTE(SUBSTITUTE(LOWER(AC598&amp;""),CHAR(10)," "),CHAR(13)," "),CHAR(9)," "),CHAR(160)," "),"."," "),","," "),"-"," "),"/"," "),"("," "),")"," "),":"," "),";"," "),"_"," "),"–"," "),"?"," "),"!"," "),"*"," "),"["," "),"]"," "),"'"," "),"#"," "),"+"," "),"&amp;"," "),"\"," "))&amp;" "</f>
        <v>  </v>
      </c>
      <c r="BG598" s="61" t="n">
        <f aca="false">IFERROR(IF(AND(TRIM(U598)="Pass",SUMPRODUCT((LEN(BC598)-LEN(SUBSTITUTE(BC598," "&amp;L_ResultBad&amp;" "," ")))/(LEN(L_ResultBad)+1))&gt;SUMPRODUCT((LEN(BC598)-LEN(SUBSTITUTE(BC598," "&amp;L_NegPhrase&amp;" "," ")))/(LEN(L_NegPhrase)+1))),1,0),0)</f>
        <v>0</v>
      </c>
      <c r="BH598" s="61" t="n">
        <f aca="false">IFERROR(IF(SUMPRODUCT((LEN(BC598)-LEN(SUBSTITUTE(BC598," "&amp;L_Pending&amp;" "," ")))/(LEN(L_Pending)+1))&gt;SUMPRODUCT((LEN(BC598)-LEN(SUBSTITUTE(BC598," "&amp;L_PendNeg&amp;" "," ")))/(LEN(L_PendNeg)+1))+SUMPRODUCT((LEN(BC598)-LEN(SUBSTITUTE(BC598," "&amp;L_PendPrep&amp;" "," ")))/(LEN(L_PendPrep)+1)),1,0),1)</f>
        <v>0</v>
      </c>
      <c r="BI598" s="61" t="n">
        <f aca="false">IFERROR(IF(SUMPRODUCT((LEN(BD598)-LEN(SUBSTITUTE(BD598," "&amp;L_PendStrict&amp;" "," ")))/(LEN(L_PendStrict)+1))&gt;SUMPRODUCT((LEN(BD598)-LEN(SUBSTITUTE(BD598," "&amp;L_PendNeg&amp;" "," ")))/(LEN(L_PendNeg)+1)),1,0),1)</f>
        <v>0</v>
      </c>
      <c r="BJ598" s="61" t="n">
        <f aca="false">IFERROR(IF(SUMPRODUCT((LEN(BE598)-LEN(SUBSTITUTE(BE598," "&amp;L_Pending&amp;" "," ")))/(LEN(L_Pending)+1))&gt;SUMPRODUCT((LEN(BE598)-LEN(SUBSTITUTE(BE598," "&amp;L_PendNeg&amp;" "," ")))/(LEN(L_PendNeg)+1))+SUMPRODUCT((LEN(BE598)-LEN(SUBSTITUTE(BE598," "&amp;L_PendPrep&amp;" "," ")))/(LEN(L_PendPrep)+1)),1,0),1)</f>
        <v>0</v>
      </c>
      <c r="BK598" s="61" t="n">
        <f aca="false">IFERROR(IF(SUMPRODUCT((LEN(BF598)-LEN(SUBSTITUTE(BF598," "&amp;L_PendStrict&amp;" "," ")))/(LEN(L_PendStrict)+1))&gt;SUMPRODUCT((LEN(BF598)-LEN(SUBSTITUTE(BF598," "&amp;L_PendNeg&amp;" "," ")))/(LEN(L_PendNeg)+1)),1,0),1)</f>
        <v>0</v>
      </c>
      <c r="BL598" s="61" t="n">
        <f aca="false">IF(ISNA(MATCH(TRIM(S598),L_EvidenceType,0)),0,BZ598)</f>
        <v>0</v>
      </c>
      <c r="BM598" s="61" t="str">
        <f aca="false">SUBSTITUTE(SUBSTITUTE(SUBSTITUTE(SUBSTITUTE(SUBSTITUTE(SUBSTITUTE(SUBSTITUTE(SUBSTITUTE(SUBSTITUTE(LOWER(Z598&amp;""),"1","0"),"2","0"),"3","0"),"4","0"),"5","0"),"6","0"),"7","0"),"8","0"),"9","0")</f>
        <v/>
      </c>
      <c r="BN598" s="61" t="str">
        <f aca="false">SUBSTITUTE(SUBSTITUTE(SUBSTITUTE(SUBSTITUTE(SUBSTITUTE(SUBSTITUTE(SUBSTITUTE(SUBSTITUTE(SUBSTITUTE(SUBSTITUTE(SUBSTITUTE(SUBSTITUTE(SUBSTITUTE(SUBSTITUTE(SUBSTITUTE(SUBSTITUTE(SUBSTITUTE(SUBSTITUTE(SUBSTITUTE(SUBSTITUTE(SUBSTITUTE(SUBSTITUTE(SUBSTITUTE(SUBSTITUTE(SUBSTITUTE(BM598,"b","a"),"c","a"),"d","a"),"e","a"),"f","a"),"g","a"),"h","a"),"i","a"),"j","a"),"k","a"),"l","a"),"m","a"),"n","a"),"o","a"),"p","a"),"q","a"),"r","a"),"s","a"),"t","a"),"u","a"),"v","a"),"w","a"),"x","a"),"y","a"),"z","a")</f>
        <v/>
      </c>
      <c r="BO598" s="61" t="str">
        <f aca="false">SUBSTITUTE(SUBSTITUTE(SUBSTITUTE(SUBSTITUTE(SUBSTITUTE(SUBSTITUTE(SUBSTITUTE(SUBSTITUTE(SUBSTITUTE(LOWER(W598&amp;""),"1","0"),"2","0"),"3","0"),"4","0"),"5","0"),"6","0"),"7","0"),"8","0"),"9","0")</f>
        <v/>
      </c>
      <c r="BP598" s="61" t="str">
        <f aca="false">SUBSTITUTE(SUBSTITUTE(SUBSTITUTE(SUBSTITUTE(SUBSTITUTE(SUBSTITUTE(SUBSTITUTE(SUBSTITUTE(SUBSTITUTE(SUBSTITUTE(SUBSTITUTE(SUBSTITUTE(SUBSTITUTE(SUBSTITUTE(SUBSTITUTE(SUBSTITUTE(SUBSTITUTE(SUBSTITUTE(SUBSTITUTE(SUBSTITUTE(SUBSTITUTE(SUBSTITUTE(SUBSTITUTE(SUBSTITUTE(SUBSTITUTE(BO598,"b","a"),"c","a"),"d","a"),"e","a"),"f","a"),"g","a"),"h","a"),"i","a"),"j","a"),"k","a"),"l","a"),"m","a"),"n","a"),"o","a"),"p","a"),"q","a"),"r","a"),"s","a"),"t","a"),"u","a"),"v","a"),"w","a"),"x","a"),"y","a"),"z","a")</f>
        <v/>
      </c>
      <c r="BQ598" s="61" t="n">
        <f aca="false">IFERROR(IF(AND(ISERROR(SEARCH(" mh"," "&amp;LOWER(W598))),ISNA(MATCH(LEFT(TRIM(BP598),255),{"0000a","000a","00a","0000aa","000aa","00aa","0aa","0000aaa","000aaa","00a00","0a00","0000-0000","00:00","a00","a0","00.00.0000","00/00/0000","00-00-0000","0000-00-00","0000/00/00","0000.00.00","00.00.00","00/00/00","00-00-00","0.00.0000","0/00/0000","0-00-0000"},0)),ISNA(MATCH(LEFT(TRIM(CA598),255),{"0000a","000a","00a","0000aa","000aa","00aa","0aa","0000aaa","000aaa","00a00","0a00","0000-0000","00:00","a00","a0","00.00.0000","00/00/0000","00-00-0000","0000-00-00","0000/00/00","0000.00.00","00.00.00","00/00/00","00-00-00","0.00.0000","0/00/0000","0-00-0000"},0)),LEN(CB598)&gt;=3,NOT(OR(SUBSTITUTE(CB598,"0","")="",AND(LEN(CB598)&gt;=4,CB598=REPT(LEFT(CB598),LEN(CB598))),ISNUMBER(MATCH(CB598,{"123","1234","12345","123456","1234567","12345678","0123","01234","012345","98765","987654","54321"},0)),AND(LEN(CB598)=8,LEFT(CB598,3)="202"))),OR(AND((LEN(CA598)-LEN(SUBSTITUTE(CA598,"a","")))&gt;=1,SUMPRODUCT(--ISNUMBER(SEARCH({"a0","a-0","a_0","a/0","a.0","a#0","0a","0-a","0_a","0/a"},BP598)))&gt;0),ISNUMBER(SEARCH("000000",BP598)))),1,0),0)</f>
        <v>0</v>
      </c>
      <c r="BR598" s="61" t="n">
        <f aca="false">IFERROR(LEN(SUBSTITUTE(CC598," ",""))-SUMPRODUCT((LEN(CC598)-LEN(SUBSTITUTE(CC598," "&amp;L_Role&amp;" "," ")))/(LEN(L_Role)+1)*LEN(L_Role)),0)</f>
        <v>0</v>
      </c>
      <c r="BS598" s="61" t="n">
        <f aca="false">IFERROR(LEN(SUBSTITUTE(CD598," ",""))-SUMPRODUCT((LEN(CD598)-LEN(SUBSTITUTE(CD598," "&amp;L_Role&amp;" "," ")))/(LEN(L_Role)+1)*LEN(L_Role)),0)</f>
        <v>0</v>
      </c>
      <c r="BT5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598,"revision",""),"version",""),"jan",""),"feb",""),"mar",""),"apr",""),"may",""),"jun",""),"jul",""),"aug",""),"sep",""),"oct",""),"nov",""),"dec",""),"utc",""),"gmt",""),"myt",""),"bst",""),"rev",""),"ver",""),"b","a"),"c","a"),"d","a"),"e","a"),"f","a"),"g","a"),"h","a"),"i","a"),"j","a"),"k","a"),"l","a"),"m","a"),"n","a"),"o","a"),"p","a"),"q","a"),"r","a"),"s","a"),"t","a"),"u","a"),"v","a"),"w","a"),"x","a"),"y","a"),"z","a")</f>
        <v/>
      </c>
      <c r="BU598" s="61" t="str">
        <f aca="false">SUBSTITUTE(SUBSTITUTE(SUBSTITUTE(SUBSTITUTE(SUBSTITUTE(SUBSTITUTE(SUBSTITUTE(SUBSTITUTE(SUBSTITUTE(SUBSTITUTE(LEFT(BM598,FIND("0",BM598&amp;"0")-1),"-",""),"_",""),"/",""),".",""),"#",""),"\\",""),":","")," ",""),"(",""),")","")</f>
        <v/>
      </c>
      <c r="BV598" s="61" t="n">
        <f aca="false">0</f>
        <v>0</v>
      </c>
      <c r="BW5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598&amp;""),"a",""),"b",""),"c",""),"d",""),"e",""),"f",""),"g",""),"h",""),"i",""),"j",""),"k",""),"l",""),"m",""),"n",""),"o",""),"p",""),"q",""),"r",""),"s",""),"t",""),"u",""),"v",""),"w",""),"x",""),"y",""),"z",""),"-",""),"_",""),"/",""),".",""),"#",""),"\\",""),":","")," ",""),"(",""),")","")</f>
        <v/>
      </c>
      <c r="BX598" s="61" t="str">
        <f aca="false">SUBSTITUTE(SUBSTITUTE(SUBSTITUTE(SUBSTITUTE(SUBSTITUTE(SUBSTITUTE(SUBSTITUTE(SUBSTITUTE(SUBSTITUTE(SUBSTITUTE(SUBSTITUTE(BM598,"0",""),"-",""),"_",""),"/",""),".",""),"#",""),"\\",""),":","")," ",""),"(",""),")","")</f>
        <v/>
      </c>
      <c r="BY598" s="62" t="n">
        <f aca="false">Q598-T12EarlyH/24</f>
        <v>46321.6006944444</v>
      </c>
      <c r="BZ598" s="61" t="n">
        <f aca="false">IFERROR(IF(IF(TRIM(S598)="Link / file path",AND(LEN(TRIM(Z598))&gt;=5,SUMPRODUCT(--ISNUMBER(SEARCH({"http","www.","\\",":\",".pdf",".jpg",".jpeg",".png",".heic",".xls",".doc",".msg",".eml",".ppt",".txt",".zip"},Z598)))&gt;0),AND(ISERROR(FIND(" ",TRIM(Z598))),NOT(OR(SUMPRODUCT(--ISNUMBER(FIND({",",";","&amp;","+"},Z598)))&gt;0,SUMPRODUCT(--ISNUMBER(SEARCH({"0/aa","0\\aa"},BN598)))&gt;0)),NOT(SUMPRODUCT(--ISNUMBER(SEARCH({"http","www.","\\",":\",".pdf",".jpg",".jpeg",".png",".heic",".xls",".doc",".msg",".eml",".ppt",".txt",".zip"},Z598)))&gt;0),NOT(LOWER(TRIM(Z598))=LOWER(Flights!$F$22)),ISNA(MATCH(BU598,{"mh","rev","revision","ver","version","v","r","a","b","seat","tray","row","gate","bay","stand","page","pg","item","line","no","cart","galley","flight","flt","table","box","bag","oven","etd","eta","std","sta","atd","ata","qty","pax","x","time","tel","ph","mob","day","wk","week","utc","gmt","myt","lt"},0)),NOT(OR(ISNUMBER(MATCH(LEFT(BN598,255),{"0000a","000a","00a","0000aa","000aa","00aa","0aa","0000aaa","000aaa","00a00","0a00","0000-0000","00:00","a00","a0","00.00.0000","00/00/0000","00-00-0000","0000-00-00","0000/00/00","0000.00.00","00.00.00","00/00/00","00-00-00","0.00.0000","0/00/0000","0-00-0000"},0)),ISNUMBER(MATCH(LEFT(BT598,255),{"0000a","000a","00a","0000aa","000aa","00aa","0aa","0000aaa","000aaa","00a00","0a00","0000-0000","00:00","a00","a0","00.00.0000","00/00/0000","00-00-0000","0000-00-00","0000/00/00","0000.00.00","00.00.00","00/00/00","00-00-00","0.00.0000","0/00/0000","0-00-0000"},0)))),NOT(OR(AND(BW598&lt;&gt;"",SUBSTITUTE(BW598,"0","")=""),AND(LEN(BW598)&gt;=4,BW598=REPT(LEFT(BW598),LEN(BW598))),ISNUMBER(MATCH(BW598,{"123","1234","12345","123456","1234567","12345678","0123","01234","012345","98765","987654","54321"},0)),ISNUMBER(MATCH(BX598,{"x","xx","xxx","xxxx","xxxxx","abc","abcd","nil","na","nan","test","tbc","tba","tbd","dummy","sample","example","eg","zz","zzz","none","null","xyz","qwe","asd","id","ref"},0)),AND(LEN(BW598)=8,BX598="",OR(LEFT(BW598,3)="202",ISNUMBER(MATCH(RIGHT(BW598,4),{"2025","2026","2027"},0)))))),OR(AND((LEN(BT598)-LEN(SUBSTITUTE(BT598,"a","")))&gt;=1,(LEN(BN598)-LEN(SUBSTITUTE(BN598,"0","")))&gt;=2,SUMPRODUCT(--ISNUMBER(SEARCH({"a0","a-0","a_0","a/0","a.0","a#0","0a","0-a","0_a","0/a"},BN598)))&gt;0),AND((LEN(BN598)-LEN(SUBSTITUTE(BN598,"a","")))=0,(LEN(BN598)-LEN(SUBSTITUTE(BN598,"0","")))&gt;=5)))),1,0),0)</f>
        <v>0</v>
      </c>
      <c r="CA5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598,"revision",""),"version",""),"jan",""),"feb",""),"mar",""),"apr",""),"may",""),"jun",""),"jul",""),"aug",""),"sep",""),"oct",""),"nov",""),"dec",""),"utc",""),"gmt",""),"myt",""),"bst",""),"rev",""),"ver",""),"b","a"),"c","a"),"d","a"),"e","a"),"f","a"),"g","a"),"h","a"),"i","a"),"j","a"),"k","a"),"l","a"),"m","a"),"n","a"),"o","a"),"p","a"),"q","a"),"r","a"),"s","a"),"t","a"),"u","a"),"v","a"),"w","a"),"x","a"),"y","a"),"z","a")</f>
        <v/>
      </c>
      <c r="CB5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598&amp;""),"a",""),"b",""),"c",""),"d",""),"e",""),"f",""),"g",""),"h",""),"i",""),"j",""),"k",""),"l",""),"m",""),"n",""),"o",""),"p",""),"q",""),"r",""),"s",""),"t",""),"u",""),"v",""),"w",""),"x",""),"y",""),"z",""),"-",""),"_",""),"/",""),".",""),"#",""),"\\",""),":","")," ",""),"(",""),")","")</f>
        <v/>
      </c>
      <c r="CC598" s="0" t="str">
        <f aca="false">" "&amp;TRIM(SUBSTITUTE(SUBSTITUTE(SUBSTITUTE(SUBSTITUTE(SUBSTITUTE(SUBSTITUTE(SUBSTITUTE(SUBSTITUTE(SUBSTITUTE(SUBSTITUTE(SUBSTITUTE(SUBSTITUTE(SUBSTITUTE(SUBSTITUTE(SUBSTITUTE(SUBSTITUTE(SUBSTITUTE(SUBSTITUTE(SUBSTITUTE(SUBSTITUTE(SUBSTITUTE(SUBSTITUTE(SUBSTITUTE(SUBSTITUTE(LOWER(T598&amp;""),CHAR(10)," "),CHAR(13)," "),CHAR(9)," "),CHAR(160)," "),"."," "),","," "),"-"," "),"/"," "),"("," "),")"," "),":"," "),";"," "),"_"," "),"–"," "),"?"," "),"!"," "),"*"," "),"["," "),"]"," "),"'"," "),"#"," "),"+"," "),"&amp;"," "),"\"," "))&amp;" "</f>
        <v>  </v>
      </c>
      <c r="CD598" s="0" t="str">
        <f aca="false">" "&amp;TRIM(SUBSTITUTE(SUBSTITUTE(SUBSTITUTE(SUBSTITUTE(SUBSTITUTE(SUBSTITUTE(SUBSTITUTE(SUBSTITUTE(SUBSTITUTE(SUBSTITUTE(SUBSTITUTE(SUBSTITUTE(SUBSTITUTE(SUBSTITUTE(SUBSTITUTE(SUBSTITUTE(SUBSTITUTE(SUBSTITUTE(SUBSTITUTE(SUBSTITUTE(SUBSTITUTE(SUBSTITUTE(SUBSTITUTE(SUBSTITUTE(LOWER(AE598&amp;""),CHAR(10)," "),CHAR(13)," "),CHAR(9)," "),CHAR(160)," "),"."," "),","," "),"-"," "),"/"," "),"("," "),")"," "),":"," "),";"," "),"_"," "),"–"," "),"?"," "),"!"," "),"*"," "),"["," "),"]"," "),"'"," "),"#"," "),"+"," "),"&amp;"," "),"\"," "))&amp;" "</f>
        <v>  </v>
      </c>
      <c r="CE598" s="68" t="n">
        <f aca="false">IFERROR(IF(AND(LEN(AU598)&gt;0,LEN(AU598)=LEN(AX598),OR(TRIM(MID(SUBSTITUTE(TRIM(CC598)," ",REPT(" ",60)),1,60))="",ISNUMBER(SEARCH(" "&amp;TRIM(MID(SUBSTITUTE(TRIM(CC598)," ",REPT(" ",60)),1,60))&amp;" ",CD598))),OR(TRIM(MID(SUBSTITUTE(TRIM(CC598)," ",REPT(" ",60)),61,60))="",ISNUMBER(SEARCH(" "&amp;TRIM(MID(SUBSTITUTE(TRIM(CC598)," ",REPT(" ",60)),61,60))&amp;" ",CD598))),OR(TRIM(MID(SUBSTITUTE(TRIM(CC598)," ",REPT(" ",60)),121,60))="",ISNUMBER(SEARCH(" "&amp;TRIM(MID(SUBSTITUTE(TRIM(CC598)," ",REPT(" ",60)),121,60))&amp;" ",CD598)))),1,0),0)</f>
        <v>0</v>
      </c>
      <c r="CG598" s="68" t="n">
        <f aca="false">IFERROR(LEN(SUBSTITUTE(BF598," ",""))-SUMPRODUCT((LEN(BF598)-LEN(SUBSTITUTE(BF598," "&amp;L_NAFiller&amp;" "," ")))/(LEN(L_NAFiller)+1)*LEN(L_NAFiller)),0)</f>
        <v>0</v>
      </c>
    </row>
    <row r="599" customFormat="false" ht="41.25" hidden="false" customHeight="true" outlineLevel="0" collapsed="false">
      <c r="A599" s="57" t="s">
        <v>1301</v>
      </c>
      <c r="B599" s="57" t="s">
        <v>293</v>
      </c>
      <c r="C599" s="57" t="str">
        <f aca="false">Flights!$F$22</f>
        <v>MH0052</v>
      </c>
      <c r="D599" s="58" t="n">
        <f aca="false">Flights!$D$22</f>
        <v>46322</v>
      </c>
      <c r="E599" s="57" t="str">
        <f aca="false">Flights!$G$22&amp;"-"&amp;Flights!$H$22</f>
        <v>KUL-KIX</v>
      </c>
      <c r="F599" s="57" t="str">
        <f aca="false">Flights!$K$22</f>
        <v>BC</v>
      </c>
      <c r="G599" s="57" t="s">
        <v>420</v>
      </c>
      <c r="H599" s="57" t="s">
        <v>378</v>
      </c>
      <c r="I599" s="57" t="s">
        <v>447</v>
      </c>
      <c r="J599" s="57" t="s">
        <v>526</v>
      </c>
      <c r="K599" s="67" t="s">
        <v>449</v>
      </c>
      <c r="L599" s="67" t="s">
        <v>1302</v>
      </c>
      <c r="M599" s="67" t="s">
        <v>451</v>
      </c>
      <c r="N599" s="67" t="s">
        <v>383</v>
      </c>
      <c r="O599" s="67" t="s">
        <v>503</v>
      </c>
      <c r="P599" s="57" t="s">
        <v>187</v>
      </c>
      <c r="Q599" s="59" t="n">
        <f aca="false">ROUND((Flights!$AE$22)*1440,0)/1440</f>
        <v>46322.1006944444</v>
      </c>
      <c r="R599" s="59" t="n">
        <f aca="false">Q599+(IF(AND(INDEX(TZ_DSTS,MATCH(P599,TZ_STN,0))&lt;&gt;"",Q599&gt;=INDEX(TZ_DSTS,MATCH(P599,TZ_STN,0)),Q599&lt;INDEX(TZ_DSTE,MATCH(P599,TZ_STN,0))),INDEX(TZ_DST,MATCH(P599,TZ_STN,0)),INDEX(TZ_STD,MATCH(P599,TZ_STN,0))))/24</f>
        <v>46322.4340277778</v>
      </c>
      <c r="S599" s="60"/>
      <c r="T599" s="60"/>
      <c r="U599" s="60"/>
      <c r="V599" s="60"/>
      <c r="W599" s="61"/>
      <c r="X599" s="60"/>
      <c r="Y599" s="60"/>
      <c r="Z599" s="60"/>
      <c r="AA599" s="60"/>
      <c r="AB599" s="60"/>
      <c r="AC599" s="60"/>
      <c r="AD599" s="66"/>
      <c r="AE599" s="60"/>
      <c r="AF599" s="61" t="str">
        <f aca="false">IF(AND(ISNUMBER(X599),ISNUMBER(Y599)),Y599-X599,"")</f>
        <v/>
      </c>
      <c r="AG599" s="62" t="str">
        <f aca="false">IF(ISNUMBER(AD599),AD599-(IF(AND(INDEX(TZ_DSTS,MATCH(P599,TZ_STN,0))&lt;&gt;"",(AD599-INDEX(TZ_STD,MATCH(P599,TZ_STN,0))/24)&gt;=INDEX(TZ_DSTS,MATCH(P599,TZ_STN,0)),(AD599-INDEX(TZ_STD,MATCH(P599,TZ_STN,0))/24)&lt;INDEX(TZ_DSTE,MATCH(P599,TZ_STN,0))),INDEX(TZ_DST,MATCH(P599,TZ_STN,0)),INDEX(TZ_STD,MATCH(P599,TZ_STN,0))))/24,"")</f>
        <v/>
      </c>
      <c r="AH599" s="65" t="str">
        <f aca="false">IFERROR(IF(N599="N/A – rule",IF(OR(TRIM(U599)="",TRIM(U599)="N/A",TRIM(U599)="Not started"),"N/A – RULE","INVALID – this check does not apply to this aircraft: clear the status (or correct the fleet on Flights)"),IF(TRIM(U599)="N/A",IF(AT599=0,"INVALID – N/A not permitted for this check",IF(AND(TRIM(AB599)&lt;&gt;"",TRIM(AB599)&lt;&gt;"Closed"),"INVALID – corrective action still open",IF(AND(NOT(OR(LEN(AZ599)&lt;15,ISNUMBER(MATCH(AZ599,L_Placeholder,0)))),BK599=0,CG599&gt;=8,NOT(OR(LEN(AU599)&lt;2,ISNUMBER(MATCH(AU599,L_Placeholder,0)))),BR599&gt;=3,NOT(OR(LEN(AX599)&lt;2,ISNUMBER(MATCH(AX599,L_Placeholder,0)))),BS599&gt;=3,TRIM(AE599)&lt;&gt;TRIM(T599),AX599&lt;&gt;AU599,CE599=0),"N/A – JUSTIFIED","INVALID – N/A needs a real, settled reason (not 'not applicable' / 'as above' / TBC), a named PIC and a different named verifier"))),IF(OR(TRIM(U599)="Pass",TRIM(U599)="Pass after CA"),IF(NOT(ISNUMBER(AD599)),"INVALID – completion time missing",IF(OR(OR(LEN(AU599)&lt;2,ISNUMBER(MATCH(AU599,L_Placeholder,0))),BR599&lt;3),"INVALID – PIC missing or not a named person (a role such as QA / CSM is not a name)",IF(OR(LEN(AV599)&lt;2,ISNUMBER(MATCH(AV599,L_Placeholder,0))),"INVALID – result / assessment missing",IF(OR(OR(LEN(AW599)&lt;3,ISNUMBER(MATCH(AW599,L_Placeholder,0))),SUMPRODUCT(--ISNUMBER(SEARCH(" "&amp;L_EvidencePhrase&amp;" ",BD599)))&gt;0,BI599=1),"INVALID – evidence missing, placeholder or not yet on file",IF(ISNA(MATCH(TRIM(S599),L_EvidenceType,0)),"INVALID – choose the evidence type from the list (column S)",IF(BL599=0,"INVALID – evidence ID must be the record's own ID only (e.g. SF-2210, IMG_2231, 1045521); a link / file name needs type 'Link / file path'",IF(OR(OR(LEN(AX599)&lt;2,ISNUMBER(MATCH(AX599,L_Placeholder,0))),BS599&lt;3),"INVALID – verifier missing or not a named person (a role such as QA / CSM is not a name)",IF(OR(AX599=AU599,CE599=1,AND(LEN(AU599)&gt;=4,ISNUMBER(SEARCH(AU599,AX599))),AND(LEN(AX599)&gt;=4,ISNUMBER(SEARCH(AX599,AU599)))),"INVALID – verifier must be a different, named person (not the PIC or a role)",IF(BH599=1,"INVALID – result not yet available (awaiting / TBC)",IF(BG599=1,"INVALID – result describes a problem: record Fail, then Pass after CA (or reword if it is not a problem)",IF(BV599=1,"INVALID – wording says not on board: an on-board confirmation needs the item loaded",IF(AND(AQ599=1,OR(OR(LEN(AY599)&lt;3,ISNUMBER(MATCH(AY599,L_Placeholder,0))),BJ599=1,BQ599=0)),"INVALID – batch ID missing, placeholder or not an ID (e.g. PASB-261008-BC-017)",IF(AND(AR599=1,OR(NOT(ISNUMBER(X599)),NOT(ISNUMBER(Y599)))),"INVALID – expected/actual qty missing",IF(AND(AR599=1,OR(X599&lt;=0,Y599&lt;0)),"INVALID – expected qty must be above 0 and actual not negative",IF(BB599&lt;&gt;"",BB599,IF(AND(AS599=1,Documents!$J$22&lt;&gt;"ON FILE"),"INVALID – GLD not on file (Documents sheet)",IF(AND(AS599=2,Documents!$O$22&lt;&gt;"ON FILE"),"INVALID – menu checklist not on file (Documents sheet)",IF(AND(AS599=3,NOT(ISNUMBER(Flights!$AX$22))),"INVALID – enter carrying flight KUL departure (Flights AX)",IF(AND(AS599=3,OR(Flights!$AZ$22&gt;Flights!$AA$22,Flights!$AX$22&lt;Flights!$AA$22-3)),"INVALID – carrying flight (Flights AX) cannot arrive before this leg's STD, or is over 3 days early",IF(AG599&gt;AsOfUTC,"INVALID – completion time is in the future",IF(AND(ISNUMBER(BY599),AG599&lt;BY599),IF(H599="Physical uplift","INVALID – before uplift window (cannot confirm loading)","INVALID – before valid window"),IF(AG599&gt;Flights!$AA$22,"INVALID – completed after departure (cannot establish readiness)",IF(AND(H599="Preparation",AG599&gt;=IF(ISNUMBER(Flights!$BA$22),MIN(Flights!$BA$22,Flights!$AA$22),Flights!$AA$22)),"INVALID – completed after loading / departure (cannot establish readiness)",IF(AND(H599="Physical uplift",AG599&gt;Q599),"INVALID – recorded after the loading flight departed",IF(AG599&gt;Q599,"COMPLETE – LATE","COMPLETE"))))))))))))))))))))))))),IF(TRIM(U599)="Fail","FAIL – DISCREPANCY",IF(AND(TRIM(U599)&lt;&gt;"",TRIM(U599)&lt;&gt;"Not started",TRIM(U599)&lt;&gt;"In progress"),"INVALID – unrecognised status (use the list)",IF(AsOfUTC&gt;Q599,"OVERDUE",IF(N599="Clarification required","OPEN – CLARIFICATION","OPEN"))))))),"INVALID – error value in an input cell")</f>
        <v>OPEN</v>
      </c>
      <c r="AI599" s="61" t="n">
        <f aca="false">IF(OR(AH599="N/A – RULE",AH599="N/A – JUSTIFIED"),0,1)</f>
        <v>1</v>
      </c>
      <c r="AJ599" s="61" t="n">
        <f aca="false">IF(LEFT(AH599,8)="COMPLETE",1,0)</f>
        <v>0</v>
      </c>
      <c r="AK599" s="61" t="n">
        <f aca="false">IF(AND(AI599=1,AJ599=0,AsOfUTC&gt;Q599),1,0)</f>
        <v>0</v>
      </c>
      <c r="AL599" s="61" t="n">
        <f aca="false">IFERROR(IF(AND(AI599=1,OR(TRIM(U599)="Fail",AND(TRIM(AB599)&lt;&gt;"",TRIM(AB599)&lt;&gt;"Closed"),AND(ISNUMBER(AF599),AF599&lt;&gt;0,TRIM(U599)&lt;&gt;"Pass after CA"))),1,0),1)</f>
        <v>0</v>
      </c>
      <c r="AM599" s="61" t="n">
        <f aca="false">IF(LEFT(AH599,7)="INVALID",1,0)</f>
        <v>0</v>
      </c>
      <c r="AN599" s="61" t="n">
        <f aca="false">IF(AND(N599="Clarification required",AI599=1,AJ599=0),1,0)</f>
        <v>0</v>
      </c>
      <c r="AO599" s="61" t="str">
        <f aca="false">IF(AK599=1,SUM(AK$5:AK599),"")</f>
        <v/>
      </c>
      <c r="AP599" s="61" t="str">
        <f aca="false">IF(AL599=1,SUM(AL$5:AL599),"")</f>
        <v/>
      </c>
      <c r="AQ599" s="61" t="n">
        <v>0</v>
      </c>
      <c r="AR599" s="61" t="n">
        <v>0</v>
      </c>
      <c r="AS599" s="61" t="n">
        <v>0</v>
      </c>
      <c r="AT599" s="61" t="n">
        <v>0</v>
      </c>
      <c r="AU599" s="61" t="str">
        <f aca="false">SUBSTITUTE(SUBSTITUTE(SUBSTITUTE(SUBSTITUTE(SUBSTITUTE(SUBSTITUTE(SUBSTITUTE(SUBSTITUTE(SUBSTITUTE(SUBSTITUTE(SUBSTITUTE(SUBSTITUTE(SUBSTITUTE(SUBSTITUTE(SUBSTITUTE(SUBSTITUTE(LOWER(T599&amp;""),CHAR(10),""),CHAR(13),""),CHAR(9),""),CHAR(160),"")," ",""),".",""),"-",""),"/",""),"?",""),"_",""),",",""),"[",""),"]",""),"(",""),")",""),"*","")</f>
        <v/>
      </c>
      <c r="AV599" s="61" t="str">
        <f aca="false">SUBSTITUTE(SUBSTITUTE(SUBSTITUTE(SUBSTITUTE(SUBSTITUTE(SUBSTITUTE(SUBSTITUTE(SUBSTITUTE(SUBSTITUTE(SUBSTITUTE(SUBSTITUTE(SUBSTITUTE(SUBSTITUTE(SUBSTITUTE(SUBSTITUTE(SUBSTITUTE(LOWER(V599&amp;""),CHAR(10),""),CHAR(13),""),CHAR(9),""),CHAR(160),"")," ",""),".",""),"-",""),"/",""),"?",""),"_",""),",",""),"[",""),"]",""),"(",""),")",""),"*","")</f>
        <v/>
      </c>
      <c r="AW599" s="61" t="str">
        <f aca="false">SUBSTITUTE(SUBSTITUTE(SUBSTITUTE(SUBSTITUTE(SUBSTITUTE(SUBSTITUTE(SUBSTITUTE(SUBSTITUTE(SUBSTITUTE(SUBSTITUTE(SUBSTITUTE(SUBSTITUTE(SUBSTITUTE(SUBSTITUTE(SUBSTITUTE(SUBSTITUTE(LOWER(Z599&amp;""),CHAR(10),""),CHAR(13),""),CHAR(9),""),CHAR(160),"")," ",""),".",""),"-",""),"/",""),"?",""),"_",""),",",""),"[",""),"]",""),"(",""),")",""),"*","")</f>
        <v/>
      </c>
      <c r="AX599" s="61" t="str">
        <f aca="false">SUBSTITUTE(SUBSTITUTE(SUBSTITUTE(SUBSTITUTE(SUBSTITUTE(SUBSTITUTE(SUBSTITUTE(SUBSTITUTE(SUBSTITUTE(SUBSTITUTE(SUBSTITUTE(SUBSTITUTE(SUBSTITUTE(SUBSTITUTE(SUBSTITUTE(SUBSTITUTE(LOWER(AE599&amp;""),CHAR(10),""),CHAR(13),""),CHAR(9),""),CHAR(160),"")," ",""),".",""),"-",""),"/",""),"?",""),"_",""),",",""),"[",""),"]",""),"(",""),")",""),"*","")</f>
        <v/>
      </c>
      <c r="AY599" s="61" t="str">
        <f aca="false">SUBSTITUTE(SUBSTITUTE(SUBSTITUTE(SUBSTITUTE(SUBSTITUTE(SUBSTITUTE(SUBSTITUTE(SUBSTITUTE(SUBSTITUTE(SUBSTITUTE(SUBSTITUTE(SUBSTITUTE(SUBSTITUTE(SUBSTITUTE(SUBSTITUTE(SUBSTITUTE(LOWER(W599&amp;""),CHAR(10),""),CHAR(13),""),CHAR(9),""),CHAR(160),"")," ",""),".",""),"-",""),"/",""),"?",""),"_",""),",",""),"[",""),"]",""),"(",""),")",""),"*","")</f>
        <v/>
      </c>
      <c r="AZ599" s="61" t="str">
        <f aca="false">SUBSTITUTE(SUBSTITUTE(SUBSTITUTE(SUBSTITUTE(SUBSTITUTE(SUBSTITUTE(SUBSTITUTE(SUBSTITUTE(SUBSTITUTE(SUBSTITUTE(SUBSTITUTE(SUBSTITUTE(SUBSTITUTE(SUBSTITUTE(SUBSTITUTE(SUBSTITUTE(LOWER(AC599&amp;""),CHAR(10),""),CHAR(13),""),CHAR(9),""),CHAR(160),"")," ",""),".",""),"-",""),"/",""),"?",""),"_",""),",",""),"[",""),"]",""),"(",""),")",""),"*","")</f>
        <v/>
      </c>
      <c r="BA599" s="61" t="str">
        <f aca="false">SUBSTITUTE(SUBSTITUTE(SUBSTITUTE(SUBSTITUTE(SUBSTITUTE(SUBSTITUTE(SUBSTITUTE(SUBSTITUTE(SUBSTITUTE(SUBSTITUTE(SUBSTITUTE(SUBSTITUTE(SUBSTITUTE(SUBSTITUTE(SUBSTITUTE(SUBSTITUTE(LOWER(AA599&amp;""),CHAR(10),""),CHAR(13),""),CHAR(9),""),CHAR(160),"")," ",""),".",""),"-",""),"/",""),"?",""),"_",""),",",""),"[",""),"]",""),"(",""),")",""),"*","")</f>
        <v/>
      </c>
      <c r="BB599" s="61" t="str">
        <f aca="false">IF(AND(TRIM(U599)="Pass",ISNUMBER(AF599)),IF(AF599&lt;&gt;0,"INVALID – qty variance: use Fail or Pass after CA",""),"")&amp;IF(AND(TRIM(U599)="Pass after CA",ISNUMBER(AF599)),IF(AF599&lt;&gt;0,"INVALID – after the corrective action the actual qty must equal expected (update Actual)",""),"")&amp;IF(AND(TRIM(U599)="Pass",TRIM(AB599)&lt;&gt;"",TRIM(AB599)&lt;&gt;"Closed"),"INVALID – corrective action not closed: use Fail, then Pass after CA","")&amp;IF(AND(LEN(BA599)&gt;=2,ISNA(MATCH(LEFT(BA599,255),L_Placeholder,0)),TRIM(AB599)=""),"INVALID – CA status missing for the recorded corrective action","")&amp;IF(AND(TRIM(U599)="Pass after CA",OR(OR(LEN(BA599)&lt;5,ISNUMBER(MATCH(BA599,L_Placeholder,0))),TRIM(AB599)&lt;&gt;"Closed")),"INVALID – corrective action not recorded/closed","")</f>
        <v/>
      </c>
      <c r="BC599" s="61" t="str">
        <f aca="false">" "&amp;TRIM(SUBSTITUTE(SUBSTITUTE(SUBSTITUTE(SUBSTITUTE(SUBSTITUTE(SUBSTITUTE(SUBSTITUTE(SUBSTITUTE(SUBSTITUTE(SUBSTITUTE(SUBSTITUTE(SUBSTITUTE(SUBSTITUTE(SUBSTITUTE(SUBSTITUTE(SUBSTITUTE(SUBSTITUTE(SUBSTITUTE(SUBSTITUTE(SUBSTITUTE(SUBSTITUTE(SUBSTITUTE(SUBSTITUTE(SUBSTITUTE(LOWER(V599&amp;""),CHAR(10)," "),CHAR(13)," "),CHAR(9)," "),CHAR(160)," "),"."," "),","," "),"-"," "),"/"," "),"("," "),")"," "),":"," "),";"," "),"_"," "),"–"," "),"?"," "),"!"," "),"*"," "),"["," "),"]"," "),"'"," "),"#"," "),"+"," "),"&amp;"," "),"\"," "))&amp;" "</f>
        <v>  </v>
      </c>
      <c r="BD599" s="61" t="str">
        <f aca="false">" "&amp;TRIM(SUBSTITUTE(SUBSTITUTE(SUBSTITUTE(SUBSTITUTE(SUBSTITUTE(SUBSTITUTE(SUBSTITUTE(SUBSTITUTE(SUBSTITUTE(SUBSTITUTE(SUBSTITUTE(SUBSTITUTE(SUBSTITUTE(SUBSTITUTE(SUBSTITUTE(SUBSTITUTE(SUBSTITUTE(SUBSTITUTE(SUBSTITUTE(SUBSTITUTE(SUBSTITUTE(SUBSTITUTE(SUBSTITUTE(SUBSTITUTE(LOWER(Z599&amp;""),CHAR(10)," "),CHAR(13)," "),CHAR(9)," "),CHAR(160)," "),"."," "),","," "),"-"," "),"/"," "),"("," "),")"," "),":"," "),";"," "),"_"," "),"–"," "),"?"," "),"!"," "),"*"," "),"["," "),"]"," "),"'"," "),"#"," "),"+"," "),"&amp;"," "),"\"," "))&amp;" "</f>
        <v>  </v>
      </c>
      <c r="BE599" s="61" t="str">
        <f aca="false">" "&amp;TRIM(SUBSTITUTE(SUBSTITUTE(SUBSTITUTE(SUBSTITUTE(SUBSTITUTE(SUBSTITUTE(SUBSTITUTE(SUBSTITUTE(SUBSTITUTE(SUBSTITUTE(SUBSTITUTE(SUBSTITUTE(SUBSTITUTE(SUBSTITUTE(SUBSTITUTE(SUBSTITUTE(SUBSTITUTE(SUBSTITUTE(SUBSTITUTE(SUBSTITUTE(SUBSTITUTE(SUBSTITUTE(SUBSTITUTE(SUBSTITUTE(LOWER(W599&amp;""),CHAR(10)," "),CHAR(13)," "),CHAR(9)," "),CHAR(160)," "),"."," "),","," "),"-"," "),"/"," "),"("," "),")"," "),":"," "),";"," "),"_"," "),"–"," "),"?"," "),"!"," "),"*"," "),"["," "),"]"," "),"'"," "),"#"," "),"+"," "),"&amp;"," "),"\"," "))&amp;" "</f>
        <v>  </v>
      </c>
      <c r="BF599" s="61" t="str">
        <f aca="false">" "&amp;TRIM(SUBSTITUTE(SUBSTITUTE(SUBSTITUTE(SUBSTITUTE(SUBSTITUTE(SUBSTITUTE(SUBSTITUTE(SUBSTITUTE(SUBSTITUTE(SUBSTITUTE(SUBSTITUTE(SUBSTITUTE(SUBSTITUTE(SUBSTITUTE(SUBSTITUTE(SUBSTITUTE(SUBSTITUTE(SUBSTITUTE(SUBSTITUTE(SUBSTITUTE(SUBSTITUTE(SUBSTITUTE(SUBSTITUTE(SUBSTITUTE(LOWER(AC599&amp;""),CHAR(10)," "),CHAR(13)," "),CHAR(9)," "),CHAR(160)," "),"."," "),","," "),"-"," "),"/"," "),"("," "),")"," "),":"," "),";"," "),"_"," "),"–"," "),"?"," "),"!"," "),"*"," "),"["," "),"]"," "),"'"," "),"#"," "),"+"," "),"&amp;"," "),"\"," "))&amp;" "</f>
        <v>  </v>
      </c>
      <c r="BG599" s="61" t="n">
        <f aca="false">IFERROR(IF(AND(TRIM(U599)="Pass",SUMPRODUCT((LEN(BC599)-LEN(SUBSTITUTE(BC599," "&amp;L_ResultBad&amp;" "," ")))/(LEN(L_ResultBad)+1))&gt;SUMPRODUCT((LEN(BC599)-LEN(SUBSTITUTE(BC599," "&amp;L_NegPhrase&amp;" "," ")))/(LEN(L_NegPhrase)+1))),1,0),0)</f>
        <v>0</v>
      </c>
      <c r="BH599" s="61" t="n">
        <f aca="false">IFERROR(IF(SUMPRODUCT((LEN(BC599)-LEN(SUBSTITUTE(BC599," "&amp;L_Pending&amp;" "," ")))/(LEN(L_Pending)+1))&gt;SUMPRODUCT((LEN(BC599)-LEN(SUBSTITUTE(BC599," "&amp;L_PendNeg&amp;" "," ")))/(LEN(L_PendNeg)+1))+SUMPRODUCT((LEN(BC599)-LEN(SUBSTITUTE(BC599," "&amp;L_PendPrep&amp;" "," ")))/(LEN(L_PendPrep)+1)),1,0),1)</f>
        <v>0</v>
      </c>
      <c r="BI599" s="61" t="n">
        <f aca="false">IFERROR(IF(SUMPRODUCT((LEN(BD599)-LEN(SUBSTITUTE(BD599," "&amp;L_PendStrict&amp;" "," ")))/(LEN(L_PendStrict)+1))&gt;SUMPRODUCT((LEN(BD599)-LEN(SUBSTITUTE(BD599," "&amp;L_PendNeg&amp;" "," ")))/(LEN(L_PendNeg)+1)),1,0),1)</f>
        <v>0</v>
      </c>
      <c r="BJ599" s="61" t="n">
        <f aca="false">IFERROR(IF(SUMPRODUCT((LEN(BE599)-LEN(SUBSTITUTE(BE599," "&amp;L_Pending&amp;" "," ")))/(LEN(L_Pending)+1))&gt;SUMPRODUCT((LEN(BE599)-LEN(SUBSTITUTE(BE599," "&amp;L_PendNeg&amp;" "," ")))/(LEN(L_PendNeg)+1))+SUMPRODUCT((LEN(BE599)-LEN(SUBSTITUTE(BE599," "&amp;L_PendPrep&amp;" "," ")))/(LEN(L_PendPrep)+1)),1,0),1)</f>
        <v>0</v>
      </c>
      <c r="BK599" s="61" t="n">
        <f aca="false">IFERROR(IF(SUMPRODUCT((LEN(BF599)-LEN(SUBSTITUTE(BF599," "&amp;L_PendStrict&amp;" "," ")))/(LEN(L_PendStrict)+1))&gt;SUMPRODUCT((LEN(BF599)-LEN(SUBSTITUTE(BF599," "&amp;L_PendNeg&amp;" "," ")))/(LEN(L_PendNeg)+1)),1,0),1)</f>
        <v>0</v>
      </c>
      <c r="BL599" s="61" t="n">
        <f aca="false">IF(ISNA(MATCH(TRIM(S599),L_EvidenceType,0)),0,BZ599)</f>
        <v>0</v>
      </c>
      <c r="BM599" s="61" t="str">
        <f aca="false">SUBSTITUTE(SUBSTITUTE(SUBSTITUTE(SUBSTITUTE(SUBSTITUTE(SUBSTITUTE(SUBSTITUTE(SUBSTITUTE(SUBSTITUTE(LOWER(Z599&amp;""),"1","0"),"2","0"),"3","0"),"4","0"),"5","0"),"6","0"),"7","0"),"8","0"),"9","0")</f>
        <v/>
      </c>
      <c r="BN599" s="61" t="str">
        <f aca="false">SUBSTITUTE(SUBSTITUTE(SUBSTITUTE(SUBSTITUTE(SUBSTITUTE(SUBSTITUTE(SUBSTITUTE(SUBSTITUTE(SUBSTITUTE(SUBSTITUTE(SUBSTITUTE(SUBSTITUTE(SUBSTITUTE(SUBSTITUTE(SUBSTITUTE(SUBSTITUTE(SUBSTITUTE(SUBSTITUTE(SUBSTITUTE(SUBSTITUTE(SUBSTITUTE(SUBSTITUTE(SUBSTITUTE(SUBSTITUTE(SUBSTITUTE(BM599,"b","a"),"c","a"),"d","a"),"e","a"),"f","a"),"g","a"),"h","a"),"i","a"),"j","a"),"k","a"),"l","a"),"m","a"),"n","a"),"o","a"),"p","a"),"q","a"),"r","a"),"s","a"),"t","a"),"u","a"),"v","a"),"w","a"),"x","a"),"y","a"),"z","a")</f>
        <v/>
      </c>
      <c r="BO599" s="61" t="str">
        <f aca="false">SUBSTITUTE(SUBSTITUTE(SUBSTITUTE(SUBSTITUTE(SUBSTITUTE(SUBSTITUTE(SUBSTITUTE(SUBSTITUTE(SUBSTITUTE(LOWER(W599&amp;""),"1","0"),"2","0"),"3","0"),"4","0"),"5","0"),"6","0"),"7","0"),"8","0"),"9","0")</f>
        <v/>
      </c>
      <c r="BP599" s="61" t="str">
        <f aca="false">SUBSTITUTE(SUBSTITUTE(SUBSTITUTE(SUBSTITUTE(SUBSTITUTE(SUBSTITUTE(SUBSTITUTE(SUBSTITUTE(SUBSTITUTE(SUBSTITUTE(SUBSTITUTE(SUBSTITUTE(SUBSTITUTE(SUBSTITUTE(SUBSTITUTE(SUBSTITUTE(SUBSTITUTE(SUBSTITUTE(SUBSTITUTE(SUBSTITUTE(SUBSTITUTE(SUBSTITUTE(SUBSTITUTE(SUBSTITUTE(SUBSTITUTE(BO599,"b","a"),"c","a"),"d","a"),"e","a"),"f","a"),"g","a"),"h","a"),"i","a"),"j","a"),"k","a"),"l","a"),"m","a"),"n","a"),"o","a"),"p","a"),"q","a"),"r","a"),"s","a"),"t","a"),"u","a"),"v","a"),"w","a"),"x","a"),"y","a"),"z","a")</f>
        <v/>
      </c>
      <c r="BQ599" s="61" t="n">
        <f aca="false">IFERROR(IF(AND(ISERROR(SEARCH(" mh"," "&amp;LOWER(W599))),ISNA(MATCH(LEFT(TRIM(BP599),255),{"0000a","000a","00a","0000aa","000aa","00aa","0aa","0000aaa","000aaa","00a00","0a00","0000-0000","00:00","a00","a0","00.00.0000","00/00/0000","00-00-0000","0000-00-00","0000/00/00","0000.00.00","00.00.00","00/00/00","00-00-00","0.00.0000","0/00/0000","0-00-0000"},0)),ISNA(MATCH(LEFT(TRIM(CA599),255),{"0000a","000a","00a","0000aa","000aa","00aa","0aa","0000aaa","000aaa","00a00","0a00","0000-0000","00:00","a00","a0","00.00.0000","00/00/0000","00-00-0000","0000-00-00","0000/00/00","0000.00.00","00.00.00","00/00/00","00-00-00","0.00.0000","0/00/0000","0-00-0000"},0)),LEN(CB599)&gt;=3,NOT(OR(SUBSTITUTE(CB599,"0","")="",AND(LEN(CB599)&gt;=4,CB599=REPT(LEFT(CB599),LEN(CB599))),ISNUMBER(MATCH(CB599,{"123","1234","12345","123456","1234567","12345678","0123","01234","012345","98765","987654","54321"},0)),AND(LEN(CB599)=8,LEFT(CB599,3)="202"))),OR(AND((LEN(CA599)-LEN(SUBSTITUTE(CA599,"a","")))&gt;=1,SUMPRODUCT(--ISNUMBER(SEARCH({"a0","a-0","a_0","a/0","a.0","a#0","0a","0-a","0_a","0/a"},BP599)))&gt;0),ISNUMBER(SEARCH("000000",BP599)))),1,0),0)</f>
        <v>0</v>
      </c>
      <c r="BR599" s="61" t="n">
        <f aca="false">IFERROR(LEN(SUBSTITUTE(CC599," ",""))-SUMPRODUCT((LEN(CC599)-LEN(SUBSTITUTE(CC599," "&amp;L_Role&amp;" "," ")))/(LEN(L_Role)+1)*LEN(L_Role)),0)</f>
        <v>0</v>
      </c>
      <c r="BS599" s="61" t="n">
        <f aca="false">IFERROR(LEN(SUBSTITUTE(CD599," ",""))-SUMPRODUCT((LEN(CD599)-LEN(SUBSTITUTE(CD599," "&amp;L_Role&amp;" "," ")))/(LEN(L_Role)+1)*LEN(L_Role)),0)</f>
        <v>0</v>
      </c>
      <c r="BT5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599,"revision",""),"version",""),"jan",""),"feb",""),"mar",""),"apr",""),"may",""),"jun",""),"jul",""),"aug",""),"sep",""),"oct",""),"nov",""),"dec",""),"utc",""),"gmt",""),"myt",""),"bst",""),"rev",""),"ver",""),"b","a"),"c","a"),"d","a"),"e","a"),"f","a"),"g","a"),"h","a"),"i","a"),"j","a"),"k","a"),"l","a"),"m","a"),"n","a"),"o","a"),"p","a"),"q","a"),"r","a"),"s","a"),"t","a"),"u","a"),"v","a"),"w","a"),"x","a"),"y","a"),"z","a")</f>
        <v/>
      </c>
      <c r="BU599" s="61" t="str">
        <f aca="false">SUBSTITUTE(SUBSTITUTE(SUBSTITUTE(SUBSTITUTE(SUBSTITUTE(SUBSTITUTE(SUBSTITUTE(SUBSTITUTE(SUBSTITUTE(SUBSTITUTE(LEFT(BM599,FIND("0",BM599&amp;"0")-1),"-",""),"_",""),"/",""),".",""),"#",""),"\\",""),":","")," ",""),"(",""),")","")</f>
        <v/>
      </c>
      <c r="BV599" s="61" t="n">
        <f aca="false">0</f>
        <v>0</v>
      </c>
      <c r="BW5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599&amp;""),"a",""),"b",""),"c",""),"d",""),"e",""),"f",""),"g",""),"h",""),"i",""),"j",""),"k",""),"l",""),"m",""),"n",""),"o",""),"p",""),"q",""),"r",""),"s",""),"t",""),"u",""),"v",""),"w",""),"x",""),"y",""),"z",""),"-",""),"_",""),"/",""),".",""),"#",""),"\\",""),":","")," ",""),"(",""),")","")</f>
        <v/>
      </c>
      <c r="BX599" s="61" t="str">
        <f aca="false">SUBSTITUTE(SUBSTITUTE(SUBSTITUTE(SUBSTITUTE(SUBSTITUTE(SUBSTITUTE(SUBSTITUTE(SUBSTITUTE(SUBSTITUTE(SUBSTITUTE(SUBSTITUTE(BM599,"0",""),"-",""),"_",""),"/",""),".",""),"#",""),"\\",""),":","")," ",""),"(",""),")","")</f>
        <v/>
      </c>
      <c r="BY599" s="62" t="n">
        <f aca="false">Q599-T12EarlyH/24</f>
        <v>46321.6006944444</v>
      </c>
      <c r="BZ599" s="61" t="n">
        <f aca="false">IFERROR(IF(IF(TRIM(S599)="Link / file path",AND(LEN(TRIM(Z599))&gt;=5,SUMPRODUCT(--ISNUMBER(SEARCH({"http","www.","\\",":\",".pdf",".jpg",".jpeg",".png",".heic",".xls",".doc",".msg",".eml",".ppt",".txt",".zip"},Z599)))&gt;0),AND(ISERROR(FIND(" ",TRIM(Z599))),NOT(OR(SUMPRODUCT(--ISNUMBER(FIND({",",";","&amp;","+"},Z599)))&gt;0,SUMPRODUCT(--ISNUMBER(SEARCH({"0/aa","0\\aa"},BN599)))&gt;0)),NOT(SUMPRODUCT(--ISNUMBER(SEARCH({"http","www.","\\",":\",".pdf",".jpg",".jpeg",".png",".heic",".xls",".doc",".msg",".eml",".ppt",".txt",".zip"},Z599)))&gt;0),NOT(LOWER(TRIM(Z599))=LOWER(Flights!$F$22)),ISNA(MATCH(BU599,{"mh","rev","revision","ver","version","v","r","a","b","seat","tray","row","gate","bay","stand","page","pg","item","line","no","cart","galley","flight","flt","table","box","bag","oven","etd","eta","std","sta","atd","ata","qty","pax","x","time","tel","ph","mob","day","wk","week","utc","gmt","myt","lt"},0)),NOT(OR(ISNUMBER(MATCH(LEFT(BN599,255),{"0000a","000a","00a","0000aa","000aa","00aa","0aa","0000aaa","000aaa","00a00","0a00","0000-0000","00:00","a00","a0","00.00.0000","00/00/0000","00-00-0000","0000-00-00","0000/00/00","0000.00.00","00.00.00","00/00/00","00-00-00","0.00.0000","0/00/0000","0-00-0000"},0)),ISNUMBER(MATCH(LEFT(BT599,255),{"0000a","000a","00a","0000aa","000aa","00aa","0aa","0000aaa","000aaa","00a00","0a00","0000-0000","00:00","a00","a0","00.00.0000","00/00/0000","00-00-0000","0000-00-00","0000/00/00","0000.00.00","00.00.00","00/00/00","00-00-00","0.00.0000","0/00/0000","0-00-0000"},0)))),NOT(OR(AND(BW599&lt;&gt;"",SUBSTITUTE(BW599,"0","")=""),AND(LEN(BW599)&gt;=4,BW599=REPT(LEFT(BW599),LEN(BW599))),ISNUMBER(MATCH(BW599,{"123","1234","12345","123456","1234567","12345678","0123","01234","012345","98765","987654","54321"},0)),ISNUMBER(MATCH(BX599,{"x","xx","xxx","xxxx","xxxxx","abc","abcd","nil","na","nan","test","tbc","tba","tbd","dummy","sample","example","eg","zz","zzz","none","null","xyz","qwe","asd","id","ref"},0)),AND(LEN(BW599)=8,BX599="",OR(LEFT(BW599,3)="202",ISNUMBER(MATCH(RIGHT(BW599,4),{"2025","2026","2027"},0)))))),OR(AND((LEN(BT599)-LEN(SUBSTITUTE(BT599,"a","")))&gt;=1,(LEN(BN599)-LEN(SUBSTITUTE(BN599,"0","")))&gt;=2,SUMPRODUCT(--ISNUMBER(SEARCH({"a0","a-0","a_0","a/0","a.0","a#0","0a","0-a","0_a","0/a"},BN599)))&gt;0),AND((LEN(BN599)-LEN(SUBSTITUTE(BN599,"a","")))=0,(LEN(BN599)-LEN(SUBSTITUTE(BN599,"0","")))&gt;=5)))),1,0),0)</f>
        <v>0</v>
      </c>
      <c r="CA5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599,"revision",""),"version",""),"jan",""),"feb",""),"mar",""),"apr",""),"may",""),"jun",""),"jul",""),"aug",""),"sep",""),"oct",""),"nov",""),"dec",""),"utc",""),"gmt",""),"myt",""),"bst",""),"rev",""),"ver",""),"b","a"),"c","a"),"d","a"),"e","a"),"f","a"),"g","a"),"h","a"),"i","a"),"j","a"),"k","a"),"l","a"),"m","a"),"n","a"),"o","a"),"p","a"),"q","a"),"r","a"),"s","a"),"t","a"),"u","a"),"v","a"),"w","a"),"x","a"),"y","a"),"z","a")</f>
        <v/>
      </c>
      <c r="CB5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599&amp;""),"a",""),"b",""),"c",""),"d",""),"e",""),"f",""),"g",""),"h",""),"i",""),"j",""),"k",""),"l",""),"m",""),"n",""),"o",""),"p",""),"q",""),"r",""),"s",""),"t",""),"u",""),"v",""),"w",""),"x",""),"y",""),"z",""),"-",""),"_",""),"/",""),".",""),"#",""),"\\",""),":","")," ",""),"(",""),")","")</f>
        <v/>
      </c>
      <c r="CC599" s="0" t="str">
        <f aca="false">" "&amp;TRIM(SUBSTITUTE(SUBSTITUTE(SUBSTITUTE(SUBSTITUTE(SUBSTITUTE(SUBSTITUTE(SUBSTITUTE(SUBSTITUTE(SUBSTITUTE(SUBSTITUTE(SUBSTITUTE(SUBSTITUTE(SUBSTITUTE(SUBSTITUTE(SUBSTITUTE(SUBSTITUTE(SUBSTITUTE(SUBSTITUTE(SUBSTITUTE(SUBSTITUTE(SUBSTITUTE(SUBSTITUTE(SUBSTITUTE(SUBSTITUTE(LOWER(T599&amp;""),CHAR(10)," "),CHAR(13)," "),CHAR(9)," "),CHAR(160)," "),"."," "),","," "),"-"," "),"/"," "),"("," "),")"," "),":"," "),";"," "),"_"," "),"–"," "),"?"," "),"!"," "),"*"," "),"["," "),"]"," "),"'"," "),"#"," "),"+"," "),"&amp;"," "),"\"," "))&amp;" "</f>
        <v>  </v>
      </c>
      <c r="CD599" s="0" t="str">
        <f aca="false">" "&amp;TRIM(SUBSTITUTE(SUBSTITUTE(SUBSTITUTE(SUBSTITUTE(SUBSTITUTE(SUBSTITUTE(SUBSTITUTE(SUBSTITUTE(SUBSTITUTE(SUBSTITUTE(SUBSTITUTE(SUBSTITUTE(SUBSTITUTE(SUBSTITUTE(SUBSTITUTE(SUBSTITUTE(SUBSTITUTE(SUBSTITUTE(SUBSTITUTE(SUBSTITUTE(SUBSTITUTE(SUBSTITUTE(SUBSTITUTE(SUBSTITUTE(LOWER(AE599&amp;""),CHAR(10)," "),CHAR(13)," "),CHAR(9)," "),CHAR(160)," "),"."," "),","," "),"-"," "),"/"," "),"("," "),")"," "),":"," "),";"," "),"_"," "),"–"," "),"?"," "),"!"," "),"*"," "),"["," "),"]"," "),"'"," "),"#"," "),"+"," "),"&amp;"," "),"\"," "))&amp;" "</f>
        <v>  </v>
      </c>
      <c r="CE599" s="68" t="n">
        <f aca="false">IFERROR(IF(AND(LEN(AU599)&gt;0,LEN(AU599)=LEN(AX599),OR(TRIM(MID(SUBSTITUTE(TRIM(CC599)," ",REPT(" ",60)),1,60))="",ISNUMBER(SEARCH(" "&amp;TRIM(MID(SUBSTITUTE(TRIM(CC599)," ",REPT(" ",60)),1,60))&amp;" ",CD599))),OR(TRIM(MID(SUBSTITUTE(TRIM(CC599)," ",REPT(" ",60)),61,60))="",ISNUMBER(SEARCH(" "&amp;TRIM(MID(SUBSTITUTE(TRIM(CC599)," ",REPT(" ",60)),61,60))&amp;" ",CD599))),OR(TRIM(MID(SUBSTITUTE(TRIM(CC599)," ",REPT(" ",60)),121,60))="",ISNUMBER(SEARCH(" "&amp;TRIM(MID(SUBSTITUTE(TRIM(CC599)," ",REPT(" ",60)),121,60))&amp;" ",CD599)))),1,0),0)</f>
        <v>0</v>
      </c>
      <c r="CG599" s="68" t="n">
        <f aca="false">IFERROR(LEN(SUBSTITUTE(BF599," ",""))-SUMPRODUCT((LEN(BF599)-LEN(SUBSTITUTE(BF599," "&amp;L_NAFiller&amp;" "," ")))/(LEN(L_NAFiller)+1)*LEN(L_NAFiller)),0)</f>
        <v>0</v>
      </c>
    </row>
    <row r="600" customFormat="false" ht="41.25" hidden="false" customHeight="true" outlineLevel="0" collapsed="false">
      <c r="A600" s="57" t="s">
        <v>1303</v>
      </c>
      <c r="B600" s="57" t="s">
        <v>293</v>
      </c>
      <c r="C600" s="57" t="str">
        <f aca="false">Flights!$F$22</f>
        <v>MH0052</v>
      </c>
      <c r="D600" s="58" t="n">
        <f aca="false">Flights!$D$22</f>
        <v>46322</v>
      </c>
      <c r="E600" s="57" t="str">
        <f aca="false">Flights!$G$22&amp;"-"&amp;Flights!$H$22</f>
        <v>KUL-KIX</v>
      </c>
      <c r="F600" s="57" t="str">
        <f aca="false">Flights!$K$22</f>
        <v>BC</v>
      </c>
      <c r="G600" s="57" t="s">
        <v>420</v>
      </c>
      <c r="H600" s="57" t="s">
        <v>378</v>
      </c>
      <c r="I600" s="57" t="s">
        <v>447</v>
      </c>
      <c r="J600" s="57" t="s">
        <v>623</v>
      </c>
      <c r="K600" s="67" t="s">
        <v>449</v>
      </c>
      <c r="L600" s="67" t="s">
        <v>1304</v>
      </c>
      <c r="M600" s="67" t="s">
        <v>451</v>
      </c>
      <c r="N600" s="67" t="s">
        <v>383</v>
      </c>
      <c r="O600" s="67" t="s">
        <v>503</v>
      </c>
      <c r="P600" s="57" t="s">
        <v>187</v>
      </c>
      <c r="Q600" s="59" t="n">
        <f aca="false">ROUND((Flights!$AE$22)*1440,0)/1440</f>
        <v>46322.1006944444</v>
      </c>
      <c r="R600" s="59" t="n">
        <f aca="false">Q600+(IF(AND(INDEX(TZ_DSTS,MATCH(P600,TZ_STN,0))&lt;&gt;"",Q600&gt;=INDEX(TZ_DSTS,MATCH(P600,TZ_STN,0)),Q600&lt;INDEX(TZ_DSTE,MATCH(P600,TZ_STN,0))),INDEX(TZ_DST,MATCH(P600,TZ_STN,0)),INDEX(TZ_STD,MATCH(P600,TZ_STN,0))))/24</f>
        <v>46322.4340277778</v>
      </c>
      <c r="S600" s="60"/>
      <c r="T600" s="60"/>
      <c r="U600" s="60"/>
      <c r="V600" s="60"/>
      <c r="W600" s="61"/>
      <c r="X600" s="60"/>
      <c r="Y600" s="60"/>
      <c r="Z600" s="60"/>
      <c r="AA600" s="60"/>
      <c r="AB600" s="60"/>
      <c r="AC600" s="60"/>
      <c r="AD600" s="66"/>
      <c r="AE600" s="60"/>
      <c r="AF600" s="61" t="str">
        <f aca="false">IF(AND(ISNUMBER(X600),ISNUMBER(Y600)),Y600-X600,"")</f>
        <v/>
      </c>
      <c r="AG600" s="62" t="str">
        <f aca="false">IF(ISNUMBER(AD600),AD600-(IF(AND(INDEX(TZ_DSTS,MATCH(P600,TZ_STN,0))&lt;&gt;"",(AD600-INDEX(TZ_STD,MATCH(P600,TZ_STN,0))/24)&gt;=INDEX(TZ_DSTS,MATCH(P600,TZ_STN,0)),(AD600-INDEX(TZ_STD,MATCH(P600,TZ_STN,0))/24)&lt;INDEX(TZ_DSTE,MATCH(P600,TZ_STN,0))),INDEX(TZ_DST,MATCH(P600,TZ_STN,0)),INDEX(TZ_STD,MATCH(P600,TZ_STN,0))))/24,"")</f>
        <v/>
      </c>
      <c r="AH600" s="65" t="str">
        <f aca="false">IFERROR(IF(N600="N/A – rule",IF(OR(TRIM(U600)="",TRIM(U600)="N/A",TRIM(U600)="Not started"),"N/A – RULE","INVALID – this check does not apply to this aircraft: clear the status (or correct the fleet on Flights)"),IF(TRIM(U600)="N/A",IF(AT600=0,"INVALID – N/A not permitted for this check",IF(AND(TRIM(AB600)&lt;&gt;"",TRIM(AB600)&lt;&gt;"Closed"),"INVALID – corrective action still open",IF(AND(NOT(OR(LEN(AZ600)&lt;15,ISNUMBER(MATCH(AZ600,L_Placeholder,0)))),BK600=0,CG600&gt;=8,NOT(OR(LEN(AU600)&lt;2,ISNUMBER(MATCH(AU600,L_Placeholder,0)))),BR600&gt;=3,NOT(OR(LEN(AX600)&lt;2,ISNUMBER(MATCH(AX600,L_Placeholder,0)))),BS600&gt;=3,TRIM(AE600)&lt;&gt;TRIM(T600),AX600&lt;&gt;AU600,CE600=0),"N/A – JUSTIFIED","INVALID – N/A needs a real, settled reason (not 'not applicable' / 'as above' / TBC), a named PIC and a different named verifier"))),IF(OR(TRIM(U600)="Pass",TRIM(U600)="Pass after CA"),IF(NOT(ISNUMBER(AD600)),"INVALID – completion time missing",IF(OR(OR(LEN(AU600)&lt;2,ISNUMBER(MATCH(AU600,L_Placeholder,0))),BR600&lt;3),"INVALID – PIC missing or not a named person (a role such as QA / CSM is not a name)",IF(OR(LEN(AV600)&lt;2,ISNUMBER(MATCH(AV600,L_Placeholder,0))),"INVALID – result / assessment missing",IF(OR(OR(LEN(AW600)&lt;3,ISNUMBER(MATCH(AW600,L_Placeholder,0))),SUMPRODUCT(--ISNUMBER(SEARCH(" "&amp;L_EvidencePhrase&amp;" ",BD600)))&gt;0,BI600=1),"INVALID – evidence missing, placeholder or not yet on file",IF(ISNA(MATCH(TRIM(S600),L_EvidenceType,0)),"INVALID – choose the evidence type from the list (column S)",IF(BL600=0,"INVALID – evidence ID must be the record's own ID only (e.g. SF-2210, IMG_2231, 1045521); a link / file name needs type 'Link / file path'",IF(OR(OR(LEN(AX600)&lt;2,ISNUMBER(MATCH(AX600,L_Placeholder,0))),BS600&lt;3),"INVALID – verifier missing or not a named person (a role such as QA / CSM is not a name)",IF(OR(AX600=AU600,CE600=1,AND(LEN(AU600)&gt;=4,ISNUMBER(SEARCH(AU600,AX600))),AND(LEN(AX600)&gt;=4,ISNUMBER(SEARCH(AX600,AU600)))),"INVALID – verifier must be a different, named person (not the PIC or a role)",IF(BH600=1,"INVALID – result not yet available (awaiting / TBC)",IF(BG600=1,"INVALID – result describes a problem: record Fail, then Pass after CA (or reword if it is not a problem)",IF(BV600=1,"INVALID – wording says not on board: an on-board confirmation needs the item loaded",IF(AND(AQ600=1,OR(OR(LEN(AY600)&lt;3,ISNUMBER(MATCH(AY600,L_Placeholder,0))),BJ600=1,BQ600=0)),"INVALID – batch ID missing, placeholder or not an ID (e.g. PASB-261008-BC-017)",IF(AND(AR600=1,OR(NOT(ISNUMBER(X600)),NOT(ISNUMBER(Y600)))),"INVALID – expected/actual qty missing",IF(AND(AR600=1,OR(X600&lt;=0,Y600&lt;0)),"INVALID – expected qty must be above 0 and actual not negative",IF(BB600&lt;&gt;"",BB600,IF(AND(AS600=1,Documents!$J$22&lt;&gt;"ON FILE"),"INVALID – GLD not on file (Documents sheet)",IF(AND(AS600=2,Documents!$O$22&lt;&gt;"ON FILE"),"INVALID – menu checklist not on file (Documents sheet)",IF(AND(AS600=3,NOT(ISNUMBER(Flights!$AX$22))),"INVALID – enter carrying flight KUL departure (Flights AX)",IF(AND(AS600=3,OR(Flights!$AZ$22&gt;Flights!$AA$22,Flights!$AX$22&lt;Flights!$AA$22-3)),"INVALID – carrying flight (Flights AX) cannot arrive before this leg's STD, or is over 3 days early",IF(AG600&gt;AsOfUTC,"INVALID – completion time is in the future",IF(AND(ISNUMBER(BY600),AG600&lt;BY600),IF(H600="Physical uplift","INVALID – before uplift window (cannot confirm loading)","INVALID – before valid window"),IF(AG600&gt;Flights!$AA$22,"INVALID – completed after departure (cannot establish readiness)",IF(AND(H600="Preparation",AG600&gt;=IF(ISNUMBER(Flights!$BA$22),MIN(Flights!$BA$22,Flights!$AA$22),Flights!$AA$22)),"INVALID – completed after loading / departure (cannot establish readiness)",IF(AND(H600="Physical uplift",AG600&gt;Q600),"INVALID – recorded after the loading flight departed",IF(AG600&gt;Q600,"COMPLETE – LATE","COMPLETE"))))))))))))))))))))))))),IF(TRIM(U600)="Fail","FAIL – DISCREPANCY",IF(AND(TRIM(U600)&lt;&gt;"",TRIM(U600)&lt;&gt;"Not started",TRIM(U600)&lt;&gt;"In progress"),"INVALID – unrecognised status (use the list)",IF(AsOfUTC&gt;Q600,"OVERDUE",IF(N600="Clarification required","OPEN – CLARIFICATION","OPEN"))))))),"INVALID – error value in an input cell")</f>
        <v>OPEN</v>
      </c>
      <c r="AI600" s="61" t="n">
        <f aca="false">IF(OR(AH600="N/A – RULE",AH600="N/A – JUSTIFIED"),0,1)</f>
        <v>1</v>
      </c>
      <c r="AJ600" s="61" t="n">
        <f aca="false">IF(LEFT(AH600,8)="COMPLETE",1,0)</f>
        <v>0</v>
      </c>
      <c r="AK600" s="61" t="n">
        <f aca="false">IF(AND(AI600=1,AJ600=0,AsOfUTC&gt;Q600),1,0)</f>
        <v>0</v>
      </c>
      <c r="AL600" s="61" t="n">
        <f aca="false">IFERROR(IF(AND(AI600=1,OR(TRIM(U600)="Fail",AND(TRIM(AB600)&lt;&gt;"",TRIM(AB600)&lt;&gt;"Closed"),AND(ISNUMBER(AF600),AF600&lt;&gt;0,TRIM(U600)&lt;&gt;"Pass after CA"))),1,0),1)</f>
        <v>0</v>
      </c>
      <c r="AM600" s="61" t="n">
        <f aca="false">IF(LEFT(AH600,7)="INVALID",1,0)</f>
        <v>0</v>
      </c>
      <c r="AN600" s="61" t="n">
        <f aca="false">IF(AND(N600="Clarification required",AI600=1,AJ600=0),1,0)</f>
        <v>0</v>
      </c>
      <c r="AO600" s="61" t="str">
        <f aca="false">IF(AK600=1,SUM(AK$5:AK600),"")</f>
        <v/>
      </c>
      <c r="AP600" s="61" t="str">
        <f aca="false">IF(AL600=1,SUM(AL$5:AL600),"")</f>
        <v/>
      </c>
      <c r="AQ600" s="61" t="n">
        <v>0</v>
      </c>
      <c r="AR600" s="61" t="n">
        <v>0</v>
      </c>
      <c r="AS600" s="61" t="n">
        <v>0</v>
      </c>
      <c r="AT600" s="61" t="n">
        <v>0</v>
      </c>
      <c r="AU600" s="61" t="str">
        <f aca="false">SUBSTITUTE(SUBSTITUTE(SUBSTITUTE(SUBSTITUTE(SUBSTITUTE(SUBSTITUTE(SUBSTITUTE(SUBSTITUTE(SUBSTITUTE(SUBSTITUTE(SUBSTITUTE(SUBSTITUTE(SUBSTITUTE(SUBSTITUTE(SUBSTITUTE(SUBSTITUTE(LOWER(T600&amp;""),CHAR(10),""),CHAR(13),""),CHAR(9),""),CHAR(160),"")," ",""),".",""),"-",""),"/",""),"?",""),"_",""),",",""),"[",""),"]",""),"(",""),")",""),"*","")</f>
        <v/>
      </c>
      <c r="AV600" s="61" t="str">
        <f aca="false">SUBSTITUTE(SUBSTITUTE(SUBSTITUTE(SUBSTITUTE(SUBSTITUTE(SUBSTITUTE(SUBSTITUTE(SUBSTITUTE(SUBSTITUTE(SUBSTITUTE(SUBSTITUTE(SUBSTITUTE(SUBSTITUTE(SUBSTITUTE(SUBSTITUTE(SUBSTITUTE(LOWER(V600&amp;""),CHAR(10),""),CHAR(13),""),CHAR(9),""),CHAR(160),"")," ",""),".",""),"-",""),"/",""),"?",""),"_",""),",",""),"[",""),"]",""),"(",""),")",""),"*","")</f>
        <v/>
      </c>
      <c r="AW600" s="61" t="str">
        <f aca="false">SUBSTITUTE(SUBSTITUTE(SUBSTITUTE(SUBSTITUTE(SUBSTITUTE(SUBSTITUTE(SUBSTITUTE(SUBSTITUTE(SUBSTITUTE(SUBSTITUTE(SUBSTITUTE(SUBSTITUTE(SUBSTITUTE(SUBSTITUTE(SUBSTITUTE(SUBSTITUTE(LOWER(Z600&amp;""),CHAR(10),""),CHAR(13),""),CHAR(9),""),CHAR(160),"")," ",""),".",""),"-",""),"/",""),"?",""),"_",""),",",""),"[",""),"]",""),"(",""),")",""),"*","")</f>
        <v/>
      </c>
      <c r="AX600" s="61" t="str">
        <f aca="false">SUBSTITUTE(SUBSTITUTE(SUBSTITUTE(SUBSTITUTE(SUBSTITUTE(SUBSTITUTE(SUBSTITUTE(SUBSTITUTE(SUBSTITUTE(SUBSTITUTE(SUBSTITUTE(SUBSTITUTE(SUBSTITUTE(SUBSTITUTE(SUBSTITUTE(SUBSTITUTE(LOWER(AE600&amp;""),CHAR(10),""),CHAR(13),""),CHAR(9),""),CHAR(160),"")," ",""),".",""),"-",""),"/",""),"?",""),"_",""),",",""),"[",""),"]",""),"(",""),")",""),"*","")</f>
        <v/>
      </c>
      <c r="AY600" s="61" t="str">
        <f aca="false">SUBSTITUTE(SUBSTITUTE(SUBSTITUTE(SUBSTITUTE(SUBSTITUTE(SUBSTITUTE(SUBSTITUTE(SUBSTITUTE(SUBSTITUTE(SUBSTITUTE(SUBSTITUTE(SUBSTITUTE(SUBSTITUTE(SUBSTITUTE(SUBSTITUTE(SUBSTITUTE(LOWER(W600&amp;""),CHAR(10),""),CHAR(13),""),CHAR(9),""),CHAR(160),"")," ",""),".",""),"-",""),"/",""),"?",""),"_",""),",",""),"[",""),"]",""),"(",""),")",""),"*","")</f>
        <v/>
      </c>
      <c r="AZ600" s="61" t="str">
        <f aca="false">SUBSTITUTE(SUBSTITUTE(SUBSTITUTE(SUBSTITUTE(SUBSTITUTE(SUBSTITUTE(SUBSTITUTE(SUBSTITUTE(SUBSTITUTE(SUBSTITUTE(SUBSTITUTE(SUBSTITUTE(SUBSTITUTE(SUBSTITUTE(SUBSTITUTE(SUBSTITUTE(LOWER(AC600&amp;""),CHAR(10),""),CHAR(13),""),CHAR(9),""),CHAR(160),"")," ",""),".",""),"-",""),"/",""),"?",""),"_",""),",",""),"[",""),"]",""),"(",""),")",""),"*","")</f>
        <v/>
      </c>
      <c r="BA600" s="61" t="str">
        <f aca="false">SUBSTITUTE(SUBSTITUTE(SUBSTITUTE(SUBSTITUTE(SUBSTITUTE(SUBSTITUTE(SUBSTITUTE(SUBSTITUTE(SUBSTITUTE(SUBSTITUTE(SUBSTITUTE(SUBSTITUTE(SUBSTITUTE(SUBSTITUTE(SUBSTITUTE(SUBSTITUTE(LOWER(AA600&amp;""),CHAR(10),""),CHAR(13),""),CHAR(9),""),CHAR(160),"")," ",""),".",""),"-",""),"/",""),"?",""),"_",""),",",""),"[",""),"]",""),"(",""),")",""),"*","")</f>
        <v/>
      </c>
      <c r="BB600" s="61" t="str">
        <f aca="false">IF(AND(TRIM(U600)="Pass",ISNUMBER(AF600)),IF(AF600&lt;&gt;0,"INVALID – qty variance: use Fail or Pass after CA",""),"")&amp;IF(AND(TRIM(U600)="Pass after CA",ISNUMBER(AF600)),IF(AF600&lt;&gt;0,"INVALID – after the corrective action the actual qty must equal expected (update Actual)",""),"")&amp;IF(AND(TRIM(U600)="Pass",TRIM(AB600)&lt;&gt;"",TRIM(AB600)&lt;&gt;"Closed"),"INVALID – corrective action not closed: use Fail, then Pass after CA","")&amp;IF(AND(LEN(BA600)&gt;=2,ISNA(MATCH(LEFT(BA600,255),L_Placeholder,0)),TRIM(AB600)=""),"INVALID – CA status missing for the recorded corrective action","")&amp;IF(AND(TRIM(U600)="Pass after CA",OR(OR(LEN(BA600)&lt;5,ISNUMBER(MATCH(BA600,L_Placeholder,0))),TRIM(AB600)&lt;&gt;"Closed")),"INVALID – corrective action not recorded/closed","")</f>
        <v/>
      </c>
      <c r="BC600" s="61" t="str">
        <f aca="false">" "&amp;TRIM(SUBSTITUTE(SUBSTITUTE(SUBSTITUTE(SUBSTITUTE(SUBSTITUTE(SUBSTITUTE(SUBSTITUTE(SUBSTITUTE(SUBSTITUTE(SUBSTITUTE(SUBSTITUTE(SUBSTITUTE(SUBSTITUTE(SUBSTITUTE(SUBSTITUTE(SUBSTITUTE(SUBSTITUTE(SUBSTITUTE(SUBSTITUTE(SUBSTITUTE(SUBSTITUTE(SUBSTITUTE(SUBSTITUTE(SUBSTITUTE(LOWER(V600&amp;""),CHAR(10)," "),CHAR(13)," "),CHAR(9)," "),CHAR(160)," "),"."," "),","," "),"-"," "),"/"," "),"("," "),")"," "),":"," "),";"," "),"_"," "),"–"," "),"?"," "),"!"," "),"*"," "),"["," "),"]"," "),"'"," "),"#"," "),"+"," "),"&amp;"," "),"\"," "))&amp;" "</f>
        <v>  </v>
      </c>
      <c r="BD600" s="61" t="str">
        <f aca="false">" "&amp;TRIM(SUBSTITUTE(SUBSTITUTE(SUBSTITUTE(SUBSTITUTE(SUBSTITUTE(SUBSTITUTE(SUBSTITUTE(SUBSTITUTE(SUBSTITUTE(SUBSTITUTE(SUBSTITUTE(SUBSTITUTE(SUBSTITUTE(SUBSTITUTE(SUBSTITUTE(SUBSTITUTE(SUBSTITUTE(SUBSTITUTE(SUBSTITUTE(SUBSTITUTE(SUBSTITUTE(SUBSTITUTE(SUBSTITUTE(SUBSTITUTE(LOWER(Z600&amp;""),CHAR(10)," "),CHAR(13)," "),CHAR(9)," "),CHAR(160)," "),"."," "),","," "),"-"," "),"/"," "),"("," "),")"," "),":"," "),";"," "),"_"," "),"–"," "),"?"," "),"!"," "),"*"," "),"["," "),"]"," "),"'"," "),"#"," "),"+"," "),"&amp;"," "),"\"," "))&amp;" "</f>
        <v>  </v>
      </c>
      <c r="BE600" s="61" t="str">
        <f aca="false">" "&amp;TRIM(SUBSTITUTE(SUBSTITUTE(SUBSTITUTE(SUBSTITUTE(SUBSTITUTE(SUBSTITUTE(SUBSTITUTE(SUBSTITUTE(SUBSTITUTE(SUBSTITUTE(SUBSTITUTE(SUBSTITUTE(SUBSTITUTE(SUBSTITUTE(SUBSTITUTE(SUBSTITUTE(SUBSTITUTE(SUBSTITUTE(SUBSTITUTE(SUBSTITUTE(SUBSTITUTE(SUBSTITUTE(SUBSTITUTE(SUBSTITUTE(LOWER(W600&amp;""),CHAR(10)," "),CHAR(13)," "),CHAR(9)," "),CHAR(160)," "),"."," "),","," "),"-"," "),"/"," "),"("," "),")"," "),":"," "),";"," "),"_"," "),"–"," "),"?"," "),"!"," "),"*"," "),"["," "),"]"," "),"'"," "),"#"," "),"+"," "),"&amp;"," "),"\"," "))&amp;" "</f>
        <v>  </v>
      </c>
      <c r="BF600" s="61" t="str">
        <f aca="false">" "&amp;TRIM(SUBSTITUTE(SUBSTITUTE(SUBSTITUTE(SUBSTITUTE(SUBSTITUTE(SUBSTITUTE(SUBSTITUTE(SUBSTITUTE(SUBSTITUTE(SUBSTITUTE(SUBSTITUTE(SUBSTITUTE(SUBSTITUTE(SUBSTITUTE(SUBSTITUTE(SUBSTITUTE(SUBSTITUTE(SUBSTITUTE(SUBSTITUTE(SUBSTITUTE(SUBSTITUTE(SUBSTITUTE(SUBSTITUTE(SUBSTITUTE(LOWER(AC600&amp;""),CHAR(10)," "),CHAR(13)," "),CHAR(9)," "),CHAR(160)," "),"."," "),","," "),"-"," "),"/"," "),"("," "),")"," "),":"," "),";"," "),"_"," "),"–"," "),"?"," "),"!"," "),"*"," "),"["," "),"]"," "),"'"," "),"#"," "),"+"," "),"&amp;"," "),"\"," "))&amp;" "</f>
        <v>  </v>
      </c>
      <c r="BG600" s="61" t="n">
        <f aca="false">IFERROR(IF(AND(TRIM(U600)="Pass",SUMPRODUCT((LEN(BC600)-LEN(SUBSTITUTE(BC600," "&amp;L_ResultBad&amp;" "," ")))/(LEN(L_ResultBad)+1))&gt;SUMPRODUCT((LEN(BC600)-LEN(SUBSTITUTE(BC600," "&amp;L_NegPhrase&amp;" "," ")))/(LEN(L_NegPhrase)+1))),1,0),0)</f>
        <v>0</v>
      </c>
      <c r="BH600" s="61" t="n">
        <f aca="false">IFERROR(IF(SUMPRODUCT((LEN(BC600)-LEN(SUBSTITUTE(BC600," "&amp;L_Pending&amp;" "," ")))/(LEN(L_Pending)+1))&gt;SUMPRODUCT((LEN(BC600)-LEN(SUBSTITUTE(BC600," "&amp;L_PendNeg&amp;" "," ")))/(LEN(L_PendNeg)+1))+SUMPRODUCT((LEN(BC600)-LEN(SUBSTITUTE(BC600," "&amp;L_PendPrep&amp;" "," ")))/(LEN(L_PendPrep)+1)),1,0),1)</f>
        <v>0</v>
      </c>
      <c r="BI600" s="61" t="n">
        <f aca="false">IFERROR(IF(SUMPRODUCT((LEN(BD600)-LEN(SUBSTITUTE(BD600," "&amp;L_PendStrict&amp;" "," ")))/(LEN(L_PendStrict)+1))&gt;SUMPRODUCT((LEN(BD600)-LEN(SUBSTITUTE(BD600," "&amp;L_PendNeg&amp;" "," ")))/(LEN(L_PendNeg)+1)),1,0),1)</f>
        <v>0</v>
      </c>
      <c r="BJ600" s="61" t="n">
        <f aca="false">IFERROR(IF(SUMPRODUCT((LEN(BE600)-LEN(SUBSTITUTE(BE600," "&amp;L_Pending&amp;" "," ")))/(LEN(L_Pending)+1))&gt;SUMPRODUCT((LEN(BE600)-LEN(SUBSTITUTE(BE600," "&amp;L_PendNeg&amp;" "," ")))/(LEN(L_PendNeg)+1))+SUMPRODUCT((LEN(BE600)-LEN(SUBSTITUTE(BE600," "&amp;L_PendPrep&amp;" "," ")))/(LEN(L_PendPrep)+1)),1,0),1)</f>
        <v>0</v>
      </c>
      <c r="BK600" s="61" t="n">
        <f aca="false">IFERROR(IF(SUMPRODUCT((LEN(BF600)-LEN(SUBSTITUTE(BF600," "&amp;L_PendStrict&amp;" "," ")))/(LEN(L_PendStrict)+1))&gt;SUMPRODUCT((LEN(BF600)-LEN(SUBSTITUTE(BF600," "&amp;L_PendNeg&amp;" "," ")))/(LEN(L_PendNeg)+1)),1,0),1)</f>
        <v>0</v>
      </c>
      <c r="BL600" s="61" t="n">
        <f aca="false">IF(ISNA(MATCH(TRIM(S600),L_EvidenceType,0)),0,BZ600)</f>
        <v>0</v>
      </c>
      <c r="BM600" s="61" t="str">
        <f aca="false">SUBSTITUTE(SUBSTITUTE(SUBSTITUTE(SUBSTITUTE(SUBSTITUTE(SUBSTITUTE(SUBSTITUTE(SUBSTITUTE(SUBSTITUTE(LOWER(Z600&amp;""),"1","0"),"2","0"),"3","0"),"4","0"),"5","0"),"6","0"),"7","0"),"8","0"),"9","0")</f>
        <v/>
      </c>
      <c r="BN600" s="61" t="str">
        <f aca="false">SUBSTITUTE(SUBSTITUTE(SUBSTITUTE(SUBSTITUTE(SUBSTITUTE(SUBSTITUTE(SUBSTITUTE(SUBSTITUTE(SUBSTITUTE(SUBSTITUTE(SUBSTITUTE(SUBSTITUTE(SUBSTITUTE(SUBSTITUTE(SUBSTITUTE(SUBSTITUTE(SUBSTITUTE(SUBSTITUTE(SUBSTITUTE(SUBSTITUTE(SUBSTITUTE(SUBSTITUTE(SUBSTITUTE(SUBSTITUTE(SUBSTITUTE(BM600,"b","a"),"c","a"),"d","a"),"e","a"),"f","a"),"g","a"),"h","a"),"i","a"),"j","a"),"k","a"),"l","a"),"m","a"),"n","a"),"o","a"),"p","a"),"q","a"),"r","a"),"s","a"),"t","a"),"u","a"),"v","a"),"w","a"),"x","a"),"y","a"),"z","a")</f>
        <v/>
      </c>
      <c r="BO600" s="61" t="str">
        <f aca="false">SUBSTITUTE(SUBSTITUTE(SUBSTITUTE(SUBSTITUTE(SUBSTITUTE(SUBSTITUTE(SUBSTITUTE(SUBSTITUTE(SUBSTITUTE(LOWER(W600&amp;""),"1","0"),"2","0"),"3","0"),"4","0"),"5","0"),"6","0"),"7","0"),"8","0"),"9","0")</f>
        <v/>
      </c>
      <c r="BP600" s="61" t="str">
        <f aca="false">SUBSTITUTE(SUBSTITUTE(SUBSTITUTE(SUBSTITUTE(SUBSTITUTE(SUBSTITUTE(SUBSTITUTE(SUBSTITUTE(SUBSTITUTE(SUBSTITUTE(SUBSTITUTE(SUBSTITUTE(SUBSTITUTE(SUBSTITUTE(SUBSTITUTE(SUBSTITUTE(SUBSTITUTE(SUBSTITUTE(SUBSTITUTE(SUBSTITUTE(SUBSTITUTE(SUBSTITUTE(SUBSTITUTE(SUBSTITUTE(SUBSTITUTE(BO600,"b","a"),"c","a"),"d","a"),"e","a"),"f","a"),"g","a"),"h","a"),"i","a"),"j","a"),"k","a"),"l","a"),"m","a"),"n","a"),"o","a"),"p","a"),"q","a"),"r","a"),"s","a"),"t","a"),"u","a"),"v","a"),"w","a"),"x","a"),"y","a"),"z","a")</f>
        <v/>
      </c>
      <c r="BQ600" s="61" t="n">
        <f aca="false">IFERROR(IF(AND(ISERROR(SEARCH(" mh"," "&amp;LOWER(W600))),ISNA(MATCH(LEFT(TRIM(BP600),255),{"0000a","000a","00a","0000aa","000aa","00aa","0aa","0000aaa","000aaa","00a00","0a00","0000-0000","00:00","a00","a0","00.00.0000","00/00/0000","00-00-0000","0000-00-00","0000/00/00","0000.00.00","00.00.00","00/00/00","00-00-00","0.00.0000","0/00/0000","0-00-0000"},0)),ISNA(MATCH(LEFT(TRIM(CA600),255),{"0000a","000a","00a","0000aa","000aa","00aa","0aa","0000aaa","000aaa","00a00","0a00","0000-0000","00:00","a00","a0","00.00.0000","00/00/0000","00-00-0000","0000-00-00","0000/00/00","0000.00.00","00.00.00","00/00/00","00-00-00","0.00.0000","0/00/0000","0-00-0000"},0)),LEN(CB600)&gt;=3,NOT(OR(SUBSTITUTE(CB600,"0","")="",AND(LEN(CB600)&gt;=4,CB600=REPT(LEFT(CB600),LEN(CB600))),ISNUMBER(MATCH(CB600,{"123","1234","12345","123456","1234567","12345678","0123","01234","012345","98765","987654","54321"},0)),AND(LEN(CB600)=8,LEFT(CB600,3)="202"))),OR(AND((LEN(CA600)-LEN(SUBSTITUTE(CA600,"a","")))&gt;=1,SUMPRODUCT(--ISNUMBER(SEARCH({"a0","a-0","a_0","a/0","a.0","a#0","0a","0-a","0_a","0/a"},BP600)))&gt;0),ISNUMBER(SEARCH("000000",BP600)))),1,0),0)</f>
        <v>0</v>
      </c>
      <c r="BR600" s="61" t="n">
        <f aca="false">IFERROR(LEN(SUBSTITUTE(CC600," ",""))-SUMPRODUCT((LEN(CC600)-LEN(SUBSTITUTE(CC600," "&amp;L_Role&amp;" "," ")))/(LEN(L_Role)+1)*LEN(L_Role)),0)</f>
        <v>0</v>
      </c>
      <c r="BS600" s="61" t="n">
        <f aca="false">IFERROR(LEN(SUBSTITUTE(CD600," ",""))-SUMPRODUCT((LEN(CD600)-LEN(SUBSTITUTE(CD600," "&amp;L_Role&amp;" "," ")))/(LEN(L_Role)+1)*LEN(L_Role)),0)</f>
        <v>0</v>
      </c>
      <c r="BT6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600,"revision",""),"version",""),"jan",""),"feb",""),"mar",""),"apr",""),"may",""),"jun",""),"jul",""),"aug",""),"sep",""),"oct",""),"nov",""),"dec",""),"utc",""),"gmt",""),"myt",""),"bst",""),"rev",""),"ver",""),"b","a"),"c","a"),"d","a"),"e","a"),"f","a"),"g","a"),"h","a"),"i","a"),"j","a"),"k","a"),"l","a"),"m","a"),"n","a"),"o","a"),"p","a"),"q","a"),"r","a"),"s","a"),"t","a"),"u","a"),"v","a"),"w","a"),"x","a"),"y","a"),"z","a")</f>
        <v/>
      </c>
      <c r="BU600" s="61" t="str">
        <f aca="false">SUBSTITUTE(SUBSTITUTE(SUBSTITUTE(SUBSTITUTE(SUBSTITUTE(SUBSTITUTE(SUBSTITUTE(SUBSTITUTE(SUBSTITUTE(SUBSTITUTE(LEFT(BM600,FIND("0",BM600&amp;"0")-1),"-",""),"_",""),"/",""),".",""),"#",""),"\\",""),":","")," ",""),"(",""),")","")</f>
        <v/>
      </c>
      <c r="BV600" s="61" t="n">
        <f aca="false">0</f>
        <v>0</v>
      </c>
      <c r="BW6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600&amp;""),"a",""),"b",""),"c",""),"d",""),"e",""),"f",""),"g",""),"h",""),"i",""),"j",""),"k",""),"l",""),"m",""),"n",""),"o",""),"p",""),"q",""),"r",""),"s",""),"t",""),"u",""),"v",""),"w",""),"x",""),"y",""),"z",""),"-",""),"_",""),"/",""),".",""),"#",""),"\\",""),":","")," ",""),"(",""),")","")</f>
        <v/>
      </c>
      <c r="BX600" s="61" t="str">
        <f aca="false">SUBSTITUTE(SUBSTITUTE(SUBSTITUTE(SUBSTITUTE(SUBSTITUTE(SUBSTITUTE(SUBSTITUTE(SUBSTITUTE(SUBSTITUTE(SUBSTITUTE(SUBSTITUTE(BM600,"0",""),"-",""),"_",""),"/",""),".",""),"#",""),"\\",""),":","")," ",""),"(",""),")","")</f>
        <v/>
      </c>
      <c r="BY600" s="62" t="n">
        <f aca="false">Q600-T12EarlyH/24</f>
        <v>46321.6006944444</v>
      </c>
      <c r="BZ600" s="61" t="n">
        <f aca="false">IFERROR(IF(IF(TRIM(S600)="Link / file path",AND(LEN(TRIM(Z600))&gt;=5,SUMPRODUCT(--ISNUMBER(SEARCH({"http","www.","\\",":\",".pdf",".jpg",".jpeg",".png",".heic",".xls",".doc",".msg",".eml",".ppt",".txt",".zip"},Z600)))&gt;0),AND(ISERROR(FIND(" ",TRIM(Z600))),NOT(OR(SUMPRODUCT(--ISNUMBER(FIND({",",";","&amp;","+"},Z600)))&gt;0,SUMPRODUCT(--ISNUMBER(SEARCH({"0/aa","0\\aa"},BN600)))&gt;0)),NOT(SUMPRODUCT(--ISNUMBER(SEARCH({"http","www.","\\",":\",".pdf",".jpg",".jpeg",".png",".heic",".xls",".doc",".msg",".eml",".ppt",".txt",".zip"},Z600)))&gt;0),NOT(LOWER(TRIM(Z600))=LOWER(Flights!$F$22)),ISNA(MATCH(BU600,{"mh","rev","revision","ver","version","v","r","a","b","seat","tray","row","gate","bay","stand","page","pg","item","line","no","cart","galley","flight","flt","table","box","bag","oven","etd","eta","std","sta","atd","ata","qty","pax","x","time","tel","ph","mob","day","wk","week","utc","gmt","myt","lt"},0)),NOT(OR(ISNUMBER(MATCH(LEFT(BN600,255),{"0000a","000a","00a","0000aa","000aa","00aa","0aa","0000aaa","000aaa","00a00","0a00","0000-0000","00:00","a00","a0","00.00.0000","00/00/0000","00-00-0000","0000-00-00","0000/00/00","0000.00.00","00.00.00","00/00/00","00-00-00","0.00.0000","0/00/0000","0-00-0000"},0)),ISNUMBER(MATCH(LEFT(BT600,255),{"0000a","000a","00a","0000aa","000aa","00aa","0aa","0000aaa","000aaa","00a00","0a00","0000-0000","00:00","a00","a0","00.00.0000","00/00/0000","00-00-0000","0000-00-00","0000/00/00","0000.00.00","00.00.00","00/00/00","00-00-00","0.00.0000","0/00/0000","0-00-0000"},0)))),NOT(OR(AND(BW600&lt;&gt;"",SUBSTITUTE(BW600,"0","")=""),AND(LEN(BW600)&gt;=4,BW600=REPT(LEFT(BW600),LEN(BW600))),ISNUMBER(MATCH(BW600,{"123","1234","12345","123456","1234567","12345678","0123","01234","012345","98765","987654","54321"},0)),ISNUMBER(MATCH(BX600,{"x","xx","xxx","xxxx","xxxxx","abc","abcd","nil","na","nan","test","tbc","tba","tbd","dummy","sample","example","eg","zz","zzz","none","null","xyz","qwe","asd","id","ref"},0)),AND(LEN(BW600)=8,BX600="",OR(LEFT(BW600,3)="202",ISNUMBER(MATCH(RIGHT(BW600,4),{"2025","2026","2027"},0)))))),OR(AND((LEN(BT600)-LEN(SUBSTITUTE(BT600,"a","")))&gt;=1,(LEN(BN600)-LEN(SUBSTITUTE(BN600,"0","")))&gt;=2,SUMPRODUCT(--ISNUMBER(SEARCH({"a0","a-0","a_0","a/0","a.0","a#0","0a","0-a","0_a","0/a"},BN600)))&gt;0),AND((LEN(BN600)-LEN(SUBSTITUTE(BN600,"a","")))=0,(LEN(BN600)-LEN(SUBSTITUTE(BN600,"0","")))&gt;=5)))),1,0),0)</f>
        <v>0</v>
      </c>
      <c r="CA6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600,"revision",""),"version",""),"jan",""),"feb",""),"mar",""),"apr",""),"may",""),"jun",""),"jul",""),"aug",""),"sep",""),"oct",""),"nov",""),"dec",""),"utc",""),"gmt",""),"myt",""),"bst",""),"rev",""),"ver",""),"b","a"),"c","a"),"d","a"),"e","a"),"f","a"),"g","a"),"h","a"),"i","a"),"j","a"),"k","a"),"l","a"),"m","a"),"n","a"),"o","a"),"p","a"),"q","a"),"r","a"),"s","a"),"t","a"),"u","a"),"v","a"),"w","a"),"x","a"),"y","a"),"z","a")</f>
        <v/>
      </c>
      <c r="CB6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600&amp;""),"a",""),"b",""),"c",""),"d",""),"e",""),"f",""),"g",""),"h",""),"i",""),"j",""),"k",""),"l",""),"m",""),"n",""),"o",""),"p",""),"q",""),"r",""),"s",""),"t",""),"u",""),"v",""),"w",""),"x",""),"y",""),"z",""),"-",""),"_",""),"/",""),".",""),"#",""),"\\",""),":","")," ",""),"(",""),")","")</f>
        <v/>
      </c>
      <c r="CC600" s="0" t="str">
        <f aca="false">" "&amp;TRIM(SUBSTITUTE(SUBSTITUTE(SUBSTITUTE(SUBSTITUTE(SUBSTITUTE(SUBSTITUTE(SUBSTITUTE(SUBSTITUTE(SUBSTITUTE(SUBSTITUTE(SUBSTITUTE(SUBSTITUTE(SUBSTITUTE(SUBSTITUTE(SUBSTITUTE(SUBSTITUTE(SUBSTITUTE(SUBSTITUTE(SUBSTITUTE(SUBSTITUTE(SUBSTITUTE(SUBSTITUTE(SUBSTITUTE(SUBSTITUTE(LOWER(T600&amp;""),CHAR(10)," "),CHAR(13)," "),CHAR(9)," "),CHAR(160)," "),"."," "),","," "),"-"," "),"/"," "),"("," "),")"," "),":"," "),";"," "),"_"," "),"–"," "),"?"," "),"!"," "),"*"," "),"["," "),"]"," "),"'"," "),"#"," "),"+"," "),"&amp;"," "),"\"," "))&amp;" "</f>
        <v>  </v>
      </c>
      <c r="CD600" s="0" t="str">
        <f aca="false">" "&amp;TRIM(SUBSTITUTE(SUBSTITUTE(SUBSTITUTE(SUBSTITUTE(SUBSTITUTE(SUBSTITUTE(SUBSTITUTE(SUBSTITUTE(SUBSTITUTE(SUBSTITUTE(SUBSTITUTE(SUBSTITUTE(SUBSTITUTE(SUBSTITUTE(SUBSTITUTE(SUBSTITUTE(SUBSTITUTE(SUBSTITUTE(SUBSTITUTE(SUBSTITUTE(SUBSTITUTE(SUBSTITUTE(SUBSTITUTE(SUBSTITUTE(LOWER(AE600&amp;""),CHAR(10)," "),CHAR(13)," "),CHAR(9)," "),CHAR(160)," "),"."," "),","," "),"-"," "),"/"," "),"("," "),")"," "),":"," "),";"," "),"_"," "),"–"," "),"?"," "),"!"," "),"*"," "),"["," "),"]"," "),"'"," "),"#"," "),"+"," "),"&amp;"," "),"\"," "))&amp;" "</f>
        <v>  </v>
      </c>
      <c r="CE600" s="68" t="n">
        <f aca="false">IFERROR(IF(AND(LEN(AU600)&gt;0,LEN(AU600)=LEN(AX600),OR(TRIM(MID(SUBSTITUTE(TRIM(CC600)," ",REPT(" ",60)),1,60))="",ISNUMBER(SEARCH(" "&amp;TRIM(MID(SUBSTITUTE(TRIM(CC600)," ",REPT(" ",60)),1,60))&amp;" ",CD600))),OR(TRIM(MID(SUBSTITUTE(TRIM(CC600)," ",REPT(" ",60)),61,60))="",ISNUMBER(SEARCH(" "&amp;TRIM(MID(SUBSTITUTE(TRIM(CC600)," ",REPT(" ",60)),61,60))&amp;" ",CD600))),OR(TRIM(MID(SUBSTITUTE(TRIM(CC600)," ",REPT(" ",60)),121,60))="",ISNUMBER(SEARCH(" "&amp;TRIM(MID(SUBSTITUTE(TRIM(CC600)," ",REPT(" ",60)),121,60))&amp;" ",CD600)))),1,0),0)</f>
        <v>0</v>
      </c>
      <c r="CG600" s="68" t="n">
        <f aca="false">IFERROR(LEN(SUBSTITUTE(BF600," ",""))-SUMPRODUCT((LEN(BF600)-LEN(SUBSTITUTE(BF600," "&amp;L_NAFiller&amp;" "," ")))/(LEN(L_NAFiller)+1)*LEN(L_NAFiller)),0)</f>
        <v>0</v>
      </c>
    </row>
    <row r="601" customFormat="false" ht="41.25" hidden="false" customHeight="true" outlineLevel="0" collapsed="false">
      <c r="A601" s="57" t="s">
        <v>1305</v>
      </c>
      <c r="B601" s="57" t="s">
        <v>293</v>
      </c>
      <c r="C601" s="57" t="str">
        <f aca="false">Flights!$F$22</f>
        <v>MH0052</v>
      </c>
      <c r="D601" s="58" t="n">
        <f aca="false">Flights!$D$22</f>
        <v>46322</v>
      </c>
      <c r="E601" s="57" t="str">
        <f aca="false">Flights!$G$22&amp;"-"&amp;Flights!$H$22</f>
        <v>KUL-KIX</v>
      </c>
      <c r="F601" s="57" t="str">
        <f aca="false">Flights!$K$22</f>
        <v>BC</v>
      </c>
      <c r="G601" s="57" t="s">
        <v>420</v>
      </c>
      <c r="H601" s="57" t="s">
        <v>378</v>
      </c>
      <c r="I601" s="57" t="s">
        <v>447</v>
      </c>
      <c r="J601" s="57" t="s">
        <v>626</v>
      </c>
      <c r="K601" s="67" t="s">
        <v>449</v>
      </c>
      <c r="L601" s="67" t="s">
        <v>1306</v>
      </c>
      <c r="M601" s="67" t="s">
        <v>451</v>
      </c>
      <c r="N601" s="67" t="s">
        <v>383</v>
      </c>
      <c r="O601" s="67" t="s">
        <v>503</v>
      </c>
      <c r="P601" s="57" t="s">
        <v>187</v>
      </c>
      <c r="Q601" s="59" t="n">
        <f aca="false">ROUND((Flights!$AE$22)*1440,0)/1440</f>
        <v>46322.1006944444</v>
      </c>
      <c r="R601" s="59" t="n">
        <f aca="false">Q601+(IF(AND(INDEX(TZ_DSTS,MATCH(P601,TZ_STN,0))&lt;&gt;"",Q601&gt;=INDEX(TZ_DSTS,MATCH(P601,TZ_STN,0)),Q601&lt;INDEX(TZ_DSTE,MATCH(P601,TZ_STN,0))),INDEX(TZ_DST,MATCH(P601,TZ_STN,0)),INDEX(TZ_STD,MATCH(P601,TZ_STN,0))))/24</f>
        <v>46322.4340277778</v>
      </c>
      <c r="S601" s="60"/>
      <c r="T601" s="60"/>
      <c r="U601" s="60"/>
      <c r="V601" s="60"/>
      <c r="W601" s="61"/>
      <c r="X601" s="60"/>
      <c r="Y601" s="60"/>
      <c r="Z601" s="60"/>
      <c r="AA601" s="60"/>
      <c r="AB601" s="60"/>
      <c r="AC601" s="60"/>
      <c r="AD601" s="66"/>
      <c r="AE601" s="60"/>
      <c r="AF601" s="61" t="str">
        <f aca="false">IF(AND(ISNUMBER(X601),ISNUMBER(Y601)),Y601-X601,"")</f>
        <v/>
      </c>
      <c r="AG601" s="62" t="str">
        <f aca="false">IF(ISNUMBER(AD601),AD601-(IF(AND(INDEX(TZ_DSTS,MATCH(P601,TZ_STN,0))&lt;&gt;"",(AD601-INDEX(TZ_STD,MATCH(P601,TZ_STN,0))/24)&gt;=INDEX(TZ_DSTS,MATCH(P601,TZ_STN,0)),(AD601-INDEX(TZ_STD,MATCH(P601,TZ_STN,0))/24)&lt;INDEX(TZ_DSTE,MATCH(P601,TZ_STN,0))),INDEX(TZ_DST,MATCH(P601,TZ_STN,0)),INDEX(TZ_STD,MATCH(P601,TZ_STN,0))))/24,"")</f>
        <v/>
      </c>
      <c r="AH601" s="65" t="str">
        <f aca="false">IFERROR(IF(N601="N/A – rule",IF(OR(TRIM(U601)="",TRIM(U601)="N/A",TRIM(U601)="Not started"),"N/A – RULE","INVALID – this check does not apply to this aircraft: clear the status (or correct the fleet on Flights)"),IF(TRIM(U601)="N/A",IF(AT601=0,"INVALID – N/A not permitted for this check",IF(AND(TRIM(AB601)&lt;&gt;"",TRIM(AB601)&lt;&gt;"Closed"),"INVALID – corrective action still open",IF(AND(NOT(OR(LEN(AZ601)&lt;15,ISNUMBER(MATCH(AZ601,L_Placeholder,0)))),BK601=0,CG601&gt;=8,NOT(OR(LEN(AU601)&lt;2,ISNUMBER(MATCH(AU601,L_Placeholder,0)))),BR601&gt;=3,NOT(OR(LEN(AX601)&lt;2,ISNUMBER(MATCH(AX601,L_Placeholder,0)))),BS601&gt;=3,TRIM(AE601)&lt;&gt;TRIM(T601),AX601&lt;&gt;AU601,CE601=0),"N/A – JUSTIFIED","INVALID – N/A needs a real, settled reason (not 'not applicable' / 'as above' / TBC), a named PIC and a different named verifier"))),IF(OR(TRIM(U601)="Pass",TRIM(U601)="Pass after CA"),IF(NOT(ISNUMBER(AD601)),"INVALID – completion time missing",IF(OR(OR(LEN(AU601)&lt;2,ISNUMBER(MATCH(AU601,L_Placeholder,0))),BR601&lt;3),"INVALID – PIC missing or not a named person (a role such as QA / CSM is not a name)",IF(OR(LEN(AV601)&lt;2,ISNUMBER(MATCH(AV601,L_Placeholder,0))),"INVALID – result / assessment missing",IF(OR(OR(LEN(AW601)&lt;3,ISNUMBER(MATCH(AW601,L_Placeholder,0))),SUMPRODUCT(--ISNUMBER(SEARCH(" "&amp;L_EvidencePhrase&amp;" ",BD601)))&gt;0,BI601=1),"INVALID – evidence missing, placeholder or not yet on file",IF(ISNA(MATCH(TRIM(S601),L_EvidenceType,0)),"INVALID – choose the evidence type from the list (column S)",IF(BL601=0,"INVALID – evidence ID must be the record's own ID only (e.g. SF-2210, IMG_2231, 1045521); a link / file name needs type 'Link / file path'",IF(OR(OR(LEN(AX601)&lt;2,ISNUMBER(MATCH(AX601,L_Placeholder,0))),BS601&lt;3),"INVALID – verifier missing or not a named person (a role such as QA / CSM is not a name)",IF(OR(AX601=AU601,CE601=1,AND(LEN(AU601)&gt;=4,ISNUMBER(SEARCH(AU601,AX601))),AND(LEN(AX601)&gt;=4,ISNUMBER(SEARCH(AX601,AU601)))),"INVALID – verifier must be a different, named person (not the PIC or a role)",IF(BH601=1,"INVALID – result not yet available (awaiting / TBC)",IF(BG601=1,"INVALID – result describes a problem: record Fail, then Pass after CA (or reword if it is not a problem)",IF(BV601=1,"INVALID – wording says not on board: an on-board confirmation needs the item loaded",IF(AND(AQ601=1,OR(OR(LEN(AY601)&lt;3,ISNUMBER(MATCH(AY601,L_Placeholder,0))),BJ601=1,BQ601=0)),"INVALID – batch ID missing, placeholder or not an ID (e.g. PASB-261008-BC-017)",IF(AND(AR601=1,OR(NOT(ISNUMBER(X601)),NOT(ISNUMBER(Y601)))),"INVALID – expected/actual qty missing",IF(AND(AR601=1,OR(X601&lt;=0,Y601&lt;0)),"INVALID – expected qty must be above 0 and actual not negative",IF(BB601&lt;&gt;"",BB601,IF(AND(AS601=1,Documents!$J$22&lt;&gt;"ON FILE"),"INVALID – GLD not on file (Documents sheet)",IF(AND(AS601=2,Documents!$O$22&lt;&gt;"ON FILE"),"INVALID – menu checklist not on file (Documents sheet)",IF(AND(AS601=3,NOT(ISNUMBER(Flights!$AX$22))),"INVALID – enter carrying flight KUL departure (Flights AX)",IF(AND(AS601=3,OR(Flights!$AZ$22&gt;Flights!$AA$22,Flights!$AX$22&lt;Flights!$AA$22-3)),"INVALID – carrying flight (Flights AX) cannot arrive before this leg's STD, or is over 3 days early",IF(AG601&gt;AsOfUTC,"INVALID – completion time is in the future",IF(AND(ISNUMBER(BY601),AG601&lt;BY601),IF(H601="Physical uplift","INVALID – before uplift window (cannot confirm loading)","INVALID – before valid window"),IF(AG601&gt;Flights!$AA$22,"INVALID – completed after departure (cannot establish readiness)",IF(AND(H601="Preparation",AG601&gt;=IF(ISNUMBER(Flights!$BA$22),MIN(Flights!$BA$22,Flights!$AA$22),Flights!$AA$22)),"INVALID – completed after loading / departure (cannot establish readiness)",IF(AND(H601="Physical uplift",AG601&gt;Q601),"INVALID – recorded after the loading flight departed",IF(AG601&gt;Q601,"COMPLETE – LATE","COMPLETE"))))))))))))))))))))))))),IF(TRIM(U601)="Fail","FAIL – DISCREPANCY",IF(AND(TRIM(U601)&lt;&gt;"",TRIM(U601)&lt;&gt;"Not started",TRIM(U601)&lt;&gt;"In progress"),"INVALID – unrecognised status (use the list)",IF(AsOfUTC&gt;Q601,"OVERDUE",IF(N601="Clarification required","OPEN – CLARIFICATION","OPEN"))))))),"INVALID – error value in an input cell")</f>
        <v>OPEN</v>
      </c>
      <c r="AI601" s="61" t="n">
        <f aca="false">IF(OR(AH601="N/A – RULE",AH601="N/A – JUSTIFIED"),0,1)</f>
        <v>1</v>
      </c>
      <c r="AJ601" s="61" t="n">
        <f aca="false">IF(LEFT(AH601,8)="COMPLETE",1,0)</f>
        <v>0</v>
      </c>
      <c r="AK601" s="61" t="n">
        <f aca="false">IF(AND(AI601=1,AJ601=0,AsOfUTC&gt;Q601),1,0)</f>
        <v>0</v>
      </c>
      <c r="AL601" s="61" t="n">
        <f aca="false">IFERROR(IF(AND(AI601=1,OR(TRIM(U601)="Fail",AND(TRIM(AB601)&lt;&gt;"",TRIM(AB601)&lt;&gt;"Closed"),AND(ISNUMBER(AF601),AF601&lt;&gt;0,TRIM(U601)&lt;&gt;"Pass after CA"))),1,0),1)</f>
        <v>0</v>
      </c>
      <c r="AM601" s="61" t="n">
        <f aca="false">IF(LEFT(AH601,7)="INVALID",1,0)</f>
        <v>0</v>
      </c>
      <c r="AN601" s="61" t="n">
        <f aca="false">IF(AND(N601="Clarification required",AI601=1,AJ601=0),1,0)</f>
        <v>0</v>
      </c>
      <c r="AO601" s="61" t="str">
        <f aca="false">IF(AK601=1,SUM(AK$5:AK601),"")</f>
        <v/>
      </c>
      <c r="AP601" s="61" t="str">
        <f aca="false">IF(AL601=1,SUM(AL$5:AL601),"")</f>
        <v/>
      </c>
      <c r="AQ601" s="61" t="n">
        <v>0</v>
      </c>
      <c r="AR601" s="61" t="n">
        <v>0</v>
      </c>
      <c r="AS601" s="61" t="n">
        <v>0</v>
      </c>
      <c r="AT601" s="61" t="n">
        <v>0</v>
      </c>
      <c r="AU601" s="61" t="str">
        <f aca="false">SUBSTITUTE(SUBSTITUTE(SUBSTITUTE(SUBSTITUTE(SUBSTITUTE(SUBSTITUTE(SUBSTITUTE(SUBSTITUTE(SUBSTITUTE(SUBSTITUTE(SUBSTITUTE(SUBSTITUTE(SUBSTITUTE(SUBSTITUTE(SUBSTITUTE(SUBSTITUTE(LOWER(T601&amp;""),CHAR(10),""),CHAR(13),""),CHAR(9),""),CHAR(160),"")," ",""),".",""),"-",""),"/",""),"?",""),"_",""),",",""),"[",""),"]",""),"(",""),")",""),"*","")</f>
        <v/>
      </c>
      <c r="AV601" s="61" t="str">
        <f aca="false">SUBSTITUTE(SUBSTITUTE(SUBSTITUTE(SUBSTITUTE(SUBSTITUTE(SUBSTITUTE(SUBSTITUTE(SUBSTITUTE(SUBSTITUTE(SUBSTITUTE(SUBSTITUTE(SUBSTITUTE(SUBSTITUTE(SUBSTITUTE(SUBSTITUTE(SUBSTITUTE(LOWER(V601&amp;""),CHAR(10),""),CHAR(13),""),CHAR(9),""),CHAR(160),"")," ",""),".",""),"-",""),"/",""),"?",""),"_",""),",",""),"[",""),"]",""),"(",""),")",""),"*","")</f>
        <v/>
      </c>
      <c r="AW601" s="61" t="str">
        <f aca="false">SUBSTITUTE(SUBSTITUTE(SUBSTITUTE(SUBSTITUTE(SUBSTITUTE(SUBSTITUTE(SUBSTITUTE(SUBSTITUTE(SUBSTITUTE(SUBSTITUTE(SUBSTITUTE(SUBSTITUTE(SUBSTITUTE(SUBSTITUTE(SUBSTITUTE(SUBSTITUTE(LOWER(Z601&amp;""),CHAR(10),""),CHAR(13),""),CHAR(9),""),CHAR(160),"")," ",""),".",""),"-",""),"/",""),"?",""),"_",""),",",""),"[",""),"]",""),"(",""),")",""),"*","")</f>
        <v/>
      </c>
      <c r="AX601" s="61" t="str">
        <f aca="false">SUBSTITUTE(SUBSTITUTE(SUBSTITUTE(SUBSTITUTE(SUBSTITUTE(SUBSTITUTE(SUBSTITUTE(SUBSTITUTE(SUBSTITUTE(SUBSTITUTE(SUBSTITUTE(SUBSTITUTE(SUBSTITUTE(SUBSTITUTE(SUBSTITUTE(SUBSTITUTE(LOWER(AE601&amp;""),CHAR(10),""),CHAR(13),""),CHAR(9),""),CHAR(160),"")," ",""),".",""),"-",""),"/",""),"?",""),"_",""),",",""),"[",""),"]",""),"(",""),")",""),"*","")</f>
        <v/>
      </c>
      <c r="AY601" s="61" t="str">
        <f aca="false">SUBSTITUTE(SUBSTITUTE(SUBSTITUTE(SUBSTITUTE(SUBSTITUTE(SUBSTITUTE(SUBSTITUTE(SUBSTITUTE(SUBSTITUTE(SUBSTITUTE(SUBSTITUTE(SUBSTITUTE(SUBSTITUTE(SUBSTITUTE(SUBSTITUTE(SUBSTITUTE(LOWER(W601&amp;""),CHAR(10),""),CHAR(13),""),CHAR(9),""),CHAR(160),"")," ",""),".",""),"-",""),"/",""),"?",""),"_",""),",",""),"[",""),"]",""),"(",""),")",""),"*","")</f>
        <v/>
      </c>
      <c r="AZ601" s="61" t="str">
        <f aca="false">SUBSTITUTE(SUBSTITUTE(SUBSTITUTE(SUBSTITUTE(SUBSTITUTE(SUBSTITUTE(SUBSTITUTE(SUBSTITUTE(SUBSTITUTE(SUBSTITUTE(SUBSTITUTE(SUBSTITUTE(SUBSTITUTE(SUBSTITUTE(SUBSTITUTE(SUBSTITUTE(LOWER(AC601&amp;""),CHAR(10),""),CHAR(13),""),CHAR(9),""),CHAR(160),"")," ",""),".",""),"-",""),"/",""),"?",""),"_",""),",",""),"[",""),"]",""),"(",""),")",""),"*","")</f>
        <v/>
      </c>
      <c r="BA601" s="61" t="str">
        <f aca="false">SUBSTITUTE(SUBSTITUTE(SUBSTITUTE(SUBSTITUTE(SUBSTITUTE(SUBSTITUTE(SUBSTITUTE(SUBSTITUTE(SUBSTITUTE(SUBSTITUTE(SUBSTITUTE(SUBSTITUTE(SUBSTITUTE(SUBSTITUTE(SUBSTITUTE(SUBSTITUTE(LOWER(AA601&amp;""),CHAR(10),""),CHAR(13),""),CHAR(9),""),CHAR(160),"")," ",""),".",""),"-",""),"/",""),"?",""),"_",""),",",""),"[",""),"]",""),"(",""),")",""),"*","")</f>
        <v/>
      </c>
      <c r="BB601" s="61" t="str">
        <f aca="false">IF(AND(TRIM(U601)="Pass",ISNUMBER(AF601)),IF(AF601&lt;&gt;0,"INVALID – qty variance: use Fail or Pass after CA",""),"")&amp;IF(AND(TRIM(U601)="Pass after CA",ISNUMBER(AF601)),IF(AF601&lt;&gt;0,"INVALID – after the corrective action the actual qty must equal expected (update Actual)",""),"")&amp;IF(AND(TRIM(U601)="Pass",TRIM(AB601)&lt;&gt;"",TRIM(AB601)&lt;&gt;"Closed"),"INVALID – corrective action not closed: use Fail, then Pass after CA","")&amp;IF(AND(LEN(BA601)&gt;=2,ISNA(MATCH(LEFT(BA601,255),L_Placeholder,0)),TRIM(AB601)=""),"INVALID – CA status missing for the recorded corrective action","")&amp;IF(AND(TRIM(U601)="Pass after CA",OR(OR(LEN(BA601)&lt;5,ISNUMBER(MATCH(BA601,L_Placeholder,0))),TRIM(AB601)&lt;&gt;"Closed")),"INVALID – corrective action not recorded/closed","")</f>
        <v/>
      </c>
      <c r="BC601" s="61" t="str">
        <f aca="false">" "&amp;TRIM(SUBSTITUTE(SUBSTITUTE(SUBSTITUTE(SUBSTITUTE(SUBSTITUTE(SUBSTITUTE(SUBSTITUTE(SUBSTITUTE(SUBSTITUTE(SUBSTITUTE(SUBSTITUTE(SUBSTITUTE(SUBSTITUTE(SUBSTITUTE(SUBSTITUTE(SUBSTITUTE(SUBSTITUTE(SUBSTITUTE(SUBSTITUTE(SUBSTITUTE(SUBSTITUTE(SUBSTITUTE(SUBSTITUTE(SUBSTITUTE(LOWER(V601&amp;""),CHAR(10)," "),CHAR(13)," "),CHAR(9)," "),CHAR(160)," "),"."," "),","," "),"-"," "),"/"," "),"("," "),")"," "),":"," "),";"," "),"_"," "),"–"," "),"?"," "),"!"," "),"*"," "),"["," "),"]"," "),"'"," "),"#"," "),"+"," "),"&amp;"," "),"\"," "))&amp;" "</f>
        <v>  </v>
      </c>
      <c r="BD601" s="61" t="str">
        <f aca="false">" "&amp;TRIM(SUBSTITUTE(SUBSTITUTE(SUBSTITUTE(SUBSTITUTE(SUBSTITUTE(SUBSTITUTE(SUBSTITUTE(SUBSTITUTE(SUBSTITUTE(SUBSTITUTE(SUBSTITUTE(SUBSTITUTE(SUBSTITUTE(SUBSTITUTE(SUBSTITUTE(SUBSTITUTE(SUBSTITUTE(SUBSTITUTE(SUBSTITUTE(SUBSTITUTE(SUBSTITUTE(SUBSTITUTE(SUBSTITUTE(SUBSTITUTE(LOWER(Z601&amp;""),CHAR(10)," "),CHAR(13)," "),CHAR(9)," "),CHAR(160)," "),"."," "),","," "),"-"," "),"/"," "),"("," "),")"," "),":"," "),";"," "),"_"," "),"–"," "),"?"," "),"!"," "),"*"," "),"["," "),"]"," "),"'"," "),"#"," "),"+"," "),"&amp;"," "),"\"," "))&amp;" "</f>
        <v>  </v>
      </c>
      <c r="BE601" s="61" t="str">
        <f aca="false">" "&amp;TRIM(SUBSTITUTE(SUBSTITUTE(SUBSTITUTE(SUBSTITUTE(SUBSTITUTE(SUBSTITUTE(SUBSTITUTE(SUBSTITUTE(SUBSTITUTE(SUBSTITUTE(SUBSTITUTE(SUBSTITUTE(SUBSTITUTE(SUBSTITUTE(SUBSTITUTE(SUBSTITUTE(SUBSTITUTE(SUBSTITUTE(SUBSTITUTE(SUBSTITUTE(SUBSTITUTE(SUBSTITUTE(SUBSTITUTE(SUBSTITUTE(LOWER(W601&amp;""),CHAR(10)," "),CHAR(13)," "),CHAR(9)," "),CHAR(160)," "),"."," "),","," "),"-"," "),"/"," "),"("," "),")"," "),":"," "),";"," "),"_"," "),"–"," "),"?"," "),"!"," "),"*"," "),"["," "),"]"," "),"'"," "),"#"," "),"+"," "),"&amp;"," "),"\"," "))&amp;" "</f>
        <v>  </v>
      </c>
      <c r="BF601" s="61" t="str">
        <f aca="false">" "&amp;TRIM(SUBSTITUTE(SUBSTITUTE(SUBSTITUTE(SUBSTITUTE(SUBSTITUTE(SUBSTITUTE(SUBSTITUTE(SUBSTITUTE(SUBSTITUTE(SUBSTITUTE(SUBSTITUTE(SUBSTITUTE(SUBSTITUTE(SUBSTITUTE(SUBSTITUTE(SUBSTITUTE(SUBSTITUTE(SUBSTITUTE(SUBSTITUTE(SUBSTITUTE(SUBSTITUTE(SUBSTITUTE(SUBSTITUTE(SUBSTITUTE(LOWER(AC601&amp;""),CHAR(10)," "),CHAR(13)," "),CHAR(9)," "),CHAR(160)," "),"."," "),","," "),"-"," "),"/"," "),"("," "),")"," "),":"," "),";"," "),"_"," "),"–"," "),"?"," "),"!"," "),"*"," "),"["," "),"]"," "),"'"," "),"#"," "),"+"," "),"&amp;"," "),"\"," "))&amp;" "</f>
        <v>  </v>
      </c>
      <c r="BG601" s="61" t="n">
        <f aca="false">IFERROR(IF(AND(TRIM(U601)="Pass",SUMPRODUCT((LEN(BC601)-LEN(SUBSTITUTE(BC601," "&amp;L_ResultBad&amp;" "," ")))/(LEN(L_ResultBad)+1))&gt;SUMPRODUCT((LEN(BC601)-LEN(SUBSTITUTE(BC601," "&amp;L_NegPhrase&amp;" "," ")))/(LEN(L_NegPhrase)+1))),1,0),0)</f>
        <v>0</v>
      </c>
      <c r="BH601" s="61" t="n">
        <f aca="false">IFERROR(IF(SUMPRODUCT((LEN(BC601)-LEN(SUBSTITUTE(BC601," "&amp;L_Pending&amp;" "," ")))/(LEN(L_Pending)+1))&gt;SUMPRODUCT((LEN(BC601)-LEN(SUBSTITUTE(BC601," "&amp;L_PendNeg&amp;" "," ")))/(LEN(L_PendNeg)+1))+SUMPRODUCT((LEN(BC601)-LEN(SUBSTITUTE(BC601," "&amp;L_PendPrep&amp;" "," ")))/(LEN(L_PendPrep)+1)),1,0),1)</f>
        <v>0</v>
      </c>
      <c r="BI601" s="61" t="n">
        <f aca="false">IFERROR(IF(SUMPRODUCT((LEN(BD601)-LEN(SUBSTITUTE(BD601," "&amp;L_PendStrict&amp;" "," ")))/(LEN(L_PendStrict)+1))&gt;SUMPRODUCT((LEN(BD601)-LEN(SUBSTITUTE(BD601," "&amp;L_PendNeg&amp;" "," ")))/(LEN(L_PendNeg)+1)),1,0),1)</f>
        <v>0</v>
      </c>
      <c r="BJ601" s="61" t="n">
        <f aca="false">IFERROR(IF(SUMPRODUCT((LEN(BE601)-LEN(SUBSTITUTE(BE601," "&amp;L_Pending&amp;" "," ")))/(LEN(L_Pending)+1))&gt;SUMPRODUCT((LEN(BE601)-LEN(SUBSTITUTE(BE601," "&amp;L_PendNeg&amp;" "," ")))/(LEN(L_PendNeg)+1))+SUMPRODUCT((LEN(BE601)-LEN(SUBSTITUTE(BE601," "&amp;L_PendPrep&amp;" "," ")))/(LEN(L_PendPrep)+1)),1,0),1)</f>
        <v>0</v>
      </c>
      <c r="BK601" s="61" t="n">
        <f aca="false">IFERROR(IF(SUMPRODUCT((LEN(BF601)-LEN(SUBSTITUTE(BF601," "&amp;L_PendStrict&amp;" "," ")))/(LEN(L_PendStrict)+1))&gt;SUMPRODUCT((LEN(BF601)-LEN(SUBSTITUTE(BF601," "&amp;L_PendNeg&amp;" "," ")))/(LEN(L_PendNeg)+1)),1,0),1)</f>
        <v>0</v>
      </c>
      <c r="BL601" s="61" t="n">
        <f aca="false">IF(ISNA(MATCH(TRIM(S601),L_EvidenceType,0)),0,BZ601)</f>
        <v>0</v>
      </c>
      <c r="BM601" s="61" t="str">
        <f aca="false">SUBSTITUTE(SUBSTITUTE(SUBSTITUTE(SUBSTITUTE(SUBSTITUTE(SUBSTITUTE(SUBSTITUTE(SUBSTITUTE(SUBSTITUTE(LOWER(Z601&amp;""),"1","0"),"2","0"),"3","0"),"4","0"),"5","0"),"6","0"),"7","0"),"8","0"),"9","0")</f>
        <v/>
      </c>
      <c r="BN601" s="61" t="str">
        <f aca="false">SUBSTITUTE(SUBSTITUTE(SUBSTITUTE(SUBSTITUTE(SUBSTITUTE(SUBSTITUTE(SUBSTITUTE(SUBSTITUTE(SUBSTITUTE(SUBSTITUTE(SUBSTITUTE(SUBSTITUTE(SUBSTITUTE(SUBSTITUTE(SUBSTITUTE(SUBSTITUTE(SUBSTITUTE(SUBSTITUTE(SUBSTITUTE(SUBSTITUTE(SUBSTITUTE(SUBSTITUTE(SUBSTITUTE(SUBSTITUTE(SUBSTITUTE(BM601,"b","a"),"c","a"),"d","a"),"e","a"),"f","a"),"g","a"),"h","a"),"i","a"),"j","a"),"k","a"),"l","a"),"m","a"),"n","a"),"o","a"),"p","a"),"q","a"),"r","a"),"s","a"),"t","a"),"u","a"),"v","a"),"w","a"),"x","a"),"y","a"),"z","a")</f>
        <v/>
      </c>
      <c r="BO601" s="61" t="str">
        <f aca="false">SUBSTITUTE(SUBSTITUTE(SUBSTITUTE(SUBSTITUTE(SUBSTITUTE(SUBSTITUTE(SUBSTITUTE(SUBSTITUTE(SUBSTITUTE(LOWER(W601&amp;""),"1","0"),"2","0"),"3","0"),"4","0"),"5","0"),"6","0"),"7","0"),"8","0"),"9","0")</f>
        <v/>
      </c>
      <c r="BP601" s="61" t="str">
        <f aca="false">SUBSTITUTE(SUBSTITUTE(SUBSTITUTE(SUBSTITUTE(SUBSTITUTE(SUBSTITUTE(SUBSTITUTE(SUBSTITUTE(SUBSTITUTE(SUBSTITUTE(SUBSTITUTE(SUBSTITUTE(SUBSTITUTE(SUBSTITUTE(SUBSTITUTE(SUBSTITUTE(SUBSTITUTE(SUBSTITUTE(SUBSTITUTE(SUBSTITUTE(SUBSTITUTE(SUBSTITUTE(SUBSTITUTE(SUBSTITUTE(SUBSTITUTE(BO601,"b","a"),"c","a"),"d","a"),"e","a"),"f","a"),"g","a"),"h","a"),"i","a"),"j","a"),"k","a"),"l","a"),"m","a"),"n","a"),"o","a"),"p","a"),"q","a"),"r","a"),"s","a"),"t","a"),"u","a"),"v","a"),"w","a"),"x","a"),"y","a"),"z","a")</f>
        <v/>
      </c>
      <c r="BQ601" s="61" t="n">
        <f aca="false">IFERROR(IF(AND(ISERROR(SEARCH(" mh"," "&amp;LOWER(W601))),ISNA(MATCH(LEFT(TRIM(BP601),255),{"0000a","000a","00a","0000aa","000aa","00aa","0aa","0000aaa","000aaa","00a00","0a00","0000-0000","00:00","a00","a0","00.00.0000","00/00/0000","00-00-0000","0000-00-00","0000/00/00","0000.00.00","00.00.00","00/00/00","00-00-00","0.00.0000","0/00/0000","0-00-0000"},0)),ISNA(MATCH(LEFT(TRIM(CA601),255),{"0000a","000a","00a","0000aa","000aa","00aa","0aa","0000aaa","000aaa","00a00","0a00","0000-0000","00:00","a00","a0","00.00.0000","00/00/0000","00-00-0000","0000-00-00","0000/00/00","0000.00.00","00.00.00","00/00/00","00-00-00","0.00.0000","0/00/0000","0-00-0000"},0)),LEN(CB601)&gt;=3,NOT(OR(SUBSTITUTE(CB601,"0","")="",AND(LEN(CB601)&gt;=4,CB601=REPT(LEFT(CB601),LEN(CB601))),ISNUMBER(MATCH(CB601,{"123","1234","12345","123456","1234567","12345678","0123","01234","012345","98765","987654","54321"},0)),AND(LEN(CB601)=8,LEFT(CB601,3)="202"))),OR(AND((LEN(CA601)-LEN(SUBSTITUTE(CA601,"a","")))&gt;=1,SUMPRODUCT(--ISNUMBER(SEARCH({"a0","a-0","a_0","a/0","a.0","a#0","0a","0-a","0_a","0/a"},BP601)))&gt;0),ISNUMBER(SEARCH("000000",BP601)))),1,0),0)</f>
        <v>0</v>
      </c>
      <c r="BR601" s="61" t="n">
        <f aca="false">IFERROR(LEN(SUBSTITUTE(CC601," ",""))-SUMPRODUCT((LEN(CC601)-LEN(SUBSTITUTE(CC601," "&amp;L_Role&amp;" "," ")))/(LEN(L_Role)+1)*LEN(L_Role)),0)</f>
        <v>0</v>
      </c>
      <c r="BS601" s="61" t="n">
        <f aca="false">IFERROR(LEN(SUBSTITUTE(CD601," ",""))-SUMPRODUCT((LEN(CD601)-LEN(SUBSTITUTE(CD601," "&amp;L_Role&amp;" "," ")))/(LEN(L_Role)+1)*LEN(L_Role)),0)</f>
        <v>0</v>
      </c>
      <c r="BT6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601,"revision",""),"version",""),"jan",""),"feb",""),"mar",""),"apr",""),"may",""),"jun",""),"jul",""),"aug",""),"sep",""),"oct",""),"nov",""),"dec",""),"utc",""),"gmt",""),"myt",""),"bst",""),"rev",""),"ver",""),"b","a"),"c","a"),"d","a"),"e","a"),"f","a"),"g","a"),"h","a"),"i","a"),"j","a"),"k","a"),"l","a"),"m","a"),"n","a"),"o","a"),"p","a"),"q","a"),"r","a"),"s","a"),"t","a"),"u","a"),"v","a"),"w","a"),"x","a"),"y","a"),"z","a")</f>
        <v/>
      </c>
      <c r="BU601" s="61" t="str">
        <f aca="false">SUBSTITUTE(SUBSTITUTE(SUBSTITUTE(SUBSTITUTE(SUBSTITUTE(SUBSTITUTE(SUBSTITUTE(SUBSTITUTE(SUBSTITUTE(SUBSTITUTE(LEFT(BM601,FIND("0",BM601&amp;"0")-1),"-",""),"_",""),"/",""),".",""),"#",""),"\\",""),":","")," ",""),"(",""),")","")</f>
        <v/>
      </c>
      <c r="BV601" s="61" t="n">
        <f aca="false">0</f>
        <v>0</v>
      </c>
      <c r="BW6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601&amp;""),"a",""),"b",""),"c",""),"d",""),"e",""),"f",""),"g",""),"h",""),"i",""),"j",""),"k",""),"l",""),"m",""),"n",""),"o",""),"p",""),"q",""),"r",""),"s",""),"t",""),"u",""),"v",""),"w",""),"x",""),"y",""),"z",""),"-",""),"_",""),"/",""),".",""),"#",""),"\\",""),":","")," ",""),"(",""),")","")</f>
        <v/>
      </c>
      <c r="BX601" s="61" t="str">
        <f aca="false">SUBSTITUTE(SUBSTITUTE(SUBSTITUTE(SUBSTITUTE(SUBSTITUTE(SUBSTITUTE(SUBSTITUTE(SUBSTITUTE(SUBSTITUTE(SUBSTITUTE(SUBSTITUTE(BM601,"0",""),"-",""),"_",""),"/",""),".",""),"#",""),"\\",""),":","")," ",""),"(",""),")","")</f>
        <v/>
      </c>
      <c r="BY601" s="62" t="n">
        <f aca="false">Q601-T12EarlyH/24</f>
        <v>46321.6006944444</v>
      </c>
      <c r="BZ601" s="61" t="n">
        <f aca="false">IFERROR(IF(IF(TRIM(S601)="Link / file path",AND(LEN(TRIM(Z601))&gt;=5,SUMPRODUCT(--ISNUMBER(SEARCH({"http","www.","\\",":\",".pdf",".jpg",".jpeg",".png",".heic",".xls",".doc",".msg",".eml",".ppt",".txt",".zip"},Z601)))&gt;0),AND(ISERROR(FIND(" ",TRIM(Z601))),NOT(OR(SUMPRODUCT(--ISNUMBER(FIND({",",";","&amp;","+"},Z601)))&gt;0,SUMPRODUCT(--ISNUMBER(SEARCH({"0/aa","0\\aa"},BN601)))&gt;0)),NOT(SUMPRODUCT(--ISNUMBER(SEARCH({"http","www.","\\",":\",".pdf",".jpg",".jpeg",".png",".heic",".xls",".doc",".msg",".eml",".ppt",".txt",".zip"},Z601)))&gt;0),NOT(LOWER(TRIM(Z601))=LOWER(Flights!$F$22)),ISNA(MATCH(BU601,{"mh","rev","revision","ver","version","v","r","a","b","seat","tray","row","gate","bay","stand","page","pg","item","line","no","cart","galley","flight","flt","table","box","bag","oven","etd","eta","std","sta","atd","ata","qty","pax","x","time","tel","ph","mob","day","wk","week","utc","gmt","myt","lt"},0)),NOT(OR(ISNUMBER(MATCH(LEFT(BN601,255),{"0000a","000a","00a","0000aa","000aa","00aa","0aa","0000aaa","000aaa","00a00","0a00","0000-0000","00:00","a00","a0","00.00.0000","00/00/0000","00-00-0000","0000-00-00","0000/00/00","0000.00.00","00.00.00","00/00/00","00-00-00","0.00.0000","0/00/0000","0-00-0000"},0)),ISNUMBER(MATCH(LEFT(BT601,255),{"0000a","000a","00a","0000aa","000aa","00aa","0aa","0000aaa","000aaa","00a00","0a00","0000-0000","00:00","a00","a0","00.00.0000","00/00/0000","00-00-0000","0000-00-00","0000/00/00","0000.00.00","00.00.00","00/00/00","00-00-00","0.00.0000","0/00/0000","0-00-0000"},0)))),NOT(OR(AND(BW601&lt;&gt;"",SUBSTITUTE(BW601,"0","")=""),AND(LEN(BW601)&gt;=4,BW601=REPT(LEFT(BW601),LEN(BW601))),ISNUMBER(MATCH(BW601,{"123","1234","12345","123456","1234567","12345678","0123","01234","012345","98765","987654","54321"},0)),ISNUMBER(MATCH(BX601,{"x","xx","xxx","xxxx","xxxxx","abc","abcd","nil","na","nan","test","tbc","tba","tbd","dummy","sample","example","eg","zz","zzz","none","null","xyz","qwe","asd","id","ref"},0)),AND(LEN(BW601)=8,BX601="",OR(LEFT(BW601,3)="202",ISNUMBER(MATCH(RIGHT(BW601,4),{"2025","2026","2027"},0)))))),OR(AND((LEN(BT601)-LEN(SUBSTITUTE(BT601,"a","")))&gt;=1,(LEN(BN601)-LEN(SUBSTITUTE(BN601,"0","")))&gt;=2,SUMPRODUCT(--ISNUMBER(SEARCH({"a0","a-0","a_0","a/0","a.0","a#0","0a","0-a","0_a","0/a"},BN601)))&gt;0),AND((LEN(BN601)-LEN(SUBSTITUTE(BN601,"a","")))=0,(LEN(BN601)-LEN(SUBSTITUTE(BN601,"0","")))&gt;=5)))),1,0),0)</f>
        <v>0</v>
      </c>
      <c r="CA6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601,"revision",""),"version",""),"jan",""),"feb",""),"mar",""),"apr",""),"may",""),"jun",""),"jul",""),"aug",""),"sep",""),"oct",""),"nov",""),"dec",""),"utc",""),"gmt",""),"myt",""),"bst",""),"rev",""),"ver",""),"b","a"),"c","a"),"d","a"),"e","a"),"f","a"),"g","a"),"h","a"),"i","a"),"j","a"),"k","a"),"l","a"),"m","a"),"n","a"),"o","a"),"p","a"),"q","a"),"r","a"),"s","a"),"t","a"),"u","a"),"v","a"),"w","a"),"x","a"),"y","a"),"z","a")</f>
        <v/>
      </c>
      <c r="CB6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601&amp;""),"a",""),"b",""),"c",""),"d",""),"e",""),"f",""),"g",""),"h",""),"i",""),"j",""),"k",""),"l",""),"m",""),"n",""),"o",""),"p",""),"q",""),"r",""),"s",""),"t",""),"u",""),"v",""),"w",""),"x",""),"y",""),"z",""),"-",""),"_",""),"/",""),".",""),"#",""),"\\",""),":","")," ",""),"(",""),")","")</f>
        <v/>
      </c>
      <c r="CC601" s="0" t="str">
        <f aca="false">" "&amp;TRIM(SUBSTITUTE(SUBSTITUTE(SUBSTITUTE(SUBSTITUTE(SUBSTITUTE(SUBSTITUTE(SUBSTITUTE(SUBSTITUTE(SUBSTITUTE(SUBSTITUTE(SUBSTITUTE(SUBSTITUTE(SUBSTITUTE(SUBSTITUTE(SUBSTITUTE(SUBSTITUTE(SUBSTITUTE(SUBSTITUTE(SUBSTITUTE(SUBSTITUTE(SUBSTITUTE(SUBSTITUTE(SUBSTITUTE(SUBSTITUTE(LOWER(T601&amp;""),CHAR(10)," "),CHAR(13)," "),CHAR(9)," "),CHAR(160)," "),"."," "),","," "),"-"," "),"/"," "),"("," "),")"," "),":"," "),";"," "),"_"," "),"–"," "),"?"," "),"!"," "),"*"," "),"["," "),"]"," "),"'"," "),"#"," "),"+"," "),"&amp;"," "),"\"," "))&amp;" "</f>
        <v>  </v>
      </c>
      <c r="CD601" s="0" t="str">
        <f aca="false">" "&amp;TRIM(SUBSTITUTE(SUBSTITUTE(SUBSTITUTE(SUBSTITUTE(SUBSTITUTE(SUBSTITUTE(SUBSTITUTE(SUBSTITUTE(SUBSTITUTE(SUBSTITUTE(SUBSTITUTE(SUBSTITUTE(SUBSTITUTE(SUBSTITUTE(SUBSTITUTE(SUBSTITUTE(SUBSTITUTE(SUBSTITUTE(SUBSTITUTE(SUBSTITUTE(SUBSTITUTE(SUBSTITUTE(SUBSTITUTE(SUBSTITUTE(LOWER(AE601&amp;""),CHAR(10)," "),CHAR(13)," "),CHAR(9)," "),CHAR(160)," "),"."," "),","," "),"-"," "),"/"," "),"("," "),")"," "),":"," "),";"," "),"_"," "),"–"," "),"?"," "),"!"," "),"*"," "),"["," "),"]"," "),"'"," "),"#"," "),"+"," "),"&amp;"," "),"\"," "))&amp;" "</f>
        <v>  </v>
      </c>
      <c r="CE601" s="68" t="n">
        <f aca="false">IFERROR(IF(AND(LEN(AU601)&gt;0,LEN(AU601)=LEN(AX601),OR(TRIM(MID(SUBSTITUTE(TRIM(CC601)," ",REPT(" ",60)),1,60))="",ISNUMBER(SEARCH(" "&amp;TRIM(MID(SUBSTITUTE(TRIM(CC601)," ",REPT(" ",60)),1,60))&amp;" ",CD601))),OR(TRIM(MID(SUBSTITUTE(TRIM(CC601)," ",REPT(" ",60)),61,60))="",ISNUMBER(SEARCH(" "&amp;TRIM(MID(SUBSTITUTE(TRIM(CC601)," ",REPT(" ",60)),61,60))&amp;" ",CD601))),OR(TRIM(MID(SUBSTITUTE(TRIM(CC601)," ",REPT(" ",60)),121,60))="",ISNUMBER(SEARCH(" "&amp;TRIM(MID(SUBSTITUTE(TRIM(CC601)," ",REPT(" ",60)),121,60))&amp;" ",CD601)))),1,0),0)</f>
        <v>0</v>
      </c>
      <c r="CG601" s="68" t="n">
        <f aca="false">IFERROR(LEN(SUBSTITUTE(BF601," ",""))-SUMPRODUCT((LEN(BF601)-LEN(SUBSTITUTE(BF601," "&amp;L_NAFiller&amp;" "," ")))/(LEN(L_NAFiller)+1)*LEN(L_NAFiller)),0)</f>
        <v>0</v>
      </c>
    </row>
    <row r="602" customFormat="false" ht="39.75" hidden="false" customHeight="true" outlineLevel="0" collapsed="false">
      <c r="A602" s="57" t="s">
        <v>1307</v>
      </c>
      <c r="B602" s="57" t="s">
        <v>293</v>
      </c>
      <c r="C602" s="57" t="str">
        <f aca="false">Flights!$F$22</f>
        <v>MH0052</v>
      </c>
      <c r="D602" s="58" t="n">
        <f aca="false">Flights!$D$22</f>
        <v>46322</v>
      </c>
      <c r="E602" s="57" t="str">
        <f aca="false">Flights!$G$22&amp;"-"&amp;Flights!$H$22</f>
        <v>KUL-KIX</v>
      </c>
      <c r="F602" s="57" t="str">
        <f aca="false">Flights!$K$22</f>
        <v>BC</v>
      </c>
      <c r="G602" s="57" t="s">
        <v>420</v>
      </c>
      <c r="H602" s="57" t="s">
        <v>378</v>
      </c>
      <c r="I602" s="57" t="s">
        <v>629</v>
      </c>
      <c r="J602" s="57" t="s">
        <v>630</v>
      </c>
      <c r="K602" s="67" t="s">
        <v>501</v>
      </c>
      <c r="L602" s="67" t="s">
        <v>1308</v>
      </c>
      <c r="M602" s="67" t="s">
        <v>187</v>
      </c>
      <c r="N602" s="67" t="s">
        <v>383</v>
      </c>
      <c r="O602" s="67" t="s">
        <v>632</v>
      </c>
      <c r="P602" s="57" t="s">
        <v>187</v>
      </c>
      <c r="Q602" s="59" t="n">
        <f aca="false">ROUND((Flights!$AE$22)*1440,0)/1440</f>
        <v>46322.1006944444</v>
      </c>
      <c r="R602" s="59" t="n">
        <f aca="false">Q602+(IF(AND(INDEX(TZ_DSTS,MATCH(P602,TZ_STN,0))&lt;&gt;"",Q602&gt;=INDEX(TZ_DSTS,MATCH(P602,TZ_STN,0)),Q602&lt;INDEX(TZ_DSTE,MATCH(P602,TZ_STN,0))),INDEX(TZ_DST,MATCH(P602,TZ_STN,0)),INDEX(TZ_STD,MATCH(P602,TZ_STN,0))))/24</f>
        <v>46322.4340277778</v>
      </c>
      <c r="S602" s="60"/>
      <c r="T602" s="60"/>
      <c r="U602" s="60"/>
      <c r="V602" s="60"/>
      <c r="W602" s="61"/>
      <c r="X602" s="60"/>
      <c r="Y602" s="60"/>
      <c r="Z602" s="60"/>
      <c r="AA602" s="60"/>
      <c r="AB602" s="60"/>
      <c r="AC602" s="60"/>
      <c r="AD602" s="66"/>
      <c r="AE602" s="60"/>
      <c r="AF602" s="61" t="str">
        <f aca="false">IF(AND(ISNUMBER(X602),ISNUMBER(Y602)),Y602-X602,"")</f>
        <v/>
      </c>
      <c r="AG602" s="62" t="str">
        <f aca="false">IF(ISNUMBER(AD602),AD602-(IF(AND(INDEX(TZ_DSTS,MATCH(P602,TZ_STN,0))&lt;&gt;"",(AD602-INDEX(TZ_STD,MATCH(P602,TZ_STN,0))/24)&gt;=INDEX(TZ_DSTS,MATCH(P602,TZ_STN,0)),(AD602-INDEX(TZ_STD,MATCH(P602,TZ_STN,0))/24)&lt;INDEX(TZ_DSTE,MATCH(P602,TZ_STN,0))),INDEX(TZ_DST,MATCH(P602,TZ_STN,0)),INDEX(TZ_STD,MATCH(P602,TZ_STN,0))))/24,"")</f>
        <v/>
      </c>
      <c r="AH602" s="65" t="str">
        <f aca="false">IFERROR(IF(N602="N/A – rule",IF(OR(TRIM(U602)="",TRIM(U602)="N/A",TRIM(U602)="Not started"),"N/A – RULE","INVALID – this check does not apply to this aircraft: clear the status (or correct the fleet on Flights)"),IF(TRIM(U602)="N/A",IF(AT602=0,"INVALID – N/A not permitted for this check",IF(AND(TRIM(AB602)&lt;&gt;"",TRIM(AB602)&lt;&gt;"Closed"),"INVALID – corrective action still open",IF(AND(NOT(OR(LEN(AZ602)&lt;15,ISNUMBER(MATCH(AZ602,L_Placeholder,0)))),BK602=0,CG602&gt;=8,NOT(OR(LEN(AU602)&lt;2,ISNUMBER(MATCH(AU602,L_Placeholder,0)))),BR602&gt;=3,NOT(OR(LEN(AX602)&lt;2,ISNUMBER(MATCH(AX602,L_Placeholder,0)))),BS602&gt;=3,TRIM(AE602)&lt;&gt;TRIM(T602),AX602&lt;&gt;AU602,CE602=0),"N/A – JUSTIFIED","INVALID – N/A needs a real, settled reason (not 'not applicable' / 'as above' / TBC), a named PIC and a different named verifier"))),IF(OR(TRIM(U602)="Pass",TRIM(U602)="Pass after CA"),IF(NOT(ISNUMBER(AD602)),"INVALID – completion time missing",IF(OR(OR(LEN(AU602)&lt;2,ISNUMBER(MATCH(AU602,L_Placeholder,0))),BR602&lt;3),"INVALID – PIC missing or not a named person (a role such as QA / CSM is not a name)",IF(OR(LEN(AV602)&lt;2,ISNUMBER(MATCH(AV602,L_Placeholder,0))),"INVALID – result / assessment missing",IF(OR(OR(LEN(AW602)&lt;3,ISNUMBER(MATCH(AW602,L_Placeholder,0))),SUMPRODUCT(--ISNUMBER(SEARCH(" "&amp;L_EvidencePhrase&amp;" ",BD602)))&gt;0,BI602=1),"INVALID – evidence missing, placeholder or not yet on file",IF(ISNA(MATCH(TRIM(S602),L_EvidenceType,0)),"INVALID – choose the evidence type from the list (column S)",IF(BL602=0,"INVALID – evidence ID must be the record's own ID only (e.g. SF-2210, IMG_2231, 1045521); a link / file name needs type 'Link / file path'",IF(OR(OR(LEN(AX602)&lt;2,ISNUMBER(MATCH(AX602,L_Placeholder,0))),BS602&lt;3),"INVALID – verifier missing or not a named person (a role such as QA / CSM is not a name)",IF(OR(AX602=AU602,CE602=1,AND(LEN(AU602)&gt;=4,ISNUMBER(SEARCH(AU602,AX602))),AND(LEN(AX602)&gt;=4,ISNUMBER(SEARCH(AX602,AU602)))),"INVALID – verifier must be a different, named person (not the PIC or a role)",IF(BH602=1,"INVALID – result not yet available (awaiting / TBC)",IF(BG602=1,"INVALID – result describes a problem: record Fail, then Pass after CA (or reword if it is not a problem)",IF(BV602=1,"INVALID – wording says not on board: an on-board confirmation needs the item loaded",IF(AND(AQ602=1,OR(OR(LEN(AY602)&lt;3,ISNUMBER(MATCH(AY602,L_Placeholder,0))),BJ602=1,BQ602=0)),"INVALID – batch ID missing, placeholder or not an ID (e.g. PASB-261008-BC-017)",IF(AND(AR602=1,OR(NOT(ISNUMBER(X602)),NOT(ISNUMBER(Y602)))),"INVALID – expected/actual qty missing",IF(AND(AR602=1,OR(X602&lt;=0,Y602&lt;0)),"INVALID – expected qty must be above 0 and actual not negative",IF(BB602&lt;&gt;"",BB602,IF(AND(AS602=1,Documents!$J$22&lt;&gt;"ON FILE"),"INVALID – GLD not on file (Documents sheet)",IF(AND(AS602=2,Documents!$O$22&lt;&gt;"ON FILE"),"INVALID – menu checklist not on file (Documents sheet)",IF(AND(AS602=3,NOT(ISNUMBER(Flights!$AX$22))),"INVALID – enter carrying flight KUL departure (Flights AX)",IF(AND(AS602=3,OR(Flights!$AZ$22&gt;Flights!$AA$22,Flights!$AX$22&lt;Flights!$AA$22-3)),"INVALID – carrying flight (Flights AX) cannot arrive before this leg's STD, or is over 3 days early",IF(AG602&gt;AsOfUTC,"INVALID – completion time is in the future",IF(AND(ISNUMBER(BY602),AG602&lt;BY602),IF(H602="Physical uplift","INVALID – before uplift window (cannot confirm loading)","INVALID – before valid window"),IF(AG602&gt;Flights!$AA$22,"INVALID – completed after departure (cannot establish readiness)",IF(AND(H602="Preparation",AG602&gt;=IF(ISNUMBER(Flights!$BA$22),MIN(Flights!$BA$22,Flights!$AA$22),Flights!$AA$22)),"INVALID – completed after loading / departure (cannot establish readiness)",IF(AND(H602="Physical uplift",AG602&gt;Q602),"INVALID – recorded after the loading flight departed",IF(AG602&gt;Q602,"COMPLETE – LATE","COMPLETE"))))))))))))))))))))))))),IF(TRIM(U602)="Fail","FAIL – DISCREPANCY",IF(AND(TRIM(U602)&lt;&gt;"",TRIM(U602)&lt;&gt;"Not started",TRIM(U602)&lt;&gt;"In progress"),"INVALID – unrecognised status (use the list)",IF(AsOfUTC&gt;Q602,"OVERDUE",IF(N602="Clarification required","OPEN – CLARIFICATION","OPEN"))))))),"INVALID – error value in an input cell")</f>
        <v>OPEN</v>
      </c>
      <c r="AI602" s="61" t="n">
        <f aca="false">IF(OR(AH602="N/A – RULE",AH602="N/A – JUSTIFIED"),0,1)</f>
        <v>1</v>
      </c>
      <c r="AJ602" s="61" t="n">
        <f aca="false">IF(LEFT(AH602,8)="COMPLETE",1,0)</f>
        <v>0</v>
      </c>
      <c r="AK602" s="61" t="n">
        <f aca="false">IF(AND(AI602=1,AJ602=0,AsOfUTC&gt;Q602),1,0)</f>
        <v>0</v>
      </c>
      <c r="AL602" s="61" t="n">
        <f aca="false">IFERROR(IF(AND(AI602=1,OR(TRIM(U602)="Fail",AND(TRIM(AB602)&lt;&gt;"",TRIM(AB602)&lt;&gt;"Closed"),AND(ISNUMBER(AF602),AF602&lt;&gt;0,TRIM(U602)&lt;&gt;"Pass after CA"))),1,0),1)</f>
        <v>0</v>
      </c>
      <c r="AM602" s="61" t="n">
        <f aca="false">IF(LEFT(AH602,7)="INVALID",1,0)</f>
        <v>0</v>
      </c>
      <c r="AN602" s="61" t="n">
        <f aca="false">IF(AND(N602="Clarification required",AI602=1,AJ602=0),1,0)</f>
        <v>0</v>
      </c>
      <c r="AO602" s="61" t="str">
        <f aca="false">IF(AK602=1,SUM(AK$5:AK602),"")</f>
        <v/>
      </c>
      <c r="AP602" s="61" t="str">
        <f aca="false">IF(AL602=1,SUM(AL$5:AL602),"")</f>
        <v/>
      </c>
      <c r="AQ602" s="61" t="n">
        <v>0</v>
      </c>
      <c r="AR602" s="61" t="n">
        <v>0</v>
      </c>
      <c r="AS602" s="61" t="n">
        <v>0</v>
      </c>
      <c r="AT602" s="61" t="n">
        <v>0</v>
      </c>
      <c r="AU602" s="61" t="str">
        <f aca="false">SUBSTITUTE(SUBSTITUTE(SUBSTITUTE(SUBSTITUTE(SUBSTITUTE(SUBSTITUTE(SUBSTITUTE(SUBSTITUTE(SUBSTITUTE(SUBSTITUTE(SUBSTITUTE(SUBSTITUTE(SUBSTITUTE(SUBSTITUTE(SUBSTITUTE(SUBSTITUTE(LOWER(T602&amp;""),CHAR(10),""),CHAR(13),""),CHAR(9),""),CHAR(160),"")," ",""),".",""),"-",""),"/",""),"?",""),"_",""),",",""),"[",""),"]",""),"(",""),")",""),"*","")</f>
        <v/>
      </c>
      <c r="AV602" s="61" t="str">
        <f aca="false">SUBSTITUTE(SUBSTITUTE(SUBSTITUTE(SUBSTITUTE(SUBSTITUTE(SUBSTITUTE(SUBSTITUTE(SUBSTITUTE(SUBSTITUTE(SUBSTITUTE(SUBSTITUTE(SUBSTITUTE(SUBSTITUTE(SUBSTITUTE(SUBSTITUTE(SUBSTITUTE(LOWER(V602&amp;""),CHAR(10),""),CHAR(13),""),CHAR(9),""),CHAR(160),"")," ",""),".",""),"-",""),"/",""),"?",""),"_",""),",",""),"[",""),"]",""),"(",""),")",""),"*","")</f>
        <v/>
      </c>
      <c r="AW602" s="61" t="str">
        <f aca="false">SUBSTITUTE(SUBSTITUTE(SUBSTITUTE(SUBSTITUTE(SUBSTITUTE(SUBSTITUTE(SUBSTITUTE(SUBSTITUTE(SUBSTITUTE(SUBSTITUTE(SUBSTITUTE(SUBSTITUTE(SUBSTITUTE(SUBSTITUTE(SUBSTITUTE(SUBSTITUTE(LOWER(Z602&amp;""),CHAR(10),""),CHAR(13),""),CHAR(9),""),CHAR(160),"")," ",""),".",""),"-",""),"/",""),"?",""),"_",""),",",""),"[",""),"]",""),"(",""),")",""),"*","")</f>
        <v/>
      </c>
      <c r="AX602" s="61" t="str">
        <f aca="false">SUBSTITUTE(SUBSTITUTE(SUBSTITUTE(SUBSTITUTE(SUBSTITUTE(SUBSTITUTE(SUBSTITUTE(SUBSTITUTE(SUBSTITUTE(SUBSTITUTE(SUBSTITUTE(SUBSTITUTE(SUBSTITUTE(SUBSTITUTE(SUBSTITUTE(SUBSTITUTE(LOWER(AE602&amp;""),CHAR(10),""),CHAR(13),""),CHAR(9),""),CHAR(160),"")," ",""),".",""),"-",""),"/",""),"?",""),"_",""),",",""),"[",""),"]",""),"(",""),")",""),"*","")</f>
        <v/>
      </c>
      <c r="AY602" s="61" t="str">
        <f aca="false">SUBSTITUTE(SUBSTITUTE(SUBSTITUTE(SUBSTITUTE(SUBSTITUTE(SUBSTITUTE(SUBSTITUTE(SUBSTITUTE(SUBSTITUTE(SUBSTITUTE(SUBSTITUTE(SUBSTITUTE(SUBSTITUTE(SUBSTITUTE(SUBSTITUTE(SUBSTITUTE(LOWER(W602&amp;""),CHAR(10),""),CHAR(13),""),CHAR(9),""),CHAR(160),"")," ",""),".",""),"-",""),"/",""),"?",""),"_",""),",",""),"[",""),"]",""),"(",""),")",""),"*","")</f>
        <v/>
      </c>
      <c r="AZ602" s="61" t="str">
        <f aca="false">SUBSTITUTE(SUBSTITUTE(SUBSTITUTE(SUBSTITUTE(SUBSTITUTE(SUBSTITUTE(SUBSTITUTE(SUBSTITUTE(SUBSTITUTE(SUBSTITUTE(SUBSTITUTE(SUBSTITUTE(SUBSTITUTE(SUBSTITUTE(SUBSTITUTE(SUBSTITUTE(LOWER(AC602&amp;""),CHAR(10),""),CHAR(13),""),CHAR(9),""),CHAR(160),"")," ",""),".",""),"-",""),"/",""),"?",""),"_",""),",",""),"[",""),"]",""),"(",""),")",""),"*","")</f>
        <v/>
      </c>
      <c r="BA602" s="61" t="str">
        <f aca="false">SUBSTITUTE(SUBSTITUTE(SUBSTITUTE(SUBSTITUTE(SUBSTITUTE(SUBSTITUTE(SUBSTITUTE(SUBSTITUTE(SUBSTITUTE(SUBSTITUTE(SUBSTITUTE(SUBSTITUTE(SUBSTITUTE(SUBSTITUTE(SUBSTITUTE(SUBSTITUTE(LOWER(AA602&amp;""),CHAR(10),""),CHAR(13),""),CHAR(9),""),CHAR(160),"")," ",""),".",""),"-",""),"/",""),"?",""),"_",""),",",""),"[",""),"]",""),"(",""),")",""),"*","")</f>
        <v/>
      </c>
      <c r="BB602" s="61" t="str">
        <f aca="false">IF(AND(TRIM(U602)="Pass",ISNUMBER(AF602)),IF(AF602&lt;&gt;0,"INVALID – qty variance: use Fail or Pass after CA",""),"")&amp;IF(AND(TRIM(U602)="Pass after CA",ISNUMBER(AF602)),IF(AF602&lt;&gt;0,"INVALID – after the corrective action the actual qty must equal expected (update Actual)",""),"")&amp;IF(AND(TRIM(U602)="Pass",TRIM(AB602)&lt;&gt;"",TRIM(AB602)&lt;&gt;"Closed"),"INVALID – corrective action not closed: use Fail, then Pass after CA","")&amp;IF(AND(LEN(BA602)&gt;=2,ISNA(MATCH(LEFT(BA602,255),L_Placeholder,0)),TRIM(AB602)=""),"INVALID – CA status missing for the recorded corrective action","")&amp;IF(AND(TRIM(U602)="Pass after CA",OR(OR(LEN(BA602)&lt;5,ISNUMBER(MATCH(BA602,L_Placeholder,0))),TRIM(AB602)&lt;&gt;"Closed")),"INVALID – corrective action not recorded/closed","")</f>
        <v/>
      </c>
      <c r="BC602" s="61" t="str">
        <f aca="false">" "&amp;TRIM(SUBSTITUTE(SUBSTITUTE(SUBSTITUTE(SUBSTITUTE(SUBSTITUTE(SUBSTITUTE(SUBSTITUTE(SUBSTITUTE(SUBSTITUTE(SUBSTITUTE(SUBSTITUTE(SUBSTITUTE(SUBSTITUTE(SUBSTITUTE(SUBSTITUTE(SUBSTITUTE(SUBSTITUTE(SUBSTITUTE(SUBSTITUTE(SUBSTITUTE(SUBSTITUTE(SUBSTITUTE(SUBSTITUTE(SUBSTITUTE(LOWER(V602&amp;""),CHAR(10)," "),CHAR(13)," "),CHAR(9)," "),CHAR(160)," "),"."," "),","," "),"-"," "),"/"," "),"("," "),")"," "),":"," "),";"," "),"_"," "),"–"," "),"?"," "),"!"," "),"*"," "),"["," "),"]"," "),"'"," "),"#"," "),"+"," "),"&amp;"," "),"\"," "))&amp;" "</f>
        <v>  </v>
      </c>
      <c r="BD602" s="61" t="str">
        <f aca="false">" "&amp;TRIM(SUBSTITUTE(SUBSTITUTE(SUBSTITUTE(SUBSTITUTE(SUBSTITUTE(SUBSTITUTE(SUBSTITUTE(SUBSTITUTE(SUBSTITUTE(SUBSTITUTE(SUBSTITUTE(SUBSTITUTE(SUBSTITUTE(SUBSTITUTE(SUBSTITUTE(SUBSTITUTE(SUBSTITUTE(SUBSTITUTE(SUBSTITUTE(SUBSTITUTE(SUBSTITUTE(SUBSTITUTE(SUBSTITUTE(SUBSTITUTE(LOWER(Z602&amp;""),CHAR(10)," "),CHAR(13)," "),CHAR(9)," "),CHAR(160)," "),"."," "),","," "),"-"," "),"/"," "),"("," "),")"," "),":"," "),";"," "),"_"," "),"–"," "),"?"," "),"!"," "),"*"," "),"["," "),"]"," "),"'"," "),"#"," "),"+"," "),"&amp;"," "),"\"," "))&amp;" "</f>
        <v>  </v>
      </c>
      <c r="BE602" s="61" t="str">
        <f aca="false">" "&amp;TRIM(SUBSTITUTE(SUBSTITUTE(SUBSTITUTE(SUBSTITUTE(SUBSTITUTE(SUBSTITUTE(SUBSTITUTE(SUBSTITUTE(SUBSTITUTE(SUBSTITUTE(SUBSTITUTE(SUBSTITUTE(SUBSTITUTE(SUBSTITUTE(SUBSTITUTE(SUBSTITUTE(SUBSTITUTE(SUBSTITUTE(SUBSTITUTE(SUBSTITUTE(SUBSTITUTE(SUBSTITUTE(SUBSTITUTE(SUBSTITUTE(LOWER(W602&amp;""),CHAR(10)," "),CHAR(13)," "),CHAR(9)," "),CHAR(160)," "),"."," "),","," "),"-"," "),"/"," "),"("," "),")"," "),":"," "),";"," "),"_"," "),"–"," "),"?"," "),"!"," "),"*"," "),"["," "),"]"," "),"'"," "),"#"," "),"+"," "),"&amp;"," "),"\"," "))&amp;" "</f>
        <v>  </v>
      </c>
      <c r="BF602" s="61" t="str">
        <f aca="false">" "&amp;TRIM(SUBSTITUTE(SUBSTITUTE(SUBSTITUTE(SUBSTITUTE(SUBSTITUTE(SUBSTITUTE(SUBSTITUTE(SUBSTITUTE(SUBSTITUTE(SUBSTITUTE(SUBSTITUTE(SUBSTITUTE(SUBSTITUTE(SUBSTITUTE(SUBSTITUTE(SUBSTITUTE(SUBSTITUTE(SUBSTITUTE(SUBSTITUTE(SUBSTITUTE(SUBSTITUTE(SUBSTITUTE(SUBSTITUTE(SUBSTITUTE(LOWER(AC602&amp;""),CHAR(10)," "),CHAR(13)," "),CHAR(9)," "),CHAR(160)," "),"."," "),","," "),"-"," "),"/"," "),"("," "),")"," "),":"," "),";"," "),"_"," "),"–"," "),"?"," "),"!"," "),"*"," "),"["," "),"]"," "),"'"," "),"#"," "),"+"," "),"&amp;"," "),"\"," "))&amp;" "</f>
        <v>  </v>
      </c>
      <c r="BG602" s="61" t="n">
        <f aca="false">IFERROR(IF(AND(TRIM(U602)="Pass",SUMPRODUCT((LEN(BC602)-LEN(SUBSTITUTE(BC602," "&amp;L_ResultBad&amp;" "," ")))/(LEN(L_ResultBad)+1))&gt;SUMPRODUCT((LEN(BC602)-LEN(SUBSTITUTE(BC602," "&amp;L_NegPhrase&amp;" "," ")))/(LEN(L_NegPhrase)+1))),1,0),0)</f>
        <v>0</v>
      </c>
      <c r="BH602" s="61" t="n">
        <f aca="false">IFERROR(IF(SUMPRODUCT((LEN(BC602)-LEN(SUBSTITUTE(BC602," "&amp;L_Pending&amp;" "," ")))/(LEN(L_Pending)+1))&gt;SUMPRODUCT((LEN(BC602)-LEN(SUBSTITUTE(BC602," "&amp;L_PendNeg&amp;" "," ")))/(LEN(L_PendNeg)+1))+SUMPRODUCT((LEN(BC602)-LEN(SUBSTITUTE(BC602," "&amp;L_PendPrep&amp;" "," ")))/(LEN(L_PendPrep)+1)),1,0),1)</f>
        <v>0</v>
      </c>
      <c r="BI602" s="61" t="n">
        <f aca="false">IFERROR(IF(SUMPRODUCT((LEN(BD602)-LEN(SUBSTITUTE(BD602," "&amp;L_PendStrict&amp;" "," ")))/(LEN(L_PendStrict)+1))&gt;SUMPRODUCT((LEN(BD602)-LEN(SUBSTITUTE(BD602," "&amp;L_PendNeg&amp;" "," ")))/(LEN(L_PendNeg)+1)),1,0),1)</f>
        <v>0</v>
      </c>
      <c r="BJ602" s="61" t="n">
        <f aca="false">IFERROR(IF(SUMPRODUCT((LEN(BE602)-LEN(SUBSTITUTE(BE602," "&amp;L_Pending&amp;" "," ")))/(LEN(L_Pending)+1))&gt;SUMPRODUCT((LEN(BE602)-LEN(SUBSTITUTE(BE602," "&amp;L_PendNeg&amp;" "," ")))/(LEN(L_PendNeg)+1))+SUMPRODUCT((LEN(BE602)-LEN(SUBSTITUTE(BE602," "&amp;L_PendPrep&amp;" "," ")))/(LEN(L_PendPrep)+1)),1,0),1)</f>
        <v>0</v>
      </c>
      <c r="BK602" s="61" t="n">
        <f aca="false">IFERROR(IF(SUMPRODUCT((LEN(BF602)-LEN(SUBSTITUTE(BF602," "&amp;L_PendStrict&amp;" "," ")))/(LEN(L_PendStrict)+1))&gt;SUMPRODUCT((LEN(BF602)-LEN(SUBSTITUTE(BF602," "&amp;L_PendNeg&amp;" "," ")))/(LEN(L_PendNeg)+1)),1,0),1)</f>
        <v>0</v>
      </c>
      <c r="BL602" s="61" t="n">
        <f aca="false">IF(ISNA(MATCH(TRIM(S602),L_EvidenceType,0)),0,BZ602)</f>
        <v>0</v>
      </c>
      <c r="BM602" s="61" t="str">
        <f aca="false">SUBSTITUTE(SUBSTITUTE(SUBSTITUTE(SUBSTITUTE(SUBSTITUTE(SUBSTITUTE(SUBSTITUTE(SUBSTITUTE(SUBSTITUTE(LOWER(Z602&amp;""),"1","0"),"2","0"),"3","0"),"4","0"),"5","0"),"6","0"),"7","0"),"8","0"),"9","0")</f>
        <v/>
      </c>
      <c r="BN602" s="61" t="str">
        <f aca="false">SUBSTITUTE(SUBSTITUTE(SUBSTITUTE(SUBSTITUTE(SUBSTITUTE(SUBSTITUTE(SUBSTITUTE(SUBSTITUTE(SUBSTITUTE(SUBSTITUTE(SUBSTITUTE(SUBSTITUTE(SUBSTITUTE(SUBSTITUTE(SUBSTITUTE(SUBSTITUTE(SUBSTITUTE(SUBSTITUTE(SUBSTITUTE(SUBSTITUTE(SUBSTITUTE(SUBSTITUTE(SUBSTITUTE(SUBSTITUTE(SUBSTITUTE(BM602,"b","a"),"c","a"),"d","a"),"e","a"),"f","a"),"g","a"),"h","a"),"i","a"),"j","a"),"k","a"),"l","a"),"m","a"),"n","a"),"o","a"),"p","a"),"q","a"),"r","a"),"s","a"),"t","a"),"u","a"),"v","a"),"w","a"),"x","a"),"y","a"),"z","a")</f>
        <v/>
      </c>
      <c r="BO602" s="61" t="str">
        <f aca="false">SUBSTITUTE(SUBSTITUTE(SUBSTITUTE(SUBSTITUTE(SUBSTITUTE(SUBSTITUTE(SUBSTITUTE(SUBSTITUTE(SUBSTITUTE(LOWER(W602&amp;""),"1","0"),"2","0"),"3","0"),"4","0"),"5","0"),"6","0"),"7","0"),"8","0"),"9","0")</f>
        <v/>
      </c>
      <c r="BP602" s="61" t="str">
        <f aca="false">SUBSTITUTE(SUBSTITUTE(SUBSTITUTE(SUBSTITUTE(SUBSTITUTE(SUBSTITUTE(SUBSTITUTE(SUBSTITUTE(SUBSTITUTE(SUBSTITUTE(SUBSTITUTE(SUBSTITUTE(SUBSTITUTE(SUBSTITUTE(SUBSTITUTE(SUBSTITUTE(SUBSTITUTE(SUBSTITUTE(SUBSTITUTE(SUBSTITUTE(SUBSTITUTE(SUBSTITUTE(SUBSTITUTE(SUBSTITUTE(SUBSTITUTE(BO602,"b","a"),"c","a"),"d","a"),"e","a"),"f","a"),"g","a"),"h","a"),"i","a"),"j","a"),"k","a"),"l","a"),"m","a"),"n","a"),"o","a"),"p","a"),"q","a"),"r","a"),"s","a"),"t","a"),"u","a"),"v","a"),"w","a"),"x","a"),"y","a"),"z","a")</f>
        <v/>
      </c>
      <c r="BQ602" s="61" t="n">
        <f aca="false">IFERROR(IF(AND(ISERROR(SEARCH(" mh"," "&amp;LOWER(W602))),ISNA(MATCH(LEFT(TRIM(BP602),255),{"0000a","000a","00a","0000aa","000aa","00aa","0aa","0000aaa","000aaa","00a00","0a00","0000-0000","00:00","a00","a0","00.00.0000","00/00/0000","00-00-0000","0000-00-00","0000/00/00","0000.00.00","00.00.00","00/00/00","00-00-00","0.00.0000","0/00/0000","0-00-0000"},0)),ISNA(MATCH(LEFT(TRIM(CA602),255),{"0000a","000a","00a","0000aa","000aa","00aa","0aa","0000aaa","000aaa","00a00","0a00","0000-0000","00:00","a00","a0","00.00.0000","00/00/0000","00-00-0000","0000-00-00","0000/00/00","0000.00.00","00.00.00","00/00/00","00-00-00","0.00.0000","0/00/0000","0-00-0000"},0)),LEN(CB602)&gt;=3,NOT(OR(SUBSTITUTE(CB602,"0","")="",AND(LEN(CB602)&gt;=4,CB602=REPT(LEFT(CB602),LEN(CB602))),ISNUMBER(MATCH(CB602,{"123","1234","12345","123456","1234567","12345678","0123","01234","012345","98765","987654","54321"},0)),AND(LEN(CB602)=8,LEFT(CB602,3)="202"))),OR(AND((LEN(CA602)-LEN(SUBSTITUTE(CA602,"a","")))&gt;=1,SUMPRODUCT(--ISNUMBER(SEARCH({"a0","a-0","a_0","a/0","a.0","a#0","0a","0-a","0_a","0/a"},BP602)))&gt;0),ISNUMBER(SEARCH("000000",BP602)))),1,0),0)</f>
        <v>0</v>
      </c>
      <c r="BR602" s="61" t="n">
        <f aca="false">IFERROR(LEN(SUBSTITUTE(CC602," ",""))-SUMPRODUCT((LEN(CC602)-LEN(SUBSTITUTE(CC602," "&amp;L_Role&amp;" "," ")))/(LEN(L_Role)+1)*LEN(L_Role)),0)</f>
        <v>0</v>
      </c>
      <c r="BS602" s="61" t="n">
        <f aca="false">IFERROR(LEN(SUBSTITUTE(CD602," ",""))-SUMPRODUCT((LEN(CD602)-LEN(SUBSTITUTE(CD602," "&amp;L_Role&amp;" "," ")))/(LEN(L_Role)+1)*LEN(L_Role)),0)</f>
        <v>0</v>
      </c>
      <c r="BT6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602,"revision",""),"version",""),"jan",""),"feb",""),"mar",""),"apr",""),"may",""),"jun",""),"jul",""),"aug",""),"sep",""),"oct",""),"nov",""),"dec",""),"utc",""),"gmt",""),"myt",""),"bst",""),"rev",""),"ver",""),"b","a"),"c","a"),"d","a"),"e","a"),"f","a"),"g","a"),"h","a"),"i","a"),"j","a"),"k","a"),"l","a"),"m","a"),"n","a"),"o","a"),"p","a"),"q","a"),"r","a"),"s","a"),"t","a"),"u","a"),"v","a"),"w","a"),"x","a"),"y","a"),"z","a")</f>
        <v/>
      </c>
      <c r="BU602" s="61" t="str">
        <f aca="false">SUBSTITUTE(SUBSTITUTE(SUBSTITUTE(SUBSTITUTE(SUBSTITUTE(SUBSTITUTE(SUBSTITUTE(SUBSTITUTE(SUBSTITUTE(SUBSTITUTE(LEFT(BM602,FIND("0",BM602&amp;"0")-1),"-",""),"_",""),"/",""),".",""),"#",""),"\\",""),":","")," ",""),"(",""),")","")</f>
        <v/>
      </c>
      <c r="BV602" s="61" t="n">
        <f aca="false">0</f>
        <v>0</v>
      </c>
      <c r="BW6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602&amp;""),"a",""),"b",""),"c",""),"d",""),"e",""),"f",""),"g",""),"h",""),"i",""),"j",""),"k",""),"l",""),"m",""),"n",""),"o",""),"p",""),"q",""),"r",""),"s",""),"t",""),"u",""),"v",""),"w",""),"x",""),"y",""),"z",""),"-",""),"_",""),"/",""),".",""),"#",""),"\\",""),":","")," ",""),"(",""),")","")</f>
        <v/>
      </c>
      <c r="BX602" s="61" t="str">
        <f aca="false">SUBSTITUTE(SUBSTITUTE(SUBSTITUTE(SUBSTITUTE(SUBSTITUTE(SUBSTITUTE(SUBSTITUTE(SUBSTITUTE(SUBSTITUTE(SUBSTITUTE(SUBSTITUTE(BM602,"0",""),"-",""),"_",""),"/",""),".",""),"#",""),"\\",""),":","")," ",""),"(",""),")","")</f>
        <v/>
      </c>
      <c r="BY602" s="62" t="n">
        <f aca="false">Q602-T12EarlyH/24</f>
        <v>46321.6006944444</v>
      </c>
      <c r="BZ602" s="61" t="n">
        <f aca="false">IFERROR(IF(IF(TRIM(S602)="Link / file path",AND(LEN(TRIM(Z602))&gt;=5,SUMPRODUCT(--ISNUMBER(SEARCH({"http","www.","\\",":\",".pdf",".jpg",".jpeg",".png",".heic",".xls",".doc",".msg",".eml",".ppt",".txt",".zip"},Z602)))&gt;0),AND(ISERROR(FIND(" ",TRIM(Z602))),NOT(OR(SUMPRODUCT(--ISNUMBER(FIND({",",";","&amp;","+"},Z602)))&gt;0,SUMPRODUCT(--ISNUMBER(SEARCH({"0/aa","0\\aa"},BN602)))&gt;0)),NOT(SUMPRODUCT(--ISNUMBER(SEARCH({"http","www.","\\",":\",".pdf",".jpg",".jpeg",".png",".heic",".xls",".doc",".msg",".eml",".ppt",".txt",".zip"},Z602)))&gt;0),NOT(LOWER(TRIM(Z602))=LOWER(Flights!$F$22)),ISNA(MATCH(BU602,{"mh","rev","revision","ver","version","v","r","a","b","seat","tray","row","gate","bay","stand","page","pg","item","line","no","cart","galley","flight","flt","table","box","bag","oven","etd","eta","std","sta","atd","ata","qty","pax","x","time","tel","ph","mob","day","wk","week","utc","gmt","myt","lt"},0)),NOT(OR(ISNUMBER(MATCH(LEFT(BN602,255),{"0000a","000a","00a","0000aa","000aa","00aa","0aa","0000aaa","000aaa","00a00","0a00","0000-0000","00:00","a00","a0","00.00.0000","00/00/0000","00-00-0000","0000-00-00","0000/00/00","0000.00.00","00.00.00","00/00/00","00-00-00","0.00.0000","0/00/0000","0-00-0000"},0)),ISNUMBER(MATCH(LEFT(BT602,255),{"0000a","000a","00a","0000aa","000aa","00aa","0aa","0000aaa","000aaa","00a00","0a00","0000-0000","00:00","a00","a0","00.00.0000","00/00/0000","00-00-0000","0000-00-00","0000/00/00","0000.00.00","00.00.00","00/00/00","00-00-00","0.00.0000","0/00/0000","0-00-0000"},0)))),NOT(OR(AND(BW602&lt;&gt;"",SUBSTITUTE(BW602,"0","")=""),AND(LEN(BW602)&gt;=4,BW602=REPT(LEFT(BW602),LEN(BW602))),ISNUMBER(MATCH(BW602,{"123","1234","12345","123456","1234567","12345678","0123","01234","012345","98765","987654","54321"},0)),ISNUMBER(MATCH(BX602,{"x","xx","xxx","xxxx","xxxxx","abc","abcd","nil","na","nan","test","tbc","tba","tbd","dummy","sample","example","eg","zz","zzz","none","null","xyz","qwe","asd","id","ref"},0)),AND(LEN(BW602)=8,BX602="",OR(LEFT(BW602,3)="202",ISNUMBER(MATCH(RIGHT(BW602,4),{"2025","2026","2027"},0)))))),OR(AND((LEN(BT602)-LEN(SUBSTITUTE(BT602,"a","")))&gt;=1,(LEN(BN602)-LEN(SUBSTITUTE(BN602,"0","")))&gt;=2,SUMPRODUCT(--ISNUMBER(SEARCH({"a0","a-0","a_0","a/0","a.0","a#0","0a","0-a","0_a","0/a"},BN602)))&gt;0),AND((LEN(BN602)-LEN(SUBSTITUTE(BN602,"a","")))=0,(LEN(BN602)-LEN(SUBSTITUTE(BN602,"0","")))&gt;=5)))),1,0),0)</f>
        <v>0</v>
      </c>
      <c r="CA6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602,"revision",""),"version",""),"jan",""),"feb",""),"mar",""),"apr",""),"may",""),"jun",""),"jul",""),"aug",""),"sep",""),"oct",""),"nov",""),"dec",""),"utc",""),"gmt",""),"myt",""),"bst",""),"rev",""),"ver",""),"b","a"),"c","a"),"d","a"),"e","a"),"f","a"),"g","a"),"h","a"),"i","a"),"j","a"),"k","a"),"l","a"),"m","a"),"n","a"),"o","a"),"p","a"),"q","a"),"r","a"),"s","a"),"t","a"),"u","a"),"v","a"),"w","a"),"x","a"),"y","a"),"z","a")</f>
        <v/>
      </c>
      <c r="CB6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602&amp;""),"a",""),"b",""),"c",""),"d",""),"e",""),"f",""),"g",""),"h",""),"i",""),"j",""),"k",""),"l",""),"m",""),"n",""),"o",""),"p",""),"q",""),"r",""),"s",""),"t",""),"u",""),"v",""),"w",""),"x",""),"y",""),"z",""),"-",""),"_",""),"/",""),".",""),"#",""),"\\",""),":","")," ",""),"(",""),")","")</f>
        <v/>
      </c>
      <c r="CC602" s="0" t="str">
        <f aca="false">" "&amp;TRIM(SUBSTITUTE(SUBSTITUTE(SUBSTITUTE(SUBSTITUTE(SUBSTITUTE(SUBSTITUTE(SUBSTITUTE(SUBSTITUTE(SUBSTITUTE(SUBSTITUTE(SUBSTITUTE(SUBSTITUTE(SUBSTITUTE(SUBSTITUTE(SUBSTITUTE(SUBSTITUTE(SUBSTITUTE(SUBSTITUTE(SUBSTITUTE(SUBSTITUTE(SUBSTITUTE(SUBSTITUTE(SUBSTITUTE(SUBSTITUTE(LOWER(T602&amp;""),CHAR(10)," "),CHAR(13)," "),CHAR(9)," "),CHAR(160)," "),"."," "),","," "),"-"," "),"/"," "),"("," "),")"," "),":"," "),";"," "),"_"," "),"–"," "),"?"," "),"!"," "),"*"," "),"["," "),"]"," "),"'"," "),"#"," "),"+"," "),"&amp;"," "),"\"," "))&amp;" "</f>
        <v>  </v>
      </c>
      <c r="CD602" s="0" t="str">
        <f aca="false">" "&amp;TRIM(SUBSTITUTE(SUBSTITUTE(SUBSTITUTE(SUBSTITUTE(SUBSTITUTE(SUBSTITUTE(SUBSTITUTE(SUBSTITUTE(SUBSTITUTE(SUBSTITUTE(SUBSTITUTE(SUBSTITUTE(SUBSTITUTE(SUBSTITUTE(SUBSTITUTE(SUBSTITUTE(SUBSTITUTE(SUBSTITUTE(SUBSTITUTE(SUBSTITUTE(SUBSTITUTE(SUBSTITUTE(SUBSTITUTE(SUBSTITUTE(LOWER(AE602&amp;""),CHAR(10)," "),CHAR(13)," "),CHAR(9)," "),CHAR(160)," "),"."," "),","," "),"-"," "),"/"," "),"("," "),")"," "),":"," "),";"," "),"_"," "),"–"," "),"?"," "),"!"," "),"*"," "),"["," "),"]"," "),"'"," "),"#"," "),"+"," "),"&amp;"," "),"\"," "))&amp;" "</f>
        <v>  </v>
      </c>
      <c r="CE602" s="68" t="n">
        <f aca="false">IFERROR(IF(AND(LEN(AU602)&gt;0,LEN(AU602)=LEN(AX602),OR(TRIM(MID(SUBSTITUTE(TRIM(CC602)," ",REPT(" ",60)),1,60))="",ISNUMBER(SEARCH(" "&amp;TRIM(MID(SUBSTITUTE(TRIM(CC602)," ",REPT(" ",60)),1,60))&amp;" ",CD602))),OR(TRIM(MID(SUBSTITUTE(TRIM(CC602)," ",REPT(" ",60)),61,60))="",ISNUMBER(SEARCH(" "&amp;TRIM(MID(SUBSTITUTE(TRIM(CC602)," ",REPT(" ",60)),61,60))&amp;" ",CD602))),OR(TRIM(MID(SUBSTITUTE(TRIM(CC602)," ",REPT(" ",60)),121,60))="",ISNUMBER(SEARCH(" "&amp;TRIM(MID(SUBSTITUTE(TRIM(CC602)," ",REPT(" ",60)),121,60))&amp;" ",CD602)))),1,0),0)</f>
        <v>0</v>
      </c>
      <c r="CG602" s="68" t="n">
        <f aca="false">IFERROR(LEN(SUBSTITUTE(BF602," ",""))-SUMPRODUCT((LEN(BF602)-LEN(SUBSTITUTE(BF602," "&amp;L_NAFiller&amp;" "," ")))/(LEN(L_NAFiller)+1)*LEN(L_NAFiller)),0)</f>
        <v>0</v>
      </c>
    </row>
    <row r="603" customFormat="false" ht="41.25" hidden="false" customHeight="true" outlineLevel="0" collapsed="false">
      <c r="A603" s="57" t="s">
        <v>1309</v>
      </c>
      <c r="B603" s="57" t="s">
        <v>293</v>
      </c>
      <c r="C603" s="57" t="str">
        <f aca="false">Flights!$F$22</f>
        <v>MH0052</v>
      </c>
      <c r="D603" s="58" t="n">
        <f aca="false">Flights!$D$22</f>
        <v>46322</v>
      </c>
      <c r="E603" s="57" t="str">
        <f aca="false">Flights!$G$22&amp;"-"&amp;Flights!$H$22</f>
        <v>KUL-KIX</v>
      </c>
      <c r="F603" s="57" t="str">
        <f aca="false">Flights!$K$22</f>
        <v>BC</v>
      </c>
      <c r="G603" s="57" t="s">
        <v>420</v>
      </c>
      <c r="H603" s="57" t="s">
        <v>378</v>
      </c>
      <c r="I603" s="57" t="s">
        <v>634</v>
      </c>
      <c r="J603" s="57" t="s">
        <v>635</v>
      </c>
      <c r="K603" s="67" t="s">
        <v>1310</v>
      </c>
      <c r="L603" s="67" t="s">
        <v>1311</v>
      </c>
      <c r="M603" s="67" t="s">
        <v>451</v>
      </c>
      <c r="N603" s="67" t="s">
        <v>383</v>
      </c>
      <c r="O603" s="67" t="s">
        <v>1312</v>
      </c>
      <c r="P603" s="57" t="s">
        <v>187</v>
      </c>
      <c r="Q603" s="59" t="n">
        <f aca="false">ROUND((Flights!$AE$22)*1440,0)/1440</f>
        <v>46322.1006944444</v>
      </c>
      <c r="R603" s="59" t="n">
        <f aca="false">Q603+(IF(AND(INDEX(TZ_DSTS,MATCH(P603,TZ_STN,0))&lt;&gt;"",Q603&gt;=INDEX(TZ_DSTS,MATCH(P603,TZ_STN,0)),Q603&lt;INDEX(TZ_DSTE,MATCH(P603,TZ_STN,0))),INDEX(TZ_DST,MATCH(P603,TZ_STN,0)),INDEX(TZ_STD,MATCH(P603,TZ_STN,0))))/24</f>
        <v>46322.4340277778</v>
      </c>
      <c r="S603" s="60"/>
      <c r="T603" s="60"/>
      <c r="U603" s="60"/>
      <c r="V603" s="60"/>
      <c r="W603" s="61"/>
      <c r="X603" s="60"/>
      <c r="Y603" s="60"/>
      <c r="Z603" s="60"/>
      <c r="AA603" s="60"/>
      <c r="AB603" s="60"/>
      <c r="AC603" s="60"/>
      <c r="AD603" s="66"/>
      <c r="AE603" s="60"/>
      <c r="AF603" s="61" t="str">
        <f aca="false">IF(AND(ISNUMBER(X603),ISNUMBER(Y603)),Y603-X603,"")</f>
        <v/>
      </c>
      <c r="AG603" s="62" t="str">
        <f aca="false">IF(ISNUMBER(AD603),AD603-(IF(AND(INDEX(TZ_DSTS,MATCH(P603,TZ_STN,0))&lt;&gt;"",(AD603-INDEX(TZ_STD,MATCH(P603,TZ_STN,0))/24)&gt;=INDEX(TZ_DSTS,MATCH(P603,TZ_STN,0)),(AD603-INDEX(TZ_STD,MATCH(P603,TZ_STN,0))/24)&lt;INDEX(TZ_DSTE,MATCH(P603,TZ_STN,0))),INDEX(TZ_DST,MATCH(P603,TZ_STN,0)),INDEX(TZ_STD,MATCH(P603,TZ_STN,0))))/24,"")</f>
        <v/>
      </c>
      <c r="AH603" s="65" t="str">
        <f aca="false">IFERROR(IF(N603="N/A – rule",IF(OR(TRIM(U603)="",TRIM(U603)="N/A",TRIM(U603)="Not started"),"N/A – RULE","INVALID – this check does not apply to this aircraft: clear the status (or correct the fleet on Flights)"),IF(TRIM(U603)="N/A",IF(AT603=0,"INVALID – N/A not permitted for this check",IF(AND(TRIM(AB603)&lt;&gt;"",TRIM(AB603)&lt;&gt;"Closed"),"INVALID – corrective action still open",IF(AND(NOT(OR(LEN(AZ603)&lt;15,ISNUMBER(MATCH(AZ603,L_Placeholder,0)))),BK603=0,CG603&gt;=8,NOT(OR(LEN(AU603)&lt;2,ISNUMBER(MATCH(AU603,L_Placeholder,0)))),BR603&gt;=3,NOT(OR(LEN(AX603)&lt;2,ISNUMBER(MATCH(AX603,L_Placeholder,0)))),BS603&gt;=3,TRIM(AE603)&lt;&gt;TRIM(T603),AX603&lt;&gt;AU603,CE603=0),"N/A – JUSTIFIED","INVALID – N/A needs a real, settled reason (not 'not applicable' / 'as above' / TBC), a named PIC and a different named verifier"))),IF(OR(TRIM(U603)="Pass",TRIM(U603)="Pass after CA"),IF(NOT(ISNUMBER(AD603)),"INVALID – completion time missing",IF(OR(OR(LEN(AU603)&lt;2,ISNUMBER(MATCH(AU603,L_Placeholder,0))),BR603&lt;3),"INVALID – PIC missing or not a named person (a role such as QA / CSM is not a name)",IF(OR(LEN(AV603)&lt;2,ISNUMBER(MATCH(AV603,L_Placeholder,0))),"INVALID – result / assessment missing",IF(OR(OR(LEN(AW603)&lt;3,ISNUMBER(MATCH(AW603,L_Placeholder,0))),SUMPRODUCT(--ISNUMBER(SEARCH(" "&amp;L_EvidencePhrase&amp;" ",BD603)))&gt;0,BI603=1),"INVALID – evidence missing, placeholder or not yet on file",IF(ISNA(MATCH(TRIM(S603),L_EvidenceType,0)),"INVALID – choose the evidence type from the list (column S)",IF(BL603=0,"INVALID – evidence ID must be the record's own ID only (e.g. SF-2210, IMG_2231, 1045521); a link / file name needs type 'Link / file path'",IF(OR(OR(LEN(AX603)&lt;2,ISNUMBER(MATCH(AX603,L_Placeholder,0))),BS603&lt;3),"INVALID – verifier missing or not a named person (a role such as QA / CSM is not a name)",IF(OR(AX603=AU603,CE603=1,AND(LEN(AU603)&gt;=4,ISNUMBER(SEARCH(AU603,AX603))),AND(LEN(AX603)&gt;=4,ISNUMBER(SEARCH(AX603,AU603)))),"INVALID – verifier must be a different, named person (not the PIC or a role)",IF(BH603=1,"INVALID – result not yet available (awaiting / TBC)",IF(BG603=1,"INVALID – result describes a problem: record Fail, then Pass after CA (or reword if it is not a problem)",IF(BV603=1,"INVALID – wording says not on board: an on-board confirmation needs the item loaded",IF(AND(AQ603=1,OR(OR(LEN(AY603)&lt;3,ISNUMBER(MATCH(AY603,L_Placeholder,0))),BJ603=1,BQ603=0)),"INVALID – batch ID missing, placeholder or not an ID (e.g. PASB-261008-BC-017)",IF(AND(AR603=1,OR(NOT(ISNUMBER(X603)),NOT(ISNUMBER(Y603)))),"INVALID – expected/actual qty missing",IF(AND(AR603=1,OR(X603&lt;=0,Y603&lt;0)),"INVALID – expected qty must be above 0 and actual not negative",IF(BB603&lt;&gt;"",BB603,IF(AND(AS603=1,Documents!$J$22&lt;&gt;"ON FILE"),"INVALID – GLD not on file (Documents sheet)",IF(AND(AS603=2,Documents!$O$22&lt;&gt;"ON FILE"),"INVALID – menu checklist not on file (Documents sheet)",IF(AND(AS603=3,NOT(ISNUMBER(Flights!$AX$22))),"INVALID – enter carrying flight KUL departure (Flights AX)",IF(AND(AS603=3,OR(Flights!$AZ$22&gt;Flights!$AA$22,Flights!$AX$22&lt;Flights!$AA$22-3)),"INVALID – carrying flight (Flights AX) cannot arrive before this leg's STD, or is over 3 days early",IF(AG603&gt;AsOfUTC,"INVALID – completion time is in the future",IF(AND(ISNUMBER(BY603),AG603&lt;BY603),IF(H603="Physical uplift","INVALID – before uplift window (cannot confirm loading)","INVALID – before valid window"),IF(AG603&gt;Flights!$AA$22,"INVALID – completed after departure (cannot establish readiness)",IF(AND(H603="Preparation",AG603&gt;=IF(ISNUMBER(Flights!$BA$22),MIN(Flights!$BA$22,Flights!$AA$22),Flights!$AA$22)),"INVALID – completed after loading / departure (cannot establish readiness)",IF(AND(H603="Physical uplift",AG603&gt;Q603),"INVALID – recorded after the loading flight departed",IF(AG603&gt;Q603,"COMPLETE – LATE","COMPLETE"))))))))))))))))))))))))),IF(TRIM(U603)="Fail","FAIL – DISCREPANCY",IF(AND(TRIM(U603)&lt;&gt;"",TRIM(U603)&lt;&gt;"Not started",TRIM(U603)&lt;&gt;"In progress"),"INVALID – unrecognised status (use the list)",IF(AsOfUTC&gt;Q603,"OVERDUE",IF(N603="Clarification required","OPEN – CLARIFICATION","OPEN"))))))),"INVALID – error value in an input cell")</f>
        <v>OPEN</v>
      </c>
      <c r="AI603" s="61" t="n">
        <f aca="false">IF(OR(AH603="N/A – RULE",AH603="N/A – JUSTIFIED"),0,1)</f>
        <v>1</v>
      </c>
      <c r="AJ603" s="61" t="n">
        <f aca="false">IF(LEFT(AH603,8)="COMPLETE",1,0)</f>
        <v>0</v>
      </c>
      <c r="AK603" s="61" t="n">
        <f aca="false">IF(AND(AI603=1,AJ603=0,AsOfUTC&gt;Q603),1,0)</f>
        <v>0</v>
      </c>
      <c r="AL603" s="61" t="n">
        <f aca="false">IFERROR(IF(AND(AI603=1,OR(TRIM(U603)="Fail",AND(TRIM(AB603)&lt;&gt;"",TRIM(AB603)&lt;&gt;"Closed"),AND(ISNUMBER(AF603),AF603&lt;&gt;0,TRIM(U603)&lt;&gt;"Pass after CA"))),1,0),1)</f>
        <v>0</v>
      </c>
      <c r="AM603" s="61" t="n">
        <f aca="false">IF(LEFT(AH603,7)="INVALID",1,0)</f>
        <v>0</v>
      </c>
      <c r="AN603" s="61" t="n">
        <f aca="false">IF(AND(N603="Clarification required",AI603=1,AJ603=0),1,0)</f>
        <v>0</v>
      </c>
      <c r="AO603" s="61" t="str">
        <f aca="false">IF(AK603=1,SUM(AK$5:AK603),"")</f>
        <v/>
      </c>
      <c r="AP603" s="61" t="str">
        <f aca="false">IF(AL603=1,SUM(AL$5:AL603),"")</f>
        <v/>
      </c>
      <c r="AQ603" s="61" t="n">
        <v>0</v>
      </c>
      <c r="AR603" s="61" t="n">
        <v>0</v>
      </c>
      <c r="AS603" s="61" t="n">
        <v>0</v>
      </c>
      <c r="AT603" s="61" t="n">
        <v>0</v>
      </c>
      <c r="AU603" s="61" t="str">
        <f aca="false">SUBSTITUTE(SUBSTITUTE(SUBSTITUTE(SUBSTITUTE(SUBSTITUTE(SUBSTITUTE(SUBSTITUTE(SUBSTITUTE(SUBSTITUTE(SUBSTITUTE(SUBSTITUTE(SUBSTITUTE(SUBSTITUTE(SUBSTITUTE(SUBSTITUTE(SUBSTITUTE(LOWER(T603&amp;""),CHAR(10),""),CHAR(13),""),CHAR(9),""),CHAR(160),"")," ",""),".",""),"-",""),"/",""),"?",""),"_",""),",",""),"[",""),"]",""),"(",""),")",""),"*","")</f>
        <v/>
      </c>
      <c r="AV603" s="61" t="str">
        <f aca="false">SUBSTITUTE(SUBSTITUTE(SUBSTITUTE(SUBSTITUTE(SUBSTITUTE(SUBSTITUTE(SUBSTITUTE(SUBSTITUTE(SUBSTITUTE(SUBSTITUTE(SUBSTITUTE(SUBSTITUTE(SUBSTITUTE(SUBSTITUTE(SUBSTITUTE(SUBSTITUTE(LOWER(V603&amp;""),CHAR(10),""),CHAR(13),""),CHAR(9),""),CHAR(160),"")," ",""),".",""),"-",""),"/",""),"?",""),"_",""),",",""),"[",""),"]",""),"(",""),")",""),"*","")</f>
        <v/>
      </c>
      <c r="AW603" s="61" t="str">
        <f aca="false">SUBSTITUTE(SUBSTITUTE(SUBSTITUTE(SUBSTITUTE(SUBSTITUTE(SUBSTITUTE(SUBSTITUTE(SUBSTITUTE(SUBSTITUTE(SUBSTITUTE(SUBSTITUTE(SUBSTITUTE(SUBSTITUTE(SUBSTITUTE(SUBSTITUTE(SUBSTITUTE(LOWER(Z603&amp;""),CHAR(10),""),CHAR(13),""),CHAR(9),""),CHAR(160),"")," ",""),".",""),"-",""),"/",""),"?",""),"_",""),",",""),"[",""),"]",""),"(",""),")",""),"*","")</f>
        <v/>
      </c>
      <c r="AX603" s="61" t="str">
        <f aca="false">SUBSTITUTE(SUBSTITUTE(SUBSTITUTE(SUBSTITUTE(SUBSTITUTE(SUBSTITUTE(SUBSTITUTE(SUBSTITUTE(SUBSTITUTE(SUBSTITUTE(SUBSTITUTE(SUBSTITUTE(SUBSTITUTE(SUBSTITUTE(SUBSTITUTE(SUBSTITUTE(LOWER(AE603&amp;""),CHAR(10),""),CHAR(13),""),CHAR(9),""),CHAR(160),"")," ",""),".",""),"-",""),"/",""),"?",""),"_",""),",",""),"[",""),"]",""),"(",""),")",""),"*","")</f>
        <v/>
      </c>
      <c r="AY603" s="61" t="str">
        <f aca="false">SUBSTITUTE(SUBSTITUTE(SUBSTITUTE(SUBSTITUTE(SUBSTITUTE(SUBSTITUTE(SUBSTITUTE(SUBSTITUTE(SUBSTITUTE(SUBSTITUTE(SUBSTITUTE(SUBSTITUTE(SUBSTITUTE(SUBSTITUTE(SUBSTITUTE(SUBSTITUTE(LOWER(W603&amp;""),CHAR(10),""),CHAR(13),""),CHAR(9),""),CHAR(160),"")," ",""),".",""),"-",""),"/",""),"?",""),"_",""),",",""),"[",""),"]",""),"(",""),")",""),"*","")</f>
        <v/>
      </c>
      <c r="AZ603" s="61" t="str">
        <f aca="false">SUBSTITUTE(SUBSTITUTE(SUBSTITUTE(SUBSTITUTE(SUBSTITUTE(SUBSTITUTE(SUBSTITUTE(SUBSTITUTE(SUBSTITUTE(SUBSTITUTE(SUBSTITUTE(SUBSTITUTE(SUBSTITUTE(SUBSTITUTE(SUBSTITUTE(SUBSTITUTE(LOWER(AC603&amp;""),CHAR(10),""),CHAR(13),""),CHAR(9),""),CHAR(160),"")," ",""),".",""),"-",""),"/",""),"?",""),"_",""),",",""),"[",""),"]",""),"(",""),")",""),"*","")</f>
        <v/>
      </c>
      <c r="BA603" s="61" t="str">
        <f aca="false">SUBSTITUTE(SUBSTITUTE(SUBSTITUTE(SUBSTITUTE(SUBSTITUTE(SUBSTITUTE(SUBSTITUTE(SUBSTITUTE(SUBSTITUTE(SUBSTITUTE(SUBSTITUTE(SUBSTITUTE(SUBSTITUTE(SUBSTITUTE(SUBSTITUTE(SUBSTITUTE(LOWER(AA603&amp;""),CHAR(10),""),CHAR(13),""),CHAR(9),""),CHAR(160),"")," ",""),".",""),"-",""),"/",""),"?",""),"_",""),",",""),"[",""),"]",""),"(",""),")",""),"*","")</f>
        <v/>
      </c>
      <c r="BB603" s="61" t="str">
        <f aca="false">IF(AND(TRIM(U603)="Pass",ISNUMBER(AF603)),IF(AF603&lt;&gt;0,"INVALID – qty variance: use Fail or Pass after CA",""),"")&amp;IF(AND(TRIM(U603)="Pass after CA",ISNUMBER(AF603)),IF(AF603&lt;&gt;0,"INVALID – after the corrective action the actual qty must equal expected (update Actual)",""),"")&amp;IF(AND(TRIM(U603)="Pass",TRIM(AB603)&lt;&gt;"",TRIM(AB603)&lt;&gt;"Closed"),"INVALID – corrective action not closed: use Fail, then Pass after CA","")&amp;IF(AND(LEN(BA603)&gt;=2,ISNA(MATCH(LEFT(BA603,255),L_Placeholder,0)),TRIM(AB603)=""),"INVALID – CA status missing for the recorded corrective action","")&amp;IF(AND(TRIM(U603)="Pass after CA",OR(OR(LEN(BA603)&lt;5,ISNUMBER(MATCH(BA603,L_Placeholder,0))),TRIM(AB603)&lt;&gt;"Closed")),"INVALID – corrective action not recorded/closed","")</f>
        <v/>
      </c>
      <c r="BC603" s="61" t="str">
        <f aca="false">" "&amp;TRIM(SUBSTITUTE(SUBSTITUTE(SUBSTITUTE(SUBSTITUTE(SUBSTITUTE(SUBSTITUTE(SUBSTITUTE(SUBSTITUTE(SUBSTITUTE(SUBSTITUTE(SUBSTITUTE(SUBSTITUTE(SUBSTITUTE(SUBSTITUTE(SUBSTITUTE(SUBSTITUTE(SUBSTITUTE(SUBSTITUTE(SUBSTITUTE(SUBSTITUTE(SUBSTITUTE(SUBSTITUTE(SUBSTITUTE(SUBSTITUTE(LOWER(V603&amp;""),CHAR(10)," "),CHAR(13)," "),CHAR(9)," "),CHAR(160)," "),"."," "),","," "),"-"," "),"/"," "),"("," "),")"," "),":"," "),";"," "),"_"," "),"–"," "),"?"," "),"!"," "),"*"," "),"["," "),"]"," "),"'"," "),"#"," "),"+"," "),"&amp;"," "),"\"," "))&amp;" "</f>
        <v>  </v>
      </c>
      <c r="BD603" s="61" t="str">
        <f aca="false">" "&amp;TRIM(SUBSTITUTE(SUBSTITUTE(SUBSTITUTE(SUBSTITUTE(SUBSTITUTE(SUBSTITUTE(SUBSTITUTE(SUBSTITUTE(SUBSTITUTE(SUBSTITUTE(SUBSTITUTE(SUBSTITUTE(SUBSTITUTE(SUBSTITUTE(SUBSTITUTE(SUBSTITUTE(SUBSTITUTE(SUBSTITUTE(SUBSTITUTE(SUBSTITUTE(SUBSTITUTE(SUBSTITUTE(SUBSTITUTE(SUBSTITUTE(LOWER(Z603&amp;""),CHAR(10)," "),CHAR(13)," "),CHAR(9)," "),CHAR(160)," "),"."," "),","," "),"-"," "),"/"," "),"("," "),")"," "),":"," "),";"," "),"_"," "),"–"," "),"?"," "),"!"," "),"*"," "),"["," "),"]"," "),"'"," "),"#"," "),"+"," "),"&amp;"," "),"\"," "))&amp;" "</f>
        <v>  </v>
      </c>
      <c r="BE603" s="61" t="str">
        <f aca="false">" "&amp;TRIM(SUBSTITUTE(SUBSTITUTE(SUBSTITUTE(SUBSTITUTE(SUBSTITUTE(SUBSTITUTE(SUBSTITUTE(SUBSTITUTE(SUBSTITUTE(SUBSTITUTE(SUBSTITUTE(SUBSTITUTE(SUBSTITUTE(SUBSTITUTE(SUBSTITUTE(SUBSTITUTE(SUBSTITUTE(SUBSTITUTE(SUBSTITUTE(SUBSTITUTE(SUBSTITUTE(SUBSTITUTE(SUBSTITUTE(SUBSTITUTE(LOWER(W603&amp;""),CHAR(10)," "),CHAR(13)," "),CHAR(9)," "),CHAR(160)," "),"."," "),","," "),"-"," "),"/"," "),"("," "),")"," "),":"," "),";"," "),"_"," "),"–"," "),"?"," "),"!"," "),"*"," "),"["," "),"]"," "),"'"," "),"#"," "),"+"," "),"&amp;"," "),"\"," "))&amp;" "</f>
        <v>  </v>
      </c>
      <c r="BF603" s="61" t="str">
        <f aca="false">" "&amp;TRIM(SUBSTITUTE(SUBSTITUTE(SUBSTITUTE(SUBSTITUTE(SUBSTITUTE(SUBSTITUTE(SUBSTITUTE(SUBSTITUTE(SUBSTITUTE(SUBSTITUTE(SUBSTITUTE(SUBSTITUTE(SUBSTITUTE(SUBSTITUTE(SUBSTITUTE(SUBSTITUTE(SUBSTITUTE(SUBSTITUTE(SUBSTITUTE(SUBSTITUTE(SUBSTITUTE(SUBSTITUTE(SUBSTITUTE(SUBSTITUTE(LOWER(AC603&amp;""),CHAR(10)," "),CHAR(13)," "),CHAR(9)," "),CHAR(160)," "),"."," "),","," "),"-"," "),"/"," "),"("," "),")"," "),":"," "),";"," "),"_"," "),"–"," "),"?"," "),"!"," "),"*"," "),"["," "),"]"," "),"'"," "),"#"," "),"+"," "),"&amp;"," "),"\"," "))&amp;" "</f>
        <v>  </v>
      </c>
      <c r="BG603" s="61" t="n">
        <f aca="false">IFERROR(IF(AND(TRIM(U603)="Pass",SUMPRODUCT((LEN(BC603)-LEN(SUBSTITUTE(BC603," "&amp;L_ResultBad&amp;" "," ")))/(LEN(L_ResultBad)+1))&gt;SUMPRODUCT((LEN(BC603)-LEN(SUBSTITUTE(BC603," "&amp;L_NegPhrase&amp;" "," ")))/(LEN(L_NegPhrase)+1))),1,0),0)</f>
        <v>0</v>
      </c>
      <c r="BH603" s="61" t="n">
        <f aca="false">IFERROR(IF(SUMPRODUCT((LEN(BC603)-LEN(SUBSTITUTE(BC603," "&amp;L_Pending&amp;" "," ")))/(LEN(L_Pending)+1))&gt;SUMPRODUCT((LEN(BC603)-LEN(SUBSTITUTE(BC603," "&amp;L_PendNeg&amp;" "," ")))/(LEN(L_PendNeg)+1))+SUMPRODUCT((LEN(BC603)-LEN(SUBSTITUTE(BC603," "&amp;L_PendPrep&amp;" "," ")))/(LEN(L_PendPrep)+1)),1,0),1)</f>
        <v>0</v>
      </c>
      <c r="BI603" s="61" t="n">
        <f aca="false">IFERROR(IF(SUMPRODUCT((LEN(BD603)-LEN(SUBSTITUTE(BD603," "&amp;L_PendStrict&amp;" "," ")))/(LEN(L_PendStrict)+1))&gt;SUMPRODUCT((LEN(BD603)-LEN(SUBSTITUTE(BD603," "&amp;L_PendNeg&amp;" "," ")))/(LEN(L_PendNeg)+1)),1,0),1)</f>
        <v>0</v>
      </c>
      <c r="BJ603" s="61" t="n">
        <f aca="false">IFERROR(IF(SUMPRODUCT((LEN(BE603)-LEN(SUBSTITUTE(BE603," "&amp;L_Pending&amp;" "," ")))/(LEN(L_Pending)+1))&gt;SUMPRODUCT((LEN(BE603)-LEN(SUBSTITUTE(BE603," "&amp;L_PendNeg&amp;" "," ")))/(LEN(L_PendNeg)+1))+SUMPRODUCT((LEN(BE603)-LEN(SUBSTITUTE(BE603," "&amp;L_PendPrep&amp;" "," ")))/(LEN(L_PendPrep)+1)),1,0),1)</f>
        <v>0</v>
      </c>
      <c r="BK603" s="61" t="n">
        <f aca="false">IFERROR(IF(SUMPRODUCT((LEN(BF603)-LEN(SUBSTITUTE(BF603," "&amp;L_PendStrict&amp;" "," ")))/(LEN(L_PendStrict)+1))&gt;SUMPRODUCT((LEN(BF603)-LEN(SUBSTITUTE(BF603," "&amp;L_PendNeg&amp;" "," ")))/(LEN(L_PendNeg)+1)),1,0),1)</f>
        <v>0</v>
      </c>
      <c r="BL603" s="61" t="n">
        <f aca="false">IF(ISNA(MATCH(TRIM(S603),L_EvidenceType,0)),0,BZ603)</f>
        <v>0</v>
      </c>
      <c r="BM603" s="61" t="str">
        <f aca="false">SUBSTITUTE(SUBSTITUTE(SUBSTITUTE(SUBSTITUTE(SUBSTITUTE(SUBSTITUTE(SUBSTITUTE(SUBSTITUTE(SUBSTITUTE(LOWER(Z603&amp;""),"1","0"),"2","0"),"3","0"),"4","0"),"5","0"),"6","0"),"7","0"),"8","0"),"9","0")</f>
        <v/>
      </c>
      <c r="BN603" s="61" t="str">
        <f aca="false">SUBSTITUTE(SUBSTITUTE(SUBSTITUTE(SUBSTITUTE(SUBSTITUTE(SUBSTITUTE(SUBSTITUTE(SUBSTITUTE(SUBSTITUTE(SUBSTITUTE(SUBSTITUTE(SUBSTITUTE(SUBSTITUTE(SUBSTITUTE(SUBSTITUTE(SUBSTITUTE(SUBSTITUTE(SUBSTITUTE(SUBSTITUTE(SUBSTITUTE(SUBSTITUTE(SUBSTITUTE(SUBSTITUTE(SUBSTITUTE(SUBSTITUTE(BM603,"b","a"),"c","a"),"d","a"),"e","a"),"f","a"),"g","a"),"h","a"),"i","a"),"j","a"),"k","a"),"l","a"),"m","a"),"n","a"),"o","a"),"p","a"),"q","a"),"r","a"),"s","a"),"t","a"),"u","a"),"v","a"),"w","a"),"x","a"),"y","a"),"z","a")</f>
        <v/>
      </c>
      <c r="BO603" s="61" t="str">
        <f aca="false">SUBSTITUTE(SUBSTITUTE(SUBSTITUTE(SUBSTITUTE(SUBSTITUTE(SUBSTITUTE(SUBSTITUTE(SUBSTITUTE(SUBSTITUTE(LOWER(W603&amp;""),"1","0"),"2","0"),"3","0"),"4","0"),"5","0"),"6","0"),"7","0"),"8","0"),"9","0")</f>
        <v/>
      </c>
      <c r="BP603" s="61" t="str">
        <f aca="false">SUBSTITUTE(SUBSTITUTE(SUBSTITUTE(SUBSTITUTE(SUBSTITUTE(SUBSTITUTE(SUBSTITUTE(SUBSTITUTE(SUBSTITUTE(SUBSTITUTE(SUBSTITUTE(SUBSTITUTE(SUBSTITUTE(SUBSTITUTE(SUBSTITUTE(SUBSTITUTE(SUBSTITUTE(SUBSTITUTE(SUBSTITUTE(SUBSTITUTE(SUBSTITUTE(SUBSTITUTE(SUBSTITUTE(SUBSTITUTE(SUBSTITUTE(BO603,"b","a"),"c","a"),"d","a"),"e","a"),"f","a"),"g","a"),"h","a"),"i","a"),"j","a"),"k","a"),"l","a"),"m","a"),"n","a"),"o","a"),"p","a"),"q","a"),"r","a"),"s","a"),"t","a"),"u","a"),"v","a"),"w","a"),"x","a"),"y","a"),"z","a")</f>
        <v/>
      </c>
      <c r="BQ603" s="61" t="n">
        <f aca="false">IFERROR(IF(AND(ISERROR(SEARCH(" mh"," "&amp;LOWER(W603))),ISNA(MATCH(LEFT(TRIM(BP603),255),{"0000a","000a","00a","0000aa","000aa","00aa","0aa","0000aaa","000aaa","00a00","0a00","0000-0000","00:00","a00","a0","00.00.0000","00/00/0000","00-00-0000","0000-00-00","0000/00/00","0000.00.00","00.00.00","00/00/00","00-00-00","0.00.0000","0/00/0000","0-00-0000"},0)),ISNA(MATCH(LEFT(TRIM(CA603),255),{"0000a","000a","00a","0000aa","000aa","00aa","0aa","0000aaa","000aaa","00a00","0a00","0000-0000","00:00","a00","a0","00.00.0000","00/00/0000","00-00-0000","0000-00-00","0000/00/00","0000.00.00","00.00.00","00/00/00","00-00-00","0.00.0000","0/00/0000","0-00-0000"},0)),LEN(CB603)&gt;=3,NOT(OR(SUBSTITUTE(CB603,"0","")="",AND(LEN(CB603)&gt;=4,CB603=REPT(LEFT(CB603),LEN(CB603))),ISNUMBER(MATCH(CB603,{"123","1234","12345","123456","1234567","12345678","0123","01234","012345","98765","987654","54321"},0)),AND(LEN(CB603)=8,LEFT(CB603,3)="202"))),OR(AND((LEN(CA603)-LEN(SUBSTITUTE(CA603,"a","")))&gt;=1,SUMPRODUCT(--ISNUMBER(SEARCH({"a0","a-0","a_0","a/0","a.0","a#0","0a","0-a","0_a","0/a"},BP603)))&gt;0),ISNUMBER(SEARCH("000000",BP603)))),1,0),0)</f>
        <v>0</v>
      </c>
      <c r="BR603" s="61" t="n">
        <f aca="false">IFERROR(LEN(SUBSTITUTE(CC603," ",""))-SUMPRODUCT((LEN(CC603)-LEN(SUBSTITUTE(CC603," "&amp;L_Role&amp;" "," ")))/(LEN(L_Role)+1)*LEN(L_Role)),0)</f>
        <v>0</v>
      </c>
      <c r="BS603" s="61" t="n">
        <f aca="false">IFERROR(LEN(SUBSTITUTE(CD603," ",""))-SUMPRODUCT((LEN(CD603)-LEN(SUBSTITUTE(CD603," "&amp;L_Role&amp;" "," ")))/(LEN(L_Role)+1)*LEN(L_Role)),0)</f>
        <v>0</v>
      </c>
      <c r="BT6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603,"revision",""),"version",""),"jan",""),"feb",""),"mar",""),"apr",""),"may",""),"jun",""),"jul",""),"aug",""),"sep",""),"oct",""),"nov",""),"dec",""),"utc",""),"gmt",""),"myt",""),"bst",""),"rev",""),"ver",""),"b","a"),"c","a"),"d","a"),"e","a"),"f","a"),"g","a"),"h","a"),"i","a"),"j","a"),"k","a"),"l","a"),"m","a"),"n","a"),"o","a"),"p","a"),"q","a"),"r","a"),"s","a"),"t","a"),"u","a"),"v","a"),"w","a"),"x","a"),"y","a"),"z","a")</f>
        <v/>
      </c>
      <c r="BU603" s="61" t="str">
        <f aca="false">SUBSTITUTE(SUBSTITUTE(SUBSTITUTE(SUBSTITUTE(SUBSTITUTE(SUBSTITUTE(SUBSTITUTE(SUBSTITUTE(SUBSTITUTE(SUBSTITUTE(LEFT(BM603,FIND("0",BM603&amp;"0")-1),"-",""),"_",""),"/",""),".",""),"#",""),"\\",""),":","")," ",""),"(",""),")","")</f>
        <v/>
      </c>
      <c r="BV603" s="61" t="n">
        <f aca="false">0</f>
        <v>0</v>
      </c>
      <c r="BW6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603&amp;""),"a",""),"b",""),"c",""),"d",""),"e",""),"f",""),"g",""),"h",""),"i",""),"j",""),"k",""),"l",""),"m",""),"n",""),"o",""),"p",""),"q",""),"r",""),"s",""),"t",""),"u",""),"v",""),"w",""),"x",""),"y",""),"z",""),"-",""),"_",""),"/",""),".",""),"#",""),"\\",""),":","")," ",""),"(",""),")","")</f>
        <v/>
      </c>
      <c r="BX603" s="61" t="str">
        <f aca="false">SUBSTITUTE(SUBSTITUTE(SUBSTITUTE(SUBSTITUTE(SUBSTITUTE(SUBSTITUTE(SUBSTITUTE(SUBSTITUTE(SUBSTITUTE(SUBSTITUTE(SUBSTITUTE(BM603,"0",""),"-",""),"_",""),"/",""),".",""),"#",""),"\\",""),":","")," ",""),"(",""),")","")</f>
        <v/>
      </c>
      <c r="BY603" s="62" t="n">
        <f aca="false">Q603-T12EarlyH/24</f>
        <v>46321.6006944444</v>
      </c>
      <c r="BZ603" s="61" t="n">
        <f aca="false">IFERROR(IF(IF(TRIM(S603)="Link / file path",AND(LEN(TRIM(Z603))&gt;=5,SUMPRODUCT(--ISNUMBER(SEARCH({"http","www.","\\",":\",".pdf",".jpg",".jpeg",".png",".heic",".xls",".doc",".msg",".eml",".ppt",".txt",".zip"},Z603)))&gt;0),AND(ISERROR(FIND(" ",TRIM(Z603))),NOT(OR(SUMPRODUCT(--ISNUMBER(FIND({",",";","&amp;","+"},Z603)))&gt;0,SUMPRODUCT(--ISNUMBER(SEARCH({"0/aa","0\\aa"},BN603)))&gt;0)),NOT(SUMPRODUCT(--ISNUMBER(SEARCH({"http","www.","\\",":\",".pdf",".jpg",".jpeg",".png",".heic",".xls",".doc",".msg",".eml",".ppt",".txt",".zip"},Z603)))&gt;0),NOT(LOWER(TRIM(Z603))=LOWER(Flights!$F$22)),ISNA(MATCH(BU603,{"mh","rev","revision","ver","version","v","r","a","b","seat","tray","row","gate","bay","stand","page","pg","item","line","no","cart","galley","flight","flt","table","box","bag","oven","etd","eta","std","sta","atd","ata","qty","pax","x","time","tel","ph","mob","day","wk","week","utc","gmt","myt","lt"},0)),NOT(OR(ISNUMBER(MATCH(LEFT(BN603,255),{"0000a","000a","00a","0000aa","000aa","00aa","0aa","0000aaa","000aaa","00a00","0a00","0000-0000","00:00","a00","a0","00.00.0000","00/00/0000","00-00-0000","0000-00-00","0000/00/00","0000.00.00","00.00.00","00/00/00","00-00-00","0.00.0000","0/00/0000","0-00-0000"},0)),ISNUMBER(MATCH(LEFT(BT603,255),{"0000a","000a","00a","0000aa","000aa","00aa","0aa","0000aaa","000aaa","00a00","0a00","0000-0000","00:00","a00","a0","00.00.0000","00/00/0000","00-00-0000","0000-00-00","0000/00/00","0000.00.00","00.00.00","00/00/00","00-00-00","0.00.0000","0/00/0000","0-00-0000"},0)))),NOT(OR(AND(BW603&lt;&gt;"",SUBSTITUTE(BW603,"0","")=""),AND(LEN(BW603)&gt;=4,BW603=REPT(LEFT(BW603),LEN(BW603))),ISNUMBER(MATCH(BW603,{"123","1234","12345","123456","1234567","12345678","0123","01234","012345","98765","987654","54321"},0)),ISNUMBER(MATCH(BX603,{"x","xx","xxx","xxxx","xxxxx","abc","abcd","nil","na","nan","test","tbc","tba","tbd","dummy","sample","example","eg","zz","zzz","none","null","xyz","qwe","asd","id","ref"},0)),AND(LEN(BW603)=8,BX603="",OR(LEFT(BW603,3)="202",ISNUMBER(MATCH(RIGHT(BW603,4),{"2025","2026","2027"},0)))))),OR(AND((LEN(BT603)-LEN(SUBSTITUTE(BT603,"a","")))&gt;=1,(LEN(BN603)-LEN(SUBSTITUTE(BN603,"0","")))&gt;=2,SUMPRODUCT(--ISNUMBER(SEARCH({"a0","a-0","a_0","a/0","a.0","a#0","0a","0-a","0_a","0/a"},BN603)))&gt;0),AND((LEN(BN603)-LEN(SUBSTITUTE(BN603,"a","")))=0,(LEN(BN603)-LEN(SUBSTITUTE(BN603,"0","")))&gt;=5)))),1,0),0)</f>
        <v>0</v>
      </c>
      <c r="CA6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603,"revision",""),"version",""),"jan",""),"feb",""),"mar",""),"apr",""),"may",""),"jun",""),"jul",""),"aug",""),"sep",""),"oct",""),"nov",""),"dec",""),"utc",""),"gmt",""),"myt",""),"bst",""),"rev",""),"ver",""),"b","a"),"c","a"),"d","a"),"e","a"),"f","a"),"g","a"),"h","a"),"i","a"),"j","a"),"k","a"),"l","a"),"m","a"),"n","a"),"o","a"),"p","a"),"q","a"),"r","a"),"s","a"),"t","a"),"u","a"),"v","a"),"w","a"),"x","a"),"y","a"),"z","a")</f>
        <v/>
      </c>
      <c r="CB6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603&amp;""),"a",""),"b",""),"c",""),"d",""),"e",""),"f",""),"g",""),"h",""),"i",""),"j",""),"k",""),"l",""),"m",""),"n",""),"o",""),"p",""),"q",""),"r",""),"s",""),"t",""),"u",""),"v",""),"w",""),"x",""),"y",""),"z",""),"-",""),"_",""),"/",""),".",""),"#",""),"\\",""),":","")," ",""),"(",""),")","")</f>
        <v/>
      </c>
      <c r="CC603" s="0" t="str">
        <f aca="false">" "&amp;TRIM(SUBSTITUTE(SUBSTITUTE(SUBSTITUTE(SUBSTITUTE(SUBSTITUTE(SUBSTITUTE(SUBSTITUTE(SUBSTITUTE(SUBSTITUTE(SUBSTITUTE(SUBSTITUTE(SUBSTITUTE(SUBSTITUTE(SUBSTITUTE(SUBSTITUTE(SUBSTITUTE(SUBSTITUTE(SUBSTITUTE(SUBSTITUTE(SUBSTITUTE(SUBSTITUTE(SUBSTITUTE(SUBSTITUTE(SUBSTITUTE(LOWER(T603&amp;""),CHAR(10)," "),CHAR(13)," "),CHAR(9)," "),CHAR(160)," "),"."," "),","," "),"-"," "),"/"," "),"("," "),")"," "),":"," "),";"," "),"_"," "),"–"," "),"?"," "),"!"," "),"*"," "),"["," "),"]"," "),"'"," "),"#"," "),"+"," "),"&amp;"," "),"\"," "))&amp;" "</f>
        <v>  </v>
      </c>
      <c r="CD603" s="0" t="str">
        <f aca="false">" "&amp;TRIM(SUBSTITUTE(SUBSTITUTE(SUBSTITUTE(SUBSTITUTE(SUBSTITUTE(SUBSTITUTE(SUBSTITUTE(SUBSTITUTE(SUBSTITUTE(SUBSTITUTE(SUBSTITUTE(SUBSTITUTE(SUBSTITUTE(SUBSTITUTE(SUBSTITUTE(SUBSTITUTE(SUBSTITUTE(SUBSTITUTE(SUBSTITUTE(SUBSTITUTE(SUBSTITUTE(SUBSTITUTE(SUBSTITUTE(SUBSTITUTE(LOWER(AE603&amp;""),CHAR(10)," "),CHAR(13)," "),CHAR(9)," "),CHAR(160)," "),"."," "),","," "),"-"," "),"/"," "),"("," "),")"," "),":"," "),";"," "),"_"," "),"–"," "),"?"," "),"!"," "),"*"," "),"["," "),"]"," "),"'"," "),"#"," "),"+"," "),"&amp;"," "),"\"," "))&amp;" "</f>
        <v>  </v>
      </c>
      <c r="CE603" s="68" t="n">
        <f aca="false">IFERROR(IF(AND(LEN(AU603)&gt;0,LEN(AU603)=LEN(AX603),OR(TRIM(MID(SUBSTITUTE(TRIM(CC603)," ",REPT(" ",60)),1,60))="",ISNUMBER(SEARCH(" "&amp;TRIM(MID(SUBSTITUTE(TRIM(CC603)," ",REPT(" ",60)),1,60))&amp;" ",CD603))),OR(TRIM(MID(SUBSTITUTE(TRIM(CC603)," ",REPT(" ",60)),61,60))="",ISNUMBER(SEARCH(" "&amp;TRIM(MID(SUBSTITUTE(TRIM(CC603)," ",REPT(" ",60)),61,60))&amp;" ",CD603))),OR(TRIM(MID(SUBSTITUTE(TRIM(CC603)," ",REPT(" ",60)),121,60))="",ISNUMBER(SEARCH(" "&amp;TRIM(MID(SUBSTITUTE(TRIM(CC603)," ",REPT(" ",60)),121,60))&amp;" ",CD603)))),1,0),0)</f>
        <v>0</v>
      </c>
      <c r="CG603" s="68" t="n">
        <f aca="false">IFERROR(LEN(SUBSTITUTE(BF603," ",""))-SUMPRODUCT((LEN(BF603)-LEN(SUBSTITUTE(BF603," "&amp;L_NAFiller&amp;" "," ")))/(LEN(L_NAFiller)+1)*LEN(L_NAFiller)),0)</f>
        <v>0</v>
      </c>
    </row>
    <row r="604" customFormat="false" ht="39.75" hidden="false" customHeight="true" outlineLevel="0" collapsed="false">
      <c r="A604" s="57" t="s">
        <v>1313</v>
      </c>
      <c r="B604" s="57" t="s">
        <v>293</v>
      </c>
      <c r="C604" s="57" t="str">
        <f aca="false">Flights!$F$22</f>
        <v>MH0052</v>
      </c>
      <c r="D604" s="58" t="n">
        <f aca="false">Flights!$D$22</f>
        <v>46322</v>
      </c>
      <c r="E604" s="57" t="str">
        <f aca="false">Flights!$G$22&amp;"-"&amp;Flights!$H$22</f>
        <v>KUL-KIX</v>
      </c>
      <c r="F604" s="57" t="str">
        <f aca="false">Flights!$K$22</f>
        <v>BC</v>
      </c>
      <c r="G604" s="57" t="s">
        <v>459</v>
      </c>
      <c r="H604" s="57" t="s">
        <v>460</v>
      </c>
      <c r="I604" s="57" t="s">
        <v>379</v>
      </c>
      <c r="J604" s="57" t="s">
        <v>461</v>
      </c>
      <c r="K604" s="67" t="s">
        <v>426</v>
      </c>
      <c r="L604" s="67" t="s">
        <v>462</v>
      </c>
      <c r="M604" s="67"/>
      <c r="N604" s="67" t="s">
        <v>383</v>
      </c>
      <c r="O604" s="67" t="s">
        <v>463</v>
      </c>
      <c r="P604" s="57" t="s">
        <v>187</v>
      </c>
      <c r="Q604" s="59" t="n">
        <f aca="false">ROUND((Flights!$AF$22)*1440,0)/1440</f>
        <v>46322.6006944444</v>
      </c>
      <c r="R604" s="59" t="n">
        <f aca="false">Q604+(IF(AND(INDEX(TZ_DSTS,MATCH(P604,TZ_STN,0))&lt;&gt;"",Q604&gt;=INDEX(TZ_DSTS,MATCH(P604,TZ_STN,0)),Q604&lt;INDEX(TZ_DSTE,MATCH(P604,TZ_STN,0))),INDEX(TZ_DST,MATCH(P604,TZ_STN,0)),INDEX(TZ_STD,MATCH(P604,TZ_STN,0))))/24</f>
        <v>46322.9340277778</v>
      </c>
      <c r="S604" s="60"/>
      <c r="T604" s="60"/>
      <c r="U604" s="60"/>
      <c r="V604" s="60"/>
      <c r="W604" s="61"/>
      <c r="X604" s="60"/>
      <c r="Y604" s="60"/>
      <c r="Z604" s="60"/>
      <c r="AA604" s="60"/>
      <c r="AB604" s="60"/>
      <c r="AC604" s="60"/>
      <c r="AD604" s="66"/>
      <c r="AE604" s="60"/>
      <c r="AF604" s="61" t="str">
        <f aca="false">IF(AND(ISNUMBER(X604),ISNUMBER(Y604)),Y604-X604,"")</f>
        <v/>
      </c>
      <c r="AG604" s="62" t="str">
        <f aca="false">IF(ISNUMBER(AD604),AD604-(IF(AND(INDEX(TZ_DSTS,MATCH(P604,TZ_STN,0))&lt;&gt;"",(AD604-INDEX(TZ_STD,MATCH(P604,TZ_STN,0))/24)&gt;=INDEX(TZ_DSTS,MATCH(P604,TZ_STN,0)),(AD604-INDEX(TZ_STD,MATCH(P604,TZ_STN,0))/24)&lt;INDEX(TZ_DSTE,MATCH(P604,TZ_STN,0))),INDEX(TZ_DST,MATCH(P604,TZ_STN,0)),INDEX(TZ_STD,MATCH(P604,TZ_STN,0))))/24,"")</f>
        <v/>
      </c>
      <c r="AH604" s="65" t="str">
        <f aca="false">IFERROR(IF(N604="N/A – rule",IF(OR(TRIM(U604)="",TRIM(U604)="N/A",TRIM(U604)="Not started"),"N/A – RULE","INVALID – this check does not apply to this aircraft: clear the status (or correct the fleet on Flights)"),IF(TRIM(U604)="N/A",IF(AT604=0,"INVALID – N/A not permitted for this check",IF(AND(TRIM(AB604)&lt;&gt;"",TRIM(AB604)&lt;&gt;"Closed"),"INVALID – corrective action still open",IF(AND(NOT(OR(LEN(AZ604)&lt;15,ISNUMBER(MATCH(AZ604,L_Placeholder,0)))),BK604=0,CG604&gt;=8,NOT(OR(LEN(AU604)&lt;2,ISNUMBER(MATCH(AU604,L_Placeholder,0)))),BR604&gt;=3,NOT(OR(LEN(AX604)&lt;2,ISNUMBER(MATCH(AX604,L_Placeholder,0)))),BS604&gt;=3,TRIM(AE604)&lt;&gt;TRIM(T604),AX604&lt;&gt;AU604,CE604=0),"N/A – JUSTIFIED","INVALID – N/A needs a real, settled reason (not 'not applicable' / 'as above' / TBC), a named PIC and a different named verifier"))),IF(OR(TRIM(U604)="Pass",TRIM(U604)="Pass after CA"),IF(NOT(ISNUMBER(AD604)),"INVALID – completion time missing",IF(OR(OR(LEN(AU604)&lt;2,ISNUMBER(MATCH(AU604,L_Placeholder,0))),BR604&lt;3),"INVALID – PIC missing or not a named person (a role such as QA / CSM is not a name)",IF(OR(LEN(AV604)&lt;2,ISNUMBER(MATCH(AV604,L_Placeholder,0))),"INVALID – result / assessment missing",IF(OR(OR(LEN(AW604)&lt;3,ISNUMBER(MATCH(AW604,L_Placeholder,0))),SUMPRODUCT(--ISNUMBER(SEARCH(" "&amp;L_EvidencePhrase&amp;" ",BD604)))&gt;0,BI604=1),"INVALID – evidence missing, placeholder or not yet on file",IF(ISNA(MATCH(TRIM(S604),L_EvidenceType,0)),"INVALID – choose the evidence type from the list (column S)",IF(BL604=0,"INVALID – evidence ID must be the record's own ID only (e.g. SF-2210, IMG_2231, 1045521); a link / file name needs type 'Link / file path'",IF(OR(OR(LEN(AX604)&lt;2,ISNUMBER(MATCH(AX604,L_Placeholder,0))),BS604&lt;3),"INVALID – verifier missing or not a named person (a role such as QA / CSM is not a name)",IF(OR(AX604=AU604,CE604=1,AND(LEN(AU604)&gt;=4,ISNUMBER(SEARCH(AU604,AX604))),AND(LEN(AX604)&gt;=4,ISNUMBER(SEARCH(AX604,AU604)))),"INVALID – verifier must be a different, named person (not the PIC or a role)",IF(BH604=1,"INVALID – result not yet available (awaiting / TBC)",IF(BG604=1,"INVALID – result describes a problem: record Fail, then Pass after CA (or reword if it is not a problem)",IF(BV604=1,"INVALID – wording says not on board: an on-board confirmation needs the item loaded",IF(AND(AQ604=1,OR(OR(LEN(AY604)&lt;3,ISNUMBER(MATCH(AY604,L_Placeholder,0))),BJ604=1,BQ604=0)),"INVALID – batch ID missing, placeholder or not an ID (e.g. PASB-261008-BC-017)",IF(AND(AR604=1,OR(NOT(ISNUMBER(X604)),NOT(ISNUMBER(Y604)))),"INVALID – expected/actual qty missing",IF(AND(AR604=1,OR(X604&lt;=0,Y604&lt;0)),"INVALID – expected qty must be above 0 and actual not negative",IF(AH585="N/A – JUSTIFIED","INVALID – preparation row F18-T12-02 is N/A",IF(AND(AR604=1,ISNUMBER(X585),X604&lt;&gt;X585,TRIM(U604)&lt;&gt;"Pass after CA"),"INVALID – expected qty differs from preparation check F18-T12-02: record the load change as a corrective action (Pass after CA)",IF(BB604&lt;&gt;"",BB604,IF(AND(AS604=1,Documents!$J$22&lt;&gt;"ON FILE"),"INVALID – GLD not on file (Documents sheet)",IF(AND(AS604=2,Documents!$O$22&lt;&gt;"ON FILE"),"INVALID – menu checklist not on file (Documents sheet)",IF(AND(AS604=3,NOT(ISNUMBER(Flights!$AX$22))),"INVALID – enter carrying flight KUL departure (Flights AX)",IF(AND(AS604=3,OR(Flights!$AZ$22&gt;Flights!$AA$22,Flights!$AX$22&lt;Flights!$AA$22-3)),"INVALID – carrying flight (Flights AX) cannot arrive before this leg's STD, or is over 3 days early",IF(AG604&gt;AsOfUTC,"INVALID – completion time is in the future",IF(AND(ISNUMBER(BY604),AG604&lt;BY604),IF(H604="Physical uplift","INVALID – before uplift window (cannot confirm loading)","INVALID – before valid window"),IF(AG604&gt;Flights!$AA$22,"INVALID – completed after departure (cannot establish readiness)",IF(AND(H604="Preparation",AG604&gt;=IF(ISNUMBER(Flights!$BA$22),MIN(Flights!$BA$22,Flights!$AA$22),Flights!$AA$22)),"INVALID – completed after loading / departure (cannot establish readiness)",IF(AND(H604="Physical uplift",AG604&gt;Q604),"INVALID – recorded after the loading flight departed",IF(AG604&gt;Q604,"COMPLETE – LATE","COMPLETE"))))))))))))))))))))))))))),IF(TRIM(U604)="Fail","FAIL – DISCREPANCY",IF(AND(TRIM(U604)&lt;&gt;"",TRIM(U604)&lt;&gt;"Not started",TRIM(U604)&lt;&gt;"In progress"),"INVALID – unrecognised status (use the list)",IF(AsOfUTC&gt;Q604,"OVERDUE",IF(N604="Clarification required","OPEN – CLARIFICATION","OPEN"))))))),"INVALID – error value in an input cell")</f>
        <v>OPEN</v>
      </c>
      <c r="AI604" s="61" t="n">
        <f aca="false">IF(OR(AH604="N/A – RULE",AH604="N/A – JUSTIFIED"),0,1)</f>
        <v>1</v>
      </c>
      <c r="AJ604" s="61" t="n">
        <f aca="false">IF(LEFT(AH604,8)="COMPLETE",1,0)</f>
        <v>0</v>
      </c>
      <c r="AK604" s="61" t="n">
        <f aca="false">IF(AND(AI604=1,AJ604=0,AsOfUTC&gt;Q604),1,0)</f>
        <v>0</v>
      </c>
      <c r="AL604" s="61" t="n">
        <f aca="false">IFERROR(IF(AND(AI604=1,OR(TRIM(U604)="Fail",AND(TRIM(AB604)&lt;&gt;"",TRIM(AB604)&lt;&gt;"Closed"),AND(ISNUMBER(AF604),AF604&lt;&gt;0,TRIM(U604)&lt;&gt;"Pass after CA"))),1,0),1)</f>
        <v>0</v>
      </c>
      <c r="AM604" s="61" t="n">
        <f aca="false">IF(LEFT(AH604,7)="INVALID",1,0)</f>
        <v>0</v>
      </c>
      <c r="AN604" s="61" t="n">
        <f aca="false">IF(AND(N604="Clarification required",AI604=1,AJ604=0),1,0)</f>
        <v>0</v>
      </c>
      <c r="AO604" s="61" t="str">
        <f aca="false">IF(AK604=1,SUM(AK$5:AK604),"")</f>
        <v/>
      </c>
      <c r="AP604" s="61" t="str">
        <f aca="false">IF(AL604=1,SUM(AL$5:AL604),"")</f>
        <v/>
      </c>
      <c r="AQ604" s="61" t="n">
        <v>0</v>
      </c>
      <c r="AR604" s="61" t="n">
        <v>1</v>
      </c>
      <c r="AS604" s="61" t="n">
        <v>0</v>
      </c>
      <c r="AT604" s="61" t="n">
        <v>0</v>
      </c>
      <c r="AU604" s="61" t="str">
        <f aca="false">SUBSTITUTE(SUBSTITUTE(SUBSTITUTE(SUBSTITUTE(SUBSTITUTE(SUBSTITUTE(SUBSTITUTE(SUBSTITUTE(SUBSTITUTE(SUBSTITUTE(SUBSTITUTE(SUBSTITUTE(SUBSTITUTE(SUBSTITUTE(SUBSTITUTE(SUBSTITUTE(LOWER(T604&amp;""),CHAR(10),""),CHAR(13),""),CHAR(9),""),CHAR(160),"")," ",""),".",""),"-",""),"/",""),"?",""),"_",""),",",""),"[",""),"]",""),"(",""),")",""),"*","")</f>
        <v/>
      </c>
      <c r="AV604" s="61" t="str">
        <f aca="false">SUBSTITUTE(SUBSTITUTE(SUBSTITUTE(SUBSTITUTE(SUBSTITUTE(SUBSTITUTE(SUBSTITUTE(SUBSTITUTE(SUBSTITUTE(SUBSTITUTE(SUBSTITUTE(SUBSTITUTE(SUBSTITUTE(SUBSTITUTE(SUBSTITUTE(SUBSTITUTE(LOWER(V604&amp;""),CHAR(10),""),CHAR(13),""),CHAR(9),""),CHAR(160),"")," ",""),".",""),"-",""),"/",""),"?",""),"_",""),",",""),"[",""),"]",""),"(",""),")",""),"*","")</f>
        <v/>
      </c>
      <c r="AW604" s="61" t="str">
        <f aca="false">SUBSTITUTE(SUBSTITUTE(SUBSTITUTE(SUBSTITUTE(SUBSTITUTE(SUBSTITUTE(SUBSTITUTE(SUBSTITUTE(SUBSTITUTE(SUBSTITUTE(SUBSTITUTE(SUBSTITUTE(SUBSTITUTE(SUBSTITUTE(SUBSTITUTE(SUBSTITUTE(LOWER(Z604&amp;""),CHAR(10),""),CHAR(13),""),CHAR(9),""),CHAR(160),"")," ",""),".",""),"-",""),"/",""),"?",""),"_",""),",",""),"[",""),"]",""),"(",""),")",""),"*","")</f>
        <v/>
      </c>
      <c r="AX604" s="61" t="str">
        <f aca="false">SUBSTITUTE(SUBSTITUTE(SUBSTITUTE(SUBSTITUTE(SUBSTITUTE(SUBSTITUTE(SUBSTITUTE(SUBSTITUTE(SUBSTITUTE(SUBSTITUTE(SUBSTITUTE(SUBSTITUTE(SUBSTITUTE(SUBSTITUTE(SUBSTITUTE(SUBSTITUTE(LOWER(AE604&amp;""),CHAR(10),""),CHAR(13),""),CHAR(9),""),CHAR(160),"")," ",""),".",""),"-",""),"/",""),"?",""),"_",""),",",""),"[",""),"]",""),"(",""),")",""),"*","")</f>
        <v/>
      </c>
      <c r="AY604" s="61" t="str">
        <f aca="false">SUBSTITUTE(SUBSTITUTE(SUBSTITUTE(SUBSTITUTE(SUBSTITUTE(SUBSTITUTE(SUBSTITUTE(SUBSTITUTE(SUBSTITUTE(SUBSTITUTE(SUBSTITUTE(SUBSTITUTE(SUBSTITUTE(SUBSTITUTE(SUBSTITUTE(SUBSTITUTE(LOWER(W604&amp;""),CHAR(10),""),CHAR(13),""),CHAR(9),""),CHAR(160),"")," ",""),".",""),"-",""),"/",""),"?",""),"_",""),",",""),"[",""),"]",""),"(",""),")",""),"*","")</f>
        <v/>
      </c>
      <c r="AZ604" s="61" t="str">
        <f aca="false">SUBSTITUTE(SUBSTITUTE(SUBSTITUTE(SUBSTITUTE(SUBSTITUTE(SUBSTITUTE(SUBSTITUTE(SUBSTITUTE(SUBSTITUTE(SUBSTITUTE(SUBSTITUTE(SUBSTITUTE(SUBSTITUTE(SUBSTITUTE(SUBSTITUTE(SUBSTITUTE(LOWER(AC604&amp;""),CHAR(10),""),CHAR(13),""),CHAR(9),""),CHAR(160),"")," ",""),".",""),"-",""),"/",""),"?",""),"_",""),",",""),"[",""),"]",""),"(",""),")",""),"*","")</f>
        <v/>
      </c>
      <c r="BA604" s="61" t="str">
        <f aca="false">SUBSTITUTE(SUBSTITUTE(SUBSTITUTE(SUBSTITUTE(SUBSTITUTE(SUBSTITUTE(SUBSTITUTE(SUBSTITUTE(SUBSTITUTE(SUBSTITUTE(SUBSTITUTE(SUBSTITUTE(SUBSTITUTE(SUBSTITUTE(SUBSTITUTE(SUBSTITUTE(LOWER(AA604&amp;""),CHAR(10),""),CHAR(13),""),CHAR(9),""),CHAR(160),"")," ",""),".",""),"-",""),"/",""),"?",""),"_",""),",",""),"[",""),"]",""),"(",""),")",""),"*","")</f>
        <v/>
      </c>
      <c r="BB604" s="61" t="str">
        <f aca="false">IF(AND(TRIM(U604)="Pass",ISNUMBER(AF604)),IF(AF604&lt;&gt;0,"INVALID – qty variance: use Fail or Pass after CA",""),"")&amp;IF(AND(TRIM(U604)="Pass after CA",ISNUMBER(AF604)),IF(AF604&lt;&gt;0,"INVALID – after the corrective action the actual qty must equal expected (update Actual)",""),"")&amp;IF(AND(TRIM(U604)="Pass",TRIM(AB604)&lt;&gt;"",TRIM(AB604)&lt;&gt;"Closed"),"INVALID – corrective action not closed: use Fail, then Pass after CA","")&amp;IF(AND(LEN(BA604)&gt;=2,ISNA(MATCH(LEFT(BA604,255),L_Placeholder,0)),TRIM(AB604)=""),"INVALID – CA status missing for the recorded corrective action","")&amp;IF(AND(TRIM(U604)="Pass after CA",OR(OR(LEN(BA604)&lt;5,ISNUMBER(MATCH(BA604,L_Placeholder,0))),TRIM(AB604)&lt;&gt;"Closed")),"INVALID – corrective action not recorded/closed","")</f>
        <v/>
      </c>
      <c r="BC604" s="61" t="str">
        <f aca="false">" "&amp;TRIM(SUBSTITUTE(SUBSTITUTE(SUBSTITUTE(SUBSTITUTE(SUBSTITUTE(SUBSTITUTE(SUBSTITUTE(SUBSTITUTE(SUBSTITUTE(SUBSTITUTE(SUBSTITUTE(SUBSTITUTE(SUBSTITUTE(SUBSTITUTE(SUBSTITUTE(SUBSTITUTE(SUBSTITUTE(SUBSTITUTE(SUBSTITUTE(SUBSTITUTE(SUBSTITUTE(SUBSTITUTE(SUBSTITUTE(SUBSTITUTE(LOWER(V604&amp;""),CHAR(10)," "),CHAR(13)," "),CHAR(9)," "),CHAR(160)," "),"."," "),","," "),"-"," "),"/"," "),"("," "),")"," "),":"," "),";"," "),"_"," "),"–"," "),"?"," "),"!"," "),"*"," "),"["," "),"]"," "),"'"," "),"#"," "),"+"," "),"&amp;"," "),"\"," "))&amp;" "</f>
        <v>  </v>
      </c>
      <c r="BD604" s="61" t="str">
        <f aca="false">" "&amp;TRIM(SUBSTITUTE(SUBSTITUTE(SUBSTITUTE(SUBSTITUTE(SUBSTITUTE(SUBSTITUTE(SUBSTITUTE(SUBSTITUTE(SUBSTITUTE(SUBSTITUTE(SUBSTITUTE(SUBSTITUTE(SUBSTITUTE(SUBSTITUTE(SUBSTITUTE(SUBSTITUTE(SUBSTITUTE(SUBSTITUTE(SUBSTITUTE(SUBSTITUTE(SUBSTITUTE(SUBSTITUTE(SUBSTITUTE(SUBSTITUTE(LOWER(Z604&amp;""),CHAR(10)," "),CHAR(13)," "),CHAR(9)," "),CHAR(160)," "),"."," "),","," "),"-"," "),"/"," "),"("," "),")"," "),":"," "),";"," "),"_"," "),"–"," "),"?"," "),"!"," "),"*"," "),"["," "),"]"," "),"'"," "),"#"," "),"+"," "),"&amp;"," "),"\"," "))&amp;" "</f>
        <v>  </v>
      </c>
      <c r="BE604" s="61" t="str">
        <f aca="false">" "&amp;TRIM(SUBSTITUTE(SUBSTITUTE(SUBSTITUTE(SUBSTITUTE(SUBSTITUTE(SUBSTITUTE(SUBSTITUTE(SUBSTITUTE(SUBSTITUTE(SUBSTITUTE(SUBSTITUTE(SUBSTITUTE(SUBSTITUTE(SUBSTITUTE(SUBSTITUTE(SUBSTITUTE(SUBSTITUTE(SUBSTITUTE(SUBSTITUTE(SUBSTITUTE(SUBSTITUTE(SUBSTITUTE(SUBSTITUTE(SUBSTITUTE(LOWER(W604&amp;""),CHAR(10)," "),CHAR(13)," "),CHAR(9)," "),CHAR(160)," "),"."," "),","," "),"-"," "),"/"," "),"("," "),")"," "),":"," "),";"," "),"_"," "),"–"," "),"?"," "),"!"," "),"*"," "),"["," "),"]"," "),"'"," "),"#"," "),"+"," "),"&amp;"," "),"\"," "))&amp;" "</f>
        <v>  </v>
      </c>
      <c r="BF604" s="61" t="str">
        <f aca="false">" "&amp;TRIM(SUBSTITUTE(SUBSTITUTE(SUBSTITUTE(SUBSTITUTE(SUBSTITUTE(SUBSTITUTE(SUBSTITUTE(SUBSTITUTE(SUBSTITUTE(SUBSTITUTE(SUBSTITUTE(SUBSTITUTE(SUBSTITUTE(SUBSTITUTE(SUBSTITUTE(SUBSTITUTE(SUBSTITUTE(SUBSTITUTE(SUBSTITUTE(SUBSTITUTE(SUBSTITUTE(SUBSTITUTE(SUBSTITUTE(SUBSTITUTE(LOWER(AC604&amp;""),CHAR(10)," "),CHAR(13)," "),CHAR(9)," "),CHAR(160)," "),"."," "),","," "),"-"," "),"/"," "),"("," "),")"," "),":"," "),";"," "),"_"," "),"–"," "),"?"," "),"!"," "),"*"," "),"["," "),"]"," "),"'"," "),"#"," "),"+"," "),"&amp;"," "),"\"," "))&amp;" "</f>
        <v>  </v>
      </c>
      <c r="BG604" s="61" t="n">
        <f aca="false">IFERROR(IF(AND(TRIM(U604)="Pass",SUMPRODUCT((LEN(BC604)-LEN(SUBSTITUTE(BC604," "&amp;L_ResultBad&amp;" "," ")))/(LEN(L_ResultBad)+1))&gt;SUMPRODUCT((LEN(BC604)-LEN(SUBSTITUTE(BC604," "&amp;L_NegPhrase&amp;" "," ")))/(LEN(L_NegPhrase)+1))),1,0),0)</f>
        <v>0</v>
      </c>
      <c r="BH604" s="61" t="n">
        <f aca="false">IFERROR(IF(SUMPRODUCT((LEN(BC604)-LEN(SUBSTITUTE(BC604," "&amp;L_Pending&amp;" "," ")))/(LEN(L_Pending)+1))&gt;SUMPRODUCT((LEN(BC604)-LEN(SUBSTITUTE(BC604," "&amp;L_PendNeg&amp;" "," ")))/(LEN(L_PendNeg)+1)),1,0),1)</f>
        <v>0</v>
      </c>
      <c r="BI604" s="61" t="n">
        <f aca="false">IFERROR(IF(SUMPRODUCT((LEN(BD604)-LEN(SUBSTITUTE(BD604," "&amp;L_PendStrict&amp;" "," ")))/(LEN(L_PendStrict)+1))&gt;SUMPRODUCT((LEN(BD604)-LEN(SUBSTITUTE(BD604," "&amp;L_PendNeg&amp;" "," ")))/(LEN(L_PendNeg)+1)),1,0),1)</f>
        <v>0</v>
      </c>
      <c r="BJ604" s="61" t="n">
        <f aca="false">IFERROR(IF(SUMPRODUCT((LEN(BE604)-LEN(SUBSTITUTE(BE604," "&amp;L_Pending&amp;" "," ")))/(LEN(L_Pending)+1))&gt;SUMPRODUCT((LEN(BE604)-LEN(SUBSTITUTE(BE604," "&amp;L_PendNeg&amp;" "," ")))/(LEN(L_PendNeg)+1)),1,0),1)</f>
        <v>0</v>
      </c>
      <c r="BK604" s="61" t="n">
        <f aca="false">IFERROR(IF(SUMPRODUCT((LEN(BF604)-LEN(SUBSTITUTE(BF604," "&amp;L_PendStrict&amp;" "," ")))/(LEN(L_PendStrict)+1))&gt;SUMPRODUCT((LEN(BF604)-LEN(SUBSTITUTE(BF604," "&amp;L_PendNeg&amp;" "," ")))/(LEN(L_PendNeg)+1)),1,0),1)</f>
        <v>0</v>
      </c>
      <c r="BL604" s="61" t="n">
        <f aca="false">IF(ISNA(MATCH(TRIM(S604),L_EvidenceType,0)),0,BZ604)</f>
        <v>0</v>
      </c>
      <c r="BM604" s="61" t="str">
        <f aca="false">SUBSTITUTE(SUBSTITUTE(SUBSTITUTE(SUBSTITUTE(SUBSTITUTE(SUBSTITUTE(SUBSTITUTE(SUBSTITUTE(SUBSTITUTE(LOWER(Z604&amp;""),"1","0"),"2","0"),"3","0"),"4","0"),"5","0"),"6","0"),"7","0"),"8","0"),"9","0")</f>
        <v/>
      </c>
      <c r="BN604" s="61" t="str">
        <f aca="false">SUBSTITUTE(SUBSTITUTE(SUBSTITUTE(SUBSTITUTE(SUBSTITUTE(SUBSTITUTE(SUBSTITUTE(SUBSTITUTE(SUBSTITUTE(SUBSTITUTE(SUBSTITUTE(SUBSTITUTE(SUBSTITUTE(SUBSTITUTE(SUBSTITUTE(SUBSTITUTE(SUBSTITUTE(SUBSTITUTE(SUBSTITUTE(SUBSTITUTE(SUBSTITUTE(SUBSTITUTE(SUBSTITUTE(SUBSTITUTE(SUBSTITUTE(BM604,"b","a"),"c","a"),"d","a"),"e","a"),"f","a"),"g","a"),"h","a"),"i","a"),"j","a"),"k","a"),"l","a"),"m","a"),"n","a"),"o","a"),"p","a"),"q","a"),"r","a"),"s","a"),"t","a"),"u","a"),"v","a"),"w","a"),"x","a"),"y","a"),"z","a")</f>
        <v/>
      </c>
      <c r="BO604" s="61" t="str">
        <f aca="false">SUBSTITUTE(SUBSTITUTE(SUBSTITUTE(SUBSTITUTE(SUBSTITUTE(SUBSTITUTE(SUBSTITUTE(SUBSTITUTE(SUBSTITUTE(LOWER(W604&amp;""),"1","0"),"2","0"),"3","0"),"4","0"),"5","0"),"6","0"),"7","0"),"8","0"),"9","0")</f>
        <v/>
      </c>
      <c r="BP604" s="61" t="str">
        <f aca="false">SUBSTITUTE(SUBSTITUTE(SUBSTITUTE(SUBSTITUTE(SUBSTITUTE(SUBSTITUTE(SUBSTITUTE(SUBSTITUTE(SUBSTITUTE(SUBSTITUTE(SUBSTITUTE(SUBSTITUTE(SUBSTITUTE(SUBSTITUTE(SUBSTITUTE(SUBSTITUTE(SUBSTITUTE(SUBSTITUTE(SUBSTITUTE(SUBSTITUTE(SUBSTITUTE(SUBSTITUTE(SUBSTITUTE(SUBSTITUTE(SUBSTITUTE(BO604,"b","a"),"c","a"),"d","a"),"e","a"),"f","a"),"g","a"),"h","a"),"i","a"),"j","a"),"k","a"),"l","a"),"m","a"),"n","a"),"o","a"),"p","a"),"q","a"),"r","a"),"s","a"),"t","a"),"u","a"),"v","a"),"w","a"),"x","a"),"y","a"),"z","a")</f>
        <v/>
      </c>
      <c r="BQ604" s="61" t="n">
        <f aca="false">IFERROR(IF(AND(ISERROR(SEARCH(" mh"," "&amp;LOWER(W604))),ISNA(MATCH(LEFT(TRIM(BP604),255),{"0000a","000a","00a","0000aa","000aa","00aa","0aa","0000aaa","000aaa","00a00","0a00","0000-0000","00:00","a00","a0","00.00.0000","00/00/0000","00-00-0000","0000-00-00","0000/00/00","0000.00.00","00.00.00","00/00/00","00-00-00","0.00.0000","0/00/0000","0-00-0000"},0)),ISNA(MATCH(LEFT(TRIM(CA604),255),{"0000a","000a","00a","0000aa","000aa","00aa","0aa","0000aaa","000aaa","00a00","0a00","0000-0000","00:00","a00","a0","00.00.0000","00/00/0000","00-00-0000","0000-00-00","0000/00/00","0000.00.00","00.00.00","00/00/00","00-00-00","0.00.0000","0/00/0000","0-00-0000"},0)),LEN(CB604)&gt;=3,NOT(OR(SUBSTITUTE(CB604,"0","")="",AND(LEN(CB604)&gt;=4,CB604=REPT(LEFT(CB604),LEN(CB604))),ISNUMBER(MATCH(CB604,{"123","1234","12345","123456","1234567","12345678","0123","01234","012345","98765","987654","54321"},0)),AND(LEN(CB604)=8,LEFT(CB604,3)="202"))),OR(AND((LEN(CA604)-LEN(SUBSTITUTE(CA604,"a","")))&gt;=1,SUMPRODUCT(--ISNUMBER(SEARCH({"a0","a-0","a_0","a/0","a.0","a#0","0a","0-a","0_a","0/a"},BP604)))&gt;0),ISNUMBER(SEARCH("000000",BP604)))),1,0),0)</f>
        <v>0</v>
      </c>
      <c r="BR604" s="61" t="n">
        <f aca="false">IFERROR(LEN(SUBSTITUTE(CC604," ",""))-SUMPRODUCT((LEN(CC604)-LEN(SUBSTITUTE(CC604," "&amp;L_Role&amp;" "," ")))/(LEN(L_Role)+1)*LEN(L_Role)),0)</f>
        <v>0</v>
      </c>
      <c r="BS604" s="61" t="n">
        <f aca="false">IFERROR(LEN(SUBSTITUTE(CD604," ",""))-SUMPRODUCT((LEN(CD604)-LEN(SUBSTITUTE(CD604," "&amp;L_Role&amp;" "," ")))/(LEN(L_Role)+1)*LEN(L_Role)),0)</f>
        <v>0</v>
      </c>
      <c r="BT6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604,"revision",""),"version",""),"jan",""),"feb",""),"mar",""),"apr",""),"may",""),"jun",""),"jul",""),"aug",""),"sep",""),"oct",""),"nov",""),"dec",""),"utc",""),"gmt",""),"myt",""),"bst",""),"rev",""),"ver",""),"b","a"),"c","a"),"d","a"),"e","a"),"f","a"),"g","a"),"h","a"),"i","a"),"j","a"),"k","a"),"l","a"),"m","a"),"n","a"),"o","a"),"p","a"),"q","a"),"r","a"),"s","a"),"t","a"),"u","a"),"v","a"),"w","a"),"x","a"),"y","a"),"z","a")</f>
        <v/>
      </c>
      <c r="BU604" s="61" t="str">
        <f aca="false">SUBSTITUTE(SUBSTITUTE(SUBSTITUTE(SUBSTITUTE(SUBSTITUTE(SUBSTITUTE(SUBSTITUTE(SUBSTITUTE(SUBSTITUTE(SUBSTITUTE(LEFT(BM604,FIND("0",BM604&amp;"0")-1),"-",""),"_",""),"/",""),".",""),"#",""),"\\",""),":","")," ",""),"(",""),")","")</f>
        <v/>
      </c>
      <c r="BV604" s="61" t="n">
        <f aca="false">IFERROR(IF(OR(SUMPRODUCT((LEN(BC604)-LEN(SUBSTITUTE(BC604," "&amp;L_NotLoaded&amp;" "," ")))/(LEN(L_NotLoaded)+1))&gt;SUMPRODUCT((LEN(BC604)-LEN(SUBSTITUTE(BC604," "&amp;L_NotLoadedNeg&amp;" "," ")))/(LEN(L_NotLoadedNeg)+1)),SUMPRODUCT((LEN(BD604)-LEN(SUBSTITUTE(BD604," "&amp;L_NotLoaded&amp;" "," ")))/(LEN(L_NotLoaded)+1))&gt;SUMPRODUCT((LEN(BD604)-LEN(SUBSTITUTE(BD604," "&amp;L_NotLoadedNeg&amp;" "," ")))/(LEN(L_NotLoadedNeg)+1))),1,0),0)</f>
        <v>0</v>
      </c>
      <c r="BW6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604&amp;""),"a",""),"b",""),"c",""),"d",""),"e",""),"f",""),"g",""),"h",""),"i",""),"j",""),"k",""),"l",""),"m",""),"n",""),"o",""),"p",""),"q",""),"r",""),"s",""),"t",""),"u",""),"v",""),"w",""),"x",""),"y",""),"z",""),"-",""),"_",""),"/",""),".",""),"#",""),"\\",""),":","")," ",""),"(",""),")","")</f>
        <v/>
      </c>
      <c r="BX604" s="61" t="str">
        <f aca="false">SUBSTITUTE(SUBSTITUTE(SUBSTITUTE(SUBSTITUTE(SUBSTITUTE(SUBSTITUTE(SUBSTITUTE(SUBSTITUTE(SUBSTITUTE(SUBSTITUTE(SUBSTITUTE(BM604,"0",""),"-",""),"_",""),"/",""),".",""),"#",""),"\\",""),":","")," ",""),"(",""),")","")</f>
        <v/>
      </c>
      <c r="BY604" s="62" t="n">
        <f aca="false">IF(ISNUMBER(Flights!$AZ$22),MAX(Q604-UpliftWindowH/24,Flights!$AZ$22),Q604-UpliftWindowH/24)</f>
        <v>46322.3506944444</v>
      </c>
      <c r="BZ604" s="61" t="n">
        <f aca="false">IFERROR(IF(IF(TRIM(S604)="Link / file path",AND(LEN(TRIM(Z604))&gt;=5,SUMPRODUCT(--ISNUMBER(SEARCH({"http","www.","\\",":\",".pdf",".jpg",".jpeg",".png",".heic",".xls",".doc",".msg",".eml",".ppt",".txt",".zip"},Z604)))&gt;0),AND(ISERROR(FIND(" ",TRIM(Z604))),NOT(OR(SUMPRODUCT(--ISNUMBER(FIND({",",";","&amp;","+"},Z604)))&gt;0,SUMPRODUCT(--ISNUMBER(SEARCH({"0/aa","0\\aa"},BN604)))&gt;0)),NOT(SUMPRODUCT(--ISNUMBER(SEARCH({"http","www.","\\",":\",".pdf",".jpg",".jpeg",".png",".heic",".xls",".doc",".msg",".eml",".ppt",".txt",".zip"},Z604)))&gt;0),NOT(LOWER(TRIM(Z604))=LOWER(Flights!$F$22)),ISNA(MATCH(BU604,{"mh","rev","revision","ver","version","v","r","a","b","seat","tray","row","gate","bay","stand","page","pg","item","line","no","cart","galley","flight","flt","table","box","bag","oven","etd","eta","std","sta","atd","ata","qty","pax","x","time","tel","ph","mob","day","wk","week","utc","gmt","myt","lt"},0)),NOT(OR(ISNUMBER(MATCH(LEFT(BN604,255),{"0000a","000a","00a","0000aa","000aa","00aa","0aa","0000aaa","000aaa","00a00","0a00","0000-0000","00:00","a00","a0","00.00.0000","00/00/0000","00-00-0000","0000-00-00","0000/00/00","0000.00.00","00.00.00","00/00/00","00-00-00","0.00.0000","0/00/0000","0-00-0000"},0)),ISNUMBER(MATCH(LEFT(BT604,255),{"0000a","000a","00a","0000aa","000aa","00aa","0aa","0000aaa","000aaa","00a00","0a00","0000-0000","00:00","a00","a0","00.00.0000","00/00/0000","00-00-0000","0000-00-00","0000/00/00","0000.00.00","00.00.00","00/00/00","00-00-00","0.00.0000","0/00/0000","0-00-0000"},0)))),NOT(OR(AND(BW604&lt;&gt;"",SUBSTITUTE(BW604,"0","")=""),AND(LEN(BW604)&gt;=4,BW604=REPT(LEFT(BW604),LEN(BW604))),ISNUMBER(MATCH(BW604,{"123","1234","12345","123456","1234567","12345678","0123","01234","012345","98765","987654","54321"},0)),ISNUMBER(MATCH(BX604,{"x","xx","xxx","xxxx","xxxxx","abc","abcd","nil","na","nan","test","tbc","tba","tbd","dummy","sample","example","eg","zz","zzz","none","null","xyz","qwe","asd","id","ref"},0)),AND(LEN(BW604)=8,BX604="",OR(LEFT(BW604,3)="202",ISNUMBER(MATCH(RIGHT(BW604,4),{"2025","2026","2027"},0)))))),OR(AND((LEN(BT604)-LEN(SUBSTITUTE(BT604,"a","")))&gt;=1,(LEN(BN604)-LEN(SUBSTITUTE(BN604,"0","")))&gt;=2,SUMPRODUCT(--ISNUMBER(SEARCH({"a0","a-0","a_0","a/0","a.0","a#0","0a","0-a","0_a","0/a"},BN604)))&gt;0),AND((LEN(BN604)-LEN(SUBSTITUTE(BN604,"a","")))=0,(LEN(BN604)-LEN(SUBSTITUTE(BN604,"0","")))&gt;=5)))),1,0),0)</f>
        <v>0</v>
      </c>
      <c r="CA6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604,"revision",""),"version",""),"jan",""),"feb",""),"mar",""),"apr",""),"may",""),"jun",""),"jul",""),"aug",""),"sep",""),"oct",""),"nov",""),"dec",""),"utc",""),"gmt",""),"myt",""),"bst",""),"rev",""),"ver",""),"b","a"),"c","a"),"d","a"),"e","a"),"f","a"),"g","a"),"h","a"),"i","a"),"j","a"),"k","a"),"l","a"),"m","a"),"n","a"),"o","a"),"p","a"),"q","a"),"r","a"),"s","a"),"t","a"),"u","a"),"v","a"),"w","a"),"x","a"),"y","a"),"z","a")</f>
        <v/>
      </c>
      <c r="CB6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604&amp;""),"a",""),"b",""),"c",""),"d",""),"e",""),"f",""),"g",""),"h",""),"i",""),"j",""),"k",""),"l",""),"m",""),"n",""),"o",""),"p",""),"q",""),"r",""),"s",""),"t",""),"u",""),"v",""),"w",""),"x",""),"y",""),"z",""),"-",""),"_",""),"/",""),".",""),"#",""),"\\",""),":","")," ",""),"(",""),")","")</f>
        <v/>
      </c>
      <c r="CC604" s="0" t="str">
        <f aca="false">" "&amp;TRIM(SUBSTITUTE(SUBSTITUTE(SUBSTITUTE(SUBSTITUTE(SUBSTITUTE(SUBSTITUTE(SUBSTITUTE(SUBSTITUTE(SUBSTITUTE(SUBSTITUTE(SUBSTITUTE(SUBSTITUTE(SUBSTITUTE(SUBSTITUTE(SUBSTITUTE(SUBSTITUTE(SUBSTITUTE(SUBSTITUTE(SUBSTITUTE(SUBSTITUTE(SUBSTITUTE(SUBSTITUTE(SUBSTITUTE(SUBSTITUTE(LOWER(T604&amp;""),CHAR(10)," "),CHAR(13)," "),CHAR(9)," "),CHAR(160)," "),"."," "),","," "),"-"," "),"/"," "),"("," "),")"," "),":"," "),";"," "),"_"," "),"–"," "),"?"," "),"!"," "),"*"," "),"["," "),"]"," "),"'"," "),"#"," "),"+"," "),"&amp;"," "),"\"," "))&amp;" "</f>
        <v>  </v>
      </c>
      <c r="CD604" s="0" t="str">
        <f aca="false">" "&amp;TRIM(SUBSTITUTE(SUBSTITUTE(SUBSTITUTE(SUBSTITUTE(SUBSTITUTE(SUBSTITUTE(SUBSTITUTE(SUBSTITUTE(SUBSTITUTE(SUBSTITUTE(SUBSTITUTE(SUBSTITUTE(SUBSTITUTE(SUBSTITUTE(SUBSTITUTE(SUBSTITUTE(SUBSTITUTE(SUBSTITUTE(SUBSTITUTE(SUBSTITUTE(SUBSTITUTE(SUBSTITUTE(SUBSTITUTE(SUBSTITUTE(LOWER(AE604&amp;""),CHAR(10)," "),CHAR(13)," "),CHAR(9)," "),CHAR(160)," "),"."," "),","," "),"-"," "),"/"," "),"("," "),")"," "),":"," "),";"," "),"_"," "),"–"," "),"?"," "),"!"," "),"*"," "),"["," "),"]"," "),"'"," "),"#"," "),"+"," "),"&amp;"," "),"\"," "))&amp;" "</f>
        <v>  </v>
      </c>
      <c r="CE604" s="68" t="n">
        <f aca="false">IFERROR(IF(AND(LEN(AU604)&gt;0,LEN(AU604)=LEN(AX604),OR(TRIM(MID(SUBSTITUTE(TRIM(CC604)," ",REPT(" ",60)),1,60))="",ISNUMBER(SEARCH(" "&amp;TRIM(MID(SUBSTITUTE(TRIM(CC604)," ",REPT(" ",60)),1,60))&amp;" ",CD604))),OR(TRIM(MID(SUBSTITUTE(TRIM(CC604)," ",REPT(" ",60)),61,60))="",ISNUMBER(SEARCH(" "&amp;TRIM(MID(SUBSTITUTE(TRIM(CC604)," ",REPT(" ",60)),61,60))&amp;" ",CD604))),OR(TRIM(MID(SUBSTITUTE(TRIM(CC604)," ",REPT(" ",60)),121,60))="",ISNUMBER(SEARCH(" "&amp;TRIM(MID(SUBSTITUTE(TRIM(CC604)," ",REPT(" ",60)),121,60))&amp;" ",CD604)))),1,0),0)</f>
        <v>0</v>
      </c>
      <c r="CG604" s="68" t="n">
        <f aca="false">IFERROR(LEN(SUBSTITUTE(BF604," ",""))-SUMPRODUCT((LEN(BF604)-LEN(SUBSTITUTE(BF604," "&amp;L_NAFiller&amp;" "," ")))/(LEN(L_NAFiller)+1)*LEN(L_NAFiller)),0)</f>
        <v>0</v>
      </c>
    </row>
    <row r="605" customFormat="false" ht="39.75" hidden="false" customHeight="true" outlineLevel="0" collapsed="false">
      <c r="A605" s="57" t="s">
        <v>1314</v>
      </c>
      <c r="B605" s="57" t="s">
        <v>293</v>
      </c>
      <c r="C605" s="57" t="str">
        <f aca="false">Flights!$F$22</f>
        <v>MH0052</v>
      </c>
      <c r="D605" s="58" t="n">
        <f aca="false">Flights!$D$22</f>
        <v>46322</v>
      </c>
      <c r="E605" s="57" t="str">
        <f aca="false">Flights!$G$22&amp;"-"&amp;Flights!$H$22</f>
        <v>KUL-KIX</v>
      </c>
      <c r="F605" s="57" t="str">
        <f aca="false">Flights!$K$22</f>
        <v>BC</v>
      </c>
      <c r="G605" s="57" t="s">
        <v>459</v>
      </c>
      <c r="H605" s="57" t="s">
        <v>460</v>
      </c>
      <c r="I605" s="57" t="s">
        <v>428</v>
      </c>
      <c r="J605" s="57" t="s">
        <v>465</v>
      </c>
      <c r="K605" s="67" t="s">
        <v>426</v>
      </c>
      <c r="L605" s="67" t="s">
        <v>462</v>
      </c>
      <c r="M605" s="67"/>
      <c r="N605" s="67" t="s">
        <v>383</v>
      </c>
      <c r="O605" s="67" t="s">
        <v>463</v>
      </c>
      <c r="P605" s="57" t="s">
        <v>187</v>
      </c>
      <c r="Q605" s="59" t="n">
        <f aca="false">ROUND((Flights!$AF$22)*1440,0)/1440</f>
        <v>46322.6006944444</v>
      </c>
      <c r="R605" s="59" t="n">
        <f aca="false">Q605+(IF(AND(INDEX(TZ_DSTS,MATCH(P605,TZ_STN,0))&lt;&gt;"",Q605&gt;=INDEX(TZ_DSTS,MATCH(P605,TZ_STN,0)),Q605&lt;INDEX(TZ_DSTE,MATCH(P605,TZ_STN,0))),INDEX(TZ_DST,MATCH(P605,TZ_STN,0)),INDEX(TZ_STD,MATCH(P605,TZ_STN,0))))/24</f>
        <v>46322.9340277778</v>
      </c>
      <c r="S605" s="60"/>
      <c r="T605" s="60"/>
      <c r="U605" s="60"/>
      <c r="V605" s="60"/>
      <c r="W605" s="61"/>
      <c r="X605" s="60"/>
      <c r="Y605" s="60"/>
      <c r="Z605" s="60"/>
      <c r="AA605" s="60"/>
      <c r="AB605" s="60"/>
      <c r="AC605" s="60"/>
      <c r="AD605" s="66"/>
      <c r="AE605" s="60"/>
      <c r="AF605" s="61" t="str">
        <f aca="false">IF(AND(ISNUMBER(X605),ISNUMBER(Y605)),Y605-X605,"")</f>
        <v/>
      </c>
      <c r="AG605" s="62" t="str">
        <f aca="false">IF(ISNUMBER(AD605),AD605-(IF(AND(INDEX(TZ_DSTS,MATCH(P605,TZ_STN,0))&lt;&gt;"",(AD605-INDEX(TZ_STD,MATCH(P605,TZ_STN,0))/24)&gt;=INDEX(TZ_DSTS,MATCH(P605,TZ_STN,0)),(AD605-INDEX(TZ_STD,MATCH(P605,TZ_STN,0))/24)&lt;INDEX(TZ_DSTE,MATCH(P605,TZ_STN,0))),INDEX(TZ_DST,MATCH(P605,TZ_STN,0)),INDEX(TZ_STD,MATCH(P605,TZ_STN,0))))/24,"")</f>
        <v/>
      </c>
      <c r="AH605" s="65" t="str">
        <f aca="false">IFERROR(IF(N605="N/A – rule",IF(OR(TRIM(U605)="",TRIM(U605)="N/A",TRIM(U605)="Not started"),"N/A – RULE","INVALID – this check does not apply to this aircraft: clear the status (or correct the fleet on Flights)"),IF(TRIM(U605)="N/A",IF(AT605=0,"INVALID – N/A not permitted for this check",IF(AND(TRIM(AB605)&lt;&gt;"",TRIM(AB605)&lt;&gt;"Closed"),"INVALID – corrective action still open",IF(AND(NOT(OR(LEN(AZ605)&lt;15,ISNUMBER(MATCH(AZ605,L_Placeholder,0)))),BK605=0,CG605&gt;=8,NOT(OR(LEN(AU605)&lt;2,ISNUMBER(MATCH(AU605,L_Placeholder,0)))),BR605&gt;=3,NOT(OR(LEN(AX605)&lt;2,ISNUMBER(MATCH(AX605,L_Placeholder,0)))),BS605&gt;=3,TRIM(AE605)&lt;&gt;TRIM(T605),AX605&lt;&gt;AU605,CE605=0),"N/A – JUSTIFIED","INVALID – N/A needs a real, settled reason (not 'not applicable' / 'as above' / TBC), a named PIC and a different named verifier"))),IF(OR(TRIM(U605)="Pass",TRIM(U605)="Pass after CA"),IF(NOT(ISNUMBER(AD605)),"INVALID – completion time missing",IF(OR(OR(LEN(AU605)&lt;2,ISNUMBER(MATCH(AU605,L_Placeholder,0))),BR605&lt;3),"INVALID – PIC missing or not a named person (a role such as QA / CSM is not a name)",IF(OR(LEN(AV605)&lt;2,ISNUMBER(MATCH(AV605,L_Placeholder,0))),"INVALID – result / assessment missing",IF(OR(OR(LEN(AW605)&lt;3,ISNUMBER(MATCH(AW605,L_Placeholder,0))),SUMPRODUCT(--ISNUMBER(SEARCH(" "&amp;L_EvidencePhrase&amp;" ",BD605)))&gt;0,BI605=1),"INVALID – evidence missing, placeholder or not yet on file",IF(ISNA(MATCH(TRIM(S605),L_EvidenceType,0)),"INVALID – choose the evidence type from the list (column S)",IF(BL605=0,"INVALID – evidence ID must be the record's own ID only (e.g. SF-2210, IMG_2231, 1045521); a link / file name needs type 'Link / file path'",IF(OR(OR(LEN(AX605)&lt;2,ISNUMBER(MATCH(AX605,L_Placeholder,0))),BS605&lt;3),"INVALID – verifier missing or not a named person (a role such as QA / CSM is not a name)",IF(OR(AX605=AU605,CE605=1,AND(LEN(AU605)&gt;=4,ISNUMBER(SEARCH(AU605,AX605))),AND(LEN(AX605)&gt;=4,ISNUMBER(SEARCH(AX605,AU605)))),"INVALID – verifier must be a different, named person (not the PIC or a role)",IF(BH605=1,"INVALID – result not yet available (awaiting / TBC)",IF(BG605=1,"INVALID – result describes a problem: record Fail, then Pass after CA (or reword if it is not a problem)",IF(BV605=1,"INVALID – wording says not on board: an on-board confirmation needs the item loaded",IF(AND(AQ605=1,OR(OR(LEN(AY605)&lt;3,ISNUMBER(MATCH(AY605,L_Placeholder,0))),BJ605=1,BQ605=0)),"INVALID – batch ID missing, placeholder or not an ID (e.g. PASB-261008-BC-017)",IF(AND(AR605=1,OR(NOT(ISNUMBER(X605)),NOT(ISNUMBER(Y605)))),"INVALID – expected/actual qty missing",IF(AND(AR605=1,OR(X605&lt;=0,Y605&lt;0)),"INVALID – expected qty must be above 0 and actual not negative",IF(AH589="N/A – JUSTIFIED","INVALID – preparation row F18-T12-06 is N/A",IF(AND(AR605=1,ISNUMBER(X589),X605&lt;&gt;X589,TRIM(U605)&lt;&gt;"Pass after CA"),"INVALID – expected qty differs from preparation check F18-T12-06: record the load change as a corrective action (Pass after CA)",IF(BB605&lt;&gt;"",BB605,IF(AND(AS605=1,Documents!$J$22&lt;&gt;"ON FILE"),"INVALID – GLD not on file (Documents sheet)",IF(AND(AS605=2,Documents!$O$22&lt;&gt;"ON FILE"),"INVALID – menu checklist not on file (Documents sheet)",IF(AND(AS605=3,NOT(ISNUMBER(Flights!$AX$22))),"INVALID – enter carrying flight KUL departure (Flights AX)",IF(AND(AS605=3,OR(Flights!$AZ$22&gt;Flights!$AA$22,Flights!$AX$22&lt;Flights!$AA$22-3)),"INVALID – carrying flight (Flights AX) cannot arrive before this leg's STD, or is over 3 days early",IF(AG605&gt;AsOfUTC,"INVALID – completion time is in the future",IF(AND(ISNUMBER(BY605),AG605&lt;BY605),IF(H605="Physical uplift","INVALID – before uplift window (cannot confirm loading)","INVALID – before valid window"),IF(AG605&gt;Flights!$AA$22,"INVALID – completed after departure (cannot establish readiness)",IF(AND(H605="Preparation",AG605&gt;=IF(ISNUMBER(Flights!$BA$22),MIN(Flights!$BA$22,Flights!$AA$22),Flights!$AA$22)),"INVALID – completed after loading / departure (cannot establish readiness)",IF(AND(H605="Physical uplift",AG605&gt;Q605),"INVALID – recorded after the loading flight departed",IF(AG605&gt;Q605,"COMPLETE – LATE","COMPLETE"))))))))))))))))))))))))))),IF(TRIM(U605)="Fail","FAIL – DISCREPANCY",IF(AND(TRIM(U605)&lt;&gt;"",TRIM(U605)&lt;&gt;"Not started",TRIM(U605)&lt;&gt;"In progress"),"INVALID – unrecognised status (use the list)",IF(AsOfUTC&gt;Q605,"OVERDUE",IF(N605="Clarification required","OPEN – CLARIFICATION","OPEN"))))))),"INVALID – error value in an input cell")</f>
        <v>OPEN</v>
      </c>
      <c r="AI605" s="61" t="n">
        <f aca="false">IF(OR(AH605="N/A – RULE",AH605="N/A – JUSTIFIED"),0,1)</f>
        <v>1</v>
      </c>
      <c r="AJ605" s="61" t="n">
        <f aca="false">IF(LEFT(AH605,8)="COMPLETE",1,0)</f>
        <v>0</v>
      </c>
      <c r="AK605" s="61" t="n">
        <f aca="false">IF(AND(AI605=1,AJ605=0,AsOfUTC&gt;Q605),1,0)</f>
        <v>0</v>
      </c>
      <c r="AL605" s="61" t="n">
        <f aca="false">IFERROR(IF(AND(AI605=1,OR(TRIM(U605)="Fail",AND(TRIM(AB605)&lt;&gt;"",TRIM(AB605)&lt;&gt;"Closed"),AND(ISNUMBER(AF605),AF605&lt;&gt;0,TRIM(U605)&lt;&gt;"Pass after CA"))),1,0),1)</f>
        <v>0</v>
      </c>
      <c r="AM605" s="61" t="n">
        <f aca="false">IF(LEFT(AH605,7)="INVALID",1,0)</f>
        <v>0</v>
      </c>
      <c r="AN605" s="61" t="n">
        <f aca="false">IF(AND(N605="Clarification required",AI605=1,AJ605=0),1,0)</f>
        <v>0</v>
      </c>
      <c r="AO605" s="61" t="str">
        <f aca="false">IF(AK605=1,SUM(AK$5:AK605),"")</f>
        <v/>
      </c>
      <c r="AP605" s="61" t="str">
        <f aca="false">IF(AL605=1,SUM(AL$5:AL605),"")</f>
        <v/>
      </c>
      <c r="AQ605" s="61" t="n">
        <v>0</v>
      </c>
      <c r="AR605" s="61" t="n">
        <v>1</v>
      </c>
      <c r="AS605" s="61" t="n">
        <v>0</v>
      </c>
      <c r="AT605" s="61" t="n">
        <v>0</v>
      </c>
      <c r="AU605" s="61" t="str">
        <f aca="false">SUBSTITUTE(SUBSTITUTE(SUBSTITUTE(SUBSTITUTE(SUBSTITUTE(SUBSTITUTE(SUBSTITUTE(SUBSTITUTE(SUBSTITUTE(SUBSTITUTE(SUBSTITUTE(SUBSTITUTE(SUBSTITUTE(SUBSTITUTE(SUBSTITUTE(SUBSTITUTE(LOWER(T605&amp;""),CHAR(10),""),CHAR(13),""),CHAR(9),""),CHAR(160),"")," ",""),".",""),"-",""),"/",""),"?",""),"_",""),",",""),"[",""),"]",""),"(",""),")",""),"*","")</f>
        <v/>
      </c>
      <c r="AV605" s="61" t="str">
        <f aca="false">SUBSTITUTE(SUBSTITUTE(SUBSTITUTE(SUBSTITUTE(SUBSTITUTE(SUBSTITUTE(SUBSTITUTE(SUBSTITUTE(SUBSTITUTE(SUBSTITUTE(SUBSTITUTE(SUBSTITUTE(SUBSTITUTE(SUBSTITUTE(SUBSTITUTE(SUBSTITUTE(LOWER(V605&amp;""),CHAR(10),""),CHAR(13),""),CHAR(9),""),CHAR(160),"")," ",""),".",""),"-",""),"/",""),"?",""),"_",""),",",""),"[",""),"]",""),"(",""),")",""),"*","")</f>
        <v/>
      </c>
      <c r="AW605" s="61" t="str">
        <f aca="false">SUBSTITUTE(SUBSTITUTE(SUBSTITUTE(SUBSTITUTE(SUBSTITUTE(SUBSTITUTE(SUBSTITUTE(SUBSTITUTE(SUBSTITUTE(SUBSTITUTE(SUBSTITUTE(SUBSTITUTE(SUBSTITUTE(SUBSTITUTE(SUBSTITUTE(SUBSTITUTE(LOWER(Z605&amp;""),CHAR(10),""),CHAR(13),""),CHAR(9),""),CHAR(160),"")," ",""),".",""),"-",""),"/",""),"?",""),"_",""),",",""),"[",""),"]",""),"(",""),")",""),"*","")</f>
        <v/>
      </c>
      <c r="AX605" s="61" t="str">
        <f aca="false">SUBSTITUTE(SUBSTITUTE(SUBSTITUTE(SUBSTITUTE(SUBSTITUTE(SUBSTITUTE(SUBSTITUTE(SUBSTITUTE(SUBSTITUTE(SUBSTITUTE(SUBSTITUTE(SUBSTITUTE(SUBSTITUTE(SUBSTITUTE(SUBSTITUTE(SUBSTITUTE(LOWER(AE605&amp;""),CHAR(10),""),CHAR(13),""),CHAR(9),""),CHAR(160),"")," ",""),".",""),"-",""),"/",""),"?",""),"_",""),",",""),"[",""),"]",""),"(",""),")",""),"*","")</f>
        <v/>
      </c>
      <c r="AY605" s="61" t="str">
        <f aca="false">SUBSTITUTE(SUBSTITUTE(SUBSTITUTE(SUBSTITUTE(SUBSTITUTE(SUBSTITUTE(SUBSTITUTE(SUBSTITUTE(SUBSTITUTE(SUBSTITUTE(SUBSTITUTE(SUBSTITUTE(SUBSTITUTE(SUBSTITUTE(SUBSTITUTE(SUBSTITUTE(LOWER(W605&amp;""),CHAR(10),""),CHAR(13),""),CHAR(9),""),CHAR(160),"")," ",""),".",""),"-",""),"/",""),"?",""),"_",""),",",""),"[",""),"]",""),"(",""),")",""),"*","")</f>
        <v/>
      </c>
      <c r="AZ605" s="61" t="str">
        <f aca="false">SUBSTITUTE(SUBSTITUTE(SUBSTITUTE(SUBSTITUTE(SUBSTITUTE(SUBSTITUTE(SUBSTITUTE(SUBSTITUTE(SUBSTITUTE(SUBSTITUTE(SUBSTITUTE(SUBSTITUTE(SUBSTITUTE(SUBSTITUTE(SUBSTITUTE(SUBSTITUTE(LOWER(AC605&amp;""),CHAR(10),""),CHAR(13),""),CHAR(9),""),CHAR(160),"")," ",""),".",""),"-",""),"/",""),"?",""),"_",""),",",""),"[",""),"]",""),"(",""),")",""),"*","")</f>
        <v/>
      </c>
      <c r="BA605" s="61" t="str">
        <f aca="false">SUBSTITUTE(SUBSTITUTE(SUBSTITUTE(SUBSTITUTE(SUBSTITUTE(SUBSTITUTE(SUBSTITUTE(SUBSTITUTE(SUBSTITUTE(SUBSTITUTE(SUBSTITUTE(SUBSTITUTE(SUBSTITUTE(SUBSTITUTE(SUBSTITUTE(SUBSTITUTE(LOWER(AA605&amp;""),CHAR(10),""),CHAR(13),""),CHAR(9),""),CHAR(160),"")," ",""),".",""),"-",""),"/",""),"?",""),"_",""),",",""),"[",""),"]",""),"(",""),")",""),"*","")</f>
        <v/>
      </c>
      <c r="BB605" s="61" t="str">
        <f aca="false">IF(AND(TRIM(U605)="Pass",ISNUMBER(AF605)),IF(AF605&lt;&gt;0,"INVALID – qty variance: use Fail or Pass after CA",""),"")&amp;IF(AND(TRIM(U605)="Pass after CA",ISNUMBER(AF605)),IF(AF605&lt;&gt;0,"INVALID – after the corrective action the actual qty must equal expected (update Actual)",""),"")&amp;IF(AND(TRIM(U605)="Pass",TRIM(AB605)&lt;&gt;"",TRIM(AB605)&lt;&gt;"Closed"),"INVALID – corrective action not closed: use Fail, then Pass after CA","")&amp;IF(AND(LEN(BA605)&gt;=2,ISNA(MATCH(LEFT(BA605,255),L_Placeholder,0)),TRIM(AB605)=""),"INVALID – CA status missing for the recorded corrective action","")&amp;IF(AND(TRIM(U605)="Pass after CA",OR(OR(LEN(BA605)&lt;5,ISNUMBER(MATCH(BA605,L_Placeholder,0))),TRIM(AB605)&lt;&gt;"Closed")),"INVALID – corrective action not recorded/closed","")</f>
        <v/>
      </c>
      <c r="BC605" s="61" t="str">
        <f aca="false">" "&amp;TRIM(SUBSTITUTE(SUBSTITUTE(SUBSTITUTE(SUBSTITUTE(SUBSTITUTE(SUBSTITUTE(SUBSTITUTE(SUBSTITUTE(SUBSTITUTE(SUBSTITUTE(SUBSTITUTE(SUBSTITUTE(SUBSTITUTE(SUBSTITUTE(SUBSTITUTE(SUBSTITUTE(SUBSTITUTE(SUBSTITUTE(SUBSTITUTE(SUBSTITUTE(SUBSTITUTE(SUBSTITUTE(SUBSTITUTE(SUBSTITUTE(LOWER(V605&amp;""),CHAR(10)," "),CHAR(13)," "),CHAR(9)," "),CHAR(160)," "),"."," "),","," "),"-"," "),"/"," "),"("," "),")"," "),":"," "),";"," "),"_"," "),"–"," "),"?"," "),"!"," "),"*"," "),"["," "),"]"," "),"'"," "),"#"," "),"+"," "),"&amp;"," "),"\"," "))&amp;" "</f>
        <v>  </v>
      </c>
      <c r="BD605" s="61" t="str">
        <f aca="false">" "&amp;TRIM(SUBSTITUTE(SUBSTITUTE(SUBSTITUTE(SUBSTITUTE(SUBSTITUTE(SUBSTITUTE(SUBSTITUTE(SUBSTITUTE(SUBSTITUTE(SUBSTITUTE(SUBSTITUTE(SUBSTITUTE(SUBSTITUTE(SUBSTITUTE(SUBSTITUTE(SUBSTITUTE(SUBSTITUTE(SUBSTITUTE(SUBSTITUTE(SUBSTITUTE(SUBSTITUTE(SUBSTITUTE(SUBSTITUTE(SUBSTITUTE(LOWER(Z605&amp;""),CHAR(10)," "),CHAR(13)," "),CHAR(9)," "),CHAR(160)," "),"."," "),","," "),"-"," "),"/"," "),"("," "),")"," "),":"," "),";"," "),"_"," "),"–"," "),"?"," "),"!"," "),"*"," "),"["," "),"]"," "),"'"," "),"#"," "),"+"," "),"&amp;"," "),"\"," "))&amp;" "</f>
        <v>  </v>
      </c>
      <c r="BE605" s="61" t="str">
        <f aca="false">" "&amp;TRIM(SUBSTITUTE(SUBSTITUTE(SUBSTITUTE(SUBSTITUTE(SUBSTITUTE(SUBSTITUTE(SUBSTITUTE(SUBSTITUTE(SUBSTITUTE(SUBSTITUTE(SUBSTITUTE(SUBSTITUTE(SUBSTITUTE(SUBSTITUTE(SUBSTITUTE(SUBSTITUTE(SUBSTITUTE(SUBSTITUTE(SUBSTITUTE(SUBSTITUTE(SUBSTITUTE(SUBSTITUTE(SUBSTITUTE(SUBSTITUTE(LOWER(W605&amp;""),CHAR(10)," "),CHAR(13)," "),CHAR(9)," "),CHAR(160)," "),"."," "),","," "),"-"," "),"/"," "),"("," "),")"," "),":"," "),";"," "),"_"," "),"–"," "),"?"," "),"!"," "),"*"," "),"["," "),"]"," "),"'"," "),"#"," "),"+"," "),"&amp;"," "),"\"," "))&amp;" "</f>
        <v>  </v>
      </c>
      <c r="BF605" s="61" t="str">
        <f aca="false">" "&amp;TRIM(SUBSTITUTE(SUBSTITUTE(SUBSTITUTE(SUBSTITUTE(SUBSTITUTE(SUBSTITUTE(SUBSTITUTE(SUBSTITUTE(SUBSTITUTE(SUBSTITUTE(SUBSTITUTE(SUBSTITUTE(SUBSTITUTE(SUBSTITUTE(SUBSTITUTE(SUBSTITUTE(SUBSTITUTE(SUBSTITUTE(SUBSTITUTE(SUBSTITUTE(SUBSTITUTE(SUBSTITUTE(SUBSTITUTE(SUBSTITUTE(LOWER(AC605&amp;""),CHAR(10)," "),CHAR(13)," "),CHAR(9)," "),CHAR(160)," "),"."," "),","," "),"-"," "),"/"," "),"("," "),")"," "),":"," "),";"," "),"_"," "),"–"," "),"?"," "),"!"," "),"*"," "),"["," "),"]"," "),"'"," "),"#"," "),"+"," "),"&amp;"," "),"\"," "))&amp;" "</f>
        <v>  </v>
      </c>
      <c r="BG605" s="61" t="n">
        <f aca="false">IFERROR(IF(AND(TRIM(U605)="Pass",SUMPRODUCT((LEN(BC605)-LEN(SUBSTITUTE(BC605," "&amp;L_ResultBad&amp;" "," ")))/(LEN(L_ResultBad)+1))&gt;SUMPRODUCT((LEN(BC605)-LEN(SUBSTITUTE(BC605," "&amp;L_NegPhrase&amp;" "," ")))/(LEN(L_NegPhrase)+1))),1,0),0)</f>
        <v>0</v>
      </c>
      <c r="BH605" s="61" t="n">
        <f aca="false">IFERROR(IF(SUMPRODUCT((LEN(BC605)-LEN(SUBSTITUTE(BC605," "&amp;L_Pending&amp;" "," ")))/(LEN(L_Pending)+1))&gt;SUMPRODUCT((LEN(BC605)-LEN(SUBSTITUTE(BC605," "&amp;L_PendNeg&amp;" "," ")))/(LEN(L_PendNeg)+1)),1,0),1)</f>
        <v>0</v>
      </c>
      <c r="BI605" s="61" t="n">
        <f aca="false">IFERROR(IF(SUMPRODUCT((LEN(BD605)-LEN(SUBSTITUTE(BD605," "&amp;L_PendStrict&amp;" "," ")))/(LEN(L_PendStrict)+1))&gt;SUMPRODUCT((LEN(BD605)-LEN(SUBSTITUTE(BD605," "&amp;L_PendNeg&amp;" "," ")))/(LEN(L_PendNeg)+1)),1,0),1)</f>
        <v>0</v>
      </c>
      <c r="BJ605" s="61" t="n">
        <f aca="false">IFERROR(IF(SUMPRODUCT((LEN(BE605)-LEN(SUBSTITUTE(BE605," "&amp;L_Pending&amp;" "," ")))/(LEN(L_Pending)+1))&gt;SUMPRODUCT((LEN(BE605)-LEN(SUBSTITUTE(BE605," "&amp;L_PendNeg&amp;" "," ")))/(LEN(L_PendNeg)+1)),1,0),1)</f>
        <v>0</v>
      </c>
      <c r="BK605" s="61" t="n">
        <f aca="false">IFERROR(IF(SUMPRODUCT((LEN(BF605)-LEN(SUBSTITUTE(BF605," "&amp;L_PendStrict&amp;" "," ")))/(LEN(L_PendStrict)+1))&gt;SUMPRODUCT((LEN(BF605)-LEN(SUBSTITUTE(BF605," "&amp;L_PendNeg&amp;" "," ")))/(LEN(L_PendNeg)+1)),1,0),1)</f>
        <v>0</v>
      </c>
      <c r="BL605" s="61" t="n">
        <f aca="false">IF(ISNA(MATCH(TRIM(S605),L_EvidenceType,0)),0,BZ605)</f>
        <v>0</v>
      </c>
      <c r="BM605" s="61" t="str">
        <f aca="false">SUBSTITUTE(SUBSTITUTE(SUBSTITUTE(SUBSTITUTE(SUBSTITUTE(SUBSTITUTE(SUBSTITUTE(SUBSTITUTE(SUBSTITUTE(LOWER(Z605&amp;""),"1","0"),"2","0"),"3","0"),"4","0"),"5","0"),"6","0"),"7","0"),"8","0"),"9","0")</f>
        <v/>
      </c>
      <c r="BN605" s="61" t="str">
        <f aca="false">SUBSTITUTE(SUBSTITUTE(SUBSTITUTE(SUBSTITUTE(SUBSTITUTE(SUBSTITUTE(SUBSTITUTE(SUBSTITUTE(SUBSTITUTE(SUBSTITUTE(SUBSTITUTE(SUBSTITUTE(SUBSTITUTE(SUBSTITUTE(SUBSTITUTE(SUBSTITUTE(SUBSTITUTE(SUBSTITUTE(SUBSTITUTE(SUBSTITUTE(SUBSTITUTE(SUBSTITUTE(SUBSTITUTE(SUBSTITUTE(SUBSTITUTE(BM605,"b","a"),"c","a"),"d","a"),"e","a"),"f","a"),"g","a"),"h","a"),"i","a"),"j","a"),"k","a"),"l","a"),"m","a"),"n","a"),"o","a"),"p","a"),"q","a"),"r","a"),"s","a"),"t","a"),"u","a"),"v","a"),"w","a"),"x","a"),"y","a"),"z","a")</f>
        <v/>
      </c>
      <c r="BO605" s="61" t="str">
        <f aca="false">SUBSTITUTE(SUBSTITUTE(SUBSTITUTE(SUBSTITUTE(SUBSTITUTE(SUBSTITUTE(SUBSTITUTE(SUBSTITUTE(SUBSTITUTE(LOWER(W605&amp;""),"1","0"),"2","0"),"3","0"),"4","0"),"5","0"),"6","0"),"7","0"),"8","0"),"9","0")</f>
        <v/>
      </c>
      <c r="BP605" s="61" t="str">
        <f aca="false">SUBSTITUTE(SUBSTITUTE(SUBSTITUTE(SUBSTITUTE(SUBSTITUTE(SUBSTITUTE(SUBSTITUTE(SUBSTITUTE(SUBSTITUTE(SUBSTITUTE(SUBSTITUTE(SUBSTITUTE(SUBSTITUTE(SUBSTITUTE(SUBSTITUTE(SUBSTITUTE(SUBSTITUTE(SUBSTITUTE(SUBSTITUTE(SUBSTITUTE(SUBSTITUTE(SUBSTITUTE(SUBSTITUTE(SUBSTITUTE(SUBSTITUTE(BO605,"b","a"),"c","a"),"d","a"),"e","a"),"f","a"),"g","a"),"h","a"),"i","a"),"j","a"),"k","a"),"l","a"),"m","a"),"n","a"),"o","a"),"p","a"),"q","a"),"r","a"),"s","a"),"t","a"),"u","a"),"v","a"),"w","a"),"x","a"),"y","a"),"z","a")</f>
        <v/>
      </c>
      <c r="BQ605" s="61" t="n">
        <f aca="false">IFERROR(IF(AND(ISERROR(SEARCH(" mh"," "&amp;LOWER(W605))),ISNA(MATCH(LEFT(TRIM(BP605),255),{"0000a","000a","00a","0000aa","000aa","00aa","0aa","0000aaa","000aaa","00a00","0a00","0000-0000","00:00","a00","a0","00.00.0000","00/00/0000","00-00-0000","0000-00-00","0000/00/00","0000.00.00","00.00.00","00/00/00","00-00-00","0.00.0000","0/00/0000","0-00-0000"},0)),ISNA(MATCH(LEFT(TRIM(CA605),255),{"0000a","000a","00a","0000aa","000aa","00aa","0aa","0000aaa","000aaa","00a00","0a00","0000-0000","00:00","a00","a0","00.00.0000","00/00/0000","00-00-0000","0000-00-00","0000/00/00","0000.00.00","00.00.00","00/00/00","00-00-00","0.00.0000","0/00/0000","0-00-0000"},0)),LEN(CB605)&gt;=3,NOT(OR(SUBSTITUTE(CB605,"0","")="",AND(LEN(CB605)&gt;=4,CB605=REPT(LEFT(CB605),LEN(CB605))),ISNUMBER(MATCH(CB605,{"123","1234","12345","123456","1234567","12345678","0123","01234","012345","98765","987654","54321"},0)),AND(LEN(CB605)=8,LEFT(CB605,3)="202"))),OR(AND((LEN(CA605)-LEN(SUBSTITUTE(CA605,"a","")))&gt;=1,SUMPRODUCT(--ISNUMBER(SEARCH({"a0","a-0","a_0","a/0","a.0","a#0","0a","0-a","0_a","0/a"},BP605)))&gt;0),ISNUMBER(SEARCH("000000",BP605)))),1,0),0)</f>
        <v>0</v>
      </c>
      <c r="BR605" s="61" t="n">
        <f aca="false">IFERROR(LEN(SUBSTITUTE(CC605," ",""))-SUMPRODUCT((LEN(CC605)-LEN(SUBSTITUTE(CC605," "&amp;L_Role&amp;" "," ")))/(LEN(L_Role)+1)*LEN(L_Role)),0)</f>
        <v>0</v>
      </c>
      <c r="BS605" s="61" t="n">
        <f aca="false">IFERROR(LEN(SUBSTITUTE(CD605," ",""))-SUMPRODUCT((LEN(CD605)-LEN(SUBSTITUTE(CD605," "&amp;L_Role&amp;" "," ")))/(LEN(L_Role)+1)*LEN(L_Role)),0)</f>
        <v>0</v>
      </c>
      <c r="BT6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605,"revision",""),"version",""),"jan",""),"feb",""),"mar",""),"apr",""),"may",""),"jun",""),"jul",""),"aug",""),"sep",""),"oct",""),"nov",""),"dec",""),"utc",""),"gmt",""),"myt",""),"bst",""),"rev",""),"ver",""),"b","a"),"c","a"),"d","a"),"e","a"),"f","a"),"g","a"),"h","a"),"i","a"),"j","a"),"k","a"),"l","a"),"m","a"),"n","a"),"o","a"),"p","a"),"q","a"),"r","a"),"s","a"),"t","a"),"u","a"),"v","a"),"w","a"),"x","a"),"y","a"),"z","a")</f>
        <v/>
      </c>
      <c r="BU605" s="61" t="str">
        <f aca="false">SUBSTITUTE(SUBSTITUTE(SUBSTITUTE(SUBSTITUTE(SUBSTITUTE(SUBSTITUTE(SUBSTITUTE(SUBSTITUTE(SUBSTITUTE(SUBSTITUTE(LEFT(BM605,FIND("0",BM605&amp;"0")-1),"-",""),"_",""),"/",""),".",""),"#",""),"\\",""),":","")," ",""),"(",""),")","")</f>
        <v/>
      </c>
      <c r="BV605" s="61" t="n">
        <f aca="false">IFERROR(IF(OR(SUMPRODUCT((LEN(BC605)-LEN(SUBSTITUTE(BC605," "&amp;L_NotLoaded&amp;" "," ")))/(LEN(L_NotLoaded)+1))&gt;SUMPRODUCT((LEN(BC605)-LEN(SUBSTITUTE(BC605," "&amp;L_NotLoadedNeg&amp;" "," ")))/(LEN(L_NotLoadedNeg)+1)),SUMPRODUCT((LEN(BD605)-LEN(SUBSTITUTE(BD605," "&amp;L_NotLoaded&amp;" "," ")))/(LEN(L_NotLoaded)+1))&gt;SUMPRODUCT((LEN(BD605)-LEN(SUBSTITUTE(BD605," "&amp;L_NotLoadedNeg&amp;" "," ")))/(LEN(L_NotLoadedNeg)+1))),1,0),0)</f>
        <v>0</v>
      </c>
      <c r="BW6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605&amp;""),"a",""),"b",""),"c",""),"d",""),"e",""),"f",""),"g",""),"h",""),"i",""),"j",""),"k",""),"l",""),"m",""),"n",""),"o",""),"p",""),"q",""),"r",""),"s",""),"t",""),"u",""),"v",""),"w",""),"x",""),"y",""),"z",""),"-",""),"_",""),"/",""),".",""),"#",""),"\\",""),":","")," ",""),"(",""),")","")</f>
        <v/>
      </c>
      <c r="BX605" s="61" t="str">
        <f aca="false">SUBSTITUTE(SUBSTITUTE(SUBSTITUTE(SUBSTITUTE(SUBSTITUTE(SUBSTITUTE(SUBSTITUTE(SUBSTITUTE(SUBSTITUTE(SUBSTITUTE(SUBSTITUTE(BM605,"0",""),"-",""),"_",""),"/",""),".",""),"#",""),"\\",""),":","")," ",""),"(",""),")","")</f>
        <v/>
      </c>
      <c r="BY605" s="62" t="n">
        <f aca="false">IF(ISNUMBER(Flights!$AZ$22),MAX(Q605-UpliftWindowH/24,Flights!$AZ$22),Q605-UpliftWindowH/24)</f>
        <v>46322.3506944444</v>
      </c>
      <c r="BZ605" s="61" t="n">
        <f aca="false">IFERROR(IF(IF(TRIM(S605)="Link / file path",AND(LEN(TRIM(Z605))&gt;=5,SUMPRODUCT(--ISNUMBER(SEARCH({"http","www.","\\",":\",".pdf",".jpg",".jpeg",".png",".heic",".xls",".doc",".msg",".eml",".ppt",".txt",".zip"},Z605)))&gt;0),AND(ISERROR(FIND(" ",TRIM(Z605))),NOT(OR(SUMPRODUCT(--ISNUMBER(FIND({",",";","&amp;","+"},Z605)))&gt;0,SUMPRODUCT(--ISNUMBER(SEARCH({"0/aa","0\\aa"},BN605)))&gt;0)),NOT(SUMPRODUCT(--ISNUMBER(SEARCH({"http","www.","\\",":\",".pdf",".jpg",".jpeg",".png",".heic",".xls",".doc",".msg",".eml",".ppt",".txt",".zip"},Z605)))&gt;0),NOT(LOWER(TRIM(Z605))=LOWER(Flights!$F$22)),ISNA(MATCH(BU605,{"mh","rev","revision","ver","version","v","r","a","b","seat","tray","row","gate","bay","stand","page","pg","item","line","no","cart","galley","flight","flt","table","box","bag","oven","etd","eta","std","sta","atd","ata","qty","pax","x","time","tel","ph","mob","day","wk","week","utc","gmt","myt","lt"},0)),NOT(OR(ISNUMBER(MATCH(LEFT(BN605,255),{"0000a","000a","00a","0000aa","000aa","00aa","0aa","0000aaa","000aaa","00a00","0a00","0000-0000","00:00","a00","a0","00.00.0000","00/00/0000","00-00-0000","0000-00-00","0000/00/00","0000.00.00","00.00.00","00/00/00","00-00-00","0.00.0000","0/00/0000","0-00-0000"},0)),ISNUMBER(MATCH(LEFT(BT605,255),{"0000a","000a","00a","0000aa","000aa","00aa","0aa","0000aaa","000aaa","00a00","0a00","0000-0000","00:00","a00","a0","00.00.0000","00/00/0000","00-00-0000","0000-00-00","0000/00/00","0000.00.00","00.00.00","00/00/00","00-00-00","0.00.0000","0/00/0000","0-00-0000"},0)))),NOT(OR(AND(BW605&lt;&gt;"",SUBSTITUTE(BW605,"0","")=""),AND(LEN(BW605)&gt;=4,BW605=REPT(LEFT(BW605),LEN(BW605))),ISNUMBER(MATCH(BW605,{"123","1234","12345","123456","1234567","12345678","0123","01234","012345","98765","987654","54321"},0)),ISNUMBER(MATCH(BX605,{"x","xx","xxx","xxxx","xxxxx","abc","abcd","nil","na","nan","test","tbc","tba","tbd","dummy","sample","example","eg","zz","zzz","none","null","xyz","qwe","asd","id","ref"},0)),AND(LEN(BW605)=8,BX605="",OR(LEFT(BW605,3)="202",ISNUMBER(MATCH(RIGHT(BW605,4),{"2025","2026","2027"},0)))))),OR(AND((LEN(BT605)-LEN(SUBSTITUTE(BT605,"a","")))&gt;=1,(LEN(BN605)-LEN(SUBSTITUTE(BN605,"0","")))&gt;=2,SUMPRODUCT(--ISNUMBER(SEARCH({"a0","a-0","a_0","a/0","a.0","a#0","0a","0-a","0_a","0/a"},BN605)))&gt;0),AND((LEN(BN605)-LEN(SUBSTITUTE(BN605,"a","")))=0,(LEN(BN605)-LEN(SUBSTITUTE(BN605,"0","")))&gt;=5)))),1,0),0)</f>
        <v>0</v>
      </c>
      <c r="CA6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605,"revision",""),"version",""),"jan",""),"feb",""),"mar",""),"apr",""),"may",""),"jun",""),"jul",""),"aug",""),"sep",""),"oct",""),"nov",""),"dec",""),"utc",""),"gmt",""),"myt",""),"bst",""),"rev",""),"ver",""),"b","a"),"c","a"),"d","a"),"e","a"),"f","a"),"g","a"),"h","a"),"i","a"),"j","a"),"k","a"),"l","a"),"m","a"),"n","a"),"o","a"),"p","a"),"q","a"),"r","a"),"s","a"),"t","a"),"u","a"),"v","a"),"w","a"),"x","a"),"y","a"),"z","a")</f>
        <v/>
      </c>
      <c r="CB6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605&amp;""),"a",""),"b",""),"c",""),"d",""),"e",""),"f",""),"g",""),"h",""),"i",""),"j",""),"k",""),"l",""),"m",""),"n",""),"o",""),"p",""),"q",""),"r",""),"s",""),"t",""),"u",""),"v",""),"w",""),"x",""),"y",""),"z",""),"-",""),"_",""),"/",""),".",""),"#",""),"\\",""),":","")," ",""),"(",""),")","")</f>
        <v/>
      </c>
      <c r="CC605" s="0" t="str">
        <f aca="false">" "&amp;TRIM(SUBSTITUTE(SUBSTITUTE(SUBSTITUTE(SUBSTITUTE(SUBSTITUTE(SUBSTITUTE(SUBSTITUTE(SUBSTITUTE(SUBSTITUTE(SUBSTITUTE(SUBSTITUTE(SUBSTITUTE(SUBSTITUTE(SUBSTITUTE(SUBSTITUTE(SUBSTITUTE(SUBSTITUTE(SUBSTITUTE(SUBSTITUTE(SUBSTITUTE(SUBSTITUTE(SUBSTITUTE(SUBSTITUTE(SUBSTITUTE(LOWER(T605&amp;""),CHAR(10)," "),CHAR(13)," "),CHAR(9)," "),CHAR(160)," "),"."," "),","," "),"-"," "),"/"," "),"("," "),")"," "),":"," "),";"," "),"_"," "),"–"," "),"?"," "),"!"," "),"*"," "),"["," "),"]"," "),"'"," "),"#"," "),"+"," "),"&amp;"," "),"\"," "))&amp;" "</f>
        <v>  </v>
      </c>
      <c r="CD605" s="0" t="str">
        <f aca="false">" "&amp;TRIM(SUBSTITUTE(SUBSTITUTE(SUBSTITUTE(SUBSTITUTE(SUBSTITUTE(SUBSTITUTE(SUBSTITUTE(SUBSTITUTE(SUBSTITUTE(SUBSTITUTE(SUBSTITUTE(SUBSTITUTE(SUBSTITUTE(SUBSTITUTE(SUBSTITUTE(SUBSTITUTE(SUBSTITUTE(SUBSTITUTE(SUBSTITUTE(SUBSTITUTE(SUBSTITUTE(SUBSTITUTE(SUBSTITUTE(SUBSTITUTE(LOWER(AE605&amp;""),CHAR(10)," "),CHAR(13)," "),CHAR(9)," "),CHAR(160)," "),"."," "),","," "),"-"," "),"/"," "),"("," "),")"," "),":"," "),";"," "),"_"," "),"–"," "),"?"," "),"!"," "),"*"," "),"["," "),"]"," "),"'"," "),"#"," "),"+"," "),"&amp;"," "),"\"," "))&amp;" "</f>
        <v>  </v>
      </c>
      <c r="CE605" s="68" t="n">
        <f aca="false">IFERROR(IF(AND(LEN(AU605)&gt;0,LEN(AU605)=LEN(AX605),OR(TRIM(MID(SUBSTITUTE(TRIM(CC605)," ",REPT(" ",60)),1,60))="",ISNUMBER(SEARCH(" "&amp;TRIM(MID(SUBSTITUTE(TRIM(CC605)," ",REPT(" ",60)),1,60))&amp;" ",CD605))),OR(TRIM(MID(SUBSTITUTE(TRIM(CC605)," ",REPT(" ",60)),61,60))="",ISNUMBER(SEARCH(" "&amp;TRIM(MID(SUBSTITUTE(TRIM(CC605)," ",REPT(" ",60)),61,60))&amp;" ",CD605))),OR(TRIM(MID(SUBSTITUTE(TRIM(CC605)," ",REPT(" ",60)),121,60))="",ISNUMBER(SEARCH(" "&amp;TRIM(MID(SUBSTITUTE(TRIM(CC605)," ",REPT(" ",60)),121,60))&amp;" ",CD605)))),1,0),0)</f>
        <v>0</v>
      </c>
      <c r="CG605" s="68" t="n">
        <f aca="false">IFERROR(LEN(SUBSTITUTE(BF605," ",""))-SUMPRODUCT((LEN(BF605)-LEN(SUBSTITUTE(BF605," "&amp;L_NAFiller&amp;" "," ")))/(LEN(L_NAFiller)+1)*LEN(L_NAFiller)),0)</f>
        <v>0</v>
      </c>
    </row>
    <row r="606" customFormat="false" ht="39.75" hidden="false" customHeight="true" outlineLevel="0" collapsed="false">
      <c r="A606" s="57" t="s">
        <v>1315</v>
      </c>
      <c r="B606" s="57" t="s">
        <v>293</v>
      </c>
      <c r="C606" s="57" t="str">
        <f aca="false">Flights!$F$22</f>
        <v>MH0052</v>
      </c>
      <c r="D606" s="58" t="n">
        <f aca="false">Flights!$D$22</f>
        <v>46322</v>
      </c>
      <c r="E606" s="57" t="str">
        <f aca="false">Flights!$G$22&amp;"-"&amp;Flights!$H$22</f>
        <v>KUL-KIX</v>
      </c>
      <c r="F606" s="57" t="str">
        <f aca="false">Flights!$K$22</f>
        <v>BC</v>
      </c>
      <c r="G606" s="57" t="s">
        <v>459</v>
      </c>
      <c r="H606" s="57" t="s">
        <v>460</v>
      </c>
      <c r="I606" s="57" t="s">
        <v>440</v>
      </c>
      <c r="J606" s="57" t="s">
        <v>643</v>
      </c>
      <c r="K606" s="67" t="s">
        <v>501</v>
      </c>
      <c r="L606" s="67" t="s">
        <v>1286</v>
      </c>
      <c r="M606" s="67" t="s">
        <v>187</v>
      </c>
      <c r="N606" s="67" t="s">
        <v>383</v>
      </c>
      <c r="O606" s="67"/>
      <c r="P606" s="57" t="s">
        <v>187</v>
      </c>
      <c r="Q606" s="59" t="n">
        <f aca="false">ROUND((Flights!$AF$22)*1440,0)/1440</f>
        <v>46322.6006944444</v>
      </c>
      <c r="R606" s="59" t="n">
        <f aca="false">Q606+(IF(AND(INDEX(TZ_DSTS,MATCH(P606,TZ_STN,0))&lt;&gt;"",Q606&gt;=INDEX(TZ_DSTS,MATCH(P606,TZ_STN,0)),Q606&lt;INDEX(TZ_DSTE,MATCH(P606,TZ_STN,0))),INDEX(TZ_DST,MATCH(P606,TZ_STN,0)),INDEX(TZ_STD,MATCH(P606,TZ_STN,0))))/24</f>
        <v>46322.9340277778</v>
      </c>
      <c r="S606" s="60"/>
      <c r="T606" s="60"/>
      <c r="U606" s="60"/>
      <c r="V606" s="60"/>
      <c r="W606" s="61"/>
      <c r="X606" s="60"/>
      <c r="Y606" s="60"/>
      <c r="Z606" s="60"/>
      <c r="AA606" s="60"/>
      <c r="AB606" s="60"/>
      <c r="AC606" s="60"/>
      <c r="AD606" s="66"/>
      <c r="AE606" s="60"/>
      <c r="AF606" s="61" t="str">
        <f aca="false">IF(AND(ISNUMBER(X606),ISNUMBER(Y606)),Y606-X606,"")</f>
        <v/>
      </c>
      <c r="AG606" s="62" t="str">
        <f aca="false">IF(ISNUMBER(AD606),AD606-(IF(AND(INDEX(TZ_DSTS,MATCH(P606,TZ_STN,0))&lt;&gt;"",(AD606-INDEX(TZ_STD,MATCH(P606,TZ_STN,0))/24)&gt;=INDEX(TZ_DSTS,MATCH(P606,TZ_STN,0)),(AD606-INDEX(TZ_STD,MATCH(P606,TZ_STN,0))/24)&lt;INDEX(TZ_DSTE,MATCH(P606,TZ_STN,0))),INDEX(TZ_DST,MATCH(P606,TZ_STN,0)),INDEX(TZ_STD,MATCH(P606,TZ_STN,0))))/24,"")</f>
        <v/>
      </c>
      <c r="AH606" s="65" t="str">
        <f aca="false">IFERROR(IF(N606="N/A – rule",IF(OR(TRIM(U606)="",TRIM(U606)="N/A",TRIM(U606)="Not started"),"N/A – RULE","INVALID – this check does not apply to this aircraft: clear the status (or correct the fleet on Flights)"),IF(TRIM(U606)="N/A",IF(AT606=0,"INVALID – N/A not permitted for this check",IF(AND(TRIM(AB606)&lt;&gt;"",TRIM(AB606)&lt;&gt;"Closed"),"INVALID – corrective action still open",IF(AND(NOT(OR(LEN(AZ606)&lt;15,ISNUMBER(MATCH(AZ606,L_Placeholder,0)))),BK606=0,CG606&gt;=8,NOT(OR(LEN(AU606)&lt;2,ISNUMBER(MATCH(AU606,L_Placeholder,0)))),BR606&gt;=3,NOT(OR(LEN(AX606)&lt;2,ISNUMBER(MATCH(AX606,L_Placeholder,0)))),BS606&gt;=3,TRIM(AE606)&lt;&gt;TRIM(T606),AX606&lt;&gt;AU606,CE606=0),"N/A – JUSTIFIED","INVALID – N/A needs a real, settled reason (not 'not applicable' / 'as above' / TBC), a named PIC and a different named verifier"))),IF(OR(TRIM(U606)="Pass",TRIM(U606)="Pass after CA"),IF(NOT(ISNUMBER(AD606)),"INVALID – completion time missing",IF(OR(OR(LEN(AU606)&lt;2,ISNUMBER(MATCH(AU606,L_Placeholder,0))),BR606&lt;3),"INVALID – PIC missing or not a named person (a role such as QA / CSM is not a name)",IF(OR(LEN(AV606)&lt;2,ISNUMBER(MATCH(AV606,L_Placeholder,0))),"INVALID – result / assessment missing",IF(OR(OR(LEN(AW606)&lt;3,ISNUMBER(MATCH(AW606,L_Placeholder,0))),SUMPRODUCT(--ISNUMBER(SEARCH(" "&amp;L_EvidencePhrase&amp;" ",BD606)))&gt;0,BI606=1),"INVALID – evidence missing, placeholder or not yet on file",IF(ISNA(MATCH(TRIM(S606),L_EvidenceType,0)),"INVALID – choose the evidence type from the list (column S)",IF(BL606=0,"INVALID – evidence ID must be the record's own ID only (e.g. SF-2210, IMG_2231, 1045521); a link / file name needs type 'Link / file path'",IF(OR(OR(LEN(AX606)&lt;2,ISNUMBER(MATCH(AX606,L_Placeholder,0))),BS606&lt;3),"INVALID – verifier missing or not a named person (a role such as QA / CSM is not a name)",IF(OR(AX606=AU606,CE606=1,AND(LEN(AU606)&gt;=4,ISNUMBER(SEARCH(AU606,AX606))),AND(LEN(AX606)&gt;=4,ISNUMBER(SEARCH(AX606,AU606)))),"INVALID – verifier must be a different, named person (not the PIC or a role)",IF(BH606=1,"INVALID – result not yet available (awaiting / TBC)",IF(BG606=1,"INVALID – result describes a problem: record Fail, then Pass after CA (or reword if it is not a problem)",IF(BV606=1,"INVALID – wording says not on board: an on-board confirmation needs the item loaded",IF(AND(AQ606=1,OR(OR(LEN(AY606)&lt;3,ISNUMBER(MATCH(AY606,L_Placeholder,0))),BJ606=1,BQ606=0)),"INVALID – batch ID missing, placeholder or not an ID (e.g. PASB-261008-BC-017)",IF(AND(AR606=1,OR(NOT(ISNUMBER(X606)),NOT(ISNUMBER(Y606)))),"INVALID – expected/actual qty missing",IF(AND(AR606=1,OR(X606&lt;=0,Y606&lt;0)),"INVALID – expected qty must be above 0 and actual not negative",IF(AH591="N/A – JUSTIFIED","INVALID – preparation row F18-T12-08 is N/A",IF(AND(AR606=1,ISNUMBER(X591),X606&lt;&gt;X591,TRIM(U606)&lt;&gt;"Pass after CA"),"INVALID – expected qty differs from preparation check F18-T12-08: record the load change as a corrective action (Pass after CA)",IF(BB606&lt;&gt;"",BB606,IF(AND(AS606=1,Documents!$J$22&lt;&gt;"ON FILE"),"INVALID – GLD not on file (Documents sheet)",IF(AND(AS606=2,Documents!$O$22&lt;&gt;"ON FILE"),"INVALID – menu checklist not on file (Documents sheet)",IF(AND(AS606=3,NOT(ISNUMBER(Flights!$AX$22))),"INVALID – enter carrying flight KUL departure (Flights AX)",IF(AND(AS606=3,OR(Flights!$AZ$22&gt;Flights!$AA$22,Flights!$AX$22&lt;Flights!$AA$22-3)),"INVALID – carrying flight (Flights AX) cannot arrive before this leg's STD, or is over 3 days early",IF(AG606&gt;AsOfUTC,"INVALID – completion time is in the future",IF(AND(ISNUMBER(BY606),AG606&lt;BY606),IF(H606="Physical uplift","INVALID – before uplift window (cannot confirm loading)","INVALID – before valid window"),IF(AG606&gt;Flights!$AA$22,"INVALID – completed after departure (cannot establish readiness)",IF(AND(H606="Preparation",AG606&gt;=IF(ISNUMBER(Flights!$BA$22),MIN(Flights!$BA$22,Flights!$AA$22),Flights!$AA$22)),"INVALID – completed after loading / departure (cannot establish readiness)",IF(AND(H606="Physical uplift",AG606&gt;Q606),"INVALID – recorded after the loading flight departed",IF(AG606&gt;Q606,"COMPLETE – LATE","COMPLETE"))))))))))))))))))))))))))),IF(TRIM(U606)="Fail","FAIL – DISCREPANCY",IF(AND(TRIM(U606)&lt;&gt;"",TRIM(U606)&lt;&gt;"Not started",TRIM(U606)&lt;&gt;"In progress"),"INVALID – unrecognised status (use the list)",IF(AsOfUTC&gt;Q606,"OVERDUE",IF(N606="Clarification required","OPEN – CLARIFICATION","OPEN"))))))),"INVALID – error value in an input cell")</f>
        <v>OPEN</v>
      </c>
      <c r="AI606" s="61" t="n">
        <f aca="false">IF(OR(AH606="N/A – RULE",AH606="N/A – JUSTIFIED"),0,1)</f>
        <v>1</v>
      </c>
      <c r="AJ606" s="61" t="n">
        <f aca="false">IF(LEFT(AH606,8)="COMPLETE",1,0)</f>
        <v>0</v>
      </c>
      <c r="AK606" s="61" t="n">
        <f aca="false">IF(AND(AI606=1,AJ606=0,AsOfUTC&gt;Q606),1,0)</f>
        <v>0</v>
      </c>
      <c r="AL606" s="61" t="n">
        <f aca="false">IFERROR(IF(AND(AI606=1,OR(TRIM(U606)="Fail",AND(TRIM(AB606)&lt;&gt;"",TRIM(AB606)&lt;&gt;"Closed"),AND(ISNUMBER(AF606),AF606&lt;&gt;0,TRIM(U606)&lt;&gt;"Pass after CA"))),1,0),1)</f>
        <v>0</v>
      </c>
      <c r="AM606" s="61" t="n">
        <f aca="false">IF(LEFT(AH606,7)="INVALID",1,0)</f>
        <v>0</v>
      </c>
      <c r="AN606" s="61" t="n">
        <f aca="false">IF(AND(N606="Clarification required",AI606=1,AJ606=0),1,0)</f>
        <v>0</v>
      </c>
      <c r="AO606" s="61" t="str">
        <f aca="false">IF(AK606=1,SUM(AK$5:AK606),"")</f>
        <v/>
      </c>
      <c r="AP606" s="61" t="str">
        <f aca="false">IF(AL606=1,SUM(AL$5:AL606),"")</f>
        <v/>
      </c>
      <c r="AQ606" s="61" t="n">
        <v>0</v>
      </c>
      <c r="AR606" s="61" t="n">
        <v>0</v>
      </c>
      <c r="AS606" s="61" t="n">
        <v>0</v>
      </c>
      <c r="AT606" s="61" t="n">
        <v>0</v>
      </c>
      <c r="AU606" s="61" t="str">
        <f aca="false">SUBSTITUTE(SUBSTITUTE(SUBSTITUTE(SUBSTITUTE(SUBSTITUTE(SUBSTITUTE(SUBSTITUTE(SUBSTITUTE(SUBSTITUTE(SUBSTITUTE(SUBSTITUTE(SUBSTITUTE(SUBSTITUTE(SUBSTITUTE(SUBSTITUTE(SUBSTITUTE(LOWER(T606&amp;""),CHAR(10),""),CHAR(13),""),CHAR(9),""),CHAR(160),"")," ",""),".",""),"-",""),"/",""),"?",""),"_",""),",",""),"[",""),"]",""),"(",""),")",""),"*","")</f>
        <v/>
      </c>
      <c r="AV606" s="61" t="str">
        <f aca="false">SUBSTITUTE(SUBSTITUTE(SUBSTITUTE(SUBSTITUTE(SUBSTITUTE(SUBSTITUTE(SUBSTITUTE(SUBSTITUTE(SUBSTITUTE(SUBSTITUTE(SUBSTITUTE(SUBSTITUTE(SUBSTITUTE(SUBSTITUTE(SUBSTITUTE(SUBSTITUTE(LOWER(V606&amp;""),CHAR(10),""),CHAR(13),""),CHAR(9),""),CHAR(160),"")," ",""),".",""),"-",""),"/",""),"?",""),"_",""),",",""),"[",""),"]",""),"(",""),")",""),"*","")</f>
        <v/>
      </c>
      <c r="AW606" s="61" t="str">
        <f aca="false">SUBSTITUTE(SUBSTITUTE(SUBSTITUTE(SUBSTITUTE(SUBSTITUTE(SUBSTITUTE(SUBSTITUTE(SUBSTITUTE(SUBSTITUTE(SUBSTITUTE(SUBSTITUTE(SUBSTITUTE(SUBSTITUTE(SUBSTITUTE(SUBSTITUTE(SUBSTITUTE(LOWER(Z606&amp;""),CHAR(10),""),CHAR(13),""),CHAR(9),""),CHAR(160),"")," ",""),".",""),"-",""),"/",""),"?",""),"_",""),",",""),"[",""),"]",""),"(",""),")",""),"*","")</f>
        <v/>
      </c>
      <c r="AX606" s="61" t="str">
        <f aca="false">SUBSTITUTE(SUBSTITUTE(SUBSTITUTE(SUBSTITUTE(SUBSTITUTE(SUBSTITUTE(SUBSTITUTE(SUBSTITUTE(SUBSTITUTE(SUBSTITUTE(SUBSTITUTE(SUBSTITUTE(SUBSTITUTE(SUBSTITUTE(SUBSTITUTE(SUBSTITUTE(LOWER(AE606&amp;""),CHAR(10),""),CHAR(13),""),CHAR(9),""),CHAR(160),"")," ",""),".",""),"-",""),"/",""),"?",""),"_",""),",",""),"[",""),"]",""),"(",""),")",""),"*","")</f>
        <v/>
      </c>
      <c r="AY606" s="61" t="str">
        <f aca="false">SUBSTITUTE(SUBSTITUTE(SUBSTITUTE(SUBSTITUTE(SUBSTITUTE(SUBSTITUTE(SUBSTITUTE(SUBSTITUTE(SUBSTITUTE(SUBSTITUTE(SUBSTITUTE(SUBSTITUTE(SUBSTITUTE(SUBSTITUTE(SUBSTITUTE(SUBSTITUTE(LOWER(W606&amp;""),CHAR(10),""),CHAR(13),""),CHAR(9),""),CHAR(160),"")," ",""),".",""),"-",""),"/",""),"?",""),"_",""),",",""),"[",""),"]",""),"(",""),")",""),"*","")</f>
        <v/>
      </c>
      <c r="AZ606" s="61" t="str">
        <f aca="false">SUBSTITUTE(SUBSTITUTE(SUBSTITUTE(SUBSTITUTE(SUBSTITUTE(SUBSTITUTE(SUBSTITUTE(SUBSTITUTE(SUBSTITUTE(SUBSTITUTE(SUBSTITUTE(SUBSTITUTE(SUBSTITUTE(SUBSTITUTE(SUBSTITUTE(SUBSTITUTE(LOWER(AC606&amp;""),CHAR(10),""),CHAR(13),""),CHAR(9),""),CHAR(160),"")," ",""),".",""),"-",""),"/",""),"?",""),"_",""),",",""),"[",""),"]",""),"(",""),")",""),"*","")</f>
        <v/>
      </c>
      <c r="BA606" s="61" t="str">
        <f aca="false">SUBSTITUTE(SUBSTITUTE(SUBSTITUTE(SUBSTITUTE(SUBSTITUTE(SUBSTITUTE(SUBSTITUTE(SUBSTITUTE(SUBSTITUTE(SUBSTITUTE(SUBSTITUTE(SUBSTITUTE(SUBSTITUTE(SUBSTITUTE(SUBSTITUTE(SUBSTITUTE(LOWER(AA606&amp;""),CHAR(10),""),CHAR(13),""),CHAR(9),""),CHAR(160),"")," ",""),".",""),"-",""),"/",""),"?",""),"_",""),",",""),"[",""),"]",""),"(",""),")",""),"*","")</f>
        <v/>
      </c>
      <c r="BB606" s="61" t="str">
        <f aca="false">IF(AND(TRIM(U606)="Pass",ISNUMBER(AF606)),IF(AF606&lt;&gt;0,"INVALID – qty variance: use Fail or Pass after CA",""),"")&amp;IF(AND(TRIM(U606)="Pass after CA",ISNUMBER(AF606)),IF(AF606&lt;&gt;0,"INVALID – after the corrective action the actual qty must equal expected (update Actual)",""),"")&amp;IF(AND(TRIM(U606)="Pass",TRIM(AB606)&lt;&gt;"",TRIM(AB606)&lt;&gt;"Closed"),"INVALID – corrective action not closed: use Fail, then Pass after CA","")&amp;IF(AND(LEN(BA606)&gt;=2,ISNA(MATCH(LEFT(BA606,255),L_Placeholder,0)),TRIM(AB606)=""),"INVALID – CA status missing for the recorded corrective action","")&amp;IF(AND(TRIM(U606)="Pass after CA",OR(OR(LEN(BA606)&lt;5,ISNUMBER(MATCH(BA606,L_Placeholder,0))),TRIM(AB606)&lt;&gt;"Closed")),"INVALID – corrective action not recorded/closed","")</f>
        <v/>
      </c>
      <c r="BC606" s="61" t="str">
        <f aca="false">" "&amp;TRIM(SUBSTITUTE(SUBSTITUTE(SUBSTITUTE(SUBSTITUTE(SUBSTITUTE(SUBSTITUTE(SUBSTITUTE(SUBSTITUTE(SUBSTITUTE(SUBSTITUTE(SUBSTITUTE(SUBSTITUTE(SUBSTITUTE(SUBSTITUTE(SUBSTITUTE(SUBSTITUTE(SUBSTITUTE(SUBSTITUTE(SUBSTITUTE(SUBSTITUTE(SUBSTITUTE(SUBSTITUTE(SUBSTITUTE(SUBSTITUTE(LOWER(V606&amp;""),CHAR(10)," "),CHAR(13)," "),CHAR(9)," "),CHAR(160)," "),"."," "),","," "),"-"," "),"/"," "),"("," "),")"," "),":"," "),";"," "),"_"," "),"–"," "),"?"," "),"!"," "),"*"," "),"["," "),"]"," "),"'"," "),"#"," "),"+"," "),"&amp;"," "),"\"," "))&amp;" "</f>
        <v>  </v>
      </c>
      <c r="BD606" s="61" t="str">
        <f aca="false">" "&amp;TRIM(SUBSTITUTE(SUBSTITUTE(SUBSTITUTE(SUBSTITUTE(SUBSTITUTE(SUBSTITUTE(SUBSTITUTE(SUBSTITUTE(SUBSTITUTE(SUBSTITUTE(SUBSTITUTE(SUBSTITUTE(SUBSTITUTE(SUBSTITUTE(SUBSTITUTE(SUBSTITUTE(SUBSTITUTE(SUBSTITUTE(SUBSTITUTE(SUBSTITUTE(SUBSTITUTE(SUBSTITUTE(SUBSTITUTE(SUBSTITUTE(LOWER(Z606&amp;""),CHAR(10)," "),CHAR(13)," "),CHAR(9)," "),CHAR(160)," "),"."," "),","," "),"-"," "),"/"," "),"("," "),")"," "),":"," "),";"," "),"_"," "),"–"," "),"?"," "),"!"," "),"*"," "),"["," "),"]"," "),"'"," "),"#"," "),"+"," "),"&amp;"," "),"\"," "))&amp;" "</f>
        <v>  </v>
      </c>
      <c r="BE606" s="61" t="str">
        <f aca="false">" "&amp;TRIM(SUBSTITUTE(SUBSTITUTE(SUBSTITUTE(SUBSTITUTE(SUBSTITUTE(SUBSTITUTE(SUBSTITUTE(SUBSTITUTE(SUBSTITUTE(SUBSTITUTE(SUBSTITUTE(SUBSTITUTE(SUBSTITUTE(SUBSTITUTE(SUBSTITUTE(SUBSTITUTE(SUBSTITUTE(SUBSTITUTE(SUBSTITUTE(SUBSTITUTE(SUBSTITUTE(SUBSTITUTE(SUBSTITUTE(SUBSTITUTE(LOWER(W606&amp;""),CHAR(10)," "),CHAR(13)," "),CHAR(9)," "),CHAR(160)," "),"."," "),","," "),"-"," "),"/"," "),"("," "),")"," "),":"," "),";"," "),"_"," "),"–"," "),"?"," "),"!"," "),"*"," "),"["," "),"]"," "),"'"," "),"#"," "),"+"," "),"&amp;"," "),"\"," "))&amp;" "</f>
        <v>  </v>
      </c>
      <c r="BF606" s="61" t="str">
        <f aca="false">" "&amp;TRIM(SUBSTITUTE(SUBSTITUTE(SUBSTITUTE(SUBSTITUTE(SUBSTITUTE(SUBSTITUTE(SUBSTITUTE(SUBSTITUTE(SUBSTITUTE(SUBSTITUTE(SUBSTITUTE(SUBSTITUTE(SUBSTITUTE(SUBSTITUTE(SUBSTITUTE(SUBSTITUTE(SUBSTITUTE(SUBSTITUTE(SUBSTITUTE(SUBSTITUTE(SUBSTITUTE(SUBSTITUTE(SUBSTITUTE(SUBSTITUTE(LOWER(AC606&amp;""),CHAR(10)," "),CHAR(13)," "),CHAR(9)," "),CHAR(160)," "),"."," "),","," "),"-"," "),"/"," "),"("," "),")"," "),":"," "),";"," "),"_"," "),"–"," "),"?"," "),"!"," "),"*"," "),"["," "),"]"," "),"'"," "),"#"," "),"+"," "),"&amp;"," "),"\"," "))&amp;" "</f>
        <v>  </v>
      </c>
      <c r="BG606" s="61" t="n">
        <f aca="false">IFERROR(IF(AND(TRIM(U606)="Pass",SUMPRODUCT((LEN(BC606)-LEN(SUBSTITUTE(BC606," "&amp;L_ResultBad&amp;" "," ")))/(LEN(L_ResultBad)+1))&gt;SUMPRODUCT((LEN(BC606)-LEN(SUBSTITUTE(BC606," "&amp;L_NegPhrase&amp;" "," ")))/(LEN(L_NegPhrase)+1))),1,0),0)</f>
        <v>0</v>
      </c>
      <c r="BH606" s="61" t="n">
        <f aca="false">IFERROR(IF(SUMPRODUCT((LEN(BC606)-LEN(SUBSTITUTE(BC606," "&amp;L_Pending&amp;" "," ")))/(LEN(L_Pending)+1))&gt;SUMPRODUCT((LEN(BC606)-LEN(SUBSTITUTE(BC606," "&amp;L_PendNeg&amp;" "," ")))/(LEN(L_PendNeg)+1)),1,0),1)</f>
        <v>0</v>
      </c>
      <c r="BI606" s="61" t="n">
        <f aca="false">IFERROR(IF(SUMPRODUCT((LEN(BD606)-LEN(SUBSTITUTE(BD606," "&amp;L_PendStrict&amp;" "," ")))/(LEN(L_PendStrict)+1))&gt;SUMPRODUCT((LEN(BD606)-LEN(SUBSTITUTE(BD606," "&amp;L_PendNeg&amp;" "," ")))/(LEN(L_PendNeg)+1)),1,0),1)</f>
        <v>0</v>
      </c>
      <c r="BJ606" s="61" t="n">
        <f aca="false">IFERROR(IF(SUMPRODUCT((LEN(BE606)-LEN(SUBSTITUTE(BE606," "&amp;L_Pending&amp;" "," ")))/(LEN(L_Pending)+1))&gt;SUMPRODUCT((LEN(BE606)-LEN(SUBSTITUTE(BE606," "&amp;L_PendNeg&amp;" "," ")))/(LEN(L_PendNeg)+1)),1,0),1)</f>
        <v>0</v>
      </c>
      <c r="BK606" s="61" t="n">
        <f aca="false">IFERROR(IF(SUMPRODUCT((LEN(BF606)-LEN(SUBSTITUTE(BF606," "&amp;L_PendStrict&amp;" "," ")))/(LEN(L_PendStrict)+1))&gt;SUMPRODUCT((LEN(BF606)-LEN(SUBSTITUTE(BF606," "&amp;L_PendNeg&amp;" "," ")))/(LEN(L_PendNeg)+1)),1,0),1)</f>
        <v>0</v>
      </c>
      <c r="BL606" s="61" t="n">
        <f aca="false">IF(ISNA(MATCH(TRIM(S606),L_EvidenceType,0)),0,BZ606)</f>
        <v>0</v>
      </c>
      <c r="BM606" s="61" t="str">
        <f aca="false">SUBSTITUTE(SUBSTITUTE(SUBSTITUTE(SUBSTITUTE(SUBSTITUTE(SUBSTITUTE(SUBSTITUTE(SUBSTITUTE(SUBSTITUTE(LOWER(Z606&amp;""),"1","0"),"2","0"),"3","0"),"4","0"),"5","0"),"6","0"),"7","0"),"8","0"),"9","0")</f>
        <v/>
      </c>
      <c r="BN606" s="61" t="str">
        <f aca="false">SUBSTITUTE(SUBSTITUTE(SUBSTITUTE(SUBSTITUTE(SUBSTITUTE(SUBSTITUTE(SUBSTITUTE(SUBSTITUTE(SUBSTITUTE(SUBSTITUTE(SUBSTITUTE(SUBSTITUTE(SUBSTITUTE(SUBSTITUTE(SUBSTITUTE(SUBSTITUTE(SUBSTITUTE(SUBSTITUTE(SUBSTITUTE(SUBSTITUTE(SUBSTITUTE(SUBSTITUTE(SUBSTITUTE(SUBSTITUTE(SUBSTITUTE(BM606,"b","a"),"c","a"),"d","a"),"e","a"),"f","a"),"g","a"),"h","a"),"i","a"),"j","a"),"k","a"),"l","a"),"m","a"),"n","a"),"o","a"),"p","a"),"q","a"),"r","a"),"s","a"),"t","a"),"u","a"),"v","a"),"w","a"),"x","a"),"y","a"),"z","a")</f>
        <v/>
      </c>
      <c r="BO606" s="61" t="str">
        <f aca="false">SUBSTITUTE(SUBSTITUTE(SUBSTITUTE(SUBSTITUTE(SUBSTITUTE(SUBSTITUTE(SUBSTITUTE(SUBSTITUTE(SUBSTITUTE(LOWER(W606&amp;""),"1","0"),"2","0"),"3","0"),"4","0"),"5","0"),"6","0"),"7","0"),"8","0"),"9","0")</f>
        <v/>
      </c>
      <c r="BP606" s="61" t="str">
        <f aca="false">SUBSTITUTE(SUBSTITUTE(SUBSTITUTE(SUBSTITUTE(SUBSTITUTE(SUBSTITUTE(SUBSTITUTE(SUBSTITUTE(SUBSTITUTE(SUBSTITUTE(SUBSTITUTE(SUBSTITUTE(SUBSTITUTE(SUBSTITUTE(SUBSTITUTE(SUBSTITUTE(SUBSTITUTE(SUBSTITUTE(SUBSTITUTE(SUBSTITUTE(SUBSTITUTE(SUBSTITUTE(SUBSTITUTE(SUBSTITUTE(SUBSTITUTE(BO606,"b","a"),"c","a"),"d","a"),"e","a"),"f","a"),"g","a"),"h","a"),"i","a"),"j","a"),"k","a"),"l","a"),"m","a"),"n","a"),"o","a"),"p","a"),"q","a"),"r","a"),"s","a"),"t","a"),"u","a"),"v","a"),"w","a"),"x","a"),"y","a"),"z","a")</f>
        <v/>
      </c>
      <c r="BQ606" s="61" t="n">
        <f aca="false">IFERROR(IF(AND(ISERROR(SEARCH(" mh"," "&amp;LOWER(W606))),ISNA(MATCH(LEFT(TRIM(BP606),255),{"0000a","000a","00a","0000aa","000aa","00aa","0aa","0000aaa","000aaa","00a00","0a00","0000-0000","00:00","a00","a0","00.00.0000","00/00/0000","00-00-0000","0000-00-00","0000/00/00","0000.00.00","00.00.00","00/00/00","00-00-00","0.00.0000","0/00/0000","0-00-0000"},0)),ISNA(MATCH(LEFT(TRIM(CA606),255),{"0000a","000a","00a","0000aa","000aa","00aa","0aa","0000aaa","000aaa","00a00","0a00","0000-0000","00:00","a00","a0","00.00.0000","00/00/0000","00-00-0000","0000-00-00","0000/00/00","0000.00.00","00.00.00","00/00/00","00-00-00","0.00.0000","0/00/0000","0-00-0000"},0)),LEN(CB606)&gt;=3,NOT(OR(SUBSTITUTE(CB606,"0","")="",AND(LEN(CB606)&gt;=4,CB606=REPT(LEFT(CB606),LEN(CB606))),ISNUMBER(MATCH(CB606,{"123","1234","12345","123456","1234567","12345678","0123","01234","012345","98765","987654","54321"},0)),AND(LEN(CB606)=8,LEFT(CB606,3)="202"))),OR(AND((LEN(CA606)-LEN(SUBSTITUTE(CA606,"a","")))&gt;=1,SUMPRODUCT(--ISNUMBER(SEARCH({"a0","a-0","a_0","a/0","a.0","a#0","0a","0-a","0_a","0/a"},BP606)))&gt;0),ISNUMBER(SEARCH("000000",BP606)))),1,0),0)</f>
        <v>0</v>
      </c>
      <c r="BR606" s="61" t="n">
        <f aca="false">IFERROR(LEN(SUBSTITUTE(CC606," ",""))-SUMPRODUCT((LEN(CC606)-LEN(SUBSTITUTE(CC606," "&amp;L_Role&amp;" "," ")))/(LEN(L_Role)+1)*LEN(L_Role)),0)</f>
        <v>0</v>
      </c>
      <c r="BS606" s="61" t="n">
        <f aca="false">IFERROR(LEN(SUBSTITUTE(CD606," ",""))-SUMPRODUCT((LEN(CD606)-LEN(SUBSTITUTE(CD606," "&amp;L_Role&amp;" "," ")))/(LEN(L_Role)+1)*LEN(L_Role)),0)</f>
        <v>0</v>
      </c>
      <c r="BT6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606,"revision",""),"version",""),"jan",""),"feb",""),"mar",""),"apr",""),"may",""),"jun",""),"jul",""),"aug",""),"sep",""),"oct",""),"nov",""),"dec",""),"utc",""),"gmt",""),"myt",""),"bst",""),"rev",""),"ver",""),"b","a"),"c","a"),"d","a"),"e","a"),"f","a"),"g","a"),"h","a"),"i","a"),"j","a"),"k","a"),"l","a"),"m","a"),"n","a"),"o","a"),"p","a"),"q","a"),"r","a"),"s","a"),"t","a"),"u","a"),"v","a"),"w","a"),"x","a"),"y","a"),"z","a")</f>
        <v/>
      </c>
      <c r="BU606" s="61" t="str">
        <f aca="false">SUBSTITUTE(SUBSTITUTE(SUBSTITUTE(SUBSTITUTE(SUBSTITUTE(SUBSTITUTE(SUBSTITUTE(SUBSTITUTE(SUBSTITUTE(SUBSTITUTE(LEFT(BM606,FIND("0",BM606&amp;"0")-1),"-",""),"_",""),"/",""),".",""),"#",""),"\\",""),":","")," ",""),"(",""),")","")</f>
        <v/>
      </c>
      <c r="BV606" s="61" t="n">
        <f aca="false">IFERROR(IF(OR(SUMPRODUCT((LEN(BC606)-LEN(SUBSTITUTE(BC606," "&amp;L_NotLoaded&amp;" "," ")))/(LEN(L_NotLoaded)+1))&gt;SUMPRODUCT((LEN(BC606)-LEN(SUBSTITUTE(BC606," "&amp;L_NotLoadedNeg&amp;" "," ")))/(LEN(L_NotLoadedNeg)+1)),SUMPRODUCT((LEN(BD606)-LEN(SUBSTITUTE(BD606," "&amp;L_NotLoaded&amp;" "," ")))/(LEN(L_NotLoaded)+1))&gt;SUMPRODUCT((LEN(BD606)-LEN(SUBSTITUTE(BD606," "&amp;L_NotLoadedNeg&amp;" "," ")))/(LEN(L_NotLoadedNeg)+1))),1,0),0)</f>
        <v>0</v>
      </c>
      <c r="BW6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606&amp;""),"a",""),"b",""),"c",""),"d",""),"e",""),"f",""),"g",""),"h",""),"i",""),"j",""),"k",""),"l",""),"m",""),"n",""),"o",""),"p",""),"q",""),"r",""),"s",""),"t",""),"u",""),"v",""),"w",""),"x",""),"y",""),"z",""),"-",""),"_",""),"/",""),".",""),"#",""),"\\",""),":","")," ",""),"(",""),")","")</f>
        <v/>
      </c>
      <c r="BX606" s="61" t="str">
        <f aca="false">SUBSTITUTE(SUBSTITUTE(SUBSTITUTE(SUBSTITUTE(SUBSTITUTE(SUBSTITUTE(SUBSTITUTE(SUBSTITUTE(SUBSTITUTE(SUBSTITUTE(SUBSTITUTE(BM606,"0",""),"-",""),"_",""),"/",""),".",""),"#",""),"\\",""),":","")," ",""),"(",""),")","")</f>
        <v/>
      </c>
      <c r="BY606" s="62" t="n">
        <f aca="false">IF(ISNUMBER(Flights!$AZ$22),MAX(Q606-UpliftWindowH/24,Flights!$AZ$22),Q606-UpliftWindowH/24)</f>
        <v>46322.3506944444</v>
      </c>
      <c r="BZ606" s="61" t="n">
        <f aca="false">IFERROR(IF(IF(TRIM(S606)="Link / file path",AND(LEN(TRIM(Z606))&gt;=5,SUMPRODUCT(--ISNUMBER(SEARCH({"http","www.","\\",":\",".pdf",".jpg",".jpeg",".png",".heic",".xls",".doc",".msg",".eml",".ppt",".txt",".zip"},Z606)))&gt;0),AND(ISERROR(FIND(" ",TRIM(Z606))),NOT(OR(SUMPRODUCT(--ISNUMBER(FIND({",",";","&amp;","+"},Z606)))&gt;0,SUMPRODUCT(--ISNUMBER(SEARCH({"0/aa","0\\aa"},BN606)))&gt;0)),NOT(SUMPRODUCT(--ISNUMBER(SEARCH({"http","www.","\\",":\",".pdf",".jpg",".jpeg",".png",".heic",".xls",".doc",".msg",".eml",".ppt",".txt",".zip"},Z606)))&gt;0),NOT(LOWER(TRIM(Z606))=LOWER(Flights!$F$22)),ISNA(MATCH(BU606,{"mh","rev","revision","ver","version","v","r","a","b","seat","tray","row","gate","bay","stand","page","pg","item","line","no","cart","galley","flight","flt","table","box","bag","oven","etd","eta","std","sta","atd","ata","qty","pax","x","time","tel","ph","mob","day","wk","week","utc","gmt","myt","lt"},0)),NOT(OR(ISNUMBER(MATCH(LEFT(BN606,255),{"0000a","000a","00a","0000aa","000aa","00aa","0aa","0000aaa","000aaa","00a00","0a00","0000-0000","00:00","a00","a0","00.00.0000","00/00/0000","00-00-0000","0000-00-00","0000/00/00","0000.00.00","00.00.00","00/00/00","00-00-00","0.00.0000","0/00/0000","0-00-0000"},0)),ISNUMBER(MATCH(LEFT(BT606,255),{"0000a","000a","00a","0000aa","000aa","00aa","0aa","0000aaa","000aaa","00a00","0a00","0000-0000","00:00","a00","a0","00.00.0000","00/00/0000","00-00-0000","0000-00-00","0000/00/00","0000.00.00","00.00.00","00/00/00","00-00-00","0.00.0000","0/00/0000","0-00-0000"},0)))),NOT(OR(AND(BW606&lt;&gt;"",SUBSTITUTE(BW606,"0","")=""),AND(LEN(BW606)&gt;=4,BW606=REPT(LEFT(BW606),LEN(BW606))),ISNUMBER(MATCH(BW606,{"123","1234","12345","123456","1234567","12345678","0123","01234","012345","98765","987654","54321"},0)),ISNUMBER(MATCH(BX606,{"x","xx","xxx","xxxx","xxxxx","abc","abcd","nil","na","nan","test","tbc","tba","tbd","dummy","sample","example","eg","zz","zzz","none","null","xyz","qwe","asd","id","ref"},0)),AND(LEN(BW606)=8,BX606="",OR(LEFT(BW606,3)="202",ISNUMBER(MATCH(RIGHT(BW606,4),{"2025","2026","2027"},0)))))),OR(AND((LEN(BT606)-LEN(SUBSTITUTE(BT606,"a","")))&gt;=1,(LEN(BN606)-LEN(SUBSTITUTE(BN606,"0","")))&gt;=2,SUMPRODUCT(--ISNUMBER(SEARCH({"a0","a-0","a_0","a/0","a.0","a#0","0a","0-a","0_a","0/a"},BN606)))&gt;0),AND((LEN(BN606)-LEN(SUBSTITUTE(BN606,"a","")))=0,(LEN(BN606)-LEN(SUBSTITUTE(BN606,"0","")))&gt;=5)))),1,0),0)</f>
        <v>0</v>
      </c>
      <c r="CA6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606,"revision",""),"version",""),"jan",""),"feb",""),"mar",""),"apr",""),"may",""),"jun",""),"jul",""),"aug",""),"sep",""),"oct",""),"nov",""),"dec",""),"utc",""),"gmt",""),"myt",""),"bst",""),"rev",""),"ver",""),"b","a"),"c","a"),"d","a"),"e","a"),"f","a"),"g","a"),"h","a"),"i","a"),"j","a"),"k","a"),"l","a"),"m","a"),"n","a"),"o","a"),"p","a"),"q","a"),"r","a"),"s","a"),"t","a"),"u","a"),"v","a"),"w","a"),"x","a"),"y","a"),"z","a")</f>
        <v/>
      </c>
      <c r="CB6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606&amp;""),"a",""),"b",""),"c",""),"d",""),"e",""),"f",""),"g",""),"h",""),"i",""),"j",""),"k",""),"l",""),"m",""),"n",""),"o",""),"p",""),"q",""),"r",""),"s",""),"t",""),"u",""),"v",""),"w",""),"x",""),"y",""),"z",""),"-",""),"_",""),"/",""),".",""),"#",""),"\\",""),":","")," ",""),"(",""),")","")</f>
        <v/>
      </c>
      <c r="CC606" s="0" t="str">
        <f aca="false">" "&amp;TRIM(SUBSTITUTE(SUBSTITUTE(SUBSTITUTE(SUBSTITUTE(SUBSTITUTE(SUBSTITUTE(SUBSTITUTE(SUBSTITUTE(SUBSTITUTE(SUBSTITUTE(SUBSTITUTE(SUBSTITUTE(SUBSTITUTE(SUBSTITUTE(SUBSTITUTE(SUBSTITUTE(SUBSTITUTE(SUBSTITUTE(SUBSTITUTE(SUBSTITUTE(SUBSTITUTE(SUBSTITUTE(SUBSTITUTE(SUBSTITUTE(LOWER(T606&amp;""),CHAR(10)," "),CHAR(13)," "),CHAR(9)," "),CHAR(160)," "),"."," "),","," "),"-"," "),"/"," "),"("," "),")"," "),":"," "),";"," "),"_"," "),"–"," "),"?"," "),"!"," "),"*"," "),"["," "),"]"," "),"'"," "),"#"," "),"+"," "),"&amp;"," "),"\"," "))&amp;" "</f>
        <v>  </v>
      </c>
      <c r="CD606" s="0" t="str">
        <f aca="false">" "&amp;TRIM(SUBSTITUTE(SUBSTITUTE(SUBSTITUTE(SUBSTITUTE(SUBSTITUTE(SUBSTITUTE(SUBSTITUTE(SUBSTITUTE(SUBSTITUTE(SUBSTITUTE(SUBSTITUTE(SUBSTITUTE(SUBSTITUTE(SUBSTITUTE(SUBSTITUTE(SUBSTITUTE(SUBSTITUTE(SUBSTITUTE(SUBSTITUTE(SUBSTITUTE(SUBSTITUTE(SUBSTITUTE(SUBSTITUTE(SUBSTITUTE(LOWER(AE606&amp;""),CHAR(10)," "),CHAR(13)," "),CHAR(9)," "),CHAR(160)," "),"."," "),","," "),"-"," "),"/"," "),"("," "),")"," "),":"," "),";"," "),"_"," "),"–"," "),"?"," "),"!"," "),"*"," "),"["," "),"]"," "),"'"," "),"#"," "),"+"," "),"&amp;"," "),"\"," "))&amp;" "</f>
        <v>  </v>
      </c>
      <c r="CE606" s="68" t="n">
        <f aca="false">IFERROR(IF(AND(LEN(AU606)&gt;0,LEN(AU606)=LEN(AX606),OR(TRIM(MID(SUBSTITUTE(TRIM(CC606)," ",REPT(" ",60)),1,60))="",ISNUMBER(SEARCH(" "&amp;TRIM(MID(SUBSTITUTE(TRIM(CC606)," ",REPT(" ",60)),1,60))&amp;" ",CD606))),OR(TRIM(MID(SUBSTITUTE(TRIM(CC606)," ",REPT(" ",60)),61,60))="",ISNUMBER(SEARCH(" "&amp;TRIM(MID(SUBSTITUTE(TRIM(CC606)," ",REPT(" ",60)),61,60))&amp;" ",CD606))),OR(TRIM(MID(SUBSTITUTE(TRIM(CC606)," ",REPT(" ",60)),121,60))="",ISNUMBER(SEARCH(" "&amp;TRIM(MID(SUBSTITUTE(TRIM(CC606)," ",REPT(" ",60)),121,60))&amp;" ",CD606)))),1,0),0)</f>
        <v>0</v>
      </c>
      <c r="CG606" s="68" t="n">
        <f aca="false">IFERROR(LEN(SUBSTITUTE(BF606," ",""))-SUMPRODUCT((LEN(BF606)-LEN(SUBSTITUTE(BF606," "&amp;L_NAFiller&amp;" "," ")))/(LEN(L_NAFiller)+1)*LEN(L_NAFiller)),0)</f>
        <v>0</v>
      </c>
    </row>
    <row r="607" customFormat="false" ht="39.75" hidden="false" customHeight="true" outlineLevel="0" collapsed="false">
      <c r="A607" s="57" t="s">
        <v>1316</v>
      </c>
      <c r="B607" s="57" t="s">
        <v>293</v>
      </c>
      <c r="C607" s="57" t="str">
        <f aca="false">Flights!$F$22</f>
        <v>MH0052</v>
      </c>
      <c r="D607" s="58" t="n">
        <f aca="false">Flights!$D$22</f>
        <v>46322</v>
      </c>
      <c r="E607" s="57" t="str">
        <f aca="false">Flights!$G$22&amp;"-"&amp;Flights!$H$22</f>
        <v>KUL-KIX</v>
      </c>
      <c r="F607" s="57" t="str">
        <f aca="false">Flights!$K$22</f>
        <v>BC</v>
      </c>
      <c r="G607" s="57" t="s">
        <v>459</v>
      </c>
      <c r="H607" s="57" t="s">
        <v>460</v>
      </c>
      <c r="I607" s="57" t="s">
        <v>499</v>
      </c>
      <c r="J607" s="57" t="s">
        <v>537</v>
      </c>
      <c r="K607" s="67" t="s">
        <v>501</v>
      </c>
      <c r="L607" s="67" t="s">
        <v>1288</v>
      </c>
      <c r="M607" s="67" t="s">
        <v>451</v>
      </c>
      <c r="N607" s="67" t="s">
        <v>383</v>
      </c>
      <c r="O607" s="67"/>
      <c r="P607" s="57" t="s">
        <v>187</v>
      </c>
      <c r="Q607" s="59" t="n">
        <f aca="false">ROUND((Flights!$AF$22)*1440,0)/1440</f>
        <v>46322.6006944444</v>
      </c>
      <c r="R607" s="59" t="n">
        <f aca="false">Q607+(IF(AND(INDEX(TZ_DSTS,MATCH(P607,TZ_STN,0))&lt;&gt;"",Q607&gt;=INDEX(TZ_DSTS,MATCH(P607,TZ_STN,0)),Q607&lt;INDEX(TZ_DSTE,MATCH(P607,TZ_STN,0))),INDEX(TZ_DST,MATCH(P607,TZ_STN,0)),INDEX(TZ_STD,MATCH(P607,TZ_STN,0))))/24</f>
        <v>46322.9340277778</v>
      </c>
      <c r="S607" s="60"/>
      <c r="T607" s="60"/>
      <c r="U607" s="60"/>
      <c r="V607" s="60"/>
      <c r="W607" s="61"/>
      <c r="X607" s="60"/>
      <c r="Y607" s="60"/>
      <c r="Z607" s="60"/>
      <c r="AA607" s="60"/>
      <c r="AB607" s="60"/>
      <c r="AC607" s="60"/>
      <c r="AD607" s="66"/>
      <c r="AE607" s="60"/>
      <c r="AF607" s="61" t="str">
        <f aca="false">IF(AND(ISNUMBER(X607),ISNUMBER(Y607)),Y607-X607,"")</f>
        <v/>
      </c>
      <c r="AG607" s="62" t="str">
        <f aca="false">IF(ISNUMBER(AD607),AD607-(IF(AND(INDEX(TZ_DSTS,MATCH(P607,TZ_STN,0))&lt;&gt;"",(AD607-INDEX(TZ_STD,MATCH(P607,TZ_STN,0))/24)&gt;=INDEX(TZ_DSTS,MATCH(P607,TZ_STN,0)),(AD607-INDEX(TZ_STD,MATCH(P607,TZ_STN,0))/24)&lt;INDEX(TZ_DSTE,MATCH(P607,TZ_STN,0))),INDEX(TZ_DST,MATCH(P607,TZ_STN,0)),INDEX(TZ_STD,MATCH(P607,TZ_STN,0))))/24,"")</f>
        <v/>
      </c>
      <c r="AH607" s="65" t="str">
        <f aca="false">IFERROR(IF(N607="N/A – rule",IF(OR(TRIM(U607)="",TRIM(U607)="N/A",TRIM(U607)="Not started"),"N/A – RULE","INVALID – this check does not apply to this aircraft: clear the status (or correct the fleet on Flights)"),IF(TRIM(U607)="N/A",IF(AT607=0,"INVALID – N/A not permitted for this check",IF(AND(TRIM(AB607)&lt;&gt;"",TRIM(AB607)&lt;&gt;"Closed"),"INVALID – corrective action still open",IF(AND(NOT(OR(LEN(AZ607)&lt;15,ISNUMBER(MATCH(AZ607,L_Placeholder,0)))),BK607=0,CG607&gt;=8,NOT(OR(LEN(AU607)&lt;2,ISNUMBER(MATCH(AU607,L_Placeholder,0)))),BR607&gt;=3,NOT(OR(LEN(AX607)&lt;2,ISNUMBER(MATCH(AX607,L_Placeholder,0)))),BS607&gt;=3,TRIM(AE607)&lt;&gt;TRIM(T607),AX607&lt;&gt;AU607,CE607=0),"N/A – JUSTIFIED","INVALID – N/A needs a real, settled reason (not 'not applicable' / 'as above' / TBC), a named PIC and a different named verifier"))),IF(OR(TRIM(U607)="Pass",TRIM(U607)="Pass after CA"),IF(NOT(ISNUMBER(AD607)),"INVALID – completion time missing",IF(OR(OR(LEN(AU607)&lt;2,ISNUMBER(MATCH(AU607,L_Placeholder,0))),BR607&lt;3),"INVALID – PIC missing or not a named person (a role such as QA / CSM is not a name)",IF(OR(LEN(AV607)&lt;2,ISNUMBER(MATCH(AV607,L_Placeholder,0))),"INVALID – result / assessment missing",IF(OR(OR(LEN(AW607)&lt;3,ISNUMBER(MATCH(AW607,L_Placeholder,0))),SUMPRODUCT(--ISNUMBER(SEARCH(" "&amp;L_EvidencePhrase&amp;" ",BD607)))&gt;0,BI607=1),"INVALID – evidence missing, placeholder or not yet on file",IF(ISNA(MATCH(TRIM(S607),L_EvidenceType,0)),"INVALID – choose the evidence type from the list (column S)",IF(BL607=0,"INVALID – evidence ID must be the record's own ID only (e.g. SF-2210, IMG_2231, 1045521); a link / file name needs type 'Link / file path'",IF(OR(OR(LEN(AX607)&lt;2,ISNUMBER(MATCH(AX607,L_Placeholder,0))),BS607&lt;3),"INVALID – verifier missing or not a named person (a role such as QA / CSM is not a name)",IF(OR(AX607=AU607,CE607=1,AND(LEN(AU607)&gt;=4,ISNUMBER(SEARCH(AU607,AX607))),AND(LEN(AX607)&gt;=4,ISNUMBER(SEARCH(AX607,AU607)))),"INVALID – verifier must be a different, named person (not the PIC or a role)",IF(BH607=1,"INVALID – result not yet available (awaiting / TBC)",IF(BG607=1,"INVALID – result describes a problem: record Fail, then Pass after CA (or reword if it is not a problem)",IF(BV607=1,"INVALID – wording says not on board: an on-board confirmation needs the item loaded",IF(AND(AQ607=1,OR(OR(LEN(AY607)&lt;3,ISNUMBER(MATCH(AY607,L_Placeholder,0))),BJ607=1,BQ607=0)),"INVALID – batch ID missing, placeholder or not an ID (e.g. PASB-261008-BC-017)",IF(AND(AR607=1,OR(NOT(ISNUMBER(X607)),NOT(ISNUMBER(Y607)))),"INVALID – expected/actual qty missing",IF(AND(AR607=1,OR(X607&lt;=0,Y607&lt;0)),"INVALID – expected qty must be above 0 and actual not negative",IF(AH592="N/A – JUSTIFIED","INVALID – preparation row F18-T12-09 is N/A",IF(AND(AR607=1,ISNUMBER(X592),X607&lt;&gt;X592,TRIM(U607)&lt;&gt;"Pass after CA"),"INVALID – expected qty differs from preparation check F18-T12-09: record the load change as a corrective action (Pass after CA)",IF(BB607&lt;&gt;"",BB607,IF(AND(AS607=1,Documents!$J$22&lt;&gt;"ON FILE"),"INVALID – GLD not on file (Documents sheet)",IF(AND(AS607=2,Documents!$O$22&lt;&gt;"ON FILE"),"INVALID – menu checklist not on file (Documents sheet)",IF(AND(AS607=3,NOT(ISNUMBER(Flights!$AX$22))),"INVALID – enter carrying flight KUL departure (Flights AX)",IF(AND(AS607=3,OR(Flights!$AZ$22&gt;Flights!$AA$22,Flights!$AX$22&lt;Flights!$AA$22-3)),"INVALID – carrying flight (Flights AX) cannot arrive before this leg's STD, or is over 3 days early",IF(AG607&gt;AsOfUTC,"INVALID – completion time is in the future",IF(AND(ISNUMBER(BY607),AG607&lt;BY607),IF(H607="Physical uplift","INVALID – before uplift window (cannot confirm loading)","INVALID – before valid window"),IF(AG607&gt;Flights!$AA$22,"INVALID – completed after departure (cannot establish readiness)",IF(AND(H607="Preparation",AG607&gt;=IF(ISNUMBER(Flights!$BA$22),MIN(Flights!$BA$22,Flights!$AA$22),Flights!$AA$22)),"INVALID – completed after loading / departure (cannot establish readiness)",IF(AND(H607="Physical uplift",AG607&gt;Q607),"INVALID – recorded after the loading flight departed",IF(AG607&gt;Q607,"COMPLETE – LATE","COMPLETE"))))))))))))))))))))))))))),IF(TRIM(U607)="Fail","FAIL – DISCREPANCY",IF(AND(TRIM(U607)&lt;&gt;"",TRIM(U607)&lt;&gt;"Not started",TRIM(U607)&lt;&gt;"In progress"),"INVALID – unrecognised status (use the list)",IF(AsOfUTC&gt;Q607,"OVERDUE",IF(N607="Clarification required","OPEN – CLARIFICATION","OPEN"))))))),"INVALID – error value in an input cell")</f>
        <v>OPEN</v>
      </c>
      <c r="AI607" s="61" t="n">
        <f aca="false">IF(OR(AH607="N/A – RULE",AH607="N/A – JUSTIFIED"),0,1)</f>
        <v>1</v>
      </c>
      <c r="AJ607" s="61" t="n">
        <f aca="false">IF(LEFT(AH607,8)="COMPLETE",1,0)</f>
        <v>0</v>
      </c>
      <c r="AK607" s="61" t="n">
        <f aca="false">IF(AND(AI607=1,AJ607=0,AsOfUTC&gt;Q607),1,0)</f>
        <v>0</v>
      </c>
      <c r="AL607" s="61" t="n">
        <f aca="false">IFERROR(IF(AND(AI607=1,OR(TRIM(U607)="Fail",AND(TRIM(AB607)&lt;&gt;"",TRIM(AB607)&lt;&gt;"Closed"),AND(ISNUMBER(AF607),AF607&lt;&gt;0,TRIM(U607)&lt;&gt;"Pass after CA"))),1,0),1)</f>
        <v>0</v>
      </c>
      <c r="AM607" s="61" t="n">
        <f aca="false">IF(LEFT(AH607,7)="INVALID",1,0)</f>
        <v>0</v>
      </c>
      <c r="AN607" s="61" t="n">
        <f aca="false">IF(AND(N607="Clarification required",AI607=1,AJ607=0),1,0)</f>
        <v>0</v>
      </c>
      <c r="AO607" s="61" t="str">
        <f aca="false">IF(AK607=1,SUM(AK$5:AK607),"")</f>
        <v/>
      </c>
      <c r="AP607" s="61" t="str">
        <f aca="false">IF(AL607=1,SUM(AL$5:AL607),"")</f>
        <v/>
      </c>
      <c r="AQ607" s="61" t="n">
        <v>0</v>
      </c>
      <c r="AR607" s="61" t="n">
        <v>0</v>
      </c>
      <c r="AS607" s="61" t="n">
        <v>0</v>
      </c>
      <c r="AT607" s="61" t="n">
        <v>0</v>
      </c>
      <c r="AU607" s="61" t="str">
        <f aca="false">SUBSTITUTE(SUBSTITUTE(SUBSTITUTE(SUBSTITUTE(SUBSTITUTE(SUBSTITUTE(SUBSTITUTE(SUBSTITUTE(SUBSTITUTE(SUBSTITUTE(SUBSTITUTE(SUBSTITUTE(SUBSTITUTE(SUBSTITUTE(SUBSTITUTE(SUBSTITUTE(LOWER(T607&amp;""),CHAR(10),""),CHAR(13),""),CHAR(9),""),CHAR(160),"")," ",""),".",""),"-",""),"/",""),"?",""),"_",""),",",""),"[",""),"]",""),"(",""),")",""),"*","")</f>
        <v/>
      </c>
      <c r="AV607" s="61" t="str">
        <f aca="false">SUBSTITUTE(SUBSTITUTE(SUBSTITUTE(SUBSTITUTE(SUBSTITUTE(SUBSTITUTE(SUBSTITUTE(SUBSTITUTE(SUBSTITUTE(SUBSTITUTE(SUBSTITUTE(SUBSTITUTE(SUBSTITUTE(SUBSTITUTE(SUBSTITUTE(SUBSTITUTE(LOWER(V607&amp;""),CHAR(10),""),CHAR(13),""),CHAR(9),""),CHAR(160),"")," ",""),".",""),"-",""),"/",""),"?",""),"_",""),",",""),"[",""),"]",""),"(",""),")",""),"*","")</f>
        <v/>
      </c>
      <c r="AW607" s="61" t="str">
        <f aca="false">SUBSTITUTE(SUBSTITUTE(SUBSTITUTE(SUBSTITUTE(SUBSTITUTE(SUBSTITUTE(SUBSTITUTE(SUBSTITUTE(SUBSTITUTE(SUBSTITUTE(SUBSTITUTE(SUBSTITUTE(SUBSTITUTE(SUBSTITUTE(SUBSTITUTE(SUBSTITUTE(LOWER(Z607&amp;""),CHAR(10),""),CHAR(13),""),CHAR(9),""),CHAR(160),"")," ",""),".",""),"-",""),"/",""),"?",""),"_",""),",",""),"[",""),"]",""),"(",""),")",""),"*","")</f>
        <v/>
      </c>
      <c r="AX607" s="61" t="str">
        <f aca="false">SUBSTITUTE(SUBSTITUTE(SUBSTITUTE(SUBSTITUTE(SUBSTITUTE(SUBSTITUTE(SUBSTITUTE(SUBSTITUTE(SUBSTITUTE(SUBSTITUTE(SUBSTITUTE(SUBSTITUTE(SUBSTITUTE(SUBSTITUTE(SUBSTITUTE(SUBSTITUTE(LOWER(AE607&amp;""),CHAR(10),""),CHAR(13),""),CHAR(9),""),CHAR(160),"")," ",""),".",""),"-",""),"/",""),"?",""),"_",""),",",""),"[",""),"]",""),"(",""),")",""),"*","")</f>
        <v/>
      </c>
      <c r="AY607" s="61" t="str">
        <f aca="false">SUBSTITUTE(SUBSTITUTE(SUBSTITUTE(SUBSTITUTE(SUBSTITUTE(SUBSTITUTE(SUBSTITUTE(SUBSTITUTE(SUBSTITUTE(SUBSTITUTE(SUBSTITUTE(SUBSTITUTE(SUBSTITUTE(SUBSTITUTE(SUBSTITUTE(SUBSTITUTE(LOWER(W607&amp;""),CHAR(10),""),CHAR(13),""),CHAR(9),""),CHAR(160),"")," ",""),".",""),"-",""),"/",""),"?",""),"_",""),",",""),"[",""),"]",""),"(",""),")",""),"*","")</f>
        <v/>
      </c>
      <c r="AZ607" s="61" t="str">
        <f aca="false">SUBSTITUTE(SUBSTITUTE(SUBSTITUTE(SUBSTITUTE(SUBSTITUTE(SUBSTITUTE(SUBSTITUTE(SUBSTITUTE(SUBSTITUTE(SUBSTITUTE(SUBSTITUTE(SUBSTITUTE(SUBSTITUTE(SUBSTITUTE(SUBSTITUTE(SUBSTITUTE(LOWER(AC607&amp;""),CHAR(10),""),CHAR(13),""),CHAR(9),""),CHAR(160),"")," ",""),".",""),"-",""),"/",""),"?",""),"_",""),",",""),"[",""),"]",""),"(",""),")",""),"*","")</f>
        <v/>
      </c>
      <c r="BA607" s="61" t="str">
        <f aca="false">SUBSTITUTE(SUBSTITUTE(SUBSTITUTE(SUBSTITUTE(SUBSTITUTE(SUBSTITUTE(SUBSTITUTE(SUBSTITUTE(SUBSTITUTE(SUBSTITUTE(SUBSTITUTE(SUBSTITUTE(SUBSTITUTE(SUBSTITUTE(SUBSTITUTE(SUBSTITUTE(LOWER(AA607&amp;""),CHAR(10),""),CHAR(13),""),CHAR(9),""),CHAR(160),"")," ",""),".",""),"-",""),"/",""),"?",""),"_",""),",",""),"[",""),"]",""),"(",""),")",""),"*","")</f>
        <v/>
      </c>
      <c r="BB607" s="61" t="str">
        <f aca="false">IF(AND(TRIM(U607)="Pass",ISNUMBER(AF607)),IF(AF607&lt;&gt;0,"INVALID – qty variance: use Fail or Pass after CA",""),"")&amp;IF(AND(TRIM(U607)="Pass after CA",ISNUMBER(AF607)),IF(AF607&lt;&gt;0,"INVALID – after the corrective action the actual qty must equal expected (update Actual)",""),"")&amp;IF(AND(TRIM(U607)="Pass",TRIM(AB607)&lt;&gt;"",TRIM(AB607)&lt;&gt;"Closed"),"INVALID – corrective action not closed: use Fail, then Pass after CA","")&amp;IF(AND(LEN(BA607)&gt;=2,ISNA(MATCH(LEFT(BA607,255),L_Placeholder,0)),TRIM(AB607)=""),"INVALID – CA status missing for the recorded corrective action","")&amp;IF(AND(TRIM(U607)="Pass after CA",OR(OR(LEN(BA607)&lt;5,ISNUMBER(MATCH(BA607,L_Placeholder,0))),TRIM(AB607)&lt;&gt;"Closed")),"INVALID – corrective action not recorded/closed","")</f>
        <v/>
      </c>
      <c r="BC607" s="61" t="str">
        <f aca="false">" "&amp;TRIM(SUBSTITUTE(SUBSTITUTE(SUBSTITUTE(SUBSTITUTE(SUBSTITUTE(SUBSTITUTE(SUBSTITUTE(SUBSTITUTE(SUBSTITUTE(SUBSTITUTE(SUBSTITUTE(SUBSTITUTE(SUBSTITUTE(SUBSTITUTE(SUBSTITUTE(SUBSTITUTE(SUBSTITUTE(SUBSTITUTE(SUBSTITUTE(SUBSTITUTE(SUBSTITUTE(SUBSTITUTE(SUBSTITUTE(SUBSTITUTE(LOWER(V607&amp;""),CHAR(10)," "),CHAR(13)," "),CHAR(9)," "),CHAR(160)," "),"."," "),","," "),"-"," "),"/"," "),"("," "),")"," "),":"," "),";"," "),"_"," "),"–"," "),"?"," "),"!"," "),"*"," "),"["," "),"]"," "),"'"," "),"#"," "),"+"," "),"&amp;"," "),"\"," "))&amp;" "</f>
        <v>  </v>
      </c>
      <c r="BD607" s="61" t="str">
        <f aca="false">" "&amp;TRIM(SUBSTITUTE(SUBSTITUTE(SUBSTITUTE(SUBSTITUTE(SUBSTITUTE(SUBSTITUTE(SUBSTITUTE(SUBSTITUTE(SUBSTITUTE(SUBSTITUTE(SUBSTITUTE(SUBSTITUTE(SUBSTITUTE(SUBSTITUTE(SUBSTITUTE(SUBSTITUTE(SUBSTITUTE(SUBSTITUTE(SUBSTITUTE(SUBSTITUTE(SUBSTITUTE(SUBSTITUTE(SUBSTITUTE(SUBSTITUTE(LOWER(Z607&amp;""),CHAR(10)," "),CHAR(13)," "),CHAR(9)," "),CHAR(160)," "),"."," "),","," "),"-"," "),"/"," "),"("," "),")"," "),":"," "),";"," "),"_"," "),"–"," "),"?"," "),"!"," "),"*"," "),"["," "),"]"," "),"'"," "),"#"," "),"+"," "),"&amp;"," "),"\"," "))&amp;" "</f>
        <v>  </v>
      </c>
      <c r="BE607" s="61" t="str">
        <f aca="false">" "&amp;TRIM(SUBSTITUTE(SUBSTITUTE(SUBSTITUTE(SUBSTITUTE(SUBSTITUTE(SUBSTITUTE(SUBSTITUTE(SUBSTITUTE(SUBSTITUTE(SUBSTITUTE(SUBSTITUTE(SUBSTITUTE(SUBSTITUTE(SUBSTITUTE(SUBSTITUTE(SUBSTITUTE(SUBSTITUTE(SUBSTITUTE(SUBSTITUTE(SUBSTITUTE(SUBSTITUTE(SUBSTITUTE(SUBSTITUTE(SUBSTITUTE(LOWER(W607&amp;""),CHAR(10)," "),CHAR(13)," "),CHAR(9)," "),CHAR(160)," "),"."," "),","," "),"-"," "),"/"," "),"("," "),")"," "),":"," "),";"," "),"_"," "),"–"," "),"?"," "),"!"," "),"*"," "),"["," "),"]"," "),"'"," "),"#"," "),"+"," "),"&amp;"," "),"\"," "))&amp;" "</f>
        <v>  </v>
      </c>
      <c r="BF607" s="61" t="str">
        <f aca="false">" "&amp;TRIM(SUBSTITUTE(SUBSTITUTE(SUBSTITUTE(SUBSTITUTE(SUBSTITUTE(SUBSTITUTE(SUBSTITUTE(SUBSTITUTE(SUBSTITUTE(SUBSTITUTE(SUBSTITUTE(SUBSTITUTE(SUBSTITUTE(SUBSTITUTE(SUBSTITUTE(SUBSTITUTE(SUBSTITUTE(SUBSTITUTE(SUBSTITUTE(SUBSTITUTE(SUBSTITUTE(SUBSTITUTE(SUBSTITUTE(SUBSTITUTE(LOWER(AC607&amp;""),CHAR(10)," "),CHAR(13)," "),CHAR(9)," "),CHAR(160)," "),"."," "),","," "),"-"," "),"/"," "),"("," "),")"," "),":"," "),";"," "),"_"," "),"–"," "),"?"," "),"!"," "),"*"," "),"["," "),"]"," "),"'"," "),"#"," "),"+"," "),"&amp;"," "),"\"," "))&amp;" "</f>
        <v>  </v>
      </c>
      <c r="BG607" s="61" t="n">
        <f aca="false">IFERROR(IF(AND(TRIM(U607)="Pass",SUMPRODUCT((LEN(BC607)-LEN(SUBSTITUTE(BC607," "&amp;L_ResultBad&amp;" "," ")))/(LEN(L_ResultBad)+1))&gt;SUMPRODUCT((LEN(BC607)-LEN(SUBSTITUTE(BC607," "&amp;L_NegPhrase&amp;" "," ")))/(LEN(L_NegPhrase)+1))),1,0),0)</f>
        <v>0</v>
      </c>
      <c r="BH607" s="61" t="n">
        <f aca="false">IFERROR(IF(SUMPRODUCT((LEN(BC607)-LEN(SUBSTITUTE(BC607," "&amp;L_Pending&amp;" "," ")))/(LEN(L_Pending)+1))&gt;SUMPRODUCT((LEN(BC607)-LEN(SUBSTITUTE(BC607," "&amp;L_PendNeg&amp;" "," ")))/(LEN(L_PendNeg)+1)),1,0),1)</f>
        <v>0</v>
      </c>
      <c r="BI607" s="61" t="n">
        <f aca="false">IFERROR(IF(SUMPRODUCT((LEN(BD607)-LEN(SUBSTITUTE(BD607," "&amp;L_PendStrict&amp;" "," ")))/(LEN(L_PendStrict)+1))&gt;SUMPRODUCT((LEN(BD607)-LEN(SUBSTITUTE(BD607," "&amp;L_PendNeg&amp;" "," ")))/(LEN(L_PendNeg)+1)),1,0),1)</f>
        <v>0</v>
      </c>
      <c r="BJ607" s="61" t="n">
        <f aca="false">IFERROR(IF(SUMPRODUCT((LEN(BE607)-LEN(SUBSTITUTE(BE607," "&amp;L_Pending&amp;" "," ")))/(LEN(L_Pending)+1))&gt;SUMPRODUCT((LEN(BE607)-LEN(SUBSTITUTE(BE607," "&amp;L_PendNeg&amp;" "," ")))/(LEN(L_PendNeg)+1)),1,0),1)</f>
        <v>0</v>
      </c>
      <c r="BK607" s="61" t="n">
        <f aca="false">IFERROR(IF(SUMPRODUCT((LEN(BF607)-LEN(SUBSTITUTE(BF607," "&amp;L_PendStrict&amp;" "," ")))/(LEN(L_PendStrict)+1))&gt;SUMPRODUCT((LEN(BF607)-LEN(SUBSTITUTE(BF607," "&amp;L_PendNeg&amp;" "," ")))/(LEN(L_PendNeg)+1)),1,0),1)</f>
        <v>0</v>
      </c>
      <c r="BL607" s="61" t="n">
        <f aca="false">IF(ISNA(MATCH(TRIM(S607),L_EvidenceType,0)),0,BZ607)</f>
        <v>0</v>
      </c>
      <c r="BM607" s="61" t="str">
        <f aca="false">SUBSTITUTE(SUBSTITUTE(SUBSTITUTE(SUBSTITUTE(SUBSTITUTE(SUBSTITUTE(SUBSTITUTE(SUBSTITUTE(SUBSTITUTE(LOWER(Z607&amp;""),"1","0"),"2","0"),"3","0"),"4","0"),"5","0"),"6","0"),"7","0"),"8","0"),"9","0")</f>
        <v/>
      </c>
      <c r="BN607" s="61" t="str">
        <f aca="false">SUBSTITUTE(SUBSTITUTE(SUBSTITUTE(SUBSTITUTE(SUBSTITUTE(SUBSTITUTE(SUBSTITUTE(SUBSTITUTE(SUBSTITUTE(SUBSTITUTE(SUBSTITUTE(SUBSTITUTE(SUBSTITUTE(SUBSTITUTE(SUBSTITUTE(SUBSTITUTE(SUBSTITUTE(SUBSTITUTE(SUBSTITUTE(SUBSTITUTE(SUBSTITUTE(SUBSTITUTE(SUBSTITUTE(SUBSTITUTE(SUBSTITUTE(BM607,"b","a"),"c","a"),"d","a"),"e","a"),"f","a"),"g","a"),"h","a"),"i","a"),"j","a"),"k","a"),"l","a"),"m","a"),"n","a"),"o","a"),"p","a"),"q","a"),"r","a"),"s","a"),"t","a"),"u","a"),"v","a"),"w","a"),"x","a"),"y","a"),"z","a")</f>
        <v/>
      </c>
      <c r="BO607" s="61" t="str">
        <f aca="false">SUBSTITUTE(SUBSTITUTE(SUBSTITUTE(SUBSTITUTE(SUBSTITUTE(SUBSTITUTE(SUBSTITUTE(SUBSTITUTE(SUBSTITUTE(LOWER(W607&amp;""),"1","0"),"2","0"),"3","0"),"4","0"),"5","0"),"6","0"),"7","0"),"8","0"),"9","0")</f>
        <v/>
      </c>
      <c r="BP607" s="61" t="str">
        <f aca="false">SUBSTITUTE(SUBSTITUTE(SUBSTITUTE(SUBSTITUTE(SUBSTITUTE(SUBSTITUTE(SUBSTITUTE(SUBSTITUTE(SUBSTITUTE(SUBSTITUTE(SUBSTITUTE(SUBSTITUTE(SUBSTITUTE(SUBSTITUTE(SUBSTITUTE(SUBSTITUTE(SUBSTITUTE(SUBSTITUTE(SUBSTITUTE(SUBSTITUTE(SUBSTITUTE(SUBSTITUTE(SUBSTITUTE(SUBSTITUTE(SUBSTITUTE(BO607,"b","a"),"c","a"),"d","a"),"e","a"),"f","a"),"g","a"),"h","a"),"i","a"),"j","a"),"k","a"),"l","a"),"m","a"),"n","a"),"o","a"),"p","a"),"q","a"),"r","a"),"s","a"),"t","a"),"u","a"),"v","a"),"w","a"),"x","a"),"y","a"),"z","a")</f>
        <v/>
      </c>
      <c r="BQ607" s="61" t="n">
        <f aca="false">IFERROR(IF(AND(ISERROR(SEARCH(" mh"," "&amp;LOWER(W607))),ISNA(MATCH(LEFT(TRIM(BP607),255),{"0000a","000a","00a","0000aa","000aa","00aa","0aa","0000aaa","000aaa","00a00","0a00","0000-0000","00:00","a00","a0","00.00.0000","00/00/0000","00-00-0000","0000-00-00","0000/00/00","0000.00.00","00.00.00","00/00/00","00-00-00","0.00.0000","0/00/0000","0-00-0000"},0)),ISNA(MATCH(LEFT(TRIM(CA607),255),{"0000a","000a","00a","0000aa","000aa","00aa","0aa","0000aaa","000aaa","00a00","0a00","0000-0000","00:00","a00","a0","00.00.0000","00/00/0000","00-00-0000","0000-00-00","0000/00/00","0000.00.00","00.00.00","00/00/00","00-00-00","0.00.0000","0/00/0000","0-00-0000"},0)),LEN(CB607)&gt;=3,NOT(OR(SUBSTITUTE(CB607,"0","")="",AND(LEN(CB607)&gt;=4,CB607=REPT(LEFT(CB607),LEN(CB607))),ISNUMBER(MATCH(CB607,{"123","1234","12345","123456","1234567","12345678","0123","01234","012345","98765","987654","54321"},0)),AND(LEN(CB607)=8,LEFT(CB607,3)="202"))),OR(AND((LEN(CA607)-LEN(SUBSTITUTE(CA607,"a","")))&gt;=1,SUMPRODUCT(--ISNUMBER(SEARCH({"a0","a-0","a_0","a/0","a.0","a#0","0a","0-a","0_a","0/a"},BP607)))&gt;0),ISNUMBER(SEARCH("000000",BP607)))),1,0),0)</f>
        <v>0</v>
      </c>
      <c r="BR607" s="61" t="n">
        <f aca="false">IFERROR(LEN(SUBSTITUTE(CC607," ",""))-SUMPRODUCT((LEN(CC607)-LEN(SUBSTITUTE(CC607," "&amp;L_Role&amp;" "," ")))/(LEN(L_Role)+1)*LEN(L_Role)),0)</f>
        <v>0</v>
      </c>
      <c r="BS607" s="61" t="n">
        <f aca="false">IFERROR(LEN(SUBSTITUTE(CD607," ",""))-SUMPRODUCT((LEN(CD607)-LEN(SUBSTITUTE(CD607," "&amp;L_Role&amp;" "," ")))/(LEN(L_Role)+1)*LEN(L_Role)),0)</f>
        <v>0</v>
      </c>
      <c r="BT6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607,"revision",""),"version",""),"jan",""),"feb",""),"mar",""),"apr",""),"may",""),"jun",""),"jul",""),"aug",""),"sep",""),"oct",""),"nov",""),"dec",""),"utc",""),"gmt",""),"myt",""),"bst",""),"rev",""),"ver",""),"b","a"),"c","a"),"d","a"),"e","a"),"f","a"),"g","a"),"h","a"),"i","a"),"j","a"),"k","a"),"l","a"),"m","a"),"n","a"),"o","a"),"p","a"),"q","a"),"r","a"),"s","a"),"t","a"),"u","a"),"v","a"),"w","a"),"x","a"),"y","a"),"z","a")</f>
        <v/>
      </c>
      <c r="BU607" s="61" t="str">
        <f aca="false">SUBSTITUTE(SUBSTITUTE(SUBSTITUTE(SUBSTITUTE(SUBSTITUTE(SUBSTITUTE(SUBSTITUTE(SUBSTITUTE(SUBSTITUTE(SUBSTITUTE(LEFT(BM607,FIND("0",BM607&amp;"0")-1),"-",""),"_",""),"/",""),".",""),"#",""),"\\",""),":","")," ",""),"(",""),")","")</f>
        <v/>
      </c>
      <c r="BV607" s="61" t="n">
        <f aca="false">IFERROR(IF(OR(SUMPRODUCT((LEN(BC607)-LEN(SUBSTITUTE(BC607," "&amp;L_NotLoaded&amp;" "," ")))/(LEN(L_NotLoaded)+1))&gt;SUMPRODUCT((LEN(BC607)-LEN(SUBSTITUTE(BC607," "&amp;L_NotLoadedNeg&amp;" "," ")))/(LEN(L_NotLoadedNeg)+1)),SUMPRODUCT((LEN(BD607)-LEN(SUBSTITUTE(BD607," "&amp;L_NotLoaded&amp;" "," ")))/(LEN(L_NotLoaded)+1))&gt;SUMPRODUCT((LEN(BD607)-LEN(SUBSTITUTE(BD607," "&amp;L_NotLoadedNeg&amp;" "," ")))/(LEN(L_NotLoadedNeg)+1))),1,0),0)</f>
        <v>0</v>
      </c>
      <c r="BW6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607&amp;""),"a",""),"b",""),"c",""),"d",""),"e",""),"f",""),"g",""),"h",""),"i",""),"j",""),"k",""),"l",""),"m",""),"n",""),"o",""),"p",""),"q",""),"r",""),"s",""),"t",""),"u",""),"v",""),"w",""),"x",""),"y",""),"z",""),"-",""),"_",""),"/",""),".",""),"#",""),"\\",""),":","")," ",""),"(",""),")","")</f>
        <v/>
      </c>
      <c r="BX607" s="61" t="str">
        <f aca="false">SUBSTITUTE(SUBSTITUTE(SUBSTITUTE(SUBSTITUTE(SUBSTITUTE(SUBSTITUTE(SUBSTITUTE(SUBSTITUTE(SUBSTITUTE(SUBSTITUTE(SUBSTITUTE(BM607,"0",""),"-",""),"_",""),"/",""),".",""),"#",""),"\\",""),":","")," ",""),"(",""),")","")</f>
        <v/>
      </c>
      <c r="BY607" s="62" t="n">
        <f aca="false">IF(ISNUMBER(Flights!$AZ$22),MAX(Q607-UpliftWindowH/24,Flights!$AZ$22),Q607-UpliftWindowH/24)</f>
        <v>46322.3506944444</v>
      </c>
      <c r="BZ607" s="61" t="n">
        <f aca="false">IFERROR(IF(IF(TRIM(S607)="Link / file path",AND(LEN(TRIM(Z607))&gt;=5,SUMPRODUCT(--ISNUMBER(SEARCH({"http","www.","\\",":\",".pdf",".jpg",".jpeg",".png",".heic",".xls",".doc",".msg",".eml",".ppt",".txt",".zip"},Z607)))&gt;0),AND(ISERROR(FIND(" ",TRIM(Z607))),NOT(OR(SUMPRODUCT(--ISNUMBER(FIND({",",";","&amp;","+"},Z607)))&gt;0,SUMPRODUCT(--ISNUMBER(SEARCH({"0/aa","0\\aa"},BN607)))&gt;0)),NOT(SUMPRODUCT(--ISNUMBER(SEARCH({"http","www.","\\",":\",".pdf",".jpg",".jpeg",".png",".heic",".xls",".doc",".msg",".eml",".ppt",".txt",".zip"},Z607)))&gt;0),NOT(LOWER(TRIM(Z607))=LOWER(Flights!$F$22)),ISNA(MATCH(BU607,{"mh","rev","revision","ver","version","v","r","a","b","seat","tray","row","gate","bay","stand","page","pg","item","line","no","cart","galley","flight","flt","table","box","bag","oven","etd","eta","std","sta","atd","ata","qty","pax","x","time","tel","ph","mob","day","wk","week","utc","gmt","myt","lt"},0)),NOT(OR(ISNUMBER(MATCH(LEFT(BN607,255),{"0000a","000a","00a","0000aa","000aa","00aa","0aa","0000aaa","000aaa","00a00","0a00","0000-0000","00:00","a00","a0","00.00.0000","00/00/0000","00-00-0000","0000-00-00","0000/00/00","0000.00.00","00.00.00","00/00/00","00-00-00","0.00.0000","0/00/0000","0-00-0000"},0)),ISNUMBER(MATCH(LEFT(BT607,255),{"0000a","000a","00a","0000aa","000aa","00aa","0aa","0000aaa","000aaa","00a00","0a00","0000-0000","00:00","a00","a0","00.00.0000","00/00/0000","00-00-0000","0000-00-00","0000/00/00","0000.00.00","00.00.00","00/00/00","00-00-00","0.00.0000","0/00/0000","0-00-0000"},0)))),NOT(OR(AND(BW607&lt;&gt;"",SUBSTITUTE(BW607,"0","")=""),AND(LEN(BW607)&gt;=4,BW607=REPT(LEFT(BW607),LEN(BW607))),ISNUMBER(MATCH(BW607,{"123","1234","12345","123456","1234567","12345678","0123","01234","012345","98765","987654","54321"},0)),ISNUMBER(MATCH(BX607,{"x","xx","xxx","xxxx","xxxxx","abc","abcd","nil","na","nan","test","tbc","tba","tbd","dummy","sample","example","eg","zz","zzz","none","null","xyz","qwe","asd","id","ref"},0)),AND(LEN(BW607)=8,BX607="",OR(LEFT(BW607,3)="202",ISNUMBER(MATCH(RIGHT(BW607,4),{"2025","2026","2027"},0)))))),OR(AND((LEN(BT607)-LEN(SUBSTITUTE(BT607,"a","")))&gt;=1,(LEN(BN607)-LEN(SUBSTITUTE(BN607,"0","")))&gt;=2,SUMPRODUCT(--ISNUMBER(SEARCH({"a0","a-0","a_0","a/0","a.0","a#0","0a","0-a","0_a","0/a"},BN607)))&gt;0),AND((LEN(BN607)-LEN(SUBSTITUTE(BN607,"a","")))=0,(LEN(BN607)-LEN(SUBSTITUTE(BN607,"0","")))&gt;=5)))),1,0),0)</f>
        <v>0</v>
      </c>
      <c r="CA6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607,"revision",""),"version",""),"jan",""),"feb",""),"mar",""),"apr",""),"may",""),"jun",""),"jul",""),"aug",""),"sep",""),"oct",""),"nov",""),"dec",""),"utc",""),"gmt",""),"myt",""),"bst",""),"rev",""),"ver",""),"b","a"),"c","a"),"d","a"),"e","a"),"f","a"),"g","a"),"h","a"),"i","a"),"j","a"),"k","a"),"l","a"),"m","a"),"n","a"),"o","a"),"p","a"),"q","a"),"r","a"),"s","a"),"t","a"),"u","a"),"v","a"),"w","a"),"x","a"),"y","a"),"z","a")</f>
        <v/>
      </c>
      <c r="CB6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607&amp;""),"a",""),"b",""),"c",""),"d",""),"e",""),"f",""),"g",""),"h",""),"i",""),"j",""),"k",""),"l",""),"m",""),"n",""),"o",""),"p",""),"q",""),"r",""),"s",""),"t",""),"u",""),"v",""),"w",""),"x",""),"y",""),"z",""),"-",""),"_",""),"/",""),".",""),"#",""),"\\",""),":","")," ",""),"(",""),")","")</f>
        <v/>
      </c>
      <c r="CC607" s="0" t="str">
        <f aca="false">" "&amp;TRIM(SUBSTITUTE(SUBSTITUTE(SUBSTITUTE(SUBSTITUTE(SUBSTITUTE(SUBSTITUTE(SUBSTITUTE(SUBSTITUTE(SUBSTITUTE(SUBSTITUTE(SUBSTITUTE(SUBSTITUTE(SUBSTITUTE(SUBSTITUTE(SUBSTITUTE(SUBSTITUTE(SUBSTITUTE(SUBSTITUTE(SUBSTITUTE(SUBSTITUTE(SUBSTITUTE(SUBSTITUTE(SUBSTITUTE(SUBSTITUTE(LOWER(T607&amp;""),CHAR(10)," "),CHAR(13)," "),CHAR(9)," "),CHAR(160)," "),"."," "),","," "),"-"," "),"/"," "),"("," "),")"," "),":"," "),";"," "),"_"," "),"–"," "),"?"," "),"!"," "),"*"," "),"["," "),"]"," "),"'"," "),"#"," "),"+"," "),"&amp;"," "),"\"," "))&amp;" "</f>
        <v>  </v>
      </c>
      <c r="CD607" s="0" t="str">
        <f aca="false">" "&amp;TRIM(SUBSTITUTE(SUBSTITUTE(SUBSTITUTE(SUBSTITUTE(SUBSTITUTE(SUBSTITUTE(SUBSTITUTE(SUBSTITUTE(SUBSTITUTE(SUBSTITUTE(SUBSTITUTE(SUBSTITUTE(SUBSTITUTE(SUBSTITUTE(SUBSTITUTE(SUBSTITUTE(SUBSTITUTE(SUBSTITUTE(SUBSTITUTE(SUBSTITUTE(SUBSTITUTE(SUBSTITUTE(SUBSTITUTE(SUBSTITUTE(LOWER(AE607&amp;""),CHAR(10)," "),CHAR(13)," "),CHAR(9)," "),CHAR(160)," "),"."," "),","," "),"-"," "),"/"," "),"("," "),")"," "),":"," "),";"," "),"_"," "),"–"," "),"?"," "),"!"," "),"*"," "),"["," "),"]"," "),"'"," "),"#"," "),"+"," "),"&amp;"," "),"\"," "))&amp;" "</f>
        <v>  </v>
      </c>
      <c r="CE607" s="68" t="n">
        <f aca="false">IFERROR(IF(AND(LEN(AU607)&gt;0,LEN(AU607)=LEN(AX607),OR(TRIM(MID(SUBSTITUTE(TRIM(CC607)," ",REPT(" ",60)),1,60))="",ISNUMBER(SEARCH(" "&amp;TRIM(MID(SUBSTITUTE(TRIM(CC607)," ",REPT(" ",60)),1,60))&amp;" ",CD607))),OR(TRIM(MID(SUBSTITUTE(TRIM(CC607)," ",REPT(" ",60)),61,60))="",ISNUMBER(SEARCH(" "&amp;TRIM(MID(SUBSTITUTE(TRIM(CC607)," ",REPT(" ",60)),61,60))&amp;" ",CD607))),OR(TRIM(MID(SUBSTITUTE(TRIM(CC607)," ",REPT(" ",60)),121,60))="",ISNUMBER(SEARCH(" "&amp;TRIM(MID(SUBSTITUTE(TRIM(CC607)," ",REPT(" ",60)),121,60))&amp;" ",CD607)))),1,0),0)</f>
        <v>0</v>
      </c>
      <c r="CG607" s="68" t="n">
        <f aca="false">IFERROR(LEN(SUBSTITUTE(BF607," ",""))-SUMPRODUCT((LEN(BF607)-LEN(SUBSTITUTE(BF607," "&amp;L_NAFiller&amp;" "," ")))/(LEN(L_NAFiller)+1)*LEN(L_NAFiller)),0)</f>
        <v>0</v>
      </c>
    </row>
    <row r="608" customFormat="false" ht="39.75" hidden="false" customHeight="true" outlineLevel="0" collapsed="false">
      <c r="A608" s="57" t="s">
        <v>1317</v>
      </c>
      <c r="B608" s="57" t="s">
        <v>293</v>
      </c>
      <c r="C608" s="57" t="str">
        <f aca="false">Flights!$F$22</f>
        <v>MH0052</v>
      </c>
      <c r="D608" s="58" t="n">
        <f aca="false">Flights!$D$22</f>
        <v>46322</v>
      </c>
      <c r="E608" s="57" t="str">
        <f aca="false">Flights!$G$22&amp;"-"&amp;Flights!$H$22</f>
        <v>KUL-KIX</v>
      </c>
      <c r="F608" s="57" t="str">
        <f aca="false">Flights!$K$22</f>
        <v>BC</v>
      </c>
      <c r="G608" s="57" t="s">
        <v>459</v>
      </c>
      <c r="H608" s="57" t="s">
        <v>460</v>
      </c>
      <c r="I608" s="57" t="s">
        <v>499</v>
      </c>
      <c r="J608" s="57" t="s">
        <v>539</v>
      </c>
      <c r="K608" s="67" t="s">
        <v>501</v>
      </c>
      <c r="L608" s="67" t="s">
        <v>1290</v>
      </c>
      <c r="M608" s="67" t="s">
        <v>451</v>
      </c>
      <c r="N608" s="67" t="s">
        <v>383</v>
      </c>
      <c r="O608" s="67"/>
      <c r="P608" s="57" t="s">
        <v>187</v>
      </c>
      <c r="Q608" s="59" t="n">
        <f aca="false">ROUND((Flights!$AF$22)*1440,0)/1440</f>
        <v>46322.6006944444</v>
      </c>
      <c r="R608" s="59" t="n">
        <f aca="false">Q608+(IF(AND(INDEX(TZ_DSTS,MATCH(P608,TZ_STN,0))&lt;&gt;"",Q608&gt;=INDEX(TZ_DSTS,MATCH(P608,TZ_STN,0)),Q608&lt;INDEX(TZ_DSTE,MATCH(P608,TZ_STN,0))),INDEX(TZ_DST,MATCH(P608,TZ_STN,0)),INDEX(TZ_STD,MATCH(P608,TZ_STN,0))))/24</f>
        <v>46322.9340277778</v>
      </c>
      <c r="S608" s="60"/>
      <c r="T608" s="60"/>
      <c r="U608" s="60"/>
      <c r="V608" s="60"/>
      <c r="W608" s="61"/>
      <c r="X608" s="60"/>
      <c r="Y608" s="60"/>
      <c r="Z608" s="60"/>
      <c r="AA608" s="60"/>
      <c r="AB608" s="60"/>
      <c r="AC608" s="60"/>
      <c r="AD608" s="66"/>
      <c r="AE608" s="60"/>
      <c r="AF608" s="61" t="str">
        <f aca="false">IF(AND(ISNUMBER(X608),ISNUMBER(Y608)),Y608-X608,"")</f>
        <v/>
      </c>
      <c r="AG608" s="62" t="str">
        <f aca="false">IF(ISNUMBER(AD608),AD608-(IF(AND(INDEX(TZ_DSTS,MATCH(P608,TZ_STN,0))&lt;&gt;"",(AD608-INDEX(TZ_STD,MATCH(P608,TZ_STN,0))/24)&gt;=INDEX(TZ_DSTS,MATCH(P608,TZ_STN,0)),(AD608-INDEX(TZ_STD,MATCH(P608,TZ_STN,0))/24)&lt;INDEX(TZ_DSTE,MATCH(P608,TZ_STN,0))),INDEX(TZ_DST,MATCH(P608,TZ_STN,0)),INDEX(TZ_STD,MATCH(P608,TZ_STN,0))))/24,"")</f>
        <v/>
      </c>
      <c r="AH608" s="65" t="str">
        <f aca="false">IFERROR(IF(N608="N/A – rule",IF(OR(TRIM(U608)="",TRIM(U608)="N/A",TRIM(U608)="Not started"),"N/A – RULE","INVALID – this check does not apply to this aircraft: clear the status (or correct the fleet on Flights)"),IF(TRIM(U608)="N/A",IF(AT608=0,"INVALID – N/A not permitted for this check",IF(AND(TRIM(AB608)&lt;&gt;"",TRIM(AB608)&lt;&gt;"Closed"),"INVALID – corrective action still open",IF(AND(NOT(OR(LEN(AZ608)&lt;15,ISNUMBER(MATCH(AZ608,L_Placeholder,0)))),BK608=0,CG608&gt;=8,NOT(OR(LEN(AU608)&lt;2,ISNUMBER(MATCH(AU608,L_Placeholder,0)))),BR608&gt;=3,NOT(OR(LEN(AX608)&lt;2,ISNUMBER(MATCH(AX608,L_Placeholder,0)))),BS608&gt;=3,TRIM(AE608)&lt;&gt;TRIM(T608),AX608&lt;&gt;AU608,CE608=0),"N/A – JUSTIFIED","INVALID – N/A needs a real, settled reason (not 'not applicable' / 'as above' / TBC), a named PIC and a different named verifier"))),IF(OR(TRIM(U608)="Pass",TRIM(U608)="Pass after CA"),IF(NOT(ISNUMBER(AD608)),"INVALID – completion time missing",IF(OR(OR(LEN(AU608)&lt;2,ISNUMBER(MATCH(AU608,L_Placeholder,0))),BR608&lt;3),"INVALID – PIC missing or not a named person (a role such as QA / CSM is not a name)",IF(OR(LEN(AV608)&lt;2,ISNUMBER(MATCH(AV608,L_Placeholder,0))),"INVALID – result / assessment missing",IF(OR(OR(LEN(AW608)&lt;3,ISNUMBER(MATCH(AW608,L_Placeholder,0))),SUMPRODUCT(--ISNUMBER(SEARCH(" "&amp;L_EvidencePhrase&amp;" ",BD608)))&gt;0,BI608=1),"INVALID – evidence missing, placeholder or not yet on file",IF(ISNA(MATCH(TRIM(S608),L_EvidenceType,0)),"INVALID – choose the evidence type from the list (column S)",IF(BL608=0,"INVALID – evidence ID must be the record's own ID only (e.g. SF-2210, IMG_2231, 1045521); a link / file name needs type 'Link / file path'",IF(OR(OR(LEN(AX608)&lt;2,ISNUMBER(MATCH(AX608,L_Placeholder,0))),BS608&lt;3),"INVALID – verifier missing or not a named person (a role such as QA / CSM is not a name)",IF(OR(AX608=AU608,CE608=1,AND(LEN(AU608)&gt;=4,ISNUMBER(SEARCH(AU608,AX608))),AND(LEN(AX608)&gt;=4,ISNUMBER(SEARCH(AX608,AU608)))),"INVALID – verifier must be a different, named person (not the PIC or a role)",IF(BH608=1,"INVALID – result not yet available (awaiting / TBC)",IF(BG608=1,"INVALID – result describes a problem: record Fail, then Pass after CA (or reword if it is not a problem)",IF(BV608=1,"INVALID – wording says not on board: an on-board confirmation needs the item loaded",IF(AND(AQ608=1,OR(OR(LEN(AY608)&lt;3,ISNUMBER(MATCH(AY608,L_Placeholder,0))),BJ608=1,BQ608=0)),"INVALID – batch ID missing, placeholder or not an ID (e.g. PASB-261008-BC-017)",IF(AND(AR608=1,OR(NOT(ISNUMBER(X608)),NOT(ISNUMBER(Y608)))),"INVALID – expected/actual qty missing",IF(AND(AR608=1,OR(X608&lt;=0,Y608&lt;0)),"INVALID – expected qty must be above 0 and actual not negative",IF(AH593="N/A – JUSTIFIED","INVALID – preparation row F18-T12-10 is N/A",IF(AND(AR608=1,ISNUMBER(X593),X608&lt;&gt;X593,TRIM(U608)&lt;&gt;"Pass after CA"),"INVALID – expected qty differs from preparation check F18-T12-10: record the load change as a corrective action (Pass after CA)",IF(BB608&lt;&gt;"",BB608,IF(AND(AS608=1,Documents!$J$22&lt;&gt;"ON FILE"),"INVALID – GLD not on file (Documents sheet)",IF(AND(AS608=2,Documents!$O$22&lt;&gt;"ON FILE"),"INVALID – menu checklist not on file (Documents sheet)",IF(AND(AS608=3,NOT(ISNUMBER(Flights!$AX$22))),"INVALID – enter carrying flight KUL departure (Flights AX)",IF(AND(AS608=3,OR(Flights!$AZ$22&gt;Flights!$AA$22,Flights!$AX$22&lt;Flights!$AA$22-3)),"INVALID – carrying flight (Flights AX) cannot arrive before this leg's STD, or is over 3 days early",IF(AG608&gt;AsOfUTC,"INVALID – completion time is in the future",IF(AND(ISNUMBER(BY608),AG608&lt;BY608),IF(H608="Physical uplift","INVALID – before uplift window (cannot confirm loading)","INVALID – before valid window"),IF(AG608&gt;Flights!$AA$22,"INVALID – completed after departure (cannot establish readiness)",IF(AND(H608="Preparation",AG608&gt;=IF(ISNUMBER(Flights!$BA$22),MIN(Flights!$BA$22,Flights!$AA$22),Flights!$AA$22)),"INVALID – completed after loading / departure (cannot establish readiness)",IF(AND(H608="Physical uplift",AG608&gt;Q608),"INVALID – recorded after the loading flight departed",IF(AG608&gt;Q608,"COMPLETE – LATE","COMPLETE"))))))))))))))))))))))))))),IF(TRIM(U608)="Fail","FAIL – DISCREPANCY",IF(AND(TRIM(U608)&lt;&gt;"",TRIM(U608)&lt;&gt;"Not started",TRIM(U608)&lt;&gt;"In progress"),"INVALID – unrecognised status (use the list)",IF(AsOfUTC&gt;Q608,"OVERDUE",IF(N608="Clarification required","OPEN – CLARIFICATION","OPEN"))))))),"INVALID – error value in an input cell")</f>
        <v>OPEN</v>
      </c>
      <c r="AI608" s="61" t="n">
        <f aca="false">IF(OR(AH608="N/A – RULE",AH608="N/A – JUSTIFIED"),0,1)</f>
        <v>1</v>
      </c>
      <c r="AJ608" s="61" t="n">
        <f aca="false">IF(LEFT(AH608,8)="COMPLETE",1,0)</f>
        <v>0</v>
      </c>
      <c r="AK608" s="61" t="n">
        <f aca="false">IF(AND(AI608=1,AJ608=0,AsOfUTC&gt;Q608),1,0)</f>
        <v>0</v>
      </c>
      <c r="AL608" s="61" t="n">
        <f aca="false">IFERROR(IF(AND(AI608=1,OR(TRIM(U608)="Fail",AND(TRIM(AB608)&lt;&gt;"",TRIM(AB608)&lt;&gt;"Closed"),AND(ISNUMBER(AF608),AF608&lt;&gt;0,TRIM(U608)&lt;&gt;"Pass after CA"))),1,0),1)</f>
        <v>0</v>
      </c>
      <c r="AM608" s="61" t="n">
        <f aca="false">IF(LEFT(AH608,7)="INVALID",1,0)</f>
        <v>0</v>
      </c>
      <c r="AN608" s="61" t="n">
        <f aca="false">IF(AND(N608="Clarification required",AI608=1,AJ608=0),1,0)</f>
        <v>0</v>
      </c>
      <c r="AO608" s="61" t="str">
        <f aca="false">IF(AK608=1,SUM(AK$5:AK608),"")</f>
        <v/>
      </c>
      <c r="AP608" s="61" t="str">
        <f aca="false">IF(AL608=1,SUM(AL$5:AL608),"")</f>
        <v/>
      </c>
      <c r="AQ608" s="61" t="n">
        <v>0</v>
      </c>
      <c r="AR608" s="61" t="n">
        <v>0</v>
      </c>
      <c r="AS608" s="61" t="n">
        <v>0</v>
      </c>
      <c r="AT608" s="61" t="n">
        <v>0</v>
      </c>
      <c r="AU608" s="61" t="str">
        <f aca="false">SUBSTITUTE(SUBSTITUTE(SUBSTITUTE(SUBSTITUTE(SUBSTITUTE(SUBSTITUTE(SUBSTITUTE(SUBSTITUTE(SUBSTITUTE(SUBSTITUTE(SUBSTITUTE(SUBSTITUTE(SUBSTITUTE(SUBSTITUTE(SUBSTITUTE(SUBSTITUTE(LOWER(T608&amp;""),CHAR(10),""),CHAR(13),""),CHAR(9),""),CHAR(160),"")," ",""),".",""),"-",""),"/",""),"?",""),"_",""),",",""),"[",""),"]",""),"(",""),")",""),"*","")</f>
        <v/>
      </c>
      <c r="AV608" s="61" t="str">
        <f aca="false">SUBSTITUTE(SUBSTITUTE(SUBSTITUTE(SUBSTITUTE(SUBSTITUTE(SUBSTITUTE(SUBSTITUTE(SUBSTITUTE(SUBSTITUTE(SUBSTITUTE(SUBSTITUTE(SUBSTITUTE(SUBSTITUTE(SUBSTITUTE(SUBSTITUTE(SUBSTITUTE(LOWER(V608&amp;""),CHAR(10),""),CHAR(13),""),CHAR(9),""),CHAR(160),"")," ",""),".",""),"-",""),"/",""),"?",""),"_",""),",",""),"[",""),"]",""),"(",""),")",""),"*","")</f>
        <v/>
      </c>
      <c r="AW608" s="61" t="str">
        <f aca="false">SUBSTITUTE(SUBSTITUTE(SUBSTITUTE(SUBSTITUTE(SUBSTITUTE(SUBSTITUTE(SUBSTITUTE(SUBSTITUTE(SUBSTITUTE(SUBSTITUTE(SUBSTITUTE(SUBSTITUTE(SUBSTITUTE(SUBSTITUTE(SUBSTITUTE(SUBSTITUTE(LOWER(Z608&amp;""),CHAR(10),""),CHAR(13),""),CHAR(9),""),CHAR(160),"")," ",""),".",""),"-",""),"/",""),"?",""),"_",""),",",""),"[",""),"]",""),"(",""),")",""),"*","")</f>
        <v/>
      </c>
      <c r="AX608" s="61" t="str">
        <f aca="false">SUBSTITUTE(SUBSTITUTE(SUBSTITUTE(SUBSTITUTE(SUBSTITUTE(SUBSTITUTE(SUBSTITUTE(SUBSTITUTE(SUBSTITUTE(SUBSTITUTE(SUBSTITUTE(SUBSTITUTE(SUBSTITUTE(SUBSTITUTE(SUBSTITUTE(SUBSTITUTE(LOWER(AE608&amp;""),CHAR(10),""),CHAR(13),""),CHAR(9),""),CHAR(160),"")," ",""),".",""),"-",""),"/",""),"?",""),"_",""),",",""),"[",""),"]",""),"(",""),")",""),"*","")</f>
        <v/>
      </c>
      <c r="AY608" s="61" t="str">
        <f aca="false">SUBSTITUTE(SUBSTITUTE(SUBSTITUTE(SUBSTITUTE(SUBSTITUTE(SUBSTITUTE(SUBSTITUTE(SUBSTITUTE(SUBSTITUTE(SUBSTITUTE(SUBSTITUTE(SUBSTITUTE(SUBSTITUTE(SUBSTITUTE(SUBSTITUTE(SUBSTITUTE(LOWER(W608&amp;""),CHAR(10),""),CHAR(13),""),CHAR(9),""),CHAR(160),"")," ",""),".",""),"-",""),"/",""),"?",""),"_",""),",",""),"[",""),"]",""),"(",""),")",""),"*","")</f>
        <v/>
      </c>
      <c r="AZ608" s="61" t="str">
        <f aca="false">SUBSTITUTE(SUBSTITUTE(SUBSTITUTE(SUBSTITUTE(SUBSTITUTE(SUBSTITUTE(SUBSTITUTE(SUBSTITUTE(SUBSTITUTE(SUBSTITUTE(SUBSTITUTE(SUBSTITUTE(SUBSTITUTE(SUBSTITUTE(SUBSTITUTE(SUBSTITUTE(LOWER(AC608&amp;""),CHAR(10),""),CHAR(13),""),CHAR(9),""),CHAR(160),"")," ",""),".",""),"-",""),"/",""),"?",""),"_",""),",",""),"[",""),"]",""),"(",""),")",""),"*","")</f>
        <v/>
      </c>
      <c r="BA608" s="61" t="str">
        <f aca="false">SUBSTITUTE(SUBSTITUTE(SUBSTITUTE(SUBSTITUTE(SUBSTITUTE(SUBSTITUTE(SUBSTITUTE(SUBSTITUTE(SUBSTITUTE(SUBSTITUTE(SUBSTITUTE(SUBSTITUTE(SUBSTITUTE(SUBSTITUTE(SUBSTITUTE(SUBSTITUTE(LOWER(AA608&amp;""),CHAR(10),""),CHAR(13),""),CHAR(9),""),CHAR(160),"")," ",""),".",""),"-",""),"/",""),"?",""),"_",""),",",""),"[",""),"]",""),"(",""),")",""),"*","")</f>
        <v/>
      </c>
      <c r="BB608" s="61" t="str">
        <f aca="false">IF(AND(TRIM(U608)="Pass",ISNUMBER(AF608)),IF(AF608&lt;&gt;0,"INVALID – qty variance: use Fail or Pass after CA",""),"")&amp;IF(AND(TRIM(U608)="Pass after CA",ISNUMBER(AF608)),IF(AF608&lt;&gt;0,"INVALID – after the corrective action the actual qty must equal expected (update Actual)",""),"")&amp;IF(AND(TRIM(U608)="Pass",TRIM(AB608)&lt;&gt;"",TRIM(AB608)&lt;&gt;"Closed"),"INVALID – corrective action not closed: use Fail, then Pass after CA","")&amp;IF(AND(LEN(BA608)&gt;=2,ISNA(MATCH(LEFT(BA608,255),L_Placeholder,0)),TRIM(AB608)=""),"INVALID – CA status missing for the recorded corrective action","")&amp;IF(AND(TRIM(U608)="Pass after CA",OR(OR(LEN(BA608)&lt;5,ISNUMBER(MATCH(BA608,L_Placeholder,0))),TRIM(AB608)&lt;&gt;"Closed")),"INVALID – corrective action not recorded/closed","")</f>
        <v/>
      </c>
      <c r="BC608" s="61" t="str">
        <f aca="false">" "&amp;TRIM(SUBSTITUTE(SUBSTITUTE(SUBSTITUTE(SUBSTITUTE(SUBSTITUTE(SUBSTITUTE(SUBSTITUTE(SUBSTITUTE(SUBSTITUTE(SUBSTITUTE(SUBSTITUTE(SUBSTITUTE(SUBSTITUTE(SUBSTITUTE(SUBSTITUTE(SUBSTITUTE(SUBSTITUTE(SUBSTITUTE(SUBSTITUTE(SUBSTITUTE(SUBSTITUTE(SUBSTITUTE(SUBSTITUTE(SUBSTITUTE(LOWER(V608&amp;""),CHAR(10)," "),CHAR(13)," "),CHAR(9)," "),CHAR(160)," "),"."," "),","," "),"-"," "),"/"," "),"("," "),")"," "),":"," "),";"," "),"_"," "),"–"," "),"?"," "),"!"," "),"*"," "),"["," "),"]"," "),"'"," "),"#"," "),"+"," "),"&amp;"," "),"\"," "))&amp;" "</f>
        <v>  </v>
      </c>
      <c r="BD608" s="61" t="str">
        <f aca="false">" "&amp;TRIM(SUBSTITUTE(SUBSTITUTE(SUBSTITUTE(SUBSTITUTE(SUBSTITUTE(SUBSTITUTE(SUBSTITUTE(SUBSTITUTE(SUBSTITUTE(SUBSTITUTE(SUBSTITUTE(SUBSTITUTE(SUBSTITUTE(SUBSTITUTE(SUBSTITUTE(SUBSTITUTE(SUBSTITUTE(SUBSTITUTE(SUBSTITUTE(SUBSTITUTE(SUBSTITUTE(SUBSTITUTE(SUBSTITUTE(SUBSTITUTE(LOWER(Z608&amp;""),CHAR(10)," "),CHAR(13)," "),CHAR(9)," "),CHAR(160)," "),"."," "),","," "),"-"," "),"/"," "),"("," "),")"," "),":"," "),";"," "),"_"," "),"–"," "),"?"," "),"!"," "),"*"," "),"["," "),"]"," "),"'"," "),"#"," "),"+"," "),"&amp;"," "),"\"," "))&amp;" "</f>
        <v>  </v>
      </c>
      <c r="BE608" s="61" t="str">
        <f aca="false">" "&amp;TRIM(SUBSTITUTE(SUBSTITUTE(SUBSTITUTE(SUBSTITUTE(SUBSTITUTE(SUBSTITUTE(SUBSTITUTE(SUBSTITUTE(SUBSTITUTE(SUBSTITUTE(SUBSTITUTE(SUBSTITUTE(SUBSTITUTE(SUBSTITUTE(SUBSTITUTE(SUBSTITUTE(SUBSTITUTE(SUBSTITUTE(SUBSTITUTE(SUBSTITUTE(SUBSTITUTE(SUBSTITUTE(SUBSTITUTE(SUBSTITUTE(LOWER(W608&amp;""),CHAR(10)," "),CHAR(13)," "),CHAR(9)," "),CHAR(160)," "),"."," "),","," "),"-"," "),"/"," "),"("," "),")"," "),":"," "),";"," "),"_"," "),"–"," "),"?"," "),"!"," "),"*"," "),"["," "),"]"," "),"'"," "),"#"," "),"+"," "),"&amp;"," "),"\"," "))&amp;" "</f>
        <v>  </v>
      </c>
      <c r="BF608" s="61" t="str">
        <f aca="false">" "&amp;TRIM(SUBSTITUTE(SUBSTITUTE(SUBSTITUTE(SUBSTITUTE(SUBSTITUTE(SUBSTITUTE(SUBSTITUTE(SUBSTITUTE(SUBSTITUTE(SUBSTITUTE(SUBSTITUTE(SUBSTITUTE(SUBSTITUTE(SUBSTITUTE(SUBSTITUTE(SUBSTITUTE(SUBSTITUTE(SUBSTITUTE(SUBSTITUTE(SUBSTITUTE(SUBSTITUTE(SUBSTITUTE(SUBSTITUTE(SUBSTITUTE(LOWER(AC608&amp;""),CHAR(10)," "),CHAR(13)," "),CHAR(9)," "),CHAR(160)," "),"."," "),","," "),"-"," "),"/"," "),"("," "),")"," "),":"," "),";"," "),"_"," "),"–"," "),"?"," "),"!"," "),"*"," "),"["," "),"]"," "),"'"," "),"#"," "),"+"," "),"&amp;"," "),"\"," "))&amp;" "</f>
        <v>  </v>
      </c>
      <c r="BG608" s="61" t="n">
        <f aca="false">IFERROR(IF(AND(TRIM(U608)="Pass",SUMPRODUCT((LEN(BC608)-LEN(SUBSTITUTE(BC608," "&amp;L_ResultBad&amp;" "," ")))/(LEN(L_ResultBad)+1))&gt;SUMPRODUCT((LEN(BC608)-LEN(SUBSTITUTE(BC608," "&amp;L_NegPhrase&amp;" "," ")))/(LEN(L_NegPhrase)+1))),1,0),0)</f>
        <v>0</v>
      </c>
      <c r="BH608" s="61" t="n">
        <f aca="false">IFERROR(IF(SUMPRODUCT((LEN(BC608)-LEN(SUBSTITUTE(BC608," "&amp;L_Pending&amp;" "," ")))/(LEN(L_Pending)+1))&gt;SUMPRODUCT((LEN(BC608)-LEN(SUBSTITUTE(BC608," "&amp;L_PendNeg&amp;" "," ")))/(LEN(L_PendNeg)+1)),1,0),1)</f>
        <v>0</v>
      </c>
      <c r="BI608" s="61" t="n">
        <f aca="false">IFERROR(IF(SUMPRODUCT((LEN(BD608)-LEN(SUBSTITUTE(BD608," "&amp;L_PendStrict&amp;" "," ")))/(LEN(L_PendStrict)+1))&gt;SUMPRODUCT((LEN(BD608)-LEN(SUBSTITUTE(BD608," "&amp;L_PendNeg&amp;" "," ")))/(LEN(L_PendNeg)+1)),1,0),1)</f>
        <v>0</v>
      </c>
      <c r="BJ608" s="61" t="n">
        <f aca="false">IFERROR(IF(SUMPRODUCT((LEN(BE608)-LEN(SUBSTITUTE(BE608," "&amp;L_Pending&amp;" "," ")))/(LEN(L_Pending)+1))&gt;SUMPRODUCT((LEN(BE608)-LEN(SUBSTITUTE(BE608," "&amp;L_PendNeg&amp;" "," ")))/(LEN(L_PendNeg)+1)),1,0),1)</f>
        <v>0</v>
      </c>
      <c r="BK608" s="61" t="n">
        <f aca="false">IFERROR(IF(SUMPRODUCT((LEN(BF608)-LEN(SUBSTITUTE(BF608," "&amp;L_PendStrict&amp;" "," ")))/(LEN(L_PendStrict)+1))&gt;SUMPRODUCT((LEN(BF608)-LEN(SUBSTITUTE(BF608," "&amp;L_PendNeg&amp;" "," ")))/(LEN(L_PendNeg)+1)),1,0),1)</f>
        <v>0</v>
      </c>
      <c r="BL608" s="61" t="n">
        <f aca="false">IF(ISNA(MATCH(TRIM(S608),L_EvidenceType,0)),0,BZ608)</f>
        <v>0</v>
      </c>
      <c r="BM608" s="61" t="str">
        <f aca="false">SUBSTITUTE(SUBSTITUTE(SUBSTITUTE(SUBSTITUTE(SUBSTITUTE(SUBSTITUTE(SUBSTITUTE(SUBSTITUTE(SUBSTITUTE(LOWER(Z608&amp;""),"1","0"),"2","0"),"3","0"),"4","0"),"5","0"),"6","0"),"7","0"),"8","0"),"9","0")</f>
        <v/>
      </c>
      <c r="BN608" s="61" t="str">
        <f aca="false">SUBSTITUTE(SUBSTITUTE(SUBSTITUTE(SUBSTITUTE(SUBSTITUTE(SUBSTITUTE(SUBSTITUTE(SUBSTITUTE(SUBSTITUTE(SUBSTITUTE(SUBSTITUTE(SUBSTITUTE(SUBSTITUTE(SUBSTITUTE(SUBSTITUTE(SUBSTITUTE(SUBSTITUTE(SUBSTITUTE(SUBSTITUTE(SUBSTITUTE(SUBSTITUTE(SUBSTITUTE(SUBSTITUTE(SUBSTITUTE(SUBSTITUTE(BM608,"b","a"),"c","a"),"d","a"),"e","a"),"f","a"),"g","a"),"h","a"),"i","a"),"j","a"),"k","a"),"l","a"),"m","a"),"n","a"),"o","a"),"p","a"),"q","a"),"r","a"),"s","a"),"t","a"),"u","a"),"v","a"),"w","a"),"x","a"),"y","a"),"z","a")</f>
        <v/>
      </c>
      <c r="BO608" s="61" t="str">
        <f aca="false">SUBSTITUTE(SUBSTITUTE(SUBSTITUTE(SUBSTITUTE(SUBSTITUTE(SUBSTITUTE(SUBSTITUTE(SUBSTITUTE(SUBSTITUTE(LOWER(W608&amp;""),"1","0"),"2","0"),"3","0"),"4","0"),"5","0"),"6","0"),"7","0"),"8","0"),"9","0")</f>
        <v/>
      </c>
      <c r="BP608" s="61" t="str">
        <f aca="false">SUBSTITUTE(SUBSTITUTE(SUBSTITUTE(SUBSTITUTE(SUBSTITUTE(SUBSTITUTE(SUBSTITUTE(SUBSTITUTE(SUBSTITUTE(SUBSTITUTE(SUBSTITUTE(SUBSTITUTE(SUBSTITUTE(SUBSTITUTE(SUBSTITUTE(SUBSTITUTE(SUBSTITUTE(SUBSTITUTE(SUBSTITUTE(SUBSTITUTE(SUBSTITUTE(SUBSTITUTE(SUBSTITUTE(SUBSTITUTE(SUBSTITUTE(BO608,"b","a"),"c","a"),"d","a"),"e","a"),"f","a"),"g","a"),"h","a"),"i","a"),"j","a"),"k","a"),"l","a"),"m","a"),"n","a"),"o","a"),"p","a"),"q","a"),"r","a"),"s","a"),"t","a"),"u","a"),"v","a"),"w","a"),"x","a"),"y","a"),"z","a")</f>
        <v/>
      </c>
      <c r="BQ608" s="61" t="n">
        <f aca="false">IFERROR(IF(AND(ISERROR(SEARCH(" mh"," "&amp;LOWER(W608))),ISNA(MATCH(LEFT(TRIM(BP608),255),{"0000a","000a","00a","0000aa","000aa","00aa","0aa","0000aaa","000aaa","00a00","0a00","0000-0000","00:00","a00","a0","00.00.0000","00/00/0000","00-00-0000","0000-00-00","0000/00/00","0000.00.00","00.00.00","00/00/00","00-00-00","0.00.0000","0/00/0000","0-00-0000"},0)),ISNA(MATCH(LEFT(TRIM(CA608),255),{"0000a","000a","00a","0000aa","000aa","00aa","0aa","0000aaa","000aaa","00a00","0a00","0000-0000","00:00","a00","a0","00.00.0000","00/00/0000","00-00-0000","0000-00-00","0000/00/00","0000.00.00","00.00.00","00/00/00","00-00-00","0.00.0000","0/00/0000","0-00-0000"},0)),LEN(CB608)&gt;=3,NOT(OR(SUBSTITUTE(CB608,"0","")="",AND(LEN(CB608)&gt;=4,CB608=REPT(LEFT(CB608),LEN(CB608))),ISNUMBER(MATCH(CB608,{"123","1234","12345","123456","1234567","12345678","0123","01234","012345","98765","987654","54321"},0)),AND(LEN(CB608)=8,LEFT(CB608,3)="202"))),OR(AND((LEN(CA608)-LEN(SUBSTITUTE(CA608,"a","")))&gt;=1,SUMPRODUCT(--ISNUMBER(SEARCH({"a0","a-0","a_0","a/0","a.0","a#0","0a","0-a","0_a","0/a"},BP608)))&gt;0),ISNUMBER(SEARCH("000000",BP608)))),1,0),0)</f>
        <v>0</v>
      </c>
      <c r="BR608" s="61" t="n">
        <f aca="false">IFERROR(LEN(SUBSTITUTE(CC608," ",""))-SUMPRODUCT((LEN(CC608)-LEN(SUBSTITUTE(CC608," "&amp;L_Role&amp;" "," ")))/(LEN(L_Role)+1)*LEN(L_Role)),0)</f>
        <v>0</v>
      </c>
      <c r="BS608" s="61" t="n">
        <f aca="false">IFERROR(LEN(SUBSTITUTE(CD608," ",""))-SUMPRODUCT((LEN(CD608)-LEN(SUBSTITUTE(CD608," "&amp;L_Role&amp;" "," ")))/(LEN(L_Role)+1)*LEN(L_Role)),0)</f>
        <v>0</v>
      </c>
      <c r="BT6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608,"revision",""),"version",""),"jan",""),"feb",""),"mar",""),"apr",""),"may",""),"jun",""),"jul",""),"aug",""),"sep",""),"oct",""),"nov",""),"dec",""),"utc",""),"gmt",""),"myt",""),"bst",""),"rev",""),"ver",""),"b","a"),"c","a"),"d","a"),"e","a"),"f","a"),"g","a"),"h","a"),"i","a"),"j","a"),"k","a"),"l","a"),"m","a"),"n","a"),"o","a"),"p","a"),"q","a"),"r","a"),"s","a"),"t","a"),"u","a"),"v","a"),"w","a"),"x","a"),"y","a"),"z","a")</f>
        <v/>
      </c>
      <c r="BU608" s="61" t="str">
        <f aca="false">SUBSTITUTE(SUBSTITUTE(SUBSTITUTE(SUBSTITUTE(SUBSTITUTE(SUBSTITUTE(SUBSTITUTE(SUBSTITUTE(SUBSTITUTE(SUBSTITUTE(LEFT(BM608,FIND("0",BM608&amp;"0")-1),"-",""),"_",""),"/",""),".",""),"#",""),"\\",""),":","")," ",""),"(",""),")","")</f>
        <v/>
      </c>
      <c r="BV608" s="61" t="n">
        <f aca="false">IFERROR(IF(OR(SUMPRODUCT((LEN(BC608)-LEN(SUBSTITUTE(BC608," "&amp;L_NotLoaded&amp;" "," ")))/(LEN(L_NotLoaded)+1))&gt;SUMPRODUCT((LEN(BC608)-LEN(SUBSTITUTE(BC608," "&amp;L_NotLoadedNeg&amp;" "," ")))/(LEN(L_NotLoadedNeg)+1)),SUMPRODUCT((LEN(BD608)-LEN(SUBSTITUTE(BD608," "&amp;L_NotLoaded&amp;" "," ")))/(LEN(L_NotLoaded)+1))&gt;SUMPRODUCT((LEN(BD608)-LEN(SUBSTITUTE(BD608," "&amp;L_NotLoadedNeg&amp;" "," ")))/(LEN(L_NotLoadedNeg)+1))),1,0),0)</f>
        <v>0</v>
      </c>
      <c r="BW6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608&amp;""),"a",""),"b",""),"c",""),"d",""),"e",""),"f",""),"g",""),"h",""),"i",""),"j",""),"k",""),"l",""),"m",""),"n",""),"o",""),"p",""),"q",""),"r",""),"s",""),"t",""),"u",""),"v",""),"w",""),"x",""),"y",""),"z",""),"-",""),"_",""),"/",""),".",""),"#",""),"\\",""),":","")," ",""),"(",""),")","")</f>
        <v/>
      </c>
      <c r="BX608" s="61" t="str">
        <f aca="false">SUBSTITUTE(SUBSTITUTE(SUBSTITUTE(SUBSTITUTE(SUBSTITUTE(SUBSTITUTE(SUBSTITUTE(SUBSTITUTE(SUBSTITUTE(SUBSTITUTE(SUBSTITUTE(BM608,"0",""),"-",""),"_",""),"/",""),".",""),"#",""),"\\",""),":","")," ",""),"(",""),")","")</f>
        <v/>
      </c>
      <c r="BY608" s="62" t="n">
        <f aca="false">IF(ISNUMBER(Flights!$AZ$22),MAX(Q608-UpliftWindowH/24,Flights!$AZ$22),Q608-UpliftWindowH/24)</f>
        <v>46322.3506944444</v>
      </c>
      <c r="BZ608" s="61" t="n">
        <f aca="false">IFERROR(IF(IF(TRIM(S608)="Link / file path",AND(LEN(TRIM(Z608))&gt;=5,SUMPRODUCT(--ISNUMBER(SEARCH({"http","www.","\\",":\",".pdf",".jpg",".jpeg",".png",".heic",".xls",".doc",".msg",".eml",".ppt",".txt",".zip"},Z608)))&gt;0),AND(ISERROR(FIND(" ",TRIM(Z608))),NOT(OR(SUMPRODUCT(--ISNUMBER(FIND({",",";","&amp;","+"},Z608)))&gt;0,SUMPRODUCT(--ISNUMBER(SEARCH({"0/aa","0\\aa"},BN608)))&gt;0)),NOT(SUMPRODUCT(--ISNUMBER(SEARCH({"http","www.","\\",":\",".pdf",".jpg",".jpeg",".png",".heic",".xls",".doc",".msg",".eml",".ppt",".txt",".zip"},Z608)))&gt;0),NOT(LOWER(TRIM(Z608))=LOWER(Flights!$F$22)),ISNA(MATCH(BU608,{"mh","rev","revision","ver","version","v","r","a","b","seat","tray","row","gate","bay","stand","page","pg","item","line","no","cart","galley","flight","flt","table","box","bag","oven","etd","eta","std","sta","atd","ata","qty","pax","x","time","tel","ph","mob","day","wk","week","utc","gmt","myt","lt"},0)),NOT(OR(ISNUMBER(MATCH(LEFT(BN608,255),{"0000a","000a","00a","0000aa","000aa","00aa","0aa","0000aaa","000aaa","00a00","0a00","0000-0000","00:00","a00","a0","00.00.0000","00/00/0000","00-00-0000","0000-00-00","0000/00/00","0000.00.00","00.00.00","00/00/00","00-00-00","0.00.0000","0/00/0000","0-00-0000"},0)),ISNUMBER(MATCH(LEFT(BT608,255),{"0000a","000a","00a","0000aa","000aa","00aa","0aa","0000aaa","000aaa","00a00","0a00","0000-0000","00:00","a00","a0","00.00.0000","00/00/0000","00-00-0000","0000-00-00","0000/00/00","0000.00.00","00.00.00","00/00/00","00-00-00","0.00.0000","0/00/0000","0-00-0000"},0)))),NOT(OR(AND(BW608&lt;&gt;"",SUBSTITUTE(BW608,"0","")=""),AND(LEN(BW608)&gt;=4,BW608=REPT(LEFT(BW608),LEN(BW608))),ISNUMBER(MATCH(BW608,{"123","1234","12345","123456","1234567","12345678","0123","01234","012345","98765","987654","54321"},0)),ISNUMBER(MATCH(BX608,{"x","xx","xxx","xxxx","xxxxx","abc","abcd","nil","na","nan","test","tbc","tba","tbd","dummy","sample","example","eg","zz","zzz","none","null","xyz","qwe","asd","id","ref"},0)),AND(LEN(BW608)=8,BX608="",OR(LEFT(BW608,3)="202",ISNUMBER(MATCH(RIGHT(BW608,4),{"2025","2026","2027"},0)))))),OR(AND((LEN(BT608)-LEN(SUBSTITUTE(BT608,"a","")))&gt;=1,(LEN(BN608)-LEN(SUBSTITUTE(BN608,"0","")))&gt;=2,SUMPRODUCT(--ISNUMBER(SEARCH({"a0","a-0","a_0","a/0","a.0","a#0","0a","0-a","0_a","0/a"},BN608)))&gt;0),AND((LEN(BN608)-LEN(SUBSTITUTE(BN608,"a","")))=0,(LEN(BN608)-LEN(SUBSTITUTE(BN608,"0","")))&gt;=5)))),1,0),0)</f>
        <v>0</v>
      </c>
      <c r="CA6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608,"revision",""),"version",""),"jan",""),"feb",""),"mar",""),"apr",""),"may",""),"jun",""),"jul",""),"aug",""),"sep",""),"oct",""),"nov",""),"dec",""),"utc",""),"gmt",""),"myt",""),"bst",""),"rev",""),"ver",""),"b","a"),"c","a"),"d","a"),"e","a"),"f","a"),"g","a"),"h","a"),"i","a"),"j","a"),"k","a"),"l","a"),"m","a"),"n","a"),"o","a"),"p","a"),"q","a"),"r","a"),"s","a"),"t","a"),"u","a"),"v","a"),"w","a"),"x","a"),"y","a"),"z","a")</f>
        <v/>
      </c>
      <c r="CB6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608&amp;""),"a",""),"b",""),"c",""),"d",""),"e",""),"f",""),"g",""),"h",""),"i",""),"j",""),"k",""),"l",""),"m",""),"n",""),"o",""),"p",""),"q",""),"r",""),"s",""),"t",""),"u",""),"v",""),"w",""),"x",""),"y",""),"z",""),"-",""),"_",""),"/",""),".",""),"#",""),"\\",""),":","")," ",""),"(",""),")","")</f>
        <v/>
      </c>
      <c r="CC608" s="0" t="str">
        <f aca="false">" "&amp;TRIM(SUBSTITUTE(SUBSTITUTE(SUBSTITUTE(SUBSTITUTE(SUBSTITUTE(SUBSTITUTE(SUBSTITUTE(SUBSTITUTE(SUBSTITUTE(SUBSTITUTE(SUBSTITUTE(SUBSTITUTE(SUBSTITUTE(SUBSTITUTE(SUBSTITUTE(SUBSTITUTE(SUBSTITUTE(SUBSTITUTE(SUBSTITUTE(SUBSTITUTE(SUBSTITUTE(SUBSTITUTE(SUBSTITUTE(SUBSTITUTE(LOWER(T608&amp;""),CHAR(10)," "),CHAR(13)," "),CHAR(9)," "),CHAR(160)," "),"."," "),","," "),"-"," "),"/"," "),"("," "),")"," "),":"," "),";"," "),"_"," "),"–"," "),"?"," "),"!"," "),"*"," "),"["," "),"]"," "),"'"," "),"#"," "),"+"," "),"&amp;"," "),"\"," "))&amp;" "</f>
        <v>  </v>
      </c>
      <c r="CD608" s="0" t="str">
        <f aca="false">" "&amp;TRIM(SUBSTITUTE(SUBSTITUTE(SUBSTITUTE(SUBSTITUTE(SUBSTITUTE(SUBSTITUTE(SUBSTITUTE(SUBSTITUTE(SUBSTITUTE(SUBSTITUTE(SUBSTITUTE(SUBSTITUTE(SUBSTITUTE(SUBSTITUTE(SUBSTITUTE(SUBSTITUTE(SUBSTITUTE(SUBSTITUTE(SUBSTITUTE(SUBSTITUTE(SUBSTITUTE(SUBSTITUTE(SUBSTITUTE(SUBSTITUTE(LOWER(AE608&amp;""),CHAR(10)," "),CHAR(13)," "),CHAR(9)," "),CHAR(160)," "),"."," "),","," "),"-"," "),"/"," "),"("," "),")"," "),":"," "),";"," "),"_"," "),"–"," "),"?"," "),"!"," "),"*"," "),"["," "),"]"," "),"'"," "),"#"," "),"+"," "),"&amp;"," "),"\"," "))&amp;" "</f>
        <v>  </v>
      </c>
      <c r="CE608" s="68" t="n">
        <f aca="false">IFERROR(IF(AND(LEN(AU608)&gt;0,LEN(AU608)=LEN(AX608),OR(TRIM(MID(SUBSTITUTE(TRIM(CC608)," ",REPT(" ",60)),1,60))="",ISNUMBER(SEARCH(" "&amp;TRIM(MID(SUBSTITUTE(TRIM(CC608)," ",REPT(" ",60)),1,60))&amp;" ",CD608))),OR(TRIM(MID(SUBSTITUTE(TRIM(CC608)," ",REPT(" ",60)),61,60))="",ISNUMBER(SEARCH(" "&amp;TRIM(MID(SUBSTITUTE(TRIM(CC608)," ",REPT(" ",60)),61,60))&amp;" ",CD608))),OR(TRIM(MID(SUBSTITUTE(TRIM(CC608)," ",REPT(" ",60)),121,60))="",ISNUMBER(SEARCH(" "&amp;TRIM(MID(SUBSTITUTE(TRIM(CC608)," ",REPT(" ",60)),121,60))&amp;" ",CD608)))),1,0),0)</f>
        <v>0</v>
      </c>
      <c r="CG608" s="68" t="n">
        <f aca="false">IFERROR(LEN(SUBSTITUTE(BF608," ",""))-SUMPRODUCT((LEN(BF608)-LEN(SUBSTITUTE(BF608," "&amp;L_NAFiller&amp;" "," ")))/(LEN(L_NAFiller)+1)*LEN(L_NAFiller)),0)</f>
        <v>0</v>
      </c>
    </row>
    <row r="609" customFormat="false" ht="39.75" hidden="false" customHeight="true" outlineLevel="0" collapsed="false">
      <c r="A609" s="57" t="s">
        <v>1318</v>
      </c>
      <c r="B609" s="57" t="s">
        <v>293</v>
      </c>
      <c r="C609" s="57" t="str">
        <f aca="false">Flights!$F$22</f>
        <v>MH0052</v>
      </c>
      <c r="D609" s="58" t="n">
        <f aca="false">Flights!$D$22</f>
        <v>46322</v>
      </c>
      <c r="E609" s="57" t="str">
        <f aca="false">Flights!$G$22&amp;"-"&amp;Flights!$H$22</f>
        <v>KUL-KIX</v>
      </c>
      <c r="F609" s="57" t="str">
        <f aca="false">Flights!$K$22</f>
        <v>BC</v>
      </c>
      <c r="G609" s="57" t="s">
        <v>459</v>
      </c>
      <c r="H609" s="57" t="s">
        <v>460</v>
      </c>
      <c r="I609" s="57" t="s">
        <v>499</v>
      </c>
      <c r="J609" s="57" t="s">
        <v>541</v>
      </c>
      <c r="K609" s="67" t="s">
        <v>501</v>
      </c>
      <c r="L609" s="67" t="s">
        <v>1292</v>
      </c>
      <c r="M609" s="67" t="s">
        <v>451</v>
      </c>
      <c r="N609" s="67" t="s">
        <v>383</v>
      </c>
      <c r="O609" s="67"/>
      <c r="P609" s="57" t="s">
        <v>187</v>
      </c>
      <c r="Q609" s="59" t="n">
        <f aca="false">ROUND((Flights!$AF$22)*1440,0)/1440</f>
        <v>46322.6006944444</v>
      </c>
      <c r="R609" s="59" t="n">
        <f aca="false">Q609+(IF(AND(INDEX(TZ_DSTS,MATCH(P609,TZ_STN,0))&lt;&gt;"",Q609&gt;=INDEX(TZ_DSTS,MATCH(P609,TZ_STN,0)),Q609&lt;INDEX(TZ_DSTE,MATCH(P609,TZ_STN,0))),INDEX(TZ_DST,MATCH(P609,TZ_STN,0)),INDEX(TZ_STD,MATCH(P609,TZ_STN,0))))/24</f>
        <v>46322.9340277778</v>
      </c>
      <c r="S609" s="60"/>
      <c r="T609" s="60"/>
      <c r="U609" s="60"/>
      <c r="V609" s="60"/>
      <c r="W609" s="61"/>
      <c r="X609" s="60"/>
      <c r="Y609" s="60"/>
      <c r="Z609" s="60"/>
      <c r="AA609" s="60"/>
      <c r="AB609" s="60"/>
      <c r="AC609" s="60"/>
      <c r="AD609" s="66"/>
      <c r="AE609" s="60"/>
      <c r="AF609" s="61" t="str">
        <f aca="false">IF(AND(ISNUMBER(X609),ISNUMBER(Y609)),Y609-X609,"")</f>
        <v/>
      </c>
      <c r="AG609" s="62" t="str">
        <f aca="false">IF(ISNUMBER(AD609),AD609-(IF(AND(INDEX(TZ_DSTS,MATCH(P609,TZ_STN,0))&lt;&gt;"",(AD609-INDEX(TZ_STD,MATCH(P609,TZ_STN,0))/24)&gt;=INDEX(TZ_DSTS,MATCH(P609,TZ_STN,0)),(AD609-INDEX(TZ_STD,MATCH(P609,TZ_STN,0))/24)&lt;INDEX(TZ_DSTE,MATCH(P609,TZ_STN,0))),INDEX(TZ_DST,MATCH(P609,TZ_STN,0)),INDEX(TZ_STD,MATCH(P609,TZ_STN,0))))/24,"")</f>
        <v/>
      </c>
      <c r="AH609" s="65" t="str">
        <f aca="false">IFERROR(IF(N609="N/A – rule",IF(OR(TRIM(U609)="",TRIM(U609)="N/A",TRIM(U609)="Not started"),"N/A – RULE","INVALID – this check does not apply to this aircraft: clear the status (or correct the fleet on Flights)"),IF(TRIM(U609)="N/A",IF(AT609=0,"INVALID – N/A not permitted for this check",IF(AND(TRIM(AB609)&lt;&gt;"",TRIM(AB609)&lt;&gt;"Closed"),"INVALID – corrective action still open",IF(AND(NOT(OR(LEN(AZ609)&lt;15,ISNUMBER(MATCH(AZ609,L_Placeholder,0)))),BK609=0,CG609&gt;=8,NOT(OR(LEN(AU609)&lt;2,ISNUMBER(MATCH(AU609,L_Placeholder,0)))),BR609&gt;=3,NOT(OR(LEN(AX609)&lt;2,ISNUMBER(MATCH(AX609,L_Placeholder,0)))),BS609&gt;=3,TRIM(AE609)&lt;&gt;TRIM(T609),AX609&lt;&gt;AU609,CE609=0),"N/A – JUSTIFIED","INVALID – N/A needs a real, settled reason (not 'not applicable' / 'as above' / TBC), a named PIC and a different named verifier"))),IF(OR(TRIM(U609)="Pass",TRIM(U609)="Pass after CA"),IF(NOT(ISNUMBER(AD609)),"INVALID – completion time missing",IF(OR(OR(LEN(AU609)&lt;2,ISNUMBER(MATCH(AU609,L_Placeholder,0))),BR609&lt;3),"INVALID – PIC missing or not a named person (a role such as QA / CSM is not a name)",IF(OR(LEN(AV609)&lt;2,ISNUMBER(MATCH(AV609,L_Placeholder,0))),"INVALID – result / assessment missing",IF(OR(OR(LEN(AW609)&lt;3,ISNUMBER(MATCH(AW609,L_Placeholder,0))),SUMPRODUCT(--ISNUMBER(SEARCH(" "&amp;L_EvidencePhrase&amp;" ",BD609)))&gt;0,BI609=1),"INVALID – evidence missing, placeholder or not yet on file",IF(ISNA(MATCH(TRIM(S609),L_EvidenceType,0)),"INVALID – choose the evidence type from the list (column S)",IF(BL609=0,"INVALID – evidence ID must be the record's own ID only (e.g. SF-2210, IMG_2231, 1045521); a link / file name needs type 'Link / file path'",IF(OR(OR(LEN(AX609)&lt;2,ISNUMBER(MATCH(AX609,L_Placeholder,0))),BS609&lt;3),"INVALID – verifier missing or not a named person (a role such as QA / CSM is not a name)",IF(OR(AX609=AU609,CE609=1,AND(LEN(AU609)&gt;=4,ISNUMBER(SEARCH(AU609,AX609))),AND(LEN(AX609)&gt;=4,ISNUMBER(SEARCH(AX609,AU609)))),"INVALID – verifier must be a different, named person (not the PIC or a role)",IF(BH609=1,"INVALID – result not yet available (awaiting / TBC)",IF(BG609=1,"INVALID – result describes a problem: record Fail, then Pass after CA (or reword if it is not a problem)",IF(BV609=1,"INVALID – wording says not on board: an on-board confirmation needs the item loaded",IF(AND(AQ609=1,OR(OR(LEN(AY609)&lt;3,ISNUMBER(MATCH(AY609,L_Placeholder,0))),BJ609=1,BQ609=0)),"INVALID – batch ID missing, placeholder or not an ID (e.g. PASB-261008-BC-017)",IF(AND(AR609=1,OR(NOT(ISNUMBER(X609)),NOT(ISNUMBER(Y609)))),"INVALID – expected/actual qty missing",IF(AND(AR609=1,OR(X609&lt;=0,Y609&lt;0)),"INVALID – expected qty must be above 0 and actual not negative",IF(AH594="N/A – JUSTIFIED","INVALID – preparation row F18-T12-11 is N/A",IF(AND(AR609=1,ISNUMBER(X594),X609&lt;&gt;X594,TRIM(U609)&lt;&gt;"Pass after CA"),"INVALID – expected qty differs from preparation check F18-T12-11: record the load change as a corrective action (Pass after CA)",IF(BB609&lt;&gt;"",BB609,IF(AND(AS609=1,Documents!$J$22&lt;&gt;"ON FILE"),"INVALID – GLD not on file (Documents sheet)",IF(AND(AS609=2,Documents!$O$22&lt;&gt;"ON FILE"),"INVALID – menu checklist not on file (Documents sheet)",IF(AND(AS609=3,NOT(ISNUMBER(Flights!$AX$22))),"INVALID – enter carrying flight KUL departure (Flights AX)",IF(AND(AS609=3,OR(Flights!$AZ$22&gt;Flights!$AA$22,Flights!$AX$22&lt;Flights!$AA$22-3)),"INVALID – carrying flight (Flights AX) cannot arrive before this leg's STD, or is over 3 days early",IF(AG609&gt;AsOfUTC,"INVALID – completion time is in the future",IF(AND(ISNUMBER(BY609),AG609&lt;BY609),IF(H609="Physical uplift","INVALID – before uplift window (cannot confirm loading)","INVALID – before valid window"),IF(AG609&gt;Flights!$AA$22,"INVALID – completed after departure (cannot establish readiness)",IF(AND(H609="Preparation",AG609&gt;=IF(ISNUMBER(Flights!$BA$22),MIN(Flights!$BA$22,Flights!$AA$22),Flights!$AA$22)),"INVALID – completed after loading / departure (cannot establish readiness)",IF(AND(H609="Physical uplift",AG609&gt;Q609),"INVALID – recorded after the loading flight departed",IF(AG609&gt;Q609,"COMPLETE – LATE","COMPLETE"))))))))))))))))))))))))))),IF(TRIM(U609)="Fail","FAIL – DISCREPANCY",IF(AND(TRIM(U609)&lt;&gt;"",TRIM(U609)&lt;&gt;"Not started",TRIM(U609)&lt;&gt;"In progress"),"INVALID – unrecognised status (use the list)",IF(AsOfUTC&gt;Q609,"OVERDUE",IF(N609="Clarification required","OPEN – CLARIFICATION","OPEN"))))))),"INVALID – error value in an input cell")</f>
        <v>OPEN</v>
      </c>
      <c r="AI609" s="61" t="n">
        <f aca="false">IF(OR(AH609="N/A – RULE",AH609="N/A – JUSTIFIED"),0,1)</f>
        <v>1</v>
      </c>
      <c r="AJ609" s="61" t="n">
        <f aca="false">IF(LEFT(AH609,8)="COMPLETE",1,0)</f>
        <v>0</v>
      </c>
      <c r="AK609" s="61" t="n">
        <f aca="false">IF(AND(AI609=1,AJ609=0,AsOfUTC&gt;Q609),1,0)</f>
        <v>0</v>
      </c>
      <c r="AL609" s="61" t="n">
        <f aca="false">IFERROR(IF(AND(AI609=1,OR(TRIM(U609)="Fail",AND(TRIM(AB609)&lt;&gt;"",TRIM(AB609)&lt;&gt;"Closed"),AND(ISNUMBER(AF609),AF609&lt;&gt;0,TRIM(U609)&lt;&gt;"Pass after CA"))),1,0),1)</f>
        <v>0</v>
      </c>
      <c r="AM609" s="61" t="n">
        <f aca="false">IF(LEFT(AH609,7)="INVALID",1,0)</f>
        <v>0</v>
      </c>
      <c r="AN609" s="61" t="n">
        <f aca="false">IF(AND(N609="Clarification required",AI609=1,AJ609=0),1,0)</f>
        <v>0</v>
      </c>
      <c r="AO609" s="61" t="str">
        <f aca="false">IF(AK609=1,SUM(AK$5:AK609),"")</f>
        <v/>
      </c>
      <c r="AP609" s="61" t="str">
        <f aca="false">IF(AL609=1,SUM(AL$5:AL609),"")</f>
        <v/>
      </c>
      <c r="AQ609" s="61" t="n">
        <v>0</v>
      </c>
      <c r="AR609" s="61" t="n">
        <v>0</v>
      </c>
      <c r="AS609" s="61" t="n">
        <v>0</v>
      </c>
      <c r="AT609" s="61" t="n">
        <v>0</v>
      </c>
      <c r="AU609" s="61" t="str">
        <f aca="false">SUBSTITUTE(SUBSTITUTE(SUBSTITUTE(SUBSTITUTE(SUBSTITUTE(SUBSTITUTE(SUBSTITUTE(SUBSTITUTE(SUBSTITUTE(SUBSTITUTE(SUBSTITUTE(SUBSTITUTE(SUBSTITUTE(SUBSTITUTE(SUBSTITUTE(SUBSTITUTE(LOWER(T609&amp;""),CHAR(10),""),CHAR(13),""),CHAR(9),""),CHAR(160),"")," ",""),".",""),"-",""),"/",""),"?",""),"_",""),",",""),"[",""),"]",""),"(",""),")",""),"*","")</f>
        <v/>
      </c>
      <c r="AV609" s="61" t="str">
        <f aca="false">SUBSTITUTE(SUBSTITUTE(SUBSTITUTE(SUBSTITUTE(SUBSTITUTE(SUBSTITUTE(SUBSTITUTE(SUBSTITUTE(SUBSTITUTE(SUBSTITUTE(SUBSTITUTE(SUBSTITUTE(SUBSTITUTE(SUBSTITUTE(SUBSTITUTE(SUBSTITUTE(LOWER(V609&amp;""),CHAR(10),""),CHAR(13),""),CHAR(9),""),CHAR(160),"")," ",""),".",""),"-",""),"/",""),"?",""),"_",""),",",""),"[",""),"]",""),"(",""),")",""),"*","")</f>
        <v/>
      </c>
      <c r="AW609" s="61" t="str">
        <f aca="false">SUBSTITUTE(SUBSTITUTE(SUBSTITUTE(SUBSTITUTE(SUBSTITUTE(SUBSTITUTE(SUBSTITUTE(SUBSTITUTE(SUBSTITUTE(SUBSTITUTE(SUBSTITUTE(SUBSTITUTE(SUBSTITUTE(SUBSTITUTE(SUBSTITUTE(SUBSTITUTE(LOWER(Z609&amp;""),CHAR(10),""),CHAR(13),""),CHAR(9),""),CHAR(160),"")," ",""),".",""),"-",""),"/",""),"?",""),"_",""),",",""),"[",""),"]",""),"(",""),")",""),"*","")</f>
        <v/>
      </c>
      <c r="AX609" s="61" t="str">
        <f aca="false">SUBSTITUTE(SUBSTITUTE(SUBSTITUTE(SUBSTITUTE(SUBSTITUTE(SUBSTITUTE(SUBSTITUTE(SUBSTITUTE(SUBSTITUTE(SUBSTITUTE(SUBSTITUTE(SUBSTITUTE(SUBSTITUTE(SUBSTITUTE(SUBSTITUTE(SUBSTITUTE(LOWER(AE609&amp;""),CHAR(10),""),CHAR(13),""),CHAR(9),""),CHAR(160),"")," ",""),".",""),"-",""),"/",""),"?",""),"_",""),",",""),"[",""),"]",""),"(",""),")",""),"*","")</f>
        <v/>
      </c>
      <c r="AY609" s="61" t="str">
        <f aca="false">SUBSTITUTE(SUBSTITUTE(SUBSTITUTE(SUBSTITUTE(SUBSTITUTE(SUBSTITUTE(SUBSTITUTE(SUBSTITUTE(SUBSTITUTE(SUBSTITUTE(SUBSTITUTE(SUBSTITUTE(SUBSTITUTE(SUBSTITUTE(SUBSTITUTE(SUBSTITUTE(LOWER(W609&amp;""),CHAR(10),""),CHAR(13),""),CHAR(9),""),CHAR(160),"")," ",""),".",""),"-",""),"/",""),"?",""),"_",""),",",""),"[",""),"]",""),"(",""),")",""),"*","")</f>
        <v/>
      </c>
      <c r="AZ609" s="61" t="str">
        <f aca="false">SUBSTITUTE(SUBSTITUTE(SUBSTITUTE(SUBSTITUTE(SUBSTITUTE(SUBSTITUTE(SUBSTITUTE(SUBSTITUTE(SUBSTITUTE(SUBSTITUTE(SUBSTITUTE(SUBSTITUTE(SUBSTITUTE(SUBSTITUTE(SUBSTITUTE(SUBSTITUTE(LOWER(AC609&amp;""),CHAR(10),""),CHAR(13),""),CHAR(9),""),CHAR(160),"")," ",""),".",""),"-",""),"/",""),"?",""),"_",""),",",""),"[",""),"]",""),"(",""),")",""),"*","")</f>
        <v/>
      </c>
      <c r="BA609" s="61" t="str">
        <f aca="false">SUBSTITUTE(SUBSTITUTE(SUBSTITUTE(SUBSTITUTE(SUBSTITUTE(SUBSTITUTE(SUBSTITUTE(SUBSTITUTE(SUBSTITUTE(SUBSTITUTE(SUBSTITUTE(SUBSTITUTE(SUBSTITUTE(SUBSTITUTE(SUBSTITUTE(SUBSTITUTE(LOWER(AA609&amp;""),CHAR(10),""),CHAR(13),""),CHAR(9),""),CHAR(160),"")," ",""),".",""),"-",""),"/",""),"?",""),"_",""),",",""),"[",""),"]",""),"(",""),")",""),"*","")</f>
        <v/>
      </c>
      <c r="BB609" s="61" t="str">
        <f aca="false">IF(AND(TRIM(U609)="Pass",ISNUMBER(AF609)),IF(AF609&lt;&gt;0,"INVALID – qty variance: use Fail or Pass after CA",""),"")&amp;IF(AND(TRIM(U609)="Pass after CA",ISNUMBER(AF609)),IF(AF609&lt;&gt;0,"INVALID – after the corrective action the actual qty must equal expected (update Actual)",""),"")&amp;IF(AND(TRIM(U609)="Pass",TRIM(AB609)&lt;&gt;"",TRIM(AB609)&lt;&gt;"Closed"),"INVALID – corrective action not closed: use Fail, then Pass after CA","")&amp;IF(AND(LEN(BA609)&gt;=2,ISNA(MATCH(LEFT(BA609,255),L_Placeholder,0)),TRIM(AB609)=""),"INVALID – CA status missing for the recorded corrective action","")&amp;IF(AND(TRIM(U609)="Pass after CA",OR(OR(LEN(BA609)&lt;5,ISNUMBER(MATCH(BA609,L_Placeholder,0))),TRIM(AB609)&lt;&gt;"Closed")),"INVALID – corrective action not recorded/closed","")</f>
        <v/>
      </c>
      <c r="BC609" s="61" t="str">
        <f aca="false">" "&amp;TRIM(SUBSTITUTE(SUBSTITUTE(SUBSTITUTE(SUBSTITUTE(SUBSTITUTE(SUBSTITUTE(SUBSTITUTE(SUBSTITUTE(SUBSTITUTE(SUBSTITUTE(SUBSTITUTE(SUBSTITUTE(SUBSTITUTE(SUBSTITUTE(SUBSTITUTE(SUBSTITUTE(SUBSTITUTE(SUBSTITUTE(SUBSTITUTE(SUBSTITUTE(SUBSTITUTE(SUBSTITUTE(SUBSTITUTE(SUBSTITUTE(LOWER(V609&amp;""),CHAR(10)," "),CHAR(13)," "),CHAR(9)," "),CHAR(160)," "),"."," "),","," "),"-"," "),"/"," "),"("," "),")"," "),":"," "),";"," "),"_"," "),"–"," "),"?"," "),"!"," "),"*"," "),"["," "),"]"," "),"'"," "),"#"," "),"+"," "),"&amp;"," "),"\"," "))&amp;" "</f>
        <v>  </v>
      </c>
      <c r="BD609" s="61" t="str">
        <f aca="false">" "&amp;TRIM(SUBSTITUTE(SUBSTITUTE(SUBSTITUTE(SUBSTITUTE(SUBSTITUTE(SUBSTITUTE(SUBSTITUTE(SUBSTITUTE(SUBSTITUTE(SUBSTITUTE(SUBSTITUTE(SUBSTITUTE(SUBSTITUTE(SUBSTITUTE(SUBSTITUTE(SUBSTITUTE(SUBSTITUTE(SUBSTITUTE(SUBSTITUTE(SUBSTITUTE(SUBSTITUTE(SUBSTITUTE(SUBSTITUTE(SUBSTITUTE(LOWER(Z609&amp;""),CHAR(10)," "),CHAR(13)," "),CHAR(9)," "),CHAR(160)," "),"."," "),","," "),"-"," "),"/"," "),"("," "),")"," "),":"," "),";"," "),"_"," "),"–"," "),"?"," "),"!"," "),"*"," "),"["," "),"]"," "),"'"," "),"#"," "),"+"," "),"&amp;"," "),"\"," "))&amp;" "</f>
        <v>  </v>
      </c>
      <c r="BE609" s="61" t="str">
        <f aca="false">" "&amp;TRIM(SUBSTITUTE(SUBSTITUTE(SUBSTITUTE(SUBSTITUTE(SUBSTITUTE(SUBSTITUTE(SUBSTITUTE(SUBSTITUTE(SUBSTITUTE(SUBSTITUTE(SUBSTITUTE(SUBSTITUTE(SUBSTITUTE(SUBSTITUTE(SUBSTITUTE(SUBSTITUTE(SUBSTITUTE(SUBSTITUTE(SUBSTITUTE(SUBSTITUTE(SUBSTITUTE(SUBSTITUTE(SUBSTITUTE(SUBSTITUTE(LOWER(W609&amp;""),CHAR(10)," "),CHAR(13)," "),CHAR(9)," "),CHAR(160)," "),"."," "),","," "),"-"," "),"/"," "),"("," "),")"," "),":"," "),";"," "),"_"," "),"–"," "),"?"," "),"!"," "),"*"," "),"["," "),"]"," "),"'"," "),"#"," "),"+"," "),"&amp;"," "),"\"," "))&amp;" "</f>
        <v>  </v>
      </c>
      <c r="BF609" s="61" t="str">
        <f aca="false">" "&amp;TRIM(SUBSTITUTE(SUBSTITUTE(SUBSTITUTE(SUBSTITUTE(SUBSTITUTE(SUBSTITUTE(SUBSTITUTE(SUBSTITUTE(SUBSTITUTE(SUBSTITUTE(SUBSTITUTE(SUBSTITUTE(SUBSTITUTE(SUBSTITUTE(SUBSTITUTE(SUBSTITUTE(SUBSTITUTE(SUBSTITUTE(SUBSTITUTE(SUBSTITUTE(SUBSTITUTE(SUBSTITUTE(SUBSTITUTE(SUBSTITUTE(LOWER(AC609&amp;""),CHAR(10)," "),CHAR(13)," "),CHAR(9)," "),CHAR(160)," "),"."," "),","," "),"-"," "),"/"," "),"("," "),")"," "),":"," "),";"," "),"_"," "),"–"," "),"?"," "),"!"," "),"*"," "),"["," "),"]"," "),"'"," "),"#"," "),"+"," "),"&amp;"," "),"\"," "))&amp;" "</f>
        <v>  </v>
      </c>
      <c r="BG609" s="61" t="n">
        <f aca="false">IFERROR(IF(AND(TRIM(U609)="Pass",SUMPRODUCT((LEN(BC609)-LEN(SUBSTITUTE(BC609," "&amp;L_ResultBad&amp;" "," ")))/(LEN(L_ResultBad)+1))&gt;SUMPRODUCT((LEN(BC609)-LEN(SUBSTITUTE(BC609," "&amp;L_NegPhrase&amp;" "," ")))/(LEN(L_NegPhrase)+1))),1,0),0)</f>
        <v>0</v>
      </c>
      <c r="BH609" s="61" t="n">
        <f aca="false">IFERROR(IF(SUMPRODUCT((LEN(BC609)-LEN(SUBSTITUTE(BC609," "&amp;L_Pending&amp;" "," ")))/(LEN(L_Pending)+1))&gt;SUMPRODUCT((LEN(BC609)-LEN(SUBSTITUTE(BC609," "&amp;L_PendNeg&amp;" "," ")))/(LEN(L_PendNeg)+1)),1,0),1)</f>
        <v>0</v>
      </c>
      <c r="BI609" s="61" t="n">
        <f aca="false">IFERROR(IF(SUMPRODUCT((LEN(BD609)-LEN(SUBSTITUTE(BD609," "&amp;L_PendStrict&amp;" "," ")))/(LEN(L_PendStrict)+1))&gt;SUMPRODUCT((LEN(BD609)-LEN(SUBSTITUTE(BD609," "&amp;L_PendNeg&amp;" "," ")))/(LEN(L_PendNeg)+1)),1,0),1)</f>
        <v>0</v>
      </c>
      <c r="BJ609" s="61" t="n">
        <f aca="false">IFERROR(IF(SUMPRODUCT((LEN(BE609)-LEN(SUBSTITUTE(BE609," "&amp;L_Pending&amp;" "," ")))/(LEN(L_Pending)+1))&gt;SUMPRODUCT((LEN(BE609)-LEN(SUBSTITUTE(BE609," "&amp;L_PendNeg&amp;" "," ")))/(LEN(L_PendNeg)+1)),1,0),1)</f>
        <v>0</v>
      </c>
      <c r="BK609" s="61" t="n">
        <f aca="false">IFERROR(IF(SUMPRODUCT((LEN(BF609)-LEN(SUBSTITUTE(BF609," "&amp;L_PendStrict&amp;" "," ")))/(LEN(L_PendStrict)+1))&gt;SUMPRODUCT((LEN(BF609)-LEN(SUBSTITUTE(BF609," "&amp;L_PendNeg&amp;" "," ")))/(LEN(L_PendNeg)+1)),1,0),1)</f>
        <v>0</v>
      </c>
      <c r="BL609" s="61" t="n">
        <f aca="false">IF(ISNA(MATCH(TRIM(S609),L_EvidenceType,0)),0,BZ609)</f>
        <v>0</v>
      </c>
      <c r="BM609" s="61" t="str">
        <f aca="false">SUBSTITUTE(SUBSTITUTE(SUBSTITUTE(SUBSTITUTE(SUBSTITUTE(SUBSTITUTE(SUBSTITUTE(SUBSTITUTE(SUBSTITUTE(LOWER(Z609&amp;""),"1","0"),"2","0"),"3","0"),"4","0"),"5","0"),"6","0"),"7","0"),"8","0"),"9","0")</f>
        <v/>
      </c>
      <c r="BN609" s="61" t="str">
        <f aca="false">SUBSTITUTE(SUBSTITUTE(SUBSTITUTE(SUBSTITUTE(SUBSTITUTE(SUBSTITUTE(SUBSTITUTE(SUBSTITUTE(SUBSTITUTE(SUBSTITUTE(SUBSTITUTE(SUBSTITUTE(SUBSTITUTE(SUBSTITUTE(SUBSTITUTE(SUBSTITUTE(SUBSTITUTE(SUBSTITUTE(SUBSTITUTE(SUBSTITUTE(SUBSTITUTE(SUBSTITUTE(SUBSTITUTE(SUBSTITUTE(SUBSTITUTE(BM609,"b","a"),"c","a"),"d","a"),"e","a"),"f","a"),"g","a"),"h","a"),"i","a"),"j","a"),"k","a"),"l","a"),"m","a"),"n","a"),"o","a"),"p","a"),"q","a"),"r","a"),"s","a"),"t","a"),"u","a"),"v","a"),"w","a"),"x","a"),"y","a"),"z","a")</f>
        <v/>
      </c>
      <c r="BO609" s="61" t="str">
        <f aca="false">SUBSTITUTE(SUBSTITUTE(SUBSTITUTE(SUBSTITUTE(SUBSTITUTE(SUBSTITUTE(SUBSTITUTE(SUBSTITUTE(SUBSTITUTE(LOWER(W609&amp;""),"1","0"),"2","0"),"3","0"),"4","0"),"5","0"),"6","0"),"7","0"),"8","0"),"9","0")</f>
        <v/>
      </c>
      <c r="BP609" s="61" t="str">
        <f aca="false">SUBSTITUTE(SUBSTITUTE(SUBSTITUTE(SUBSTITUTE(SUBSTITUTE(SUBSTITUTE(SUBSTITUTE(SUBSTITUTE(SUBSTITUTE(SUBSTITUTE(SUBSTITUTE(SUBSTITUTE(SUBSTITUTE(SUBSTITUTE(SUBSTITUTE(SUBSTITUTE(SUBSTITUTE(SUBSTITUTE(SUBSTITUTE(SUBSTITUTE(SUBSTITUTE(SUBSTITUTE(SUBSTITUTE(SUBSTITUTE(SUBSTITUTE(BO609,"b","a"),"c","a"),"d","a"),"e","a"),"f","a"),"g","a"),"h","a"),"i","a"),"j","a"),"k","a"),"l","a"),"m","a"),"n","a"),"o","a"),"p","a"),"q","a"),"r","a"),"s","a"),"t","a"),"u","a"),"v","a"),"w","a"),"x","a"),"y","a"),"z","a")</f>
        <v/>
      </c>
      <c r="BQ609" s="61" t="n">
        <f aca="false">IFERROR(IF(AND(ISERROR(SEARCH(" mh"," "&amp;LOWER(W609))),ISNA(MATCH(LEFT(TRIM(BP609),255),{"0000a","000a","00a","0000aa","000aa","00aa","0aa","0000aaa","000aaa","00a00","0a00","0000-0000","00:00","a00","a0","00.00.0000","00/00/0000","00-00-0000","0000-00-00","0000/00/00","0000.00.00","00.00.00","00/00/00","00-00-00","0.00.0000","0/00/0000","0-00-0000"},0)),ISNA(MATCH(LEFT(TRIM(CA609),255),{"0000a","000a","00a","0000aa","000aa","00aa","0aa","0000aaa","000aaa","00a00","0a00","0000-0000","00:00","a00","a0","00.00.0000","00/00/0000","00-00-0000","0000-00-00","0000/00/00","0000.00.00","00.00.00","00/00/00","00-00-00","0.00.0000","0/00/0000","0-00-0000"},0)),LEN(CB609)&gt;=3,NOT(OR(SUBSTITUTE(CB609,"0","")="",AND(LEN(CB609)&gt;=4,CB609=REPT(LEFT(CB609),LEN(CB609))),ISNUMBER(MATCH(CB609,{"123","1234","12345","123456","1234567","12345678","0123","01234","012345","98765","987654","54321"},0)),AND(LEN(CB609)=8,LEFT(CB609,3)="202"))),OR(AND((LEN(CA609)-LEN(SUBSTITUTE(CA609,"a","")))&gt;=1,SUMPRODUCT(--ISNUMBER(SEARCH({"a0","a-0","a_0","a/0","a.0","a#0","0a","0-a","0_a","0/a"},BP609)))&gt;0),ISNUMBER(SEARCH("000000",BP609)))),1,0),0)</f>
        <v>0</v>
      </c>
      <c r="BR609" s="61" t="n">
        <f aca="false">IFERROR(LEN(SUBSTITUTE(CC609," ",""))-SUMPRODUCT((LEN(CC609)-LEN(SUBSTITUTE(CC609," "&amp;L_Role&amp;" "," ")))/(LEN(L_Role)+1)*LEN(L_Role)),0)</f>
        <v>0</v>
      </c>
      <c r="BS609" s="61" t="n">
        <f aca="false">IFERROR(LEN(SUBSTITUTE(CD609," ",""))-SUMPRODUCT((LEN(CD609)-LEN(SUBSTITUTE(CD609," "&amp;L_Role&amp;" "," ")))/(LEN(L_Role)+1)*LEN(L_Role)),0)</f>
        <v>0</v>
      </c>
      <c r="BT6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609,"revision",""),"version",""),"jan",""),"feb",""),"mar",""),"apr",""),"may",""),"jun",""),"jul",""),"aug",""),"sep",""),"oct",""),"nov",""),"dec",""),"utc",""),"gmt",""),"myt",""),"bst",""),"rev",""),"ver",""),"b","a"),"c","a"),"d","a"),"e","a"),"f","a"),"g","a"),"h","a"),"i","a"),"j","a"),"k","a"),"l","a"),"m","a"),"n","a"),"o","a"),"p","a"),"q","a"),"r","a"),"s","a"),"t","a"),"u","a"),"v","a"),"w","a"),"x","a"),"y","a"),"z","a")</f>
        <v/>
      </c>
      <c r="BU609" s="61" t="str">
        <f aca="false">SUBSTITUTE(SUBSTITUTE(SUBSTITUTE(SUBSTITUTE(SUBSTITUTE(SUBSTITUTE(SUBSTITUTE(SUBSTITUTE(SUBSTITUTE(SUBSTITUTE(LEFT(BM609,FIND("0",BM609&amp;"0")-1),"-",""),"_",""),"/",""),".",""),"#",""),"\\",""),":","")," ",""),"(",""),")","")</f>
        <v/>
      </c>
      <c r="BV609" s="61" t="n">
        <f aca="false">IFERROR(IF(OR(SUMPRODUCT((LEN(BC609)-LEN(SUBSTITUTE(BC609," "&amp;L_NotLoaded&amp;" "," ")))/(LEN(L_NotLoaded)+1))&gt;SUMPRODUCT((LEN(BC609)-LEN(SUBSTITUTE(BC609," "&amp;L_NotLoadedNeg&amp;" "," ")))/(LEN(L_NotLoadedNeg)+1)),SUMPRODUCT((LEN(BD609)-LEN(SUBSTITUTE(BD609," "&amp;L_NotLoaded&amp;" "," ")))/(LEN(L_NotLoaded)+1))&gt;SUMPRODUCT((LEN(BD609)-LEN(SUBSTITUTE(BD609," "&amp;L_NotLoadedNeg&amp;" "," ")))/(LEN(L_NotLoadedNeg)+1))),1,0),0)</f>
        <v>0</v>
      </c>
      <c r="BW6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609&amp;""),"a",""),"b",""),"c",""),"d",""),"e",""),"f",""),"g",""),"h",""),"i",""),"j",""),"k",""),"l",""),"m",""),"n",""),"o",""),"p",""),"q",""),"r",""),"s",""),"t",""),"u",""),"v",""),"w",""),"x",""),"y",""),"z",""),"-",""),"_",""),"/",""),".",""),"#",""),"\\",""),":","")," ",""),"(",""),")","")</f>
        <v/>
      </c>
      <c r="BX609" s="61" t="str">
        <f aca="false">SUBSTITUTE(SUBSTITUTE(SUBSTITUTE(SUBSTITUTE(SUBSTITUTE(SUBSTITUTE(SUBSTITUTE(SUBSTITUTE(SUBSTITUTE(SUBSTITUTE(SUBSTITUTE(BM609,"0",""),"-",""),"_",""),"/",""),".",""),"#",""),"\\",""),":","")," ",""),"(",""),")","")</f>
        <v/>
      </c>
      <c r="BY609" s="62" t="n">
        <f aca="false">IF(ISNUMBER(Flights!$AZ$22),MAX(Q609-UpliftWindowH/24,Flights!$AZ$22),Q609-UpliftWindowH/24)</f>
        <v>46322.3506944444</v>
      </c>
      <c r="BZ609" s="61" t="n">
        <f aca="false">IFERROR(IF(IF(TRIM(S609)="Link / file path",AND(LEN(TRIM(Z609))&gt;=5,SUMPRODUCT(--ISNUMBER(SEARCH({"http","www.","\\",":\",".pdf",".jpg",".jpeg",".png",".heic",".xls",".doc",".msg",".eml",".ppt",".txt",".zip"},Z609)))&gt;0),AND(ISERROR(FIND(" ",TRIM(Z609))),NOT(OR(SUMPRODUCT(--ISNUMBER(FIND({",",";","&amp;","+"},Z609)))&gt;0,SUMPRODUCT(--ISNUMBER(SEARCH({"0/aa","0\\aa"},BN609)))&gt;0)),NOT(SUMPRODUCT(--ISNUMBER(SEARCH({"http","www.","\\",":\",".pdf",".jpg",".jpeg",".png",".heic",".xls",".doc",".msg",".eml",".ppt",".txt",".zip"},Z609)))&gt;0),NOT(LOWER(TRIM(Z609))=LOWER(Flights!$F$22)),ISNA(MATCH(BU609,{"mh","rev","revision","ver","version","v","r","a","b","seat","tray","row","gate","bay","stand","page","pg","item","line","no","cart","galley","flight","flt","table","box","bag","oven","etd","eta","std","sta","atd","ata","qty","pax","x","time","tel","ph","mob","day","wk","week","utc","gmt","myt","lt"},0)),NOT(OR(ISNUMBER(MATCH(LEFT(BN609,255),{"0000a","000a","00a","0000aa","000aa","00aa","0aa","0000aaa","000aaa","00a00","0a00","0000-0000","00:00","a00","a0","00.00.0000","00/00/0000","00-00-0000","0000-00-00","0000/00/00","0000.00.00","00.00.00","00/00/00","00-00-00","0.00.0000","0/00/0000","0-00-0000"},0)),ISNUMBER(MATCH(LEFT(BT609,255),{"0000a","000a","00a","0000aa","000aa","00aa","0aa","0000aaa","000aaa","00a00","0a00","0000-0000","00:00","a00","a0","00.00.0000","00/00/0000","00-00-0000","0000-00-00","0000/00/00","0000.00.00","00.00.00","00/00/00","00-00-00","0.00.0000","0/00/0000","0-00-0000"},0)))),NOT(OR(AND(BW609&lt;&gt;"",SUBSTITUTE(BW609,"0","")=""),AND(LEN(BW609)&gt;=4,BW609=REPT(LEFT(BW609),LEN(BW609))),ISNUMBER(MATCH(BW609,{"123","1234","12345","123456","1234567","12345678","0123","01234","012345","98765","987654","54321"},0)),ISNUMBER(MATCH(BX609,{"x","xx","xxx","xxxx","xxxxx","abc","abcd","nil","na","nan","test","tbc","tba","tbd","dummy","sample","example","eg","zz","zzz","none","null","xyz","qwe","asd","id","ref"},0)),AND(LEN(BW609)=8,BX609="",OR(LEFT(BW609,3)="202",ISNUMBER(MATCH(RIGHT(BW609,4),{"2025","2026","2027"},0)))))),OR(AND((LEN(BT609)-LEN(SUBSTITUTE(BT609,"a","")))&gt;=1,(LEN(BN609)-LEN(SUBSTITUTE(BN609,"0","")))&gt;=2,SUMPRODUCT(--ISNUMBER(SEARCH({"a0","a-0","a_0","a/0","a.0","a#0","0a","0-a","0_a","0/a"},BN609)))&gt;0),AND((LEN(BN609)-LEN(SUBSTITUTE(BN609,"a","")))=0,(LEN(BN609)-LEN(SUBSTITUTE(BN609,"0","")))&gt;=5)))),1,0),0)</f>
        <v>0</v>
      </c>
      <c r="CA6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609,"revision",""),"version",""),"jan",""),"feb",""),"mar",""),"apr",""),"may",""),"jun",""),"jul",""),"aug",""),"sep",""),"oct",""),"nov",""),"dec",""),"utc",""),"gmt",""),"myt",""),"bst",""),"rev",""),"ver",""),"b","a"),"c","a"),"d","a"),"e","a"),"f","a"),"g","a"),"h","a"),"i","a"),"j","a"),"k","a"),"l","a"),"m","a"),"n","a"),"o","a"),"p","a"),"q","a"),"r","a"),"s","a"),"t","a"),"u","a"),"v","a"),"w","a"),"x","a"),"y","a"),"z","a")</f>
        <v/>
      </c>
      <c r="CB6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609&amp;""),"a",""),"b",""),"c",""),"d",""),"e",""),"f",""),"g",""),"h",""),"i",""),"j",""),"k",""),"l",""),"m",""),"n",""),"o",""),"p",""),"q",""),"r",""),"s",""),"t",""),"u",""),"v",""),"w",""),"x",""),"y",""),"z",""),"-",""),"_",""),"/",""),".",""),"#",""),"\\",""),":","")," ",""),"(",""),")","")</f>
        <v/>
      </c>
      <c r="CC609" s="0" t="str">
        <f aca="false">" "&amp;TRIM(SUBSTITUTE(SUBSTITUTE(SUBSTITUTE(SUBSTITUTE(SUBSTITUTE(SUBSTITUTE(SUBSTITUTE(SUBSTITUTE(SUBSTITUTE(SUBSTITUTE(SUBSTITUTE(SUBSTITUTE(SUBSTITUTE(SUBSTITUTE(SUBSTITUTE(SUBSTITUTE(SUBSTITUTE(SUBSTITUTE(SUBSTITUTE(SUBSTITUTE(SUBSTITUTE(SUBSTITUTE(SUBSTITUTE(SUBSTITUTE(LOWER(T609&amp;""),CHAR(10)," "),CHAR(13)," "),CHAR(9)," "),CHAR(160)," "),"."," "),","," "),"-"," "),"/"," "),"("," "),")"," "),":"," "),";"," "),"_"," "),"–"," "),"?"," "),"!"," "),"*"," "),"["," "),"]"," "),"'"," "),"#"," "),"+"," "),"&amp;"," "),"\"," "))&amp;" "</f>
        <v>  </v>
      </c>
      <c r="CD609" s="0" t="str">
        <f aca="false">" "&amp;TRIM(SUBSTITUTE(SUBSTITUTE(SUBSTITUTE(SUBSTITUTE(SUBSTITUTE(SUBSTITUTE(SUBSTITUTE(SUBSTITUTE(SUBSTITUTE(SUBSTITUTE(SUBSTITUTE(SUBSTITUTE(SUBSTITUTE(SUBSTITUTE(SUBSTITUTE(SUBSTITUTE(SUBSTITUTE(SUBSTITUTE(SUBSTITUTE(SUBSTITUTE(SUBSTITUTE(SUBSTITUTE(SUBSTITUTE(SUBSTITUTE(LOWER(AE609&amp;""),CHAR(10)," "),CHAR(13)," "),CHAR(9)," "),CHAR(160)," "),"."," "),","," "),"-"," "),"/"," "),"("," "),")"," "),":"," "),";"," "),"_"," "),"–"," "),"?"," "),"!"," "),"*"," "),"["," "),"]"," "),"'"," "),"#"," "),"+"," "),"&amp;"," "),"\"," "))&amp;" "</f>
        <v>  </v>
      </c>
      <c r="CE609" s="68" t="n">
        <f aca="false">IFERROR(IF(AND(LEN(AU609)&gt;0,LEN(AU609)=LEN(AX609),OR(TRIM(MID(SUBSTITUTE(TRIM(CC609)," ",REPT(" ",60)),1,60))="",ISNUMBER(SEARCH(" "&amp;TRIM(MID(SUBSTITUTE(TRIM(CC609)," ",REPT(" ",60)),1,60))&amp;" ",CD609))),OR(TRIM(MID(SUBSTITUTE(TRIM(CC609)," ",REPT(" ",60)),61,60))="",ISNUMBER(SEARCH(" "&amp;TRIM(MID(SUBSTITUTE(TRIM(CC609)," ",REPT(" ",60)),61,60))&amp;" ",CD609))),OR(TRIM(MID(SUBSTITUTE(TRIM(CC609)," ",REPT(" ",60)),121,60))="",ISNUMBER(SEARCH(" "&amp;TRIM(MID(SUBSTITUTE(TRIM(CC609)," ",REPT(" ",60)),121,60))&amp;" ",CD609)))),1,0),0)</f>
        <v>0</v>
      </c>
      <c r="CG609" s="68" t="n">
        <f aca="false">IFERROR(LEN(SUBSTITUTE(BF609," ",""))-SUMPRODUCT((LEN(BF609)-LEN(SUBSTITUTE(BF609," "&amp;L_NAFiller&amp;" "," ")))/(LEN(L_NAFiller)+1)*LEN(L_NAFiller)),0)</f>
        <v>0</v>
      </c>
    </row>
    <row r="610" customFormat="false" ht="39.75" hidden="false" customHeight="true" outlineLevel="0" collapsed="false">
      <c r="A610" s="57" t="s">
        <v>1319</v>
      </c>
      <c r="B610" s="57" t="s">
        <v>293</v>
      </c>
      <c r="C610" s="57" t="str">
        <f aca="false">Flights!$F$22</f>
        <v>MH0052</v>
      </c>
      <c r="D610" s="58" t="n">
        <f aca="false">Flights!$D$22</f>
        <v>46322</v>
      </c>
      <c r="E610" s="57" t="str">
        <f aca="false">Flights!$G$22&amp;"-"&amp;Flights!$H$22</f>
        <v>KUL-KIX</v>
      </c>
      <c r="F610" s="57" t="str">
        <f aca="false">Flights!$K$22</f>
        <v>BC</v>
      </c>
      <c r="G610" s="57" t="s">
        <v>459</v>
      </c>
      <c r="H610" s="57" t="s">
        <v>460</v>
      </c>
      <c r="I610" s="57" t="s">
        <v>499</v>
      </c>
      <c r="J610" s="57" t="s">
        <v>543</v>
      </c>
      <c r="K610" s="67" t="s">
        <v>501</v>
      </c>
      <c r="L610" s="67" t="s">
        <v>1294</v>
      </c>
      <c r="M610" s="67" t="s">
        <v>451</v>
      </c>
      <c r="N610" s="67" t="s">
        <v>383</v>
      </c>
      <c r="O610" s="67"/>
      <c r="P610" s="57" t="s">
        <v>187</v>
      </c>
      <c r="Q610" s="59" t="n">
        <f aca="false">ROUND((Flights!$AF$22)*1440,0)/1440</f>
        <v>46322.6006944444</v>
      </c>
      <c r="R610" s="59" t="n">
        <f aca="false">Q610+(IF(AND(INDEX(TZ_DSTS,MATCH(P610,TZ_STN,0))&lt;&gt;"",Q610&gt;=INDEX(TZ_DSTS,MATCH(P610,TZ_STN,0)),Q610&lt;INDEX(TZ_DSTE,MATCH(P610,TZ_STN,0))),INDEX(TZ_DST,MATCH(P610,TZ_STN,0)),INDEX(TZ_STD,MATCH(P610,TZ_STN,0))))/24</f>
        <v>46322.9340277778</v>
      </c>
      <c r="S610" s="60"/>
      <c r="T610" s="60"/>
      <c r="U610" s="60"/>
      <c r="V610" s="60"/>
      <c r="W610" s="61"/>
      <c r="X610" s="60"/>
      <c r="Y610" s="60"/>
      <c r="Z610" s="60"/>
      <c r="AA610" s="60"/>
      <c r="AB610" s="60"/>
      <c r="AC610" s="60"/>
      <c r="AD610" s="66"/>
      <c r="AE610" s="60"/>
      <c r="AF610" s="61" t="str">
        <f aca="false">IF(AND(ISNUMBER(X610),ISNUMBER(Y610)),Y610-X610,"")</f>
        <v/>
      </c>
      <c r="AG610" s="62" t="str">
        <f aca="false">IF(ISNUMBER(AD610),AD610-(IF(AND(INDEX(TZ_DSTS,MATCH(P610,TZ_STN,0))&lt;&gt;"",(AD610-INDEX(TZ_STD,MATCH(P610,TZ_STN,0))/24)&gt;=INDEX(TZ_DSTS,MATCH(P610,TZ_STN,0)),(AD610-INDEX(TZ_STD,MATCH(P610,TZ_STN,0))/24)&lt;INDEX(TZ_DSTE,MATCH(P610,TZ_STN,0))),INDEX(TZ_DST,MATCH(P610,TZ_STN,0)),INDEX(TZ_STD,MATCH(P610,TZ_STN,0))))/24,"")</f>
        <v/>
      </c>
      <c r="AH610" s="65" t="str">
        <f aca="false">IFERROR(IF(N610="N/A – rule",IF(OR(TRIM(U610)="",TRIM(U610)="N/A",TRIM(U610)="Not started"),"N/A – RULE","INVALID – this check does not apply to this aircraft: clear the status (or correct the fleet on Flights)"),IF(TRIM(U610)="N/A",IF(AT610=0,"INVALID – N/A not permitted for this check",IF(AND(TRIM(AB610)&lt;&gt;"",TRIM(AB610)&lt;&gt;"Closed"),"INVALID – corrective action still open",IF(AND(NOT(OR(LEN(AZ610)&lt;15,ISNUMBER(MATCH(AZ610,L_Placeholder,0)))),BK610=0,CG610&gt;=8,NOT(OR(LEN(AU610)&lt;2,ISNUMBER(MATCH(AU610,L_Placeholder,0)))),BR610&gt;=3,NOT(OR(LEN(AX610)&lt;2,ISNUMBER(MATCH(AX610,L_Placeholder,0)))),BS610&gt;=3,TRIM(AE610)&lt;&gt;TRIM(T610),AX610&lt;&gt;AU610,CE610=0),"N/A – JUSTIFIED","INVALID – N/A needs a real, settled reason (not 'not applicable' / 'as above' / TBC), a named PIC and a different named verifier"))),IF(OR(TRIM(U610)="Pass",TRIM(U610)="Pass after CA"),IF(NOT(ISNUMBER(AD610)),"INVALID – completion time missing",IF(OR(OR(LEN(AU610)&lt;2,ISNUMBER(MATCH(AU610,L_Placeholder,0))),BR610&lt;3),"INVALID – PIC missing or not a named person (a role such as QA / CSM is not a name)",IF(OR(LEN(AV610)&lt;2,ISNUMBER(MATCH(AV610,L_Placeholder,0))),"INVALID – result / assessment missing",IF(OR(OR(LEN(AW610)&lt;3,ISNUMBER(MATCH(AW610,L_Placeholder,0))),SUMPRODUCT(--ISNUMBER(SEARCH(" "&amp;L_EvidencePhrase&amp;" ",BD610)))&gt;0,BI610=1),"INVALID – evidence missing, placeholder or not yet on file",IF(ISNA(MATCH(TRIM(S610),L_EvidenceType,0)),"INVALID – choose the evidence type from the list (column S)",IF(BL610=0,"INVALID – evidence ID must be the record's own ID only (e.g. SF-2210, IMG_2231, 1045521); a link / file name needs type 'Link / file path'",IF(OR(OR(LEN(AX610)&lt;2,ISNUMBER(MATCH(AX610,L_Placeholder,0))),BS610&lt;3),"INVALID – verifier missing or not a named person (a role such as QA / CSM is not a name)",IF(OR(AX610=AU610,CE610=1,AND(LEN(AU610)&gt;=4,ISNUMBER(SEARCH(AU610,AX610))),AND(LEN(AX610)&gt;=4,ISNUMBER(SEARCH(AX610,AU610)))),"INVALID – verifier must be a different, named person (not the PIC or a role)",IF(BH610=1,"INVALID – result not yet available (awaiting / TBC)",IF(BG610=1,"INVALID – result describes a problem: record Fail, then Pass after CA (or reword if it is not a problem)",IF(BV610=1,"INVALID – wording says not on board: an on-board confirmation needs the item loaded",IF(AND(AQ610=1,OR(OR(LEN(AY610)&lt;3,ISNUMBER(MATCH(AY610,L_Placeholder,0))),BJ610=1,BQ610=0)),"INVALID – batch ID missing, placeholder or not an ID (e.g. PASB-261008-BC-017)",IF(AND(AR610=1,OR(NOT(ISNUMBER(X610)),NOT(ISNUMBER(Y610)))),"INVALID – expected/actual qty missing",IF(AND(AR610=1,OR(X610&lt;=0,Y610&lt;0)),"INVALID – expected qty must be above 0 and actual not negative",IF(AH595="N/A – JUSTIFIED","INVALID – preparation row F18-T12-12 is N/A",IF(AND(AR610=1,ISNUMBER(X595),X610&lt;&gt;X595,TRIM(U610)&lt;&gt;"Pass after CA"),"INVALID – expected qty differs from preparation check F18-T12-12: record the load change as a corrective action (Pass after CA)",IF(BB610&lt;&gt;"",BB610,IF(AND(AS610=1,Documents!$J$22&lt;&gt;"ON FILE"),"INVALID – GLD not on file (Documents sheet)",IF(AND(AS610=2,Documents!$O$22&lt;&gt;"ON FILE"),"INVALID – menu checklist not on file (Documents sheet)",IF(AND(AS610=3,NOT(ISNUMBER(Flights!$AX$22))),"INVALID – enter carrying flight KUL departure (Flights AX)",IF(AND(AS610=3,OR(Flights!$AZ$22&gt;Flights!$AA$22,Flights!$AX$22&lt;Flights!$AA$22-3)),"INVALID – carrying flight (Flights AX) cannot arrive before this leg's STD, or is over 3 days early",IF(AG610&gt;AsOfUTC,"INVALID – completion time is in the future",IF(AND(ISNUMBER(BY610),AG610&lt;BY610),IF(H610="Physical uplift","INVALID – before uplift window (cannot confirm loading)","INVALID – before valid window"),IF(AG610&gt;Flights!$AA$22,"INVALID – completed after departure (cannot establish readiness)",IF(AND(H610="Preparation",AG610&gt;=IF(ISNUMBER(Flights!$BA$22),MIN(Flights!$BA$22,Flights!$AA$22),Flights!$AA$22)),"INVALID – completed after loading / departure (cannot establish readiness)",IF(AND(H610="Physical uplift",AG610&gt;Q610),"INVALID – recorded after the loading flight departed",IF(AG610&gt;Q610,"COMPLETE – LATE","COMPLETE"))))))))))))))))))))))))))),IF(TRIM(U610)="Fail","FAIL – DISCREPANCY",IF(AND(TRIM(U610)&lt;&gt;"",TRIM(U610)&lt;&gt;"Not started",TRIM(U610)&lt;&gt;"In progress"),"INVALID – unrecognised status (use the list)",IF(AsOfUTC&gt;Q610,"OVERDUE",IF(N610="Clarification required","OPEN – CLARIFICATION","OPEN"))))))),"INVALID – error value in an input cell")</f>
        <v>OPEN</v>
      </c>
      <c r="AI610" s="61" t="n">
        <f aca="false">IF(OR(AH610="N/A – RULE",AH610="N/A – JUSTIFIED"),0,1)</f>
        <v>1</v>
      </c>
      <c r="AJ610" s="61" t="n">
        <f aca="false">IF(LEFT(AH610,8)="COMPLETE",1,0)</f>
        <v>0</v>
      </c>
      <c r="AK610" s="61" t="n">
        <f aca="false">IF(AND(AI610=1,AJ610=0,AsOfUTC&gt;Q610),1,0)</f>
        <v>0</v>
      </c>
      <c r="AL610" s="61" t="n">
        <f aca="false">IFERROR(IF(AND(AI610=1,OR(TRIM(U610)="Fail",AND(TRIM(AB610)&lt;&gt;"",TRIM(AB610)&lt;&gt;"Closed"),AND(ISNUMBER(AF610),AF610&lt;&gt;0,TRIM(U610)&lt;&gt;"Pass after CA"))),1,0),1)</f>
        <v>0</v>
      </c>
      <c r="AM610" s="61" t="n">
        <f aca="false">IF(LEFT(AH610,7)="INVALID",1,0)</f>
        <v>0</v>
      </c>
      <c r="AN610" s="61" t="n">
        <f aca="false">IF(AND(N610="Clarification required",AI610=1,AJ610=0),1,0)</f>
        <v>0</v>
      </c>
      <c r="AO610" s="61" t="str">
        <f aca="false">IF(AK610=1,SUM(AK$5:AK610),"")</f>
        <v/>
      </c>
      <c r="AP610" s="61" t="str">
        <f aca="false">IF(AL610=1,SUM(AL$5:AL610),"")</f>
        <v/>
      </c>
      <c r="AQ610" s="61" t="n">
        <v>0</v>
      </c>
      <c r="AR610" s="61" t="n">
        <v>0</v>
      </c>
      <c r="AS610" s="61" t="n">
        <v>0</v>
      </c>
      <c r="AT610" s="61" t="n">
        <v>0</v>
      </c>
      <c r="AU610" s="61" t="str">
        <f aca="false">SUBSTITUTE(SUBSTITUTE(SUBSTITUTE(SUBSTITUTE(SUBSTITUTE(SUBSTITUTE(SUBSTITUTE(SUBSTITUTE(SUBSTITUTE(SUBSTITUTE(SUBSTITUTE(SUBSTITUTE(SUBSTITUTE(SUBSTITUTE(SUBSTITUTE(SUBSTITUTE(LOWER(T610&amp;""),CHAR(10),""),CHAR(13),""),CHAR(9),""),CHAR(160),"")," ",""),".",""),"-",""),"/",""),"?",""),"_",""),",",""),"[",""),"]",""),"(",""),")",""),"*","")</f>
        <v/>
      </c>
      <c r="AV610" s="61" t="str">
        <f aca="false">SUBSTITUTE(SUBSTITUTE(SUBSTITUTE(SUBSTITUTE(SUBSTITUTE(SUBSTITUTE(SUBSTITUTE(SUBSTITUTE(SUBSTITUTE(SUBSTITUTE(SUBSTITUTE(SUBSTITUTE(SUBSTITUTE(SUBSTITUTE(SUBSTITUTE(SUBSTITUTE(LOWER(V610&amp;""),CHAR(10),""),CHAR(13),""),CHAR(9),""),CHAR(160),"")," ",""),".",""),"-",""),"/",""),"?",""),"_",""),",",""),"[",""),"]",""),"(",""),")",""),"*","")</f>
        <v/>
      </c>
      <c r="AW610" s="61" t="str">
        <f aca="false">SUBSTITUTE(SUBSTITUTE(SUBSTITUTE(SUBSTITUTE(SUBSTITUTE(SUBSTITUTE(SUBSTITUTE(SUBSTITUTE(SUBSTITUTE(SUBSTITUTE(SUBSTITUTE(SUBSTITUTE(SUBSTITUTE(SUBSTITUTE(SUBSTITUTE(SUBSTITUTE(LOWER(Z610&amp;""),CHAR(10),""),CHAR(13),""),CHAR(9),""),CHAR(160),"")," ",""),".",""),"-",""),"/",""),"?",""),"_",""),",",""),"[",""),"]",""),"(",""),")",""),"*","")</f>
        <v/>
      </c>
      <c r="AX610" s="61" t="str">
        <f aca="false">SUBSTITUTE(SUBSTITUTE(SUBSTITUTE(SUBSTITUTE(SUBSTITUTE(SUBSTITUTE(SUBSTITUTE(SUBSTITUTE(SUBSTITUTE(SUBSTITUTE(SUBSTITUTE(SUBSTITUTE(SUBSTITUTE(SUBSTITUTE(SUBSTITUTE(SUBSTITUTE(LOWER(AE610&amp;""),CHAR(10),""),CHAR(13),""),CHAR(9),""),CHAR(160),"")," ",""),".",""),"-",""),"/",""),"?",""),"_",""),",",""),"[",""),"]",""),"(",""),")",""),"*","")</f>
        <v/>
      </c>
      <c r="AY610" s="61" t="str">
        <f aca="false">SUBSTITUTE(SUBSTITUTE(SUBSTITUTE(SUBSTITUTE(SUBSTITUTE(SUBSTITUTE(SUBSTITUTE(SUBSTITUTE(SUBSTITUTE(SUBSTITUTE(SUBSTITUTE(SUBSTITUTE(SUBSTITUTE(SUBSTITUTE(SUBSTITUTE(SUBSTITUTE(LOWER(W610&amp;""),CHAR(10),""),CHAR(13),""),CHAR(9),""),CHAR(160),"")," ",""),".",""),"-",""),"/",""),"?",""),"_",""),",",""),"[",""),"]",""),"(",""),")",""),"*","")</f>
        <v/>
      </c>
      <c r="AZ610" s="61" t="str">
        <f aca="false">SUBSTITUTE(SUBSTITUTE(SUBSTITUTE(SUBSTITUTE(SUBSTITUTE(SUBSTITUTE(SUBSTITUTE(SUBSTITUTE(SUBSTITUTE(SUBSTITUTE(SUBSTITUTE(SUBSTITUTE(SUBSTITUTE(SUBSTITUTE(SUBSTITUTE(SUBSTITUTE(LOWER(AC610&amp;""),CHAR(10),""),CHAR(13),""),CHAR(9),""),CHAR(160),"")," ",""),".",""),"-",""),"/",""),"?",""),"_",""),",",""),"[",""),"]",""),"(",""),")",""),"*","")</f>
        <v/>
      </c>
      <c r="BA610" s="61" t="str">
        <f aca="false">SUBSTITUTE(SUBSTITUTE(SUBSTITUTE(SUBSTITUTE(SUBSTITUTE(SUBSTITUTE(SUBSTITUTE(SUBSTITUTE(SUBSTITUTE(SUBSTITUTE(SUBSTITUTE(SUBSTITUTE(SUBSTITUTE(SUBSTITUTE(SUBSTITUTE(SUBSTITUTE(LOWER(AA610&amp;""),CHAR(10),""),CHAR(13),""),CHAR(9),""),CHAR(160),"")," ",""),".",""),"-",""),"/",""),"?",""),"_",""),",",""),"[",""),"]",""),"(",""),")",""),"*","")</f>
        <v/>
      </c>
      <c r="BB610" s="61" t="str">
        <f aca="false">IF(AND(TRIM(U610)="Pass",ISNUMBER(AF610)),IF(AF610&lt;&gt;0,"INVALID – qty variance: use Fail or Pass after CA",""),"")&amp;IF(AND(TRIM(U610)="Pass after CA",ISNUMBER(AF610)),IF(AF610&lt;&gt;0,"INVALID – after the corrective action the actual qty must equal expected (update Actual)",""),"")&amp;IF(AND(TRIM(U610)="Pass",TRIM(AB610)&lt;&gt;"",TRIM(AB610)&lt;&gt;"Closed"),"INVALID – corrective action not closed: use Fail, then Pass after CA","")&amp;IF(AND(LEN(BA610)&gt;=2,ISNA(MATCH(LEFT(BA610,255),L_Placeholder,0)),TRIM(AB610)=""),"INVALID – CA status missing for the recorded corrective action","")&amp;IF(AND(TRIM(U610)="Pass after CA",OR(OR(LEN(BA610)&lt;5,ISNUMBER(MATCH(BA610,L_Placeholder,0))),TRIM(AB610)&lt;&gt;"Closed")),"INVALID – corrective action not recorded/closed","")</f>
        <v/>
      </c>
      <c r="BC610" s="61" t="str">
        <f aca="false">" "&amp;TRIM(SUBSTITUTE(SUBSTITUTE(SUBSTITUTE(SUBSTITUTE(SUBSTITUTE(SUBSTITUTE(SUBSTITUTE(SUBSTITUTE(SUBSTITUTE(SUBSTITUTE(SUBSTITUTE(SUBSTITUTE(SUBSTITUTE(SUBSTITUTE(SUBSTITUTE(SUBSTITUTE(SUBSTITUTE(SUBSTITUTE(SUBSTITUTE(SUBSTITUTE(SUBSTITUTE(SUBSTITUTE(SUBSTITUTE(SUBSTITUTE(LOWER(V610&amp;""),CHAR(10)," "),CHAR(13)," "),CHAR(9)," "),CHAR(160)," "),"."," "),","," "),"-"," "),"/"," "),"("," "),")"," "),":"," "),";"," "),"_"," "),"–"," "),"?"," "),"!"," "),"*"," "),"["," "),"]"," "),"'"," "),"#"," "),"+"," "),"&amp;"," "),"\"," "))&amp;" "</f>
        <v>  </v>
      </c>
      <c r="BD610" s="61" t="str">
        <f aca="false">" "&amp;TRIM(SUBSTITUTE(SUBSTITUTE(SUBSTITUTE(SUBSTITUTE(SUBSTITUTE(SUBSTITUTE(SUBSTITUTE(SUBSTITUTE(SUBSTITUTE(SUBSTITUTE(SUBSTITUTE(SUBSTITUTE(SUBSTITUTE(SUBSTITUTE(SUBSTITUTE(SUBSTITUTE(SUBSTITUTE(SUBSTITUTE(SUBSTITUTE(SUBSTITUTE(SUBSTITUTE(SUBSTITUTE(SUBSTITUTE(SUBSTITUTE(LOWER(Z610&amp;""),CHAR(10)," "),CHAR(13)," "),CHAR(9)," "),CHAR(160)," "),"."," "),","," "),"-"," "),"/"," "),"("," "),")"," "),":"," "),";"," "),"_"," "),"–"," "),"?"," "),"!"," "),"*"," "),"["," "),"]"," "),"'"," "),"#"," "),"+"," "),"&amp;"," "),"\"," "))&amp;" "</f>
        <v>  </v>
      </c>
      <c r="BE610" s="61" t="str">
        <f aca="false">" "&amp;TRIM(SUBSTITUTE(SUBSTITUTE(SUBSTITUTE(SUBSTITUTE(SUBSTITUTE(SUBSTITUTE(SUBSTITUTE(SUBSTITUTE(SUBSTITUTE(SUBSTITUTE(SUBSTITUTE(SUBSTITUTE(SUBSTITUTE(SUBSTITUTE(SUBSTITUTE(SUBSTITUTE(SUBSTITUTE(SUBSTITUTE(SUBSTITUTE(SUBSTITUTE(SUBSTITUTE(SUBSTITUTE(SUBSTITUTE(SUBSTITUTE(LOWER(W610&amp;""),CHAR(10)," "),CHAR(13)," "),CHAR(9)," "),CHAR(160)," "),"."," "),","," "),"-"," "),"/"," "),"("," "),")"," "),":"," "),";"," "),"_"," "),"–"," "),"?"," "),"!"," "),"*"," "),"["," "),"]"," "),"'"," "),"#"," "),"+"," "),"&amp;"," "),"\"," "))&amp;" "</f>
        <v>  </v>
      </c>
      <c r="BF610" s="61" t="str">
        <f aca="false">" "&amp;TRIM(SUBSTITUTE(SUBSTITUTE(SUBSTITUTE(SUBSTITUTE(SUBSTITUTE(SUBSTITUTE(SUBSTITUTE(SUBSTITUTE(SUBSTITUTE(SUBSTITUTE(SUBSTITUTE(SUBSTITUTE(SUBSTITUTE(SUBSTITUTE(SUBSTITUTE(SUBSTITUTE(SUBSTITUTE(SUBSTITUTE(SUBSTITUTE(SUBSTITUTE(SUBSTITUTE(SUBSTITUTE(SUBSTITUTE(SUBSTITUTE(LOWER(AC610&amp;""),CHAR(10)," "),CHAR(13)," "),CHAR(9)," "),CHAR(160)," "),"."," "),","," "),"-"," "),"/"," "),"("," "),")"," "),":"," "),";"," "),"_"," "),"–"," "),"?"," "),"!"," "),"*"," "),"["," "),"]"," "),"'"," "),"#"," "),"+"," "),"&amp;"," "),"\"," "))&amp;" "</f>
        <v>  </v>
      </c>
      <c r="BG610" s="61" t="n">
        <f aca="false">IFERROR(IF(AND(TRIM(U610)="Pass",SUMPRODUCT((LEN(BC610)-LEN(SUBSTITUTE(BC610," "&amp;L_ResultBad&amp;" "," ")))/(LEN(L_ResultBad)+1))&gt;SUMPRODUCT((LEN(BC610)-LEN(SUBSTITUTE(BC610," "&amp;L_NegPhrase&amp;" "," ")))/(LEN(L_NegPhrase)+1))),1,0),0)</f>
        <v>0</v>
      </c>
      <c r="BH610" s="61" t="n">
        <f aca="false">IFERROR(IF(SUMPRODUCT((LEN(BC610)-LEN(SUBSTITUTE(BC610," "&amp;L_Pending&amp;" "," ")))/(LEN(L_Pending)+1))&gt;SUMPRODUCT((LEN(BC610)-LEN(SUBSTITUTE(BC610," "&amp;L_PendNeg&amp;" "," ")))/(LEN(L_PendNeg)+1)),1,0),1)</f>
        <v>0</v>
      </c>
      <c r="BI610" s="61" t="n">
        <f aca="false">IFERROR(IF(SUMPRODUCT((LEN(BD610)-LEN(SUBSTITUTE(BD610," "&amp;L_PendStrict&amp;" "," ")))/(LEN(L_PendStrict)+1))&gt;SUMPRODUCT((LEN(BD610)-LEN(SUBSTITUTE(BD610," "&amp;L_PendNeg&amp;" "," ")))/(LEN(L_PendNeg)+1)),1,0),1)</f>
        <v>0</v>
      </c>
      <c r="BJ610" s="61" t="n">
        <f aca="false">IFERROR(IF(SUMPRODUCT((LEN(BE610)-LEN(SUBSTITUTE(BE610," "&amp;L_Pending&amp;" "," ")))/(LEN(L_Pending)+1))&gt;SUMPRODUCT((LEN(BE610)-LEN(SUBSTITUTE(BE610," "&amp;L_PendNeg&amp;" "," ")))/(LEN(L_PendNeg)+1)),1,0),1)</f>
        <v>0</v>
      </c>
      <c r="BK610" s="61" t="n">
        <f aca="false">IFERROR(IF(SUMPRODUCT((LEN(BF610)-LEN(SUBSTITUTE(BF610," "&amp;L_PendStrict&amp;" "," ")))/(LEN(L_PendStrict)+1))&gt;SUMPRODUCT((LEN(BF610)-LEN(SUBSTITUTE(BF610," "&amp;L_PendNeg&amp;" "," ")))/(LEN(L_PendNeg)+1)),1,0),1)</f>
        <v>0</v>
      </c>
      <c r="BL610" s="61" t="n">
        <f aca="false">IF(ISNA(MATCH(TRIM(S610),L_EvidenceType,0)),0,BZ610)</f>
        <v>0</v>
      </c>
      <c r="BM610" s="61" t="str">
        <f aca="false">SUBSTITUTE(SUBSTITUTE(SUBSTITUTE(SUBSTITUTE(SUBSTITUTE(SUBSTITUTE(SUBSTITUTE(SUBSTITUTE(SUBSTITUTE(LOWER(Z610&amp;""),"1","0"),"2","0"),"3","0"),"4","0"),"5","0"),"6","0"),"7","0"),"8","0"),"9","0")</f>
        <v/>
      </c>
      <c r="BN610" s="61" t="str">
        <f aca="false">SUBSTITUTE(SUBSTITUTE(SUBSTITUTE(SUBSTITUTE(SUBSTITUTE(SUBSTITUTE(SUBSTITUTE(SUBSTITUTE(SUBSTITUTE(SUBSTITUTE(SUBSTITUTE(SUBSTITUTE(SUBSTITUTE(SUBSTITUTE(SUBSTITUTE(SUBSTITUTE(SUBSTITUTE(SUBSTITUTE(SUBSTITUTE(SUBSTITUTE(SUBSTITUTE(SUBSTITUTE(SUBSTITUTE(SUBSTITUTE(SUBSTITUTE(BM610,"b","a"),"c","a"),"d","a"),"e","a"),"f","a"),"g","a"),"h","a"),"i","a"),"j","a"),"k","a"),"l","a"),"m","a"),"n","a"),"o","a"),"p","a"),"q","a"),"r","a"),"s","a"),"t","a"),"u","a"),"v","a"),"w","a"),"x","a"),"y","a"),"z","a")</f>
        <v/>
      </c>
      <c r="BO610" s="61" t="str">
        <f aca="false">SUBSTITUTE(SUBSTITUTE(SUBSTITUTE(SUBSTITUTE(SUBSTITUTE(SUBSTITUTE(SUBSTITUTE(SUBSTITUTE(SUBSTITUTE(LOWER(W610&amp;""),"1","0"),"2","0"),"3","0"),"4","0"),"5","0"),"6","0"),"7","0"),"8","0"),"9","0")</f>
        <v/>
      </c>
      <c r="BP610" s="61" t="str">
        <f aca="false">SUBSTITUTE(SUBSTITUTE(SUBSTITUTE(SUBSTITUTE(SUBSTITUTE(SUBSTITUTE(SUBSTITUTE(SUBSTITUTE(SUBSTITUTE(SUBSTITUTE(SUBSTITUTE(SUBSTITUTE(SUBSTITUTE(SUBSTITUTE(SUBSTITUTE(SUBSTITUTE(SUBSTITUTE(SUBSTITUTE(SUBSTITUTE(SUBSTITUTE(SUBSTITUTE(SUBSTITUTE(SUBSTITUTE(SUBSTITUTE(SUBSTITUTE(BO610,"b","a"),"c","a"),"d","a"),"e","a"),"f","a"),"g","a"),"h","a"),"i","a"),"j","a"),"k","a"),"l","a"),"m","a"),"n","a"),"o","a"),"p","a"),"q","a"),"r","a"),"s","a"),"t","a"),"u","a"),"v","a"),"w","a"),"x","a"),"y","a"),"z","a")</f>
        <v/>
      </c>
      <c r="BQ610" s="61" t="n">
        <f aca="false">IFERROR(IF(AND(ISERROR(SEARCH(" mh"," "&amp;LOWER(W610))),ISNA(MATCH(LEFT(TRIM(BP610),255),{"0000a","000a","00a","0000aa","000aa","00aa","0aa","0000aaa","000aaa","00a00","0a00","0000-0000","00:00","a00","a0","00.00.0000","00/00/0000","00-00-0000","0000-00-00","0000/00/00","0000.00.00","00.00.00","00/00/00","00-00-00","0.00.0000","0/00/0000","0-00-0000"},0)),ISNA(MATCH(LEFT(TRIM(CA610),255),{"0000a","000a","00a","0000aa","000aa","00aa","0aa","0000aaa","000aaa","00a00","0a00","0000-0000","00:00","a00","a0","00.00.0000","00/00/0000","00-00-0000","0000-00-00","0000/00/00","0000.00.00","00.00.00","00/00/00","00-00-00","0.00.0000","0/00/0000","0-00-0000"},0)),LEN(CB610)&gt;=3,NOT(OR(SUBSTITUTE(CB610,"0","")="",AND(LEN(CB610)&gt;=4,CB610=REPT(LEFT(CB610),LEN(CB610))),ISNUMBER(MATCH(CB610,{"123","1234","12345","123456","1234567","12345678","0123","01234","012345","98765","987654","54321"},0)),AND(LEN(CB610)=8,LEFT(CB610,3)="202"))),OR(AND((LEN(CA610)-LEN(SUBSTITUTE(CA610,"a","")))&gt;=1,SUMPRODUCT(--ISNUMBER(SEARCH({"a0","a-0","a_0","a/0","a.0","a#0","0a","0-a","0_a","0/a"},BP610)))&gt;0),ISNUMBER(SEARCH("000000",BP610)))),1,0),0)</f>
        <v>0</v>
      </c>
      <c r="BR610" s="61" t="n">
        <f aca="false">IFERROR(LEN(SUBSTITUTE(CC610," ",""))-SUMPRODUCT((LEN(CC610)-LEN(SUBSTITUTE(CC610," "&amp;L_Role&amp;" "," ")))/(LEN(L_Role)+1)*LEN(L_Role)),0)</f>
        <v>0</v>
      </c>
      <c r="BS610" s="61" t="n">
        <f aca="false">IFERROR(LEN(SUBSTITUTE(CD610," ",""))-SUMPRODUCT((LEN(CD610)-LEN(SUBSTITUTE(CD610," "&amp;L_Role&amp;" "," ")))/(LEN(L_Role)+1)*LEN(L_Role)),0)</f>
        <v>0</v>
      </c>
      <c r="BT6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610,"revision",""),"version",""),"jan",""),"feb",""),"mar",""),"apr",""),"may",""),"jun",""),"jul",""),"aug",""),"sep",""),"oct",""),"nov",""),"dec",""),"utc",""),"gmt",""),"myt",""),"bst",""),"rev",""),"ver",""),"b","a"),"c","a"),"d","a"),"e","a"),"f","a"),"g","a"),"h","a"),"i","a"),"j","a"),"k","a"),"l","a"),"m","a"),"n","a"),"o","a"),"p","a"),"q","a"),"r","a"),"s","a"),"t","a"),"u","a"),"v","a"),"w","a"),"x","a"),"y","a"),"z","a")</f>
        <v/>
      </c>
      <c r="BU610" s="61" t="str">
        <f aca="false">SUBSTITUTE(SUBSTITUTE(SUBSTITUTE(SUBSTITUTE(SUBSTITUTE(SUBSTITUTE(SUBSTITUTE(SUBSTITUTE(SUBSTITUTE(SUBSTITUTE(LEFT(BM610,FIND("0",BM610&amp;"0")-1),"-",""),"_",""),"/",""),".",""),"#",""),"\\",""),":","")," ",""),"(",""),")","")</f>
        <v/>
      </c>
      <c r="BV610" s="61" t="n">
        <f aca="false">IFERROR(IF(OR(SUMPRODUCT((LEN(BC610)-LEN(SUBSTITUTE(BC610," "&amp;L_NotLoaded&amp;" "," ")))/(LEN(L_NotLoaded)+1))&gt;SUMPRODUCT((LEN(BC610)-LEN(SUBSTITUTE(BC610," "&amp;L_NotLoadedNeg&amp;" "," ")))/(LEN(L_NotLoadedNeg)+1)),SUMPRODUCT((LEN(BD610)-LEN(SUBSTITUTE(BD610," "&amp;L_NotLoaded&amp;" "," ")))/(LEN(L_NotLoaded)+1))&gt;SUMPRODUCT((LEN(BD610)-LEN(SUBSTITUTE(BD610," "&amp;L_NotLoadedNeg&amp;" "," ")))/(LEN(L_NotLoadedNeg)+1))),1,0),0)</f>
        <v>0</v>
      </c>
      <c r="BW6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610&amp;""),"a",""),"b",""),"c",""),"d",""),"e",""),"f",""),"g",""),"h",""),"i",""),"j",""),"k",""),"l",""),"m",""),"n",""),"o",""),"p",""),"q",""),"r",""),"s",""),"t",""),"u",""),"v",""),"w",""),"x",""),"y",""),"z",""),"-",""),"_",""),"/",""),".",""),"#",""),"\\",""),":","")," ",""),"(",""),")","")</f>
        <v/>
      </c>
      <c r="BX610" s="61" t="str">
        <f aca="false">SUBSTITUTE(SUBSTITUTE(SUBSTITUTE(SUBSTITUTE(SUBSTITUTE(SUBSTITUTE(SUBSTITUTE(SUBSTITUTE(SUBSTITUTE(SUBSTITUTE(SUBSTITUTE(BM610,"0",""),"-",""),"_",""),"/",""),".",""),"#",""),"\\",""),":","")," ",""),"(",""),")","")</f>
        <v/>
      </c>
      <c r="BY610" s="62" t="n">
        <f aca="false">IF(ISNUMBER(Flights!$AZ$22),MAX(Q610-UpliftWindowH/24,Flights!$AZ$22),Q610-UpliftWindowH/24)</f>
        <v>46322.3506944444</v>
      </c>
      <c r="BZ610" s="61" t="n">
        <f aca="false">IFERROR(IF(IF(TRIM(S610)="Link / file path",AND(LEN(TRIM(Z610))&gt;=5,SUMPRODUCT(--ISNUMBER(SEARCH({"http","www.","\\",":\",".pdf",".jpg",".jpeg",".png",".heic",".xls",".doc",".msg",".eml",".ppt",".txt",".zip"},Z610)))&gt;0),AND(ISERROR(FIND(" ",TRIM(Z610))),NOT(OR(SUMPRODUCT(--ISNUMBER(FIND({",",";","&amp;","+"},Z610)))&gt;0,SUMPRODUCT(--ISNUMBER(SEARCH({"0/aa","0\\aa"},BN610)))&gt;0)),NOT(SUMPRODUCT(--ISNUMBER(SEARCH({"http","www.","\\",":\",".pdf",".jpg",".jpeg",".png",".heic",".xls",".doc",".msg",".eml",".ppt",".txt",".zip"},Z610)))&gt;0),NOT(LOWER(TRIM(Z610))=LOWER(Flights!$F$22)),ISNA(MATCH(BU610,{"mh","rev","revision","ver","version","v","r","a","b","seat","tray","row","gate","bay","stand","page","pg","item","line","no","cart","galley","flight","flt","table","box","bag","oven","etd","eta","std","sta","atd","ata","qty","pax","x","time","tel","ph","mob","day","wk","week","utc","gmt","myt","lt"},0)),NOT(OR(ISNUMBER(MATCH(LEFT(BN610,255),{"0000a","000a","00a","0000aa","000aa","00aa","0aa","0000aaa","000aaa","00a00","0a00","0000-0000","00:00","a00","a0","00.00.0000","00/00/0000","00-00-0000","0000-00-00","0000/00/00","0000.00.00","00.00.00","00/00/00","00-00-00","0.00.0000","0/00/0000","0-00-0000"},0)),ISNUMBER(MATCH(LEFT(BT610,255),{"0000a","000a","00a","0000aa","000aa","00aa","0aa","0000aaa","000aaa","00a00","0a00","0000-0000","00:00","a00","a0","00.00.0000","00/00/0000","00-00-0000","0000-00-00","0000/00/00","0000.00.00","00.00.00","00/00/00","00-00-00","0.00.0000","0/00/0000","0-00-0000"},0)))),NOT(OR(AND(BW610&lt;&gt;"",SUBSTITUTE(BW610,"0","")=""),AND(LEN(BW610)&gt;=4,BW610=REPT(LEFT(BW610),LEN(BW610))),ISNUMBER(MATCH(BW610,{"123","1234","12345","123456","1234567","12345678","0123","01234","012345","98765","987654","54321"},0)),ISNUMBER(MATCH(BX610,{"x","xx","xxx","xxxx","xxxxx","abc","abcd","nil","na","nan","test","tbc","tba","tbd","dummy","sample","example","eg","zz","zzz","none","null","xyz","qwe","asd","id","ref"},0)),AND(LEN(BW610)=8,BX610="",OR(LEFT(BW610,3)="202",ISNUMBER(MATCH(RIGHT(BW610,4),{"2025","2026","2027"},0)))))),OR(AND((LEN(BT610)-LEN(SUBSTITUTE(BT610,"a","")))&gt;=1,(LEN(BN610)-LEN(SUBSTITUTE(BN610,"0","")))&gt;=2,SUMPRODUCT(--ISNUMBER(SEARCH({"a0","a-0","a_0","a/0","a.0","a#0","0a","0-a","0_a","0/a"},BN610)))&gt;0),AND((LEN(BN610)-LEN(SUBSTITUTE(BN610,"a","")))=0,(LEN(BN610)-LEN(SUBSTITUTE(BN610,"0","")))&gt;=5)))),1,0),0)</f>
        <v>0</v>
      </c>
      <c r="CA6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610,"revision",""),"version",""),"jan",""),"feb",""),"mar",""),"apr",""),"may",""),"jun",""),"jul",""),"aug",""),"sep",""),"oct",""),"nov",""),"dec",""),"utc",""),"gmt",""),"myt",""),"bst",""),"rev",""),"ver",""),"b","a"),"c","a"),"d","a"),"e","a"),"f","a"),"g","a"),"h","a"),"i","a"),"j","a"),"k","a"),"l","a"),"m","a"),"n","a"),"o","a"),"p","a"),"q","a"),"r","a"),"s","a"),"t","a"),"u","a"),"v","a"),"w","a"),"x","a"),"y","a"),"z","a")</f>
        <v/>
      </c>
      <c r="CB6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610&amp;""),"a",""),"b",""),"c",""),"d",""),"e",""),"f",""),"g",""),"h",""),"i",""),"j",""),"k",""),"l",""),"m",""),"n",""),"o",""),"p",""),"q",""),"r",""),"s",""),"t",""),"u",""),"v",""),"w",""),"x",""),"y",""),"z",""),"-",""),"_",""),"/",""),".",""),"#",""),"\\",""),":","")," ",""),"(",""),")","")</f>
        <v/>
      </c>
      <c r="CC610" s="0" t="str">
        <f aca="false">" "&amp;TRIM(SUBSTITUTE(SUBSTITUTE(SUBSTITUTE(SUBSTITUTE(SUBSTITUTE(SUBSTITUTE(SUBSTITUTE(SUBSTITUTE(SUBSTITUTE(SUBSTITUTE(SUBSTITUTE(SUBSTITUTE(SUBSTITUTE(SUBSTITUTE(SUBSTITUTE(SUBSTITUTE(SUBSTITUTE(SUBSTITUTE(SUBSTITUTE(SUBSTITUTE(SUBSTITUTE(SUBSTITUTE(SUBSTITUTE(SUBSTITUTE(LOWER(T610&amp;""),CHAR(10)," "),CHAR(13)," "),CHAR(9)," "),CHAR(160)," "),"."," "),","," "),"-"," "),"/"," "),"("," "),")"," "),":"," "),";"," "),"_"," "),"–"," "),"?"," "),"!"," "),"*"," "),"["," "),"]"," "),"'"," "),"#"," "),"+"," "),"&amp;"," "),"\"," "))&amp;" "</f>
        <v>  </v>
      </c>
      <c r="CD610" s="0" t="str">
        <f aca="false">" "&amp;TRIM(SUBSTITUTE(SUBSTITUTE(SUBSTITUTE(SUBSTITUTE(SUBSTITUTE(SUBSTITUTE(SUBSTITUTE(SUBSTITUTE(SUBSTITUTE(SUBSTITUTE(SUBSTITUTE(SUBSTITUTE(SUBSTITUTE(SUBSTITUTE(SUBSTITUTE(SUBSTITUTE(SUBSTITUTE(SUBSTITUTE(SUBSTITUTE(SUBSTITUTE(SUBSTITUTE(SUBSTITUTE(SUBSTITUTE(SUBSTITUTE(LOWER(AE610&amp;""),CHAR(10)," "),CHAR(13)," "),CHAR(9)," "),CHAR(160)," "),"."," "),","," "),"-"," "),"/"," "),"("," "),")"," "),":"," "),";"," "),"_"," "),"–"," "),"?"," "),"!"," "),"*"," "),"["," "),"]"," "),"'"," "),"#"," "),"+"," "),"&amp;"," "),"\"," "))&amp;" "</f>
        <v>  </v>
      </c>
      <c r="CE610" s="68" t="n">
        <f aca="false">IFERROR(IF(AND(LEN(AU610)&gt;0,LEN(AU610)=LEN(AX610),OR(TRIM(MID(SUBSTITUTE(TRIM(CC610)," ",REPT(" ",60)),1,60))="",ISNUMBER(SEARCH(" "&amp;TRIM(MID(SUBSTITUTE(TRIM(CC610)," ",REPT(" ",60)),1,60))&amp;" ",CD610))),OR(TRIM(MID(SUBSTITUTE(TRIM(CC610)," ",REPT(" ",60)),61,60))="",ISNUMBER(SEARCH(" "&amp;TRIM(MID(SUBSTITUTE(TRIM(CC610)," ",REPT(" ",60)),61,60))&amp;" ",CD610))),OR(TRIM(MID(SUBSTITUTE(TRIM(CC610)," ",REPT(" ",60)),121,60))="",ISNUMBER(SEARCH(" "&amp;TRIM(MID(SUBSTITUTE(TRIM(CC610)," ",REPT(" ",60)),121,60))&amp;" ",CD610)))),1,0),0)</f>
        <v>0</v>
      </c>
      <c r="CG610" s="68" t="n">
        <f aca="false">IFERROR(LEN(SUBSTITUTE(BF610," ",""))-SUMPRODUCT((LEN(BF610)-LEN(SUBSTITUTE(BF610," "&amp;L_NAFiller&amp;" "," ")))/(LEN(L_NAFiller)+1)*LEN(L_NAFiller)),0)</f>
        <v>0</v>
      </c>
    </row>
    <row r="611" customFormat="false" ht="39.75" hidden="false" customHeight="true" outlineLevel="0" collapsed="false">
      <c r="A611" s="57" t="s">
        <v>1320</v>
      </c>
      <c r="B611" s="57" t="s">
        <v>293</v>
      </c>
      <c r="C611" s="57" t="str">
        <f aca="false">Flights!$F$22</f>
        <v>MH0052</v>
      </c>
      <c r="D611" s="58" t="n">
        <f aca="false">Flights!$D$22</f>
        <v>46322</v>
      </c>
      <c r="E611" s="57" t="str">
        <f aca="false">Flights!$G$22&amp;"-"&amp;Flights!$H$22</f>
        <v>KUL-KIX</v>
      </c>
      <c r="F611" s="57" t="str">
        <f aca="false">Flights!$K$22</f>
        <v>BC</v>
      </c>
      <c r="G611" s="57" t="s">
        <v>459</v>
      </c>
      <c r="H611" s="57" t="s">
        <v>460</v>
      </c>
      <c r="I611" s="57" t="s">
        <v>499</v>
      </c>
      <c r="J611" s="57" t="s">
        <v>546</v>
      </c>
      <c r="K611" s="67" t="s">
        <v>501</v>
      </c>
      <c r="L611" s="67" t="s">
        <v>1296</v>
      </c>
      <c r="M611" s="67" t="s">
        <v>451</v>
      </c>
      <c r="N611" s="67" t="s">
        <v>383</v>
      </c>
      <c r="O611" s="67"/>
      <c r="P611" s="57" t="s">
        <v>187</v>
      </c>
      <c r="Q611" s="59" t="n">
        <f aca="false">ROUND((Flights!$AF$22)*1440,0)/1440</f>
        <v>46322.6006944444</v>
      </c>
      <c r="R611" s="59" t="n">
        <f aca="false">Q611+(IF(AND(INDEX(TZ_DSTS,MATCH(P611,TZ_STN,0))&lt;&gt;"",Q611&gt;=INDEX(TZ_DSTS,MATCH(P611,TZ_STN,0)),Q611&lt;INDEX(TZ_DSTE,MATCH(P611,TZ_STN,0))),INDEX(TZ_DST,MATCH(P611,TZ_STN,0)),INDEX(TZ_STD,MATCH(P611,TZ_STN,0))))/24</f>
        <v>46322.9340277778</v>
      </c>
      <c r="S611" s="60"/>
      <c r="T611" s="60"/>
      <c r="U611" s="60"/>
      <c r="V611" s="60"/>
      <c r="W611" s="61"/>
      <c r="X611" s="60"/>
      <c r="Y611" s="60"/>
      <c r="Z611" s="60"/>
      <c r="AA611" s="60"/>
      <c r="AB611" s="60"/>
      <c r="AC611" s="60"/>
      <c r="AD611" s="66"/>
      <c r="AE611" s="60"/>
      <c r="AF611" s="61" t="str">
        <f aca="false">IF(AND(ISNUMBER(X611),ISNUMBER(Y611)),Y611-X611,"")</f>
        <v/>
      </c>
      <c r="AG611" s="62" t="str">
        <f aca="false">IF(ISNUMBER(AD611),AD611-(IF(AND(INDEX(TZ_DSTS,MATCH(P611,TZ_STN,0))&lt;&gt;"",(AD611-INDEX(TZ_STD,MATCH(P611,TZ_STN,0))/24)&gt;=INDEX(TZ_DSTS,MATCH(P611,TZ_STN,0)),(AD611-INDEX(TZ_STD,MATCH(P611,TZ_STN,0))/24)&lt;INDEX(TZ_DSTE,MATCH(P611,TZ_STN,0))),INDEX(TZ_DST,MATCH(P611,TZ_STN,0)),INDEX(TZ_STD,MATCH(P611,TZ_STN,0))))/24,"")</f>
        <v/>
      </c>
      <c r="AH611" s="65" t="str">
        <f aca="false">IFERROR(IF(N611="N/A – rule",IF(OR(TRIM(U611)="",TRIM(U611)="N/A",TRIM(U611)="Not started"),"N/A – RULE","INVALID – this check does not apply to this aircraft: clear the status (or correct the fleet on Flights)"),IF(TRIM(U611)="N/A",IF(AT611=0,"INVALID – N/A not permitted for this check",IF(AND(TRIM(AB611)&lt;&gt;"",TRIM(AB611)&lt;&gt;"Closed"),"INVALID – corrective action still open",IF(AND(NOT(OR(LEN(AZ611)&lt;15,ISNUMBER(MATCH(AZ611,L_Placeholder,0)))),BK611=0,CG611&gt;=8,NOT(OR(LEN(AU611)&lt;2,ISNUMBER(MATCH(AU611,L_Placeholder,0)))),BR611&gt;=3,NOT(OR(LEN(AX611)&lt;2,ISNUMBER(MATCH(AX611,L_Placeholder,0)))),BS611&gt;=3,TRIM(AE611)&lt;&gt;TRIM(T611),AX611&lt;&gt;AU611,CE611=0),"N/A – JUSTIFIED","INVALID – N/A needs a real, settled reason (not 'not applicable' / 'as above' / TBC), a named PIC and a different named verifier"))),IF(OR(TRIM(U611)="Pass",TRIM(U611)="Pass after CA"),IF(NOT(ISNUMBER(AD611)),"INVALID – completion time missing",IF(OR(OR(LEN(AU611)&lt;2,ISNUMBER(MATCH(AU611,L_Placeholder,0))),BR611&lt;3),"INVALID – PIC missing or not a named person (a role such as QA / CSM is not a name)",IF(OR(LEN(AV611)&lt;2,ISNUMBER(MATCH(AV611,L_Placeholder,0))),"INVALID – result / assessment missing",IF(OR(OR(LEN(AW611)&lt;3,ISNUMBER(MATCH(AW611,L_Placeholder,0))),SUMPRODUCT(--ISNUMBER(SEARCH(" "&amp;L_EvidencePhrase&amp;" ",BD611)))&gt;0,BI611=1),"INVALID – evidence missing, placeholder or not yet on file",IF(ISNA(MATCH(TRIM(S611),L_EvidenceType,0)),"INVALID – choose the evidence type from the list (column S)",IF(BL611=0,"INVALID – evidence ID must be the record's own ID only (e.g. SF-2210, IMG_2231, 1045521); a link / file name needs type 'Link / file path'",IF(OR(OR(LEN(AX611)&lt;2,ISNUMBER(MATCH(AX611,L_Placeholder,0))),BS611&lt;3),"INVALID – verifier missing or not a named person (a role such as QA / CSM is not a name)",IF(OR(AX611=AU611,CE611=1,AND(LEN(AU611)&gt;=4,ISNUMBER(SEARCH(AU611,AX611))),AND(LEN(AX611)&gt;=4,ISNUMBER(SEARCH(AX611,AU611)))),"INVALID – verifier must be a different, named person (not the PIC or a role)",IF(BH611=1,"INVALID – result not yet available (awaiting / TBC)",IF(BG611=1,"INVALID – result describes a problem: record Fail, then Pass after CA (or reword if it is not a problem)",IF(BV611=1,"INVALID – wording says not on board: an on-board confirmation needs the item loaded",IF(AND(AQ611=1,OR(OR(LEN(AY611)&lt;3,ISNUMBER(MATCH(AY611,L_Placeholder,0))),BJ611=1,BQ611=0)),"INVALID – batch ID missing, placeholder or not an ID (e.g. PASB-261008-BC-017)",IF(AND(AR611=1,OR(NOT(ISNUMBER(X611)),NOT(ISNUMBER(Y611)))),"INVALID – expected/actual qty missing",IF(AND(AR611=1,OR(X611&lt;=0,Y611&lt;0)),"INVALID – expected qty must be above 0 and actual not negative",IF(AH596="N/A – JUSTIFIED","INVALID – preparation row F18-T12-13 is N/A",IF(AND(AR611=1,ISNUMBER(X596),X611&lt;&gt;X596,TRIM(U611)&lt;&gt;"Pass after CA"),"INVALID – expected qty differs from preparation check F18-T12-13: record the load change as a corrective action (Pass after CA)",IF(BB611&lt;&gt;"",BB611,IF(AND(AS611=1,Documents!$J$22&lt;&gt;"ON FILE"),"INVALID – GLD not on file (Documents sheet)",IF(AND(AS611=2,Documents!$O$22&lt;&gt;"ON FILE"),"INVALID – menu checklist not on file (Documents sheet)",IF(AND(AS611=3,NOT(ISNUMBER(Flights!$AX$22))),"INVALID – enter carrying flight KUL departure (Flights AX)",IF(AND(AS611=3,OR(Flights!$AZ$22&gt;Flights!$AA$22,Flights!$AX$22&lt;Flights!$AA$22-3)),"INVALID – carrying flight (Flights AX) cannot arrive before this leg's STD, or is over 3 days early",IF(AG611&gt;AsOfUTC,"INVALID – completion time is in the future",IF(AND(ISNUMBER(BY611),AG611&lt;BY611),IF(H611="Physical uplift","INVALID – before uplift window (cannot confirm loading)","INVALID – before valid window"),IF(AG611&gt;Flights!$AA$22,"INVALID – completed after departure (cannot establish readiness)",IF(AND(H611="Preparation",AG611&gt;=IF(ISNUMBER(Flights!$BA$22),MIN(Flights!$BA$22,Flights!$AA$22),Flights!$AA$22)),"INVALID – completed after loading / departure (cannot establish readiness)",IF(AND(H611="Physical uplift",AG611&gt;Q611),"INVALID – recorded after the loading flight departed",IF(AG611&gt;Q611,"COMPLETE – LATE","COMPLETE"))))))))))))))))))))))))))),IF(TRIM(U611)="Fail","FAIL – DISCREPANCY",IF(AND(TRIM(U611)&lt;&gt;"",TRIM(U611)&lt;&gt;"Not started",TRIM(U611)&lt;&gt;"In progress"),"INVALID – unrecognised status (use the list)",IF(AsOfUTC&gt;Q611,"OVERDUE",IF(N611="Clarification required","OPEN – CLARIFICATION","OPEN"))))))),"INVALID – error value in an input cell")</f>
        <v>OPEN</v>
      </c>
      <c r="AI611" s="61" t="n">
        <f aca="false">IF(OR(AH611="N/A – RULE",AH611="N/A – JUSTIFIED"),0,1)</f>
        <v>1</v>
      </c>
      <c r="AJ611" s="61" t="n">
        <f aca="false">IF(LEFT(AH611,8)="COMPLETE",1,0)</f>
        <v>0</v>
      </c>
      <c r="AK611" s="61" t="n">
        <f aca="false">IF(AND(AI611=1,AJ611=0,AsOfUTC&gt;Q611),1,0)</f>
        <v>0</v>
      </c>
      <c r="AL611" s="61" t="n">
        <f aca="false">IFERROR(IF(AND(AI611=1,OR(TRIM(U611)="Fail",AND(TRIM(AB611)&lt;&gt;"",TRIM(AB611)&lt;&gt;"Closed"),AND(ISNUMBER(AF611),AF611&lt;&gt;0,TRIM(U611)&lt;&gt;"Pass after CA"))),1,0),1)</f>
        <v>0</v>
      </c>
      <c r="AM611" s="61" t="n">
        <f aca="false">IF(LEFT(AH611,7)="INVALID",1,0)</f>
        <v>0</v>
      </c>
      <c r="AN611" s="61" t="n">
        <f aca="false">IF(AND(N611="Clarification required",AI611=1,AJ611=0),1,0)</f>
        <v>0</v>
      </c>
      <c r="AO611" s="61" t="str">
        <f aca="false">IF(AK611=1,SUM(AK$5:AK611),"")</f>
        <v/>
      </c>
      <c r="AP611" s="61" t="str">
        <f aca="false">IF(AL611=1,SUM(AL$5:AL611),"")</f>
        <v/>
      </c>
      <c r="AQ611" s="61" t="n">
        <v>0</v>
      </c>
      <c r="AR611" s="61" t="n">
        <v>0</v>
      </c>
      <c r="AS611" s="61" t="n">
        <v>0</v>
      </c>
      <c r="AT611" s="61" t="n">
        <v>0</v>
      </c>
      <c r="AU611" s="61" t="str">
        <f aca="false">SUBSTITUTE(SUBSTITUTE(SUBSTITUTE(SUBSTITUTE(SUBSTITUTE(SUBSTITUTE(SUBSTITUTE(SUBSTITUTE(SUBSTITUTE(SUBSTITUTE(SUBSTITUTE(SUBSTITUTE(SUBSTITUTE(SUBSTITUTE(SUBSTITUTE(SUBSTITUTE(LOWER(T611&amp;""),CHAR(10),""),CHAR(13),""),CHAR(9),""),CHAR(160),"")," ",""),".",""),"-",""),"/",""),"?",""),"_",""),",",""),"[",""),"]",""),"(",""),")",""),"*","")</f>
        <v/>
      </c>
      <c r="AV611" s="61" t="str">
        <f aca="false">SUBSTITUTE(SUBSTITUTE(SUBSTITUTE(SUBSTITUTE(SUBSTITUTE(SUBSTITUTE(SUBSTITUTE(SUBSTITUTE(SUBSTITUTE(SUBSTITUTE(SUBSTITUTE(SUBSTITUTE(SUBSTITUTE(SUBSTITUTE(SUBSTITUTE(SUBSTITUTE(LOWER(V611&amp;""),CHAR(10),""),CHAR(13),""),CHAR(9),""),CHAR(160),"")," ",""),".",""),"-",""),"/",""),"?",""),"_",""),",",""),"[",""),"]",""),"(",""),")",""),"*","")</f>
        <v/>
      </c>
      <c r="AW611" s="61" t="str">
        <f aca="false">SUBSTITUTE(SUBSTITUTE(SUBSTITUTE(SUBSTITUTE(SUBSTITUTE(SUBSTITUTE(SUBSTITUTE(SUBSTITUTE(SUBSTITUTE(SUBSTITUTE(SUBSTITUTE(SUBSTITUTE(SUBSTITUTE(SUBSTITUTE(SUBSTITUTE(SUBSTITUTE(LOWER(Z611&amp;""),CHAR(10),""),CHAR(13),""),CHAR(9),""),CHAR(160),"")," ",""),".",""),"-",""),"/",""),"?",""),"_",""),",",""),"[",""),"]",""),"(",""),")",""),"*","")</f>
        <v/>
      </c>
      <c r="AX611" s="61" t="str">
        <f aca="false">SUBSTITUTE(SUBSTITUTE(SUBSTITUTE(SUBSTITUTE(SUBSTITUTE(SUBSTITUTE(SUBSTITUTE(SUBSTITUTE(SUBSTITUTE(SUBSTITUTE(SUBSTITUTE(SUBSTITUTE(SUBSTITUTE(SUBSTITUTE(SUBSTITUTE(SUBSTITUTE(LOWER(AE611&amp;""),CHAR(10),""),CHAR(13),""),CHAR(9),""),CHAR(160),"")," ",""),".",""),"-",""),"/",""),"?",""),"_",""),",",""),"[",""),"]",""),"(",""),")",""),"*","")</f>
        <v/>
      </c>
      <c r="AY611" s="61" t="str">
        <f aca="false">SUBSTITUTE(SUBSTITUTE(SUBSTITUTE(SUBSTITUTE(SUBSTITUTE(SUBSTITUTE(SUBSTITUTE(SUBSTITUTE(SUBSTITUTE(SUBSTITUTE(SUBSTITUTE(SUBSTITUTE(SUBSTITUTE(SUBSTITUTE(SUBSTITUTE(SUBSTITUTE(LOWER(W611&amp;""),CHAR(10),""),CHAR(13),""),CHAR(9),""),CHAR(160),"")," ",""),".",""),"-",""),"/",""),"?",""),"_",""),",",""),"[",""),"]",""),"(",""),")",""),"*","")</f>
        <v/>
      </c>
      <c r="AZ611" s="61" t="str">
        <f aca="false">SUBSTITUTE(SUBSTITUTE(SUBSTITUTE(SUBSTITUTE(SUBSTITUTE(SUBSTITUTE(SUBSTITUTE(SUBSTITUTE(SUBSTITUTE(SUBSTITUTE(SUBSTITUTE(SUBSTITUTE(SUBSTITUTE(SUBSTITUTE(SUBSTITUTE(SUBSTITUTE(LOWER(AC611&amp;""),CHAR(10),""),CHAR(13),""),CHAR(9),""),CHAR(160),"")," ",""),".",""),"-",""),"/",""),"?",""),"_",""),",",""),"[",""),"]",""),"(",""),")",""),"*","")</f>
        <v/>
      </c>
      <c r="BA611" s="61" t="str">
        <f aca="false">SUBSTITUTE(SUBSTITUTE(SUBSTITUTE(SUBSTITUTE(SUBSTITUTE(SUBSTITUTE(SUBSTITUTE(SUBSTITUTE(SUBSTITUTE(SUBSTITUTE(SUBSTITUTE(SUBSTITUTE(SUBSTITUTE(SUBSTITUTE(SUBSTITUTE(SUBSTITUTE(LOWER(AA611&amp;""),CHAR(10),""),CHAR(13),""),CHAR(9),""),CHAR(160),"")," ",""),".",""),"-",""),"/",""),"?",""),"_",""),",",""),"[",""),"]",""),"(",""),")",""),"*","")</f>
        <v/>
      </c>
      <c r="BB611" s="61" t="str">
        <f aca="false">IF(AND(TRIM(U611)="Pass",ISNUMBER(AF611)),IF(AF611&lt;&gt;0,"INVALID – qty variance: use Fail or Pass after CA",""),"")&amp;IF(AND(TRIM(U611)="Pass after CA",ISNUMBER(AF611)),IF(AF611&lt;&gt;0,"INVALID – after the corrective action the actual qty must equal expected (update Actual)",""),"")&amp;IF(AND(TRIM(U611)="Pass",TRIM(AB611)&lt;&gt;"",TRIM(AB611)&lt;&gt;"Closed"),"INVALID – corrective action not closed: use Fail, then Pass after CA","")&amp;IF(AND(LEN(BA611)&gt;=2,ISNA(MATCH(LEFT(BA611,255),L_Placeholder,0)),TRIM(AB611)=""),"INVALID – CA status missing for the recorded corrective action","")&amp;IF(AND(TRIM(U611)="Pass after CA",OR(OR(LEN(BA611)&lt;5,ISNUMBER(MATCH(BA611,L_Placeholder,0))),TRIM(AB611)&lt;&gt;"Closed")),"INVALID – corrective action not recorded/closed","")</f>
        <v/>
      </c>
      <c r="BC611" s="61" t="str">
        <f aca="false">" "&amp;TRIM(SUBSTITUTE(SUBSTITUTE(SUBSTITUTE(SUBSTITUTE(SUBSTITUTE(SUBSTITUTE(SUBSTITUTE(SUBSTITUTE(SUBSTITUTE(SUBSTITUTE(SUBSTITUTE(SUBSTITUTE(SUBSTITUTE(SUBSTITUTE(SUBSTITUTE(SUBSTITUTE(SUBSTITUTE(SUBSTITUTE(SUBSTITUTE(SUBSTITUTE(SUBSTITUTE(SUBSTITUTE(SUBSTITUTE(SUBSTITUTE(LOWER(V611&amp;""),CHAR(10)," "),CHAR(13)," "),CHAR(9)," "),CHAR(160)," "),"."," "),","," "),"-"," "),"/"," "),"("," "),")"," "),":"," "),";"," "),"_"," "),"–"," "),"?"," "),"!"," "),"*"," "),"["," "),"]"," "),"'"," "),"#"," "),"+"," "),"&amp;"," "),"\"," "))&amp;" "</f>
        <v>  </v>
      </c>
      <c r="BD611" s="61" t="str">
        <f aca="false">" "&amp;TRIM(SUBSTITUTE(SUBSTITUTE(SUBSTITUTE(SUBSTITUTE(SUBSTITUTE(SUBSTITUTE(SUBSTITUTE(SUBSTITUTE(SUBSTITUTE(SUBSTITUTE(SUBSTITUTE(SUBSTITUTE(SUBSTITUTE(SUBSTITUTE(SUBSTITUTE(SUBSTITUTE(SUBSTITUTE(SUBSTITUTE(SUBSTITUTE(SUBSTITUTE(SUBSTITUTE(SUBSTITUTE(SUBSTITUTE(SUBSTITUTE(LOWER(Z611&amp;""),CHAR(10)," "),CHAR(13)," "),CHAR(9)," "),CHAR(160)," "),"."," "),","," "),"-"," "),"/"," "),"("," "),")"," "),":"," "),";"," "),"_"," "),"–"," "),"?"," "),"!"," "),"*"," "),"["," "),"]"," "),"'"," "),"#"," "),"+"," "),"&amp;"," "),"\"," "))&amp;" "</f>
        <v>  </v>
      </c>
      <c r="BE611" s="61" t="str">
        <f aca="false">" "&amp;TRIM(SUBSTITUTE(SUBSTITUTE(SUBSTITUTE(SUBSTITUTE(SUBSTITUTE(SUBSTITUTE(SUBSTITUTE(SUBSTITUTE(SUBSTITUTE(SUBSTITUTE(SUBSTITUTE(SUBSTITUTE(SUBSTITUTE(SUBSTITUTE(SUBSTITUTE(SUBSTITUTE(SUBSTITUTE(SUBSTITUTE(SUBSTITUTE(SUBSTITUTE(SUBSTITUTE(SUBSTITUTE(SUBSTITUTE(SUBSTITUTE(LOWER(W611&amp;""),CHAR(10)," "),CHAR(13)," "),CHAR(9)," "),CHAR(160)," "),"."," "),","," "),"-"," "),"/"," "),"("," "),")"," "),":"," "),";"," "),"_"," "),"–"," "),"?"," "),"!"," "),"*"," "),"["," "),"]"," "),"'"," "),"#"," "),"+"," "),"&amp;"," "),"\"," "))&amp;" "</f>
        <v>  </v>
      </c>
      <c r="BF611" s="61" t="str">
        <f aca="false">" "&amp;TRIM(SUBSTITUTE(SUBSTITUTE(SUBSTITUTE(SUBSTITUTE(SUBSTITUTE(SUBSTITUTE(SUBSTITUTE(SUBSTITUTE(SUBSTITUTE(SUBSTITUTE(SUBSTITUTE(SUBSTITUTE(SUBSTITUTE(SUBSTITUTE(SUBSTITUTE(SUBSTITUTE(SUBSTITUTE(SUBSTITUTE(SUBSTITUTE(SUBSTITUTE(SUBSTITUTE(SUBSTITUTE(SUBSTITUTE(SUBSTITUTE(LOWER(AC611&amp;""),CHAR(10)," "),CHAR(13)," "),CHAR(9)," "),CHAR(160)," "),"."," "),","," "),"-"," "),"/"," "),"("," "),")"," "),":"," "),";"," "),"_"," "),"–"," "),"?"," "),"!"," "),"*"," "),"["," "),"]"," "),"'"," "),"#"," "),"+"," "),"&amp;"," "),"\"," "))&amp;" "</f>
        <v>  </v>
      </c>
      <c r="BG611" s="61" t="n">
        <f aca="false">IFERROR(IF(AND(TRIM(U611)="Pass",SUMPRODUCT((LEN(BC611)-LEN(SUBSTITUTE(BC611," "&amp;L_ResultBad&amp;" "," ")))/(LEN(L_ResultBad)+1))&gt;SUMPRODUCT((LEN(BC611)-LEN(SUBSTITUTE(BC611," "&amp;L_NegPhrase&amp;" "," ")))/(LEN(L_NegPhrase)+1))),1,0),0)</f>
        <v>0</v>
      </c>
      <c r="BH611" s="61" t="n">
        <f aca="false">IFERROR(IF(SUMPRODUCT((LEN(BC611)-LEN(SUBSTITUTE(BC611," "&amp;L_Pending&amp;" "," ")))/(LEN(L_Pending)+1))&gt;SUMPRODUCT((LEN(BC611)-LEN(SUBSTITUTE(BC611," "&amp;L_PendNeg&amp;" "," ")))/(LEN(L_PendNeg)+1)),1,0),1)</f>
        <v>0</v>
      </c>
      <c r="BI611" s="61" t="n">
        <f aca="false">IFERROR(IF(SUMPRODUCT((LEN(BD611)-LEN(SUBSTITUTE(BD611," "&amp;L_PendStrict&amp;" "," ")))/(LEN(L_PendStrict)+1))&gt;SUMPRODUCT((LEN(BD611)-LEN(SUBSTITUTE(BD611," "&amp;L_PendNeg&amp;" "," ")))/(LEN(L_PendNeg)+1)),1,0),1)</f>
        <v>0</v>
      </c>
      <c r="BJ611" s="61" t="n">
        <f aca="false">IFERROR(IF(SUMPRODUCT((LEN(BE611)-LEN(SUBSTITUTE(BE611," "&amp;L_Pending&amp;" "," ")))/(LEN(L_Pending)+1))&gt;SUMPRODUCT((LEN(BE611)-LEN(SUBSTITUTE(BE611," "&amp;L_PendNeg&amp;" "," ")))/(LEN(L_PendNeg)+1)),1,0),1)</f>
        <v>0</v>
      </c>
      <c r="BK611" s="61" t="n">
        <f aca="false">IFERROR(IF(SUMPRODUCT((LEN(BF611)-LEN(SUBSTITUTE(BF611," "&amp;L_PendStrict&amp;" "," ")))/(LEN(L_PendStrict)+1))&gt;SUMPRODUCT((LEN(BF611)-LEN(SUBSTITUTE(BF611," "&amp;L_PendNeg&amp;" "," ")))/(LEN(L_PendNeg)+1)),1,0),1)</f>
        <v>0</v>
      </c>
      <c r="BL611" s="61" t="n">
        <f aca="false">IF(ISNA(MATCH(TRIM(S611),L_EvidenceType,0)),0,BZ611)</f>
        <v>0</v>
      </c>
      <c r="BM611" s="61" t="str">
        <f aca="false">SUBSTITUTE(SUBSTITUTE(SUBSTITUTE(SUBSTITUTE(SUBSTITUTE(SUBSTITUTE(SUBSTITUTE(SUBSTITUTE(SUBSTITUTE(LOWER(Z611&amp;""),"1","0"),"2","0"),"3","0"),"4","0"),"5","0"),"6","0"),"7","0"),"8","0"),"9","0")</f>
        <v/>
      </c>
      <c r="BN611" s="61" t="str">
        <f aca="false">SUBSTITUTE(SUBSTITUTE(SUBSTITUTE(SUBSTITUTE(SUBSTITUTE(SUBSTITUTE(SUBSTITUTE(SUBSTITUTE(SUBSTITUTE(SUBSTITUTE(SUBSTITUTE(SUBSTITUTE(SUBSTITUTE(SUBSTITUTE(SUBSTITUTE(SUBSTITUTE(SUBSTITUTE(SUBSTITUTE(SUBSTITUTE(SUBSTITUTE(SUBSTITUTE(SUBSTITUTE(SUBSTITUTE(SUBSTITUTE(SUBSTITUTE(BM611,"b","a"),"c","a"),"d","a"),"e","a"),"f","a"),"g","a"),"h","a"),"i","a"),"j","a"),"k","a"),"l","a"),"m","a"),"n","a"),"o","a"),"p","a"),"q","a"),"r","a"),"s","a"),"t","a"),"u","a"),"v","a"),"w","a"),"x","a"),"y","a"),"z","a")</f>
        <v/>
      </c>
      <c r="BO611" s="61" t="str">
        <f aca="false">SUBSTITUTE(SUBSTITUTE(SUBSTITUTE(SUBSTITUTE(SUBSTITUTE(SUBSTITUTE(SUBSTITUTE(SUBSTITUTE(SUBSTITUTE(LOWER(W611&amp;""),"1","0"),"2","0"),"3","0"),"4","0"),"5","0"),"6","0"),"7","0"),"8","0"),"9","0")</f>
        <v/>
      </c>
      <c r="BP611" s="61" t="str">
        <f aca="false">SUBSTITUTE(SUBSTITUTE(SUBSTITUTE(SUBSTITUTE(SUBSTITUTE(SUBSTITUTE(SUBSTITUTE(SUBSTITUTE(SUBSTITUTE(SUBSTITUTE(SUBSTITUTE(SUBSTITUTE(SUBSTITUTE(SUBSTITUTE(SUBSTITUTE(SUBSTITUTE(SUBSTITUTE(SUBSTITUTE(SUBSTITUTE(SUBSTITUTE(SUBSTITUTE(SUBSTITUTE(SUBSTITUTE(SUBSTITUTE(SUBSTITUTE(BO611,"b","a"),"c","a"),"d","a"),"e","a"),"f","a"),"g","a"),"h","a"),"i","a"),"j","a"),"k","a"),"l","a"),"m","a"),"n","a"),"o","a"),"p","a"),"q","a"),"r","a"),"s","a"),"t","a"),"u","a"),"v","a"),"w","a"),"x","a"),"y","a"),"z","a")</f>
        <v/>
      </c>
      <c r="BQ611" s="61" t="n">
        <f aca="false">IFERROR(IF(AND(ISERROR(SEARCH(" mh"," "&amp;LOWER(W611))),ISNA(MATCH(LEFT(TRIM(BP611),255),{"0000a","000a","00a","0000aa","000aa","00aa","0aa","0000aaa","000aaa","00a00","0a00","0000-0000","00:00","a00","a0","00.00.0000","00/00/0000","00-00-0000","0000-00-00","0000/00/00","0000.00.00","00.00.00","00/00/00","00-00-00","0.00.0000","0/00/0000","0-00-0000"},0)),ISNA(MATCH(LEFT(TRIM(CA611),255),{"0000a","000a","00a","0000aa","000aa","00aa","0aa","0000aaa","000aaa","00a00","0a00","0000-0000","00:00","a00","a0","00.00.0000","00/00/0000","00-00-0000","0000-00-00","0000/00/00","0000.00.00","00.00.00","00/00/00","00-00-00","0.00.0000","0/00/0000","0-00-0000"},0)),LEN(CB611)&gt;=3,NOT(OR(SUBSTITUTE(CB611,"0","")="",AND(LEN(CB611)&gt;=4,CB611=REPT(LEFT(CB611),LEN(CB611))),ISNUMBER(MATCH(CB611,{"123","1234","12345","123456","1234567","12345678","0123","01234","012345","98765","987654","54321"},0)),AND(LEN(CB611)=8,LEFT(CB611,3)="202"))),OR(AND((LEN(CA611)-LEN(SUBSTITUTE(CA611,"a","")))&gt;=1,SUMPRODUCT(--ISNUMBER(SEARCH({"a0","a-0","a_0","a/0","a.0","a#0","0a","0-a","0_a","0/a"},BP611)))&gt;0),ISNUMBER(SEARCH("000000",BP611)))),1,0),0)</f>
        <v>0</v>
      </c>
      <c r="BR611" s="61" t="n">
        <f aca="false">IFERROR(LEN(SUBSTITUTE(CC611," ",""))-SUMPRODUCT((LEN(CC611)-LEN(SUBSTITUTE(CC611," "&amp;L_Role&amp;" "," ")))/(LEN(L_Role)+1)*LEN(L_Role)),0)</f>
        <v>0</v>
      </c>
      <c r="BS611" s="61" t="n">
        <f aca="false">IFERROR(LEN(SUBSTITUTE(CD611," ",""))-SUMPRODUCT((LEN(CD611)-LEN(SUBSTITUTE(CD611," "&amp;L_Role&amp;" "," ")))/(LEN(L_Role)+1)*LEN(L_Role)),0)</f>
        <v>0</v>
      </c>
      <c r="BT6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611,"revision",""),"version",""),"jan",""),"feb",""),"mar",""),"apr",""),"may",""),"jun",""),"jul",""),"aug",""),"sep",""),"oct",""),"nov",""),"dec",""),"utc",""),"gmt",""),"myt",""),"bst",""),"rev",""),"ver",""),"b","a"),"c","a"),"d","a"),"e","a"),"f","a"),"g","a"),"h","a"),"i","a"),"j","a"),"k","a"),"l","a"),"m","a"),"n","a"),"o","a"),"p","a"),"q","a"),"r","a"),"s","a"),"t","a"),"u","a"),"v","a"),"w","a"),"x","a"),"y","a"),"z","a")</f>
        <v/>
      </c>
      <c r="BU611" s="61" t="str">
        <f aca="false">SUBSTITUTE(SUBSTITUTE(SUBSTITUTE(SUBSTITUTE(SUBSTITUTE(SUBSTITUTE(SUBSTITUTE(SUBSTITUTE(SUBSTITUTE(SUBSTITUTE(LEFT(BM611,FIND("0",BM611&amp;"0")-1),"-",""),"_",""),"/",""),".",""),"#",""),"\\",""),":","")," ",""),"(",""),")","")</f>
        <v/>
      </c>
      <c r="BV611" s="61" t="n">
        <f aca="false">IFERROR(IF(OR(SUMPRODUCT((LEN(BC611)-LEN(SUBSTITUTE(BC611," "&amp;L_NotLoaded&amp;" "," ")))/(LEN(L_NotLoaded)+1))&gt;SUMPRODUCT((LEN(BC611)-LEN(SUBSTITUTE(BC611," "&amp;L_NotLoadedNeg&amp;" "," ")))/(LEN(L_NotLoadedNeg)+1)),SUMPRODUCT((LEN(BD611)-LEN(SUBSTITUTE(BD611," "&amp;L_NotLoaded&amp;" "," ")))/(LEN(L_NotLoaded)+1))&gt;SUMPRODUCT((LEN(BD611)-LEN(SUBSTITUTE(BD611," "&amp;L_NotLoadedNeg&amp;" "," ")))/(LEN(L_NotLoadedNeg)+1))),1,0),0)</f>
        <v>0</v>
      </c>
      <c r="BW6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611&amp;""),"a",""),"b",""),"c",""),"d",""),"e",""),"f",""),"g",""),"h",""),"i",""),"j",""),"k",""),"l",""),"m",""),"n",""),"o",""),"p",""),"q",""),"r",""),"s",""),"t",""),"u",""),"v",""),"w",""),"x",""),"y",""),"z",""),"-",""),"_",""),"/",""),".",""),"#",""),"\\",""),":","")," ",""),"(",""),")","")</f>
        <v/>
      </c>
      <c r="BX611" s="61" t="str">
        <f aca="false">SUBSTITUTE(SUBSTITUTE(SUBSTITUTE(SUBSTITUTE(SUBSTITUTE(SUBSTITUTE(SUBSTITUTE(SUBSTITUTE(SUBSTITUTE(SUBSTITUTE(SUBSTITUTE(BM611,"0",""),"-",""),"_",""),"/",""),".",""),"#",""),"\\",""),":","")," ",""),"(",""),")","")</f>
        <v/>
      </c>
      <c r="BY611" s="62" t="n">
        <f aca="false">IF(ISNUMBER(Flights!$AZ$22),MAX(Q611-UpliftWindowH/24,Flights!$AZ$22),Q611-UpliftWindowH/24)</f>
        <v>46322.3506944444</v>
      </c>
      <c r="BZ611" s="61" t="n">
        <f aca="false">IFERROR(IF(IF(TRIM(S611)="Link / file path",AND(LEN(TRIM(Z611))&gt;=5,SUMPRODUCT(--ISNUMBER(SEARCH({"http","www.","\\",":\",".pdf",".jpg",".jpeg",".png",".heic",".xls",".doc",".msg",".eml",".ppt",".txt",".zip"},Z611)))&gt;0),AND(ISERROR(FIND(" ",TRIM(Z611))),NOT(OR(SUMPRODUCT(--ISNUMBER(FIND({",",";","&amp;","+"},Z611)))&gt;0,SUMPRODUCT(--ISNUMBER(SEARCH({"0/aa","0\\aa"},BN611)))&gt;0)),NOT(SUMPRODUCT(--ISNUMBER(SEARCH({"http","www.","\\",":\",".pdf",".jpg",".jpeg",".png",".heic",".xls",".doc",".msg",".eml",".ppt",".txt",".zip"},Z611)))&gt;0),NOT(LOWER(TRIM(Z611))=LOWER(Flights!$F$22)),ISNA(MATCH(BU611,{"mh","rev","revision","ver","version","v","r","a","b","seat","tray","row","gate","bay","stand","page","pg","item","line","no","cart","galley","flight","flt","table","box","bag","oven","etd","eta","std","sta","atd","ata","qty","pax","x","time","tel","ph","mob","day","wk","week","utc","gmt","myt","lt"},0)),NOT(OR(ISNUMBER(MATCH(LEFT(BN611,255),{"0000a","000a","00a","0000aa","000aa","00aa","0aa","0000aaa","000aaa","00a00","0a00","0000-0000","00:00","a00","a0","00.00.0000","00/00/0000","00-00-0000","0000-00-00","0000/00/00","0000.00.00","00.00.00","00/00/00","00-00-00","0.00.0000","0/00/0000","0-00-0000"},0)),ISNUMBER(MATCH(LEFT(BT611,255),{"0000a","000a","00a","0000aa","000aa","00aa","0aa","0000aaa","000aaa","00a00","0a00","0000-0000","00:00","a00","a0","00.00.0000","00/00/0000","00-00-0000","0000-00-00","0000/00/00","0000.00.00","00.00.00","00/00/00","00-00-00","0.00.0000","0/00/0000","0-00-0000"},0)))),NOT(OR(AND(BW611&lt;&gt;"",SUBSTITUTE(BW611,"0","")=""),AND(LEN(BW611)&gt;=4,BW611=REPT(LEFT(BW611),LEN(BW611))),ISNUMBER(MATCH(BW611,{"123","1234","12345","123456","1234567","12345678","0123","01234","012345","98765","987654","54321"},0)),ISNUMBER(MATCH(BX611,{"x","xx","xxx","xxxx","xxxxx","abc","abcd","nil","na","nan","test","tbc","tba","tbd","dummy","sample","example","eg","zz","zzz","none","null","xyz","qwe","asd","id","ref"},0)),AND(LEN(BW611)=8,BX611="",OR(LEFT(BW611,3)="202",ISNUMBER(MATCH(RIGHT(BW611,4),{"2025","2026","2027"},0)))))),OR(AND((LEN(BT611)-LEN(SUBSTITUTE(BT611,"a","")))&gt;=1,(LEN(BN611)-LEN(SUBSTITUTE(BN611,"0","")))&gt;=2,SUMPRODUCT(--ISNUMBER(SEARCH({"a0","a-0","a_0","a/0","a.0","a#0","0a","0-a","0_a","0/a"},BN611)))&gt;0),AND((LEN(BN611)-LEN(SUBSTITUTE(BN611,"a","")))=0,(LEN(BN611)-LEN(SUBSTITUTE(BN611,"0","")))&gt;=5)))),1,0),0)</f>
        <v>0</v>
      </c>
      <c r="CA6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611,"revision",""),"version",""),"jan",""),"feb",""),"mar",""),"apr",""),"may",""),"jun",""),"jul",""),"aug",""),"sep",""),"oct",""),"nov",""),"dec",""),"utc",""),"gmt",""),"myt",""),"bst",""),"rev",""),"ver",""),"b","a"),"c","a"),"d","a"),"e","a"),"f","a"),"g","a"),"h","a"),"i","a"),"j","a"),"k","a"),"l","a"),"m","a"),"n","a"),"o","a"),"p","a"),"q","a"),"r","a"),"s","a"),"t","a"),"u","a"),"v","a"),"w","a"),"x","a"),"y","a"),"z","a")</f>
        <v/>
      </c>
      <c r="CB6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611&amp;""),"a",""),"b",""),"c",""),"d",""),"e",""),"f",""),"g",""),"h",""),"i",""),"j",""),"k",""),"l",""),"m",""),"n",""),"o",""),"p",""),"q",""),"r",""),"s",""),"t",""),"u",""),"v",""),"w",""),"x",""),"y",""),"z",""),"-",""),"_",""),"/",""),".",""),"#",""),"\\",""),":","")," ",""),"(",""),")","")</f>
        <v/>
      </c>
      <c r="CC611" s="0" t="str">
        <f aca="false">" "&amp;TRIM(SUBSTITUTE(SUBSTITUTE(SUBSTITUTE(SUBSTITUTE(SUBSTITUTE(SUBSTITUTE(SUBSTITUTE(SUBSTITUTE(SUBSTITUTE(SUBSTITUTE(SUBSTITUTE(SUBSTITUTE(SUBSTITUTE(SUBSTITUTE(SUBSTITUTE(SUBSTITUTE(SUBSTITUTE(SUBSTITUTE(SUBSTITUTE(SUBSTITUTE(SUBSTITUTE(SUBSTITUTE(SUBSTITUTE(SUBSTITUTE(LOWER(T611&amp;""),CHAR(10)," "),CHAR(13)," "),CHAR(9)," "),CHAR(160)," "),"."," "),","," "),"-"," "),"/"," "),"("," "),")"," "),":"," "),";"," "),"_"," "),"–"," "),"?"," "),"!"," "),"*"," "),"["," "),"]"," "),"'"," "),"#"," "),"+"," "),"&amp;"," "),"\"," "))&amp;" "</f>
        <v>  </v>
      </c>
      <c r="CD611" s="0" t="str">
        <f aca="false">" "&amp;TRIM(SUBSTITUTE(SUBSTITUTE(SUBSTITUTE(SUBSTITUTE(SUBSTITUTE(SUBSTITUTE(SUBSTITUTE(SUBSTITUTE(SUBSTITUTE(SUBSTITUTE(SUBSTITUTE(SUBSTITUTE(SUBSTITUTE(SUBSTITUTE(SUBSTITUTE(SUBSTITUTE(SUBSTITUTE(SUBSTITUTE(SUBSTITUTE(SUBSTITUTE(SUBSTITUTE(SUBSTITUTE(SUBSTITUTE(SUBSTITUTE(LOWER(AE611&amp;""),CHAR(10)," "),CHAR(13)," "),CHAR(9)," "),CHAR(160)," "),"."," "),","," "),"-"," "),"/"," "),"("," "),")"," "),":"," "),";"," "),"_"," "),"–"," "),"?"," "),"!"," "),"*"," "),"["," "),"]"," "),"'"," "),"#"," "),"+"," "),"&amp;"," "),"\"," "))&amp;" "</f>
        <v>  </v>
      </c>
      <c r="CE611" s="68" t="n">
        <f aca="false">IFERROR(IF(AND(LEN(AU611)&gt;0,LEN(AU611)=LEN(AX611),OR(TRIM(MID(SUBSTITUTE(TRIM(CC611)," ",REPT(" ",60)),1,60))="",ISNUMBER(SEARCH(" "&amp;TRIM(MID(SUBSTITUTE(TRIM(CC611)," ",REPT(" ",60)),1,60))&amp;" ",CD611))),OR(TRIM(MID(SUBSTITUTE(TRIM(CC611)," ",REPT(" ",60)),61,60))="",ISNUMBER(SEARCH(" "&amp;TRIM(MID(SUBSTITUTE(TRIM(CC611)," ",REPT(" ",60)),61,60))&amp;" ",CD611))),OR(TRIM(MID(SUBSTITUTE(TRIM(CC611)," ",REPT(" ",60)),121,60))="",ISNUMBER(SEARCH(" "&amp;TRIM(MID(SUBSTITUTE(TRIM(CC611)," ",REPT(" ",60)),121,60))&amp;" ",CD611)))),1,0),0)</f>
        <v>0</v>
      </c>
      <c r="CG611" s="68" t="n">
        <f aca="false">IFERROR(LEN(SUBSTITUTE(BF611," ",""))-SUMPRODUCT((LEN(BF611)-LEN(SUBSTITUTE(BF611," "&amp;L_NAFiller&amp;" "," ")))/(LEN(L_NAFiller)+1)*LEN(L_NAFiller)),0)</f>
        <v>0</v>
      </c>
    </row>
    <row r="612" customFormat="false" ht="39.75" hidden="false" customHeight="true" outlineLevel="0" collapsed="false">
      <c r="A612" s="57" t="s">
        <v>1321</v>
      </c>
      <c r="B612" s="57" t="s">
        <v>293</v>
      </c>
      <c r="C612" s="57" t="str">
        <f aca="false">Flights!$F$22</f>
        <v>MH0052</v>
      </c>
      <c r="D612" s="58" t="n">
        <f aca="false">Flights!$D$22</f>
        <v>46322</v>
      </c>
      <c r="E612" s="57" t="str">
        <f aca="false">Flights!$G$22&amp;"-"&amp;Flights!$H$22</f>
        <v>KUL-KIX</v>
      </c>
      <c r="F612" s="57" t="str">
        <f aca="false">Flights!$K$22</f>
        <v>BC</v>
      </c>
      <c r="G612" s="57" t="s">
        <v>459</v>
      </c>
      <c r="H612" s="57" t="s">
        <v>460</v>
      </c>
      <c r="I612" s="57" t="s">
        <v>499</v>
      </c>
      <c r="J612" s="57" t="s">
        <v>548</v>
      </c>
      <c r="K612" s="67" t="s">
        <v>616</v>
      </c>
      <c r="L612" s="67" t="s">
        <v>1298</v>
      </c>
      <c r="M612" s="67" t="s">
        <v>451</v>
      </c>
      <c r="N612" s="67" t="s">
        <v>383</v>
      </c>
      <c r="O612" s="67" t="s">
        <v>549</v>
      </c>
      <c r="P612" s="57" t="s">
        <v>187</v>
      </c>
      <c r="Q612" s="59" t="n">
        <f aca="false">ROUND((Flights!$AF$22)*1440,0)/1440</f>
        <v>46322.6006944444</v>
      </c>
      <c r="R612" s="59" t="n">
        <f aca="false">Q612+(IF(AND(INDEX(TZ_DSTS,MATCH(P612,TZ_STN,0))&lt;&gt;"",Q612&gt;=INDEX(TZ_DSTS,MATCH(P612,TZ_STN,0)),Q612&lt;INDEX(TZ_DSTE,MATCH(P612,TZ_STN,0))),INDEX(TZ_DST,MATCH(P612,TZ_STN,0)),INDEX(TZ_STD,MATCH(P612,TZ_STN,0))))/24</f>
        <v>46322.9340277778</v>
      </c>
      <c r="S612" s="60"/>
      <c r="T612" s="60"/>
      <c r="U612" s="60"/>
      <c r="V612" s="60"/>
      <c r="W612" s="61"/>
      <c r="X612" s="60"/>
      <c r="Y612" s="60"/>
      <c r="Z612" s="60"/>
      <c r="AA612" s="60"/>
      <c r="AB612" s="60"/>
      <c r="AC612" s="60"/>
      <c r="AD612" s="66"/>
      <c r="AE612" s="60"/>
      <c r="AF612" s="61" t="str">
        <f aca="false">IF(AND(ISNUMBER(X612),ISNUMBER(Y612)),Y612-X612,"")</f>
        <v/>
      </c>
      <c r="AG612" s="62" t="str">
        <f aca="false">IF(ISNUMBER(AD612),AD612-(IF(AND(INDEX(TZ_DSTS,MATCH(P612,TZ_STN,0))&lt;&gt;"",(AD612-INDEX(TZ_STD,MATCH(P612,TZ_STN,0))/24)&gt;=INDEX(TZ_DSTS,MATCH(P612,TZ_STN,0)),(AD612-INDEX(TZ_STD,MATCH(P612,TZ_STN,0))/24)&lt;INDEX(TZ_DSTE,MATCH(P612,TZ_STN,0))),INDEX(TZ_DST,MATCH(P612,TZ_STN,0)),INDEX(TZ_STD,MATCH(P612,TZ_STN,0))))/24,"")</f>
        <v/>
      </c>
      <c r="AH612" s="65" t="str">
        <f aca="false">IFERROR(IF(N612="N/A – rule",IF(OR(TRIM(U612)="",TRIM(U612)="N/A",TRIM(U612)="Not started"),"N/A – RULE","INVALID – this check does not apply to this aircraft: clear the status (or correct the fleet on Flights)"),IF(TRIM(U612)="N/A",IF(AT612=0,"INVALID – N/A not permitted for this check",IF(AND(TRIM(AB612)&lt;&gt;"",TRIM(AB612)&lt;&gt;"Closed"),"INVALID – corrective action still open",IF(AND(NOT(OR(LEN(AZ612)&lt;15,ISNUMBER(MATCH(AZ612,L_Placeholder,0)))),BK612=0,CG612&gt;=8,NOT(OR(LEN(AU612)&lt;2,ISNUMBER(MATCH(AU612,L_Placeholder,0)))),BR612&gt;=3,NOT(OR(LEN(AX612)&lt;2,ISNUMBER(MATCH(AX612,L_Placeholder,0)))),BS612&gt;=3,TRIM(AE612)&lt;&gt;TRIM(T612),AX612&lt;&gt;AU612,CE612=0),"N/A – JUSTIFIED","INVALID – N/A needs a real, settled reason (not 'not applicable' / 'as above' / TBC), a named PIC and a different named verifier"))),IF(OR(TRIM(U612)="Pass",TRIM(U612)="Pass after CA"),IF(NOT(ISNUMBER(AD612)),"INVALID – completion time missing",IF(OR(OR(LEN(AU612)&lt;2,ISNUMBER(MATCH(AU612,L_Placeholder,0))),BR612&lt;3),"INVALID – PIC missing or not a named person (a role such as QA / CSM is not a name)",IF(OR(LEN(AV612)&lt;2,ISNUMBER(MATCH(AV612,L_Placeholder,0))),"INVALID – result / assessment missing",IF(OR(OR(LEN(AW612)&lt;3,ISNUMBER(MATCH(AW612,L_Placeholder,0))),SUMPRODUCT(--ISNUMBER(SEARCH(" "&amp;L_EvidencePhrase&amp;" ",BD612)))&gt;0,BI612=1),"INVALID – evidence missing, placeholder or not yet on file",IF(ISNA(MATCH(TRIM(S612),L_EvidenceType,0)),"INVALID – choose the evidence type from the list (column S)",IF(BL612=0,"INVALID – evidence ID must be the record's own ID only (e.g. SF-2210, IMG_2231, 1045521); a link / file name needs type 'Link / file path'",IF(OR(OR(LEN(AX612)&lt;2,ISNUMBER(MATCH(AX612,L_Placeholder,0))),BS612&lt;3),"INVALID – verifier missing or not a named person (a role such as QA / CSM is not a name)",IF(OR(AX612=AU612,CE612=1,AND(LEN(AU612)&gt;=4,ISNUMBER(SEARCH(AU612,AX612))),AND(LEN(AX612)&gt;=4,ISNUMBER(SEARCH(AX612,AU612)))),"INVALID – verifier must be a different, named person (not the PIC or a role)",IF(BH612=1,"INVALID – result not yet available (awaiting / TBC)",IF(BG612=1,"INVALID – result describes a problem: record Fail, then Pass after CA (or reword if it is not a problem)",IF(BV612=1,"INVALID – wording says not on board: an on-board confirmation needs the item loaded",IF(AND(AQ612=1,OR(OR(LEN(AY612)&lt;3,ISNUMBER(MATCH(AY612,L_Placeholder,0))),BJ612=1,BQ612=0)),"INVALID – batch ID missing, placeholder or not an ID (e.g. PASB-261008-BC-017)",IF(AND(AR612=1,OR(NOT(ISNUMBER(X612)),NOT(ISNUMBER(Y612)))),"INVALID – expected/actual qty missing",IF(AND(AR612=1,OR(X612&lt;=0,Y612&lt;0)),"INVALID – expected qty must be above 0 and actual not negative",IF(AH597="N/A – JUSTIFIED","INVALID – preparation row F18-T12-14 is N/A",IF(AND(AR612=1,ISNUMBER(X597),X612&lt;&gt;X597,TRIM(U612)&lt;&gt;"Pass after CA"),"INVALID – expected qty differs from preparation check F18-T12-14: record the load change as a corrective action (Pass after CA)",IF(BB612&lt;&gt;"",BB612,IF(AND(AS612=1,Documents!$J$22&lt;&gt;"ON FILE"),"INVALID – GLD not on file (Documents sheet)",IF(AND(AS612=2,Documents!$O$22&lt;&gt;"ON FILE"),"INVALID – menu checklist not on file (Documents sheet)",IF(AND(AS612=3,NOT(ISNUMBER(Flights!$AX$22))),"INVALID – enter carrying flight KUL departure (Flights AX)",IF(AND(AS612=3,OR(Flights!$AZ$22&gt;Flights!$AA$22,Flights!$AX$22&lt;Flights!$AA$22-3)),"INVALID – carrying flight (Flights AX) cannot arrive before this leg's STD, or is over 3 days early",IF(AG612&gt;AsOfUTC,"INVALID – completion time is in the future",IF(AND(ISNUMBER(BY612),AG612&lt;BY612),IF(H612="Physical uplift","INVALID – before uplift window (cannot confirm loading)","INVALID – before valid window"),IF(AG612&gt;Flights!$AA$22,"INVALID – completed after departure (cannot establish readiness)",IF(AND(H612="Preparation",AG612&gt;=IF(ISNUMBER(Flights!$BA$22),MIN(Flights!$BA$22,Flights!$AA$22),Flights!$AA$22)),"INVALID – completed after loading / departure (cannot establish readiness)",IF(AND(H612="Physical uplift",AG612&gt;Q612),"INVALID – recorded after the loading flight departed",IF(AG612&gt;Q612,"COMPLETE – LATE","COMPLETE"))))))))))))))))))))))))))),IF(TRIM(U612)="Fail","FAIL – DISCREPANCY",IF(AND(TRIM(U612)&lt;&gt;"",TRIM(U612)&lt;&gt;"Not started",TRIM(U612)&lt;&gt;"In progress"),"INVALID – unrecognised status (use the list)",IF(AsOfUTC&gt;Q612,"OVERDUE",IF(N612="Clarification required","OPEN – CLARIFICATION","OPEN"))))))),"INVALID – error value in an input cell")</f>
        <v>OPEN</v>
      </c>
      <c r="AI612" s="61" t="n">
        <f aca="false">IF(OR(AH612="N/A – RULE",AH612="N/A – JUSTIFIED"),0,1)</f>
        <v>1</v>
      </c>
      <c r="AJ612" s="61" t="n">
        <f aca="false">IF(LEFT(AH612,8)="COMPLETE",1,0)</f>
        <v>0</v>
      </c>
      <c r="AK612" s="61" t="n">
        <f aca="false">IF(AND(AI612=1,AJ612=0,AsOfUTC&gt;Q612),1,0)</f>
        <v>0</v>
      </c>
      <c r="AL612" s="61" t="n">
        <f aca="false">IFERROR(IF(AND(AI612=1,OR(TRIM(U612)="Fail",AND(TRIM(AB612)&lt;&gt;"",TRIM(AB612)&lt;&gt;"Closed"),AND(ISNUMBER(AF612),AF612&lt;&gt;0,TRIM(U612)&lt;&gt;"Pass after CA"))),1,0),1)</f>
        <v>0</v>
      </c>
      <c r="AM612" s="61" t="n">
        <f aca="false">IF(LEFT(AH612,7)="INVALID",1,0)</f>
        <v>0</v>
      </c>
      <c r="AN612" s="61" t="n">
        <f aca="false">IF(AND(N612="Clarification required",AI612=1,AJ612=0),1,0)</f>
        <v>0</v>
      </c>
      <c r="AO612" s="61" t="str">
        <f aca="false">IF(AK612=1,SUM(AK$5:AK612),"")</f>
        <v/>
      </c>
      <c r="AP612" s="61" t="str">
        <f aca="false">IF(AL612=1,SUM(AL$5:AL612),"")</f>
        <v/>
      </c>
      <c r="AQ612" s="61" t="n">
        <v>0</v>
      </c>
      <c r="AR612" s="61" t="n">
        <v>0</v>
      </c>
      <c r="AS612" s="61" t="n">
        <v>0</v>
      </c>
      <c r="AT612" s="61" t="n">
        <v>0</v>
      </c>
      <c r="AU612" s="61" t="str">
        <f aca="false">SUBSTITUTE(SUBSTITUTE(SUBSTITUTE(SUBSTITUTE(SUBSTITUTE(SUBSTITUTE(SUBSTITUTE(SUBSTITUTE(SUBSTITUTE(SUBSTITUTE(SUBSTITUTE(SUBSTITUTE(SUBSTITUTE(SUBSTITUTE(SUBSTITUTE(SUBSTITUTE(LOWER(T612&amp;""),CHAR(10),""),CHAR(13),""),CHAR(9),""),CHAR(160),"")," ",""),".",""),"-",""),"/",""),"?",""),"_",""),",",""),"[",""),"]",""),"(",""),")",""),"*","")</f>
        <v/>
      </c>
      <c r="AV612" s="61" t="str">
        <f aca="false">SUBSTITUTE(SUBSTITUTE(SUBSTITUTE(SUBSTITUTE(SUBSTITUTE(SUBSTITUTE(SUBSTITUTE(SUBSTITUTE(SUBSTITUTE(SUBSTITUTE(SUBSTITUTE(SUBSTITUTE(SUBSTITUTE(SUBSTITUTE(SUBSTITUTE(SUBSTITUTE(LOWER(V612&amp;""),CHAR(10),""),CHAR(13),""),CHAR(9),""),CHAR(160),"")," ",""),".",""),"-",""),"/",""),"?",""),"_",""),",",""),"[",""),"]",""),"(",""),")",""),"*","")</f>
        <v/>
      </c>
      <c r="AW612" s="61" t="str">
        <f aca="false">SUBSTITUTE(SUBSTITUTE(SUBSTITUTE(SUBSTITUTE(SUBSTITUTE(SUBSTITUTE(SUBSTITUTE(SUBSTITUTE(SUBSTITUTE(SUBSTITUTE(SUBSTITUTE(SUBSTITUTE(SUBSTITUTE(SUBSTITUTE(SUBSTITUTE(SUBSTITUTE(LOWER(Z612&amp;""),CHAR(10),""),CHAR(13),""),CHAR(9),""),CHAR(160),"")," ",""),".",""),"-",""),"/",""),"?",""),"_",""),",",""),"[",""),"]",""),"(",""),")",""),"*","")</f>
        <v/>
      </c>
      <c r="AX612" s="61" t="str">
        <f aca="false">SUBSTITUTE(SUBSTITUTE(SUBSTITUTE(SUBSTITUTE(SUBSTITUTE(SUBSTITUTE(SUBSTITUTE(SUBSTITUTE(SUBSTITUTE(SUBSTITUTE(SUBSTITUTE(SUBSTITUTE(SUBSTITUTE(SUBSTITUTE(SUBSTITUTE(SUBSTITUTE(LOWER(AE612&amp;""),CHAR(10),""),CHAR(13),""),CHAR(9),""),CHAR(160),"")," ",""),".",""),"-",""),"/",""),"?",""),"_",""),",",""),"[",""),"]",""),"(",""),")",""),"*","")</f>
        <v/>
      </c>
      <c r="AY612" s="61" t="str">
        <f aca="false">SUBSTITUTE(SUBSTITUTE(SUBSTITUTE(SUBSTITUTE(SUBSTITUTE(SUBSTITUTE(SUBSTITUTE(SUBSTITUTE(SUBSTITUTE(SUBSTITUTE(SUBSTITUTE(SUBSTITUTE(SUBSTITUTE(SUBSTITUTE(SUBSTITUTE(SUBSTITUTE(LOWER(W612&amp;""),CHAR(10),""),CHAR(13),""),CHAR(9),""),CHAR(160),"")," ",""),".",""),"-",""),"/",""),"?",""),"_",""),",",""),"[",""),"]",""),"(",""),")",""),"*","")</f>
        <v/>
      </c>
      <c r="AZ612" s="61" t="str">
        <f aca="false">SUBSTITUTE(SUBSTITUTE(SUBSTITUTE(SUBSTITUTE(SUBSTITUTE(SUBSTITUTE(SUBSTITUTE(SUBSTITUTE(SUBSTITUTE(SUBSTITUTE(SUBSTITUTE(SUBSTITUTE(SUBSTITUTE(SUBSTITUTE(SUBSTITUTE(SUBSTITUTE(LOWER(AC612&amp;""),CHAR(10),""),CHAR(13),""),CHAR(9),""),CHAR(160),"")," ",""),".",""),"-",""),"/",""),"?",""),"_",""),",",""),"[",""),"]",""),"(",""),")",""),"*","")</f>
        <v/>
      </c>
      <c r="BA612" s="61" t="str">
        <f aca="false">SUBSTITUTE(SUBSTITUTE(SUBSTITUTE(SUBSTITUTE(SUBSTITUTE(SUBSTITUTE(SUBSTITUTE(SUBSTITUTE(SUBSTITUTE(SUBSTITUTE(SUBSTITUTE(SUBSTITUTE(SUBSTITUTE(SUBSTITUTE(SUBSTITUTE(SUBSTITUTE(LOWER(AA612&amp;""),CHAR(10),""),CHAR(13),""),CHAR(9),""),CHAR(160),"")," ",""),".",""),"-",""),"/",""),"?",""),"_",""),",",""),"[",""),"]",""),"(",""),")",""),"*","")</f>
        <v/>
      </c>
      <c r="BB612" s="61" t="str">
        <f aca="false">IF(AND(TRIM(U612)="Pass",ISNUMBER(AF612)),IF(AF612&lt;&gt;0,"INVALID – qty variance: use Fail or Pass after CA",""),"")&amp;IF(AND(TRIM(U612)="Pass after CA",ISNUMBER(AF612)),IF(AF612&lt;&gt;0,"INVALID – after the corrective action the actual qty must equal expected (update Actual)",""),"")&amp;IF(AND(TRIM(U612)="Pass",TRIM(AB612)&lt;&gt;"",TRIM(AB612)&lt;&gt;"Closed"),"INVALID – corrective action not closed: use Fail, then Pass after CA","")&amp;IF(AND(LEN(BA612)&gt;=2,ISNA(MATCH(LEFT(BA612,255),L_Placeholder,0)),TRIM(AB612)=""),"INVALID – CA status missing for the recorded corrective action","")&amp;IF(AND(TRIM(U612)="Pass after CA",OR(OR(LEN(BA612)&lt;5,ISNUMBER(MATCH(BA612,L_Placeholder,0))),TRIM(AB612)&lt;&gt;"Closed")),"INVALID – corrective action not recorded/closed","")</f>
        <v/>
      </c>
      <c r="BC612" s="61" t="str">
        <f aca="false">" "&amp;TRIM(SUBSTITUTE(SUBSTITUTE(SUBSTITUTE(SUBSTITUTE(SUBSTITUTE(SUBSTITUTE(SUBSTITUTE(SUBSTITUTE(SUBSTITUTE(SUBSTITUTE(SUBSTITUTE(SUBSTITUTE(SUBSTITUTE(SUBSTITUTE(SUBSTITUTE(SUBSTITUTE(SUBSTITUTE(SUBSTITUTE(SUBSTITUTE(SUBSTITUTE(SUBSTITUTE(SUBSTITUTE(SUBSTITUTE(SUBSTITUTE(LOWER(V612&amp;""),CHAR(10)," "),CHAR(13)," "),CHAR(9)," "),CHAR(160)," "),"."," "),","," "),"-"," "),"/"," "),"("," "),")"," "),":"," "),";"," "),"_"," "),"–"," "),"?"," "),"!"," "),"*"," "),"["," "),"]"," "),"'"," "),"#"," "),"+"," "),"&amp;"," "),"\"," "))&amp;" "</f>
        <v>  </v>
      </c>
      <c r="BD612" s="61" t="str">
        <f aca="false">" "&amp;TRIM(SUBSTITUTE(SUBSTITUTE(SUBSTITUTE(SUBSTITUTE(SUBSTITUTE(SUBSTITUTE(SUBSTITUTE(SUBSTITUTE(SUBSTITUTE(SUBSTITUTE(SUBSTITUTE(SUBSTITUTE(SUBSTITUTE(SUBSTITUTE(SUBSTITUTE(SUBSTITUTE(SUBSTITUTE(SUBSTITUTE(SUBSTITUTE(SUBSTITUTE(SUBSTITUTE(SUBSTITUTE(SUBSTITUTE(SUBSTITUTE(LOWER(Z612&amp;""),CHAR(10)," "),CHAR(13)," "),CHAR(9)," "),CHAR(160)," "),"."," "),","," "),"-"," "),"/"," "),"("," "),")"," "),":"," "),";"," "),"_"," "),"–"," "),"?"," "),"!"," "),"*"," "),"["," "),"]"," "),"'"," "),"#"," "),"+"," "),"&amp;"," "),"\"," "))&amp;" "</f>
        <v>  </v>
      </c>
      <c r="BE612" s="61" t="str">
        <f aca="false">" "&amp;TRIM(SUBSTITUTE(SUBSTITUTE(SUBSTITUTE(SUBSTITUTE(SUBSTITUTE(SUBSTITUTE(SUBSTITUTE(SUBSTITUTE(SUBSTITUTE(SUBSTITUTE(SUBSTITUTE(SUBSTITUTE(SUBSTITUTE(SUBSTITUTE(SUBSTITUTE(SUBSTITUTE(SUBSTITUTE(SUBSTITUTE(SUBSTITUTE(SUBSTITUTE(SUBSTITUTE(SUBSTITUTE(SUBSTITUTE(SUBSTITUTE(LOWER(W612&amp;""),CHAR(10)," "),CHAR(13)," "),CHAR(9)," "),CHAR(160)," "),"."," "),","," "),"-"," "),"/"," "),"("," "),")"," "),":"," "),";"," "),"_"," "),"–"," "),"?"," "),"!"," "),"*"," "),"["," "),"]"," "),"'"," "),"#"," "),"+"," "),"&amp;"," "),"\"," "))&amp;" "</f>
        <v>  </v>
      </c>
      <c r="BF612" s="61" t="str">
        <f aca="false">" "&amp;TRIM(SUBSTITUTE(SUBSTITUTE(SUBSTITUTE(SUBSTITUTE(SUBSTITUTE(SUBSTITUTE(SUBSTITUTE(SUBSTITUTE(SUBSTITUTE(SUBSTITUTE(SUBSTITUTE(SUBSTITUTE(SUBSTITUTE(SUBSTITUTE(SUBSTITUTE(SUBSTITUTE(SUBSTITUTE(SUBSTITUTE(SUBSTITUTE(SUBSTITUTE(SUBSTITUTE(SUBSTITUTE(SUBSTITUTE(SUBSTITUTE(LOWER(AC612&amp;""),CHAR(10)," "),CHAR(13)," "),CHAR(9)," "),CHAR(160)," "),"."," "),","," "),"-"," "),"/"," "),"("," "),")"," "),":"," "),";"," "),"_"," "),"–"," "),"?"," "),"!"," "),"*"," "),"["," "),"]"," "),"'"," "),"#"," "),"+"," "),"&amp;"," "),"\"," "))&amp;" "</f>
        <v>  </v>
      </c>
      <c r="BG612" s="61" t="n">
        <f aca="false">IFERROR(IF(AND(TRIM(U612)="Pass",SUMPRODUCT((LEN(BC612)-LEN(SUBSTITUTE(BC612," "&amp;L_ResultBad&amp;" "," ")))/(LEN(L_ResultBad)+1))&gt;SUMPRODUCT((LEN(BC612)-LEN(SUBSTITUTE(BC612," "&amp;L_NegPhrase&amp;" "," ")))/(LEN(L_NegPhrase)+1))),1,0),0)</f>
        <v>0</v>
      </c>
      <c r="BH612" s="61" t="n">
        <f aca="false">IFERROR(IF(SUMPRODUCT((LEN(BC612)-LEN(SUBSTITUTE(BC612," "&amp;L_Pending&amp;" "," ")))/(LEN(L_Pending)+1))&gt;SUMPRODUCT((LEN(BC612)-LEN(SUBSTITUTE(BC612," "&amp;L_PendNeg&amp;" "," ")))/(LEN(L_PendNeg)+1)),1,0),1)</f>
        <v>0</v>
      </c>
      <c r="BI612" s="61" t="n">
        <f aca="false">IFERROR(IF(SUMPRODUCT((LEN(BD612)-LEN(SUBSTITUTE(BD612," "&amp;L_PendStrict&amp;" "," ")))/(LEN(L_PendStrict)+1))&gt;SUMPRODUCT((LEN(BD612)-LEN(SUBSTITUTE(BD612," "&amp;L_PendNeg&amp;" "," ")))/(LEN(L_PendNeg)+1)),1,0),1)</f>
        <v>0</v>
      </c>
      <c r="BJ612" s="61" t="n">
        <f aca="false">IFERROR(IF(SUMPRODUCT((LEN(BE612)-LEN(SUBSTITUTE(BE612," "&amp;L_Pending&amp;" "," ")))/(LEN(L_Pending)+1))&gt;SUMPRODUCT((LEN(BE612)-LEN(SUBSTITUTE(BE612," "&amp;L_PendNeg&amp;" "," ")))/(LEN(L_PendNeg)+1)),1,0),1)</f>
        <v>0</v>
      </c>
      <c r="BK612" s="61" t="n">
        <f aca="false">IFERROR(IF(SUMPRODUCT((LEN(BF612)-LEN(SUBSTITUTE(BF612," "&amp;L_PendStrict&amp;" "," ")))/(LEN(L_PendStrict)+1))&gt;SUMPRODUCT((LEN(BF612)-LEN(SUBSTITUTE(BF612," "&amp;L_PendNeg&amp;" "," ")))/(LEN(L_PendNeg)+1)),1,0),1)</f>
        <v>0</v>
      </c>
      <c r="BL612" s="61" t="n">
        <f aca="false">IF(ISNA(MATCH(TRIM(S612),L_EvidenceType,0)),0,BZ612)</f>
        <v>0</v>
      </c>
      <c r="BM612" s="61" t="str">
        <f aca="false">SUBSTITUTE(SUBSTITUTE(SUBSTITUTE(SUBSTITUTE(SUBSTITUTE(SUBSTITUTE(SUBSTITUTE(SUBSTITUTE(SUBSTITUTE(LOWER(Z612&amp;""),"1","0"),"2","0"),"3","0"),"4","0"),"5","0"),"6","0"),"7","0"),"8","0"),"9","0")</f>
        <v/>
      </c>
      <c r="BN612" s="61" t="str">
        <f aca="false">SUBSTITUTE(SUBSTITUTE(SUBSTITUTE(SUBSTITUTE(SUBSTITUTE(SUBSTITUTE(SUBSTITUTE(SUBSTITUTE(SUBSTITUTE(SUBSTITUTE(SUBSTITUTE(SUBSTITUTE(SUBSTITUTE(SUBSTITUTE(SUBSTITUTE(SUBSTITUTE(SUBSTITUTE(SUBSTITUTE(SUBSTITUTE(SUBSTITUTE(SUBSTITUTE(SUBSTITUTE(SUBSTITUTE(SUBSTITUTE(SUBSTITUTE(BM612,"b","a"),"c","a"),"d","a"),"e","a"),"f","a"),"g","a"),"h","a"),"i","a"),"j","a"),"k","a"),"l","a"),"m","a"),"n","a"),"o","a"),"p","a"),"q","a"),"r","a"),"s","a"),"t","a"),"u","a"),"v","a"),"w","a"),"x","a"),"y","a"),"z","a")</f>
        <v/>
      </c>
      <c r="BO612" s="61" t="str">
        <f aca="false">SUBSTITUTE(SUBSTITUTE(SUBSTITUTE(SUBSTITUTE(SUBSTITUTE(SUBSTITUTE(SUBSTITUTE(SUBSTITUTE(SUBSTITUTE(LOWER(W612&amp;""),"1","0"),"2","0"),"3","0"),"4","0"),"5","0"),"6","0"),"7","0"),"8","0"),"9","0")</f>
        <v/>
      </c>
      <c r="BP612" s="61" t="str">
        <f aca="false">SUBSTITUTE(SUBSTITUTE(SUBSTITUTE(SUBSTITUTE(SUBSTITUTE(SUBSTITUTE(SUBSTITUTE(SUBSTITUTE(SUBSTITUTE(SUBSTITUTE(SUBSTITUTE(SUBSTITUTE(SUBSTITUTE(SUBSTITUTE(SUBSTITUTE(SUBSTITUTE(SUBSTITUTE(SUBSTITUTE(SUBSTITUTE(SUBSTITUTE(SUBSTITUTE(SUBSTITUTE(SUBSTITUTE(SUBSTITUTE(SUBSTITUTE(BO612,"b","a"),"c","a"),"d","a"),"e","a"),"f","a"),"g","a"),"h","a"),"i","a"),"j","a"),"k","a"),"l","a"),"m","a"),"n","a"),"o","a"),"p","a"),"q","a"),"r","a"),"s","a"),"t","a"),"u","a"),"v","a"),"w","a"),"x","a"),"y","a"),"z","a")</f>
        <v/>
      </c>
      <c r="BQ612" s="61" t="n">
        <f aca="false">IFERROR(IF(AND(ISERROR(SEARCH(" mh"," "&amp;LOWER(W612))),ISNA(MATCH(LEFT(TRIM(BP612),255),{"0000a","000a","00a","0000aa","000aa","00aa","0aa","0000aaa","000aaa","00a00","0a00","0000-0000","00:00","a00","a0","00.00.0000","00/00/0000","00-00-0000","0000-00-00","0000/00/00","0000.00.00","00.00.00","00/00/00","00-00-00","0.00.0000","0/00/0000","0-00-0000"},0)),ISNA(MATCH(LEFT(TRIM(CA612),255),{"0000a","000a","00a","0000aa","000aa","00aa","0aa","0000aaa","000aaa","00a00","0a00","0000-0000","00:00","a00","a0","00.00.0000","00/00/0000","00-00-0000","0000-00-00","0000/00/00","0000.00.00","00.00.00","00/00/00","00-00-00","0.00.0000","0/00/0000","0-00-0000"},0)),LEN(CB612)&gt;=3,NOT(OR(SUBSTITUTE(CB612,"0","")="",AND(LEN(CB612)&gt;=4,CB612=REPT(LEFT(CB612),LEN(CB612))),ISNUMBER(MATCH(CB612,{"123","1234","12345","123456","1234567","12345678","0123","01234","012345","98765","987654","54321"},0)),AND(LEN(CB612)=8,LEFT(CB612,3)="202"))),OR(AND((LEN(CA612)-LEN(SUBSTITUTE(CA612,"a","")))&gt;=1,SUMPRODUCT(--ISNUMBER(SEARCH({"a0","a-0","a_0","a/0","a.0","a#0","0a","0-a","0_a","0/a"},BP612)))&gt;0),ISNUMBER(SEARCH("000000",BP612)))),1,0),0)</f>
        <v>0</v>
      </c>
      <c r="BR612" s="61" t="n">
        <f aca="false">IFERROR(LEN(SUBSTITUTE(CC612," ",""))-SUMPRODUCT((LEN(CC612)-LEN(SUBSTITUTE(CC612," "&amp;L_Role&amp;" "," ")))/(LEN(L_Role)+1)*LEN(L_Role)),0)</f>
        <v>0</v>
      </c>
      <c r="BS612" s="61" t="n">
        <f aca="false">IFERROR(LEN(SUBSTITUTE(CD612," ",""))-SUMPRODUCT((LEN(CD612)-LEN(SUBSTITUTE(CD612," "&amp;L_Role&amp;" "," ")))/(LEN(L_Role)+1)*LEN(L_Role)),0)</f>
        <v>0</v>
      </c>
      <c r="BT6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612,"revision",""),"version",""),"jan",""),"feb",""),"mar",""),"apr",""),"may",""),"jun",""),"jul",""),"aug",""),"sep",""),"oct",""),"nov",""),"dec",""),"utc",""),"gmt",""),"myt",""),"bst",""),"rev",""),"ver",""),"b","a"),"c","a"),"d","a"),"e","a"),"f","a"),"g","a"),"h","a"),"i","a"),"j","a"),"k","a"),"l","a"),"m","a"),"n","a"),"o","a"),"p","a"),"q","a"),"r","a"),"s","a"),"t","a"),"u","a"),"v","a"),"w","a"),"x","a"),"y","a"),"z","a")</f>
        <v/>
      </c>
      <c r="BU612" s="61" t="str">
        <f aca="false">SUBSTITUTE(SUBSTITUTE(SUBSTITUTE(SUBSTITUTE(SUBSTITUTE(SUBSTITUTE(SUBSTITUTE(SUBSTITUTE(SUBSTITUTE(SUBSTITUTE(LEFT(BM612,FIND("0",BM612&amp;"0")-1),"-",""),"_",""),"/",""),".",""),"#",""),"\\",""),":","")," ",""),"(",""),")","")</f>
        <v/>
      </c>
      <c r="BV612" s="61" t="n">
        <f aca="false">IFERROR(IF(OR(SUMPRODUCT((LEN(BC612)-LEN(SUBSTITUTE(BC612," "&amp;L_NotLoaded&amp;" "," ")))/(LEN(L_NotLoaded)+1))&gt;SUMPRODUCT((LEN(BC612)-LEN(SUBSTITUTE(BC612," "&amp;L_NotLoadedNeg&amp;" "," ")))/(LEN(L_NotLoadedNeg)+1)),SUMPRODUCT((LEN(BD612)-LEN(SUBSTITUTE(BD612," "&amp;L_NotLoaded&amp;" "," ")))/(LEN(L_NotLoaded)+1))&gt;SUMPRODUCT((LEN(BD612)-LEN(SUBSTITUTE(BD612," "&amp;L_NotLoadedNeg&amp;" "," ")))/(LEN(L_NotLoadedNeg)+1))),1,0),0)</f>
        <v>0</v>
      </c>
      <c r="BW6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612&amp;""),"a",""),"b",""),"c",""),"d",""),"e",""),"f",""),"g",""),"h",""),"i",""),"j",""),"k",""),"l",""),"m",""),"n",""),"o",""),"p",""),"q",""),"r",""),"s",""),"t",""),"u",""),"v",""),"w",""),"x",""),"y",""),"z",""),"-",""),"_",""),"/",""),".",""),"#",""),"\\",""),":","")," ",""),"(",""),")","")</f>
        <v/>
      </c>
      <c r="BX612" s="61" t="str">
        <f aca="false">SUBSTITUTE(SUBSTITUTE(SUBSTITUTE(SUBSTITUTE(SUBSTITUTE(SUBSTITUTE(SUBSTITUTE(SUBSTITUTE(SUBSTITUTE(SUBSTITUTE(SUBSTITUTE(BM612,"0",""),"-",""),"_",""),"/",""),".",""),"#",""),"\\",""),":","")," ",""),"(",""),")","")</f>
        <v/>
      </c>
      <c r="BY612" s="62" t="n">
        <f aca="false">IF(ISNUMBER(Flights!$AZ$22),MAX(Q612-UpliftWindowH/24,Flights!$AZ$22),Q612-UpliftWindowH/24)</f>
        <v>46322.3506944444</v>
      </c>
      <c r="BZ612" s="61" t="n">
        <f aca="false">IFERROR(IF(IF(TRIM(S612)="Link / file path",AND(LEN(TRIM(Z612))&gt;=5,SUMPRODUCT(--ISNUMBER(SEARCH({"http","www.","\\",":\",".pdf",".jpg",".jpeg",".png",".heic",".xls",".doc",".msg",".eml",".ppt",".txt",".zip"},Z612)))&gt;0),AND(ISERROR(FIND(" ",TRIM(Z612))),NOT(OR(SUMPRODUCT(--ISNUMBER(FIND({",",";","&amp;","+"},Z612)))&gt;0,SUMPRODUCT(--ISNUMBER(SEARCH({"0/aa","0\\aa"},BN612)))&gt;0)),NOT(SUMPRODUCT(--ISNUMBER(SEARCH({"http","www.","\\",":\",".pdf",".jpg",".jpeg",".png",".heic",".xls",".doc",".msg",".eml",".ppt",".txt",".zip"},Z612)))&gt;0),NOT(LOWER(TRIM(Z612))=LOWER(Flights!$F$22)),ISNA(MATCH(BU612,{"mh","rev","revision","ver","version","v","r","a","b","seat","tray","row","gate","bay","stand","page","pg","item","line","no","cart","galley","flight","flt","table","box","bag","oven","etd","eta","std","sta","atd","ata","qty","pax","x","time","tel","ph","mob","day","wk","week","utc","gmt","myt","lt"},0)),NOT(OR(ISNUMBER(MATCH(LEFT(BN612,255),{"0000a","000a","00a","0000aa","000aa","00aa","0aa","0000aaa","000aaa","00a00","0a00","0000-0000","00:00","a00","a0","00.00.0000","00/00/0000","00-00-0000","0000-00-00","0000/00/00","0000.00.00","00.00.00","00/00/00","00-00-00","0.00.0000","0/00/0000","0-00-0000"},0)),ISNUMBER(MATCH(LEFT(BT612,255),{"0000a","000a","00a","0000aa","000aa","00aa","0aa","0000aaa","000aaa","00a00","0a00","0000-0000","00:00","a00","a0","00.00.0000","00/00/0000","00-00-0000","0000-00-00","0000/00/00","0000.00.00","00.00.00","00/00/00","00-00-00","0.00.0000","0/00/0000","0-00-0000"},0)))),NOT(OR(AND(BW612&lt;&gt;"",SUBSTITUTE(BW612,"0","")=""),AND(LEN(BW612)&gt;=4,BW612=REPT(LEFT(BW612),LEN(BW612))),ISNUMBER(MATCH(BW612,{"123","1234","12345","123456","1234567","12345678","0123","01234","012345","98765","987654","54321"},0)),ISNUMBER(MATCH(BX612,{"x","xx","xxx","xxxx","xxxxx","abc","abcd","nil","na","nan","test","tbc","tba","tbd","dummy","sample","example","eg","zz","zzz","none","null","xyz","qwe","asd","id","ref"},0)),AND(LEN(BW612)=8,BX612="",OR(LEFT(BW612,3)="202",ISNUMBER(MATCH(RIGHT(BW612,4),{"2025","2026","2027"},0)))))),OR(AND((LEN(BT612)-LEN(SUBSTITUTE(BT612,"a","")))&gt;=1,(LEN(BN612)-LEN(SUBSTITUTE(BN612,"0","")))&gt;=2,SUMPRODUCT(--ISNUMBER(SEARCH({"a0","a-0","a_0","a/0","a.0","a#0","0a","0-a","0_a","0/a"},BN612)))&gt;0),AND((LEN(BN612)-LEN(SUBSTITUTE(BN612,"a","")))=0,(LEN(BN612)-LEN(SUBSTITUTE(BN612,"0","")))&gt;=5)))),1,0),0)</f>
        <v>0</v>
      </c>
      <c r="CA6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612,"revision",""),"version",""),"jan",""),"feb",""),"mar",""),"apr",""),"may",""),"jun",""),"jul",""),"aug",""),"sep",""),"oct",""),"nov",""),"dec",""),"utc",""),"gmt",""),"myt",""),"bst",""),"rev",""),"ver",""),"b","a"),"c","a"),"d","a"),"e","a"),"f","a"),"g","a"),"h","a"),"i","a"),"j","a"),"k","a"),"l","a"),"m","a"),"n","a"),"o","a"),"p","a"),"q","a"),"r","a"),"s","a"),"t","a"),"u","a"),"v","a"),"w","a"),"x","a"),"y","a"),"z","a")</f>
        <v/>
      </c>
      <c r="CB6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612&amp;""),"a",""),"b",""),"c",""),"d",""),"e",""),"f",""),"g",""),"h",""),"i",""),"j",""),"k",""),"l",""),"m",""),"n",""),"o",""),"p",""),"q",""),"r",""),"s",""),"t",""),"u",""),"v",""),"w",""),"x",""),"y",""),"z",""),"-",""),"_",""),"/",""),".",""),"#",""),"\\",""),":","")," ",""),"(",""),")","")</f>
        <v/>
      </c>
      <c r="CC612" s="0" t="str">
        <f aca="false">" "&amp;TRIM(SUBSTITUTE(SUBSTITUTE(SUBSTITUTE(SUBSTITUTE(SUBSTITUTE(SUBSTITUTE(SUBSTITUTE(SUBSTITUTE(SUBSTITUTE(SUBSTITUTE(SUBSTITUTE(SUBSTITUTE(SUBSTITUTE(SUBSTITUTE(SUBSTITUTE(SUBSTITUTE(SUBSTITUTE(SUBSTITUTE(SUBSTITUTE(SUBSTITUTE(SUBSTITUTE(SUBSTITUTE(SUBSTITUTE(SUBSTITUTE(LOWER(T612&amp;""),CHAR(10)," "),CHAR(13)," "),CHAR(9)," "),CHAR(160)," "),"."," "),","," "),"-"," "),"/"," "),"("," "),")"," "),":"," "),";"," "),"_"," "),"–"," "),"?"," "),"!"," "),"*"," "),"["," "),"]"," "),"'"," "),"#"," "),"+"," "),"&amp;"," "),"\"," "))&amp;" "</f>
        <v>  </v>
      </c>
      <c r="CD612" s="0" t="str">
        <f aca="false">" "&amp;TRIM(SUBSTITUTE(SUBSTITUTE(SUBSTITUTE(SUBSTITUTE(SUBSTITUTE(SUBSTITUTE(SUBSTITUTE(SUBSTITUTE(SUBSTITUTE(SUBSTITUTE(SUBSTITUTE(SUBSTITUTE(SUBSTITUTE(SUBSTITUTE(SUBSTITUTE(SUBSTITUTE(SUBSTITUTE(SUBSTITUTE(SUBSTITUTE(SUBSTITUTE(SUBSTITUTE(SUBSTITUTE(SUBSTITUTE(SUBSTITUTE(LOWER(AE612&amp;""),CHAR(10)," "),CHAR(13)," "),CHAR(9)," "),CHAR(160)," "),"."," "),","," "),"-"," "),"/"," "),"("," "),")"," "),":"," "),";"," "),"_"," "),"–"," "),"?"," "),"!"," "),"*"," "),"["," "),"]"," "),"'"," "),"#"," "),"+"," "),"&amp;"," "),"\"," "))&amp;" "</f>
        <v>  </v>
      </c>
      <c r="CE612" s="68" t="n">
        <f aca="false">IFERROR(IF(AND(LEN(AU612)&gt;0,LEN(AU612)=LEN(AX612),OR(TRIM(MID(SUBSTITUTE(TRIM(CC612)," ",REPT(" ",60)),1,60))="",ISNUMBER(SEARCH(" "&amp;TRIM(MID(SUBSTITUTE(TRIM(CC612)," ",REPT(" ",60)),1,60))&amp;" ",CD612))),OR(TRIM(MID(SUBSTITUTE(TRIM(CC612)," ",REPT(" ",60)),61,60))="",ISNUMBER(SEARCH(" "&amp;TRIM(MID(SUBSTITUTE(TRIM(CC612)," ",REPT(" ",60)),61,60))&amp;" ",CD612))),OR(TRIM(MID(SUBSTITUTE(TRIM(CC612)," ",REPT(" ",60)),121,60))="",ISNUMBER(SEARCH(" "&amp;TRIM(MID(SUBSTITUTE(TRIM(CC612)," ",REPT(" ",60)),121,60))&amp;" ",CD612)))),1,0),0)</f>
        <v>0</v>
      </c>
      <c r="CG612" s="68" t="n">
        <f aca="false">IFERROR(LEN(SUBSTITUTE(BF612," ",""))-SUMPRODUCT((LEN(BF612)-LEN(SUBSTITUTE(BF612," "&amp;L_NAFiller&amp;" "," ")))/(LEN(L_NAFiller)+1)*LEN(L_NAFiller)),0)</f>
        <v>0</v>
      </c>
    </row>
    <row r="613" customFormat="false" ht="39.75" hidden="false" customHeight="true" outlineLevel="0" collapsed="false">
      <c r="A613" s="57" t="s">
        <v>1322</v>
      </c>
      <c r="B613" s="57" t="s">
        <v>293</v>
      </c>
      <c r="C613" s="57" t="str">
        <f aca="false">Flights!$F$22</f>
        <v>MH0052</v>
      </c>
      <c r="D613" s="58" t="n">
        <f aca="false">Flights!$D$22</f>
        <v>46322</v>
      </c>
      <c r="E613" s="57" t="str">
        <f aca="false">Flights!$G$22&amp;"-"&amp;Flights!$H$22</f>
        <v>KUL-KIX</v>
      </c>
      <c r="F613" s="57" t="str">
        <f aca="false">Flights!$K$22</f>
        <v>BC</v>
      </c>
      <c r="G613" s="57" t="s">
        <v>459</v>
      </c>
      <c r="H613" s="57" t="s">
        <v>460</v>
      </c>
      <c r="I613" s="57" t="s">
        <v>499</v>
      </c>
      <c r="J613" s="57" t="s">
        <v>551</v>
      </c>
      <c r="K613" s="67" t="s">
        <v>501</v>
      </c>
      <c r="L613" s="67" t="s">
        <v>1300</v>
      </c>
      <c r="M613" s="67" t="s">
        <v>451</v>
      </c>
      <c r="N613" s="67" t="s">
        <v>383</v>
      </c>
      <c r="O613" s="67"/>
      <c r="P613" s="57" t="s">
        <v>187</v>
      </c>
      <c r="Q613" s="59" t="n">
        <f aca="false">ROUND((Flights!$AF$22)*1440,0)/1440</f>
        <v>46322.6006944444</v>
      </c>
      <c r="R613" s="59" t="n">
        <f aca="false">Q613+(IF(AND(INDEX(TZ_DSTS,MATCH(P613,TZ_STN,0))&lt;&gt;"",Q613&gt;=INDEX(TZ_DSTS,MATCH(P613,TZ_STN,0)),Q613&lt;INDEX(TZ_DSTE,MATCH(P613,TZ_STN,0))),INDEX(TZ_DST,MATCH(P613,TZ_STN,0)),INDEX(TZ_STD,MATCH(P613,TZ_STN,0))))/24</f>
        <v>46322.9340277778</v>
      </c>
      <c r="S613" s="60"/>
      <c r="T613" s="60"/>
      <c r="U613" s="60"/>
      <c r="V613" s="60"/>
      <c r="W613" s="61"/>
      <c r="X613" s="60"/>
      <c r="Y613" s="60"/>
      <c r="Z613" s="60"/>
      <c r="AA613" s="60"/>
      <c r="AB613" s="60"/>
      <c r="AC613" s="60"/>
      <c r="AD613" s="66"/>
      <c r="AE613" s="60"/>
      <c r="AF613" s="61" t="str">
        <f aca="false">IF(AND(ISNUMBER(X613),ISNUMBER(Y613)),Y613-X613,"")</f>
        <v/>
      </c>
      <c r="AG613" s="62" t="str">
        <f aca="false">IF(ISNUMBER(AD613),AD613-(IF(AND(INDEX(TZ_DSTS,MATCH(P613,TZ_STN,0))&lt;&gt;"",(AD613-INDEX(TZ_STD,MATCH(P613,TZ_STN,0))/24)&gt;=INDEX(TZ_DSTS,MATCH(P613,TZ_STN,0)),(AD613-INDEX(TZ_STD,MATCH(P613,TZ_STN,0))/24)&lt;INDEX(TZ_DSTE,MATCH(P613,TZ_STN,0))),INDEX(TZ_DST,MATCH(P613,TZ_STN,0)),INDEX(TZ_STD,MATCH(P613,TZ_STN,0))))/24,"")</f>
        <v/>
      </c>
      <c r="AH613" s="65" t="str">
        <f aca="false">IFERROR(IF(N613="N/A – rule",IF(OR(TRIM(U613)="",TRIM(U613)="N/A",TRIM(U613)="Not started"),"N/A – RULE","INVALID – this check does not apply to this aircraft: clear the status (or correct the fleet on Flights)"),IF(TRIM(U613)="N/A",IF(AT613=0,"INVALID – N/A not permitted for this check",IF(AND(TRIM(AB613)&lt;&gt;"",TRIM(AB613)&lt;&gt;"Closed"),"INVALID – corrective action still open",IF(AND(NOT(OR(LEN(AZ613)&lt;15,ISNUMBER(MATCH(AZ613,L_Placeholder,0)))),BK613=0,CG613&gt;=8,NOT(OR(LEN(AU613)&lt;2,ISNUMBER(MATCH(AU613,L_Placeholder,0)))),BR613&gt;=3,NOT(OR(LEN(AX613)&lt;2,ISNUMBER(MATCH(AX613,L_Placeholder,0)))),BS613&gt;=3,TRIM(AE613)&lt;&gt;TRIM(T613),AX613&lt;&gt;AU613,CE613=0),"N/A – JUSTIFIED","INVALID – N/A needs a real, settled reason (not 'not applicable' / 'as above' / TBC), a named PIC and a different named verifier"))),IF(OR(TRIM(U613)="Pass",TRIM(U613)="Pass after CA"),IF(NOT(ISNUMBER(AD613)),"INVALID – completion time missing",IF(OR(OR(LEN(AU613)&lt;2,ISNUMBER(MATCH(AU613,L_Placeholder,0))),BR613&lt;3),"INVALID – PIC missing or not a named person (a role such as QA / CSM is not a name)",IF(OR(LEN(AV613)&lt;2,ISNUMBER(MATCH(AV613,L_Placeholder,0))),"INVALID – result / assessment missing",IF(OR(OR(LEN(AW613)&lt;3,ISNUMBER(MATCH(AW613,L_Placeholder,0))),SUMPRODUCT(--ISNUMBER(SEARCH(" "&amp;L_EvidencePhrase&amp;" ",BD613)))&gt;0,BI613=1),"INVALID – evidence missing, placeholder or not yet on file",IF(ISNA(MATCH(TRIM(S613),L_EvidenceType,0)),"INVALID – choose the evidence type from the list (column S)",IF(BL613=0,"INVALID – evidence ID must be the record's own ID only (e.g. SF-2210, IMG_2231, 1045521); a link / file name needs type 'Link / file path'",IF(OR(OR(LEN(AX613)&lt;2,ISNUMBER(MATCH(AX613,L_Placeholder,0))),BS613&lt;3),"INVALID – verifier missing or not a named person (a role such as QA / CSM is not a name)",IF(OR(AX613=AU613,CE613=1,AND(LEN(AU613)&gt;=4,ISNUMBER(SEARCH(AU613,AX613))),AND(LEN(AX613)&gt;=4,ISNUMBER(SEARCH(AX613,AU613)))),"INVALID – verifier must be a different, named person (not the PIC or a role)",IF(BH613=1,"INVALID – result not yet available (awaiting / TBC)",IF(BG613=1,"INVALID – result describes a problem: record Fail, then Pass after CA (or reword if it is not a problem)",IF(BV613=1,"INVALID – wording says not on board: an on-board confirmation needs the item loaded",IF(AND(AQ613=1,OR(OR(LEN(AY613)&lt;3,ISNUMBER(MATCH(AY613,L_Placeholder,0))),BJ613=1,BQ613=0)),"INVALID – batch ID missing, placeholder or not an ID (e.g. PASB-261008-BC-017)",IF(AND(AR613=1,OR(NOT(ISNUMBER(X613)),NOT(ISNUMBER(Y613)))),"INVALID – expected/actual qty missing",IF(AND(AR613=1,OR(X613&lt;=0,Y613&lt;0)),"INVALID – expected qty must be above 0 and actual not negative",IF(AH598="N/A – JUSTIFIED","INVALID – preparation row F18-T12-15 is N/A",IF(AND(AR613=1,ISNUMBER(X598),X613&lt;&gt;X598,TRIM(U613)&lt;&gt;"Pass after CA"),"INVALID – expected qty differs from preparation check F18-T12-15: record the load change as a corrective action (Pass after CA)",IF(BB613&lt;&gt;"",BB613,IF(AND(AS613=1,Documents!$J$22&lt;&gt;"ON FILE"),"INVALID – GLD not on file (Documents sheet)",IF(AND(AS613=2,Documents!$O$22&lt;&gt;"ON FILE"),"INVALID – menu checklist not on file (Documents sheet)",IF(AND(AS613=3,NOT(ISNUMBER(Flights!$AX$22))),"INVALID – enter carrying flight KUL departure (Flights AX)",IF(AND(AS613=3,OR(Flights!$AZ$22&gt;Flights!$AA$22,Flights!$AX$22&lt;Flights!$AA$22-3)),"INVALID – carrying flight (Flights AX) cannot arrive before this leg's STD, or is over 3 days early",IF(AG613&gt;AsOfUTC,"INVALID – completion time is in the future",IF(AND(ISNUMBER(BY613),AG613&lt;BY613),IF(H613="Physical uplift","INVALID – before uplift window (cannot confirm loading)","INVALID – before valid window"),IF(AG613&gt;Flights!$AA$22,"INVALID – completed after departure (cannot establish readiness)",IF(AND(H613="Preparation",AG613&gt;=IF(ISNUMBER(Flights!$BA$22),MIN(Flights!$BA$22,Flights!$AA$22),Flights!$AA$22)),"INVALID – completed after loading / departure (cannot establish readiness)",IF(AND(H613="Physical uplift",AG613&gt;Q613),"INVALID – recorded after the loading flight departed",IF(AG613&gt;Q613,"COMPLETE – LATE","COMPLETE"))))))))))))))))))))))))))),IF(TRIM(U613)="Fail","FAIL – DISCREPANCY",IF(AND(TRIM(U613)&lt;&gt;"",TRIM(U613)&lt;&gt;"Not started",TRIM(U613)&lt;&gt;"In progress"),"INVALID – unrecognised status (use the list)",IF(AsOfUTC&gt;Q613,"OVERDUE",IF(N613="Clarification required","OPEN – CLARIFICATION","OPEN"))))))),"INVALID – error value in an input cell")</f>
        <v>OPEN</v>
      </c>
      <c r="AI613" s="61" t="n">
        <f aca="false">IF(OR(AH613="N/A – RULE",AH613="N/A – JUSTIFIED"),0,1)</f>
        <v>1</v>
      </c>
      <c r="AJ613" s="61" t="n">
        <f aca="false">IF(LEFT(AH613,8)="COMPLETE",1,0)</f>
        <v>0</v>
      </c>
      <c r="AK613" s="61" t="n">
        <f aca="false">IF(AND(AI613=1,AJ613=0,AsOfUTC&gt;Q613),1,0)</f>
        <v>0</v>
      </c>
      <c r="AL613" s="61" t="n">
        <f aca="false">IFERROR(IF(AND(AI613=1,OR(TRIM(U613)="Fail",AND(TRIM(AB613)&lt;&gt;"",TRIM(AB613)&lt;&gt;"Closed"),AND(ISNUMBER(AF613),AF613&lt;&gt;0,TRIM(U613)&lt;&gt;"Pass after CA"))),1,0),1)</f>
        <v>0</v>
      </c>
      <c r="AM613" s="61" t="n">
        <f aca="false">IF(LEFT(AH613,7)="INVALID",1,0)</f>
        <v>0</v>
      </c>
      <c r="AN613" s="61" t="n">
        <f aca="false">IF(AND(N613="Clarification required",AI613=1,AJ613=0),1,0)</f>
        <v>0</v>
      </c>
      <c r="AO613" s="61" t="str">
        <f aca="false">IF(AK613=1,SUM(AK$5:AK613),"")</f>
        <v/>
      </c>
      <c r="AP613" s="61" t="str">
        <f aca="false">IF(AL613=1,SUM(AL$5:AL613),"")</f>
        <v/>
      </c>
      <c r="AQ613" s="61" t="n">
        <v>0</v>
      </c>
      <c r="AR613" s="61" t="n">
        <v>0</v>
      </c>
      <c r="AS613" s="61" t="n">
        <v>0</v>
      </c>
      <c r="AT613" s="61" t="n">
        <v>0</v>
      </c>
      <c r="AU613" s="61" t="str">
        <f aca="false">SUBSTITUTE(SUBSTITUTE(SUBSTITUTE(SUBSTITUTE(SUBSTITUTE(SUBSTITUTE(SUBSTITUTE(SUBSTITUTE(SUBSTITUTE(SUBSTITUTE(SUBSTITUTE(SUBSTITUTE(SUBSTITUTE(SUBSTITUTE(SUBSTITUTE(SUBSTITUTE(LOWER(T613&amp;""),CHAR(10),""),CHAR(13),""),CHAR(9),""),CHAR(160),"")," ",""),".",""),"-",""),"/",""),"?",""),"_",""),",",""),"[",""),"]",""),"(",""),")",""),"*","")</f>
        <v/>
      </c>
      <c r="AV613" s="61" t="str">
        <f aca="false">SUBSTITUTE(SUBSTITUTE(SUBSTITUTE(SUBSTITUTE(SUBSTITUTE(SUBSTITUTE(SUBSTITUTE(SUBSTITUTE(SUBSTITUTE(SUBSTITUTE(SUBSTITUTE(SUBSTITUTE(SUBSTITUTE(SUBSTITUTE(SUBSTITUTE(SUBSTITUTE(LOWER(V613&amp;""),CHAR(10),""),CHAR(13),""),CHAR(9),""),CHAR(160),"")," ",""),".",""),"-",""),"/",""),"?",""),"_",""),",",""),"[",""),"]",""),"(",""),")",""),"*","")</f>
        <v/>
      </c>
      <c r="AW613" s="61" t="str">
        <f aca="false">SUBSTITUTE(SUBSTITUTE(SUBSTITUTE(SUBSTITUTE(SUBSTITUTE(SUBSTITUTE(SUBSTITUTE(SUBSTITUTE(SUBSTITUTE(SUBSTITUTE(SUBSTITUTE(SUBSTITUTE(SUBSTITUTE(SUBSTITUTE(SUBSTITUTE(SUBSTITUTE(LOWER(Z613&amp;""),CHAR(10),""),CHAR(13),""),CHAR(9),""),CHAR(160),"")," ",""),".",""),"-",""),"/",""),"?",""),"_",""),",",""),"[",""),"]",""),"(",""),")",""),"*","")</f>
        <v/>
      </c>
      <c r="AX613" s="61" t="str">
        <f aca="false">SUBSTITUTE(SUBSTITUTE(SUBSTITUTE(SUBSTITUTE(SUBSTITUTE(SUBSTITUTE(SUBSTITUTE(SUBSTITUTE(SUBSTITUTE(SUBSTITUTE(SUBSTITUTE(SUBSTITUTE(SUBSTITUTE(SUBSTITUTE(SUBSTITUTE(SUBSTITUTE(LOWER(AE613&amp;""),CHAR(10),""),CHAR(13),""),CHAR(9),""),CHAR(160),"")," ",""),".",""),"-",""),"/",""),"?",""),"_",""),",",""),"[",""),"]",""),"(",""),")",""),"*","")</f>
        <v/>
      </c>
      <c r="AY613" s="61" t="str">
        <f aca="false">SUBSTITUTE(SUBSTITUTE(SUBSTITUTE(SUBSTITUTE(SUBSTITUTE(SUBSTITUTE(SUBSTITUTE(SUBSTITUTE(SUBSTITUTE(SUBSTITUTE(SUBSTITUTE(SUBSTITUTE(SUBSTITUTE(SUBSTITUTE(SUBSTITUTE(SUBSTITUTE(LOWER(W613&amp;""),CHAR(10),""),CHAR(13),""),CHAR(9),""),CHAR(160),"")," ",""),".",""),"-",""),"/",""),"?",""),"_",""),",",""),"[",""),"]",""),"(",""),")",""),"*","")</f>
        <v/>
      </c>
      <c r="AZ613" s="61" t="str">
        <f aca="false">SUBSTITUTE(SUBSTITUTE(SUBSTITUTE(SUBSTITUTE(SUBSTITUTE(SUBSTITUTE(SUBSTITUTE(SUBSTITUTE(SUBSTITUTE(SUBSTITUTE(SUBSTITUTE(SUBSTITUTE(SUBSTITUTE(SUBSTITUTE(SUBSTITUTE(SUBSTITUTE(LOWER(AC613&amp;""),CHAR(10),""),CHAR(13),""),CHAR(9),""),CHAR(160),"")," ",""),".",""),"-",""),"/",""),"?",""),"_",""),",",""),"[",""),"]",""),"(",""),")",""),"*","")</f>
        <v/>
      </c>
      <c r="BA613" s="61" t="str">
        <f aca="false">SUBSTITUTE(SUBSTITUTE(SUBSTITUTE(SUBSTITUTE(SUBSTITUTE(SUBSTITUTE(SUBSTITUTE(SUBSTITUTE(SUBSTITUTE(SUBSTITUTE(SUBSTITUTE(SUBSTITUTE(SUBSTITUTE(SUBSTITUTE(SUBSTITUTE(SUBSTITUTE(LOWER(AA613&amp;""),CHAR(10),""),CHAR(13),""),CHAR(9),""),CHAR(160),"")," ",""),".",""),"-",""),"/",""),"?",""),"_",""),",",""),"[",""),"]",""),"(",""),")",""),"*","")</f>
        <v/>
      </c>
      <c r="BB613" s="61" t="str">
        <f aca="false">IF(AND(TRIM(U613)="Pass",ISNUMBER(AF613)),IF(AF613&lt;&gt;0,"INVALID – qty variance: use Fail or Pass after CA",""),"")&amp;IF(AND(TRIM(U613)="Pass after CA",ISNUMBER(AF613)),IF(AF613&lt;&gt;0,"INVALID – after the corrective action the actual qty must equal expected (update Actual)",""),"")&amp;IF(AND(TRIM(U613)="Pass",TRIM(AB613)&lt;&gt;"",TRIM(AB613)&lt;&gt;"Closed"),"INVALID – corrective action not closed: use Fail, then Pass after CA","")&amp;IF(AND(LEN(BA613)&gt;=2,ISNA(MATCH(LEFT(BA613,255),L_Placeholder,0)),TRIM(AB613)=""),"INVALID – CA status missing for the recorded corrective action","")&amp;IF(AND(TRIM(U613)="Pass after CA",OR(OR(LEN(BA613)&lt;5,ISNUMBER(MATCH(BA613,L_Placeholder,0))),TRIM(AB613)&lt;&gt;"Closed")),"INVALID – corrective action not recorded/closed","")</f>
        <v/>
      </c>
      <c r="BC613" s="61" t="str">
        <f aca="false">" "&amp;TRIM(SUBSTITUTE(SUBSTITUTE(SUBSTITUTE(SUBSTITUTE(SUBSTITUTE(SUBSTITUTE(SUBSTITUTE(SUBSTITUTE(SUBSTITUTE(SUBSTITUTE(SUBSTITUTE(SUBSTITUTE(SUBSTITUTE(SUBSTITUTE(SUBSTITUTE(SUBSTITUTE(SUBSTITUTE(SUBSTITUTE(SUBSTITUTE(SUBSTITUTE(SUBSTITUTE(SUBSTITUTE(SUBSTITUTE(SUBSTITUTE(LOWER(V613&amp;""),CHAR(10)," "),CHAR(13)," "),CHAR(9)," "),CHAR(160)," "),"."," "),","," "),"-"," "),"/"," "),"("," "),")"," "),":"," "),";"," "),"_"," "),"–"," "),"?"," "),"!"," "),"*"," "),"["," "),"]"," "),"'"," "),"#"," "),"+"," "),"&amp;"," "),"\"," "))&amp;" "</f>
        <v>  </v>
      </c>
      <c r="BD613" s="61" t="str">
        <f aca="false">" "&amp;TRIM(SUBSTITUTE(SUBSTITUTE(SUBSTITUTE(SUBSTITUTE(SUBSTITUTE(SUBSTITUTE(SUBSTITUTE(SUBSTITUTE(SUBSTITUTE(SUBSTITUTE(SUBSTITUTE(SUBSTITUTE(SUBSTITUTE(SUBSTITUTE(SUBSTITUTE(SUBSTITUTE(SUBSTITUTE(SUBSTITUTE(SUBSTITUTE(SUBSTITUTE(SUBSTITUTE(SUBSTITUTE(SUBSTITUTE(SUBSTITUTE(LOWER(Z613&amp;""),CHAR(10)," "),CHAR(13)," "),CHAR(9)," "),CHAR(160)," "),"."," "),","," "),"-"," "),"/"," "),"("," "),")"," "),":"," "),";"," "),"_"," "),"–"," "),"?"," "),"!"," "),"*"," "),"["," "),"]"," "),"'"," "),"#"," "),"+"," "),"&amp;"," "),"\"," "))&amp;" "</f>
        <v>  </v>
      </c>
      <c r="BE613" s="61" t="str">
        <f aca="false">" "&amp;TRIM(SUBSTITUTE(SUBSTITUTE(SUBSTITUTE(SUBSTITUTE(SUBSTITUTE(SUBSTITUTE(SUBSTITUTE(SUBSTITUTE(SUBSTITUTE(SUBSTITUTE(SUBSTITUTE(SUBSTITUTE(SUBSTITUTE(SUBSTITUTE(SUBSTITUTE(SUBSTITUTE(SUBSTITUTE(SUBSTITUTE(SUBSTITUTE(SUBSTITUTE(SUBSTITUTE(SUBSTITUTE(SUBSTITUTE(SUBSTITUTE(LOWER(W613&amp;""),CHAR(10)," "),CHAR(13)," "),CHAR(9)," "),CHAR(160)," "),"."," "),","," "),"-"," "),"/"," "),"("," "),")"," "),":"," "),";"," "),"_"," "),"–"," "),"?"," "),"!"," "),"*"," "),"["," "),"]"," "),"'"," "),"#"," "),"+"," "),"&amp;"," "),"\"," "))&amp;" "</f>
        <v>  </v>
      </c>
      <c r="BF613" s="61" t="str">
        <f aca="false">" "&amp;TRIM(SUBSTITUTE(SUBSTITUTE(SUBSTITUTE(SUBSTITUTE(SUBSTITUTE(SUBSTITUTE(SUBSTITUTE(SUBSTITUTE(SUBSTITUTE(SUBSTITUTE(SUBSTITUTE(SUBSTITUTE(SUBSTITUTE(SUBSTITUTE(SUBSTITUTE(SUBSTITUTE(SUBSTITUTE(SUBSTITUTE(SUBSTITUTE(SUBSTITUTE(SUBSTITUTE(SUBSTITUTE(SUBSTITUTE(SUBSTITUTE(LOWER(AC613&amp;""),CHAR(10)," "),CHAR(13)," "),CHAR(9)," "),CHAR(160)," "),"."," "),","," "),"-"," "),"/"," "),"("," "),")"," "),":"," "),";"," "),"_"," "),"–"," "),"?"," "),"!"," "),"*"," "),"["," "),"]"," "),"'"," "),"#"," "),"+"," "),"&amp;"," "),"\"," "))&amp;" "</f>
        <v>  </v>
      </c>
      <c r="BG613" s="61" t="n">
        <f aca="false">IFERROR(IF(AND(TRIM(U613)="Pass",SUMPRODUCT((LEN(BC613)-LEN(SUBSTITUTE(BC613," "&amp;L_ResultBad&amp;" "," ")))/(LEN(L_ResultBad)+1))&gt;SUMPRODUCT((LEN(BC613)-LEN(SUBSTITUTE(BC613," "&amp;L_NegPhrase&amp;" "," ")))/(LEN(L_NegPhrase)+1))),1,0),0)</f>
        <v>0</v>
      </c>
      <c r="BH613" s="61" t="n">
        <f aca="false">IFERROR(IF(SUMPRODUCT((LEN(BC613)-LEN(SUBSTITUTE(BC613," "&amp;L_Pending&amp;" "," ")))/(LEN(L_Pending)+1))&gt;SUMPRODUCT((LEN(BC613)-LEN(SUBSTITUTE(BC613," "&amp;L_PendNeg&amp;" "," ")))/(LEN(L_PendNeg)+1)),1,0),1)</f>
        <v>0</v>
      </c>
      <c r="BI613" s="61" t="n">
        <f aca="false">IFERROR(IF(SUMPRODUCT((LEN(BD613)-LEN(SUBSTITUTE(BD613," "&amp;L_PendStrict&amp;" "," ")))/(LEN(L_PendStrict)+1))&gt;SUMPRODUCT((LEN(BD613)-LEN(SUBSTITUTE(BD613," "&amp;L_PendNeg&amp;" "," ")))/(LEN(L_PendNeg)+1)),1,0),1)</f>
        <v>0</v>
      </c>
      <c r="BJ613" s="61" t="n">
        <f aca="false">IFERROR(IF(SUMPRODUCT((LEN(BE613)-LEN(SUBSTITUTE(BE613," "&amp;L_Pending&amp;" "," ")))/(LEN(L_Pending)+1))&gt;SUMPRODUCT((LEN(BE613)-LEN(SUBSTITUTE(BE613," "&amp;L_PendNeg&amp;" "," ")))/(LEN(L_PendNeg)+1)),1,0),1)</f>
        <v>0</v>
      </c>
      <c r="BK613" s="61" t="n">
        <f aca="false">IFERROR(IF(SUMPRODUCT((LEN(BF613)-LEN(SUBSTITUTE(BF613," "&amp;L_PendStrict&amp;" "," ")))/(LEN(L_PendStrict)+1))&gt;SUMPRODUCT((LEN(BF613)-LEN(SUBSTITUTE(BF613," "&amp;L_PendNeg&amp;" "," ")))/(LEN(L_PendNeg)+1)),1,0),1)</f>
        <v>0</v>
      </c>
      <c r="BL613" s="61" t="n">
        <f aca="false">IF(ISNA(MATCH(TRIM(S613),L_EvidenceType,0)),0,BZ613)</f>
        <v>0</v>
      </c>
      <c r="BM613" s="61" t="str">
        <f aca="false">SUBSTITUTE(SUBSTITUTE(SUBSTITUTE(SUBSTITUTE(SUBSTITUTE(SUBSTITUTE(SUBSTITUTE(SUBSTITUTE(SUBSTITUTE(LOWER(Z613&amp;""),"1","0"),"2","0"),"3","0"),"4","0"),"5","0"),"6","0"),"7","0"),"8","0"),"9","0")</f>
        <v/>
      </c>
      <c r="BN613" s="61" t="str">
        <f aca="false">SUBSTITUTE(SUBSTITUTE(SUBSTITUTE(SUBSTITUTE(SUBSTITUTE(SUBSTITUTE(SUBSTITUTE(SUBSTITUTE(SUBSTITUTE(SUBSTITUTE(SUBSTITUTE(SUBSTITUTE(SUBSTITUTE(SUBSTITUTE(SUBSTITUTE(SUBSTITUTE(SUBSTITUTE(SUBSTITUTE(SUBSTITUTE(SUBSTITUTE(SUBSTITUTE(SUBSTITUTE(SUBSTITUTE(SUBSTITUTE(SUBSTITUTE(BM613,"b","a"),"c","a"),"d","a"),"e","a"),"f","a"),"g","a"),"h","a"),"i","a"),"j","a"),"k","a"),"l","a"),"m","a"),"n","a"),"o","a"),"p","a"),"q","a"),"r","a"),"s","a"),"t","a"),"u","a"),"v","a"),"w","a"),"x","a"),"y","a"),"z","a")</f>
        <v/>
      </c>
      <c r="BO613" s="61" t="str">
        <f aca="false">SUBSTITUTE(SUBSTITUTE(SUBSTITUTE(SUBSTITUTE(SUBSTITUTE(SUBSTITUTE(SUBSTITUTE(SUBSTITUTE(SUBSTITUTE(LOWER(W613&amp;""),"1","0"),"2","0"),"3","0"),"4","0"),"5","0"),"6","0"),"7","0"),"8","0"),"9","0")</f>
        <v/>
      </c>
      <c r="BP613" s="61" t="str">
        <f aca="false">SUBSTITUTE(SUBSTITUTE(SUBSTITUTE(SUBSTITUTE(SUBSTITUTE(SUBSTITUTE(SUBSTITUTE(SUBSTITUTE(SUBSTITUTE(SUBSTITUTE(SUBSTITUTE(SUBSTITUTE(SUBSTITUTE(SUBSTITUTE(SUBSTITUTE(SUBSTITUTE(SUBSTITUTE(SUBSTITUTE(SUBSTITUTE(SUBSTITUTE(SUBSTITUTE(SUBSTITUTE(SUBSTITUTE(SUBSTITUTE(SUBSTITUTE(BO613,"b","a"),"c","a"),"d","a"),"e","a"),"f","a"),"g","a"),"h","a"),"i","a"),"j","a"),"k","a"),"l","a"),"m","a"),"n","a"),"o","a"),"p","a"),"q","a"),"r","a"),"s","a"),"t","a"),"u","a"),"v","a"),"w","a"),"x","a"),"y","a"),"z","a")</f>
        <v/>
      </c>
      <c r="BQ613" s="61" t="n">
        <f aca="false">IFERROR(IF(AND(ISERROR(SEARCH(" mh"," "&amp;LOWER(W613))),ISNA(MATCH(LEFT(TRIM(BP613),255),{"0000a","000a","00a","0000aa","000aa","00aa","0aa","0000aaa","000aaa","00a00","0a00","0000-0000","00:00","a00","a0","00.00.0000","00/00/0000","00-00-0000","0000-00-00","0000/00/00","0000.00.00","00.00.00","00/00/00","00-00-00","0.00.0000","0/00/0000","0-00-0000"},0)),ISNA(MATCH(LEFT(TRIM(CA613),255),{"0000a","000a","00a","0000aa","000aa","00aa","0aa","0000aaa","000aaa","00a00","0a00","0000-0000","00:00","a00","a0","00.00.0000","00/00/0000","00-00-0000","0000-00-00","0000/00/00","0000.00.00","00.00.00","00/00/00","00-00-00","0.00.0000","0/00/0000","0-00-0000"},0)),LEN(CB613)&gt;=3,NOT(OR(SUBSTITUTE(CB613,"0","")="",AND(LEN(CB613)&gt;=4,CB613=REPT(LEFT(CB613),LEN(CB613))),ISNUMBER(MATCH(CB613,{"123","1234","12345","123456","1234567","12345678","0123","01234","012345","98765","987654","54321"},0)),AND(LEN(CB613)=8,LEFT(CB613,3)="202"))),OR(AND((LEN(CA613)-LEN(SUBSTITUTE(CA613,"a","")))&gt;=1,SUMPRODUCT(--ISNUMBER(SEARCH({"a0","a-0","a_0","a/0","a.0","a#0","0a","0-a","0_a","0/a"},BP613)))&gt;0),ISNUMBER(SEARCH("000000",BP613)))),1,0),0)</f>
        <v>0</v>
      </c>
      <c r="BR613" s="61" t="n">
        <f aca="false">IFERROR(LEN(SUBSTITUTE(CC613," ",""))-SUMPRODUCT((LEN(CC613)-LEN(SUBSTITUTE(CC613," "&amp;L_Role&amp;" "," ")))/(LEN(L_Role)+1)*LEN(L_Role)),0)</f>
        <v>0</v>
      </c>
      <c r="BS613" s="61" t="n">
        <f aca="false">IFERROR(LEN(SUBSTITUTE(CD613," ",""))-SUMPRODUCT((LEN(CD613)-LEN(SUBSTITUTE(CD613," "&amp;L_Role&amp;" "," ")))/(LEN(L_Role)+1)*LEN(L_Role)),0)</f>
        <v>0</v>
      </c>
      <c r="BT6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613,"revision",""),"version",""),"jan",""),"feb",""),"mar",""),"apr",""),"may",""),"jun",""),"jul",""),"aug",""),"sep",""),"oct",""),"nov",""),"dec",""),"utc",""),"gmt",""),"myt",""),"bst",""),"rev",""),"ver",""),"b","a"),"c","a"),"d","a"),"e","a"),"f","a"),"g","a"),"h","a"),"i","a"),"j","a"),"k","a"),"l","a"),"m","a"),"n","a"),"o","a"),"p","a"),"q","a"),"r","a"),"s","a"),"t","a"),"u","a"),"v","a"),"w","a"),"x","a"),"y","a"),"z","a")</f>
        <v/>
      </c>
      <c r="BU613" s="61" t="str">
        <f aca="false">SUBSTITUTE(SUBSTITUTE(SUBSTITUTE(SUBSTITUTE(SUBSTITUTE(SUBSTITUTE(SUBSTITUTE(SUBSTITUTE(SUBSTITUTE(SUBSTITUTE(LEFT(BM613,FIND("0",BM613&amp;"0")-1),"-",""),"_",""),"/",""),".",""),"#",""),"\\",""),":","")," ",""),"(",""),")","")</f>
        <v/>
      </c>
      <c r="BV613" s="61" t="n">
        <f aca="false">IFERROR(IF(OR(SUMPRODUCT((LEN(BC613)-LEN(SUBSTITUTE(BC613," "&amp;L_NotLoaded&amp;" "," ")))/(LEN(L_NotLoaded)+1))&gt;SUMPRODUCT((LEN(BC613)-LEN(SUBSTITUTE(BC613," "&amp;L_NotLoadedNeg&amp;" "," ")))/(LEN(L_NotLoadedNeg)+1)),SUMPRODUCT((LEN(BD613)-LEN(SUBSTITUTE(BD613," "&amp;L_NotLoaded&amp;" "," ")))/(LEN(L_NotLoaded)+1))&gt;SUMPRODUCT((LEN(BD613)-LEN(SUBSTITUTE(BD613," "&amp;L_NotLoadedNeg&amp;" "," ")))/(LEN(L_NotLoadedNeg)+1))),1,0),0)</f>
        <v>0</v>
      </c>
      <c r="BW6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613&amp;""),"a",""),"b",""),"c",""),"d",""),"e",""),"f",""),"g",""),"h",""),"i",""),"j",""),"k",""),"l",""),"m",""),"n",""),"o",""),"p",""),"q",""),"r",""),"s",""),"t",""),"u",""),"v",""),"w",""),"x",""),"y",""),"z",""),"-",""),"_",""),"/",""),".",""),"#",""),"\\",""),":","")," ",""),"(",""),")","")</f>
        <v/>
      </c>
      <c r="BX613" s="61" t="str">
        <f aca="false">SUBSTITUTE(SUBSTITUTE(SUBSTITUTE(SUBSTITUTE(SUBSTITUTE(SUBSTITUTE(SUBSTITUTE(SUBSTITUTE(SUBSTITUTE(SUBSTITUTE(SUBSTITUTE(BM613,"0",""),"-",""),"_",""),"/",""),".",""),"#",""),"\\",""),":","")," ",""),"(",""),")","")</f>
        <v/>
      </c>
      <c r="BY613" s="62" t="n">
        <f aca="false">IF(ISNUMBER(Flights!$AZ$22),MAX(Q613-UpliftWindowH/24,Flights!$AZ$22),Q613-UpliftWindowH/24)</f>
        <v>46322.3506944444</v>
      </c>
      <c r="BZ613" s="61" t="n">
        <f aca="false">IFERROR(IF(IF(TRIM(S613)="Link / file path",AND(LEN(TRIM(Z613))&gt;=5,SUMPRODUCT(--ISNUMBER(SEARCH({"http","www.","\\",":\",".pdf",".jpg",".jpeg",".png",".heic",".xls",".doc",".msg",".eml",".ppt",".txt",".zip"},Z613)))&gt;0),AND(ISERROR(FIND(" ",TRIM(Z613))),NOT(OR(SUMPRODUCT(--ISNUMBER(FIND({",",";","&amp;","+"},Z613)))&gt;0,SUMPRODUCT(--ISNUMBER(SEARCH({"0/aa","0\\aa"},BN613)))&gt;0)),NOT(SUMPRODUCT(--ISNUMBER(SEARCH({"http","www.","\\",":\",".pdf",".jpg",".jpeg",".png",".heic",".xls",".doc",".msg",".eml",".ppt",".txt",".zip"},Z613)))&gt;0),NOT(LOWER(TRIM(Z613))=LOWER(Flights!$F$22)),ISNA(MATCH(BU613,{"mh","rev","revision","ver","version","v","r","a","b","seat","tray","row","gate","bay","stand","page","pg","item","line","no","cart","galley","flight","flt","table","box","bag","oven","etd","eta","std","sta","atd","ata","qty","pax","x","time","tel","ph","mob","day","wk","week","utc","gmt","myt","lt"},0)),NOT(OR(ISNUMBER(MATCH(LEFT(BN613,255),{"0000a","000a","00a","0000aa","000aa","00aa","0aa","0000aaa","000aaa","00a00","0a00","0000-0000","00:00","a00","a0","00.00.0000","00/00/0000","00-00-0000","0000-00-00","0000/00/00","0000.00.00","00.00.00","00/00/00","00-00-00","0.00.0000","0/00/0000","0-00-0000"},0)),ISNUMBER(MATCH(LEFT(BT613,255),{"0000a","000a","00a","0000aa","000aa","00aa","0aa","0000aaa","000aaa","00a00","0a00","0000-0000","00:00","a00","a0","00.00.0000","00/00/0000","00-00-0000","0000-00-00","0000/00/00","0000.00.00","00.00.00","00/00/00","00-00-00","0.00.0000","0/00/0000","0-00-0000"},0)))),NOT(OR(AND(BW613&lt;&gt;"",SUBSTITUTE(BW613,"0","")=""),AND(LEN(BW613)&gt;=4,BW613=REPT(LEFT(BW613),LEN(BW613))),ISNUMBER(MATCH(BW613,{"123","1234","12345","123456","1234567","12345678","0123","01234","012345","98765","987654","54321"},0)),ISNUMBER(MATCH(BX613,{"x","xx","xxx","xxxx","xxxxx","abc","abcd","nil","na","nan","test","tbc","tba","tbd","dummy","sample","example","eg","zz","zzz","none","null","xyz","qwe","asd","id","ref"},0)),AND(LEN(BW613)=8,BX613="",OR(LEFT(BW613,3)="202",ISNUMBER(MATCH(RIGHT(BW613,4),{"2025","2026","2027"},0)))))),OR(AND((LEN(BT613)-LEN(SUBSTITUTE(BT613,"a","")))&gt;=1,(LEN(BN613)-LEN(SUBSTITUTE(BN613,"0","")))&gt;=2,SUMPRODUCT(--ISNUMBER(SEARCH({"a0","a-0","a_0","a/0","a.0","a#0","0a","0-a","0_a","0/a"},BN613)))&gt;0),AND((LEN(BN613)-LEN(SUBSTITUTE(BN613,"a","")))=0,(LEN(BN613)-LEN(SUBSTITUTE(BN613,"0","")))&gt;=5)))),1,0),0)</f>
        <v>0</v>
      </c>
      <c r="CA6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613,"revision",""),"version",""),"jan",""),"feb",""),"mar",""),"apr",""),"may",""),"jun",""),"jul",""),"aug",""),"sep",""),"oct",""),"nov",""),"dec",""),"utc",""),"gmt",""),"myt",""),"bst",""),"rev",""),"ver",""),"b","a"),"c","a"),"d","a"),"e","a"),"f","a"),"g","a"),"h","a"),"i","a"),"j","a"),"k","a"),"l","a"),"m","a"),"n","a"),"o","a"),"p","a"),"q","a"),"r","a"),"s","a"),"t","a"),"u","a"),"v","a"),"w","a"),"x","a"),"y","a"),"z","a")</f>
        <v/>
      </c>
      <c r="CB6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613&amp;""),"a",""),"b",""),"c",""),"d",""),"e",""),"f",""),"g",""),"h",""),"i",""),"j",""),"k",""),"l",""),"m",""),"n",""),"o",""),"p",""),"q",""),"r",""),"s",""),"t",""),"u",""),"v",""),"w",""),"x",""),"y",""),"z",""),"-",""),"_",""),"/",""),".",""),"#",""),"\\",""),":","")," ",""),"(",""),")","")</f>
        <v/>
      </c>
      <c r="CC613" s="0" t="str">
        <f aca="false">" "&amp;TRIM(SUBSTITUTE(SUBSTITUTE(SUBSTITUTE(SUBSTITUTE(SUBSTITUTE(SUBSTITUTE(SUBSTITUTE(SUBSTITUTE(SUBSTITUTE(SUBSTITUTE(SUBSTITUTE(SUBSTITUTE(SUBSTITUTE(SUBSTITUTE(SUBSTITUTE(SUBSTITUTE(SUBSTITUTE(SUBSTITUTE(SUBSTITUTE(SUBSTITUTE(SUBSTITUTE(SUBSTITUTE(SUBSTITUTE(SUBSTITUTE(LOWER(T613&amp;""),CHAR(10)," "),CHAR(13)," "),CHAR(9)," "),CHAR(160)," "),"."," "),","," "),"-"," "),"/"," "),"("," "),")"," "),":"," "),";"," "),"_"," "),"–"," "),"?"," "),"!"," "),"*"," "),"["," "),"]"," "),"'"," "),"#"," "),"+"," "),"&amp;"," "),"\"," "))&amp;" "</f>
        <v>  </v>
      </c>
      <c r="CD613" s="0" t="str">
        <f aca="false">" "&amp;TRIM(SUBSTITUTE(SUBSTITUTE(SUBSTITUTE(SUBSTITUTE(SUBSTITUTE(SUBSTITUTE(SUBSTITUTE(SUBSTITUTE(SUBSTITUTE(SUBSTITUTE(SUBSTITUTE(SUBSTITUTE(SUBSTITUTE(SUBSTITUTE(SUBSTITUTE(SUBSTITUTE(SUBSTITUTE(SUBSTITUTE(SUBSTITUTE(SUBSTITUTE(SUBSTITUTE(SUBSTITUTE(SUBSTITUTE(SUBSTITUTE(LOWER(AE613&amp;""),CHAR(10)," "),CHAR(13)," "),CHAR(9)," "),CHAR(160)," "),"."," "),","," "),"-"," "),"/"," "),"("," "),")"," "),":"," "),";"," "),"_"," "),"–"," "),"?"," "),"!"," "),"*"," "),"["," "),"]"," "),"'"," "),"#"," "),"+"," "),"&amp;"," "),"\"," "))&amp;" "</f>
        <v>  </v>
      </c>
      <c r="CE613" s="68" t="n">
        <f aca="false">IFERROR(IF(AND(LEN(AU613)&gt;0,LEN(AU613)=LEN(AX613),OR(TRIM(MID(SUBSTITUTE(TRIM(CC613)," ",REPT(" ",60)),1,60))="",ISNUMBER(SEARCH(" "&amp;TRIM(MID(SUBSTITUTE(TRIM(CC613)," ",REPT(" ",60)),1,60))&amp;" ",CD613))),OR(TRIM(MID(SUBSTITUTE(TRIM(CC613)," ",REPT(" ",60)),61,60))="",ISNUMBER(SEARCH(" "&amp;TRIM(MID(SUBSTITUTE(TRIM(CC613)," ",REPT(" ",60)),61,60))&amp;" ",CD613))),OR(TRIM(MID(SUBSTITUTE(TRIM(CC613)," ",REPT(" ",60)),121,60))="",ISNUMBER(SEARCH(" "&amp;TRIM(MID(SUBSTITUTE(TRIM(CC613)," ",REPT(" ",60)),121,60))&amp;" ",CD613)))),1,0),0)</f>
        <v>0</v>
      </c>
      <c r="CG613" s="68" t="n">
        <f aca="false">IFERROR(LEN(SUBSTITUTE(BF613," ",""))-SUMPRODUCT((LEN(BF613)-LEN(SUBSTITUTE(BF613," "&amp;L_NAFiller&amp;" "," ")))/(LEN(L_NAFiller)+1)*LEN(L_NAFiller)),0)</f>
        <v>0</v>
      </c>
    </row>
    <row r="614" customFormat="false" ht="39.75" hidden="false" customHeight="true" outlineLevel="0" collapsed="false">
      <c r="A614" s="57" t="s">
        <v>1323</v>
      </c>
      <c r="B614" s="57" t="s">
        <v>293</v>
      </c>
      <c r="C614" s="57" t="str">
        <f aca="false">Flights!$F$22</f>
        <v>MH0052</v>
      </c>
      <c r="D614" s="58" t="n">
        <f aca="false">Flights!$D$22</f>
        <v>46322</v>
      </c>
      <c r="E614" s="57" t="str">
        <f aca="false">Flights!$G$22&amp;"-"&amp;Flights!$H$22</f>
        <v>KUL-KIX</v>
      </c>
      <c r="F614" s="57" t="str">
        <f aca="false">Flights!$K$22</f>
        <v>BC</v>
      </c>
      <c r="G614" s="57" t="s">
        <v>459</v>
      </c>
      <c r="H614" s="57" t="s">
        <v>460</v>
      </c>
      <c r="I614" s="57" t="s">
        <v>447</v>
      </c>
      <c r="J614" s="57" t="s">
        <v>553</v>
      </c>
      <c r="K614" s="67" t="s">
        <v>449</v>
      </c>
      <c r="L614" s="67" t="s">
        <v>1302</v>
      </c>
      <c r="M614" s="67" t="s">
        <v>451</v>
      </c>
      <c r="N614" s="67" t="s">
        <v>383</v>
      </c>
      <c r="O614" s="67"/>
      <c r="P614" s="57" t="s">
        <v>187</v>
      </c>
      <c r="Q614" s="59" t="n">
        <f aca="false">ROUND((Flights!$AF$22)*1440,0)/1440</f>
        <v>46322.6006944444</v>
      </c>
      <c r="R614" s="59" t="n">
        <f aca="false">Q614+(IF(AND(INDEX(TZ_DSTS,MATCH(P614,TZ_STN,0))&lt;&gt;"",Q614&gt;=INDEX(TZ_DSTS,MATCH(P614,TZ_STN,0)),Q614&lt;INDEX(TZ_DSTE,MATCH(P614,TZ_STN,0))),INDEX(TZ_DST,MATCH(P614,TZ_STN,0)),INDEX(TZ_STD,MATCH(P614,TZ_STN,0))))/24</f>
        <v>46322.9340277778</v>
      </c>
      <c r="S614" s="60"/>
      <c r="T614" s="60"/>
      <c r="U614" s="60"/>
      <c r="V614" s="60"/>
      <c r="W614" s="61"/>
      <c r="X614" s="60"/>
      <c r="Y614" s="60"/>
      <c r="Z614" s="60"/>
      <c r="AA614" s="60"/>
      <c r="AB614" s="60"/>
      <c r="AC614" s="60"/>
      <c r="AD614" s="66"/>
      <c r="AE614" s="60"/>
      <c r="AF614" s="61" t="str">
        <f aca="false">IF(AND(ISNUMBER(X614),ISNUMBER(Y614)),Y614-X614,"")</f>
        <v/>
      </c>
      <c r="AG614" s="62" t="str">
        <f aca="false">IF(ISNUMBER(AD614),AD614-(IF(AND(INDEX(TZ_DSTS,MATCH(P614,TZ_STN,0))&lt;&gt;"",(AD614-INDEX(TZ_STD,MATCH(P614,TZ_STN,0))/24)&gt;=INDEX(TZ_DSTS,MATCH(P614,TZ_STN,0)),(AD614-INDEX(TZ_STD,MATCH(P614,TZ_STN,0))/24)&lt;INDEX(TZ_DSTE,MATCH(P614,TZ_STN,0))),INDEX(TZ_DST,MATCH(P614,TZ_STN,0)),INDEX(TZ_STD,MATCH(P614,TZ_STN,0))))/24,"")</f>
        <v/>
      </c>
      <c r="AH614" s="65" t="str">
        <f aca="false">IFERROR(IF(N614="N/A – rule",IF(OR(TRIM(U614)="",TRIM(U614)="N/A",TRIM(U614)="Not started"),"N/A – RULE","INVALID – this check does not apply to this aircraft: clear the status (or correct the fleet on Flights)"),IF(TRIM(U614)="N/A",IF(AT614=0,"INVALID – N/A not permitted for this check",IF(AND(TRIM(AB614)&lt;&gt;"",TRIM(AB614)&lt;&gt;"Closed"),"INVALID – corrective action still open",IF(AND(NOT(OR(LEN(AZ614)&lt;15,ISNUMBER(MATCH(AZ614,L_Placeholder,0)))),BK614=0,CG614&gt;=8,NOT(OR(LEN(AU614)&lt;2,ISNUMBER(MATCH(AU614,L_Placeholder,0)))),BR614&gt;=3,NOT(OR(LEN(AX614)&lt;2,ISNUMBER(MATCH(AX614,L_Placeholder,0)))),BS614&gt;=3,TRIM(AE614)&lt;&gt;TRIM(T614),AX614&lt;&gt;AU614,CE614=0),"N/A – JUSTIFIED","INVALID – N/A needs a real, settled reason (not 'not applicable' / 'as above' / TBC), a named PIC and a different named verifier"))),IF(OR(TRIM(U614)="Pass",TRIM(U614)="Pass after CA"),IF(NOT(ISNUMBER(AD614)),"INVALID – completion time missing",IF(OR(OR(LEN(AU614)&lt;2,ISNUMBER(MATCH(AU614,L_Placeholder,0))),BR614&lt;3),"INVALID – PIC missing or not a named person (a role such as QA / CSM is not a name)",IF(OR(LEN(AV614)&lt;2,ISNUMBER(MATCH(AV614,L_Placeholder,0))),"INVALID – result / assessment missing",IF(OR(OR(LEN(AW614)&lt;3,ISNUMBER(MATCH(AW614,L_Placeholder,0))),SUMPRODUCT(--ISNUMBER(SEARCH(" "&amp;L_EvidencePhrase&amp;" ",BD614)))&gt;0,BI614=1),"INVALID – evidence missing, placeholder or not yet on file",IF(ISNA(MATCH(TRIM(S614),L_EvidenceType,0)),"INVALID – choose the evidence type from the list (column S)",IF(BL614=0,"INVALID – evidence ID must be the record's own ID only (e.g. SF-2210, IMG_2231, 1045521); a link / file name needs type 'Link / file path'",IF(OR(OR(LEN(AX614)&lt;2,ISNUMBER(MATCH(AX614,L_Placeholder,0))),BS614&lt;3),"INVALID – verifier missing or not a named person (a role such as QA / CSM is not a name)",IF(OR(AX614=AU614,CE614=1,AND(LEN(AU614)&gt;=4,ISNUMBER(SEARCH(AU614,AX614))),AND(LEN(AX614)&gt;=4,ISNUMBER(SEARCH(AX614,AU614)))),"INVALID – verifier must be a different, named person (not the PIC or a role)",IF(BH614=1,"INVALID – result not yet available (awaiting / TBC)",IF(BG614=1,"INVALID – result describes a problem: record Fail, then Pass after CA (or reword if it is not a problem)",IF(BV614=1,"INVALID – wording says not on board: an on-board confirmation needs the item loaded",IF(AND(AQ614=1,OR(OR(LEN(AY614)&lt;3,ISNUMBER(MATCH(AY614,L_Placeholder,0))),BJ614=1,BQ614=0)),"INVALID – batch ID missing, placeholder or not an ID (e.g. PASB-261008-BC-017)",IF(AND(AR614=1,OR(NOT(ISNUMBER(X614)),NOT(ISNUMBER(Y614)))),"INVALID – expected/actual qty missing",IF(AND(AR614=1,OR(X614&lt;=0,Y614&lt;0)),"INVALID – expected qty must be above 0 and actual not negative",IF(AH599="N/A – JUSTIFIED","INVALID – preparation row F18-T12-16 is N/A",IF(AND(AR614=1,ISNUMBER(X599),X614&lt;&gt;X599,TRIM(U614)&lt;&gt;"Pass after CA"),"INVALID – expected qty differs from preparation check F18-T12-16: record the load change as a corrective action (Pass after CA)",IF(BB614&lt;&gt;"",BB614,IF(AND(AS614=1,Documents!$J$22&lt;&gt;"ON FILE"),"INVALID – GLD not on file (Documents sheet)",IF(AND(AS614=2,Documents!$O$22&lt;&gt;"ON FILE"),"INVALID – menu checklist not on file (Documents sheet)",IF(AND(AS614=3,NOT(ISNUMBER(Flights!$AX$22))),"INVALID – enter carrying flight KUL departure (Flights AX)",IF(AND(AS614=3,OR(Flights!$AZ$22&gt;Flights!$AA$22,Flights!$AX$22&lt;Flights!$AA$22-3)),"INVALID – carrying flight (Flights AX) cannot arrive before this leg's STD, or is over 3 days early",IF(AG614&gt;AsOfUTC,"INVALID – completion time is in the future",IF(AND(ISNUMBER(BY614),AG614&lt;BY614),IF(H614="Physical uplift","INVALID – before uplift window (cannot confirm loading)","INVALID – before valid window"),IF(AG614&gt;Flights!$AA$22,"INVALID – completed after departure (cannot establish readiness)",IF(AND(H614="Preparation",AG614&gt;=IF(ISNUMBER(Flights!$BA$22),MIN(Flights!$BA$22,Flights!$AA$22),Flights!$AA$22)),"INVALID – completed after loading / departure (cannot establish readiness)",IF(AND(H614="Physical uplift",AG614&gt;Q614),"INVALID – recorded after the loading flight departed",IF(AG614&gt;Q614,"COMPLETE – LATE","COMPLETE"))))))))))))))))))))))))))),IF(TRIM(U614)="Fail","FAIL – DISCREPANCY",IF(AND(TRIM(U614)&lt;&gt;"",TRIM(U614)&lt;&gt;"Not started",TRIM(U614)&lt;&gt;"In progress"),"INVALID – unrecognised status (use the list)",IF(AsOfUTC&gt;Q614,"OVERDUE",IF(N614="Clarification required","OPEN – CLARIFICATION","OPEN"))))))),"INVALID – error value in an input cell")</f>
        <v>OPEN</v>
      </c>
      <c r="AI614" s="61" t="n">
        <f aca="false">IF(OR(AH614="N/A – RULE",AH614="N/A – JUSTIFIED"),0,1)</f>
        <v>1</v>
      </c>
      <c r="AJ614" s="61" t="n">
        <f aca="false">IF(LEFT(AH614,8)="COMPLETE",1,0)</f>
        <v>0</v>
      </c>
      <c r="AK614" s="61" t="n">
        <f aca="false">IF(AND(AI614=1,AJ614=0,AsOfUTC&gt;Q614),1,0)</f>
        <v>0</v>
      </c>
      <c r="AL614" s="61" t="n">
        <f aca="false">IFERROR(IF(AND(AI614=1,OR(TRIM(U614)="Fail",AND(TRIM(AB614)&lt;&gt;"",TRIM(AB614)&lt;&gt;"Closed"),AND(ISNUMBER(AF614),AF614&lt;&gt;0,TRIM(U614)&lt;&gt;"Pass after CA"))),1,0),1)</f>
        <v>0</v>
      </c>
      <c r="AM614" s="61" t="n">
        <f aca="false">IF(LEFT(AH614,7)="INVALID",1,0)</f>
        <v>0</v>
      </c>
      <c r="AN614" s="61" t="n">
        <f aca="false">IF(AND(N614="Clarification required",AI614=1,AJ614=0),1,0)</f>
        <v>0</v>
      </c>
      <c r="AO614" s="61" t="str">
        <f aca="false">IF(AK614=1,SUM(AK$5:AK614),"")</f>
        <v/>
      </c>
      <c r="AP614" s="61" t="str">
        <f aca="false">IF(AL614=1,SUM(AL$5:AL614),"")</f>
        <v/>
      </c>
      <c r="AQ614" s="61" t="n">
        <v>0</v>
      </c>
      <c r="AR614" s="61" t="n">
        <v>0</v>
      </c>
      <c r="AS614" s="61" t="n">
        <v>0</v>
      </c>
      <c r="AT614" s="61" t="n">
        <v>0</v>
      </c>
      <c r="AU614" s="61" t="str">
        <f aca="false">SUBSTITUTE(SUBSTITUTE(SUBSTITUTE(SUBSTITUTE(SUBSTITUTE(SUBSTITUTE(SUBSTITUTE(SUBSTITUTE(SUBSTITUTE(SUBSTITUTE(SUBSTITUTE(SUBSTITUTE(SUBSTITUTE(SUBSTITUTE(SUBSTITUTE(SUBSTITUTE(LOWER(T614&amp;""),CHAR(10),""),CHAR(13),""),CHAR(9),""),CHAR(160),"")," ",""),".",""),"-",""),"/",""),"?",""),"_",""),",",""),"[",""),"]",""),"(",""),")",""),"*","")</f>
        <v/>
      </c>
      <c r="AV614" s="61" t="str">
        <f aca="false">SUBSTITUTE(SUBSTITUTE(SUBSTITUTE(SUBSTITUTE(SUBSTITUTE(SUBSTITUTE(SUBSTITUTE(SUBSTITUTE(SUBSTITUTE(SUBSTITUTE(SUBSTITUTE(SUBSTITUTE(SUBSTITUTE(SUBSTITUTE(SUBSTITUTE(SUBSTITUTE(LOWER(V614&amp;""),CHAR(10),""),CHAR(13),""),CHAR(9),""),CHAR(160),"")," ",""),".",""),"-",""),"/",""),"?",""),"_",""),",",""),"[",""),"]",""),"(",""),")",""),"*","")</f>
        <v/>
      </c>
      <c r="AW614" s="61" t="str">
        <f aca="false">SUBSTITUTE(SUBSTITUTE(SUBSTITUTE(SUBSTITUTE(SUBSTITUTE(SUBSTITUTE(SUBSTITUTE(SUBSTITUTE(SUBSTITUTE(SUBSTITUTE(SUBSTITUTE(SUBSTITUTE(SUBSTITUTE(SUBSTITUTE(SUBSTITUTE(SUBSTITUTE(LOWER(Z614&amp;""),CHAR(10),""),CHAR(13),""),CHAR(9),""),CHAR(160),"")," ",""),".",""),"-",""),"/",""),"?",""),"_",""),",",""),"[",""),"]",""),"(",""),")",""),"*","")</f>
        <v/>
      </c>
      <c r="AX614" s="61" t="str">
        <f aca="false">SUBSTITUTE(SUBSTITUTE(SUBSTITUTE(SUBSTITUTE(SUBSTITUTE(SUBSTITUTE(SUBSTITUTE(SUBSTITUTE(SUBSTITUTE(SUBSTITUTE(SUBSTITUTE(SUBSTITUTE(SUBSTITUTE(SUBSTITUTE(SUBSTITUTE(SUBSTITUTE(LOWER(AE614&amp;""),CHAR(10),""),CHAR(13),""),CHAR(9),""),CHAR(160),"")," ",""),".",""),"-",""),"/",""),"?",""),"_",""),",",""),"[",""),"]",""),"(",""),")",""),"*","")</f>
        <v/>
      </c>
      <c r="AY614" s="61" t="str">
        <f aca="false">SUBSTITUTE(SUBSTITUTE(SUBSTITUTE(SUBSTITUTE(SUBSTITUTE(SUBSTITUTE(SUBSTITUTE(SUBSTITUTE(SUBSTITUTE(SUBSTITUTE(SUBSTITUTE(SUBSTITUTE(SUBSTITUTE(SUBSTITUTE(SUBSTITUTE(SUBSTITUTE(LOWER(W614&amp;""),CHAR(10),""),CHAR(13),""),CHAR(9),""),CHAR(160),"")," ",""),".",""),"-",""),"/",""),"?",""),"_",""),",",""),"[",""),"]",""),"(",""),")",""),"*","")</f>
        <v/>
      </c>
      <c r="AZ614" s="61" t="str">
        <f aca="false">SUBSTITUTE(SUBSTITUTE(SUBSTITUTE(SUBSTITUTE(SUBSTITUTE(SUBSTITUTE(SUBSTITUTE(SUBSTITUTE(SUBSTITUTE(SUBSTITUTE(SUBSTITUTE(SUBSTITUTE(SUBSTITUTE(SUBSTITUTE(SUBSTITUTE(SUBSTITUTE(LOWER(AC614&amp;""),CHAR(10),""),CHAR(13),""),CHAR(9),""),CHAR(160),"")," ",""),".",""),"-",""),"/",""),"?",""),"_",""),",",""),"[",""),"]",""),"(",""),")",""),"*","")</f>
        <v/>
      </c>
      <c r="BA614" s="61" t="str">
        <f aca="false">SUBSTITUTE(SUBSTITUTE(SUBSTITUTE(SUBSTITUTE(SUBSTITUTE(SUBSTITUTE(SUBSTITUTE(SUBSTITUTE(SUBSTITUTE(SUBSTITUTE(SUBSTITUTE(SUBSTITUTE(SUBSTITUTE(SUBSTITUTE(SUBSTITUTE(SUBSTITUTE(LOWER(AA614&amp;""),CHAR(10),""),CHAR(13),""),CHAR(9),""),CHAR(160),"")," ",""),".",""),"-",""),"/",""),"?",""),"_",""),",",""),"[",""),"]",""),"(",""),")",""),"*","")</f>
        <v/>
      </c>
      <c r="BB614" s="61" t="str">
        <f aca="false">IF(AND(TRIM(U614)="Pass",ISNUMBER(AF614)),IF(AF614&lt;&gt;0,"INVALID – qty variance: use Fail or Pass after CA",""),"")&amp;IF(AND(TRIM(U614)="Pass after CA",ISNUMBER(AF614)),IF(AF614&lt;&gt;0,"INVALID – after the corrective action the actual qty must equal expected (update Actual)",""),"")&amp;IF(AND(TRIM(U614)="Pass",TRIM(AB614)&lt;&gt;"",TRIM(AB614)&lt;&gt;"Closed"),"INVALID – corrective action not closed: use Fail, then Pass after CA","")&amp;IF(AND(LEN(BA614)&gt;=2,ISNA(MATCH(LEFT(BA614,255),L_Placeholder,0)),TRIM(AB614)=""),"INVALID – CA status missing for the recorded corrective action","")&amp;IF(AND(TRIM(U614)="Pass after CA",OR(OR(LEN(BA614)&lt;5,ISNUMBER(MATCH(BA614,L_Placeholder,0))),TRIM(AB614)&lt;&gt;"Closed")),"INVALID – corrective action not recorded/closed","")</f>
        <v/>
      </c>
      <c r="BC614" s="61" t="str">
        <f aca="false">" "&amp;TRIM(SUBSTITUTE(SUBSTITUTE(SUBSTITUTE(SUBSTITUTE(SUBSTITUTE(SUBSTITUTE(SUBSTITUTE(SUBSTITUTE(SUBSTITUTE(SUBSTITUTE(SUBSTITUTE(SUBSTITUTE(SUBSTITUTE(SUBSTITUTE(SUBSTITUTE(SUBSTITUTE(SUBSTITUTE(SUBSTITUTE(SUBSTITUTE(SUBSTITUTE(SUBSTITUTE(SUBSTITUTE(SUBSTITUTE(SUBSTITUTE(LOWER(V614&amp;""),CHAR(10)," "),CHAR(13)," "),CHAR(9)," "),CHAR(160)," "),"."," "),","," "),"-"," "),"/"," "),"("," "),")"," "),":"," "),";"," "),"_"," "),"–"," "),"?"," "),"!"," "),"*"," "),"["," "),"]"," "),"'"," "),"#"," "),"+"," "),"&amp;"," "),"\"," "))&amp;" "</f>
        <v>  </v>
      </c>
      <c r="BD614" s="61" t="str">
        <f aca="false">" "&amp;TRIM(SUBSTITUTE(SUBSTITUTE(SUBSTITUTE(SUBSTITUTE(SUBSTITUTE(SUBSTITUTE(SUBSTITUTE(SUBSTITUTE(SUBSTITUTE(SUBSTITUTE(SUBSTITUTE(SUBSTITUTE(SUBSTITUTE(SUBSTITUTE(SUBSTITUTE(SUBSTITUTE(SUBSTITUTE(SUBSTITUTE(SUBSTITUTE(SUBSTITUTE(SUBSTITUTE(SUBSTITUTE(SUBSTITUTE(SUBSTITUTE(LOWER(Z614&amp;""),CHAR(10)," "),CHAR(13)," "),CHAR(9)," "),CHAR(160)," "),"."," "),","," "),"-"," "),"/"," "),"("," "),")"," "),":"," "),";"," "),"_"," "),"–"," "),"?"," "),"!"," "),"*"," "),"["," "),"]"," "),"'"," "),"#"," "),"+"," "),"&amp;"," "),"\"," "))&amp;" "</f>
        <v>  </v>
      </c>
      <c r="BE614" s="61" t="str">
        <f aca="false">" "&amp;TRIM(SUBSTITUTE(SUBSTITUTE(SUBSTITUTE(SUBSTITUTE(SUBSTITUTE(SUBSTITUTE(SUBSTITUTE(SUBSTITUTE(SUBSTITUTE(SUBSTITUTE(SUBSTITUTE(SUBSTITUTE(SUBSTITUTE(SUBSTITUTE(SUBSTITUTE(SUBSTITUTE(SUBSTITUTE(SUBSTITUTE(SUBSTITUTE(SUBSTITUTE(SUBSTITUTE(SUBSTITUTE(SUBSTITUTE(SUBSTITUTE(LOWER(W614&amp;""),CHAR(10)," "),CHAR(13)," "),CHAR(9)," "),CHAR(160)," "),"."," "),","," "),"-"," "),"/"," "),"("," "),")"," "),":"," "),";"," "),"_"," "),"–"," "),"?"," "),"!"," "),"*"," "),"["," "),"]"," "),"'"," "),"#"," "),"+"," "),"&amp;"," "),"\"," "))&amp;" "</f>
        <v>  </v>
      </c>
      <c r="BF614" s="61" t="str">
        <f aca="false">" "&amp;TRIM(SUBSTITUTE(SUBSTITUTE(SUBSTITUTE(SUBSTITUTE(SUBSTITUTE(SUBSTITUTE(SUBSTITUTE(SUBSTITUTE(SUBSTITUTE(SUBSTITUTE(SUBSTITUTE(SUBSTITUTE(SUBSTITUTE(SUBSTITUTE(SUBSTITUTE(SUBSTITUTE(SUBSTITUTE(SUBSTITUTE(SUBSTITUTE(SUBSTITUTE(SUBSTITUTE(SUBSTITUTE(SUBSTITUTE(SUBSTITUTE(LOWER(AC614&amp;""),CHAR(10)," "),CHAR(13)," "),CHAR(9)," "),CHAR(160)," "),"."," "),","," "),"-"," "),"/"," "),"("," "),")"," "),":"," "),";"," "),"_"," "),"–"," "),"?"," "),"!"," "),"*"," "),"["," "),"]"," "),"'"," "),"#"," "),"+"," "),"&amp;"," "),"\"," "))&amp;" "</f>
        <v>  </v>
      </c>
      <c r="BG614" s="61" t="n">
        <f aca="false">IFERROR(IF(AND(TRIM(U614)="Pass",SUMPRODUCT((LEN(BC614)-LEN(SUBSTITUTE(BC614," "&amp;L_ResultBad&amp;" "," ")))/(LEN(L_ResultBad)+1))&gt;SUMPRODUCT((LEN(BC614)-LEN(SUBSTITUTE(BC614," "&amp;L_NegPhrase&amp;" "," ")))/(LEN(L_NegPhrase)+1))),1,0),0)</f>
        <v>0</v>
      </c>
      <c r="BH614" s="61" t="n">
        <f aca="false">IFERROR(IF(SUMPRODUCT((LEN(BC614)-LEN(SUBSTITUTE(BC614," "&amp;L_Pending&amp;" "," ")))/(LEN(L_Pending)+1))&gt;SUMPRODUCT((LEN(BC614)-LEN(SUBSTITUTE(BC614," "&amp;L_PendNeg&amp;" "," ")))/(LEN(L_PendNeg)+1)),1,0),1)</f>
        <v>0</v>
      </c>
      <c r="BI614" s="61" t="n">
        <f aca="false">IFERROR(IF(SUMPRODUCT((LEN(BD614)-LEN(SUBSTITUTE(BD614," "&amp;L_PendStrict&amp;" "," ")))/(LEN(L_PendStrict)+1))&gt;SUMPRODUCT((LEN(BD614)-LEN(SUBSTITUTE(BD614," "&amp;L_PendNeg&amp;" "," ")))/(LEN(L_PendNeg)+1)),1,0),1)</f>
        <v>0</v>
      </c>
      <c r="BJ614" s="61" t="n">
        <f aca="false">IFERROR(IF(SUMPRODUCT((LEN(BE614)-LEN(SUBSTITUTE(BE614," "&amp;L_Pending&amp;" "," ")))/(LEN(L_Pending)+1))&gt;SUMPRODUCT((LEN(BE614)-LEN(SUBSTITUTE(BE614," "&amp;L_PendNeg&amp;" "," ")))/(LEN(L_PendNeg)+1)),1,0),1)</f>
        <v>0</v>
      </c>
      <c r="BK614" s="61" t="n">
        <f aca="false">IFERROR(IF(SUMPRODUCT((LEN(BF614)-LEN(SUBSTITUTE(BF614," "&amp;L_PendStrict&amp;" "," ")))/(LEN(L_PendStrict)+1))&gt;SUMPRODUCT((LEN(BF614)-LEN(SUBSTITUTE(BF614," "&amp;L_PendNeg&amp;" "," ")))/(LEN(L_PendNeg)+1)),1,0),1)</f>
        <v>0</v>
      </c>
      <c r="BL614" s="61" t="n">
        <f aca="false">IF(ISNA(MATCH(TRIM(S614),L_EvidenceType,0)),0,BZ614)</f>
        <v>0</v>
      </c>
      <c r="BM614" s="61" t="str">
        <f aca="false">SUBSTITUTE(SUBSTITUTE(SUBSTITUTE(SUBSTITUTE(SUBSTITUTE(SUBSTITUTE(SUBSTITUTE(SUBSTITUTE(SUBSTITUTE(LOWER(Z614&amp;""),"1","0"),"2","0"),"3","0"),"4","0"),"5","0"),"6","0"),"7","0"),"8","0"),"9","0")</f>
        <v/>
      </c>
      <c r="BN614" s="61" t="str">
        <f aca="false">SUBSTITUTE(SUBSTITUTE(SUBSTITUTE(SUBSTITUTE(SUBSTITUTE(SUBSTITUTE(SUBSTITUTE(SUBSTITUTE(SUBSTITUTE(SUBSTITUTE(SUBSTITUTE(SUBSTITUTE(SUBSTITUTE(SUBSTITUTE(SUBSTITUTE(SUBSTITUTE(SUBSTITUTE(SUBSTITUTE(SUBSTITUTE(SUBSTITUTE(SUBSTITUTE(SUBSTITUTE(SUBSTITUTE(SUBSTITUTE(SUBSTITUTE(BM614,"b","a"),"c","a"),"d","a"),"e","a"),"f","a"),"g","a"),"h","a"),"i","a"),"j","a"),"k","a"),"l","a"),"m","a"),"n","a"),"o","a"),"p","a"),"q","a"),"r","a"),"s","a"),"t","a"),"u","a"),"v","a"),"w","a"),"x","a"),"y","a"),"z","a")</f>
        <v/>
      </c>
      <c r="BO614" s="61" t="str">
        <f aca="false">SUBSTITUTE(SUBSTITUTE(SUBSTITUTE(SUBSTITUTE(SUBSTITUTE(SUBSTITUTE(SUBSTITUTE(SUBSTITUTE(SUBSTITUTE(LOWER(W614&amp;""),"1","0"),"2","0"),"3","0"),"4","0"),"5","0"),"6","0"),"7","0"),"8","0"),"9","0")</f>
        <v/>
      </c>
      <c r="BP614" s="61" t="str">
        <f aca="false">SUBSTITUTE(SUBSTITUTE(SUBSTITUTE(SUBSTITUTE(SUBSTITUTE(SUBSTITUTE(SUBSTITUTE(SUBSTITUTE(SUBSTITUTE(SUBSTITUTE(SUBSTITUTE(SUBSTITUTE(SUBSTITUTE(SUBSTITUTE(SUBSTITUTE(SUBSTITUTE(SUBSTITUTE(SUBSTITUTE(SUBSTITUTE(SUBSTITUTE(SUBSTITUTE(SUBSTITUTE(SUBSTITUTE(SUBSTITUTE(SUBSTITUTE(BO614,"b","a"),"c","a"),"d","a"),"e","a"),"f","a"),"g","a"),"h","a"),"i","a"),"j","a"),"k","a"),"l","a"),"m","a"),"n","a"),"o","a"),"p","a"),"q","a"),"r","a"),"s","a"),"t","a"),"u","a"),"v","a"),"w","a"),"x","a"),"y","a"),"z","a")</f>
        <v/>
      </c>
      <c r="BQ614" s="61" t="n">
        <f aca="false">IFERROR(IF(AND(ISERROR(SEARCH(" mh"," "&amp;LOWER(W614))),ISNA(MATCH(LEFT(TRIM(BP614),255),{"0000a","000a","00a","0000aa","000aa","00aa","0aa","0000aaa","000aaa","00a00","0a00","0000-0000","00:00","a00","a0","00.00.0000","00/00/0000","00-00-0000","0000-00-00","0000/00/00","0000.00.00","00.00.00","00/00/00","00-00-00","0.00.0000","0/00/0000","0-00-0000"},0)),ISNA(MATCH(LEFT(TRIM(CA614),255),{"0000a","000a","00a","0000aa","000aa","00aa","0aa","0000aaa","000aaa","00a00","0a00","0000-0000","00:00","a00","a0","00.00.0000","00/00/0000","00-00-0000","0000-00-00","0000/00/00","0000.00.00","00.00.00","00/00/00","00-00-00","0.00.0000","0/00/0000","0-00-0000"},0)),LEN(CB614)&gt;=3,NOT(OR(SUBSTITUTE(CB614,"0","")="",AND(LEN(CB614)&gt;=4,CB614=REPT(LEFT(CB614),LEN(CB614))),ISNUMBER(MATCH(CB614,{"123","1234","12345","123456","1234567","12345678","0123","01234","012345","98765","987654","54321"},0)),AND(LEN(CB614)=8,LEFT(CB614,3)="202"))),OR(AND((LEN(CA614)-LEN(SUBSTITUTE(CA614,"a","")))&gt;=1,SUMPRODUCT(--ISNUMBER(SEARCH({"a0","a-0","a_0","a/0","a.0","a#0","0a","0-a","0_a","0/a"},BP614)))&gt;0),ISNUMBER(SEARCH("000000",BP614)))),1,0),0)</f>
        <v>0</v>
      </c>
      <c r="BR614" s="61" t="n">
        <f aca="false">IFERROR(LEN(SUBSTITUTE(CC614," ",""))-SUMPRODUCT((LEN(CC614)-LEN(SUBSTITUTE(CC614," "&amp;L_Role&amp;" "," ")))/(LEN(L_Role)+1)*LEN(L_Role)),0)</f>
        <v>0</v>
      </c>
      <c r="BS614" s="61" t="n">
        <f aca="false">IFERROR(LEN(SUBSTITUTE(CD614," ",""))-SUMPRODUCT((LEN(CD614)-LEN(SUBSTITUTE(CD614," "&amp;L_Role&amp;" "," ")))/(LEN(L_Role)+1)*LEN(L_Role)),0)</f>
        <v>0</v>
      </c>
      <c r="BT6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614,"revision",""),"version",""),"jan",""),"feb",""),"mar",""),"apr",""),"may",""),"jun",""),"jul",""),"aug",""),"sep",""),"oct",""),"nov",""),"dec",""),"utc",""),"gmt",""),"myt",""),"bst",""),"rev",""),"ver",""),"b","a"),"c","a"),"d","a"),"e","a"),"f","a"),"g","a"),"h","a"),"i","a"),"j","a"),"k","a"),"l","a"),"m","a"),"n","a"),"o","a"),"p","a"),"q","a"),"r","a"),"s","a"),"t","a"),"u","a"),"v","a"),"w","a"),"x","a"),"y","a"),"z","a")</f>
        <v/>
      </c>
      <c r="BU614" s="61" t="str">
        <f aca="false">SUBSTITUTE(SUBSTITUTE(SUBSTITUTE(SUBSTITUTE(SUBSTITUTE(SUBSTITUTE(SUBSTITUTE(SUBSTITUTE(SUBSTITUTE(SUBSTITUTE(LEFT(BM614,FIND("0",BM614&amp;"0")-1),"-",""),"_",""),"/",""),".",""),"#",""),"\\",""),":","")," ",""),"(",""),")","")</f>
        <v/>
      </c>
      <c r="BV614" s="61" t="n">
        <f aca="false">IFERROR(IF(OR(SUMPRODUCT((LEN(BC614)-LEN(SUBSTITUTE(BC614," "&amp;L_NotLoaded&amp;" "," ")))/(LEN(L_NotLoaded)+1))&gt;SUMPRODUCT((LEN(BC614)-LEN(SUBSTITUTE(BC614," "&amp;L_NotLoadedNeg&amp;" "," ")))/(LEN(L_NotLoadedNeg)+1)),SUMPRODUCT((LEN(BD614)-LEN(SUBSTITUTE(BD614," "&amp;L_NotLoaded&amp;" "," ")))/(LEN(L_NotLoaded)+1))&gt;SUMPRODUCT((LEN(BD614)-LEN(SUBSTITUTE(BD614," "&amp;L_NotLoadedNeg&amp;" "," ")))/(LEN(L_NotLoadedNeg)+1))),1,0),0)</f>
        <v>0</v>
      </c>
      <c r="BW6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614&amp;""),"a",""),"b",""),"c",""),"d",""),"e",""),"f",""),"g",""),"h",""),"i",""),"j",""),"k",""),"l",""),"m",""),"n",""),"o",""),"p",""),"q",""),"r",""),"s",""),"t",""),"u",""),"v",""),"w",""),"x",""),"y",""),"z",""),"-",""),"_",""),"/",""),".",""),"#",""),"\\",""),":","")," ",""),"(",""),")","")</f>
        <v/>
      </c>
      <c r="BX614" s="61" t="str">
        <f aca="false">SUBSTITUTE(SUBSTITUTE(SUBSTITUTE(SUBSTITUTE(SUBSTITUTE(SUBSTITUTE(SUBSTITUTE(SUBSTITUTE(SUBSTITUTE(SUBSTITUTE(SUBSTITUTE(BM614,"0",""),"-",""),"_",""),"/",""),".",""),"#",""),"\\",""),":","")," ",""),"(",""),")","")</f>
        <v/>
      </c>
      <c r="BY614" s="62" t="n">
        <f aca="false">IF(ISNUMBER(Flights!$AZ$22),MAX(Q614-UpliftWindowH/24,Flights!$AZ$22),Q614-UpliftWindowH/24)</f>
        <v>46322.3506944444</v>
      </c>
      <c r="BZ614" s="61" t="n">
        <f aca="false">IFERROR(IF(IF(TRIM(S614)="Link / file path",AND(LEN(TRIM(Z614))&gt;=5,SUMPRODUCT(--ISNUMBER(SEARCH({"http","www.","\\",":\",".pdf",".jpg",".jpeg",".png",".heic",".xls",".doc",".msg",".eml",".ppt",".txt",".zip"},Z614)))&gt;0),AND(ISERROR(FIND(" ",TRIM(Z614))),NOT(OR(SUMPRODUCT(--ISNUMBER(FIND({",",";","&amp;","+"},Z614)))&gt;0,SUMPRODUCT(--ISNUMBER(SEARCH({"0/aa","0\\aa"},BN614)))&gt;0)),NOT(SUMPRODUCT(--ISNUMBER(SEARCH({"http","www.","\\",":\",".pdf",".jpg",".jpeg",".png",".heic",".xls",".doc",".msg",".eml",".ppt",".txt",".zip"},Z614)))&gt;0),NOT(LOWER(TRIM(Z614))=LOWER(Flights!$F$22)),ISNA(MATCH(BU614,{"mh","rev","revision","ver","version","v","r","a","b","seat","tray","row","gate","bay","stand","page","pg","item","line","no","cart","galley","flight","flt","table","box","bag","oven","etd","eta","std","sta","atd","ata","qty","pax","x","time","tel","ph","mob","day","wk","week","utc","gmt","myt","lt"},0)),NOT(OR(ISNUMBER(MATCH(LEFT(BN614,255),{"0000a","000a","00a","0000aa","000aa","00aa","0aa","0000aaa","000aaa","00a00","0a00","0000-0000","00:00","a00","a0","00.00.0000","00/00/0000","00-00-0000","0000-00-00","0000/00/00","0000.00.00","00.00.00","00/00/00","00-00-00","0.00.0000","0/00/0000","0-00-0000"},0)),ISNUMBER(MATCH(LEFT(BT614,255),{"0000a","000a","00a","0000aa","000aa","00aa","0aa","0000aaa","000aaa","00a00","0a00","0000-0000","00:00","a00","a0","00.00.0000","00/00/0000","00-00-0000","0000-00-00","0000/00/00","0000.00.00","00.00.00","00/00/00","00-00-00","0.00.0000","0/00/0000","0-00-0000"},0)))),NOT(OR(AND(BW614&lt;&gt;"",SUBSTITUTE(BW614,"0","")=""),AND(LEN(BW614)&gt;=4,BW614=REPT(LEFT(BW614),LEN(BW614))),ISNUMBER(MATCH(BW614,{"123","1234","12345","123456","1234567","12345678","0123","01234","012345","98765","987654","54321"},0)),ISNUMBER(MATCH(BX614,{"x","xx","xxx","xxxx","xxxxx","abc","abcd","nil","na","nan","test","tbc","tba","tbd","dummy","sample","example","eg","zz","zzz","none","null","xyz","qwe","asd","id","ref"},0)),AND(LEN(BW614)=8,BX614="",OR(LEFT(BW614,3)="202",ISNUMBER(MATCH(RIGHT(BW614,4),{"2025","2026","2027"},0)))))),OR(AND((LEN(BT614)-LEN(SUBSTITUTE(BT614,"a","")))&gt;=1,(LEN(BN614)-LEN(SUBSTITUTE(BN614,"0","")))&gt;=2,SUMPRODUCT(--ISNUMBER(SEARCH({"a0","a-0","a_0","a/0","a.0","a#0","0a","0-a","0_a","0/a"},BN614)))&gt;0),AND((LEN(BN614)-LEN(SUBSTITUTE(BN614,"a","")))=0,(LEN(BN614)-LEN(SUBSTITUTE(BN614,"0","")))&gt;=5)))),1,0),0)</f>
        <v>0</v>
      </c>
      <c r="CA6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614,"revision",""),"version",""),"jan",""),"feb",""),"mar",""),"apr",""),"may",""),"jun",""),"jul",""),"aug",""),"sep",""),"oct",""),"nov",""),"dec",""),"utc",""),"gmt",""),"myt",""),"bst",""),"rev",""),"ver",""),"b","a"),"c","a"),"d","a"),"e","a"),"f","a"),"g","a"),"h","a"),"i","a"),"j","a"),"k","a"),"l","a"),"m","a"),"n","a"),"o","a"),"p","a"),"q","a"),"r","a"),"s","a"),"t","a"),"u","a"),"v","a"),"w","a"),"x","a"),"y","a"),"z","a")</f>
        <v/>
      </c>
      <c r="CB6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614&amp;""),"a",""),"b",""),"c",""),"d",""),"e",""),"f",""),"g",""),"h",""),"i",""),"j",""),"k",""),"l",""),"m",""),"n",""),"o",""),"p",""),"q",""),"r",""),"s",""),"t",""),"u",""),"v",""),"w",""),"x",""),"y",""),"z",""),"-",""),"_",""),"/",""),".",""),"#",""),"\\",""),":","")," ",""),"(",""),")","")</f>
        <v/>
      </c>
      <c r="CC614" s="0" t="str">
        <f aca="false">" "&amp;TRIM(SUBSTITUTE(SUBSTITUTE(SUBSTITUTE(SUBSTITUTE(SUBSTITUTE(SUBSTITUTE(SUBSTITUTE(SUBSTITUTE(SUBSTITUTE(SUBSTITUTE(SUBSTITUTE(SUBSTITUTE(SUBSTITUTE(SUBSTITUTE(SUBSTITUTE(SUBSTITUTE(SUBSTITUTE(SUBSTITUTE(SUBSTITUTE(SUBSTITUTE(SUBSTITUTE(SUBSTITUTE(SUBSTITUTE(SUBSTITUTE(LOWER(T614&amp;""),CHAR(10)," "),CHAR(13)," "),CHAR(9)," "),CHAR(160)," "),"."," "),","," "),"-"," "),"/"," "),"("," "),")"," "),":"," "),";"," "),"_"," "),"–"," "),"?"," "),"!"," "),"*"," "),"["," "),"]"," "),"'"," "),"#"," "),"+"," "),"&amp;"," "),"\"," "))&amp;" "</f>
        <v>  </v>
      </c>
      <c r="CD614" s="0" t="str">
        <f aca="false">" "&amp;TRIM(SUBSTITUTE(SUBSTITUTE(SUBSTITUTE(SUBSTITUTE(SUBSTITUTE(SUBSTITUTE(SUBSTITUTE(SUBSTITUTE(SUBSTITUTE(SUBSTITUTE(SUBSTITUTE(SUBSTITUTE(SUBSTITUTE(SUBSTITUTE(SUBSTITUTE(SUBSTITUTE(SUBSTITUTE(SUBSTITUTE(SUBSTITUTE(SUBSTITUTE(SUBSTITUTE(SUBSTITUTE(SUBSTITUTE(SUBSTITUTE(LOWER(AE614&amp;""),CHAR(10)," "),CHAR(13)," "),CHAR(9)," "),CHAR(160)," "),"."," "),","," "),"-"," "),"/"," "),"("," "),")"," "),":"," "),";"," "),"_"," "),"–"," "),"?"," "),"!"," "),"*"," "),"["," "),"]"," "),"'"," "),"#"," "),"+"," "),"&amp;"," "),"\"," "))&amp;" "</f>
        <v>  </v>
      </c>
      <c r="CE614" s="68" t="n">
        <f aca="false">IFERROR(IF(AND(LEN(AU614)&gt;0,LEN(AU614)=LEN(AX614),OR(TRIM(MID(SUBSTITUTE(TRIM(CC614)," ",REPT(" ",60)),1,60))="",ISNUMBER(SEARCH(" "&amp;TRIM(MID(SUBSTITUTE(TRIM(CC614)," ",REPT(" ",60)),1,60))&amp;" ",CD614))),OR(TRIM(MID(SUBSTITUTE(TRIM(CC614)," ",REPT(" ",60)),61,60))="",ISNUMBER(SEARCH(" "&amp;TRIM(MID(SUBSTITUTE(TRIM(CC614)," ",REPT(" ",60)),61,60))&amp;" ",CD614))),OR(TRIM(MID(SUBSTITUTE(TRIM(CC614)," ",REPT(" ",60)),121,60))="",ISNUMBER(SEARCH(" "&amp;TRIM(MID(SUBSTITUTE(TRIM(CC614)," ",REPT(" ",60)),121,60))&amp;" ",CD614)))),1,0),0)</f>
        <v>0</v>
      </c>
      <c r="CG614" s="68" t="n">
        <f aca="false">IFERROR(LEN(SUBSTITUTE(BF614," ",""))-SUMPRODUCT((LEN(BF614)-LEN(SUBSTITUTE(BF614," "&amp;L_NAFiller&amp;" "," ")))/(LEN(L_NAFiller)+1)*LEN(L_NAFiller)),0)</f>
        <v>0</v>
      </c>
    </row>
    <row r="615" customFormat="false" ht="39.75" hidden="false" customHeight="true" outlineLevel="0" collapsed="false">
      <c r="A615" s="57" t="s">
        <v>1324</v>
      </c>
      <c r="B615" s="57" t="s">
        <v>293</v>
      </c>
      <c r="C615" s="57" t="str">
        <f aca="false">Flights!$F$22</f>
        <v>MH0052</v>
      </c>
      <c r="D615" s="58" t="n">
        <f aca="false">Flights!$D$22</f>
        <v>46322</v>
      </c>
      <c r="E615" s="57" t="str">
        <f aca="false">Flights!$G$22&amp;"-"&amp;Flights!$H$22</f>
        <v>KUL-KIX</v>
      </c>
      <c r="F615" s="57" t="str">
        <f aca="false">Flights!$K$22</f>
        <v>BC</v>
      </c>
      <c r="G615" s="57" t="s">
        <v>459</v>
      </c>
      <c r="H615" s="57" t="s">
        <v>460</v>
      </c>
      <c r="I615" s="57" t="s">
        <v>447</v>
      </c>
      <c r="J615" s="57" t="s">
        <v>653</v>
      </c>
      <c r="K615" s="67" t="s">
        <v>449</v>
      </c>
      <c r="L615" s="67" t="s">
        <v>1304</v>
      </c>
      <c r="M615" s="67" t="s">
        <v>451</v>
      </c>
      <c r="N615" s="67" t="s">
        <v>383</v>
      </c>
      <c r="O615" s="67"/>
      <c r="P615" s="57" t="s">
        <v>187</v>
      </c>
      <c r="Q615" s="59" t="n">
        <f aca="false">ROUND((Flights!$AF$22)*1440,0)/1440</f>
        <v>46322.6006944444</v>
      </c>
      <c r="R615" s="59" t="n">
        <f aca="false">Q615+(IF(AND(INDEX(TZ_DSTS,MATCH(P615,TZ_STN,0))&lt;&gt;"",Q615&gt;=INDEX(TZ_DSTS,MATCH(P615,TZ_STN,0)),Q615&lt;INDEX(TZ_DSTE,MATCH(P615,TZ_STN,0))),INDEX(TZ_DST,MATCH(P615,TZ_STN,0)),INDEX(TZ_STD,MATCH(P615,TZ_STN,0))))/24</f>
        <v>46322.9340277778</v>
      </c>
      <c r="S615" s="60"/>
      <c r="T615" s="60"/>
      <c r="U615" s="60"/>
      <c r="V615" s="60"/>
      <c r="W615" s="61"/>
      <c r="X615" s="60"/>
      <c r="Y615" s="60"/>
      <c r="Z615" s="60"/>
      <c r="AA615" s="60"/>
      <c r="AB615" s="60"/>
      <c r="AC615" s="60"/>
      <c r="AD615" s="66"/>
      <c r="AE615" s="60"/>
      <c r="AF615" s="61" t="str">
        <f aca="false">IF(AND(ISNUMBER(X615),ISNUMBER(Y615)),Y615-X615,"")</f>
        <v/>
      </c>
      <c r="AG615" s="62" t="str">
        <f aca="false">IF(ISNUMBER(AD615),AD615-(IF(AND(INDEX(TZ_DSTS,MATCH(P615,TZ_STN,0))&lt;&gt;"",(AD615-INDEX(TZ_STD,MATCH(P615,TZ_STN,0))/24)&gt;=INDEX(TZ_DSTS,MATCH(P615,TZ_STN,0)),(AD615-INDEX(TZ_STD,MATCH(P615,TZ_STN,0))/24)&lt;INDEX(TZ_DSTE,MATCH(P615,TZ_STN,0))),INDEX(TZ_DST,MATCH(P615,TZ_STN,0)),INDEX(TZ_STD,MATCH(P615,TZ_STN,0))))/24,"")</f>
        <v/>
      </c>
      <c r="AH615" s="65" t="str">
        <f aca="false">IFERROR(IF(N615="N/A – rule",IF(OR(TRIM(U615)="",TRIM(U615)="N/A",TRIM(U615)="Not started"),"N/A – RULE","INVALID – this check does not apply to this aircraft: clear the status (or correct the fleet on Flights)"),IF(TRIM(U615)="N/A",IF(AT615=0,"INVALID – N/A not permitted for this check",IF(AND(TRIM(AB615)&lt;&gt;"",TRIM(AB615)&lt;&gt;"Closed"),"INVALID – corrective action still open",IF(AND(NOT(OR(LEN(AZ615)&lt;15,ISNUMBER(MATCH(AZ615,L_Placeholder,0)))),BK615=0,CG615&gt;=8,NOT(OR(LEN(AU615)&lt;2,ISNUMBER(MATCH(AU615,L_Placeholder,0)))),BR615&gt;=3,NOT(OR(LEN(AX615)&lt;2,ISNUMBER(MATCH(AX615,L_Placeholder,0)))),BS615&gt;=3,TRIM(AE615)&lt;&gt;TRIM(T615),AX615&lt;&gt;AU615,CE615=0),"N/A – JUSTIFIED","INVALID – N/A needs a real, settled reason (not 'not applicable' / 'as above' / TBC), a named PIC and a different named verifier"))),IF(OR(TRIM(U615)="Pass",TRIM(U615)="Pass after CA"),IF(NOT(ISNUMBER(AD615)),"INVALID – completion time missing",IF(OR(OR(LEN(AU615)&lt;2,ISNUMBER(MATCH(AU615,L_Placeholder,0))),BR615&lt;3),"INVALID – PIC missing or not a named person (a role such as QA / CSM is not a name)",IF(OR(LEN(AV615)&lt;2,ISNUMBER(MATCH(AV615,L_Placeholder,0))),"INVALID – result / assessment missing",IF(OR(OR(LEN(AW615)&lt;3,ISNUMBER(MATCH(AW615,L_Placeholder,0))),SUMPRODUCT(--ISNUMBER(SEARCH(" "&amp;L_EvidencePhrase&amp;" ",BD615)))&gt;0,BI615=1),"INVALID – evidence missing, placeholder or not yet on file",IF(ISNA(MATCH(TRIM(S615),L_EvidenceType,0)),"INVALID – choose the evidence type from the list (column S)",IF(BL615=0,"INVALID – evidence ID must be the record's own ID only (e.g. SF-2210, IMG_2231, 1045521); a link / file name needs type 'Link / file path'",IF(OR(OR(LEN(AX615)&lt;2,ISNUMBER(MATCH(AX615,L_Placeholder,0))),BS615&lt;3),"INVALID – verifier missing or not a named person (a role such as QA / CSM is not a name)",IF(OR(AX615=AU615,CE615=1,AND(LEN(AU615)&gt;=4,ISNUMBER(SEARCH(AU615,AX615))),AND(LEN(AX615)&gt;=4,ISNUMBER(SEARCH(AX615,AU615)))),"INVALID – verifier must be a different, named person (not the PIC or a role)",IF(BH615=1,"INVALID – result not yet available (awaiting / TBC)",IF(BG615=1,"INVALID – result describes a problem: record Fail, then Pass after CA (or reword if it is not a problem)",IF(BV615=1,"INVALID – wording says not on board: an on-board confirmation needs the item loaded",IF(AND(AQ615=1,OR(OR(LEN(AY615)&lt;3,ISNUMBER(MATCH(AY615,L_Placeholder,0))),BJ615=1,BQ615=0)),"INVALID – batch ID missing, placeholder or not an ID (e.g. PASB-261008-BC-017)",IF(AND(AR615=1,OR(NOT(ISNUMBER(X615)),NOT(ISNUMBER(Y615)))),"INVALID – expected/actual qty missing",IF(AND(AR615=1,OR(X615&lt;=0,Y615&lt;0)),"INVALID – expected qty must be above 0 and actual not negative",IF(AH600="N/A – JUSTIFIED","INVALID – preparation row F18-T12-17 is N/A",IF(AND(AR615=1,ISNUMBER(X600),X615&lt;&gt;X600,TRIM(U615)&lt;&gt;"Pass after CA"),"INVALID – expected qty differs from preparation check F18-T12-17: record the load change as a corrective action (Pass after CA)",IF(BB615&lt;&gt;"",BB615,IF(AND(AS615=1,Documents!$J$22&lt;&gt;"ON FILE"),"INVALID – GLD not on file (Documents sheet)",IF(AND(AS615=2,Documents!$O$22&lt;&gt;"ON FILE"),"INVALID – menu checklist not on file (Documents sheet)",IF(AND(AS615=3,NOT(ISNUMBER(Flights!$AX$22))),"INVALID – enter carrying flight KUL departure (Flights AX)",IF(AND(AS615=3,OR(Flights!$AZ$22&gt;Flights!$AA$22,Flights!$AX$22&lt;Flights!$AA$22-3)),"INVALID – carrying flight (Flights AX) cannot arrive before this leg's STD, or is over 3 days early",IF(AG615&gt;AsOfUTC,"INVALID – completion time is in the future",IF(AND(ISNUMBER(BY615),AG615&lt;BY615),IF(H615="Physical uplift","INVALID – before uplift window (cannot confirm loading)","INVALID – before valid window"),IF(AG615&gt;Flights!$AA$22,"INVALID – completed after departure (cannot establish readiness)",IF(AND(H615="Preparation",AG615&gt;=IF(ISNUMBER(Flights!$BA$22),MIN(Flights!$BA$22,Flights!$AA$22),Flights!$AA$22)),"INVALID – completed after loading / departure (cannot establish readiness)",IF(AND(H615="Physical uplift",AG615&gt;Q615),"INVALID – recorded after the loading flight departed",IF(AG615&gt;Q615,"COMPLETE – LATE","COMPLETE"))))))))))))))))))))))))))),IF(TRIM(U615)="Fail","FAIL – DISCREPANCY",IF(AND(TRIM(U615)&lt;&gt;"",TRIM(U615)&lt;&gt;"Not started",TRIM(U615)&lt;&gt;"In progress"),"INVALID – unrecognised status (use the list)",IF(AsOfUTC&gt;Q615,"OVERDUE",IF(N615="Clarification required","OPEN – CLARIFICATION","OPEN"))))))),"INVALID – error value in an input cell")</f>
        <v>OPEN</v>
      </c>
      <c r="AI615" s="61" t="n">
        <f aca="false">IF(OR(AH615="N/A – RULE",AH615="N/A – JUSTIFIED"),0,1)</f>
        <v>1</v>
      </c>
      <c r="AJ615" s="61" t="n">
        <f aca="false">IF(LEFT(AH615,8)="COMPLETE",1,0)</f>
        <v>0</v>
      </c>
      <c r="AK615" s="61" t="n">
        <f aca="false">IF(AND(AI615=1,AJ615=0,AsOfUTC&gt;Q615),1,0)</f>
        <v>0</v>
      </c>
      <c r="AL615" s="61" t="n">
        <f aca="false">IFERROR(IF(AND(AI615=1,OR(TRIM(U615)="Fail",AND(TRIM(AB615)&lt;&gt;"",TRIM(AB615)&lt;&gt;"Closed"),AND(ISNUMBER(AF615),AF615&lt;&gt;0,TRIM(U615)&lt;&gt;"Pass after CA"))),1,0),1)</f>
        <v>0</v>
      </c>
      <c r="AM615" s="61" t="n">
        <f aca="false">IF(LEFT(AH615,7)="INVALID",1,0)</f>
        <v>0</v>
      </c>
      <c r="AN615" s="61" t="n">
        <f aca="false">IF(AND(N615="Clarification required",AI615=1,AJ615=0),1,0)</f>
        <v>0</v>
      </c>
      <c r="AO615" s="61" t="str">
        <f aca="false">IF(AK615=1,SUM(AK$5:AK615),"")</f>
        <v/>
      </c>
      <c r="AP615" s="61" t="str">
        <f aca="false">IF(AL615=1,SUM(AL$5:AL615),"")</f>
        <v/>
      </c>
      <c r="AQ615" s="61" t="n">
        <v>0</v>
      </c>
      <c r="AR615" s="61" t="n">
        <v>0</v>
      </c>
      <c r="AS615" s="61" t="n">
        <v>0</v>
      </c>
      <c r="AT615" s="61" t="n">
        <v>0</v>
      </c>
      <c r="AU615" s="61" t="str">
        <f aca="false">SUBSTITUTE(SUBSTITUTE(SUBSTITUTE(SUBSTITUTE(SUBSTITUTE(SUBSTITUTE(SUBSTITUTE(SUBSTITUTE(SUBSTITUTE(SUBSTITUTE(SUBSTITUTE(SUBSTITUTE(SUBSTITUTE(SUBSTITUTE(SUBSTITUTE(SUBSTITUTE(LOWER(T615&amp;""),CHAR(10),""),CHAR(13),""),CHAR(9),""),CHAR(160),"")," ",""),".",""),"-",""),"/",""),"?",""),"_",""),",",""),"[",""),"]",""),"(",""),")",""),"*","")</f>
        <v/>
      </c>
      <c r="AV615" s="61" t="str">
        <f aca="false">SUBSTITUTE(SUBSTITUTE(SUBSTITUTE(SUBSTITUTE(SUBSTITUTE(SUBSTITUTE(SUBSTITUTE(SUBSTITUTE(SUBSTITUTE(SUBSTITUTE(SUBSTITUTE(SUBSTITUTE(SUBSTITUTE(SUBSTITUTE(SUBSTITUTE(SUBSTITUTE(LOWER(V615&amp;""),CHAR(10),""),CHAR(13),""),CHAR(9),""),CHAR(160),"")," ",""),".",""),"-",""),"/",""),"?",""),"_",""),",",""),"[",""),"]",""),"(",""),")",""),"*","")</f>
        <v/>
      </c>
      <c r="AW615" s="61" t="str">
        <f aca="false">SUBSTITUTE(SUBSTITUTE(SUBSTITUTE(SUBSTITUTE(SUBSTITUTE(SUBSTITUTE(SUBSTITUTE(SUBSTITUTE(SUBSTITUTE(SUBSTITUTE(SUBSTITUTE(SUBSTITUTE(SUBSTITUTE(SUBSTITUTE(SUBSTITUTE(SUBSTITUTE(LOWER(Z615&amp;""),CHAR(10),""),CHAR(13),""),CHAR(9),""),CHAR(160),"")," ",""),".",""),"-",""),"/",""),"?",""),"_",""),",",""),"[",""),"]",""),"(",""),")",""),"*","")</f>
        <v/>
      </c>
      <c r="AX615" s="61" t="str">
        <f aca="false">SUBSTITUTE(SUBSTITUTE(SUBSTITUTE(SUBSTITUTE(SUBSTITUTE(SUBSTITUTE(SUBSTITUTE(SUBSTITUTE(SUBSTITUTE(SUBSTITUTE(SUBSTITUTE(SUBSTITUTE(SUBSTITUTE(SUBSTITUTE(SUBSTITUTE(SUBSTITUTE(LOWER(AE615&amp;""),CHAR(10),""),CHAR(13),""),CHAR(9),""),CHAR(160),"")," ",""),".",""),"-",""),"/",""),"?",""),"_",""),",",""),"[",""),"]",""),"(",""),")",""),"*","")</f>
        <v/>
      </c>
      <c r="AY615" s="61" t="str">
        <f aca="false">SUBSTITUTE(SUBSTITUTE(SUBSTITUTE(SUBSTITUTE(SUBSTITUTE(SUBSTITUTE(SUBSTITUTE(SUBSTITUTE(SUBSTITUTE(SUBSTITUTE(SUBSTITUTE(SUBSTITUTE(SUBSTITUTE(SUBSTITUTE(SUBSTITUTE(SUBSTITUTE(LOWER(W615&amp;""),CHAR(10),""),CHAR(13),""),CHAR(9),""),CHAR(160),"")," ",""),".",""),"-",""),"/",""),"?",""),"_",""),",",""),"[",""),"]",""),"(",""),")",""),"*","")</f>
        <v/>
      </c>
      <c r="AZ615" s="61" t="str">
        <f aca="false">SUBSTITUTE(SUBSTITUTE(SUBSTITUTE(SUBSTITUTE(SUBSTITUTE(SUBSTITUTE(SUBSTITUTE(SUBSTITUTE(SUBSTITUTE(SUBSTITUTE(SUBSTITUTE(SUBSTITUTE(SUBSTITUTE(SUBSTITUTE(SUBSTITUTE(SUBSTITUTE(LOWER(AC615&amp;""),CHAR(10),""),CHAR(13),""),CHAR(9),""),CHAR(160),"")," ",""),".",""),"-",""),"/",""),"?",""),"_",""),",",""),"[",""),"]",""),"(",""),")",""),"*","")</f>
        <v/>
      </c>
      <c r="BA615" s="61" t="str">
        <f aca="false">SUBSTITUTE(SUBSTITUTE(SUBSTITUTE(SUBSTITUTE(SUBSTITUTE(SUBSTITUTE(SUBSTITUTE(SUBSTITUTE(SUBSTITUTE(SUBSTITUTE(SUBSTITUTE(SUBSTITUTE(SUBSTITUTE(SUBSTITUTE(SUBSTITUTE(SUBSTITUTE(LOWER(AA615&amp;""),CHAR(10),""),CHAR(13),""),CHAR(9),""),CHAR(160),"")," ",""),".",""),"-",""),"/",""),"?",""),"_",""),",",""),"[",""),"]",""),"(",""),")",""),"*","")</f>
        <v/>
      </c>
      <c r="BB615" s="61" t="str">
        <f aca="false">IF(AND(TRIM(U615)="Pass",ISNUMBER(AF615)),IF(AF615&lt;&gt;0,"INVALID – qty variance: use Fail or Pass after CA",""),"")&amp;IF(AND(TRIM(U615)="Pass after CA",ISNUMBER(AF615)),IF(AF615&lt;&gt;0,"INVALID – after the corrective action the actual qty must equal expected (update Actual)",""),"")&amp;IF(AND(TRIM(U615)="Pass",TRIM(AB615)&lt;&gt;"",TRIM(AB615)&lt;&gt;"Closed"),"INVALID – corrective action not closed: use Fail, then Pass after CA","")&amp;IF(AND(LEN(BA615)&gt;=2,ISNA(MATCH(LEFT(BA615,255),L_Placeholder,0)),TRIM(AB615)=""),"INVALID – CA status missing for the recorded corrective action","")&amp;IF(AND(TRIM(U615)="Pass after CA",OR(OR(LEN(BA615)&lt;5,ISNUMBER(MATCH(BA615,L_Placeholder,0))),TRIM(AB615)&lt;&gt;"Closed")),"INVALID – corrective action not recorded/closed","")</f>
        <v/>
      </c>
      <c r="BC615" s="61" t="str">
        <f aca="false">" "&amp;TRIM(SUBSTITUTE(SUBSTITUTE(SUBSTITUTE(SUBSTITUTE(SUBSTITUTE(SUBSTITUTE(SUBSTITUTE(SUBSTITUTE(SUBSTITUTE(SUBSTITUTE(SUBSTITUTE(SUBSTITUTE(SUBSTITUTE(SUBSTITUTE(SUBSTITUTE(SUBSTITUTE(SUBSTITUTE(SUBSTITUTE(SUBSTITUTE(SUBSTITUTE(SUBSTITUTE(SUBSTITUTE(SUBSTITUTE(SUBSTITUTE(LOWER(V615&amp;""),CHAR(10)," "),CHAR(13)," "),CHAR(9)," "),CHAR(160)," "),"."," "),","," "),"-"," "),"/"," "),"("," "),")"," "),":"," "),";"," "),"_"," "),"–"," "),"?"," "),"!"," "),"*"," "),"["," "),"]"," "),"'"," "),"#"," "),"+"," "),"&amp;"," "),"\"," "))&amp;" "</f>
        <v>  </v>
      </c>
      <c r="BD615" s="61" t="str">
        <f aca="false">" "&amp;TRIM(SUBSTITUTE(SUBSTITUTE(SUBSTITUTE(SUBSTITUTE(SUBSTITUTE(SUBSTITUTE(SUBSTITUTE(SUBSTITUTE(SUBSTITUTE(SUBSTITUTE(SUBSTITUTE(SUBSTITUTE(SUBSTITUTE(SUBSTITUTE(SUBSTITUTE(SUBSTITUTE(SUBSTITUTE(SUBSTITUTE(SUBSTITUTE(SUBSTITUTE(SUBSTITUTE(SUBSTITUTE(SUBSTITUTE(SUBSTITUTE(LOWER(Z615&amp;""),CHAR(10)," "),CHAR(13)," "),CHAR(9)," "),CHAR(160)," "),"."," "),","," "),"-"," "),"/"," "),"("," "),")"," "),":"," "),";"," "),"_"," "),"–"," "),"?"," "),"!"," "),"*"," "),"["," "),"]"," "),"'"," "),"#"," "),"+"," "),"&amp;"," "),"\"," "))&amp;" "</f>
        <v>  </v>
      </c>
      <c r="BE615" s="61" t="str">
        <f aca="false">" "&amp;TRIM(SUBSTITUTE(SUBSTITUTE(SUBSTITUTE(SUBSTITUTE(SUBSTITUTE(SUBSTITUTE(SUBSTITUTE(SUBSTITUTE(SUBSTITUTE(SUBSTITUTE(SUBSTITUTE(SUBSTITUTE(SUBSTITUTE(SUBSTITUTE(SUBSTITUTE(SUBSTITUTE(SUBSTITUTE(SUBSTITUTE(SUBSTITUTE(SUBSTITUTE(SUBSTITUTE(SUBSTITUTE(SUBSTITUTE(SUBSTITUTE(LOWER(W615&amp;""),CHAR(10)," "),CHAR(13)," "),CHAR(9)," "),CHAR(160)," "),"."," "),","," "),"-"," "),"/"," "),"("," "),")"," "),":"," "),";"," "),"_"," "),"–"," "),"?"," "),"!"," "),"*"," "),"["," "),"]"," "),"'"," "),"#"," "),"+"," "),"&amp;"," "),"\"," "))&amp;" "</f>
        <v>  </v>
      </c>
      <c r="BF615" s="61" t="str">
        <f aca="false">" "&amp;TRIM(SUBSTITUTE(SUBSTITUTE(SUBSTITUTE(SUBSTITUTE(SUBSTITUTE(SUBSTITUTE(SUBSTITUTE(SUBSTITUTE(SUBSTITUTE(SUBSTITUTE(SUBSTITUTE(SUBSTITUTE(SUBSTITUTE(SUBSTITUTE(SUBSTITUTE(SUBSTITUTE(SUBSTITUTE(SUBSTITUTE(SUBSTITUTE(SUBSTITUTE(SUBSTITUTE(SUBSTITUTE(SUBSTITUTE(SUBSTITUTE(LOWER(AC615&amp;""),CHAR(10)," "),CHAR(13)," "),CHAR(9)," "),CHAR(160)," "),"."," "),","," "),"-"," "),"/"," "),"("," "),")"," "),":"," "),";"," "),"_"," "),"–"," "),"?"," "),"!"," "),"*"," "),"["," "),"]"," "),"'"," "),"#"," "),"+"," "),"&amp;"," "),"\"," "))&amp;" "</f>
        <v>  </v>
      </c>
      <c r="BG615" s="61" t="n">
        <f aca="false">IFERROR(IF(AND(TRIM(U615)="Pass",SUMPRODUCT((LEN(BC615)-LEN(SUBSTITUTE(BC615," "&amp;L_ResultBad&amp;" "," ")))/(LEN(L_ResultBad)+1))&gt;SUMPRODUCT((LEN(BC615)-LEN(SUBSTITUTE(BC615," "&amp;L_NegPhrase&amp;" "," ")))/(LEN(L_NegPhrase)+1))),1,0),0)</f>
        <v>0</v>
      </c>
      <c r="BH615" s="61" t="n">
        <f aca="false">IFERROR(IF(SUMPRODUCT((LEN(BC615)-LEN(SUBSTITUTE(BC615," "&amp;L_Pending&amp;" "," ")))/(LEN(L_Pending)+1))&gt;SUMPRODUCT((LEN(BC615)-LEN(SUBSTITUTE(BC615," "&amp;L_PendNeg&amp;" "," ")))/(LEN(L_PendNeg)+1)),1,0),1)</f>
        <v>0</v>
      </c>
      <c r="BI615" s="61" t="n">
        <f aca="false">IFERROR(IF(SUMPRODUCT((LEN(BD615)-LEN(SUBSTITUTE(BD615," "&amp;L_PendStrict&amp;" "," ")))/(LEN(L_PendStrict)+1))&gt;SUMPRODUCT((LEN(BD615)-LEN(SUBSTITUTE(BD615," "&amp;L_PendNeg&amp;" "," ")))/(LEN(L_PendNeg)+1)),1,0),1)</f>
        <v>0</v>
      </c>
      <c r="BJ615" s="61" t="n">
        <f aca="false">IFERROR(IF(SUMPRODUCT((LEN(BE615)-LEN(SUBSTITUTE(BE615," "&amp;L_Pending&amp;" "," ")))/(LEN(L_Pending)+1))&gt;SUMPRODUCT((LEN(BE615)-LEN(SUBSTITUTE(BE615," "&amp;L_PendNeg&amp;" "," ")))/(LEN(L_PendNeg)+1)),1,0),1)</f>
        <v>0</v>
      </c>
      <c r="BK615" s="61" t="n">
        <f aca="false">IFERROR(IF(SUMPRODUCT((LEN(BF615)-LEN(SUBSTITUTE(BF615," "&amp;L_PendStrict&amp;" "," ")))/(LEN(L_PendStrict)+1))&gt;SUMPRODUCT((LEN(BF615)-LEN(SUBSTITUTE(BF615," "&amp;L_PendNeg&amp;" "," ")))/(LEN(L_PendNeg)+1)),1,0),1)</f>
        <v>0</v>
      </c>
      <c r="BL615" s="61" t="n">
        <f aca="false">IF(ISNA(MATCH(TRIM(S615),L_EvidenceType,0)),0,BZ615)</f>
        <v>0</v>
      </c>
      <c r="BM615" s="61" t="str">
        <f aca="false">SUBSTITUTE(SUBSTITUTE(SUBSTITUTE(SUBSTITUTE(SUBSTITUTE(SUBSTITUTE(SUBSTITUTE(SUBSTITUTE(SUBSTITUTE(LOWER(Z615&amp;""),"1","0"),"2","0"),"3","0"),"4","0"),"5","0"),"6","0"),"7","0"),"8","0"),"9","0")</f>
        <v/>
      </c>
      <c r="BN615" s="61" t="str">
        <f aca="false">SUBSTITUTE(SUBSTITUTE(SUBSTITUTE(SUBSTITUTE(SUBSTITUTE(SUBSTITUTE(SUBSTITUTE(SUBSTITUTE(SUBSTITUTE(SUBSTITUTE(SUBSTITUTE(SUBSTITUTE(SUBSTITUTE(SUBSTITUTE(SUBSTITUTE(SUBSTITUTE(SUBSTITUTE(SUBSTITUTE(SUBSTITUTE(SUBSTITUTE(SUBSTITUTE(SUBSTITUTE(SUBSTITUTE(SUBSTITUTE(SUBSTITUTE(BM615,"b","a"),"c","a"),"d","a"),"e","a"),"f","a"),"g","a"),"h","a"),"i","a"),"j","a"),"k","a"),"l","a"),"m","a"),"n","a"),"o","a"),"p","a"),"q","a"),"r","a"),"s","a"),"t","a"),"u","a"),"v","a"),"w","a"),"x","a"),"y","a"),"z","a")</f>
        <v/>
      </c>
      <c r="BO615" s="61" t="str">
        <f aca="false">SUBSTITUTE(SUBSTITUTE(SUBSTITUTE(SUBSTITUTE(SUBSTITUTE(SUBSTITUTE(SUBSTITUTE(SUBSTITUTE(SUBSTITUTE(LOWER(W615&amp;""),"1","0"),"2","0"),"3","0"),"4","0"),"5","0"),"6","0"),"7","0"),"8","0"),"9","0")</f>
        <v/>
      </c>
      <c r="BP615" s="61" t="str">
        <f aca="false">SUBSTITUTE(SUBSTITUTE(SUBSTITUTE(SUBSTITUTE(SUBSTITUTE(SUBSTITUTE(SUBSTITUTE(SUBSTITUTE(SUBSTITUTE(SUBSTITUTE(SUBSTITUTE(SUBSTITUTE(SUBSTITUTE(SUBSTITUTE(SUBSTITUTE(SUBSTITUTE(SUBSTITUTE(SUBSTITUTE(SUBSTITUTE(SUBSTITUTE(SUBSTITUTE(SUBSTITUTE(SUBSTITUTE(SUBSTITUTE(SUBSTITUTE(BO615,"b","a"),"c","a"),"d","a"),"e","a"),"f","a"),"g","a"),"h","a"),"i","a"),"j","a"),"k","a"),"l","a"),"m","a"),"n","a"),"o","a"),"p","a"),"q","a"),"r","a"),"s","a"),"t","a"),"u","a"),"v","a"),"w","a"),"x","a"),"y","a"),"z","a")</f>
        <v/>
      </c>
      <c r="BQ615" s="61" t="n">
        <f aca="false">IFERROR(IF(AND(ISERROR(SEARCH(" mh"," "&amp;LOWER(W615))),ISNA(MATCH(LEFT(TRIM(BP615),255),{"0000a","000a","00a","0000aa","000aa","00aa","0aa","0000aaa","000aaa","00a00","0a00","0000-0000","00:00","a00","a0","00.00.0000","00/00/0000","00-00-0000","0000-00-00","0000/00/00","0000.00.00","00.00.00","00/00/00","00-00-00","0.00.0000","0/00/0000","0-00-0000"},0)),ISNA(MATCH(LEFT(TRIM(CA615),255),{"0000a","000a","00a","0000aa","000aa","00aa","0aa","0000aaa","000aaa","00a00","0a00","0000-0000","00:00","a00","a0","00.00.0000","00/00/0000","00-00-0000","0000-00-00","0000/00/00","0000.00.00","00.00.00","00/00/00","00-00-00","0.00.0000","0/00/0000","0-00-0000"},0)),LEN(CB615)&gt;=3,NOT(OR(SUBSTITUTE(CB615,"0","")="",AND(LEN(CB615)&gt;=4,CB615=REPT(LEFT(CB615),LEN(CB615))),ISNUMBER(MATCH(CB615,{"123","1234","12345","123456","1234567","12345678","0123","01234","012345","98765","987654","54321"},0)),AND(LEN(CB615)=8,LEFT(CB615,3)="202"))),OR(AND((LEN(CA615)-LEN(SUBSTITUTE(CA615,"a","")))&gt;=1,SUMPRODUCT(--ISNUMBER(SEARCH({"a0","a-0","a_0","a/0","a.0","a#0","0a","0-a","0_a","0/a"},BP615)))&gt;0),ISNUMBER(SEARCH("000000",BP615)))),1,0),0)</f>
        <v>0</v>
      </c>
      <c r="BR615" s="61" t="n">
        <f aca="false">IFERROR(LEN(SUBSTITUTE(CC615," ",""))-SUMPRODUCT((LEN(CC615)-LEN(SUBSTITUTE(CC615," "&amp;L_Role&amp;" "," ")))/(LEN(L_Role)+1)*LEN(L_Role)),0)</f>
        <v>0</v>
      </c>
      <c r="BS615" s="61" t="n">
        <f aca="false">IFERROR(LEN(SUBSTITUTE(CD615," ",""))-SUMPRODUCT((LEN(CD615)-LEN(SUBSTITUTE(CD615," "&amp;L_Role&amp;" "," ")))/(LEN(L_Role)+1)*LEN(L_Role)),0)</f>
        <v>0</v>
      </c>
      <c r="BT6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615,"revision",""),"version",""),"jan",""),"feb",""),"mar",""),"apr",""),"may",""),"jun",""),"jul",""),"aug",""),"sep",""),"oct",""),"nov",""),"dec",""),"utc",""),"gmt",""),"myt",""),"bst",""),"rev",""),"ver",""),"b","a"),"c","a"),"d","a"),"e","a"),"f","a"),"g","a"),"h","a"),"i","a"),"j","a"),"k","a"),"l","a"),"m","a"),"n","a"),"o","a"),"p","a"),"q","a"),"r","a"),"s","a"),"t","a"),"u","a"),"v","a"),"w","a"),"x","a"),"y","a"),"z","a")</f>
        <v/>
      </c>
      <c r="BU615" s="61" t="str">
        <f aca="false">SUBSTITUTE(SUBSTITUTE(SUBSTITUTE(SUBSTITUTE(SUBSTITUTE(SUBSTITUTE(SUBSTITUTE(SUBSTITUTE(SUBSTITUTE(SUBSTITUTE(LEFT(BM615,FIND("0",BM615&amp;"0")-1),"-",""),"_",""),"/",""),".",""),"#",""),"\\",""),":","")," ",""),"(",""),")","")</f>
        <v/>
      </c>
      <c r="BV615" s="61" t="n">
        <f aca="false">IFERROR(IF(OR(SUMPRODUCT((LEN(BC615)-LEN(SUBSTITUTE(BC615," "&amp;L_NotLoaded&amp;" "," ")))/(LEN(L_NotLoaded)+1))&gt;SUMPRODUCT((LEN(BC615)-LEN(SUBSTITUTE(BC615," "&amp;L_NotLoadedNeg&amp;" "," ")))/(LEN(L_NotLoadedNeg)+1)),SUMPRODUCT((LEN(BD615)-LEN(SUBSTITUTE(BD615," "&amp;L_NotLoaded&amp;" "," ")))/(LEN(L_NotLoaded)+1))&gt;SUMPRODUCT((LEN(BD615)-LEN(SUBSTITUTE(BD615," "&amp;L_NotLoadedNeg&amp;" "," ")))/(LEN(L_NotLoadedNeg)+1))),1,0),0)</f>
        <v>0</v>
      </c>
      <c r="BW6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615&amp;""),"a",""),"b",""),"c",""),"d",""),"e",""),"f",""),"g",""),"h",""),"i",""),"j",""),"k",""),"l",""),"m",""),"n",""),"o",""),"p",""),"q",""),"r",""),"s",""),"t",""),"u",""),"v",""),"w",""),"x",""),"y",""),"z",""),"-",""),"_",""),"/",""),".",""),"#",""),"\\",""),":","")," ",""),"(",""),")","")</f>
        <v/>
      </c>
      <c r="BX615" s="61" t="str">
        <f aca="false">SUBSTITUTE(SUBSTITUTE(SUBSTITUTE(SUBSTITUTE(SUBSTITUTE(SUBSTITUTE(SUBSTITUTE(SUBSTITUTE(SUBSTITUTE(SUBSTITUTE(SUBSTITUTE(BM615,"0",""),"-",""),"_",""),"/",""),".",""),"#",""),"\\",""),":","")," ",""),"(",""),")","")</f>
        <v/>
      </c>
      <c r="BY615" s="62" t="n">
        <f aca="false">IF(ISNUMBER(Flights!$AZ$22),MAX(Q615-UpliftWindowH/24,Flights!$AZ$22),Q615-UpliftWindowH/24)</f>
        <v>46322.3506944444</v>
      </c>
      <c r="BZ615" s="61" t="n">
        <f aca="false">IFERROR(IF(IF(TRIM(S615)="Link / file path",AND(LEN(TRIM(Z615))&gt;=5,SUMPRODUCT(--ISNUMBER(SEARCH({"http","www.","\\",":\",".pdf",".jpg",".jpeg",".png",".heic",".xls",".doc",".msg",".eml",".ppt",".txt",".zip"},Z615)))&gt;0),AND(ISERROR(FIND(" ",TRIM(Z615))),NOT(OR(SUMPRODUCT(--ISNUMBER(FIND({",",";","&amp;","+"},Z615)))&gt;0,SUMPRODUCT(--ISNUMBER(SEARCH({"0/aa","0\\aa"},BN615)))&gt;0)),NOT(SUMPRODUCT(--ISNUMBER(SEARCH({"http","www.","\\",":\",".pdf",".jpg",".jpeg",".png",".heic",".xls",".doc",".msg",".eml",".ppt",".txt",".zip"},Z615)))&gt;0),NOT(LOWER(TRIM(Z615))=LOWER(Flights!$F$22)),ISNA(MATCH(BU615,{"mh","rev","revision","ver","version","v","r","a","b","seat","tray","row","gate","bay","stand","page","pg","item","line","no","cart","galley","flight","flt","table","box","bag","oven","etd","eta","std","sta","atd","ata","qty","pax","x","time","tel","ph","mob","day","wk","week","utc","gmt","myt","lt"},0)),NOT(OR(ISNUMBER(MATCH(LEFT(BN615,255),{"0000a","000a","00a","0000aa","000aa","00aa","0aa","0000aaa","000aaa","00a00","0a00","0000-0000","00:00","a00","a0","00.00.0000","00/00/0000","00-00-0000","0000-00-00","0000/00/00","0000.00.00","00.00.00","00/00/00","00-00-00","0.00.0000","0/00/0000","0-00-0000"},0)),ISNUMBER(MATCH(LEFT(BT615,255),{"0000a","000a","00a","0000aa","000aa","00aa","0aa","0000aaa","000aaa","00a00","0a00","0000-0000","00:00","a00","a0","00.00.0000","00/00/0000","00-00-0000","0000-00-00","0000/00/00","0000.00.00","00.00.00","00/00/00","00-00-00","0.00.0000","0/00/0000","0-00-0000"},0)))),NOT(OR(AND(BW615&lt;&gt;"",SUBSTITUTE(BW615,"0","")=""),AND(LEN(BW615)&gt;=4,BW615=REPT(LEFT(BW615),LEN(BW615))),ISNUMBER(MATCH(BW615,{"123","1234","12345","123456","1234567","12345678","0123","01234","012345","98765","987654","54321"},0)),ISNUMBER(MATCH(BX615,{"x","xx","xxx","xxxx","xxxxx","abc","abcd","nil","na","nan","test","tbc","tba","tbd","dummy","sample","example","eg","zz","zzz","none","null","xyz","qwe","asd","id","ref"},0)),AND(LEN(BW615)=8,BX615="",OR(LEFT(BW615,3)="202",ISNUMBER(MATCH(RIGHT(BW615,4),{"2025","2026","2027"},0)))))),OR(AND((LEN(BT615)-LEN(SUBSTITUTE(BT615,"a","")))&gt;=1,(LEN(BN615)-LEN(SUBSTITUTE(BN615,"0","")))&gt;=2,SUMPRODUCT(--ISNUMBER(SEARCH({"a0","a-0","a_0","a/0","a.0","a#0","0a","0-a","0_a","0/a"},BN615)))&gt;0),AND((LEN(BN615)-LEN(SUBSTITUTE(BN615,"a","")))=0,(LEN(BN615)-LEN(SUBSTITUTE(BN615,"0","")))&gt;=5)))),1,0),0)</f>
        <v>0</v>
      </c>
      <c r="CA6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615,"revision",""),"version",""),"jan",""),"feb",""),"mar",""),"apr",""),"may",""),"jun",""),"jul",""),"aug",""),"sep",""),"oct",""),"nov",""),"dec",""),"utc",""),"gmt",""),"myt",""),"bst",""),"rev",""),"ver",""),"b","a"),"c","a"),"d","a"),"e","a"),"f","a"),"g","a"),"h","a"),"i","a"),"j","a"),"k","a"),"l","a"),"m","a"),"n","a"),"o","a"),"p","a"),"q","a"),"r","a"),"s","a"),"t","a"),"u","a"),"v","a"),"w","a"),"x","a"),"y","a"),"z","a")</f>
        <v/>
      </c>
      <c r="CB6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615&amp;""),"a",""),"b",""),"c",""),"d",""),"e",""),"f",""),"g",""),"h",""),"i",""),"j",""),"k",""),"l",""),"m",""),"n",""),"o",""),"p",""),"q",""),"r",""),"s",""),"t",""),"u",""),"v",""),"w",""),"x",""),"y",""),"z",""),"-",""),"_",""),"/",""),".",""),"#",""),"\\",""),":","")," ",""),"(",""),")","")</f>
        <v/>
      </c>
      <c r="CC615" s="0" t="str">
        <f aca="false">" "&amp;TRIM(SUBSTITUTE(SUBSTITUTE(SUBSTITUTE(SUBSTITUTE(SUBSTITUTE(SUBSTITUTE(SUBSTITUTE(SUBSTITUTE(SUBSTITUTE(SUBSTITUTE(SUBSTITUTE(SUBSTITUTE(SUBSTITUTE(SUBSTITUTE(SUBSTITUTE(SUBSTITUTE(SUBSTITUTE(SUBSTITUTE(SUBSTITUTE(SUBSTITUTE(SUBSTITUTE(SUBSTITUTE(SUBSTITUTE(SUBSTITUTE(LOWER(T615&amp;""),CHAR(10)," "),CHAR(13)," "),CHAR(9)," "),CHAR(160)," "),"."," "),","," "),"-"," "),"/"," "),"("," "),")"," "),":"," "),";"," "),"_"," "),"–"," "),"?"," "),"!"," "),"*"," "),"["," "),"]"," "),"'"," "),"#"," "),"+"," "),"&amp;"," "),"\"," "))&amp;" "</f>
        <v>  </v>
      </c>
      <c r="CD615" s="0" t="str">
        <f aca="false">" "&amp;TRIM(SUBSTITUTE(SUBSTITUTE(SUBSTITUTE(SUBSTITUTE(SUBSTITUTE(SUBSTITUTE(SUBSTITUTE(SUBSTITUTE(SUBSTITUTE(SUBSTITUTE(SUBSTITUTE(SUBSTITUTE(SUBSTITUTE(SUBSTITUTE(SUBSTITUTE(SUBSTITUTE(SUBSTITUTE(SUBSTITUTE(SUBSTITUTE(SUBSTITUTE(SUBSTITUTE(SUBSTITUTE(SUBSTITUTE(SUBSTITUTE(LOWER(AE615&amp;""),CHAR(10)," "),CHAR(13)," "),CHAR(9)," "),CHAR(160)," "),"."," "),","," "),"-"," "),"/"," "),"("," "),")"," "),":"," "),";"," "),"_"," "),"–"," "),"?"," "),"!"," "),"*"," "),"["," "),"]"," "),"'"," "),"#"," "),"+"," "),"&amp;"," "),"\"," "))&amp;" "</f>
        <v>  </v>
      </c>
      <c r="CE615" s="68" t="n">
        <f aca="false">IFERROR(IF(AND(LEN(AU615)&gt;0,LEN(AU615)=LEN(AX615),OR(TRIM(MID(SUBSTITUTE(TRIM(CC615)," ",REPT(" ",60)),1,60))="",ISNUMBER(SEARCH(" "&amp;TRIM(MID(SUBSTITUTE(TRIM(CC615)," ",REPT(" ",60)),1,60))&amp;" ",CD615))),OR(TRIM(MID(SUBSTITUTE(TRIM(CC615)," ",REPT(" ",60)),61,60))="",ISNUMBER(SEARCH(" "&amp;TRIM(MID(SUBSTITUTE(TRIM(CC615)," ",REPT(" ",60)),61,60))&amp;" ",CD615))),OR(TRIM(MID(SUBSTITUTE(TRIM(CC615)," ",REPT(" ",60)),121,60))="",ISNUMBER(SEARCH(" "&amp;TRIM(MID(SUBSTITUTE(TRIM(CC615)," ",REPT(" ",60)),121,60))&amp;" ",CD615)))),1,0),0)</f>
        <v>0</v>
      </c>
      <c r="CG615" s="68" t="n">
        <f aca="false">IFERROR(LEN(SUBSTITUTE(BF615," ",""))-SUMPRODUCT((LEN(BF615)-LEN(SUBSTITUTE(BF615," "&amp;L_NAFiller&amp;" "," ")))/(LEN(L_NAFiller)+1)*LEN(L_NAFiller)),0)</f>
        <v>0</v>
      </c>
    </row>
    <row r="616" customFormat="false" ht="39.75" hidden="false" customHeight="true" outlineLevel="0" collapsed="false">
      <c r="A616" s="57" t="s">
        <v>1325</v>
      </c>
      <c r="B616" s="57" t="s">
        <v>293</v>
      </c>
      <c r="C616" s="57" t="str">
        <f aca="false">Flights!$F$22</f>
        <v>MH0052</v>
      </c>
      <c r="D616" s="58" t="n">
        <f aca="false">Flights!$D$22</f>
        <v>46322</v>
      </c>
      <c r="E616" s="57" t="str">
        <f aca="false">Flights!$G$22&amp;"-"&amp;Flights!$H$22</f>
        <v>KUL-KIX</v>
      </c>
      <c r="F616" s="57" t="str">
        <f aca="false">Flights!$K$22</f>
        <v>BC</v>
      </c>
      <c r="G616" s="57" t="s">
        <v>459</v>
      </c>
      <c r="H616" s="57" t="s">
        <v>460</v>
      </c>
      <c r="I616" s="57" t="s">
        <v>447</v>
      </c>
      <c r="J616" s="57" t="s">
        <v>655</v>
      </c>
      <c r="K616" s="67" t="s">
        <v>449</v>
      </c>
      <c r="L616" s="67" t="s">
        <v>1306</v>
      </c>
      <c r="M616" s="67" t="s">
        <v>451</v>
      </c>
      <c r="N616" s="67" t="s">
        <v>383</v>
      </c>
      <c r="O616" s="67"/>
      <c r="P616" s="57" t="s">
        <v>187</v>
      </c>
      <c r="Q616" s="59" t="n">
        <f aca="false">ROUND((Flights!$AF$22)*1440,0)/1440</f>
        <v>46322.6006944444</v>
      </c>
      <c r="R616" s="59" t="n">
        <f aca="false">Q616+(IF(AND(INDEX(TZ_DSTS,MATCH(P616,TZ_STN,0))&lt;&gt;"",Q616&gt;=INDEX(TZ_DSTS,MATCH(P616,TZ_STN,0)),Q616&lt;INDEX(TZ_DSTE,MATCH(P616,TZ_STN,0))),INDEX(TZ_DST,MATCH(P616,TZ_STN,0)),INDEX(TZ_STD,MATCH(P616,TZ_STN,0))))/24</f>
        <v>46322.9340277778</v>
      </c>
      <c r="S616" s="60"/>
      <c r="T616" s="60"/>
      <c r="U616" s="60"/>
      <c r="V616" s="60"/>
      <c r="W616" s="61"/>
      <c r="X616" s="60"/>
      <c r="Y616" s="60"/>
      <c r="Z616" s="60"/>
      <c r="AA616" s="60"/>
      <c r="AB616" s="60"/>
      <c r="AC616" s="60"/>
      <c r="AD616" s="66"/>
      <c r="AE616" s="60"/>
      <c r="AF616" s="61" t="str">
        <f aca="false">IF(AND(ISNUMBER(X616),ISNUMBER(Y616)),Y616-X616,"")</f>
        <v/>
      </c>
      <c r="AG616" s="62" t="str">
        <f aca="false">IF(ISNUMBER(AD616),AD616-(IF(AND(INDEX(TZ_DSTS,MATCH(P616,TZ_STN,0))&lt;&gt;"",(AD616-INDEX(TZ_STD,MATCH(P616,TZ_STN,0))/24)&gt;=INDEX(TZ_DSTS,MATCH(P616,TZ_STN,0)),(AD616-INDEX(TZ_STD,MATCH(P616,TZ_STN,0))/24)&lt;INDEX(TZ_DSTE,MATCH(P616,TZ_STN,0))),INDEX(TZ_DST,MATCH(P616,TZ_STN,0)),INDEX(TZ_STD,MATCH(P616,TZ_STN,0))))/24,"")</f>
        <v/>
      </c>
      <c r="AH616" s="65" t="str">
        <f aca="false">IFERROR(IF(N616="N/A – rule",IF(OR(TRIM(U616)="",TRIM(U616)="N/A",TRIM(U616)="Not started"),"N/A – RULE","INVALID – this check does not apply to this aircraft: clear the status (or correct the fleet on Flights)"),IF(TRIM(U616)="N/A",IF(AT616=0,"INVALID – N/A not permitted for this check",IF(AND(TRIM(AB616)&lt;&gt;"",TRIM(AB616)&lt;&gt;"Closed"),"INVALID – corrective action still open",IF(AND(NOT(OR(LEN(AZ616)&lt;15,ISNUMBER(MATCH(AZ616,L_Placeholder,0)))),BK616=0,CG616&gt;=8,NOT(OR(LEN(AU616)&lt;2,ISNUMBER(MATCH(AU616,L_Placeholder,0)))),BR616&gt;=3,NOT(OR(LEN(AX616)&lt;2,ISNUMBER(MATCH(AX616,L_Placeholder,0)))),BS616&gt;=3,TRIM(AE616)&lt;&gt;TRIM(T616),AX616&lt;&gt;AU616,CE616=0),"N/A – JUSTIFIED","INVALID – N/A needs a real, settled reason (not 'not applicable' / 'as above' / TBC), a named PIC and a different named verifier"))),IF(OR(TRIM(U616)="Pass",TRIM(U616)="Pass after CA"),IF(NOT(ISNUMBER(AD616)),"INVALID – completion time missing",IF(OR(OR(LEN(AU616)&lt;2,ISNUMBER(MATCH(AU616,L_Placeholder,0))),BR616&lt;3),"INVALID – PIC missing or not a named person (a role such as QA / CSM is not a name)",IF(OR(LEN(AV616)&lt;2,ISNUMBER(MATCH(AV616,L_Placeholder,0))),"INVALID – result / assessment missing",IF(OR(OR(LEN(AW616)&lt;3,ISNUMBER(MATCH(AW616,L_Placeholder,0))),SUMPRODUCT(--ISNUMBER(SEARCH(" "&amp;L_EvidencePhrase&amp;" ",BD616)))&gt;0,BI616=1),"INVALID – evidence missing, placeholder or not yet on file",IF(ISNA(MATCH(TRIM(S616),L_EvidenceType,0)),"INVALID – choose the evidence type from the list (column S)",IF(BL616=0,"INVALID – evidence ID must be the record's own ID only (e.g. SF-2210, IMG_2231, 1045521); a link / file name needs type 'Link / file path'",IF(OR(OR(LEN(AX616)&lt;2,ISNUMBER(MATCH(AX616,L_Placeholder,0))),BS616&lt;3),"INVALID – verifier missing or not a named person (a role such as QA / CSM is not a name)",IF(OR(AX616=AU616,CE616=1,AND(LEN(AU616)&gt;=4,ISNUMBER(SEARCH(AU616,AX616))),AND(LEN(AX616)&gt;=4,ISNUMBER(SEARCH(AX616,AU616)))),"INVALID – verifier must be a different, named person (not the PIC or a role)",IF(BH616=1,"INVALID – result not yet available (awaiting / TBC)",IF(BG616=1,"INVALID – result describes a problem: record Fail, then Pass after CA (or reword if it is not a problem)",IF(BV616=1,"INVALID – wording says not on board: an on-board confirmation needs the item loaded",IF(AND(AQ616=1,OR(OR(LEN(AY616)&lt;3,ISNUMBER(MATCH(AY616,L_Placeholder,0))),BJ616=1,BQ616=0)),"INVALID – batch ID missing, placeholder or not an ID (e.g. PASB-261008-BC-017)",IF(AND(AR616=1,OR(NOT(ISNUMBER(X616)),NOT(ISNUMBER(Y616)))),"INVALID – expected/actual qty missing",IF(AND(AR616=1,OR(X616&lt;=0,Y616&lt;0)),"INVALID – expected qty must be above 0 and actual not negative",IF(AH601="N/A – JUSTIFIED","INVALID – preparation row F18-T12-18 is N/A",IF(AND(AR616=1,ISNUMBER(X601),X616&lt;&gt;X601,TRIM(U616)&lt;&gt;"Pass after CA"),"INVALID – expected qty differs from preparation check F18-T12-18: record the load change as a corrective action (Pass after CA)",IF(BB616&lt;&gt;"",BB616,IF(AND(AS616=1,Documents!$J$22&lt;&gt;"ON FILE"),"INVALID – GLD not on file (Documents sheet)",IF(AND(AS616=2,Documents!$O$22&lt;&gt;"ON FILE"),"INVALID – menu checklist not on file (Documents sheet)",IF(AND(AS616=3,NOT(ISNUMBER(Flights!$AX$22))),"INVALID – enter carrying flight KUL departure (Flights AX)",IF(AND(AS616=3,OR(Flights!$AZ$22&gt;Flights!$AA$22,Flights!$AX$22&lt;Flights!$AA$22-3)),"INVALID – carrying flight (Flights AX) cannot arrive before this leg's STD, or is over 3 days early",IF(AG616&gt;AsOfUTC,"INVALID – completion time is in the future",IF(AND(ISNUMBER(BY616),AG616&lt;BY616),IF(H616="Physical uplift","INVALID – before uplift window (cannot confirm loading)","INVALID – before valid window"),IF(AG616&gt;Flights!$AA$22,"INVALID – completed after departure (cannot establish readiness)",IF(AND(H616="Preparation",AG616&gt;=IF(ISNUMBER(Flights!$BA$22),MIN(Flights!$BA$22,Flights!$AA$22),Flights!$AA$22)),"INVALID – completed after loading / departure (cannot establish readiness)",IF(AND(H616="Physical uplift",AG616&gt;Q616),"INVALID – recorded after the loading flight departed",IF(AG616&gt;Q616,"COMPLETE – LATE","COMPLETE"))))))))))))))))))))))))))),IF(TRIM(U616)="Fail","FAIL – DISCREPANCY",IF(AND(TRIM(U616)&lt;&gt;"",TRIM(U616)&lt;&gt;"Not started",TRIM(U616)&lt;&gt;"In progress"),"INVALID – unrecognised status (use the list)",IF(AsOfUTC&gt;Q616,"OVERDUE",IF(N616="Clarification required","OPEN – CLARIFICATION","OPEN"))))))),"INVALID – error value in an input cell")</f>
        <v>OPEN</v>
      </c>
      <c r="AI616" s="61" t="n">
        <f aca="false">IF(OR(AH616="N/A – RULE",AH616="N/A – JUSTIFIED"),0,1)</f>
        <v>1</v>
      </c>
      <c r="AJ616" s="61" t="n">
        <f aca="false">IF(LEFT(AH616,8)="COMPLETE",1,0)</f>
        <v>0</v>
      </c>
      <c r="AK616" s="61" t="n">
        <f aca="false">IF(AND(AI616=1,AJ616=0,AsOfUTC&gt;Q616),1,0)</f>
        <v>0</v>
      </c>
      <c r="AL616" s="61" t="n">
        <f aca="false">IFERROR(IF(AND(AI616=1,OR(TRIM(U616)="Fail",AND(TRIM(AB616)&lt;&gt;"",TRIM(AB616)&lt;&gt;"Closed"),AND(ISNUMBER(AF616),AF616&lt;&gt;0,TRIM(U616)&lt;&gt;"Pass after CA"))),1,0),1)</f>
        <v>0</v>
      </c>
      <c r="AM616" s="61" t="n">
        <f aca="false">IF(LEFT(AH616,7)="INVALID",1,0)</f>
        <v>0</v>
      </c>
      <c r="AN616" s="61" t="n">
        <f aca="false">IF(AND(N616="Clarification required",AI616=1,AJ616=0),1,0)</f>
        <v>0</v>
      </c>
      <c r="AO616" s="61" t="str">
        <f aca="false">IF(AK616=1,SUM(AK$5:AK616),"")</f>
        <v/>
      </c>
      <c r="AP616" s="61" t="str">
        <f aca="false">IF(AL616=1,SUM(AL$5:AL616),"")</f>
        <v/>
      </c>
      <c r="AQ616" s="61" t="n">
        <v>0</v>
      </c>
      <c r="AR616" s="61" t="n">
        <v>0</v>
      </c>
      <c r="AS616" s="61" t="n">
        <v>0</v>
      </c>
      <c r="AT616" s="61" t="n">
        <v>0</v>
      </c>
      <c r="AU616" s="61" t="str">
        <f aca="false">SUBSTITUTE(SUBSTITUTE(SUBSTITUTE(SUBSTITUTE(SUBSTITUTE(SUBSTITUTE(SUBSTITUTE(SUBSTITUTE(SUBSTITUTE(SUBSTITUTE(SUBSTITUTE(SUBSTITUTE(SUBSTITUTE(SUBSTITUTE(SUBSTITUTE(SUBSTITUTE(LOWER(T616&amp;""),CHAR(10),""),CHAR(13),""),CHAR(9),""),CHAR(160),"")," ",""),".",""),"-",""),"/",""),"?",""),"_",""),",",""),"[",""),"]",""),"(",""),")",""),"*","")</f>
        <v/>
      </c>
      <c r="AV616" s="61" t="str">
        <f aca="false">SUBSTITUTE(SUBSTITUTE(SUBSTITUTE(SUBSTITUTE(SUBSTITUTE(SUBSTITUTE(SUBSTITUTE(SUBSTITUTE(SUBSTITUTE(SUBSTITUTE(SUBSTITUTE(SUBSTITUTE(SUBSTITUTE(SUBSTITUTE(SUBSTITUTE(SUBSTITUTE(LOWER(V616&amp;""),CHAR(10),""),CHAR(13),""),CHAR(9),""),CHAR(160),"")," ",""),".",""),"-",""),"/",""),"?",""),"_",""),",",""),"[",""),"]",""),"(",""),")",""),"*","")</f>
        <v/>
      </c>
      <c r="AW616" s="61" t="str">
        <f aca="false">SUBSTITUTE(SUBSTITUTE(SUBSTITUTE(SUBSTITUTE(SUBSTITUTE(SUBSTITUTE(SUBSTITUTE(SUBSTITUTE(SUBSTITUTE(SUBSTITUTE(SUBSTITUTE(SUBSTITUTE(SUBSTITUTE(SUBSTITUTE(SUBSTITUTE(SUBSTITUTE(LOWER(Z616&amp;""),CHAR(10),""),CHAR(13),""),CHAR(9),""),CHAR(160),"")," ",""),".",""),"-",""),"/",""),"?",""),"_",""),",",""),"[",""),"]",""),"(",""),")",""),"*","")</f>
        <v/>
      </c>
      <c r="AX616" s="61" t="str">
        <f aca="false">SUBSTITUTE(SUBSTITUTE(SUBSTITUTE(SUBSTITUTE(SUBSTITUTE(SUBSTITUTE(SUBSTITUTE(SUBSTITUTE(SUBSTITUTE(SUBSTITUTE(SUBSTITUTE(SUBSTITUTE(SUBSTITUTE(SUBSTITUTE(SUBSTITUTE(SUBSTITUTE(LOWER(AE616&amp;""),CHAR(10),""),CHAR(13),""),CHAR(9),""),CHAR(160),"")," ",""),".",""),"-",""),"/",""),"?",""),"_",""),",",""),"[",""),"]",""),"(",""),")",""),"*","")</f>
        <v/>
      </c>
      <c r="AY616" s="61" t="str">
        <f aca="false">SUBSTITUTE(SUBSTITUTE(SUBSTITUTE(SUBSTITUTE(SUBSTITUTE(SUBSTITUTE(SUBSTITUTE(SUBSTITUTE(SUBSTITUTE(SUBSTITUTE(SUBSTITUTE(SUBSTITUTE(SUBSTITUTE(SUBSTITUTE(SUBSTITUTE(SUBSTITUTE(LOWER(W616&amp;""),CHAR(10),""),CHAR(13),""),CHAR(9),""),CHAR(160),"")," ",""),".",""),"-",""),"/",""),"?",""),"_",""),",",""),"[",""),"]",""),"(",""),")",""),"*","")</f>
        <v/>
      </c>
      <c r="AZ616" s="61" t="str">
        <f aca="false">SUBSTITUTE(SUBSTITUTE(SUBSTITUTE(SUBSTITUTE(SUBSTITUTE(SUBSTITUTE(SUBSTITUTE(SUBSTITUTE(SUBSTITUTE(SUBSTITUTE(SUBSTITUTE(SUBSTITUTE(SUBSTITUTE(SUBSTITUTE(SUBSTITUTE(SUBSTITUTE(LOWER(AC616&amp;""),CHAR(10),""),CHAR(13),""),CHAR(9),""),CHAR(160),"")," ",""),".",""),"-",""),"/",""),"?",""),"_",""),",",""),"[",""),"]",""),"(",""),")",""),"*","")</f>
        <v/>
      </c>
      <c r="BA616" s="61" t="str">
        <f aca="false">SUBSTITUTE(SUBSTITUTE(SUBSTITUTE(SUBSTITUTE(SUBSTITUTE(SUBSTITUTE(SUBSTITUTE(SUBSTITUTE(SUBSTITUTE(SUBSTITUTE(SUBSTITUTE(SUBSTITUTE(SUBSTITUTE(SUBSTITUTE(SUBSTITUTE(SUBSTITUTE(LOWER(AA616&amp;""),CHAR(10),""),CHAR(13),""),CHAR(9),""),CHAR(160),"")," ",""),".",""),"-",""),"/",""),"?",""),"_",""),",",""),"[",""),"]",""),"(",""),")",""),"*","")</f>
        <v/>
      </c>
      <c r="BB616" s="61" t="str">
        <f aca="false">IF(AND(TRIM(U616)="Pass",ISNUMBER(AF616)),IF(AF616&lt;&gt;0,"INVALID – qty variance: use Fail or Pass after CA",""),"")&amp;IF(AND(TRIM(U616)="Pass after CA",ISNUMBER(AF616)),IF(AF616&lt;&gt;0,"INVALID – after the corrective action the actual qty must equal expected (update Actual)",""),"")&amp;IF(AND(TRIM(U616)="Pass",TRIM(AB616)&lt;&gt;"",TRIM(AB616)&lt;&gt;"Closed"),"INVALID – corrective action not closed: use Fail, then Pass after CA","")&amp;IF(AND(LEN(BA616)&gt;=2,ISNA(MATCH(LEFT(BA616,255),L_Placeholder,0)),TRIM(AB616)=""),"INVALID – CA status missing for the recorded corrective action","")&amp;IF(AND(TRIM(U616)="Pass after CA",OR(OR(LEN(BA616)&lt;5,ISNUMBER(MATCH(BA616,L_Placeholder,0))),TRIM(AB616)&lt;&gt;"Closed")),"INVALID – corrective action not recorded/closed","")</f>
        <v/>
      </c>
      <c r="BC616" s="61" t="str">
        <f aca="false">" "&amp;TRIM(SUBSTITUTE(SUBSTITUTE(SUBSTITUTE(SUBSTITUTE(SUBSTITUTE(SUBSTITUTE(SUBSTITUTE(SUBSTITUTE(SUBSTITUTE(SUBSTITUTE(SUBSTITUTE(SUBSTITUTE(SUBSTITUTE(SUBSTITUTE(SUBSTITUTE(SUBSTITUTE(SUBSTITUTE(SUBSTITUTE(SUBSTITUTE(SUBSTITUTE(SUBSTITUTE(SUBSTITUTE(SUBSTITUTE(SUBSTITUTE(LOWER(V616&amp;""),CHAR(10)," "),CHAR(13)," "),CHAR(9)," "),CHAR(160)," "),"."," "),","," "),"-"," "),"/"," "),"("," "),")"," "),":"," "),";"," "),"_"," "),"–"," "),"?"," "),"!"," "),"*"," "),"["," "),"]"," "),"'"," "),"#"," "),"+"," "),"&amp;"," "),"\"," "))&amp;" "</f>
        <v>  </v>
      </c>
      <c r="BD616" s="61" t="str">
        <f aca="false">" "&amp;TRIM(SUBSTITUTE(SUBSTITUTE(SUBSTITUTE(SUBSTITUTE(SUBSTITUTE(SUBSTITUTE(SUBSTITUTE(SUBSTITUTE(SUBSTITUTE(SUBSTITUTE(SUBSTITUTE(SUBSTITUTE(SUBSTITUTE(SUBSTITUTE(SUBSTITUTE(SUBSTITUTE(SUBSTITUTE(SUBSTITUTE(SUBSTITUTE(SUBSTITUTE(SUBSTITUTE(SUBSTITUTE(SUBSTITUTE(SUBSTITUTE(LOWER(Z616&amp;""),CHAR(10)," "),CHAR(13)," "),CHAR(9)," "),CHAR(160)," "),"."," "),","," "),"-"," "),"/"," "),"("," "),")"," "),":"," "),";"," "),"_"," "),"–"," "),"?"," "),"!"," "),"*"," "),"["," "),"]"," "),"'"," "),"#"," "),"+"," "),"&amp;"," "),"\"," "))&amp;" "</f>
        <v>  </v>
      </c>
      <c r="BE616" s="61" t="str">
        <f aca="false">" "&amp;TRIM(SUBSTITUTE(SUBSTITUTE(SUBSTITUTE(SUBSTITUTE(SUBSTITUTE(SUBSTITUTE(SUBSTITUTE(SUBSTITUTE(SUBSTITUTE(SUBSTITUTE(SUBSTITUTE(SUBSTITUTE(SUBSTITUTE(SUBSTITUTE(SUBSTITUTE(SUBSTITUTE(SUBSTITUTE(SUBSTITUTE(SUBSTITUTE(SUBSTITUTE(SUBSTITUTE(SUBSTITUTE(SUBSTITUTE(SUBSTITUTE(LOWER(W616&amp;""),CHAR(10)," "),CHAR(13)," "),CHAR(9)," "),CHAR(160)," "),"."," "),","," "),"-"," "),"/"," "),"("," "),")"," "),":"," "),";"," "),"_"," "),"–"," "),"?"," "),"!"," "),"*"," "),"["," "),"]"," "),"'"," "),"#"," "),"+"," "),"&amp;"," "),"\"," "))&amp;" "</f>
        <v>  </v>
      </c>
      <c r="BF616" s="61" t="str">
        <f aca="false">" "&amp;TRIM(SUBSTITUTE(SUBSTITUTE(SUBSTITUTE(SUBSTITUTE(SUBSTITUTE(SUBSTITUTE(SUBSTITUTE(SUBSTITUTE(SUBSTITUTE(SUBSTITUTE(SUBSTITUTE(SUBSTITUTE(SUBSTITUTE(SUBSTITUTE(SUBSTITUTE(SUBSTITUTE(SUBSTITUTE(SUBSTITUTE(SUBSTITUTE(SUBSTITUTE(SUBSTITUTE(SUBSTITUTE(SUBSTITUTE(SUBSTITUTE(LOWER(AC616&amp;""),CHAR(10)," "),CHAR(13)," "),CHAR(9)," "),CHAR(160)," "),"."," "),","," "),"-"," "),"/"," "),"("," "),")"," "),":"," "),";"," "),"_"," "),"–"," "),"?"," "),"!"," "),"*"," "),"["," "),"]"," "),"'"," "),"#"," "),"+"," "),"&amp;"," "),"\"," "))&amp;" "</f>
        <v>  </v>
      </c>
      <c r="BG616" s="61" t="n">
        <f aca="false">IFERROR(IF(AND(TRIM(U616)="Pass",SUMPRODUCT((LEN(BC616)-LEN(SUBSTITUTE(BC616," "&amp;L_ResultBad&amp;" "," ")))/(LEN(L_ResultBad)+1))&gt;SUMPRODUCT((LEN(BC616)-LEN(SUBSTITUTE(BC616," "&amp;L_NegPhrase&amp;" "," ")))/(LEN(L_NegPhrase)+1))),1,0),0)</f>
        <v>0</v>
      </c>
      <c r="BH616" s="61" t="n">
        <f aca="false">IFERROR(IF(SUMPRODUCT((LEN(BC616)-LEN(SUBSTITUTE(BC616," "&amp;L_Pending&amp;" "," ")))/(LEN(L_Pending)+1))&gt;SUMPRODUCT((LEN(BC616)-LEN(SUBSTITUTE(BC616," "&amp;L_PendNeg&amp;" "," ")))/(LEN(L_PendNeg)+1)),1,0),1)</f>
        <v>0</v>
      </c>
      <c r="BI616" s="61" t="n">
        <f aca="false">IFERROR(IF(SUMPRODUCT((LEN(BD616)-LEN(SUBSTITUTE(BD616," "&amp;L_PendStrict&amp;" "," ")))/(LEN(L_PendStrict)+1))&gt;SUMPRODUCT((LEN(BD616)-LEN(SUBSTITUTE(BD616," "&amp;L_PendNeg&amp;" "," ")))/(LEN(L_PendNeg)+1)),1,0),1)</f>
        <v>0</v>
      </c>
      <c r="BJ616" s="61" t="n">
        <f aca="false">IFERROR(IF(SUMPRODUCT((LEN(BE616)-LEN(SUBSTITUTE(BE616," "&amp;L_Pending&amp;" "," ")))/(LEN(L_Pending)+1))&gt;SUMPRODUCT((LEN(BE616)-LEN(SUBSTITUTE(BE616," "&amp;L_PendNeg&amp;" "," ")))/(LEN(L_PendNeg)+1)),1,0),1)</f>
        <v>0</v>
      </c>
      <c r="BK616" s="61" t="n">
        <f aca="false">IFERROR(IF(SUMPRODUCT((LEN(BF616)-LEN(SUBSTITUTE(BF616," "&amp;L_PendStrict&amp;" "," ")))/(LEN(L_PendStrict)+1))&gt;SUMPRODUCT((LEN(BF616)-LEN(SUBSTITUTE(BF616," "&amp;L_PendNeg&amp;" "," ")))/(LEN(L_PendNeg)+1)),1,0),1)</f>
        <v>0</v>
      </c>
      <c r="BL616" s="61" t="n">
        <f aca="false">IF(ISNA(MATCH(TRIM(S616),L_EvidenceType,0)),0,BZ616)</f>
        <v>0</v>
      </c>
      <c r="BM616" s="61" t="str">
        <f aca="false">SUBSTITUTE(SUBSTITUTE(SUBSTITUTE(SUBSTITUTE(SUBSTITUTE(SUBSTITUTE(SUBSTITUTE(SUBSTITUTE(SUBSTITUTE(LOWER(Z616&amp;""),"1","0"),"2","0"),"3","0"),"4","0"),"5","0"),"6","0"),"7","0"),"8","0"),"9","0")</f>
        <v/>
      </c>
      <c r="BN616" s="61" t="str">
        <f aca="false">SUBSTITUTE(SUBSTITUTE(SUBSTITUTE(SUBSTITUTE(SUBSTITUTE(SUBSTITUTE(SUBSTITUTE(SUBSTITUTE(SUBSTITUTE(SUBSTITUTE(SUBSTITUTE(SUBSTITUTE(SUBSTITUTE(SUBSTITUTE(SUBSTITUTE(SUBSTITUTE(SUBSTITUTE(SUBSTITUTE(SUBSTITUTE(SUBSTITUTE(SUBSTITUTE(SUBSTITUTE(SUBSTITUTE(SUBSTITUTE(SUBSTITUTE(BM616,"b","a"),"c","a"),"d","a"),"e","a"),"f","a"),"g","a"),"h","a"),"i","a"),"j","a"),"k","a"),"l","a"),"m","a"),"n","a"),"o","a"),"p","a"),"q","a"),"r","a"),"s","a"),"t","a"),"u","a"),"v","a"),"w","a"),"x","a"),"y","a"),"z","a")</f>
        <v/>
      </c>
      <c r="BO616" s="61" t="str">
        <f aca="false">SUBSTITUTE(SUBSTITUTE(SUBSTITUTE(SUBSTITUTE(SUBSTITUTE(SUBSTITUTE(SUBSTITUTE(SUBSTITUTE(SUBSTITUTE(LOWER(W616&amp;""),"1","0"),"2","0"),"3","0"),"4","0"),"5","0"),"6","0"),"7","0"),"8","0"),"9","0")</f>
        <v/>
      </c>
      <c r="BP616" s="61" t="str">
        <f aca="false">SUBSTITUTE(SUBSTITUTE(SUBSTITUTE(SUBSTITUTE(SUBSTITUTE(SUBSTITUTE(SUBSTITUTE(SUBSTITUTE(SUBSTITUTE(SUBSTITUTE(SUBSTITUTE(SUBSTITUTE(SUBSTITUTE(SUBSTITUTE(SUBSTITUTE(SUBSTITUTE(SUBSTITUTE(SUBSTITUTE(SUBSTITUTE(SUBSTITUTE(SUBSTITUTE(SUBSTITUTE(SUBSTITUTE(SUBSTITUTE(SUBSTITUTE(BO616,"b","a"),"c","a"),"d","a"),"e","a"),"f","a"),"g","a"),"h","a"),"i","a"),"j","a"),"k","a"),"l","a"),"m","a"),"n","a"),"o","a"),"p","a"),"q","a"),"r","a"),"s","a"),"t","a"),"u","a"),"v","a"),"w","a"),"x","a"),"y","a"),"z","a")</f>
        <v/>
      </c>
      <c r="BQ616" s="61" t="n">
        <f aca="false">IFERROR(IF(AND(ISERROR(SEARCH(" mh"," "&amp;LOWER(W616))),ISNA(MATCH(LEFT(TRIM(BP616),255),{"0000a","000a","00a","0000aa","000aa","00aa","0aa","0000aaa","000aaa","00a00","0a00","0000-0000","00:00","a00","a0","00.00.0000","00/00/0000","00-00-0000","0000-00-00","0000/00/00","0000.00.00","00.00.00","00/00/00","00-00-00","0.00.0000","0/00/0000","0-00-0000"},0)),ISNA(MATCH(LEFT(TRIM(CA616),255),{"0000a","000a","00a","0000aa","000aa","00aa","0aa","0000aaa","000aaa","00a00","0a00","0000-0000","00:00","a00","a0","00.00.0000","00/00/0000","00-00-0000","0000-00-00","0000/00/00","0000.00.00","00.00.00","00/00/00","00-00-00","0.00.0000","0/00/0000","0-00-0000"},0)),LEN(CB616)&gt;=3,NOT(OR(SUBSTITUTE(CB616,"0","")="",AND(LEN(CB616)&gt;=4,CB616=REPT(LEFT(CB616),LEN(CB616))),ISNUMBER(MATCH(CB616,{"123","1234","12345","123456","1234567","12345678","0123","01234","012345","98765","987654","54321"},0)),AND(LEN(CB616)=8,LEFT(CB616,3)="202"))),OR(AND((LEN(CA616)-LEN(SUBSTITUTE(CA616,"a","")))&gt;=1,SUMPRODUCT(--ISNUMBER(SEARCH({"a0","a-0","a_0","a/0","a.0","a#0","0a","0-a","0_a","0/a"},BP616)))&gt;0),ISNUMBER(SEARCH("000000",BP616)))),1,0),0)</f>
        <v>0</v>
      </c>
      <c r="BR616" s="61" t="n">
        <f aca="false">IFERROR(LEN(SUBSTITUTE(CC616," ",""))-SUMPRODUCT((LEN(CC616)-LEN(SUBSTITUTE(CC616," "&amp;L_Role&amp;" "," ")))/(LEN(L_Role)+1)*LEN(L_Role)),0)</f>
        <v>0</v>
      </c>
      <c r="BS616" s="61" t="n">
        <f aca="false">IFERROR(LEN(SUBSTITUTE(CD616," ",""))-SUMPRODUCT((LEN(CD616)-LEN(SUBSTITUTE(CD616," "&amp;L_Role&amp;" "," ")))/(LEN(L_Role)+1)*LEN(L_Role)),0)</f>
        <v>0</v>
      </c>
      <c r="BT6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616,"revision",""),"version",""),"jan",""),"feb",""),"mar",""),"apr",""),"may",""),"jun",""),"jul",""),"aug",""),"sep",""),"oct",""),"nov",""),"dec",""),"utc",""),"gmt",""),"myt",""),"bst",""),"rev",""),"ver",""),"b","a"),"c","a"),"d","a"),"e","a"),"f","a"),"g","a"),"h","a"),"i","a"),"j","a"),"k","a"),"l","a"),"m","a"),"n","a"),"o","a"),"p","a"),"q","a"),"r","a"),"s","a"),"t","a"),"u","a"),"v","a"),"w","a"),"x","a"),"y","a"),"z","a")</f>
        <v/>
      </c>
      <c r="BU616" s="61" t="str">
        <f aca="false">SUBSTITUTE(SUBSTITUTE(SUBSTITUTE(SUBSTITUTE(SUBSTITUTE(SUBSTITUTE(SUBSTITUTE(SUBSTITUTE(SUBSTITUTE(SUBSTITUTE(LEFT(BM616,FIND("0",BM616&amp;"0")-1),"-",""),"_",""),"/",""),".",""),"#",""),"\\",""),":","")," ",""),"(",""),")","")</f>
        <v/>
      </c>
      <c r="BV616" s="61" t="n">
        <f aca="false">IFERROR(IF(OR(SUMPRODUCT((LEN(BC616)-LEN(SUBSTITUTE(BC616," "&amp;L_NotLoaded&amp;" "," ")))/(LEN(L_NotLoaded)+1))&gt;SUMPRODUCT((LEN(BC616)-LEN(SUBSTITUTE(BC616," "&amp;L_NotLoadedNeg&amp;" "," ")))/(LEN(L_NotLoadedNeg)+1)),SUMPRODUCT((LEN(BD616)-LEN(SUBSTITUTE(BD616," "&amp;L_NotLoaded&amp;" "," ")))/(LEN(L_NotLoaded)+1))&gt;SUMPRODUCT((LEN(BD616)-LEN(SUBSTITUTE(BD616," "&amp;L_NotLoadedNeg&amp;" "," ")))/(LEN(L_NotLoadedNeg)+1))),1,0),0)</f>
        <v>0</v>
      </c>
      <c r="BW6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616&amp;""),"a",""),"b",""),"c",""),"d",""),"e",""),"f",""),"g",""),"h",""),"i",""),"j",""),"k",""),"l",""),"m",""),"n",""),"o",""),"p",""),"q",""),"r",""),"s",""),"t",""),"u",""),"v",""),"w",""),"x",""),"y",""),"z",""),"-",""),"_",""),"/",""),".",""),"#",""),"\\",""),":","")," ",""),"(",""),")","")</f>
        <v/>
      </c>
      <c r="BX616" s="61" t="str">
        <f aca="false">SUBSTITUTE(SUBSTITUTE(SUBSTITUTE(SUBSTITUTE(SUBSTITUTE(SUBSTITUTE(SUBSTITUTE(SUBSTITUTE(SUBSTITUTE(SUBSTITUTE(SUBSTITUTE(BM616,"0",""),"-",""),"_",""),"/",""),".",""),"#",""),"\\",""),":","")," ",""),"(",""),")","")</f>
        <v/>
      </c>
      <c r="BY616" s="62" t="n">
        <f aca="false">IF(ISNUMBER(Flights!$AZ$22),MAX(Q616-UpliftWindowH/24,Flights!$AZ$22),Q616-UpliftWindowH/24)</f>
        <v>46322.3506944444</v>
      </c>
      <c r="BZ616" s="61" t="n">
        <f aca="false">IFERROR(IF(IF(TRIM(S616)="Link / file path",AND(LEN(TRIM(Z616))&gt;=5,SUMPRODUCT(--ISNUMBER(SEARCH({"http","www.","\\",":\",".pdf",".jpg",".jpeg",".png",".heic",".xls",".doc",".msg",".eml",".ppt",".txt",".zip"},Z616)))&gt;0),AND(ISERROR(FIND(" ",TRIM(Z616))),NOT(OR(SUMPRODUCT(--ISNUMBER(FIND({",",";","&amp;","+"},Z616)))&gt;0,SUMPRODUCT(--ISNUMBER(SEARCH({"0/aa","0\\aa"},BN616)))&gt;0)),NOT(SUMPRODUCT(--ISNUMBER(SEARCH({"http","www.","\\",":\",".pdf",".jpg",".jpeg",".png",".heic",".xls",".doc",".msg",".eml",".ppt",".txt",".zip"},Z616)))&gt;0),NOT(LOWER(TRIM(Z616))=LOWER(Flights!$F$22)),ISNA(MATCH(BU616,{"mh","rev","revision","ver","version","v","r","a","b","seat","tray","row","gate","bay","stand","page","pg","item","line","no","cart","galley","flight","flt","table","box","bag","oven","etd","eta","std","sta","atd","ata","qty","pax","x","time","tel","ph","mob","day","wk","week","utc","gmt","myt","lt"},0)),NOT(OR(ISNUMBER(MATCH(LEFT(BN616,255),{"0000a","000a","00a","0000aa","000aa","00aa","0aa","0000aaa","000aaa","00a00","0a00","0000-0000","00:00","a00","a0","00.00.0000","00/00/0000","00-00-0000","0000-00-00","0000/00/00","0000.00.00","00.00.00","00/00/00","00-00-00","0.00.0000","0/00/0000","0-00-0000"},0)),ISNUMBER(MATCH(LEFT(BT616,255),{"0000a","000a","00a","0000aa","000aa","00aa","0aa","0000aaa","000aaa","00a00","0a00","0000-0000","00:00","a00","a0","00.00.0000","00/00/0000","00-00-0000","0000-00-00","0000/00/00","0000.00.00","00.00.00","00/00/00","00-00-00","0.00.0000","0/00/0000","0-00-0000"},0)))),NOT(OR(AND(BW616&lt;&gt;"",SUBSTITUTE(BW616,"0","")=""),AND(LEN(BW616)&gt;=4,BW616=REPT(LEFT(BW616),LEN(BW616))),ISNUMBER(MATCH(BW616,{"123","1234","12345","123456","1234567","12345678","0123","01234","012345","98765","987654","54321"},0)),ISNUMBER(MATCH(BX616,{"x","xx","xxx","xxxx","xxxxx","abc","abcd","nil","na","nan","test","tbc","tba","tbd","dummy","sample","example","eg","zz","zzz","none","null","xyz","qwe","asd","id","ref"},0)),AND(LEN(BW616)=8,BX616="",OR(LEFT(BW616,3)="202",ISNUMBER(MATCH(RIGHT(BW616,4),{"2025","2026","2027"},0)))))),OR(AND((LEN(BT616)-LEN(SUBSTITUTE(BT616,"a","")))&gt;=1,(LEN(BN616)-LEN(SUBSTITUTE(BN616,"0","")))&gt;=2,SUMPRODUCT(--ISNUMBER(SEARCH({"a0","a-0","a_0","a/0","a.0","a#0","0a","0-a","0_a","0/a"},BN616)))&gt;0),AND((LEN(BN616)-LEN(SUBSTITUTE(BN616,"a","")))=0,(LEN(BN616)-LEN(SUBSTITUTE(BN616,"0","")))&gt;=5)))),1,0),0)</f>
        <v>0</v>
      </c>
      <c r="CA6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616,"revision",""),"version",""),"jan",""),"feb",""),"mar",""),"apr",""),"may",""),"jun",""),"jul",""),"aug",""),"sep",""),"oct",""),"nov",""),"dec",""),"utc",""),"gmt",""),"myt",""),"bst",""),"rev",""),"ver",""),"b","a"),"c","a"),"d","a"),"e","a"),"f","a"),"g","a"),"h","a"),"i","a"),"j","a"),"k","a"),"l","a"),"m","a"),"n","a"),"o","a"),"p","a"),"q","a"),"r","a"),"s","a"),"t","a"),"u","a"),"v","a"),"w","a"),"x","a"),"y","a"),"z","a")</f>
        <v/>
      </c>
      <c r="CB6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616&amp;""),"a",""),"b",""),"c",""),"d",""),"e",""),"f",""),"g",""),"h",""),"i",""),"j",""),"k",""),"l",""),"m",""),"n",""),"o",""),"p",""),"q",""),"r",""),"s",""),"t",""),"u",""),"v",""),"w",""),"x",""),"y",""),"z",""),"-",""),"_",""),"/",""),".",""),"#",""),"\\",""),":","")," ",""),"(",""),")","")</f>
        <v/>
      </c>
      <c r="CC616" s="0" t="str">
        <f aca="false">" "&amp;TRIM(SUBSTITUTE(SUBSTITUTE(SUBSTITUTE(SUBSTITUTE(SUBSTITUTE(SUBSTITUTE(SUBSTITUTE(SUBSTITUTE(SUBSTITUTE(SUBSTITUTE(SUBSTITUTE(SUBSTITUTE(SUBSTITUTE(SUBSTITUTE(SUBSTITUTE(SUBSTITUTE(SUBSTITUTE(SUBSTITUTE(SUBSTITUTE(SUBSTITUTE(SUBSTITUTE(SUBSTITUTE(SUBSTITUTE(SUBSTITUTE(LOWER(T616&amp;""),CHAR(10)," "),CHAR(13)," "),CHAR(9)," "),CHAR(160)," "),"."," "),","," "),"-"," "),"/"," "),"("," "),")"," "),":"," "),";"," "),"_"," "),"–"," "),"?"," "),"!"," "),"*"," "),"["," "),"]"," "),"'"," "),"#"," "),"+"," "),"&amp;"," "),"\"," "))&amp;" "</f>
        <v>  </v>
      </c>
      <c r="CD616" s="0" t="str">
        <f aca="false">" "&amp;TRIM(SUBSTITUTE(SUBSTITUTE(SUBSTITUTE(SUBSTITUTE(SUBSTITUTE(SUBSTITUTE(SUBSTITUTE(SUBSTITUTE(SUBSTITUTE(SUBSTITUTE(SUBSTITUTE(SUBSTITUTE(SUBSTITUTE(SUBSTITUTE(SUBSTITUTE(SUBSTITUTE(SUBSTITUTE(SUBSTITUTE(SUBSTITUTE(SUBSTITUTE(SUBSTITUTE(SUBSTITUTE(SUBSTITUTE(SUBSTITUTE(LOWER(AE616&amp;""),CHAR(10)," "),CHAR(13)," "),CHAR(9)," "),CHAR(160)," "),"."," "),","," "),"-"," "),"/"," "),"("," "),")"," "),":"," "),";"," "),"_"," "),"–"," "),"?"," "),"!"," "),"*"," "),"["," "),"]"," "),"'"," "),"#"," "),"+"," "),"&amp;"," "),"\"," "))&amp;" "</f>
        <v>  </v>
      </c>
      <c r="CE616" s="68" t="n">
        <f aca="false">IFERROR(IF(AND(LEN(AU616)&gt;0,LEN(AU616)=LEN(AX616),OR(TRIM(MID(SUBSTITUTE(TRIM(CC616)," ",REPT(" ",60)),1,60))="",ISNUMBER(SEARCH(" "&amp;TRIM(MID(SUBSTITUTE(TRIM(CC616)," ",REPT(" ",60)),1,60))&amp;" ",CD616))),OR(TRIM(MID(SUBSTITUTE(TRIM(CC616)," ",REPT(" ",60)),61,60))="",ISNUMBER(SEARCH(" "&amp;TRIM(MID(SUBSTITUTE(TRIM(CC616)," ",REPT(" ",60)),61,60))&amp;" ",CD616))),OR(TRIM(MID(SUBSTITUTE(TRIM(CC616)," ",REPT(" ",60)),121,60))="",ISNUMBER(SEARCH(" "&amp;TRIM(MID(SUBSTITUTE(TRIM(CC616)," ",REPT(" ",60)),121,60))&amp;" ",CD616)))),1,0),0)</f>
        <v>0</v>
      </c>
      <c r="CG616" s="68" t="n">
        <f aca="false">IFERROR(LEN(SUBSTITUTE(BF616," ",""))-SUMPRODUCT((LEN(BF616)-LEN(SUBSTITUTE(BF616," "&amp;L_NAFiller&amp;" "," ")))/(LEN(L_NAFiller)+1)*LEN(L_NAFiller)),0)</f>
        <v>0</v>
      </c>
    </row>
    <row r="617" customFormat="false" ht="39.75" hidden="false" customHeight="true" outlineLevel="0" collapsed="false">
      <c r="A617" s="57" t="s">
        <v>1326</v>
      </c>
      <c r="B617" s="57" t="s">
        <v>293</v>
      </c>
      <c r="C617" s="57" t="str">
        <f aca="false">Flights!$F$22</f>
        <v>MH0052</v>
      </c>
      <c r="D617" s="58" t="n">
        <f aca="false">Flights!$D$22</f>
        <v>46322</v>
      </c>
      <c r="E617" s="57" t="str">
        <f aca="false">Flights!$G$22&amp;"-"&amp;Flights!$H$22</f>
        <v>KUL-KIX</v>
      </c>
      <c r="F617" s="57" t="str">
        <f aca="false">Flights!$K$22</f>
        <v>BC</v>
      </c>
      <c r="G617" s="57" t="s">
        <v>459</v>
      </c>
      <c r="H617" s="57" t="s">
        <v>460</v>
      </c>
      <c r="I617" s="57" t="s">
        <v>629</v>
      </c>
      <c r="J617" s="57" t="s">
        <v>657</v>
      </c>
      <c r="K617" s="67" t="s">
        <v>501</v>
      </c>
      <c r="L617" s="67" t="s">
        <v>1308</v>
      </c>
      <c r="M617" s="67" t="s">
        <v>187</v>
      </c>
      <c r="N617" s="67" t="s">
        <v>383</v>
      </c>
      <c r="O617" s="67" t="s">
        <v>632</v>
      </c>
      <c r="P617" s="57" t="s">
        <v>187</v>
      </c>
      <c r="Q617" s="59" t="n">
        <f aca="false">ROUND((Flights!$AF$22)*1440,0)/1440</f>
        <v>46322.6006944444</v>
      </c>
      <c r="R617" s="59" t="n">
        <f aca="false">Q617+(IF(AND(INDEX(TZ_DSTS,MATCH(P617,TZ_STN,0))&lt;&gt;"",Q617&gt;=INDEX(TZ_DSTS,MATCH(P617,TZ_STN,0)),Q617&lt;INDEX(TZ_DSTE,MATCH(P617,TZ_STN,0))),INDEX(TZ_DST,MATCH(P617,TZ_STN,0)),INDEX(TZ_STD,MATCH(P617,TZ_STN,0))))/24</f>
        <v>46322.9340277778</v>
      </c>
      <c r="S617" s="60"/>
      <c r="T617" s="60"/>
      <c r="U617" s="60"/>
      <c r="V617" s="60"/>
      <c r="W617" s="61"/>
      <c r="X617" s="60"/>
      <c r="Y617" s="60"/>
      <c r="Z617" s="60"/>
      <c r="AA617" s="60"/>
      <c r="AB617" s="60"/>
      <c r="AC617" s="60"/>
      <c r="AD617" s="66"/>
      <c r="AE617" s="60"/>
      <c r="AF617" s="61" t="str">
        <f aca="false">IF(AND(ISNUMBER(X617),ISNUMBER(Y617)),Y617-X617,"")</f>
        <v/>
      </c>
      <c r="AG617" s="62" t="str">
        <f aca="false">IF(ISNUMBER(AD617),AD617-(IF(AND(INDEX(TZ_DSTS,MATCH(P617,TZ_STN,0))&lt;&gt;"",(AD617-INDEX(TZ_STD,MATCH(P617,TZ_STN,0))/24)&gt;=INDEX(TZ_DSTS,MATCH(P617,TZ_STN,0)),(AD617-INDEX(TZ_STD,MATCH(P617,TZ_STN,0))/24)&lt;INDEX(TZ_DSTE,MATCH(P617,TZ_STN,0))),INDEX(TZ_DST,MATCH(P617,TZ_STN,0)),INDEX(TZ_STD,MATCH(P617,TZ_STN,0))))/24,"")</f>
        <v/>
      </c>
      <c r="AH617" s="65" t="str">
        <f aca="false">IFERROR(IF(N617="N/A – rule",IF(OR(TRIM(U617)="",TRIM(U617)="N/A",TRIM(U617)="Not started"),"N/A – RULE","INVALID – this check does not apply to this aircraft: clear the status (or correct the fleet on Flights)"),IF(TRIM(U617)="N/A",IF(AT617=0,"INVALID – N/A not permitted for this check",IF(AND(TRIM(AB617)&lt;&gt;"",TRIM(AB617)&lt;&gt;"Closed"),"INVALID – corrective action still open",IF(AND(NOT(OR(LEN(AZ617)&lt;15,ISNUMBER(MATCH(AZ617,L_Placeholder,0)))),BK617=0,CG617&gt;=8,NOT(OR(LEN(AU617)&lt;2,ISNUMBER(MATCH(AU617,L_Placeholder,0)))),BR617&gt;=3,NOT(OR(LEN(AX617)&lt;2,ISNUMBER(MATCH(AX617,L_Placeholder,0)))),BS617&gt;=3,TRIM(AE617)&lt;&gt;TRIM(T617),AX617&lt;&gt;AU617,CE617=0),"N/A – JUSTIFIED","INVALID – N/A needs a real, settled reason (not 'not applicable' / 'as above' / TBC), a named PIC and a different named verifier"))),IF(OR(TRIM(U617)="Pass",TRIM(U617)="Pass after CA"),IF(NOT(ISNUMBER(AD617)),"INVALID – completion time missing",IF(OR(OR(LEN(AU617)&lt;2,ISNUMBER(MATCH(AU617,L_Placeholder,0))),BR617&lt;3),"INVALID – PIC missing or not a named person (a role such as QA / CSM is not a name)",IF(OR(LEN(AV617)&lt;2,ISNUMBER(MATCH(AV617,L_Placeholder,0))),"INVALID – result / assessment missing",IF(OR(OR(LEN(AW617)&lt;3,ISNUMBER(MATCH(AW617,L_Placeholder,0))),SUMPRODUCT(--ISNUMBER(SEARCH(" "&amp;L_EvidencePhrase&amp;" ",BD617)))&gt;0,BI617=1),"INVALID – evidence missing, placeholder or not yet on file",IF(ISNA(MATCH(TRIM(S617),L_EvidenceType,0)),"INVALID – choose the evidence type from the list (column S)",IF(BL617=0,"INVALID – evidence ID must be the record's own ID only (e.g. SF-2210, IMG_2231, 1045521); a link / file name needs type 'Link / file path'",IF(OR(OR(LEN(AX617)&lt;2,ISNUMBER(MATCH(AX617,L_Placeholder,0))),BS617&lt;3),"INVALID – verifier missing or not a named person (a role such as QA / CSM is not a name)",IF(OR(AX617=AU617,CE617=1,AND(LEN(AU617)&gt;=4,ISNUMBER(SEARCH(AU617,AX617))),AND(LEN(AX617)&gt;=4,ISNUMBER(SEARCH(AX617,AU617)))),"INVALID – verifier must be a different, named person (not the PIC or a role)",IF(BH617=1,"INVALID – result not yet available (awaiting / TBC)",IF(BG617=1,"INVALID – result describes a problem: record Fail, then Pass after CA (or reword if it is not a problem)",IF(BV617=1,"INVALID – wording says not on board: an on-board confirmation needs the item loaded",IF(AND(AQ617=1,OR(OR(LEN(AY617)&lt;3,ISNUMBER(MATCH(AY617,L_Placeholder,0))),BJ617=1,BQ617=0)),"INVALID – batch ID missing, placeholder or not an ID (e.g. PASB-261008-BC-017)",IF(AND(AR617=1,OR(NOT(ISNUMBER(X617)),NOT(ISNUMBER(Y617)))),"INVALID – expected/actual qty missing",IF(AND(AR617=1,OR(X617&lt;=0,Y617&lt;0)),"INVALID – expected qty must be above 0 and actual not negative",IF(AH602="N/A – JUSTIFIED","INVALID – preparation row F18-T12-19 is N/A",IF(AND(AR617=1,ISNUMBER(X602),X617&lt;&gt;X602,TRIM(U617)&lt;&gt;"Pass after CA"),"INVALID – expected qty differs from preparation check F18-T12-19: record the load change as a corrective action (Pass after CA)",IF(BB617&lt;&gt;"",BB617,IF(AND(AS617=1,Documents!$J$22&lt;&gt;"ON FILE"),"INVALID – GLD not on file (Documents sheet)",IF(AND(AS617=2,Documents!$O$22&lt;&gt;"ON FILE"),"INVALID – menu checklist not on file (Documents sheet)",IF(AND(AS617=3,NOT(ISNUMBER(Flights!$AX$22))),"INVALID – enter carrying flight KUL departure (Flights AX)",IF(AND(AS617=3,OR(Flights!$AZ$22&gt;Flights!$AA$22,Flights!$AX$22&lt;Flights!$AA$22-3)),"INVALID – carrying flight (Flights AX) cannot arrive before this leg's STD, or is over 3 days early",IF(AG617&gt;AsOfUTC,"INVALID – completion time is in the future",IF(AND(ISNUMBER(BY617),AG617&lt;BY617),IF(H617="Physical uplift","INVALID – before uplift window (cannot confirm loading)","INVALID – before valid window"),IF(AG617&gt;Flights!$AA$22,"INVALID – completed after departure (cannot establish readiness)",IF(AND(H617="Preparation",AG617&gt;=IF(ISNUMBER(Flights!$BA$22),MIN(Flights!$BA$22,Flights!$AA$22),Flights!$AA$22)),"INVALID – completed after loading / departure (cannot establish readiness)",IF(AND(H617="Physical uplift",AG617&gt;Q617),"INVALID – recorded after the loading flight departed",IF(AG617&gt;Q617,"COMPLETE – LATE","COMPLETE"))))))))))))))))))))))))))),IF(TRIM(U617)="Fail","FAIL – DISCREPANCY",IF(AND(TRIM(U617)&lt;&gt;"",TRIM(U617)&lt;&gt;"Not started",TRIM(U617)&lt;&gt;"In progress"),"INVALID – unrecognised status (use the list)",IF(AsOfUTC&gt;Q617,"OVERDUE",IF(N617="Clarification required","OPEN – CLARIFICATION","OPEN"))))))),"INVALID – error value in an input cell")</f>
        <v>OPEN</v>
      </c>
      <c r="AI617" s="61" t="n">
        <f aca="false">IF(OR(AH617="N/A – RULE",AH617="N/A – JUSTIFIED"),0,1)</f>
        <v>1</v>
      </c>
      <c r="AJ617" s="61" t="n">
        <f aca="false">IF(LEFT(AH617,8)="COMPLETE",1,0)</f>
        <v>0</v>
      </c>
      <c r="AK617" s="61" t="n">
        <f aca="false">IF(AND(AI617=1,AJ617=0,AsOfUTC&gt;Q617),1,0)</f>
        <v>0</v>
      </c>
      <c r="AL617" s="61" t="n">
        <f aca="false">IFERROR(IF(AND(AI617=1,OR(TRIM(U617)="Fail",AND(TRIM(AB617)&lt;&gt;"",TRIM(AB617)&lt;&gt;"Closed"),AND(ISNUMBER(AF617),AF617&lt;&gt;0,TRIM(U617)&lt;&gt;"Pass after CA"))),1,0),1)</f>
        <v>0</v>
      </c>
      <c r="AM617" s="61" t="n">
        <f aca="false">IF(LEFT(AH617,7)="INVALID",1,0)</f>
        <v>0</v>
      </c>
      <c r="AN617" s="61" t="n">
        <f aca="false">IF(AND(N617="Clarification required",AI617=1,AJ617=0),1,0)</f>
        <v>0</v>
      </c>
      <c r="AO617" s="61" t="str">
        <f aca="false">IF(AK617=1,SUM(AK$5:AK617),"")</f>
        <v/>
      </c>
      <c r="AP617" s="61" t="str">
        <f aca="false">IF(AL617=1,SUM(AL$5:AL617),"")</f>
        <v/>
      </c>
      <c r="AQ617" s="61" t="n">
        <v>0</v>
      </c>
      <c r="AR617" s="61" t="n">
        <v>0</v>
      </c>
      <c r="AS617" s="61" t="n">
        <v>0</v>
      </c>
      <c r="AT617" s="61" t="n">
        <v>0</v>
      </c>
      <c r="AU617" s="61" t="str">
        <f aca="false">SUBSTITUTE(SUBSTITUTE(SUBSTITUTE(SUBSTITUTE(SUBSTITUTE(SUBSTITUTE(SUBSTITUTE(SUBSTITUTE(SUBSTITUTE(SUBSTITUTE(SUBSTITUTE(SUBSTITUTE(SUBSTITUTE(SUBSTITUTE(SUBSTITUTE(SUBSTITUTE(LOWER(T617&amp;""),CHAR(10),""),CHAR(13),""),CHAR(9),""),CHAR(160),"")," ",""),".",""),"-",""),"/",""),"?",""),"_",""),",",""),"[",""),"]",""),"(",""),")",""),"*","")</f>
        <v/>
      </c>
      <c r="AV617" s="61" t="str">
        <f aca="false">SUBSTITUTE(SUBSTITUTE(SUBSTITUTE(SUBSTITUTE(SUBSTITUTE(SUBSTITUTE(SUBSTITUTE(SUBSTITUTE(SUBSTITUTE(SUBSTITUTE(SUBSTITUTE(SUBSTITUTE(SUBSTITUTE(SUBSTITUTE(SUBSTITUTE(SUBSTITUTE(LOWER(V617&amp;""),CHAR(10),""),CHAR(13),""),CHAR(9),""),CHAR(160),"")," ",""),".",""),"-",""),"/",""),"?",""),"_",""),",",""),"[",""),"]",""),"(",""),")",""),"*","")</f>
        <v/>
      </c>
      <c r="AW617" s="61" t="str">
        <f aca="false">SUBSTITUTE(SUBSTITUTE(SUBSTITUTE(SUBSTITUTE(SUBSTITUTE(SUBSTITUTE(SUBSTITUTE(SUBSTITUTE(SUBSTITUTE(SUBSTITUTE(SUBSTITUTE(SUBSTITUTE(SUBSTITUTE(SUBSTITUTE(SUBSTITUTE(SUBSTITUTE(LOWER(Z617&amp;""),CHAR(10),""),CHAR(13),""),CHAR(9),""),CHAR(160),"")," ",""),".",""),"-",""),"/",""),"?",""),"_",""),",",""),"[",""),"]",""),"(",""),")",""),"*","")</f>
        <v/>
      </c>
      <c r="AX617" s="61" t="str">
        <f aca="false">SUBSTITUTE(SUBSTITUTE(SUBSTITUTE(SUBSTITUTE(SUBSTITUTE(SUBSTITUTE(SUBSTITUTE(SUBSTITUTE(SUBSTITUTE(SUBSTITUTE(SUBSTITUTE(SUBSTITUTE(SUBSTITUTE(SUBSTITUTE(SUBSTITUTE(SUBSTITUTE(LOWER(AE617&amp;""),CHAR(10),""),CHAR(13),""),CHAR(9),""),CHAR(160),"")," ",""),".",""),"-",""),"/",""),"?",""),"_",""),",",""),"[",""),"]",""),"(",""),")",""),"*","")</f>
        <v/>
      </c>
      <c r="AY617" s="61" t="str">
        <f aca="false">SUBSTITUTE(SUBSTITUTE(SUBSTITUTE(SUBSTITUTE(SUBSTITUTE(SUBSTITUTE(SUBSTITUTE(SUBSTITUTE(SUBSTITUTE(SUBSTITUTE(SUBSTITUTE(SUBSTITUTE(SUBSTITUTE(SUBSTITUTE(SUBSTITUTE(SUBSTITUTE(LOWER(W617&amp;""),CHAR(10),""),CHAR(13),""),CHAR(9),""),CHAR(160),"")," ",""),".",""),"-",""),"/",""),"?",""),"_",""),",",""),"[",""),"]",""),"(",""),")",""),"*","")</f>
        <v/>
      </c>
      <c r="AZ617" s="61" t="str">
        <f aca="false">SUBSTITUTE(SUBSTITUTE(SUBSTITUTE(SUBSTITUTE(SUBSTITUTE(SUBSTITUTE(SUBSTITUTE(SUBSTITUTE(SUBSTITUTE(SUBSTITUTE(SUBSTITUTE(SUBSTITUTE(SUBSTITUTE(SUBSTITUTE(SUBSTITUTE(SUBSTITUTE(LOWER(AC617&amp;""),CHAR(10),""),CHAR(13),""),CHAR(9),""),CHAR(160),"")," ",""),".",""),"-",""),"/",""),"?",""),"_",""),",",""),"[",""),"]",""),"(",""),")",""),"*","")</f>
        <v/>
      </c>
      <c r="BA617" s="61" t="str">
        <f aca="false">SUBSTITUTE(SUBSTITUTE(SUBSTITUTE(SUBSTITUTE(SUBSTITUTE(SUBSTITUTE(SUBSTITUTE(SUBSTITUTE(SUBSTITUTE(SUBSTITUTE(SUBSTITUTE(SUBSTITUTE(SUBSTITUTE(SUBSTITUTE(SUBSTITUTE(SUBSTITUTE(LOWER(AA617&amp;""),CHAR(10),""),CHAR(13),""),CHAR(9),""),CHAR(160),"")," ",""),".",""),"-",""),"/",""),"?",""),"_",""),",",""),"[",""),"]",""),"(",""),")",""),"*","")</f>
        <v/>
      </c>
      <c r="BB617" s="61" t="str">
        <f aca="false">IF(AND(TRIM(U617)="Pass",ISNUMBER(AF617)),IF(AF617&lt;&gt;0,"INVALID – qty variance: use Fail or Pass after CA",""),"")&amp;IF(AND(TRIM(U617)="Pass after CA",ISNUMBER(AF617)),IF(AF617&lt;&gt;0,"INVALID – after the corrective action the actual qty must equal expected (update Actual)",""),"")&amp;IF(AND(TRIM(U617)="Pass",TRIM(AB617)&lt;&gt;"",TRIM(AB617)&lt;&gt;"Closed"),"INVALID – corrective action not closed: use Fail, then Pass after CA","")&amp;IF(AND(LEN(BA617)&gt;=2,ISNA(MATCH(LEFT(BA617,255),L_Placeholder,0)),TRIM(AB617)=""),"INVALID – CA status missing for the recorded corrective action","")&amp;IF(AND(TRIM(U617)="Pass after CA",OR(OR(LEN(BA617)&lt;5,ISNUMBER(MATCH(BA617,L_Placeholder,0))),TRIM(AB617)&lt;&gt;"Closed")),"INVALID – corrective action not recorded/closed","")</f>
        <v/>
      </c>
      <c r="BC617" s="61" t="str">
        <f aca="false">" "&amp;TRIM(SUBSTITUTE(SUBSTITUTE(SUBSTITUTE(SUBSTITUTE(SUBSTITUTE(SUBSTITUTE(SUBSTITUTE(SUBSTITUTE(SUBSTITUTE(SUBSTITUTE(SUBSTITUTE(SUBSTITUTE(SUBSTITUTE(SUBSTITUTE(SUBSTITUTE(SUBSTITUTE(SUBSTITUTE(SUBSTITUTE(SUBSTITUTE(SUBSTITUTE(SUBSTITUTE(SUBSTITUTE(SUBSTITUTE(SUBSTITUTE(LOWER(V617&amp;""),CHAR(10)," "),CHAR(13)," "),CHAR(9)," "),CHAR(160)," "),"."," "),","," "),"-"," "),"/"," "),"("," "),")"," "),":"," "),";"," "),"_"," "),"–"," "),"?"," "),"!"," "),"*"," "),"["," "),"]"," "),"'"," "),"#"," "),"+"," "),"&amp;"," "),"\"," "))&amp;" "</f>
        <v>  </v>
      </c>
      <c r="BD617" s="61" t="str">
        <f aca="false">" "&amp;TRIM(SUBSTITUTE(SUBSTITUTE(SUBSTITUTE(SUBSTITUTE(SUBSTITUTE(SUBSTITUTE(SUBSTITUTE(SUBSTITUTE(SUBSTITUTE(SUBSTITUTE(SUBSTITUTE(SUBSTITUTE(SUBSTITUTE(SUBSTITUTE(SUBSTITUTE(SUBSTITUTE(SUBSTITUTE(SUBSTITUTE(SUBSTITUTE(SUBSTITUTE(SUBSTITUTE(SUBSTITUTE(SUBSTITUTE(SUBSTITUTE(LOWER(Z617&amp;""),CHAR(10)," "),CHAR(13)," "),CHAR(9)," "),CHAR(160)," "),"."," "),","," "),"-"," "),"/"," "),"("," "),")"," "),":"," "),";"," "),"_"," "),"–"," "),"?"," "),"!"," "),"*"," "),"["," "),"]"," "),"'"," "),"#"," "),"+"," "),"&amp;"," "),"\"," "))&amp;" "</f>
        <v>  </v>
      </c>
      <c r="BE617" s="61" t="str">
        <f aca="false">" "&amp;TRIM(SUBSTITUTE(SUBSTITUTE(SUBSTITUTE(SUBSTITUTE(SUBSTITUTE(SUBSTITUTE(SUBSTITUTE(SUBSTITUTE(SUBSTITUTE(SUBSTITUTE(SUBSTITUTE(SUBSTITUTE(SUBSTITUTE(SUBSTITUTE(SUBSTITUTE(SUBSTITUTE(SUBSTITUTE(SUBSTITUTE(SUBSTITUTE(SUBSTITUTE(SUBSTITUTE(SUBSTITUTE(SUBSTITUTE(SUBSTITUTE(LOWER(W617&amp;""),CHAR(10)," "),CHAR(13)," "),CHAR(9)," "),CHAR(160)," "),"."," "),","," "),"-"," "),"/"," "),"("," "),")"," "),":"," "),";"," "),"_"," "),"–"," "),"?"," "),"!"," "),"*"," "),"["," "),"]"," "),"'"," "),"#"," "),"+"," "),"&amp;"," "),"\"," "))&amp;" "</f>
        <v>  </v>
      </c>
      <c r="BF617" s="61" t="str">
        <f aca="false">" "&amp;TRIM(SUBSTITUTE(SUBSTITUTE(SUBSTITUTE(SUBSTITUTE(SUBSTITUTE(SUBSTITUTE(SUBSTITUTE(SUBSTITUTE(SUBSTITUTE(SUBSTITUTE(SUBSTITUTE(SUBSTITUTE(SUBSTITUTE(SUBSTITUTE(SUBSTITUTE(SUBSTITUTE(SUBSTITUTE(SUBSTITUTE(SUBSTITUTE(SUBSTITUTE(SUBSTITUTE(SUBSTITUTE(SUBSTITUTE(SUBSTITUTE(LOWER(AC617&amp;""),CHAR(10)," "),CHAR(13)," "),CHAR(9)," "),CHAR(160)," "),"."," "),","," "),"-"," "),"/"," "),"("," "),")"," "),":"," "),";"," "),"_"," "),"–"," "),"?"," "),"!"," "),"*"," "),"["," "),"]"," "),"'"," "),"#"," "),"+"," "),"&amp;"," "),"\"," "))&amp;" "</f>
        <v>  </v>
      </c>
      <c r="BG617" s="61" t="n">
        <f aca="false">IFERROR(IF(AND(TRIM(U617)="Pass",SUMPRODUCT((LEN(BC617)-LEN(SUBSTITUTE(BC617," "&amp;L_ResultBad&amp;" "," ")))/(LEN(L_ResultBad)+1))&gt;SUMPRODUCT((LEN(BC617)-LEN(SUBSTITUTE(BC617," "&amp;L_NegPhrase&amp;" "," ")))/(LEN(L_NegPhrase)+1))),1,0),0)</f>
        <v>0</v>
      </c>
      <c r="BH617" s="61" t="n">
        <f aca="false">IFERROR(IF(SUMPRODUCT((LEN(BC617)-LEN(SUBSTITUTE(BC617," "&amp;L_Pending&amp;" "," ")))/(LEN(L_Pending)+1))&gt;SUMPRODUCT((LEN(BC617)-LEN(SUBSTITUTE(BC617," "&amp;L_PendNeg&amp;" "," ")))/(LEN(L_PendNeg)+1)),1,0),1)</f>
        <v>0</v>
      </c>
      <c r="BI617" s="61" t="n">
        <f aca="false">IFERROR(IF(SUMPRODUCT((LEN(BD617)-LEN(SUBSTITUTE(BD617," "&amp;L_PendStrict&amp;" "," ")))/(LEN(L_PendStrict)+1))&gt;SUMPRODUCT((LEN(BD617)-LEN(SUBSTITUTE(BD617," "&amp;L_PendNeg&amp;" "," ")))/(LEN(L_PendNeg)+1)),1,0),1)</f>
        <v>0</v>
      </c>
      <c r="BJ617" s="61" t="n">
        <f aca="false">IFERROR(IF(SUMPRODUCT((LEN(BE617)-LEN(SUBSTITUTE(BE617," "&amp;L_Pending&amp;" "," ")))/(LEN(L_Pending)+1))&gt;SUMPRODUCT((LEN(BE617)-LEN(SUBSTITUTE(BE617," "&amp;L_PendNeg&amp;" "," ")))/(LEN(L_PendNeg)+1)),1,0),1)</f>
        <v>0</v>
      </c>
      <c r="BK617" s="61" t="n">
        <f aca="false">IFERROR(IF(SUMPRODUCT((LEN(BF617)-LEN(SUBSTITUTE(BF617," "&amp;L_PendStrict&amp;" "," ")))/(LEN(L_PendStrict)+1))&gt;SUMPRODUCT((LEN(BF617)-LEN(SUBSTITUTE(BF617," "&amp;L_PendNeg&amp;" "," ")))/(LEN(L_PendNeg)+1)),1,0),1)</f>
        <v>0</v>
      </c>
      <c r="BL617" s="61" t="n">
        <f aca="false">IF(ISNA(MATCH(TRIM(S617),L_EvidenceType,0)),0,BZ617)</f>
        <v>0</v>
      </c>
      <c r="BM617" s="61" t="str">
        <f aca="false">SUBSTITUTE(SUBSTITUTE(SUBSTITUTE(SUBSTITUTE(SUBSTITUTE(SUBSTITUTE(SUBSTITUTE(SUBSTITUTE(SUBSTITUTE(LOWER(Z617&amp;""),"1","0"),"2","0"),"3","0"),"4","0"),"5","0"),"6","0"),"7","0"),"8","0"),"9","0")</f>
        <v/>
      </c>
      <c r="BN617" s="61" t="str">
        <f aca="false">SUBSTITUTE(SUBSTITUTE(SUBSTITUTE(SUBSTITUTE(SUBSTITUTE(SUBSTITUTE(SUBSTITUTE(SUBSTITUTE(SUBSTITUTE(SUBSTITUTE(SUBSTITUTE(SUBSTITUTE(SUBSTITUTE(SUBSTITUTE(SUBSTITUTE(SUBSTITUTE(SUBSTITUTE(SUBSTITUTE(SUBSTITUTE(SUBSTITUTE(SUBSTITUTE(SUBSTITUTE(SUBSTITUTE(SUBSTITUTE(SUBSTITUTE(BM617,"b","a"),"c","a"),"d","a"),"e","a"),"f","a"),"g","a"),"h","a"),"i","a"),"j","a"),"k","a"),"l","a"),"m","a"),"n","a"),"o","a"),"p","a"),"q","a"),"r","a"),"s","a"),"t","a"),"u","a"),"v","a"),"w","a"),"x","a"),"y","a"),"z","a")</f>
        <v/>
      </c>
      <c r="BO617" s="61" t="str">
        <f aca="false">SUBSTITUTE(SUBSTITUTE(SUBSTITUTE(SUBSTITUTE(SUBSTITUTE(SUBSTITUTE(SUBSTITUTE(SUBSTITUTE(SUBSTITUTE(LOWER(W617&amp;""),"1","0"),"2","0"),"3","0"),"4","0"),"5","0"),"6","0"),"7","0"),"8","0"),"9","0")</f>
        <v/>
      </c>
      <c r="BP617" s="61" t="str">
        <f aca="false">SUBSTITUTE(SUBSTITUTE(SUBSTITUTE(SUBSTITUTE(SUBSTITUTE(SUBSTITUTE(SUBSTITUTE(SUBSTITUTE(SUBSTITUTE(SUBSTITUTE(SUBSTITUTE(SUBSTITUTE(SUBSTITUTE(SUBSTITUTE(SUBSTITUTE(SUBSTITUTE(SUBSTITUTE(SUBSTITUTE(SUBSTITUTE(SUBSTITUTE(SUBSTITUTE(SUBSTITUTE(SUBSTITUTE(SUBSTITUTE(SUBSTITUTE(BO617,"b","a"),"c","a"),"d","a"),"e","a"),"f","a"),"g","a"),"h","a"),"i","a"),"j","a"),"k","a"),"l","a"),"m","a"),"n","a"),"o","a"),"p","a"),"q","a"),"r","a"),"s","a"),"t","a"),"u","a"),"v","a"),"w","a"),"x","a"),"y","a"),"z","a")</f>
        <v/>
      </c>
      <c r="BQ617" s="61" t="n">
        <f aca="false">IFERROR(IF(AND(ISERROR(SEARCH(" mh"," "&amp;LOWER(W617))),ISNA(MATCH(LEFT(TRIM(BP617),255),{"0000a","000a","00a","0000aa","000aa","00aa","0aa","0000aaa","000aaa","00a00","0a00","0000-0000","00:00","a00","a0","00.00.0000","00/00/0000","00-00-0000","0000-00-00","0000/00/00","0000.00.00","00.00.00","00/00/00","00-00-00","0.00.0000","0/00/0000","0-00-0000"},0)),ISNA(MATCH(LEFT(TRIM(CA617),255),{"0000a","000a","00a","0000aa","000aa","00aa","0aa","0000aaa","000aaa","00a00","0a00","0000-0000","00:00","a00","a0","00.00.0000","00/00/0000","00-00-0000","0000-00-00","0000/00/00","0000.00.00","00.00.00","00/00/00","00-00-00","0.00.0000","0/00/0000","0-00-0000"},0)),LEN(CB617)&gt;=3,NOT(OR(SUBSTITUTE(CB617,"0","")="",AND(LEN(CB617)&gt;=4,CB617=REPT(LEFT(CB617),LEN(CB617))),ISNUMBER(MATCH(CB617,{"123","1234","12345","123456","1234567","12345678","0123","01234","012345","98765","987654","54321"},0)),AND(LEN(CB617)=8,LEFT(CB617,3)="202"))),OR(AND((LEN(CA617)-LEN(SUBSTITUTE(CA617,"a","")))&gt;=1,SUMPRODUCT(--ISNUMBER(SEARCH({"a0","a-0","a_0","a/0","a.0","a#0","0a","0-a","0_a","0/a"},BP617)))&gt;0),ISNUMBER(SEARCH("000000",BP617)))),1,0),0)</f>
        <v>0</v>
      </c>
      <c r="BR617" s="61" t="n">
        <f aca="false">IFERROR(LEN(SUBSTITUTE(CC617," ",""))-SUMPRODUCT((LEN(CC617)-LEN(SUBSTITUTE(CC617," "&amp;L_Role&amp;" "," ")))/(LEN(L_Role)+1)*LEN(L_Role)),0)</f>
        <v>0</v>
      </c>
      <c r="BS617" s="61" t="n">
        <f aca="false">IFERROR(LEN(SUBSTITUTE(CD617," ",""))-SUMPRODUCT((LEN(CD617)-LEN(SUBSTITUTE(CD617," "&amp;L_Role&amp;" "," ")))/(LEN(L_Role)+1)*LEN(L_Role)),0)</f>
        <v>0</v>
      </c>
      <c r="BT6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617,"revision",""),"version",""),"jan",""),"feb",""),"mar",""),"apr",""),"may",""),"jun",""),"jul",""),"aug",""),"sep",""),"oct",""),"nov",""),"dec",""),"utc",""),"gmt",""),"myt",""),"bst",""),"rev",""),"ver",""),"b","a"),"c","a"),"d","a"),"e","a"),"f","a"),"g","a"),"h","a"),"i","a"),"j","a"),"k","a"),"l","a"),"m","a"),"n","a"),"o","a"),"p","a"),"q","a"),"r","a"),"s","a"),"t","a"),"u","a"),"v","a"),"w","a"),"x","a"),"y","a"),"z","a")</f>
        <v/>
      </c>
      <c r="BU617" s="61" t="str">
        <f aca="false">SUBSTITUTE(SUBSTITUTE(SUBSTITUTE(SUBSTITUTE(SUBSTITUTE(SUBSTITUTE(SUBSTITUTE(SUBSTITUTE(SUBSTITUTE(SUBSTITUTE(LEFT(BM617,FIND("0",BM617&amp;"0")-1),"-",""),"_",""),"/",""),".",""),"#",""),"\\",""),":","")," ",""),"(",""),")","")</f>
        <v/>
      </c>
      <c r="BV617" s="61" t="n">
        <f aca="false">IFERROR(IF(OR(SUMPRODUCT((LEN(BC617)-LEN(SUBSTITUTE(BC617," "&amp;L_NotLoaded&amp;" "," ")))/(LEN(L_NotLoaded)+1))&gt;SUMPRODUCT((LEN(BC617)-LEN(SUBSTITUTE(BC617," "&amp;L_NotLoadedNeg&amp;" "," ")))/(LEN(L_NotLoadedNeg)+1)),SUMPRODUCT((LEN(BD617)-LEN(SUBSTITUTE(BD617," "&amp;L_NotLoaded&amp;" "," ")))/(LEN(L_NotLoaded)+1))&gt;SUMPRODUCT((LEN(BD617)-LEN(SUBSTITUTE(BD617," "&amp;L_NotLoadedNeg&amp;" "," ")))/(LEN(L_NotLoadedNeg)+1))),1,0),0)</f>
        <v>0</v>
      </c>
      <c r="BW6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617&amp;""),"a",""),"b",""),"c",""),"d",""),"e",""),"f",""),"g",""),"h",""),"i",""),"j",""),"k",""),"l",""),"m",""),"n",""),"o",""),"p",""),"q",""),"r",""),"s",""),"t",""),"u",""),"v",""),"w",""),"x",""),"y",""),"z",""),"-",""),"_",""),"/",""),".",""),"#",""),"\\",""),":","")," ",""),"(",""),")","")</f>
        <v/>
      </c>
      <c r="BX617" s="61" t="str">
        <f aca="false">SUBSTITUTE(SUBSTITUTE(SUBSTITUTE(SUBSTITUTE(SUBSTITUTE(SUBSTITUTE(SUBSTITUTE(SUBSTITUTE(SUBSTITUTE(SUBSTITUTE(SUBSTITUTE(BM617,"0",""),"-",""),"_",""),"/",""),".",""),"#",""),"\\",""),":","")," ",""),"(",""),")","")</f>
        <v/>
      </c>
      <c r="BY617" s="62" t="n">
        <f aca="false">IF(ISNUMBER(Flights!$AZ$22),MAX(Q617-UpliftWindowH/24,Flights!$AZ$22),Q617-UpliftWindowH/24)</f>
        <v>46322.3506944444</v>
      </c>
      <c r="BZ617" s="61" t="n">
        <f aca="false">IFERROR(IF(IF(TRIM(S617)="Link / file path",AND(LEN(TRIM(Z617))&gt;=5,SUMPRODUCT(--ISNUMBER(SEARCH({"http","www.","\\",":\",".pdf",".jpg",".jpeg",".png",".heic",".xls",".doc",".msg",".eml",".ppt",".txt",".zip"},Z617)))&gt;0),AND(ISERROR(FIND(" ",TRIM(Z617))),NOT(OR(SUMPRODUCT(--ISNUMBER(FIND({",",";","&amp;","+"},Z617)))&gt;0,SUMPRODUCT(--ISNUMBER(SEARCH({"0/aa","0\\aa"},BN617)))&gt;0)),NOT(SUMPRODUCT(--ISNUMBER(SEARCH({"http","www.","\\",":\",".pdf",".jpg",".jpeg",".png",".heic",".xls",".doc",".msg",".eml",".ppt",".txt",".zip"},Z617)))&gt;0),NOT(LOWER(TRIM(Z617))=LOWER(Flights!$F$22)),ISNA(MATCH(BU617,{"mh","rev","revision","ver","version","v","r","a","b","seat","tray","row","gate","bay","stand","page","pg","item","line","no","cart","galley","flight","flt","table","box","bag","oven","etd","eta","std","sta","atd","ata","qty","pax","x","time","tel","ph","mob","day","wk","week","utc","gmt","myt","lt"},0)),NOT(OR(ISNUMBER(MATCH(LEFT(BN617,255),{"0000a","000a","00a","0000aa","000aa","00aa","0aa","0000aaa","000aaa","00a00","0a00","0000-0000","00:00","a00","a0","00.00.0000","00/00/0000","00-00-0000","0000-00-00","0000/00/00","0000.00.00","00.00.00","00/00/00","00-00-00","0.00.0000","0/00/0000","0-00-0000"},0)),ISNUMBER(MATCH(LEFT(BT617,255),{"0000a","000a","00a","0000aa","000aa","00aa","0aa","0000aaa","000aaa","00a00","0a00","0000-0000","00:00","a00","a0","00.00.0000","00/00/0000","00-00-0000","0000-00-00","0000/00/00","0000.00.00","00.00.00","00/00/00","00-00-00","0.00.0000","0/00/0000","0-00-0000"},0)))),NOT(OR(AND(BW617&lt;&gt;"",SUBSTITUTE(BW617,"0","")=""),AND(LEN(BW617)&gt;=4,BW617=REPT(LEFT(BW617),LEN(BW617))),ISNUMBER(MATCH(BW617,{"123","1234","12345","123456","1234567","12345678","0123","01234","012345","98765","987654","54321"},0)),ISNUMBER(MATCH(BX617,{"x","xx","xxx","xxxx","xxxxx","abc","abcd","nil","na","nan","test","tbc","tba","tbd","dummy","sample","example","eg","zz","zzz","none","null","xyz","qwe","asd","id","ref"},0)),AND(LEN(BW617)=8,BX617="",OR(LEFT(BW617,3)="202",ISNUMBER(MATCH(RIGHT(BW617,4),{"2025","2026","2027"},0)))))),OR(AND((LEN(BT617)-LEN(SUBSTITUTE(BT617,"a","")))&gt;=1,(LEN(BN617)-LEN(SUBSTITUTE(BN617,"0","")))&gt;=2,SUMPRODUCT(--ISNUMBER(SEARCH({"a0","a-0","a_0","a/0","a.0","a#0","0a","0-a","0_a","0/a"},BN617)))&gt;0),AND((LEN(BN617)-LEN(SUBSTITUTE(BN617,"a","")))=0,(LEN(BN617)-LEN(SUBSTITUTE(BN617,"0","")))&gt;=5)))),1,0),0)</f>
        <v>0</v>
      </c>
      <c r="CA6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617,"revision",""),"version",""),"jan",""),"feb",""),"mar",""),"apr",""),"may",""),"jun",""),"jul",""),"aug",""),"sep",""),"oct",""),"nov",""),"dec",""),"utc",""),"gmt",""),"myt",""),"bst",""),"rev",""),"ver",""),"b","a"),"c","a"),"d","a"),"e","a"),"f","a"),"g","a"),"h","a"),"i","a"),"j","a"),"k","a"),"l","a"),"m","a"),"n","a"),"o","a"),"p","a"),"q","a"),"r","a"),"s","a"),"t","a"),"u","a"),"v","a"),"w","a"),"x","a"),"y","a"),"z","a")</f>
        <v/>
      </c>
      <c r="CB6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617&amp;""),"a",""),"b",""),"c",""),"d",""),"e",""),"f",""),"g",""),"h",""),"i",""),"j",""),"k",""),"l",""),"m",""),"n",""),"o",""),"p",""),"q",""),"r",""),"s",""),"t",""),"u",""),"v",""),"w",""),"x",""),"y",""),"z",""),"-",""),"_",""),"/",""),".",""),"#",""),"\\",""),":","")," ",""),"(",""),")","")</f>
        <v/>
      </c>
      <c r="CC617" s="0" t="str">
        <f aca="false">" "&amp;TRIM(SUBSTITUTE(SUBSTITUTE(SUBSTITUTE(SUBSTITUTE(SUBSTITUTE(SUBSTITUTE(SUBSTITUTE(SUBSTITUTE(SUBSTITUTE(SUBSTITUTE(SUBSTITUTE(SUBSTITUTE(SUBSTITUTE(SUBSTITUTE(SUBSTITUTE(SUBSTITUTE(SUBSTITUTE(SUBSTITUTE(SUBSTITUTE(SUBSTITUTE(SUBSTITUTE(SUBSTITUTE(SUBSTITUTE(SUBSTITUTE(LOWER(T617&amp;""),CHAR(10)," "),CHAR(13)," "),CHAR(9)," "),CHAR(160)," "),"."," "),","," "),"-"," "),"/"," "),"("," "),")"," "),":"," "),";"," "),"_"," "),"–"," "),"?"," "),"!"," "),"*"," "),"["," "),"]"," "),"'"," "),"#"," "),"+"," "),"&amp;"," "),"\"," "))&amp;" "</f>
        <v>  </v>
      </c>
      <c r="CD617" s="0" t="str">
        <f aca="false">" "&amp;TRIM(SUBSTITUTE(SUBSTITUTE(SUBSTITUTE(SUBSTITUTE(SUBSTITUTE(SUBSTITUTE(SUBSTITUTE(SUBSTITUTE(SUBSTITUTE(SUBSTITUTE(SUBSTITUTE(SUBSTITUTE(SUBSTITUTE(SUBSTITUTE(SUBSTITUTE(SUBSTITUTE(SUBSTITUTE(SUBSTITUTE(SUBSTITUTE(SUBSTITUTE(SUBSTITUTE(SUBSTITUTE(SUBSTITUTE(SUBSTITUTE(LOWER(AE617&amp;""),CHAR(10)," "),CHAR(13)," "),CHAR(9)," "),CHAR(160)," "),"."," "),","," "),"-"," "),"/"," "),"("," "),")"," "),":"," "),";"," "),"_"," "),"–"," "),"?"," "),"!"," "),"*"," "),"["," "),"]"," "),"'"," "),"#"," "),"+"," "),"&amp;"," "),"\"," "))&amp;" "</f>
        <v>  </v>
      </c>
      <c r="CE617" s="68" t="n">
        <f aca="false">IFERROR(IF(AND(LEN(AU617)&gt;0,LEN(AU617)=LEN(AX617),OR(TRIM(MID(SUBSTITUTE(TRIM(CC617)," ",REPT(" ",60)),1,60))="",ISNUMBER(SEARCH(" "&amp;TRIM(MID(SUBSTITUTE(TRIM(CC617)," ",REPT(" ",60)),1,60))&amp;" ",CD617))),OR(TRIM(MID(SUBSTITUTE(TRIM(CC617)," ",REPT(" ",60)),61,60))="",ISNUMBER(SEARCH(" "&amp;TRIM(MID(SUBSTITUTE(TRIM(CC617)," ",REPT(" ",60)),61,60))&amp;" ",CD617))),OR(TRIM(MID(SUBSTITUTE(TRIM(CC617)," ",REPT(" ",60)),121,60))="",ISNUMBER(SEARCH(" "&amp;TRIM(MID(SUBSTITUTE(TRIM(CC617)," ",REPT(" ",60)),121,60))&amp;" ",CD617)))),1,0),0)</f>
        <v>0</v>
      </c>
      <c r="CG617" s="68" t="n">
        <f aca="false">IFERROR(LEN(SUBSTITUTE(BF617," ",""))-SUMPRODUCT((LEN(BF617)-LEN(SUBSTITUTE(BF617," "&amp;L_NAFiller&amp;" "," ")))/(LEN(L_NAFiller)+1)*LEN(L_NAFiller)),0)</f>
        <v>0</v>
      </c>
    </row>
    <row r="618" customFormat="false" ht="39.75" hidden="false" customHeight="true" outlineLevel="0" collapsed="false">
      <c r="A618" s="57" t="s">
        <v>1327</v>
      </c>
      <c r="B618" s="57" t="s">
        <v>293</v>
      </c>
      <c r="C618" s="57" t="str">
        <f aca="false">Flights!$F$22</f>
        <v>MH0052</v>
      </c>
      <c r="D618" s="58" t="n">
        <f aca="false">Flights!$D$22</f>
        <v>46322</v>
      </c>
      <c r="E618" s="57" t="str">
        <f aca="false">Flights!$G$22&amp;"-"&amp;Flights!$H$22</f>
        <v>KUL-KIX</v>
      </c>
      <c r="F618" s="57" t="str">
        <f aca="false">Flights!$K$22</f>
        <v>BC</v>
      </c>
      <c r="G618" s="57" t="s">
        <v>459</v>
      </c>
      <c r="H618" s="57" t="s">
        <v>460</v>
      </c>
      <c r="I618" s="57" t="s">
        <v>634</v>
      </c>
      <c r="J618" s="57" t="s">
        <v>659</v>
      </c>
      <c r="K618" s="67" t="s">
        <v>1310</v>
      </c>
      <c r="L618" s="67" t="s">
        <v>1311</v>
      </c>
      <c r="M618" s="67" t="s">
        <v>451</v>
      </c>
      <c r="N618" s="67" t="s">
        <v>383</v>
      </c>
      <c r="O618" s="67" t="s">
        <v>1328</v>
      </c>
      <c r="P618" s="57" t="s">
        <v>187</v>
      </c>
      <c r="Q618" s="59" t="n">
        <f aca="false">ROUND((Flights!$AF$22)*1440,0)/1440</f>
        <v>46322.6006944444</v>
      </c>
      <c r="R618" s="59" t="n">
        <f aca="false">Q618+(IF(AND(INDEX(TZ_DSTS,MATCH(P618,TZ_STN,0))&lt;&gt;"",Q618&gt;=INDEX(TZ_DSTS,MATCH(P618,TZ_STN,0)),Q618&lt;INDEX(TZ_DSTE,MATCH(P618,TZ_STN,0))),INDEX(TZ_DST,MATCH(P618,TZ_STN,0)),INDEX(TZ_STD,MATCH(P618,TZ_STN,0))))/24</f>
        <v>46322.9340277778</v>
      </c>
      <c r="S618" s="60"/>
      <c r="T618" s="60"/>
      <c r="U618" s="60"/>
      <c r="V618" s="60"/>
      <c r="W618" s="61"/>
      <c r="X618" s="60"/>
      <c r="Y618" s="60"/>
      <c r="Z618" s="60"/>
      <c r="AA618" s="60"/>
      <c r="AB618" s="60"/>
      <c r="AC618" s="60"/>
      <c r="AD618" s="66"/>
      <c r="AE618" s="60"/>
      <c r="AF618" s="61" t="str">
        <f aca="false">IF(AND(ISNUMBER(X618),ISNUMBER(Y618)),Y618-X618,"")</f>
        <v/>
      </c>
      <c r="AG618" s="62" t="str">
        <f aca="false">IF(ISNUMBER(AD618),AD618-(IF(AND(INDEX(TZ_DSTS,MATCH(P618,TZ_STN,0))&lt;&gt;"",(AD618-INDEX(TZ_STD,MATCH(P618,TZ_STN,0))/24)&gt;=INDEX(TZ_DSTS,MATCH(P618,TZ_STN,0)),(AD618-INDEX(TZ_STD,MATCH(P618,TZ_STN,0))/24)&lt;INDEX(TZ_DSTE,MATCH(P618,TZ_STN,0))),INDEX(TZ_DST,MATCH(P618,TZ_STN,0)),INDEX(TZ_STD,MATCH(P618,TZ_STN,0))))/24,"")</f>
        <v/>
      </c>
      <c r="AH618" s="65" t="str">
        <f aca="false">IFERROR(IF(N618="N/A – rule",IF(OR(TRIM(U618)="",TRIM(U618)="N/A",TRIM(U618)="Not started"),"N/A – RULE","INVALID – this check does not apply to this aircraft: clear the status (or correct the fleet on Flights)"),IF(TRIM(U618)="N/A",IF(AT618=0,"INVALID – N/A not permitted for this check",IF(AND(TRIM(AB618)&lt;&gt;"",TRIM(AB618)&lt;&gt;"Closed"),"INVALID – corrective action still open",IF(AND(NOT(OR(LEN(AZ618)&lt;15,ISNUMBER(MATCH(AZ618,L_Placeholder,0)))),BK618=0,CG618&gt;=8,NOT(OR(LEN(AU618)&lt;2,ISNUMBER(MATCH(AU618,L_Placeholder,0)))),BR618&gt;=3,NOT(OR(LEN(AX618)&lt;2,ISNUMBER(MATCH(AX618,L_Placeholder,0)))),BS618&gt;=3,TRIM(AE618)&lt;&gt;TRIM(T618),AX618&lt;&gt;AU618,CE618=0),"N/A – JUSTIFIED","INVALID – N/A needs a real, settled reason (not 'not applicable' / 'as above' / TBC), a named PIC and a different named verifier"))),IF(OR(TRIM(U618)="Pass",TRIM(U618)="Pass after CA"),IF(NOT(ISNUMBER(AD618)),"INVALID – completion time missing",IF(OR(OR(LEN(AU618)&lt;2,ISNUMBER(MATCH(AU618,L_Placeholder,0))),BR618&lt;3),"INVALID – PIC missing or not a named person (a role such as QA / CSM is not a name)",IF(OR(LEN(AV618)&lt;2,ISNUMBER(MATCH(AV618,L_Placeholder,0))),"INVALID – result / assessment missing",IF(OR(OR(LEN(AW618)&lt;3,ISNUMBER(MATCH(AW618,L_Placeholder,0))),SUMPRODUCT(--ISNUMBER(SEARCH(" "&amp;L_EvidencePhrase&amp;" ",BD618)))&gt;0,BI618=1),"INVALID – evidence missing, placeholder or not yet on file",IF(ISNA(MATCH(TRIM(S618),L_EvidenceType,0)),"INVALID – choose the evidence type from the list (column S)",IF(BL618=0,"INVALID – evidence ID must be the record's own ID only (e.g. SF-2210, IMG_2231, 1045521); a link / file name needs type 'Link / file path'",IF(OR(OR(LEN(AX618)&lt;2,ISNUMBER(MATCH(AX618,L_Placeholder,0))),BS618&lt;3),"INVALID – verifier missing or not a named person (a role such as QA / CSM is not a name)",IF(OR(AX618=AU618,CE618=1,AND(LEN(AU618)&gt;=4,ISNUMBER(SEARCH(AU618,AX618))),AND(LEN(AX618)&gt;=4,ISNUMBER(SEARCH(AX618,AU618)))),"INVALID – verifier must be a different, named person (not the PIC or a role)",IF(BH618=1,"INVALID – result not yet available (awaiting / TBC)",IF(BG618=1,"INVALID – result describes a problem: record Fail, then Pass after CA (or reword if it is not a problem)",IF(BV618=1,"INVALID – wording says not on board: an on-board confirmation needs the item loaded",IF(AND(AQ618=1,OR(OR(LEN(AY618)&lt;3,ISNUMBER(MATCH(AY618,L_Placeholder,0))),BJ618=1,BQ618=0)),"INVALID – batch ID missing, placeholder or not an ID (e.g. PASB-261008-BC-017)",IF(AND(AR618=1,OR(NOT(ISNUMBER(X618)),NOT(ISNUMBER(Y618)))),"INVALID – expected/actual qty missing",IF(AND(AR618=1,OR(X618&lt;=0,Y618&lt;0)),"INVALID – expected qty must be above 0 and actual not negative",IF(AH603="N/A – JUSTIFIED","INVALID – preparation row F18-T12-20 is N/A",IF(AND(AR618=1,ISNUMBER(X603),X618&lt;&gt;X603,TRIM(U618)&lt;&gt;"Pass after CA"),"INVALID – expected qty differs from preparation check F18-T12-20: record the load change as a corrective action (Pass after CA)",IF(BB618&lt;&gt;"",BB618,IF(AND(AS618=1,Documents!$J$22&lt;&gt;"ON FILE"),"INVALID – GLD not on file (Documents sheet)",IF(AND(AS618=2,Documents!$O$22&lt;&gt;"ON FILE"),"INVALID – menu checklist not on file (Documents sheet)",IF(AND(AS618=3,NOT(ISNUMBER(Flights!$AX$22))),"INVALID – enter carrying flight KUL departure (Flights AX)",IF(AND(AS618=3,OR(Flights!$AZ$22&gt;Flights!$AA$22,Flights!$AX$22&lt;Flights!$AA$22-3)),"INVALID – carrying flight (Flights AX) cannot arrive before this leg's STD, or is over 3 days early",IF(AG618&gt;AsOfUTC,"INVALID – completion time is in the future",IF(AND(ISNUMBER(BY618),AG618&lt;BY618),IF(H618="Physical uplift","INVALID – before uplift window (cannot confirm loading)","INVALID – before valid window"),IF(AG618&gt;Flights!$AA$22,"INVALID – completed after departure (cannot establish readiness)",IF(AND(H618="Preparation",AG618&gt;=IF(ISNUMBER(Flights!$BA$22),MIN(Flights!$BA$22,Flights!$AA$22),Flights!$AA$22)),"INVALID – completed after loading / departure (cannot establish readiness)",IF(AND(H618="Physical uplift",AG618&gt;Q618),"INVALID – recorded after the loading flight departed",IF(AG618&gt;Q618,"COMPLETE – LATE","COMPLETE"))))))))))))))))))))))))))),IF(TRIM(U618)="Fail","FAIL – DISCREPANCY",IF(AND(TRIM(U618)&lt;&gt;"",TRIM(U618)&lt;&gt;"Not started",TRIM(U618)&lt;&gt;"In progress"),"INVALID – unrecognised status (use the list)",IF(AsOfUTC&gt;Q618,"OVERDUE",IF(N618="Clarification required","OPEN – CLARIFICATION","OPEN"))))))),"INVALID – error value in an input cell")</f>
        <v>OPEN</v>
      </c>
      <c r="AI618" s="61" t="n">
        <f aca="false">IF(OR(AH618="N/A – RULE",AH618="N/A – JUSTIFIED"),0,1)</f>
        <v>1</v>
      </c>
      <c r="AJ618" s="61" t="n">
        <f aca="false">IF(LEFT(AH618,8)="COMPLETE",1,0)</f>
        <v>0</v>
      </c>
      <c r="AK618" s="61" t="n">
        <f aca="false">IF(AND(AI618=1,AJ618=0,AsOfUTC&gt;Q618),1,0)</f>
        <v>0</v>
      </c>
      <c r="AL618" s="61" t="n">
        <f aca="false">IFERROR(IF(AND(AI618=1,OR(TRIM(U618)="Fail",AND(TRIM(AB618)&lt;&gt;"",TRIM(AB618)&lt;&gt;"Closed"),AND(ISNUMBER(AF618),AF618&lt;&gt;0,TRIM(U618)&lt;&gt;"Pass after CA"))),1,0),1)</f>
        <v>0</v>
      </c>
      <c r="AM618" s="61" t="n">
        <f aca="false">IF(LEFT(AH618,7)="INVALID",1,0)</f>
        <v>0</v>
      </c>
      <c r="AN618" s="61" t="n">
        <f aca="false">IF(AND(N618="Clarification required",AI618=1,AJ618=0),1,0)</f>
        <v>0</v>
      </c>
      <c r="AO618" s="61" t="str">
        <f aca="false">IF(AK618=1,SUM(AK$5:AK618),"")</f>
        <v/>
      </c>
      <c r="AP618" s="61" t="str">
        <f aca="false">IF(AL618=1,SUM(AL$5:AL618),"")</f>
        <v/>
      </c>
      <c r="AQ618" s="61" t="n">
        <v>0</v>
      </c>
      <c r="AR618" s="61" t="n">
        <v>0</v>
      </c>
      <c r="AS618" s="61" t="n">
        <v>0</v>
      </c>
      <c r="AT618" s="61" t="n">
        <v>0</v>
      </c>
      <c r="AU618" s="61" t="str">
        <f aca="false">SUBSTITUTE(SUBSTITUTE(SUBSTITUTE(SUBSTITUTE(SUBSTITUTE(SUBSTITUTE(SUBSTITUTE(SUBSTITUTE(SUBSTITUTE(SUBSTITUTE(SUBSTITUTE(SUBSTITUTE(SUBSTITUTE(SUBSTITUTE(SUBSTITUTE(SUBSTITUTE(LOWER(T618&amp;""),CHAR(10),""),CHAR(13),""),CHAR(9),""),CHAR(160),"")," ",""),".",""),"-",""),"/",""),"?",""),"_",""),",",""),"[",""),"]",""),"(",""),")",""),"*","")</f>
        <v/>
      </c>
      <c r="AV618" s="61" t="str">
        <f aca="false">SUBSTITUTE(SUBSTITUTE(SUBSTITUTE(SUBSTITUTE(SUBSTITUTE(SUBSTITUTE(SUBSTITUTE(SUBSTITUTE(SUBSTITUTE(SUBSTITUTE(SUBSTITUTE(SUBSTITUTE(SUBSTITUTE(SUBSTITUTE(SUBSTITUTE(SUBSTITUTE(LOWER(V618&amp;""),CHAR(10),""),CHAR(13),""),CHAR(9),""),CHAR(160),"")," ",""),".",""),"-",""),"/",""),"?",""),"_",""),",",""),"[",""),"]",""),"(",""),")",""),"*","")</f>
        <v/>
      </c>
      <c r="AW618" s="61" t="str">
        <f aca="false">SUBSTITUTE(SUBSTITUTE(SUBSTITUTE(SUBSTITUTE(SUBSTITUTE(SUBSTITUTE(SUBSTITUTE(SUBSTITUTE(SUBSTITUTE(SUBSTITUTE(SUBSTITUTE(SUBSTITUTE(SUBSTITUTE(SUBSTITUTE(SUBSTITUTE(SUBSTITUTE(LOWER(Z618&amp;""),CHAR(10),""),CHAR(13),""),CHAR(9),""),CHAR(160),"")," ",""),".",""),"-",""),"/",""),"?",""),"_",""),",",""),"[",""),"]",""),"(",""),")",""),"*","")</f>
        <v/>
      </c>
      <c r="AX618" s="61" t="str">
        <f aca="false">SUBSTITUTE(SUBSTITUTE(SUBSTITUTE(SUBSTITUTE(SUBSTITUTE(SUBSTITUTE(SUBSTITUTE(SUBSTITUTE(SUBSTITUTE(SUBSTITUTE(SUBSTITUTE(SUBSTITUTE(SUBSTITUTE(SUBSTITUTE(SUBSTITUTE(SUBSTITUTE(LOWER(AE618&amp;""),CHAR(10),""),CHAR(13),""),CHAR(9),""),CHAR(160),"")," ",""),".",""),"-",""),"/",""),"?",""),"_",""),",",""),"[",""),"]",""),"(",""),")",""),"*","")</f>
        <v/>
      </c>
      <c r="AY618" s="61" t="str">
        <f aca="false">SUBSTITUTE(SUBSTITUTE(SUBSTITUTE(SUBSTITUTE(SUBSTITUTE(SUBSTITUTE(SUBSTITUTE(SUBSTITUTE(SUBSTITUTE(SUBSTITUTE(SUBSTITUTE(SUBSTITUTE(SUBSTITUTE(SUBSTITUTE(SUBSTITUTE(SUBSTITUTE(LOWER(W618&amp;""),CHAR(10),""),CHAR(13),""),CHAR(9),""),CHAR(160),"")," ",""),".",""),"-",""),"/",""),"?",""),"_",""),",",""),"[",""),"]",""),"(",""),")",""),"*","")</f>
        <v/>
      </c>
      <c r="AZ618" s="61" t="str">
        <f aca="false">SUBSTITUTE(SUBSTITUTE(SUBSTITUTE(SUBSTITUTE(SUBSTITUTE(SUBSTITUTE(SUBSTITUTE(SUBSTITUTE(SUBSTITUTE(SUBSTITUTE(SUBSTITUTE(SUBSTITUTE(SUBSTITUTE(SUBSTITUTE(SUBSTITUTE(SUBSTITUTE(LOWER(AC618&amp;""),CHAR(10),""),CHAR(13),""),CHAR(9),""),CHAR(160),"")," ",""),".",""),"-",""),"/",""),"?",""),"_",""),",",""),"[",""),"]",""),"(",""),")",""),"*","")</f>
        <v/>
      </c>
      <c r="BA618" s="61" t="str">
        <f aca="false">SUBSTITUTE(SUBSTITUTE(SUBSTITUTE(SUBSTITUTE(SUBSTITUTE(SUBSTITUTE(SUBSTITUTE(SUBSTITUTE(SUBSTITUTE(SUBSTITUTE(SUBSTITUTE(SUBSTITUTE(SUBSTITUTE(SUBSTITUTE(SUBSTITUTE(SUBSTITUTE(LOWER(AA618&amp;""),CHAR(10),""),CHAR(13),""),CHAR(9),""),CHAR(160),"")," ",""),".",""),"-",""),"/",""),"?",""),"_",""),",",""),"[",""),"]",""),"(",""),")",""),"*","")</f>
        <v/>
      </c>
      <c r="BB618" s="61" t="str">
        <f aca="false">IF(AND(TRIM(U618)="Pass",ISNUMBER(AF618)),IF(AF618&lt;&gt;0,"INVALID – qty variance: use Fail or Pass after CA",""),"")&amp;IF(AND(TRIM(U618)="Pass after CA",ISNUMBER(AF618)),IF(AF618&lt;&gt;0,"INVALID – after the corrective action the actual qty must equal expected (update Actual)",""),"")&amp;IF(AND(TRIM(U618)="Pass",TRIM(AB618)&lt;&gt;"",TRIM(AB618)&lt;&gt;"Closed"),"INVALID – corrective action not closed: use Fail, then Pass after CA","")&amp;IF(AND(LEN(BA618)&gt;=2,ISNA(MATCH(LEFT(BA618,255),L_Placeholder,0)),TRIM(AB618)=""),"INVALID – CA status missing for the recorded corrective action","")&amp;IF(AND(TRIM(U618)="Pass after CA",OR(OR(LEN(BA618)&lt;5,ISNUMBER(MATCH(BA618,L_Placeholder,0))),TRIM(AB618)&lt;&gt;"Closed")),"INVALID – corrective action not recorded/closed","")</f>
        <v/>
      </c>
      <c r="BC618" s="61" t="str">
        <f aca="false">" "&amp;TRIM(SUBSTITUTE(SUBSTITUTE(SUBSTITUTE(SUBSTITUTE(SUBSTITUTE(SUBSTITUTE(SUBSTITUTE(SUBSTITUTE(SUBSTITUTE(SUBSTITUTE(SUBSTITUTE(SUBSTITUTE(SUBSTITUTE(SUBSTITUTE(SUBSTITUTE(SUBSTITUTE(SUBSTITUTE(SUBSTITUTE(SUBSTITUTE(SUBSTITUTE(SUBSTITUTE(SUBSTITUTE(SUBSTITUTE(SUBSTITUTE(LOWER(V618&amp;""),CHAR(10)," "),CHAR(13)," "),CHAR(9)," "),CHAR(160)," "),"."," "),","," "),"-"," "),"/"," "),"("," "),")"," "),":"," "),";"," "),"_"," "),"–"," "),"?"," "),"!"," "),"*"," "),"["," "),"]"," "),"'"," "),"#"," "),"+"," "),"&amp;"," "),"\"," "))&amp;" "</f>
        <v>  </v>
      </c>
      <c r="BD618" s="61" t="str">
        <f aca="false">" "&amp;TRIM(SUBSTITUTE(SUBSTITUTE(SUBSTITUTE(SUBSTITUTE(SUBSTITUTE(SUBSTITUTE(SUBSTITUTE(SUBSTITUTE(SUBSTITUTE(SUBSTITUTE(SUBSTITUTE(SUBSTITUTE(SUBSTITUTE(SUBSTITUTE(SUBSTITUTE(SUBSTITUTE(SUBSTITUTE(SUBSTITUTE(SUBSTITUTE(SUBSTITUTE(SUBSTITUTE(SUBSTITUTE(SUBSTITUTE(SUBSTITUTE(LOWER(Z618&amp;""),CHAR(10)," "),CHAR(13)," "),CHAR(9)," "),CHAR(160)," "),"."," "),","," "),"-"," "),"/"," "),"("," "),")"," "),":"," "),";"," "),"_"," "),"–"," "),"?"," "),"!"," "),"*"," "),"["," "),"]"," "),"'"," "),"#"," "),"+"," "),"&amp;"," "),"\"," "))&amp;" "</f>
        <v>  </v>
      </c>
      <c r="BE618" s="61" t="str">
        <f aca="false">" "&amp;TRIM(SUBSTITUTE(SUBSTITUTE(SUBSTITUTE(SUBSTITUTE(SUBSTITUTE(SUBSTITUTE(SUBSTITUTE(SUBSTITUTE(SUBSTITUTE(SUBSTITUTE(SUBSTITUTE(SUBSTITUTE(SUBSTITUTE(SUBSTITUTE(SUBSTITUTE(SUBSTITUTE(SUBSTITUTE(SUBSTITUTE(SUBSTITUTE(SUBSTITUTE(SUBSTITUTE(SUBSTITUTE(SUBSTITUTE(SUBSTITUTE(LOWER(W618&amp;""),CHAR(10)," "),CHAR(13)," "),CHAR(9)," "),CHAR(160)," "),"."," "),","," "),"-"," "),"/"," "),"("," "),")"," "),":"," "),";"," "),"_"," "),"–"," "),"?"," "),"!"," "),"*"," "),"["," "),"]"," "),"'"," "),"#"," "),"+"," "),"&amp;"," "),"\"," "))&amp;" "</f>
        <v>  </v>
      </c>
      <c r="BF618" s="61" t="str">
        <f aca="false">" "&amp;TRIM(SUBSTITUTE(SUBSTITUTE(SUBSTITUTE(SUBSTITUTE(SUBSTITUTE(SUBSTITUTE(SUBSTITUTE(SUBSTITUTE(SUBSTITUTE(SUBSTITUTE(SUBSTITUTE(SUBSTITUTE(SUBSTITUTE(SUBSTITUTE(SUBSTITUTE(SUBSTITUTE(SUBSTITUTE(SUBSTITUTE(SUBSTITUTE(SUBSTITUTE(SUBSTITUTE(SUBSTITUTE(SUBSTITUTE(SUBSTITUTE(LOWER(AC618&amp;""),CHAR(10)," "),CHAR(13)," "),CHAR(9)," "),CHAR(160)," "),"."," "),","," "),"-"," "),"/"," "),"("," "),")"," "),":"," "),";"," "),"_"," "),"–"," "),"?"," "),"!"," "),"*"," "),"["," "),"]"," "),"'"," "),"#"," "),"+"," "),"&amp;"," "),"\"," "))&amp;" "</f>
        <v>  </v>
      </c>
      <c r="BG618" s="61" t="n">
        <f aca="false">IFERROR(IF(AND(TRIM(U618)="Pass",SUMPRODUCT((LEN(BC618)-LEN(SUBSTITUTE(BC618," "&amp;L_ResultBad&amp;" "," ")))/(LEN(L_ResultBad)+1))&gt;SUMPRODUCT((LEN(BC618)-LEN(SUBSTITUTE(BC618," "&amp;L_NegPhrase&amp;" "," ")))/(LEN(L_NegPhrase)+1))),1,0),0)</f>
        <v>0</v>
      </c>
      <c r="BH618" s="61" t="n">
        <f aca="false">IFERROR(IF(SUMPRODUCT((LEN(BC618)-LEN(SUBSTITUTE(BC618," "&amp;L_Pending&amp;" "," ")))/(LEN(L_Pending)+1))&gt;SUMPRODUCT((LEN(BC618)-LEN(SUBSTITUTE(BC618," "&amp;L_PendNeg&amp;" "," ")))/(LEN(L_PendNeg)+1)),1,0),1)</f>
        <v>0</v>
      </c>
      <c r="BI618" s="61" t="n">
        <f aca="false">IFERROR(IF(SUMPRODUCT((LEN(BD618)-LEN(SUBSTITUTE(BD618," "&amp;L_PendStrict&amp;" "," ")))/(LEN(L_PendStrict)+1))&gt;SUMPRODUCT((LEN(BD618)-LEN(SUBSTITUTE(BD618," "&amp;L_PendNeg&amp;" "," ")))/(LEN(L_PendNeg)+1)),1,0),1)</f>
        <v>0</v>
      </c>
      <c r="BJ618" s="61" t="n">
        <f aca="false">IFERROR(IF(SUMPRODUCT((LEN(BE618)-LEN(SUBSTITUTE(BE618," "&amp;L_Pending&amp;" "," ")))/(LEN(L_Pending)+1))&gt;SUMPRODUCT((LEN(BE618)-LEN(SUBSTITUTE(BE618," "&amp;L_PendNeg&amp;" "," ")))/(LEN(L_PendNeg)+1)),1,0),1)</f>
        <v>0</v>
      </c>
      <c r="BK618" s="61" t="n">
        <f aca="false">IFERROR(IF(SUMPRODUCT((LEN(BF618)-LEN(SUBSTITUTE(BF618," "&amp;L_PendStrict&amp;" "," ")))/(LEN(L_PendStrict)+1))&gt;SUMPRODUCT((LEN(BF618)-LEN(SUBSTITUTE(BF618," "&amp;L_PendNeg&amp;" "," ")))/(LEN(L_PendNeg)+1)),1,0),1)</f>
        <v>0</v>
      </c>
      <c r="BL618" s="61" t="n">
        <f aca="false">IF(ISNA(MATCH(TRIM(S618),L_EvidenceType,0)),0,BZ618)</f>
        <v>0</v>
      </c>
      <c r="BM618" s="61" t="str">
        <f aca="false">SUBSTITUTE(SUBSTITUTE(SUBSTITUTE(SUBSTITUTE(SUBSTITUTE(SUBSTITUTE(SUBSTITUTE(SUBSTITUTE(SUBSTITUTE(LOWER(Z618&amp;""),"1","0"),"2","0"),"3","0"),"4","0"),"5","0"),"6","0"),"7","0"),"8","0"),"9","0")</f>
        <v/>
      </c>
      <c r="BN618" s="61" t="str">
        <f aca="false">SUBSTITUTE(SUBSTITUTE(SUBSTITUTE(SUBSTITUTE(SUBSTITUTE(SUBSTITUTE(SUBSTITUTE(SUBSTITUTE(SUBSTITUTE(SUBSTITUTE(SUBSTITUTE(SUBSTITUTE(SUBSTITUTE(SUBSTITUTE(SUBSTITUTE(SUBSTITUTE(SUBSTITUTE(SUBSTITUTE(SUBSTITUTE(SUBSTITUTE(SUBSTITUTE(SUBSTITUTE(SUBSTITUTE(SUBSTITUTE(SUBSTITUTE(BM618,"b","a"),"c","a"),"d","a"),"e","a"),"f","a"),"g","a"),"h","a"),"i","a"),"j","a"),"k","a"),"l","a"),"m","a"),"n","a"),"o","a"),"p","a"),"q","a"),"r","a"),"s","a"),"t","a"),"u","a"),"v","a"),"w","a"),"x","a"),"y","a"),"z","a")</f>
        <v/>
      </c>
      <c r="BO618" s="61" t="str">
        <f aca="false">SUBSTITUTE(SUBSTITUTE(SUBSTITUTE(SUBSTITUTE(SUBSTITUTE(SUBSTITUTE(SUBSTITUTE(SUBSTITUTE(SUBSTITUTE(LOWER(W618&amp;""),"1","0"),"2","0"),"3","0"),"4","0"),"5","0"),"6","0"),"7","0"),"8","0"),"9","0")</f>
        <v/>
      </c>
      <c r="BP618" s="61" t="str">
        <f aca="false">SUBSTITUTE(SUBSTITUTE(SUBSTITUTE(SUBSTITUTE(SUBSTITUTE(SUBSTITUTE(SUBSTITUTE(SUBSTITUTE(SUBSTITUTE(SUBSTITUTE(SUBSTITUTE(SUBSTITUTE(SUBSTITUTE(SUBSTITUTE(SUBSTITUTE(SUBSTITUTE(SUBSTITUTE(SUBSTITUTE(SUBSTITUTE(SUBSTITUTE(SUBSTITUTE(SUBSTITUTE(SUBSTITUTE(SUBSTITUTE(SUBSTITUTE(BO618,"b","a"),"c","a"),"d","a"),"e","a"),"f","a"),"g","a"),"h","a"),"i","a"),"j","a"),"k","a"),"l","a"),"m","a"),"n","a"),"o","a"),"p","a"),"q","a"),"r","a"),"s","a"),"t","a"),"u","a"),"v","a"),"w","a"),"x","a"),"y","a"),"z","a")</f>
        <v/>
      </c>
      <c r="BQ618" s="61" t="n">
        <f aca="false">IFERROR(IF(AND(ISERROR(SEARCH(" mh"," "&amp;LOWER(W618))),ISNA(MATCH(LEFT(TRIM(BP618),255),{"0000a","000a","00a","0000aa","000aa","00aa","0aa","0000aaa","000aaa","00a00","0a00","0000-0000","00:00","a00","a0","00.00.0000","00/00/0000","00-00-0000","0000-00-00","0000/00/00","0000.00.00","00.00.00","00/00/00","00-00-00","0.00.0000","0/00/0000","0-00-0000"},0)),ISNA(MATCH(LEFT(TRIM(CA618),255),{"0000a","000a","00a","0000aa","000aa","00aa","0aa","0000aaa","000aaa","00a00","0a00","0000-0000","00:00","a00","a0","00.00.0000","00/00/0000","00-00-0000","0000-00-00","0000/00/00","0000.00.00","00.00.00","00/00/00","00-00-00","0.00.0000","0/00/0000","0-00-0000"},0)),LEN(CB618)&gt;=3,NOT(OR(SUBSTITUTE(CB618,"0","")="",AND(LEN(CB618)&gt;=4,CB618=REPT(LEFT(CB618),LEN(CB618))),ISNUMBER(MATCH(CB618,{"123","1234","12345","123456","1234567","12345678","0123","01234","012345","98765","987654","54321"},0)),AND(LEN(CB618)=8,LEFT(CB618,3)="202"))),OR(AND((LEN(CA618)-LEN(SUBSTITUTE(CA618,"a","")))&gt;=1,SUMPRODUCT(--ISNUMBER(SEARCH({"a0","a-0","a_0","a/0","a.0","a#0","0a","0-a","0_a","0/a"},BP618)))&gt;0),ISNUMBER(SEARCH("000000",BP618)))),1,0),0)</f>
        <v>0</v>
      </c>
      <c r="BR618" s="61" t="n">
        <f aca="false">IFERROR(LEN(SUBSTITUTE(CC618," ",""))-SUMPRODUCT((LEN(CC618)-LEN(SUBSTITUTE(CC618," "&amp;L_Role&amp;" "," ")))/(LEN(L_Role)+1)*LEN(L_Role)),0)</f>
        <v>0</v>
      </c>
      <c r="BS618" s="61" t="n">
        <f aca="false">IFERROR(LEN(SUBSTITUTE(CD618," ",""))-SUMPRODUCT((LEN(CD618)-LEN(SUBSTITUTE(CD618," "&amp;L_Role&amp;" "," ")))/(LEN(L_Role)+1)*LEN(L_Role)),0)</f>
        <v>0</v>
      </c>
      <c r="BT6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618,"revision",""),"version",""),"jan",""),"feb",""),"mar",""),"apr",""),"may",""),"jun",""),"jul",""),"aug",""),"sep",""),"oct",""),"nov",""),"dec",""),"utc",""),"gmt",""),"myt",""),"bst",""),"rev",""),"ver",""),"b","a"),"c","a"),"d","a"),"e","a"),"f","a"),"g","a"),"h","a"),"i","a"),"j","a"),"k","a"),"l","a"),"m","a"),"n","a"),"o","a"),"p","a"),"q","a"),"r","a"),"s","a"),"t","a"),"u","a"),"v","a"),"w","a"),"x","a"),"y","a"),"z","a")</f>
        <v/>
      </c>
      <c r="BU618" s="61" t="str">
        <f aca="false">SUBSTITUTE(SUBSTITUTE(SUBSTITUTE(SUBSTITUTE(SUBSTITUTE(SUBSTITUTE(SUBSTITUTE(SUBSTITUTE(SUBSTITUTE(SUBSTITUTE(LEFT(BM618,FIND("0",BM618&amp;"0")-1),"-",""),"_",""),"/",""),".",""),"#",""),"\\",""),":","")," ",""),"(",""),")","")</f>
        <v/>
      </c>
      <c r="BV618" s="61" t="n">
        <f aca="false">IFERROR(IF(OR(SUMPRODUCT((LEN(BC618)-LEN(SUBSTITUTE(BC618," "&amp;L_NotLoaded&amp;" "," ")))/(LEN(L_NotLoaded)+1))&gt;SUMPRODUCT((LEN(BC618)-LEN(SUBSTITUTE(BC618," "&amp;L_NotLoadedNeg&amp;" "," ")))/(LEN(L_NotLoadedNeg)+1)),SUMPRODUCT((LEN(BD618)-LEN(SUBSTITUTE(BD618," "&amp;L_NotLoaded&amp;" "," ")))/(LEN(L_NotLoaded)+1))&gt;SUMPRODUCT((LEN(BD618)-LEN(SUBSTITUTE(BD618," "&amp;L_NotLoadedNeg&amp;" "," ")))/(LEN(L_NotLoadedNeg)+1))),1,0),0)</f>
        <v>0</v>
      </c>
      <c r="BW6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618&amp;""),"a",""),"b",""),"c",""),"d",""),"e",""),"f",""),"g",""),"h",""),"i",""),"j",""),"k",""),"l",""),"m",""),"n",""),"o",""),"p",""),"q",""),"r",""),"s",""),"t",""),"u",""),"v",""),"w",""),"x",""),"y",""),"z",""),"-",""),"_",""),"/",""),".",""),"#",""),"\\",""),":","")," ",""),"(",""),")","")</f>
        <v/>
      </c>
      <c r="BX618" s="61" t="str">
        <f aca="false">SUBSTITUTE(SUBSTITUTE(SUBSTITUTE(SUBSTITUTE(SUBSTITUTE(SUBSTITUTE(SUBSTITUTE(SUBSTITUTE(SUBSTITUTE(SUBSTITUTE(SUBSTITUTE(BM618,"0",""),"-",""),"_",""),"/",""),".",""),"#",""),"\\",""),":","")," ",""),"(",""),")","")</f>
        <v/>
      </c>
      <c r="BY618" s="62" t="n">
        <f aca="false">IF(ISNUMBER(Flights!$AZ$22),MAX(Q618-UpliftWindowH/24,Flights!$AZ$22),Q618-UpliftWindowH/24)</f>
        <v>46322.3506944444</v>
      </c>
      <c r="BZ618" s="61" t="n">
        <f aca="false">IFERROR(IF(IF(TRIM(S618)="Link / file path",AND(LEN(TRIM(Z618))&gt;=5,SUMPRODUCT(--ISNUMBER(SEARCH({"http","www.","\\",":\",".pdf",".jpg",".jpeg",".png",".heic",".xls",".doc",".msg",".eml",".ppt",".txt",".zip"},Z618)))&gt;0),AND(ISERROR(FIND(" ",TRIM(Z618))),NOT(OR(SUMPRODUCT(--ISNUMBER(FIND({",",";","&amp;","+"},Z618)))&gt;0,SUMPRODUCT(--ISNUMBER(SEARCH({"0/aa","0\\aa"},BN618)))&gt;0)),NOT(SUMPRODUCT(--ISNUMBER(SEARCH({"http","www.","\\",":\",".pdf",".jpg",".jpeg",".png",".heic",".xls",".doc",".msg",".eml",".ppt",".txt",".zip"},Z618)))&gt;0),NOT(LOWER(TRIM(Z618))=LOWER(Flights!$F$22)),ISNA(MATCH(BU618,{"mh","rev","revision","ver","version","v","r","a","b","seat","tray","row","gate","bay","stand","page","pg","item","line","no","cart","galley","flight","flt","table","box","bag","oven","etd","eta","std","sta","atd","ata","qty","pax","x","time","tel","ph","mob","day","wk","week","utc","gmt","myt","lt"},0)),NOT(OR(ISNUMBER(MATCH(LEFT(BN618,255),{"0000a","000a","00a","0000aa","000aa","00aa","0aa","0000aaa","000aaa","00a00","0a00","0000-0000","00:00","a00","a0","00.00.0000","00/00/0000","00-00-0000","0000-00-00","0000/00/00","0000.00.00","00.00.00","00/00/00","00-00-00","0.00.0000","0/00/0000","0-00-0000"},0)),ISNUMBER(MATCH(LEFT(BT618,255),{"0000a","000a","00a","0000aa","000aa","00aa","0aa","0000aaa","000aaa","00a00","0a00","0000-0000","00:00","a00","a0","00.00.0000","00/00/0000","00-00-0000","0000-00-00","0000/00/00","0000.00.00","00.00.00","00/00/00","00-00-00","0.00.0000","0/00/0000","0-00-0000"},0)))),NOT(OR(AND(BW618&lt;&gt;"",SUBSTITUTE(BW618,"0","")=""),AND(LEN(BW618)&gt;=4,BW618=REPT(LEFT(BW618),LEN(BW618))),ISNUMBER(MATCH(BW618,{"123","1234","12345","123456","1234567","12345678","0123","01234","012345","98765","987654","54321"},0)),ISNUMBER(MATCH(BX618,{"x","xx","xxx","xxxx","xxxxx","abc","abcd","nil","na","nan","test","tbc","tba","tbd","dummy","sample","example","eg","zz","zzz","none","null","xyz","qwe","asd","id","ref"},0)),AND(LEN(BW618)=8,BX618="",OR(LEFT(BW618,3)="202",ISNUMBER(MATCH(RIGHT(BW618,4),{"2025","2026","2027"},0)))))),OR(AND((LEN(BT618)-LEN(SUBSTITUTE(BT618,"a","")))&gt;=1,(LEN(BN618)-LEN(SUBSTITUTE(BN618,"0","")))&gt;=2,SUMPRODUCT(--ISNUMBER(SEARCH({"a0","a-0","a_0","a/0","a.0","a#0","0a","0-a","0_a","0/a"},BN618)))&gt;0),AND((LEN(BN618)-LEN(SUBSTITUTE(BN618,"a","")))=0,(LEN(BN618)-LEN(SUBSTITUTE(BN618,"0","")))&gt;=5)))),1,0),0)</f>
        <v>0</v>
      </c>
      <c r="CA6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618,"revision",""),"version",""),"jan",""),"feb",""),"mar",""),"apr",""),"may",""),"jun",""),"jul",""),"aug",""),"sep",""),"oct",""),"nov",""),"dec",""),"utc",""),"gmt",""),"myt",""),"bst",""),"rev",""),"ver",""),"b","a"),"c","a"),"d","a"),"e","a"),"f","a"),"g","a"),"h","a"),"i","a"),"j","a"),"k","a"),"l","a"),"m","a"),"n","a"),"o","a"),"p","a"),"q","a"),"r","a"),"s","a"),"t","a"),"u","a"),"v","a"),"w","a"),"x","a"),"y","a"),"z","a")</f>
        <v/>
      </c>
      <c r="CB6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618&amp;""),"a",""),"b",""),"c",""),"d",""),"e",""),"f",""),"g",""),"h",""),"i",""),"j",""),"k",""),"l",""),"m",""),"n",""),"o",""),"p",""),"q",""),"r",""),"s",""),"t",""),"u",""),"v",""),"w",""),"x",""),"y",""),"z",""),"-",""),"_",""),"/",""),".",""),"#",""),"\\",""),":","")," ",""),"(",""),")","")</f>
        <v/>
      </c>
      <c r="CC618" s="0" t="str">
        <f aca="false">" "&amp;TRIM(SUBSTITUTE(SUBSTITUTE(SUBSTITUTE(SUBSTITUTE(SUBSTITUTE(SUBSTITUTE(SUBSTITUTE(SUBSTITUTE(SUBSTITUTE(SUBSTITUTE(SUBSTITUTE(SUBSTITUTE(SUBSTITUTE(SUBSTITUTE(SUBSTITUTE(SUBSTITUTE(SUBSTITUTE(SUBSTITUTE(SUBSTITUTE(SUBSTITUTE(SUBSTITUTE(SUBSTITUTE(SUBSTITUTE(SUBSTITUTE(LOWER(T618&amp;""),CHAR(10)," "),CHAR(13)," "),CHAR(9)," "),CHAR(160)," "),"."," "),","," "),"-"," "),"/"," "),"("," "),")"," "),":"," "),";"," "),"_"," "),"–"," "),"?"," "),"!"," "),"*"," "),"["," "),"]"," "),"'"," "),"#"," "),"+"," "),"&amp;"," "),"\"," "))&amp;" "</f>
        <v>  </v>
      </c>
      <c r="CD618" s="0" t="str">
        <f aca="false">" "&amp;TRIM(SUBSTITUTE(SUBSTITUTE(SUBSTITUTE(SUBSTITUTE(SUBSTITUTE(SUBSTITUTE(SUBSTITUTE(SUBSTITUTE(SUBSTITUTE(SUBSTITUTE(SUBSTITUTE(SUBSTITUTE(SUBSTITUTE(SUBSTITUTE(SUBSTITUTE(SUBSTITUTE(SUBSTITUTE(SUBSTITUTE(SUBSTITUTE(SUBSTITUTE(SUBSTITUTE(SUBSTITUTE(SUBSTITUTE(SUBSTITUTE(LOWER(AE618&amp;""),CHAR(10)," "),CHAR(13)," "),CHAR(9)," "),CHAR(160)," "),"."," "),","," "),"-"," "),"/"," "),"("," "),")"," "),":"," "),";"," "),"_"," "),"–"," "),"?"," "),"!"," "),"*"," "),"["," "),"]"," "),"'"," "),"#"," "),"+"," "),"&amp;"," "),"\"," "))&amp;" "</f>
        <v>  </v>
      </c>
      <c r="CE618" s="68" t="n">
        <f aca="false">IFERROR(IF(AND(LEN(AU618)&gt;0,LEN(AU618)=LEN(AX618),OR(TRIM(MID(SUBSTITUTE(TRIM(CC618)," ",REPT(" ",60)),1,60))="",ISNUMBER(SEARCH(" "&amp;TRIM(MID(SUBSTITUTE(TRIM(CC618)," ",REPT(" ",60)),1,60))&amp;" ",CD618))),OR(TRIM(MID(SUBSTITUTE(TRIM(CC618)," ",REPT(" ",60)),61,60))="",ISNUMBER(SEARCH(" "&amp;TRIM(MID(SUBSTITUTE(TRIM(CC618)," ",REPT(" ",60)),61,60))&amp;" ",CD618))),OR(TRIM(MID(SUBSTITUTE(TRIM(CC618)," ",REPT(" ",60)),121,60))="",ISNUMBER(SEARCH(" "&amp;TRIM(MID(SUBSTITUTE(TRIM(CC618)," ",REPT(" ",60)),121,60))&amp;" ",CD618)))),1,0),0)</f>
        <v>0</v>
      </c>
      <c r="CG618" s="68" t="n">
        <f aca="false">IFERROR(LEN(SUBSTITUTE(BF618," ",""))-SUMPRODUCT((LEN(BF618)-LEN(SUBSTITUTE(BF618," "&amp;L_NAFiller&amp;" "," ")))/(LEN(L_NAFiller)+1)*LEN(L_NAFiller)),0)</f>
        <v>0</v>
      </c>
    </row>
    <row r="619" customFormat="false" ht="39.75" hidden="false" customHeight="true" outlineLevel="0" collapsed="false">
      <c r="A619" s="57" t="s">
        <v>1329</v>
      </c>
      <c r="B619" s="57" t="s">
        <v>301</v>
      </c>
      <c r="C619" s="57" t="str">
        <f aca="false">Flights!$F$23</f>
        <v>MH0053</v>
      </c>
      <c r="D619" s="58" t="n">
        <f aca="false">Flights!$D$23</f>
        <v>46324</v>
      </c>
      <c r="E619" s="57" t="str">
        <f aca="false">Flights!$G$23&amp;"-"&amp;Flights!$H$23</f>
        <v>KIX-KUL</v>
      </c>
      <c r="F619" s="57" t="str">
        <f aca="false">Flights!$K$23</f>
        <v>EY</v>
      </c>
      <c r="G619" s="57" t="s">
        <v>81</v>
      </c>
      <c r="H619" s="57" t="s">
        <v>378</v>
      </c>
      <c r="I619" s="57" t="s">
        <v>379</v>
      </c>
      <c r="J619" s="57" t="s">
        <v>380</v>
      </c>
      <c r="K619" s="67" t="s">
        <v>381</v>
      </c>
      <c r="L619" s="67" t="s">
        <v>382</v>
      </c>
      <c r="M619" s="67"/>
      <c r="N619" s="67" t="s">
        <v>383</v>
      </c>
      <c r="O619" s="67"/>
      <c r="P619" s="57" t="s">
        <v>295</v>
      </c>
      <c r="Q619" s="59" t="n">
        <f aca="false">ROUND((Flights!$AC$23)*1440,0)/1440</f>
        <v>46317.0277777778</v>
      </c>
      <c r="R619" s="59" t="n">
        <f aca="false">Q619+(IF(AND(INDEX(TZ_DSTS,MATCH(P619,TZ_STN,0))&lt;&gt;"",Q619&gt;=INDEX(TZ_DSTS,MATCH(P619,TZ_STN,0)),Q619&lt;INDEX(TZ_DSTE,MATCH(P619,TZ_STN,0))),INDEX(TZ_DST,MATCH(P619,TZ_STN,0)),INDEX(TZ_STD,MATCH(P619,TZ_STN,0))))/24</f>
        <v>46317.4027777778</v>
      </c>
      <c r="S619" s="60"/>
      <c r="T619" s="60"/>
      <c r="U619" s="60"/>
      <c r="V619" s="60"/>
      <c r="W619" s="61"/>
      <c r="X619" s="60"/>
      <c r="Y619" s="60"/>
      <c r="Z619" s="60"/>
      <c r="AA619" s="60"/>
      <c r="AB619" s="60"/>
      <c r="AC619" s="60"/>
      <c r="AD619" s="66"/>
      <c r="AE619" s="60"/>
      <c r="AF619" s="61" t="str">
        <f aca="false">IF(AND(ISNUMBER(X619),ISNUMBER(Y619)),Y619-X619,"")</f>
        <v/>
      </c>
      <c r="AG619" s="62" t="str">
        <f aca="false">IF(ISNUMBER(AD619),AD619-(IF(AND(INDEX(TZ_DSTS,MATCH(P619,TZ_STN,0))&lt;&gt;"",(AD619-INDEX(TZ_STD,MATCH(P619,TZ_STN,0))/24)&gt;=INDEX(TZ_DSTS,MATCH(P619,TZ_STN,0)),(AD619-INDEX(TZ_STD,MATCH(P619,TZ_STN,0))/24)&lt;INDEX(TZ_DSTE,MATCH(P619,TZ_STN,0))),INDEX(TZ_DST,MATCH(P619,TZ_STN,0)),INDEX(TZ_STD,MATCH(P619,TZ_STN,0))))/24,"")</f>
        <v/>
      </c>
      <c r="AH619" s="65" t="str">
        <f aca="false">IFERROR(IF(N619="N/A – rule",IF(OR(TRIM(U619)="",TRIM(U619)="N/A",TRIM(U619)="Not started"),"N/A – RULE","INVALID – this check does not apply to this aircraft: clear the status (or correct the fleet on Flights)"),IF(TRIM(U619)="N/A",IF(AT619=0,"INVALID – N/A not permitted for this check",IF(AND(TRIM(AB619)&lt;&gt;"",TRIM(AB619)&lt;&gt;"Closed"),"INVALID – corrective action still open",IF(AND(NOT(OR(LEN(AZ619)&lt;15,ISNUMBER(MATCH(AZ619,L_Placeholder,0)))),BK619=0,CG619&gt;=8,NOT(OR(LEN(AU619)&lt;2,ISNUMBER(MATCH(AU619,L_Placeholder,0)))),BR619&gt;=3,NOT(OR(LEN(AX619)&lt;2,ISNUMBER(MATCH(AX619,L_Placeholder,0)))),BS619&gt;=3,TRIM(AE619)&lt;&gt;TRIM(T619),AX619&lt;&gt;AU619,CE619=0),"N/A – JUSTIFIED","INVALID – N/A needs a real, settled reason (not 'not applicable' / 'as above' / TBC), a named PIC and a different named verifier"))),IF(OR(TRIM(U619)="Pass",TRIM(U619)="Pass after CA"),IF(NOT(ISNUMBER(AD619)),"INVALID – completion time missing",IF(OR(OR(LEN(AU619)&lt;2,ISNUMBER(MATCH(AU619,L_Placeholder,0))),BR619&lt;3),"INVALID – PIC missing or not a named person (a role such as QA / CSM is not a name)",IF(OR(LEN(AV619)&lt;2,ISNUMBER(MATCH(AV619,L_Placeholder,0))),"INVALID – result / assessment missing",IF(OR(OR(LEN(AW619)&lt;3,ISNUMBER(MATCH(AW619,L_Placeholder,0))),SUMPRODUCT(--ISNUMBER(SEARCH(" "&amp;L_EvidencePhrase&amp;" ",BD619)))&gt;0,BI619=1),"INVALID – evidence missing, placeholder or not yet on file",IF(ISNA(MATCH(TRIM(S619),L_EvidenceType,0)),"INVALID – choose the evidence type from the list (column S)",IF(BL619=0,"INVALID – evidence ID must be the record's own ID only (e.g. SF-2210, IMG_2231, 1045521); a link / file name needs type 'Link / file path'",IF(OR(OR(LEN(AX619)&lt;2,ISNUMBER(MATCH(AX619,L_Placeholder,0))),BS619&lt;3),"INVALID – verifier missing or not a named person (a role such as QA / CSM is not a name)",IF(OR(AX619=AU619,CE619=1,AND(LEN(AU619)&gt;=4,ISNUMBER(SEARCH(AU619,AX619))),AND(LEN(AX619)&gt;=4,ISNUMBER(SEARCH(AX619,AU619)))),"INVALID – verifier must be a different, named person (not the PIC or a role)",IF(BH619=1,"INVALID – result not yet available (awaiting / TBC)",IF(BG619=1,"INVALID – result describes a problem: record Fail, then Pass after CA (or reword if it is not a problem)",IF(BV619=1,"INVALID – wording says not on board: an on-board confirmation needs the item loaded",IF(AND(AQ619=1,OR(OR(LEN(AY619)&lt;3,ISNUMBER(MATCH(AY619,L_Placeholder,0))),BJ619=1,BQ619=0)),"INVALID – batch ID missing, placeholder or not an ID (e.g. PASB-261008-BC-017)",IF(AND(AR619=1,OR(NOT(ISNUMBER(X619)),NOT(ISNUMBER(Y619)))),"INVALID – expected/actual qty missing",IF(AND(AR619=1,OR(X619&lt;=0,Y619&lt;0)),"INVALID – expected qty must be above 0 and actual not negative",IF(BB619&lt;&gt;"",BB619,IF(AND(AS619=1,Documents!$J$23&lt;&gt;"ON FILE"),"INVALID – GLD not on file (Documents sheet)",IF(AND(AS619=2,Documents!$O$23&lt;&gt;"ON FILE"),"INVALID – menu checklist not on file (Documents sheet)",IF(AND(AS619=3,NOT(ISNUMBER(Flights!$AX$23))),"INVALID – enter carrying flight KUL departure (Flights AX)",IF(AND(AS619=3,OR(Flights!$AZ$23&gt;Flights!$AA$23,Flights!$AX$23&lt;Flights!$AA$23-3)),"INVALID – carrying flight (Flights AX) cannot arrive before this leg's STD, or is over 3 days early",IF(AG619&gt;AsOfUTC,"INVALID – completion time is in the future",IF(AND(ISNUMBER(BY619),AG619&lt;BY619),IF(H619="Physical uplift","INVALID – before uplift window (cannot confirm loading)","INVALID – before valid window"),IF(AG619&gt;Flights!$AA$23,"INVALID – completed after departure (cannot establish readiness)",IF(AND(H619="Preparation",AG619&gt;=IF(ISNUMBER(Flights!$BA$23),MIN(Flights!$BA$23,Flights!$AA$23),Flights!$AA$23)),"INVALID – completed after loading / departure (cannot establish readiness)",IF(AND(H619="Physical uplift",AG619&gt;Q619),"INVALID – recorded after the loading flight departed",IF(AG619&gt;Q619,"COMPLETE – LATE","COMPLETE"))))))))))))))))))))))))),IF(TRIM(U619)="Fail","FAIL – DISCREPANCY",IF(AND(TRIM(U619)&lt;&gt;"",TRIM(U619)&lt;&gt;"Not started",TRIM(U619)&lt;&gt;"In progress"),"INVALID – unrecognised status (use the list)",IF(AsOfUTC&gt;Q619,"OVERDUE",IF(N619="Clarification required","OPEN – CLARIFICATION","OPEN"))))))),"INVALID – error value in an input cell")</f>
        <v>OPEN</v>
      </c>
      <c r="AI619" s="61" t="n">
        <f aca="false">IF(OR(AH619="N/A – RULE",AH619="N/A – JUSTIFIED"),0,1)</f>
        <v>1</v>
      </c>
      <c r="AJ619" s="61" t="n">
        <f aca="false">IF(LEFT(AH619,8)="COMPLETE",1,0)</f>
        <v>0</v>
      </c>
      <c r="AK619" s="61" t="n">
        <f aca="false">IF(AND(AI619=1,AJ619=0,AsOfUTC&gt;Q619),1,0)</f>
        <v>0</v>
      </c>
      <c r="AL619" s="61" t="n">
        <f aca="false">IFERROR(IF(AND(AI619=1,OR(TRIM(U619)="Fail",AND(TRIM(AB619)&lt;&gt;"",TRIM(AB619)&lt;&gt;"Closed"),AND(ISNUMBER(AF619),AF619&lt;&gt;0,TRIM(U619)&lt;&gt;"Pass after CA"))),1,0),1)</f>
        <v>0</v>
      </c>
      <c r="AM619" s="61" t="n">
        <f aca="false">IF(LEFT(AH619,7)="INVALID",1,0)</f>
        <v>0</v>
      </c>
      <c r="AN619" s="61" t="n">
        <f aca="false">IF(AND(N619="Clarification required",AI619=1,AJ619=0),1,0)</f>
        <v>0</v>
      </c>
      <c r="AO619" s="61" t="str">
        <f aca="false">IF(AK619=1,SUM(AK$5:AK619),"")</f>
        <v/>
      </c>
      <c r="AP619" s="61" t="str">
        <f aca="false">IF(AL619=1,SUM(AL$5:AL619),"")</f>
        <v/>
      </c>
      <c r="AQ619" s="61" t="n">
        <v>0</v>
      </c>
      <c r="AR619" s="61" t="n">
        <v>0</v>
      </c>
      <c r="AS619" s="61" t="n">
        <v>0</v>
      </c>
      <c r="AT619" s="61" t="n">
        <v>0</v>
      </c>
      <c r="AU619" s="61" t="str">
        <f aca="false">SUBSTITUTE(SUBSTITUTE(SUBSTITUTE(SUBSTITUTE(SUBSTITUTE(SUBSTITUTE(SUBSTITUTE(SUBSTITUTE(SUBSTITUTE(SUBSTITUTE(SUBSTITUTE(SUBSTITUTE(SUBSTITUTE(SUBSTITUTE(SUBSTITUTE(SUBSTITUTE(LOWER(T619&amp;""),CHAR(10),""),CHAR(13),""),CHAR(9),""),CHAR(160),"")," ",""),".",""),"-",""),"/",""),"?",""),"_",""),",",""),"[",""),"]",""),"(",""),")",""),"*","")</f>
        <v/>
      </c>
      <c r="AV619" s="61" t="str">
        <f aca="false">SUBSTITUTE(SUBSTITUTE(SUBSTITUTE(SUBSTITUTE(SUBSTITUTE(SUBSTITUTE(SUBSTITUTE(SUBSTITUTE(SUBSTITUTE(SUBSTITUTE(SUBSTITUTE(SUBSTITUTE(SUBSTITUTE(SUBSTITUTE(SUBSTITUTE(SUBSTITUTE(LOWER(V619&amp;""),CHAR(10),""),CHAR(13),""),CHAR(9),""),CHAR(160),"")," ",""),".",""),"-",""),"/",""),"?",""),"_",""),",",""),"[",""),"]",""),"(",""),")",""),"*","")</f>
        <v/>
      </c>
      <c r="AW619" s="61" t="str">
        <f aca="false">SUBSTITUTE(SUBSTITUTE(SUBSTITUTE(SUBSTITUTE(SUBSTITUTE(SUBSTITUTE(SUBSTITUTE(SUBSTITUTE(SUBSTITUTE(SUBSTITUTE(SUBSTITUTE(SUBSTITUTE(SUBSTITUTE(SUBSTITUTE(SUBSTITUTE(SUBSTITUTE(LOWER(Z619&amp;""),CHAR(10),""),CHAR(13),""),CHAR(9),""),CHAR(160),"")," ",""),".",""),"-",""),"/",""),"?",""),"_",""),",",""),"[",""),"]",""),"(",""),")",""),"*","")</f>
        <v/>
      </c>
      <c r="AX619" s="61" t="str">
        <f aca="false">SUBSTITUTE(SUBSTITUTE(SUBSTITUTE(SUBSTITUTE(SUBSTITUTE(SUBSTITUTE(SUBSTITUTE(SUBSTITUTE(SUBSTITUTE(SUBSTITUTE(SUBSTITUTE(SUBSTITUTE(SUBSTITUTE(SUBSTITUTE(SUBSTITUTE(SUBSTITUTE(LOWER(AE619&amp;""),CHAR(10),""),CHAR(13),""),CHAR(9),""),CHAR(160),"")," ",""),".",""),"-",""),"/",""),"?",""),"_",""),",",""),"[",""),"]",""),"(",""),")",""),"*","")</f>
        <v/>
      </c>
      <c r="AY619" s="61" t="str">
        <f aca="false">SUBSTITUTE(SUBSTITUTE(SUBSTITUTE(SUBSTITUTE(SUBSTITUTE(SUBSTITUTE(SUBSTITUTE(SUBSTITUTE(SUBSTITUTE(SUBSTITUTE(SUBSTITUTE(SUBSTITUTE(SUBSTITUTE(SUBSTITUTE(SUBSTITUTE(SUBSTITUTE(LOWER(W619&amp;""),CHAR(10),""),CHAR(13),""),CHAR(9),""),CHAR(160),"")," ",""),".",""),"-",""),"/",""),"?",""),"_",""),",",""),"[",""),"]",""),"(",""),")",""),"*","")</f>
        <v/>
      </c>
      <c r="AZ619" s="61" t="str">
        <f aca="false">SUBSTITUTE(SUBSTITUTE(SUBSTITUTE(SUBSTITUTE(SUBSTITUTE(SUBSTITUTE(SUBSTITUTE(SUBSTITUTE(SUBSTITUTE(SUBSTITUTE(SUBSTITUTE(SUBSTITUTE(SUBSTITUTE(SUBSTITUTE(SUBSTITUTE(SUBSTITUTE(LOWER(AC619&amp;""),CHAR(10),""),CHAR(13),""),CHAR(9),""),CHAR(160),"")," ",""),".",""),"-",""),"/",""),"?",""),"_",""),",",""),"[",""),"]",""),"(",""),")",""),"*","")</f>
        <v/>
      </c>
      <c r="BA619" s="61" t="str">
        <f aca="false">SUBSTITUTE(SUBSTITUTE(SUBSTITUTE(SUBSTITUTE(SUBSTITUTE(SUBSTITUTE(SUBSTITUTE(SUBSTITUTE(SUBSTITUTE(SUBSTITUTE(SUBSTITUTE(SUBSTITUTE(SUBSTITUTE(SUBSTITUTE(SUBSTITUTE(SUBSTITUTE(LOWER(AA619&amp;""),CHAR(10),""),CHAR(13),""),CHAR(9),""),CHAR(160),"")," ",""),".",""),"-",""),"/",""),"?",""),"_",""),",",""),"[",""),"]",""),"(",""),")",""),"*","")</f>
        <v/>
      </c>
      <c r="BB619" s="61" t="str">
        <f aca="false">IF(AND(TRIM(U619)="Pass",ISNUMBER(AF619)),IF(AF619&lt;&gt;0,"INVALID – qty variance: use Fail or Pass after CA",""),"")&amp;IF(AND(TRIM(U619)="Pass after CA",ISNUMBER(AF619)),IF(AF619&lt;&gt;0,"INVALID – after the corrective action the actual qty must equal expected (update Actual)",""),"")&amp;IF(AND(TRIM(U619)="Pass",TRIM(AB619)&lt;&gt;"",TRIM(AB619)&lt;&gt;"Closed"),"INVALID – corrective action not closed: use Fail, then Pass after CA","")&amp;IF(AND(LEN(BA619)&gt;=2,ISNA(MATCH(LEFT(BA619,255),L_Placeholder,0)),TRIM(AB619)=""),"INVALID – CA status missing for the recorded corrective action","")&amp;IF(AND(TRIM(U619)="Pass after CA",OR(OR(LEN(BA619)&lt;5,ISNUMBER(MATCH(BA619,L_Placeholder,0))),TRIM(AB619)&lt;&gt;"Closed")),"INVALID – corrective action not recorded/closed","")</f>
        <v/>
      </c>
      <c r="BC619" s="61" t="str">
        <f aca="false">" "&amp;TRIM(SUBSTITUTE(SUBSTITUTE(SUBSTITUTE(SUBSTITUTE(SUBSTITUTE(SUBSTITUTE(SUBSTITUTE(SUBSTITUTE(SUBSTITUTE(SUBSTITUTE(SUBSTITUTE(SUBSTITUTE(SUBSTITUTE(SUBSTITUTE(SUBSTITUTE(SUBSTITUTE(SUBSTITUTE(SUBSTITUTE(SUBSTITUTE(SUBSTITUTE(SUBSTITUTE(SUBSTITUTE(SUBSTITUTE(SUBSTITUTE(LOWER(V619&amp;""),CHAR(10)," "),CHAR(13)," "),CHAR(9)," "),CHAR(160)," "),"."," "),","," "),"-"," "),"/"," "),"("," "),")"," "),":"," "),";"," "),"_"," "),"–"," "),"?"," "),"!"," "),"*"," "),"["," "),"]"," "),"'"," "),"#"," "),"+"," "),"&amp;"," "),"\"," "))&amp;" "</f>
        <v>  </v>
      </c>
      <c r="BD619" s="61" t="str">
        <f aca="false">" "&amp;TRIM(SUBSTITUTE(SUBSTITUTE(SUBSTITUTE(SUBSTITUTE(SUBSTITUTE(SUBSTITUTE(SUBSTITUTE(SUBSTITUTE(SUBSTITUTE(SUBSTITUTE(SUBSTITUTE(SUBSTITUTE(SUBSTITUTE(SUBSTITUTE(SUBSTITUTE(SUBSTITUTE(SUBSTITUTE(SUBSTITUTE(SUBSTITUTE(SUBSTITUTE(SUBSTITUTE(SUBSTITUTE(SUBSTITUTE(SUBSTITUTE(LOWER(Z619&amp;""),CHAR(10)," "),CHAR(13)," "),CHAR(9)," "),CHAR(160)," "),"."," "),","," "),"-"," "),"/"," "),"("," "),")"," "),":"," "),";"," "),"_"," "),"–"," "),"?"," "),"!"," "),"*"," "),"["," "),"]"," "),"'"," "),"#"," "),"+"," "),"&amp;"," "),"\"," "))&amp;" "</f>
        <v>  </v>
      </c>
      <c r="BE619" s="61" t="str">
        <f aca="false">" "&amp;TRIM(SUBSTITUTE(SUBSTITUTE(SUBSTITUTE(SUBSTITUTE(SUBSTITUTE(SUBSTITUTE(SUBSTITUTE(SUBSTITUTE(SUBSTITUTE(SUBSTITUTE(SUBSTITUTE(SUBSTITUTE(SUBSTITUTE(SUBSTITUTE(SUBSTITUTE(SUBSTITUTE(SUBSTITUTE(SUBSTITUTE(SUBSTITUTE(SUBSTITUTE(SUBSTITUTE(SUBSTITUTE(SUBSTITUTE(SUBSTITUTE(LOWER(W619&amp;""),CHAR(10)," "),CHAR(13)," "),CHAR(9)," "),CHAR(160)," "),"."," "),","," "),"-"," "),"/"," "),"("," "),")"," "),":"," "),";"," "),"_"," "),"–"," "),"?"," "),"!"," "),"*"," "),"["," "),"]"," "),"'"," "),"#"," "),"+"," "),"&amp;"," "),"\"," "))&amp;" "</f>
        <v>  </v>
      </c>
      <c r="BF619" s="61" t="str">
        <f aca="false">" "&amp;TRIM(SUBSTITUTE(SUBSTITUTE(SUBSTITUTE(SUBSTITUTE(SUBSTITUTE(SUBSTITUTE(SUBSTITUTE(SUBSTITUTE(SUBSTITUTE(SUBSTITUTE(SUBSTITUTE(SUBSTITUTE(SUBSTITUTE(SUBSTITUTE(SUBSTITUTE(SUBSTITUTE(SUBSTITUTE(SUBSTITUTE(SUBSTITUTE(SUBSTITUTE(SUBSTITUTE(SUBSTITUTE(SUBSTITUTE(SUBSTITUTE(LOWER(AC619&amp;""),CHAR(10)," "),CHAR(13)," "),CHAR(9)," "),CHAR(160)," "),"."," "),","," "),"-"," "),"/"," "),"("," "),")"," "),":"," "),";"," "),"_"," "),"–"," "),"?"," "),"!"," "),"*"," "),"["," "),"]"," "),"'"," "),"#"," "),"+"," "),"&amp;"," "),"\"," "))&amp;" "</f>
        <v>  </v>
      </c>
      <c r="BG619" s="61" t="n">
        <f aca="false">IFERROR(IF(AND(TRIM(U619)="Pass",SUMPRODUCT((LEN(BC619)-LEN(SUBSTITUTE(BC619," "&amp;L_ResultBad&amp;" "," ")))/(LEN(L_ResultBad)+1))&gt;SUMPRODUCT((LEN(BC619)-LEN(SUBSTITUTE(BC619," "&amp;L_NegPhrase&amp;" "," ")))/(LEN(L_NegPhrase)+1))),1,0),0)</f>
        <v>0</v>
      </c>
      <c r="BH619" s="61" t="n">
        <f aca="false">IFERROR(IF(SUMPRODUCT((LEN(BC619)-LEN(SUBSTITUTE(BC619," "&amp;L_Pending&amp;" "," ")))/(LEN(L_Pending)+1))&gt;SUMPRODUCT((LEN(BC619)-LEN(SUBSTITUTE(BC619," "&amp;L_PendNeg&amp;" "," ")))/(LEN(L_PendNeg)+1))+SUMPRODUCT((LEN(BC619)-LEN(SUBSTITUTE(BC619," "&amp;L_PendPrep&amp;" "," ")))/(LEN(L_PendPrep)+1)),1,0),1)</f>
        <v>0</v>
      </c>
      <c r="BI619" s="61" t="n">
        <f aca="false">IFERROR(IF(SUMPRODUCT((LEN(BD619)-LEN(SUBSTITUTE(BD619," "&amp;L_PendStrict&amp;" "," ")))/(LEN(L_PendStrict)+1))&gt;SUMPRODUCT((LEN(BD619)-LEN(SUBSTITUTE(BD619," "&amp;L_PendNeg&amp;" "," ")))/(LEN(L_PendNeg)+1)),1,0),1)</f>
        <v>0</v>
      </c>
      <c r="BJ619" s="61" t="n">
        <f aca="false">IFERROR(IF(SUMPRODUCT((LEN(BE619)-LEN(SUBSTITUTE(BE619," "&amp;L_Pending&amp;" "," ")))/(LEN(L_Pending)+1))&gt;SUMPRODUCT((LEN(BE619)-LEN(SUBSTITUTE(BE619," "&amp;L_PendNeg&amp;" "," ")))/(LEN(L_PendNeg)+1))+SUMPRODUCT((LEN(BE619)-LEN(SUBSTITUTE(BE619," "&amp;L_PendPrep&amp;" "," ")))/(LEN(L_PendPrep)+1)),1,0),1)</f>
        <v>0</v>
      </c>
      <c r="BK619" s="61" t="n">
        <f aca="false">IFERROR(IF(SUMPRODUCT((LEN(BF619)-LEN(SUBSTITUTE(BF619," "&amp;L_PendStrict&amp;" "," ")))/(LEN(L_PendStrict)+1))&gt;SUMPRODUCT((LEN(BF619)-LEN(SUBSTITUTE(BF619," "&amp;L_PendNeg&amp;" "," ")))/(LEN(L_PendNeg)+1)),1,0),1)</f>
        <v>0</v>
      </c>
      <c r="BL619" s="61" t="n">
        <f aca="false">IF(ISNA(MATCH(TRIM(S619),L_EvidenceType,0)),0,BZ619)</f>
        <v>0</v>
      </c>
      <c r="BM619" s="61" t="str">
        <f aca="false">SUBSTITUTE(SUBSTITUTE(SUBSTITUTE(SUBSTITUTE(SUBSTITUTE(SUBSTITUTE(SUBSTITUTE(SUBSTITUTE(SUBSTITUTE(LOWER(Z619&amp;""),"1","0"),"2","0"),"3","0"),"4","0"),"5","0"),"6","0"),"7","0"),"8","0"),"9","0")</f>
        <v/>
      </c>
      <c r="BN619" s="61" t="str">
        <f aca="false">SUBSTITUTE(SUBSTITUTE(SUBSTITUTE(SUBSTITUTE(SUBSTITUTE(SUBSTITUTE(SUBSTITUTE(SUBSTITUTE(SUBSTITUTE(SUBSTITUTE(SUBSTITUTE(SUBSTITUTE(SUBSTITUTE(SUBSTITUTE(SUBSTITUTE(SUBSTITUTE(SUBSTITUTE(SUBSTITUTE(SUBSTITUTE(SUBSTITUTE(SUBSTITUTE(SUBSTITUTE(SUBSTITUTE(SUBSTITUTE(SUBSTITUTE(BM619,"b","a"),"c","a"),"d","a"),"e","a"),"f","a"),"g","a"),"h","a"),"i","a"),"j","a"),"k","a"),"l","a"),"m","a"),"n","a"),"o","a"),"p","a"),"q","a"),"r","a"),"s","a"),"t","a"),"u","a"),"v","a"),"w","a"),"x","a"),"y","a"),"z","a")</f>
        <v/>
      </c>
      <c r="BO619" s="61" t="str">
        <f aca="false">SUBSTITUTE(SUBSTITUTE(SUBSTITUTE(SUBSTITUTE(SUBSTITUTE(SUBSTITUTE(SUBSTITUTE(SUBSTITUTE(SUBSTITUTE(LOWER(W619&amp;""),"1","0"),"2","0"),"3","0"),"4","0"),"5","0"),"6","0"),"7","0"),"8","0"),"9","0")</f>
        <v/>
      </c>
      <c r="BP619" s="61" t="str">
        <f aca="false">SUBSTITUTE(SUBSTITUTE(SUBSTITUTE(SUBSTITUTE(SUBSTITUTE(SUBSTITUTE(SUBSTITUTE(SUBSTITUTE(SUBSTITUTE(SUBSTITUTE(SUBSTITUTE(SUBSTITUTE(SUBSTITUTE(SUBSTITUTE(SUBSTITUTE(SUBSTITUTE(SUBSTITUTE(SUBSTITUTE(SUBSTITUTE(SUBSTITUTE(SUBSTITUTE(SUBSTITUTE(SUBSTITUTE(SUBSTITUTE(SUBSTITUTE(BO619,"b","a"),"c","a"),"d","a"),"e","a"),"f","a"),"g","a"),"h","a"),"i","a"),"j","a"),"k","a"),"l","a"),"m","a"),"n","a"),"o","a"),"p","a"),"q","a"),"r","a"),"s","a"),"t","a"),"u","a"),"v","a"),"w","a"),"x","a"),"y","a"),"z","a")</f>
        <v/>
      </c>
      <c r="BQ619" s="61" t="n">
        <f aca="false">IFERROR(IF(AND(ISERROR(SEARCH(" mh"," "&amp;LOWER(W619))),ISNA(MATCH(LEFT(TRIM(BP619),255),{"0000a","000a","00a","0000aa","000aa","00aa","0aa","0000aaa","000aaa","00a00","0a00","0000-0000","00:00","a00","a0","00.00.0000","00/00/0000","00-00-0000","0000-00-00","0000/00/00","0000.00.00","00.00.00","00/00/00","00-00-00","0.00.0000","0/00/0000","0-00-0000"},0)),ISNA(MATCH(LEFT(TRIM(CA619),255),{"0000a","000a","00a","0000aa","000aa","00aa","0aa","0000aaa","000aaa","00a00","0a00","0000-0000","00:00","a00","a0","00.00.0000","00/00/0000","00-00-0000","0000-00-00","0000/00/00","0000.00.00","00.00.00","00/00/00","00-00-00","0.00.0000","0/00/0000","0-00-0000"},0)),LEN(CB619)&gt;=3,NOT(OR(SUBSTITUTE(CB619,"0","")="",AND(LEN(CB619)&gt;=4,CB619=REPT(LEFT(CB619),LEN(CB619))),ISNUMBER(MATCH(CB619,{"123","1234","12345","123456","1234567","12345678","0123","01234","012345","98765","987654","54321"},0)),AND(LEN(CB619)=8,LEFT(CB619,3)="202"))),OR(AND((LEN(CA619)-LEN(SUBSTITUTE(CA619,"a","")))&gt;=1,SUMPRODUCT(--ISNUMBER(SEARCH({"a0","a-0","a_0","a/0","a.0","a#0","0a","0-a","0_a","0/a"},BP619)))&gt;0),ISNUMBER(SEARCH("000000",BP619)))),1,0),0)</f>
        <v>0</v>
      </c>
      <c r="BR619" s="61" t="n">
        <f aca="false">IFERROR(LEN(SUBSTITUTE(CC619," ",""))-SUMPRODUCT((LEN(CC619)-LEN(SUBSTITUTE(CC619," "&amp;L_Role&amp;" "," ")))/(LEN(L_Role)+1)*LEN(L_Role)),0)</f>
        <v>0</v>
      </c>
      <c r="BS619" s="61" t="n">
        <f aca="false">IFERROR(LEN(SUBSTITUTE(CD619," ",""))-SUMPRODUCT((LEN(CD619)-LEN(SUBSTITUTE(CD619," "&amp;L_Role&amp;" "," ")))/(LEN(L_Role)+1)*LEN(L_Role)),0)</f>
        <v>0</v>
      </c>
      <c r="BT6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619,"revision",""),"version",""),"jan",""),"feb",""),"mar",""),"apr",""),"may",""),"jun",""),"jul",""),"aug",""),"sep",""),"oct",""),"nov",""),"dec",""),"utc",""),"gmt",""),"myt",""),"bst",""),"rev",""),"ver",""),"b","a"),"c","a"),"d","a"),"e","a"),"f","a"),"g","a"),"h","a"),"i","a"),"j","a"),"k","a"),"l","a"),"m","a"),"n","a"),"o","a"),"p","a"),"q","a"),"r","a"),"s","a"),"t","a"),"u","a"),"v","a"),"w","a"),"x","a"),"y","a"),"z","a")</f>
        <v/>
      </c>
      <c r="BU619" s="61" t="str">
        <f aca="false">SUBSTITUTE(SUBSTITUTE(SUBSTITUTE(SUBSTITUTE(SUBSTITUTE(SUBSTITUTE(SUBSTITUTE(SUBSTITUTE(SUBSTITUTE(SUBSTITUTE(LEFT(BM619,FIND("0",BM619&amp;"0")-1),"-",""),"_",""),"/",""),".",""),"#",""),"\\",""),":","")," ",""),"(",""),")","")</f>
        <v/>
      </c>
      <c r="BV619" s="61" t="n">
        <f aca="false">0</f>
        <v>0</v>
      </c>
      <c r="BW6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619&amp;""),"a",""),"b",""),"c",""),"d",""),"e",""),"f",""),"g",""),"h",""),"i",""),"j",""),"k",""),"l",""),"m",""),"n",""),"o",""),"p",""),"q",""),"r",""),"s",""),"t",""),"u",""),"v",""),"w",""),"x",""),"y",""),"z",""),"-",""),"_",""),"/",""),".",""),"#",""),"\\",""),":","")," ",""),"(",""),")","")</f>
        <v/>
      </c>
      <c r="BX619" s="61" t="str">
        <f aca="false">SUBSTITUTE(SUBSTITUTE(SUBSTITUTE(SUBSTITUTE(SUBSTITUTE(SUBSTITUTE(SUBSTITUTE(SUBSTITUTE(SUBSTITUTE(SUBSTITUTE(SUBSTITUTE(BM619,"0",""),"-",""),"_",""),"/",""),".",""),"#",""),"\\",""),":","")," ",""),"(",""),")","")</f>
        <v/>
      </c>
      <c r="BY619" s="62" t="n">
        <f aca="false">Q619-T7EarlyD*24/24</f>
        <v>46303.0277777778</v>
      </c>
      <c r="BZ619" s="61" t="n">
        <f aca="false">IFERROR(IF(IF(TRIM(S619)="Link / file path",AND(LEN(TRIM(Z619))&gt;=5,SUMPRODUCT(--ISNUMBER(SEARCH({"http","www.","\\",":\",".pdf",".jpg",".jpeg",".png",".heic",".xls",".doc",".msg",".eml",".ppt",".txt",".zip"},Z619)))&gt;0),AND(ISERROR(FIND(" ",TRIM(Z619))),NOT(OR(SUMPRODUCT(--ISNUMBER(FIND({",",";","&amp;","+"},Z619)))&gt;0,SUMPRODUCT(--ISNUMBER(SEARCH({"0/aa","0\\aa"},BN619)))&gt;0)),NOT(SUMPRODUCT(--ISNUMBER(SEARCH({"http","www.","\\",":\",".pdf",".jpg",".jpeg",".png",".heic",".xls",".doc",".msg",".eml",".ppt",".txt",".zip"},Z619)))&gt;0),NOT(LOWER(TRIM(Z619))=LOWER(Flights!$F$23)),ISNA(MATCH(BU619,{"mh","rev","revision","ver","version","v","r","a","b","seat","tray","row","gate","bay","stand","page","pg","item","line","no","cart","galley","flight","flt","table","box","bag","oven","etd","eta","std","sta","atd","ata","qty","pax","x","time","tel","ph","mob","day","wk","week","utc","gmt","myt","lt"},0)),NOT(OR(ISNUMBER(MATCH(LEFT(BN619,255),{"0000a","000a","00a","0000aa","000aa","00aa","0aa","0000aaa","000aaa","00a00","0a00","0000-0000","00:00","a00","a0","00.00.0000","00/00/0000","00-00-0000","0000-00-00","0000/00/00","0000.00.00","00.00.00","00/00/00","00-00-00","0.00.0000","0/00/0000","0-00-0000"},0)),ISNUMBER(MATCH(LEFT(BT619,255),{"0000a","000a","00a","0000aa","000aa","00aa","0aa","0000aaa","000aaa","00a00","0a00","0000-0000","00:00","a00","a0","00.00.0000","00/00/0000","00-00-0000","0000-00-00","0000/00/00","0000.00.00","00.00.00","00/00/00","00-00-00","0.00.0000","0/00/0000","0-00-0000"},0)))),NOT(OR(AND(BW619&lt;&gt;"",SUBSTITUTE(BW619,"0","")=""),AND(LEN(BW619)&gt;=4,BW619=REPT(LEFT(BW619),LEN(BW619))),ISNUMBER(MATCH(BW619,{"123","1234","12345","123456","1234567","12345678","0123","01234","012345","98765","987654","54321"},0)),ISNUMBER(MATCH(BX619,{"x","xx","xxx","xxxx","xxxxx","abc","abcd","nil","na","nan","test","tbc","tba","tbd","dummy","sample","example","eg","zz","zzz","none","null","xyz","qwe","asd","id","ref"},0)),AND(LEN(BW619)=8,BX619="",OR(LEFT(BW619,3)="202",ISNUMBER(MATCH(RIGHT(BW619,4),{"2025","2026","2027"},0)))))),OR(AND((LEN(BT619)-LEN(SUBSTITUTE(BT619,"a","")))&gt;=1,(LEN(BN619)-LEN(SUBSTITUTE(BN619,"0","")))&gt;=2,SUMPRODUCT(--ISNUMBER(SEARCH({"a0","a-0","a_0","a/0","a.0","a#0","0a","0-a","0_a","0/a"},BN619)))&gt;0),AND((LEN(BN619)-LEN(SUBSTITUTE(BN619,"a","")))=0,(LEN(BN619)-LEN(SUBSTITUTE(BN619,"0","")))&gt;=5)))),1,0),0)</f>
        <v>0</v>
      </c>
      <c r="CA6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619,"revision",""),"version",""),"jan",""),"feb",""),"mar",""),"apr",""),"may",""),"jun",""),"jul",""),"aug",""),"sep",""),"oct",""),"nov",""),"dec",""),"utc",""),"gmt",""),"myt",""),"bst",""),"rev",""),"ver",""),"b","a"),"c","a"),"d","a"),"e","a"),"f","a"),"g","a"),"h","a"),"i","a"),"j","a"),"k","a"),"l","a"),"m","a"),"n","a"),"o","a"),"p","a"),"q","a"),"r","a"),"s","a"),"t","a"),"u","a"),"v","a"),"w","a"),"x","a"),"y","a"),"z","a")</f>
        <v/>
      </c>
      <c r="CB6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619&amp;""),"a",""),"b",""),"c",""),"d",""),"e",""),"f",""),"g",""),"h",""),"i",""),"j",""),"k",""),"l",""),"m",""),"n",""),"o",""),"p",""),"q",""),"r",""),"s",""),"t",""),"u",""),"v",""),"w",""),"x",""),"y",""),"z",""),"-",""),"_",""),"/",""),".",""),"#",""),"\\",""),":","")," ",""),"(",""),")","")</f>
        <v/>
      </c>
      <c r="CC619" s="0" t="str">
        <f aca="false">" "&amp;TRIM(SUBSTITUTE(SUBSTITUTE(SUBSTITUTE(SUBSTITUTE(SUBSTITUTE(SUBSTITUTE(SUBSTITUTE(SUBSTITUTE(SUBSTITUTE(SUBSTITUTE(SUBSTITUTE(SUBSTITUTE(SUBSTITUTE(SUBSTITUTE(SUBSTITUTE(SUBSTITUTE(SUBSTITUTE(SUBSTITUTE(SUBSTITUTE(SUBSTITUTE(SUBSTITUTE(SUBSTITUTE(SUBSTITUTE(SUBSTITUTE(LOWER(T619&amp;""),CHAR(10)," "),CHAR(13)," "),CHAR(9)," "),CHAR(160)," "),"."," "),","," "),"-"," "),"/"," "),"("," "),")"," "),":"," "),";"," "),"_"," "),"–"," "),"?"," "),"!"," "),"*"," "),"["," "),"]"," "),"'"," "),"#"," "),"+"," "),"&amp;"," "),"\"," "))&amp;" "</f>
        <v>  </v>
      </c>
      <c r="CD619" s="0" t="str">
        <f aca="false">" "&amp;TRIM(SUBSTITUTE(SUBSTITUTE(SUBSTITUTE(SUBSTITUTE(SUBSTITUTE(SUBSTITUTE(SUBSTITUTE(SUBSTITUTE(SUBSTITUTE(SUBSTITUTE(SUBSTITUTE(SUBSTITUTE(SUBSTITUTE(SUBSTITUTE(SUBSTITUTE(SUBSTITUTE(SUBSTITUTE(SUBSTITUTE(SUBSTITUTE(SUBSTITUTE(SUBSTITUTE(SUBSTITUTE(SUBSTITUTE(SUBSTITUTE(LOWER(AE619&amp;""),CHAR(10)," "),CHAR(13)," "),CHAR(9)," "),CHAR(160)," "),"."," "),","," "),"-"," "),"/"," "),"("," "),")"," "),":"," "),";"," "),"_"," "),"–"," "),"?"," "),"!"," "),"*"," "),"["," "),"]"," "),"'"," "),"#"," "),"+"," "),"&amp;"," "),"\"," "))&amp;" "</f>
        <v>  </v>
      </c>
      <c r="CE619" s="68" t="n">
        <f aca="false">IFERROR(IF(AND(LEN(AU619)&gt;0,LEN(AU619)=LEN(AX619),OR(TRIM(MID(SUBSTITUTE(TRIM(CC619)," ",REPT(" ",60)),1,60))="",ISNUMBER(SEARCH(" "&amp;TRIM(MID(SUBSTITUTE(TRIM(CC619)," ",REPT(" ",60)),1,60))&amp;" ",CD619))),OR(TRIM(MID(SUBSTITUTE(TRIM(CC619)," ",REPT(" ",60)),61,60))="",ISNUMBER(SEARCH(" "&amp;TRIM(MID(SUBSTITUTE(TRIM(CC619)," ",REPT(" ",60)),61,60))&amp;" ",CD619))),OR(TRIM(MID(SUBSTITUTE(TRIM(CC619)," ",REPT(" ",60)),121,60))="",ISNUMBER(SEARCH(" "&amp;TRIM(MID(SUBSTITUTE(TRIM(CC619)," ",REPT(" ",60)),121,60))&amp;" ",CD619)))),1,0),0)</f>
        <v>0</v>
      </c>
      <c r="CG619" s="68" t="n">
        <f aca="false">IFERROR(LEN(SUBSTITUTE(BF619," ",""))-SUMPRODUCT((LEN(BF619)-LEN(SUBSTITUTE(BF619," "&amp;L_NAFiller&amp;" "," ")))/(LEN(L_NAFiller)+1)*LEN(L_NAFiller)),0)</f>
        <v>0</v>
      </c>
    </row>
    <row r="620" customFormat="false" ht="39.75" hidden="false" customHeight="true" outlineLevel="0" collapsed="false">
      <c r="A620" s="57" t="s">
        <v>1330</v>
      </c>
      <c r="B620" s="57" t="s">
        <v>301</v>
      </c>
      <c r="C620" s="57" t="str">
        <f aca="false">Flights!$F$23</f>
        <v>MH0053</v>
      </c>
      <c r="D620" s="58" t="n">
        <f aca="false">Flights!$D$23</f>
        <v>46324</v>
      </c>
      <c r="E620" s="57" t="str">
        <f aca="false">Flights!$G$23&amp;"-"&amp;Flights!$H$23</f>
        <v>KIX-KUL</v>
      </c>
      <c r="F620" s="57" t="str">
        <f aca="false">Flights!$K$23</f>
        <v>EY</v>
      </c>
      <c r="G620" s="57" t="s">
        <v>81</v>
      </c>
      <c r="H620" s="57" t="s">
        <v>378</v>
      </c>
      <c r="I620" s="57" t="s">
        <v>385</v>
      </c>
      <c r="J620" s="57" t="s">
        <v>386</v>
      </c>
      <c r="K620" s="67" t="s">
        <v>387</v>
      </c>
      <c r="L620" s="67" t="s">
        <v>382</v>
      </c>
      <c r="M620" s="67"/>
      <c r="N620" s="67" t="s">
        <v>383</v>
      </c>
      <c r="O620" s="67"/>
      <c r="P620" s="57" t="s">
        <v>295</v>
      </c>
      <c r="Q620" s="59" t="n">
        <f aca="false">ROUND((Flights!$AC$23)*1440,0)/1440</f>
        <v>46317.0277777778</v>
      </c>
      <c r="R620" s="59" t="n">
        <f aca="false">Q620+(IF(AND(INDEX(TZ_DSTS,MATCH(P620,TZ_STN,0))&lt;&gt;"",Q620&gt;=INDEX(TZ_DSTS,MATCH(P620,TZ_STN,0)),Q620&lt;INDEX(TZ_DSTE,MATCH(P620,TZ_STN,0))),INDEX(TZ_DST,MATCH(P620,TZ_STN,0)),INDEX(TZ_STD,MATCH(P620,TZ_STN,0))))/24</f>
        <v>46317.4027777778</v>
      </c>
      <c r="S620" s="60"/>
      <c r="T620" s="60"/>
      <c r="U620" s="60"/>
      <c r="V620" s="60"/>
      <c r="W620" s="61"/>
      <c r="X620" s="60"/>
      <c r="Y620" s="60"/>
      <c r="Z620" s="60"/>
      <c r="AA620" s="60"/>
      <c r="AB620" s="60"/>
      <c r="AC620" s="60"/>
      <c r="AD620" s="66"/>
      <c r="AE620" s="60"/>
      <c r="AF620" s="61" t="str">
        <f aca="false">IF(AND(ISNUMBER(X620),ISNUMBER(Y620)),Y620-X620,"")</f>
        <v/>
      </c>
      <c r="AG620" s="62" t="str">
        <f aca="false">IF(ISNUMBER(AD620),AD620-(IF(AND(INDEX(TZ_DSTS,MATCH(P620,TZ_STN,0))&lt;&gt;"",(AD620-INDEX(TZ_STD,MATCH(P620,TZ_STN,0))/24)&gt;=INDEX(TZ_DSTS,MATCH(P620,TZ_STN,0)),(AD620-INDEX(TZ_STD,MATCH(P620,TZ_STN,0))/24)&lt;INDEX(TZ_DSTE,MATCH(P620,TZ_STN,0))),INDEX(TZ_DST,MATCH(P620,TZ_STN,0)),INDEX(TZ_STD,MATCH(P620,TZ_STN,0))))/24,"")</f>
        <v/>
      </c>
      <c r="AH620" s="65" t="str">
        <f aca="false">IFERROR(IF(N620="N/A – rule",IF(OR(TRIM(U620)="",TRIM(U620)="N/A",TRIM(U620)="Not started"),"N/A – RULE","INVALID – this check does not apply to this aircraft: clear the status (or correct the fleet on Flights)"),IF(TRIM(U620)="N/A",IF(AT620=0,"INVALID – N/A not permitted for this check",IF(AND(TRIM(AB620)&lt;&gt;"",TRIM(AB620)&lt;&gt;"Closed"),"INVALID – corrective action still open",IF(AND(NOT(OR(LEN(AZ620)&lt;15,ISNUMBER(MATCH(AZ620,L_Placeholder,0)))),BK620=0,CG620&gt;=8,NOT(OR(LEN(AU620)&lt;2,ISNUMBER(MATCH(AU620,L_Placeholder,0)))),BR620&gt;=3,NOT(OR(LEN(AX620)&lt;2,ISNUMBER(MATCH(AX620,L_Placeholder,0)))),BS620&gt;=3,TRIM(AE620)&lt;&gt;TRIM(T620),AX620&lt;&gt;AU620,CE620=0),"N/A – JUSTIFIED","INVALID – N/A needs a real, settled reason (not 'not applicable' / 'as above' / TBC), a named PIC and a different named verifier"))),IF(OR(TRIM(U620)="Pass",TRIM(U620)="Pass after CA"),IF(NOT(ISNUMBER(AD620)),"INVALID – completion time missing",IF(OR(OR(LEN(AU620)&lt;2,ISNUMBER(MATCH(AU620,L_Placeholder,0))),BR620&lt;3),"INVALID – PIC missing or not a named person (a role such as QA / CSM is not a name)",IF(OR(LEN(AV620)&lt;2,ISNUMBER(MATCH(AV620,L_Placeholder,0))),"INVALID – result / assessment missing",IF(OR(OR(LEN(AW620)&lt;3,ISNUMBER(MATCH(AW620,L_Placeholder,0))),SUMPRODUCT(--ISNUMBER(SEARCH(" "&amp;L_EvidencePhrase&amp;" ",BD620)))&gt;0,BI620=1),"INVALID – evidence missing, placeholder or not yet on file",IF(ISNA(MATCH(TRIM(S620),L_EvidenceType,0)),"INVALID – choose the evidence type from the list (column S)",IF(BL620=0,"INVALID – evidence ID must be the record's own ID only (e.g. SF-2210, IMG_2231, 1045521); a link / file name needs type 'Link / file path'",IF(OR(OR(LEN(AX620)&lt;2,ISNUMBER(MATCH(AX620,L_Placeholder,0))),BS620&lt;3),"INVALID – verifier missing or not a named person (a role such as QA / CSM is not a name)",IF(OR(AX620=AU620,CE620=1,AND(LEN(AU620)&gt;=4,ISNUMBER(SEARCH(AU620,AX620))),AND(LEN(AX620)&gt;=4,ISNUMBER(SEARCH(AX620,AU620)))),"INVALID – verifier must be a different, named person (not the PIC or a role)",IF(BH620=1,"INVALID – result not yet available (awaiting / TBC)",IF(BG620=1,"INVALID – result describes a problem: record Fail, then Pass after CA (or reword if it is not a problem)",IF(BV620=1,"INVALID – wording says not on board: an on-board confirmation needs the item loaded",IF(AND(AQ620=1,OR(OR(LEN(AY620)&lt;3,ISNUMBER(MATCH(AY620,L_Placeholder,0))),BJ620=1,BQ620=0)),"INVALID – batch ID missing, placeholder or not an ID (e.g. PASB-261008-BC-017)",IF(AND(AR620=1,OR(NOT(ISNUMBER(X620)),NOT(ISNUMBER(Y620)))),"INVALID – expected/actual qty missing",IF(AND(AR620=1,OR(X620&lt;=0,Y620&lt;0)),"INVALID – expected qty must be above 0 and actual not negative",IF(BB620&lt;&gt;"",BB620,IF(AND(AS620=1,Documents!$J$23&lt;&gt;"ON FILE"),"INVALID – GLD not on file (Documents sheet)",IF(AND(AS620=2,Documents!$O$23&lt;&gt;"ON FILE"),"INVALID – menu checklist not on file (Documents sheet)",IF(AND(AS620=3,NOT(ISNUMBER(Flights!$AX$23))),"INVALID – enter carrying flight KUL departure (Flights AX)",IF(AND(AS620=3,OR(Flights!$AZ$23&gt;Flights!$AA$23,Flights!$AX$23&lt;Flights!$AA$23-3)),"INVALID – carrying flight (Flights AX) cannot arrive before this leg's STD, or is over 3 days early",IF(AG620&gt;AsOfUTC,"INVALID – completion time is in the future",IF(AND(ISNUMBER(BY620),AG620&lt;BY620),IF(H620="Physical uplift","INVALID – before uplift window (cannot confirm loading)","INVALID – before valid window"),IF(AG620&gt;Flights!$AA$23,"INVALID – completed after departure (cannot establish readiness)",IF(AND(H620="Preparation",AG620&gt;=IF(ISNUMBER(Flights!$BA$23),MIN(Flights!$BA$23,Flights!$AA$23),Flights!$AA$23)),"INVALID – completed after loading / departure (cannot establish readiness)",IF(AND(H620="Physical uplift",AG620&gt;Q620),"INVALID – recorded after the loading flight departed",IF(AG620&gt;Q620,"COMPLETE – LATE","COMPLETE"))))))))))))))))))))))))),IF(TRIM(U620)="Fail","FAIL – DISCREPANCY",IF(AND(TRIM(U620)&lt;&gt;"",TRIM(U620)&lt;&gt;"Not started",TRIM(U620)&lt;&gt;"In progress"),"INVALID – unrecognised status (use the list)",IF(AsOfUTC&gt;Q620,"OVERDUE",IF(N620="Clarification required","OPEN – CLARIFICATION","OPEN"))))))),"INVALID – error value in an input cell")</f>
        <v>OPEN</v>
      </c>
      <c r="AI620" s="61" t="n">
        <f aca="false">IF(OR(AH620="N/A – RULE",AH620="N/A – JUSTIFIED"),0,1)</f>
        <v>1</v>
      </c>
      <c r="AJ620" s="61" t="n">
        <f aca="false">IF(LEFT(AH620,8)="COMPLETE",1,0)</f>
        <v>0</v>
      </c>
      <c r="AK620" s="61" t="n">
        <f aca="false">IF(AND(AI620=1,AJ620=0,AsOfUTC&gt;Q620),1,0)</f>
        <v>0</v>
      </c>
      <c r="AL620" s="61" t="n">
        <f aca="false">IFERROR(IF(AND(AI620=1,OR(TRIM(U620)="Fail",AND(TRIM(AB620)&lt;&gt;"",TRIM(AB620)&lt;&gt;"Closed"),AND(ISNUMBER(AF620),AF620&lt;&gt;0,TRIM(U620)&lt;&gt;"Pass after CA"))),1,0),1)</f>
        <v>0</v>
      </c>
      <c r="AM620" s="61" t="n">
        <f aca="false">IF(LEFT(AH620,7)="INVALID",1,0)</f>
        <v>0</v>
      </c>
      <c r="AN620" s="61" t="n">
        <f aca="false">IF(AND(N620="Clarification required",AI620=1,AJ620=0),1,0)</f>
        <v>0</v>
      </c>
      <c r="AO620" s="61" t="str">
        <f aca="false">IF(AK620=1,SUM(AK$5:AK620),"")</f>
        <v/>
      </c>
      <c r="AP620" s="61" t="str">
        <f aca="false">IF(AL620=1,SUM(AL$5:AL620),"")</f>
        <v/>
      </c>
      <c r="AQ620" s="61" t="n">
        <v>0</v>
      </c>
      <c r="AR620" s="61" t="n">
        <v>0</v>
      </c>
      <c r="AS620" s="61" t="n">
        <v>0</v>
      </c>
      <c r="AT620" s="61" t="n">
        <v>0</v>
      </c>
      <c r="AU620" s="61" t="str">
        <f aca="false">SUBSTITUTE(SUBSTITUTE(SUBSTITUTE(SUBSTITUTE(SUBSTITUTE(SUBSTITUTE(SUBSTITUTE(SUBSTITUTE(SUBSTITUTE(SUBSTITUTE(SUBSTITUTE(SUBSTITUTE(SUBSTITUTE(SUBSTITUTE(SUBSTITUTE(SUBSTITUTE(LOWER(T620&amp;""),CHAR(10),""),CHAR(13),""),CHAR(9),""),CHAR(160),"")," ",""),".",""),"-",""),"/",""),"?",""),"_",""),",",""),"[",""),"]",""),"(",""),")",""),"*","")</f>
        <v/>
      </c>
      <c r="AV620" s="61" t="str">
        <f aca="false">SUBSTITUTE(SUBSTITUTE(SUBSTITUTE(SUBSTITUTE(SUBSTITUTE(SUBSTITUTE(SUBSTITUTE(SUBSTITUTE(SUBSTITUTE(SUBSTITUTE(SUBSTITUTE(SUBSTITUTE(SUBSTITUTE(SUBSTITUTE(SUBSTITUTE(SUBSTITUTE(LOWER(V620&amp;""),CHAR(10),""),CHAR(13),""),CHAR(9),""),CHAR(160),"")," ",""),".",""),"-",""),"/",""),"?",""),"_",""),",",""),"[",""),"]",""),"(",""),")",""),"*","")</f>
        <v/>
      </c>
      <c r="AW620" s="61" t="str">
        <f aca="false">SUBSTITUTE(SUBSTITUTE(SUBSTITUTE(SUBSTITUTE(SUBSTITUTE(SUBSTITUTE(SUBSTITUTE(SUBSTITUTE(SUBSTITUTE(SUBSTITUTE(SUBSTITUTE(SUBSTITUTE(SUBSTITUTE(SUBSTITUTE(SUBSTITUTE(SUBSTITUTE(LOWER(Z620&amp;""),CHAR(10),""),CHAR(13),""),CHAR(9),""),CHAR(160),"")," ",""),".",""),"-",""),"/",""),"?",""),"_",""),",",""),"[",""),"]",""),"(",""),")",""),"*","")</f>
        <v/>
      </c>
      <c r="AX620" s="61" t="str">
        <f aca="false">SUBSTITUTE(SUBSTITUTE(SUBSTITUTE(SUBSTITUTE(SUBSTITUTE(SUBSTITUTE(SUBSTITUTE(SUBSTITUTE(SUBSTITUTE(SUBSTITUTE(SUBSTITUTE(SUBSTITUTE(SUBSTITUTE(SUBSTITUTE(SUBSTITUTE(SUBSTITUTE(LOWER(AE620&amp;""),CHAR(10),""),CHAR(13),""),CHAR(9),""),CHAR(160),"")," ",""),".",""),"-",""),"/",""),"?",""),"_",""),",",""),"[",""),"]",""),"(",""),")",""),"*","")</f>
        <v/>
      </c>
      <c r="AY620" s="61" t="str">
        <f aca="false">SUBSTITUTE(SUBSTITUTE(SUBSTITUTE(SUBSTITUTE(SUBSTITUTE(SUBSTITUTE(SUBSTITUTE(SUBSTITUTE(SUBSTITUTE(SUBSTITUTE(SUBSTITUTE(SUBSTITUTE(SUBSTITUTE(SUBSTITUTE(SUBSTITUTE(SUBSTITUTE(LOWER(W620&amp;""),CHAR(10),""),CHAR(13),""),CHAR(9),""),CHAR(160),"")," ",""),".",""),"-",""),"/",""),"?",""),"_",""),",",""),"[",""),"]",""),"(",""),")",""),"*","")</f>
        <v/>
      </c>
      <c r="AZ620" s="61" t="str">
        <f aca="false">SUBSTITUTE(SUBSTITUTE(SUBSTITUTE(SUBSTITUTE(SUBSTITUTE(SUBSTITUTE(SUBSTITUTE(SUBSTITUTE(SUBSTITUTE(SUBSTITUTE(SUBSTITUTE(SUBSTITUTE(SUBSTITUTE(SUBSTITUTE(SUBSTITUTE(SUBSTITUTE(LOWER(AC620&amp;""),CHAR(10),""),CHAR(13),""),CHAR(9),""),CHAR(160),"")," ",""),".",""),"-",""),"/",""),"?",""),"_",""),",",""),"[",""),"]",""),"(",""),")",""),"*","")</f>
        <v/>
      </c>
      <c r="BA620" s="61" t="str">
        <f aca="false">SUBSTITUTE(SUBSTITUTE(SUBSTITUTE(SUBSTITUTE(SUBSTITUTE(SUBSTITUTE(SUBSTITUTE(SUBSTITUTE(SUBSTITUTE(SUBSTITUTE(SUBSTITUTE(SUBSTITUTE(SUBSTITUTE(SUBSTITUTE(SUBSTITUTE(SUBSTITUTE(LOWER(AA620&amp;""),CHAR(10),""),CHAR(13),""),CHAR(9),""),CHAR(160),"")," ",""),".",""),"-",""),"/",""),"?",""),"_",""),",",""),"[",""),"]",""),"(",""),")",""),"*","")</f>
        <v/>
      </c>
      <c r="BB620" s="61" t="str">
        <f aca="false">IF(AND(TRIM(U620)="Pass",ISNUMBER(AF620)),IF(AF620&lt;&gt;0,"INVALID – qty variance: use Fail or Pass after CA",""),"")&amp;IF(AND(TRIM(U620)="Pass after CA",ISNUMBER(AF620)),IF(AF620&lt;&gt;0,"INVALID – after the corrective action the actual qty must equal expected (update Actual)",""),"")&amp;IF(AND(TRIM(U620)="Pass",TRIM(AB620)&lt;&gt;"",TRIM(AB620)&lt;&gt;"Closed"),"INVALID – corrective action not closed: use Fail, then Pass after CA","")&amp;IF(AND(LEN(BA620)&gt;=2,ISNA(MATCH(LEFT(BA620,255),L_Placeholder,0)),TRIM(AB620)=""),"INVALID – CA status missing for the recorded corrective action","")&amp;IF(AND(TRIM(U620)="Pass after CA",OR(OR(LEN(BA620)&lt;5,ISNUMBER(MATCH(BA620,L_Placeholder,0))),TRIM(AB620)&lt;&gt;"Closed")),"INVALID – corrective action not recorded/closed","")</f>
        <v/>
      </c>
      <c r="BC620" s="61" t="str">
        <f aca="false">" "&amp;TRIM(SUBSTITUTE(SUBSTITUTE(SUBSTITUTE(SUBSTITUTE(SUBSTITUTE(SUBSTITUTE(SUBSTITUTE(SUBSTITUTE(SUBSTITUTE(SUBSTITUTE(SUBSTITUTE(SUBSTITUTE(SUBSTITUTE(SUBSTITUTE(SUBSTITUTE(SUBSTITUTE(SUBSTITUTE(SUBSTITUTE(SUBSTITUTE(SUBSTITUTE(SUBSTITUTE(SUBSTITUTE(SUBSTITUTE(SUBSTITUTE(LOWER(V620&amp;""),CHAR(10)," "),CHAR(13)," "),CHAR(9)," "),CHAR(160)," "),"."," "),","," "),"-"," "),"/"," "),"("," "),")"," "),":"," "),";"," "),"_"," "),"–"," "),"?"," "),"!"," "),"*"," "),"["," "),"]"," "),"'"," "),"#"," "),"+"," "),"&amp;"," "),"\"," "))&amp;" "</f>
        <v>  </v>
      </c>
      <c r="BD620" s="61" t="str">
        <f aca="false">" "&amp;TRIM(SUBSTITUTE(SUBSTITUTE(SUBSTITUTE(SUBSTITUTE(SUBSTITUTE(SUBSTITUTE(SUBSTITUTE(SUBSTITUTE(SUBSTITUTE(SUBSTITUTE(SUBSTITUTE(SUBSTITUTE(SUBSTITUTE(SUBSTITUTE(SUBSTITUTE(SUBSTITUTE(SUBSTITUTE(SUBSTITUTE(SUBSTITUTE(SUBSTITUTE(SUBSTITUTE(SUBSTITUTE(SUBSTITUTE(SUBSTITUTE(LOWER(Z620&amp;""),CHAR(10)," "),CHAR(13)," "),CHAR(9)," "),CHAR(160)," "),"."," "),","," "),"-"," "),"/"," "),"("," "),")"," "),":"," "),";"," "),"_"," "),"–"," "),"?"," "),"!"," "),"*"," "),"["," "),"]"," "),"'"," "),"#"," "),"+"," "),"&amp;"," "),"\"," "))&amp;" "</f>
        <v>  </v>
      </c>
      <c r="BE620" s="61" t="str">
        <f aca="false">" "&amp;TRIM(SUBSTITUTE(SUBSTITUTE(SUBSTITUTE(SUBSTITUTE(SUBSTITUTE(SUBSTITUTE(SUBSTITUTE(SUBSTITUTE(SUBSTITUTE(SUBSTITUTE(SUBSTITUTE(SUBSTITUTE(SUBSTITUTE(SUBSTITUTE(SUBSTITUTE(SUBSTITUTE(SUBSTITUTE(SUBSTITUTE(SUBSTITUTE(SUBSTITUTE(SUBSTITUTE(SUBSTITUTE(SUBSTITUTE(SUBSTITUTE(LOWER(W620&amp;""),CHAR(10)," "),CHAR(13)," "),CHAR(9)," "),CHAR(160)," "),"."," "),","," "),"-"," "),"/"," "),"("," "),")"," "),":"," "),";"," "),"_"," "),"–"," "),"?"," "),"!"," "),"*"," "),"["," "),"]"," "),"'"," "),"#"," "),"+"," "),"&amp;"," "),"\"," "))&amp;" "</f>
        <v>  </v>
      </c>
      <c r="BF620" s="61" t="str">
        <f aca="false">" "&amp;TRIM(SUBSTITUTE(SUBSTITUTE(SUBSTITUTE(SUBSTITUTE(SUBSTITUTE(SUBSTITUTE(SUBSTITUTE(SUBSTITUTE(SUBSTITUTE(SUBSTITUTE(SUBSTITUTE(SUBSTITUTE(SUBSTITUTE(SUBSTITUTE(SUBSTITUTE(SUBSTITUTE(SUBSTITUTE(SUBSTITUTE(SUBSTITUTE(SUBSTITUTE(SUBSTITUTE(SUBSTITUTE(SUBSTITUTE(SUBSTITUTE(LOWER(AC620&amp;""),CHAR(10)," "),CHAR(13)," "),CHAR(9)," "),CHAR(160)," "),"."," "),","," "),"-"," "),"/"," "),"("," "),")"," "),":"," "),";"," "),"_"," "),"–"," "),"?"," "),"!"," "),"*"," "),"["," "),"]"," "),"'"," "),"#"," "),"+"," "),"&amp;"," "),"\"," "))&amp;" "</f>
        <v>  </v>
      </c>
      <c r="BG620" s="61" t="n">
        <f aca="false">IFERROR(IF(AND(TRIM(U620)="Pass",SUMPRODUCT((LEN(BC620)-LEN(SUBSTITUTE(BC620," "&amp;L_ResultBad&amp;" "," ")))/(LEN(L_ResultBad)+1))&gt;SUMPRODUCT((LEN(BC620)-LEN(SUBSTITUTE(BC620," "&amp;L_NegPhrase&amp;" "," ")))/(LEN(L_NegPhrase)+1))),1,0),0)</f>
        <v>0</v>
      </c>
      <c r="BH620" s="61" t="n">
        <f aca="false">IFERROR(IF(SUMPRODUCT((LEN(BC620)-LEN(SUBSTITUTE(BC620," "&amp;L_Pending&amp;" "," ")))/(LEN(L_Pending)+1))&gt;SUMPRODUCT((LEN(BC620)-LEN(SUBSTITUTE(BC620," "&amp;L_PendNeg&amp;" "," ")))/(LEN(L_PendNeg)+1))+SUMPRODUCT((LEN(BC620)-LEN(SUBSTITUTE(BC620," "&amp;L_PendPrep&amp;" "," ")))/(LEN(L_PendPrep)+1)),1,0),1)</f>
        <v>0</v>
      </c>
      <c r="BI620" s="61" t="n">
        <f aca="false">IFERROR(IF(SUMPRODUCT((LEN(BD620)-LEN(SUBSTITUTE(BD620," "&amp;L_PendStrict&amp;" "," ")))/(LEN(L_PendStrict)+1))&gt;SUMPRODUCT((LEN(BD620)-LEN(SUBSTITUTE(BD620," "&amp;L_PendNeg&amp;" "," ")))/(LEN(L_PendNeg)+1)),1,0),1)</f>
        <v>0</v>
      </c>
      <c r="BJ620" s="61" t="n">
        <f aca="false">IFERROR(IF(SUMPRODUCT((LEN(BE620)-LEN(SUBSTITUTE(BE620," "&amp;L_Pending&amp;" "," ")))/(LEN(L_Pending)+1))&gt;SUMPRODUCT((LEN(BE620)-LEN(SUBSTITUTE(BE620," "&amp;L_PendNeg&amp;" "," ")))/(LEN(L_PendNeg)+1))+SUMPRODUCT((LEN(BE620)-LEN(SUBSTITUTE(BE620," "&amp;L_PendPrep&amp;" "," ")))/(LEN(L_PendPrep)+1)),1,0),1)</f>
        <v>0</v>
      </c>
      <c r="BK620" s="61" t="n">
        <f aca="false">IFERROR(IF(SUMPRODUCT((LEN(BF620)-LEN(SUBSTITUTE(BF620," "&amp;L_PendStrict&amp;" "," ")))/(LEN(L_PendStrict)+1))&gt;SUMPRODUCT((LEN(BF620)-LEN(SUBSTITUTE(BF620," "&amp;L_PendNeg&amp;" "," ")))/(LEN(L_PendNeg)+1)),1,0),1)</f>
        <v>0</v>
      </c>
      <c r="BL620" s="61" t="n">
        <f aca="false">IF(ISNA(MATCH(TRIM(S620),L_EvidenceType,0)),0,BZ620)</f>
        <v>0</v>
      </c>
      <c r="BM620" s="61" t="str">
        <f aca="false">SUBSTITUTE(SUBSTITUTE(SUBSTITUTE(SUBSTITUTE(SUBSTITUTE(SUBSTITUTE(SUBSTITUTE(SUBSTITUTE(SUBSTITUTE(LOWER(Z620&amp;""),"1","0"),"2","0"),"3","0"),"4","0"),"5","0"),"6","0"),"7","0"),"8","0"),"9","0")</f>
        <v/>
      </c>
      <c r="BN620" s="61" t="str">
        <f aca="false">SUBSTITUTE(SUBSTITUTE(SUBSTITUTE(SUBSTITUTE(SUBSTITUTE(SUBSTITUTE(SUBSTITUTE(SUBSTITUTE(SUBSTITUTE(SUBSTITUTE(SUBSTITUTE(SUBSTITUTE(SUBSTITUTE(SUBSTITUTE(SUBSTITUTE(SUBSTITUTE(SUBSTITUTE(SUBSTITUTE(SUBSTITUTE(SUBSTITUTE(SUBSTITUTE(SUBSTITUTE(SUBSTITUTE(SUBSTITUTE(SUBSTITUTE(BM620,"b","a"),"c","a"),"d","a"),"e","a"),"f","a"),"g","a"),"h","a"),"i","a"),"j","a"),"k","a"),"l","a"),"m","a"),"n","a"),"o","a"),"p","a"),"q","a"),"r","a"),"s","a"),"t","a"),"u","a"),"v","a"),"w","a"),"x","a"),"y","a"),"z","a")</f>
        <v/>
      </c>
      <c r="BO620" s="61" t="str">
        <f aca="false">SUBSTITUTE(SUBSTITUTE(SUBSTITUTE(SUBSTITUTE(SUBSTITUTE(SUBSTITUTE(SUBSTITUTE(SUBSTITUTE(SUBSTITUTE(LOWER(W620&amp;""),"1","0"),"2","0"),"3","0"),"4","0"),"5","0"),"6","0"),"7","0"),"8","0"),"9","0")</f>
        <v/>
      </c>
      <c r="BP620" s="61" t="str">
        <f aca="false">SUBSTITUTE(SUBSTITUTE(SUBSTITUTE(SUBSTITUTE(SUBSTITUTE(SUBSTITUTE(SUBSTITUTE(SUBSTITUTE(SUBSTITUTE(SUBSTITUTE(SUBSTITUTE(SUBSTITUTE(SUBSTITUTE(SUBSTITUTE(SUBSTITUTE(SUBSTITUTE(SUBSTITUTE(SUBSTITUTE(SUBSTITUTE(SUBSTITUTE(SUBSTITUTE(SUBSTITUTE(SUBSTITUTE(SUBSTITUTE(SUBSTITUTE(BO620,"b","a"),"c","a"),"d","a"),"e","a"),"f","a"),"g","a"),"h","a"),"i","a"),"j","a"),"k","a"),"l","a"),"m","a"),"n","a"),"o","a"),"p","a"),"q","a"),"r","a"),"s","a"),"t","a"),"u","a"),"v","a"),"w","a"),"x","a"),"y","a"),"z","a")</f>
        <v/>
      </c>
      <c r="BQ620" s="61" t="n">
        <f aca="false">IFERROR(IF(AND(ISERROR(SEARCH(" mh"," "&amp;LOWER(W620))),ISNA(MATCH(LEFT(TRIM(BP620),255),{"0000a","000a","00a","0000aa","000aa","00aa","0aa","0000aaa","000aaa","00a00","0a00","0000-0000","00:00","a00","a0","00.00.0000","00/00/0000","00-00-0000","0000-00-00","0000/00/00","0000.00.00","00.00.00","00/00/00","00-00-00","0.00.0000","0/00/0000","0-00-0000"},0)),ISNA(MATCH(LEFT(TRIM(CA620),255),{"0000a","000a","00a","0000aa","000aa","00aa","0aa","0000aaa","000aaa","00a00","0a00","0000-0000","00:00","a00","a0","00.00.0000","00/00/0000","00-00-0000","0000-00-00","0000/00/00","0000.00.00","00.00.00","00/00/00","00-00-00","0.00.0000","0/00/0000","0-00-0000"},0)),LEN(CB620)&gt;=3,NOT(OR(SUBSTITUTE(CB620,"0","")="",AND(LEN(CB620)&gt;=4,CB620=REPT(LEFT(CB620),LEN(CB620))),ISNUMBER(MATCH(CB620,{"123","1234","12345","123456","1234567","12345678","0123","01234","012345","98765","987654","54321"},0)),AND(LEN(CB620)=8,LEFT(CB620,3)="202"))),OR(AND((LEN(CA620)-LEN(SUBSTITUTE(CA620,"a","")))&gt;=1,SUMPRODUCT(--ISNUMBER(SEARCH({"a0","a-0","a_0","a/0","a.0","a#0","0a","0-a","0_a","0/a"},BP620)))&gt;0),ISNUMBER(SEARCH("000000",BP620)))),1,0),0)</f>
        <v>0</v>
      </c>
      <c r="BR620" s="61" t="n">
        <f aca="false">IFERROR(LEN(SUBSTITUTE(CC620," ",""))-SUMPRODUCT((LEN(CC620)-LEN(SUBSTITUTE(CC620," "&amp;L_Role&amp;" "," ")))/(LEN(L_Role)+1)*LEN(L_Role)),0)</f>
        <v>0</v>
      </c>
      <c r="BS620" s="61" t="n">
        <f aca="false">IFERROR(LEN(SUBSTITUTE(CD620," ",""))-SUMPRODUCT((LEN(CD620)-LEN(SUBSTITUTE(CD620," "&amp;L_Role&amp;" "," ")))/(LEN(L_Role)+1)*LEN(L_Role)),0)</f>
        <v>0</v>
      </c>
      <c r="BT6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620,"revision",""),"version",""),"jan",""),"feb",""),"mar",""),"apr",""),"may",""),"jun",""),"jul",""),"aug",""),"sep",""),"oct",""),"nov",""),"dec",""),"utc",""),"gmt",""),"myt",""),"bst",""),"rev",""),"ver",""),"b","a"),"c","a"),"d","a"),"e","a"),"f","a"),"g","a"),"h","a"),"i","a"),"j","a"),"k","a"),"l","a"),"m","a"),"n","a"),"o","a"),"p","a"),"q","a"),"r","a"),"s","a"),"t","a"),"u","a"),"v","a"),"w","a"),"x","a"),"y","a"),"z","a")</f>
        <v/>
      </c>
      <c r="BU620" s="61" t="str">
        <f aca="false">SUBSTITUTE(SUBSTITUTE(SUBSTITUTE(SUBSTITUTE(SUBSTITUTE(SUBSTITUTE(SUBSTITUTE(SUBSTITUTE(SUBSTITUTE(SUBSTITUTE(LEFT(BM620,FIND("0",BM620&amp;"0")-1),"-",""),"_",""),"/",""),".",""),"#",""),"\\",""),":","")," ",""),"(",""),")","")</f>
        <v/>
      </c>
      <c r="BV620" s="61" t="n">
        <f aca="false">0</f>
        <v>0</v>
      </c>
      <c r="BW6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620&amp;""),"a",""),"b",""),"c",""),"d",""),"e",""),"f",""),"g",""),"h",""),"i",""),"j",""),"k",""),"l",""),"m",""),"n",""),"o",""),"p",""),"q",""),"r",""),"s",""),"t",""),"u",""),"v",""),"w",""),"x",""),"y",""),"z",""),"-",""),"_",""),"/",""),".",""),"#",""),"\\",""),":","")," ",""),"(",""),")","")</f>
        <v/>
      </c>
      <c r="BX620" s="61" t="str">
        <f aca="false">SUBSTITUTE(SUBSTITUTE(SUBSTITUTE(SUBSTITUTE(SUBSTITUTE(SUBSTITUTE(SUBSTITUTE(SUBSTITUTE(SUBSTITUTE(SUBSTITUTE(SUBSTITUTE(BM620,"0",""),"-",""),"_",""),"/",""),".",""),"#",""),"\\",""),":","")," ",""),"(",""),")","")</f>
        <v/>
      </c>
      <c r="BY620" s="62" t="n">
        <f aca="false">Q620-T7EarlyD*24/24</f>
        <v>46303.0277777778</v>
      </c>
      <c r="BZ620" s="61" t="n">
        <f aca="false">IFERROR(IF(IF(TRIM(S620)="Link / file path",AND(LEN(TRIM(Z620))&gt;=5,SUMPRODUCT(--ISNUMBER(SEARCH({"http","www.","\\",":\",".pdf",".jpg",".jpeg",".png",".heic",".xls",".doc",".msg",".eml",".ppt",".txt",".zip"},Z620)))&gt;0),AND(ISERROR(FIND(" ",TRIM(Z620))),NOT(OR(SUMPRODUCT(--ISNUMBER(FIND({",",";","&amp;","+"},Z620)))&gt;0,SUMPRODUCT(--ISNUMBER(SEARCH({"0/aa","0\\aa"},BN620)))&gt;0)),NOT(SUMPRODUCT(--ISNUMBER(SEARCH({"http","www.","\\",":\",".pdf",".jpg",".jpeg",".png",".heic",".xls",".doc",".msg",".eml",".ppt",".txt",".zip"},Z620)))&gt;0),NOT(LOWER(TRIM(Z620))=LOWER(Flights!$F$23)),ISNA(MATCH(BU620,{"mh","rev","revision","ver","version","v","r","a","b","seat","tray","row","gate","bay","stand","page","pg","item","line","no","cart","galley","flight","flt","table","box","bag","oven","etd","eta","std","sta","atd","ata","qty","pax","x","time","tel","ph","mob","day","wk","week","utc","gmt","myt","lt"},0)),NOT(OR(ISNUMBER(MATCH(LEFT(BN620,255),{"0000a","000a","00a","0000aa","000aa","00aa","0aa","0000aaa","000aaa","00a00","0a00","0000-0000","00:00","a00","a0","00.00.0000","00/00/0000","00-00-0000","0000-00-00","0000/00/00","0000.00.00","00.00.00","00/00/00","00-00-00","0.00.0000","0/00/0000","0-00-0000"},0)),ISNUMBER(MATCH(LEFT(BT620,255),{"0000a","000a","00a","0000aa","000aa","00aa","0aa","0000aaa","000aaa","00a00","0a00","0000-0000","00:00","a00","a0","00.00.0000","00/00/0000","00-00-0000","0000-00-00","0000/00/00","0000.00.00","00.00.00","00/00/00","00-00-00","0.00.0000","0/00/0000","0-00-0000"},0)))),NOT(OR(AND(BW620&lt;&gt;"",SUBSTITUTE(BW620,"0","")=""),AND(LEN(BW620)&gt;=4,BW620=REPT(LEFT(BW620),LEN(BW620))),ISNUMBER(MATCH(BW620,{"123","1234","12345","123456","1234567","12345678","0123","01234","012345","98765","987654","54321"},0)),ISNUMBER(MATCH(BX620,{"x","xx","xxx","xxxx","xxxxx","abc","abcd","nil","na","nan","test","tbc","tba","tbd","dummy","sample","example","eg","zz","zzz","none","null","xyz","qwe","asd","id","ref"},0)),AND(LEN(BW620)=8,BX620="",OR(LEFT(BW620,3)="202",ISNUMBER(MATCH(RIGHT(BW620,4),{"2025","2026","2027"},0)))))),OR(AND((LEN(BT620)-LEN(SUBSTITUTE(BT620,"a","")))&gt;=1,(LEN(BN620)-LEN(SUBSTITUTE(BN620,"0","")))&gt;=2,SUMPRODUCT(--ISNUMBER(SEARCH({"a0","a-0","a_0","a/0","a.0","a#0","0a","0-a","0_a","0/a"},BN620)))&gt;0),AND((LEN(BN620)-LEN(SUBSTITUTE(BN620,"a","")))=0,(LEN(BN620)-LEN(SUBSTITUTE(BN620,"0","")))&gt;=5)))),1,0),0)</f>
        <v>0</v>
      </c>
      <c r="CA6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620,"revision",""),"version",""),"jan",""),"feb",""),"mar",""),"apr",""),"may",""),"jun",""),"jul",""),"aug",""),"sep",""),"oct",""),"nov",""),"dec",""),"utc",""),"gmt",""),"myt",""),"bst",""),"rev",""),"ver",""),"b","a"),"c","a"),"d","a"),"e","a"),"f","a"),"g","a"),"h","a"),"i","a"),"j","a"),"k","a"),"l","a"),"m","a"),"n","a"),"o","a"),"p","a"),"q","a"),"r","a"),"s","a"),"t","a"),"u","a"),"v","a"),"w","a"),"x","a"),"y","a"),"z","a")</f>
        <v/>
      </c>
      <c r="CB6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620&amp;""),"a",""),"b",""),"c",""),"d",""),"e",""),"f",""),"g",""),"h",""),"i",""),"j",""),"k",""),"l",""),"m",""),"n",""),"o",""),"p",""),"q",""),"r",""),"s",""),"t",""),"u",""),"v",""),"w",""),"x",""),"y",""),"z",""),"-",""),"_",""),"/",""),".",""),"#",""),"\\",""),":","")," ",""),"(",""),")","")</f>
        <v/>
      </c>
      <c r="CC620" s="0" t="str">
        <f aca="false">" "&amp;TRIM(SUBSTITUTE(SUBSTITUTE(SUBSTITUTE(SUBSTITUTE(SUBSTITUTE(SUBSTITUTE(SUBSTITUTE(SUBSTITUTE(SUBSTITUTE(SUBSTITUTE(SUBSTITUTE(SUBSTITUTE(SUBSTITUTE(SUBSTITUTE(SUBSTITUTE(SUBSTITUTE(SUBSTITUTE(SUBSTITUTE(SUBSTITUTE(SUBSTITUTE(SUBSTITUTE(SUBSTITUTE(SUBSTITUTE(SUBSTITUTE(LOWER(T620&amp;""),CHAR(10)," "),CHAR(13)," "),CHAR(9)," "),CHAR(160)," "),"."," "),","," "),"-"," "),"/"," "),"("," "),")"," "),":"," "),";"," "),"_"," "),"–"," "),"?"," "),"!"," "),"*"," "),"["," "),"]"," "),"'"," "),"#"," "),"+"," "),"&amp;"," "),"\"," "))&amp;" "</f>
        <v>  </v>
      </c>
      <c r="CD620" s="0" t="str">
        <f aca="false">" "&amp;TRIM(SUBSTITUTE(SUBSTITUTE(SUBSTITUTE(SUBSTITUTE(SUBSTITUTE(SUBSTITUTE(SUBSTITUTE(SUBSTITUTE(SUBSTITUTE(SUBSTITUTE(SUBSTITUTE(SUBSTITUTE(SUBSTITUTE(SUBSTITUTE(SUBSTITUTE(SUBSTITUTE(SUBSTITUTE(SUBSTITUTE(SUBSTITUTE(SUBSTITUTE(SUBSTITUTE(SUBSTITUTE(SUBSTITUTE(SUBSTITUTE(LOWER(AE620&amp;""),CHAR(10)," "),CHAR(13)," "),CHAR(9)," "),CHAR(160)," "),"."," "),","," "),"-"," "),"/"," "),"("," "),")"," "),":"," "),";"," "),"_"," "),"–"," "),"?"," "),"!"," "),"*"," "),"["," "),"]"," "),"'"," "),"#"," "),"+"," "),"&amp;"," "),"\"," "))&amp;" "</f>
        <v>  </v>
      </c>
      <c r="CE620" s="68" t="n">
        <f aca="false">IFERROR(IF(AND(LEN(AU620)&gt;0,LEN(AU620)=LEN(AX620),OR(TRIM(MID(SUBSTITUTE(TRIM(CC620)," ",REPT(" ",60)),1,60))="",ISNUMBER(SEARCH(" "&amp;TRIM(MID(SUBSTITUTE(TRIM(CC620)," ",REPT(" ",60)),1,60))&amp;" ",CD620))),OR(TRIM(MID(SUBSTITUTE(TRIM(CC620)," ",REPT(" ",60)),61,60))="",ISNUMBER(SEARCH(" "&amp;TRIM(MID(SUBSTITUTE(TRIM(CC620)," ",REPT(" ",60)),61,60))&amp;" ",CD620))),OR(TRIM(MID(SUBSTITUTE(TRIM(CC620)," ",REPT(" ",60)),121,60))="",ISNUMBER(SEARCH(" "&amp;TRIM(MID(SUBSTITUTE(TRIM(CC620)," ",REPT(" ",60)),121,60))&amp;" ",CD620)))),1,0),0)</f>
        <v>0</v>
      </c>
      <c r="CG620" s="68" t="n">
        <f aca="false">IFERROR(LEN(SUBSTITUTE(BF620," ",""))-SUMPRODUCT((LEN(BF620)-LEN(SUBSTITUTE(BF620," "&amp;L_NAFiller&amp;" "," ")))/(LEN(L_NAFiller)+1)*LEN(L_NAFiller)),0)</f>
        <v>0</v>
      </c>
    </row>
    <row r="621" customFormat="false" ht="41.25" hidden="false" customHeight="true" outlineLevel="0" collapsed="false">
      <c r="A621" s="57" t="s">
        <v>1331</v>
      </c>
      <c r="B621" s="57" t="s">
        <v>301</v>
      </c>
      <c r="C621" s="57" t="str">
        <f aca="false">Flights!$F$23</f>
        <v>MH0053</v>
      </c>
      <c r="D621" s="58" t="n">
        <f aca="false">Flights!$D$23</f>
        <v>46324</v>
      </c>
      <c r="E621" s="57" t="str">
        <f aca="false">Flights!$G$23&amp;"-"&amp;Flights!$H$23</f>
        <v>KIX-KUL</v>
      </c>
      <c r="F621" s="57" t="str">
        <f aca="false">Flights!$K$23</f>
        <v>EY</v>
      </c>
      <c r="G621" s="57" t="s">
        <v>81</v>
      </c>
      <c r="H621" s="57" t="s">
        <v>378</v>
      </c>
      <c r="I621" s="57" t="s">
        <v>389</v>
      </c>
      <c r="J621" s="57" t="s">
        <v>390</v>
      </c>
      <c r="K621" s="67" t="s">
        <v>391</v>
      </c>
      <c r="L621" s="67" t="s">
        <v>382</v>
      </c>
      <c r="M621" s="67"/>
      <c r="N621" s="67" t="str">
        <f aca="false">IF(TRIM(Flights!$L$23)="A339","Required","N/A – rule")</f>
        <v>N/A – rule</v>
      </c>
      <c r="O621" s="67" t="s">
        <v>392</v>
      </c>
      <c r="P621" s="57" t="s">
        <v>295</v>
      </c>
      <c r="Q621" s="59" t="n">
        <f aca="false">ROUND((Flights!$AC$23)*1440,0)/1440</f>
        <v>46317.0277777778</v>
      </c>
      <c r="R621" s="59" t="n">
        <f aca="false">Q621+(IF(AND(INDEX(TZ_DSTS,MATCH(P621,TZ_STN,0))&lt;&gt;"",Q621&gt;=INDEX(TZ_DSTS,MATCH(P621,TZ_STN,0)),Q621&lt;INDEX(TZ_DSTE,MATCH(P621,TZ_STN,0))),INDEX(TZ_DST,MATCH(P621,TZ_STN,0)),INDEX(TZ_STD,MATCH(P621,TZ_STN,0))))/24</f>
        <v>46317.4027777778</v>
      </c>
      <c r="S621" s="60"/>
      <c r="T621" s="60"/>
      <c r="U621" s="60"/>
      <c r="V621" s="60"/>
      <c r="W621" s="61"/>
      <c r="X621" s="60"/>
      <c r="Y621" s="60"/>
      <c r="Z621" s="60"/>
      <c r="AA621" s="60"/>
      <c r="AB621" s="60"/>
      <c r="AC621" s="60"/>
      <c r="AD621" s="66"/>
      <c r="AE621" s="60"/>
      <c r="AF621" s="61" t="str">
        <f aca="false">IF(AND(ISNUMBER(X621),ISNUMBER(Y621)),Y621-X621,"")</f>
        <v/>
      </c>
      <c r="AG621" s="62" t="str">
        <f aca="false">IF(ISNUMBER(AD621),AD621-(IF(AND(INDEX(TZ_DSTS,MATCH(P621,TZ_STN,0))&lt;&gt;"",(AD621-INDEX(TZ_STD,MATCH(P621,TZ_STN,0))/24)&gt;=INDEX(TZ_DSTS,MATCH(P621,TZ_STN,0)),(AD621-INDEX(TZ_STD,MATCH(P621,TZ_STN,0))/24)&lt;INDEX(TZ_DSTE,MATCH(P621,TZ_STN,0))),INDEX(TZ_DST,MATCH(P621,TZ_STN,0)),INDEX(TZ_STD,MATCH(P621,TZ_STN,0))))/24,"")</f>
        <v/>
      </c>
      <c r="AH621" s="65" t="str">
        <f aca="false">IFERROR(IF(N621="N/A – rule",IF(OR(TRIM(U621)="",TRIM(U621)="N/A",TRIM(U621)="Not started"),"N/A – RULE","INVALID – this check does not apply to this aircraft: clear the status (or correct the fleet on Flights)"),IF(TRIM(U621)="N/A",IF(AT621=0,"INVALID – N/A not permitted for this check",IF(AND(TRIM(AB621)&lt;&gt;"",TRIM(AB621)&lt;&gt;"Closed"),"INVALID – corrective action still open",IF(AND(NOT(OR(LEN(AZ621)&lt;15,ISNUMBER(MATCH(AZ621,L_Placeholder,0)))),BK621=0,CG621&gt;=8,NOT(OR(LEN(AU621)&lt;2,ISNUMBER(MATCH(AU621,L_Placeholder,0)))),BR621&gt;=3,NOT(OR(LEN(AX621)&lt;2,ISNUMBER(MATCH(AX621,L_Placeholder,0)))),BS621&gt;=3,TRIM(AE621)&lt;&gt;TRIM(T621),AX621&lt;&gt;AU621,CE621=0),"N/A – JUSTIFIED","INVALID – N/A needs a real, settled reason (not 'not applicable' / 'as above' / TBC), a named PIC and a different named verifier"))),IF(OR(TRIM(U621)="Pass",TRIM(U621)="Pass after CA"),IF(NOT(ISNUMBER(AD621)),"INVALID – completion time missing",IF(OR(OR(LEN(AU621)&lt;2,ISNUMBER(MATCH(AU621,L_Placeholder,0))),BR621&lt;3),"INVALID – PIC missing or not a named person (a role such as QA / CSM is not a name)",IF(OR(LEN(AV621)&lt;2,ISNUMBER(MATCH(AV621,L_Placeholder,0))),"INVALID – result / assessment missing",IF(OR(OR(LEN(AW621)&lt;3,ISNUMBER(MATCH(AW621,L_Placeholder,0))),SUMPRODUCT(--ISNUMBER(SEARCH(" "&amp;L_EvidencePhrase&amp;" ",BD621)))&gt;0,BI621=1),"INVALID – evidence missing, placeholder or not yet on file",IF(ISNA(MATCH(TRIM(S621),L_EvidenceType,0)),"INVALID – choose the evidence type from the list (column S)",IF(BL621=0,"INVALID – evidence ID must be the record's own ID only (e.g. SF-2210, IMG_2231, 1045521); a link / file name needs type 'Link / file path'",IF(OR(OR(LEN(AX621)&lt;2,ISNUMBER(MATCH(AX621,L_Placeholder,0))),BS621&lt;3),"INVALID – verifier missing or not a named person (a role such as QA / CSM is not a name)",IF(OR(AX621=AU621,CE621=1,AND(LEN(AU621)&gt;=4,ISNUMBER(SEARCH(AU621,AX621))),AND(LEN(AX621)&gt;=4,ISNUMBER(SEARCH(AX621,AU621)))),"INVALID – verifier must be a different, named person (not the PIC or a role)",IF(BH621=1,"INVALID – result not yet available (awaiting / TBC)",IF(BG621=1,"INVALID – result describes a problem: record Fail, then Pass after CA (or reword if it is not a problem)",IF(BV621=1,"INVALID – wording says not on board: an on-board confirmation needs the item loaded",IF(AND(AQ621=1,OR(OR(LEN(AY621)&lt;3,ISNUMBER(MATCH(AY621,L_Placeholder,0))),BJ621=1,BQ621=0)),"INVALID – batch ID missing, placeholder or not an ID (e.g. PASB-261008-BC-017)",IF(AND(AR621=1,OR(NOT(ISNUMBER(X621)),NOT(ISNUMBER(Y621)))),"INVALID – expected/actual qty missing",IF(AND(AR621=1,OR(X621&lt;=0,Y621&lt;0)),"INVALID – expected qty must be above 0 and actual not negative",IF(BB621&lt;&gt;"",BB621,IF(AND(AS621=1,Documents!$J$23&lt;&gt;"ON FILE"),"INVALID – GLD not on file (Documents sheet)",IF(AND(AS621=2,Documents!$O$23&lt;&gt;"ON FILE"),"INVALID – menu checklist not on file (Documents sheet)",IF(AND(AS621=3,NOT(ISNUMBER(Flights!$AX$23))),"INVALID – enter carrying flight KUL departure (Flights AX)",IF(AND(AS621=3,OR(Flights!$AZ$23&gt;Flights!$AA$23,Flights!$AX$23&lt;Flights!$AA$23-3)),"INVALID – carrying flight (Flights AX) cannot arrive before this leg's STD, or is over 3 days early",IF(AG621&gt;AsOfUTC,"INVALID – completion time is in the future",IF(AND(ISNUMBER(BY621),AG621&lt;BY621),IF(H621="Physical uplift","INVALID – before uplift window (cannot confirm loading)","INVALID – before valid window"),IF(AG621&gt;Flights!$AA$23,"INVALID – completed after departure (cannot establish readiness)",IF(AND(H621="Preparation",AG621&gt;=IF(ISNUMBER(Flights!$BA$23),MIN(Flights!$BA$23,Flights!$AA$23),Flights!$AA$23)),"INVALID – completed after loading / departure (cannot establish readiness)",IF(AND(H621="Physical uplift",AG621&gt;Q621),"INVALID – recorded after the loading flight departed",IF(AG621&gt;Q621,"COMPLETE – LATE","COMPLETE"))))))))))))))))))))))))),IF(TRIM(U621)="Fail","FAIL – DISCREPANCY",IF(AND(TRIM(U621)&lt;&gt;"",TRIM(U621)&lt;&gt;"Not started",TRIM(U621)&lt;&gt;"In progress"),"INVALID – unrecognised status (use the list)",IF(AsOfUTC&gt;Q621,"OVERDUE",IF(N621="Clarification required","OPEN – CLARIFICATION","OPEN"))))))),"INVALID – error value in an input cell")</f>
        <v>N/A – RULE</v>
      </c>
      <c r="AI621" s="61" t="n">
        <f aca="false">IF(OR(AH621="N/A – RULE",AH621="N/A – JUSTIFIED"),0,1)</f>
        <v>0</v>
      </c>
      <c r="AJ621" s="61" t="n">
        <f aca="false">IF(LEFT(AH621,8)="COMPLETE",1,0)</f>
        <v>0</v>
      </c>
      <c r="AK621" s="61" t="n">
        <f aca="false">IF(AND(AI621=1,AJ621=0,AsOfUTC&gt;Q621),1,0)</f>
        <v>0</v>
      </c>
      <c r="AL621" s="61" t="n">
        <f aca="false">IFERROR(IF(AND(AI621=1,OR(TRIM(U621)="Fail",AND(TRIM(AB621)&lt;&gt;"",TRIM(AB621)&lt;&gt;"Closed"),AND(ISNUMBER(AF621),AF621&lt;&gt;0,TRIM(U621)&lt;&gt;"Pass after CA"))),1,0),1)</f>
        <v>0</v>
      </c>
      <c r="AM621" s="61" t="n">
        <f aca="false">IF(LEFT(AH621,7)="INVALID",1,0)</f>
        <v>0</v>
      </c>
      <c r="AN621" s="61" t="n">
        <f aca="false">IF(AND(N621="Clarification required",AI621=1,AJ621=0),1,0)</f>
        <v>0</v>
      </c>
      <c r="AO621" s="61" t="str">
        <f aca="false">IF(AK621=1,SUM(AK$5:AK621),"")</f>
        <v/>
      </c>
      <c r="AP621" s="61" t="str">
        <f aca="false">IF(AL621=1,SUM(AL$5:AL621),"")</f>
        <v/>
      </c>
      <c r="AQ621" s="61" t="n">
        <v>0</v>
      </c>
      <c r="AR621" s="61" t="n">
        <v>0</v>
      </c>
      <c r="AS621" s="61" t="n">
        <v>0</v>
      </c>
      <c r="AT621" s="61" t="n">
        <v>0</v>
      </c>
      <c r="AU621" s="61" t="str">
        <f aca="false">SUBSTITUTE(SUBSTITUTE(SUBSTITUTE(SUBSTITUTE(SUBSTITUTE(SUBSTITUTE(SUBSTITUTE(SUBSTITUTE(SUBSTITUTE(SUBSTITUTE(SUBSTITUTE(SUBSTITUTE(SUBSTITUTE(SUBSTITUTE(SUBSTITUTE(SUBSTITUTE(LOWER(T621&amp;""),CHAR(10),""),CHAR(13),""),CHAR(9),""),CHAR(160),"")," ",""),".",""),"-",""),"/",""),"?",""),"_",""),",",""),"[",""),"]",""),"(",""),")",""),"*","")</f>
        <v/>
      </c>
      <c r="AV621" s="61" t="str">
        <f aca="false">SUBSTITUTE(SUBSTITUTE(SUBSTITUTE(SUBSTITUTE(SUBSTITUTE(SUBSTITUTE(SUBSTITUTE(SUBSTITUTE(SUBSTITUTE(SUBSTITUTE(SUBSTITUTE(SUBSTITUTE(SUBSTITUTE(SUBSTITUTE(SUBSTITUTE(SUBSTITUTE(LOWER(V621&amp;""),CHAR(10),""),CHAR(13),""),CHAR(9),""),CHAR(160),"")," ",""),".",""),"-",""),"/",""),"?",""),"_",""),",",""),"[",""),"]",""),"(",""),")",""),"*","")</f>
        <v/>
      </c>
      <c r="AW621" s="61" t="str">
        <f aca="false">SUBSTITUTE(SUBSTITUTE(SUBSTITUTE(SUBSTITUTE(SUBSTITUTE(SUBSTITUTE(SUBSTITUTE(SUBSTITUTE(SUBSTITUTE(SUBSTITUTE(SUBSTITUTE(SUBSTITUTE(SUBSTITUTE(SUBSTITUTE(SUBSTITUTE(SUBSTITUTE(LOWER(Z621&amp;""),CHAR(10),""),CHAR(13),""),CHAR(9),""),CHAR(160),"")," ",""),".",""),"-",""),"/",""),"?",""),"_",""),",",""),"[",""),"]",""),"(",""),")",""),"*","")</f>
        <v/>
      </c>
      <c r="AX621" s="61" t="str">
        <f aca="false">SUBSTITUTE(SUBSTITUTE(SUBSTITUTE(SUBSTITUTE(SUBSTITUTE(SUBSTITUTE(SUBSTITUTE(SUBSTITUTE(SUBSTITUTE(SUBSTITUTE(SUBSTITUTE(SUBSTITUTE(SUBSTITUTE(SUBSTITUTE(SUBSTITUTE(SUBSTITUTE(LOWER(AE621&amp;""),CHAR(10),""),CHAR(13),""),CHAR(9),""),CHAR(160),"")," ",""),".",""),"-",""),"/",""),"?",""),"_",""),",",""),"[",""),"]",""),"(",""),")",""),"*","")</f>
        <v/>
      </c>
      <c r="AY621" s="61" t="str">
        <f aca="false">SUBSTITUTE(SUBSTITUTE(SUBSTITUTE(SUBSTITUTE(SUBSTITUTE(SUBSTITUTE(SUBSTITUTE(SUBSTITUTE(SUBSTITUTE(SUBSTITUTE(SUBSTITUTE(SUBSTITUTE(SUBSTITUTE(SUBSTITUTE(SUBSTITUTE(SUBSTITUTE(LOWER(W621&amp;""),CHAR(10),""),CHAR(13),""),CHAR(9),""),CHAR(160),"")," ",""),".",""),"-",""),"/",""),"?",""),"_",""),",",""),"[",""),"]",""),"(",""),")",""),"*","")</f>
        <v/>
      </c>
      <c r="AZ621" s="61" t="str">
        <f aca="false">SUBSTITUTE(SUBSTITUTE(SUBSTITUTE(SUBSTITUTE(SUBSTITUTE(SUBSTITUTE(SUBSTITUTE(SUBSTITUTE(SUBSTITUTE(SUBSTITUTE(SUBSTITUTE(SUBSTITUTE(SUBSTITUTE(SUBSTITUTE(SUBSTITUTE(SUBSTITUTE(LOWER(AC621&amp;""),CHAR(10),""),CHAR(13),""),CHAR(9),""),CHAR(160),"")," ",""),".",""),"-",""),"/",""),"?",""),"_",""),",",""),"[",""),"]",""),"(",""),")",""),"*","")</f>
        <v/>
      </c>
      <c r="BA621" s="61" t="str">
        <f aca="false">SUBSTITUTE(SUBSTITUTE(SUBSTITUTE(SUBSTITUTE(SUBSTITUTE(SUBSTITUTE(SUBSTITUTE(SUBSTITUTE(SUBSTITUTE(SUBSTITUTE(SUBSTITUTE(SUBSTITUTE(SUBSTITUTE(SUBSTITUTE(SUBSTITUTE(SUBSTITUTE(LOWER(AA621&amp;""),CHAR(10),""),CHAR(13),""),CHAR(9),""),CHAR(160),"")," ",""),".",""),"-",""),"/",""),"?",""),"_",""),",",""),"[",""),"]",""),"(",""),")",""),"*","")</f>
        <v/>
      </c>
      <c r="BB621" s="61" t="str">
        <f aca="false">IF(AND(TRIM(U621)="Pass",ISNUMBER(AF621)),IF(AF621&lt;&gt;0,"INVALID – qty variance: use Fail or Pass after CA",""),"")&amp;IF(AND(TRIM(U621)="Pass after CA",ISNUMBER(AF621)),IF(AF621&lt;&gt;0,"INVALID – after the corrective action the actual qty must equal expected (update Actual)",""),"")&amp;IF(AND(TRIM(U621)="Pass",TRIM(AB621)&lt;&gt;"",TRIM(AB621)&lt;&gt;"Closed"),"INVALID – corrective action not closed: use Fail, then Pass after CA","")&amp;IF(AND(LEN(BA621)&gt;=2,ISNA(MATCH(LEFT(BA621,255),L_Placeholder,0)),TRIM(AB621)=""),"INVALID – CA status missing for the recorded corrective action","")&amp;IF(AND(TRIM(U621)="Pass after CA",OR(OR(LEN(BA621)&lt;5,ISNUMBER(MATCH(BA621,L_Placeholder,0))),TRIM(AB621)&lt;&gt;"Closed")),"INVALID – corrective action not recorded/closed","")</f>
        <v/>
      </c>
      <c r="BC621" s="61" t="str">
        <f aca="false">" "&amp;TRIM(SUBSTITUTE(SUBSTITUTE(SUBSTITUTE(SUBSTITUTE(SUBSTITUTE(SUBSTITUTE(SUBSTITUTE(SUBSTITUTE(SUBSTITUTE(SUBSTITUTE(SUBSTITUTE(SUBSTITUTE(SUBSTITUTE(SUBSTITUTE(SUBSTITUTE(SUBSTITUTE(SUBSTITUTE(SUBSTITUTE(SUBSTITUTE(SUBSTITUTE(SUBSTITUTE(SUBSTITUTE(SUBSTITUTE(SUBSTITUTE(LOWER(V621&amp;""),CHAR(10)," "),CHAR(13)," "),CHAR(9)," "),CHAR(160)," "),"."," "),","," "),"-"," "),"/"," "),"("," "),")"," "),":"," "),";"," "),"_"," "),"–"," "),"?"," "),"!"," "),"*"," "),"["," "),"]"," "),"'"," "),"#"," "),"+"," "),"&amp;"," "),"\"," "))&amp;" "</f>
        <v>  </v>
      </c>
      <c r="BD621" s="61" t="str">
        <f aca="false">" "&amp;TRIM(SUBSTITUTE(SUBSTITUTE(SUBSTITUTE(SUBSTITUTE(SUBSTITUTE(SUBSTITUTE(SUBSTITUTE(SUBSTITUTE(SUBSTITUTE(SUBSTITUTE(SUBSTITUTE(SUBSTITUTE(SUBSTITUTE(SUBSTITUTE(SUBSTITUTE(SUBSTITUTE(SUBSTITUTE(SUBSTITUTE(SUBSTITUTE(SUBSTITUTE(SUBSTITUTE(SUBSTITUTE(SUBSTITUTE(SUBSTITUTE(LOWER(Z621&amp;""),CHAR(10)," "),CHAR(13)," "),CHAR(9)," "),CHAR(160)," "),"."," "),","," "),"-"," "),"/"," "),"("," "),")"," "),":"," "),";"," "),"_"," "),"–"," "),"?"," "),"!"," "),"*"," "),"["," "),"]"," "),"'"," "),"#"," "),"+"," "),"&amp;"," "),"\"," "))&amp;" "</f>
        <v>  </v>
      </c>
      <c r="BE621" s="61" t="str">
        <f aca="false">" "&amp;TRIM(SUBSTITUTE(SUBSTITUTE(SUBSTITUTE(SUBSTITUTE(SUBSTITUTE(SUBSTITUTE(SUBSTITUTE(SUBSTITUTE(SUBSTITUTE(SUBSTITUTE(SUBSTITUTE(SUBSTITUTE(SUBSTITUTE(SUBSTITUTE(SUBSTITUTE(SUBSTITUTE(SUBSTITUTE(SUBSTITUTE(SUBSTITUTE(SUBSTITUTE(SUBSTITUTE(SUBSTITUTE(SUBSTITUTE(SUBSTITUTE(LOWER(W621&amp;""),CHAR(10)," "),CHAR(13)," "),CHAR(9)," "),CHAR(160)," "),"."," "),","," "),"-"," "),"/"," "),"("," "),")"," "),":"," "),";"," "),"_"," "),"–"," "),"?"," "),"!"," "),"*"," "),"["," "),"]"," "),"'"," "),"#"," "),"+"," "),"&amp;"," "),"\"," "))&amp;" "</f>
        <v>  </v>
      </c>
      <c r="BF621" s="61" t="str">
        <f aca="false">" "&amp;TRIM(SUBSTITUTE(SUBSTITUTE(SUBSTITUTE(SUBSTITUTE(SUBSTITUTE(SUBSTITUTE(SUBSTITUTE(SUBSTITUTE(SUBSTITUTE(SUBSTITUTE(SUBSTITUTE(SUBSTITUTE(SUBSTITUTE(SUBSTITUTE(SUBSTITUTE(SUBSTITUTE(SUBSTITUTE(SUBSTITUTE(SUBSTITUTE(SUBSTITUTE(SUBSTITUTE(SUBSTITUTE(SUBSTITUTE(SUBSTITUTE(LOWER(AC621&amp;""),CHAR(10)," "),CHAR(13)," "),CHAR(9)," "),CHAR(160)," "),"."," "),","," "),"-"," "),"/"," "),"("," "),")"," "),":"," "),";"," "),"_"," "),"–"," "),"?"," "),"!"," "),"*"," "),"["," "),"]"," "),"'"," "),"#"," "),"+"," "),"&amp;"," "),"\"," "))&amp;" "</f>
        <v>  </v>
      </c>
      <c r="BG621" s="61" t="n">
        <f aca="false">IFERROR(IF(AND(TRIM(U621)="Pass",SUMPRODUCT((LEN(BC621)-LEN(SUBSTITUTE(BC621," "&amp;L_ResultBad&amp;" "," ")))/(LEN(L_ResultBad)+1))&gt;SUMPRODUCT((LEN(BC621)-LEN(SUBSTITUTE(BC621," "&amp;L_NegPhrase&amp;" "," ")))/(LEN(L_NegPhrase)+1))),1,0),0)</f>
        <v>0</v>
      </c>
      <c r="BH621" s="61" t="n">
        <f aca="false">IFERROR(IF(SUMPRODUCT((LEN(BC621)-LEN(SUBSTITUTE(BC621," "&amp;L_Pending&amp;" "," ")))/(LEN(L_Pending)+1))&gt;SUMPRODUCT((LEN(BC621)-LEN(SUBSTITUTE(BC621," "&amp;L_PendNeg&amp;" "," ")))/(LEN(L_PendNeg)+1))+SUMPRODUCT((LEN(BC621)-LEN(SUBSTITUTE(BC621," "&amp;L_PendPrep&amp;" "," ")))/(LEN(L_PendPrep)+1)),1,0),1)</f>
        <v>0</v>
      </c>
      <c r="BI621" s="61" t="n">
        <f aca="false">IFERROR(IF(SUMPRODUCT((LEN(BD621)-LEN(SUBSTITUTE(BD621," "&amp;L_PendStrict&amp;" "," ")))/(LEN(L_PendStrict)+1))&gt;SUMPRODUCT((LEN(BD621)-LEN(SUBSTITUTE(BD621," "&amp;L_PendNeg&amp;" "," ")))/(LEN(L_PendNeg)+1)),1,0),1)</f>
        <v>0</v>
      </c>
      <c r="BJ621" s="61" t="n">
        <f aca="false">IFERROR(IF(SUMPRODUCT((LEN(BE621)-LEN(SUBSTITUTE(BE621," "&amp;L_Pending&amp;" "," ")))/(LEN(L_Pending)+1))&gt;SUMPRODUCT((LEN(BE621)-LEN(SUBSTITUTE(BE621," "&amp;L_PendNeg&amp;" "," ")))/(LEN(L_PendNeg)+1))+SUMPRODUCT((LEN(BE621)-LEN(SUBSTITUTE(BE621," "&amp;L_PendPrep&amp;" "," ")))/(LEN(L_PendPrep)+1)),1,0),1)</f>
        <v>0</v>
      </c>
      <c r="BK621" s="61" t="n">
        <f aca="false">IFERROR(IF(SUMPRODUCT((LEN(BF621)-LEN(SUBSTITUTE(BF621," "&amp;L_PendStrict&amp;" "," ")))/(LEN(L_PendStrict)+1))&gt;SUMPRODUCT((LEN(BF621)-LEN(SUBSTITUTE(BF621," "&amp;L_PendNeg&amp;" "," ")))/(LEN(L_PendNeg)+1)),1,0),1)</f>
        <v>0</v>
      </c>
      <c r="BL621" s="61" t="n">
        <f aca="false">IF(ISNA(MATCH(TRIM(S621),L_EvidenceType,0)),0,BZ621)</f>
        <v>0</v>
      </c>
      <c r="BM621" s="61" t="str">
        <f aca="false">SUBSTITUTE(SUBSTITUTE(SUBSTITUTE(SUBSTITUTE(SUBSTITUTE(SUBSTITUTE(SUBSTITUTE(SUBSTITUTE(SUBSTITUTE(LOWER(Z621&amp;""),"1","0"),"2","0"),"3","0"),"4","0"),"5","0"),"6","0"),"7","0"),"8","0"),"9","0")</f>
        <v/>
      </c>
      <c r="BN621" s="61" t="str">
        <f aca="false">SUBSTITUTE(SUBSTITUTE(SUBSTITUTE(SUBSTITUTE(SUBSTITUTE(SUBSTITUTE(SUBSTITUTE(SUBSTITUTE(SUBSTITUTE(SUBSTITUTE(SUBSTITUTE(SUBSTITUTE(SUBSTITUTE(SUBSTITUTE(SUBSTITUTE(SUBSTITUTE(SUBSTITUTE(SUBSTITUTE(SUBSTITUTE(SUBSTITUTE(SUBSTITUTE(SUBSTITUTE(SUBSTITUTE(SUBSTITUTE(SUBSTITUTE(BM621,"b","a"),"c","a"),"d","a"),"e","a"),"f","a"),"g","a"),"h","a"),"i","a"),"j","a"),"k","a"),"l","a"),"m","a"),"n","a"),"o","a"),"p","a"),"q","a"),"r","a"),"s","a"),"t","a"),"u","a"),"v","a"),"w","a"),"x","a"),"y","a"),"z","a")</f>
        <v/>
      </c>
      <c r="BO621" s="61" t="str">
        <f aca="false">SUBSTITUTE(SUBSTITUTE(SUBSTITUTE(SUBSTITUTE(SUBSTITUTE(SUBSTITUTE(SUBSTITUTE(SUBSTITUTE(SUBSTITUTE(LOWER(W621&amp;""),"1","0"),"2","0"),"3","0"),"4","0"),"5","0"),"6","0"),"7","0"),"8","0"),"9","0")</f>
        <v/>
      </c>
      <c r="BP621" s="61" t="str">
        <f aca="false">SUBSTITUTE(SUBSTITUTE(SUBSTITUTE(SUBSTITUTE(SUBSTITUTE(SUBSTITUTE(SUBSTITUTE(SUBSTITUTE(SUBSTITUTE(SUBSTITUTE(SUBSTITUTE(SUBSTITUTE(SUBSTITUTE(SUBSTITUTE(SUBSTITUTE(SUBSTITUTE(SUBSTITUTE(SUBSTITUTE(SUBSTITUTE(SUBSTITUTE(SUBSTITUTE(SUBSTITUTE(SUBSTITUTE(SUBSTITUTE(SUBSTITUTE(BO621,"b","a"),"c","a"),"d","a"),"e","a"),"f","a"),"g","a"),"h","a"),"i","a"),"j","a"),"k","a"),"l","a"),"m","a"),"n","a"),"o","a"),"p","a"),"q","a"),"r","a"),"s","a"),"t","a"),"u","a"),"v","a"),"w","a"),"x","a"),"y","a"),"z","a")</f>
        <v/>
      </c>
      <c r="BQ621" s="61" t="n">
        <f aca="false">IFERROR(IF(AND(ISERROR(SEARCH(" mh"," "&amp;LOWER(W621))),ISNA(MATCH(LEFT(TRIM(BP621),255),{"0000a","000a","00a","0000aa","000aa","00aa","0aa","0000aaa","000aaa","00a00","0a00","0000-0000","00:00","a00","a0","00.00.0000","00/00/0000","00-00-0000","0000-00-00","0000/00/00","0000.00.00","00.00.00","00/00/00","00-00-00","0.00.0000","0/00/0000","0-00-0000"},0)),ISNA(MATCH(LEFT(TRIM(CA621),255),{"0000a","000a","00a","0000aa","000aa","00aa","0aa","0000aaa","000aaa","00a00","0a00","0000-0000","00:00","a00","a0","00.00.0000","00/00/0000","00-00-0000","0000-00-00","0000/00/00","0000.00.00","00.00.00","00/00/00","00-00-00","0.00.0000","0/00/0000","0-00-0000"},0)),LEN(CB621)&gt;=3,NOT(OR(SUBSTITUTE(CB621,"0","")="",AND(LEN(CB621)&gt;=4,CB621=REPT(LEFT(CB621),LEN(CB621))),ISNUMBER(MATCH(CB621,{"123","1234","12345","123456","1234567","12345678","0123","01234","012345","98765","987654","54321"},0)),AND(LEN(CB621)=8,LEFT(CB621,3)="202"))),OR(AND((LEN(CA621)-LEN(SUBSTITUTE(CA621,"a","")))&gt;=1,SUMPRODUCT(--ISNUMBER(SEARCH({"a0","a-0","a_0","a/0","a.0","a#0","0a","0-a","0_a","0/a"},BP621)))&gt;0),ISNUMBER(SEARCH("000000",BP621)))),1,0),0)</f>
        <v>0</v>
      </c>
      <c r="BR621" s="61" t="n">
        <f aca="false">IFERROR(LEN(SUBSTITUTE(CC621," ",""))-SUMPRODUCT((LEN(CC621)-LEN(SUBSTITUTE(CC621," "&amp;L_Role&amp;" "," ")))/(LEN(L_Role)+1)*LEN(L_Role)),0)</f>
        <v>0</v>
      </c>
      <c r="BS621" s="61" t="n">
        <f aca="false">IFERROR(LEN(SUBSTITUTE(CD621," ",""))-SUMPRODUCT((LEN(CD621)-LEN(SUBSTITUTE(CD621," "&amp;L_Role&amp;" "," ")))/(LEN(L_Role)+1)*LEN(L_Role)),0)</f>
        <v>0</v>
      </c>
      <c r="BT6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621,"revision",""),"version",""),"jan",""),"feb",""),"mar",""),"apr",""),"may",""),"jun",""),"jul",""),"aug",""),"sep",""),"oct",""),"nov",""),"dec",""),"utc",""),"gmt",""),"myt",""),"bst",""),"rev",""),"ver",""),"b","a"),"c","a"),"d","a"),"e","a"),"f","a"),"g","a"),"h","a"),"i","a"),"j","a"),"k","a"),"l","a"),"m","a"),"n","a"),"o","a"),"p","a"),"q","a"),"r","a"),"s","a"),"t","a"),"u","a"),"v","a"),"w","a"),"x","a"),"y","a"),"z","a")</f>
        <v/>
      </c>
      <c r="BU621" s="61" t="str">
        <f aca="false">SUBSTITUTE(SUBSTITUTE(SUBSTITUTE(SUBSTITUTE(SUBSTITUTE(SUBSTITUTE(SUBSTITUTE(SUBSTITUTE(SUBSTITUTE(SUBSTITUTE(LEFT(BM621,FIND("0",BM621&amp;"0")-1),"-",""),"_",""),"/",""),".",""),"#",""),"\\",""),":","")," ",""),"(",""),")","")</f>
        <v/>
      </c>
      <c r="BV621" s="61" t="n">
        <f aca="false">0</f>
        <v>0</v>
      </c>
      <c r="BW6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621&amp;""),"a",""),"b",""),"c",""),"d",""),"e",""),"f",""),"g",""),"h",""),"i",""),"j",""),"k",""),"l",""),"m",""),"n",""),"o",""),"p",""),"q",""),"r",""),"s",""),"t",""),"u",""),"v",""),"w",""),"x",""),"y",""),"z",""),"-",""),"_",""),"/",""),".",""),"#",""),"\\",""),":","")," ",""),"(",""),")","")</f>
        <v/>
      </c>
      <c r="BX621" s="61" t="str">
        <f aca="false">SUBSTITUTE(SUBSTITUTE(SUBSTITUTE(SUBSTITUTE(SUBSTITUTE(SUBSTITUTE(SUBSTITUTE(SUBSTITUTE(SUBSTITUTE(SUBSTITUTE(SUBSTITUTE(BM621,"0",""),"-",""),"_",""),"/",""),".",""),"#",""),"\\",""),":","")," ",""),"(",""),")","")</f>
        <v/>
      </c>
      <c r="BY621" s="62" t="n">
        <f aca="false">Q621-T7EarlyD*24/24</f>
        <v>46303.0277777778</v>
      </c>
      <c r="BZ621" s="61" t="n">
        <f aca="false">IFERROR(IF(IF(TRIM(S621)="Link / file path",AND(LEN(TRIM(Z621))&gt;=5,SUMPRODUCT(--ISNUMBER(SEARCH({"http","www.","\\",":\",".pdf",".jpg",".jpeg",".png",".heic",".xls",".doc",".msg",".eml",".ppt",".txt",".zip"},Z621)))&gt;0),AND(ISERROR(FIND(" ",TRIM(Z621))),NOT(OR(SUMPRODUCT(--ISNUMBER(FIND({",",";","&amp;","+"},Z621)))&gt;0,SUMPRODUCT(--ISNUMBER(SEARCH({"0/aa","0\\aa"},BN621)))&gt;0)),NOT(SUMPRODUCT(--ISNUMBER(SEARCH({"http","www.","\\",":\",".pdf",".jpg",".jpeg",".png",".heic",".xls",".doc",".msg",".eml",".ppt",".txt",".zip"},Z621)))&gt;0),NOT(LOWER(TRIM(Z621))=LOWER(Flights!$F$23)),ISNA(MATCH(BU621,{"mh","rev","revision","ver","version","v","r","a","b","seat","tray","row","gate","bay","stand","page","pg","item","line","no","cart","galley","flight","flt","table","box","bag","oven","etd","eta","std","sta","atd","ata","qty","pax","x","time","tel","ph","mob","day","wk","week","utc","gmt","myt","lt"},0)),NOT(OR(ISNUMBER(MATCH(LEFT(BN621,255),{"0000a","000a","00a","0000aa","000aa","00aa","0aa","0000aaa","000aaa","00a00","0a00","0000-0000","00:00","a00","a0","00.00.0000","00/00/0000","00-00-0000","0000-00-00","0000/00/00","0000.00.00","00.00.00","00/00/00","00-00-00","0.00.0000","0/00/0000","0-00-0000"},0)),ISNUMBER(MATCH(LEFT(BT621,255),{"0000a","000a","00a","0000aa","000aa","00aa","0aa","0000aaa","000aaa","00a00","0a00","0000-0000","00:00","a00","a0","00.00.0000","00/00/0000","00-00-0000","0000-00-00","0000/00/00","0000.00.00","00.00.00","00/00/00","00-00-00","0.00.0000","0/00/0000","0-00-0000"},0)))),NOT(OR(AND(BW621&lt;&gt;"",SUBSTITUTE(BW621,"0","")=""),AND(LEN(BW621)&gt;=4,BW621=REPT(LEFT(BW621),LEN(BW621))),ISNUMBER(MATCH(BW621,{"123","1234","12345","123456","1234567","12345678","0123","01234","012345","98765","987654","54321"},0)),ISNUMBER(MATCH(BX621,{"x","xx","xxx","xxxx","xxxxx","abc","abcd","nil","na","nan","test","tbc","tba","tbd","dummy","sample","example","eg","zz","zzz","none","null","xyz","qwe","asd","id","ref"},0)),AND(LEN(BW621)=8,BX621="",OR(LEFT(BW621,3)="202",ISNUMBER(MATCH(RIGHT(BW621,4),{"2025","2026","2027"},0)))))),OR(AND((LEN(BT621)-LEN(SUBSTITUTE(BT621,"a","")))&gt;=1,(LEN(BN621)-LEN(SUBSTITUTE(BN621,"0","")))&gt;=2,SUMPRODUCT(--ISNUMBER(SEARCH({"a0","a-0","a_0","a/0","a.0","a#0","0a","0-a","0_a","0/a"},BN621)))&gt;0),AND((LEN(BN621)-LEN(SUBSTITUTE(BN621,"a","")))=0,(LEN(BN621)-LEN(SUBSTITUTE(BN621,"0","")))&gt;=5)))),1,0),0)</f>
        <v>0</v>
      </c>
      <c r="CA6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621,"revision",""),"version",""),"jan",""),"feb",""),"mar",""),"apr",""),"may",""),"jun",""),"jul",""),"aug",""),"sep",""),"oct",""),"nov",""),"dec",""),"utc",""),"gmt",""),"myt",""),"bst",""),"rev",""),"ver",""),"b","a"),"c","a"),"d","a"),"e","a"),"f","a"),"g","a"),"h","a"),"i","a"),"j","a"),"k","a"),"l","a"),"m","a"),"n","a"),"o","a"),"p","a"),"q","a"),"r","a"),"s","a"),"t","a"),"u","a"),"v","a"),"w","a"),"x","a"),"y","a"),"z","a")</f>
        <v/>
      </c>
      <c r="CB6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621&amp;""),"a",""),"b",""),"c",""),"d",""),"e",""),"f",""),"g",""),"h",""),"i",""),"j",""),"k",""),"l",""),"m",""),"n",""),"o",""),"p",""),"q",""),"r",""),"s",""),"t",""),"u",""),"v",""),"w",""),"x",""),"y",""),"z",""),"-",""),"_",""),"/",""),".",""),"#",""),"\\",""),":","")," ",""),"(",""),")","")</f>
        <v/>
      </c>
      <c r="CC621" s="0" t="str">
        <f aca="false">" "&amp;TRIM(SUBSTITUTE(SUBSTITUTE(SUBSTITUTE(SUBSTITUTE(SUBSTITUTE(SUBSTITUTE(SUBSTITUTE(SUBSTITUTE(SUBSTITUTE(SUBSTITUTE(SUBSTITUTE(SUBSTITUTE(SUBSTITUTE(SUBSTITUTE(SUBSTITUTE(SUBSTITUTE(SUBSTITUTE(SUBSTITUTE(SUBSTITUTE(SUBSTITUTE(SUBSTITUTE(SUBSTITUTE(SUBSTITUTE(SUBSTITUTE(LOWER(T621&amp;""),CHAR(10)," "),CHAR(13)," "),CHAR(9)," "),CHAR(160)," "),"."," "),","," "),"-"," "),"/"," "),"("," "),")"," "),":"," "),";"," "),"_"," "),"–"," "),"?"," "),"!"," "),"*"," "),"["," "),"]"," "),"'"," "),"#"," "),"+"," "),"&amp;"," "),"\"," "))&amp;" "</f>
        <v>  </v>
      </c>
      <c r="CD621" s="0" t="str">
        <f aca="false">" "&amp;TRIM(SUBSTITUTE(SUBSTITUTE(SUBSTITUTE(SUBSTITUTE(SUBSTITUTE(SUBSTITUTE(SUBSTITUTE(SUBSTITUTE(SUBSTITUTE(SUBSTITUTE(SUBSTITUTE(SUBSTITUTE(SUBSTITUTE(SUBSTITUTE(SUBSTITUTE(SUBSTITUTE(SUBSTITUTE(SUBSTITUTE(SUBSTITUTE(SUBSTITUTE(SUBSTITUTE(SUBSTITUTE(SUBSTITUTE(SUBSTITUTE(LOWER(AE621&amp;""),CHAR(10)," "),CHAR(13)," "),CHAR(9)," "),CHAR(160)," "),"."," "),","," "),"-"," "),"/"," "),"("," "),")"," "),":"," "),";"," "),"_"," "),"–"," "),"?"," "),"!"," "),"*"," "),"["," "),"]"," "),"'"," "),"#"," "),"+"," "),"&amp;"," "),"\"," "))&amp;" "</f>
        <v>  </v>
      </c>
      <c r="CE621" s="68" t="n">
        <f aca="false">IFERROR(IF(AND(LEN(AU621)&gt;0,LEN(AU621)=LEN(AX621),OR(TRIM(MID(SUBSTITUTE(TRIM(CC621)," ",REPT(" ",60)),1,60))="",ISNUMBER(SEARCH(" "&amp;TRIM(MID(SUBSTITUTE(TRIM(CC621)," ",REPT(" ",60)),1,60))&amp;" ",CD621))),OR(TRIM(MID(SUBSTITUTE(TRIM(CC621)," ",REPT(" ",60)),61,60))="",ISNUMBER(SEARCH(" "&amp;TRIM(MID(SUBSTITUTE(TRIM(CC621)," ",REPT(" ",60)),61,60))&amp;" ",CD621))),OR(TRIM(MID(SUBSTITUTE(TRIM(CC621)," ",REPT(" ",60)),121,60))="",ISNUMBER(SEARCH(" "&amp;TRIM(MID(SUBSTITUTE(TRIM(CC621)," ",REPT(" ",60)),121,60))&amp;" ",CD621)))),1,0),0)</f>
        <v>0</v>
      </c>
      <c r="CG621" s="68" t="n">
        <f aca="false">IFERROR(LEN(SUBSTITUTE(BF621," ",""))-SUMPRODUCT((LEN(BF621)-LEN(SUBSTITUTE(BF621," "&amp;L_NAFiller&amp;" "," ")))/(LEN(L_NAFiller)+1)*LEN(L_NAFiller)),0)</f>
        <v>0</v>
      </c>
    </row>
    <row r="622" customFormat="false" ht="39.75" hidden="false" customHeight="true" outlineLevel="0" collapsed="false">
      <c r="A622" s="57" t="s">
        <v>1332</v>
      </c>
      <c r="B622" s="57" t="s">
        <v>301</v>
      </c>
      <c r="C622" s="57" t="str">
        <f aca="false">Flights!$F$23</f>
        <v>MH0053</v>
      </c>
      <c r="D622" s="58" t="n">
        <f aca="false">Flights!$D$23</f>
        <v>46324</v>
      </c>
      <c r="E622" s="57" t="str">
        <f aca="false">Flights!$G$23&amp;"-"&amp;Flights!$H$23</f>
        <v>KIX-KUL</v>
      </c>
      <c r="F622" s="57" t="str">
        <f aca="false">Flights!$K$23</f>
        <v>EY</v>
      </c>
      <c r="G622" s="57" t="s">
        <v>81</v>
      </c>
      <c r="H622" s="57" t="s">
        <v>378</v>
      </c>
      <c r="I622" s="57" t="s">
        <v>394</v>
      </c>
      <c r="J622" s="57" t="s">
        <v>395</v>
      </c>
      <c r="K622" s="67" t="s">
        <v>396</v>
      </c>
      <c r="L622" s="67" t="s">
        <v>382</v>
      </c>
      <c r="M622" s="67"/>
      <c r="N622" s="67" t="s">
        <v>383</v>
      </c>
      <c r="O622" s="67"/>
      <c r="P622" s="57" t="s">
        <v>295</v>
      </c>
      <c r="Q622" s="59" t="n">
        <f aca="false">ROUND((Flights!$AC$23)*1440,0)/1440</f>
        <v>46317.0277777778</v>
      </c>
      <c r="R622" s="59" t="n">
        <f aca="false">Q622+(IF(AND(INDEX(TZ_DSTS,MATCH(P622,TZ_STN,0))&lt;&gt;"",Q622&gt;=INDEX(TZ_DSTS,MATCH(P622,TZ_STN,0)),Q622&lt;INDEX(TZ_DSTE,MATCH(P622,TZ_STN,0))),INDEX(TZ_DST,MATCH(P622,TZ_STN,0)),INDEX(TZ_STD,MATCH(P622,TZ_STN,0))))/24</f>
        <v>46317.4027777778</v>
      </c>
      <c r="S622" s="60"/>
      <c r="T622" s="60"/>
      <c r="U622" s="60"/>
      <c r="V622" s="60"/>
      <c r="W622" s="61"/>
      <c r="X622" s="60"/>
      <c r="Y622" s="60"/>
      <c r="Z622" s="60"/>
      <c r="AA622" s="60"/>
      <c r="AB622" s="60"/>
      <c r="AC622" s="60"/>
      <c r="AD622" s="66"/>
      <c r="AE622" s="60"/>
      <c r="AF622" s="61" t="str">
        <f aca="false">IF(AND(ISNUMBER(X622),ISNUMBER(Y622)),Y622-X622,"")</f>
        <v/>
      </c>
      <c r="AG622" s="62" t="str">
        <f aca="false">IF(ISNUMBER(AD622),AD622-(IF(AND(INDEX(TZ_DSTS,MATCH(P622,TZ_STN,0))&lt;&gt;"",(AD622-INDEX(TZ_STD,MATCH(P622,TZ_STN,0))/24)&gt;=INDEX(TZ_DSTS,MATCH(P622,TZ_STN,0)),(AD622-INDEX(TZ_STD,MATCH(P622,TZ_STN,0))/24)&lt;INDEX(TZ_DSTE,MATCH(P622,TZ_STN,0))),INDEX(TZ_DST,MATCH(P622,TZ_STN,0)),INDEX(TZ_STD,MATCH(P622,TZ_STN,0))))/24,"")</f>
        <v/>
      </c>
      <c r="AH622" s="65" t="str">
        <f aca="false">IFERROR(IF(N622="N/A – rule",IF(OR(TRIM(U622)="",TRIM(U622)="N/A",TRIM(U622)="Not started"),"N/A – RULE","INVALID – this check does not apply to this aircraft: clear the status (or correct the fleet on Flights)"),IF(TRIM(U622)="N/A",IF(AT622=0,"INVALID – N/A not permitted for this check",IF(AND(TRIM(AB622)&lt;&gt;"",TRIM(AB622)&lt;&gt;"Closed"),"INVALID – corrective action still open",IF(AND(NOT(OR(LEN(AZ622)&lt;15,ISNUMBER(MATCH(AZ622,L_Placeholder,0)))),BK622=0,CG622&gt;=8,NOT(OR(LEN(AU622)&lt;2,ISNUMBER(MATCH(AU622,L_Placeholder,0)))),BR622&gt;=3,NOT(OR(LEN(AX622)&lt;2,ISNUMBER(MATCH(AX622,L_Placeholder,0)))),BS622&gt;=3,TRIM(AE622)&lt;&gt;TRIM(T622),AX622&lt;&gt;AU622,CE622=0),"N/A – JUSTIFIED","INVALID – N/A needs a real, settled reason (not 'not applicable' / 'as above' / TBC), a named PIC and a different named verifier"))),IF(OR(TRIM(U622)="Pass",TRIM(U622)="Pass after CA"),IF(NOT(ISNUMBER(AD622)),"INVALID – completion time missing",IF(OR(OR(LEN(AU622)&lt;2,ISNUMBER(MATCH(AU622,L_Placeholder,0))),BR622&lt;3),"INVALID – PIC missing or not a named person (a role such as QA / CSM is not a name)",IF(OR(LEN(AV622)&lt;2,ISNUMBER(MATCH(AV622,L_Placeholder,0))),"INVALID – result / assessment missing",IF(OR(OR(LEN(AW622)&lt;3,ISNUMBER(MATCH(AW622,L_Placeholder,0))),SUMPRODUCT(--ISNUMBER(SEARCH(" "&amp;L_EvidencePhrase&amp;" ",BD622)))&gt;0,BI622=1),"INVALID – evidence missing, placeholder or not yet on file",IF(ISNA(MATCH(TRIM(S622),L_EvidenceType,0)),"INVALID – choose the evidence type from the list (column S)",IF(BL622=0,"INVALID – evidence ID must be the record's own ID only (e.g. SF-2210, IMG_2231, 1045521); a link / file name needs type 'Link / file path'",IF(OR(OR(LEN(AX622)&lt;2,ISNUMBER(MATCH(AX622,L_Placeholder,0))),BS622&lt;3),"INVALID – verifier missing or not a named person (a role such as QA / CSM is not a name)",IF(OR(AX622=AU622,CE622=1,AND(LEN(AU622)&gt;=4,ISNUMBER(SEARCH(AU622,AX622))),AND(LEN(AX622)&gt;=4,ISNUMBER(SEARCH(AX622,AU622)))),"INVALID – verifier must be a different, named person (not the PIC or a role)",IF(BH622=1,"INVALID – result not yet available (awaiting / TBC)",IF(BG622=1,"INVALID – result describes a problem: record Fail, then Pass after CA (or reword if it is not a problem)",IF(BV622=1,"INVALID – wording says not on board: an on-board confirmation needs the item loaded",IF(AND(AQ622=1,OR(OR(LEN(AY622)&lt;3,ISNUMBER(MATCH(AY622,L_Placeholder,0))),BJ622=1,BQ622=0)),"INVALID – batch ID missing, placeholder or not an ID (e.g. PASB-261008-BC-017)",IF(AND(AR622=1,OR(NOT(ISNUMBER(X622)),NOT(ISNUMBER(Y622)))),"INVALID – expected/actual qty missing",IF(AND(AR622=1,OR(X622&lt;=0,Y622&lt;0)),"INVALID – expected qty must be above 0 and actual not negative",IF(BB622&lt;&gt;"",BB622,IF(AND(AS622=1,Documents!$J$23&lt;&gt;"ON FILE"),"INVALID – GLD not on file (Documents sheet)",IF(AND(AS622=2,Documents!$O$23&lt;&gt;"ON FILE"),"INVALID – menu checklist not on file (Documents sheet)",IF(AND(AS622=3,NOT(ISNUMBER(Flights!$AX$23))),"INVALID – enter carrying flight KUL departure (Flights AX)",IF(AND(AS622=3,OR(Flights!$AZ$23&gt;Flights!$AA$23,Flights!$AX$23&lt;Flights!$AA$23-3)),"INVALID – carrying flight (Flights AX) cannot arrive before this leg's STD, or is over 3 days early",IF(AG622&gt;AsOfUTC,"INVALID – completion time is in the future",IF(AND(ISNUMBER(BY622),AG622&lt;BY622),IF(H622="Physical uplift","INVALID – before uplift window (cannot confirm loading)","INVALID – before valid window"),IF(AG622&gt;Flights!$AA$23,"INVALID – completed after departure (cannot establish readiness)",IF(AND(H622="Preparation",AG622&gt;=IF(ISNUMBER(Flights!$BA$23),MIN(Flights!$BA$23,Flights!$AA$23),Flights!$AA$23)),"INVALID – completed after loading / departure (cannot establish readiness)",IF(AND(H622="Physical uplift",AG622&gt;Q622),"INVALID – recorded after the loading flight departed",IF(AG622&gt;Q622,"COMPLETE – LATE","COMPLETE"))))))))))))))))))))))))),IF(TRIM(U622)="Fail","FAIL – DISCREPANCY",IF(AND(TRIM(U622)&lt;&gt;"",TRIM(U622)&lt;&gt;"Not started",TRIM(U622)&lt;&gt;"In progress"),"INVALID – unrecognised status (use the list)",IF(AsOfUTC&gt;Q622,"OVERDUE",IF(N622="Clarification required","OPEN – CLARIFICATION","OPEN"))))))),"INVALID – error value in an input cell")</f>
        <v>OPEN</v>
      </c>
      <c r="AI622" s="61" t="n">
        <f aca="false">IF(OR(AH622="N/A – RULE",AH622="N/A – JUSTIFIED"),0,1)</f>
        <v>1</v>
      </c>
      <c r="AJ622" s="61" t="n">
        <f aca="false">IF(LEFT(AH622,8)="COMPLETE",1,0)</f>
        <v>0</v>
      </c>
      <c r="AK622" s="61" t="n">
        <f aca="false">IF(AND(AI622=1,AJ622=0,AsOfUTC&gt;Q622),1,0)</f>
        <v>0</v>
      </c>
      <c r="AL622" s="61" t="n">
        <f aca="false">IFERROR(IF(AND(AI622=1,OR(TRIM(U622)="Fail",AND(TRIM(AB622)&lt;&gt;"",TRIM(AB622)&lt;&gt;"Closed"),AND(ISNUMBER(AF622),AF622&lt;&gt;0,TRIM(U622)&lt;&gt;"Pass after CA"))),1,0),1)</f>
        <v>0</v>
      </c>
      <c r="AM622" s="61" t="n">
        <f aca="false">IF(LEFT(AH622,7)="INVALID",1,0)</f>
        <v>0</v>
      </c>
      <c r="AN622" s="61" t="n">
        <f aca="false">IF(AND(N622="Clarification required",AI622=1,AJ622=0),1,0)</f>
        <v>0</v>
      </c>
      <c r="AO622" s="61" t="str">
        <f aca="false">IF(AK622=1,SUM(AK$5:AK622),"")</f>
        <v/>
      </c>
      <c r="AP622" s="61" t="str">
        <f aca="false">IF(AL622=1,SUM(AL$5:AL622),"")</f>
        <v/>
      </c>
      <c r="AQ622" s="61" t="n">
        <v>0</v>
      </c>
      <c r="AR622" s="61" t="n">
        <v>0</v>
      </c>
      <c r="AS622" s="61" t="n">
        <v>0</v>
      </c>
      <c r="AT622" s="61" t="n">
        <v>0</v>
      </c>
      <c r="AU622" s="61" t="str">
        <f aca="false">SUBSTITUTE(SUBSTITUTE(SUBSTITUTE(SUBSTITUTE(SUBSTITUTE(SUBSTITUTE(SUBSTITUTE(SUBSTITUTE(SUBSTITUTE(SUBSTITUTE(SUBSTITUTE(SUBSTITUTE(SUBSTITUTE(SUBSTITUTE(SUBSTITUTE(SUBSTITUTE(LOWER(T622&amp;""),CHAR(10),""),CHAR(13),""),CHAR(9),""),CHAR(160),"")," ",""),".",""),"-",""),"/",""),"?",""),"_",""),",",""),"[",""),"]",""),"(",""),")",""),"*","")</f>
        <v/>
      </c>
      <c r="AV622" s="61" t="str">
        <f aca="false">SUBSTITUTE(SUBSTITUTE(SUBSTITUTE(SUBSTITUTE(SUBSTITUTE(SUBSTITUTE(SUBSTITUTE(SUBSTITUTE(SUBSTITUTE(SUBSTITUTE(SUBSTITUTE(SUBSTITUTE(SUBSTITUTE(SUBSTITUTE(SUBSTITUTE(SUBSTITUTE(LOWER(V622&amp;""),CHAR(10),""),CHAR(13),""),CHAR(9),""),CHAR(160),"")," ",""),".",""),"-",""),"/",""),"?",""),"_",""),",",""),"[",""),"]",""),"(",""),")",""),"*","")</f>
        <v/>
      </c>
      <c r="AW622" s="61" t="str">
        <f aca="false">SUBSTITUTE(SUBSTITUTE(SUBSTITUTE(SUBSTITUTE(SUBSTITUTE(SUBSTITUTE(SUBSTITUTE(SUBSTITUTE(SUBSTITUTE(SUBSTITUTE(SUBSTITUTE(SUBSTITUTE(SUBSTITUTE(SUBSTITUTE(SUBSTITUTE(SUBSTITUTE(LOWER(Z622&amp;""),CHAR(10),""),CHAR(13),""),CHAR(9),""),CHAR(160),"")," ",""),".",""),"-",""),"/",""),"?",""),"_",""),",",""),"[",""),"]",""),"(",""),")",""),"*","")</f>
        <v/>
      </c>
      <c r="AX622" s="61" t="str">
        <f aca="false">SUBSTITUTE(SUBSTITUTE(SUBSTITUTE(SUBSTITUTE(SUBSTITUTE(SUBSTITUTE(SUBSTITUTE(SUBSTITUTE(SUBSTITUTE(SUBSTITUTE(SUBSTITUTE(SUBSTITUTE(SUBSTITUTE(SUBSTITUTE(SUBSTITUTE(SUBSTITUTE(LOWER(AE622&amp;""),CHAR(10),""),CHAR(13),""),CHAR(9),""),CHAR(160),"")," ",""),".",""),"-",""),"/",""),"?",""),"_",""),",",""),"[",""),"]",""),"(",""),")",""),"*","")</f>
        <v/>
      </c>
      <c r="AY622" s="61" t="str">
        <f aca="false">SUBSTITUTE(SUBSTITUTE(SUBSTITUTE(SUBSTITUTE(SUBSTITUTE(SUBSTITUTE(SUBSTITUTE(SUBSTITUTE(SUBSTITUTE(SUBSTITUTE(SUBSTITUTE(SUBSTITUTE(SUBSTITUTE(SUBSTITUTE(SUBSTITUTE(SUBSTITUTE(LOWER(W622&amp;""),CHAR(10),""),CHAR(13),""),CHAR(9),""),CHAR(160),"")," ",""),".",""),"-",""),"/",""),"?",""),"_",""),",",""),"[",""),"]",""),"(",""),")",""),"*","")</f>
        <v/>
      </c>
      <c r="AZ622" s="61" t="str">
        <f aca="false">SUBSTITUTE(SUBSTITUTE(SUBSTITUTE(SUBSTITUTE(SUBSTITUTE(SUBSTITUTE(SUBSTITUTE(SUBSTITUTE(SUBSTITUTE(SUBSTITUTE(SUBSTITUTE(SUBSTITUTE(SUBSTITUTE(SUBSTITUTE(SUBSTITUTE(SUBSTITUTE(LOWER(AC622&amp;""),CHAR(10),""),CHAR(13),""),CHAR(9),""),CHAR(160),"")," ",""),".",""),"-",""),"/",""),"?",""),"_",""),",",""),"[",""),"]",""),"(",""),")",""),"*","")</f>
        <v/>
      </c>
      <c r="BA622" s="61" t="str">
        <f aca="false">SUBSTITUTE(SUBSTITUTE(SUBSTITUTE(SUBSTITUTE(SUBSTITUTE(SUBSTITUTE(SUBSTITUTE(SUBSTITUTE(SUBSTITUTE(SUBSTITUTE(SUBSTITUTE(SUBSTITUTE(SUBSTITUTE(SUBSTITUTE(SUBSTITUTE(SUBSTITUTE(LOWER(AA622&amp;""),CHAR(10),""),CHAR(13),""),CHAR(9),""),CHAR(160),"")," ",""),".",""),"-",""),"/",""),"?",""),"_",""),",",""),"[",""),"]",""),"(",""),")",""),"*","")</f>
        <v/>
      </c>
      <c r="BB622" s="61" t="str">
        <f aca="false">IF(AND(TRIM(U622)="Pass",ISNUMBER(AF622)),IF(AF622&lt;&gt;0,"INVALID – qty variance: use Fail or Pass after CA",""),"")&amp;IF(AND(TRIM(U622)="Pass after CA",ISNUMBER(AF622)),IF(AF622&lt;&gt;0,"INVALID – after the corrective action the actual qty must equal expected (update Actual)",""),"")&amp;IF(AND(TRIM(U622)="Pass",TRIM(AB622)&lt;&gt;"",TRIM(AB622)&lt;&gt;"Closed"),"INVALID – corrective action not closed: use Fail, then Pass after CA","")&amp;IF(AND(LEN(BA622)&gt;=2,ISNA(MATCH(LEFT(BA622,255),L_Placeholder,0)),TRIM(AB622)=""),"INVALID – CA status missing for the recorded corrective action","")&amp;IF(AND(TRIM(U622)="Pass after CA",OR(OR(LEN(BA622)&lt;5,ISNUMBER(MATCH(BA622,L_Placeholder,0))),TRIM(AB622)&lt;&gt;"Closed")),"INVALID – corrective action not recorded/closed","")</f>
        <v/>
      </c>
      <c r="BC622" s="61" t="str">
        <f aca="false">" "&amp;TRIM(SUBSTITUTE(SUBSTITUTE(SUBSTITUTE(SUBSTITUTE(SUBSTITUTE(SUBSTITUTE(SUBSTITUTE(SUBSTITUTE(SUBSTITUTE(SUBSTITUTE(SUBSTITUTE(SUBSTITUTE(SUBSTITUTE(SUBSTITUTE(SUBSTITUTE(SUBSTITUTE(SUBSTITUTE(SUBSTITUTE(SUBSTITUTE(SUBSTITUTE(SUBSTITUTE(SUBSTITUTE(SUBSTITUTE(SUBSTITUTE(LOWER(V622&amp;""),CHAR(10)," "),CHAR(13)," "),CHAR(9)," "),CHAR(160)," "),"."," "),","," "),"-"," "),"/"," "),"("," "),")"," "),":"," "),";"," "),"_"," "),"–"," "),"?"," "),"!"," "),"*"," "),"["," "),"]"," "),"'"," "),"#"," "),"+"," "),"&amp;"," "),"\"," "))&amp;" "</f>
        <v>  </v>
      </c>
      <c r="BD622" s="61" t="str">
        <f aca="false">" "&amp;TRIM(SUBSTITUTE(SUBSTITUTE(SUBSTITUTE(SUBSTITUTE(SUBSTITUTE(SUBSTITUTE(SUBSTITUTE(SUBSTITUTE(SUBSTITUTE(SUBSTITUTE(SUBSTITUTE(SUBSTITUTE(SUBSTITUTE(SUBSTITUTE(SUBSTITUTE(SUBSTITUTE(SUBSTITUTE(SUBSTITUTE(SUBSTITUTE(SUBSTITUTE(SUBSTITUTE(SUBSTITUTE(SUBSTITUTE(SUBSTITUTE(LOWER(Z622&amp;""),CHAR(10)," "),CHAR(13)," "),CHAR(9)," "),CHAR(160)," "),"."," "),","," "),"-"," "),"/"," "),"("," "),")"," "),":"," "),";"," "),"_"," "),"–"," "),"?"," "),"!"," "),"*"," "),"["," "),"]"," "),"'"," "),"#"," "),"+"," "),"&amp;"," "),"\"," "))&amp;" "</f>
        <v>  </v>
      </c>
      <c r="BE622" s="61" t="str">
        <f aca="false">" "&amp;TRIM(SUBSTITUTE(SUBSTITUTE(SUBSTITUTE(SUBSTITUTE(SUBSTITUTE(SUBSTITUTE(SUBSTITUTE(SUBSTITUTE(SUBSTITUTE(SUBSTITUTE(SUBSTITUTE(SUBSTITUTE(SUBSTITUTE(SUBSTITUTE(SUBSTITUTE(SUBSTITUTE(SUBSTITUTE(SUBSTITUTE(SUBSTITUTE(SUBSTITUTE(SUBSTITUTE(SUBSTITUTE(SUBSTITUTE(SUBSTITUTE(LOWER(W622&amp;""),CHAR(10)," "),CHAR(13)," "),CHAR(9)," "),CHAR(160)," "),"."," "),","," "),"-"," "),"/"," "),"("," "),")"," "),":"," "),";"," "),"_"," "),"–"," "),"?"," "),"!"," "),"*"," "),"["," "),"]"," "),"'"," "),"#"," "),"+"," "),"&amp;"," "),"\"," "))&amp;" "</f>
        <v>  </v>
      </c>
      <c r="BF622" s="61" t="str">
        <f aca="false">" "&amp;TRIM(SUBSTITUTE(SUBSTITUTE(SUBSTITUTE(SUBSTITUTE(SUBSTITUTE(SUBSTITUTE(SUBSTITUTE(SUBSTITUTE(SUBSTITUTE(SUBSTITUTE(SUBSTITUTE(SUBSTITUTE(SUBSTITUTE(SUBSTITUTE(SUBSTITUTE(SUBSTITUTE(SUBSTITUTE(SUBSTITUTE(SUBSTITUTE(SUBSTITUTE(SUBSTITUTE(SUBSTITUTE(SUBSTITUTE(SUBSTITUTE(LOWER(AC622&amp;""),CHAR(10)," "),CHAR(13)," "),CHAR(9)," "),CHAR(160)," "),"."," "),","," "),"-"," "),"/"," "),"("," "),")"," "),":"," "),";"," "),"_"," "),"–"," "),"?"," "),"!"," "),"*"," "),"["," "),"]"," "),"'"," "),"#"," "),"+"," "),"&amp;"," "),"\"," "))&amp;" "</f>
        <v>  </v>
      </c>
      <c r="BG622" s="61" t="n">
        <f aca="false">IFERROR(IF(AND(TRIM(U622)="Pass",SUMPRODUCT((LEN(BC622)-LEN(SUBSTITUTE(BC622," "&amp;L_ResultBad&amp;" "," ")))/(LEN(L_ResultBad)+1))&gt;SUMPRODUCT((LEN(BC622)-LEN(SUBSTITUTE(BC622," "&amp;L_NegPhrase&amp;" "," ")))/(LEN(L_NegPhrase)+1))),1,0),0)</f>
        <v>0</v>
      </c>
      <c r="BH622" s="61" t="n">
        <f aca="false">IFERROR(IF(SUMPRODUCT((LEN(BC622)-LEN(SUBSTITUTE(BC622," "&amp;L_Pending&amp;" "," ")))/(LEN(L_Pending)+1))&gt;SUMPRODUCT((LEN(BC622)-LEN(SUBSTITUTE(BC622," "&amp;L_PendNeg&amp;" "," ")))/(LEN(L_PendNeg)+1))+SUMPRODUCT((LEN(BC622)-LEN(SUBSTITUTE(BC622," "&amp;L_PendPrep&amp;" "," ")))/(LEN(L_PendPrep)+1)),1,0),1)</f>
        <v>0</v>
      </c>
      <c r="BI622" s="61" t="n">
        <f aca="false">IFERROR(IF(SUMPRODUCT((LEN(BD622)-LEN(SUBSTITUTE(BD622," "&amp;L_PendStrict&amp;" "," ")))/(LEN(L_PendStrict)+1))&gt;SUMPRODUCT((LEN(BD622)-LEN(SUBSTITUTE(BD622," "&amp;L_PendNeg&amp;" "," ")))/(LEN(L_PendNeg)+1)),1,0),1)</f>
        <v>0</v>
      </c>
      <c r="BJ622" s="61" t="n">
        <f aca="false">IFERROR(IF(SUMPRODUCT((LEN(BE622)-LEN(SUBSTITUTE(BE622," "&amp;L_Pending&amp;" "," ")))/(LEN(L_Pending)+1))&gt;SUMPRODUCT((LEN(BE622)-LEN(SUBSTITUTE(BE622," "&amp;L_PendNeg&amp;" "," ")))/(LEN(L_PendNeg)+1))+SUMPRODUCT((LEN(BE622)-LEN(SUBSTITUTE(BE622," "&amp;L_PendPrep&amp;" "," ")))/(LEN(L_PendPrep)+1)),1,0),1)</f>
        <v>0</v>
      </c>
      <c r="BK622" s="61" t="n">
        <f aca="false">IFERROR(IF(SUMPRODUCT((LEN(BF622)-LEN(SUBSTITUTE(BF622," "&amp;L_PendStrict&amp;" "," ")))/(LEN(L_PendStrict)+1))&gt;SUMPRODUCT((LEN(BF622)-LEN(SUBSTITUTE(BF622," "&amp;L_PendNeg&amp;" "," ")))/(LEN(L_PendNeg)+1)),1,0),1)</f>
        <v>0</v>
      </c>
      <c r="BL622" s="61" t="n">
        <f aca="false">IF(ISNA(MATCH(TRIM(S622),L_EvidenceType,0)),0,BZ622)</f>
        <v>0</v>
      </c>
      <c r="BM622" s="61" t="str">
        <f aca="false">SUBSTITUTE(SUBSTITUTE(SUBSTITUTE(SUBSTITUTE(SUBSTITUTE(SUBSTITUTE(SUBSTITUTE(SUBSTITUTE(SUBSTITUTE(LOWER(Z622&amp;""),"1","0"),"2","0"),"3","0"),"4","0"),"5","0"),"6","0"),"7","0"),"8","0"),"9","0")</f>
        <v/>
      </c>
      <c r="BN622" s="61" t="str">
        <f aca="false">SUBSTITUTE(SUBSTITUTE(SUBSTITUTE(SUBSTITUTE(SUBSTITUTE(SUBSTITUTE(SUBSTITUTE(SUBSTITUTE(SUBSTITUTE(SUBSTITUTE(SUBSTITUTE(SUBSTITUTE(SUBSTITUTE(SUBSTITUTE(SUBSTITUTE(SUBSTITUTE(SUBSTITUTE(SUBSTITUTE(SUBSTITUTE(SUBSTITUTE(SUBSTITUTE(SUBSTITUTE(SUBSTITUTE(SUBSTITUTE(SUBSTITUTE(BM622,"b","a"),"c","a"),"d","a"),"e","a"),"f","a"),"g","a"),"h","a"),"i","a"),"j","a"),"k","a"),"l","a"),"m","a"),"n","a"),"o","a"),"p","a"),"q","a"),"r","a"),"s","a"),"t","a"),"u","a"),"v","a"),"w","a"),"x","a"),"y","a"),"z","a")</f>
        <v/>
      </c>
      <c r="BO622" s="61" t="str">
        <f aca="false">SUBSTITUTE(SUBSTITUTE(SUBSTITUTE(SUBSTITUTE(SUBSTITUTE(SUBSTITUTE(SUBSTITUTE(SUBSTITUTE(SUBSTITUTE(LOWER(W622&amp;""),"1","0"),"2","0"),"3","0"),"4","0"),"5","0"),"6","0"),"7","0"),"8","0"),"9","0")</f>
        <v/>
      </c>
      <c r="BP622" s="61" t="str">
        <f aca="false">SUBSTITUTE(SUBSTITUTE(SUBSTITUTE(SUBSTITUTE(SUBSTITUTE(SUBSTITUTE(SUBSTITUTE(SUBSTITUTE(SUBSTITUTE(SUBSTITUTE(SUBSTITUTE(SUBSTITUTE(SUBSTITUTE(SUBSTITUTE(SUBSTITUTE(SUBSTITUTE(SUBSTITUTE(SUBSTITUTE(SUBSTITUTE(SUBSTITUTE(SUBSTITUTE(SUBSTITUTE(SUBSTITUTE(SUBSTITUTE(SUBSTITUTE(BO622,"b","a"),"c","a"),"d","a"),"e","a"),"f","a"),"g","a"),"h","a"),"i","a"),"j","a"),"k","a"),"l","a"),"m","a"),"n","a"),"o","a"),"p","a"),"q","a"),"r","a"),"s","a"),"t","a"),"u","a"),"v","a"),"w","a"),"x","a"),"y","a"),"z","a")</f>
        <v/>
      </c>
      <c r="BQ622" s="61" t="n">
        <f aca="false">IFERROR(IF(AND(ISERROR(SEARCH(" mh"," "&amp;LOWER(W622))),ISNA(MATCH(LEFT(TRIM(BP622),255),{"0000a","000a","00a","0000aa","000aa","00aa","0aa","0000aaa","000aaa","00a00","0a00","0000-0000","00:00","a00","a0","00.00.0000","00/00/0000","00-00-0000","0000-00-00","0000/00/00","0000.00.00","00.00.00","00/00/00","00-00-00","0.00.0000","0/00/0000","0-00-0000"},0)),ISNA(MATCH(LEFT(TRIM(CA622),255),{"0000a","000a","00a","0000aa","000aa","00aa","0aa","0000aaa","000aaa","00a00","0a00","0000-0000","00:00","a00","a0","00.00.0000","00/00/0000","00-00-0000","0000-00-00","0000/00/00","0000.00.00","00.00.00","00/00/00","00-00-00","0.00.0000","0/00/0000","0-00-0000"},0)),LEN(CB622)&gt;=3,NOT(OR(SUBSTITUTE(CB622,"0","")="",AND(LEN(CB622)&gt;=4,CB622=REPT(LEFT(CB622),LEN(CB622))),ISNUMBER(MATCH(CB622,{"123","1234","12345","123456","1234567","12345678","0123","01234","012345","98765","987654","54321"},0)),AND(LEN(CB622)=8,LEFT(CB622,3)="202"))),OR(AND((LEN(CA622)-LEN(SUBSTITUTE(CA622,"a","")))&gt;=1,SUMPRODUCT(--ISNUMBER(SEARCH({"a0","a-0","a_0","a/0","a.0","a#0","0a","0-a","0_a","0/a"},BP622)))&gt;0),ISNUMBER(SEARCH("000000",BP622)))),1,0),0)</f>
        <v>0</v>
      </c>
      <c r="BR622" s="61" t="n">
        <f aca="false">IFERROR(LEN(SUBSTITUTE(CC622," ",""))-SUMPRODUCT((LEN(CC622)-LEN(SUBSTITUTE(CC622," "&amp;L_Role&amp;" "," ")))/(LEN(L_Role)+1)*LEN(L_Role)),0)</f>
        <v>0</v>
      </c>
      <c r="BS622" s="61" t="n">
        <f aca="false">IFERROR(LEN(SUBSTITUTE(CD622," ",""))-SUMPRODUCT((LEN(CD622)-LEN(SUBSTITUTE(CD622," "&amp;L_Role&amp;" "," ")))/(LEN(L_Role)+1)*LEN(L_Role)),0)</f>
        <v>0</v>
      </c>
      <c r="BT6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622,"revision",""),"version",""),"jan",""),"feb",""),"mar",""),"apr",""),"may",""),"jun",""),"jul",""),"aug",""),"sep",""),"oct",""),"nov",""),"dec",""),"utc",""),"gmt",""),"myt",""),"bst",""),"rev",""),"ver",""),"b","a"),"c","a"),"d","a"),"e","a"),"f","a"),"g","a"),"h","a"),"i","a"),"j","a"),"k","a"),"l","a"),"m","a"),"n","a"),"o","a"),"p","a"),"q","a"),"r","a"),"s","a"),"t","a"),"u","a"),"v","a"),"w","a"),"x","a"),"y","a"),"z","a")</f>
        <v/>
      </c>
      <c r="BU622" s="61" t="str">
        <f aca="false">SUBSTITUTE(SUBSTITUTE(SUBSTITUTE(SUBSTITUTE(SUBSTITUTE(SUBSTITUTE(SUBSTITUTE(SUBSTITUTE(SUBSTITUTE(SUBSTITUTE(LEFT(BM622,FIND("0",BM622&amp;"0")-1),"-",""),"_",""),"/",""),".",""),"#",""),"\\",""),":","")," ",""),"(",""),")","")</f>
        <v/>
      </c>
      <c r="BV622" s="61" t="n">
        <f aca="false">0</f>
        <v>0</v>
      </c>
      <c r="BW6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622&amp;""),"a",""),"b",""),"c",""),"d",""),"e",""),"f",""),"g",""),"h",""),"i",""),"j",""),"k",""),"l",""),"m",""),"n",""),"o",""),"p",""),"q",""),"r",""),"s",""),"t",""),"u",""),"v",""),"w",""),"x",""),"y",""),"z",""),"-",""),"_",""),"/",""),".",""),"#",""),"\\",""),":","")," ",""),"(",""),")","")</f>
        <v/>
      </c>
      <c r="BX622" s="61" t="str">
        <f aca="false">SUBSTITUTE(SUBSTITUTE(SUBSTITUTE(SUBSTITUTE(SUBSTITUTE(SUBSTITUTE(SUBSTITUTE(SUBSTITUTE(SUBSTITUTE(SUBSTITUTE(SUBSTITUTE(BM622,"0",""),"-",""),"_",""),"/",""),".",""),"#",""),"\\",""),":","")," ",""),"(",""),")","")</f>
        <v/>
      </c>
      <c r="BY622" s="62" t="n">
        <f aca="false">Q622-T7EarlyD*24/24</f>
        <v>46303.0277777778</v>
      </c>
      <c r="BZ622" s="61" t="n">
        <f aca="false">IFERROR(IF(IF(TRIM(S622)="Link / file path",AND(LEN(TRIM(Z622))&gt;=5,SUMPRODUCT(--ISNUMBER(SEARCH({"http","www.","\\",":\",".pdf",".jpg",".jpeg",".png",".heic",".xls",".doc",".msg",".eml",".ppt",".txt",".zip"},Z622)))&gt;0),AND(ISERROR(FIND(" ",TRIM(Z622))),NOT(OR(SUMPRODUCT(--ISNUMBER(FIND({",",";","&amp;","+"},Z622)))&gt;0,SUMPRODUCT(--ISNUMBER(SEARCH({"0/aa","0\\aa"},BN622)))&gt;0)),NOT(SUMPRODUCT(--ISNUMBER(SEARCH({"http","www.","\\",":\",".pdf",".jpg",".jpeg",".png",".heic",".xls",".doc",".msg",".eml",".ppt",".txt",".zip"},Z622)))&gt;0),NOT(LOWER(TRIM(Z622))=LOWER(Flights!$F$23)),ISNA(MATCH(BU622,{"mh","rev","revision","ver","version","v","r","a","b","seat","tray","row","gate","bay","stand","page","pg","item","line","no","cart","galley","flight","flt","table","box","bag","oven","etd","eta","std","sta","atd","ata","qty","pax","x","time","tel","ph","mob","day","wk","week","utc","gmt","myt","lt"},0)),NOT(OR(ISNUMBER(MATCH(LEFT(BN622,255),{"0000a","000a","00a","0000aa","000aa","00aa","0aa","0000aaa","000aaa","00a00","0a00","0000-0000","00:00","a00","a0","00.00.0000","00/00/0000","00-00-0000","0000-00-00","0000/00/00","0000.00.00","00.00.00","00/00/00","00-00-00","0.00.0000","0/00/0000","0-00-0000"},0)),ISNUMBER(MATCH(LEFT(BT622,255),{"0000a","000a","00a","0000aa","000aa","00aa","0aa","0000aaa","000aaa","00a00","0a00","0000-0000","00:00","a00","a0","00.00.0000","00/00/0000","00-00-0000","0000-00-00","0000/00/00","0000.00.00","00.00.00","00/00/00","00-00-00","0.00.0000","0/00/0000","0-00-0000"},0)))),NOT(OR(AND(BW622&lt;&gt;"",SUBSTITUTE(BW622,"0","")=""),AND(LEN(BW622)&gt;=4,BW622=REPT(LEFT(BW622),LEN(BW622))),ISNUMBER(MATCH(BW622,{"123","1234","12345","123456","1234567","12345678","0123","01234","012345","98765","987654","54321"},0)),ISNUMBER(MATCH(BX622,{"x","xx","xxx","xxxx","xxxxx","abc","abcd","nil","na","nan","test","tbc","tba","tbd","dummy","sample","example","eg","zz","zzz","none","null","xyz","qwe","asd","id","ref"},0)),AND(LEN(BW622)=8,BX622="",OR(LEFT(BW622,3)="202",ISNUMBER(MATCH(RIGHT(BW622,4),{"2025","2026","2027"},0)))))),OR(AND((LEN(BT622)-LEN(SUBSTITUTE(BT622,"a","")))&gt;=1,(LEN(BN622)-LEN(SUBSTITUTE(BN622,"0","")))&gt;=2,SUMPRODUCT(--ISNUMBER(SEARCH({"a0","a-0","a_0","a/0","a.0","a#0","0a","0-a","0_a","0/a"},BN622)))&gt;0),AND((LEN(BN622)-LEN(SUBSTITUTE(BN622,"a","")))=0,(LEN(BN622)-LEN(SUBSTITUTE(BN622,"0","")))&gt;=5)))),1,0),0)</f>
        <v>0</v>
      </c>
      <c r="CA6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622,"revision",""),"version",""),"jan",""),"feb",""),"mar",""),"apr",""),"may",""),"jun",""),"jul",""),"aug",""),"sep",""),"oct",""),"nov",""),"dec",""),"utc",""),"gmt",""),"myt",""),"bst",""),"rev",""),"ver",""),"b","a"),"c","a"),"d","a"),"e","a"),"f","a"),"g","a"),"h","a"),"i","a"),"j","a"),"k","a"),"l","a"),"m","a"),"n","a"),"o","a"),"p","a"),"q","a"),"r","a"),"s","a"),"t","a"),"u","a"),"v","a"),"w","a"),"x","a"),"y","a"),"z","a")</f>
        <v/>
      </c>
      <c r="CB6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622&amp;""),"a",""),"b",""),"c",""),"d",""),"e",""),"f",""),"g",""),"h",""),"i",""),"j",""),"k",""),"l",""),"m",""),"n",""),"o",""),"p",""),"q",""),"r",""),"s",""),"t",""),"u",""),"v",""),"w",""),"x",""),"y",""),"z",""),"-",""),"_",""),"/",""),".",""),"#",""),"\\",""),":","")," ",""),"(",""),")","")</f>
        <v/>
      </c>
      <c r="CC622" s="0" t="str">
        <f aca="false">" "&amp;TRIM(SUBSTITUTE(SUBSTITUTE(SUBSTITUTE(SUBSTITUTE(SUBSTITUTE(SUBSTITUTE(SUBSTITUTE(SUBSTITUTE(SUBSTITUTE(SUBSTITUTE(SUBSTITUTE(SUBSTITUTE(SUBSTITUTE(SUBSTITUTE(SUBSTITUTE(SUBSTITUTE(SUBSTITUTE(SUBSTITUTE(SUBSTITUTE(SUBSTITUTE(SUBSTITUTE(SUBSTITUTE(SUBSTITUTE(SUBSTITUTE(LOWER(T622&amp;""),CHAR(10)," "),CHAR(13)," "),CHAR(9)," "),CHAR(160)," "),"."," "),","," "),"-"," "),"/"," "),"("," "),")"," "),":"," "),";"," "),"_"," "),"–"," "),"?"," "),"!"," "),"*"," "),"["," "),"]"," "),"'"," "),"#"," "),"+"," "),"&amp;"," "),"\"," "))&amp;" "</f>
        <v>  </v>
      </c>
      <c r="CD622" s="0" t="str">
        <f aca="false">" "&amp;TRIM(SUBSTITUTE(SUBSTITUTE(SUBSTITUTE(SUBSTITUTE(SUBSTITUTE(SUBSTITUTE(SUBSTITUTE(SUBSTITUTE(SUBSTITUTE(SUBSTITUTE(SUBSTITUTE(SUBSTITUTE(SUBSTITUTE(SUBSTITUTE(SUBSTITUTE(SUBSTITUTE(SUBSTITUTE(SUBSTITUTE(SUBSTITUTE(SUBSTITUTE(SUBSTITUTE(SUBSTITUTE(SUBSTITUTE(SUBSTITUTE(LOWER(AE622&amp;""),CHAR(10)," "),CHAR(13)," "),CHAR(9)," "),CHAR(160)," "),"."," "),","," "),"-"," "),"/"," "),"("," "),")"," "),":"," "),";"," "),"_"," "),"–"," "),"?"," "),"!"," "),"*"," "),"["," "),"]"," "),"'"," "),"#"," "),"+"," "),"&amp;"," "),"\"," "))&amp;" "</f>
        <v>  </v>
      </c>
      <c r="CE622" s="68" t="n">
        <f aca="false">IFERROR(IF(AND(LEN(AU622)&gt;0,LEN(AU622)=LEN(AX622),OR(TRIM(MID(SUBSTITUTE(TRIM(CC622)," ",REPT(" ",60)),1,60))="",ISNUMBER(SEARCH(" "&amp;TRIM(MID(SUBSTITUTE(TRIM(CC622)," ",REPT(" ",60)),1,60))&amp;" ",CD622))),OR(TRIM(MID(SUBSTITUTE(TRIM(CC622)," ",REPT(" ",60)),61,60))="",ISNUMBER(SEARCH(" "&amp;TRIM(MID(SUBSTITUTE(TRIM(CC622)," ",REPT(" ",60)),61,60))&amp;" ",CD622))),OR(TRIM(MID(SUBSTITUTE(TRIM(CC622)," ",REPT(" ",60)),121,60))="",ISNUMBER(SEARCH(" "&amp;TRIM(MID(SUBSTITUTE(TRIM(CC622)," ",REPT(" ",60)),121,60))&amp;" ",CD622)))),1,0),0)</f>
        <v>0</v>
      </c>
      <c r="CG622" s="68" t="n">
        <f aca="false">IFERROR(LEN(SUBSTITUTE(BF622," ",""))-SUMPRODUCT((LEN(BF622)-LEN(SUBSTITUTE(BF622," "&amp;L_NAFiller&amp;" "," ")))/(LEN(L_NAFiller)+1)*LEN(L_NAFiller)),0)</f>
        <v>0</v>
      </c>
    </row>
    <row r="623" customFormat="false" ht="39.75" hidden="false" customHeight="true" outlineLevel="0" collapsed="false">
      <c r="A623" s="57" t="s">
        <v>1333</v>
      </c>
      <c r="B623" s="57" t="s">
        <v>301</v>
      </c>
      <c r="C623" s="57" t="str">
        <f aca="false">Flights!$F$23</f>
        <v>MH0053</v>
      </c>
      <c r="D623" s="58" t="n">
        <f aca="false">Flights!$D$23</f>
        <v>46324</v>
      </c>
      <c r="E623" s="57" t="str">
        <f aca="false">Flights!$G$23&amp;"-"&amp;Flights!$H$23</f>
        <v>KIX-KUL</v>
      </c>
      <c r="F623" s="57" t="str">
        <f aca="false">Flights!$K$23</f>
        <v>EY</v>
      </c>
      <c r="G623" s="57" t="s">
        <v>81</v>
      </c>
      <c r="H623" s="57" t="s">
        <v>378</v>
      </c>
      <c r="I623" s="57" t="s">
        <v>398</v>
      </c>
      <c r="J623" s="57" t="s">
        <v>399</v>
      </c>
      <c r="K623" s="67" t="s">
        <v>400</v>
      </c>
      <c r="L623" s="67" t="s">
        <v>382</v>
      </c>
      <c r="M623" s="67"/>
      <c r="N623" s="67" t="s">
        <v>383</v>
      </c>
      <c r="O623" s="67"/>
      <c r="P623" s="57" t="s">
        <v>295</v>
      </c>
      <c r="Q623" s="59" t="n">
        <f aca="false">ROUND((Flights!$AC$23)*1440,0)/1440</f>
        <v>46317.0277777778</v>
      </c>
      <c r="R623" s="59" t="n">
        <f aca="false">Q623+(IF(AND(INDEX(TZ_DSTS,MATCH(P623,TZ_STN,0))&lt;&gt;"",Q623&gt;=INDEX(TZ_DSTS,MATCH(P623,TZ_STN,0)),Q623&lt;INDEX(TZ_DSTE,MATCH(P623,TZ_STN,0))),INDEX(TZ_DST,MATCH(P623,TZ_STN,0)),INDEX(TZ_STD,MATCH(P623,TZ_STN,0))))/24</f>
        <v>46317.4027777778</v>
      </c>
      <c r="S623" s="60"/>
      <c r="T623" s="60"/>
      <c r="U623" s="60"/>
      <c r="V623" s="60"/>
      <c r="W623" s="61"/>
      <c r="X623" s="60"/>
      <c r="Y623" s="60"/>
      <c r="Z623" s="60"/>
      <c r="AA623" s="60"/>
      <c r="AB623" s="60"/>
      <c r="AC623" s="60"/>
      <c r="AD623" s="66"/>
      <c r="AE623" s="60"/>
      <c r="AF623" s="61" t="str">
        <f aca="false">IF(AND(ISNUMBER(X623),ISNUMBER(Y623)),Y623-X623,"")</f>
        <v/>
      </c>
      <c r="AG623" s="62" t="str">
        <f aca="false">IF(ISNUMBER(AD623),AD623-(IF(AND(INDEX(TZ_DSTS,MATCH(P623,TZ_STN,0))&lt;&gt;"",(AD623-INDEX(TZ_STD,MATCH(P623,TZ_STN,0))/24)&gt;=INDEX(TZ_DSTS,MATCH(P623,TZ_STN,0)),(AD623-INDEX(TZ_STD,MATCH(P623,TZ_STN,0))/24)&lt;INDEX(TZ_DSTE,MATCH(P623,TZ_STN,0))),INDEX(TZ_DST,MATCH(P623,TZ_STN,0)),INDEX(TZ_STD,MATCH(P623,TZ_STN,0))))/24,"")</f>
        <v/>
      </c>
      <c r="AH623" s="65" t="str">
        <f aca="false">IFERROR(IF(N623="N/A – rule",IF(OR(TRIM(U623)="",TRIM(U623)="N/A",TRIM(U623)="Not started"),"N/A – RULE","INVALID – this check does not apply to this aircraft: clear the status (or correct the fleet on Flights)"),IF(TRIM(U623)="N/A",IF(AT623=0,"INVALID – N/A not permitted for this check",IF(AND(TRIM(AB623)&lt;&gt;"",TRIM(AB623)&lt;&gt;"Closed"),"INVALID – corrective action still open",IF(AND(NOT(OR(LEN(AZ623)&lt;15,ISNUMBER(MATCH(AZ623,L_Placeholder,0)))),BK623=0,CG623&gt;=8,NOT(OR(LEN(AU623)&lt;2,ISNUMBER(MATCH(AU623,L_Placeholder,0)))),BR623&gt;=3,NOT(OR(LEN(AX623)&lt;2,ISNUMBER(MATCH(AX623,L_Placeholder,0)))),BS623&gt;=3,TRIM(AE623)&lt;&gt;TRIM(T623),AX623&lt;&gt;AU623,CE623=0),"N/A – JUSTIFIED","INVALID – N/A needs a real, settled reason (not 'not applicable' / 'as above' / TBC), a named PIC and a different named verifier"))),IF(OR(TRIM(U623)="Pass",TRIM(U623)="Pass after CA"),IF(NOT(ISNUMBER(AD623)),"INVALID – completion time missing",IF(OR(OR(LEN(AU623)&lt;2,ISNUMBER(MATCH(AU623,L_Placeholder,0))),BR623&lt;3),"INVALID – PIC missing or not a named person (a role such as QA / CSM is not a name)",IF(OR(LEN(AV623)&lt;2,ISNUMBER(MATCH(AV623,L_Placeholder,0))),"INVALID – result / assessment missing",IF(OR(OR(LEN(AW623)&lt;3,ISNUMBER(MATCH(AW623,L_Placeholder,0))),SUMPRODUCT(--ISNUMBER(SEARCH(" "&amp;L_EvidencePhrase&amp;" ",BD623)))&gt;0,BI623=1),"INVALID – evidence missing, placeholder or not yet on file",IF(ISNA(MATCH(TRIM(S623),L_EvidenceType,0)),"INVALID – choose the evidence type from the list (column S)",IF(BL623=0,"INVALID – evidence ID must be the record's own ID only (e.g. SF-2210, IMG_2231, 1045521); a link / file name needs type 'Link / file path'",IF(OR(OR(LEN(AX623)&lt;2,ISNUMBER(MATCH(AX623,L_Placeholder,0))),BS623&lt;3),"INVALID – verifier missing or not a named person (a role such as QA / CSM is not a name)",IF(OR(AX623=AU623,CE623=1,AND(LEN(AU623)&gt;=4,ISNUMBER(SEARCH(AU623,AX623))),AND(LEN(AX623)&gt;=4,ISNUMBER(SEARCH(AX623,AU623)))),"INVALID – verifier must be a different, named person (not the PIC or a role)",IF(BH623=1,"INVALID – result not yet available (awaiting / TBC)",IF(BG623=1,"INVALID – result describes a problem: record Fail, then Pass after CA (or reword if it is not a problem)",IF(BV623=1,"INVALID – wording says not on board: an on-board confirmation needs the item loaded",IF(AND(AQ623=1,OR(OR(LEN(AY623)&lt;3,ISNUMBER(MATCH(AY623,L_Placeholder,0))),BJ623=1,BQ623=0)),"INVALID – batch ID missing, placeholder or not an ID (e.g. PASB-261008-BC-017)",IF(AND(AR623=1,OR(NOT(ISNUMBER(X623)),NOT(ISNUMBER(Y623)))),"INVALID – expected/actual qty missing",IF(AND(AR623=1,OR(X623&lt;=0,Y623&lt;0)),"INVALID – expected qty must be above 0 and actual not negative",IF(BB623&lt;&gt;"",BB623,IF(AND(AS623=1,Documents!$J$23&lt;&gt;"ON FILE"),"INVALID – GLD not on file (Documents sheet)",IF(AND(AS623=2,Documents!$O$23&lt;&gt;"ON FILE"),"INVALID – menu checklist not on file (Documents sheet)",IF(AND(AS623=3,NOT(ISNUMBER(Flights!$AX$23))),"INVALID – enter carrying flight KUL departure (Flights AX)",IF(AND(AS623=3,OR(Flights!$AZ$23&gt;Flights!$AA$23,Flights!$AX$23&lt;Flights!$AA$23-3)),"INVALID – carrying flight (Flights AX) cannot arrive before this leg's STD, or is over 3 days early",IF(AG623&gt;AsOfUTC,"INVALID – completion time is in the future",IF(AND(ISNUMBER(BY623),AG623&lt;BY623),IF(H623="Physical uplift","INVALID – before uplift window (cannot confirm loading)","INVALID – before valid window"),IF(AG623&gt;Flights!$AA$23,"INVALID – completed after departure (cannot establish readiness)",IF(AND(H623="Preparation",AG623&gt;=IF(ISNUMBER(Flights!$BA$23),MIN(Flights!$BA$23,Flights!$AA$23),Flights!$AA$23)),"INVALID – completed after loading / departure (cannot establish readiness)",IF(AND(H623="Physical uplift",AG623&gt;Q623),"INVALID – recorded after the loading flight departed",IF(AG623&gt;Q623,"COMPLETE – LATE","COMPLETE"))))))))))))))))))))))))),IF(TRIM(U623)="Fail","FAIL – DISCREPANCY",IF(AND(TRIM(U623)&lt;&gt;"",TRIM(U623)&lt;&gt;"Not started",TRIM(U623)&lt;&gt;"In progress"),"INVALID – unrecognised status (use the list)",IF(AsOfUTC&gt;Q623,"OVERDUE",IF(N623="Clarification required","OPEN – CLARIFICATION","OPEN"))))))),"INVALID – error value in an input cell")</f>
        <v>OPEN</v>
      </c>
      <c r="AI623" s="61" t="n">
        <f aca="false">IF(OR(AH623="N/A – RULE",AH623="N/A – JUSTIFIED"),0,1)</f>
        <v>1</v>
      </c>
      <c r="AJ623" s="61" t="n">
        <f aca="false">IF(LEFT(AH623,8)="COMPLETE",1,0)</f>
        <v>0</v>
      </c>
      <c r="AK623" s="61" t="n">
        <f aca="false">IF(AND(AI623=1,AJ623=0,AsOfUTC&gt;Q623),1,0)</f>
        <v>0</v>
      </c>
      <c r="AL623" s="61" t="n">
        <f aca="false">IFERROR(IF(AND(AI623=1,OR(TRIM(U623)="Fail",AND(TRIM(AB623)&lt;&gt;"",TRIM(AB623)&lt;&gt;"Closed"),AND(ISNUMBER(AF623),AF623&lt;&gt;0,TRIM(U623)&lt;&gt;"Pass after CA"))),1,0),1)</f>
        <v>0</v>
      </c>
      <c r="AM623" s="61" t="n">
        <f aca="false">IF(LEFT(AH623,7)="INVALID",1,0)</f>
        <v>0</v>
      </c>
      <c r="AN623" s="61" t="n">
        <f aca="false">IF(AND(N623="Clarification required",AI623=1,AJ623=0),1,0)</f>
        <v>0</v>
      </c>
      <c r="AO623" s="61" t="str">
        <f aca="false">IF(AK623=1,SUM(AK$5:AK623),"")</f>
        <v/>
      </c>
      <c r="AP623" s="61" t="str">
        <f aca="false">IF(AL623=1,SUM(AL$5:AL623),"")</f>
        <v/>
      </c>
      <c r="AQ623" s="61" t="n">
        <v>0</v>
      </c>
      <c r="AR623" s="61" t="n">
        <v>0</v>
      </c>
      <c r="AS623" s="61" t="n">
        <v>0</v>
      </c>
      <c r="AT623" s="61" t="n">
        <v>0</v>
      </c>
      <c r="AU623" s="61" t="str">
        <f aca="false">SUBSTITUTE(SUBSTITUTE(SUBSTITUTE(SUBSTITUTE(SUBSTITUTE(SUBSTITUTE(SUBSTITUTE(SUBSTITUTE(SUBSTITUTE(SUBSTITUTE(SUBSTITUTE(SUBSTITUTE(SUBSTITUTE(SUBSTITUTE(SUBSTITUTE(SUBSTITUTE(LOWER(T623&amp;""),CHAR(10),""),CHAR(13),""),CHAR(9),""),CHAR(160),"")," ",""),".",""),"-",""),"/",""),"?",""),"_",""),",",""),"[",""),"]",""),"(",""),")",""),"*","")</f>
        <v/>
      </c>
      <c r="AV623" s="61" t="str">
        <f aca="false">SUBSTITUTE(SUBSTITUTE(SUBSTITUTE(SUBSTITUTE(SUBSTITUTE(SUBSTITUTE(SUBSTITUTE(SUBSTITUTE(SUBSTITUTE(SUBSTITUTE(SUBSTITUTE(SUBSTITUTE(SUBSTITUTE(SUBSTITUTE(SUBSTITUTE(SUBSTITUTE(LOWER(V623&amp;""),CHAR(10),""),CHAR(13),""),CHAR(9),""),CHAR(160),"")," ",""),".",""),"-",""),"/",""),"?",""),"_",""),",",""),"[",""),"]",""),"(",""),")",""),"*","")</f>
        <v/>
      </c>
      <c r="AW623" s="61" t="str">
        <f aca="false">SUBSTITUTE(SUBSTITUTE(SUBSTITUTE(SUBSTITUTE(SUBSTITUTE(SUBSTITUTE(SUBSTITUTE(SUBSTITUTE(SUBSTITUTE(SUBSTITUTE(SUBSTITUTE(SUBSTITUTE(SUBSTITUTE(SUBSTITUTE(SUBSTITUTE(SUBSTITUTE(LOWER(Z623&amp;""),CHAR(10),""),CHAR(13),""),CHAR(9),""),CHAR(160),"")," ",""),".",""),"-",""),"/",""),"?",""),"_",""),",",""),"[",""),"]",""),"(",""),")",""),"*","")</f>
        <v/>
      </c>
      <c r="AX623" s="61" t="str">
        <f aca="false">SUBSTITUTE(SUBSTITUTE(SUBSTITUTE(SUBSTITUTE(SUBSTITUTE(SUBSTITUTE(SUBSTITUTE(SUBSTITUTE(SUBSTITUTE(SUBSTITUTE(SUBSTITUTE(SUBSTITUTE(SUBSTITUTE(SUBSTITUTE(SUBSTITUTE(SUBSTITUTE(LOWER(AE623&amp;""),CHAR(10),""),CHAR(13),""),CHAR(9),""),CHAR(160),"")," ",""),".",""),"-",""),"/",""),"?",""),"_",""),",",""),"[",""),"]",""),"(",""),")",""),"*","")</f>
        <v/>
      </c>
      <c r="AY623" s="61" t="str">
        <f aca="false">SUBSTITUTE(SUBSTITUTE(SUBSTITUTE(SUBSTITUTE(SUBSTITUTE(SUBSTITUTE(SUBSTITUTE(SUBSTITUTE(SUBSTITUTE(SUBSTITUTE(SUBSTITUTE(SUBSTITUTE(SUBSTITUTE(SUBSTITUTE(SUBSTITUTE(SUBSTITUTE(LOWER(W623&amp;""),CHAR(10),""),CHAR(13),""),CHAR(9),""),CHAR(160),"")," ",""),".",""),"-",""),"/",""),"?",""),"_",""),",",""),"[",""),"]",""),"(",""),")",""),"*","")</f>
        <v/>
      </c>
      <c r="AZ623" s="61" t="str">
        <f aca="false">SUBSTITUTE(SUBSTITUTE(SUBSTITUTE(SUBSTITUTE(SUBSTITUTE(SUBSTITUTE(SUBSTITUTE(SUBSTITUTE(SUBSTITUTE(SUBSTITUTE(SUBSTITUTE(SUBSTITUTE(SUBSTITUTE(SUBSTITUTE(SUBSTITUTE(SUBSTITUTE(LOWER(AC623&amp;""),CHAR(10),""),CHAR(13),""),CHAR(9),""),CHAR(160),"")," ",""),".",""),"-",""),"/",""),"?",""),"_",""),",",""),"[",""),"]",""),"(",""),")",""),"*","")</f>
        <v/>
      </c>
      <c r="BA623" s="61" t="str">
        <f aca="false">SUBSTITUTE(SUBSTITUTE(SUBSTITUTE(SUBSTITUTE(SUBSTITUTE(SUBSTITUTE(SUBSTITUTE(SUBSTITUTE(SUBSTITUTE(SUBSTITUTE(SUBSTITUTE(SUBSTITUTE(SUBSTITUTE(SUBSTITUTE(SUBSTITUTE(SUBSTITUTE(LOWER(AA623&amp;""),CHAR(10),""),CHAR(13),""),CHAR(9),""),CHAR(160),"")," ",""),".",""),"-",""),"/",""),"?",""),"_",""),",",""),"[",""),"]",""),"(",""),")",""),"*","")</f>
        <v/>
      </c>
      <c r="BB623" s="61" t="str">
        <f aca="false">IF(AND(TRIM(U623)="Pass",ISNUMBER(AF623)),IF(AF623&lt;&gt;0,"INVALID – qty variance: use Fail or Pass after CA",""),"")&amp;IF(AND(TRIM(U623)="Pass after CA",ISNUMBER(AF623)),IF(AF623&lt;&gt;0,"INVALID – after the corrective action the actual qty must equal expected (update Actual)",""),"")&amp;IF(AND(TRIM(U623)="Pass",TRIM(AB623)&lt;&gt;"",TRIM(AB623)&lt;&gt;"Closed"),"INVALID – corrective action not closed: use Fail, then Pass after CA","")&amp;IF(AND(LEN(BA623)&gt;=2,ISNA(MATCH(LEFT(BA623,255),L_Placeholder,0)),TRIM(AB623)=""),"INVALID – CA status missing for the recorded corrective action","")&amp;IF(AND(TRIM(U623)="Pass after CA",OR(OR(LEN(BA623)&lt;5,ISNUMBER(MATCH(BA623,L_Placeholder,0))),TRIM(AB623)&lt;&gt;"Closed")),"INVALID – corrective action not recorded/closed","")</f>
        <v/>
      </c>
      <c r="BC623" s="61" t="str">
        <f aca="false">" "&amp;TRIM(SUBSTITUTE(SUBSTITUTE(SUBSTITUTE(SUBSTITUTE(SUBSTITUTE(SUBSTITUTE(SUBSTITUTE(SUBSTITUTE(SUBSTITUTE(SUBSTITUTE(SUBSTITUTE(SUBSTITUTE(SUBSTITUTE(SUBSTITUTE(SUBSTITUTE(SUBSTITUTE(SUBSTITUTE(SUBSTITUTE(SUBSTITUTE(SUBSTITUTE(SUBSTITUTE(SUBSTITUTE(SUBSTITUTE(SUBSTITUTE(LOWER(V623&amp;""),CHAR(10)," "),CHAR(13)," "),CHAR(9)," "),CHAR(160)," "),"."," "),","," "),"-"," "),"/"," "),"("," "),")"," "),":"," "),";"," "),"_"," "),"–"," "),"?"," "),"!"," "),"*"," "),"["," "),"]"," "),"'"," "),"#"," "),"+"," "),"&amp;"," "),"\"," "))&amp;" "</f>
        <v>  </v>
      </c>
      <c r="BD623" s="61" t="str">
        <f aca="false">" "&amp;TRIM(SUBSTITUTE(SUBSTITUTE(SUBSTITUTE(SUBSTITUTE(SUBSTITUTE(SUBSTITUTE(SUBSTITUTE(SUBSTITUTE(SUBSTITUTE(SUBSTITUTE(SUBSTITUTE(SUBSTITUTE(SUBSTITUTE(SUBSTITUTE(SUBSTITUTE(SUBSTITUTE(SUBSTITUTE(SUBSTITUTE(SUBSTITUTE(SUBSTITUTE(SUBSTITUTE(SUBSTITUTE(SUBSTITUTE(SUBSTITUTE(LOWER(Z623&amp;""),CHAR(10)," "),CHAR(13)," "),CHAR(9)," "),CHAR(160)," "),"."," "),","," "),"-"," "),"/"," "),"("," "),")"," "),":"," "),";"," "),"_"," "),"–"," "),"?"," "),"!"," "),"*"," "),"["," "),"]"," "),"'"," "),"#"," "),"+"," "),"&amp;"," "),"\"," "))&amp;" "</f>
        <v>  </v>
      </c>
      <c r="BE623" s="61" t="str">
        <f aca="false">" "&amp;TRIM(SUBSTITUTE(SUBSTITUTE(SUBSTITUTE(SUBSTITUTE(SUBSTITUTE(SUBSTITUTE(SUBSTITUTE(SUBSTITUTE(SUBSTITUTE(SUBSTITUTE(SUBSTITUTE(SUBSTITUTE(SUBSTITUTE(SUBSTITUTE(SUBSTITUTE(SUBSTITUTE(SUBSTITUTE(SUBSTITUTE(SUBSTITUTE(SUBSTITUTE(SUBSTITUTE(SUBSTITUTE(SUBSTITUTE(SUBSTITUTE(LOWER(W623&amp;""),CHAR(10)," "),CHAR(13)," "),CHAR(9)," "),CHAR(160)," "),"."," "),","," "),"-"," "),"/"," "),"("," "),")"," "),":"," "),";"," "),"_"," "),"–"," "),"?"," "),"!"," "),"*"," "),"["," "),"]"," "),"'"," "),"#"," "),"+"," "),"&amp;"," "),"\"," "))&amp;" "</f>
        <v>  </v>
      </c>
      <c r="BF623" s="61" t="str">
        <f aca="false">" "&amp;TRIM(SUBSTITUTE(SUBSTITUTE(SUBSTITUTE(SUBSTITUTE(SUBSTITUTE(SUBSTITUTE(SUBSTITUTE(SUBSTITUTE(SUBSTITUTE(SUBSTITUTE(SUBSTITUTE(SUBSTITUTE(SUBSTITUTE(SUBSTITUTE(SUBSTITUTE(SUBSTITUTE(SUBSTITUTE(SUBSTITUTE(SUBSTITUTE(SUBSTITUTE(SUBSTITUTE(SUBSTITUTE(SUBSTITUTE(SUBSTITUTE(LOWER(AC623&amp;""),CHAR(10)," "),CHAR(13)," "),CHAR(9)," "),CHAR(160)," "),"."," "),","," "),"-"," "),"/"," "),"("," "),")"," "),":"," "),";"," "),"_"," "),"–"," "),"?"," "),"!"," "),"*"," "),"["," "),"]"," "),"'"," "),"#"," "),"+"," "),"&amp;"," "),"\"," "))&amp;" "</f>
        <v>  </v>
      </c>
      <c r="BG623" s="61" t="n">
        <f aca="false">IFERROR(IF(AND(TRIM(U623)="Pass",SUMPRODUCT((LEN(BC623)-LEN(SUBSTITUTE(BC623," "&amp;L_ResultBad&amp;" "," ")))/(LEN(L_ResultBad)+1))&gt;SUMPRODUCT((LEN(BC623)-LEN(SUBSTITUTE(BC623," "&amp;L_NegPhrase&amp;" "," ")))/(LEN(L_NegPhrase)+1))),1,0),0)</f>
        <v>0</v>
      </c>
      <c r="BH623" s="61" t="n">
        <f aca="false">IFERROR(IF(SUMPRODUCT((LEN(BC623)-LEN(SUBSTITUTE(BC623," "&amp;L_Pending&amp;" "," ")))/(LEN(L_Pending)+1))&gt;SUMPRODUCT((LEN(BC623)-LEN(SUBSTITUTE(BC623," "&amp;L_PendNeg&amp;" "," ")))/(LEN(L_PendNeg)+1))+SUMPRODUCT((LEN(BC623)-LEN(SUBSTITUTE(BC623," "&amp;L_PendPrep&amp;" "," ")))/(LEN(L_PendPrep)+1)),1,0),1)</f>
        <v>0</v>
      </c>
      <c r="BI623" s="61" t="n">
        <f aca="false">IFERROR(IF(SUMPRODUCT((LEN(BD623)-LEN(SUBSTITUTE(BD623," "&amp;L_PendStrict&amp;" "," ")))/(LEN(L_PendStrict)+1))&gt;SUMPRODUCT((LEN(BD623)-LEN(SUBSTITUTE(BD623," "&amp;L_PendNeg&amp;" "," ")))/(LEN(L_PendNeg)+1)),1,0),1)</f>
        <v>0</v>
      </c>
      <c r="BJ623" s="61" t="n">
        <f aca="false">IFERROR(IF(SUMPRODUCT((LEN(BE623)-LEN(SUBSTITUTE(BE623," "&amp;L_Pending&amp;" "," ")))/(LEN(L_Pending)+1))&gt;SUMPRODUCT((LEN(BE623)-LEN(SUBSTITUTE(BE623," "&amp;L_PendNeg&amp;" "," ")))/(LEN(L_PendNeg)+1))+SUMPRODUCT((LEN(BE623)-LEN(SUBSTITUTE(BE623," "&amp;L_PendPrep&amp;" "," ")))/(LEN(L_PendPrep)+1)),1,0),1)</f>
        <v>0</v>
      </c>
      <c r="BK623" s="61" t="n">
        <f aca="false">IFERROR(IF(SUMPRODUCT((LEN(BF623)-LEN(SUBSTITUTE(BF623," "&amp;L_PendStrict&amp;" "," ")))/(LEN(L_PendStrict)+1))&gt;SUMPRODUCT((LEN(BF623)-LEN(SUBSTITUTE(BF623," "&amp;L_PendNeg&amp;" "," ")))/(LEN(L_PendNeg)+1)),1,0),1)</f>
        <v>0</v>
      </c>
      <c r="BL623" s="61" t="n">
        <f aca="false">IF(ISNA(MATCH(TRIM(S623),L_EvidenceType,0)),0,BZ623)</f>
        <v>0</v>
      </c>
      <c r="BM623" s="61" t="str">
        <f aca="false">SUBSTITUTE(SUBSTITUTE(SUBSTITUTE(SUBSTITUTE(SUBSTITUTE(SUBSTITUTE(SUBSTITUTE(SUBSTITUTE(SUBSTITUTE(LOWER(Z623&amp;""),"1","0"),"2","0"),"3","0"),"4","0"),"5","0"),"6","0"),"7","0"),"8","0"),"9","0")</f>
        <v/>
      </c>
      <c r="BN623" s="61" t="str">
        <f aca="false">SUBSTITUTE(SUBSTITUTE(SUBSTITUTE(SUBSTITUTE(SUBSTITUTE(SUBSTITUTE(SUBSTITUTE(SUBSTITUTE(SUBSTITUTE(SUBSTITUTE(SUBSTITUTE(SUBSTITUTE(SUBSTITUTE(SUBSTITUTE(SUBSTITUTE(SUBSTITUTE(SUBSTITUTE(SUBSTITUTE(SUBSTITUTE(SUBSTITUTE(SUBSTITUTE(SUBSTITUTE(SUBSTITUTE(SUBSTITUTE(SUBSTITUTE(BM623,"b","a"),"c","a"),"d","a"),"e","a"),"f","a"),"g","a"),"h","a"),"i","a"),"j","a"),"k","a"),"l","a"),"m","a"),"n","a"),"o","a"),"p","a"),"q","a"),"r","a"),"s","a"),"t","a"),"u","a"),"v","a"),"w","a"),"x","a"),"y","a"),"z","a")</f>
        <v/>
      </c>
      <c r="BO623" s="61" t="str">
        <f aca="false">SUBSTITUTE(SUBSTITUTE(SUBSTITUTE(SUBSTITUTE(SUBSTITUTE(SUBSTITUTE(SUBSTITUTE(SUBSTITUTE(SUBSTITUTE(LOWER(W623&amp;""),"1","0"),"2","0"),"3","0"),"4","0"),"5","0"),"6","0"),"7","0"),"8","0"),"9","0")</f>
        <v/>
      </c>
      <c r="BP623" s="61" t="str">
        <f aca="false">SUBSTITUTE(SUBSTITUTE(SUBSTITUTE(SUBSTITUTE(SUBSTITUTE(SUBSTITUTE(SUBSTITUTE(SUBSTITUTE(SUBSTITUTE(SUBSTITUTE(SUBSTITUTE(SUBSTITUTE(SUBSTITUTE(SUBSTITUTE(SUBSTITUTE(SUBSTITUTE(SUBSTITUTE(SUBSTITUTE(SUBSTITUTE(SUBSTITUTE(SUBSTITUTE(SUBSTITUTE(SUBSTITUTE(SUBSTITUTE(SUBSTITUTE(BO623,"b","a"),"c","a"),"d","a"),"e","a"),"f","a"),"g","a"),"h","a"),"i","a"),"j","a"),"k","a"),"l","a"),"m","a"),"n","a"),"o","a"),"p","a"),"q","a"),"r","a"),"s","a"),"t","a"),"u","a"),"v","a"),"w","a"),"x","a"),"y","a"),"z","a")</f>
        <v/>
      </c>
      <c r="BQ623" s="61" t="n">
        <f aca="false">IFERROR(IF(AND(ISERROR(SEARCH(" mh"," "&amp;LOWER(W623))),ISNA(MATCH(LEFT(TRIM(BP623),255),{"0000a","000a","00a","0000aa","000aa","00aa","0aa","0000aaa","000aaa","00a00","0a00","0000-0000","00:00","a00","a0","00.00.0000","00/00/0000","00-00-0000","0000-00-00","0000/00/00","0000.00.00","00.00.00","00/00/00","00-00-00","0.00.0000","0/00/0000","0-00-0000"},0)),ISNA(MATCH(LEFT(TRIM(CA623),255),{"0000a","000a","00a","0000aa","000aa","00aa","0aa","0000aaa","000aaa","00a00","0a00","0000-0000","00:00","a00","a0","00.00.0000","00/00/0000","00-00-0000","0000-00-00","0000/00/00","0000.00.00","00.00.00","00/00/00","00-00-00","0.00.0000","0/00/0000","0-00-0000"},0)),LEN(CB623)&gt;=3,NOT(OR(SUBSTITUTE(CB623,"0","")="",AND(LEN(CB623)&gt;=4,CB623=REPT(LEFT(CB623),LEN(CB623))),ISNUMBER(MATCH(CB623,{"123","1234","12345","123456","1234567","12345678","0123","01234","012345","98765","987654","54321"},0)),AND(LEN(CB623)=8,LEFT(CB623,3)="202"))),OR(AND((LEN(CA623)-LEN(SUBSTITUTE(CA623,"a","")))&gt;=1,SUMPRODUCT(--ISNUMBER(SEARCH({"a0","a-0","a_0","a/0","a.0","a#0","0a","0-a","0_a","0/a"},BP623)))&gt;0),ISNUMBER(SEARCH("000000",BP623)))),1,0),0)</f>
        <v>0</v>
      </c>
      <c r="BR623" s="61" t="n">
        <f aca="false">IFERROR(LEN(SUBSTITUTE(CC623," ",""))-SUMPRODUCT((LEN(CC623)-LEN(SUBSTITUTE(CC623," "&amp;L_Role&amp;" "," ")))/(LEN(L_Role)+1)*LEN(L_Role)),0)</f>
        <v>0</v>
      </c>
      <c r="BS623" s="61" t="n">
        <f aca="false">IFERROR(LEN(SUBSTITUTE(CD623," ",""))-SUMPRODUCT((LEN(CD623)-LEN(SUBSTITUTE(CD623," "&amp;L_Role&amp;" "," ")))/(LEN(L_Role)+1)*LEN(L_Role)),0)</f>
        <v>0</v>
      </c>
      <c r="BT6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623,"revision",""),"version",""),"jan",""),"feb",""),"mar",""),"apr",""),"may",""),"jun",""),"jul",""),"aug",""),"sep",""),"oct",""),"nov",""),"dec",""),"utc",""),"gmt",""),"myt",""),"bst",""),"rev",""),"ver",""),"b","a"),"c","a"),"d","a"),"e","a"),"f","a"),"g","a"),"h","a"),"i","a"),"j","a"),"k","a"),"l","a"),"m","a"),"n","a"),"o","a"),"p","a"),"q","a"),"r","a"),"s","a"),"t","a"),"u","a"),"v","a"),"w","a"),"x","a"),"y","a"),"z","a")</f>
        <v/>
      </c>
      <c r="BU623" s="61" t="str">
        <f aca="false">SUBSTITUTE(SUBSTITUTE(SUBSTITUTE(SUBSTITUTE(SUBSTITUTE(SUBSTITUTE(SUBSTITUTE(SUBSTITUTE(SUBSTITUTE(SUBSTITUTE(LEFT(BM623,FIND("0",BM623&amp;"0")-1),"-",""),"_",""),"/",""),".",""),"#",""),"\\",""),":","")," ",""),"(",""),")","")</f>
        <v/>
      </c>
      <c r="BV623" s="61" t="n">
        <f aca="false">0</f>
        <v>0</v>
      </c>
      <c r="BW6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623&amp;""),"a",""),"b",""),"c",""),"d",""),"e",""),"f",""),"g",""),"h",""),"i",""),"j",""),"k",""),"l",""),"m",""),"n",""),"o",""),"p",""),"q",""),"r",""),"s",""),"t",""),"u",""),"v",""),"w",""),"x",""),"y",""),"z",""),"-",""),"_",""),"/",""),".",""),"#",""),"\\",""),":","")," ",""),"(",""),")","")</f>
        <v/>
      </c>
      <c r="BX623" s="61" t="str">
        <f aca="false">SUBSTITUTE(SUBSTITUTE(SUBSTITUTE(SUBSTITUTE(SUBSTITUTE(SUBSTITUTE(SUBSTITUTE(SUBSTITUTE(SUBSTITUTE(SUBSTITUTE(SUBSTITUTE(BM623,"0",""),"-",""),"_",""),"/",""),".",""),"#",""),"\\",""),":","")," ",""),"(",""),")","")</f>
        <v/>
      </c>
      <c r="BY623" s="62" t="n">
        <f aca="false">Q623-T7EarlyD*24/24</f>
        <v>46303.0277777778</v>
      </c>
      <c r="BZ623" s="61" t="n">
        <f aca="false">IFERROR(IF(IF(TRIM(S623)="Link / file path",AND(LEN(TRIM(Z623))&gt;=5,SUMPRODUCT(--ISNUMBER(SEARCH({"http","www.","\\",":\",".pdf",".jpg",".jpeg",".png",".heic",".xls",".doc",".msg",".eml",".ppt",".txt",".zip"},Z623)))&gt;0),AND(ISERROR(FIND(" ",TRIM(Z623))),NOT(OR(SUMPRODUCT(--ISNUMBER(FIND({",",";","&amp;","+"},Z623)))&gt;0,SUMPRODUCT(--ISNUMBER(SEARCH({"0/aa","0\\aa"},BN623)))&gt;0)),NOT(SUMPRODUCT(--ISNUMBER(SEARCH({"http","www.","\\",":\",".pdf",".jpg",".jpeg",".png",".heic",".xls",".doc",".msg",".eml",".ppt",".txt",".zip"},Z623)))&gt;0),NOT(LOWER(TRIM(Z623))=LOWER(Flights!$F$23)),ISNA(MATCH(BU623,{"mh","rev","revision","ver","version","v","r","a","b","seat","tray","row","gate","bay","stand","page","pg","item","line","no","cart","galley","flight","flt","table","box","bag","oven","etd","eta","std","sta","atd","ata","qty","pax","x","time","tel","ph","mob","day","wk","week","utc","gmt","myt","lt"},0)),NOT(OR(ISNUMBER(MATCH(LEFT(BN623,255),{"0000a","000a","00a","0000aa","000aa","00aa","0aa","0000aaa","000aaa","00a00","0a00","0000-0000","00:00","a00","a0","00.00.0000","00/00/0000","00-00-0000","0000-00-00","0000/00/00","0000.00.00","00.00.00","00/00/00","00-00-00","0.00.0000","0/00/0000","0-00-0000"},0)),ISNUMBER(MATCH(LEFT(BT623,255),{"0000a","000a","00a","0000aa","000aa","00aa","0aa","0000aaa","000aaa","00a00","0a00","0000-0000","00:00","a00","a0","00.00.0000","00/00/0000","00-00-0000","0000-00-00","0000/00/00","0000.00.00","00.00.00","00/00/00","00-00-00","0.00.0000","0/00/0000","0-00-0000"},0)))),NOT(OR(AND(BW623&lt;&gt;"",SUBSTITUTE(BW623,"0","")=""),AND(LEN(BW623)&gt;=4,BW623=REPT(LEFT(BW623),LEN(BW623))),ISNUMBER(MATCH(BW623,{"123","1234","12345","123456","1234567","12345678","0123","01234","012345","98765","987654","54321"},0)),ISNUMBER(MATCH(BX623,{"x","xx","xxx","xxxx","xxxxx","abc","abcd","nil","na","nan","test","tbc","tba","tbd","dummy","sample","example","eg","zz","zzz","none","null","xyz","qwe","asd","id","ref"},0)),AND(LEN(BW623)=8,BX623="",OR(LEFT(BW623,3)="202",ISNUMBER(MATCH(RIGHT(BW623,4),{"2025","2026","2027"},0)))))),OR(AND((LEN(BT623)-LEN(SUBSTITUTE(BT623,"a","")))&gt;=1,(LEN(BN623)-LEN(SUBSTITUTE(BN623,"0","")))&gt;=2,SUMPRODUCT(--ISNUMBER(SEARCH({"a0","a-0","a_0","a/0","a.0","a#0","0a","0-a","0_a","0/a"},BN623)))&gt;0),AND((LEN(BN623)-LEN(SUBSTITUTE(BN623,"a","")))=0,(LEN(BN623)-LEN(SUBSTITUTE(BN623,"0","")))&gt;=5)))),1,0),0)</f>
        <v>0</v>
      </c>
      <c r="CA6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623,"revision",""),"version",""),"jan",""),"feb",""),"mar",""),"apr",""),"may",""),"jun",""),"jul",""),"aug",""),"sep",""),"oct",""),"nov",""),"dec",""),"utc",""),"gmt",""),"myt",""),"bst",""),"rev",""),"ver",""),"b","a"),"c","a"),"d","a"),"e","a"),"f","a"),"g","a"),"h","a"),"i","a"),"j","a"),"k","a"),"l","a"),"m","a"),"n","a"),"o","a"),"p","a"),"q","a"),"r","a"),"s","a"),"t","a"),"u","a"),"v","a"),"w","a"),"x","a"),"y","a"),"z","a")</f>
        <v/>
      </c>
      <c r="CB6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623&amp;""),"a",""),"b",""),"c",""),"d",""),"e",""),"f",""),"g",""),"h",""),"i",""),"j",""),"k",""),"l",""),"m",""),"n",""),"o",""),"p",""),"q",""),"r",""),"s",""),"t",""),"u",""),"v",""),"w",""),"x",""),"y",""),"z",""),"-",""),"_",""),"/",""),".",""),"#",""),"\\",""),":","")," ",""),"(",""),")","")</f>
        <v/>
      </c>
      <c r="CC623" s="0" t="str">
        <f aca="false">" "&amp;TRIM(SUBSTITUTE(SUBSTITUTE(SUBSTITUTE(SUBSTITUTE(SUBSTITUTE(SUBSTITUTE(SUBSTITUTE(SUBSTITUTE(SUBSTITUTE(SUBSTITUTE(SUBSTITUTE(SUBSTITUTE(SUBSTITUTE(SUBSTITUTE(SUBSTITUTE(SUBSTITUTE(SUBSTITUTE(SUBSTITUTE(SUBSTITUTE(SUBSTITUTE(SUBSTITUTE(SUBSTITUTE(SUBSTITUTE(SUBSTITUTE(LOWER(T623&amp;""),CHAR(10)," "),CHAR(13)," "),CHAR(9)," "),CHAR(160)," "),"."," "),","," "),"-"," "),"/"," "),"("," "),")"," "),":"," "),";"," "),"_"," "),"–"," "),"?"," "),"!"," "),"*"," "),"["," "),"]"," "),"'"," "),"#"," "),"+"," "),"&amp;"," "),"\"," "))&amp;" "</f>
        <v>  </v>
      </c>
      <c r="CD623" s="0" t="str">
        <f aca="false">" "&amp;TRIM(SUBSTITUTE(SUBSTITUTE(SUBSTITUTE(SUBSTITUTE(SUBSTITUTE(SUBSTITUTE(SUBSTITUTE(SUBSTITUTE(SUBSTITUTE(SUBSTITUTE(SUBSTITUTE(SUBSTITUTE(SUBSTITUTE(SUBSTITUTE(SUBSTITUTE(SUBSTITUTE(SUBSTITUTE(SUBSTITUTE(SUBSTITUTE(SUBSTITUTE(SUBSTITUTE(SUBSTITUTE(SUBSTITUTE(SUBSTITUTE(LOWER(AE623&amp;""),CHAR(10)," "),CHAR(13)," "),CHAR(9)," "),CHAR(160)," "),"."," "),","," "),"-"," "),"/"," "),"("," "),")"," "),":"," "),";"," "),"_"," "),"–"," "),"?"," "),"!"," "),"*"," "),"["," "),"]"," "),"'"," "),"#"," "),"+"," "),"&amp;"," "),"\"," "))&amp;" "</f>
        <v>  </v>
      </c>
      <c r="CE623" s="68" t="n">
        <f aca="false">IFERROR(IF(AND(LEN(AU623)&gt;0,LEN(AU623)=LEN(AX623),OR(TRIM(MID(SUBSTITUTE(TRIM(CC623)," ",REPT(" ",60)),1,60))="",ISNUMBER(SEARCH(" "&amp;TRIM(MID(SUBSTITUTE(TRIM(CC623)," ",REPT(" ",60)),1,60))&amp;" ",CD623))),OR(TRIM(MID(SUBSTITUTE(TRIM(CC623)," ",REPT(" ",60)),61,60))="",ISNUMBER(SEARCH(" "&amp;TRIM(MID(SUBSTITUTE(TRIM(CC623)," ",REPT(" ",60)),61,60))&amp;" ",CD623))),OR(TRIM(MID(SUBSTITUTE(TRIM(CC623)," ",REPT(" ",60)),121,60))="",ISNUMBER(SEARCH(" "&amp;TRIM(MID(SUBSTITUTE(TRIM(CC623)," ",REPT(" ",60)),121,60))&amp;" ",CD623)))),1,0),0)</f>
        <v>0</v>
      </c>
      <c r="CG623" s="68" t="n">
        <f aca="false">IFERROR(LEN(SUBSTITUTE(BF623," ",""))-SUMPRODUCT((LEN(BF623)-LEN(SUBSTITUTE(BF623," "&amp;L_NAFiller&amp;" "," ")))/(LEN(L_NAFiller)+1)*LEN(L_NAFiller)),0)</f>
        <v>0</v>
      </c>
    </row>
    <row r="624" customFormat="false" ht="39.75" hidden="false" customHeight="true" outlineLevel="0" collapsed="false">
      <c r="A624" s="57" t="s">
        <v>1334</v>
      </c>
      <c r="B624" s="57" t="s">
        <v>301</v>
      </c>
      <c r="C624" s="57" t="str">
        <f aca="false">Flights!$F$23</f>
        <v>MH0053</v>
      </c>
      <c r="D624" s="58" t="n">
        <f aca="false">Flights!$D$23</f>
        <v>46324</v>
      </c>
      <c r="E624" s="57" t="str">
        <f aca="false">Flights!$G$23&amp;"-"&amp;Flights!$H$23</f>
        <v>KIX-KUL</v>
      </c>
      <c r="F624" s="57" t="str">
        <f aca="false">Flights!$K$23</f>
        <v>EY</v>
      </c>
      <c r="G624" s="57" t="s">
        <v>81</v>
      </c>
      <c r="H624" s="57" t="s">
        <v>378</v>
      </c>
      <c r="I624" s="57" t="s">
        <v>398</v>
      </c>
      <c r="J624" s="57" t="s">
        <v>402</v>
      </c>
      <c r="K624" s="67" t="s">
        <v>403</v>
      </c>
      <c r="L624" s="67" t="s">
        <v>382</v>
      </c>
      <c r="M624" s="67"/>
      <c r="N624" s="67" t="s">
        <v>383</v>
      </c>
      <c r="O624" s="67"/>
      <c r="P624" s="57" t="s">
        <v>295</v>
      </c>
      <c r="Q624" s="59" t="n">
        <f aca="false">ROUND((Flights!$AC$23)*1440,0)/1440</f>
        <v>46317.0277777778</v>
      </c>
      <c r="R624" s="59" t="n">
        <f aca="false">Q624+(IF(AND(INDEX(TZ_DSTS,MATCH(P624,TZ_STN,0))&lt;&gt;"",Q624&gt;=INDEX(TZ_DSTS,MATCH(P624,TZ_STN,0)),Q624&lt;INDEX(TZ_DSTE,MATCH(P624,TZ_STN,0))),INDEX(TZ_DST,MATCH(P624,TZ_STN,0)),INDEX(TZ_STD,MATCH(P624,TZ_STN,0))))/24</f>
        <v>46317.4027777778</v>
      </c>
      <c r="S624" s="60"/>
      <c r="T624" s="60"/>
      <c r="U624" s="60"/>
      <c r="V624" s="60"/>
      <c r="W624" s="61"/>
      <c r="X624" s="60"/>
      <c r="Y624" s="60"/>
      <c r="Z624" s="60"/>
      <c r="AA624" s="60"/>
      <c r="AB624" s="60"/>
      <c r="AC624" s="60"/>
      <c r="AD624" s="66"/>
      <c r="AE624" s="60"/>
      <c r="AF624" s="61" t="str">
        <f aca="false">IF(AND(ISNUMBER(X624),ISNUMBER(Y624)),Y624-X624,"")</f>
        <v/>
      </c>
      <c r="AG624" s="62" t="str">
        <f aca="false">IF(ISNUMBER(AD624),AD624-(IF(AND(INDEX(TZ_DSTS,MATCH(P624,TZ_STN,0))&lt;&gt;"",(AD624-INDEX(TZ_STD,MATCH(P624,TZ_STN,0))/24)&gt;=INDEX(TZ_DSTS,MATCH(P624,TZ_STN,0)),(AD624-INDEX(TZ_STD,MATCH(P624,TZ_STN,0))/24)&lt;INDEX(TZ_DSTE,MATCH(P624,TZ_STN,0))),INDEX(TZ_DST,MATCH(P624,TZ_STN,0)),INDEX(TZ_STD,MATCH(P624,TZ_STN,0))))/24,"")</f>
        <v/>
      </c>
      <c r="AH624" s="65" t="str">
        <f aca="false">IFERROR(IF(N624="N/A – rule",IF(OR(TRIM(U624)="",TRIM(U624)="N/A",TRIM(U624)="Not started"),"N/A – RULE","INVALID – this check does not apply to this aircraft: clear the status (or correct the fleet on Flights)"),IF(TRIM(U624)="N/A",IF(AT624=0,"INVALID – N/A not permitted for this check",IF(AND(TRIM(AB624)&lt;&gt;"",TRIM(AB624)&lt;&gt;"Closed"),"INVALID – corrective action still open",IF(AND(NOT(OR(LEN(AZ624)&lt;15,ISNUMBER(MATCH(AZ624,L_Placeholder,0)))),BK624=0,CG624&gt;=8,NOT(OR(LEN(AU624)&lt;2,ISNUMBER(MATCH(AU624,L_Placeholder,0)))),BR624&gt;=3,NOT(OR(LEN(AX624)&lt;2,ISNUMBER(MATCH(AX624,L_Placeholder,0)))),BS624&gt;=3,TRIM(AE624)&lt;&gt;TRIM(T624),AX624&lt;&gt;AU624,CE624=0),"N/A – JUSTIFIED","INVALID – N/A needs a real, settled reason (not 'not applicable' / 'as above' / TBC), a named PIC and a different named verifier"))),IF(OR(TRIM(U624)="Pass",TRIM(U624)="Pass after CA"),IF(NOT(ISNUMBER(AD624)),"INVALID – completion time missing",IF(OR(OR(LEN(AU624)&lt;2,ISNUMBER(MATCH(AU624,L_Placeholder,0))),BR624&lt;3),"INVALID – PIC missing or not a named person (a role such as QA / CSM is not a name)",IF(OR(LEN(AV624)&lt;2,ISNUMBER(MATCH(AV624,L_Placeholder,0))),"INVALID – result / assessment missing",IF(OR(OR(LEN(AW624)&lt;3,ISNUMBER(MATCH(AW624,L_Placeholder,0))),SUMPRODUCT(--ISNUMBER(SEARCH(" "&amp;L_EvidencePhrase&amp;" ",BD624)))&gt;0,BI624=1),"INVALID – evidence missing, placeholder or not yet on file",IF(ISNA(MATCH(TRIM(S624),L_EvidenceType,0)),"INVALID – choose the evidence type from the list (column S)",IF(BL624=0,"INVALID – evidence ID must be the record's own ID only (e.g. SF-2210, IMG_2231, 1045521); a link / file name needs type 'Link / file path'",IF(OR(OR(LEN(AX624)&lt;2,ISNUMBER(MATCH(AX624,L_Placeholder,0))),BS624&lt;3),"INVALID – verifier missing or not a named person (a role such as QA / CSM is not a name)",IF(OR(AX624=AU624,CE624=1,AND(LEN(AU624)&gt;=4,ISNUMBER(SEARCH(AU624,AX624))),AND(LEN(AX624)&gt;=4,ISNUMBER(SEARCH(AX624,AU624)))),"INVALID – verifier must be a different, named person (not the PIC or a role)",IF(BH624=1,"INVALID – result not yet available (awaiting / TBC)",IF(BG624=1,"INVALID – result describes a problem: record Fail, then Pass after CA (or reword if it is not a problem)",IF(BV624=1,"INVALID – wording says not on board: an on-board confirmation needs the item loaded",IF(AND(AQ624=1,OR(OR(LEN(AY624)&lt;3,ISNUMBER(MATCH(AY624,L_Placeholder,0))),BJ624=1,BQ624=0)),"INVALID – batch ID missing, placeholder or not an ID (e.g. PASB-261008-BC-017)",IF(AND(AR624=1,OR(NOT(ISNUMBER(X624)),NOT(ISNUMBER(Y624)))),"INVALID – expected/actual qty missing",IF(AND(AR624=1,OR(X624&lt;=0,Y624&lt;0)),"INVALID – expected qty must be above 0 and actual not negative",IF(BB624&lt;&gt;"",BB624,IF(AND(AS624=1,Documents!$J$23&lt;&gt;"ON FILE"),"INVALID – GLD not on file (Documents sheet)",IF(AND(AS624=2,Documents!$O$23&lt;&gt;"ON FILE"),"INVALID – menu checklist not on file (Documents sheet)",IF(AND(AS624=3,NOT(ISNUMBER(Flights!$AX$23))),"INVALID – enter carrying flight KUL departure (Flights AX)",IF(AND(AS624=3,OR(Flights!$AZ$23&gt;Flights!$AA$23,Flights!$AX$23&lt;Flights!$AA$23-3)),"INVALID – carrying flight (Flights AX) cannot arrive before this leg's STD, or is over 3 days early",IF(AG624&gt;AsOfUTC,"INVALID – completion time is in the future",IF(AND(ISNUMBER(BY624),AG624&lt;BY624),IF(H624="Physical uplift","INVALID – before uplift window (cannot confirm loading)","INVALID – before valid window"),IF(AG624&gt;Flights!$AA$23,"INVALID – completed after departure (cannot establish readiness)",IF(AND(H624="Preparation",AG624&gt;=IF(ISNUMBER(Flights!$BA$23),MIN(Flights!$BA$23,Flights!$AA$23),Flights!$AA$23)),"INVALID – completed after loading / departure (cannot establish readiness)",IF(AND(H624="Physical uplift",AG624&gt;Q624),"INVALID – recorded after the loading flight departed",IF(AG624&gt;Q624,"COMPLETE – LATE","COMPLETE"))))))))))))))))))))))))),IF(TRIM(U624)="Fail","FAIL – DISCREPANCY",IF(AND(TRIM(U624)&lt;&gt;"",TRIM(U624)&lt;&gt;"Not started",TRIM(U624)&lt;&gt;"In progress"),"INVALID – unrecognised status (use the list)",IF(AsOfUTC&gt;Q624,"OVERDUE",IF(N624="Clarification required","OPEN – CLARIFICATION","OPEN"))))))),"INVALID – error value in an input cell")</f>
        <v>OPEN</v>
      </c>
      <c r="AI624" s="61" t="n">
        <f aca="false">IF(OR(AH624="N/A – RULE",AH624="N/A – JUSTIFIED"),0,1)</f>
        <v>1</v>
      </c>
      <c r="AJ624" s="61" t="n">
        <f aca="false">IF(LEFT(AH624,8)="COMPLETE",1,0)</f>
        <v>0</v>
      </c>
      <c r="AK624" s="61" t="n">
        <f aca="false">IF(AND(AI624=1,AJ624=0,AsOfUTC&gt;Q624),1,0)</f>
        <v>0</v>
      </c>
      <c r="AL624" s="61" t="n">
        <f aca="false">IFERROR(IF(AND(AI624=1,OR(TRIM(U624)="Fail",AND(TRIM(AB624)&lt;&gt;"",TRIM(AB624)&lt;&gt;"Closed"),AND(ISNUMBER(AF624),AF624&lt;&gt;0,TRIM(U624)&lt;&gt;"Pass after CA"))),1,0),1)</f>
        <v>0</v>
      </c>
      <c r="AM624" s="61" t="n">
        <f aca="false">IF(LEFT(AH624,7)="INVALID",1,0)</f>
        <v>0</v>
      </c>
      <c r="AN624" s="61" t="n">
        <f aca="false">IF(AND(N624="Clarification required",AI624=1,AJ624=0),1,0)</f>
        <v>0</v>
      </c>
      <c r="AO624" s="61" t="str">
        <f aca="false">IF(AK624=1,SUM(AK$5:AK624),"")</f>
        <v/>
      </c>
      <c r="AP624" s="61" t="str">
        <f aca="false">IF(AL624=1,SUM(AL$5:AL624),"")</f>
        <v/>
      </c>
      <c r="AQ624" s="61" t="n">
        <v>0</v>
      </c>
      <c r="AR624" s="61" t="n">
        <v>0</v>
      </c>
      <c r="AS624" s="61" t="n">
        <v>0</v>
      </c>
      <c r="AT624" s="61" t="n">
        <v>0</v>
      </c>
      <c r="AU624" s="61" t="str">
        <f aca="false">SUBSTITUTE(SUBSTITUTE(SUBSTITUTE(SUBSTITUTE(SUBSTITUTE(SUBSTITUTE(SUBSTITUTE(SUBSTITUTE(SUBSTITUTE(SUBSTITUTE(SUBSTITUTE(SUBSTITUTE(SUBSTITUTE(SUBSTITUTE(SUBSTITUTE(SUBSTITUTE(LOWER(T624&amp;""),CHAR(10),""),CHAR(13),""),CHAR(9),""),CHAR(160),"")," ",""),".",""),"-",""),"/",""),"?",""),"_",""),",",""),"[",""),"]",""),"(",""),")",""),"*","")</f>
        <v/>
      </c>
      <c r="AV624" s="61" t="str">
        <f aca="false">SUBSTITUTE(SUBSTITUTE(SUBSTITUTE(SUBSTITUTE(SUBSTITUTE(SUBSTITUTE(SUBSTITUTE(SUBSTITUTE(SUBSTITUTE(SUBSTITUTE(SUBSTITUTE(SUBSTITUTE(SUBSTITUTE(SUBSTITUTE(SUBSTITUTE(SUBSTITUTE(LOWER(V624&amp;""),CHAR(10),""),CHAR(13),""),CHAR(9),""),CHAR(160),"")," ",""),".",""),"-",""),"/",""),"?",""),"_",""),",",""),"[",""),"]",""),"(",""),")",""),"*","")</f>
        <v/>
      </c>
      <c r="AW624" s="61" t="str">
        <f aca="false">SUBSTITUTE(SUBSTITUTE(SUBSTITUTE(SUBSTITUTE(SUBSTITUTE(SUBSTITUTE(SUBSTITUTE(SUBSTITUTE(SUBSTITUTE(SUBSTITUTE(SUBSTITUTE(SUBSTITUTE(SUBSTITUTE(SUBSTITUTE(SUBSTITUTE(SUBSTITUTE(LOWER(Z624&amp;""),CHAR(10),""),CHAR(13),""),CHAR(9),""),CHAR(160),"")," ",""),".",""),"-",""),"/",""),"?",""),"_",""),",",""),"[",""),"]",""),"(",""),")",""),"*","")</f>
        <v/>
      </c>
      <c r="AX624" s="61" t="str">
        <f aca="false">SUBSTITUTE(SUBSTITUTE(SUBSTITUTE(SUBSTITUTE(SUBSTITUTE(SUBSTITUTE(SUBSTITUTE(SUBSTITUTE(SUBSTITUTE(SUBSTITUTE(SUBSTITUTE(SUBSTITUTE(SUBSTITUTE(SUBSTITUTE(SUBSTITUTE(SUBSTITUTE(LOWER(AE624&amp;""),CHAR(10),""),CHAR(13),""),CHAR(9),""),CHAR(160),"")," ",""),".",""),"-",""),"/",""),"?",""),"_",""),",",""),"[",""),"]",""),"(",""),")",""),"*","")</f>
        <v/>
      </c>
      <c r="AY624" s="61" t="str">
        <f aca="false">SUBSTITUTE(SUBSTITUTE(SUBSTITUTE(SUBSTITUTE(SUBSTITUTE(SUBSTITUTE(SUBSTITUTE(SUBSTITUTE(SUBSTITUTE(SUBSTITUTE(SUBSTITUTE(SUBSTITUTE(SUBSTITUTE(SUBSTITUTE(SUBSTITUTE(SUBSTITUTE(LOWER(W624&amp;""),CHAR(10),""),CHAR(13),""),CHAR(9),""),CHAR(160),"")," ",""),".",""),"-",""),"/",""),"?",""),"_",""),",",""),"[",""),"]",""),"(",""),")",""),"*","")</f>
        <v/>
      </c>
      <c r="AZ624" s="61" t="str">
        <f aca="false">SUBSTITUTE(SUBSTITUTE(SUBSTITUTE(SUBSTITUTE(SUBSTITUTE(SUBSTITUTE(SUBSTITUTE(SUBSTITUTE(SUBSTITUTE(SUBSTITUTE(SUBSTITUTE(SUBSTITUTE(SUBSTITUTE(SUBSTITUTE(SUBSTITUTE(SUBSTITUTE(LOWER(AC624&amp;""),CHAR(10),""),CHAR(13),""),CHAR(9),""),CHAR(160),"")," ",""),".",""),"-",""),"/",""),"?",""),"_",""),",",""),"[",""),"]",""),"(",""),")",""),"*","")</f>
        <v/>
      </c>
      <c r="BA624" s="61" t="str">
        <f aca="false">SUBSTITUTE(SUBSTITUTE(SUBSTITUTE(SUBSTITUTE(SUBSTITUTE(SUBSTITUTE(SUBSTITUTE(SUBSTITUTE(SUBSTITUTE(SUBSTITUTE(SUBSTITUTE(SUBSTITUTE(SUBSTITUTE(SUBSTITUTE(SUBSTITUTE(SUBSTITUTE(LOWER(AA624&amp;""),CHAR(10),""),CHAR(13),""),CHAR(9),""),CHAR(160),"")," ",""),".",""),"-",""),"/",""),"?",""),"_",""),",",""),"[",""),"]",""),"(",""),")",""),"*","")</f>
        <v/>
      </c>
      <c r="BB624" s="61" t="str">
        <f aca="false">IF(AND(TRIM(U624)="Pass",ISNUMBER(AF624)),IF(AF624&lt;&gt;0,"INVALID – qty variance: use Fail or Pass after CA",""),"")&amp;IF(AND(TRIM(U624)="Pass after CA",ISNUMBER(AF624)),IF(AF624&lt;&gt;0,"INVALID – after the corrective action the actual qty must equal expected (update Actual)",""),"")&amp;IF(AND(TRIM(U624)="Pass",TRIM(AB624)&lt;&gt;"",TRIM(AB624)&lt;&gt;"Closed"),"INVALID – corrective action not closed: use Fail, then Pass after CA","")&amp;IF(AND(LEN(BA624)&gt;=2,ISNA(MATCH(LEFT(BA624,255),L_Placeholder,0)),TRIM(AB624)=""),"INVALID – CA status missing for the recorded corrective action","")&amp;IF(AND(TRIM(U624)="Pass after CA",OR(OR(LEN(BA624)&lt;5,ISNUMBER(MATCH(BA624,L_Placeholder,0))),TRIM(AB624)&lt;&gt;"Closed")),"INVALID – corrective action not recorded/closed","")</f>
        <v/>
      </c>
      <c r="BC624" s="61" t="str">
        <f aca="false">" "&amp;TRIM(SUBSTITUTE(SUBSTITUTE(SUBSTITUTE(SUBSTITUTE(SUBSTITUTE(SUBSTITUTE(SUBSTITUTE(SUBSTITUTE(SUBSTITUTE(SUBSTITUTE(SUBSTITUTE(SUBSTITUTE(SUBSTITUTE(SUBSTITUTE(SUBSTITUTE(SUBSTITUTE(SUBSTITUTE(SUBSTITUTE(SUBSTITUTE(SUBSTITUTE(SUBSTITUTE(SUBSTITUTE(SUBSTITUTE(SUBSTITUTE(LOWER(V624&amp;""),CHAR(10)," "),CHAR(13)," "),CHAR(9)," "),CHAR(160)," "),"."," "),","," "),"-"," "),"/"," "),"("," "),")"," "),":"," "),";"," "),"_"," "),"–"," "),"?"," "),"!"," "),"*"," "),"["," "),"]"," "),"'"," "),"#"," "),"+"," "),"&amp;"," "),"\"," "))&amp;" "</f>
        <v>  </v>
      </c>
      <c r="BD624" s="61" t="str">
        <f aca="false">" "&amp;TRIM(SUBSTITUTE(SUBSTITUTE(SUBSTITUTE(SUBSTITUTE(SUBSTITUTE(SUBSTITUTE(SUBSTITUTE(SUBSTITUTE(SUBSTITUTE(SUBSTITUTE(SUBSTITUTE(SUBSTITUTE(SUBSTITUTE(SUBSTITUTE(SUBSTITUTE(SUBSTITUTE(SUBSTITUTE(SUBSTITUTE(SUBSTITUTE(SUBSTITUTE(SUBSTITUTE(SUBSTITUTE(SUBSTITUTE(SUBSTITUTE(LOWER(Z624&amp;""),CHAR(10)," "),CHAR(13)," "),CHAR(9)," "),CHAR(160)," "),"."," "),","," "),"-"," "),"/"," "),"("," "),")"," "),":"," "),";"," "),"_"," "),"–"," "),"?"," "),"!"," "),"*"," "),"["," "),"]"," "),"'"," "),"#"," "),"+"," "),"&amp;"," "),"\"," "))&amp;" "</f>
        <v>  </v>
      </c>
      <c r="BE624" s="61" t="str">
        <f aca="false">" "&amp;TRIM(SUBSTITUTE(SUBSTITUTE(SUBSTITUTE(SUBSTITUTE(SUBSTITUTE(SUBSTITUTE(SUBSTITUTE(SUBSTITUTE(SUBSTITUTE(SUBSTITUTE(SUBSTITUTE(SUBSTITUTE(SUBSTITUTE(SUBSTITUTE(SUBSTITUTE(SUBSTITUTE(SUBSTITUTE(SUBSTITUTE(SUBSTITUTE(SUBSTITUTE(SUBSTITUTE(SUBSTITUTE(SUBSTITUTE(SUBSTITUTE(LOWER(W624&amp;""),CHAR(10)," "),CHAR(13)," "),CHAR(9)," "),CHAR(160)," "),"."," "),","," "),"-"," "),"/"," "),"("," "),")"," "),":"," "),";"," "),"_"," "),"–"," "),"?"," "),"!"," "),"*"," "),"["," "),"]"," "),"'"," "),"#"," "),"+"," "),"&amp;"," "),"\"," "))&amp;" "</f>
        <v>  </v>
      </c>
      <c r="BF624" s="61" t="str">
        <f aca="false">" "&amp;TRIM(SUBSTITUTE(SUBSTITUTE(SUBSTITUTE(SUBSTITUTE(SUBSTITUTE(SUBSTITUTE(SUBSTITUTE(SUBSTITUTE(SUBSTITUTE(SUBSTITUTE(SUBSTITUTE(SUBSTITUTE(SUBSTITUTE(SUBSTITUTE(SUBSTITUTE(SUBSTITUTE(SUBSTITUTE(SUBSTITUTE(SUBSTITUTE(SUBSTITUTE(SUBSTITUTE(SUBSTITUTE(SUBSTITUTE(SUBSTITUTE(LOWER(AC624&amp;""),CHAR(10)," "),CHAR(13)," "),CHAR(9)," "),CHAR(160)," "),"."," "),","," "),"-"," "),"/"," "),"("," "),")"," "),":"," "),";"," "),"_"," "),"–"," "),"?"," "),"!"," "),"*"," "),"["," "),"]"," "),"'"," "),"#"," "),"+"," "),"&amp;"," "),"\"," "))&amp;" "</f>
        <v>  </v>
      </c>
      <c r="BG624" s="61" t="n">
        <f aca="false">IFERROR(IF(AND(TRIM(U624)="Pass",SUMPRODUCT((LEN(BC624)-LEN(SUBSTITUTE(BC624," "&amp;L_ResultBad&amp;" "," ")))/(LEN(L_ResultBad)+1))&gt;SUMPRODUCT((LEN(BC624)-LEN(SUBSTITUTE(BC624," "&amp;L_NegPhrase&amp;" "," ")))/(LEN(L_NegPhrase)+1))),1,0),0)</f>
        <v>0</v>
      </c>
      <c r="BH624" s="61" t="n">
        <f aca="false">IFERROR(IF(SUMPRODUCT((LEN(BC624)-LEN(SUBSTITUTE(BC624," "&amp;L_Pending&amp;" "," ")))/(LEN(L_Pending)+1))&gt;SUMPRODUCT((LEN(BC624)-LEN(SUBSTITUTE(BC624," "&amp;L_PendNeg&amp;" "," ")))/(LEN(L_PendNeg)+1))+SUMPRODUCT((LEN(BC624)-LEN(SUBSTITUTE(BC624," "&amp;L_PendPrep&amp;" "," ")))/(LEN(L_PendPrep)+1)),1,0),1)</f>
        <v>0</v>
      </c>
      <c r="BI624" s="61" t="n">
        <f aca="false">IFERROR(IF(SUMPRODUCT((LEN(BD624)-LEN(SUBSTITUTE(BD624," "&amp;L_PendStrict&amp;" "," ")))/(LEN(L_PendStrict)+1))&gt;SUMPRODUCT((LEN(BD624)-LEN(SUBSTITUTE(BD624," "&amp;L_PendNeg&amp;" "," ")))/(LEN(L_PendNeg)+1)),1,0),1)</f>
        <v>0</v>
      </c>
      <c r="BJ624" s="61" t="n">
        <f aca="false">IFERROR(IF(SUMPRODUCT((LEN(BE624)-LEN(SUBSTITUTE(BE624," "&amp;L_Pending&amp;" "," ")))/(LEN(L_Pending)+1))&gt;SUMPRODUCT((LEN(BE624)-LEN(SUBSTITUTE(BE624," "&amp;L_PendNeg&amp;" "," ")))/(LEN(L_PendNeg)+1))+SUMPRODUCT((LEN(BE624)-LEN(SUBSTITUTE(BE624," "&amp;L_PendPrep&amp;" "," ")))/(LEN(L_PendPrep)+1)),1,0),1)</f>
        <v>0</v>
      </c>
      <c r="BK624" s="61" t="n">
        <f aca="false">IFERROR(IF(SUMPRODUCT((LEN(BF624)-LEN(SUBSTITUTE(BF624," "&amp;L_PendStrict&amp;" "," ")))/(LEN(L_PendStrict)+1))&gt;SUMPRODUCT((LEN(BF624)-LEN(SUBSTITUTE(BF624," "&amp;L_PendNeg&amp;" "," ")))/(LEN(L_PendNeg)+1)),1,0),1)</f>
        <v>0</v>
      </c>
      <c r="BL624" s="61" t="n">
        <f aca="false">IF(ISNA(MATCH(TRIM(S624),L_EvidenceType,0)),0,BZ624)</f>
        <v>0</v>
      </c>
      <c r="BM624" s="61" t="str">
        <f aca="false">SUBSTITUTE(SUBSTITUTE(SUBSTITUTE(SUBSTITUTE(SUBSTITUTE(SUBSTITUTE(SUBSTITUTE(SUBSTITUTE(SUBSTITUTE(LOWER(Z624&amp;""),"1","0"),"2","0"),"3","0"),"4","0"),"5","0"),"6","0"),"7","0"),"8","0"),"9","0")</f>
        <v/>
      </c>
      <c r="BN624" s="61" t="str">
        <f aca="false">SUBSTITUTE(SUBSTITUTE(SUBSTITUTE(SUBSTITUTE(SUBSTITUTE(SUBSTITUTE(SUBSTITUTE(SUBSTITUTE(SUBSTITUTE(SUBSTITUTE(SUBSTITUTE(SUBSTITUTE(SUBSTITUTE(SUBSTITUTE(SUBSTITUTE(SUBSTITUTE(SUBSTITUTE(SUBSTITUTE(SUBSTITUTE(SUBSTITUTE(SUBSTITUTE(SUBSTITUTE(SUBSTITUTE(SUBSTITUTE(SUBSTITUTE(BM624,"b","a"),"c","a"),"d","a"),"e","a"),"f","a"),"g","a"),"h","a"),"i","a"),"j","a"),"k","a"),"l","a"),"m","a"),"n","a"),"o","a"),"p","a"),"q","a"),"r","a"),"s","a"),"t","a"),"u","a"),"v","a"),"w","a"),"x","a"),"y","a"),"z","a")</f>
        <v/>
      </c>
      <c r="BO624" s="61" t="str">
        <f aca="false">SUBSTITUTE(SUBSTITUTE(SUBSTITUTE(SUBSTITUTE(SUBSTITUTE(SUBSTITUTE(SUBSTITUTE(SUBSTITUTE(SUBSTITUTE(LOWER(W624&amp;""),"1","0"),"2","0"),"3","0"),"4","0"),"5","0"),"6","0"),"7","0"),"8","0"),"9","0")</f>
        <v/>
      </c>
      <c r="BP624" s="61" t="str">
        <f aca="false">SUBSTITUTE(SUBSTITUTE(SUBSTITUTE(SUBSTITUTE(SUBSTITUTE(SUBSTITUTE(SUBSTITUTE(SUBSTITUTE(SUBSTITUTE(SUBSTITUTE(SUBSTITUTE(SUBSTITUTE(SUBSTITUTE(SUBSTITUTE(SUBSTITUTE(SUBSTITUTE(SUBSTITUTE(SUBSTITUTE(SUBSTITUTE(SUBSTITUTE(SUBSTITUTE(SUBSTITUTE(SUBSTITUTE(SUBSTITUTE(SUBSTITUTE(BO624,"b","a"),"c","a"),"d","a"),"e","a"),"f","a"),"g","a"),"h","a"),"i","a"),"j","a"),"k","a"),"l","a"),"m","a"),"n","a"),"o","a"),"p","a"),"q","a"),"r","a"),"s","a"),"t","a"),"u","a"),"v","a"),"w","a"),"x","a"),"y","a"),"z","a")</f>
        <v/>
      </c>
      <c r="BQ624" s="61" t="n">
        <f aca="false">IFERROR(IF(AND(ISERROR(SEARCH(" mh"," "&amp;LOWER(W624))),ISNA(MATCH(LEFT(TRIM(BP624),255),{"0000a","000a","00a","0000aa","000aa","00aa","0aa","0000aaa","000aaa","00a00","0a00","0000-0000","00:00","a00","a0","00.00.0000","00/00/0000","00-00-0000","0000-00-00","0000/00/00","0000.00.00","00.00.00","00/00/00","00-00-00","0.00.0000","0/00/0000","0-00-0000"},0)),ISNA(MATCH(LEFT(TRIM(CA624),255),{"0000a","000a","00a","0000aa","000aa","00aa","0aa","0000aaa","000aaa","00a00","0a00","0000-0000","00:00","a00","a0","00.00.0000","00/00/0000","00-00-0000","0000-00-00","0000/00/00","0000.00.00","00.00.00","00/00/00","00-00-00","0.00.0000","0/00/0000","0-00-0000"},0)),LEN(CB624)&gt;=3,NOT(OR(SUBSTITUTE(CB624,"0","")="",AND(LEN(CB624)&gt;=4,CB624=REPT(LEFT(CB624),LEN(CB624))),ISNUMBER(MATCH(CB624,{"123","1234","12345","123456","1234567","12345678","0123","01234","012345","98765","987654","54321"},0)),AND(LEN(CB624)=8,LEFT(CB624,3)="202"))),OR(AND((LEN(CA624)-LEN(SUBSTITUTE(CA624,"a","")))&gt;=1,SUMPRODUCT(--ISNUMBER(SEARCH({"a0","a-0","a_0","a/0","a.0","a#0","0a","0-a","0_a","0/a"},BP624)))&gt;0),ISNUMBER(SEARCH("000000",BP624)))),1,0),0)</f>
        <v>0</v>
      </c>
      <c r="BR624" s="61" t="n">
        <f aca="false">IFERROR(LEN(SUBSTITUTE(CC624," ",""))-SUMPRODUCT((LEN(CC624)-LEN(SUBSTITUTE(CC624," "&amp;L_Role&amp;" "," ")))/(LEN(L_Role)+1)*LEN(L_Role)),0)</f>
        <v>0</v>
      </c>
      <c r="BS624" s="61" t="n">
        <f aca="false">IFERROR(LEN(SUBSTITUTE(CD624," ",""))-SUMPRODUCT((LEN(CD624)-LEN(SUBSTITUTE(CD624," "&amp;L_Role&amp;" "," ")))/(LEN(L_Role)+1)*LEN(L_Role)),0)</f>
        <v>0</v>
      </c>
      <c r="BT6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624,"revision",""),"version",""),"jan",""),"feb",""),"mar",""),"apr",""),"may",""),"jun",""),"jul",""),"aug",""),"sep",""),"oct",""),"nov",""),"dec",""),"utc",""),"gmt",""),"myt",""),"bst",""),"rev",""),"ver",""),"b","a"),"c","a"),"d","a"),"e","a"),"f","a"),"g","a"),"h","a"),"i","a"),"j","a"),"k","a"),"l","a"),"m","a"),"n","a"),"o","a"),"p","a"),"q","a"),"r","a"),"s","a"),"t","a"),"u","a"),"v","a"),"w","a"),"x","a"),"y","a"),"z","a")</f>
        <v/>
      </c>
      <c r="BU624" s="61" t="str">
        <f aca="false">SUBSTITUTE(SUBSTITUTE(SUBSTITUTE(SUBSTITUTE(SUBSTITUTE(SUBSTITUTE(SUBSTITUTE(SUBSTITUTE(SUBSTITUTE(SUBSTITUTE(LEFT(BM624,FIND("0",BM624&amp;"0")-1),"-",""),"_",""),"/",""),".",""),"#",""),"\\",""),":","")," ",""),"(",""),")","")</f>
        <v/>
      </c>
      <c r="BV624" s="61" t="n">
        <f aca="false">0</f>
        <v>0</v>
      </c>
      <c r="BW6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624&amp;""),"a",""),"b",""),"c",""),"d",""),"e",""),"f",""),"g",""),"h",""),"i",""),"j",""),"k",""),"l",""),"m",""),"n",""),"o",""),"p",""),"q",""),"r",""),"s",""),"t",""),"u",""),"v",""),"w",""),"x",""),"y",""),"z",""),"-",""),"_",""),"/",""),".",""),"#",""),"\\",""),":","")," ",""),"(",""),")","")</f>
        <v/>
      </c>
      <c r="BX624" s="61" t="str">
        <f aca="false">SUBSTITUTE(SUBSTITUTE(SUBSTITUTE(SUBSTITUTE(SUBSTITUTE(SUBSTITUTE(SUBSTITUTE(SUBSTITUTE(SUBSTITUTE(SUBSTITUTE(SUBSTITUTE(BM624,"0",""),"-",""),"_",""),"/",""),".",""),"#",""),"\\",""),":","")," ",""),"(",""),")","")</f>
        <v/>
      </c>
      <c r="BY624" s="62" t="n">
        <f aca="false">Q624-T7EarlyD*24/24</f>
        <v>46303.0277777778</v>
      </c>
      <c r="BZ624" s="61" t="n">
        <f aca="false">IFERROR(IF(IF(TRIM(S624)="Link / file path",AND(LEN(TRIM(Z624))&gt;=5,SUMPRODUCT(--ISNUMBER(SEARCH({"http","www.","\\",":\",".pdf",".jpg",".jpeg",".png",".heic",".xls",".doc",".msg",".eml",".ppt",".txt",".zip"},Z624)))&gt;0),AND(ISERROR(FIND(" ",TRIM(Z624))),NOT(OR(SUMPRODUCT(--ISNUMBER(FIND({",",";","&amp;","+"},Z624)))&gt;0,SUMPRODUCT(--ISNUMBER(SEARCH({"0/aa","0\\aa"},BN624)))&gt;0)),NOT(SUMPRODUCT(--ISNUMBER(SEARCH({"http","www.","\\",":\",".pdf",".jpg",".jpeg",".png",".heic",".xls",".doc",".msg",".eml",".ppt",".txt",".zip"},Z624)))&gt;0),NOT(LOWER(TRIM(Z624))=LOWER(Flights!$F$23)),ISNA(MATCH(BU624,{"mh","rev","revision","ver","version","v","r","a","b","seat","tray","row","gate","bay","stand","page","pg","item","line","no","cart","galley","flight","flt","table","box","bag","oven","etd","eta","std","sta","atd","ata","qty","pax","x","time","tel","ph","mob","day","wk","week","utc","gmt","myt","lt"},0)),NOT(OR(ISNUMBER(MATCH(LEFT(BN624,255),{"0000a","000a","00a","0000aa","000aa","00aa","0aa","0000aaa","000aaa","00a00","0a00","0000-0000","00:00","a00","a0","00.00.0000","00/00/0000","00-00-0000","0000-00-00","0000/00/00","0000.00.00","00.00.00","00/00/00","00-00-00","0.00.0000","0/00/0000","0-00-0000"},0)),ISNUMBER(MATCH(LEFT(BT624,255),{"0000a","000a","00a","0000aa","000aa","00aa","0aa","0000aaa","000aaa","00a00","0a00","0000-0000","00:00","a00","a0","00.00.0000","00/00/0000","00-00-0000","0000-00-00","0000/00/00","0000.00.00","00.00.00","00/00/00","00-00-00","0.00.0000","0/00/0000","0-00-0000"},0)))),NOT(OR(AND(BW624&lt;&gt;"",SUBSTITUTE(BW624,"0","")=""),AND(LEN(BW624)&gt;=4,BW624=REPT(LEFT(BW624),LEN(BW624))),ISNUMBER(MATCH(BW624,{"123","1234","12345","123456","1234567","12345678","0123","01234","012345","98765","987654","54321"},0)),ISNUMBER(MATCH(BX624,{"x","xx","xxx","xxxx","xxxxx","abc","abcd","nil","na","nan","test","tbc","tba","tbd","dummy","sample","example","eg","zz","zzz","none","null","xyz","qwe","asd","id","ref"},0)),AND(LEN(BW624)=8,BX624="",OR(LEFT(BW624,3)="202",ISNUMBER(MATCH(RIGHT(BW624,4),{"2025","2026","2027"},0)))))),OR(AND((LEN(BT624)-LEN(SUBSTITUTE(BT624,"a","")))&gt;=1,(LEN(BN624)-LEN(SUBSTITUTE(BN624,"0","")))&gt;=2,SUMPRODUCT(--ISNUMBER(SEARCH({"a0","a-0","a_0","a/0","a.0","a#0","0a","0-a","0_a","0/a"},BN624)))&gt;0),AND((LEN(BN624)-LEN(SUBSTITUTE(BN624,"a","")))=0,(LEN(BN624)-LEN(SUBSTITUTE(BN624,"0","")))&gt;=5)))),1,0),0)</f>
        <v>0</v>
      </c>
      <c r="CA6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624,"revision",""),"version",""),"jan",""),"feb",""),"mar",""),"apr",""),"may",""),"jun",""),"jul",""),"aug",""),"sep",""),"oct",""),"nov",""),"dec",""),"utc",""),"gmt",""),"myt",""),"bst",""),"rev",""),"ver",""),"b","a"),"c","a"),"d","a"),"e","a"),"f","a"),"g","a"),"h","a"),"i","a"),"j","a"),"k","a"),"l","a"),"m","a"),"n","a"),"o","a"),"p","a"),"q","a"),"r","a"),"s","a"),"t","a"),"u","a"),"v","a"),"w","a"),"x","a"),"y","a"),"z","a")</f>
        <v/>
      </c>
      <c r="CB6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624&amp;""),"a",""),"b",""),"c",""),"d",""),"e",""),"f",""),"g",""),"h",""),"i",""),"j",""),"k",""),"l",""),"m",""),"n",""),"o",""),"p",""),"q",""),"r",""),"s",""),"t",""),"u",""),"v",""),"w",""),"x",""),"y",""),"z",""),"-",""),"_",""),"/",""),".",""),"#",""),"\\",""),":","")," ",""),"(",""),")","")</f>
        <v/>
      </c>
      <c r="CC624" s="0" t="str">
        <f aca="false">" "&amp;TRIM(SUBSTITUTE(SUBSTITUTE(SUBSTITUTE(SUBSTITUTE(SUBSTITUTE(SUBSTITUTE(SUBSTITUTE(SUBSTITUTE(SUBSTITUTE(SUBSTITUTE(SUBSTITUTE(SUBSTITUTE(SUBSTITUTE(SUBSTITUTE(SUBSTITUTE(SUBSTITUTE(SUBSTITUTE(SUBSTITUTE(SUBSTITUTE(SUBSTITUTE(SUBSTITUTE(SUBSTITUTE(SUBSTITUTE(SUBSTITUTE(LOWER(T624&amp;""),CHAR(10)," "),CHAR(13)," "),CHAR(9)," "),CHAR(160)," "),"."," "),","," "),"-"," "),"/"," "),"("," "),")"," "),":"," "),";"," "),"_"," "),"–"," "),"?"," "),"!"," "),"*"," "),"["," "),"]"," "),"'"," "),"#"," "),"+"," "),"&amp;"," "),"\"," "))&amp;" "</f>
        <v>  </v>
      </c>
      <c r="CD624" s="0" t="str">
        <f aca="false">" "&amp;TRIM(SUBSTITUTE(SUBSTITUTE(SUBSTITUTE(SUBSTITUTE(SUBSTITUTE(SUBSTITUTE(SUBSTITUTE(SUBSTITUTE(SUBSTITUTE(SUBSTITUTE(SUBSTITUTE(SUBSTITUTE(SUBSTITUTE(SUBSTITUTE(SUBSTITUTE(SUBSTITUTE(SUBSTITUTE(SUBSTITUTE(SUBSTITUTE(SUBSTITUTE(SUBSTITUTE(SUBSTITUTE(SUBSTITUTE(SUBSTITUTE(LOWER(AE624&amp;""),CHAR(10)," "),CHAR(13)," "),CHAR(9)," "),CHAR(160)," "),"."," "),","," "),"-"," "),"/"," "),"("," "),")"," "),":"," "),";"," "),"_"," "),"–"," "),"?"," "),"!"," "),"*"," "),"["," "),"]"," "),"'"," "),"#"," "),"+"," "),"&amp;"," "),"\"," "))&amp;" "</f>
        <v>  </v>
      </c>
      <c r="CE624" s="68" t="n">
        <f aca="false">IFERROR(IF(AND(LEN(AU624)&gt;0,LEN(AU624)=LEN(AX624),OR(TRIM(MID(SUBSTITUTE(TRIM(CC624)," ",REPT(" ",60)),1,60))="",ISNUMBER(SEARCH(" "&amp;TRIM(MID(SUBSTITUTE(TRIM(CC624)," ",REPT(" ",60)),1,60))&amp;" ",CD624))),OR(TRIM(MID(SUBSTITUTE(TRIM(CC624)," ",REPT(" ",60)),61,60))="",ISNUMBER(SEARCH(" "&amp;TRIM(MID(SUBSTITUTE(TRIM(CC624)," ",REPT(" ",60)),61,60))&amp;" ",CD624))),OR(TRIM(MID(SUBSTITUTE(TRIM(CC624)," ",REPT(" ",60)),121,60))="",ISNUMBER(SEARCH(" "&amp;TRIM(MID(SUBSTITUTE(TRIM(CC624)," ",REPT(" ",60)),121,60))&amp;" ",CD624)))),1,0),0)</f>
        <v>0</v>
      </c>
      <c r="CG624" s="68" t="n">
        <f aca="false">IFERROR(LEN(SUBSTITUTE(BF624," ",""))-SUMPRODUCT((LEN(BF624)-LEN(SUBSTITUTE(BF624," "&amp;L_NAFiller&amp;" "," ")))/(LEN(L_NAFiller)+1)*LEN(L_NAFiller)),0)</f>
        <v>0</v>
      </c>
    </row>
    <row r="625" customFormat="false" ht="39.75" hidden="false" customHeight="true" outlineLevel="0" collapsed="false">
      <c r="A625" s="57" t="s">
        <v>1335</v>
      </c>
      <c r="B625" s="57" t="s">
        <v>301</v>
      </c>
      <c r="C625" s="57" t="str">
        <f aca="false">Flights!$F$23</f>
        <v>MH0053</v>
      </c>
      <c r="D625" s="58" t="n">
        <f aca="false">Flights!$D$23</f>
        <v>46324</v>
      </c>
      <c r="E625" s="57" t="str">
        <f aca="false">Flights!$G$23&amp;"-"&amp;Flights!$H$23</f>
        <v>KIX-KUL</v>
      </c>
      <c r="F625" s="57" t="str">
        <f aca="false">Flights!$K$23</f>
        <v>EY</v>
      </c>
      <c r="G625" s="57" t="s">
        <v>81</v>
      </c>
      <c r="H625" s="57" t="s">
        <v>378</v>
      </c>
      <c r="I625" s="57" t="s">
        <v>405</v>
      </c>
      <c r="J625" s="57" t="s">
        <v>406</v>
      </c>
      <c r="K625" s="67" t="s">
        <v>407</v>
      </c>
      <c r="L625" s="67" t="s">
        <v>382</v>
      </c>
      <c r="M625" s="67"/>
      <c r="N625" s="67" t="s">
        <v>383</v>
      </c>
      <c r="O625" s="67"/>
      <c r="P625" s="57" t="s">
        <v>295</v>
      </c>
      <c r="Q625" s="59" t="n">
        <f aca="false">ROUND((Flights!$AC$23)*1440,0)/1440</f>
        <v>46317.0277777778</v>
      </c>
      <c r="R625" s="59" t="n">
        <f aca="false">Q625+(IF(AND(INDEX(TZ_DSTS,MATCH(P625,TZ_STN,0))&lt;&gt;"",Q625&gt;=INDEX(TZ_DSTS,MATCH(P625,TZ_STN,0)),Q625&lt;INDEX(TZ_DSTE,MATCH(P625,TZ_STN,0))),INDEX(TZ_DST,MATCH(P625,TZ_STN,0)),INDEX(TZ_STD,MATCH(P625,TZ_STN,0))))/24</f>
        <v>46317.4027777778</v>
      </c>
      <c r="S625" s="60"/>
      <c r="T625" s="60"/>
      <c r="U625" s="60"/>
      <c r="V625" s="60"/>
      <c r="W625" s="61"/>
      <c r="X625" s="60"/>
      <c r="Y625" s="60"/>
      <c r="Z625" s="60"/>
      <c r="AA625" s="60"/>
      <c r="AB625" s="60"/>
      <c r="AC625" s="60"/>
      <c r="AD625" s="66"/>
      <c r="AE625" s="60"/>
      <c r="AF625" s="61" t="str">
        <f aca="false">IF(AND(ISNUMBER(X625),ISNUMBER(Y625)),Y625-X625,"")</f>
        <v/>
      </c>
      <c r="AG625" s="62" t="str">
        <f aca="false">IF(ISNUMBER(AD625),AD625-(IF(AND(INDEX(TZ_DSTS,MATCH(P625,TZ_STN,0))&lt;&gt;"",(AD625-INDEX(TZ_STD,MATCH(P625,TZ_STN,0))/24)&gt;=INDEX(TZ_DSTS,MATCH(P625,TZ_STN,0)),(AD625-INDEX(TZ_STD,MATCH(P625,TZ_STN,0))/24)&lt;INDEX(TZ_DSTE,MATCH(P625,TZ_STN,0))),INDEX(TZ_DST,MATCH(P625,TZ_STN,0)),INDEX(TZ_STD,MATCH(P625,TZ_STN,0))))/24,"")</f>
        <v/>
      </c>
      <c r="AH625" s="65" t="str">
        <f aca="false">IFERROR(IF(N625="N/A – rule",IF(OR(TRIM(U625)="",TRIM(U625)="N/A",TRIM(U625)="Not started"),"N/A – RULE","INVALID – this check does not apply to this aircraft: clear the status (or correct the fleet on Flights)"),IF(TRIM(U625)="N/A",IF(AT625=0,"INVALID – N/A not permitted for this check",IF(AND(TRIM(AB625)&lt;&gt;"",TRIM(AB625)&lt;&gt;"Closed"),"INVALID – corrective action still open",IF(AND(NOT(OR(LEN(AZ625)&lt;15,ISNUMBER(MATCH(AZ625,L_Placeholder,0)))),BK625=0,CG625&gt;=8,NOT(OR(LEN(AU625)&lt;2,ISNUMBER(MATCH(AU625,L_Placeholder,0)))),BR625&gt;=3,NOT(OR(LEN(AX625)&lt;2,ISNUMBER(MATCH(AX625,L_Placeholder,0)))),BS625&gt;=3,TRIM(AE625)&lt;&gt;TRIM(T625),AX625&lt;&gt;AU625,CE625=0),"N/A – JUSTIFIED","INVALID – N/A needs a real, settled reason (not 'not applicable' / 'as above' / TBC), a named PIC and a different named verifier"))),IF(OR(TRIM(U625)="Pass",TRIM(U625)="Pass after CA"),IF(NOT(ISNUMBER(AD625)),"INVALID – completion time missing",IF(OR(OR(LEN(AU625)&lt;2,ISNUMBER(MATCH(AU625,L_Placeholder,0))),BR625&lt;3),"INVALID – PIC missing or not a named person (a role such as QA / CSM is not a name)",IF(OR(LEN(AV625)&lt;2,ISNUMBER(MATCH(AV625,L_Placeholder,0))),"INVALID – result / assessment missing",IF(OR(OR(LEN(AW625)&lt;3,ISNUMBER(MATCH(AW625,L_Placeholder,0))),SUMPRODUCT(--ISNUMBER(SEARCH(" "&amp;L_EvidencePhrase&amp;" ",BD625)))&gt;0,BI625=1),"INVALID – evidence missing, placeholder or not yet on file",IF(ISNA(MATCH(TRIM(S625),L_EvidenceType,0)),"INVALID – choose the evidence type from the list (column S)",IF(BL625=0,"INVALID – evidence ID must be the record's own ID only (e.g. SF-2210, IMG_2231, 1045521); a link / file name needs type 'Link / file path'",IF(OR(OR(LEN(AX625)&lt;2,ISNUMBER(MATCH(AX625,L_Placeholder,0))),BS625&lt;3),"INVALID – verifier missing or not a named person (a role such as QA / CSM is not a name)",IF(OR(AX625=AU625,CE625=1,AND(LEN(AU625)&gt;=4,ISNUMBER(SEARCH(AU625,AX625))),AND(LEN(AX625)&gt;=4,ISNUMBER(SEARCH(AX625,AU625)))),"INVALID – verifier must be a different, named person (not the PIC or a role)",IF(BH625=1,"INVALID – result not yet available (awaiting / TBC)",IF(BG625=1,"INVALID – result describes a problem: record Fail, then Pass after CA (or reword if it is not a problem)",IF(BV625=1,"INVALID – wording says not on board: an on-board confirmation needs the item loaded",IF(AND(AQ625=1,OR(OR(LEN(AY625)&lt;3,ISNUMBER(MATCH(AY625,L_Placeholder,0))),BJ625=1,BQ625=0)),"INVALID – batch ID missing, placeholder or not an ID (e.g. PASB-261008-BC-017)",IF(AND(AR625=1,OR(NOT(ISNUMBER(X625)),NOT(ISNUMBER(Y625)))),"INVALID – expected/actual qty missing",IF(AND(AR625=1,OR(X625&lt;=0,Y625&lt;0)),"INVALID – expected qty must be above 0 and actual not negative",IF(BB625&lt;&gt;"",BB625,IF(AND(AS625=1,Documents!$J$23&lt;&gt;"ON FILE"),"INVALID – GLD not on file (Documents sheet)",IF(AND(AS625=2,Documents!$O$23&lt;&gt;"ON FILE"),"INVALID – menu checklist not on file (Documents sheet)",IF(AND(AS625=3,NOT(ISNUMBER(Flights!$AX$23))),"INVALID – enter carrying flight KUL departure (Flights AX)",IF(AND(AS625=3,OR(Flights!$AZ$23&gt;Flights!$AA$23,Flights!$AX$23&lt;Flights!$AA$23-3)),"INVALID – carrying flight (Flights AX) cannot arrive before this leg's STD, or is over 3 days early",IF(AG625&gt;AsOfUTC,"INVALID – completion time is in the future",IF(AND(ISNUMBER(BY625),AG625&lt;BY625),IF(H625="Physical uplift","INVALID – before uplift window (cannot confirm loading)","INVALID – before valid window"),IF(AG625&gt;Flights!$AA$23,"INVALID – completed after departure (cannot establish readiness)",IF(AND(H625="Preparation",AG625&gt;=IF(ISNUMBER(Flights!$BA$23),MIN(Flights!$BA$23,Flights!$AA$23),Flights!$AA$23)),"INVALID – completed after loading / departure (cannot establish readiness)",IF(AND(H625="Physical uplift",AG625&gt;Q625),"INVALID – recorded after the loading flight departed",IF(AG625&gt;Q625,"COMPLETE – LATE","COMPLETE"))))))))))))))))))))))))),IF(TRIM(U625)="Fail","FAIL – DISCREPANCY",IF(AND(TRIM(U625)&lt;&gt;"",TRIM(U625)&lt;&gt;"Not started",TRIM(U625)&lt;&gt;"In progress"),"INVALID – unrecognised status (use the list)",IF(AsOfUTC&gt;Q625,"OVERDUE",IF(N625="Clarification required","OPEN – CLARIFICATION","OPEN"))))))),"INVALID – error value in an input cell")</f>
        <v>OPEN</v>
      </c>
      <c r="AI625" s="61" t="n">
        <f aca="false">IF(OR(AH625="N/A – RULE",AH625="N/A – JUSTIFIED"),0,1)</f>
        <v>1</v>
      </c>
      <c r="AJ625" s="61" t="n">
        <f aca="false">IF(LEFT(AH625,8)="COMPLETE",1,0)</f>
        <v>0</v>
      </c>
      <c r="AK625" s="61" t="n">
        <f aca="false">IF(AND(AI625=1,AJ625=0,AsOfUTC&gt;Q625),1,0)</f>
        <v>0</v>
      </c>
      <c r="AL625" s="61" t="n">
        <f aca="false">IFERROR(IF(AND(AI625=1,OR(TRIM(U625)="Fail",AND(TRIM(AB625)&lt;&gt;"",TRIM(AB625)&lt;&gt;"Closed"),AND(ISNUMBER(AF625),AF625&lt;&gt;0,TRIM(U625)&lt;&gt;"Pass after CA"))),1,0),1)</f>
        <v>0</v>
      </c>
      <c r="AM625" s="61" t="n">
        <f aca="false">IF(LEFT(AH625,7)="INVALID",1,0)</f>
        <v>0</v>
      </c>
      <c r="AN625" s="61" t="n">
        <f aca="false">IF(AND(N625="Clarification required",AI625=1,AJ625=0),1,0)</f>
        <v>0</v>
      </c>
      <c r="AO625" s="61" t="str">
        <f aca="false">IF(AK625=1,SUM(AK$5:AK625),"")</f>
        <v/>
      </c>
      <c r="AP625" s="61" t="str">
        <f aca="false">IF(AL625=1,SUM(AL$5:AL625),"")</f>
        <v/>
      </c>
      <c r="AQ625" s="61" t="n">
        <v>0</v>
      </c>
      <c r="AR625" s="61" t="n">
        <v>0</v>
      </c>
      <c r="AS625" s="61" t="n">
        <v>1</v>
      </c>
      <c r="AT625" s="61" t="n">
        <v>0</v>
      </c>
      <c r="AU625" s="61" t="str">
        <f aca="false">SUBSTITUTE(SUBSTITUTE(SUBSTITUTE(SUBSTITUTE(SUBSTITUTE(SUBSTITUTE(SUBSTITUTE(SUBSTITUTE(SUBSTITUTE(SUBSTITUTE(SUBSTITUTE(SUBSTITUTE(SUBSTITUTE(SUBSTITUTE(SUBSTITUTE(SUBSTITUTE(LOWER(T625&amp;""),CHAR(10),""),CHAR(13),""),CHAR(9),""),CHAR(160),"")," ",""),".",""),"-",""),"/",""),"?",""),"_",""),",",""),"[",""),"]",""),"(",""),")",""),"*","")</f>
        <v/>
      </c>
      <c r="AV625" s="61" t="str">
        <f aca="false">SUBSTITUTE(SUBSTITUTE(SUBSTITUTE(SUBSTITUTE(SUBSTITUTE(SUBSTITUTE(SUBSTITUTE(SUBSTITUTE(SUBSTITUTE(SUBSTITUTE(SUBSTITUTE(SUBSTITUTE(SUBSTITUTE(SUBSTITUTE(SUBSTITUTE(SUBSTITUTE(LOWER(V625&amp;""),CHAR(10),""),CHAR(13),""),CHAR(9),""),CHAR(160),"")," ",""),".",""),"-",""),"/",""),"?",""),"_",""),",",""),"[",""),"]",""),"(",""),")",""),"*","")</f>
        <v/>
      </c>
      <c r="AW625" s="61" t="str">
        <f aca="false">SUBSTITUTE(SUBSTITUTE(SUBSTITUTE(SUBSTITUTE(SUBSTITUTE(SUBSTITUTE(SUBSTITUTE(SUBSTITUTE(SUBSTITUTE(SUBSTITUTE(SUBSTITUTE(SUBSTITUTE(SUBSTITUTE(SUBSTITUTE(SUBSTITUTE(SUBSTITUTE(LOWER(Z625&amp;""),CHAR(10),""),CHAR(13),""),CHAR(9),""),CHAR(160),"")," ",""),".",""),"-",""),"/",""),"?",""),"_",""),",",""),"[",""),"]",""),"(",""),")",""),"*","")</f>
        <v/>
      </c>
      <c r="AX625" s="61" t="str">
        <f aca="false">SUBSTITUTE(SUBSTITUTE(SUBSTITUTE(SUBSTITUTE(SUBSTITUTE(SUBSTITUTE(SUBSTITUTE(SUBSTITUTE(SUBSTITUTE(SUBSTITUTE(SUBSTITUTE(SUBSTITUTE(SUBSTITUTE(SUBSTITUTE(SUBSTITUTE(SUBSTITUTE(LOWER(AE625&amp;""),CHAR(10),""),CHAR(13),""),CHAR(9),""),CHAR(160),"")," ",""),".",""),"-",""),"/",""),"?",""),"_",""),",",""),"[",""),"]",""),"(",""),")",""),"*","")</f>
        <v/>
      </c>
      <c r="AY625" s="61" t="str">
        <f aca="false">SUBSTITUTE(SUBSTITUTE(SUBSTITUTE(SUBSTITUTE(SUBSTITUTE(SUBSTITUTE(SUBSTITUTE(SUBSTITUTE(SUBSTITUTE(SUBSTITUTE(SUBSTITUTE(SUBSTITUTE(SUBSTITUTE(SUBSTITUTE(SUBSTITUTE(SUBSTITUTE(LOWER(W625&amp;""),CHAR(10),""),CHAR(13),""),CHAR(9),""),CHAR(160),"")," ",""),".",""),"-",""),"/",""),"?",""),"_",""),",",""),"[",""),"]",""),"(",""),")",""),"*","")</f>
        <v/>
      </c>
      <c r="AZ625" s="61" t="str">
        <f aca="false">SUBSTITUTE(SUBSTITUTE(SUBSTITUTE(SUBSTITUTE(SUBSTITUTE(SUBSTITUTE(SUBSTITUTE(SUBSTITUTE(SUBSTITUTE(SUBSTITUTE(SUBSTITUTE(SUBSTITUTE(SUBSTITUTE(SUBSTITUTE(SUBSTITUTE(SUBSTITUTE(LOWER(AC625&amp;""),CHAR(10),""),CHAR(13),""),CHAR(9),""),CHAR(160),"")," ",""),".",""),"-",""),"/",""),"?",""),"_",""),",",""),"[",""),"]",""),"(",""),")",""),"*","")</f>
        <v/>
      </c>
      <c r="BA625" s="61" t="str">
        <f aca="false">SUBSTITUTE(SUBSTITUTE(SUBSTITUTE(SUBSTITUTE(SUBSTITUTE(SUBSTITUTE(SUBSTITUTE(SUBSTITUTE(SUBSTITUTE(SUBSTITUTE(SUBSTITUTE(SUBSTITUTE(SUBSTITUTE(SUBSTITUTE(SUBSTITUTE(SUBSTITUTE(LOWER(AA625&amp;""),CHAR(10),""),CHAR(13),""),CHAR(9),""),CHAR(160),"")," ",""),".",""),"-",""),"/",""),"?",""),"_",""),",",""),"[",""),"]",""),"(",""),")",""),"*","")</f>
        <v/>
      </c>
      <c r="BB625" s="61" t="str">
        <f aca="false">IF(AND(TRIM(U625)="Pass",ISNUMBER(AF625)),IF(AF625&lt;&gt;0,"INVALID – qty variance: use Fail or Pass after CA",""),"")&amp;IF(AND(TRIM(U625)="Pass after CA",ISNUMBER(AF625)),IF(AF625&lt;&gt;0,"INVALID – after the corrective action the actual qty must equal expected (update Actual)",""),"")&amp;IF(AND(TRIM(U625)="Pass",TRIM(AB625)&lt;&gt;"",TRIM(AB625)&lt;&gt;"Closed"),"INVALID – corrective action not closed: use Fail, then Pass after CA","")&amp;IF(AND(LEN(BA625)&gt;=2,ISNA(MATCH(LEFT(BA625,255),L_Placeholder,0)),TRIM(AB625)=""),"INVALID – CA status missing for the recorded corrective action","")&amp;IF(AND(TRIM(U625)="Pass after CA",OR(OR(LEN(BA625)&lt;5,ISNUMBER(MATCH(BA625,L_Placeholder,0))),TRIM(AB625)&lt;&gt;"Closed")),"INVALID – corrective action not recorded/closed","")</f>
        <v/>
      </c>
      <c r="BC625" s="61" t="str">
        <f aca="false">" "&amp;TRIM(SUBSTITUTE(SUBSTITUTE(SUBSTITUTE(SUBSTITUTE(SUBSTITUTE(SUBSTITUTE(SUBSTITUTE(SUBSTITUTE(SUBSTITUTE(SUBSTITUTE(SUBSTITUTE(SUBSTITUTE(SUBSTITUTE(SUBSTITUTE(SUBSTITUTE(SUBSTITUTE(SUBSTITUTE(SUBSTITUTE(SUBSTITUTE(SUBSTITUTE(SUBSTITUTE(SUBSTITUTE(SUBSTITUTE(SUBSTITUTE(LOWER(V625&amp;""),CHAR(10)," "),CHAR(13)," "),CHAR(9)," "),CHAR(160)," "),"."," "),","," "),"-"," "),"/"," "),"("," "),")"," "),":"," "),";"," "),"_"," "),"–"," "),"?"," "),"!"," "),"*"," "),"["," "),"]"," "),"'"," "),"#"," "),"+"," "),"&amp;"," "),"\"," "))&amp;" "</f>
        <v>  </v>
      </c>
      <c r="BD625" s="61" t="str">
        <f aca="false">" "&amp;TRIM(SUBSTITUTE(SUBSTITUTE(SUBSTITUTE(SUBSTITUTE(SUBSTITUTE(SUBSTITUTE(SUBSTITUTE(SUBSTITUTE(SUBSTITUTE(SUBSTITUTE(SUBSTITUTE(SUBSTITUTE(SUBSTITUTE(SUBSTITUTE(SUBSTITUTE(SUBSTITUTE(SUBSTITUTE(SUBSTITUTE(SUBSTITUTE(SUBSTITUTE(SUBSTITUTE(SUBSTITUTE(SUBSTITUTE(SUBSTITUTE(LOWER(Z625&amp;""),CHAR(10)," "),CHAR(13)," "),CHAR(9)," "),CHAR(160)," "),"."," "),","," "),"-"," "),"/"," "),"("," "),")"," "),":"," "),";"," "),"_"," "),"–"," "),"?"," "),"!"," "),"*"," "),"["," "),"]"," "),"'"," "),"#"," "),"+"," "),"&amp;"," "),"\"," "))&amp;" "</f>
        <v>  </v>
      </c>
      <c r="BE625" s="61" t="str">
        <f aca="false">" "&amp;TRIM(SUBSTITUTE(SUBSTITUTE(SUBSTITUTE(SUBSTITUTE(SUBSTITUTE(SUBSTITUTE(SUBSTITUTE(SUBSTITUTE(SUBSTITUTE(SUBSTITUTE(SUBSTITUTE(SUBSTITUTE(SUBSTITUTE(SUBSTITUTE(SUBSTITUTE(SUBSTITUTE(SUBSTITUTE(SUBSTITUTE(SUBSTITUTE(SUBSTITUTE(SUBSTITUTE(SUBSTITUTE(SUBSTITUTE(SUBSTITUTE(LOWER(W625&amp;""),CHAR(10)," "),CHAR(13)," "),CHAR(9)," "),CHAR(160)," "),"."," "),","," "),"-"," "),"/"," "),"("," "),")"," "),":"," "),";"," "),"_"," "),"–"," "),"?"," "),"!"," "),"*"," "),"["," "),"]"," "),"'"," "),"#"," "),"+"," "),"&amp;"," "),"\"," "))&amp;" "</f>
        <v>  </v>
      </c>
      <c r="BF625" s="61" t="str">
        <f aca="false">" "&amp;TRIM(SUBSTITUTE(SUBSTITUTE(SUBSTITUTE(SUBSTITUTE(SUBSTITUTE(SUBSTITUTE(SUBSTITUTE(SUBSTITUTE(SUBSTITUTE(SUBSTITUTE(SUBSTITUTE(SUBSTITUTE(SUBSTITUTE(SUBSTITUTE(SUBSTITUTE(SUBSTITUTE(SUBSTITUTE(SUBSTITUTE(SUBSTITUTE(SUBSTITUTE(SUBSTITUTE(SUBSTITUTE(SUBSTITUTE(SUBSTITUTE(LOWER(AC625&amp;""),CHAR(10)," "),CHAR(13)," "),CHAR(9)," "),CHAR(160)," "),"."," "),","," "),"-"," "),"/"," "),"("," "),")"," "),":"," "),";"," "),"_"," "),"–"," "),"?"," "),"!"," "),"*"," "),"["," "),"]"," "),"'"," "),"#"," "),"+"," "),"&amp;"," "),"\"," "))&amp;" "</f>
        <v>  </v>
      </c>
      <c r="BG625" s="61" t="n">
        <f aca="false">IFERROR(IF(AND(TRIM(U625)="Pass",SUMPRODUCT((LEN(BC625)-LEN(SUBSTITUTE(BC625," "&amp;L_ResultBad&amp;" "," ")))/(LEN(L_ResultBad)+1))&gt;SUMPRODUCT((LEN(BC625)-LEN(SUBSTITUTE(BC625," "&amp;L_NegPhrase&amp;" "," ")))/(LEN(L_NegPhrase)+1))),1,0),0)</f>
        <v>0</v>
      </c>
      <c r="BH625" s="61" t="n">
        <f aca="false">IFERROR(IF(SUMPRODUCT((LEN(BC625)-LEN(SUBSTITUTE(BC625," "&amp;L_Pending&amp;" "," ")))/(LEN(L_Pending)+1))&gt;SUMPRODUCT((LEN(BC625)-LEN(SUBSTITUTE(BC625," "&amp;L_PendNeg&amp;" "," ")))/(LEN(L_PendNeg)+1))+SUMPRODUCT((LEN(BC625)-LEN(SUBSTITUTE(BC625," "&amp;L_PendPrep&amp;" "," ")))/(LEN(L_PendPrep)+1)),1,0),1)</f>
        <v>0</v>
      </c>
      <c r="BI625" s="61" t="n">
        <f aca="false">IFERROR(IF(SUMPRODUCT((LEN(BD625)-LEN(SUBSTITUTE(BD625," "&amp;L_PendStrict&amp;" "," ")))/(LEN(L_PendStrict)+1))&gt;SUMPRODUCT((LEN(BD625)-LEN(SUBSTITUTE(BD625," "&amp;L_PendNeg&amp;" "," ")))/(LEN(L_PendNeg)+1)),1,0),1)</f>
        <v>0</v>
      </c>
      <c r="BJ625" s="61" t="n">
        <f aca="false">IFERROR(IF(SUMPRODUCT((LEN(BE625)-LEN(SUBSTITUTE(BE625," "&amp;L_Pending&amp;" "," ")))/(LEN(L_Pending)+1))&gt;SUMPRODUCT((LEN(BE625)-LEN(SUBSTITUTE(BE625," "&amp;L_PendNeg&amp;" "," ")))/(LEN(L_PendNeg)+1))+SUMPRODUCT((LEN(BE625)-LEN(SUBSTITUTE(BE625," "&amp;L_PendPrep&amp;" "," ")))/(LEN(L_PendPrep)+1)),1,0),1)</f>
        <v>0</v>
      </c>
      <c r="BK625" s="61" t="n">
        <f aca="false">IFERROR(IF(SUMPRODUCT((LEN(BF625)-LEN(SUBSTITUTE(BF625," "&amp;L_PendStrict&amp;" "," ")))/(LEN(L_PendStrict)+1))&gt;SUMPRODUCT((LEN(BF625)-LEN(SUBSTITUTE(BF625," "&amp;L_PendNeg&amp;" "," ")))/(LEN(L_PendNeg)+1)),1,0),1)</f>
        <v>0</v>
      </c>
      <c r="BL625" s="61" t="n">
        <f aca="false">IF(ISNA(MATCH(TRIM(S625),L_EvidenceType,0)),0,BZ625)</f>
        <v>0</v>
      </c>
      <c r="BM625" s="61" t="str">
        <f aca="false">SUBSTITUTE(SUBSTITUTE(SUBSTITUTE(SUBSTITUTE(SUBSTITUTE(SUBSTITUTE(SUBSTITUTE(SUBSTITUTE(SUBSTITUTE(LOWER(Z625&amp;""),"1","0"),"2","0"),"3","0"),"4","0"),"5","0"),"6","0"),"7","0"),"8","0"),"9","0")</f>
        <v/>
      </c>
      <c r="BN625" s="61" t="str">
        <f aca="false">SUBSTITUTE(SUBSTITUTE(SUBSTITUTE(SUBSTITUTE(SUBSTITUTE(SUBSTITUTE(SUBSTITUTE(SUBSTITUTE(SUBSTITUTE(SUBSTITUTE(SUBSTITUTE(SUBSTITUTE(SUBSTITUTE(SUBSTITUTE(SUBSTITUTE(SUBSTITUTE(SUBSTITUTE(SUBSTITUTE(SUBSTITUTE(SUBSTITUTE(SUBSTITUTE(SUBSTITUTE(SUBSTITUTE(SUBSTITUTE(SUBSTITUTE(BM625,"b","a"),"c","a"),"d","a"),"e","a"),"f","a"),"g","a"),"h","a"),"i","a"),"j","a"),"k","a"),"l","a"),"m","a"),"n","a"),"o","a"),"p","a"),"q","a"),"r","a"),"s","a"),"t","a"),"u","a"),"v","a"),"w","a"),"x","a"),"y","a"),"z","a")</f>
        <v/>
      </c>
      <c r="BO625" s="61" t="str">
        <f aca="false">SUBSTITUTE(SUBSTITUTE(SUBSTITUTE(SUBSTITUTE(SUBSTITUTE(SUBSTITUTE(SUBSTITUTE(SUBSTITUTE(SUBSTITUTE(LOWER(W625&amp;""),"1","0"),"2","0"),"3","0"),"4","0"),"5","0"),"6","0"),"7","0"),"8","0"),"9","0")</f>
        <v/>
      </c>
      <c r="BP625" s="61" t="str">
        <f aca="false">SUBSTITUTE(SUBSTITUTE(SUBSTITUTE(SUBSTITUTE(SUBSTITUTE(SUBSTITUTE(SUBSTITUTE(SUBSTITUTE(SUBSTITUTE(SUBSTITUTE(SUBSTITUTE(SUBSTITUTE(SUBSTITUTE(SUBSTITUTE(SUBSTITUTE(SUBSTITUTE(SUBSTITUTE(SUBSTITUTE(SUBSTITUTE(SUBSTITUTE(SUBSTITUTE(SUBSTITUTE(SUBSTITUTE(SUBSTITUTE(SUBSTITUTE(BO625,"b","a"),"c","a"),"d","a"),"e","a"),"f","a"),"g","a"),"h","a"),"i","a"),"j","a"),"k","a"),"l","a"),"m","a"),"n","a"),"o","a"),"p","a"),"q","a"),"r","a"),"s","a"),"t","a"),"u","a"),"v","a"),"w","a"),"x","a"),"y","a"),"z","a")</f>
        <v/>
      </c>
      <c r="BQ625" s="61" t="n">
        <f aca="false">IFERROR(IF(AND(ISERROR(SEARCH(" mh"," "&amp;LOWER(W625))),ISNA(MATCH(LEFT(TRIM(BP625),255),{"0000a","000a","00a","0000aa","000aa","00aa","0aa","0000aaa","000aaa","00a00","0a00","0000-0000","00:00","a00","a0","00.00.0000","00/00/0000","00-00-0000","0000-00-00","0000/00/00","0000.00.00","00.00.00","00/00/00","00-00-00","0.00.0000","0/00/0000","0-00-0000"},0)),ISNA(MATCH(LEFT(TRIM(CA625),255),{"0000a","000a","00a","0000aa","000aa","00aa","0aa","0000aaa","000aaa","00a00","0a00","0000-0000","00:00","a00","a0","00.00.0000","00/00/0000","00-00-0000","0000-00-00","0000/00/00","0000.00.00","00.00.00","00/00/00","00-00-00","0.00.0000","0/00/0000","0-00-0000"},0)),LEN(CB625)&gt;=3,NOT(OR(SUBSTITUTE(CB625,"0","")="",AND(LEN(CB625)&gt;=4,CB625=REPT(LEFT(CB625),LEN(CB625))),ISNUMBER(MATCH(CB625,{"123","1234","12345","123456","1234567","12345678","0123","01234","012345","98765","987654","54321"},0)),AND(LEN(CB625)=8,LEFT(CB625,3)="202"))),OR(AND((LEN(CA625)-LEN(SUBSTITUTE(CA625,"a","")))&gt;=1,SUMPRODUCT(--ISNUMBER(SEARCH({"a0","a-0","a_0","a/0","a.0","a#0","0a","0-a","0_a","0/a"},BP625)))&gt;0),ISNUMBER(SEARCH("000000",BP625)))),1,0),0)</f>
        <v>0</v>
      </c>
      <c r="BR625" s="61" t="n">
        <f aca="false">IFERROR(LEN(SUBSTITUTE(CC625," ",""))-SUMPRODUCT((LEN(CC625)-LEN(SUBSTITUTE(CC625," "&amp;L_Role&amp;" "," ")))/(LEN(L_Role)+1)*LEN(L_Role)),0)</f>
        <v>0</v>
      </c>
      <c r="BS625" s="61" t="n">
        <f aca="false">IFERROR(LEN(SUBSTITUTE(CD625," ",""))-SUMPRODUCT((LEN(CD625)-LEN(SUBSTITUTE(CD625," "&amp;L_Role&amp;" "," ")))/(LEN(L_Role)+1)*LEN(L_Role)),0)</f>
        <v>0</v>
      </c>
      <c r="BT6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625,"revision",""),"version",""),"jan",""),"feb",""),"mar",""),"apr",""),"may",""),"jun",""),"jul",""),"aug",""),"sep",""),"oct",""),"nov",""),"dec",""),"utc",""),"gmt",""),"myt",""),"bst",""),"rev",""),"ver",""),"b","a"),"c","a"),"d","a"),"e","a"),"f","a"),"g","a"),"h","a"),"i","a"),"j","a"),"k","a"),"l","a"),"m","a"),"n","a"),"o","a"),"p","a"),"q","a"),"r","a"),"s","a"),"t","a"),"u","a"),"v","a"),"w","a"),"x","a"),"y","a"),"z","a")</f>
        <v/>
      </c>
      <c r="BU625" s="61" t="str">
        <f aca="false">SUBSTITUTE(SUBSTITUTE(SUBSTITUTE(SUBSTITUTE(SUBSTITUTE(SUBSTITUTE(SUBSTITUTE(SUBSTITUTE(SUBSTITUTE(SUBSTITUTE(LEFT(BM625,FIND("0",BM625&amp;"0")-1),"-",""),"_",""),"/",""),".",""),"#",""),"\\",""),":","")," ",""),"(",""),")","")</f>
        <v/>
      </c>
      <c r="BV625" s="61" t="n">
        <f aca="false">0</f>
        <v>0</v>
      </c>
      <c r="BW6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625&amp;""),"a",""),"b",""),"c",""),"d",""),"e",""),"f",""),"g",""),"h",""),"i",""),"j",""),"k",""),"l",""),"m",""),"n",""),"o",""),"p",""),"q",""),"r",""),"s",""),"t",""),"u",""),"v",""),"w",""),"x",""),"y",""),"z",""),"-",""),"_",""),"/",""),".",""),"#",""),"\\",""),":","")," ",""),"(",""),")","")</f>
        <v/>
      </c>
      <c r="BX625" s="61" t="str">
        <f aca="false">SUBSTITUTE(SUBSTITUTE(SUBSTITUTE(SUBSTITUTE(SUBSTITUTE(SUBSTITUTE(SUBSTITUTE(SUBSTITUTE(SUBSTITUTE(SUBSTITUTE(SUBSTITUTE(BM625,"0",""),"-",""),"_",""),"/",""),".",""),"#",""),"\\",""),":","")," ",""),"(",""),")","")</f>
        <v/>
      </c>
      <c r="BY625" s="62" t="n">
        <f aca="false">Q625-T7EarlyD*24/24</f>
        <v>46303.0277777778</v>
      </c>
      <c r="BZ625" s="61" t="n">
        <f aca="false">IFERROR(IF(IF(TRIM(S625)="Link / file path",AND(LEN(TRIM(Z625))&gt;=5,SUMPRODUCT(--ISNUMBER(SEARCH({"http","www.","\\",":\",".pdf",".jpg",".jpeg",".png",".heic",".xls",".doc",".msg",".eml",".ppt",".txt",".zip"},Z625)))&gt;0),AND(ISERROR(FIND(" ",TRIM(Z625))),NOT(OR(SUMPRODUCT(--ISNUMBER(FIND({",",";","&amp;","+"},Z625)))&gt;0,SUMPRODUCT(--ISNUMBER(SEARCH({"0/aa","0\\aa"},BN625)))&gt;0)),NOT(SUMPRODUCT(--ISNUMBER(SEARCH({"http","www.","\\",":\",".pdf",".jpg",".jpeg",".png",".heic",".xls",".doc",".msg",".eml",".ppt",".txt",".zip"},Z625)))&gt;0),NOT(LOWER(TRIM(Z625))=LOWER(Flights!$F$23)),ISNA(MATCH(BU625,{"mh","rev","revision","ver","version","v","r","a","b","seat","tray","row","gate","bay","stand","page","pg","item","line","no","cart","galley","flight","flt","table","box","bag","oven","etd","eta","std","sta","atd","ata","qty","pax","x","time","tel","ph","mob","day","wk","week","utc","gmt","myt","lt"},0)),NOT(OR(ISNUMBER(MATCH(LEFT(BN625,255),{"0000a","000a","00a","0000aa","000aa","00aa","0aa","0000aaa","000aaa","00a00","0a00","0000-0000","00:00","a00","a0","00.00.0000","00/00/0000","00-00-0000","0000-00-00","0000/00/00","0000.00.00","00.00.00","00/00/00","00-00-00","0.00.0000","0/00/0000","0-00-0000"},0)),ISNUMBER(MATCH(LEFT(BT625,255),{"0000a","000a","00a","0000aa","000aa","00aa","0aa","0000aaa","000aaa","00a00","0a00","0000-0000","00:00","a00","a0","00.00.0000","00/00/0000","00-00-0000","0000-00-00","0000/00/00","0000.00.00","00.00.00","00/00/00","00-00-00","0.00.0000","0/00/0000","0-00-0000"},0)))),NOT(OR(AND(BW625&lt;&gt;"",SUBSTITUTE(BW625,"0","")=""),AND(LEN(BW625)&gt;=4,BW625=REPT(LEFT(BW625),LEN(BW625))),ISNUMBER(MATCH(BW625,{"123","1234","12345","123456","1234567","12345678","0123","01234","012345","98765","987654","54321"},0)),ISNUMBER(MATCH(BX625,{"x","xx","xxx","xxxx","xxxxx","abc","abcd","nil","na","nan","test","tbc","tba","tbd","dummy","sample","example","eg","zz","zzz","none","null","xyz","qwe","asd","id","ref"},0)),AND(LEN(BW625)=8,BX625="",OR(LEFT(BW625,3)="202",ISNUMBER(MATCH(RIGHT(BW625,4),{"2025","2026","2027"},0)))))),OR(AND((LEN(BT625)-LEN(SUBSTITUTE(BT625,"a","")))&gt;=1,(LEN(BN625)-LEN(SUBSTITUTE(BN625,"0","")))&gt;=2,SUMPRODUCT(--ISNUMBER(SEARCH({"a0","a-0","a_0","a/0","a.0","a#0","0a","0-a","0_a","0/a"},BN625)))&gt;0),AND((LEN(BN625)-LEN(SUBSTITUTE(BN625,"a","")))=0,(LEN(BN625)-LEN(SUBSTITUTE(BN625,"0","")))&gt;=5)))),1,0),0)</f>
        <v>0</v>
      </c>
      <c r="CA6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625,"revision",""),"version",""),"jan",""),"feb",""),"mar",""),"apr",""),"may",""),"jun",""),"jul",""),"aug",""),"sep",""),"oct",""),"nov",""),"dec",""),"utc",""),"gmt",""),"myt",""),"bst",""),"rev",""),"ver",""),"b","a"),"c","a"),"d","a"),"e","a"),"f","a"),"g","a"),"h","a"),"i","a"),"j","a"),"k","a"),"l","a"),"m","a"),"n","a"),"o","a"),"p","a"),"q","a"),"r","a"),"s","a"),"t","a"),"u","a"),"v","a"),"w","a"),"x","a"),"y","a"),"z","a")</f>
        <v/>
      </c>
      <c r="CB6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625&amp;""),"a",""),"b",""),"c",""),"d",""),"e",""),"f",""),"g",""),"h",""),"i",""),"j",""),"k",""),"l",""),"m",""),"n",""),"o",""),"p",""),"q",""),"r",""),"s",""),"t",""),"u",""),"v",""),"w",""),"x",""),"y",""),"z",""),"-",""),"_",""),"/",""),".",""),"#",""),"\\",""),":","")," ",""),"(",""),")","")</f>
        <v/>
      </c>
      <c r="CC625" s="0" t="str">
        <f aca="false">" "&amp;TRIM(SUBSTITUTE(SUBSTITUTE(SUBSTITUTE(SUBSTITUTE(SUBSTITUTE(SUBSTITUTE(SUBSTITUTE(SUBSTITUTE(SUBSTITUTE(SUBSTITUTE(SUBSTITUTE(SUBSTITUTE(SUBSTITUTE(SUBSTITUTE(SUBSTITUTE(SUBSTITUTE(SUBSTITUTE(SUBSTITUTE(SUBSTITUTE(SUBSTITUTE(SUBSTITUTE(SUBSTITUTE(SUBSTITUTE(SUBSTITUTE(LOWER(T625&amp;""),CHAR(10)," "),CHAR(13)," "),CHAR(9)," "),CHAR(160)," "),"."," "),","," "),"-"," "),"/"," "),"("," "),")"," "),":"," "),";"," "),"_"," "),"–"," "),"?"," "),"!"," "),"*"," "),"["," "),"]"," "),"'"," "),"#"," "),"+"," "),"&amp;"," "),"\"," "))&amp;" "</f>
        <v>  </v>
      </c>
      <c r="CD625" s="0" t="str">
        <f aca="false">" "&amp;TRIM(SUBSTITUTE(SUBSTITUTE(SUBSTITUTE(SUBSTITUTE(SUBSTITUTE(SUBSTITUTE(SUBSTITUTE(SUBSTITUTE(SUBSTITUTE(SUBSTITUTE(SUBSTITUTE(SUBSTITUTE(SUBSTITUTE(SUBSTITUTE(SUBSTITUTE(SUBSTITUTE(SUBSTITUTE(SUBSTITUTE(SUBSTITUTE(SUBSTITUTE(SUBSTITUTE(SUBSTITUTE(SUBSTITUTE(SUBSTITUTE(LOWER(AE625&amp;""),CHAR(10)," "),CHAR(13)," "),CHAR(9)," "),CHAR(160)," "),"."," "),","," "),"-"," "),"/"," "),"("," "),")"," "),":"," "),";"," "),"_"," "),"–"," "),"?"," "),"!"," "),"*"," "),"["," "),"]"," "),"'"," "),"#"," "),"+"," "),"&amp;"," "),"\"," "))&amp;" "</f>
        <v>  </v>
      </c>
      <c r="CE625" s="68" t="n">
        <f aca="false">IFERROR(IF(AND(LEN(AU625)&gt;0,LEN(AU625)=LEN(AX625),OR(TRIM(MID(SUBSTITUTE(TRIM(CC625)," ",REPT(" ",60)),1,60))="",ISNUMBER(SEARCH(" "&amp;TRIM(MID(SUBSTITUTE(TRIM(CC625)," ",REPT(" ",60)),1,60))&amp;" ",CD625))),OR(TRIM(MID(SUBSTITUTE(TRIM(CC625)," ",REPT(" ",60)),61,60))="",ISNUMBER(SEARCH(" "&amp;TRIM(MID(SUBSTITUTE(TRIM(CC625)," ",REPT(" ",60)),61,60))&amp;" ",CD625))),OR(TRIM(MID(SUBSTITUTE(TRIM(CC625)," ",REPT(" ",60)),121,60))="",ISNUMBER(SEARCH(" "&amp;TRIM(MID(SUBSTITUTE(TRIM(CC625)," ",REPT(" ",60)),121,60))&amp;" ",CD625)))),1,0),0)</f>
        <v>0</v>
      </c>
      <c r="CG625" s="68" t="n">
        <f aca="false">IFERROR(LEN(SUBSTITUTE(BF625," ",""))-SUMPRODUCT((LEN(BF625)-LEN(SUBSTITUTE(BF625," "&amp;L_NAFiller&amp;" "," ")))/(LEN(L_NAFiller)+1)*LEN(L_NAFiller)),0)</f>
        <v>0</v>
      </c>
    </row>
    <row r="626" customFormat="false" ht="39.75" hidden="false" customHeight="true" outlineLevel="0" collapsed="false">
      <c r="A626" s="57" t="s">
        <v>1336</v>
      </c>
      <c r="B626" s="57" t="s">
        <v>301</v>
      </c>
      <c r="C626" s="57" t="str">
        <f aca="false">Flights!$F$23</f>
        <v>MH0053</v>
      </c>
      <c r="D626" s="58" t="n">
        <f aca="false">Flights!$D$23</f>
        <v>46324</v>
      </c>
      <c r="E626" s="57" t="str">
        <f aca="false">Flights!$G$23&amp;"-"&amp;Flights!$H$23</f>
        <v>KIX-KUL</v>
      </c>
      <c r="F626" s="57" t="str">
        <f aca="false">Flights!$K$23</f>
        <v>EY</v>
      </c>
      <c r="G626" s="57" t="s">
        <v>81</v>
      </c>
      <c r="H626" s="57" t="s">
        <v>378</v>
      </c>
      <c r="I626" s="57" t="s">
        <v>405</v>
      </c>
      <c r="J626" s="57" t="s">
        <v>409</v>
      </c>
      <c r="K626" s="67" t="s">
        <v>407</v>
      </c>
      <c r="L626" s="67" t="s">
        <v>382</v>
      </c>
      <c r="M626" s="67"/>
      <c r="N626" s="67" t="s">
        <v>383</v>
      </c>
      <c r="O626" s="67"/>
      <c r="P626" s="57" t="s">
        <v>295</v>
      </c>
      <c r="Q626" s="59" t="n">
        <f aca="false">ROUND((Flights!$AC$23)*1440,0)/1440</f>
        <v>46317.0277777778</v>
      </c>
      <c r="R626" s="59" t="n">
        <f aca="false">Q626+(IF(AND(INDEX(TZ_DSTS,MATCH(P626,TZ_STN,0))&lt;&gt;"",Q626&gt;=INDEX(TZ_DSTS,MATCH(P626,TZ_STN,0)),Q626&lt;INDEX(TZ_DSTE,MATCH(P626,TZ_STN,0))),INDEX(TZ_DST,MATCH(P626,TZ_STN,0)),INDEX(TZ_STD,MATCH(P626,TZ_STN,0))))/24</f>
        <v>46317.4027777778</v>
      </c>
      <c r="S626" s="60"/>
      <c r="T626" s="60"/>
      <c r="U626" s="60"/>
      <c r="V626" s="60"/>
      <c r="W626" s="61"/>
      <c r="X626" s="60"/>
      <c r="Y626" s="60"/>
      <c r="Z626" s="60"/>
      <c r="AA626" s="60"/>
      <c r="AB626" s="60"/>
      <c r="AC626" s="60"/>
      <c r="AD626" s="66"/>
      <c r="AE626" s="60"/>
      <c r="AF626" s="61" t="str">
        <f aca="false">IF(AND(ISNUMBER(X626),ISNUMBER(Y626)),Y626-X626,"")</f>
        <v/>
      </c>
      <c r="AG626" s="62" t="str">
        <f aca="false">IF(ISNUMBER(AD626),AD626-(IF(AND(INDEX(TZ_DSTS,MATCH(P626,TZ_STN,0))&lt;&gt;"",(AD626-INDEX(TZ_STD,MATCH(P626,TZ_STN,0))/24)&gt;=INDEX(TZ_DSTS,MATCH(P626,TZ_STN,0)),(AD626-INDEX(TZ_STD,MATCH(P626,TZ_STN,0))/24)&lt;INDEX(TZ_DSTE,MATCH(P626,TZ_STN,0))),INDEX(TZ_DST,MATCH(P626,TZ_STN,0)),INDEX(TZ_STD,MATCH(P626,TZ_STN,0))))/24,"")</f>
        <v/>
      </c>
      <c r="AH626" s="65" t="str">
        <f aca="false">IFERROR(IF(N626="N/A – rule",IF(OR(TRIM(U626)="",TRIM(U626)="N/A",TRIM(U626)="Not started"),"N/A – RULE","INVALID – this check does not apply to this aircraft: clear the status (or correct the fleet on Flights)"),IF(TRIM(U626)="N/A",IF(AT626=0,"INVALID – N/A not permitted for this check",IF(AND(TRIM(AB626)&lt;&gt;"",TRIM(AB626)&lt;&gt;"Closed"),"INVALID – corrective action still open",IF(AND(NOT(OR(LEN(AZ626)&lt;15,ISNUMBER(MATCH(AZ626,L_Placeholder,0)))),BK626=0,CG626&gt;=8,NOT(OR(LEN(AU626)&lt;2,ISNUMBER(MATCH(AU626,L_Placeholder,0)))),BR626&gt;=3,NOT(OR(LEN(AX626)&lt;2,ISNUMBER(MATCH(AX626,L_Placeholder,0)))),BS626&gt;=3,TRIM(AE626)&lt;&gt;TRIM(T626),AX626&lt;&gt;AU626,CE626=0),"N/A – JUSTIFIED","INVALID – N/A needs a real, settled reason (not 'not applicable' / 'as above' / TBC), a named PIC and a different named verifier"))),IF(OR(TRIM(U626)="Pass",TRIM(U626)="Pass after CA"),IF(NOT(ISNUMBER(AD626)),"INVALID – completion time missing",IF(OR(OR(LEN(AU626)&lt;2,ISNUMBER(MATCH(AU626,L_Placeholder,0))),BR626&lt;3),"INVALID – PIC missing or not a named person (a role such as QA / CSM is not a name)",IF(OR(LEN(AV626)&lt;2,ISNUMBER(MATCH(AV626,L_Placeholder,0))),"INVALID – result / assessment missing",IF(OR(OR(LEN(AW626)&lt;3,ISNUMBER(MATCH(AW626,L_Placeholder,0))),SUMPRODUCT(--ISNUMBER(SEARCH(" "&amp;L_EvidencePhrase&amp;" ",BD626)))&gt;0,BI626=1),"INVALID – evidence missing, placeholder or not yet on file",IF(ISNA(MATCH(TRIM(S626),L_EvidenceType,0)),"INVALID – choose the evidence type from the list (column S)",IF(BL626=0,"INVALID – evidence ID must be the record's own ID only (e.g. SF-2210, IMG_2231, 1045521); a link / file name needs type 'Link / file path'",IF(OR(OR(LEN(AX626)&lt;2,ISNUMBER(MATCH(AX626,L_Placeholder,0))),BS626&lt;3),"INVALID – verifier missing or not a named person (a role such as QA / CSM is not a name)",IF(OR(AX626=AU626,CE626=1,AND(LEN(AU626)&gt;=4,ISNUMBER(SEARCH(AU626,AX626))),AND(LEN(AX626)&gt;=4,ISNUMBER(SEARCH(AX626,AU626)))),"INVALID – verifier must be a different, named person (not the PIC or a role)",IF(BH626=1,"INVALID – result not yet available (awaiting / TBC)",IF(BG626=1,"INVALID – result describes a problem: record Fail, then Pass after CA (or reword if it is not a problem)",IF(BV626=1,"INVALID – wording says not on board: an on-board confirmation needs the item loaded",IF(AND(AQ626=1,OR(OR(LEN(AY626)&lt;3,ISNUMBER(MATCH(AY626,L_Placeholder,0))),BJ626=1,BQ626=0)),"INVALID – batch ID missing, placeholder or not an ID (e.g. PASB-261008-BC-017)",IF(AND(AR626=1,OR(NOT(ISNUMBER(X626)),NOT(ISNUMBER(Y626)))),"INVALID – expected/actual qty missing",IF(AND(AR626=1,OR(X626&lt;=0,Y626&lt;0)),"INVALID – expected qty must be above 0 and actual not negative",IF(BB626&lt;&gt;"",BB626,IF(AND(AS626=1,Documents!$J$23&lt;&gt;"ON FILE"),"INVALID – GLD not on file (Documents sheet)",IF(AND(AS626=2,Documents!$O$23&lt;&gt;"ON FILE"),"INVALID – menu checklist not on file (Documents sheet)",IF(AND(AS626=3,NOT(ISNUMBER(Flights!$AX$23))),"INVALID – enter carrying flight KUL departure (Flights AX)",IF(AND(AS626=3,OR(Flights!$AZ$23&gt;Flights!$AA$23,Flights!$AX$23&lt;Flights!$AA$23-3)),"INVALID – carrying flight (Flights AX) cannot arrive before this leg's STD, or is over 3 days early",IF(AG626&gt;AsOfUTC,"INVALID – completion time is in the future",IF(AND(ISNUMBER(BY626),AG626&lt;BY626),IF(H626="Physical uplift","INVALID – before uplift window (cannot confirm loading)","INVALID – before valid window"),IF(AG626&gt;Flights!$AA$23,"INVALID – completed after departure (cannot establish readiness)",IF(AND(H626="Preparation",AG626&gt;=IF(ISNUMBER(Flights!$BA$23),MIN(Flights!$BA$23,Flights!$AA$23),Flights!$AA$23)),"INVALID – completed after loading / departure (cannot establish readiness)",IF(AND(H626="Physical uplift",AG626&gt;Q626),"INVALID – recorded after the loading flight departed",IF(AG626&gt;Q626,"COMPLETE – LATE","COMPLETE"))))))))))))))))))))))))),IF(TRIM(U626)="Fail","FAIL – DISCREPANCY",IF(AND(TRIM(U626)&lt;&gt;"",TRIM(U626)&lt;&gt;"Not started",TRIM(U626)&lt;&gt;"In progress"),"INVALID – unrecognised status (use the list)",IF(AsOfUTC&gt;Q626,"OVERDUE",IF(N626="Clarification required","OPEN – CLARIFICATION","OPEN"))))))),"INVALID – error value in an input cell")</f>
        <v>OPEN</v>
      </c>
      <c r="AI626" s="61" t="n">
        <f aca="false">IF(OR(AH626="N/A – RULE",AH626="N/A – JUSTIFIED"),0,1)</f>
        <v>1</v>
      </c>
      <c r="AJ626" s="61" t="n">
        <f aca="false">IF(LEFT(AH626,8)="COMPLETE",1,0)</f>
        <v>0</v>
      </c>
      <c r="AK626" s="61" t="n">
        <f aca="false">IF(AND(AI626=1,AJ626=0,AsOfUTC&gt;Q626),1,0)</f>
        <v>0</v>
      </c>
      <c r="AL626" s="61" t="n">
        <f aca="false">IFERROR(IF(AND(AI626=1,OR(TRIM(U626)="Fail",AND(TRIM(AB626)&lt;&gt;"",TRIM(AB626)&lt;&gt;"Closed"),AND(ISNUMBER(AF626),AF626&lt;&gt;0,TRIM(U626)&lt;&gt;"Pass after CA"))),1,0),1)</f>
        <v>0</v>
      </c>
      <c r="AM626" s="61" t="n">
        <f aca="false">IF(LEFT(AH626,7)="INVALID",1,0)</f>
        <v>0</v>
      </c>
      <c r="AN626" s="61" t="n">
        <f aca="false">IF(AND(N626="Clarification required",AI626=1,AJ626=0),1,0)</f>
        <v>0</v>
      </c>
      <c r="AO626" s="61" t="str">
        <f aca="false">IF(AK626=1,SUM(AK$5:AK626),"")</f>
        <v/>
      </c>
      <c r="AP626" s="61" t="str">
        <f aca="false">IF(AL626=1,SUM(AL$5:AL626),"")</f>
        <v/>
      </c>
      <c r="AQ626" s="61" t="n">
        <v>0</v>
      </c>
      <c r="AR626" s="61" t="n">
        <v>0</v>
      </c>
      <c r="AS626" s="61" t="n">
        <v>2</v>
      </c>
      <c r="AT626" s="61" t="n">
        <v>0</v>
      </c>
      <c r="AU626" s="61" t="str">
        <f aca="false">SUBSTITUTE(SUBSTITUTE(SUBSTITUTE(SUBSTITUTE(SUBSTITUTE(SUBSTITUTE(SUBSTITUTE(SUBSTITUTE(SUBSTITUTE(SUBSTITUTE(SUBSTITUTE(SUBSTITUTE(SUBSTITUTE(SUBSTITUTE(SUBSTITUTE(SUBSTITUTE(LOWER(T626&amp;""),CHAR(10),""),CHAR(13),""),CHAR(9),""),CHAR(160),"")," ",""),".",""),"-",""),"/",""),"?",""),"_",""),",",""),"[",""),"]",""),"(",""),")",""),"*","")</f>
        <v/>
      </c>
      <c r="AV626" s="61" t="str">
        <f aca="false">SUBSTITUTE(SUBSTITUTE(SUBSTITUTE(SUBSTITUTE(SUBSTITUTE(SUBSTITUTE(SUBSTITUTE(SUBSTITUTE(SUBSTITUTE(SUBSTITUTE(SUBSTITUTE(SUBSTITUTE(SUBSTITUTE(SUBSTITUTE(SUBSTITUTE(SUBSTITUTE(LOWER(V626&amp;""),CHAR(10),""),CHAR(13),""),CHAR(9),""),CHAR(160),"")," ",""),".",""),"-",""),"/",""),"?",""),"_",""),",",""),"[",""),"]",""),"(",""),")",""),"*","")</f>
        <v/>
      </c>
      <c r="AW626" s="61" t="str">
        <f aca="false">SUBSTITUTE(SUBSTITUTE(SUBSTITUTE(SUBSTITUTE(SUBSTITUTE(SUBSTITUTE(SUBSTITUTE(SUBSTITUTE(SUBSTITUTE(SUBSTITUTE(SUBSTITUTE(SUBSTITUTE(SUBSTITUTE(SUBSTITUTE(SUBSTITUTE(SUBSTITUTE(LOWER(Z626&amp;""),CHAR(10),""),CHAR(13),""),CHAR(9),""),CHAR(160),"")," ",""),".",""),"-",""),"/",""),"?",""),"_",""),",",""),"[",""),"]",""),"(",""),")",""),"*","")</f>
        <v/>
      </c>
      <c r="AX626" s="61" t="str">
        <f aca="false">SUBSTITUTE(SUBSTITUTE(SUBSTITUTE(SUBSTITUTE(SUBSTITUTE(SUBSTITUTE(SUBSTITUTE(SUBSTITUTE(SUBSTITUTE(SUBSTITUTE(SUBSTITUTE(SUBSTITUTE(SUBSTITUTE(SUBSTITUTE(SUBSTITUTE(SUBSTITUTE(LOWER(AE626&amp;""),CHAR(10),""),CHAR(13),""),CHAR(9),""),CHAR(160),"")," ",""),".",""),"-",""),"/",""),"?",""),"_",""),",",""),"[",""),"]",""),"(",""),")",""),"*","")</f>
        <v/>
      </c>
      <c r="AY626" s="61" t="str">
        <f aca="false">SUBSTITUTE(SUBSTITUTE(SUBSTITUTE(SUBSTITUTE(SUBSTITUTE(SUBSTITUTE(SUBSTITUTE(SUBSTITUTE(SUBSTITUTE(SUBSTITUTE(SUBSTITUTE(SUBSTITUTE(SUBSTITUTE(SUBSTITUTE(SUBSTITUTE(SUBSTITUTE(LOWER(W626&amp;""),CHAR(10),""),CHAR(13),""),CHAR(9),""),CHAR(160),"")," ",""),".",""),"-",""),"/",""),"?",""),"_",""),",",""),"[",""),"]",""),"(",""),")",""),"*","")</f>
        <v/>
      </c>
      <c r="AZ626" s="61" t="str">
        <f aca="false">SUBSTITUTE(SUBSTITUTE(SUBSTITUTE(SUBSTITUTE(SUBSTITUTE(SUBSTITUTE(SUBSTITUTE(SUBSTITUTE(SUBSTITUTE(SUBSTITUTE(SUBSTITUTE(SUBSTITUTE(SUBSTITUTE(SUBSTITUTE(SUBSTITUTE(SUBSTITUTE(LOWER(AC626&amp;""),CHAR(10),""),CHAR(13),""),CHAR(9),""),CHAR(160),"")," ",""),".",""),"-",""),"/",""),"?",""),"_",""),",",""),"[",""),"]",""),"(",""),")",""),"*","")</f>
        <v/>
      </c>
      <c r="BA626" s="61" t="str">
        <f aca="false">SUBSTITUTE(SUBSTITUTE(SUBSTITUTE(SUBSTITUTE(SUBSTITUTE(SUBSTITUTE(SUBSTITUTE(SUBSTITUTE(SUBSTITUTE(SUBSTITUTE(SUBSTITUTE(SUBSTITUTE(SUBSTITUTE(SUBSTITUTE(SUBSTITUTE(SUBSTITUTE(LOWER(AA626&amp;""),CHAR(10),""),CHAR(13),""),CHAR(9),""),CHAR(160),"")," ",""),".",""),"-",""),"/",""),"?",""),"_",""),",",""),"[",""),"]",""),"(",""),")",""),"*","")</f>
        <v/>
      </c>
      <c r="BB626" s="61" t="str">
        <f aca="false">IF(AND(TRIM(U626)="Pass",ISNUMBER(AF626)),IF(AF626&lt;&gt;0,"INVALID – qty variance: use Fail or Pass after CA",""),"")&amp;IF(AND(TRIM(U626)="Pass after CA",ISNUMBER(AF626)),IF(AF626&lt;&gt;0,"INVALID – after the corrective action the actual qty must equal expected (update Actual)",""),"")&amp;IF(AND(TRIM(U626)="Pass",TRIM(AB626)&lt;&gt;"",TRIM(AB626)&lt;&gt;"Closed"),"INVALID – corrective action not closed: use Fail, then Pass after CA","")&amp;IF(AND(LEN(BA626)&gt;=2,ISNA(MATCH(LEFT(BA626,255),L_Placeholder,0)),TRIM(AB626)=""),"INVALID – CA status missing for the recorded corrective action","")&amp;IF(AND(TRIM(U626)="Pass after CA",OR(OR(LEN(BA626)&lt;5,ISNUMBER(MATCH(BA626,L_Placeholder,0))),TRIM(AB626)&lt;&gt;"Closed")),"INVALID – corrective action not recorded/closed","")</f>
        <v/>
      </c>
      <c r="BC626" s="61" t="str">
        <f aca="false">" "&amp;TRIM(SUBSTITUTE(SUBSTITUTE(SUBSTITUTE(SUBSTITUTE(SUBSTITUTE(SUBSTITUTE(SUBSTITUTE(SUBSTITUTE(SUBSTITUTE(SUBSTITUTE(SUBSTITUTE(SUBSTITUTE(SUBSTITUTE(SUBSTITUTE(SUBSTITUTE(SUBSTITUTE(SUBSTITUTE(SUBSTITUTE(SUBSTITUTE(SUBSTITUTE(SUBSTITUTE(SUBSTITUTE(SUBSTITUTE(SUBSTITUTE(LOWER(V626&amp;""),CHAR(10)," "),CHAR(13)," "),CHAR(9)," "),CHAR(160)," "),"."," "),","," "),"-"," "),"/"," "),"("," "),")"," "),":"," "),";"," "),"_"," "),"–"," "),"?"," "),"!"," "),"*"," "),"["," "),"]"," "),"'"," "),"#"," "),"+"," "),"&amp;"," "),"\"," "))&amp;" "</f>
        <v>  </v>
      </c>
      <c r="BD626" s="61" t="str">
        <f aca="false">" "&amp;TRIM(SUBSTITUTE(SUBSTITUTE(SUBSTITUTE(SUBSTITUTE(SUBSTITUTE(SUBSTITUTE(SUBSTITUTE(SUBSTITUTE(SUBSTITUTE(SUBSTITUTE(SUBSTITUTE(SUBSTITUTE(SUBSTITUTE(SUBSTITUTE(SUBSTITUTE(SUBSTITUTE(SUBSTITUTE(SUBSTITUTE(SUBSTITUTE(SUBSTITUTE(SUBSTITUTE(SUBSTITUTE(SUBSTITUTE(SUBSTITUTE(LOWER(Z626&amp;""),CHAR(10)," "),CHAR(13)," "),CHAR(9)," "),CHAR(160)," "),"."," "),","," "),"-"," "),"/"," "),"("," "),")"," "),":"," "),";"," "),"_"," "),"–"," "),"?"," "),"!"," "),"*"," "),"["," "),"]"," "),"'"," "),"#"," "),"+"," "),"&amp;"," "),"\"," "))&amp;" "</f>
        <v>  </v>
      </c>
      <c r="BE626" s="61" t="str">
        <f aca="false">" "&amp;TRIM(SUBSTITUTE(SUBSTITUTE(SUBSTITUTE(SUBSTITUTE(SUBSTITUTE(SUBSTITUTE(SUBSTITUTE(SUBSTITUTE(SUBSTITUTE(SUBSTITUTE(SUBSTITUTE(SUBSTITUTE(SUBSTITUTE(SUBSTITUTE(SUBSTITUTE(SUBSTITUTE(SUBSTITUTE(SUBSTITUTE(SUBSTITUTE(SUBSTITUTE(SUBSTITUTE(SUBSTITUTE(SUBSTITUTE(SUBSTITUTE(LOWER(W626&amp;""),CHAR(10)," "),CHAR(13)," "),CHAR(9)," "),CHAR(160)," "),"."," "),","," "),"-"," "),"/"," "),"("," "),")"," "),":"," "),";"," "),"_"," "),"–"," "),"?"," "),"!"," "),"*"," "),"["," "),"]"," "),"'"," "),"#"," "),"+"," "),"&amp;"," "),"\"," "))&amp;" "</f>
        <v>  </v>
      </c>
      <c r="BF626" s="61" t="str">
        <f aca="false">" "&amp;TRIM(SUBSTITUTE(SUBSTITUTE(SUBSTITUTE(SUBSTITUTE(SUBSTITUTE(SUBSTITUTE(SUBSTITUTE(SUBSTITUTE(SUBSTITUTE(SUBSTITUTE(SUBSTITUTE(SUBSTITUTE(SUBSTITUTE(SUBSTITUTE(SUBSTITUTE(SUBSTITUTE(SUBSTITUTE(SUBSTITUTE(SUBSTITUTE(SUBSTITUTE(SUBSTITUTE(SUBSTITUTE(SUBSTITUTE(SUBSTITUTE(LOWER(AC626&amp;""),CHAR(10)," "),CHAR(13)," "),CHAR(9)," "),CHAR(160)," "),"."," "),","," "),"-"," "),"/"," "),"("," "),")"," "),":"," "),";"," "),"_"," "),"–"," "),"?"," "),"!"," "),"*"," "),"["," "),"]"," "),"'"," "),"#"," "),"+"," "),"&amp;"," "),"\"," "))&amp;" "</f>
        <v>  </v>
      </c>
      <c r="BG626" s="61" t="n">
        <f aca="false">IFERROR(IF(AND(TRIM(U626)="Pass",SUMPRODUCT((LEN(BC626)-LEN(SUBSTITUTE(BC626," "&amp;L_ResultBad&amp;" "," ")))/(LEN(L_ResultBad)+1))&gt;SUMPRODUCT((LEN(BC626)-LEN(SUBSTITUTE(BC626," "&amp;L_NegPhrase&amp;" "," ")))/(LEN(L_NegPhrase)+1))),1,0),0)</f>
        <v>0</v>
      </c>
      <c r="BH626" s="61" t="n">
        <f aca="false">IFERROR(IF(SUMPRODUCT((LEN(BC626)-LEN(SUBSTITUTE(BC626," "&amp;L_Pending&amp;" "," ")))/(LEN(L_Pending)+1))&gt;SUMPRODUCT((LEN(BC626)-LEN(SUBSTITUTE(BC626," "&amp;L_PendNeg&amp;" "," ")))/(LEN(L_PendNeg)+1))+SUMPRODUCT((LEN(BC626)-LEN(SUBSTITUTE(BC626," "&amp;L_PendPrep&amp;" "," ")))/(LEN(L_PendPrep)+1)),1,0),1)</f>
        <v>0</v>
      </c>
      <c r="BI626" s="61" t="n">
        <f aca="false">IFERROR(IF(SUMPRODUCT((LEN(BD626)-LEN(SUBSTITUTE(BD626," "&amp;L_PendStrict&amp;" "," ")))/(LEN(L_PendStrict)+1))&gt;SUMPRODUCT((LEN(BD626)-LEN(SUBSTITUTE(BD626," "&amp;L_PendNeg&amp;" "," ")))/(LEN(L_PendNeg)+1)),1,0),1)</f>
        <v>0</v>
      </c>
      <c r="BJ626" s="61" t="n">
        <f aca="false">IFERROR(IF(SUMPRODUCT((LEN(BE626)-LEN(SUBSTITUTE(BE626," "&amp;L_Pending&amp;" "," ")))/(LEN(L_Pending)+1))&gt;SUMPRODUCT((LEN(BE626)-LEN(SUBSTITUTE(BE626," "&amp;L_PendNeg&amp;" "," ")))/(LEN(L_PendNeg)+1))+SUMPRODUCT((LEN(BE626)-LEN(SUBSTITUTE(BE626," "&amp;L_PendPrep&amp;" "," ")))/(LEN(L_PendPrep)+1)),1,0),1)</f>
        <v>0</v>
      </c>
      <c r="BK626" s="61" t="n">
        <f aca="false">IFERROR(IF(SUMPRODUCT((LEN(BF626)-LEN(SUBSTITUTE(BF626," "&amp;L_PendStrict&amp;" "," ")))/(LEN(L_PendStrict)+1))&gt;SUMPRODUCT((LEN(BF626)-LEN(SUBSTITUTE(BF626," "&amp;L_PendNeg&amp;" "," ")))/(LEN(L_PendNeg)+1)),1,0),1)</f>
        <v>0</v>
      </c>
      <c r="BL626" s="61" t="n">
        <f aca="false">IF(ISNA(MATCH(TRIM(S626),L_EvidenceType,0)),0,BZ626)</f>
        <v>0</v>
      </c>
      <c r="BM626" s="61" t="str">
        <f aca="false">SUBSTITUTE(SUBSTITUTE(SUBSTITUTE(SUBSTITUTE(SUBSTITUTE(SUBSTITUTE(SUBSTITUTE(SUBSTITUTE(SUBSTITUTE(LOWER(Z626&amp;""),"1","0"),"2","0"),"3","0"),"4","0"),"5","0"),"6","0"),"7","0"),"8","0"),"9","0")</f>
        <v/>
      </c>
      <c r="BN626" s="61" t="str">
        <f aca="false">SUBSTITUTE(SUBSTITUTE(SUBSTITUTE(SUBSTITUTE(SUBSTITUTE(SUBSTITUTE(SUBSTITUTE(SUBSTITUTE(SUBSTITUTE(SUBSTITUTE(SUBSTITUTE(SUBSTITUTE(SUBSTITUTE(SUBSTITUTE(SUBSTITUTE(SUBSTITUTE(SUBSTITUTE(SUBSTITUTE(SUBSTITUTE(SUBSTITUTE(SUBSTITUTE(SUBSTITUTE(SUBSTITUTE(SUBSTITUTE(SUBSTITUTE(BM626,"b","a"),"c","a"),"d","a"),"e","a"),"f","a"),"g","a"),"h","a"),"i","a"),"j","a"),"k","a"),"l","a"),"m","a"),"n","a"),"o","a"),"p","a"),"q","a"),"r","a"),"s","a"),"t","a"),"u","a"),"v","a"),"w","a"),"x","a"),"y","a"),"z","a")</f>
        <v/>
      </c>
      <c r="BO626" s="61" t="str">
        <f aca="false">SUBSTITUTE(SUBSTITUTE(SUBSTITUTE(SUBSTITUTE(SUBSTITUTE(SUBSTITUTE(SUBSTITUTE(SUBSTITUTE(SUBSTITUTE(LOWER(W626&amp;""),"1","0"),"2","0"),"3","0"),"4","0"),"5","0"),"6","0"),"7","0"),"8","0"),"9","0")</f>
        <v/>
      </c>
      <c r="BP626" s="61" t="str">
        <f aca="false">SUBSTITUTE(SUBSTITUTE(SUBSTITUTE(SUBSTITUTE(SUBSTITUTE(SUBSTITUTE(SUBSTITUTE(SUBSTITUTE(SUBSTITUTE(SUBSTITUTE(SUBSTITUTE(SUBSTITUTE(SUBSTITUTE(SUBSTITUTE(SUBSTITUTE(SUBSTITUTE(SUBSTITUTE(SUBSTITUTE(SUBSTITUTE(SUBSTITUTE(SUBSTITUTE(SUBSTITUTE(SUBSTITUTE(SUBSTITUTE(SUBSTITUTE(BO626,"b","a"),"c","a"),"d","a"),"e","a"),"f","a"),"g","a"),"h","a"),"i","a"),"j","a"),"k","a"),"l","a"),"m","a"),"n","a"),"o","a"),"p","a"),"q","a"),"r","a"),"s","a"),"t","a"),"u","a"),"v","a"),"w","a"),"x","a"),"y","a"),"z","a")</f>
        <v/>
      </c>
      <c r="BQ626" s="61" t="n">
        <f aca="false">IFERROR(IF(AND(ISERROR(SEARCH(" mh"," "&amp;LOWER(W626))),ISNA(MATCH(LEFT(TRIM(BP626),255),{"0000a","000a","00a","0000aa","000aa","00aa","0aa","0000aaa","000aaa","00a00","0a00","0000-0000","00:00","a00","a0","00.00.0000","00/00/0000","00-00-0000","0000-00-00","0000/00/00","0000.00.00","00.00.00","00/00/00","00-00-00","0.00.0000","0/00/0000","0-00-0000"},0)),ISNA(MATCH(LEFT(TRIM(CA626),255),{"0000a","000a","00a","0000aa","000aa","00aa","0aa","0000aaa","000aaa","00a00","0a00","0000-0000","00:00","a00","a0","00.00.0000","00/00/0000","00-00-0000","0000-00-00","0000/00/00","0000.00.00","00.00.00","00/00/00","00-00-00","0.00.0000","0/00/0000","0-00-0000"},0)),LEN(CB626)&gt;=3,NOT(OR(SUBSTITUTE(CB626,"0","")="",AND(LEN(CB626)&gt;=4,CB626=REPT(LEFT(CB626),LEN(CB626))),ISNUMBER(MATCH(CB626,{"123","1234","12345","123456","1234567","12345678","0123","01234","012345","98765","987654","54321"},0)),AND(LEN(CB626)=8,LEFT(CB626,3)="202"))),OR(AND((LEN(CA626)-LEN(SUBSTITUTE(CA626,"a","")))&gt;=1,SUMPRODUCT(--ISNUMBER(SEARCH({"a0","a-0","a_0","a/0","a.0","a#0","0a","0-a","0_a","0/a"},BP626)))&gt;0),ISNUMBER(SEARCH("000000",BP626)))),1,0),0)</f>
        <v>0</v>
      </c>
      <c r="BR626" s="61" t="n">
        <f aca="false">IFERROR(LEN(SUBSTITUTE(CC626," ",""))-SUMPRODUCT((LEN(CC626)-LEN(SUBSTITUTE(CC626," "&amp;L_Role&amp;" "," ")))/(LEN(L_Role)+1)*LEN(L_Role)),0)</f>
        <v>0</v>
      </c>
      <c r="BS626" s="61" t="n">
        <f aca="false">IFERROR(LEN(SUBSTITUTE(CD626," ",""))-SUMPRODUCT((LEN(CD626)-LEN(SUBSTITUTE(CD626," "&amp;L_Role&amp;" "," ")))/(LEN(L_Role)+1)*LEN(L_Role)),0)</f>
        <v>0</v>
      </c>
      <c r="BT6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626,"revision",""),"version",""),"jan",""),"feb",""),"mar",""),"apr",""),"may",""),"jun",""),"jul",""),"aug",""),"sep",""),"oct",""),"nov",""),"dec",""),"utc",""),"gmt",""),"myt",""),"bst",""),"rev",""),"ver",""),"b","a"),"c","a"),"d","a"),"e","a"),"f","a"),"g","a"),"h","a"),"i","a"),"j","a"),"k","a"),"l","a"),"m","a"),"n","a"),"o","a"),"p","a"),"q","a"),"r","a"),"s","a"),"t","a"),"u","a"),"v","a"),"w","a"),"x","a"),"y","a"),"z","a")</f>
        <v/>
      </c>
      <c r="BU626" s="61" t="str">
        <f aca="false">SUBSTITUTE(SUBSTITUTE(SUBSTITUTE(SUBSTITUTE(SUBSTITUTE(SUBSTITUTE(SUBSTITUTE(SUBSTITUTE(SUBSTITUTE(SUBSTITUTE(LEFT(BM626,FIND("0",BM626&amp;"0")-1),"-",""),"_",""),"/",""),".",""),"#",""),"\\",""),":","")," ",""),"(",""),")","")</f>
        <v/>
      </c>
      <c r="BV626" s="61" t="n">
        <f aca="false">0</f>
        <v>0</v>
      </c>
      <c r="BW6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626&amp;""),"a",""),"b",""),"c",""),"d",""),"e",""),"f",""),"g",""),"h",""),"i",""),"j",""),"k",""),"l",""),"m",""),"n",""),"o",""),"p",""),"q",""),"r",""),"s",""),"t",""),"u",""),"v",""),"w",""),"x",""),"y",""),"z",""),"-",""),"_",""),"/",""),".",""),"#",""),"\\",""),":","")," ",""),"(",""),")","")</f>
        <v/>
      </c>
      <c r="BX626" s="61" t="str">
        <f aca="false">SUBSTITUTE(SUBSTITUTE(SUBSTITUTE(SUBSTITUTE(SUBSTITUTE(SUBSTITUTE(SUBSTITUTE(SUBSTITUTE(SUBSTITUTE(SUBSTITUTE(SUBSTITUTE(BM626,"0",""),"-",""),"_",""),"/",""),".",""),"#",""),"\\",""),":","")," ",""),"(",""),")","")</f>
        <v/>
      </c>
      <c r="BY626" s="62" t="n">
        <f aca="false">Q626-T7EarlyD*24/24</f>
        <v>46303.0277777778</v>
      </c>
      <c r="BZ626" s="61" t="n">
        <f aca="false">IFERROR(IF(IF(TRIM(S626)="Link / file path",AND(LEN(TRIM(Z626))&gt;=5,SUMPRODUCT(--ISNUMBER(SEARCH({"http","www.","\\",":\",".pdf",".jpg",".jpeg",".png",".heic",".xls",".doc",".msg",".eml",".ppt",".txt",".zip"},Z626)))&gt;0),AND(ISERROR(FIND(" ",TRIM(Z626))),NOT(OR(SUMPRODUCT(--ISNUMBER(FIND({",",";","&amp;","+"},Z626)))&gt;0,SUMPRODUCT(--ISNUMBER(SEARCH({"0/aa","0\\aa"},BN626)))&gt;0)),NOT(SUMPRODUCT(--ISNUMBER(SEARCH({"http","www.","\\",":\",".pdf",".jpg",".jpeg",".png",".heic",".xls",".doc",".msg",".eml",".ppt",".txt",".zip"},Z626)))&gt;0),NOT(LOWER(TRIM(Z626))=LOWER(Flights!$F$23)),ISNA(MATCH(BU626,{"mh","rev","revision","ver","version","v","r","a","b","seat","tray","row","gate","bay","stand","page","pg","item","line","no","cart","galley","flight","flt","table","box","bag","oven","etd","eta","std","sta","atd","ata","qty","pax","x","time","tel","ph","mob","day","wk","week","utc","gmt","myt","lt"},0)),NOT(OR(ISNUMBER(MATCH(LEFT(BN626,255),{"0000a","000a","00a","0000aa","000aa","00aa","0aa","0000aaa","000aaa","00a00","0a00","0000-0000","00:00","a00","a0","00.00.0000","00/00/0000","00-00-0000","0000-00-00","0000/00/00","0000.00.00","00.00.00","00/00/00","00-00-00","0.00.0000","0/00/0000","0-00-0000"},0)),ISNUMBER(MATCH(LEFT(BT626,255),{"0000a","000a","00a","0000aa","000aa","00aa","0aa","0000aaa","000aaa","00a00","0a00","0000-0000","00:00","a00","a0","00.00.0000","00/00/0000","00-00-0000","0000-00-00","0000/00/00","0000.00.00","00.00.00","00/00/00","00-00-00","0.00.0000","0/00/0000","0-00-0000"},0)))),NOT(OR(AND(BW626&lt;&gt;"",SUBSTITUTE(BW626,"0","")=""),AND(LEN(BW626)&gt;=4,BW626=REPT(LEFT(BW626),LEN(BW626))),ISNUMBER(MATCH(BW626,{"123","1234","12345","123456","1234567","12345678","0123","01234","012345","98765","987654","54321"},0)),ISNUMBER(MATCH(BX626,{"x","xx","xxx","xxxx","xxxxx","abc","abcd","nil","na","nan","test","tbc","tba","tbd","dummy","sample","example","eg","zz","zzz","none","null","xyz","qwe","asd","id","ref"},0)),AND(LEN(BW626)=8,BX626="",OR(LEFT(BW626,3)="202",ISNUMBER(MATCH(RIGHT(BW626,4),{"2025","2026","2027"},0)))))),OR(AND((LEN(BT626)-LEN(SUBSTITUTE(BT626,"a","")))&gt;=1,(LEN(BN626)-LEN(SUBSTITUTE(BN626,"0","")))&gt;=2,SUMPRODUCT(--ISNUMBER(SEARCH({"a0","a-0","a_0","a/0","a.0","a#0","0a","0-a","0_a","0/a"},BN626)))&gt;0),AND((LEN(BN626)-LEN(SUBSTITUTE(BN626,"a","")))=0,(LEN(BN626)-LEN(SUBSTITUTE(BN626,"0","")))&gt;=5)))),1,0),0)</f>
        <v>0</v>
      </c>
      <c r="CA6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626,"revision",""),"version",""),"jan",""),"feb",""),"mar",""),"apr",""),"may",""),"jun",""),"jul",""),"aug",""),"sep",""),"oct",""),"nov",""),"dec",""),"utc",""),"gmt",""),"myt",""),"bst",""),"rev",""),"ver",""),"b","a"),"c","a"),"d","a"),"e","a"),"f","a"),"g","a"),"h","a"),"i","a"),"j","a"),"k","a"),"l","a"),"m","a"),"n","a"),"o","a"),"p","a"),"q","a"),"r","a"),"s","a"),"t","a"),"u","a"),"v","a"),"w","a"),"x","a"),"y","a"),"z","a")</f>
        <v/>
      </c>
      <c r="CB6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626&amp;""),"a",""),"b",""),"c",""),"d",""),"e",""),"f",""),"g",""),"h",""),"i",""),"j",""),"k",""),"l",""),"m",""),"n",""),"o",""),"p",""),"q",""),"r",""),"s",""),"t",""),"u",""),"v",""),"w",""),"x",""),"y",""),"z",""),"-",""),"_",""),"/",""),".",""),"#",""),"\\",""),":","")," ",""),"(",""),")","")</f>
        <v/>
      </c>
      <c r="CC626" s="0" t="str">
        <f aca="false">" "&amp;TRIM(SUBSTITUTE(SUBSTITUTE(SUBSTITUTE(SUBSTITUTE(SUBSTITUTE(SUBSTITUTE(SUBSTITUTE(SUBSTITUTE(SUBSTITUTE(SUBSTITUTE(SUBSTITUTE(SUBSTITUTE(SUBSTITUTE(SUBSTITUTE(SUBSTITUTE(SUBSTITUTE(SUBSTITUTE(SUBSTITUTE(SUBSTITUTE(SUBSTITUTE(SUBSTITUTE(SUBSTITUTE(SUBSTITUTE(SUBSTITUTE(LOWER(T626&amp;""),CHAR(10)," "),CHAR(13)," "),CHAR(9)," "),CHAR(160)," "),"."," "),","," "),"-"," "),"/"," "),"("," "),")"," "),":"," "),";"," "),"_"," "),"–"," "),"?"," "),"!"," "),"*"," "),"["," "),"]"," "),"'"," "),"#"," "),"+"," "),"&amp;"," "),"\"," "))&amp;" "</f>
        <v>  </v>
      </c>
      <c r="CD626" s="0" t="str">
        <f aca="false">" "&amp;TRIM(SUBSTITUTE(SUBSTITUTE(SUBSTITUTE(SUBSTITUTE(SUBSTITUTE(SUBSTITUTE(SUBSTITUTE(SUBSTITUTE(SUBSTITUTE(SUBSTITUTE(SUBSTITUTE(SUBSTITUTE(SUBSTITUTE(SUBSTITUTE(SUBSTITUTE(SUBSTITUTE(SUBSTITUTE(SUBSTITUTE(SUBSTITUTE(SUBSTITUTE(SUBSTITUTE(SUBSTITUTE(SUBSTITUTE(SUBSTITUTE(LOWER(AE626&amp;""),CHAR(10)," "),CHAR(13)," "),CHAR(9)," "),CHAR(160)," "),"."," "),","," "),"-"," "),"/"," "),"("," "),")"," "),":"," "),";"," "),"_"," "),"–"," "),"?"," "),"!"," "),"*"," "),"["," "),"]"," "),"'"," "),"#"," "),"+"," "),"&amp;"," "),"\"," "))&amp;" "</f>
        <v>  </v>
      </c>
      <c r="CE626" s="68" t="n">
        <f aca="false">IFERROR(IF(AND(LEN(AU626)&gt;0,LEN(AU626)=LEN(AX626),OR(TRIM(MID(SUBSTITUTE(TRIM(CC626)," ",REPT(" ",60)),1,60))="",ISNUMBER(SEARCH(" "&amp;TRIM(MID(SUBSTITUTE(TRIM(CC626)," ",REPT(" ",60)),1,60))&amp;" ",CD626))),OR(TRIM(MID(SUBSTITUTE(TRIM(CC626)," ",REPT(" ",60)),61,60))="",ISNUMBER(SEARCH(" "&amp;TRIM(MID(SUBSTITUTE(TRIM(CC626)," ",REPT(" ",60)),61,60))&amp;" ",CD626))),OR(TRIM(MID(SUBSTITUTE(TRIM(CC626)," ",REPT(" ",60)),121,60))="",ISNUMBER(SEARCH(" "&amp;TRIM(MID(SUBSTITUTE(TRIM(CC626)," ",REPT(" ",60)),121,60))&amp;" ",CD626)))),1,0),0)</f>
        <v>0</v>
      </c>
      <c r="CG626" s="68" t="n">
        <f aca="false">IFERROR(LEN(SUBSTITUTE(BF626," ",""))-SUMPRODUCT((LEN(BF626)-LEN(SUBSTITUTE(BF626," "&amp;L_NAFiller&amp;" "," ")))/(LEN(L_NAFiller)+1)*LEN(L_NAFiller)),0)</f>
        <v>0</v>
      </c>
    </row>
    <row r="627" customFormat="false" ht="39.75" hidden="false" customHeight="true" outlineLevel="0" collapsed="false">
      <c r="A627" s="57" t="s">
        <v>1337</v>
      </c>
      <c r="B627" s="57" t="s">
        <v>301</v>
      </c>
      <c r="C627" s="57" t="str">
        <f aca="false">Flights!$F$23</f>
        <v>MH0053</v>
      </c>
      <c r="D627" s="58" t="n">
        <f aca="false">Flights!$D$23</f>
        <v>46324</v>
      </c>
      <c r="E627" s="57" t="str">
        <f aca="false">Flights!$G$23&amp;"-"&amp;Flights!$H$23</f>
        <v>KIX-KUL</v>
      </c>
      <c r="F627" s="57" t="str">
        <f aca="false">Flights!$K$23</f>
        <v>EY</v>
      </c>
      <c r="G627" s="57" t="s">
        <v>81</v>
      </c>
      <c r="H627" s="57" t="s">
        <v>378</v>
      </c>
      <c r="I627" s="57" t="s">
        <v>411</v>
      </c>
      <c r="J627" s="57" t="s">
        <v>412</v>
      </c>
      <c r="K627" s="67" t="s">
        <v>1338</v>
      </c>
      <c r="L627" s="67" t="s">
        <v>1276</v>
      </c>
      <c r="M627" s="67"/>
      <c r="N627" s="67" t="s">
        <v>383</v>
      </c>
      <c r="O627" s="67"/>
      <c r="P627" s="57" t="s">
        <v>295</v>
      </c>
      <c r="Q627" s="59" t="n">
        <f aca="false">ROUND((Flights!$AC$23)*1440,0)/1440</f>
        <v>46317.0277777778</v>
      </c>
      <c r="R627" s="59" t="n">
        <f aca="false">Q627+(IF(AND(INDEX(TZ_DSTS,MATCH(P627,TZ_STN,0))&lt;&gt;"",Q627&gt;=INDEX(TZ_DSTS,MATCH(P627,TZ_STN,0)),Q627&lt;INDEX(TZ_DSTE,MATCH(P627,TZ_STN,0))),INDEX(TZ_DST,MATCH(P627,TZ_STN,0)),INDEX(TZ_STD,MATCH(P627,TZ_STN,0))))/24</f>
        <v>46317.4027777778</v>
      </c>
      <c r="S627" s="60"/>
      <c r="T627" s="60"/>
      <c r="U627" s="60"/>
      <c r="V627" s="60"/>
      <c r="W627" s="61"/>
      <c r="X627" s="60"/>
      <c r="Y627" s="60"/>
      <c r="Z627" s="60"/>
      <c r="AA627" s="60"/>
      <c r="AB627" s="60"/>
      <c r="AC627" s="60"/>
      <c r="AD627" s="66"/>
      <c r="AE627" s="60"/>
      <c r="AF627" s="61" t="str">
        <f aca="false">IF(AND(ISNUMBER(X627),ISNUMBER(Y627)),Y627-X627,"")</f>
        <v/>
      </c>
      <c r="AG627" s="62" t="str">
        <f aca="false">IF(ISNUMBER(AD627),AD627-(IF(AND(INDEX(TZ_DSTS,MATCH(P627,TZ_STN,0))&lt;&gt;"",(AD627-INDEX(TZ_STD,MATCH(P627,TZ_STN,0))/24)&gt;=INDEX(TZ_DSTS,MATCH(P627,TZ_STN,0)),(AD627-INDEX(TZ_STD,MATCH(P627,TZ_STN,0))/24)&lt;INDEX(TZ_DSTE,MATCH(P627,TZ_STN,0))),INDEX(TZ_DST,MATCH(P627,TZ_STN,0)),INDEX(TZ_STD,MATCH(P627,TZ_STN,0))))/24,"")</f>
        <v/>
      </c>
      <c r="AH627" s="65" t="str">
        <f aca="false">IFERROR(IF(N627="N/A – rule",IF(OR(TRIM(U627)="",TRIM(U627)="N/A",TRIM(U627)="Not started"),"N/A – RULE","INVALID – this check does not apply to this aircraft: clear the status (or correct the fleet on Flights)"),IF(TRIM(U627)="N/A",IF(AT627=0,"INVALID – N/A not permitted for this check",IF(AND(TRIM(AB627)&lt;&gt;"",TRIM(AB627)&lt;&gt;"Closed"),"INVALID – corrective action still open",IF(AND(NOT(OR(LEN(AZ627)&lt;15,ISNUMBER(MATCH(AZ627,L_Placeholder,0)))),BK627=0,CG627&gt;=8,NOT(OR(LEN(AU627)&lt;2,ISNUMBER(MATCH(AU627,L_Placeholder,0)))),BR627&gt;=3,NOT(OR(LEN(AX627)&lt;2,ISNUMBER(MATCH(AX627,L_Placeholder,0)))),BS627&gt;=3,TRIM(AE627)&lt;&gt;TRIM(T627),AX627&lt;&gt;AU627,CE627=0),"N/A – JUSTIFIED","INVALID – N/A needs a real, settled reason (not 'not applicable' / 'as above' / TBC), a named PIC and a different named verifier"))),IF(OR(TRIM(U627)="Pass",TRIM(U627)="Pass after CA"),IF(NOT(ISNUMBER(AD627)),"INVALID – completion time missing",IF(OR(OR(LEN(AU627)&lt;2,ISNUMBER(MATCH(AU627,L_Placeholder,0))),BR627&lt;3),"INVALID – PIC missing or not a named person (a role such as QA / CSM is not a name)",IF(OR(LEN(AV627)&lt;2,ISNUMBER(MATCH(AV627,L_Placeholder,0))),"INVALID – result / assessment missing",IF(OR(OR(LEN(AW627)&lt;3,ISNUMBER(MATCH(AW627,L_Placeholder,0))),SUMPRODUCT(--ISNUMBER(SEARCH(" "&amp;L_EvidencePhrase&amp;" ",BD627)))&gt;0,BI627=1),"INVALID – evidence missing, placeholder or not yet on file",IF(ISNA(MATCH(TRIM(S627),L_EvidenceType,0)),"INVALID – choose the evidence type from the list (column S)",IF(BL627=0,"INVALID – evidence ID must be the record's own ID only (e.g. SF-2210, IMG_2231, 1045521); a link / file name needs type 'Link / file path'",IF(OR(OR(LEN(AX627)&lt;2,ISNUMBER(MATCH(AX627,L_Placeholder,0))),BS627&lt;3),"INVALID – verifier missing or not a named person (a role such as QA / CSM is not a name)",IF(OR(AX627=AU627,CE627=1,AND(LEN(AU627)&gt;=4,ISNUMBER(SEARCH(AU627,AX627))),AND(LEN(AX627)&gt;=4,ISNUMBER(SEARCH(AX627,AU627)))),"INVALID – verifier must be a different, named person (not the PIC or a role)",IF(BH627=1,"INVALID – result not yet available (awaiting / TBC)",IF(BG627=1,"INVALID – result describes a problem: record Fail, then Pass after CA (or reword if it is not a problem)",IF(BV627=1,"INVALID – wording says not on board: an on-board confirmation needs the item loaded",IF(AND(AQ627=1,OR(OR(LEN(AY627)&lt;3,ISNUMBER(MATCH(AY627,L_Placeholder,0))),BJ627=1,BQ627=0)),"INVALID – batch ID missing, placeholder or not an ID (e.g. PASB-261008-BC-017)",IF(AND(AR627=1,OR(NOT(ISNUMBER(X627)),NOT(ISNUMBER(Y627)))),"INVALID – expected/actual qty missing",IF(AND(AR627=1,OR(X627&lt;=0,Y627&lt;0)),"INVALID – expected qty must be above 0 and actual not negative",IF(BB627&lt;&gt;"",BB627,IF(AND(AS627=1,Documents!$J$23&lt;&gt;"ON FILE"),"INVALID – GLD not on file (Documents sheet)",IF(AND(AS627=2,Documents!$O$23&lt;&gt;"ON FILE"),"INVALID – menu checklist not on file (Documents sheet)",IF(AND(AS627=3,NOT(ISNUMBER(Flights!$AX$23))),"INVALID – enter carrying flight KUL departure (Flights AX)",IF(AND(AS627=3,OR(Flights!$AZ$23&gt;Flights!$AA$23,Flights!$AX$23&lt;Flights!$AA$23-3)),"INVALID – carrying flight (Flights AX) cannot arrive before this leg's STD, or is over 3 days early",IF(AG627&gt;AsOfUTC,"INVALID – completion time is in the future",IF(AND(ISNUMBER(BY627),AG627&lt;BY627),IF(H627="Physical uplift","INVALID – before uplift window (cannot confirm loading)","INVALID – before valid window"),IF(AG627&gt;Flights!$AA$23,"INVALID – completed after departure (cannot establish readiness)",IF(AND(H627="Preparation",AG627&gt;=IF(ISNUMBER(Flights!$BA$23),MIN(Flights!$BA$23,Flights!$AA$23),Flights!$AA$23)),"INVALID – completed after loading / departure (cannot establish readiness)",IF(AND(H627="Physical uplift",AG627&gt;Q627),"INVALID – recorded after the loading flight departed",IF(AG627&gt;Q627,"COMPLETE – LATE","COMPLETE"))))))))))))))))))))))))),IF(TRIM(U627)="Fail","FAIL – DISCREPANCY",IF(AND(TRIM(U627)&lt;&gt;"",TRIM(U627)&lt;&gt;"Not started",TRIM(U627)&lt;&gt;"In progress"),"INVALID – unrecognised status (use the list)",IF(AsOfUTC&gt;Q627,"OVERDUE",IF(N627="Clarification required","OPEN – CLARIFICATION","OPEN"))))))),"INVALID – error value in an input cell")</f>
        <v>OPEN</v>
      </c>
      <c r="AI627" s="61" t="n">
        <f aca="false">IF(OR(AH627="N/A – RULE",AH627="N/A – JUSTIFIED"),0,1)</f>
        <v>1</v>
      </c>
      <c r="AJ627" s="61" t="n">
        <f aca="false">IF(LEFT(AH627,8)="COMPLETE",1,0)</f>
        <v>0</v>
      </c>
      <c r="AK627" s="61" t="n">
        <f aca="false">IF(AND(AI627=1,AJ627=0,AsOfUTC&gt;Q627),1,0)</f>
        <v>0</v>
      </c>
      <c r="AL627" s="61" t="n">
        <f aca="false">IFERROR(IF(AND(AI627=1,OR(TRIM(U627)="Fail",AND(TRIM(AB627)&lt;&gt;"",TRIM(AB627)&lt;&gt;"Closed"),AND(ISNUMBER(AF627),AF627&lt;&gt;0,TRIM(U627)&lt;&gt;"Pass after CA"))),1,0),1)</f>
        <v>0</v>
      </c>
      <c r="AM627" s="61" t="n">
        <f aca="false">IF(LEFT(AH627,7)="INVALID",1,0)</f>
        <v>0</v>
      </c>
      <c r="AN627" s="61" t="n">
        <f aca="false">IF(AND(N627="Clarification required",AI627=1,AJ627=0),1,0)</f>
        <v>0</v>
      </c>
      <c r="AO627" s="61" t="str">
        <f aca="false">IF(AK627=1,SUM(AK$5:AK627),"")</f>
        <v/>
      </c>
      <c r="AP627" s="61" t="str">
        <f aca="false">IF(AL627=1,SUM(AL$5:AL627),"")</f>
        <v/>
      </c>
      <c r="AQ627" s="61" t="n">
        <v>0</v>
      </c>
      <c r="AR627" s="61" t="n">
        <v>0</v>
      </c>
      <c r="AS627" s="61" t="n">
        <v>0</v>
      </c>
      <c r="AT627" s="61" t="n">
        <v>0</v>
      </c>
      <c r="AU627" s="61" t="str">
        <f aca="false">SUBSTITUTE(SUBSTITUTE(SUBSTITUTE(SUBSTITUTE(SUBSTITUTE(SUBSTITUTE(SUBSTITUTE(SUBSTITUTE(SUBSTITUTE(SUBSTITUTE(SUBSTITUTE(SUBSTITUTE(SUBSTITUTE(SUBSTITUTE(SUBSTITUTE(SUBSTITUTE(LOWER(T627&amp;""),CHAR(10),""),CHAR(13),""),CHAR(9),""),CHAR(160),"")," ",""),".",""),"-",""),"/",""),"?",""),"_",""),",",""),"[",""),"]",""),"(",""),")",""),"*","")</f>
        <v/>
      </c>
      <c r="AV627" s="61" t="str">
        <f aca="false">SUBSTITUTE(SUBSTITUTE(SUBSTITUTE(SUBSTITUTE(SUBSTITUTE(SUBSTITUTE(SUBSTITUTE(SUBSTITUTE(SUBSTITUTE(SUBSTITUTE(SUBSTITUTE(SUBSTITUTE(SUBSTITUTE(SUBSTITUTE(SUBSTITUTE(SUBSTITUTE(LOWER(V627&amp;""),CHAR(10),""),CHAR(13),""),CHAR(9),""),CHAR(160),"")," ",""),".",""),"-",""),"/",""),"?",""),"_",""),",",""),"[",""),"]",""),"(",""),")",""),"*","")</f>
        <v/>
      </c>
      <c r="AW627" s="61" t="str">
        <f aca="false">SUBSTITUTE(SUBSTITUTE(SUBSTITUTE(SUBSTITUTE(SUBSTITUTE(SUBSTITUTE(SUBSTITUTE(SUBSTITUTE(SUBSTITUTE(SUBSTITUTE(SUBSTITUTE(SUBSTITUTE(SUBSTITUTE(SUBSTITUTE(SUBSTITUTE(SUBSTITUTE(LOWER(Z627&amp;""),CHAR(10),""),CHAR(13),""),CHAR(9),""),CHAR(160),"")," ",""),".",""),"-",""),"/",""),"?",""),"_",""),",",""),"[",""),"]",""),"(",""),")",""),"*","")</f>
        <v/>
      </c>
      <c r="AX627" s="61" t="str">
        <f aca="false">SUBSTITUTE(SUBSTITUTE(SUBSTITUTE(SUBSTITUTE(SUBSTITUTE(SUBSTITUTE(SUBSTITUTE(SUBSTITUTE(SUBSTITUTE(SUBSTITUTE(SUBSTITUTE(SUBSTITUTE(SUBSTITUTE(SUBSTITUTE(SUBSTITUTE(SUBSTITUTE(LOWER(AE627&amp;""),CHAR(10),""),CHAR(13),""),CHAR(9),""),CHAR(160),"")," ",""),".",""),"-",""),"/",""),"?",""),"_",""),",",""),"[",""),"]",""),"(",""),")",""),"*","")</f>
        <v/>
      </c>
      <c r="AY627" s="61" t="str">
        <f aca="false">SUBSTITUTE(SUBSTITUTE(SUBSTITUTE(SUBSTITUTE(SUBSTITUTE(SUBSTITUTE(SUBSTITUTE(SUBSTITUTE(SUBSTITUTE(SUBSTITUTE(SUBSTITUTE(SUBSTITUTE(SUBSTITUTE(SUBSTITUTE(SUBSTITUTE(SUBSTITUTE(LOWER(W627&amp;""),CHAR(10),""),CHAR(13),""),CHAR(9),""),CHAR(160),"")," ",""),".",""),"-",""),"/",""),"?",""),"_",""),",",""),"[",""),"]",""),"(",""),")",""),"*","")</f>
        <v/>
      </c>
      <c r="AZ627" s="61" t="str">
        <f aca="false">SUBSTITUTE(SUBSTITUTE(SUBSTITUTE(SUBSTITUTE(SUBSTITUTE(SUBSTITUTE(SUBSTITUTE(SUBSTITUTE(SUBSTITUTE(SUBSTITUTE(SUBSTITUTE(SUBSTITUTE(SUBSTITUTE(SUBSTITUTE(SUBSTITUTE(SUBSTITUTE(LOWER(AC627&amp;""),CHAR(10),""),CHAR(13),""),CHAR(9),""),CHAR(160),"")," ",""),".",""),"-",""),"/",""),"?",""),"_",""),",",""),"[",""),"]",""),"(",""),")",""),"*","")</f>
        <v/>
      </c>
      <c r="BA627" s="61" t="str">
        <f aca="false">SUBSTITUTE(SUBSTITUTE(SUBSTITUTE(SUBSTITUTE(SUBSTITUTE(SUBSTITUTE(SUBSTITUTE(SUBSTITUTE(SUBSTITUTE(SUBSTITUTE(SUBSTITUTE(SUBSTITUTE(SUBSTITUTE(SUBSTITUTE(SUBSTITUTE(SUBSTITUTE(LOWER(AA627&amp;""),CHAR(10),""),CHAR(13),""),CHAR(9),""),CHAR(160),"")," ",""),".",""),"-",""),"/",""),"?",""),"_",""),",",""),"[",""),"]",""),"(",""),")",""),"*","")</f>
        <v/>
      </c>
      <c r="BB627" s="61" t="str">
        <f aca="false">IF(AND(TRIM(U627)="Pass",ISNUMBER(AF627)),IF(AF627&lt;&gt;0,"INVALID – qty variance: use Fail or Pass after CA",""),"")&amp;IF(AND(TRIM(U627)="Pass after CA",ISNUMBER(AF627)),IF(AF627&lt;&gt;0,"INVALID – after the corrective action the actual qty must equal expected (update Actual)",""),"")&amp;IF(AND(TRIM(U627)="Pass",TRIM(AB627)&lt;&gt;"",TRIM(AB627)&lt;&gt;"Closed"),"INVALID – corrective action not closed: use Fail, then Pass after CA","")&amp;IF(AND(LEN(BA627)&gt;=2,ISNA(MATCH(LEFT(BA627,255),L_Placeholder,0)),TRIM(AB627)=""),"INVALID – CA status missing for the recorded corrective action","")&amp;IF(AND(TRIM(U627)="Pass after CA",OR(OR(LEN(BA627)&lt;5,ISNUMBER(MATCH(BA627,L_Placeholder,0))),TRIM(AB627)&lt;&gt;"Closed")),"INVALID – corrective action not recorded/closed","")</f>
        <v/>
      </c>
      <c r="BC627" s="61" t="str">
        <f aca="false">" "&amp;TRIM(SUBSTITUTE(SUBSTITUTE(SUBSTITUTE(SUBSTITUTE(SUBSTITUTE(SUBSTITUTE(SUBSTITUTE(SUBSTITUTE(SUBSTITUTE(SUBSTITUTE(SUBSTITUTE(SUBSTITUTE(SUBSTITUTE(SUBSTITUTE(SUBSTITUTE(SUBSTITUTE(SUBSTITUTE(SUBSTITUTE(SUBSTITUTE(SUBSTITUTE(SUBSTITUTE(SUBSTITUTE(SUBSTITUTE(SUBSTITUTE(LOWER(V627&amp;""),CHAR(10)," "),CHAR(13)," "),CHAR(9)," "),CHAR(160)," "),"."," "),","," "),"-"," "),"/"," "),"("," "),")"," "),":"," "),";"," "),"_"," "),"–"," "),"?"," "),"!"," "),"*"," "),"["," "),"]"," "),"'"," "),"#"," "),"+"," "),"&amp;"," "),"\"," "))&amp;" "</f>
        <v>  </v>
      </c>
      <c r="BD627" s="61" t="str">
        <f aca="false">" "&amp;TRIM(SUBSTITUTE(SUBSTITUTE(SUBSTITUTE(SUBSTITUTE(SUBSTITUTE(SUBSTITUTE(SUBSTITUTE(SUBSTITUTE(SUBSTITUTE(SUBSTITUTE(SUBSTITUTE(SUBSTITUTE(SUBSTITUTE(SUBSTITUTE(SUBSTITUTE(SUBSTITUTE(SUBSTITUTE(SUBSTITUTE(SUBSTITUTE(SUBSTITUTE(SUBSTITUTE(SUBSTITUTE(SUBSTITUTE(SUBSTITUTE(LOWER(Z627&amp;""),CHAR(10)," "),CHAR(13)," "),CHAR(9)," "),CHAR(160)," "),"."," "),","," "),"-"," "),"/"," "),"("," "),")"," "),":"," "),";"," "),"_"," "),"–"," "),"?"," "),"!"," "),"*"," "),"["," "),"]"," "),"'"," "),"#"," "),"+"," "),"&amp;"," "),"\"," "))&amp;" "</f>
        <v>  </v>
      </c>
      <c r="BE627" s="61" t="str">
        <f aca="false">" "&amp;TRIM(SUBSTITUTE(SUBSTITUTE(SUBSTITUTE(SUBSTITUTE(SUBSTITUTE(SUBSTITUTE(SUBSTITUTE(SUBSTITUTE(SUBSTITUTE(SUBSTITUTE(SUBSTITUTE(SUBSTITUTE(SUBSTITUTE(SUBSTITUTE(SUBSTITUTE(SUBSTITUTE(SUBSTITUTE(SUBSTITUTE(SUBSTITUTE(SUBSTITUTE(SUBSTITUTE(SUBSTITUTE(SUBSTITUTE(SUBSTITUTE(LOWER(W627&amp;""),CHAR(10)," "),CHAR(13)," "),CHAR(9)," "),CHAR(160)," "),"."," "),","," "),"-"," "),"/"," "),"("," "),")"," "),":"," "),";"," "),"_"," "),"–"," "),"?"," "),"!"," "),"*"," "),"["," "),"]"," "),"'"," "),"#"," "),"+"," "),"&amp;"," "),"\"," "))&amp;" "</f>
        <v>  </v>
      </c>
      <c r="BF627" s="61" t="str">
        <f aca="false">" "&amp;TRIM(SUBSTITUTE(SUBSTITUTE(SUBSTITUTE(SUBSTITUTE(SUBSTITUTE(SUBSTITUTE(SUBSTITUTE(SUBSTITUTE(SUBSTITUTE(SUBSTITUTE(SUBSTITUTE(SUBSTITUTE(SUBSTITUTE(SUBSTITUTE(SUBSTITUTE(SUBSTITUTE(SUBSTITUTE(SUBSTITUTE(SUBSTITUTE(SUBSTITUTE(SUBSTITUTE(SUBSTITUTE(SUBSTITUTE(SUBSTITUTE(LOWER(AC627&amp;""),CHAR(10)," "),CHAR(13)," "),CHAR(9)," "),CHAR(160)," "),"."," "),","," "),"-"," "),"/"," "),"("," "),")"," "),":"," "),";"," "),"_"," "),"–"," "),"?"," "),"!"," "),"*"," "),"["," "),"]"," "),"'"," "),"#"," "),"+"," "),"&amp;"," "),"\"," "))&amp;" "</f>
        <v>  </v>
      </c>
      <c r="BG627" s="61" t="n">
        <f aca="false">IFERROR(IF(AND(TRIM(U627)="Pass",SUMPRODUCT((LEN(BC627)-LEN(SUBSTITUTE(BC627," "&amp;L_ResultBad&amp;" "," ")))/(LEN(L_ResultBad)+1))&gt;SUMPRODUCT((LEN(BC627)-LEN(SUBSTITUTE(BC627," "&amp;L_NegPhrase&amp;" "," ")))/(LEN(L_NegPhrase)+1))),1,0),0)</f>
        <v>0</v>
      </c>
      <c r="BH627" s="61" t="n">
        <f aca="false">IFERROR(IF(SUMPRODUCT((LEN(BC627)-LEN(SUBSTITUTE(BC627," "&amp;L_Pending&amp;" "," ")))/(LEN(L_Pending)+1))&gt;SUMPRODUCT((LEN(BC627)-LEN(SUBSTITUTE(BC627," "&amp;L_PendNeg&amp;" "," ")))/(LEN(L_PendNeg)+1))+SUMPRODUCT((LEN(BC627)-LEN(SUBSTITUTE(BC627," "&amp;L_PendPrep&amp;" "," ")))/(LEN(L_PendPrep)+1)),1,0),1)</f>
        <v>0</v>
      </c>
      <c r="BI627" s="61" t="n">
        <f aca="false">IFERROR(IF(SUMPRODUCT((LEN(BD627)-LEN(SUBSTITUTE(BD627," "&amp;L_PendStrict&amp;" "," ")))/(LEN(L_PendStrict)+1))&gt;SUMPRODUCT((LEN(BD627)-LEN(SUBSTITUTE(BD627," "&amp;L_PendNeg&amp;" "," ")))/(LEN(L_PendNeg)+1)),1,0),1)</f>
        <v>0</v>
      </c>
      <c r="BJ627" s="61" t="n">
        <f aca="false">IFERROR(IF(SUMPRODUCT((LEN(BE627)-LEN(SUBSTITUTE(BE627," "&amp;L_Pending&amp;" "," ")))/(LEN(L_Pending)+1))&gt;SUMPRODUCT((LEN(BE627)-LEN(SUBSTITUTE(BE627," "&amp;L_PendNeg&amp;" "," ")))/(LEN(L_PendNeg)+1))+SUMPRODUCT((LEN(BE627)-LEN(SUBSTITUTE(BE627," "&amp;L_PendPrep&amp;" "," ")))/(LEN(L_PendPrep)+1)),1,0),1)</f>
        <v>0</v>
      </c>
      <c r="BK627" s="61" t="n">
        <f aca="false">IFERROR(IF(SUMPRODUCT((LEN(BF627)-LEN(SUBSTITUTE(BF627," "&amp;L_PendStrict&amp;" "," ")))/(LEN(L_PendStrict)+1))&gt;SUMPRODUCT((LEN(BF627)-LEN(SUBSTITUTE(BF627," "&amp;L_PendNeg&amp;" "," ")))/(LEN(L_PendNeg)+1)),1,0),1)</f>
        <v>0</v>
      </c>
      <c r="BL627" s="61" t="n">
        <f aca="false">IF(ISNA(MATCH(TRIM(S627),L_EvidenceType,0)),0,BZ627)</f>
        <v>0</v>
      </c>
      <c r="BM627" s="61" t="str">
        <f aca="false">SUBSTITUTE(SUBSTITUTE(SUBSTITUTE(SUBSTITUTE(SUBSTITUTE(SUBSTITUTE(SUBSTITUTE(SUBSTITUTE(SUBSTITUTE(LOWER(Z627&amp;""),"1","0"),"2","0"),"3","0"),"4","0"),"5","0"),"6","0"),"7","0"),"8","0"),"9","0")</f>
        <v/>
      </c>
      <c r="BN627" s="61" t="str">
        <f aca="false">SUBSTITUTE(SUBSTITUTE(SUBSTITUTE(SUBSTITUTE(SUBSTITUTE(SUBSTITUTE(SUBSTITUTE(SUBSTITUTE(SUBSTITUTE(SUBSTITUTE(SUBSTITUTE(SUBSTITUTE(SUBSTITUTE(SUBSTITUTE(SUBSTITUTE(SUBSTITUTE(SUBSTITUTE(SUBSTITUTE(SUBSTITUTE(SUBSTITUTE(SUBSTITUTE(SUBSTITUTE(SUBSTITUTE(SUBSTITUTE(SUBSTITUTE(BM627,"b","a"),"c","a"),"d","a"),"e","a"),"f","a"),"g","a"),"h","a"),"i","a"),"j","a"),"k","a"),"l","a"),"m","a"),"n","a"),"o","a"),"p","a"),"q","a"),"r","a"),"s","a"),"t","a"),"u","a"),"v","a"),"w","a"),"x","a"),"y","a"),"z","a")</f>
        <v/>
      </c>
      <c r="BO627" s="61" t="str">
        <f aca="false">SUBSTITUTE(SUBSTITUTE(SUBSTITUTE(SUBSTITUTE(SUBSTITUTE(SUBSTITUTE(SUBSTITUTE(SUBSTITUTE(SUBSTITUTE(LOWER(W627&amp;""),"1","0"),"2","0"),"3","0"),"4","0"),"5","0"),"6","0"),"7","0"),"8","0"),"9","0")</f>
        <v/>
      </c>
      <c r="BP627" s="61" t="str">
        <f aca="false">SUBSTITUTE(SUBSTITUTE(SUBSTITUTE(SUBSTITUTE(SUBSTITUTE(SUBSTITUTE(SUBSTITUTE(SUBSTITUTE(SUBSTITUTE(SUBSTITUTE(SUBSTITUTE(SUBSTITUTE(SUBSTITUTE(SUBSTITUTE(SUBSTITUTE(SUBSTITUTE(SUBSTITUTE(SUBSTITUTE(SUBSTITUTE(SUBSTITUTE(SUBSTITUTE(SUBSTITUTE(SUBSTITUTE(SUBSTITUTE(SUBSTITUTE(BO627,"b","a"),"c","a"),"d","a"),"e","a"),"f","a"),"g","a"),"h","a"),"i","a"),"j","a"),"k","a"),"l","a"),"m","a"),"n","a"),"o","a"),"p","a"),"q","a"),"r","a"),"s","a"),"t","a"),"u","a"),"v","a"),"w","a"),"x","a"),"y","a"),"z","a")</f>
        <v/>
      </c>
      <c r="BQ627" s="61" t="n">
        <f aca="false">IFERROR(IF(AND(ISERROR(SEARCH(" mh"," "&amp;LOWER(W627))),ISNA(MATCH(LEFT(TRIM(BP627),255),{"0000a","000a","00a","0000aa","000aa","00aa","0aa","0000aaa","000aaa","00a00","0a00","0000-0000","00:00","a00","a0","00.00.0000","00/00/0000","00-00-0000","0000-00-00","0000/00/00","0000.00.00","00.00.00","00/00/00","00-00-00","0.00.0000","0/00/0000","0-00-0000"},0)),ISNA(MATCH(LEFT(TRIM(CA627),255),{"0000a","000a","00a","0000aa","000aa","00aa","0aa","0000aaa","000aaa","00a00","0a00","0000-0000","00:00","a00","a0","00.00.0000","00/00/0000","00-00-0000","0000-00-00","0000/00/00","0000.00.00","00.00.00","00/00/00","00-00-00","0.00.0000","0/00/0000","0-00-0000"},0)),LEN(CB627)&gt;=3,NOT(OR(SUBSTITUTE(CB627,"0","")="",AND(LEN(CB627)&gt;=4,CB627=REPT(LEFT(CB627),LEN(CB627))),ISNUMBER(MATCH(CB627,{"123","1234","12345","123456","1234567","12345678","0123","01234","012345","98765","987654","54321"},0)),AND(LEN(CB627)=8,LEFT(CB627,3)="202"))),OR(AND((LEN(CA627)-LEN(SUBSTITUTE(CA627,"a","")))&gt;=1,SUMPRODUCT(--ISNUMBER(SEARCH({"a0","a-0","a_0","a/0","a.0","a#0","0a","0-a","0_a","0/a"},BP627)))&gt;0),ISNUMBER(SEARCH("000000",BP627)))),1,0),0)</f>
        <v>0</v>
      </c>
      <c r="BR627" s="61" t="n">
        <f aca="false">IFERROR(LEN(SUBSTITUTE(CC627," ",""))-SUMPRODUCT((LEN(CC627)-LEN(SUBSTITUTE(CC627," "&amp;L_Role&amp;" "," ")))/(LEN(L_Role)+1)*LEN(L_Role)),0)</f>
        <v>0</v>
      </c>
      <c r="BS627" s="61" t="n">
        <f aca="false">IFERROR(LEN(SUBSTITUTE(CD627," ",""))-SUMPRODUCT((LEN(CD627)-LEN(SUBSTITUTE(CD627," "&amp;L_Role&amp;" "," ")))/(LEN(L_Role)+1)*LEN(L_Role)),0)</f>
        <v>0</v>
      </c>
      <c r="BT6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627,"revision",""),"version",""),"jan",""),"feb",""),"mar",""),"apr",""),"may",""),"jun",""),"jul",""),"aug",""),"sep",""),"oct",""),"nov",""),"dec",""),"utc",""),"gmt",""),"myt",""),"bst",""),"rev",""),"ver",""),"b","a"),"c","a"),"d","a"),"e","a"),"f","a"),"g","a"),"h","a"),"i","a"),"j","a"),"k","a"),"l","a"),"m","a"),"n","a"),"o","a"),"p","a"),"q","a"),"r","a"),"s","a"),"t","a"),"u","a"),"v","a"),"w","a"),"x","a"),"y","a"),"z","a")</f>
        <v/>
      </c>
      <c r="BU627" s="61" t="str">
        <f aca="false">SUBSTITUTE(SUBSTITUTE(SUBSTITUTE(SUBSTITUTE(SUBSTITUTE(SUBSTITUTE(SUBSTITUTE(SUBSTITUTE(SUBSTITUTE(SUBSTITUTE(LEFT(BM627,FIND("0",BM627&amp;"0")-1),"-",""),"_",""),"/",""),".",""),"#",""),"\\",""),":","")," ",""),"(",""),")","")</f>
        <v/>
      </c>
      <c r="BV627" s="61" t="n">
        <f aca="false">0</f>
        <v>0</v>
      </c>
      <c r="BW6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627&amp;""),"a",""),"b",""),"c",""),"d",""),"e",""),"f",""),"g",""),"h",""),"i",""),"j",""),"k",""),"l",""),"m",""),"n",""),"o",""),"p",""),"q",""),"r",""),"s",""),"t",""),"u",""),"v",""),"w",""),"x",""),"y",""),"z",""),"-",""),"_",""),"/",""),".",""),"#",""),"\\",""),":","")," ",""),"(",""),")","")</f>
        <v/>
      </c>
      <c r="BX627" s="61" t="str">
        <f aca="false">SUBSTITUTE(SUBSTITUTE(SUBSTITUTE(SUBSTITUTE(SUBSTITUTE(SUBSTITUTE(SUBSTITUTE(SUBSTITUTE(SUBSTITUTE(SUBSTITUTE(SUBSTITUTE(BM627,"0",""),"-",""),"_",""),"/",""),".",""),"#",""),"\\",""),":","")," ",""),"(",""),")","")</f>
        <v/>
      </c>
      <c r="BY627" s="62" t="n">
        <f aca="false">Q627-T7EarlyD*24/24</f>
        <v>46303.0277777778</v>
      </c>
      <c r="BZ627" s="61" t="n">
        <f aca="false">IFERROR(IF(IF(TRIM(S627)="Link / file path",AND(LEN(TRIM(Z627))&gt;=5,SUMPRODUCT(--ISNUMBER(SEARCH({"http","www.","\\",":\",".pdf",".jpg",".jpeg",".png",".heic",".xls",".doc",".msg",".eml",".ppt",".txt",".zip"},Z627)))&gt;0),AND(ISERROR(FIND(" ",TRIM(Z627))),NOT(OR(SUMPRODUCT(--ISNUMBER(FIND({",",";","&amp;","+"},Z627)))&gt;0,SUMPRODUCT(--ISNUMBER(SEARCH({"0/aa","0\\aa"},BN627)))&gt;0)),NOT(SUMPRODUCT(--ISNUMBER(SEARCH({"http","www.","\\",":\",".pdf",".jpg",".jpeg",".png",".heic",".xls",".doc",".msg",".eml",".ppt",".txt",".zip"},Z627)))&gt;0),NOT(LOWER(TRIM(Z627))=LOWER(Flights!$F$23)),ISNA(MATCH(BU627,{"mh","rev","revision","ver","version","v","r","a","b","seat","tray","row","gate","bay","stand","page","pg","item","line","no","cart","galley","flight","flt","table","box","bag","oven","etd","eta","std","sta","atd","ata","qty","pax","x","time","tel","ph","mob","day","wk","week","utc","gmt","myt","lt"},0)),NOT(OR(ISNUMBER(MATCH(LEFT(BN627,255),{"0000a","000a","00a","0000aa","000aa","00aa","0aa","0000aaa","000aaa","00a00","0a00","0000-0000","00:00","a00","a0","00.00.0000","00/00/0000","00-00-0000","0000-00-00","0000/00/00","0000.00.00","00.00.00","00/00/00","00-00-00","0.00.0000","0/00/0000","0-00-0000"},0)),ISNUMBER(MATCH(LEFT(BT627,255),{"0000a","000a","00a","0000aa","000aa","00aa","0aa","0000aaa","000aaa","00a00","0a00","0000-0000","00:00","a00","a0","00.00.0000","00/00/0000","00-00-0000","0000-00-00","0000/00/00","0000.00.00","00.00.00","00/00/00","00-00-00","0.00.0000","0/00/0000","0-00-0000"},0)))),NOT(OR(AND(BW627&lt;&gt;"",SUBSTITUTE(BW627,"0","")=""),AND(LEN(BW627)&gt;=4,BW627=REPT(LEFT(BW627),LEN(BW627))),ISNUMBER(MATCH(BW627,{"123","1234","12345","123456","1234567","12345678","0123","01234","012345","98765","987654","54321"},0)),ISNUMBER(MATCH(BX627,{"x","xx","xxx","xxxx","xxxxx","abc","abcd","nil","na","nan","test","tbc","tba","tbd","dummy","sample","example","eg","zz","zzz","none","null","xyz","qwe","asd","id","ref"},0)),AND(LEN(BW627)=8,BX627="",OR(LEFT(BW627,3)="202",ISNUMBER(MATCH(RIGHT(BW627,4),{"2025","2026","2027"},0)))))),OR(AND((LEN(BT627)-LEN(SUBSTITUTE(BT627,"a","")))&gt;=1,(LEN(BN627)-LEN(SUBSTITUTE(BN627,"0","")))&gt;=2,SUMPRODUCT(--ISNUMBER(SEARCH({"a0","a-0","a_0","a/0","a.0","a#0","0a","0-a","0_a","0/a"},BN627)))&gt;0),AND((LEN(BN627)-LEN(SUBSTITUTE(BN627,"a","")))=0,(LEN(BN627)-LEN(SUBSTITUTE(BN627,"0","")))&gt;=5)))),1,0),0)</f>
        <v>0</v>
      </c>
      <c r="CA6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627,"revision",""),"version",""),"jan",""),"feb",""),"mar",""),"apr",""),"may",""),"jun",""),"jul",""),"aug",""),"sep",""),"oct",""),"nov",""),"dec",""),"utc",""),"gmt",""),"myt",""),"bst",""),"rev",""),"ver",""),"b","a"),"c","a"),"d","a"),"e","a"),"f","a"),"g","a"),"h","a"),"i","a"),"j","a"),"k","a"),"l","a"),"m","a"),"n","a"),"o","a"),"p","a"),"q","a"),"r","a"),"s","a"),"t","a"),"u","a"),"v","a"),"w","a"),"x","a"),"y","a"),"z","a")</f>
        <v/>
      </c>
      <c r="CB6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627&amp;""),"a",""),"b",""),"c",""),"d",""),"e",""),"f",""),"g",""),"h",""),"i",""),"j",""),"k",""),"l",""),"m",""),"n",""),"o",""),"p",""),"q",""),"r",""),"s",""),"t",""),"u",""),"v",""),"w",""),"x",""),"y",""),"z",""),"-",""),"_",""),"/",""),".",""),"#",""),"\\",""),":","")," ",""),"(",""),")","")</f>
        <v/>
      </c>
      <c r="CC627" s="0" t="str">
        <f aca="false">" "&amp;TRIM(SUBSTITUTE(SUBSTITUTE(SUBSTITUTE(SUBSTITUTE(SUBSTITUTE(SUBSTITUTE(SUBSTITUTE(SUBSTITUTE(SUBSTITUTE(SUBSTITUTE(SUBSTITUTE(SUBSTITUTE(SUBSTITUTE(SUBSTITUTE(SUBSTITUTE(SUBSTITUTE(SUBSTITUTE(SUBSTITUTE(SUBSTITUTE(SUBSTITUTE(SUBSTITUTE(SUBSTITUTE(SUBSTITUTE(SUBSTITUTE(LOWER(T627&amp;""),CHAR(10)," "),CHAR(13)," "),CHAR(9)," "),CHAR(160)," "),"."," "),","," "),"-"," "),"/"," "),"("," "),")"," "),":"," "),";"," "),"_"," "),"–"," "),"?"," "),"!"," "),"*"," "),"["," "),"]"," "),"'"," "),"#"," "),"+"," "),"&amp;"," "),"\"," "))&amp;" "</f>
        <v>  </v>
      </c>
      <c r="CD627" s="0" t="str">
        <f aca="false">" "&amp;TRIM(SUBSTITUTE(SUBSTITUTE(SUBSTITUTE(SUBSTITUTE(SUBSTITUTE(SUBSTITUTE(SUBSTITUTE(SUBSTITUTE(SUBSTITUTE(SUBSTITUTE(SUBSTITUTE(SUBSTITUTE(SUBSTITUTE(SUBSTITUTE(SUBSTITUTE(SUBSTITUTE(SUBSTITUTE(SUBSTITUTE(SUBSTITUTE(SUBSTITUTE(SUBSTITUTE(SUBSTITUTE(SUBSTITUTE(SUBSTITUTE(LOWER(AE627&amp;""),CHAR(10)," "),CHAR(13)," "),CHAR(9)," "),CHAR(160)," "),"."," "),","," "),"-"," "),"/"," "),"("," "),")"," "),":"," "),";"," "),"_"," "),"–"," "),"?"," "),"!"," "),"*"," "),"["," "),"]"," "),"'"," "),"#"," "),"+"," "),"&amp;"," "),"\"," "))&amp;" "</f>
        <v>  </v>
      </c>
      <c r="CE627" s="68" t="n">
        <f aca="false">IFERROR(IF(AND(LEN(AU627)&gt;0,LEN(AU627)=LEN(AX627),OR(TRIM(MID(SUBSTITUTE(TRIM(CC627)," ",REPT(" ",60)),1,60))="",ISNUMBER(SEARCH(" "&amp;TRIM(MID(SUBSTITUTE(TRIM(CC627)," ",REPT(" ",60)),1,60))&amp;" ",CD627))),OR(TRIM(MID(SUBSTITUTE(TRIM(CC627)," ",REPT(" ",60)),61,60))="",ISNUMBER(SEARCH(" "&amp;TRIM(MID(SUBSTITUTE(TRIM(CC627)," ",REPT(" ",60)),61,60))&amp;" ",CD627))),OR(TRIM(MID(SUBSTITUTE(TRIM(CC627)," ",REPT(" ",60)),121,60))="",ISNUMBER(SEARCH(" "&amp;TRIM(MID(SUBSTITUTE(TRIM(CC627)," ",REPT(" ",60)),121,60))&amp;" ",CD627)))),1,0),0)</f>
        <v>0</v>
      </c>
      <c r="CG627" s="68" t="n">
        <f aca="false">IFERROR(LEN(SUBSTITUTE(BF627," ",""))-SUMPRODUCT((LEN(BF627)-LEN(SUBSTITUTE(BF627," "&amp;L_NAFiller&amp;" "," ")))/(LEN(L_NAFiller)+1)*LEN(L_NAFiller)),0)</f>
        <v>0</v>
      </c>
    </row>
    <row r="628" customFormat="false" ht="39.75" hidden="false" customHeight="true" outlineLevel="0" collapsed="false">
      <c r="A628" s="57" t="s">
        <v>1339</v>
      </c>
      <c r="B628" s="57" t="s">
        <v>301</v>
      </c>
      <c r="C628" s="57" t="str">
        <f aca="false">Flights!$F$23</f>
        <v>MH0053</v>
      </c>
      <c r="D628" s="58" t="n">
        <f aca="false">Flights!$D$23</f>
        <v>46324</v>
      </c>
      <c r="E628" s="57" t="str">
        <f aca="false">Flights!$G$23&amp;"-"&amp;Flights!$H$23</f>
        <v>KIX-KUL</v>
      </c>
      <c r="F628" s="57" t="str">
        <f aca="false">Flights!$K$23</f>
        <v>EY</v>
      </c>
      <c r="G628" s="57" t="s">
        <v>83</v>
      </c>
      <c r="H628" s="57" t="s">
        <v>378</v>
      </c>
      <c r="I628" s="57" t="s">
        <v>379</v>
      </c>
      <c r="J628" s="57" t="s">
        <v>416</v>
      </c>
      <c r="K628" s="67" t="s">
        <v>417</v>
      </c>
      <c r="L628" s="67" t="s">
        <v>418</v>
      </c>
      <c r="M628" s="67"/>
      <c r="N628" s="67" t="s">
        <v>383</v>
      </c>
      <c r="O628" s="67"/>
      <c r="P628" s="57" t="s">
        <v>295</v>
      </c>
      <c r="Q628" s="59" t="n">
        <f aca="false">ROUND((Flights!$AD$23)*1440,0)/1440</f>
        <v>46323.0277777778</v>
      </c>
      <c r="R628" s="59" t="n">
        <f aca="false">Q628+(IF(AND(INDEX(TZ_DSTS,MATCH(P628,TZ_STN,0))&lt;&gt;"",Q628&gt;=INDEX(TZ_DSTS,MATCH(P628,TZ_STN,0)),Q628&lt;INDEX(TZ_DSTE,MATCH(P628,TZ_STN,0))),INDEX(TZ_DST,MATCH(P628,TZ_STN,0)),INDEX(TZ_STD,MATCH(P628,TZ_STN,0))))/24</f>
        <v>46323.4027777778</v>
      </c>
      <c r="S628" s="60"/>
      <c r="T628" s="60"/>
      <c r="U628" s="60"/>
      <c r="V628" s="60"/>
      <c r="W628" s="60"/>
      <c r="X628" s="60"/>
      <c r="Y628" s="60"/>
      <c r="Z628" s="60"/>
      <c r="AA628" s="60"/>
      <c r="AB628" s="60"/>
      <c r="AC628" s="60"/>
      <c r="AD628" s="66"/>
      <c r="AE628" s="60"/>
      <c r="AF628" s="61" t="str">
        <f aca="false">IF(AND(ISNUMBER(X628),ISNUMBER(Y628)),Y628-X628,"")</f>
        <v/>
      </c>
      <c r="AG628" s="62" t="str">
        <f aca="false">IF(ISNUMBER(AD628),AD628-(IF(AND(INDEX(TZ_DSTS,MATCH(P628,TZ_STN,0))&lt;&gt;"",(AD628-INDEX(TZ_STD,MATCH(P628,TZ_STN,0))/24)&gt;=INDEX(TZ_DSTS,MATCH(P628,TZ_STN,0)),(AD628-INDEX(TZ_STD,MATCH(P628,TZ_STN,0))/24)&lt;INDEX(TZ_DSTE,MATCH(P628,TZ_STN,0))),INDEX(TZ_DST,MATCH(P628,TZ_STN,0)),INDEX(TZ_STD,MATCH(P628,TZ_STN,0))))/24,"")</f>
        <v/>
      </c>
      <c r="AH628" s="65" t="str">
        <f aca="false">IFERROR(IF(N628="N/A – rule",IF(OR(TRIM(U628)="",TRIM(U628)="N/A",TRIM(U628)="Not started"),"N/A – RULE","INVALID – this check does not apply to this aircraft: clear the status (or correct the fleet on Flights)"),IF(TRIM(U628)="N/A",IF(AT628=0,"INVALID – N/A not permitted for this check",IF(AND(TRIM(AB628)&lt;&gt;"",TRIM(AB628)&lt;&gt;"Closed"),"INVALID – corrective action still open",IF(AND(NOT(OR(LEN(AZ628)&lt;15,ISNUMBER(MATCH(AZ628,L_Placeholder,0)))),BK628=0,CG628&gt;=8,NOT(OR(LEN(AU628)&lt;2,ISNUMBER(MATCH(AU628,L_Placeholder,0)))),BR628&gt;=3,NOT(OR(LEN(AX628)&lt;2,ISNUMBER(MATCH(AX628,L_Placeholder,0)))),BS628&gt;=3,TRIM(AE628)&lt;&gt;TRIM(T628),AX628&lt;&gt;AU628,CE628=0),"N/A – JUSTIFIED","INVALID – N/A needs a real, settled reason (not 'not applicable' / 'as above' / TBC), a named PIC and a different named verifier"))),IF(OR(TRIM(U628)="Pass",TRIM(U628)="Pass after CA"),IF(NOT(ISNUMBER(AD628)),"INVALID – completion time missing",IF(OR(OR(LEN(AU628)&lt;2,ISNUMBER(MATCH(AU628,L_Placeholder,0))),BR628&lt;3),"INVALID – PIC missing or not a named person (a role such as QA / CSM is not a name)",IF(OR(LEN(AV628)&lt;2,ISNUMBER(MATCH(AV628,L_Placeholder,0))),"INVALID – result / assessment missing",IF(OR(OR(LEN(AW628)&lt;3,ISNUMBER(MATCH(AW628,L_Placeholder,0))),SUMPRODUCT(--ISNUMBER(SEARCH(" "&amp;L_EvidencePhrase&amp;" ",BD628)))&gt;0,BI628=1),"INVALID – evidence missing, placeholder or not yet on file",IF(ISNA(MATCH(TRIM(S628),L_EvidenceType,0)),"INVALID – choose the evidence type from the list (column S)",IF(BL628=0,"INVALID – evidence ID must be the record's own ID only (e.g. SF-2210, IMG_2231, 1045521); a link / file name needs type 'Link / file path'",IF(OR(OR(LEN(AX628)&lt;2,ISNUMBER(MATCH(AX628,L_Placeholder,0))),BS628&lt;3),"INVALID – verifier missing or not a named person (a role such as QA / CSM is not a name)",IF(OR(AX628=AU628,CE628=1,AND(LEN(AU628)&gt;=4,ISNUMBER(SEARCH(AU628,AX628))),AND(LEN(AX628)&gt;=4,ISNUMBER(SEARCH(AX628,AU628)))),"INVALID – verifier must be a different, named person (not the PIC or a role)",IF(BH628=1,"INVALID – result not yet available (awaiting / TBC)",IF(BG628=1,"INVALID – result describes a problem: record Fail, then Pass after CA (or reword if it is not a problem)",IF(BV628=1,"INVALID – wording says not on board: an on-board confirmation needs the item loaded",IF(AND(AQ628=1,OR(OR(LEN(AY628)&lt;3,ISNUMBER(MATCH(AY628,L_Placeholder,0))),BJ628=1,BQ628=0)),"INVALID – batch ID missing, placeholder or not an ID (e.g. PASB-261008-BC-017)",IF(AND(AR628=1,OR(NOT(ISNUMBER(X628)),NOT(ISNUMBER(Y628)))),"INVALID – expected/actual qty missing",IF(AND(AR628=1,OR(X628&lt;=0,Y628&lt;0)),"INVALID – expected qty must be above 0 and actual not negative",IF(BB628&lt;&gt;"",BB628,IF(AND(AS628=1,Documents!$J$23&lt;&gt;"ON FILE"),"INVALID – GLD not on file (Documents sheet)",IF(AND(AS628=2,Documents!$O$23&lt;&gt;"ON FILE"),"INVALID – menu checklist not on file (Documents sheet)",IF(AND(AS628=3,NOT(ISNUMBER(Flights!$AX$23))),"INVALID – enter carrying flight KUL departure (Flights AX)",IF(AND(AS628=3,OR(Flights!$AZ$23&gt;Flights!$AA$23,Flights!$AX$23&lt;Flights!$AA$23-3)),"INVALID – carrying flight (Flights AX) cannot arrive before this leg's STD, or is over 3 days early",IF(AG628&gt;AsOfUTC,"INVALID – completion time is in the future",IF(AND(ISNUMBER(BY628),AG628&lt;BY628),IF(H628="Physical uplift","INVALID – before uplift window (cannot confirm loading)","INVALID – before valid window"),IF(AG628&gt;Flights!$AA$23,"INVALID – completed after departure (cannot establish readiness)",IF(AND(H628="Preparation",AG628&gt;=IF(ISNUMBER(Flights!$BA$23),MIN(Flights!$BA$23,Flights!$AA$23),Flights!$AA$23)),"INVALID – completed after loading / departure (cannot establish readiness)",IF(AND(H628="Physical uplift",AG628&gt;Q628),"INVALID – recorded after the loading flight departed",IF(AG628&gt;Q628,"COMPLETE – LATE","COMPLETE"))))))))))))))))))))))))),IF(TRIM(U628)="Fail","FAIL – DISCREPANCY",IF(AND(TRIM(U628)&lt;&gt;"",TRIM(U628)&lt;&gt;"Not started",TRIM(U628)&lt;&gt;"In progress"),"INVALID – unrecognised status (use the list)",IF(AsOfUTC&gt;Q628,"OVERDUE",IF(N628="Clarification required","OPEN – CLARIFICATION","OPEN"))))))),"INVALID – error value in an input cell")</f>
        <v>OPEN</v>
      </c>
      <c r="AI628" s="61" t="n">
        <f aca="false">IF(OR(AH628="N/A – RULE",AH628="N/A – JUSTIFIED"),0,1)</f>
        <v>1</v>
      </c>
      <c r="AJ628" s="61" t="n">
        <f aca="false">IF(LEFT(AH628,8)="COMPLETE",1,0)</f>
        <v>0</v>
      </c>
      <c r="AK628" s="61" t="n">
        <f aca="false">IF(AND(AI628=1,AJ628=0,AsOfUTC&gt;Q628),1,0)</f>
        <v>0</v>
      </c>
      <c r="AL628" s="61" t="n">
        <f aca="false">IFERROR(IF(AND(AI628=1,OR(TRIM(U628)="Fail",AND(TRIM(AB628)&lt;&gt;"",TRIM(AB628)&lt;&gt;"Closed"),AND(ISNUMBER(AF628),AF628&lt;&gt;0,TRIM(U628)&lt;&gt;"Pass after CA"))),1,0),1)</f>
        <v>0</v>
      </c>
      <c r="AM628" s="61" t="n">
        <f aca="false">IF(LEFT(AH628,7)="INVALID",1,0)</f>
        <v>0</v>
      </c>
      <c r="AN628" s="61" t="n">
        <f aca="false">IF(AND(N628="Clarification required",AI628=1,AJ628=0),1,0)</f>
        <v>0</v>
      </c>
      <c r="AO628" s="61" t="str">
        <f aca="false">IF(AK628=1,SUM(AK$5:AK628),"")</f>
        <v/>
      </c>
      <c r="AP628" s="61" t="str">
        <f aca="false">IF(AL628=1,SUM(AL$5:AL628),"")</f>
        <v/>
      </c>
      <c r="AQ628" s="61" t="n">
        <v>1</v>
      </c>
      <c r="AR628" s="61" t="n">
        <v>0</v>
      </c>
      <c r="AS628" s="61" t="n">
        <v>0</v>
      </c>
      <c r="AT628" s="61" t="n">
        <v>0</v>
      </c>
      <c r="AU628" s="61" t="str">
        <f aca="false">SUBSTITUTE(SUBSTITUTE(SUBSTITUTE(SUBSTITUTE(SUBSTITUTE(SUBSTITUTE(SUBSTITUTE(SUBSTITUTE(SUBSTITUTE(SUBSTITUTE(SUBSTITUTE(SUBSTITUTE(SUBSTITUTE(SUBSTITUTE(SUBSTITUTE(SUBSTITUTE(LOWER(T628&amp;""),CHAR(10),""),CHAR(13),""),CHAR(9),""),CHAR(160),"")," ",""),".",""),"-",""),"/",""),"?",""),"_",""),",",""),"[",""),"]",""),"(",""),")",""),"*","")</f>
        <v/>
      </c>
      <c r="AV628" s="61" t="str">
        <f aca="false">SUBSTITUTE(SUBSTITUTE(SUBSTITUTE(SUBSTITUTE(SUBSTITUTE(SUBSTITUTE(SUBSTITUTE(SUBSTITUTE(SUBSTITUTE(SUBSTITUTE(SUBSTITUTE(SUBSTITUTE(SUBSTITUTE(SUBSTITUTE(SUBSTITUTE(SUBSTITUTE(LOWER(V628&amp;""),CHAR(10),""),CHAR(13),""),CHAR(9),""),CHAR(160),"")," ",""),".",""),"-",""),"/",""),"?",""),"_",""),",",""),"[",""),"]",""),"(",""),")",""),"*","")</f>
        <v/>
      </c>
      <c r="AW628" s="61" t="str">
        <f aca="false">SUBSTITUTE(SUBSTITUTE(SUBSTITUTE(SUBSTITUTE(SUBSTITUTE(SUBSTITUTE(SUBSTITUTE(SUBSTITUTE(SUBSTITUTE(SUBSTITUTE(SUBSTITUTE(SUBSTITUTE(SUBSTITUTE(SUBSTITUTE(SUBSTITUTE(SUBSTITUTE(LOWER(Z628&amp;""),CHAR(10),""),CHAR(13),""),CHAR(9),""),CHAR(160),"")," ",""),".",""),"-",""),"/",""),"?",""),"_",""),",",""),"[",""),"]",""),"(",""),")",""),"*","")</f>
        <v/>
      </c>
      <c r="AX628" s="61" t="str">
        <f aca="false">SUBSTITUTE(SUBSTITUTE(SUBSTITUTE(SUBSTITUTE(SUBSTITUTE(SUBSTITUTE(SUBSTITUTE(SUBSTITUTE(SUBSTITUTE(SUBSTITUTE(SUBSTITUTE(SUBSTITUTE(SUBSTITUTE(SUBSTITUTE(SUBSTITUTE(SUBSTITUTE(LOWER(AE628&amp;""),CHAR(10),""),CHAR(13),""),CHAR(9),""),CHAR(160),"")," ",""),".",""),"-",""),"/",""),"?",""),"_",""),",",""),"[",""),"]",""),"(",""),")",""),"*","")</f>
        <v/>
      </c>
      <c r="AY628" s="61" t="str">
        <f aca="false">SUBSTITUTE(SUBSTITUTE(SUBSTITUTE(SUBSTITUTE(SUBSTITUTE(SUBSTITUTE(SUBSTITUTE(SUBSTITUTE(SUBSTITUTE(SUBSTITUTE(SUBSTITUTE(SUBSTITUTE(SUBSTITUTE(SUBSTITUTE(SUBSTITUTE(SUBSTITUTE(LOWER(W628&amp;""),CHAR(10),""),CHAR(13),""),CHAR(9),""),CHAR(160),"")," ",""),".",""),"-",""),"/",""),"?",""),"_",""),",",""),"[",""),"]",""),"(",""),")",""),"*","")</f>
        <v/>
      </c>
      <c r="AZ628" s="61" t="str">
        <f aca="false">SUBSTITUTE(SUBSTITUTE(SUBSTITUTE(SUBSTITUTE(SUBSTITUTE(SUBSTITUTE(SUBSTITUTE(SUBSTITUTE(SUBSTITUTE(SUBSTITUTE(SUBSTITUTE(SUBSTITUTE(SUBSTITUTE(SUBSTITUTE(SUBSTITUTE(SUBSTITUTE(LOWER(AC628&amp;""),CHAR(10),""),CHAR(13),""),CHAR(9),""),CHAR(160),"")," ",""),".",""),"-",""),"/",""),"?",""),"_",""),",",""),"[",""),"]",""),"(",""),")",""),"*","")</f>
        <v/>
      </c>
      <c r="BA628" s="61" t="str">
        <f aca="false">SUBSTITUTE(SUBSTITUTE(SUBSTITUTE(SUBSTITUTE(SUBSTITUTE(SUBSTITUTE(SUBSTITUTE(SUBSTITUTE(SUBSTITUTE(SUBSTITUTE(SUBSTITUTE(SUBSTITUTE(SUBSTITUTE(SUBSTITUTE(SUBSTITUTE(SUBSTITUTE(LOWER(AA628&amp;""),CHAR(10),""),CHAR(13),""),CHAR(9),""),CHAR(160),"")," ",""),".",""),"-",""),"/",""),"?",""),"_",""),",",""),"[",""),"]",""),"(",""),")",""),"*","")</f>
        <v/>
      </c>
      <c r="BB628" s="61" t="str">
        <f aca="false">IF(AND(TRIM(U628)="Pass",ISNUMBER(AF628)),IF(AF628&lt;&gt;0,"INVALID – qty variance: use Fail or Pass after CA",""),"")&amp;IF(AND(TRIM(U628)="Pass after CA",ISNUMBER(AF628)),IF(AF628&lt;&gt;0,"INVALID – after the corrective action the actual qty must equal expected (update Actual)",""),"")&amp;IF(AND(TRIM(U628)="Pass",TRIM(AB628)&lt;&gt;"",TRIM(AB628)&lt;&gt;"Closed"),"INVALID – corrective action not closed: use Fail, then Pass after CA","")&amp;IF(AND(LEN(BA628)&gt;=2,ISNA(MATCH(LEFT(BA628,255),L_Placeholder,0)),TRIM(AB628)=""),"INVALID – CA status missing for the recorded corrective action","")&amp;IF(AND(TRIM(U628)="Pass after CA",OR(OR(LEN(BA628)&lt;5,ISNUMBER(MATCH(BA628,L_Placeholder,0))),TRIM(AB628)&lt;&gt;"Closed")),"INVALID – corrective action not recorded/closed","")</f>
        <v/>
      </c>
      <c r="BC628" s="61" t="str">
        <f aca="false">" "&amp;TRIM(SUBSTITUTE(SUBSTITUTE(SUBSTITUTE(SUBSTITUTE(SUBSTITUTE(SUBSTITUTE(SUBSTITUTE(SUBSTITUTE(SUBSTITUTE(SUBSTITUTE(SUBSTITUTE(SUBSTITUTE(SUBSTITUTE(SUBSTITUTE(SUBSTITUTE(SUBSTITUTE(SUBSTITUTE(SUBSTITUTE(SUBSTITUTE(SUBSTITUTE(SUBSTITUTE(SUBSTITUTE(SUBSTITUTE(SUBSTITUTE(LOWER(V628&amp;""),CHAR(10)," "),CHAR(13)," "),CHAR(9)," "),CHAR(160)," "),"."," "),","," "),"-"," "),"/"," "),"("," "),")"," "),":"," "),";"," "),"_"," "),"–"," "),"?"," "),"!"," "),"*"," "),"["," "),"]"," "),"'"," "),"#"," "),"+"," "),"&amp;"," "),"\"," "))&amp;" "</f>
        <v>  </v>
      </c>
      <c r="BD628" s="61" t="str">
        <f aca="false">" "&amp;TRIM(SUBSTITUTE(SUBSTITUTE(SUBSTITUTE(SUBSTITUTE(SUBSTITUTE(SUBSTITUTE(SUBSTITUTE(SUBSTITUTE(SUBSTITUTE(SUBSTITUTE(SUBSTITUTE(SUBSTITUTE(SUBSTITUTE(SUBSTITUTE(SUBSTITUTE(SUBSTITUTE(SUBSTITUTE(SUBSTITUTE(SUBSTITUTE(SUBSTITUTE(SUBSTITUTE(SUBSTITUTE(SUBSTITUTE(SUBSTITUTE(LOWER(Z628&amp;""),CHAR(10)," "),CHAR(13)," "),CHAR(9)," "),CHAR(160)," "),"."," "),","," "),"-"," "),"/"," "),"("," "),")"," "),":"," "),";"," "),"_"," "),"–"," "),"?"," "),"!"," "),"*"," "),"["," "),"]"," "),"'"," "),"#"," "),"+"," "),"&amp;"," "),"\"," "))&amp;" "</f>
        <v>  </v>
      </c>
      <c r="BE628" s="61" t="str">
        <f aca="false">" "&amp;TRIM(SUBSTITUTE(SUBSTITUTE(SUBSTITUTE(SUBSTITUTE(SUBSTITUTE(SUBSTITUTE(SUBSTITUTE(SUBSTITUTE(SUBSTITUTE(SUBSTITUTE(SUBSTITUTE(SUBSTITUTE(SUBSTITUTE(SUBSTITUTE(SUBSTITUTE(SUBSTITUTE(SUBSTITUTE(SUBSTITUTE(SUBSTITUTE(SUBSTITUTE(SUBSTITUTE(SUBSTITUTE(SUBSTITUTE(SUBSTITUTE(LOWER(W628&amp;""),CHAR(10)," "),CHAR(13)," "),CHAR(9)," "),CHAR(160)," "),"."," "),","," "),"-"," "),"/"," "),"("," "),")"," "),":"," "),";"," "),"_"," "),"–"," "),"?"," "),"!"," "),"*"," "),"["," "),"]"," "),"'"," "),"#"," "),"+"," "),"&amp;"," "),"\"," "))&amp;" "</f>
        <v>  </v>
      </c>
      <c r="BF628" s="61" t="str">
        <f aca="false">" "&amp;TRIM(SUBSTITUTE(SUBSTITUTE(SUBSTITUTE(SUBSTITUTE(SUBSTITUTE(SUBSTITUTE(SUBSTITUTE(SUBSTITUTE(SUBSTITUTE(SUBSTITUTE(SUBSTITUTE(SUBSTITUTE(SUBSTITUTE(SUBSTITUTE(SUBSTITUTE(SUBSTITUTE(SUBSTITUTE(SUBSTITUTE(SUBSTITUTE(SUBSTITUTE(SUBSTITUTE(SUBSTITUTE(SUBSTITUTE(SUBSTITUTE(LOWER(AC628&amp;""),CHAR(10)," "),CHAR(13)," "),CHAR(9)," "),CHAR(160)," "),"."," "),","," "),"-"," "),"/"," "),"("," "),")"," "),":"," "),";"," "),"_"," "),"–"," "),"?"," "),"!"," "),"*"," "),"["," "),"]"," "),"'"," "),"#"," "),"+"," "),"&amp;"," "),"\"," "))&amp;" "</f>
        <v>  </v>
      </c>
      <c r="BG628" s="61" t="n">
        <f aca="false">IFERROR(IF(AND(TRIM(U628)="Pass",SUMPRODUCT((LEN(BC628)-LEN(SUBSTITUTE(BC628," "&amp;L_ResultBad&amp;" "," ")))/(LEN(L_ResultBad)+1))&gt;SUMPRODUCT((LEN(BC628)-LEN(SUBSTITUTE(BC628," "&amp;L_NegPhrase&amp;" "," ")))/(LEN(L_NegPhrase)+1))),1,0),0)</f>
        <v>0</v>
      </c>
      <c r="BH628" s="61" t="n">
        <f aca="false">IFERROR(IF(SUMPRODUCT((LEN(BC628)-LEN(SUBSTITUTE(BC628," "&amp;L_Pending&amp;" "," ")))/(LEN(L_Pending)+1))&gt;SUMPRODUCT((LEN(BC628)-LEN(SUBSTITUTE(BC628," "&amp;L_PendNeg&amp;" "," ")))/(LEN(L_PendNeg)+1))+SUMPRODUCT((LEN(BC628)-LEN(SUBSTITUTE(BC628," "&amp;L_PendPrep&amp;" "," ")))/(LEN(L_PendPrep)+1)),1,0),1)</f>
        <v>0</v>
      </c>
      <c r="BI628" s="61" t="n">
        <f aca="false">IFERROR(IF(SUMPRODUCT((LEN(BD628)-LEN(SUBSTITUTE(BD628," "&amp;L_PendStrict&amp;" "," ")))/(LEN(L_PendStrict)+1))&gt;SUMPRODUCT((LEN(BD628)-LEN(SUBSTITUTE(BD628," "&amp;L_PendNeg&amp;" "," ")))/(LEN(L_PendNeg)+1)),1,0),1)</f>
        <v>0</v>
      </c>
      <c r="BJ628" s="61" t="n">
        <f aca="false">IFERROR(IF(SUMPRODUCT((LEN(BE628)-LEN(SUBSTITUTE(BE628," "&amp;L_Pending&amp;" "," ")))/(LEN(L_Pending)+1))&gt;SUMPRODUCT((LEN(BE628)-LEN(SUBSTITUTE(BE628," "&amp;L_PendNeg&amp;" "," ")))/(LEN(L_PendNeg)+1))+SUMPRODUCT((LEN(BE628)-LEN(SUBSTITUTE(BE628," "&amp;L_PendPrep&amp;" "," ")))/(LEN(L_PendPrep)+1)),1,0),1)</f>
        <v>0</v>
      </c>
      <c r="BK628" s="61" t="n">
        <f aca="false">IFERROR(IF(SUMPRODUCT((LEN(BF628)-LEN(SUBSTITUTE(BF628," "&amp;L_PendStrict&amp;" "," ")))/(LEN(L_PendStrict)+1))&gt;SUMPRODUCT((LEN(BF628)-LEN(SUBSTITUTE(BF628," "&amp;L_PendNeg&amp;" "," ")))/(LEN(L_PendNeg)+1)),1,0),1)</f>
        <v>0</v>
      </c>
      <c r="BL628" s="61" t="n">
        <f aca="false">IF(ISNA(MATCH(TRIM(S628),L_EvidenceType,0)),0,BZ628)</f>
        <v>0</v>
      </c>
      <c r="BM628" s="61" t="str">
        <f aca="false">SUBSTITUTE(SUBSTITUTE(SUBSTITUTE(SUBSTITUTE(SUBSTITUTE(SUBSTITUTE(SUBSTITUTE(SUBSTITUTE(SUBSTITUTE(LOWER(Z628&amp;""),"1","0"),"2","0"),"3","0"),"4","0"),"5","0"),"6","0"),"7","0"),"8","0"),"9","0")</f>
        <v/>
      </c>
      <c r="BN628" s="61" t="str">
        <f aca="false">SUBSTITUTE(SUBSTITUTE(SUBSTITUTE(SUBSTITUTE(SUBSTITUTE(SUBSTITUTE(SUBSTITUTE(SUBSTITUTE(SUBSTITUTE(SUBSTITUTE(SUBSTITUTE(SUBSTITUTE(SUBSTITUTE(SUBSTITUTE(SUBSTITUTE(SUBSTITUTE(SUBSTITUTE(SUBSTITUTE(SUBSTITUTE(SUBSTITUTE(SUBSTITUTE(SUBSTITUTE(SUBSTITUTE(SUBSTITUTE(SUBSTITUTE(BM628,"b","a"),"c","a"),"d","a"),"e","a"),"f","a"),"g","a"),"h","a"),"i","a"),"j","a"),"k","a"),"l","a"),"m","a"),"n","a"),"o","a"),"p","a"),"q","a"),"r","a"),"s","a"),"t","a"),"u","a"),"v","a"),"w","a"),"x","a"),"y","a"),"z","a")</f>
        <v/>
      </c>
      <c r="BO628" s="61" t="str">
        <f aca="false">SUBSTITUTE(SUBSTITUTE(SUBSTITUTE(SUBSTITUTE(SUBSTITUTE(SUBSTITUTE(SUBSTITUTE(SUBSTITUTE(SUBSTITUTE(LOWER(W628&amp;""),"1","0"),"2","0"),"3","0"),"4","0"),"5","0"),"6","0"),"7","0"),"8","0"),"9","0")</f>
        <v/>
      </c>
      <c r="BP628" s="61" t="str">
        <f aca="false">SUBSTITUTE(SUBSTITUTE(SUBSTITUTE(SUBSTITUTE(SUBSTITUTE(SUBSTITUTE(SUBSTITUTE(SUBSTITUTE(SUBSTITUTE(SUBSTITUTE(SUBSTITUTE(SUBSTITUTE(SUBSTITUTE(SUBSTITUTE(SUBSTITUTE(SUBSTITUTE(SUBSTITUTE(SUBSTITUTE(SUBSTITUTE(SUBSTITUTE(SUBSTITUTE(SUBSTITUTE(SUBSTITUTE(SUBSTITUTE(SUBSTITUTE(BO628,"b","a"),"c","a"),"d","a"),"e","a"),"f","a"),"g","a"),"h","a"),"i","a"),"j","a"),"k","a"),"l","a"),"m","a"),"n","a"),"o","a"),"p","a"),"q","a"),"r","a"),"s","a"),"t","a"),"u","a"),"v","a"),"w","a"),"x","a"),"y","a"),"z","a")</f>
        <v/>
      </c>
      <c r="BQ628" s="61" t="n">
        <f aca="false">IFERROR(IF(AND(ISERROR(SEARCH(" mh"," "&amp;LOWER(W628))),ISNA(MATCH(LEFT(TRIM(BP628),255),{"0000a","000a","00a","0000aa","000aa","00aa","0aa","0000aaa","000aaa","00a00","0a00","0000-0000","00:00","a00","a0","00.00.0000","00/00/0000","00-00-0000","0000-00-00","0000/00/00","0000.00.00","00.00.00","00/00/00","00-00-00","0.00.0000","0/00/0000","0-00-0000"},0)),ISNA(MATCH(LEFT(TRIM(CA628),255),{"0000a","000a","00a","0000aa","000aa","00aa","0aa","0000aaa","000aaa","00a00","0a00","0000-0000","00:00","a00","a0","00.00.0000","00/00/0000","00-00-0000","0000-00-00","0000/00/00","0000.00.00","00.00.00","00/00/00","00-00-00","0.00.0000","0/00/0000","0-00-0000"},0)),LEN(CB628)&gt;=3,NOT(OR(SUBSTITUTE(CB628,"0","")="",AND(LEN(CB628)&gt;=4,CB628=REPT(LEFT(CB628),LEN(CB628))),ISNUMBER(MATCH(CB628,{"123","1234","12345","123456","1234567","12345678","0123","01234","012345","98765","987654","54321"},0)),AND(LEN(CB628)=8,LEFT(CB628,3)="202"))),OR(AND((LEN(CA628)-LEN(SUBSTITUTE(CA628,"a","")))&gt;=1,SUMPRODUCT(--ISNUMBER(SEARCH({"a0","a-0","a_0","a/0","a.0","a#0","0a","0-a","0_a","0/a"},BP628)))&gt;0),ISNUMBER(SEARCH("000000",BP628)))),1,0),0)</f>
        <v>0</v>
      </c>
      <c r="BR628" s="61" t="n">
        <f aca="false">IFERROR(LEN(SUBSTITUTE(CC628," ",""))-SUMPRODUCT((LEN(CC628)-LEN(SUBSTITUTE(CC628," "&amp;L_Role&amp;" "," ")))/(LEN(L_Role)+1)*LEN(L_Role)),0)</f>
        <v>0</v>
      </c>
      <c r="BS628" s="61" t="n">
        <f aca="false">IFERROR(LEN(SUBSTITUTE(CD628," ",""))-SUMPRODUCT((LEN(CD628)-LEN(SUBSTITUTE(CD628," "&amp;L_Role&amp;" "," ")))/(LEN(L_Role)+1)*LEN(L_Role)),0)</f>
        <v>0</v>
      </c>
      <c r="BT6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628,"revision",""),"version",""),"jan",""),"feb",""),"mar",""),"apr",""),"may",""),"jun",""),"jul",""),"aug",""),"sep",""),"oct",""),"nov",""),"dec",""),"utc",""),"gmt",""),"myt",""),"bst",""),"rev",""),"ver",""),"b","a"),"c","a"),"d","a"),"e","a"),"f","a"),"g","a"),"h","a"),"i","a"),"j","a"),"k","a"),"l","a"),"m","a"),"n","a"),"o","a"),"p","a"),"q","a"),"r","a"),"s","a"),"t","a"),"u","a"),"v","a"),"w","a"),"x","a"),"y","a"),"z","a")</f>
        <v/>
      </c>
      <c r="BU628" s="61" t="str">
        <f aca="false">SUBSTITUTE(SUBSTITUTE(SUBSTITUTE(SUBSTITUTE(SUBSTITUTE(SUBSTITUTE(SUBSTITUTE(SUBSTITUTE(SUBSTITUTE(SUBSTITUTE(LEFT(BM628,FIND("0",BM628&amp;"0")-1),"-",""),"_",""),"/",""),".",""),"#",""),"\\",""),":","")," ",""),"(",""),")","")</f>
        <v/>
      </c>
      <c r="BV628" s="61" t="n">
        <f aca="false">0</f>
        <v>0</v>
      </c>
      <c r="BW6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628&amp;""),"a",""),"b",""),"c",""),"d",""),"e",""),"f",""),"g",""),"h",""),"i",""),"j",""),"k",""),"l",""),"m",""),"n",""),"o",""),"p",""),"q",""),"r",""),"s",""),"t",""),"u",""),"v",""),"w",""),"x",""),"y",""),"z",""),"-",""),"_",""),"/",""),".",""),"#",""),"\\",""),":","")," ",""),"(",""),")","")</f>
        <v/>
      </c>
      <c r="BX628" s="61" t="str">
        <f aca="false">SUBSTITUTE(SUBSTITUTE(SUBSTITUTE(SUBSTITUTE(SUBSTITUTE(SUBSTITUTE(SUBSTITUTE(SUBSTITUTE(SUBSTITUTE(SUBSTITUTE(SUBSTITUTE(BM628,"0",""),"-",""),"_",""),"/",""),".",""),"#",""),"\\",""),":","")," ",""),"(",""),")","")</f>
        <v/>
      </c>
      <c r="BY628" s="62" t="n">
        <f aca="false">Q628-T24EarlyH/24</f>
        <v>46322.0277777778</v>
      </c>
      <c r="BZ628" s="61" t="n">
        <f aca="false">IFERROR(IF(IF(TRIM(S628)="Link / file path",AND(LEN(TRIM(Z628))&gt;=5,SUMPRODUCT(--ISNUMBER(SEARCH({"http","www.","\\",":\",".pdf",".jpg",".jpeg",".png",".heic",".xls",".doc",".msg",".eml",".ppt",".txt",".zip"},Z628)))&gt;0),AND(ISERROR(FIND(" ",TRIM(Z628))),NOT(OR(SUMPRODUCT(--ISNUMBER(FIND({",",";","&amp;","+"},Z628)))&gt;0,SUMPRODUCT(--ISNUMBER(SEARCH({"0/aa","0\\aa"},BN628)))&gt;0)),NOT(SUMPRODUCT(--ISNUMBER(SEARCH({"http","www.","\\",":\",".pdf",".jpg",".jpeg",".png",".heic",".xls",".doc",".msg",".eml",".ppt",".txt",".zip"},Z628)))&gt;0),NOT(LOWER(TRIM(Z628))=LOWER(Flights!$F$23)),ISNA(MATCH(BU628,{"mh","rev","revision","ver","version","v","r","a","b","seat","tray","row","gate","bay","stand","page","pg","item","line","no","cart","galley","flight","flt","table","box","bag","oven","etd","eta","std","sta","atd","ata","qty","pax","x","time","tel","ph","mob","day","wk","week","utc","gmt","myt","lt"},0)),NOT(OR(ISNUMBER(MATCH(LEFT(BN628,255),{"0000a","000a","00a","0000aa","000aa","00aa","0aa","0000aaa","000aaa","00a00","0a00","0000-0000","00:00","a00","a0","00.00.0000","00/00/0000","00-00-0000","0000-00-00","0000/00/00","0000.00.00","00.00.00","00/00/00","00-00-00","0.00.0000","0/00/0000","0-00-0000"},0)),ISNUMBER(MATCH(LEFT(BT628,255),{"0000a","000a","00a","0000aa","000aa","00aa","0aa","0000aaa","000aaa","00a00","0a00","0000-0000","00:00","a00","a0","00.00.0000","00/00/0000","00-00-0000","0000-00-00","0000/00/00","0000.00.00","00.00.00","00/00/00","00-00-00","0.00.0000","0/00/0000","0-00-0000"},0)))),NOT(OR(AND(BW628&lt;&gt;"",SUBSTITUTE(BW628,"0","")=""),AND(LEN(BW628)&gt;=4,BW628=REPT(LEFT(BW628),LEN(BW628))),ISNUMBER(MATCH(BW628,{"123","1234","12345","123456","1234567","12345678","0123","01234","012345","98765","987654","54321"},0)),ISNUMBER(MATCH(BX628,{"x","xx","xxx","xxxx","xxxxx","abc","abcd","nil","na","nan","test","tbc","tba","tbd","dummy","sample","example","eg","zz","zzz","none","null","xyz","qwe","asd","id","ref"},0)),AND(LEN(BW628)=8,BX628="",OR(LEFT(BW628,3)="202",ISNUMBER(MATCH(RIGHT(BW628,4),{"2025","2026","2027"},0)))))),OR(AND((LEN(BT628)-LEN(SUBSTITUTE(BT628,"a","")))&gt;=1,(LEN(BN628)-LEN(SUBSTITUTE(BN628,"0","")))&gt;=2,SUMPRODUCT(--ISNUMBER(SEARCH({"a0","a-0","a_0","a/0","a.0","a#0","0a","0-a","0_a","0/a"},BN628)))&gt;0),AND((LEN(BN628)-LEN(SUBSTITUTE(BN628,"a","")))=0,(LEN(BN628)-LEN(SUBSTITUTE(BN628,"0","")))&gt;=5)))),1,0),0)</f>
        <v>0</v>
      </c>
      <c r="CA6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628,"revision",""),"version",""),"jan",""),"feb",""),"mar",""),"apr",""),"may",""),"jun",""),"jul",""),"aug",""),"sep",""),"oct",""),"nov",""),"dec",""),"utc",""),"gmt",""),"myt",""),"bst",""),"rev",""),"ver",""),"b","a"),"c","a"),"d","a"),"e","a"),"f","a"),"g","a"),"h","a"),"i","a"),"j","a"),"k","a"),"l","a"),"m","a"),"n","a"),"o","a"),"p","a"),"q","a"),"r","a"),"s","a"),"t","a"),"u","a"),"v","a"),"w","a"),"x","a"),"y","a"),"z","a")</f>
        <v/>
      </c>
      <c r="CB6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628&amp;""),"a",""),"b",""),"c",""),"d",""),"e",""),"f",""),"g",""),"h",""),"i",""),"j",""),"k",""),"l",""),"m",""),"n",""),"o",""),"p",""),"q",""),"r",""),"s",""),"t",""),"u",""),"v",""),"w",""),"x",""),"y",""),"z",""),"-",""),"_",""),"/",""),".",""),"#",""),"\\",""),":","")," ",""),"(",""),")","")</f>
        <v/>
      </c>
      <c r="CC628" s="0" t="str">
        <f aca="false">" "&amp;TRIM(SUBSTITUTE(SUBSTITUTE(SUBSTITUTE(SUBSTITUTE(SUBSTITUTE(SUBSTITUTE(SUBSTITUTE(SUBSTITUTE(SUBSTITUTE(SUBSTITUTE(SUBSTITUTE(SUBSTITUTE(SUBSTITUTE(SUBSTITUTE(SUBSTITUTE(SUBSTITUTE(SUBSTITUTE(SUBSTITUTE(SUBSTITUTE(SUBSTITUTE(SUBSTITUTE(SUBSTITUTE(SUBSTITUTE(SUBSTITUTE(LOWER(T628&amp;""),CHAR(10)," "),CHAR(13)," "),CHAR(9)," "),CHAR(160)," "),"."," "),","," "),"-"," "),"/"," "),"("," "),")"," "),":"," "),";"," "),"_"," "),"–"," "),"?"," "),"!"," "),"*"," "),"["," "),"]"," "),"'"," "),"#"," "),"+"," "),"&amp;"," "),"\"," "))&amp;" "</f>
        <v>  </v>
      </c>
      <c r="CD628" s="0" t="str">
        <f aca="false">" "&amp;TRIM(SUBSTITUTE(SUBSTITUTE(SUBSTITUTE(SUBSTITUTE(SUBSTITUTE(SUBSTITUTE(SUBSTITUTE(SUBSTITUTE(SUBSTITUTE(SUBSTITUTE(SUBSTITUTE(SUBSTITUTE(SUBSTITUTE(SUBSTITUTE(SUBSTITUTE(SUBSTITUTE(SUBSTITUTE(SUBSTITUTE(SUBSTITUTE(SUBSTITUTE(SUBSTITUTE(SUBSTITUTE(SUBSTITUTE(SUBSTITUTE(LOWER(AE628&amp;""),CHAR(10)," "),CHAR(13)," "),CHAR(9)," "),CHAR(160)," "),"."," "),","," "),"-"," "),"/"," "),"("," "),")"," "),":"," "),";"," "),"_"," "),"–"," "),"?"," "),"!"," "),"*"," "),"["," "),"]"," "),"'"," "),"#"," "),"+"," "),"&amp;"," "),"\"," "))&amp;" "</f>
        <v>  </v>
      </c>
      <c r="CE628" s="68" t="n">
        <f aca="false">IFERROR(IF(AND(LEN(AU628)&gt;0,LEN(AU628)=LEN(AX628),OR(TRIM(MID(SUBSTITUTE(TRIM(CC628)," ",REPT(" ",60)),1,60))="",ISNUMBER(SEARCH(" "&amp;TRIM(MID(SUBSTITUTE(TRIM(CC628)," ",REPT(" ",60)),1,60))&amp;" ",CD628))),OR(TRIM(MID(SUBSTITUTE(TRIM(CC628)," ",REPT(" ",60)),61,60))="",ISNUMBER(SEARCH(" "&amp;TRIM(MID(SUBSTITUTE(TRIM(CC628)," ",REPT(" ",60)),61,60))&amp;" ",CD628))),OR(TRIM(MID(SUBSTITUTE(TRIM(CC628)," ",REPT(" ",60)),121,60))="",ISNUMBER(SEARCH(" "&amp;TRIM(MID(SUBSTITUTE(TRIM(CC628)," ",REPT(" ",60)),121,60))&amp;" ",CD628)))),1,0),0)</f>
        <v>0</v>
      </c>
      <c r="CG628" s="68" t="n">
        <f aca="false">IFERROR(LEN(SUBSTITUTE(BF628," ",""))-SUMPRODUCT((LEN(BF628)-LEN(SUBSTITUTE(BF628," "&amp;L_NAFiller&amp;" "," ")))/(LEN(L_NAFiller)+1)*LEN(L_NAFiller)),0)</f>
        <v>0</v>
      </c>
    </row>
    <row r="629" customFormat="false" ht="39.75" hidden="false" customHeight="true" outlineLevel="0" collapsed="false">
      <c r="A629" s="57" t="s">
        <v>1340</v>
      </c>
      <c r="B629" s="57" t="s">
        <v>301</v>
      </c>
      <c r="C629" s="57" t="str">
        <f aca="false">Flights!$F$23</f>
        <v>MH0053</v>
      </c>
      <c r="D629" s="58" t="n">
        <f aca="false">Flights!$D$23</f>
        <v>46324</v>
      </c>
      <c r="E629" s="57" t="str">
        <f aca="false">Flights!$G$23&amp;"-"&amp;Flights!$H$23</f>
        <v>KIX-KUL</v>
      </c>
      <c r="F629" s="57" t="str">
        <f aca="false">Flights!$K$23</f>
        <v>EY</v>
      </c>
      <c r="G629" s="57" t="s">
        <v>420</v>
      </c>
      <c r="H629" s="57" t="s">
        <v>378</v>
      </c>
      <c r="I629" s="57" t="s">
        <v>379</v>
      </c>
      <c r="J629" s="57" t="s">
        <v>421</v>
      </c>
      <c r="K629" s="67"/>
      <c r="L629" s="67" t="s">
        <v>422</v>
      </c>
      <c r="M629" s="67"/>
      <c r="N629" s="67" t="s">
        <v>383</v>
      </c>
      <c r="O629" s="67" t="s">
        <v>423</v>
      </c>
      <c r="P629" s="57" t="s">
        <v>295</v>
      </c>
      <c r="Q629" s="59" t="n">
        <f aca="false">ROUND((Flights!$AE$23)*1440,0)/1440</f>
        <v>46323.5277777778</v>
      </c>
      <c r="R629" s="59" t="n">
        <f aca="false">Q629+(IF(AND(INDEX(TZ_DSTS,MATCH(P629,TZ_STN,0))&lt;&gt;"",Q629&gt;=INDEX(TZ_DSTS,MATCH(P629,TZ_STN,0)),Q629&lt;INDEX(TZ_DSTE,MATCH(P629,TZ_STN,0))),INDEX(TZ_DST,MATCH(P629,TZ_STN,0)),INDEX(TZ_STD,MATCH(P629,TZ_STN,0))))/24</f>
        <v>46323.9027777778</v>
      </c>
      <c r="S629" s="60"/>
      <c r="T629" s="60"/>
      <c r="U629" s="60"/>
      <c r="V629" s="60"/>
      <c r="W629" s="61"/>
      <c r="X629" s="60"/>
      <c r="Y629" s="60"/>
      <c r="Z629" s="60"/>
      <c r="AA629" s="60"/>
      <c r="AB629" s="60"/>
      <c r="AC629" s="60"/>
      <c r="AD629" s="66"/>
      <c r="AE629" s="60"/>
      <c r="AF629" s="61" t="str">
        <f aca="false">IF(AND(ISNUMBER(X629),ISNUMBER(Y629)),Y629-X629,"")</f>
        <v/>
      </c>
      <c r="AG629" s="62" t="str">
        <f aca="false">IF(ISNUMBER(AD629),AD629-(IF(AND(INDEX(TZ_DSTS,MATCH(P629,TZ_STN,0))&lt;&gt;"",(AD629-INDEX(TZ_STD,MATCH(P629,TZ_STN,0))/24)&gt;=INDEX(TZ_DSTS,MATCH(P629,TZ_STN,0)),(AD629-INDEX(TZ_STD,MATCH(P629,TZ_STN,0))/24)&lt;INDEX(TZ_DSTE,MATCH(P629,TZ_STN,0))),INDEX(TZ_DST,MATCH(P629,TZ_STN,0)),INDEX(TZ_STD,MATCH(P629,TZ_STN,0))))/24,"")</f>
        <v/>
      </c>
      <c r="AH629" s="65" t="str">
        <f aca="false">IFERROR(IF(N629="N/A – rule",IF(OR(TRIM(U629)="",TRIM(U629)="N/A",TRIM(U629)="Not started"),"N/A – RULE","INVALID – this check does not apply to this aircraft: clear the status (or correct the fleet on Flights)"),IF(TRIM(U629)="N/A",IF(AT629=0,"INVALID – N/A not permitted for this check",IF(AND(TRIM(AB629)&lt;&gt;"",TRIM(AB629)&lt;&gt;"Closed"),"INVALID – corrective action still open",IF(AND(NOT(OR(LEN(AZ629)&lt;15,ISNUMBER(MATCH(AZ629,L_Placeholder,0)))),BK629=0,CG629&gt;=8,NOT(OR(LEN(AU629)&lt;2,ISNUMBER(MATCH(AU629,L_Placeholder,0)))),BR629&gt;=3,NOT(OR(LEN(AX629)&lt;2,ISNUMBER(MATCH(AX629,L_Placeholder,0)))),BS629&gt;=3,TRIM(AE629)&lt;&gt;TRIM(T629),AX629&lt;&gt;AU629,CE629=0),"N/A – JUSTIFIED","INVALID – N/A needs a real, settled reason (not 'not applicable' / 'as above' / TBC), a named PIC and a different named verifier"))),IF(OR(TRIM(U629)="Pass",TRIM(U629)="Pass after CA"),IF(NOT(ISNUMBER(AD629)),"INVALID – completion time missing",IF(OR(OR(LEN(AU629)&lt;2,ISNUMBER(MATCH(AU629,L_Placeholder,0))),BR629&lt;3),"INVALID – PIC missing or not a named person (a role such as QA / CSM is not a name)",IF(OR(LEN(AV629)&lt;2,ISNUMBER(MATCH(AV629,L_Placeholder,0))),"INVALID – result / assessment missing",IF(OR(OR(LEN(AW629)&lt;3,ISNUMBER(MATCH(AW629,L_Placeholder,0))),SUMPRODUCT(--ISNUMBER(SEARCH(" "&amp;L_EvidencePhrase&amp;" ",BD629)))&gt;0,BI629=1),"INVALID – evidence missing, placeholder or not yet on file",IF(ISNA(MATCH(TRIM(S629),L_EvidenceType,0)),"INVALID – choose the evidence type from the list (column S)",IF(BL629=0,"INVALID – evidence ID must be the record's own ID only (e.g. SF-2210, IMG_2231, 1045521); a link / file name needs type 'Link / file path'",IF(OR(OR(LEN(AX629)&lt;2,ISNUMBER(MATCH(AX629,L_Placeholder,0))),BS629&lt;3),"INVALID – verifier missing or not a named person (a role such as QA / CSM is not a name)",IF(OR(AX629=AU629,CE629=1,AND(LEN(AU629)&gt;=4,ISNUMBER(SEARCH(AU629,AX629))),AND(LEN(AX629)&gt;=4,ISNUMBER(SEARCH(AX629,AU629)))),"INVALID – verifier must be a different, named person (not the PIC or a role)",IF(BH629=1,"INVALID – result not yet available (awaiting / TBC)",IF(BG629=1,"INVALID – result describes a problem: record Fail, then Pass after CA (or reword if it is not a problem)",IF(BV629=1,"INVALID – wording says not on board: an on-board confirmation needs the item loaded",IF(AND(AQ629=1,OR(OR(LEN(AY629)&lt;3,ISNUMBER(MATCH(AY629,L_Placeholder,0))),BJ629=1,BQ629=0)),"INVALID – batch ID missing, placeholder or not an ID (e.g. PASB-261008-BC-017)",IF(AND(AR629=1,OR(NOT(ISNUMBER(X629)),NOT(ISNUMBER(Y629)))),"INVALID – expected/actual qty missing",IF(AND(AR629=1,OR(X629&lt;=0,Y629&lt;0)),"INVALID – expected qty must be above 0 and actual not negative",IF(BB629&lt;&gt;"",BB629,IF(AND(AS629=1,Documents!$J$23&lt;&gt;"ON FILE"),"INVALID – GLD not on file (Documents sheet)",IF(AND(AS629=2,Documents!$O$23&lt;&gt;"ON FILE"),"INVALID – menu checklist not on file (Documents sheet)",IF(AND(AS629=3,NOT(ISNUMBER(Flights!$AX$23))),"INVALID – enter carrying flight KUL departure (Flights AX)",IF(AND(AS629=3,OR(Flights!$AZ$23&gt;Flights!$AA$23,Flights!$AX$23&lt;Flights!$AA$23-3)),"INVALID – carrying flight (Flights AX) cannot arrive before this leg's STD, or is over 3 days early",IF(AG629&gt;AsOfUTC,"INVALID – completion time is in the future",IF(AND(ISNUMBER(BY629),AG629&lt;BY629),IF(H629="Physical uplift","INVALID – before uplift window (cannot confirm loading)","INVALID – before valid window"),IF(AG629&gt;Flights!$AA$23,"INVALID – completed after departure (cannot establish readiness)",IF(AND(H629="Preparation",AG629&gt;=IF(ISNUMBER(Flights!$BA$23),MIN(Flights!$BA$23,Flights!$AA$23),Flights!$AA$23)),"INVALID – completed after loading / departure (cannot establish readiness)",IF(AND(H629="Physical uplift",AG629&gt;Q629),"INVALID – recorded after the loading flight departed",IF(AG629&gt;Q629,"COMPLETE – LATE","COMPLETE"))))))))))))))))))))))))),IF(TRIM(U629)="Fail","FAIL – DISCREPANCY",IF(AND(TRIM(U629)&lt;&gt;"",TRIM(U629)&lt;&gt;"Not started",TRIM(U629)&lt;&gt;"In progress"),"INVALID – unrecognised status (use the list)",IF(AsOfUTC&gt;Q629,"OVERDUE",IF(N629="Clarification required","OPEN – CLARIFICATION","OPEN"))))))),"INVALID – error value in an input cell")</f>
        <v>OPEN</v>
      </c>
      <c r="AI629" s="61" t="n">
        <f aca="false">IF(OR(AH629="N/A – RULE",AH629="N/A – JUSTIFIED"),0,1)</f>
        <v>1</v>
      </c>
      <c r="AJ629" s="61" t="n">
        <f aca="false">IF(LEFT(AH629,8)="COMPLETE",1,0)</f>
        <v>0</v>
      </c>
      <c r="AK629" s="61" t="n">
        <f aca="false">IF(AND(AI629=1,AJ629=0,AsOfUTC&gt;Q629),1,0)</f>
        <v>0</v>
      </c>
      <c r="AL629" s="61" t="n">
        <f aca="false">IFERROR(IF(AND(AI629=1,OR(TRIM(U629)="Fail",AND(TRIM(AB629)&lt;&gt;"",TRIM(AB629)&lt;&gt;"Closed"),AND(ISNUMBER(AF629),AF629&lt;&gt;0,TRIM(U629)&lt;&gt;"Pass after CA"))),1,0),1)</f>
        <v>0</v>
      </c>
      <c r="AM629" s="61" t="n">
        <f aca="false">IF(LEFT(AH629,7)="INVALID",1,0)</f>
        <v>0</v>
      </c>
      <c r="AN629" s="61" t="n">
        <f aca="false">IF(AND(N629="Clarification required",AI629=1,AJ629=0),1,0)</f>
        <v>0</v>
      </c>
      <c r="AO629" s="61" t="str">
        <f aca="false">IF(AK629=1,SUM(AK$5:AK629),"")</f>
        <v/>
      </c>
      <c r="AP629" s="61" t="str">
        <f aca="false">IF(AL629=1,SUM(AL$5:AL629),"")</f>
        <v/>
      </c>
      <c r="AQ629" s="61" t="n">
        <v>0</v>
      </c>
      <c r="AR629" s="61" t="n">
        <v>0</v>
      </c>
      <c r="AS629" s="61" t="n">
        <v>0</v>
      </c>
      <c r="AT629" s="61" t="n">
        <v>0</v>
      </c>
      <c r="AU629" s="61" t="str">
        <f aca="false">SUBSTITUTE(SUBSTITUTE(SUBSTITUTE(SUBSTITUTE(SUBSTITUTE(SUBSTITUTE(SUBSTITUTE(SUBSTITUTE(SUBSTITUTE(SUBSTITUTE(SUBSTITUTE(SUBSTITUTE(SUBSTITUTE(SUBSTITUTE(SUBSTITUTE(SUBSTITUTE(LOWER(T629&amp;""),CHAR(10),""),CHAR(13),""),CHAR(9),""),CHAR(160),"")," ",""),".",""),"-",""),"/",""),"?",""),"_",""),",",""),"[",""),"]",""),"(",""),")",""),"*","")</f>
        <v/>
      </c>
      <c r="AV629" s="61" t="str">
        <f aca="false">SUBSTITUTE(SUBSTITUTE(SUBSTITUTE(SUBSTITUTE(SUBSTITUTE(SUBSTITUTE(SUBSTITUTE(SUBSTITUTE(SUBSTITUTE(SUBSTITUTE(SUBSTITUTE(SUBSTITUTE(SUBSTITUTE(SUBSTITUTE(SUBSTITUTE(SUBSTITUTE(LOWER(V629&amp;""),CHAR(10),""),CHAR(13),""),CHAR(9),""),CHAR(160),"")," ",""),".",""),"-",""),"/",""),"?",""),"_",""),",",""),"[",""),"]",""),"(",""),")",""),"*","")</f>
        <v/>
      </c>
      <c r="AW629" s="61" t="str">
        <f aca="false">SUBSTITUTE(SUBSTITUTE(SUBSTITUTE(SUBSTITUTE(SUBSTITUTE(SUBSTITUTE(SUBSTITUTE(SUBSTITUTE(SUBSTITUTE(SUBSTITUTE(SUBSTITUTE(SUBSTITUTE(SUBSTITUTE(SUBSTITUTE(SUBSTITUTE(SUBSTITUTE(LOWER(Z629&amp;""),CHAR(10),""),CHAR(13),""),CHAR(9),""),CHAR(160),"")," ",""),".",""),"-",""),"/",""),"?",""),"_",""),",",""),"[",""),"]",""),"(",""),")",""),"*","")</f>
        <v/>
      </c>
      <c r="AX629" s="61" t="str">
        <f aca="false">SUBSTITUTE(SUBSTITUTE(SUBSTITUTE(SUBSTITUTE(SUBSTITUTE(SUBSTITUTE(SUBSTITUTE(SUBSTITUTE(SUBSTITUTE(SUBSTITUTE(SUBSTITUTE(SUBSTITUTE(SUBSTITUTE(SUBSTITUTE(SUBSTITUTE(SUBSTITUTE(LOWER(AE629&amp;""),CHAR(10),""),CHAR(13),""),CHAR(9),""),CHAR(160),"")," ",""),".",""),"-",""),"/",""),"?",""),"_",""),",",""),"[",""),"]",""),"(",""),")",""),"*","")</f>
        <v/>
      </c>
      <c r="AY629" s="61" t="str">
        <f aca="false">SUBSTITUTE(SUBSTITUTE(SUBSTITUTE(SUBSTITUTE(SUBSTITUTE(SUBSTITUTE(SUBSTITUTE(SUBSTITUTE(SUBSTITUTE(SUBSTITUTE(SUBSTITUTE(SUBSTITUTE(SUBSTITUTE(SUBSTITUTE(SUBSTITUTE(SUBSTITUTE(LOWER(W629&amp;""),CHAR(10),""),CHAR(13),""),CHAR(9),""),CHAR(160),"")," ",""),".",""),"-",""),"/",""),"?",""),"_",""),",",""),"[",""),"]",""),"(",""),")",""),"*","")</f>
        <v/>
      </c>
      <c r="AZ629" s="61" t="str">
        <f aca="false">SUBSTITUTE(SUBSTITUTE(SUBSTITUTE(SUBSTITUTE(SUBSTITUTE(SUBSTITUTE(SUBSTITUTE(SUBSTITUTE(SUBSTITUTE(SUBSTITUTE(SUBSTITUTE(SUBSTITUTE(SUBSTITUTE(SUBSTITUTE(SUBSTITUTE(SUBSTITUTE(LOWER(AC629&amp;""),CHAR(10),""),CHAR(13),""),CHAR(9),""),CHAR(160),"")," ",""),".",""),"-",""),"/",""),"?",""),"_",""),",",""),"[",""),"]",""),"(",""),")",""),"*","")</f>
        <v/>
      </c>
      <c r="BA629" s="61" t="str">
        <f aca="false">SUBSTITUTE(SUBSTITUTE(SUBSTITUTE(SUBSTITUTE(SUBSTITUTE(SUBSTITUTE(SUBSTITUTE(SUBSTITUTE(SUBSTITUTE(SUBSTITUTE(SUBSTITUTE(SUBSTITUTE(SUBSTITUTE(SUBSTITUTE(SUBSTITUTE(SUBSTITUTE(LOWER(AA629&amp;""),CHAR(10),""),CHAR(13),""),CHAR(9),""),CHAR(160),"")," ",""),".",""),"-",""),"/",""),"?",""),"_",""),",",""),"[",""),"]",""),"(",""),")",""),"*","")</f>
        <v/>
      </c>
      <c r="BB629" s="61" t="str">
        <f aca="false">IF(AND(TRIM(U629)="Pass",ISNUMBER(AF629)),IF(AF629&lt;&gt;0,"INVALID – qty variance: use Fail or Pass after CA",""),"")&amp;IF(AND(TRIM(U629)="Pass after CA",ISNUMBER(AF629)),IF(AF629&lt;&gt;0,"INVALID – after the corrective action the actual qty must equal expected (update Actual)",""),"")&amp;IF(AND(TRIM(U629)="Pass",TRIM(AB629)&lt;&gt;"",TRIM(AB629)&lt;&gt;"Closed"),"INVALID – corrective action not closed: use Fail, then Pass after CA","")&amp;IF(AND(LEN(BA629)&gt;=2,ISNA(MATCH(LEFT(BA629,255),L_Placeholder,0)),TRIM(AB629)=""),"INVALID – CA status missing for the recorded corrective action","")&amp;IF(AND(TRIM(U629)="Pass after CA",OR(OR(LEN(BA629)&lt;5,ISNUMBER(MATCH(BA629,L_Placeholder,0))),TRIM(AB629)&lt;&gt;"Closed")),"INVALID – corrective action not recorded/closed","")</f>
        <v/>
      </c>
      <c r="BC629" s="61" t="str">
        <f aca="false">" "&amp;TRIM(SUBSTITUTE(SUBSTITUTE(SUBSTITUTE(SUBSTITUTE(SUBSTITUTE(SUBSTITUTE(SUBSTITUTE(SUBSTITUTE(SUBSTITUTE(SUBSTITUTE(SUBSTITUTE(SUBSTITUTE(SUBSTITUTE(SUBSTITUTE(SUBSTITUTE(SUBSTITUTE(SUBSTITUTE(SUBSTITUTE(SUBSTITUTE(SUBSTITUTE(SUBSTITUTE(SUBSTITUTE(SUBSTITUTE(SUBSTITUTE(LOWER(V629&amp;""),CHAR(10)," "),CHAR(13)," "),CHAR(9)," "),CHAR(160)," "),"."," "),","," "),"-"," "),"/"," "),"("," "),")"," "),":"," "),";"," "),"_"," "),"–"," "),"?"," "),"!"," "),"*"," "),"["," "),"]"," "),"'"," "),"#"," "),"+"," "),"&amp;"," "),"\"," "))&amp;" "</f>
        <v>  </v>
      </c>
      <c r="BD629" s="61" t="str">
        <f aca="false">" "&amp;TRIM(SUBSTITUTE(SUBSTITUTE(SUBSTITUTE(SUBSTITUTE(SUBSTITUTE(SUBSTITUTE(SUBSTITUTE(SUBSTITUTE(SUBSTITUTE(SUBSTITUTE(SUBSTITUTE(SUBSTITUTE(SUBSTITUTE(SUBSTITUTE(SUBSTITUTE(SUBSTITUTE(SUBSTITUTE(SUBSTITUTE(SUBSTITUTE(SUBSTITUTE(SUBSTITUTE(SUBSTITUTE(SUBSTITUTE(SUBSTITUTE(LOWER(Z629&amp;""),CHAR(10)," "),CHAR(13)," "),CHAR(9)," "),CHAR(160)," "),"."," "),","," "),"-"," "),"/"," "),"("," "),")"," "),":"," "),";"," "),"_"," "),"–"," "),"?"," "),"!"," "),"*"," "),"["," "),"]"," "),"'"," "),"#"," "),"+"," "),"&amp;"," "),"\"," "))&amp;" "</f>
        <v>  </v>
      </c>
      <c r="BE629" s="61" t="str">
        <f aca="false">" "&amp;TRIM(SUBSTITUTE(SUBSTITUTE(SUBSTITUTE(SUBSTITUTE(SUBSTITUTE(SUBSTITUTE(SUBSTITUTE(SUBSTITUTE(SUBSTITUTE(SUBSTITUTE(SUBSTITUTE(SUBSTITUTE(SUBSTITUTE(SUBSTITUTE(SUBSTITUTE(SUBSTITUTE(SUBSTITUTE(SUBSTITUTE(SUBSTITUTE(SUBSTITUTE(SUBSTITUTE(SUBSTITUTE(SUBSTITUTE(SUBSTITUTE(LOWER(W629&amp;""),CHAR(10)," "),CHAR(13)," "),CHAR(9)," "),CHAR(160)," "),"."," "),","," "),"-"," "),"/"," "),"("," "),")"," "),":"," "),";"," "),"_"," "),"–"," "),"?"," "),"!"," "),"*"," "),"["," "),"]"," "),"'"," "),"#"," "),"+"," "),"&amp;"," "),"\"," "))&amp;" "</f>
        <v>  </v>
      </c>
      <c r="BF629" s="61" t="str">
        <f aca="false">" "&amp;TRIM(SUBSTITUTE(SUBSTITUTE(SUBSTITUTE(SUBSTITUTE(SUBSTITUTE(SUBSTITUTE(SUBSTITUTE(SUBSTITUTE(SUBSTITUTE(SUBSTITUTE(SUBSTITUTE(SUBSTITUTE(SUBSTITUTE(SUBSTITUTE(SUBSTITUTE(SUBSTITUTE(SUBSTITUTE(SUBSTITUTE(SUBSTITUTE(SUBSTITUTE(SUBSTITUTE(SUBSTITUTE(SUBSTITUTE(SUBSTITUTE(LOWER(AC629&amp;""),CHAR(10)," "),CHAR(13)," "),CHAR(9)," "),CHAR(160)," "),"."," "),","," "),"-"," "),"/"," "),"("," "),")"," "),":"," "),";"," "),"_"," "),"–"," "),"?"," "),"!"," "),"*"," "),"["," "),"]"," "),"'"," "),"#"," "),"+"," "),"&amp;"," "),"\"," "))&amp;" "</f>
        <v>  </v>
      </c>
      <c r="BG629" s="61" t="n">
        <f aca="false">IFERROR(IF(AND(TRIM(U629)="Pass",SUMPRODUCT((LEN(BC629)-LEN(SUBSTITUTE(BC629," "&amp;L_ResultBad&amp;" "," ")))/(LEN(L_ResultBad)+1))&gt;SUMPRODUCT((LEN(BC629)-LEN(SUBSTITUTE(BC629," "&amp;L_NegPhrase&amp;" "," ")))/(LEN(L_NegPhrase)+1))),1,0),0)</f>
        <v>0</v>
      </c>
      <c r="BH629" s="61" t="n">
        <f aca="false">IFERROR(IF(SUMPRODUCT((LEN(BC629)-LEN(SUBSTITUTE(BC629," "&amp;L_Pending&amp;" "," ")))/(LEN(L_Pending)+1))&gt;SUMPRODUCT((LEN(BC629)-LEN(SUBSTITUTE(BC629," "&amp;L_PendNeg&amp;" "," ")))/(LEN(L_PendNeg)+1))+SUMPRODUCT((LEN(BC629)-LEN(SUBSTITUTE(BC629," "&amp;L_PendPrep&amp;" "," ")))/(LEN(L_PendPrep)+1)),1,0),1)</f>
        <v>0</v>
      </c>
      <c r="BI629" s="61" t="n">
        <f aca="false">IFERROR(IF(SUMPRODUCT((LEN(BD629)-LEN(SUBSTITUTE(BD629," "&amp;L_PendStrict&amp;" "," ")))/(LEN(L_PendStrict)+1))&gt;SUMPRODUCT((LEN(BD629)-LEN(SUBSTITUTE(BD629," "&amp;L_PendNeg&amp;" "," ")))/(LEN(L_PendNeg)+1)),1,0),1)</f>
        <v>0</v>
      </c>
      <c r="BJ629" s="61" t="n">
        <f aca="false">IFERROR(IF(SUMPRODUCT((LEN(BE629)-LEN(SUBSTITUTE(BE629," "&amp;L_Pending&amp;" "," ")))/(LEN(L_Pending)+1))&gt;SUMPRODUCT((LEN(BE629)-LEN(SUBSTITUTE(BE629," "&amp;L_PendNeg&amp;" "," ")))/(LEN(L_PendNeg)+1))+SUMPRODUCT((LEN(BE629)-LEN(SUBSTITUTE(BE629," "&amp;L_PendPrep&amp;" "," ")))/(LEN(L_PendPrep)+1)),1,0),1)</f>
        <v>0</v>
      </c>
      <c r="BK629" s="61" t="n">
        <f aca="false">IFERROR(IF(SUMPRODUCT((LEN(BF629)-LEN(SUBSTITUTE(BF629," "&amp;L_PendStrict&amp;" "," ")))/(LEN(L_PendStrict)+1))&gt;SUMPRODUCT((LEN(BF629)-LEN(SUBSTITUTE(BF629," "&amp;L_PendNeg&amp;" "," ")))/(LEN(L_PendNeg)+1)),1,0),1)</f>
        <v>0</v>
      </c>
      <c r="BL629" s="61" t="n">
        <f aca="false">IF(ISNA(MATCH(TRIM(S629),L_EvidenceType,0)),0,BZ629)</f>
        <v>0</v>
      </c>
      <c r="BM629" s="61" t="str">
        <f aca="false">SUBSTITUTE(SUBSTITUTE(SUBSTITUTE(SUBSTITUTE(SUBSTITUTE(SUBSTITUTE(SUBSTITUTE(SUBSTITUTE(SUBSTITUTE(LOWER(Z629&amp;""),"1","0"),"2","0"),"3","0"),"4","0"),"5","0"),"6","0"),"7","0"),"8","0"),"9","0")</f>
        <v/>
      </c>
      <c r="BN629" s="61" t="str">
        <f aca="false">SUBSTITUTE(SUBSTITUTE(SUBSTITUTE(SUBSTITUTE(SUBSTITUTE(SUBSTITUTE(SUBSTITUTE(SUBSTITUTE(SUBSTITUTE(SUBSTITUTE(SUBSTITUTE(SUBSTITUTE(SUBSTITUTE(SUBSTITUTE(SUBSTITUTE(SUBSTITUTE(SUBSTITUTE(SUBSTITUTE(SUBSTITUTE(SUBSTITUTE(SUBSTITUTE(SUBSTITUTE(SUBSTITUTE(SUBSTITUTE(SUBSTITUTE(BM629,"b","a"),"c","a"),"d","a"),"e","a"),"f","a"),"g","a"),"h","a"),"i","a"),"j","a"),"k","a"),"l","a"),"m","a"),"n","a"),"o","a"),"p","a"),"q","a"),"r","a"),"s","a"),"t","a"),"u","a"),"v","a"),"w","a"),"x","a"),"y","a"),"z","a")</f>
        <v/>
      </c>
      <c r="BO629" s="61" t="str">
        <f aca="false">SUBSTITUTE(SUBSTITUTE(SUBSTITUTE(SUBSTITUTE(SUBSTITUTE(SUBSTITUTE(SUBSTITUTE(SUBSTITUTE(SUBSTITUTE(LOWER(W629&amp;""),"1","0"),"2","0"),"3","0"),"4","0"),"5","0"),"6","0"),"7","0"),"8","0"),"9","0")</f>
        <v/>
      </c>
      <c r="BP629" s="61" t="str">
        <f aca="false">SUBSTITUTE(SUBSTITUTE(SUBSTITUTE(SUBSTITUTE(SUBSTITUTE(SUBSTITUTE(SUBSTITUTE(SUBSTITUTE(SUBSTITUTE(SUBSTITUTE(SUBSTITUTE(SUBSTITUTE(SUBSTITUTE(SUBSTITUTE(SUBSTITUTE(SUBSTITUTE(SUBSTITUTE(SUBSTITUTE(SUBSTITUTE(SUBSTITUTE(SUBSTITUTE(SUBSTITUTE(SUBSTITUTE(SUBSTITUTE(SUBSTITUTE(BO629,"b","a"),"c","a"),"d","a"),"e","a"),"f","a"),"g","a"),"h","a"),"i","a"),"j","a"),"k","a"),"l","a"),"m","a"),"n","a"),"o","a"),"p","a"),"q","a"),"r","a"),"s","a"),"t","a"),"u","a"),"v","a"),"w","a"),"x","a"),"y","a"),"z","a")</f>
        <v/>
      </c>
      <c r="BQ629" s="61" t="n">
        <f aca="false">IFERROR(IF(AND(ISERROR(SEARCH(" mh"," "&amp;LOWER(W629))),ISNA(MATCH(LEFT(TRIM(BP629),255),{"0000a","000a","00a","0000aa","000aa","00aa","0aa","0000aaa","000aaa","00a00","0a00","0000-0000","00:00","a00","a0","00.00.0000","00/00/0000","00-00-0000","0000-00-00","0000/00/00","0000.00.00","00.00.00","00/00/00","00-00-00","0.00.0000","0/00/0000","0-00-0000"},0)),ISNA(MATCH(LEFT(TRIM(CA629),255),{"0000a","000a","00a","0000aa","000aa","00aa","0aa","0000aaa","000aaa","00a00","0a00","0000-0000","00:00","a00","a0","00.00.0000","00/00/0000","00-00-0000","0000-00-00","0000/00/00","0000.00.00","00.00.00","00/00/00","00-00-00","0.00.0000","0/00/0000","0-00-0000"},0)),LEN(CB629)&gt;=3,NOT(OR(SUBSTITUTE(CB629,"0","")="",AND(LEN(CB629)&gt;=4,CB629=REPT(LEFT(CB629),LEN(CB629))),ISNUMBER(MATCH(CB629,{"123","1234","12345","123456","1234567","12345678","0123","01234","012345","98765","987654","54321"},0)),AND(LEN(CB629)=8,LEFT(CB629,3)="202"))),OR(AND((LEN(CA629)-LEN(SUBSTITUTE(CA629,"a","")))&gt;=1,SUMPRODUCT(--ISNUMBER(SEARCH({"a0","a-0","a_0","a/0","a.0","a#0","0a","0-a","0_a","0/a"},BP629)))&gt;0),ISNUMBER(SEARCH("000000",BP629)))),1,0),0)</f>
        <v>0</v>
      </c>
      <c r="BR629" s="61" t="n">
        <f aca="false">IFERROR(LEN(SUBSTITUTE(CC629," ",""))-SUMPRODUCT((LEN(CC629)-LEN(SUBSTITUTE(CC629," "&amp;L_Role&amp;" "," ")))/(LEN(L_Role)+1)*LEN(L_Role)),0)</f>
        <v>0</v>
      </c>
      <c r="BS629" s="61" t="n">
        <f aca="false">IFERROR(LEN(SUBSTITUTE(CD629," ",""))-SUMPRODUCT((LEN(CD629)-LEN(SUBSTITUTE(CD629," "&amp;L_Role&amp;" "," ")))/(LEN(L_Role)+1)*LEN(L_Role)),0)</f>
        <v>0</v>
      </c>
      <c r="BT6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629,"revision",""),"version",""),"jan",""),"feb",""),"mar",""),"apr",""),"may",""),"jun",""),"jul",""),"aug",""),"sep",""),"oct",""),"nov",""),"dec",""),"utc",""),"gmt",""),"myt",""),"bst",""),"rev",""),"ver",""),"b","a"),"c","a"),"d","a"),"e","a"),"f","a"),"g","a"),"h","a"),"i","a"),"j","a"),"k","a"),"l","a"),"m","a"),"n","a"),"o","a"),"p","a"),"q","a"),"r","a"),"s","a"),"t","a"),"u","a"),"v","a"),"w","a"),"x","a"),"y","a"),"z","a")</f>
        <v/>
      </c>
      <c r="BU629" s="61" t="str">
        <f aca="false">SUBSTITUTE(SUBSTITUTE(SUBSTITUTE(SUBSTITUTE(SUBSTITUTE(SUBSTITUTE(SUBSTITUTE(SUBSTITUTE(SUBSTITUTE(SUBSTITUTE(LEFT(BM629,FIND("0",BM629&amp;"0")-1),"-",""),"_",""),"/",""),".",""),"#",""),"\\",""),":","")," ",""),"(",""),")","")</f>
        <v/>
      </c>
      <c r="BV629" s="61" t="n">
        <f aca="false">0</f>
        <v>0</v>
      </c>
      <c r="BW6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629&amp;""),"a",""),"b",""),"c",""),"d",""),"e",""),"f",""),"g",""),"h",""),"i",""),"j",""),"k",""),"l",""),"m",""),"n",""),"o",""),"p",""),"q",""),"r",""),"s",""),"t",""),"u",""),"v",""),"w",""),"x",""),"y",""),"z",""),"-",""),"_",""),"/",""),".",""),"#",""),"\\",""),":","")," ",""),"(",""),")","")</f>
        <v/>
      </c>
      <c r="BX629" s="61" t="str">
        <f aca="false">SUBSTITUTE(SUBSTITUTE(SUBSTITUTE(SUBSTITUTE(SUBSTITUTE(SUBSTITUTE(SUBSTITUTE(SUBSTITUTE(SUBSTITUTE(SUBSTITUTE(SUBSTITUTE(BM629,"0",""),"-",""),"_",""),"/",""),".",""),"#",""),"\\",""),":","")," ",""),"(",""),")","")</f>
        <v/>
      </c>
      <c r="BY629" s="62" t="n">
        <f aca="false">Q629-T12EarlyH/24</f>
        <v>46323.0277777778</v>
      </c>
      <c r="BZ629" s="61" t="n">
        <f aca="false">IFERROR(IF(IF(TRIM(S629)="Link / file path",AND(LEN(TRIM(Z629))&gt;=5,SUMPRODUCT(--ISNUMBER(SEARCH({"http","www.","\\",":\",".pdf",".jpg",".jpeg",".png",".heic",".xls",".doc",".msg",".eml",".ppt",".txt",".zip"},Z629)))&gt;0),AND(ISERROR(FIND(" ",TRIM(Z629))),NOT(OR(SUMPRODUCT(--ISNUMBER(FIND({",",";","&amp;","+"},Z629)))&gt;0,SUMPRODUCT(--ISNUMBER(SEARCH({"0/aa","0\\aa"},BN629)))&gt;0)),NOT(SUMPRODUCT(--ISNUMBER(SEARCH({"http","www.","\\",":\",".pdf",".jpg",".jpeg",".png",".heic",".xls",".doc",".msg",".eml",".ppt",".txt",".zip"},Z629)))&gt;0),NOT(LOWER(TRIM(Z629))=LOWER(Flights!$F$23)),ISNA(MATCH(BU629,{"mh","rev","revision","ver","version","v","r","a","b","seat","tray","row","gate","bay","stand","page","pg","item","line","no","cart","galley","flight","flt","table","box","bag","oven","etd","eta","std","sta","atd","ata","qty","pax","x","time","tel","ph","mob","day","wk","week","utc","gmt","myt","lt"},0)),NOT(OR(ISNUMBER(MATCH(LEFT(BN629,255),{"0000a","000a","00a","0000aa","000aa","00aa","0aa","0000aaa","000aaa","00a00","0a00","0000-0000","00:00","a00","a0","00.00.0000","00/00/0000","00-00-0000","0000-00-00","0000/00/00","0000.00.00","00.00.00","00/00/00","00-00-00","0.00.0000","0/00/0000","0-00-0000"},0)),ISNUMBER(MATCH(LEFT(BT629,255),{"0000a","000a","00a","0000aa","000aa","00aa","0aa","0000aaa","000aaa","00a00","0a00","0000-0000","00:00","a00","a0","00.00.0000","00/00/0000","00-00-0000","0000-00-00","0000/00/00","0000.00.00","00.00.00","00/00/00","00-00-00","0.00.0000","0/00/0000","0-00-0000"},0)))),NOT(OR(AND(BW629&lt;&gt;"",SUBSTITUTE(BW629,"0","")=""),AND(LEN(BW629)&gt;=4,BW629=REPT(LEFT(BW629),LEN(BW629))),ISNUMBER(MATCH(BW629,{"123","1234","12345","123456","1234567","12345678","0123","01234","012345","98765","987654","54321"},0)),ISNUMBER(MATCH(BX629,{"x","xx","xxx","xxxx","xxxxx","abc","abcd","nil","na","nan","test","tbc","tba","tbd","dummy","sample","example","eg","zz","zzz","none","null","xyz","qwe","asd","id","ref"},0)),AND(LEN(BW629)=8,BX629="",OR(LEFT(BW629,3)="202",ISNUMBER(MATCH(RIGHT(BW629,4),{"2025","2026","2027"},0)))))),OR(AND((LEN(BT629)-LEN(SUBSTITUTE(BT629,"a","")))&gt;=1,(LEN(BN629)-LEN(SUBSTITUTE(BN629,"0","")))&gt;=2,SUMPRODUCT(--ISNUMBER(SEARCH({"a0","a-0","a_0","a/0","a.0","a#0","0a","0-a","0_a","0/a"},BN629)))&gt;0),AND((LEN(BN629)-LEN(SUBSTITUTE(BN629,"a","")))=0,(LEN(BN629)-LEN(SUBSTITUTE(BN629,"0","")))&gt;=5)))),1,0),0)</f>
        <v>0</v>
      </c>
      <c r="CA6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629,"revision",""),"version",""),"jan",""),"feb",""),"mar",""),"apr",""),"may",""),"jun",""),"jul",""),"aug",""),"sep",""),"oct",""),"nov",""),"dec",""),"utc",""),"gmt",""),"myt",""),"bst",""),"rev",""),"ver",""),"b","a"),"c","a"),"d","a"),"e","a"),"f","a"),"g","a"),"h","a"),"i","a"),"j","a"),"k","a"),"l","a"),"m","a"),"n","a"),"o","a"),"p","a"),"q","a"),"r","a"),"s","a"),"t","a"),"u","a"),"v","a"),"w","a"),"x","a"),"y","a"),"z","a")</f>
        <v/>
      </c>
      <c r="CB6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629&amp;""),"a",""),"b",""),"c",""),"d",""),"e",""),"f",""),"g",""),"h",""),"i",""),"j",""),"k",""),"l",""),"m",""),"n",""),"o",""),"p",""),"q",""),"r",""),"s",""),"t",""),"u",""),"v",""),"w",""),"x",""),"y",""),"z",""),"-",""),"_",""),"/",""),".",""),"#",""),"\\",""),":","")," ",""),"(",""),")","")</f>
        <v/>
      </c>
      <c r="CC629" s="0" t="str">
        <f aca="false">" "&amp;TRIM(SUBSTITUTE(SUBSTITUTE(SUBSTITUTE(SUBSTITUTE(SUBSTITUTE(SUBSTITUTE(SUBSTITUTE(SUBSTITUTE(SUBSTITUTE(SUBSTITUTE(SUBSTITUTE(SUBSTITUTE(SUBSTITUTE(SUBSTITUTE(SUBSTITUTE(SUBSTITUTE(SUBSTITUTE(SUBSTITUTE(SUBSTITUTE(SUBSTITUTE(SUBSTITUTE(SUBSTITUTE(SUBSTITUTE(SUBSTITUTE(LOWER(T629&amp;""),CHAR(10)," "),CHAR(13)," "),CHAR(9)," "),CHAR(160)," "),"."," "),","," "),"-"," "),"/"," "),"("," "),")"," "),":"," "),";"," "),"_"," "),"–"," "),"?"," "),"!"," "),"*"," "),"["," "),"]"," "),"'"," "),"#"," "),"+"," "),"&amp;"," "),"\"," "))&amp;" "</f>
        <v>  </v>
      </c>
      <c r="CD629" s="0" t="str">
        <f aca="false">" "&amp;TRIM(SUBSTITUTE(SUBSTITUTE(SUBSTITUTE(SUBSTITUTE(SUBSTITUTE(SUBSTITUTE(SUBSTITUTE(SUBSTITUTE(SUBSTITUTE(SUBSTITUTE(SUBSTITUTE(SUBSTITUTE(SUBSTITUTE(SUBSTITUTE(SUBSTITUTE(SUBSTITUTE(SUBSTITUTE(SUBSTITUTE(SUBSTITUTE(SUBSTITUTE(SUBSTITUTE(SUBSTITUTE(SUBSTITUTE(SUBSTITUTE(LOWER(AE629&amp;""),CHAR(10)," "),CHAR(13)," "),CHAR(9)," "),CHAR(160)," "),"."," "),","," "),"-"," "),"/"," "),"("," "),")"," "),":"," "),";"," "),"_"," "),"–"," "),"?"," "),"!"," "),"*"," "),"["," "),"]"," "),"'"," "),"#"," "),"+"," "),"&amp;"," "),"\"," "))&amp;" "</f>
        <v>  </v>
      </c>
      <c r="CE629" s="68" t="n">
        <f aca="false">IFERROR(IF(AND(LEN(AU629)&gt;0,LEN(AU629)=LEN(AX629),OR(TRIM(MID(SUBSTITUTE(TRIM(CC629)," ",REPT(" ",60)),1,60))="",ISNUMBER(SEARCH(" "&amp;TRIM(MID(SUBSTITUTE(TRIM(CC629)," ",REPT(" ",60)),1,60))&amp;" ",CD629))),OR(TRIM(MID(SUBSTITUTE(TRIM(CC629)," ",REPT(" ",60)),61,60))="",ISNUMBER(SEARCH(" "&amp;TRIM(MID(SUBSTITUTE(TRIM(CC629)," ",REPT(" ",60)),61,60))&amp;" ",CD629))),OR(TRIM(MID(SUBSTITUTE(TRIM(CC629)," ",REPT(" ",60)),121,60))="",ISNUMBER(SEARCH(" "&amp;TRIM(MID(SUBSTITUTE(TRIM(CC629)," ",REPT(" ",60)),121,60))&amp;" ",CD629)))),1,0),0)</f>
        <v>0</v>
      </c>
      <c r="CG629" s="68" t="n">
        <f aca="false">IFERROR(LEN(SUBSTITUTE(BF629," ",""))-SUMPRODUCT((LEN(BF629)-LEN(SUBSTITUTE(BF629," "&amp;L_NAFiller&amp;" "," ")))/(LEN(L_NAFiller)+1)*LEN(L_NAFiller)),0)</f>
        <v>0</v>
      </c>
    </row>
    <row r="630" customFormat="false" ht="39.75" hidden="false" customHeight="true" outlineLevel="0" collapsed="false">
      <c r="A630" s="57" t="s">
        <v>1341</v>
      </c>
      <c r="B630" s="57" t="s">
        <v>301</v>
      </c>
      <c r="C630" s="57" t="str">
        <f aca="false">Flights!$F$23</f>
        <v>MH0053</v>
      </c>
      <c r="D630" s="58" t="n">
        <f aca="false">Flights!$D$23</f>
        <v>46324</v>
      </c>
      <c r="E630" s="57" t="str">
        <f aca="false">Flights!$G$23&amp;"-"&amp;Flights!$H$23</f>
        <v>KIX-KUL</v>
      </c>
      <c r="F630" s="57" t="str">
        <f aca="false">Flights!$K$23</f>
        <v>EY</v>
      </c>
      <c r="G630" s="57" t="s">
        <v>420</v>
      </c>
      <c r="H630" s="57" t="s">
        <v>378</v>
      </c>
      <c r="I630" s="57" t="s">
        <v>379</v>
      </c>
      <c r="J630" s="57" t="s">
        <v>425</v>
      </c>
      <c r="K630" s="67" t="s">
        <v>426</v>
      </c>
      <c r="L630" s="67" t="s">
        <v>422</v>
      </c>
      <c r="M630" s="67"/>
      <c r="N630" s="67" t="s">
        <v>383</v>
      </c>
      <c r="O630" s="67" t="s">
        <v>423</v>
      </c>
      <c r="P630" s="57" t="s">
        <v>295</v>
      </c>
      <c r="Q630" s="59" t="n">
        <f aca="false">ROUND((Flights!$AE$23)*1440,0)/1440</f>
        <v>46323.5277777778</v>
      </c>
      <c r="R630" s="59" t="n">
        <f aca="false">Q630+(IF(AND(INDEX(TZ_DSTS,MATCH(P630,TZ_STN,0))&lt;&gt;"",Q630&gt;=INDEX(TZ_DSTS,MATCH(P630,TZ_STN,0)),Q630&lt;INDEX(TZ_DSTE,MATCH(P630,TZ_STN,0))),INDEX(TZ_DST,MATCH(P630,TZ_STN,0)),INDEX(TZ_STD,MATCH(P630,TZ_STN,0))))/24</f>
        <v>46323.9027777778</v>
      </c>
      <c r="S630" s="60"/>
      <c r="T630" s="60"/>
      <c r="U630" s="60"/>
      <c r="V630" s="60"/>
      <c r="W630" s="61"/>
      <c r="X630" s="60"/>
      <c r="Y630" s="60"/>
      <c r="Z630" s="60"/>
      <c r="AA630" s="60"/>
      <c r="AB630" s="60"/>
      <c r="AC630" s="60"/>
      <c r="AD630" s="66"/>
      <c r="AE630" s="60"/>
      <c r="AF630" s="61" t="str">
        <f aca="false">IF(AND(ISNUMBER(X630),ISNUMBER(Y630)),Y630-X630,"")</f>
        <v/>
      </c>
      <c r="AG630" s="62" t="str">
        <f aca="false">IF(ISNUMBER(AD630),AD630-(IF(AND(INDEX(TZ_DSTS,MATCH(P630,TZ_STN,0))&lt;&gt;"",(AD630-INDEX(TZ_STD,MATCH(P630,TZ_STN,0))/24)&gt;=INDEX(TZ_DSTS,MATCH(P630,TZ_STN,0)),(AD630-INDEX(TZ_STD,MATCH(P630,TZ_STN,0))/24)&lt;INDEX(TZ_DSTE,MATCH(P630,TZ_STN,0))),INDEX(TZ_DST,MATCH(P630,TZ_STN,0)),INDEX(TZ_STD,MATCH(P630,TZ_STN,0))))/24,"")</f>
        <v/>
      </c>
      <c r="AH630" s="65" t="str">
        <f aca="false">IFERROR(IF(N630="N/A – rule",IF(OR(TRIM(U630)="",TRIM(U630)="N/A",TRIM(U630)="Not started"),"N/A – RULE","INVALID – this check does not apply to this aircraft: clear the status (or correct the fleet on Flights)"),IF(TRIM(U630)="N/A",IF(AT630=0,"INVALID – N/A not permitted for this check",IF(AND(TRIM(AB630)&lt;&gt;"",TRIM(AB630)&lt;&gt;"Closed"),"INVALID – corrective action still open",IF(AND(NOT(OR(LEN(AZ630)&lt;15,ISNUMBER(MATCH(AZ630,L_Placeholder,0)))),BK630=0,CG630&gt;=8,NOT(OR(LEN(AU630)&lt;2,ISNUMBER(MATCH(AU630,L_Placeholder,0)))),BR630&gt;=3,NOT(OR(LEN(AX630)&lt;2,ISNUMBER(MATCH(AX630,L_Placeholder,0)))),BS630&gt;=3,TRIM(AE630)&lt;&gt;TRIM(T630),AX630&lt;&gt;AU630,CE630=0),"N/A – JUSTIFIED","INVALID – N/A needs a real, settled reason (not 'not applicable' / 'as above' / TBC), a named PIC and a different named verifier"))),IF(OR(TRIM(U630)="Pass",TRIM(U630)="Pass after CA"),IF(NOT(ISNUMBER(AD630)),"INVALID – completion time missing",IF(OR(OR(LEN(AU630)&lt;2,ISNUMBER(MATCH(AU630,L_Placeholder,0))),BR630&lt;3),"INVALID – PIC missing or not a named person (a role such as QA / CSM is not a name)",IF(OR(LEN(AV630)&lt;2,ISNUMBER(MATCH(AV630,L_Placeholder,0))),"INVALID – result / assessment missing",IF(OR(OR(LEN(AW630)&lt;3,ISNUMBER(MATCH(AW630,L_Placeholder,0))),SUMPRODUCT(--ISNUMBER(SEARCH(" "&amp;L_EvidencePhrase&amp;" ",BD630)))&gt;0,BI630=1),"INVALID – evidence missing, placeholder or not yet on file",IF(ISNA(MATCH(TRIM(S630),L_EvidenceType,0)),"INVALID – choose the evidence type from the list (column S)",IF(BL630=0,"INVALID – evidence ID must be the record's own ID only (e.g. SF-2210, IMG_2231, 1045521); a link / file name needs type 'Link / file path'",IF(OR(OR(LEN(AX630)&lt;2,ISNUMBER(MATCH(AX630,L_Placeholder,0))),BS630&lt;3),"INVALID – verifier missing or not a named person (a role such as QA / CSM is not a name)",IF(OR(AX630=AU630,CE630=1,AND(LEN(AU630)&gt;=4,ISNUMBER(SEARCH(AU630,AX630))),AND(LEN(AX630)&gt;=4,ISNUMBER(SEARCH(AX630,AU630)))),"INVALID – verifier must be a different, named person (not the PIC or a role)",IF(BH630=1,"INVALID – result not yet available (awaiting / TBC)",IF(BG630=1,"INVALID – result describes a problem: record Fail, then Pass after CA (or reword if it is not a problem)",IF(BV630=1,"INVALID – wording says not on board: an on-board confirmation needs the item loaded",IF(AND(AQ630=1,OR(OR(LEN(AY630)&lt;3,ISNUMBER(MATCH(AY630,L_Placeholder,0))),BJ630=1,BQ630=0)),"INVALID – batch ID missing, placeholder or not an ID (e.g. PASB-261008-BC-017)",IF(AND(AR630=1,OR(NOT(ISNUMBER(X630)),NOT(ISNUMBER(Y630)))),"INVALID – expected/actual qty missing",IF(AND(AR630=1,OR(X630&lt;=0,Y630&lt;0)),"INVALID – expected qty must be above 0 and actual not negative",IF(BB630&lt;&gt;"",BB630,IF(AND(AS630=1,Documents!$J$23&lt;&gt;"ON FILE"),"INVALID – GLD not on file (Documents sheet)",IF(AND(AS630=2,Documents!$O$23&lt;&gt;"ON FILE"),"INVALID – menu checklist not on file (Documents sheet)",IF(AND(AS630=3,NOT(ISNUMBER(Flights!$AX$23))),"INVALID – enter carrying flight KUL departure (Flights AX)",IF(AND(AS630=3,OR(Flights!$AZ$23&gt;Flights!$AA$23,Flights!$AX$23&lt;Flights!$AA$23-3)),"INVALID – carrying flight (Flights AX) cannot arrive before this leg's STD, or is over 3 days early",IF(AG630&gt;AsOfUTC,"INVALID – completion time is in the future",IF(AND(ISNUMBER(BY630),AG630&lt;BY630),IF(H630="Physical uplift","INVALID – before uplift window (cannot confirm loading)","INVALID – before valid window"),IF(AG630&gt;Flights!$AA$23,"INVALID – completed after departure (cannot establish readiness)",IF(AND(H630="Preparation",AG630&gt;=IF(ISNUMBER(Flights!$BA$23),MIN(Flights!$BA$23,Flights!$AA$23),Flights!$AA$23)),"INVALID – completed after loading / departure (cannot establish readiness)",IF(AND(H630="Physical uplift",AG630&gt;Q630),"INVALID – recorded after the loading flight departed",IF(AG630&gt;Q630,"COMPLETE – LATE","COMPLETE"))))))))))))))))))))))))),IF(TRIM(U630)="Fail","FAIL – DISCREPANCY",IF(AND(TRIM(U630)&lt;&gt;"",TRIM(U630)&lt;&gt;"Not started",TRIM(U630)&lt;&gt;"In progress"),"INVALID – unrecognised status (use the list)",IF(AsOfUTC&gt;Q630,"OVERDUE",IF(N630="Clarification required","OPEN – CLARIFICATION","OPEN"))))))),"INVALID – error value in an input cell")</f>
        <v>OPEN</v>
      </c>
      <c r="AI630" s="61" t="n">
        <f aca="false">IF(OR(AH630="N/A – RULE",AH630="N/A – JUSTIFIED"),0,1)</f>
        <v>1</v>
      </c>
      <c r="AJ630" s="61" t="n">
        <f aca="false">IF(LEFT(AH630,8)="COMPLETE",1,0)</f>
        <v>0</v>
      </c>
      <c r="AK630" s="61" t="n">
        <f aca="false">IF(AND(AI630=1,AJ630=0,AsOfUTC&gt;Q630),1,0)</f>
        <v>0</v>
      </c>
      <c r="AL630" s="61" t="n">
        <f aca="false">IFERROR(IF(AND(AI630=1,OR(TRIM(U630)="Fail",AND(TRIM(AB630)&lt;&gt;"",TRIM(AB630)&lt;&gt;"Closed"),AND(ISNUMBER(AF630),AF630&lt;&gt;0,TRIM(U630)&lt;&gt;"Pass after CA"))),1,0),1)</f>
        <v>0</v>
      </c>
      <c r="AM630" s="61" t="n">
        <f aca="false">IF(LEFT(AH630,7)="INVALID",1,0)</f>
        <v>0</v>
      </c>
      <c r="AN630" s="61" t="n">
        <f aca="false">IF(AND(N630="Clarification required",AI630=1,AJ630=0),1,0)</f>
        <v>0</v>
      </c>
      <c r="AO630" s="61" t="str">
        <f aca="false">IF(AK630=1,SUM(AK$5:AK630),"")</f>
        <v/>
      </c>
      <c r="AP630" s="61" t="str">
        <f aca="false">IF(AL630=1,SUM(AL$5:AL630),"")</f>
        <v/>
      </c>
      <c r="AQ630" s="61" t="n">
        <v>0</v>
      </c>
      <c r="AR630" s="61" t="n">
        <v>1</v>
      </c>
      <c r="AS630" s="61" t="n">
        <v>0</v>
      </c>
      <c r="AT630" s="61" t="n">
        <v>0</v>
      </c>
      <c r="AU630" s="61" t="str">
        <f aca="false">SUBSTITUTE(SUBSTITUTE(SUBSTITUTE(SUBSTITUTE(SUBSTITUTE(SUBSTITUTE(SUBSTITUTE(SUBSTITUTE(SUBSTITUTE(SUBSTITUTE(SUBSTITUTE(SUBSTITUTE(SUBSTITUTE(SUBSTITUTE(SUBSTITUTE(SUBSTITUTE(LOWER(T630&amp;""),CHAR(10),""),CHAR(13),""),CHAR(9),""),CHAR(160),"")," ",""),".",""),"-",""),"/",""),"?",""),"_",""),",",""),"[",""),"]",""),"(",""),")",""),"*","")</f>
        <v/>
      </c>
      <c r="AV630" s="61" t="str">
        <f aca="false">SUBSTITUTE(SUBSTITUTE(SUBSTITUTE(SUBSTITUTE(SUBSTITUTE(SUBSTITUTE(SUBSTITUTE(SUBSTITUTE(SUBSTITUTE(SUBSTITUTE(SUBSTITUTE(SUBSTITUTE(SUBSTITUTE(SUBSTITUTE(SUBSTITUTE(SUBSTITUTE(LOWER(V630&amp;""),CHAR(10),""),CHAR(13),""),CHAR(9),""),CHAR(160),"")," ",""),".",""),"-",""),"/",""),"?",""),"_",""),",",""),"[",""),"]",""),"(",""),")",""),"*","")</f>
        <v/>
      </c>
      <c r="AW630" s="61" t="str">
        <f aca="false">SUBSTITUTE(SUBSTITUTE(SUBSTITUTE(SUBSTITUTE(SUBSTITUTE(SUBSTITUTE(SUBSTITUTE(SUBSTITUTE(SUBSTITUTE(SUBSTITUTE(SUBSTITUTE(SUBSTITUTE(SUBSTITUTE(SUBSTITUTE(SUBSTITUTE(SUBSTITUTE(LOWER(Z630&amp;""),CHAR(10),""),CHAR(13),""),CHAR(9),""),CHAR(160),"")," ",""),".",""),"-",""),"/",""),"?",""),"_",""),",",""),"[",""),"]",""),"(",""),")",""),"*","")</f>
        <v/>
      </c>
      <c r="AX630" s="61" t="str">
        <f aca="false">SUBSTITUTE(SUBSTITUTE(SUBSTITUTE(SUBSTITUTE(SUBSTITUTE(SUBSTITUTE(SUBSTITUTE(SUBSTITUTE(SUBSTITUTE(SUBSTITUTE(SUBSTITUTE(SUBSTITUTE(SUBSTITUTE(SUBSTITUTE(SUBSTITUTE(SUBSTITUTE(LOWER(AE630&amp;""),CHAR(10),""),CHAR(13),""),CHAR(9),""),CHAR(160),"")," ",""),".",""),"-",""),"/",""),"?",""),"_",""),",",""),"[",""),"]",""),"(",""),")",""),"*","")</f>
        <v/>
      </c>
      <c r="AY630" s="61" t="str">
        <f aca="false">SUBSTITUTE(SUBSTITUTE(SUBSTITUTE(SUBSTITUTE(SUBSTITUTE(SUBSTITUTE(SUBSTITUTE(SUBSTITUTE(SUBSTITUTE(SUBSTITUTE(SUBSTITUTE(SUBSTITUTE(SUBSTITUTE(SUBSTITUTE(SUBSTITUTE(SUBSTITUTE(LOWER(W630&amp;""),CHAR(10),""),CHAR(13),""),CHAR(9),""),CHAR(160),"")," ",""),".",""),"-",""),"/",""),"?",""),"_",""),",",""),"[",""),"]",""),"(",""),")",""),"*","")</f>
        <v/>
      </c>
      <c r="AZ630" s="61" t="str">
        <f aca="false">SUBSTITUTE(SUBSTITUTE(SUBSTITUTE(SUBSTITUTE(SUBSTITUTE(SUBSTITUTE(SUBSTITUTE(SUBSTITUTE(SUBSTITUTE(SUBSTITUTE(SUBSTITUTE(SUBSTITUTE(SUBSTITUTE(SUBSTITUTE(SUBSTITUTE(SUBSTITUTE(LOWER(AC630&amp;""),CHAR(10),""),CHAR(13),""),CHAR(9),""),CHAR(160),"")," ",""),".",""),"-",""),"/",""),"?",""),"_",""),",",""),"[",""),"]",""),"(",""),")",""),"*","")</f>
        <v/>
      </c>
      <c r="BA630" s="61" t="str">
        <f aca="false">SUBSTITUTE(SUBSTITUTE(SUBSTITUTE(SUBSTITUTE(SUBSTITUTE(SUBSTITUTE(SUBSTITUTE(SUBSTITUTE(SUBSTITUTE(SUBSTITUTE(SUBSTITUTE(SUBSTITUTE(SUBSTITUTE(SUBSTITUTE(SUBSTITUTE(SUBSTITUTE(LOWER(AA630&amp;""),CHAR(10),""),CHAR(13),""),CHAR(9),""),CHAR(160),"")," ",""),".",""),"-",""),"/",""),"?",""),"_",""),",",""),"[",""),"]",""),"(",""),")",""),"*","")</f>
        <v/>
      </c>
      <c r="BB630" s="61" t="str">
        <f aca="false">IF(AND(TRIM(U630)="Pass",ISNUMBER(AF630)),IF(AF630&lt;&gt;0,"INVALID – qty variance: use Fail or Pass after CA",""),"")&amp;IF(AND(TRIM(U630)="Pass after CA",ISNUMBER(AF630)),IF(AF630&lt;&gt;0,"INVALID – after the corrective action the actual qty must equal expected (update Actual)",""),"")&amp;IF(AND(TRIM(U630)="Pass",TRIM(AB630)&lt;&gt;"",TRIM(AB630)&lt;&gt;"Closed"),"INVALID – corrective action not closed: use Fail, then Pass after CA","")&amp;IF(AND(LEN(BA630)&gt;=2,ISNA(MATCH(LEFT(BA630,255),L_Placeholder,0)),TRIM(AB630)=""),"INVALID – CA status missing for the recorded corrective action","")&amp;IF(AND(TRIM(U630)="Pass after CA",OR(OR(LEN(BA630)&lt;5,ISNUMBER(MATCH(BA630,L_Placeholder,0))),TRIM(AB630)&lt;&gt;"Closed")),"INVALID – corrective action not recorded/closed","")</f>
        <v/>
      </c>
      <c r="BC630" s="61" t="str">
        <f aca="false">" "&amp;TRIM(SUBSTITUTE(SUBSTITUTE(SUBSTITUTE(SUBSTITUTE(SUBSTITUTE(SUBSTITUTE(SUBSTITUTE(SUBSTITUTE(SUBSTITUTE(SUBSTITUTE(SUBSTITUTE(SUBSTITUTE(SUBSTITUTE(SUBSTITUTE(SUBSTITUTE(SUBSTITUTE(SUBSTITUTE(SUBSTITUTE(SUBSTITUTE(SUBSTITUTE(SUBSTITUTE(SUBSTITUTE(SUBSTITUTE(SUBSTITUTE(LOWER(V630&amp;""),CHAR(10)," "),CHAR(13)," "),CHAR(9)," "),CHAR(160)," "),"."," "),","," "),"-"," "),"/"," "),"("," "),")"," "),":"," "),";"," "),"_"," "),"–"," "),"?"," "),"!"," "),"*"," "),"["," "),"]"," "),"'"," "),"#"," "),"+"," "),"&amp;"," "),"\"," "))&amp;" "</f>
        <v>  </v>
      </c>
      <c r="BD630" s="61" t="str">
        <f aca="false">" "&amp;TRIM(SUBSTITUTE(SUBSTITUTE(SUBSTITUTE(SUBSTITUTE(SUBSTITUTE(SUBSTITUTE(SUBSTITUTE(SUBSTITUTE(SUBSTITUTE(SUBSTITUTE(SUBSTITUTE(SUBSTITUTE(SUBSTITUTE(SUBSTITUTE(SUBSTITUTE(SUBSTITUTE(SUBSTITUTE(SUBSTITUTE(SUBSTITUTE(SUBSTITUTE(SUBSTITUTE(SUBSTITUTE(SUBSTITUTE(SUBSTITUTE(LOWER(Z630&amp;""),CHAR(10)," "),CHAR(13)," "),CHAR(9)," "),CHAR(160)," "),"."," "),","," "),"-"," "),"/"," "),"("," "),")"," "),":"," "),";"," "),"_"," "),"–"," "),"?"," "),"!"," "),"*"," "),"["," "),"]"," "),"'"," "),"#"," "),"+"," "),"&amp;"," "),"\"," "))&amp;" "</f>
        <v>  </v>
      </c>
      <c r="BE630" s="61" t="str">
        <f aca="false">" "&amp;TRIM(SUBSTITUTE(SUBSTITUTE(SUBSTITUTE(SUBSTITUTE(SUBSTITUTE(SUBSTITUTE(SUBSTITUTE(SUBSTITUTE(SUBSTITUTE(SUBSTITUTE(SUBSTITUTE(SUBSTITUTE(SUBSTITUTE(SUBSTITUTE(SUBSTITUTE(SUBSTITUTE(SUBSTITUTE(SUBSTITUTE(SUBSTITUTE(SUBSTITUTE(SUBSTITUTE(SUBSTITUTE(SUBSTITUTE(SUBSTITUTE(LOWER(W630&amp;""),CHAR(10)," "),CHAR(13)," "),CHAR(9)," "),CHAR(160)," "),"."," "),","," "),"-"," "),"/"," "),"("," "),")"," "),":"," "),";"," "),"_"," "),"–"," "),"?"," "),"!"," "),"*"," "),"["," "),"]"," "),"'"," "),"#"," "),"+"," "),"&amp;"," "),"\"," "))&amp;" "</f>
        <v>  </v>
      </c>
      <c r="BF630" s="61" t="str">
        <f aca="false">" "&amp;TRIM(SUBSTITUTE(SUBSTITUTE(SUBSTITUTE(SUBSTITUTE(SUBSTITUTE(SUBSTITUTE(SUBSTITUTE(SUBSTITUTE(SUBSTITUTE(SUBSTITUTE(SUBSTITUTE(SUBSTITUTE(SUBSTITUTE(SUBSTITUTE(SUBSTITUTE(SUBSTITUTE(SUBSTITUTE(SUBSTITUTE(SUBSTITUTE(SUBSTITUTE(SUBSTITUTE(SUBSTITUTE(SUBSTITUTE(SUBSTITUTE(LOWER(AC630&amp;""),CHAR(10)," "),CHAR(13)," "),CHAR(9)," "),CHAR(160)," "),"."," "),","," "),"-"," "),"/"," "),"("," "),")"," "),":"," "),";"," "),"_"," "),"–"," "),"?"," "),"!"," "),"*"," "),"["," "),"]"," "),"'"," "),"#"," "),"+"," "),"&amp;"," "),"\"," "))&amp;" "</f>
        <v>  </v>
      </c>
      <c r="BG630" s="61" t="n">
        <f aca="false">IFERROR(IF(AND(TRIM(U630)="Pass",SUMPRODUCT((LEN(BC630)-LEN(SUBSTITUTE(BC630," "&amp;L_ResultBad&amp;" "," ")))/(LEN(L_ResultBad)+1))&gt;SUMPRODUCT((LEN(BC630)-LEN(SUBSTITUTE(BC630," "&amp;L_NegPhrase&amp;" "," ")))/(LEN(L_NegPhrase)+1))),1,0),0)</f>
        <v>0</v>
      </c>
      <c r="BH630" s="61" t="n">
        <f aca="false">IFERROR(IF(SUMPRODUCT((LEN(BC630)-LEN(SUBSTITUTE(BC630," "&amp;L_Pending&amp;" "," ")))/(LEN(L_Pending)+1))&gt;SUMPRODUCT((LEN(BC630)-LEN(SUBSTITUTE(BC630," "&amp;L_PendNeg&amp;" "," ")))/(LEN(L_PendNeg)+1))+SUMPRODUCT((LEN(BC630)-LEN(SUBSTITUTE(BC630," "&amp;L_PendPrep&amp;" "," ")))/(LEN(L_PendPrep)+1)),1,0),1)</f>
        <v>0</v>
      </c>
      <c r="BI630" s="61" t="n">
        <f aca="false">IFERROR(IF(SUMPRODUCT((LEN(BD630)-LEN(SUBSTITUTE(BD630," "&amp;L_PendStrict&amp;" "," ")))/(LEN(L_PendStrict)+1))&gt;SUMPRODUCT((LEN(BD630)-LEN(SUBSTITUTE(BD630," "&amp;L_PendNeg&amp;" "," ")))/(LEN(L_PendNeg)+1)),1,0),1)</f>
        <v>0</v>
      </c>
      <c r="BJ630" s="61" t="n">
        <f aca="false">IFERROR(IF(SUMPRODUCT((LEN(BE630)-LEN(SUBSTITUTE(BE630," "&amp;L_Pending&amp;" "," ")))/(LEN(L_Pending)+1))&gt;SUMPRODUCT((LEN(BE630)-LEN(SUBSTITUTE(BE630," "&amp;L_PendNeg&amp;" "," ")))/(LEN(L_PendNeg)+1))+SUMPRODUCT((LEN(BE630)-LEN(SUBSTITUTE(BE630," "&amp;L_PendPrep&amp;" "," ")))/(LEN(L_PendPrep)+1)),1,0),1)</f>
        <v>0</v>
      </c>
      <c r="BK630" s="61" t="n">
        <f aca="false">IFERROR(IF(SUMPRODUCT((LEN(BF630)-LEN(SUBSTITUTE(BF630," "&amp;L_PendStrict&amp;" "," ")))/(LEN(L_PendStrict)+1))&gt;SUMPRODUCT((LEN(BF630)-LEN(SUBSTITUTE(BF630," "&amp;L_PendNeg&amp;" "," ")))/(LEN(L_PendNeg)+1)),1,0),1)</f>
        <v>0</v>
      </c>
      <c r="BL630" s="61" t="n">
        <f aca="false">IF(ISNA(MATCH(TRIM(S630),L_EvidenceType,0)),0,BZ630)</f>
        <v>0</v>
      </c>
      <c r="BM630" s="61" t="str">
        <f aca="false">SUBSTITUTE(SUBSTITUTE(SUBSTITUTE(SUBSTITUTE(SUBSTITUTE(SUBSTITUTE(SUBSTITUTE(SUBSTITUTE(SUBSTITUTE(LOWER(Z630&amp;""),"1","0"),"2","0"),"3","0"),"4","0"),"5","0"),"6","0"),"7","0"),"8","0"),"9","0")</f>
        <v/>
      </c>
      <c r="BN630" s="61" t="str">
        <f aca="false">SUBSTITUTE(SUBSTITUTE(SUBSTITUTE(SUBSTITUTE(SUBSTITUTE(SUBSTITUTE(SUBSTITUTE(SUBSTITUTE(SUBSTITUTE(SUBSTITUTE(SUBSTITUTE(SUBSTITUTE(SUBSTITUTE(SUBSTITUTE(SUBSTITUTE(SUBSTITUTE(SUBSTITUTE(SUBSTITUTE(SUBSTITUTE(SUBSTITUTE(SUBSTITUTE(SUBSTITUTE(SUBSTITUTE(SUBSTITUTE(SUBSTITUTE(BM630,"b","a"),"c","a"),"d","a"),"e","a"),"f","a"),"g","a"),"h","a"),"i","a"),"j","a"),"k","a"),"l","a"),"m","a"),"n","a"),"o","a"),"p","a"),"q","a"),"r","a"),"s","a"),"t","a"),"u","a"),"v","a"),"w","a"),"x","a"),"y","a"),"z","a")</f>
        <v/>
      </c>
      <c r="BO630" s="61" t="str">
        <f aca="false">SUBSTITUTE(SUBSTITUTE(SUBSTITUTE(SUBSTITUTE(SUBSTITUTE(SUBSTITUTE(SUBSTITUTE(SUBSTITUTE(SUBSTITUTE(LOWER(W630&amp;""),"1","0"),"2","0"),"3","0"),"4","0"),"5","0"),"6","0"),"7","0"),"8","0"),"9","0")</f>
        <v/>
      </c>
      <c r="BP630" s="61" t="str">
        <f aca="false">SUBSTITUTE(SUBSTITUTE(SUBSTITUTE(SUBSTITUTE(SUBSTITUTE(SUBSTITUTE(SUBSTITUTE(SUBSTITUTE(SUBSTITUTE(SUBSTITUTE(SUBSTITUTE(SUBSTITUTE(SUBSTITUTE(SUBSTITUTE(SUBSTITUTE(SUBSTITUTE(SUBSTITUTE(SUBSTITUTE(SUBSTITUTE(SUBSTITUTE(SUBSTITUTE(SUBSTITUTE(SUBSTITUTE(SUBSTITUTE(SUBSTITUTE(BO630,"b","a"),"c","a"),"d","a"),"e","a"),"f","a"),"g","a"),"h","a"),"i","a"),"j","a"),"k","a"),"l","a"),"m","a"),"n","a"),"o","a"),"p","a"),"q","a"),"r","a"),"s","a"),"t","a"),"u","a"),"v","a"),"w","a"),"x","a"),"y","a"),"z","a")</f>
        <v/>
      </c>
      <c r="BQ630" s="61" t="n">
        <f aca="false">IFERROR(IF(AND(ISERROR(SEARCH(" mh"," "&amp;LOWER(W630))),ISNA(MATCH(LEFT(TRIM(BP630),255),{"0000a","000a","00a","0000aa","000aa","00aa","0aa","0000aaa","000aaa","00a00","0a00","0000-0000","00:00","a00","a0","00.00.0000","00/00/0000","00-00-0000","0000-00-00","0000/00/00","0000.00.00","00.00.00","00/00/00","00-00-00","0.00.0000","0/00/0000","0-00-0000"},0)),ISNA(MATCH(LEFT(TRIM(CA630),255),{"0000a","000a","00a","0000aa","000aa","00aa","0aa","0000aaa","000aaa","00a00","0a00","0000-0000","00:00","a00","a0","00.00.0000","00/00/0000","00-00-0000","0000-00-00","0000/00/00","0000.00.00","00.00.00","00/00/00","00-00-00","0.00.0000","0/00/0000","0-00-0000"},0)),LEN(CB630)&gt;=3,NOT(OR(SUBSTITUTE(CB630,"0","")="",AND(LEN(CB630)&gt;=4,CB630=REPT(LEFT(CB630),LEN(CB630))),ISNUMBER(MATCH(CB630,{"123","1234","12345","123456","1234567","12345678","0123","01234","012345","98765","987654","54321"},0)),AND(LEN(CB630)=8,LEFT(CB630,3)="202"))),OR(AND((LEN(CA630)-LEN(SUBSTITUTE(CA630,"a","")))&gt;=1,SUMPRODUCT(--ISNUMBER(SEARCH({"a0","a-0","a_0","a/0","a.0","a#0","0a","0-a","0_a","0/a"},BP630)))&gt;0),ISNUMBER(SEARCH("000000",BP630)))),1,0),0)</f>
        <v>0</v>
      </c>
      <c r="BR630" s="61" t="n">
        <f aca="false">IFERROR(LEN(SUBSTITUTE(CC630," ",""))-SUMPRODUCT((LEN(CC630)-LEN(SUBSTITUTE(CC630," "&amp;L_Role&amp;" "," ")))/(LEN(L_Role)+1)*LEN(L_Role)),0)</f>
        <v>0</v>
      </c>
      <c r="BS630" s="61" t="n">
        <f aca="false">IFERROR(LEN(SUBSTITUTE(CD630," ",""))-SUMPRODUCT((LEN(CD630)-LEN(SUBSTITUTE(CD630," "&amp;L_Role&amp;" "," ")))/(LEN(L_Role)+1)*LEN(L_Role)),0)</f>
        <v>0</v>
      </c>
      <c r="BT6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630,"revision",""),"version",""),"jan",""),"feb",""),"mar",""),"apr",""),"may",""),"jun",""),"jul",""),"aug",""),"sep",""),"oct",""),"nov",""),"dec",""),"utc",""),"gmt",""),"myt",""),"bst",""),"rev",""),"ver",""),"b","a"),"c","a"),"d","a"),"e","a"),"f","a"),"g","a"),"h","a"),"i","a"),"j","a"),"k","a"),"l","a"),"m","a"),"n","a"),"o","a"),"p","a"),"q","a"),"r","a"),"s","a"),"t","a"),"u","a"),"v","a"),"w","a"),"x","a"),"y","a"),"z","a")</f>
        <v/>
      </c>
      <c r="BU630" s="61" t="str">
        <f aca="false">SUBSTITUTE(SUBSTITUTE(SUBSTITUTE(SUBSTITUTE(SUBSTITUTE(SUBSTITUTE(SUBSTITUTE(SUBSTITUTE(SUBSTITUTE(SUBSTITUTE(LEFT(BM630,FIND("0",BM630&amp;"0")-1),"-",""),"_",""),"/",""),".",""),"#",""),"\\",""),":","")," ",""),"(",""),")","")</f>
        <v/>
      </c>
      <c r="BV630" s="61" t="n">
        <f aca="false">0</f>
        <v>0</v>
      </c>
      <c r="BW6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630&amp;""),"a",""),"b",""),"c",""),"d",""),"e",""),"f",""),"g",""),"h",""),"i",""),"j",""),"k",""),"l",""),"m",""),"n",""),"o",""),"p",""),"q",""),"r",""),"s",""),"t",""),"u",""),"v",""),"w",""),"x",""),"y",""),"z",""),"-",""),"_",""),"/",""),".",""),"#",""),"\\",""),":","")," ",""),"(",""),")","")</f>
        <v/>
      </c>
      <c r="BX630" s="61" t="str">
        <f aca="false">SUBSTITUTE(SUBSTITUTE(SUBSTITUTE(SUBSTITUTE(SUBSTITUTE(SUBSTITUTE(SUBSTITUTE(SUBSTITUTE(SUBSTITUTE(SUBSTITUTE(SUBSTITUTE(BM630,"0",""),"-",""),"_",""),"/",""),".",""),"#",""),"\\",""),":","")," ",""),"(",""),")","")</f>
        <v/>
      </c>
      <c r="BY630" s="62" t="n">
        <f aca="false">Q630-T12EarlyH/24</f>
        <v>46323.0277777778</v>
      </c>
      <c r="BZ630" s="61" t="n">
        <f aca="false">IFERROR(IF(IF(TRIM(S630)="Link / file path",AND(LEN(TRIM(Z630))&gt;=5,SUMPRODUCT(--ISNUMBER(SEARCH({"http","www.","\\",":\",".pdf",".jpg",".jpeg",".png",".heic",".xls",".doc",".msg",".eml",".ppt",".txt",".zip"},Z630)))&gt;0),AND(ISERROR(FIND(" ",TRIM(Z630))),NOT(OR(SUMPRODUCT(--ISNUMBER(FIND({",",";","&amp;","+"},Z630)))&gt;0,SUMPRODUCT(--ISNUMBER(SEARCH({"0/aa","0\\aa"},BN630)))&gt;0)),NOT(SUMPRODUCT(--ISNUMBER(SEARCH({"http","www.","\\",":\",".pdf",".jpg",".jpeg",".png",".heic",".xls",".doc",".msg",".eml",".ppt",".txt",".zip"},Z630)))&gt;0),NOT(LOWER(TRIM(Z630))=LOWER(Flights!$F$23)),ISNA(MATCH(BU630,{"mh","rev","revision","ver","version","v","r","a","b","seat","tray","row","gate","bay","stand","page","pg","item","line","no","cart","galley","flight","flt","table","box","bag","oven","etd","eta","std","sta","atd","ata","qty","pax","x","time","tel","ph","mob","day","wk","week","utc","gmt","myt","lt"},0)),NOT(OR(ISNUMBER(MATCH(LEFT(BN630,255),{"0000a","000a","00a","0000aa","000aa","00aa","0aa","0000aaa","000aaa","00a00","0a00","0000-0000","00:00","a00","a0","00.00.0000","00/00/0000","00-00-0000","0000-00-00","0000/00/00","0000.00.00","00.00.00","00/00/00","00-00-00","0.00.0000","0/00/0000","0-00-0000"},0)),ISNUMBER(MATCH(LEFT(BT630,255),{"0000a","000a","00a","0000aa","000aa","00aa","0aa","0000aaa","000aaa","00a00","0a00","0000-0000","00:00","a00","a0","00.00.0000","00/00/0000","00-00-0000","0000-00-00","0000/00/00","0000.00.00","00.00.00","00/00/00","00-00-00","0.00.0000","0/00/0000","0-00-0000"},0)))),NOT(OR(AND(BW630&lt;&gt;"",SUBSTITUTE(BW630,"0","")=""),AND(LEN(BW630)&gt;=4,BW630=REPT(LEFT(BW630),LEN(BW630))),ISNUMBER(MATCH(BW630,{"123","1234","12345","123456","1234567","12345678","0123","01234","012345","98765","987654","54321"},0)),ISNUMBER(MATCH(BX630,{"x","xx","xxx","xxxx","xxxxx","abc","abcd","nil","na","nan","test","tbc","tba","tbd","dummy","sample","example","eg","zz","zzz","none","null","xyz","qwe","asd","id","ref"},0)),AND(LEN(BW630)=8,BX630="",OR(LEFT(BW630,3)="202",ISNUMBER(MATCH(RIGHT(BW630,4),{"2025","2026","2027"},0)))))),OR(AND((LEN(BT630)-LEN(SUBSTITUTE(BT630,"a","")))&gt;=1,(LEN(BN630)-LEN(SUBSTITUTE(BN630,"0","")))&gt;=2,SUMPRODUCT(--ISNUMBER(SEARCH({"a0","a-0","a_0","a/0","a.0","a#0","0a","0-a","0_a","0/a"},BN630)))&gt;0),AND((LEN(BN630)-LEN(SUBSTITUTE(BN630,"a","")))=0,(LEN(BN630)-LEN(SUBSTITUTE(BN630,"0","")))&gt;=5)))),1,0),0)</f>
        <v>0</v>
      </c>
      <c r="CA6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630,"revision",""),"version",""),"jan",""),"feb",""),"mar",""),"apr",""),"may",""),"jun",""),"jul",""),"aug",""),"sep",""),"oct",""),"nov",""),"dec",""),"utc",""),"gmt",""),"myt",""),"bst",""),"rev",""),"ver",""),"b","a"),"c","a"),"d","a"),"e","a"),"f","a"),"g","a"),"h","a"),"i","a"),"j","a"),"k","a"),"l","a"),"m","a"),"n","a"),"o","a"),"p","a"),"q","a"),"r","a"),"s","a"),"t","a"),"u","a"),"v","a"),"w","a"),"x","a"),"y","a"),"z","a")</f>
        <v/>
      </c>
      <c r="CB6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630&amp;""),"a",""),"b",""),"c",""),"d",""),"e",""),"f",""),"g",""),"h",""),"i",""),"j",""),"k",""),"l",""),"m",""),"n",""),"o",""),"p",""),"q",""),"r",""),"s",""),"t",""),"u",""),"v",""),"w",""),"x",""),"y",""),"z",""),"-",""),"_",""),"/",""),".",""),"#",""),"\\",""),":","")," ",""),"(",""),")","")</f>
        <v/>
      </c>
      <c r="CC630" s="0" t="str">
        <f aca="false">" "&amp;TRIM(SUBSTITUTE(SUBSTITUTE(SUBSTITUTE(SUBSTITUTE(SUBSTITUTE(SUBSTITUTE(SUBSTITUTE(SUBSTITUTE(SUBSTITUTE(SUBSTITUTE(SUBSTITUTE(SUBSTITUTE(SUBSTITUTE(SUBSTITUTE(SUBSTITUTE(SUBSTITUTE(SUBSTITUTE(SUBSTITUTE(SUBSTITUTE(SUBSTITUTE(SUBSTITUTE(SUBSTITUTE(SUBSTITUTE(SUBSTITUTE(LOWER(T630&amp;""),CHAR(10)," "),CHAR(13)," "),CHAR(9)," "),CHAR(160)," "),"."," "),","," "),"-"," "),"/"," "),"("," "),")"," "),":"," "),";"," "),"_"," "),"–"," "),"?"," "),"!"," "),"*"," "),"["," "),"]"," "),"'"," "),"#"," "),"+"," "),"&amp;"," "),"\"," "))&amp;" "</f>
        <v>  </v>
      </c>
      <c r="CD630" s="0" t="str">
        <f aca="false">" "&amp;TRIM(SUBSTITUTE(SUBSTITUTE(SUBSTITUTE(SUBSTITUTE(SUBSTITUTE(SUBSTITUTE(SUBSTITUTE(SUBSTITUTE(SUBSTITUTE(SUBSTITUTE(SUBSTITUTE(SUBSTITUTE(SUBSTITUTE(SUBSTITUTE(SUBSTITUTE(SUBSTITUTE(SUBSTITUTE(SUBSTITUTE(SUBSTITUTE(SUBSTITUTE(SUBSTITUTE(SUBSTITUTE(SUBSTITUTE(SUBSTITUTE(LOWER(AE630&amp;""),CHAR(10)," "),CHAR(13)," "),CHAR(9)," "),CHAR(160)," "),"."," "),","," "),"-"," "),"/"," "),"("," "),")"," "),":"," "),";"," "),"_"," "),"–"," "),"?"," "),"!"," "),"*"," "),"["," "),"]"," "),"'"," "),"#"," "),"+"," "),"&amp;"," "),"\"," "))&amp;" "</f>
        <v>  </v>
      </c>
      <c r="CE630" s="68" t="n">
        <f aca="false">IFERROR(IF(AND(LEN(AU630)&gt;0,LEN(AU630)=LEN(AX630),OR(TRIM(MID(SUBSTITUTE(TRIM(CC630)," ",REPT(" ",60)),1,60))="",ISNUMBER(SEARCH(" "&amp;TRIM(MID(SUBSTITUTE(TRIM(CC630)," ",REPT(" ",60)),1,60))&amp;" ",CD630))),OR(TRIM(MID(SUBSTITUTE(TRIM(CC630)," ",REPT(" ",60)),61,60))="",ISNUMBER(SEARCH(" "&amp;TRIM(MID(SUBSTITUTE(TRIM(CC630)," ",REPT(" ",60)),61,60))&amp;" ",CD630))),OR(TRIM(MID(SUBSTITUTE(TRIM(CC630)," ",REPT(" ",60)),121,60))="",ISNUMBER(SEARCH(" "&amp;TRIM(MID(SUBSTITUTE(TRIM(CC630)," ",REPT(" ",60)),121,60))&amp;" ",CD630)))),1,0),0)</f>
        <v>0</v>
      </c>
      <c r="CG630" s="68" t="n">
        <f aca="false">IFERROR(LEN(SUBSTITUTE(BF630," ",""))-SUMPRODUCT((LEN(BF630)-LEN(SUBSTITUTE(BF630," "&amp;L_NAFiller&amp;" "," ")))/(LEN(L_NAFiller)+1)*LEN(L_NAFiller)),0)</f>
        <v>0</v>
      </c>
    </row>
    <row r="631" customFormat="false" ht="39.75" hidden="false" customHeight="true" outlineLevel="0" collapsed="false">
      <c r="A631" s="57" t="s">
        <v>1342</v>
      </c>
      <c r="B631" s="57" t="s">
        <v>301</v>
      </c>
      <c r="C631" s="57" t="str">
        <f aca="false">Flights!$F$23</f>
        <v>MH0053</v>
      </c>
      <c r="D631" s="58" t="n">
        <f aca="false">Flights!$D$23</f>
        <v>46324</v>
      </c>
      <c r="E631" s="57" t="str">
        <f aca="false">Flights!$G$23&amp;"-"&amp;Flights!$H$23</f>
        <v>KIX-KUL</v>
      </c>
      <c r="F631" s="57" t="str">
        <f aca="false">Flights!$K$23</f>
        <v>EY</v>
      </c>
      <c r="G631" s="57" t="s">
        <v>420</v>
      </c>
      <c r="H631" s="57" t="s">
        <v>378</v>
      </c>
      <c r="I631" s="57" t="s">
        <v>428</v>
      </c>
      <c r="J631" s="57" t="s">
        <v>429</v>
      </c>
      <c r="K631" s="67"/>
      <c r="L631" s="67" t="s">
        <v>422</v>
      </c>
      <c r="M631" s="67"/>
      <c r="N631" s="67" t="s">
        <v>383</v>
      </c>
      <c r="O631" s="67" t="s">
        <v>423</v>
      </c>
      <c r="P631" s="57" t="s">
        <v>295</v>
      </c>
      <c r="Q631" s="59" t="n">
        <f aca="false">ROUND((Flights!$AE$23)*1440,0)/1440</f>
        <v>46323.5277777778</v>
      </c>
      <c r="R631" s="59" t="n">
        <f aca="false">Q631+(IF(AND(INDEX(TZ_DSTS,MATCH(P631,TZ_STN,0))&lt;&gt;"",Q631&gt;=INDEX(TZ_DSTS,MATCH(P631,TZ_STN,0)),Q631&lt;INDEX(TZ_DSTE,MATCH(P631,TZ_STN,0))),INDEX(TZ_DST,MATCH(P631,TZ_STN,0)),INDEX(TZ_STD,MATCH(P631,TZ_STN,0))))/24</f>
        <v>46323.9027777778</v>
      </c>
      <c r="S631" s="60"/>
      <c r="T631" s="60"/>
      <c r="U631" s="60"/>
      <c r="V631" s="60"/>
      <c r="W631" s="61"/>
      <c r="X631" s="60"/>
      <c r="Y631" s="60"/>
      <c r="Z631" s="60"/>
      <c r="AA631" s="60"/>
      <c r="AB631" s="60"/>
      <c r="AC631" s="60"/>
      <c r="AD631" s="66"/>
      <c r="AE631" s="60"/>
      <c r="AF631" s="61" t="str">
        <f aca="false">IF(AND(ISNUMBER(X631),ISNUMBER(Y631)),Y631-X631,"")</f>
        <v/>
      </c>
      <c r="AG631" s="62" t="str">
        <f aca="false">IF(ISNUMBER(AD631),AD631-(IF(AND(INDEX(TZ_DSTS,MATCH(P631,TZ_STN,0))&lt;&gt;"",(AD631-INDEX(TZ_STD,MATCH(P631,TZ_STN,0))/24)&gt;=INDEX(TZ_DSTS,MATCH(P631,TZ_STN,0)),(AD631-INDEX(TZ_STD,MATCH(P631,TZ_STN,0))/24)&lt;INDEX(TZ_DSTE,MATCH(P631,TZ_STN,0))),INDEX(TZ_DST,MATCH(P631,TZ_STN,0)),INDEX(TZ_STD,MATCH(P631,TZ_STN,0))))/24,"")</f>
        <v/>
      </c>
      <c r="AH631" s="65" t="str">
        <f aca="false">IFERROR(IF(N631="N/A – rule",IF(OR(TRIM(U631)="",TRIM(U631)="N/A",TRIM(U631)="Not started"),"N/A – RULE","INVALID – this check does not apply to this aircraft: clear the status (or correct the fleet on Flights)"),IF(TRIM(U631)="N/A",IF(AT631=0,"INVALID – N/A not permitted for this check",IF(AND(TRIM(AB631)&lt;&gt;"",TRIM(AB631)&lt;&gt;"Closed"),"INVALID – corrective action still open",IF(AND(NOT(OR(LEN(AZ631)&lt;15,ISNUMBER(MATCH(AZ631,L_Placeholder,0)))),BK631=0,CG631&gt;=8,NOT(OR(LEN(AU631)&lt;2,ISNUMBER(MATCH(AU631,L_Placeholder,0)))),BR631&gt;=3,NOT(OR(LEN(AX631)&lt;2,ISNUMBER(MATCH(AX631,L_Placeholder,0)))),BS631&gt;=3,TRIM(AE631)&lt;&gt;TRIM(T631),AX631&lt;&gt;AU631,CE631=0),"N/A – JUSTIFIED","INVALID – N/A needs a real, settled reason (not 'not applicable' / 'as above' / TBC), a named PIC and a different named verifier"))),IF(OR(TRIM(U631)="Pass",TRIM(U631)="Pass after CA"),IF(NOT(ISNUMBER(AD631)),"INVALID – completion time missing",IF(OR(OR(LEN(AU631)&lt;2,ISNUMBER(MATCH(AU631,L_Placeholder,0))),BR631&lt;3),"INVALID – PIC missing or not a named person (a role such as QA / CSM is not a name)",IF(OR(LEN(AV631)&lt;2,ISNUMBER(MATCH(AV631,L_Placeholder,0))),"INVALID – result / assessment missing",IF(OR(OR(LEN(AW631)&lt;3,ISNUMBER(MATCH(AW631,L_Placeholder,0))),SUMPRODUCT(--ISNUMBER(SEARCH(" "&amp;L_EvidencePhrase&amp;" ",BD631)))&gt;0,BI631=1),"INVALID – evidence missing, placeholder or not yet on file",IF(ISNA(MATCH(TRIM(S631),L_EvidenceType,0)),"INVALID – choose the evidence type from the list (column S)",IF(BL631=0,"INVALID – evidence ID must be the record's own ID only (e.g. SF-2210, IMG_2231, 1045521); a link / file name needs type 'Link / file path'",IF(OR(OR(LEN(AX631)&lt;2,ISNUMBER(MATCH(AX631,L_Placeholder,0))),BS631&lt;3),"INVALID – verifier missing or not a named person (a role such as QA / CSM is not a name)",IF(OR(AX631=AU631,CE631=1,AND(LEN(AU631)&gt;=4,ISNUMBER(SEARCH(AU631,AX631))),AND(LEN(AX631)&gt;=4,ISNUMBER(SEARCH(AX631,AU631)))),"INVALID – verifier must be a different, named person (not the PIC or a role)",IF(BH631=1,"INVALID – result not yet available (awaiting / TBC)",IF(BG631=1,"INVALID – result describes a problem: record Fail, then Pass after CA (or reword if it is not a problem)",IF(BV631=1,"INVALID – wording says not on board: an on-board confirmation needs the item loaded",IF(AND(AQ631=1,OR(OR(LEN(AY631)&lt;3,ISNUMBER(MATCH(AY631,L_Placeholder,0))),BJ631=1,BQ631=0)),"INVALID – batch ID missing, placeholder or not an ID (e.g. PASB-261008-BC-017)",IF(AND(AR631=1,OR(NOT(ISNUMBER(X631)),NOT(ISNUMBER(Y631)))),"INVALID – expected/actual qty missing",IF(AND(AR631=1,OR(X631&lt;=0,Y631&lt;0)),"INVALID – expected qty must be above 0 and actual not negative",IF(BB631&lt;&gt;"",BB631,IF(AND(AS631=1,Documents!$J$23&lt;&gt;"ON FILE"),"INVALID – GLD not on file (Documents sheet)",IF(AND(AS631=2,Documents!$O$23&lt;&gt;"ON FILE"),"INVALID – menu checklist not on file (Documents sheet)",IF(AND(AS631=3,NOT(ISNUMBER(Flights!$AX$23))),"INVALID – enter carrying flight KUL departure (Flights AX)",IF(AND(AS631=3,OR(Flights!$AZ$23&gt;Flights!$AA$23,Flights!$AX$23&lt;Flights!$AA$23-3)),"INVALID – carrying flight (Flights AX) cannot arrive before this leg's STD, or is over 3 days early",IF(AG631&gt;AsOfUTC,"INVALID – completion time is in the future",IF(AND(ISNUMBER(BY631),AG631&lt;BY631),IF(H631="Physical uplift","INVALID – before uplift window (cannot confirm loading)","INVALID – before valid window"),IF(AG631&gt;Flights!$AA$23,"INVALID – completed after departure (cannot establish readiness)",IF(AND(H631="Preparation",AG631&gt;=IF(ISNUMBER(Flights!$BA$23),MIN(Flights!$BA$23,Flights!$AA$23),Flights!$AA$23)),"INVALID – completed after loading / departure (cannot establish readiness)",IF(AND(H631="Physical uplift",AG631&gt;Q631),"INVALID – recorded after the loading flight departed",IF(AG631&gt;Q631,"COMPLETE – LATE","COMPLETE"))))))))))))))))))))))))),IF(TRIM(U631)="Fail","FAIL – DISCREPANCY",IF(AND(TRIM(U631)&lt;&gt;"",TRIM(U631)&lt;&gt;"Not started",TRIM(U631)&lt;&gt;"In progress"),"INVALID – unrecognised status (use the list)",IF(AsOfUTC&gt;Q631,"OVERDUE",IF(N631="Clarification required","OPEN – CLARIFICATION","OPEN"))))))),"INVALID – error value in an input cell")</f>
        <v>OPEN</v>
      </c>
      <c r="AI631" s="61" t="n">
        <f aca="false">IF(OR(AH631="N/A – RULE",AH631="N/A – JUSTIFIED"),0,1)</f>
        <v>1</v>
      </c>
      <c r="AJ631" s="61" t="n">
        <f aca="false">IF(LEFT(AH631,8)="COMPLETE",1,0)</f>
        <v>0</v>
      </c>
      <c r="AK631" s="61" t="n">
        <f aca="false">IF(AND(AI631=1,AJ631=0,AsOfUTC&gt;Q631),1,0)</f>
        <v>0</v>
      </c>
      <c r="AL631" s="61" t="n">
        <f aca="false">IFERROR(IF(AND(AI631=1,OR(TRIM(U631)="Fail",AND(TRIM(AB631)&lt;&gt;"",TRIM(AB631)&lt;&gt;"Closed"),AND(ISNUMBER(AF631),AF631&lt;&gt;0,TRIM(U631)&lt;&gt;"Pass after CA"))),1,0),1)</f>
        <v>0</v>
      </c>
      <c r="AM631" s="61" t="n">
        <f aca="false">IF(LEFT(AH631,7)="INVALID",1,0)</f>
        <v>0</v>
      </c>
      <c r="AN631" s="61" t="n">
        <f aca="false">IF(AND(N631="Clarification required",AI631=1,AJ631=0),1,0)</f>
        <v>0</v>
      </c>
      <c r="AO631" s="61" t="str">
        <f aca="false">IF(AK631=1,SUM(AK$5:AK631),"")</f>
        <v/>
      </c>
      <c r="AP631" s="61" t="str">
        <f aca="false">IF(AL631=1,SUM(AL$5:AL631),"")</f>
        <v/>
      </c>
      <c r="AQ631" s="61" t="n">
        <v>0</v>
      </c>
      <c r="AR631" s="61" t="n">
        <v>0</v>
      </c>
      <c r="AS631" s="61" t="n">
        <v>0</v>
      </c>
      <c r="AT631" s="61" t="n">
        <v>0</v>
      </c>
      <c r="AU631" s="61" t="str">
        <f aca="false">SUBSTITUTE(SUBSTITUTE(SUBSTITUTE(SUBSTITUTE(SUBSTITUTE(SUBSTITUTE(SUBSTITUTE(SUBSTITUTE(SUBSTITUTE(SUBSTITUTE(SUBSTITUTE(SUBSTITUTE(SUBSTITUTE(SUBSTITUTE(SUBSTITUTE(SUBSTITUTE(LOWER(T631&amp;""),CHAR(10),""),CHAR(13),""),CHAR(9),""),CHAR(160),"")," ",""),".",""),"-",""),"/",""),"?",""),"_",""),",",""),"[",""),"]",""),"(",""),")",""),"*","")</f>
        <v/>
      </c>
      <c r="AV631" s="61" t="str">
        <f aca="false">SUBSTITUTE(SUBSTITUTE(SUBSTITUTE(SUBSTITUTE(SUBSTITUTE(SUBSTITUTE(SUBSTITUTE(SUBSTITUTE(SUBSTITUTE(SUBSTITUTE(SUBSTITUTE(SUBSTITUTE(SUBSTITUTE(SUBSTITUTE(SUBSTITUTE(SUBSTITUTE(LOWER(V631&amp;""),CHAR(10),""),CHAR(13),""),CHAR(9),""),CHAR(160),"")," ",""),".",""),"-",""),"/",""),"?",""),"_",""),",",""),"[",""),"]",""),"(",""),")",""),"*","")</f>
        <v/>
      </c>
      <c r="AW631" s="61" t="str">
        <f aca="false">SUBSTITUTE(SUBSTITUTE(SUBSTITUTE(SUBSTITUTE(SUBSTITUTE(SUBSTITUTE(SUBSTITUTE(SUBSTITUTE(SUBSTITUTE(SUBSTITUTE(SUBSTITUTE(SUBSTITUTE(SUBSTITUTE(SUBSTITUTE(SUBSTITUTE(SUBSTITUTE(LOWER(Z631&amp;""),CHAR(10),""),CHAR(13),""),CHAR(9),""),CHAR(160),"")," ",""),".",""),"-",""),"/",""),"?",""),"_",""),",",""),"[",""),"]",""),"(",""),")",""),"*","")</f>
        <v/>
      </c>
      <c r="AX631" s="61" t="str">
        <f aca="false">SUBSTITUTE(SUBSTITUTE(SUBSTITUTE(SUBSTITUTE(SUBSTITUTE(SUBSTITUTE(SUBSTITUTE(SUBSTITUTE(SUBSTITUTE(SUBSTITUTE(SUBSTITUTE(SUBSTITUTE(SUBSTITUTE(SUBSTITUTE(SUBSTITUTE(SUBSTITUTE(LOWER(AE631&amp;""),CHAR(10),""),CHAR(13),""),CHAR(9),""),CHAR(160),"")," ",""),".",""),"-",""),"/",""),"?",""),"_",""),",",""),"[",""),"]",""),"(",""),")",""),"*","")</f>
        <v/>
      </c>
      <c r="AY631" s="61" t="str">
        <f aca="false">SUBSTITUTE(SUBSTITUTE(SUBSTITUTE(SUBSTITUTE(SUBSTITUTE(SUBSTITUTE(SUBSTITUTE(SUBSTITUTE(SUBSTITUTE(SUBSTITUTE(SUBSTITUTE(SUBSTITUTE(SUBSTITUTE(SUBSTITUTE(SUBSTITUTE(SUBSTITUTE(LOWER(W631&amp;""),CHAR(10),""),CHAR(13),""),CHAR(9),""),CHAR(160),"")," ",""),".",""),"-",""),"/",""),"?",""),"_",""),",",""),"[",""),"]",""),"(",""),")",""),"*","")</f>
        <v/>
      </c>
      <c r="AZ631" s="61" t="str">
        <f aca="false">SUBSTITUTE(SUBSTITUTE(SUBSTITUTE(SUBSTITUTE(SUBSTITUTE(SUBSTITUTE(SUBSTITUTE(SUBSTITUTE(SUBSTITUTE(SUBSTITUTE(SUBSTITUTE(SUBSTITUTE(SUBSTITUTE(SUBSTITUTE(SUBSTITUTE(SUBSTITUTE(LOWER(AC631&amp;""),CHAR(10),""),CHAR(13),""),CHAR(9),""),CHAR(160),"")," ",""),".",""),"-",""),"/",""),"?",""),"_",""),",",""),"[",""),"]",""),"(",""),")",""),"*","")</f>
        <v/>
      </c>
      <c r="BA631" s="61" t="str">
        <f aca="false">SUBSTITUTE(SUBSTITUTE(SUBSTITUTE(SUBSTITUTE(SUBSTITUTE(SUBSTITUTE(SUBSTITUTE(SUBSTITUTE(SUBSTITUTE(SUBSTITUTE(SUBSTITUTE(SUBSTITUTE(SUBSTITUTE(SUBSTITUTE(SUBSTITUTE(SUBSTITUTE(LOWER(AA631&amp;""),CHAR(10),""),CHAR(13),""),CHAR(9),""),CHAR(160),"")," ",""),".",""),"-",""),"/",""),"?",""),"_",""),",",""),"[",""),"]",""),"(",""),")",""),"*","")</f>
        <v/>
      </c>
      <c r="BB631" s="61" t="str">
        <f aca="false">IF(AND(TRIM(U631)="Pass",ISNUMBER(AF631)),IF(AF631&lt;&gt;0,"INVALID – qty variance: use Fail or Pass after CA",""),"")&amp;IF(AND(TRIM(U631)="Pass after CA",ISNUMBER(AF631)),IF(AF631&lt;&gt;0,"INVALID – after the corrective action the actual qty must equal expected (update Actual)",""),"")&amp;IF(AND(TRIM(U631)="Pass",TRIM(AB631)&lt;&gt;"",TRIM(AB631)&lt;&gt;"Closed"),"INVALID – corrective action not closed: use Fail, then Pass after CA","")&amp;IF(AND(LEN(BA631)&gt;=2,ISNA(MATCH(LEFT(BA631,255),L_Placeholder,0)),TRIM(AB631)=""),"INVALID – CA status missing for the recorded corrective action","")&amp;IF(AND(TRIM(U631)="Pass after CA",OR(OR(LEN(BA631)&lt;5,ISNUMBER(MATCH(BA631,L_Placeholder,0))),TRIM(AB631)&lt;&gt;"Closed")),"INVALID – corrective action not recorded/closed","")</f>
        <v/>
      </c>
      <c r="BC631" s="61" t="str">
        <f aca="false">" "&amp;TRIM(SUBSTITUTE(SUBSTITUTE(SUBSTITUTE(SUBSTITUTE(SUBSTITUTE(SUBSTITUTE(SUBSTITUTE(SUBSTITUTE(SUBSTITUTE(SUBSTITUTE(SUBSTITUTE(SUBSTITUTE(SUBSTITUTE(SUBSTITUTE(SUBSTITUTE(SUBSTITUTE(SUBSTITUTE(SUBSTITUTE(SUBSTITUTE(SUBSTITUTE(SUBSTITUTE(SUBSTITUTE(SUBSTITUTE(SUBSTITUTE(LOWER(V631&amp;""),CHAR(10)," "),CHAR(13)," "),CHAR(9)," "),CHAR(160)," "),"."," "),","," "),"-"," "),"/"," "),"("," "),")"," "),":"," "),";"," "),"_"," "),"–"," "),"?"," "),"!"," "),"*"," "),"["," "),"]"," "),"'"," "),"#"," "),"+"," "),"&amp;"," "),"\"," "))&amp;" "</f>
        <v>  </v>
      </c>
      <c r="BD631" s="61" t="str">
        <f aca="false">" "&amp;TRIM(SUBSTITUTE(SUBSTITUTE(SUBSTITUTE(SUBSTITUTE(SUBSTITUTE(SUBSTITUTE(SUBSTITUTE(SUBSTITUTE(SUBSTITUTE(SUBSTITUTE(SUBSTITUTE(SUBSTITUTE(SUBSTITUTE(SUBSTITUTE(SUBSTITUTE(SUBSTITUTE(SUBSTITUTE(SUBSTITUTE(SUBSTITUTE(SUBSTITUTE(SUBSTITUTE(SUBSTITUTE(SUBSTITUTE(SUBSTITUTE(LOWER(Z631&amp;""),CHAR(10)," "),CHAR(13)," "),CHAR(9)," "),CHAR(160)," "),"."," "),","," "),"-"," "),"/"," "),"("," "),")"," "),":"," "),";"," "),"_"," "),"–"," "),"?"," "),"!"," "),"*"," "),"["," "),"]"," "),"'"," "),"#"," "),"+"," "),"&amp;"," "),"\"," "))&amp;" "</f>
        <v>  </v>
      </c>
      <c r="BE631" s="61" t="str">
        <f aca="false">" "&amp;TRIM(SUBSTITUTE(SUBSTITUTE(SUBSTITUTE(SUBSTITUTE(SUBSTITUTE(SUBSTITUTE(SUBSTITUTE(SUBSTITUTE(SUBSTITUTE(SUBSTITUTE(SUBSTITUTE(SUBSTITUTE(SUBSTITUTE(SUBSTITUTE(SUBSTITUTE(SUBSTITUTE(SUBSTITUTE(SUBSTITUTE(SUBSTITUTE(SUBSTITUTE(SUBSTITUTE(SUBSTITUTE(SUBSTITUTE(SUBSTITUTE(LOWER(W631&amp;""),CHAR(10)," "),CHAR(13)," "),CHAR(9)," "),CHAR(160)," "),"."," "),","," "),"-"," "),"/"," "),"("," "),")"," "),":"," "),";"," "),"_"," "),"–"," "),"?"," "),"!"," "),"*"," "),"["," "),"]"," "),"'"," "),"#"," "),"+"," "),"&amp;"," "),"\"," "))&amp;" "</f>
        <v>  </v>
      </c>
      <c r="BF631" s="61" t="str">
        <f aca="false">" "&amp;TRIM(SUBSTITUTE(SUBSTITUTE(SUBSTITUTE(SUBSTITUTE(SUBSTITUTE(SUBSTITUTE(SUBSTITUTE(SUBSTITUTE(SUBSTITUTE(SUBSTITUTE(SUBSTITUTE(SUBSTITUTE(SUBSTITUTE(SUBSTITUTE(SUBSTITUTE(SUBSTITUTE(SUBSTITUTE(SUBSTITUTE(SUBSTITUTE(SUBSTITUTE(SUBSTITUTE(SUBSTITUTE(SUBSTITUTE(SUBSTITUTE(LOWER(AC631&amp;""),CHAR(10)," "),CHAR(13)," "),CHAR(9)," "),CHAR(160)," "),"."," "),","," "),"-"," "),"/"," "),"("," "),")"," "),":"," "),";"," "),"_"," "),"–"," "),"?"," "),"!"," "),"*"," "),"["," "),"]"," "),"'"," "),"#"," "),"+"," "),"&amp;"," "),"\"," "))&amp;" "</f>
        <v>  </v>
      </c>
      <c r="BG631" s="61" t="n">
        <f aca="false">IFERROR(IF(AND(TRIM(U631)="Pass",SUMPRODUCT((LEN(BC631)-LEN(SUBSTITUTE(BC631," "&amp;L_ResultBad&amp;" "," ")))/(LEN(L_ResultBad)+1))&gt;SUMPRODUCT((LEN(BC631)-LEN(SUBSTITUTE(BC631," "&amp;L_NegPhrase&amp;" "," ")))/(LEN(L_NegPhrase)+1))),1,0),0)</f>
        <v>0</v>
      </c>
      <c r="BH631" s="61" t="n">
        <f aca="false">IFERROR(IF(SUMPRODUCT((LEN(BC631)-LEN(SUBSTITUTE(BC631," "&amp;L_Pending&amp;" "," ")))/(LEN(L_Pending)+1))&gt;SUMPRODUCT((LEN(BC631)-LEN(SUBSTITUTE(BC631," "&amp;L_PendNeg&amp;" "," ")))/(LEN(L_PendNeg)+1))+SUMPRODUCT((LEN(BC631)-LEN(SUBSTITUTE(BC631," "&amp;L_PendPrep&amp;" "," ")))/(LEN(L_PendPrep)+1)),1,0),1)</f>
        <v>0</v>
      </c>
      <c r="BI631" s="61" t="n">
        <f aca="false">IFERROR(IF(SUMPRODUCT((LEN(BD631)-LEN(SUBSTITUTE(BD631," "&amp;L_PendStrict&amp;" "," ")))/(LEN(L_PendStrict)+1))&gt;SUMPRODUCT((LEN(BD631)-LEN(SUBSTITUTE(BD631," "&amp;L_PendNeg&amp;" "," ")))/(LEN(L_PendNeg)+1)),1,0),1)</f>
        <v>0</v>
      </c>
      <c r="BJ631" s="61" t="n">
        <f aca="false">IFERROR(IF(SUMPRODUCT((LEN(BE631)-LEN(SUBSTITUTE(BE631," "&amp;L_Pending&amp;" "," ")))/(LEN(L_Pending)+1))&gt;SUMPRODUCT((LEN(BE631)-LEN(SUBSTITUTE(BE631," "&amp;L_PendNeg&amp;" "," ")))/(LEN(L_PendNeg)+1))+SUMPRODUCT((LEN(BE631)-LEN(SUBSTITUTE(BE631," "&amp;L_PendPrep&amp;" "," ")))/(LEN(L_PendPrep)+1)),1,0),1)</f>
        <v>0</v>
      </c>
      <c r="BK631" s="61" t="n">
        <f aca="false">IFERROR(IF(SUMPRODUCT((LEN(BF631)-LEN(SUBSTITUTE(BF631," "&amp;L_PendStrict&amp;" "," ")))/(LEN(L_PendStrict)+1))&gt;SUMPRODUCT((LEN(BF631)-LEN(SUBSTITUTE(BF631," "&amp;L_PendNeg&amp;" "," ")))/(LEN(L_PendNeg)+1)),1,0),1)</f>
        <v>0</v>
      </c>
      <c r="BL631" s="61" t="n">
        <f aca="false">IF(ISNA(MATCH(TRIM(S631),L_EvidenceType,0)),0,BZ631)</f>
        <v>0</v>
      </c>
      <c r="BM631" s="61" t="str">
        <f aca="false">SUBSTITUTE(SUBSTITUTE(SUBSTITUTE(SUBSTITUTE(SUBSTITUTE(SUBSTITUTE(SUBSTITUTE(SUBSTITUTE(SUBSTITUTE(LOWER(Z631&amp;""),"1","0"),"2","0"),"3","0"),"4","0"),"5","0"),"6","0"),"7","0"),"8","0"),"9","0")</f>
        <v/>
      </c>
      <c r="BN631" s="61" t="str">
        <f aca="false">SUBSTITUTE(SUBSTITUTE(SUBSTITUTE(SUBSTITUTE(SUBSTITUTE(SUBSTITUTE(SUBSTITUTE(SUBSTITUTE(SUBSTITUTE(SUBSTITUTE(SUBSTITUTE(SUBSTITUTE(SUBSTITUTE(SUBSTITUTE(SUBSTITUTE(SUBSTITUTE(SUBSTITUTE(SUBSTITUTE(SUBSTITUTE(SUBSTITUTE(SUBSTITUTE(SUBSTITUTE(SUBSTITUTE(SUBSTITUTE(SUBSTITUTE(BM631,"b","a"),"c","a"),"d","a"),"e","a"),"f","a"),"g","a"),"h","a"),"i","a"),"j","a"),"k","a"),"l","a"),"m","a"),"n","a"),"o","a"),"p","a"),"q","a"),"r","a"),"s","a"),"t","a"),"u","a"),"v","a"),"w","a"),"x","a"),"y","a"),"z","a")</f>
        <v/>
      </c>
      <c r="BO631" s="61" t="str">
        <f aca="false">SUBSTITUTE(SUBSTITUTE(SUBSTITUTE(SUBSTITUTE(SUBSTITUTE(SUBSTITUTE(SUBSTITUTE(SUBSTITUTE(SUBSTITUTE(LOWER(W631&amp;""),"1","0"),"2","0"),"3","0"),"4","0"),"5","0"),"6","0"),"7","0"),"8","0"),"9","0")</f>
        <v/>
      </c>
      <c r="BP631" s="61" t="str">
        <f aca="false">SUBSTITUTE(SUBSTITUTE(SUBSTITUTE(SUBSTITUTE(SUBSTITUTE(SUBSTITUTE(SUBSTITUTE(SUBSTITUTE(SUBSTITUTE(SUBSTITUTE(SUBSTITUTE(SUBSTITUTE(SUBSTITUTE(SUBSTITUTE(SUBSTITUTE(SUBSTITUTE(SUBSTITUTE(SUBSTITUTE(SUBSTITUTE(SUBSTITUTE(SUBSTITUTE(SUBSTITUTE(SUBSTITUTE(SUBSTITUTE(SUBSTITUTE(BO631,"b","a"),"c","a"),"d","a"),"e","a"),"f","a"),"g","a"),"h","a"),"i","a"),"j","a"),"k","a"),"l","a"),"m","a"),"n","a"),"o","a"),"p","a"),"q","a"),"r","a"),"s","a"),"t","a"),"u","a"),"v","a"),"w","a"),"x","a"),"y","a"),"z","a")</f>
        <v/>
      </c>
      <c r="BQ631" s="61" t="n">
        <f aca="false">IFERROR(IF(AND(ISERROR(SEARCH(" mh"," "&amp;LOWER(W631))),ISNA(MATCH(LEFT(TRIM(BP631),255),{"0000a","000a","00a","0000aa","000aa","00aa","0aa","0000aaa","000aaa","00a00","0a00","0000-0000","00:00","a00","a0","00.00.0000","00/00/0000","00-00-0000","0000-00-00","0000/00/00","0000.00.00","00.00.00","00/00/00","00-00-00","0.00.0000","0/00/0000","0-00-0000"},0)),ISNA(MATCH(LEFT(TRIM(CA631),255),{"0000a","000a","00a","0000aa","000aa","00aa","0aa","0000aaa","000aaa","00a00","0a00","0000-0000","00:00","a00","a0","00.00.0000","00/00/0000","00-00-0000","0000-00-00","0000/00/00","0000.00.00","00.00.00","00/00/00","00-00-00","0.00.0000","0/00/0000","0-00-0000"},0)),LEN(CB631)&gt;=3,NOT(OR(SUBSTITUTE(CB631,"0","")="",AND(LEN(CB631)&gt;=4,CB631=REPT(LEFT(CB631),LEN(CB631))),ISNUMBER(MATCH(CB631,{"123","1234","12345","123456","1234567","12345678","0123","01234","012345","98765","987654","54321"},0)),AND(LEN(CB631)=8,LEFT(CB631,3)="202"))),OR(AND((LEN(CA631)-LEN(SUBSTITUTE(CA631,"a","")))&gt;=1,SUMPRODUCT(--ISNUMBER(SEARCH({"a0","a-0","a_0","a/0","a.0","a#0","0a","0-a","0_a","0/a"},BP631)))&gt;0),ISNUMBER(SEARCH("000000",BP631)))),1,0),0)</f>
        <v>0</v>
      </c>
      <c r="BR631" s="61" t="n">
        <f aca="false">IFERROR(LEN(SUBSTITUTE(CC631," ",""))-SUMPRODUCT((LEN(CC631)-LEN(SUBSTITUTE(CC631," "&amp;L_Role&amp;" "," ")))/(LEN(L_Role)+1)*LEN(L_Role)),0)</f>
        <v>0</v>
      </c>
      <c r="BS631" s="61" t="n">
        <f aca="false">IFERROR(LEN(SUBSTITUTE(CD631," ",""))-SUMPRODUCT((LEN(CD631)-LEN(SUBSTITUTE(CD631," "&amp;L_Role&amp;" "," ")))/(LEN(L_Role)+1)*LEN(L_Role)),0)</f>
        <v>0</v>
      </c>
      <c r="BT6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631,"revision",""),"version",""),"jan",""),"feb",""),"mar",""),"apr",""),"may",""),"jun",""),"jul",""),"aug",""),"sep",""),"oct",""),"nov",""),"dec",""),"utc",""),"gmt",""),"myt",""),"bst",""),"rev",""),"ver",""),"b","a"),"c","a"),"d","a"),"e","a"),"f","a"),"g","a"),"h","a"),"i","a"),"j","a"),"k","a"),"l","a"),"m","a"),"n","a"),"o","a"),"p","a"),"q","a"),"r","a"),"s","a"),"t","a"),"u","a"),"v","a"),"w","a"),"x","a"),"y","a"),"z","a")</f>
        <v/>
      </c>
      <c r="BU631" s="61" t="str">
        <f aca="false">SUBSTITUTE(SUBSTITUTE(SUBSTITUTE(SUBSTITUTE(SUBSTITUTE(SUBSTITUTE(SUBSTITUTE(SUBSTITUTE(SUBSTITUTE(SUBSTITUTE(LEFT(BM631,FIND("0",BM631&amp;"0")-1),"-",""),"_",""),"/",""),".",""),"#",""),"\\",""),":","")," ",""),"(",""),")","")</f>
        <v/>
      </c>
      <c r="BV631" s="61" t="n">
        <f aca="false">0</f>
        <v>0</v>
      </c>
      <c r="BW6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631&amp;""),"a",""),"b",""),"c",""),"d",""),"e",""),"f",""),"g",""),"h",""),"i",""),"j",""),"k",""),"l",""),"m",""),"n",""),"o",""),"p",""),"q",""),"r",""),"s",""),"t",""),"u",""),"v",""),"w",""),"x",""),"y",""),"z",""),"-",""),"_",""),"/",""),".",""),"#",""),"\\",""),":","")," ",""),"(",""),")","")</f>
        <v/>
      </c>
      <c r="BX631" s="61" t="str">
        <f aca="false">SUBSTITUTE(SUBSTITUTE(SUBSTITUTE(SUBSTITUTE(SUBSTITUTE(SUBSTITUTE(SUBSTITUTE(SUBSTITUTE(SUBSTITUTE(SUBSTITUTE(SUBSTITUTE(BM631,"0",""),"-",""),"_",""),"/",""),".",""),"#",""),"\\",""),":","")," ",""),"(",""),")","")</f>
        <v/>
      </c>
      <c r="BY631" s="62" t="n">
        <f aca="false">Q631-T12EarlyH/24</f>
        <v>46323.0277777778</v>
      </c>
      <c r="BZ631" s="61" t="n">
        <f aca="false">IFERROR(IF(IF(TRIM(S631)="Link / file path",AND(LEN(TRIM(Z631))&gt;=5,SUMPRODUCT(--ISNUMBER(SEARCH({"http","www.","\\",":\",".pdf",".jpg",".jpeg",".png",".heic",".xls",".doc",".msg",".eml",".ppt",".txt",".zip"},Z631)))&gt;0),AND(ISERROR(FIND(" ",TRIM(Z631))),NOT(OR(SUMPRODUCT(--ISNUMBER(FIND({",",";","&amp;","+"},Z631)))&gt;0,SUMPRODUCT(--ISNUMBER(SEARCH({"0/aa","0\\aa"},BN631)))&gt;0)),NOT(SUMPRODUCT(--ISNUMBER(SEARCH({"http","www.","\\",":\",".pdf",".jpg",".jpeg",".png",".heic",".xls",".doc",".msg",".eml",".ppt",".txt",".zip"},Z631)))&gt;0),NOT(LOWER(TRIM(Z631))=LOWER(Flights!$F$23)),ISNA(MATCH(BU631,{"mh","rev","revision","ver","version","v","r","a","b","seat","tray","row","gate","bay","stand","page","pg","item","line","no","cart","galley","flight","flt","table","box","bag","oven","etd","eta","std","sta","atd","ata","qty","pax","x","time","tel","ph","mob","day","wk","week","utc","gmt","myt","lt"},0)),NOT(OR(ISNUMBER(MATCH(LEFT(BN631,255),{"0000a","000a","00a","0000aa","000aa","00aa","0aa","0000aaa","000aaa","00a00","0a00","0000-0000","00:00","a00","a0","00.00.0000","00/00/0000","00-00-0000","0000-00-00","0000/00/00","0000.00.00","00.00.00","00/00/00","00-00-00","0.00.0000","0/00/0000","0-00-0000"},0)),ISNUMBER(MATCH(LEFT(BT631,255),{"0000a","000a","00a","0000aa","000aa","00aa","0aa","0000aaa","000aaa","00a00","0a00","0000-0000","00:00","a00","a0","00.00.0000","00/00/0000","00-00-0000","0000-00-00","0000/00/00","0000.00.00","00.00.00","00/00/00","00-00-00","0.00.0000","0/00/0000","0-00-0000"},0)))),NOT(OR(AND(BW631&lt;&gt;"",SUBSTITUTE(BW631,"0","")=""),AND(LEN(BW631)&gt;=4,BW631=REPT(LEFT(BW631),LEN(BW631))),ISNUMBER(MATCH(BW631,{"123","1234","12345","123456","1234567","12345678","0123","01234","012345","98765","987654","54321"},0)),ISNUMBER(MATCH(BX631,{"x","xx","xxx","xxxx","xxxxx","abc","abcd","nil","na","nan","test","tbc","tba","tbd","dummy","sample","example","eg","zz","zzz","none","null","xyz","qwe","asd","id","ref"},0)),AND(LEN(BW631)=8,BX631="",OR(LEFT(BW631,3)="202",ISNUMBER(MATCH(RIGHT(BW631,4),{"2025","2026","2027"},0)))))),OR(AND((LEN(BT631)-LEN(SUBSTITUTE(BT631,"a","")))&gt;=1,(LEN(BN631)-LEN(SUBSTITUTE(BN631,"0","")))&gt;=2,SUMPRODUCT(--ISNUMBER(SEARCH({"a0","a-0","a_0","a/0","a.0","a#0","0a","0-a","0_a","0/a"},BN631)))&gt;0),AND((LEN(BN631)-LEN(SUBSTITUTE(BN631,"a","")))=0,(LEN(BN631)-LEN(SUBSTITUTE(BN631,"0","")))&gt;=5)))),1,0),0)</f>
        <v>0</v>
      </c>
      <c r="CA6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631,"revision",""),"version",""),"jan",""),"feb",""),"mar",""),"apr",""),"may",""),"jun",""),"jul",""),"aug",""),"sep",""),"oct",""),"nov",""),"dec",""),"utc",""),"gmt",""),"myt",""),"bst",""),"rev",""),"ver",""),"b","a"),"c","a"),"d","a"),"e","a"),"f","a"),"g","a"),"h","a"),"i","a"),"j","a"),"k","a"),"l","a"),"m","a"),"n","a"),"o","a"),"p","a"),"q","a"),"r","a"),"s","a"),"t","a"),"u","a"),"v","a"),"w","a"),"x","a"),"y","a"),"z","a")</f>
        <v/>
      </c>
      <c r="CB6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631&amp;""),"a",""),"b",""),"c",""),"d",""),"e",""),"f",""),"g",""),"h",""),"i",""),"j",""),"k",""),"l",""),"m",""),"n",""),"o",""),"p",""),"q",""),"r",""),"s",""),"t",""),"u",""),"v",""),"w",""),"x",""),"y",""),"z",""),"-",""),"_",""),"/",""),".",""),"#",""),"\\",""),":","")," ",""),"(",""),")","")</f>
        <v/>
      </c>
      <c r="CC631" s="0" t="str">
        <f aca="false">" "&amp;TRIM(SUBSTITUTE(SUBSTITUTE(SUBSTITUTE(SUBSTITUTE(SUBSTITUTE(SUBSTITUTE(SUBSTITUTE(SUBSTITUTE(SUBSTITUTE(SUBSTITUTE(SUBSTITUTE(SUBSTITUTE(SUBSTITUTE(SUBSTITUTE(SUBSTITUTE(SUBSTITUTE(SUBSTITUTE(SUBSTITUTE(SUBSTITUTE(SUBSTITUTE(SUBSTITUTE(SUBSTITUTE(SUBSTITUTE(SUBSTITUTE(LOWER(T631&amp;""),CHAR(10)," "),CHAR(13)," "),CHAR(9)," "),CHAR(160)," "),"."," "),","," "),"-"," "),"/"," "),"("," "),")"," "),":"," "),";"," "),"_"," "),"–"," "),"?"," "),"!"," "),"*"," "),"["," "),"]"," "),"'"," "),"#"," "),"+"," "),"&amp;"," "),"\"," "))&amp;" "</f>
        <v>  </v>
      </c>
      <c r="CD631" s="0" t="str">
        <f aca="false">" "&amp;TRIM(SUBSTITUTE(SUBSTITUTE(SUBSTITUTE(SUBSTITUTE(SUBSTITUTE(SUBSTITUTE(SUBSTITUTE(SUBSTITUTE(SUBSTITUTE(SUBSTITUTE(SUBSTITUTE(SUBSTITUTE(SUBSTITUTE(SUBSTITUTE(SUBSTITUTE(SUBSTITUTE(SUBSTITUTE(SUBSTITUTE(SUBSTITUTE(SUBSTITUTE(SUBSTITUTE(SUBSTITUTE(SUBSTITUTE(SUBSTITUTE(LOWER(AE631&amp;""),CHAR(10)," "),CHAR(13)," "),CHAR(9)," "),CHAR(160)," "),"."," "),","," "),"-"," "),"/"," "),"("," "),")"," "),":"," "),";"," "),"_"," "),"–"," "),"?"," "),"!"," "),"*"," "),"["," "),"]"," "),"'"," "),"#"," "),"+"," "),"&amp;"," "),"\"," "))&amp;" "</f>
        <v>  </v>
      </c>
      <c r="CE631" s="68" t="n">
        <f aca="false">IFERROR(IF(AND(LEN(AU631)&gt;0,LEN(AU631)=LEN(AX631),OR(TRIM(MID(SUBSTITUTE(TRIM(CC631)," ",REPT(" ",60)),1,60))="",ISNUMBER(SEARCH(" "&amp;TRIM(MID(SUBSTITUTE(TRIM(CC631)," ",REPT(" ",60)),1,60))&amp;" ",CD631))),OR(TRIM(MID(SUBSTITUTE(TRIM(CC631)," ",REPT(" ",60)),61,60))="",ISNUMBER(SEARCH(" "&amp;TRIM(MID(SUBSTITUTE(TRIM(CC631)," ",REPT(" ",60)),61,60))&amp;" ",CD631))),OR(TRIM(MID(SUBSTITUTE(TRIM(CC631)," ",REPT(" ",60)),121,60))="",ISNUMBER(SEARCH(" "&amp;TRIM(MID(SUBSTITUTE(TRIM(CC631)," ",REPT(" ",60)),121,60))&amp;" ",CD631)))),1,0),0)</f>
        <v>0</v>
      </c>
      <c r="CG631" s="68" t="n">
        <f aca="false">IFERROR(LEN(SUBSTITUTE(BF631," ",""))-SUMPRODUCT((LEN(BF631)-LEN(SUBSTITUTE(BF631," "&amp;L_NAFiller&amp;" "," ")))/(LEN(L_NAFiller)+1)*LEN(L_NAFiller)),0)</f>
        <v>0</v>
      </c>
    </row>
    <row r="632" customFormat="false" ht="39.75" hidden="false" customHeight="true" outlineLevel="0" collapsed="false">
      <c r="A632" s="57" t="s">
        <v>1343</v>
      </c>
      <c r="B632" s="57" t="s">
        <v>301</v>
      </c>
      <c r="C632" s="57" t="str">
        <f aca="false">Flights!$F$23</f>
        <v>MH0053</v>
      </c>
      <c r="D632" s="58" t="n">
        <f aca="false">Flights!$D$23</f>
        <v>46324</v>
      </c>
      <c r="E632" s="57" t="str">
        <f aca="false">Flights!$G$23&amp;"-"&amp;Flights!$H$23</f>
        <v>KIX-KUL</v>
      </c>
      <c r="F632" s="57" t="str">
        <f aca="false">Flights!$K$23</f>
        <v>EY</v>
      </c>
      <c r="G632" s="57" t="s">
        <v>420</v>
      </c>
      <c r="H632" s="57" t="s">
        <v>378</v>
      </c>
      <c r="I632" s="57" t="s">
        <v>428</v>
      </c>
      <c r="J632" s="57" t="s">
        <v>431</v>
      </c>
      <c r="K632" s="67"/>
      <c r="L632" s="67" t="s">
        <v>422</v>
      </c>
      <c r="M632" s="67"/>
      <c r="N632" s="67" t="s">
        <v>383</v>
      </c>
      <c r="O632" s="67" t="s">
        <v>423</v>
      </c>
      <c r="P632" s="57" t="s">
        <v>295</v>
      </c>
      <c r="Q632" s="59" t="n">
        <f aca="false">ROUND((Flights!$AE$23)*1440,0)/1440</f>
        <v>46323.5277777778</v>
      </c>
      <c r="R632" s="59" t="n">
        <f aca="false">Q632+(IF(AND(INDEX(TZ_DSTS,MATCH(P632,TZ_STN,0))&lt;&gt;"",Q632&gt;=INDEX(TZ_DSTS,MATCH(P632,TZ_STN,0)),Q632&lt;INDEX(TZ_DSTE,MATCH(P632,TZ_STN,0))),INDEX(TZ_DST,MATCH(P632,TZ_STN,0)),INDEX(TZ_STD,MATCH(P632,TZ_STN,0))))/24</f>
        <v>46323.9027777778</v>
      </c>
      <c r="S632" s="60"/>
      <c r="T632" s="60"/>
      <c r="U632" s="60"/>
      <c r="V632" s="60"/>
      <c r="W632" s="61"/>
      <c r="X632" s="60"/>
      <c r="Y632" s="60"/>
      <c r="Z632" s="60"/>
      <c r="AA632" s="60"/>
      <c r="AB632" s="60"/>
      <c r="AC632" s="60"/>
      <c r="AD632" s="66"/>
      <c r="AE632" s="60"/>
      <c r="AF632" s="61" t="str">
        <f aca="false">IF(AND(ISNUMBER(X632),ISNUMBER(Y632)),Y632-X632,"")</f>
        <v/>
      </c>
      <c r="AG632" s="62" t="str">
        <f aca="false">IF(ISNUMBER(AD632),AD632-(IF(AND(INDEX(TZ_DSTS,MATCH(P632,TZ_STN,0))&lt;&gt;"",(AD632-INDEX(TZ_STD,MATCH(P632,TZ_STN,0))/24)&gt;=INDEX(TZ_DSTS,MATCH(P632,TZ_STN,0)),(AD632-INDEX(TZ_STD,MATCH(P632,TZ_STN,0))/24)&lt;INDEX(TZ_DSTE,MATCH(P632,TZ_STN,0))),INDEX(TZ_DST,MATCH(P632,TZ_STN,0)),INDEX(TZ_STD,MATCH(P632,TZ_STN,0))))/24,"")</f>
        <v/>
      </c>
      <c r="AH632" s="65" t="str">
        <f aca="false">IFERROR(IF(N632="N/A – rule",IF(OR(TRIM(U632)="",TRIM(U632)="N/A",TRIM(U632)="Not started"),"N/A – RULE","INVALID – this check does not apply to this aircraft: clear the status (or correct the fleet on Flights)"),IF(TRIM(U632)="N/A",IF(AT632=0,"INVALID – N/A not permitted for this check",IF(AND(TRIM(AB632)&lt;&gt;"",TRIM(AB632)&lt;&gt;"Closed"),"INVALID – corrective action still open",IF(AND(NOT(OR(LEN(AZ632)&lt;15,ISNUMBER(MATCH(AZ632,L_Placeholder,0)))),BK632=0,CG632&gt;=8,NOT(OR(LEN(AU632)&lt;2,ISNUMBER(MATCH(AU632,L_Placeholder,0)))),BR632&gt;=3,NOT(OR(LEN(AX632)&lt;2,ISNUMBER(MATCH(AX632,L_Placeholder,0)))),BS632&gt;=3,TRIM(AE632)&lt;&gt;TRIM(T632),AX632&lt;&gt;AU632,CE632=0),"N/A – JUSTIFIED","INVALID – N/A needs a real, settled reason (not 'not applicable' / 'as above' / TBC), a named PIC and a different named verifier"))),IF(OR(TRIM(U632)="Pass",TRIM(U632)="Pass after CA"),IF(NOT(ISNUMBER(AD632)),"INVALID – completion time missing",IF(OR(OR(LEN(AU632)&lt;2,ISNUMBER(MATCH(AU632,L_Placeholder,0))),BR632&lt;3),"INVALID – PIC missing or not a named person (a role such as QA / CSM is not a name)",IF(OR(LEN(AV632)&lt;2,ISNUMBER(MATCH(AV632,L_Placeholder,0))),"INVALID – result / assessment missing",IF(OR(OR(LEN(AW632)&lt;3,ISNUMBER(MATCH(AW632,L_Placeholder,0))),SUMPRODUCT(--ISNUMBER(SEARCH(" "&amp;L_EvidencePhrase&amp;" ",BD632)))&gt;0,BI632=1),"INVALID – evidence missing, placeholder or not yet on file",IF(ISNA(MATCH(TRIM(S632),L_EvidenceType,0)),"INVALID – choose the evidence type from the list (column S)",IF(BL632=0,"INVALID – evidence ID must be the record's own ID only (e.g. SF-2210, IMG_2231, 1045521); a link / file name needs type 'Link / file path'",IF(OR(OR(LEN(AX632)&lt;2,ISNUMBER(MATCH(AX632,L_Placeholder,0))),BS632&lt;3),"INVALID – verifier missing or not a named person (a role such as QA / CSM is not a name)",IF(OR(AX632=AU632,CE632=1,AND(LEN(AU632)&gt;=4,ISNUMBER(SEARCH(AU632,AX632))),AND(LEN(AX632)&gt;=4,ISNUMBER(SEARCH(AX632,AU632)))),"INVALID – verifier must be a different, named person (not the PIC or a role)",IF(BH632=1,"INVALID – result not yet available (awaiting / TBC)",IF(BG632=1,"INVALID – result describes a problem: record Fail, then Pass after CA (or reword if it is not a problem)",IF(BV632=1,"INVALID – wording says not on board: an on-board confirmation needs the item loaded",IF(AND(AQ632=1,OR(OR(LEN(AY632)&lt;3,ISNUMBER(MATCH(AY632,L_Placeholder,0))),BJ632=1,BQ632=0)),"INVALID – batch ID missing, placeholder or not an ID (e.g. PASB-261008-BC-017)",IF(AND(AR632=1,OR(NOT(ISNUMBER(X632)),NOT(ISNUMBER(Y632)))),"INVALID – expected/actual qty missing",IF(AND(AR632=1,OR(X632&lt;=0,Y632&lt;0)),"INVALID – expected qty must be above 0 and actual not negative",IF(BB632&lt;&gt;"",BB632,IF(AND(AS632=1,Documents!$J$23&lt;&gt;"ON FILE"),"INVALID – GLD not on file (Documents sheet)",IF(AND(AS632=2,Documents!$O$23&lt;&gt;"ON FILE"),"INVALID – menu checklist not on file (Documents sheet)",IF(AND(AS632=3,NOT(ISNUMBER(Flights!$AX$23))),"INVALID – enter carrying flight KUL departure (Flights AX)",IF(AND(AS632=3,OR(Flights!$AZ$23&gt;Flights!$AA$23,Flights!$AX$23&lt;Flights!$AA$23-3)),"INVALID – carrying flight (Flights AX) cannot arrive before this leg's STD, or is over 3 days early",IF(AG632&gt;AsOfUTC,"INVALID – completion time is in the future",IF(AND(ISNUMBER(BY632),AG632&lt;BY632),IF(H632="Physical uplift","INVALID – before uplift window (cannot confirm loading)","INVALID – before valid window"),IF(AG632&gt;Flights!$AA$23,"INVALID – completed after departure (cannot establish readiness)",IF(AND(H632="Preparation",AG632&gt;=IF(ISNUMBER(Flights!$BA$23),MIN(Flights!$BA$23,Flights!$AA$23),Flights!$AA$23)),"INVALID – completed after loading / departure (cannot establish readiness)",IF(AND(H632="Physical uplift",AG632&gt;Q632),"INVALID – recorded after the loading flight departed",IF(AG632&gt;Q632,"COMPLETE – LATE","COMPLETE"))))))))))))))))))))))))),IF(TRIM(U632)="Fail","FAIL – DISCREPANCY",IF(AND(TRIM(U632)&lt;&gt;"",TRIM(U632)&lt;&gt;"Not started",TRIM(U632)&lt;&gt;"In progress"),"INVALID – unrecognised status (use the list)",IF(AsOfUTC&gt;Q632,"OVERDUE",IF(N632="Clarification required","OPEN – CLARIFICATION","OPEN"))))))),"INVALID – error value in an input cell")</f>
        <v>OPEN</v>
      </c>
      <c r="AI632" s="61" t="n">
        <f aca="false">IF(OR(AH632="N/A – RULE",AH632="N/A – JUSTIFIED"),0,1)</f>
        <v>1</v>
      </c>
      <c r="AJ632" s="61" t="n">
        <f aca="false">IF(LEFT(AH632,8)="COMPLETE",1,0)</f>
        <v>0</v>
      </c>
      <c r="AK632" s="61" t="n">
        <f aca="false">IF(AND(AI632=1,AJ632=0,AsOfUTC&gt;Q632),1,0)</f>
        <v>0</v>
      </c>
      <c r="AL632" s="61" t="n">
        <f aca="false">IFERROR(IF(AND(AI632=1,OR(TRIM(U632)="Fail",AND(TRIM(AB632)&lt;&gt;"",TRIM(AB632)&lt;&gt;"Closed"),AND(ISNUMBER(AF632),AF632&lt;&gt;0,TRIM(U632)&lt;&gt;"Pass after CA"))),1,0),1)</f>
        <v>0</v>
      </c>
      <c r="AM632" s="61" t="n">
        <f aca="false">IF(LEFT(AH632,7)="INVALID",1,0)</f>
        <v>0</v>
      </c>
      <c r="AN632" s="61" t="n">
        <f aca="false">IF(AND(N632="Clarification required",AI632=1,AJ632=0),1,0)</f>
        <v>0</v>
      </c>
      <c r="AO632" s="61" t="str">
        <f aca="false">IF(AK632=1,SUM(AK$5:AK632),"")</f>
        <v/>
      </c>
      <c r="AP632" s="61" t="str">
        <f aca="false">IF(AL632=1,SUM(AL$5:AL632),"")</f>
        <v/>
      </c>
      <c r="AQ632" s="61" t="n">
        <v>0</v>
      </c>
      <c r="AR632" s="61" t="n">
        <v>0</v>
      </c>
      <c r="AS632" s="61" t="n">
        <v>0</v>
      </c>
      <c r="AT632" s="61" t="n">
        <v>0</v>
      </c>
      <c r="AU632" s="61" t="str">
        <f aca="false">SUBSTITUTE(SUBSTITUTE(SUBSTITUTE(SUBSTITUTE(SUBSTITUTE(SUBSTITUTE(SUBSTITUTE(SUBSTITUTE(SUBSTITUTE(SUBSTITUTE(SUBSTITUTE(SUBSTITUTE(SUBSTITUTE(SUBSTITUTE(SUBSTITUTE(SUBSTITUTE(LOWER(T632&amp;""),CHAR(10),""),CHAR(13),""),CHAR(9),""),CHAR(160),"")," ",""),".",""),"-",""),"/",""),"?",""),"_",""),",",""),"[",""),"]",""),"(",""),")",""),"*","")</f>
        <v/>
      </c>
      <c r="AV632" s="61" t="str">
        <f aca="false">SUBSTITUTE(SUBSTITUTE(SUBSTITUTE(SUBSTITUTE(SUBSTITUTE(SUBSTITUTE(SUBSTITUTE(SUBSTITUTE(SUBSTITUTE(SUBSTITUTE(SUBSTITUTE(SUBSTITUTE(SUBSTITUTE(SUBSTITUTE(SUBSTITUTE(SUBSTITUTE(LOWER(V632&amp;""),CHAR(10),""),CHAR(13),""),CHAR(9),""),CHAR(160),"")," ",""),".",""),"-",""),"/",""),"?",""),"_",""),",",""),"[",""),"]",""),"(",""),")",""),"*","")</f>
        <v/>
      </c>
      <c r="AW632" s="61" t="str">
        <f aca="false">SUBSTITUTE(SUBSTITUTE(SUBSTITUTE(SUBSTITUTE(SUBSTITUTE(SUBSTITUTE(SUBSTITUTE(SUBSTITUTE(SUBSTITUTE(SUBSTITUTE(SUBSTITUTE(SUBSTITUTE(SUBSTITUTE(SUBSTITUTE(SUBSTITUTE(SUBSTITUTE(LOWER(Z632&amp;""),CHAR(10),""),CHAR(13),""),CHAR(9),""),CHAR(160),"")," ",""),".",""),"-",""),"/",""),"?",""),"_",""),",",""),"[",""),"]",""),"(",""),")",""),"*","")</f>
        <v/>
      </c>
      <c r="AX632" s="61" t="str">
        <f aca="false">SUBSTITUTE(SUBSTITUTE(SUBSTITUTE(SUBSTITUTE(SUBSTITUTE(SUBSTITUTE(SUBSTITUTE(SUBSTITUTE(SUBSTITUTE(SUBSTITUTE(SUBSTITUTE(SUBSTITUTE(SUBSTITUTE(SUBSTITUTE(SUBSTITUTE(SUBSTITUTE(LOWER(AE632&amp;""),CHAR(10),""),CHAR(13),""),CHAR(9),""),CHAR(160),"")," ",""),".",""),"-",""),"/",""),"?",""),"_",""),",",""),"[",""),"]",""),"(",""),")",""),"*","")</f>
        <v/>
      </c>
      <c r="AY632" s="61" t="str">
        <f aca="false">SUBSTITUTE(SUBSTITUTE(SUBSTITUTE(SUBSTITUTE(SUBSTITUTE(SUBSTITUTE(SUBSTITUTE(SUBSTITUTE(SUBSTITUTE(SUBSTITUTE(SUBSTITUTE(SUBSTITUTE(SUBSTITUTE(SUBSTITUTE(SUBSTITUTE(SUBSTITUTE(LOWER(W632&amp;""),CHAR(10),""),CHAR(13),""),CHAR(9),""),CHAR(160),"")," ",""),".",""),"-",""),"/",""),"?",""),"_",""),",",""),"[",""),"]",""),"(",""),")",""),"*","")</f>
        <v/>
      </c>
      <c r="AZ632" s="61" t="str">
        <f aca="false">SUBSTITUTE(SUBSTITUTE(SUBSTITUTE(SUBSTITUTE(SUBSTITUTE(SUBSTITUTE(SUBSTITUTE(SUBSTITUTE(SUBSTITUTE(SUBSTITUTE(SUBSTITUTE(SUBSTITUTE(SUBSTITUTE(SUBSTITUTE(SUBSTITUTE(SUBSTITUTE(LOWER(AC632&amp;""),CHAR(10),""),CHAR(13),""),CHAR(9),""),CHAR(160),"")," ",""),".",""),"-",""),"/",""),"?",""),"_",""),",",""),"[",""),"]",""),"(",""),")",""),"*","")</f>
        <v/>
      </c>
      <c r="BA632" s="61" t="str">
        <f aca="false">SUBSTITUTE(SUBSTITUTE(SUBSTITUTE(SUBSTITUTE(SUBSTITUTE(SUBSTITUTE(SUBSTITUTE(SUBSTITUTE(SUBSTITUTE(SUBSTITUTE(SUBSTITUTE(SUBSTITUTE(SUBSTITUTE(SUBSTITUTE(SUBSTITUTE(SUBSTITUTE(LOWER(AA632&amp;""),CHAR(10),""),CHAR(13),""),CHAR(9),""),CHAR(160),"")," ",""),".",""),"-",""),"/",""),"?",""),"_",""),",",""),"[",""),"]",""),"(",""),")",""),"*","")</f>
        <v/>
      </c>
      <c r="BB632" s="61" t="str">
        <f aca="false">IF(AND(TRIM(U632)="Pass",ISNUMBER(AF632)),IF(AF632&lt;&gt;0,"INVALID – qty variance: use Fail or Pass after CA",""),"")&amp;IF(AND(TRIM(U632)="Pass after CA",ISNUMBER(AF632)),IF(AF632&lt;&gt;0,"INVALID – after the corrective action the actual qty must equal expected (update Actual)",""),"")&amp;IF(AND(TRIM(U632)="Pass",TRIM(AB632)&lt;&gt;"",TRIM(AB632)&lt;&gt;"Closed"),"INVALID – corrective action not closed: use Fail, then Pass after CA","")&amp;IF(AND(LEN(BA632)&gt;=2,ISNA(MATCH(LEFT(BA632,255),L_Placeholder,0)),TRIM(AB632)=""),"INVALID – CA status missing for the recorded corrective action","")&amp;IF(AND(TRIM(U632)="Pass after CA",OR(OR(LEN(BA632)&lt;5,ISNUMBER(MATCH(BA632,L_Placeholder,0))),TRIM(AB632)&lt;&gt;"Closed")),"INVALID – corrective action not recorded/closed","")</f>
        <v/>
      </c>
      <c r="BC632" s="61" t="str">
        <f aca="false">" "&amp;TRIM(SUBSTITUTE(SUBSTITUTE(SUBSTITUTE(SUBSTITUTE(SUBSTITUTE(SUBSTITUTE(SUBSTITUTE(SUBSTITUTE(SUBSTITUTE(SUBSTITUTE(SUBSTITUTE(SUBSTITUTE(SUBSTITUTE(SUBSTITUTE(SUBSTITUTE(SUBSTITUTE(SUBSTITUTE(SUBSTITUTE(SUBSTITUTE(SUBSTITUTE(SUBSTITUTE(SUBSTITUTE(SUBSTITUTE(SUBSTITUTE(LOWER(V632&amp;""),CHAR(10)," "),CHAR(13)," "),CHAR(9)," "),CHAR(160)," "),"."," "),","," "),"-"," "),"/"," "),"("," "),")"," "),":"," "),";"," "),"_"," "),"–"," "),"?"," "),"!"," "),"*"," "),"["," "),"]"," "),"'"," "),"#"," "),"+"," "),"&amp;"," "),"\"," "))&amp;" "</f>
        <v>  </v>
      </c>
      <c r="BD632" s="61" t="str">
        <f aca="false">" "&amp;TRIM(SUBSTITUTE(SUBSTITUTE(SUBSTITUTE(SUBSTITUTE(SUBSTITUTE(SUBSTITUTE(SUBSTITUTE(SUBSTITUTE(SUBSTITUTE(SUBSTITUTE(SUBSTITUTE(SUBSTITUTE(SUBSTITUTE(SUBSTITUTE(SUBSTITUTE(SUBSTITUTE(SUBSTITUTE(SUBSTITUTE(SUBSTITUTE(SUBSTITUTE(SUBSTITUTE(SUBSTITUTE(SUBSTITUTE(SUBSTITUTE(LOWER(Z632&amp;""),CHAR(10)," "),CHAR(13)," "),CHAR(9)," "),CHAR(160)," "),"."," "),","," "),"-"," "),"/"," "),"("," "),")"," "),":"," "),";"," "),"_"," "),"–"," "),"?"," "),"!"," "),"*"," "),"["," "),"]"," "),"'"," "),"#"," "),"+"," "),"&amp;"," "),"\"," "))&amp;" "</f>
        <v>  </v>
      </c>
      <c r="BE632" s="61" t="str">
        <f aca="false">" "&amp;TRIM(SUBSTITUTE(SUBSTITUTE(SUBSTITUTE(SUBSTITUTE(SUBSTITUTE(SUBSTITUTE(SUBSTITUTE(SUBSTITUTE(SUBSTITUTE(SUBSTITUTE(SUBSTITUTE(SUBSTITUTE(SUBSTITUTE(SUBSTITUTE(SUBSTITUTE(SUBSTITUTE(SUBSTITUTE(SUBSTITUTE(SUBSTITUTE(SUBSTITUTE(SUBSTITUTE(SUBSTITUTE(SUBSTITUTE(SUBSTITUTE(LOWER(W632&amp;""),CHAR(10)," "),CHAR(13)," "),CHAR(9)," "),CHAR(160)," "),"."," "),","," "),"-"," "),"/"," "),"("," "),")"," "),":"," "),";"," "),"_"," "),"–"," "),"?"," "),"!"," "),"*"," "),"["," "),"]"," "),"'"," "),"#"," "),"+"," "),"&amp;"," "),"\"," "))&amp;" "</f>
        <v>  </v>
      </c>
      <c r="BF632" s="61" t="str">
        <f aca="false">" "&amp;TRIM(SUBSTITUTE(SUBSTITUTE(SUBSTITUTE(SUBSTITUTE(SUBSTITUTE(SUBSTITUTE(SUBSTITUTE(SUBSTITUTE(SUBSTITUTE(SUBSTITUTE(SUBSTITUTE(SUBSTITUTE(SUBSTITUTE(SUBSTITUTE(SUBSTITUTE(SUBSTITUTE(SUBSTITUTE(SUBSTITUTE(SUBSTITUTE(SUBSTITUTE(SUBSTITUTE(SUBSTITUTE(SUBSTITUTE(SUBSTITUTE(LOWER(AC632&amp;""),CHAR(10)," "),CHAR(13)," "),CHAR(9)," "),CHAR(160)," "),"."," "),","," "),"-"," "),"/"," "),"("," "),")"," "),":"," "),";"," "),"_"," "),"–"," "),"?"," "),"!"," "),"*"," "),"["," "),"]"," "),"'"," "),"#"," "),"+"," "),"&amp;"," "),"\"," "))&amp;" "</f>
        <v>  </v>
      </c>
      <c r="BG632" s="61" t="n">
        <f aca="false">IFERROR(IF(AND(TRIM(U632)="Pass",SUMPRODUCT((LEN(BC632)-LEN(SUBSTITUTE(BC632," "&amp;L_ResultBad&amp;" "," ")))/(LEN(L_ResultBad)+1))&gt;SUMPRODUCT((LEN(BC632)-LEN(SUBSTITUTE(BC632," "&amp;L_NegPhrase&amp;" "," ")))/(LEN(L_NegPhrase)+1))),1,0),0)</f>
        <v>0</v>
      </c>
      <c r="BH632" s="61" t="n">
        <f aca="false">IFERROR(IF(SUMPRODUCT((LEN(BC632)-LEN(SUBSTITUTE(BC632," "&amp;L_Pending&amp;" "," ")))/(LEN(L_Pending)+1))&gt;SUMPRODUCT((LEN(BC632)-LEN(SUBSTITUTE(BC632," "&amp;L_PendNeg&amp;" "," ")))/(LEN(L_PendNeg)+1))+SUMPRODUCT((LEN(BC632)-LEN(SUBSTITUTE(BC632," "&amp;L_PendPrep&amp;" "," ")))/(LEN(L_PendPrep)+1)),1,0),1)</f>
        <v>0</v>
      </c>
      <c r="BI632" s="61" t="n">
        <f aca="false">IFERROR(IF(SUMPRODUCT((LEN(BD632)-LEN(SUBSTITUTE(BD632," "&amp;L_PendStrict&amp;" "," ")))/(LEN(L_PendStrict)+1))&gt;SUMPRODUCT((LEN(BD632)-LEN(SUBSTITUTE(BD632," "&amp;L_PendNeg&amp;" "," ")))/(LEN(L_PendNeg)+1)),1,0),1)</f>
        <v>0</v>
      </c>
      <c r="BJ632" s="61" t="n">
        <f aca="false">IFERROR(IF(SUMPRODUCT((LEN(BE632)-LEN(SUBSTITUTE(BE632," "&amp;L_Pending&amp;" "," ")))/(LEN(L_Pending)+1))&gt;SUMPRODUCT((LEN(BE632)-LEN(SUBSTITUTE(BE632," "&amp;L_PendNeg&amp;" "," ")))/(LEN(L_PendNeg)+1))+SUMPRODUCT((LEN(BE632)-LEN(SUBSTITUTE(BE632," "&amp;L_PendPrep&amp;" "," ")))/(LEN(L_PendPrep)+1)),1,0),1)</f>
        <v>0</v>
      </c>
      <c r="BK632" s="61" t="n">
        <f aca="false">IFERROR(IF(SUMPRODUCT((LEN(BF632)-LEN(SUBSTITUTE(BF632," "&amp;L_PendStrict&amp;" "," ")))/(LEN(L_PendStrict)+1))&gt;SUMPRODUCT((LEN(BF632)-LEN(SUBSTITUTE(BF632," "&amp;L_PendNeg&amp;" "," ")))/(LEN(L_PendNeg)+1)),1,0),1)</f>
        <v>0</v>
      </c>
      <c r="BL632" s="61" t="n">
        <f aca="false">IF(ISNA(MATCH(TRIM(S632),L_EvidenceType,0)),0,BZ632)</f>
        <v>0</v>
      </c>
      <c r="BM632" s="61" t="str">
        <f aca="false">SUBSTITUTE(SUBSTITUTE(SUBSTITUTE(SUBSTITUTE(SUBSTITUTE(SUBSTITUTE(SUBSTITUTE(SUBSTITUTE(SUBSTITUTE(LOWER(Z632&amp;""),"1","0"),"2","0"),"3","0"),"4","0"),"5","0"),"6","0"),"7","0"),"8","0"),"9","0")</f>
        <v/>
      </c>
      <c r="BN632" s="61" t="str">
        <f aca="false">SUBSTITUTE(SUBSTITUTE(SUBSTITUTE(SUBSTITUTE(SUBSTITUTE(SUBSTITUTE(SUBSTITUTE(SUBSTITUTE(SUBSTITUTE(SUBSTITUTE(SUBSTITUTE(SUBSTITUTE(SUBSTITUTE(SUBSTITUTE(SUBSTITUTE(SUBSTITUTE(SUBSTITUTE(SUBSTITUTE(SUBSTITUTE(SUBSTITUTE(SUBSTITUTE(SUBSTITUTE(SUBSTITUTE(SUBSTITUTE(SUBSTITUTE(BM632,"b","a"),"c","a"),"d","a"),"e","a"),"f","a"),"g","a"),"h","a"),"i","a"),"j","a"),"k","a"),"l","a"),"m","a"),"n","a"),"o","a"),"p","a"),"q","a"),"r","a"),"s","a"),"t","a"),"u","a"),"v","a"),"w","a"),"x","a"),"y","a"),"z","a")</f>
        <v/>
      </c>
      <c r="BO632" s="61" t="str">
        <f aca="false">SUBSTITUTE(SUBSTITUTE(SUBSTITUTE(SUBSTITUTE(SUBSTITUTE(SUBSTITUTE(SUBSTITUTE(SUBSTITUTE(SUBSTITUTE(LOWER(W632&amp;""),"1","0"),"2","0"),"3","0"),"4","0"),"5","0"),"6","0"),"7","0"),"8","0"),"9","0")</f>
        <v/>
      </c>
      <c r="BP632" s="61" t="str">
        <f aca="false">SUBSTITUTE(SUBSTITUTE(SUBSTITUTE(SUBSTITUTE(SUBSTITUTE(SUBSTITUTE(SUBSTITUTE(SUBSTITUTE(SUBSTITUTE(SUBSTITUTE(SUBSTITUTE(SUBSTITUTE(SUBSTITUTE(SUBSTITUTE(SUBSTITUTE(SUBSTITUTE(SUBSTITUTE(SUBSTITUTE(SUBSTITUTE(SUBSTITUTE(SUBSTITUTE(SUBSTITUTE(SUBSTITUTE(SUBSTITUTE(SUBSTITUTE(BO632,"b","a"),"c","a"),"d","a"),"e","a"),"f","a"),"g","a"),"h","a"),"i","a"),"j","a"),"k","a"),"l","a"),"m","a"),"n","a"),"o","a"),"p","a"),"q","a"),"r","a"),"s","a"),"t","a"),"u","a"),"v","a"),"w","a"),"x","a"),"y","a"),"z","a")</f>
        <v/>
      </c>
      <c r="BQ632" s="61" t="n">
        <f aca="false">IFERROR(IF(AND(ISERROR(SEARCH(" mh"," "&amp;LOWER(W632))),ISNA(MATCH(LEFT(TRIM(BP632),255),{"0000a","000a","00a","0000aa","000aa","00aa","0aa","0000aaa","000aaa","00a00","0a00","0000-0000","00:00","a00","a0","00.00.0000","00/00/0000","00-00-0000","0000-00-00","0000/00/00","0000.00.00","00.00.00","00/00/00","00-00-00","0.00.0000","0/00/0000","0-00-0000"},0)),ISNA(MATCH(LEFT(TRIM(CA632),255),{"0000a","000a","00a","0000aa","000aa","00aa","0aa","0000aaa","000aaa","00a00","0a00","0000-0000","00:00","a00","a0","00.00.0000","00/00/0000","00-00-0000","0000-00-00","0000/00/00","0000.00.00","00.00.00","00/00/00","00-00-00","0.00.0000","0/00/0000","0-00-0000"},0)),LEN(CB632)&gt;=3,NOT(OR(SUBSTITUTE(CB632,"0","")="",AND(LEN(CB632)&gt;=4,CB632=REPT(LEFT(CB632),LEN(CB632))),ISNUMBER(MATCH(CB632,{"123","1234","12345","123456","1234567","12345678","0123","01234","012345","98765","987654","54321"},0)),AND(LEN(CB632)=8,LEFT(CB632,3)="202"))),OR(AND((LEN(CA632)-LEN(SUBSTITUTE(CA632,"a","")))&gt;=1,SUMPRODUCT(--ISNUMBER(SEARCH({"a0","a-0","a_0","a/0","a.0","a#0","0a","0-a","0_a","0/a"},BP632)))&gt;0),ISNUMBER(SEARCH("000000",BP632)))),1,0),0)</f>
        <v>0</v>
      </c>
      <c r="BR632" s="61" t="n">
        <f aca="false">IFERROR(LEN(SUBSTITUTE(CC632," ",""))-SUMPRODUCT((LEN(CC632)-LEN(SUBSTITUTE(CC632," "&amp;L_Role&amp;" "," ")))/(LEN(L_Role)+1)*LEN(L_Role)),0)</f>
        <v>0</v>
      </c>
      <c r="BS632" s="61" t="n">
        <f aca="false">IFERROR(LEN(SUBSTITUTE(CD632," ",""))-SUMPRODUCT((LEN(CD632)-LEN(SUBSTITUTE(CD632," "&amp;L_Role&amp;" "," ")))/(LEN(L_Role)+1)*LEN(L_Role)),0)</f>
        <v>0</v>
      </c>
      <c r="BT6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632,"revision",""),"version",""),"jan",""),"feb",""),"mar",""),"apr",""),"may",""),"jun",""),"jul",""),"aug",""),"sep",""),"oct",""),"nov",""),"dec",""),"utc",""),"gmt",""),"myt",""),"bst",""),"rev",""),"ver",""),"b","a"),"c","a"),"d","a"),"e","a"),"f","a"),"g","a"),"h","a"),"i","a"),"j","a"),"k","a"),"l","a"),"m","a"),"n","a"),"o","a"),"p","a"),"q","a"),"r","a"),"s","a"),"t","a"),"u","a"),"v","a"),"w","a"),"x","a"),"y","a"),"z","a")</f>
        <v/>
      </c>
      <c r="BU632" s="61" t="str">
        <f aca="false">SUBSTITUTE(SUBSTITUTE(SUBSTITUTE(SUBSTITUTE(SUBSTITUTE(SUBSTITUTE(SUBSTITUTE(SUBSTITUTE(SUBSTITUTE(SUBSTITUTE(LEFT(BM632,FIND("0",BM632&amp;"0")-1),"-",""),"_",""),"/",""),".",""),"#",""),"\\",""),":","")," ",""),"(",""),")","")</f>
        <v/>
      </c>
      <c r="BV632" s="61" t="n">
        <f aca="false">0</f>
        <v>0</v>
      </c>
      <c r="BW6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632&amp;""),"a",""),"b",""),"c",""),"d",""),"e",""),"f",""),"g",""),"h",""),"i",""),"j",""),"k",""),"l",""),"m",""),"n",""),"o",""),"p",""),"q",""),"r",""),"s",""),"t",""),"u",""),"v",""),"w",""),"x",""),"y",""),"z",""),"-",""),"_",""),"/",""),".",""),"#",""),"\\",""),":","")," ",""),"(",""),")","")</f>
        <v/>
      </c>
      <c r="BX632" s="61" t="str">
        <f aca="false">SUBSTITUTE(SUBSTITUTE(SUBSTITUTE(SUBSTITUTE(SUBSTITUTE(SUBSTITUTE(SUBSTITUTE(SUBSTITUTE(SUBSTITUTE(SUBSTITUTE(SUBSTITUTE(BM632,"0",""),"-",""),"_",""),"/",""),".",""),"#",""),"\\",""),":","")," ",""),"(",""),")","")</f>
        <v/>
      </c>
      <c r="BY632" s="62" t="n">
        <f aca="false">Q632-T12EarlyH/24</f>
        <v>46323.0277777778</v>
      </c>
      <c r="BZ632" s="61" t="n">
        <f aca="false">IFERROR(IF(IF(TRIM(S632)="Link / file path",AND(LEN(TRIM(Z632))&gt;=5,SUMPRODUCT(--ISNUMBER(SEARCH({"http","www.","\\",":\",".pdf",".jpg",".jpeg",".png",".heic",".xls",".doc",".msg",".eml",".ppt",".txt",".zip"},Z632)))&gt;0),AND(ISERROR(FIND(" ",TRIM(Z632))),NOT(OR(SUMPRODUCT(--ISNUMBER(FIND({",",";","&amp;","+"},Z632)))&gt;0,SUMPRODUCT(--ISNUMBER(SEARCH({"0/aa","0\\aa"},BN632)))&gt;0)),NOT(SUMPRODUCT(--ISNUMBER(SEARCH({"http","www.","\\",":\",".pdf",".jpg",".jpeg",".png",".heic",".xls",".doc",".msg",".eml",".ppt",".txt",".zip"},Z632)))&gt;0),NOT(LOWER(TRIM(Z632))=LOWER(Flights!$F$23)),ISNA(MATCH(BU632,{"mh","rev","revision","ver","version","v","r","a","b","seat","tray","row","gate","bay","stand","page","pg","item","line","no","cart","galley","flight","flt","table","box","bag","oven","etd","eta","std","sta","atd","ata","qty","pax","x","time","tel","ph","mob","day","wk","week","utc","gmt","myt","lt"},0)),NOT(OR(ISNUMBER(MATCH(LEFT(BN632,255),{"0000a","000a","00a","0000aa","000aa","00aa","0aa","0000aaa","000aaa","00a00","0a00","0000-0000","00:00","a00","a0","00.00.0000","00/00/0000","00-00-0000","0000-00-00","0000/00/00","0000.00.00","00.00.00","00/00/00","00-00-00","0.00.0000","0/00/0000","0-00-0000"},0)),ISNUMBER(MATCH(LEFT(BT632,255),{"0000a","000a","00a","0000aa","000aa","00aa","0aa","0000aaa","000aaa","00a00","0a00","0000-0000","00:00","a00","a0","00.00.0000","00/00/0000","00-00-0000","0000-00-00","0000/00/00","0000.00.00","00.00.00","00/00/00","00-00-00","0.00.0000","0/00/0000","0-00-0000"},0)))),NOT(OR(AND(BW632&lt;&gt;"",SUBSTITUTE(BW632,"0","")=""),AND(LEN(BW632)&gt;=4,BW632=REPT(LEFT(BW632),LEN(BW632))),ISNUMBER(MATCH(BW632,{"123","1234","12345","123456","1234567","12345678","0123","01234","012345","98765","987654","54321"},0)),ISNUMBER(MATCH(BX632,{"x","xx","xxx","xxxx","xxxxx","abc","abcd","nil","na","nan","test","tbc","tba","tbd","dummy","sample","example","eg","zz","zzz","none","null","xyz","qwe","asd","id","ref"},0)),AND(LEN(BW632)=8,BX632="",OR(LEFT(BW632,3)="202",ISNUMBER(MATCH(RIGHT(BW632,4),{"2025","2026","2027"},0)))))),OR(AND((LEN(BT632)-LEN(SUBSTITUTE(BT632,"a","")))&gt;=1,(LEN(BN632)-LEN(SUBSTITUTE(BN632,"0","")))&gt;=2,SUMPRODUCT(--ISNUMBER(SEARCH({"a0","a-0","a_0","a/0","a.0","a#0","0a","0-a","0_a","0/a"},BN632)))&gt;0),AND((LEN(BN632)-LEN(SUBSTITUTE(BN632,"a","")))=0,(LEN(BN632)-LEN(SUBSTITUTE(BN632,"0","")))&gt;=5)))),1,0),0)</f>
        <v>0</v>
      </c>
      <c r="CA6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632,"revision",""),"version",""),"jan",""),"feb",""),"mar",""),"apr",""),"may",""),"jun",""),"jul",""),"aug",""),"sep",""),"oct",""),"nov",""),"dec",""),"utc",""),"gmt",""),"myt",""),"bst",""),"rev",""),"ver",""),"b","a"),"c","a"),"d","a"),"e","a"),"f","a"),"g","a"),"h","a"),"i","a"),"j","a"),"k","a"),"l","a"),"m","a"),"n","a"),"o","a"),"p","a"),"q","a"),"r","a"),"s","a"),"t","a"),"u","a"),"v","a"),"w","a"),"x","a"),"y","a"),"z","a")</f>
        <v/>
      </c>
      <c r="CB6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632&amp;""),"a",""),"b",""),"c",""),"d",""),"e",""),"f",""),"g",""),"h",""),"i",""),"j",""),"k",""),"l",""),"m",""),"n",""),"o",""),"p",""),"q",""),"r",""),"s",""),"t",""),"u",""),"v",""),"w",""),"x",""),"y",""),"z",""),"-",""),"_",""),"/",""),".",""),"#",""),"\\",""),":","")," ",""),"(",""),")","")</f>
        <v/>
      </c>
      <c r="CC632" s="0" t="str">
        <f aca="false">" "&amp;TRIM(SUBSTITUTE(SUBSTITUTE(SUBSTITUTE(SUBSTITUTE(SUBSTITUTE(SUBSTITUTE(SUBSTITUTE(SUBSTITUTE(SUBSTITUTE(SUBSTITUTE(SUBSTITUTE(SUBSTITUTE(SUBSTITUTE(SUBSTITUTE(SUBSTITUTE(SUBSTITUTE(SUBSTITUTE(SUBSTITUTE(SUBSTITUTE(SUBSTITUTE(SUBSTITUTE(SUBSTITUTE(SUBSTITUTE(SUBSTITUTE(LOWER(T632&amp;""),CHAR(10)," "),CHAR(13)," "),CHAR(9)," "),CHAR(160)," "),"."," "),","," "),"-"," "),"/"," "),"("," "),")"," "),":"," "),";"," "),"_"," "),"–"," "),"?"," "),"!"," "),"*"," "),"["," "),"]"," "),"'"," "),"#"," "),"+"," "),"&amp;"," "),"\"," "))&amp;" "</f>
        <v>  </v>
      </c>
      <c r="CD632" s="0" t="str">
        <f aca="false">" "&amp;TRIM(SUBSTITUTE(SUBSTITUTE(SUBSTITUTE(SUBSTITUTE(SUBSTITUTE(SUBSTITUTE(SUBSTITUTE(SUBSTITUTE(SUBSTITUTE(SUBSTITUTE(SUBSTITUTE(SUBSTITUTE(SUBSTITUTE(SUBSTITUTE(SUBSTITUTE(SUBSTITUTE(SUBSTITUTE(SUBSTITUTE(SUBSTITUTE(SUBSTITUTE(SUBSTITUTE(SUBSTITUTE(SUBSTITUTE(SUBSTITUTE(LOWER(AE632&amp;""),CHAR(10)," "),CHAR(13)," "),CHAR(9)," "),CHAR(160)," "),"."," "),","," "),"-"," "),"/"," "),"("," "),")"," "),":"," "),";"," "),"_"," "),"–"," "),"?"," "),"!"," "),"*"," "),"["," "),"]"," "),"'"," "),"#"," "),"+"," "),"&amp;"," "),"\"," "))&amp;" "</f>
        <v>  </v>
      </c>
      <c r="CE632" s="68" t="n">
        <f aca="false">IFERROR(IF(AND(LEN(AU632)&gt;0,LEN(AU632)=LEN(AX632),OR(TRIM(MID(SUBSTITUTE(TRIM(CC632)," ",REPT(" ",60)),1,60))="",ISNUMBER(SEARCH(" "&amp;TRIM(MID(SUBSTITUTE(TRIM(CC632)," ",REPT(" ",60)),1,60))&amp;" ",CD632))),OR(TRIM(MID(SUBSTITUTE(TRIM(CC632)," ",REPT(" ",60)),61,60))="",ISNUMBER(SEARCH(" "&amp;TRIM(MID(SUBSTITUTE(TRIM(CC632)," ",REPT(" ",60)),61,60))&amp;" ",CD632))),OR(TRIM(MID(SUBSTITUTE(TRIM(CC632)," ",REPT(" ",60)),121,60))="",ISNUMBER(SEARCH(" "&amp;TRIM(MID(SUBSTITUTE(TRIM(CC632)," ",REPT(" ",60)),121,60))&amp;" ",CD632)))),1,0),0)</f>
        <v>0</v>
      </c>
      <c r="CG632" s="68" t="n">
        <f aca="false">IFERROR(LEN(SUBSTITUTE(BF632," ",""))-SUMPRODUCT((LEN(BF632)-LEN(SUBSTITUTE(BF632," "&amp;L_NAFiller&amp;" "," ")))/(LEN(L_NAFiller)+1)*LEN(L_NAFiller)),0)</f>
        <v>0</v>
      </c>
    </row>
    <row r="633" customFormat="false" ht="39.75" hidden="false" customHeight="true" outlineLevel="0" collapsed="false">
      <c r="A633" s="57" t="s">
        <v>1344</v>
      </c>
      <c r="B633" s="57" t="s">
        <v>301</v>
      </c>
      <c r="C633" s="57" t="str">
        <f aca="false">Flights!$F$23</f>
        <v>MH0053</v>
      </c>
      <c r="D633" s="58" t="n">
        <f aca="false">Flights!$D$23</f>
        <v>46324</v>
      </c>
      <c r="E633" s="57" t="str">
        <f aca="false">Flights!$G$23&amp;"-"&amp;Flights!$H$23</f>
        <v>KIX-KUL</v>
      </c>
      <c r="F633" s="57" t="str">
        <f aca="false">Flights!$K$23</f>
        <v>EY</v>
      </c>
      <c r="G633" s="57" t="s">
        <v>420</v>
      </c>
      <c r="H633" s="57" t="s">
        <v>378</v>
      </c>
      <c r="I633" s="57" t="s">
        <v>428</v>
      </c>
      <c r="J633" s="57" t="s">
        <v>433</v>
      </c>
      <c r="K633" s="67"/>
      <c r="L633" s="67" t="s">
        <v>422</v>
      </c>
      <c r="M633" s="67"/>
      <c r="N633" s="67" t="s">
        <v>383</v>
      </c>
      <c r="O633" s="67" t="s">
        <v>423</v>
      </c>
      <c r="P633" s="57" t="s">
        <v>295</v>
      </c>
      <c r="Q633" s="59" t="n">
        <f aca="false">ROUND((Flights!$AE$23)*1440,0)/1440</f>
        <v>46323.5277777778</v>
      </c>
      <c r="R633" s="59" t="n">
        <f aca="false">Q633+(IF(AND(INDEX(TZ_DSTS,MATCH(P633,TZ_STN,0))&lt;&gt;"",Q633&gt;=INDEX(TZ_DSTS,MATCH(P633,TZ_STN,0)),Q633&lt;INDEX(TZ_DSTE,MATCH(P633,TZ_STN,0))),INDEX(TZ_DST,MATCH(P633,TZ_STN,0)),INDEX(TZ_STD,MATCH(P633,TZ_STN,0))))/24</f>
        <v>46323.9027777778</v>
      </c>
      <c r="S633" s="60"/>
      <c r="T633" s="60"/>
      <c r="U633" s="60"/>
      <c r="V633" s="60"/>
      <c r="W633" s="61"/>
      <c r="X633" s="60"/>
      <c r="Y633" s="60"/>
      <c r="Z633" s="60"/>
      <c r="AA633" s="60"/>
      <c r="AB633" s="60"/>
      <c r="AC633" s="60"/>
      <c r="AD633" s="66"/>
      <c r="AE633" s="60"/>
      <c r="AF633" s="61" t="str">
        <f aca="false">IF(AND(ISNUMBER(X633),ISNUMBER(Y633)),Y633-X633,"")</f>
        <v/>
      </c>
      <c r="AG633" s="62" t="str">
        <f aca="false">IF(ISNUMBER(AD633),AD633-(IF(AND(INDEX(TZ_DSTS,MATCH(P633,TZ_STN,0))&lt;&gt;"",(AD633-INDEX(TZ_STD,MATCH(P633,TZ_STN,0))/24)&gt;=INDEX(TZ_DSTS,MATCH(P633,TZ_STN,0)),(AD633-INDEX(TZ_STD,MATCH(P633,TZ_STN,0))/24)&lt;INDEX(TZ_DSTE,MATCH(P633,TZ_STN,0))),INDEX(TZ_DST,MATCH(P633,TZ_STN,0)),INDEX(TZ_STD,MATCH(P633,TZ_STN,0))))/24,"")</f>
        <v/>
      </c>
      <c r="AH633" s="65" t="str">
        <f aca="false">IFERROR(IF(N633="N/A – rule",IF(OR(TRIM(U633)="",TRIM(U633)="N/A",TRIM(U633)="Not started"),"N/A – RULE","INVALID – this check does not apply to this aircraft: clear the status (or correct the fleet on Flights)"),IF(TRIM(U633)="N/A",IF(AT633=0,"INVALID – N/A not permitted for this check",IF(AND(TRIM(AB633)&lt;&gt;"",TRIM(AB633)&lt;&gt;"Closed"),"INVALID – corrective action still open",IF(AND(NOT(OR(LEN(AZ633)&lt;15,ISNUMBER(MATCH(AZ633,L_Placeholder,0)))),BK633=0,CG633&gt;=8,NOT(OR(LEN(AU633)&lt;2,ISNUMBER(MATCH(AU633,L_Placeholder,0)))),BR633&gt;=3,NOT(OR(LEN(AX633)&lt;2,ISNUMBER(MATCH(AX633,L_Placeholder,0)))),BS633&gt;=3,TRIM(AE633)&lt;&gt;TRIM(T633),AX633&lt;&gt;AU633,CE633=0),"N/A – JUSTIFIED","INVALID – N/A needs a real, settled reason (not 'not applicable' / 'as above' / TBC), a named PIC and a different named verifier"))),IF(OR(TRIM(U633)="Pass",TRIM(U633)="Pass after CA"),IF(NOT(ISNUMBER(AD633)),"INVALID – completion time missing",IF(OR(OR(LEN(AU633)&lt;2,ISNUMBER(MATCH(AU633,L_Placeholder,0))),BR633&lt;3),"INVALID – PIC missing or not a named person (a role such as QA / CSM is not a name)",IF(OR(LEN(AV633)&lt;2,ISNUMBER(MATCH(AV633,L_Placeholder,0))),"INVALID – result / assessment missing",IF(OR(OR(LEN(AW633)&lt;3,ISNUMBER(MATCH(AW633,L_Placeholder,0))),SUMPRODUCT(--ISNUMBER(SEARCH(" "&amp;L_EvidencePhrase&amp;" ",BD633)))&gt;0,BI633=1),"INVALID – evidence missing, placeholder or not yet on file",IF(ISNA(MATCH(TRIM(S633),L_EvidenceType,0)),"INVALID – choose the evidence type from the list (column S)",IF(BL633=0,"INVALID – evidence ID must be the record's own ID only (e.g. SF-2210, IMG_2231, 1045521); a link / file name needs type 'Link / file path'",IF(OR(OR(LEN(AX633)&lt;2,ISNUMBER(MATCH(AX633,L_Placeholder,0))),BS633&lt;3),"INVALID – verifier missing or not a named person (a role such as QA / CSM is not a name)",IF(OR(AX633=AU633,CE633=1,AND(LEN(AU633)&gt;=4,ISNUMBER(SEARCH(AU633,AX633))),AND(LEN(AX633)&gt;=4,ISNUMBER(SEARCH(AX633,AU633)))),"INVALID – verifier must be a different, named person (not the PIC or a role)",IF(BH633=1,"INVALID – result not yet available (awaiting / TBC)",IF(BG633=1,"INVALID – result describes a problem: record Fail, then Pass after CA (or reword if it is not a problem)",IF(BV633=1,"INVALID – wording says not on board: an on-board confirmation needs the item loaded",IF(AND(AQ633=1,OR(OR(LEN(AY633)&lt;3,ISNUMBER(MATCH(AY633,L_Placeholder,0))),BJ633=1,BQ633=0)),"INVALID – batch ID missing, placeholder or not an ID (e.g. PASB-261008-BC-017)",IF(AND(AR633=1,OR(NOT(ISNUMBER(X633)),NOT(ISNUMBER(Y633)))),"INVALID – expected/actual qty missing",IF(AND(AR633=1,OR(X633&lt;=0,Y633&lt;0)),"INVALID – expected qty must be above 0 and actual not negative",IF(BB633&lt;&gt;"",BB633,IF(AND(AS633=1,Documents!$J$23&lt;&gt;"ON FILE"),"INVALID – GLD not on file (Documents sheet)",IF(AND(AS633=2,Documents!$O$23&lt;&gt;"ON FILE"),"INVALID – menu checklist not on file (Documents sheet)",IF(AND(AS633=3,NOT(ISNUMBER(Flights!$AX$23))),"INVALID – enter carrying flight KUL departure (Flights AX)",IF(AND(AS633=3,OR(Flights!$AZ$23&gt;Flights!$AA$23,Flights!$AX$23&lt;Flights!$AA$23-3)),"INVALID – carrying flight (Flights AX) cannot arrive before this leg's STD, or is over 3 days early",IF(AG633&gt;AsOfUTC,"INVALID – completion time is in the future",IF(AND(ISNUMBER(BY633),AG633&lt;BY633),IF(H633="Physical uplift","INVALID – before uplift window (cannot confirm loading)","INVALID – before valid window"),IF(AG633&gt;Flights!$AA$23,"INVALID – completed after departure (cannot establish readiness)",IF(AND(H633="Preparation",AG633&gt;=IF(ISNUMBER(Flights!$BA$23),MIN(Flights!$BA$23,Flights!$AA$23),Flights!$AA$23)),"INVALID – completed after loading / departure (cannot establish readiness)",IF(AND(H633="Physical uplift",AG633&gt;Q633),"INVALID – recorded after the loading flight departed",IF(AG633&gt;Q633,"COMPLETE – LATE","COMPLETE"))))))))))))))))))))))))),IF(TRIM(U633)="Fail","FAIL – DISCREPANCY",IF(AND(TRIM(U633)&lt;&gt;"",TRIM(U633)&lt;&gt;"Not started",TRIM(U633)&lt;&gt;"In progress"),"INVALID – unrecognised status (use the list)",IF(AsOfUTC&gt;Q633,"OVERDUE",IF(N633="Clarification required","OPEN – CLARIFICATION","OPEN"))))))),"INVALID – error value in an input cell")</f>
        <v>OPEN</v>
      </c>
      <c r="AI633" s="61" t="n">
        <f aca="false">IF(OR(AH633="N/A – RULE",AH633="N/A – JUSTIFIED"),0,1)</f>
        <v>1</v>
      </c>
      <c r="AJ633" s="61" t="n">
        <f aca="false">IF(LEFT(AH633,8)="COMPLETE",1,0)</f>
        <v>0</v>
      </c>
      <c r="AK633" s="61" t="n">
        <f aca="false">IF(AND(AI633=1,AJ633=0,AsOfUTC&gt;Q633),1,0)</f>
        <v>0</v>
      </c>
      <c r="AL633" s="61" t="n">
        <f aca="false">IFERROR(IF(AND(AI633=1,OR(TRIM(U633)="Fail",AND(TRIM(AB633)&lt;&gt;"",TRIM(AB633)&lt;&gt;"Closed"),AND(ISNUMBER(AF633),AF633&lt;&gt;0,TRIM(U633)&lt;&gt;"Pass after CA"))),1,0),1)</f>
        <v>0</v>
      </c>
      <c r="AM633" s="61" t="n">
        <f aca="false">IF(LEFT(AH633,7)="INVALID",1,0)</f>
        <v>0</v>
      </c>
      <c r="AN633" s="61" t="n">
        <f aca="false">IF(AND(N633="Clarification required",AI633=1,AJ633=0),1,0)</f>
        <v>0</v>
      </c>
      <c r="AO633" s="61" t="str">
        <f aca="false">IF(AK633=1,SUM(AK$5:AK633),"")</f>
        <v/>
      </c>
      <c r="AP633" s="61" t="str">
        <f aca="false">IF(AL633=1,SUM(AL$5:AL633),"")</f>
        <v/>
      </c>
      <c r="AQ633" s="61" t="n">
        <v>0</v>
      </c>
      <c r="AR633" s="61" t="n">
        <v>0</v>
      </c>
      <c r="AS633" s="61" t="n">
        <v>0</v>
      </c>
      <c r="AT633" s="61" t="n">
        <v>0</v>
      </c>
      <c r="AU633" s="61" t="str">
        <f aca="false">SUBSTITUTE(SUBSTITUTE(SUBSTITUTE(SUBSTITUTE(SUBSTITUTE(SUBSTITUTE(SUBSTITUTE(SUBSTITUTE(SUBSTITUTE(SUBSTITUTE(SUBSTITUTE(SUBSTITUTE(SUBSTITUTE(SUBSTITUTE(SUBSTITUTE(SUBSTITUTE(LOWER(T633&amp;""),CHAR(10),""),CHAR(13),""),CHAR(9),""),CHAR(160),"")," ",""),".",""),"-",""),"/",""),"?",""),"_",""),",",""),"[",""),"]",""),"(",""),")",""),"*","")</f>
        <v/>
      </c>
      <c r="AV633" s="61" t="str">
        <f aca="false">SUBSTITUTE(SUBSTITUTE(SUBSTITUTE(SUBSTITUTE(SUBSTITUTE(SUBSTITUTE(SUBSTITUTE(SUBSTITUTE(SUBSTITUTE(SUBSTITUTE(SUBSTITUTE(SUBSTITUTE(SUBSTITUTE(SUBSTITUTE(SUBSTITUTE(SUBSTITUTE(LOWER(V633&amp;""),CHAR(10),""),CHAR(13),""),CHAR(9),""),CHAR(160),"")," ",""),".",""),"-",""),"/",""),"?",""),"_",""),",",""),"[",""),"]",""),"(",""),")",""),"*","")</f>
        <v/>
      </c>
      <c r="AW633" s="61" t="str">
        <f aca="false">SUBSTITUTE(SUBSTITUTE(SUBSTITUTE(SUBSTITUTE(SUBSTITUTE(SUBSTITUTE(SUBSTITUTE(SUBSTITUTE(SUBSTITUTE(SUBSTITUTE(SUBSTITUTE(SUBSTITUTE(SUBSTITUTE(SUBSTITUTE(SUBSTITUTE(SUBSTITUTE(LOWER(Z633&amp;""),CHAR(10),""),CHAR(13),""),CHAR(9),""),CHAR(160),"")," ",""),".",""),"-",""),"/",""),"?",""),"_",""),",",""),"[",""),"]",""),"(",""),")",""),"*","")</f>
        <v/>
      </c>
      <c r="AX633" s="61" t="str">
        <f aca="false">SUBSTITUTE(SUBSTITUTE(SUBSTITUTE(SUBSTITUTE(SUBSTITUTE(SUBSTITUTE(SUBSTITUTE(SUBSTITUTE(SUBSTITUTE(SUBSTITUTE(SUBSTITUTE(SUBSTITUTE(SUBSTITUTE(SUBSTITUTE(SUBSTITUTE(SUBSTITUTE(LOWER(AE633&amp;""),CHAR(10),""),CHAR(13),""),CHAR(9),""),CHAR(160),"")," ",""),".",""),"-",""),"/",""),"?",""),"_",""),",",""),"[",""),"]",""),"(",""),")",""),"*","")</f>
        <v/>
      </c>
      <c r="AY633" s="61" t="str">
        <f aca="false">SUBSTITUTE(SUBSTITUTE(SUBSTITUTE(SUBSTITUTE(SUBSTITUTE(SUBSTITUTE(SUBSTITUTE(SUBSTITUTE(SUBSTITUTE(SUBSTITUTE(SUBSTITUTE(SUBSTITUTE(SUBSTITUTE(SUBSTITUTE(SUBSTITUTE(SUBSTITUTE(LOWER(W633&amp;""),CHAR(10),""),CHAR(13),""),CHAR(9),""),CHAR(160),"")," ",""),".",""),"-",""),"/",""),"?",""),"_",""),",",""),"[",""),"]",""),"(",""),")",""),"*","")</f>
        <v/>
      </c>
      <c r="AZ633" s="61" t="str">
        <f aca="false">SUBSTITUTE(SUBSTITUTE(SUBSTITUTE(SUBSTITUTE(SUBSTITUTE(SUBSTITUTE(SUBSTITUTE(SUBSTITUTE(SUBSTITUTE(SUBSTITUTE(SUBSTITUTE(SUBSTITUTE(SUBSTITUTE(SUBSTITUTE(SUBSTITUTE(SUBSTITUTE(LOWER(AC633&amp;""),CHAR(10),""),CHAR(13),""),CHAR(9),""),CHAR(160),"")," ",""),".",""),"-",""),"/",""),"?",""),"_",""),",",""),"[",""),"]",""),"(",""),")",""),"*","")</f>
        <v/>
      </c>
      <c r="BA633" s="61" t="str">
        <f aca="false">SUBSTITUTE(SUBSTITUTE(SUBSTITUTE(SUBSTITUTE(SUBSTITUTE(SUBSTITUTE(SUBSTITUTE(SUBSTITUTE(SUBSTITUTE(SUBSTITUTE(SUBSTITUTE(SUBSTITUTE(SUBSTITUTE(SUBSTITUTE(SUBSTITUTE(SUBSTITUTE(LOWER(AA633&amp;""),CHAR(10),""),CHAR(13),""),CHAR(9),""),CHAR(160),"")," ",""),".",""),"-",""),"/",""),"?",""),"_",""),",",""),"[",""),"]",""),"(",""),")",""),"*","")</f>
        <v/>
      </c>
      <c r="BB633" s="61" t="str">
        <f aca="false">IF(AND(TRIM(U633)="Pass",ISNUMBER(AF633)),IF(AF633&lt;&gt;0,"INVALID – qty variance: use Fail or Pass after CA",""),"")&amp;IF(AND(TRIM(U633)="Pass after CA",ISNUMBER(AF633)),IF(AF633&lt;&gt;0,"INVALID – after the corrective action the actual qty must equal expected (update Actual)",""),"")&amp;IF(AND(TRIM(U633)="Pass",TRIM(AB633)&lt;&gt;"",TRIM(AB633)&lt;&gt;"Closed"),"INVALID – corrective action not closed: use Fail, then Pass after CA","")&amp;IF(AND(LEN(BA633)&gt;=2,ISNA(MATCH(LEFT(BA633,255),L_Placeholder,0)),TRIM(AB633)=""),"INVALID – CA status missing for the recorded corrective action","")&amp;IF(AND(TRIM(U633)="Pass after CA",OR(OR(LEN(BA633)&lt;5,ISNUMBER(MATCH(BA633,L_Placeholder,0))),TRIM(AB633)&lt;&gt;"Closed")),"INVALID – corrective action not recorded/closed","")</f>
        <v/>
      </c>
      <c r="BC633" s="61" t="str">
        <f aca="false">" "&amp;TRIM(SUBSTITUTE(SUBSTITUTE(SUBSTITUTE(SUBSTITUTE(SUBSTITUTE(SUBSTITUTE(SUBSTITUTE(SUBSTITUTE(SUBSTITUTE(SUBSTITUTE(SUBSTITUTE(SUBSTITUTE(SUBSTITUTE(SUBSTITUTE(SUBSTITUTE(SUBSTITUTE(SUBSTITUTE(SUBSTITUTE(SUBSTITUTE(SUBSTITUTE(SUBSTITUTE(SUBSTITUTE(SUBSTITUTE(SUBSTITUTE(LOWER(V633&amp;""),CHAR(10)," "),CHAR(13)," "),CHAR(9)," "),CHAR(160)," "),"."," "),","," "),"-"," "),"/"," "),"("," "),")"," "),":"," "),";"," "),"_"," "),"–"," "),"?"," "),"!"," "),"*"," "),"["," "),"]"," "),"'"," "),"#"," "),"+"," "),"&amp;"," "),"\"," "))&amp;" "</f>
        <v>  </v>
      </c>
      <c r="BD633" s="61" t="str">
        <f aca="false">" "&amp;TRIM(SUBSTITUTE(SUBSTITUTE(SUBSTITUTE(SUBSTITUTE(SUBSTITUTE(SUBSTITUTE(SUBSTITUTE(SUBSTITUTE(SUBSTITUTE(SUBSTITUTE(SUBSTITUTE(SUBSTITUTE(SUBSTITUTE(SUBSTITUTE(SUBSTITUTE(SUBSTITUTE(SUBSTITUTE(SUBSTITUTE(SUBSTITUTE(SUBSTITUTE(SUBSTITUTE(SUBSTITUTE(SUBSTITUTE(SUBSTITUTE(LOWER(Z633&amp;""),CHAR(10)," "),CHAR(13)," "),CHAR(9)," "),CHAR(160)," "),"."," "),","," "),"-"," "),"/"," "),"("," "),")"," "),":"," "),";"," "),"_"," "),"–"," "),"?"," "),"!"," "),"*"," "),"["," "),"]"," "),"'"," "),"#"," "),"+"," "),"&amp;"," "),"\"," "))&amp;" "</f>
        <v>  </v>
      </c>
      <c r="BE633" s="61" t="str">
        <f aca="false">" "&amp;TRIM(SUBSTITUTE(SUBSTITUTE(SUBSTITUTE(SUBSTITUTE(SUBSTITUTE(SUBSTITUTE(SUBSTITUTE(SUBSTITUTE(SUBSTITUTE(SUBSTITUTE(SUBSTITUTE(SUBSTITUTE(SUBSTITUTE(SUBSTITUTE(SUBSTITUTE(SUBSTITUTE(SUBSTITUTE(SUBSTITUTE(SUBSTITUTE(SUBSTITUTE(SUBSTITUTE(SUBSTITUTE(SUBSTITUTE(SUBSTITUTE(LOWER(W633&amp;""),CHAR(10)," "),CHAR(13)," "),CHAR(9)," "),CHAR(160)," "),"."," "),","," "),"-"," "),"/"," "),"("," "),")"," "),":"," "),";"," "),"_"," "),"–"," "),"?"," "),"!"," "),"*"," "),"["," "),"]"," "),"'"," "),"#"," "),"+"," "),"&amp;"," "),"\"," "))&amp;" "</f>
        <v>  </v>
      </c>
      <c r="BF633" s="61" t="str">
        <f aca="false">" "&amp;TRIM(SUBSTITUTE(SUBSTITUTE(SUBSTITUTE(SUBSTITUTE(SUBSTITUTE(SUBSTITUTE(SUBSTITUTE(SUBSTITUTE(SUBSTITUTE(SUBSTITUTE(SUBSTITUTE(SUBSTITUTE(SUBSTITUTE(SUBSTITUTE(SUBSTITUTE(SUBSTITUTE(SUBSTITUTE(SUBSTITUTE(SUBSTITUTE(SUBSTITUTE(SUBSTITUTE(SUBSTITUTE(SUBSTITUTE(SUBSTITUTE(LOWER(AC633&amp;""),CHAR(10)," "),CHAR(13)," "),CHAR(9)," "),CHAR(160)," "),"."," "),","," "),"-"," "),"/"," "),"("," "),")"," "),":"," "),";"," "),"_"," "),"–"," "),"?"," "),"!"," "),"*"," "),"["," "),"]"," "),"'"," "),"#"," "),"+"," "),"&amp;"," "),"\"," "))&amp;" "</f>
        <v>  </v>
      </c>
      <c r="BG633" s="61" t="n">
        <f aca="false">IFERROR(IF(AND(TRIM(U633)="Pass",SUMPRODUCT((LEN(BC633)-LEN(SUBSTITUTE(BC633," "&amp;L_ResultBad&amp;" "," ")))/(LEN(L_ResultBad)+1))&gt;SUMPRODUCT((LEN(BC633)-LEN(SUBSTITUTE(BC633," "&amp;L_NegPhrase&amp;" "," ")))/(LEN(L_NegPhrase)+1))),1,0),0)</f>
        <v>0</v>
      </c>
      <c r="BH633" s="61" t="n">
        <f aca="false">IFERROR(IF(SUMPRODUCT((LEN(BC633)-LEN(SUBSTITUTE(BC633," "&amp;L_Pending&amp;" "," ")))/(LEN(L_Pending)+1))&gt;SUMPRODUCT((LEN(BC633)-LEN(SUBSTITUTE(BC633," "&amp;L_PendNeg&amp;" "," ")))/(LEN(L_PendNeg)+1))+SUMPRODUCT((LEN(BC633)-LEN(SUBSTITUTE(BC633," "&amp;L_PendPrep&amp;" "," ")))/(LEN(L_PendPrep)+1)),1,0),1)</f>
        <v>0</v>
      </c>
      <c r="BI633" s="61" t="n">
        <f aca="false">IFERROR(IF(SUMPRODUCT((LEN(BD633)-LEN(SUBSTITUTE(BD633," "&amp;L_PendStrict&amp;" "," ")))/(LEN(L_PendStrict)+1))&gt;SUMPRODUCT((LEN(BD633)-LEN(SUBSTITUTE(BD633," "&amp;L_PendNeg&amp;" "," ")))/(LEN(L_PendNeg)+1)),1,0),1)</f>
        <v>0</v>
      </c>
      <c r="BJ633" s="61" t="n">
        <f aca="false">IFERROR(IF(SUMPRODUCT((LEN(BE633)-LEN(SUBSTITUTE(BE633," "&amp;L_Pending&amp;" "," ")))/(LEN(L_Pending)+1))&gt;SUMPRODUCT((LEN(BE633)-LEN(SUBSTITUTE(BE633," "&amp;L_PendNeg&amp;" "," ")))/(LEN(L_PendNeg)+1))+SUMPRODUCT((LEN(BE633)-LEN(SUBSTITUTE(BE633," "&amp;L_PendPrep&amp;" "," ")))/(LEN(L_PendPrep)+1)),1,0),1)</f>
        <v>0</v>
      </c>
      <c r="BK633" s="61" t="n">
        <f aca="false">IFERROR(IF(SUMPRODUCT((LEN(BF633)-LEN(SUBSTITUTE(BF633," "&amp;L_PendStrict&amp;" "," ")))/(LEN(L_PendStrict)+1))&gt;SUMPRODUCT((LEN(BF633)-LEN(SUBSTITUTE(BF633," "&amp;L_PendNeg&amp;" "," ")))/(LEN(L_PendNeg)+1)),1,0),1)</f>
        <v>0</v>
      </c>
      <c r="BL633" s="61" t="n">
        <f aca="false">IF(ISNA(MATCH(TRIM(S633),L_EvidenceType,0)),0,BZ633)</f>
        <v>0</v>
      </c>
      <c r="BM633" s="61" t="str">
        <f aca="false">SUBSTITUTE(SUBSTITUTE(SUBSTITUTE(SUBSTITUTE(SUBSTITUTE(SUBSTITUTE(SUBSTITUTE(SUBSTITUTE(SUBSTITUTE(LOWER(Z633&amp;""),"1","0"),"2","0"),"3","0"),"4","0"),"5","0"),"6","0"),"7","0"),"8","0"),"9","0")</f>
        <v/>
      </c>
      <c r="BN633" s="61" t="str">
        <f aca="false">SUBSTITUTE(SUBSTITUTE(SUBSTITUTE(SUBSTITUTE(SUBSTITUTE(SUBSTITUTE(SUBSTITUTE(SUBSTITUTE(SUBSTITUTE(SUBSTITUTE(SUBSTITUTE(SUBSTITUTE(SUBSTITUTE(SUBSTITUTE(SUBSTITUTE(SUBSTITUTE(SUBSTITUTE(SUBSTITUTE(SUBSTITUTE(SUBSTITUTE(SUBSTITUTE(SUBSTITUTE(SUBSTITUTE(SUBSTITUTE(SUBSTITUTE(BM633,"b","a"),"c","a"),"d","a"),"e","a"),"f","a"),"g","a"),"h","a"),"i","a"),"j","a"),"k","a"),"l","a"),"m","a"),"n","a"),"o","a"),"p","a"),"q","a"),"r","a"),"s","a"),"t","a"),"u","a"),"v","a"),"w","a"),"x","a"),"y","a"),"z","a")</f>
        <v/>
      </c>
      <c r="BO633" s="61" t="str">
        <f aca="false">SUBSTITUTE(SUBSTITUTE(SUBSTITUTE(SUBSTITUTE(SUBSTITUTE(SUBSTITUTE(SUBSTITUTE(SUBSTITUTE(SUBSTITUTE(LOWER(W633&amp;""),"1","0"),"2","0"),"3","0"),"4","0"),"5","0"),"6","0"),"7","0"),"8","0"),"9","0")</f>
        <v/>
      </c>
      <c r="BP633" s="61" t="str">
        <f aca="false">SUBSTITUTE(SUBSTITUTE(SUBSTITUTE(SUBSTITUTE(SUBSTITUTE(SUBSTITUTE(SUBSTITUTE(SUBSTITUTE(SUBSTITUTE(SUBSTITUTE(SUBSTITUTE(SUBSTITUTE(SUBSTITUTE(SUBSTITUTE(SUBSTITUTE(SUBSTITUTE(SUBSTITUTE(SUBSTITUTE(SUBSTITUTE(SUBSTITUTE(SUBSTITUTE(SUBSTITUTE(SUBSTITUTE(SUBSTITUTE(SUBSTITUTE(BO633,"b","a"),"c","a"),"d","a"),"e","a"),"f","a"),"g","a"),"h","a"),"i","a"),"j","a"),"k","a"),"l","a"),"m","a"),"n","a"),"o","a"),"p","a"),"q","a"),"r","a"),"s","a"),"t","a"),"u","a"),"v","a"),"w","a"),"x","a"),"y","a"),"z","a")</f>
        <v/>
      </c>
      <c r="BQ633" s="61" t="n">
        <f aca="false">IFERROR(IF(AND(ISERROR(SEARCH(" mh"," "&amp;LOWER(W633))),ISNA(MATCH(LEFT(TRIM(BP633),255),{"0000a","000a","00a","0000aa","000aa","00aa","0aa","0000aaa","000aaa","00a00","0a00","0000-0000","00:00","a00","a0","00.00.0000","00/00/0000","00-00-0000","0000-00-00","0000/00/00","0000.00.00","00.00.00","00/00/00","00-00-00","0.00.0000","0/00/0000","0-00-0000"},0)),ISNA(MATCH(LEFT(TRIM(CA633),255),{"0000a","000a","00a","0000aa","000aa","00aa","0aa","0000aaa","000aaa","00a00","0a00","0000-0000","00:00","a00","a0","00.00.0000","00/00/0000","00-00-0000","0000-00-00","0000/00/00","0000.00.00","00.00.00","00/00/00","00-00-00","0.00.0000","0/00/0000","0-00-0000"},0)),LEN(CB633)&gt;=3,NOT(OR(SUBSTITUTE(CB633,"0","")="",AND(LEN(CB633)&gt;=4,CB633=REPT(LEFT(CB633),LEN(CB633))),ISNUMBER(MATCH(CB633,{"123","1234","12345","123456","1234567","12345678","0123","01234","012345","98765","987654","54321"},0)),AND(LEN(CB633)=8,LEFT(CB633,3)="202"))),OR(AND((LEN(CA633)-LEN(SUBSTITUTE(CA633,"a","")))&gt;=1,SUMPRODUCT(--ISNUMBER(SEARCH({"a0","a-0","a_0","a/0","a.0","a#0","0a","0-a","0_a","0/a"},BP633)))&gt;0),ISNUMBER(SEARCH("000000",BP633)))),1,0),0)</f>
        <v>0</v>
      </c>
      <c r="BR633" s="61" t="n">
        <f aca="false">IFERROR(LEN(SUBSTITUTE(CC633," ",""))-SUMPRODUCT((LEN(CC633)-LEN(SUBSTITUTE(CC633," "&amp;L_Role&amp;" "," ")))/(LEN(L_Role)+1)*LEN(L_Role)),0)</f>
        <v>0</v>
      </c>
      <c r="BS633" s="61" t="n">
        <f aca="false">IFERROR(LEN(SUBSTITUTE(CD633," ",""))-SUMPRODUCT((LEN(CD633)-LEN(SUBSTITUTE(CD633," "&amp;L_Role&amp;" "," ")))/(LEN(L_Role)+1)*LEN(L_Role)),0)</f>
        <v>0</v>
      </c>
      <c r="BT6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633,"revision",""),"version",""),"jan",""),"feb",""),"mar",""),"apr",""),"may",""),"jun",""),"jul",""),"aug",""),"sep",""),"oct",""),"nov",""),"dec",""),"utc",""),"gmt",""),"myt",""),"bst",""),"rev",""),"ver",""),"b","a"),"c","a"),"d","a"),"e","a"),"f","a"),"g","a"),"h","a"),"i","a"),"j","a"),"k","a"),"l","a"),"m","a"),"n","a"),"o","a"),"p","a"),"q","a"),"r","a"),"s","a"),"t","a"),"u","a"),"v","a"),"w","a"),"x","a"),"y","a"),"z","a")</f>
        <v/>
      </c>
      <c r="BU633" s="61" t="str">
        <f aca="false">SUBSTITUTE(SUBSTITUTE(SUBSTITUTE(SUBSTITUTE(SUBSTITUTE(SUBSTITUTE(SUBSTITUTE(SUBSTITUTE(SUBSTITUTE(SUBSTITUTE(LEFT(BM633,FIND("0",BM633&amp;"0")-1),"-",""),"_",""),"/",""),".",""),"#",""),"\\",""),":","")," ",""),"(",""),")","")</f>
        <v/>
      </c>
      <c r="BV633" s="61" t="n">
        <f aca="false">0</f>
        <v>0</v>
      </c>
      <c r="BW6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633&amp;""),"a",""),"b",""),"c",""),"d",""),"e",""),"f",""),"g",""),"h",""),"i",""),"j",""),"k",""),"l",""),"m",""),"n",""),"o",""),"p",""),"q",""),"r",""),"s",""),"t",""),"u",""),"v",""),"w",""),"x",""),"y",""),"z",""),"-",""),"_",""),"/",""),".",""),"#",""),"\\",""),":","")," ",""),"(",""),")","")</f>
        <v/>
      </c>
      <c r="BX633" s="61" t="str">
        <f aca="false">SUBSTITUTE(SUBSTITUTE(SUBSTITUTE(SUBSTITUTE(SUBSTITUTE(SUBSTITUTE(SUBSTITUTE(SUBSTITUTE(SUBSTITUTE(SUBSTITUTE(SUBSTITUTE(BM633,"0",""),"-",""),"_",""),"/",""),".",""),"#",""),"\\",""),":","")," ",""),"(",""),")","")</f>
        <v/>
      </c>
      <c r="BY633" s="62" t="n">
        <f aca="false">Q633-T12EarlyH/24</f>
        <v>46323.0277777778</v>
      </c>
      <c r="BZ633" s="61" t="n">
        <f aca="false">IFERROR(IF(IF(TRIM(S633)="Link / file path",AND(LEN(TRIM(Z633))&gt;=5,SUMPRODUCT(--ISNUMBER(SEARCH({"http","www.","\\",":\",".pdf",".jpg",".jpeg",".png",".heic",".xls",".doc",".msg",".eml",".ppt",".txt",".zip"},Z633)))&gt;0),AND(ISERROR(FIND(" ",TRIM(Z633))),NOT(OR(SUMPRODUCT(--ISNUMBER(FIND({",",";","&amp;","+"},Z633)))&gt;0,SUMPRODUCT(--ISNUMBER(SEARCH({"0/aa","0\\aa"},BN633)))&gt;0)),NOT(SUMPRODUCT(--ISNUMBER(SEARCH({"http","www.","\\",":\",".pdf",".jpg",".jpeg",".png",".heic",".xls",".doc",".msg",".eml",".ppt",".txt",".zip"},Z633)))&gt;0),NOT(LOWER(TRIM(Z633))=LOWER(Flights!$F$23)),ISNA(MATCH(BU633,{"mh","rev","revision","ver","version","v","r","a","b","seat","tray","row","gate","bay","stand","page","pg","item","line","no","cart","galley","flight","flt","table","box","bag","oven","etd","eta","std","sta","atd","ata","qty","pax","x","time","tel","ph","mob","day","wk","week","utc","gmt","myt","lt"},0)),NOT(OR(ISNUMBER(MATCH(LEFT(BN633,255),{"0000a","000a","00a","0000aa","000aa","00aa","0aa","0000aaa","000aaa","00a00","0a00","0000-0000","00:00","a00","a0","00.00.0000","00/00/0000","00-00-0000","0000-00-00","0000/00/00","0000.00.00","00.00.00","00/00/00","00-00-00","0.00.0000","0/00/0000","0-00-0000"},0)),ISNUMBER(MATCH(LEFT(BT633,255),{"0000a","000a","00a","0000aa","000aa","00aa","0aa","0000aaa","000aaa","00a00","0a00","0000-0000","00:00","a00","a0","00.00.0000","00/00/0000","00-00-0000","0000-00-00","0000/00/00","0000.00.00","00.00.00","00/00/00","00-00-00","0.00.0000","0/00/0000","0-00-0000"},0)))),NOT(OR(AND(BW633&lt;&gt;"",SUBSTITUTE(BW633,"0","")=""),AND(LEN(BW633)&gt;=4,BW633=REPT(LEFT(BW633),LEN(BW633))),ISNUMBER(MATCH(BW633,{"123","1234","12345","123456","1234567","12345678","0123","01234","012345","98765","987654","54321"},0)),ISNUMBER(MATCH(BX633,{"x","xx","xxx","xxxx","xxxxx","abc","abcd","nil","na","nan","test","tbc","tba","tbd","dummy","sample","example","eg","zz","zzz","none","null","xyz","qwe","asd","id","ref"},0)),AND(LEN(BW633)=8,BX633="",OR(LEFT(BW633,3)="202",ISNUMBER(MATCH(RIGHT(BW633,4),{"2025","2026","2027"},0)))))),OR(AND((LEN(BT633)-LEN(SUBSTITUTE(BT633,"a","")))&gt;=1,(LEN(BN633)-LEN(SUBSTITUTE(BN633,"0","")))&gt;=2,SUMPRODUCT(--ISNUMBER(SEARCH({"a0","a-0","a_0","a/0","a.0","a#0","0a","0-a","0_a","0/a"},BN633)))&gt;0),AND((LEN(BN633)-LEN(SUBSTITUTE(BN633,"a","")))=0,(LEN(BN633)-LEN(SUBSTITUTE(BN633,"0","")))&gt;=5)))),1,0),0)</f>
        <v>0</v>
      </c>
      <c r="CA6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633,"revision",""),"version",""),"jan",""),"feb",""),"mar",""),"apr",""),"may",""),"jun",""),"jul",""),"aug",""),"sep",""),"oct",""),"nov",""),"dec",""),"utc",""),"gmt",""),"myt",""),"bst",""),"rev",""),"ver",""),"b","a"),"c","a"),"d","a"),"e","a"),"f","a"),"g","a"),"h","a"),"i","a"),"j","a"),"k","a"),"l","a"),"m","a"),"n","a"),"o","a"),"p","a"),"q","a"),"r","a"),"s","a"),"t","a"),"u","a"),"v","a"),"w","a"),"x","a"),"y","a"),"z","a")</f>
        <v/>
      </c>
      <c r="CB6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633&amp;""),"a",""),"b",""),"c",""),"d",""),"e",""),"f",""),"g",""),"h",""),"i",""),"j",""),"k",""),"l",""),"m",""),"n",""),"o",""),"p",""),"q",""),"r",""),"s",""),"t",""),"u",""),"v",""),"w",""),"x",""),"y",""),"z",""),"-",""),"_",""),"/",""),".",""),"#",""),"\\",""),":","")," ",""),"(",""),")","")</f>
        <v/>
      </c>
      <c r="CC633" s="0" t="str">
        <f aca="false">" "&amp;TRIM(SUBSTITUTE(SUBSTITUTE(SUBSTITUTE(SUBSTITUTE(SUBSTITUTE(SUBSTITUTE(SUBSTITUTE(SUBSTITUTE(SUBSTITUTE(SUBSTITUTE(SUBSTITUTE(SUBSTITUTE(SUBSTITUTE(SUBSTITUTE(SUBSTITUTE(SUBSTITUTE(SUBSTITUTE(SUBSTITUTE(SUBSTITUTE(SUBSTITUTE(SUBSTITUTE(SUBSTITUTE(SUBSTITUTE(SUBSTITUTE(LOWER(T633&amp;""),CHAR(10)," "),CHAR(13)," "),CHAR(9)," "),CHAR(160)," "),"."," "),","," "),"-"," "),"/"," "),"("," "),")"," "),":"," "),";"," "),"_"," "),"–"," "),"?"," "),"!"," "),"*"," "),"["," "),"]"," "),"'"," "),"#"," "),"+"," "),"&amp;"," "),"\"," "))&amp;" "</f>
        <v>  </v>
      </c>
      <c r="CD633" s="0" t="str">
        <f aca="false">" "&amp;TRIM(SUBSTITUTE(SUBSTITUTE(SUBSTITUTE(SUBSTITUTE(SUBSTITUTE(SUBSTITUTE(SUBSTITUTE(SUBSTITUTE(SUBSTITUTE(SUBSTITUTE(SUBSTITUTE(SUBSTITUTE(SUBSTITUTE(SUBSTITUTE(SUBSTITUTE(SUBSTITUTE(SUBSTITUTE(SUBSTITUTE(SUBSTITUTE(SUBSTITUTE(SUBSTITUTE(SUBSTITUTE(SUBSTITUTE(SUBSTITUTE(LOWER(AE633&amp;""),CHAR(10)," "),CHAR(13)," "),CHAR(9)," "),CHAR(160)," "),"."," "),","," "),"-"," "),"/"," "),"("," "),")"," "),":"," "),";"," "),"_"," "),"–"," "),"?"," "),"!"," "),"*"," "),"["," "),"]"," "),"'"," "),"#"," "),"+"," "),"&amp;"," "),"\"," "))&amp;" "</f>
        <v>  </v>
      </c>
      <c r="CE633" s="68" t="n">
        <f aca="false">IFERROR(IF(AND(LEN(AU633)&gt;0,LEN(AU633)=LEN(AX633),OR(TRIM(MID(SUBSTITUTE(TRIM(CC633)," ",REPT(" ",60)),1,60))="",ISNUMBER(SEARCH(" "&amp;TRIM(MID(SUBSTITUTE(TRIM(CC633)," ",REPT(" ",60)),1,60))&amp;" ",CD633))),OR(TRIM(MID(SUBSTITUTE(TRIM(CC633)," ",REPT(" ",60)),61,60))="",ISNUMBER(SEARCH(" "&amp;TRIM(MID(SUBSTITUTE(TRIM(CC633)," ",REPT(" ",60)),61,60))&amp;" ",CD633))),OR(TRIM(MID(SUBSTITUTE(TRIM(CC633)," ",REPT(" ",60)),121,60))="",ISNUMBER(SEARCH(" "&amp;TRIM(MID(SUBSTITUTE(TRIM(CC633)," ",REPT(" ",60)),121,60))&amp;" ",CD633)))),1,0),0)</f>
        <v>0</v>
      </c>
      <c r="CG633" s="68" t="n">
        <f aca="false">IFERROR(LEN(SUBSTITUTE(BF633," ",""))-SUMPRODUCT((LEN(BF633)-LEN(SUBSTITUTE(BF633," "&amp;L_NAFiller&amp;" "," ")))/(LEN(L_NAFiller)+1)*LEN(L_NAFiller)),0)</f>
        <v>0</v>
      </c>
    </row>
    <row r="634" customFormat="false" ht="78.75" hidden="false" customHeight="true" outlineLevel="0" collapsed="false">
      <c r="A634" s="57" t="s">
        <v>1345</v>
      </c>
      <c r="B634" s="57" t="s">
        <v>301</v>
      </c>
      <c r="C634" s="57" t="str">
        <f aca="false">Flights!$F$23</f>
        <v>MH0053</v>
      </c>
      <c r="D634" s="58" t="n">
        <f aca="false">Flights!$D$23</f>
        <v>46324</v>
      </c>
      <c r="E634" s="57" t="str">
        <f aca="false">Flights!$G$23&amp;"-"&amp;Flights!$H$23</f>
        <v>KIX-KUL</v>
      </c>
      <c r="F634" s="57" t="str">
        <f aca="false">Flights!$K$23</f>
        <v>EY</v>
      </c>
      <c r="G634" s="57" t="s">
        <v>420</v>
      </c>
      <c r="H634" s="57" t="s">
        <v>378</v>
      </c>
      <c r="I634" s="57" t="s">
        <v>428</v>
      </c>
      <c r="J634" s="57" t="s">
        <v>435</v>
      </c>
      <c r="K634" s="67" t="s">
        <v>573</v>
      </c>
      <c r="L634" s="67" t="s">
        <v>422</v>
      </c>
      <c r="M634" s="67"/>
      <c r="N634" s="67" t="s">
        <v>383</v>
      </c>
      <c r="O634" s="67" t="s">
        <v>423</v>
      </c>
      <c r="P634" s="57" t="s">
        <v>295</v>
      </c>
      <c r="Q634" s="59" t="n">
        <f aca="false">ROUND((Flights!$AE$23)*1440,0)/1440</f>
        <v>46323.5277777778</v>
      </c>
      <c r="R634" s="59" t="n">
        <f aca="false">Q634+(IF(AND(INDEX(TZ_DSTS,MATCH(P634,TZ_STN,0))&lt;&gt;"",Q634&gt;=INDEX(TZ_DSTS,MATCH(P634,TZ_STN,0)),Q634&lt;INDEX(TZ_DSTE,MATCH(P634,TZ_STN,0))),INDEX(TZ_DST,MATCH(P634,TZ_STN,0)),INDEX(TZ_STD,MATCH(P634,TZ_STN,0))))/24</f>
        <v>46323.9027777778</v>
      </c>
      <c r="S634" s="60"/>
      <c r="T634" s="60"/>
      <c r="U634" s="60"/>
      <c r="V634" s="60"/>
      <c r="W634" s="61"/>
      <c r="X634" s="60"/>
      <c r="Y634" s="60"/>
      <c r="Z634" s="60"/>
      <c r="AA634" s="60"/>
      <c r="AB634" s="60"/>
      <c r="AC634" s="60"/>
      <c r="AD634" s="66"/>
      <c r="AE634" s="60"/>
      <c r="AF634" s="61" t="str">
        <f aca="false">IF(AND(ISNUMBER(X634),ISNUMBER(Y634)),Y634-X634,"")</f>
        <v/>
      </c>
      <c r="AG634" s="62" t="str">
        <f aca="false">IF(ISNUMBER(AD634),AD634-(IF(AND(INDEX(TZ_DSTS,MATCH(P634,TZ_STN,0))&lt;&gt;"",(AD634-INDEX(TZ_STD,MATCH(P634,TZ_STN,0))/24)&gt;=INDEX(TZ_DSTS,MATCH(P634,TZ_STN,0)),(AD634-INDEX(TZ_STD,MATCH(P634,TZ_STN,0))/24)&lt;INDEX(TZ_DSTE,MATCH(P634,TZ_STN,0))),INDEX(TZ_DST,MATCH(P634,TZ_STN,0)),INDEX(TZ_STD,MATCH(P634,TZ_STN,0))))/24,"")</f>
        <v/>
      </c>
      <c r="AH634" s="65" t="str">
        <f aca="false">IFERROR(IF(N634="N/A – rule",IF(OR(TRIM(U634)="",TRIM(U634)="N/A",TRIM(U634)="Not started"),"N/A – RULE","INVALID – this check does not apply to this aircraft: clear the status (or correct the fleet on Flights)"),IF(TRIM(U634)="N/A",IF(AT634=0,"INVALID – N/A not permitted for this check",IF(AND(TRIM(AB634)&lt;&gt;"",TRIM(AB634)&lt;&gt;"Closed"),"INVALID – corrective action still open",IF(AND(NOT(OR(LEN(AZ634)&lt;15,ISNUMBER(MATCH(AZ634,L_Placeholder,0)))),BK634=0,CG634&gt;=8,NOT(OR(LEN(AU634)&lt;2,ISNUMBER(MATCH(AU634,L_Placeholder,0)))),BR634&gt;=3,NOT(OR(LEN(AX634)&lt;2,ISNUMBER(MATCH(AX634,L_Placeholder,0)))),BS634&gt;=3,TRIM(AE634)&lt;&gt;TRIM(T634),AX634&lt;&gt;AU634,CE634=0),"N/A – JUSTIFIED","INVALID – N/A needs a real, settled reason (not 'not applicable' / 'as above' / TBC), a named PIC and a different named verifier"))),IF(OR(TRIM(U634)="Pass",TRIM(U634)="Pass after CA"),IF(NOT(ISNUMBER(AD634)),"INVALID – completion time missing",IF(OR(OR(LEN(AU634)&lt;2,ISNUMBER(MATCH(AU634,L_Placeholder,0))),BR634&lt;3),"INVALID – PIC missing or not a named person (a role such as QA / CSM is not a name)",IF(OR(LEN(AV634)&lt;2,ISNUMBER(MATCH(AV634,L_Placeholder,0))),"INVALID – result / assessment missing",IF(OR(OR(LEN(AW634)&lt;3,ISNUMBER(MATCH(AW634,L_Placeholder,0))),SUMPRODUCT(--ISNUMBER(SEARCH(" "&amp;L_EvidencePhrase&amp;" ",BD634)))&gt;0,BI634=1),"INVALID – evidence missing, placeholder or not yet on file",IF(ISNA(MATCH(TRIM(S634),L_EvidenceType,0)),"INVALID – choose the evidence type from the list (column S)",IF(BL634=0,"INVALID – evidence ID must be the record's own ID only (e.g. SF-2210, IMG_2231, 1045521); a link / file name needs type 'Link / file path'",IF(OR(OR(LEN(AX634)&lt;2,ISNUMBER(MATCH(AX634,L_Placeholder,0))),BS634&lt;3),"INVALID – verifier missing or not a named person (a role such as QA / CSM is not a name)",IF(OR(AX634=AU634,CE634=1,AND(LEN(AU634)&gt;=4,ISNUMBER(SEARCH(AU634,AX634))),AND(LEN(AX634)&gt;=4,ISNUMBER(SEARCH(AX634,AU634)))),"INVALID – verifier must be a different, named person (not the PIC or a role)",IF(BH634=1,"INVALID – result not yet available (awaiting / TBC)",IF(BG634=1,"INVALID – result describes a problem: record Fail, then Pass after CA (or reword if it is not a problem)",IF(BV634=1,"INVALID – wording says not on board: an on-board confirmation needs the item loaded",IF(AND(AQ634=1,OR(OR(LEN(AY634)&lt;3,ISNUMBER(MATCH(AY634,L_Placeholder,0))),BJ634=1,BQ634=0)),"INVALID – batch ID missing, placeholder or not an ID (e.g. PASB-261008-BC-017)",IF(AND(AR634=1,OR(NOT(ISNUMBER(X634)),NOT(ISNUMBER(Y634)))),"INVALID – expected/actual qty missing",IF(AND(AR634=1,OR(X634&lt;=0,Y634&lt;0)),"INVALID – expected qty must be above 0 and actual not negative",IF(BB634&lt;&gt;"",BB634,IF(AND(AS634=1,Documents!$J$23&lt;&gt;"ON FILE"),"INVALID – GLD not on file (Documents sheet)",IF(AND(AS634=2,Documents!$O$23&lt;&gt;"ON FILE"),"INVALID – menu checklist not on file (Documents sheet)",IF(AND(AS634=3,NOT(ISNUMBER(Flights!$AX$23))),"INVALID – enter carrying flight KUL departure (Flights AX)",IF(AND(AS634=3,OR(Flights!$AZ$23&gt;Flights!$AA$23,Flights!$AX$23&lt;Flights!$AA$23-3)),"INVALID – carrying flight (Flights AX) cannot arrive before this leg's STD, or is over 3 days early",IF(AG634&gt;AsOfUTC,"INVALID – completion time is in the future",IF(AND(ISNUMBER(BY634),AG634&lt;BY634),IF(H634="Physical uplift","INVALID – before uplift window (cannot confirm loading)","INVALID – before valid window"),IF(AG634&gt;Flights!$AA$23,"INVALID – completed after departure (cannot establish readiness)",IF(AND(H634="Preparation",AG634&gt;=IF(ISNUMBER(Flights!$BA$23),MIN(Flights!$BA$23,Flights!$AA$23),Flights!$AA$23)),"INVALID – completed after loading / departure (cannot establish readiness)",IF(AND(H634="Physical uplift",AG634&gt;Q634),"INVALID – recorded after the loading flight departed",IF(AG634&gt;Q634,"COMPLETE – LATE","COMPLETE"))))))))))))))))))))))))),IF(TRIM(U634)="Fail","FAIL – DISCREPANCY",IF(AND(TRIM(U634)&lt;&gt;"",TRIM(U634)&lt;&gt;"Not started",TRIM(U634)&lt;&gt;"In progress"),"INVALID – unrecognised status (use the list)",IF(AsOfUTC&gt;Q634,"OVERDUE",IF(N634="Clarification required","OPEN – CLARIFICATION","OPEN"))))))),"INVALID – error value in an input cell")</f>
        <v>OPEN</v>
      </c>
      <c r="AI634" s="61" t="n">
        <f aca="false">IF(OR(AH634="N/A – RULE",AH634="N/A – JUSTIFIED"),0,1)</f>
        <v>1</v>
      </c>
      <c r="AJ634" s="61" t="n">
        <f aca="false">IF(LEFT(AH634,8)="COMPLETE",1,0)</f>
        <v>0</v>
      </c>
      <c r="AK634" s="61" t="n">
        <f aca="false">IF(AND(AI634=1,AJ634=0,AsOfUTC&gt;Q634),1,0)</f>
        <v>0</v>
      </c>
      <c r="AL634" s="61" t="n">
        <f aca="false">IFERROR(IF(AND(AI634=1,OR(TRIM(U634)="Fail",AND(TRIM(AB634)&lt;&gt;"",TRIM(AB634)&lt;&gt;"Closed"),AND(ISNUMBER(AF634),AF634&lt;&gt;0,TRIM(U634)&lt;&gt;"Pass after CA"))),1,0),1)</f>
        <v>0</v>
      </c>
      <c r="AM634" s="61" t="n">
        <f aca="false">IF(LEFT(AH634,7)="INVALID",1,0)</f>
        <v>0</v>
      </c>
      <c r="AN634" s="61" t="n">
        <f aca="false">IF(AND(N634="Clarification required",AI634=1,AJ634=0),1,0)</f>
        <v>0</v>
      </c>
      <c r="AO634" s="61" t="str">
        <f aca="false">IF(AK634=1,SUM(AK$5:AK634),"")</f>
        <v/>
      </c>
      <c r="AP634" s="61" t="str">
        <f aca="false">IF(AL634=1,SUM(AL$5:AL634),"")</f>
        <v/>
      </c>
      <c r="AQ634" s="61" t="n">
        <v>0</v>
      </c>
      <c r="AR634" s="61" t="n">
        <v>1</v>
      </c>
      <c r="AS634" s="61" t="n">
        <v>0</v>
      </c>
      <c r="AT634" s="61" t="n">
        <v>0</v>
      </c>
      <c r="AU634" s="61" t="str">
        <f aca="false">SUBSTITUTE(SUBSTITUTE(SUBSTITUTE(SUBSTITUTE(SUBSTITUTE(SUBSTITUTE(SUBSTITUTE(SUBSTITUTE(SUBSTITUTE(SUBSTITUTE(SUBSTITUTE(SUBSTITUTE(SUBSTITUTE(SUBSTITUTE(SUBSTITUTE(SUBSTITUTE(LOWER(T634&amp;""),CHAR(10),""),CHAR(13),""),CHAR(9),""),CHAR(160),"")," ",""),".",""),"-",""),"/",""),"?",""),"_",""),",",""),"[",""),"]",""),"(",""),")",""),"*","")</f>
        <v/>
      </c>
      <c r="AV634" s="61" t="str">
        <f aca="false">SUBSTITUTE(SUBSTITUTE(SUBSTITUTE(SUBSTITUTE(SUBSTITUTE(SUBSTITUTE(SUBSTITUTE(SUBSTITUTE(SUBSTITUTE(SUBSTITUTE(SUBSTITUTE(SUBSTITUTE(SUBSTITUTE(SUBSTITUTE(SUBSTITUTE(SUBSTITUTE(LOWER(V634&amp;""),CHAR(10),""),CHAR(13),""),CHAR(9),""),CHAR(160),"")," ",""),".",""),"-",""),"/",""),"?",""),"_",""),",",""),"[",""),"]",""),"(",""),")",""),"*","")</f>
        <v/>
      </c>
      <c r="AW634" s="61" t="str">
        <f aca="false">SUBSTITUTE(SUBSTITUTE(SUBSTITUTE(SUBSTITUTE(SUBSTITUTE(SUBSTITUTE(SUBSTITUTE(SUBSTITUTE(SUBSTITUTE(SUBSTITUTE(SUBSTITUTE(SUBSTITUTE(SUBSTITUTE(SUBSTITUTE(SUBSTITUTE(SUBSTITUTE(LOWER(Z634&amp;""),CHAR(10),""),CHAR(13),""),CHAR(9),""),CHAR(160),"")," ",""),".",""),"-",""),"/",""),"?",""),"_",""),",",""),"[",""),"]",""),"(",""),")",""),"*","")</f>
        <v/>
      </c>
      <c r="AX634" s="61" t="str">
        <f aca="false">SUBSTITUTE(SUBSTITUTE(SUBSTITUTE(SUBSTITUTE(SUBSTITUTE(SUBSTITUTE(SUBSTITUTE(SUBSTITUTE(SUBSTITUTE(SUBSTITUTE(SUBSTITUTE(SUBSTITUTE(SUBSTITUTE(SUBSTITUTE(SUBSTITUTE(SUBSTITUTE(LOWER(AE634&amp;""),CHAR(10),""),CHAR(13),""),CHAR(9),""),CHAR(160),"")," ",""),".",""),"-",""),"/",""),"?",""),"_",""),",",""),"[",""),"]",""),"(",""),")",""),"*","")</f>
        <v/>
      </c>
      <c r="AY634" s="61" t="str">
        <f aca="false">SUBSTITUTE(SUBSTITUTE(SUBSTITUTE(SUBSTITUTE(SUBSTITUTE(SUBSTITUTE(SUBSTITUTE(SUBSTITUTE(SUBSTITUTE(SUBSTITUTE(SUBSTITUTE(SUBSTITUTE(SUBSTITUTE(SUBSTITUTE(SUBSTITUTE(SUBSTITUTE(LOWER(W634&amp;""),CHAR(10),""),CHAR(13),""),CHAR(9),""),CHAR(160),"")," ",""),".",""),"-",""),"/",""),"?",""),"_",""),",",""),"[",""),"]",""),"(",""),")",""),"*","")</f>
        <v/>
      </c>
      <c r="AZ634" s="61" t="str">
        <f aca="false">SUBSTITUTE(SUBSTITUTE(SUBSTITUTE(SUBSTITUTE(SUBSTITUTE(SUBSTITUTE(SUBSTITUTE(SUBSTITUTE(SUBSTITUTE(SUBSTITUTE(SUBSTITUTE(SUBSTITUTE(SUBSTITUTE(SUBSTITUTE(SUBSTITUTE(SUBSTITUTE(LOWER(AC634&amp;""),CHAR(10),""),CHAR(13),""),CHAR(9),""),CHAR(160),"")," ",""),".",""),"-",""),"/",""),"?",""),"_",""),",",""),"[",""),"]",""),"(",""),")",""),"*","")</f>
        <v/>
      </c>
      <c r="BA634" s="61" t="str">
        <f aca="false">SUBSTITUTE(SUBSTITUTE(SUBSTITUTE(SUBSTITUTE(SUBSTITUTE(SUBSTITUTE(SUBSTITUTE(SUBSTITUTE(SUBSTITUTE(SUBSTITUTE(SUBSTITUTE(SUBSTITUTE(SUBSTITUTE(SUBSTITUTE(SUBSTITUTE(SUBSTITUTE(LOWER(AA634&amp;""),CHAR(10),""),CHAR(13),""),CHAR(9),""),CHAR(160),"")," ",""),".",""),"-",""),"/",""),"?",""),"_",""),",",""),"[",""),"]",""),"(",""),")",""),"*","")</f>
        <v/>
      </c>
      <c r="BB634" s="61" t="str">
        <f aca="false">IF(AND(TRIM(U634)="Pass",ISNUMBER(AF634)),IF(AF634&lt;&gt;0,"INVALID – qty variance: use Fail or Pass after CA",""),"")&amp;IF(AND(TRIM(U634)="Pass after CA",ISNUMBER(AF634)),IF(AF634&lt;&gt;0,"INVALID – after the corrective action the actual qty must equal expected (update Actual)",""),"")&amp;IF(AND(TRIM(U634)="Pass",TRIM(AB634)&lt;&gt;"",TRIM(AB634)&lt;&gt;"Closed"),"INVALID – corrective action not closed: use Fail, then Pass after CA","")&amp;IF(AND(LEN(BA634)&gt;=2,ISNA(MATCH(LEFT(BA634,255),L_Placeholder,0)),TRIM(AB634)=""),"INVALID – CA status missing for the recorded corrective action","")&amp;IF(AND(TRIM(U634)="Pass after CA",OR(OR(LEN(BA634)&lt;5,ISNUMBER(MATCH(BA634,L_Placeholder,0))),TRIM(AB634)&lt;&gt;"Closed")),"INVALID – corrective action not recorded/closed","")</f>
        <v/>
      </c>
      <c r="BC634" s="61" t="str">
        <f aca="false">" "&amp;TRIM(SUBSTITUTE(SUBSTITUTE(SUBSTITUTE(SUBSTITUTE(SUBSTITUTE(SUBSTITUTE(SUBSTITUTE(SUBSTITUTE(SUBSTITUTE(SUBSTITUTE(SUBSTITUTE(SUBSTITUTE(SUBSTITUTE(SUBSTITUTE(SUBSTITUTE(SUBSTITUTE(SUBSTITUTE(SUBSTITUTE(SUBSTITUTE(SUBSTITUTE(SUBSTITUTE(SUBSTITUTE(SUBSTITUTE(SUBSTITUTE(LOWER(V634&amp;""),CHAR(10)," "),CHAR(13)," "),CHAR(9)," "),CHAR(160)," "),"."," "),","," "),"-"," "),"/"," "),"("," "),")"," "),":"," "),";"," "),"_"," "),"–"," "),"?"," "),"!"," "),"*"," "),"["," "),"]"," "),"'"," "),"#"," "),"+"," "),"&amp;"," "),"\"," "))&amp;" "</f>
        <v>  </v>
      </c>
      <c r="BD634" s="61" t="str">
        <f aca="false">" "&amp;TRIM(SUBSTITUTE(SUBSTITUTE(SUBSTITUTE(SUBSTITUTE(SUBSTITUTE(SUBSTITUTE(SUBSTITUTE(SUBSTITUTE(SUBSTITUTE(SUBSTITUTE(SUBSTITUTE(SUBSTITUTE(SUBSTITUTE(SUBSTITUTE(SUBSTITUTE(SUBSTITUTE(SUBSTITUTE(SUBSTITUTE(SUBSTITUTE(SUBSTITUTE(SUBSTITUTE(SUBSTITUTE(SUBSTITUTE(SUBSTITUTE(LOWER(Z634&amp;""),CHAR(10)," "),CHAR(13)," "),CHAR(9)," "),CHAR(160)," "),"."," "),","," "),"-"," "),"/"," "),"("," "),")"," "),":"," "),";"," "),"_"," "),"–"," "),"?"," "),"!"," "),"*"," "),"["," "),"]"," "),"'"," "),"#"," "),"+"," "),"&amp;"," "),"\"," "))&amp;" "</f>
        <v>  </v>
      </c>
      <c r="BE634" s="61" t="str">
        <f aca="false">" "&amp;TRIM(SUBSTITUTE(SUBSTITUTE(SUBSTITUTE(SUBSTITUTE(SUBSTITUTE(SUBSTITUTE(SUBSTITUTE(SUBSTITUTE(SUBSTITUTE(SUBSTITUTE(SUBSTITUTE(SUBSTITUTE(SUBSTITUTE(SUBSTITUTE(SUBSTITUTE(SUBSTITUTE(SUBSTITUTE(SUBSTITUTE(SUBSTITUTE(SUBSTITUTE(SUBSTITUTE(SUBSTITUTE(SUBSTITUTE(SUBSTITUTE(LOWER(W634&amp;""),CHAR(10)," "),CHAR(13)," "),CHAR(9)," "),CHAR(160)," "),"."," "),","," "),"-"," "),"/"," "),"("," "),")"," "),":"," "),";"," "),"_"," "),"–"," "),"?"," "),"!"," "),"*"," "),"["," "),"]"," "),"'"," "),"#"," "),"+"," "),"&amp;"," "),"\"," "))&amp;" "</f>
        <v>  </v>
      </c>
      <c r="BF634" s="61" t="str">
        <f aca="false">" "&amp;TRIM(SUBSTITUTE(SUBSTITUTE(SUBSTITUTE(SUBSTITUTE(SUBSTITUTE(SUBSTITUTE(SUBSTITUTE(SUBSTITUTE(SUBSTITUTE(SUBSTITUTE(SUBSTITUTE(SUBSTITUTE(SUBSTITUTE(SUBSTITUTE(SUBSTITUTE(SUBSTITUTE(SUBSTITUTE(SUBSTITUTE(SUBSTITUTE(SUBSTITUTE(SUBSTITUTE(SUBSTITUTE(SUBSTITUTE(SUBSTITUTE(LOWER(AC634&amp;""),CHAR(10)," "),CHAR(13)," "),CHAR(9)," "),CHAR(160)," "),"."," "),","," "),"-"," "),"/"," "),"("," "),")"," "),":"," "),";"," "),"_"," "),"–"," "),"?"," "),"!"," "),"*"," "),"["," "),"]"," "),"'"," "),"#"," "),"+"," "),"&amp;"," "),"\"," "))&amp;" "</f>
        <v>  </v>
      </c>
      <c r="BG634" s="61" t="n">
        <f aca="false">IFERROR(IF(AND(TRIM(U634)="Pass",SUMPRODUCT((LEN(BC634)-LEN(SUBSTITUTE(BC634," "&amp;L_ResultBad&amp;" "," ")))/(LEN(L_ResultBad)+1))&gt;SUMPRODUCT((LEN(BC634)-LEN(SUBSTITUTE(BC634," "&amp;L_NegPhrase&amp;" "," ")))/(LEN(L_NegPhrase)+1))),1,0),0)</f>
        <v>0</v>
      </c>
      <c r="BH634" s="61" t="n">
        <f aca="false">IFERROR(IF(SUMPRODUCT((LEN(BC634)-LEN(SUBSTITUTE(BC634," "&amp;L_Pending&amp;" "," ")))/(LEN(L_Pending)+1))&gt;SUMPRODUCT((LEN(BC634)-LEN(SUBSTITUTE(BC634," "&amp;L_PendNeg&amp;" "," ")))/(LEN(L_PendNeg)+1))+SUMPRODUCT((LEN(BC634)-LEN(SUBSTITUTE(BC634," "&amp;L_PendPrep&amp;" "," ")))/(LEN(L_PendPrep)+1)),1,0),1)</f>
        <v>0</v>
      </c>
      <c r="BI634" s="61" t="n">
        <f aca="false">IFERROR(IF(SUMPRODUCT((LEN(BD634)-LEN(SUBSTITUTE(BD634," "&amp;L_PendStrict&amp;" "," ")))/(LEN(L_PendStrict)+1))&gt;SUMPRODUCT((LEN(BD634)-LEN(SUBSTITUTE(BD634," "&amp;L_PendNeg&amp;" "," ")))/(LEN(L_PendNeg)+1)),1,0),1)</f>
        <v>0</v>
      </c>
      <c r="BJ634" s="61" t="n">
        <f aca="false">IFERROR(IF(SUMPRODUCT((LEN(BE634)-LEN(SUBSTITUTE(BE634," "&amp;L_Pending&amp;" "," ")))/(LEN(L_Pending)+1))&gt;SUMPRODUCT((LEN(BE634)-LEN(SUBSTITUTE(BE634," "&amp;L_PendNeg&amp;" "," ")))/(LEN(L_PendNeg)+1))+SUMPRODUCT((LEN(BE634)-LEN(SUBSTITUTE(BE634," "&amp;L_PendPrep&amp;" "," ")))/(LEN(L_PendPrep)+1)),1,0),1)</f>
        <v>0</v>
      </c>
      <c r="BK634" s="61" t="n">
        <f aca="false">IFERROR(IF(SUMPRODUCT((LEN(BF634)-LEN(SUBSTITUTE(BF634," "&amp;L_PendStrict&amp;" "," ")))/(LEN(L_PendStrict)+1))&gt;SUMPRODUCT((LEN(BF634)-LEN(SUBSTITUTE(BF634," "&amp;L_PendNeg&amp;" "," ")))/(LEN(L_PendNeg)+1)),1,0),1)</f>
        <v>0</v>
      </c>
      <c r="BL634" s="61" t="n">
        <f aca="false">IF(ISNA(MATCH(TRIM(S634),L_EvidenceType,0)),0,BZ634)</f>
        <v>0</v>
      </c>
      <c r="BM634" s="61" t="str">
        <f aca="false">SUBSTITUTE(SUBSTITUTE(SUBSTITUTE(SUBSTITUTE(SUBSTITUTE(SUBSTITUTE(SUBSTITUTE(SUBSTITUTE(SUBSTITUTE(LOWER(Z634&amp;""),"1","0"),"2","0"),"3","0"),"4","0"),"5","0"),"6","0"),"7","0"),"8","0"),"9","0")</f>
        <v/>
      </c>
      <c r="BN634" s="61" t="str">
        <f aca="false">SUBSTITUTE(SUBSTITUTE(SUBSTITUTE(SUBSTITUTE(SUBSTITUTE(SUBSTITUTE(SUBSTITUTE(SUBSTITUTE(SUBSTITUTE(SUBSTITUTE(SUBSTITUTE(SUBSTITUTE(SUBSTITUTE(SUBSTITUTE(SUBSTITUTE(SUBSTITUTE(SUBSTITUTE(SUBSTITUTE(SUBSTITUTE(SUBSTITUTE(SUBSTITUTE(SUBSTITUTE(SUBSTITUTE(SUBSTITUTE(SUBSTITUTE(BM634,"b","a"),"c","a"),"d","a"),"e","a"),"f","a"),"g","a"),"h","a"),"i","a"),"j","a"),"k","a"),"l","a"),"m","a"),"n","a"),"o","a"),"p","a"),"q","a"),"r","a"),"s","a"),"t","a"),"u","a"),"v","a"),"w","a"),"x","a"),"y","a"),"z","a")</f>
        <v/>
      </c>
      <c r="BO634" s="61" t="str">
        <f aca="false">SUBSTITUTE(SUBSTITUTE(SUBSTITUTE(SUBSTITUTE(SUBSTITUTE(SUBSTITUTE(SUBSTITUTE(SUBSTITUTE(SUBSTITUTE(LOWER(W634&amp;""),"1","0"),"2","0"),"3","0"),"4","0"),"5","0"),"6","0"),"7","0"),"8","0"),"9","0")</f>
        <v/>
      </c>
      <c r="BP634" s="61" t="str">
        <f aca="false">SUBSTITUTE(SUBSTITUTE(SUBSTITUTE(SUBSTITUTE(SUBSTITUTE(SUBSTITUTE(SUBSTITUTE(SUBSTITUTE(SUBSTITUTE(SUBSTITUTE(SUBSTITUTE(SUBSTITUTE(SUBSTITUTE(SUBSTITUTE(SUBSTITUTE(SUBSTITUTE(SUBSTITUTE(SUBSTITUTE(SUBSTITUTE(SUBSTITUTE(SUBSTITUTE(SUBSTITUTE(SUBSTITUTE(SUBSTITUTE(SUBSTITUTE(BO634,"b","a"),"c","a"),"d","a"),"e","a"),"f","a"),"g","a"),"h","a"),"i","a"),"j","a"),"k","a"),"l","a"),"m","a"),"n","a"),"o","a"),"p","a"),"q","a"),"r","a"),"s","a"),"t","a"),"u","a"),"v","a"),"w","a"),"x","a"),"y","a"),"z","a")</f>
        <v/>
      </c>
      <c r="BQ634" s="61" t="n">
        <f aca="false">IFERROR(IF(AND(ISERROR(SEARCH(" mh"," "&amp;LOWER(W634))),ISNA(MATCH(LEFT(TRIM(BP634),255),{"0000a","000a","00a","0000aa","000aa","00aa","0aa","0000aaa","000aaa","00a00","0a00","0000-0000","00:00","a00","a0","00.00.0000","00/00/0000","00-00-0000","0000-00-00","0000/00/00","0000.00.00","00.00.00","00/00/00","00-00-00","0.00.0000","0/00/0000","0-00-0000"},0)),ISNA(MATCH(LEFT(TRIM(CA634),255),{"0000a","000a","00a","0000aa","000aa","00aa","0aa","0000aaa","000aaa","00a00","0a00","0000-0000","00:00","a00","a0","00.00.0000","00/00/0000","00-00-0000","0000-00-00","0000/00/00","0000.00.00","00.00.00","00/00/00","00-00-00","0.00.0000","0/00/0000","0-00-0000"},0)),LEN(CB634)&gt;=3,NOT(OR(SUBSTITUTE(CB634,"0","")="",AND(LEN(CB634)&gt;=4,CB634=REPT(LEFT(CB634),LEN(CB634))),ISNUMBER(MATCH(CB634,{"123","1234","12345","123456","1234567","12345678","0123","01234","012345","98765","987654","54321"},0)),AND(LEN(CB634)=8,LEFT(CB634,3)="202"))),OR(AND((LEN(CA634)-LEN(SUBSTITUTE(CA634,"a","")))&gt;=1,SUMPRODUCT(--ISNUMBER(SEARCH({"a0","a-0","a_0","a/0","a.0","a#0","0a","0-a","0_a","0/a"},BP634)))&gt;0),ISNUMBER(SEARCH("000000",BP634)))),1,0),0)</f>
        <v>0</v>
      </c>
      <c r="BR634" s="61" t="n">
        <f aca="false">IFERROR(LEN(SUBSTITUTE(CC634," ",""))-SUMPRODUCT((LEN(CC634)-LEN(SUBSTITUTE(CC634," "&amp;L_Role&amp;" "," ")))/(LEN(L_Role)+1)*LEN(L_Role)),0)</f>
        <v>0</v>
      </c>
      <c r="BS634" s="61" t="n">
        <f aca="false">IFERROR(LEN(SUBSTITUTE(CD634," ",""))-SUMPRODUCT((LEN(CD634)-LEN(SUBSTITUTE(CD634," "&amp;L_Role&amp;" "," ")))/(LEN(L_Role)+1)*LEN(L_Role)),0)</f>
        <v>0</v>
      </c>
      <c r="BT6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634,"revision",""),"version",""),"jan",""),"feb",""),"mar",""),"apr",""),"may",""),"jun",""),"jul",""),"aug",""),"sep",""),"oct",""),"nov",""),"dec",""),"utc",""),"gmt",""),"myt",""),"bst",""),"rev",""),"ver",""),"b","a"),"c","a"),"d","a"),"e","a"),"f","a"),"g","a"),"h","a"),"i","a"),"j","a"),"k","a"),"l","a"),"m","a"),"n","a"),"o","a"),"p","a"),"q","a"),"r","a"),"s","a"),"t","a"),"u","a"),"v","a"),"w","a"),"x","a"),"y","a"),"z","a")</f>
        <v/>
      </c>
      <c r="BU634" s="61" t="str">
        <f aca="false">SUBSTITUTE(SUBSTITUTE(SUBSTITUTE(SUBSTITUTE(SUBSTITUTE(SUBSTITUTE(SUBSTITUTE(SUBSTITUTE(SUBSTITUTE(SUBSTITUTE(LEFT(BM634,FIND("0",BM634&amp;"0")-1),"-",""),"_",""),"/",""),".",""),"#",""),"\\",""),":","")," ",""),"(",""),")","")</f>
        <v/>
      </c>
      <c r="BV634" s="61" t="n">
        <f aca="false">0</f>
        <v>0</v>
      </c>
      <c r="BW6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634&amp;""),"a",""),"b",""),"c",""),"d",""),"e",""),"f",""),"g",""),"h",""),"i",""),"j",""),"k",""),"l",""),"m",""),"n",""),"o",""),"p",""),"q",""),"r",""),"s",""),"t",""),"u",""),"v",""),"w",""),"x",""),"y",""),"z",""),"-",""),"_",""),"/",""),".",""),"#",""),"\\",""),":","")," ",""),"(",""),")","")</f>
        <v/>
      </c>
      <c r="BX634" s="61" t="str">
        <f aca="false">SUBSTITUTE(SUBSTITUTE(SUBSTITUTE(SUBSTITUTE(SUBSTITUTE(SUBSTITUTE(SUBSTITUTE(SUBSTITUTE(SUBSTITUTE(SUBSTITUTE(SUBSTITUTE(BM634,"0",""),"-",""),"_",""),"/",""),".",""),"#",""),"\\",""),":","")," ",""),"(",""),")","")</f>
        <v/>
      </c>
      <c r="BY634" s="62" t="n">
        <f aca="false">Q634-T12EarlyH/24</f>
        <v>46323.0277777778</v>
      </c>
      <c r="BZ634" s="61" t="n">
        <f aca="false">IFERROR(IF(IF(TRIM(S634)="Link / file path",AND(LEN(TRIM(Z634))&gt;=5,SUMPRODUCT(--ISNUMBER(SEARCH({"http","www.","\\",":\",".pdf",".jpg",".jpeg",".png",".heic",".xls",".doc",".msg",".eml",".ppt",".txt",".zip"},Z634)))&gt;0),AND(ISERROR(FIND(" ",TRIM(Z634))),NOT(OR(SUMPRODUCT(--ISNUMBER(FIND({",",";","&amp;","+"},Z634)))&gt;0,SUMPRODUCT(--ISNUMBER(SEARCH({"0/aa","0\\aa"},BN634)))&gt;0)),NOT(SUMPRODUCT(--ISNUMBER(SEARCH({"http","www.","\\",":\",".pdf",".jpg",".jpeg",".png",".heic",".xls",".doc",".msg",".eml",".ppt",".txt",".zip"},Z634)))&gt;0),NOT(LOWER(TRIM(Z634))=LOWER(Flights!$F$23)),ISNA(MATCH(BU634,{"mh","rev","revision","ver","version","v","r","a","b","seat","tray","row","gate","bay","stand","page","pg","item","line","no","cart","galley","flight","flt","table","box","bag","oven","etd","eta","std","sta","atd","ata","qty","pax","x","time","tel","ph","mob","day","wk","week","utc","gmt","myt","lt"},0)),NOT(OR(ISNUMBER(MATCH(LEFT(BN634,255),{"0000a","000a","00a","0000aa","000aa","00aa","0aa","0000aaa","000aaa","00a00","0a00","0000-0000","00:00","a00","a0","00.00.0000","00/00/0000","00-00-0000","0000-00-00","0000/00/00","0000.00.00","00.00.00","00/00/00","00-00-00","0.00.0000","0/00/0000","0-00-0000"},0)),ISNUMBER(MATCH(LEFT(BT634,255),{"0000a","000a","00a","0000aa","000aa","00aa","0aa","0000aaa","000aaa","00a00","0a00","0000-0000","00:00","a00","a0","00.00.0000","00/00/0000","00-00-0000","0000-00-00","0000/00/00","0000.00.00","00.00.00","00/00/00","00-00-00","0.00.0000","0/00/0000","0-00-0000"},0)))),NOT(OR(AND(BW634&lt;&gt;"",SUBSTITUTE(BW634,"0","")=""),AND(LEN(BW634)&gt;=4,BW634=REPT(LEFT(BW634),LEN(BW634))),ISNUMBER(MATCH(BW634,{"123","1234","12345","123456","1234567","12345678","0123","01234","012345","98765","987654","54321"},0)),ISNUMBER(MATCH(BX634,{"x","xx","xxx","xxxx","xxxxx","abc","abcd","nil","na","nan","test","tbc","tba","tbd","dummy","sample","example","eg","zz","zzz","none","null","xyz","qwe","asd","id","ref"},0)),AND(LEN(BW634)=8,BX634="",OR(LEFT(BW634,3)="202",ISNUMBER(MATCH(RIGHT(BW634,4),{"2025","2026","2027"},0)))))),OR(AND((LEN(BT634)-LEN(SUBSTITUTE(BT634,"a","")))&gt;=1,(LEN(BN634)-LEN(SUBSTITUTE(BN634,"0","")))&gt;=2,SUMPRODUCT(--ISNUMBER(SEARCH({"a0","a-0","a_0","a/0","a.0","a#0","0a","0-a","0_a","0/a"},BN634)))&gt;0),AND((LEN(BN634)-LEN(SUBSTITUTE(BN634,"a","")))=0,(LEN(BN634)-LEN(SUBSTITUTE(BN634,"0","")))&gt;=5)))),1,0),0)</f>
        <v>0</v>
      </c>
      <c r="CA6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634,"revision",""),"version",""),"jan",""),"feb",""),"mar",""),"apr",""),"may",""),"jun",""),"jul",""),"aug",""),"sep",""),"oct",""),"nov",""),"dec",""),"utc",""),"gmt",""),"myt",""),"bst",""),"rev",""),"ver",""),"b","a"),"c","a"),"d","a"),"e","a"),"f","a"),"g","a"),"h","a"),"i","a"),"j","a"),"k","a"),"l","a"),"m","a"),"n","a"),"o","a"),"p","a"),"q","a"),"r","a"),"s","a"),"t","a"),"u","a"),"v","a"),"w","a"),"x","a"),"y","a"),"z","a")</f>
        <v/>
      </c>
      <c r="CB6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634&amp;""),"a",""),"b",""),"c",""),"d",""),"e",""),"f",""),"g",""),"h",""),"i",""),"j",""),"k",""),"l",""),"m",""),"n",""),"o",""),"p",""),"q",""),"r",""),"s",""),"t",""),"u",""),"v",""),"w",""),"x",""),"y",""),"z",""),"-",""),"_",""),"/",""),".",""),"#",""),"\\",""),":","")," ",""),"(",""),")","")</f>
        <v/>
      </c>
      <c r="CC634" s="0" t="str">
        <f aca="false">" "&amp;TRIM(SUBSTITUTE(SUBSTITUTE(SUBSTITUTE(SUBSTITUTE(SUBSTITUTE(SUBSTITUTE(SUBSTITUTE(SUBSTITUTE(SUBSTITUTE(SUBSTITUTE(SUBSTITUTE(SUBSTITUTE(SUBSTITUTE(SUBSTITUTE(SUBSTITUTE(SUBSTITUTE(SUBSTITUTE(SUBSTITUTE(SUBSTITUTE(SUBSTITUTE(SUBSTITUTE(SUBSTITUTE(SUBSTITUTE(SUBSTITUTE(LOWER(T634&amp;""),CHAR(10)," "),CHAR(13)," "),CHAR(9)," "),CHAR(160)," "),"."," "),","," "),"-"," "),"/"," "),"("," "),")"," "),":"," "),";"," "),"_"," "),"–"," "),"?"," "),"!"," "),"*"," "),"["," "),"]"," "),"'"," "),"#"," "),"+"," "),"&amp;"," "),"\"," "))&amp;" "</f>
        <v>  </v>
      </c>
      <c r="CD634" s="0" t="str">
        <f aca="false">" "&amp;TRIM(SUBSTITUTE(SUBSTITUTE(SUBSTITUTE(SUBSTITUTE(SUBSTITUTE(SUBSTITUTE(SUBSTITUTE(SUBSTITUTE(SUBSTITUTE(SUBSTITUTE(SUBSTITUTE(SUBSTITUTE(SUBSTITUTE(SUBSTITUTE(SUBSTITUTE(SUBSTITUTE(SUBSTITUTE(SUBSTITUTE(SUBSTITUTE(SUBSTITUTE(SUBSTITUTE(SUBSTITUTE(SUBSTITUTE(SUBSTITUTE(LOWER(AE634&amp;""),CHAR(10)," "),CHAR(13)," "),CHAR(9)," "),CHAR(160)," "),"."," "),","," "),"-"," "),"/"," "),"("," "),")"," "),":"," "),";"," "),"_"," "),"–"," "),"?"," "),"!"," "),"*"," "),"["," "),"]"," "),"'"," "),"#"," "),"+"," "),"&amp;"," "),"\"," "))&amp;" "</f>
        <v>  </v>
      </c>
      <c r="CE634" s="68" t="n">
        <f aca="false">IFERROR(IF(AND(LEN(AU634)&gt;0,LEN(AU634)=LEN(AX634),OR(TRIM(MID(SUBSTITUTE(TRIM(CC634)," ",REPT(" ",60)),1,60))="",ISNUMBER(SEARCH(" "&amp;TRIM(MID(SUBSTITUTE(TRIM(CC634)," ",REPT(" ",60)),1,60))&amp;" ",CD634))),OR(TRIM(MID(SUBSTITUTE(TRIM(CC634)," ",REPT(" ",60)),61,60))="",ISNUMBER(SEARCH(" "&amp;TRIM(MID(SUBSTITUTE(TRIM(CC634)," ",REPT(" ",60)),61,60))&amp;" ",CD634))),OR(TRIM(MID(SUBSTITUTE(TRIM(CC634)," ",REPT(" ",60)),121,60))="",ISNUMBER(SEARCH(" "&amp;TRIM(MID(SUBSTITUTE(TRIM(CC634)," ",REPT(" ",60)),121,60))&amp;" ",CD634)))),1,0),0)</f>
        <v>0</v>
      </c>
      <c r="CG634" s="68" t="n">
        <f aca="false">IFERROR(LEN(SUBSTITUTE(BF634," ",""))-SUMPRODUCT((LEN(BF634)-LEN(SUBSTITUTE(BF634," "&amp;L_NAFiller&amp;" "," ")))/(LEN(L_NAFiller)+1)*LEN(L_NAFiller)),0)</f>
        <v>0</v>
      </c>
    </row>
    <row r="635" customFormat="false" ht="39.75" hidden="false" customHeight="true" outlineLevel="0" collapsed="false">
      <c r="A635" s="57" t="s">
        <v>1346</v>
      </c>
      <c r="B635" s="57" t="s">
        <v>301</v>
      </c>
      <c r="C635" s="57" t="str">
        <f aca="false">Flights!$F$23</f>
        <v>MH0053</v>
      </c>
      <c r="D635" s="58" t="n">
        <f aca="false">Flights!$D$23</f>
        <v>46324</v>
      </c>
      <c r="E635" s="57" t="str">
        <f aca="false">Flights!$G$23&amp;"-"&amp;Flights!$H$23</f>
        <v>KIX-KUL</v>
      </c>
      <c r="F635" s="57" t="str">
        <f aca="false">Flights!$K$23</f>
        <v>EY</v>
      </c>
      <c r="G635" s="57" t="s">
        <v>420</v>
      </c>
      <c r="H635" s="57" t="s">
        <v>378</v>
      </c>
      <c r="I635" s="57" t="s">
        <v>428</v>
      </c>
      <c r="J635" s="57" t="s">
        <v>438</v>
      </c>
      <c r="K635" s="67"/>
      <c r="L635" s="67" t="s">
        <v>422</v>
      </c>
      <c r="M635" s="67"/>
      <c r="N635" s="67" t="s">
        <v>383</v>
      </c>
      <c r="O635" s="67" t="s">
        <v>423</v>
      </c>
      <c r="P635" s="57" t="s">
        <v>295</v>
      </c>
      <c r="Q635" s="59" t="n">
        <f aca="false">ROUND((Flights!$AE$23)*1440,0)/1440</f>
        <v>46323.5277777778</v>
      </c>
      <c r="R635" s="59" t="n">
        <f aca="false">Q635+(IF(AND(INDEX(TZ_DSTS,MATCH(P635,TZ_STN,0))&lt;&gt;"",Q635&gt;=INDEX(TZ_DSTS,MATCH(P635,TZ_STN,0)),Q635&lt;INDEX(TZ_DSTE,MATCH(P635,TZ_STN,0))),INDEX(TZ_DST,MATCH(P635,TZ_STN,0)),INDEX(TZ_STD,MATCH(P635,TZ_STN,0))))/24</f>
        <v>46323.9027777778</v>
      </c>
      <c r="S635" s="60"/>
      <c r="T635" s="60"/>
      <c r="U635" s="60"/>
      <c r="V635" s="60"/>
      <c r="W635" s="61"/>
      <c r="X635" s="60"/>
      <c r="Y635" s="60"/>
      <c r="Z635" s="60"/>
      <c r="AA635" s="60"/>
      <c r="AB635" s="60"/>
      <c r="AC635" s="60"/>
      <c r="AD635" s="66"/>
      <c r="AE635" s="60"/>
      <c r="AF635" s="61" t="str">
        <f aca="false">IF(AND(ISNUMBER(X635),ISNUMBER(Y635)),Y635-X635,"")</f>
        <v/>
      </c>
      <c r="AG635" s="62" t="str">
        <f aca="false">IF(ISNUMBER(AD635),AD635-(IF(AND(INDEX(TZ_DSTS,MATCH(P635,TZ_STN,0))&lt;&gt;"",(AD635-INDEX(TZ_STD,MATCH(P635,TZ_STN,0))/24)&gt;=INDEX(TZ_DSTS,MATCH(P635,TZ_STN,0)),(AD635-INDEX(TZ_STD,MATCH(P635,TZ_STN,0))/24)&lt;INDEX(TZ_DSTE,MATCH(P635,TZ_STN,0))),INDEX(TZ_DST,MATCH(P635,TZ_STN,0)),INDEX(TZ_STD,MATCH(P635,TZ_STN,0))))/24,"")</f>
        <v/>
      </c>
      <c r="AH635" s="65" t="str">
        <f aca="false">IFERROR(IF(N635="N/A – rule",IF(OR(TRIM(U635)="",TRIM(U635)="N/A",TRIM(U635)="Not started"),"N/A – RULE","INVALID – this check does not apply to this aircraft: clear the status (or correct the fleet on Flights)"),IF(TRIM(U635)="N/A",IF(AT635=0,"INVALID – N/A not permitted for this check",IF(AND(TRIM(AB635)&lt;&gt;"",TRIM(AB635)&lt;&gt;"Closed"),"INVALID – corrective action still open",IF(AND(NOT(OR(LEN(AZ635)&lt;15,ISNUMBER(MATCH(AZ635,L_Placeholder,0)))),BK635=0,CG635&gt;=8,NOT(OR(LEN(AU635)&lt;2,ISNUMBER(MATCH(AU635,L_Placeholder,0)))),BR635&gt;=3,NOT(OR(LEN(AX635)&lt;2,ISNUMBER(MATCH(AX635,L_Placeholder,0)))),BS635&gt;=3,TRIM(AE635)&lt;&gt;TRIM(T635),AX635&lt;&gt;AU635,CE635=0),"N/A – JUSTIFIED","INVALID – N/A needs a real, settled reason (not 'not applicable' / 'as above' / TBC), a named PIC and a different named verifier"))),IF(OR(TRIM(U635)="Pass",TRIM(U635)="Pass after CA"),IF(NOT(ISNUMBER(AD635)),"INVALID – completion time missing",IF(OR(OR(LEN(AU635)&lt;2,ISNUMBER(MATCH(AU635,L_Placeholder,0))),BR635&lt;3),"INVALID – PIC missing or not a named person (a role such as QA / CSM is not a name)",IF(OR(LEN(AV635)&lt;2,ISNUMBER(MATCH(AV635,L_Placeholder,0))),"INVALID – result / assessment missing",IF(OR(OR(LEN(AW635)&lt;3,ISNUMBER(MATCH(AW635,L_Placeholder,0))),SUMPRODUCT(--ISNUMBER(SEARCH(" "&amp;L_EvidencePhrase&amp;" ",BD635)))&gt;0,BI635=1),"INVALID – evidence missing, placeholder or not yet on file",IF(ISNA(MATCH(TRIM(S635),L_EvidenceType,0)),"INVALID – choose the evidence type from the list (column S)",IF(BL635=0,"INVALID – evidence ID must be the record's own ID only (e.g. SF-2210, IMG_2231, 1045521); a link / file name needs type 'Link / file path'",IF(OR(OR(LEN(AX635)&lt;2,ISNUMBER(MATCH(AX635,L_Placeholder,0))),BS635&lt;3),"INVALID – verifier missing or not a named person (a role such as QA / CSM is not a name)",IF(OR(AX635=AU635,CE635=1,AND(LEN(AU635)&gt;=4,ISNUMBER(SEARCH(AU635,AX635))),AND(LEN(AX635)&gt;=4,ISNUMBER(SEARCH(AX635,AU635)))),"INVALID – verifier must be a different, named person (not the PIC or a role)",IF(BH635=1,"INVALID – result not yet available (awaiting / TBC)",IF(BG635=1,"INVALID – result describes a problem: record Fail, then Pass after CA (or reword if it is not a problem)",IF(BV635=1,"INVALID – wording says not on board: an on-board confirmation needs the item loaded",IF(AND(AQ635=1,OR(OR(LEN(AY635)&lt;3,ISNUMBER(MATCH(AY635,L_Placeholder,0))),BJ635=1,BQ635=0)),"INVALID – batch ID missing, placeholder or not an ID (e.g. PASB-261008-BC-017)",IF(AND(AR635=1,OR(NOT(ISNUMBER(X635)),NOT(ISNUMBER(Y635)))),"INVALID – expected/actual qty missing",IF(AND(AR635=1,OR(X635&lt;=0,Y635&lt;0)),"INVALID – expected qty must be above 0 and actual not negative",IF(BB635&lt;&gt;"",BB635,IF(AND(AS635=1,Documents!$J$23&lt;&gt;"ON FILE"),"INVALID – GLD not on file (Documents sheet)",IF(AND(AS635=2,Documents!$O$23&lt;&gt;"ON FILE"),"INVALID – menu checklist not on file (Documents sheet)",IF(AND(AS635=3,NOT(ISNUMBER(Flights!$AX$23))),"INVALID – enter carrying flight KUL departure (Flights AX)",IF(AND(AS635=3,OR(Flights!$AZ$23&gt;Flights!$AA$23,Flights!$AX$23&lt;Flights!$AA$23-3)),"INVALID – carrying flight (Flights AX) cannot arrive before this leg's STD, or is over 3 days early",IF(AG635&gt;AsOfUTC,"INVALID – completion time is in the future",IF(AND(ISNUMBER(BY635),AG635&lt;BY635),IF(H635="Physical uplift","INVALID – before uplift window (cannot confirm loading)","INVALID – before valid window"),IF(AG635&gt;Flights!$AA$23,"INVALID – completed after departure (cannot establish readiness)",IF(AND(H635="Preparation",AG635&gt;=IF(ISNUMBER(Flights!$BA$23),MIN(Flights!$BA$23,Flights!$AA$23),Flights!$AA$23)),"INVALID – completed after loading / departure (cannot establish readiness)",IF(AND(H635="Physical uplift",AG635&gt;Q635),"INVALID – recorded after the loading flight departed",IF(AG635&gt;Q635,"COMPLETE – LATE","COMPLETE"))))))))))))))))))))))))),IF(TRIM(U635)="Fail","FAIL – DISCREPANCY",IF(AND(TRIM(U635)&lt;&gt;"",TRIM(U635)&lt;&gt;"Not started",TRIM(U635)&lt;&gt;"In progress"),"INVALID – unrecognised status (use the list)",IF(AsOfUTC&gt;Q635,"OVERDUE",IF(N635="Clarification required","OPEN – CLARIFICATION","OPEN"))))))),"INVALID – error value in an input cell")</f>
        <v>OPEN</v>
      </c>
      <c r="AI635" s="61" t="n">
        <f aca="false">IF(OR(AH635="N/A – RULE",AH635="N/A – JUSTIFIED"),0,1)</f>
        <v>1</v>
      </c>
      <c r="AJ635" s="61" t="n">
        <f aca="false">IF(LEFT(AH635,8)="COMPLETE",1,0)</f>
        <v>0</v>
      </c>
      <c r="AK635" s="61" t="n">
        <f aca="false">IF(AND(AI635=1,AJ635=0,AsOfUTC&gt;Q635),1,0)</f>
        <v>0</v>
      </c>
      <c r="AL635" s="61" t="n">
        <f aca="false">IFERROR(IF(AND(AI635=1,OR(TRIM(U635)="Fail",AND(TRIM(AB635)&lt;&gt;"",TRIM(AB635)&lt;&gt;"Closed"),AND(ISNUMBER(AF635),AF635&lt;&gt;0,TRIM(U635)&lt;&gt;"Pass after CA"))),1,0),1)</f>
        <v>0</v>
      </c>
      <c r="AM635" s="61" t="n">
        <f aca="false">IF(LEFT(AH635,7)="INVALID",1,0)</f>
        <v>0</v>
      </c>
      <c r="AN635" s="61" t="n">
        <f aca="false">IF(AND(N635="Clarification required",AI635=1,AJ635=0),1,0)</f>
        <v>0</v>
      </c>
      <c r="AO635" s="61" t="str">
        <f aca="false">IF(AK635=1,SUM(AK$5:AK635),"")</f>
        <v/>
      </c>
      <c r="AP635" s="61" t="str">
        <f aca="false">IF(AL635=1,SUM(AL$5:AL635),"")</f>
        <v/>
      </c>
      <c r="AQ635" s="61" t="n">
        <v>0</v>
      </c>
      <c r="AR635" s="61" t="n">
        <v>0</v>
      </c>
      <c r="AS635" s="61" t="n">
        <v>0</v>
      </c>
      <c r="AT635" s="61" t="n">
        <v>0</v>
      </c>
      <c r="AU635" s="61" t="str">
        <f aca="false">SUBSTITUTE(SUBSTITUTE(SUBSTITUTE(SUBSTITUTE(SUBSTITUTE(SUBSTITUTE(SUBSTITUTE(SUBSTITUTE(SUBSTITUTE(SUBSTITUTE(SUBSTITUTE(SUBSTITUTE(SUBSTITUTE(SUBSTITUTE(SUBSTITUTE(SUBSTITUTE(LOWER(T635&amp;""),CHAR(10),""),CHAR(13),""),CHAR(9),""),CHAR(160),"")," ",""),".",""),"-",""),"/",""),"?",""),"_",""),",",""),"[",""),"]",""),"(",""),")",""),"*","")</f>
        <v/>
      </c>
      <c r="AV635" s="61" t="str">
        <f aca="false">SUBSTITUTE(SUBSTITUTE(SUBSTITUTE(SUBSTITUTE(SUBSTITUTE(SUBSTITUTE(SUBSTITUTE(SUBSTITUTE(SUBSTITUTE(SUBSTITUTE(SUBSTITUTE(SUBSTITUTE(SUBSTITUTE(SUBSTITUTE(SUBSTITUTE(SUBSTITUTE(LOWER(V635&amp;""),CHAR(10),""),CHAR(13),""),CHAR(9),""),CHAR(160),"")," ",""),".",""),"-",""),"/",""),"?",""),"_",""),",",""),"[",""),"]",""),"(",""),")",""),"*","")</f>
        <v/>
      </c>
      <c r="AW635" s="61" t="str">
        <f aca="false">SUBSTITUTE(SUBSTITUTE(SUBSTITUTE(SUBSTITUTE(SUBSTITUTE(SUBSTITUTE(SUBSTITUTE(SUBSTITUTE(SUBSTITUTE(SUBSTITUTE(SUBSTITUTE(SUBSTITUTE(SUBSTITUTE(SUBSTITUTE(SUBSTITUTE(SUBSTITUTE(LOWER(Z635&amp;""),CHAR(10),""),CHAR(13),""),CHAR(9),""),CHAR(160),"")," ",""),".",""),"-",""),"/",""),"?",""),"_",""),",",""),"[",""),"]",""),"(",""),")",""),"*","")</f>
        <v/>
      </c>
      <c r="AX635" s="61" t="str">
        <f aca="false">SUBSTITUTE(SUBSTITUTE(SUBSTITUTE(SUBSTITUTE(SUBSTITUTE(SUBSTITUTE(SUBSTITUTE(SUBSTITUTE(SUBSTITUTE(SUBSTITUTE(SUBSTITUTE(SUBSTITUTE(SUBSTITUTE(SUBSTITUTE(SUBSTITUTE(SUBSTITUTE(LOWER(AE635&amp;""),CHAR(10),""),CHAR(13),""),CHAR(9),""),CHAR(160),"")," ",""),".",""),"-",""),"/",""),"?",""),"_",""),",",""),"[",""),"]",""),"(",""),")",""),"*","")</f>
        <v/>
      </c>
      <c r="AY635" s="61" t="str">
        <f aca="false">SUBSTITUTE(SUBSTITUTE(SUBSTITUTE(SUBSTITUTE(SUBSTITUTE(SUBSTITUTE(SUBSTITUTE(SUBSTITUTE(SUBSTITUTE(SUBSTITUTE(SUBSTITUTE(SUBSTITUTE(SUBSTITUTE(SUBSTITUTE(SUBSTITUTE(SUBSTITUTE(LOWER(W635&amp;""),CHAR(10),""),CHAR(13),""),CHAR(9),""),CHAR(160),"")," ",""),".",""),"-",""),"/",""),"?",""),"_",""),",",""),"[",""),"]",""),"(",""),")",""),"*","")</f>
        <v/>
      </c>
      <c r="AZ635" s="61" t="str">
        <f aca="false">SUBSTITUTE(SUBSTITUTE(SUBSTITUTE(SUBSTITUTE(SUBSTITUTE(SUBSTITUTE(SUBSTITUTE(SUBSTITUTE(SUBSTITUTE(SUBSTITUTE(SUBSTITUTE(SUBSTITUTE(SUBSTITUTE(SUBSTITUTE(SUBSTITUTE(SUBSTITUTE(LOWER(AC635&amp;""),CHAR(10),""),CHAR(13),""),CHAR(9),""),CHAR(160),"")," ",""),".",""),"-",""),"/",""),"?",""),"_",""),",",""),"[",""),"]",""),"(",""),")",""),"*","")</f>
        <v/>
      </c>
      <c r="BA635" s="61" t="str">
        <f aca="false">SUBSTITUTE(SUBSTITUTE(SUBSTITUTE(SUBSTITUTE(SUBSTITUTE(SUBSTITUTE(SUBSTITUTE(SUBSTITUTE(SUBSTITUTE(SUBSTITUTE(SUBSTITUTE(SUBSTITUTE(SUBSTITUTE(SUBSTITUTE(SUBSTITUTE(SUBSTITUTE(LOWER(AA635&amp;""),CHAR(10),""),CHAR(13),""),CHAR(9),""),CHAR(160),"")," ",""),".",""),"-",""),"/",""),"?",""),"_",""),",",""),"[",""),"]",""),"(",""),")",""),"*","")</f>
        <v/>
      </c>
      <c r="BB635" s="61" t="str">
        <f aca="false">IF(AND(TRIM(U635)="Pass",ISNUMBER(AF635)),IF(AF635&lt;&gt;0,"INVALID – qty variance: use Fail or Pass after CA",""),"")&amp;IF(AND(TRIM(U635)="Pass after CA",ISNUMBER(AF635)),IF(AF635&lt;&gt;0,"INVALID – after the corrective action the actual qty must equal expected (update Actual)",""),"")&amp;IF(AND(TRIM(U635)="Pass",TRIM(AB635)&lt;&gt;"",TRIM(AB635)&lt;&gt;"Closed"),"INVALID – corrective action not closed: use Fail, then Pass after CA","")&amp;IF(AND(LEN(BA635)&gt;=2,ISNA(MATCH(LEFT(BA635,255),L_Placeholder,0)),TRIM(AB635)=""),"INVALID – CA status missing for the recorded corrective action","")&amp;IF(AND(TRIM(U635)="Pass after CA",OR(OR(LEN(BA635)&lt;5,ISNUMBER(MATCH(BA635,L_Placeholder,0))),TRIM(AB635)&lt;&gt;"Closed")),"INVALID – corrective action not recorded/closed","")</f>
        <v/>
      </c>
      <c r="BC635" s="61" t="str">
        <f aca="false">" "&amp;TRIM(SUBSTITUTE(SUBSTITUTE(SUBSTITUTE(SUBSTITUTE(SUBSTITUTE(SUBSTITUTE(SUBSTITUTE(SUBSTITUTE(SUBSTITUTE(SUBSTITUTE(SUBSTITUTE(SUBSTITUTE(SUBSTITUTE(SUBSTITUTE(SUBSTITUTE(SUBSTITUTE(SUBSTITUTE(SUBSTITUTE(SUBSTITUTE(SUBSTITUTE(SUBSTITUTE(SUBSTITUTE(SUBSTITUTE(SUBSTITUTE(LOWER(V635&amp;""),CHAR(10)," "),CHAR(13)," "),CHAR(9)," "),CHAR(160)," "),"."," "),","," "),"-"," "),"/"," "),"("," "),")"," "),":"," "),";"," "),"_"," "),"–"," "),"?"," "),"!"," "),"*"," "),"["," "),"]"," "),"'"," "),"#"," "),"+"," "),"&amp;"," "),"\"," "))&amp;" "</f>
        <v>  </v>
      </c>
      <c r="BD635" s="61" t="str">
        <f aca="false">" "&amp;TRIM(SUBSTITUTE(SUBSTITUTE(SUBSTITUTE(SUBSTITUTE(SUBSTITUTE(SUBSTITUTE(SUBSTITUTE(SUBSTITUTE(SUBSTITUTE(SUBSTITUTE(SUBSTITUTE(SUBSTITUTE(SUBSTITUTE(SUBSTITUTE(SUBSTITUTE(SUBSTITUTE(SUBSTITUTE(SUBSTITUTE(SUBSTITUTE(SUBSTITUTE(SUBSTITUTE(SUBSTITUTE(SUBSTITUTE(SUBSTITUTE(LOWER(Z635&amp;""),CHAR(10)," "),CHAR(13)," "),CHAR(9)," "),CHAR(160)," "),"."," "),","," "),"-"," "),"/"," "),"("," "),")"," "),":"," "),";"," "),"_"," "),"–"," "),"?"," "),"!"," "),"*"," "),"["," "),"]"," "),"'"," "),"#"," "),"+"," "),"&amp;"," "),"\"," "))&amp;" "</f>
        <v>  </v>
      </c>
      <c r="BE635" s="61" t="str">
        <f aca="false">" "&amp;TRIM(SUBSTITUTE(SUBSTITUTE(SUBSTITUTE(SUBSTITUTE(SUBSTITUTE(SUBSTITUTE(SUBSTITUTE(SUBSTITUTE(SUBSTITUTE(SUBSTITUTE(SUBSTITUTE(SUBSTITUTE(SUBSTITUTE(SUBSTITUTE(SUBSTITUTE(SUBSTITUTE(SUBSTITUTE(SUBSTITUTE(SUBSTITUTE(SUBSTITUTE(SUBSTITUTE(SUBSTITUTE(SUBSTITUTE(SUBSTITUTE(LOWER(W635&amp;""),CHAR(10)," "),CHAR(13)," "),CHAR(9)," "),CHAR(160)," "),"."," "),","," "),"-"," "),"/"," "),"("," "),")"," "),":"," "),";"," "),"_"," "),"–"," "),"?"," "),"!"," "),"*"," "),"["," "),"]"," "),"'"," "),"#"," "),"+"," "),"&amp;"," "),"\"," "))&amp;" "</f>
        <v>  </v>
      </c>
      <c r="BF635" s="61" t="str">
        <f aca="false">" "&amp;TRIM(SUBSTITUTE(SUBSTITUTE(SUBSTITUTE(SUBSTITUTE(SUBSTITUTE(SUBSTITUTE(SUBSTITUTE(SUBSTITUTE(SUBSTITUTE(SUBSTITUTE(SUBSTITUTE(SUBSTITUTE(SUBSTITUTE(SUBSTITUTE(SUBSTITUTE(SUBSTITUTE(SUBSTITUTE(SUBSTITUTE(SUBSTITUTE(SUBSTITUTE(SUBSTITUTE(SUBSTITUTE(SUBSTITUTE(SUBSTITUTE(LOWER(AC635&amp;""),CHAR(10)," "),CHAR(13)," "),CHAR(9)," "),CHAR(160)," "),"."," "),","," "),"-"," "),"/"," "),"("," "),")"," "),":"," "),";"," "),"_"," "),"–"," "),"?"," "),"!"," "),"*"," "),"["," "),"]"," "),"'"," "),"#"," "),"+"," "),"&amp;"," "),"\"," "))&amp;" "</f>
        <v>  </v>
      </c>
      <c r="BG635" s="61" t="n">
        <f aca="false">IFERROR(IF(AND(TRIM(U635)="Pass",SUMPRODUCT((LEN(BC635)-LEN(SUBSTITUTE(BC635," "&amp;L_ResultBad&amp;" "," ")))/(LEN(L_ResultBad)+1))&gt;SUMPRODUCT((LEN(BC635)-LEN(SUBSTITUTE(BC635," "&amp;L_NegPhrase&amp;" "," ")))/(LEN(L_NegPhrase)+1))),1,0),0)</f>
        <v>0</v>
      </c>
      <c r="BH635" s="61" t="n">
        <f aca="false">IFERROR(IF(SUMPRODUCT((LEN(BC635)-LEN(SUBSTITUTE(BC635," "&amp;L_Pending&amp;" "," ")))/(LEN(L_Pending)+1))&gt;SUMPRODUCT((LEN(BC635)-LEN(SUBSTITUTE(BC635," "&amp;L_PendNeg&amp;" "," ")))/(LEN(L_PendNeg)+1))+SUMPRODUCT((LEN(BC635)-LEN(SUBSTITUTE(BC635," "&amp;L_PendPrep&amp;" "," ")))/(LEN(L_PendPrep)+1)),1,0),1)</f>
        <v>0</v>
      </c>
      <c r="BI635" s="61" t="n">
        <f aca="false">IFERROR(IF(SUMPRODUCT((LEN(BD635)-LEN(SUBSTITUTE(BD635," "&amp;L_PendStrict&amp;" "," ")))/(LEN(L_PendStrict)+1))&gt;SUMPRODUCT((LEN(BD635)-LEN(SUBSTITUTE(BD635," "&amp;L_PendNeg&amp;" "," ")))/(LEN(L_PendNeg)+1)),1,0),1)</f>
        <v>0</v>
      </c>
      <c r="BJ635" s="61" t="n">
        <f aca="false">IFERROR(IF(SUMPRODUCT((LEN(BE635)-LEN(SUBSTITUTE(BE635," "&amp;L_Pending&amp;" "," ")))/(LEN(L_Pending)+1))&gt;SUMPRODUCT((LEN(BE635)-LEN(SUBSTITUTE(BE635," "&amp;L_PendNeg&amp;" "," ")))/(LEN(L_PendNeg)+1))+SUMPRODUCT((LEN(BE635)-LEN(SUBSTITUTE(BE635," "&amp;L_PendPrep&amp;" "," ")))/(LEN(L_PendPrep)+1)),1,0),1)</f>
        <v>0</v>
      </c>
      <c r="BK635" s="61" t="n">
        <f aca="false">IFERROR(IF(SUMPRODUCT((LEN(BF635)-LEN(SUBSTITUTE(BF635," "&amp;L_PendStrict&amp;" "," ")))/(LEN(L_PendStrict)+1))&gt;SUMPRODUCT((LEN(BF635)-LEN(SUBSTITUTE(BF635," "&amp;L_PendNeg&amp;" "," ")))/(LEN(L_PendNeg)+1)),1,0),1)</f>
        <v>0</v>
      </c>
      <c r="BL635" s="61" t="n">
        <f aca="false">IF(ISNA(MATCH(TRIM(S635),L_EvidenceType,0)),0,BZ635)</f>
        <v>0</v>
      </c>
      <c r="BM635" s="61" t="str">
        <f aca="false">SUBSTITUTE(SUBSTITUTE(SUBSTITUTE(SUBSTITUTE(SUBSTITUTE(SUBSTITUTE(SUBSTITUTE(SUBSTITUTE(SUBSTITUTE(LOWER(Z635&amp;""),"1","0"),"2","0"),"3","0"),"4","0"),"5","0"),"6","0"),"7","0"),"8","0"),"9","0")</f>
        <v/>
      </c>
      <c r="BN635" s="61" t="str">
        <f aca="false">SUBSTITUTE(SUBSTITUTE(SUBSTITUTE(SUBSTITUTE(SUBSTITUTE(SUBSTITUTE(SUBSTITUTE(SUBSTITUTE(SUBSTITUTE(SUBSTITUTE(SUBSTITUTE(SUBSTITUTE(SUBSTITUTE(SUBSTITUTE(SUBSTITUTE(SUBSTITUTE(SUBSTITUTE(SUBSTITUTE(SUBSTITUTE(SUBSTITUTE(SUBSTITUTE(SUBSTITUTE(SUBSTITUTE(SUBSTITUTE(SUBSTITUTE(BM635,"b","a"),"c","a"),"d","a"),"e","a"),"f","a"),"g","a"),"h","a"),"i","a"),"j","a"),"k","a"),"l","a"),"m","a"),"n","a"),"o","a"),"p","a"),"q","a"),"r","a"),"s","a"),"t","a"),"u","a"),"v","a"),"w","a"),"x","a"),"y","a"),"z","a")</f>
        <v/>
      </c>
      <c r="BO635" s="61" t="str">
        <f aca="false">SUBSTITUTE(SUBSTITUTE(SUBSTITUTE(SUBSTITUTE(SUBSTITUTE(SUBSTITUTE(SUBSTITUTE(SUBSTITUTE(SUBSTITUTE(LOWER(W635&amp;""),"1","0"),"2","0"),"3","0"),"4","0"),"5","0"),"6","0"),"7","0"),"8","0"),"9","0")</f>
        <v/>
      </c>
      <c r="BP635" s="61" t="str">
        <f aca="false">SUBSTITUTE(SUBSTITUTE(SUBSTITUTE(SUBSTITUTE(SUBSTITUTE(SUBSTITUTE(SUBSTITUTE(SUBSTITUTE(SUBSTITUTE(SUBSTITUTE(SUBSTITUTE(SUBSTITUTE(SUBSTITUTE(SUBSTITUTE(SUBSTITUTE(SUBSTITUTE(SUBSTITUTE(SUBSTITUTE(SUBSTITUTE(SUBSTITUTE(SUBSTITUTE(SUBSTITUTE(SUBSTITUTE(SUBSTITUTE(SUBSTITUTE(BO635,"b","a"),"c","a"),"d","a"),"e","a"),"f","a"),"g","a"),"h","a"),"i","a"),"j","a"),"k","a"),"l","a"),"m","a"),"n","a"),"o","a"),"p","a"),"q","a"),"r","a"),"s","a"),"t","a"),"u","a"),"v","a"),"w","a"),"x","a"),"y","a"),"z","a")</f>
        <v/>
      </c>
      <c r="BQ635" s="61" t="n">
        <f aca="false">IFERROR(IF(AND(ISERROR(SEARCH(" mh"," "&amp;LOWER(W635))),ISNA(MATCH(LEFT(TRIM(BP635),255),{"0000a","000a","00a","0000aa","000aa","00aa","0aa","0000aaa","000aaa","00a00","0a00","0000-0000","00:00","a00","a0","00.00.0000","00/00/0000","00-00-0000","0000-00-00","0000/00/00","0000.00.00","00.00.00","00/00/00","00-00-00","0.00.0000","0/00/0000","0-00-0000"},0)),ISNA(MATCH(LEFT(TRIM(CA635),255),{"0000a","000a","00a","0000aa","000aa","00aa","0aa","0000aaa","000aaa","00a00","0a00","0000-0000","00:00","a00","a0","00.00.0000","00/00/0000","00-00-0000","0000-00-00","0000/00/00","0000.00.00","00.00.00","00/00/00","00-00-00","0.00.0000","0/00/0000","0-00-0000"},0)),LEN(CB635)&gt;=3,NOT(OR(SUBSTITUTE(CB635,"0","")="",AND(LEN(CB635)&gt;=4,CB635=REPT(LEFT(CB635),LEN(CB635))),ISNUMBER(MATCH(CB635,{"123","1234","12345","123456","1234567","12345678","0123","01234","012345","98765","987654","54321"},0)),AND(LEN(CB635)=8,LEFT(CB635,3)="202"))),OR(AND((LEN(CA635)-LEN(SUBSTITUTE(CA635,"a","")))&gt;=1,SUMPRODUCT(--ISNUMBER(SEARCH({"a0","a-0","a_0","a/0","a.0","a#0","0a","0-a","0_a","0/a"},BP635)))&gt;0),ISNUMBER(SEARCH("000000",BP635)))),1,0),0)</f>
        <v>0</v>
      </c>
      <c r="BR635" s="61" t="n">
        <f aca="false">IFERROR(LEN(SUBSTITUTE(CC635," ",""))-SUMPRODUCT((LEN(CC635)-LEN(SUBSTITUTE(CC635," "&amp;L_Role&amp;" "," ")))/(LEN(L_Role)+1)*LEN(L_Role)),0)</f>
        <v>0</v>
      </c>
      <c r="BS635" s="61" t="n">
        <f aca="false">IFERROR(LEN(SUBSTITUTE(CD635," ",""))-SUMPRODUCT((LEN(CD635)-LEN(SUBSTITUTE(CD635," "&amp;L_Role&amp;" "," ")))/(LEN(L_Role)+1)*LEN(L_Role)),0)</f>
        <v>0</v>
      </c>
      <c r="BT6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635,"revision",""),"version",""),"jan",""),"feb",""),"mar",""),"apr",""),"may",""),"jun",""),"jul",""),"aug",""),"sep",""),"oct",""),"nov",""),"dec",""),"utc",""),"gmt",""),"myt",""),"bst",""),"rev",""),"ver",""),"b","a"),"c","a"),"d","a"),"e","a"),"f","a"),"g","a"),"h","a"),"i","a"),"j","a"),"k","a"),"l","a"),"m","a"),"n","a"),"o","a"),"p","a"),"q","a"),"r","a"),"s","a"),"t","a"),"u","a"),"v","a"),"w","a"),"x","a"),"y","a"),"z","a")</f>
        <v/>
      </c>
      <c r="BU635" s="61" t="str">
        <f aca="false">SUBSTITUTE(SUBSTITUTE(SUBSTITUTE(SUBSTITUTE(SUBSTITUTE(SUBSTITUTE(SUBSTITUTE(SUBSTITUTE(SUBSTITUTE(SUBSTITUTE(LEFT(BM635,FIND("0",BM635&amp;"0")-1),"-",""),"_",""),"/",""),".",""),"#",""),"\\",""),":","")," ",""),"(",""),")","")</f>
        <v/>
      </c>
      <c r="BV635" s="61" t="n">
        <f aca="false">0</f>
        <v>0</v>
      </c>
      <c r="BW6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635&amp;""),"a",""),"b",""),"c",""),"d",""),"e",""),"f",""),"g",""),"h",""),"i",""),"j",""),"k",""),"l",""),"m",""),"n",""),"o",""),"p",""),"q",""),"r",""),"s",""),"t",""),"u",""),"v",""),"w",""),"x",""),"y",""),"z",""),"-",""),"_",""),"/",""),".",""),"#",""),"\\",""),":","")," ",""),"(",""),")","")</f>
        <v/>
      </c>
      <c r="BX635" s="61" t="str">
        <f aca="false">SUBSTITUTE(SUBSTITUTE(SUBSTITUTE(SUBSTITUTE(SUBSTITUTE(SUBSTITUTE(SUBSTITUTE(SUBSTITUTE(SUBSTITUTE(SUBSTITUTE(SUBSTITUTE(BM635,"0",""),"-",""),"_",""),"/",""),".",""),"#",""),"\\",""),":","")," ",""),"(",""),")","")</f>
        <v/>
      </c>
      <c r="BY635" s="62" t="n">
        <f aca="false">Q635-T12EarlyH/24</f>
        <v>46323.0277777778</v>
      </c>
      <c r="BZ635" s="61" t="n">
        <f aca="false">IFERROR(IF(IF(TRIM(S635)="Link / file path",AND(LEN(TRIM(Z635))&gt;=5,SUMPRODUCT(--ISNUMBER(SEARCH({"http","www.","\\",":\",".pdf",".jpg",".jpeg",".png",".heic",".xls",".doc",".msg",".eml",".ppt",".txt",".zip"},Z635)))&gt;0),AND(ISERROR(FIND(" ",TRIM(Z635))),NOT(OR(SUMPRODUCT(--ISNUMBER(FIND({",",";","&amp;","+"},Z635)))&gt;0,SUMPRODUCT(--ISNUMBER(SEARCH({"0/aa","0\\aa"},BN635)))&gt;0)),NOT(SUMPRODUCT(--ISNUMBER(SEARCH({"http","www.","\\",":\",".pdf",".jpg",".jpeg",".png",".heic",".xls",".doc",".msg",".eml",".ppt",".txt",".zip"},Z635)))&gt;0),NOT(LOWER(TRIM(Z635))=LOWER(Flights!$F$23)),ISNA(MATCH(BU635,{"mh","rev","revision","ver","version","v","r","a","b","seat","tray","row","gate","bay","stand","page","pg","item","line","no","cart","galley","flight","flt","table","box","bag","oven","etd","eta","std","sta","atd","ata","qty","pax","x","time","tel","ph","mob","day","wk","week","utc","gmt","myt","lt"},0)),NOT(OR(ISNUMBER(MATCH(LEFT(BN635,255),{"0000a","000a","00a","0000aa","000aa","00aa","0aa","0000aaa","000aaa","00a00","0a00","0000-0000","00:00","a00","a0","00.00.0000","00/00/0000","00-00-0000","0000-00-00","0000/00/00","0000.00.00","00.00.00","00/00/00","00-00-00","0.00.0000","0/00/0000","0-00-0000"},0)),ISNUMBER(MATCH(LEFT(BT635,255),{"0000a","000a","00a","0000aa","000aa","00aa","0aa","0000aaa","000aaa","00a00","0a00","0000-0000","00:00","a00","a0","00.00.0000","00/00/0000","00-00-0000","0000-00-00","0000/00/00","0000.00.00","00.00.00","00/00/00","00-00-00","0.00.0000","0/00/0000","0-00-0000"},0)))),NOT(OR(AND(BW635&lt;&gt;"",SUBSTITUTE(BW635,"0","")=""),AND(LEN(BW635)&gt;=4,BW635=REPT(LEFT(BW635),LEN(BW635))),ISNUMBER(MATCH(BW635,{"123","1234","12345","123456","1234567","12345678","0123","01234","012345","98765","987654","54321"},0)),ISNUMBER(MATCH(BX635,{"x","xx","xxx","xxxx","xxxxx","abc","abcd","nil","na","nan","test","tbc","tba","tbd","dummy","sample","example","eg","zz","zzz","none","null","xyz","qwe","asd","id","ref"},0)),AND(LEN(BW635)=8,BX635="",OR(LEFT(BW635,3)="202",ISNUMBER(MATCH(RIGHT(BW635,4),{"2025","2026","2027"},0)))))),OR(AND((LEN(BT635)-LEN(SUBSTITUTE(BT635,"a","")))&gt;=1,(LEN(BN635)-LEN(SUBSTITUTE(BN635,"0","")))&gt;=2,SUMPRODUCT(--ISNUMBER(SEARCH({"a0","a-0","a_0","a/0","a.0","a#0","0a","0-a","0_a","0/a"},BN635)))&gt;0),AND((LEN(BN635)-LEN(SUBSTITUTE(BN635,"a","")))=0,(LEN(BN635)-LEN(SUBSTITUTE(BN635,"0","")))&gt;=5)))),1,0),0)</f>
        <v>0</v>
      </c>
      <c r="CA6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635,"revision",""),"version",""),"jan",""),"feb",""),"mar",""),"apr",""),"may",""),"jun",""),"jul",""),"aug",""),"sep",""),"oct",""),"nov",""),"dec",""),"utc",""),"gmt",""),"myt",""),"bst",""),"rev",""),"ver",""),"b","a"),"c","a"),"d","a"),"e","a"),"f","a"),"g","a"),"h","a"),"i","a"),"j","a"),"k","a"),"l","a"),"m","a"),"n","a"),"o","a"),"p","a"),"q","a"),"r","a"),"s","a"),"t","a"),"u","a"),"v","a"),"w","a"),"x","a"),"y","a"),"z","a")</f>
        <v/>
      </c>
      <c r="CB6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635&amp;""),"a",""),"b",""),"c",""),"d",""),"e",""),"f",""),"g",""),"h",""),"i",""),"j",""),"k",""),"l",""),"m",""),"n",""),"o",""),"p",""),"q",""),"r",""),"s",""),"t",""),"u",""),"v",""),"w",""),"x",""),"y",""),"z",""),"-",""),"_",""),"/",""),".",""),"#",""),"\\",""),":","")," ",""),"(",""),")","")</f>
        <v/>
      </c>
      <c r="CC635" s="0" t="str">
        <f aca="false">" "&amp;TRIM(SUBSTITUTE(SUBSTITUTE(SUBSTITUTE(SUBSTITUTE(SUBSTITUTE(SUBSTITUTE(SUBSTITUTE(SUBSTITUTE(SUBSTITUTE(SUBSTITUTE(SUBSTITUTE(SUBSTITUTE(SUBSTITUTE(SUBSTITUTE(SUBSTITUTE(SUBSTITUTE(SUBSTITUTE(SUBSTITUTE(SUBSTITUTE(SUBSTITUTE(SUBSTITUTE(SUBSTITUTE(SUBSTITUTE(SUBSTITUTE(LOWER(T635&amp;""),CHAR(10)," "),CHAR(13)," "),CHAR(9)," "),CHAR(160)," "),"."," "),","," "),"-"," "),"/"," "),"("," "),")"," "),":"," "),";"," "),"_"," "),"–"," "),"?"," "),"!"," "),"*"," "),"["," "),"]"," "),"'"," "),"#"," "),"+"," "),"&amp;"," "),"\"," "))&amp;" "</f>
        <v>  </v>
      </c>
      <c r="CD635" s="0" t="str">
        <f aca="false">" "&amp;TRIM(SUBSTITUTE(SUBSTITUTE(SUBSTITUTE(SUBSTITUTE(SUBSTITUTE(SUBSTITUTE(SUBSTITUTE(SUBSTITUTE(SUBSTITUTE(SUBSTITUTE(SUBSTITUTE(SUBSTITUTE(SUBSTITUTE(SUBSTITUTE(SUBSTITUTE(SUBSTITUTE(SUBSTITUTE(SUBSTITUTE(SUBSTITUTE(SUBSTITUTE(SUBSTITUTE(SUBSTITUTE(SUBSTITUTE(SUBSTITUTE(LOWER(AE635&amp;""),CHAR(10)," "),CHAR(13)," "),CHAR(9)," "),CHAR(160)," "),"."," "),","," "),"-"," "),"/"," "),"("," "),")"," "),":"," "),";"," "),"_"," "),"–"," "),"?"," "),"!"," "),"*"," "),"["," "),"]"," "),"'"," "),"#"," "),"+"," "),"&amp;"," "),"\"," "))&amp;" "</f>
        <v>  </v>
      </c>
      <c r="CE635" s="68" t="n">
        <f aca="false">IFERROR(IF(AND(LEN(AU635)&gt;0,LEN(AU635)=LEN(AX635),OR(TRIM(MID(SUBSTITUTE(TRIM(CC635)," ",REPT(" ",60)),1,60))="",ISNUMBER(SEARCH(" "&amp;TRIM(MID(SUBSTITUTE(TRIM(CC635)," ",REPT(" ",60)),1,60))&amp;" ",CD635))),OR(TRIM(MID(SUBSTITUTE(TRIM(CC635)," ",REPT(" ",60)),61,60))="",ISNUMBER(SEARCH(" "&amp;TRIM(MID(SUBSTITUTE(TRIM(CC635)," ",REPT(" ",60)),61,60))&amp;" ",CD635))),OR(TRIM(MID(SUBSTITUTE(TRIM(CC635)," ",REPT(" ",60)),121,60))="",ISNUMBER(SEARCH(" "&amp;TRIM(MID(SUBSTITUTE(TRIM(CC635)," ",REPT(" ",60)),121,60))&amp;" ",CD635)))),1,0),0)</f>
        <v>0</v>
      </c>
      <c r="CG635" s="68" t="n">
        <f aca="false">IFERROR(LEN(SUBSTITUTE(BF635," ",""))-SUMPRODUCT((LEN(BF635)-LEN(SUBSTITUTE(BF635," "&amp;L_NAFiller&amp;" "," ")))/(LEN(L_NAFiller)+1)*LEN(L_NAFiller)),0)</f>
        <v>0</v>
      </c>
    </row>
    <row r="636" customFormat="false" ht="41.25" hidden="false" customHeight="true" outlineLevel="0" collapsed="false">
      <c r="A636" s="57" t="s">
        <v>1347</v>
      </c>
      <c r="B636" s="57" t="s">
        <v>301</v>
      </c>
      <c r="C636" s="57" t="str">
        <f aca="false">Flights!$F$23</f>
        <v>MH0053</v>
      </c>
      <c r="D636" s="58" t="n">
        <f aca="false">Flights!$D$23</f>
        <v>46324</v>
      </c>
      <c r="E636" s="57" t="str">
        <f aca="false">Flights!$G$23&amp;"-"&amp;Flights!$H$23</f>
        <v>KIX-KUL</v>
      </c>
      <c r="F636" s="57" t="str">
        <f aca="false">Flights!$K$23</f>
        <v>EY</v>
      </c>
      <c r="G636" s="57" t="s">
        <v>420</v>
      </c>
      <c r="H636" s="57" t="s">
        <v>378</v>
      </c>
      <c r="I636" s="57" t="s">
        <v>447</v>
      </c>
      <c r="J636" s="57" t="s">
        <v>448</v>
      </c>
      <c r="K636" s="67" t="s">
        <v>449</v>
      </c>
      <c r="L636" s="67" t="s">
        <v>1348</v>
      </c>
      <c r="M636" s="67" t="s">
        <v>451</v>
      </c>
      <c r="N636" s="67" t="s">
        <v>383</v>
      </c>
      <c r="O636" s="67" t="s">
        <v>1349</v>
      </c>
      <c r="P636" s="57" t="s">
        <v>295</v>
      </c>
      <c r="Q636" s="59" t="n">
        <f aca="false">ROUND((Flights!$AE$23)*1440,0)/1440</f>
        <v>46323.5277777778</v>
      </c>
      <c r="R636" s="59" t="n">
        <f aca="false">Q636+(IF(AND(INDEX(TZ_DSTS,MATCH(P636,TZ_STN,0))&lt;&gt;"",Q636&gt;=INDEX(TZ_DSTS,MATCH(P636,TZ_STN,0)),Q636&lt;INDEX(TZ_DSTE,MATCH(P636,TZ_STN,0))),INDEX(TZ_DST,MATCH(P636,TZ_STN,0)),INDEX(TZ_STD,MATCH(P636,TZ_STN,0))))/24</f>
        <v>46323.9027777778</v>
      </c>
      <c r="S636" s="60"/>
      <c r="T636" s="60"/>
      <c r="U636" s="60"/>
      <c r="V636" s="60"/>
      <c r="W636" s="61"/>
      <c r="X636" s="60"/>
      <c r="Y636" s="60"/>
      <c r="Z636" s="60"/>
      <c r="AA636" s="60"/>
      <c r="AB636" s="60"/>
      <c r="AC636" s="60"/>
      <c r="AD636" s="66"/>
      <c r="AE636" s="60"/>
      <c r="AF636" s="61" t="str">
        <f aca="false">IF(AND(ISNUMBER(X636),ISNUMBER(Y636)),Y636-X636,"")</f>
        <v/>
      </c>
      <c r="AG636" s="62" t="str">
        <f aca="false">IF(ISNUMBER(AD636),AD636-(IF(AND(INDEX(TZ_DSTS,MATCH(P636,TZ_STN,0))&lt;&gt;"",(AD636-INDEX(TZ_STD,MATCH(P636,TZ_STN,0))/24)&gt;=INDEX(TZ_DSTS,MATCH(P636,TZ_STN,0)),(AD636-INDEX(TZ_STD,MATCH(P636,TZ_STN,0))/24)&lt;INDEX(TZ_DSTE,MATCH(P636,TZ_STN,0))),INDEX(TZ_DST,MATCH(P636,TZ_STN,0)),INDEX(TZ_STD,MATCH(P636,TZ_STN,0))))/24,"")</f>
        <v/>
      </c>
      <c r="AH636" s="65" t="str">
        <f aca="false">IFERROR(IF(N636="N/A – rule",IF(OR(TRIM(U636)="",TRIM(U636)="N/A",TRIM(U636)="Not started"),"N/A – RULE","INVALID – this check does not apply to this aircraft: clear the status (or correct the fleet on Flights)"),IF(TRIM(U636)="N/A",IF(AT636=0,"INVALID – N/A not permitted for this check",IF(AND(TRIM(AB636)&lt;&gt;"",TRIM(AB636)&lt;&gt;"Closed"),"INVALID – corrective action still open",IF(AND(NOT(OR(LEN(AZ636)&lt;15,ISNUMBER(MATCH(AZ636,L_Placeholder,0)))),BK636=0,CG636&gt;=8,NOT(OR(LEN(AU636)&lt;2,ISNUMBER(MATCH(AU636,L_Placeholder,0)))),BR636&gt;=3,NOT(OR(LEN(AX636)&lt;2,ISNUMBER(MATCH(AX636,L_Placeholder,0)))),BS636&gt;=3,TRIM(AE636)&lt;&gt;TRIM(T636),AX636&lt;&gt;AU636,CE636=0),"N/A – JUSTIFIED","INVALID – N/A needs a real, settled reason (not 'not applicable' / 'as above' / TBC), a named PIC and a different named verifier"))),IF(OR(TRIM(U636)="Pass",TRIM(U636)="Pass after CA"),IF(NOT(ISNUMBER(AD636)),"INVALID – completion time missing",IF(OR(OR(LEN(AU636)&lt;2,ISNUMBER(MATCH(AU636,L_Placeholder,0))),BR636&lt;3),"INVALID – PIC missing or not a named person (a role such as QA / CSM is not a name)",IF(OR(LEN(AV636)&lt;2,ISNUMBER(MATCH(AV636,L_Placeholder,0))),"INVALID – result / assessment missing",IF(OR(OR(LEN(AW636)&lt;3,ISNUMBER(MATCH(AW636,L_Placeholder,0))),SUMPRODUCT(--ISNUMBER(SEARCH(" "&amp;L_EvidencePhrase&amp;" ",BD636)))&gt;0,BI636=1),"INVALID – evidence missing, placeholder or not yet on file",IF(ISNA(MATCH(TRIM(S636),L_EvidenceType,0)),"INVALID – choose the evidence type from the list (column S)",IF(BL636=0,"INVALID – evidence ID must be the record's own ID only (e.g. SF-2210, IMG_2231, 1045521); a link / file name needs type 'Link / file path'",IF(OR(OR(LEN(AX636)&lt;2,ISNUMBER(MATCH(AX636,L_Placeholder,0))),BS636&lt;3),"INVALID – verifier missing or not a named person (a role such as QA / CSM is not a name)",IF(OR(AX636=AU636,CE636=1,AND(LEN(AU636)&gt;=4,ISNUMBER(SEARCH(AU636,AX636))),AND(LEN(AX636)&gt;=4,ISNUMBER(SEARCH(AX636,AU636)))),"INVALID – verifier must be a different, named person (not the PIC or a role)",IF(BH636=1,"INVALID – result not yet available (awaiting / TBC)",IF(BG636=1,"INVALID – result describes a problem: record Fail, then Pass after CA (or reword if it is not a problem)",IF(BV636=1,"INVALID – wording says not on board: an on-board confirmation needs the item loaded",IF(AND(AQ636=1,OR(OR(LEN(AY636)&lt;3,ISNUMBER(MATCH(AY636,L_Placeholder,0))),BJ636=1,BQ636=0)),"INVALID – batch ID missing, placeholder or not an ID (e.g. PASB-261008-BC-017)",IF(AND(AR636=1,OR(NOT(ISNUMBER(X636)),NOT(ISNUMBER(Y636)))),"INVALID – expected/actual qty missing",IF(AND(AR636=1,OR(X636&lt;=0,Y636&lt;0)),"INVALID – expected qty must be above 0 and actual not negative",IF(BB636&lt;&gt;"",BB636,IF(AND(AS636=1,Documents!$J$23&lt;&gt;"ON FILE"),"INVALID – GLD not on file (Documents sheet)",IF(AND(AS636=2,Documents!$O$23&lt;&gt;"ON FILE"),"INVALID – menu checklist not on file (Documents sheet)",IF(AND(AS636=3,NOT(ISNUMBER(Flights!$AX$23))),"INVALID – enter carrying flight KUL departure (Flights AX)",IF(AND(AS636=3,OR(Flights!$AZ$23&gt;Flights!$AA$23,Flights!$AX$23&lt;Flights!$AA$23-3)),"INVALID – carrying flight (Flights AX) cannot arrive before this leg's STD, or is over 3 days early",IF(AG636&gt;AsOfUTC,"INVALID – completion time is in the future",IF(AND(ISNUMBER(BY636),AG636&lt;BY636),IF(H636="Physical uplift","INVALID – before uplift window (cannot confirm loading)","INVALID – before valid window"),IF(AG636&gt;Flights!$AA$23,"INVALID – completed after departure (cannot establish readiness)",IF(AND(H636="Preparation",AG636&gt;=IF(ISNUMBER(Flights!$BA$23),MIN(Flights!$BA$23,Flights!$AA$23),Flights!$AA$23)),"INVALID – completed after loading / departure (cannot establish readiness)",IF(AND(H636="Physical uplift",AG636&gt;Q636),"INVALID – recorded after the loading flight departed",IF(AG636&gt;Q636,"COMPLETE – LATE","COMPLETE"))))))))))))))))))))))))),IF(TRIM(U636)="Fail","FAIL – DISCREPANCY",IF(AND(TRIM(U636)&lt;&gt;"",TRIM(U636)&lt;&gt;"Not started",TRIM(U636)&lt;&gt;"In progress"),"INVALID – unrecognised status (use the list)",IF(AsOfUTC&gt;Q636,"OVERDUE",IF(N636="Clarification required","OPEN – CLARIFICATION","OPEN"))))))),"INVALID – error value in an input cell")</f>
        <v>OPEN</v>
      </c>
      <c r="AI636" s="61" t="n">
        <f aca="false">IF(OR(AH636="N/A – RULE",AH636="N/A – JUSTIFIED"),0,1)</f>
        <v>1</v>
      </c>
      <c r="AJ636" s="61" t="n">
        <f aca="false">IF(LEFT(AH636,8)="COMPLETE",1,0)</f>
        <v>0</v>
      </c>
      <c r="AK636" s="61" t="n">
        <f aca="false">IF(AND(AI636=1,AJ636=0,AsOfUTC&gt;Q636),1,0)</f>
        <v>0</v>
      </c>
      <c r="AL636" s="61" t="n">
        <f aca="false">IFERROR(IF(AND(AI636=1,OR(TRIM(U636)="Fail",AND(TRIM(AB636)&lt;&gt;"",TRIM(AB636)&lt;&gt;"Closed"),AND(ISNUMBER(AF636),AF636&lt;&gt;0,TRIM(U636)&lt;&gt;"Pass after CA"))),1,0),1)</f>
        <v>0</v>
      </c>
      <c r="AM636" s="61" t="n">
        <f aca="false">IF(LEFT(AH636,7)="INVALID",1,0)</f>
        <v>0</v>
      </c>
      <c r="AN636" s="61" t="n">
        <f aca="false">IF(AND(N636="Clarification required",AI636=1,AJ636=0),1,0)</f>
        <v>0</v>
      </c>
      <c r="AO636" s="61" t="str">
        <f aca="false">IF(AK636=1,SUM(AK$5:AK636),"")</f>
        <v/>
      </c>
      <c r="AP636" s="61" t="str">
        <f aca="false">IF(AL636=1,SUM(AL$5:AL636),"")</f>
        <v/>
      </c>
      <c r="AQ636" s="61" t="n">
        <v>0</v>
      </c>
      <c r="AR636" s="61" t="n">
        <v>0</v>
      </c>
      <c r="AS636" s="61" t="n">
        <v>0</v>
      </c>
      <c r="AT636" s="61" t="n">
        <v>0</v>
      </c>
      <c r="AU636" s="61" t="str">
        <f aca="false">SUBSTITUTE(SUBSTITUTE(SUBSTITUTE(SUBSTITUTE(SUBSTITUTE(SUBSTITUTE(SUBSTITUTE(SUBSTITUTE(SUBSTITUTE(SUBSTITUTE(SUBSTITUTE(SUBSTITUTE(SUBSTITUTE(SUBSTITUTE(SUBSTITUTE(SUBSTITUTE(LOWER(T636&amp;""),CHAR(10),""),CHAR(13),""),CHAR(9),""),CHAR(160),"")," ",""),".",""),"-",""),"/",""),"?",""),"_",""),",",""),"[",""),"]",""),"(",""),")",""),"*","")</f>
        <v/>
      </c>
      <c r="AV636" s="61" t="str">
        <f aca="false">SUBSTITUTE(SUBSTITUTE(SUBSTITUTE(SUBSTITUTE(SUBSTITUTE(SUBSTITUTE(SUBSTITUTE(SUBSTITUTE(SUBSTITUTE(SUBSTITUTE(SUBSTITUTE(SUBSTITUTE(SUBSTITUTE(SUBSTITUTE(SUBSTITUTE(SUBSTITUTE(LOWER(V636&amp;""),CHAR(10),""),CHAR(13),""),CHAR(9),""),CHAR(160),"")," ",""),".",""),"-",""),"/",""),"?",""),"_",""),",",""),"[",""),"]",""),"(",""),")",""),"*","")</f>
        <v/>
      </c>
      <c r="AW636" s="61" t="str">
        <f aca="false">SUBSTITUTE(SUBSTITUTE(SUBSTITUTE(SUBSTITUTE(SUBSTITUTE(SUBSTITUTE(SUBSTITUTE(SUBSTITUTE(SUBSTITUTE(SUBSTITUTE(SUBSTITUTE(SUBSTITUTE(SUBSTITUTE(SUBSTITUTE(SUBSTITUTE(SUBSTITUTE(LOWER(Z636&amp;""),CHAR(10),""),CHAR(13),""),CHAR(9),""),CHAR(160),"")," ",""),".",""),"-",""),"/",""),"?",""),"_",""),",",""),"[",""),"]",""),"(",""),")",""),"*","")</f>
        <v/>
      </c>
      <c r="AX636" s="61" t="str">
        <f aca="false">SUBSTITUTE(SUBSTITUTE(SUBSTITUTE(SUBSTITUTE(SUBSTITUTE(SUBSTITUTE(SUBSTITUTE(SUBSTITUTE(SUBSTITUTE(SUBSTITUTE(SUBSTITUTE(SUBSTITUTE(SUBSTITUTE(SUBSTITUTE(SUBSTITUTE(SUBSTITUTE(LOWER(AE636&amp;""),CHAR(10),""),CHAR(13),""),CHAR(9),""),CHAR(160),"")," ",""),".",""),"-",""),"/",""),"?",""),"_",""),",",""),"[",""),"]",""),"(",""),")",""),"*","")</f>
        <v/>
      </c>
      <c r="AY636" s="61" t="str">
        <f aca="false">SUBSTITUTE(SUBSTITUTE(SUBSTITUTE(SUBSTITUTE(SUBSTITUTE(SUBSTITUTE(SUBSTITUTE(SUBSTITUTE(SUBSTITUTE(SUBSTITUTE(SUBSTITUTE(SUBSTITUTE(SUBSTITUTE(SUBSTITUTE(SUBSTITUTE(SUBSTITUTE(LOWER(W636&amp;""),CHAR(10),""),CHAR(13),""),CHAR(9),""),CHAR(160),"")," ",""),".",""),"-",""),"/",""),"?",""),"_",""),",",""),"[",""),"]",""),"(",""),")",""),"*","")</f>
        <v/>
      </c>
      <c r="AZ636" s="61" t="str">
        <f aca="false">SUBSTITUTE(SUBSTITUTE(SUBSTITUTE(SUBSTITUTE(SUBSTITUTE(SUBSTITUTE(SUBSTITUTE(SUBSTITUTE(SUBSTITUTE(SUBSTITUTE(SUBSTITUTE(SUBSTITUTE(SUBSTITUTE(SUBSTITUTE(SUBSTITUTE(SUBSTITUTE(LOWER(AC636&amp;""),CHAR(10),""),CHAR(13),""),CHAR(9),""),CHAR(160),"")," ",""),".",""),"-",""),"/",""),"?",""),"_",""),",",""),"[",""),"]",""),"(",""),")",""),"*","")</f>
        <v/>
      </c>
      <c r="BA636" s="61" t="str">
        <f aca="false">SUBSTITUTE(SUBSTITUTE(SUBSTITUTE(SUBSTITUTE(SUBSTITUTE(SUBSTITUTE(SUBSTITUTE(SUBSTITUTE(SUBSTITUTE(SUBSTITUTE(SUBSTITUTE(SUBSTITUTE(SUBSTITUTE(SUBSTITUTE(SUBSTITUTE(SUBSTITUTE(LOWER(AA636&amp;""),CHAR(10),""),CHAR(13),""),CHAR(9),""),CHAR(160),"")," ",""),".",""),"-",""),"/",""),"?",""),"_",""),",",""),"[",""),"]",""),"(",""),")",""),"*","")</f>
        <v/>
      </c>
      <c r="BB636" s="61" t="str">
        <f aca="false">IF(AND(TRIM(U636)="Pass",ISNUMBER(AF636)),IF(AF636&lt;&gt;0,"INVALID – qty variance: use Fail or Pass after CA",""),"")&amp;IF(AND(TRIM(U636)="Pass after CA",ISNUMBER(AF636)),IF(AF636&lt;&gt;0,"INVALID – after the corrective action the actual qty must equal expected (update Actual)",""),"")&amp;IF(AND(TRIM(U636)="Pass",TRIM(AB636)&lt;&gt;"",TRIM(AB636)&lt;&gt;"Closed"),"INVALID – corrective action not closed: use Fail, then Pass after CA","")&amp;IF(AND(LEN(BA636)&gt;=2,ISNA(MATCH(LEFT(BA636,255),L_Placeholder,0)),TRIM(AB636)=""),"INVALID – CA status missing for the recorded corrective action","")&amp;IF(AND(TRIM(U636)="Pass after CA",OR(OR(LEN(BA636)&lt;5,ISNUMBER(MATCH(BA636,L_Placeholder,0))),TRIM(AB636)&lt;&gt;"Closed")),"INVALID – corrective action not recorded/closed","")</f>
        <v/>
      </c>
      <c r="BC636" s="61" t="str">
        <f aca="false">" "&amp;TRIM(SUBSTITUTE(SUBSTITUTE(SUBSTITUTE(SUBSTITUTE(SUBSTITUTE(SUBSTITUTE(SUBSTITUTE(SUBSTITUTE(SUBSTITUTE(SUBSTITUTE(SUBSTITUTE(SUBSTITUTE(SUBSTITUTE(SUBSTITUTE(SUBSTITUTE(SUBSTITUTE(SUBSTITUTE(SUBSTITUTE(SUBSTITUTE(SUBSTITUTE(SUBSTITUTE(SUBSTITUTE(SUBSTITUTE(SUBSTITUTE(LOWER(V636&amp;""),CHAR(10)," "),CHAR(13)," "),CHAR(9)," "),CHAR(160)," "),"."," "),","," "),"-"," "),"/"," "),"("," "),")"," "),":"," "),";"," "),"_"," "),"–"," "),"?"," "),"!"," "),"*"," "),"["," "),"]"," "),"'"," "),"#"," "),"+"," "),"&amp;"," "),"\"," "))&amp;" "</f>
        <v>  </v>
      </c>
      <c r="BD636" s="61" t="str">
        <f aca="false">" "&amp;TRIM(SUBSTITUTE(SUBSTITUTE(SUBSTITUTE(SUBSTITUTE(SUBSTITUTE(SUBSTITUTE(SUBSTITUTE(SUBSTITUTE(SUBSTITUTE(SUBSTITUTE(SUBSTITUTE(SUBSTITUTE(SUBSTITUTE(SUBSTITUTE(SUBSTITUTE(SUBSTITUTE(SUBSTITUTE(SUBSTITUTE(SUBSTITUTE(SUBSTITUTE(SUBSTITUTE(SUBSTITUTE(SUBSTITUTE(SUBSTITUTE(LOWER(Z636&amp;""),CHAR(10)," "),CHAR(13)," "),CHAR(9)," "),CHAR(160)," "),"."," "),","," "),"-"," "),"/"," "),"("," "),")"," "),":"," "),";"," "),"_"," "),"–"," "),"?"," "),"!"," "),"*"," "),"["," "),"]"," "),"'"," "),"#"," "),"+"," "),"&amp;"," "),"\"," "))&amp;" "</f>
        <v>  </v>
      </c>
      <c r="BE636" s="61" t="str">
        <f aca="false">" "&amp;TRIM(SUBSTITUTE(SUBSTITUTE(SUBSTITUTE(SUBSTITUTE(SUBSTITUTE(SUBSTITUTE(SUBSTITUTE(SUBSTITUTE(SUBSTITUTE(SUBSTITUTE(SUBSTITUTE(SUBSTITUTE(SUBSTITUTE(SUBSTITUTE(SUBSTITUTE(SUBSTITUTE(SUBSTITUTE(SUBSTITUTE(SUBSTITUTE(SUBSTITUTE(SUBSTITUTE(SUBSTITUTE(SUBSTITUTE(SUBSTITUTE(LOWER(W636&amp;""),CHAR(10)," "),CHAR(13)," "),CHAR(9)," "),CHAR(160)," "),"."," "),","," "),"-"," "),"/"," "),"("," "),")"," "),":"," "),";"," "),"_"," "),"–"," "),"?"," "),"!"," "),"*"," "),"["," "),"]"," "),"'"," "),"#"," "),"+"," "),"&amp;"," "),"\"," "))&amp;" "</f>
        <v>  </v>
      </c>
      <c r="BF636" s="61" t="str">
        <f aca="false">" "&amp;TRIM(SUBSTITUTE(SUBSTITUTE(SUBSTITUTE(SUBSTITUTE(SUBSTITUTE(SUBSTITUTE(SUBSTITUTE(SUBSTITUTE(SUBSTITUTE(SUBSTITUTE(SUBSTITUTE(SUBSTITUTE(SUBSTITUTE(SUBSTITUTE(SUBSTITUTE(SUBSTITUTE(SUBSTITUTE(SUBSTITUTE(SUBSTITUTE(SUBSTITUTE(SUBSTITUTE(SUBSTITUTE(SUBSTITUTE(SUBSTITUTE(LOWER(AC636&amp;""),CHAR(10)," "),CHAR(13)," "),CHAR(9)," "),CHAR(160)," "),"."," "),","," "),"-"," "),"/"," "),"("," "),")"," "),":"," "),";"," "),"_"," "),"–"," "),"?"," "),"!"," "),"*"," "),"["," "),"]"," "),"'"," "),"#"," "),"+"," "),"&amp;"," "),"\"," "))&amp;" "</f>
        <v>  </v>
      </c>
      <c r="BG636" s="61" t="n">
        <f aca="false">IFERROR(IF(AND(TRIM(U636)="Pass",SUMPRODUCT((LEN(BC636)-LEN(SUBSTITUTE(BC636," "&amp;L_ResultBad&amp;" "," ")))/(LEN(L_ResultBad)+1))&gt;SUMPRODUCT((LEN(BC636)-LEN(SUBSTITUTE(BC636," "&amp;L_NegPhrase&amp;" "," ")))/(LEN(L_NegPhrase)+1))),1,0),0)</f>
        <v>0</v>
      </c>
      <c r="BH636" s="61" t="n">
        <f aca="false">IFERROR(IF(SUMPRODUCT((LEN(BC636)-LEN(SUBSTITUTE(BC636," "&amp;L_Pending&amp;" "," ")))/(LEN(L_Pending)+1))&gt;SUMPRODUCT((LEN(BC636)-LEN(SUBSTITUTE(BC636," "&amp;L_PendNeg&amp;" "," ")))/(LEN(L_PendNeg)+1))+SUMPRODUCT((LEN(BC636)-LEN(SUBSTITUTE(BC636," "&amp;L_PendPrep&amp;" "," ")))/(LEN(L_PendPrep)+1)),1,0),1)</f>
        <v>0</v>
      </c>
      <c r="BI636" s="61" t="n">
        <f aca="false">IFERROR(IF(SUMPRODUCT((LEN(BD636)-LEN(SUBSTITUTE(BD636," "&amp;L_PendStrict&amp;" "," ")))/(LEN(L_PendStrict)+1))&gt;SUMPRODUCT((LEN(BD636)-LEN(SUBSTITUTE(BD636," "&amp;L_PendNeg&amp;" "," ")))/(LEN(L_PendNeg)+1)),1,0),1)</f>
        <v>0</v>
      </c>
      <c r="BJ636" s="61" t="n">
        <f aca="false">IFERROR(IF(SUMPRODUCT((LEN(BE636)-LEN(SUBSTITUTE(BE636," "&amp;L_Pending&amp;" "," ")))/(LEN(L_Pending)+1))&gt;SUMPRODUCT((LEN(BE636)-LEN(SUBSTITUTE(BE636," "&amp;L_PendNeg&amp;" "," ")))/(LEN(L_PendNeg)+1))+SUMPRODUCT((LEN(BE636)-LEN(SUBSTITUTE(BE636," "&amp;L_PendPrep&amp;" "," ")))/(LEN(L_PendPrep)+1)),1,0),1)</f>
        <v>0</v>
      </c>
      <c r="BK636" s="61" t="n">
        <f aca="false">IFERROR(IF(SUMPRODUCT((LEN(BF636)-LEN(SUBSTITUTE(BF636," "&amp;L_PendStrict&amp;" "," ")))/(LEN(L_PendStrict)+1))&gt;SUMPRODUCT((LEN(BF636)-LEN(SUBSTITUTE(BF636," "&amp;L_PendNeg&amp;" "," ")))/(LEN(L_PendNeg)+1)),1,0),1)</f>
        <v>0</v>
      </c>
      <c r="BL636" s="61" t="n">
        <f aca="false">IF(ISNA(MATCH(TRIM(S636),L_EvidenceType,0)),0,BZ636)</f>
        <v>0</v>
      </c>
      <c r="BM636" s="61" t="str">
        <f aca="false">SUBSTITUTE(SUBSTITUTE(SUBSTITUTE(SUBSTITUTE(SUBSTITUTE(SUBSTITUTE(SUBSTITUTE(SUBSTITUTE(SUBSTITUTE(LOWER(Z636&amp;""),"1","0"),"2","0"),"3","0"),"4","0"),"5","0"),"6","0"),"7","0"),"8","0"),"9","0")</f>
        <v/>
      </c>
      <c r="BN636" s="61" t="str">
        <f aca="false">SUBSTITUTE(SUBSTITUTE(SUBSTITUTE(SUBSTITUTE(SUBSTITUTE(SUBSTITUTE(SUBSTITUTE(SUBSTITUTE(SUBSTITUTE(SUBSTITUTE(SUBSTITUTE(SUBSTITUTE(SUBSTITUTE(SUBSTITUTE(SUBSTITUTE(SUBSTITUTE(SUBSTITUTE(SUBSTITUTE(SUBSTITUTE(SUBSTITUTE(SUBSTITUTE(SUBSTITUTE(SUBSTITUTE(SUBSTITUTE(SUBSTITUTE(BM636,"b","a"),"c","a"),"d","a"),"e","a"),"f","a"),"g","a"),"h","a"),"i","a"),"j","a"),"k","a"),"l","a"),"m","a"),"n","a"),"o","a"),"p","a"),"q","a"),"r","a"),"s","a"),"t","a"),"u","a"),"v","a"),"w","a"),"x","a"),"y","a"),"z","a")</f>
        <v/>
      </c>
      <c r="BO636" s="61" t="str">
        <f aca="false">SUBSTITUTE(SUBSTITUTE(SUBSTITUTE(SUBSTITUTE(SUBSTITUTE(SUBSTITUTE(SUBSTITUTE(SUBSTITUTE(SUBSTITUTE(LOWER(W636&amp;""),"1","0"),"2","0"),"3","0"),"4","0"),"5","0"),"6","0"),"7","0"),"8","0"),"9","0")</f>
        <v/>
      </c>
      <c r="BP636" s="61" t="str">
        <f aca="false">SUBSTITUTE(SUBSTITUTE(SUBSTITUTE(SUBSTITUTE(SUBSTITUTE(SUBSTITUTE(SUBSTITUTE(SUBSTITUTE(SUBSTITUTE(SUBSTITUTE(SUBSTITUTE(SUBSTITUTE(SUBSTITUTE(SUBSTITUTE(SUBSTITUTE(SUBSTITUTE(SUBSTITUTE(SUBSTITUTE(SUBSTITUTE(SUBSTITUTE(SUBSTITUTE(SUBSTITUTE(SUBSTITUTE(SUBSTITUTE(SUBSTITUTE(BO636,"b","a"),"c","a"),"d","a"),"e","a"),"f","a"),"g","a"),"h","a"),"i","a"),"j","a"),"k","a"),"l","a"),"m","a"),"n","a"),"o","a"),"p","a"),"q","a"),"r","a"),"s","a"),"t","a"),"u","a"),"v","a"),"w","a"),"x","a"),"y","a"),"z","a")</f>
        <v/>
      </c>
      <c r="BQ636" s="61" t="n">
        <f aca="false">IFERROR(IF(AND(ISERROR(SEARCH(" mh"," "&amp;LOWER(W636))),ISNA(MATCH(LEFT(TRIM(BP636),255),{"0000a","000a","00a","0000aa","000aa","00aa","0aa","0000aaa","000aaa","00a00","0a00","0000-0000","00:00","a00","a0","00.00.0000","00/00/0000","00-00-0000","0000-00-00","0000/00/00","0000.00.00","00.00.00","00/00/00","00-00-00","0.00.0000","0/00/0000","0-00-0000"},0)),ISNA(MATCH(LEFT(TRIM(CA636),255),{"0000a","000a","00a","0000aa","000aa","00aa","0aa","0000aaa","000aaa","00a00","0a00","0000-0000","00:00","a00","a0","00.00.0000","00/00/0000","00-00-0000","0000-00-00","0000/00/00","0000.00.00","00.00.00","00/00/00","00-00-00","0.00.0000","0/00/0000","0-00-0000"},0)),LEN(CB636)&gt;=3,NOT(OR(SUBSTITUTE(CB636,"0","")="",AND(LEN(CB636)&gt;=4,CB636=REPT(LEFT(CB636),LEN(CB636))),ISNUMBER(MATCH(CB636,{"123","1234","12345","123456","1234567","12345678","0123","01234","012345","98765","987654","54321"},0)),AND(LEN(CB636)=8,LEFT(CB636,3)="202"))),OR(AND((LEN(CA636)-LEN(SUBSTITUTE(CA636,"a","")))&gt;=1,SUMPRODUCT(--ISNUMBER(SEARCH({"a0","a-0","a_0","a/0","a.0","a#0","0a","0-a","0_a","0/a"},BP636)))&gt;0),ISNUMBER(SEARCH("000000",BP636)))),1,0),0)</f>
        <v>0</v>
      </c>
      <c r="BR636" s="61" t="n">
        <f aca="false">IFERROR(LEN(SUBSTITUTE(CC636," ",""))-SUMPRODUCT((LEN(CC636)-LEN(SUBSTITUTE(CC636," "&amp;L_Role&amp;" "," ")))/(LEN(L_Role)+1)*LEN(L_Role)),0)</f>
        <v>0</v>
      </c>
      <c r="BS636" s="61" t="n">
        <f aca="false">IFERROR(LEN(SUBSTITUTE(CD636," ",""))-SUMPRODUCT((LEN(CD636)-LEN(SUBSTITUTE(CD636," "&amp;L_Role&amp;" "," ")))/(LEN(L_Role)+1)*LEN(L_Role)),0)</f>
        <v>0</v>
      </c>
      <c r="BT6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636,"revision",""),"version",""),"jan",""),"feb",""),"mar",""),"apr",""),"may",""),"jun",""),"jul",""),"aug",""),"sep",""),"oct",""),"nov",""),"dec",""),"utc",""),"gmt",""),"myt",""),"bst",""),"rev",""),"ver",""),"b","a"),"c","a"),"d","a"),"e","a"),"f","a"),"g","a"),"h","a"),"i","a"),"j","a"),"k","a"),"l","a"),"m","a"),"n","a"),"o","a"),"p","a"),"q","a"),"r","a"),"s","a"),"t","a"),"u","a"),"v","a"),"w","a"),"x","a"),"y","a"),"z","a")</f>
        <v/>
      </c>
      <c r="BU636" s="61" t="str">
        <f aca="false">SUBSTITUTE(SUBSTITUTE(SUBSTITUTE(SUBSTITUTE(SUBSTITUTE(SUBSTITUTE(SUBSTITUTE(SUBSTITUTE(SUBSTITUTE(SUBSTITUTE(LEFT(BM636,FIND("0",BM636&amp;"0")-1),"-",""),"_",""),"/",""),".",""),"#",""),"\\",""),":","")," ",""),"(",""),")","")</f>
        <v/>
      </c>
      <c r="BV636" s="61" t="n">
        <f aca="false">0</f>
        <v>0</v>
      </c>
      <c r="BW6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636&amp;""),"a",""),"b",""),"c",""),"d",""),"e",""),"f",""),"g",""),"h",""),"i",""),"j",""),"k",""),"l",""),"m",""),"n",""),"o",""),"p",""),"q",""),"r",""),"s",""),"t",""),"u",""),"v",""),"w",""),"x",""),"y",""),"z",""),"-",""),"_",""),"/",""),".",""),"#",""),"\\",""),":","")," ",""),"(",""),")","")</f>
        <v/>
      </c>
      <c r="BX636" s="61" t="str">
        <f aca="false">SUBSTITUTE(SUBSTITUTE(SUBSTITUTE(SUBSTITUTE(SUBSTITUTE(SUBSTITUTE(SUBSTITUTE(SUBSTITUTE(SUBSTITUTE(SUBSTITUTE(SUBSTITUTE(BM636,"0",""),"-",""),"_",""),"/",""),".",""),"#",""),"\\",""),":","")," ",""),"(",""),")","")</f>
        <v/>
      </c>
      <c r="BY636" s="62" t="n">
        <f aca="false">Q636-T12EarlyH/24</f>
        <v>46323.0277777778</v>
      </c>
      <c r="BZ636" s="61" t="n">
        <f aca="false">IFERROR(IF(IF(TRIM(S636)="Link / file path",AND(LEN(TRIM(Z636))&gt;=5,SUMPRODUCT(--ISNUMBER(SEARCH({"http","www.","\\",":\",".pdf",".jpg",".jpeg",".png",".heic",".xls",".doc",".msg",".eml",".ppt",".txt",".zip"},Z636)))&gt;0),AND(ISERROR(FIND(" ",TRIM(Z636))),NOT(OR(SUMPRODUCT(--ISNUMBER(FIND({",",";","&amp;","+"},Z636)))&gt;0,SUMPRODUCT(--ISNUMBER(SEARCH({"0/aa","0\\aa"},BN636)))&gt;0)),NOT(SUMPRODUCT(--ISNUMBER(SEARCH({"http","www.","\\",":\",".pdf",".jpg",".jpeg",".png",".heic",".xls",".doc",".msg",".eml",".ppt",".txt",".zip"},Z636)))&gt;0),NOT(LOWER(TRIM(Z636))=LOWER(Flights!$F$23)),ISNA(MATCH(BU636,{"mh","rev","revision","ver","version","v","r","a","b","seat","tray","row","gate","bay","stand","page","pg","item","line","no","cart","galley","flight","flt","table","box","bag","oven","etd","eta","std","sta","atd","ata","qty","pax","x","time","tel","ph","mob","day","wk","week","utc","gmt","myt","lt"},0)),NOT(OR(ISNUMBER(MATCH(LEFT(BN636,255),{"0000a","000a","00a","0000aa","000aa","00aa","0aa","0000aaa","000aaa","00a00","0a00","0000-0000","00:00","a00","a0","00.00.0000","00/00/0000","00-00-0000","0000-00-00","0000/00/00","0000.00.00","00.00.00","00/00/00","00-00-00","0.00.0000","0/00/0000","0-00-0000"},0)),ISNUMBER(MATCH(LEFT(BT636,255),{"0000a","000a","00a","0000aa","000aa","00aa","0aa","0000aaa","000aaa","00a00","0a00","0000-0000","00:00","a00","a0","00.00.0000","00/00/0000","00-00-0000","0000-00-00","0000/00/00","0000.00.00","00.00.00","00/00/00","00-00-00","0.00.0000","0/00/0000","0-00-0000"},0)))),NOT(OR(AND(BW636&lt;&gt;"",SUBSTITUTE(BW636,"0","")=""),AND(LEN(BW636)&gt;=4,BW636=REPT(LEFT(BW636),LEN(BW636))),ISNUMBER(MATCH(BW636,{"123","1234","12345","123456","1234567","12345678","0123","01234","012345","98765","987654","54321"},0)),ISNUMBER(MATCH(BX636,{"x","xx","xxx","xxxx","xxxxx","abc","abcd","nil","na","nan","test","tbc","tba","tbd","dummy","sample","example","eg","zz","zzz","none","null","xyz","qwe","asd","id","ref"},0)),AND(LEN(BW636)=8,BX636="",OR(LEFT(BW636,3)="202",ISNUMBER(MATCH(RIGHT(BW636,4),{"2025","2026","2027"},0)))))),OR(AND((LEN(BT636)-LEN(SUBSTITUTE(BT636,"a","")))&gt;=1,(LEN(BN636)-LEN(SUBSTITUTE(BN636,"0","")))&gt;=2,SUMPRODUCT(--ISNUMBER(SEARCH({"a0","a-0","a_0","a/0","a.0","a#0","0a","0-a","0_a","0/a"},BN636)))&gt;0),AND((LEN(BN636)-LEN(SUBSTITUTE(BN636,"a","")))=0,(LEN(BN636)-LEN(SUBSTITUTE(BN636,"0","")))&gt;=5)))),1,0),0)</f>
        <v>0</v>
      </c>
      <c r="CA6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636,"revision",""),"version",""),"jan",""),"feb",""),"mar",""),"apr",""),"may",""),"jun",""),"jul",""),"aug",""),"sep",""),"oct",""),"nov",""),"dec",""),"utc",""),"gmt",""),"myt",""),"bst",""),"rev",""),"ver",""),"b","a"),"c","a"),"d","a"),"e","a"),"f","a"),"g","a"),"h","a"),"i","a"),"j","a"),"k","a"),"l","a"),"m","a"),"n","a"),"o","a"),"p","a"),"q","a"),"r","a"),"s","a"),"t","a"),"u","a"),"v","a"),"w","a"),"x","a"),"y","a"),"z","a")</f>
        <v/>
      </c>
      <c r="CB6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636&amp;""),"a",""),"b",""),"c",""),"d",""),"e",""),"f",""),"g",""),"h",""),"i",""),"j",""),"k",""),"l",""),"m",""),"n",""),"o",""),"p",""),"q",""),"r",""),"s",""),"t",""),"u",""),"v",""),"w",""),"x",""),"y",""),"z",""),"-",""),"_",""),"/",""),".",""),"#",""),"\\",""),":","")," ",""),"(",""),")","")</f>
        <v/>
      </c>
      <c r="CC636" s="0" t="str">
        <f aca="false">" "&amp;TRIM(SUBSTITUTE(SUBSTITUTE(SUBSTITUTE(SUBSTITUTE(SUBSTITUTE(SUBSTITUTE(SUBSTITUTE(SUBSTITUTE(SUBSTITUTE(SUBSTITUTE(SUBSTITUTE(SUBSTITUTE(SUBSTITUTE(SUBSTITUTE(SUBSTITUTE(SUBSTITUTE(SUBSTITUTE(SUBSTITUTE(SUBSTITUTE(SUBSTITUTE(SUBSTITUTE(SUBSTITUTE(SUBSTITUTE(SUBSTITUTE(LOWER(T636&amp;""),CHAR(10)," "),CHAR(13)," "),CHAR(9)," "),CHAR(160)," "),"."," "),","," "),"-"," "),"/"," "),"("," "),")"," "),":"," "),";"," "),"_"," "),"–"," "),"?"," "),"!"," "),"*"," "),"["," "),"]"," "),"'"," "),"#"," "),"+"," "),"&amp;"," "),"\"," "))&amp;" "</f>
        <v>  </v>
      </c>
      <c r="CD636" s="0" t="str">
        <f aca="false">" "&amp;TRIM(SUBSTITUTE(SUBSTITUTE(SUBSTITUTE(SUBSTITUTE(SUBSTITUTE(SUBSTITUTE(SUBSTITUTE(SUBSTITUTE(SUBSTITUTE(SUBSTITUTE(SUBSTITUTE(SUBSTITUTE(SUBSTITUTE(SUBSTITUTE(SUBSTITUTE(SUBSTITUTE(SUBSTITUTE(SUBSTITUTE(SUBSTITUTE(SUBSTITUTE(SUBSTITUTE(SUBSTITUTE(SUBSTITUTE(SUBSTITUTE(LOWER(AE636&amp;""),CHAR(10)," "),CHAR(13)," "),CHAR(9)," "),CHAR(160)," "),"."," "),","," "),"-"," "),"/"," "),"("," "),")"," "),":"," "),";"," "),"_"," "),"–"," "),"?"," "),"!"," "),"*"," "),"["," "),"]"," "),"'"," "),"#"," "),"+"," "),"&amp;"," "),"\"," "))&amp;" "</f>
        <v>  </v>
      </c>
      <c r="CE636" s="68" t="n">
        <f aca="false">IFERROR(IF(AND(LEN(AU636)&gt;0,LEN(AU636)=LEN(AX636),OR(TRIM(MID(SUBSTITUTE(TRIM(CC636)," ",REPT(" ",60)),1,60))="",ISNUMBER(SEARCH(" "&amp;TRIM(MID(SUBSTITUTE(TRIM(CC636)," ",REPT(" ",60)),1,60))&amp;" ",CD636))),OR(TRIM(MID(SUBSTITUTE(TRIM(CC636)," ",REPT(" ",60)),61,60))="",ISNUMBER(SEARCH(" "&amp;TRIM(MID(SUBSTITUTE(TRIM(CC636)," ",REPT(" ",60)),61,60))&amp;" ",CD636))),OR(TRIM(MID(SUBSTITUTE(TRIM(CC636)," ",REPT(" ",60)),121,60))="",ISNUMBER(SEARCH(" "&amp;TRIM(MID(SUBSTITUTE(TRIM(CC636)," ",REPT(" ",60)),121,60))&amp;" ",CD636)))),1,0),0)</f>
        <v>0</v>
      </c>
      <c r="CG636" s="68" t="n">
        <f aca="false">IFERROR(LEN(SUBSTITUTE(BF636," ",""))-SUMPRODUCT((LEN(BF636)-LEN(SUBSTITUTE(BF636," "&amp;L_NAFiller&amp;" "," ")))/(LEN(L_NAFiller)+1)*LEN(L_NAFiller)),0)</f>
        <v>0</v>
      </c>
    </row>
    <row r="637" customFormat="false" ht="78.75" hidden="false" customHeight="true" outlineLevel="0" collapsed="false">
      <c r="A637" s="57" t="s">
        <v>1350</v>
      </c>
      <c r="B637" s="57" t="s">
        <v>301</v>
      </c>
      <c r="C637" s="57" t="str">
        <f aca="false">Flights!$F$23</f>
        <v>MH0053</v>
      </c>
      <c r="D637" s="58" t="n">
        <f aca="false">Flights!$D$23</f>
        <v>46324</v>
      </c>
      <c r="E637" s="57" t="str">
        <f aca="false">Flights!$G$23&amp;"-"&amp;Flights!$H$23</f>
        <v>KIX-KUL</v>
      </c>
      <c r="F637" s="57" t="str">
        <f aca="false">Flights!$K$23</f>
        <v>EY</v>
      </c>
      <c r="G637" s="57" t="s">
        <v>420</v>
      </c>
      <c r="H637" s="57" t="s">
        <v>378</v>
      </c>
      <c r="I637" s="57" t="s">
        <v>447</v>
      </c>
      <c r="J637" s="57" t="s">
        <v>454</v>
      </c>
      <c r="K637" s="67" t="s">
        <v>1088</v>
      </c>
      <c r="L637" s="67" t="s">
        <v>1351</v>
      </c>
      <c r="M637" s="67" t="s">
        <v>451</v>
      </c>
      <c r="N637" s="67" t="s">
        <v>383</v>
      </c>
      <c r="O637" s="67" t="s">
        <v>1352</v>
      </c>
      <c r="P637" s="57" t="s">
        <v>295</v>
      </c>
      <c r="Q637" s="59" t="n">
        <f aca="false">ROUND((Flights!$AE$23)*1440,0)/1440</f>
        <v>46323.5277777778</v>
      </c>
      <c r="R637" s="59" t="n">
        <f aca="false">Q637+(IF(AND(INDEX(TZ_DSTS,MATCH(P637,TZ_STN,0))&lt;&gt;"",Q637&gt;=INDEX(TZ_DSTS,MATCH(P637,TZ_STN,0)),Q637&lt;INDEX(TZ_DSTE,MATCH(P637,TZ_STN,0))),INDEX(TZ_DST,MATCH(P637,TZ_STN,0)),INDEX(TZ_STD,MATCH(P637,TZ_STN,0))))/24</f>
        <v>46323.9027777778</v>
      </c>
      <c r="S637" s="60"/>
      <c r="T637" s="60"/>
      <c r="U637" s="60"/>
      <c r="V637" s="60"/>
      <c r="W637" s="61"/>
      <c r="X637" s="69" t="n">
        <v>280</v>
      </c>
      <c r="Y637" s="60"/>
      <c r="Z637" s="60"/>
      <c r="AA637" s="60"/>
      <c r="AB637" s="60"/>
      <c r="AC637" s="60"/>
      <c r="AD637" s="66"/>
      <c r="AE637" s="60"/>
      <c r="AF637" s="61" t="str">
        <f aca="false">IF(AND(ISNUMBER(X637),ISNUMBER(Y637)),Y637-X637,"")</f>
        <v/>
      </c>
      <c r="AG637" s="62" t="str">
        <f aca="false">IF(ISNUMBER(AD637),AD637-(IF(AND(INDEX(TZ_DSTS,MATCH(P637,TZ_STN,0))&lt;&gt;"",(AD637-INDEX(TZ_STD,MATCH(P637,TZ_STN,0))/24)&gt;=INDEX(TZ_DSTS,MATCH(P637,TZ_STN,0)),(AD637-INDEX(TZ_STD,MATCH(P637,TZ_STN,0))/24)&lt;INDEX(TZ_DSTE,MATCH(P637,TZ_STN,0))),INDEX(TZ_DST,MATCH(P637,TZ_STN,0)),INDEX(TZ_STD,MATCH(P637,TZ_STN,0))))/24,"")</f>
        <v/>
      </c>
      <c r="AH637" s="65" t="str">
        <f aca="false">IFERROR(IF(N637="N/A – rule",IF(OR(TRIM(U637)="",TRIM(U637)="N/A",TRIM(U637)="Not started"),"N/A – RULE","INVALID – this check does not apply to this aircraft: clear the status (or correct the fleet on Flights)"),IF(TRIM(U637)="N/A",IF(AT637=0,"INVALID – N/A not permitted for this check",IF(AND(TRIM(AB637)&lt;&gt;"",TRIM(AB637)&lt;&gt;"Closed"),"INVALID – corrective action still open",IF(AND(NOT(OR(LEN(AZ637)&lt;15,ISNUMBER(MATCH(AZ637,L_Placeholder,0)))),BK637=0,CG637&gt;=8,NOT(OR(LEN(AU637)&lt;2,ISNUMBER(MATCH(AU637,L_Placeholder,0)))),BR637&gt;=3,NOT(OR(LEN(AX637)&lt;2,ISNUMBER(MATCH(AX637,L_Placeholder,0)))),BS637&gt;=3,TRIM(AE637)&lt;&gt;TRIM(T637),AX637&lt;&gt;AU637,CE637=0),"N/A – JUSTIFIED","INVALID – N/A needs a real, settled reason (not 'not applicable' / 'as above' / TBC), a named PIC and a different named verifier"))),IF(OR(TRIM(U637)="Pass",TRIM(U637)="Pass after CA"),IF(NOT(ISNUMBER(AD637)),"INVALID – completion time missing",IF(OR(OR(LEN(AU637)&lt;2,ISNUMBER(MATCH(AU637,L_Placeholder,0))),BR637&lt;3),"INVALID – PIC missing or not a named person (a role such as QA / CSM is not a name)",IF(OR(LEN(AV637)&lt;2,ISNUMBER(MATCH(AV637,L_Placeholder,0))),"INVALID – result / assessment missing",IF(OR(OR(LEN(AW637)&lt;3,ISNUMBER(MATCH(AW637,L_Placeholder,0))),SUMPRODUCT(--ISNUMBER(SEARCH(" "&amp;L_EvidencePhrase&amp;" ",BD637)))&gt;0,BI637=1),"INVALID – evidence missing, placeholder or not yet on file",IF(ISNA(MATCH(TRIM(S637),L_EvidenceType,0)),"INVALID – choose the evidence type from the list (column S)",IF(BL637=0,"INVALID – evidence ID must be the record's own ID only (e.g. SF-2210, IMG_2231, 1045521); a link / file name needs type 'Link / file path'",IF(OR(OR(LEN(AX637)&lt;2,ISNUMBER(MATCH(AX637,L_Placeholder,0))),BS637&lt;3),"INVALID – verifier missing or not a named person (a role such as QA / CSM is not a name)",IF(OR(AX637=AU637,CE637=1,AND(LEN(AU637)&gt;=4,ISNUMBER(SEARCH(AU637,AX637))),AND(LEN(AX637)&gt;=4,ISNUMBER(SEARCH(AX637,AU637)))),"INVALID – verifier must be a different, named person (not the PIC or a role)",IF(BH637=1,"INVALID – result not yet available (awaiting / TBC)",IF(BG637=1,"INVALID – result describes a problem: record Fail, then Pass after CA (or reword if it is not a problem)",IF(BV637=1,"INVALID – wording says not on board: an on-board confirmation needs the item loaded",IF(AND(AQ637=1,OR(OR(LEN(AY637)&lt;3,ISNUMBER(MATCH(AY637,L_Placeholder,0))),BJ637=1,BQ637=0)),"INVALID – batch ID missing, placeholder or not an ID (e.g. PASB-261008-BC-017)",IF(AND(AR637=1,OR(NOT(ISNUMBER(X637)),NOT(ISNUMBER(Y637)))),"INVALID – expected/actual qty missing",IF(AND(AR637=1,OR(X637&lt;=0,Y637&lt;0)),"INVALID – expected qty must be above 0 and actual not negative",IF(BB637&lt;&gt;"",BB637,IF(AND(AS637=1,Documents!$J$23&lt;&gt;"ON FILE"),"INVALID – GLD not on file (Documents sheet)",IF(AND(AS637=2,Documents!$O$23&lt;&gt;"ON FILE"),"INVALID – menu checklist not on file (Documents sheet)",IF(AND(AS637=3,NOT(ISNUMBER(Flights!$AX$23))),"INVALID – enter carrying flight KUL departure (Flights AX)",IF(AND(AS637=3,OR(Flights!$AZ$23&gt;Flights!$AA$23,Flights!$AX$23&lt;Flights!$AA$23-3)),"INVALID – carrying flight (Flights AX) cannot arrive before this leg's STD, or is over 3 days early",IF(AG637&gt;AsOfUTC,"INVALID – completion time is in the future",IF(AND(ISNUMBER(BY637),AG637&lt;BY637),IF(H637="Physical uplift","INVALID – before uplift window (cannot confirm loading)","INVALID – before valid window"),IF(AG637&gt;Flights!$AA$23,"INVALID – completed after departure (cannot establish readiness)",IF(AND(H637="Preparation",AG637&gt;=IF(ISNUMBER(Flights!$BA$23),MIN(Flights!$BA$23,Flights!$AA$23),Flights!$AA$23)),"INVALID – completed after loading / departure (cannot establish readiness)",IF(AND(H637="Physical uplift",AG637&gt;Q637),"INVALID – recorded after the loading flight departed",IF(AG637&gt;Q637,"COMPLETE – LATE","COMPLETE"))))))))))))))))))))))))),IF(TRIM(U637)="Fail","FAIL – DISCREPANCY",IF(AND(TRIM(U637)&lt;&gt;"",TRIM(U637)&lt;&gt;"Not started",TRIM(U637)&lt;&gt;"In progress"),"INVALID – unrecognised status (use the list)",IF(AsOfUTC&gt;Q637,"OVERDUE",IF(N637="Clarification required","OPEN – CLARIFICATION","OPEN"))))))),"INVALID – error value in an input cell")</f>
        <v>OPEN</v>
      </c>
      <c r="AI637" s="61" t="n">
        <f aca="false">IF(OR(AH637="N/A – RULE",AH637="N/A – JUSTIFIED"),0,1)</f>
        <v>1</v>
      </c>
      <c r="AJ637" s="61" t="n">
        <f aca="false">IF(LEFT(AH637,8)="COMPLETE",1,0)</f>
        <v>0</v>
      </c>
      <c r="AK637" s="61" t="n">
        <f aca="false">IF(AND(AI637=1,AJ637=0,AsOfUTC&gt;Q637),1,0)</f>
        <v>0</v>
      </c>
      <c r="AL637" s="61" t="n">
        <f aca="false">IFERROR(IF(AND(AI637=1,OR(TRIM(U637)="Fail",AND(TRIM(AB637)&lt;&gt;"",TRIM(AB637)&lt;&gt;"Closed"),AND(ISNUMBER(AF637),AF637&lt;&gt;0,TRIM(U637)&lt;&gt;"Pass after CA"))),1,0),1)</f>
        <v>0</v>
      </c>
      <c r="AM637" s="61" t="n">
        <f aca="false">IF(LEFT(AH637,7)="INVALID",1,0)</f>
        <v>0</v>
      </c>
      <c r="AN637" s="61" t="n">
        <f aca="false">IF(AND(N637="Clarification required",AI637=1,AJ637=0),1,0)</f>
        <v>0</v>
      </c>
      <c r="AO637" s="61" t="str">
        <f aca="false">IF(AK637=1,SUM(AK$5:AK637),"")</f>
        <v/>
      </c>
      <c r="AP637" s="61" t="str">
        <f aca="false">IF(AL637=1,SUM(AL$5:AL637),"")</f>
        <v/>
      </c>
      <c r="AQ637" s="61" t="n">
        <v>0</v>
      </c>
      <c r="AR637" s="61" t="n">
        <v>1</v>
      </c>
      <c r="AS637" s="61" t="n">
        <v>0</v>
      </c>
      <c r="AT637" s="61" t="n">
        <v>0</v>
      </c>
      <c r="AU637" s="61" t="str">
        <f aca="false">SUBSTITUTE(SUBSTITUTE(SUBSTITUTE(SUBSTITUTE(SUBSTITUTE(SUBSTITUTE(SUBSTITUTE(SUBSTITUTE(SUBSTITUTE(SUBSTITUTE(SUBSTITUTE(SUBSTITUTE(SUBSTITUTE(SUBSTITUTE(SUBSTITUTE(SUBSTITUTE(LOWER(T637&amp;""),CHAR(10),""),CHAR(13),""),CHAR(9),""),CHAR(160),"")," ",""),".",""),"-",""),"/",""),"?",""),"_",""),",",""),"[",""),"]",""),"(",""),")",""),"*","")</f>
        <v/>
      </c>
      <c r="AV637" s="61" t="str">
        <f aca="false">SUBSTITUTE(SUBSTITUTE(SUBSTITUTE(SUBSTITUTE(SUBSTITUTE(SUBSTITUTE(SUBSTITUTE(SUBSTITUTE(SUBSTITUTE(SUBSTITUTE(SUBSTITUTE(SUBSTITUTE(SUBSTITUTE(SUBSTITUTE(SUBSTITUTE(SUBSTITUTE(LOWER(V637&amp;""),CHAR(10),""),CHAR(13),""),CHAR(9),""),CHAR(160),"")," ",""),".",""),"-",""),"/",""),"?",""),"_",""),",",""),"[",""),"]",""),"(",""),")",""),"*","")</f>
        <v/>
      </c>
      <c r="AW637" s="61" t="str">
        <f aca="false">SUBSTITUTE(SUBSTITUTE(SUBSTITUTE(SUBSTITUTE(SUBSTITUTE(SUBSTITUTE(SUBSTITUTE(SUBSTITUTE(SUBSTITUTE(SUBSTITUTE(SUBSTITUTE(SUBSTITUTE(SUBSTITUTE(SUBSTITUTE(SUBSTITUTE(SUBSTITUTE(LOWER(Z637&amp;""),CHAR(10),""),CHAR(13),""),CHAR(9),""),CHAR(160),"")," ",""),".",""),"-",""),"/",""),"?",""),"_",""),",",""),"[",""),"]",""),"(",""),")",""),"*","")</f>
        <v/>
      </c>
      <c r="AX637" s="61" t="str">
        <f aca="false">SUBSTITUTE(SUBSTITUTE(SUBSTITUTE(SUBSTITUTE(SUBSTITUTE(SUBSTITUTE(SUBSTITUTE(SUBSTITUTE(SUBSTITUTE(SUBSTITUTE(SUBSTITUTE(SUBSTITUTE(SUBSTITUTE(SUBSTITUTE(SUBSTITUTE(SUBSTITUTE(LOWER(AE637&amp;""),CHAR(10),""),CHAR(13),""),CHAR(9),""),CHAR(160),"")," ",""),".",""),"-",""),"/",""),"?",""),"_",""),",",""),"[",""),"]",""),"(",""),")",""),"*","")</f>
        <v/>
      </c>
      <c r="AY637" s="61" t="str">
        <f aca="false">SUBSTITUTE(SUBSTITUTE(SUBSTITUTE(SUBSTITUTE(SUBSTITUTE(SUBSTITUTE(SUBSTITUTE(SUBSTITUTE(SUBSTITUTE(SUBSTITUTE(SUBSTITUTE(SUBSTITUTE(SUBSTITUTE(SUBSTITUTE(SUBSTITUTE(SUBSTITUTE(LOWER(W637&amp;""),CHAR(10),""),CHAR(13),""),CHAR(9),""),CHAR(160),"")," ",""),".",""),"-",""),"/",""),"?",""),"_",""),",",""),"[",""),"]",""),"(",""),")",""),"*","")</f>
        <v/>
      </c>
      <c r="AZ637" s="61" t="str">
        <f aca="false">SUBSTITUTE(SUBSTITUTE(SUBSTITUTE(SUBSTITUTE(SUBSTITUTE(SUBSTITUTE(SUBSTITUTE(SUBSTITUTE(SUBSTITUTE(SUBSTITUTE(SUBSTITUTE(SUBSTITUTE(SUBSTITUTE(SUBSTITUTE(SUBSTITUTE(SUBSTITUTE(LOWER(AC637&amp;""),CHAR(10),""),CHAR(13),""),CHAR(9),""),CHAR(160),"")," ",""),".",""),"-",""),"/",""),"?",""),"_",""),",",""),"[",""),"]",""),"(",""),")",""),"*","")</f>
        <v/>
      </c>
      <c r="BA637" s="61" t="str">
        <f aca="false">SUBSTITUTE(SUBSTITUTE(SUBSTITUTE(SUBSTITUTE(SUBSTITUTE(SUBSTITUTE(SUBSTITUTE(SUBSTITUTE(SUBSTITUTE(SUBSTITUTE(SUBSTITUTE(SUBSTITUTE(SUBSTITUTE(SUBSTITUTE(SUBSTITUTE(SUBSTITUTE(LOWER(AA637&amp;""),CHAR(10),""),CHAR(13),""),CHAR(9),""),CHAR(160),"")," ",""),".",""),"-",""),"/",""),"?",""),"_",""),",",""),"[",""),"]",""),"(",""),")",""),"*","")</f>
        <v/>
      </c>
      <c r="BB637" s="61" t="str">
        <f aca="false">IF(AND(TRIM(U637)="Pass",ISNUMBER(AF637)),IF(AF637&lt;&gt;0,"INVALID – qty variance: use Fail or Pass after CA",""),"")&amp;IF(AND(TRIM(U637)="Pass after CA",ISNUMBER(AF637)),IF(AF637&lt;&gt;0,"INVALID – after the corrective action the actual qty must equal expected (update Actual)",""),"")&amp;IF(AND(TRIM(U637)="Pass",TRIM(AB637)&lt;&gt;"",TRIM(AB637)&lt;&gt;"Closed"),"INVALID – corrective action not closed: use Fail, then Pass after CA","")&amp;IF(AND(LEN(BA637)&gt;=2,ISNA(MATCH(LEFT(BA637,255),L_Placeholder,0)),TRIM(AB637)=""),"INVALID – CA status missing for the recorded corrective action","")&amp;IF(AND(TRIM(U637)="Pass after CA",OR(OR(LEN(BA637)&lt;5,ISNUMBER(MATCH(BA637,L_Placeholder,0))),TRIM(AB637)&lt;&gt;"Closed")),"INVALID – corrective action not recorded/closed","")</f>
        <v/>
      </c>
      <c r="BC637" s="61" t="str">
        <f aca="false">" "&amp;TRIM(SUBSTITUTE(SUBSTITUTE(SUBSTITUTE(SUBSTITUTE(SUBSTITUTE(SUBSTITUTE(SUBSTITUTE(SUBSTITUTE(SUBSTITUTE(SUBSTITUTE(SUBSTITUTE(SUBSTITUTE(SUBSTITUTE(SUBSTITUTE(SUBSTITUTE(SUBSTITUTE(SUBSTITUTE(SUBSTITUTE(SUBSTITUTE(SUBSTITUTE(SUBSTITUTE(SUBSTITUTE(SUBSTITUTE(SUBSTITUTE(LOWER(V637&amp;""),CHAR(10)," "),CHAR(13)," "),CHAR(9)," "),CHAR(160)," "),"."," "),","," "),"-"," "),"/"," "),"("," "),")"," "),":"," "),";"," "),"_"," "),"–"," "),"?"," "),"!"," "),"*"," "),"["," "),"]"," "),"'"," "),"#"," "),"+"," "),"&amp;"," "),"\"," "))&amp;" "</f>
        <v>  </v>
      </c>
      <c r="BD637" s="61" t="str">
        <f aca="false">" "&amp;TRIM(SUBSTITUTE(SUBSTITUTE(SUBSTITUTE(SUBSTITUTE(SUBSTITUTE(SUBSTITUTE(SUBSTITUTE(SUBSTITUTE(SUBSTITUTE(SUBSTITUTE(SUBSTITUTE(SUBSTITUTE(SUBSTITUTE(SUBSTITUTE(SUBSTITUTE(SUBSTITUTE(SUBSTITUTE(SUBSTITUTE(SUBSTITUTE(SUBSTITUTE(SUBSTITUTE(SUBSTITUTE(SUBSTITUTE(SUBSTITUTE(LOWER(Z637&amp;""),CHAR(10)," "),CHAR(13)," "),CHAR(9)," "),CHAR(160)," "),"."," "),","," "),"-"," "),"/"," "),"("," "),")"," "),":"," "),";"," "),"_"," "),"–"," "),"?"," "),"!"," "),"*"," "),"["," "),"]"," "),"'"," "),"#"," "),"+"," "),"&amp;"," "),"\"," "))&amp;" "</f>
        <v>  </v>
      </c>
      <c r="BE637" s="61" t="str">
        <f aca="false">" "&amp;TRIM(SUBSTITUTE(SUBSTITUTE(SUBSTITUTE(SUBSTITUTE(SUBSTITUTE(SUBSTITUTE(SUBSTITUTE(SUBSTITUTE(SUBSTITUTE(SUBSTITUTE(SUBSTITUTE(SUBSTITUTE(SUBSTITUTE(SUBSTITUTE(SUBSTITUTE(SUBSTITUTE(SUBSTITUTE(SUBSTITUTE(SUBSTITUTE(SUBSTITUTE(SUBSTITUTE(SUBSTITUTE(SUBSTITUTE(SUBSTITUTE(LOWER(W637&amp;""),CHAR(10)," "),CHAR(13)," "),CHAR(9)," "),CHAR(160)," "),"."," "),","," "),"-"," "),"/"," "),"("," "),")"," "),":"," "),";"," "),"_"," "),"–"," "),"?"," "),"!"," "),"*"," "),"["," "),"]"," "),"'"," "),"#"," "),"+"," "),"&amp;"," "),"\"," "))&amp;" "</f>
        <v>  </v>
      </c>
      <c r="BF637" s="61" t="str">
        <f aca="false">" "&amp;TRIM(SUBSTITUTE(SUBSTITUTE(SUBSTITUTE(SUBSTITUTE(SUBSTITUTE(SUBSTITUTE(SUBSTITUTE(SUBSTITUTE(SUBSTITUTE(SUBSTITUTE(SUBSTITUTE(SUBSTITUTE(SUBSTITUTE(SUBSTITUTE(SUBSTITUTE(SUBSTITUTE(SUBSTITUTE(SUBSTITUTE(SUBSTITUTE(SUBSTITUTE(SUBSTITUTE(SUBSTITUTE(SUBSTITUTE(SUBSTITUTE(LOWER(AC637&amp;""),CHAR(10)," "),CHAR(13)," "),CHAR(9)," "),CHAR(160)," "),"."," "),","," "),"-"," "),"/"," "),"("," "),")"," "),":"," "),";"," "),"_"," "),"–"," "),"?"," "),"!"," "),"*"," "),"["," "),"]"," "),"'"," "),"#"," "),"+"," "),"&amp;"," "),"\"," "))&amp;" "</f>
        <v>  </v>
      </c>
      <c r="BG637" s="61" t="n">
        <f aca="false">IFERROR(IF(AND(TRIM(U637)="Pass",SUMPRODUCT((LEN(BC637)-LEN(SUBSTITUTE(BC637," "&amp;L_ResultBad&amp;" "," ")))/(LEN(L_ResultBad)+1))&gt;SUMPRODUCT((LEN(BC637)-LEN(SUBSTITUTE(BC637," "&amp;L_NegPhrase&amp;" "," ")))/(LEN(L_NegPhrase)+1))),1,0),0)</f>
        <v>0</v>
      </c>
      <c r="BH637" s="61" t="n">
        <f aca="false">IFERROR(IF(SUMPRODUCT((LEN(BC637)-LEN(SUBSTITUTE(BC637," "&amp;L_Pending&amp;" "," ")))/(LEN(L_Pending)+1))&gt;SUMPRODUCT((LEN(BC637)-LEN(SUBSTITUTE(BC637," "&amp;L_PendNeg&amp;" "," ")))/(LEN(L_PendNeg)+1))+SUMPRODUCT((LEN(BC637)-LEN(SUBSTITUTE(BC637," "&amp;L_PendPrep&amp;" "," ")))/(LEN(L_PendPrep)+1)),1,0),1)</f>
        <v>0</v>
      </c>
      <c r="BI637" s="61" t="n">
        <f aca="false">IFERROR(IF(SUMPRODUCT((LEN(BD637)-LEN(SUBSTITUTE(BD637," "&amp;L_PendStrict&amp;" "," ")))/(LEN(L_PendStrict)+1))&gt;SUMPRODUCT((LEN(BD637)-LEN(SUBSTITUTE(BD637," "&amp;L_PendNeg&amp;" "," ")))/(LEN(L_PendNeg)+1)),1,0),1)</f>
        <v>0</v>
      </c>
      <c r="BJ637" s="61" t="n">
        <f aca="false">IFERROR(IF(SUMPRODUCT((LEN(BE637)-LEN(SUBSTITUTE(BE637," "&amp;L_Pending&amp;" "," ")))/(LEN(L_Pending)+1))&gt;SUMPRODUCT((LEN(BE637)-LEN(SUBSTITUTE(BE637," "&amp;L_PendNeg&amp;" "," ")))/(LEN(L_PendNeg)+1))+SUMPRODUCT((LEN(BE637)-LEN(SUBSTITUTE(BE637," "&amp;L_PendPrep&amp;" "," ")))/(LEN(L_PendPrep)+1)),1,0),1)</f>
        <v>0</v>
      </c>
      <c r="BK637" s="61" t="n">
        <f aca="false">IFERROR(IF(SUMPRODUCT((LEN(BF637)-LEN(SUBSTITUTE(BF637," "&amp;L_PendStrict&amp;" "," ")))/(LEN(L_PendStrict)+1))&gt;SUMPRODUCT((LEN(BF637)-LEN(SUBSTITUTE(BF637," "&amp;L_PendNeg&amp;" "," ")))/(LEN(L_PendNeg)+1)),1,0),1)</f>
        <v>0</v>
      </c>
      <c r="BL637" s="61" t="n">
        <f aca="false">IF(ISNA(MATCH(TRIM(S637),L_EvidenceType,0)),0,BZ637)</f>
        <v>0</v>
      </c>
      <c r="BM637" s="61" t="str">
        <f aca="false">SUBSTITUTE(SUBSTITUTE(SUBSTITUTE(SUBSTITUTE(SUBSTITUTE(SUBSTITUTE(SUBSTITUTE(SUBSTITUTE(SUBSTITUTE(LOWER(Z637&amp;""),"1","0"),"2","0"),"3","0"),"4","0"),"5","0"),"6","0"),"7","0"),"8","0"),"9","0")</f>
        <v/>
      </c>
      <c r="BN637" s="61" t="str">
        <f aca="false">SUBSTITUTE(SUBSTITUTE(SUBSTITUTE(SUBSTITUTE(SUBSTITUTE(SUBSTITUTE(SUBSTITUTE(SUBSTITUTE(SUBSTITUTE(SUBSTITUTE(SUBSTITUTE(SUBSTITUTE(SUBSTITUTE(SUBSTITUTE(SUBSTITUTE(SUBSTITUTE(SUBSTITUTE(SUBSTITUTE(SUBSTITUTE(SUBSTITUTE(SUBSTITUTE(SUBSTITUTE(SUBSTITUTE(SUBSTITUTE(SUBSTITUTE(BM637,"b","a"),"c","a"),"d","a"),"e","a"),"f","a"),"g","a"),"h","a"),"i","a"),"j","a"),"k","a"),"l","a"),"m","a"),"n","a"),"o","a"),"p","a"),"q","a"),"r","a"),"s","a"),"t","a"),"u","a"),"v","a"),"w","a"),"x","a"),"y","a"),"z","a")</f>
        <v/>
      </c>
      <c r="BO637" s="61" t="str">
        <f aca="false">SUBSTITUTE(SUBSTITUTE(SUBSTITUTE(SUBSTITUTE(SUBSTITUTE(SUBSTITUTE(SUBSTITUTE(SUBSTITUTE(SUBSTITUTE(LOWER(W637&amp;""),"1","0"),"2","0"),"3","0"),"4","0"),"5","0"),"6","0"),"7","0"),"8","0"),"9","0")</f>
        <v/>
      </c>
      <c r="BP637" s="61" t="str">
        <f aca="false">SUBSTITUTE(SUBSTITUTE(SUBSTITUTE(SUBSTITUTE(SUBSTITUTE(SUBSTITUTE(SUBSTITUTE(SUBSTITUTE(SUBSTITUTE(SUBSTITUTE(SUBSTITUTE(SUBSTITUTE(SUBSTITUTE(SUBSTITUTE(SUBSTITUTE(SUBSTITUTE(SUBSTITUTE(SUBSTITUTE(SUBSTITUTE(SUBSTITUTE(SUBSTITUTE(SUBSTITUTE(SUBSTITUTE(SUBSTITUTE(SUBSTITUTE(BO637,"b","a"),"c","a"),"d","a"),"e","a"),"f","a"),"g","a"),"h","a"),"i","a"),"j","a"),"k","a"),"l","a"),"m","a"),"n","a"),"o","a"),"p","a"),"q","a"),"r","a"),"s","a"),"t","a"),"u","a"),"v","a"),"w","a"),"x","a"),"y","a"),"z","a")</f>
        <v/>
      </c>
      <c r="BQ637" s="61" t="n">
        <f aca="false">IFERROR(IF(AND(ISERROR(SEARCH(" mh"," "&amp;LOWER(W637))),ISNA(MATCH(LEFT(TRIM(BP637),255),{"0000a","000a","00a","0000aa","000aa","00aa","0aa","0000aaa","000aaa","00a00","0a00","0000-0000","00:00","a00","a0","00.00.0000","00/00/0000","00-00-0000","0000-00-00","0000/00/00","0000.00.00","00.00.00","00/00/00","00-00-00","0.00.0000","0/00/0000","0-00-0000"},0)),ISNA(MATCH(LEFT(TRIM(CA637),255),{"0000a","000a","00a","0000aa","000aa","00aa","0aa","0000aaa","000aaa","00a00","0a00","0000-0000","00:00","a00","a0","00.00.0000","00/00/0000","00-00-0000","0000-00-00","0000/00/00","0000.00.00","00.00.00","00/00/00","00-00-00","0.00.0000","0/00/0000","0-00-0000"},0)),LEN(CB637)&gt;=3,NOT(OR(SUBSTITUTE(CB637,"0","")="",AND(LEN(CB637)&gt;=4,CB637=REPT(LEFT(CB637),LEN(CB637))),ISNUMBER(MATCH(CB637,{"123","1234","12345","123456","1234567","12345678","0123","01234","012345","98765","987654","54321"},0)),AND(LEN(CB637)=8,LEFT(CB637,3)="202"))),OR(AND((LEN(CA637)-LEN(SUBSTITUTE(CA637,"a","")))&gt;=1,SUMPRODUCT(--ISNUMBER(SEARCH({"a0","a-0","a_0","a/0","a.0","a#0","0a","0-a","0_a","0/a"},BP637)))&gt;0),ISNUMBER(SEARCH("000000",BP637)))),1,0),0)</f>
        <v>0</v>
      </c>
      <c r="BR637" s="61" t="n">
        <f aca="false">IFERROR(LEN(SUBSTITUTE(CC637," ",""))-SUMPRODUCT((LEN(CC637)-LEN(SUBSTITUTE(CC637," "&amp;L_Role&amp;" "," ")))/(LEN(L_Role)+1)*LEN(L_Role)),0)</f>
        <v>0</v>
      </c>
      <c r="BS637" s="61" t="n">
        <f aca="false">IFERROR(LEN(SUBSTITUTE(CD637," ",""))-SUMPRODUCT((LEN(CD637)-LEN(SUBSTITUTE(CD637," "&amp;L_Role&amp;" "," ")))/(LEN(L_Role)+1)*LEN(L_Role)),0)</f>
        <v>0</v>
      </c>
      <c r="BT6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637,"revision",""),"version",""),"jan",""),"feb",""),"mar",""),"apr",""),"may",""),"jun",""),"jul",""),"aug",""),"sep",""),"oct",""),"nov",""),"dec",""),"utc",""),"gmt",""),"myt",""),"bst",""),"rev",""),"ver",""),"b","a"),"c","a"),"d","a"),"e","a"),"f","a"),"g","a"),"h","a"),"i","a"),"j","a"),"k","a"),"l","a"),"m","a"),"n","a"),"o","a"),"p","a"),"q","a"),"r","a"),"s","a"),"t","a"),"u","a"),"v","a"),"w","a"),"x","a"),"y","a"),"z","a")</f>
        <v/>
      </c>
      <c r="BU637" s="61" t="str">
        <f aca="false">SUBSTITUTE(SUBSTITUTE(SUBSTITUTE(SUBSTITUTE(SUBSTITUTE(SUBSTITUTE(SUBSTITUTE(SUBSTITUTE(SUBSTITUTE(SUBSTITUTE(LEFT(BM637,FIND("0",BM637&amp;"0")-1),"-",""),"_",""),"/",""),".",""),"#",""),"\\",""),":","")," ",""),"(",""),")","")</f>
        <v/>
      </c>
      <c r="BV637" s="61" t="n">
        <f aca="false">0</f>
        <v>0</v>
      </c>
      <c r="BW6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637&amp;""),"a",""),"b",""),"c",""),"d",""),"e",""),"f",""),"g",""),"h",""),"i",""),"j",""),"k",""),"l",""),"m",""),"n",""),"o",""),"p",""),"q",""),"r",""),"s",""),"t",""),"u",""),"v",""),"w",""),"x",""),"y",""),"z",""),"-",""),"_",""),"/",""),".",""),"#",""),"\\",""),":","")," ",""),"(",""),")","")</f>
        <v/>
      </c>
      <c r="BX637" s="61" t="str">
        <f aca="false">SUBSTITUTE(SUBSTITUTE(SUBSTITUTE(SUBSTITUTE(SUBSTITUTE(SUBSTITUTE(SUBSTITUTE(SUBSTITUTE(SUBSTITUTE(SUBSTITUTE(SUBSTITUTE(BM637,"0",""),"-",""),"_",""),"/",""),".",""),"#",""),"\\",""),":","")," ",""),"(",""),")","")</f>
        <v/>
      </c>
      <c r="BY637" s="62" t="n">
        <f aca="false">Q637-T12EarlyH/24</f>
        <v>46323.0277777778</v>
      </c>
      <c r="BZ637" s="61" t="n">
        <f aca="false">IFERROR(IF(IF(TRIM(S637)="Link / file path",AND(LEN(TRIM(Z637))&gt;=5,SUMPRODUCT(--ISNUMBER(SEARCH({"http","www.","\\",":\",".pdf",".jpg",".jpeg",".png",".heic",".xls",".doc",".msg",".eml",".ppt",".txt",".zip"},Z637)))&gt;0),AND(ISERROR(FIND(" ",TRIM(Z637))),NOT(OR(SUMPRODUCT(--ISNUMBER(FIND({",",";","&amp;","+"},Z637)))&gt;0,SUMPRODUCT(--ISNUMBER(SEARCH({"0/aa","0\\aa"},BN637)))&gt;0)),NOT(SUMPRODUCT(--ISNUMBER(SEARCH({"http","www.","\\",":\",".pdf",".jpg",".jpeg",".png",".heic",".xls",".doc",".msg",".eml",".ppt",".txt",".zip"},Z637)))&gt;0),NOT(LOWER(TRIM(Z637))=LOWER(Flights!$F$23)),ISNA(MATCH(BU637,{"mh","rev","revision","ver","version","v","r","a","b","seat","tray","row","gate","bay","stand","page","pg","item","line","no","cart","galley","flight","flt","table","box","bag","oven","etd","eta","std","sta","atd","ata","qty","pax","x","time","tel","ph","mob","day","wk","week","utc","gmt","myt","lt"},0)),NOT(OR(ISNUMBER(MATCH(LEFT(BN637,255),{"0000a","000a","00a","0000aa","000aa","00aa","0aa","0000aaa","000aaa","00a00","0a00","0000-0000","00:00","a00","a0","00.00.0000","00/00/0000","00-00-0000","0000-00-00","0000/00/00","0000.00.00","00.00.00","00/00/00","00-00-00","0.00.0000","0/00/0000","0-00-0000"},0)),ISNUMBER(MATCH(LEFT(BT637,255),{"0000a","000a","00a","0000aa","000aa","00aa","0aa","0000aaa","000aaa","00a00","0a00","0000-0000","00:00","a00","a0","00.00.0000","00/00/0000","00-00-0000","0000-00-00","0000/00/00","0000.00.00","00.00.00","00/00/00","00-00-00","0.00.0000","0/00/0000","0-00-0000"},0)))),NOT(OR(AND(BW637&lt;&gt;"",SUBSTITUTE(BW637,"0","")=""),AND(LEN(BW637)&gt;=4,BW637=REPT(LEFT(BW637),LEN(BW637))),ISNUMBER(MATCH(BW637,{"123","1234","12345","123456","1234567","12345678","0123","01234","012345","98765","987654","54321"},0)),ISNUMBER(MATCH(BX637,{"x","xx","xxx","xxxx","xxxxx","abc","abcd","nil","na","nan","test","tbc","tba","tbd","dummy","sample","example","eg","zz","zzz","none","null","xyz","qwe","asd","id","ref"},0)),AND(LEN(BW637)=8,BX637="",OR(LEFT(BW637,3)="202",ISNUMBER(MATCH(RIGHT(BW637,4),{"2025","2026","2027"},0)))))),OR(AND((LEN(BT637)-LEN(SUBSTITUTE(BT637,"a","")))&gt;=1,(LEN(BN637)-LEN(SUBSTITUTE(BN637,"0","")))&gt;=2,SUMPRODUCT(--ISNUMBER(SEARCH({"a0","a-0","a_0","a/0","a.0","a#0","0a","0-a","0_a","0/a"},BN637)))&gt;0),AND((LEN(BN637)-LEN(SUBSTITUTE(BN637,"a","")))=0,(LEN(BN637)-LEN(SUBSTITUTE(BN637,"0","")))&gt;=5)))),1,0),0)</f>
        <v>0</v>
      </c>
      <c r="CA6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637,"revision",""),"version",""),"jan",""),"feb",""),"mar",""),"apr",""),"may",""),"jun",""),"jul",""),"aug",""),"sep",""),"oct",""),"nov",""),"dec",""),"utc",""),"gmt",""),"myt",""),"bst",""),"rev",""),"ver",""),"b","a"),"c","a"),"d","a"),"e","a"),"f","a"),"g","a"),"h","a"),"i","a"),"j","a"),"k","a"),"l","a"),"m","a"),"n","a"),"o","a"),"p","a"),"q","a"),"r","a"),"s","a"),"t","a"),"u","a"),"v","a"),"w","a"),"x","a"),"y","a"),"z","a")</f>
        <v/>
      </c>
      <c r="CB6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637&amp;""),"a",""),"b",""),"c",""),"d",""),"e",""),"f",""),"g",""),"h",""),"i",""),"j",""),"k",""),"l",""),"m",""),"n",""),"o",""),"p",""),"q",""),"r",""),"s",""),"t",""),"u",""),"v",""),"w",""),"x",""),"y",""),"z",""),"-",""),"_",""),"/",""),".",""),"#",""),"\\",""),":","")," ",""),"(",""),")","")</f>
        <v/>
      </c>
      <c r="CC637" s="0" t="str">
        <f aca="false">" "&amp;TRIM(SUBSTITUTE(SUBSTITUTE(SUBSTITUTE(SUBSTITUTE(SUBSTITUTE(SUBSTITUTE(SUBSTITUTE(SUBSTITUTE(SUBSTITUTE(SUBSTITUTE(SUBSTITUTE(SUBSTITUTE(SUBSTITUTE(SUBSTITUTE(SUBSTITUTE(SUBSTITUTE(SUBSTITUTE(SUBSTITUTE(SUBSTITUTE(SUBSTITUTE(SUBSTITUTE(SUBSTITUTE(SUBSTITUTE(SUBSTITUTE(LOWER(T637&amp;""),CHAR(10)," "),CHAR(13)," "),CHAR(9)," "),CHAR(160)," "),"."," "),","," "),"-"," "),"/"," "),"("," "),")"," "),":"," "),";"," "),"_"," "),"–"," "),"?"," "),"!"," "),"*"," "),"["," "),"]"," "),"'"," "),"#"," "),"+"," "),"&amp;"," "),"\"," "))&amp;" "</f>
        <v>  </v>
      </c>
      <c r="CD637" s="0" t="str">
        <f aca="false">" "&amp;TRIM(SUBSTITUTE(SUBSTITUTE(SUBSTITUTE(SUBSTITUTE(SUBSTITUTE(SUBSTITUTE(SUBSTITUTE(SUBSTITUTE(SUBSTITUTE(SUBSTITUTE(SUBSTITUTE(SUBSTITUTE(SUBSTITUTE(SUBSTITUTE(SUBSTITUTE(SUBSTITUTE(SUBSTITUTE(SUBSTITUTE(SUBSTITUTE(SUBSTITUTE(SUBSTITUTE(SUBSTITUTE(SUBSTITUTE(SUBSTITUTE(LOWER(AE637&amp;""),CHAR(10)," "),CHAR(13)," "),CHAR(9)," "),CHAR(160)," "),"."," "),","," "),"-"," "),"/"," "),"("," "),")"," "),":"," "),";"," "),"_"," "),"–"," "),"?"," "),"!"," "),"*"," "),"["," "),"]"," "),"'"," "),"#"," "),"+"," "),"&amp;"," "),"\"," "))&amp;" "</f>
        <v>  </v>
      </c>
      <c r="CE637" s="68" t="n">
        <f aca="false">IFERROR(IF(AND(LEN(AU637)&gt;0,LEN(AU637)=LEN(AX637),OR(TRIM(MID(SUBSTITUTE(TRIM(CC637)," ",REPT(" ",60)),1,60))="",ISNUMBER(SEARCH(" "&amp;TRIM(MID(SUBSTITUTE(TRIM(CC637)," ",REPT(" ",60)),1,60))&amp;" ",CD637))),OR(TRIM(MID(SUBSTITUTE(TRIM(CC637)," ",REPT(" ",60)),61,60))="",ISNUMBER(SEARCH(" "&amp;TRIM(MID(SUBSTITUTE(TRIM(CC637)," ",REPT(" ",60)),61,60))&amp;" ",CD637))),OR(TRIM(MID(SUBSTITUTE(TRIM(CC637)," ",REPT(" ",60)),121,60))="",ISNUMBER(SEARCH(" "&amp;TRIM(MID(SUBSTITUTE(TRIM(CC637)," ",REPT(" ",60)),121,60))&amp;" ",CD637)))),1,0),0)</f>
        <v>0</v>
      </c>
      <c r="CG637" s="68" t="n">
        <f aca="false">IFERROR(LEN(SUBSTITUTE(BF637," ",""))-SUMPRODUCT((LEN(BF637)-LEN(SUBSTITUTE(BF637," "&amp;L_NAFiller&amp;" "," ")))/(LEN(L_NAFiller)+1)*LEN(L_NAFiller)),0)</f>
        <v>0</v>
      </c>
    </row>
    <row r="638" customFormat="false" ht="91.5" hidden="false" customHeight="true" outlineLevel="0" collapsed="false">
      <c r="A638" s="57" t="s">
        <v>1353</v>
      </c>
      <c r="B638" s="57" t="s">
        <v>301</v>
      </c>
      <c r="C638" s="57" t="str">
        <f aca="false">Flights!$F$23</f>
        <v>MH0053</v>
      </c>
      <c r="D638" s="58" t="n">
        <f aca="false">Flights!$D$23</f>
        <v>46324</v>
      </c>
      <c r="E638" s="57" t="str">
        <f aca="false">Flights!$G$23&amp;"-"&amp;Flights!$H$23</f>
        <v>KIX-KUL</v>
      </c>
      <c r="F638" s="57" t="str">
        <f aca="false">Flights!$K$23</f>
        <v>EY</v>
      </c>
      <c r="G638" s="57" t="s">
        <v>420</v>
      </c>
      <c r="H638" s="57" t="s">
        <v>378</v>
      </c>
      <c r="I638" s="57" t="s">
        <v>634</v>
      </c>
      <c r="J638" s="57" t="s">
        <v>635</v>
      </c>
      <c r="K638" s="67" t="s">
        <v>1310</v>
      </c>
      <c r="L638" s="67" t="s">
        <v>1311</v>
      </c>
      <c r="M638" s="67" t="s">
        <v>451</v>
      </c>
      <c r="N638" s="67" t="s">
        <v>444</v>
      </c>
      <c r="O638" s="67" t="s">
        <v>1354</v>
      </c>
      <c r="P638" s="57" t="s">
        <v>295</v>
      </c>
      <c r="Q638" s="59" t="n">
        <f aca="false">ROUND((Flights!$AE$23)*1440,0)/1440</f>
        <v>46323.5277777778</v>
      </c>
      <c r="R638" s="59" t="n">
        <f aca="false">Q638+(IF(AND(INDEX(TZ_DSTS,MATCH(P638,TZ_STN,0))&lt;&gt;"",Q638&gt;=INDEX(TZ_DSTS,MATCH(P638,TZ_STN,0)),Q638&lt;INDEX(TZ_DSTE,MATCH(P638,TZ_STN,0))),INDEX(TZ_DST,MATCH(P638,TZ_STN,0)),INDEX(TZ_STD,MATCH(P638,TZ_STN,0))))/24</f>
        <v>46323.9027777778</v>
      </c>
      <c r="S638" s="60"/>
      <c r="T638" s="60"/>
      <c r="U638" s="60"/>
      <c r="V638" s="60"/>
      <c r="W638" s="61"/>
      <c r="X638" s="60"/>
      <c r="Y638" s="60"/>
      <c r="Z638" s="60"/>
      <c r="AA638" s="60"/>
      <c r="AB638" s="60"/>
      <c r="AC638" s="60"/>
      <c r="AD638" s="66"/>
      <c r="AE638" s="60"/>
      <c r="AF638" s="61" t="str">
        <f aca="false">IF(AND(ISNUMBER(X638),ISNUMBER(Y638)),Y638-X638,"")</f>
        <v/>
      </c>
      <c r="AG638" s="62" t="str">
        <f aca="false">IF(ISNUMBER(AD638),AD638-(IF(AND(INDEX(TZ_DSTS,MATCH(P638,TZ_STN,0))&lt;&gt;"",(AD638-INDEX(TZ_STD,MATCH(P638,TZ_STN,0))/24)&gt;=INDEX(TZ_DSTS,MATCH(P638,TZ_STN,0)),(AD638-INDEX(TZ_STD,MATCH(P638,TZ_STN,0))/24)&lt;INDEX(TZ_DSTE,MATCH(P638,TZ_STN,0))),INDEX(TZ_DST,MATCH(P638,TZ_STN,0)),INDEX(TZ_STD,MATCH(P638,TZ_STN,0))))/24,"")</f>
        <v/>
      </c>
      <c r="AH638" s="65" t="str">
        <f aca="false">IFERROR(IF(N638="N/A – rule",IF(OR(TRIM(U638)="",TRIM(U638)="N/A",TRIM(U638)="Not started"),"N/A – RULE","INVALID – this check does not apply to this aircraft: clear the status (or correct the fleet on Flights)"),IF(TRIM(U638)="N/A",IF(AT638=0,"INVALID – N/A not permitted for this check",IF(AND(TRIM(AB638)&lt;&gt;"",TRIM(AB638)&lt;&gt;"Closed"),"INVALID – corrective action still open",IF(AND(NOT(OR(LEN(AZ638)&lt;15,ISNUMBER(MATCH(AZ638,L_Placeholder,0)))),BK638=0,CG638&gt;=8,NOT(OR(LEN(AU638)&lt;2,ISNUMBER(MATCH(AU638,L_Placeholder,0)))),BR638&gt;=3,NOT(OR(LEN(AX638)&lt;2,ISNUMBER(MATCH(AX638,L_Placeholder,0)))),BS638&gt;=3,TRIM(AE638)&lt;&gt;TRIM(T638),AX638&lt;&gt;AU638,CE638=0),"N/A – JUSTIFIED","INVALID – N/A needs a real, settled reason (not 'not applicable' / 'as above' / TBC), a named PIC and a different named verifier"))),IF(OR(TRIM(U638)="Pass",TRIM(U638)="Pass after CA"),IF(NOT(ISNUMBER(AD638)),"INVALID – completion time missing",IF(OR(OR(LEN(AU638)&lt;2,ISNUMBER(MATCH(AU638,L_Placeholder,0))),BR638&lt;3),"INVALID – PIC missing or not a named person (a role such as QA / CSM is not a name)",IF(OR(LEN(AV638)&lt;2,ISNUMBER(MATCH(AV638,L_Placeholder,0))),"INVALID – result / assessment missing",IF(OR(OR(LEN(AW638)&lt;3,ISNUMBER(MATCH(AW638,L_Placeholder,0))),SUMPRODUCT(--ISNUMBER(SEARCH(" "&amp;L_EvidencePhrase&amp;" ",BD638)))&gt;0,BI638=1),"INVALID – evidence missing, placeholder or not yet on file",IF(ISNA(MATCH(TRIM(S638),L_EvidenceType,0)),"INVALID – choose the evidence type from the list (column S)",IF(BL638=0,"INVALID – evidence ID must be the record's own ID only (e.g. SF-2210, IMG_2231, 1045521); a link / file name needs type 'Link / file path'",IF(OR(OR(LEN(AX638)&lt;2,ISNUMBER(MATCH(AX638,L_Placeholder,0))),BS638&lt;3),"INVALID – verifier missing or not a named person (a role such as QA / CSM is not a name)",IF(OR(AX638=AU638,CE638=1,AND(LEN(AU638)&gt;=4,ISNUMBER(SEARCH(AU638,AX638))),AND(LEN(AX638)&gt;=4,ISNUMBER(SEARCH(AX638,AU638)))),"INVALID – verifier must be a different, named person (not the PIC or a role)",IF(BH638=1,"INVALID – result not yet available (awaiting / TBC)",IF(BG638=1,"INVALID – result describes a problem: record Fail, then Pass after CA (or reword if it is not a problem)",IF(BV638=1,"INVALID – wording says not on board: an on-board confirmation needs the item loaded",IF(AND(AQ638=1,OR(OR(LEN(AY638)&lt;3,ISNUMBER(MATCH(AY638,L_Placeholder,0))),BJ638=1,BQ638=0)),"INVALID – batch ID missing, placeholder or not an ID (e.g. PASB-261008-BC-017)",IF(AND(AR638=1,OR(NOT(ISNUMBER(X638)),NOT(ISNUMBER(Y638)))),"INVALID – expected/actual qty missing",IF(AND(AR638=1,OR(X638&lt;=0,Y638&lt;0)),"INVALID – expected qty must be above 0 and actual not negative",IF(BB638&lt;&gt;"",BB638,IF(AND(AS638=1,Documents!$J$23&lt;&gt;"ON FILE"),"INVALID – GLD not on file (Documents sheet)",IF(AND(AS638=2,Documents!$O$23&lt;&gt;"ON FILE"),"INVALID – menu checklist not on file (Documents sheet)",IF(AND(AS638=3,NOT(ISNUMBER(Flights!$AX$23))),"INVALID – enter carrying flight KUL departure (Flights AX)",IF(AND(AS638=3,OR(Flights!$AZ$23&gt;Flights!$AA$23,Flights!$AX$23&lt;Flights!$AA$23-3)),"INVALID – carrying flight (Flights AX) cannot arrive before this leg's STD, or is over 3 days early",IF(AG638&gt;AsOfUTC,"INVALID – completion time is in the future",IF(AND(ISNUMBER(BY638),AG638&lt;BY638),IF(H638="Physical uplift","INVALID – before uplift window (cannot confirm loading)","INVALID – before valid window"),IF(AG638&gt;Flights!$AA$23,"INVALID – completed after departure (cannot establish readiness)",IF(AND(H638="Preparation",AG638&gt;=IF(ISNUMBER(Flights!$BA$23),MIN(Flights!$BA$23,Flights!$AA$23),Flights!$AA$23)),"INVALID – completed after loading / departure (cannot establish readiness)",IF(AND(H638="Physical uplift",AG638&gt;Q638),"INVALID – recorded after the loading flight departed",IF(AG638&gt;Q638,"COMPLETE – LATE","COMPLETE"))))))))))))))))))))))))),IF(TRIM(U638)="Fail","FAIL – DISCREPANCY",IF(AND(TRIM(U638)&lt;&gt;"",TRIM(U638)&lt;&gt;"Not started",TRIM(U638)&lt;&gt;"In progress"),"INVALID – unrecognised status (use the list)",IF(AsOfUTC&gt;Q638,"OVERDUE",IF(N638="Clarification required","OPEN – CLARIFICATION","OPEN"))))))),"INVALID – error value in an input cell")</f>
        <v>OPEN – CLARIFICATION</v>
      </c>
      <c r="AI638" s="61" t="n">
        <f aca="false">IF(OR(AH638="N/A – RULE",AH638="N/A – JUSTIFIED"),0,1)</f>
        <v>1</v>
      </c>
      <c r="AJ638" s="61" t="n">
        <f aca="false">IF(LEFT(AH638,8)="COMPLETE",1,0)</f>
        <v>0</v>
      </c>
      <c r="AK638" s="61" t="n">
        <f aca="false">IF(AND(AI638=1,AJ638=0,AsOfUTC&gt;Q638),1,0)</f>
        <v>0</v>
      </c>
      <c r="AL638" s="61" t="n">
        <f aca="false">IFERROR(IF(AND(AI638=1,OR(TRIM(U638)="Fail",AND(TRIM(AB638)&lt;&gt;"",TRIM(AB638)&lt;&gt;"Closed"),AND(ISNUMBER(AF638),AF638&lt;&gt;0,TRIM(U638)&lt;&gt;"Pass after CA"))),1,0),1)</f>
        <v>0</v>
      </c>
      <c r="AM638" s="61" t="n">
        <f aca="false">IF(LEFT(AH638,7)="INVALID",1,0)</f>
        <v>0</v>
      </c>
      <c r="AN638" s="61" t="n">
        <f aca="false">IF(AND(N638="Clarification required",AI638=1,AJ638=0),1,0)</f>
        <v>1</v>
      </c>
      <c r="AO638" s="61" t="str">
        <f aca="false">IF(AK638=1,SUM(AK$5:AK638),"")</f>
        <v/>
      </c>
      <c r="AP638" s="61" t="str">
        <f aca="false">IF(AL638=1,SUM(AL$5:AL638),"")</f>
        <v/>
      </c>
      <c r="AQ638" s="61" t="n">
        <v>0</v>
      </c>
      <c r="AR638" s="61" t="n">
        <v>0</v>
      </c>
      <c r="AS638" s="61" t="n">
        <v>0</v>
      </c>
      <c r="AT638" s="61" t="n">
        <v>1</v>
      </c>
      <c r="AU638" s="61" t="str">
        <f aca="false">SUBSTITUTE(SUBSTITUTE(SUBSTITUTE(SUBSTITUTE(SUBSTITUTE(SUBSTITUTE(SUBSTITUTE(SUBSTITUTE(SUBSTITUTE(SUBSTITUTE(SUBSTITUTE(SUBSTITUTE(SUBSTITUTE(SUBSTITUTE(SUBSTITUTE(SUBSTITUTE(LOWER(T638&amp;""),CHAR(10),""),CHAR(13),""),CHAR(9),""),CHAR(160),"")," ",""),".",""),"-",""),"/",""),"?",""),"_",""),",",""),"[",""),"]",""),"(",""),")",""),"*","")</f>
        <v/>
      </c>
      <c r="AV638" s="61" t="str">
        <f aca="false">SUBSTITUTE(SUBSTITUTE(SUBSTITUTE(SUBSTITUTE(SUBSTITUTE(SUBSTITUTE(SUBSTITUTE(SUBSTITUTE(SUBSTITUTE(SUBSTITUTE(SUBSTITUTE(SUBSTITUTE(SUBSTITUTE(SUBSTITUTE(SUBSTITUTE(SUBSTITUTE(LOWER(V638&amp;""),CHAR(10),""),CHAR(13),""),CHAR(9),""),CHAR(160),"")," ",""),".",""),"-",""),"/",""),"?",""),"_",""),",",""),"[",""),"]",""),"(",""),")",""),"*","")</f>
        <v/>
      </c>
      <c r="AW638" s="61" t="str">
        <f aca="false">SUBSTITUTE(SUBSTITUTE(SUBSTITUTE(SUBSTITUTE(SUBSTITUTE(SUBSTITUTE(SUBSTITUTE(SUBSTITUTE(SUBSTITUTE(SUBSTITUTE(SUBSTITUTE(SUBSTITUTE(SUBSTITUTE(SUBSTITUTE(SUBSTITUTE(SUBSTITUTE(LOWER(Z638&amp;""),CHAR(10),""),CHAR(13),""),CHAR(9),""),CHAR(160),"")," ",""),".",""),"-",""),"/",""),"?",""),"_",""),",",""),"[",""),"]",""),"(",""),")",""),"*","")</f>
        <v/>
      </c>
      <c r="AX638" s="61" t="str">
        <f aca="false">SUBSTITUTE(SUBSTITUTE(SUBSTITUTE(SUBSTITUTE(SUBSTITUTE(SUBSTITUTE(SUBSTITUTE(SUBSTITUTE(SUBSTITUTE(SUBSTITUTE(SUBSTITUTE(SUBSTITUTE(SUBSTITUTE(SUBSTITUTE(SUBSTITUTE(SUBSTITUTE(LOWER(AE638&amp;""),CHAR(10),""),CHAR(13),""),CHAR(9),""),CHAR(160),"")," ",""),".",""),"-",""),"/",""),"?",""),"_",""),",",""),"[",""),"]",""),"(",""),")",""),"*","")</f>
        <v/>
      </c>
      <c r="AY638" s="61" t="str">
        <f aca="false">SUBSTITUTE(SUBSTITUTE(SUBSTITUTE(SUBSTITUTE(SUBSTITUTE(SUBSTITUTE(SUBSTITUTE(SUBSTITUTE(SUBSTITUTE(SUBSTITUTE(SUBSTITUTE(SUBSTITUTE(SUBSTITUTE(SUBSTITUTE(SUBSTITUTE(SUBSTITUTE(LOWER(W638&amp;""),CHAR(10),""),CHAR(13),""),CHAR(9),""),CHAR(160),"")," ",""),".",""),"-",""),"/",""),"?",""),"_",""),",",""),"[",""),"]",""),"(",""),")",""),"*","")</f>
        <v/>
      </c>
      <c r="AZ638" s="61" t="str">
        <f aca="false">SUBSTITUTE(SUBSTITUTE(SUBSTITUTE(SUBSTITUTE(SUBSTITUTE(SUBSTITUTE(SUBSTITUTE(SUBSTITUTE(SUBSTITUTE(SUBSTITUTE(SUBSTITUTE(SUBSTITUTE(SUBSTITUTE(SUBSTITUTE(SUBSTITUTE(SUBSTITUTE(LOWER(AC638&amp;""),CHAR(10),""),CHAR(13),""),CHAR(9),""),CHAR(160),"")," ",""),".",""),"-",""),"/",""),"?",""),"_",""),",",""),"[",""),"]",""),"(",""),")",""),"*","")</f>
        <v/>
      </c>
      <c r="BA638" s="61" t="str">
        <f aca="false">SUBSTITUTE(SUBSTITUTE(SUBSTITUTE(SUBSTITUTE(SUBSTITUTE(SUBSTITUTE(SUBSTITUTE(SUBSTITUTE(SUBSTITUTE(SUBSTITUTE(SUBSTITUTE(SUBSTITUTE(SUBSTITUTE(SUBSTITUTE(SUBSTITUTE(SUBSTITUTE(LOWER(AA638&amp;""),CHAR(10),""),CHAR(13),""),CHAR(9),""),CHAR(160),"")," ",""),".",""),"-",""),"/",""),"?",""),"_",""),",",""),"[",""),"]",""),"(",""),")",""),"*","")</f>
        <v/>
      </c>
      <c r="BB638" s="61" t="str">
        <f aca="false">IF(AND(TRIM(U638)="Pass",ISNUMBER(AF638)),IF(AF638&lt;&gt;0,"INVALID – qty variance: use Fail or Pass after CA",""),"")&amp;IF(AND(TRIM(U638)="Pass after CA",ISNUMBER(AF638)),IF(AF638&lt;&gt;0,"INVALID – after the corrective action the actual qty must equal expected (update Actual)",""),"")&amp;IF(AND(TRIM(U638)="Pass",TRIM(AB638)&lt;&gt;"",TRIM(AB638)&lt;&gt;"Closed"),"INVALID – corrective action not closed: use Fail, then Pass after CA","")&amp;IF(AND(LEN(BA638)&gt;=2,ISNA(MATCH(LEFT(BA638,255),L_Placeholder,0)),TRIM(AB638)=""),"INVALID – CA status missing for the recorded corrective action","")&amp;IF(AND(TRIM(U638)="Pass after CA",OR(OR(LEN(BA638)&lt;5,ISNUMBER(MATCH(BA638,L_Placeholder,0))),TRIM(AB638)&lt;&gt;"Closed")),"INVALID – corrective action not recorded/closed","")</f>
        <v/>
      </c>
      <c r="BC638" s="61" t="str">
        <f aca="false">" "&amp;TRIM(SUBSTITUTE(SUBSTITUTE(SUBSTITUTE(SUBSTITUTE(SUBSTITUTE(SUBSTITUTE(SUBSTITUTE(SUBSTITUTE(SUBSTITUTE(SUBSTITUTE(SUBSTITUTE(SUBSTITUTE(SUBSTITUTE(SUBSTITUTE(SUBSTITUTE(SUBSTITUTE(SUBSTITUTE(SUBSTITUTE(SUBSTITUTE(SUBSTITUTE(SUBSTITUTE(SUBSTITUTE(SUBSTITUTE(SUBSTITUTE(LOWER(V638&amp;""),CHAR(10)," "),CHAR(13)," "),CHAR(9)," "),CHAR(160)," "),"."," "),","," "),"-"," "),"/"," "),"("," "),")"," "),":"," "),";"," "),"_"," "),"–"," "),"?"," "),"!"," "),"*"," "),"["," "),"]"," "),"'"," "),"#"," "),"+"," "),"&amp;"," "),"\"," "))&amp;" "</f>
        <v>  </v>
      </c>
      <c r="BD638" s="61" t="str">
        <f aca="false">" "&amp;TRIM(SUBSTITUTE(SUBSTITUTE(SUBSTITUTE(SUBSTITUTE(SUBSTITUTE(SUBSTITUTE(SUBSTITUTE(SUBSTITUTE(SUBSTITUTE(SUBSTITUTE(SUBSTITUTE(SUBSTITUTE(SUBSTITUTE(SUBSTITUTE(SUBSTITUTE(SUBSTITUTE(SUBSTITUTE(SUBSTITUTE(SUBSTITUTE(SUBSTITUTE(SUBSTITUTE(SUBSTITUTE(SUBSTITUTE(SUBSTITUTE(LOWER(Z638&amp;""),CHAR(10)," "),CHAR(13)," "),CHAR(9)," "),CHAR(160)," "),"."," "),","," "),"-"," "),"/"," "),"("," "),")"," "),":"," "),";"," "),"_"," "),"–"," "),"?"," "),"!"," "),"*"," "),"["," "),"]"," "),"'"," "),"#"," "),"+"," "),"&amp;"," "),"\"," "))&amp;" "</f>
        <v>  </v>
      </c>
      <c r="BE638" s="61" t="str">
        <f aca="false">" "&amp;TRIM(SUBSTITUTE(SUBSTITUTE(SUBSTITUTE(SUBSTITUTE(SUBSTITUTE(SUBSTITUTE(SUBSTITUTE(SUBSTITUTE(SUBSTITUTE(SUBSTITUTE(SUBSTITUTE(SUBSTITUTE(SUBSTITUTE(SUBSTITUTE(SUBSTITUTE(SUBSTITUTE(SUBSTITUTE(SUBSTITUTE(SUBSTITUTE(SUBSTITUTE(SUBSTITUTE(SUBSTITUTE(SUBSTITUTE(SUBSTITUTE(LOWER(W638&amp;""),CHAR(10)," "),CHAR(13)," "),CHAR(9)," "),CHAR(160)," "),"."," "),","," "),"-"," "),"/"," "),"("," "),")"," "),":"," "),";"," "),"_"," "),"–"," "),"?"," "),"!"," "),"*"," "),"["," "),"]"," "),"'"," "),"#"," "),"+"," "),"&amp;"," "),"\"," "))&amp;" "</f>
        <v>  </v>
      </c>
      <c r="BF638" s="61" t="str">
        <f aca="false">" "&amp;TRIM(SUBSTITUTE(SUBSTITUTE(SUBSTITUTE(SUBSTITUTE(SUBSTITUTE(SUBSTITUTE(SUBSTITUTE(SUBSTITUTE(SUBSTITUTE(SUBSTITUTE(SUBSTITUTE(SUBSTITUTE(SUBSTITUTE(SUBSTITUTE(SUBSTITUTE(SUBSTITUTE(SUBSTITUTE(SUBSTITUTE(SUBSTITUTE(SUBSTITUTE(SUBSTITUTE(SUBSTITUTE(SUBSTITUTE(SUBSTITUTE(LOWER(AC638&amp;""),CHAR(10)," "),CHAR(13)," "),CHAR(9)," "),CHAR(160)," "),"."," "),","," "),"-"," "),"/"," "),"("," "),")"," "),":"," "),";"," "),"_"," "),"–"," "),"?"," "),"!"," "),"*"," "),"["," "),"]"," "),"'"," "),"#"," "),"+"," "),"&amp;"," "),"\"," "))&amp;" "</f>
        <v>  </v>
      </c>
      <c r="BG638" s="61" t="n">
        <f aca="false">IFERROR(IF(AND(TRIM(U638)="Pass",SUMPRODUCT((LEN(BC638)-LEN(SUBSTITUTE(BC638," "&amp;L_ResultBad&amp;" "," ")))/(LEN(L_ResultBad)+1))&gt;SUMPRODUCT((LEN(BC638)-LEN(SUBSTITUTE(BC638," "&amp;L_NegPhrase&amp;" "," ")))/(LEN(L_NegPhrase)+1))),1,0),0)</f>
        <v>0</v>
      </c>
      <c r="BH638" s="61" t="n">
        <f aca="false">IFERROR(IF(SUMPRODUCT((LEN(BC638)-LEN(SUBSTITUTE(BC638," "&amp;L_Pending&amp;" "," ")))/(LEN(L_Pending)+1))&gt;SUMPRODUCT((LEN(BC638)-LEN(SUBSTITUTE(BC638," "&amp;L_PendNeg&amp;" "," ")))/(LEN(L_PendNeg)+1))+SUMPRODUCT((LEN(BC638)-LEN(SUBSTITUTE(BC638," "&amp;L_PendPrep&amp;" "," ")))/(LEN(L_PendPrep)+1)),1,0),1)</f>
        <v>0</v>
      </c>
      <c r="BI638" s="61" t="n">
        <f aca="false">IFERROR(IF(SUMPRODUCT((LEN(BD638)-LEN(SUBSTITUTE(BD638," "&amp;L_PendStrict&amp;" "," ")))/(LEN(L_PendStrict)+1))&gt;SUMPRODUCT((LEN(BD638)-LEN(SUBSTITUTE(BD638," "&amp;L_PendNeg&amp;" "," ")))/(LEN(L_PendNeg)+1)),1,0),1)</f>
        <v>0</v>
      </c>
      <c r="BJ638" s="61" t="n">
        <f aca="false">IFERROR(IF(SUMPRODUCT((LEN(BE638)-LEN(SUBSTITUTE(BE638," "&amp;L_Pending&amp;" "," ")))/(LEN(L_Pending)+1))&gt;SUMPRODUCT((LEN(BE638)-LEN(SUBSTITUTE(BE638," "&amp;L_PendNeg&amp;" "," ")))/(LEN(L_PendNeg)+1))+SUMPRODUCT((LEN(BE638)-LEN(SUBSTITUTE(BE638," "&amp;L_PendPrep&amp;" "," ")))/(LEN(L_PendPrep)+1)),1,0),1)</f>
        <v>0</v>
      </c>
      <c r="BK638" s="61" t="n">
        <f aca="false">IFERROR(IF(SUMPRODUCT((LEN(BF638)-LEN(SUBSTITUTE(BF638," "&amp;L_PendStrict&amp;" "," ")))/(LEN(L_PendStrict)+1))&gt;SUMPRODUCT((LEN(BF638)-LEN(SUBSTITUTE(BF638," "&amp;L_PendNeg&amp;" "," ")))/(LEN(L_PendNeg)+1)),1,0),1)</f>
        <v>0</v>
      </c>
      <c r="BL638" s="61" t="n">
        <f aca="false">IF(ISNA(MATCH(TRIM(S638),L_EvidenceType,0)),0,BZ638)</f>
        <v>0</v>
      </c>
      <c r="BM638" s="61" t="str">
        <f aca="false">SUBSTITUTE(SUBSTITUTE(SUBSTITUTE(SUBSTITUTE(SUBSTITUTE(SUBSTITUTE(SUBSTITUTE(SUBSTITUTE(SUBSTITUTE(LOWER(Z638&amp;""),"1","0"),"2","0"),"3","0"),"4","0"),"5","0"),"6","0"),"7","0"),"8","0"),"9","0")</f>
        <v/>
      </c>
      <c r="BN638" s="61" t="str">
        <f aca="false">SUBSTITUTE(SUBSTITUTE(SUBSTITUTE(SUBSTITUTE(SUBSTITUTE(SUBSTITUTE(SUBSTITUTE(SUBSTITUTE(SUBSTITUTE(SUBSTITUTE(SUBSTITUTE(SUBSTITUTE(SUBSTITUTE(SUBSTITUTE(SUBSTITUTE(SUBSTITUTE(SUBSTITUTE(SUBSTITUTE(SUBSTITUTE(SUBSTITUTE(SUBSTITUTE(SUBSTITUTE(SUBSTITUTE(SUBSTITUTE(SUBSTITUTE(BM638,"b","a"),"c","a"),"d","a"),"e","a"),"f","a"),"g","a"),"h","a"),"i","a"),"j","a"),"k","a"),"l","a"),"m","a"),"n","a"),"o","a"),"p","a"),"q","a"),"r","a"),"s","a"),"t","a"),"u","a"),"v","a"),"w","a"),"x","a"),"y","a"),"z","a")</f>
        <v/>
      </c>
      <c r="BO638" s="61" t="str">
        <f aca="false">SUBSTITUTE(SUBSTITUTE(SUBSTITUTE(SUBSTITUTE(SUBSTITUTE(SUBSTITUTE(SUBSTITUTE(SUBSTITUTE(SUBSTITUTE(LOWER(W638&amp;""),"1","0"),"2","0"),"3","0"),"4","0"),"5","0"),"6","0"),"7","0"),"8","0"),"9","0")</f>
        <v/>
      </c>
      <c r="BP638" s="61" t="str">
        <f aca="false">SUBSTITUTE(SUBSTITUTE(SUBSTITUTE(SUBSTITUTE(SUBSTITUTE(SUBSTITUTE(SUBSTITUTE(SUBSTITUTE(SUBSTITUTE(SUBSTITUTE(SUBSTITUTE(SUBSTITUTE(SUBSTITUTE(SUBSTITUTE(SUBSTITUTE(SUBSTITUTE(SUBSTITUTE(SUBSTITUTE(SUBSTITUTE(SUBSTITUTE(SUBSTITUTE(SUBSTITUTE(SUBSTITUTE(SUBSTITUTE(SUBSTITUTE(BO638,"b","a"),"c","a"),"d","a"),"e","a"),"f","a"),"g","a"),"h","a"),"i","a"),"j","a"),"k","a"),"l","a"),"m","a"),"n","a"),"o","a"),"p","a"),"q","a"),"r","a"),"s","a"),"t","a"),"u","a"),"v","a"),"w","a"),"x","a"),"y","a"),"z","a")</f>
        <v/>
      </c>
      <c r="BQ638" s="61" t="n">
        <f aca="false">IFERROR(IF(AND(ISERROR(SEARCH(" mh"," "&amp;LOWER(W638))),ISNA(MATCH(LEFT(TRIM(BP638),255),{"0000a","000a","00a","0000aa","000aa","00aa","0aa","0000aaa","000aaa","00a00","0a00","0000-0000","00:00","a00","a0","00.00.0000","00/00/0000","00-00-0000","0000-00-00","0000/00/00","0000.00.00","00.00.00","00/00/00","00-00-00","0.00.0000","0/00/0000","0-00-0000"},0)),ISNA(MATCH(LEFT(TRIM(CA638),255),{"0000a","000a","00a","0000aa","000aa","00aa","0aa","0000aaa","000aaa","00a00","0a00","0000-0000","00:00","a00","a0","00.00.0000","00/00/0000","00-00-0000","0000-00-00","0000/00/00","0000.00.00","00.00.00","00/00/00","00-00-00","0.00.0000","0/00/0000","0-00-0000"},0)),LEN(CB638)&gt;=3,NOT(OR(SUBSTITUTE(CB638,"0","")="",AND(LEN(CB638)&gt;=4,CB638=REPT(LEFT(CB638),LEN(CB638))),ISNUMBER(MATCH(CB638,{"123","1234","12345","123456","1234567","12345678","0123","01234","012345","98765","987654","54321"},0)),AND(LEN(CB638)=8,LEFT(CB638,3)="202"))),OR(AND((LEN(CA638)-LEN(SUBSTITUTE(CA638,"a","")))&gt;=1,SUMPRODUCT(--ISNUMBER(SEARCH({"a0","a-0","a_0","a/0","a.0","a#0","0a","0-a","0_a","0/a"},BP638)))&gt;0),ISNUMBER(SEARCH("000000",BP638)))),1,0),0)</f>
        <v>0</v>
      </c>
      <c r="BR638" s="61" t="n">
        <f aca="false">IFERROR(LEN(SUBSTITUTE(CC638," ",""))-SUMPRODUCT((LEN(CC638)-LEN(SUBSTITUTE(CC638," "&amp;L_Role&amp;" "," ")))/(LEN(L_Role)+1)*LEN(L_Role)),0)</f>
        <v>0</v>
      </c>
      <c r="BS638" s="61" t="n">
        <f aca="false">IFERROR(LEN(SUBSTITUTE(CD638," ",""))-SUMPRODUCT((LEN(CD638)-LEN(SUBSTITUTE(CD638," "&amp;L_Role&amp;" "," ")))/(LEN(L_Role)+1)*LEN(L_Role)),0)</f>
        <v>0</v>
      </c>
      <c r="BT6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638,"revision",""),"version",""),"jan",""),"feb",""),"mar",""),"apr",""),"may",""),"jun",""),"jul",""),"aug",""),"sep",""),"oct",""),"nov",""),"dec",""),"utc",""),"gmt",""),"myt",""),"bst",""),"rev",""),"ver",""),"b","a"),"c","a"),"d","a"),"e","a"),"f","a"),"g","a"),"h","a"),"i","a"),"j","a"),"k","a"),"l","a"),"m","a"),"n","a"),"o","a"),"p","a"),"q","a"),"r","a"),"s","a"),"t","a"),"u","a"),"v","a"),"w","a"),"x","a"),"y","a"),"z","a")</f>
        <v/>
      </c>
      <c r="BU638" s="61" t="str">
        <f aca="false">SUBSTITUTE(SUBSTITUTE(SUBSTITUTE(SUBSTITUTE(SUBSTITUTE(SUBSTITUTE(SUBSTITUTE(SUBSTITUTE(SUBSTITUTE(SUBSTITUTE(LEFT(BM638,FIND("0",BM638&amp;"0")-1),"-",""),"_",""),"/",""),".",""),"#",""),"\\",""),":","")," ",""),"(",""),")","")</f>
        <v/>
      </c>
      <c r="BV638" s="61" t="n">
        <f aca="false">0</f>
        <v>0</v>
      </c>
      <c r="BW6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638&amp;""),"a",""),"b",""),"c",""),"d",""),"e",""),"f",""),"g",""),"h",""),"i",""),"j",""),"k",""),"l",""),"m",""),"n",""),"o",""),"p",""),"q",""),"r",""),"s",""),"t",""),"u",""),"v",""),"w",""),"x",""),"y",""),"z",""),"-",""),"_",""),"/",""),".",""),"#",""),"\\",""),":","")," ",""),"(",""),")","")</f>
        <v/>
      </c>
      <c r="BX638" s="61" t="str">
        <f aca="false">SUBSTITUTE(SUBSTITUTE(SUBSTITUTE(SUBSTITUTE(SUBSTITUTE(SUBSTITUTE(SUBSTITUTE(SUBSTITUTE(SUBSTITUTE(SUBSTITUTE(SUBSTITUTE(BM638,"0",""),"-",""),"_",""),"/",""),".",""),"#",""),"\\",""),":","")," ",""),"(",""),")","")</f>
        <v/>
      </c>
      <c r="BY638" s="62" t="n">
        <f aca="false">Q638-T12EarlyH/24</f>
        <v>46323.0277777778</v>
      </c>
      <c r="BZ638" s="61" t="n">
        <f aca="false">IFERROR(IF(IF(TRIM(S638)="Link / file path",AND(LEN(TRIM(Z638))&gt;=5,SUMPRODUCT(--ISNUMBER(SEARCH({"http","www.","\\",":\",".pdf",".jpg",".jpeg",".png",".heic",".xls",".doc",".msg",".eml",".ppt",".txt",".zip"},Z638)))&gt;0),AND(ISERROR(FIND(" ",TRIM(Z638))),NOT(OR(SUMPRODUCT(--ISNUMBER(FIND({",",";","&amp;","+"},Z638)))&gt;0,SUMPRODUCT(--ISNUMBER(SEARCH({"0/aa","0\\aa"},BN638)))&gt;0)),NOT(SUMPRODUCT(--ISNUMBER(SEARCH({"http","www.","\\",":\",".pdf",".jpg",".jpeg",".png",".heic",".xls",".doc",".msg",".eml",".ppt",".txt",".zip"},Z638)))&gt;0),NOT(LOWER(TRIM(Z638))=LOWER(Flights!$F$23)),ISNA(MATCH(BU638,{"mh","rev","revision","ver","version","v","r","a","b","seat","tray","row","gate","bay","stand","page","pg","item","line","no","cart","galley","flight","flt","table","box","bag","oven","etd","eta","std","sta","atd","ata","qty","pax","x","time","tel","ph","mob","day","wk","week","utc","gmt","myt","lt"},0)),NOT(OR(ISNUMBER(MATCH(LEFT(BN638,255),{"0000a","000a","00a","0000aa","000aa","00aa","0aa","0000aaa","000aaa","00a00","0a00","0000-0000","00:00","a00","a0","00.00.0000","00/00/0000","00-00-0000","0000-00-00","0000/00/00","0000.00.00","00.00.00","00/00/00","00-00-00","0.00.0000","0/00/0000","0-00-0000"},0)),ISNUMBER(MATCH(LEFT(BT638,255),{"0000a","000a","00a","0000aa","000aa","00aa","0aa","0000aaa","000aaa","00a00","0a00","0000-0000","00:00","a00","a0","00.00.0000","00/00/0000","00-00-0000","0000-00-00","0000/00/00","0000.00.00","00.00.00","00/00/00","00-00-00","0.00.0000","0/00/0000","0-00-0000"},0)))),NOT(OR(AND(BW638&lt;&gt;"",SUBSTITUTE(BW638,"0","")=""),AND(LEN(BW638)&gt;=4,BW638=REPT(LEFT(BW638),LEN(BW638))),ISNUMBER(MATCH(BW638,{"123","1234","12345","123456","1234567","12345678","0123","01234","012345","98765","987654","54321"},0)),ISNUMBER(MATCH(BX638,{"x","xx","xxx","xxxx","xxxxx","abc","abcd","nil","na","nan","test","tbc","tba","tbd","dummy","sample","example","eg","zz","zzz","none","null","xyz","qwe","asd","id","ref"},0)),AND(LEN(BW638)=8,BX638="",OR(LEFT(BW638,3)="202",ISNUMBER(MATCH(RIGHT(BW638,4),{"2025","2026","2027"},0)))))),OR(AND((LEN(BT638)-LEN(SUBSTITUTE(BT638,"a","")))&gt;=1,(LEN(BN638)-LEN(SUBSTITUTE(BN638,"0","")))&gt;=2,SUMPRODUCT(--ISNUMBER(SEARCH({"a0","a-0","a_0","a/0","a.0","a#0","0a","0-a","0_a","0/a"},BN638)))&gt;0),AND((LEN(BN638)-LEN(SUBSTITUTE(BN638,"a","")))=0,(LEN(BN638)-LEN(SUBSTITUTE(BN638,"0","")))&gt;=5)))),1,0),0)</f>
        <v>0</v>
      </c>
      <c r="CA6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638,"revision",""),"version",""),"jan",""),"feb",""),"mar",""),"apr",""),"may",""),"jun",""),"jul",""),"aug",""),"sep",""),"oct",""),"nov",""),"dec",""),"utc",""),"gmt",""),"myt",""),"bst",""),"rev",""),"ver",""),"b","a"),"c","a"),"d","a"),"e","a"),"f","a"),"g","a"),"h","a"),"i","a"),"j","a"),"k","a"),"l","a"),"m","a"),"n","a"),"o","a"),"p","a"),"q","a"),"r","a"),"s","a"),"t","a"),"u","a"),"v","a"),"w","a"),"x","a"),"y","a"),"z","a")</f>
        <v/>
      </c>
      <c r="CB6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638&amp;""),"a",""),"b",""),"c",""),"d",""),"e",""),"f",""),"g",""),"h",""),"i",""),"j",""),"k",""),"l",""),"m",""),"n",""),"o",""),"p",""),"q",""),"r",""),"s",""),"t",""),"u",""),"v",""),"w",""),"x",""),"y",""),"z",""),"-",""),"_",""),"/",""),".",""),"#",""),"\\",""),":","")," ",""),"(",""),")","")</f>
        <v/>
      </c>
      <c r="CC638" s="0" t="str">
        <f aca="false">" "&amp;TRIM(SUBSTITUTE(SUBSTITUTE(SUBSTITUTE(SUBSTITUTE(SUBSTITUTE(SUBSTITUTE(SUBSTITUTE(SUBSTITUTE(SUBSTITUTE(SUBSTITUTE(SUBSTITUTE(SUBSTITUTE(SUBSTITUTE(SUBSTITUTE(SUBSTITUTE(SUBSTITUTE(SUBSTITUTE(SUBSTITUTE(SUBSTITUTE(SUBSTITUTE(SUBSTITUTE(SUBSTITUTE(SUBSTITUTE(SUBSTITUTE(LOWER(T638&amp;""),CHAR(10)," "),CHAR(13)," "),CHAR(9)," "),CHAR(160)," "),"."," "),","," "),"-"," "),"/"," "),"("," "),")"," "),":"," "),";"," "),"_"," "),"–"," "),"?"," "),"!"," "),"*"," "),"["," "),"]"," "),"'"," "),"#"," "),"+"," "),"&amp;"," "),"\"," "))&amp;" "</f>
        <v>  </v>
      </c>
      <c r="CD638" s="0" t="str">
        <f aca="false">" "&amp;TRIM(SUBSTITUTE(SUBSTITUTE(SUBSTITUTE(SUBSTITUTE(SUBSTITUTE(SUBSTITUTE(SUBSTITUTE(SUBSTITUTE(SUBSTITUTE(SUBSTITUTE(SUBSTITUTE(SUBSTITUTE(SUBSTITUTE(SUBSTITUTE(SUBSTITUTE(SUBSTITUTE(SUBSTITUTE(SUBSTITUTE(SUBSTITUTE(SUBSTITUTE(SUBSTITUTE(SUBSTITUTE(SUBSTITUTE(SUBSTITUTE(LOWER(AE638&amp;""),CHAR(10)," "),CHAR(13)," "),CHAR(9)," "),CHAR(160)," "),"."," "),","," "),"-"," "),"/"," "),"("," "),")"," "),":"," "),";"," "),"_"," "),"–"," "),"?"," "),"!"," "),"*"," "),"["," "),"]"," "),"'"," "),"#"," "),"+"," "),"&amp;"," "),"\"," "))&amp;" "</f>
        <v>  </v>
      </c>
      <c r="CE638" s="68" t="n">
        <f aca="false">IFERROR(IF(AND(LEN(AU638)&gt;0,LEN(AU638)=LEN(AX638),OR(TRIM(MID(SUBSTITUTE(TRIM(CC638)," ",REPT(" ",60)),1,60))="",ISNUMBER(SEARCH(" "&amp;TRIM(MID(SUBSTITUTE(TRIM(CC638)," ",REPT(" ",60)),1,60))&amp;" ",CD638))),OR(TRIM(MID(SUBSTITUTE(TRIM(CC638)," ",REPT(" ",60)),61,60))="",ISNUMBER(SEARCH(" "&amp;TRIM(MID(SUBSTITUTE(TRIM(CC638)," ",REPT(" ",60)),61,60))&amp;" ",CD638))),OR(TRIM(MID(SUBSTITUTE(TRIM(CC638)," ",REPT(" ",60)),121,60))="",ISNUMBER(SEARCH(" "&amp;TRIM(MID(SUBSTITUTE(TRIM(CC638)," ",REPT(" ",60)),121,60))&amp;" ",CD638)))),1,0),0)</f>
        <v>0</v>
      </c>
      <c r="CG638" s="68" t="n">
        <f aca="false">IFERROR(LEN(SUBSTITUTE(BF638," ",""))-SUMPRODUCT((LEN(BF638)-LEN(SUBSTITUTE(BF638," "&amp;L_NAFiller&amp;" "," ")))/(LEN(L_NAFiller)+1)*LEN(L_NAFiller)),0)</f>
        <v>0</v>
      </c>
    </row>
    <row r="639" customFormat="false" ht="39.75" hidden="false" customHeight="true" outlineLevel="0" collapsed="false">
      <c r="A639" s="57" t="s">
        <v>1355</v>
      </c>
      <c r="B639" s="57" t="s">
        <v>301</v>
      </c>
      <c r="C639" s="57" t="str">
        <f aca="false">Flights!$F$23</f>
        <v>MH0053</v>
      </c>
      <c r="D639" s="58" t="n">
        <f aca="false">Flights!$D$23</f>
        <v>46324</v>
      </c>
      <c r="E639" s="57" t="str">
        <f aca="false">Flights!$G$23&amp;"-"&amp;Flights!$H$23</f>
        <v>KIX-KUL</v>
      </c>
      <c r="F639" s="57" t="str">
        <f aca="false">Flights!$K$23</f>
        <v>EY</v>
      </c>
      <c r="G639" s="57" t="s">
        <v>459</v>
      </c>
      <c r="H639" s="57" t="s">
        <v>460</v>
      </c>
      <c r="I639" s="57" t="s">
        <v>379</v>
      </c>
      <c r="J639" s="57" t="s">
        <v>461</v>
      </c>
      <c r="K639" s="67" t="s">
        <v>426</v>
      </c>
      <c r="L639" s="67" t="s">
        <v>462</v>
      </c>
      <c r="M639" s="67"/>
      <c r="N639" s="67" t="s">
        <v>383</v>
      </c>
      <c r="O639" s="67" t="s">
        <v>463</v>
      </c>
      <c r="P639" s="57" t="s">
        <v>295</v>
      </c>
      <c r="Q639" s="59" t="n">
        <f aca="false">ROUND((Flights!$AF$23)*1440,0)/1440</f>
        <v>46324.0277777778</v>
      </c>
      <c r="R639" s="59" t="n">
        <f aca="false">Q639+(IF(AND(INDEX(TZ_DSTS,MATCH(P639,TZ_STN,0))&lt;&gt;"",Q639&gt;=INDEX(TZ_DSTS,MATCH(P639,TZ_STN,0)),Q639&lt;INDEX(TZ_DSTE,MATCH(P639,TZ_STN,0))),INDEX(TZ_DST,MATCH(P639,TZ_STN,0)),INDEX(TZ_STD,MATCH(P639,TZ_STN,0))))/24</f>
        <v>46324.4027777778</v>
      </c>
      <c r="S639" s="60"/>
      <c r="T639" s="60"/>
      <c r="U639" s="60"/>
      <c r="V639" s="60"/>
      <c r="W639" s="61"/>
      <c r="X639" s="60"/>
      <c r="Y639" s="60"/>
      <c r="Z639" s="60"/>
      <c r="AA639" s="60"/>
      <c r="AB639" s="60"/>
      <c r="AC639" s="60"/>
      <c r="AD639" s="66"/>
      <c r="AE639" s="60"/>
      <c r="AF639" s="61" t="str">
        <f aca="false">IF(AND(ISNUMBER(X639),ISNUMBER(Y639)),Y639-X639,"")</f>
        <v/>
      </c>
      <c r="AG639" s="62" t="str">
        <f aca="false">IF(ISNUMBER(AD639),AD639-(IF(AND(INDEX(TZ_DSTS,MATCH(P639,TZ_STN,0))&lt;&gt;"",(AD639-INDEX(TZ_STD,MATCH(P639,TZ_STN,0))/24)&gt;=INDEX(TZ_DSTS,MATCH(P639,TZ_STN,0)),(AD639-INDEX(TZ_STD,MATCH(P639,TZ_STN,0))/24)&lt;INDEX(TZ_DSTE,MATCH(P639,TZ_STN,0))),INDEX(TZ_DST,MATCH(P639,TZ_STN,0)),INDEX(TZ_STD,MATCH(P639,TZ_STN,0))))/24,"")</f>
        <v/>
      </c>
      <c r="AH639" s="65" t="str">
        <f aca="false">IFERROR(IF(N639="N/A – rule",IF(OR(TRIM(U639)="",TRIM(U639)="N/A",TRIM(U639)="Not started"),"N/A – RULE","INVALID – this check does not apply to this aircraft: clear the status (or correct the fleet on Flights)"),IF(TRIM(U639)="N/A",IF(AT639=0,"INVALID – N/A not permitted for this check",IF(AND(TRIM(AB639)&lt;&gt;"",TRIM(AB639)&lt;&gt;"Closed"),"INVALID – corrective action still open",IF(AND(NOT(OR(LEN(AZ639)&lt;15,ISNUMBER(MATCH(AZ639,L_Placeholder,0)))),BK639=0,CG639&gt;=8,NOT(OR(LEN(AU639)&lt;2,ISNUMBER(MATCH(AU639,L_Placeholder,0)))),BR639&gt;=3,NOT(OR(LEN(AX639)&lt;2,ISNUMBER(MATCH(AX639,L_Placeholder,0)))),BS639&gt;=3,TRIM(AE639)&lt;&gt;TRIM(T639),AX639&lt;&gt;AU639,CE639=0),"N/A – JUSTIFIED","INVALID – N/A needs a real, settled reason (not 'not applicable' / 'as above' / TBC), a named PIC and a different named verifier"))),IF(OR(TRIM(U639)="Pass",TRIM(U639)="Pass after CA"),IF(NOT(ISNUMBER(AD639)),"INVALID – completion time missing",IF(OR(OR(LEN(AU639)&lt;2,ISNUMBER(MATCH(AU639,L_Placeholder,0))),BR639&lt;3),"INVALID – PIC missing or not a named person (a role such as QA / CSM is not a name)",IF(OR(LEN(AV639)&lt;2,ISNUMBER(MATCH(AV639,L_Placeholder,0))),"INVALID – result / assessment missing",IF(OR(OR(LEN(AW639)&lt;3,ISNUMBER(MATCH(AW639,L_Placeholder,0))),SUMPRODUCT(--ISNUMBER(SEARCH(" "&amp;L_EvidencePhrase&amp;" ",BD639)))&gt;0,BI639=1),"INVALID – evidence missing, placeholder or not yet on file",IF(ISNA(MATCH(TRIM(S639),L_EvidenceType,0)),"INVALID – choose the evidence type from the list (column S)",IF(BL639=0,"INVALID – evidence ID must be the record's own ID only (e.g. SF-2210, IMG_2231, 1045521); a link / file name needs type 'Link / file path'",IF(OR(OR(LEN(AX639)&lt;2,ISNUMBER(MATCH(AX639,L_Placeholder,0))),BS639&lt;3),"INVALID – verifier missing or not a named person (a role such as QA / CSM is not a name)",IF(OR(AX639=AU639,CE639=1,AND(LEN(AU639)&gt;=4,ISNUMBER(SEARCH(AU639,AX639))),AND(LEN(AX639)&gt;=4,ISNUMBER(SEARCH(AX639,AU639)))),"INVALID – verifier must be a different, named person (not the PIC or a role)",IF(BH639=1,"INVALID – result not yet available (awaiting / TBC)",IF(BG639=1,"INVALID – result describes a problem: record Fail, then Pass after CA (or reword if it is not a problem)",IF(BV639=1,"INVALID – wording says not on board: an on-board confirmation needs the item loaded",IF(AND(AQ639=1,OR(OR(LEN(AY639)&lt;3,ISNUMBER(MATCH(AY639,L_Placeholder,0))),BJ639=1,BQ639=0)),"INVALID – batch ID missing, placeholder or not an ID (e.g. PASB-261008-BC-017)",IF(AND(AR639=1,OR(NOT(ISNUMBER(X639)),NOT(ISNUMBER(Y639)))),"INVALID – expected/actual qty missing",IF(AND(AR639=1,OR(X639&lt;=0,Y639&lt;0)),"INVALID – expected qty must be above 0 and actual not negative",IF(AH630="N/A – JUSTIFIED","INVALID – preparation row F19-T12-02 is N/A",IF(AND(AR639=1,ISNUMBER(X630),X639&lt;&gt;X630,TRIM(U639)&lt;&gt;"Pass after CA"),"INVALID – expected qty differs from preparation check F19-T12-02: record the load change as a corrective action (Pass after CA)",IF(BB639&lt;&gt;"",BB639,IF(AND(AS639=1,Documents!$J$23&lt;&gt;"ON FILE"),"INVALID – GLD not on file (Documents sheet)",IF(AND(AS639=2,Documents!$O$23&lt;&gt;"ON FILE"),"INVALID – menu checklist not on file (Documents sheet)",IF(AND(AS639=3,NOT(ISNUMBER(Flights!$AX$23))),"INVALID – enter carrying flight KUL departure (Flights AX)",IF(AND(AS639=3,OR(Flights!$AZ$23&gt;Flights!$AA$23,Flights!$AX$23&lt;Flights!$AA$23-3)),"INVALID – carrying flight (Flights AX) cannot arrive before this leg's STD, or is over 3 days early",IF(AG639&gt;AsOfUTC,"INVALID – completion time is in the future",IF(AND(ISNUMBER(BY639),AG639&lt;BY639),IF(H639="Physical uplift","INVALID – before uplift window (cannot confirm loading)","INVALID – before valid window"),IF(AG639&gt;Flights!$AA$23,"INVALID – completed after departure (cannot establish readiness)",IF(AND(H639="Preparation",AG639&gt;=IF(ISNUMBER(Flights!$BA$23),MIN(Flights!$BA$23,Flights!$AA$23),Flights!$AA$23)),"INVALID – completed after loading / departure (cannot establish readiness)",IF(AND(H639="Physical uplift",AG639&gt;Q639),"INVALID – recorded after the loading flight departed",IF(AG639&gt;Q639,"COMPLETE – LATE","COMPLETE"))))))))))))))))))))))))))),IF(TRIM(U639)="Fail","FAIL – DISCREPANCY",IF(AND(TRIM(U639)&lt;&gt;"",TRIM(U639)&lt;&gt;"Not started",TRIM(U639)&lt;&gt;"In progress"),"INVALID – unrecognised status (use the list)",IF(AsOfUTC&gt;Q639,"OVERDUE",IF(N639="Clarification required","OPEN – CLARIFICATION","OPEN"))))))),"INVALID – error value in an input cell")</f>
        <v>OPEN</v>
      </c>
      <c r="AI639" s="61" t="n">
        <f aca="false">IF(OR(AH639="N/A – RULE",AH639="N/A – JUSTIFIED"),0,1)</f>
        <v>1</v>
      </c>
      <c r="AJ639" s="61" t="n">
        <f aca="false">IF(LEFT(AH639,8)="COMPLETE",1,0)</f>
        <v>0</v>
      </c>
      <c r="AK639" s="61" t="n">
        <f aca="false">IF(AND(AI639=1,AJ639=0,AsOfUTC&gt;Q639),1,0)</f>
        <v>0</v>
      </c>
      <c r="AL639" s="61" t="n">
        <f aca="false">IFERROR(IF(AND(AI639=1,OR(TRIM(U639)="Fail",AND(TRIM(AB639)&lt;&gt;"",TRIM(AB639)&lt;&gt;"Closed"),AND(ISNUMBER(AF639),AF639&lt;&gt;0,TRIM(U639)&lt;&gt;"Pass after CA"))),1,0),1)</f>
        <v>0</v>
      </c>
      <c r="AM639" s="61" t="n">
        <f aca="false">IF(LEFT(AH639,7)="INVALID",1,0)</f>
        <v>0</v>
      </c>
      <c r="AN639" s="61" t="n">
        <f aca="false">IF(AND(N639="Clarification required",AI639=1,AJ639=0),1,0)</f>
        <v>0</v>
      </c>
      <c r="AO639" s="61" t="str">
        <f aca="false">IF(AK639=1,SUM(AK$5:AK639),"")</f>
        <v/>
      </c>
      <c r="AP639" s="61" t="str">
        <f aca="false">IF(AL639=1,SUM(AL$5:AL639),"")</f>
        <v/>
      </c>
      <c r="AQ639" s="61" t="n">
        <v>0</v>
      </c>
      <c r="AR639" s="61" t="n">
        <v>1</v>
      </c>
      <c r="AS639" s="61" t="n">
        <v>0</v>
      </c>
      <c r="AT639" s="61" t="n">
        <v>0</v>
      </c>
      <c r="AU639" s="61" t="str">
        <f aca="false">SUBSTITUTE(SUBSTITUTE(SUBSTITUTE(SUBSTITUTE(SUBSTITUTE(SUBSTITUTE(SUBSTITUTE(SUBSTITUTE(SUBSTITUTE(SUBSTITUTE(SUBSTITUTE(SUBSTITUTE(SUBSTITUTE(SUBSTITUTE(SUBSTITUTE(SUBSTITUTE(LOWER(T639&amp;""),CHAR(10),""),CHAR(13),""),CHAR(9),""),CHAR(160),"")," ",""),".",""),"-",""),"/",""),"?",""),"_",""),",",""),"[",""),"]",""),"(",""),")",""),"*","")</f>
        <v/>
      </c>
      <c r="AV639" s="61" t="str">
        <f aca="false">SUBSTITUTE(SUBSTITUTE(SUBSTITUTE(SUBSTITUTE(SUBSTITUTE(SUBSTITUTE(SUBSTITUTE(SUBSTITUTE(SUBSTITUTE(SUBSTITUTE(SUBSTITUTE(SUBSTITUTE(SUBSTITUTE(SUBSTITUTE(SUBSTITUTE(SUBSTITUTE(LOWER(V639&amp;""),CHAR(10),""),CHAR(13),""),CHAR(9),""),CHAR(160),"")," ",""),".",""),"-",""),"/",""),"?",""),"_",""),",",""),"[",""),"]",""),"(",""),")",""),"*","")</f>
        <v/>
      </c>
      <c r="AW639" s="61" t="str">
        <f aca="false">SUBSTITUTE(SUBSTITUTE(SUBSTITUTE(SUBSTITUTE(SUBSTITUTE(SUBSTITUTE(SUBSTITUTE(SUBSTITUTE(SUBSTITUTE(SUBSTITUTE(SUBSTITUTE(SUBSTITUTE(SUBSTITUTE(SUBSTITUTE(SUBSTITUTE(SUBSTITUTE(LOWER(Z639&amp;""),CHAR(10),""),CHAR(13),""),CHAR(9),""),CHAR(160),"")," ",""),".",""),"-",""),"/",""),"?",""),"_",""),",",""),"[",""),"]",""),"(",""),")",""),"*","")</f>
        <v/>
      </c>
      <c r="AX639" s="61" t="str">
        <f aca="false">SUBSTITUTE(SUBSTITUTE(SUBSTITUTE(SUBSTITUTE(SUBSTITUTE(SUBSTITUTE(SUBSTITUTE(SUBSTITUTE(SUBSTITUTE(SUBSTITUTE(SUBSTITUTE(SUBSTITUTE(SUBSTITUTE(SUBSTITUTE(SUBSTITUTE(SUBSTITUTE(LOWER(AE639&amp;""),CHAR(10),""),CHAR(13),""),CHAR(9),""),CHAR(160),"")," ",""),".",""),"-",""),"/",""),"?",""),"_",""),",",""),"[",""),"]",""),"(",""),")",""),"*","")</f>
        <v/>
      </c>
      <c r="AY639" s="61" t="str">
        <f aca="false">SUBSTITUTE(SUBSTITUTE(SUBSTITUTE(SUBSTITUTE(SUBSTITUTE(SUBSTITUTE(SUBSTITUTE(SUBSTITUTE(SUBSTITUTE(SUBSTITUTE(SUBSTITUTE(SUBSTITUTE(SUBSTITUTE(SUBSTITUTE(SUBSTITUTE(SUBSTITUTE(LOWER(W639&amp;""),CHAR(10),""),CHAR(13),""),CHAR(9),""),CHAR(160),"")," ",""),".",""),"-",""),"/",""),"?",""),"_",""),",",""),"[",""),"]",""),"(",""),")",""),"*","")</f>
        <v/>
      </c>
      <c r="AZ639" s="61" t="str">
        <f aca="false">SUBSTITUTE(SUBSTITUTE(SUBSTITUTE(SUBSTITUTE(SUBSTITUTE(SUBSTITUTE(SUBSTITUTE(SUBSTITUTE(SUBSTITUTE(SUBSTITUTE(SUBSTITUTE(SUBSTITUTE(SUBSTITUTE(SUBSTITUTE(SUBSTITUTE(SUBSTITUTE(LOWER(AC639&amp;""),CHAR(10),""),CHAR(13),""),CHAR(9),""),CHAR(160),"")," ",""),".",""),"-",""),"/",""),"?",""),"_",""),",",""),"[",""),"]",""),"(",""),")",""),"*","")</f>
        <v/>
      </c>
      <c r="BA639" s="61" t="str">
        <f aca="false">SUBSTITUTE(SUBSTITUTE(SUBSTITUTE(SUBSTITUTE(SUBSTITUTE(SUBSTITUTE(SUBSTITUTE(SUBSTITUTE(SUBSTITUTE(SUBSTITUTE(SUBSTITUTE(SUBSTITUTE(SUBSTITUTE(SUBSTITUTE(SUBSTITUTE(SUBSTITUTE(LOWER(AA639&amp;""),CHAR(10),""),CHAR(13),""),CHAR(9),""),CHAR(160),"")," ",""),".",""),"-",""),"/",""),"?",""),"_",""),",",""),"[",""),"]",""),"(",""),")",""),"*","")</f>
        <v/>
      </c>
      <c r="BB639" s="61" t="str">
        <f aca="false">IF(AND(TRIM(U639)="Pass",ISNUMBER(AF639)),IF(AF639&lt;&gt;0,"INVALID – qty variance: use Fail or Pass after CA",""),"")&amp;IF(AND(TRIM(U639)="Pass after CA",ISNUMBER(AF639)),IF(AF639&lt;&gt;0,"INVALID – after the corrective action the actual qty must equal expected (update Actual)",""),"")&amp;IF(AND(TRIM(U639)="Pass",TRIM(AB639)&lt;&gt;"",TRIM(AB639)&lt;&gt;"Closed"),"INVALID – corrective action not closed: use Fail, then Pass after CA","")&amp;IF(AND(LEN(BA639)&gt;=2,ISNA(MATCH(LEFT(BA639,255),L_Placeholder,0)),TRIM(AB639)=""),"INVALID – CA status missing for the recorded corrective action","")&amp;IF(AND(TRIM(U639)="Pass after CA",OR(OR(LEN(BA639)&lt;5,ISNUMBER(MATCH(BA639,L_Placeholder,0))),TRIM(AB639)&lt;&gt;"Closed")),"INVALID – corrective action not recorded/closed","")</f>
        <v/>
      </c>
      <c r="BC639" s="61" t="str">
        <f aca="false">" "&amp;TRIM(SUBSTITUTE(SUBSTITUTE(SUBSTITUTE(SUBSTITUTE(SUBSTITUTE(SUBSTITUTE(SUBSTITUTE(SUBSTITUTE(SUBSTITUTE(SUBSTITUTE(SUBSTITUTE(SUBSTITUTE(SUBSTITUTE(SUBSTITUTE(SUBSTITUTE(SUBSTITUTE(SUBSTITUTE(SUBSTITUTE(SUBSTITUTE(SUBSTITUTE(SUBSTITUTE(SUBSTITUTE(SUBSTITUTE(SUBSTITUTE(LOWER(V639&amp;""),CHAR(10)," "),CHAR(13)," "),CHAR(9)," "),CHAR(160)," "),"."," "),","," "),"-"," "),"/"," "),"("," "),")"," "),":"," "),";"," "),"_"," "),"–"," "),"?"," "),"!"," "),"*"," "),"["," "),"]"," "),"'"," "),"#"," "),"+"," "),"&amp;"," "),"\"," "))&amp;" "</f>
        <v>  </v>
      </c>
      <c r="BD639" s="61" t="str">
        <f aca="false">" "&amp;TRIM(SUBSTITUTE(SUBSTITUTE(SUBSTITUTE(SUBSTITUTE(SUBSTITUTE(SUBSTITUTE(SUBSTITUTE(SUBSTITUTE(SUBSTITUTE(SUBSTITUTE(SUBSTITUTE(SUBSTITUTE(SUBSTITUTE(SUBSTITUTE(SUBSTITUTE(SUBSTITUTE(SUBSTITUTE(SUBSTITUTE(SUBSTITUTE(SUBSTITUTE(SUBSTITUTE(SUBSTITUTE(SUBSTITUTE(SUBSTITUTE(LOWER(Z639&amp;""),CHAR(10)," "),CHAR(13)," "),CHAR(9)," "),CHAR(160)," "),"."," "),","," "),"-"," "),"/"," "),"("," "),")"," "),":"," "),";"," "),"_"," "),"–"," "),"?"," "),"!"," "),"*"," "),"["," "),"]"," "),"'"," "),"#"," "),"+"," "),"&amp;"," "),"\"," "))&amp;" "</f>
        <v>  </v>
      </c>
      <c r="BE639" s="61" t="str">
        <f aca="false">" "&amp;TRIM(SUBSTITUTE(SUBSTITUTE(SUBSTITUTE(SUBSTITUTE(SUBSTITUTE(SUBSTITUTE(SUBSTITUTE(SUBSTITUTE(SUBSTITUTE(SUBSTITUTE(SUBSTITUTE(SUBSTITUTE(SUBSTITUTE(SUBSTITUTE(SUBSTITUTE(SUBSTITUTE(SUBSTITUTE(SUBSTITUTE(SUBSTITUTE(SUBSTITUTE(SUBSTITUTE(SUBSTITUTE(SUBSTITUTE(SUBSTITUTE(LOWER(W639&amp;""),CHAR(10)," "),CHAR(13)," "),CHAR(9)," "),CHAR(160)," "),"."," "),","," "),"-"," "),"/"," "),"("," "),")"," "),":"," "),";"," "),"_"," "),"–"," "),"?"," "),"!"," "),"*"," "),"["," "),"]"," "),"'"," "),"#"," "),"+"," "),"&amp;"," "),"\"," "))&amp;" "</f>
        <v>  </v>
      </c>
      <c r="BF639" s="61" t="str">
        <f aca="false">" "&amp;TRIM(SUBSTITUTE(SUBSTITUTE(SUBSTITUTE(SUBSTITUTE(SUBSTITUTE(SUBSTITUTE(SUBSTITUTE(SUBSTITUTE(SUBSTITUTE(SUBSTITUTE(SUBSTITUTE(SUBSTITUTE(SUBSTITUTE(SUBSTITUTE(SUBSTITUTE(SUBSTITUTE(SUBSTITUTE(SUBSTITUTE(SUBSTITUTE(SUBSTITUTE(SUBSTITUTE(SUBSTITUTE(SUBSTITUTE(SUBSTITUTE(LOWER(AC639&amp;""),CHAR(10)," "),CHAR(13)," "),CHAR(9)," "),CHAR(160)," "),"."," "),","," "),"-"," "),"/"," "),"("," "),")"," "),":"," "),";"," "),"_"," "),"–"," "),"?"," "),"!"," "),"*"," "),"["," "),"]"," "),"'"," "),"#"," "),"+"," "),"&amp;"," "),"\"," "))&amp;" "</f>
        <v>  </v>
      </c>
      <c r="BG639" s="61" t="n">
        <f aca="false">IFERROR(IF(AND(TRIM(U639)="Pass",SUMPRODUCT((LEN(BC639)-LEN(SUBSTITUTE(BC639," "&amp;L_ResultBad&amp;" "," ")))/(LEN(L_ResultBad)+1))&gt;SUMPRODUCT((LEN(BC639)-LEN(SUBSTITUTE(BC639," "&amp;L_NegPhrase&amp;" "," ")))/(LEN(L_NegPhrase)+1))),1,0),0)</f>
        <v>0</v>
      </c>
      <c r="BH639" s="61" t="n">
        <f aca="false">IFERROR(IF(SUMPRODUCT((LEN(BC639)-LEN(SUBSTITUTE(BC639," "&amp;L_Pending&amp;" "," ")))/(LEN(L_Pending)+1))&gt;SUMPRODUCT((LEN(BC639)-LEN(SUBSTITUTE(BC639," "&amp;L_PendNeg&amp;" "," ")))/(LEN(L_PendNeg)+1)),1,0),1)</f>
        <v>0</v>
      </c>
      <c r="BI639" s="61" t="n">
        <f aca="false">IFERROR(IF(SUMPRODUCT((LEN(BD639)-LEN(SUBSTITUTE(BD639," "&amp;L_PendStrict&amp;" "," ")))/(LEN(L_PendStrict)+1))&gt;SUMPRODUCT((LEN(BD639)-LEN(SUBSTITUTE(BD639," "&amp;L_PendNeg&amp;" "," ")))/(LEN(L_PendNeg)+1)),1,0),1)</f>
        <v>0</v>
      </c>
      <c r="BJ639" s="61" t="n">
        <f aca="false">IFERROR(IF(SUMPRODUCT((LEN(BE639)-LEN(SUBSTITUTE(BE639," "&amp;L_Pending&amp;" "," ")))/(LEN(L_Pending)+1))&gt;SUMPRODUCT((LEN(BE639)-LEN(SUBSTITUTE(BE639," "&amp;L_PendNeg&amp;" "," ")))/(LEN(L_PendNeg)+1)),1,0),1)</f>
        <v>0</v>
      </c>
      <c r="BK639" s="61" t="n">
        <f aca="false">IFERROR(IF(SUMPRODUCT((LEN(BF639)-LEN(SUBSTITUTE(BF639," "&amp;L_PendStrict&amp;" "," ")))/(LEN(L_PendStrict)+1))&gt;SUMPRODUCT((LEN(BF639)-LEN(SUBSTITUTE(BF639," "&amp;L_PendNeg&amp;" "," ")))/(LEN(L_PendNeg)+1)),1,0),1)</f>
        <v>0</v>
      </c>
      <c r="BL639" s="61" t="n">
        <f aca="false">IF(ISNA(MATCH(TRIM(S639),L_EvidenceType,0)),0,BZ639)</f>
        <v>0</v>
      </c>
      <c r="BM639" s="61" t="str">
        <f aca="false">SUBSTITUTE(SUBSTITUTE(SUBSTITUTE(SUBSTITUTE(SUBSTITUTE(SUBSTITUTE(SUBSTITUTE(SUBSTITUTE(SUBSTITUTE(LOWER(Z639&amp;""),"1","0"),"2","0"),"3","0"),"4","0"),"5","0"),"6","0"),"7","0"),"8","0"),"9","0")</f>
        <v/>
      </c>
      <c r="BN639" s="61" t="str">
        <f aca="false">SUBSTITUTE(SUBSTITUTE(SUBSTITUTE(SUBSTITUTE(SUBSTITUTE(SUBSTITUTE(SUBSTITUTE(SUBSTITUTE(SUBSTITUTE(SUBSTITUTE(SUBSTITUTE(SUBSTITUTE(SUBSTITUTE(SUBSTITUTE(SUBSTITUTE(SUBSTITUTE(SUBSTITUTE(SUBSTITUTE(SUBSTITUTE(SUBSTITUTE(SUBSTITUTE(SUBSTITUTE(SUBSTITUTE(SUBSTITUTE(SUBSTITUTE(BM639,"b","a"),"c","a"),"d","a"),"e","a"),"f","a"),"g","a"),"h","a"),"i","a"),"j","a"),"k","a"),"l","a"),"m","a"),"n","a"),"o","a"),"p","a"),"q","a"),"r","a"),"s","a"),"t","a"),"u","a"),"v","a"),"w","a"),"x","a"),"y","a"),"z","a")</f>
        <v/>
      </c>
      <c r="BO639" s="61" t="str">
        <f aca="false">SUBSTITUTE(SUBSTITUTE(SUBSTITUTE(SUBSTITUTE(SUBSTITUTE(SUBSTITUTE(SUBSTITUTE(SUBSTITUTE(SUBSTITUTE(LOWER(W639&amp;""),"1","0"),"2","0"),"3","0"),"4","0"),"5","0"),"6","0"),"7","0"),"8","0"),"9","0")</f>
        <v/>
      </c>
      <c r="BP639" s="61" t="str">
        <f aca="false">SUBSTITUTE(SUBSTITUTE(SUBSTITUTE(SUBSTITUTE(SUBSTITUTE(SUBSTITUTE(SUBSTITUTE(SUBSTITUTE(SUBSTITUTE(SUBSTITUTE(SUBSTITUTE(SUBSTITUTE(SUBSTITUTE(SUBSTITUTE(SUBSTITUTE(SUBSTITUTE(SUBSTITUTE(SUBSTITUTE(SUBSTITUTE(SUBSTITUTE(SUBSTITUTE(SUBSTITUTE(SUBSTITUTE(SUBSTITUTE(SUBSTITUTE(BO639,"b","a"),"c","a"),"d","a"),"e","a"),"f","a"),"g","a"),"h","a"),"i","a"),"j","a"),"k","a"),"l","a"),"m","a"),"n","a"),"o","a"),"p","a"),"q","a"),"r","a"),"s","a"),"t","a"),"u","a"),"v","a"),"w","a"),"x","a"),"y","a"),"z","a")</f>
        <v/>
      </c>
      <c r="BQ639" s="61" t="n">
        <f aca="false">IFERROR(IF(AND(ISERROR(SEARCH(" mh"," "&amp;LOWER(W639))),ISNA(MATCH(LEFT(TRIM(BP639),255),{"0000a","000a","00a","0000aa","000aa","00aa","0aa","0000aaa","000aaa","00a00","0a00","0000-0000","00:00","a00","a0","00.00.0000","00/00/0000","00-00-0000","0000-00-00","0000/00/00","0000.00.00","00.00.00","00/00/00","00-00-00","0.00.0000","0/00/0000","0-00-0000"},0)),ISNA(MATCH(LEFT(TRIM(CA639),255),{"0000a","000a","00a","0000aa","000aa","00aa","0aa","0000aaa","000aaa","00a00","0a00","0000-0000","00:00","a00","a0","00.00.0000","00/00/0000","00-00-0000","0000-00-00","0000/00/00","0000.00.00","00.00.00","00/00/00","00-00-00","0.00.0000","0/00/0000","0-00-0000"},0)),LEN(CB639)&gt;=3,NOT(OR(SUBSTITUTE(CB639,"0","")="",AND(LEN(CB639)&gt;=4,CB639=REPT(LEFT(CB639),LEN(CB639))),ISNUMBER(MATCH(CB639,{"123","1234","12345","123456","1234567","12345678","0123","01234","012345","98765","987654","54321"},0)),AND(LEN(CB639)=8,LEFT(CB639,3)="202"))),OR(AND((LEN(CA639)-LEN(SUBSTITUTE(CA639,"a","")))&gt;=1,SUMPRODUCT(--ISNUMBER(SEARCH({"a0","a-0","a_0","a/0","a.0","a#0","0a","0-a","0_a","0/a"},BP639)))&gt;0),ISNUMBER(SEARCH("000000",BP639)))),1,0),0)</f>
        <v>0</v>
      </c>
      <c r="BR639" s="61" t="n">
        <f aca="false">IFERROR(LEN(SUBSTITUTE(CC639," ",""))-SUMPRODUCT((LEN(CC639)-LEN(SUBSTITUTE(CC639," "&amp;L_Role&amp;" "," ")))/(LEN(L_Role)+1)*LEN(L_Role)),0)</f>
        <v>0</v>
      </c>
      <c r="BS639" s="61" t="n">
        <f aca="false">IFERROR(LEN(SUBSTITUTE(CD639," ",""))-SUMPRODUCT((LEN(CD639)-LEN(SUBSTITUTE(CD639," "&amp;L_Role&amp;" "," ")))/(LEN(L_Role)+1)*LEN(L_Role)),0)</f>
        <v>0</v>
      </c>
      <c r="BT6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639,"revision",""),"version",""),"jan",""),"feb",""),"mar",""),"apr",""),"may",""),"jun",""),"jul",""),"aug",""),"sep",""),"oct",""),"nov",""),"dec",""),"utc",""),"gmt",""),"myt",""),"bst",""),"rev",""),"ver",""),"b","a"),"c","a"),"d","a"),"e","a"),"f","a"),"g","a"),"h","a"),"i","a"),"j","a"),"k","a"),"l","a"),"m","a"),"n","a"),"o","a"),"p","a"),"q","a"),"r","a"),"s","a"),"t","a"),"u","a"),"v","a"),"w","a"),"x","a"),"y","a"),"z","a")</f>
        <v/>
      </c>
      <c r="BU639" s="61" t="str">
        <f aca="false">SUBSTITUTE(SUBSTITUTE(SUBSTITUTE(SUBSTITUTE(SUBSTITUTE(SUBSTITUTE(SUBSTITUTE(SUBSTITUTE(SUBSTITUTE(SUBSTITUTE(LEFT(BM639,FIND("0",BM639&amp;"0")-1),"-",""),"_",""),"/",""),".",""),"#",""),"\\",""),":","")," ",""),"(",""),")","")</f>
        <v/>
      </c>
      <c r="BV639" s="61" t="n">
        <f aca="false">IFERROR(IF(OR(SUMPRODUCT((LEN(BC639)-LEN(SUBSTITUTE(BC639," "&amp;L_NotLoaded&amp;" "," ")))/(LEN(L_NotLoaded)+1))&gt;SUMPRODUCT((LEN(BC639)-LEN(SUBSTITUTE(BC639," "&amp;L_NotLoadedNeg&amp;" "," ")))/(LEN(L_NotLoadedNeg)+1)),SUMPRODUCT((LEN(BD639)-LEN(SUBSTITUTE(BD639," "&amp;L_NotLoaded&amp;" "," ")))/(LEN(L_NotLoaded)+1))&gt;SUMPRODUCT((LEN(BD639)-LEN(SUBSTITUTE(BD639," "&amp;L_NotLoadedNeg&amp;" "," ")))/(LEN(L_NotLoadedNeg)+1))),1,0),0)</f>
        <v>0</v>
      </c>
      <c r="BW6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639&amp;""),"a",""),"b",""),"c",""),"d",""),"e",""),"f",""),"g",""),"h",""),"i",""),"j",""),"k",""),"l",""),"m",""),"n",""),"o",""),"p",""),"q",""),"r",""),"s",""),"t",""),"u",""),"v",""),"w",""),"x",""),"y",""),"z",""),"-",""),"_",""),"/",""),".",""),"#",""),"\\",""),":","")," ",""),"(",""),")","")</f>
        <v/>
      </c>
      <c r="BX639" s="61" t="str">
        <f aca="false">SUBSTITUTE(SUBSTITUTE(SUBSTITUTE(SUBSTITUTE(SUBSTITUTE(SUBSTITUTE(SUBSTITUTE(SUBSTITUTE(SUBSTITUTE(SUBSTITUTE(SUBSTITUTE(BM639,"0",""),"-",""),"_",""),"/",""),".",""),"#",""),"\\",""),":","")," ",""),"(",""),")","")</f>
        <v/>
      </c>
      <c r="BY639" s="62" t="n">
        <f aca="false">IF(ISNUMBER(Flights!$AZ$23),MAX(Q639-UpliftWindowH/24,Flights!$AZ$23),Q639-UpliftWindowH/24)</f>
        <v>46323.7777777778</v>
      </c>
      <c r="BZ639" s="61" t="n">
        <f aca="false">IFERROR(IF(IF(TRIM(S639)="Link / file path",AND(LEN(TRIM(Z639))&gt;=5,SUMPRODUCT(--ISNUMBER(SEARCH({"http","www.","\\",":\",".pdf",".jpg",".jpeg",".png",".heic",".xls",".doc",".msg",".eml",".ppt",".txt",".zip"},Z639)))&gt;0),AND(ISERROR(FIND(" ",TRIM(Z639))),NOT(OR(SUMPRODUCT(--ISNUMBER(FIND({",",";","&amp;","+"},Z639)))&gt;0,SUMPRODUCT(--ISNUMBER(SEARCH({"0/aa","0\\aa"},BN639)))&gt;0)),NOT(SUMPRODUCT(--ISNUMBER(SEARCH({"http","www.","\\",":\",".pdf",".jpg",".jpeg",".png",".heic",".xls",".doc",".msg",".eml",".ppt",".txt",".zip"},Z639)))&gt;0),NOT(LOWER(TRIM(Z639))=LOWER(Flights!$F$23)),ISNA(MATCH(BU639,{"mh","rev","revision","ver","version","v","r","a","b","seat","tray","row","gate","bay","stand","page","pg","item","line","no","cart","galley","flight","flt","table","box","bag","oven","etd","eta","std","sta","atd","ata","qty","pax","x","time","tel","ph","mob","day","wk","week","utc","gmt","myt","lt"},0)),NOT(OR(ISNUMBER(MATCH(LEFT(BN639,255),{"0000a","000a","00a","0000aa","000aa","00aa","0aa","0000aaa","000aaa","00a00","0a00","0000-0000","00:00","a00","a0","00.00.0000","00/00/0000","00-00-0000","0000-00-00","0000/00/00","0000.00.00","00.00.00","00/00/00","00-00-00","0.00.0000","0/00/0000","0-00-0000"},0)),ISNUMBER(MATCH(LEFT(BT639,255),{"0000a","000a","00a","0000aa","000aa","00aa","0aa","0000aaa","000aaa","00a00","0a00","0000-0000","00:00","a00","a0","00.00.0000","00/00/0000","00-00-0000","0000-00-00","0000/00/00","0000.00.00","00.00.00","00/00/00","00-00-00","0.00.0000","0/00/0000","0-00-0000"},0)))),NOT(OR(AND(BW639&lt;&gt;"",SUBSTITUTE(BW639,"0","")=""),AND(LEN(BW639)&gt;=4,BW639=REPT(LEFT(BW639),LEN(BW639))),ISNUMBER(MATCH(BW639,{"123","1234","12345","123456","1234567","12345678","0123","01234","012345","98765","987654","54321"},0)),ISNUMBER(MATCH(BX639,{"x","xx","xxx","xxxx","xxxxx","abc","abcd","nil","na","nan","test","tbc","tba","tbd","dummy","sample","example","eg","zz","zzz","none","null","xyz","qwe","asd","id","ref"},0)),AND(LEN(BW639)=8,BX639="",OR(LEFT(BW639,3)="202",ISNUMBER(MATCH(RIGHT(BW639,4),{"2025","2026","2027"},0)))))),OR(AND((LEN(BT639)-LEN(SUBSTITUTE(BT639,"a","")))&gt;=1,(LEN(BN639)-LEN(SUBSTITUTE(BN639,"0","")))&gt;=2,SUMPRODUCT(--ISNUMBER(SEARCH({"a0","a-0","a_0","a/0","a.0","a#0","0a","0-a","0_a","0/a"},BN639)))&gt;0),AND((LEN(BN639)-LEN(SUBSTITUTE(BN639,"a","")))=0,(LEN(BN639)-LEN(SUBSTITUTE(BN639,"0","")))&gt;=5)))),1,0),0)</f>
        <v>0</v>
      </c>
      <c r="CA6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639,"revision",""),"version",""),"jan",""),"feb",""),"mar",""),"apr",""),"may",""),"jun",""),"jul",""),"aug",""),"sep",""),"oct",""),"nov",""),"dec",""),"utc",""),"gmt",""),"myt",""),"bst",""),"rev",""),"ver",""),"b","a"),"c","a"),"d","a"),"e","a"),"f","a"),"g","a"),"h","a"),"i","a"),"j","a"),"k","a"),"l","a"),"m","a"),"n","a"),"o","a"),"p","a"),"q","a"),"r","a"),"s","a"),"t","a"),"u","a"),"v","a"),"w","a"),"x","a"),"y","a"),"z","a")</f>
        <v/>
      </c>
      <c r="CB6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639&amp;""),"a",""),"b",""),"c",""),"d",""),"e",""),"f",""),"g",""),"h",""),"i",""),"j",""),"k",""),"l",""),"m",""),"n",""),"o",""),"p",""),"q",""),"r",""),"s",""),"t",""),"u",""),"v",""),"w",""),"x",""),"y",""),"z",""),"-",""),"_",""),"/",""),".",""),"#",""),"\\",""),":","")," ",""),"(",""),")","")</f>
        <v/>
      </c>
      <c r="CC639" s="0" t="str">
        <f aca="false">" "&amp;TRIM(SUBSTITUTE(SUBSTITUTE(SUBSTITUTE(SUBSTITUTE(SUBSTITUTE(SUBSTITUTE(SUBSTITUTE(SUBSTITUTE(SUBSTITUTE(SUBSTITUTE(SUBSTITUTE(SUBSTITUTE(SUBSTITUTE(SUBSTITUTE(SUBSTITUTE(SUBSTITUTE(SUBSTITUTE(SUBSTITUTE(SUBSTITUTE(SUBSTITUTE(SUBSTITUTE(SUBSTITUTE(SUBSTITUTE(SUBSTITUTE(LOWER(T639&amp;""),CHAR(10)," "),CHAR(13)," "),CHAR(9)," "),CHAR(160)," "),"."," "),","," "),"-"," "),"/"," "),"("," "),")"," "),":"," "),";"," "),"_"," "),"–"," "),"?"," "),"!"," "),"*"," "),"["," "),"]"," "),"'"," "),"#"," "),"+"," "),"&amp;"," "),"\"," "))&amp;" "</f>
        <v>  </v>
      </c>
      <c r="CD639" s="0" t="str">
        <f aca="false">" "&amp;TRIM(SUBSTITUTE(SUBSTITUTE(SUBSTITUTE(SUBSTITUTE(SUBSTITUTE(SUBSTITUTE(SUBSTITUTE(SUBSTITUTE(SUBSTITUTE(SUBSTITUTE(SUBSTITUTE(SUBSTITUTE(SUBSTITUTE(SUBSTITUTE(SUBSTITUTE(SUBSTITUTE(SUBSTITUTE(SUBSTITUTE(SUBSTITUTE(SUBSTITUTE(SUBSTITUTE(SUBSTITUTE(SUBSTITUTE(SUBSTITUTE(LOWER(AE639&amp;""),CHAR(10)," "),CHAR(13)," "),CHAR(9)," "),CHAR(160)," "),"."," "),","," "),"-"," "),"/"," "),"("," "),")"," "),":"," "),";"," "),"_"," "),"–"," "),"?"," "),"!"," "),"*"," "),"["," "),"]"," "),"'"," "),"#"," "),"+"," "),"&amp;"," "),"\"," "))&amp;" "</f>
        <v>  </v>
      </c>
      <c r="CE639" s="68" t="n">
        <f aca="false">IFERROR(IF(AND(LEN(AU639)&gt;0,LEN(AU639)=LEN(AX639),OR(TRIM(MID(SUBSTITUTE(TRIM(CC639)," ",REPT(" ",60)),1,60))="",ISNUMBER(SEARCH(" "&amp;TRIM(MID(SUBSTITUTE(TRIM(CC639)," ",REPT(" ",60)),1,60))&amp;" ",CD639))),OR(TRIM(MID(SUBSTITUTE(TRIM(CC639)," ",REPT(" ",60)),61,60))="",ISNUMBER(SEARCH(" "&amp;TRIM(MID(SUBSTITUTE(TRIM(CC639)," ",REPT(" ",60)),61,60))&amp;" ",CD639))),OR(TRIM(MID(SUBSTITUTE(TRIM(CC639)," ",REPT(" ",60)),121,60))="",ISNUMBER(SEARCH(" "&amp;TRIM(MID(SUBSTITUTE(TRIM(CC639)," ",REPT(" ",60)),121,60))&amp;" ",CD639)))),1,0),0)</f>
        <v>0</v>
      </c>
      <c r="CG639" s="68" t="n">
        <f aca="false">IFERROR(LEN(SUBSTITUTE(BF639," ",""))-SUMPRODUCT((LEN(BF639)-LEN(SUBSTITUTE(BF639," "&amp;L_NAFiller&amp;" "," ")))/(LEN(L_NAFiller)+1)*LEN(L_NAFiller)),0)</f>
        <v>0</v>
      </c>
    </row>
    <row r="640" customFormat="false" ht="39.75" hidden="false" customHeight="true" outlineLevel="0" collapsed="false">
      <c r="A640" s="57" t="s">
        <v>1356</v>
      </c>
      <c r="B640" s="57" t="s">
        <v>301</v>
      </c>
      <c r="C640" s="57" t="str">
        <f aca="false">Flights!$F$23</f>
        <v>MH0053</v>
      </c>
      <c r="D640" s="58" t="n">
        <f aca="false">Flights!$D$23</f>
        <v>46324</v>
      </c>
      <c r="E640" s="57" t="str">
        <f aca="false">Flights!$G$23&amp;"-"&amp;Flights!$H$23</f>
        <v>KIX-KUL</v>
      </c>
      <c r="F640" s="57" t="str">
        <f aca="false">Flights!$K$23</f>
        <v>EY</v>
      </c>
      <c r="G640" s="57" t="s">
        <v>459</v>
      </c>
      <c r="H640" s="57" t="s">
        <v>460</v>
      </c>
      <c r="I640" s="57" t="s">
        <v>428</v>
      </c>
      <c r="J640" s="57" t="s">
        <v>465</v>
      </c>
      <c r="K640" s="67" t="s">
        <v>426</v>
      </c>
      <c r="L640" s="67" t="s">
        <v>462</v>
      </c>
      <c r="M640" s="67"/>
      <c r="N640" s="67" t="s">
        <v>383</v>
      </c>
      <c r="O640" s="67" t="s">
        <v>463</v>
      </c>
      <c r="P640" s="57" t="s">
        <v>295</v>
      </c>
      <c r="Q640" s="59" t="n">
        <f aca="false">ROUND((Flights!$AF$23)*1440,0)/1440</f>
        <v>46324.0277777778</v>
      </c>
      <c r="R640" s="59" t="n">
        <f aca="false">Q640+(IF(AND(INDEX(TZ_DSTS,MATCH(P640,TZ_STN,0))&lt;&gt;"",Q640&gt;=INDEX(TZ_DSTS,MATCH(P640,TZ_STN,0)),Q640&lt;INDEX(TZ_DSTE,MATCH(P640,TZ_STN,0))),INDEX(TZ_DST,MATCH(P640,TZ_STN,0)),INDEX(TZ_STD,MATCH(P640,TZ_STN,0))))/24</f>
        <v>46324.4027777778</v>
      </c>
      <c r="S640" s="60"/>
      <c r="T640" s="60"/>
      <c r="U640" s="60"/>
      <c r="V640" s="60"/>
      <c r="W640" s="61"/>
      <c r="X640" s="60"/>
      <c r="Y640" s="60"/>
      <c r="Z640" s="60"/>
      <c r="AA640" s="60"/>
      <c r="AB640" s="60"/>
      <c r="AC640" s="60"/>
      <c r="AD640" s="66"/>
      <c r="AE640" s="60"/>
      <c r="AF640" s="61" t="str">
        <f aca="false">IF(AND(ISNUMBER(X640),ISNUMBER(Y640)),Y640-X640,"")</f>
        <v/>
      </c>
      <c r="AG640" s="62" t="str">
        <f aca="false">IF(ISNUMBER(AD640),AD640-(IF(AND(INDEX(TZ_DSTS,MATCH(P640,TZ_STN,0))&lt;&gt;"",(AD640-INDEX(TZ_STD,MATCH(P640,TZ_STN,0))/24)&gt;=INDEX(TZ_DSTS,MATCH(P640,TZ_STN,0)),(AD640-INDEX(TZ_STD,MATCH(P640,TZ_STN,0))/24)&lt;INDEX(TZ_DSTE,MATCH(P640,TZ_STN,0))),INDEX(TZ_DST,MATCH(P640,TZ_STN,0)),INDEX(TZ_STD,MATCH(P640,TZ_STN,0))))/24,"")</f>
        <v/>
      </c>
      <c r="AH640" s="65" t="str">
        <f aca="false">IFERROR(IF(N640="N/A – rule",IF(OR(TRIM(U640)="",TRIM(U640)="N/A",TRIM(U640)="Not started"),"N/A – RULE","INVALID – this check does not apply to this aircraft: clear the status (or correct the fleet on Flights)"),IF(TRIM(U640)="N/A",IF(AT640=0,"INVALID – N/A not permitted for this check",IF(AND(TRIM(AB640)&lt;&gt;"",TRIM(AB640)&lt;&gt;"Closed"),"INVALID – corrective action still open",IF(AND(NOT(OR(LEN(AZ640)&lt;15,ISNUMBER(MATCH(AZ640,L_Placeholder,0)))),BK640=0,CG640&gt;=8,NOT(OR(LEN(AU640)&lt;2,ISNUMBER(MATCH(AU640,L_Placeholder,0)))),BR640&gt;=3,NOT(OR(LEN(AX640)&lt;2,ISNUMBER(MATCH(AX640,L_Placeholder,0)))),BS640&gt;=3,TRIM(AE640)&lt;&gt;TRIM(T640),AX640&lt;&gt;AU640,CE640=0),"N/A – JUSTIFIED","INVALID – N/A needs a real, settled reason (not 'not applicable' / 'as above' / TBC), a named PIC and a different named verifier"))),IF(OR(TRIM(U640)="Pass",TRIM(U640)="Pass after CA"),IF(NOT(ISNUMBER(AD640)),"INVALID – completion time missing",IF(OR(OR(LEN(AU640)&lt;2,ISNUMBER(MATCH(AU640,L_Placeholder,0))),BR640&lt;3),"INVALID – PIC missing or not a named person (a role such as QA / CSM is not a name)",IF(OR(LEN(AV640)&lt;2,ISNUMBER(MATCH(AV640,L_Placeholder,0))),"INVALID – result / assessment missing",IF(OR(OR(LEN(AW640)&lt;3,ISNUMBER(MATCH(AW640,L_Placeholder,0))),SUMPRODUCT(--ISNUMBER(SEARCH(" "&amp;L_EvidencePhrase&amp;" ",BD640)))&gt;0,BI640=1),"INVALID – evidence missing, placeholder or not yet on file",IF(ISNA(MATCH(TRIM(S640),L_EvidenceType,0)),"INVALID – choose the evidence type from the list (column S)",IF(BL640=0,"INVALID – evidence ID must be the record's own ID only (e.g. SF-2210, IMG_2231, 1045521); a link / file name needs type 'Link / file path'",IF(OR(OR(LEN(AX640)&lt;2,ISNUMBER(MATCH(AX640,L_Placeholder,0))),BS640&lt;3),"INVALID – verifier missing or not a named person (a role such as QA / CSM is not a name)",IF(OR(AX640=AU640,CE640=1,AND(LEN(AU640)&gt;=4,ISNUMBER(SEARCH(AU640,AX640))),AND(LEN(AX640)&gt;=4,ISNUMBER(SEARCH(AX640,AU640)))),"INVALID – verifier must be a different, named person (not the PIC or a role)",IF(BH640=1,"INVALID – result not yet available (awaiting / TBC)",IF(BG640=1,"INVALID – result describes a problem: record Fail, then Pass after CA (or reword if it is not a problem)",IF(BV640=1,"INVALID – wording says not on board: an on-board confirmation needs the item loaded",IF(AND(AQ640=1,OR(OR(LEN(AY640)&lt;3,ISNUMBER(MATCH(AY640,L_Placeholder,0))),BJ640=1,BQ640=0)),"INVALID – batch ID missing, placeholder or not an ID (e.g. PASB-261008-BC-017)",IF(AND(AR640=1,OR(NOT(ISNUMBER(X640)),NOT(ISNUMBER(Y640)))),"INVALID – expected/actual qty missing",IF(AND(AR640=1,OR(X640&lt;=0,Y640&lt;0)),"INVALID – expected qty must be above 0 and actual not negative",IF(AH634="N/A – JUSTIFIED","INVALID – preparation row F19-T12-06 is N/A",IF(AND(AR640=1,ISNUMBER(X634),X640&lt;&gt;X634,TRIM(U640)&lt;&gt;"Pass after CA"),"INVALID – expected qty differs from preparation check F19-T12-06: record the load change as a corrective action (Pass after CA)",IF(BB640&lt;&gt;"",BB640,IF(AND(AS640=1,Documents!$J$23&lt;&gt;"ON FILE"),"INVALID – GLD not on file (Documents sheet)",IF(AND(AS640=2,Documents!$O$23&lt;&gt;"ON FILE"),"INVALID – menu checklist not on file (Documents sheet)",IF(AND(AS640=3,NOT(ISNUMBER(Flights!$AX$23))),"INVALID – enter carrying flight KUL departure (Flights AX)",IF(AND(AS640=3,OR(Flights!$AZ$23&gt;Flights!$AA$23,Flights!$AX$23&lt;Flights!$AA$23-3)),"INVALID – carrying flight (Flights AX) cannot arrive before this leg's STD, or is over 3 days early",IF(AG640&gt;AsOfUTC,"INVALID – completion time is in the future",IF(AND(ISNUMBER(BY640),AG640&lt;BY640),IF(H640="Physical uplift","INVALID – before uplift window (cannot confirm loading)","INVALID – before valid window"),IF(AG640&gt;Flights!$AA$23,"INVALID – completed after departure (cannot establish readiness)",IF(AND(H640="Preparation",AG640&gt;=IF(ISNUMBER(Flights!$BA$23),MIN(Flights!$BA$23,Flights!$AA$23),Flights!$AA$23)),"INVALID – completed after loading / departure (cannot establish readiness)",IF(AND(H640="Physical uplift",AG640&gt;Q640),"INVALID – recorded after the loading flight departed",IF(AG640&gt;Q640,"COMPLETE – LATE","COMPLETE"))))))))))))))))))))))))))),IF(TRIM(U640)="Fail","FAIL – DISCREPANCY",IF(AND(TRIM(U640)&lt;&gt;"",TRIM(U640)&lt;&gt;"Not started",TRIM(U640)&lt;&gt;"In progress"),"INVALID – unrecognised status (use the list)",IF(AsOfUTC&gt;Q640,"OVERDUE",IF(N640="Clarification required","OPEN – CLARIFICATION","OPEN"))))))),"INVALID – error value in an input cell")</f>
        <v>OPEN</v>
      </c>
      <c r="AI640" s="61" t="n">
        <f aca="false">IF(OR(AH640="N/A – RULE",AH640="N/A – JUSTIFIED"),0,1)</f>
        <v>1</v>
      </c>
      <c r="AJ640" s="61" t="n">
        <f aca="false">IF(LEFT(AH640,8)="COMPLETE",1,0)</f>
        <v>0</v>
      </c>
      <c r="AK640" s="61" t="n">
        <f aca="false">IF(AND(AI640=1,AJ640=0,AsOfUTC&gt;Q640),1,0)</f>
        <v>0</v>
      </c>
      <c r="AL640" s="61" t="n">
        <f aca="false">IFERROR(IF(AND(AI640=1,OR(TRIM(U640)="Fail",AND(TRIM(AB640)&lt;&gt;"",TRIM(AB640)&lt;&gt;"Closed"),AND(ISNUMBER(AF640),AF640&lt;&gt;0,TRIM(U640)&lt;&gt;"Pass after CA"))),1,0),1)</f>
        <v>0</v>
      </c>
      <c r="AM640" s="61" t="n">
        <f aca="false">IF(LEFT(AH640,7)="INVALID",1,0)</f>
        <v>0</v>
      </c>
      <c r="AN640" s="61" t="n">
        <f aca="false">IF(AND(N640="Clarification required",AI640=1,AJ640=0),1,0)</f>
        <v>0</v>
      </c>
      <c r="AO640" s="61" t="str">
        <f aca="false">IF(AK640=1,SUM(AK$5:AK640),"")</f>
        <v/>
      </c>
      <c r="AP640" s="61" t="str">
        <f aca="false">IF(AL640=1,SUM(AL$5:AL640),"")</f>
        <v/>
      </c>
      <c r="AQ640" s="61" t="n">
        <v>0</v>
      </c>
      <c r="AR640" s="61" t="n">
        <v>1</v>
      </c>
      <c r="AS640" s="61" t="n">
        <v>0</v>
      </c>
      <c r="AT640" s="61" t="n">
        <v>0</v>
      </c>
      <c r="AU640" s="61" t="str">
        <f aca="false">SUBSTITUTE(SUBSTITUTE(SUBSTITUTE(SUBSTITUTE(SUBSTITUTE(SUBSTITUTE(SUBSTITUTE(SUBSTITUTE(SUBSTITUTE(SUBSTITUTE(SUBSTITUTE(SUBSTITUTE(SUBSTITUTE(SUBSTITUTE(SUBSTITUTE(SUBSTITUTE(LOWER(T640&amp;""),CHAR(10),""),CHAR(13),""),CHAR(9),""),CHAR(160),"")," ",""),".",""),"-",""),"/",""),"?",""),"_",""),",",""),"[",""),"]",""),"(",""),")",""),"*","")</f>
        <v/>
      </c>
      <c r="AV640" s="61" t="str">
        <f aca="false">SUBSTITUTE(SUBSTITUTE(SUBSTITUTE(SUBSTITUTE(SUBSTITUTE(SUBSTITUTE(SUBSTITUTE(SUBSTITUTE(SUBSTITUTE(SUBSTITUTE(SUBSTITUTE(SUBSTITUTE(SUBSTITUTE(SUBSTITUTE(SUBSTITUTE(SUBSTITUTE(LOWER(V640&amp;""),CHAR(10),""),CHAR(13),""),CHAR(9),""),CHAR(160),"")," ",""),".",""),"-",""),"/",""),"?",""),"_",""),",",""),"[",""),"]",""),"(",""),")",""),"*","")</f>
        <v/>
      </c>
      <c r="AW640" s="61" t="str">
        <f aca="false">SUBSTITUTE(SUBSTITUTE(SUBSTITUTE(SUBSTITUTE(SUBSTITUTE(SUBSTITUTE(SUBSTITUTE(SUBSTITUTE(SUBSTITUTE(SUBSTITUTE(SUBSTITUTE(SUBSTITUTE(SUBSTITUTE(SUBSTITUTE(SUBSTITUTE(SUBSTITUTE(LOWER(Z640&amp;""),CHAR(10),""),CHAR(13),""),CHAR(9),""),CHAR(160),"")," ",""),".",""),"-",""),"/",""),"?",""),"_",""),",",""),"[",""),"]",""),"(",""),")",""),"*","")</f>
        <v/>
      </c>
      <c r="AX640" s="61" t="str">
        <f aca="false">SUBSTITUTE(SUBSTITUTE(SUBSTITUTE(SUBSTITUTE(SUBSTITUTE(SUBSTITUTE(SUBSTITUTE(SUBSTITUTE(SUBSTITUTE(SUBSTITUTE(SUBSTITUTE(SUBSTITUTE(SUBSTITUTE(SUBSTITUTE(SUBSTITUTE(SUBSTITUTE(LOWER(AE640&amp;""),CHAR(10),""),CHAR(13),""),CHAR(9),""),CHAR(160),"")," ",""),".",""),"-",""),"/",""),"?",""),"_",""),",",""),"[",""),"]",""),"(",""),")",""),"*","")</f>
        <v/>
      </c>
      <c r="AY640" s="61" t="str">
        <f aca="false">SUBSTITUTE(SUBSTITUTE(SUBSTITUTE(SUBSTITUTE(SUBSTITUTE(SUBSTITUTE(SUBSTITUTE(SUBSTITUTE(SUBSTITUTE(SUBSTITUTE(SUBSTITUTE(SUBSTITUTE(SUBSTITUTE(SUBSTITUTE(SUBSTITUTE(SUBSTITUTE(LOWER(W640&amp;""),CHAR(10),""),CHAR(13),""),CHAR(9),""),CHAR(160),"")," ",""),".",""),"-",""),"/",""),"?",""),"_",""),",",""),"[",""),"]",""),"(",""),")",""),"*","")</f>
        <v/>
      </c>
      <c r="AZ640" s="61" t="str">
        <f aca="false">SUBSTITUTE(SUBSTITUTE(SUBSTITUTE(SUBSTITUTE(SUBSTITUTE(SUBSTITUTE(SUBSTITUTE(SUBSTITUTE(SUBSTITUTE(SUBSTITUTE(SUBSTITUTE(SUBSTITUTE(SUBSTITUTE(SUBSTITUTE(SUBSTITUTE(SUBSTITUTE(LOWER(AC640&amp;""),CHAR(10),""),CHAR(13),""),CHAR(9),""),CHAR(160),"")," ",""),".",""),"-",""),"/",""),"?",""),"_",""),",",""),"[",""),"]",""),"(",""),")",""),"*","")</f>
        <v/>
      </c>
      <c r="BA640" s="61" t="str">
        <f aca="false">SUBSTITUTE(SUBSTITUTE(SUBSTITUTE(SUBSTITUTE(SUBSTITUTE(SUBSTITUTE(SUBSTITUTE(SUBSTITUTE(SUBSTITUTE(SUBSTITUTE(SUBSTITUTE(SUBSTITUTE(SUBSTITUTE(SUBSTITUTE(SUBSTITUTE(SUBSTITUTE(LOWER(AA640&amp;""),CHAR(10),""),CHAR(13),""),CHAR(9),""),CHAR(160),"")," ",""),".",""),"-",""),"/",""),"?",""),"_",""),",",""),"[",""),"]",""),"(",""),")",""),"*","")</f>
        <v/>
      </c>
      <c r="BB640" s="61" t="str">
        <f aca="false">IF(AND(TRIM(U640)="Pass",ISNUMBER(AF640)),IF(AF640&lt;&gt;0,"INVALID – qty variance: use Fail or Pass after CA",""),"")&amp;IF(AND(TRIM(U640)="Pass after CA",ISNUMBER(AF640)),IF(AF640&lt;&gt;0,"INVALID – after the corrective action the actual qty must equal expected (update Actual)",""),"")&amp;IF(AND(TRIM(U640)="Pass",TRIM(AB640)&lt;&gt;"",TRIM(AB640)&lt;&gt;"Closed"),"INVALID – corrective action not closed: use Fail, then Pass after CA","")&amp;IF(AND(LEN(BA640)&gt;=2,ISNA(MATCH(LEFT(BA640,255),L_Placeholder,0)),TRIM(AB640)=""),"INVALID – CA status missing for the recorded corrective action","")&amp;IF(AND(TRIM(U640)="Pass after CA",OR(OR(LEN(BA640)&lt;5,ISNUMBER(MATCH(BA640,L_Placeholder,0))),TRIM(AB640)&lt;&gt;"Closed")),"INVALID – corrective action not recorded/closed","")</f>
        <v/>
      </c>
      <c r="BC640" s="61" t="str">
        <f aca="false">" "&amp;TRIM(SUBSTITUTE(SUBSTITUTE(SUBSTITUTE(SUBSTITUTE(SUBSTITUTE(SUBSTITUTE(SUBSTITUTE(SUBSTITUTE(SUBSTITUTE(SUBSTITUTE(SUBSTITUTE(SUBSTITUTE(SUBSTITUTE(SUBSTITUTE(SUBSTITUTE(SUBSTITUTE(SUBSTITUTE(SUBSTITUTE(SUBSTITUTE(SUBSTITUTE(SUBSTITUTE(SUBSTITUTE(SUBSTITUTE(SUBSTITUTE(LOWER(V640&amp;""),CHAR(10)," "),CHAR(13)," "),CHAR(9)," "),CHAR(160)," "),"."," "),","," "),"-"," "),"/"," "),"("," "),")"," "),":"," "),";"," "),"_"," "),"–"," "),"?"," "),"!"," "),"*"," "),"["," "),"]"," "),"'"," "),"#"," "),"+"," "),"&amp;"," "),"\"," "))&amp;" "</f>
        <v>  </v>
      </c>
      <c r="BD640" s="61" t="str">
        <f aca="false">" "&amp;TRIM(SUBSTITUTE(SUBSTITUTE(SUBSTITUTE(SUBSTITUTE(SUBSTITUTE(SUBSTITUTE(SUBSTITUTE(SUBSTITUTE(SUBSTITUTE(SUBSTITUTE(SUBSTITUTE(SUBSTITUTE(SUBSTITUTE(SUBSTITUTE(SUBSTITUTE(SUBSTITUTE(SUBSTITUTE(SUBSTITUTE(SUBSTITUTE(SUBSTITUTE(SUBSTITUTE(SUBSTITUTE(SUBSTITUTE(SUBSTITUTE(LOWER(Z640&amp;""),CHAR(10)," "),CHAR(13)," "),CHAR(9)," "),CHAR(160)," "),"."," "),","," "),"-"," "),"/"," "),"("," "),")"," "),":"," "),";"," "),"_"," "),"–"," "),"?"," "),"!"," "),"*"," "),"["," "),"]"," "),"'"," "),"#"," "),"+"," "),"&amp;"," "),"\"," "))&amp;" "</f>
        <v>  </v>
      </c>
      <c r="BE640" s="61" t="str">
        <f aca="false">" "&amp;TRIM(SUBSTITUTE(SUBSTITUTE(SUBSTITUTE(SUBSTITUTE(SUBSTITUTE(SUBSTITUTE(SUBSTITUTE(SUBSTITUTE(SUBSTITUTE(SUBSTITUTE(SUBSTITUTE(SUBSTITUTE(SUBSTITUTE(SUBSTITUTE(SUBSTITUTE(SUBSTITUTE(SUBSTITUTE(SUBSTITUTE(SUBSTITUTE(SUBSTITUTE(SUBSTITUTE(SUBSTITUTE(SUBSTITUTE(SUBSTITUTE(LOWER(W640&amp;""),CHAR(10)," "),CHAR(13)," "),CHAR(9)," "),CHAR(160)," "),"."," "),","," "),"-"," "),"/"," "),"("," "),")"," "),":"," "),";"," "),"_"," "),"–"," "),"?"," "),"!"," "),"*"," "),"["," "),"]"," "),"'"," "),"#"," "),"+"," "),"&amp;"," "),"\"," "))&amp;" "</f>
        <v>  </v>
      </c>
      <c r="BF640" s="61" t="str">
        <f aca="false">" "&amp;TRIM(SUBSTITUTE(SUBSTITUTE(SUBSTITUTE(SUBSTITUTE(SUBSTITUTE(SUBSTITUTE(SUBSTITUTE(SUBSTITUTE(SUBSTITUTE(SUBSTITUTE(SUBSTITUTE(SUBSTITUTE(SUBSTITUTE(SUBSTITUTE(SUBSTITUTE(SUBSTITUTE(SUBSTITUTE(SUBSTITUTE(SUBSTITUTE(SUBSTITUTE(SUBSTITUTE(SUBSTITUTE(SUBSTITUTE(SUBSTITUTE(LOWER(AC640&amp;""),CHAR(10)," "),CHAR(13)," "),CHAR(9)," "),CHAR(160)," "),"."," "),","," "),"-"," "),"/"," "),"("," "),")"," "),":"," "),";"," "),"_"," "),"–"," "),"?"," "),"!"," "),"*"," "),"["," "),"]"," "),"'"," "),"#"," "),"+"," "),"&amp;"," "),"\"," "))&amp;" "</f>
        <v>  </v>
      </c>
      <c r="BG640" s="61" t="n">
        <f aca="false">IFERROR(IF(AND(TRIM(U640)="Pass",SUMPRODUCT((LEN(BC640)-LEN(SUBSTITUTE(BC640," "&amp;L_ResultBad&amp;" "," ")))/(LEN(L_ResultBad)+1))&gt;SUMPRODUCT((LEN(BC640)-LEN(SUBSTITUTE(BC640," "&amp;L_NegPhrase&amp;" "," ")))/(LEN(L_NegPhrase)+1))),1,0),0)</f>
        <v>0</v>
      </c>
      <c r="BH640" s="61" t="n">
        <f aca="false">IFERROR(IF(SUMPRODUCT((LEN(BC640)-LEN(SUBSTITUTE(BC640," "&amp;L_Pending&amp;" "," ")))/(LEN(L_Pending)+1))&gt;SUMPRODUCT((LEN(BC640)-LEN(SUBSTITUTE(BC640," "&amp;L_PendNeg&amp;" "," ")))/(LEN(L_PendNeg)+1)),1,0),1)</f>
        <v>0</v>
      </c>
      <c r="BI640" s="61" t="n">
        <f aca="false">IFERROR(IF(SUMPRODUCT((LEN(BD640)-LEN(SUBSTITUTE(BD640," "&amp;L_PendStrict&amp;" "," ")))/(LEN(L_PendStrict)+1))&gt;SUMPRODUCT((LEN(BD640)-LEN(SUBSTITUTE(BD640," "&amp;L_PendNeg&amp;" "," ")))/(LEN(L_PendNeg)+1)),1,0),1)</f>
        <v>0</v>
      </c>
      <c r="BJ640" s="61" t="n">
        <f aca="false">IFERROR(IF(SUMPRODUCT((LEN(BE640)-LEN(SUBSTITUTE(BE640," "&amp;L_Pending&amp;" "," ")))/(LEN(L_Pending)+1))&gt;SUMPRODUCT((LEN(BE640)-LEN(SUBSTITUTE(BE640," "&amp;L_PendNeg&amp;" "," ")))/(LEN(L_PendNeg)+1)),1,0),1)</f>
        <v>0</v>
      </c>
      <c r="BK640" s="61" t="n">
        <f aca="false">IFERROR(IF(SUMPRODUCT((LEN(BF640)-LEN(SUBSTITUTE(BF640," "&amp;L_PendStrict&amp;" "," ")))/(LEN(L_PendStrict)+1))&gt;SUMPRODUCT((LEN(BF640)-LEN(SUBSTITUTE(BF640," "&amp;L_PendNeg&amp;" "," ")))/(LEN(L_PendNeg)+1)),1,0),1)</f>
        <v>0</v>
      </c>
      <c r="BL640" s="61" t="n">
        <f aca="false">IF(ISNA(MATCH(TRIM(S640),L_EvidenceType,0)),0,BZ640)</f>
        <v>0</v>
      </c>
      <c r="BM640" s="61" t="str">
        <f aca="false">SUBSTITUTE(SUBSTITUTE(SUBSTITUTE(SUBSTITUTE(SUBSTITUTE(SUBSTITUTE(SUBSTITUTE(SUBSTITUTE(SUBSTITUTE(LOWER(Z640&amp;""),"1","0"),"2","0"),"3","0"),"4","0"),"5","0"),"6","0"),"7","0"),"8","0"),"9","0")</f>
        <v/>
      </c>
      <c r="BN640" s="61" t="str">
        <f aca="false">SUBSTITUTE(SUBSTITUTE(SUBSTITUTE(SUBSTITUTE(SUBSTITUTE(SUBSTITUTE(SUBSTITUTE(SUBSTITUTE(SUBSTITUTE(SUBSTITUTE(SUBSTITUTE(SUBSTITUTE(SUBSTITUTE(SUBSTITUTE(SUBSTITUTE(SUBSTITUTE(SUBSTITUTE(SUBSTITUTE(SUBSTITUTE(SUBSTITUTE(SUBSTITUTE(SUBSTITUTE(SUBSTITUTE(SUBSTITUTE(SUBSTITUTE(BM640,"b","a"),"c","a"),"d","a"),"e","a"),"f","a"),"g","a"),"h","a"),"i","a"),"j","a"),"k","a"),"l","a"),"m","a"),"n","a"),"o","a"),"p","a"),"q","a"),"r","a"),"s","a"),"t","a"),"u","a"),"v","a"),"w","a"),"x","a"),"y","a"),"z","a")</f>
        <v/>
      </c>
      <c r="BO640" s="61" t="str">
        <f aca="false">SUBSTITUTE(SUBSTITUTE(SUBSTITUTE(SUBSTITUTE(SUBSTITUTE(SUBSTITUTE(SUBSTITUTE(SUBSTITUTE(SUBSTITUTE(LOWER(W640&amp;""),"1","0"),"2","0"),"3","0"),"4","0"),"5","0"),"6","0"),"7","0"),"8","0"),"9","0")</f>
        <v/>
      </c>
      <c r="BP640" s="61" t="str">
        <f aca="false">SUBSTITUTE(SUBSTITUTE(SUBSTITUTE(SUBSTITUTE(SUBSTITUTE(SUBSTITUTE(SUBSTITUTE(SUBSTITUTE(SUBSTITUTE(SUBSTITUTE(SUBSTITUTE(SUBSTITUTE(SUBSTITUTE(SUBSTITUTE(SUBSTITUTE(SUBSTITUTE(SUBSTITUTE(SUBSTITUTE(SUBSTITUTE(SUBSTITUTE(SUBSTITUTE(SUBSTITUTE(SUBSTITUTE(SUBSTITUTE(SUBSTITUTE(BO640,"b","a"),"c","a"),"d","a"),"e","a"),"f","a"),"g","a"),"h","a"),"i","a"),"j","a"),"k","a"),"l","a"),"m","a"),"n","a"),"o","a"),"p","a"),"q","a"),"r","a"),"s","a"),"t","a"),"u","a"),"v","a"),"w","a"),"x","a"),"y","a"),"z","a")</f>
        <v/>
      </c>
      <c r="BQ640" s="61" t="n">
        <f aca="false">IFERROR(IF(AND(ISERROR(SEARCH(" mh"," "&amp;LOWER(W640))),ISNA(MATCH(LEFT(TRIM(BP640),255),{"0000a","000a","00a","0000aa","000aa","00aa","0aa","0000aaa","000aaa","00a00","0a00","0000-0000","00:00","a00","a0","00.00.0000","00/00/0000","00-00-0000","0000-00-00","0000/00/00","0000.00.00","00.00.00","00/00/00","00-00-00","0.00.0000","0/00/0000","0-00-0000"},0)),ISNA(MATCH(LEFT(TRIM(CA640),255),{"0000a","000a","00a","0000aa","000aa","00aa","0aa","0000aaa","000aaa","00a00","0a00","0000-0000","00:00","a00","a0","00.00.0000","00/00/0000","00-00-0000","0000-00-00","0000/00/00","0000.00.00","00.00.00","00/00/00","00-00-00","0.00.0000","0/00/0000","0-00-0000"},0)),LEN(CB640)&gt;=3,NOT(OR(SUBSTITUTE(CB640,"0","")="",AND(LEN(CB640)&gt;=4,CB640=REPT(LEFT(CB640),LEN(CB640))),ISNUMBER(MATCH(CB640,{"123","1234","12345","123456","1234567","12345678","0123","01234","012345","98765","987654","54321"},0)),AND(LEN(CB640)=8,LEFT(CB640,3)="202"))),OR(AND((LEN(CA640)-LEN(SUBSTITUTE(CA640,"a","")))&gt;=1,SUMPRODUCT(--ISNUMBER(SEARCH({"a0","a-0","a_0","a/0","a.0","a#0","0a","0-a","0_a","0/a"},BP640)))&gt;0),ISNUMBER(SEARCH("000000",BP640)))),1,0),0)</f>
        <v>0</v>
      </c>
      <c r="BR640" s="61" t="n">
        <f aca="false">IFERROR(LEN(SUBSTITUTE(CC640," ",""))-SUMPRODUCT((LEN(CC640)-LEN(SUBSTITUTE(CC640," "&amp;L_Role&amp;" "," ")))/(LEN(L_Role)+1)*LEN(L_Role)),0)</f>
        <v>0</v>
      </c>
      <c r="BS640" s="61" t="n">
        <f aca="false">IFERROR(LEN(SUBSTITUTE(CD640," ",""))-SUMPRODUCT((LEN(CD640)-LEN(SUBSTITUTE(CD640," "&amp;L_Role&amp;" "," ")))/(LEN(L_Role)+1)*LEN(L_Role)),0)</f>
        <v>0</v>
      </c>
      <c r="BT6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640,"revision",""),"version",""),"jan",""),"feb",""),"mar",""),"apr",""),"may",""),"jun",""),"jul",""),"aug",""),"sep",""),"oct",""),"nov",""),"dec",""),"utc",""),"gmt",""),"myt",""),"bst",""),"rev",""),"ver",""),"b","a"),"c","a"),"d","a"),"e","a"),"f","a"),"g","a"),"h","a"),"i","a"),"j","a"),"k","a"),"l","a"),"m","a"),"n","a"),"o","a"),"p","a"),"q","a"),"r","a"),"s","a"),"t","a"),"u","a"),"v","a"),"w","a"),"x","a"),"y","a"),"z","a")</f>
        <v/>
      </c>
      <c r="BU640" s="61" t="str">
        <f aca="false">SUBSTITUTE(SUBSTITUTE(SUBSTITUTE(SUBSTITUTE(SUBSTITUTE(SUBSTITUTE(SUBSTITUTE(SUBSTITUTE(SUBSTITUTE(SUBSTITUTE(LEFT(BM640,FIND("0",BM640&amp;"0")-1),"-",""),"_",""),"/",""),".",""),"#",""),"\\",""),":","")," ",""),"(",""),")","")</f>
        <v/>
      </c>
      <c r="BV640" s="61" t="n">
        <f aca="false">IFERROR(IF(OR(SUMPRODUCT((LEN(BC640)-LEN(SUBSTITUTE(BC640," "&amp;L_NotLoaded&amp;" "," ")))/(LEN(L_NotLoaded)+1))&gt;SUMPRODUCT((LEN(BC640)-LEN(SUBSTITUTE(BC640," "&amp;L_NotLoadedNeg&amp;" "," ")))/(LEN(L_NotLoadedNeg)+1)),SUMPRODUCT((LEN(BD640)-LEN(SUBSTITUTE(BD640," "&amp;L_NotLoaded&amp;" "," ")))/(LEN(L_NotLoaded)+1))&gt;SUMPRODUCT((LEN(BD640)-LEN(SUBSTITUTE(BD640," "&amp;L_NotLoadedNeg&amp;" "," ")))/(LEN(L_NotLoadedNeg)+1))),1,0),0)</f>
        <v>0</v>
      </c>
      <c r="BW6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640&amp;""),"a",""),"b",""),"c",""),"d",""),"e",""),"f",""),"g",""),"h",""),"i",""),"j",""),"k",""),"l",""),"m",""),"n",""),"o",""),"p",""),"q",""),"r",""),"s",""),"t",""),"u",""),"v",""),"w",""),"x",""),"y",""),"z",""),"-",""),"_",""),"/",""),".",""),"#",""),"\\",""),":","")," ",""),"(",""),")","")</f>
        <v/>
      </c>
      <c r="BX640" s="61" t="str">
        <f aca="false">SUBSTITUTE(SUBSTITUTE(SUBSTITUTE(SUBSTITUTE(SUBSTITUTE(SUBSTITUTE(SUBSTITUTE(SUBSTITUTE(SUBSTITUTE(SUBSTITUTE(SUBSTITUTE(BM640,"0",""),"-",""),"_",""),"/",""),".",""),"#",""),"\\",""),":","")," ",""),"(",""),")","")</f>
        <v/>
      </c>
      <c r="BY640" s="62" t="n">
        <f aca="false">IF(ISNUMBER(Flights!$AZ$23),MAX(Q640-UpliftWindowH/24,Flights!$AZ$23),Q640-UpliftWindowH/24)</f>
        <v>46323.7777777778</v>
      </c>
      <c r="BZ640" s="61" t="n">
        <f aca="false">IFERROR(IF(IF(TRIM(S640)="Link / file path",AND(LEN(TRIM(Z640))&gt;=5,SUMPRODUCT(--ISNUMBER(SEARCH({"http","www.","\\",":\",".pdf",".jpg",".jpeg",".png",".heic",".xls",".doc",".msg",".eml",".ppt",".txt",".zip"},Z640)))&gt;0),AND(ISERROR(FIND(" ",TRIM(Z640))),NOT(OR(SUMPRODUCT(--ISNUMBER(FIND({",",";","&amp;","+"},Z640)))&gt;0,SUMPRODUCT(--ISNUMBER(SEARCH({"0/aa","0\\aa"},BN640)))&gt;0)),NOT(SUMPRODUCT(--ISNUMBER(SEARCH({"http","www.","\\",":\",".pdf",".jpg",".jpeg",".png",".heic",".xls",".doc",".msg",".eml",".ppt",".txt",".zip"},Z640)))&gt;0),NOT(LOWER(TRIM(Z640))=LOWER(Flights!$F$23)),ISNA(MATCH(BU640,{"mh","rev","revision","ver","version","v","r","a","b","seat","tray","row","gate","bay","stand","page","pg","item","line","no","cart","galley","flight","flt","table","box","bag","oven","etd","eta","std","sta","atd","ata","qty","pax","x","time","tel","ph","mob","day","wk","week","utc","gmt","myt","lt"},0)),NOT(OR(ISNUMBER(MATCH(LEFT(BN640,255),{"0000a","000a","00a","0000aa","000aa","00aa","0aa","0000aaa","000aaa","00a00","0a00","0000-0000","00:00","a00","a0","00.00.0000","00/00/0000","00-00-0000","0000-00-00","0000/00/00","0000.00.00","00.00.00","00/00/00","00-00-00","0.00.0000","0/00/0000","0-00-0000"},0)),ISNUMBER(MATCH(LEFT(BT640,255),{"0000a","000a","00a","0000aa","000aa","00aa","0aa","0000aaa","000aaa","00a00","0a00","0000-0000","00:00","a00","a0","00.00.0000","00/00/0000","00-00-0000","0000-00-00","0000/00/00","0000.00.00","00.00.00","00/00/00","00-00-00","0.00.0000","0/00/0000","0-00-0000"},0)))),NOT(OR(AND(BW640&lt;&gt;"",SUBSTITUTE(BW640,"0","")=""),AND(LEN(BW640)&gt;=4,BW640=REPT(LEFT(BW640),LEN(BW640))),ISNUMBER(MATCH(BW640,{"123","1234","12345","123456","1234567","12345678","0123","01234","012345","98765","987654","54321"},0)),ISNUMBER(MATCH(BX640,{"x","xx","xxx","xxxx","xxxxx","abc","abcd","nil","na","nan","test","tbc","tba","tbd","dummy","sample","example","eg","zz","zzz","none","null","xyz","qwe","asd","id","ref"},0)),AND(LEN(BW640)=8,BX640="",OR(LEFT(BW640,3)="202",ISNUMBER(MATCH(RIGHT(BW640,4),{"2025","2026","2027"},0)))))),OR(AND((LEN(BT640)-LEN(SUBSTITUTE(BT640,"a","")))&gt;=1,(LEN(BN640)-LEN(SUBSTITUTE(BN640,"0","")))&gt;=2,SUMPRODUCT(--ISNUMBER(SEARCH({"a0","a-0","a_0","a/0","a.0","a#0","0a","0-a","0_a","0/a"},BN640)))&gt;0),AND((LEN(BN640)-LEN(SUBSTITUTE(BN640,"a","")))=0,(LEN(BN640)-LEN(SUBSTITUTE(BN640,"0","")))&gt;=5)))),1,0),0)</f>
        <v>0</v>
      </c>
      <c r="CA6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640,"revision",""),"version",""),"jan",""),"feb",""),"mar",""),"apr",""),"may",""),"jun",""),"jul",""),"aug",""),"sep",""),"oct",""),"nov",""),"dec",""),"utc",""),"gmt",""),"myt",""),"bst",""),"rev",""),"ver",""),"b","a"),"c","a"),"d","a"),"e","a"),"f","a"),"g","a"),"h","a"),"i","a"),"j","a"),"k","a"),"l","a"),"m","a"),"n","a"),"o","a"),"p","a"),"q","a"),"r","a"),"s","a"),"t","a"),"u","a"),"v","a"),"w","a"),"x","a"),"y","a"),"z","a")</f>
        <v/>
      </c>
      <c r="CB6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640&amp;""),"a",""),"b",""),"c",""),"d",""),"e",""),"f",""),"g",""),"h",""),"i",""),"j",""),"k",""),"l",""),"m",""),"n",""),"o",""),"p",""),"q",""),"r",""),"s",""),"t",""),"u",""),"v",""),"w",""),"x",""),"y",""),"z",""),"-",""),"_",""),"/",""),".",""),"#",""),"\\",""),":","")," ",""),"(",""),")","")</f>
        <v/>
      </c>
      <c r="CC640" s="0" t="str">
        <f aca="false">" "&amp;TRIM(SUBSTITUTE(SUBSTITUTE(SUBSTITUTE(SUBSTITUTE(SUBSTITUTE(SUBSTITUTE(SUBSTITUTE(SUBSTITUTE(SUBSTITUTE(SUBSTITUTE(SUBSTITUTE(SUBSTITUTE(SUBSTITUTE(SUBSTITUTE(SUBSTITUTE(SUBSTITUTE(SUBSTITUTE(SUBSTITUTE(SUBSTITUTE(SUBSTITUTE(SUBSTITUTE(SUBSTITUTE(SUBSTITUTE(SUBSTITUTE(LOWER(T640&amp;""),CHAR(10)," "),CHAR(13)," "),CHAR(9)," "),CHAR(160)," "),"."," "),","," "),"-"," "),"/"," "),"("," "),")"," "),":"," "),";"," "),"_"," "),"–"," "),"?"," "),"!"," "),"*"," "),"["," "),"]"," "),"'"," "),"#"," "),"+"," "),"&amp;"," "),"\"," "))&amp;" "</f>
        <v>  </v>
      </c>
      <c r="CD640" s="0" t="str">
        <f aca="false">" "&amp;TRIM(SUBSTITUTE(SUBSTITUTE(SUBSTITUTE(SUBSTITUTE(SUBSTITUTE(SUBSTITUTE(SUBSTITUTE(SUBSTITUTE(SUBSTITUTE(SUBSTITUTE(SUBSTITUTE(SUBSTITUTE(SUBSTITUTE(SUBSTITUTE(SUBSTITUTE(SUBSTITUTE(SUBSTITUTE(SUBSTITUTE(SUBSTITUTE(SUBSTITUTE(SUBSTITUTE(SUBSTITUTE(SUBSTITUTE(SUBSTITUTE(LOWER(AE640&amp;""),CHAR(10)," "),CHAR(13)," "),CHAR(9)," "),CHAR(160)," "),"."," "),","," "),"-"," "),"/"," "),"("," "),")"," "),":"," "),";"," "),"_"," "),"–"," "),"?"," "),"!"," "),"*"," "),"["," "),"]"," "),"'"," "),"#"," "),"+"," "),"&amp;"," "),"\"," "))&amp;" "</f>
        <v>  </v>
      </c>
      <c r="CE640" s="68" t="n">
        <f aca="false">IFERROR(IF(AND(LEN(AU640)&gt;0,LEN(AU640)=LEN(AX640),OR(TRIM(MID(SUBSTITUTE(TRIM(CC640)," ",REPT(" ",60)),1,60))="",ISNUMBER(SEARCH(" "&amp;TRIM(MID(SUBSTITUTE(TRIM(CC640)," ",REPT(" ",60)),1,60))&amp;" ",CD640))),OR(TRIM(MID(SUBSTITUTE(TRIM(CC640)," ",REPT(" ",60)),61,60))="",ISNUMBER(SEARCH(" "&amp;TRIM(MID(SUBSTITUTE(TRIM(CC640)," ",REPT(" ",60)),61,60))&amp;" ",CD640))),OR(TRIM(MID(SUBSTITUTE(TRIM(CC640)," ",REPT(" ",60)),121,60))="",ISNUMBER(SEARCH(" "&amp;TRIM(MID(SUBSTITUTE(TRIM(CC640)," ",REPT(" ",60)),121,60))&amp;" ",CD640)))),1,0),0)</f>
        <v>0</v>
      </c>
      <c r="CG640" s="68" t="n">
        <f aca="false">IFERROR(LEN(SUBSTITUTE(BF640," ",""))-SUMPRODUCT((LEN(BF640)-LEN(SUBSTITUTE(BF640," "&amp;L_NAFiller&amp;" "," ")))/(LEN(L_NAFiller)+1)*LEN(L_NAFiller)),0)</f>
        <v>0</v>
      </c>
    </row>
    <row r="641" customFormat="false" ht="39.75" hidden="false" customHeight="true" outlineLevel="0" collapsed="false">
      <c r="A641" s="57" t="s">
        <v>1357</v>
      </c>
      <c r="B641" s="57" t="s">
        <v>301</v>
      </c>
      <c r="C641" s="57" t="str">
        <f aca="false">Flights!$F$23</f>
        <v>MH0053</v>
      </c>
      <c r="D641" s="58" t="n">
        <f aca="false">Flights!$D$23</f>
        <v>46324</v>
      </c>
      <c r="E641" s="57" t="str">
        <f aca="false">Flights!$G$23&amp;"-"&amp;Flights!$H$23</f>
        <v>KIX-KUL</v>
      </c>
      <c r="F641" s="57" t="str">
        <f aca="false">Flights!$K$23</f>
        <v>EY</v>
      </c>
      <c r="G641" s="57" t="s">
        <v>459</v>
      </c>
      <c r="H641" s="57" t="s">
        <v>460</v>
      </c>
      <c r="I641" s="57" t="s">
        <v>447</v>
      </c>
      <c r="J641" s="57" t="s">
        <v>469</v>
      </c>
      <c r="K641" s="67" t="s">
        <v>449</v>
      </c>
      <c r="L641" s="67" t="s">
        <v>1348</v>
      </c>
      <c r="M641" s="67" t="s">
        <v>451</v>
      </c>
      <c r="N641" s="67" t="s">
        <v>383</v>
      </c>
      <c r="O641" s="67"/>
      <c r="P641" s="57" t="s">
        <v>295</v>
      </c>
      <c r="Q641" s="59" t="n">
        <f aca="false">ROUND((Flights!$AF$23)*1440,0)/1440</f>
        <v>46324.0277777778</v>
      </c>
      <c r="R641" s="59" t="n">
        <f aca="false">Q641+(IF(AND(INDEX(TZ_DSTS,MATCH(P641,TZ_STN,0))&lt;&gt;"",Q641&gt;=INDEX(TZ_DSTS,MATCH(P641,TZ_STN,0)),Q641&lt;INDEX(TZ_DSTE,MATCH(P641,TZ_STN,0))),INDEX(TZ_DST,MATCH(P641,TZ_STN,0)),INDEX(TZ_STD,MATCH(P641,TZ_STN,0))))/24</f>
        <v>46324.4027777778</v>
      </c>
      <c r="S641" s="60"/>
      <c r="T641" s="60"/>
      <c r="U641" s="60"/>
      <c r="V641" s="60"/>
      <c r="W641" s="61"/>
      <c r="X641" s="60"/>
      <c r="Y641" s="60"/>
      <c r="Z641" s="60"/>
      <c r="AA641" s="60"/>
      <c r="AB641" s="60"/>
      <c r="AC641" s="60"/>
      <c r="AD641" s="66"/>
      <c r="AE641" s="60"/>
      <c r="AF641" s="61" t="str">
        <f aca="false">IF(AND(ISNUMBER(X641),ISNUMBER(Y641)),Y641-X641,"")</f>
        <v/>
      </c>
      <c r="AG641" s="62" t="str">
        <f aca="false">IF(ISNUMBER(AD641),AD641-(IF(AND(INDEX(TZ_DSTS,MATCH(P641,TZ_STN,0))&lt;&gt;"",(AD641-INDEX(TZ_STD,MATCH(P641,TZ_STN,0))/24)&gt;=INDEX(TZ_DSTS,MATCH(P641,TZ_STN,0)),(AD641-INDEX(TZ_STD,MATCH(P641,TZ_STN,0))/24)&lt;INDEX(TZ_DSTE,MATCH(P641,TZ_STN,0))),INDEX(TZ_DST,MATCH(P641,TZ_STN,0)),INDEX(TZ_STD,MATCH(P641,TZ_STN,0))))/24,"")</f>
        <v/>
      </c>
      <c r="AH641" s="65" t="str">
        <f aca="false">IFERROR(IF(N641="N/A – rule",IF(OR(TRIM(U641)="",TRIM(U641)="N/A",TRIM(U641)="Not started"),"N/A – RULE","INVALID – this check does not apply to this aircraft: clear the status (or correct the fleet on Flights)"),IF(TRIM(U641)="N/A",IF(AT641=0,"INVALID – N/A not permitted for this check",IF(AND(TRIM(AB641)&lt;&gt;"",TRIM(AB641)&lt;&gt;"Closed"),"INVALID – corrective action still open",IF(AND(NOT(OR(LEN(AZ641)&lt;15,ISNUMBER(MATCH(AZ641,L_Placeholder,0)))),BK641=0,CG641&gt;=8,NOT(OR(LEN(AU641)&lt;2,ISNUMBER(MATCH(AU641,L_Placeholder,0)))),BR641&gt;=3,NOT(OR(LEN(AX641)&lt;2,ISNUMBER(MATCH(AX641,L_Placeholder,0)))),BS641&gt;=3,TRIM(AE641)&lt;&gt;TRIM(T641),AX641&lt;&gt;AU641,CE641=0),"N/A – JUSTIFIED","INVALID – N/A needs a real, settled reason (not 'not applicable' / 'as above' / TBC), a named PIC and a different named verifier"))),IF(OR(TRIM(U641)="Pass",TRIM(U641)="Pass after CA"),IF(NOT(ISNUMBER(AD641)),"INVALID – completion time missing",IF(OR(OR(LEN(AU641)&lt;2,ISNUMBER(MATCH(AU641,L_Placeholder,0))),BR641&lt;3),"INVALID – PIC missing or not a named person (a role such as QA / CSM is not a name)",IF(OR(LEN(AV641)&lt;2,ISNUMBER(MATCH(AV641,L_Placeholder,0))),"INVALID – result / assessment missing",IF(OR(OR(LEN(AW641)&lt;3,ISNUMBER(MATCH(AW641,L_Placeholder,0))),SUMPRODUCT(--ISNUMBER(SEARCH(" "&amp;L_EvidencePhrase&amp;" ",BD641)))&gt;0,BI641=1),"INVALID – evidence missing, placeholder or not yet on file",IF(ISNA(MATCH(TRIM(S641),L_EvidenceType,0)),"INVALID – choose the evidence type from the list (column S)",IF(BL641=0,"INVALID – evidence ID must be the record's own ID only (e.g. SF-2210, IMG_2231, 1045521); a link / file name needs type 'Link / file path'",IF(OR(OR(LEN(AX641)&lt;2,ISNUMBER(MATCH(AX641,L_Placeholder,0))),BS641&lt;3),"INVALID – verifier missing or not a named person (a role such as QA / CSM is not a name)",IF(OR(AX641=AU641,CE641=1,AND(LEN(AU641)&gt;=4,ISNUMBER(SEARCH(AU641,AX641))),AND(LEN(AX641)&gt;=4,ISNUMBER(SEARCH(AX641,AU641)))),"INVALID – verifier must be a different, named person (not the PIC or a role)",IF(BH641=1,"INVALID – result not yet available (awaiting / TBC)",IF(BG641=1,"INVALID – result describes a problem: record Fail, then Pass after CA (or reword if it is not a problem)",IF(BV641=1,"INVALID – wording says not on board: an on-board confirmation needs the item loaded",IF(AND(AQ641=1,OR(OR(LEN(AY641)&lt;3,ISNUMBER(MATCH(AY641,L_Placeholder,0))),BJ641=1,BQ641=0)),"INVALID – batch ID missing, placeholder or not an ID (e.g. PASB-261008-BC-017)",IF(AND(AR641=1,OR(NOT(ISNUMBER(X641)),NOT(ISNUMBER(Y641)))),"INVALID – expected/actual qty missing",IF(AND(AR641=1,OR(X641&lt;=0,Y641&lt;0)),"INVALID – expected qty must be above 0 and actual not negative",IF(AH636="N/A – JUSTIFIED","INVALID – preparation row F19-T12-08 is N/A",IF(AND(AR641=1,ISNUMBER(X636),X641&lt;&gt;X636,TRIM(U641)&lt;&gt;"Pass after CA"),"INVALID – expected qty differs from preparation check F19-T12-08: record the load change as a corrective action (Pass after CA)",IF(BB641&lt;&gt;"",BB641,IF(AND(AS641=1,Documents!$J$23&lt;&gt;"ON FILE"),"INVALID – GLD not on file (Documents sheet)",IF(AND(AS641=2,Documents!$O$23&lt;&gt;"ON FILE"),"INVALID – menu checklist not on file (Documents sheet)",IF(AND(AS641=3,NOT(ISNUMBER(Flights!$AX$23))),"INVALID – enter carrying flight KUL departure (Flights AX)",IF(AND(AS641=3,OR(Flights!$AZ$23&gt;Flights!$AA$23,Flights!$AX$23&lt;Flights!$AA$23-3)),"INVALID – carrying flight (Flights AX) cannot arrive before this leg's STD, or is over 3 days early",IF(AG641&gt;AsOfUTC,"INVALID – completion time is in the future",IF(AND(ISNUMBER(BY641),AG641&lt;BY641),IF(H641="Physical uplift","INVALID – before uplift window (cannot confirm loading)","INVALID – before valid window"),IF(AG641&gt;Flights!$AA$23,"INVALID – completed after departure (cannot establish readiness)",IF(AND(H641="Preparation",AG641&gt;=IF(ISNUMBER(Flights!$BA$23),MIN(Flights!$BA$23,Flights!$AA$23),Flights!$AA$23)),"INVALID – completed after loading / departure (cannot establish readiness)",IF(AND(H641="Physical uplift",AG641&gt;Q641),"INVALID – recorded after the loading flight departed",IF(AG641&gt;Q641,"COMPLETE – LATE","COMPLETE"))))))))))))))))))))))))))),IF(TRIM(U641)="Fail","FAIL – DISCREPANCY",IF(AND(TRIM(U641)&lt;&gt;"",TRIM(U641)&lt;&gt;"Not started",TRIM(U641)&lt;&gt;"In progress"),"INVALID – unrecognised status (use the list)",IF(AsOfUTC&gt;Q641,"OVERDUE",IF(N641="Clarification required","OPEN – CLARIFICATION","OPEN"))))))),"INVALID – error value in an input cell")</f>
        <v>OPEN</v>
      </c>
      <c r="AI641" s="61" t="n">
        <f aca="false">IF(OR(AH641="N/A – RULE",AH641="N/A – JUSTIFIED"),0,1)</f>
        <v>1</v>
      </c>
      <c r="AJ641" s="61" t="n">
        <f aca="false">IF(LEFT(AH641,8)="COMPLETE",1,0)</f>
        <v>0</v>
      </c>
      <c r="AK641" s="61" t="n">
        <f aca="false">IF(AND(AI641=1,AJ641=0,AsOfUTC&gt;Q641),1,0)</f>
        <v>0</v>
      </c>
      <c r="AL641" s="61" t="n">
        <f aca="false">IFERROR(IF(AND(AI641=1,OR(TRIM(U641)="Fail",AND(TRIM(AB641)&lt;&gt;"",TRIM(AB641)&lt;&gt;"Closed"),AND(ISNUMBER(AF641),AF641&lt;&gt;0,TRIM(U641)&lt;&gt;"Pass after CA"))),1,0),1)</f>
        <v>0</v>
      </c>
      <c r="AM641" s="61" t="n">
        <f aca="false">IF(LEFT(AH641,7)="INVALID",1,0)</f>
        <v>0</v>
      </c>
      <c r="AN641" s="61" t="n">
        <f aca="false">IF(AND(N641="Clarification required",AI641=1,AJ641=0),1,0)</f>
        <v>0</v>
      </c>
      <c r="AO641" s="61" t="str">
        <f aca="false">IF(AK641=1,SUM(AK$5:AK641),"")</f>
        <v/>
      </c>
      <c r="AP641" s="61" t="str">
        <f aca="false">IF(AL641=1,SUM(AL$5:AL641),"")</f>
        <v/>
      </c>
      <c r="AQ641" s="61" t="n">
        <v>0</v>
      </c>
      <c r="AR641" s="61" t="n">
        <v>0</v>
      </c>
      <c r="AS641" s="61" t="n">
        <v>0</v>
      </c>
      <c r="AT641" s="61" t="n">
        <v>0</v>
      </c>
      <c r="AU641" s="61" t="str">
        <f aca="false">SUBSTITUTE(SUBSTITUTE(SUBSTITUTE(SUBSTITUTE(SUBSTITUTE(SUBSTITUTE(SUBSTITUTE(SUBSTITUTE(SUBSTITUTE(SUBSTITUTE(SUBSTITUTE(SUBSTITUTE(SUBSTITUTE(SUBSTITUTE(SUBSTITUTE(SUBSTITUTE(LOWER(T641&amp;""),CHAR(10),""),CHAR(13),""),CHAR(9),""),CHAR(160),"")," ",""),".",""),"-",""),"/",""),"?",""),"_",""),",",""),"[",""),"]",""),"(",""),")",""),"*","")</f>
        <v/>
      </c>
      <c r="AV641" s="61" t="str">
        <f aca="false">SUBSTITUTE(SUBSTITUTE(SUBSTITUTE(SUBSTITUTE(SUBSTITUTE(SUBSTITUTE(SUBSTITUTE(SUBSTITUTE(SUBSTITUTE(SUBSTITUTE(SUBSTITUTE(SUBSTITUTE(SUBSTITUTE(SUBSTITUTE(SUBSTITUTE(SUBSTITUTE(LOWER(V641&amp;""),CHAR(10),""),CHAR(13),""),CHAR(9),""),CHAR(160),"")," ",""),".",""),"-",""),"/",""),"?",""),"_",""),",",""),"[",""),"]",""),"(",""),")",""),"*","")</f>
        <v/>
      </c>
      <c r="AW641" s="61" t="str">
        <f aca="false">SUBSTITUTE(SUBSTITUTE(SUBSTITUTE(SUBSTITUTE(SUBSTITUTE(SUBSTITUTE(SUBSTITUTE(SUBSTITUTE(SUBSTITUTE(SUBSTITUTE(SUBSTITUTE(SUBSTITUTE(SUBSTITUTE(SUBSTITUTE(SUBSTITUTE(SUBSTITUTE(LOWER(Z641&amp;""),CHAR(10),""),CHAR(13),""),CHAR(9),""),CHAR(160),"")," ",""),".",""),"-",""),"/",""),"?",""),"_",""),",",""),"[",""),"]",""),"(",""),")",""),"*","")</f>
        <v/>
      </c>
      <c r="AX641" s="61" t="str">
        <f aca="false">SUBSTITUTE(SUBSTITUTE(SUBSTITUTE(SUBSTITUTE(SUBSTITUTE(SUBSTITUTE(SUBSTITUTE(SUBSTITUTE(SUBSTITUTE(SUBSTITUTE(SUBSTITUTE(SUBSTITUTE(SUBSTITUTE(SUBSTITUTE(SUBSTITUTE(SUBSTITUTE(LOWER(AE641&amp;""),CHAR(10),""),CHAR(13),""),CHAR(9),""),CHAR(160),"")," ",""),".",""),"-",""),"/",""),"?",""),"_",""),",",""),"[",""),"]",""),"(",""),")",""),"*","")</f>
        <v/>
      </c>
      <c r="AY641" s="61" t="str">
        <f aca="false">SUBSTITUTE(SUBSTITUTE(SUBSTITUTE(SUBSTITUTE(SUBSTITUTE(SUBSTITUTE(SUBSTITUTE(SUBSTITUTE(SUBSTITUTE(SUBSTITUTE(SUBSTITUTE(SUBSTITUTE(SUBSTITUTE(SUBSTITUTE(SUBSTITUTE(SUBSTITUTE(LOWER(W641&amp;""),CHAR(10),""),CHAR(13),""),CHAR(9),""),CHAR(160),"")," ",""),".",""),"-",""),"/",""),"?",""),"_",""),",",""),"[",""),"]",""),"(",""),")",""),"*","")</f>
        <v/>
      </c>
      <c r="AZ641" s="61" t="str">
        <f aca="false">SUBSTITUTE(SUBSTITUTE(SUBSTITUTE(SUBSTITUTE(SUBSTITUTE(SUBSTITUTE(SUBSTITUTE(SUBSTITUTE(SUBSTITUTE(SUBSTITUTE(SUBSTITUTE(SUBSTITUTE(SUBSTITUTE(SUBSTITUTE(SUBSTITUTE(SUBSTITUTE(LOWER(AC641&amp;""),CHAR(10),""),CHAR(13),""),CHAR(9),""),CHAR(160),"")," ",""),".",""),"-",""),"/",""),"?",""),"_",""),",",""),"[",""),"]",""),"(",""),")",""),"*","")</f>
        <v/>
      </c>
      <c r="BA641" s="61" t="str">
        <f aca="false">SUBSTITUTE(SUBSTITUTE(SUBSTITUTE(SUBSTITUTE(SUBSTITUTE(SUBSTITUTE(SUBSTITUTE(SUBSTITUTE(SUBSTITUTE(SUBSTITUTE(SUBSTITUTE(SUBSTITUTE(SUBSTITUTE(SUBSTITUTE(SUBSTITUTE(SUBSTITUTE(LOWER(AA641&amp;""),CHAR(10),""),CHAR(13),""),CHAR(9),""),CHAR(160),"")," ",""),".",""),"-",""),"/",""),"?",""),"_",""),",",""),"[",""),"]",""),"(",""),")",""),"*","")</f>
        <v/>
      </c>
      <c r="BB641" s="61" t="str">
        <f aca="false">IF(AND(TRIM(U641)="Pass",ISNUMBER(AF641)),IF(AF641&lt;&gt;0,"INVALID – qty variance: use Fail or Pass after CA",""),"")&amp;IF(AND(TRIM(U641)="Pass after CA",ISNUMBER(AF641)),IF(AF641&lt;&gt;0,"INVALID – after the corrective action the actual qty must equal expected (update Actual)",""),"")&amp;IF(AND(TRIM(U641)="Pass",TRIM(AB641)&lt;&gt;"",TRIM(AB641)&lt;&gt;"Closed"),"INVALID – corrective action not closed: use Fail, then Pass after CA","")&amp;IF(AND(LEN(BA641)&gt;=2,ISNA(MATCH(LEFT(BA641,255),L_Placeholder,0)),TRIM(AB641)=""),"INVALID – CA status missing for the recorded corrective action","")&amp;IF(AND(TRIM(U641)="Pass after CA",OR(OR(LEN(BA641)&lt;5,ISNUMBER(MATCH(BA641,L_Placeholder,0))),TRIM(AB641)&lt;&gt;"Closed")),"INVALID – corrective action not recorded/closed","")</f>
        <v/>
      </c>
      <c r="BC641" s="61" t="str">
        <f aca="false">" "&amp;TRIM(SUBSTITUTE(SUBSTITUTE(SUBSTITUTE(SUBSTITUTE(SUBSTITUTE(SUBSTITUTE(SUBSTITUTE(SUBSTITUTE(SUBSTITUTE(SUBSTITUTE(SUBSTITUTE(SUBSTITUTE(SUBSTITUTE(SUBSTITUTE(SUBSTITUTE(SUBSTITUTE(SUBSTITUTE(SUBSTITUTE(SUBSTITUTE(SUBSTITUTE(SUBSTITUTE(SUBSTITUTE(SUBSTITUTE(SUBSTITUTE(LOWER(V641&amp;""),CHAR(10)," "),CHAR(13)," "),CHAR(9)," "),CHAR(160)," "),"."," "),","," "),"-"," "),"/"," "),"("," "),")"," "),":"," "),";"," "),"_"," "),"–"," "),"?"," "),"!"," "),"*"," "),"["," "),"]"," "),"'"," "),"#"," "),"+"," "),"&amp;"," "),"\"," "))&amp;" "</f>
        <v>  </v>
      </c>
      <c r="BD641" s="61" t="str">
        <f aca="false">" "&amp;TRIM(SUBSTITUTE(SUBSTITUTE(SUBSTITUTE(SUBSTITUTE(SUBSTITUTE(SUBSTITUTE(SUBSTITUTE(SUBSTITUTE(SUBSTITUTE(SUBSTITUTE(SUBSTITUTE(SUBSTITUTE(SUBSTITUTE(SUBSTITUTE(SUBSTITUTE(SUBSTITUTE(SUBSTITUTE(SUBSTITUTE(SUBSTITUTE(SUBSTITUTE(SUBSTITUTE(SUBSTITUTE(SUBSTITUTE(SUBSTITUTE(LOWER(Z641&amp;""),CHAR(10)," "),CHAR(13)," "),CHAR(9)," "),CHAR(160)," "),"."," "),","," "),"-"," "),"/"," "),"("," "),")"," "),":"," "),";"," "),"_"," "),"–"," "),"?"," "),"!"," "),"*"," "),"["," "),"]"," "),"'"," "),"#"," "),"+"," "),"&amp;"," "),"\"," "))&amp;" "</f>
        <v>  </v>
      </c>
      <c r="BE641" s="61" t="str">
        <f aca="false">" "&amp;TRIM(SUBSTITUTE(SUBSTITUTE(SUBSTITUTE(SUBSTITUTE(SUBSTITUTE(SUBSTITUTE(SUBSTITUTE(SUBSTITUTE(SUBSTITUTE(SUBSTITUTE(SUBSTITUTE(SUBSTITUTE(SUBSTITUTE(SUBSTITUTE(SUBSTITUTE(SUBSTITUTE(SUBSTITUTE(SUBSTITUTE(SUBSTITUTE(SUBSTITUTE(SUBSTITUTE(SUBSTITUTE(SUBSTITUTE(SUBSTITUTE(LOWER(W641&amp;""),CHAR(10)," "),CHAR(13)," "),CHAR(9)," "),CHAR(160)," "),"."," "),","," "),"-"," "),"/"," "),"("," "),")"," "),":"," "),";"," "),"_"," "),"–"," "),"?"," "),"!"," "),"*"," "),"["," "),"]"," "),"'"," "),"#"," "),"+"," "),"&amp;"," "),"\"," "))&amp;" "</f>
        <v>  </v>
      </c>
      <c r="BF641" s="61" t="str">
        <f aca="false">" "&amp;TRIM(SUBSTITUTE(SUBSTITUTE(SUBSTITUTE(SUBSTITUTE(SUBSTITUTE(SUBSTITUTE(SUBSTITUTE(SUBSTITUTE(SUBSTITUTE(SUBSTITUTE(SUBSTITUTE(SUBSTITUTE(SUBSTITUTE(SUBSTITUTE(SUBSTITUTE(SUBSTITUTE(SUBSTITUTE(SUBSTITUTE(SUBSTITUTE(SUBSTITUTE(SUBSTITUTE(SUBSTITUTE(SUBSTITUTE(SUBSTITUTE(LOWER(AC641&amp;""),CHAR(10)," "),CHAR(13)," "),CHAR(9)," "),CHAR(160)," "),"."," "),","," "),"-"," "),"/"," "),"("," "),")"," "),":"," "),";"," "),"_"," "),"–"," "),"?"," "),"!"," "),"*"," "),"["," "),"]"," "),"'"," "),"#"," "),"+"," "),"&amp;"," "),"\"," "))&amp;" "</f>
        <v>  </v>
      </c>
      <c r="BG641" s="61" t="n">
        <f aca="false">IFERROR(IF(AND(TRIM(U641)="Pass",SUMPRODUCT((LEN(BC641)-LEN(SUBSTITUTE(BC641," "&amp;L_ResultBad&amp;" "," ")))/(LEN(L_ResultBad)+1))&gt;SUMPRODUCT((LEN(BC641)-LEN(SUBSTITUTE(BC641," "&amp;L_NegPhrase&amp;" "," ")))/(LEN(L_NegPhrase)+1))),1,0),0)</f>
        <v>0</v>
      </c>
      <c r="BH641" s="61" t="n">
        <f aca="false">IFERROR(IF(SUMPRODUCT((LEN(BC641)-LEN(SUBSTITUTE(BC641," "&amp;L_Pending&amp;" "," ")))/(LEN(L_Pending)+1))&gt;SUMPRODUCT((LEN(BC641)-LEN(SUBSTITUTE(BC641," "&amp;L_PendNeg&amp;" "," ")))/(LEN(L_PendNeg)+1)),1,0),1)</f>
        <v>0</v>
      </c>
      <c r="BI641" s="61" t="n">
        <f aca="false">IFERROR(IF(SUMPRODUCT((LEN(BD641)-LEN(SUBSTITUTE(BD641," "&amp;L_PendStrict&amp;" "," ")))/(LEN(L_PendStrict)+1))&gt;SUMPRODUCT((LEN(BD641)-LEN(SUBSTITUTE(BD641," "&amp;L_PendNeg&amp;" "," ")))/(LEN(L_PendNeg)+1)),1,0),1)</f>
        <v>0</v>
      </c>
      <c r="BJ641" s="61" t="n">
        <f aca="false">IFERROR(IF(SUMPRODUCT((LEN(BE641)-LEN(SUBSTITUTE(BE641," "&amp;L_Pending&amp;" "," ")))/(LEN(L_Pending)+1))&gt;SUMPRODUCT((LEN(BE641)-LEN(SUBSTITUTE(BE641," "&amp;L_PendNeg&amp;" "," ")))/(LEN(L_PendNeg)+1)),1,0),1)</f>
        <v>0</v>
      </c>
      <c r="BK641" s="61" t="n">
        <f aca="false">IFERROR(IF(SUMPRODUCT((LEN(BF641)-LEN(SUBSTITUTE(BF641," "&amp;L_PendStrict&amp;" "," ")))/(LEN(L_PendStrict)+1))&gt;SUMPRODUCT((LEN(BF641)-LEN(SUBSTITUTE(BF641," "&amp;L_PendNeg&amp;" "," ")))/(LEN(L_PendNeg)+1)),1,0),1)</f>
        <v>0</v>
      </c>
      <c r="BL641" s="61" t="n">
        <f aca="false">IF(ISNA(MATCH(TRIM(S641),L_EvidenceType,0)),0,BZ641)</f>
        <v>0</v>
      </c>
      <c r="BM641" s="61" t="str">
        <f aca="false">SUBSTITUTE(SUBSTITUTE(SUBSTITUTE(SUBSTITUTE(SUBSTITUTE(SUBSTITUTE(SUBSTITUTE(SUBSTITUTE(SUBSTITUTE(LOWER(Z641&amp;""),"1","0"),"2","0"),"3","0"),"4","0"),"5","0"),"6","0"),"7","0"),"8","0"),"9","0")</f>
        <v/>
      </c>
      <c r="BN641" s="61" t="str">
        <f aca="false">SUBSTITUTE(SUBSTITUTE(SUBSTITUTE(SUBSTITUTE(SUBSTITUTE(SUBSTITUTE(SUBSTITUTE(SUBSTITUTE(SUBSTITUTE(SUBSTITUTE(SUBSTITUTE(SUBSTITUTE(SUBSTITUTE(SUBSTITUTE(SUBSTITUTE(SUBSTITUTE(SUBSTITUTE(SUBSTITUTE(SUBSTITUTE(SUBSTITUTE(SUBSTITUTE(SUBSTITUTE(SUBSTITUTE(SUBSTITUTE(SUBSTITUTE(BM641,"b","a"),"c","a"),"d","a"),"e","a"),"f","a"),"g","a"),"h","a"),"i","a"),"j","a"),"k","a"),"l","a"),"m","a"),"n","a"),"o","a"),"p","a"),"q","a"),"r","a"),"s","a"),"t","a"),"u","a"),"v","a"),"w","a"),"x","a"),"y","a"),"z","a")</f>
        <v/>
      </c>
      <c r="BO641" s="61" t="str">
        <f aca="false">SUBSTITUTE(SUBSTITUTE(SUBSTITUTE(SUBSTITUTE(SUBSTITUTE(SUBSTITUTE(SUBSTITUTE(SUBSTITUTE(SUBSTITUTE(LOWER(W641&amp;""),"1","0"),"2","0"),"3","0"),"4","0"),"5","0"),"6","0"),"7","0"),"8","0"),"9","0")</f>
        <v/>
      </c>
      <c r="BP641" s="61" t="str">
        <f aca="false">SUBSTITUTE(SUBSTITUTE(SUBSTITUTE(SUBSTITUTE(SUBSTITUTE(SUBSTITUTE(SUBSTITUTE(SUBSTITUTE(SUBSTITUTE(SUBSTITUTE(SUBSTITUTE(SUBSTITUTE(SUBSTITUTE(SUBSTITUTE(SUBSTITUTE(SUBSTITUTE(SUBSTITUTE(SUBSTITUTE(SUBSTITUTE(SUBSTITUTE(SUBSTITUTE(SUBSTITUTE(SUBSTITUTE(SUBSTITUTE(SUBSTITUTE(BO641,"b","a"),"c","a"),"d","a"),"e","a"),"f","a"),"g","a"),"h","a"),"i","a"),"j","a"),"k","a"),"l","a"),"m","a"),"n","a"),"o","a"),"p","a"),"q","a"),"r","a"),"s","a"),"t","a"),"u","a"),"v","a"),"w","a"),"x","a"),"y","a"),"z","a")</f>
        <v/>
      </c>
      <c r="BQ641" s="61" t="n">
        <f aca="false">IFERROR(IF(AND(ISERROR(SEARCH(" mh"," "&amp;LOWER(W641))),ISNA(MATCH(LEFT(TRIM(BP641),255),{"0000a","000a","00a","0000aa","000aa","00aa","0aa","0000aaa","000aaa","00a00","0a00","0000-0000","00:00","a00","a0","00.00.0000","00/00/0000","00-00-0000","0000-00-00","0000/00/00","0000.00.00","00.00.00","00/00/00","00-00-00","0.00.0000","0/00/0000","0-00-0000"},0)),ISNA(MATCH(LEFT(TRIM(CA641),255),{"0000a","000a","00a","0000aa","000aa","00aa","0aa","0000aaa","000aaa","00a00","0a00","0000-0000","00:00","a00","a0","00.00.0000","00/00/0000","00-00-0000","0000-00-00","0000/00/00","0000.00.00","00.00.00","00/00/00","00-00-00","0.00.0000","0/00/0000","0-00-0000"},0)),LEN(CB641)&gt;=3,NOT(OR(SUBSTITUTE(CB641,"0","")="",AND(LEN(CB641)&gt;=4,CB641=REPT(LEFT(CB641),LEN(CB641))),ISNUMBER(MATCH(CB641,{"123","1234","12345","123456","1234567","12345678","0123","01234","012345","98765","987654","54321"},0)),AND(LEN(CB641)=8,LEFT(CB641,3)="202"))),OR(AND((LEN(CA641)-LEN(SUBSTITUTE(CA641,"a","")))&gt;=1,SUMPRODUCT(--ISNUMBER(SEARCH({"a0","a-0","a_0","a/0","a.0","a#0","0a","0-a","0_a","0/a"},BP641)))&gt;0),ISNUMBER(SEARCH("000000",BP641)))),1,0),0)</f>
        <v>0</v>
      </c>
      <c r="BR641" s="61" t="n">
        <f aca="false">IFERROR(LEN(SUBSTITUTE(CC641," ",""))-SUMPRODUCT((LEN(CC641)-LEN(SUBSTITUTE(CC641," "&amp;L_Role&amp;" "," ")))/(LEN(L_Role)+1)*LEN(L_Role)),0)</f>
        <v>0</v>
      </c>
      <c r="BS641" s="61" t="n">
        <f aca="false">IFERROR(LEN(SUBSTITUTE(CD641," ",""))-SUMPRODUCT((LEN(CD641)-LEN(SUBSTITUTE(CD641," "&amp;L_Role&amp;" "," ")))/(LEN(L_Role)+1)*LEN(L_Role)),0)</f>
        <v>0</v>
      </c>
      <c r="BT6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641,"revision",""),"version",""),"jan",""),"feb",""),"mar",""),"apr",""),"may",""),"jun",""),"jul",""),"aug",""),"sep",""),"oct",""),"nov",""),"dec",""),"utc",""),"gmt",""),"myt",""),"bst",""),"rev",""),"ver",""),"b","a"),"c","a"),"d","a"),"e","a"),"f","a"),"g","a"),"h","a"),"i","a"),"j","a"),"k","a"),"l","a"),"m","a"),"n","a"),"o","a"),"p","a"),"q","a"),"r","a"),"s","a"),"t","a"),"u","a"),"v","a"),"w","a"),"x","a"),"y","a"),"z","a")</f>
        <v/>
      </c>
      <c r="BU641" s="61" t="str">
        <f aca="false">SUBSTITUTE(SUBSTITUTE(SUBSTITUTE(SUBSTITUTE(SUBSTITUTE(SUBSTITUTE(SUBSTITUTE(SUBSTITUTE(SUBSTITUTE(SUBSTITUTE(LEFT(BM641,FIND("0",BM641&amp;"0")-1),"-",""),"_",""),"/",""),".",""),"#",""),"\\",""),":","")," ",""),"(",""),")","")</f>
        <v/>
      </c>
      <c r="BV641" s="61" t="n">
        <f aca="false">IFERROR(IF(OR(SUMPRODUCT((LEN(BC641)-LEN(SUBSTITUTE(BC641," "&amp;L_NotLoaded&amp;" "," ")))/(LEN(L_NotLoaded)+1))&gt;SUMPRODUCT((LEN(BC641)-LEN(SUBSTITUTE(BC641," "&amp;L_NotLoadedNeg&amp;" "," ")))/(LEN(L_NotLoadedNeg)+1)),SUMPRODUCT((LEN(BD641)-LEN(SUBSTITUTE(BD641," "&amp;L_NotLoaded&amp;" "," ")))/(LEN(L_NotLoaded)+1))&gt;SUMPRODUCT((LEN(BD641)-LEN(SUBSTITUTE(BD641," "&amp;L_NotLoadedNeg&amp;" "," ")))/(LEN(L_NotLoadedNeg)+1))),1,0),0)</f>
        <v>0</v>
      </c>
      <c r="BW6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641&amp;""),"a",""),"b",""),"c",""),"d",""),"e",""),"f",""),"g",""),"h",""),"i",""),"j",""),"k",""),"l",""),"m",""),"n",""),"o",""),"p",""),"q",""),"r",""),"s",""),"t",""),"u",""),"v",""),"w",""),"x",""),"y",""),"z",""),"-",""),"_",""),"/",""),".",""),"#",""),"\\",""),":","")," ",""),"(",""),")","")</f>
        <v/>
      </c>
      <c r="BX641" s="61" t="str">
        <f aca="false">SUBSTITUTE(SUBSTITUTE(SUBSTITUTE(SUBSTITUTE(SUBSTITUTE(SUBSTITUTE(SUBSTITUTE(SUBSTITUTE(SUBSTITUTE(SUBSTITUTE(SUBSTITUTE(BM641,"0",""),"-",""),"_",""),"/",""),".",""),"#",""),"\\",""),":","")," ",""),"(",""),")","")</f>
        <v/>
      </c>
      <c r="BY641" s="62" t="n">
        <f aca="false">IF(ISNUMBER(Flights!$AZ$23),MAX(Q641-UpliftWindowH/24,Flights!$AZ$23),Q641-UpliftWindowH/24)</f>
        <v>46323.7777777778</v>
      </c>
      <c r="BZ641" s="61" t="n">
        <f aca="false">IFERROR(IF(IF(TRIM(S641)="Link / file path",AND(LEN(TRIM(Z641))&gt;=5,SUMPRODUCT(--ISNUMBER(SEARCH({"http","www.","\\",":\",".pdf",".jpg",".jpeg",".png",".heic",".xls",".doc",".msg",".eml",".ppt",".txt",".zip"},Z641)))&gt;0),AND(ISERROR(FIND(" ",TRIM(Z641))),NOT(OR(SUMPRODUCT(--ISNUMBER(FIND({",",";","&amp;","+"},Z641)))&gt;0,SUMPRODUCT(--ISNUMBER(SEARCH({"0/aa","0\\aa"},BN641)))&gt;0)),NOT(SUMPRODUCT(--ISNUMBER(SEARCH({"http","www.","\\",":\",".pdf",".jpg",".jpeg",".png",".heic",".xls",".doc",".msg",".eml",".ppt",".txt",".zip"},Z641)))&gt;0),NOT(LOWER(TRIM(Z641))=LOWER(Flights!$F$23)),ISNA(MATCH(BU641,{"mh","rev","revision","ver","version","v","r","a","b","seat","tray","row","gate","bay","stand","page","pg","item","line","no","cart","galley","flight","flt","table","box","bag","oven","etd","eta","std","sta","atd","ata","qty","pax","x","time","tel","ph","mob","day","wk","week","utc","gmt","myt","lt"},0)),NOT(OR(ISNUMBER(MATCH(LEFT(BN641,255),{"0000a","000a","00a","0000aa","000aa","00aa","0aa","0000aaa","000aaa","00a00","0a00","0000-0000","00:00","a00","a0","00.00.0000","00/00/0000","00-00-0000","0000-00-00","0000/00/00","0000.00.00","00.00.00","00/00/00","00-00-00","0.00.0000","0/00/0000","0-00-0000"},0)),ISNUMBER(MATCH(LEFT(BT641,255),{"0000a","000a","00a","0000aa","000aa","00aa","0aa","0000aaa","000aaa","00a00","0a00","0000-0000","00:00","a00","a0","00.00.0000","00/00/0000","00-00-0000","0000-00-00","0000/00/00","0000.00.00","00.00.00","00/00/00","00-00-00","0.00.0000","0/00/0000","0-00-0000"},0)))),NOT(OR(AND(BW641&lt;&gt;"",SUBSTITUTE(BW641,"0","")=""),AND(LEN(BW641)&gt;=4,BW641=REPT(LEFT(BW641),LEN(BW641))),ISNUMBER(MATCH(BW641,{"123","1234","12345","123456","1234567","12345678","0123","01234","012345","98765","987654","54321"},0)),ISNUMBER(MATCH(BX641,{"x","xx","xxx","xxxx","xxxxx","abc","abcd","nil","na","nan","test","tbc","tba","tbd","dummy","sample","example","eg","zz","zzz","none","null","xyz","qwe","asd","id","ref"},0)),AND(LEN(BW641)=8,BX641="",OR(LEFT(BW641,3)="202",ISNUMBER(MATCH(RIGHT(BW641,4),{"2025","2026","2027"},0)))))),OR(AND((LEN(BT641)-LEN(SUBSTITUTE(BT641,"a","")))&gt;=1,(LEN(BN641)-LEN(SUBSTITUTE(BN641,"0","")))&gt;=2,SUMPRODUCT(--ISNUMBER(SEARCH({"a0","a-0","a_0","a/0","a.0","a#0","0a","0-a","0_a","0/a"},BN641)))&gt;0),AND((LEN(BN641)-LEN(SUBSTITUTE(BN641,"a","")))=0,(LEN(BN641)-LEN(SUBSTITUTE(BN641,"0","")))&gt;=5)))),1,0),0)</f>
        <v>0</v>
      </c>
      <c r="CA6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641,"revision",""),"version",""),"jan",""),"feb",""),"mar",""),"apr",""),"may",""),"jun",""),"jul",""),"aug",""),"sep",""),"oct",""),"nov",""),"dec",""),"utc",""),"gmt",""),"myt",""),"bst",""),"rev",""),"ver",""),"b","a"),"c","a"),"d","a"),"e","a"),"f","a"),"g","a"),"h","a"),"i","a"),"j","a"),"k","a"),"l","a"),"m","a"),"n","a"),"o","a"),"p","a"),"q","a"),"r","a"),"s","a"),"t","a"),"u","a"),"v","a"),"w","a"),"x","a"),"y","a"),"z","a")</f>
        <v/>
      </c>
      <c r="CB6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641&amp;""),"a",""),"b",""),"c",""),"d",""),"e",""),"f",""),"g",""),"h",""),"i",""),"j",""),"k",""),"l",""),"m",""),"n",""),"o",""),"p",""),"q",""),"r",""),"s",""),"t",""),"u",""),"v",""),"w",""),"x",""),"y",""),"z",""),"-",""),"_",""),"/",""),".",""),"#",""),"\\",""),":","")," ",""),"(",""),")","")</f>
        <v/>
      </c>
      <c r="CC641" s="0" t="str">
        <f aca="false">" "&amp;TRIM(SUBSTITUTE(SUBSTITUTE(SUBSTITUTE(SUBSTITUTE(SUBSTITUTE(SUBSTITUTE(SUBSTITUTE(SUBSTITUTE(SUBSTITUTE(SUBSTITUTE(SUBSTITUTE(SUBSTITUTE(SUBSTITUTE(SUBSTITUTE(SUBSTITUTE(SUBSTITUTE(SUBSTITUTE(SUBSTITUTE(SUBSTITUTE(SUBSTITUTE(SUBSTITUTE(SUBSTITUTE(SUBSTITUTE(SUBSTITUTE(LOWER(T641&amp;""),CHAR(10)," "),CHAR(13)," "),CHAR(9)," "),CHAR(160)," "),"."," "),","," "),"-"," "),"/"," "),"("," "),")"," "),":"," "),";"," "),"_"," "),"–"," "),"?"," "),"!"," "),"*"," "),"["," "),"]"," "),"'"," "),"#"," "),"+"," "),"&amp;"," "),"\"," "))&amp;" "</f>
        <v>  </v>
      </c>
      <c r="CD641" s="0" t="str">
        <f aca="false">" "&amp;TRIM(SUBSTITUTE(SUBSTITUTE(SUBSTITUTE(SUBSTITUTE(SUBSTITUTE(SUBSTITUTE(SUBSTITUTE(SUBSTITUTE(SUBSTITUTE(SUBSTITUTE(SUBSTITUTE(SUBSTITUTE(SUBSTITUTE(SUBSTITUTE(SUBSTITUTE(SUBSTITUTE(SUBSTITUTE(SUBSTITUTE(SUBSTITUTE(SUBSTITUTE(SUBSTITUTE(SUBSTITUTE(SUBSTITUTE(SUBSTITUTE(LOWER(AE641&amp;""),CHAR(10)," "),CHAR(13)," "),CHAR(9)," "),CHAR(160)," "),"."," "),","," "),"-"," "),"/"," "),"("," "),")"," "),":"," "),";"," "),"_"," "),"–"," "),"?"," "),"!"," "),"*"," "),"["," "),"]"," "),"'"," "),"#"," "),"+"," "),"&amp;"," "),"\"," "))&amp;" "</f>
        <v>  </v>
      </c>
      <c r="CE641" s="68" t="n">
        <f aca="false">IFERROR(IF(AND(LEN(AU641)&gt;0,LEN(AU641)=LEN(AX641),OR(TRIM(MID(SUBSTITUTE(TRIM(CC641)," ",REPT(" ",60)),1,60))="",ISNUMBER(SEARCH(" "&amp;TRIM(MID(SUBSTITUTE(TRIM(CC641)," ",REPT(" ",60)),1,60))&amp;" ",CD641))),OR(TRIM(MID(SUBSTITUTE(TRIM(CC641)," ",REPT(" ",60)),61,60))="",ISNUMBER(SEARCH(" "&amp;TRIM(MID(SUBSTITUTE(TRIM(CC641)," ",REPT(" ",60)),61,60))&amp;" ",CD641))),OR(TRIM(MID(SUBSTITUTE(TRIM(CC641)," ",REPT(" ",60)),121,60))="",ISNUMBER(SEARCH(" "&amp;TRIM(MID(SUBSTITUTE(TRIM(CC641)," ",REPT(" ",60)),121,60))&amp;" ",CD641)))),1,0),0)</f>
        <v>0</v>
      </c>
      <c r="CG641" s="68" t="n">
        <f aca="false">IFERROR(LEN(SUBSTITUTE(BF641," ",""))-SUMPRODUCT((LEN(BF641)-LEN(SUBSTITUTE(BF641," "&amp;L_NAFiller&amp;" "," ")))/(LEN(L_NAFiller)+1)*LEN(L_NAFiller)),0)</f>
        <v>0</v>
      </c>
    </row>
    <row r="642" customFormat="false" ht="54" hidden="false" customHeight="true" outlineLevel="0" collapsed="false">
      <c r="A642" s="57" t="s">
        <v>1358</v>
      </c>
      <c r="B642" s="57" t="s">
        <v>301</v>
      </c>
      <c r="C642" s="57" t="str">
        <f aca="false">Flights!$F$23</f>
        <v>MH0053</v>
      </c>
      <c r="D642" s="58" t="n">
        <f aca="false">Flights!$D$23</f>
        <v>46324</v>
      </c>
      <c r="E642" s="57" t="str">
        <f aca="false">Flights!$G$23&amp;"-"&amp;Flights!$H$23</f>
        <v>KIX-KUL</v>
      </c>
      <c r="F642" s="57" t="str">
        <f aca="false">Flights!$K$23</f>
        <v>EY</v>
      </c>
      <c r="G642" s="57" t="s">
        <v>459</v>
      </c>
      <c r="H642" s="57" t="s">
        <v>460</v>
      </c>
      <c r="I642" s="57" t="s">
        <v>447</v>
      </c>
      <c r="J642" s="57" t="s">
        <v>471</v>
      </c>
      <c r="K642" s="67" t="s">
        <v>1088</v>
      </c>
      <c r="L642" s="67" t="s">
        <v>1351</v>
      </c>
      <c r="M642" s="67" t="s">
        <v>451</v>
      </c>
      <c r="N642" s="67" t="s">
        <v>383</v>
      </c>
      <c r="O642" s="67" t="s">
        <v>1359</v>
      </c>
      <c r="P642" s="57" t="s">
        <v>295</v>
      </c>
      <c r="Q642" s="59" t="n">
        <f aca="false">ROUND((Flights!$AF$23)*1440,0)/1440</f>
        <v>46324.0277777778</v>
      </c>
      <c r="R642" s="59" t="n">
        <f aca="false">Q642+(IF(AND(INDEX(TZ_DSTS,MATCH(P642,TZ_STN,0))&lt;&gt;"",Q642&gt;=INDEX(TZ_DSTS,MATCH(P642,TZ_STN,0)),Q642&lt;INDEX(TZ_DSTE,MATCH(P642,TZ_STN,0))),INDEX(TZ_DST,MATCH(P642,TZ_STN,0)),INDEX(TZ_STD,MATCH(P642,TZ_STN,0))))/24</f>
        <v>46324.4027777778</v>
      </c>
      <c r="S642" s="60"/>
      <c r="T642" s="60"/>
      <c r="U642" s="60"/>
      <c r="V642" s="60"/>
      <c r="W642" s="61"/>
      <c r="X642" s="69" t="n">
        <v>280</v>
      </c>
      <c r="Y642" s="60"/>
      <c r="Z642" s="60"/>
      <c r="AA642" s="60"/>
      <c r="AB642" s="60"/>
      <c r="AC642" s="60"/>
      <c r="AD642" s="66"/>
      <c r="AE642" s="60"/>
      <c r="AF642" s="61" t="str">
        <f aca="false">IF(AND(ISNUMBER(X642),ISNUMBER(Y642)),Y642-X642,"")</f>
        <v/>
      </c>
      <c r="AG642" s="62" t="str">
        <f aca="false">IF(ISNUMBER(AD642),AD642-(IF(AND(INDEX(TZ_DSTS,MATCH(P642,TZ_STN,0))&lt;&gt;"",(AD642-INDEX(TZ_STD,MATCH(P642,TZ_STN,0))/24)&gt;=INDEX(TZ_DSTS,MATCH(P642,TZ_STN,0)),(AD642-INDEX(TZ_STD,MATCH(P642,TZ_STN,0))/24)&lt;INDEX(TZ_DSTE,MATCH(P642,TZ_STN,0))),INDEX(TZ_DST,MATCH(P642,TZ_STN,0)),INDEX(TZ_STD,MATCH(P642,TZ_STN,0))))/24,"")</f>
        <v/>
      </c>
      <c r="AH642" s="65" t="str">
        <f aca="false">IFERROR(IF(N642="N/A – rule",IF(OR(TRIM(U642)="",TRIM(U642)="N/A",TRIM(U642)="Not started"),"N/A – RULE","INVALID – this check does not apply to this aircraft: clear the status (or correct the fleet on Flights)"),IF(TRIM(U642)="N/A",IF(AT642=0,"INVALID – N/A not permitted for this check",IF(AND(TRIM(AB642)&lt;&gt;"",TRIM(AB642)&lt;&gt;"Closed"),"INVALID – corrective action still open",IF(AND(NOT(OR(LEN(AZ642)&lt;15,ISNUMBER(MATCH(AZ642,L_Placeholder,0)))),BK642=0,CG642&gt;=8,NOT(OR(LEN(AU642)&lt;2,ISNUMBER(MATCH(AU642,L_Placeholder,0)))),BR642&gt;=3,NOT(OR(LEN(AX642)&lt;2,ISNUMBER(MATCH(AX642,L_Placeholder,0)))),BS642&gt;=3,TRIM(AE642)&lt;&gt;TRIM(T642),AX642&lt;&gt;AU642,CE642=0),"N/A – JUSTIFIED","INVALID – N/A needs a real, settled reason (not 'not applicable' / 'as above' / TBC), a named PIC and a different named verifier"))),IF(OR(TRIM(U642)="Pass",TRIM(U642)="Pass after CA"),IF(NOT(ISNUMBER(AD642)),"INVALID – completion time missing",IF(OR(OR(LEN(AU642)&lt;2,ISNUMBER(MATCH(AU642,L_Placeholder,0))),BR642&lt;3),"INVALID – PIC missing or not a named person (a role such as QA / CSM is not a name)",IF(OR(LEN(AV642)&lt;2,ISNUMBER(MATCH(AV642,L_Placeholder,0))),"INVALID – result / assessment missing",IF(OR(OR(LEN(AW642)&lt;3,ISNUMBER(MATCH(AW642,L_Placeholder,0))),SUMPRODUCT(--ISNUMBER(SEARCH(" "&amp;L_EvidencePhrase&amp;" ",BD642)))&gt;0,BI642=1),"INVALID – evidence missing, placeholder or not yet on file",IF(ISNA(MATCH(TRIM(S642),L_EvidenceType,0)),"INVALID – choose the evidence type from the list (column S)",IF(BL642=0,"INVALID – evidence ID must be the record's own ID only (e.g. SF-2210, IMG_2231, 1045521); a link / file name needs type 'Link / file path'",IF(OR(OR(LEN(AX642)&lt;2,ISNUMBER(MATCH(AX642,L_Placeholder,0))),BS642&lt;3),"INVALID – verifier missing or not a named person (a role such as QA / CSM is not a name)",IF(OR(AX642=AU642,CE642=1,AND(LEN(AU642)&gt;=4,ISNUMBER(SEARCH(AU642,AX642))),AND(LEN(AX642)&gt;=4,ISNUMBER(SEARCH(AX642,AU642)))),"INVALID – verifier must be a different, named person (not the PIC or a role)",IF(BH642=1,"INVALID – result not yet available (awaiting / TBC)",IF(BG642=1,"INVALID – result describes a problem: record Fail, then Pass after CA (or reword if it is not a problem)",IF(BV642=1,"INVALID – wording says not on board: an on-board confirmation needs the item loaded",IF(AND(AQ642=1,OR(OR(LEN(AY642)&lt;3,ISNUMBER(MATCH(AY642,L_Placeholder,0))),BJ642=1,BQ642=0)),"INVALID – batch ID missing, placeholder or not an ID (e.g. PASB-261008-BC-017)",IF(AND(AR642=1,OR(NOT(ISNUMBER(X642)),NOT(ISNUMBER(Y642)))),"INVALID – expected/actual qty missing",IF(AND(AR642=1,OR(X642&lt;=0,Y642&lt;0)),"INVALID – expected qty must be above 0 and actual not negative",IF(AH637="N/A – JUSTIFIED","INVALID – preparation row F19-T12-09 is N/A",IF(AND(AR642=1,ISNUMBER(X637),X642&lt;&gt;X637,TRIM(U642)&lt;&gt;"Pass after CA"),"INVALID – expected qty differs from preparation check F19-T12-09: record the load change as a corrective action (Pass after CA)",IF(BB642&lt;&gt;"",BB642,IF(AND(AS642=1,Documents!$J$23&lt;&gt;"ON FILE"),"INVALID – GLD not on file (Documents sheet)",IF(AND(AS642=2,Documents!$O$23&lt;&gt;"ON FILE"),"INVALID – menu checklist not on file (Documents sheet)",IF(AND(AS642=3,NOT(ISNUMBER(Flights!$AX$23))),"INVALID – enter carrying flight KUL departure (Flights AX)",IF(AND(AS642=3,OR(Flights!$AZ$23&gt;Flights!$AA$23,Flights!$AX$23&lt;Flights!$AA$23-3)),"INVALID – carrying flight (Flights AX) cannot arrive before this leg's STD, or is over 3 days early",IF(AG642&gt;AsOfUTC,"INVALID – completion time is in the future",IF(AND(ISNUMBER(BY642),AG642&lt;BY642),IF(H642="Physical uplift","INVALID – before uplift window (cannot confirm loading)","INVALID – before valid window"),IF(AG642&gt;Flights!$AA$23,"INVALID – completed after departure (cannot establish readiness)",IF(AND(H642="Preparation",AG642&gt;=IF(ISNUMBER(Flights!$BA$23),MIN(Flights!$BA$23,Flights!$AA$23),Flights!$AA$23)),"INVALID – completed after loading / departure (cannot establish readiness)",IF(AND(H642="Physical uplift",AG642&gt;Q642),"INVALID – recorded after the loading flight departed",IF(AG642&gt;Q642,"COMPLETE – LATE","COMPLETE"))))))))))))))))))))))))))),IF(TRIM(U642)="Fail","FAIL – DISCREPANCY",IF(AND(TRIM(U642)&lt;&gt;"",TRIM(U642)&lt;&gt;"Not started",TRIM(U642)&lt;&gt;"In progress"),"INVALID – unrecognised status (use the list)",IF(AsOfUTC&gt;Q642,"OVERDUE",IF(N642="Clarification required","OPEN – CLARIFICATION","OPEN"))))))),"INVALID – error value in an input cell")</f>
        <v>OPEN</v>
      </c>
      <c r="AI642" s="61" t="n">
        <f aca="false">IF(OR(AH642="N/A – RULE",AH642="N/A – JUSTIFIED"),0,1)</f>
        <v>1</v>
      </c>
      <c r="AJ642" s="61" t="n">
        <f aca="false">IF(LEFT(AH642,8)="COMPLETE",1,0)</f>
        <v>0</v>
      </c>
      <c r="AK642" s="61" t="n">
        <f aca="false">IF(AND(AI642=1,AJ642=0,AsOfUTC&gt;Q642),1,0)</f>
        <v>0</v>
      </c>
      <c r="AL642" s="61" t="n">
        <f aca="false">IFERROR(IF(AND(AI642=1,OR(TRIM(U642)="Fail",AND(TRIM(AB642)&lt;&gt;"",TRIM(AB642)&lt;&gt;"Closed"),AND(ISNUMBER(AF642),AF642&lt;&gt;0,TRIM(U642)&lt;&gt;"Pass after CA"))),1,0),1)</f>
        <v>0</v>
      </c>
      <c r="AM642" s="61" t="n">
        <f aca="false">IF(LEFT(AH642,7)="INVALID",1,0)</f>
        <v>0</v>
      </c>
      <c r="AN642" s="61" t="n">
        <f aca="false">IF(AND(N642="Clarification required",AI642=1,AJ642=0),1,0)</f>
        <v>0</v>
      </c>
      <c r="AO642" s="61" t="str">
        <f aca="false">IF(AK642=1,SUM(AK$5:AK642),"")</f>
        <v/>
      </c>
      <c r="AP642" s="61" t="str">
        <f aca="false">IF(AL642=1,SUM(AL$5:AL642),"")</f>
        <v/>
      </c>
      <c r="AQ642" s="61" t="n">
        <v>0</v>
      </c>
      <c r="AR642" s="61" t="n">
        <v>1</v>
      </c>
      <c r="AS642" s="61" t="n">
        <v>0</v>
      </c>
      <c r="AT642" s="61" t="n">
        <v>0</v>
      </c>
      <c r="AU642" s="61" t="str">
        <f aca="false">SUBSTITUTE(SUBSTITUTE(SUBSTITUTE(SUBSTITUTE(SUBSTITUTE(SUBSTITUTE(SUBSTITUTE(SUBSTITUTE(SUBSTITUTE(SUBSTITUTE(SUBSTITUTE(SUBSTITUTE(SUBSTITUTE(SUBSTITUTE(SUBSTITUTE(SUBSTITUTE(LOWER(T642&amp;""),CHAR(10),""),CHAR(13),""),CHAR(9),""),CHAR(160),"")," ",""),".",""),"-",""),"/",""),"?",""),"_",""),",",""),"[",""),"]",""),"(",""),")",""),"*","")</f>
        <v/>
      </c>
      <c r="AV642" s="61" t="str">
        <f aca="false">SUBSTITUTE(SUBSTITUTE(SUBSTITUTE(SUBSTITUTE(SUBSTITUTE(SUBSTITUTE(SUBSTITUTE(SUBSTITUTE(SUBSTITUTE(SUBSTITUTE(SUBSTITUTE(SUBSTITUTE(SUBSTITUTE(SUBSTITUTE(SUBSTITUTE(SUBSTITUTE(LOWER(V642&amp;""),CHAR(10),""),CHAR(13),""),CHAR(9),""),CHAR(160),"")," ",""),".",""),"-",""),"/",""),"?",""),"_",""),",",""),"[",""),"]",""),"(",""),")",""),"*","")</f>
        <v/>
      </c>
      <c r="AW642" s="61" t="str">
        <f aca="false">SUBSTITUTE(SUBSTITUTE(SUBSTITUTE(SUBSTITUTE(SUBSTITUTE(SUBSTITUTE(SUBSTITUTE(SUBSTITUTE(SUBSTITUTE(SUBSTITUTE(SUBSTITUTE(SUBSTITUTE(SUBSTITUTE(SUBSTITUTE(SUBSTITUTE(SUBSTITUTE(LOWER(Z642&amp;""),CHAR(10),""),CHAR(13),""),CHAR(9),""),CHAR(160),"")," ",""),".",""),"-",""),"/",""),"?",""),"_",""),",",""),"[",""),"]",""),"(",""),")",""),"*","")</f>
        <v/>
      </c>
      <c r="AX642" s="61" t="str">
        <f aca="false">SUBSTITUTE(SUBSTITUTE(SUBSTITUTE(SUBSTITUTE(SUBSTITUTE(SUBSTITUTE(SUBSTITUTE(SUBSTITUTE(SUBSTITUTE(SUBSTITUTE(SUBSTITUTE(SUBSTITUTE(SUBSTITUTE(SUBSTITUTE(SUBSTITUTE(SUBSTITUTE(LOWER(AE642&amp;""),CHAR(10),""),CHAR(13),""),CHAR(9),""),CHAR(160),"")," ",""),".",""),"-",""),"/",""),"?",""),"_",""),",",""),"[",""),"]",""),"(",""),")",""),"*","")</f>
        <v/>
      </c>
      <c r="AY642" s="61" t="str">
        <f aca="false">SUBSTITUTE(SUBSTITUTE(SUBSTITUTE(SUBSTITUTE(SUBSTITUTE(SUBSTITUTE(SUBSTITUTE(SUBSTITUTE(SUBSTITUTE(SUBSTITUTE(SUBSTITUTE(SUBSTITUTE(SUBSTITUTE(SUBSTITUTE(SUBSTITUTE(SUBSTITUTE(LOWER(W642&amp;""),CHAR(10),""),CHAR(13),""),CHAR(9),""),CHAR(160),"")," ",""),".",""),"-",""),"/",""),"?",""),"_",""),",",""),"[",""),"]",""),"(",""),")",""),"*","")</f>
        <v/>
      </c>
      <c r="AZ642" s="61" t="str">
        <f aca="false">SUBSTITUTE(SUBSTITUTE(SUBSTITUTE(SUBSTITUTE(SUBSTITUTE(SUBSTITUTE(SUBSTITUTE(SUBSTITUTE(SUBSTITUTE(SUBSTITUTE(SUBSTITUTE(SUBSTITUTE(SUBSTITUTE(SUBSTITUTE(SUBSTITUTE(SUBSTITUTE(LOWER(AC642&amp;""),CHAR(10),""),CHAR(13),""),CHAR(9),""),CHAR(160),"")," ",""),".",""),"-",""),"/",""),"?",""),"_",""),",",""),"[",""),"]",""),"(",""),")",""),"*","")</f>
        <v/>
      </c>
      <c r="BA642" s="61" t="str">
        <f aca="false">SUBSTITUTE(SUBSTITUTE(SUBSTITUTE(SUBSTITUTE(SUBSTITUTE(SUBSTITUTE(SUBSTITUTE(SUBSTITUTE(SUBSTITUTE(SUBSTITUTE(SUBSTITUTE(SUBSTITUTE(SUBSTITUTE(SUBSTITUTE(SUBSTITUTE(SUBSTITUTE(LOWER(AA642&amp;""),CHAR(10),""),CHAR(13),""),CHAR(9),""),CHAR(160),"")," ",""),".",""),"-",""),"/",""),"?",""),"_",""),",",""),"[",""),"]",""),"(",""),")",""),"*","")</f>
        <v/>
      </c>
      <c r="BB642" s="61" t="str">
        <f aca="false">IF(AND(TRIM(U642)="Pass",ISNUMBER(AF642)),IF(AF642&lt;&gt;0,"INVALID – qty variance: use Fail or Pass after CA",""),"")&amp;IF(AND(TRIM(U642)="Pass after CA",ISNUMBER(AF642)),IF(AF642&lt;&gt;0,"INVALID – after the corrective action the actual qty must equal expected (update Actual)",""),"")&amp;IF(AND(TRIM(U642)="Pass",TRIM(AB642)&lt;&gt;"",TRIM(AB642)&lt;&gt;"Closed"),"INVALID – corrective action not closed: use Fail, then Pass after CA","")&amp;IF(AND(LEN(BA642)&gt;=2,ISNA(MATCH(LEFT(BA642,255),L_Placeholder,0)),TRIM(AB642)=""),"INVALID – CA status missing for the recorded corrective action","")&amp;IF(AND(TRIM(U642)="Pass after CA",OR(OR(LEN(BA642)&lt;5,ISNUMBER(MATCH(BA642,L_Placeholder,0))),TRIM(AB642)&lt;&gt;"Closed")),"INVALID – corrective action not recorded/closed","")</f>
        <v/>
      </c>
      <c r="BC642" s="61" t="str">
        <f aca="false">" "&amp;TRIM(SUBSTITUTE(SUBSTITUTE(SUBSTITUTE(SUBSTITUTE(SUBSTITUTE(SUBSTITUTE(SUBSTITUTE(SUBSTITUTE(SUBSTITUTE(SUBSTITUTE(SUBSTITUTE(SUBSTITUTE(SUBSTITUTE(SUBSTITUTE(SUBSTITUTE(SUBSTITUTE(SUBSTITUTE(SUBSTITUTE(SUBSTITUTE(SUBSTITUTE(SUBSTITUTE(SUBSTITUTE(SUBSTITUTE(SUBSTITUTE(LOWER(V642&amp;""),CHAR(10)," "),CHAR(13)," "),CHAR(9)," "),CHAR(160)," "),"."," "),","," "),"-"," "),"/"," "),"("," "),")"," "),":"," "),";"," "),"_"," "),"–"," "),"?"," "),"!"," "),"*"," "),"["," "),"]"," "),"'"," "),"#"," "),"+"," "),"&amp;"," "),"\"," "))&amp;" "</f>
        <v>  </v>
      </c>
      <c r="BD642" s="61" t="str">
        <f aca="false">" "&amp;TRIM(SUBSTITUTE(SUBSTITUTE(SUBSTITUTE(SUBSTITUTE(SUBSTITUTE(SUBSTITUTE(SUBSTITUTE(SUBSTITUTE(SUBSTITUTE(SUBSTITUTE(SUBSTITUTE(SUBSTITUTE(SUBSTITUTE(SUBSTITUTE(SUBSTITUTE(SUBSTITUTE(SUBSTITUTE(SUBSTITUTE(SUBSTITUTE(SUBSTITUTE(SUBSTITUTE(SUBSTITUTE(SUBSTITUTE(SUBSTITUTE(LOWER(Z642&amp;""),CHAR(10)," "),CHAR(13)," "),CHAR(9)," "),CHAR(160)," "),"."," "),","," "),"-"," "),"/"," "),"("," "),")"," "),":"," "),";"," "),"_"," "),"–"," "),"?"," "),"!"," "),"*"," "),"["," "),"]"," "),"'"," "),"#"," "),"+"," "),"&amp;"," "),"\"," "))&amp;" "</f>
        <v>  </v>
      </c>
      <c r="BE642" s="61" t="str">
        <f aca="false">" "&amp;TRIM(SUBSTITUTE(SUBSTITUTE(SUBSTITUTE(SUBSTITUTE(SUBSTITUTE(SUBSTITUTE(SUBSTITUTE(SUBSTITUTE(SUBSTITUTE(SUBSTITUTE(SUBSTITUTE(SUBSTITUTE(SUBSTITUTE(SUBSTITUTE(SUBSTITUTE(SUBSTITUTE(SUBSTITUTE(SUBSTITUTE(SUBSTITUTE(SUBSTITUTE(SUBSTITUTE(SUBSTITUTE(SUBSTITUTE(SUBSTITUTE(LOWER(W642&amp;""),CHAR(10)," "),CHAR(13)," "),CHAR(9)," "),CHAR(160)," "),"."," "),","," "),"-"," "),"/"," "),"("," "),")"," "),":"," "),";"," "),"_"," "),"–"," "),"?"," "),"!"," "),"*"," "),"["," "),"]"," "),"'"," "),"#"," "),"+"," "),"&amp;"," "),"\"," "))&amp;" "</f>
        <v>  </v>
      </c>
      <c r="BF642" s="61" t="str">
        <f aca="false">" "&amp;TRIM(SUBSTITUTE(SUBSTITUTE(SUBSTITUTE(SUBSTITUTE(SUBSTITUTE(SUBSTITUTE(SUBSTITUTE(SUBSTITUTE(SUBSTITUTE(SUBSTITUTE(SUBSTITUTE(SUBSTITUTE(SUBSTITUTE(SUBSTITUTE(SUBSTITUTE(SUBSTITUTE(SUBSTITUTE(SUBSTITUTE(SUBSTITUTE(SUBSTITUTE(SUBSTITUTE(SUBSTITUTE(SUBSTITUTE(SUBSTITUTE(LOWER(AC642&amp;""),CHAR(10)," "),CHAR(13)," "),CHAR(9)," "),CHAR(160)," "),"."," "),","," "),"-"," "),"/"," "),"("," "),")"," "),":"," "),";"," "),"_"," "),"–"," "),"?"," "),"!"," "),"*"," "),"["," "),"]"," "),"'"," "),"#"," "),"+"," "),"&amp;"," "),"\"," "))&amp;" "</f>
        <v>  </v>
      </c>
      <c r="BG642" s="61" t="n">
        <f aca="false">IFERROR(IF(AND(TRIM(U642)="Pass",SUMPRODUCT((LEN(BC642)-LEN(SUBSTITUTE(BC642," "&amp;L_ResultBad&amp;" "," ")))/(LEN(L_ResultBad)+1))&gt;SUMPRODUCT((LEN(BC642)-LEN(SUBSTITUTE(BC642," "&amp;L_NegPhrase&amp;" "," ")))/(LEN(L_NegPhrase)+1))),1,0),0)</f>
        <v>0</v>
      </c>
      <c r="BH642" s="61" t="n">
        <f aca="false">IFERROR(IF(SUMPRODUCT((LEN(BC642)-LEN(SUBSTITUTE(BC642," "&amp;L_Pending&amp;" "," ")))/(LEN(L_Pending)+1))&gt;SUMPRODUCT((LEN(BC642)-LEN(SUBSTITUTE(BC642," "&amp;L_PendNeg&amp;" "," ")))/(LEN(L_PendNeg)+1)),1,0),1)</f>
        <v>0</v>
      </c>
      <c r="BI642" s="61" t="n">
        <f aca="false">IFERROR(IF(SUMPRODUCT((LEN(BD642)-LEN(SUBSTITUTE(BD642," "&amp;L_PendStrict&amp;" "," ")))/(LEN(L_PendStrict)+1))&gt;SUMPRODUCT((LEN(BD642)-LEN(SUBSTITUTE(BD642," "&amp;L_PendNeg&amp;" "," ")))/(LEN(L_PendNeg)+1)),1,0),1)</f>
        <v>0</v>
      </c>
      <c r="BJ642" s="61" t="n">
        <f aca="false">IFERROR(IF(SUMPRODUCT((LEN(BE642)-LEN(SUBSTITUTE(BE642," "&amp;L_Pending&amp;" "," ")))/(LEN(L_Pending)+1))&gt;SUMPRODUCT((LEN(BE642)-LEN(SUBSTITUTE(BE642," "&amp;L_PendNeg&amp;" "," ")))/(LEN(L_PendNeg)+1)),1,0),1)</f>
        <v>0</v>
      </c>
      <c r="BK642" s="61" t="n">
        <f aca="false">IFERROR(IF(SUMPRODUCT((LEN(BF642)-LEN(SUBSTITUTE(BF642," "&amp;L_PendStrict&amp;" "," ")))/(LEN(L_PendStrict)+1))&gt;SUMPRODUCT((LEN(BF642)-LEN(SUBSTITUTE(BF642," "&amp;L_PendNeg&amp;" "," ")))/(LEN(L_PendNeg)+1)),1,0),1)</f>
        <v>0</v>
      </c>
      <c r="BL642" s="61" t="n">
        <f aca="false">IF(ISNA(MATCH(TRIM(S642),L_EvidenceType,0)),0,BZ642)</f>
        <v>0</v>
      </c>
      <c r="BM642" s="61" t="str">
        <f aca="false">SUBSTITUTE(SUBSTITUTE(SUBSTITUTE(SUBSTITUTE(SUBSTITUTE(SUBSTITUTE(SUBSTITUTE(SUBSTITUTE(SUBSTITUTE(LOWER(Z642&amp;""),"1","0"),"2","0"),"3","0"),"4","0"),"5","0"),"6","0"),"7","0"),"8","0"),"9","0")</f>
        <v/>
      </c>
      <c r="BN642" s="61" t="str">
        <f aca="false">SUBSTITUTE(SUBSTITUTE(SUBSTITUTE(SUBSTITUTE(SUBSTITUTE(SUBSTITUTE(SUBSTITUTE(SUBSTITUTE(SUBSTITUTE(SUBSTITUTE(SUBSTITUTE(SUBSTITUTE(SUBSTITUTE(SUBSTITUTE(SUBSTITUTE(SUBSTITUTE(SUBSTITUTE(SUBSTITUTE(SUBSTITUTE(SUBSTITUTE(SUBSTITUTE(SUBSTITUTE(SUBSTITUTE(SUBSTITUTE(SUBSTITUTE(BM642,"b","a"),"c","a"),"d","a"),"e","a"),"f","a"),"g","a"),"h","a"),"i","a"),"j","a"),"k","a"),"l","a"),"m","a"),"n","a"),"o","a"),"p","a"),"q","a"),"r","a"),"s","a"),"t","a"),"u","a"),"v","a"),"w","a"),"x","a"),"y","a"),"z","a")</f>
        <v/>
      </c>
      <c r="BO642" s="61" t="str">
        <f aca="false">SUBSTITUTE(SUBSTITUTE(SUBSTITUTE(SUBSTITUTE(SUBSTITUTE(SUBSTITUTE(SUBSTITUTE(SUBSTITUTE(SUBSTITUTE(LOWER(W642&amp;""),"1","0"),"2","0"),"3","0"),"4","0"),"5","0"),"6","0"),"7","0"),"8","0"),"9","0")</f>
        <v/>
      </c>
      <c r="BP642" s="61" t="str">
        <f aca="false">SUBSTITUTE(SUBSTITUTE(SUBSTITUTE(SUBSTITUTE(SUBSTITUTE(SUBSTITUTE(SUBSTITUTE(SUBSTITUTE(SUBSTITUTE(SUBSTITUTE(SUBSTITUTE(SUBSTITUTE(SUBSTITUTE(SUBSTITUTE(SUBSTITUTE(SUBSTITUTE(SUBSTITUTE(SUBSTITUTE(SUBSTITUTE(SUBSTITUTE(SUBSTITUTE(SUBSTITUTE(SUBSTITUTE(SUBSTITUTE(SUBSTITUTE(BO642,"b","a"),"c","a"),"d","a"),"e","a"),"f","a"),"g","a"),"h","a"),"i","a"),"j","a"),"k","a"),"l","a"),"m","a"),"n","a"),"o","a"),"p","a"),"q","a"),"r","a"),"s","a"),"t","a"),"u","a"),"v","a"),"w","a"),"x","a"),"y","a"),"z","a")</f>
        <v/>
      </c>
      <c r="BQ642" s="61" t="n">
        <f aca="false">IFERROR(IF(AND(ISERROR(SEARCH(" mh"," "&amp;LOWER(W642))),ISNA(MATCH(LEFT(TRIM(BP642),255),{"0000a","000a","00a","0000aa","000aa","00aa","0aa","0000aaa","000aaa","00a00","0a00","0000-0000","00:00","a00","a0","00.00.0000","00/00/0000","00-00-0000","0000-00-00","0000/00/00","0000.00.00","00.00.00","00/00/00","00-00-00","0.00.0000","0/00/0000","0-00-0000"},0)),ISNA(MATCH(LEFT(TRIM(CA642),255),{"0000a","000a","00a","0000aa","000aa","00aa","0aa","0000aaa","000aaa","00a00","0a00","0000-0000","00:00","a00","a0","00.00.0000","00/00/0000","00-00-0000","0000-00-00","0000/00/00","0000.00.00","00.00.00","00/00/00","00-00-00","0.00.0000","0/00/0000","0-00-0000"},0)),LEN(CB642)&gt;=3,NOT(OR(SUBSTITUTE(CB642,"0","")="",AND(LEN(CB642)&gt;=4,CB642=REPT(LEFT(CB642),LEN(CB642))),ISNUMBER(MATCH(CB642,{"123","1234","12345","123456","1234567","12345678","0123","01234","012345","98765","987654","54321"},0)),AND(LEN(CB642)=8,LEFT(CB642,3)="202"))),OR(AND((LEN(CA642)-LEN(SUBSTITUTE(CA642,"a","")))&gt;=1,SUMPRODUCT(--ISNUMBER(SEARCH({"a0","a-0","a_0","a/0","a.0","a#0","0a","0-a","0_a","0/a"},BP642)))&gt;0),ISNUMBER(SEARCH("000000",BP642)))),1,0),0)</f>
        <v>0</v>
      </c>
      <c r="BR642" s="61" t="n">
        <f aca="false">IFERROR(LEN(SUBSTITUTE(CC642," ",""))-SUMPRODUCT((LEN(CC642)-LEN(SUBSTITUTE(CC642," "&amp;L_Role&amp;" "," ")))/(LEN(L_Role)+1)*LEN(L_Role)),0)</f>
        <v>0</v>
      </c>
      <c r="BS642" s="61" t="n">
        <f aca="false">IFERROR(LEN(SUBSTITUTE(CD642," ",""))-SUMPRODUCT((LEN(CD642)-LEN(SUBSTITUTE(CD642," "&amp;L_Role&amp;" "," ")))/(LEN(L_Role)+1)*LEN(L_Role)),0)</f>
        <v>0</v>
      </c>
      <c r="BT6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642,"revision",""),"version",""),"jan",""),"feb",""),"mar",""),"apr",""),"may",""),"jun",""),"jul",""),"aug",""),"sep",""),"oct",""),"nov",""),"dec",""),"utc",""),"gmt",""),"myt",""),"bst",""),"rev",""),"ver",""),"b","a"),"c","a"),"d","a"),"e","a"),"f","a"),"g","a"),"h","a"),"i","a"),"j","a"),"k","a"),"l","a"),"m","a"),"n","a"),"o","a"),"p","a"),"q","a"),"r","a"),"s","a"),"t","a"),"u","a"),"v","a"),"w","a"),"x","a"),"y","a"),"z","a")</f>
        <v/>
      </c>
      <c r="BU642" s="61" t="str">
        <f aca="false">SUBSTITUTE(SUBSTITUTE(SUBSTITUTE(SUBSTITUTE(SUBSTITUTE(SUBSTITUTE(SUBSTITUTE(SUBSTITUTE(SUBSTITUTE(SUBSTITUTE(LEFT(BM642,FIND("0",BM642&amp;"0")-1),"-",""),"_",""),"/",""),".",""),"#",""),"\\",""),":","")," ",""),"(",""),")","")</f>
        <v/>
      </c>
      <c r="BV642" s="61" t="n">
        <f aca="false">IFERROR(IF(OR(SUMPRODUCT((LEN(BC642)-LEN(SUBSTITUTE(BC642," "&amp;L_NotLoaded&amp;" "," ")))/(LEN(L_NotLoaded)+1))&gt;SUMPRODUCT((LEN(BC642)-LEN(SUBSTITUTE(BC642," "&amp;L_NotLoadedNeg&amp;" "," ")))/(LEN(L_NotLoadedNeg)+1)),SUMPRODUCT((LEN(BD642)-LEN(SUBSTITUTE(BD642," "&amp;L_NotLoaded&amp;" "," ")))/(LEN(L_NotLoaded)+1))&gt;SUMPRODUCT((LEN(BD642)-LEN(SUBSTITUTE(BD642," "&amp;L_NotLoadedNeg&amp;" "," ")))/(LEN(L_NotLoadedNeg)+1))),1,0),0)</f>
        <v>0</v>
      </c>
      <c r="BW6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642&amp;""),"a",""),"b",""),"c",""),"d",""),"e",""),"f",""),"g",""),"h",""),"i",""),"j",""),"k",""),"l",""),"m",""),"n",""),"o",""),"p",""),"q",""),"r",""),"s",""),"t",""),"u",""),"v",""),"w",""),"x",""),"y",""),"z",""),"-",""),"_",""),"/",""),".",""),"#",""),"\\",""),":","")," ",""),"(",""),")","")</f>
        <v/>
      </c>
      <c r="BX642" s="61" t="str">
        <f aca="false">SUBSTITUTE(SUBSTITUTE(SUBSTITUTE(SUBSTITUTE(SUBSTITUTE(SUBSTITUTE(SUBSTITUTE(SUBSTITUTE(SUBSTITUTE(SUBSTITUTE(SUBSTITUTE(BM642,"0",""),"-",""),"_",""),"/",""),".",""),"#",""),"\\",""),":","")," ",""),"(",""),")","")</f>
        <v/>
      </c>
      <c r="BY642" s="62" t="n">
        <f aca="false">IF(ISNUMBER(Flights!$AZ$23),MAX(Q642-UpliftWindowH/24,Flights!$AZ$23),Q642-UpliftWindowH/24)</f>
        <v>46323.7777777778</v>
      </c>
      <c r="BZ642" s="61" t="n">
        <f aca="false">IFERROR(IF(IF(TRIM(S642)="Link / file path",AND(LEN(TRIM(Z642))&gt;=5,SUMPRODUCT(--ISNUMBER(SEARCH({"http","www.","\\",":\",".pdf",".jpg",".jpeg",".png",".heic",".xls",".doc",".msg",".eml",".ppt",".txt",".zip"},Z642)))&gt;0),AND(ISERROR(FIND(" ",TRIM(Z642))),NOT(OR(SUMPRODUCT(--ISNUMBER(FIND({",",";","&amp;","+"},Z642)))&gt;0,SUMPRODUCT(--ISNUMBER(SEARCH({"0/aa","0\\aa"},BN642)))&gt;0)),NOT(SUMPRODUCT(--ISNUMBER(SEARCH({"http","www.","\\",":\",".pdf",".jpg",".jpeg",".png",".heic",".xls",".doc",".msg",".eml",".ppt",".txt",".zip"},Z642)))&gt;0),NOT(LOWER(TRIM(Z642))=LOWER(Flights!$F$23)),ISNA(MATCH(BU642,{"mh","rev","revision","ver","version","v","r","a","b","seat","tray","row","gate","bay","stand","page","pg","item","line","no","cart","galley","flight","flt","table","box","bag","oven","etd","eta","std","sta","atd","ata","qty","pax","x","time","tel","ph","mob","day","wk","week","utc","gmt","myt","lt"},0)),NOT(OR(ISNUMBER(MATCH(LEFT(BN642,255),{"0000a","000a","00a","0000aa","000aa","00aa","0aa","0000aaa","000aaa","00a00","0a00","0000-0000","00:00","a00","a0","00.00.0000","00/00/0000","00-00-0000","0000-00-00","0000/00/00","0000.00.00","00.00.00","00/00/00","00-00-00","0.00.0000","0/00/0000","0-00-0000"},0)),ISNUMBER(MATCH(LEFT(BT642,255),{"0000a","000a","00a","0000aa","000aa","00aa","0aa","0000aaa","000aaa","00a00","0a00","0000-0000","00:00","a00","a0","00.00.0000","00/00/0000","00-00-0000","0000-00-00","0000/00/00","0000.00.00","00.00.00","00/00/00","00-00-00","0.00.0000","0/00/0000","0-00-0000"},0)))),NOT(OR(AND(BW642&lt;&gt;"",SUBSTITUTE(BW642,"0","")=""),AND(LEN(BW642)&gt;=4,BW642=REPT(LEFT(BW642),LEN(BW642))),ISNUMBER(MATCH(BW642,{"123","1234","12345","123456","1234567","12345678","0123","01234","012345","98765","987654","54321"},0)),ISNUMBER(MATCH(BX642,{"x","xx","xxx","xxxx","xxxxx","abc","abcd","nil","na","nan","test","tbc","tba","tbd","dummy","sample","example","eg","zz","zzz","none","null","xyz","qwe","asd","id","ref"},0)),AND(LEN(BW642)=8,BX642="",OR(LEFT(BW642,3)="202",ISNUMBER(MATCH(RIGHT(BW642,4),{"2025","2026","2027"},0)))))),OR(AND((LEN(BT642)-LEN(SUBSTITUTE(BT642,"a","")))&gt;=1,(LEN(BN642)-LEN(SUBSTITUTE(BN642,"0","")))&gt;=2,SUMPRODUCT(--ISNUMBER(SEARCH({"a0","a-0","a_0","a/0","a.0","a#0","0a","0-a","0_a","0/a"},BN642)))&gt;0),AND((LEN(BN642)-LEN(SUBSTITUTE(BN642,"a","")))=0,(LEN(BN642)-LEN(SUBSTITUTE(BN642,"0","")))&gt;=5)))),1,0),0)</f>
        <v>0</v>
      </c>
      <c r="CA6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642,"revision",""),"version",""),"jan",""),"feb",""),"mar",""),"apr",""),"may",""),"jun",""),"jul",""),"aug",""),"sep",""),"oct",""),"nov",""),"dec",""),"utc",""),"gmt",""),"myt",""),"bst",""),"rev",""),"ver",""),"b","a"),"c","a"),"d","a"),"e","a"),"f","a"),"g","a"),"h","a"),"i","a"),"j","a"),"k","a"),"l","a"),"m","a"),"n","a"),"o","a"),"p","a"),"q","a"),"r","a"),"s","a"),"t","a"),"u","a"),"v","a"),"w","a"),"x","a"),"y","a"),"z","a")</f>
        <v/>
      </c>
      <c r="CB6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642&amp;""),"a",""),"b",""),"c",""),"d",""),"e",""),"f",""),"g",""),"h",""),"i",""),"j",""),"k",""),"l",""),"m",""),"n",""),"o",""),"p",""),"q",""),"r",""),"s",""),"t",""),"u",""),"v",""),"w",""),"x",""),"y",""),"z",""),"-",""),"_",""),"/",""),".",""),"#",""),"\\",""),":","")," ",""),"(",""),")","")</f>
        <v/>
      </c>
      <c r="CC642" s="0" t="str">
        <f aca="false">" "&amp;TRIM(SUBSTITUTE(SUBSTITUTE(SUBSTITUTE(SUBSTITUTE(SUBSTITUTE(SUBSTITUTE(SUBSTITUTE(SUBSTITUTE(SUBSTITUTE(SUBSTITUTE(SUBSTITUTE(SUBSTITUTE(SUBSTITUTE(SUBSTITUTE(SUBSTITUTE(SUBSTITUTE(SUBSTITUTE(SUBSTITUTE(SUBSTITUTE(SUBSTITUTE(SUBSTITUTE(SUBSTITUTE(SUBSTITUTE(SUBSTITUTE(LOWER(T642&amp;""),CHAR(10)," "),CHAR(13)," "),CHAR(9)," "),CHAR(160)," "),"."," "),","," "),"-"," "),"/"," "),"("," "),")"," "),":"," "),";"," "),"_"," "),"–"," "),"?"," "),"!"," "),"*"," "),"["," "),"]"," "),"'"," "),"#"," "),"+"," "),"&amp;"," "),"\"," "))&amp;" "</f>
        <v>  </v>
      </c>
      <c r="CD642" s="0" t="str">
        <f aca="false">" "&amp;TRIM(SUBSTITUTE(SUBSTITUTE(SUBSTITUTE(SUBSTITUTE(SUBSTITUTE(SUBSTITUTE(SUBSTITUTE(SUBSTITUTE(SUBSTITUTE(SUBSTITUTE(SUBSTITUTE(SUBSTITUTE(SUBSTITUTE(SUBSTITUTE(SUBSTITUTE(SUBSTITUTE(SUBSTITUTE(SUBSTITUTE(SUBSTITUTE(SUBSTITUTE(SUBSTITUTE(SUBSTITUTE(SUBSTITUTE(SUBSTITUTE(LOWER(AE642&amp;""),CHAR(10)," "),CHAR(13)," "),CHAR(9)," "),CHAR(160)," "),"."," "),","," "),"-"," "),"/"," "),"("," "),")"," "),":"," "),";"," "),"_"," "),"–"," "),"?"," "),"!"," "),"*"," "),"["," "),"]"," "),"'"," "),"#"," "),"+"," "),"&amp;"," "),"\"," "))&amp;" "</f>
        <v>  </v>
      </c>
      <c r="CE642" s="68" t="n">
        <f aca="false">IFERROR(IF(AND(LEN(AU642)&gt;0,LEN(AU642)=LEN(AX642),OR(TRIM(MID(SUBSTITUTE(TRIM(CC642)," ",REPT(" ",60)),1,60))="",ISNUMBER(SEARCH(" "&amp;TRIM(MID(SUBSTITUTE(TRIM(CC642)," ",REPT(" ",60)),1,60))&amp;" ",CD642))),OR(TRIM(MID(SUBSTITUTE(TRIM(CC642)," ",REPT(" ",60)),61,60))="",ISNUMBER(SEARCH(" "&amp;TRIM(MID(SUBSTITUTE(TRIM(CC642)," ",REPT(" ",60)),61,60))&amp;" ",CD642))),OR(TRIM(MID(SUBSTITUTE(TRIM(CC642)," ",REPT(" ",60)),121,60))="",ISNUMBER(SEARCH(" "&amp;TRIM(MID(SUBSTITUTE(TRIM(CC642)," ",REPT(" ",60)),121,60))&amp;" ",CD642)))),1,0),0)</f>
        <v>0</v>
      </c>
      <c r="CG642" s="68" t="n">
        <f aca="false">IFERROR(LEN(SUBSTITUTE(BF642," ",""))-SUMPRODUCT((LEN(BF642)-LEN(SUBSTITUTE(BF642," "&amp;L_NAFiller&amp;" "," ")))/(LEN(L_NAFiller)+1)*LEN(L_NAFiller)),0)</f>
        <v>0</v>
      </c>
    </row>
    <row r="643" customFormat="false" ht="54" hidden="false" customHeight="true" outlineLevel="0" collapsed="false">
      <c r="A643" s="57" t="s">
        <v>1360</v>
      </c>
      <c r="B643" s="57" t="s">
        <v>301</v>
      </c>
      <c r="C643" s="57" t="str">
        <f aca="false">Flights!$F$23</f>
        <v>MH0053</v>
      </c>
      <c r="D643" s="58" t="n">
        <f aca="false">Flights!$D$23</f>
        <v>46324</v>
      </c>
      <c r="E643" s="57" t="str">
        <f aca="false">Flights!$G$23&amp;"-"&amp;Flights!$H$23</f>
        <v>KIX-KUL</v>
      </c>
      <c r="F643" s="57" t="str">
        <f aca="false">Flights!$K$23</f>
        <v>EY</v>
      </c>
      <c r="G643" s="57" t="s">
        <v>459</v>
      </c>
      <c r="H643" s="57" t="s">
        <v>460</v>
      </c>
      <c r="I643" s="57" t="s">
        <v>634</v>
      </c>
      <c r="J643" s="57" t="s">
        <v>659</v>
      </c>
      <c r="K643" s="67" t="s">
        <v>1310</v>
      </c>
      <c r="L643" s="67" t="s">
        <v>1311</v>
      </c>
      <c r="M643" s="67" t="s">
        <v>451</v>
      </c>
      <c r="N643" s="67" t="s">
        <v>444</v>
      </c>
      <c r="O643" s="67" t="s">
        <v>1361</v>
      </c>
      <c r="P643" s="57" t="s">
        <v>295</v>
      </c>
      <c r="Q643" s="59" t="n">
        <f aca="false">ROUND((Flights!$AF$23)*1440,0)/1440</f>
        <v>46324.0277777778</v>
      </c>
      <c r="R643" s="59" t="n">
        <f aca="false">Q643+(IF(AND(INDEX(TZ_DSTS,MATCH(P643,TZ_STN,0))&lt;&gt;"",Q643&gt;=INDEX(TZ_DSTS,MATCH(P643,TZ_STN,0)),Q643&lt;INDEX(TZ_DSTE,MATCH(P643,TZ_STN,0))),INDEX(TZ_DST,MATCH(P643,TZ_STN,0)),INDEX(TZ_STD,MATCH(P643,TZ_STN,0))))/24</f>
        <v>46324.4027777778</v>
      </c>
      <c r="S643" s="60"/>
      <c r="T643" s="60"/>
      <c r="U643" s="60"/>
      <c r="V643" s="60"/>
      <c r="W643" s="61"/>
      <c r="X643" s="60"/>
      <c r="Y643" s="60"/>
      <c r="Z643" s="60"/>
      <c r="AA643" s="60"/>
      <c r="AB643" s="60"/>
      <c r="AC643" s="60"/>
      <c r="AD643" s="66"/>
      <c r="AE643" s="60"/>
      <c r="AF643" s="61" t="str">
        <f aca="false">IF(AND(ISNUMBER(X643),ISNUMBER(Y643)),Y643-X643,"")</f>
        <v/>
      </c>
      <c r="AG643" s="62" t="str">
        <f aca="false">IF(ISNUMBER(AD643),AD643-(IF(AND(INDEX(TZ_DSTS,MATCH(P643,TZ_STN,0))&lt;&gt;"",(AD643-INDEX(TZ_STD,MATCH(P643,TZ_STN,0))/24)&gt;=INDEX(TZ_DSTS,MATCH(P643,TZ_STN,0)),(AD643-INDEX(TZ_STD,MATCH(P643,TZ_STN,0))/24)&lt;INDEX(TZ_DSTE,MATCH(P643,TZ_STN,0))),INDEX(TZ_DST,MATCH(P643,TZ_STN,0)),INDEX(TZ_STD,MATCH(P643,TZ_STN,0))))/24,"")</f>
        <v/>
      </c>
      <c r="AH643" s="65" t="str">
        <f aca="false">IFERROR(IF(N643="N/A – rule",IF(OR(TRIM(U643)="",TRIM(U643)="N/A",TRIM(U643)="Not started"),"N/A – RULE","INVALID – this check does not apply to this aircraft: clear the status (or correct the fleet on Flights)"),IF(TRIM(U643)="N/A",IF(AT643=0,"INVALID – N/A not permitted for this check",IF(AND(TRIM(AB643)&lt;&gt;"",TRIM(AB643)&lt;&gt;"Closed"),"INVALID – corrective action still open",IF(AND(NOT(OR(LEN(AZ643)&lt;15,ISNUMBER(MATCH(AZ643,L_Placeholder,0)))),BK643=0,CG643&gt;=8,NOT(OR(LEN(AU643)&lt;2,ISNUMBER(MATCH(AU643,L_Placeholder,0)))),BR643&gt;=3,NOT(OR(LEN(AX643)&lt;2,ISNUMBER(MATCH(AX643,L_Placeholder,0)))),BS643&gt;=3,TRIM(AE643)&lt;&gt;TRIM(T643),AX643&lt;&gt;AU643,CE643=0),"N/A – JUSTIFIED","INVALID – N/A needs a real, settled reason (not 'not applicable' / 'as above' / TBC), a named PIC and a different named verifier"))),IF(OR(TRIM(U643)="Pass",TRIM(U643)="Pass after CA"),IF(NOT(ISNUMBER(AD643)),"INVALID – completion time missing",IF(OR(OR(LEN(AU643)&lt;2,ISNUMBER(MATCH(AU643,L_Placeholder,0))),BR643&lt;3),"INVALID – PIC missing or not a named person (a role such as QA / CSM is not a name)",IF(OR(LEN(AV643)&lt;2,ISNUMBER(MATCH(AV643,L_Placeholder,0))),"INVALID – result / assessment missing",IF(OR(OR(LEN(AW643)&lt;3,ISNUMBER(MATCH(AW643,L_Placeholder,0))),SUMPRODUCT(--ISNUMBER(SEARCH(" "&amp;L_EvidencePhrase&amp;" ",BD643)))&gt;0,BI643=1),"INVALID – evidence missing, placeholder or not yet on file",IF(ISNA(MATCH(TRIM(S643),L_EvidenceType,0)),"INVALID – choose the evidence type from the list (column S)",IF(BL643=0,"INVALID – evidence ID must be the record's own ID only (e.g. SF-2210, IMG_2231, 1045521); a link / file name needs type 'Link / file path'",IF(OR(OR(LEN(AX643)&lt;2,ISNUMBER(MATCH(AX643,L_Placeholder,0))),BS643&lt;3),"INVALID – verifier missing or not a named person (a role such as QA / CSM is not a name)",IF(OR(AX643=AU643,CE643=1,AND(LEN(AU643)&gt;=4,ISNUMBER(SEARCH(AU643,AX643))),AND(LEN(AX643)&gt;=4,ISNUMBER(SEARCH(AX643,AU643)))),"INVALID – verifier must be a different, named person (not the PIC or a role)",IF(BH643=1,"INVALID – result not yet available (awaiting / TBC)",IF(BG643=1,"INVALID – result describes a problem: record Fail, then Pass after CA (or reword if it is not a problem)",IF(BV643=1,"INVALID – wording says not on board: an on-board confirmation needs the item loaded",IF(AND(AQ643=1,OR(OR(LEN(AY643)&lt;3,ISNUMBER(MATCH(AY643,L_Placeholder,0))),BJ643=1,BQ643=0)),"INVALID – batch ID missing, placeholder or not an ID (e.g. PASB-261008-BC-017)",IF(AND(AR643=1,OR(NOT(ISNUMBER(X643)),NOT(ISNUMBER(Y643)))),"INVALID – expected/actual qty missing",IF(AND(AR643=1,OR(X643&lt;=0,Y643&lt;0)),"INVALID – expected qty must be above 0 and actual not negative",IF(AH638="N/A – JUSTIFIED","INVALID – preparation row F19-T12-10 is N/A",IF(AND(AR643=1,ISNUMBER(X638),X643&lt;&gt;X638,TRIM(U643)&lt;&gt;"Pass after CA"),"INVALID – expected qty differs from preparation check F19-T12-10: record the load change as a corrective action (Pass after CA)",IF(BB643&lt;&gt;"",BB643,IF(AND(AS643=1,Documents!$J$23&lt;&gt;"ON FILE"),"INVALID – GLD not on file (Documents sheet)",IF(AND(AS643=2,Documents!$O$23&lt;&gt;"ON FILE"),"INVALID – menu checklist not on file (Documents sheet)",IF(AND(AS643=3,NOT(ISNUMBER(Flights!$AX$23))),"INVALID – enter carrying flight KUL departure (Flights AX)",IF(AND(AS643=3,OR(Flights!$AZ$23&gt;Flights!$AA$23,Flights!$AX$23&lt;Flights!$AA$23-3)),"INVALID – carrying flight (Flights AX) cannot arrive before this leg's STD, or is over 3 days early",IF(AG643&gt;AsOfUTC,"INVALID – completion time is in the future",IF(AND(ISNUMBER(BY643),AG643&lt;BY643),IF(H643="Physical uplift","INVALID – before uplift window (cannot confirm loading)","INVALID – before valid window"),IF(AG643&gt;Flights!$AA$23,"INVALID – completed after departure (cannot establish readiness)",IF(AND(H643="Preparation",AG643&gt;=IF(ISNUMBER(Flights!$BA$23),MIN(Flights!$BA$23,Flights!$AA$23),Flights!$AA$23)),"INVALID – completed after loading / departure (cannot establish readiness)",IF(AND(H643="Physical uplift",AG643&gt;Q643),"INVALID – recorded after the loading flight departed",IF(AG643&gt;Q643,"COMPLETE – LATE","COMPLETE"))))))))))))))))))))))))))),IF(TRIM(U643)="Fail","FAIL – DISCREPANCY",IF(AND(TRIM(U643)&lt;&gt;"",TRIM(U643)&lt;&gt;"Not started",TRIM(U643)&lt;&gt;"In progress"),"INVALID – unrecognised status (use the list)",IF(AsOfUTC&gt;Q643,"OVERDUE",IF(N643="Clarification required","OPEN – CLARIFICATION","OPEN"))))))),"INVALID – error value in an input cell")</f>
        <v>OPEN – CLARIFICATION</v>
      </c>
      <c r="AI643" s="61" t="n">
        <f aca="false">IF(OR(AH643="N/A – RULE",AH643="N/A – JUSTIFIED"),0,1)</f>
        <v>1</v>
      </c>
      <c r="AJ643" s="61" t="n">
        <f aca="false">IF(LEFT(AH643,8)="COMPLETE",1,0)</f>
        <v>0</v>
      </c>
      <c r="AK643" s="61" t="n">
        <f aca="false">IF(AND(AI643=1,AJ643=0,AsOfUTC&gt;Q643),1,0)</f>
        <v>0</v>
      </c>
      <c r="AL643" s="61" t="n">
        <f aca="false">IFERROR(IF(AND(AI643=1,OR(TRIM(U643)="Fail",AND(TRIM(AB643)&lt;&gt;"",TRIM(AB643)&lt;&gt;"Closed"),AND(ISNUMBER(AF643),AF643&lt;&gt;0,TRIM(U643)&lt;&gt;"Pass after CA"))),1,0),1)</f>
        <v>0</v>
      </c>
      <c r="AM643" s="61" t="n">
        <f aca="false">IF(LEFT(AH643,7)="INVALID",1,0)</f>
        <v>0</v>
      </c>
      <c r="AN643" s="61" t="n">
        <f aca="false">IF(AND(N643="Clarification required",AI643=1,AJ643=0),1,0)</f>
        <v>1</v>
      </c>
      <c r="AO643" s="61" t="str">
        <f aca="false">IF(AK643=1,SUM(AK$5:AK643),"")</f>
        <v/>
      </c>
      <c r="AP643" s="61" t="str">
        <f aca="false">IF(AL643=1,SUM(AL$5:AL643),"")</f>
        <v/>
      </c>
      <c r="AQ643" s="61" t="n">
        <v>0</v>
      </c>
      <c r="AR643" s="61" t="n">
        <v>0</v>
      </c>
      <c r="AS643" s="61" t="n">
        <v>0</v>
      </c>
      <c r="AT643" s="61" t="n">
        <v>1</v>
      </c>
      <c r="AU643" s="61" t="str">
        <f aca="false">SUBSTITUTE(SUBSTITUTE(SUBSTITUTE(SUBSTITUTE(SUBSTITUTE(SUBSTITUTE(SUBSTITUTE(SUBSTITUTE(SUBSTITUTE(SUBSTITUTE(SUBSTITUTE(SUBSTITUTE(SUBSTITUTE(SUBSTITUTE(SUBSTITUTE(SUBSTITUTE(LOWER(T643&amp;""),CHAR(10),""),CHAR(13),""),CHAR(9),""),CHAR(160),"")," ",""),".",""),"-",""),"/",""),"?",""),"_",""),",",""),"[",""),"]",""),"(",""),")",""),"*","")</f>
        <v/>
      </c>
      <c r="AV643" s="61" t="str">
        <f aca="false">SUBSTITUTE(SUBSTITUTE(SUBSTITUTE(SUBSTITUTE(SUBSTITUTE(SUBSTITUTE(SUBSTITUTE(SUBSTITUTE(SUBSTITUTE(SUBSTITUTE(SUBSTITUTE(SUBSTITUTE(SUBSTITUTE(SUBSTITUTE(SUBSTITUTE(SUBSTITUTE(LOWER(V643&amp;""),CHAR(10),""),CHAR(13),""),CHAR(9),""),CHAR(160),"")," ",""),".",""),"-",""),"/",""),"?",""),"_",""),",",""),"[",""),"]",""),"(",""),")",""),"*","")</f>
        <v/>
      </c>
      <c r="AW643" s="61" t="str">
        <f aca="false">SUBSTITUTE(SUBSTITUTE(SUBSTITUTE(SUBSTITUTE(SUBSTITUTE(SUBSTITUTE(SUBSTITUTE(SUBSTITUTE(SUBSTITUTE(SUBSTITUTE(SUBSTITUTE(SUBSTITUTE(SUBSTITUTE(SUBSTITUTE(SUBSTITUTE(SUBSTITUTE(LOWER(Z643&amp;""),CHAR(10),""),CHAR(13),""),CHAR(9),""),CHAR(160),"")," ",""),".",""),"-",""),"/",""),"?",""),"_",""),",",""),"[",""),"]",""),"(",""),")",""),"*","")</f>
        <v/>
      </c>
      <c r="AX643" s="61" t="str">
        <f aca="false">SUBSTITUTE(SUBSTITUTE(SUBSTITUTE(SUBSTITUTE(SUBSTITUTE(SUBSTITUTE(SUBSTITUTE(SUBSTITUTE(SUBSTITUTE(SUBSTITUTE(SUBSTITUTE(SUBSTITUTE(SUBSTITUTE(SUBSTITUTE(SUBSTITUTE(SUBSTITUTE(LOWER(AE643&amp;""),CHAR(10),""),CHAR(13),""),CHAR(9),""),CHAR(160),"")," ",""),".",""),"-",""),"/",""),"?",""),"_",""),",",""),"[",""),"]",""),"(",""),")",""),"*","")</f>
        <v/>
      </c>
      <c r="AY643" s="61" t="str">
        <f aca="false">SUBSTITUTE(SUBSTITUTE(SUBSTITUTE(SUBSTITUTE(SUBSTITUTE(SUBSTITUTE(SUBSTITUTE(SUBSTITUTE(SUBSTITUTE(SUBSTITUTE(SUBSTITUTE(SUBSTITUTE(SUBSTITUTE(SUBSTITUTE(SUBSTITUTE(SUBSTITUTE(LOWER(W643&amp;""),CHAR(10),""),CHAR(13),""),CHAR(9),""),CHAR(160),"")," ",""),".",""),"-",""),"/",""),"?",""),"_",""),",",""),"[",""),"]",""),"(",""),")",""),"*","")</f>
        <v/>
      </c>
      <c r="AZ643" s="61" t="str">
        <f aca="false">SUBSTITUTE(SUBSTITUTE(SUBSTITUTE(SUBSTITUTE(SUBSTITUTE(SUBSTITUTE(SUBSTITUTE(SUBSTITUTE(SUBSTITUTE(SUBSTITUTE(SUBSTITUTE(SUBSTITUTE(SUBSTITUTE(SUBSTITUTE(SUBSTITUTE(SUBSTITUTE(LOWER(AC643&amp;""),CHAR(10),""),CHAR(13),""),CHAR(9),""),CHAR(160),"")," ",""),".",""),"-",""),"/",""),"?",""),"_",""),",",""),"[",""),"]",""),"(",""),")",""),"*","")</f>
        <v/>
      </c>
      <c r="BA643" s="61" t="str">
        <f aca="false">SUBSTITUTE(SUBSTITUTE(SUBSTITUTE(SUBSTITUTE(SUBSTITUTE(SUBSTITUTE(SUBSTITUTE(SUBSTITUTE(SUBSTITUTE(SUBSTITUTE(SUBSTITUTE(SUBSTITUTE(SUBSTITUTE(SUBSTITUTE(SUBSTITUTE(SUBSTITUTE(LOWER(AA643&amp;""),CHAR(10),""),CHAR(13),""),CHAR(9),""),CHAR(160),"")," ",""),".",""),"-",""),"/",""),"?",""),"_",""),",",""),"[",""),"]",""),"(",""),")",""),"*","")</f>
        <v/>
      </c>
      <c r="BB643" s="61" t="str">
        <f aca="false">IF(AND(TRIM(U643)="Pass",ISNUMBER(AF643)),IF(AF643&lt;&gt;0,"INVALID – qty variance: use Fail or Pass after CA",""),"")&amp;IF(AND(TRIM(U643)="Pass after CA",ISNUMBER(AF643)),IF(AF643&lt;&gt;0,"INVALID – after the corrective action the actual qty must equal expected (update Actual)",""),"")&amp;IF(AND(TRIM(U643)="Pass",TRIM(AB643)&lt;&gt;"",TRIM(AB643)&lt;&gt;"Closed"),"INVALID – corrective action not closed: use Fail, then Pass after CA","")&amp;IF(AND(LEN(BA643)&gt;=2,ISNA(MATCH(LEFT(BA643,255),L_Placeholder,0)),TRIM(AB643)=""),"INVALID – CA status missing for the recorded corrective action","")&amp;IF(AND(TRIM(U643)="Pass after CA",OR(OR(LEN(BA643)&lt;5,ISNUMBER(MATCH(BA643,L_Placeholder,0))),TRIM(AB643)&lt;&gt;"Closed")),"INVALID – corrective action not recorded/closed","")</f>
        <v/>
      </c>
      <c r="BC643" s="61" t="str">
        <f aca="false">" "&amp;TRIM(SUBSTITUTE(SUBSTITUTE(SUBSTITUTE(SUBSTITUTE(SUBSTITUTE(SUBSTITUTE(SUBSTITUTE(SUBSTITUTE(SUBSTITUTE(SUBSTITUTE(SUBSTITUTE(SUBSTITUTE(SUBSTITUTE(SUBSTITUTE(SUBSTITUTE(SUBSTITUTE(SUBSTITUTE(SUBSTITUTE(SUBSTITUTE(SUBSTITUTE(SUBSTITUTE(SUBSTITUTE(SUBSTITUTE(SUBSTITUTE(LOWER(V643&amp;""),CHAR(10)," "),CHAR(13)," "),CHAR(9)," "),CHAR(160)," "),"."," "),","," "),"-"," "),"/"," "),"("," "),")"," "),":"," "),";"," "),"_"," "),"–"," "),"?"," "),"!"," "),"*"," "),"["," "),"]"," "),"'"," "),"#"," "),"+"," "),"&amp;"," "),"\"," "))&amp;" "</f>
        <v>  </v>
      </c>
      <c r="BD643" s="61" t="str">
        <f aca="false">" "&amp;TRIM(SUBSTITUTE(SUBSTITUTE(SUBSTITUTE(SUBSTITUTE(SUBSTITUTE(SUBSTITUTE(SUBSTITUTE(SUBSTITUTE(SUBSTITUTE(SUBSTITUTE(SUBSTITUTE(SUBSTITUTE(SUBSTITUTE(SUBSTITUTE(SUBSTITUTE(SUBSTITUTE(SUBSTITUTE(SUBSTITUTE(SUBSTITUTE(SUBSTITUTE(SUBSTITUTE(SUBSTITUTE(SUBSTITUTE(SUBSTITUTE(LOWER(Z643&amp;""),CHAR(10)," "),CHAR(13)," "),CHAR(9)," "),CHAR(160)," "),"."," "),","," "),"-"," "),"/"," "),"("," "),")"," "),":"," "),";"," "),"_"," "),"–"," "),"?"," "),"!"," "),"*"," "),"["," "),"]"," "),"'"," "),"#"," "),"+"," "),"&amp;"," "),"\"," "))&amp;" "</f>
        <v>  </v>
      </c>
      <c r="BE643" s="61" t="str">
        <f aca="false">" "&amp;TRIM(SUBSTITUTE(SUBSTITUTE(SUBSTITUTE(SUBSTITUTE(SUBSTITUTE(SUBSTITUTE(SUBSTITUTE(SUBSTITUTE(SUBSTITUTE(SUBSTITUTE(SUBSTITUTE(SUBSTITUTE(SUBSTITUTE(SUBSTITUTE(SUBSTITUTE(SUBSTITUTE(SUBSTITUTE(SUBSTITUTE(SUBSTITUTE(SUBSTITUTE(SUBSTITUTE(SUBSTITUTE(SUBSTITUTE(SUBSTITUTE(LOWER(W643&amp;""),CHAR(10)," "),CHAR(13)," "),CHAR(9)," "),CHAR(160)," "),"."," "),","," "),"-"," "),"/"," "),"("," "),")"," "),":"," "),";"," "),"_"," "),"–"," "),"?"," "),"!"," "),"*"," "),"["," "),"]"," "),"'"," "),"#"," "),"+"," "),"&amp;"," "),"\"," "))&amp;" "</f>
        <v>  </v>
      </c>
      <c r="BF643" s="61" t="str">
        <f aca="false">" "&amp;TRIM(SUBSTITUTE(SUBSTITUTE(SUBSTITUTE(SUBSTITUTE(SUBSTITUTE(SUBSTITUTE(SUBSTITUTE(SUBSTITUTE(SUBSTITUTE(SUBSTITUTE(SUBSTITUTE(SUBSTITUTE(SUBSTITUTE(SUBSTITUTE(SUBSTITUTE(SUBSTITUTE(SUBSTITUTE(SUBSTITUTE(SUBSTITUTE(SUBSTITUTE(SUBSTITUTE(SUBSTITUTE(SUBSTITUTE(SUBSTITUTE(LOWER(AC643&amp;""),CHAR(10)," "),CHAR(13)," "),CHAR(9)," "),CHAR(160)," "),"."," "),","," "),"-"," "),"/"," "),"("," "),")"," "),":"," "),";"," "),"_"," "),"–"," "),"?"," "),"!"," "),"*"," "),"["," "),"]"," "),"'"," "),"#"," "),"+"," "),"&amp;"," "),"\"," "))&amp;" "</f>
        <v>  </v>
      </c>
      <c r="BG643" s="61" t="n">
        <f aca="false">IFERROR(IF(AND(TRIM(U643)="Pass",SUMPRODUCT((LEN(BC643)-LEN(SUBSTITUTE(BC643," "&amp;L_ResultBad&amp;" "," ")))/(LEN(L_ResultBad)+1))&gt;SUMPRODUCT((LEN(BC643)-LEN(SUBSTITUTE(BC643," "&amp;L_NegPhrase&amp;" "," ")))/(LEN(L_NegPhrase)+1))),1,0),0)</f>
        <v>0</v>
      </c>
      <c r="BH643" s="61" t="n">
        <f aca="false">IFERROR(IF(SUMPRODUCT((LEN(BC643)-LEN(SUBSTITUTE(BC643," "&amp;L_Pending&amp;" "," ")))/(LEN(L_Pending)+1))&gt;SUMPRODUCT((LEN(BC643)-LEN(SUBSTITUTE(BC643," "&amp;L_PendNeg&amp;" "," ")))/(LEN(L_PendNeg)+1)),1,0),1)</f>
        <v>0</v>
      </c>
      <c r="BI643" s="61" t="n">
        <f aca="false">IFERROR(IF(SUMPRODUCT((LEN(BD643)-LEN(SUBSTITUTE(BD643," "&amp;L_PendStrict&amp;" "," ")))/(LEN(L_PendStrict)+1))&gt;SUMPRODUCT((LEN(BD643)-LEN(SUBSTITUTE(BD643," "&amp;L_PendNeg&amp;" "," ")))/(LEN(L_PendNeg)+1)),1,0),1)</f>
        <v>0</v>
      </c>
      <c r="BJ643" s="61" t="n">
        <f aca="false">IFERROR(IF(SUMPRODUCT((LEN(BE643)-LEN(SUBSTITUTE(BE643," "&amp;L_Pending&amp;" "," ")))/(LEN(L_Pending)+1))&gt;SUMPRODUCT((LEN(BE643)-LEN(SUBSTITUTE(BE643," "&amp;L_PendNeg&amp;" "," ")))/(LEN(L_PendNeg)+1)),1,0),1)</f>
        <v>0</v>
      </c>
      <c r="BK643" s="61" t="n">
        <f aca="false">IFERROR(IF(SUMPRODUCT((LEN(BF643)-LEN(SUBSTITUTE(BF643," "&amp;L_PendStrict&amp;" "," ")))/(LEN(L_PendStrict)+1))&gt;SUMPRODUCT((LEN(BF643)-LEN(SUBSTITUTE(BF643," "&amp;L_PendNeg&amp;" "," ")))/(LEN(L_PendNeg)+1)),1,0),1)</f>
        <v>0</v>
      </c>
      <c r="BL643" s="61" t="n">
        <f aca="false">IF(ISNA(MATCH(TRIM(S643),L_EvidenceType,0)),0,BZ643)</f>
        <v>0</v>
      </c>
      <c r="BM643" s="61" t="str">
        <f aca="false">SUBSTITUTE(SUBSTITUTE(SUBSTITUTE(SUBSTITUTE(SUBSTITUTE(SUBSTITUTE(SUBSTITUTE(SUBSTITUTE(SUBSTITUTE(LOWER(Z643&amp;""),"1","0"),"2","0"),"3","0"),"4","0"),"5","0"),"6","0"),"7","0"),"8","0"),"9","0")</f>
        <v/>
      </c>
      <c r="BN643" s="61" t="str">
        <f aca="false">SUBSTITUTE(SUBSTITUTE(SUBSTITUTE(SUBSTITUTE(SUBSTITUTE(SUBSTITUTE(SUBSTITUTE(SUBSTITUTE(SUBSTITUTE(SUBSTITUTE(SUBSTITUTE(SUBSTITUTE(SUBSTITUTE(SUBSTITUTE(SUBSTITUTE(SUBSTITUTE(SUBSTITUTE(SUBSTITUTE(SUBSTITUTE(SUBSTITUTE(SUBSTITUTE(SUBSTITUTE(SUBSTITUTE(SUBSTITUTE(SUBSTITUTE(BM643,"b","a"),"c","a"),"d","a"),"e","a"),"f","a"),"g","a"),"h","a"),"i","a"),"j","a"),"k","a"),"l","a"),"m","a"),"n","a"),"o","a"),"p","a"),"q","a"),"r","a"),"s","a"),"t","a"),"u","a"),"v","a"),"w","a"),"x","a"),"y","a"),"z","a")</f>
        <v/>
      </c>
      <c r="BO643" s="61" t="str">
        <f aca="false">SUBSTITUTE(SUBSTITUTE(SUBSTITUTE(SUBSTITUTE(SUBSTITUTE(SUBSTITUTE(SUBSTITUTE(SUBSTITUTE(SUBSTITUTE(LOWER(W643&amp;""),"1","0"),"2","0"),"3","0"),"4","0"),"5","0"),"6","0"),"7","0"),"8","0"),"9","0")</f>
        <v/>
      </c>
      <c r="BP643" s="61" t="str">
        <f aca="false">SUBSTITUTE(SUBSTITUTE(SUBSTITUTE(SUBSTITUTE(SUBSTITUTE(SUBSTITUTE(SUBSTITUTE(SUBSTITUTE(SUBSTITUTE(SUBSTITUTE(SUBSTITUTE(SUBSTITUTE(SUBSTITUTE(SUBSTITUTE(SUBSTITUTE(SUBSTITUTE(SUBSTITUTE(SUBSTITUTE(SUBSTITUTE(SUBSTITUTE(SUBSTITUTE(SUBSTITUTE(SUBSTITUTE(SUBSTITUTE(SUBSTITUTE(BO643,"b","a"),"c","a"),"d","a"),"e","a"),"f","a"),"g","a"),"h","a"),"i","a"),"j","a"),"k","a"),"l","a"),"m","a"),"n","a"),"o","a"),"p","a"),"q","a"),"r","a"),"s","a"),"t","a"),"u","a"),"v","a"),"w","a"),"x","a"),"y","a"),"z","a")</f>
        <v/>
      </c>
      <c r="BQ643" s="61" t="n">
        <f aca="false">IFERROR(IF(AND(ISERROR(SEARCH(" mh"," "&amp;LOWER(W643))),ISNA(MATCH(LEFT(TRIM(BP643),255),{"0000a","000a","00a","0000aa","000aa","00aa","0aa","0000aaa","000aaa","00a00","0a00","0000-0000","00:00","a00","a0","00.00.0000","00/00/0000","00-00-0000","0000-00-00","0000/00/00","0000.00.00","00.00.00","00/00/00","00-00-00","0.00.0000","0/00/0000","0-00-0000"},0)),ISNA(MATCH(LEFT(TRIM(CA643),255),{"0000a","000a","00a","0000aa","000aa","00aa","0aa","0000aaa","000aaa","00a00","0a00","0000-0000","00:00","a00","a0","00.00.0000","00/00/0000","00-00-0000","0000-00-00","0000/00/00","0000.00.00","00.00.00","00/00/00","00-00-00","0.00.0000","0/00/0000","0-00-0000"},0)),LEN(CB643)&gt;=3,NOT(OR(SUBSTITUTE(CB643,"0","")="",AND(LEN(CB643)&gt;=4,CB643=REPT(LEFT(CB643),LEN(CB643))),ISNUMBER(MATCH(CB643,{"123","1234","12345","123456","1234567","12345678","0123","01234","012345","98765","987654","54321"},0)),AND(LEN(CB643)=8,LEFT(CB643,3)="202"))),OR(AND((LEN(CA643)-LEN(SUBSTITUTE(CA643,"a","")))&gt;=1,SUMPRODUCT(--ISNUMBER(SEARCH({"a0","a-0","a_0","a/0","a.0","a#0","0a","0-a","0_a","0/a"},BP643)))&gt;0),ISNUMBER(SEARCH("000000",BP643)))),1,0),0)</f>
        <v>0</v>
      </c>
      <c r="BR643" s="61" t="n">
        <f aca="false">IFERROR(LEN(SUBSTITUTE(CC643," ",""))-SUMPRODUCT((LEN(CC643)-LEN(SUBSTITUTE(CC643," "&amp;L_Role&amp;" "," ")))/(LEN(L_Role)+1)*LEN(L_Role)),0)</f>
        <v>0</v>
      </c>
      <c r="BS643" s="61" t="n">
        <f aca="false">IFERROR(LEN(SUBSTITUTE(CD643," ",""))-SUMPRODUCT((LEN(CD643)-LEN(SUBSTITUTE(CD643," "&amp;L_Role&amp;" "," ")))/(LEN(L_Role)+1)*LEN(L_Role)),0)</f>
        <v>0</v>
      </c>
      <c r="BT6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643,"revision",""),"version",""),"jan",""),"feb",""),"mar",""),"apr",""),"may",""),"jun",""),"jul",""),"aug",""),"sep",""),"oct",""),"nov",""),"dec",""),"utc",""),"gmt",""),"myt",""),"bst",""),"rev",""),"ver",""),"b","a"),"c","a"),"d","a"),"e","a"),"f","a"),"g","a"),"h","a"),"i","a"),"j","a"),"k","a"),"l","a"),"m","a"),"n","a"),"o","a"),"p","a"),"q","a"),"r","a"),"s","a"),"t","a"),"u","a"),"v","a"),"w","a"),"x","a"),"y","a"),"z","a")</f>
        <v/>
      </c>
      <c r="BU643" s="61" t="str">
        <f aca="false">SUBSTITUTE(SUBSTITUTE(SUBSTITUTE(SUBSTITUTE(SUBSTITUTE(SUBSTITUTE(SUBSTITUTE(SUBSTITUTE(SUBSTITUTE(SUBSTITUTE(LEFT(BM643,FIND("0",BM643&amp;"0")-1),"-",""),"_",""),"/",""),".",""),"#",""),"\\",""),":","")," ",""),"(",""),")","")</f>
        <v/>
      </c>
      <c r="BV643" s="61" t="n">
        <f aca="false">IFERROR(IF(OR(SUMPRODUCT((LEN(BC643)-LEN(SUBSTITUTE(BC643," "&amp;L_NotLoaded&amp;" "," ")))/(LEN(L_NotLoaded)+1))&gt;SUMPRODUCT((LEN(BC643)-LEN(SUBSTITUTE(BC643," "&amp;L_NotLoadedNeg&amp;" "," ")))/(LEN(L_NotLoadedNeg)+1)),SUMPRODUCT((LEN(BD643)-LEN(SUBSTITUTE(BD643," "&amp;L_NotLoaded&amp;" "," ")))/(LEN(L_NotLoaded)+1))&gt;SUMPRODUCT((LEN(BD643)-LEN(SUBSTITUTE(BD643," "&amp;L_NotLoadedNeg&amp;" "," ")))/(LEN(L_NotLoadedNeg)+1))),1,0),0)</f>
        <v>0</v>
      </c>
      <c r="BW6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643&amp;""),"a",""),"b",""),"c",""),"d",""),"e",""),"f",""),"g",""),"h",""),"i",""),"j",""),"k",""),"l",""),"m",""),"n",""),"o",""),"p",""),"q",""),"r",""),"s",""),"t",""),"u",""),"v",""),"w",""),"x",""),"y",""),"z",""),"-",""),"_",""),"/",""),".",""),"#",""),"\\",""),":","")," ",""),"(",""),")","")</f>
        <v/>
      </c>
      <c r="BX643" s="61" t="str">
        <f aca="false">SUBSTITUTE(SUBSTITUTE(SUBSTITUTE(SUBSTITUTE(SUBSTITUTE(SUBSTITUTE(SUBSTITUTE(SUBSTITUTE(SUBSTITUTE(SUBSTITUTE(SUBSTITUTE(BM643,"0",""),"-",""),"_",""),"/",""),".",""),"#",""),"\\",""),":","")," ",""),"(",""),")","")</f>
        <v/>
      </c>
      <c r="BY643" s="62" t="n">
        <f aca="false">IF(ISNUMBER(Flights!$AZ$23),MAX(Q643-UpliftWindowH/24,Flights!$AZ$23),Q643-UpliftWindowH/24)</f>
        <v>46323.7777777778</v>
      </c>
      <c r="BZ643" s="61" t="n">
        <f aca="false">IFERROR(IF(IF(TRIM(S643)="Link / file path",AND(LEN(TRIM(Z643))&gt;=5,SUMPRODUCT(--ISNUMBER(SEARCH({"http","www.","\\",":\",".pdf",".jpg",".jpeg",".png",".heic",".xls",".doc",".msg",".eml",".ppt",".txt",".zip"},Z643)))&gt;0),AND(ISERROR(FIND(" ",TRIM(Z643))),NOT(OR(SUMPRODUCT(--ISNUMBER(FIND({",",";","&amp;","+"},Z643)))&gt;0,SUMPRODUCT(--ISNUMBER(SEARCH({"0/aa","0\\aa"},BN643)))&gt;0)),NOT(SUMPRODUCT(--ISNUMBER(SEARCH({"http","www.","\\",":\",".pdf",".jpg",".jpeg",".png",".heic",".xls",".doc",".msg",".eml",".ppt",".txt",".zip"},Z643)))&gt;0),NOT(LOWER(TRIM(Z643))=LOWER(Flights!$F$23)),ISNA(MATCH(BU643,{"mh","rev","revision","ver","version","v","r","a","b","seat","tray","row","gate","bay","stand","page","pg","item","line","no","cart","galley","flight","flt","table","box","bag","oven","etd","eta","std","sta","atd","ata","qty","pax","x","time","tel","ph","mob","day","wk","week","utc","gmt","myt","lt"},0)),NOT(OR(ISNUMBER(MATCH(LEFT(BN643,255),{"0000a","000a","00a","0000aa","000aa","00aa","0aa","0000aaa","000aaa","00a00","0a00","0000-0000","00:00","a00","a0","00.00.0000","00/00/0000","00-00-0000","0000-00-00","0000/00/00","0000.00.00","00.00.00","00/00/00","00-00-00","0.00.0000","0/00/0000","0-00-0000"},0)),ISNUMBER(MATCH(LEFT(BT643,255),{"0000a","000a","00a","0000aa","000aa","00aa","0aa","0000aaa","000aaa","00a00","0a00","0000-0000","00:00","a00","a0","00.00.0000","00/00/0000","00-00-0000","0000-00-00","0000/00/00","0000.00.00","00.00.00","00/00/00","00-00-00","0.00.0000","0/00/0000","0-00-0000"},0)))),NOT(OR(AND(BW643&lt;&gt;"",SUBSTITUTE(BW643,"0","")=""),AND(LEN(BW643)&gt;=4,BW643=REPT(LEFT(BW643),LEN(BW643))),ISNUMBER(MATCH(BW643,{"123","1234","12345","123456","1234567","12345678","0123","01234","012345","98765","987654","54321"},0)),ISNUMBER(MATCH(BX643,{"x","xx","xxx","xxxx","xxxxx","abc","abcd","nil","na","nan","test","tbc","tba","tbd","dummy","sample","example","eg","zz","zzz","none","null","xyz","qwe","asd","id","ref"},0)),AND(LEN(BW643)=8,BX643="",OR(LEFT(BW643,3)="202",ISNUMBER(MATCH(RIGHT(BW643,4),{"2025","2026","2027"},0)))))),OR(AND((LEN(BT643)-LEN(SUBSTITUTE(BT643,"a","")))&gt;=1,(LEN(BN643)-LEN(SUBSTITUTE(BN643,"0","")))&gt;=2,SUMPRODUCT(--ISNUMBER(SEARCH({"a0","a-0","a_0","a/0","a.0","a#0","0a","0-a","0_a","0/a"},BN643)))&gt;0),AND((LEN(BN643)-LEN(SUBSTITUTE(BN643,"a","")))=0,(LEN(BN643)-LEN(SUBSTITUTE(BN643,"0","")))&gt;=5)))),1,0),0)</f>
        <v>0</v>
      </c>
      <c r="CA6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643,"revision",""),"version",""),"jan",""),"feb",""),"mar",""),"apr",""),"may",""),"jun",""),"jul",""),"aug",""),"sep",""),"oct",""),"nov",""),"dec",""),"utc",""),"gmt",""),"myt",""),"bst",""),"rev",""),"ver",""),"b","a"),"c","a"),"d","a"),"e","a"),"f","a"),"g","a"),"h","a"),"i","a"),"j","a"),"k","a"),"l","a"),"m","a"),"n","a"),"o","a"),"p","a"),"q","a"),"r","a"),"s","a"),"t","a"),"u","a"),"v","a"),"w","a"),"x","a"),"y","a"),"z","a")</f>
        <v/>
      </c>
      <c r="CB6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643&amp;""),"a",""),"b",""),"c",""),"d",""),"e",""),"f",""),"g",""),"h",""),"i",""),"j",""),"k",""),"l",""),"m",""),"n",""),"o",""),"p",""),"q",""),"r",""),"s",""),"t",""),"u",""),"v",""),"w",""),"x",""),"y",""),"z",""),"-",""),"_",""),"/",""),".",""),"#",""),"\\",""),":","")," ",""),"(",""),")","")</f>
        <v/>
      </c>
      <c r="CC643" s="0" t="str">
        <f aca="false">" "&amp;TRIM(SUBSTITUTE(SUBSTITUTE(SUBSTITUTE(SUBSTITUTE(SUBSTITUTE(SUBSTITUTE(SUBSTITUTE(SUBSTITUTE(SUBSTITUTE(SUBSTITUTE(SUBSTITUTE(SUBSTITUTE(SUBSTITUTE(SUBSTITUTE(SUBSTITUTE(SUBSTITUTE(SUBSTITUTE(SUBSTITUTE(SUBSTITUTE(SUBSTITUTE(SUBSTITUTE(SUBSTITUTE(SUBSTITUTE(SUBSTITUTE(LOWER(T643&amp;""),CHAR(10)," "),CHAR(13)," "),CHAR(9)," "),CHAR(160)," "),"."," "),","," "),"-"," "),"/"," "),"("," "),")"," "),":"," "),";"," "),"_"," "),"–"," "),"?"," "),"!"," "),"*"," "),"["," "),"]"," "),"'"," "),"#"," "),"+"," "),"&amp;"," "),"\"," "))&amp;" "</f>
        <v>  </v>
      </c>
      <c r="CD643" s="0" t="str">
        <f aca="false">" "&amp;TRIM(SUBSTITUTE(SUBSTITUTE(SUBSTITUTE(SUBSTITUTE(SUBSTITUTE(SUBSTITUTE(SUBSTITUTE(SUBSTITUTE(SUBSTITUTE(SUBSTITUTE(SUBSTITUTE(SUBSTITUTE(SUBSTITUTE(SUBSTITUTE(SUBSTITUTE(SUBSTITUTE(SUBSTITUTE(SUBSTITUTE(SUBSTITUTE(SUBSTITUTE(SUBSTITUTE(SUBSTITUTE(SUBSTITUTE(SUBSTITUTE(LOWER(AE643&amp;""),CHAR(10)," "),CHAR(13)," "),CHAR(9)," "),CHAR(160)," "),"."," "),","," "),"-"," "),"/"," "),"("," "),")"," "),":"," "),";"," "),"_"," "),"–"," "),"?"," "),"!"," "),"*"," "),"["," "),"]"," "),"'"," "),"#"," "),"+"," "),"&amp;"," "),"\"," "))&amp;" "</f>
        <v>  </v>
      </c>
      <c r="CE643" s="68" t="n">
        <f aca="false">IFERROR(IF(AND(LEN(AU643)&gt;0,LEN(AU643)=LEN(AX643),OR(TRIM(MID(SUBSTITUTE(TRIM(CC643)," ",REPT(" ",60)),1,60))="",ISNUMBER(SEARCH(" "&amp;TRIM(MID(SUBSTITUTE(TRIM(CC643)," ",REPT(" ",60)),1,60))&amp;" ",CD643))),OR(TRIM(MID(SUBSTITUTE(TRIM(CC643)," ",REPT(" ",60)),61,60))="",ISNUMBER(SEARCH(" "&amp;TRIM(MID(SUBSTITUTE(TRIM(CC643)," ",REPT(" ",60)),61,60))&amp;" ",CD643))),OR(TRIM(MID(SUBSTITUTE(TRIM(CC643)," ",REPT(" ",60)),121,60))="",ISNUMBER(SEARCH(" "&amp;TRIM(MID(SUBSTITUTE(TRIM(CC643)," ",REPT(" ",60)),121,60))&amp;" ",CD643)))),1,0),0)</f>
        <v>0</v>
      </c>
      <c r="CG643" s="68" t="n">
        <f aca="false">IFERROR(LEN(SUBSTITUTE(BF643," ",""))-SUMPRODUCT((LEN(BF643)-LEN(SUBSTITUTE(BF643," "&amp;L_NAFiller&amp;" "," ")))/(LEN(L_NAFiller)+1)*LEN(L_NAFiller)),0)</f>
        <v>0</v>
      </c>
    </row>
    <row r="644" customFormat="false" ht="39.75" hidden="false" customHeight="true" outlineLevel="0" collapsed="false">
      <c r="A644" s="57" t="s">
        <v>1362</v>
      </c>
      <c r="B644" s="57" t="s">
        <v>304</v>
      </c>
      <c r="C644" s="57" t="str">
        <f aca="false">Flights!$F$24</f>
        <v>MH1450</v>
      </c>
      <c r="D644" s="58" t="n">
        <f aca="false">Flights!$D$24</f>
        <v>46324</v>
      </c>
      <c r="E644" s="57" t="str">
        <f aca="false">Flights!$G$24&amp;"-"&amp;Flights!$H$24</f>
        <v>KUL-LGK</v>
      </c>
      <c r="F644" s="57" t="str">
        <f aca="false">Flights!$K$24</f>
        <v>EY</v>
      </c>
      <c r="G644" s="57" t="s">
        <v>81</v>
      </c>
      <c r="H644" s="57" t="s">
        <v>378</v>
      </c>
      <c r="I644" s="57" t="s">
        <v>379</v>
      </c>
      <c r="J644" s="57" t="s">
        <v>380</v>
      </c>
      <c r="K644" s="67" t="s">
        <v>381</v>
      </c>
      <c r="L644" s="67" t="s">
        <v>382</v>
      </c>
      <c r="M644" s="67"/>
      <c r="N644" s="67" t="s">
        <v>383</v>
      </c>
      <c r="O644" s="67" t="s">
        <v>912</v>
      </c>
      <c r="P644" s="57" t="s">
        <v>187</v>
      </c>
      <c r="Q644" s="59" t="n">
        <f aca="false">ROUND((Flights!$AC$24)*1440,0)/1440</f>
        <v>46317.4375</v>
      </c>
      <c r="R644" s="59" t="n">
        <f aca="false">Q644+(IF(AND(INDEX(TZ_DSTS,MATCH(P644,TZ_STN,0))&lt;&gt;"",Q644&gt;=INDEX(TZ_DSTS,MATCH(P644,TZ_STN,0)),Q644&lt;INDEX(TZ_DSTE,MATCH(P644,TZ_STN,0))),INDEX(TZ_DST,MATCH(P644,TZ_STN,0)),INDEX(TZ_STD,MATCH(P644,TZ_STN,0))))/24</f>
        <v>46317.7708333333</v>
      </c>
      <c r="S644" s="60"/>
      <c r="T644" s="60"/>
      <c r="U644" s="60"/>
      <c r="V644" s="60"/>
      <c r="W644" s="61"/>
      <c r="X644" s="60"/>
      <c r="Y644" s="60"/>
      <c r="Z644" s="60"/>
      <c r="AA644" s="60"/>
      <c r="AB644" s="60"/>
      <c r="AC644" s="60"/>
      <c r="AD644" s="66"/>
      <c r="AE644" s="60"/>
      <c r="AF644" s="61" t="str">
        <f aca="false">IF(AND(ISNUMBER(X644),ISNUMBER(Y644)),Y644-X644,"")</f>
        <v/>
      </c>
      <c r="AG644" s="62" t="str">
        <f aca="false">IF(ISNUMBER(AD644),AD644-(IF(AND(INDEX(TZ_DSTS,MATCH(P644,TZ_STN,0))&lt;&gt;"",(AD644-INDEX(TZ_STD,MATCH(P644,TZ_STN,0))/24)&gt;=INDEX(TZ_DSTS,MATCH(P644,TZ_STN,0)),(AD644-INDEX(TZ_STD,MATCH(P644,TZ_STN,0))/24)&lt;INDEX(TZ_DSTE,MATCH(P644,TZ_STN,0))),INDEX(TZ_DST,MATCH(P644,TZ_STN,0)),INDEX(TZ_STD,MATCH(P644,TZ_STN,0))))/24,"")</f>
        <v/>
      </c>
      <c r="AH644" s="65" t="str">
        <f aca="false">IFERROR(IF(N644="N/A – rule",IF(OR(TRIM(U644)="",TRIM(U644)="N/A",TRIM(U644)="Not started"),"N/A – RULE","INVALID – this check does not apply to this aircraft: clear the status (or correct the fleet on Flights)"),IF(TRIM(U644)="N/A",IF(AT644=0,"INVALID – N/A not permitted for this check",IF(AND(TRIM(AB644)&lt;&gt;"",TRIM(AB644)&lt;&gt;"Closed"),"INVALID – corrective action still open",IF(AND(NOT(OR(LEN(AZ644)&lt;15,ISNUMBER(MATCH(AZ644,L_Placeholder,0)))),BK644=0,CG644&gt;=8,NOT(OR(LEN(AU644)&lt;2,ISNUMBER(MATCH(AU644,L_Placeholder,0)))),BR644&gt;=3,NOT(OR(LEN(AX644)&lt;2,ISNUMBER(MATCH(AX644,L_Placeholder,0)))),BS644&gt;=3,TRIM(AE644)&lt;&gt;TRIM(T644),AX644&lt;&gt;AU644,CE644=0),"N/A – JUSTIFIED","INVALID – N/A needs a real, settled reason (not 'not applicable' / 'as above' / TBC), a named PIC and a different named verifier"))),IF(OR(TRIM(U644)="Pass",TRIM(U644)="Pass after CA"),IF(NOT(ISNUMBER(AD644)),"INVALID – completion time missing",IF(OR(OR(LEN(AU644)&lt;2,ISNUMBER(MATCH(AU644,L_Placeholder,0))),BR644&lt;3),"INVALID – PIC missing or not a named person (a role such as QA / CSM is not a name)",IF(OR(LEN(AV644)&lt;2,ISNUMBER(MATCH(AV644,L_Placeholder,0))),"INVALID – result / assessment missing",IF(OR(OR(LEN(AW644)&lt;3,ISNUMBER(MATCH(AW644,L_Placeholder,0))),SUMPRODUCT(--ISNUMBER(SEARCH(" "&amp;L_EvidencePhrase&amp;" ",BD644)))&gt;0,BI644=1),"INVALID – evidence missing, placeholder or not yet on file",IF(ISNA(MATCH(TRIM(S644),L_EvidenceType,0)),"INVALID – choose the evidence type from the list (column S)",IF(BL644=0,"INVALID – evidence ID must be the record's own ID only (e.g. SF-2210, IMG_2231, 1045521); a link / file name needs type 'Link / file path'",IF(OR(OR(LEN(AX644)&lt;2,ISNUMBER(MATCH(AX644,L_Placeholder,0))),BS644&lt;3),"INVALID – verifier missing or not a named person (a role such as QA / CSM is not a name)",IF(OR(AX644=AU644,CE644=1,AND(LEN(AU644)&gt;=4,ISNUMBER(SEARCH(AU644,AX644))),AND(LEN(AX644)&gt;=4,ISNUMBER(SEARCH(AX644,AU644)))),"INVALID – verifier must be a different, named person (not the PIC or a role)",IF(BH644=1,"INVALID – result not yet available (awaiting / TBC)",IF(BG644=1,"INVALID – result describes a problem: record Fail, then Pass after CA (or reword if it is not a problem)",IF(BV644=1,"INVALID – wording says not on board: an on-board confirmation needs the item loaded",IF(AND(AQ644=1,OR(OR(LEN(AY644)&lt;3,ISNUMBER(MATCH(AY644,L_Placeholder,0))),BJ644=1,BQ644=0)),"INVALID – batch ID missing, placeholder or not an ID (e.g. PASB-261008-BC-017)",IF(AND(AR644=1,OR(NOT(ISNUMBER(X644)),NOT(ISNUMBER(Y644)))),"INVALID – expected/actual qty missing",IF(AND(AR644=1,OR(X644&lt;=0,Y644&lt;0)),"INVALID – expected qty must be above 0 and actual not negative",IF(BB644&lt;&gt;"",BB644,IF(AND(AS644=1,Documents!$J$24&lt;&gt;"ON FILE"),"INVALID – GLD not on file (Documents sheet)",IF(AND(AS644=2,Documents!$O$24&lt;&gt;"ON FILE"),"INVALID – menu checklist not on file (Documents sheet)",IF(AND(AS644=3,NOT(ISNUMBER(Flights!$AX$24))),"INVALID – enter carrying flight KUL departure (Flights AX)",IF(AND(AS644=3,OR(Flights!$AZ$24&gt;Flights!$AA$24,Flights!$AX$24&lt;Flights!$AA$24-3)),"INVALID – carrying flight (Flights AX) cannot arrive before this leg's STD, or is over 3 days early",IF(AG644&gt;AsOfUTC,"INVALID – completion time is in the future",IF(AND(ISNUMBER(BY644),AG644&lt;BY644),IF(H644="Physical uplift","INVALID – before uplift window (cannot confirm loading)","INVALID – before valid window"),IF(AG644&gt;Flights!$AA$24,"INVALID – completed after departure (cannot establish readiness)",IF(AND(H644="Preparation",AG644&gt;=IF(ISNUMBER(Flights!$BA$24),MIN(Flights!$BA$24,Flights!$AA$24),Flights!$AA$24)),"INVALID – completed after loading / departure (cannot establish readiness)",IF(AND(H644="Physical uplift",AG644&gt;Q644),"INVALID – recorded after the loading flight departed",IF(AG644&gt;Q644,"COMPLETE – LATE","COMPLETE"))))))))))))))))))))))))),IF(TRIM(U644)="Fail","FAIL – DISCREPANCY",IF(AND(TRIM(U644)&lt;&gt;"",TRIM(U644)&lt;&gt;"Not started",TRIM(U644)&lt;&gt;"In progress"),"INVALID – unrecognised status (use the list)",IF(AsOfUTC&gt;Q644,"OVERDUE",IF(N644="Clarification required","OPEN – CLARIFICATION","OPEN"))))))),"INVALID – error value in an input cell")</f>
        <v>OPEN</v>
      </c>
      <c r="AI644" s="61" t="n">
        <f aca="false">IF(OR(AH644="N/A – RULE",AH644="N/A – JUSTIFIED"),0,1)</f>
        <v>1</v>
      </c>
      <c r="AJ644" s="61" t="n">
        <f aca="false">IF(LEFT(AH644,8)="COMPLETE",1,0)</f>
        <v>0</v>
      </c>
      <c r="AK644" s="61" t="n">
        <f aca="false">IF(AND(AI644=1,AJ644=0,AsOfUTC&gt;Q644),1,0)</f>
        <v>0</v>
      </c>
      <c r="AL644" s="61" t="n">
        <f aca="false">IFERROR(IF(AND(AI644=1,OR(TRIM(U644)="Fail",AND(TRIM(AB644)&lt;&gt;"",TRIM(AB644)&lt;&gt;"Closed"),AND(ISNUMBER(AF644),AF644&lt;&gt;0,TRIM(U644)&lt;&gt;"Pass after CA"))),1,0),1)</f>
        <v>0</v>
      </c>
      <c r="AM644" s="61" t="n">
        <f aca="false">IF(LEFT(AH644,7)="INVALID",1,0)</f>
        <v>0</v>
      </c>
      <c r="AN644" s="61" t="n">
        <f aca="false">IF(AND(N644="Clarification required",AI644=1,AJ644=0),1,0)</f>
        <v>0</v>
      </c>
      <c r="AO644" s="61" t="str">
        <f aca="false">IF(AK644=1,SUM(AK$5:AK644),"")</f>
        <v/>
      </c>
      <c r="AP644" s="61" t="str">
        <f aca="false">IF(AL644=1,SUM(AL$5:AL644),"")</f>
        <v/>
      </c>
      <c r="AQ644" s="61" t="n">
        <v>0</v>
      </c>
      <c r="AR644" s="61" t="n">
        <v>0</v>
      </c>
      <c r="AS644" s="61" t="n">
        <v>0</v>
      </c>
      <c r="AT644" s="61" t="n">
        <v>0</v>
      </c>
      <c r="AU644" s="61" t="str">
        <f aca="false">SUBSTITUTE(SUBSTITUTE(SUBSTITUTE(SUBSTITUTE(SUBSTITUTE(SUBSTITUTE(SUBSTITUTE(SUBSTITUTE(SUBSTITUTE(SUBSTITUTE(SUBSTITUTE(SUBSTITUTE(SUBSTITUTE(SUBSTITUTE(SUBSTITUTE(SUBSTITUTE(LOWER(T644&amp;""),CHAR(10),""),CHAR(13),""),CHAR(9),""),CHAR(160),"")," ",""),".",""),"-",""),"/",""),"?",""),"_",""),",",""),"[",""),"]",""),"(",""),")",""),"*","")</f>
        <v/>
      </c>
      <c r="AV644" s="61" t="str">
        <f aca="false">SUBSTITUTE(SUBSTITUTE(SUBSTITUTE(SUBSTITUTE(SUBSTITUTE(SUBSTITUTE(SUBSTITUTE(SUBSTITUTE(SUBSTITUTE(SUBSTITUTE(SUBSTITUTE(SUBSTITUTE(SUBSTITUTE(SUBSTITUTE(SUBSTITUTE(SUBSTITUTE(LOWER(V644&amp;""),CHAR(10),""),CHAR(13),""),CHAR(9),""),CHAR(160),"")," ",""),".",""),"-",""),"/",""),"?",""),"_",""),",",""),"[",""),"]",""),"(",""),")",""),"*","")</f>
        <v/>
      </c>
      <c r="AW644" s="61" t="str">
        <f aca="false">SUBSTITUTE(SUBSTITUTE(SUBSTITUTE(SUBSTITUTE(SUBSTITUTE(SUBSTITUTE(SUBSTITUTE(SUBSTITUTE(SUBSTITUTE(SUBSTITUTE(SUBSTITUTE(SUBSTITUTE(SUBSTITUTE(SUBSTITUTE(SUBSTITUTE(SUBSTITUTE(LOWER(Z644&amp;""),CHAR(10),""),CHAR(13),""),CHAR(9),""),CHAR(160),"")," ",""),".",""),"-",""),"/",""),"?",""),"_",""),",",""),"[",""),"]",""),"(",""),")",""),"*","")</f>
        <v/>
      </c>
      <c r="AX644" s="61" t="str">
        <f aca="false">SUBSTITUTE(SUBSTITUTE(SUBSTITUTE(SUBSTITUTE(SUBSTITUTE(SUBSTITUTE(SUBSTITUTE(SUBSTITUTE(SUBSTITUTE(SUBSTITUTE(SUBSTITUTE(SUBSTITUTE(SUBSTITUTE(SUBSTITUTE(SUBSTITUTE(SUBSTITUTE(LOWER(AE644&amp;""),CHAR(10),""),CHAR(13),""),CHAR(9),""),CHAR(160),"")," ",""),".",""),"-",""),"/",""),"?",""),"_",""),",",""),"[",""),"]",""),"(",""),")",""),"*","")</f>
        <v/>
      </c>
      <c r="AY644" s="61" t="str">
        <f aca="false">SUBSTITUTE(SUBSTITUTE(SUBSTITUTE(SUBSTITUTE(SUBSTITUTE(SUBSTITUTE(SUBSTITUTE(SUBSTITUTE(SUBSTITUTE(SUBSTITUTE(SUBSTITUTE(SUBSTITUTE(SUBSTITUTE(SUBSTITUTE(SUBSTITUTE(SUBSTITUTE(LOWER(W644&amp;""),CHAR(10),""),CHAR(13),""),CHAR(9),""),CHAR(160),"")," ",""),".",""),"-",""),"/",""),"?",""),"_",""),",",""),"[",""),"]",""),"(",""),")",""),"*","")</f>
        <v/>
      </c>
      <c r="AZ644" s="61" t="str">
        <f aca="false">SUBSTITUTE(SUBSTITUTE(SUBSTITUTE(SUBSTITUTE(SUBSTITUTE(SUBSTITUTE(SUBSTITUTE(SUBSTITUTE(SUBSTITUTE(SUBSTITUTE(SUBSTITUTE(SUBSTITUTE(SUBSTITUTE(SUBSTITUTE(SUBSTITUTE(SUBSTITUTE(LOWER(AC644&amp;""),CHAR(10),""),CHAR(13),""),CHAR(9),""),CHAR(160),"")," ",""),".",""),"-",""),"/",""),"?",""),"_",""),",",""),"[",""),"]",""),"(",""),")",""),"*","")</f>
        <v/>
      </c>
      <c r="BA644" s="61" t="str">
        <f aca="false">SUBSTITUTE(SUBSTITUTE(SUBSTITUTE(SUBSTITUTE(SUBSTITUTE(SUBSTITUTE(SUBSTITUTE(SUBSTITUTE(SUBSTITUTE(SUBSTITUTE(SUBSTITUTE(SUBSTITUTE(SUBSTITUTE(SUBSTITUTE(SUBSTITUTE(SUBSTITUTE(LOWER(AA644&amp;""),CHAR(10),""),CHAR(13),""),CHAR(9),""),CHAR(160),"")," ",""),".",""),"-",""),"/",""),"?",""),"_",""),",",""),"[",""),"]",""),"(",""),")",""),"*","")</f>
        <v/>
      </c>
      <c r="BB644" s="61" t="str">
        <f aca="false">IF(AND(TRIM(U644)="Pass",ISNUMBER(AF644)),IF(AF644&lt;&gt;0,"INVALID – qty variance: use Fail or Pass after CA",""),"")&amp;IF(AND(TRIM(U644)="Pass after CA",ISNUMBER(AF644)),IF(AF644&lt;&gt;0,"INVALID – after the corrective action the actual qty must equal expected (update Actual)",""),"")&amp;IF(AND(TRIM(U644)="Pass",TRIM(AB644)&lt;&gt;"",TRIM(AB644)&lt;&gt;"Closed"),"INVALID – corrective action not closed: use Fail, then Pass after CA","")&amp;IF(AND(LEN(BA644)&gt;=2,ISNA(MATCH(LEFT(BA644,255),L_Placeholder,0)),TRIM(AB644)=""),"INVALID – CA status missing for the recorded corrective action","")&amp;IF(AND(TRIM(U644)="Pass after CA",OR(OR(LEN(BA644)&lt;5,ISNUMBER(MATCH(BA644,L_Placeholder,0))),TRIM(AB644)&lt;&gt;"Closed")),"INVALID – corrective action not recorded/closed","")</f>
        <v/>
      </c>
      <c r="BC644" s="61" t="str">
        <f aca="false">" "&amp;TRIM(SUBSTITUTE(SUBSTITUTE(SUBSTITUTE(SUBSTITUTE(SUBSTITUTE(SUBSTITUTE(SUBSTITUTE(SUBSTITUTE(SUBSTITUTE(SUBSTITUTE(SUBSTITUTE(SUBSTITUTE(SUBSTITUTE(SUBSTITUTE(SUBSTITUTE(SUBSTITUTE(SUBSTITUTE(SUBSTITUTE(SUBSTITUTE(SUBSTITUTE(SUBSTITUTE(SUBSTITUTE(SUBSTITUTE(SUBSTITUTE(LOWER(V644&amp;""),CHAR(10)," "),CHAR(13)," "),CHAR(9)," "),CHAR(160)," "),"."," "),","," "),"-"," "),"/"," "),"("," "),")"," "),":"," "),";"," "),"_"," "),"–"," "),"?"," "),"!"," "),"*"," "),"["," "),"]"," "),"'"," "),"#"," "),"+"," "),"&amp;"," "),"\"," "))&amp;" "</f>
        <v>  </v>
      </c>
      <c r="BD644" s="61" t="str">
        <f aca="false">" "&amp;TRIM(SUBSTITUTE(SUBSTITUTE(SUBSTITUTE(SUBSTITUTE(SUBSTITUTE(SUBSTITUTE(SUBSTITUTE(SUBSTITUTE(SUBSTITUTE(SUBSTITUTE(SUBSTITUTE(SUBSTITUTE(SUBSTITUTE(SUBSTITUTE(SUBSTITUTE(SUBSTITUTE(SUBSTITUTE(SUBSTITUTE(SUBSTITUTE(SUBSTITUTE(SUBSTITUTE(SUBSTITUTE(SUBSTITUTE(SUBSTITUTE(LOWER(Z644&amp;""),CHAR(10)," "),CHAR(13)," "),CHAR(9)," "),CHAR(160)," "),"."," "),","," "),"-"," "),"/"," "),"("," "),")"," "),":"," "),";"," "),"_"," "),"–"," "),"?"," "),"!"," "),"*"," "),"["," "),"]"," "),"'"," "),"#"," "),"+"," "),"&amp;"," "),"\"," "))&amp;" "</f>
        <v>  </v>
      </c>
      <c r="BE644" s="61" t="str">
        <f aca="false">" "&amp;TRIM(SUBSTITUTE(SUBSTITUTE(SUBSTITUTE(SUBSTITUTE(SUBSTITUTE(SUBSTITUTE(SUBSTITUTE(SUBSTITUTE(SUBSTITUTE(SUBSTITUTE(SUBSTITUTE(SUBSTITUTE(SUBSTITUTE(SUBSTITUTE(SUBSTITUTE(SUBSTITUTE(SUBSTITUTE(SUBSTITUTE(SUBSTITUTE(SUBSTITUTE(SUBSTITUTE(SUBSTITUTE(SUBSTITUTE(SUBSTITUTE(LOWER(W644&amp;""),CHAR(10)," "),CHAR(13)," "),CHAR(9)," "),CHAR(160)," "),"."," "),","," "),"-"," "),"/"," "),"("," "),")"," "),":"," "),";"," "),"_"," "),"–"," "),"?"," "),"!"," "),"*"," "),"["," "),"]"," "),"'"," "),"#"," "),"+"," "),"&amp;"," "),"\"," "))&amp;" "</f>
        <v>  </v>
      </c>
      <c r="BF644" s="61" t="str">
        <f aca="false">" "&amp;TRIM(SUBSTITUTE(SUBSTITUTE(SUBSTITUTE(SUBSTITUTE(SUBSTITUTE(SUBSTITUTE(SUBSTITUTE(SUBSTITUTE(SUBSTITUTE(SUBSTITUTE(SUBSTITUTE(SUBSTITUTE(SUBSTITUTE(SUBSTITUTE(SUBSTITUTE(SUBSTITUTE(SUBSTITUTE(SUBSTITUTE(SUBSTITUTE(SUBSTITUTE(SUBSTITUTE(SUBSTITUTE(SUBSTITUTE(SUBSTITUTE(LOWER(AC644&amp;""),CHAR(10)," "),CHAR(13)," "),CHAR(9)," "),CHAR(160)," "),"."," "),","," "),"-"," "),"/"," "),"("," "),")"," "),":"," "),";"," "),"_"," "),"–"," "),"?"," "),"!"," "),"*"," "),"["," "),"]"," "),"'"," "),"#"," "),"+"," "),"&amp;"," "),"\"," "))&amp;" "</f>
        <v>  </v>
      </c>
      <c r="BG644" s="61" t="n">
        <f aca="false">IFERROR(IF(AND(TRIM(U644)="Pass",SUMPRODUCT((LEN(BC644)-LEN(SUBSTITUTE(BC644," "&amp;L_ResultBad&amp;" "," ")))/(LEN(L_ResultBad)+1))&gt;SUMPRODUCT((LEN(BC644)-LEN(SUBSTITUTE(BC644," "&amp;L_NegPhrase&amp;" "," ")))/(LEN(L_NegPhrase)+1))),1,0),0)</f>
        <v>0</v>
      </c>
      <c r="BH644" s="61" t="n">
        <f aca="false">IFERROR(IF(SUMPRODUCT((LEN(BC644)-LEN(SUBSTITUTE(BC644," "&amp;L_Pending&amp;" "," ")))/(LEN(L_Pending)+1))&gt;SUMPRODUCT((LEN(BC644)-LEN(SUBSTITUTE(BC644," "&amp;L_PendNeg&amp;" "," ")))/(LEN(L_PendNeg)+1))+SUMPRODUCT((LEN(BC644)-LEN(SUBSTITUTE(BC644," "&amp;L_PendPrep&amp;" "," ")))/(LEN(L_PendPrep)+1)),1,0),1)</f>
        <v>0</v>
      </c>
      <c r="BI644" s="61" t="n">
        <f aca="false">IFERROR(IF(SUMPRODUCT((LEN(BD644)-LEN(SUBSTITUTE(BD644," "&amp;L_PendStrict&amp;" "," ")))/(LEN(L_PendStrict)+1))&gt;SUMPRODUCT((LEN(BD644)-LEN(SUBSTITUTE(BD644," "&amp;L_PendNeg&amp;" "," ")))/(LEN(L_PendNeg)+1)),1,0),1)</f>
        <v>0</v>
      </c>
      <c r="BJ644" s="61" t="n">
        <f aca="false">IFERROR(IF(SUMPRODUCT((LEN(BE644)-LEN(SUBSTITUTE(BE644," "&amp;L_Pending&amp;" "," ")))/(LEN(L_Pending)+1))&gt;SUMPRODUCT((LEN(BE644)-LEN(SUBSTITUTE(BE644," "&amp;L_PendNeg&amp;" "," ")))/(LEN(L_PendNeg)+1))+SUMPRODUCT((LEN(BE644)-LEN(SUBSTITUTE(BE644," "&amp;L_PendPrep&amp;" "," ")))/(LEN(L_PendPrep)+1)),1,0),1)</f>
        <v>0</v>
      </c>
      <c r="BK644" s="61" t="n">
        <f aca="false">IFERROR(IF(SUMPRODUCT((LEN(BF644)-LEN(SUBSTITUTE(BF644," "&amp;L_PendStrict&amp;" "," ")))/(LEN(L_PendStrict)+1))&gt;SUMPRODUCT((LEN(BF644)-LEN(SUBSTITUTE(BF644," "&amp;L_PendNeg&amp;" "," ")))/(LEN(L_PendNeg)+1)),1,0),1)</f>
        <v>0</v>
      </c>
      <c r="BL644" s="61" t="n">
        <f aca="false">IF(ISNA(MATCH(TRIM(S644),L_EvidenceType,0)),0,BZ644)</f>
        <v>0</v>
      </c>
      <c r="BM644" s="61" t="str">
        <f aca="false">SUBSTITUTE(SUBSTITUTE(SUBSTITUTE(SUBSTITUTE(SUBSTITUTE(SUBSTITUTE(SUBSTITUTE(SUBSTITUTE(SUBSTITUTE(LOWER(Z644&amp;""),"1","0"),"2","0"),"3","0"),"4","0"),"5","0"),"6","0"),"7","0"),"8","0"),"9","0")</f>
        <v/>
      </c>
      <c r="BN644" s="61" t="str">
        <f aca="false">SUBSTITUTE(SUBSTITUTE(SUBSTITUTE(SUBSTITUTE(SUBSTITUTE(SUBSTITUTE(SUBSTITUTE(SUBSTITUTE(SUBSTITUTE(SUBSTITUTE(SUBSTITUTE(SUBSTITUTE(SUBSTITUTE(SUBSTITUTE(SUBSTITUTE(SUBSTITUTE(SUBSTITUTE(SUBSTITUTE(SUBSTITUTE(SUBSTITUTE(SUBSTITUTE(SUBSTITUTE(SUBSTITUTE(SUBSTITUTE(SUBSTITUTE(BM644,"b","a"),"c","a"),"d","a"),"e","a"),"f","a"),"g","a"),"h","a"),"i","a"),"j","a"),"k","a"),"l","a"),"m","a"),"n","a"),"o","a"),"p","a"),"q","a"),"r","a"),"s","a"),"t","a"),"u","a"),"v","a"),"w","a"),"x","a"),"y","a"),"z","a")</f>
        <v/>
      </c>
      <c r="BO644" s="61" t="str">
        <f aca="false">SUBSTITUTE(SUBSTITUTE(SUBSTITUTE(SUBSTITUTE(SUBSTITUTE(SUBSTITUTE(SUBSTITUTE(SUBSTITUTE(SUBSTITUTE(LOWER(W644&amp;""),"1","0"),"2","0"),"3","0"),"4","0"),"5","0"),"6","0"),"7","0"),"8","0"),"9","0")</f>
        <v/>
      </c>
      <c r="BP644" s="61" t="str">
        <f aca="false">SUBSTITUTE(SUBSTITUTE(SUBSTITUTE(SUBSTITUTE(SUBSTITUTE(SUBSTITUTE(SUBSTITUTE(SUBSTITUTE(SUBSTITUTE(SUBSTITUTE(SUBSTITUTE(SUBSTITUTE(SUBSTITUTE(SUBSTITUTE(SUBSTITUTE(SUBSTITUTE(SUBSTITUTE(SUBSTITUTE(SUBSTITUTE(SUBSTITUTE(SUBSTITUTE(SUBSTITUTE(SUBSTITUTE(SUBSTITUTE(SUBSTITUTE(BO644,"b","a"),"c","a"),"d","a"),"e","a"),"f","a"),"g","a"),"h","a"),"i","a"),"j","a"),"k","a"),"l","a"),"m","a"),"n","a"),"o","a"),"p","a"),"q","a"),"r","a"),"s","a"),"t","a"),"u","a"),"v","a"),"w","a"),"x","a"),"y","a"),"z","a")</f>
        <v/>
      </c>
      <c r="BQ644" s="61" t="n">
        <f aca="false">IFERROR(IF(AND(ISERROR(SEARCH(" mh"," "&amp;LOWER(W644))),ISNA(MATCH(LEFT(TRIM(BP644),255),{"0000a","000a","00a","0000aa","000aa","00aa","0aa","0000aaa","000aaa","00a00","0a00","0000-0000","00:00","a00","a0","00.00.0000","00/00/0000","00-00-0000","0000-00-00","0000/00/00","0000.00.00","00.00.00","00/00/00","00-00-00","0.00.0000","0/00/0000","0-00-0000"},0)),ISNA(MATCH(LEFT(TRIM(CA644),255),{"0000a","000a","00a","0000aa","000aa","00aa","0aa","0000aaa","000aaa","00a00","0a00","0000-0000","00:00","a00","a0","00.00.0000","00/00/0000","00-00-0000","0000-00-00","0000/00/00","0000.00.00","00.00.00","00/00/00","00-00-00","0.00.0000","0/00/0000","0-00-0000"},0)),LEN(CB644)&gt;=3,NOT(OR(SUBSTITUTE(CB644,"0","")="",AND(LEN(CB644)&gt;=4,CB644=REPT(LEFT(CB644),LEN(CB644))),ISNUMBER(MATCH(CB644,{"123","1234","12345","123456","1234567","12345678","0123","01234","012345","98765","987654","54321"},0)),AND(LEN(CB644)=8,LEFT(CB644,3)="202"))),OR(AND((LEN(CA644)-LEN(SUBSTITUTE(CA644,"a","")))&gt;=1,SUMPRODUCT(--ISNUMBER(SEARCH({"a0","a-0","a_0","a/0","a.0","a#0","0a","0-a","0_a","0/a"},BP644)))&gt;0),ISNUMBER(SEARCH("000000",BP644)))),1,0),0)</f>
        <v>0</v>
      </c>
      <c r="BR644" s="61" t="n">
        <f aca="false">IFERROR(LEN(SUBSTITUTE(CC644," ",""))-SUMPRODUCT((LEN(CC644)-LEN(SUBSTITUTE(CC644," "&amp;L_Role&amp;" "," ")))/(LEN(L_Role)+1)*LEN(L_Role)),0)</f>
        <v>0</v>
      </c>
      <c r="BS644" s="61" t="n">
        <f aca="false">IFERROR(LEN(SUBSTITUTE(CD644," ",""))-SUMPRODUCT((LEN(CD644)-LEN(SUBSTITUTE(CD644," "&amp;L_Role&amp;" "," ")))/(LEN(L_Role)+1)*LEN(L_Role)),0)</f>
        <v>0</v>
      </c>
      <c r="BT6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644,"revision",""),"version",""),"jan",""),"feb",""),"mar",""),"apr",""),"may",""),"jun",""),"jul",""),"aug",""),"sep",""),"oct",""),"nov",""),"dec",""),"utc",""),"gmt",""),"myt",""),"bst",""),"rev",""),"ver",""),"b","a"),"c","a"),"d","a"),"e","a"),"f","a"),"g","a"),"h","a"),"i","a"),"j","a"),"k","a"),"l","a"),"m","a"),"n","a"),"o","a"),"p","a"),"q","a"),"r","a"),"s","a"),"t","a"),"u","a"),"v","a"),"w","a"),"x","a"),"y","a"),"z","a")</f>
        <v/>
      </c>
      <c r="BU644" s="61" t="str">
        <f aca="false">SUBSTITUTE(SUBSTITUTE(SUBSTITUTE(SUBSTITUTE(SUBSTITUTE(SUBSTITUTE(SUBSTITUTE(SUBSTITUTE(SUBSTITUTE(SUBSTITUTE(LEFT(BM644,FIND("0",BM644&amp;"0")-1),"-",""),"_",""),"/",""),".",""),"#",""),"\\",""),":","")," ",""),"(",""),")","")</f>
        <v/>
      </c>
      <c r="BV644" s="61" t="n">
        <f aca="false">0</f>
        <v>0</v>
      </c>
      <c r="BW6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644&amp;""),"a",""),"b",""),"c",""),"d",""),"e",""),"f",""),"g",""),"h",""),"i",""),"j",""),"k",""),"l",""),"m",""),"n",""),"o",""),"p",""),"q",""),"r",""),"s",""),"t",""),"u",""),"v",""),"w",""),"x",""),"y",""),"z",""),"-",""),"_",""),"/",""),".",""),"#",""),"\\",""),":","")," ",""),"(",""),")","")</f>
        <v/>
      </c>
      <c r="BX644" s="61" t="str">
        <f aca="false">SUBSTITUTE(SUBSTITUTE(SUBSTITUTE(SUBSTITUTE(SUBSTITUTE(SUBSTITUTE(SUBSTITUTE(SUBSTITUTE(SUBSTITUTE(SUBSTITUTE(SUBSTITUTE(BM644,"0",""),"-",""),"_",""),"/",""),".",""),"#",""),"\\",""),":","")," ",""),"(",""),")","")</f>
        <v/>
      </c>
      <c r="BY644" s="62" t="n">
        <f aca="false">Q644-T7EarlyD*24/24</f>
        <v>46303.4375</v>
      </c>
      <c r="BZ644" s="61" t="n">
        <f aca="false">IFERROR(IF(IF(TRIM(S644)="Link / file path",AND(LEN(TRIM(Z644))&gt;=5,SUMPRODUCT(--ISNUMBER(SEARCH({"http","www.","\\",":\",".pdf",".jpg",".jpeg",".png",".heic",".xls",".doc",".msg",".eml",".ppt",".txt",".zip"},Z644)))&gt;0),AND(ISERROR(FIND(" ",TRIM(Z644))),NOT(OR(SUMPRODUCT(--ISNUMBER(FIND({",",";","&amp;","+"},Z644)))&gt;0,SUMPRODUCT(--ISNUMBER(SEARCH({"0/aa","0\\aa"},BN644)))&gt;0)),NOT(SUMPRODUCT(--ISNUMBER(SEARCH({"http","www.","\\",":\",".pdf",".jpg",".jpeg",".png",".heic",".xls",".doc",".msg",".eml",".ppt",".txt",".zip"},Z644)))&gt;0),NOT(LOWER(TRIM(Z644))=LOWER(Flights!$F$24)),ISNA(MATCH(BU644,{"mh","rev","revision","ver","version","v","r","a","b","seat","tray","row","gate","bay","stand","page","pg","item","line","no","cart","galley","flight","flt","table","box","bag","oven","etd","eta","std","sta","atd","ata","qty","pax","x","time","tel","ph","mob","day","wk","week","utc","gmt","myt","lt"},0)),NOT(OR(ISNUMBER(MATCH(LEFT(BN644,255),{"0000a","000a","00a","0000aa","000aa","00aa","0aa","0000aaa","000aaa","00a00","0a00","0000-0000","00:00","a00","a0","00.00.0000","00/00/0000","00-00-0000","0000-00-00","0000/00/00","0000.00.00","00.00.00","00/00/00","00-00-00","0.00.0000","0/00/0000","0-00-0000"},0)),ISNUMBER(MATCH(LEFT(BT644,255),{"0000a","000a","00a","0000aa","000aa","00aa","0aa","0000aaa","000aaa","00a00","0a00","0000-0000","00:00","a00","a0","00.00.0000","00/00/0000","00-00-0000","0000-00-00","0000/00/00","0000.00.00","00.00.00","00/00/00","00-00-00","0.00.0000","0/00/0000","0-00-0000"},0)))),NOT(OR(AND(BW644&lt;&gt;"",SUBSTITUTE(BW644,"0","")=""),AND(LEN(BW644)&gt;=4,BW644=REPT(LEFT(BW644),LEN(BW644))),ISNUMBER(MATCH(BW644,{"123","1234","12345","123456","1234567","12345678","0123","01234","012345","98765","987654","54321"},0)),ISNUMBER(MATCH(BX644,{"x","xx","xxx","xxxx","xxxxx","abc","abcd","nil","na","nan","test","tbc","tba","tbd","dummy","sample","example","eg","zz","zzz","none","null","xyz","qwe","asd","id","ref"},0)),AND(LEN(BW644)=8,BX644="",OR(LEFT(BW644,3)="202",ISNUMBER(MATCH(RIGHT(BW644,4),{"2025","2026","2027"},0)))))),OR(AND((LEN(BT644)-LEN(SUBSTITUTE(BT644,"a","")))&gt;=1,(LEN(BN644)-LEN(SUBSTITUTE(BN644,"0","")))&gt;=2,SUMPRODUCT(--ISNUMBER(SEARCH({"a0","a-0","a_0","a/0","a.0","a#0","0a","0-a","0_a","0/a"},BN644)))&gt;0),AND((LEN(BN644)-LEN(SUBSTITUTE(BN644,"a","")))=0,(LEN(BN644)-LEN(SUBSTITUTE(BN644,"0","")))&gt;=5)))),1,0),0)</f>
        <v>0</v>
      </c>
      <c r="CA6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644,"revision",""),"version",""),"jan",""),"feb",""),"mar",""),"apr",""),"may",""),"jun",""),"jul",""),"aug",""),"sep",""),"oct",""),"nov",""),"dec",""),"utc",""),"gmt",""),"myt",""),"bst",""),"rev",""),"ver",""),"b","a"),"c","a"),"d","a"),"e","a"),"f","a"),"g","a"),"h","a"),"i","a"),"j","a"),"k","a"),"l","a"),"m","a"),"n","a"),"o","a"),"p","a"),"q","a"),"r","a"),"s","a"),"t","a"),"u","a"),"v","a"),"w","a"),"x","a"),"y","a"),"z","a")</f>
        <v/>
      </c>
      <c r="CB6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644&amp;""),"a",""),"b",""),"c",""),"d",""),"e",""),"f",""),"g",""),"h",""),"i",""),"j",""),"k",""),"l",""),"m",""),"n",""),"o",""),"p",""),"q",""),"r",""),"s",""),"t",""),"u",""),"v",""),"w",""),"x",""),"y",""),"z",""),"-",""),"_",""),"/",""),".",""),"#",""),"\\",""),":","")," ",""),"(",""),")","")</f>
        <v/>
      </c>
      <c r="CC644" s="0" t="str">
        <f aca="false">" "&amp;TRIM(SUBSTITUTE(SUBSTITUTE(SUBSTITUTE(SUBSTITUTE(SUBSTITUTE(SUBSTITUTE(SUBSTITUTE(SUBSTITUTE(SUBSTITUTE(SUBSTITUTE(SUBSTITUTE(SUBSTITUTE(SUBSTITUTE(SUBSTITUTE(SUBSTITUTE(SUBSTITUTE(SUBSTITUTE(SUBSTITUTE(SUBSTITUTE(SUBSTITUTE(SUBSTITUTE(SUBSTITUTE(SUBSTITUTE(SUBSTITUTE(LOWER(T644&amp;""),CHAR(10)," "),CHAR(13)," "),CHAR(9)," "),CHAR(160)," "),"."," "),","," "),"-"," "),"/"," "),"("," "),")"," "),":"," "),";"," "),"_"," "),"–"," "),"?"," "),"!"," "),"*"," "),"["," "),"]"," "),"'"," "),"#"," "),"+"," "),"&amp;"," "),"\"," "))&amp;" "</f>
        <v>  </v>
      </c>
      <c r="CD644" s="0" t="str">
        <f aca="false">" "&amp;TRIM(SUBSTITUTE(SUBSTITUTE(SUBSTITUTE(SUBSTITUTE(SUBSTITUTE(SUBSTITUTE(SUBSTITUTE(SUBSTITUTE(SUBSTITUTE(SUBSTITUTE(SUBSTITUTE(SUBSTITUTE(SUBSTITUTE(SUBSTITUTE(SUBSTITUTE(SUBSTITUTE(SUBSTITUTE(SUBSTITUTE(SUBSTITUTE(SUBSTITUTE(SUBSTITUTE(SUBSTITUTE(SUBSTITUTE(SUBSTITUTE(LOWER(AE644&amp;""),CHAR(10)," "),CHAR(13)," "),CHAR(9)," "),CHAR(160)," "),"."," "),","," "),"-"," "),"/"," "),"("," "),")"," "),":"," "),";"," "),"_"," "),"–"," "),"?"," "),"!"," "),"*"," "),"["," "),"]"," "),"'"," "),"#"," "),"+"," "),"&amp;"," "),"\"," "))&amp;" "</f>
        <v>  </v>
      </c>
      <c r="CE644" s="68" t="n">
        <f aca="false">IFERROR(IF(AND(LEN(AU644)&gt;0,LEN(AU644)=LEN(AX644),OR(TRIM(MID(SUBSTITUTE(TRIM(CC644)," ",REPT(" ",60)),1,60))="",ISNUMBER(SEARCH(" "&amp;TRIM(MID(SUBSTITUTE(TRIM(CC644)," ",REPT(" ",60)),1,60))&amp;" ",CD644))),OR(TRIM(MID(SUBSTITUTE(TRIM(CC644)," ",REPT(" ",60)),61,60))="",ISNUMBER(SEARCH(" "&amp;TRIM(MID(SUBSTITUTE(TRIM(CC644)," ",REPT(" ",60)),61,60))&amp;" ",CD644))),OR(TRIM(MID(SUBSTITUTE(TRIM(CC644)," ",REPT(" ",60)),121,60))="",ISNUMBER(SEARCH(" "&amp;TRIM(MID(SUBSTITUTE(TRIM(CC644)," ",REPT(" ",60)),121,60))&amp;" ",CD644)))),1,0),0)</f>
        <v>0</v>
      </c>
      <c r="CG644" s="68" t="n">
        <f aca="false">IFERROR(LEN(SUBSTITUTE(BF644," ",""))-SUMPRODUCT((LEN(BF644)-LEN(SUBSTITUTE(BF644," "&amp;L_NAFiller&amp;" "," ")))/(LEN(L_NAFiller)+1)*LEN(L_NAFiller)),0)</f>
        <v>0</v>
      </c>
    </row>
    <row r="645" customFormat="false" ht="41.25" hidden="false" customHeight="true" outlineLevel="0" collapsed="false">
      <c r="A645" s="57" t="s">
        <v>1363</v>
      </c>
      <c r="B645" s="57" t="s">
        <v>304</v>
      </c>
      <c r="C645" s="57" t="str">
        <f aca="false">Flights!$F$24</f>
        <v>MH1450</v>
      </c>
      <c r="D645" s="58" t="n">
        <f aca="false">Flights!$D$24</f>
        <v>46324</v>
      </c>
      <c r="E645" s="57" t="str">
        <f aca="false">Flights!$G$24&amp;"-"&amp;Flights!$H$24</f>
        <v>KUL-LGK</v>
      </c>
      <c r="F645" s="57" t="str">
        <f aca="false">Flights!$K$24</f>
        <v>EY</v>
      </c>
      <c r="G645" s="57" t="s">
        <v>81</v>
      </c>
      <c r="H645" s="57" t="s">
        <v>378</v>
      </c>
      <c r="I645" s="57" t="s">
        <v>385</v>
      </c>
      <c r="J645" s="57" t="s">
        <v>386</v>
      </c>
      <c r="K645" s="67" t="s">
        <v>387</v>
      </c>
      <c r="L645" s="67" t="s">
        <v>382</v>
      </c>
      <c r="M645" s="67"/>
      <c r="N645" s="67" t="s">
        <v>383</v>
      </c>
      <c r="O645" s="67" t="s">
        <v>914</v>
      </c>
      <c r="P645" s="57" t="s">
        <v>187</v>
      </c>
      <c r="Q645" s="59" t="n">
        <f aca="false">ROUND((Flights!$AC$24)*1440,0)/1440</f>
        <v>46317.4375</v>
      </c>
      <c r="R645" s="59" t="n">
        <f aca="false">Q645+(IF(AND(INDEX(TZ_DSTS,MATCH(P645,TZ_STN,0))&lt;&gt;"",Q645&gt;=INDEX(TZ_DSTS,MATCH(P645,TZ_STN,0)),Q645&lt;INDEX(TZ_DSTE,MATCH(P645,TZ_STN,0))),INDEX(TZ_DST,MATCH(P645,TZ_STN,0)),INDEX(TZ_STD,MATCH(P645,TZ_STN,0))))/24</f>
        <v>46317.7708333333</v>
      </c>
      <c r="S645" s="60"/>
      <c r="T645" s="60"/>
      <c r="U645" s="60"/>
      <c r="V645" s="60"/>
      <c r="W645" s="61"/>
      <c r="X645" s="60"/>
      <c r="Y645" s="60"/>
      <c r="Z645" s="60"/>
      <c r="AA645" s="60"/>
      <c r="AB645" s="60"/>
      <c r="AC645" s="60"/>
      <c r="AD645" s="66"/>
      <c r="AE645" s="60"/>
      <c r="AF645" s="61" t="str">
        <f aca="false">IF(AND(ISNUMBER(X645),ISNUMBER(Y645)),Y645-X645,"")</f>
        <v/>
      </c>
      <c r="AG645" s="62" t="str">
        <f aca="false">IF(ISNUMBER(AD645),AD645-(IF(AND(INDEX(TZ_DSTS,MATCH(P645,TZ_STN,0))&lt;&gt;"",(AD645-INDEX(TZ_STD,MATCH(P645,TZ_STN,0))/24)&gt;=INDEX(TZ_DSTS,MATCH(P645,TZ_STN,0)),(AD645-INDEX(TZ_STD,MATCH(P645,TZ_STN,0))/24)&lt;INDEX(TZ_DSTE,MATCH(P645,TZ_STN,0))),INDEX(TZ_DST,MATCH(P645,TZ_STN,0)),INDEX(TZ_STD,MATCH(P645,TZ_STN,0))))/24,"")</f>
        <v/>
      </c>
      <c r="AH645" s="65" t="str">
        <f aca="false">IFERROR(IF(N645="N/A – rule",IF(OR(TRIM(U645)="",TRIM(U645)="N/A",TRIM(U645)="Not started"),"N/A – RULE","INVALID – this check does not apply to this aircraft: clear the status (or correct the fleet on Flights)"),IF(TRIM(U645)="N/A",IF(AT645=0,"INVALID – N/A not permitted for this check",IF(AND(TRIM(AB645)&lt;&gt;"",TRIM(AB645)&lt;&gt;"Closed"),"INVALID – corrective action still open",IF(AND(NOT(OR(LEN(AZ645)&lt;15,ISNUMBER(MATCH(AZ645,L_Placeholder,0)))),BK645=0,CG645&gt;=8,NOT(OR(LEN(AU645)&lt;2,ISNUMBER(MATCH(AU645,L_Placeholder,0)))),BR645&gt;=3,NOT(OR(LEN(AX645)&lt;2,ISNUMBER(MATCH(AX645,L_Placeholder,0)))),BS645&gt;=3,TRIM(AE645)&lt;&gt;TRIM(T645),AX645&lt;&gt;AU645,CE645=0),"N/A – JUSTIFIED","INVALID – N/A needs a real, settled reason (not 'not applicable' / 'as above' / TBC), a named PIC and a different named verifier"))),IF(OR(TRIM(U645)="Pass",TRIM(U645)="Pass after CA"),IF(NOT(ISNUMBER(AD645)),"INVALID – completion time missing",IF(OR(OR(LEN(AU645)&lt;2,ISNUMBER(MATCH(AU645,L_Placeholder,0))),BR645&lt;3),"INVALID – PIC missing or not a named person (a role such as QA / CSM is not a name)",IF(OR(LEN(AV645)&lt;2,ISNUMBER(MATCH(AV645,L_Placeholder,0))),"INVALID – result / assessment missing",IF(OR(OR(LEN(AW645)&lt;3,ISNUMBER(MATCH(AW645,L_Placeholder,0))),SUMPRODUCT(--ISNUMBER(SEARCH(" "&amp;L_EvidencePhrase&amp;" ",BD645)))&gt;0,BI645=1),"INVALID – evidence missing, placeholder or not yet on file",IF(ISNA(MATCH(TRIM(S645),L_EvidenceType,0)),"INVALID – choose the evidence type from the list (column S)",IF(BL645=0,"INVALID – evidence ID must be the record's own ID only (e.g. SF-2210, IMG_2231, 1045521); a link / file name needs type 'Link / file path'",IF(OR(OR(LEN(AX645)&lt;2,ISNUMBER(MATCH(AX645,L_Placeholder,0))),BS645&lt;3),"INVALID – verifier missing or not a named person (a role such as QA / CSM is not a name)",IF(OR(AX645=AU645,CE645=1,AND(LEN(AU645)&gt;=4,ISNUMBER(SEARCH(AU645,AX645))),AND(LEN(AX645)&gt;=4,ISNUMBER(SEARCH(AX645,AU645)))),"INVALID – verifier must be a different, named person (not the PIC or a role)",IF(BH645=1,"INVALID – result not yet available (awaiting / TBC)",IF(BG645=1,"INVALID – result describes a problem: record Fail, then Pass after CA (or reword if it is not a problem)",IF(BV645=1,"INVALID – wording says not on board: an on-board confirmation needs the item loaded",IF(AND(AQ645=1,OR(OR(LEN(AY645)&lt;3,ISNUMBER(MATCH(AY645,L_Placeholder,0))),BJ645=1,BQ645=0)),"INVALID – batch ID missing, placeholder or not an ID (e.g. PASB-261008-BC-017)",IF(AND(AR645=1,OR(NOT(ISNUMBER(X645)),NOT(ISNUMBER(Y645)))),"INVALID – expected/actual qty missing",IF(AND(AR645=1,OR(X645&lt;=0,Y645&lt;0)),"INVALID – expected qty must be above 0 and actual not negative",IF(BB645&lt;&gt;"",BB645,IF(AND(AS645=1,Documents!$J$24&lt;&gt;"ON FILE"),"INVALID – GLD not on file (Documents sheet)",IF(AND(AS645=2,Documents!$O$24&lt;&gt;"ON FILE"),"INVALID – menu checklist not on file (Documents sheet)",IF(AND(AS645=3,NOT(ISNUMBER(Flights!$AX$24))),"INVALID – enter carrying flight KUL departure (Flights AX)",IF(AND(AS645=3,OR(Flights!$AZ$24&gt;Flights!$AA$24,Flights!$AX$24&lt;Flights!$AA$24-3)),"INVALID – carrying flight (Flights AX) cannot arrive before this leg's STD, or is over 3 days early",IF(AG645&gt;AsOfUTC,"INVALID – completion time is in the future",IF(AND(ISNUMBER(BY645),AG645&lt;BY645),IF(H645="Physical uplift","INVALID – before uplift window (cannot confirm loading)","INVALID – before valid window"),IF(AG645&gt;Flights!$AA$24,"INVALID – completed after departure (cannot establish readiness)",IF(AND(H645="Preparation",AG645&gt;=IF(ISNUMBER(Flights!$BA$24),MIN(Flights!$BA$24,Flights!$AA$24),Flights!$AA$24)),"INVALID – completed after loading / departure (cannot establish readiness)",IF(AND(H645="Physical uplift",AG645&gt;Q645),"INVALID – recorded after the loading flight departed",IF(AG645&gt;Q645,"COMPLETE – LATE","COMPLETE"))))))))))))))))))))))))),IF(TRIM(U645)="Fail","FAIL – DISCREPANCY",IF(AND(TRIM(U645)&lt;&gt;"",TRIM(U645)&lt;&gt;"Not started",TRIM(U645)&lt;&gt;"In progress"),"INVALID – unrecognised status (use the list)",IF(AsOfUTC&gt;Q645,"OVERDUE",IF(N645="Clarification required","OPEN – CLARIFICATION","OPEN"))))))),"INVALID – error value in an input cell")</f>
        <v>OPEN</v>
      </c>
      <c r="AI645" s="61" t="n">
        <f aca="false">IF(OR(AH645="N/A – RULE",AH645="N/A – JUSTIFIED"),0,1)</f>
        <v>1</v>
      </c>
      <c r="AJ645" s="61" t="n">
        <f aca="false">IF(LEFT(AH645,8)="COMPLETE",1,0)</f>
        <v>0</v>
      </c>
      <c r="AK645" s="61" t="n">
        <f aca="false">IF(AND(AI645=1,AJ645=0,AsOfUTC&gt;Q645),1,0)</f>
        <v>0</v>
      </c>
      <c r="AL645" s="61" t="n">
        <f aca="false">IFERROR(IF(AND(AI645=1,OR(TRIM(U645)="Fail",AND(TRIM(AB645)&lt;&gt;"",TRIM(AB645)&lt;&gt;"Closed"),AND(ISNUMBER(AF645),AF645&lt;&gt;0,TRIM(U645)&lt;&gt;"Pass after CA"))),1,0),1)</f>
        <v>0</v>
      </c>
      <c r="AM645" s="61" t="n">
        <f aca="false">IF(LEFT(AH645,7)="INVALID",1,0)</f>
        <v>0</v>
      </c>
      <c r="AN645" s="61" t="n">
        <f aca="false">IF(AND(N645="Clarification required",AI645=1,AJ645=0),1,0)</f>
        <v>0</v>
      </c>
      <c r="AO645" s="61" t="str">
        <f aca="false">IF(AK645=1,SUM(AK$5:AK645),"")</f>
        <v/>
      </c>
      <c r="AP645" s="61" t="str">
        <f aca="false">IF(AL645=1,SUM(AL$5:AL645),"")</f>
        <v/>
      </c>
      <c r="AQ645" s="61" t="n">
        <v>0</v>
      </c>
      <c r="AR645" s="61" t="n">
        <v>0</v>
      </c>
      <c r="AS645" s="61" t="n">
        <v>0</v>
      </c>
      <c r="AT645" s="61" t="n">
        <v>1</v>
      </c>
      <c r="AU645" s="61" t="str">
        <f aca="false">SUBSTITUTE(SUBSTITUTE(SUBSTITUTE(SUBSTITUTE(SUBSTITUTE(SUBSTITUTE(SUBSTITUTE(SUBSTITUTE(SUBSTITUTE(SUBSTITUTE(SUBSTITUTE(SUBSTITUTE(SUBSTITUTE(SUBSTITUTE(SUBSTITUTE(SUBSTITUTE(LOWER(T645&amp;""),CHAR(10),""),CHAR(13),""),CHAR(9),""),CHAR(160),"")," ",""),".",""),"-",""),"/",""),"?",""),"_",""),",",""),"[",""),"]",""),"(",""),")",""),"*","")</f>
        <v/>
      </c>
      <c r="AV645" s="61" t="str">
        <f aca="false">SUBSTITUTE(SUBSTITUTE(SUBSTITUTE(SUBSTITUTE(SUBSTITUTE(SUBSTITUTE(SUBSTITUTE(SUBSTITUTE(SUBSTITUTE(SUBSTITUTE(SUBSTITUTE(SUBSTITUTE(SUBSTITUTE(SUBSTITUTE(SUBSTITUTE(SUBSTITUTE(LOWER(V645&amp;""),CHAR(10),""),CHAR(13),""),CHAR(9),""),CHAR(160),"")," ",""),".",""),"-",""),"/",""),"?",""),"_",""),",",""),"[",""),"]",""),"(",""),")",""),"*","")</f>
        <v/>
      </c>
      <c r="AW645" s="61" t="str">
        <f aca="false">SUBSTITUTE(SUBSTITUTE(SUBSTITUTE(SUBSTITUTE(SUBSTITUTE(SUBSTITUTE(SUBSTITUTE(SUBSTITUTE(SUBSTITUTE(SUBSTITUTE(SUBSTITUTE(SUBSTITUTE(SUBSTITUTE(SUBSTITUTE(SUBSTITUTE(SUBSTITUTE(LOWER(Z645&amp;""),CHAR(10),""),CHAR(13),""),CHAR(9),""),CHAR(160),"")," ",""),".",""),"-",""),"/",""),"?",""),"_",""),",",""),"[",""),"]",""),"(",""),")",""),"*","")</f>
        <v/>
      </c>
      <c r="AX645" s="61" t="str">
        <f aca="false">SUBSTITUTE(SUBSTITUTE(SUBSTITUTE(SUBSTITUTE(SUBSTITUTE(SUBSTITUTE(SUBSTITUTE(SUBSTITUTE(SUBSTITUTE(SUBSTITUTE(SUBSTITUTE(SUBSTITUTE(SUBSTITUTE(SUBSTITUTE(SUBSTITUTE(SUBSTITUTE(LOWER(AE645&amp;""),CHAR(10),""),CHAR(13),""),CHAR(9),""),CHAR(160),"")," ",""),".",""),"-",""),"/",""),"?",""),"_",""),",",""),"[",""),"]",""),"(",""),")",""),"*","")</f>
        <v/>
      </c>
      <c r="AY645" s="61" t="str">
        <f aca="false">SUBSTITUTE(SUBSTITUTE(SUBSTITUTE(SUBSTITUTE(SUBSTITUTE(SUBSTITUTE(SUBSTITUTE(SUBSTITUTE(SUBSTITUTE(SUBSTITUTE(SUBSTITUTE(SUBSTITUTE(SUBSTITUTE(SUBSTITUTE(SUBSTITUTE(SUBSTITUTE(LOWER(W645&amp;""),CHAR(10),""),CHAR(13),""),CHAR(9),""),CHAR(160),"")," ",""),".",""),"-",""),"/",""),"?",""),"_",""),",",""),"[",""),"]",""),"(",""),")",""),"*","")</f>
        <v/>
      </c>
      <c r="AZ645" s="61" t="str">
        <f aca="false">SUBSTITUTE(SUBSTITUTE(SUBSTITUTE(SUBSTITUTE(SUBSTITUTE(SUBSTITUTE(SUBSTITUTE(SUBSTITUTE(SUBSTITUTE(SUBSTITUTE(SUBSTITUTE(SUBSTITUTE(SUBSTITUTE(SUBSTITUTE(SUBSTITUTE(SUBSTITUTE(LOWER(AC645&amp;""),CHAR(10),""),CHAR(13),""),CHAR(9),""),CHAR(160),"")," ",""),".",""),"-",""),"/",""),"?",""),"_",""),",",""),"[",""),"]",""),"(",""),")",""),"*","")</f>
        <v/>
      </c>
      <c r="BA645" s="61" t="str">
        <f aca="false">SUBSTITUTE(SUBSTITUTE(SUBSTITUTE(SUBSTITUTE(SUBSTITUTE(SUBSTITUTE(SUBSTITUTE(SUBSTITUTE(SUBSTITUTE(SUBSTITUTE(SUBSTITUTE(SUBSTITUTE(SUBSTITUTE(SUBSTITUTE(SUBSTITUTE(SUBSTITUTE(LOWER(AA645&amp;""),CHAR(10),""),CHAR(13),""),CHAR(9),""),CHAR(160),"")," ",""),".",""),"-",""),"/",""),"?",""),"_",""),",",""),"[",""),"]",""),"(",""),")",""),"*","")</f>
        <v/>
      </c>
      <c r="BB645" s="61" t="str">
        <f aca="false">IF(AND(TRIM(U645)="Pass",ISNUMBER(AF645)),IF(AF645&lt;&gt;0,"INVALID – qty variance: use Fail or Pass after CA",""),"")&amp;IF(AND(TRIM(U645)="Pass after CA",ISNUMBER(AF645)),IF(AF645&lt;&gt;0,"INVALID – after the corrective action the actual qty must equal expected (update Actual)",""),"")&amp;IF(AND(TRIM(U645)="Pass",TRIM(AB645)&lt;&gt;"",TRIM(AB645)&lt;&gt;"Closed"),"INVALID – corrective action not closed: use Fail, then Pass after CA","")&amp;IF(AND(LEN(BA645)&gt;=2,ISNA(MATCH(LEFT(BA645,255),L_Placeholder,0)),TRIM(AB645)=""),"INVALID – CA status missing for the recorded corrective action","")&amp;IF(AND(TRIM(U645)="Pass after CA",OR(OR(LEN(BA645)&lt;5,ISNUMBER(MATCH(BA645,L_Placeholder,0))),TRIM(AB645)&lt;&gt;"Closed")),"INVALID – corrective action not recorded/closed","")</f>
        <v/>
      </c>
      <c r="BC645" s="61" t="str">
        <f aca="false">" "&amp;TRIM(SUBSTITUTE(SUBSTITUTE(SUBSTITUTE(SUBSTITUTE(SUBSTITUTE(SUBSTITUTE(SUBSTITUTE(SUBSTITUTE(SUBSTITUTE(SUBSTITUTE(SUBSTITUTE(SUBSTITUTE(SUBSTITUTE(SUBSTITUTE(SUBSTITUTE(SUBSTITUTE(SUBSTITUTE(SUBSTITUTE(SUBSTITUTE(SUBSTITUTE(SUBSTITUTE(SUBSTITUTE(SUBSTITUTE(SUBSTITUTE(LOWER(V645&amp;""),CHAR(10)," "),CHAR(13)," "),CHAR(9)," "),CHAR(160)," "),"."," "),","," "),"-"," "),"/"," "),"("," "),")"," "),":"," "),";"," "),"_"," "),"–"," "),"?"," "),"!"," "),"*"," "),"["," "),"]"," "),"'"," "),"#"," "),"+"," "),"&amp;"," "),"\"," "))&amp;" "</f>
        <v>  </v>
      </c>
      <c r="BD645" s="61" t="str">
        <f aca="false">" "&amp;TRIM(SUBSTITUTE(SUBSTITUTE(SUBSTITUTE(SUBSTITUTE(SUBSTITUTE(SUBSTITUTE(SUBSTITUTE(SUBSTITUTE(SUBSTITUTE(SUBSTITUTE(SUBSTITUTE(SUBSTITUTE(SUBSTITUTE(SUBSTITUTE(SUBSTITUTE(SUBSTITUTE(SUBSTITUTE(SUBSTITUTE(SUBSTITUTE(SUBSTITUTE(SUBSTITUTE(SUBSTITUTE(SUBSTITUTE(SUBSTITUTE(LOWER(Z645&amp;""),CHAR(10)," "),CHAR(13)," "),CHAR(9)," "),CHAR(160)," "),"."," "),","," "),"-"," "),"/"," "),"("," "),")"," "),":"," "),";"," "),"_"," "),"–"," "),"?"," "),"!"," "),"*"," "),"["," "),"]"," "),"'"," "),"#"," "),"+"," "),"&amp;"," "),"\"," "))&amp;" "</f>
        <v>  </v>
      </c>
      <c r="BE645" s="61" t="str">
        <f aca="false">" "&amp;TRIM(SUBSTITUTE(SUBSTITUTE(SUBSTITUTE(SUBSTITUTE(SUBSTITUTE(SUBSTITUTE(SUBSTITUTE(SUBSTITUTE(SUBSTITUTE(SUBSTITUTE(SUBSTITUTE(SUBSTITUTE(SUBSTITUTE(SUBSTITUTE(SUBSTITUTE(SUBSTITUTE(SUBSTITUTE(SUBSTITUTE(SUBSTITUTE(SUBSTITUTE(SUBSTITUTE(SUBSTITUTE(SUBSTITUTE(SUBSTITUTE(LOWER(W645&amp;""),CHAR(10)," "),CHAR(13)," "),CHAR(9)," "),CHAR(160)," "),"."," "),","," "),"-"," "),"/"," "),"("," "),")"," "),":"," "),";"," "),"_"," "),"–"," "),"?"," "),"!"," "),"*"," "),"["," "),"]"," "),"'"," "),"#"," "),"+"," "),"&amp;"," "),"\"," "))&amp;" "</f>
        <v>  </v>
      </c>
      <c r="BF645" s="61" t="str">
        <f aca="false">" "&amp;TRIM(SUBSTITUTE(SUBSTITUTE(SUBSTITUTE(SUBSTITUTE(SUBSTITUTE(SUBSTITUTE(SUBSTITUTE(SUBSTITUTE(SUBSTITUTE(SUBSTITUTE(SUBSTITUTE(SUBSTITUTE(SUBSTITUTE(SUBSTITUTE(SUBSTITUTE(SUBSTITUTE(SUBSTITUTE(SUBSTITUTE(SUBSTITUTE(SUBSTITUTE(SUBSTITUTE(SUBSTITUTE(SUBSTITUTE(SUBSTITUTE(LOWER(AC645&amp;""),CHAR(10)," "),CHAR(13)," "),CHAR(9)," "),CHAR(160)," "),"."," "),","," "),"-"," "),"/"," "),"("," "),")"," "),":"," "),";"," "),"_"," "),"–"," "),"?"," "),"!"," "),"*"," "),"["," "),"]"," "),"'"," "),"#"," "),"+"," "),"&amp;"," "),"\"," "))&amp;" "</f>
        <v>  </v>
      </c>
      <c r="BG645" s="61" t="n">
        <f aca="false">IFERROR(IF(AND(TRIM(U645)="Pass",SUMPRODUCT((LEN(BC645)-LEN(SUBSTITUTE(BC645," "&amp;L_ResultBad&amp;" "," ")))/(LEN(L_ResultBad)+1))&gt;SUMPRODUCT((LEN(BC645)-LEN(SUBSTITUTE(BC645," "&amp;L_NegPhrase&amp;" "," ")))/(LEN(L_NegPhrase)+1))),1,0),0)</f>
        <v>0</v>
      </c>
      <c r="BH645" s="61" t="n">
        <f aca="false">IFERROR(IF(SUMPRODUCT((LEN(BC645)-LEN(SUBSTITUTE(BC645," "&amp;L_Pending&amp;" "," ")))/(LEN(L_Pending)+1))&gt;SUMPRODUCT((LEN(BC645)-LEN(SUBSTITUTE(BC645," "&amp;L_PendNeg&amp;" "," ")))/(LEN(L_PendNeg)+1))+SUMPRODUCT((LEN(BC645)-LEN(SUBSTITUTE(BC645," "&amp;L_PendPrep&amp;" "," ")))/(LEN(L_PendPrep)+1)),1,0),1)</f>
        <v>0</v>
      </c>
      <c r="BI645" s="61" t="n">
        <f aca="false">IFERROR(IF(SUMPRODUCT((LEN(BD645)-LEN(SUBSTITUTE(BD645," "&amp;L_PendStrict&amp;" "," ")))/(LEN(L_PendStrict)+1))&gt;SUMPRODUCT((LEN(BD645)-LEN(SUBSTITUTE(BD645," "&amp;L_PendNeg&amp;" "," ")))/(LEN(L_PendNeg)+1)),1,0),1)</f>
        <v>0</v>
      </c>
      <c r="BJ645" s="61" t="n">
        <f aca="false">IFERROR(IF(SUMPRODUCT((LEN(BE645)-LEN(SUBSTITUTE(BE645," "&amp;L_Pending&amp;" "," ")))/(LEN(L_Pending)+1))&gt;SUMPRODUCT((LEN(BE645)-LEN(SUBSTITUTE(BE645," "&amp;L_PendNeg&amp;" "," ")))/(LEN(L_PendNeg)+1))+SUMPRODUCT((LEN(BE645)-LEN(SUBSTITUTE(BE645," "&amp;L_PendPrep&amp;" "," ")))/(LEN(L_PendPrep)+1)),1,0),1)</f>
        <v>0</v>
      </c>
      <c r="BK645" s="61" t="n">
        <f aca="false">IFERROR(IF(SUMPRODUCT((LEN(BF645)-LEN(SUBSTITUTE(BF645," "&amp;L_PendStrict&amp;" "," ")))/(LEN(L_PendStrict)+1))&gt;SUMPRODUCT((LEN(BF645)-LEN(SUBSTITUTE(BF645," "&amp;L_PendNeg&amp;" "," ")))/(LEN(L_PendNeg)+1)),1,0),1)</f>
        <v>0</v>
      </c>
      <c r="BL645" s="61" t="n">
        <f aca="false">IF(ISNA(MATCH(TRIM(S645),L_EvidenceType,0)),0,BZ645)</f>
        <v>0</v>
      </c>
      <c r="BM645" s="61" t="str">
        <f aca="false">SUBSTITUTE(SUBSTITUTE(SUBSTITUTE(SUBSTITUTE(SUBSTITUTE(SUBSTITUTE(SUBSTITUTE(SUBSTITUTE(SUBSTITUTE(LOWER(Z645&amp;""),"1","0"),"2","0"),"3","0"),"4","0"),"5","0"),"6","0"),"7","0"),"8","0"),"9","0")</f>
        <v/>
      </c>
      <c r="BN645" s="61" t="str">
        <f aca="false">SUBSTITUTE(SUBSTITUTE(SUBSTITUTE(SUBSTITUTE(SUBSTITUTE(SUBSTITUTE(SUBSTITUTE(SUBSTITUTE(SUBSTITUTE(SUBSTITUTE(SUBSTITUTE(SUBSTITUTE(SUBSTITUTE(SUBSTITUTE(SUBSTITUTE(SUBSTITUTE(SUBSTITUTE(SUBSTITUTE(SUBSTITUTE(SUBSTITUTE(SUBSTITUTE(SUBSTITUTE(SUBSTITUTE(SUBSTITUTE(SUBSTITUTE(BM645,"b","a"),"c","a"),"d","a"),"e","a"),"f","a"),"g","a"),"h","a"),"i","a"),"j","a"),"k","a"),"l","a"),"m","a"),"n","a"),"o","a"),"p","a"),"q","a"),"r","a"),"s","a"),"t","a"),"u","a"),"v","a"),"w","a"),"x","a"),"y","a"),"z","a")</f>
        <v/>
      </c>
      <c r="BO645" s="61" t="str">
        <f aca="false">SUBSTITUTE(SUBSTITUTE(SUBSTITUTE(SUBSTITUTE(SUBSTITUTE(SUBSTITUTE(SUBSTITUTE(SUBSTITUTE(SUBSTITUTE(LOWER(W645&amp;""),"1","0"),"2","0"),"3","0"),"4","0"),"5","0"),"6","0"),"7","0"),"8","0"),"9","0")</f>
        <v/>
      </c>
      <c r="BP645" s="61" t="str">
        <f aca="false">SUBSTITUTE(SUBSTITUTE(SUBSTITUTE(SUBSTITUTE(SUBSTITUTE(SUBSTITUTE(SUBSTITUTE(SUBSTITUTE(SUBSTITUTE(SUBSTITUTE(SUBSTITUTE(SUBSTITUTE(SUBSTITUTE(SUBSTITUTE(SUBSTITUTE(SUBSTITUTE(SUBSTITUTE(SUBSTITUTE(SUBSTITUTE(SUBSTITUTE(SUBSTITUTE(SUBSTITUTE(SUBSTITUTE(SUBSTITUTE(SUBSTITUTE(BO645,"b","a"),"c","a"),"d","a"),"e","a"),"f","a"),"g","a"),"h","a"),"i","a"),"j","a"),"k","a"),"l","a"),"m","a"),"n","a"),"o","a"),"p","a"),"q","a"),"r","a"),"s","a"),"t","a"),"u","a"),"v","a"),"w","a"),"x","a"),"y","a"),"z","a")</f>
        <v/>
      </c>
      <c r="BQ645" s="61" t="n">
        <f aca="false">IFERROR(IF(AND(ISERROR(SEARCH(" mh"," "&amp;LOWER(W645))),ISNA(MATCH(LEFT(TRIM(BP645),255),{"0000a","000a","00a","0000aa","000aa","00aa","0aa","0000aaa","000aaa","00a00","0a00","0000-0000","00:00","a00","a0","00.00.0000","00/00/0000","00-00-0000","0000-00-00","0000/00/00","0000.00.00","00.00.00","00/00/00","00-00-00","0.00.0000","0/00/0000","0-00-0000"},0)),ISNA(MATCH(LEFT(TRIM(CA645),255),{"0000a","000a","00a","0000aa","000aa","00aa","0aa","0000aaa","000aaa","00a00","0a00","0000-0000","00:00","a00","a0","00.00.0000","00/00/0000","00-00-0000","0000-00-00","0000/00/00","0000.00.00","00.00.00","00/00/00","00-00-00","0.00.0000","0/00/0000","0-00-0000"},0)),LEN(CB645)&gt;=3,NOT(OR(SUBSTITUTE(CB645,"0","")="",AND(LEN(CB645)&gt;=4,CB645=REPT(LEFT(CB645),LEN(CB645))),ISNUMBER(MATCH(CB645,{"123","1234","12345","123456","1234567","12345678","0123","01234","012345","98765","987654","54321"},0)),AND(LEN(CB645)=8,LEFT(CB645,3)="202"))),OR(AND((LEN(CA645)-LEN(SUBSTITUTE(CA645,"a","")))&gt;=1,SUMPRODUCT(--ISNUMBER(SEARCH({"a0","a-0","a_0","a/0","a.0","a#0","0a","0-a","0_a","0/a"},BP645)))&gt;0),ISNUMBER(SEARCH("000000",BP645)))),1,0),0)</f>
        <v>0</v>
      </c>
      <c r="BR645" s="61" t="n">
        <f aca="false">IFERROR(LEN(SUBSTITUTE(CC645," ",""))-SUMPRODUCT((LEN(CC645)-LEN(SUBSTITUTE(CC645," "&amp;L_Role&amp;" "," ")))/(LEN(L_Role)+1)*LEN(L_Role)),0)</f>
        <v>0</v>
      </c>
      <c r="BS645" s="61" t="n">
        <f aca="false">IFERROR(LEN(SUBSTITUTE(CD645," ",""))-SUMPRODUCT((LEN(CD645)-LEN(SUBSTITUTE(CD645," "&amp;L_Role&amp;" "," ")))/(LEN(L_Role)+1)*LEN(L_Role)),0)</f>
        <v>0</v>
      </c>
      <c r="BT6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645,"revision",""),"version",""),"jan",""),"feb",""),"mar",""),"apr",""),"may",""),"jun",""),"jul",""),"aug",""),"sep",""),"oct",""),"nov",""),"dec",""),"utc",""),"gmt",""),"myt",""),"bst",""),"rev",""),"ver",""),"b","a"),"c","a"),"d","a"),"e","a"),"f","a"),"g","a"),"h","a"),"i","a"),"j","a"),"k","a"),"l","a"),"m","a"),"n","a"),"o","a"),"p","a"),"q","a"),"r","a"),"s","a"),"t","a"),"u","a"),"v","a"),"w","a"),"x","a"),"y","a"),"z","a")</f>
        <v/>
      </c>
      <c r="BU645" s="61" t="str">
        <f aca="false">SUBSTITUTE(SUBSTITUTE(SUBSTITUTE(SUBSTITUTE(SUBSTITUTE(SUBSTITUTE(SUBSTITUTE(SUBSTITUTE(SUBSTITUTE(SUBSTITUTE(LEFT(BM645,FIND("0",BM645&amp;"0")-1),"-",""),"_",""),"/",""),".",""),"#",""),"\\",""),":","")," ",""),"(",""),")","")</f>
        <v/>
      </c>
      <c r="BV645" s="61" t="n">
        <f aca="false">0</f>
        <v>0</v>
      </c>
      <c r="BW6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645&amp;""),"a",""),"b",""),"c",""),"d",""),"e",""),"f",""),"g",""),"h",""),"i",""),"j",""),"k",""),"l",""),"m",""),"n",""),"o",""),"p",""),"q",""),"r",""),"s",""),"t",""),"u",""),"v",""),"w",""),"x",""),"y",""),"z",""),"-",""),"_",""),"/",""),".",""),"#",""),"\\",""),":","")," ",""),"(",""),")","")</f>
        <v/>
      </c>
      <c r="BX645" s="61" t="str">
        <f aca="false">SUBSTITUTE(SUBSTITUTE(SUBSTITUTE(SUBSTITUTE(SUBSTITUTE(SUBSTITUTE(SUBSTITUTE(SUBSTITUTE(SUBSTITUTE(SUBSTITUTE(SUBSTITUTE(BM645,"0",""),"-",""),"_",""),"/",""),".",""),"#",""),"\\",""),":","")," ",""),"(",""),")","")</f>
        <v/>
      </c>
      <c r="BY645" s="62" t="n">
        <f aca="false">Q645-T7EarlyD*24/24</f>
        <v>46303.4375</v>
      </c>
      <c r="BZ645" s="61" t="n">
        <f aca="false">IFERROR(IF(IF(TRIM(S645)="Link / file path",AND(LEN(TRIM(Z645))&gt;=5,SUMPRODUCT(--ISNUMBER(SEARCH({"http","www.","\\",":\",".pdf",".jpg",".jpeg",".png",".heic",".xls",".doc",".msg",".eml",".ppt",".txt",".zip"},Z645)))&gt;0),AND(ISERROR(FIND(" ",TRIM(Z645))),NOT(OR(SUMPRODUCT(--ISNUMBER(FIND({",",";","&amp;","+"},Z645)))&gt;0,SUMPRODUCT(--ISNUMBER(SEARCH({"0/aa","0\\aa"},BN645)))&gt;0)),NOT(SUMPRODUCT(--ISNUMBER(SEARCH({"http","www.","\\",":\",".pdf",".jpg",".jpeg",".png",".heic",".xls",".doc",".msg",".eml",".ppt",".txt",".zip"},Z645)))&gt;0),NOT(LOWER(TRIM(Z645))=LOWER(Flights!$F$24)),ISNA(MATCH(BU645,{"mh","rev","revision","ver","version","v","r","a","b","seat","tray","row","gate","bay","stand","page","pg","item","line","no","cart","galley","flight","flt","table","box","bag","oven","etd","eta","std","sta","atd","ata","qty","pax","x","time","tel","ph","mob","day","wk","week","utc","gmt","myt","lt"},0)),NOT(OR(ISNUMBER(MATCH(LEFT(BN645,255),{"0000a","000a","00a","0000aa","000aa","00aa","0aa","0000aaa","000aaa","00a00","0a00","0000-0000","00:00","a00","a0","00.00.0000","00/00/0000","00-00-0000","0000-00-00","0000/00/00","0000.00.00","00.00.00","00/00/00","00-00-00","0.00.0000","0/00/0000","0-00-0000"},0)),ISNUMBER(MATCH(LEFT(BT645,255),{"0000a","000a","00a","0000aa","000aa","00aa","0aa","0000aaa","000aaa","00a00","0a00","0000-0000","00:00","a00","a0","00.00.0000","00/00/0000","00-00-0000","0000-00-00","0000/00/00","0000.00.00","00.00.00","00/00/00","00-00-00","0.00.0000","0/00/0000","0-00-0000"},0)))),NOT(OR(AND(BW645&lt;&gt;"",SUBSTITUTE(BW645,"0","")=""),AND(LEN(BW645)&gt;=4,BW645=REPT(LEFT(BW645),LEN(BW645))),ISNUMBER(MATCH(BW645,{"123","1234","12345","123456","1234567","12345678","0123","01234","012345","98765","987654","54321"},0)),ISNUMBER(MATCH(BX645,{"x","xx","xxx","xxxx","xxxxx","abc","abcd","nil","na","nan","test","tbc","tba","tbd","dummy","sample","example","eg","zz","zzz","none","null","xyz","qwe","asd","id","ref"},0)),AND(LEN(BW645)=8,BX645="",OR(LEFT(BW645,3)="202",ISNUMBER(MATCH(RIGHT(BW645,4),{"2025","2026","2027"},0)))))),OR(AND((LEN(BT645)-LEN(SUBSTITUTE(BT645,"a","")))&gt;=1,(LEN(BN645)-LEN(SUBSTITUTE(BN645,"0","")))&gt;=2,SUMPRODUCT(--ISNUMBER(SEARCH({"a0","a-0","a_0","a/0","a.0","a#0","0a","0-a","0_a","0/a"},BN645)))&gt;0),AND((LEN(BN645)-LEN(SUBSTITUTE(BN645,"a","")))=0,(LEN(BN645)-LEN(SUBSTITUTE(BN645,"0","")))&gt;=5)))),1,0),0)</f>
        <v>0</v>
      </c>
      <c r="CA6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645,"revision",""),"version",""),"jan",""),"feb",""),"mar",""),"apr",""),"may",""),"jun",""),"jul",""),"aug",""),"sep",""),"oct",""),"nov",""),"dec",""),"utc",""),"gmt",""),"myt",""),"bst",""),"rev",""),"ver",""),"b","a"),"c","a"),"d","a"),"e","a"),"f","a"),"g","a"),"h","a"),"i","a"),"j","a"),"k","a"),"l","a"),"m","a"),"n","a"),"o","a"),"p","a"),"q","a"),"r","a"),"s","a"),"t","a"),"u","a"),"v","a"),"w","a"),"x","a"),"y","a"),"z","a")</f>
        <v/>
      </c>
      <c r="CB6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645&amp;""),"a",""),"b",""),"c",""),"d",""),"e",""),"f",""),"g",""),"h",""),"i",""),"j",""),"k",""),"l",""),"m",""),"n",""),"o",""),"p",""),"q",""),"r",""),"s",""),"t",""),"u",""),"v",""),"w",""),"x",""),"y",""),"z",""),"-",""),"_",""),"/",""),".",""),"#",""),"\\",""),":","")," ",""),"(",""),")","")</f>
        <v/>
      </c>
      <c r="CC645" s="0" t="str">
        <f aca="false">" "&amp;TRIM(SUBSTITUTE(SUBSTITUTE(SUBSTITUTE(SUBSTITUTE(SUBSTITUTE(SUBSTITUTE(SUBSTITUTE(SUBSTITUTE(SUBSTITUTE(SUBSTITUTE(SUBSTITUTE(SUBSTITUTE(SUBSTITUTE(SUBSTITUTE(SUBSTITUTE(SUBSTITUTE(SUBSTITUTE(SUBSTITUTE(SUBSTITUTE(SUBSTITUTE(SUBSTITUTE(SUBSTITUTE(SUBSTITUTE(SUBSTITUTE(LOWER(T645&amp;""),CHAR(10)," "),CHAR(13)," "),CHAR(9)," "),CHAR(160)," "),"."," "),","," "),"-"," "),"/"," "),"("," "),")"," "),":"," "),";"," "),"_"," "),"–"," "),"?"," "),"!"," "),"*"," "),"["," "),"]"," "),"'"," "),"#"," "),"+"," "),"&amp;"," "),"\"," "))&amp;" "</f>
        <v>  </v>
      </c>
      <c r="CD645" s="0" t="str">
        <f aca="false">" "&amp;TRIM(SUBSTITUTE(SUBSTITUTE(SUBSTITUTE(SUBSTITUTE(SUBSTITUTE(SUBSTITUTE(SUBSTITUTE(SUBSTITUTE(SUBSTITUTE(SUBSTITUTE(SUBSTITUTE(SUBSTITUTE(SUBSTITUTE(SUBSTITUTE(SUBSTITUTE(SUBSTITUTE(SUBSTITUTE(SUBSTITUTE(SUBSTITUTE(SUBSTITUTE(SUBSTITUTE(SUBSTITUTE(SUBSTITUTE(SUBSTITUTE(LOWER(AE645&amp;""),CHAR(10)," "),CHAR(13)," "),CHAR(9)," "),CHAR(160)," "),"."," "),","," "),"-"," "),"/"," "),"("," "),")"," "),":"," "),";"," "),"_"," "),"–"," "),"?"," "),"!"," "),"*"," "),"["," "),"]"," "),"'"," "),"#"," "),"+"," "),"&amp;"," "),"\"," "))&amp;" "</f>
        <v>  </v>
      </c>
      <c r="CE645" s="68" t="n">
        <f aca="false">IFERROR(IF(AND(LEN(AU645)&gt;0,LEN(AU645)=LEN(AX645),OR(TRIM(MID(SUBSTITUTE(TRIM(CC645)," ",REPT(" ",60)),1,60))="",ISNUMBER(SEARCH(" "&amp;TRIM(MID(SUBSTITUTE(TRIM(CC645)," ",REPT(" ",60)),1,60))&amp;" ",CD645))),OR(TRIM(MID(SUBSTITUTE(TRIM(CC645)," ",REPT(" ",60)),61,60))="",ISNUMBER(SEARCH(" "&amp;TRIM(MID(SUBSTITUTE(TRIM(CC645)," ",REPT(" ",60)),61,60))&amp;" ",CD645))),OR(TRIM(MID(SUBSTITUTE(TRIM(CC645)," ",REPT(" ",60)),121,60))="",ISNUMBER(SEARCH(" "&amp;TRIM(MID(SUBSTITUTE(TRIM(CC645)," ",REPT(" ",60)),121,60))&amp;" ",CD645)))),1,0),0)</f>
        <v>0</v>
      </c>
      <c r="CG645" s="68" t="n">
        <f aca="false">IFERROR(LEN(SUBSTITUTE(BF645," ",""))-SUMPRODUCT((LEN(BF645)-LEN(SUBSTITUTE(BF645," "&amp;L_NAFiller&amp;" "," ")))/(LEN(L_NAFiller)+1)*LEN(L_NAFiller)),0)</f>
        <v>0</v>
      </c>
    </row>
    <row r="646" customFormat="false" ht="41.25" hidden="false" customHeight="true" outlineLevel="0" collapsed="false">
      <c r="A646" s="57" t="s">
        <v>1364</v>
      </c>
      <c r="B646" s="57" t="s">
        <v>304</v>
      </c>
      <c r="C646" s="57" t="str">
        <f aca="false">Flights!$F$24</f>
        <v>MH1450</v>
      </c>
      <c r="D646" s="58" t="n">
        <f aca="false">Flights!$D$24</f>
        <v>46324</v>
      </c>
      <c r="E646" s="57" t="str">
        <f aca="false">Flights!$G$24&amp;"-"&amp;Flights!$H$24</f>
        <v>KUL-LGK</v>
      </c>
      <c r="F646" s="57" t="str">
        <f aca="false">Flights!$K$24</f>
        <v>EY</v>
      </c>
      <c r="G646" s="57" t="s">
        <v>81</v>
      </c>
      <c r="H646" s="57" t="s">
        <v>378</v>
      </c>
      <c r="I646" s="57" t="s">
        <v>389</v>
      </c>
      <c r="J646" s="57" t="s">
        <v>390</v>
      </c>
      <c r="K646" s="67" t="s">
        <v>391</v>
      </c>
      <c r="L646" s="67" t="s">
        <v>382</v>
      </c>
      <c r="M646" s="67"/>
      <c r="N646" s="67" t="str">
        <f aca="false">IF(TRIM(Flights!$L$24)="A339","Required","N/A – rule")</f>
        <v>N/A – rule</v>
      </c>
      <c r="O646" s="67" t="s">
        <v>392</v>
      </c>
      <c r="P646" s="57" t="s">
        <v>187</v>
      </c>
      <c r="Q646" s="59" t="n">
        <f aca="false">ROUND((Flights!$AC$24)*1440,0)/1440</f>
        <v>46317.4375</v>
      </c>
      <c r="R646" s="59" t="n">
        <f aca="false">Q646+(IF(AND(INDEX(TZ_DSTS,MATCH(P646,TZ_STN,0))&lt;&gt;"",Q646&gt;=INDEX(TZ_DSTS,MATCH(P646,TZ_STN,0)),Q646&lt;INDEX(TZ_DSTE,MATCH(P646,TZ_STN,0))),INDEX(TZ_DST,MATCH(P646,TZ_STN,0)),INDEX(TZ_STD,MATCH(P646,TZ_STN,0))))/24</f>
        <v>46317.7708333333</v>
      </c>
      <c r="S646" s="60"/>
      <c r="T646" s="60"/>
      <c r="U646" s="60"/>
      <c r="V646" s="60"/>
      <c r="W646" s="61"/>
      <c r="X646" s="60"/>
      <c r="Y646" s="60"/>
      <c r="Z646" s="60"/>
      <c r="AA646" s="60"/>
      <c r="AB646" s="60"/>
      <c r="AC646" s="60"/>
      <c r="AD646" s="66"/>
      <c r="AE646" s="60"/>
      <c r="AF646" s="61" t="str">
        <f aca="false">IF(AND(ISNUMBER(X646),ISNUMBER(Y646)),Y646-X646,"")</f>
        <v/>
      </c>
      <c r="AG646" s="62" t="str">
        <f aca="false">IF(ISNUMBER(AD646),AD646-(IF(AND(INDEX(TZ_DSTS,MATCH(P646,TZ_STN,0))&lt;&gt;"",(AD646-INDEX(TZ_STD,MATCH(P646,TZ_STN,0))/24)&gt;=INDEX(TZ_DSTS,MATCH(P646,TZ_STN,0)),(AD646-INDEX(TZ_STD,MATCH(P646,TZ_STN,0))/24)&lt;INDEX(TZ_DSTE,MATCH(P646,TZ_STN,0))),INDEX(TZ_DST,MATCH(P646,TZ_STN,0)),INDEX(TZ_STD,MATCH(P646,TZ_STN,0))))/24,"")</f>
        <v/>
      </c>
      <c r="AH646" s="65" t="str">
        <f aca="false">IFERROR(IF(N646="N/A – rule",IF(OR(TRIM(U646)="",TRIM(U646)="N/A",TRIM(U646)="Not started"),"N/A – RULE","INVALID – this check does not apply to this aircraft: clear the status (or correct the fleet on Flights)"),IF(TRIM(U646)="N/A",IF(AT646=0,"INVALID – N/A not permitted for this check",IF(AND(TRIM(AB646)&lt;&gt;"",TRIM(AB646)&lt;&gt;"Closed"),"INVALID – corrective action still open",IF(AND(NOT(OR(LEN(AZ646)&lt;15,ISNUMBER(MATCH(AZ646,L_Placeholder,0)))),BK646=0,CG646&gt;=8,NOT(OR(LEN(AU646)&lt;2,ISNUMBER(MATCH(AU646,L_Placeholder,0)))),BR646&gt;=3,NOT(OR(LEN(AX646)&lt;2,ISNUMBER(MATCH(AX646,L_Placeholder,0)))),BS646&gt;=3,TRIM(AE646)&lt;&gt;TRIM(T646),AX646&lt;&gt;AU646,CE646=0),"N/A – JUSTIFIED","INVALID – N/A needs a real, settled reason (not 'not applicable' / 'as above' / TBC), a named PIC and a different named verifier"))),IF(OR(TRIM(U646)="Pass",TRIM(U646)="Pass after CA"),IF(NOT(ISNUMBER(AD646)),"INVALID – completion time missing",IF(OR(OR(LEN(AU646)&lt;2,ISNUMBER(MATCH(AU646,L_Placeholder,0))),BR646&lt;3),"INVALID – PIC missing or not a named person (a role such as QA / CSM is not a name)",IF(OR(LEN(AV646)&lt;2,ISNUMBER(MATCH(AV646,L_Placeholder,0))),"INVALID – result / assessment missing",IF(OR(OR(LEN(AW646)&lt;3,ISNUMBER(MATCH(AW646,L_Placeholder,0))),SUMPRODUCT(--ISNUMBER(SEARCH(" "&amp;L_EvidencePhrase&amp;" ",BD646)))&gt;0,BI646=1),"INVALID – evidence missing, placeholder or not yet on file",IF(ISNA(MATCH(TRIM(S646),L_EvidenceType,0)),"INVALID – choose the evidence type from the list (column S)",IF(BL646=0,"INVALID – evidence ID must be the record's own ID only (e.g. SF-2210, IMG_2231, 1045521); a link / file name needs type 'Link / file path'",IF(OR(OR(LEN(AX646)&lt;2,ISNUMBER(MATCH(AX646,L_Placeholder,0))),BS646&lt;3),"INVALID – verifier missing or not a named person (a role such as QA / CSM is not a name)",IF(OR(AX646=AU646,CE646=1,AND(LEN(AU646)&gt;=4,ISNUMBER(SEARCH(AU646,AX646))),AND(LEN(AX646)&gt;=4,ISNUMBER(SEARCH(AX646,AU646)))),"INVALID – verifier must be a different, named person (not the PIC or a role)",IF(BH646=1,"INVALID – result not yet available (awaiting / TBC)",IF(BG646=1,"INVALID – result describes a problem: record Fail, then Pass after CA (or reword if it is not a problem)",IF(BV646=1,"INVALID – wording says not on board: an on-board confirmation needs the item loaded",IF(AND(AQ646=1,OR(OR(LEN(AY646)&lt;3,ISNUMBER(MATCH(AY646,L_Placeholder,0))),BJ646=1,BQ646=0)),"INVALID – batch ID missing, placeholder or not an ID (e.g. PASB-261008-BC-017)",IF(AND(AR646=1,OR(NOT(ISNUMBER(X646)),NOT(ISNUMBER(Y646)))),"INVALID – expected/actual qty missing",IF(AND(AR646=1,OR(X646&lt;=0,Y646&lt;0)),"INVALID – expected qty must be above 0 and actual not negative",IF(BB646&lt;&gt;"",BB646,IF(AND(AS646=1,Documents!$J$24&lt;&gt;"ON FILE"),"INVALID – GLD not on file (Documents sheet)",IF(AND(AS646=2,Documents!$O$24&lt;&gt;"ON FILE"),"INVALID – menu checklist not on file (Documents sheet)",IF(AND(AS646=3,NOT(ISNUMBER(Flights!$AX$24))),"INVALID – enter carrying flight KUL departure (Flights AX)",IF(AND(AS646=3,OR(Flights!$AZ$24&gt;Flights!$AA$24,Flights!$AX$24&lt;Flights!$AA$24-3)),"INVALID – carrying flight (Flights AX) cannot arrive before this leg's STD, or is over 3 days early",IF(AG646&gt;AsOfUTC,"INVALID – completion time is in the future",IF(AND(ISNUMBER(BY646),AG646&lt;BY646),IF(H646="Physical uplift","INVALID – before uplift window (cannot confirm loading)","INVALID – before valid window"),IF(AG646&gt;Flights!$AA$24,"INVALID – completed after departure (cannot establish readiness)",IF(AND(H646="Preparation",AG646&gt;=IF(ISNUMBER(Flights!$BA$24),MIN(Flights!$BA$24,Flights!$AA$24),Flights!$AA$24)),"INVALID – completed after loading / departure (cannot establish readiness)",IF(AND(H646="Physical uplift",AG646&gt;Q646),"INVALID – recorded after the loading flight departed",IF(AG646&gt;Q646,"COMPLETE – LATE","COMPLETE"))))))))))))))))))))))))),IF(TRIM(U646)="Fail","FAIL – DISCREPANCY",IF(AND(TRIM(U646)&lt;&gt;"",TRIM(U646)&lt;&gt;"Not started",TRIM(U646)&lt;&gt;"In progress"),"INVALID – unrecognised status (use the list)",IF(AsOfUTC&gt;Q646,"OVERDUE",IF(N646="Clarification required","OPEN – CLARIFICATION","OPEN"))))))),"INVALID – error value in an input cell")</f>
        <v>N/A – RULE</v>
      </c>
      <c r="AI646" s="61" t="n">
        <f aca="false">IF(OR(AH646="N/A – RULE",AH646="N/A – JUSTIFIED"),0,1)</f>
        <v>0</v>
      </c>
      <c r="AJ646" s="61" t="n">
        <f aca="false">IF(LEFT(AH646,8)="COMPLETE",1,0)</f>
        <v>0</v>
      </c>
      <c r="AK646" s="61" t="n">
        <f aca="false">IF(AND(AI646=1,AJ646=0,AsOfUTC&gt;Q646),1,0)</f>
        <v>0</v>
      </c>
      <c r="AL646" s="61" t="n">
        <f aca="false">IFERROR(IF(AND(AI646=1,OR(TRIM(U646)="Fail",AND(TRIM(AB646)&lt;&gt;"",TRIM(AB646)&lt;&gt;"Closed"),AND(ISNUMBER(AF646),AF646&lt;&gt;0,TRIM(U646)&lt;&gt;"Pass after CA"))),1,0),1)</f>
        <v>0</v>
      </c>
      <c r="AM646" s="61" t="n">
        <f aca="false">IF(LEFT(AH646,7)="INVALID",1,0)</f>
        <v>0</v>
      </c>
      <c r="AN646" s="61" t="n">
        <f aca="false">IF(AND(N646="Clarification required",AI646=1,AJ646=0),1,0)</f>
        <v>0</v>
      </c>
      <c r="AO646" s="61" t="str">
        <f aca="false">IF(AK646=1,SUM(AK$5:AK646),"")</f>
        <v/>
      </c>
      <c r="AP646" s="61" t="str">
        <f aca="false">IF(AL646=1,SUM(AL$5:AL646),"")</f>
        <v/>
      </c>
      <c r="AQ646" s="61" t="n">
        <v>0</v>
      </c>
      <c r="AR646" s="61" t="n">
        <v>0</v>
      </c>
      <c r="AS646" s="61" t="n">
        <v>0</v>
      </c>
      <c r="AT646" s="61" t="n">
        <v>0</v>
      </c>
      <c r="AU646" s="61" t="str">
        <f aca="false">SUBSTITUTE(SUBSTITUTE(SUBSTITUTE(SUBSTITUTE(SUBSTITUTE(SUBSTITUTE(SUBSTITUTE(SUBSTITUTE(SUBSTITUTE(SUBSTITUTE(SUBSTITUTE(SUBSTITUTE(SUBSTITUTE(SUBSTITUTE(SUBSTITUTE(SUBSTITUTE(LOWER(T646&amp;""),CHAR(10),""),CHAR(13),""),CHAR(9),""),CHAR(160),"")," ",""),".",""),"-",""),"/",""),"?",""),"_",""),",",""),"[",""),"]",""),"(",""),")",""),"*","")</f>
        <v/>
      </c>
      <c r="AV646" s="61" t="str">
        <f aca="false">SUBSTITUTE(SUBSTITUTE(SUBSTITUTE(SUBSTITUTE(SUBSTITUTE(SUBSTITUTE(SUBSTITUTE(SUBSTITUTE(SUBSTITUTE(SUBSTITUTE(SUBSTITUTE(SUBSTITUTE(SUBSTITUTE(SUBSTITUTE(SUBSTITUTE(SUBSTITUTE(LOWER(V646&amp;""),CHAR(10),""),CHAR(13),""),CHAR(9),""),CHAR(160),"")," ",""),".",""),"-",""),"/",""),"?",""),"_",""),",",""),"[",""),"]",""),"(",""),")",""),"*","")</f>
        <v/>
      </c>
      <c r="AW646" s="61" t="str">
        <f aca="false">SUBSTITUTE(SUBSTITUTE(SUBSTITUTE(SUBSTITUTE(SUBSTITUTE(SUBSTITUTE(SUBSTITUTE(SUBSTITUTE(SUBSTITUTE(SUBSTITUTE(SUBSTITUTE(SUBSTITUTE(SUBSTITUTE(SUBSTITUTE(SUBSTITUTE(SUBSTITUTE(LOWER(Z646&amp;""),CHAR(10),""),CHAR(13),""),CHAR(9),""),CHAR(160),"")," ",""),".",""),"-",""),"/",""),"?",""),"_",""),",",""),"[",""),"]",""),"(",""),")",""),"*","")</f>
        <v/>
      </c>
      <c r="AX646" s="61" t="str">
        <f aca="false">SUBSTITUTE(SUBSTITUTE(SUBSTITUTE(SUBSTITUTE(SUBSTITUTE(SUBSTITUTE(SUBSTITUTE(SUBSTITUTE(SUBSTITUTE(SUBSTITUTE(SUBSTITUTE(SUBSTITUTE(SUBSTITUTE(SUBSTITUTE(SUBSTITUTE(SUBSTITUTE(LOWER(AE646&amp;""),CHAR(10),""),CHAR(13),""),CHAR(9),""),CHAR(160),"")," ",""),".",""),"-",""),"/",""),"?",""),"_",""),",",""),"[",""),"]",""),"(",""),")",""),"*","")</f>
        <v/>
      </c>
      <c r="AY646" s="61" t="str">
        <f aca="false">SUBSTITUTE(SUBSTITUTE(SUBSTITUTE(SUBSTITUTE(SUBSTITUTE(SUBSTITUTE(SUBSTITUTE(SUBSTITUTE(SUBSTITUTE(SUBSTITUTE(SUBSTITUTE(SUBSTITUTE(SUBSTITUTE(SUBSTITUTE(SUBSTITUTE(SUBSTITUTE(LOWER(W646&amp;""),CHAR(10),""),CHAR(13),""),CHAR(9),""),CHAR(160),"")," ",""),".",""),"-",""),"/",""),"?",""),"_",""),",",""),"[",""),"]",""),"(",""),")",""),"*","")</f>
        <v/>
      </c>
      <c r="AZ646" s="61" t="str">
        <f aca="false">SUBSTITUTE(SUBSTITUTE(SUBSTITUTE(SUBSTITUTE(SUBSTITUTE(SUBSTITUTE(SUBSTITUTE(SUBSTITUTE(SUBSTITUTE(SUBSTITUTE(SUBSTITUTE(SUBSTITUTE(SUBSTITUTE(SUBSTITUTE(SUBSTITUTE(SUBSTITUTE(LOWER(AC646&amp;""),CHAR(10),""),CHAR(13),""),CHAR(9),""),CHAR(160),"")," ",""),".",""),"-",""),"/",""),"?",""),"_",""),",",""),"[",""),"]",""),"(",""),")",""),"*","")</f>
        <v/>
      </c>
      <c r="BA646" s="61" t="str">
        <f aca="false">SUBSTITUTE(SUBSTITUTE(SUBSTITUTE(SUBSTITUTE(SUBSTITUTE(SUBSTITUTE(SUBSTITUTE(SUBSTITUTE(SUBSTITUTE(SUBSTITUTE(SUBSTITUTE(SUBSTITUTE(SUBSTITUTE(SUBSTITUTE(SUBSTITUTE(SUBSTITUTE(LOWER(AA646&amp;""),CHAR(10),""),CHAR(13),""),CHAR(9),""),CHAR(160),"")," ",""),".",""),"-",""),"/",""),"?",""),"_",""),",",""),"[",""),"]",""),"(",""),")",""),"*","")</f>
        <v/>
      </c>
      <c r="BB646" s="61" t="str">
        <f aca="false">IF(AND(TRIM(U646)="Pass",ISNUMBER(AF646)),IF(AF646&lt;&gt;0,"INVALID – qty variance: use Fail or Pass after CA",""),"")&amp;IF(AND(TRIM(U646)="Pass after CA",ISNUMBER(AF646)),IF(AF646&lt;&gt;0,"INVALID – after the corrective action the actual qty must equal expected (update Actual)",""),"")&amp;IF(AND(TRIM(U646)="Pass",TRIM(AB646)&lt;&gt;"",TRIM(AB646)&lt;&gt;"Closed"),"INVALID – corrective action not closed: use Fail, then Pass after CA","")&amp;IF(AND(LEN(BA646)&gt;=2,ISNA(MATCH(LEFT(BA646,255),L_Placeholder,0)),TRIM(AB646)=""),"INVALID – CA status missing for the recorded corrective action","")&amp;IF(AND(TRIM(U646)="Pass after CA",OR(OR(LEN(BA646)&lt;5,ISNUMBER(MATCH(BA646,L_Placeholder,0))),TRIM(AB646)&lt;&gt;"Closed")),"INVALID – corrective action not recorded/closed","")</f>
        <v/>
      </c>
      <c r="BC646" s="61" t="str">
        <f aca="false">" "&amp;TRIM(SUBSTITUTE(SUBSTITUTE(SUBSTITUTE(SUBSTITUTE(SUBSTITUTE(SUBSTITUTE(SUBSTITUTE(SUBSTITUTE(SUBSTITUTE(SUBSTITUTE(SUBSTITUTE(SUBSTITUTE(SUBSTITUTE(SUBSTITUTE(SUBSTITUTE(SUBSTITUTE(SUBSTITUTE(SUBSTITUTE(SUBSTITUTE(SUBSTITUTE(SUBSTITUTE(SUBSTITUTE(SUBSTITUTE(SUBSTITUTE(LOWER(V646&amp;""),CHAR(10)," "),CHAR(13)," "),CHAR(9)," "),CHAR(160)," "),"."," "),","," "),"-"," "),"/"," "),"("," "),")"," "),":"," "),";"," "),"_"," "),"–"," "),"?"," "),"!"," "),"*"," "),"["," "),"]"," "),"'"," "),"#"," "),"+"," "),"&amp;"," "),"\"," "))&amp;" "</f>
        <v>  </v>
      </c>
      <c r="BD646" s="61" t="str">
        <f aca="false">" "&amp;TRIM(SUBSTITUTE(SUBSTITUTE(SUBSTITUTE(SUBSTITUTE(SUBSTITUTE(SUBSTITUTE(SUBSTITUTE(SUBSTITUTE(SUBSTITUTE(SUBSTITUTE(SUBSTITUTE(SUBSTITUTE(SUBSTITUTE(SUBSTITUTE(SUBSTITUTE(SUBSTITUTE(SUBSTITUTE(SUBSTITUTE(SUBSTITUTE(SUBSTITUTE(SUBSTITUTE(SUBSTITUTE(SUBSTITUTE(SUBSTITUTE(LOWER(Z646&amp;""),CHAR(10)," "),CHAR(13)," "),CHAR(9)," "),CHAR(160)," "),"."," "),","," "),"-"," "),"/"," "),"("," "),")"," "),":"," "),";"," "),"_"," "),"–"," "),"?"," "),"!"," "),"*"," "),"["," "),"]"," "),"'"," "),"#"," "),"+"," "),"&amp;"," "),"\"," "))&amp;" "</f>
        <v>  </v>
      </c>
      <c r="BE646" s="61" t="str">
        <f aca="false">" "&amp;TRIM(SUBSTITUTE(SUBSTITUTE(SUBSTITUTE(SUBSTITUTE(SUBSTITUTE(SUBSTITUTE(SUBSTITUTE(SUBSTITUTE(SUBSTITUTE(SUBSTITUTE(SUBSTITUTE(SUBSTITUTE(SUBSTITUTE(SUBSTITUTE(SUBSTITUTE(SUBSTITUTE(SUBSTITUTE(SUBSTITUTE(SUBSTITUTE(SUBSTITUTE(SUBSTITUTE(SUBSTITUTE(SUBSTITUTE(SUBSTITUTE(LOWER(W646&amp;""),CHAR(10)," "),CHAR(13)," "),CHAR(9)," "),CHAR(160)," "),"."," "),","," "),"-"," "),"/"," "),"("," "),")"," "),":"," "),";"," "),"_"," "),"–"," "),"?"," "),"!"," "),"*"," "),"["," "),"]"," "),"'"," "),"#"," "),"+"," "),"&amp;"," "),"\"," "))&amp;" "</f>
        <v>  </v>
      </c>
      <c r="BF646" s="61" t="str">
        <f aca="false">" "&amp;TRIM(SUBSTITUTE(SUBSTITUTE(SUBSTITUTE(SUBSTITUTE(SUBSTITUTE(SUBSTITUTE(SUBSTITUTE(SUBSTITUTE(SUBSTITUTE(SUBSTITUTE(SUBSTITUTE(SUBSTITUTE(SUBSTITUTE(SUBSTITUTE(SUBSTITUTE(SUBSTITUTE(SUBSTITUTE(SUBSTITUTE(SUBSTITUTE(SUBSTITUTE(SUBSTITUTE(SUBSTITUTE(SUBSTITUTE(SUBSTITUTE(LOWER(AC646&amp;""),CHAR(10)," "),CHAR(13)," "),CHAR(9)," "),CHAR(160)," "),"."," "),","," "),"-"," "),"/"," "),"("," "),")"," "),":"," "),";"," "),"_"," "),"–"," "),"?"," "),"!"," "),"*"," "),"["," "),"]"," "),"'"," "),"#"," "),"+"," "),"&amp;"," "),"\"," "))&amp;" "</f>
        <v>  </v>
      </c>
      <c r="BG646" s="61" t="n">
        <f aca="false">IFERROR(IF(AND(TRIM(U646)="Pass",SUMPRODUCT((LEN(BC646)-LEN(SUBSTITUTE(BC646," "&amp;L_ResultBad&amp;" "," ")))/(LEN(L_ResultBad)+1))&gt;SUMPRODUCT((LEN(BC646)-LEN(SUBSTITUTE(BC646," "&amp;L_NegPhrase&amp;" "," ")))/(LEN(L_NegPhrase)+1))),1,0),0)</f>
        <v>0</v>
      </c>
      <c r="BH646" s="61" t="n">
        <f aca="false">IFERROR(IF(SUMPRODUCT((LEN(BC646)-LEN(SUBSTITUTE(BC646," "&amp;L_Pending&amp;" "," ")))/(LEN(L_Pending)+1))&gt;SUMPRODUCT((LEN(BC646)-LEN(SUBSTITUTE(BC646," "&amp;L_PendNeg&amp;" "," ")))/(LEN(L_PendNeg)+1))+SUMPRODUCT((LEN(BC646)-LEN(SUBSTITUTE(BC646," "&amp;L_PendPrep&amp;" "," ")))/(LEN(L_PendPrep)+1)),1,0),1)</f>
        <v>0</v>
      </c>
      <c r="BI646" s="61" t="n">
        <f aca="false">IFERROR(IF(SUMPRODUCT((LEN(BD646)-LEN(SUBSTITUTE(BD646," "&amp;L_PendStrict&amp;" "," ")))/(LEN(L_PendStrict)+1))&gt;SUMPRODUCT((LEN(BD646)-LEN(SUBSTITUTE(BD646," "&amp;L_PendNeg&amp;" "," ")))/(LEN(L_PendNeg)+1)),1,0),1)</f>
        <v>0</v>
      </c>
      <c r="BJ646" s="61" t="n">
        <f aca="false">IFERROR(IF(SUMPRODUCT((LEN(BE646)-LEN(SUBSTITUTE(BE646," "&amp;L_Pending&amp;" "," ")))/(LEN(L_Pending)+1))&gt;SUMPRODUCT((LEN(BE646)-LEN(SUBSTITUTE(BE646," "&amp;L_PendNeg&amp;" "," ")))/(LEN(L_PendNeg)+1))+SUMPRODUCT((LEN(BE646)-LEN(SUBSTITUTE(BE646," "&amp;L_PendPrep&amp;" "," ")))/(LEN(L_PendPrep)+1)),1,0),1)</f>
        <v>0</v>
      </c>
      <c r="BK646" s="61" t="n">
        <f aca="false">IFERROR(IF(SUMPRODUCT((LEN(BF646)-LEN(SUBSTITUTE(BF646," "&amp;L_PendStrict&amp;" "," ")))/(LEN(L_PendStrict)+1))&gt;SUMPRODUCT((LEN(BF646)-LEN(SUBSTITUTE(BF646," "&amp;L_PendNeg&amp;" "," ")))/(LEN(L_PendNeg)+1)),1,0),1)</f>
        <v>0</v>
      </c>
      <c r="BL646" s="61" t="n">
        <f aca="false">IF(ISNA(MATCH(TRIM(S646),L_EvidenceType,0)),0,BZ646)</f>
        <v>0</v>
      </c>
      <c r="BM646" s="61" t="str">
        <f aca="false">SUBSTITUTE(SUBSTITUTE(SUBSTITUTE(SUBSTITUTE(SUBSTITUTE(SUBSTITUTE(SUBSTITUTE(SUBSTITUTE(SUBSTITUTE(LOWER(Z646&amp;""),"1","0"),"2","0"),"3","0"),"4","0"),"5","0"),"6","0"),"7","0"),"8","0"),"9","0")</f>
        <v/>
      </c>
      <c r="BN646" s="61" t="str">
        <f aca="false">SUBSTITUTE(SUBSTITUTE(SUBSTITUTE(SUBSTITUTE(SUBSTITUTE(SUBSTITUTE(SUBSTITUTE(SUBSTITUTE(SUBSTITUTE(SUBSTITUTE(SUBSTITUTE(SUBSTITUTE(SUBSTITUTE(SUBSTITUTE(SUBSTITUTE(SUBSTITUTE(SUBSTITUTE(SUBSTITUTE(SUBSTITUTE(SUBSTITUTE(SUBSTITUTE(SUBSTITUTE(SUBSTITUTE(SUBSTITUTE(SUBSTITUTE(BM646,"b","a"),"c","a"),"d","a"),"e","a"),"f","a"),"g","a"),"h","a"),"i","a"),"j","a"),"k","a"),"l","a"),"m","a"),"n","a"),"o","a"),"p","a"),"q","a"),"r","a"),"s","a"),"t","a"),"u","a"),"v","a"),"w","a"),"x","a"),"y","a"),"z","a")</f>
        <v/>
      </c>
      <c r="BO646" s="61" t="str">
        <f aca="false">SUBSTITUTE(SUBSTITUTE(SUBSTITUTE(SUBSTITUTE(SUBSTITUTE(SUBSTITUTE(SUBSTITUTE(SUBSTITUTE(SUBSTITUTE(LOWER(W646&amp;""),"1","0"),"2","0"),"3","0"),"4","0"),"5","0"),"6","0"),"7","0"),"8","0"),"9","0")</f>
        <v/>
      </c>
      <c r="BP646" s="61" t="str">
        <f aca="false">SUBSTITUTE(SUBSTITUTE(SUBSTITUTE(SUBSTITUTE(SUBSTITUTE(SUBSTITUTE(SUBSTITUTE(SUBSTITUTE(SUBSTITUTE(SUBSTITUTE(SUBSTITUTE(SUBSTITUTE(SUBSTITUTE(SUBSTITUTE(SUBSTITUTE(SUBSTITUTE(SUBSTITUTE(SUBSTITUTE(SUBSTITUTE(SUBSTITUTE(SUBSTITUTE(SUBSTITUTE(SUBSTITUTE(SUBSTITUTE(SUBSTITUTE(BO646,"b","a"),"c","a"),"d","a"),"e","a"),"f","a"),"g","a"),"h","a"),"i","a"),"j","a"),"k","a"),"l","a"),"m","a"),"n","a"),"o","a"),"p","a"),"q","a"),"r","a"),"s","a"),"t","a"),"u","a"),"v","a"),"w","a"),"x","a"),"y","a"),"z","a")</f>
        <v/>
      </c>
      <c r="BQ646" s="61" t="n">
        <f aca="false">IFERROR(IF(AND(ISERROR(SEARCH(" mh"," "&amp;LOWER(W646))),ISNA(MATCH(LEFT(TRIM(BP646),255),{"0000a","000a","00a","0000aa","000aa","00aa","0aa","0000aaa","000aaa","00a00","0a00","0000-0000","00:00","a00","a0","00.00.0000","00/00/0000","00-00-0000","0000-00-00","0000/00/00","0000.00.00","00.00.00","00/00/00","00-00-00","0.00.0000","0/00/0000","0-00-0000"},0)),ISNA(MATCH(LEFT(TRIM(CA646),255),{"0000a","000a","00a","0000aa","000aa","00aa","0aa","0000aaa","000aaa","00a00","0a00","0000-0000","00:00","a00","a0","00.00.0000","00/00/0000","00-00-0000","0000-00-00","0000/00/00","0000.00.00","00.00.00","00/00/00","00-00-00","0.00.0000","0/00/0000","0-00-0000"},0)),LEN(CB646)&gt;=3,NOT(OR(SUBSTITUTE(CB646,"0","")="",AND(LEN(CB646)&gt;=4,CB646=REPT(LEFT(CB646),LEN(CB646))),ISNUMBER(MATCH(CB646,{"123","1234","12345","123456","1234567","12345678","0123","01234","012345","98765","987654","54321"},0)),AND(LEN(CB646)=8,LEFT(CB646,3)="202"))),OR(AND((LEN(CA646)-LEN(SUBSTITUTE(CA646,"a","")))&gt;=1,SUMPRODUCT(--ISNUMBER(SEARCH({"a0","a-0","a_0","a/0","a.0","a#0","0a","0-a","0_a","0/a"},BP646)))&gt;0),ISNUMBER(SEARCH("000000",BP646)))),1,0),0)</f>
        <v>0</v>
      </c>
      <c r="BR646" s="61" t="n">
        <f aca="false">IFERROR(LEN(SUBSTITUTE(CC646," ",""))-SUMPRODUCT((LEN(CC646)-LEN(SUBSTITUTE(CC646," "&amp;L_Role&amp;" "," ")))/(LEN(L_Role)+1)*LEN(L_Role)),0)</f>
        <v>0</v>
      </c>
      <c r="BS646" s="61" t="n">
        <f aca="false">IFERROR(LEN(SUBSTITUTE(CD646," ",""))-SUMPRODUCT((LEN(CD646)-LEN(SUBSTITUTE(CD646," "&amp;L_Role&amp;" "," ")))/(LEN(L_Role)+1)*LEN(L_Role)),0)</f>
        <v>0</v>
      </c>
      <c r="BT6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646,"revision",""),"version",""),"jan",""),"feb",""),"mar",""),"apr",""),"may",""),"jun",""),"jul",""),"aug",""),"sep",""),"oct",""),"nov",""),"dec",""),"utc",""),"gmt",""),"myt",""),"bst",""),"rev",""),"ver",""),"b","a"),"c","a"),"d","a"),"e","a"),"f","a"),"g","a"),"h","a"),"i","a"),"j","a"),"k","a"),"l","a"),"m","a"),"n","a"),"o","a"),"p","a"),"q","a"),"r","a"),"s","a"),"t","a"),"u","a"),"v","a"),"w","a"),"x","a"),"y","a"),"z","a")</f>
        <v/>
      </c>
      <c r="BU646" s="61" t="str">
        <f aca="false">SUBSTITUTE(SUBSTITUTE(SUBSTITUTE(SUBSTITUTE(SUBSTITUTE(SUBSTITUTE(SUBSTITUTE(SUBSTITUTE(SUBSTITUTE(SUBSTITUTE(LEFT(BM646,FIND("0",BM646&amp;"0")-1),"-",""),"_",""),"/",""),".",""),"#",""),"\\",""),":","")," ",""),"(",""),")","")</f>
        <v/>
      </c>
      <c r="BV646" s="61" t="n">
        <f aca="false">0</f>
        <v>0</v>
      </c>
      <c r="BW6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646&amp;""),"a",""),"b",""),"c",""),"d",""),"e",""),"f",""),"g",""),"h",""),"i",""),"j",""),"k",""),"l",""),"m",""),"n",""),"o",""),"p",""),"q",""),"r",""),"s",""),"t",""),"u",""),"v",""),"w",""),"x",""),"y",""),"z",""),"-",""),"_",""),"/",""),".",""),"#",""),"\\",""),":","")," ",""),"(",""),")","")</f>
        <v/>
      </c>
      <c r="BX646" s="61" t="str">
        <f aca="false">SUBSTITUTE(SUBSTITUTE(SUBSTITUTE(SUBSTITUTE(SUBSTITUTE(SUBSTITUTE(SUBSTITUTE(SUBSTITUTE(SUBSTITUTE(SUBSTITUTE(SUBSTITUTE(BM646,"0",""),"-",""),"_",""),"/",""),".",""),"#",""),"\\",""),":","")," ",""),"(",""),")","")</f>
        <v/>
      </c>
      <c r="BY646" s="62" t="n">
        <f aca="false">Q646-T7EarlyD*24/24</f>
        <v>46303.4375</v>
      </c>
      <c r="BZ646" s="61" t="n">
        <f aca="false">IFERROR(IF(IF(TRIM(S646)="Link / file path",AND(LEN(TRIM(Z646))&gt;=5,SUMPRODUCT(--ISNUMBER(SEARCH({"http","www.","\\",":\",".pdf",".jpg",".jpeg",".png",".heic",".xls",".doc",".msg",".eml",".ppt",".txt",".zip"},Z646)))&gt;0),AND(ISERROR(FIND(" ",TRIM(Z646))),NOT(OR(SUMPRODUCT(--ISNUMBER(FIND({",",";","&amp;","+"},Z646)))&gt;0,SUMPRODUCT(--ISNUMBER(SEARCH({"0/aa","0\\aa"},BN646)))&gt;0)),NOT(SUMPRODUCT(--ISNUMBER(SEARCH({"http","www.","\\",":\",".pdf",".jpg",".jpeg",".png",".heic",".xls",".doc",".msg",".eml",".ppt",".txt",".zip"},Z646)))&gt;0),NOT(LOWER(TRIM(Z646))=LOWER(Flights!$F$24)),ISNA(MATCH(BU646,{"mh","rev","revision","ver","version","v","r","a","b","seat","tray","row","gate","bay","stand","page","pg","item","line","no","cart","galley","flight","flt","table","box","bag","oven","etd","eta","std","sta","atd","ata","qty","pax","x","time","tel","ph","mob","day","wk","week","utc","gmt","myt","lt"},0)),NOT(OR(ISNUMBER(MATCH(LEFT(BN646,255),{"0000a","000a","00a","0000aa","000aa","00aa","0aa","0000aaa","000aaa","00a00","0a00","0000-0000","00:00","a00","a0","00.00.0000","00/00/0000","00-00-0000","0000-00-00","0000/00/00","0000.00.00","00.00.00","00/00/00","00-00-00","0.00.0000","0/00/0000","0-00-0000"},0)),ISNUMBER(MATCH(LEFT(BT646,255),{"0000a","000a","00a","0000aa","000aa","00aa","0aa","0000aaa","000aaa","00a00","0a00","0000-0000","00:00","a00","a0","00.00.0000","00/00/0000","00-00-0000","0000-00-00","0000/00/00","0000.00.00","00.00.00","00/00/00","00-00-00","0.00.0000","0/00/0000","0-00-0000"},0)))),NOT(OR(AND(BW646&lt;&gt;"",SUBSTITUTE(BW646,"0","")=""),AND(LEN(BW646)&gt;=4,BW646=REPT(LEFT(BW646),LEN(BW646))),ISNUMBER(MATCH(BW646,{"123","1234","12345","123456","1234567","12345678","0123","01234","012345","98765","987654","54321"},0)),ISNUMBER(MATCH(BX646,{"x","xx","xxx","xxxx","xxxxx","abc","abcd","nil","na","nan","test","tbc","tba","tbd","dummy","sample","example","eg","zz","zzz","none","null","xyz","qwe","asd","id","ref"},0)),AND(LEN(BW646)=8,BX646="",OR(LEFT(BW646,3)="202",ISNUMBER(MATCH(RIGHT(BW646,4),{"2025","2026","2027"},0)))))),OR(AND((LEN(BT646)-LEN(SUBSTITUTE(BT646,"a","")))&gt;=1,(LEN(BN646)-LEN(SUBSTITUTE(BN646,"0","")))&gt;=2,SUMPRODUCT(--ISNUMBER(SEARCH({"a0","a-0","a_0","a/0","a.0","a#0","0a","0-a","0_a","0/a"},BN646)))&gt;0),AND((LEN(BN646)-LEN(SUBSTITUTE(BN646,"a","")))=0,(LEN(BN646)-LEN(SUBSTITUTE(BN646,"0","")))&gt;=5)))),1,0),0)</f>
        <v>0</v>
      </c>
      <c r="CA6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646,"revision",""),"version",""),"jan",""),"feb",""),"mar",""),"apr",""),"may",""),"jun",""),"jul",""),"aug",""),"sep",""),"oct",""),"nov",""),"dec",""),"utc",""),"gmt",""),"myt",""),"bst",""),"rev",""),"ver",""),"b","a"),"c","a"),"d","a"),"e","a"),"f","a"),"g","a"),"h","a"),"i","a"),"j","a"),"k","a"),"l","a"),"m","a"),"n","a"),"o","a"),"p","a"),"q","a"),"r","a"),"s","a"),"t","a"),"u","a"),"v","a"),"w","a"),"x","a"),"y","a"),"z","a")</f>
        <v/>
      </c>
      <c r="CB6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646&amp;""),"a",""),"b",""),"c",""),"d",""),"e",""),"f",""),"g",""),"h",""),"i",""),"j",""),"k",""),"l",""),"m",""),"n",""),"o",""),"p",""),"q",""),"r",""),"s",""),"t",""),"u",""),"v",""),"w",""),"x",""),"y",""),"z",""),"-",""),"_",""),"/",""),".",""),"#",""),"\\",""),":","")," ",""),"(",""),")","")</f>
        <v/>
      </c>
      <c r="CC646" s="0" t="str">
        <f aca="false">" "&amp;TRIM(SUBSTITUTE(SUBSTITUTE(SUBSTITUTE(SUBSTITUTE(SUBSTITUTE(SUBSTITUTE(SUBSTITUTE(SUBSTITUTE(SUBSTITUTE(SUBSTITUTE(SUBSTITUTE(SUBSTITUTE(SUBSTITUTE(SUBSTITUTE(SUBSTITUTE(SUBSTITUTE(SUBSTITUTE(SUBSTITUTE(SUBSTITUTE(SUBSTITUTE(SUBSTITUTE(SUBSTITUTE(SUBSTITUTE(SUBSTITUTE(LOWER(T646&amp;""),CHAR(10)," "),CHAR(13)," "),CHAR(9)," "),CHAR(160)," "),"."," "),","," "),"-"," "),"/"," "),"("," "),")"," "),":"," "),";"," "),"_"," "),"–"," "),"?"," "),"!"," "),"*"," "),"["," "),"]"," "),"'"," "),"#"," "),"+"," "),"&amp;"," "),"\"," "))&amp;" "</f>
        <v>  </v>
      </c>
      <c r="CD646" s="0" t="str">
        <f aca="false">" "&amp;TRIM(SUBSTITUTE(SUBSTITUTE(SUBSTITUTE(SUBSTITUTE(SUBSTITUTE(SUBSTITUTE(SUBSTITUTE(SUBSTITUTE(SUBSTITUTE(SUBSTITUTE(SUBSTITUTE(SUBSTITUTE(SUBSTITUTE(SUBSTITUTE(SUBSTITUTE(SUBSTITUTE(SUBSTITUTE(SUBSTITUTE(SUBSTITUTE(SUBSTITUTE(SUBSTITUTE(SUBSTITUTE(SUBSTITUTE(SUBSTITUTE(LOWER(AE646&amp;""),CHAR(10)," "),CHAR(13)," "),CHAR(9)," "),CHAR(160)," "),"."," "),","," "),"-"," "),"/"," "),"("," "),")"," "),":"," "),";"," "),"_"," "),"–"," "),"?"," "),"!"," "),"*"," "),"["," "),"]"," "),"'"," "),"#"," "),"+"," "),"&amp;"," "),"\"," "))&amp;" "</f>
        <v>  </v>
      </c>
      <c r="CE646" s="68" t="n">
        <f aca="false">IFERROR(IF(AND(LEN(AU646)&gt;0,LEN(AU646)=LEN(AX646),OR(TRIM(MID(SUBSTITUTE(TRIM(CC646)," ",REPT(" ",60)),1,60))="",ISNUMBER(SEARCH(" "&amp;TRIM(MID(SUBSTITUTE(TRIM(CC646)," ",REPT(" ",60)),1,60))&amp;" ",CD646))),OR(TRIM(MID(SUBSTITUTE(TRIM(CC646)," ",REPT(" ",60)),61,60))="",ISNUMBER(SEARCH(" "&amp;TRIM(MID(SUBSTITUTE(TRIM(CC646)," ",REPT(" ",60)),61,60))&amp;" ",CD646))),OR(TRIM(MID(SUBSTITUTE(TRIM(CC646)," ",REPT(" ",60)),121,60))="",ISNUMBER(SEARCH(" "&amp;TRIM(MID(SUBSTITUTE(TRIM(CC646)," ",REPT(" ",60)),121,60))&amp;" ",CD646)))),1,0),0)</f>
        <v>0</v>
      </c>
      <c r="CG646" s="68" t="n">
        <f aca="false">IFERROR(LEN(SUBSTITUTE(BF646," ",""))-SUMPRODUCT((LEN(BF646)-LEN(SUBSTITUTE(BF646," "&amp;L_NAFiller&amp;" "," ")))/(LEN(L_NAFiller)+1)*LEN(L_NAFiller)),0)</f>
        <v>0</v>
      </c>
    </row>
    <row r="647" customFormat="false" ht="39.75" hidden="false" customHeight="true" outlineLevel="0" collapsed="false">
      <c r="A647" s="57" t="s">
        <v>1365</v>
      </c>
      <c r="B647" s="57" t="s">
        <v>304</v>
      </c>
      <c r="C647" s="57" t="str">
        <f aca="false">Flights!$F$24</f>
        <v>MH1450</v>
      </c>
      <c r="D647" s="58" t="n">
        <f aca="false">Flights!$D$24</f>
        <v>46324</v>
      </c>
      <c r="E647" s="57" t="str">
        <f aca="false">Flights!$G$24&amp;"-"&amp;Flights!$H$24</f>
        <v>KUL-LGK</v>
      </c>
      <c r="F647" s="57" t="str">
        <f aca="false">Flights!$K$24</f>
        <v>EY</v>
      </c>
      <c r="G647" s="57" t="s">
        <v>81</v>
      </c>
      <c r="H647" s="57" t="s">
        <v>378</v>
      </c>
      <c r="I647" s="57" t="s">
        <v>394</v>
      </c>
      <c r="J647" s="57" t="s">
        <v>395</v>
      </c>
      <c r="K647" s="67" t="s">
        <v>396</v>
      </c>
      <c r="L647" s="67" t="s">
        <v>382</v>
      </c>
      <c r="M647" s="67"/>
      <c r="N647" s="67" t="s">
        <v>383</v>
      </c>
      <c r="O647" s="67"/>
      <c r="P647" s="57" t="s">
        <v>187</v>
      </c>
      <c r="Q647" s="59" t="n">
        <f aca="false">ROUND((Flights!$AC$24)*1440,0)/1440</f>
        <v>46317.4375</v>
      </c>
      <c r="R647" s="59" t="n">
        <f aca="false">Q647+(IF(AND(INDEX(TZ_DSTS,MATCH(P647,TZ_STN,0))&lt;&gt;"",Q647&gt;=INDEX(TZ_DSTS,MATCH(P647,TZ_STN,0)),Q647&lt;INDEX(TZ_DSTE,MATCH(P647,TZ_STN,0))),INDEX(TZ_DST,MATCH(P647,TZ_STN,0)),INDEX(TZ_STD,MATCH(P647,TZ_STN,0))))/24</f>
        <v>46317.7708333333</v>
      </c>
      <c r="S647" s="60"/>
      <c r="T647" s="60"/>
      <c r="U647" s="60"/>
      <c r="V647" s="60"/>
      <c r="W647" s="61"/>
      <c r="X647" s="60"/>
      <c r="Y647" s="60"/>
      <c r="Z647" s="60"/>
      <c r="AA647" s="60"/>
      <c r="AB647" s="60"/>
      <c r="AC647" s="60"/>
      <c r="AD647" s="66"/>
      <c r="AE647" s="60"/>
      <c r="AF647" s="61" t="str">
        <f aca="false">IF(AND(ISNUMBER(X647),ISNUMBER(Y647)),Y647-X647,"")</f>
        <v/>
      </c>
      <c r="AG647" s="62" t="str">
        <f aca="false">IF(ISNUMBER(AD647),AD647-(IF(AND(INDEX(TZ_DSTS,MATCH(P647,TZ_STN,0))&lt;&gt;"",(AD647-INDEX(TZ_STD,MATCH(P647,TZ_STN,0))/24)&gt;=INDEX(TZ_DSTS,MATCH(P647,TZ_STN,0)),(AD647-INDEX(TZ_STD,MATCH(P647,TZ_STN,0))/24)&lt;INDEX(TZ_DSTE,MATCH(P647,TZ_STN,0))),INDEX(TZ_DST,MATCH(P647,TZ_STN,0)),INDEX(TZ_STD,MATCH(P647,TZ_STN,0))))/24,"")</f>
        <v/>
      </c>
      <c r="AH647" s="65" t="str">
        <f aca="false">IFERROR(IF(N647="N/A – rule",IF(OR(TRIM(U647)="",TRIM(U647)="N/A",TRIM(U647)="Not started"),"N/A – RULE","INVALID – this check does not apply to this aircraft: clear the status (or correct the fleet on Flights)"),IF(TRIM(U647)="N/A",IF(AT647=0,"INVALID – N/A not permitted for this check",IF(AND(TRIM(AB647)&lt;&gt;"",TRIM(AB647)&lt;&gt;"Closed"),"INVALID – corrective action still open",IF(AND(NOT(OR(LEN(AZ647)&lt;15,ISNUMBER(MATCH(AZ647,L_Placeholder,0)))),BK647=0,CG647&gt;=8,NOT(OR(LEN(AU647)&lt;2,ISNUMBER(MATCH(AU647,L_Placeholder,0)))),BR647&gt;=3,NOT(OR(LEN(AX647)&lt;2,ISNUMBER(MATCH(AX647,L_Placeholder,0)))),BS647&gt;=3,TRIM(AE647)&lt;&gt;TRIM(T647),AX647&lt;&gt;AU647,CE647=0),"N/A – JUSTIFIED","INVALID – N/A needs a real, settled reason (not 'not applicable' / 'as above' / TBC), a named PIC and a different named verifier"))),IF(OR(TRIM(U647)="Pass",TRIM(U647)="Pass after CA"),IF(NOT(ISNUMBER(AD647)),"INVALID – completion time missing",IF(OR(OR(LEN(AU647)&lt;2,ISNUMBER(MATCH(AU647,L_Placeholder,0))),BR647&lt;3),"INVALID – PIC missing or not a named person (a role such as QA / CSM is not a name)",IF(OR(LEN(AV647)&lt;2,ISNUMBER(MATCH(AV647,L_Placeholder,0))),"INVALID – result / assessment missing",IF(OR(OR(LEN(AW647)&lt;3,ISNUMBER(MATCH(AW647,L_Placeholder,0))),SUMPRODUCT(--ISNUMBER(SEARCH(" "&amp;L_EvidencePhrase&amp;" ",BD647)))&gt;0,BI647=1),"INVALID – evidence missing, placeholder or not yet on file",IF(ISNA(MATCH(TRIM(S647),L_EvidenceType,0)),"INVALID – choose the evidence type from the list (column S)",IF(BL647=0,"INVALID – evidence ID must be the record's own ID only (e.g. SF-2210, IMG_2231, 1045521); a link / file name needs type 'Link / file path'",IF(OR(OR(LEN(AX647)&lt;2,ISNUMBER(MATCH(AX647,L_Placeholder,0))),BS647&lt;3),"INVALID – verifier missing or not a named person (a role such as QA / CSM is not a name)",IF(OR(AX647=AU647,CE647=1,AND(LEN(AU647)&gt;=4,ISNUMBER(SEARCH(AU647,AX647))),AND(LEN(AX647)&gt;=4,ISNUMBER(SEARCH(AX647,AU647)))),"INVALID – verifier must be a different, named person (not the PIC or a role)",IF(BH647=1,"INVALID – result not yet available (awaiting / TBC)",IF(BG647=1,"INVALID – result describes a problem: record Fail, then Pass after CA (or reword if it is not a problem)",IF(BV647=1,"INVALID – wording says not on board: an on-board confirmation needs the item loaded",IF(AND(AQ647=1,OR(OR(LEN(AY647)&lt;3,ISNUMBER(MATCH(AY647,L_Placeholder,0))),BJ647=1,BQ647=0)),"INVALID – batch ID missing, placeholder or not an ID (e.g. PASB-261008-BC-017)",IF(AND(AR647=1,OR(NOT(ISNUMBER(X647)),NOT(ISNUMBER(Y647)))),"INVALID – expected/actual qty missing",IF(AND(AR647=1,OR(X647&lt;=0,Y647&lt;0)),"INVALID – expected qty must be above 0 and actual not negative",IF(BB647&lt;&gt;"",BB647,IF(AND(AS647=1,Documents!$J$24&lt;&gt;"ON FILE"),"INVALID – GLD not on file (Documents sheet)",IF(AND(AS647=2,Documents!$O$24&lt;&gt;"ON FILE"),"INVALID – menu checklist not on file (Documents sheet)",IF(AND(AS647=3,NOT(ISNUMBER(Flights!$AX$24))),"INVALID – enter carrying flight KUL departure (Flights AX)",IF(AND(AS647=3,OR(Flights!$AZ$24&gt;Flights!$AA$24,Flights!$AX$24&lt;Flights!$AA$24-3)),"INVALID – carrying flight (Flights AX) cannot arrive before this leg's STD, or is over 3 days early",IF(AG647&gt;AsOfUTC,"INVALID – completion time is in the future",IF(AND(ISNUMBER(BY647),AG647&lt;BY647),IF(H647="Physical uplift","INVALID – before uplift window (cannot confirm loading)","INVALID – before valid window"),IF(AG647&gt;Flights!$AA$24,"INVALID – completed after departure (cannot establish readiness)",IF(AND(H647="Preparation",AG647&gt;=IF(ISNUMBER(Flights!$BA$24),MIN(Flights!$BA$24,Flights!$AA$24),Flights!$AA$24)),"INVALID – completed after loading / departure (cannot establish readiness)",IF(AND(H647="Physical uplift",AG647&gt;Q647),"INVALID – recorded after the loading flight departed",IF(AG647&gt;Q647,"COMPLETE – LATE","COMPLETE"))))))))))))))))))))))))),IF(TRIM(U647)="Fail","FAIL – DISCREPANCY",IF(AND(TRIM(U647)&lt;&gt;"",TRIM(U647)&lt;&gt;"Not started",TRIM(U647)&lt;&gt;"In progress"),"INVALID – unrecognised status (use the list)",IF(AsOfUTC&gt;Q647,"OVERDUE",IF(N647="Clarification required","OPEN – CLARIFICATION","OPEN"))))))),"INVALID – error value in an input cell")</f>
        <v>OPEN</v>
      </c>
      <c r="AI647" s="61" t="n">
        <f aca="false">IF(OR(AH647="N/A – RULE",AH647="N/A – JUSTIFIED"),0,1)</f>
        <v>1</v>
      </c>
      <c r="AJ647" s="61" t="n">
        <f aca="false">IF(LEFT(AH647,8)="COMPLETE",1,0)</f>
        <v>0</v>
      </c>
      <c r="AK647" s="61" t="n">
        <f aca="false">IF(AND(AI647=1,AJ647=0,AsOfUTC&gt;Q647),1,0)</f>
        <v>0</v>
      </c>
      <c r="AL647" s="61" t="n">
        <f aca="false">IFERROR(IF(AND(AI647=1,OR(TRIM(U647)="Fail",AND(TRIM(AB647)&lt;&gt;"",TRIM(AB647)&lt;&gt;"Closed"),AND(ISNUMBER(AF647),AF647&lt;&gt;0,TRIM(U647)&lt;&gt;"Pass after CA"))),1,0),1)</f>
        <v>0</v>
      </c>
      <c r="AM647" s="61" t="n">
        <f aca="false">IF(LEFT(AH647,7)="INVALID",1,0)</f>
        <v>0</v>
      </c>
      <c r="AN647" s="61" t="n">
        <f aca="false">IF(AND(N647="Clarification required",AI647=1,AJ647=0),1,0)</f>
        <v>0</v>
      </c>
      <c r="AO647" s="61" t="str">
        <f aca="false">IF(AK647=1,SUM(AK$5:AK647),"")</f>
        <v/>
      </c>
      <c r="AP647" s="61" t="str">
        <f aca="false">IF(AL647=1,SUM(AL$5:AL647),"")</f>
        <v/>
      </c>
      <c r="AQ647" s="61" t="n">
        <v>0</v>
      </c>
      <c r="AR647" s="61" t="n">
        <v>0</v>
      </c>
      <c r="AS647" s="61" t="n">
        <v>0</v>
      </c>
      <c r="AT647" s="61" t="n">
        <v>0</v>
      </c>
      <c r="AU647" s="61" t="str">
        <f aca="false">SUBSTITUTE(SUBSTITUTE(SUBSTITUTE(SUBSTITUTE(SUBSTITUTE(SUBSTITUTE(SUBSTITUTE(SUBSTITUTE(SUBSTITUTE(SUBSTITUTE(SUBSTITUTE(SUBSTITUTE(SUBSTITUTE(SUBSTITUTE(SUBSTITUTE(SUBSTITUTE(LOWER(T647&amp;""),CHAR(10),""),CHAR(13),""),CHAR(9),""),CHAR(160),"")," ",""),".",""),"-",""),"/",""),"?",""),"_",""),",",""),"[",""),"]",""),"(",""),")",""),"*","")</f>
        <v/>
      </c>
      <c r="AV647" s="61" t="str">
        <f aca="false">SUBSTITUTE(SUBSTITUTE(SUBSTITUTE(SUBSTITUTE(SUBSTITUTE(SUBSTITUTE(SUBSTITUTE(SUBSTITUTE(SUBSTITUTE(SUBSTITUTE(SUBSTITUTE(SUBSTITUTE(SUBSTITUTE(SUBSTITUTE(SUBSTITUTE(SUBSTITUTE(LOWER(V647&amp;""),CHAR(10),""),CHAR(13),""),CHAR(9),""),CHAR(160),"")," ",""),".",""),"-",""),"/",""),"?",""),"_",""),",",""),"[",""),"]",""),"(",""),")",""),"*","")</f>
        <v/>
      </c>
      <c r="AW647" s="61" t="str">
        <f aca="false">SUBSTITUTE(SUBSTITUTE(SUBSTITUTE(SUBSTITUTE(SUBSTITUTE(SUBSTITUTE(SUBSTITUTE(SUBSTITUTE(SUBSTITUTE(SUBSTITUTE(SUBSTITUTE(SUBSTITUTE(SUBSTITUTE(SUBSTITUTE(SUBSTITUTE(SUBSTITUTE(LOWER(Z647&amp;""),CHAR(10),""),CHAR(13),""),CHAR(9),""),CHAR(160),"")," ",""),".",""),"-",""),"/",""),"?",""),"_",""),",",""),"[",""),"]",""),"(",""),")",""),"*","")</f>
        <v/>
      </c>
      <c r="AX647" s="61" t="str">
        <f aca="false">SUBSTITUTE(SUBSTITUTE(SUBSTITUTE(SUBSTITUTE(SUBSTITUTE(SUBSTITUTE(SUBSTITUTE(SUBSTITUTE(SUBSTITUTE(SUBSTITUTE(SUBSTITUTE(SUBSTITUTE(SUBSTITUTE(SUBSTITUTE(SUBSTITUTE(SUBSTITUTE(LOWER(AE647&amp;""),CHAR(10),""),CHAR(13),""),CHAR(9),""),CHAR(160),"")," ",""),".",""),"-",""),"/",""),"?",""),"_",""),",",""),"[",""),"]",""),"(",""),")",""),"*","")</f>
        <v/>
      </c>
      <c r="AY647" s="61" t="str">
        <f aca="false">SUBSTITUTE(SUBSTITUTE(SUBSTITUTE(SUBSTITUTE(SUBSTITUTE(SUBSTITUTE(SUBSTITUTE(SUBSTITUTE(SUBSTITUTE(SUBSTITUTE(SUBSTITUTE(SUBSTITUTE(SUBSTITUTE(SUBSTITUTE(SUBSTITUTE(SUBSTITUTE(LOWER(W647&amp;""),CHAR(10),""),CHAR(13),""),CHAR(9),""),CHAR(160),"")," ",""),".",""),"-",""),"/",""),"?",""),"_",""),",",""),"[",""),"]",""),"(",""),")",""),"*","")</f>
        <v/>
      </c>
      <c r="AZ647" s="61" t="str">
        <f aca="false">SUBSTITUTE(SUBSTITUTE(SUBSTITUTE(SUBSTITUTE(SUBSTITUTE(SUBSTITUTE(SUBSTITUTE(SUBSTITUTE(SUBSTITUTE(SUBSTITUTE(SUBSTITUTE(SUBSTITUTE(SUBSTITUTE(SUBSTITUTE(SUBSTITUTE(SUBSTITUTE(LOWER(AC647&amp;""),CHAR(10),""),CHAR(13),""),CHAR(9),""),CHAR(160),"")," ",""),".",""),"-",""),"/",""),"?",""),"_",""),",",""),"[",""),"]",""),"(",""),")",""),"*","")</f>
        <v/>
      </c>
      <c r="BA647" s="61" t="str">
        <f aca="false">SUBSTITUTE(SUBSTITUTE(SUBSTITUTE(SUBSTITUTE(SUBSTITUTE(SUBSTITUTE(SUBSTITUTE(SUBSTITUTE(SUBSTITUTE(SUBSTITUTE(SUBSTITUTE(SUBSTITUTE(SUBSTITUTE(SUBSTITUTE(SUBSTITUTE(SUBSTITUTE(LOWER(AA647&amp;""),CHAR(10),""),CHAR(13),""),CHAR(9),""),CHAR(160),"")," ",""),".",""),"-",""),"/",""),"?",""),"_",""),",",""),"[",""),"]",""),"(",""),")",""),"*","")</f>
        <v/>
      </c>
      <c r="BB647" s="61" t="str">
        <f aca="false">IF(AND(TRIM(U647)="Pass",ISNUMBER(AF647)),IF(AF647&lt;&gt;0,"INVALID – qty variance: use Fail or Pass after CA",""),"")&amp;IF(AND(TRIM(U647)="Pass after CA",ISNUMBER(AF647)),IF(AF647&lt;&gt;0,"INVALID – after the corrective action the actual qty must equal expected (update Actual)",""),"")&amp;IF(AND(TRIM(U647)="Pass",TRIM(AB647)&lt;&gt;"",TRIM(AB647)&lt;&gt;"Closed"),"INVALID – corrective action not closed: use Fail, then Pass after CA","")&amp;IF(AND(LEN(BA647)&gt;=2,ISNA(MATCH(LEFT(BA647,255),L_Placeholder,0)),TRIM(AB647)=""),"INVALID – CA status missing for the recorded corrective action","")&amp;IF(AND(TRIM(U647)="Pass after CA",OR(OR(LEN(BA647)&lt;5,ISNUMBER(MATCH(BA647,L_Placeholder,0))),TRIM(AB647)&lt;&gt;"Closed")),"INVALID – corrective action not recorded/closed","")</f>
        <v/>
      </c>
      <c r="BC647" s="61" t="str">
        <f aca="false">" "&amp;TRIM(SUBSTITUTE(SUBSTITUTE(SUBSTITUTE(SUBSTITUTE(SUBSTITUTE(SUBSTITUTE(SUBSTITUTE(SUBSTITUTE(SUBSTITUTE(SUBSTITUTE(SUBSTITUTE(SUBSTITUTE(SUBSTITUTE(SUBSTITUTE(SUBSTITUTE(SUBSTITUTE(SUBSTITUTE(SUBSTITUTE(SUBSTITUTE(SUBSTITUTE(SUBSTITUTE(SUBSTITUTE(SUBSTITUTE(SUBSTITUTE(LOWER(V647&amp;""),CHAR(10)," "),CHAR(13)," "),CHAR(9)," "),CHAR(160)," "),"."," "),","," "),"-"," "),"/"," "),"("," "),")"," "),":"," "),";"," "),"_"," "),"–"," "),"?"," "),"!"," "),"*"," "),"["," "),"]"," "),"'"," "),"#"," "),"+"," "),"&amp;"," "),"\"," "))&amp;" "</f>
        <v>  </v>
      </c>
      <c r="BD647" s="61" t="str">
        <f aca="false">" "&amp;TRIM(SUBSTITUTE(SUBSTITUTE(SUBSTITUTE(SUBSTITUTE(SUBSTITUTE(SUBSTITUTE(SUBSTITUTE(SUBSTITUTE(SUBSTITUTE(SUBSTITUTE(SUBSTITUTE(SUBSTITUTE(SUBSTITUTE(SUBSTITUTE(SUBSTITUTE(SUBSTITUTE(SUBSTITUTE(SUBSTITUTE(SUBSTITUTE(SUBSTITUTE(SUBSTITUTE(SUBSTITUTE(SUBSTITUTE(SUBSTITUTE(LOWER(Z647&amp;""),CHAR(10)," "),CHAR(13)," "),CHAR(9)," "),CHAR(160)," "),"."," "),","," "),"-"," "),"/"," "),"("," "),")"," "),":"," "),";"," "),"_"," "),"–"," "),"?"," "),"!"," "),"*"," "),"["," "),"]"," "),"'"," "),"#"," "),"+"," "),"&amp;"," "),"\"," "))&amp;" "</f>
        <v>  </v>
      </c>
      <c r="BE647" s="61" t="str">
        <f aca="false">" "&amp;TRIM(SUBSTITUTE(SUBSTITUTE(SUBSTITUTE(SUBSTITUTE(SUBSTITUTE(SUBSTITUTE(SUBSTITUTE(SUBSTITUTE(SUBSTITUTE(SUBSTITUTE(SUBSTITUTE(SUBSTITUTE(SUBSTITUTE(SUBSTITUTE(SUBSTITUTE(SUBSTITUTE(SUBSTITUTE(SUBSTITUTE(SUBSTITUTE(SUBSTITUTE(SUBSTITUTE(SUBSTITUTE(SUBSTITUTE(SUBSTITUTE(LOWER(W647&amp;""),CHAR(10)," "),CHAR(13)," "),CHAR(9)," "),CHAR(160)," "),"."," "),","," "),"-"," "),"/"," "),"("," "),")"," "),":"," "),";"," "),"_"," "),"–"," "),"?"," "),"!"," "),"*"," "),"["," "),"]"," "),"'"," "),"#"," "),"+"," "),"&amp;"," "),"\"," "))&amp;" "</f>
        <v>  </v>
      </c>
      <c r="BF647" s="61" t="str">
        <f aca="false">" "&amp;TRIM(SUBSTITUTE(SUBSTITUTE(SUBSTITUTE(SUBSTITUTE(SUBSTITUTE(SUBSTITUTE(SUBSTITUTE(SUBSTITUTE(SUBSTITUTE(SUBSTITUTE(SUBSTITUTE(SUBSTITUTE(SUBSTITUTE(SUBSTITUTE(SUBSTITUTE(SUBSTITUTE(SUBSTITUTE(SUBSTITUTE(SUBSTITUTE(SUBSTITUTE(SUBSTITUTE(SUBSTITUTE(SUBSTITUTE(SUBSTITUTE(LOWER(AC647&amp;""),CHAR(10)," "),CHAR(13)," "),CHAR(9)," "),CHAR(160)," "),"."," "),","," "),"-"," "),"/"," "),"("," "),")"," "),":"," "),";"," "),"_"," "),"–"," "),"?"," "),"!"," "),"*"," "),"["," "),"]"," "),"'"," "),"#"," "),"+"," "),"&amp;"," "),"\"," "))&amp;" "</f>
        <v>  </v>
      </c>
      <c r="BG647" s="61" t="n">
        <f aca="false">IFERROR(IF(AND(TRIM(U647)="Pass",SUMPRODUCT((LEN(BC647)-LEN(SUBSTITUTE(BC647," "&amp;L_ResultBad&amp;" "," ")))/(LEN(L_ResultBad)+1))&gt;SUMPRODUCT((LEN(BC647)-LEN(SUBSTITUTE(BC647," "&amp;L_NegPhrase&amp;" "," ")))/(LEN(L_NegPhrase)+1))),1,0),0)</f>
        <v>0</v>
      </c>
      <c r="BH647" s="61" t="n">
        <f aca="false">IFERROR(IF(SUMPRODUCT((LEN(BC647)-LEN(SUBSTITUTE(BC647," "&amp;L_Pending&amp;" "," ")))/(LEN(L_Pending)+1))&gt;SUMPRODUCT((LEN(BC647)-LEN(SUBSTITUTE(BC647," "&amp;L_PendNeg&amp;" "," ")))/(LEN(L_PendNeg)+1))+SUMPRODUCT((LEN(BC647)-LEN(SUBSTITUTE(BC647," "&amp;L_PendPrep&amp;" "," ")))/(LEN(L_PendPrep)+1)),1,0),1)</f>
        <v>0</v>
      </c>
      <c r="BI647" s="61" t="n">
        <f aca="false">IFERROR(IF(SUMPRODUCT((LEN(BD647)-LEN(SUBSTITUTE(BD647," "&amp;L_PendStrict&amp;" "," ")))/(LEN(L_PendStrict)+1))&gt;SUMPRODUCT((LEN(BD647)-LEN(SUBSTITUTE(BD647," "&amp;L_PendNeg&amp;" "," ")))/(LEN(L_PendNeg)+1)),1,0),1)</f>
        <v>0</v>
      </c>
      <c r="BJ647" s="61" t="n">
        <f aca="false">IFERROR(IF(SUMPRODUCT((LEN(BE647)-LEN(SUBSTITUTE(BE647," "&amp;L_Pending&amp;" "," ")))/(LEN(L_Pending)+1))&gt;SUMPRODUCT((LEN(BE647)-LEN(SUBSTITUTE(BE647," "&amp;L_PendNeg&amp;" "," ")))/(LEN(L_PendNeg)+1))+SUMPRODUCT((LEN(BE647)-LEN(SUBSTITUTE(BE647," "&amp;L_PendPrep&amp;" "," ")))/(LEN(L_PendPrep)+1)),1,0),1)</f>
        <v>0</v>
      </c>
      <c r="BK647" s="61" t="n">
        <f aca="false">IFERROR(IF(SUMPRODUCT((LEN(BF647)-LEN(SUBSTITUTE(BF647," "&amp;L_PendStrict&amp;" "," ")))/(LEN(L_PendStrict)+1))&gt;SUMPRODUCT((LEN(BF647)-LEN(SUBSTITUTE(BF647," "&amp;L_PendNeg&amp;" "," ")))/(LEN(L_PendNeg)+1)),1,0),1)</f>
        <v>0</v>
      </c>
      <c r="BL647" s="61" t="n">
        <f aca="false">IF(ISNA(MATCH(TRIM(S647),L_EvidenceType,0)),0,BZ647)</f>
        <v>0</v>
      </c>
      <c r="BM647" s="61" t="str">
        <f aca="false">SUBSTITUTE(SUBSTITUTE(SUBSTITUTE(SUBSTITUTE(SUBSTITUTE(SUBSTITUTE(SUBSTITUTE(SUBSTITUTE(SUBSTITUTE(LOWER(Z647&amp;""),"1","0"),"2","0"),"3","0"),"4","0"),"5","0"),"6","0"),"7","0"),"8","0"),"9","0")</f>
        <v/>
      </c>
      <c r="BN647" s="61" t="str">
        <f aca="false">SUBSTITUTE(SUBSTITUTE(SUBSTITUTE(SUBSTITUTE(SUBSTITUTE(SUBSTITUTE(SUBSTITUTE(SUBSTITUTE(SUBSTITUTE(SUBSTITUTE(SUBSTITUTE(SUBSTITUTE(SUBSTITUTE(SUBSTITUTE(SUBSTITUTE(SUBSTITUTE(SUBSTITUTE(SUBSTITUTE(SUBSTITUTE(SUBSTITUTE(SUBSTITUTE(SUBSTITUTE(SUBSTITUTE(SUBSTITUTE(SUBSTITUTE(BM647,"b","a"),"c","a"),"d","a"),"e","a"),"f","a"),"g","a"),"h","a"),"i","a"),"j","a"),"k","a"),"l","a"),"m","a"),"n","a"),"o","a"),"p","a"),"q","a"),"r","a"),"s","a"),"t","a"),"u","a"),"v","a"),"w","a"),"x","a"),"y","a"),"z","a")</f>
        <v/>
      </c>
      <c r="BO647" s="61" t="str">
        <f aca="false">SUBSTITUTE(SUBSTITUTE(SUBSTITUTE(SUBSTITUTE(SUBSTITUTE(SUBSTITUTE(SUBSTITUTE(SUBSTITUTE(SUBSTITUTE(LOWER(W647&amp;""),"1","0"),"2","0"),"3","0"),"4","0"),"5","0"),"6","0"),"7","0"),"8","0"),"9","0")</f>
        <v/>
      </c>
      <c r="BP647" s="61" t="str">
        <f aca="false">SUBSTITUTE(SUBSTITUTE(SUBSTITUTE(SUBSTITUTE(SUBSTITUTE(SUBSTITUTE(SUBSTITUTE(SUBSTITUTE(SUBSTITUTE(SUBSTITUTE(SUBSTITUTE(SUBSTITUTE(SUBSTITUTE(SUBSTITUTE(SUBSTITUTE(SUBSTITUTE(SUBSTITUTE(SUBSTITUTE(SUBSTITUTE(SUBSTITUTE(SUBSTITUTE(SUBSTITUTE(SUBSTITUTE(SUBSTITUTE(SUBSTITUTE(BO647,"b","a"),"c","a"),"d","a"),"e","a"),"f","a"),"g","a"),"h","a"),"i","a"),"j","a"),"k","a"),"l","a"),"m","a"),"n","a"),"o","a"),"p","a"),"q","a"),"r","a"),"s","a"),"t","a"),"u","a"),"v","a"),"w","a"),"x","a"),"y","a"),"z","a")</f>
        <v/>
      </c>
      <c r="BQ647" s="61" t="n">
        <f aca="false">IFERROR(IF(AND(ISERROR(SEARCH(" mh"," "&amp;LOWER(W647))),ISNA(MATCH(LEFT(TRIM(BP647),255),{"0000a","000a","00a","0000aa","000aa","00aa","0aa","0000aaa","000aaa","00a00","0a00","0000-0000","00:00","a00","a0","00.00.0000","00/00/0000","00-00-0000","0000-00-00","0000/00/00","0000.00.00","00.00.00","00/00/00","00-00-00","0.00.0000","0/00/0000","0-00-0000"},0)),ISNA(MATCH(LEFT(TRIM(CA647),255),{"0000a","000a","00a","0000aa","000aa","00aa","0aa","0000aaa","000aaa","00a00","0a00","0000-0000","00:00","a00","a0","00.00.0000","00/00/0000","00-00-0000","0000-00-00","0000/00/00","0000.00.00","00.00.00","00/00/00","00-00-00","0.00.0000","0/00/0000","0-00-0000"},0)),LEN(CB647)&gt;=3,NOT(OR(SUBSTITUTE(CB647,"0","")="",AND(LEN(CB647)&gt;=4,CB647=REPT(LEFT(CB647),LEN(CB647))),ISNUMBER(MATCH(CB647,{"123","1234","12345","123456","1234567","12345678","0123","01234","012345","98765","987654","54321"},0)),AND(LEN(CB647)=8,LEFT(CB647,3)="202"))),OR(AND((LEN(CA647)-LEN(SUBSTITUTE(CA647,"a","")))&gt;=1,SUMPRODUCT(--ISNUMBER(SEARCH({"a0","a-0","a_0","a/0","a.0","a#0","0a","0-a","0_a","0/a"},BP647)))&gt;0),ISNUMBER(SEARCH("000000",BP647)))),1,0),0)</f>
        <v>0</v>
      </c>
      <c r="BR647" s="61" t="n">
        <f aca="false">IFERROR(LEN(SUBSTITUTE(CC647," ",""))-SUMPRODUCT((LEN(CC647)-LEN(SUBSTITUTE(CC647," "&amp;L_Role&amp;" "," ")))/(LEN(L_Role)+1)*LEN(L_Role)),0)</f>
        <v>0</v>
      </c>
      <c r="BS647" s="61" t="n">
        <f aca="false">IFERROR(LEN(SUBSTITUTE(CD647," ",""))-SUMPRODUCT((LEN(CD647)-LEN(SUBSTITUTE(CD647," "&amp;L_Role&amp;" "," ")))/(LEN(L_Role)+1)*LEN(L_Role)),0)</f>
        <v>0</v>
      </c>
      <c r="BT6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647,"revision",""),"version",""),"jan",""),"feb",""),"mar",""),"apr",""),"may",""),"jun",""),"jul",""),"aug",""),"sep",""),"oct",""),"nov",""),"dec",""),"utc",""),"gmt",""),"myt",""),"bst",""),"rev",""),"ver",""),"b","a"),"c","a"),"d","a"),"e","a"),"f","a"),"g","a"),"h","a"),"i","a"),"j","a"),"k","a"),"l","a"),"m","a"),"n","a"),"o","a"),"p","a"),"q","a"),"r","a"),"s","a"),"t","a"),"u","a"),"v","a"),"w","a"),"x","a"),"y","a"),"z","a")</f>
        <v/>
      </c>
      <c r="BU647" s="61" t="str">
        <f aca="false">SUBSTITUTE(SUBSTITUTE(SUBSTITUTE(SUBSTITUTE(SUBSTITUTE(SUBSTITUTE(SUBSTITUTE(SUBSTITUTE(SUBSTITUTE(SUBSTITUTE(LEFT(BM647,FIND("0",BM647&amp;"0")-1),"-",""),"_",""),"/",""),".",""),"#",""),"\\",""),":","")," ",""),"(",""),")","")</f>
        <v/>
      </c>
      <c r="BV647" s="61" t="n">
        <f aca="false">0</f>
        <v>0</v>
      </c>
      <c r="BW6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647&amp;""),"a",""),"b",""),"c",""),"d",""),"e",""),"f",""),"g",""),"h",""),"i",""),"j",""),"k",""),"l",""),"m",""),"n",""),"o",""),"p",""),"q",""),"r",""),"s",""),"t",""),"u",""),"v",""),"w",""),"x",""),"y",""),"z",""),"-",""),"_",""),"/",""),".",""),"#",""),"\\",""),":","")," ",""),"(",""),")","")</f>
        <v/>
      </c>
      <c r="BX647" s="61" t="str">
        <f aca="false">SUBSTITUTE(SUBSTITUTE(SUBSTITUTE(SUBSTITUTE(SUBSTITUTE(SUBSTITUTE(SUBSTITUTE(SUBSTITUTE(SUBSTITUTE(SUBSTITUTE(SUBSTITUTE(BM647,"0",""),"-",""),"_",""),"/",""),".",""),"#",""),"\\",""),":","")," ",""),"(",""),")","")</f>
        <v/>
      </c>
      <c r="BY647" s="62" t="n">
        <f aca="false">Q647-T7EarlyD*24/24</f>
        <v>46303.4375</v>
      </c>
      <c r="BZ647" s="61" t="n">
        <f aca="false">IFERROR(IF(IF(TRIM(S647)="Link / file path",AND(LEN(TRIM(Z647))&gt;=5,SUMPRODUCT(--ISNUMBER(SEARCH({"http","www.","\\",":\",".pdf",".jpg",".jpeg",".png",".heic",".xls",".doc",".msg",".eml",".ppt",".txt",".zip"},Z647)))&gt;0),AND(ISERROR(FIND(" ",TRIM(Z647))),NOT(OR(SUMPRODUCT(--ISNUMBER(FIND({",",";","&amp;","+"},Z647)))&gt;0,SUMPRODUCT(--ISNUMBER(SEARCH({"0/aa","0\\aa"},BN647)))&gt;0)),NOT(SUMPRODUCT(--ISNUMBER(SEARCH({"http","www.","\\",":\",".pdf",".jpg",".jpeg",".png",".heic",".xls",".doc",".msg",".eml",".ppt",".txt",".zip"},Z647)))&gt;0),NOT(LOWER(TRIM(Z647))=LOWER(Flights!$F$24)),ISNA(MATCH(BU647,{"mh","rev","revision","ver","version","v","r","a","b","seat","tray","row","gate","bay","stand","page","pg","item","line","no","cart","galley","flight","flt","table","box","bag","oven","etd","eta","std","sta","atd","ata","qty","pax","x","time","tel","ph","mob","day","wk","week","utc","gmt","myt","lt"},0)),NOT(OR(ISNUMBER(MATCH(LEFT(BN647,255),{"0000a","000a","00a","0000aa","000aa","00aa","0aa","0000aaa","000aaa","00a00","0a00","0000-0000","00:00","a00","a0","00.00.0000","00/00/0000","00-00-0000","0000-00-00","0000/00/00","0000.00.00","00.00.00","00/00/00","00-00-00","0.00.0000","0/00/0000","0-00-0000"},0)),ISNUMBER(MATCH(LEFT(BT647,255),{"0000a","000a","00a","0000aa","000aa","00aa","0aa","0000aaa","000aaa","00a00","0a00","0000-0000","00:00","a00","a0","00.00.0000","00/00/0000","00-00-0000","0000-00-00","0000/00/00","0000.00.00","00.00.00","00/00/00","00-00-00","0.00.0000","0/00/0000","0-00-0000"},0)))),NOT(OR(AND(BW647&lt;&gt;"",SUBSTITUTE(BW647,"0","")=""),AND(LEN(BW647)&gt;=4,BW647=REPT(LEFT(BW647),LEN(BW647))),ISNUMBER(MATCH(BW647,{"123","1234","12345","123456","1234567","12345678","0123","01234","012345","98765","987654","54321"},0)),ISNUMBER(MATCH(BX647,{"x","xx","xxx","xxxx","xxxxx","abc","abcd","nil","na","nan","test","tbc","tba","tbd","dummy","sample","example","eg","zz","zzz","none","null","xyz","qwe","asd","id","ref"},0)),AND(LEN(BW647)=8,BX647="",OR(LEFT(BW647,3)="202",ISNUMBER(MATCH(RIGHT(BW647,4),{"2025","2026","2027"},0)))))),OR(AND((LEN(BT647)-LEN(SUBSTITUTE(BT647,"a","")))&gt;=1,(LEN(BN647)-LEN(SUBSTITUTE(BN647,"0","")))&gt;=2,SUMPRODUCT(--ISNUMBER(SEARCH({"a0","a-0","a_0","a/0","a.0","a#0","0a","0-a","0_a","0/a"},BN647)))&gt;0),AND((LEN(BN647)-LEN(SUBSTITUTE(BN647,"a","")))=0,(LEN(BN647)-LEN(SUBSTITUTE(BN647,"0","")))&gt;=5)))),1,0),0)</f>
        <v>0</v>
      </c>
      <c r="CA6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647,"revision",""),"version",""),"jan",""),"feb",""),"mar",""),"apr",""),"may",""),"jun",""),"jul",""),"aug",""),"sep",""),"oct",""),"nov",""),"dec",""),"utc",""),"gmt",""),"myt",""),"bst",""),"rev",""),"ver",""),"b","a"),"c","a"),"d","a"),"e","a"),"f","a"),"g","a"),"h","a"),"i","a"),"j","a"),"k","a"),"l","a"),"m","a"),"n","a"),"o","a"),"p","a"),"q","a"),"r","a"),"s","a"),"t","a"),"u","a"),"v","a"),"w","a"),"x","a"),"y","a"),"z","a")</f>
        <v/>
      </c>
      <c r="CB6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647&amp;""),"a",""),"b",""),"c",""),"d",""),"e",""),"f",""),"g",""),"h",""),"i",""),"j",""),"k",""),"l",""),"m",""),"n",""),"o",""),"p",""),"q",""),"r",""),"s",""),"t",""),"u",""),"v",""),"w",""),"x",""),"y",""),"z",""),"-",""),"_",""),"/",""),".",""),"#",""),"\\",""),":","")," ",""),"(",""),")","")</f>
        <v/>
      </c>
      <c r="CC647" s="0" t="str">
        <f aca="false">" "&amp;TRIM(SUBSTITUTE(SUBSTITUTE(SUBSTITUTE(SUBSTITUTE(SUBSTITUTE(SUBSTITUTE(SUBSTITUTE(SUBSTITUTE(SUBSTITUTE(SUBSTITUTE(SUBSTITUTE(SUBSTITUTE(SUBSTITUTE(SUBSTITUTE(SUBSTITUTE(SUBSTITUTE(SUBSTITUTE(SUBSTITUTE(SUBSTITUTE(SUBSTITUTE(SUBSTITUTE(SUBSTITUTE(SUBSTITUTE(SUBSTITUTE(LOWER(T647&amp;""),CHAR(10)," "),CHAR(13)," "),CHAR(9)," "),CHAR(160)," "),"."," "),","," "),"-"," "),"/"," "),"("," "),")"," "),":"," "),";"," "),"_"," "),"–"," "),"?"," "),"!"," "),"*"," "),"["," "),"]"," "),"'"," "),"#"," "),"+"," "),"&amp;"," "),"\"," "))&amp;" "</f>
        <v>  </v>
      </c>
      <c r="CD647" s="0" t="str">
        <f aca="false">" "&amp;TRIM(SUBSTITUTE(SUBSTITUTE(SUBSTITUTE(SUBSTITUTE(SUBSTITUTE(SUBSTITUTE(SUBSTITUTE(SUBSTITUTE(SUBSTITUTE(SUBSTITUTE(SUBSTITUTE(SUBSTITUTE(SUBSTITUTE(SUBSTITUTE(SUBSTITUTE(SUBSTITUTE(SUBSTITUTE(SUBSTITUTE(SUBSTITUTE(SUBSTITUTE(SUBSTITUTE(SUBSTITUTE(SUBSTITUTE(SUBSTITUTE(LOWER(AE647&amp;""),CHAR(10)," "),CHAR(13)," "),CHAR(9)," "),CHAR(160)," "),"."," "),","," "),"-"," "),"/"," "),"("," "),")"," "),":"," "),";"," "),"_"," "),"–"," "),"?"," "),"!"," "),"*"," "),"["," "),"]"," "),"'"," "),"#"," "),"+"," "),"&amp;"," "),"\"," "))&amp;" "</f>
        <v>  </v>
      </c>
      <c r="CE647" s="68" t="n">
        <f aca="false">IFERROR(IF(AND(LEN(AU647)&gt;0,LEN(AU647)=LEN(AX647),OR(TRIM(MID(SUBSTITUTE(TRIM(CC647)," ",REPT(" ",60)),1,60))="",ISNUMBER(SEARCH(" "&amp;TRIM(MID(SUBSTITUTE(TRIM(CC647)," ",REPT(" ",60)),1,60))&amp;" ",CD647))),OR(TRIM(MID(SUBSTITUTE(TRIM(CC647)," ",REPT(" ",60)),61,60))="",ISNUMBER(SEARCH(" "&amp;TRIM(MID(SUBSTITUTE(TRIM(CC647)," ",REPT(" ",60)),61,60))&amp;" ",CD647))),OR(TRIM(MID(SUBSTITUTE(TRIM(CC647)," ",REPT(" ",60)),121,60))="",ISNUMBER(SEARCH(" "&amp;TRIM(MID(SUBSTITUTE(TRIM(CC647)," ",REPT(" ",60)),121,60))&amp;" ",CD647)))),1,0),0)</f>
        <v>0</v>
      </c>
      <c r="CG647" s="68" t="n">
        <f aca="false">IFERROR(LEN(SUBSTITUTE(BF647," ",""))-SUMPRODUCT((LEN(BF647)-LEN(SUBSTITUTE(BF647," "&amp;L_NAFiller&amp;" "," ")))/(LEN(L_NAFiller)+1)*LEN(L_NAFiller)),0)</f>
        <v>0</v>
      </c>
    </row>
    <row r="648" customFormat="false" ht="39.75" hidden="false" customHeight="true" outlineLevel="0" collapsed="false">
      <c r="A648" s="57" t="s">
        <v>1366</v>
      </c>
      <c r="B648" s="57" t="s">
        <v>304</v>
      </c>
      <c r="C648" s="57" t="str">
        <f aca="false">Flights!$F$24</f>
        <v>MH1450</v>
      </c>
      <c r="D648" s="58" t="n">
        <f aca="false">Flights!$D$24</f>
        <v>46324</v>
      </c>
      <c r="E648" s="57" t="str">
        <f aca="false">Flights!$G$24&amp;"-"&amp;Flights!$H$24</f>
        <v>KUL-LGK</v>
      </c>
      <c r="F648" s="57" t="str">
        <f aca="false">Flights!$K$24</f>
        <v>EY</v>
      </c>
      <c r="G648" s="57" t="s">
        <v>81</v>
      </c>
      <c r="H648" s="57" t="s">
        <v>378</v>
      </c>
      <c r="I648" s="57" t="s">
        <v>398</v>
      </c>
      <c r="J648" s="57" t="s">
        <v>399</v>
      </c>
      <c r="K648" s="67" t="s">
        <v>400</v>
      </c>
      <c r="L648" s="67" t="s">
        <v>382</v>
      </c>
      <c r="M648" s="67"/>
      <c r="N648" s="67" t="s">
        <v>383</v>
      </c>
      <c r="O648" s="67"/>
      <c r="P648" s="57" t="s">
        <v>187</v>
      </c>
      <c r="Q648" s="59" t="n">
        <f aca="false">ROUND((Flights!$AC$24)*1440,0)/1440</f>
        <v>46317.4375</v>
      </c>
      <c r="R648" s="59" t="n">
        <f aca="false">Q648+(IF(AND(INDEX(TZ_DSTS,MATCH(P648,TZ_STN,0))&lt;&gt;"",Q648&gt;=INDEX(TZ_DSTS,MATCH(P648,TZ_STN,0)),Q648&lt;INDEX(TZ_DSTE,MATCH(P648,TZ_STN,0))),INDEX(TZ_DST,MATCH(P648,TZ_STN,0)),INDEX(TZ_STD,MATCH(P648,TZ_STN,0))))/24</f>
        <v>46317.7708333333</v>
      </c>
      <c r="S648" s="60"/>
      <c r="T648" s="60"/>
      <c r="U648" s="60"/>
      <c r="V648" s="60"/>
      <c r="W648" s="61"/>
      <c r="X648" s="60"/>
      <c r="Y648" s="60"/>
      <c r="Z648" s="60"/>
      <c r="AA648" s="60"/>
      <c r="AB648" s="60"/>
      <c r="AC648" s="60"/>
      <c r="AD648" s="66"/>
      <c r="AE648" s="60"/>
      <c r="AF648" s="61" t="str">
        <f aca="false">IF(AND(ISNUMBER(X648),ISNUMBER(Y648)),Y648-X648,"")</f>
        <v/>
      </c>
      <c r="AG648" s="62" t="str">
        <f aca="false">IF(ISNUMBER(AD648),AD648-(IF(AND(INDEX(TZ_DSTS,MATCH(P648,TZ_STN,0))&lt;&gt;"",(AD648-INDEX(TZ_STD,MATCH(P648,TZ_STN,0))/24)&gt;=INDEX(TZ_DSTS,MATCH(P648,TZ_STN,0)),(AD648-INDEX(TZ_STD,MATCH(P648,TZ_STN,0))/24)&lt;INDEX(TZ_DSTE,MATCH(P648,TZ_STN,0))),INDEX(TZ_DST,MATCH(P648,TZ_STN,0)),INDEX(TZ_STD,MATCH(P648,TZ_STN,0))))/24,"")</f>
        <v/>
      </c>
      <c r="AH648" s="65" t="str">
        <f aca="false">IFERROR(IF(N648="N/A – rule",IF(OR(TRIM(U648)="",TRIM(U648)="N/A",TRIM(U648)="Not started"),"N/A – RULE","INVALID – this check does not apply to this aircraft: clear the status (or correct the fleet on Flights)"),IF(TRIM(U648)="N/A",IF(AT648=0,"INVALID – N/A not permitted for this check",IF(AND(TRIM(AB648)&lt;&gt;"",TRIM(AB648)&lt;&gt;"Closed"),"INVALID – corrective action still open",IF(AND(NOT(OR(LEN(AZ648)&lt;15,ISNUMBER(MATCH(AZ648,L_Placeholder,0)))),BK648=0,CG648&gt;=8,NOT(OR(LEN(AU648)&lt;2,ISNUMBER(MATCH(AU648,L_Placeholder,0)))),BR648&gt;=3,NOT(OR(LEN(AX648)&lt;2,ISNUMBER(MATCH(AX648,L_Placeholder,0)))),BS648&gt;=3,TRIM(AE648)&lt;&gt;TRIM(T648),AX648&lt;&gt;AU648,CE648=0),"N/A – JUSTIFIED","INVALID – N/A needs a real, settled reason (not 'not applicable' / 'as above' / TBC), a named PIC and a different named verifier"))),IF(OR(TRIM(U648)="Pass",TRIM(U648)="Pass after CA"),IF(NOT(ISNUMBER(AD648)),"INVALID – completion time missing",IF(OR(OR(LEN(AU648)&lt;2,ISNUMBER(MATCH(AU648,L_Placeholder,0))),BR648&lt;3),"INVALID – PIC missing or not a named person (a role such as QA / CSM is not a name)",IF(OR(LEN(AV648)&lt;2,ISNUMBER(MATCH(AV648,L_Placeholder,0))),"INVALID – result / assessment missing",IF(OR(OR(LEN(AW648)&lt;3,ISNUMBER(MATCH(AW648,L_Placeholder,0))),SUMPRODUCT(--ISNUMBER(SEARCH(" "&amp;L_EvidencePhrase&amp;" ",BD648)))&gt;0,BI648=1),"INVALID – evidence missing, placeholder or not yet on file",IF(ISNA(MATCH(TRIM(S648),L_EvidenceType,0)),"INVALID – choose the evidence type from the list (column S)",IF(BL648=0,"INVALID – evidence ID must be the record's own ID only (e.g. SF-2210, IMG_2231, 1045521); a link / file name needs type 'Link / file path'",IF(OR(OR(LEN(AX648)&lt;2,ISNUMBER(MATCH(AX648,L_Placeholder,0))),BS648&lt;3),"INVALID – verifier missing or not a named person (a role such as QA / CSM is not a name)",IF(OR(AX648=AU648,CE648=1,AND(LEN(AU648)&gt;=4,ISNUMBER(SEARCH(AU648,AX648))),AND(LEN(AX648)&gt;=4,ISNUMBER(SEARCH(AX648,AU648)))),"INVALID – verifier must be a different, named person (not the PIC or a role)",IF(BH648=1,"INVALID – result not yet available (awaiting / TBC)",IF(BG648=1,"INVALID – result describes a problem: record Fail, then Pass after CA (or reword if it is not a problem)",IF(BV648=1,"INVALID – wording says not on board: an on-board confirmation needs the item loaded",IF(AND(AQ648=1,OR(OR(LEN(AY648)&lt;3,ISNUMBER(MATCH(AY648,L_Placeholder,0))),BJ648=1,BQ648=0)),"INVALID – batch ID missing, placeholder or not an ID (e.g. PASB-261008-BC-017)",IF(AND(AR648=1,OR(NOT(ISNUMBER(X648)),NOT(ISNUMBER(Y648)))),"INVALID – expected/actual qty missing",IF(AND(AR648=1,OR(X648&lt;=0,Y648&lt;0)),"INVALID – expected qty must be above 0 and actual not negative",IF(BB648&lt;&gt;"",BB648,IF(AND(AS648=1,Documents!$J$24&lt;&gt;"ON FILE"),"INVALID – GLD not on file (Documents sheet)",IF(AND(AS648=2,Documents!$O$24&lt;&gt;"ON FILE"),"INVALID – menu checklist not on file (Documents sheet)",IF(AND(AS648=3,NOT(ISNUMBER(Flights!$AX$24))),"INVALID – enter carrying flight KUL departure (Flights AX)",IF(AND(AS648=3,OR(Flights!$AZ$24&gt;Flights!$AA$24,Flights!$AX$24&lt;Flights!$AA$24-3)),"INVALID – carrying flight (Flights AX) cannot arrive before this leg's STD, or is over 3 days early",IF(AG648&gt;AsOfUTC,"INVALID – completion time is in the future",IF(AND(ISNUMBER(BY648),AG648&lt;BY648),IF(H648="Physical uplift","INVALID – before uplift window (cannot confirm loading)","INVALID – before valid window"),IF(AG648&gt;Flights!$AA$24,"INVALID – completed after departure (cannot establish readiness)",IF(AND(H648="Preparation",AG648&gt;=IF(ISNUMBER(Flights!$BA$24),MIN(Flights!$BA$24,Flights!$AA$24),Flights!$AA$24)),"INVALID – completed after loading / departure (cannot establish readiness)",IF(AND(H648="Physical uplift",AG648&gt;Q648),"INVALID – recorded after the loading flight departed",IF(AG648&gt;Q648,"COMPLETE – LATE","COMPLETE"))))))))))))))))))))))))),IF(TRIM(U648)="Fail","FAIL – DISCREPANCY",IF(AND(TRIM(U648)&lt;&gt;"",TRIM(U648)&lt;&gt;"Not started",TRIM(U648)&lt;&gt;"In progress"),"INVALID – unrecognised status (use the list)",IF(AsOfUTC&gt;Q648,"OVERDUE",IF(N648="Clarification required","OPEN – CLARIFICATION","OPEN"))))))),"INVALID – error value in an input cell")</f>
        <v>OPEN</v>
      </c>
      <c r="AI648" s="61" t="n">
        <f aca="false">IF(OR(AH648="N/A – RULE",AH648="N/A – JUSTIFIED"),0,1)</f>
        <v>1</v>
      </c>
      <c r="AJ648" s="61" t="n">
        <f aca="false">IF(LEFT(AH648,8)="COMPLETE",1,0)</f>
        <v>0</v>
      </c>
      <c r="AK648" s="61" t="n">
        <f aca="false">IF(AND(AI648=1,AJ648=0,AsOfUTC&gt;Q648),1,0)</f>
        <v>0</v>
      </c>
      <c r="AL648" s="61" t="n">
        <f aca="false">IFERROR(IF(AND(AI648=1,OR(TRIM(U648)="Fail",AND(TRIM(AB648)&lt;&gt;"",TRIM(AB648)&lt;&gt;"Closed"),AND(ISNUMBER(AF648),AF648&lt;&gt;0,TRIM(U648)&lt;&gt;"Pass after CA"))),1,0),1)</f>
        <v>0</v>
      </c>
      <c r="AM648" s="61" t="n">
        <f aca="false">IF(LEFT(AH648,7)="INVALID",1,0)</f>
        <v>0</v>
      </c>
      <c r="AN648" s="61" t="n">
        <f aca="false">IF(AND(N648="Clarification required",AI648=1,AJ648=0),1,0)</f>
        <v>0</v>
      </c>
      <c r="AO648" s="61" t="str">
        <f aca="false">IF(AK648=1,SUM(AK$5:AK648),"")</f>
        <v/>
      </c>
      <c r="AP648" s="61" t="str">
        <f aca="false">IF(AL648=1,SUM(AL$5:AL648),"")</f>
        <v/>
      </c>
      <c r="AQ648" s="61" t="n">
        <v>0</v>
      </c>
      <c r="AR648" s="61" t="n">
        <v>0</v>
      </c>
      <c r="AS648" s="61" t="n">
        <v>0</v>
      </c>
      <c r="AT648" s="61" t="n">
        <v>0</v>
      </c>
      <c r="AU648" s="61" t="str">
        <f aca="false">SUBSTITUTE(SUBSTITUTE(SUBSTITUTE(SUBSTITUTE(SUBSTITUTE(SUBSTITUTE(SUBSTITUTE(SUBSTITUTE(SUBSTITUTE(SUBSTITUTE(SUBSTITUTE(SUBSTITUTE(SUBSTITUTE(SUBSTITUTE(SUBSTITUTE(SUBSTITUTE(LOWER(T648&amp;""),CHAR(10),""),CHAR(13),""),CHAR(9),""),CHAR(160),"")," ",""),".",""),"-",""),"/",""),"?",""),"_",""),",",""),"[",""),"]",""),"(",""),")",""),"*","")</f>
        <v/>
      </c>
      <c r="AV648" s="61" t="str">
        <f aca="false">SUBSTITUTE(SUBSTITUTE(SUBSTITUTE(SUBSTITUTE(SUBSTITUTE(SUBSTITUTE(SUBSTITUTE(SUBSTITUTE(SUBSTITUTE(SUBSTITUTE(SUBSTITUTE(SUBSTITUTE(SUBSTITUTE(SUBSTITUTE(SUBSTITUTE(SUBSTITUTE(LOWER(V648&amp;""),CHAR(10),""),CHAR(13),""),CHAR(9),""),CHAR(160),"")," ",""),".",""),"-",""),"/",""),"?",""),"_",""),",",""),"[",""),"]",""),"(",""),")",""),"*","")</f>
        <v/>
      </c>
      <c r="AW648" s="61" t="str">
        <f aca="false">SUBSTITUTE(SUBSTITUTE(SUBSTITUTE(SUBSTITUTE(SUBSTITUTE(SUBSTITUTE(SUBSTITUTE(SUBSTITUTE(SUBSTITUTE(SUBSTITUTE(SUBSTITUTE(SUBSTITUTE(SUBSTITUTE(SUBSTITUTE(SUBSTITUTE(SUBSTITUTE(LOWER(Z648&amp;""),CHAR(10),""),CHAR(13),""),CHAR(9),""),CHAR(160),"")," ",""),".",""),"-",""),"/",""),"?",""),"_",""),",",""),"[",""),"]",""),"(",""),")",""),"*","")</f>
        <v/>
      </c>
      <c r="AX648" s="61" t="str">
        <f aca="false">SUBSTITUTE(SUBSTITUTE(SUBSTITUTE(SUBSTITUTE(SUBSTITUTE(SUBSTITUTE(SUBSTITUTE(SUBSTITUTE(SUBSTITUTE(SUBSTITUTE(SUBSTITUTE(SUBSTITUTE(SUBSTITUTE(SUBSTITUTE(SUBSTITUTE(SUBSTITUTE(LOWER(AE648&amp;""),CHAR(10),""),CHAR(13),""),CHAR(9),""),CHAR(160),"")," ",""),".",""),"-",""),"/",""),"?",""),"_",""),",",""),"[",""),"]",""),"(",""),")",""),"*","")</f>
        <v/>
      </c>
      <c r="AY648" s="61" t="str">
        <f aca="false">SUBSTITUTE(SUBSTITUTE(SUBSTITUTE(SUBSTITUTE(SUBSTITUTE(SUBSTITUTE(SUBSTITUTE(SUBSTITUTE(SUBSTITUTE(SUBSTITUTE(SUBSTITUTE(SUBSTITUTE(SUBSTITUTE(SUBSTITUTE(SUBSTITUTE(SUBSTITUTE(LOWER(W648&amp;""),CHAR(10),""),CHAR(13),""),CHAR(9),""),CHAR(160),"")," ",""),".",""),"-",""),"/",""),"?",""),"_",""),",",""),"[",""),"]",""),"(",""),")",""),"*","")</f>
        <v/>
      </c>
      <c r="AZ648" s="61" t="str">
        <f aca="false">SUBSTITUTE(SUBSTITUTE(SUBSTITUTE(SUBSTITUTE(SUBSTITUTE(SUBSTITUTE(SUBSTITUTE(SUBSTITUTE(SUBSTITUTE(SUBSTITUTE(SUBSTITUTE(SUBSTITUTE(SUBSTITUTE(SUBSTITUTE(SUBSTITUTE(SUBSTITUTE(LOWER(AC648&amp;""),CHAR(10),""),CHAR(13),""),CHAR(9),""),CHAR(160),"")," ",""),".",""),"-",""),"/",""),"?",""),"_",""),",",""),"[",""),"]",""),"(",""),")",""),"*","")</f>
        <v/>
      </c>
      <c r="BA648" s="61" t="str">
        <f aca="false">SUBSTITUTE(SUBSTITUTE(SUBSTITUTE(SUBSTITUTE(SUBSTITUTE(SUBSTITUTE(SUBSTITUTE(SUBSTITUTE(SUBSTITUTE(SUBSTITUTE(SUBSTITUTE(SUBSTITUTE(SUBSTITUTE(SUBSTITUTE(SUBSTITUTE(SUBSTITUTE(LOWER(AA648&amp;""),CHAR(10),""),CHAR(13),""),CHAR(9),""),CHAR(160),"")," ",""),".",""),"-",""),"/",""),"?",""),"_",""),",",""),"[",""),"]",""),"(",""),")",""),"*","")</f>
        <v/>
      </c>
      <c r="BB648" s="61" t="str">
        <f aca="false">IF(AND(TRIM(U648)="Pass",ISNUMBER(AF648)),IF(AF648&lt;&gt;0,"INVALID – qty variance: use Fail or Pass after CA",""),"")&amp;IF(AND(TRIM(U648)="Pass after CA",ISNUMBER(AF648)),IF(AF648&lt;&gt;0,"INVALID – after the corrective action the actual qty must equal expected (update Actual)",""),"")&amp;IF(AND(TRIM(U648)="Pass",TRIM(AB648)&lt;&gt;"",TRIM(AB648)&lt;&gt;"Closed"),"INVALID – corrective action not closed: use Fail, then Pass after CA","")&amp;IF(AND(LEN(BA648)&gt;=2,ISNA(MATCH(LEFT(BA648,255),L_Placeholder,0)),TRIM(AB648)=""),"INVALID – CA status missing for the recorded corrective action","")&amp;IF(AND(TRIM(U648)="Pass after CA",OR(OR(LEN(BA648)&lt;5,ISNUMBER(MATCH(BA648,L_Placeholder,0))),TRIM(AB648)&lt;&gt;"Closed")),"INVALID – corrective action not recorded/closed","")</f>
        <v/>
      </c>
      <c r="BC648" s="61" t="str">
        <f aca="false">" "&amp;TRIM(SUBSTITUTE(SUBSTITUTE(SUBSTITUTE(SUBSTITUTE(SUBSTITUTE(SUBSTITUTE(SUBSTITUTE(SUBSTITUTE(SUBSTITUTE(SUBSTITUTE(SUBSTITUTE(SUBSTITUTE(SUBSTITUTE(SUBSTITUTE(SUBSTITUTE(SUBSTITUTE(SUBSTITUTE(SUBSTITUTE(SUBSTITUTE(SUBSTITUTE(SUBSTITUTE(SUBSTITUTE(SUBSTITUTE(SUBSTITUTE(LOWER(V648&amp;""),CHAR(10)," "),CHAR(13)," "),CHAR(9)," "),CHAR(160)," "),"."," "),","," "),"-"," "),"/"," "),"("," "),")"," "),":"," "),";"," "),"_"," "),"–"," "),"?"," "),"!"," "),"*"," "),"["," "),"]"," "),"'"," "),"#"," "),"+"," "),"&amp;"," "),"\"," "))&amp;" "</f>
        <v>  </v>
      </c>
      <c r="BD648" s="61" t="str">
        <f aca="false">" "&amp;TRIM(SUBSTITUTE(SUBSTITUTE(SUBSTITUTE(SUBSTITUTE(SUBSTITUTE(SUBSTITUTE(SUBSTITUTE(SUBSTITUTE(SUBSTITUTE(SUBSTITUTE(SUBSTITUTE(SUBSTITUTE(SUBSTITUTE(SUBSTITUTE(SUBSTITUTE(SUBSTITUTE(SUBSTITUTE(SUBSTITUTE(SUBSTITUTE(SUBSTITUTE(SUBSTITUTE(SUBSTITUTE(SUBSTITUTE(SUBSTITUTE(LOWER(Z648&amp;""),CHAR(10)," "),CHAR(13)," "),CHAR(9)," "),CHAR(160)," "),"."," "),","," "),"-"," "),"/"," "),"("," "),")"," "),":"," "),";"," "),"_"," "),"–"," "),"?"," "),"!"," "),"*"," "),"["," "),"]"," "),"'"," "),"#"," "),"+"," "),"&amp;"," "),"\"," "))&amp;" "</f>
        <v>  </v>
      </c>
      <c r="BE648" s="61" t="str">
        <f aca="false">" "&amp;TRIM(SUBSTITUTE(SUBSTITUTE(SUBSTITUTE(SUBSTITUTE(SUBSTITUTE(SUBSTITUTE(SUBSTITUTE(SUBSTITUTE(SUBSTITUTE(SUBSTITUTE(SUBSTITUTE(SUBSTITUTE(SUBSTITUTE(SUBSTITUTE(SUBSTITUTE(SUBSTITUTE(SUBSTITUTE(SUBSTITUTE(SUBSTITUTE(SUBSTITUTE(SUBSTITUTE(SUBSTITUTE(SUBSTITUTE(SUBSTITUTE(LOWER(W648&amp;""),CHAR(10)," "),CHAR(13)," "),CHAR(9)," "),CHAR(160)," "),"."," "),","," "),"-"," "),"/"," "),"("," "),")"," "),":"," "),";"," "),"_"," "),"–"," "),"?"," "),"!"," "),"*"," "),"["," "),"]"," "),"'"," "),"#"," "),"+"," "),"&amp;"," "),"\"," "))&amp;" "</f>
        <v>  </v>
      </c>
      <c r="BF648" s="61" t="str">
        <f aca="false">" "&amp;TRIM(SUBSTITUTE(SUBSTITUTE(SUBSTITUTE(SUBSTITUTE(SUBSTITUTE(SUBSTITUTE(SUBSTITUTE(SUBSTITUTE(SUBSTITUTE(SUBSTITUTE(SUBSTITUTE(SUBSTITUTE(SUBSTITUTE(SUBSTITUTE(SUBSTITUTE(SUBSTITUTE(SUBSTITUTE(SUBSTITUTE(SUBSTITUTE(SUBSTITUTE(SUBSTITUTE(SUBSTITUTE(SUBSTITUTE(SUBSTITUTE(LOWER(AC648&amp;""),CHAR(10)," "),CHAR(13)," "),CHAR(9)," "),CHAR(160)," "),"."," "),","," "),"-"," "),"/"," "),"("," "),")"," "),":"," "),";"," "),"_"," "),"–"," "),"?"," "),"!"," "),"*"," "),"["," "),"]"," "),"'"," "),"#"," "),"+"," "),"&amp;"," "),"\"," "))&amp;" "</f>
        <v>  </v>
      </c>
      <c r="BG648" s="61" t="n">
        <f aca="false">IFERROR(IF(AND(TRIM(U648)="Pass",SUMPRODUCT((LEN(BC648)-LEN(SUBSTITUTE(BC648," "&amp;L_ResultBad&amp;" "," ")))/(LEN(L_ResultBad)+1))&gt;SUMPRODUCT((LEN(BC648)-LEN(SUBSTITUTE(BC648," "&amp;L_NegPhrase&amp;" "," ")))/(LEN(L_NegPhrase)+1))),1,0),0)</f>
        <v>0</v>
      </c>
      <c r="BH648" s="61" t="n">
        <f aca="false">IFERROR(IF(SUMPRODUCT((LEN(BC648)-LEN(SUBSTITUTE(BC648," "&amp;L_Pending&amp;" "," ")))/(LEN(L_Pending)+1))&gt;SUMPRODUCT((LEN(BC648)-LEN(SUBSTITUTE(BC648," "&amp;L_PendNeg&amp;" "," ")))/(LEN(L_PendNeg)+1))+SUMPRODUCT((LEN(BC648)-LEN(SUBSTITUTE(BC648," "&amp;L_PendPrep&amp;" "," ")))/(LEN(L_PendPrep)+1)),1,0),1)</f>
        <v>0</v>
      </c>
      <c r="BI648" s="61" t="n">
        <f aca="false">IFERROR(IF(SUMPRODUCT((LEN(BD648)-LEN(SUBSTITUTE(BD648," "&amp;L_PendStrict&amp;" "," ")))/(LEN(L_PendStrict)+1))&gt;SUMPRODUCT((LEN(BD648)-LEN(SUBSTITUTE(BD648," "&amp;L_PendNeg&amp;" "," ")))/(LEN(L_PendNeg)+1)),1,0),1)</f>
        <v>0</v>
      </c>
      <c r="BJ648" s="61" t="n">
        <f aca="false">IFERROR(IF(SUMPRODUCT((LEN(BE648)-LEN(SUBSTITUTE(BE648," "&amp;L_Pending&amp;" "," ")))/(LEN(L_Pending)+1))&gt;SUMPRODUCT((LEN(BE648)-LEN(SUBSTITUTE(BE648," "&amp;L_PendNeg&amp;" "," ")))/(LEN(L_PendNeg)+1))+SUMPRODUCT((LEN(BE648)-LEN(SUBSTITUTE(BE648," "&amp;L_PendPrep&amp;" "," ")))/(LEN(L_PendPrep)+1)),1,0),1)</f>
        <v>0</v>
      </c>
      <c r="BK648" s="61" t="n">
        <f aca="false">IFERROR(IF(SUMPRODUCT((LEN(BF648)-LEN(SUBSTITUTE(BF648," "&amp;L_PendStrict&amp;" "," ")))/(LEN(L_PendStrict)+1))&gt;SUMPRODUCT((LEN(BF648)-LEN(SUBSTITUTE(BF648," "&amp;L_PendNeg&amp;" "," ")))/(LEN(L_PendNeg)+1)),1,0),1)</f>
        <v>0</v>
      </c>
      <c r="BL648" s="61" t="n">
        <f aca="false">IF(ISNA(MATCH(TRIM(S648),L_EvidenceType,0)),0,BZ648)</f>
        <v>0</v>
      </c>
      <c r="BM648" s="61" t="str">
        <f aca="false">SUBSTITUTE(SUBSTITUTE(SUBSTITUTE(SUBSTITUTE(SUBSTITUTE(SUBSTITUTE(SUBSTITUTE(SUBSTITUTE(SUBSTITUTE(LOWER(Z648&amp;""),"1","0"),"2","0"),"3","0"),"4","0"),"5","0"),"6","0"),"7","0"),"8","0"),"9","0")</f>
        <v/>
      </c>
      <c r="BN648" s="61" t="str">
        <f aca="false">SUBSTITUTE(SUBSTITUTE(SUBSTITUTE(SUBSTITUTE(SUBSTITUTE(SUBSTITUTE(SUBSTITUTE(SUBSTITUTE(SUBSTITUTE(SUBSTITUTE(SUBSTITUTE(SUBSTITUTE(SUBSTITUTE(SUBSTITUTE(SUBSTITUTE(SUBSTITUTE(SUBSTITUTE(SUBSTITUTE(SUBSTITUTE(SUBSTITUTE(SUBSTITUTE(SUBSTITUTE(SUBSTITUTE(SUBSTITUTE(SUBSTITUTE(BM648,"b","a"),"c","a"),"d","a"),"e","a"),"f","a"),"g","a"),"h","a"),"i","a"),"j","a"),"k","a"),"l","a"),"m","a"),"n","a"),"o","a"),"p","a"),"q","a"),"r","a"),"s","a"),"t","a"),"u","a"),"v","a"),"w","a"),"x","a"),"y","a"),"z","a")</f>
        <v/>
      </c>
      <c r="BO648" s="61" t="str">
        <f aca="false">SUBSTITUTE(SUBSTITUTE(SUBSTITUTE(SUBSTITUTE(SUBSTITUTE(SUBSTITUTE(SUBSTITUTE(SUBSTITUTE(SUBSTITUTE(LOWER(W648&amp;""),"1","0"),"2","0"),"3","0"),"4","0"),"5","0"),"6","0"),"7","0"),"8","0"),"9","0")</f>
        <v/>
      </c>
      <c r="BP648" s="61" t="str">
        <f aca="false">SUBSTITUTE(SUBSTITUTE(SUBSTITUTE(SUBSTITUTE(SUBSTITUTE(SUBSTITUTE(SUBSTITUTE(SUBSTITUTE(SUBSTITUTE(SUBSTITUTE(SUBSTITUTE(SUBSTITUTE(SUBSTITUTE(SUBSTITUTE(SUBSTITUTE(SUBSTITUTE(SUBSTITUTE(SUBSTITUTE(SUBSTITUTE(SUBSTITUTE(SUBSTITUTE(SUBSTITUTE(SUBSTITUTE(SUBSTITUTE(SUBSTITUTE(BO648,"b","a"),"c","a"),"d","a"),"e","a"),"f","a"),"g","a"),"h","a"),"i","a"),"j","a"),"k","a"),"l","a"),"m","a"),"n","a"),"o","a"),"p","a"),"q","a"),"r","a"),"s","a"),"t","a"),"u","a"),"v","a"),"w","a"),"x","a"),"y","a"),"z","a")</f>
        <v/>
      </c>
      <c r="BQ648" s="61" t="n">
        <f aca="false">IFERROR(IF(AND(ISERROR(SEARCH(" mh"," "&amp;LOWER(W648))),ISNA(MATCH(LEFT(TRIM(BP648),255),{"0000a","000a","00a","0000aa","000aa","00aa","0aa","0000aaa","000aaa","00a00","0a00","0000-0000","00:00","a00","a0","00.00.0000","00/00/0000","00-00-0000","0000-00-00","0000/00/00","0000.00.00","00.00.00","00/00/00","00-00-00","0.00.0000","0/00/0000","0-00-0000"},0)),ISNA(MATCH(LEFT(TRIM(CA648),255),{"0000a","000a","00a","0000aa","000aa","00aa","0aa","0000aaa","000aaa","00a00","0a00","0000-0000","00:00","a00","a0","00.00.0000","00/00/0000","00-00-0000","0000-00-00","0000/00/00","0000.00.00","00.00.00","00/00/00","00-00-00","0.00.0000","0/00/0000","0-00-0000"},0)),LEN(CB648)&gt;=3,NOT(OR(SUBSTITUTE(CB648,"0","")="",AND(LEN(CB648)&gt;=4,CB648=REPT(LEFT(CB648),LEN(CB648))),ISNUMBER(MATCH(CB648,{"123","1234","12345","123456","1234567","12345678","0123","01234","012345","98765","987654","54321"},0)),AND(LEN(CB648)=8,LEFT(CB648,3)="202"))),OR(AND((LEN(CA648)-LEN(SUBSTITUTE(CA648,"a","")))&gt;=1,SUMPRODUCT(--ISNUMBER(SEARCH({"a0","a-0","a_0","a/0","a.0","a#0","0a","0-a","0_a","0/a"},BP648)))&gt;0),ISNUMBER(SEARCH("000000",BP648)))),1,0),0)</f>
        <v>0</v>
      </c>
      <c r="BR648" s="61" t="n">
        <f aca="false">IFERROR(LEN(SUBSTITUTE(CC648," ",""))-SUMPRODUCT((LEN(CC648)-LEN(SUBSTITUTE(CC648," "&amp;L_Role&amp;" "," ")))/(LEN(L_Role)+1)*LEN(L_Role)),0)</f>
        <v>0</v>
      </c>
      <c r="BS648" s="61" t="n">
        <f aca="false">IFERROR(LEN(SUBSTITUTE(CD648," ",""))-SUMPRODUCT((LEN(CD648)-LEN(SUBSTITUTE(CD648," "&amp;L_Role&amp;" "," ")))/(LEN(L_Role)+1)*LEN(L_Role)),0)</f>
        <v>0</v>
      </c>
      <c r="BT6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648,"revision",""),"version",""),"jan",""),"feb",""),"mar",""),"apr",""),"may",""),"jun",""),"jul",""),"aug",""),"sep",""),"oct",""),"nov",""),"dec",""),"utc",""),"gmt",""),"myt",""),"bst",""),"rev",""),"ver",""),"b","a"),"c","a"),"d","a"),"e","a"),"f","a"),"g","a"),"h","a"),"i","a"),"j","a"),"k","a"),"l","a"),"m","a"),"n","a"),"o","a"),"p","a"),"q","a"),"r","a"),"s","a"),"t","a"),"u","a"),"v","a"),"w","a"),"x","a"),"y","a"),"z","a")</f>
        <v/>
      </c>
      <c r="BU648" s="61" t="str">
        <f aca="false">SUBSTITUTE(SUBSTITUTE(SUBSTITUTE(SUBSTITUTE(SUBSTITUTE(SUBSTITUTE(SUBSTITUTE(SUBSTITUTE(SUBSTITUTE(SUBSTITUTE(LEFT(BM648,FIND("0",BM648&amp;"0")-1),"-",""),"_",""),"/",""),".",""),"#",""),"\\",""),":","")," ",""),"(",""),")","")</f>
        <v/>
      </c>
      <c r="BV648" s="61" t="n">
        <f aca="false">0</f>
        <v>0</v>
      </c>
      <c r="BW6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648&amp;""),"a",""),"b",""),"c",""),"d",""),"e",""),"f",""),"g",""),"h",""),"i",""),"j",""),"k",""),"l",""),"m",""),"n",""),"o",""),"p",""),"q",""),"r",""),"s",""),"t",""),"u",""),"v",""),"w",""),"x",""),"y",""),"z",""),"-",""),"_",""),"/",""),".",""),"#",""),"\\",""),":","")," ",""),"(",""),")","")</f>
        <v/>
      </c>
      <c r="BX648" s="61" t="str">
        <f aca="false">SUBSTITUTE(SUBSTITUTE(SUBSTITUTE(SUBSTITUTE(SUBSTITUTE(SUBSTITUTE(SUBSTITUTE(SUBSTITUTE(SUBSTITUTE(SUBSTITUTE(SUBSTITUTE(BM648,"0",""),"-",""),"_",""),"/",""),".",""),"#",""),"\\",""),":","")," ",""),"(",""),")","")</f>
        <v/>
      </c>
      <c r="BY648" s="62" t="n">
        <f aca="false">Q648-T7EarlyD*24/24</f>
        <v>46303.4375</v>
      </c>
      <c r="BZ648" s="61" t="n">
        <f aca="false">IFERROR(IF(IF(TRIM(S648)="Link / file path",AND(LEN(TRIM(Z648))&gt;=5,SUMPRODUCT(--ISNUMBER(SEARCH({"http","www.","\\",":\",".pdf",".jpg",".jpeg",".png",".heic",".xls",".doc",".msg",".eml",".ppt",".txt",".zip"},Z648)))&gt;0),AND(ISERROR(FIND(" ",TRIM(Z648))),NOT(OR(SUMPRODUCT(--ISNUMBER(FIND({",",";","&amp;","+"},Z648)))&gt;0,SUMPRODUCT(--ISNUMBER(SEARCH({"0/aa","0\\aa"},BN648)))&gt;0)),NOT(SUMPRODUCT(--ISNUMBER(SEARCH({"http","www.","\\",":\",".pdf",".jpg",".jpeg",".png",".heic",".xls",".doc",".msg",".eml",".ppt",".txt",".zip"},Z648)))&gt;0),NOT(LOWER(TRIM(Z648))=LOWER(Flights!$F$24)),ISNA(MATCH(BU648,{"mh","rev","revision","ver","version","v","r","a","b","seat","tray","row","gate","bay","stand","page","pg","item","line","no","cart","galley","flight","flt","table","box","bag","oven","etd","eta","std","sta","atd","ata","qty","pax","x","time","tel","ph","mob","day","wk","week","utc","gmt","myt","lt"},0)),NOT(OR(ISNUMBER(MATCH(LEFT(BN648,255),{"0000a","000a","00a","0000aa","000aa","00aa","0aa","0000aaa","000aaa","00a00","0a00","0000-0000","00:00","a00","a0","00.00.0000","00/00/0000","00-00-0000","0000-00-00","0000/00/00","0000.00.00","00.00.00","00/00/00","00-00-00","0.00.0000","0/00/0000","0-00-0000"},0)),ISNUMBER(MATCH(LEFT(BT648,255),{"0000a","000a","00a","0000aa","000aa","00aa","0aa","0000aaa","000aaa","00a00","0a00","0000-0000","00:00","a00","a0","00.00.0000","00/00/0000","00-00-0000","0000-00-00","0000/00/00","0000.00.00","00.00.00","00/00/00","00-00-00","0.00.0000","0/00/0000","0-00-0000"},0)))),NOT(OR(AND(BW648&lt;&gt;"",SUBSTITUTE(BW648,"0","")=""),AND(LEN(BW648)&gt;=4,BW648=REPT(LEFT(BW648),LEN(BW648))),ISNUMBER(MATCH(BW648,{"123","1234","12345","123456","1234567","12345678","0123","01234","012345","98765","987654","54321"},0)),ISNUMBER(MATCH(BX648,{"x","xx","xxx","xxxx","xxxxx","abc","abcd","nil","na","nan","test","tbc","tba","tbd","dummy","sample","example","eg","zz","zzz","none","null","xyz","qwe","asd","id","ref"},0)),AND(LEN(BW648)=8,BX648="",OR(LEFT(BW648,3)="202",ISNUMBER(MATCH(RIGHT(BW648,4),{"2025","2026","2027"},0)))))),OR(AND((LEN(BT648)-LEN(SUBSTITUTE(BT648,"a","")))&gt;=1,(LEN(BN648)-LEN(SUBSTITUTE(BN648,"0","")))&gt;=2,SUMPRODUCT(--ISNUMBER(SEARCH({"a0","a-0","a_0","a/0","a.0","a#0","0a","0-a","0_a","0/a"},BN648)))&gt;0),AND((LEN(BN648)-LEN(SUBSTITUTE(BN648,"a","")))=0,(LEN(BN648)-LEN(SUBSTITUTE(BN648,"0","")))&gt;=5)))),1,0),0)</f>
        <v>0</v>
      </c>
      <c r="CA6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648,"revision",""),"version",""),"jan",""),"feb",""),"mar",""),"apr",""),"may",""),"jun",""),"jul",""),"aug",""),"sep",""),"oct",""),"nov",""),"dec",""),"utc",""),"gmt",""),"myt",""),"bst",""),"rev",""),"ver",""),"b","a"),"c","a"),"d","a"),"e","a"),"f","a"),"g","a"),"h","a"),"i","a"),"j","a"),"k","a"),"l","a"),"m","a"),"n","a"),"o","a"),"p","a"),"q","a"),"r","a"),"s","a"),"t","a"),"u","a"),"v","a"),"w","a"),"x","a"),"y","a"),"z","a")</f>
        <v/>
      </c>
      <c r="CB6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648&amp;""),"a",""),"b",""),"c",""),"d",""),"e",""),"f",""),"g",""),"h",""),"i",""),"j",""),"k",""),"l",""),"m",""),"n",""),"o",""),"p",""),"q",""),"r",""),"s",""),"t",""),"u",""),"v",""),"w",""),"x",""),"y",""),"z",""),"-",""),"_",""),"/",""),".",""),"#",""),"\\",""),":","")," ",""),"(",""),")","")</f>
        <v/>
      </c>
      <c r="CC648" s="0" t="str">
        <f aca="false">" "&amp;TRIM(SUBSTITUTE(SUBSTITUTE(SUBSTITUTE(SUBSTITUTE(SUBSTITUTE(SUBSTITUTE(SUBSTITUTE(SUBSTITUTE(SUBSTITUTE(SUBSTITUTE(SUBSTITUTE(SUBSTITUTE(SUBSTITUTE(SUBSTITUTE(SUBSTITUTE(SUBSTITUTE(SUBSTITUTE(SUBSTITUTE(SUBSTITUTE(SUBSTITUTE(SUBSTITUTE(SUBSTITUTE(SUBSTITUTE(SUBSTITUTE(LOWER(T648&amp;""),CHAR(10)," "),CHAR(13)," "),CHAR(9)," "),CHAR(160)," "),"."," "),","," "),"-"," "),"/"," "),"("," "),")"," "),":"," "),";"," "),"_"," "),"–"," "),"?"," "),"!"," "),"*"," "),"["," "),"]"," "),"'"," "),"#"," "),"+"," "),"&amp;"," "),"\"," "))&amp;" "</f>
        <v>  </v>
      </c>
      <c r="CD648" s="0" t="str">
        <f aca="false">" "&amp;TRIM(SUBSTITUTE(SUBSTITUTE(SUBSTITUTE(SUBSTITUTE(SUBSTITUTE(SUBSTITUTE(SUBSTITUTE(SUBSTITUTE(SUBSTITUTE(SUBSTITUTE(SUBSTITUTE(SUBSTITUTE(SUBSTITUTE(SUBSTITUTE(SUBSTITUTE(SUBSTITUTE(SUBSTITUTE(SUBSTITUTE(SUBSTITUTE(SUBSTITUTE(SUBSTITUTE(SUBSTITUTE(SUBSTITUTE(SUBSTITUTE(LOWER(AE648&amp;""),CHAR(10)," "),CHAR(13)," "),CHAR(9)," "),CHAR(160)," "),"."," "),","," "),"-"," "),"/"," "),"("," "),")"," "),":"," "),";"," "),"_"," "),"–"," "),"?"," "),"!"," "),"*"," "),"["," "),"]"," "),"'"," "),"#"," "),"+"," "),"&amp;"," "),"\"," "))&amp;" "</f>
        <v>  </v>
      </c>
      <c r="CE648" s="68" t="n">
        <f aca="false">IFERROR(IF(AND(LEN(AU648)&gt;0,LEN(AU648)=LEN(AX648),OR(TRIM(MID(SUBSTITUTE(TRIM(CC648)," ",REPT(" ",60)),1,60))="",ISNUMBER(SEARCH(" "&amp;TRIM(MID(SUBSTITUTE(TRIM(CC648)," ",REPT(" ",60)),1,60))&amp;" ",CD648))),OR(TRIM(MID(SUBSTITUTE(TRIM(CC648)," ",REPT(" ",60)),61,60))="",ISNUMBER(SEARCH(" "&amp;TRIM(MID(SUBSTITUTE(TRIM(CC648)," ",REPT(" ",60)),61,60))&amp;" ",CD648))),OR(TRIM(MID(SUBSTITUTE(TRIM(CC648)," ",REPT(" ",60)),121,60))="",ISNUMBER(SEARCH(" "&amp;TRIM(MID(SUBSTITUTE(TRIM(CC648)," ",REPT(" ",60)),121,60))&amp;" ",CD648)))),1,0),0)</f>
        <v>0</v>
      </c>
      <c r="CG648" s="68" t="n">
        <f aca="false">IFERROR(LEN(SUBSTITUTE(BF648," ",""))-SUMPRODUCT((LEN(BF648)-LEN(SUBSTITUTE(BF648," "&amp;L_NAFiller&amp;" "," ")))/(LEN(L_NAFiller)+1)*LEN(L_NAFiller)),0)</f>
        <v>0</v>
      </c>
    </row>
    <row r="649" customFormat="false" ht="39.75" hidden="false" customHeight="true" outlineLevel="0" collapsed="false">
      <c r="A649" s="57" t="s">
        <v>1367</v>
      </c>
      <c r="B649" s="57" t="s">
        <v>304</v>
      </c>
      <c r="C649" s="57" t="str">
        <f aca="false">Flights!$F$24</f>
        <v>MH1450</v>
      </c>
      <c r="D649" s="58" t="n">
        <f aca="false">Flights!$D$24</f>
        <v>46324</v>
      </c>
      <c r="E649" s="57" t="str">
        <f aca="false">Flights!$G$24&amp;"-"&amp;Flights!$H$24</f>
        <v>KUL-LGK</v>
      </c>
      <c r="F649" s="57" t="str">
        <f aca="false">Flights!$K$24</f>
        <v>EY</v>
      </c>
      <c r="G649" s="57" t="s">
        <v>81</v>
      </c>
      <c r="H649" s="57" t="s">
        <v>378</v>
      </c>
      <c r="I649" s="57" t="s">
        <v>398</v>
      </c>
      <c r="J649" s="57" t="s">
        <v>402</v>
      </c>
      <c r="K649" s="67" t="s">
        <v>403</v>
      </c>
      <c r="L649" s="67" t="s">
        <v>382</v>
      </c>
      <c r="M649" s="67"/>
      <c r="N649" s="67" t="s">
        <v>383</v>
      </c>
      <c r="O649" s="67"/>
      <c r="P649" s="57" t="s">
        <v>187</v>
      </c>
      <c r="Q649" s="59" t="n">
        <f aca="false">ROUND((Flights!$AC$24)*1440,0)/1440</f>
        <v>46317.4375</v>
      </c>
      <c r="R649" s="59" t="n">
        <f aca="false">Q649+(IF(AND(INDEX(TZ_DSTS,MATCH(P649,TZ_STN,0))&lt;&gt;"",Q649&gt;=INDEX(TZ_DSTS,MATCH(P649,TZ_STN,0)),Q649&lt;INDEX(TZ_DSTE,MATCH(P649,TZ_STN,0))),INDEX(TZ_DST,MATCH(P649,TZ_STN,0)),INDEX(TZ_STD,MATCH(P649,TZ_STN,0))))/24</f>
        <v>46317.7708333333</v>
      </c>
      <c r="S649" s="60"/>
      <c r="T649" s="60"/>
      <c r="U649" s="60"/>
      <c r="V649" s="60"/>
      <c r="W649" s="61"/>
      <c r="X649" s="60"/>
      <c r="Y649" s="60"/>
      <c r="Z649" s="60"/>
      <c r="AA649" s="60"/>
      <c r="AB649" s="60"/>
      <c r="AC649" s="60"/>
      <c r="AD649" s="66"/>
      <c r="AE649" s="60"/>
      <c r="AF649" s="61" t="str">
        <f aca="false">IF(AND(ISNUMBER(X649),ISNUMBER(Y649)),Y649-X649,"")</f>
        <v/>
      </c>
      <c r="AG649" s="62" t="str">
        <f aca="false">IF(ISNUMBER(AD649),AD649-(IF(AND(INDEX(TZ_DSTS,MATCH(P649,TZ_STN,0))&lt;&gt;"",(AD649-INDEX(TZ_STD,MATCH(P649,TZ_STN,0))/24)&gt;=INDEX(TZ_DSTS,MATCH(P649,TZ_STN,0)),(AD649-INDEX(TZ_STD,MATCH(P649,TZ_STN,0))/24)&lt;INDEX(TZ_DSTE,MATCH(P649,TZ_STN,0))),INDEX(TZ_DST,MATCH(P649,TZ_STN,0)),INDEX(TZ_STD,MATCH(P649,TZ_STN,0))))/24,"")</f>
        <v/>
      </c>
      <c r="AH649" s="65" t="str">
        <f aca="false">IFERROR(IF(N649="N/A – rule",IF(OR(TRIM(U649)="",TRIM(U649)="N/A",TRIM(U649)="Not started"),"N/A – RULE","INVALID – this check does not apply to this aircraft: clear the status (or correct the fleet on Flights)"),IF(TRIM(U649)="N/A",IF(AT649=0,"INVALID – N/A not permitted for this check",IF(AND(TRIM(AB649)&lt;&gt;"",TRIM(AB649)&lt;&gt;"Closed"),"INVALID – corrective action still open",IF(AND(NOT(OR(LEN(AZ649)&lt;15,ISNUMBER(MATCH(AZ649,L_Placeholder,0)))),BK649=0,CG649&gt;=8,NOT(OR(LEN(AU649)&lt;2,ISNUMBER(MATCH(AU649,L_Placeholder,0)))),BR649&gt;=3,NOT(OR(LEN(AX649)&lt;2,ISNUMBER(MATCH(AX649,L_Placeholder,0)))),BS649&gt;=3,TRIM(AE649)&lt;&gt;TRIM(T649),AX649&lt;&gt;AU649,CE649=0),"N/A – JUSTIFIED","INVALID – N/A needs a real, settled reason (not 'not applicable' / 'as above' / TBC), a named PIC and a different named verifier"))),IF(OR(TRIM(U649)="Pass",TRIM(U649)="Pass after CA"),IF(NOT(ISNUMBER(AD649)),"INVALID – completion time missing",IF(OR(OR(LEN(AU649)&lt;2,ISNUMBER(MATCH(AU649,L_Placeholder,0))),BR649&lt;3),"INVALID – PIC missing or not a named person (a role such as QA / CSM is not a name)",IF(OR(LEN(AV649)&lt;2,ISNUMBER(MATCH(AV649,L_Placeholder,0))),"INVALID – result / assessment missing",IF(OR(OR(LEN(AW649)&lt;3,ISNUMBER(MATCH(AW649,L_Placeholder,0))),SUMPRODUCT(--ISNUMBER(SEARCH(" "&amp;L_EvidencePhrase&amp;" ",BD649)))&gt;0,BI649=1),"INVALID – evidence missing, placeholder or not yet on file",IF(ISNA(MATCH(TRIM(S649),L_EvidenceType,0)),"INVALID – choose the evidence type from the list (column S)",IF(BL649=0,"INVALID – evidence ID must be the record's own ID only (e.g. SF-2210, IMG_2231, 1045521); a link / file name needs type 'Link / file path'",IF(OR(OR(LEN(AX649)&lt;2,ISNUMBER(MATCH(AX649,L_Placeholder,0))),BS649&lt;3),"INVALID – verifier missing or not a named person (a role such as QA / CSM is not a name)",IF(OR(AX649=AU649,CE649=1,AND(LEN(AU649)&gt;=4,ISNUMBER(SEARCH(AU649,AX649))),AND(LEN(AX649)&gt;=4,ISNUMBER(SEARCH(AX649,AU649)))),"INVALID – verifier must be a different, named person (not the PIC or a role)",IF(BH649=1,"INVALID – result not yet available (awaiting / TBC)",IF(BG649=1,"INVALID – result describes a problem: record Fail, then Pass after CA (or reword if it is not a problem)",IF(BV649=1,"INVALID – wording says not on board: an on-board confirmation needs the item loaded",IF(AND(AQ649=1,OR(OR(LEN(AY649)&lt;3,ISNUMBER(MATCH(AY649,L_Placeholder,0))),BJ649=1,BQ649=0)),"INVALID – batch ID missing, placeholder or not an ID (e.g. PASB-261008-BC-017)",IF(AND(AR649=1,OR(NOT(ISNUMBER(X649)),NOT(ISNUMBER(Y649)))),"INVALID – expected/actual qty missing",IF(AND(AR649=1,OR(X649&lt;=0,Y649&lt;0)),"INVALID – expected qty must be above 0 and actual not negative",IF(BB649&lt;&gt;"",BB649,IF(AND(AS649=1,Documents!$J$24&lt;&gt;"ON FILE"),"INVALID – GLD not on file (Documents sheet)",IF(AND(AS649=2,Documents!$O$24&lt;&gt;"ON FILE"),"INVALID – menu checklist not on file (Documents sheet)",IF(AND(AS649=3,NOT(ISNUMBER(Flights!$AX$24))),"INVALID – enter carrying flight KUL departure (Flights AX)",IF(AND(AS649=3,OR(Flights!$AZ$24&gt;Flights!$AA$24,Flights!$AX$24&lt;Flights!$AA$24-3)),"INVALID – carrying flight (Flights AX) cannot arrive before this leg's STD, or is over 3 days early",IF(AG649&gt;AsOfUTC,"INVALID – completion time is in the future",IF(AND(ISNUMBER(BY649),AG649&lt;BY649),IF(H649="Physical uplift","INVALID – before uplift window (cannot confirm loading)","INVALID – before valid window"),IF(AG649&gt;Flights!$AA$24,"INVALID – completed after departure (cannot establish readiness)",IF(AND(H649="Preparation",AG649&gt;=IF(ISNUMBER(Flights!$BA$24),MIN(Flights!$BA$24,Flights!$AA$24),Flights!$AA$24)),"INVALID – completed after loading / departure (cannot establish readiness)",IF(AND(H649="Physical uplift",AG649&gt;Q649),"INVALID – recorded after the loading flight departed",IF(AG649&gt;Q649,"COMPLETE – LATE","COMPLETE"))))))))))))))))))))))))),IF(TRIM(U649)="Fail","FAIL – DISCREPANCY",IF(AND(TRIM(U649)&lt;&gt;"",TRIM(U649)&lt;&gt;"Not started",TRIM(U649)&lt;&gt;"In progress"),"INVALID – unrecognised status (use the list)",IF(AsOfUTC&gt;Q649,"OVERDUE",IF(N649="Clarification required","OPEN – CLARIFICATION","OPEN"))))))),"INVALID – error value in an input cell")</f>
        <v>OPEN</v>
      </c>
      <c r="AI649" s="61" t="n">
        <f aca="false">IF(OR(AH649="N/A – RULE",AH649="N/A – JUSTIFIED"),0,1)</f>
        <v>1</v>
      </c>
      <c r="AJ649" s="61" t="n">
        <f aca="false">IF(LEFT(AH649,8)="COMPLETE",1,0)</f>
        <v>0</v>
      </c>
      <c r="AK649" s="61" t="n">
        <f aca="false">IF(AND(AI649=1,AJ649=0,AsOfUTC&gt;Q649),1,0)</f>
        <v>0</v>
      </c>
      <c r="AL649" s="61" t="n">
        <f aca="false">IFERROR(IF(AND(AI649=1,OR(TRIM(U649)="Fail",AND(TRIM(AB649)&lt;&gt;"",TRIM(AB649)&lt;&gt;"Closed"),AND(ISNUMBER(AF649),AF649&lt;&gt;0,TRIM(U649)&lt;&gt;"Pass after CA"))),1,0),1)</f>
        <v>0</v>
      </c>
      <c r="AM649" s="61" t="n">
        <f aca="false">IF(LEFT(AH649,7)="INVALID",1,0)</f>
        <v>0</v>
      </c>
      <c r="AN649" s="61" t="n">
        <f aca="false">IF(AND(N649="Clarification required",AI649=1,AJ649=0),1,0)</f>
        <v>0</v>
      </c>
      <c r="AO649" s="61" t="str">
        <f aca="false">IF(AK649=1,SUM(AK$5:AK649),"")</f>
        <v/>
      </c>
      <c r="AP649" s="61" t="str">
        <f aca="false">IF(AL649=1,SUM(AL$5:AL649),"")</f>
        <v/>
      </c>
      <c r="AQ649" s="61" t="n">
        <v>0</v>
      </c>
      <c r="AR649" s="61" t="n">
        <v>0</v>
      </c>
      <c r="AS649" s="61" t="n">
        <v>0</v>
      </c>
      <c r="AT649" s="61" t="n">
        <v>0</v>
      </c>
      <c r="AU649" s="61" t="str">
        <f aca="false">SUBSTITUTE(SUBSTITUTE(SUBSTITUTE(SUBSTITUTE(SUBSTITUTE(SUBSTITUTE(SUBSTITUTE(SUBSTITUTE(SUBSTITUTE(SUBSTITUTE(SUBSTITUTE(SUBSTITUTE(SUBSTITUTE(SUBSTITUTE(SUBSTITUTE(SUBSTITUTE(LOWER(T649&amp;""),CHAR(10),""),CHAR(13),""),CHAR(9),""),CHAR(160),"")," ",""),".",""),"-",""),"/",""),"?",""),"_",""),",",""),"[",""),"]",""),"(",""),")",""),"*","")</f>
        <v/>
      </c>
      <c r="AV649" s="61" t="str">
        <f aca="false">SUBSTITUTE(SUBSTITUTE(SUBSTITUTE(SUBSTITUTE(SUBSTITUTE(SUBSTITUTE(SUBSTITUTE(SUBSTITUTE(SUBSTITUTE(SUBSTITUTE(SUBSTITUTE(SUBSTITUTE(SUBSTITUTE(SUBSTITUTE(SUBSTITUTE(SUBSTITUTE(LOWER(V649&amp;""),CHAR(10),""),CHAR(13),""),CHAR(9),""),CHAR(160),"")," ",""),".",""),"-",""),"/",""),"?",""),"_",""),",",""),"[",""),"]",""),"(",""),")",""),"*","")</f>
        <v/>
      </c>
      <c r="AW649" s="61" t="str">
        <f aca="false">SUBSTITUTE(SUBSTITUTE(SUBSTITUTE(SUBSTITUTE(SUBSTITUTE(SUBSTITUTE(SUBSTITUTE(SUBSTITUTE(SUBSTITUTE(SUBSTITUTE(SUBSTITUTE(SUBSTITUTE(SUBSTITUTE(SUBSTITUTE(SUBSTITUTE(SUBSTITUTE(LOWER(Z649&amp;""),CHAR(10),""),CHAR(13),""),CHAR(9),""),CHAR(160),"")," ",""),".",""),"-",""),"/",""),"?",""),"_",""),",",""),"[",""),"]",""),"(",""),")",""),"*","")</f>
        <v/>
      </c>
      <c r="AX649" s="61" t="str">
        <f aca="false">SUBSTITUTE(SUBSTITUTE(SUBSTITUTE(SUBSTITUTE(SUBSTITUTE(SUBSTITUTE(SUBSTITUTE(SUBSTITUTE(SUBSTITUTE(SUBSTITUTE(SUBSTITUTE(SUBSTITUTE(SUBSTITUTE(SUBSTITUTE(SUBSTITUTE(SUBSTITUTE(LOWER(AE649&amp;""),CHAR(10),""),CHAR(13),""),CHAR(9),""),CHAR(160),"")," ",""),".",""),"-",""),"/",""),"?",""),"_",""),",",""),"[",""),"]",""),"(",""),")",""),"*","")</f>
        <v/>
      </c>
      <c r="AY649" s="61" t="str">
        <f aca="false">SUBSTITUTE(SUBSTITUTE(SUBSTITUTE(SUBSTITUTE(SUBSTITUTE(SUBSTITUTE(SUBSTITUTE(SUBSTITUTE(SUBSTITUTE(SUBSTITUTE(SUBSTITUTE(SUBSTITUTE(SUBSTITUTE(SUBSTITUTE(SUBSTITUTE(SUBSTITUTE(LOWER(W649&amp;""),CHAR(10),""),CHAR(13),""),CHAR(9),""),CHAR(160),"")," ",""),".",""),"-",""),"/",""),"?",""),"_",""),",",""),"[",""),"]",""),"(",""),")",""),"*","")</f>
        <v/>
      </c>
      <c r="AZ649" s="61" t="str">
        <f aca="false">SUBSTITUTE(SUBSTITUTE(SUBSTITUTE(SUBSTITUTE(SUBSTITUTE(SUBSTITUTE(SUBSTITUTE(SUBSTITUTE(SUBSTITUTE(SUBSTITUTE(SUBSTITUTE(SUBSTITUTE(SUBSTITUTE(SUBSTITUTE(SUBSTITUTE(SUBSTITUTE(LOWER(AC649&amp;""),CHAR(10),""),CHAR(13),""),CHAR(9),""),CHAR(160),"")," ",""),".",""),"-",""),"/",""),"?",""),"_",""),",",""),"[",""),"]",""),"(",""),")",""),"*","")</f>
        <v/>
      </c>
      <c r="BA649" s="61" t="str">
        <f aca="false">SUBSTITUTE(SUBSTITUTE(SUBSTITUTE(SUBSTITUTE(SUBSTITUTE(SUBSTITUTE(SUBSTITUTE(SUBSTITUTE(SUBSTITUTE(SUBSTITUTE(SUBSTITUTE(SUBSTITUTE(SUBSTITUTE(SUBSTITUTE(SUBSTITUTE(SUBSTITUTE(LOWER(AA649&amp;""),CHAR(10),""),CHAR(13),""),CHAR(9),""),CHAR(160),"")," ",""),".",""),"-",""),"/",""),"?",""),"_",""),",",""),"[",""),"]",""),"(",""),")",""),"*","")</f>
        <v/>
      </c>
      <c r="BB649" s="61" t="str">
        <f aca="false">IF(AND(TRIM(U649)="Pass",ISNUMBER(AF649)),IF(AF649&lt;&gt;0,"INVALID – qty variance: use Fail or Pass after CA",""),"")&amp;IF(AND(TRIM(U649)="Pass after CA",ISNUMBER(AF649)),IF(AF649&lt;&gt;0,"INVALID – after the corrective action the actual qty must equal expected (update Actual)",""),"")&amp;IF(AND(TRIM(U649)="Pass",TRIM(AB649)&lt;&gt;"",TRIM(AB649)&lt;&gt;"Closed"),"INVALID – corrective action not closed: use Fail, then Pass after CA","")&amp;IF(AND(LEN(BA649)&gt;=2,ISNA(MATCH(LEFT(BA649,255),L_Placeholder,0)),TRIM(AB649)=""),"INVALID – CA status missing for the recorded corrective action","")&amp;IF(AND(TRIM(U649)="Pass after CA",OR(OR(LEN(BA649)&lt;5,ISNUMBER(MATCH(BA649,L_Placeholder,0))),TRIM(AB649)&lt;&gt;"Closed")),"INVALID – corrective action not recorded/closed","")</f>
        <v/>
      </c>
      <c r="BC649" s="61" t="str">
        <f aca="false">" "&amp;TRIM(SUBSTITUTE(SUBSTITUTE(SUBSTITUTE(SUBSTITUTE(SUBSTITUTE(SUBSTITUTE(SUBSTITUTE(SUBSTITUTE(SUBSTITUTE(SUBSTITUTE(SUBSTITUTE(SUBSTITUTE(SUBSTITUTE(SUBSTITUTE(SUBSTITUTE(SUBSTITUTE(SUBSTITUTE(SUBSTITUTE(SUBSTITUTE(SUBSTITUTE(SUBSTITUTE(SUBSTITUTE(SUBSTITUTE(SUBSTITUTE(LOWER(V649&amp;""),CHAR(10)," "),CHAR(13)," "),CHAR(9)," "),CHAR(160)," "),"."," "),","," "),"-"," "),"/"," "),"("," "),")"," "),":"," "),";"," "),"_"," "),"–"," "),"?"," "),"!"," "),"*"," "),"["," "),"]"," "),"'"," "),"#"," "),"+"," "),"&amp;"," "),"\"," "))&amp;" "</f>
        <v>  </v>
      </c>
      <c r="BD649" s="61" t="str">
        <f aca="false">" "&amp;TRIM(SUBSTITUTE(SUBSTITUTE(SUBSTITUTE(SUBSTITUTE(SUBSTITUTE(SUBSTITUTE(SUBSTITUTE(SUBSTITUTE(SUBSTITUTE(SUBSTITUTE(SUBSTITUTE(SUBSTITUTE(SUBSTITUTE(SUBSTITUTE(SUBSTITUTE(SUBSTITUTE(SUBSTITUTE(SUBSTITUTE(SUBSTITUTE(SUBSTITUTE(SUBSTITUTE(SUBSTITUTE(SUBSTITUTE(SUBSTITUTE(LOWER(Z649&amp;""),CHAR(10)," "),CHAR(13)," "),CHAR(9)," "),CHAR(160)," "),"."," "),","," "),"-"," "),"/"," "),"("," "),")"," "),":"," "),";"," "),"_"," "),"–"," "),"?"," "),"!"," "),"*"," "),"["," "),"]"," "),"'"," "),"#"," "),"+"," "),"&amp;"," "),"\"," "))&amp;" "</f>
        <v>  </v>
      </c>
      <c r="BE649" s="61" t="str">
        <f aca="false">" "&amp;TRIM(SUBSTITUTE(SUBSTITUTE(SUBSTITUTE(SUBSTITUTE(SUBSTITUTE(SUBSTITUTE(SUBSTITUTE(SUBSTITUTE(SUBSTITUTE(SUBSTITUTE(SUBSTITUTE(SUBSTITUTE(SUBSTITUTE(SUBSTITUTE(SUBSTITUTE(SUBSTITUTE(SUBSTITUTE(SUBSTITUTE(SUBSTITUTE(SUBSTITUTE(SUBSTITUTE(SUBSTITUTE(SUBSTITUTE(SUBSTITUTE(LOWER(W649&amp;""),CHAR(10)," "),CHAR(13)," "),CHAR(9)," "),CHAR(160)," "),"."," "),","," "),"-"," "),"/"," "),"("," "),")"," "),":"," "),";"," "),"_"," "),"–"," "),"?"," "),"!"," "),"*"," "),"["," "),"]"," "),"'"," "),"#"," "),"+"," "),"&amp;"," "),"\"," "))&amp;" "</f>
        <v>  </v>
      </c>
      <c r="BF649" s="61" t="str">
        <f aca="false">" "&amp;TRIM(SUBSTITUTE(SUBSTITUTE(SUBSTITUTE(SUBSTITUTE(SUBSTITUTE(SUBSTITUTE(SUBSTITUTE(SUBSTITUTE(SUBSTITUTE(SUBSTITUTE(SUBSTITUTE(SUBSTITUTE(SUBSTITUTE(SUBSTITUTE(SUBSTITUTE(SUBSTITUTE(SUBSTITUTE(SUBSTITUTE(SUBSTITUTE(SUBSTITUTE(SUBSTITUTE(SUBSTITUTE(SUBSTITUTE(SUBSTITUTE(LOWER(AC649&amp;""),CHAR(10)," "),CHAR(13)," "),CHAR(9)," "),CHAR(160)," "),"."," "),","," "),"-"," "),"/"," "),"("," "),")"," "),":"," "),";"," "),"_"," "),"–"," "),"?"," "),"!"," "),"*"," "),"["," "),"]"," "),"'"," "),"#"," "),"+"," "),"&amp;"," "),"\"," "))&amp;" "</f>
        <v>  </v>
      </c>
      <c r="BG649" s="61" t="n">
        <f aca="false">IFERROR(IF(AND(TRIM(U649)="Pass",SUMPRODUCT((LEN(BC649)-LEN(SUBSTITUTE(BC649," "&amp;L_ResultBad&amp;" "," ")))/(LEN(L_ResultBad)+1))&gt;SUMPRODUCT((LEN(BC649)-LEN(SUBSTITUTE(BC649," "&amp;L_NegPhrase&amp;" "," ")))/(LEN(L_NegPhrase)+1))),1,0),0)</f>
        <v>0</v>
      </c>
      <c r="BH649" s="61" t="n">
        <f aca="false">IFERROR(IF(SUMPRODUCT((LEN(BC649)-LEN(SUBSTITUTE(BC649," "&amp;L_Pending&amp;" "," ")))/(LEN(L_Pending)+1))&gt;SUMPRODUCT((LEN(BC649)-LEN(SUBSTITUTE(BC649," "&amp;L_PendNeg&amp;" "," ")))/(LEN(L_PendNeg)+1))+SUMPRODUCT((LEN(BC649)-LEN(SUBSTITUTE(BC649," "&amp;L_PendPrep&amp;" "," ")))/(LEN(L_PendPrep)+1)),1,0),1)</f>
        <v>0</v>
      </c>
      <c r="BI649" s="61" t="n">
        <f aca="false">IFERROR(IF(SUMPRODUCT((LEN(BD649)-LEN(SUBSTITUTE(BD649," "&amp;L_PendStrict&amp;" "," ")))/(LEN(L_PendStrict)+1))&gt;SUMPRODUCT((LEN(BD649)-LEN(SUBSTITUTE(BD649," "&amp;L_PendNeg&amp;" "," ")))/(LEN(L_PendNeg)+1)),1,0),1)</f>
        <v>0</v>
      </c>
      <c r="BJ649" s="61" t="n">
        <f aca="false">IFERROR(IF(SUMPRODUCT((LEN(BE649)-LEN(SUBSTITUTE(BE649," "&amp;L_Pending&amp;" "," ")))/(LEN(L_Pending)+1))&gt;SUMPRODUCT((LEN(BE649)-LEN(SUBSTITUTE(BE649," "&amp;L_PendNeg&amp;" "," ")))/(LEN(L_PendNeg)+1))+SUMPRODUCT((LEN(BE649)-LEN(SUBSTITUTE(BE649," "&amp;L_PendPrep&amp;" "," ")))/(LEN(L_PendPrep)+1)),1,0),1)</f>
        <v>0</v>
      </c>
      <c r="BK649" s="61" t="n">
        <f aca="false">IFERROR(IF(SUMPRODUCT((LEN(BF649)-LEN(SUBSTITUTE(BF649," "&amp;L_PendStrict&amp;" "," ")))/(LEN(L_PendStrict)+1))&gt;SUMPRODUCT((LEN(BF649)-LEN(SUBSTITUTE(BF649," "&amp;L_PendNeg&amp;" "," ")))/(LEN(L_PendNeg)+1)),1,0),1)</f>
        <v>0</v>
      </c>
      <c r="BL649" s="61" t="n">
        <f aca="false">IF(ISNA(MATCH(TRIM(S649),L_EvidenceType,0)),0,BZ649)</f>
        <v>0</v>
      </c>
      <c r="BM649" s="61" t="str">
        <f aca="false">SUBSTITUTE(SUBSTITUTE(SUBSTITUTE(SUBSTITUTE(SUBSTITUTE(SUBSTITUTE(SUBSTITUTE(SUBSTITUTE(SUBSTITUTE(LOWER(Z649&amp;""),"1","0"),"2","0"),"3","0"),"4","0"),"5","0"),"6","0"),"7","0"),"8","0"),"9","0")</f>
        <v/>
      </c>
      <c r="BN649" s="61" t="str">
        <f aca="false">SUBSTITUTE(SUBSTITUTE(SUBSTITUTE(SUBSTITUTE(SUBSTITUTE(SUBSTITUTE(SUBSTITUTE(SUBSTITUTE(SUBSTITUTE(SUBSTITUTE(SUBSTITUTE(SUBSTITUTE(SUBSTITUTE(SUBSTITUTE(SUBSTITUTE(SUBSTITUTE(SUBSTITUTE(SUBSTITUTE(SUBSTITUTE(SUBSTITUTE(SUBSTITUTE(SUBSTITUTE(SUBSTITUTE(SUBSTITUTE(SUBSTITUTE(BM649,"b","a"),"c","a"),"d","a"),"e","a"),"f","a"),"g","a"),"h","a"),"i","a"),"j","a"),"k","a"),"l","a"),"m","a"),"n","a"),"o","a"),"p","a"),"q","a"),"r","a"),"s","a"),"t","a"),"u","a"),"v","a"),"w","a"),"x","a"),"y","a"),"z","a")</f>
        <v/>
      </c>
      <c r="BO649" s="61" t="str">
        <f aca="false">SUBSTITUTE(SUBSTITUTE(SUBSTITUTE(SUBSTITUTE(SUBSTITUTE(SUBSTITUTE(SUBSTITUTE(SUBSTITUTE(SUBSTITUTE(LOWER(W649&amp;""),"1","0"),"2","0"),"3","0"),"4","0"),"5","0"),"6","0"),"7","0"),"8","0"),"9","0")</f>
        <v/>
      </c>
      <c r="BP649" s="61" t="str">
        <f aca="false">SUBSTITUTE(SUBSTITUTE(SUBSTITUTE(SUBSTITUTE(SUBSTITUTE(SUBSTITUTE(SUBSTITUTE(SUBSTITUTE(SUBSTITUTE(SUBSTITUTE(SUBSTITUTE(SUBSTITUTE(SUBSTITUTE(SUBSTITUTE(SUBSTITUTE(SUBSTITUTE(SUBSTITUTE(SUBSTITUTE(SUBSTITUTE(SUBSTITUTE(SUBSTITUTE(SUBSTITUTE(SUBSTITUTE(SUBSTITUTE(SUBSTITUTE(BO649,"b","a"),"c","a"),"d","a"),"e","a"),"f","a"),"g","a"),"h","a"),"i","a"),"j","a"),"k","a"),"l","a"),"m","a"),"n","a"),"o","a"),"p","a"),"q","a"),"r","a"),"s","a"),"t","a"),"u","a"),"v","a"),"w","a"),"x","a"),"y","a"),"z","a")</f>
        <v/>
      </c>
      <c r="BQ649" s="61" t="n">
        <f aca="false">IFERROR(IF(AND(ISERROR(SEARCH(" mh"," "&amp;LOWER(W649))),ISNA(MATCH(LEFT(TRIM(BP649),255),{"0000a","000a","00a","0000aa","000aa","00aa","0aa","0000aaa","000aaa","00a00","0a00","0000-0000","00:00","a00","a0","00.00.0000","00/00/0000","00-00-0000","0000-00-00","0000/00/00","0000.00.00","00.00.00","00/00/00","00-00-00","0.00.0000","0/00/0000","0-00-0000"},0)),ISNA(MATCH(LEFT(TRIM(CA649),255),{"0000a","000a","00a","0000aa","000aa","00aa","0aa","0000aaa","000aaa","00a00","0a00","0000-0000","00:00","a00","a0","00.00.0000","00/00/0000","00-00-0000","0000-00-00","0000/00/00","0000.00.00","00.00.00","00/00/00","00-00-00","0.00.0000","0/00/0000","0-00-0000"},0)),LEN(CB649)&gt;=3,NOT(OR(SUBSTITUTE(CB649,"0","")="",AND(LEN(CB649)&gt;=4,CB649=REPT(LEFT(CB649),LEN(CB649))),ISNUMBER(MATCH(CB649,{"123","1234","12345","123456","1234567","12345678","0123","01234","012345","98765","987654","54321"},0)),AND(LEN(CB649)=8,LEFT(CB649,3)="202"))),OR(AND((LEN(CA649)-LEN(SUBSTITUTE(CA649,"a","")))&gt;=1,SUMPRODUCT(--ISNUMBER(SEARCH({"a0","a-0","a_0","a/0","a.0","a#0","0a","0-a","0_a","0/a"},BP649)))&gt;0),ISNUMBER(SEARCH("000000",BP649)))),1,0),0)</f>
        <v>0</v>
      </c>
      <c r="BR649" s="61" t="n">
        <f aca="false">IFERROR(LEN(SUBSTITUTE(CC649," ",""))-SUMPRODUCT((LEN(CC649)-LEN(SUBSTITUTE(CC649," "&amp;L_Role&amp;" "," ")))/(LEN(L_Role)+1)*LEN(L_Role)),0)</f>
        <v>0</v>
      </c>
      <c r="BS649" s="61" t="n">
        <f aca="false">IFERROR(LEN(SUBSTITUTE(CD649," ",""))-SUMPRODUCT((LEN(CD649)-LEN(SUBSTITUTE(CD649," "&amp;L_Role&amp;" "," ")))/(LEN(L_Role)+1)*LEN(L_Role)),0)</f>
        <v>0</v>
      </c>
      <c r="BT6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649,"revision",""),"version",""),"jan",""),"feb",""),"mar",""),"apr",""),"may",""),"jun",""),"jul",""),"aug",""),"sep",""),"oct",""),"nov",""),"dec",""),"utc",""),"gmt",""),"myt",""),"bst",""),"rev",""),"ver",""),"b","a"),"c","a"),"d","a"),"e","a"),"f","a"),"g","a"),"h","a"),"i","a"),"j","a"),"k","a"),"l","a"),"m","a"),"n","a"),"o","a"),"p","a"),"q","a"),"r","a"),"s","a"),"t","a"),"u","a"),"v","a"),"w","a"),"x","a"),"y","a"),"z","a")</f>
        <v/>
      </c>
      <c r="BU649" s="61" t="str">
        <f aca="false">SUBSTITUTE(SUBSTITUTE(SUBSTITUTE(SUBSTITUTE(SUBSTITUTE(SUBSTITUTE(SUBSTITUTE(SUBSTITUTE(SUBSTITUTE(SUBSTITUTE(LEFT(BM649,FIND("0",BM649&amp;"0")-1),"-",""),"_",""),"/",""),".",""),"#",""),"\\",""),":","")," ",""),"(",""),")","")</f>
        <v/>
      </c>
      <c r="BV649" s="61" t="n">
        <f aca="false">0</f>
        <v>0</v>
      </c>
      <c r="BW64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649&amp;""),"a",""),"b",""),"c",""),"d",""),"e",""),"f",""),"g",""),"h",""),"i",""),"j",""),"k",""),"l",""),"m",""),"n",""),"o",""),"p",""),"q",""),"r",""),"s",""),"t",""),"u",""),"v",""),"w",""),"x",""),"y",""),"z",""),"-",""),"_",""),"/",""),".",""),"#",""),"\\",""),":","")," ",""),"(",""),")","")</f>
        <v/>
      </c>
      <c r="BX649" s="61" t="str">
        <f aca="false">SUBSTITUTE(SUBSTITUTE(SUBSTITUTE(SUBSTITUTE(SUBSTITUTE(SUBSTITUTE(SUBSTITUTE(SUBSTITUTE(SUBSTITUTE(SUBSTITUTE(SUBSTITUTE(BM649,"0",""),"-",""),"_",""),"/",""),".",""),"#",""),"\\",""),":","")," ",""),"(",""),")","")</f>
        <v/>
      </c>
      <c r="BY649" s="62" t="n">
        <f aca="false">Q649-T7EarlyD*24/24</f>
        <v>46303.4375</v>
      </c>
      <c r="BZ649" s="61" t="n">
        <f aca="false">IFERROR(IF(IF(TRIM(S649)="Link / file path",AND(LEN(TRIM(Z649))&gt;=5,SUMPRODUCT(--ISNUMBER(SEARCH({"http","www.","\\",":\",".pdf",".jpg",".jpeg",".png",".heic",".xls",".doc",".msg",".eml",".ppt",".txt",".zip"},Z649)))&gt;0),AND(ISERROR(FIND(" ",TRIM(Z649))),NOT(OR(SUMPRODUCT(--ISNUMBER(FIND({",",";","&amp;","+"},Z649)))&gt;0,SUMPRODUCT(--ISNUMBER(SEARCH({"0/aa","0\\aa"},BN649)))&gt;0)),NOT(SUMPRODUCT(--ISNUMBER(SEARCH({"http","www.","\\",":\",".pdf",".jpg",".jpeg",".png",".heic",".xls",".doc",".msg",".eml",".ppt",".txt",".zip"},Z649)))&gt;0),NOT(LOWER(TRIM(Z649))=LOWER(Flights!$F$24)),ISNA(MATCH(BU649,{"mh","rev","revision","ver","version","v","r","a","b","seat","tray","row","gate","bay","stand","page","pg","item","line","no","cart","galley","flight","flt","table","box","bag","oven","etd","eta","std","sta","atd","ata","qty","pax","x","time","tel","ph","mob","day","wk","week","utc","gmt","myt","lt"},0)),NOT(OR(ISNUMBER(MATCH(LEFT(BN649,255),{"0000a","000a","00a","0000aa","000aa","00aa","0aa","0000aaa","000aaa","00a00","0a00","0000-0000","00:00","a00","a0","00.00.0000","00/00/0000","00-00-0000","0000-00-00","0000/00/00","0000.00.00","00.00.00","00/00/00","00-00-00","0.00.0000","0/00/0000","0-00-0000"},0)),ISNUMBER(MATCH(LEFT(BT649,255),{"0000a","000a","00a","0000aa","000aa","00aa","0aa","0000aaa","000aaa","00a00","0a00","0000-0000","00:00","a00","a0","00.00.0000","00/00/0000","00-00-0000","0000-00-00","0000/00/00","0000.00.00","00.00.00","00/00/00","00-00-00","0.00.0000","0/00/0000","0-00-0000"},0)))),NOT(OR(AND(BW649&lt;&gt;"",SUBSTITUTE(BW649,"0","")=""),AND(LEN(BW649)&gt;=4,BW649=REPT(LEFT(BW649),LEN(BW649))),ISNUMBER(MATCH(BW649,{"123","1234","12345","123456","1234567","12345678","0123","01234","012345","98765","987654","54321"},0)),ISNUMBER(MATCH(BX649,{"x","xx","xxx","xxxx","xxxxx","abc","abcd","nil","na","nan","test","tbc","tba","tbd","dummy","sample","example","eg","zz","zzz","none","null","xyz","qwe","asd","id","ref"},0)),AND(LEN(BW649)=8,BX649="",OR(LEFT(BW649,3)="202",ISNUMBER(MATCH(RIGHT(BW649,4),{"2025","2026","2027"},0)))))),OR(AND((LEN(BT649)-LEN(SUBSTITUTE(BT649,"a","")))&gt;=1,(LEN(BN649)-LEN(SUBSTITUTE(BN649,"0","")))&gt;=2,SUMPRODUCT(--ISNUMBER(SEARCH({"a0","a-0","a_0","a/0","a.0","a#0","0a","0-a","0_a","0/a"},BN649)))&gt;0),AND((LEN(BN649)-LEN(SUBSTITUTE(BN649,"a","")))=0,(LEN(BN649)-LEN(SUBSTITUTE(BN649,"0","")))&gt;=5)))),1,0),0)</f>
        <v>0</v>
      </c>
      <c r="CA6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649,"revision",""),"version",""),"jan",""),"feb",""),"mar",""),"apr",""),"may",""),"jun",""),"jul",""),"aug",""),"sep",""),"oct",""),"nov",""),"dec",""),"utc",""),"gmt",""),"myt",""),"bst",""),"rev",""),"ver",""),"b","a"),"c","a"),"d","a"),"e","a"),"f","a"),"g","a"),"h","a"),"i","a"),"j","a"),"k","a"),"l","a"),"m","a"),"n","a"),"o","a"),"p","a"),"q","a"),"r","a"),"s","a"),"t","a"),"u","a"),"v","a"),"w","a"),"x","a"),"y","a"),"z","a")</f>
        <v/>
      </c>
      <c r="CB64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649&amp;""),"a",""),"b",""),"c",""),"d",""),"e",""),"f",""),"g",""),"h",""),"i",""),"j",""),"k",""),"l",""),"m",""),"n",""),"o",""),"p",""),"q",""),"r",""),"s",""),"t",""),"u",""),"v",""),"w",""),"x",""),"y",""),"z",""),"-",""),"_",""),"/",""),".",""),"#",""),"\\",""),":","")," ",""),"(",""),")","")</f>
        <v/>
      </c>
      <c r="CC649" s="0" t="str">
        <f aca="false">" "&amp;TRIM(SUBSTITUTE(SUBSTITUTE(SUBSTITUTE(SUBSTITUTE(SUBSTITUTE(SUBSTITUTE(SUBSTITUTE(SUBSTITUTE(SUBSTITUTE(SUBSTITUTE(SUBSTITUTE(SUBSTITUTE(SUBSTITUTE(SUBSTITUTE(SUBSTITUTE(SUBSTITUTE(SUBSTITUTE(SUBSTITUTE(SUBSTITUTE(SUBSTITUTE(SUBSTITUTE(SUBSTITUTE(SUBSTITUTE(SUBSTITUTE(LOWER(T649&amp;""),CHAR(10)," "),CHAR(13)," "),CHAR(9)," "),CHAR(160)," "),"."," "),","," "),"-"," "),"/"," "),"("," "),")"," "),":"," "),";"," "),"_"," "),"–"," "),"?"," "),"!"," "),"*"," "),"["," "),"]"," "),"'"," "),"#"," "),"+"," "),"&amp;"," "),"\"," "))&amp;" "</f>
        <v>  </v>
      </c>
      <c r="CD649" s="0" t="str">
        <f aca="false">" "&amp;TRIM(SUBSTITUTE(SUBSTITUTE(SUBSTITUTE(SUBSTITUTE(SUBSTITUTE(SUBSTITUTE(SUBSTITUTE(SUBSTITUTE(SUBSTITUTE(SUBSTITUTE(SUBSTITUTE(SUBSTITUTE(SUBSTITUTE(SUBSTITUTE(SUBSTITUTE(SUBSTITUTE(SUBSTITUTE(SUBSTITUTE(SUBSTITUTE(SUBSTITUTE(SUBSTITUTE(SUBSTITUTE(SUBSTITUTE(SUBSTITUTE(LOWER(AE649&amp;""),CHAR(10)," "),CHAR(13)," "),CHAR(9)," "),CHAR(160)," "),"."," "),","," "),"-"," "),"/"," "),"("," "),")"," "),":"," "),";"," "),"_"," "),"–"," "),"?"," "),"!"," "),"*"," "),"["," "),"]"," "),"'"," "),"#"," "),"+"," "),"&amp;"," "),"\"," "))&amp;" "</f>
        <v>  </v>
      </c>
      <c r="CE649" s="68" t="n">
        <f aca="false">IFERROR(IF(AND(LEN(AU649)&gt;0,LEN(AU649)=LEN(AX649),OR(TRIM(MID(SUBSTITUTE(TRIM(CC649)," ",REPT(" ",60)),1,60))="",ISNUMBER(SEARCH(" "&amp;TRIM(MID(SUBSTITUTE(TRIM(CC649)," ",REPT(" ",60)),1,60))&amp;" ",CD649))),OR(TRIM(MID(SUBSTITUTE(TRIM(CC649)," ",REPT(" ",60)),61,60))="",ISNUMBER(SEARCH(" "&amp;TRIM(MID(SUBSTITUTE(TRIM(CC649)," ",REPT(" ",60)),61,60))&amp;" ",CD649))),OR(TRIM(MID(SUBSTITUTE(TRIM(CC649)," ",REPT(" ",60)),121,60))="",ISNUMBER(SEARCH(" "&amp;TRIM(MID(SUBSTITUTE(TRIM(CC649)," ",REPT(" ",60)),121,60))&amp;" ",CD649)))),1,0),0)</f>
        <v>0</v>
      </c>
      <c r="CG649" s="68" t="n">
        <f aca="false">IFERROR(LEN(SUBSTITUTE(BF649," ",""))-SUMPRODUCT((LEN(BF649)-LEN(SUBSTITUTE(BF649," "&amp;L_NAFiller&amp;" "," ")))/(LEN(L_NAFiller)+1)*LEN(L_NAFiller)),0)</f>
        <v>0</v>
      </c>
    </row>
    <row r="650" customFormat="false" ht="39.75" hidden="false" customHeight="true" outlineLevel="0" collapsed="false">
      <c r="A650" s="57" t="s">
        <v>1368</v>
      </c>
      <c r="B650" s="57" t="s">
        <v>304</v>
      </c>
      <c r="C650" s="57" t="str">
        <f aca="false">Flights!$F$24</f>
        <v>MH1450</v>
      </c>
      <c r="D650" s="58" t="n">
        <f aca="false">Flights!$D$24</f>
        <v>46324</v>
      </c>
      <c r="E650" s="57" t="str">
        <f aca="false">Flights!$G$24&amp;"-"&amp;Flights!$H$24</f>
        <v>KUL-LGK</v>
      </c>
      <c r="F650" s="57" t="str">
        <f aca="false">Flights!$K$24</f>
        <v>EY</v>
      </c>
      <c r="G650" s="57" t="s">
        <v>81</v>
      </c>
      <c r="H650" s="57" t="s">
        <v>378</v>
      </c>
      <c r="I650" s="57" t="s">
        <v>405</v>
      </c>
      <c r="J650" s="57" t="s">
        <v>406</v>
      </c>
      <c r="K650" s="67" t="s">
        <v>407</v>
      </c>
      <c r="L650" s="67" t="s">
        <v>382</v>
      </c>
      <c r="M650" s="67"/>
      <c r="N650" s="67" t="s">
        <v>383</v>
      </c>
      <c r="O650" s="67"/>
      <c r="P650" s="57" t="s">
        <v>187</v>
      </c>
      <c r="Q650" s="59" t="n">
        <f aca="false">ROUND((Flights!$AC$24)*1440,0)/1440</f>
        <v>46317.4375</v>
      </c>
      <c r="R650" s="59" t="n">
        <f aca="false">Q650+(IF(AND(INDEX(TZ_DSTS,MATCH(P650,TZ_STN,0))&lt;&gt;"",Q650&gt;=INDEX(TZ_DSTS,MATCH(P650,TZ_STN,0)),Q650&lt;INDEX(TZ_DSTE,MATCH(P650,TZ_STN,0))),INDEX(TZ_DST,MATCH(P650,TZ_STN,0)),INDEX(TZ_STD,MATCH(P650,TZ_STN,0))))/24</f>
        <v>46317.7708333333</v>
      </c>
      <c r="S650" s="60"/>
      <c r="T650" s="60"/>
      <c r="U650" s="60"/>
      <c r="V650" s="60"/>
      <c r="W650" s="61"/>
      <c r="X650" s="60"/>
      <c r="Y650" s="60"/>
      <c r="Z650" s="60"/>
      <c r="AA650" s="60"/>
      <c r="AB650" s="60"/>
      <c r="AC650" s="60"/>
      <c r="AD650" s="66"/>
      <c r="AE650" s="60"/>
      <c r="AF650" s="61" t="str">
        <f aca="false">IF(AND(ISNUMBER(X650),ISNUMBER(Y650)),Y650-X650,"")</f>
        <v/>
      </c>
      <c r="AG650" s="62" t="str">
        <f aca="false">IF(ISNUMBER(AD650),AD650-(IF(AND(INDEX(TZ_DSTS,MATCH(P650,TZ_STN,0))&lt;&gt;"",(AD650-INDEX(TZ_STD,MATCH(P650,TZ_STN,0))/24)&gt;=INDEX(TZ_DSTS,MATCH(P650,TZ_STN,0)),(AD650-INDEX(TZ_STD,MATCH(P650,TZ_STN,0))/24)&lt;INDEX(TZ_DSTE,MATCH(P650,TZ_STN,0))),INDEX(TZ_DST,MATCH(P650,TZ_STN,0)),INDEX(TZ_STD,MATCH(P650,TZ_STN,0))))/24,"")</f>
        <v/>
      </c>
      <c r="AH650" s="65" t="str">
        <f aca="false">IFERROR(IF(N650="N/A – rule",IF(OR(TRIM(U650)="",TRIM(U650)="N/A",TRIM(U650)="Not started"),"N/A – RULE","INVALID – this check does not apply to this aircraft: clear the status (or correct the fleet on Flights)"),IF(TRIM(U650)="N/A",IF(AT650=0,"INVALID – N/A not permitted for this check",IF(AND(TRIM(AB650)&lt;&gt;"",TRIM(AB650)&lt;&gt;"Closed"),"INVALID – corrective action still open",IF(AND(NOT(OR(LEN(AZ650)&lt;15,ISNUMBER(MATCH(AZ650,L_Placeholder,0)))),BK650=0,CG650&gt;=8,NOT(OR(LEN(AU650)&lt;2,ISNUMBER(MATCH(AU650,L_Placeholder,0)))),BR650&gt;=3,NOT(OR(LEN(AX650)&lt;2,ISNUMBER(MATCH(AX650,L_Placeholder,0)))),BS650&gt;=3,TRIM(AE650)&lt;&gt;TRIM(T650),AX650&lt;&gt;AU650,CE650=0),"N/A – JUSTIFIED","INVALID – N/A needs a real, settled reason (not 'not applicable' / 'as above' / TBC), a named PIC and a different named verifier"))),IF(OR(TRIM(U650)="Pass",TRIM(U650)="Pass after CA"),IF(NOT(ISNUMBER(AD650)),"INVALID – completion time missing",IF(OR(OR(LEN(AU650)&lt;2,ISNUMBER(MATCH(AU650,L_Placeholder,0))),BR650&lt;3),"INVALID – PIC missing or not a named person (a role such as QA / CSM is not a name)",IF(OR(LEN(AV650)&lt;2,ISNUMBER(MATCH(AV650,L_Placeholder,0))),"INVALID – result / assessment missing",IF(OR(OR(LEN(AW650)&lt;3,ISNUMBER(MATCH(AW650,L_Placeholder,0))),SUMPRODUCT(--ISNUMBER(SEARCH(" "&amp;L_EvidencePhrase&amp;" ",BD650)))&gt;0,BI650=1),"INVALID – evidence missing, placeholder or not yet on file",IF(ISNA(MATCH(TRIM(S650),L_EvidenceType,0)),"INVALID – choose the evidence type from the list (column S)",IF(BL650=0,"INVALID – evidence ID must be the record's own ID only (e.g. SF-2210, IMG_2231, 1045521); a link / file name needs type 'Link / file path'",IF(OR(OR(LEN(AX650)&lt;2,ISNUMBER(MATCH(AX650,L_Placeholder,0))),BS650&lt;3),"INVALID – verifier missing or not a named person (a role such as QA / CSM is not a name)",IF(OR(AX650=AU650,CE650=1,AND(LEN(AU650)&gt;=4,ISNUMBER(SEARCH(AU650,AX650))),AND(LEN(AX650)&gt;=4,ISNUMBER(SEARCH(AX650,AU650)))),"INVALID – verifier must be a different, named person (not the PIC or a role)",IF(BH650=1,"INVALID – result not yet available (awaiting / TBC)",IF(BG650=1,"INVALID – result describes a problem: record Fail, then Pass after CA (or reword if it is not a problem)",IF(BV650=1,"INVALID – wording says not on board: an on-board confirmation needs the item loaded",IF(AND(AQ650=1,OR(OR(LEN(AY650)&lt;3,ISNUMBER(MATCH(AY650,L_Placeholder,0))),BJ650=1,BQ650=0)),"INVALID – batch ID missing, placeholder or not an ID (e.g. PASB-261008-BC-017)",IF(AND(AR650=1,OR(NOT(ISNUMBER(X650)),NOT(ISNUMBER(Y650)))),"INVALID – expected/actual qty missing",IF(AND(AR650=1,OR(X650&lt;=0,Y650&lt;0)),"INVALID – expected qty must be above 0 and actual not negative",IF(BB650&lt;&gt;"",BB650,IF(AND(AS650=1,Documents!$J$24&lt;&gt;"ON FILE"),"INVALID – GLD not on file (Documents sheet)",IF(AND(AS650=2,Documents!$O$24&lt;&gt;"ON FILE"),"INVALID – menu checklist not on file (Documents sheet)",IF(AND(AS650=3,NOT(ISNUMBER(Flights!$AX$24))),"INVALID – enter carrying flight KUL departure (Flights AX)",IF(AND(AS650=3,OR(Flights!$AZ$24&gt;Flights!$AA$24,Flights!$AX$24&lt;Flights!$AA$24-3)),"INVALID – carrying flight (Flights AX) cannot arrive before this leg's STD, or is over 3 days early",IF(AG650&gt;AsOfUTC,"INVALID – completion time is in the future",IF(AND(ISNUMBER(BY650),AG650&lt;BY650),IF(H650="Physical uplift","INVALID – before uplift window (cannot confirm loading)","INVALID – before valid window"),IF(AG650&gt;Flights!$AA$24,"INVALID – completed after departure (cannot establish readiness)",IF(AND(H650="Preparation",AG650&gt;=IF(ISNUMBER(Flights!$BA$24),MIN(Flights!$BA$24,Flights!$AA$24),Flights!$AA$24)),"INVALID – completed after loading / departure (cannot establish readiness)",IF(AND(H650="Physical uplift",AG650&gt;Q650),"INVALID – recorded after the loading flight departed",IF(AG650&gt;Q650,"COMPLETE – LATE","COMPLETE"))))))))))))))))))))))))),IF(TRIM(U650)="Fail","FAIL – DISCREPANCY",IF(AND(TRIM(U650)&lt;&gt;"",TRIM(U650)&lt;&gt;"Not started",TRIM(U650)&lt;&gt;"In progress"),"INVALID – unrecognised status (use the list)",IF(AsOfUTC&gt;Q650,"OVERDUE",IF(N650="Clarification required","OPEN – CLARIFICATION","OPEN"))))))),"INVALID – error value in an input cell")</f>
        <v>OPEN</v>
      </c>
      <c r="AI650" s="61" t="n">
        <f aca="false">IF(OR(AH650="N/A – RULE",AH650="N/A – JUSTIFIED"),0,1)</f>
        <v>1</v>
      </c>
      <c r="AJ650" s="61" t="n">
        <f aca="false">IF(LEFT(AH650,8)="COMPLETE",1,0)</f>
        <v>0</v>
      </c>
      <c r="AK650" s="61" t="n">
        <f aca="false">IF(AND(AI650=1,AJ650=0,AsOfUTC&gt;Q650),1,0)</f>
        <v>0</v>
      </c>
      <c r="AL650" s="61" t="n">
        <f aca="false">IFERROR(IF(AND(AI650=1,OR(TRIM(U650)="Fail",AND(TRIM(AB650)&lt;&gt;"",TRIM(AB650)&lt;&gt;"Closed"),AND(ISNUMBER(AF650),AF650&lt;&gt;0,TRIM(U650)&lt;&gt;"Pass after CA"))),1,0),1)</f>
        <v>0</v>
      </c>
      <c r="AM650" s="61" t="n">
        <f aca="false">IF(LEFT(AH650,7)="INVALID",1,0)</f>
        <v>0</v>
      </c>
      <c r="AN650" s="61" t="n">
        <f aca="false">IF(AND(N650="Clarification required",AI650=1,AJ650=0),1,0)</f>
        <v>0</v>
      </c>
      <c r="AO650" s="61" t="str">
        <f aca="false">IF(AK650=1,SUM(AK$5:AK650),"")</f>
        <v/>
      </c>
      <c r="AP650" s="61" t="str">
        <f aca="false">IF(AL650=1,SUM(AL$5:AL650),"")</f>
        <v/>
      </c>
      <c r="AQ650" s="61" t="n">
        <v>0</v>
      </c>
      <c r="AR650" s="61" t="n">
        <v>0</v>
      </c>
      <c r="AS650" s="61" t="n">
        <v>1</v>
      </c>
      <c r="AT650" s="61" t="n">
        <v>0</v>
      </c>
      <c r="AU650" s="61" t="str">
        <f aca="false">SUBSTITUTE(SUBSTITUTE(SUBSTITUTE(SUBSTITUTE(SUBSTITUTE(SUBSTITUTE(SUBSTITUTE(SUBSTITUTE(SUBSTITUTE(SUBSTITUTE(SUBSTITUTE(SUBSTITUTE(SUBSTITUTE(SUBSTITUTE(SUBSTITUTE(SUBSTITUTE(LOWER(T650&amp;""),CHAR(10),""),CHAR(13),""),CHAR(9),""),CHAR(160),"")," ",""),".",""),"-",""),"/",""),"?",""),"_",""),",",""),"[",""),"]",""),"(",""),")",""),"*","")</f>
        <v/>
      </c>
      <c r="AV650" s="61" t="str">
        <f aca="false">SUBSTITUTE(SUBSTITUTE(SUBSTITUTE(SUBSTITUTE(SUBSTITUTE(SUBSTITUTE(SUBSTITUTE(SUBSTITUTE(SUBSTITUTE(SUBSTITUTE(SUBSTITUTE(SUBSTITUTE(SUBSTITUTE(SUBSTITUTE(SUBSTITUTE(SUBSTITUTE(LOWER(V650&amp;""),CHAR(10),""),CHAR(13),""),CHAR(9),""),CHAR(160),"")," ",""),".",""),"-",""),"/",""),"?",""),"_",""),",",""),"[",""),"]",""),"(",""),")",""),"*","")</f>
        <v/>
      </c>
      <c r="AW650" s="61" t="str">
        <f aca="false">SUBSTITUTE(SUBSTITUTE(SUBSTITUTE(SUBSTITUTE(SUBSTITUTE(SUBSTITUTE(SUBSTITUTE(SUBSTITUTE(SUBSTITUTE(SUBSTITUTE(SUBSTITUTE(SUBSTITUTE(SUBSTITUTE(SUBSTITUTE(SUBSTITUTE(SUBSTITUTE(LOWER(Z650&amp;""),CHAR(10),""),CHAR(13),""),CHAR(9),""),CHAR(160),"")," ",""),".",""),"-",""),"/",""),"?",""),"_",""),",",""),"[",""),"]",""),"(",""),")",""),"*","")</f>
        <v/>
      </c>
      <c r="AX650" s="61" t="str">
        <f aca="false">SUBSTITUTE(SUBSTITUTE(SUBSTITUTE(SUBSTITUTE(SUBSTITUTE(SUBSTITUTE(SUBSTITUTE(SUBSTITUTE(SUBSTITUTE(SUBSTITUTE(SUBSTITUTE(SUBSTITUTE(SUBSTITUTE(SUBSTITUTE(SUBSTITUTE(SUBSTITUTE(LOWER(AE650&amp;""),CHAR(10),""),CHAR(13),""),CHAR(9),""),CHAR(160),"")," ",""),".",""),"-",""),"/",""),"?",""),"_",""),",",""),"[",""),"]",""),"(",""),")",""),"*","")</f>
        <v/>
      </c>
      <c r="AY650" s="61" t="str">
        <f aca="false">SUBSTITUTE(SUBSTITUTE(SUBSTITUTE(SUBSTITUTE(SUBSTITUTE(SUBSTITUTE(SUBSTITUTE(SUBSTITUTE(SUBSTITUTE(SUBSTITUTE(SUBSTITUTE(SUBSTITUTE(SUBSTITUTE(SUBSTITUTE(SUBSTITUTE(SUBSTITUTE(LOWER(W650&amp;""),CHAR(10),""),CHAR(13),""),CHAR(9),""),CHAR(160),"")," ",""),".",""),"-",""),"/",""),"?",""),"_",""),",",""),"[",""),"]",""),"(",""),")",""),"*","")</f>
        <v/>
      </c>
      <c r="AZ650" s="61" t="str">
        <f aca="false">SUBSTITUTE(SUBSTITUTE(SUBSTITUTE(SUBSTITUTE(SUBSTITUTE(SUBSTITUTE(SUBSTITUTE(SUBSTITUTE(SUBSTITUTE(SUBSTITUTE(SUBSTITUTE(SUBSTITUTE(SUBSTITUTE(SUBSTITUTE(SUBSTITUTE(SUBSTITUTE(LOWER(AC650&amp;""),CHAR(10),""),CHAR(13),""),CHAR(9),""),CHAR(160),"")," ",""),".",""),"-",""),"/",""),"?",""),"_",""),",",""),"[",""),"]",""),"(",""),")",""),"*","")</f>
        <v/>
      </c>
      <c r="BA650" s="61" t="str">
        <f aca="false">SUBSTITUTE(SUBSTITUTE(SUBSTITUTE(SUBSTITUTE(SUBSTITUTE(SUBSTITUTE(SUBSTITUTE(SUBSTITUTE(SUBSTITUTE(SUBSTITUTE(SUBSTITUTE(SUBSTITUTE(SUBSTITUTE(SUBSTITUTE(SUBSTITUTE(SUBSTITUTE(LOWER(AA650&amp;""),CHAR(10),""),CHAR(13),""),CHAR(9),""),CHAR(160),"")," ",""),".",""),"-",""),"/",""),"?",""),"_",""),",",""),"[",""),"]",""),"(",""),")",""),"*","")</f>
        <v/>
      </c>
      <c r="BB650" s="61" t="str">
        <f aca="false">IF(AND(TRIM(U650)="Pass",ISNUMBER(AF650)),IF(AF650&lt;&gt;0,"INVALID – qty variance: use Fail or Pass after CA",""),"")&amp;IF(AND(TRIM(U650)="Pass after CA",ISNUMBER(AF650)),IF(AF650&lt;&gt;0,"INVALID – after the corrective action the actual qty must equal expected (update Actual)",""),"")&amp;IF(AND(TRIM(U650)="Pass",TRIM(AB650)&lt;&gt;"",TRIM(AB650)&lt;&gt;"Closed"),"INVALID – corrective action not closed: use Fail, then Pass after CA","")&amp;IF(AND(LEN(BA650)&gt;=2,ISNA(MATCH(LEFT(BA650,255),L_Placeholder,0)),TRIM(AB650)=""),"INVALID – CA status missing for the recorded corrective action","")&amp;IF(AND(TRIM(U650)="Pass after CA",OR(OR(LEN(BA650)&lt;5,ISNUMBER(MATCH(BA650,L_Placeholder,0))),TRIM(AB650)&lt;&gt;"Closed")),"INVALID – corrective action not recorded/closed","")</f>
        <v/>
      </c>
      <c r="BC650" s="61" t="str">
        <f aca="false">" "&amp;TRIM(SUBSTITUTE(SUBSTITUTE(SUBSTITUTE(SUBSTITUTE(SUBSTITUTE(SUBSTITUTE(SUBSTITUTE(SUBSTITUTE(SUBSTITUTE(SUBSTITUTE(SUBSTITUTE(SUBSTITUTE(SUBSTITUTE(SUBSTITUTE(SUBSTITUTE(SUBSTITUTE(SUBSTITUTE(SUBSTITUTE(SUBSTITUTE(SUBSTITUTE(SUBSTITUTE(SUBSTITUTE(SUBSTITUTE(SUBSTITUTE(LOWER(V650&amp;""),CHAR(10)," "),CHAR(13)," "),CHAR(9)," "),CHAR(160)," "),"."," "),","," "),"-"," "),"/"," "),"("," "),")"," "),":"," "),";"," "),"_"," "),"–"," "),"?"," "),"!"," "),"*"," "),"["," "),"]"," "),"'"," "),"#"," "),"+"," "),"&amp;"," "),"\"," "))&amp;" "</f>
        <v>  </v>
      </c>
      <c r="BD650" s="61" t="str">
        <f aca="false">" "&amp;TRIM(SUBSTITUTE(SUBSTITUTE(SUBSTITUTE(SUBSTITUTE(SUBSTITUTE(SUBSTITUTE(SUBSTITUTE(SUBSTITUTE(SUBSTITUTE(SUBSTITUTE(SUBSTITUTE(SUBSTITUTE(SUBSTITUTE(SUBSTITUTE(SUBSTITUTE(SUBSTITUTE(SUBSTITUTE(SUBSTITUTE(SUBSTITUTE(SUBSTITUTE(SUBSTITUTE(SUBSTITUTE(SUBSTITUTE(SUBSTITUTE(LOWER(Z650&amp;""),CHAR(10)," "),CHAR(13)," "),CHAR(9)," "),CHAR(160)," "),"."," "),","," "),"-"," "),"/"," "),"("," "),")"," "),":"," "),";"," "),"_"," "),"–"," "),"?"," "),"!"," "),"*"," "),"["," "),"]"," "),"'"," "),"#"," "),"+"," "),"&amp;"," "),"\"," "))&amp;" "</f>
        <v>  </v>
      </c>
      <c r="BE650" s="61" t="str">
        <f aca="false">" "&amp;TRIM(SUBSTITUTE(SUBSTITUTE(SUBSTITUTE(SUBSTITUTE(SUBSTITUTE(SUBSTITUTE(SUBSTITUTE(SUBSTITUTE(SUBSTITUTE(SUBSTITUTE(SUBSTITUTE(SUBSTITUTE(SUBSTITUTE(SUBSTITUTE(SUBSTITUTE(SUBSTITUTE(SUBSTITUTE(SUBSTITUTE(SUBSTITUTE(SUBSTITUTE(SUBSTITUTE(SUBSTITUTE(SUBSTITUTE(SUBSTITUTE(LOWER(W650&amp;""),CHAR(10)," "),CHAR(13)," "),CHAR(9)," "),CHAR(160)," "),"."," "),","," "),"-"," "),"/"," "),"("," "),")"," "),":"," "),";"," "),"_"," "),"–"," "),"?"," "),"!"," "),"*"," "),"["," "),"]"," "),"'"," "),"#"," "),"+"," "),"&amp;"," "),"\"," "))&amp;" "</f>
        <v>  </v>
      </c>
      <c r="BF650" s="61" t="str">
        <f aca="false">" "&amp;TRIM(SUBSTITUTE(SUBSTITUTE(SUBSTITUTE(SUBSTITUTE(SUBSTITUTE(SUBSTITUTE(SUBSTITUTE(SUBSTITUTE(SUBSTITUTE(SUBSTITUTE(SUBSTITUTE(SUBSTITUTE(SUBSTITUTE(SUBSTITUTE(SUBSTITUTE(SUBSTITUTE(SUBSTITUTE(SUBSTITUTE(SUBSTITUTE(SUBSTITUTE(SUBSTITUTE(SUBSTITUTE(SUBSTITUTE(SUBSTITUTE(LOWER(AC650&amp;""),CHAR(10)," "),CHAR(13)," "),CHAR(9)," "),CHAR(160)," "),"."," "),","," "),"-"," "),"/"," "),"("," "),")"," "),":"," "),";"," "),"_"," "),"–"," "),"?"," "),"!"," "),"*"," "),"["," "),"]"," "),"'"," "),"#"," "),"+"," "),"&amp;"," "),"\"," "))&amp;" "</f>
        <v>  </v>
      </c>
      <c r="BG650" s="61" t="n">
        <f aca="false">IFERROR(IF(AND(TRIM(U650)="Pass",SUMPRODUCT((LEN(BC650)-LEN(SUBSTITUTE(BC650," "&amp;L_ResultBad&amp;" "," ")))/(LEN(L_ResultBad)+1))&gt;SUMPRODUCT((LEN(BC650)-LEN(SUBSTITUTE(BC650," "&amp;L_NegPhrase&amp;" "," ")))/(LEN(L_NegPhrase)+1))),1,0),0)</f>
        <v>0</v>
      </c>
      <c r="BH650" s="61" t="n">
        <f aca="false">IFERROR(IF(SUMPRODUCT((LEN(BC650)-LEN(SUBSTITUTE(BC650," "&amp;L_Pending&amp;" "," ")))/(LEN(L_Pending)+1))&gt;SUMPRODUCT((LEN(BC650)-LEN(SUBSTITUTE(BC650," "&amp;L_PendNeg&amp;" "," ")))/(LEN(L_PendNeg)+1))+SUMPRODUCT((LEN(BC650)-LEN(SUBSTITUTE(BC650," "&amp;L_PendPrep&amp;" "," ")))/(LEN(L_PendPrep)+1)),1,0),1)</f>
        <v>0</v>
      </c>
      <c r="BI650" s="61" t="n">
        <f aca="false">IFERROR(IF(SUMPRODUCT((LEN(BD650)-LEN(SUBSTITUTE(BD650," "&amp;L_PendStrict&amp;" "," ")))/(LEN(L_PendStrict)+1))&gt;SUMPRODUCT((LEN(BD650)-LEN(SUBSTITUTE(BD650," "&amp;L_PendNeg&amp;" "," ")))/(LEN(L_PendNeg)+1)),1,0),1)</f>
        <v>0</v>
      </c>
      <c r="BJ650" s="61" t="n">
        <f aca="false">IFERROR(IF(SUMPRODUCT((LEN(BE650)-LEN(SUBSTITUTE(BE650," "&amp;L_Pending&amp;" "," ")))/(LEN(L_Pending)+1))&gt;SUMPRODUCT((LEN(BE650)-LEN(SUBSTITUTE(BE650," "&amp;L_PendNeg&amp;" "," ")))/(LEN(L_PendNeg)+1))+SUMPRODUCT((LEN(BE650)-LEN(SUBSTITUTE(BE650," "&amp;L_PendPrep&amp;" "," ")))/(LEN(L_PendPrep)+1)),1,0),1)</f>
        <v>0</v>
      </c>
      <c r="BK650" s="61" t="n">
        <f aca="false">IFERROR(IF(SUMPRODUCT((LEN(BF650)-LEN(SUBSTITUTE(BF650," "&amp;L_PendStrict&amp;" "," ")))/(LEN(L_PendStrict)+1))&gt;SUMPRODUCT((LEN(BF650)-LEN(SUBSTITUTE(BF650," "&amp;L_PendNeg&amp;" "," ")))/(LEN(L_PendNeg)+1)),1,0),1)</f>
        <v>0</v>
      </c>
      <c r="BL650" s="61" t="n">
        <f aca="false">IF(ISNA(MATCH(TRIM(S650),L_EvidenceType,0)),0,BZ650)</f>
        <v>0</v>
      </c>
      <c r="BM650" s="61" t="str">
        <f aca="false">SUBSTITUTE(SUBSTITUTE(SUBSTITUTE(SUBSTITUTE(SUBSTITUTE(SUBSTITUTE(SUBSTITUTE(SUBSTITUTE(SUBSTITUTE(LOWER(Z650&amp;""),"1","0"),"2","0"),"3","0"),"4","0"),"5","0"),"6","0"),"7","0"),"8","0"),"9","0")</f>
        <v/>
      </c>
      <c r="BN650" s="61" t="str">
        <f aca="false">SUBSTITUTE(SUBSTITUTE(SUBSTITUTE(SUBSTITUTE(SUBSTITUTE(SUBSTITUTE(SUBSTITUTE(SUBSTITUTE(SUBSTITUTE(SUBSTITUTE(SUBSTITUTE(SUBSTITUTE(SUBSTITUTE(SUBSTITUTE(SUBSTITUTE(SUBSTITUTE(SUBSTITUTE(SUBSTITUTE(SUBSTITUTE(SUBSTITUTE(SUBSTITUTE(SUBSTITUTE(SUBSTITUTE(SUBSTITUTE(SUBSTITUTE(BM650,"b","a"),"c","a"),"d","a"),"e","a"),"f","a"),"g","a"),"h","a"),"i","a"),"j","a"),"k","a"),"l","a"),"m","a"),"n","a"),"o","a"),"p","a"),"q","a"),"r","a"),"s","a"),"t","a"),"u","a"),"v","a"),"w","a"),"x","a"),"y","a"),"z","a")</f>
        <v/>
      </c>
      <c r="BO650" s="61" t="str">
        <f aca="false">SUBSTITUTE(SUBSTITUTE(SUBSTITUTE(SUBSTITUTE(SUBSTITUTE(SUBSTITUTE(SUBSTITUTE(SUBSTITUTE(SUBSTITUTE(LOWER(W650&amp;""),"1","0"),"2","0"),"3","0"),"4","0"),"5","0"),"6","0"),"7","0"),"8","0"),"9","0")</f>
        <v/>
      </c>
      <c r="BP650" s="61" t="str">
        <f aca="false">SUBSTITUTE(SUBSTITUTE(SUBSTITUTE(SUBSTITUTE(SUBSTITUTE(SUBSTITUTE(SUBSTITUTE(SUBSTITUTE(SUBSTITUTE(SUBSTITUTE(SUBSTITUTE(SUBSTITUTE(SUBSTITUTE(SUBSTITUTE(SUBSTITUTE(SUBSTITUTE(SUBSTITUTE(SUBSTITUTE(SUBSTITUTE(SUBSTITUTE(SUBSTITUTE(SUBSTITUTE(SUBSTITUTE(SUBSTITUTE(SUBSTITUTE(BO650,"b","a"),"c","a"),"d","a"),"e","a"),"f","a"),"g","a"),"h","a"),"i","a"),"j","a"),"k","a"),"l","a"),"m","a"),"n","a"),"o","a"),"p","a"),"q","a"),"r","a"),"s","a"),"t","a"),"u","a"),"v","a"),"w","a"),"x","a"),"y","a"),"z","a")</f>
        <v/>
      </c>
      <c r="BQ650" s="61" t="n">
        <f aca="false">IFERROR(IF(AND(ISERROR(SEARCH(" mh"," "&amp;LOWER(W650))),ISNA(MATCH(LEFT(TRIM(BP650),255),{"0000a","000a","00a","0000aa","000aa","00aa","0aa","0000aaa","000aaa","00a00","0a00","0000-0000","00:00","a00","a0","00.00.0000","00/00/0000","00-00-0000","0000-00-00","0000/00/00","0000.00.00","00.00.00","00/00/00","00-00-00","0.00.0000","0/00/0000","0-00-0000"},0)),ISNA(MATCH(LEFT(TRIM(CA650),255),{"0000a","000a","00a","0000aa","000aa","00aa","0aa","0000aaa","000aaa","00a00","0a00","0000-0000","00:00","a00","a0","00.00.0000","00/00/0000","00-00-0000","0000-00-00","0000/00/00","0000.00.00","00.00.00","00/00/00","00-00-00","0.00.0000","0/00/0000","0-00-0000"},0)),LEN(CB650)&gt;=3,NOT(OR(SUBSTITUTE(CB650,"0","")="",AND(LEN(CB650)&gt;=4,CB650=REPT(LEFT(CB650),LEN(CB650))),ISNUMBER(MATCH(CB650,{"123","1234","12345","123456","1234567","12345678","0123","01234","012345","98765","987654","54321"},0)),AND(LEN(CB650)=8,LEFT(CB650,3)="202"))),OR(AND((LEN(CA650)-LEN(SUBSTITUTE(CA650,"a","")))&gt;=1,SUMPRODUCT(--ISNUMBER(SEARCH({"a0","a-0","a_0","a/0","a.0","a#0","0a","0-a","0_a","0/a"},BP650)))&gt;0),ISNUMBER(SEARCH("000000",BP650)))),1,0),0)</f>
        <v>0</v>
      </c>
      <c r="BR650" s="61" t="n">
        <f aca="false">IFERROR(LEN(SUBSTITUTE(CC650," ",""))-SUMPRODUCT((LEN(CC650)-LEN(SUBSTITUTE(CC650," "&amp;L_Role&amp;" "," ")))/(LEN(L_Role)+1)*LEN(L_Role)),0)</f>
        <v>0</v>
      </c>
      <c r="BS650" s="61" t="n">
        <f aca="false">IFERROR(LEN(SUBSTITUTE(CD650," ",""))-SUMPRODUCT((LEN(CD650)-LEN(SUBSTITUTE(CD650," "&amp;L_Role&amp;" "," ")))/(LEN(L_Role)+1)*LEN(L_Role)),0)</f>
        <v>0</v>
      </c>
      <c r="BT6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650,"revision",""),"version",""),"jan",""),"feb",""),"mar",""),"apr",""),"may",""),"jun",""),"jul",""),"aug",""),"sep",""),"oct",""),"nov",""),"dec",""),"utc",""),"gmt",""),"myt",""),"bst",""),"rev",""),"ver",""),"b","a"),"c","a"),"d","a"),"e","a"),"f","a"),"g","a"),"h","a"),"i","a"),"j","a"),"k","a"),"l","a"),"m","a"),"n","a"),"o","a"),"p","a"),"q","a"),"r","a"),"s","a"),"t","a"),"u","a"),"v","a"),"w","a"),"x","a"),"y","a"),"z","a")</f>
        <v/>
      </c>
      <c r="BU650" s="61" t="str">
        <f aca="false">SUBSTITUTE(SUBSTITUTE(SUBSTITUTE(SUBSTITUTE(SUBSTITUTE(SUBSTITUTE(SUBSTITUTE(SUBSTITUTE(SUBSTITUTE(SUBSTITUTE(LEFT(BM650,FIND("0",BM650&amp;"0")-1),"-",""),"_",""),"/",""),".",""),"#",""),"\\",""),":","")," ",""),"(",""),")","")</f>
        <v/>
      </c>
      <c r="BV650" s="61" t="n">
        <f aca="false">0</f>
        <v>0</v>
      </c>
      <c r="BW65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650&amp;""),"a",""),"b",""),"c",""),"d",""),"e",""),"f",""),"g",""),"h",""),"i",""),"j",""),"k",""),"l",""),"m",""),"n",""),"o",""),"p",""),"q",""),"r",""),"s",""),"t",""),"u",""),"v",""),"w",""),"x",""),"y",""),"z",""),"-",""),"_",""),"/",""),".",""),"#",""),"\\",""),":","")," ",""),"(",""),")","")</f>
        <v/>
      </c>
      <c r="BX650" s="61" t="str">
        <f aca="false">SUBSTITUTE(SUBSTITUTE(SUBSTITUTE(SUBSTITUTE(SUBSTITUTE(SUBSTITUTE(SUBSTITUTE(SUBSTITUTE(SUBSTITUTE(SUBSTITUTE(SUBSTITUTE(BM650,"0",""),"-",""),"_",""),"/",""),".",""),"#",""),"\\",""),":","")," ",""),"(",""),")","")</f>
        <v/>
      </c>
      <c r="BY650" s="62" t="n">
        <f aca="false">Q650-T7EarlyD*24/24</f>
        <v>46303.4375</v>
      </c>
      <c r="BZ650" s="61" t="n">
        <f aca="false">IFERROR(IF(IF(TRIM(S650)="Link / file path",AND(LEN(TRIM(Z650))&gt;=5,SUMPRODUCT(--ISNUMBER(SEARCH({"http","www.","\\",":\",".pdf",".jpg",".jpeg",".png",".heic",".xls",".doc",".msg",".eml",".ppt",".txt",".zip"},Z650)))&gt;0),AND(ISERROR(FIND(" ",TRIM(Z650))),NOT(OR(SUMPRODUCT(--ISNUMBER(FIND({",",";","&amp;","+"},Z650)))&gt;0,SUMPRODUCT(--ISNUMBER(SEARCH({"0/aa","0\\aa"},BN650)))&gt;0)),NOT(SUMPRODUCT(--ISNUMBER(SEARCH({"http","www.","\\",":\",".pdf",".jpg",".jpeg",".png",".heic",".xls",".doc",".msg",".eml",".ppt",".txt",".zip"},Z650)))&gt;0),NOT(LOWER(TRIM(Z650))=LOWER(Flights!$F$24)),ISNA(MATCH(BU650,{"mh","rev","revision","ver","version","v","r","a","b","seat","tray","row","gate","bay","stand","page","pg","item","line","no","cart","galley","flight","flt","table","box","bag","oven","etd","eta","std","sta","atd","ata","qty","pax","x","time","tel","ph","mob","day","wk","week","utc","gmt","myt","lt"},0)),NOT(OR(ISNUMBER(MATCH(LEFT(BN650,255),{"0000a","000a","00a","0000aa","000aa","00aa","0aa","0000aaa","000aaa","00a00","0a00","0000-0000","00:00","a00","a0","00.00.0000","00/00/0000","00-00-0000","0000-00-00","0000/00/00","0000.00.00","00.00.00","00/00/00","00-00-00","0.00.0000","0/00/0000","0-00-0000"},0)),ISNUMBER(MATCH(LEFT(BT650,255),{"0000a","000a","00a","0000aa","000aa","00aa","0aa","0000aaa","000aaa","00a00","0a00","0000-0000","00:00","a00","a0","00.00.0000","00/00/0000","00-00-0000","0000-00-00","0000/00/00","0000.00.00","00.00.00","00/00/00","00-00-00","0.00.0000","0/00/0000","0-00-0000"},0)))),NOT(OR(AND(BW650&lt;&gt;"",SUBSTITUTE(BW650,"0","")=""),AND(LEN(BW650)&gt;=4,BW650=REPT(LEFT(BW650),LEN(BW650))),ISNUMBER(MATCH(BW650,{"123","1234","12345","123456","1234567","12345678","0123","01234","012345","98765","987654","54321"},0)),ISNUMBER(MATCH(BX650,{"x","xx","xxx","xxxx","xxxxx","abc","abcd","nil","na","nan","test","tbc","tba","tbd","dummy","sample","example","eg","zz","zzz","none","null","xyz","qwe","asd","id","ref"},0)),AND(LEN(BW650)=8,BX650="",OR(LEFT(BW650,3)="202",ISNUMBER(MATCH(RIGHT(BW650,4),{"2025","2026","2027"},0)))))),OR(AND((LEN(BT650)-LEN(SUBSTITUTE(BT650,"a","")))&gt;=1,(LEN(BN650)-LEN(SUBSTITUTE(BN650,"0","")))&gt;=2,SUMPRODUCT(--ISNUMBER(SEARCH({"a0","a-0","a_0","a/0","a.0","a#0","0a","0-a","0_a","0/a"},BN650)))&gt;0),AND((LEN(BN650)-LEN(SUBSTITUTE(BN650,"a","")))=0,(LEN(BN650)-LEN(SUBSTITUTE(BN650,"0","")))&gt;=5)))),1,0),0)</f>
        <v>0</v>
      </c>
      <c r="CA6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650,"revision",""),"version",""),"jan",""),"feb",""),"mar",""),"apr",""),"may",""),"jun",""),"jul",""),"aug",""),"sep",""),"oct",""),"nov",""),"dec",""),"utc",""),"gmt",""),"myt",""),"bst",""),"rev",""),"ver",""),"b","a"),"c","a"),"d","a"),"e","a"),"f","a"),"g","a"),"h","a"),"i","a"),"j","a"),"k","a"),"l","a"),"m","a"),"n","a"),"o","a"),"p","a"),"q","a"),"r","a"),"s","a"),"t","a"),"u","a"),"v","a"),"w","a"),"x","a"),"y","a"),"z","a")</f>
        <v/>
      </c>
      <c r="CB65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650&amp;""),"a",""),"b",""),"c",""),"d",""),"e",""),"f",""),"g",""),"h",""),"i",""),"j",""),"k",""),"l",""),"m",""),"n",""),"o",""),"p",""),"q",""),"r",""),"s",""),"t",""),"u",""),"v",""),"w",""),"x",""),"y",""),"z",""),"-",""),"_",""),"/",""),".",""),"#",""),"\\",""),":","")," ",""),"(",""),")","")</f>
        <v/>
      </c>
      <c r="CC650" s="0" t="str">
        <f aca="false">" "&amp;TRIM(SUBSTITUTE(SUBSTITUTE(SUBSTITUTE(SUBSTITUTE(SUBSTITUTE(SUBSTITUTE(SUBSTITUTE(SUBSTITUTE(SUBSTITUTE(SUBSTITUTE(SUBSTITUTE(SUBSTITUTE(SUBSTITUTE(SUBSTITUTE(SUBSTITUTE(SUBSTITUTE(SUBSTITUTE(SUBSTITUTE(SUBSTITUTE(SUBSTITUTE(SUBSTITUTE(SUBSTITUTE(SUBSTITUTE(SUBSTITUTE(LOWER(T650&amp;""),CHAR(10)," "),CHAR(13)," "),CHAR(9)," "),CHAR(160)," "),"."," "),","," "),"-"," "),"/"," "),"("," "),")"," "),":"," "),";"," "),"_"," "),"–"," "),"?"," "),"!"," "),"*"," "),"["," "),"]"," "),"'"," "),"#"," "),"+"," "),"&amp;"," "),"\"," "))&amp;" "</f>
        <v>  </v>
      </c>
      <c r="CD650" s="0" t="str">
        <f aca="false">" "&amp;TRIM(SUBSTITUTE(SUBSTITUTE(SUBSTITUTE(SUBSTITUTE(SUBSTITUTE(SUBSTITUTE(SUBSTITUTE(SUBSTITUTE(SUBSTITUTE(SUBSTITUTE(SUBSTITUTE(SUBSTITUTE(SUBSTITUTE(SUBSTITUTE(SUBSTITUTE(SUBSTITUTE(SUBSTITUTE(SUBSTITUTE(SUBSTITUTE(SUBSTITUTE(SUBSTITUTE(SUBSTITUTE(SUBSTITUTE(SUBSTITUTE(LOWER(AE650&amp;""),CHAR(10)," "),CHAR(13)," "),CHAR(9)," "),CHAR(160)," "),"."," "),","," "),"-"," "),"/"," "),"("," "),")"," "),":"," "),";"," "),"_"," "),"–"," "),"?"," "),"!"," "),"*"," "),"["," "),"]"," "),"'"," "),"#"," "),"+"," "),"&amp;"," "),"\"," "))&amp;" "</f>
        <v>  </v>
      </c>
      <c r="CE650" s="68" t="n">
        <f aca="false">IFERROR(IF(AND(LEN(AU650)&gt;0,LEN(AU650)=LEN(AX650),OR(TRIM(MID(SUBSTITUTE(TRIM(CC650)," ",REPT(" ",60)),1,60))="",ISNUMBER(SEARCH(" "&amp;TRIM(MID(SUBSTITUTE(TRIM(CC650)," ",REPT(" ",60)),1,60))&amp;" ",CD650))),OR(TRIM(MID(SUBSTITUTE(TRIM(CC650)," ",REPT(" ",60)),61,60))="",ISNUMBER(SEARCH(" "&amp;TRIM(MID(SUBSTITUTE(TRIM(CC650)," ",REPT(" ",60)),61,60))&amp;" ",CD650))),OR(TRIM(MID(SUBSTITUTE(TRIM(CC650)," ",REPT(" ",60)),121,60))="",ISNUMBER(SEARCH(" "&amp;TRIM(MID(SUBSTITUTE(TRIM(CC650)," ",REPT(" ",60)),121,60))&amp;" ",CD650)))),1,0),0)</f>
        <v>0</v>
      </c>
      <c r="CG650" s="68" t="n">
        <f aca="false">IFERROR(LEN(SUBSTITUTE(BF650," ",""))-SUMPRODUCT((LEN(BF650)-LEN(SUBSTITUTE(BF650," "&amp;L_NAFiller&amp;" "," ")))/(LEN(L_NAFiller)+1)*LEN(L_NAFiller)),0)</f>
        <v>0</v>
      </c>
    </row>
    <row r="651" customFormat="false" ht="39.75" hidden="false" customHeight="true" outlineLevel="0" collapsed="false">
      <c r="A651" s="57" t="s">
        <v>1369</v>
      </c>
      <c r="B651" s="57" t="s">
        <v>304</v>
      </c>
      <c r="C651" s="57" t="str">
        <f aca="false">Flights!$F$24</f>
        <v>MH1450</v>
      </c>
      <c r="D651" s="58" t="n">
        <f aca="false">Flights!$D$24</f>
        <v>46324</v>
      </c>
      <c r="E651" s="57" t="str">
        <f aca="false">Flights!$G$24&amp;"-"&amp;Flights!$H$24</f>
        <v>KUL-LGK</v>
      </c>
      <c r="F651" s="57" t="str">
        <f aca="false">Flights!$K$24</f>
        <v>EY</v>
      </c>
      <c r="G651" s="57" t="s">
        <v>81</v>
      </c>
      <c r="H651" s="57" t="s">
        <v>378</v>
      </c>
      <c r="I651" s="57" t="s">
        <v>405</v>
      </c>
      <c r="J651" s="57" t="s">
        <v>409</v>
      </c>
      <c r="K651" s="67" t="s">
        <v>407</v>
      </c>
      <c r="L651" s="67" t="s">
        <v>382</v>
      </c>
      <c r="M651" s="67"/>
      <c r="N651" s="67" t="s">
        <v>383</v>
      </c>
      <c r="O651" s="67"/>
      <c r="P651" s="57" t="s">
        <v>187</v>
      </c>
      <c r="Q651" s="59" t="n">
        <f aca="false">ROUND((Flights!$AC$24)*1440,0)/1440</f>
        <v>46317.4375</v>
      </c>
      <c r="R651" s="59" t="n">
        <f aca="false">Q651+(IF(AND(INDEX(TZ_DSTS,MATCH(P651,TZ_STN,0))&lt;&gt;"",Q651&gt;=INDEX(TZ_DSTS,MATCH(P651,TZ_STN,0)),Q651&lt;INDEX(TZ_DSTE,MATCH(P651,TZ_STN,0))),INDEX(TZ_DST,MATCH(P651,TZ_STN,0)),INDEX(TZ_STD,MATCH(P651,TZ_STN,0))))/24</f>
        <v>46317.7708333333</v>
      </c>
      <c r="S651" s="60"/>
      <c r="T651" s="60"/>
      <c r="U651" s="60"/>
      <c r="V651" s="60"/>
      <c r="W651" s="61"/>
      <c r="X651" s="60"/>
      <c r="Y651" s="60"/>
      <c r="Z651" s="60"/>
      <c r="AA651" s="60"/>
      <c r="AB651" s="60"/>
      <c r="AC651" s="60"/>
      <c r="AD651" s="66"/>
      <c r="AE651" s="60"/>
      <c r="AF651" s="61" t="str">
        <f aca="false">IF(AND(ISNUMBER(X651),ISNUMBER(Y651)),Y651-X651,"")</f>
        <v/>
      </c>
      <c r="AG651" s="62" t="str">
        <f aca="false">IF(ISNUMBER(AD651),AD651-(IF(AND(INDEX(TZ_DSTS,MATCH(P651,TZ_STN,0))&lt;&gt;"",(AD651-INDEX(TZ_STD,MATCH(P651,TZ_STN,0))/24)&gt;=INDEX(TZ_DSTS,MATCH(P651,TZ_STN,0)),(AD651-INDEX(TZ_STD,MATCH(P651,TZ_STN,0))/24)&lt;INDEX(TZ_DSTE,MATCH(P651,TZ_STN,0))),INDEX(TZ_DST,MATCH(P651,TZ_STN,0)),INDEX(TZ_STD,MATCH(P651,TZ_STN,0))))/24,"")</f>
        <v/>
      </c>
      <c r="AH651" s="65" t="str">
        <f aca="false">IFERROR(IF(N651="N/A – rule",IF(OR(TRIM(U651)="",TRIM(U651)="N/A",TRIM(U651)="Not started"),"N/A – RULE","INVALID – this check does not apply to this aircraft: clear the status (or correct the fleet on Flights)"),IF(TRIM(U651)="N/A",IF(AT651=0,"INVALID – N/A not permitted for this check",IF(AND(TRIM(AB651)&lt;&gt;"",TRIM(AB651)&lt;&gt;"Closed"),"INVALID – corrective action still open",IF(AND(NOT(OR(LEN(AZ651)&lt;15,ISNUMBER(MATCH(AZ651,L_Placeholder,0)))),BK651=0,CG651&gt;=8,NOT(OR(LEN(AU651)&lt;2,ISNUMBER(MATCH(AU651,L_Placeholder,0)))),BR651&gt;=3,NOT(OR(LEN(AX651)&lt;2,ISNUMBER(MATCH(AX651,L_Placeholder,0)))),BS651&gt;=3,TRIM(AE651)&lt;&gt;TRIM(T651),AX651&lt;&gt;AU651,CE651=0),"N/A – JUSTIFIED","INVALID – N/A needs a real, settled reason (not 'not applicable' / 'as above' / TBC), a named PIC and a different named verifier"))),IF(OR(TRIM(U651)="Pass",TRIM(U651)="Pass after CA"),IF(NOT(ISNUMBER(AD651)),"INVALID – completion time missing",IF(OR(OR(LEN(AU651)&lt;2,ISNUMBER(MATCH(AU651,L_Placeholder,0))),BR651&lt;3),"INVALID – PIC missing or not a named person (a role such as QA / CSM is not a name)",IF(OR(LEN(AV651)&lt;2,ISNUMBER(MATCH(AV651,L_Placeholder,0))),"INVALID – result / assessment missing",IF(OR(OR(LEN(AW651)&lt;3,ISNUMBER(MATCH(AW651,L_Placeholder,0))),SUMPRODUCT(--ISNUMBER(SEARCH(" "&amp;L_EvidencePhrase&amp;" ",BD651)))&gt;0,BI651=1),"INVALID – evidence missing, placeholder or not yet on file",IF(ISNA(MATCH(TRIM(S651),L_EvidenceType,0)),"INVALID – choose the evidence type from the list (column S)",IF(BL651=0,"INVALID – evidence ID must be the record's own ID only (e.g. SF-2210, IMG_2231, 1045521); a link / file name needs type 'Link / file path'",IF(OR(OR(LEN(AX651)&lt;2,ISNUMBER(MATCH(AX651,L_Placeholder,0))),BS651&lt;3),"INVALID – verifier missing or not a named person (a role such as QA / CSM is not a name)",IF(OR(AX651=AU651,CE651=1,AND(LEN(AU651)&gt;=4,ISNUMBER(SEARCH(AU651,AX651))),AND(LEN(AX651)&gt;=4,ISNUMBER(SEARCH(AX651,AU651)))),"INVALID – verifier must be a different, named person (not the PIC or a role)",IF(BH651=1,"INVALID – result not yet available (awaiting / TBC)",IF(BG651=1,"INVALID – result describes a problem: record Fail, then Pass after CA (or reword if it is not a problem)",IF(BV651=1,"INVALID – wording says not on board: an on-board confirmation needs the item loaded",IF(AND(AQ651=1,OR(OR(LEN(AY651)&lt;3,ISNUMBER(MATCH(AY651,L_Placeholder,0))),BJ651=1,BQ651=0)),"INVALID – batch ID missing, placeholder or not an ID (e.g. PASB-261008-BC-017)",IF(AND(AR651=1,OR(NOT(ISNUMBER(X651)),NOT(ISNUMBER(Y651)))),"INVALID – expected/actual qty missing",IF(AND(AR651=1,OR(X651&lt;=0,Y651&lt;0)),"INVALID – expected qty must be above 0 and actual not negative",IF(BB651&lt;&gt;"",BB651,IF(AND(AS651=1,Documents!$J$24&lt;&gt;"ON FILE"),"INVALID – GLD not on file (Documents sheet)",IF(AND(AS651=2,Documents!$O$24&lt;&gt;"ON FILE"),"INVALID – menu checklist not on file (Documents sheet)",IF(AND(AS651=3,NOT(ISNUMBER(Flights!$AX$24))),"INVALID – enter carrying flight KUL departure (Flights AX)",IF(AND(AS651=3,OR(Flights!$AZ$24&gt;Flights!$AA$24,Flights!$AX$24&lt;Flights!$AA$24-3)),"INVALID – carrying flight (Flights AX) cannot arrive before this leg's STD, or is over 3 days early",IF(AG651&gt;AsOfUTC,"INVALID – completion time is in the future",IF(AND(ISNUMBER(BY651),AG651&lt;BY651),IF(H651="Physical uplift","INVALID – before uplift window (cannot confirm loading)","INVALID – before valid window"),IF(AG651&gt;Flights!$AA$24,"INVALID – completed after departure (cannot establish readiness)",IF(AND(H651="Preparation",AG651&gt;=IF(ISNUMBER(Flights!$BA$24),MIN(Flights!$BA$24,Flights!$AA$24),Flights!$AA$24)),"INVALID – completed after loading / departure (cannot establish readiness)",IF(AND(H651="Physical uplift",AG651&gt;Q651),"INVALID – recorded after the loading flight departed",IF(AG651&gt;Q651,"COMPLETE – LATE","COMPLETE"))))))))))))))))))))))))),IF(TRIM(U651)="Fail","FAIL – DISCREPANCY",IF(AND(TRIM(U651)&lt;&gt;"",TRIM(U651)&lt;&gt;"Not started",TRIM(U651)&lt;&gt;"In progress"),"INVALID – unrecognised status (use the list)",IF(AsOfUTC&gt;Q651,"OVERDUE",IF(N651="Clarification required","OPEN – CLARIFICATION","OPEN"))))))),"INVALID – error value in an input cell")</f>
        <v>OPEN</v>
      </c>
      <c r="AI651" s="61" t="n">
        <f aca="false">IF(OR(AH651="N/A – RULE",AH651="N/A – JUSTIFIED"),0,1)</f>
        <v>1</v>
      </c>
      <c r="AJ651" s="61" t="n">
        <f aca="false">IF(LEFT(AH651,8)="COMPLETE",1,0)</f>
        <v>0</v>
      </c>
      <c r="AK651" s="61" t="n">
        <f aca="false">IF(AND(AI651=1,AJ651=0,AsOfUTC&gt;Q651),1,0)</f>
        <v>0</v>
      </c>
      <c r="AL651" s="61" t="n">
        <f aca="false">IFERROR(IF(AND(AI651=1,OR(TRIM(U651)="Fail",AND(TRIM(AB651)&lt;&gt;"",TRIM(AB651)&lt;&gt;"Closed"),AND(ISNUMBER(AF651),AF651&lt;&gt;0,TRIM(U651)&lt;&gt;"Pass after CA"))),1,0),1)</f>
        <v>0</v>
      </c>
      <c r="AM651" s="61" t="n">
        <f aca="false">IF(LEFT(AH651,7)="INVALID",1,0)</f>
        <v>0</v>
      </c>
      <c r="AN651" s="61" t="n">
        <f aca="false">IF(AND(N651="Clarification required",AI651=1,AJ651=0),1,0)</f>
        <v>0</v>
      </c>
      <c r="AO651" s="61" t="str">
        <f aca="false">IF(AK651=1,SUM(AK$5:AK651),"")</f>
        <v/>
      </c>
      <c r="AP651" s="61" t="str">
        <f aca="false">IF(AL651=1,SUM(AL$5:AL651),"")</f>
        <v/>
      </c>
      <c r="AQ651" s="61" t="n">
        <v>0</v>
      </c>
      <c r="AR651" s="61" t="n">
        <v>0</v>
      </c>
      <c r="AS651" s="61" t="n">
        <v>2</v>
      </c>
      <c r="AT651" s="61" t="n">
        <v>0</v>
      </c>
      <c r="AU651" s="61" t="str">
        <f aca="false">SUBSTITUTE(SUBSTITUTE(SUBSTITUTE(SUBSTITUTE(SUBSTITUTE(SUBSTITUTE(SUBSTITUTE(SUBSTITUTE(SUBSTITUTE(SUBSTITUTE(SUBSTITUTE(SUBSTITUTE(SUBSTITUTE(SUBSTITUTE(SUBSTITUTE(SUBSTITUTE(LOWER(T651&amp;""),CHAR(10),""),CHAR(13),""),CHAR(9),""),CHAR(160),"")," ",""),".",""),"-",""),"/",""),"?",""),"_",""),",",""),"[",""),"]",""),"(",""),")",""),"*","")</f>
        <v/>
      </c>
      <c r="AV651" s="61" t="str">
        <f aca="false">SUBSTITUTE(SUBSTITUTE(SUBSTITUTE(SUBSTITUTE(SUBSTITUTE(SUBSTITUTE(SUBSTITUTE(SUBSTITUTE(SUBSTITUTE(SUBSTITUTE(SUBSTITUTE(SUBSTITUTE(SUBSTITUTE(SUBSTITUTE(SUBSTITUTE(SUBSTITUTE(LOWER(V651&amp;""),CHAR(10),""),CHAR(13),""),CHAR(9),""),CHAR(160),"")," ",""),".",""),"-",""),"/",""),"?",""),"_",""),",",""),"[",""),"]",""),"(",""),")",""),"*","")</f>
        <v/>
      </c>
      <c r="AW651" s="61" t="str">
        <f aca="false">SUBSTITUTE(SUBSTITUTE(SUBSTITUTE(SUBSTITUTE(SUBSTITUTE(SUBSTITUTE(SUBSTITUTE(SUBSTITUTE(SUBSTITUTE(SUBSTITUTE(SUBSTITUTE(SUBSTITUTE(SUBSTITUTE(SUBSTITUTE(SUBSTITUTE(SUBSTITUTE(LOWER(Z651&amp;""),CHAR(10),""),CHAR(13),""),CHAR(9),""),CHAR(160),"")," ",""),".",""),"-",""),"/",""),"?",""),"_",""),",",""),"[",""),"]",""),"(",""),")",""),"*","")</f>
        <v/>
      </c>
      <c r="AX651" s="61" t="str">
        <f aca="false">SUBSTITUTE(SUBSTITUTE(SUBSTITUTE(SUBSTITUTE(SUBSTITUTE(SUBSTITUTE(SUBSTITUTE(SUBSTITUTE(SUBSTITUTE(SUBSTITUTE(SUBSTITUTE(SUBSTITUTE(SUBSTITUTE(SUBSTITUTE(SUBSTITUTE(SUBSTITUTE(LOWER(AE651&amp;""),CHAR(10),""),CHAR(13),""),CHAR(9),""),CHAR(160),"")," ",""),".",""),"-",""),"/",""),"?",""),"_",""),",",""),"[",""),"]",""),"(",""),")",""),"*","")</f>
        <v/>
      </c>
      <c r="AY651" s="61" t="str">
        <f aca="false">SUBSTITUTE(SUBSTITUTE(SUBSTITUTE(SUBSTITUTE(SUBSTITUTE(SUBSTITUTE(SUBSTITUTE(SUBSTITUTE(SUBSTITUTE(SUBSTITUTE(SUBSTITUTE(SUBSTITUTE(SUBSTITUTE(SUBSTITUTE(SUBSTITUTE(SUBSTITUTE(LOWER(W651&amp;""),CHAR(10),""),CHAR(13),""),CHAR(9),""),CHAR(160),"")," ",""),".",""),"-",""),"/",""),"?",""),"_",""),",",""),"[",""),"]",""),"(",""),")",""),"*","")</f>
        <v/>
      </c>
      <c r="AZ651" s="61" t="str">
        <f aca="false">SUBSTITUTE(SUBSTITUTE(SUBSTITUTE(SUBSTITUTE(SUBSTITUTE(SUBSTITUTE(SUBSTITUTE(SUBSTITUTE(SUBSTITUTE(SUBSTITUTE(SUBSTITUTE(SUBSTITUTE(SUBSTITUTE(SUBSTITUTE(SUBSTITUTE(SUBSTITUTE(LOWER(AC651&amp;""),CHAR(10),""),CHAR(13),""),CHAR(9),""),CHAR(160),"")," ",""),".",""),"-",""),"/",""),"?",""),"_",""),",",""),"[",""),"]",""),"(",""),")",""),"*","")</f>
        <v/>
      </c>
      <c r="BA651" s="61" t="str">
        <f aca="false">SUBSTITUTE(SUBSTITUTE(SUBSTITUTE(SUBSTITUTE(SUBSTITUTE(SUBSTITUTE(SUBSTITUTE(SUBSTITUTE(SUBSTITUTE(SUBSTITUTE(SUBSTITUTE(SUBSTITUTE(SUBSTITUTE(SUBSTITUTE(SUBSTITUTE(SUBSTITUTE(LOWER(AA651&amp;""),CHAR(10),""),CHAR(13),""),CHAR(9),""),CHAR(160),"")," ",""),".",""),"-",""),"/",""),"?",""),"_",""),",",""),"[",""),"]",""),"(",""),")",""),"*","")</f>
        <v/>
      </c>
      <c r="BB651" s="61" t="str">
        <f aca="false">IF(AND(TRIM(U651)="Pass",ISNUMBER(AF651)),IF(AF651&lt;&gt;0,"INVALID – qty variance: use Fail or Pass after CA",""),"")&amp;IF(AND(TRIM(U651)="Pass after CA",ISNUMBER(AF651)),IF(AF651&lt;&gt;0,"INVALID – after the corrective action the actual qty must equal expected (update Actual)",""),"")&amp;IF(AND(TRIM(U651)="Pass",TRIM(AB651)&lt;&gt;"",TRIM(AB651)&lt;&gt;"Closed"),"INVALID – corrective action not closed: use Fail, then Pass after CA","")&amp;IF(AND(LEN(BA651)&gt;=2,ISNA(MATCH(LEFT(BA651,255),L_Placeholder,0)),TRIM(AB651)=""),"INVALID – CA status missing for the recorded corrective action","")&amp;IF(AND(TRIM(U651)="Pass after CA",OR(OR(LEN(BA651)&lt;5,ISNUMBER(MATCH(BA651,L_Placeholder,0))),TRIM(AB651)&lt;&gt;"Closed")),"INVALID – corrective action not recorded/closed","")</f>
        <v/>
      </c>
      <c r="BC651" s="61" t="str">
        <f aca="false">" "&amp;TRIM(SUBSTITUTE(SUBSTITUTE(SUBSTITUTE(SUBSTITUTE(SUBSTITUTE(SUBSTITUTE(SUBSTITUTE(SUBSTITUTE(SUBSTITUTE(SUBSTITUTE(SUBSTITUTE(SUBSTITUTE(SUBSTITUTE(SUBSTITUTE(SUBSTITUTE(SUBSTITUTE(SUBSTITUTE(SUBSTITUTE(SUBSTITUTE(SUBSTITUTE(SUBSTITUTE(SUBSTITUTE(SUBSTITUTE(SUBSTITUTE(LOWER(V651&amp;""),CHAR(10)," "),CHAR(13)," "),CHAR(9)," "),CHAR(160)," "),"."," "),","," "),"-"," "),"/"," "),"("," "),")"," "),":"," "),";"," "),"_"," "),"–"," "),"?"," "),"!"," "),"*"," "),"["," "),"]"," "),"'"," "),"#"," "),"+"," "),"&amp;"," "),"\"," "))&amp;" "</f>
        <v>  </v>
      </c>
      <c r="BD651" s="61" t="str">
        <f aca="false">" "&amp;TRIM(SUBSTITUTE(SUBSTITUTE(SUBSTITUTE(SUBSTITUTE(SUBSTITUTE(SUBSTITUTE(SUBSTITUTE(SUBSTITUTE(SUBSTITUTE(SUBSTITUTE(SUBSTITUTE(SUBSTITUTE(SUBSTITUTE(SUBSTITUTE(SUBSTITUTE(SUBSTITUTE(SUBSTITUTE(SUBSTITUTE(SUBSTITUTE(SUBSTITUTE(SUBSTITUTE(SUBSTITUTE(SUBSTITUTE(SUBSTITUTE(LOWER(Z651&amp;""),CHAR(10)," "),CHAR(13)," "),CHAR(9)," "),CHAR(160)," "),"."," "),","," "),"-"," "),"/"," "),"("," "),")"," "),":"," "),";"," "),"_"," "),"–"," "),"?"," "),"!"," "),"*"," "),"["," "),"]"," "),"'"," "),"#"," "),"+"," "),"&amp;"," "),"\"," "))&amp;" "</f>
        <v>  </v>
      </c>
      <c r="BE651" s="61" t="str">
        <f aca="false">" "&amp;TRIM(SUBSTITUTE(SUBSTITUTE(SUBSTITUTE(SUBSTITUTE(SUBSTITUTE(SUBSTITUTE(SUBSTITUTE(SUBSTITUTE(SUBSTITUTE(SUBSTITUTE(SUBSTITUTE(SUBSTITUTE(SUBSTITUTE(SUBSTITUTE(SUBSTITUTE(SUBSTITUTE(SUBSTITUTE(SUBSTITUTE(SUBSTITUTE(SUBSTITUTE(SUBSTITUTE(SUBSTITUTE(SUBSTITUTE(SUBSTITUTE(LOWER(W651&amp;""),CHAR(10)," "),CHAR(13)," "),CHAR(9)," "),CHAR(160)," "),"."," "),","," "),"-"," "),"/"," "),"("," "),")"," "),":"," "),";"," "),"_"," "),"–"," "),"?"," "),"!"," "),"*"," "),"["," "),"]"," "),"'"," "),"#"," "),"+"," "),"&amp;"," "),"\"," "))&amp;" "</f>
        <v>  </v>
      </c>
      <c r="BF651" s="61" t="str">
        <f aca="false">" "&amp;TRIM(SUBSTITUTE(SUBSTITUTE(SUBSTITUTE(SUBSTITUTE(SUBSTITUTE(SUBSTITUTE(SUBSTITUTE(SUBSTITUTE(SUBSTITUTE(SUBSTITUTE(SUBSTITUTE(SUBSTITUTE(SUBSTITUTE(SUBSTITUTE(SUBSTITUTE(SUBSTITUTE(SUBSTITUTE(SUBSTITUTE(SUBSTITUTE(SUBSTITUTE(SUBSTITUTE(SUBSTITUTE(SUBSTITUTE(SUBSTITUTE(LOWER(AC651&amp;""),CHAR(10)," "),CHAR(13)," "),CHAR(9)," "),CHAR(160)," "),"."," "),","," "),"-"," "),"/"," "),"("," "),")"," "),":"," "),";"," "),"_"," "),"–"," "),"?"," "),"!"," "),"*"," "),"["," "),"]"," "),"'"," "),"#"," "),"+"," "),"&amp;"," "),"\"," "))&amp;" "</f>
        <v>  </v>
      </c>
      <c r="BG651" s="61" t="n">
        <f aca="false">IFERROR(IF(AND(TRIM(U651)="Pass",SUMPRODUCT((LEN(BC651)-LEN(SUBSTITUTE(BC651," "&amp;L_ResultBad&amp;" "," ")))/(LEN(L_ResultBad)+1))&gt;SUMPRODUCT((LEN(BC651)-LEN(SUBSTITUTE(BC651," "&amp;L_NegPhrase&amp;" "," ")))/(LEN(L_NegPhrase)+1))),1,0),0)</f>
        <v>0</v>
      </c>
      <c r="BH651" s="61" t="n">
        <f aca="false">IFERROR(IF(SUMPRODUCT((LEN(BC651)-LEN(SUBSTITUTE(BC651," "&amp;L_Pending&amp;" "," ")))/(LEN(L_Pending)+1))&gt;SUMPRODUCT((LEN(BC651)-LEN(SUBSTITUTE(BC651," "&amp;L_PendNeg&amp;" "," ")))/(LEN(L_PendNeg)+1))+SUMPRODUCT((LEN(BC651)-LEN(SUBSTITUTE(BC651," "&amp;L_PendPrep&amp;" "," ")))/(LEN(L_PendPrep)+1)),1,0),1)</f>
        <v>0</v>
      </c>
      <c r="BI651" s="61" t="n">
        <f aca="false">IFERROR(IF(SUMPRODUCT((LEN(BD651)-LEN(SUBSTITUTE(BD651," "&amp;L_PendStrict&amp;" "," ")))/(LEN(L_PendStrict)+1))&gt;SUMPRODUCT((LEN(BD651)-LEN(SUBSTITUTE(BD651," "&amp;L_PendNeg&amp;" "," ")))/(LEN(L_PendNeg)+1)),1,0),1)</f>
        <v>0</v>
      </c>
      <c r="BJ651" s="61" t="n">
        <f aca="false">IFERROR(IF(SUMPRODUCT((LEN(BE651)-LEN(SUBSTITUTE(BE651," "&amp;L_Pending&amp;" "," ")))/(LEN(L_Pending)+1))&gt;SUMPRODUCT((LEN(BE651)-LEN(SUBSTITUTE(BE651," "&amp;L_PendNeg&amp;" "," ")))/(LEN(L_PendNeg)+1))+SUMPRODUCT((LEN(BE651)-LEN(SUBSTITUTE(BE651," "&amp;L_PendPrep&amp;" "," ")))/(LEN(L_PendPrep)+1)),1,0),1)</f>
        <v>0</v>
      </c>
      <c r="BK651" s="61" t="n">
        <f aca="false">IFERROR(IF(SUMPRODUCT((LEN(BF651)-LEN(SUBSTITUTE(BF651," "&amp;L_PendStrict&amp;" "," ")))/(LEN(L_PendStrict)+1))&gt;SUMPRODUCT((LEN(BF651)-LEN(SUBSTITUTE(BF651," "&amp;L_PendNeg&amp;" "," ")))/(LEN(L_PendNeg)+1)),1,0),1)</f>
        <v>0</v>
      </c>
      <c r="BL651" s="61" t="n">
        <f aca="false">IF(ISNA(MATCH(TRIM(S651),L_EvidenceType,0)),0,BZ651)</f>
        <v>0</v>
      </c>
      <c r="BM651" s="61" t="str">
        <f aca="false">SUBSTITUTE(SUBSTITUTE(SUBSTITUTE(SUBSTITUTE(SUBSTITUTE(SUBSTITUTE(SUBSTITUTE(SUBSTITUTE(SUBSTITUTE(LOWER(Z651&amp;""),"1","0"),"2","0"),"3","0"),"4","0"),"5","0"),"6","0"),"7","0"),"8","0"),"9","0")</f>
        <v/>
      </c>
      <c r="BN651" s="61" t="str">
        <f aca="false">SUBSTITUTE(SUBSTITUTE(SUBSTITUTE(SUBSTITUTE(SUBSTITUTE(SUBSTITUTE(SUBSTITUTE(SUBSTITUTE(SUBSTITUTE(SUBSTITUTE(SUBSTITUTE(SUBSTITUTE(SUBSTITUTE(SUBSTITUTE(SUBSTITUTE(SUBSTITUTE(SUBSTITUTE(SUBSTITUTE(SUBSTITUTE(SUBSTITUTE(SUBSTITUTE(SUBSTITUTE(SUBSTITUTE(SUBSTITUTE(SUBSTITUTE(BM651,"b","a"),"c","a"),"d","a"),"e","a"),"f","a"),"g","a"),"h","a"),"i","a"),"j","a"),"k","a"),"l","a"),"m","a"),"n","a"),"o","a"),"p","a"),"q","a"),"r","a"),"s","a"),"t","a"),"u","a"),"v","a"),"w","a"),"x","a"),"y","a"),"z","a")</f>
        <v/>
      </c>
      <c r="BO651" s="61" t="str">
        <f aca="false">SUBSTITUTE(SUBSTITUTE(SUBSTITUTE(SUBSTITUTE(SUBSTITUTE(SUBSTITUTE(SUBSTITUTE(SUBSTITUTE(SUBSTITUTE(LOWER(W651&amp;""),"1","0"),"2","0"),"3","0"),"4","0"),"5","0"),"6","0"),"7","0"),"8","0"),"9","0")</f>
        <v/>
      </c>
      <c r="BP651" s="61" t="str">
        <f aca="false">SUBSTITUTE(SUBSTITUTE(SUBSTITUTE(SUBSTITUTE(SUBSTITUTE(SUBSTITUTE(SUBSTITUTE(SUBSTITUTE(SUBSTITUTE(SUBSTITUTE(SUBSTITUTE(SUBSTITUTE(SUBSTITUTE(SUBSTITUTE(SUBSTITUTE(SUBSTITUTE(SUBSTITUTE(SUBSTITUTE(SUBSTITUTE(SUBSTITUTE(SUBSTITUTE(SUBSTITUTE(SUBSTITUTE(SUBSTITUTE(SUBSTITUTE(BO651,"b","a"),"c","a"),"d","a"),"e","a"),"f","a"),"g","a"),"h","a"),"i","a"),"j","a"),"k","a"),"l","a"),"m","a"),"n","a"),"o","a"),"p","a"),"q","a"),"r","a"),"s","a"),"t","a"),"u","a"),"v","a"),"w","a"),"x","a"),"y","a"),"z","a")</f>
        <v/>
      </c>
      <c r="BQ651" s="61" t="n">
        <f aca="false">IFERROR(IF(AND(ISERROR(SEARCH(" mh"," "&amp;LOWER(W651))),ISNA(MATCH(LEFT(TRIM(BP651),255),{"0000a","000a","00a","0000aa","000aa","00aa","0aa","0000aaa","000aaa","00a00","0a00","0000-0000","00:00","a00","a0","00.00.0000","00/00/0000","00-00-0000","0000-00-00","0000/00/00","0000.00.00","00.00.00","00/00/00","00-00-00","0.00.0000","0/00/0000","0-00-0000"},0)),ISNA(MATCH(LEFT(TRIM(CA651),255),{"0000a","000a","00a","0000aa","000aa","00aa","0aa","0000aaa","000aaa","00a00","0a00","0000-0000","00:00","a00","a0","00.00.0000","00/00/0000","00-00-0000","0000-00-00","0000/00/00","0000.00.00","00.00.00","00/00/00","00-00-00","0.00.0000","0/00/0000","0-00-0000"},0)),LEN(CB651)&gt;=3,NOT(OR(SUBSTITUTE(CB651,"0","")="",AND(LEN(CB651)&gt;=4,CB651=REPT(LEFT(CB651),LEN(CB651))),ISNUMBER(MATCH(CB651,{"123","1234","12345","123456","1234567","12345678","0123","01234","012345","98765","987654","54321"},0)),AND(LEN(CB651)=8,LEFT(CB651,3)="202"))),OR(AND((LEN(CA651)-LEN(SUBSTITUTE(CA651,"a","")))&gt;=1,SUMPRODUCT(--ISNUMBER(SEARCH({"a0","a-0","a_0","a/0","a.0","a#0","0a","0-a","0_a","0/a"},BP651)))&gt;0),ISNUMBER(SEARCH("000000",BP651)))),1,0),0)</f>
        <v>0</v>
      </c>
      <c r="BR651" s="61" t="n">
        <f aca="false">IFERROR(LEN(SUBSTITUTE(CC651," ",""))-SUMPRODUCT((LEN(CC651)-LEN(SUBSTITUTE(CC651," "&amp;L_Role&amp;" "," ")))/(LEN(L_Role)+1)*LEN(L_Role)),0)</f>
        <v>0</v>
      </c>
      <c r="BS651" s="61" t="n">
        <f aca="false">IFERROR(LEN(SUBSTITUTE(CD651," ",""))-SUMPRODUCT((LEN(CD651)-LEN(SUBSTITUTE(CD651," "&amp;L_Role&amp;" "," ")))/(LEN(L_Role)+1)*LEN(L_Role)),0)</f>
        <v>0</v>
      </c>
      <c r="BT6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651,"revision",""),"version",""),"jan",""),"feb",""),"mar",""),"apr",""),"may",""),"jun",""),"jul",""),"aug",""),"sep",""),"oct",""),"nov",""),"dec",""),"utc",""),"gmt",""),"myt",""),"bst",""),"rev",""),"ver",""),"b","a"),"c","a"),"d","a"),"e","a"),"f","a"),"g","a"),"h","a"),"i","a"),"j","a"),"k","a"),"l","a"),"m","a"),"n","a"),"o","a"),"p","a"),"q","a"),"r","a"),"s","a"),"t","a"),"u","a"),"v","a"),"w","a"),"x","a"),"y","a"),"z","a")</f>
        <v/>
      </c>
      <c r="BU651" s="61" t="str">
        <f aca="false">SUBSTITUTE(SUBSTITUTE(SUBSTITUTE(SUBSTITUTE(SUBSTITUTE(SUBSTITUTE(SUBSTITUTE(SUBSTITUTE(SUBSTITUTE(SUBSTITUTE(LEFT(BM651,FIND("0",BM651&amp;"0")-1),"-",""),"_",""),"/",""),".",""),"#",""),"\\",""),":","")," ",""),"(",""),")","")</f>
        <v/>
      </c>
      <c r="BV651" s="61" t="n">
        <f aca="false">0</f>
        <v>0</v>
      </c>
      <c r="BW65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651&amp;""),"a",""),"b",""),"c",""),"d",""),"e",""),"f",""),"g",""),"h",""),"i",""),"j",""),"k",""),"l",""),"m",""),"n",""),"o",""),"p",""),"q",""),"r",""),"s",""),"t",""),"u",""),"v",""),"w",""),"x",""),"y",""),"z",""),"-",""),"_",""),"/",""),".",""),"#",""),"\\",""),":","")," ",""),"(",""),")","")</f>
        <v/>
      </c>
      <c r="BX651" s="61" t="str">
        <f aca="false">SUBSTITUTE(SUBSTITUTE(SUBSTITUTE(SUBSTITUTE(SUBSTITUTE(SUBSTITUTE(SUBSTITUTE(SUBSTITUTE(SUBSTITUTE(SUBSTITUTE(SUBSTITUTE(BM651,"0",""),"-",""),"_",""),"/",""),".",""),"#",""),"\\",""),":","")," ",""),"(",""),")","")</f>
        <v/>
      </c>
      <c r="BY651" s="62" t="n">
        <f aca="false">Q651-T7EarlyD*24/24</f>
        <v>46303.4375</v>
      </c>
      <c r="BZ651" s="61" t="n">
        <f aca="false">IFERROR(IF(IF(TRIM(S651)="Link / file path",AND(LEN(TRIM(Z651))&gt;=5,SUMPRODUCT(--ISNUMBER(SEARCH({"http","www.","\\",":\",".pdf",".jpg",".jpeg",".png",".heic",".xls",".doc",".msg",".eml",".ppt",".txt",".zip"},Z651)))&gt;0),AND(ISERROR(FIND(" ",TRIM(Z651))),NOT(OR(SUMPRODUCT(--ISNUMBER(FIND({",",";","&amp;","+"},Z651)))&gt;0,SUMPRODUCT(--ISNUMBER(SEARCH({"0/aa","0\\aa"},BN651)))&gt;0)),NOT(SUMPRODUCT(--ISNUMBER(SEARCH({"http","www.","\\",":\",".pdf",".jpg",".jpeg",".png",".heic",".xls",".doc",".msg",".eml",".ppt",".txt",".zip"},Z651)))&gt;0),NOT(LOWER(TRIM(Z651))=LOWER(Flights!$F$24)),ISNA(MATCH(BU651,{"mh","rev","revision","ver","version","v","r","a","b","seat","tray","row","gate","bay","stand","page","pg","item","line","no","cart","galley","flight","flt","table","box","bag","oven","etd","eta","std","sta","atd","ata","qty","pax","x","time","tel","ph","mob","day","wk","week","utc","gmt","myt","lt"},0)),NOT(OR(ISNUMBER(MATCH(LEFT(BN651,255),{"0000a","000a","00a","0000aa","000aa","00aa","0aa","0000aaa","000aaa","00a00","0a00","0000-0000","00:00","a00","a0","00.00.0000","00/00/0000","00-00-0000","0000-00-00","0000/00/00","0000.00.00","00.00.00","00/00/00","00-00-00","0.00.0000","0/00/0000","0-00-0000"},0)),ISNUMBER(MATCH(LEFT(BT651,255),{"0000a","000a","00a","0000aa","000aa","00aa","0aa","0000aaa","000aaa","00a00","0a00","0000-0000","00:00","a00","a0","00.00.0000","00/00/0000","00-00-0000","0000-00-00","0000/00/00","0000.00.00","00.00.00","00/00/00","00-00-00","0.00.0000","0/00/0000","0-00-0000"},0)))),NOT(OR(AND(BW651&lt;&gt;"",SUBSTITUTE(BW651,"0","")=""),AND(LEN(BW651)&gt;=4,BW651=REPT(LEFT(BW651),LEN(BW651))),ISNUMBER(MATCH(BW651,{"123","1234","12345","123456","1234567","12345678","0123","01234","012345","98765","987654","54321"},0)),ISNUMBER(MATCH(BX651,{"x","xx","xxx","xxxx","xxxxx","abc","abcd","nil","na","nan","test","tbc","tba","tbd","dummy","sample","example","eg","zz","zzz","none","null","xyz","qwe","asd","id","ref"},0)),AND(LEN(BW651)=8,BX651="",OR(LEFT(BW651,3)="202",ISNUMBER(MATCH(RIGHT(BW651,4),{"2025","2026","2027"},0)))))),OR(AND((LEN(BT651)-LEN(SUBSTITUTE(BT651,"a","")))&gt;=1,(LEN(BN651)-LEN(SUBSTITUTE(BN651,"0","")))&gt;=2,SUMPRODUCT(--ISNUMBER(SEARCH({"a0","a-0","a_0","a/0","a.0","a#0","0a","0-a","0_a","0/a"},BN651)))&gt;0),AND((LEN(BN651)-LEN(SUBSTITUTE(BN651,"a","")))=0,(LEN(BN651)-LEN(SUBSTITUTE(BN651,"0","")))&gt;=5)))),1,0),0)</f>
        <v>0</v>
      </c>
      <c r="CA6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651,"revision",""),"version",""),"jan",""),"feb",""),"mar",""),"apr",""),"may",""),"jun",""),"jul",""),"aug",""),"sep",""),"oct",""),"nov",""),"dec",""),"utc",""),"gmt",""),"myt",""),"bst",""),"rev",""),"ver",""),"b","a"),"c","a"),"d","a"),"e","a"),"f","a"),"g","a"),"h","a"),"i","a"),"j","a"),"k","a"),"l","a"),"m","a"),"n","a"),"o","a"),"p","a"),"q","a"),"r","a"),"s","a"),"t","a"),"u","a"),"v","a"),"w","a"),"x","a"),"y","a"),"z","a")</f>
        <v/>
      </c>
      <c r="CB65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651&amp;""),"a",""),"b",""),"c",""),"d",""),"e",""),"f",""),"g",""),"h",""),"i",""),"j",""),"k",""),"l",""),"m",""),"n",""),"o",""),"p",""),"q",""),"r",""),"s",""),"t",""),"u",""),"v",""),"w",""),"x",""),"y",""),"z",""),"-",""),"_",""),"/",""),".",""),"#",""),"\\",""),":","")," ",""),"(",""),")","")</f>
        <v/>
      </c>
      <c r="CC651" s="0" t="str">
        <f aca="false">" "&amp;TRIM(SUBSTITUTE(SUBSTITUTE(SUBSTITUTE(SUBSTITUTE(SUBSTITUTE(SUBSTITUTE(SUBSTITUTE(SUBSTITUTE(SUBSTITUTE(SUBSTITUTE(SUBSTITUTE(SUBSTITUTE(SUBSTITUTE(SUBSTITUTE(SUBSTITUTE(SUBSTITUTE(SUBSTITUTE(SUBSTITUTE(SUBSTITUTE(SUBSTITUTE(SUBSTITUTE(SUBSTITUTE(SUBSTITUTE(SUBSTITUTE(LOWER(T651&amp;""),CHAR(10)," "),CHAR(13)," "),CHAR(9)," "),CHAR(160)," "),"."," "),","," "),"-"," "),"/"," "),"("," "),")"," "),":"," "),";"," "),"_"," "),"–"," "),"?"," "),"!"," "),"*"," "),"["," "),"]"," "),"'"," "),"#"," "),"+"," "),"&amp;"," "),"\"," "))&amp;" "</f>
        <v>  </v>
      </c>
      <c r="CD651" s="0" t="str">
        <f aca="false">" "&amp;TRIM(SUBSTITUTE(SUBSTITUTE(SUBSTITUTE(SUBSTITUTE(SUBSTITUTE(SUBSTITUTE(SUBSTITUTE(SUBSTITUTE(SUBSTITUTE(SUBSTITUTE(SUBSTITUTE(SUBSTITUTE(SUBSTITUTE(SUBSTITUTE(SUBSTITUTE(SUBSTITUTE(SUBSTITUTE(SUBSTITUTE(SUBSTITUTE(SUBSTITUTE(SUBSTITUTE(SUBSTITUTE(SUBSTITUTE(SUBSTITUTE(LOWER(AE651&amp;""),CHAR(10)," "),CHAR(13)," "),CHAR(9)," "),CHAR(160)," "),"."," "),","," "),"-"," "),"/"," "),"("," "),")"," "),":"," "),";"," "),"_"," "),"–"," "),"?"," "),"!"," "),"*"," "),"["," "),"]"," "),"'"," "),"#"," "),"+"," "),"&amp;"," "),"\"," "))&amp;" "</f>
        <v>  </v>
      </c>
      <c r="CE651" s="68" t="n">
        <f aca="false">IFERROR(IF(AND(LEN(AU651)&gt;0,LEN(AU651)=LEN(AX651),OR(TRIM(MID(SUBSTITUTE(TRIM(CC651)," ",REPT(" ",60)),1,60))="",ISNUMBER(SEARCH(" "&amp;TRIM(MID(SUBSTITUTE(TRIM(CC651)," ",REPT(" ",60)),1,60))&amp;" ",CD651))),OR(TRIM(MID(SUBSTITUTE(TRIM(CC651)," ",REPT(" ",60)),61,60))="",ISNUMBER(SEARCH(" "&amp;TRIM(MID(SUBSTITUTE(TRIM(CC651)," ",REPT(" ",60)),61,60))&amp;" ",CD651))),OR(TRIM(MID(SUBSTITUTE(TRIM(CC651)," ",REPT(" ",60)),121,60))="",ISNUMBER(SEARCH(" "&amp;TRIM(MID(SUBSTITUTE(TRIM(CC651)," ",REPT(" ",60)),121,60))&amp;" ",CD651)))),1,0),0)</f>
        <v>0</v>
      </c>
      <c r="CG651" s="68" t="n">
        <f aca="false">IFERROR(LEN(SUBSTITUTE(BF651," ",""))-SUMPRODUCT((LEN(BF651)-LEN(SUBSTITUTE(BF651," "&amp;L_NAFiller&amp;" "," ")))/(LEN(L_NAFiller)+1)*LEN(L_NAFiller)),0)</f>
        <v>0</v>
      </c>
    </row>
    <row r="652" customFormat="false" ht="39.75" hidden="false" customHeight="true" outlineLevel="0" collapsed="false">
      <c r="A652" s="57" t="s">
        <v>1370</v>
      </c>
      <c r="B652" s="57" t="s">
        <v>304</v>
      </c>
      <c r="C652" s="57" t="str">
        <f aca="false">Flights!$F$24</f>
        <v>MH1450</v>
      </c>
      <c r="D652" s="58" t="n">
        <f aca="false">Flights!$D$24</f>
        <v>46324</v>
      </c>
      <c r="E652" s="57" t="str">
        <f aca="false">Flights!$G$24&amp;"-"&amp;Flights!$H$24</f>
        <v>KUL-LGK</v>
      </c>
      <c r="F652" s="57" t="str">
        <f aca="false">Flights!$K$24</f>
        <v>EY</v>
      </c>
      <c r="G652" s="57" t="s">
        <v>81</v>
      </c>
      <c r="H652" s="57" t="s">
        <v>378</v>
      </c>
      <c r="I652" s="57" t="s">
        <v>411</v>
      </c>
      <c r="J652" s="57" t="s">
        <v>412</v>
      </c>
      <c r="K652" s="67" t="s">
        <v>922</v>
      </c>
      <c r="L652" s="67" t="s">
        <v>1371</v>
      </c>
      <c r="M652" s="67"/>
      <c r="N652" s="67" t="s">
        <v>383</v>
      </c>
      <c r="O652" s="67"/>
      <c r="P652" s="57" t="s">
        <v>187</v>
      </c>
      <c r="Q652" s="59" t="n">
        <f aca="false">ROUND((Flights!$AC$24)*1440,0)/1440</f>
        <v>46317.4375</v>
      </c>
      <c r="R652" s="59" t="n">
        <f aca="false">Q652+(IF(AND(INDEX(TZ_DSTS,MATCH(P652,TZ_STN,0))&lt;&gt;"",Q652&gt;=INDEX(TZ_DSTS,MATCH(P652,TZ_STN,0)),Q652&lt;INDEX(TZ_DSTE,MATCH(P652,TZ_STN,0))),INDEX(TZ_DST,MATCH(P652,TZ_STN,0)),INDEX(TZ_STD,MATCH(P652,TZ_STN,0))))/24</f>
        <v>46317.7708333333</v>
      </c>
      <c r="S652" s="60"/>
      <c r="T652" s="60"/>
      <c r="U652" s="60"/>
      <c r="V652" s="60"/>
      <c r="W652" s="61"/>
      <c r="X652" s="60"/>
      <c r="Y652" s="60"/>
      <c r="Z652" s="60"/>
      <c r="AA652" s="60"/>
      <c r="AB652" s="60"/>
      <c r="AC652" s="60"/>
      <c r="AD652" s="66"/>
      <c r="AE652" s="60"/>
      <c r="AF652" s="61" t="str">
        <f aca="false">IF(AND(ISNUMBER(X652),ISNUMBER(Y652)),Y652-X652,"")</f>
        <v/>
      </c>
      <c r="AG652" s="62" t="str">
        <f aca="false">IF(ISNUMBER(AD652),AD652-(IF(AND(INDEX(TZ_DSTS,MATCH(P652,TZ_STN,0))&lt;&gt;"",(AD652-INDEX(TZ_STD,MATCH(P652,TZ_STN,0))/24)&gt;=INDEX(TZ_DSTS,MATCH(P652,TZ_STN,0)),(AD652-INDEX(TZ_STD,MATCH(P652,TZ_STN,0))/24)&lt;INDEX(TZ_DSTE,MATCH(P652,TZ_STN,0))),INDEX(TZ_DST,MATCH(P652,TZ_STN,0)),INDEX(TZ_STD,MATCH(P652,TZ_STN,0))))/24,"")</f>
        <v/>
      </c>
      <c r="AH652" s="65" t="str">
        <f aca="false">IFERROR(IF(N652="N/A – rule",IF(OR(TRIM(U652)="",TRIM(U652)="N/A",TRIM(U652)="Not started"),"N/A – RULE","INVALID – this check does not apply to this aircraft: clear the status (or correct the fleet on Flights)"),IF(TRIM(U652)="N/A",IF(AT652=0,"INVALID – N/A not permitted for this check",IF(AND(TRIM(AB652)&lt;&gt;"",TRIM(AB652)&lt;&gt;"Closed"),"INVALID – corrective action still open",IF(AND(NOT(OR(LEN(AZ652)&lt;15,ISNUMBER(MATCH(AZ652,L_Placeholder,0)))),BK652=0,CG652&gt;=8,NOT(OR(LEN(AU652)&lt;2,ISNUMBER(MATCH(AU652,L_Placeholder,0)))),BR652&gt;=3,NOT(OR(LEN(AX652)&lt;2,ISNUMBER(MATCH(AX652,L_Placeholder,0)))),BS652&gt;=3,TRIM(AE652)&lt;&gt;TRIM(T652),AX652&lt;&gt;AU652,CE652=0),"N/A – JUSTIFIED","INVALID – N/A needs a real, settled reason (not 'not applicable' / 'as above' / TBC), a named PIC and a different named verifier"))),IF(OR(TRIM(U652)="Pass",TRIM(U652)="Pass after CA"),IF(NOT(ISNUMBER(AD652)),"INVALID – completion time missing",IF(OR(OR(LEN(AU652)&lt;2,ISNUMBER(MATCH(AU652,L_Placeholder,0))),BR652&lt;3),"INVALID – PIC missing or not a named person (a role such as QA / CSM is not a name)",IF(OR(LEN(AV652)&lt;2,ISNUMBER(MATCH(AV652,L_Placeholder,0))),"INVALID – result / assessment missing",IF(OR(OR(LEN(AW652)&lt;3,ISNUMBER(MATCH(AW652,L_Placeholder,0))),SUMPRODUCT(--ISNUMBER(SEARCH(" "&amp;L_EvidencePhrase&amp;" ",BD652)))&gt;0,BI652=1),"INVALID – evidence missing, placeholder or not yet on file",IF(ISNA(MATCH(TRIM(S652),L_EvidenceType,0)),"INVALID – choose the evidence type from the list (column S)",IF(BL652=0,"INVALID – evidence ID must be the record's own ID only (e.g. SF-2210, IMG_2231, 1045521); a link / file name needs type 'Link / file path'",IF(OR(OR(LEN(AX652)&lt;2,ISNUMBER(MATCH(AX652,L_Placeholder,0))),BS652&lt;3),"INVALID – verifier missing or not a named person (a role such as QA / CSM is not a name)",IF(OR(AX652=AU652,CE652=1,AND(LEN(AU652)&gt;=4,ISNUMBER(SEARCH(AU652,AX652))),AND(LEN(AX652)&gt;=4,ISNUMBER(SEARCH(AX652,AU652)))),"INVALID – verifier must be a different, named person (not the PIC or a role)",IF(BH652=1,"INVALID – result not yet available (awaiting / TBC)",IF(BG652=1,"INVALID – result describes a problem: record Fail, then Pass after CA (or reword if it is not a problem)",IF(BV652=1,"INVALID – wording says not on board: an on-board confirmation needs the item loaded",IF(AND(AQ652=1,OR(OR(LEN(AY652)&lt;3,ISNUMBER(MATCH(AY652,L_Placeholder,0))),BJ652=1,BQ652=0)),"INVALID – batch ID missing, placeholder or not an ID (e.g. PASB-261008-BC-017)",IF(AND(AR652=1,OR(NOT(ISNUMBER(X652)),NOT(ISNUMBER(Y652)))),"INVALID – expected/actual qty missing",IF(AND(AR652=1,OR(X652&lt;=0,Y652&lt;0)),"INVALID – expected qty must be above 0 and actual not negative",IF(BB652&lt;&gt;"",BB652,IF(AND(AS652=1,Documents!$J$24&lt;&gt;"ON FILE"),"INVALID – GLD not on file (Documents sheet)",IF(AND(AS652=2,Documents!$O$24&lt;&gt;"ON FILE"),"INVALID – menu checklist not on file (Documents sheet)",IF(AND(AS652=3,NOT(ISNUMBER(Flights!$AX$24))),"INVALID – enter carrying flight KUL departure (Flights AX)",IF(AND(AS652=3,OR(Flights!$AZ$24&gt;Flights!$AA$24,Flights!$AX$24&lt;Flights!$AA$24-3)),"INVALID – carrying flight (Flights AX) cannot arrive before this leg's STD, or is over 3 days early",IF(AG652&gt;AsOfUTC,"INVALID – completion time is in the future",IF(AND(ISNUMBER(BY652),AG652&lt;BY652),IF(H652="Physical uplift","INVALID – before uplift window (cannot confirm loading)","INVALID – before valid window"),IF(AG652&gt;Flights!$AA$24,"INVALID – completed after departure (cannot establish readiness)",IF(AND(H652="Preparation",AG652&gt;=IF(ISNUMBER(Flights!$BA$24),MIN(Flights!$BA$24,Flights!$AA$24),Flights!$AA$24)),"INVALID – completed after loading / departure (cannot establish readiness)",IF(AND(H652="Physical uplift",AG652&gt;Q652),"INVALID – recorded after the loading flight departed",IF(AG652&gt;Q652,"COMPLETE – LATE","COMPLETE"))))))))))))))))))))))))),IF(TRIM(U652)="Fail","FAIL – DISCREPANCY",IF(AND(TRIM(U652)&lt;&gt;"",TRIM(U652)&lt;&gt;"Not started",TRIM(U652)&lt;&gt;"In progress"),"INVALID – unrecognised status (use the list)",IF(AsOfUTC&gt;Q652,"OVERDUE",IF(N652="Clarification required","OPEN – CLARIFICATION","OPEN"))))))),"INVALID – error value in an input cell")</f>
        <v>OPEN</v>
      </c>
      <c r="AI652" s="61" t="n">
        <f aca="false">IF(OR(AH652="N/A – RULE",AH652="N/A – JUSTIFIED"),0,1)</f>
        <v>1</v>
      </c>
      <c r="AJ652" s="61" t="n">
        <f aca="false">IF(LEFT(AH652,8)="COMPLETE",1,0)</f>
        <v>0</v>
      </c>
      <c r="AK652" s="61" t="n">
        <f aca="false">IF(AND(AI652=1,AJ652=0,AsOfUTC&gt;Q652),1,0)</f>
        <v>0</v>
      </c>
      <c r="AL652" s="61" t="n">
        <f aca="false">IFERROR(IF(AND(AI652=1,OR(TRIM(U652)="Fail",AND(TRIM(AB652)&lt;&gt;"",TRIM(AB652)&lt;&gt;"Closed"),AND(ISNUMBER(AF652),AF652&lt;&gt;0,TRIM(U652)&lt;&gt;"Pass after CA"))),1,0),1)</f>
        <v>0</v>
      </c>
      <c r="AM652" s="61" t="n">
        <f aca="false">IF(LEFT(AH652,7)="INVALID",1,0)</f>
        <v>0</v>
      </c>
      <c r="AN652" s="61" t="n">
        <f aca="false">IF(AND(N652="Clarification required",AI652=1,AJ652=0),1,0)</f>
        <v>0</v>
      </c>
      <c r="AO652" s="61" t="str">
        <f aca="false">IF(AK652=1,SUM(AK$5:AK652),"")</f>
        <v/>
      </c>
      <c r="AP652" s="61" t="str">
        <f aca="false">IF(AL652=1,SUM(AL$5:AL652),"")</f>
        <v/>
      </c>
      <c r="AQ652" s="61" t="n">
        <v>0</v>
      </c>
      <c r="AR652" s="61" t="n">
        <v>0</v>
      </c>
      <c r="AS652" s="61" t="n">
        <v>0</v>
      </c>
      <c r="AT652" s="61" t="n">
        <v>0</v>
      </c>
      <c r="AU652" s="61" t="str">
        <f aca="false">SUBSTITUTE(SUBSTITUTE(SUBSTITUTE(SUBSTITUTE(SUBSTITUTE(SUBSTITUTE(SUBSTITUTE(SUBSTITUTE(SUBSTITUTE(SUBSTITUTE(SUBSTITUTE(SUBSTITUTE(SUBSTITUTE(SUBSTITUTE(SUBSTITUTE(SUBSTITUTE(LOWER(T652&amp;""),CHAR(10),""),CHAR(13),""),CHAR(9),""),CHAR(160),"")," ",""),".",""),"-",""),"/",""),"?",""),"_",""),",",""),"[",""),"]",""),"(",""),")",""),"*","")</f>
        <v/>
      </c>
      <c r="AV652" s="61" t="str">
        <f aca="false">SUBSTITUTE(SUBSTITUTE(SUBSTITUTE(SUBSTITUTE(SUBSTITUTE(SUBSTITUTE(SUBSTITUTE(SUBSTITUTE(SUBSTITUTE(SUBSTITUTE(SUBSTITUTE(SUBSTITUTE(SUBSTITUTE(SUBSTITUTE(SUBSTITUTE(SUBSTITUTE(LOWER(V652&amp;""),CHAR(10),""),CHAR(13),""),CHAR(9),""),CHAR(160),"")," ",""),".",""),"-",""),"/",""),"?",""),"_",""),",",""),"[",""),"]",""),"(",""),")",""),"*","")</f>
        <v/>
      </c>
      <c r="AW652" s="61" t="str">
        <f aca="false">SUBSTITUTE(SUBSTITUTE(SUBSTITUTE(SUBSTITUTE(SUBSTITUTE(SUBSTITUTE(SUBSTITUTE(SUBSTITUTE(SUBSTITUTE(SUBSTITUTE(SUBSTITUTE(SUBSTITUTE(SUBSTITUTE(SUBSTITUTE(SUBSTITUTE(SUBSTITUTE(LOWER(Z652&amp;""),CHAR(10),""),CHAR(13),""),CHAR(9),""),CHAR(160),"")," ",""),".",""),"-",""),"/",""),"?",""),"_",""),",",""),"[",""),"]",""),"(",""),")",""),"*","")</f>
        <v/>
      </c>
      <c r="AX652" s="61" t="str">
        <f aca="false">SUBSTITUTE(SUBSTITUTE(SUBSTITUTE(SUBSTITUTE(SUBSTITUTE(SUBSTITUTE(SUBSTITUTE(SUBSTITUTE(SUBSTITUTE(SUBSTITUTE(SUBSTITUTE(SUBSTITUTE(SUBSTITUTE(SUBSTITUTE(SUBSTITUTE(SUBSTITUTE(LOWER(AE652&amp;""),CHAR(10),""),CHAR(13),""),CHAR(9),""),CHAR(160),"")," ",""),".",""),"-",""),"/",""),"?",""),"_",""),",",""),"[",""),"]",""),"(",""),")",""),"*","")</f>
        <v/>
      </c>
      <c r="AY652" s="61" t="str">
        <f aca="false">SUBSTITUTE(SUBSTITUTE(SUBSTITUTE(SUBSTITUTE(SUBSTITUTE(SUBSTITUTE(SUBSTITUTE(SUBSTITUTE(SUBSTITUTE(SUBSTITUTE(SUBSTITUTE(SUBSTITUTE(SUBSTITUTE(SUBSTITUTE(SUBSTITUTE(SUBSTITUTE(LOWER(W652&amp;""),CHAR(10),""),CHAR(13),""),CHAR(9),""),CHAR(160),"")," ",""),".",""),"-",""),"/",""),"?",""),"_",""),",",""),"[",""),"]",""),"(",""),")",""),"*","")</f>
        <v/>
      </c>
      <c r="AZ652" s="61" t="str">
        <f aca="false">SUBSTITUTE(SUBSTITUTE(SUBSTITUTE(SUBSTITUTE(SUBSTITUTE(SUBSTITUTE(SUBSTITUTE(SUBSTITUTE(SUBSTITUTE(SUBSTITUTE(SUBSTITUTE(SUBSTITUTE(SUBSTITUTE(SUBSTITUTE(SUBSTITUTE(SUBSTITUTE(LOWER(AC652&amp;""),CHAR(10),""),CHAR(13),""),CHAR(9),""),CHAR(160),"")," ",""),".",""),"-",""),"/",""),"?",""),"_",""),",",""),"[",""),"]",""),"(",""),")",""),"*","")</f>
        <v/>
      </c>
      <c r="BA652" s="61" t="str">
        <f aca="false">SUBSTITUTE(SUBSTITUTE(SUBSTITUTE(SUBSTITUTE(SUBSTITUTE(SUBSTITUTE(SUBSTITUTE(SUBSTITUTE(SUBSTITUTE(SUBSTITUTE(SUBSTITUTE(SUBSTITUTE(SUBSTITUTE(SUBSTITUTE(SUBSTITUTE(SUBSTITUTE(LOWER(AA652&amp;""),CHAR(10),""),CHAR(13),""),CHAR(9),""),CHAR(160),"")," ",""),".",""),"-",""),"/",""),"?",""),"_",""),",",""),"[",""),"]",""),"(",""),")",""),"*","")</f>
        <v/>
      </c>
      <c r="BB652" s="61" t="str">
        <f aca="false">IF(AND(TRIM(U652)="Pass",ISNUMBER(AF652)),IF(AF652&lt;&gt;0,"INVALID – qty variance: use Fail or Pass after CA",""),"")&amp;IF(AND(TRIM(U652)="Pass after CA",ISNUMBER(AF652)),IF(AF652&lt;&gt;0,"INVALID – after the corrective action the actual qty must equal expected (update Actual)",""),"")&amp;IF(AND(TRIM(U652)="Pass",TRIM(AB652)&lt;&gt;"",TRIM(AB652)&lt;&gt;"Closed"),"INVALID – corrective action not closed: use Fail, then Pass after CA","")&amp;IF(AND(LEN(BA652)&gt;=2,ISNA(MATCH(LEFT(BA652,255),L_Placeholder,0)),TRIM(AB652)=""),"INVALID – CA status missing for the recorded corrective action","")&amp;IF(AND(TRIM(U652)="Pass after CA",OR(OR(LEN(BA652)&lt;5,ISNUMBER(MATCH(BA652,L_Placeholder,0))),TRIM(AB652)&lt;&gt;"Closed")),"INVALID – corrective action not recorded/closed","")</f>
        <v/>
      </c>
      <c r="BC652" s="61" t="str">
        <f aca="false">" "&amp;TRIM(SUBSTITUTE(SUBSTITUTE(SUBSTITUTE(SUBSTITUTE(SUBSTITUTE(SUBSTITUTE(SUBSTITUTE(SUBSTITUTE(SUBSTITUTE(SUBSTITUTE(SUBSTITUTE(SUBSTITUTE(SUBSTITUTE(SUBSTITUTE(SUBSTITUTE(SUBSTITUTE(SUBSTITUTE(SUBSTITUTE(SUBSTITUTE(SUBSTITUTE(SUBSTITUTE(SUBSTITUTE(SUBSTITUTE(SUBSTITUTE(LOWER(V652&amp;""),CHAR(10)," "),CHAR(13)," "),CHAR(9)," "),CHAR(160)," "),"."," "),","," "),"-"," "),"/"," "),"("," "),")"," "),":"," "),";"," "),"_"," "),"–"," "),"?"," "),"!"," "),"*"," "),"["," "),"]"," "),"'"," "),"#"," "),"+"," "),"&amp;"," "),"\"," "))&amp;" "</f>
        <v>  </v>
      </c>
      <c r="BD652" s="61" t="str">
        <f aca="false">" "&amp;TRIM(SUBSTITUTE(SUBSTITUTE(SUBSTITUTE(SUBSTITUTE(SUBSTITUTE(SUBSTITUTE(SUBSTITUTE(SUBSTITUTE(SUBSTITUTE(SUBSTITUTE(SUBSTITUTE(SUBSTITUTE(SUBSTITUTE(SUBSTITUTE(SUBSTITUTE(SUBSTITUTE(SUBSTITUTE(SUBSTITUTE(SUBSTITUTE(SUBSTITUTE(SUBSTITUTE(SUBSTITUTE(SUBSTITUTE(SUBSTITUTE(LOWER(Z652&amp;""),CHAR(10)," "),CHAR(13)," "),CHAR(9)," "),CHAR(160)," "),"."," "),","," "),"-"," "),"/"," "),"("," "),")"," "),":"," "),";"," "),"_"," "),"–"," "),"?"," "),"!"," "),"*"," "),"["," "),"]"," "),"'"," "),"#"," "),"+"," "),"&amp;"," "),"\"," "))&amp;" "</f>
        <v>  </v>
      </c>
      <c r="BE652" s="61" t="str">
        <f aca="false">" "&amp;TRIM(SUBSTITUTE(SUBSTITUTE(SUBSTITUTE(SUBSTITUTE(SUBSTITUTE(SUBSTITUTE(SUBSTITUTE(SUBSTITUTE(SUBSTITUTE(SUBSTITUTE(SUBSTITUTE(SUBSTITUTE(SUBSTITUTE(SUBSTITUTE(SUBSTITUTE(SUBSTITUTE(SUBSTITUTE(SUBSTITUTE(SUBSTITUTE(SUBSTITUTE(SUBSTITUTE(SUBSTITUTE(SUBSTITUTE(SUBSTITUTE(LOWER(W652&amp;""),CHAR(10)," "),CHAR(13)," "),CHAR(9)," "),CHAR(160)," "),"."," "),","," "),"-"," "),"/"," "),"("," "),")"," "),":"," "),";"," "),"_"," "),"–"," "),"?"," "),"!"," "),"*"," "),"["," "),"]"," "),"'"," "),"#"," "),"+"," "),"&amp;"," "),"\"," "))&amp;" "</f>
        <v>  </v>
      </c>
      <c r="BF652" s="61" t="str">
        <f aca="false">" "&amp;TRIM(SUBSTITUTE(SUBSTITUTE(SUBSTITUTE(SUBSTITUTE(SUBSTITUTE(SUBSTITUTE(SUBSTITUTE(SUBSTITUTE(SUBSTITUTE(SUBSTITUTE(SUBSTITUTE(SUBSTITUTE(SUBSTITUTE(SUBSTITUTE(SUBSTITUTE(SUBSTITUTE(SUBSTITUTE(SUBSTITUTE(SUBSTITUTE(SUBSTITUTE(SUBSTITUTE(SUBSTITUTE(SUBSTITUTE(SUBSTITUTE(LOWER(AC652&amp;""),CHAR(10)," "),CHAR(13)," "),CHAR(9)," "),CHAR(160)," "),"."," "),","," "),"-"," "),"/"," "),"("," "),")"," "),":"," "),";"," "),"_"," "),"–"," "),"?"," "),"!"," "),"*"," "),"["," "),"]"," "),"'"," "),"#"," "),"+"," "),"&amp;"," "),"\"," "))&amp;" "</f>
        <v>  </v>
      </c>
      <c r="BG652" s="61" t="n">
        <f aca="false">IFERROR(IF(AND(TRIM(U652)="Pass",SUMPRODUCT((LEN(BC652)-LEN(SUBSTITUTE(BC652," "&amp;L_ResultBad&amp;" "," ")))/(LEN(L_ResultBad)+1))&gt;SUMPRODUCT((LEN(BC652)-LEN(SUBSTITUTE(BC652," "&amp;L_NegPhrase&amp;" "," ")))/(LEN(L_NegPhrase)+1))),1,0),0)</f>
        <v>0</v>
      </c>
      <c r="BH652" s="61" t="n">
        <f aca="false">IFERROR(IF(SUMPRODUCT((LEN(BC652)-LEN(SUBSTITUTE(BC652," "&amp;L_Pending&amp;" "," ")))/(LEN(L_Pending)+1))&gt;SUMPRODUCT((LEN(BC652)-LEN(SUBSTITUTE(BC652," "&amp;L_PendNeg&amp;" "," ")))/(LEN(L_PendNeg)+1))+SUMPRODUCT((LEN(BC652)-LEN(SUBSTITUTE(BC652," "&amp;L_PendPrep&amp;" "," ")))/(LEN(L_PendPrep)+1)),1,0),1)</f>
        <v>0</v>
      </c>
      <c r="BI652" s="61" t="n">
        <f aca="false">IFERROR(IF(SUMPRODUCT((LEN(BD652)-LEN(SUBSTITUTE(BD652," "&amp;L_PendStrict&amp;" "," ")))/(LEN(L_PendStrict)+1))&gt;SUMPRODUCT((LEN(BD652)-LEN(SUBSTITUTE(BD652," "&amp;L_PendNeg&amp;" "," ")))/(LEN(L_PendNeg)+1)),1,0),1)</f>
        <v>0</v>
      </c>
      <c r="BJ652" s="61" t="n">
        <f aca="false">IFERROR(IF(SUMPRODUCT((LEN(BE652)-LEN(SUBSTITUTE(BE652," "&amp;L_Pending&amp;" "," ")))/(LEN(L_Pending)+1))&gt;SUMPRODUCT((LEN(BE652)-LEN(SUBSTITUTE(BE652," "&amp;L_PendNeg&amp;" "," ")))/(LEN(L_PendNeg)+1))+SUMPRODUCT((LEN(BE652)-LEN(SUBSTITUTE(BE652," "&amp;L_PendPrep&amp;" "," ")))/(LEN(L_PendPrep)+1)),1,0),1)</f>
        <v>0</v>
      </c>
      <c r="BK652" s="61" t="n">
        <f aca="false">IFERROR(IF(SUMPRODUCT((LEN(BF652)-LEN(SUBSTITUTE(BF652," "&amp;L_PendStrict&amp;" "," ")))/(LEN(L_PendStrict)+1))&gt;SUMPRODUCT((LEN(BF652)-LEN(SUBSTITUTE(BF652," "&amp;L_PendNeg&amp;" "," ")))/(LEN(L_PendNeg)+1)),1,0),1)</f>
        <v>0</v>
      </c>
      <c r="BL652" s="61" t="n">
        <f aca="false">IF(ISNA(MATCH(TRIM(S652),L_EvidenceType,0)),0,BZ652)</f>
        <v>0</v>
      </c>
      <c r="BM652" s="61" t="str">
        <f aca="false">SUBSTITUTE(SUBSTITUTE(SUBSTITUTE(SUBSTITUTE(SUBSTITUTE(SUBSTITUTE(SUBSTITUTE(SUBSTITUTE(SUBSTITUTE(LOWER(Z652&amp;""),"1","0"),"2","0"),"3","0"),"4","0"),"5","0"),"6","0"),"7","0"),"8","0"),"9","0")</f>
        <v/>
      </c>
      <c r="BN652" s="61" t="str">
        <f aca="false">SUBSTITUTE(SUBSTITUTE(SUBSTITUTE(SUBSTITUTE(SUBSTITUTE(SUBSTITUTE(SUBSTITUTE(SUBSTITUTE(SUBSTITUTE(SUBSTITUTE(SUBSTITUTE(SUBSTITUTE(SUBSTITUTE(SUBSTITUTE(SUBSTITUTE(SUBSTITUTE(SUBSTITUTE(SUBSTITUTE(SUBSTITUTE(SUBSTITUTE(SUBSTITUTE(SUBSTITUTE(SUBSTITUTE(SUBSTITUTE(SUBSTITUTE(BM652,"b","a"),"c","a"),"d","a"),"e","a"),"f","a"),"g","a"),"h","a"),"i","a"),"j","a"),"k","a"),"l","a"),"m","a"),"n","a"),"o","a"),"p","a"),"q","a"),"r","a"),"s","a"),"t","a"),"u","a"),"v","a"),"w","a"),"x","a"),"y","a"),"z","a")</f>
        <v/>
      </c>
      <c r="BO652" s="61" t="str">
        <f aca="false">SUBSTITUTE(SUBSTITUTE(SUBSTITUTE(SUBSTITUTE(SUBSTITUTE(SUBSTITUTE(SUBSTITUTE(SUBSTITUTE(SUBSTITUTE(LOWER(W652&amp;""),"1","0"),"2","0"),"3","0"),"4","0"),"5","0"),"6","0"),"7","0"),"8","0"),"9","0")</f>
        <v/>
      </c>
      <c r="BP652" s="61" t="str">
        <f aca="false">SUBSTITUTE(SUBSTITUTE(SUBSTITUTE(SUBSTITUTE(SUBSTITUTE(SUBSTITUTE(SUBSTITUTE(SUBSTITUTE(SUBSTITUTE(SUBSTITUTE(SUBSTITUTE(SUBSTITUTE(SUBSTITUTE(SUBSTITUTE(SUBSTITUTE(SUBSTITUTE(SUBSTITUTE(SUBSTITUTE(SUBSTITUTE(SUBSTITUTE(SUBSTITUTE(SUBSTITUTE(SUBSTITUTE(SUBSTITUTE(SUBSTITUTE(BO652,"b","a"),"c","a"),"d","a"),"e","a"),"f","a"),"g","a"),"h","a"),"i","a"),"j","a"),"k","a"),"l","a"),"m","a"),"n","a"),"o","a"),"p","a"),"q","a"),"r","a"),"s","a"),"t","a"),"u","a"),"v","a"),"w","a"),"x","a"),"y","a"),"z","a")</f>
        <v/>
      </c>
      <c r="BQ652" s="61" t="n">
        <f aca="false">IFERROR(IF(AND(ISERROR(SEARCH(" mh"," "&amp;LOWER(W652))),ISNA(MATCH(LEFT(TRIM(BP652),255),{"0000a","000a","00a","0000aa","000aa","00aa","0aa","0000aaa","000aaa","00a00","0a00","0000-0000","00:00","a00","a0","00.00.0000","00/00/0000","00-00-0000","0000-00-00","0000/00/00","0000.00.00","00.00.00","00/00/00","00-00-00","0.00.0000","0/00/0000","0-00-0000"},0)),ISNA(MATCH(LEFT(TRIM(CA652),255),{"0000a","000a","00a","0000aa","000aa","00aa","0aa","0000aaa","000aaa","00a00","0a00","0000-0000","00:00","a00","a0","00.00.0000","00/00/0000","00-00-0000","0000-00-00","0000/00/00","0000.00.00","00.00.00","00/00/00","00-00-00","0.00.0000","0/00/0000","0-00-0000"},0)),LEN(CB652)&gt;=3,NOT(OR(SUBSTITUTE(CB652,"0","")="",AND(LEN(CB652)&gt;=4,CB652=REPT(LEFT(CB652),LEN(CB652))),ISNUMBER(MATCH(CB652,{"123","1234","12345","123456","1234567","12345678","0123","01234","012345","98765","987654","54321"},0)),AND(LEN(CB652)=8,LEFT(CB652,3)="202"))),OR(AND((LEN(CA652)-LEN(SUBSTITUTE(CA652,"a","")))&gt;=1,SUMPRODUCT(--ISNUMBER(SEARCH({"a0","a-0","a_0","a/0","a.0","a#0","0a","0-a","0_a","0/a"},BP652)))&gt;0),ISNUMBER(SEARCH("000000",BP652)))),1,0),0)</f>
        <v>0</v>
      </c>
      <c r="BR652" s="61" t="n">
        <f aca="false">IFERROR(LEN(SUBSTITUTE(CC652," ",""))-SUMPRODUCT((LEN(CC652)-LEN(SUBSTITUTE(CC652," "&amp;L_Role&amp;" "," ")))/(LEN(L_Role)+1)*LEN(L_Role)),0)</f>
        <v>0</v>
      </c>
      <c r="BS652" s="61" t="n">
        <f aca="false">IFERROR(LEN(SUBSTITUTE(CD652," ",""))-SUMPRODUCT((LEN(CD652)-LEN(SUBSTITUTE(CD652," "&amp;L_Role&amp;" "," ")))/(LEN(L_Role)+1)*LEN(L_Role)),0)</f>
        <v>0</v>
      </c>
      <c r="BT6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652,"revision",""),"version",""),"jan",""),"feb",""),"mar",""),"apr",""),"may",""),"jun",""),"jul",""),"aug",""),"sep",""),"oct",""),"nov",""),"dec",""),"utc",""),"gmt",""),"myt",""),"bst",""),"rev",""),"ver",""),"b","a"),"c","a"),"d","a"),"e","a"),"f","a"),"g","a"),"h","a"),"i","a"),"j","a"),"k","a"),"l","a"),"m","a"),"n","a"),"o","a"),"p","a"),"q","a"),"r","a"),"s","a"),"t","a"),"u","a"),"v","a"),"w","a"),"x","a"),"y","a"),"z","a")</f>
        <v/>
      </c>
      <c r="BU652" s="61" t="str">
        <f aca="false">SUBSTITUTE(SUBSTITUTE(SUBSTITUTE(SUBSTITUTE(SUBSTITUTE(SUBSTITUTE(SUBSTITUTE(SUBSTITUTE(SUBSTITUTE(SUBSTITUTE(LEFT(BM652,FIND("0",BM652&amp;"0")-1),"-",""),"_",""),"/",""),".",""),"#",""),"\\",""),":","")," ",""),"(",""),")","")</f>
        <v/>
      </c>
      <c r="BV652" s="61" t="n">
        <f aca="false">0</f>
        <v>0</v>
      </c>
      <c r="BW65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652&amp;""),"a",""),"b",""),"c",""),"d",""),"e",""),"f",""),"g",""),"h",""),"i",""),"j",""),"k",""),"l",""),"m",""),"n",""),"o",""),"p",""),"q",""),"r",""),"s",""),"t",""),"u",""),"v",""),"w",""),"x",""),"y",""),"z",""),"-",""),"_",""),"/",""),".",""),"#",""),"\\",""),":","")," ",""),"(",""),")","")</f>
        <v/>
      </c>
      <c r="BX652" s="61" t="str">
        <f aca="false">SUBSTITUTE(SUBSTITUTE(SUBSTITUTE(SUBSTITUTE(SUBSTITUTE(SUBSTITUTE(SUBSTITUTE(SUBSTITUTE(SUBSTITUTE(SUBSTITUTE(SUBSTITUTE(BM652,"0",""),"-",""),"_",""),"/",""),".",""),"#",""),"\\",""),":","")," ",""),"(",""),")","")</f>
        <v/>
      </c>
      <c r="BY652" s="62" t="n">
        <f aca="false">Q652-T7EarlyD*24/24</f>
        <v>46303.4375</v>
      </c>
      <c r="BZ652" s="61" t="n">
        <f aca="false">IFERROR(IF(IF(TRIM(S652)="Link / file path",AND(LEN(TRIM(Z652))&gt;=5,SUMPRODUCT(--ISNUMBER(SEARCH({"http","www.","\\",":\",".pdf",".jpg",".jpeg",".png",".heic",".xls",".doc",".msg",".eml",".ppt",".txt",".zip"},Z652)))&gt;0),AND(ISERROR(FIND(" ",TRIM(Z652))),NOT(OR(SUMPRODUCT(--ISNUMBER(FIND({",",";","&amp;","+"},Z652)))&gt;0,SUMPRODUCT(--ISNUMBER(SEARCH({"0/aa","0\\aa"},BN652)))&gt;0)),NOT(SUMPRODUCT(--ISNUMBER(SEARCH({"http","www.","\\",":\",".pdf",".jpg",".jpeg",".png",".heic",".xls",".doc",".msg",".eml",".ppt",".txt",".zip"},Z652)))&gt;0),NOT(LOWER(TRIM(Z652))=LOWER(Flights!$F$24)),ISNA(MATCH(BU652,{"mh","rev","revision","ver","version","v","r","a","b","seat","tray","row","gate","bay","stand","page","pg","item","line","no","cart","galley","flight","flt","table","box","bag","oven","etd","eta","std","sta","atd","ata","qty","pax","x","time","tel","ph","mob","day","wk","week","utc","gmt","myt","lt"},0)),NOT(OR(ISNUMBER(MATCH(LEFT(BN652,255),{"0000a","000a","00a","0000aa","000aa","00aa","0aa","0000aaa","000aaa","00a00","0a00","0000-0000","00:00","a00","a0","00.00.0000","00/00/0000","00-00-0000","0000-00-00","0000/00/00","0000.00.00","00.00.00","00/00/00","00-00-00","0.00.0000","0/00/0000","0-00-0000"},0)),ISNUMBER(MATCH(LEFT(BT652,255),{"0000a","000a","00a","0000aa","000aa","00aa","0aa","0000aaa","000aaa","00a00","0a00","0000-0000","00:00","a00","a0","00.00.0000","00/00/0000","00-00-0000","0000-00-00","0000/00/00","0000.00.00","00.00.00","00/00/00","00-00-00","0.00.0000","0/00/0000","0-00-0000"},0)))),NOT(OR(AND(BW652&lt;&gt;"",SUBSTITUTE(BW652,"0","")=""),AND(LEN(BW652)&gt;=4,BW652=REPT(LEFT(BW652),LEN(BW652))),ISNUMBER(MATCH(BW652,{"123","1234","12345","123456","1234567","12345678","0123","01234","012345","98765","987654","54321"},0)),ISNUMBER(MATCH(BX652,{"x","xx","xxx","xxxx","xxxxx","abc","abcd","nil","na","nan","test","tbc","tba","tbd","dummy","sample","example","eg","zz","zzz","none","null","xyz","qwe","asd","id","ref"},0)),AND(LEN(BW652)=8,BX652="",OR(LEFT(BW652,3)="202",ISNUMBER(MATCH(RIGHT(BW652,4),{"2025","2026","2027"},0)))))),OR(AND((LEN(BT652)-LEN(SUBSTITUTE(BT652,"a","")))&gt;=1,(LEN(BN652)-LEN(SUBSTITUTE(BN652,"0","")))&gt;=2,SUMPRODUCT(--ISNUMBER(SEARCH({"a0","a-0","a_0","a/0","a.0","a#0","0a","0-a","0_a","0/a"},BN652)))&gt;0),AND((LEN(BN652)-LEN(SUBSTITUTE(BN652,"a","")))=0,(LEN(BN652)-LEN(SUBSTITUTE(BN652,"0","")))&gt;=5)))),1,0),0)</f>
        <v>0</v>
      </c>
      <c r="CA6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652,"revision",""),"version",""),"jan",""),"feb",""),"mar",""),"apr",""),"may",""),"jun",""),"jul",""),"aug",""),"sep",""),"oct",""),"nov",""),"dec",""),"utc",""),"gmt",""),"myt",""),"bst",""),"rev",""),"ver",""),"b","a"),"c","a"),"d","a"),"e","a"),"f","a"),"g","a"),"h","a"),"i","a"),"j","a"),"k","a"),"l","a"),"m","a"),"n","a"),"o","a"),"p","a"),"q","a"),"r","a"),"s","a"),"t","a"),"u","a"),"v","a"),"w","a"),"x","a"),"y","a"),"z","a")</f>
        <v/>
      </c>
      <c r="CB65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652&amp;""),"a",""),"b",""),"c",""),"d",""),"e",""),"f",""),"g",""),"h",""),"i",""),"j",""),"k",""),"l",""),"m",""),"n",""),"o",""),"p",""),"q",""),"r",""),"s",""),"t",""),"u",""),"v",""),"w",""),"x",""),"y",""),"z",""),"-",""),"_",""),"/",""),".",""),"#",""),"\\",""),":","")," ",""),"(",""),")","")</f>
        <v/>
      </c>
      <c r="CC652" s="0" t="str">
        <f aca="false">" "&amp;TRIM(SUBSTITUTE(SUBSTITUTE(SUBSTITUTE(SUBSTITUTE(SUBSTITUTE(SUBSTITUTE(SUBSTITUTE(SUBSTITUTE(SUBSTITUTE(SUBSTITUTE(SUBSTITUTE(SUBSTITUTE(SUBSTITUTE(SUBSTITUTE(SUBSTITUTE(SUBSTITUTE(SUBSTITUTE(SUBSTITUTE(SUBSTITUTE(SUBSTITUTE(SUBSTITUTE(SUBSTITUTE(SUBSTITUTE(SUBSTITUTE(LOWER(T652&amp;""),CHAR(10)," "),CHAR(13)," "),CHAR(9)," "),CHAR(160)," "),"."," "),","," "),"-"," "),"/"," "),"("," "),")"," "),":"," "),";"," "),"_"," "),"–"," "),"?"," "),"!"," "),"*"," "),"["," "),"]"," "),"'"," "),"#"," "),"+"," "),"&amp;"," "),"\"," "))&amp;" "</f>
        <v>  </v>
      </c>
      <c r="CD652" s="0" t="str">
        <f aca="false">" "&amp;TRIM(SUBSTITUTE(SUBSTITUTE(SUBSTITUTE(SUBSTITUTE(SUBSTITUTE(SUBSTITUTE(SUBSTITUTE(SUBSTITUTE(SUBSTITUTE(SUBSTITUTE(SUBSTITUTE(SUBSTITUTE(SUBSTITUTE(SUBSTITUTE(SUBSTITUTE(SUBSTITUTE(SUBSTITUTE(SUBSTITUTE(SUBSTITUTE(SUBSTITUTE(SUBSTITUTE(SUBSTITUTE(SUBSTITUTE(SUBSTITUTE(LOWER(AE652&amp;""),CHAR(10)," "),CHAR(13)," "),CHAR(9)," "),CHAR(160)," "),"."," "),","," "),"-"," "),"/"," "),"("," "),")"," "),":"," "),";"," "),"_"," "),"–"," "),"?"," "),"!"," "),"*"," "),"["," "),"]"," "),"'"," "),"#"," "),"+"," "),"&amp;"," "),"\"," "))&amp;" "</f>
        <v>  </v>
      </c>
      <c r="CE652" s="68" t="n">
        <f aca="false">IFERROR(IF(AND(LEN(AU652)&gt;0,LEN(AU652)=LEN(AX652),OR(TRIM(MID(SUBSTITUTE(TRIM(CC652)," ",REPT(" ",60)),1,60))="",ISNUMBER(SEARCH(" "&amp;TRIM(MID(SUBSTITUTE(TRIM(CC652)," ",REPT(" ",60)),1,60))&amp;" ",CD652))),OR(TRIM(MID(SUBSTITUTE(TRIM(CC652)," ",REPT(" ",60)),61,60))="",ISNUMBER(SEARCH(" "&amp;TRIM(MID(SUBSTITUTE(TRIM(CC652)," ",REPT(" ",60)),61,60))&amp;" ",CD652))),OR(TRIM(MID(SUBSTITUTE(TRIM(CC652)," ",REPT(" ",60)),121,60))="",ISNUMBER(SEARCH(" "&amp;TRIM(MID(SUBSTITUTE(TRIM(CC652)," ",REPT(" ",60)),121,60))&amp;" ",CD652)))),1,0),0)</f>
        <v>0</v>
      </c>
      <c r="CG652" s="68" t="n">
        <f aca="false">IFERROR(LEN(SUBSTITUTE(BF652," ",""))-SUMPRODUCT((LEN(BF652)-LEN(SUBSTITUTE(BF652," "&amp;L_NAFiller&amp;" "," ")))/(LEN(L_NAFiller)+1)*LEN(L_NAFiller)),0)</f>
        <v>0</v>
      </c>
    </row>
    <row r="653" customFormat="false" ht="39.75" hidden="false" customHeight="true" outlineLevel="0" collapsed="false">
      <c r="A653" s="57" t="s">
        <v>1372</v>
      </c>
      <c r="B653" s="57" t="s">
        <v>304</v>
      </c>
      <c r="C653" s="57" t="str">
        <f aca="false">Flights!$F$24</f>
        <v>MH1450</v>
      </c>
      <c r="D653" s="58" t="n">
        <f aca="false">Flights!$D$24</f>
        <v>46324</v>
      </c>
      <c r="E653" s="57" t="str">
        <f aca="false">Flights!$G$24&amp;"-"&amp;Flights!$H$24</f>
        <v>KUL-LGK</v>
      </c>
      <c r="F653" s="57" t="str">
        <f aca="false">Flights!$K$24</f>
        <v>EY</v>
      </c>
      <c r="G653" s="57" t="s">
        <v>83</v>
      </c>
      <c r="H653" s="57" t="s">
        <v>378</v>
      </c>
      <c r="I653" s="57" t="s">
        <v>379</v>
      </c>
      <c r="J653" s="57" t="s">
        <v>416</v>
      </c>
      <c r="K653" s="67" t="s">
        <v>417</v>
      </c>
      <c r="L653" s="67" t="s">
        <v>418</v>
      </c>
      <c r="M653" s="67"/>
      <c r="N653" s="67" t="s">
        <v>383</v>
      </c>
      <c r="O653" s="67"/>
      <c r="P653" s="57" t="s">
        <v>187</v>
      </c>
      <c r="Q653" s="59" t="n">
        <f aca="false">ROUND((Flights!$AD$24)*1440,0)/1440</f>
        <v>46323.4375</v>
      </c>
      <c r="R653" s="59" t="n">
        <f aca="false">Q653+(IF(AND(INDEX(TZ_DSTS,MATCH(P653,TZ_STN,0))&lt;&gt;"",Q653&gt;=INDEX(TZ_DSTS,MATCH(P653,TZ_STN,0)),Q653&lt;INDEX(TZ_DSTE,MATCH(P653,TZ_STN,0))),INDEX(TZ_DST,MATCH(P653,TZ_STN,0)),INDEX(TZ_STD,MATCH(P653,TZ_STN,0))))/24</f>
        <v>46323.7708333333</v>
      </c>
      <c r="S653" s="60"/>
      <c r="T653" s="60"/>
      <c r="U653" s="60"/>
      <c r="V653" s="60"/>
      <c r="W653" s="60"/>
      <c r="X653" s="60"/>
      <c r="Y653" s="60"/>
      <c r="Z653" s="60"/>
      <c r="AA653" s="60"/>
      <c r="AB653" s="60"/>
      <c r="AC653" s="60"/>
      <c r="AD653" s="66"/>
      <c r="AE653" s="60"/>
      <c r="AF653" s="61" t="str">
        <f aca="false">IF(AND(ISNUMBER(X653),ISNUMBER(Y653)),Y653-X653,"")</f>
        <v/>
      </c>
      <c r="AG653" s="62" t="str">
        <f aca="false">IF(ISNUMBER(AD653),AD653-(IF(AND(INDEX(TZ_DSTS,MATCH(P653,TZ_STN,0))&lt;&gt;"",(AD653-INDEX(TZ_STD,MATCH(P653,TZ_STN,0))/24)&gt;=INDEX(TZ_DSTS,MATCH(P653,TZ_STN,0)),(AD653-INDEX(TZ_STD,MATCH(P653,TZ_STN,0))/24)&lt;INDEX(TZ_DSTE,MATCH(P653,TZ_STN,0))),INDEX(TZ_DST,MATCH(P653,TZ_STN,0)),INDEX(TZ_STD,MATCH(P653,TZ_STN,0))))/24,"")</f>
        <v/>
      </c>
      <c r="AH653" s="65" t="str">
        <f aca="false">IFERROR(IF(N653="N/A – rule",IF(OR(TRIM(U653)="",TRIM(U653)="N/A",TRIM(U653)="Not started"),"N/A – RULE","INVALID – this check does not apply to this aircraft: clear the status (or correct the fleet on Flights)"),IF(TRIM(U653)="N/A",IF(AT653=0,"INVALID – N/A not permitted for this check",IF(AND(TRIM(AB653)&lt;&gt;"",TRIM(AB653)&lt;&gt;"Closed"),"INVALID – corrective action still open",IF(AND(NOT(OR(LEN(AZ653)&lt;15,ISNUMBER(MATCH(AZ653,L_Placeholder,0)))),BK653=0,CG653&gt;=8,NOT(OR(LEN(AU653)&lt;2,ISNUMBER(MATCH(AU653,L_Placeholder,0)))),BR653&gt;=3,NOT(OR(LEN(AX653)&lt;2,ISNUMBER(MATCH(AX653,L_Placeholder,0)))),BS653&gt;=3,TRIM(AE653)&lt;&gt;TRIM(T653),AX653&lt;&gt;AU653,CE653=0),"N/A – JUSTIFIED","INVALID – N/A needs a real, settled reason (not 'not applicable' / 'as above' / TBC), a named PIC and a different named verifier"))),IF(OR(TRIM(U653)="Pass",TRIM(U653)="Pass after CA"),IF(NOT(ISNUMBER(AD653)),"INVALID – completion time missing",IF(OR(OR(LEN(AU653)&lt;2,ISNUMBER(MATCH(AU653,L_Placeholder,0))),BR653&lt;3),"INVALID – PIC missing or not a named person (a role such as QA / CSM is not a name)",IF(OR(LEN(AV653)&lt;2,ISNUMBER(MATCH(AV653,L_Placeholder,0))),"INVALID – result / assessment missing",IF(OR(OR(LEN(AW653)&lt;3,ISNUMBER(MATCH(AW653,L_Placeholder,0))),SUMPRODUCT(--ISNUMBER(SEARCH(" "&amp;L_EvidencePhrase&amp;" ",BD653)))&gt;0,BI653=1),"INVALID – evidence missing, placeholder or not yet on file",IF(ISNA(MATCH(TRIM(S653),L_EvidenceType,0)),"INVALID – choose the evidence type from the list (column S)",IF(BL653=0,"INVALID – evidence ID must be the record's own ID only (e.g. SF-2210, IMG_2231, 1045521); a link / file name needs type 'Link / file path'",IF(OR(OR(LEN(AX653)&lt;2,ISNUMBER(MATCH(AX653,L_Placeholder,0))),BS653&lt;3),"INVALID – verifier missing or not a named person (a role such as QA / CSM is not a name)",IF(OR(AX653=AU653,CE653=1,AND(LEN(AU653)&gt;=4,ISNUMBER(SEARCH(AU653,AX653))),AND(LEN(AX653)&gt;=4,ISNUMBER(SEARCH(AX653,AU653)))),"INVALID – verifier must be a different, named person (not the PIC or a role)",IF(BH653=1,"INVALID – result not yet available (awaiting / TBC)",IF(BG653=1,"INVALID – result describes a problem: record Fail, then Pass after CA (or reword if it is not a problem)",IF(BV653=1,"INVALID – wording says not on board: an on-board confirmation needs the item loaded",IF(AND(AQ653=1,OR(OR(LEN(AY653)&lt;3,ISNUMBER(MATCH(AY653,L_Placeholder,0))),BJ653=1,BQ653=0)),"INVALID – batch ID missing, placeholder or not an ID (e.g. PASB-261008-BC-017)",IF(AND(AR653=1,OR(NOT(ISNUMBER(X653)),NOT(ISNUMBER(Y653)))),"INVALID – expected/actual qty missing",IF(AND(AR653=1,OR(X653&lt;=0,Y653&lt;0)),"INVALID – expected qty must be above 0 and actual not negative",IF(BB653&lt;&gt;"",BB653,IF(AND(AS653=1,Documents!$J$24&lt;&gt;"ON FILE"),"INVALID – GLD not on file (Documents sheet)",IF(AND(AS653=2,Documents!$O$24&lt;&gt;"ON FILE"),"INVALID – menu checklist not on file (Documents sheet)",IF(AND(AS653=3,NOT(ISNUMBER(Flights!$AX$24))),"INVALID – enter carrying flight KUL departure (Flights AX)",IF(AND(AS653=3,OR(Flights!$AZ$24&gt;Flights!$AA$24,Flights!$AX$24&lt;Flights!$AA$24-3)),"INVALID – carrying flight (Flights AX) cannot arrive before this leg's STD, or is over 3 days early",IF(AG653&gt;AsOfUTC,"INVALID – completion time is in the future",IF(AND(ISNUMBER(BY653),AG653&lt;BY653),IF(H653="Physical uplift","INVALID – before uplift window (cannot confirm loading)","INVALID – before valid window"),IF(AG653&gt;Flights!$AA$24,"INVALID – completed after departure (cannot establish readiness)",IF(AND(H653="Preparation",AG653&gt;=IF(ISNUMBER(Flights!$BA$24),MIN(Flights!$BA$24,Flights!$AA$24),Flights!$AA$24)),"INVALID – completed after loading / departure (cannot establish readiness)",IF(AND(H653="Physical uplift",AG653&gt;Q653),"INVALID – recorded after the loading flight departed",IF(AG653&gt;Q653,"COMPLETE – LATE","COMPLETE"))))))))))))))))))))))))),IF(TRIM(U653)="Fail","FAIL – DISCREPANCY",IF(AND(TRIM(U653)&lt;&gt;"",TRIM(U653)&lt;&gt;"Not started",TRIM(U653)&lt;&gt;"In progress"),"INVALID – unrecognised status (use the list)",IF(AsOfUTC&gt;Q653,"OVERDUE",IF(N653="Clarification required","OPEN – CLARIFICATION","OPEN"))))))),"INVALID – error value in an input cell")</f>
        <v>OPEN</v>
      </c>
      <c r="AI653" s="61" t="n">
        <f aca="false">IF(OR(AH653="N/A – RULE",AH653="N/A – JUSTIFIED"),0,1)</f>
        <v>1</v>
      </c>
      <c r="AJ653" s="61" t="n">
        <f aca="false">IF(LEFT(AH653,8)="COMPLETE",1,0)</f>
        <v>0</v>
      </c>
      <c r="AK653" s="61" t="n">
        <f aca="false">IF(AND(AI653=1,AJ653=0,AsOfUTC&gt;Q653),1,0)</f>
        <v>0</v>
      </c>
      <c r="AL653" s="61" t="n">
        <f aca="false">IFERROR(IF(AND(AI653=1,OR(TRIM(U653)="Fail",AND(TRIM(AB653)&lt;&gt;"",TRIM(AB653)&lt;&gt;"Closed"),AND(ISNUMBER(AF653),AF653&lt;&gt;0,TRIM(U653)&lt;&gt;"Pass after CA"))),1,0),1)</f>
        <v>0</v>
      </c>
      <c r="AM653" s="61" t="n">
        <f aca="false">IF(LEFT(AH653,7)="INVALID",1,0)</f>
        <v>0</v>
      </c>
      <c r="AN653" s="61" t="n">
        <f aca="false">IF(AND(N653="Clarification required",AI653=1,AJ653=0),1,0)</f>
        <v>0</v>
      </c>
      <c r="AO653" s="61" t="str">
        <f aca="false">IF(AK653=1,SUM(AK$5:AK653),"")</f>
        <v/>
      </c>
      <c r="AP653" s="61" t="str">
        <f aca="false">IF(AL653=1,SUM(AL$5:AL653),"")</f>
        <v/>
      </c>
      <c r="AQ653" s="61" t="n">
        <v>1</v>
      </c>
      <c r="AR653" s="61" t="n">
        <v>0</v>
      </c>
      <c r="AS653" s="61" t="n">
        <v>0</v>
      </c>
      <c r="AT653" s="61" t="n">
        <v>0</v>
      </c>
      <c r="AU653" s="61" t="str">
        <f aca="false">SUBSTITUTE(SUBSTITUTE(SUBSTITUTE(SUBSTITUTE(SUBSTITUTE(SUBSTITUTE(SUBSTITUTE(SUBSTITUTE(SUBSTITUTE(SUBSTITUTE(SUBSTITUTE(SUBSTITUTE(SUBSTITUTE(SUBSTITUTE(SUBSTITUTE(SUBSTITUTE(LOWER(T653&amp;""),CHAR(10),""),CHAR(13),""),CHAR(9),""),CHAR(160),"")," ",""),".",""),"-",""),"/",""),"?",""),"_",""),",",""),"[",""),"]",""),"(",""),")",""),"*","")</f>
        <v/>
      </c>
      <c r="AV653" s="61" t="str">
        <f aca="false">SUBSTITUTE(SUBSTITUTE(SUBSTITUTE(SUBSTITUTE(SUBSTITUTE(SUBSTITUTE(SUBSTITUTE(SUBSTITUTE(SUBSTITUTE(SUBSTITUTE(SUBSTITUTE(SUBSTITUTE(SUBSTITUTE(SUBSTITUTE(SUBSTITUTE(SUBSTITUTE(LOWER(V653&amp;""),CHAR(10),""),CHAR(13),""),CHAR(9),""),CHAR(160),"")," ",""),".",""),"-",""),"/",""),"?",""),"_",""),",",""),"[",""),"]",""),"(",""),")",""),"*","")</f>
        <v/>
      </c>
      <c r="AW653" s="61" t="str">
        <f aca="false">SUBSTITUTE(SUBSTITUTE(SUBSTITUTE(SUBSTITUTE(SUBSTITUTE(SUBSTITUTE(SUBSTITUTE(SUBSTITUTE(SUBSTITUTE(SUBSTITUTE(SUBSTITUTE(SUBSTITUTE(SUBSTITUTE(SUBSTITUTE(SUBSTITUTE(SUBSTITUTE(LOWER(Z653&amp;""),CHAR(10),""),CHAR(13),""),CHAR(9),""),CHAR(160),"")," ",""),".",""),"-",""),"/",""),"?",""),"_",""),",",""),"[",""),"]",""),"(",""),")",""),"*","")</f>
        <v/>
      </c>
      <c r="AX653" s="61" t="str">
        <f aca="false">SUBSTITUTE(SUBSTITUTE(SUBSTITUTE(SUBSTITUTE(SUBSTITUTE(SUBSTITUTE(SUBSTITUTE(SUBSTITUTE(SUBSTITUTE(SUBSTITUTE(SUBSTITUTE(SUBSTITUTE(SUBSTITUTE(SUBSTITUTE(SUBSTITUTE(SUBSTITUTE(LOWER(AE653&amp;""),CHAR(10),""),CHAR(13),""),CHAR(9),""),CHAR(160),"")," ",""),".",""),"-",""),"/",""),"?",""),"_",""),",",""),"[",""),"]",""),"(",""),")",""),"*","")</f>
        <v/>
      </c>
      <c r="AY653" s="61" t="str">
        <f aca="false">SUBSTITUTE(SUBSTITUTE(SUBSTITUTE(SUBSTITUTE(SUBSTITUTE(SUBSTITUTE(SUBSTITUTE(SUBSTITUTE(SUBSTITUTE(SUBSTITUTE(SUBSTITUTE(SUBSTITUTE(SUBSTITUTE(SUBSTITUTE(SUBSTITUTE(SUBSTITUTE(LOWER(W653&amp;""),CHAR(10),""),CHAR(13),""),CHAR(9),""),CHAR(160),"")," ",""),".",""),"-",""),"/",""),"?",""),"_",""),",",""),"[",""),"]",""),"(",""),")",""),"*","")</f>
        <v/>
      </c>
      <c r="AZ653" s="61" t="str">
        <f aca="false">SUBSTITUTE(SUBSTITUTE(SUBSTITUTE(SUBSTITUTE(SUBSTITUTE(SUBSTITUTE(SUBSTITUTE(SUBSTITUTE(SUBSTITUTE(SUBSTITUTE(SUBSTITUTE(SUBSTITUTE(SUBSTITUTE(SUBSTITUTE(SUBSTITUTE(SUBSTITUTE(LOWER(AC653&amp;""),CHAR(10),""),CHAR(13),""),CHAR(9),""),CHAR(160),"")," ",""),".",""),"-",""),"/",""),"?",""),"_",""),",",""),"[",""),"]",""),"(",""),")",""),"*","")</f>
        <v/>
      </c>
      <c r="BA653" s="61" t="str">
        <f aca="false">SUBSTITUTE(SUBSTITUTE(SUBSTITUTE(SUBSTITUTE(SUBSTITUTE(SUBSTITUTE(SUBSTITUTE(SUBSTITUTE(SUBSTITUTE(SUBSTITUTE(SUBSTITUTE(SUBSTITUTE(SUBSTITUTE(SUBSTITUTE(SUBSTITUTE(SUBSTITUTE(LOWER(AA653&amp;""),CHAR(10),""),CHAR(13),""),CHAR(9),""),CHAR(160),"")," ",""),".",""),"-",""),"/",""),"?",""),"_",""),",",""),"[",""),"]",""),"(",""),")",""),"*","")</f>
        <v/>
      </c>
      <c r="BB653" s="61" t="str">
        <f aca="false">IF(AND(TRIM(U653)="Pass",ISNUMBER(AF653)),IF(AF653&lt;&gt;0,"INVALID – qty variance: use Fail or Pass after CA",""),"")&amp;IF(AND(TRIM(U653)="Pass after CA",ISNUMBER(AF653)),IF(AF653&lt;&gt;0,"INVALID – after the corrective action the actual qty must equal expected (update Actual)",""),"")&amp;IF(AND(TRIM(U653)="Pass",TRIM(AB653)&lt;&gt;"",TRIM(AB653)&lt;&gt;"Closed"),"INVALID – corrective action not closed: use Fail, then Pass after CA","")&amp;IF(AND(LEN(BA653)&gt;=2,ISNA(MATCH(LEFT(BA653,255),L_Placeholder,0)),TRIM(AB653)=""),"INVALID – CA status missing for the recorded corrective action","")&amp;IF(AND(TRIM(U653)="Pass after CA",OR(OR(LEN(BA653)&lt;5,ISNUMBER(MATCH(BA653,L_Placeholder,0))),TRIM(AB653)&lt;&gt;"Closed")),"INVALID – corrective action not recorded/closed","")</f>
        <v/>
      </c>
      <c r="BC653" s="61" t="str">
        <f aca="false">" "&amp;TRIM(SUBSTITUTE(SUBSTITUTE(SUBSTITUTE(SUBSTITUTE(SUBSTITUTE(SUBSTITUTE(SUBSTITUTE(SUBSTITUTE(SUBSTITUTE(SUBSTITUTE(SUBSTITUTE(SUBSTITUTE(SUBSTITUTE(SUBSTITUTE(SUBSTITUTE(SUBSTITUTE(SUBSTITUTE(SUBSTITUTE(SUBSTITUTE(SUBSTITUTE(SUBSTITUTE(SUBSTITUTE(SUBSTITUTE(SUBSTITUTE(LOWER(V653&amp;""),CHAR(10)," "),CHAR(13)," "),CHAR(9)," "),CHAR(160)," "),"."," "),","," "),"-"," "),"/"," "),"("," "),")"," "),":"," "),";"," "),"_"," "),"–"," "),"?"," "),"!"," "),"*"," "),"["," "),"]"," "),"'"," "),"#"," "),"+"," "),"&amp;"," "),"\"," "))&amp;" "</f>
        <v>  </v>
      </c>
      <c r="BD653" s="61" t="str">
        <f aca="false">" "&amp;TRIM(SUBSTITUTE(SUBSTITUTE(SUBSTITUTE(SUBSTITUTE(SUBSTITUTE(SUBSTITUTE(SUBSTITUTE(SUBSTITUTE(SUBSTITUTE(SUBSTITUTE(SUBSTITUTE(SUBSTITUTE(SUBSTITUTE(SUBSTITUTE(SUBSTITUTE(SUBSTITUTE(SUBSTITUTE(SUBSTITUTE(SUBSTITUTE(SUBSTITUTE(SUBSTITUTE(SUBSTITUTE(SUBSTITUTE(SUBSTITUTE(LOWER(Z653&amp;""),CHAR(10)," "),CHAR(13)," "),CHAR(9)," "),CHAR(160)," "),"."," "),","," "),"-"," "),"/"," "),"("," "),")"," "),":"," "),";"," "),"_"," "),"–"," "),"?"," "),"!"," "),"*"," "),"["," "),"]"," "),"'"," "),"#"," "),"+"," "),"&amp;"," "),"\"," "))&amp;" "</f>
        <v>  </v>
      </c>
      <c r="BE653" s="61" t="str">
        <f aca="false">" "&amp;TRIM(SUBSTITUTE(SUBSTITUTE(SUBSTITUTE(SUBSTITUTE(SUBSTITUTE(SUBSTITUTE(SUBSTITUTE(SUBSTITUTE(SUBSTITUTE(SUBSTITUTE(SUBSTITUTE(SUBSTITUTE(SUBSTITUTE(SUBSTITUTE(SUBSTITUTE(SUBSTITUTE(SUBSTITUTE(SUBSTITUTE(SUBSTITUTE(SUBSTITUTE(SUBSTITUTE(SUBSTITUTE(SUBSTITUTE(SUBSTITUTE(LOWER(W653&amp;""),CHAR(10)," "),CHAR(13)," "),CHAR(9)," "),CHAR(160)," "),"."," "),","," "),"-"," "),"/"," "),"("," "),")"," "),":"," "),";"," "),"_"," "),"–"," "),"?"," "),"!"," "),"*"," "),"["," "),"]"," "),"'"," "),"#"," "),"+"," "),"&amp;"," "),"\"," "))&amp;" "</f>
        <v>  </v>
      </c>
      <c r="BF653" s="61" t="str">
        <f aca="false">" "&amp;TRIM(SUBSTITUTE(SUBSTITUTE(SUBSTITUTE(SUBSTITUTE(SUBSTITUTE(SUBSTITUTE(SUBSTITUTE(SUBSTITUTE(SUBSTITUTE(SUBSTITUTE(SUBSTITUTE(SUBSTITUTE(SUBSTITUTE(SUBSTITUTE(SUBSTITUTE(SUBSTITUTE(SUBSTITUTE(SUBSTITUTE(SUBSTITUTE(SUBSTITUTE(SUBSTITUTE(SUBSTITUTE(SUBSTITUTE(SUBSTITUTE(LOWER(AC653&amp;""),CHAR(10)," "),CHAR(13)," "),CHAR(9)," "),CHAR(160)," "),"."," "),","," "),"-"," "),"/"," "),"("," "),")"," "),":"," "),";"," "),"_"," "),"–"," "),"?"," "),"!"," "),"*"," "),"["," "),"]"," "),"'"," "),"#"," "),"+"," "),"&amp;"," "),"\"," "))&amp;" "</f>
        <v>  </v>
      </c>
      <c r="BG653" s="61" t="n">
        <f aca="false">IFERROR(IF(AND(TRIM(U653)="Pass",SUMPRODUCT((LEN(BC653)-LEN(SUBSTITUTE(BC653," "&amp;L_ResultBad&amp;" "," ")))/(LEN(L_ResultBad)+1))&gt;SUMPRODUCT((LEN(BC653)-LEN(SUBSTITUTE(BC653," "&amp;L_NegPhrase&amp;" "," ")))/(LEN(L_NegPhrase)+1))),1,0),0)</f>
        <v>0</v>
      </c>
      <c r="BH653" s="61" t="n">
        <f aca="false">IFERROR(IF(SUMPRODUCT((LEN(BC653)-LEN(SUBSTITUTE(BC653," "&amp;L_Pending&amp;" "," ")))/(LEN(L_Pending)+1))&gt;SUMPRODUCT((LEN(BC653)-LEN(SUBSTITUTE(BC653," "&amp;L_PendNeg&amp;" "," ")))/(LEN(L_PendNeg)+1))+SUMPRODUCT((LEN(BC653)-LEN(SUBSTITUTE(BC653," "&amp;L_PendPrep&amp;" "," ")))/(LEN(L_PendPrep)+1)),1,0),1)</f>
        <v>0</v>
      </c>
      <c r="BI653" s="61" t="n">
        <f aca="false">IFERROR(IF(SUMPRODUCT((LEN(BD653)-LEN(SUBSTITUTE(BD653," "&amp;L_PendStrict&amp;" "," ")))/(LEN(L_PendStrict)+1))&gt;SUMPRODUCT((LEN(BD653)-LEN(SUBSTITUTE(BD653," "&amp;L_PendNeg&amp;" "," ")))/(LEN(L_PendNeg)+1)),1,0),1)</f>
        <v>0</v>
      </c>
      <c r="BJ653" s="61" t="n">
        <f aca="false">IFERROR(IF(SUMPRODUCT((LEN(BE653)-LEN(SUBSTITUTE(BE653," "&amp;L_Pending&amp;" "," ")))/(LEN(L_Pending)+1))&gt;SUMPRODUCT((LEN(BE653)-LEN(SUBSTITUTE(BE653," "&amp;L_PendNeg&amp;" "," ")))/(LEN(L_PendNeg)+1))+SUMPRODUCT((LEN(BE653)-LEN(SUBSTITUTE(BE653," "&amp;L_PendPrep&amp;" "," ")))/(LEN(L_PendPrep)+1)),1,0),1)</f>
        <v>0</v>
      </c>
      <c r="BK653" s="61" t="n">
        <f aca="false">IFERROR(IF(SUMPRODUCT((LEN(BF653)-LEN(SUBSTITUTE(BF653," "&amp;L_PendStrict&amp;" "," ")))/(LEN(L_PendStrict)+1))&gt;SUMPRODUCT((LEN(BF653)-LEN(SUBSTITUTE(BF653," "&amp;L_PendNeg&amp;" "," ")))/(LEN(L_PendNeg)+1)),1,0),1)</f>
        <v>0</v>
      </c>
      <c r="BL653" s="61" t="n">
        <f aca="false">IF(ISNA(MATCH(TRIM(S653),L_EvidenceType,0)),0,BZ653)</f>
        <v>0</v>
      </c>
      <c r="BM653" s="61" t="str">
        <f aca="false">SUBSTITUTE(SUBSTITUTE(SUBSTITUTE(SUBSTITUTE(SUBSTITUTE(SUBSTITUTE(SUBSTITUTE(SUBSTITUTE(SUBSTITUTE(LOWER(Z653&amp;""),"1","0"),"2","0"),"3","0"),"4","0"),"5","0"),"6","0"),"7","0"),"8","0"),"9","0")</f>
        <v/>
      </c>
      <c r="BN653" s="61" t="str">
        <f aca="false">SUBSTITUTE(SUBSTITUTE(SUBSTITUTE(SUBSTITUTE(SUBSTITUTE(SUBSTITUTE(SUBSTITUTE(SUBSTITUTE(SUBSTITUTE(SUBSTITUTE(SUBSTITUTE(SUBSTITUTE(SUBSTITUTE(SUBSTITUTE(SUBSTITUTE(SUBSTITUTE(SUBSTITUTE(SUBSTITUTE(SUBSTITUTE(SUBSTITUTE(SUBSTITUTE(SUBSTITUTE(SUBSTITUTE(SUBSTITUTE(SUBSTITUTE(BM653,"b","a"),"c","a"),"d","a"),"e","a"),"f","a"),"g","a"),"h","a"),"i","a"),"j","a"),"k","a"),"l","a"),"m","a"),"n","a"),"o","a"),"p","a"),"q","a"),"r","a"),"s","a"),"t","a"),"u","a"),"v","a"),"w","a"),"x","a"),"y","a"),"z","a")</f>
        <v/>
      </c>
      <c r="BO653" s="61" t="str">
        <f aca="false">SUBSTITUTE(SUBSTITUTE(SUBSTITUTE(SUBSTITUTE(SUBSTITUTE(SUBSTITUTE(SUBSTITUTE(SUBSTITUTE(SUBSTITUTE(LOWER(W653&amp;""),"1","0"),"2","0"),"3","0"),"4","0"),"5","0"),"6","0"),"7","0"),"8","0"),"9","0")</f>
        <v/>
      </c>
      <c r="BP653" s="61" t="str">
        <f aca="false">SUBSTITUTE(SUBSTITUTE(SUBSTITUTE(SUBSTITUTE(SUBSTITUTE(SUBSTITUTE(SUBSTITUTE(SUBSTITUTE(SUBSTITUTE(SUBSTITUTE(SUBSTITUTE(SUBSTITUTE(SUBSTITUTE(SUBSTITUTE(SUBSTITUTE(SUBSTITUTE(SUBSTITUTE(SUBSTITUTE(SUBSTITUTE(SUBSTITUTE(SUBSTITUTE(SUBSTITUTE(SUBSTITUTE(SUBSTITUTE(SUBSTITUTE(BO653,"b","a"),"c","a"),"d","a"),"e","a"),"f","a"),"g","a"),"h","a"),"i","a"),"j","a"),"k","a"),"l","a"),"m","a"),"n","a"),"o","a"),"p","a"),"q","a"),"r","a"),"s","a"),"t","a"),"u","a"),"v","a"),"w","a"),"x","a"),"y","a"),"z","a")</f>
        <v/>
      </c>
      <c r="BQ653" s="61" t="n">
        <f aca="false">IFERROR(IF(AND(ISERROR(SEARCH(" mh"," "&amp;LOWER(W653))),ISNA(MATCH(LEFT(TRIM(BP653),255),{"0000a","000a","00a","0000aa","000aa","00aa","0aa","0000aaa","000aaa","00a00","0a00","0000-0000","00:00","a00","a0","00.00.0000","00/00/0000","00-00-0000","0000-00-00","0000/00/00","0000.00.00","00.00.00","00/00/00","00-00-00","0.00.0000","0/00/0000","0-00-0000"},0)),ISNA(MATCH(LEFT(TRIM(CA653),255),{"0000a","000a","00a","0000aa","000aa","00aa","0aa","0000aaa","000aaa","00a00","0a00","0000-0000","00:00","a00","a0","00.00.0000","00/00/0000","00-00-0000","0000-00-00","0000/00/00","0000.00.00","00.00.00","00/00/00","00-00-00","0.00.0000","0/00/0000","0-00-0000"},0)),LEN(CB653)&gt;=3,NOT(OR(SUBSTITUTE(CB653,"0","")="",AND(LEN(CB653)&gt;=4,CB653=REPT(LEFT(CB653),LEN(CB653))),ISNUMBER(MATCH(CB653,{"123","1234","12345","123456","1234567","12345678","0123","01234","012345","98765","987654","54321"},0)),AND(LEN(CB653)=8,LEFT(CB653,3)="202"))),OR(AND((LEN(CA653)-LEN(SUBSTITUTE(CA653,"a","")))&gt;=1,SUMPRODUCT(--ISNUMBER(SEARCH({"a0","a-0","a_0","a/0","a.0","a#0","0a","0-a","0_a","0/a"},BP653)))&gt;0),ISNUMBER(SEARCH("000000",BP653)))),1,0),0)</f>
        <v>0</v>
      </c>
      <c r="BR653" s="61" t="n">
        <f aca="false">IFERROR(LEN(SUBSTITUTE(CC653," ",""))-SUMPRODUCT((LEN(CC653)-LEN(SUBSTITUTE(CC653," "&amp;L_Role&amp;" "," ")))/(LEN(L_Role)+1)*LEN(L_Role)),0)</f>
        <v>0</v>
      </c>
      <c r="BS653" s="61" t="n">
        <f aca="false">IFERROR(LEN(SUBSTITUTE(CD653," ",""))-SUMPRODUCT((LEN(CD653)-LEN(SUBSTITUTE(CD653," "&amp;L_Role&amp;" "," ")))/(LEN(L_Role)+1)*LEN(L_Role)),0)</f>
        <v>0</v>
      </c>
      <c r="BT6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653,"revision",""),"version",""),"jan",""),"feb",""),"mar",""),"apr",""),"may",""),"jun",""),"jul",""),"aug",""),"sep",""),"oct",""),"nov",""),"dec",""),"utc",""),"gmt",""),"myt",""),"bst",""),"rev",""),"ver",""),"b","a"),"c","a"),"d","a"),"e","a"),"f","a"),"g","a"),"h","a"),"i","a"),"j","a"),"k","a"),"l","a"),"m","a"),"n","a"),"o","a"),"p","a"),"q","a"),"r","a"),"s","a"),"t","a"),"u","a"),"v","a"),"w","a"),"x","a"),"y","a"),"z","a")</f>
        <v/>
      </c>
      <c r="BU653" s="61" t="str">
        <f aca="false">SUBSTITUTE(SUBSTITUTE(SUBSTITUTE(SUBSTITUTE(SUBSTITUTE(SUBSTITUTE(SUBSTITUTE(SUBSTITUTE(SUBSTITUTE(SUBSTITUTE(LEFT(BM653,FIND("0",BM653&amp;"0")-1),"-",""),"_",""),"/",""),".",""),"#",""),"\\",""),":","")," ",""),"(",""),")","")</f>
        <v/>
      </c>
      <c r="BV653" s="61" t="n">
        <f aca="false">0</f>
        <v>0</v>
      </c>
      <c r="BW65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653&amp;""),"a",""),"b",""),"c",""),"d",""),"e",""),"f",""),"g",""),"h",""),"i",""),"j",""),"k",""),"l",""),"m",""),"n",""),"o",""),"p",""),"q",""),"r",""),"s",""),"t",""),"u",""),"v",""),"w",""),"x",""),"y",""),"z",""),"-",""),"_",""),"/",""),".",""),"#",""),"\\",""),":","")," ",""),"(",""),")","")</f>
        <v/>
      </c>
      <c r="BX653" s="61" t="str">
        <f aca="false">SUBSTITUTE(SUBSTITUTE(SUBSTITUTE(SUBSTITUTE(SUBSTITUTE(SUBSTITUTE(SUBSTITUTE(SUBSTITUTE(SUBSTITUTE(SUBSTITUTE(SUBSTITUTE(BM653,"0",""),"-",""),"_",""),"/",""),".",""),"#",""),"\\",""),":","")," ",""),"(",""),")","")</f>
        <v/>
      </c>
      <c r="BY653" s="62" t="n">
        <f aca="false">Q653-T24EarlyH/24</f>
        <v>46322.4375</v>
      </c>
      <c r="BZ653" s="61" t="n">
        <f aca="false">IFERROR(IF(IF(TRIM(S653)="Link / file path",AND(LEN(TRIM(Z653))&gt;=5,SUMPRODUCT(--ISNUMBER(SEARCH({"http","www.","\\",":\",".pdf",".jpg",".jpeg",".png",".heic",".xls",".doc",".msg",".eml",".ppt",".txt",".zip"},Z653)))&gt;0),AND(ISERROR(FIND(" ",TRIM(Z653))),NOT(OR(SUMPRODUCT(--ISNUMBER(FIND({",",";","&amp;","+"},Z653)))&gt;0,SUMPRODUCT(--ISNUMBER(SEARCH({"0/aa","0\\aa"},BN653)))&gt;0)),NOT(SUMPRODUCT(--ISNUMBER(SEARCH({"http","www.","\\",":\",".pdf",".jpg",".jpeg",".png",".heic",".xls",".doc",".msg",".eml",".ppt",".txt",".zip"},Z653)))&gt;0),NOT(LOWER(TRIM(Z653))=LOWER(Flights!$F$24)),ISNA(MATCH(BU653,{"mh","rev","revision","ver","version","v","r","a","b","seat","tray","row","gate","bay","stand","page","pg","item","line","no","cart","galley","flight","flt","table","box","bag","oven","etd","eta","std","sta","atd","ata","qty","pax","x","time","tel","ph","mob","day","wk","week","utc","gmt","myt","lt"},0)),NOT(OR(ISNUMBER(MATCH(LEFT(BN653,255),{"0000a","000a","00a","0000aa","000aa","00aa","0aa","0000aaa","000aaa","00a00","0a00","0000-0000","00:00","a00","a0","00.00.0000","00/00/0000","00-00-0000","0000-00-00","0000/00/00","0000.00.00","00.00.00","00/00/00","00-00-00","0.00.0000","0/00/0000","0-00-0000"},0)),ISNUMBER(MATCH(LEFT(BT653,255),{"0000a","000a","00a","0000aa","000aa","00aa","0aa","0000aaa","000aaa","00a00","0a00","0000-0000","00:00","a00","a0","00.00.0000","00/00/0000","00-00-0000","0000-00-00","0000/00/00","0000.00.00","00.00.00","00/00/00","00-00-00","0.00.0000","0/00/0000","0-00-0000"},0)))),NOT(OR(AND(BW653&lt;&gt;"",SUBSTITUTE(BW653,"0","")=""),AND(LEN(BW653)&gt;=4,BW653=REPT(LEFT(BW653),LEN(BW653))),ISNUMBER(MATCH(BW653,{"123","1234","12345","123456","1234567","12345678","0123","01234","012345","98765","987654","54321"},0)),ISNUMBER(MATCH(BX653,{"x","xx","xxx","xxxx","xxxxx","abc","abcd","nil","na","nan","test","tbc","tba","tbd","dummy","sample","example","eg","zz","zzz","none","null","xyz","qwe","asd","id","ref"},0)),AND(LEN(BW653)=8,BX653="",OR(LEFT(BW653,3)="202",ISNUMBER(MATCH(RIGHT(BW653,4),{"2025","2026","2027"},0)))))),OR(AND((LEN(BT653)-LEN(SUBSTITUTE(BT653,"a","")))&gt;=1,(LEN(BN653)-LEN(SUBSTITUTE(BN653,"0","")))&gt;=2,SUMPRODUCT(--ISNUMBER(SEARCH({"a0","a-0","a_0","a/0","a.0","a#0","0a","0-a","0_a","0/a"},BN653)))&gt;0),AND((LEN(BN653)-LEN(SUBSTITUTE(BN653,"a","")))=0,(LEN(BN653)-LEN(SUBSTITUTE(BN653,"0","")))&gt;=5)))),1,0),0)</f>
        <v>0</v>
      </c>
      <c r="CA6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653,"revision",""),"version",""),"jan",""),"feb",""),"mar",""),"apr",""),"may",""),"jun",""),"jul",""),"aug",""),"sep",""),"oct",""),"nov",""),"dec",""),"utc",""),"gmt",""),"myt",""),"bst",""),"rev",""),"ver",""),"b","a"),"c","a"),"d","a"),"e","a"),"f","a"),"g","a"),"h","a"),"i","a"),"j","a"),"k","a"),"l","a"),"m","a"),"n","a"),"o","a"),"p","a"),"q","a"),"r","a"),"s","a"),"t","a"),"u","a"),"v","a"),"w","a"),"x","a"),"y","a"),"z","a")</f>
        <v/>
      </c>
      <c r="CB65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653&amp;""),"a",""),"b",""),"c",""),"d",""),"e",""),"f",""),"g",""),"h",""),"i",""),"j",""),"k",""),"l",""),"m",""),"n",""),"o",""),"p",""),"q",""),"r",""),"s",""),"t",""),"u",""),"v",""),"w",""),"x",""),"y",""),"z",""),"-",""),"_",""),"/",""),".",""),"#",""),"\\",""),":","")," ",""),"(",""),")","")</f>
        <v/>
      </c>
      <c r="CC653" s="0" t="str">
        <f aca="false">" "&amp;TRIM(SUBSTITUTE(SUBSTITUTE(SUBSTITUTE(SUBSTITUTE(SUBSTITUTE(SUBSTITUTE(SUBSTITUTE(SUBSTITUTE(SUBSTITUTE(SUBSTITUTE(SUBSTITUTE(SUBSTITUTE(SUBSTITUTE(SUBSTITUTE(SUBSTITUTE(SUBSTITUTE(SUBSTITUTE(SUBSTITUTE(SUBSTITUTE(SUBSTITUTE(SUBSTITUTE(SUBSTITUTE(SUBSTITUTE(SUBSTITUTE(LOWER(T653&amp;""),CHAR(10)," "),CHAR(13)," "),CHAR(9)," "),CHAR(160)," "),"."," "),","," "),"-"," "),"/"," "),"("," "),")"," "),":"," "),";"," "),"_"," "),"–"," "),"?"," "),"!"," "),"*"," "),"["," "),"]"," "),"'"," "),"#"," "),"+"," "),"&amp;"," "),"\"," "))&amp;" "</f>
        <v>  </v>
      </c>
      <c r="CD653" s="0" t="str">
        <f aca="false">" "&amp;TRIM(SUBSTITUTE(SUBSTITUTE(SUBSTITUTE(SUBSTITUTE(SUBSTITUTE(SUBSTITUTE(SUBSTITUTE(SUBSTITUTE(SUBSTITUTE(SUBSTITUTE(SUBSTITUTE(SUBSTITUTE(SUBSTITUTE(SUBSTITUTE(SUBSTITUTE(SUBSTITUTE(SUBSTITUTE(SUBSTITUTE(SUBSTITUTE(SUBSTITUTE(SUBSTITUTE(SUBSTITUTE(SUBSTITUTE(SUBSTITUTE(LOWER(AE653&amp;""),CHAR(10)," "),CHAR(13)," "),CHAR(9)," "),CHAR(160)," "),"."," "),","," "),"-"," "),"/"," "),"("," "),")"," "),":"," "),";"," "),"_"," "),"–"," "),"?"," "),"!"," "),"*"," "),"["," "),"]"," "),"'"," "),"#"," "),"+"," "),"&amp;"," "),"\"," "))&amp;" "</f>
        <v>  </v>
      </c>
      <c r="CE653" s="68" t="n">
        <f aca="false">IFERROR(IF(AND(LEN(AU653)&gt;0,LEN(AU653)=LEN(AX653),OR(TRIM(MID(SUBSTITUTE(TRIM(CC653)," ",REPT(" ",60)),1,60))="",ISNUMBER(SEARCH(" "&amp;TRIM(MID(SUBSTITUTE(TRIM(CC653)," ",REPT(" ",60)),1,60))&amp;" ",CD653))),OR(TRIM(MID(SUBSTITUTE(TRIM(CC653)," ",REPT(" ",60)),61,60))="",ISNUMBER(SEARCH(" "&amp;TRIM(MID(SUBSTITUTE(TRIM(CC653)," ",REPT(" ",60)),61,60))&amp;" ",CD653))),OR(TRIM(MID(SUBSTITUTE(TRIM(CC653)," ",REPT(" ",60)),121,60))="",ISNUMBER(SEARCH(" "&amp;TRIM(MID(SUBSTITUTE(TRIM(CC653)," ",REPT(" ",60)),121,60))&amp;" ",CD653)))),1,0),0)</f>
        <v>0</v>
      </c>
      <c r="CG653" s="68" t="n">
        <f aca="false">IFERROR(LEN(SUBSTITUTE(BF653," ",""))-SUMPRODUCT((LEN(BF653)-LEN(SUBSTITUTE(BF653," "&amp;L_NAFiller&amp;" "," ")))/(LEN(L_NAFiller)+1)*LEN(L_NAFiller)),0)</f>
        <v>0</v>
      </c>
    </row>
    <row r="654" customFormat="false" ht="39.75" hidden="false" customHeight="true" outlineLevel="0" collapsed="false">
      <c r="A654" s="57" t="s">
        <v>1373</v>
      </c>
      <c r="B654" s="57" t="s">
        <v>304</v>
      </c>
      <c r="C654" s="57" t="str">
        <f aca="false">Flights!$F$24</f>
        <v>MH1450</v>
      </c>
      <c r="D654" s="58" t="n">
        <f aca="false">Flights!$D$24</f>
        <v>46324</v>
      </c>
      <c r="E654" s="57" t="str">
        <f aca="false">Flights!$G$24&amp;"-"&amp;Flights!$H$24</f>
        <v>KUL-LGK</v>
      </c>
      <c r="F654" s="57" t="str">
        <f aca="false">Flights!$K$24</f>
        <v>EY</v>
      </c>
      <c r="G654" s="57" t="s">
        <v>420</v>
      </c>
      <c r="H654" s="57" t="s">
        <v>378</v>
      </c>
      <c r="I654" s="57" t="s">
        <v>379</v>
      </c>
      <c r="J654" s="57" t="s">
        <v>421</v>
      </c>
      <c r="K654" s="67"/>
      <c r="L654" s="67" t="s">
        <v>422</v>
      </c>
      <c r="M654" s="67"/>
      <c r="N654" s="67" t="s">
        <v>383</v>
      </c>
      <c r="O654" s="67" t="s">
        <v>423</v>
      </c>
      <c r="P654" s="57" t="s">
        <v>187</v>
      </c>
      <c r="Q654" s="59" t="n">
        <f aca="false">ROUND((Flights!$AE$24)*1440,0)/1440</f>
        <v>46323.9375</v>
      </c>
      <c r="R654" s="59" t="n">
        <f aca="false">Q654+(IF(AND(INDEX(TZ_DSTS,MATCH(P654,TZ_STN,0))&lt;&gt;"",Q654&gt;=INDEX(TZ_DSTS,MATCH(P654,TZ_STN,0)),Q654&lt;INDEX(TZ_DSTE,MATCH(P654,TZ_STN,0))),INDEX(TZ_DST,MATCH(P654,TZ_STN,0)),INDEX(TZ_STD,MATCH(P654,TZ_STN,0))))/24</f>
        <v>46324.2708333333</v>
      </c>
      <c r="S654" s="60"/>
      <c r="T654" s="60"/>
      <c r="U654" s="60"/>
      <c r="V654" s="60"/>
      <c r="W654" s="61"/>
      <c r="X654" s="60"/>
      <c r="Y654" s="60"/>
      <c r="Z654" s="60"/>
      <c r="AA654" s="60"/>
      <c r="AB654" s="60"/>
      <c r="AC654" s="60"/>
      <c r="AD654" s="66"/>
      <c r="AE654" s="60"/>
      <c r="AF654" s="61" t="str">
        <f aca="false">IF(AND(ISNUMBER(X654),ISNUMBER(Y654)),Y654-X654,"")</f>
        <v/>
      </c>
      <c r="AG654" s="62" t="str">
        <f aca="false">IF(ISNUMBER(AD654),AD654-(IF(AND(INDEX(TZ_DSTS,MATCH(P654,TZ_STN,0))&lt;&gt;"",(AD654-INDEX(TZ_STD,MATCH(P654,TZ_STN,0))/24)&gt;=INDEX(TZ_DSTS,MATCH(P654,TZ_STN,0)),(AD654-INDEX(TZ_STD,MATCH(P654,TZ_STN,0))/24)&lt;INDEX(TZ_DSTE,MATCH(P654,TZ_STN,0))),INDEX(TZ_DST,MATCH(P654,TZ_STN,0)),INDEX(TZ_STD,MATCH(P654,TZ_STN,0))))/24,"")</f>
        <v/>
      </c>
      <c r="AH654" s="65" t="str">
        <f aca="false">IFERROR(IF(N654="N/A – rule",IF(OR(TRIM(U654)="",TRIM(U654)="N/A",TRIM(U654)="Not started"),"N/A – RULE","INVALID – this check does not apply to this aircraft: clear the status (or correct the fleet on Flights)"),IF(TRIM(U654)="N/A",IF(AT654=0,"INVALID – N/A not permitted for this check",IF(AND(TRIM(AB654)&lt;&gt;"",TRIM(AB654)&lt;&gt;"Closed"),"INVALID – corrective action still open",IF(AND(NOT(OR(LEN(AZ654)&lt;15,ISNUMBER(MATCH(AZ654,L_Placeholder,0)))),BK654=0,CG654&gt;=8,NOT(OR(LEN(AU654)&lt;2,ISNUMBER(MATCH(AU654,L_Placeholder,0)))),BR654&gt;=3,NOT(OR(LEN(AX654)&lt;2,ISNUMBER(MATCH(AX654,L_Placeholder,0)))),BS654&gt;=3,TRIM(AE654)&lt;&gt;TRIM(T654),AX654&lt;&gt;AU654,CE654=0),"N/A – JUSTIFIED","INVALID – N/A needs a real, settled reason (not 'not applicable' / 'as above' / TBC), a named PIC and a different named verifier"))),IF(OR(TRIM(U654)="Pass",TRIM(U654)="Pass after CA"),IF(NOT(ISNUMBER(AD654)),"INVALID – completion time missing",IF(OR(OR(LEN(AU654)&lt;2,ISNUMBER(MATCH(AU654,L_Placeholder,0))),BR654&lt;3),"INVALID – PIC missing or not a named person (a role such as QA / CSM is not a name)",IF(OR(LEN(AV654)&lt;2,ISNUMBER(MATCH(AV654,L_Placeholder,0))),"INVALID – result / assessment missing",IF(OR(OR(LEN(AW654)&lt;3,ISNUMBER(MATCH(AW654,L_Placeholder,0))),SUMPRODUCT(--ISNUMBER(SEARCH(" "&amp;L_EvidencePhrase&amp;" ",BD654)))&gt;0,BI654=1),"INVALID – evidence missing, placeholder or not yet on file",IF(ISNA(MATCH(TRIM(S654),L_EvidenceType,0)),"INVALID – choose the evidence type from the list (column S)",IF(BL654=0,"INVALID – evidence ID must be the record's own ID only (e.g. SF-2210, IMG_2231, 1045521); a link / file name needs type 'Link / file path'",IF(OR(OR(LEN(AX654)&lt;2,ISNUMBER(MATCH(AX654,L_Placeholder,0))),BS654&lt;3),"INVALID – verifier missing or not a named person (a role such as QA / CSM is not a name)",IF(OR(AX654=AU654,CE654=1,AND(LEN(AU654)&gt;=4,ISNUMBER(SEARCH(AU654,AX654))),AND(LEN(AX654)&gt;=4,ISNUMBER(SEARCH(AX654,AU654)))),"INVALID – verifier must be a different, named person (not the PIC or a role)",IF(BH654=1,"INVALID – result not yet available (awaiting / TBC)",IF(BG654=1,"INVALID – result describes a problem: record Fail, then Pass after CA (or reword if it is not a problem)",IF(BV654=1,"INVALID – wording says not on board: an on-board confirmation needs the item loaded",IF(AND(AQ654=1,OR(OR(LEN(AY654)&lt;3,ISNUMBER(MATCH(AY654,L_Placeholder,0))),BJ654=1,BQ654=0)),"INVALID – batch ID missing, placeholder or not an ID (e.g. PASB-261008-BC-017)",IF(AND(AR654=1,OR(NOT(ISNUMBER(X654)),NOT(ISNUMBER(Y654)))),"INVALID – expected/actual qty missing",IF(AND(AR654=1,OR(X654&lt;=0,Y654&lt;0)),"INVALID – expected qty must be above 0 and actual not negative",IF(BB654&lt;&gt;"",BB654,IF(AND(AS654=1,Documents!$J$24&lt;&gt;"ON FILE"),"INVALID – GLD not on file (Documents sheet)",IF(AND(AS654=2,Documents!$O$24&lt;&gt;"ON FILE"),"INVALID – menu checklist not on file (Documents sheet)",IF(AND(AS654=3,NOT(ISNUMBER(Flights!$AX$24))),"INVALID – enter carrying flight KUL departure (Flights AX)",IF(AND(AS654=3,OR(Flights!$AZ$24&gt;Flights!$AA$24,Flights!$AX$24&lt;Flights!$AA$24-3)),"INVALID – carrying flight (Flights AX) cannot arrive before this leg's STD, or is over 3 days early",IF(AG654&gt;AsOfUTC,"INVALID – completion time is in the future",IF(AND(ISNUMBER(BY654),AG654&lt;BY654),IF(H654="Physical uplift","INVALID – before uplift window (cannot confirm loading)","INVALID – before valid window"),IF(AG654&gt;Flights!$AA$24,"INVALID – completed after departure (cannot establish readiness)",IF(AND(H654="Preparation",AG654&gt;=IF(ISNUMBER(Flights!$BA$24),MIN(Flights!$BA$24,Flights!$AA$24),Flights!$AA$24)),"INVALID – completed after loading / departure (cannot establish readiness)",IF(AND(H654="Physical uplift",AG654&gt;Q654),"INVALID – recorded after the loading flight departed",IF(AG654&gt;Q654,"COMPLETE – LATE","COMPLETE"))))))))))))))))))))))))),IF(TRIM(U654)="Fail","FAIL – DISCREPANCY",IF(AND(TRIM(U654)&lt;&gt;"",TRIM(U654)&lt;&gt;"Not started",TRIM(U654)&lt;&gt;"In progress"),"INVALID – unrecognised status (use the list)",IF(AsOfUTC&gt;Q654,"OVERDUE",IF(N654="Clarification required","OPEN – CLARIFICATION","OPEN"))))))),"INVALID – error value in an input cell")</f>
        <v>OPEN</v>
      </c>
      <c r="AI654" s="61" t="n">
        <f aca="false">IF(OR(AH654="N/A – RULE",AH654="N/A – JUSTIFIED"),0,1)</f>
        <v>1</v>
      </c>
      <c r="AJ654" s="61" t="n">
        <f aca="false">IF(LEFT(AH654,8)="COMPLETE",1,0)</f>
        <v>0</v>
      </c>
      <c r="AK654" s="61" t="n">
        <f aca="false">IF(AND(AI654=1,AJ654=0,AsOfUTC&gt;Q654),1,0)</f>
        <v>0</v>
      </c>
      <c r="AL654" s="61" t="n">
        <f aca="false">IFERROR(IF(AND(AI654=1,OR(TRIM(U654)="Fail",AND(TRIM(AB654)&lt;&gt;"",TRIM(AB654)&lt;&gt;"Closed"),AND(ISNUMBER(AF654),AF654&lt;&gt;0,TRIM(U654)&lt;&gt;"Pass after CA"))),1,0),1)</f>
        <v>0</v>
      </c>
      <c r="AM654" s="61" t="n">
        <f aca="false">IF(LEFT(AH654,7)="INVALID",1,0)</f>
        <v>0</v>
      </c>
      <c r="AN654" s="61" t="n">
        <f aca="false">IF(AND(N654="Clarification required",AI654=1,AJ654=0),1,0)</f>
        <v>0</v>
      </c>
      <c r="AO654" s="61" t="str">
        <f aca="false">IF(AK654=1,SUM(AK$5:AK654),"")</f>
        <v/>
      </c>
      <c r="AP654" s="61" t="str">
        <f aca="false">IF(AL654=1,SUM(AL$5:AL654),"")</f>
        <v/>
      </c>
      <c r="AQ654" s="61" t="n">
        <v>0</v>
      </c>
      <c r="AR654" s="61" t="n">
        <v>0</v>
      </c>
      <c r="AS654" s="61" t="n">
        <v>0</v>
      </c>
      <c r="AT654" s="61" t="n">
        <v>0</v>
      </c>
      <c r="AU654" s="61" t="str">
        <f aca="false">SUBSTITUTE(SUBSTITUTE(SUBSTITUTE(SUBSTITUTE(SUBSTITUTE(SUBSTITUTE(SUBSTITUTE(SUBSTITUTE(SUBSTITUTE(SUBSTITUTE(SUBSTITUTE(SUBSTITUTE(SUBSTITUTE(SUBSTITUTE(SUBSTITUTE(SUBSTITUTE(LOWER(T654&amp;""),CHAR(10),""),CHAR(13),""),CHAR(9),""),CHAR(160),"")," ",""),".",""),"-",""),"/",""),"?",""),"_",""),",",""),"[",""),"]",""),"(",""),")",""),"*","")</f>
        <v/>
      </c>
      <c r="AV654" s="61" t="str">
        <f aca="false">SUBSTITUTE(SUBSTITUTE(SUBSTITUTE(SUBSTITUTE(SUBSTITUTE(SUBSTITUTE(SUBSTITUTE(SUBSTITUTE(SUBSTITUTE(SUBSTITUTE(SUBSTITUTE(SUBSTITUTE(SUBSTITUTE(SUBSTITUTE(SUBSTITUTE(SUBSTITUTE(LOWER(V654&amp;""),CHAR(10),""),CHAR(13),""),CHAR(9),""),CHAR(160),"")," ",""),".",""),"-",""),"/",""),"?",""),"_",""),",",""),"[",""),"]",""),"(",""),")",""),"*","")</f>
        <v/>
      </c>
      <c r="AW654" s="61" t="str">
        <f aca="false">SUBSTITUTE(SUBSTITUTE(SUBSTITUTE(SUBSTITUTE(SUBSTITUTE(SUBSTITUTE(SUBSTITUTE(SUBSTITUTE(SUBSTITUTE(SUBSTITUTE(SUBSTITUTE(SUBSTITUTE(SUBSTITUTE(SUBSTITUTE(SUBSTITUTE(SUBSTITUTE(LOWER(Z654&amp;""),CHAR(10),""),CHAR(13),""),CHAR(9),""),CHAR(160),"")," ",""),".",""),"-",""),"/",""),"?",""),"_",""),",",""),"[",""),"]",""),"(",""),")",""),"*","")</f>
        <v/>
      </c>
      <c r="AX654" s="61" t="str">
        <f aca="false">SUBSTITUTE(SUBSTITUTE(SUBSTITUTE(SUBSTITUTE(SUBSTITUTE(SUBSTITUTE(SUBSTITUTE(SUBSTITUTE(SUBSTITUTE(SUBSTITUTE(SUBSTITUTE(SUBSTITUTE(SUBSTITUTE(SUBSTITUTE(SUBSTITUTE(SUBSTITUTE(LOWER(AE654&amp;""),CHAR(10),""),CHAR(13),""),CHAR(9),""),CHAR(160),"")," ",""),".",""),"-",""),"/",""),"?",""),"_",""),",",""),"[",""),"]",""),"(",""),")",""),"*","")</f>
        <v/>
      </c>
      <c r="AY654" s="61" t="str">
        <f aca="false">SUBSTITUTE(SUBSTITUTE(SUBSTITUTE(SUBSTITUTE(SUBSTITUTE(SUBSTITUTE(SUBSTITUTE(SUBSTITUTE(SUBSTITUTE(SUBSTITUTE(SUBSTITUTE(SUBSTITUTE(SUBSTITUTE(SUBSTITUTE(SUBSTITUTE(SUBSTITUTE(LOWER(W654&amp;""),CHAR(10),""),CHAR(13),""),CHAR(9),""),CHAR(160),"")," ",""),".",""),"-",""),"/",""),"?",""),"_",""),",",""),"[",""),"]",""),"(",""),")",""),"*","")</f>
        <v/>
      </c>
      <c r="AZ654" s="61" t="str">
        <f aca="false">SUBSTITUTE(SUBSTITUTE(SUBSTITUTE(SUBSTITUTE(SUBSTITUTE(SUBSTITUTE(SUBSTITUTE(SUBSTITUTE(SUBSTITUTE(SUBSTITUTE(SUBSTITUTE(SUBSTITUTE(SUBSTITUTE(SUBSTITUTE(SUBSTITUTE(SUBSTITUTE(LOWER(AC654&amp;""),CHAR(10),""),CHAR(13),""),CHAR(9),""),CHAR(160),"")," ",""),".",""),"-",""),"/",""),"?",""),"_",""),",",""),"[",""),"]",""),"(",""),")",""),"*","")</f>
        <v/>
      </c>
      <c r="BA654" s="61" t="str">
        <f aca="false">SUBSTITUTE(SUBSTITUTE(SUBSTITUTE(SUBSTITUTE(SUBSTITUTE(SUBSTITUTE(SUBSTITUTE(SUBSTITUTE(SUBSTITUTE(SUBSTITUTE(SUBSTITUTE(SUBSTITUTE(SUBSTITUTE(SUBSTITUTE(SUBSTITUTE(SUBSTITUTE(LOWER(AA654&amp;""),CHAR(10),""),CHAR(13),""),CHAR(9),""),CHAR(160),"")," ",""),".",""),"-",""),"/",""),"?",""),"_",""),",",""),"[",""),"]",""),"(",""),")",""),"*","")</f>
        <v/>
      </c>
      <c r="BB654" s="61" t="str">
        <f aca="false">IF(AND(TRIM(U654)="Pass",ISNUMBER(AF654)),IF(AF654&lt;&gt;0,"INVALID – qty variance: use Fail or Pass after CA",""),"")&amp;IF(AND(TRIM(U654)="Pass after CA",ISNUMBER(AF654)),IF(AF654&lt;&gt;0,"INVALID – after the corrective action the actual qty must equal expected (update Actual)",""),"")&amp;IF(AND(TRIM(U654)="Pass",TRIM(AB654)&lt;&gt;"",TRIM(AB654)&lt;&gt;"Closed"),"INVALID – corrective action not closed: use Fail, then Pass after CA","")&amp;IF(AND(LEN(BA654)&gt;=2,ISNA(MATCH(LEFT(BA654,255),L_Placeholder,0)),TRIM(AB654)=""),"INVALID – CA status missing for the recorded corrective action","")&amp;IF(AND(TRIM(U654)="Pass after CA",OR(OR(LEN(BA654)&lt;5,ISNUMBER(MATCH(BA654,L_Placeholder,0))),TRIM(AB654)&lt;&gt;"Closed")),"INVALID – corrective action not recorded/closed","")</f>
        <v/>
      </c>
      <c r="BC654" s="61" t="str">
        <f aca="false">" "&amp;TRIM(SUBSTITUTE(SUBSTITUTE(SUBSTITUTE(SUBSTITUTE(SUBSTITUTE(SUBSTITUTE(SUBSTITUTE(SUBSTITUTE(SUBSTITUTE(SUBSTITUTE(SUBSTITUTE(SUBSTITUTE(SUBSTITUTE(SUBSTITUTE(SUBSTITUTE(SUBSTITUTE(SUBSTITUTE(SUBSTITUTE(SUBSTITUTE(SUBSTITUTE(SUBSTITUTE(SUBSTITUTE(SUBSTITUTE(SUBSTITUTE(LOWER(V654&amp;""),CHAR(10)," "),CHAR(13)," "),CHAR(9)," "),CHAR(160)," "),"."," "),","," "),"-"," "),"/"," "),"("," "),")"," "),":"," "),";"," "),"_"," "),"–"," "),"?"," "),"!"," "),"*"," "),"["," "),"]"," "),"'"," "),"#"," "),"+"," "),"&amp;"," "),"\"," "))&amp;" "</f>
        <v>  </v>
      </c>
      <c r="BD654" s="61" t="str">
        <f aca="false">" "&amp;TRIM(SUBSTITUTE(SUBSTITUTE(SUBSTITUTE(SUBSTITUTE(SUBSTITUTE(SUBSTITUTE(SUBSTITUTE(SUBSTITUTE(SUBSTITUTE(SUBSTITUTE(SUBSTITUTE(SUBSTITUTE(SUBSTITUTE(SUBSTITUTE(SUBSTITUTE(SUBSTITUTE(SUBSTITUTE(SUBSTITUTE(SUBSTITUTE(SUBSTITUTE(SUBSTITUTE(SUBSTITUTE(SUBSTITUTE(SUBSTITUTE(LOWER(Z654&amp;""),CHAR(10)," "),CHAR(13)," "),CHAR(9)," "),CHAR(160)," "),"."," "),","," "),"-"," "),"/"," "),"("," "),")"," "),":"," "),";"," "),"_"," "),"–"," "),"?"," "),"!"," "),"*"," "),"["," "),"]"," "),"'"," "),"#"," "),"+"," "),"&amp;"," "),"\"," "))&amp;" "</f>
        <v>  </v>
      </c>
      <c r="BE654" s="61" t="str">
        <f aca="false">" "&amp;TRIM(SUBSTITUTE(SUBSTITUTE(SUBSTITUTE(SUBSTITUTE(SUBSTITUTE(SUBSTITUTE(SUBSTITUTE(SUBSTITUTE(SUBSTITUTE(SUBSTITUTE(SUBSTITUTE(SUBSTITUTE(SUBSTITUTE(SUBSTITUTE(SUBSTITUTE(SUBSTITUTE(SUBSTITUTE(SUBSTITUTE(SUBSTITUTE(SUBSTITUTE(SUBSTITUTE(SUBSTITUTE(SUBSTITUTE(SUBSTITUTE(LOWER(W654&amp;""),CHAR(10)," "),CHAR(13)," "),CHAR(9)," "),CHAR(160)," "),"."," "),","," "),"-"," "),"/"," "),"("," "),")"," "),":"," "),";"," "),"_"," "),"–"," "),"?"," "),"!"," "),"*"," "),"["," "),"]"," "),"'"," "),"#"," "),"+"," "),"&amp;"," "),"\"," "))&amp;" "</f>
        <v>  </v>
      </c>
      <c r="BF654" s="61" t="str">
        <f aca="false">" "&amp;TRIM(SUBSTITUTE(SUBSTITUTE(SUBSTITUTE(SUBSTITUTE(SUBSTITUTE(SUBSTITUTE(SUBSTITUTE(SUBSTITUTE(SUBSTITUTE(SUBSTITUTE(SUBSTITUTE(SUBSTITUTE(SUBSTITUTE(SUBSTITUTE(SUBSTITUTE(SUBSTITUTE(SUBSTITUTE(SUBSTITUTE(SUBSTITUTE(SUBSTITUTE(SUBSTITUTE(SUBSTITUTE(SUBSTITUTE(SUBSTITUTE(LOWER(AC654&amp;""),CHAR(10)," "),CHAR(13)," "),CHAR(9)," "),CHAR(160)," "),"."," "),","," "),"-"," "),"/"," "),"("," "),")"," "),":"," "),";"," "),"_"," "),"–"," "),"?"," "),"!"," "),"*"," "),"["," "),"]"," "),"'"," "),"#"," "),"+"," "),"&amp;"," "),"\"," "))&amp;" "</f>
        <v>  </v>
      </c>
      <c r="BG654" s="61" t="n">
        <f aca="false">IFERROR(IF(AND(TRIM(U654)="Pass",SUMPRODUCT((LEN(BC654)-LEN(SUBSTITUTE(BC654," "&amp;L_ResultBad&amp;" "," ")))/(LEN(L_ResultBad)+1))&gt;SUMPRODUCT((LEN(BC654)-LEN(SUBSTITUTE(BC654," "&amp;L_NegPhrase&amp;" "," ")))/(LEN(L_NegPhrase)+1))),1,0),0)</f>
        <v>0</v>
      </c>
      <c r="BH654" s="61" t="n">
        <f aca="false">IFERROR(IF(SUMPRODUCT((LEN(BC654)-LEN(SUBSTITUTE(BC654," "&amp;L_Pending&amp;" "," ")))/(LEN(L_Pending)+1))&gt;SUMPRODUCT((LEN(BC654)-LEN(SUBSTITUTE(BC654," "&amp;L_PendNeg&amp;" "," ")))/(LEN(L_PendNeg)+1))+SUMPRODUCT((LEN(BC654)-LEN(SUBSTITUTE(BC654," "&amp;L_PendPrep&amp;" "," ")))/(LEN(L_PendPrep)+1)),1,0),1)</f>
        <v>0</v>
      </c>
      <c r="BI654" s="61" t="n">
        <f aca="false">IFERROR(IF(SUMPRODUCT((LEN(BD654)-LEN(SUBSTITUTE(BD654," "&amp;L_PendStrict&amp;" "," ")))/(LEN(L_PendStrict)+1))&gt;SUMPRODUCT((LEN(BD654)-LEN(SUBSTITUTE(BD654," "&amp;L_PendNeg&amp;" "," ")))/(LEN(L_PendNeg)+1)),1,0),1)</f>
        <v>0</v>
      </c>
      <c r="BJ654" s="61" t="n">
        <f aca="false">IFERROR(IF(SUMPRODUCT((LEN(BE654)-LEN(SUBSTITUTE(BE654," "&amp;L_Pending&amp;" "," ")))/(LEN(L_Pending)+1))&gt;SUMPRODUCT((LEN(BE654)-LEN(SUBSTITUTE(BE654," "&amp;L_PendNeg&amp;" "," ")))/(LEN(L_PendNeg)+1))+SUMPRODUCT((LEN(BE654)-LEN(SUBSTITUTE(BE654," "&amp;L_PendPrep&amp;" "," ")))/(LEN(L_PendPrep)+1)),1,0),1)</f>
        <v>0</v>
      </c>
      <c r="BK654" s="61" t="n">
        <f aca="false">IFERROR(IF(SUMPRODUCT((LEN(BF654)-LEN(SUBSTITUTE(BF654," "&amp;L_PendStrict&amp;" "," ")))/(LEN(L_PendStrict)+1))&gt;SUMPRODUCT((LEN(BF654)-LEN(SUBSTITUTE(BF654," "&amp;L_PendNeg&amp;" "," ")))/(LEN(L_PendNeg)+1)),1,0),1)</f>
        <v>0</v>
      </c>
      <c r="BL654" s="61" t="n">
        <f aca="false">IF(ISNA(MATCH(TRIM(S654),L_EvidenceType,0)),0,BZ654)</f>
        <v>0</v>
      </c>
      <c r="BM654" s="61" t="str">
        <f aca="false">SUBSTITUTE(SUBSTITUTE(SUBSTITUTE(SUBSTITUTE(SUBSTITUTE(SUBSTITUTE(SUBSTITUTE(SUBSTITUTE(SUBSTITUTE(LOWER(Z654&amp;""),"1","0"),"2","0"),"3","0"),"4","0"),"5","0"),"6","0"),"7","0"),"8","0"),"9","0")</f>
        <v/>
      </c>
      <c r="BN654" s="61" t="str">
        <f aca="false">SUBSTITUTE(SUBSTITUTE(SUBSTITUTE(SUBSTITUTE(SUBSTITUTE(SUBSTITUTE(SUBSTITUTE(SUBSTITUTE(SUBSTITUTE(SUBSTITUTE(SUBSTITUTE(SUBSTITUTE(SUBSTITUTE(SUBSTITUTE(SUBSTITUTE(SUBSTITUTE(SUBSTITUTE(SUBSTITUTE(SUBSTITUTE(SUBSTITUTE(SUBSTITUTE(SUBSTITUTE(SUBSTITUTE(SUBSTITUTE(SUBSTITUTE(BM654,"b","a"),"c","a"),"d","a"),"e","a"),"f","a"),"g","a"),"h","a"),"i","a"),"j","a"),"k","a"),"l","a"),"m","a"),"n","a"),"o","a"),"p","a"),"q","a"),"r","a"),"s","a"),"t","a"),"u","a"),"v","a"),"w","a"),"x","a"),"y","a"),"z","a")</f>
        <v/>
      </c>
      <c r="BO654" s="61" t="str">
        <f aca="false">SUBSTITUTE(SUBSTITUTE(SUBSTITUTE(SUBSTITUTE(SUBSTITUTE(SUBSTITUTE(SUBSTITUTE(SUBSTITUTE(SUBSTITUTE(LOWER(W654&amp;""),"1","0"),"2","0"),"3","0"),"4","0"),"5","0"),"6","0"),"7","0"),"8","0"),"9","0")</f>
        <v/>
      </c>
      <c r="BP654" s="61" t="str">
        <f aca="false">SUBSTITUTE(SUBSTITUTE(SUBSTITUTE(SUBSTITUTE(SUBSTITUTE(SUBSTITUTE(SUBSTITUTE(SUBSTITUTE(SUBSTITUTE(SUBSTITUTE(SUBSTITUTE(SUBSTITUTE(SUBSTITUTE(SUBSTITUTE(SUBSTITUTE(SUBSTITUTE(SUBSTITUTE(SUBSTITUTE(SUBSTITUTE(SUBSTITUTE(SUBSTITUTE(SUBSTITUTE(SUBSTITUTE(SUBSTITUTE(SUBSTITUTE(BO654,"b","a"),"c","a"),"d","a"),"e","a"),"f","a"),"g","a"),"h","a"),"i","a"),"j","a"),"k","a"),"l","a"),"m","a"),"n","a"),"o","a"),"p","a"),"q","a"),"r","a"),"s","a"),"t","a"),"u","a"),"v","a"),"w","a"),"x","a"),"y","a"),"z","a")</f>
        <v/>
      </c>
      <c r="BQ654" s="61" t="n">
        <f aca="false">IFERROR(IF(AND(ISERROR(SEARCH(" mh"," "&amp;LOWER(W654))),ISNA(MATCH(LEFT(TRIM(BP654),255),{"0000a","000a","00a","0000aa","000aa","00aa","0aa","0000aaa","000aaa","00a00","0a00","0000-0000","00:00","a00","a0","00.00.0000","00/00/0000","00-00-0000","0000-00-00","0000/00/00","0000.00.00","00.00.00","00/00/00","00-00-00","0.00.0000","0/00/0000","0-00-0000"},0)),ISNA(MATCH(LEFT(TRIM(CA654),255),{"0000a","000a","00a","0000aa","000aa","00aa","0aa","0000aaa","000aaa","00a00","0a00","0000-0000","00:00","a00","a0","00.00.0000","00/00/0000","00-00-0000","0000-00-00","0000/00/00","0000.00.00","00.00.00","00/00/00","00-00-00","0.00.0000","0/00/0000","0-00-0000"},0)),LEN(CB654)&gt;=3,NOT(OR(SUBSTITUTE(CB654,"0","")="",AND(LEN(CB654)&gt;=4,CB654=REPT(LEFT(CB654),LEN(CB654))),ISNUMBER(MATCH(CB654,{"123","1234","12345","123456","1234567","12345678","0123","01234","012345","98765","987654","54321"},0)),AND(LEN(CB654)=8,LEFT(CB654,3)="202"))),OR(AND((LEN(CA654)-LEN(SUBSTITUTE(CA654,"a","")))&gt;=1,SUMPRODUCT(--ISNUMBER(SEARCH({"a0","a-0","a_0","a/0","a.0","a#0","0a","0-a","0_a","0/a"},BP654)))&gt;0),ISNUMBER(SEARCH("000000",BP654)))),1,0),0)</f>
        <v>0</v>
      </c>
      <c r="BR654" s="61" t="n">
        <f aca="false">IFERROR(LEN(SUBSTITUTE(CC654," ",""))-SUMPRODUCT((LEN(CC654)-LEN(SUBSTITUTE(CC654," "&amp;L_Role&amp;" "," ")))/(LEN(L_Role)+1)*LEN(L_Role)),0)</f>
        <v>0</v>
      </c>
      <c r="BS654" s="61" t="n">
        <f aca="false">IFERROR(LEN(SUBSTITUTE(CD654," ",""))-SUMPRODUCT((LEN(CD654)-LEN(SUBSTITUTE(CD654," "&amp;L_Role&amp;" "," ")))/(LEN(L_Role)+1)*LEN(L_Role)),0)</f>
        <v>0</v>
      </c>
      <c r="BT6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654,"revision",""),"version",""),"jan",""),"feb",""),"mar",""),"apr",""),"may",""),"jun",""),"jul",""),"aug",""),"sep",""),"oct",""),"nov",""),"dec",""),"utc",""),"gmt",""),"myt",""),"bst",""),"rev",""),"ver",""),"b","a"),"c","a"),"d","a"),"e","a"),"f","a"),"g","a"),"h","a"),"i","a"),"j","a"),"k","a"),"l","a"),"m","a"),"n","a"),"o","a"),"p","a"),"q","a"),"r","a"),"s","a"),"t","a"),"u","a"),"v","a"),"w","a"),"x","a"),"y","a"),"z","a")</f>
        <v/>
      </c>
      <c r="BU654" s="61" t="str">
        <f aca="false">SUBSTITUTE(SUBSTITUTE(SUBSTITUTE(SUBSTITUTE(SUBSTITUTE(SUBSTITUTE(SUBSTITUTE(SUBSTITUTE(SUBSTITUTE(SUBSTITUTE(LEFT(BM654,FIND("0",BM654&amp;"0")-1),"-",""),"_",""),"/",""),".",""),"#",""),"\\",""),":","")," ",""),"(",""),")","")</f>
        <v/>
      </c>
      <c r="BV654" s="61" t="n">
        <f aca="false">0</f>
        <v>0</v>
      </c>
      <c r="BW65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654&amp;""),"a",""),"b",""),"c",""),"d",""),"e",""),"f",""),"g",""),"h",""),"i",""),"j",""),"k",""),"l",""),"m",""),"n",""),"o",""),"p",""),"q",""),"r",""),"s",""),"t",""),"u",""),"v",""),"w",""),"x",""),"y",""),"z",""),"-",""),"_",""),"/",""),".",""),"#",""),"\\",""),":","")," ",""),"(",""),")","")</f>
        <v/>
      </c>
      <c r="BX654" s="61" t="str">
        <f aca="false">SUBSTITUTE(SUBSTITUTE(SUBSTITUTE(SUBSTITUTE(SUBSTITUTE(SUBSTITUTE(SUBSTITUTE(SUBSTITUTE(SUBSTITUTE(SUBSTITUTE(SUBSTITUTE(BM654,"0",""),"-",""),"_",""),"/",""),".",""),"#",""),"\\",""),":","")," ",""),"(",""),")","")</f>
        <v/>
      </c>
      <c r="BY654" s="62" t="n">
        <f aca="false">Q654-T12EarlyH/24</f>
        <v>46323.4375</v>
      </c>
      <c r="BZ654" s="61" t="n">
        <f aca="false">IFERROR(IF(IF(TRIM(S654)="Link / file path",AND(LEN(TRIM(Z654))&gt;=5,SUMPRODUCT(--ISNUMBER(SEARCH({"http","www.","\\",":\",".pdf",".jpg",".jpeg",".png",".heic",".xls",".doc",".msg",".eml",".ppt",".txt",".zip"},Z654)))&gt;0),AND(ISERROR(FIND(" ",TRIM(Z654))),NOT(OR(SUMPRODUCT(--ISNUMBER(FIND({",",";","&amp;","+"},Z654)))&gt;0,SUMPRODUCT(--ISNUMBER(SEARCH({"0/aa","0\\aa"},BN654)))&gt;0)),NOT(SUMPRODUCT(--ISNUMBER(SEARCH({"http","www.","\\",":\",".pdf",".jpg",".jpeg",".png",".heic",".xls",".doc",".msg",".eml",".ppt",".txt",".zip"},Z654)))&gt;0),NOT(LOWER(TRIM(Z654))=LOWER(Flights!$F$24)),ISNA(MATCH(BU654,{"mh","rev","revision","ver","version","v","r","a","b","seat","tray","row","gate","bay","stand","page","pg","item","line","no","cart","galley","flight","flt","table","box","bag","oven","etd","eta","std","sta","atd","ata","qty","pax","x","time","tel","ph","mob","day","wk","week","utc","gmt","myt","lt"},0)),NOT(OR(ISNUMBER(MATCH(LEFT(BN654,255),{"0000a","000a","00a","0000aa","000aa","00aa","0aa","0000aaa","000aaa","00a00","0a00","0000-0000","00:00","a00","a0","00.00.0000","00/00/0000","00-00-0000","0000-00-00","0000/00/00","0000.00.00","00.00.00","00/00/00","00-00-00","0.00.0000","0/00/0000","0-00-0000"},0)),ISNUMBER(MATCH(LEFT(BT654,255),{"0000a","000a","00a","0000aa","000aa","00aa","0aa","0000aaa","000aaa","00a00","0a00","0000-0000","00:00","a00","a0","00.00.0000","00/00/0000","00-00-0000","0000-00-00","0000/00/00","0000.00.00","00.00.00","00/00/00","00-00-00","0.00.0000","0/00/0000","0-00-0000"},0)))),NOT(OR(AND(BW654&lt;&gt;"",SUBSTITUTE(BW654,"0","")=""),AND(LEN(BW654)&gt;=4,BW654=REPT(LEFT(BW654),LEN(BW654))),ISNUMBER(MATCH(BW654,{"123","1234","12345","123456","1234567","12345678","0123","01234","012345","98765","987654","54321"},0)),ISNUMBER(MATCH(BX654,{"x","xx","xxx","xxxx","xxxxx","abc","abcd","nil","na","nan","test","tbc","tba","tbd","dummy","sample","example","eg","zz","zzz","none","null","xyz","qwe","asd","id","ref"},0)),AND(LEN(BW654)=8,BX654="",OR(LEFT(BW654,3)="202",ISNUMBER(MATCH(RIGHT(BW654,4),{"2025","2026","2027"},0)))))),OR(AND((LEN(BT654)-LEN(SUBSTITUTE(BT654,"a","")))&gt;=1,(LEN(BN654)-LEN(SUBSTITUTE(BN654,"0","")))&gt;=2,SUMPRODUCT(--ISNUMBER(SEARCH({"a0","a-0","a_0","a/0","a.0","a#0","0a","0-a","0_a","0/a"},BN654)))&gt;0),AND((LEN(BN654)-LEN(SUBSTITUTE(BN654,"a","")))=0,(LEN(BN654)-LEN(SUBSTITUTE(BN654,"0","")))&gt;=5)))),1,0),0)</f>
        <v>0</v>
      </c>
      <c r="CA6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654,"revision",""),"version",""),"jan",""),"feb",""),"mar",""),"apr",""),"may",""),"jun",""),"jul",""),"aug",""),"sep",""),"oct",""),"nov",""),"dec",""),"utc",""),"gmt",""),"myt",""),"bst",""),"rev",""),"ver",""),"b","a"),"c","a"),"d","a"),"e","a"),"f","a"),"g","a"),"h","a"),"i","a"),"j","a"),"k","a"),"l","a"),"m","a"),"n","a"),"o","a"),"p","a"),"q","a"),"r","a"),"s","a"),"t","a"),"u","a"),"v","a"),"w","a"),"x","a"),"y","a"),"z","a")</f>
        <v/>
      </c>
      <c r="CB65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654&amp;""),"a",""),"b",""),"c",""),"d",""),"e",""),"f",""),"g",""),"h",""),"i",""),"j",""),"k",""),"l",""),"m",""),"n",""),"o",""),"p",""),"q",""),"r",""),"s",""),"t",""),"u",""),"v",""),"w",""),"x",""),"y",""),"z",""),"-",""),"_",""),"/",""),".",""),"#",""),"\\",""),":","")," ",""),"(",""),")","")</f>
        <v/>
      </c>
      <c r="CC654" s="0" t="str">
        <f aca="false">" "&amp;TRIM(SUBSTITUTE(SUBSTITUTE(SUBSTITUTE(SUBSTITUTE(SUBSTITUTE(SUBSTITUTE(SUBSTITUTE(SUBSTITUTE(SUBSTITUTE(SUBSTITUTE(SUBSTITUTE(SUBSTITUTE(SUBSTITUTE(SUBSTITUTE(SUBSTITUTE(SUBSTITUTE(SUBSTITUTE(SUBSTITUTE(SUBSTITUTE(SUBSTITUTE(SUBSTITUTE(SUBSTITUTE(SUBSTITUTE(SUBSTITUTE(LOWER(T654&amp;""),CHAR(10)," "),CHAR(13)," "),CHAR(9)," "),CHAR(160)," "),"."," "),","," "),"-"," "),"/"," "),"("," "),")"," "),":"," "),";"," "),"_"," "),"–"," "),"?"," "),"!"," "),"*"," "),"["," "),"]"," "),"'"," "),"#"," "),"+"," "),"&amp;"," "),"\"," "))&amp;" "</f>
        <v>  </v>
      </c>
      <c r="CD654" s="0" t="str">
        <f aca="false">" "&amp;TRIM(SUBSTITUTE(SUBSTITUTE(SUBSTITUTE(SUBSTITUTE(SUBSTITUTE(SUBSTITUTE(SUBSTITUTE(SUBSTITUTE(SUBSTITUTE(SUBSTITUTE(SUBSTITUTE(SUBSTITUTE(SUBSTITUTE(SUBSTITUTE(SUBSTITUTE(SUBSTITUTE(SUBSTITUTE(SUBSTITUTE(SUBSTITUTE(SUBSTITUTE(SUBSTITUTE(SUBSTITUTE(SUBSTITUTE(SUBSTITUTE(LOWER(AE654&amp;""),CHAR(10)," "),CHAR(13)," "),CHAR(9)," "),CHAR(160)," "),"."," "),","," "),"-"," "),"/"," "),"("," "),")"," "),":"," "),";"," "),"_"," "),"–"," "),"?"," "),"!"," "),"*"," "),"["," "),"]"," "),"'"," "),"#"," "),"+"," "),"&amp;"," "),"\"," "))&amp;" "</f>
        <v>  </v>
      </c>
      <c r="CE654" s="68" t="n">
        <f aca="false">IFERROR(IF(AND(LEN(AU654)&gt;0,LEN(AU654)=LEN(AX654),OR(TRIM(MID(SUBSTITUTE(TRIM(CC654)," ",REPT(" ",60)),1,60))="",ISNUMBER(SEARCH(" "&amp;TRIM(MID(SUBSTITUTE(TRIM(CC654)," ",REPT(" ",60)),1,60))&amp;" ",CD654))),OR(TRIM(MID(SUBSTITUTE(TRIM(CC654)," ",REPT(" ",60)),61,60))="",ISNUMBER(SEARCH(" "&amp;TRIM(MID(SUBSTITUTE(TRIM(CC654)," ",REPT(" ",60)),61,60))&amp;" ",CD654))),OR(TRIM(MID(SUBSTITUTE(TRIM(CC654)," ",REPT(" ",60)),121,60))="",ISNUMBER(SEARCH(" "&amp;TRIM(MID(SUBSTITUTE(TRIM(CC654)," ",REPT(" ",60)),121,60))&amp;" ",CD654)))),1,0),0)</f>
        <v>0</v>
      </c>
      <c r="CG654" s="68" t="n">
        <f aca="false">IFERROR(LEN(SUBSTITUTE(BF654," ",""))-SUMPRODUCT((LEN(BF654)-LEN(SUBSTITUTE(BF654," "&amp;L_NAFiller&amp;" "," ")))/(LEN(L_NAFiller)+1)*LEN(L_NAFiller)),0)</f>
        <v>0</v>
      </c>
    </row>
    <row r="655" customFormat="false" ht="39.75" hidden="false" customHeight="true" outlineLevel="0" collapsed="false">
      <c r="A655" s="57" t="s">
        <v>1374</v>
      </c>
      <c r="B655" s="57" t="s">
        <v>304</v>
      </c>
      <c r="C655" s="57" t="str">
        <f aca="false">Flights!$F$24</f>
        <v>MH1450</v>
      </c>
      <c r="D655" s="58" t="n">
        <f aca="false">Flights!$D$24</f>
        <v>46324</v>
      </c>
      <c r="E655" s="57" t="str">
        <f aca="false">Flights!$G$24&amp;"-"&amp;Flights!$H$24</f>
        <v>KUL-LGK</v>
      </c>
      <c r="F655" s="57" t="str">
        <f aca="false">Flights!$K$24</f>
        <v>EY</v>
      </c>
      <c r="G655" s="57" t="s">
        <v>420</v>
      </c>
      <c r="H655" s="57" t="s">
        <v>378</v>
      </c>
      <c r="I655" s="57" t="s">
        <v>379</v>
      </c>
      <c r="J655" s="57" t="s">
        <v>425</v>
      </c>
      <c r="K655" s="67" t="s">
        <v>426</v>
      </c>
      <c r="L655" s="67" t="s">
        <v>422</v>
      </c>
      <c r="M655" s="67"/>
      <c r="N655" s="67" t="s">
        <v>383</v>
      </c>
      <c r="O655" s="67" t="s">
        <v>423</v>
      </c>
      <c r="P655" s="57" t="s">
        <v>187</v>
      </c>
      <c r="Q655" s="59" t="n">
        <f aca="false">ROUND((Flights!$AE$24)*1440,0)/1440</f>
        <v>46323.9375</v>
      </c>
      <c r="R655" s="59" t="n">
        <f aca="false">Q655+(IF(AND(INDEX(TZ_DSTS,MATCH(P655,TZ_STN,0))&lt;&gt;"",Q655&gt;=INDEX(TZ_DSTS,MATCH(P655,TZ_STN,0)),Q655&lt;INDEX(TZ_DSTE,MATCH(P655,TZ_STN,0))),INDEX(TZ_DST,MATCH(P655,TZ_STN,0)),INDEX(TZ_STD,MATCH(P655,TZ_STN,0))))/24</f>
        <v>46324.2708333333</v>
      </c>
      <c r="S655" s="60"/>
      <c r="T655" s="60"/>
      <c r="U655" s="60"/>
      <c r="V655" s="60"/>
      <c r="W655" s="61"/>
      <c r="X655" s="60"/>
      <c r="Y655" s="60"/>
      <c r="Z655" s="60"/>
      <c r="AA655" s="60"/>
      <c r="AB655" s="60"/>
      <c r="AC655" s="60"/>
      <c r="AD655" s="66"/>
      <c r="AE655" s="60"/>
      <c r="AF655" s="61" t="str">
        <f aca="false">IF(AND(ISNUMBER(X655),ISNUMBER(Y655)),Y655-X655,"")</f>
        <v/>
      </c>
      <c r="AG655" s="62" t="str">
        <f aca="false">IF(ISNUMBER(AD655),AD655-(IF(AND(INDEX(TZ_DSTS,MATCH(P655,TZ_STN,0))&lt;&gt;"",(AD655-INDEX(TZ_STD,MATCH(P655,TZ_STN,0))/24)&gt;=INDEX(TZ_DSTS,MATCH(P655,TZ_STN,0)),(AD655-INDEX(TZ_STD,MATCH(P655,TZ_STN,0))/24)&lt;INDEX(TZ_DSTE,MATCH(P655,TZ_STN,0))),INDEX(TZ_DST,MATCH(P655,TZ_STN,0)),INDEX(TZ_STD,MATCH(P655,TZ_STN,0))))/24,"")</f>
        <v/>
      </c>
      <c r="AH655" s="65" t="str">
        <f aca="false">IFERROR(IF(N655="N/A – rule",IF(OR(TRIM(U655)="",TRIM(U655)="N/A",TRIM(U655)="Not started"),"N/A – RULE","INVALID – this check does not apply to this aircraft: clear the status (or correct the fleet on Flights)"),IF(TRIM(U655)="N/A",IF(AT655=0,"INVALID – N/A not permitted for this check",IF(AND(TRIM(AB655)&lt;&gt;"",TRIM(AB655)&lt;&gt;"Closed"),"INVALID – corrective action still open",IF(AND(NOT(OR(LEN(AZ655)&lt;15,ISNUMBER(MATCH(AZ655,L_Placeholder,0)))),BK655=0,CG655&gt;=8,NOT(OR(LEN(AU655)&lt;2,ISNUMBER(MATCH(AU655,L_Placeholder,0)))),BR655&gt;=3,NOT(OR(LEN(AX655)&lt;2,ISNUMBER(MATCH(AX655,L_Placeholder,0)))),BS655&gt;=3,TRIM(AE655)&lt;&gt;TRIM(T655),AX655&lt;&gt;AU655,CE655=0),"N/A – JUSTIFIED","INVALID – N/A needs a real, settled reason (not 'not applicable' / 'as above' / TBC), a named PIC and a different named verifier"))),IF(OR(TRIM(U655)="Pass",TRIM(U655)="Pass after CA"),IF(NOT(ISNUMBER(AD655)),"INVALID – completion time missing",IF(OR(OR(LEN(AU655)&lt;2,ISNUMBER(MATCH(AU655,L_Placeholder,0))),BR655&lt;3),"INVALID – PIC missing or not a named person (a role such as QA / CSM is not a name)",IF(OR(LEN(AV655)&lt;2,ISNUMBER(MATCH(AV655,L_Placeholder,0))),"INVALID – result / assessment missing",IF(OR(OR(LEN(AW655)&lt;3,ISNUMBER(MATCH(AW655,L_Placeholder,0))),SUMPRODUCT(--ISNUMBER(SEARCH(" "&amp;L_EvidencePhrase&amp;" ",BD655)))&gt;0,BI655=1),"INVALID – evidence missing, placeholder or not yet on file",IF(ISNA(MATCH(TRIM(S655),L_EvidenceType,0)),"INVALID – choose the evidence type from the list (column S)",IF(BL655=0,"INVALID – evidence ID must be the record's own ID only (e.g. SF-2210, IMG_2231, 1045521); a link / file name needs type 'Link / file path'",IF(OR(OR(LEN(AX655)&lt;2,ISNUMBER(MATCH(AX655,L_Placeholder,0))),BS655&lt;3),"INVALID – verifier missing or not a named person (a role such as QA / CSM is not a name)",IF(OR(AX655=AU655,CE655=1,AND(LEN(AU655)&gt;=4,ISNUMBER(SEARCH(AU655,AX655))),AND(LEN(AX655)&gt;=4,ISNUMBER(SEARCH(AX655,AU655)))),"INVALID – verifier must be a different, named person (not the PIC or a role)",IF(BH655=1,"INVALID – result not yet available (awaiting / TBC)",IF(BG655=1,"INVALID – result describes a problem: record Fail, then Pass after CA (or reword if it is not a problem)",IF(BV655=1,"INVALID – wording says not on board: an on-board confirmation needs the item loaded",IF(AND(AQ655=1,OR(OR(LEN(AY655)&lt;3,ISNUMBER(MATCH(AY655,L_Placeholder,0))),BJ655=1,BQ655=0)),"INVALID – batch ID missing, placeholder or not an ID (e.g. PASB-261008-BC-017)",IF(AND(AR655=1,OR(NOT(ISNUMBER(X655)),NOT(ISNUMBER(Y655)))),"INVALID – expected/actual qty missing",IF(AND(AR655=1,OR(X655&lt;=0,Y655&lt;0)),"INVALID – expected qty must be above 0 and actual not negative",IF(BB655&lt;&gt;"",BB655,IF(AND(AS655=1,Documents!$J$24&lt;&gt;"ON FILE"),"INVALID – GLD not on file (Documents sheet)",IF(AND(AS655=2,Documents!$O$24&lt;&gt;"ON FILE"),"INVALID – menu checklist not on file (Documents sheet)",IF(AND(AS655=3,NOT(ISNUMBER(Flights!$AX$24))),"INVALID – enter carrying flight KUL departure (Flights AX)",IF(AND(AS655=3,OR(Flights!$AZ$24&gt;Flights!$AA$24,Flights!$AX$24&lt;Flights!$AA$24-3)),"INVALID – carrying flight (Flights AX) cannot arrive before this leg's STD, or is over 3 days early",IF(AG655&gt;AsOfUTC,"INVALID – completion time is in the future",IF(AND(ISNUMBER(BY655),AG655&lt;BY655),IF(H655="Physical uplift","INVALID – before uplift window (cannot confirm loading)","INVALID – before valid window"),IF(AG655&gt;Flights!$AA$24,"INVALID – completed after departure (cannot establish readiness)",IF(AND(H655="Preparation",AG655&gt;=IF(ISNUMBER(Flights!$BA$24),MIN(Flights!$BA$24,Flights!$AA$24),Flights!$AA$24)),"INVALID – completed after loading / departure (cannot establish readiness)",IF(AND(H655="Physical uplift",AG655&gt;Q655),"INVALID – recorded after the loading flight departed",IF(AG655&gt;Q655,"COMPLETE – LATE","COMPLETE"))))))))))))))))))))))))),IF(TRIM(U655)="Fail","FAIL – DISCREPANCY",IF(AND(TRIM(U655)&lt;&gt;"",TRIM(U655)&lt;&gt;"Not started",TRIM(U655)&lt;&gt;"In progress"),"INVALID – unrecognised status (use the list)",IF(AsOfUTC&gt;Q655,"OVERDUE",IF(N655="Clarification required","OPEN – CLARIFICATION","OPEN"))))))),"INVALID – error value in an input cell")</f>
        <v>OPEN</v>
      </c>
      <c r="AI655" s="61" t="n">
        <f aca="false">IF(OR(AH655="N/A – RULE",AH655="N/A – JUSTIFIED"),0,1)</f>
        <v>1</v>
      </c>
      <c r="AJ655" s="61" t="n">
        <f aca="false">IF(LEFT(AH655,8)="COMPLETE",1,0)</f>
        <v>0</v>
      </c>
      <c r="AK655" s="61" t="n">
        <f aca="false">IF(AND(AI655=1,AJ655=0,AsOfUTC&gt;Q655),1,0)</f>
        <v>0</v>
      </c>
      <c r="AL655" s="61" t="n">
        <f aca="false">IFERROR(IF(AND(AI655=1,OR(TRIM(U655)="Fail",AND(TRIM(AB655)&lt;&gt;"",TRIM(AB655)&lt;&gt;"Closed"),AND(ISNUMBER(AF655),AF655&lt;&gt;0,TRIM(U655)&lt;&gt;"Pass after CA"))),1,0),1)</f>
        <v>0</v>
      </c>
      <c r="AM655" s="61" t="n">
        <f aca="false">IF(LEFT(AH655,7)="INVALID",1,0)</f>
        <v>0</v>
      </c>
      <c r="AN655" s="61" t="n">
        <f aca="false">IF(AND(N655="Clarification required",AI655=1,AJ655=0),1,0)</f>
        <v>0</v>
      </c>
      <c r="AO655" s="61" t="str">
        <f aca="false">IF(AK655=1,SUM(AK$5:AK655),"")</f>
        <v/>
      </c>
      <c r="AP655" s="61" t="str">
        <f aca="false">IF(AL655=1,SUM(AL$5:AL655),"")</f>
        <v/>
      </c>
      <c r="AQ655" s="61" t="n">
        <v>0</v>
      </c>
      <c r="AR655" s="61" t="n">
        <v>1</v>
      </c>
      <c r="AS655" s="61" t="n">
        <v>0</v>
      </c>
      <c r="AT655" s="61" t="n">
        <v>0</v>
      </c>
      <c r="AU655" s="61" t="str">
        <f aca="false">SUBSTITUTE(SUBSTITUTE(SUBSTITUTE(SUBSTITUTE(SUBSTITUTE(SUBSTITUTE(SUBSTITUTE(SUBSTITUTE(SUBSTITUTE(SUBSTITUTE(SUBSTITUTE(SUBSTITUTE(SUBSTITUTE(SUBSTITUTE(SUBSTITUTE(SUBSTITUTE(LOWER(T655&amp;""),CHAR(10),""),CHAR(13),""),CHAR(9),""),CHAR(160),"")," ",""),".",""),"-",""),"/",""),"?",""),"_",""),",",""),"[",""),"]",""),"(",""),")",""),"*","")</f>
        <v/>
      </c>
      <c r="AV655" s="61" t="str">
        <f aca="false">SUBSTITUTE(SUBSTITUTE(SUBSTITUTE(SUBSTITUTE(SUBSTITUTE(SUBSTITUTE(SUBSTITUTE(SUBSTITUTE(SUBSTITUTE(SUBSTITUTE(SUBSTITUTE(SUBSTITUTE(SUBSTITUTE(SUBSTITUTE(SUBSTITUTE(SUBSTITUTE(LOWER(V655&amp;""),CHAR(10),""),CHAR(13),""),CHAR(9),""),CHAR(160),"")," ",""),".",""),"-",""),"/",""),"?",""),"_",""),",",""),"[",""),"]",""),"(",""),")",""),"*","")</f>
        <v/>
      </c>
      <c r="AW655" s="61" t="str">
        <f aca="false">SUBSTITUTE(SUBSTITUTE(SUBSTITUTE(SUBSTITUTE(SUBSTITUTE(SUBSTITUTE(SUBSTITUTE(SUBSTITUTE(SUBSTITUTE(SUBSTITUTE(SUBSTITUTE(SUBSTITUTE(SUBSTITUTE(SUBSTITUTE(SUBSTITUTE(SUBSTITUTE(LOWER(Z655&amp;""),CHAR(10),""),CHAR(13),""),CHAR(9),""),CHAR(160),"")," ",""),".",""),"-",""),"/",""),"?",""),"_",""),",",""),"[",""),"]",""),"(",""),")",""),"*","")</f>
        <v/>
      </c>
      <c r="AX655" s="61" t="str">
        <f aca="false">SUBSTITUTE(SUBSTITUTE(SUBSTITUTE(SUBSTITUTE(SUBSTITUTE(SUBSTITUTE(SUBSTITUTE(SUBSTITUTE(SUBSTITUTE(SUBSTITUTE(SUBSTITUTE(SUBSTITUTE(SUBSTITUTE(SUBSTITUTE(SUBSTITUTE(SUBSTITUTE(LOWER(AE655&amp;""),CHAR(10),""),CHAR(13),""),CHAR(9),""),CHAR(160),"")," ",""),".",""),"-",""),"/",""),"?",""),"_",""),",",""),"[",""),"]",""),"(",""),")",""),"*","")</f>
        <v/>
      </c>
      <c r="AY655" s="61" t="str">
        <f aca="false">SUBSTITUTE(SUBSTITUTE(SUBSTITUTE(SUBSTITUTE(SUBSTITUTE(SUBSTITUTE(SUBSTITUTE(SUBSTITUTE(SUBSTITUTE(SUBSTITUTE(SUBSTITUTE(SUBSTITUTE(SUBSTITUTE(SUBSTITUTE(SUBSTITUTE(SUBSTITUTE(LOWER(W655&amp;""),CHAR(10),""),CHAR(13),""),CHAR(9),""),CHAR(160),"")," ",""),".",""),"-",""),"/",""),"?",""),"_",""),",",""),"[",""),"]",""),"(",""),")",""),"*","")</f>
        <v/>
      </c>
      <c r="AZ655" s="61" t="str">
        <f aca="false">SUBSTITUTE(SUBSTITUTE(SUBSTITUTE(SUBSTITUTE(SUBSTITUTE(SUBSTITUTE(SUBSTITUTE(SUBSTITUTE(SUBSTITUTE(SUBSTITUTE(SUBSTITUTE(SUBSTITUTE(SUBSTITUTE(SUBSTITUTE(SUBSTITUTE(SUBSTITUTE(LOWER(AC655&amp;""),CHAR(10),""),CHAR(13),""),CHAR(9),""),CHAR(160),"")," ",""),".",""),"-",""),"/",""),"?",""),"_",""),",",""),"[",""),"]",""),"(",""),")",""),"*","")</f>
        <v/>
      </c>
      <c r="BA655" s="61" t="str">
        <f aca="false">SUBSTITUTE(SUBSTITUTE(SUBSTITUTE(SUBSTITUTE(SUBSTITUTE(SUBSTITUTE(SUBSTITUTE(SUBSTITUTE(SUBSTITUTE(SUBSTITUTE(SUBSTITUTE(SUBSTITUTE(SUBSTITUTE(SUBSTITUTE(SUBSTITUTE(SUBSTITUTE(LOWER(AA655&amp;""),CHAR(10),""),CHAR(13),""),CHAR(9),""),CHAR(160),"")," ",""),".",""),"-",""),"/",""),"?",""),"_",""),",",""),"[",""),"]",""),"(",""),")",""),"*","")</f>
        <v/>
      </c>
      <c r="BB655" s="61" t="str">
        <f aca="false">IF(AND(TRIM(U655)="Pass",ISNUMBER(AF655)),IF(AF655&lt;&gt;0,"INVALID – qty variance: use Fail or Pass after CA",""),"")&amp;IF(AND(TRIM(U655)="Pass after CA",ISNUMBER(AF655)),IF(AF655&lt;&gt;0,"INVALID – after the corrective action the actual qty must equal expected (update Actual)",""),"")&amp;IF(AND(TRIM(U655)="Pass",TRIM(AB655)&lt;&gt;"",TRIM(AB655)&lt;&gt;"Closed"),"INVALID – corrective action not closed: use Fail, then Pass after CA","")&amp;IF(AND(LEN(BA655)&gt;=2,ISNA(MATCH(LEFT(BA655,255),L_Placeholder,0)),TRIM(AB655)=""),"INVALID – CA status missing for the recorded corrective action","")&amp;IF(AND(TRIM(U655)="Pass after CA",OR(OR(LEN(BA655)&lt;5,ISNUMBER(MATCH(BA655,L_Placeholder,0))),TRIM(AB655)&lt;&gt;"Closed")),"INVALID – corrective action not recorded/closed","")</f>
        <v/>
      </c>
      <c r="BC655" s="61" t="str">
        <f aca="false">" "&amp;TRIM(SUBSTITUTE(SUBSTITUTE(SUBSTITUTE(SUBSTITUTE(SUBSTITUTE(SUBSTITUTE(SUBSTITUTE(SUBSTITUTE(SUBSTITUTE(SUBSTITUTE(SUBSTITUTE(SUBSTITUTE(SUBSTITUTE(SUBSTITUTE(SUBSTITUTE(SUBSTITUTE(SUBSTITUTE(SUBSTITUTE(SUBSTITUTE(SUBSTITUTE(SUBSTITUTE(SUBSTITUTE(SUBSTITUTE(SUBSTITUTE(LOWER(V655&amp;""),CHAR(10)," "),CHAR(13)," "),CHAR(9)," "),CHAR(160)," "),"."," "),","," "),"-"," "),"/"," "),"("," "),")"," "),":"," "),";"," "),"_"," "),"–"," "),"?"," "),"!"," "),"*"," "),"["," "),"]"," "),"'"," "),"#"," "),"+"," "),"&amp;"," "),"\"," "))&amp;" "</f>
        <v>  </v>
      </c>
      <c r="BD655" s="61" t="str">
        <f aca="false">" "&amp;TRIM(SUBSTITUTE(SUBSTITUTE(SUBSTITUTE(SUBSTITUTE(SUBSTITUTE(SUBSTITUTE(SUBSTITUTE(SUBSTITUTE(SUBSTITUTE(SUBSTITUTE(SUBSTITUTE(SUBSTITUTE(SUBSTITUTE(SUBSTITUTE(SUBSTITUTE(SUBSTITUTE(SUBSTITUTE(SUBSTITUTE(SUBSTITUTE(SUBSTITUTE(SUBSTITUTE(SUBSTITUTE(SUBSTITUTE(SUBSTITUTE(LOWER(Z655&amp;""),CHAR(10)," "),CHAR(13)," "),CHAR(9)," "),CHAR(160)," "),"."," "),","," "),"-"," "),"/"," "),"("," "),")"," "),":"," "),";"," "),"_"," "),"–"," "),"?"," "),"!"," "),"*"," "),"["," "),"]"," "),"'"," "),"#"," "),"+"," "),"&amp;"," "),"\"," "))&amp;" "</f>
        <v>  </v>
      </c>
      <c r="BE655" s="61" t="str">
        <f aca="false">" "&amp;TRIM(SUBSTITUTE(SUBSTITUTE(SUBSTITUTE(SUBSTITUTE(SUBSTITUTE(SUBSTITUTE(SUBSTITUTE(SUBSTITUTE(SUBSTITUTE(SUBSTITUTE(SUBSTITUTE(SUBSTITUTE(SUBSTITUTE(SUBSTITUTE(SUBSTITUTE(SUBSTITUTE(SUBSTITUTE(SUBSTITUTE(SUBSTITUTE(SUBSTITUTE(SUBSTITUTE(SUBSTITUTE(SUBSTITUTE(SUBSTITUTE(LOWER(W655&amp;""),CHAR(10)," "),CHAR(13)," "),CHAR(9)," "),CHAR(160)," "),"."," "),","," "),"-"," "),"/"," "),"("," "),")"," "),":"," "),";"," "),"_"," "),"–"," "),"?"," "),"!"," "),"*"," "),"["," "),"]"," "),"'"," "),"#"," "),"+"," "),"&amp;"," "),"\"," "))&amp;" "</f>
        <v>  </v>
      </c>
      <c r="BF655" s="61" t="str">
        <f aca="false">" "&amp;TRIM(SUBSTITUTE(SUBSTITUTE(SUBSTITUTE(SUBSTITUTE(SUBSTITUTE(SUBSTITUTE(SUBSTITUTE(SUBSTITUTE(SUBSTITUTE(SUBSTITUTE(SUBSTITUTE(SUBSTITUTE(SUBSTITUTE(SUBSTITUTE(SUBSTITUTE(SUBSTITUTE(SUBSTITUTE(SUBSTITUTE(SUBSTITUTE(SUBSTITUTE(SUBSTITUTE(SUBSTITUTE(SUBSTITUTE(SUBSTITUTE(LOWER(AC655&amp;""),CHAR(10)," "),CHAR(13)," "),CHAR(9)," "),CHAR(160)," "),"."," "),","," "),"-"," "),"/"," "),"("," "),")"," "),":"," "),";"," "),"_"," "),"–"," "),"?"," "),"!"," "),"*"," "),"["," "),"]"," "),"'"," "),"#"," "),"+"," "),"&amp;"," "),"\"," "))&amp;" "</f>
        <v>  </v>
      </c>
      <c r="BG655" s="61" t="n">
        <f aca="false">IFERROR(IF(AND(TRIM(U655)="Pass",SUMPRODUCT((LEN(BC655)-LEN(SUBSTITUTE(BC655," "&amp;L_ResultBad&amp;" "," ")))/(LEN(L_ResultBad)+1))&gt;SUMPRODUCT((LEN(BC655)-LEN(SUBSTITUTE(BC655," "&amp;L_NegPhrase&amp;" "," ")))/(LEN(L_NegPhrase)+1))),1,0),0)</f>
        <v>0</v>
      </c>
      <c r="BH655" s="61" t="n">
        <f aca="false">IFERROR(IF(SUMPRODUCT((LEN(BC655)-LEN(SUBSTITUTE(BC655," "&amp;L_Pending&amp;" "," ")))/(LEN(L_Pending)+1))&gt;SUMPRODUCT((LEN(BC655)-LEN(SUBSTITUTE(BC655," "&amp;L_PendNeg&amp;" "," ")))/(LEN(L_PendNeg)+1))+SUMPRODUCT((LEN(BC655)-LEN(SUBSTITUTE(BC655," "&amp;L_PendPrep&amp;" "," ")))/(LEN(L_PendPrep)+1)),1,0),1)</f>
        <v>0</v>
      </c>
      <c r="BI655" s="61" t="n">
        <f aca="false">IFERROR(IF(SUMPRODUCT((LEN(BD655)-LEN(SUBSTITUTE(BD655," "&amp;L_PendStrict&amp;" "," ")))/(LEN(L_PendStrict)+1))&gt;SUMPRODUCT((LEN(BD655)-LEN(SUBSTITUTE(BD655," "&amp;L_PendNeg&amp;" "," ")))/(LEN(L_PendNeg)+1)),1,0),1)</f>
        <v>0</v>
      </c>
      <c r="BJ655" s="61" t="n">
        <f aca="false">IFERROR(IF(SUMPRODUCT((LEN(BE655)-LEN(SUBSTITUTE(BE655," "&amp;L_Pending&amp;" "," ")))/(LEN(L_Pending)+1))&gt;SUMPRODUCT((LEN(BE655)-LEN(SUBSTITUTE(BE655," "&amp;L_PendNeg&amp;" "," ")))/(LEN(L_PendNeg)+1))+SUMPRODUCT((LEN(BE655)-LEN(SUBSTITUTE(BE655," "&amp;L_PendPrep&amp;" "," ")))/(LEN(L_PendPrep)+1)),1,0),1)</f>
        <v>0</v>
      </c>
      <c r="BK655" s="61" t="n">
        <f aca="false">IFERROR(IF(SUMPRODUCT((LEN(BF655)-LEN(SUBSTITUTE(BF655," "&amp;L_PendStrict&amp;" "," ")))/(LEN(L_PendStrict)+1))&gt;SUMPRODUCT((LEN(BF655)-LEN(SUBSTITUTE(BF655," "&amp;L_PendNeg&amp;" "," ")))/(LEN(L_PendNeg)+1)),1,0),1)</f>
        <v>0</v>
      </c>
      <c r="BL655" s="61" t="n">
        <f aca="false">IF(ISNA(MATCH(TRIM(S655),L_EvidenceType,0)),0,BZ655)</f>
        <v>0</v>
      </c>
      <c r="BM655" s="61" t="str">
        <f aca="false">SUBSTITUTE(SUBSTITUTE(SUBSTITUTE(SUBSTITUTE(SUBSTITUTE(SUBSTITUTE(SUBSTITUTE(SUBSTITUTE(SUBSTITUTE(LOWER(Z655&amp;""),"1","0"),"2","0"),"3","0"),"4","0"),"5","0"),"6","0"),"7","0"),"8","0"),"9","0")</f>
        <v/>
      </c>
      <c r="BN655" s="61" t="str">
        <f aca="false">SUBSTITUTE(SUBSTITUTE(SUBSTITUTE(SUBSTITUTE(SUBSTITUTE(SUBSTITUTE(SUBSTITUTE(SUBSTITUTE(SUBSTITUTE(SUBSTITUTE(SUBSTITUTE(SUBSTITUTE(SUBSTITUTE(SUBSTITUTE(SUBSTITUTE(SUBSTITUTE(SUBSTITUTE(SUBSTITUTE(SUBSTITUTE(SUBSTITUTE(SUBSTITUTE(SUBSTITUTE(SUBSTITUTE(SUBSTITUTE(SUBSTITUTE(BM655,"b","a"),"c","a"),"d","a"),"e","a"),"f","a"),"g","a"),"h","a"),"i","a"),"j","a"),"k","a"),"l","a"),"m","a"),"n","a"),"o","a"),"p","a"),"q","a"),"r","a"),"s","a"),"t","a"),"u","a"),"v","a"),"w","a"),"x","a"),"y","a"),"z","a")</f>
        <v/>
      </c>
      <c r="BO655" s="61" t="str">
        <f aca="false">SUBSTITUTE(SUBSTITUTE(SUBSTITUTE(SUBSTITUTE(SUBSTITUTE(SUBSTITUTE(SUBSTITUTE(SUBSTITUTE(SUBSTITUTE(LOWER(W655&amp;""),"1","0"),"2","0"),"3","0"),"4","0"),"5","0"),"6","0"),"7","0"),"8","0"),"9","0")</f>
        <v/>
      </c>
      <c r="BP655" s="61" t="str">
        <f aca="false">SUBSTITUTE(SUBSTITUTE(SUBSTITUTE(SUBSTITUTE(SUBSTITUTE(SUBSTITUTE(SUBSTITUTE(SUBSTITUTE(SUBSTITUTE(SUBSTITUTE(SUBSTITUTE(SUBSTITUTE(SUBSTITUTE(SUBSTITUTE(SUBSTITUTE(SUBSTITUTE(SUBSTITUTE(SUBSTITUTE(SUBSTITUTE(SUBSTITUTE(SUBSTITUTE(SUBSTITUTE(SUBSTITUTE(SUBSTITUTE(SUBSTITUTE(BO655,"b","a"),"c","a"),"d","a"),"e","a"),"f","a"),"g","a"),"h","a"),"i","a"),"j","a"),"k","a"),"l","a"),"m","a"),"n","a"),"o","a"),"p","a"),"q","a"),"r","a"),"s","a"),"t","a"),"u","a"),"v","a"),"w","a"),"x","a"),"y","a"),"z","a")</f>
        <v/>
      </c>
      <c r="BQ655" s="61" t="n">
        <f aca="false">IFERROR(IF(AND(ISERROR(SEARCH(" mh"," "&amp;LOWER(W655))),ISNA(MATCH(LEFT(TRIM(BP655),255),{"0000a","000a","00a","0000aa","000aa","00aa","0aa","0000aaa","000aaa","00a00","0a00","0000-0000","00:00","a00","a0","00.00.0000","00/00/0000","00-00-0000","0000-00-00","0000/00/00","0000.00.00","00.00.00","00/00/00","00-00-00","0.00.0000","0/00/0000","0-00-0000"},0)),ISNA(MATCH(LEFT(TRIM(CA655),255),{"0000a","000a","00a","0000aa","000aa","00aa","0aa","0000aaa","000aaa","00a00","0a00","0000-0000","00:00","a00","a0","00.00.0000","00/00/0000","00-00-0000","0000-00-00","0000/00/00","0000.00.00","00.00.00","00/00/00","00-00-00","0.00.0000","0/00/0000","0-00-0000"},0)),LEN(CB655)&gt;=3,NOT(OR(SUBSTITUTE(CB655,"0","")="",AND(LEN(CB655)&gt;=4,CB655=REPT(LEFT(CB655),LEN(CB655))),ISNUMBER(MATCH(CB655,{"123","1234","12345","123456","1234567","12345678","0123","01234","012345","98765","987654","54321"},0)),AND(LEN(CB655)=8,LEFT(CB655,3)="202"))),OR(AND((LEN(CA655)-LEN(SUBSTITUTE(CA655,"a","")))&gt;=1,SUMPRODUCT(--ISNUMBER(SEARCH({"a0","a-0","a_0","a/0","a.0","a#0","0a","0-a","0_a","0/a"},BP655)))&gt;0),ISNUMBER(SEARCH("000000",BP655)))),1,0),0)</f>
        <v>0</v>
      </c>
      <c r="BR655" s="61" t="n">
        <f aca="false">IFERROR(LEN(SUBSTITUTE(CC655," ",""))-SUMPRODUCT((LEN(CC655)-LEN(SUBSTITUTE(CC655," "&amp;L_Role&amp;" "," ")))/(LEN(L_Role)+1)*LEN(L_Role)),0)</f>
        <v>0</v>
      </c>
      <c r="BS655" s="61" t="n">
        <f aca="false">IFERROR(LEN(SUBSTITUTE(CD655," ",""))-SUMPRODUCT((LEN(CD655)-LEN(SUBSTITUTE(CD655," "&amp;L_Role&amp;" "," ")))/(LEN(L_Role)+1)*LEN(L_Role)),0)</f>
        <v>0</v>
      </c>
      <c r="BT6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655,"revision",""),"version",""),"jan",""),"feb",""),"mar",""),"apr",""),"may",""),"jun",""),"jul",""),"aug",""),"sep",""),"oct",""),"nov",""),"dec",""),"utc",""),"gmt",""),"myt",""),"bst",""),"rev",""),"ver",""),"b","a"),"c","a"),"d","a"),"e","a"),"f","a"),"g","a"),"h","a"),"i","a"),"j","a"),"k","a"),"l","a"),"m","a"),"n","a"),"o","a"),"p","a"),"q","a"),"r","a"),"s","a"),"t","a"),"u","a"),"v","a"),"w","a"),"x","a"),"y","a"),"z","a")</f>
        <v/>
      </c>
      <c r="BU655" s="61" t="str">
        <f aca="false">SUBSTITUTE(SUBSTITUTE(SUBSTITUTE(SUBSTITUTE(SUBSTITUTE(SUBSTITUTE(SUBSTITUTE(SUBSTITUTE(SUBSTITUTE(SUBSTITUTE(LEFT(BM655,FIND("0",BM655&amp;"0")-1),"-",""),"_",""),"/",""),".",""),"#",""),"\\",""),":","")," ",""),"(",""),")","")</f>
        <v/>
      </c>
      <c r="BV655" s="61" t="n">
        <f aca="false">0</f>
        <v>0</v>
      </c>
      <c r="BW65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655&amp;""),"a",""),"b",""),"c",""),"d",""),"e",""),"f",""),"g",""),"h",""),"i",""),"j",""),"k",""),"l",""),"m",""),"n",""),"o",""),"p",""),"q",""),"r",""),"s",""),"t",""),"u",""),"v",""),"w",""),"x",""),"y",""),"z",""),"-",""),"_",""),"/",""),".",""),"#",""),"\\",""),":","")," ",""),"(",""),")","")</f>
        <v/>
      </c>
      <c r="BX655" s="61" t="str">
        <f aca="false">SUBSTITUTE(SUBSTITUTE(SUBSTITUTE(SUBSTITUTE(SUBSTITUTE(SUBSTITUTE(SUBSTITUTE(SUBSTITUTE(SUBSTITUTE(SUBSTITUTE(SUBSTITUTE(BM655,"0",""),"-",""),"_",""),"/",""),".",""),"#",""),"\\",""),":","")," ",""),"(",""),")","")</f>
        <v/>
      </c>
      <c r="BY655" s="62" t="n">
        <f aca="false">Q655-T12EarlyH/24</f>
        <v>46323.4375</v>
      </c>
      <c r="BZ655" s="61" t="n">
        <f aca="false">IFERROR(IF(IF(TRIM(S655)="Link / file path",AND(LEN(TRIM(Z655))&gt;=5,SUMPRODUCT(--ISNUMBER(SEARCH({"http","www.","\\",":\",".pdf",".jpg",".jpeg",".png",".heic",".xls",".doc",".msg",".eml",".ppt",".txt",".zip"},Z655)))&gt;0),AND(ISERROR(FIND(" ",TRIM(Z655))),NOT(OR(SUMPRODUCT(--ISNUMBER(FIND({",",";","&amp;","+"},Z655)))&gt;0,SUMPRODUCT(--ISNUMBER(SEARCH({"0/aa","0\\aa"},BN655)))&gt;0)),NOT(SUMPRODUCT(--ISNUMBER(SEARCH({"http","www.","\\",":\",".pdf",".jpg",".jpeg",".png",".heic",".xls",".doc",".msg",".eml",".ppt",".txt",".zip"},Z655)))&gt;0),NOT(LOWER(TRIM(Z655))=LOWER(Flights!$F$24)),ISNA(MATCH(BU655,{"mh","rev","revision","ver","version","v","r","a","b","seat","tray","row","gate","bay","stand","page","pg","item","line","no","cart","galley","flight","flt","table","box","bag","oven","etd","eta","std","sta","atd","ata","qty","pax","x","time","tel","ph","mob","day","wk","week","utc","gmt","myt","lt"},0)),NOT(OR(ISNUMBER(MATCH(LEFT(BN655,255),{"0000a","000a","00a","0000aa","000aa","00aa","0aa","0000aaa","000aaa","00a00","0a00","0000-0000","00:00","a00","a0","00.00.0000","00/00/0000","00-00-0000","0000-00-00","0000/00/00","0000.00.00","00.00.00","00/00/00","00-00-00","0.00.0000","0/00/0000","0-00-0000"},0)),ISNUMBER(MATCH(LEFT(BT655,255),{"0000a","000a","00a","0000aa","000aa","00aa","0aa","0000aaa","000aaa","00a00","0a00","0000-0000","00:00","a00","a0","00.00.0000","00/00/0000","00-00-0000","0000-00-00","0000/00/00","0000.00.00","00.00.00","00/00/00","00-00-00","0.00.0000","0/00/0000","0-00-0000"},0)))),NOT(OR(AND(BW655&lt;&gt;"",SUBSTITUTE(BW655,"0","")=""),AND(LEN(BW655)&gt;=4,BW655=REPT(LEFT(BW655),LEN(BW655))),ISNUMBER(MATCH(BW655,{"123","1234","12345","123456","1234567","12345678","0123","01234","012345","98765","987654","54321"},0)),ISNUMBER(MATCH(BX655,{"x","xx","xxx","xxxx","xxxxx","abc","abcd","nil","na","nan","test","tbc","tba","tbd","dummy","sample","example","eg","zz","zzz","none","null","xyz","qwe","asd","id","ref"},0)),AND(LEN(BW655)=8,BX655="",OR(LEFT(BW655,3)="202",ISNUMBER(MATCH(RIGHT(BW655,4),{"2025","2026","2027"},0)))))),OR(AND((LEN(BT655)-LEN(SUBSTITUTE(BT655,"a","")))&gt;=1,(LEN(BN655)-LEN(SUBSTITUTE(BN655,"0","")))&gt;=2,SUMPRODUCT(--ISNUMBER(SEARCH({"a0","a-0","a_0","a/0","a.0","a#0","0a","0-a","0_a","0/a"},BN655)))&gt;0),AND((LEN(BN655)-LEN(SUBSTITUTE(BN655,"a","")))=0,(LEN(BN655)-LEN(SUBSTITUTE(BN655,"0","")))&gt;=5)))),1,0),0)</f>
        <v>0</v>
      </c>
      <c r="CA6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655,"revision",""),"version",""),"jan",""),"feb",""),"mar",""),"apr",""),"may",""),"jun",""),"jul",""),"aug",""),"sep",""),"oct",""),"nov",""),"dec",""),"utc",""),"gmt",""),"myt",""),"bst",""),"rev",""),"ver",""),"b","a"),"c","a"),"d","a"),"e","a"),"f","a"),"g","a"),"h","a"),"i","a"),"j","a"),"k","a"),"l","a"),"m","a"),"n","a"),"o","a"),"p","a"),"q","a"),"r","a"),"s","a"),"t","a"),"u","a"),"v","a"),"w","a"),"x","a"),"y","a"),"z","a")</f>
        <v/>
      </c>
      <c r="CB65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655&amp;""),"a",""),"b",""),"c",""),"d",""),"e",""),"f",""),"g",""),"h",""),"i",""),"j",""),"k",""),"l",""),"m",""),"n",""),"o",""),"p",""),"q",""),"r",""),"s",""),"t",""),"u",""),"v",""),"w",""),"x",""),"y",""),"z",""),"-",""),"_",""),"/",""),".",""),"#",""),"\\",""),":","")," ",""),"(",""),")","")</f>
        <v/>
      </c>
      <c r="CC655" s="0" t="str">
        <f aca="false">" "&amp;TRIM(SUBSTITUTE(SUBSTITUTE(SUBSTITUTE(SUBSTITUTE(SUBSTITUTE(SUBSTITUTE(SUBSTITUTE(SUBSTITUTE(SUBSTITUTE(SUBSTITUTE(SUBSTITUTE(SUBSTITUTE(SUBSTITUTE(SUBSTITUTE(SUBSTITUTE(SUBSTITUTE(SUBSTITUTE(SUBSTITUTE(SUBSTITUTE(SUBSTITUTE(SUBSTITUTE(SUBSTITUTE(SUBSTITUTE(SUBSTITUTE(LOWER(T655&amp;""),CHAR(10)," "),CHAR(13)," "),CHAR(9)," "),CHAR(160)," "),"."," "),","," "),"-"," "),"/"," "),"("," "),")"," "),":"," "),";"," "),"_"," "),"–"," "),"?"," "),"!"," "),"*"," "),"["," "),"]"," "),"'"," "),"#"," "),"+"," "),"&amp;"," "),"\"," "))&amp;" "</f>
        <v>  </v>
      </c>
      <c r="CD655" s="0" t="str">
        <f aca="false">" "&amp;TRIM(SUBSTITUTE(SUBSTITUTE(SUBSTITUTE(SUBSTITUTE(SUBSTITUTE(SUBSTITUTE(SUBSTITUTE(SUBSTITUTE(SUBSTITUTE(SUBSTITUTE(SUBSTITUTE(SUBSTITUTE(SUBSTITUTE(SUBSTITUTE(SUBSTITUTE(SUBSTITUTE(SUBSTITUTE(SUBSTITUTE(SUBSTITUTE(SUBSTITUTE(SUBSTITUTE(SUBSTITUTE(SUBSTITUTE(SUBSTITUTE(LOWER(AE655&amp;""),CHAR(10)," "),CHAR(13)," "),CHAR(9)," "),CHAR(160)," "),"."," "),","," "),"-"," "),"/"," "),"("," "),")"," "),":"," "),";"," "),"_"," "),"–"," "),"?"," "),"!"," "),"*"," "),"["," "),"]"," "),"'"," "),"#"," "),"+"," "),"&amp;"," "),"\"," "))&amp;" "</f>
        <v>  </v>
      </c>
      <c r="CE655" s="68" t="n">
        <f aca="false">IFERROR(IF(AND(LEN(AU655)&gt;0,LEN(AU655)=LEN(AX655),OR(TRIM(MID(SUBSTITUTE(TRIM(CC655)," ",REPT(" ",60)),1,60))="",ISNUMBER(SEARCH(" "&amp;TRIM(MID(SUBSTITUTE(TRIM(CC655)," ",REPT(" ",60)),1,60))&amp;" ",CD655))),OR(TRIM(MID(SUBSTITUTE(TRIM(CC655)," ",REPT(" ",60)),61,60))="",ISNUMBER(SEARCH(" "&amp;TRIM(MID(SUBSTITUTE(TRIM(CC655)," ",REPT(" ",60)),61,60))&amp;" ",CD655))),OR(TRIM(MID(SUBSTITUTE(TRIM(CC655)," ",REPT(" ",60)),121,60))="",ISNUMBER(SEARCH(" "&amp;TRIM(MID(SUBSTITUTE(TRIM(CC655)," ",REPT(" ",60)),121,60))&amp;" ",CD655)))),1,0),0)</f>
        <v>0</v>
      </c>
      <c r="CG655" s="68" t="n">
        <f aca="false">IFERROR(LEN(SUBSTITUTE(BF655," ",""))-SUMPRODUCT((LEN(BF655)-LEN(SUBSTITUTE(BF655," "&amp;L_NAFiller&amp;" "," ")))/(LEN(L_NAFiller)+1)*LEN(L_NAFiller)),0)</f>
        <v>0</v>
      </c>
    </row>
    <row r="656" customFormat="false" ht="39.75" hidden="false" customHeight="true" outlineLevel="0" collapsed="false">
      <c r="A656" s="57" t="s">
        <v>1375</v>
      </c>
      <c r="B656" s="57" t="s">
        <v>304</v>
      </c>
      <c r="C656" s="57" t="str">
        <f aca="false">Flights!$F$24</f>
        <v>MH1450</v>
      </c>
      <c r="D656" s="58" t="n">
        <f aca="false">Flights!$D$24</f>
        <v>46324</v>
      </c>
      <c r="E656" s="57" t="str">
        <f aca="false">Flights!$G$24&amp;"-"&amp;Flights!$H$24</f>
        <v>KUL-LGK</v>
      </c>
      <c r="F656" s="57" t="str">
        <f aca="false">Flights!$K$24</f>
        <v>EY</v>
      </c>
      <c r="G656" s="57" t="s">
        <v>420</v>
      </c>
      <c r="H656" s="57" t="s">
        <v>378</v>
      </c>
      <c r="I656" s="57" t="s">
        <v>428</v>
      </c>
      <c r="J656" s="57" t="s">
        <v>429</v>
      </c>
      <c r="K656" s="67"/>
      <c r="L656" s="67" t="s">
        <v>422</v>
      </c>
      <c r="M656" s="67"/>
      <c r="N656" s="67" t="s">
        <v>383</v>
      </c>
      <c r="O656" s="67" t="s">
        <v>423</v>
      </c>
      <c r="P656" s="57" t="s">
        <v>187</v>
      </c>
      <c r="Q656" s="59" t="n">
        <f aca="false">ROUND((Flights!$AE$24)*1440,0)/1440</f>
        <v>46323.9375</v>
      </c>
      <c r="R656" s="59" t="n">
        <f aca="false">Q656+(IF(AND(INDEX(TZ_DSTS,MATCH(P656,TZ_STN,0))&lt;&gt;"",Q656&gt;=INDEX(TZ_DSTS,MATCH(P656,TZ_STN,0)),Q656&lt;INDEX(TZ_DSTE,MATCH(P656,TZ_STN,0))),INDEX(TZ_DST,MATCH(P656,TZ_STN,0)),INDEX(TZ_STD,MATCH(P656,TZ_STN,0))))/24</f>
        <v>46324.2708333333</v>
      </c>
      <c r="S656" s="60"/>
      <c r="T656" s="60"/>
      <c r="U656" s="60"/>
      <c r="V656" s="60"/>
      <c r="W656" s="61"/>
      <c r="X656" s="60"/>
      <c r="Y656" s="60"/>
      <c r="Z656" s="60"/>
      <c r="AA656" s="60"/>
      <c r="AB656" s="60"/>
      <c r="AC656" s="60"/>
      <c r="AD656" s="66"/>
      <c r="AE656" s="60"/>
      <c r="AF656" s="61" t="str">
        <f aca="false">IF(AND(ISNUMBER(X656),ISNUMBER(Y656)),Y656-X656,"")</f>
        <v/>
      </c>
      <c r="AG656" s="62" t="str">
        <f aca="false">IF(ISNUMBER(AD656),AD656-(IF(AND(INDEX(TZ_DSTS,MATCH(P656,TZ_STN,0))&lt;&gt;"",(AD656-INDEX(TZ_STD,MATCH(P656,TZ_STN,0))/24)&gt;=INDEX(TZ_DSTS,MATCH(P656,TZ_STN,0)),(AD656-INDEX(TZ_STD,MATCH(P656,TZ_STN,0))/24)&lt;INDEX(TZ_DSTE,MATCH(P656,TZ_STN,0))),INDEX(TZ_DST,MATCH(P656,TZ_STN,0)),INDEX(TZ_STD,MATCH(P656,TZ_STN,0))))/24,"")</f>
        <v/>
      </c>
      <c r="AH656" s="65" t="str">
        <f aca="false">IFERROR(IF(N656="N/A – rule",IF(OR(TRIM(U656)="",TRIM(U656)="N/A",TRIM(U656)="Not started"),"N/A – RULE","INVALID – this check does not apply to this aircraft: clear the status (or correct the fleet on Flights)"),IF(TRIM(U656)="N/A",IF(AT656=0,"INVALID – N/A not permitted for this check",IF(AND(TRIM(AB656)&lt;&gt;"",TRIM(AB656)&lt;&gt;"Closed"),"INVALID – corrective action still open",IF(AND(NOT(OR(LEN(AZ656)&lt;15,ISNUMBER(MATCH(AZ656,L_Placeholder,0)))),BK656=0,CG656&gt;=8,NOT(OR(LEN(AU656)&lt;2,ISNUMBER(MATCH(AU656,L_Placeholder,0)))),BR656&gt;=3,NOT(OR(LEN(AX656)&lt;2,ISNUMBER(MATCH(AX656,L_Placeholder,0)))),BS656&gt;=3,TRIM(AE656)&lt;&gt;TRIM(T656),AX656&lt;&gt;AU656,CE656=0),"N/A – JUSTIFIED","INVALID – N/A needs a real, settled reason (not 'not applicable' / 'as above' / TBC), a named PIC and a different named verifier"))),IF(OR(TRIM(U656)="Pass",TRIM(U656)="Pass after CA"),IF(NOT(ISNUMBER(AD656)),"INVALID – completion time missing",IF(OR(OR(LEN(AU656)&lt;2,ISNUMBER(MATCH(AU656,L_Placeholder,0))),BR656&lt;3),"INVALID – PIC missing or not a named person (a role such as QA / CSM is not a name)",IF(OR(LEN(AV656)&lt;2,ISNUMBER(MATCH(AV656,L_Placeholder,0))),"INVALID – result / assessment missing",IF(OR(OR(LEN(AW656)&lt;3,ISNUMBER(MATCH(AW656,L_Placeholder,0))),SUMPRODUCT(--ISNUMBER(SEARCH(" "&amp;L_EvidencePhrase&amp;" ",BD656)))&gt;0,BI656=1),"INVALID – evidence missing, placeholder or not yet on file",IF(ISNA(MATCH(TRIM(S656),L_EvidenceType,0)),"INVALID – choose the evidence type from the list (column S)",IF(BL656=0,"INVALID – evidence ID must be the record's own ID only (e.g. SF-2210, IMG_2231, 1045521); a link / file name needs type 'Link / file path'",IF(OR(OR(LEN(AX656)&lt;2,ISNUMBER(MATCH(AX656,L_Placeholder,0))),BS656&lt;3),"INVALID – verifier missing or not a named person (a role such as QA / CSM is not a name)",IF(OR(AX656=AU656,CE656=1,AND(LEN(AU656)&gt;=4,ISNUMBER(SEARCH(AU656,AX656))),AND(LEN(AX656)&gt;=4,ISNUMBER(SEARCH(AX656,AU656)))),"INVALID – verifier must be a different, named person (not the PIC or a role)",IF(BH656=1,"INVALID – result not yet available (awaiting / TBC)",IF(BG656=1,"INVALID – result describes a problem: record Fail, then Pass after CA (or reword if it is not a problem)",IF(BV656=1,"INVALID – wording says not on board: an on-board confirmation needs the item loaded",IF(AND(AQ656=1,OR(OR(LEN(AY656)&lt;3,ISNUMBER(MATCH(AY656,L_Placeholder,0))),BJ656=1,BQ656=0)),"INVALID – batch ID missing, placeholder or not an ID (e.g. PASB-261008-BC-017)",IF(AND(AR656=1,OR(NOT(ISNUMBER(X656)),NOT(ISNUMBER(Y656)))),"INVALID – expected/actual qty missing",IF(AND(AR656=1,OR(X656&lt;=0,Y656&lt;0)),"INVALID – expected qty must be above 0 and actual not negative",IF(BB656&lt;&gt;"",BB656,IF(AND(AS656=1,Documents!$J$24&lt;&gt;"ON FILE"),"INVALID – GLD not on file (Documents sheet)",IF(AND(AS656=2,Documents!$O$24&lt;&gt;"ON FILE"),"INVALID – menu checklist not on file (Documents sheet)",IF(AND(AS656=3,NOT(ISNUMBER(Flights!$AX$24))),"INVALID – enter carrying flight KUL departure (Flights AX)",IF(AND(AS656=3,OR(Flights!$AZ$24&gt;Flights!$AA$24,Flights!$AX$24&lt;Flights!$AA$24-3)),"INVALID – carrying flight (Flights AX) cannot arrive before this leg's STD, or is over 3 days early",IF(AG656&gt;AsOfUTC,"INVALID – completion time is in the future",IF(AND(ISNUMBER(BY656),AG656&lt;BY656),IF(H656="Physical uplift","INVALID – before uplift window (cannot confirm loading)","INVALID – before valid window"),IF(AG656&gt;Flights!$AA$24,"INVALID – completed after departure (cannot establish readiness)",IF(AND(H656="Preparation",AG656&gt;=IF(ISNUMBER(Flights!$BA$24),MIN(Flights!$BA$24,Flights!$AA$24),Flights!$AA$24)),"INVALID – completed after loading / departure (cannot establish readiness)",IF(AND(H656="Physical uplift",AG656&gt;Q656),"INVALID – recorded after the loading flight departed",IF(AG656&gt;Q656,"COMPLETE – LATE","COMPLETE"))))))))))))))))))))))))),IF(TRIM(U656)="Fail","FAIL – DISCREPANCY",IF(AND(TRIM(U656)&lt;&gt;"",TRIM(U656)&lt;&gt;"Not started",TRIM(U656)&lt;&gt;"In progress"),"INVALID – unrecognised status (use the list)",IF(AsOfUTC&gt;Q656,"OVERDUE",IF(N656="Clarification required","OPEN – CLARIFICATION","OPEN"))))))),"INVALID – error value in an input cell")</f>
        <v>OPEN</v>
      </c>
      <c r="AI656" s="61" t="n">
        <f aca="false">IF(OR(AH656="N/A – RULE",AH656="N/A – JUSTIFIED"),0,1)</f>
        <v>1</v>
      </c>
      <c r="AJ656" s="61" t="n">
        <f aca="false">IF(LEFT(AH656,8)="COMPLETE",1,0)</f>
        <v>0</v>
      </c>
      <c r="AK656" s="61" t="n">
        <f aca="false">IF(AND(AI656=1,AJ656=0,AsOfUTC&gt;Q656),1,0)</f>
        <v>0</v>
      </c>
      <c r="AL656" s="61" t="n">
        <f aca="false">IFERROR(IF(AND(AI656=1,OR(TRIM(U656)="Fail",AND(TRIM(AB656)&lt;&gt;"",TRIM(AB656)&lt;&gt;"Closed"),AND(ISNUMBER(AF656),AF656&lt;&gt;0,TRIM(U656)&lt;&gt;"Pass after CA"))),1,0),1)</f>
        <v>0</v>
      </c>
      <c r="AM656" s="61" t="n">
        <f aca="false">IF(LEFT(AH656,7)="INVALID",1,0)</f>
        <v>0</v>
      </c>
      <c r="AN656" s="61" t="n">
        <f aca="false">IF(AND(N656="Clarification required",AI656=1,AJ656=0),1,0)</f>
        <v>0</v>
      </c>
      <c r="AO656" s="61" t="str">
        <f aca="false">IF(AK656=1,SUM(AK$5:AK656),"")</f>
        <v/>
      </c>
      <c r="AP656" s="61" t="str">
        <f aca="false">IF(AL656=1,SUM(AL$5:AL656),"")</f>
        <v/>
      </c>
      <c r="AQ656" s="61" t="n">
        <v>0</v>
      </c>
      <c r="AR656" s="61" t="n">
        <v>0</v>
      </c>
      <c r="AS656" s="61" t="n">
        <v>0</v>
      </c>
      <c r="AT656" s="61" t="n">
        <v>0</v>
      </c>
      <c r="AU656" s="61" t="str">
        <f aca="false">SUBSTITUTE(SUBSTITUTE(SUBSTITUTE(SUBSTITUTE(SUBSTITUTE(SUBSTITUTE(SUBSTITUTE(SUBSTITUTE(SUBSTITUTE(SUBSTITUTE(SUBSTITUTE(SUBSTITUTE(SUBSTITUTE(SUBSTITUTE(SUBSTITUTE(SUBSTITUTE(LOWER(T656&amp;""),CHAR(10),""),CHAR(13),""),CHAR(9),""),CHAR(160),"")," ",""),".",""),"-",""),"/",""),"?",""),"_",""),",",""),"[",""),"]",""),"(",""),")",""),"*","")</f>
        <v/>
      </c>
      <c r="AV656" s="61" t="str">
        <f aca="false">SUBSTITUTE(SUBSTITUTE(SUBSTITUTE(SUBSTITUTE(SUBSTITUTE(SUBSTITUTE(SUBSTITUTE(SUBSTITUTE(SUBSTITUTE(SUBSTITUTE(SUBSTITUTE(SUBSTITUTE(SUBSTITUTE(SUBSTITUTE(SUBSTITUTE(SUBSTITUTE(LOWER(V656&amp;""),CHAR(10),""),CHAR(13),""),CHAR(9),""),CHAR(160),"")," ",""),".",""),"-",""),"/",""),"?",""),"_",""),",",""),"[",""),"]",""),"(",""),")",""),"*","")</f>
        <v/>
      </c>
      <c r="AW656" s="61" t="str">
        <f aca="false">SUBSTITUTE(SUBSTITUTE(SUBSTITUTE(SUBSTITUTE(SUBSTITUTE(SUBSTITUTE(SUBSTITUTE(SUBSTITUTE(SUBSTITUTE(SUBSTITUTE(SUBSTITUTE(SUBSTITUTE(SUBSTITUTE(SUBSTITUTE(SUBSTITUTE(SUBSTITUTE(LOWER(Z656&amp;""),CHAR(10),""),CHAR(13),""),CHAR(9),""),CHAR(160),"")," ",""),".",""),"-",""),"/",""),"?",""),"_",""),",",""),"[",""),"]",""),"(",""),")",""),"*","")</f>
        <v/>
      </c>
      <c r="AX656" s="61" t="str">
        <f aca="false">SUBSTITUTE(SUBSTITUTE(SUBSTITUTE(SUBSTITUTE(SUBSTITUTE(SUBSTITUTE(SUBSTITUTE(SUBSTITUTE(SUBSTITUTE(SUBSTITUTE(SUBSTITUTE(SUBSTITUTE(SUBSTITUTE(SUBSTITUTE(SUBSTITUTE(SUBSTITUTE(LOWER(AE656&amp;""),CHAR(10),""),CHAR(13),""),CHAR(9),""),CHAR(160),"")," ",""),".",""),"-",""),"/",""),"?",""),"_",""),",",""),"[",""),"]",""),"(",""),")",""),"*","")</f>
        <v/>
      </c>
      <c r="AY656" s="61" t="str">
        <f aca="false">SUBSTITUTE(SUBSTITUTE(SUBSTITUTE(SUBSTITUTE(SUBSTITUTE(SUBSTITUTE(SUBSTITUTE(SUBSTITUTE(SUBSTITUTE(SUBSTITUTE(SUBSTITUTE(SUBSTITUTE(SUBSTITUTE(SUBSTITUTE(SUBSTITUTE(SUBSTITUTE(LOWER(W656&amp;""),CHAR(10),""),CHAR(13),""),CHAR(9),""),CHAR(160),"")," ",""),".",""),"-",""),"/",""),"?",""),"_",""),",",""),"[",""),"]",""),"(",""),")",""),"*","")</f>
        <v/>
      </c>
      <c r="AZ656" s="61" t="str">
        <f aca="false">SUBSTITUTE(SUBSTITUTE(SUBSTITUTE(SUBSTITUTE(SUBSTITUTE(SUBSTITUTE(SUBSTITUTE(SUBSTITUTE(SUBSTITUTE(SUBSTITUTE(SUBSTITUTE(SUBSTITUTE(SUBSTITUTE(SUBSTITUTE(SUBSTITUTE(SUBSTITUTE(LOWER(AC656&amp;""),CHAR(10),""),CHAR(13),""),CHAR(9),""),CHAR(160),"")," ",""),".",""),"-",""),"/",""),"?",""),"_",""),",",""),"[",""),"]",""),"(",""),")",""),"*","")</f>
        <v/>
      </c>
      <c r="BA656" s="61" t="str">
        <f aca="false">SUBSTITUTE(SUBSTITUTE(SUBSTITUTE(SUBSTITUTE(SUBSTITUTE(SUBSTITUTE(SUBSTITUTE(SUBSTITUTE(SUBSTITUTE(SUBSTITUTE(SUBSTITUTE(SUBSTITUTE(SUBSTITUTE(SUBSTITUTE(SUBSTITUTE(SUBSTITUTE(LOWER(AA656&amp;""),CHAR(10),""),CHAR(13),""),CHAR(9),""),CHAR(160),"")," ",""),".",""),"-",""),"/",""),"?",""),"_",""),",",""),"[",""),"]",""),"(",""),")",""),"*","")</f>
        <v/>
      </c>
      <c r="BB656" s="61" t="str">
        <f aca="false">IF(AND(TRIM(U656)="Pass",ISNUMBER(AF656)),IF(AF656&lt;&gt;0,"INVALID – qty variance: use Fail or Pass after CA",""),"")&amp;IF(AND(TRIM(U656)="Pass after CA",ISNUMBER(AF656)),IF(AF656&lt;&gt;0,"INVALID – after the corrective action the actual qty must equal expected (update Actual)",""),"")&amp;IF(AND(TRIM(U656)="Pass",TRIM(AB656)&lt;&gt;"",TRIM(AB656)&lt;&gt;"Closed"),"INVALID – corrective action not closed: use Fail, then Pass after CA","")&amp;IF(AND(LEN(BA656)&gt;=2,ISNA(MATCH(LEFT(BA656,255),L_Placeholder,0)),TRIM(AB656)=""),"INVALID – CA status missing for the recorded corrective action","")&amp;IF(AND(TRIM(U656)="Pass after CA",OR(OR(LEN(BA656)&lt;5,ISNUMBER(MATCH(BA656,L_Placeholder,0))),TRIM(AB656)&lt;&gt;"Closed")),"INVALID – corrective action not recorded/closed","")</f>
        <v/>
      </c>
      <c r="BC656" s="61" t="str">
        <f aca="false">" "&amp;TRIM(SUBSTITUTE(SUBSTITUTE(SUBSTITUTE(SUBSTITUTE(SUBSTITUTE(SUBSTITUTE(SUBSTITUTE(SUBSTITUTE(SUBSTITUTE(SUBSTITUTE(SUBSTITUTE(SUBSTITUTE(SUBSTITUTE(SUBSTITUTE(SUBSTITUTE(SUBSTITUTE(SUBSTITUTE(SUBSTITUTE(SUBSTITUTE(SUBSTITUTE(SUBSTITUTE(SUBSTITUTE(SUBSTITUTE(SUBSTITUTE(LOWER(V656&amp;""),CHAR(10)," "),CHAR(13)," "),CHAR(9)," "),CHAR(160)," "),"."," "),","," "),"-"," "),"/"," "),"("," "),")"," "),":"," "),";"," "),"_"," "),"–"," "),"?"," "),"!"," "),"*"," "),"["," "),"]"," "),"'"," "),"#"," "),"+"," "),"&amp;"," "),"\"," "))&amp;" "</f>
        <v>  </v>
      </c>
      <c r="BD656" s="61" t="str">
        <f aca="false">" "&amp;TRIM(SUBSTITUTE(SUBSTITUTE(SUBSTITUTE(SUBSTITUTE(SUBSTITUTE(SUBSTITUTE(SUBSTITUTE(SUBSTITUTE(SUBSTITUTE(SUBSTITUTE(SUBSTITUTE(SUBSTITUTE(SUBSTITUTE(SUBSTITUTE(SUBSTITUTE(SUBSTITUTE(SUBSTITUTE(SUBSTITUTE(SUBSTITUTE(SUBSTITUTE(SUBSTITUTE(SUBSTITUTE(SUBSTITUTE(SUBSTITUTE(LOWER(Z656&amp;""),CHAR(10)," "),CHAR(13)," "),CHAR(9)," "),CHAR(160)," "),"."," "),","," "),"-"," "),"/"," "),"("," "),")"," "),":"," "),";"," "),"_"," "),"–"," "),"?"," "),"!"," "),"*"," "),"["," "),"]"," "),"'"," "),"#"," "),"+"," "),"&amp;"," "),"\"," "))&amp;" "</f>
        <v>  </v>
      </c>
      <c r="BE656" s="61" t="str">
        <f aca="false">" "&amp;TRIM(SUBSTITUTE(SUBSTITUTE(SUBSTITUTE(SUBSTITUTE(SUBSTITUTE(SUBSTITUTE(SUBSTITUTE(SUBSTITUTE(SUBSTITUTE(SUBSTITUTE(SUBSTITUTE(SUBSTITUTE(SUBSTITUTE(SUBSTITUTE(SUBSTITUTE(SUBSTITUTE(SUBSTITUTE(SUBSTITUTE(SUBSTITUTE(SUBSTITUTE(SUBSTITUTE(SUBSTITUTE(SUBSTITUTE(SUBSTITUTE(LOWER(W656&amp;""),CHAR(10)," "),CHAR(13)," "),CHAR(9)," "),CHAR(160)," "),"."," "),","," "),"-"," "),"/"," "),"("," "),")"," "),":"," "),";"," "),"_"," "),"–"," "),"?"," "),"!"," "),"*"," "),"["," "),"]"," "),"'"," "),"#"," "),"+"," "),"&amp;"," "),"\"," "))&amp;" "</f>
        <v>  </v>
      </c>
      <c r="BF656" s="61" t="str">
        <f aca="false">" "&amp;TRIM(SUBSTITUTE(SUBSTITUTE(SUBSTITUTE(SUBSTITUTE(SUBSTITUTE(SUBSTITUTE(SUBSTITUTE(SUBSTITUTE(SUBSTITUTE(SUBSTITUTE(SUBSTITUTE(SUBSTITUTE(SUBSTITUTE(SUBSTITUTE(SUBSTITUTE(SUBSTITUTE(SUBSTITUTE(SUBSTITUTE(SUBSTITUTE(SUBSTITUTE(SUBSTITUTE(SUBSTITUTE(SUBSTITUTE(SUBSTITUTE(LOWER(AC656&amp;""),CHAR(10)," "),CHAR(13)," "),CHAR(9)," "),CHAR(160)," "),"."," "),","," "),"-"," "),"/"," "),"("," "),")"," "),":"," "),";"," "),"_"," "),"–"," "),"?"," "),"!"," "),"*"," "),"["," "),"]"," "),"'"," "),"#"," "),"+"," "),"&amp;"," "),"\"," "))&amp;" "</f>
        <v>  </v>
      </c>
      <c r="BG656" s="61" t="n">
        <f aca="false">IFERROR(IF(AND(TRIM(U656)="Pass",SUMPRODUCT((LEN(BC656)-LEN(SUBSTITUTE(BC656," "&amp;L_ResultBad&amp;" "," ")))/(LEN(L_ResultBad)+1))&gt;SUMPRODUCT((LEN(BC656)-LEN(SUBSTITUTE(BC656," "&amp;L_NegPhrase&amp;" "," ")))/(LEN(L_NegPhrase)+1))),1,0),0)</f>
        <v>0</v>
      </c>
      <c r="BH656" s="61" t="n">
        <f aca="false">IFERROR(IF(SUMPRODUCT((LEN(BC656)-LEN(SUBSTITUTE(BC656," "&amp;L_Pending&amp;" "," ")))/(LEN(L_Pending)+1))&gt;SUMPRODUCT((LEN(BC656)-LEN(SUBSTITUTE(BC656," "&amp;L_PendNeg&amp;" "," ")))/(LEN(L_PendNeg)+1))+SUMPRODUCT((LEN(BC656)-LEN(SUBSTITUTE(BC656," "&amp;L_PendPrep&amp;" "," ")))/(LEN(L_PendPrep)+1)),1,0),1)</f>
        <v>0</v>
      </c>
      <c r="BI656" s="61" t="n">
        <f aca="false">IFERROR(IF(SUMPRODUCT((LEN(BD656)-LEN(SUBSTITUTE(BD656," "&amp;L_PendStrict&amp;" "," ")))/(LEN(L_PendStrict)+1))&gt;SUMPRODUCT((LEN(BD656)-LEN(SUBSTITUTE(BD656," "&amp;L_PendNeg&amp;" "," ")))/(LEN(L_PendNeg)+1)),1,0),1)</f>
        <v>0</v>
      </c>
      <c r="BJ656" s="61" t="n">
        <f aca="false">IFERROR(IF(SUMPRODUCT((LEN(BE656)-LEN(SUBSTITUTE(BE656," "&amp;L_Pending&amp;" "," ")))/(LEN(L_Pending)+1))&gt;SUMPRODUCT((LEN(BE656)-LEN(SUBSTITUTE(BE656," "&amp;L_PendNeg&amp;" "," ")))/(LEN(L_PendNeg)+1))+SUMPRODUCT((LEN(BE656)-LEN(SUBSTITUTE(BE656," "&amp;L_PendPrep&amp;" "," ")))/(LEN(L_PendPrep)+1)),1,0),1)</f>
        <v>0</v>
      </c>
      <c r="BK656" s="61" t="n">
        <f aca="false">IFERROR(IF(SUMPRODUCT((LEN(BF656)-LEN(SUBSTITUTE(BF656," "&amp;L_PendStrict&amp;" "," ")))/(LEN(L_PendStrict)+1))&gt;SUMPRODUCT((LEN(BF656)-LEN(SUBSTITUTE(BF656," "&amp;L_PendNeg&amp;" "," ")))/(LEN(L_PendNeg)+1)),1,0),1)</f>
        <v>0</v>
      </c>
      <c r="BL656" s="61" t="n">
        <f aca="false">IF(ISNA(MATCH(TRIM(S656),L_EvidenceType,0)),0,BZ656)</f>
        <v>0</v>
      </c>
      <c r="BM656" s="61" t="str">
        <f aca="false">SUBSTITUTE(SUBSTITUTE(SUBSTITUTE(SUBSTITUTE(SUBSTITUTE(SUBSTITUTE(SUBSTITUTE(SUBSTITUTE(SUBSTITUTE(LOWER(Z656&amp;""),"1","0"),"2","0"),"3","0"),"4","0"),"5","0"),"6","0"),"7","0"),"8","0"),"9","0")</f>
        <v/>
      </c>
      <c r="BN656" s="61" t="str">
        <f aca="false">SUBSTITUTE(SUBSTITUTE(SUBSTITUTE(SUBSTITUTE(SUBSTITUTE(SUBSTITUTE(SUBSTITUTE(SUBSTITUTE(SUBSTITUTE(SUBSTITUTE(SUBSTITUTE(SUBSTITUTE(SUBSTITUTE(SUBSTITUTE(SUBSTITUTE(SUBSTITUTE(SUBSTITUTE(SUBSTITUTE(SUBSTITUTE(SUBSTITUTE(SUBSTITUTE(SUBSTITUTE(SUBSTITUTE(SUBSTITUTE(SUBSTITUTE(BM656,"b","a"),"c","a"),"d","a"),"e","a"),"f","a"),"g","a"),"h","a"),"i","a"),"j","a"),"k","a"),"l","a"),"m","a"),"n","a"),"o","a"),"p","a"),"q","a"),"r","a"),"s","a"),"t","a"),"u","a"),"v","a"),"w","a"),"x","a"),"y","a"),"z","a")</f>
        <v/>
      </c>
      <c r="BO656" s="61" t="str">
        <f aca="false">SUBSTITUTE(SUBSTITUTE(SUBSTITUTE(SUBSTITUTE(SUBSTITUTE(SUBSTITUTE(SUBSTITUTE(SUBSTITUTE(SUBSTITUTE(LOWER(W656&amp;""),"1","0"),"2","0"),"3","0"),"4","0"),"5","0"),"6","0"),"7","0"),"8","0"),"9","0")</f>
        <v/>
      </c>
      <c r="BP656" s="61" t="str">
        <f aca="false">SUBSTITUTE(SUBSTITUTE(SUBSTITUTE(SUBSTITUTE(SUBSTITUTE(SUBSTITUTE(SUBSTITUTE(SUBSTITUTE(SUBSTITUTE(SUBSTITUTE(SUBSTITUTE(SUBSTITUTE(SUBSTITUTE(SUBSTITUTE(SUBSTITUTE(SUBSTITUTE(SUBSTITUTE(SUBSTITUTE(SUBSTITUTE(SUBSTITUTE(SUBSTITUTE(SUBSTITUTE(SUBSTITUTE(SUBSTITUTE(SUBSTITUTE(BO656,"b","a"),"c","a"),"d","a"),"e","a"),"f","a"),"g","a"),"h","a"),"i","a"),"j","a"),"k","a"),"l","a"),"m","a"),"n","a"),"o","a"),"p","a"),"q","a"),"r","a"),"s","a"),"t","a"),"u","a"),"v","a"),"w","a"),"x","a"),"y","a"),"z","a")</f>
        <v/>
      </c>
      <c r="BQ656" s="61" t="n">
        <f aca="false">IFERROR(IF(AND(ISERROR(SEARCH(" mh"," "&amp;LOWER(W656))),ISNA(MATCH(LEFT(TRIM(BP656),255),{"0000a","000a","00a","0000aa","000aa","00aa","0aa","0000aaa","000aaa","00a00","0a00","0000-0000","00:00","a00","a0","00.00.0000","00/00/0000","00-00-0000","0000-00-00","0000/00/00","0000.00.00","00.00.00","00/00/00","00-00-00","0.00.0000","0/00/0000","0-00-0000"},0)),ISNA(MATCH(LEFT(TRIM(CA656),255),{"0000a","000a","00a","0000aa","000aa","00aa","0aa","0000aaa","000aaa","00a00","0a00","0000-0000","00:00","a00","a0","00.00.0000","00/00/0000","00-00-0000","0000-00-00","0000/00/00","0000.00.00","00.00.00","00/00/00","00-00-00","0.00.0000","0/00/0000","0-00-0000"},0)),LEN(CB656)&gt;=3,NOT(OR(SUBSTITUTE(CB656,"0","")="",AND(LEN(CB656)&gt;=4,CB656=REPT(LEFT(CB656),LEN(CB656))),ISNUMBER(MATCH(CB656,{"123","1234","12345","123456","1234567","12345678","0123","01234","012345","98765","987654","54321"},0)),AND(LEN(CB656)=8,LEFT(CB656,3)="202"))),OR(AND((LEN(CA656)-LEN(SUBSTITUTE(CA656,"a","")))&gt;=1,SUMPRODUCT(--ISNUMBER(SEARCH({"a0","a-0","a_0","a/0","a.0","a#0","0a","0-a","0_a","0/a"},BP656)))&gt;0),ISNUMBER(SEARCH("000000",BP656)))),1,0),0)</f>
        <v>0</v>
      </c>
      <c r="BR656" s="61" t="n">
        <f aca="false">IFERROR(LEN(SUBSTITUTE(CC656," ",""))-SUMPRODUCT((LEN(CC656)-LEN(SUBSTITUTE(CC656," "&amp;L_Role&amp;" "," ")))/(LEN(L_Role)+1)*LEN(L_Role)),0)</f>
        <v>0</v>
      </c>
      <c r="BS656" s="61" t="n">
        <f aca="false">IFERROR(LEN(SUBSTITUTE(CD656," ",""))-SUMPRODUCT((LEN(CD656)-LEN(SUBSTITUTE(CD656," "&amp;L_Role&amp;" "," ")))/(LEN(L_Role)+1)*LEN(L_Role)),0)</f>
        <v>0</v>
      </c>
      <c r="BT6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656,"revision",""),"version",""),"jan",""),"feb",""),"mar",""),"apr",""),"may",""),"jun",""),"jul",""),"aug",""),"sep",""),"oct",""),"nov",""),"dec",""),"utc",""),"gmt",""),"myt",""),"bst",""),"rev",""),"ver",""),"b","a"),"c","a"),"d","a"),"e","a"),"f","a"),"g","a"),"h","a"),"i","a"),"j","a"),"k","a"),"l","a"),"m","a"),"n","a"),"o","a"),"p","a"),"q","a"),"r","a"),"s","a"),"t","a"),"u","a"),"v","a"),"w","a"),"x","a"),"y","a"),"z","a")</f>
        <v/>
      </c>
      <c r="BU656" s="61" t="str">
        <f aca="false">SUBSTITUTE(SUBSTITUTE(SUBSTITUTE(SUBSTITUTE(SUBSTITUTE(SUBSTITUTE(SUBSTITUTE(SUBSTITUTE(SUBSTITUTE(SUBSTITUTE(LEFT(BM656,FIND("0",BM656&amp;"0")-1),"-",""),"_",""),"/",""),".",""),"#",""),"\\",""),":","")," ",""),"(",""),")","")</f>
        <v/>
      </c>
      <c r="BV656" s="61" t="n">
        <f aca="false">0</f>
        <v>0</v>
      </c>
      <c r="BW65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656&amp;""),"a",""),"b",""),"c",""),"d",""),"e",""),"f",""),"g",""),"h",""),"i",""),"j",""),"k",""),"l",""),"m",""),"n",""),"o",""),"p",""),"q",""),"r",""),"s",""),"t",""),"u",""),"v",""),"w",""),"x",""),"y",""),"z",""),"-",""),"_",""),"/",""),".",""),"#",""),"\\",""),":","")," ",""),"(",""),")","")</f>
        <v/>
      </c>
      <c r="BX656" s="61" t="str">
        <f aca="false">SUBSTITUTE(SUBSTITUTE(SUBSTITUTE(SUBSTITUTE(SUBSTITUTE(SUBSTITUTE(SUBSTITUTE(SUBSTITUTE(SUBSTITUTE(SUBSTITUTE(SUBSTITUTE(BM656,"0",""),"-",""),"_",""),"/",""),".",""),"#",""),"\\",""),":","")," ",""),"(",""),")","")</f>
        <v/>
      </c>
      <c r="BY656" s="62" t="n">
        <f aca="false">Q656-T12EarlyH/24</f>
        <v>46323.4375</v>
      </c>
      <c r="BZ656" s="61" t="n">
        <f aca="false">IFERROR(IF(IF(TRIM(S656)="Link / file path",AND(LEN(TRIM(Z656))&gt;=5,SUMPRODUCT(--ISNUMBER(SEARCH({"http","www.","\\",":\",".pdf",".jpg",".jpeg",".png",".heic",".xls",".doc",".msg",".eml",".ppt",".txt",".zip"},Z656)))&gt;0),AND(ISERROR(FIND(" ",TRIM(Z656))),NOT(OR(SUMPRODUCT(--ISNUMBER(FIND({",",";","&amp;","+"},Z656)))&gt;0,SUMPRODUCT(--ISNUMBER(SEARCH({"0/aa","0\\aa"},BN656)))&gt;0)),NOT(SUMPRODUCT(--ISNUMBER(SEARCH({"http","www.","\\",":\",".pdf",".jpg",".jpeg",".png",".heic",".xls",".doc",".msg",".eml",".ppt",".txt",".zip"},Z656)))&gt;0),NOT(LOWER(TRIM(Z656))=LOWER(Flights!$F$24)),ISNA(MATCH(BU656,{"mh","rev","revision","ver","version","v","r","a","b","seat","tray","row","gate","bay","stand","page","pg","item","line","no","cart","galley","flight","flt","table","box","bag","oven","etd","eta","std","sta","atd","ata","qty","pax","x","time","tel","ph","mob","day","wk","week","utc","gmt","myt","lt"},0)),NOT(OR(ISNUMBER(MATCH(LEFT(BN656,255),{"0000a","000a","00a","0000aa","000aa","00aa","0aa","0000aaa","000aaa","00a00","0a00","0000-0000","00:00","a00","a0","00.00.0000","00/00/0000","00-00-0000","0000-00-00","0000/00/00","0000.00.00","00.00.00","00/00/00","00-00-00","0.00.0000","0/00/0000","0-00-0000"},0)),ISNUMBER(MATCH(LEFT(BT656,255),{"0000a","000a","00a","0000aa","000aa","00aa","0aa","0000aaa","000aaa","00a00","0a00","0000-0000","00:00","a00","a0","00.00.0000","00/00/0000","00-00-0000","0000-00-00","0000/00/00","0000.00.00","00.00.00","00/00/00","00-00-00","0.00.0000","0/00/0000","0-00-0000"},0)))),NOT(OR(AND(BW656&lt;&gt;"",SUBSTITUTE(BW656,"0","")=""),AND(LEN(BW656)&gt;=4,BW656=REPT(LEFT(BW656),LEN(BW656))),ISNUMBER(MATCH(BW656,{"123","1234","12345","123456","1234567","12345678","0123","01234","012345","98765","987654","54321"},0)),ISNUMBER(MATCH(BX656,{"x","xx","xxx","xxxx","xxxxx","abc","abcd","nil","na","nan","test","tbc","tba","tbd","dummy","sample","example","eg","zz","zzz","none","null","xyz","qwe","asd","id","ref"},0)),AND(LEN(BW656)=8,BX656="",OR(LEFT(BW656,3)="202",ISNUMBER(MATCH(RIGHT(BW656,4),{"2025","2026","2027"},0)))))),OR(AND((LEN(BT656)-LEN(SUBSTITUTE(BT656,"a","")))&gt;=1,(LEN(BN656)-LEN(SUBSTITUTE(BN656,"0","")))&gt;=2,SUMPRODUCT(--ISNUMBER(SEARCH({"a0","a-0","a_0","a/0","a.0","a#0","0a","0-a","0_a","0/a"},BN656)))&gt;0),AND((LEN(BN656)-LEN(SUBSTITUTE(BN656,"a","")))=0,(LEN(BN656)-LEN(SUBSTITUTE(BN656,"0","")))&gt;=5)))),1,0),0)</f>
        <v>0</v>
      </c>
      <c r="CA6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656,"revision",""),"version",""),"jan",""),"feb",""),"mar",""),"apr",""),"may",""),"jun",""),"jul",""),"aug",""),"sep",""),"oct",""),"nov",""),"dec",""),"utc",""),"gmt",""),"myt",""),"bst",""),"rev",""),"ver",""),"b","a"),"c","a"),"d","a"),"e","a"),"f","a"),"g","a"),"h","a"),"i","a"),"j","a"),"k","a"),"l","a"),"m","a"),"n","a"),"o","a"),"p","a"),"q","a"),"r","a"),"s","a"),"t","a"),"u","a"),"v","a"),"w","a"),"x","a"),"y","a"),"z","a")</f>
        <v/>
      </c>
      <c r="CB65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656&amp;""),"a",""),"b",""),"c",""),"d",""),"e",""),"f",""),"g",""),"h",""),"i",""),"j",""),"k",""),"l",""),"m",""),"n",""),"o",""),"p",""),"q",""),"r",""),"s",""),"t",""),"u",""),"v",""),"w",""),"x",""),"y",""),"z",""),"-",""),"_",""),"/",""),".",""),"#",""),"\\",""),":","")," ",""),"(",""),")","")</f>
        <v/>
      </c>
      <c r="CC656" s="0" t="str">
        <f aca="false">" "&amp;TRIM(SUBSTITUTE(SUBSTITUTE(SUBSTITUTE(SUBSTITUTE(SUBSTITUTE(SUBSTITUTE(SUBSTITUTE(SUBSTITUTE(SUBSTITUTE(SUBSTITUTE(SUBSTITUTE(SUBSTITUTE(SUBSTITUTE(SUBSTITUTE(SUBSTITUTE(SUBSTITUTE(SUBSTITUTE(SUBSTITUTE(SUBSTITUTE(SUBSTITUTE(SUBSTITUTE(SUBSTITUTE(SUBSTITUTE(SUBSTITUTE(LOWER(T656&amp;""),CHAR(10)," "),CHAR(13)," "),CHAR(9)," "),CHAR(160)," "),"."," "),","," "),"-"," "),"/"," "),"("," "),")"," "),":"," "),";"," "),"_"," "),"–"," "),"?"," "),"!"," "),"*"," "),"["," "),"]"," "),"'"," "),"#"," "),"+"," "),"&amp;"," "),"\"," "))&amp;" "</f>
        <v>  </v>
      </c>
      <c r="CD656" s="0" t="str">
        <f aca="false">" "&amp;TRIM(SUBSTITUTE(SUBSTITUTE(SUBSTITUTE(SUBSTITUTE(SUBSTITUTE(SUBSTITUTE(SUBSTITUTE(SUBSTITUTE(SUBSTITUTE(SUBSTITUTE(SUBSTITUTE(SUBSTITUTE(SUBSTITUTE(SUBSTITUTE(SUBSTITUTE(SUBSTITUTE(SUBSTITUTE(SUBSTITUTE(SUBSTITUTE(SUBSTITUTE(SUBSTITUTE(SUBSTITUTE(SUBSTITUTE(SUBSTITUTE(LOWER(AE656&amp;""),CHAR(10)," "),CHAR(13)," "),CHAR(9)," "),CHAR(160)," "),"."," "),","," "),"-"," "),"/"," "),"("," "),")"," "),":"," "),";"," "),"_"," "),"–"," "),"?"," "),"!"," "),"*"," "),"["," "),"]"," "),"'"," "),"#"," "),"+"," "),"&amp;"," "),"\"," "))&amp;" "</f>
        <v>  </v>
      </c>
      <c r="CE656" s="68" t="n">
        <f aca="false">IFERROR(IF(AND(LEN(AU656)&gt;0,LEN(AU656)=LEN(AX656),OR(TRIM(MID(SUBSTITUTE(TRIM(CC656)," ",REPT(" ",60)),1,60))="",ISNUMBER(SEARCH(" "&amp;TRIM(MID(SUBSTITUTE(TRIM(CC656)," ",REPT(" ",60)),1,60))&amp;" ",CD656))),OR(TRIM(MID(SUBSTITUTE(TRIM(CC656)," ",REPT(" ",60)),61,60))="",ISNUMBER(SEARCH(" "&amp;TRIM(MID(SUBSTITUTE(TRIM(CC656)," ",REPT(" ",60)),61,60))&amp;" ",CD656))),OR(TRIM(MID(SUBSTITUTE(TRIM(CC656)," ",REPT(" ",60)),121,60))="",ISNUMBER(SEARCH(" "&amp;TRIM(MID(SUBSTITUTE(TRIM(CC656)," ",REPT(" ",60)),121,60))&amp;" ",CD656)))),1,0),0)</f>
        <v>0</v>
      </c>
      <c r="CG656" s="68" t="n">
        <f aca="false">IFERROR(LEN(SUBSTITUTE(BF656," ",""))-SUMPRODUCT((LEN(BF656)-LEN(SUBSTITUTE(BF656," "&amp;L_NAFiller&amp;" "," ")))/(LEN(L_NAFiller)+1)*LEN(L_NAFiller)),0)</f>
        <v>0</v>
      </c>
    </row>
    <row r="657" customFormat="false" ht="39.75" hidden="false" customHeight="true" outlineLevel="0" collapsed="false">
      <c r="A657" s="57" t="s">
        <v>1376</v>
      </c>
      <c r="B657" s="57" t="s">
        <v>304</v>
      </c>
      <c r="C657" s="57" t="str">
        <f aca="false">Flights!$F$24</f>
        <v>MH1450</v>
      </c>
      <c r="D657" s="58" t="n">
        <f aca="false">Flights!$D$24</f>
        <v>46324</v>
      </c>
      <c r="E657" s="57" t="str">
        <f aca="false">Flights!$G$24&amp;"-"&amp;Flights!$H$24</f>
        <v>KUL-LGK</v>
      </c>
      <c r="F657" s="57" t="str">
        <f aca="false">Flights!$K$24</f>
        <v>EY</v>
      </c>
      <c r="G657" s="57" t="s">
        <v>420</v>
      </c>
      <c r="H657" s="57" t="s">
        <v>378</v>
      </c>
      <c r="I657" s="57" t="s">
        <v>428</v>
      </c>
      <c r="J657" s="57" t="s">
        <v>431</v>
      </c>
      <c r="K657" s="67"/>
      <c r="L657" s="67" t="s">
        <v>422</v>
      </c>
      <c r="M657" s="67"/>
      <c r="N657" s="67" t="s">
        <v>383</v>
      </c>
      <c r="O657" s="67" t="s">
        <v>423</v>
      </c>
      <c r="P657" s="57" t="s">
        <v>187</v>
      </c>
      <c r="Q657" s="59" t="n">
        <f aca="false">ROUND((Flights!$AE$24)*1440,0)/1440</f>
        <v>46323.9375</v>
      </c>
      <c r="R657" s="59" t="n">
        <f aca="false">Q657+(IF(AND(INDEX(TZ_DSTS,MATCH(P657,TZ_STN,0))&lt;&gt;"",Q657&gt;=INDEX(TZ_DSTS,MATCH(P657,TZ_STN,0)),Q657&lt;INDEX(TZ_DSTE,MATCH(P657,TZ_STN,0))),INDEX(TZ_DST,MATCH(P657,TZ_STN,0)),INDEX(TZ_STD,MATCH(P657,TZ_STN,0))))/24</f>
        <v>46324.2708333333</v>
      </c>
      <c r="S657" s="60"/>
      <c r="T657" s="60"/>
      <c r="U657" s="60"/>
      <c r="V657" s="60"/>
      <c r="W657" s="61"/>
      <c r="X657" s="60"/>
      <c r="Y657" s="60"/>
      <c r="Z657" s="60"/>
      <c r="AA657" s="60"/>
      <c r="AB657" s="60"/>
      <c r="AC657" s="60"/>
      <c r="AD657" s="66"/>
      <c r="AE657" s="60"/>
      <c r="AF657" s="61" t="str">
        <f aca="false">IF(AND(ISNUMBER(X657),ISNUMBER(Y657)),Y657-X657,"")</f>
        <v/>
      </c>
      <c r="AG657" s="62" t="str">
        <f aca="false">IF(ISNUMBER(AD657),AD657-(IF(AND(INDEX(TZ_DSTS,MATCH(P657,TZ_STN,0))&lt;&gt;"",(AD657-INDEX(TZ_STD,MATCH(P657,TZ_STN,0))/24)&gt;=INDEX(TZ_DSTS,MATCH(P657,TZ_STN,0)),(AD657-INDEX(TZ_STD,MATCH(P657,TZ_STN,0))/24)&lt;INDEX(TZ_DSTE,MATCH(P657,TZ_STN,0))),INDEX(TZ_DST,MATCH(P657,TZ_STN,0)),INDEX(TZ_STD,MATCH(P657,TZ_STN,0))))/24,"")</f>
        <v/>
      </c>
      <c r="AH657" s="65" t="str">
        <f aca="false">IFERROR(IF(N657="N/A – rule",IF(OR(TRIM(U657)="",TRIM(U657)="N/A",TRIM(U657)="Not started"),"N/A – RULE","INVALID – this check does not apply to this aircraft: clear the status (or correct the fleet on Flights)"),IF(TRIM(U657)="N/A",IF(AT657=0,"INVALID – N/A not permitted for this check",IF(AND(TRIM(AB657)&lt;&gt;"",TRIM(AB657)&lt;&gt;"Closed"),"INVALID – corrective action still open",IF(AND(NOT(OR(LEN(AZ657)&lt;15,ISNUMBER(MATCH(AZ657,L_Placeholder,0)))),BK657=0,CG657&gt;=8,NOT(OR(LEN(AU657)&lt;2,ISNUMBER(MATCH(AU657,L_Placeholder,0)))),BR657&gt;=3,NOT(OR(LEN(AX657)&lt;2,ISNUMBER(MATCH(AX657,L_Placeholder,0)))),BS657&gt;=3,TRIM(AE657)&lt;&gt;TRIM(T657),AX657&lt;&gt;AU657,CE657=0),"N/A – JUSTIFIED","INVALID – N/A needs a real, settled reason (not 'not applicable' / 'as above' / TBC), a named PIC and a different named verifier"))),IF(OR(TRIM(U657)="Pass",TRIM(U657)="Pass after CA"),IF(NOT(ISNUMBER(AD657)),"INVALID – completion time missing",IF(OR(OR(LEN(AU657)&lt;2,ISNUMBER(MATCH(AU657,L_Placeholder,0))),BR657&lt;3),"INVALID – PIC missing or not a named person (a role such as QA / CSM is not a name)",IF(OR(LEN(AV657)&lt;2,ISNUMBER(MATCH(AV657,L_Placeholder,0))),"INVALID – result / assessment missing",IF(OR(OR(LEN(AW657)&lt;3,ISNUMBER(MATCH(AW657,L_Placeholder,0))),SUMPRODUCT(--ISNUMBER(SEARCH(" "&amp;L_EvidencePhrase&amp;" ",BD657)))&gt;0,BI657=1),"INVALID – evidence missing, placeholder or not yet on file",IF(ISNA(MATCH(TRIM(S657),L_EvidenceType,0)),"INVALID – choose the evidence type from the list (column S)",IF(BL657=0,"INVALID – evidence ID must be the record's own ID only (e.g. SF-2210, IMG_2231, 1045521); a link / file name needs type 'Link / file path'",IF(OR(OR(LEN(AX657)&lt;2,ISNUMBER(MATCH(AX657,L_Placeholder,0))),BS657&lt;3),"INVALID – verifier missing or not a named person (a role such as QA / CSM is not a name)",IF(OR(AX657=AU657,CE657=1,AND(LEN(AU657)&gt;=4,ISNUMBER(SEARCH(AU657,AX657))),AND(LEN(AX657)&gt;=4,ISNUMBER(SEARCH(AX657,AU657)))),"INVALID – verifier must be a different, named person (not the PIC or a role)",IF(BH657=1,"INVALID – result not yet available (awaiting / TBC)",IF(BG657=1,"INVALID – result describes a problem: record Fail, then Pass after CA (or reword if it is not a problem)",IF(BV657=1,"INVALID – wording says not on board: an on-board confirmation needs the item loaded",IF(AND(AQ657=1,OR(OR(LEN(AY657)&lt;3,ISNUMBER(MATCH(AY657,L_Placeholder,0))),BJ657=1,BQ657=0)),"INVALID – batch ID missing, placeholder or not an ID (e.g. PASB-261008-BC-017)",IF(AND(AR657=1,OR(NOT(ISNUMBER(X657)),NOT(ISNUMBER(Y657)))),"INVALID – expected/actual qty missing",IF(AND(AR657=1,OR(X657&lt;=0,Y657&lt;0)),"INVALID – expected qty must be above 0 and actual not negative",IF(BB657&lt;&gt;"",BB657,IF(AND(AS657=1,Documents!$J$24&lt;&gt;"ON FILE"),"INVALID – GLD not on file (Documents sheet)",IF(AND(AS657=2,Documents!$O$24&lt;&gt;"ON FILE"),"INVALID – menu checklist not on file (Documents sheet)",IF(AND(AS657=3,NOT(ISNUMBER(Flights!$AX$24))),"INVALID – enter carrying flight KUL departure (Flights AX)",IF(AND(AS657=3,OR(Flights!$AZ$24&gt;Flights!$AA$24,Flights!$AX$24&lt;Flights!$AA$24-3)),"INVALID – carrying flight (Flights AX) cannot arrive before this leg's STD, or is over 3 days early",IF(AG657&gt;AsOfUTC,"INVALID – completion time is in the future",IF(AND(ISNUMBER(BY657),AG657&lt;BY657),IF(H657="Physical uplift","INVALID – before uplift window (cannot confirm loading)","INVALID – before valid window"),IF(AG657&gt;Flights!$AA$24,"INVALID – completed after departure (cannot establish readiness)",IF(AND(H657="Preparation",AG657&gt;=IF(ISNUMBER(Flights!$BA$24),MIN(Flights!$BA$24,Flights!$AA$24),Flights!$AA$24)),"INVALID – completed after loading / departure (cannot establish readiness)",IF(AND(H657="Physical uplift",AG657&gt;Q657),"INVALID – recorded after the loading flight departed",IF(AG657&gt;Q657,"COMPLETE – LATE","COMPLETE"))))))))))))))))))))))))),IF(TRIM(U657)="Fail","FAIL – DISCREPANCY",IF(AND(TRIM(U657)&lt;&gt;"",TRIM(U657)&lt;&gt;"Not started",TRIM(U657)&lt;&gt;"In progress"),"INVALID – unrecognised status (use the list)",IF(AsOfUTC&gt;Q657,"OVERDUE",IF(N657="Clarification required","OPEN – CLARIFICATION","OPEN"))))))),"INVALID – error value in an input cell")</f>
        <v>OPEN</v>
      </c>
      <c r="AI657" s="61" t="n">
        <f aca="false">IF(OR(AH657="N/A – RULE",AH657="N/A – JUSTIFIED"),0,1)</f>
        <v>1</v>
      </c>
      <c r="AJ657" s="61" t="n">
        <f aca="false">IF(LEFT(AH657,8)="COMPLETE",1,0)</f>
        <v>0</v>
      </c>
      <c r="AK657" s="61" t="n">
        <f aca="false">IF(AND(AI657=1,AJ657=0,AsOfUTC&gt;Q657),1,0)</f>
        <v>0</v>
      </c>
      <c r="AL657" s="61" t="n">
        <f aca="false">IFERROR(IF(AND(AI657=1,OR(TRIM(U657)="Fail",AND(TRIM(AB657)&lt;&gt;"",TRIM(AB657)&lt;&gt;"Closed"),AND(ISNUMBER(AF657),AF657&lt;&gt;0,TRIM(U657)&lt;&gt;"Pass after CA"))),1,0),1)</f>
        <v>0</v>
      </c>
      <c r="AM657" s="61" t="n">
        <f aca="false">IF(LEFT(AH657,7)="INVALID",1,0)</f>
        <v>0</v>
      </c>
      <c r="AN657" s="61" t="n">
        <f aca="false">IF(AND(N657="Clarification required",AI657=1,AJ657=0),1,0)</f>
        <v>0</v>
      </c>
      <c r="AO657" s="61" t="str">
        <f aca="false">IF(AK657=1,SUM(AK$5:AK657),"")</f>
        <v/>
      </c>
      <c r="AP657" s="61" t="str">
        <f aca="false">IF(AL657=1,SUM(AL$5:AL657),"")</f>
        <v/>
      </c>
      <c r="AQ657" s="61" t="n">
        <v>0</v>
      </c>
      <c r="AR657" s="61" t="n">
        <v>0</v>
      </c>
      <c r="AS657" s="61" t="n">
        <v>0</v>
      </c>
      <c r="AT657" s="61" t="n">
        <v>0</v>
      </c>
      <c r="AU657" s="61" t="str">
        <f aca="false">SUBSTITUTE(SUBSTITUTE(SUBSTITUTE(SUBSTITUTE(SUBSTITUTE(SUBSTITUTE(SUBSTITUTE(SUBSTITUTE(SUBSTITUTE(SUBSTITUTE(SUBSTITUTE(SUBSTITUTE(SUBSTITUTE(SUBSTITUTE(SUBSTITUTE(SUBSTITUTE(LOWER(T657&amp;""),CHAR(10),""),CHAR(13),""),CHAR(9),""),CHAR(160),"")," ",""),".",""),"-",""),"/",""),"?",""),"_",""),",",""),"[",""),"]",""),"(",""),")",""),"*","")</f>
        <v/>
      </c>
      <c r="AV657" s="61" t="str">
        <f aca="false">SUBSTITUTE(SUBSTITUTE(SUBSTITUTE(SUBSTITUTE(SUBSTITUTE(SUBSTITUTE(SUBSTITUTE(SUBSTITUTE(SUBSTITUTE(SUBSTITUTE(SUBSTITUTE(SUBSTITUTE(SUBSTITUTE(SUBSTITUTE(SUBSTITUTE(SUBSTITUTE(LOWER(V657&amp;""),CHAR(10),""),CHAR(13),""),CHAR(9),""),CHAR(160),"")," ",""),".",""),"-",""),"/",""),"?",""),"_",""),",",""),"[",""),"]",""),"(",""),")",""),"*","")</f>
        <v/>
      </c>
      <c r="AW657" s="61" t="str">
        <f aca="false">SUBSTITUTE(SUBSTITUTE(SUBSTITUTE(SUBSTITUTE(SUBSTITUTE(SUBSTITUTE(SUBSTITUTE(SUBSTITUTE(SUBSTITUTE(SUBSTITUTE(SUBSTITUTE(SUBSTITUTE(SUBSTITUTE(SUBSTITUTE(SUBSTITUTE(SUBSTITUTE(LOWER(Z657&amp;""),CHAR(10),""),CHAR(13),""),CHAR(9),""),CHAR(160),"")," ",""),".",""),"-",""),"/",""),"?",""),"_",""),",",""),"[",""),"]",""),"(",""),")",""),"*","")</f>
        <v/>
      </c>
      <c r="AX657" s="61" t="str">
        <f aca="false">SUBSTITUTE(SUBSTITUTE(SUBSTITUTE(SUBSTITUTE(SUBSTITUTE(SUBSTITUTE(SUBSTITUTE(SUBSTITUTE(SUBSTITUTE(SUBSTITUTE(SUBSTITUTE(SUBSTITUTE(SUBSTITUTE(SUBSTITUTE(SUBSTITUTE(SUBSTITUTE(LOWER(AE657&amp;""),CHAR(10),""),CHAR(13),""),CHAR(9),""),CHAR(160),"")," ",""),".",""),"-",""),"/",""),"?",""),"_",""),",",""),"[",""),"]",""),"(",""),")",""),"*","")</f>
        <v/>
      </c>
      <c r="AY657" s="61" t="str">
        <f aca="false">SUBSTITUTE(SUBSTITUTE(SUBSTITUTE(SUBSTITUTE(SUBSTITUTE(SUBSTITUTE(SUBSTITUTE(SUBSTITUTE(SUBSTITUTE(SUBSTITUTE(SUBSTITUTE(SUBSTITUTE(SUBSTITUTE(SUBSTITUTE(SUBSTITUTE(SUBSTITUTE(LOWER(W657&amp;""),CHAR(10),""),CHAR(13),""),CHAR(9),""),CHAR(160),"")," ",""),".",""),"-",""),"/",""),"?",""),"_",""),",",""),"[",""),"]",""),"(",""),")",""),"*","")</f>
        <v/>
      </c>
      <c r="AZ657" s="61" t="str">
        <f aca="false">SUBSTITUTE(SUBSTITUTE(SUBSTITUTE(SUBSTITUTE(SUBSTITUTE(SUBSTITUTE(SUBSTITUTE(SUBSTITUTE(SUBSTITUTE(SUBSTITUTE(SUBSTITUTE(SUBSTITUTE(SUBSTITUTE(SUBSTITUTE(SUBSTITUTE(SUBSTITUTE(LOWER(AC657&amp;""),CHAR(10),""),CHAR(13),""),CHAR(9),""),CHAR(160),"")," ",""),".",""),"-",""),"/",""),"?",""),"_",""),",",""),"[",""),"]",""),"(",""),")",""),"*","")</f>
        <v/>
      </c>
      <c r="BA657" s="61" t="str">
        <f aca="false">SUBSTITUTE(SUBSTITUTE(SUBSTITUTE(SUBSTITUTE(SUBSTITUTE(SUBSTITUTE(SUBSTITUTE(SUBSTITUTE(SUBSTITUTE(SUBSTITUTE(SUBSTITUTE(SUBSTITUTE(SUBSTITUTE(SUBSTITUTE(SUBSTITUTE(SUBSTITUTE(LOWER(AA657&amp;""),CHAR(10),""),CHAR(13),""),CHAR(9),""),CHAR(160),"")," ",""),".",""),"-",""),"/",""),"?",""),"_",""),",",""),"[",""),"]",""),"(",""),")",""),"*","")</f>
        <v/>
      </c>
      <c r="BB657" s="61" t="str">
        <f aca="false">IF(AND(TRIM(U657)="Pass",ISNUMBER(AF657)),IF(AF657&lt;&gt;0,"INVALID – qty variance: use Fail or Pass after CA",""),"")&amp;IF(AND(TRIM(U657)="Pass after CA",ISNUMBER(AF657)),IF(AF657&lt;&gt;0,"INVALID – after the corrective action the actual qty must equal expected (update Actual)",""),"")&amp;IF(AND(TRIM(U657)="Pass",TRIM(AB657)&lt;&gt;"",TRIM(AB657)&lt;&gt;"Closed"),"INVALID – corrective action not closed: use Fail, then Pass after CA","")&amp;IF(AND(LEN(BA657)&gt;=2,ISNA(MATCH(LEFT(BA657,255),L_Placeholder,0)),TRIM(AB657)=""),"INVALID – CA status missing for the recorded corrective action","")&amp;IF(AND(TRIM(U657)="Pass after CA",OR(OR(LEN(BA657)&lt;5,ISNUMBER(MATCH(BA657,L_Placeholder,0))),TRIM(AB657)&lt;&gt;"Closed")),"INVALID – corrective action not recorded/closed","")</f>
        <v/>
      </c>
      <c r="BC657" s="61" t="str">
        <f aca="false">" "&amp;TRIM(SUBSTITUTE(SUBSTITUTE(SUBSTITUTE(SUBSTITUTE(SUBSTITUTE(SUBSTITUTE(SUBSTITUTE(SUBSTITUTE(SUBSTITUTE(SUBSTITUTE(SUBSTITUTE(SUBSTITUTE(SUBSTITUTE(SUBSTITUTE(SUBSTITUTE(SUBSTITUTE(SUBSTITUTE(SUBSTITUTE(SUBSTITUTE(SUBSTITUTE(SUBSTITUTE(SUBSTITUTE(SUBSTITUTE(SUBSTITUTE(LOWER(V657&amp;""),CHAR(10)," "),CHAR(13)," "),CHAR(9)," "),CHAR(160)," "),"."," "),","," "),"-"," "),"/"," "),"("," "),")"," "),":"," "),";"," "),"_"," "),"–"," "),"?"," "),"!"," "),"*"," "),"["," "),"]"," "),"'"," "),"#"," "),"+"," "),"&amp;"," "),"\"," "))&amp;" "</f>
        <v>  </v>
      </c>
      <c r="BD657" s="61" t="str">
        <f aca="false">" "&amp;TRIM(SUBSTITUTE(SUBSTITUTE(SUBSTITUTE(SUBSTITUTE(SUBSTITUTE(SUBSTITUTE(SUBSTITUTE(SUBSTITUTE(SUBSTITUTE(SUBSTITUTE(SUBSTITUTE(SUBSTITUTE(SUBSTITUTE(SUBSTITUTE(SUBSTITUTE(SUBSTITUTE(SUBSTITUTE(SUBSTITUTE(SUBSTITUTE(SUBSTITUTE(SUBSTITUTE(SUBSTITUTE(SUBSTITUTE(SUBSTITUTE(LOWER(Z657&amp;""),CHAR(10)," "),CHAR(13)," "),CHAR(9)," "),CHAR(160)," "),"."," "),","," "),"-"," "),"/"," "),"("," "),")"," "),":"," "),";"," "),"_"," "),"–"," "),"?"," "),"!"," "),"*"," "),"["," "),"]"," "),"'"," "),"#"," "),"+"," "),"&amp;"," "),"\"," "))&amp;" "</f>
        <v>  </v>
      </c>
      <c r="BE657" s="61" t="str">
        <f aca="false">" "&amp;TRIM(SUBSTITUTE(SUBSTITUTE(SUBSTITUTE(SUBSTITUTE(SUBSTITUTE(SUBSTITUTE(SUBSTITUTE(SUBSTITUTE(SUBSTITUTE(SUBSTITUTE(SUBSTITUTE(SUBSTITUTE(SUBSTITUTE(SUBSTITUTE(SUBSTITUTE(SUBSTITUTE(SUBSTITUTE(SUBSTITUTE(SUBSTITUTE(SUBSTITUTE(SUBSTITUTE(SUBSTITUTE(SUBSTITUTE(SUBSTITUTE(LOWER(W657&amp;""),CHAR(10)," "),CHAR(13)," "),CHAR(9)," "),CHAR(160)," "),"."," "),","," "),"-"," "),"/"," "),"("," "),")"," "),":"," "),";"," "),"_"," "),"–"," "),"?"," "),"!"," "),"*"," "),"["," "),"]"," "),"'"," "),"#"," "),"+"," "),"&amp;"," "),"\"," "))&amp;" "</f>
        <v>  </v>
      </c>
      <c r="BF657" s="61" t="str">
        <f aca="false">" "&amp;TRIM(SUBSTITUTE(SUBSTITUTE(SUBSTITUTE(SUBSTITUTE(SUBSTITUTE(SUBSTITUTE(SUBSTITUTE(SUBSTITUTE(SUBSTITUTE(SUBSTITUTE(SUBSTITUTE(SUBSTITUTE(SUBSTITUTE(SUBSTITUTE(SUBSTITUTE(SUBSTITUTE(SUBSTITUTE(SUBSTITUTE(SUBSTITUTE(SUBSTITUTE(SUBSTITUTE(SUBSTITUTE(SUBSTITUTE(SUBSTITUTE(LOWER(AC657&amp;""),CHAR(10)," "),CHAR(13)," "),CHAR(9)," "),CHAR(160)," "),"."," "),","," "),"-"," "),"/"," "),"("," "),")"," "),":"," "),";"," "),"_"," "),"–"," "),"?"," "),"!"," "),"*"," "),"["," "),"]"," "),"'"," "),"#"," "),"+"," "),"&amp;"," "),"\"," "))&amp;" "</f>
        <v>  </v>
      </c>
      <c r="BG657" s="61" t="n">
        <f aca="false">IFERROR(IF(AND(TRIM(U657)="Pass",SUMPRODUCT((LEN(BC657)-LEN(SUBSTITUTE(BC657," "&amp;L_ResultBad&amp;" "," ")))/(LEN(L_ResultBad)+1))&gt;SUMPRODUCT((LEN(BC657)-LEN(SUBSTITUTE(BC657," "&amp;L_NegPhrase&amp;" "," ")))/(LEN(L_NegPhrase)+1))),1,0),0)</f>
        <v>0</v>
      </c>
      <c r="BH657" s="61" t="n">
        <f aca="false">IFERROR(IF(SUMPRODUCT((LEN(BC657)-LEN(SUBSTITUTE(BC657," "&amp;L_Pending&amp;" "," ")))/(LEN(L_Pending)+1))&gt;SUMPRODUCT((LEN(BC657)-LEN(SUBSTITUTE(BC657," "&amp;L_PendNeg&amp;" "," ")))/(LEN(L_PendNeg)+1))+SUMPRODUCT((LEN(BC657)-LEN(SUBSTITUTE(BC657," "&amp;L_PendPrep&amp;" "," ")))/(LEN(L_PendPrep)+1)),1,0),1)</f>
        <v>0</v>
      </c>
      <c r="BI657" s="61" t="n">
        <f aca="false">IFERROR(IF(SUMPRODUCT((LEN(BD657)-LEN(SUBSTITUTE(BD657," "&amp;L_PendStrict&amp;" "," ")))/(LEN(L_PendStrict)+1))&gt;SUMPRODUCT((LEN(BD657)-LEN(SUBSTITUTE(BD657," "&amp;L_PendNeg&amp;" "," ")))/(LEN(L_PendNeg)+1)),1,0),1)</f>
        <v>0</v>
      </c>
      <c r="BJ657" s="61" t="n">
        <f aca="false">IFERROR(IF(SUMPRODUCT((LEN(BE657)-LEN(SUBSTITUTE(BE657," "&amp;L_Pending&amp;" "," ")))/(LEN(L_Pending)+1))&gt;SUMPRODUCT((LEN(BE657)-LEN(SUBSTITUTE(BE657," "&amp;L_PendNeg&amp;" "," ")))/(LEN(L_PendNeg)+1))+SUMPRODUCT((LEN(BE657)-LEN(SUBSTITUTE(BE657," "&amp;L_PendPrep&amp;" "," ")))/(LEN(L_PendPrep)+1)),1,0),1)</f>
        <v>0</v>
      </c>
      <c r="BK657" s="61" t="n">
        <f aca="false">IFERROR(IF(SUMPRODUCT((LEN(BF657)-LEN(SUBSTITUTE(BF657," "&amp;L_PendStrict&amp;" "," ")))/(LEN(L_PendStrict)+1))&gt;SUMPRODUCT((LEN(BF657)-LEN(SUBSTITUTE(BF657," "&amp;L_PendNeg&amp;" "," ")))/(LEN(L_PendNeg)+1)),1,0),1)</f>
        <v>0</v>
      </c>
      <c r="BL657" s="61" t="n">
        <f aca="false">IF(ISNA(MATCH(TRIM(S657),L_EvidenceType,0)),0,BZ657)</f>
        <v>0</v>
      </c>
      <c r="BM657" s="61" t="str">
        <f aca="false">SUBSTITUTE(SUBSTITUTE(SUBSTITUTE(SUBSTITUTE(SUBSTITUTE(SUBSTITUTE(SUBSTITUTE(SUBSTITUTE(SUBSTITUTE(LOWER(Z657&amp;""),"1","0"),"2","0"),"3","0"),"4","0"),"5","0"),"6","0"),"7","0"),"8","0"),"9","0")</f>
        <v/>
      </c>
      <c r="BN657" s="61" t="str">
        <f aca="false">SUBSTITUTE(SUBSTITUTE(SUBSTITUTE(SUBSTITUTE(SUBSTITUTE(SUBSTITUTE(SUBSTITUTE(SUBSTITUTE(SUBSTITUTE(SUBSTITUTE(SUBSTITUTE(SUBSTITUTE(SUBSTITUTE(SUBSTITUTE(SUBSTITUTE(SUBSTITUTE(SUBSTITUTE(SUBSTITUTE(SUBSTITUTE(SUBSTITUTE(SUBSTITUTE(SUBSTITUTE(SUBSTITUTE(SUBSTITUTE(SUBSTITUTE(BM657,"b","a"),"c","a"),"d","a"),"e","a"),"f","a"),"g","a"),"h","a"),"i","a"),"j","a"),"k","a"),"l","a"),"m","a"),"n","a"),"o","a"),"p","a"),"q","a"),"r","a"),"s","a"),"t","a"),"u","a"),"v","a"),"w","a"),"x","a"),"y","a"),"z","a")</f>
        <v/>
      </c>
      <c r="BO657" s="61" t="str">
        <f aca="false">SUBSTITUTE(SUBSTITUTE(SUBSTITUTE(SUBSTITUTE(SUBSTITUTE(SUBSTITUTE(SUBSTITUTE(SUBSTITUTE(SUBSTITUTE(LOWER(W657&amp;""),"1","0"),"2","0"),"3","0"),"4","0"),"5","0"),"6","0"),"7","0"),"8","0"),"9","0")</f>
        <v/>
      </c>
      <c r="BP657" s="61" t="str">
        <f aca="false">SUBSTITUTE(SUBSTITUTE(SUBSTITUTE(SUBSTITUTE(SUBSTITUTE(SUBSTITUTE(SUBSTITUTE(SUBSTITUTE(SUBSTITUTE(SUBSTITUTE(SUBSTITUTE(SUBSTITUTE(SUBSTITUTE(SUBSTITUTE(SUBSTITUTE(SUBSTITUTE(SUBSTITUTE(SUBSTITUTE(SUBSTITUTE(SUBSTITUTE(SUBSTITUTE(SUBSTITUTE(SUBSTITUTE(SUBSTITUTE(SUBSTITUTE(BO657,"b","a"),"c","a"),"d","a"),"e","a"),"f","a"),"g","a"),"h","a"),"i","a"),"j","a"),"k","a"),"l","a"),"m","a"),"n","a"),"o","a"),"p","a"),"q","a"),"r","a"),"s","a"),"t","a"),"u","a"),"v","a"),"w","a"),"x","a"),"y","a"),"z","a")</f>
        <v/>
      </c>
      <c r="BQ657" s="61" t="n">
        <f aca="false">IFERROR(IF(AND(ISERROR(SEARCH(" mh"," "&amp;LOWER(W657))),ISNA(MATCH(LEFT(TRIM(BP657),255),{"0000a","000a","00a","0000aa","000aa","00aa","0aa","0000aaa","000aaa","00a00","0a00","0000-0000","00:00","a00","a0","00.00.0000","00/00/0000","00-00-0000","0000-00-00","0000/00/00","0000.00.00","00.00.00","00/00/00","00-00-00","0.00.0000","0/00/0000","0-00-0000"},0)),ISNA(MATCH(LEFT(TRIM(CA657),255),{"0000a","000a","00a","0000aa","000aa","00aa","0aa","0000aaa","000aaa","00a00","0a00","0000-0000","00:00","a00","a0","00.00.0000","00/00/0000","00-00-0000","0000-00-00","0000/00/00","0000.00.00","00.00.00","00/00/00","00-00-00","0.00.0000","0/00/0000","0-00-0000"},0)),LEN(CB657)&gt;=3,NOT(OR(SUBSTITUTE(CB657,"0","")="",AND(LEN(CB657)&gt;=4,CB657=REPT(LEFT(CB657),LEN(CB657))),ISNUMBER(MATCH(CB657,{"123","1234","12345","123456","1234567","12345678","0123","01234","012345","98765","987654","54321"},0)),AND(LEN(CB657)=8,LEFT(CB657,3)="202"))),OR(AND((LEN(CA657)-LEN(SUBSTITUTE(CA657,"a","")))&gt;=1,SUMPRODUCT(--ISNUMBER(SEARCH({"a0","a-0","a_0","a/0","a.0","a#0","0a","0-a","0_a","0/a"},BP657)))&gt;0),ISNUMBER(SEARCH("000000",BP657)))),1,0),0)</f>
        <v>0</v>
      </c>
      <c r="BR657" s="61" t="n">
        <f aca="false">IFERROR(LEN(SUBSTITUTE(CC657," ",""))-SUMPRODUCT((LEN(CC657)-LEN(SUBSTITUTE(CC657," "&amp;L_Role&amp;" "," ")))/(LEN(L_Role)+1)*LEN(L_Role)),0)</f>
        <v>0</v>
      </c>
      <c r="BS657" s="61" t="n">
        <f aca="false">IFERROR(LEN(SUBSTITUTE(CD657," ",""))-SUMPRODUCT((LEN(CD657)-LEN(SUBSTITUTE(CD657," "&amp;L_Role&amp;" "," ")))/(LEN(L_Role)+1)*LEN(L_Role)),0)</f>
        <v>0</v>
      </c>
      <c r="BT6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657,"revision",""),"version",""),"jan",""),"feb",""),"mar",""),"apr",""),"may",""),"jun",""),"jul",""),"aug",""),"sep",""),"oct",""),"nov",""),"dec",""),"utc",""),"gmt",""),"myt",""),"bst",""),"rev",""),"ver",""),"b","a"),"c","a"),"d","a"),"e","a"),"f","a"),"g","a"),"h","a"),"i","a"),"j","a"),"k","a"),"l","a"),"m","a"),"n","a"),"o","a"),"p","a"),"q","a"),"r","a"),"s","a"),"t","a"),"u","a"),"v","a"),"w","a"),"x","a"),"y","a"),"z","a")</f>
        <v/>
      </c>
      <c r="BU657" s="61" t="str">
        <f aca="false">SUBSTITUTE(SUBSTITUTE(SUBSTITUTE(SUBSTITUTE(SUBSTITUTE(SUBSTITUTE(SUBSTITUTE(SUBSTITUTE(SUBSTITUTE(SUBSTITUTE(LEFT(BM657,FIND("0",BM657&amp;"0")-1),"-",""),"_",""),"/",""),".",""),"#",""),"\\",""),":","")," ",""),"(",""),")","")</f>
        <v/>
      </c>
      <c r="BV657" s="61" t="n">
        <f aca="false">0</f>
        <v>0</v>
      </c>
      <c r="BW65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657&amp;""),"a",""),"b",""),"c",""),"d",""),"e",""),"f",""),"g",""),"h",""),"i",""),"j",""),"k",""),"l",""),"m",""),"n",""),"o",""),"p",""),"q",""),"r",""),"s",""),"t",""),"u",""),"v",""),"w",""),"x",""),"y",""),"z",""),"-",""),"_",""),"/",""),".",""),"#",""),"\\",""),":","")," ",""),"(",""),")","")</f>
        <v/>
      </c>
      <c r="BX657" s="61" t="str">
        <f aca="false">SUBSTITUTE(SUBSTITUTE(SUBSTITUTE(SUBSTITUTE(SUBSTITUTE(SUBSTITUTE(SUBSTITUTE(SUBSTITUTE(SUBSTITUTE(SUBSTITUTE(SUBSTITUTE(BM657,"0",""),"-",""),"_",""),"/",""),".",""),"#",""),"\\",""),":","")," ",""),"(",""),")","")</f>
        <v/>
      </c>
      <c r="BY657" s="62" t="n">
        <f aca="false">Q657-T12EarlyH/24</f>
        <v>46323.4375</v>
      </c>
      <c r="BZ657" s="61" t="n">
        <f aca="false">IFERROR(IF(IF(TRIM(S657)="Link / file path",AND(LEN(TRIM(Z657))&gt;=5,SUMPRODUCT(--ISNUMBER(SEARCH({"http","www.","\\",":\",".pdf",".jpg",".jpeg",".png",".heic",".xls",".doc",".msg",".eml",".ppt",".txt",".zip"},Z657)))&gt;0),AND(ISERROR(FIND(" ",TRIM(Z657))),NOT(OR(SUMPRODUCT(--ISNUMBER(FIND({",",";","&amp;","+"},Z657)))&gt;0,SUMPRODUCT(--ISNUMBER(SEARCH({"0/aa","0\\aa"},BN657)))&gt;0)),NOT(SUMPRODUCT(--ISNUMBER(SEARCH({"http","www.","\\",":\",".pdf",".jpg",".jpeg",".png",".heic",".xls",".doc",".msg",".eml",".ppt",".txt",".zip"},Z657)))&gt;0),NOT(LOWER(TRIM(Z657))=LOWER(Flights!$F$24)),ISNA(MATCH(BU657,{"mh","rev","revision","ver","version","v","r","a","b","seat","tray","row","gate","bay","stand","page","pg","item","line","no","cart","galley","flight","flt","table","box","bag","oven","etd","eta","std","sta","atd","ata","qty","pax","x","time","tel","ph","mob","day","wk","week","utc","gmt","myt","lt"},0)),NOT(OR(ISNUMBER(MATCH(LEFT(BN657,255),{"0000a","000a","00a","0000aa","000aa","00aa","0aa","0000aaa","000aaa","00a00","0a00","0000-0000","00:00","a00","a0","00.00.0000","00/00/0000","00-00-0000","0000-00-00","0000/00/00","0000.00.00","00.00.00","00/00/00","00-00-00","0.00.0000","0/00/0000","0-00-0000"},0)),ISNUMBER(MATCH(LEFT(BT657,255),{"0000a","000a","00a","0000aa","000aa","00aa","0aa","0000aaa","000aaa","00a00","0a00","0000-0000","00:00","a00","a0","00.00.0000","00/00/0000","00-00-0000","0000-00-00","0000/00/00","0000.00.00","00.00.00","00/00/00","00-00-00","0.00.0000","0/00/0000","0-00-0000"},0)))),NOT(OR(AND(BW657&lt;&gt;"",SUBSTITUTE(BW657,"0","")=""),AND(LEN(BW657)&gt;=4,BW657=REPT(LEFT(BW657),LEN(BW657))),ISNUMBER(MATCH(BW657,{"123","1234","12345","123456","1234567","12345678","0123","01234","012345","98765","987654","54321"},0)),ISNUMBER(MATCH(BX657,{"x","xx","xxx","xxxx","xxxxx","abc","abcd","nil","na","nan","test","tbc","tba","tbd","dummy","sample","example","eg","zz","zzz","none","null","xyz","qwe","asd","id","ref"},0)),AND(LEN(BW657)=8,BX657="",OR(LEFT(BW657,3)="202",ISNUMBER(MATCH(RIGHT(BW657,4),{"2025","2026","2027"},0)))))),OR(AND((LEN(BT657)-LEN(SUBSTITUTE(BT657,"a","")))&gt;=1,(LEN(BN657)-LEN(SUBSTITUTE(BN657,"0","")))&gt;=2,SUMPRODUCT(--ISNUMBER(SEARCH({"a0","a-0","a_0","a/0","a.0","a#0","0a","0-a","0_a","0/a"},BN657)))&gt;0),AND((LEN(BN657)-LEN(SUBSTITUTE(BN657,"a","")))=0,(LEN(BN657)-LEN(SUBSTITUTE(BN657,"0","")))&gt;=5)))),1,0),0)</f>
        <v>0</v>
      </c>
      <c r="CA6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657,"revision",""),"version",""),"jan",""),"feb",""),"mar",""),"apr",""),"may",""),"jun",""),"jul",""),"aug",""),"sep",""),"oct",""),"nov",""),"dec",""),"utc",""),"gmt",""),"myt",""),"bst",""),"rev",""),"ver",""),"b","a"),"c","a"),"d","a"),"e","a"),"f","a"),"g","a"),"h","a"),"i","a"),"j","a"),"k","a"),"l","a"),"m","a"),"n","a"),"o","a"),"p","a"),"q","a"),"r","a"),"s","a"),"t","a"),"u","a"),"v","a"),"w","a"),"x","a"),"y","a"),"z","a")</f>
        <v/>
      </c>
      <c r="CB65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657&amp;""),"a",""),"b",""),"c",""),"d",""),"e",""),"f",""),"g",""),"h",""),"i",""),"j",""),"k",""),"l",""),"m",""),"n",""),"o",""),"p",""),"q",""),"r",""),"s",""),"t",""),"u",""),"v",""),"w",""),"x",""),"y",""),"z",""),"-",""),"_",""),"/",""),".",""),"#",""),"\\",""),":","")," ",""),"(",""),")","")</f>
        <v/>
      </c>
      <c r="CC657" s="0" t="str">
        <f aca="false">" "&amp;TRIM(SUBSTITUTE(SUBSTITUTE(SUBSTITUTE(SUBSTITUTE(SUBSTITUTE(SUBSTITUTE(SUBSTITUTE(SUBSTITUTE(SUBSTITUTE(SUBSTITUTE(SUBSTITUTE(SUBSTITUTE(SUBSTITUTE(SUBSTITUTE(SUBSTITUTE(SUBSTITUTE(SUBSTITUTE(SUBSTITUTE(SUBSTITUTE(SUBSTITUTE(SUBSTITUTE(SUBSTITUTE(SUBSTITUTE(SUBSTITUTE(LOWER(T657&amp;""),CHAR(10)," "),CHAR(13)," "),CHAR(9)," "),CHAR(160)," "),"."," "),","," "),"-"," "),"/"," "),"("," "),")"," "),":"," "),";"," "),"_"," "),"–"," "),"?"," "),"!"," "),"*"," "),"["," "),"]"," "),"'"," "),"#"," "),"+"," "),"&amp;"," "),"\"," "))&amp;" "</f>
        <v>  </v>
      </c>
      <c r="CD657" s="0" t="str">
        <f aca="false">" "&amp;TRIM(SUBSTITUTE(SUBSTITUTE(SUBSTITUTE(SUBSTITUTE(SUBSTITUTE(SUBSTITUTE(SUBSTITUTE(SUBSTITUTE(SUBSTITUTE(SUBSTITUTE(SUBSTITUTE(SUBSTITUTE(SUBSTITUTE(SUBSTITUTE(SUBSTITUTE(SUBSTITUTE(SUBSTITUTE(SUBSTITUTE(SUBSTITUTE(SUBSTITUTE(SUBSTITUTE(SUBSTITUTE(SUBSTITUTE(SUBSTITUTE(LOWER(AE657&amp;""),CHAR(10)," "),CHAR(13)," "),CHAR(9)," "),CHAR(160)," "),"."," "),","," "),"-"," "),"/"," "),"("," "),")"," "),":"," "),";"," "),"_"," "),"–"," "),"?"," "),"!"," "),"*"," "),"["," "),"]"," "),"'"," "),"#"," "),"+"," "),"&amp;"," "),"\"," "))&amp;" "</f>
        <v>  </v>
      </c>
      <c r="CE657" s="68" t="n">
        <f aca="false">IFERROR(IF(AND(LEN(AU657)&gt;0,LEN(AU657)=LEN(AX657),OR(TRIM(MID(SUBSTITUTE(TRIM(CC657)," ",REPT(" ",60)),1,60))="",ISNUMBER(SEARCH(" "&amp;TRIM(MID(SUBSTITUTE(TRIM(CC657)," ",REPT(" ",60)),1,60))&amp;" ",CD657))),OR(TRIM(MID(SUBSTITUTE(TRIM(CC657)," ",REPT(" ",60)),61,60))="",ISNUMBER(SEARCH(" "&amp;TRIM(MID(SUBSTITUTE(TRIM(CC657)," ",REPT(" ",60)),61,60))&amp;" ",CD657))),OR(TRIM(MID(SUBSTITUTE(TRIM(CC657)," ",REPT(" ",60)),121,60))="",ISNUMBER(SEARCH(" "&amp;TRIM(MID(SUBSTITUTE(TRIM(CC657)," ",REPT(" ",60)),121,60))&amp;" ",CD657)))),1,0),0)</f>
        <v>0</v>
      </c>
      <c r="CG657" s="68" t="n">
        <f aca="false">IFERROR(LEN(SUBSTITUTE(BF657," ",""))-SUMPRODUCT((LEN(BF657)-LEN(SUBSTITUTE(BF657," "&amp;L_NAFiller&amp;" "," ")))/(LEN(L_NAFiller)+1)*LEN(L_NAFiller)),0)</f>
        <v>0</v>
      </c>
    </row>
    <row r="658" customFormat="false" ht="39.75" hidden="false" customHeight="true" outlineLevel="0" collapsed="false">
      <c r="A658" s="57" t="s">
        <v>1377</v>
      </c>
      <c r="B658" s="57" t="s">
        <v>304</v>
      </c>
      <c r="C658" s="57" t="str">
        <f aca="false">Flights!$F$24</f>
        <v>MH1450</v>
      </c>
      <c r="D658" s="58" t="n">
        <f aca="false">Flights!$D$24</f>
        <v>46324</v>
      </c>
      <c r="E658" s="57" t="str">
        <f aca="false">Flights!$G$24&amp;"-"&amp;Flights!$H$24</f>
        <v>KUL-LGK</v>
      </c>
      <c r="F658" s="57" t="str">
        <f aca="false">Flights!$K$24</f>
        <v>EY</v>
      </c>
      <c r="G658" s="57" t="s">
        <v>420</v>
      </c>
      <c r="H658" s="57" t="s">
        <v>378</v>
      </c>
      <c r="I658" s="57" t="s">
        <v>428</v>
      </c>
      <c r="J658" s="57" t="s">
        <v>433</v>
      </c>
      <c r="K658" s="67"/>
      <c r="L658" s="67" t="s">
        <v>422</v>
      </c>
      <c r="M658" s="67"/>
      <c r="N658" s="67" t="s">
        <v>383</v>
      </c>
      <c r="O658" s="67" t="s">
        <v>423</v>
      </c>
      <c r="P658" s="57" t="s">
        <v>187</v>
      </c>
      <c r="Q658" s="59" t="n">
        <f aca="false">ROUND((Flights!$AE$24)*1440,0)/1440</f>
        <v>46323.9375</v>
      </c>
      <c r="R658" s="59" t="n">
        <f aca="false">Q658+(IF(AND(INDEX(TZ_DSTS,MATCH(P658,TZ_STN,0))&lt;&gt;"",Q658&gt;=INDEX(TZ_DSTS,MATCH(P658,TZ_STN,0)),Q658&lt;INDEX(TZ_DSTE,MATCH(P658,TZ_STN,0))),INDEX(TZ_DST,MATCH(P658,TZ_STN,0)),INDEX(TZ_STD,MATCH(P658,TZ_STN,0))))/24</f>
        <v>46324.2708333333</v>
      </c>
      <c r="S658" s="60"/>
      <c r="T658" s="60"/>
      <c r="U658" s="60"/>
      <c r="V658" s="60"/>
      <c r="W658" s="61"/>
      <c r="X658" s="60"/>
      <c r="Y658" s="60"/>
      <c r="Z658" s="60"/>
      <c r="AA658" s="60"/>
      <c r="AB658" s="60"/>
      <c r="AC658" s="60"/>
      <c r="AD658" s="66"/>
      <c r="AE658" s="60"/>
      <c r="AF658" s="61" t="str">
        <f aca="false">IF(AND(ISNUMBER(X658),ISNUMBER(Y658)),Y658-X658,"")</f>
        <v/>
      </c>
      <c r="AG658" s="62" t="str">
        <f aca="false">IF(ISNUMBER(AD658),AD658-(IF(AND(INDEX(TZ_DSTS,MATCH(P658,TZ_STN,0))&lt;&gt;"",(AD658-INDEX(TZ_STD,MATCH(P658,TZ_STN,0))/24)&gt;=INDEX(TZ_DSTS,MATCH(P658,TZ_STN,0)),(AD658-INDEX(TZ_STD,MATCH(P658,TZ_STN,0))/24)&lt;INDEX(TZ_DSTE,MATCH(P658,TZ_STN,0))),INDEX(TZ_DST,MATCH(P658,TZ_STN,0)),INDEX(TZ_STD,MATCH(P658,TZ_STN,0))))/24,"")</f>
        <v/>
      </c>
      <c r="AH658" s="65" t="str">
        <f aca="false">IFERROR(IF(N658="N/A – rule",IF(OR(TRIM(U658)="",TRIM(U658)="N/A",TRIM(U658)="Not started"),"N/A – RULE","INVALID – this check does not apply to this aircraft: clear the status (or correct the fleet on Flights)"),IF(TRIM(U658)="N/A",IF(AT658=0,"INVALID – N/A not permitted for this check",IF(AND(TRIM(AB658)&lt;&gt;"",TRIM(AB658)&lt;&gt;"Closed"),"INVALID – corrective action still open",IF(AND(NOT(OR(LEN(AZ658)&lt;15,ISNUMBER(MATCH(AZ658,L_Placeholder,0)))),BK658=0,CG658&gt;=8,NOT(OR(LEN(AU658)&lt;2,ISNUMBER(MATCH(AU658,L_Placeholder,0)))),BR658&gt;=3,NOT(OR(LEN(AX658)&lt;2,ISNUMBER(MATCH(AX658,L_Placeholder,0)))),BS658&gt;=3,TRIM(AE658)&lt;&gt;TRIM(T658),AX658&lt;&gt;AU658,CE658=0),"N/A – JUSTIFIED","INVALID – N/A needs a real, settled reason (not 'not applicable' / 'as above' / TBC), a named PIC and a different named verifier"))),IF(OR(TRIM(U658)="Pass",TRIM(U658)="Pass after CA"),IF(NOT(ISNUMBER(AD658)),"INVALID – completion time missing",IF(OR(OR(LEN(AU658)&lt;2,ISNUMBER(MATCH(AU658,L_Placeholder,0))),BR658&lt;3),"INVALID – PIC missing or not a named person (a role such as QA / CSM is not a name)",IF(OR(LEN(AV658)&lt;2,ISNUMBER(MATCH(AV658,L_Placeholder,0))),"INVALID – result / assessment missing",IF(OR(OR(LEN(AW658)&lt;3,ISNUMBER(MATCH(AW658,L_Placeholder,0))),SUMPRODUCT(--ISNUMBER(SEARCH(" "&amp;L_EvidencePhrase&amp;" ",BD658)))&gt;0,BI658=1),"INVALID – evidence missing, placeholder or not yet on file",IF(ISNA(MATCH(TRIM(S658),L_EvidenceType,0)),"INVALID – choose the evidence type from the list (column S)",IF(BL658=0,"INVALID – evidence ID must be the record's own ID only (e.g. SF-2210, IMG_2231, 1045521); a link / file name needs type 'Link / file path'",IF(OR(OR(LEN(AX658)&lt;2,ISNUMBER(MATCH(AX658,L_Placeholder,0))),BS658&lt;3),"INVALID – verifier missing or not a named person (a role such as QA / CSM is not a name)",IF(OR(AX658=AU658,CE658=1,AND(LEN(AU658)&gt;=4,ISNUMBER(SEARCH(AU658,AX658))),AND(LEN(AX658)&gt;=4,ISNUMBER(SEARCH(AX658,AU658)))),"INVALID – verifier must be a different, named person (not the PIC or a role)",IF(BH658=1,"INVALID – result not yet available (awaiting / TBC)",IF(BG658=1,"INVALID – result describes a problem: record Fail, then Pass after CA (or reword if it is not a problem)",IF(BV658=1,"INVALID – wording says not on board: an on-board confirmation needs the item loaded",IF(AND(AQ658=1,OR(OR(LEN(AY658)&lt;3,ISNUMBER(MATCH(AY658,L_Placeholder,0))),BJ658=1,BQ658=0)),"INVALID – batch ID missing, placeholder or not an ID (e.g. PASB-261008-BC-017)",IF(AND(AR658=1,OR(NOT(ISNUMBER(X658)),NOT(ISNUMBER(Y658)))),"INVALID – expected/actual qty missing",IF(AND(AR658=1,OR(X658&lt;=0,Y658&lt;0)),"INVALID – expected qty must be above 0 and actual not negative",IF(BB658&lt;&gt;"",BB658,IF(AND(AS658=1,Documents!$J$24&lt;&gt;"ON FILE"),"INVALID – GLD not on file (Documents sheet)",IF(AND(AS658=2,Documents!$O$24&lt;&gt;"ON FILE"),"INVALID – menu checklist not on file (Documents sheet)",IF(AND(AS658=3,NOT(ISNUMBER(Flights!$AX$24))),"INVALID – enter carrying flight KUL departure (Flights AX)",IF(AND(AS658=3,OR(Flights!$AZ$24&gt;Flights!$AA$24,Flights!$AX$24&lt;Flights!$AA$24-3)),"INVALID – carrying flight (Flights AX) cannot arrive before this leg's STD, or is over 3 days early",IF(AG658&gt;AsOfUTC,"INVALID – completion time is in the future",IF(AND(ISNUMBER(BY658),AG658&lt;BY658),IF(H658="Physical uplift","INVALID – before uplift window (cannot confirm loading)","INVALID – before valid window"),IF(AG658&gt;Flights!$AA$24,"INVALID – completed after departure (cannot establish readiness)",IF(AND(H658="Preparation",AG658&gt;=IF(ISNUMBER(Flights!$BA$24),MIN(Flights!$BA$24,Flights!$AA$24),Flights!$AA$24)),"INVALID – completed after loading / departure (cannot establish readiness)",IF(AND(H658="Physical uplift",AG658&gt;Q658),"INVALID – recorded after the loading flight departed",IF(AG658&gt;Q658,"COMPLETE – LATE","COMPLETE"))))))))))))))))))))))))),IF(TRIM(U658)="Fail","FAIL – DISCREPANCY",IF(AND(TRIM(U658)&lt;&gt;"",TRIM(U658)&lt;&gt;"Not started",TRIM(U658)&lt;&gt;"In progress"),"INVALID – unrecognised status (use the list)",IF(AsOfUTC&gt;Q658,"OVERDUE",IF(N658="Clarification required","OPEN – CLARIFICATION","OPEN"))))))),"INVALID – error value in an input cell")</f>
        <v>OPEN</v>
      </c>
      <c r="AI658" s="61" t="n">
        <f aca="false">IF(OR(AH658="N/A – RULE",AH658="N/A – JUSTIFIED"),0,1)</f>
        <v>1</v>
      </c>
      <c r="AJ658" s="61" t="n">
        <f aca="false">IF(LEFT(AH658,8)="COMPLETE",1,0)</f>
        <v>0</v>
      </c>
      <c r="AK658" s="61" t="n">
        <f aca="false">IF(AND(AI658=1,AJ658=0,AsOfUTC&gt;Q658),1,0)</f>
        <v>0</v>
      </c>
      <c r="AL658" s="61" t="n">
        <f aca="false">IFERROR(IF(AND(AI658=1,OR(TRIM(U658)="Fail",AND(TRIM(AB658)&lt;&gt;"",TRIM(AB658)&lt;&gt;"Closed"),AND(ISNUMBER(AF658),AF658&lt;&gt;0,TRIM(U658)&lt;&gt;"Pass after CA"))),1,0),1)</f>
        <v>0</v>
      </c>
      <c r="AM658" s="61" t="n">
        <f aca="false">IF(LEFT(AH658,7)="INVALID",1,0)</f>
        <v>0</v>
      </c>
      <c r="AN658" s="61" t="n">
        <f aca="false">IF(AND(N658="Clarification required",AI658=1,AJ658=0),1,0)</f>
        <v>0</v>
      </c>
      <c r="AO658" s="61" t="str">
        <f aca="false">IF(AK658=1,SUM(AK$5:AK658),"")</f>
        <v/>
      </c>
      <c r="AP658" s="61" t="str">
        <f aca="false">IF(AL658=1,SUM(AL$5:AL658),"")</f>
        <v/>
      </c>
      <c r="AQ658" s="61" t="n">
        <v>0</v>
      </c>
      <c r="AR658" s="61" t="n">
        <v>0</v>
      </c>
      <c r="AS658" s="61" t="n">
        <v>0</v>
      </c>
      <c r="AT658" s="61" t="n">
        <v>0</v>
      </c>
      <c r="AU658" s="61" t="str">
        <f aca="false">SUBSTITUTE(SUBSTITUTE(SUBSTITUTE(SUBSTITUTE(SUBSTITUTE(SUBSTITUTE(SUBSTITUTE(SUBSTITUTE(SUBSTITUTE(SUBSTITUTE(SUBSTITUTE(SUBSTITUTE(SUBSTITUTE(SUBSTITUTE(SUBSTITUTE(SUBSTITUTE(LOWER(T658&amp;""),CHAR(10),""),CHAR(13),""),CHAR(9),""),CHAR(160),"")," ",""),".",""),"-",""),"/",""),"?",""),"_",""),",",""),"[",""),"]",""),"(",""),")",""),"*","")</f>
        <v/>
      </c>
      <c r="AV658" s="61" t="str">
        <f aca="false">SUBSTITUTE(SUBSTITUTE(SUBSTITUTE(SUBSTITUTE(SUBSTITUTE(SUBSTITUTE(SUBSTITUTE(SUBSTITUTE(SUBSTITUTE(SUBSTITUTE(SUBSTITUTE(SUBSTITUTE(SUBSTITUTE(SUBSTITUTE(SUBSTITUTE(SUBSTITUTE(LOWER(V658&amp;""),CHAR(10),""),CHAR(13),""),CHAR(9),""),CHAR(160),"")," ",""),".",""),"-",""),"/",""),"?",""),"_",""),",",""),"[",""),"]",""),"(",""),")",""),"*","")</f>
        <v/>
      </c>
      <c r="AW658" s="61" t="str">
        <f aca="false">SUBSTITUTE(SUBSTITUTE(SUBSTITUTE(SUBSTITUTE(SUBSTITUTE(SUBSTITUTE(SUBSTITUTE(SUBSTITUTE(SUBSTITUTE(SUBSTITUTE(SUBSTITUTE(SUBSTITUTE(SUBSTITUTE(SUBSTITUTE(SUBSTITUTE(SUBSTITUTE(LOWER(Z658&amp;""),CHAR(10),""),CHAR(13),""),CHAR(9),""),CHAR(160),"")," ",""),".",""),"-",""),"/",""),"?",""),"_",""),",",""),"[",""),"]",""),"(",""),")",""),"*","")</f>
        <v/>
      </c>
      <c r="AX658" s="61" t="str">
        <f aca="false">SUBSTITUTE(SUBSTITUTE(SUBSTITUTE(SUBSTITUTE(SUBSTITUTE(SUBSTITUTE(SUBSTITUTE(SUBSTITUTE(SUBSTITUTE(SUBSTITUTE(SUBSTITUTE(SUBSTITUTE(SUBSTITUTE(SUBSTITUTE(SUBSTITUTE(SUBSTITUTE(LOWER(AE658&amp;""),CHAR(10),""),CHAR(13),""),CHAR(9),""),CHAR(160),"")," ",""),".",""),"-",""),"/",""),"?",""),"_",""),",",""),"[",""),"]",""),"(",""),")",""),"*","")</f>
        <v/>
      </c>
      <c r="AY658" s="61" t="str">
        <f aca="false">SUBSTITUTE(SUBSTITUTE(SUBSTITUTE(SUBSTITUTE(SUBSTITUTE(SUBSTITUTE(SUBSTITUTE(SUBSTITUTE(SUBSTITUTE(SUBSTITUTE(SUBSTITUTE(SUBSTITUTE(SUBSTITUTE(SUBSTITUTE(SUBSTITUTE(SUBSTITUTE(LOWER(W658&amp;""),CHAR(10),""),CHAR(13),""),CHAR(9),""),CHAR(160),"")," ",""),".",""),"-",""),"/",""),"?",""),"_",""),",",""),"[",""),"]",""),"(",""),")",""),"*","")</f>
        <v/>
      </c>
      <c r="AZ658" s="61" t="str">
        <f aca="false">SUBSTITUTE(SUBSTITUTE(SUBSTITUTE(SUBSTITUTE(SUBSTITUTE(SUBSTITUTE(SUBSTITUTE(SUBSTITUTE(SUBSTITUTE(SUBSTITUTE(SUBSTITUTE(SUBSTITUTE(SUBSTITUTE(SUBSTITUTE(SUBSTITUTE(SUBSTITUTE(LOWER(AC658&amp;""),CHAR(10),""),CHAR(13),""),CHAR(9),""),CHAR(160),"")," ",""),".",""),"-",""),"/",""),"?",""),"_",""),",",""),"[",""),"]",""),"(",""),")",""),"*","")</f>
        <v/>
      </c>
      <c r="BA658" s="61" t="str">
        <f aca="false">SUBSTITUTE(SUBSTITUTE(SUBSTITUTE(SUBSTITUTE(SUBSTITUTE(SUBSTITUTE(SUBSTITUTE(SUBSTITUTE(SUBSTITUTE(SUBSTITUTE(SUBSTITUTE(SUBSTITUTE(SUBSTITUTE(SUBSTITUTE(SUBSTITUTE(SUBSTITUTE(LOWER(AA658&amp;""),CHAR(10),""),CHAR(13),""),CHAR(9),""),CHAR(160),"")," ",""),".",""),"-",""),"/",""),"?",""),"_",""),",",""),"[",""),"]",""),"(",""),")",""),"*","")</f>
        <v/>
      </c>
      <c r="BB658" s="61" t="str">
        <f aca="false">IF(AND(TRIM(U658)="Pass",ISNUMBER(AF658)),IF(AF658&lt;&gt;0,"INVALID – qty variance: use Fail or Pass after CA",""),"")&amp;IF(AND(TRIM(U658)="Pass after CA",ISNUMBER(AF658)),IF(AF658&lt;&gt;0,"INVALID – after the corrective action the actual qty must equal expected (update Actual)",""),"")&amp;IF(AND(TRIM(U658)="Pass",TRIM(AB658)&lt;&gt;"",TRIM(AB658)&lt;&gt;"Closed"),"INVALID – corrective action not closed: use Fail, then Pass after CA","")&amp;IF(AND(LEN(BA658)&gt;=2,ISNA(MATCH(LEFT(BA658,255),L_Placeholder,0)),TRIM(AB658)=""),"INVALID – CA status missing for the recorded corrective action","")&amp;IF(AND(TRIM(U658)="Pass after CA",OR(OR(LEN(BA658)&lt;5,ISNUMBER(MATCH(BA658,L_Placeholder,0))),TRIM(AB658)&lt;&gt;"Closed")),"INVALID – corrective action not recorded/closed","")</f>
        <v/>
      </c>
      <c r="BC658" s="61" t="str">
        <f aca="false">" "&amp;TRIM(SUBSTITUTE(SUBSTITUTE(SUBSTITUTE(SUBSTITUTE(SUBSTITUTE(SUBSTITUTE(SUBSTITUTE(SUBSTITUTE(SUBSTITUTE(SUBSTITUTE(SUBSTITUTE(SUBSTITUTE(SUBSTITUTE(SUBSTITUTE(SUBSTITUTE(SUBSTITUTE(SUBSTITUTE(SUBSTITUTE(SUBSTITUTE(SUBSTITUTE(SUBSTITUTE(SUBSTITUTE(SUBSTITUTE(SUBSTITUTE(LOWER(V658&amp;""),CHAR(10)," "),CHAR(13)," "),CHAR(9)," "),CHAR(160)," "),"."," "),","," "),"-"," "),"/"," "),"("," "),")"," "),":"," "),";"," "),"_"," "),"–"," "),"?"," "),"!"," "),"*"," "),"["," "),"]"," "),"'"," "),"#"," "),"+"," "),"&amp;"," "),"\"," "))&amp;" "</f>
        <v>  </v>
      </c>
      <c r="BD658" s="61" t="str">
        <f aca="false">" "&amp;TRIM(SUBSTITUTE(SUBSTITUTE(SUBSTITUTE(SUBSTITUTE(SUBSTITUTE(SUBSTITUTE(SUBSTITUTE(SUBSTITUTE(SUBSTITUTE(SUBSTITUTE(SUBSTITUTE(SUBSTITUTE(SUBSTITUTE(SUBSTITUTE(SUBSTITUTE(SUBSTITUTE(SUBSTITUTE(SUBSTITUTE(SUBSTITUTE(SUBSTITUTE(SUBSTITUTE(SUBSTITUTE(SUBSTITUTE(SUBSTITUTE(LOWER(Z658&amp;""),CHAR(10)," "),CHAR(13)," "),CHAR(9)," "),CHAR(160)," "),"."," "),","," "),"-"," "),"/"," "),"("," "),")"," "),":"," "),";"," "),"_"," "),"–"," "),"?"," "),"!"," "),"*"," "),"["," "),"]"," "),"'"," "),"#"," "),"+"," "),"&amp;"," "),"\"," "))&amp;" "</f>
        <v>  </v>
      </c>
      <c r="BE658" s="61" t="str">
        <f aca="false">" "&amp;TRIM(SUBSTITUTE(SUBSTITUTE(SUBSTITUTE(SUBSTITUTE(SUBSTITUTE(SUBSTITUTE(SUBSTITUTE(SUBSTITUTE(SUBSTITUTE(SUBSTITUTE(SUBSTITUTE(SUBSTITUTE(SUBSTITUTE(SUBSTITUTE(SUBSTITUTE(SUBSTITUTE(SUBSTITUTE(SUBSTITUTE(SUBSTITUTE(SUBSTITUTE(SUBSTITUTE(SUBSTITUTE(SUBSTITUTE(SUBSTITUTE(LOWER(W658&amp;""),CHAR(10)," "),CHAR(13)," "),CHAR(9)," "),CHAR(160)," "),"."," "),","," "),"-"," "),"/"," "),"("," "),")"," "),":"," "),";"," "),"_"," "),"–"," "),"?"," "),"!"," "),"*"," "),"["," "),"]"," "),"'"," "),"#"," "),"+"," "),"&amp;"," "),"\"," "))&amp;" "</f>
        <v>  </v>
      </c>
      <c r="BF658" s="61" t="str">
        <f aca="false">" "&amp;TRIM(SUBSTITUTE(SUBSTITUTE(SUBSTITUTE(SUBSTITUTE(SUBSTITUTE(SUBSTITUTE(SUBSTITUTE(SUBSTITUTE(SUBSTITUTE(SUBSTITUTE(SUBSTITUTE(SUBSTITUTE(SUBSTITUTE(SUBSTITUTE(SUBSTITUTE(SUBSTITUTE(SUBSTITUTE(SUBSTITUTE(SUBSTITUTE(SUBSTITUTE(SUBSTITUTE(SUBSTITUTE(SUBSTITUTE(SUBSTITUTE(LOWER(AC658&amp;""),CHAR(10)," "),CHAR(13)," "),CHAR(9)," "),CHAR(160)," "),"."," "),","," "),"-"," "),"/"," "),"("," "),")"," "),":"," "),";"," "),"_"," "),"–"," "),"?"," "),"!"," "),"*"," "),"["," "),"]"," "),"'"," "),"#"," "),"+"," "),"&amp;"," "),"\"," "))&amp;" "</f>
        <v>  </v>
      </c>
      <c r="BG658" s="61" t="n">
        <f aca="false">IFERROR(IF(AND(TRIM(U658)="Pass",SUMPRODUCT((LEN(BC658)-LEN(SUBSTITUTE(BC658," "&amp;L_ResultBad&amp;" "," ")))/(LEN(L_ResultBad)+1))&gt;SUMPRODUCT((LEN(BC658)-LEN(SUBSTITUTE(BC658," "&amp;L_NegPhrase&amp;" "," ")))/(LEN(L_NegPhrase)+1))),1,0),0)</f>
        <v>0</v>
      </c>
      <c r="BH658" s="61" t="n">
        <f aca="false">IFERROR(IF(SUMPRODUCT((LEN(BC658)-LEN(SUBSTITUTE(BC658," "&amp;L_Pending&amp;" "," ")))/(LEN(L_Pending)+1))&gt;SUMPRODUCT((LEN(BC658)-LEN(SUBSTITUTE(BC658," "&amp;L_PendNeg&amp;" "," ")))/(LEN(L_PendNeg)+1))+SUMPRODUCT((LEN(BC658)-LEN(SUBSTITUTE(BC658," "&amp;L_PendPrep&amp;" "," ")))/(LEN(L_PendPrep)+1)),1,0),1)</f>
        <v>0</v>
      </c>
      <c r="BI658" s="61" t="n">
        <f aca="false">IFERROR(IF(SUMPRODUCT((LEN(BD658)-LEN(SUBSTITUTE(BD658," "&amp;L_PendStrict&amp;" "," ")))/(LEN(L_PendStrict)+1))&gt;SUMPRODUCT((LEN(BD658)-LEN(SUBSTITUTE(BD658," "&amp;L_PendNeg&amp;" "," ")))/(LEN(L_PendNeg)+1)),1,0),1)</f>
        <v>0</v>
      </c>
      <c r="BJ658" s="61" t="n">
        <f aca="false">IFERROR(IF(SUMPRODUCT((LEN(BE658)-LEN(SUBSTITUTE(BE658," "&amp;L_Pending&amp;" "," ")))/(LEN(L_Pending)+1))&gt;SUMPRODUCT((LEN(BE658)-LEN(SUBSTITUTE(BE658," "&amp;L_PendNeg&amp;" "," ")))/(LEN(L_PendNeg)+1))+SUMPRODUCT((LEN(BE658)-LEN(SUBSTITUTE(BE658," "&amp;L_PendPrep&amp;" "," ")))/(LEN(L_PendPrep)+1)),1,0),1)</f>
        <v>0</v>
      </c>
      <c r="BK658" s="61" t="n">
        <f aca="false">IFERROR(IF(SUMPRODUCT((LEN(BF658)-LEN(SUBSTITUTE(BF658," "&amp;L_PendStrict&amp;" "," ")))/(LEN(L_PendStrict)+1))&gt;SUMPRODUCT((LEN(BF658)-LEN(SUBSTITUTE(BF658," "&amp;L_PendNeg&amp;" "," ")))/(LEN(L_PendNeg)+1)),1,0),1)</f>
        <v>0</v>
      </c>
      <c r="BL658" s="61" t="n">
        <f aca="false">IF(ISNA(MATCH(TRIM(S658),L_EvidenceType,0)),0,BZ658)</f>
        <v>0</v>
      </c>
      <c r="BM658" s="61" t="str">
        <f aca="false">SUBSTITUTE(SUBSTITUTE(SUBSTITUTE(SUBSTITUTE(SUBSTITUTE(SUBSTITUTE(SUBSTITUTE(SUBSTITUTE(SUBSTITUTE(LOWER(Z658&amp;""),"1","0"),"2","0"),"3","0"),"4","0"),"5","0"),"6","0"),"7","0"),"8","0"),"9","0")</f>
        <v/>
      </c>
      <c r="BN658" s="61" t="str">
        <f aca="false">SUBSTITUTE(SUBSTITUTE(SUBSTITUTE(SUBSTITUTE(SUBSTITUTE(SUBSTITUTE(SUBSTITUTE(SUBSTITUTE(SUBSTITUTE(SUBSTITUTE(SUBSTITUTE(SUBSTITUTE(SUBSTITUTE(SUBSTITUTE(SUBSTITUTE(SUBSTITUTE(SUBSTITUTE(SUBSTITUTE(SUBSTITUTE(SUBSTITUTE(SUBSTITUTE(SUBSTITUTE(SUBSTITUTE(SUBSTITUTE(SUBSTITUTE(BM658,"b","a"),"c","a"),"d","a"),"e","a"),"f","a"),"g","a"),"h","a"),"i","a"),"j","a"),"k","a"),"l","a"),"m","a"),"n","a"),"o","a"),"p","a"),"q","a"),"r","a"),"s","a"),"t","a"),"u","a"),"v","a"),"w","a"),"x","a"),"y","a"),"z","a")</f>
        <v/>
      </c>
      <c r="BO658" s="61" t="str">
        <f aca="false">SUBSTITUTE(SUBSTITUTE(SUBSTITUTE(SUBSTITUTE(SUBSTITUTE(SUBSTITUTE(SUBSTITUTE(SUBSTITUTE(SUBSTITUTE(LOWER(W658&amp;""),"1","0"),"2","0"),"3","0"),"4","0"),"5","0"),"6","0"),"7","0"),"8","0"),"9","0")</f>
        <v/>
      </c>
      <c r="BP658" s="61" t="str">
        <f aca="false">SUBSTITUTE(SUBSTITUTE(SUBSTITUTE(SUBSTITUTE(SUBSTITUTE(SUBSTITUTE(SUBSTITUTE(SUBSTITUTE(SUBSTITUTE(SUBSTITUTE(SUBSTITUTE(SUBSTITUTE(SUBSTITUTE(SUBSTITUTE(SUBSTITUTE(SUBSTITUTE(SUBSTITUTE(SUBSTITUTE(SUBSTITUTE(SUBSTITUTE(SUBSTITUTE(SUBSTITUTE(SUBSTITUTE(SUBSTITUTE(SUBSTITUTE(BO658,"b","a"),"c","a"),"d","a"),"e","a"),"f","a"),"g","a"),"h","a"),"i","a"),"j","a"),"k","a"),"l","a"),"m","a"),"n","a"),"o","a"),"p","a"),"q","a"),"r","a"),"s","a"),"t","a"),"u","a"),"v","a"),"w","a"),"x","a"),"y","a"),"z","a")</f>
        <v/>
      </c>
      <c r="BQ658" s="61" t="n">
        <f aca="false">IFERROR(IF(AND(ISERROR(SEARCH(" mh"," "&amp;LOWER(W658))),ISNA(MATCH(LEFT(TRIM(BP658),255),{"0000a","000a","00a","0000aa","000aa","00aa","0aa","0000aaa","000aaa","00a00","0a00","0000-0000","00:00","a00","a0","00.00.0000","00/00/0000","00-00-0000","0000-00-00","0000/00/00","0000.00.00","00.00.00","00/00/00","00-00-00","0.00.0000","0/00/0000","0-00-0000"},0)),ISNA(MATCH(LEFT(TRIM(CA658),255),{"0000a","000a","00a","0000aa","000aa","00aa","0aa","0000aaa","000aaa","00a00","0a00","0000-0000","00:00","a00","a0","00.00.0000","00/00/0000","00-00-0000","0000-00-00","0000/00/00","0000.00.00","00.00.00","00/00/00","00-00-00","0.00.0000","0/00/0000","0-00-0000"},0)),LEN(CB658)&gt;=3,NOT(OR(SUBSTITUTE(CB658,"0","")="",AND(LEN(CB658)&gt;=4,CB658=REPT(LEFT(CB658),LEN(CB658))),ISNUMBER(MATCH(CB658,{"123","1234","12345","123456","1234567","12345678","0123","01234","012345","98765","987654","54321"},0)),AND(LEN(CB658)=8,LEFT(CB658,3)="202"))),OR(AND((LEN(CA658)-LEN(SUBSTITUTE(CA658,"a","")))&gt;=1,SUMPRODUCT(--ISNUMBER(SEARCH({"a0","a-0","a_0","a/0","a.0","a#0","0a","0-a","0_a","0/a"},BP658)))&gt;0),ISNUMBER(SEARCH("000000",BP658)))),1,0),0)</f>
        <v>0</v>
      </c>
      <c r="BR658" s="61" t="n">
        <f aca="false">IFERROR(LEN(SUBSTITUTE(CC658," ",""))-SUMPRODUCT((LEN(CC658)-LEN(SUBSTITUTE(CC658," "&amp;L_Role&amp;" "," ")))/(LEN(L_Role)+1)*LEN(L_Role)),0)</f>
        <v>0</v>
      </c>
      <c r="BS658" s="61" t="n">
        <f aca="false">IFERROR(LEN(SUBSTITUTE(CD658," ",""))-SUMPRODUCT((LEN(CD658)-LEN(SUBSTITUTE(CD658," "&amp;L_Role&amp;" "," ")))/(LEN(L_Role)+1)*LEN(L_Role)),0)</f>
        <v>0</v>
      </c>
      <c r="BT6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658,"revision",""),"version",""),"jan",""),"feb",""),"mar",""),"apr",""),"may",""),"jun",""),"jul",""),"aug",""),"sep",""),"oct",""),"nov",""),"dec",""),"utc",""),"gmt",""),"myt",""),"bst",""),"rev",""),"ver",""),"b","a"),"c","a"),"d","a"),"e","a"),"f","a"),"g","a"),"h","a"),"i","a"),"j","a"),"k","a"),"l","a"),"m","a"),"n","a"),"o","a"),"p","a"),"q","a"),"r","a"),"s","a"),"t","a"),"u","a"),"v","a"),"w","a"),"x","a"),"y","a"),"z","a")</f>
        <v/>
      </c>
      <c r="BU658" s="61" t="str">
        <f aca="false">SUBSTITUTE(SUBSTITUTE(SUBSTITUTE(SUBSTITUTE(SUBSTITUTE(SUBSTITUTE(SUBSTITUTE(SUBSTITUTE(SUBSTITUTE(SUBSTITUTE(LEFT(BM658,FIND("0",BM658&amp;"0")-1),"-",""),"_",""),"/",""),".",""),"#",""),"\\",""),":","")," ",""),"(",""),")","")</f>
        <v/>
      </c>
      <c r="BV658" s="61" t="n">
        <f aca="false">0</f>
        <v>0</v>
      </c>
      <c r="BW65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658&amp;""),"a",""),"b",""),"c",""),"d",""),"e",""),"f",""),"g",""),"h",""),"i",""),"j",""),"k",""),"l",""),"m",""),"n",""),"o",""),"p",""),"q",""),"r",""),"s",""),"t",""),"u",""),"v",""),"w",""),"x",""),"y",""),"z",""),"-",""),"_",""),"/",""),".",""),"#",""),"\\",""),":","")," ",""),"(",""),")","")</f>
        <v/>
      </c>
      <c r="BX658" s="61" t="str">
        <f aca="false">SUBSTITUTE(SUBSTITUTE(SUBSTITUTE(SUBSTITUTE(SUBSTITUTE(SUBSTITUTE(SUBSTITUTE(SUBSTITUTE(SUBSTITUTE(SUBSTITUTE(SUBSTITUTE(BM658,"0",""),"-",""),"_",""),"/",""),".",""),"#",""),"\\",""),":","")," ",""),"(",""),")","")</f>
        <v/>
      </c>
      <c r="BY658" s="62" t="n">
        <f aca="false">Q658-T12EarlyH/24</f>
        <v>46323.4375</v>
      </c>
      <c r="BZ658" s="61" t="n">
        <f aca="false">IFERROR(IF(IF(TRIM(S658)="Link / file path",AND(LEN(TRIM(Z658))&gt;=5,SUMPRODUCT(--ISNUMBER(SEARCH({"http","www.","\\",":\",".pdf",".jpg",".jpeg",".png",".heic",".xls",".doc",".msg",".eml",".ppt",".txt",".zip"},Z658)))&gt;0),AND(ISERROR(FIND(" ",TRIM(Z658))),NOT(OR(SUMPRODUCT(--ISNUMBER(FIND({",",";","&amp;","+"},Z658)))&gt;0,SUMPRODUCT(--ISNUMBER(SEARCH({"0/aa","0\\aa"},BN658)))&gt;0)),NOT(SUMPRODUCT(--ISNUMBER(SEARCH({"http","www.","\\",":\",".pdf",".jpg",".jpeg",".png",".heic",".xls",".doc",".msg",".eml",".ppt",".txt",".zip"},Z658)))&gt;0),NOT(LOWER(TRIM(Z658))=LOWER(Flights!$F$24)),ISNA(MATCH(BU658,{"mh","rev","revision","ver","version","v","r","a","b","seat","tray","row","gate","bay","stand","page","pg","item","line","no","cart","galley","flight","flt","table","box","bag","oven","etd","eta","std","sta","atd","ata","qty","pax","x","time","tel","ph","mob","day","wk","week","utc","gmt","myt","lt"},0)),NOT(OR(ISNUMBER(MATCH(LEFT(BN658,255),{"0000a","000a","00a","0000aa","000aa","00aa","0aa","0000aaa","000aaa","00a00","0a00","0000-0000","00:00","a00","a0","00.00.0000","00/00/0000","00-00-0000","0000-00-00","0000/00/00","0000.00.00","00.00.00","00/00/00","00-00-00","0.00.0000","0/00/0000","0-00-0000"},0)),ISNUMBER(MATCH(LEFT(BT658,255),{"0000a","000a","00a","0000aa","000aa","00aa","0aa","0000aaa","000aaa","00a00","0a00","0000-0000","00:00","a00","a0","00.00.0000","00/00/0000","00-00-0000","0000-00-00","0000/00/00","0000.00.00","00.00.00","00/00/00","00-00-00","0.00.0000","0/00/0000","0-00-0000"},0)))),NOT(OR(AND(BW658&lt;&gt;"",SUBSTITUTE(BW658,"0","")=""),AND(LEN(BW658)&gt;=4,BW658=REPT(LEFT(BW658),LEN(BW658))),ISNUMBER(MATCH(BW658,{"123","1234","12345","123456","1234567","12345678","0123","01234","012345","98765","987654","54321"},0)),ISNUMBER(MATCH(BX658,{"x","xx","xxx","xxxx","xxxxx","abc","abcd","nil","na","nan","test","tbc","tba","tbd","dummy","sample","example","eg","zz","zzz","none","null","xyz","qwe","asd","id","ref"},0)),AND(LEN(BW658)=8,BX658="",OR(LEFT(BW658,3)="202",ISNUMBER(MATCH(RIGHT(BW658,4),{"2025","2026","2027"},0)))))),OR(AND((LEN(BT658)-LEN(SUBSTITUTE(BT658,"a","")))&gt;=1,(LEN(BN658)-LEN(SUBSTITUTE(BN658,"0","")))&gt;=2,SUMPRODUCT(--ISNUMBER(SEARCH({"a0","a-0","a_0","a/0","a.0","a#0","0a","0-a","0_a","0/a"},BN658)))&gt;0),AND((LEN(BN658)-LEN(SUBSTITUTE(BN658,"a","")))=0,(LEN(BN658)-LEN(SUBSTITUTE(BN658,"0","")))&gt;=5)))),1,0),0)</f>
        <v>0</v>
      </c>
      <c r="CA6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658,"revision",""),"version",""),"jan",""),"feb",""),"mar",""),"apr",""),"may",""),"jun",""),"jul",""),"aug",""),"sep",""),"oct",""),"nov",""),"dec",""),"utc",""),"gmt",""),"myt",""),"bst",""),"rev",""),"ver",""),"b","a"),"c","a"),"d","a"),"e","a"),"f","a"),"g","a"),"h","a"),"i","a"),"j","a"),"k","a"),"l","a"),"m","a"),"n","a"),"o","a"),"p","a"),"q","a"),"r","a"),"s","a"),"t","a"),"u","a"),"v","a"),"w","a"),"x","a"),"y","a"),"z","a")</f>
        <v/>
      </c>
      <c r="CB65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658&amp;""),"a",""),"b",""),"c",""),"d",""),"e",""),"f",""),"g",""),"h",""),"i",""),"j",""),"k",""),"l",""),"m",""),"n",""),"o",""),"p",""),"q",""),"r",""),"s",""),"t",""),"u",""),"v",""),"w",""),"x",""),"y",""),"z",""),"-",""),"_",""),"/",""),".",""),"#",""),"\\",""),":","")," ",""),"(",""),")","")</f>
        <v/>
      </c>
      <c r="CC658" s="0" t="str">
        <f aca="false">" "&amp;TRIM(SUBSTITUTE(SUBSTITUTE(SUBSTITUTE(SUBSTITUTE(SUBSTITUTE(SUBSTITUTE(SUBSTITUTE(SUBSTITUTE(SUBSTITUTE(SUBSTITUTE(SUBSTITUTE(SUBSTITUTE(SUBSTITUTE(SUBSTITUTE(SUBSTITUTE(SUBSTITUTE(SUBSTITUTE(SUBSTITUTE(SUBSTITUTE(SUBSTITUTE(SUBSTITUTE(SUBSTITUTE(SUBSTITUTE(SUBSTITUTE(LOWER(T658&amp;""),CHAR(10)," "),CHAR(13)," "),CHAR(9)," "),CHAR(160)," "),"."," "),","," "),"-"," "),"/"," "),"("," "),")"," "),":"," "),";"," "),"_"," "),"–"," "),"?"," "),"!"," "),"*"," "),"["," "),"]"," "),"'"," "),"#"," "),"+"," "),"&amp;"," "),"\"," "))&amp;" "</f>
        <v>  </v>
      </c>
      <c r="CD658" s="0" t="str">
        <f aca="false">" "&amp;TRIM(SUBSTITUTE(SUBSTITUTE(SUBSTITUTE(SUBSTITUTE(SUBSTITUTE(SUBSTITUTE(SUBSTITUTE(SUBSTITUTE(SUBSTITUTE(SUBSTITUTE(SUBSTITUTE(SUBSTITUTE(SUBSTITUTE(SUBSTITUTE(SUBSTITUTE(SUBSTITUTE(SUBSTITUTE(SUBSTITUTE(SUBSTITUTE(SUBSTITUTE(SUBSTITUTE(SUBSTITUTE(SUBSTITUTE(SUBSTITUTE(LOWER(AE658&amp;""),CHAR(10)," "),CHAR(13)," "),CHAR(9)," "),CHAR(160)," "),"."," "),","," "),"-"," "),"/"," "),"("," "),")"," "),":"," "),";"," "),"_"," "),"–"," "),"?"," "),"!"," "),"*"," "),"["," "),"]"," "),"'"," "),"#"," "),"+"," "),"&amp;"," "),"\"," "))&amp;" "</f>
        <v>  </v>
      </c>
      <c r="CE658" s="68" t="n">
        <f aca="false">IFERROR(IF(AND(LEN(AU658)&gt;0,LEN(AU658)=LEN(AX658),OR(TRIM(MID(SUBSTITUTE(TRIM(CC658)," ",REPT(" ",60)),1,60))="",ISNUMBER(SEARCH(" "&amp;TRIM(MID(SUBSTITUTE(TRIM(CC658)," ",REPT(" ",60)),1,60))&amp;" ",CD658))),OR(TRIM(MID(SUBSTITUTE(TRIM(CC658)," ",REPT(" ",60)),61,60))="",ISNUMBER(SEARCH(" "&amp;TRIM(MID(SUBSTITUTE(TRIM(CC658)," ",REPT(" ",60)),61,60))&amp;" ",CD658))),OR(TRIM(MID(SUBSTITUTE(TRIM(CC658)," ",REPT(" ",60)),121,60))="",ISNUMBER(SEARCH(" "&amp;TRIM(MID(SUBSTITUTE(TRIM(CC658)," ",REPT(" ",60)),121,60))&amp;" ",CD658)))),1,0),0)</f>
        <v>0</v>
      </c>
      <c r="CG658" s="68" t="n">
        <f aca="false">IFERROR(LEN(SUBSTITUTE(BF658," ",""))-SUMPRODUCT((LEN(BF658)-LEN(SUBSTITUTE(BF658," "&amp;L_NAFiller&amp;" "," ")))/(LEN(L_NAFiller)+1)*LEN(L_NAFiller)),0)</f>
        <v>0</v>
      </c>
    </row>
    <row r="659" customFormat="false" ht="78.75" hidden="false" customHeight="true" outlineLevel="0" collapsed="false">
      <c r="A659" s="57" t="s">
        <v>1378</v>
      </c>
      <c r="B659" s="57" t="s">
        <v>304</v>
      </c>
      <c r="C659" s="57" t="str">
        <f aca="false">Flights!$F$24</f>
        <v>MH1450</v>
      </c>
      <c r="D659" s="58" t="n">
        <f aca="false">Flights!$D$24</f>
        <v>46324</v>
      </c>
      <c r="E659" s="57" t="str">
        <f aca="false">Flights!$G$24&amp;"-"&amp;Flights!$H$24</f>
        <v>KUL-LGK</v>
      </c>
      <c r="F659" s="57" t="str">
        <f aca="false">Flights!$K$24</f>
        <v>EY</v>
      </c>
      <c r="G659" s="57" t="s">
        <v>420</v>
      </c>
      <c r="H659" s="57" t="s">
        <v>378</v>
      </c>
      <c r="I659" s="57" t="s">
        <v>428</v>
      </c>
      <c r="J659" s="57" t="s">
        <v>435</v>
      </c>
      <c r="K659" s="67" t="s">
        <v>491</v>
      </c>
      <c r="L659" s="67" t="s">
        <v>422</v>
      </c>
      <c r="M659" s="67"/>
      <c r="N659" s="67" t="s">
        <v>383</v>
      </c>
      <c r="O659" s="67" t="s">
        <v>423</v>
      </c>
      <c r="P659" s="57" t="s">
        <v>187</v>
      </c>
      <c r="Q659" s="59" t="n">
        <f aca="false">ROUND((Flights!$AE$24)*1440,0)/1440</f>
        <v>46323.9375</v>
      </c>
      <c r="R659" s="59" t="n">
        <f aca="false">Q659+(IF(AND(INDEX(TZ_DSTS,MATCH(P659,TZ_STN,0))&lt;&gt;"",Q659&gt;=INDEX(TZ_DSTS,MATCH(P659,TZ_STN,0)),Q659&lt;INDEX(TZ_DSTE,MATCH(P659,TZ_STN,0))),INDEX(TZ_DST,MATCH(P659,TZ_STN,0)),INDEX(TZ_STD,MATCH(P659,TZ_STN,0))))/24</f>
        <v>46324.2708333333</v>
      </c>
      <c r="S659" s="60"/>
      <c r="T659" s="60"/>
      <c r="U659" s="60"/>
      <c r="V659" s="60"/>
      <c r="W659" s="61"/>
      <c r="X659" s="60"/>
      <c r="Y659" s="60"/>
      <c r="Z659" s="60"/>
      <c r="AA659" s="60"/>
      <c r="AB659" s="60"/>
      <c r="AC659" s="60"/>
      <c r="AD659" s="66"/>
      <c r="AE659" s="60"/>
      <c r="AF659" s="61" t="str">
        <f aca="false">IF(AND(ISNUMBER(X659),ISNUMBER(Y659)),Y659-X659,"")</f>
        <v/>
      </c>
      <c r="AG659" s="62" t="str">
        <f aca="false">IF(ISNUMBER(AD659),AD659-(IF(AND(INDEX(TZ_DSTS,MATCH(P659,TZ_STN,0))&lt;&gt;"",(AD659-INDEX(TZ_STD,MATCH(P659,TZ_STN,0))/24)&gt;=INDEX(TZ_DSTS,MATCH(P659,TZ_STN,0)),(AD659-INDEX(TZ_STD,MATCH(P659,TZ_STN,0))/24)&lt;INDEX(TZ_DSTE,MATCH(P659,TZ_STN,0))),INDEX(TZ_DST,MATCH(P659,TZ_STN,0)),INDEX(TZ_STD,MATCH(P659,TZ_STN,0))))/24,"")</f>
        <v/>
      </c>
      <c r="AH659" s="65" t="str">
        <f aca="false">IFERROR(IF(N659="N/A – rule",IF(OR(TRIM(U659)="",TRIM(U659)="N/A",TRIM(U659)="Not started"),"N/A – RULE","INVALID – this check does not apply to this aircraft: clear the status (or correct the fleet on Flights)"),IF(TRIM(U659)="N/A",IF(AT659=0,"INVALID – N/A not permitted for this check",IF(AND(TRIM(AB659)&lt;&gt;"",TRIM(AB659)&lt;&gt;"Closed"),"INVALID – corrective action still open",IF(AND(NOT(OR(LEN(AZ659)&lt;15,ISNUMBER(MATCH(AZ659,L_Placeholder,0)))),BK659=0,CG659&gt;=8,NOT(OR(LEN(AU659)&lt;2,ISNUMBER(MATCH(AU659,L_Placeholder,0)))),BR659&gt;=3,NOT(OR(LEN(AX659)&lt;2,ISNUMBER(MATCH(AX659,L_Placeholder,0)))),BS659&gt;=3,TRIM(AE659)&lt;&gt;TRIM(T659),AX659&lt;&gt;AU659,CE659=0),"N/A – JUSTIFIED","INVALID – N/A needs a real, settled reason (not 'not applicable' / 'as above' / TBC), a named PIC and a different named verifier"))),IF(OR(TRIM(U659)="Pass",TRIM(U659)="Pass after CA"),IF(NOT(ISNUMBER(AD659)),"INVALID – completion time missing",IF(OR(OR(LEN(AU659)&lt;2,ISNUMBER(MATCH(AU659,L_Placeholder,0))),BR659&lt;3),"INVALID – PIC missing or not a named person (a role such as QA / CSM is not a name)",IF(OR(LEN(AV659)&lt;2,ISNUMBER(MATCH(AV659,L_Placeholder,0))),"INVALID – result / assessment missing",IF(OR(OR(LEN(AW659)&lt;3,ISNUMBER(MATCH(AW659,L_Placeholder,0))),SUMPRODUCT(--ISNUMBER(SEARCH(" "&amp;L_EvidencePhrase&amp;" ",BD659)))&gt;0,BI659=1),"INVALID – evidence missing, placeholder or not yet on file",IF(ISNA(MATCH(TRIM(S659),L_EvidenceType,0)),"INVALID – choose the evidence type from the list (column S)",IF(BL659=0,"INVALID – evidence ID must be the record's own ID only (e.g. SF-2210, IMG_2231, 1045521); a link / file name needs type 'Link / file path'",IF(OR(OR(LEN(AX659)&lt;2,ISNUMBER(MATCH(AX659,L_Placeholder,0))),BS659&lt;3),"INVALID – verifier missing or not a named person (a role such as QA / CSM is not a name)",IF(OR(AX659=AU659,CE659=1,AND(LEN(AU659)&gt;=4,ISNUMBER(SEARCH(AU659,AX659))),AND(LEN(AX659)&gt;=4,ISNUMBER(SEARCH(AX659,AU659)))),"INVALID – verifier must be a different, named person (not the PIC or a role)",IF(BH659=1,"INVALID – result not yet available (awaiting / TBC)",IF(BG659=1,"INVALID – result describes a problem: record Fail, then Pass after CA (or reword if it is not a problem)",IF(BV659=1,"INVALID – wording says not on board: an on-board confirmation needs the item loaded",IF(AND(AQ659=1,OR(OR(LEN(AY659)&lt;3,ISNUMBER(MATCH(AY659,L_Placeholder,0))),BJ659=1,BQ659=0)),"INVALID – batch ID missing, placeholder or not an ID (e.g. PASB-261008-BC-017)",IF(AND(AR659=1,OR(NOT(ISNUMBER(X659)),NOT(ISNUMBER(Y659)))),"INVALID – expected/actual qty missing",IF(AND(AR659=1,OR(X659&lt;=0,Y659&lt;0)),"INVALID – expected qty must be above 0 and actual not negative",IF(BB659&lt;&gt;"",BB659,IF(AND(AS659=1,Documents!$J$24&lt;&gt;"ON FILE"),"INVALID – GLD not on file (Documents sheet)",IF(AND(AS659=2,Documents!$O$24&lt;&gt;"ON FILE"),"INVALID – menu checklist not on file (Documents sheet)",IF(AND(AS659=3,NOT(ISNUMBER(Flights!$AX$24))),"INVALID – enter carrying flight KUL departure (Flights AX)",IF(AND(AS659=3,OR(Flights!$AZ$24&gt;Flights!$AA$24,Flights!$AX$24&lt;Flights!$AA$24-3)),"INVALID – carrying flight (Flights AX) cannot arrive before this leg's STD, or is over 3 days early",IF(AG659&gt;AsOfUTC,"INVALID – completion time is in the future",IF(AND(ISNUMBER(BY659),AG659&lt;BY659),IF(H659="Physical uplift","INVALID – before uplift window (cannot confirm loading)","INVALID – before valid window"),IF(AG659&gt;Flights!$AA$24,"INVALID – completed after departure (cannot establish readiness)",IF(AND(H659="Preparation",AG659&gt;=IF(ISNUMBER(Flights!$BA$24),MIN(Flights!$BA$24,Flights!$AA$24),Flights!$AA$24)),"INVALID – completed after loading / departure (cannot establish readiness)",IF(AND(H659="Physical uplift",AG659&gt;Q659),"INVALID – recorded after the loading flight departed",IF(AG659&gt;Q659,"COMPLETE – LATE","COMPLETE"))))))))))))))))))))))))),IF(TRIM(U659)="Fail","FAIL – DISCREPANCY",IF(AND(TRIM(U659)&lt;&gt;"",TRIM(U659)&lt;&gt;"Not started",TRIM(U659)&lt;&gt;"In progress"),"INVALID – unrecognised status (use the list)",IF(AsOfUTC&gt;Q659,"OVERDUE",IF(N659="Clarification required","OPEN – CLARIFICATION","OPEN"))))))),"INVALID – error value in an input cell")</f>
        <v>OPEN</v>
      </c>
      <c r="AI659" s="61" t="n">
        <f aca="false">IF(OR(AH659="N/A – RULE",AH659="N/A – JUSTIFIED"),0,1)</f>
        <v>1</v>
      </c>
      <c r="AJ659" s="61" t="n">
        <f aca="false">IF(LEFT(AH659,8)="COMPLETE",1,0)</f>
        <v>0</v>
      </c>
      <c r="AK659" s="61" t="n">
        <f aca="false">IF(AND(AI659=1,AJ659=0,AsOfUTC&gt;Q659),1,0)</f>
        <v>0</v>
      </c>
      <c r="AL659" s="61" t="n">
        <f aca="false">IFERROR(IF(AND(AI659=1,OR(TRIM(U659)="Fail",AND(TRIM(AB659)&lt;&gt;"",TRIM(AB659)&lt;&gt;"Closed"),AND(ISNUMBER(AF659),AF659&lt;&gt;0,TRIM(U659)&lt;&gt;"Pass after CA"))),1,0),1)</f>
        <v>0</v>
      </c>
      <c r="AM659" s="61" t="n">
        <f aca="false">IF(LEFT(AH659,7)="INVALID",1,0)</f>
        <v>0</v>
      </c>
      <c r="AN659" s="61" t="n">
        <f aca="false">IF(AND(N659="Clarification required",AI659=1,AJ659=0),1,0)</f>
        <v>0</v>
      </c>
      <c r="AO659" s="61" t="str">
        <f aca="false">IF(AK659=1,SUM(AK$5:AK659),"")</f>
        <v/>
      </c>
      <c r="AP659" s="61" t="str">
        <f aca="false">IF(AL659=1,SUM(AL$5:AL659),"")</f>
        <v/>
      </c>
      <c r="AQ659" s="61" t="n">
        <v>0</v>
      </c>
      <c r="AR659" s="61" t="n">
        <v>1</v>
      </c>
      <c r="AS659" s="61" t="n">
        <v>0</v>
      </c>
      <c r="AT659" s="61" t="n">
        <v>0</v>
      </c>
      <c r="AU659" s="61" t="str">
        <f aca="false">SUBSTITUTE(SUBSTITUTE(SUBSTITUTE(SUBSTITUTE(SUBSTITUTE(SUBSTITUTE(SUBSTITUTE(SUBSTITUTE(SUBSTITUTE(SUBSTITUTE(SUBSTITUTE(SUBSTITUTE(SUBSTITUTE(SUBSTITUTE(SUBSTITUTE(SUBSTITUTE(LOWER(T659&amp;""),CHAR(10),""),CHAR(13),""),CHAR(9),""),CHAR(160),"")," ",""),".",""),"-",""),"/",""),"?",""),"_",""),",",""),"[",""),"]",""),"(",""),")",""),"*","")</f>
        <v/>
      </c>
      <c r="AV659" s="61" t="str">
        <f aca="false">SUBSTITUTE(SUBSTITUTE(SUBSTITUTE(SUBSTITUTE(SUBSTITUTE(SUBSTITUTE(SUBSTITUTE(SUBSTITUTE(SUBSTITUTE(SUBSTITUTE(SUBSTITUTE(SUBSTITUTE(SUBSTITUTE(SUBSTITUTE(SUBSTITUTE(SUBSTITUTE(LOWER(V659&amp;""),CHAR(10),""),CHAR(13),""),CHAR(9),""),CHAR(160),"")," ",""),".",""),"-",""),"/",""),"?",""),"_",""),",",""),"[",""),"]",""),"(",""),")",""),"*","")</f>
        <v/>
      </c>
      <c r="AW659" s="61" t="str">
        <f aca="false">SUBSTITUTE(SUBSTITUTE(SUBSTITUTE(SUBSTITUTE(SUBSTITUTE(SUBSTITUTE(SUBSTITUTE(SUBSTITUTE(SUBSTITUTE(SUBSTITUTE(SUBSTITUTE(SUBSTITUTE(SUBSTITUTE(SUBSTITUTE(SUBSTITUTE(SUBSTITUTE(LOWER(Z659&amp;""),CHAR(10),""),CHAR(13),""),CHAR(9),""),CHAR(160),"")," ",""),".",""),"-",""),"/",""),"?",""),"_",""),",",""),"[",""),"]",""),"(",""),")",""),"*","")</f>
        <v/>
      </c>
      <c r="AX659" s="61" t="str">
        <f aca="false">SUBSTITUTE(SUBSTITUTE(SUBSTITUTE(SUBSTITUTE(SUBSTITUTE(SUBSTITUTE(SUBSTITUTE(SUBSTITUTE(SUBSTITUTE(SUBSTITUTE(SUBSTITUTE(SUBSTITUTE(SUBSTITUTE(SUBSTITUTE(SUBSTITUTE(SUBSTITUTE(LOWER(AE659&amp;""),CHAR(10),""),CHAR(13),""),CHAR(9),""),CHAR(160),"")," ",""),".",""),"-",""),"/",""),"?",""),"_",""),",",""),"[",""),"]",""),"(",""),")",""),"*","")</f>
        <v/>
      </c>
      <c r="AY659" s="61" t="str">
        <f aca="false">SUBSTITUTE(SUBSTITUTE(SUBSTITUTE(SUBSTITUTE(SUBSTITUTE(SUBSTITUTE(SUBSTITUTE(SUBSTITUTE(SUBSTITUTE(SUBSTITUTE(SUBSTITUTE(SUBSTITUTE(SUBSTITUTE(SUBSTITUTE(SUBSTITUTE(SUBSTITUTE(LOWER(W659&amp;""),CHAR(10),""),CHAR(13),""),CHAR(9),""),CHAR(160),"")," ",""),".",""),"-",""),"/",""),"?",""),"_",""),",",""),"[",""),"]",""),"(",""),")",""),"*","")</f>
        <v/>
      </c>
      <c r="AZ659" s="61" t="str">
        <f aca="false">SUBSTITUTE(SUBSTITUTE(SUBSTITUTE(SUBSTITUTE(SUBSTITUTE(SUBSTITUTE(SUBSTITUTE(SUBSTITUTE(SUBSTITUTE(SUBSTITUTE(SUBSTITUTE(SUBSTITUTE(SUBSTITUTE(SUBSTITUTE(SUBSTITUTE(SUBSTITUTE(LOWER(AC659&amp;""),CHAR(10),""),CHAR(13),""),CHAR(9),""),CHAR(160),"")," ",""),".",""),"-",""),"/",""),"?",""),"_",""),",",""),"[",""),"]",""),"(",""),")",""),"*","")</f>
        <v/>
      </c>
      <c r="BA659" s="61" t="str">
        <f aca="false">SUBSTITUTE(SUBSTITUTE(SUBSTITUTE(SUBSTITUTE(SUBSTITUTE(SUBSTITUTE(SUBSTITUTE(SUBSTITUTE(SUBSTITUTE(SUBSTITUTE(SUBSTITUTE(SUBSTITUTE(SUBSTITUTE(SUBSTITUTE(SUBSTITUTE(SUBSTITUTE(LOWER(AA659&amp;""),CHAR(10),""),CHAR(13),""),CHAR(9),""),CHAR(160),"")," ",""),".",""),"-",""),"/",""),"?",""),"_",""),",",""),"[",""),"]",""),"(",""),")",""),"*","")</f>
        <v/>
      </c>
      <c r="BB659" s="61" t="str">
        <f aca="false">IF(AND(TRIM(U659)="Pass",ISNUMBER(AF659)),IF(AF659&lt;&gt;0,"INVALID – qty variance: use Fail or Pass after CA",""),"")&amp;IF(AND(TRIM(U659)="Pass after CA",ISNUMBER(AF659)),IF(AF659&lt;&gt;0,"INVALID – after the corrective action the actual qty must equal expected (update Actual)",""),"")&amp;IF(AND(TRIM(U659)="Pass",TRIM(AB659)&lt;&gt;"",TRIM(AB659)&lt;&gt;"Closed"),"INVALID – corrective action not closed: use Fail, then Pass after CA","")&amp;IF(AND(LEN(BA659)&gt;=2,ISNA(MATCH(LEFT(BA659,255),L_Placeholder,0)),TRIM(AB659)=""),"INVALID – CA status missing for the recorded corrective action","")&amp;IF(AND(TRIM(U659)="Pass after CA",OR(OR(LEN(BA659)&lt;5,ISNUMBER(MATCH(BA659,L_Placeholder,0))),TRIM(AB659)&lt;&gt;"Closed")),"INVALID – corrective action not recorded/closed","")</f>
        <v/>
      </c>
      <c r="BC659" s="61" t="str">
        <f aca="false">" "&amp;TRIM(SUBSTITUTE(SUBSTITUTE(SUBSTITUTE(SUBSTITUTE(SUBSTITUTE(SUBSTITUTE(SUBSTITUTE(SUBSTITUTE(SUBSTITUTE(SUBSTITUTE(SUBSTITUTE(SUBSTITUTE(SUBSTITUTE(SUBSTITUTE(SUBSTITUTE(SUBSTITUTE(SUBSTITUTE(SUBSTITUTE(SUBSTITUTE(SUBSTITUTE(SUBSTITUTE(SUBSTITUTE(SUBSTITUTE(SUBSTITUTE(LOWER(V659&amp;""),CHAR(10)," "),CHAR(13)," "),CHAR(9)," "),CHAR(160)," "),"."," "),","," "),"-"," "),"/"," "),"("," "),")"," "),":"," "),";"," "),"_"," "),"–"," "),"?"," "),"!"," "),"*"," "),"["," "),"]"," "),"'"," "),"#"," "),"+"," "),"&amp;"," "),"\"," "))&amp;" "</f>
        <v>  </v>
      </c>
      <c r="BD659" s="61" t="str">
        <f aca="false">" "&amp;TRIM(SUBSTITUTE(SUBSTITUTE(SUBSTITUTE(SUBSTITUTE(SUBSTITUTE(SUBSTITUTE(SUBSTITUTE(SUBSTITUTE(SUBSTITUTE(SUBSTITUTE(SUBSTITUTE(SUBSTITUTE(SUBSTITUTE(SUBSTITUTE(SUBSTITUTE(SUBSTITUTE(SUBSTITUTE(SUBSTITUTE(SUBSTITUTE(SUBSTITUTE(SUBSTITUTE(SUBSTITUTE(SUBSTITUTE(SUBSTITUTE(LOWER(Z659&amp;""),CHAR(10)," "),CHAR(13)," "),CHAR(9)," "),CHAR(160)," "),"."," "),","," "),"-"," "),"/"," "),"("," "),")"," "),":"," "),";"," "),"_"," "),"–"," "),"?"," "),"!"," "),"*"," "),"["," "),"]"," "),"'"," "),"#"," "),"+"," "),"&amp;"," "),"\"," "))&amp;" "</f>
        <v>  </v>
      </c>
      <c r="BE659" s="61" t="str">
        <f aca="false">" "&amp;TRIM(SUBSTITUTE(SUBSTITUTE(SUBSTITUTE(SUBSTITUTE(SUBSTITUTE(SUBSTITUTE(SUBSTITUTE(SUBSTITUTE(SUBSTITUTE(SUBSTITUTE(SUBSTITUTE(SUBSTITUTE(SUBSTITUTE(SUBSTITUTE(SUBSTITUTE(SUBSTITUTE(SUBSTITUTE(SUBSTITUTE(SUBSTITUTE(SUBSTITUTE(SUBSTITUTE(SUBSTITUTE(SUBSTITUTE(SUBSTITUTE(LOWER(W659&amp;""),CHAR(10)," "),CHAR(13)," "),CHAR(9)," "),CHAR(160)," "),"."," "),","," "),"-"," "),"/"," "),"("," "),")"," "),":"," "),";"," "),"_"," "),"–"," "),"?"," "),"!"," "),"*"," "),"["," "),"]"," "),"'"," "),"#"," "),"+"," "),"&amp;"," "),"\"," "))&amp;" "</f>
        <v>  </v>
      </c>
      <c r="BF659" s="61" t="str">
        <f aca="false">" "&amp;TRIM(SUBSTITUTE(SUBSTITUTE(SUBSTITUTE(SUBSTITUTE(SUBSTITUTE(SUBSTITUTE(SUBSTITUTE(SUBSTITUTE(SUBSTITUTE(SUBSTITUTE(SUBSTITUTE(SUBSTITUTE(SUBSTITUTE(SUBSTITUTE(SUBSTITUTE(SUBSTITUTE(SUBSTITUTE(SUBSTITUTE(SUBSTITUTE(SUBSTITUTE(SUBSTITUTE(SUBSTITUTE(SUBSTITUTE(SUBSTITUTE(LOWER(AC659&amp;""),CHAR(10)," "),CHAR(13)," "),CHAR(9)," "),CHAR(160)," "),"."," "),","," "),"-"," "),"/"," "),"("," "),")"," "),":"," "),";"," "),"_"," "),"–"," "),"?"," "),"!"," "),"*"," "),"["," "),"]"," "),"'"," "),"#"," "),"+"," "),"&amp;"," "),"\"," "))&amp;" "</f>
        <v>  </v>
      </c>
      <c r="BG659" s="61" t="n">
        <f aca="false">IFERROR(IF(AND(TRIM(U659)="Pass",SUMPRODUCT((LEN(BC659)-LEN(SUBSTITUTE(BC659," "&amp;L_ResultBad&amp;" "," ")))/(LEN(L_ResultBad)+1))&gt;SUMPRODUCT((LEN(BC659)-LEN(SUBSTITUTE(BC659," "&amp;L_NegPhrase&amp;" "," ")))/(LEN(L_NegPhrase)+1))),1,0),0)</f>
        <v>0</v>
      </c>
      <c r="BH659" s="61" t="n">
        <f aca="false">IFERROR(IF(SUMPRODUCT((LEN(BC659)-LEN(SUBSTITUTE(BC659," "&amp;L_Pending&amp;" "," ")))/(LEN(L_Pending)+1))&gt;SUMPRODUCT((LEN(BC659)-LEN(SUBSTITUTE(BC659," "&amp;L_PendNeg&amp;" "," ")))/(LEN(L_PendNeg)+1))+SUMPRODUCT((LEN(BC659)-LEN(SUBSTITUTE(BC659," "&amp;L_PendPrep&amp;" "," ")))/(LEN(L_PendPrep)+1)),1,0),1)</f>
        <v>0</v>
      </c>
      <c r="BI659" s="61" t="n">
        <f aca="false">IFERROR(IF(SUMPRODUCT((LEN(BD659)-LEN(SUBSTITUTE(BD659," "&amp;L_PendStrict&amp;" "," ")))/(LEN(L_PendStrict)+1))&gt;SUMPRODUCT((LEN(BD659)-LEN(SUBSTITUTE(BD659," "&amp;L_PendNeg&amp;" "," ")))/(LEN(L_PendNeg)+1)),1,0),1)</f>
        <v>0</v>
      </c>
      <c r="BJ659" s="61" t="n">
        <f aca="false">IFERROR(IF(SUMPRODUCT((LEN(BE659)-LEN(SUBSTITUTE(BE659," "&amp;L_Pending&amp;" "," ")))/(LEN(L_Pending)+1))&gt;SUMPRODUCT((LEN(BE659)-LEN(SUBSTITUTE(BE659," "&amp;L_PendNeg&amp;" "," ")))/(LEN(L_PendNeg)+1))+SUMPRODUCT((LEN(BE659)-LEN(SUBSTITUTE(BE659," "&amp;L_PendPrep&amp;" "," ")))/(LEN(L_PendPrep)+1)),1,0),1)</f>
        <v>0</v>
      </c>
      <c r="BK659" s="61" t="n">
        <f aca="false">IFERROR(IF(SUMPRODUCT((LEN(BF659)-LEN(SUBSTITUTE(BF659," "&amp;L_PendStrict&amp;" "," ")))/(LEN(L_PendStrict)+1))&gt;SUMPRODUCT((LEN(BF659)-LEN(SUBSTITUTE(BF659," "&amp;L_PendNeg&amp;" "," ")))/(LEN(L_PendNeg)+1)),1,0),1)</f>
        <v>0</v>
      </c>
      <c r="BL659" s="61" t="n">
        <f aca="false">IF(ISNA(MATCH(TRIM(S659),L_EvidenceType,0)),0,BZ659)</f>
        <v>0</v>
      </c>
      <c r="BM659" s="61" t="str">
        <f aca="false">SUBSTITUTE(SUBSTITUTE(SUBSTITUTE(SUBSTITUTE(SUBSTITUTE(SUBSTITUTE(SUBSTITUTE(SUBSTITUTE(SUBSTITUTE(LOWER(Z659&amp;""),"1","0"),"2","0"),"3","0"),"4","0"),"5","0"),"6","0"),"7","0"),"8","0"),"9","0")</f>
        <v/>
      </c>
      <c r="BN659" s="61" t="str">
        <f aca="false">SUBSTITUTE(SUBSTITUTE(SUBSTITUTE(SUBSTITUTE(SUBSTITUTE(SUBSTITUTE(SUBSTITUTE(SUBSTITUTE(SUBSTITUTE(SUBSTITUTE(SUBSTITUTE(SUBSTITUTE(SUBSTITUTE(SUBSTITUTE(SUBSTITUTE(SUBSTITUTE(SUBSTITUTE(SUBSTITUTE(SUBSTITUTE(SUBSTITUTE(SUBSTITUTE(SUBSTITUTE(SUBSTITUTE(SUBSTITUTE(SUBSTITUTE(BM659,"b","a"),"c","a"),"d","a"),"e","a"),"f","a"),"g","a"),"h","a"),"i","a"),"j","a"),"k","a"),"l","a"),"m","a"),"n","a"),"o","a"),"p","a"),"q","a"),"r","a"),"s","a"),"t","a"),"u","a"),"v","a"),"w","a"),"x","a"),"y","a"),"z","a")</f>
        <v/>
      </c>
      <c r="BO659" s="61" t="str">
        <f aca="false">SUBSTITUTE(SUBSTITUTE(SUBSTITUTE(SUBSTITUTE(SUBSTITUTE(SUBSTITUTE(SUBSTITUTE(SUBSTITUTE(SUBSTITUTE(LOWER(W659&amp;""),"1","0"),"2","0"),"3","0"),"4","0"),"5","0"),"6","0"),"7","0"),"8","0"),"9","0")</f>
        <v/>
      </c>
      <c r="BP659" s="61" t="str">
        <f aca="false">SUBSTITUTE(SUBSTITUTE(SUBSTITUTE(SUBSTITUTE(SUBSTITUTE(SUBSTITUTE(SUBSTITUTE(SUBSTITUTE(SUBSTITUTE(SUBSTITUTE(SUBSTITUTE(SUBSTITUTE(SUBSTITUTE(SUBSTITUTE(SUBSTITUTE(SUBSTITUTE(SUBSTITUTE(SUBSTITUTE(SUBSTITUTE(SUBSTITUTE(SUBSTITUTE(SUBSTITUTE(SUBSTITUTE(SUBSTITUTE(SUBSTITUTE(BO659,"b","a"),"c","a"),"d","a"),"e","a"),"f","a"),"g","a"),"h","a"),"i","a"),"j","a"),"k","a"),"l","a"),"m","a"),"n","a"),"o","a"),"p","a"),"q","a"),"r","a"),"s","a"),"t","a"),"u","a"),"v","a"),"w","a"),"x","a"),"y","a"),"z","a")</f>
        <v/>
      </c>
      <c r="BQ659" s="61" t="n">
        <f aca="false">IFERROR(IF(AND(ISERROR(SEARCH(" mh"," "&amp;LOWER(W659))),ISNA(MATCH(LEFT(TRIM(BP659),255),{"0000a","000a","00a","0000aa","000aa","00aa","0aa","0000aaa","000aaa","00a00","0a00","0000-0000","00:00","a00","a0","00.00.0000","00/00/0000","00-00-0000","0000-00-00","0000/00/00","0000.00.00","00.00.00","00/00/00","00-00-00","0.00.0000","0/00/0000","0-00-0000"},0)),ISNA(MATCH(LEFT(TRIM(CA659),255),{"0000a","000a","00a","0000aa","000aa","00aa","0aa","0000aaa","000aaa","00a00","0a00","0000-0000","00:00","a00","a0","00.00.0000","00/00/0000","00-00-0000","0000-00-00","0000/00/00","0000.00.00","00.00.00","00/00/00","00-00-00","0.00.0000","0/00/0000","0-00-0000"},0)),LEN(CB659)&gt;=3,NOT(OR(SUBSTITUTE(CB659,"0","")="",AND(LEN(CB659)&gt;=4,CB659=REPT(LEFT(CB659),LEN(CB659))),ISNUMBER(MATCH(CB659,{"123","1234","12345","123456","1234567","12345678","0123","01234","012345","98765","987654","54321"},0)),AND(LEN(CB659)=8,LEFT(CB659,3)="202"))),OR(AND((LEN(CA659)-LEN(SUBSTITUTE(CA659,"a","")))&gt;=1,SUMPRODUCT(--ISNUMBER(SEARCH({"a0","a-0","a_0","a/0","a.0","a#0","0a","0-a","0_a","0/a"},BP659)))&gt;0),ISNUMBER(SEARCH("000000",BP659)))),1,0),0)</f>
        <v>0</v>
      </c>
      <c r="BR659" s="61" t="n">
        <f aca="false">IFERROR(LEN(SUBSTITUTE(CC659," ",""))-SUMPRODUCT((LEN(CC659)-LEN(SUBSTITUTE(CC659," "&amp;L_Role&amp;" "," ")))/(LEN(L_Role)+1)*LEN(L_Role)),0)</f>
        <v>0</v>
      </c>
      <c r="BS659" s="61" t="n">
        <f aca="false">IFERROR(LEN(SUBSTITUTE(CD659," ",""))-SUMPRODUCT((LEN(CD659)-LEN(SUBSTITUTE(CD659," "&amp;L_Role&amp;" "," ")))/(LEN(L_Role)+1)*LEN(L_Role)),0)</f>
        <v>0</v>
      </c>
      <c r="BT6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659,"revision",""),"version",""),"jan",""),"feb",""),"mar",""),"apr",""),"may",""),"jun",""),"jul",""),"aug",""),"sep",""),"oct",""),"nov",""),"dec",""),"utc",""),"gmt",""),"myt",""),"bst",""),"rev",""),"ver",""),"b","a"),"c","a"),"d","a"),"e","a"),"f","a"),"g","a"),"h","a"),"i","a"),"j","a"),"k","a"),"l","a"),"m","a"),"n","a"),"o","a"),"p","a"),"q","a"),"r","a"),"s","a"),"t","a"),"u","a"),"v","a"),"w","a"),"x","a"),"y","a"),"z","a")</f>
        <v/>
      </c>
      <c r="BU659" s="61" t="str">
        <f aca="false">SUBSTITUTE(SUBSTITUTE(SUBSTITUTE(SUBSTITUTE(SUBSTITUTE(SUBSTITUTE(SUBSTITUTE(SUBSTITUTE(SUBSTITUTE(SUBSTITUTE(LEFT(BM659,FIND("0",BM659&amp;"0")-1),"-",""),"_",""),"/",""),".",""),"#",""),"\\",""),":","")," ",""),"(",""),")","")</f>
        <v/>
      </c>
      <c r="BV659" s="61" t="n">
        <f aca="false">0</f>
        <v>0</v>
      </c>
      <c r="BW65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659&amp;""),"a",""),"b",""),"c",""),"d",""),"e",""),"f",""),"g",""),"h",""),"i",""),"j",""),"k",""),"l",""),"m",""),"n",""),"o",""),"p",""),"q",""),"r",""),"s",""),"t",""),"u",""),"v",""),"w",""),"x",""),"y",""),"z",""),"-",""),"_",""),"/",""),".",""),"#",""),"\\",""),":","")," ",""),"(",""),")","")</f>
        <v/>
      </c>
      <c r="BX659" s="61" t="str">
        <f aca="false">SUBSTITUTE(SUBSTITUTE(SUBSTITUTE(SUBSTITUTE(SUBSTITUTE(SUBSTITUTE(SUBSTITUTE(SUBSTITUTE(SUBSTITUTE(SUBSTITUTE(SUBSTITUTE(BM659,"0",""),"-",""),"_",""),"/",""),".",""),"#",""),"\\",""),":","")," ",""),"(",""),")","")</f>
        <v/>
      </c>
      <c r="BY659" s="62" t="n">
        <f aca="false">Q659-T12EarlyH/24</f>
        <v>46323.4375</v>
      </c>
      <c r="BZ659" s="61" t="n">
        <f aca="false">IFERROR(IF(IF(TRIM(S659)="Link / file path",AND(LEN(TRIM(Z659))&gt;=5,SUMPRODUCT(--ISNUMBER(SEARCH({"http","www.","\\",":\",".pdf",".jpg",".jpeg",".png",".heic",".xls",".doc",".msg",".eml",".ppt",".txt",".zip"},Z659)))&gt;0),AND(ISERROR(FIND(" ",TRIM(Z659))),NOT(OR(SUMPRODUCT(--ISNUMBER(FIND({",",";","&amp;","+"},Z659)))&gt;0,SUMPRODUCT(--ISNUMBER(SEARCH({"0/aa","0\\aa"},BN659)))&gt;0)),NOT(SUMPRODUCT(--ISNUMBER(SEARCH({"http","www.","\\",":\",".pdf",".jpg",".jpeg",".png",".heic",".xls",".doc",".msg",".eml",".ppt",".txt",".zip"},Z659)))&gt;0),NOT(LOWER(TRIM(Z659))=LOWER(Flights!$F$24)),ISNA(MATCH(BU659,{"mh","rev","revision","ver","version","v","r","a","b","seat","tray","row","gate","bay","stand","page","pg","item","line","no","cart","galley","flight","flt","table","box","bag","oven","etd","eta","std","sta","atd","ata","qty","pax","x","time","tel","ph","mob","day","wk","week","utc","gmt","myt","lt"},0)),NOT(OR(ISNUMBER(MATCH(LEFT(BN659,255),{"0000a","000a","00a","0000aa","000aa","00aa","0aa","0000aaa","000aaa","00a00","0a00","0000-0000","00:00","a00","a0","00.00.0000","00/00/0000","00-00-0000","0000-00-00","0000/00/00","0000.00.00","00.00.00","00/00/00","00-00-00","0.00.0000","0/00/0000","0-00-0000"},0)),ISNUMBER(MATCH(LEFT(BT659,255),{"0000a","000a","00a","0000aa","000aa","00aa","0aa","0000aaa","000aaa","00a00","0a00","0000-0000","00:00","a00","a0","00.00.0000","00/00/0000","00-00-0000","0000-00-00","0000/00/00","0000.00.00","00.00.00","00/00/00","00-00-00","0.00.0000","0/00/0000","0-00-0000"},0)))),NOT(OR(AND(BW659&lt;&gt;"",SUBSTITUTE(BW659,"0","")=""),AND(LEN(BW659)&gt;=4,BW659=REPT(LEFT(BW659),LEN(BW659))),ISNUMBER(MATCH(BW659,{"123","1234","12345","123456","1234567","12345678","0123","01234","012345","98765","987654","54321"},0)),ISNUMBER(MATCH(BX659,{"x","xx","xxx","xxxx","xxxxx","abc","abcd","nil","na","nan","test","tbc","tba","tbd","dummy","sample","example","eg","zz","zzz","none","null","xyz","qwe","asd","id","ref"},0)),AND(LEN(BW659)=8,BX659="",OR(LEFT(BW659,3)="202",ISNUMBER(MATCH(RIGHT(BW659,4),{"2025","2026","2027"},0)))))),OR(AND((LEN(BT659)-LEN(SUBSTITUTE(BT659,"a","")))&gt;=1,(LEN(BN659)-LEN(SUBSTITUTE(BN659,"0","")))&gt;=2,SUMPRODUCT(--ISNUMBER(SEARCH({"a0","a-0","a_0","a/0","a.0","a#0","0a","0-a","0_a","0/a"},BN659)))&gt;0),AND((LEN(BN659)-LEN(SUBSTITUTE(BN659,"a","")))=0,(LEN(BN659)-LEN(SUBSTITUTE(BN659,"0","")))&gt;=5)))),1,0),0)</f>
        <v>0</v>
      </c>
      <c r="CA6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659,"revision",""),"version",""),"jan",""),"feb",""),"mar",""),"apr",""),"may",""),"jun",""),"jul",""),"aug",""),"sep",""),"oct",""),"nov",""),"dec",""),"utc",""),"gmt",""),"myt",""),"bst",""),"rev",""),"ver",""),"b","a"),"c","a"),"d","a"),"e","a"),"f","a"),"g","a"),"h","a"),"i","a"),"j","a"),"k","a"),"l","a"),"m","a"),"n","a"),"o","a"),"p","a"),"q","a"),"r","a"),"s","a"),"t","a"),"u","a"),"v","a"),"w","a"),"x","a"),"y","a"),"z","a")</f>
        <v/>
      </c>
      <c r="CB65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659&amp;""),"a",""),"b",""),"c",""),"d",""),"e",""),"f",""),"g",""),"h",""),"i",""),"j",""),"k",""),"l",""),"m",""),"n",""),"o",""),"p",""),"q",""),"r",""),"s",""),"t",""),"u",""),"v",""),"w",""),"x",""),"y",""),"z",""),"-",""),"_",""),"/",""),".",""),"#",""),"\\",""),":","")," ",""),"(",""),")","")</f>
        <v/>
      </c>
      <c r="CC659" s="0" t="str">
        <f aca="false">" "&amp;TRIM(SUBSTITUTE(SUBSTITUTE(SUBSTITUTE(SUBSTITUTE(SUBSTITUTE(SUBSTITUTE(SUBSTITUTE(SUBSTITUTE(SUBSTITUTE(SUBSTITUTE(SUBSTITUTE(SUBSTITUTE(SUBSTITUTE(SUBSTITUTE(SUBSTITUTE(SUBSTITUTE(SUBSTITUTE(SUBSTITUTE(SUBSTITUTE(SUBSTITUTE(SUBSTITUTE(SUBSTITUTE(SUBSTITUTE(SUBSTITUTE(LOWER(T659&amp;""),CHAR(10)," "),CHAR(13)," "),CHAR(9)," "),CHAR(160)," "),"."," "),","," "),"-"," "),"/"," "),"("," "),")"," "),":"," "),";"," "),"_"," "),"–"," "),"?"," "),"!"," "),"*"," "),"["," "),"]"," "),"'"," "),"#"," "),"+"," "),"&amp;"," "),"\"," "))&amp;" "</f>
        <v>  </v>
      </c>
      <c r="CD659" s="0" t="str">
        <f aca="false">" "&amp;TRIM(SUBSTITUTE(SUBSTITUTE(SUBSTITUTE(SUBSTITUTE(SUBSTITUTE(SUBSTITUTE(SUBSTITUTE(SUBSTITUTE(SUBSTITUTE(SUBSTITUTE(SUBSTITUTE(SUBSTITUTE(SUBSTITUTE(SUBSTITUTE(SUBSTITUTE(SUBSTITUTE(SUBSTITUTE(SUBSTITUTE(SUBSTITUTE(SUBSTITUTE(SUBSTITUTE(SUBSTITUTE(SUBSTITUTE(SUBSTITUTE(LOWER(AE659&amp;""),CHAR(10)," "),CHAR(13)," "),CHAR(9)," "),CHAR(160)," "),"."," "),","," "),"-"," "),"/"," "),"("," "),")"," "),":"," "),";"," "),"_"," "),"–"," "),"?"," "),"!"," "),"*"," "),"["," "),"]"," "),"'"," "),"#"," "),"+"," "),"&amp;"," "),"\"," "))&amp;" "</f>
        <v>  </v>
      </c>
      <c r="CE659" s="68" t="n">
        <f aca="false">IFERROR(IF(AND(LEN(AU659)&gt;0,LEN(AU659)=LEN(AX659),OR(TRIM(MID(SUBSTITUTE(TRIM(CC659)," ",REPT(" ",60)),1,60))="",ISNUMBER(SEARCH(" "&amp;TRIM(MID(SUBSTITUTE(TRIM(CC659)," ",REPT(" ",60)),1,60))&amp;" ",CD659))),OR(TRIM(MID(SUBSTITUTE(TRIM(CC659)," ",REPT(" ",60)),61,60))="",ISNUMBER(SEARCH(" "&amp;TRIM(MID(SUBSTITUTE(TRIM(CC659)," ",REPT(" ",60)),61,60))&amp;" ",CD659))),OR(TRIM(MID(SUBSTITUTE(TRIM(CC659)," ",REPT(" ",60)),121,60))="",ISNUMBER(SEARCH(" "&amp;TRIM(MID(SUBSTITUTE(TRIM(CC659)," ",REPT(" ",60)),121,60))&amp;" ",CD659)))),1,0),0)</f>
        <v>0</v>
      </c>
      <c r="CG659" s="68" t="n">
        <f aca="false">IFERROR(LEN(SUBSTITUTE(BF659," ",""))-SUMPRODUCT((LEN(BF659)-LEN(SUBSTITUTE(BF659," "&amp;L_NAFiller&amp;" "," ")))/(LEN(L_NAFiller)+1)*LEN(L_NAFiller)),0)</f>
        <v>0</v>
      </c>
    </row>
    <row r="660" customFormat="false" ht="39.75" hidden="false" customHeight="true" outlineLevel="0" collapsed="false">
      <c r="A660" s="57" t="s">
        <v>1379</v>
      </c>
      <c r="B660" s="57" t="s">
        <v>304</v>
      </c>
      <c r="C660" s="57" t="str">
        <f aca="false">Flights!$F$24</f>
        <v>MH1450</v>
      </c>
      <c r="D660" s="58" t="n">
        <f aca="false">Flights!$D$24</f>
        <v>46324</v>
      </c>
      <c r="E660" s="57" t="str">
        <f aca="false">Flights!$G$24&amp;"-"&amp;Flights!$H$24</f>
        <v>KUL-LGK</v>
      </c>
      <c r="F660" s="57" t="str">
        <f aca="false">Flights!$K$24</f>
        <v>EY</v>
      </c>
      <c r="G660" s="57" t="s">
        <v>420</v>
      </c>
      <c r="H660" s="57" t="s">
        <v>378</v>
      </c>
      <c r="I660" s="57" t="s">
        <v>428</v>
      </c>
      <c r="J660" s="57" t="s">
        <v>438</v>
      </c>
      <c r="K660" s="67"/>
      <c r="L660" s="67" t="s">
        <v>422</v>
      </c>
      <c r="M660" s="67"/>
      <c r="N660" s="67" t="s">
        <v>383</v>
      </c>
      <c r="O660" s="67" t="s">
        <v>423</v>
      </c>
      <c r="P660" s="57" t="s">
        <v>187</v>
      </c>
      <c r="Q660" s="59" t="n">
        <f aca="false">ROUND((Flights!$AE$24)*1440,0)/1440</f>
        <v>46323.9375</v>
      </c>
      <c r="R660" s="59" t="n">
        <f aca="false">Q660+(IF(AND(INDEX(TZ_DSTS,MATCH(P660,TZ_STN,0))&lt;&gt;"",Q660&gt;=INDEX(TZ_DSTS,MATCH(P660,TZ_STN,0)),Q660&lt;INDEX(TZ_DSTE,MATCH(P660,TZ_STN,0))),INDEX(TZ_DST,MATCH(P660,TZ_STN,0)),INDEX(TZ_STD,MATCH(P660,TZ_STN,0))))/24</f>
        <v>46324.2708333333</v>
      </c>
      <c r="S660" s="60"/>
      <c r="T660" s="60"/>
      <c r="U660" s="60"/>
      <c r="V660" s="60"/>
      <c r="W660" s="61"/>
      <c r="X660" s="60"/>
      <c r="Y660" s="60"/>
      <c r="Z660" s="60"/>
      <c r="AA660" s="60"/>
      <c r="AB660" s="60"/>
      <c r="AC660" s="60"/>
      <c r="AD660" s="66"/>
      <c r="AE660" s="60"/>
      <c r="AF660" s="61" t="str">
        <f aca="false">IF(AND(ISNUMBER(X660),ISNUMBER(Y660)),Y660-X660,"")</f>
        <v/>
      </c>
      <c r="AG660" s="62" t="str">
        <f aca="false">IF(ISNUMBER(AD660),AD660-(IF(AND(INDEX(TZ_DSTS,MATCH(P660,TZ_STN,0))&lt;&gt;"",(AD660-INDEX(TZ_STD,MATCH(P660,TZ_STN,0))/24)&gt;=INDEX(TZ_DSTS,MATCH(P660,TZ_STN,0)),(AD660-INDEX(TZ_STD,MATCH(P660,TZ_STN,0))/24)&lt;INDEX(TZ_DSTE,MATCH(P660,TZ_STN,0))),INDEX(TZ_DST,MATCH(P660,TZ_STN,0)),INDEX(TZ_STD,MATCH(P660,TZ_STN,0))))/24,"")</f>
        <v/>
      </c>
      <c r="AH660" s="65" t="str">
        <f aca="false">IFERROR(IF(N660="N/A – rule",IF(OR(TRIM(U660)="",TRIM(U660)="N/A",TRIM(U660)="Not started"),"N/A – RULE","INVALID – this check does not apply to this aircraft: clear the status (or correct the fleet on Flights)"),IF(TRIM(U660)="N/A",IF(AT660=0,"INVALID – N/A not permitted for this check",IF(AND(TRIM(AB660)&lt;&gt;"",TRIM(AB660)&lt;&gt;"Closed"),"INVALID – corrective action still open",IF(AND(NOT(OR(LEN(AZ660)&lt;15,ISNUMBER(MATCH(AZ660,L_Placeholder,0)))),BK660=0,CG660&gt;=8,NOT(OR(LEN(AU660)&lt;2,ISNUMBER(MATCH(AU660,L_Placeholder,0)))),BR660&gt;=3,NOT(OR(LEN(AX660)&lt;2,ISNUMBER(MATCH(AX660,L_Placeholder,0)))),BS660&gt;=3,TRIM(AE660)&lt;&gt;TRIM(T660),AX660&lt;&gt;AU660,CE660=0),"N/A – JUSTIFIED","INVALID – N/A needs a real, settled reason (not 'not applicable' / 'as above' / TBC), a named PIC and a different named verifier"))),IF(OR(TRIM(U660)="Pass",TRIM(U660)="Pass after CA"),IF(NOT(ISNUMBER(AD660)),"INVALID – completion time missing",IF(OR(OR(LEN(AU660)&lt;2,ISNUMBER(MATCH(AU660,L_Placeholder,0))),BR660&lt;3),"INVALID – PIC missing or not a named person (a role such as QA / CSM is not a name)",IF(OR(LEN(AV660)&lt;2,ISNUMBER(MATCH(AV660,L_Placeholder,0))),"INVALID – result / assessment missing",IF(OR(OR(LEN(AW660)&lt;3,ISNUMBER(MATCH(AW660,L_Placeholder,0))),SUMPRODUCT(--ISNUMBER(SEARCH(" "&amp;L_EvidencePhrase&amp;" ",BD660)))&gt;0,BI660=1),"INVALID – evidence missing, placeholder or not yet on file",IF(ISNA(MATCH(TRIM(S660),L_EvidenceType,0)),"INVALID – choose the evidence type from the list (column S)",IF(BL660=0,"INVALID – evidence ID must be the record's own ID only (e.g. SF-2210, IMG_2231, 1045521); a link / file name needs type 'Link / file path'",IF(OR(OR(LEN(AX660)&lt;2,ISNUMBER(MATCH(AX660,L_Placeholder,0))),BS660&lt;3),"INVALID – verifier missing or not a named person (a role such as QA / CSM is not a name)",IF(OR(AX660=AU660,CE660=1,AND(LEN(AU660)&gt;=4,ISNUMBER(SEARCH(AU660,AX660))),AND(LEN(AX660)&gt;=4,ISNUMBER(SEARCH(AX660,AU660)))),"INVALID – verifier must be a different, named person (not the PIC or a role)",IF(BH660=1,"INVALID – result not yet available (awaiting / TBC)",IF(BG660=1,"INVALID – result describes a problem: record Fail, then Pass after CA (or reword if it is not a problem)",IF(BV660=1,"INVALID – wording says not on board: an on-board confirmation needs the item loaded",IF(AND(AQ660=1,OR(OR(LEN(AY660)&lt;3,ISNUMBER(MATCH(AY660,L_Placeholder,0))),BJ660=1,BQ660=0)),"INVALID – batch ID missing, placeholder or not an ID (e.g. PASB-261008-BC-017)",IF(AND(AR660=1,OR(NOT(ISNUMBER(X660)),NOT(ISNUMBER(Y660)))),"INVALID – expected/actual qty missing",IF(AND(AR660=1,OR(X660&lt;=0,Y660&lt;0)),"INVALID – expected qty must be above 0 and actual not negative",IF(BB660&lt;&gt;"",BB660,IF(AND(AS660=1,Documents!$J$24&lt;&gt;"ON FILE"),"INVALID – GLD not on file (Documents sheet)",IF(AND(AS660=2,Documents!$O$24&lt;&gt;"ON FILE"),"INVALID – menu checklist not on file (Documents sheet)",IF(AND(AS660=3,NOT(ISNUMBER(Flights!$AX$24))),"INVALID – enter carrying flight KUL departure (Flights AX)",IF(AND(AS660=3,OR(Flights!$AZ$24&gt;Flights!$AA$24,Flights!$AX$24&lt;Flights!$AA$24-3)),"INVALID – carrying flight (Flights AX) cannot arrive before this leg's STD, or is over 3 days early",IF(AG660&gt;AsOfUTC,"INVALID – completion time is in the future",IF(AND(ISNUMBER(BY660),AG660&lt;BY660),IF(H660="Physical uplift","INVALID – before uplift window (cannot confirm loading)","INVALID – before valid window"),IF(AG660&gt;Flights!$AA$24,"INVALID – completed after departure (cannot establish readiness)",IF(AND(H660="Preparation",AG660&gt;=IF(ISNUMBER(Flights!$BA$24),MIN(Flights!$BA$24,Flights!$AA$24),Flights!$AA$24)),"INVALID – completed after loading / departure (cannot establish readiness)",IF(AND(H660="Physical uplift",AG660&gt;Q660),"INVALID – recorded after the loading flight departed",IF(AG660&gt;Q660,"COMPLETE – LATE","COMPLETE"))))))))))))))))))))))))),IF(TRIM(U660)="Fail","FAIL – DISCREPANCY",IF(AND(TRIM(U660)&lt;&gt;"",TRIM(U660)&lt;&gt;"Not started",TRIM(U660)&lt;&gt;"In progress"),"INVALID – unrecognised status (use the list)",IF(AsOfUTC&gt;Q660,"OVERDUE",IF(N660="Clarification required","OPEN – CLARIFICATION","OPEN"))))))),"INVALID – error value in an input cell")</f>
        <v>OPEN</v>
      </c>
      <c r="AI660" s="61" t="n">
        <f aca="false">IF(OR(AH660="N/A – RULE",AH660="N/A – JUSTIFIED"),0,1)</f>
        <v>1</v>
      </c>
      <c r="AJ660" s="61" t="n">
        <f aca="false">IF(LEFT(AH660,8)="COMPLETE",1,0)</f>
        <v>0</v>
      </c>
      <c r="AK660" s="61" t="n">
        <f aca="false">IF(AND(AI660=1,AJ660=0,AsOfUTC&gt;Q660),1,0)</f>
        <v>0</v>
      </c>
      <c r="AL660" s="61" t="n">
        <f aca="false">IFERROR(IF(AND(AI660=1,OR(TRIM(U660)="Fail",AND(TRIM(AB660)&lt;&gt;"",TRIM(AB660)&lt;&gt;"Closed"),AND(ISNUMBER(AF660),AF660&lt;&gt;0,TRIM(U660)&lt;&gt;"Pass after CA"))),1,0),1)</f>
        <v>0</v>
      </c>
      <c r="AM660" s="61" t="n">
        <f aca="false">IF(LEFT(AH660,7)="INVALID",1,0)</f>
        <v>0</v>
      </c>
      <c r="AN660" s="61" t="n">
        <f aca="false">IF(AND(N660="Clarification required",AI660=1,AJ660=0),1,0)</f>
        <v>0</v>
      </c>
      <c r="AO660" s="61" t="str">
        <f aca="false">IF(AK660=1,SUM(AK$5:AK660),"")</f>
        <v/>
      </c>
      <c r="AP660" s="61" t="str">
        <f aca="false">IF(AL660=1,SUM(AL$5:AL660),"")</f>
        <v/>
      </c>
      <c r="AQ660" s="61" t="n">
        <v>0</v>
      </c>
      <c r="AR660" s="61" t="n">
        <v>0</v>
      </c>
      <c r="AS660" s="61" t="n">
        <v>0</v>
      </c>
      <c r="AT660" s="61" t="n">
        <v>0</v>
      </c>
      <c r="AU660" s="61" t="str">
        <f aca="false">SUBSTITUTE(SUBSTITUTE(SUBSTITUTE(SUBSTITUTE(SUBSTITUTE(SUBSTITUTE(SUBSTITUTE(SUBSTITUTE(SUBSTITUTE(SUBSTITUTE(SUBSTITUTE(SUBSTITUTE(SUBSTITUTE(SUBSTITUTE(SUBSTITUTE(SUBSTITUTE(LOWER(T660&amp;""),CHAR(10),""),CHAR(13),""),CHAR(9),""),CHAR(160),"")," ",""),".",""),"-",""),"/",""),"?",""),"_",""),",",""),"[",""),"]",""),"(",""),")",""),"*","")</f>
        <v/>
      </c>
      <c r="AV660" s="61" t="str">
        <f aca="false">SUBSTITUTE(SUBSTITUTE(SUBSTITUTE(SUBSTITUTE(SUBSTITUTE(SUBSTITUTE(SUBSTITUTE(SUBSTITUTE(SUBSTITUTE(SUBSTITUTE(SUBSTITUTE(SUBSTITUTE(SUBSTITUTE(SUBSTITUTE(SUBSTITUTE(SUBSTITUTE(LOWER(V660&amp;""),CHAR(10),""),CHAR(13),""),CHAR(9),""),CHAR(160),"")," ",""),".",""),"-",""),"/",""),"?",""),"_",""),",",""),"[",""),"]",""),"(",""),")",""),"*","")</f>
        <v/>
      </c>
      <c r="AW660" s="61" t="str">
        <f aca="false">SUBSTITUTE(SUBSTITUTE(SUBSTITUTE(SUBSTITUTE(SUBSTITUTE(SUBSTITUTE(SUBSTITUTE(SUBSTITUTE(SUBSTITUTE(SUBSTITUTE(SUBSTITUTE(SUBSTITUTE(SUBSTITUTE(SUBSTITUTE(SUBSTITUTE(SUBSTITUTE(LOWER(Z660&amp;""),CHAR(10),""),CHAR(13),""),CHAR(9),""),CHAR(160),"")," ",""),".",""),"-",""),"/",""),"?",""),"_",""),",",""),"[",""),"]",""),"(",""),")",""),"*","")</f>
        <v/>
      </c>
      <c r="AX660" s="61" t="str">
        <f aca="false">SUBSTITUTE(SUBSTITUTE(SUBSTITUTE(SUBSTITUTE(SUBSTITUTE(SUBSTITUTE(SUBSTITUTE(SUBSTITUTE(SUBSTITUTE(SUBSTITUTE(SUBSTITUTE(SUBSTITUTE(SUBSTITUTE(SUBSTITUTE(SUBSTITUTE(SUBSTITUTE(LOWER(AE660&amp;""),CHAR(10),""),CHAR(13),""),CHAR(9),""),CHAR(160),"")," ",""),".",""),"-",""),"/",""),"?",""),"_",""),",",""),"[",""),"]",""),"(",""),")",""),"*","")</f>
        <v/>
      </c>
      <c r="AY660" s="61" t="str">
        <f aca="false">SUBSTITUTE(SUBSTITUTE(SUBSTITUTE(SUBSTITUTE(SUBSTITUTE(SUBSTITUTE(SUBSTITUTE(SUBSTITUTE(SUBSTITUTE(SUBSTITUTE(SUBSTITUTE(SUBSTITUTE(SUBSTITUTE(SUBSTITUTE(SUBSTITUTE(SUBSTITUTE(LOWER(W660&amp;""),CHAR(10),""),CHAR(13),""),CHAR(9),""),CHAR(160),"")," ",""),".",""),"-",""),"/",""),"?",""),"_",""),",",""),"[",""),"]",""),"(",""),")",""),"*","")</f>
        <v/>
      </c>
      <c r="AZ660" s="61" t="str">
        <f aca="false">SUBSTITUTE(SUBSTITUTE(SUBSTITUTE(SUBSTITUTE(SUBSTITUTE(SUBSTITUTE(SUBSTITUTE(SUBSTITUTE(SUBSTITUTE(SUBSTITUTE(SUBSTITUTE(SUBSTITUTE(SUBSTITUTE(SUBSTITUTE(SUBSTITUTE(SUBSTITUTE(LOWER(AC660&amp;""),CHAR(10),""),CHAR(13),""),CHAR(9),""),CHAR(160),"")," ",""),".",""),"-",""),"/",""),"?",""),"_",""),",",""),"[",""),"]",""),"(",""),")",""),"*","")</f>
        <v/>
      </c>
      <c r="BA660" s="61" t="str">
        <f aca="false">SUBSTITUTE(SUBSTITUTE(SUBSTITUTE(SUBSTITUTE(SUBSTITUTE(SUBSTITUTE(SUBSTITUTE(SUBSTITUTE(SUBSTITUTE(SUBSTITUTE(SUBSTITUTE(SUBSTITUTE(SUBSTITUTE(SUBSTITUTE(SUBSTITUTE(SUBSTITUTE(LOWER(AA660&amp;""),CHAR(10),""),CHAR(13),""),CHAR(9),""),CHAR(160),"")," ",""),".",""),"-",""),"/",""),"?",""),"_",""),",",""),"[",""),"]",""),"(",""),")",""),"*","")</f>
        <v/>
      </c>
      <c r="BB660" s="61" t="str">
        <f aca="false">IF(AND(TRIM(U660)="Pass",ISNUMBER(AF660)),IF(AF660&lt;&gt;0,"INVALID – qty variance: use Fail or Pass after CA",""),"")&amp;IF(AND(TRIM(U660)="Pass after CA",ISNUMBER(AF660)),IF(AF660&lt;&gt;0,"INVALID – after the corrective action the actual qty must equal expected (update Actual)",""),"")&amp;IF(AND(TRIM(U660)="Pass",TRIM(AB660)&lt;&gt;"",TRIM(AB660)&lt;&gt;"Closed"),"INVALID – corrective action not closed: use Fail, then Pass after CA","")&amp;IF(AND(LEN(BA660)&gt;=2,ISNA(MATCH(LEFT(BA660,255),L_Placeholder,0)),TRIM(AB660)=""),"INVALID – CA status missing for the recorded corrective action","")&amp;IF(AND(TRIM(U660)="Pass after CA",OR(OR(LEN(BA660)&lt;5,ISNUMBER(MATCH(BA660,L_Placeholder,0))),TRIM(AB660)&lt;&gt;"Closed")),"INVALID – corrective action not recorded/closed","")</f>
        <v/>
      </c>
      <c r="BC660" s="61" t="str">
        <f aca="false">" "&amp;TRIM(SUBSTITUTE(SUBSTITUTE(SUBSTITUTE(SUBSTITUTE(SUBSTITUTE(SUBSTITUTE(SUBSTITUTE(SUBSTITUTE(SUBSTITUTE(SUBSTITUTE(SUBSTITUTE(SUBSTITUTE(SUBSTITUTE(SUBSTITUTE(SUBSTITUTE(SUBSTITUTE(SUBSTITUTE(SUBSTITUTE(SUBSTITUTE(SUBSTITUTE(SUBSTITUTE(SUBSTITUTE(SUBSTITUTE(SUBSTITUTE(LOWER(V660&amp;""),CHAR(10)," "),CHAR(13)," "),CHAR(9)," "),CHAR(160)," "),"."," "),","," "),"-"," "),"/"," "),"("," "),")"," "),":"," "),";"," "),"_"," "),"–"," "),"?"," "),"!"," "),"*"," "),"["," "),"]"," "),"'"," "),"#"," "),"+"," "),"&amp;"," "),"\"," "))&amp;" "</f>
        <v>  </v>
      </c>
      <c r="BD660" s="61" t="str">
        <f aca="false">" "&amp;TRIM(SUBSTITUTE(SUBSTITUTE(SUBSTITUTE(SUBSTITUTE(SUBSTITUTE(SUBSTITUTE(SUBSTITUTE(SUBSTITUTE(SUBSTITUTE(SUBSTITUTE(SUBSTITUTE(SUBSTITUTE(SUBSTITUTE(SUBSTITUTE(SUBSTITUTE(SUBSTITUTE(SUBSTITUTE(SUBSTITUTE(SUBSTITUTE(SUBSTITUTE(SUBSTITUTE(SUBSTITUTE(SUBSTITUTE(SUBSTITUTE(LOWER(Z660&amp;""),CHAR(10)," "),CHAR(13)," "),CHAR(9)," "),CHAR(160)," "),"."," "),","," "),"-"," "),"/"," "),"("," "),")"," "),":"," "),";"," "),"_"," "),"–"," "),"?"," "),"!"," "),"*"," "),"["," "),"]"," "),"'"," "),"#"," "),"+"," "),"&amp;"," "),"\"," "))&amp;" "</f>
        <v>  </v>
      </c>
      <c r="BE660" s="61" t="str">
        <f aca="false">" "&amp;TRIM(SUBSTITUTE(SUBSTITUTE(SUBSTITUTE(SUBSTITUTE(SUBSTITUTE(SUBSTITUTE(SUBSTITUTE(SUBSTITUTE(SUBSTITUTE(SUBSTITUTE(SUBSTITUTE(SUBSTITUTE(SUBSTITUTE(SUBSTITUTE(SUBSTITUTE(SUBSTITUTE(SUBSTITUTE(SUBSTITUTE(SUBSTITUTE(SUBSTITUTE(SUBSTITUTE(SUBSTITUTE(SUBSTITUTE(SUBSTITUTE(LOWER(W660&amp;""),CHAR(10)," "),CHAR(13)," "),CHAR(9)," "),CHAR(160)," "),"."," "),","," "),"-"," "),"/"," "),"("," "),")"," "),":"," "),";"," "),"_"," "),"–"," "),"?"," "),"!"," "),"*"," "),"["," "),"]"," "),"'"," "),"#"," "),"+"," "),"&amp;"," "),"\"," "))&amp;" "</f>
        <v>  </v>
      </c>
      <c r="BF660" s="61" t="str">
        <f aca="false">" "&amp;TRIM(SUBSTITUTE(SUBSTITUTE(SUBSTITUTE(SUBSTITUTE(SUBSTITUTE(SUBSTITUTE(SUBSTITUTE(SUBSTITUTE(SUBSTITUTE(SUBSTITUTE(SUBSTITUTE(SUBSTITUTE(SUBSTITUTE(SUBSTITUTE(SUBSTITUTE(SUBSTITUTE(SUBSTITUTE(SUBSTITUTE(SUBSTITUTE(SUBSTITUTE(SUBSTITUTE(SUBSTITUTE(SUBSTITUTE(SUBSTITUTE(LOWER(AC660&amp;""),CHAR(10)," "),CHAR(13)," "),CHAR(9)," "),CHAR(160)," "),"."," "),","," "),"-"," "),"/"," "),"("," "),")"," "),":"," "),";"," "),"_"," "),"–"," "),"?"," "),"!"," "),"*"," "),"["," "),"]"," "),"'"," "),"#"," "),"+"," "),"&amp;"," "),"\"," "))&amp;" "</f>
        <v>  </v>
      </c>
      <c r="BG660" s="61" t="n">
        <f aca="false">IFERROR(IF(AND(TRIM(U660)="Pass",SUMPRODUCT((LEN(BC660)-LEN(SUBSTITUTE(BC660," "&amp;L_ResultBad&amp;" "," ")))/(LEN(L_ResultBad)+1))&gt;SUMPRODUCT((LEN(BC660)-LEN(SUBSTITUTE(BC660," "&amp;L_NegPhrase&amp;" "," ")))/(LEN(L_NegPhrase)+1))),1,0),0)</f>
        <v>0</v>
      </c>
      <c r="BH660" s="61" t="n">
        <f aca="false">IFERROR(IF(SUMPRODUCT((LEN(BC660)-LEN(SUBSTITUTE(BC660," "&amp;L_Pending&amp;" "," ")))/(LEN(L_Pending)+1))&gt;SUMPRODUCT((LEN(BC660)-LEN(SUBSTITUTE(BC660," "&amp;L_PendNeg&amp;" "," ")))/(LEN(L_PendNeg)+1))+SUMPRODUCT((LEN(BC660)-LEN(SUBSTITUTE(BC660," "&amp;L_PendPrep&amp;" "," ")))/(LEN(L_PendPrep)+1)),1,0),1)</f>
        <v>0</v>
      </c>
      <c r="BI660" s="61" t="n">
        <f aca="false">IFERROR(IF(SUMPRODUCT((LEN(BD660)-LEN(SUBSTITUTE(BD660," "&amp;L_PendStrict&amp;" "," ")))/(LEN(L_PendStrict)+1))&gt;SUMPRODUCT((LEN(BD660)-LEN(SUBSTITUTE(BD660," "&amp;L_PendNeg&amp;" "," ")))/(LEN(L_PendNeg)+1)),1,0),1)</f>
        <v>0</v>
      </c>
      <c r="BJ660" s="61" t="n">
        <f aca="false">IFERROR(IF(SUMPRODUCT((LEN(BE660)-LEN(SUBSTITUTE(BE660," "&amp;L_Pending&amp;" "," ")))/(LEN(L_Pending)+1))&gt;SUMPRODUCT((LEN(BE660)-LEN(SUBSTITUTE(BE660," "&amp;L_PendNeg&amp;" "," ")))/(LEN(L_PendNeg)+1))+SUMPRODUCT((LEN(BE660)-LEN(SUBSTITUTE(BE660," "&amp;L_PendPrep&amp;" "," ")))/(LEN(L_PendPrep)+1)),1,0),1)</f>
        <v>0</v>
      </c>
      <c r="BK660" s="61" t="n">
        <f aca="false">IFERROR(IF(SUMPRODUCT((LEN(BF660)-LEN(SUBSTITUTE(BF660," "&amp;L_PendStrict&amp;" "," ")))/(LEN(L_PendStrict)+1))&gt;SUMPRODUCT((LEN(BF660)-LEN(SUBSTITUTE(BF660," "&amp;L_PendNeg&amp;" "," ")))/(LEN(L_PendNeg)+1)),1,0),1)</f>
        <v>0</v>
      </c>
      <c r="BL660" s="61" t="n">
        <f aca="false">IF(ISNA(MATCH(TRIM(S660),L_EvidenceType,0)),0,BZ660)</f>
        <v>0</v>
      </c>
      <c r="BM660" s="61" t="str">
        <f aca="false">SUBSTITUTE(SUBSTITUTE(SUBSTITUTE(SUBSTITUTE(SUBSTITUTE(SUBSTITUTE(SUBSTITUTE(SUBSTITUTE(SUBSTITUTE(LOWER(Z660&amp;""),"1","0"),"2","0"),"3","0"),"4","0"),"5","0"),"6","0"),"7","0"),"8","0"),"9","0")</f>
        <v/>
      </c>
      <c r="BN660" s="61" t="str">
        <f aca="false">SUBSTITUTE(SUBSTITUTE(SUBSTITUTE(SUBSTITUTE(SUBSTITUTE(SUBSTITUTE(SUBSTITUTE(SUBSTITUTE(SUBSTITUTE(SUBSTITUTE(SUBSTITUTE(SUBSTITUTE(SUBSTITUTE(SUBSTITUTE(SUBSTITUTE(SUBSTITUTE(SUBSTITUTE(SUBSTITUTE(SUBSTITUTE(SUBSTITUTE(SUBSTITUTE(SUBSTITUTE(SUBSTITUTE(SUBSTITUTE(SUBSTITUTE(BM660,"b","a"),"c","a"),"d","a"),"e","a"),"f","a"),"g","a"),"h","a"),"i","a"),"j","a"),"k","a"),"l","a"),"m","a"),"n","a"),"o","a"),"p","a"),"q","a"),"r","a"),"s","a"),"t","a"),"u","a"),"v","a"),"w","a"),"x","a"),"y","a"),"z","a")</f>
        <v/>
      </c>
      <c r="BO660" s="61" t="str">
        <f aca="false">SUBSTITUTE(SUBSTITUTE(SUBSTITUTE(SUBSTITUTE(SUBSTITUTE(SUBSTITUTE(SUBSTITUTE(SUBSTITUTE(SUBSTITUTE(LOWER(W660&amp;""),"1","0"),"2","0"),"3","0"),"4","0"),"5","0"),"6","0"),"7","0"),"8","0"),"9","0")</f>
        <v/>
      </c>
      <c r="BP660" s="61" t="str">
        <f aca="false">SUBSTITUTE(SUBSTITUTE(SUBSTITUTE(SUBSTITUTE(SUBSTITUTE(SUBSTITUTE(SUBSTITUTE(SUBSTITUTE(SUBSTITUTE(SUBSTITUTE(SUBSTITUTE(SUBSTITUTE(SUBSTITUTE(SUBSTITUTE(SUBSTITUTE(SUBSTITUTE(SUBSTITUTE(SUBSTITUTE(SUBSTITUTE(SUBSTITUTE(SUBSTITUTE(SUBSTITUTE(SUBSTITUTE(SUBSTITUTE(SUBSTITUTE(BO660,"b","a"),"c","a"),"d","a"),"e","a"),"f","a"),"g","a"),"h","a"),"i","a"),"j","a"),"k","a"),"l","a"),"m","a"),"n","a"),"o","a"),"p","a"),"q","a"),"r","a"),"s","a"),"t","a"),"u","a"),"v","a"),"w","a"),"x","a"),"y","a"),"z","a")</f>
        <v/>
      </c>
      <c r="BQ660" s="61" t="n">
        <f aca="false">IFERROR(IF(AND(ISERROR(SEARCH(" mh"," "&amp;LOWER(W660))),ISNA(MATCH(LEFT(TRIM(BP660),255),{"0000a","000a","00a","0000aa","000aa","00aa","0aa","0000aaa","000aaa","00a00","0a00","0000-0000","00:00","a00","a0","00.00.0000","00/00/0000","00-00-0000","0000-00-00","0000/00/00","0000.00.00","00.00.00","00/00/00","00-00-00","0.00.0000","0/00/0000","0-00-0000"},0)),ISNA(MATCH(LEFT(TRIM(CA660),255),{"0000a","000a","00a","0000aa","000aa","00aa","0aa","0000aaa","000aaa","00a00","0a00","0000-0000","00:00","a00","a0","00.00.0000","00/00/0000","00-00-0000","0000-00-00","0000/00/00","0000.00.00","00.00.00","00/00/00","00-00-00","0.00.0000","0/00/0000","0-00-0000"},0)),LEN(CB660)&gt;=3,NOT(OR(SUBSTITUTE(CB660,"0","")="",AND(LEN(CB660)&gt;=4,CB660=REPT(LEFT(CB660),LEN(CB660))),ISNUMBER(MATCH(CB660,{"123","1234","12345","123456","1234567","12345678","0123","01234","012345","98765","987654","54321"},0)),AND(LEN(CB660)=8,LEFT(CB660,3)="202"))),OR(AND((LEN(CA660)-LEN(SUBSTITUTE(CA660,"a","")))&gt;=1,SUMPRODUCT(--ISNUMBER(SEARCH({"a0","a-0","a_0","a/0","a.0","a#0","0a","0-a","0_a","0/a"},BP660)))&gt;0),ISNUMBER(SEARCH("000000",BP660)))),1,0),0)</f>
        <v>0</v>
      </c>
      <c r="BR660" s="61" t="n">
        <f aca="false">IFERROR(LEN(SUBSTITUTE(CC660," ",""))-SUMPRODUCT((LEN(CC660)-LEN(SUBSTITUTE(CC660," "&amp;L_Role&amp;" "," ")))/(LEN(L_Role)+1)*LEN(L_Role)),0)</f>
        <v>0</v>
      </c>
      <c r="BS660" s="61" t="n">
        <f aca="false">IFERROR(LEN(SUBSTITUTE(CD660," ",""))-SUMPRODUCT((LEN(CD660)-LEN(SUBSTITUTE(CD660," "&amp;L_Role&amp;" "," ")))/(LEN(L_Role)+1)*LEN(L_Role)),0)</f>
        <v>0</v>
      </c>
      <c r="BT6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660,"revision",""),"version",""),"jan",""),"feb",""),"mar",""),"apr",""),"may",""),"jun",""),"jul",""),"aug",""),"sep",""),"oct",""),"nov",""),"dec",""),"utc",""),"gmt",""),"myt",""),"bst",""),"rev",""),"ver",""),"b","a"),"c","a"),"d","a"),"e","a"),"f","a"),"g","a"),"h","a"),"i","a"),"j","a"),"k","a"),"l","a"),"m","a"),"n","a"),"o","a"),"p","a"),"q","a"),"r","a"),"s","a"),"t","a"),"u","a"),"v","a"),"w","a"),"x","a"),"y","a"),"z","a")</f>
        <v/>
      </c>
      <c r="BU660" s="61" t="str">
        <f aca="false">SUBSTITUTE(SUBSTITUTE(SUBSTITUTE(SUBSTITUTE(SUBSTITUTE(SUBSTITUTE(SUBSTITUTE(SUBSTITUTE(SUBSTITUTE(SUBSTITUTE(LEFT(BM660,FIND("0",BM660&amp;"0")-1),"-",""),"_",""),"/",""),".",""),"#",""),"\\",""),":","")," ",""),"(",""),")","")</f>
        <v/>
      </c>
      <c r="BV660" s="61" t="n">
        <f aca="false">0</f>
        <v>0</v>
      </c>
      <c r="BW66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660&amp;""),"a",""),"b",""),"c",""),"d",""),"e",""),"f",""),"g",""),"h",""),"i",""),"j",""),"k",""),"l",""),"m",""),"n",""),"o",""),"p",""),"q",""),"r",""),"s",""),"t",""),"u",""),"v",""),"w",""),"x",""),"y",""),"z",""),"-",""),"_",""),"/",""),".",""),"#",""),"\\",""),":","")," ",""),"(",""),")","")</f>
        <v/>
      </c>
      <c r="BX660" s="61" t="str">
        <f aca="false">SUBSTITUTE(SUBSTITUTE(SUBSTITUTE(SUBSTITUTE(SUBSTITUTE(SUBSTITUTE(SUBSTITUTE(SUBSTITUTE(SUBSTITUTE(SUBSTITUTE(SUBSTITUTE(BM660,"0",""),"-",""),"_",""),"/",""),".",""),"#",""),"\\",""),":","")," ",""),"(",""),")","")</f>
        <v/>
      </c>
      <c r="BY660" s="62" t="n">
        <f aca="false">Q660-T12EarlyH/24</f>
        <v>46323.4375</v>
      </c>
      <c r="BZ660" s="61" t="n">
        <f aca="false">IFERROR(IF(IF(TRIM(S660)="Link / file path",AND(LEN(TRIM(Z660))&gt;=5,SUMPRODUCT(--ISNUMBER(SEARCH({"http","www.","\\",":\",".pdf",".jpg",".jpeg",".png",".heic",".xls",".doc",".msg",".eml",".ppt",".txt",".zip"},Z660)))&gt;0),AND(ISERROR(FIND(" ",TRIM(Z660))),NOT(OR(SUMPRODUCT(--ISNUMBER(FIND({",",";","&amp;","+"},Z660)))&gt;0,SUMPRODUCT(--ISNUMBER(SEARCH({"0/aa","0\\aa"},BN660)))&gt;0)),NOT(SUMPRODUCT(--ISNUMBER(SEARCH({"http","www.","\\",":\",".pdf",".jpg",".jpeg",".png",".heic",".xls",".doc",".msg",".eml",".ppt",".txt",".zip"},Z660)))&gt;0),NOT(LOWER(TRIM(Z660))=LOWER(Flights!$F$24)),ISNA(MATCH(BU660,{"mh","rev","revision","ver","version","v","r","a","b","seat","tray","row","gate","bay","stand","page","pg","item","line","no","cart","galley","flight","flt","table","box","bag","oven","etd","eta","std","sta","atd","ata","qty","pax","x","time","tel","ph","mob","day","wk","week","utc","gmt","myt","lt"},0)),NOT(OR(ISNUMBER(MATCH(LEFT(BN660,255),{"0000a","000a","00a","0000aa","000aa","00aa","0aa","0000aaa","000aaa","00a00","0a00","0000-0000","00:00","a00","a0","00.00.0000","00/00/0000","00-00-0000","0000-00-00","0000/00/00","0000.00.00","00.00.00","00/00/00","00-00-00","0.00.0000","0/00/0000","0-00-0000"},0)),ISNUMBER(MATCH(LEFT(BT660,255),{"0000a","000a","00a","0000aa","000aa","00aa","0aa","0000aaa","000aaa","00a00","0a00","0000-0000","00:00","a00","a0","00.00.0000","00/00/0000","00-00-0000","0000-00-00","0000/00/00","0000.00.00","00.00.00","00/00/00","00-00-00","0.00.0000","0/00/0000","0-00-0000"},0)))),NOT(OR(AND(BW660&lt;&gt;"",SUBSTITUTE(BW660,"0","")=""),AND(LEN(BW660)&gt;=4,BW660=REPT(LEFT(BW660),LEN(BW660))),ISNUMBER(MATCH(BW660,{"123","1234","12345","123456","1234567","12345678","0123","01234","012345","98765","987654","54321"},0)),ISNUMBER(MATCH(BX660,{"x","xx","xxx","xxxx","xxxxx","abc","abcd","nil","na","nan","test","tbc","tba","tbd","dummy","sample","example","eg","zz","zzz","none","null","xyz","qwe","asd","id","ref"},0)),AND(LEN(BW660)=8,BX660="",OR(LEFT(BW660,3)="202",ISNUMBER(MATCH(RIGHT(BW660,4),{"2025","2026","2027"},0)))))),OR(AND((LEN(BT660)-LEN(SUBSTITUTE(BT660,"a","")))&gt;=1,(LEN(BN660)-LEN(SUBSTITUTE(BN660,"0","")))&gt;=2,SUMPRODUCT(--ISNUMBER(SEARCH({"a0","a-0","a_0","a/0","a.0","a#0","0a","0-a","0_a","0/a"},BN660)))&gt;0),AND((LEN(BN660)-LEN(SUBSTITUTE(BN660,"a","")))=0,(LEN(BN660)-LEN(SUBSTITUTE(BN660,"0","")))&gt;=5)))),1,0),0)</f>
        <v>0</v>
      </c>
      <c r="CA6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660,"revision",""),"version",""),"jan",""),"feb",""),"mar",""),"apr",""),"may",""),"jun",""),"jul",""),"aug",""),"sep",""),"oct",""),"nov",""),"dec",""),"utc",""),"gmt",""),"myt",""),"bst",""),"rev",""),"ver",""),"b","a"),"c","a"),"d","a"),"e","a"),"f","a"),"g","a"),"h","a"),"i","a"),"j","a"),"k","a"),"l","a"),"m","a"),"n","a"),"o","a"),"p","a"),"q","a"),"r","a"),"s","a"),"t","a"),"u","a"),"v","a"),"w","a"),"x","a"),"y","a"),"z","a")</f>
        <v/>
      </c>
      <c r="CB66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660&amp;""),"a",""),"b",""),"c",""),"d",""),"e",""),"f",""),"g",""),"h",""),"i",""),"j",""),"k",""),"l",""),"m",""),"n",""),"o",""),"p",""),"q",""),"r",""),"s",""),"t",""),"u",""),"v",""),"w",""),"x",""),"y",""),"z",""),"-",""),"_",""),"/",""),".",""),"#",""),"\\",""),":","")," ",""),"(",""),")","")</f>
        <v/>
      </c>
      <c r="CC660" s="0" t="str">
        <f aca="false">" "&amp;TRIM(SUBSTITUTE(SUBSTITUTE(SUBSTITUTE(SUBSTITUTE(SUBSTITUTE(SUBSTITUTE(SUBSTITUTE(SUBSTITUTE(SUBSTITUTE(SUBSTITUTE(SUBSTITUTE(SUBSTITUTE(SUBSTITUTE(SUBSTITUTE(SUBSTITUTE(SUBSTITUTE(SUBSTITUTE(SUBSTITUTE(SUBSTITUTE(SUBSTITUTE(SUBSTITUTE(SUBSTITUTE(SUBSTITUTE(SUBSTITUTE(LOWER(T660&amp;""),CHAR(10)," "),CHAR(13)," "),CHAR(9)," "),CHAR(160)," "),"."," "),","," "),"-"," "),"/"," "),"("," "),")"," "),":"," "),";"," "),"_"," "),"–"," "),"?"," "),"!"," "),"*"," "),"["," "),"]"," "),"'"," "),"#"," "),"+"," "),"&amp;"," "),"\"," "))&amp;" "</f>
        <v>  </v>
      </c>
      <c r="CD660" s="0" t="str">
        <f aca="false">" "&amp;TRIM(SUBSTITUTE(SUBSTITUTE(SUBSTITUTE(SUBSTITUTE(SUBSTITUTE(SUBSTITUTE(SUBSTITUTE(SUBSTITUTE(SUBSTITUTE(SUBSTITUTE(SUBSTITUTE(SUBSTITUTE(SUBSTITUTE(SUBSTITUTE(SUBSTITUTE(SUBSTITUTE(SUBSTITUTE(SUBSTITUTE(SUBSTITUTE(SUBSTITUTE(SUBSTITUTE(SUBSTITUTE(SUBSTITUTE(SUBSTITUTE(LOWER(AE660&amp;""),CHAR(10)," "),CHAR(13)," "),CHAR(9)," "),CHAR(160)," "),"."," "),","," "),"-"," "),"/"," "),"("," "),")"," "),":"," "),";"," "),"_"," "),"–"," "),"?"," "),"!"," "),"*"," "),"["," "),"]"," "),"'"," "),"#"," "),"+"," "),"&amp;"," "),"\"," "))&amp;" "</f>
        <v>  </v>
      </c>
      <c r="CE660" s="68" t="n">
        <f aca="false">IFERROR(IF(AND(LEN(AU660)&gt;0,LEN(AU660)=LEN(AX660),OR(TRIM(MID(SUBSTITUTE(TRIM(CC660)," ",REPT(" ",60)),1,60))="",ISNUMBER(SEARCH(" "&amp;TRIM(MID(SUBSTITUTE(TRIM(CC660)," ",REPT(" ",60)),1,60))&amp;" ",CD660))),OR(TRIM(MID(SUBSTITUTE(TRIM(CC660)," ",REPT(" ",60)),61,60))="",ISNUMBER(SEARCH(" "&amp;TRIM(MID(SUBSTITUTE(TRIM(CC660)," ",REPT(" ",60)),61,60))&amp;" ",CD660))),OR(TRIM(MID(SUBSTITUTE(TRIM(CC660)," ",REPT(" ",60)),121,60))="",ISNUMBER(SEARCH(" "&amp;TRIM(MID(SUBSTITUTE(TRIM(CC660)," ",REPT(" ",60)),121,60))&amp;" ",CD660)))),1,0),0)</f>
        <v>0</v>
      </c>
      <c r="CG660" s="68" t="n">
        <f aca="false">IFERROR(LEN(SUBSTITUTE(BF660," ",""))-SUMPRODUCT((LEN(BF660)-LEN(SUBSTITUTE(BF660," "&amp;L_NAFiller&amp;" "," ")))/(LEN(L_NAFiller)+1)*LEN(L_NAFiller)),0)</f>
        <v>0</v>
      </c>
    </row>
    <row r="661" customFormat="false" ht="41.25" hidden="false" customHeight="true" outlineLevel="0" collapsed="false">
      <c r="A661" s="57" t="s">
        <v>1380</v>
      </c>
      <c r="B661" s="57" t="s">
        <v>304</v>
      </c>
      <c r="C661" s="57" t="str">
        <f aca="false">Flights!$F$24</f>
        <v>MH1450</v>
      </c>
      <c r="D661" s="58" t="n">
        <f aca="false">Flights!$D$24</f>
        <v>46324</v>
      </c>
      <c r="E661" s="57" t="str">
        <f aca="false">Flights!$G$24&amp;"-"&amp;Flights!$H$24</f>
        <v>KUL-LGK</v>
      </c>
      <c r="F661" s="57" t="str">
        <f aca="false">Flights!$K$24</f>
        <v>EY</v>
      </c>
      <c r="G661" s="57" t="s">
        <v>420</v>
      </c>
      <c r="H661" s="57" t="s">
        <v>378</v>
      </c>
      <c r="I661" s="57" t="s">
        <v>447</v>
      </c>
      <c r="J661" s="57" t="s">
        <v>448</v>
      </c>
      <c r="K661" s="67" t="s">
        <v>449</v>
      </c>
      <c r="L661" s="67" t="s">
        <v>1381</v>
      </c>
      <c r="M661" s="67" t="s">
        <v>451</v>
      </c>
      <c r="N661" s="67" t="s">
        <v>383</v>
      </c>
      <c r="O661" s="67" t="s">
        <v>503</v>
      </c>
      <c r="P661" s="57" t="s">
        <v>187</v>
      </c>
      <c r="Q661" s="59" t="n">
        <f aca="false">ROUND((Flights!$AE$24)*1440,0)/1440</f>
        <v>46323.9375</v>
      </c>
      <c r="R661" s="59" t="n">
        <f aca="false">Q661+(IF(AND(INDEX(TZ_DSTS,MATCH(P661,TZ_STN,0))&lt;&gt;"",Q661&gt;=INDEX(TZ_DSTS,MATCH(P661,TZ_STN,0)),Q661&lt;INDEX(TZ_DSTE,MATCH(P661,TZ_STN,0))),INDEX(TZ_DST,MATCH(P661,TZ_STN,0)),INDEX(TZ_STD,MATCH(P661,TZ_STN,0))))/24</f>
        <v>46324.2708333333</v>
      </c>
      <c r="S661" s="60"/>
      <c r="T661" s="60"/>
      <c r="U661" s="60"/>
      <c r="V661" s="60"/>
      <c r="W661" s="61"/>
      <c r="X661" s="60"/>
      <c r="Y661" s="60"/>
      <c r="Z661" s="60"/>
      <c r="AA661" s="60"/>
      <c r="AB661" s="60"/>
      <c r="AC661" s="60"/>
      <c r="AD661" s="66"/>
      <c r="AE661" s="60"/>
      <c r="AF661" s="61" t="str">
        <f aca="false">IF(AND(ISNUMBER(X661),ISNUMBER(Y661)),Y661-X661,"")</f>
        <v/>
      </c>
      <c r="AG661" s="62" t="str">
        <f aca="false">IF(ISNUMBER(AD661),AD661-(IF(AND(INDEX(TZ_DSTS,MATCH(P661,TZ_STN,0))&lt;&gt;"",(AD661-INDEX(TZ_STD,MATCH(P661,TZ_STN,0))/24)&gt;=INDEX(TZ_DSTS,MATCH(P661,TZ_STN,0)),(AD661-INDEX(TZ_STD,MATCH(P661,TZ_STN,0))/24)&lt;INDEX(TZ_DSTE,MATCH(P661,TZ_STN,0))),INDEX(TZ_DST,MATCH(P661,TZ_STN,0)),INDEX(TZ_STD,MATCH(P661,TZ_STN,0))))/24,"")</f>
        <v/>
      </c>
      <c r="AH661" s="65" t="str">
        <f aca="false">IFERROR(IF(N661="N/A – rule",IF(OR(TRIM(U661)="",TRIM(U661)="N/A",TRIM(U661)="Not started"),"N/A – RULE","INVALID – this check does not apply to this aircraft: clear the status (or correct the fleet on Flights)"),IF(TRIM(U661)="N/A",IF(AT661=0,"INVALID – N/A not permitted for this check",IF(AND(TRIM(AB661)&lt;&gt;"",TRIM(AB661)&lt;&gt;"Closed"),"INVALID – corrective action still open",IF(AND(NOT(OR(LEN(AZ661)&lt;15,ISNUMBER(MATCH(AZ661,L_Placeholder,0)))),BK661=0,CG661&gt;=8,NOT(OR(LEN(AU661)&lt;2,ISNUMBER(MATCH(AU661,L_Placeholder,0)))),BR661&gt;=3,NOT(OR(LEN(AX661)&lt;2,ISNUMBER(MATCH(AX661,L_Placeholder,0)))),BS661&gt;=3,TRIM(AE661)&lt;&gt;TRIM(T661),AX661&lt;&gt;AU661,CE661=0),"N/A – JUSTIFIED","INVALID – N/A needs a real, settled reason (not 'not applicable' / 'as above' / TBC), a named PIC and a different named verifier"))),IF(OR(TRIM(U661)="Pass",TRIM(U661)="Pass after CA"),IF(NOT(ISNUMBER(AD661)),"INVALID – completion time missing",IF(OR(OR(LEN(AU661)&lt;2,ISNUMBER(MATCH(AU661,L_Placeholder,0))),BR661&lt;3),"INVALID – PIC missing or not a named person (a role such as QA / CSM is not a name)",IF(OR(LEN(AV661)&lt;2,ISNUMBER(MATCH(AV661,L_Placeholder,0))),"INVALID – result / assessment missing",IF(OR(OR(LEN(AW661)&lt;3,ISNUMBER(MATCH(AW661,L_Placeholder,0))),SUMPRODUCT(--ISNUMBER(SEARCH(" "&amp;L_EvidencePhrase&amp;" ",BD661)))&gt;0,BI661=1),"INVALID – evidence missing, placeholder or not yet on file",IF(ISNA(MATCH(TRIM(S661),L_EvidenceType,0)),"INVALID – choose the evidence type from the list (column S)",IF(BL661=0,"INVALID – evidence ID must be the record's own ID only (e.g. SF-2210, IMG_2231, 1045521); a link / file name needs type 'Link / file path'",IF(OR(OR(LEN(AX661)&lt;2,ISNUMBER(MATCH(AX661,L_Placeholder,0))),BS661&lt;3),"INVALID – verifier missing or not a named person (a role such as QA / CSM is not a name)",IF(OR(AX661=AU661,CE661=1,AND(LEN(AU661)&gt;=4,ISNUMBER(SEARCH(AU661,AX661))),AND(LEN(AX661)&gt;=4,ISNUMBER(SEARCH(AX661,AU661)))),"INVALID – verifier must be a different, named person (not the PIC or a role)",IF(BH661=1,"INVALID – result not yet available (awaiting / TBC)",IF(BG661=1,"INVALID – result describes a problem: record Fail, then Pass after CA (or reword if it is not a problem)",IF(BV661=1,"INVALID – wording says not on board: an on-board confirmation needs the item loaded",IF(AND(AQ661=1,OR(OR(LEN(AY661)&lt;3,ISNUMBER(MATCH(AY661,L_Placeholder,0))),BJ661=1,BQ661=0)),"INVALID – batch ID missing, placeholder or not an ID (e.g. PASB-261008-BC-017)",IF(AND(AR661=1,OR(NOT(ISNUMBER(X661)),NOT(ISNUMBER(Y661)))),"INVALID – expected/actual qty missing",IF(AND(AR661=1,OR(X661&lt;=0,Y661&lt;0)),"INVALID – expected qty must be above 0 and actual not negative",IF(BB661&lt;&gt;"",BB661,IF(AND(AS661=1,Documents!$J$24&lt;&gt;"ON FILE"),"INVALID – GLD not on file (Documents sheet)",IF(AND(AS661=2,Documents!$O$24&lt;&gt;"ON FILE"),"INVALID – menu checklist not on file (Documents sheet)",IF(AND(AS661=3,NOT(ISNUMBER(Flights!$AX$24))),"INVALID – enter carrying flight KUL departure (Flights AX)",IF(AND(AS661=3,OR(Flights!$AZ$24&gt;Flights!$AA$24,Flights!$AX$24&lt;Flights!$AA$24-3)),"INVALID – carrying flight (Flights AX) cannot arrive before this leg's STD, or is over 3 days early",IF(AG661&gt;AsOfUTC,"INVALID – completion time is in the future",IF(AND(ISNUMBER(BY661),AG661&lt;BY661),IF(H661="Physical uplift","INVALID – before uplift window (cannot confirm loading)","INVALID – before valid window"),IF(AG661&gt;Flights!$AA$24,"INVALID – completed after departure (cannot establish readiness)",IF(AND(H661="Preparation",AG661&gt;=IF(ISNUMBER(Flights!$BA$24),MIN(Flights!$BA$24,Flights!$AA$24),Flights!$AA$24)),"INVALID – completed after loading / departure (cannot establish readiness)",IF(AND(H661="Physical uplift",AG661&gt;Q661),"INVALID – recorded after the loading flight departed",IF(AG661&gt;Q661,"COMPLETE – LATE","COMPLETE"))))))))))))))))))))))))),IF(TRIM(U661)="Fail","FAIL – DISCREPANCY",IF(AND(TRIM(U661)&lt;&gt;"",TRIM(U661)&lt;&gt;"Not started",TRIM(U661)&lt;&gt;"In progress"),"INVALID – unrecognised status (use the list)",IF(AsOfUTC&gt;Q661,"OVERDUE",IF(N661="Clarification required","OPEN – CLARIFICATION","OPEN"))))))),"INVALID – error value in an input cell")</f>
        <v>OPEN</v>
      </c>
      <c r="AI661" s="61" t="n">
        <f aca="false">IF(OR(AH661="N/A – RULE",AH661="N/A – JUSTIFIED"),0,1)</f>
        <v>1</v>
      </c>
      <c r="AJ661" s="61" t="n">
        <f aca="false">IF(LEFT(AH661,8)="COMPLETE",1,0)</f>
        <v>0</v>
      </c>
      <c r="AK661" s="61" t="n">
        <f aca="false">IF(AND(AI661=1,AJ661=0,AsOfUTC&gt;Q661),1,0)</f>
        <v>0</v>
      </c>
      <c r="AL661" s="61" t="n">
        <f aca="false">IFERROR(IF(AND(AI661=1,OR(TRIM(U661)="Fail",AND(TRIM(AB661)&lt;&gt;"",TRIM(AB661)&lt;&gt;"Closed"),AND(ISNUMBER(AF661),AF661&lt;&gt;0,TRIM(U661)&lt;&gt;"Pass after CA"))),1,0),1)</f>
        <v>0</v>
      </c>
      <c r="AM661" s="61" t="n">
        <f aca="false">IF(LEFT(AH661,7)="INVALID",1,0)</f>
        <v>0</v>
      </c>
      <c r="AN661" s="61" t="n">
        <f aca="false">IF(AND(N661="Clarification required",AI661=1,AJ661=0),1,0)</f>
        <v>0</v>
      </c>
      <c r="AO661" s="61" t="str">
        <f aca="false">IF(AK661=1,SUM(AK$5:AK661),"")</f>
        <v/>
      </c>
      <c r="AP661" s="61" t="str">
        <f aca="false">IF(AL661=1,SUM(AL$5:AL661),"")</f>
        <v/>
      </c>
      <c r="AQ661" s="61" t="n">
        <v>0</v>
      </c>
      <c r="AR661" s="61" t="n">
        <v>0</v>
      </c>
      <c r="AS661" s="61" t="n">
        <v>0</v>
      </c>
      <c r="AT661" s="61" t="n">
        <v>0</v>
      </c>
      <c r="AU661" s="61" t="str">
        <f aca="false">SUBSTITUTE(SUBSTITUTE(SUBSTITUTE(SUBSTITUTE(SUBSTITUTE(SUBSTITUTE(SUBSTITUTE(SUBSTITUTE(SUBSTITUTE(SUBSTITUTE(SUBSTITUTE(SUBSTITUTE(SUBSTITUTE(SUBSTITUTE(SUBSTITUTE(SUBSTITUTE(LOWER(T661&amp;""),CHAR(10),""),CHAR(13),""),CHAR(9),""),CHAR(160),"")," ",""),".",""),"-",""),"/",""),"?",""),"_",""),",",""),"[",""),"]",""),"(",""),")",""),"*","")</f>
        <v/>
      </c>
      <c r="AV661" s="61" t="str">
        <f aca="false">SUBSTITUTE(SUBSTITUTE(SUBSTITUTE(SUBSTITUTE(SUBSTITUTE(SUBSTITUTE(SUBSTITUTE(SUBSTITUTE(SUBSTITUTE(SUBSTITUTE(SUBSTITUTE(SUBSTITUTE(SUBSTITUTE(SUBSTITUTE(SUBSTITUTE(SUBSTITUTE(LOWER(V661&amp;""),CHAR(10),""),CHAR(13),""),CHAR(9),""),CHAR(160),"")," ",""),".",""),"-",""),"/",""),"?",""),"_",""),",",""),"[",""),"]",""),"(",""),")",""),"*","")</f>
        <v/>
      </c>
      <c r="AW661" s="61" t="str">
        <f aca="false">SUBSTITUTE(SUBSTITUTE(SUBSTITUTE(SUBSTITUTE(SUBSTITUTE(SUBSTITUTE(SUBSTITUTE(SUBSTITUTE(SUBSTITUTE(SUBSTITUTE(SUBSTITUTE(SUBSTITUTE(SUBSTITUTE(SUBSTITUTE(SUBSTITUTE(SUBSTITUTE(LOWER(Z661&amp;""),CHAR(10),""),CHAR(13),""),CHAR(9),""),CHAR(160),"")," ",""),".",""),"-",""),"/",""),"?",""),"_",""),",",""),"[",""),"]",""),"(",""),")",""),"*","")</f>
        <v/>
      </c>
      <c r="AX661" s="61" t="str">
        <f aca="false">SUBSTITUTE(SUBSTITUTE(SUBSTITUTE(SUBSTITUTE(SUBSTITUTE(SUBSTITUTE(SUBSTITUTE(SUBSTITUTE(SUBSTITUTE(SUBSTITUTE(SUBSTITUTE(SUBSTITUTE(SUBSTITUTE(SUBSTITUTE(SUBSTITUTE(SUBSTITUTE(LOWER(AE661&amp;""),CHAR(10),""),CHAR(13),""),CHAR(9),""),CHAR(160),"")," ",""),".",""),"-",""),"/",""),"?",""),"_",""),",",""),"[",""),"]",""),"(",""),")",""),"*","")</f>
        <v/>
      </c>
      <c r="AY661" s="61" t="str">
        <f aca="false">SUBSTITUTE(SUBSTITUTE(SUBSTITUTE(SUBSTITUTE(SUBSTITUTE(SUBSTITUTE(SUBSTITUTE(SUBSTITUTE(SUBSTITUTE(SUBSTITUTE(SUBSTITUTE(SUBSTITUTE(SUBSTITUTE(SUBSTITUTE(SUBSTITUTE(SUBSTITUTE(LOWER(W661&amp;""),CHAR(10),""),CHAR(13),""),CHAR(9),""),CHAR(160),"")," ",""),".",""),"-",""),"/",""),"?",""),"_",""),",",""),"[",""),"]",""),"(",""),")",""),"*","")</f>
        <v/>
      </c>
      <c r="AZ661" s="61" t="str">
        <f aca="false">SUBSTITUTE(SUBSTITUTE(SUBSTITUTE(SUBSTITUTE(SUBSTITUTE(SUBSTITUTE(SUBSTITUTE(SUBSTITUTE(SUBSTITUTE(SUBSTITUTE(SUBSTITUTE(SUBSTITUTE(SUBSTITUTE(SUBSTITUTE(SUBSTITUTE(SUBSTITUTE(LOWER(AC661&amp;""),CHAR(10),""),CHAR(13),""),CHAR(9),""),CHAR(160),"")," ",""),".",""),"-",""),"/",""),"?",""),"_",""),",",""),"[",""),"]",""),"(",""),")",""),"*","")</f>
        <v/>
      </c>
      <c r="BA661" s="61" t="str">
        <f aca="false">SUBSTITUTE(SUBSTITUTE(SUBSTITUTE(SUBSTITUTE(SUBSTITUTE(SUBSTITUTE(SUBSTITUTE(SUBSTITUTE(SUBSTITUTE(SUBSTITUTE(SUBSTITUTE(SUBSTITUTE(SUBSTITUTE(SUBSTITUTE(SUBSTITUTE(SUBSTITUTE(LOWER(AA661&amp;""),CHAR(10),""),CHAR(13),""),CHAR(9),""),CHAR(160),"")," ",""),".",""),"-",""),"/",""),"?",""),"_",""),",",""),"[",""),"]",""),"(",""),")",""),"*","")</f>
        <v/>
      </c>
      <c r="BB661" s="61" t="str">
        <f aca="false">IF(AND(TRIM(U661)="Pass",ISNUMBER(AF661)),IF(AF661&lt;&gt;0,"INVALID – qty variance: use Fail or Pass after CA",""),"")&amp;IF(AND(TRIM(U661)="Pass after CA",ISNUMBER(AF661)),IF(AF661&lt;&gt;0,"INVALID – after the corrective action the actual qty must equal expected (update Actual)",""),"")&amp;IF(AND(TRIM(U661)="Pass",TRIM(AB661)&lt;&gt;"",TRIM(AB661)&lt;&gt;"Closed"),"INVALID – corrective action not closed: use Fail, then Pass after CA","")&amp;IF(AND(LEN(BA661)&gt;=2,ISNA(MATCH(LEFT(BA661,255),L_Placeholder,0)),TRIM(AB661)=""),"INVALID – CA status missing for the recorded corrective action","")&amp;IF(AND(TRIM(U661)="Pass after CA",OR(OR(LEN(BA661)&lt;5,ISNUMBER(MATCH(BA661,L_Placeholder,0))),TRIM(AB661)&lt;&gt;"Closed")),"INVALID – corrective action not recorded/closed","")</f>
        <v/>
      </c>
      <c r="BC661" s="61" t="str">
        <f aca="false">" "&amp;TRIM(SUBSTITUTE(SUBSTITUTE(SUBSTITUTE(SUBSTITUTE(SUBSTITUTE(SUBSTITUTE(SUBSTITUTE(SUBSTITUTE(SUBSTITUTE(SUBSTITUTE(SUBSTITUTE(SUBSTITUTE(SUBSTITUTE(SUBSTITUTE(SUBSTITUTE(SUBSTITUTE(SUBSTITUTE(SUBSTITUTE(SUBSTITUTE(SUBSTITUTE(SUBSTITUTE(SUBSTITUTE(SUBSTITUTE(SUBSTITUTE(LOWER(V661&amp;""),CHAR(10)," "),CHAR(13)," "),CHAR(9)," "),CHAR(160)," "),"."," "),","," "),"-"," "),"/"," "),"("," "),")"," "),":"," "),";"," "),"_"," "),"–"," "),"?"," "),"!"," "),"*"," "),"["," "),"]"," "),"'"," "),"#"," "),"+"," "),"&amp;"," "),"\"," "))&amp;" "</f>
        <v>  </v>
      </c>
      <c r="BD661" s="61" t="str">
        <f aca="false">" "&amp;TRIM(SUBSTITUTE(SUBSTITUTE(SUBSTITUTE(SUBSTITUTE(SUBSTITUTE(SUBSTITUTE(SUBSTITUTE(SUBSTITUTE(SUBSTITUTE(SUBSTITUTE(SUBSTITUTE(SUBSTITUTE(SUBSTITUTE(SUBSTITUTE(SUBSTITUTE(SUBSTITUTE(SUBSTITUTE(SUBSTITUTE(SUBSTITUTE(SUBSTITUTE(SUBSTITUTE(SUBSTITUTE(SUBSTITUTE(SUBSTITUTE(LOWER(Z661&amp;""),CHAR(10)," "),CHAR(13)," "),CHAR(9)," "),CHAR(160)," "),"."," "),","," "),"-"," "),"/"," "),"("," "),")"," "),":"," "),";"," "),"_"," "),"–"," "),"?"," "),"!"," "),"*"," "),"["," "),"]"," "),"'"," "),"#"," "),"+"," "),"&amp;"," "),"\"," "))&amp;" "</f>
        <v>  </v>
      </c>
      <c r="BE661" s="61" t="str">
        <f aca="false">" "&amp;TRIM(SUBSTITUTE(SUBSTITUTE(SUBSTITUTE(SUBSTITUTE(SUBSTITUTE(SUBSTITUTE(SUBSTITUTE(SUBSTITUTE(SUBSTITUTE(SUBSTITUTE(SUBSTITUTE(SUBSTITUTE(SUBSTITUTE(SUBSTITUTE(SUBSTITUTE(SUBSTITUTE(SUBSTITUTE(SUBSTITUTE(SUBSTITUTE(SUBSTITUTE(SUBSTITUTE(SUBSTITUTE(SUBSTITUTE(SUBSTITUTE(LOWER(W661&amp;""),CHAR(10)," "),CHAR(13)," "),CHAR(9)," "),CHAR(160)," "),"."," "),","," "),"-"," "),"/"," "),"("," "),")"," "),":"," "),";"," "),"_"," "),"–"," "),"?"," "),"!"," "),"*"," "),"["," "),"]"," "),"'"," "),"#"," "),"+"," "),"&amp;"," "),"\"," "))&amp;" "</f>
        <v>  </v>
      </c>
      <c r="BF661" s="61" t="str">
        <f aca="false">" "&amp;TRIM(SUBSTITUTE(SUBSTITUTE(SUBSTITUTE(SUBSTITUTE(SUBSTITUTE(SUBSTITUTE(SUBSTITUTE(SUBSTITUTE(SUBSTITUTE(SUBSTITUTE(SUBSTITUTE(SUBSTITUTE(SUBSTITUTE(SUBSTITUTE(SUBSTITUTE(SUBSTITUTE(SUBSTITUTE(SUBSTITUTE(SUBSTITUTE(SUBSTITUTE(SUBSTITUTE(SUBSTITUTE(SUBSTITUTE(SUBSTITUTE(LOWER(AC661&amp;""),CHAR(10)," "),CHAR(13)," "),CHAR(9)," "),CHAR(160)," "),"."," "),","," "),"-"," "),"/"," "),"("," "),")"," "),":"," "),";"," "),"_"," "),"–"," "),"?"," "),"!"," "),"*"," "),"["," "),"]"," "),"'"," "),"#"," "),"+"," "),"&amp;"," "),"\"," "))&amp;" "</f>
        <v>  </v>
      </c>
      <c r="BG661" s="61" t="n">
        <f aca="false">IFERROR(IF(AND(TRIM(U661)="Pass",SUMPRODUCT((LEN(BC661)-LEN(SUBSTITUTE(BC661," "&amp;L_ResultBad&amp;" "," ")))/(LEN(L_ResultBad)+1))&gt;SUMPRODUCT((LEN(BC661)-LEN(SUBSTITUTE(BC661," "&amp;L_NegPhrase&amp;" "," ")))/(LEN(L_NegPhrase)+1))),1,0),0)</f>
        <v>0</v>
      </c>
      <c r="BH661" s="61" t="n">
        <f aca="false">IFERROR(IF(SUMPRODUCT((LEN(BC661)-LEN(SUBSTITUTE(BC661," "&amp;L_Pending&amp;" "," ")))/(LEN(L_Pending)+1))&gt;SUMPRODUCT((LEN(BC661)-LEN(SUBSTITUTE(BC661," "&amp;L_PendNeg&amp;" "," ")))/(LEN(L_PendNeg)+1))+SUMPRODUCT((LEN(BC661)-LEN(SUBSTITUTE(BC661," "&amp;L_PendPrep&amp;" "," ")))/(LEN(L_PendPrep)+1)),1,0),1)</f>
        <v>0</v>
      </c>
      <c r="BI661" s="61" t="n">
        <f aca="false">IFERROR(IF(SUMPRODUCT((LEN(BD661)-LEN(SUBSTITUTE(BD661," "&amp;L_PendStrict&amp;" "," ")))/(LEN(L_PendStrict)+1))&gt;SUMPRODUCT((LEN(BD661)-LEN(SUBSTITUTE(BD661," "&amp;L_PendNeg&amp;" "," ")))/(LEN(L_PendNeg)+1)),1,0),1)</f>
        <v>0</v>
      </c>
      <c r="BJ661" s="61" t="n">
        <f aca="false">IFERROR(IF(SUMPRODUCT((LEN(BE661)-LEN(SUBSTITUTE(BE661," "&amp;L_Pending&amp;" "," ")))/(LEN(L_Pending)+1))&gt;SUMPRODUCT((LEN(BE661)-LEN(SUBSTITUTE(BE661," "&amp;L_PendNeg&amp;" "," ")))/(LEN(L_PendNeg)+1))+SUMPRODUCT((LEN(BE661)-LEN(SUBSTITUTE(BE661," "&amp;L_PendPrep&amp;" "," ")))/(LEN(L_PendPrep)+1)),1,0),1)</f>
        <v>0</v>
      </c>
      <c r="BK661" s="61" t="n">
        <f aca="false">IFERROR(IF(SUMPRODUCT((LEN(BF661)-LEN(SUBSTITUTE(BF661," "&amp;L_PendStrict&amp;" "," ")))/(LEN(L_PendStrict)+1))&gt;SUMPRODUCT((LEN(BF661)-LEN(SUBSTITUTE(BF661," "&amp;L_PendNeg&amp;" "," ")))/(LEN(L_PendNeg)+1)),1,0),1)</f>
        <v>0</v>
      </c>
      <c r="BL661" s="61" t="n">
        <f aca="false">IF(ISNA(MATCH(TRIM(S661),L_EvidenceType,0)),0,BZ661)</f>
        <v>0</v>
      </c>
      <c r="BM661" s="61" t="str">
        <f aca="false">SUBSTITUTE(SUBSTITUTE(SUBSTITUTE(SUBSTITUTE(SUBSTITUTE(SUBSTITUTE(SUBSTITUTE(SUBSTITUTE(SUBSTITUTE(LOWER(Z661&amp;""),"1","0"),"2","0"),"3","0"),"4","0"),"5","0"),"6","0"),"7","0"),"8","0"),"9","0")</f>
        <v/>
      </c>
      <c r="BN661" s="61" t="str">
        <f aca="false">SUBSTITUTE(SUBSTITUTE(SUBSTITUTE(SUBSTITUTE(SUBSTITUTE(SUBSTITUTE(SUBSTITUTE(SUBSTITUTE(SUBSTITUTE(SUBSTITUTE(SUBSTITUTE(SUBSTITUTE(SUBSTITUTE(SUBSTITUTE(SUBSTITUTE(SUBSTITUTE(SUBSTITUTE(SUBSTITUTE(SUBSTITUTE(SUBSTITUTE(SUBSTITUTE(SUBSTITUTE(SUBSTITUTE(SUBSTITUTE(SUBSTITUTE(BM661,"b","a"),"c","a"),"d","a"),"e","a"),"f","a"),"g","a"),"h","a"),"i","a"),"j","a"),"k","a"),"l","a"),"m","a"),"n","a"),"o","a"),"p","a"),"q","a"),"r","a"),"s","a"),"t","a"),"u","a"),"v","a"),"w","a"),"x","a"),"y","a"),"z","a")</f>
        <v/>
      </c>
      <c r="BO661" s="61" t="str">
        <f aca="false">SUBSTITUTE(SUBSTITUTE(SUBSTITUTE(SUBSTITUTE(SUBSTITUTE(SUBSTITUTE(SUBSTITUTE(SUBSTITUTE(SUBSTITUTE(LOWER(W661&amp;""),"1","0"),"2","0"),"3","0"),"4","0"),"5","0"),"6","0"),"7","0"),"8","0"),"9","0")</f>
        <v/>
      </c>
      <c r="BP661" s="61" t="str">
        <f aca="false">SUBSTITUTE(SUBSTITUTE(SUBSTITUTE(SUBSTITUTE(SUBSTITUTE(SUBSTITUTE(SUBSTITUTE(SUBSTITUTE(SUBSTITUTE(SUBSTITUTE(SUBSTITUTE(SUBSTITUTE(SUBSTITUTE(SUBSTITUTE(SUBSTITUTE(SUBSTITUTE(SUBSTITUTE(SUBSTITUTE(SUBSTITUTE(SUBSTITUTE(SUBSTITUTE(SUBSTITUTE(SUBSTITUTE(SUBSTITUTE(SUBSTITUTE(BO661,"b","a"),"c","a"),"d","a"),"e","a"),"f","a"),"g","a"),"h","a"),"i","a"),"j","a"),"k","a"),"l","a"),"m","a"),"n","a"),"o","a"),"p","a"),"q","a"),"r","a"),"s","a"),"t","a"),"u","a"),"v","a"),"w","a"),"x","a"),"y","a"),"z","a")</f>
        <v/>
      </c>
      <c r="BQ661" s="61" t="n">
        <f aca="false">IFERROR(IF(AND(ISERROR(SEARCH(" mh"," "&amp;LOWER(W661))),ISNA(MATCH(LEFT(TRIM(BP661),255),{"0000a","000a","00a","0000aa","000aa","00aa","0aa","0000aaa","000aaa","00a00","0a00","0000-0000","00:00","a00","a0","00.00.0000","00/00/0000","00-00-0000","0000-00-00","0000/00/00","0000.00.00","00.00.00","00/00/00","00-00-00","0.00.0000","0/00/0000","0-00-0000"},0)),ISNA(MATCH(LEFT(TRIM(CA661),255),{"0000a","000a","00a","0000aa","000aa","00aa","0aa","0000aaa","000aaa","00a00","0a00","0000-0000","00:00","a00","a0","00.00.0000","00/00/0000","00-00-0000","0000-00-00","0000/00/00","0000.00.00","00.00.00","00/00/00","00-00-00","0.00.0000","0/00/0000","0-00-0000"},0)),LEN(CB661)&gt;=3,NOT(OR(SUBSTITUTE(CB661,"0","")="",AND(LEN(CB661)&gt;=4,CB661=REPT(LEFT(CB661),LEN(CB661))),ISNUMBER(MATCH(CB661,{"123","1234","12345","123456","1234567","12345678","0123","01234","012345","98765","987654","54321"},0)),AND(LEN(CB661)=8,LEFT(CB661,3)="202"))),OR(AND((LEN(CA661)-LEN(SUBSTITUTE(CA661,"a","")))&gt;=1,SUMPRODUCT(--ISNUMBER(SEARCH({"a0","a-0","a_0","a/0","a.0","a#0","0a","0-a","0_a","0/a"},BP661)))&gt;0),ISNUMBER(SEARCH("000000",BP661)))),1,0),0)</f>
        <v>0</v>
      </c>
      <c r="BR661" s="61" t="n">
        <f aca="false">IFERROR(LEN(SUBSTITUTE(CC661," ",""))-SUMPRODUCT((LEN(CC661)-LEN(SUBSTITUTE(CC661," "&amp;L_Role&amp;" "," ")))/(LEN(L_Role)+1)*LEN(L_Role)),0)</f>
        <v>0</v>
      </c>
      <c r="BS661" s="61" t="n">
        <f aca="false">IFERROR(LEN(SUBSTITUTE(CD661," ",""))-SUMPRODUCT((LEN(CD661)-LEN(SUBSTITUTE(CD661," "&amp;L_Role&amp;" "," ")))/(LEN(L_Role)+1)*LEN(L_Role)),0)</f>
        <v>0</v>
      </c>
      <c r="BT6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661,"revision",""),"version",""),"jan",""),"feb",""),"mar",""),"apr",""),"may",""),"jun",""),"jul",""),"aug",""),"sep",""),"oct",""),"nov",""),"dec",""),"utc",""),"gmt",""),"myt",""),"bst",""),"rev",""),"ver",""),"b","a"),"c","a"),"d","a"),"e","a"),"f","a"),"g","a"),"h","a"),"i","a"),"j","a"),"k","a"),"l","a"),"m","a"),"n","a"),"o","a"),"p","a"),"q","a"),"r","a"),"s","a"),"t","a"),"u","a"),"v","a"),"w","a"),"x","a"),"y","a"),"z","a")</f>
        <v/>
      </c>
      <c r="BU661" s="61" t="str">
        <f aca="false">SUBSTITUTE(SUBSTITUTE(SUBSTITUTE(SUBSTITUTE(SUBSTITUTE(SUBSTITUTE(SUBSTITUTE(SUBSTITUTE(SUBSTITUTE(SUBSTITUTE(LEFT(BM661,FIND("0",BM661&amp;"0")-1),"-",""),"_",""),"/",""),".",""),"#",""),"\\",""),":","")," ",""),"(",""),")","")</f>
        <v/>
      </c>
      <c r="BV661" s="61" t="n">
        <f aca="false">0</f>
        <v>0</v>
      </c>
      <c r="BW66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661&amp;""),"a",""),"b",""),"c",""),"d",""),"e",""),"f",""),"g",""),"h",""),"i",""),"j",""),"k",""),"l",""),"m",""),"n",""),"o",""),"p",""),"q",""),"r",""),"s",""),"t",""),"u",""),"v",""),"w",""),"x",""),"y",""),"z",""),"-",""),"_",""),"/",""),".",""),"#",""),"\\",""),":","")," ",""),"(",""),")","")</f>
        <v/>
      </c>
      <c r="BX661" s="61" t="str">
        <f aca="false">SUBSTITUTE(SUBSTITUTE(SUBSTITUTE(SUBSTITUTE(SUBSTITUTE(SUBSTITUTE(SUBSTITUTE(SUBSTITUTE(SUBSTITUTE(SUBSTITUTE(SUBSTITUTE(BM661,"0",""),"-",""),"_",""),"/",""),".",""),"#",""),"\\",""),":","")," ",""),"(",""),")","")</f>
        <v/>
      </c>
      <c r="BY661" s="62" t="n">
        <f aca="false">Q661-T12EarlyH/24</f>
        <v>46323.4375</v>
      </c>
      <c r="BZ661" s="61" t="n">
        <f aca="false">IFERROR(IF(IF(TRIM(S661)="Link / file path",AND(LEN(TRIM(Z661))&gt;=5,SUMPRODUCT(--ISNUMBER(SEARCH({"http","www.","\\",":\",".pdf",".jpg",".jpeg",".png",".heic",".xls",".doc",".msg",".eml",".ppt",".txt",".zip"},Z661)))&gt;0),AND(ISERROR(FIND(" ",TRIM(Z661))),NOT(OR(SUMPRODUCT(--ISNUMBER(FIND({",",";","&amp;","+"},Z661)))&gt;0,SUMPRODUCT(--ISNUMBER(SEARCH({"0/aa","0\\aa"},BN661)))&gt;0)),NOT(SUMPRODUCT(--ISNUMBER(SEARCH({"http","www.","\\",":\",".pdf",".jpg",".jpeg",".png",".heic",".xls",".doc",".msg",".eml",".ppt",".txt",".zip"},Z661)))&gt;0),NOT(LOWER(TRIM(Z661))=LOWER(Flights!$F$24)),ISNA(MATCH(BU661,{"mh","rev","revision","ver","version","v","r","a","b","seat","tray","row","gate","bay","stand","page","pg","item","line","no","cart","galley","flight","flt","table","box","bag","oven","etd","eta","std","sta","atd","ata","qty","pax","x","time","tel","ph","mob","day","wk","week","utc","gmt","myt","lt"},0)),NOT(OR(ISNUMBER(MATCH(LEFT(BN661,255),{"0000a","000a","00a","0000aa","000aa","00aa","0aa","0000aaa","000aaa","00a00","0a00","0000-0000","00:00","a00","a0","00.00.0000","00/00/0000","00-00-0000","0000-00-00","0000/00/00","0000.00.00","00.00.00","00/00/00","00-00-00","0.00.0000","0/00/0000","0-00-0000"},0)),ISNUMBER(MATCH(LEFT(BT661,255),{"0000a","000a","00a","0000aa","000aa","00aa","0aa","0000aaa","000aaa","00a00","0a00","0000-0000","00:00","a00","a0","00.00.0000","00/00/0000","00-00-0000","0000-00-00","0000/00/00","0000.00.00","00.00.00","00/00/00","00-00-00","0.00.0000","0/00/0000","0-00-0000"},0)))),NOT(OR(AND(BW661&lt;&gt;"",SUBSTITUTE(BW661,"0","")=""),AND(LEN(BW661)&gt;=4,BW661=REPT(LEFT(BW661),LEN(BW661))),ISNUMBER(MATCH(BW661,{"123","1234","12345","123456","1234567","12345678","0123","01234","012345","98765","987654","54321"},0)),ISNUMBER(MATCH(BX661,{"x","xx","xxx","xxxx","xxxxx","abc","abcd","nil","na","nan","test","tbc","tba","tbd","dummy","sample","example","eg","zz","zzz","none","null","xyz","qwe","asd","id","ref"},0)),AND(LEN(BW661)=8,BX661="",OR(LEFT(BW661,3)="202",ISNUMBER(MATCH(RIGHT(BW661,4),{"2025","2026","2027"},0)))))),OR(AND((LEN(BT661)-LEN(SUBSTITUTE(BT661,"a","")))&gt;=1,(LEN(BN661)-LEN(SUBSTITUTE(BN661,"0","")))&gt;=2,SUMPRODUCT(--ISNUMBER(SEARCH({"a0","a-0","a_0","a/0","a.0","a#0","0a","0-a","0_a","0/a"},BN661)))&gt;0),AND((LEN(BN661)-LEN(SUBSTITUTE(BN661,"a","")))=0,(LEN(BN661)-LEN(SUBSTITUTE(BN661,"0","")))&gt;=5)))),1,0),0)</f>
        <v>0</v>
      </c>
      <c r="CA6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661,"revision",""),"version",""),"jan",""),"feb",""),"mar",""),"apr",""),"may",""),"jun",""),"jul",""),"aug",""),"sep",""),"oct",""),"nov",""),"dec",""),"utc",""),"gmt",""),"myt",""),"bst",""),"rev",""),"ver",""),"b","a"),"c","a"),"d","a"),"e","a"),"f","a"),"g","a"),"h","a"),"i","a"),"j","a"),"k","a"),"l","a"),"m","a"),"n","a"),"o","a"),"p","a"),"q","a"),"r","a"),"s","a"),"t","a"),"u","a"),"v","a"),"w","a"),"x","a"),"y","a"),"z","a")</f>
        <v/>
      </c>
      <c r="CB66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661&amp;""),"a",""),"b",""),"c",""),"d",""),"e",""),"f",""),"g",""),"h",""),"i",""),"j",""),"k",""),"l",""),"m",""),"n",""),"o",""),"p",""),"q",""),"r",""),"s",""),"t",""),"u",""),"v",""),"w",""),"x",""),"y",""),"z",""),"-",""),"_",""),"/",""),".",""),"#",""),"\\",""),":","")," ",""),"(",""),")","")</f>
        <v/>
      </c>
      <c r="CC661" s="0" t="str">
        <f aca="false">" "&amp;TRIM(SUBSTITUTE(SUBSTITUTE(SUBSTITUTE(SUBSTITUTE(SUBSTITUTE(SUBSTITUTE(SUBSTITUTE(SUBSTITUTE(SUBSTITUTE(SUBSTITUTE(SUBSTITUTE(SUBSTITUTE(SUBSTITUTE(SUBSTITUTE(SUBSTITUTE(SUBSTITUTE(SUBSTITUTE(SUBSTITUTE(SUBSTITUTE(SUBSTITUTE(SUBSTITUTE(SUBSTITUTE(SUBSTITUTE(SUBSTITUTE(LOWER(T661&amp;""),CHAR(10)," "),CHAR(13)," "),CHAR(9)," "),CHAR(160)," "),"."," "),","," "),"-"," "),"/"," "),"("," "),")"," "),":"," "),";"," "),"_"," "),"–"," "),"?"," "),"!"," "),"*"," "),"["," "),"]"," "),"'"," "),"#"," "),"+"," "),"&amp;"," "),"\"," "))&amp;" "</f>
        <v>  </v>
      </c>
      <c r="CD661" s="0" t="str">
        <f aca="false">" "&amp;TRIM(SUBSTITUTE(SUBSTITUTE(SUBSTITUTE(SUBSTITUTE(SUBSTITUTE(SUBSTITUTE(SUBSTITUTE(SUBSTITUTE(SUBSTITUTE(SUBSTITUTE(SUBSTITUTE(SUBSTITUTE(SUBSTITUTE(SUBSTITUTE(SUBSTITUTE(SUBSTITUTE(SUBSTITUTE(SUBSTITUTE(SUBSTITUTE(SUBSTITUTE(SUBSTITUTE(SUBSTITUTE(SUBSTITUTE(SUBSTITUTE(LOWER(AE661&amp;""),CHAR(10)," "),CHAR(13)," "),CHAR(9)," "),CHAR(160)," "),"."," "),","," "),"-"," "),"/"," "),"("," "),")"," "),":"," "),";"," "),"_"," "),"–"," "),"?"," "),"!"," "),"*"," "),"["," "),"]"," "),"'"," "),"#"," "),"+"," "),"&amp;"," "),"\"," "))&amp;" "</f>
        <v>  </v>
      </c>
      <c r="CE661" s="68" t="n">
        <f aca="false">IFERROR(IF(AND(LEN(AU661)&gt;0,LEN(AU661)=LEN(AX661),OR(TRIM(MID(SUBSTITUTE(TRIM(CC661)," ",REPT(" ",60)),1,60))="",ISNUMBER(SEARCH(" "&amp;TRIM(MID(SUBSTITUTE(TRIM(CC661)," ",REPT(" ",60)),1,60))&amp;" ",CD661))),OR(TRIM(MID(SUBSTITUTE(TRIM(CC661)," ",REPT(" ",60)),61,60))="",ISNUMBER(SEARCH(" "&amp;TRIM(MID(SUBSTITUTE(TRIM(CC661)," ",REPT(" ",60)),61,60))&amp;" ",CD661))),OR(TRIM(MID(SUBSTITUTE(TRIM(CC661)," ",REPT(" ",60)),121,60))="",ISNUMBER(SEARCH(" "&amp;TRIM(MID(SUBSTITUTE(TRIM(CC661)," ",REPT(" ",60)),121,60))&amp;" ",CD661)))),1,0),0)</f>
        <v>0</v>
      </c>
      <c r="CG661" s="68" t="n">
        <f aca="false">IFERROR(LEN(SUBSTITUTE(BF661," ",""))-SUMPRODUCT((LEN(BF661)-LEN(SUBSTITUTE(BF661," "&amp;L_NAFiller&amp;" "," ")))/(LEN(L_NAFiller)+1)*LEN(L_NAFiller)),0)</f>
        <v>0</v>
      </c>
    </row>
    <row r="662" customFormat="false" ht="39.75" hidden="false" customHeight="true" outlineLevel="0" collapsed="false">
      <c r="A662" s="57" t="s">
        <v>1382</v>
      </c>
      <c r="B662" s="57" t="s">
        <v>304</v>
      </c>
      <c r="C662" s="57" t="str">
        <f aca="false">Flights!$F$24</f>
        <v>MH1450</v>
      </c>
      <c r="D662" s="58" t="n">
        <f aca="false">Flights!$D$24</f>
        <v>46324</v>
      </c>
      <c r="E662" s="57" t="str">
        <f aca="false">Flights!$G$24&amp;"-"&amp;Flights!$H$24</f>
        <v>KUL-LGK</v>
      </c>
      <c r="F662" s="57" t="str">
        <f aca="false">Flights!$K$24</f>
        <v>EY</v>
      </c>
      <c r="G662" s="57" t="s">
        <v>459</v>
      </c>
      <c r="H662" s="57" t="s">
        <v>460</v>
      </c>
      <c r="I662" s="57" t="s">
        <v>379</v>
      </c>
      <c r="J662" s="57" t="s">
        <v>461</v>
      </c>
      <c r="K662" s="67" t="s">
        <v>426</v>
      </c>
      <c r="L662" s="67" t="s">
        <v>462</v>
      </c>
      <c r="M662" s="67"/>
      <c r="N662" s="67" t="s">
        <v>383</v>
      </c>
      <c r="O662" s="67" t="s">
        <v>463</v>
      </c>
      <c r="P662" s="57" t="s">
        <v>187</v>
      </c>
      <c r="Q662" s="59" t="n">
        <f aca="false">ROUND((Flights!$AF$24)*1440,0)/1440</f>
        <v>46324.4375</v>
      </c>
      <c r="R662" s="59" t="n">
        <f aca="false">Q662+(IF(AND(INDEX(TZ_DSTS,MATCH(P662,TZ_STN,0))&lt;&gt;"",Q662&gt;=INDEX(TZ_DSTS,MATCH(P662,TZ_STN,0)),Q662&lt;INDEX(TZ_DSTE,MATCH(P662,TZ_STN,0))),INDEX(TZ_DST,MATCH(P662,TZ_STN,0)),INDEX(TZ_STD,MATCH(P662,TZ_STN,0))))/24</f>
        <v>46324.7708333333</v>
      </c>
      <c r="S662" s="60"/>
      <c r="T662" s="60"/>
      <c r="U662" s="60"/>
      <c r="V662" s="60"/>
      <c r="W662" s="61"/>
      <c r="X662" s="60"/>
      <c r="Y662" s="60"/>
      <c r="Z662" s="60"/>
      <c r="AA662" s="60"/>
      <c r="AB662" s="60"/>
      <c r="AC662" s="60"/>
      <c r="AD662" s="66"/>
      <c r="AE662" s="60"/>
      <c r="AF662" s="61" t="str">
        <f aca="false">IF(AND(ISNUMBER(X662),ISNUMBER(Y662)),Y662-X662,"")</f>
        <v/>
      </c>
      <c r="AG662" s="62" t="str">
        <f aca="false">IF(ISNUMBER(AD662),AD662-(IF(AND(INDEX(TZ_DSTS,MATCH(P662,TZ_STN,0))&lt;&gt;"",(AD662-INDEX(TZ_STD,MATCH(P662,TZ_STN,0))/24)&gt;=INDEX(TZ_DSTS,MATCH(P662,TZ_STN,0)),(AD662-INDEX(TZ_STD,MATCH(P662,TZ_STN,0))/24)&lt;INDEX(TZ_DSTE,MATCH(P662,TZ_STN,0))),INDEX(TZ_DST,MATCH(P662,TZ_STN,0)),INDEX(TZ_STD,MATCH(P662,TZ_STN,0))))/24,"")</f>
        <v/>
      </c>
      <c r="AH662" s="65" t="str">
        <f aca="false">IFERROR(IF(N662="N/A – rule",IF(OR(TRIM(U662)="",TRIM(U662)="N/A",TRIM(U662)="Not started"),"N/A – RULE","INVALID – this check does not apply to this aircraft: clear the status (or correct the fleet on Flights)"),IF(TRIM(U662)="N/A",IF(AT662=0,"INVALID – N/A not permitted for this check",IF(AND(TRIM(AB662)&lt;&gt;"",TRIM(AB662)&lt;&gt;"Closed"),"INVALID – corrective action still open",IF(AND(NOT(OR(LEN(AZ662)&lt;15,ISNUMBER(MATCH(AZ662,L_Placeholder,0)))),BK662=0,CG662&gt;=8,NOT(OR(LEN(AU662)&lt;2,ISNUMBER(MATCH(AU662,L_Placeholder,0)))),BR662&gt;=3,NOT(OR(LEN(AX662)&lt;2,ISNUMBER(MATCH(AX662,L_Placeholder,0)))),BS662&gt;=3,TRIM(AE662)&lt;&gt;TRIM(T662),AX662&lt;&gt;AU662,CE662=0),"N/A – JUSTIFIED","INVALID – N/A needs a real, settled reason (not 'not applicable' / 'as above' / TBC), a named PIC and a different named verifier"))),IF(OR(TRIM(U662)="Pass",TRIM(U662)="Pass after CA"),IF(NOT(ISNUMBER(AD662)),"INVALID – completion time missing",IF(OR(OR(LEN(AU662)&lt;2,ISNUMBER(MATCH(AU662,L_Placeholder,0))),BR662&lt;3),"INVALID – PIC missing or not a named person (a role such as QA / CSM is not a name)",IF(OR(LEN(AV662)&lt;2,ISNUMBER(MATCH(AV662,L_Placeholder,0))),"INVALID – result / assessment missing",IF(OR(OR(LEN(AW662)&lt;3,ISNUMBER(MATCH(AW662,L_Placeholder,0))),SUMPRODUCT(--ISNUMBER(SEARCH(" "&amp;L_EvidencePhrase&amp;" ",BD662)))&gt;0,BI662=1),"INVALID – evidence missing, placeholder or not yet on file",IF(ISNA(MATCH(TRIM(S662),L_EvidenceType,0)),"INVALID – choose the evidence type from the list (column S)",IF(BL662=0,"INVALID – evidence ID must be the record's own ID only (e.g. SF-2210, IMG_2231, 1045521); a link / file name needs type 'Link / file path'",IF(OR(OR(LEN(AX662)&lt;2,ISNUMBER(MATCH(AX662,L_Placeholder,0))),BS662&lt;3),"INVALID – verifier missing or not a named person (a role such as QA / CSM is not a name)",IF(OR(AX662=AU662,CE662=1,AND(LEN(AU662)&gt;=4,ISNUMBER(SEARCH(AU662,AX662))),AND(LEN(AX662)&gt;=4,ISNUMBER(SEARCH(AX662,AU662)))),"INVALID – verifier must be a different, named person (not the PIC or a role)",IF(BH662=1,"INVALID – result not yet available (awaiting / TBC)",IF(BG662=1,"INVALID – result describes a problem: record Fail, then Pass after CA (or reword if it is not a problem)",IF(BV662=1,"INVALID – wording says not on board: an on-board confirmation needs the item loaded",IF(AND(AQ662=1,OR(OR(LEN(AY662)&lt;3,ISNUMBER(MATCH(AY662,L_Placeholder,0))),BJ662=1,BQ662=0)),"INVALID – batch ID missing, placeholder or not an ID (e.g. PASB-261008-BC-017)",IF(AND(AR662=1,OR(NOT(ISNUMBER(X662)),NOT(ISNUMBER(Y662)))),"INVALID – expected/actual qty missing",IF(AND(AR662=1,OR(X662&lt;=0,Y662&lt;0)),"INVALID – expected qty must be above 0 and actual not negative",IF(AH655="N/A – JUSTIFIED","INVALID – preparation row F20-T12-02 is N/A",IF(AND(AR662=1,ISNUMBER(X655),X662&lt;&gt;X655,TRIM(U662)&lt;&gt;"Pass after CA"),"INVALID – expected qty differs from preparation check F20-T12-02: record the load change as a corrective action (Pass after CA)",IF(BB662&lt;&gt;"",BB662,IF(AND(AS662=1,Documents!$J$24&lt;&gt;"ON FILE"),"INVALID – GLD not on file (Documents sheet)",IF(AND(AS662=2,Documents!$O$24&lt;&gt;"ON FILE"),"INVALID – menu checklist not on file (Documents sheet)",IF(AND(AS662=3,NOT(ISNUMBER(Flights!$AX$24))),"INVALID – enter carrying flight KUL departure (Flights AX)",IF(AND(AS662=3,OR(Flights!$AZ$24&gt;Flights!$AA$24,Flights!$AX$24&lt;Flights!$AA$24-3)),"INVALID – carrying flight (Flights AX) cannot arrive before this leg's STD, or is over 3 days early",IF(AG662&gt;AsOfUTC,"INVALID – completion time is in the future",IF(AND(ISNUMBER(BY662),AG662&lt;BY662),IF(H662="Physical uplift","INVALID – before uplift window (cannot confirm loading)","INVALID – before valid window"),IF(AG662&gt;Flights!$AA$24,"INVALID – completed after departure (cannot establish readiness)",IF(AND(H662="Preparation",AG662&gt;=IF(ISNUMBER(Flights!$BA$24),MIN(Flights!$BA$24,Flights!$AA$24),Flights!$AA$24)),"INVALID – completed after loading / departure (cannot establish readiness)",IF(AND(H662="Physical uplift",AG662&gt;Q662),"INVALID – recorded after the loading flight departed",IF(AG662&gt;Q662,"COMPLETE – LATE","COMPLETE"))))))))))))))))))))))))))),IF(TRIM(U662)="Fail","FAIL – DISCREPANCY",IF(AND(TRIM(U662)&lt;&gt;"",TRIM(U662)&lt;&gt;"Not started",TRIM(U662)&lt;&gt;"In progress"),"INVALID – unrecognised status (use the list)",IF(AsOfUTC&gt;Q662,"OVERDUE",IF(N662="Clarification required","OPEN – CLARIFICATION","OPEN"))))))),"INVALID – error value in an input cell")</f>
        <v>OPEN</v>
      </c>
      <c r="AI662" s="61" t="n">
        <f aca="false">IF(OR(AH662="N/A – RULE",AH662="N/A – JUSTIFIED"),0,1)</f>
        <v>1</v>
      </c>
      <c r="AJ662" s="61" t="n">
        <f aca="false">IF(LEFT(AH662,8)="COMPLETE",1,0)</f>
        <v>0</v>
      </c>
      <c r="AK662" s="61" t="n">
        <f aca="false">IF(AND(AI662=1,AJ662=0,AsOfUTC&gt;Q662),1,0)</f>
        <v>0</v>
      </c>
      <c r="AL662" s="61" t="n">
        <f aca="false">IFERROR(IF(AND(AI662=1,OR(TRIM(U662)="Fail",AND(TRIM(AB662)&lt;&gt;"",TRIM(AB662)&lt;&gt;"Closed"),AND(ISNUMBER(AF662),AF662&lt;&gt;0,TRIM(U662)&lt;&gt;"Pass after CA"))),1,0),1)</f>
        <v>0</v>
      </c>
      <c r="AM662" s="61" t="n">
        <f aca="false">IF(LEFT(AH662,7)="INVALID",1,0)</f>
        <v>0</v>
      </c>
      <c r="AN662" s="61" t="n">
        <f aca="false">IF(AND(N662="Clarification required",AI662=1,AJ662=0),1,0)</f>
        <v>0</v>
      </c>
      <c r="AO662" s="61" t="str">
        <f aca="false">IF(AK662=1,SUM(AK$5:AK662),"")</f>
        <v/>
      </c>
      <c r="AP662" s="61" t="str">
        <f aca="false">IF(AL662=1,SUM(AL$5:AL662),"")</f>
        <v/>
      </c>
      <c r="AQ662" s="61" t="n">
        <v>0</v>
      </c>
      <c r="AR662" s="61" t="n">
        <v>1</v>
      </c>
      <c r="AS662" s="61" t="n">
        <v>0</v>
      </c>
      <c r="AT662" s="61" t="n">
        <v>0</v>
      </c>
      <c r="AU662" s="61" t="str">
        <f aca="false">SUBSTITUTE(SUBSTITUTE(SUBSTITUTE(SUBSTITUTE(SUBSTITUTE(SUBSTITUTE(SUBSTITUTE(SUBSTITUTE(SUBSTITUTE(SUBSTITUTE(SUBSTITUTE(SUBSTITUTE(SUBSTITUTE(SUBSTITUTE(SUBSTITUTE(SUBSTITUTE(LOWER(T662&amp;""),CHAR(10),""),CHAR(13),""),CHAR(9),""),CHAR(160),"")," ",""),".",""),"-",""),"/",""),"?",""),"_",""),",",""),"[",""),"]",""),"(",""),")",""),"*","")</f>
        <v/>
      </c>
      <c r="AV662" s="61" t="str">
        <f aca="false">SUBSTITUTE(SUBSTITUTE(SUBSTITUTE(SUBSTITUTE(SUBSTITUTE(SUBSTITUTE(SUBSTITUTE(SUBSTITUTE(SUBSTITUTE(SUBSTITUTE(SUBSTITUTE(SUBSTITUTE(SUBSTITUTE(SUBSTITUTE(SUBSTITUTE(SUBSTITUTE(LOWER(V662&amp;""),CHAR(10),""),CHAR(13),""),CHAR(9),""),CHAR(160),"")," ",""),".",""),"-",""),"/",""),"?",""),"_",""),",",""),"[",""),"]",""),"(",""),")",""),"*","")</f>
        <v/>
      </c>
      <c r="AW662" s="61" t="str">
        <f aca="false">SUBSTITUTE(SUBSTITUTE(SUBSTITUTE(SUBSTITUTE(SUBSTITUTE(SUBSTITUTE(SUBSTITUTE(SUBSTITUTE(SUBSTITUTE(SUBSTITUTE(SUBSTITUTE(SUBSTITUTE(SUBSTITUTE(SUBSTITUTE(SUBSTITUTE(SUBSTITUTE(LOWER(Z662&amp;""),CHAR(10),""),CHAR(13),""),CHAR(9),""),CHAR(160),"")," ",""),".",""),"-",""),"/",""),"?",""),"_",""),",",""),"[",""),"]",""),"(",""),")",""),"*","")</f>
        <v/>
      </c>
      <c r="AX662" s="61" t="str">
        <f aca="false">SUBSTITUTE(SUBSTITUTE(SUBSTITUTE(SUBSTITUTE(SUBSTITUTE(SUBSTITUTE(SUBSTITUTE(SUBSTITUTE(SUBSTITUTE(SUBSTITUTE(SUBSTITUTE(SUBSTITUTE(SUBSTITUTE(SUBSTITUTE(SUBSTITUTE(SUBSTITUTE(LOWER(AE662&amp;""),CHAR(10),""),CHAR(13),""),CHAR(9),""),CHAR(160),"")," ",""),".",""),"-",""),"/",""),"?",""),"_",""),",",""),"[",""),"]",""),"(",""),")",""),"*","")</f>
        <v/>
      </c>
      <c r="AY662" s="61" t="str">
        <f aca="false">SUBSTITUTE(SUBSTITUTE(SUBSTITUTE(SUBSTITUTE(SUBSTITUTE(SUBSTITUTE(SUBSTITUTE(SUBSTITUTE(SUBSTITUTE(SUBSTITUTE(SUBSTITUTE(SUBSTITUTE(SUBSTITUTE(SUBSTITUTE(SUBSTITUTE(SUBSTITUTE(LOWER(W662&amp;""),CHAR(10),""),CHAR(13),""),CHAR(9),""),CHAR(160),"")," ",""),".",""),"-",""),"/",""),"?",""),"_",""),",",""),"[",""),"]",""),"(",""),")",""),"*","")</f>
        <v/>
      </c>
      <c r="AZ662" s="61" t="str">
        <f aca="false">SUBSTITUTE(SUBSTITUTE(SUBSTITUTE(SUBSTITUTE(SUBSTITUTE(SUBSTITUTE(SUBSTITUTE(SUBSTITUTE(SUBSTITUTE(SUBSTITUTE(SUBSTITUTE(SUBSTITUTE(SUBSTITUTE(SUBSTITUTE(SUBSTITUTE(SUBSTITUTE(LOWER(AC662&amp;""),CHAR(10),""),CHAR(13),""),CHAR(9),""),CHAR(160),"")," ",""),".",""),"-",""),"/",""),"?",""),"_",""),",",""),"[",""),"]",""),"(",""),")",""),"*","")</f>
        <v/>
      </c>
      <c r="BA662" s="61" t="str">
        <f aca="false">SUBSTITUTE(SUBSTITUTE(SUBSTITUTE(SUBSTITUTE(SUBSTITUTE(SUBSTITUTE(SUBSTITUTE(SUBSTITUTE(SUBSTITUTE(SUBSTITUTE(SUBSTITUTE(SUBSTITUTE(SUBSTITUTE(SUBSTITUTE(SUBSTITUTE(SUBSTITUTE(LOWER(AA662&amp;""),CHAR(10),""),CHAR(13),""),CHAR(9),""),CHAR(160),"")," ",""),".",""),"-",""),"/",""),"?",""),"_",""),",",""),"[",""),"]",""),"(",""),")",""),"*","")</f>
        <v/>
      </c>
      <c r="BB662" s="61" t="str">
        <f aca="false">IF(AND(TRIM(U662)="Pass",ISNUMBER(AF662)),IF(AF662&lt;&gt;0,"INVALID – qty variance: use Fail or Pass after CA",""),"")&amp;IF(AND(TRIM(U662)="Pass after CA",ISNUMBER(AF662)),IF(AF662&lt;&gt;0,"INVALID – after the corrective action the actual qty must equal expected (update Actual)",""),"")&amp;IF(AND(TRIM(U662)="Pass",TRIM(AB662)&lt;&gt;"",TRIM(AB662)&lt;&gt;"Closed"),"INVALID – corrective action not closed: use Fail, then Pass after CA","")&amp;IF(AND(LEN(BA662)&gt;=2,ISNA(MATCH(LEFT(BA662,255),L_Placeholder,0)),TRIM(AB662)=""),"INVALID – CA status missing for the recorded corrective action","")&amp;IF(AND(TRIM(U662)="Pass after CA",OR(OR(LEN(BA662)&lt;5,ISNUMBER(MATCH(BA662,L_Placeholder,0))),TRIM(AB662)&lt;&gt;"Closed")),"INVALID – corrective action not recorded/closed","")</f>
        <v/>
      </c>
      <c r="BC662" s="61" t="str">
        <f aca="false">" "&amp;TRIM(SUBSTITUTE(SUBSTITUTE(SUBSTITUTE(SUBSTITUTE(SUBSTITUTE(SUBSTITUTE(SUBSTITUTE(SUBSTITUTE(SUBSTITUTE(SUBSTITUTE(SUBSTITUTE(SUBSTITUTE(SUBSTITUTE(SUBSTITUTE(SUBSTITUTE(SUBSTITUTE(SUBSTITUTE(SUBSTITUTE(SUBSTITUTE(SUBSTITUTE(SUBSTITUTE(SUBSTITUTE(SUBSTITUTE(SUBSTITUTE(LOWER(V662&amp;""),CHAR(10)," "),CHAR(13)," "),CHAR(9)," "),CHAR(160)," "),"."," "),","," "),"-"," "),"/"," "),"("," "),")"," "),":"," "),";"," "),"_"," "),"–"," "),"?"," "),"!"," "),"*"," "),"["," "),"]"," "),"'"," "),"#"," "),"+"," "),"&amp;"," "),"\"," "))&amp;" "</f>
        <v>  </v>
      </c>
      <c r="BD662" s="61" t="str">
        <f aca="false">" "&amp;TRIM(SUBSTITUTE(SUBSTITUTE(SUBSTITUTE(SUBSTITUTE(SUBSTITUTE(SUBSTITUTE(SUBSTITUTE(SUBSTITUTE(SUBSTITUTE(SUBSTITUTE(SUBSTITUTE(SUBSTITUTE(SUBSTITUTE(SUBSTITUTE(SUBSTITUTE(SUBSTITUTE(SUBSTITUTE(SUBSTITUTE(SUBSTITUTE(SUBSTITUTE(SUBSTITUTE(SUBSTITUTE(SUBSTITUTE(SUBSTITUTE(LOWER(Z662&amp;""),CHAR(10)," "),CHAR(13)," "),CHAR(9)," "),CHAR(160)," "),"."," "),","," "),"-"," "),"/"," "),"("," "),")"," "),":"," "),";"," "),"_"," "),"–"," "),"?"," "),"!"," "),"*"," "),"["," "),"]"," "),"'"," "),"#"," "),"+"," "),"&amp;"," "),"\"," "))&amp;" "</f>
        <v>  </v>
      </c>
      <c r="BE662" s="61" t="str">
        <f aca="false">" "&amp;TRIM(SUBSTITUTE(SUBSTITUTE(SUBSTITUTE(SUBSTITUTE(SUBSTITUTE(SUBSTITUTE(SUBSTITUTE(SUBSTITUTE(SUBSTITUTE(SUBSTITUTE(SUBSTITUTE(SUBSTITUTE(SUBSTITUTE(SUBSTITUTE(SUBSTITUTE(SUBSTITUTE(SUBSTITUTE(SUBSTITUTE(SUBSTITUTE(SUBSTITUTE(SUBSTITUTE(SUBSTITUTE(SUBSTITUTE(SUBSTITUTE(LOWER(W662&amp;""),CHAR(10)," "),CHAR(13)," "),CHAR(9)," "),CHAR(160)," "),"."," "),","," "),"-"," "),"/"," "),"("," "),")"," "),":"," "),";"," "),"_"," "),"–"," "),"?"," "),"!"," "),"*"," "),"["," "),"]"," "),"'"," "),"#"," "),"+"," "),"&amp;"," "),"\"," "))&amp;" "</f>
        <v>  </v>
      </c>
      <c r="BF662" s="61" t="str">
        <f aca="false">" "&amp;TRIM(SUBSTITUTE(SUBSTITUTE(SUBSTITUTE(SUBSTITUTE(SUBSTITUTE(SUBSTITUTE(SUBSTITUTE(SUBSTITUTE(SUBSTITUTE(SUBSTITUTE(SUBSTITUTE(SUBSTITUTE(SUBSTITUTE(SUBSTITUTE(SUBSTITUTE(SUBSTITUTE(SUBSTITUTE(SUBSTITUTE(SUBSTITUTE(SUBSTITUTE(SUBSTITUTE(SUBSTITUTE(SUBSTITUTE(SUBSTITUTE(LOWER(AC662&amp;""),CHAR(10)," "),CHAR(13)," "),CHAR(9)," "),CHAR(160)," "),"."," "),","," "),"-"," "),"/"," "),"("," "),")"," "),":"," "),";"," "),"_"," "),"–"," "),"?"," "),"!"," "),"*"," "),"["," "),"]"," "),"'"," "),"#"," "),"+"," "),"&amp;"," "),"\"," "))&amp;" "</f>
        <v>  </v>
      </c>
      <c r="BG662" s="61" t="n">
        <f aca="false">IFERROR(IF(AND(TRIM(U662)="Pass",SUMPRODUCT((LEN(BC662)-LEN(SUBSTITUTE(BC662," "&amp;L_ResultBad&amp;" "," ")))/(LEN(L_ResultBad)+1))&gt;SUMPRODUCT((LEN(BC662)-LEN(SUBSTITUTE(BC662," "&amp;L_NegPhrase&amp;" "," ")))/(LEN(L_NegPhrase)+1))),1,0),0)</f>
        <v>0</v>
      </c>
      <c r="BH662" s="61" t="n">
        <f aca="false">IFERROR(IF(SUMPRODUCT((LEN(BC662)-LEN(SUBSTITUTE(BC662," "&amp;L_Pending&amp;" "," ")))/(LEN(L_Pending)+1))&gt;SUMPRODUCT((LEN(BC662)-LEN(SUBSTITUTE(BC662," "&amp;L_PendNeg&amp;" "," ")))/(LEN(L_PendNeg)+1)),1,0),1)</f>
        <v>0</v>
      </c>
      <c r="BI662" s="61" t="n">
        <f aca="false">IFERROR(IF(SUMPRODUCT((LEN(BD662)-LEN(SUBSTITUTE(BD662," "&amp;L_PendStrict&amp;" "," ")))/(LEN(L_PendStrict)+1))&gt;SUMPRODUCT((LEN(BD662)-LEN(SUBSTITUTE(BD662," "&amp;L_PendNeg&amp;" "," ")))/(LEN(L_PendNeg)+1)),1,0),1)</f>
        <v>0</v>
      </c>
      <c r="BJ662" s="61" t="n">
        <f aca="false">IFERROR(IF(SUMPRODUCT((LEN(BE662)-LEN(SUBSTITUTE(BE662," "&amp;L_Pending&amp;" "," ")))/(LEN(L_Pending)+1))&gt;SUMPRODUCT((LEN(BE662)-LEN(SUBSTITUTE(BE662," "&amp;L_PendNeg&amp;" "," ")))/(LEN(L_PendNeg)+1)),1,0),1)</f>
        <v>0</v>
      </c>
      <c r="BK662" s="61" t="n">
        <f aca="false">IFERROR(IF(SUMPRODUCT((LEN(BF662)-LEN(SUBSTITUTE(BF662," "&amp;L_PendStrict&amp;" "," ")))/(LEN(L_PendStrict)+1))&gt;SUMPRODUCT((LEN(BF662)-LEN(SUBSTITUTE(BF662," "&amp;L_PendNeg&amp;" "," ")))/(LEN(L_PendNeg)+1)),1,0),1)</f>
        <v>0</v>
      </c>
      <c r="BL662" s="61" t="n">
        <f aca="false">IF(ISNA(MATCH(TRIM(S662),L_EvidenceType,0)),0,BZ662)</f>
        <v>0</v>
      </c>
      <c r="BM662" s="61" t="str">
        <f aca="false">SUBSTITUTE(SUBSTITUTE(SUBSTITUTE(SUBSTITUTE(SUBSTITUTE(SUBSTITUTE(SUBSTITUTE(SUBSTITUTE(SUBSTITUTE(LOWER(Z662&amp;""),"1","0"),"2","0"),"3","0"),"4","0"),"5","0"),"6","0"),"7","0"),"8","0"),"9","0")</f>
        <v/>
      </c>
      <c r="BN662" s="61" t="str">
        <f aca="false">SUBSTITUTE(SUBSTITUTE(SUBSTITUTE(SUBSTITUTE(SUBSTITUTE(SUBSTITUTE(SUBSTITUTE(SUBSTITUTE(SUBSTITUTE(SUBSTITUTE(SUBSTITUTE(SUBSTITUTE(SUBSTITUTE(SUBSTITUTE(SUBSTITUTE(SUBSTITUTE(SUBSTITUTE(SUBSTITUTE(SUBSTITUTE(SUBSTITUTE(SUBSTITUTE(SUBSTITUTE(SUBSTITUTE(SUBSTITUTE(SUBSTITUTE(BM662,"b","a"),"c","a"),"d","a"),"e","a"),"f","a"),"g","a"),"h","a"),"i","a"),"j","a"),"k","a"),"l","a"),"m","a"),"n","a"),"o","a"),"p","a"),"q","a"),"r","a"),"s","a"),"t","a"),"u","a"),"v","a"),"w","a"),"x","a"),"y","a"),"z","a")</f>
        <v/>
      </c>
      <c r="BO662" s="61" t="str">
        <f aca="false">SUBSTITUTE(SUBSTITUTE(SUBSTITUTE(SUBSTITUTE(SUBSTITUTE(SUBSTITUTE(SUBSTITUTE(SUBSTITUTE(SUBSTITUTE(LOWER(W662&amp;""),"1","0"),"2","0"),"3","0"),"4","0"),"5","0"),"6","0"),"7","0"),"8","0"),"9","0")</f>
        <v/>
      </c>
      <c r="BP662" s="61" t="str">
        <f aca="false">SUBSTITUTE(SUBSTITUTE(SUBSTITUTE(SUBSTITUTE(SUBSTITUTE(SUBSTITUTE(SUBSTITUTE(SUBSTITUTE(SUBSTITUTE(SUBSTITUTE(SUBSTITUTE(SUBSTITUTE(SUBSTITUTE(SUBSTITUTE(SUBSTITUTE(SUBSTITUTE(SUBSTITUTE(SUBSTITUTE(SUBSTITUTE(SUBSTITUTE(SUBSTITUTE(SUBSTITUTE(SUBSTITUTE(SUBSTITUTE(SUBSTITUTE(BO662,"b","a"),"c","a"),"d","a"),"e","a"),"f","a"),"g","a"),"h","a"),"i","a"),"j","a"),"k","a"),"l","a"),"m","a"),"n","a"),"o","a"),"p","a"),"q","a"),"r","a"),"s","a"),"t","a"),"u","a"),"v","a"),"w","a"),"x","a"),"y","a"),"z","a")</f>
        <v/>
      </c>
      <c r="BQ662" s="61" t="n">
        <f aca="false">IFERROR(IF(AND(ISERROR(SEARCH(" mh"," "&amp;LOWER(W662))),ISNA(MATCH(LEFT(TRIM(BP662),255),{"0000a","000a","00a","0000aa","000aa","00aa","0aa","0000aaa","000aaa","00a00","0a00","0000-0000","00:00","a00","a0","00.00.0000","00/00/0000","00-00-0000","0000-00-00","0000/00/00","0000.00.00","00.00.00","00/00/00","00-00-00","0.00.0000","0/00/0000","0-00-0000"},0)),ISNA(MATCH(LEFT(TRIM(CA662),255),{"0000a","000a","00a","0000aa","000aa","00aa","0aa","0000aaa","000aaa","00a00","0a00","0000-0000","00:00","a00","a0","00.00.0000","00/00/0000","00-00-0000","0000-00-00","0000/00/00","0000.00.00","00.00.00","00/00/00","00-00-00","0.00.0000","0/00/0000","0-00-0000"},0)),LEN(CB662)&gt;=3,NOT(OR(SUBSTITUTE(CB662,"0","")="",AND(LEN(CB662)&gt;=4,CB662=REPT(LEFT(CB662),LEN(CB662))),ISNUMBER(MATCH(CB662,{"123","1234","12345","123456","1234567","12345678","0123","01234","012345","98765","987654","54321"},0)),AND(LEN(CB662)=8,LEFT(CB662,3)="202"))),OR(AND((LEN(CA662)-LEN(SUBSTITUTE(CA662,"a","")))&gt;=1,SUMPRODUCT(--ISNUMBER(SEARCH({"a0","a-0","a_0","a/0","a.0","a#0","0a","0-a","0_a","0/a"},BP662)))&gt;0),ISNUMBER(SEARCH("000000",BP662)))),1,0),0)</f>
        <v>0</v>
      </c>
      <c r="BR662" s="61" t="n">
        <f aca="false">IFERROR(LEN(SUBSTITUTE(CC662," ",""))-SUMPRODUCT((LEN(CC662)-LEN(SUBSTITUTE(CC662," "&amp;L_Role&amp;" "," ")))/(LEN(L_Role)+1)*LEN(L_Role)),0)</f>
        <v>0</v>
      </c>
      <c r="BS662" s="61" t="n">
        <f aca="false">IFERROR(LEN(SUBSTITUTE(CD662," ",""))-SUMPRODUCT((LEN(CD662)-LEN(SUBSTITUTE(CD662," "&amp;L_Role&amp;" "," ")))/(LEN(L_Role)+1)*LEN(L_Role)),0)</f>
        <v>0</v>
      </c>
      <c r="BT6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662,"revision",""),"version",""),"jan",""),"feb",""),"mar",""),"apr",""),"may",""),"jun",""),"jul",""),"aug",""),"sep",""),"oct",""),"nov",""),"dec",""),"utc",""),"gmt",""),"myt",""),"bst",""),"rev",""),"ver",""),"b","a"),"c","a"),"d","a"),"e","a"),"f","a"),"g","a"),"h","a"),"i","a"),"j","a"),"k","a"),"l","a"),"m","a"),"n","a"),"o","a"),"p","a"),"q","a"),"r","a"),"s","a"),"t","a"),"u","a"),"v","a"),"w","a"),"x","a"),"y","a"),"z","a")</f>
        <v/>
      </c>
      <c r="BU662" s="61" t="str">
        <f aca="false">SUBSTITUTE(SUBSTITUTE(SUBSTITUTE(SUBSTITUTE(SUBSTITUTE(SUBSTITUTE(SUBSTITUTE(SUBSTITUTE(SUBSTITUTE(SUBSTITUTE(LEFT(BM662,FIND("0",BM662&amp;"0")-1),"-",""),"_",""),"/",""),".",""),"#",""),"\\",""),":","")," ",""),"(",""),")","")</f>
        <v/>
      </c>
      <c r="BV662" s="61" t="n">
        <f aca="false">IFERROR(IF(OR(SUMPRODUCT((LEN(BC662)-LEN(SUBSTITUTE(BC662," "&amp;L_NotLoaded&amp;" "," ")))/(LEN(L_NotLoaded)+1))&gt;SUMPRODUCT((LEN(BC662)-LEN(SUBSTITUTE(BC662," "&amp;L_NotLoadedNeg&amp;" "," ")))/(LEN(L_NotLoadedNeg)+1)),SUMPRODUCT((LEN(BD662)-LEN(SUBSTITUTE(BD662," "&amp;L_NotLoaded&amp;" "," ")))/(LEN(L_NotLoaded)+1))&gt;SUMPRODUCT((LEN(BD662)-LEN(SUBSTITUTE(BD662," "&amp;L_NotLoadedNeg&amp;" "," ")))/(LEN(L_NotLoadedNeg)+1))),1,0),0)</f>
        <v>0</v>
      </c>
      <c r="BW66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662&amp;""),"a",""),"b",""),"c",""),"d",""),"e",""),"f",""),"g",""),"h",""),"i",""),"j",""),"k",""),"l",""),"m",""),"n",""),"o",""),"p",""),"q",""),"r",""),"s",""),"t",""),"u",""),"v",""),"w",""),"x",""),"y",""),"z",""),"-",""),"_",""),"/",""),".",""),"#",""),"\\",""),":","")," ",""),"(",""),")","")</f>
        <v/>
      </c>
      <c r="BX662" s="61" t="str">
        <f aca="false">SUBSTITUTE(SUBSTITUTE(SUBSTITUTE(SUBSTITUTE(SUBSTITUTE(SUBSTITUTE(SUBSTITUTE(SUBSTITUTE(SUBSTITUTE(SUBSTITUTE(SUBSTITUTE(BM662,"0",""),"-",""),"_",""),"/",""),".",""),"#",""),"\\",""),":","")," ",""),"(",""),")","")</f>
        <v/>
      </c>
      <c r="BY662" s="62" t="n">
        <f aca="false">IF(ISNUMBER(Flights!$AZ$24),MAX(Q662-UpliftWindowH/24,Flights!$AZ$24),Q662-UpliftWindowH/24)</f>
        <v>46324.1875</v>
      </c>
      <c r="BZ662" s="61" t="n">
        <f aca="false">IFERROR(IF(IF(TRIM(S662)="Link / file path",AND(LEN(TRIM(Z662))&gt;=5,SUMPRODUCT(--ISNUMBER(SEARCH({"http","www.","\\",":\",".pdf",".jpg",".jpeg",".png",".heic",".xls",".doc",".msg",".eml",".ppt",".txt",".zip"},Z662)))&gt;0),AND(ISERROR(FIND(" ",TRIM(Z662))),NOT(OR(SUMPRODUCT(--ISNUMBER(FIND({",",";","&amp;","+"},Z662)))&gt;0,SUMPRODUCT(--ISNUMBER(SEARCH({"0/aa","0\\aa"},BN662)))&gt;0)),NOT(SUMPRODUCT(--ISNUMBER(SEARCH({"http","www.","\\",":\",".pdf",".jpg",".jpeg",".png",".heic",".xls",".doc",".msg",".eml",".ppt",".txt",".zip"},Z662)))&gt;0),NOT(LOWER(TRIM(Z662))=LOWER(Flights!$F$24)),ISNA(MATCH(BU662,{"mh","rev","revision","ver","version","v","r","a","b","seat","tray","row","gate","bay","stand","page","pg","item","line","no","cart","galley","flight","flt","table","box","bag","oven","etd","eta","std","sta","atd","ata","qty","pax","x","time","tel","ph","mob","day","wk","week","utc","gmt","myt","lt"},0)),NOT(OR(ISNUMBER(MATCH(LEFT(BN662,255),{"0000a","000a","00a","0000aa","000aa","00aa","0aa","0000aaa","000aaa","00a00","0a00","0000-0000","00:00","a00","a0","00.00.0000","00/00/0000","00-00-0000","0000-00-00","0000/00/00","0000.00.00","00.00.00","00/00/00","00-00-00","0.00.0000","0/00/0000","0-00-0000"},0)),ISNUMBER(MATCH(LEFT(BT662,255),{"0000a","000a","00a","0000aa","000aa","00aa","0aa","0000aaa","000aaa","00a00","0a00","0000-0000","00:00","a00","a0","00.00.0000","00/00/0000","00-00-0000","0000-00-00","0000/00/00","0000.00.00","00.00.00","00/00/00","00-00-00","0.00.0000","0/00/0000","0-00-0000"},0)))),NOT(OR(AND(BW662&lt;&gt;"",SUBSTITUTE(BW662,"0","")=""),AND(LEN(BW662)&gt;=4,BW662=REPT(LEFT(BW662),LEN(BW662))),ISNUMBER(MATCH(BW662,{"123","1234","12345","123456","1234567","12345678","0123","01234","012345","98765","987654","54321"},0)),ISNUMBER(MATCH(BX662,{"x","xx","xxx","xxxx","xxxxx","abc","abcd","nil","na","nan","test","tbc","tba","tbd","dummy","sample","example","eg","zz","zzz","none","null","xyz","qwe","asd","id","ref"},0)),AND(LEN(BW662)=8,BX662="",OR(LEFT(BW662,3)="202",ISNUMBER(MATCH(RIGHT(BW662,4),{"2025","2026","2027"},0)))))),OR(AND((LEN(BT662)-LEN(SUBSTITUTE(BT662,"a","")))&gt;=1,(LEN(BN662)-LEN(SUBSTITUTE(BN662,"0","")))&gt;=2,SUMPRODUCT(--ISNUMBER(SEARCH({"a0","a-0","a_0","a/0","a.0","a#0","0a","0-a","0_a","0/a"},BN662)))&gt;0),AND((LEN(BN662)-LEN(SUBSTITUTE(BN662,"a","")))=0,(LEN(BN662)-LEN(SUBSTITUTE(BN662,"0","")))&gt;=5)))),1,0),0)</f>
        <v>0</v>
      </c>
      <c r="CA6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662,"revision",""),"version",""),"jan",""),"feb",""),"mar",""),"apr",""),"may",""),"jun",""),"jul",""),"aug",""),"sep",""),"oct",""),"nov",""),"dec",""),"utc",""),"gmt",""),"myt",""),"bst",""),"rev",""),"ver",""),"b","a"),"c","a"),"d","a"),"e","a"),"f","a"),"g","a"),"h","a"),"i","a"),"j","a"),"k","a"),"l","a"),"m","a"),"n","a"),"o","a"),"p","a"),"q","a"),"r","a"),"s","a"),"t","a"),"u","a"),"v","a"),"w","a"),"x","a"),"y","a"),"z","a")</f>
        <v/>
      </c>
      <c r="CB66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662&amp;""),"a",""),"b",""),"c",""),"d",""),"e",""),"f",""),"g",""),"h",""),"i",""),"j",""),"k",""),"l",""),"m",""),"n",""),"o",""),"p",""),"q",""),"r",""),"s",""),"t",""),"u",""),"v",""),"w",""),"x",""),"y",""),"z",""),"-",""),"_",""),"/",""),".",""),"#",""),"\\",""),":","")," ",""),"(",""),")","")</f>
        <v/>
      </c>
      <c r="CC662" s="0" t="str">
        <f aca="false">" "&amp;TRIM(SUBSTITUTE(SUBSTITUTE(SUBSTITUTE(SUBSTITUTE(SUBSTITUTE(SUBSTITUTE(SUBSTITUTE(SUBSTITUTE(SUBSTITUTE(SUBSTITUTE(SUBSTITUTE(SUBSTITUTE(SUBSTITUTE(SUBSTITUTE(SUBSTITUTE(SUBSTITUTE(SUBSTITUTE(SUBSTITUTE(SUBSTITUTE(SUBSTITUTE(SUBSTITUTE(SUBSTITUTE(SUBSTITUTE(SUBSTITUTE(LOWER(T662&amp;""),CHAR(10)," "),CHAR(13)," "),CHAR(9)," "),CHAR(160)," "),"."," "),","," "),"-"," "),"/"," "),"("," "),")"," "),":"," "),";"," "),"_"," "),"–"," "),"?"," "),"!"," "),"*"," "),"["," "),"]"," "),"'"," "),"#"," "),"+"," "),"&amp;"," "),"\"," "))&amp;" "</f>
        <v>  </v>
      </c>
      <c r="CD662" s="0" t="str">
        <f aca="false">" "&amp;TRIM(SUBSTITUTE(SUBSTITUTE(SUBSTITUTE(SUBSTITUTE(SUBSTITUTE(SUBSTITUTE(SUBSTITUTE(SUBSTITUTE(SUBSTITUTE(SUBSTITUTE(SUBSTITUTE(SUBSTITUTE(SUBSTITUTE(SUBSTITUTE(SUBSTITUTE(SUBSTITUTE(SUBSTITUTE(SUBSTITUTE(SUBSTITUTE(SUBSTITUTE(SUBSTITUTE(SUBSTITUTE(SUBSTITUTE(SUBSTITUTE(LOWER(AE662&amp;""),CHAR(10)," "),CHAR(13)," "),CHAR(9)," "),CHAR(160)," "),"."," "),","," "),"-"," "),"/"," "),"("," "),")"," "),":"," "),";"," "),"_"," "),"–"," "),"?"," "),"!"," "),"*"," "),"["," "),"]"," "),"'"," "),"#"," "),"+"," "),"&amp;"," "),"\"," "))&amp;" "</f>
        <v>  </v>
      </c>
      <c r="CE662" s="68" t="n">
        <f aca="false">IFERROR(IF(AND(LEN(AU662)&gt;0,LEN(AU662)=LEN(AX662),OR(TRIM(MID(SUBSTITUTE(TRIM(CC662)," ",REPT(" ",60)),1,60))="",ISNUMBER(SEARCH(" "&amp;TRIM(MID(SUBSTITUTE(TRIM(CC662)," ",REPT(" ",60)),1,60))&amp;" ",CD662))),OR(TRIM(MID(SUBSTITUTE(TRIM(CC662)," ",REPT(" ",60)),61,60))="",ISNUMBER(SEARCH(" "&amp;TRIM(MID(SUBSTITUTE(TRIM(CC662)," ",REPT(" ",60)),61,60))&amp;" ",CD662))),OR(TRIM(MID(SUBSTITUTE(TRIM(CC662)," ",REPT(" ",60)),121,60))="",ISNUMBER(SEARCH(" "&amp;TRIM(MID(SUBSTITUTE(TRIM(CC662)," ",REPT(" ",60)),121,60))&amp;" ",CD662)))),1,0),0)</f>
        <v>0</v>
      </c>
      <c r="CG662" s="68" t="n">
        <f aca="false">IFERROR(LEN(SUBSTITUTE(BF662," ",""))-SUMPRODUCT((LEN(BF662)-LEN(SUBSTITUTE(BF662," "&amp;L_NAFiller&amp;" "," ")))/(LEN(L_NAFiller)+1)*LEN(L_NAFiller)),0)</f>
        <v>0</v>
      </c>
    </row>
    <row r="663" customFormat="false" ht="39.75" hidden="false" customHeight="true" outlineLevel="0" collapsed="false">
      <c r="A663" s="57" t="s">
        <v>1383</v>
      </c>
      <c r="B663" s="57" t="s">
        <v>304</v>
      </c>
      <c r="C663" s="57" t="str">
        <f aca="false">Flights!$F$24</f>
        <v>MH1450</v>
      </c>
      <c r="D663" s="58" t="n">
        <f aca="false">Flights!$D$24</f>
        <v>46324</v>
      </c>
      <c r="E663" s="57" t="str">
        <f aca="false">Flights!$G$24&amp;"-"&amp;Flights!$H$24</f>
        <v>KUL-LGK</v>
      </c>
      <c r="F663" s="57" t="str">
        <f aca="false">Flights!$K$24</f>
        <v>EY</v>
      </c>
      <c r="G663" s="57" t="s">
        <v>459</v>
      </c>
      <c r="H663" s="57" t="s">
        <v>460</v>
      </c>
      <c r="I663" s="57" t="s">
        <v>428</v>
      </c>
      <c r="J663" s="57" t="s">
        <v>465</v>
      </c>
      <c r="K663" s="67" t="s">
        <v>426</v>
      </c>
      <c r="L663" s="67" t="s">
        <v>462</v>
      </c>
      <c r="M663" s="67"/>
      <c r="N663" s="67" t="s">
        <v>383</v>
      </c>
      <c r="O663" s="67" t="s">
        <v>463</v>
      </c>
      <c r="P663" s="57" t="s">
        <v>187</v>
      </c>
      <c r="Q663" s="59" t="n">
        <f aca="false">ROUND((Flights!$AF$24)*1440,0)/1440</f>
        <v>46324.4375</v>
      </c>
      <c r="R663" s="59" t="n">
        <f aca="false">Q663+(IF(AND(INDEX(TZ_DSTS,MATCH(P663,TZ_STN,0))&lt;&gt;"",Q663&gt;=INDEX(TZ_DSTS,MATCH(P663,TZ_STN,0)),Q663&lt;INDEX(TZ_DSTE,MATCH(P663,TZ_STN,0))),INDEX(TZ_DST,MATCH(P663,TZ_STN,0)),INDEX(TZ_STD,MATCH(P663,TZ_STN,0))))/24</f>
        <v>46324.7708333333</v>
      </c>
      <c r="S663" s="60"/>
      <c r="T663" s="60"/>
      <c r="U663" s="60"/>
      <c r="V663" s="60"/>
      <c r="W663" s="61"/>
      <c r="X663" s="60"/>
      <c r="Y663" s="60"/>
      <c r="Z663" s="60"/>
      <c r="AA663" s="60"/>
      <c r="AB663" s="60"/>
      <c r="AC663" s="60"/>
      <c r="AD663" s="66"/>
      <c r="AE663" s="60"/>
      <c r="AF663" s="61" t="str">
        <f aca="false">IF(AND(ISNUMBER(X663),ISNUMBER(Y663)),Y663-X663,"")</f>
        <v/>
      </c>
      <c r="AG663" s="62" t="str">
        <f aca="false">IF(ISNUMBER(AD663),AD663-(IF(AND(INDEX(TZ_DSTS,MATCH(P663,TZ_STN,0))&lt;&gt;"",(AD663-INDEX(TZ_STD,MATCH(P663,TZ_STN,0))/24)&gt;=INDEX(TZ_DSTS,MATCH(P663,TZ_STN,0)),(AD663-INDEX(TZ_STD,MATCH(P663,TZ_STN,0))/24)&lt;INDEX(TZ_DSTE,MATCH(P663,TZ_STN,0))),INDEX(TZ_DST,MATCH(P663,TZ_STN,0)),INDEX(TZ_STD,MATCH(P663,TZ_STN,0))))/24,"")</f>
        <v/>
      </c>
      <c r="AH663" s="65" t="str">
        <f aca="false">IFERROR(IF(N663="N/A – rule",IF(OR(TRIM(U663)="",TRIM(U663)="N/A",TRIM(U663)="Not started"),"N/A – RULE","INVALID – this check does not apply to this aircraft: clear the status (or correct the fleet on Flights)"),IF(TRIM(U663)="N/A",IF(AT663=0,"INVALID – N/A not permitted for this check",IF(AND(TRIM(AB663)&lt;&gt;"",TRIM(AB663)&lt;&gt;"Closed"),"INVALID – corrective action still open",IF(AND(NOT(OR(LEN(AZ663)&lt;15,ISNUMBER(MATCH(AZ663,L_Placeholder,0)))),BK663=0,CG663&gt;=8,NOT(OR(LEN(AU663)&lt;2,ISNUMBER(MATCH(AU663,L_Placeholder,0)))),BR663&gt;=3,NOT(OR(LEN(AX663)&lt;2,ISNUMBER(MATCH(AX663,L_Placeholder,0)))),BS663&gt;=3,TRIM(AE663)&lt;&gt;TRIM(T663),AX663&lt;&gt;AU663,CE663=0),"N/A – JUSTIFIED","INVALID – N/A needs a real, settled reason (not 'not applicable' / 'as above' / TBC), a named PIC and a different named verifier"))),IF(OR(TRIM(U663)="Pass",TRIM(U663)="Pass after CA"),IF(NOT(ISNUMBER(AD663)),"INVALID – completion time missing",IF(OR(OR(LEN(AU663)&lt;2,ISNUMBER(MATCH(AU663,L_Placeholder,0))),BR663&lt;3),"INVALID – PIC missing or not a named person (a role such as QA / CSM is not a name)",IF(OR(LEN(AV663)&lt;2,ISNUMBER(MATCH(AV663,L_Placeholder,0))),"INVALID – result / assessment missing",IF(OR(OR(LEN(AW663)&lt;3,ISNUMBER(MATCH(AW663,L_Placeholder,0))),SUMPRODUCT(--ISNUMBER(SEARCH(" "&amp;L_EvidencePhrase&amp;" ",BD663)))&gt;0,BI663=1),"INVALID – evidence missing, placeholder or not yet on file",IF(ISNA(MATCH(TRIM(S663),L_EvidenceType,0)),"INVALID – choose the evidence type from the list (column S)",IF(BL663=0,"INVALID – evidence ID must be the record's own ID only (e.g. SF-2210, IMG_2231, 1045521); a link / file name needs type 'Link / file path'",IF(OR(OR(LEN(AX663)&lt;2,ISNUMBER(MATCH(AX663,L_Placeholder,0))),BS663&lt;3),"INVALID – verifier missing or not a named person (a role such as QA / CSM is not a name)",IF(OR(AX663=AU663,CE663=1,AND(LEN(AU663)&gt;=4,ISNUMBER(SEARCH(AU663,AX663))),AND(LEN(AX663)&gt;=4,ISNUMBER(SEARCH(AX663,AU663)))),"INVALID – verifier must be a different, named person (not the PIC or a role)",IF(BH663=1,"INVALID – result not yet available (awaiting / TBC)",IF(BG663=1,"INVALID – result describes a problem: record Fail, then Pass after CA (or reword if it is not a problem)",IF(BV663=1,"INVALID – wording says not on board: an on-board confirmation needs the item loaded",IF(AND(AQ663=1,OR(OR(LEN(AY663)&lt;3,ISNUMBER(MATCH(AY663,L_Placeholder,0))),BJ663=1,BQ663=0)),"INVALID – batch ID missing, placeholder or not an ID (e.g. PASB-261008-BC-017)",IF(AND(AR663=1,OR(NOT(ISNUMBER(X663)),NOT(ISNUMBER(Y663)))),"INVALID – expected/actual qty missing",IF(AND(AR663=1,OR(X663&lt;=0,Y663&lt;0)),"INVALID – expected qty must be above 0 and actual not negative",IF(AH659="N/A – JUSTIFIED","INVALID – preparation row F20-T12-06 is N/A",IF(AND(AR663=1,ISNUMBER(X659),X663&lt;&gt;X659,TRIM(U663)&lt;&gt;"Pass after CA"),"INVALID – expected qty differs from preparation check F20-T12-06: record the load change as a corrective action (Pass after CA)",IF(BB663&lt;&gt;"",BB663,IF(AND(AS663=1,Documents!$J$24&lt;&gt;"ON FILE"),"INVALID – GLD not on file (Documents sheet)",IF(AND(AS663=2,Documents!$O$24&lt;&gt;"ON FILE"),"INVALID – menu checklist not on file (Documents sheet)",IF(AND(AS663=3,NOT(ISNUMBER(Flights!$AX$24))),"INVALID – enter carrying flight KUL departure (Flights AX)",IF(AND(AS663=3,OR(Flights!$AZ$24&gt;Flights!$AA$24,Flights!$AX$24&lt;Flights!$AA$24-3)),"INVALID – carrying flight (Flights AX) cannot arrive before this leg's STD, or is over 3 days early",IF(AG663&gt;AsOfUTC,"INVALID – completion time is in the future",IF(AND(ISNUMBER(BY663),AG663&lt;BY663),IF(H663="Physical uplift","INVALID – before uplift window (cannot confirm loading)","INVALID – before valid window"),IF(AG663&gt;Flights!$AA$24,"INVALID – completed after departure (cannot establish readiness)",IF(AND(H663="Preparation",AG663&gt;=IF(ISNUMBER(Flights!$BA$24),MIN(Flights!$BA$24,Flights!$AA$24),Flights!$AA$24)),"INVALID – completed after loading / departure (cannot establish readiness)",IF(AND(H663="Physical uplift",AG663&gt;Q663),"INVALID – recorded after the loading flight departed",IF(AG663&gt;Q663,"COMPLETE – LATE","COMPLETE"))))))))))))))))))))))))))),IF(TRIM(U663)="Fail","FAIL – DISCREPANCY",IF(AND(TRIM(U663)&lt;&gt;"",TRIM(U663)&lt;&gt;"Not started",TRIM(U663)&lt;&gt;"In progress"),"INVALID – unrecognised status (use the list)",IF(AsOfUTC&gt;Q663,"OVERDUE",IF(N663="Clarification required","OPEN – CLARIFICATION","OPEN"))))))),"INVALID – error value in an input cell")</f>
        <v>OPEN</v>
      </c>
      <c r="AI663" s="61" t="n">
        <f aca="false">IF(OR(AH663="N/A – RULE",AH663="N/A – JUSTIFIED"),0,1)</f>
        <v>1</v>
      </c>
      <c r="AJ663" s="61" t="n">
        <f aca="false">IF(LEFT(AH663,8)="COMPLETE",1,0)</f>
        <v>0</v>
      </c>
      <c r="AK663" s="61" t="n">
        <f aca="false">IF(AND(AI663=1,AJ663=0,AsOfUTC&gt;Q663),1,0)</f>
        <v>0</v>
      </c>
      <c r="AL663" s="61" t="n">
        <f aca="false">IFERROR(IF(AND(AI663=1,OR(TRIM(U663)="Fail",AND(TRIM(AB663)&lt;&gt;"",TRIM(AB663)&lt;&gt;"Closed"),AND(ISNUMBER(AF663),AF663&lt;&gt;0,TRIM(U663)&lt;&gt;"Pass after CA"))),1,0),1)</f>
        <v>0</v>
      </c>
      <c r="AM663" s="61" t="n">
        <f aca="false">IF(LEFT(AH663,7)="INVALID",1,0)</f>
        <v>0</v>
      </c>
      <c r="AN663" s="61" t="n">
        <f aca="false">IF(AND(N663="Clarification required",AI663=1,AJ663=0),1,0)</f>
        <v>0</v>
      </c>
      <c r="AO663" s="61" t="str">
        <f aca="false">IF(AK663=1,SUM(AK$5:AK663),"")</f>
        <v/>
      </c>
      <c r="AP663" s="61" t="str">
        <f aca="false">IF(AL663=1,SUM(AL$5:AL663),"")</f>
        <v/>
      </c>
      <c r="AQ663" s="61" t="n">
        <v>0</v>
      </c>
      <c r="AR663" s="61" t="n">
        <v>1</v>
      </c>
      <c r="AS663" s="61" t="n">
        <v>0</v>
      </c>
      <c r="AT663" s="61" t="n">
        <v>0</v>
      </c>
      <c r="AU663" s="61" t="str">
        <f aca="false">SUBSTITUTE(SUBSTITUTE(SUBSTITUTE(SUBSTITUTE(SUBSTITUTE(SUBSTITUTE(SUBSTITUTE(SUBSTITUTE(SUBSTITUTE(SUBSTITUTE(SUBSTITUTE(SUBSTITUTE(SUBSTITUTE(SUBSTITUTE(SUBSTITUTE(SUBSTITUTE(LOWER(T663&amp;""),CHAR(10),""),CHAR(13),""),CHAR(9),""),CHAR(160),"")," ",""),".",""),"-",""),"/",""),"?",""),"_",""),",",""),"[",""),"]",""),"(",""),")",""),"*","")</f>
        <v/>
      </c>
      <c r="AV663" s="61" t="str">
        <f aca="false">SUBSTITUTE(SUBSTITUTE(SUBSTITUTE(SUBSTITUTE(SUBSTITUTE(SUBSTITUTE(SUBSTITUTE(SUBSTITUTE(SUBSTITUTE(SUBSTITUTE(SUBSTITUTE(SUBSTITUTE(SUBSTITUTE(SUBSTITUTE(SUBSTITUTE(SUBSTITUTE(LOWER(V663&amp;""),CHAR(10),""),CHAR(13),""),CHAR(9),""),CHAR(160),"")," ",""),".",""),"-",""),"/",""),"?",""),"_",""),",",""),"[",""),"]",""),"(",""),")",""),"*","")</f>
        <v/>
      </c>
      <c r="AW663" s="61" t="str">
        <f aca="false">SUBSTITUTE(SUBSTITUTE(SUBSTITUTE(SUBSTITUTE(SUBSTITUTE(SUBSTITUTE(SUBSTITUTE(SUBSTITUTE(SUBSTITUTE(SUBSTITUTE(SUBSTITUTE(SUBSTITUTE(SUBSTITUTE(SUBSTITUTE(SUBSTITUTE(SUBSTITUTE(LOWER(Z663&amp;""),CHAR(10),""),CHAR(13),""),CHAR(9),""),CHAR(160),"")," ",""),".",""),"-",""),"/",""),"?",""),"_",""),",",""),"[",""),"]",""),"(",""),")",""),"*","")</f>
        <v/>
      </c>
      <c r="AX663" s="61" t="str">
        <f aca="false">SUBSTITUTE(SUBSTITUTE(SUBSTITUTE(SUBSTITUTE(SUBSTITUTE(SUBSTITUTE(SUBSTITUTE(SUBSTITUTE(SUBSTITUTE(SUBSTITUTE(SUBSTITUTE(SUBSTITUTE(SUBSTITUTE(SUBSTITUTE(SUBSTITUTE(SUBSTITUTE(LOWER(AE663&amp;""),CHAR(10),""),CHAR(13),""),CHAR(9),""),CHAR(160),"")," ",""),".",""),"-",""),"/",""),"?",""),"_",""),",",""),"[",""),"]",""),"(",""),")",""),"*","")</f>
        <v/>
      </c>
      <c r="AY663" s="61" t="str">
        <f aca="false">SUBSTITUTE(SUBSTITUTE(SUBSTITUTE(SUBSTITUTE(SUBSTITUTE(SUBSTITUTE(SUBSTITUTE(SUBSTITUTE(SUBSTITUTE(SUBSTITUTE(SUBSTITUTE(SUBSTITUTE(SUBSTITUTE(SUBSTITUTE(SUBSTITUTE(SUBSTITUTE(LOWER(W663&amp;""),CHAR(10),""),CHAR(13),""),CHAR(9),""),CHAR(160),"")," ",""),".",""),"-",""),"/",""),"?",""),"_",""),",",""),"[",""),"]",""),"(",""),")",""),"*","")</f>
        <v/>
      </c>
      <c r="AZ663" s="61" t="str">
        <f aca="false">SUBSTITUTE(SUBSTITUTE(SUBSTITUTE(SUBSTITUTE(SUBSTITUTE(SUBSTITUTE(SUBSTITUTE(SUBSTITUTE(SUBSTITUTE(SUBSTITUTE(SUBSTITUTE(SUBSTITUTE(SUBSTITUTE(SUBSTITUTE(SUBSTITUTE(SUBSTITUTE(LOWER(AC663&amp;""),CHAR(10),""),CHAR(13),""),CHAR(9),""),CHAR(160),"")," ",""),".",""),"-",""),"/",""),"?",""),"_",""),",",""),"[",""),"]",""),"(",""),")",""),"*","")</f>
        <v/>
      </c>
      <c r="BA663" s="61" t="str">
        <f aca="false">SUBSTITUTE(SUBSTITUTE(SUBSTITUTE(SUBSTITUTE(SUBSTITUTE(SUBSTITUTE(SUBSTITUTE(SUBSTITUTE(SUBSTITUTE(SUBSTITUTE(SUBSTITUTE(SUBSTITUTE(SUBSTITUTE(SUBSTITUTE(SUBSTITUTE(SUBSTITUTE(LOWER(AA663&amp;""),CHAR(10),""),CHAR(13),""),CHAR(9),""),CHAR(160),"")," ",""),".",""),"-",""),"/",""),"?",""),"_",""),",",""),"[",""),"]",""),"(",""),")",""),"*","")</f>
        <v/>
      </c>
      <c r="BB663" s="61" t="str">
        <f aca="false">IF(AND(TRIM(U663)="Pass",ISNUMBER(AF663)),IF(AF663&lt;&gt;0,"INVALID – qty variance: use Fail or Pass after CA",""),"")&amp;IF(AND(TRIM(U663)="Pass after CA",ISNUMBER(AF663)),IF(AF663&lt;&gt;0,"INVALID – after the corrective action the actual qty must equal expected (update Actual)",""),"")&amp;IF(AND(TRIM(U663)="Pass",TRIM(AB663)&lt;&gt;"",TRIM(AB663)&lt;&gt;"Closed"),"INVALID – corrective action not closed: use Fail, then Pass after CA","")&amp;IF(AND(LEN(BA663)&gt;=2,ISNA(MATCH(LEFT(BA663,255),L_Placeholder,0)),TRIM(AB663)=""),"INVALID – CA status missing for the recorded corrective action","")&amp;IF(AND(TRIM(U663)="Pass after CA",OR(OR(LEN(BA663)&lt;5,ISNUMBER(MATCH(BA663,L_Placeholder,0))),TRIM(AB663)&lt;&gt;"Closed")),"INVALID – corrective action not recorded/closed","")</f>
        <v/>
      </c>
      <c r="BC663" s="61" t="str">
        <f aca="false">" "&amp;TRIM(SUBSTITUTE(SUBSTITUTE(SUBSTITUTE(SUBSTITUTE(SUBSTITUTE(SUBSTITUTE(SUBSTITUTE(SUBSTITUTE(SUBSTITUTE(SUBSTITUTE(SUBSTITUTE(SUBSTITUTE(SUBSTITUTE(SUBSTITUTE(SUBSTITUTE(SUBSTITUTE(SUBSTITUTE(SUBSTITUTE(SUBSTITUTE(SUBSTITUTE(SUBSTITUTE(SUBSTITUTE(SUBSTITUTE(SUBSTITUTE(LOWER(V663&amp;""),CHAR(10)," "),CHAR(13)," "),CHAR(9)," "),CHAR(160)," "),"."," "),","," "),"-"," "),"/"," "),"("," "),")"," "),":"," "),";"," "),"_"," "),"–"," "),"?"," "),"!"," "),"*"," "),"["," "),"]"," "),"'"," "),"#"," "),"+"," "),"&amp;"," "),"\"," "))&amp;" "</f>
        <v>  </v>
      </c>
      <c r="BD663" s="61" t="str">
        <f aca="false">" "&amp;TRIM(SUBSTITUTE(SUBSTITUTE(SUBSTITUTE(SUBSTITUTE(SUBSTITUTE(SUBSTITUTE(SUBSTITUTE(SUBSTITUTE(SUBSTITUTE(SUBSTITUTE(SUBSTITUTE(SUBSTITUTE(SUBSTITUTE(SUBSTITUTE(SUBSTITUTE(SUBSTITUTE(SUBSTITUTE(SUBSTITUTE(SUBSTITUTE(SUBSTITUTE(SUBSTITUTE(SUBSTITUTE(SUBSTITUTE(SUBSTITUTE(LOWER(Z663&amp;""),CHAR(10)," "),CHAR(13)," "),CHAR(9)," "),CHAR(160)," "),"."," "),","," "),"-"," "),"/"," "),"("," "),")"," "),":"," "),";"," "),"_"," "),"–"," "),"?"," "),"!"," "),"*"," "),"["," "),"]"," "),"'"," "),"#"," "),"+"," "),"&amp;"," "),"\"," "))&amp;" "</f>
        <v>  </v>
      </c>
      <c r="BE663" s="61" t="str">
        <f aca="false">" "&amp;TRIM(SUBSTITUTE(SUBSTITUTE(SUBSTITUTE(SUBSTITUTE(SUBSTITUTE(SUBSTITUTE(SUBSTITUTE(SUBSTITUTE(SUBSTITUTE(SUBSTITUTE(SUBSTITUTE(SUBSTITUTE(SUBSTITUTE(SUBSTITUTE(SUBSTITUTE(SUBSTITUTE(SUBSTITUTE(SUBSTITUTE(SUBSTITUTE(SUBSTITUTE(SUBSTITUTE(SUBSTITUTE(SUBSTITUTE(SUBSTITUTE(LOWER(W663&amp;""),CHAR(10)," "),CHAR(13)," "),CHAR(9)," "),CHAR(160)," "),"."," "),","," "),"-"," "),"/"," "),"("," "),")"," "),":"," "),";"," "),"_"," "),"–"," "),"?"," "),"!"," "),"*"," "),"["," "),"]"," "),"'"," "),"#"," "),"+"," "),"&amp;"," "),"\"," "))&amp;" "</f>
        <v>  </v>
      </c>
      <c r="BF663" s="61" t="str">
        <f aca="false">" "&amp;TRIM(SUBSTITUTE(SUBSTITUTE(SUBSTITUTE(SUBSTITUTE(SUBSTITUTE(SUBSTITUTE(SUBSTITUTE(SUBSTITUTE(SUBSTITUTE(SUBSTITUTE(SUBSTITUTE(SUBSTITUTE(SUBSTITUTE(SUBSTITUTE(SUBSTITUTE(SUBSTITUTE(SUBSTITUTE(SUBSTITUTE(SUBSTITUTE(SUBSTITUTE(SUBSTITUTE(SUBSTITUTE(SUBSTITUTE(SUBSTITUTE(LOWER(AC663&amp;""),CHAR(10)," "),CHAR(13)," "),CHAR(9)," "),CHAR(160)," "),"."," "),","," "),"-"," "),"/"," "),"("," "),")"," "),":"," "),";"," "),"_"," "),"–"," "),"?"," "),"!"," "),"*"," "),"["," "),"]"," "),"'"," "),"#"," "),"+"," "),"&amp;"," "),"\"," "))&amp;" "</f>
        <v>  </v>
      </c>
      <c r="BG663" s="61" t="n">
        <f aca="false">IFERROR(IF(AND(TRIM(U663)="Pass",SUMPRODUCT((LEN(BC663)-LEN(SUBSTITUTE(BC663," "&amp;L_ResultBad&amp;" "," ")))/(LEN(L_ResultBad)+1))&gt;SUMPRODUCT((LEN(BC663)-LEN(SUBSTITUTE(BC663," "&amp;L_NegPhrase&amp;" "," ")))/(LEN(L_NegPhrase)+1))),1,0),0)</f>
        <v>0</v>
      </c>
      <c r="BH663" s="61" t="n">
        <f aca="false">IFERROR(IF(SUMPRODUCT((LEN(BC663)-LEN(SUBSTITUTE(BC663," "&amp;L_Pending&amp;" "," ")))/(LEN(L_Pending)+1))&gt;SUMPRODUCT((LEN(BC663)-LEN(SUBSTITUTE(BC663," "&amp;L_PendNeg&amp;" "," ")))/(LEN(L_PendNeg)+1)),1,0),1)</f>
        <v>0</v>
      </c>
      <c r="BI663" s="61" t="n">
        <f aca="false">IFERROR(IF(SUMPRODUCT((LEN(BD663)-LEN(SUBSTITUTE(BD663," "&amp;L_PendStrict&amp;" "," ")))/(LEN(L_PendStrict)+1))&gt;SUMPRODUCT((LEN(BD663)-LEN(SUBSTITUTE(BD663," "&amp;L_PendNeg&amp;" "," ")))/(LEN(L_PendNeg)+1)),1,0),1)</f>
        <v>0</v>
      </c>
      <c r="BJ663" s="61" t="n">
        <f aca="false">IFERROR(IF(SUMPRODUCT((LEN(BE663)-LEN(SUBSTITUTE(BE663," "&amp;L_Pending&amp;" "," ")))/(LEN(L_Pending)+1))&gt;SUMPRODUCT((LEN(BE663)-LEN(SUBSTITUTE(BE663," "&amp;L_PendNeg&amp;" "," ")))/(LEN(L_PendNeg)+1)),1,0),1)</f>
        <v>0</v>
      </c>
      <c r="BK663" s="61" t="n">
        <f aca="false">IFERROR(IF(SUMPRODUCT((LEN(BF663)-LEN(SUBSTITUTE(BF663," "&amp;L_PendStrict&amp;" "," ")))/(LEN(L_PendStrict)+1))&gt;SUMPRODUCT((LEN(BF663)-LEN(SUBSTITUTE(BF663," "&amp;L_PendNeg&amp;" "," ")))/(LEN(L_PendNeg)+1)),1,0),1)</f>
        <v>0</v>
      </c>
      <c r="BL663" s="61" t="n">
        <f aca="false">IF(ISNA(MATCH(TRIM(S663),L_EvidenceType,0)),0,BZ663)</f>
        <v>0</v>
      </c>
      <c r="BM663" s="61" t="str">
        <f aca="false">SUBSTITUTE(SUBSTITUTE(SUBSTITUTE(SUBSTITUTE(SUBSTITUTE(SUBSTITUTE(SUBSTITUTE(SUBSTITUTE(SUBSTITUTE(LOWER(Z663&amp;""),"1","0"),"2","0"),"3","0"),"4","0"),"5","0"),"6","0"),"7","0"),"8","0"),"9","0")</f>
        <v/>
      </c>
      <c r="BN663" s="61" t="str">
        <f aca="false">SUBSTITUTE(SUBSTITUTE(SUBSTITUTE(SUBSTITUTE(SUBSTITUTE(SUBSTITUTE(SUBSTITUTE(SUBSTITUTE(SUBSTITUTE(SUBSTITUTE(SUBSTITUTE(SUBSTITUTE(SUBSTITUTE(SUBSTITUTE(SUBSTITUTE(SUBSTITUTE(SUBSTITUTE(SUBSTITUTE(SUBSTITUTE(SUBSTITUTE(SUBSTITUTE(SUBSTITUTE(SUBSTITUTE(SUBSTITUTE(SUBSTITUTE(BM663,"b","a"),"c","a"),"d","a"),"e","a"),"f","a"),"g","a"),"h","a"),"i","a"),"j","a"),"k","a"),"l","a"),"m","a"),"n","a"),"o","a"),"p","a"),"q","a"),"r","a"),"s","a"),"t","a"),"u","a"),"v","a"),"w","a"),"x","a"),"y","a"),"z","a")</f>
        <v/>
      </c>
      <c r="BO663" s="61" t="str">
        <f aca="false">SUBSTITUTE(SUBSTITUTE(SUBSTITUTE(SUBSTITUTE(SUBSTITUTE(SUBSTITUTE(SUBSTITUTE(SUBSTITUTE(SUBSTITUTE(LOWER(W663&amp;""),"1","0"),"2","0"),"3","0"),"4","0"),"5","0"),"6","0"),"7","0"),"8","0"),"9","0")</f>
        <v/>
      </c>
      <c r="BP663" s="61" t="str">
        <f aca="false">SUBSTITUTE(SUBSTITUTE(SUBSTITUTE(SUBSTITUTE(SUBSTITUTE(SUBSTITUTE(SUBSTITUTE(SUBSTITUTE(SUBSTITUTE(SUBSTITUTE(SUBSTITUTE(SUBSTITUTE(SUBSTITUTE(SUBSTITUTE(SUBSTITUTE(SUBSTITUTE(SUBSTITUTE(SUBSTITUTE(SUBSTITUTE(SUBSTITUTE(SUBSTITUTE(SUBSTITUTE(SUBSTITUTE(SUBSTITUTE(SUBSTITUTE(BO663,"b","a"),"c","a"),"d","a"),"e","a"),"f","a"),"g","a"),"h","a"),"i","a"),"j","a"),"k","a"),"l","a"),"m","a"),"n","a"),"o","a"),"p","a"),"q","a"),"r","a"),"s","a"),"t","a"),"u","a"),"v","a"),"w","a"),"x","a"),"y","a"),"z","a")</f>
        <v/>
      </c>
      <c r="BQ663" s="61" t="n">
        <f aca="false">IFERROR(IF(AND(ISERROR(SEARCH(" mh"," "&amp;LOWER(W663))),ISNA(MATCH(LEFT(TRIM(BP663),255),{"0000a","000a","00a","0000aa","000aa","00aa","0aa","0000aaa","000aaa","00a00","0a00","0000-0000","00:00","a00","a0","00.00.0000","00/00/0000","00-00-0000","0000-00-00","0000/00/00","0000.00.00","00.00.00","00/00/00","00-00-00","0.00.0000","0/00/0000","0-00-0000"},0)),ISNA(MATCH(LEFT(TRIM(CA663),255),{"0000a","000a","00a","0000aa","000aa","00aa","0aa","0000aaa","000aaa","00a00","0a00","0000-0000","00:00","a00","a0","00.00.0000","00/00/0000","00-00-0000","0000-00-00","0000/00/00","0000.00.00","00.00.00","00/00/00","00-00-00","0.00.0000","0/00/0000","0-00-0000"},0)),LEN(CB663)&gt;=3,NOT(OR(SUBSTITUTE(CB663,"0","")="",AND(LEN(CB663)&gt;=4,CB663=REPT(LEFT(CB663),LEN(CB663))),ISNUMBER(MATCH(CB663,{"123","1234","12345","123456","1234567","12345678","0123","01234","012345","98765","987654","54321"},0)),AND(LEN(CB663)=8,LEFT(CB663,3)="202"))),OR(AND((LEN(CA663)-LEN(SUBSTITUTE(CA663,"a","")))&gt;=1,SUMPRODUCT(--ISNUMBER(SEARCH({"a0","a-0","a_0","a/0","a.0","a#0","0a","0-a","0_a","0/a"},BP663)))&gt;0),ISNUMBER(SEARCH("000000",BP663)))),1,0),0)</f>
        <v>0</v>
      </c>
      <c r="BR663" s="61" t="n">
        <f aca="false">IFERROR(LEN(SUBSTITUTE(CC663," ",""))-SUMPRODUCT((LEN(CC663)-LEN(SUBSTITUTE(CC663," "&amp;L_Role&amp;" "," ")))/(LEN(L_Role)+1)*LEN(L_Role)),0)</f>
        <v>0</v>
      </c>
      <c r="BS663" s="61" t="n">
        <f aca="false">IFERROR(LEN(SUBSTITUTE(CD663," ",""))-SUMPRODUCT((LEN(CD663)-LEN(SUBSTITUTE(CD663," "&amp;L_Role&amp;" "," ")))/(LEN(L_Role)+1)*LEN(L_Role)),0)</f>
        <v>0</v>
      </c>
      <c r="BT6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663,"revision",""),"version",""),"jan",""),"feb",""),"mar",""),"apr",""),"may",""),"jun",""),"jul",""),"aug",""),"sep",""),"oct",""),"nov",""),"dec",""),"utc",""),"gmt",""),"myt",""),"bst",""),"rev",""),"ver",""),"b","a"),"c","a"),"d","a"),"e","a"),"f","a"),"g","a"),"h","a"),"i","a"),"j","a"),"k","a"),"l","a"),"m","a"),"n","a"),"o","a"),"p","a"),"q","a"),"r","a"),"s","a"),"t","a"),"u","a"),"v","a"),"w","a"),"x","a"),"y","a"),"z","a")</f>
        <v/>
      </c>
      <c r="BU663" s="61" t="str">
        <f aca="false">SUBSTITUTE(SUBSTITUTE(SUBSTITUTE(SUBSTITUTE(SUBSTITUTE(SUBSTITUTE(SUBSTITUTE(SUBSTITUTE(SUBSTITUTE(SUBSTITUTE(LEFT(BM663,FIND("0",BM663&amp;"0")-1),"-",""),"_",""),"/",""),".",""),"#",""),"\\",""),":","")," ",""),"(",""),")","")</f>
        <v/>
      </c>
      <c r="BV663" s="61" t="n">
        <f aca="false">IFERROR(IF(OR(SUMPRODUCT((LEN(BC663)-LEN(SUBSTITUTE(BC663," "&amp;L_NotLoaded&amp;" "," ")))/(LEN(L_NotLoaded)+1))&gt;SUMPRODUCT((LEN(BC663)-LEN(SUBSTITUTE(BC663," "&amp;L_NotLoadedNeg&amp;" "," ")))/(LEN(L_NotLoadedNeg)+1)),SUMPRODUCT((LEN(BD663)-LEN(SUBSTITUTE(BD663," "&amp;L_NotLoaded&amp;" "," ")))/(LEN(L_NotLoaded)+1))&gt;SUMPRODUCT((LEN(BD663)-LEN(SUBSTITUTE(BD663," "&amp;L_NotLoadedNeg&amp;" "," ")))/(LEN(L_NotLoadedNeg)+1))),1,0),0)</f>
        <v>0</v>
      </c>
      <c r="BW66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663&amp;""),"a",""),"b",""),"c",""),"d",""),"e",""),"f",""),"g",""),"h",""),"i",""),"j",""),"k",""),"l",""),"m",""),"n",""),"o",""),"p",""),"q",""),"r",""),"s",""),"t",""),"u",""),"v",""),"w",""),"x",""),"y",""),"z",""),"-",""),"_",""),"/",""),".",""),"#",""),"\\",""),":","")," ",""),"(",""),")","")</f>
        <v/>
      </c>
      <c r="BX663" s="61" t="str">
        <f aca="false">SUBSTITUTE(SUBSTITUTE(SUBSTITUTE(SUBSTITUTE(SUBSTITUTE(SUBSTITUTE(SUBSTITUTE(SUBSTITUTE(SUBSTITUTE(SUBSTITUTE(SUBSTITUTE(BM663,"0",""),"-",""),"_",""),"/",""),".",""),"#",""),"\\",""),":","")," ",""),"(",""),")","")</f>
        <v/>
      </c>
      <c r="BY663" s="62" t="n">
        <f aca="false">IF(ISNUMBER(Flights!$AZ$24),MAX(Q663-UpliftWindowH/24,Flights!$AZ$24),Q663-UpliftWindowH/24)</f>
        <v>46324.1875</v>
      </c>
      <c r="BZ663" s="61" t="n">
        <f aca="false">IFERROR(IF(IF(TRIM(S663)="Link / file path",AND(LEN(TRIM(Z663))&gt;=5,SUMPRODUCT(--ISNUMBER(SEARCH({"http","www.","\\",":\",".pdf",".jpg",".jpeg",".png",".heic",".xls",".doc",".msg",".eml",".ppt",".txt",".zip"},Z663)))&gt;0),AND(ISERROR(FIND(" ",TRIM(Z663))),NOT(OR(SUMPRODUCT(--ISNUMBER(FIND({",",";","&amp;","+"},Z663)))&gt;0,SUMPRODUCT(--ISNUMBER(SEARCH({"0/aa","0\\aa"},BN663)))&gt;0)),NOT(SUMPRODUCT(--ISNUMBER(SEARCH({"http","www.","\\",":\",".pdf",".jpg",".jpeg",".png",".heic",".xls",".doc",".msg",".eml",".ppt",".txt",".zip"},Z663)))&gt;0),NOT(LOWER(TRIM(Z663))=LOWER(Flights!$F$24)),ISNA(MATCH(BU663,{"mh","rev","revision","ver","version","v","r","a","b","seat","tray","row","gate","bay","stand","page","pg","item","line","no","cart","galley","flight","flt","table","box","bag","oven","etd","eta","std","sta","atd","ata","qty","pax","x","time","tel","ph","mob","day","wk","week","utc","gmt","myt","lt"},0)),NOT(OR(ISNUMBER(MATCH(LEFT(BN663,255),{"0000a","000a","00a","0000aa","000aa","00aa","0aa","0000aaa","000aaa","00a00","0a00","0000-0000","00:00","a00","a0","00.00.0000","00/00/0000","00-00-0000","0000-00-00","0000/00/00","0000.00.00","00.00.00","00/00/00","00-00-00","0.00.0000","0/00/0000","0-00-0000"},0)),ISNUMBER(MATCH(LEFT(BT663,255),{"0000a","000a","00a","0000aa","000aa","00aa","0aa","0000aaa","000aaa","00a00","0a00","0000-0000","00:00","a00","a0","00.00.0000","00/00/0000","00-00-0000","0000-00-00","0000/00/00","0000.00.00","00.00.00","00/00/00","00-00-00","0.00.0000","0/00/0000","0-00-0000"},0)))),NOT(OR(AND(BW663&lt;&gt;"",SUBSTITUTE(BW663,"0","")=""),AND(LEN(BW663)&gt;=4,BW663=REPT(LEFT(BW663),LEN(BW663))),ISNUMBER(MATCH(BW663,{"123","1234","12345","123456","1234567","12345678","0123","01234","012345","98765","987654","54321"},0)),ISNUMBER(MATCH(BX663,{"x","xx","xxx","xxxx","xxxxx","abc","abcd","nil","na","nan","test","tbc","tba","tbd","dummy","sample","example","eg","zz","zzz","none","null","xyz","qwe","asd","id","ref"},0)),AND(LEN(BW663)=8,BX663="",OR(LEFT(BW663,3)="202",ISNUMBER(MATCH(RIGHT(BW663,4),{"2025","2026","2027"},0)))))),OR(AND((LEN(BT663)-LEN(SUBSTITUTE(BT663,"a","")))&gt;=1,(LEN(BN663)-LEN(SUBSTITUTE(BN663,"0","")))&gt;=2,SUMPRODUCT(--ISNUMBER(SEARCH({"a0","a-0","a_0","a/0","a.0","a#0","0a","0-a","0_a","0/a"},BN663)))&gt;0),AND((LEN(BN663)-LEN(SUBSTITUTE(BN663,"a","")))=0,(LEN(BN663)-LEN(SUBSTITUTE(BN663,"0","")))&gt;=5)))),1,0),0)</f>
        <v>0</v>
      </c>
      <c r="CA6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663,"revision",""),"version",""),"jan",""),"feb",""),"mar",""),"apr",""),"may",""),"jun",""),"jul",""),"aug",""),"sep",""),"oct",""),"nov",""),"dec",""),"utc",""),"gmt",""),"myt",""),"bst",""),"rev",""),"ver",""),"b","a"),"c","a"),"d","a"),"e","a"),"f","a"),"g","a"),"h","a"),"i","a"),"j","a"),"k","a"),"l","a"),"m","a"),"n","a"),"o","a"),"p","a"),"q","a"),"r","a"),"s","a"),"t","a"),"u","a"),"v","a"),"w","a"),"x","a"),"y","a"),"z","a")</f>
        <v/>
      </c>
      <c r="CB66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663&amp;""),"a",""),"b",""),"c",""),"d",""),"e",""),"f",""),"g",""),"h",""),"i",""),"j",""),"k",""),"l",""),"m",""),"n",""),"o",""),"p",""),"q",""),"r",""),"s",""),"t",""),"u",""),"v",""),"w",""),"x",""),"y",""),"z",""),"-",""),"_",""),"/",""),".",""),"#",""),"\\",""),":","")," ",""),"(",""),")","")</f>
        <v/>
      </c>
      <c r="CC663" s="0" t="str">
        <f aca="false">" "&amp;TRIM(SUBSTITUTE(SUBSTITUTE(SUBSTITUTE(SUBSTITUTE(SUBSTITUTE(SUBSTITUTE(SUBSTITUTE(SUBSTITUTE(SUBSTITUTE(SUBSTITUTE(SUBSTITUTE(SUBSTITUTE(SUBSTITUTE(SUBSTITUTE(SUBSTITUTE(SUBSTITUTE(SUBSTITUTE(SUBSTITUTE(SUBSTITUTE(SUBSTITUTE(SUBSTITUTE(SUBSTITUTE(SUBSTITUTE(SUBSTITUTE(LOWER(T663&amp;""),CHAR(10)," "),CHAR(13)," "),CHAR(9)," "),CHAR(160)," "),"."," "),","," "),"-"," "),"/"," "),"("," "),")"," "),":"," "),";"," "),"_"," "),"–"," "),"?"," "),"!"," "),"*"," "),"["," "),"]"," "),"'"," "),"#"," "),"+"," "),"&amp;"," "),"\"," "))&amp;" "</f>
        <v>  </v>
      </c>
      <c r="CD663" s="0" t="str">
        <f aca="false">" "&amp;TRIM(SUBSTITUTE(SUBSTITUTE(SUBSTITUTE(SUBSTITUTE(SUBSTITUTE(SUBSTITUTE(SUBSTITUTE(SUBSTITUTE(SUBSTITUTE(SUBSTITUTE(SUBSTITUTE(SUBSTITUTE(SUBSTITUTE(SUBSTITUTE(SUBSTITUTE(SUBSTITUTE(SUBSTITUTE(SUBSTITUTE(SUBSTITUTE(SUBSTITUTE(SUBSTITUTE(SUBSTITUTE(SUBSTITUTE(SUBSTITUTE(LOWER(AE663&amp;""),CHAR(10)," "),CHAR(13)," "),CHAR(9)," "),CHAR(160)," "),"."," "),","," "),"-"," "),"/"," "),"("," "),")"," "),":"," "),";"," "),"_"," "),"–"," "),"?"," "),"!"," "),"*"," "),"["," "),"]"," "),"'"," "),"#"," "),"+"," "),"&amp;"," "),"\"," "))&amp;" "</f>
        <v>  </v>
      </c>
      <c r="CE663" s="68" t="n">
        <f aca="false">IFERROR(IF(AND(LEN(AU663)&gt;0,LEN(AU663)=LEN(AX663),OR(TRIM(MID(SUBSTITUTE(TRIM(CC663)," ",REPT(" ",60)),1,60))="",ISNUMBER(SEARCH(" "&amp;TRIM(MID(SUBSTITUTE(TRIM(CC663)," ",REPT(" ",60)),1,60))&amp;" ",CD663))),OR(TRIM(MID(SUBSTITUTE(TRIM(CC663)," ",REPT(" ",60)),61,60))="",ISNUMBER(SEARCH(" "&amp;TRIM(MID(SUBSTITUTE(TRIM(CC663)," ",REPT(" ",60)),61,60))&amp;" ",CD663))),OR(TRIM(MID(SUBSTITUTE(TRIM(CC663)," ",REPT(" ",60)),121,60))="",ISNUMBER(SEARCH(" "&amp;TRIM(MID(SUBSTITUTE(TRIM(CC663)," ",REPT(" ",60)),121,60))&amp;" ",CD663)))),1,0),0)</f>
        <v>0</v>
      </c>
      <c r="CG663" s="68" t="n">
        <f aca="false">IFERROR(LEN(SUBSTITUTE(BF663," ",""))-SUMPRODUCT((LEN(BF663)-LEN(SUBSTITUTE(BF663," "&amp;L_NAFiller&amp;" "," ")))/(LEN(L_NAFiller)+1)*LEN(L_NAFiller)),0)</f>
        <v>0</v>
      </c>
    </row>
    <row r="664" customFormat="false" ht="39.75" hidden="false" customHeight="true" outlineLevel="0" collapsed="false">
      <c r="A664" s="57" t="s">
        <v>1384</v>
      </c>
      <c r="B664" s="57" t="s">
        <v>304</v>
      </c>
      <c r="C664" s="57" t="str">
        <f aca="false">Flights!$F$24</f>
        <v>MH1450</v>
      </c>
      <c r="D664" s="58" t="n">
        <f aca="false">Flights!$D$24</f>
        <v>46324</v>
      </c>
      <c r="E664" s="57" t="str">
        <f aca="false">Flights!$G$24&amp;"-"&amp;Flights!$H$24</f>
        <v>KUL-LGK</v>
      </c>
      <c r="F664" s="57" t="str">
        <f aca="false">Flights!$K$24</f>
        <v>EY</v>
      </c>
      <c r="G664" s="57" t="s">
        <v>459</v>
      </c>
      <c r="H664" s="57" t="s">
        <v>460</v>
      </c>
      <c r="I664" s="57" t="s">
        <v>447</v>
      </c>
      <c r="J664" s="57" t="s">
        <v>469</v>
      </c>
      <c r="K664" s="67" t="s">
        <v>449</v>
      </c>
      <c r="L664" s="67" t="s">
        <v>1381</v>
      </c>
      <c r="M664" s="67" t="s">
        <v>451</v>
      </c>
      <c r="N664" s="67" t="s">
        <v>383</v>
      </c>
      <c r="O664" s="67"/>
      <c r="P664" s="57" t="s">
        <v>187</v>
      </c>
      <c r="Q664" s="59" t="n">
        <f aca="false">ROUND((Flights!$AF$24)*1440,0)/1440</f>
        <v>46324.4375</v>
      </c>
      <c r="R664" s="59" t="n">
        <f aca="false">Q664+(IF(AND(INDEX(TZ_DSTS,MATCH(P664,TZ_STN,0))&lt;&gt;"",Q664&gt;=INDEX(TZ_DSTS,MATCH(P664,TZ_STN,0)),Q664&lt;INDEX(TZ_DSTE,MATCH(P664,TZ_STN,0))),INDEX(TZ_DST,MATCH(P664,TZ_STN,0)),INDEX(TZ_STD,MATCH(P664,TZ_STN,0))))/24</f>
        <v>46324.7708333333</v>
      </c>
      <c r="S664" s="60"/>
      <c r="T664" s="60"/>
      <c r="U664" s="60"/>
      <c r="V664" s="60"/>
      <c r="W664" s="61"/>
      <c r="X664" s="60"/>
      <c r="Y664" s="60"/>
      <c r="Z664" s="60"/>
      <c r="AA664" s="60"/>
      <c r="AB664" s="60"/>
      <c r="AC664" s="60"/>
      <c r="AD664" s="66"/>
      <c r="AE664" s="60"/>
      <c r="AF664" s="61" t="str">
        <f aca="false">IF(AND(ISNUMBER(X664),ISNUMBER(Y664)),Y664-X664,"")</f>
        <v/>
      </c>
      <c r="AG664" s="62" t="str">
        <f aca="false">IF(ISNUMBER(AD664),AD664-(IF(AND(INDEX(TZ_DSTS,MATCH(P664,TZ_STN,0))&lt;&gt;"",(AD664-INDEX(TZ_STD,MATCH(P664,TZ_STN,0))/24)&gt;=INDEX(TZ_DSTS,MATCH(P664,TZ_STN,0)),(AD664-INDEX(TZ_STD,MATCH(P664,TZ_STN,0))/24)&lt;INDEX(TZ_DSTE,MATCH(P664,TZ_STN,0))),INDEX(TZ_DST,MATCH(P664,TZ_STN,0)),INDEX(TZ_STD,MATCH(P664,TZ_STN,0))))/24,"")</f>
        <v/>
      </c>
      <c r="AH664" s="65" t="str">
        <f aca="false">IFERROR(IF(N664="N/A – rule",IF(OR(TRIM(U664)="",TRIM(U664)="N/A",TRIM(U664)="Not started"),"N/A – RULE","INVALID – this check does not apply to this aircraft: clear the status (or correct the fleet on Flights)"),IF(TRIM(U664)="N/A",IF(AT664=0,"INVALID – N/A not permitted for this check",IF(AND(TRIM(AB664)&lt;&gt;"",TRIM(AB664)&lt;&gt;"Closed"),"INVALID – corrective action still open",IF(AND(NOT(OR(LEN(AZ664)&lt;15,ISNUMBER(MATCH(AZ664,L_Placeholder,0)))),BK664=0,CG664&gt;=8,NOT(OR(LEN(AU664)&lt;2,ISNUMBER(MATCH(AU664,L_Placeholder,0)))),BR664&gt;=3,NOT(OR(LEN(AX664)&lt;2,ISNUMBER(MATCH(AX664,L_Placeholder,0)))),BS664&gt;=3,TRIM(AE664)&lt;&gt;TRIM(T664),AX664&lt;&gt;AU664,CE664=0),"N/A – JUSTIFIED","INVALID – N/A needs a real, settled reason (not 'not applicable' / 'as above' / TBC), a named PIC and a different named verifier"))),IF(OR(TRIM(U664)="Pass",TRIM(U664)="Pass after CA"),IF(NOT(ISNUMBER(AD664)),"INVALID – completion time missing",IF(OR(OR(LEN(AU664)&lt;2,ISNUMBER(MATCH(AU664,L_Placeholder,0))),BR664&lt;3),"INVALID – PIC missing or not a named person (a role such as QA / CSM is not a name)",IF(OR(LEN(AV664)&lt;2,ISNUMBER(MATCH(AV664,L_Placeholder,0))),"INVALID – result / assessment missing",IF(OR(OR(LEN(AW664)&lt;3,ISNUMBER(MATCH(AW664,L_Placeholder,0))),SUMPRODUCT(--ISNUMBER(SEARCH(" "&amp;L_EvidencePhrase&amp;" ",BD664)))&gt;0,BI664=1),"INVALID – evidence missing, placeholder or not yet on file",IF(ISNA(MATCH(TRIM(S664),L_EvidenceType,0)),"INVALID – choose the evidence type from the list (column S)",IF(BL664=0,"INVALID – evidence ID must be the record's own ID only (e.g. SF-2210, IMG_2231, 1045521); a link / file name needs type 'Link / file path'",IF(OR(OR(LEN(AX664)&lt;2,ISNUMBER(MATCH(AX664,L_Placeholder,0))),BS664&lt;3),"INVALID – verifier missing or not a named person (a role such as QA / CSM is not a name)",IF(OR(AX664=AU664,CE664=1,AND(LEN(AU664)&gt;=4,ISNUMBER(SEARCH(AU664,AX664))),AND(LEN(AX664)&gt;=4,ISNUMBER(SEARCH(AX664,AU664)))),"INVALID – verifier must be a different, named person (not the PIC or a role)",IF(BH664=1,"INVALID – result not yet available (awaiting / TBC)",IF(BG664=1,"INVALID – result describes a problem: record Fail, then Pass after CA (or reword if it is not a problem)",IF(BV664=1,"INVALID – wording says not on board: an on-board confirmation needs the item loaded",IF(AND(AQ664=1,OR(OR(LEN(AY664)&lt;3,ISNUMBER(MATCH(AY664,L_Placeholder,0))),BJ664=1,BQ664=0)),"INVALID – batch ID missing, placeholder or not an ID (e.g. PASB-261008-BC-017)",IF(AND(AR664=1,OR(NOT(ISNUMBER(X664)),NOT(ISNUMBER(Y664)))),"INVALID – expected/actual qty missing",IF(AND(AR664=1,OR(X664&lt;=0,Y664&lt;0)),"INVALID – expected qty must be above 0 and actual not negative",IF(AH661="N/A – JUSTIFIED","INVALID – preparation row F20-T12-08 is N/A",IF(AND(AR664=1,ISNUMBER(X661),X664&lt;&gt;X661,TRIM(U664)&lt;&gt;"Pass after CA"),"INVALID – expected qty differs from preparation check F20-T12-08: record the load change as a corrective action (Pass after CA)",IF(BB664&lt;&gt;"",BB664,IF(AND(AS664=1,Documents!$J$24&lt;&gt;"ON FILE"),"INVALID – GLD not on file (Documents sheet)",IF(AND(AS664=2,Documents!$O$24&lt;&gt;"ON FILE"),"INVALID – menu checklist not on file (Documents sheet)",IF(AND(AS664=3,NOT(ISNUMBER(Flights!$AX$24))),"INVALID – enter carrying flight KUL departure (Flights AX)",IF(AND(AS664=3,OR(Flights!$AZ$24&gt;Flights!$AA$24,Flights!$AX$24&lt;Flights!$AA$24-3)),"INVALID – carrying flight (Flights AX) cannot arrive before this leg's STD, or is over 3 days early",IF(AG664&gt;AsOfUTC,"INVALID – completion time is in the future",IF(AND(ISNUMBER(BY664),AG664&lt;BY664),IF(H664="Physical uplift","INVALID – before uplift window (cannot confirm loading)","INVALID – before valid window"),IF(AG664&gt;Flights!$AA$24,"INVALID – completed after departure (cannot establish readiness)",IF(AND(H664="Preparation",AG664&gt;=IF(ISNUMBER(Flights!$BA$24),MIN(Flights!$BA$24,Flights!$AA$24),Flights!$AA$24)),"INVALID – completed after loading / departure (cannot establish readiness)",IF(AND(H664="Physical uplift",AG664&gt;Q664),"INVALID – recorded after the loading flight departed",IF(AG664&gt;Q664,"COMPLETE – LATE","COMPLETE"))))))))))))))))))))))))))),IF(TRIM(U664)="Fail","FAIL – DISCREPANCY",IF(AND(TRIM(U664)&lt;&gt;"",TRIM(U664)&lt;&gt;"Not started",TRIM(U664)&lt;&gt;"In progress"),"INVALID – unrecognised status (use the list)",IF(AsOfUTC&gt;Q664,"OVERDUE",IF(N664="Clarification required","OPEN – CLARIFICATION","OPEN"))))))),"INVALID – error value in an input cell")</f>
        <v>OPEN</v>
      </c>
      <c r="AI664" s="61" t="n">
        <f aca="false">IF(OR(AH664="N/A – RULE",AH664="N/A – JUSTIFIED"),0,1)</f>
        <v>1</v>
      </c>
      <c r="AJ664" s="61" t="n">
        <f aca="false">IF(LEFT(AH664,8)="COMPLETE",1,0)</f>
        <v>0</v>
      </c>
      <c r="AK664" s="61" t="n">
        <f aca="false">IF(AND(AI664=1,AJ664=0,AsOfUTC&gt;Q664),1,0)</f>
        <v>0</v>
      </c>
      <c r="AL664" s="61" t="n">
        <f aca="false">IFERROR(IF(AND(AI664=1,OR(TRIM(U664)="Fail",AND(TRIM(AB664)&lt;&gt;"",TRIM(AB664)&lt;&gt;"Closed"),AND(ISNUMBER(AF664),AF664&lt;&gt;0,TRIM(U664)&lt;&gt;"Pass after CA"))),1,0),1)</f>
        <v>0</v>
      </c>
      <c r="AM664" s="61" t="n">
        <f aca="false">IF(LEFT(AH664,7)="INVALID",1,0)</f>
        <v>0</v>
      </c>
      <c r="AN664" s="61" t="n">
        <f aca="false">IF(AND(N664="Clarification required",AI664=1,AJ664=0),1,0)</f>
        <v>0</v>
      </c>
      <c r="AO664" s="61" t="str">
        <f aca="false">IF(AK664=1,SUM(AK$5:AK664),"")</f>
        <v/>
      </c>
      <c r="AP664" s="61" t="str">
        <f aca="false">IF(AL664=1,SUM(AL$5:AL664),"")</f>
        <v/>
      </c>
      <c r="AQ664" s="61" t="n">
        <v>0</v>
      </c>
      <c r="AR664" s="61" t="n">
        <v>0</v>
      </c>
      <c r="AS664" s="61" t="n">
        <v>0</v>
      </c>
      <c r="AT664" s="61" t="n">
        <v>0</v>
      </c>
      <c r="AU664" s="61" t="str">
        <f aca="false">SUBSTITUTE(SUBSTITUTE(SUBSTITUTE(SUBSTITUTE(SUBSTITUTE(SUBSTITUTE(SUBSTITUTE(SUBSTITUTE(SUBSTITUTE(SUBSTITUTE(SUBSTITUTE(SUBSTITUTE(SUBSTITUTE(SUBSTITUTE(SUBSTITUTE(SUBSTITUTE(LOWER(T664&amp;""),CHAR(10),""),CHAR(13),""),CHAR(9),""),CHAR(160),"")," ",""),".",""),"-",""),"/",""),"?",""),"_",""),",",""),"[",""),"]",""),"(",""),")",""),"*","")</f>
        <v/>
      </c>
      <c r="AV664" s="61" t="str">
        <f aca="false">SUBSTITUTE(SUBSTITUTE(SUBSTITUTE(SUBSTITUTE(SUBSTITUTE(SUBSTITUTE(SUBSTITUTE(SUBSTITUTE(SUBSTITUTE(SUBSTITUTE(SUBSTITUTE(SUBSTITUTE(SUBSTITUTE(SUBSTITUTE(SUBSTITUTE(SUBSTITUTE(LOWER(V664&amp;""),CHAR(10),""),CHAR(13),""),CHAR(9),""),CHAR(160),"")," ",""),".",""),"-",""),"/",""),"?",""),"_",""),",",""),"[",""),"]",""),"(",""),")",""),"*","")</f>
        <v/>
      </c>
      <c r="AW664" s="61" t="str">
        <f aca="false">SUBSTITUTE(SUBSTITUTE(SUBSTITUTE(SUBSTITUTE(SUBSTITUTE(SUBSTITUTE(SUBSTITUTE(SUBSTITUTE(SUBSTITUTE(SUBSTITUTE(SUBSTITUTE(SUBSTITUTE(SUBSTITUTE(SUBSTITUTE(SUBSTITUTE(SUBSTITUTE(LOWER(Z664&amp;""),CHAR(10),""),CHAR(13),""),CHAR(9),""),CHAR(160),"")," ",""),".",""),"-",""),"/",""),"?",""),"_",""),",",""),"[",""),"]",""),"(",""),")",""),"*","")</f>
        <v/>
      </c>
      <c r="AX664" s="61" t="str">
        <f aca="false">SUBSTITUTE(SUBSTITUTE(SUBSTITUTE(SUBSTITUTE(SUBSTITUTE(SUBSTITUTE(SUBSTITUTE(SUBSTITUTE(SUBSTITUTE(SUBSTITUTE(SUBSTITUTE(SUBSTITUTE(SUBSTITUTE(SUBSTITUTE(SUBSTITUTE(SUBSTITUTE(LOWER(AE664&amp;""),CHAR(10),""),CHAR(13),""),CHAR(9),""),CHAR(160),"")," ",""),".",""),"-",""),"/",""),"?",""),"_",""),",",""),"[",""),"]",""),"(",""),")",""),"*","")</f>
        <v/>
      </c>
      <c r="AY664" s="61" t="str">
        <f aca="false">SUBSTITUTE(SUBSTITUTE(SUBSTITUTE(SUBSTITUTE(SUBSTITUTE(SUBSTITUTE(SUBSTITUTE(SUBSTITUTE(SUBSTITUTE(SUBSTITUTE(SUBSTITUTE(SUBSTITUTE(SUBSTITUTE(SUBSTITUTE(SUBSTITUTE(SUBSTITUTE(LOWER(W664&amp;""),CHAR(10),""),CHAR(13),""),CHAR(9),""),CHAR(160),"")," ",""),".",""),"-",""),"/",""),"?",""),"_",""),",",""),"[",""),"]",""),"(",""),")",""),"*","")</f>
        <v/>
      </c>
      <c r="AZ664" s="61" t="str">
        <f aca="false">SUBSTITUTE(SUBSTITUTE(SUBSTITUTE(SUBSTITUTE(SUBSTITUTE(SUBSTITUTE(SUBSTITUTE(SUBSTITUTE(SUBSTITUTE(SUBSTITUTE(SUBSTITUTE(SUBSTITUTE(SUBSTITUTE(SUBSTITUTE(SUBSTITUTE(SUBSTITUTE(LOWER(AC664&amp;""),CHAR(10),""),CHAR(13),""),CHAR(9),""),CHAR(160),"")," ",""),".",""),"-",""),"/",""),"?",""),"_",""),",",""),"[",""),"]",""),"(",""),")",""),"*","")</f>
        <v/>
      </c>
      <c r="BA664" s="61" t="str">
        <f aca="false">SUBSTITUTE(SUBSTITUTE(SUBSTITUTE(SUBSTITUTE(SUBSTITUTE(SUBSTITUTE(SUBSTITUTE(SUBSTITUTE(SUBSTITUTE(SUBSTITUTE(SUBSTITUTE(SUBSTITUTE(SUBSTITUTE(SUBSTITUTE(SUBSTITUTE(SUBSTITUTE(LOWER(AA664&amp;""),CHAR(10),""),CHAR(13),""),CHAR(9),""),CHAR(160),"")," ",""),".",""),"-",""),"/",""),"?",""),"_",""),",",""),"[",""),"]",""),"(",""),")",""),"*","")</f>
        <v/>
      </c>
      <c r="BB664" s="61" t="str">
        <f aca="false">IF(AND(TRIM(U664)="Pass",ISNUMBER(AF664)),IF(AF664&lt;&gt;0,"INVALID – qty variance: use Fail or Pass after CA",""),"")&amp;IF(AND(TRIM(U664)="Pass after CA",ISNUMBER(AF664)),IF(AF664&lt;&gt;0,"INVALID – after the corrective action the actual qty must equal expected (update Actual)",""),"")&amp;IF(AND(TRIM(U664)="Pass",TRIM(AB664)&lt;&gt;"",TRIM(AB664)&lt;&gt;"Closed"),"INVALID – corrective action not closed: use Fail, then Pass after CA","")&amp;IF(AND(LEN(BA664)&gt;=2,ISNA(MATCH(LEFT(BA664,255),L_Placeholder,0)),TRIM(AB664)=""),"INVALID – CA status missing for the recorded corrective action","")&amp;IF(AND(TRIM(U664)="Pass after CA",OR(OR(LEN(BA664)&lt;5,ISNUMBER(MATCH(BA664,L_Placeholder,0))),TRIM(AB664)&lt;&gt;"Closed")),"INVALID – corrective action not recorded/closed","")</f>
        <v/>
      </c>
      <c r="BC664" s="61" t="str">
        <f aca="false">" "&amp;TRIM(SUBSTITUTE(SUBSTITUTE(SUBSTITUTE(SUBSTITUTE(SUBSTITUTE(SUBSTITUTE(SUBSTITUTE(SUBSTITUTE(SUBSTITUTE(SUBSTITUTE(SUBSTITUTE(SUBSTITUTE(SUBSTITUTE(SUBSTITUTE(SUBSTITUTE(SUBSTITUTE(SUBSTITUTE(SUBSTITUTE(SUBSTITUTE(SUBSTITUTE(SUBSTITUTE(SUBSTITUTE(SUBSTITUTE(SUBSTITUTE(LOWER(V664&amp;""),CHAR(10)," "),CHAR(13)," "),CHAR(9)," "),CHAR(160)," "),"."," "),","," "),"-"," "),"/"," "),"("," "),")"," "),":"," "),";"," "),"_"," "),"–"," "),"?"," "),"!"," "),"*"," "),"["," "),"]"," "),"'"," "),"#"," "),"+"," "),"&amp;"," "),"\"," "))&amp;" "</f>
        <v>  </v>
      </c>
      <c r="BD664" s="61" t="str">
        <f aca="false">" "&amp;TRIM(SUBSTITUTE(SUBSTITUTE(SUBSTITUTE(SUBSTITUTE(SUBSTITUTE(SUBSTITUTE(SUBSTITUTE(SUBSTITUTE(SUBSTITUTE(SUBSTITUTE(SUBSTITUTE(SUBSTITUTE(SUBSTITUTE(SUBSTITUTE(SUBSTITUTE(SUBSTITUTE(SUBSTITUTE(SUBSTITUTE(SUBSTITUTE(SUBSTITUTE(SUBSTITUTE(SUBSTITUTE(SUBSTITUTE(SUBSTITUTE(LOWER(Z664&amp;""),CHAR(10)," "),CHAR(13)," "),CHAR(9)," "),CHAR(160)," "),"."," "),","," "),"-"," "),"/"," "),"("," "),")"," "),":"," "),";"," "),"_"," "),"–"," "),"?"," "),"!"," "),"*"," "),"["," "),"]"," "),"'"," "),"#"," "),"+"," "),"&amp;"," "),"\"," "))&amp;" "</f>
        <v>  </v>
      </c>
      <c r="BE664" s="61" t="str">
        <f aca="false">" "&amp;TRIM(SUBSTITUTE(SUBSTITUTE(SUBSTITUTE(SUBSTITUTE(SUBSTITUTE(SUBSTITUTE(SUBSTITUTE(SUBSTITUTE(SUBSTITUTE(SUBSTITUTE(SUBSTITUTE(SUBSTITUTE(SUBSTITUTE(SUBSTITUTE(SUBSTITUTE(SUBSTITUTE(SUBSTITUTE(SUBSTITUTE(SUBSTITUTE(SUBSTITUTE(SUBSTITUTE(SUBSTITUTE(SUBSTITUTE(SUBSTITUTE(LOWER(W664&amp;""),CHAR(10)," "),CHAR(13)," "),CHAR(9)," "),CHAR(160)," "),"."," "),","," "),"-"," "),"/"," "),"("," "),")"," "),":"," "),";"," "),"_"," "),"–"," "),"?"," "),"!"," "),"*"," "),"["," "),"]"," "),"'"," "),"#"," "),"+"," "),"&amp;"," "),"\"," "))&amp;" "</f>
        <v>  </v>
      </c>
      <c r="BF664" s="61" t="str">
        <f aca="false">" "&amp;TRIM(SUBSTITUTE(SUBSTITUTE(SUBSTITUTE(SUBSTITUTE(SUBSTITUTE(SUBSTITUTE(SUBSTITUTE(SUBSTITUTE(SUBSTITUTE(SUBSTITUTE(SUBSTITUTE(SUBSTITUTE(SUBSTITUTE(SUBSTITUTE(SUBSTITUTE(SUBSTITUTE(SUBSTITUTE(SUBSTITUTE(SUBSTITUTE(SUBSTITUTE(SUBSTITUTE(SUBSTITUTE(SUBSTITUTE(SUBSTITUTE(LOWER(AC664&amp;""),CHAR(10)," "),CHAR(13)," "),CHAR(9)," "),CHAR(160)," "),"."," "),","," "),"-"," "),"/"," "),"("," "),")"," "),":"," "),";"," "),"_"," "),"–"," "),"?"," "),"!"," "),"*"," "),"["," "),"]"," "),"'"," "),"#"," "),"+"," "),"&amp;"," "),"\"," "))&amp;" "</f>
        <v>  </v>
      </c>
      <c r="BG664" s="61" t="n">
        <f aca="false">IFERROR(IF(AND(TRIM(U664)="Pass",SUMPRODUCT((LEN(BC664)-LEN(SUBSTITUTE(BC664," "&amp;L_ResultBad&amp;" "," ")))/(LEN(L_ResultBad)+1))&gt;SUMPRODUCT((LEN(BC664)-LEN(SUBSTITUTE(BC664," "&amp;L_NegPhrase&amp;" "," ")))/(LEN(L_NegPhrase)+1))),1,0),0)</f>
        <v>0</v>
      </c>
      <c r="BH664" s="61" t="n">
        <f aca="false">IFERROR(IF(SUMPRODUCT((LEN(BC664)-LEN(SUBSTITUTE(BC664," "&amp;L_Pending&amp;" "," ")))/(LEN(L_Pending)+1))&gt;SUMPRODUCT((LEN(BC664)-LEN(SUBSTITUTE(BC664," "&amp;L_PendNeg&amp;" "," ")))/(LEN(L_PendNeg)+1)),1,0),1)</f>
        <v>0</v>
      </c>
      <c r="BI664" s="61" t="n">
        <f aca="false">IFERROR(IF(SUMPRODUCT((LEN(BD664)-LEN(SUBSTITUTE(BD664," "&amp;L_PendStrict&amp;" "," ")))/(LEN(L_PendStrict)+1))&gt;SUMPRODUCT((LEN(BD664)-LEN(SUBSTITUTE(BD664," "&amp;L_PendNeg&amp;" "," ")))/(LEN(L_PendNeg)+1)),1,0),1)</f>
        <v>0</v>
      </c>
      <c r="BJ664" s="61" t="n">
        <f aca="false">IFERROR(IF(SUMPRODUCT((LEN(BE664)-LEN(SUBSTITUTE(BE664," "&amp;L_Pending&amp;" "," ")))/(LEN(L_Pending)+1))&gt;SUMPRODUCT((LEN(BE664)-LEN(SUBSTITUTE(BE664," "&amp;L_PendNeg&amp;" "," ")))/(LEN(L_PendNeg)+1)),1,0),1)</f>
        <v>0</v>
      </c>
      <c r="BK664" s="61" t="n">
        <f aca="false">IFERROR(IF(SUMPRODUCT((LEN(BF664)-LEN(SUBSTITUTE(BF664," "&amp;L_PendStrict&amp;" "," ")))/(LEN(L_PendStrict)+1))&gt;SUMPRODUCT((LEN(BF664)-LEN(SUBSTITUTE(BF664," "&amp;L_PendNeg&amp;" "," ")))/(LEN(L_PendNeg)+1)),1,0),1)</f>
        <v>0</v>
      </c>
      <c r="BL664" s="61" t="n">
        <f aca="false">IF(ISNA(MATCH(TRIM(S664),L_EvidenceType,0)),0,BZ664)</f>
        <v>0</v>
      </c>
      <c r="BM664" s="61" t="str">
        <f aca="false">SUBSTITUTE(SUBSTITUTE(SUBSTITUTE(SUBSTITUTE(SUBSTITUTE(SUBSTITUTE(SUBSTITUTE(SUBSTITUTE(SUBSTITUTE(LOWER(Z664&amp;""),"1","0"),"2","0"),"3","0"),"4","0"),"5","0"),"6","0"),"7","0"),"8","0"),"9","0")</f>
        <v/>
      </c>
      <c r="BN664" s="61" t="str">
        <f aca="false">SUBSTITUTE(SUBSTITUTE(SUBSTITUTE(SUBSTITUTE(SUBSTITUTE(SUBSTITUTE(SUBSTITUTE(SUBSTITUTE(SUBSTITUTE(SUBSTITUTE(SUBSTITUTE(SUBSTITUTE(SUBSTITUTE(SUBSTITUTE(SUBSTITUTE(SUBSTITUTE(SUBSTITUTE(SUBSTITUTE(SUBSTITUTE(SUBSTITUTE(SUBSTITUTE(SUBSTITUTE(SUBSTITUTE(SUBSTITUTE(SUBSTITUTE(BM664,"b","a"),"c","a"),"d","a"),"e","a"),"f","a"),"g","a"),"h","a"),"i","a"),"j","a"),"k","a"),"l","a"),"m","a"),"n","a"),"o","a"),"p","a"),"q","a"),"r","a"),"s","a"),"t","a"),"u","a"),"v","a"),"w","a"),"x","a"),"y","a"),"z","a")</f>
        <v/>
      </c>
      <c r="BO664" s="61" t="str">
        <f aca="false">SUBSTITUTE(SUBSTITUTE(SUBSTITUTE(SUBSTITUTE(SUBSTITUTE(SUBSTITUTE(SUBSTITUTE(SUBSTITUTE(SUBSTITUTE(LOWER(W664&amp;""),"1","0"),"2","0"),"3","0"),"4","0"),"5","0"),"6","0"),"7","0"),"8","0"),"9","0")</f>
        <v/>
      </c>
      <c r="BP664" s="61" t="str">
        <f aca="false">SUBSTITUTE(SUBSTITUTE(SUBSTITUTE(SUBSTITUTE(SUBSTITUTE(SUBSTITUTE(SUBSTITUTE(SUBSTITUTE(SUBSTITUTE(SUBSTITUTE(SUBSTITUTE(SUBSTITUTE(SUBSTITUTE(SUBSTITUTE(SUBSTITUTE(SUBSTITUTE(SUBSTITUTE(SUBSTITUTE(SUBSTITUTE(SUBSTITUTE(SUBSTITUTE(SUBSTITUTE(SUBSTITUTE(SUBSTITUTE(SUBSTITUTE(BO664,"b","a"),"c","a"),"d","a"),"e","a"),"f","a"),"g","a"),"h","a"),"i","a"),"j","a"),"k","a"),"l","a"),"m","a"),"n","a"),"o","a"),"p","a"),"q","a"),"r","a"),"s","a"),"t","a"),"u","a"),"v","a"),"w","a"),"x","a"),"y","a"),"z","a")</f>
        <v/>
      </c>
      <c r="BQ664" s="61" t="n">
        <f aca="false">IFERROR(IF(AND(ISERROR(SEARCH(" mh"," "&amp;LOWER(W664))),ISNA(MATCH(LEFT(TRIM(BP664),255),{"0000a","000a","00a","0000aa","000aa","00aa","0aa","0000aaa","000aaa","00a00","0a00","0000-0000","00:00","a00","a0","00.00.0000","00/00/0000","00-00-0000","0000-00-00","0000/00/00","0000.00.00","00.00.00","00/00/00","00-00-00","0.00.0000","0/00/0000","0-00-0000"},0)),ISNA(MATCH(LEFT(TRIM(CA664),255),{"0000a","000a","00a","0000aa","000aa","00aa","0aa","0000aaa","000aaa","00a00","0a00","0000-0000","00:00","a00","a0","00.00.0000","00/00/0000","00-00-0000","0000-00-00","0000/00/00","0000.00.00","00.00.00","00/00/00","00-00-00","0.00.0000","0/00/0000","0-00-0000"},0)),LEN(CB664)&gt;=3,NOT(OR(SUBSTITUTE(CB664,"0","")="",AND(LEN(CB664)&gt;=4,CB664=REPT(LEFT(CB664),LEN(CB664))),ISNUMBER(MATCH(CB664,{"123","1234","12345","123456","1234567","12345678","0123","01234","012345","98765","987654","54321"},0)),AND(LEN(CB664)=8,LEFT(CB664,3)="202"))),OR(AND((LEN(CA664)-LEN(SUBSTITUTE(CA664,"a","")))&gt;=1,SUMPRODUCT(--ISNUMBER(SEARCH({"a0","a-0","a_0","a/0","a.0","a#0","0a","0-a","0_a","0/a"},BP664)))&gt;0),ISNUMBER(SEARCH("000000",BP664)))),1,0),0)</f>
        <v>0</v>
      </c>
      <c r="BR664" s="61" t="n">
        <f aca="false">IFERROR(LEN(SUBSTITUTE(CC664," ",""))-SUMPRODUCT((LEN(CC664)-LEN(SUBSTITUTE(CC664," "&amp;L_Role&amp;" "," ")))/(LEN(L_Role)+1)*LEN(L_Role)),0)</f>
        <v>0</v>
      </c>
      <c r="BS664" s="61" t="n">
        <f aca="false">IFERROR(LEN(SUBSTITUTE(CD664," ",""))-SUMPRODUCT((LEN(CD664)-LEN(SUBSTITUTE(CD664," "&amp;L_Role&amp;" "," ")))/(LEN(L_Role)+1)*LEN(L_Role)),0)</f>
        <v>0</v>
      </c>
      <c r="BT6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664,"revision",""),"version",""),"jan",""),"feb",""),"mar",""),"apr",""),"may",""),"jun",""),"jul",""),"aug",""),"sep",""),"oct",""),"nov",""),"dec",""),"utc",""),"gmt",""),"myt",""),"bst",""),"rev",""),"ver",""),"b","a"),"c","a"),"d","a"),"e","a"),"f","a"),"g","a"),"h","a"),"i","a"),"j","a"),"k","a"),"l","a"),"m","a"),"n","a"),"o","a"),"p","a"),"q","a"),"r","a"),"s","a"),"t","a"),"u","a"),"v","a"),"w","a"),"x","a"),"y","a"),"z","a")</f>
        <v/>
      </c>
      <c r="BU664" s="61" t="str">
        <f aca="false">SUBSTITUTE(SUBSTITUTE(SUBSTITUTE(SUBSTITUTE(SUBSTITUTE(SUBSTITUTE(SUBSTITUTE(SUBSTITUTE(SUBSTITUTE(SUBSTITUTE(LEFT(BM664,FIND("0",BM664&amp;"0")-1),"-",""),"_",""),"/",""),".",""),"#",""),"\\",""),":","")," ",""),"(",""),")","")</f>
        <v/>
      </c>
      <c r="BV664" s="61" t="n">
        <f aca="false">IFERROR(IF(OR(SUMPRODUCT((LEN(BC664)-LEN(SUBSTITUTE(BC664," "&amp;L_NotLoaded&amp;" "," ")))/(LEN(L_NotLoaded)+1))&gt;SUMPRODUCT((LEN(BC664)-LEN(SUBSTITUTE(BC664," "&amp;L_NotLoadedNeg&amp;" "," ")))/(LEN(L_NotLoadedNeg)+1)),SUMPRODUCT((LEN(BD664)-LEN(SUBSTITUTE(BD664," "&amp;L_NotLoaded&amp;" "," ")))/(LEN(L_NotLoaded)+1))&gt;SUMPRODUCT((LEN(BD664)-LEN(SUBSTITUTE(BD664," "&amp;L_NotLoadedNeg&amp;" "," ")))/(LEN(L_NotLoadedNeg)+1))),1,0),0)</f>
        <v>0</v>
      </c>
      <c r="BW66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664&amp;""),"a",""),"b",""),"c",""),"d",""),"e",""),"f",""),"g",""),"h",""),"i",""),"j",""),"k",""),"l",""),"m",""),"n",""),"o",""),"p",""),"q",""),"r",""),"s",""),"t",""),"u",""),"v",""),"w",""),"x",""),"y",""),"z",""),"-",""),"_",""),"/",""),".",""),"#",""),"\\",""),":","")," ",""),"(",""),")","")</f>
        <v/>
      </c>
      <c r="BX664" s="61" t="str">
        <f aca="false">SUBSTITUTE(SUBSTITUTE(SUBSTITUTE(SUBSTITUTE(SUBSTITUTE(SUBSTITUTE(SUBSTITUTE(SUBSTITUTE(SUBSTITUTE(SUBSTITUTE(SUBSTITUTE(BM664,"0",""),"-",""),"_",""),"/",""),".",""),"#",""),"\\",""),":","")," ",""),"(",""),")","")</f>
        <v/>
      </c>
      <c r="BY664" s="62" t="n">
        <f aca="false">IF(ISNUMBER(Flights!$AZ$24),MAX(Q664-UpliftWindowH/24,Flights!$AZ$24),Q664-UpliftWindowH/24)</f>
        <v>46324.1875</v>
      </c>
      <c r="BZ664" s="61" t="n">
        <f aca="false">IFERROR(IF(IF(TRIM(S664)="Link / file path",AND(LEN(TRIM(Z664))&gt;=5,SUMPRODUCT(--ISNUMBER(SEARCH({"http","www.","\\",":\",".pdf",".jpg",".jpeg",".png",".heic",".xls",".doc",".msg",".eml",".ppt",".txt",".zip"},Z664)))&gt;0),AND(ISERROR(FIND(" ",TRIM(Z664))),NOT(OR(SUMPRODUCT(--ISNUMBER(FIND({",",";","&amp;","+"},Z664)))&gt;0,SUMPRODUCT(--ISNUMBER(SEARCH({"0/aa","0\\aa"},BN664)))&gt;0)),NOT(SUMPRODUCT(--ISNUMBER(SEARCH({"http","www.","\\",":\",".pdf",".jpg",".jpeg",".png",".heic",".xls",".doc",".msg",".eml",".ppt",".txt",".zip"},Z664)))&gt;0),NOT(LOWER(TRIM(Z664))=LOWER(Flights!$F$24)),ISNA(MATCH(BU664,{"mh","rev","revision","ver","version","v","r","a","b","seat","tray","row","gate","bay","stand","page","pg","item","line","no","cart","galley","flight","flt","table","box","bag","oven","etd","eta","std","sta","atd","ata","qty","pax","x","time","tel","ph","mob","day","wk","week","utc","gmt","myt","lt"},0)),NOT(OR(ISNUMBER(MATCH(LEFT(BN664,255),{"0000a","000a","00a","0000aa","000aa","00aa","0aa","0000aaa","000aaa","00a00","0a00","0000-0000","00:00","a00","a0","00.00.0000","00/00/0000","00-00-0000","0000-00-00","0000/00/00","0000.00.00","00.00.00","00/00/00","00-00-00","0.00.0000","0/00/0000","0-00-0000"},0)),ISNUMBER(MATCH(LEFT(BT664,255),{"0000a","000a","00a","0000aa","000aa","00aa","0aa","0000aaa","000aaa","00a00","0a00","0000-0000","00:00","a00","a0","00.00.0000","00/00/0000","00-00-0000","0000-00-00","0000/00/00","0000.00.00","00.00.00","00/00/00","00-00-00","0.00.0000","0/00/0000","0-00-0000"},0)))),NOT(OR(AND(BW664&lt;&gt;"",SUBSTITUTE(BW664,"0","")=""),AND(LEN(BW664)&gt;=4,BW664=REPT(LEFT(BW664),LEN(BW664))),ISNUMBER(MATCH(BW664,{"123","1234","12345","123456","1234567","12345678","0123","01234","012345","98765","987654","54321"},0)),ISNUMBER(MATCH(BX664,{"x","xx","xxx","xxxx","xxxxx","abc","abcd","nil","na","nan","test","tbc","tba","tbd","dummy","sample","example","eg","zz","zzz","none","null","xyz","qwe","asd","id","ref"},0)),AND(LEN(BW664)=8,BX664="",OR(LEFT(BW664,3)="202",ISNUMBER(MATCH(RIGHT(BW664,4),{"2025","2026","2027"},0)))))),OR(AND((LEN(BT664)-LEN(SUBSTITUTE(BT664,"a","")))&gt;=1,(LEN(BN664)-LEN(SUBSTITUTE(BN664,"0","")))&gt;=2,SUMPRODUCT(--ISNUMBER(SEARCH({"a0","a-0","a_0","a/0","a.0","a#0","0a","0-a","0_a","0/a"},BN664)))&gt;0),AND((LEN(BN664)-LEN(SUBSTITUTE(BN664,"a","")))=0,(LEN(BN664)-LEN(SUBSTITUTE(BN664,"0","")))&gt;=5)))),1,0),0)</f>
        <v>0</v>
      </c>
      <c r="CA6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664,"revision",""),"version",""),"jan",""),"feb",""),"mar",""),"apr",""),"may",""),"jun",""),"jul",""),"aug",""),"sep",""),"oct",""),"nov",""),"dec",""),"utc",""),"gmt",""),"myt",""),"bst",""),"rev",""),"ver",""),"b","a"),"c","a"),"d","a"),"e","a"),"f","a"),"g","a"),"h","a"),"i","a"),"j","a"),"k","a"),"l","a"),"m","a"),"n","a"),"o","a"),"p","a"),"q","a"),"r","a"),"s","a"),"t","a"),"u","a"),"v","a"),"w","a"),"x","a"),"y","a"),"z","a")</f>
        <v/>
      </c>
      <c r="CB66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664&amp;""),"a",""),"b",""),"c",""),"d",""),"e",""),"f",""),"g",""),"h",""),"i",""),"j",""),"k",""),"l",""),"m",""),"n",""),"o",""),"p",""),"q",""),"r",""),"s",""),"t",""),"u",""),"v",""),"w",""),"x",""),"y",""),"z",""),"-",""),"_",""),"/",""),".",""),"#",""),"\\",""),":","")," ",""),"(",""),")","")</f>
        <v/>
      </c>
      <c r="CC664" s="0" t="str">
        <f aca="false">" "&amp;TRIM(SUBSTITUTE(SUBSTITUTE(SUBSTITUTE(SUBSTITUTE(SUBSTITUTE(SUBSTITUTE(SUBSTITUTE(SUBSTITUTE(SUBSTITUTE(SUBSTITUTE(SUBSTITUTE(SUBSTITUTE(SUBSTITUTE(SUBSTITUTE(SUBSTITUTE(SUBSTITUTE(SUBSTITUTE(SUBSTITUTE(SUBSTITUTE(SUBSTITUTE(SUBSTITUTE(SUBSTITUTE(SUBSTITUTE(SUBSTITUTE(LOWER(T664&amp;""),CHAR(10)," "),CHAR(13)," "),CHAR(9)," "),CHAR(160)," "),"."," "),","," "),"-"," "),"/"," "),"("," "),")"," "),":"," "),";"," "),"_"," "),"–"," "),"?"," "),"!"," "),"*"," "),"["," "),"]"," "),"'"," "),"#"," "),"+"," "),"&amp;"," "),"\"," "))&amp;" "</f>
        <v>  </v>
      </c>
      <c r="CD664" s="0" t="str">
        <f aca="false">" "&amp;TRIM(SUBSTITUTE(SUBSTITUTE(SUBSTITUTE(SUBSTITUTE(SUBSTITUTE(SUBSTITUTE(SUBSTITUTE(SUBSTITUTE(SUBSTITUTE(SUBSTITUTE(SUBSTITUTE(SUBSTITUTE(SUBSTITUTE(SUBSTITUTE(SUBSTITUTE(SUBSTITUTE(SUBSTITUTE(SUBSTITUTE(SUBSTITUTE(SUBSTITUTE(SUBSTITUTE(SUBSTITUTE(SUBSTITUTE(SUBSTITUTE(LOWER(AE664&amp;""),CHAR(10)," "),CHAR(13)," "),CHAR(9)," "),CHAR(160)," "),"."," "),","," "),"-"," "),"/"," "),"("," "),")"," "),":"," "),";"," "),"_"," "),"–"," "),"?"," "),"!"," "),"*"," "),"["," "),"]"," "),"'"," "),"#"," "),"+"," "),"&amp;"," "),"\"," "))&amp;" "</f>
        <v>  </v>
      </c>
      <c r="CE664" s="68" t="n">
        <f aca="false">IFERROR(IF(AND(LEN(AU664)&gt;0,LEN(AU664)=LEN(AX664),OR(TRIM(MID(SUBSTITUTE(TRIM(CC664)," ",REPT(" ",60)),1,60))="",ISNUMBER(SEARCH(" "&amp;TRIM(MID(SUBSTITUTE(TRIM(CC664)," ",REPT(" ",60)),1,60))&amp;" ",CD664))),OR(TRIM(MID(SUBSTITUTE(TRIM(CC664)," ",REPT(" ",60)),61,60))="",ISNUMBER(SEARCH(" "&amp;TRIM(MID(SUBSTITUTE(TRIM(CC664)," ",REPT(" ",60)),61,60))&amp;" ",CD664))),OR(TRIM(MID(SUBSTITUTE(TRIM(CC664)," ",REPT(" ",60)),121,60))="",ISNUMBER(SEARCH(" "&amp;TRIM(MID(SUBSTITUTE(TRIM(CC664)," ",REPT(" ",60)),121,60))&amp;" ",CD664)))),1,0),0)</f>
        <v>0</v>
      </c>
      <c r="CG664" s="68" t="n">
        <f aca="false">IFERROR(LEN(SUBSTITUTE(BF664," ",""))-SUMPRODUCT((LEN(BF664)-LEN(SUBSTITUTE(BF664," "&amp;L_NAFiller&amp;" "," ")))/(LEN(L_NAFiller)+1)*LEN(L_NAFiller)),0)</f>
        <v>0</v>
      </c>
    </row>
    <row r="665" customFormat="false" ht="39.75" hidden="false" customHeight="true" outlineLevel="0" collapsed="false">
      <c r="A665" s="57" t="s">
        <v>1385</v>
      </c>
      <c r="B665" s="57" t="s">
        <v>310</v>
      </c>
      <c r="C665" s="57" t="str">
        <f aca="false">Flights!$F$25</f>
        <v>MH1437</v>
      </c>
      <c r="D665" s="58" t="n">
        <f aca="false">Flights!$D$25</f>
        <v>46325</v>
      </c>
      <c r="E665" s="57" t="str">
        <f aca="false">Flights!$G$25&amp;"-"&amp;Flights!$H$25</f>
        <v>LGK-KUL</v>
      </c>
      <c r="F665" s="57" t="str">
        <f aca="false">Flights!$K$25</f>
        <v>BC</v>
      </c>
      <c r="G665" s="57" t="s">
        <v>81</v>
      </c>
      <c r="H665" s="57" t="s">
        <v>378</v>
      </c>
      <c r="I665" s="57" t="s">
        <v>379</v>
      </c>
      <c r="J665" s="57" t="s">
        <v>380</v>
      </c>
      <c r="K665" s="67" t="s">
        <v>381</v>
      </c>
      <c r="L665" s="67" t="s">
        <v>382</v>
      </c>
      <c r="M665" s="67"/>
      <c r="N665" s="67" t="s">
        <v>383</v>
      </c>
      <c r="O665" s="67" t="s">
        <v>912</v>
      </c>
      <c r="P665" s="57" t="s">
        <v>187</v>
      </c>
      <c r="Q665" s="59" t="n">
        <f aca="false">ROUND((Flights!$AC$25)*1440,0)/1440</f>
        <v>46318.28125</v>
      </c>
      <c r="R665" s="59" t="n">
        <f aca="false">Q665+(IF(AND(INDEX(TZ_DSTS,MATCH(P665,TZ_STN,0))&lt;&gt;"",Q665&gt;=INDEX(TZ_DSTS,MATCH(P665,TZ_STN,0)),Q665&lt;INDEX(TZ_DSTE,MATCH(P665,TZ_STN,0))),INDEX(TZ_DST,MATCH(P665,TZ_STN,0)),INDEX(TZ_STD,MATCH(P665,TZ_STN,0))))/24</f>
        <v>46318.6145833333</v>
      </c>
      <c r="S665" s="60"/>
      <c r="T665" s="60"/>
      <c r="U665" s="60"/>
      <c r="V665" s="60"/>
      <c r="W665" s="61"/>
      <c r="X665" s="60"/>
      <c r="Y665" s="60"/>
      <c r="Z665" s="60"/>
      <c r="AA665" s="60"/>
      <c r="AB665" s="60"/>
      <c r="AC665" s="60"/>
      <c r="AD665" s="66"/>
      <c r="AE665" s="60"/>
      <c r="AF665" s="61" t="str">
        <f aca="false">IF(AND(ISNUMBER(X665),ISNUMBER(Y665)),Y665-X665,"")</f>
        <v/>
      </c>
      <c r="AG665" s="62" t="str">
        <f aca="false">IF(ISNUMBER(AD665),AD665-(IF(AND(INDEX(TZ_DSTS,MATCH(P665,TZ_STN,0))&lt;&gt;"",(AD665-INDEX(TZ_STD,MATCH(P665,TZ_STN,0))/24)&gt;=INDEX(TZ_DSTS,MATCH(P665,TZ_STN,0)),(AD665-INDEX(TZ_STD,MATCH(P665,TZ_STN,0))/24)&lt;INDEX(TZ_DSTE,MATCH(P665,TZ_STN,0))),INDEX(TZ_DST,MATCH(P665,TZ_STN,0)),INDEX(TZ_STD,MATCH(P665,TZ_STN,0))))/24,"")</f>
        <v/>
      </c>
      <c r="AH665" s="65" t="str">
        <f aca="false">IFERROR(IF(N665="N/A – rule",IF(OR(TRIM(U665)="",TRIM(U665)="N/A",TRIM(U665)="Not started"),"N/A – RULE","INVALID – this check does not apply to this aircraft: clear the status (or correct the fleet on Flights)"),IF(TRIM(U665)="N/A",IF(AT665=0,"INVALID – N/A not permitted for this check",IF(AND(TRIM(AB665)&lt;&gt;"",TRIM(AB665)&lt;&gt;"Closed"),"INVALID – corrective action still open",IF(AND(NOT(OR(LEN(AZ665)&lt;15,ISNUMBER(MATCH(AZ665,L_Placeholder,0)))),BK665=0,CG665&gt;=8,NOT(OR(LEN(AU665)&lt;2,ISNUMBER(MATCH(AU665,L_Placeholder,0)))),BR665&gt;=3,NOT(OR(LEN(AX665)&lt;2,ISNUMBER(MATCH(AX665,L_Placeholder,0)))),BS665&gt;=3,TRIM(AE665)&lt;&gt;TRIM(T665),AX665&lt;&gt;AU665,CE665=0),"N/A – JUSTIFIED","INVALID – N/A needs a real, settled reason (not 'not applicable' / 'as above' / TBC), a named PIC and a different named verifier"))),IF(OR(TRIM(U665)="Pass",TRIM(U665)="Pass after CA"),IF(NOT(ISNUMBER(AD665)),"INVALID – completion time missing",IF(OR(OR(LEN(AU665)&lt;2,ISNUMBER(MATCH(AU665,L_Placeholder,0))),BR665&lt;3),"INVALID – PIC missing or not a named person (a role such as QA / CSM is not a name)",IF(OR(LEN(AV665)&lt;2,ISNUMBER(MATCH(AV665,L_Placeholder,0))),"INVALID – result / assessment missing",IF(OR(OR(LEN(AW665)&lt;3,ISNUMBER(MATCH(AW665,L_Placeholder,0))),SUMPRODUCT(--ISNUMBER(SEARCH(" "&amp;L_EvidencePhrase&amp;" ",BD665)))&gt;0,BI665=1),"INVALID – evidence missing, placeholder or not yet on file",IF(ISNA(MATCH(TRIM(S665),L_EvidenceType,0)),"INVALID – choose the evidence type from the list (column S)",IF(BL665=0,"INVALID – evidence ID must be the record's own ID only (e.g. SF-2210, IMG_2231, 1045521); a link / file name needs type 'Link / file path'",IF(OR(OR(LEN(AX665)&lt;2,ISNUMBER(MATCH(AX665,L_Placeholder,0))),BS665&lt;3),"INVALID – verifier missing or not a named person (a role such as QA / CSM is not a name)",IF(OR(AX665=AU665,CE665=1,AND(LEN(AU665)&gt;=4,ISNUMBER(SEARCH(AU665,AX665))),AND(LEN(AX665)&gt;=4,ISNUMBER(SEARCH(AX665,AU665)))),"INVALID – verifier must be a different, named person (not the PIC or a role)",IF(BH665=1,"INVALID – result not yet available (awaiting / TBC)",IF(BG665=1,"INVALID – result describes a problem: record Fail, then Pass after CA (or reword if it is not a problem)",IF(BV665=1,"INVALID – wording says not on board: an on-board confirmation needs the item loaded",IF(AND(AQ665=1,OR(OR(LEN(AY665)&lt;3,ISNUMBER(MATCH(AY665,L_Placeholder,0))),BJ665=1,BQ665=0)),"INVALID – batch ID missing, placeholder or not an ID (e.g. PASB-261008-BC-017)",IF(AND(AR665=1,OR(NOT(ISNUMBER(X665)),NOT(ISNUMBER(Y665)))),"INVALID – expected/actual qty missing",IF(AND(AR665=1,OR(X665&lt;=0,Y665&lt;0)),"INVALID – expected qty must be above 0 and actual not negative",IF(BB665&lt;&gt;"",BB665,IF(AND(AS665=1,Documents!$J$25&lt;&gt;"ON FILE"),"INVALID – GLD not on file (Documents sheet)",IF(AND(AS665=2,Documents!$O$25&lt;&gt;"ON FILE"),"INVALID – menu checklist not on file (Documents sheet)",IF(AND(AS665=3,NOT(ISNUMBER(Flights!$AX$25))),"INVALID – enter carrying flight KUL departure (Flights AX)",IF(AND(AS665=3,OR(Flights!$AZ$25&gt;Flights!$AA$25,Flights!$AX$25&lt;Flights!$AA$25-3)),"INVALID – carrying flight (Flights AX) cannot arrive before this leg's STD, or is over 3 days early",IF(AG665&gt;AsOfUTC,"INVALID – completion time is in the future",IF(AND(ISNUMBER(BY665),AG665&lt;BY665),IF(H665="Physical uplift","INVALID – before uplift window (cannot confirm loading)","INVALID – before valid window"),IF(AG665&gt;Flights!$AA$25,"INVALID – completed after departure (cannot establish readiness)",IF(AND(H665="Preparation",AG665&gt;=IF(ISNUMBER(Flights!$BA$25),MIN(Flights!$BA$25,Flights!$AA$25),Flights!$AA$25)),"INVALID – completed after loading / departure (cannot establish readiness)",IF(AND(H665="Physical uplift",AG665&gt;Q665),"INVALID – recorded after the loading flight departed",IF(AG665&gt;Q665,"COMPLETE – LATE","COMPLETE"))))))))))))))))))))))))),IF(TRIM(U665)="Fail","FAIL – DISCREPANCY",IF(AND(TRIM(U665)&lt;&gt;"",TRIM(U665)&lt;&gt;"Not started",TRIM(U665)&lt;&gt;"In progress"),"INVALID – unrecognised status (use the list)",IF(AsOfUTC&gt;Q665,"OVERDUE",IF(N665="Clarification required","OPEN – CLARIFICATION","OPEN"))))))),"INVALID – error value in an input cell")</f>
        <v>OPEN</v>
      </c>
      <c r="AI665" s="61" t="n">
        <f aca="false">IF(OR(AH665="N/A – RULE",AH665="N/A – JUSTIFIED"),0,1)</f>
        <v>1</v>
      </c>
      <c r="AJ665" s="61" t="n">
        <f aca="false">IF(LEFT(AH665,8)="COMPLETE",1,0)</f>
        <v>0</v>
      </c>
      <c r="AK665" s="61" t="n">
        <f aca="false">IF(AND(AI665=1,AJ665=0,AsOfUTC&gt;Q665),1,0)</f>
        <v>0</v>
      </c>
      <c r="AL665" s="61" t="n">
        <f aca="false">IFERROR(IF(AND(AI665=1,OR(TRIM(U665)="Fail",AND(TRIM(AB665)&lt;&gt;"",TRIM(AB665)&lt;&gt;"Closed"),AND(ISNUMBER(AF665),AF665&lt;&gt;0,TRIM(U665)&lt;&gt;"Pass after CA"))),1,0),1)</f>
        <v>0</v>
      </c>
      <c r="AM665" s="61" t="n">
        <f aca="false">IF(LEFT(AH665,7)="INVALID",1,0)</f>
        <v>0</v>
      </c>
      <c r="AN665" s="61" t="n">
        <f aca="false">IF(AND(N665="Clarification required",AI665=1,AJ665=0),1,0)</f>
        <v>0</v>
      </c>
      <c r="AO665" s="61" t="str">
        <f aca="false">IF(AK665=1,SUM(AK$5:AK665),"")</f>
        <v/>
      </c>
      <c r="AP665" s="61" t="str">
        <f aca="false">IF(AL665=1,SUM(AL$5:AL665),"")</f>
        <v/>
      </c>
      <c r="AQ665" s="61" t="n">
        <v>0</v>
      </c>
      <c r="AR665" s="61" t="n">
        <v>0</v>
      </c>
      <c r="AS665" s="61" t="n">
        <v>0</v>
      </c>
      <c r="AT665" s="61" t="n">
        <v>0</v>
      </c>
      <c r="AU665" s="61" t="str">
        <f aca="false">SUBSTITUTE(SUBSTITUTE(SUBSTITUTE(SUBSTITUTE(SUBSTITUTE(SUBSTITUTE(SUBSTITUTE(SUBSTITUTE(SUBSTITUTE(SUBSTITUTE(SUBSTITUTE(SUBSTITUTE(SUBSTITUTE(SUBSTITUTE(SUBSTITUTE(SUBSTITUTE(LOWER(T665&amp;""),CHAR(10),""),CHAR(13),""),CHAR(9),""),CHAR(160),"")," ",""),".",""),"-",""),"/",""),"?",""),"_",""),",",""),"[",""),"]",""),"(",""),")",""),"*","")</f>
        <v/>
      </c>
      <c r="AV665" s="61" t="str">
        <f aca="false">SUBSTITUTE(SUBSTITUTE(SUBSTITUTE(SUBSTITUTE(SUBSTITUTE(SUBSTITUTE(SUBSTITUTE(SUBSTITUTE(SUBSTITUTE(SUBSTITUTE(SUBSTITUTE(SUBSTITUTE(SUBSTITUTE(SUBSTITUTE(SUBSTITUTE(SUBSTITUTE(LOWER(V665&amp;""),CHAR(10),""),CHAR(13),""),CHAR(9),""),CHAR(160),"")," ",""),".",""),"-",""),"/",""),"?",""),"_",""),",",""),"[",""),"]",""),"(",""),")",""),"*","")</f>
        <v/>
      </c>
      <c r="AW665" s="61" t="str">
        <f aca="false">SUBSTITUTE(SUBSTITUTE(SUBSTITUTE(SUBSTITUTE(SUBSTITUTE(SUBSTITUTE(SUBSTITUTE(SUBSTITUTE(SUBSTITUTE(SUBSTITUTE(SUBSTITUTE(SUBSTITUTE(SUBSTITUTE(SUBSTITUTE(SUBSTITUTE(SUBSTITUTE(LOWER(Z665&amp;""),CHAR(10),""),CHAR(13),""),CHAR(9),""),CHAR(160),"")," ",""),".",""),"-",""),"/",""),"?",""),"_",""),",",""),"[",""),"]",""),"(",""),")",""),"*","")</f>
        <v/>
      </c>
      <c r="AX665" s="61" t="str">
        <f aca="false">SUBSTITUTE(SUBSTITUTE(SUBSTITUTE(SUBSTITUTE(SUBSTITUTE(SUBSTITUTE(SUBSTITUTE(SUBSTITUTE(SUBSTITUTE(SUBSTITUTE(SUBSTITUTE(SUBSTITUTE(SUBSTITUTE(SUBSTITUTE(SUBSTITUTE(SUBSTITUTE(LOWER(AE665&amp;""),CHAR(10),""),CHAR(13),""),CHAR(9),""),CHAR(160),"")," ",""),".",""),"-",""),"/",""),"?",""),"_",""),",",""),"[",""),"]",""),"(",""),")",""),"*","")</f>
        <v/>
      </c>
      <c r="AY665" s="61" t="str">
        <f aca="false">SUBSTITUTE(SUBSTITUTE(SUBSTITUTE(SUBSTITUTE(SUBSTITUTE(SUBSTITUTE(SUBSTITUTE(SUBSTITUTE(SUBSTITUTE(SUBSTITUTE(SUBSTITUTE(SUBSTITUTE(SUBSTITUTE(SUBSTITUTE(SUBSTITUTE(SUBSTITUTE(LOWER(W665&amp;""),CHAR(10),""),CHAR(13),""),CHAR(9),""),CHAR(160),"")," ",""),".",""),"-",""),"/",""),"?",""),"_",""),",",""),"[",""),"]",""),"(",""),")",""),"*","")</f>
        <v/>
      </c>
      <c r="AZ665" s="61" t="str">
        <f aca="false">SUBSTITUTE(SUBSTITUTE(SUBSTITUTE(SUBSTITUTE(SUBSTITUTE(SUBSTITUTE(SUBSTITUTE(SUBSTITUTE(SUBSTITUTE(SUBSTITUTE(SUBSTITUTE(SUBSTITUTE(SUBSTITUTE(SUBSTITUTE(SUBSTITUTE(SUBSTITUTE(LOWER(AC665&amp;""),CHAR(10),""),CHAR(13),""),CHAR(9),""),CHAR(160),"")," ",""),".",""),"-",""),"/",""),"?",""),"_",""),",",""),"[",""),"]",""),"(",""),")",""),"*","")</f>
        <v/>
      </c>
      <c r="BA665" s="61" t="str">
        <f aca="false">SUBSTITUTE(SUBSTITUTE(SUBSTITUTE(SUBSTITUTE(SUBSTITUTE(SUBSTITUTE(SUBSTITUTE(SUBSTITUTE(SUBSTITUTE(SUBSTITUTE(SUBSTITUTE(SUBSTITUTE(SUBSTITUTE(SUBSTITUTE(SUBSTITUTE(SUBSTITUTE(LOWER(AA665&amp;""),CHAR(10),""),CHAR(13),""),CHAR(9),""),CHAR(160),"")," ",""),".",""),"-",""),"/",""),"?",""),"_",""),",",""),"[",""),"]",""),"(",""),")",""),"*","")</f>
        <v/>
      </c>
      <c r="BB665" s="61" t="str">
        <f aca="false">IF(AND(TRIM(U665)="Pass",ISNUMBER(AF665)),IF(AF665&lt;&gt;0,"INVALID – qty variance: use Fail or Pass after CA",""),"")&amp;IF(AND(TRIM(U665)="Pass after CA",ISNUMBER(AF665)),IF(AF665&lt;&gt;0,"INVALID – after the corrective action the actual qty must equal expected (update Actual)",""),"")&amp;IF(AND(TRIM(U665)="Pass",TRIM(AB665)&lt;&gt;"",TRIM(AB665)&lt;&gt;"Closed"),"INVALID – corrective action not closed: use Fail, then Pass after CA","")&amp;IF(AND(LEN(BA665)&gt;=2,ISNA(MATCH(LEFT(BA665,255),L_Placeholder,0)),TRIM(AB665)=""),"INVALID – CA status missing for the recorded corrective action","")&amp;IF(AND(TRIM(U665)="Pass after CA",OR(OR(LEN(BA665)&lt;5,ISNUMBER(MATCH(BA665,L_Placeholder,0))),TRIM(AB665)&lt;&gt;"Closed")),"INVALID – corrective action not recorded/closed","")</f>
        <v/>
      </c>
      <c r="BC665" s="61" t="str">
        <f aca="false">" "&amp;TRIM(SUBSTITUTE(SUBSTITUTE(SUBSTITUTE(SUBSTITUTE(SUBSTITUTE(SUBSTITUTE(SUBSTITUTE(SUBSTITUTE(SUBSTITUTE(SUBSTITUTE(SUBSTITUTE(SUBSTITUTE(SUBSTITUTE(SUBSTITUTE(SUBSTITUTE(SUBSTITUTE(SUBSTITUTE(SUBSTITUTE(SUBSTITUTE(SUBSTITUTE(SUBSTITUTE(SUBSTITUTE(SUBSTITUTE(SUBSTITUTE(LOWER(V665&amp;""),CHAR(10)," "),CHAR(13)," "),CHAR(9)," "),CHAR(160)," "),"."," "),","," "),"-"," "),"/"," "),"("," "),")"," "),":"," "),";"," "),"_"," "),"–"," "),"?"," "),"!"," "),"*"," "),"["," "),"]"," "),"'"," "),"#"," "),"+"," "),"&amp;"," "),"\"," "))&amp;" "</f>
        <v>  </v>
      </c>
      <c r="BD665" s="61" t="str">
        <f aca="false">" "&amp;TRIM(SUBSTITUTE(SUBSTITUTE(SUBSTITUTE(SUBSTITUTE(SUBSTITUTE(SUBSTITUTE(SUBSTITUTE(SUBSTITUTE(SUBSTITUTE(SUBSTITUTE(SUBSTITUTE(SUBSTITUTE(SUBSTITUTE(SUBSTITUTE(SUBSTITUTE(SUBSTITUTE(SUBSTITUTE(SUBSTITUTE(SUBSTITUTE(SUBSTITUTE(SUBSTITUTE(SUBSTITUTE(SUBSTITUTE(SUBSTITUTE(LOWER(Z665&amp;""),CHAR(10)," "),CHAR(13)," "),CHAR(9)," "),CHAR(160)," "),"."," "),","," "),"-"," "),"/"," "),"("," "),")"," "),":"," "),";"," "),"_"," "),"–"," "),"?"," "),"!"," "),"*"," "),"["," "),"]"," "),"'"," "),"#"," "),"+"," "),"&amp;"," "),"\"," "))&amp;" "</f>
        <v>  </v>
      </c>
      <c r="BE665" s="61" t="str">
        <f aca="false">" "&amp;TRIM(SUBSTITUTE(SUBSTITUTE(SUBSTITUTE(SUBSTITUTE(SUBSTITUTE(SUBSTITUTE(SUBSTITUTE(SUBSTITUTE(SUBSTITUTE(SUBSTITUTE(SUBSTITUTE(SUBSTITUTE(SUBSTITUTE(SUBSTITUTE(SUBSTITUTE(SUBSTITUTE(SUBSTITUTE(SUBSTITUTE(SUBSTITUTE(SUBSTITUTE(SUBSTITUTE(SUBSTITUTE(SUBSTITUTE(SUBSTITUTE(LOWER(W665&amp;""),CHAR(10)," "),CHAR(13)," "),CHAR(9)," "),CHAR(160)," "),"."," "),","," "),"-"," "),"/"," "),"("," "),")"," "),":"," "),";"," "),"_"," "),"–"," "),"?"," "),"!"," "),"*"," "),"["," "),"]"," "),"'"," "),"#"," "),"+"," "),"&amp;"," "),"\"," "))&amp;" "</f>
        <v>  </v>
      </c>
      <c r="BF665" s="61" t="str">
        <f aca="false">" "&amp;TRIM(SUBSTITUTE(SUBSTITUTE(SUBSTITUTE(SUBSTITUTE(SUBSTITUTE(SUBSTITUTE(SUBSTITUTE(SUBSTITUTE(SUBSTITUTE(SUBSTITUTE(SUBSTITUTE(SUBSTITUTE(SUBSTITUTE(SUBSTITUTE(SUBSTITUTE(SUBSTITUTE(SUBSTITUTE(SUBSTITUTE(SUBSTITUTE(SUBSTITUTE(SUBSTITUTE(SUBSTITUTE(SUBSTITUTE(SUBSTITUTE(LOWER(AC665&amp;""),CHAR(10)," "),CHAR(13)," "),CHAR(9)," "),CHAR(160)," "),"."," "),","," "),"-"," "),"/"," "),"("," "),")"," "),":"," "),";"," "),"_"," "),"–"," "),"?"," "),"!"," "),"*"," "),"["," "),"]"," "),"'"," "),"#"," "),"+"," "),"&amp;"," "),"\"," "))&amp;" "</f>
        <v>  </v>
      </c>
      <c r="BG665" s="61" t="n">
        <f aca="false">IFERROR(IF(AND(TRIM(U665)="Pass",SUMPRODUCT((LEN(BC665)-LEN(SUBSTITUTE(BC665," "&amp;L_ResultBad&amp;" "," ")))/(LEN(L_ResultBad)+1))&gt;SUMPRODUCT((LEN(BC665)-LEN(SUBSTITUTE(BC665," "&amp;L_NegPhrase&amp;" "," ")))/(LEN(L_NegPhrase)+1))),1,0),0)</f>
        <v>0</v>
      </c>
      <c r="BH665" s="61" t="n">
        <f aca="false">IFERROR(IF(SUMPRODUCT((LEN(BC665)-LEN(SUBSTITUTE(BC665," "&amp;L_Pending&amp;" "," ")))/(LEN(L_Pending)+1))&gt;SUMPRODUCT((LEN(BC665)-LEN(SUBSTITUTE(BC665," "&amp;L_PendNeg&amp;" "," ")))/(LEN(L_PendNeg)+1))+SUMPRODUCT((LEN(BC665)-LEN(SUBSTITUTE(BC665," "&amp;L_PendPrep&amp;" "," ")))/(LEN(L_PendPrep)+1)),1,0),1)</f>
        <v>0</v>
      </c>
      <c r="BI665" s="61" t="n">
        <f aca="false">IFERROR(IF(SUMPRODUCT((LEN(BD665)-LEN(SUBSTITUTE(BD665," "&amp;L_PendStrict&amp;" "," ")))/(LEN(L_PendStrict)+1))&gt;SUMPRODUCT((LEN(BD665)-LEN(SUBSTITUTE(BD665," "&amp;L_PendNeg&amp;" "," ")))/(LEN(L_PendNeg)+1)),1,0),1)</f>
        <v>0</v>
      </c>
      <c r="BJ665" s="61" t="n">
        <f aca="false">IFERROR(IF(SUMPRODUCT((LEN(BE665)-LEN(SUBSTITUTE(BE665," "&amp;L_Pending&amp;" "," ")))/(LEN(L_Pending)+1))&gt;SUMPRODUCT((LEN(BE665)-LEN(SUBSTITUTE(BE665," "&amp;L_PendNeg&amp;" "," ")))/(LEN(L_PendNeg)+1))+SUMPRODUCT((LEN(BE665)-LEN(SUBSTITUTE(BE665," "&amp;L_PendPrep&amp;" "," ")))/(LEN(L_PendPrep)+1)),1,0),1)</f>
        <v>0</v>
      </c>
      <c r="BK665" s="61" t="n">
        <f aca="false">IFERROR(IF(SUMPRODUCT((LEN(BF665)-LEN(SUBSTITUTE(BF665," "&amp;L_PendStrict&amp;" "," ")))/(LEN(L_PendStrict)+1))&gt;SUMPRODUCT((LEN(BF665)-LEN(SUBSTITUTE(BF665," "&amp;L_PendNeg&amp;" "," ")))/(LEN(L_PendNeg)+1)),1,0),1)</f>
        <v>0</v>
      </c>
      <c r="BL665" s="61" t="n">
        <f aca="false">IF(ISNA(MATCH(TRIM(S665),L_EvidenceType,0)),0,BZ665)</f>
        <v>0</v>
      </c>
      <c r="BM665" s="61" t="str">
        <f aca="false">SUBSTITUTE(SUBSTITUTE(SUBSTITUTE(SUBSTITUTE(SUBSTITUTE(SUBSTITUTE(SUBSTITUTE(SUBSTITUTE(SUBSTITUTE(LOWER(Z665&amp;""),"1","0"),"2","0"),"3","0"),"4","0"),"5","0"),"6","0"),"7","0"),"8","0"),"9","0")</f>
        <v/>
      </c>
      <c r="BN665" s="61" t="str">
        <f aca="false">SUBSTITUTE(SUBSTITUTE(SUBSTITUTE(SUBSTITUTE(SUBSTITUTE(SUBSTITUTE(SUBSTITUTE(SUBSTITUTE(SUBSTITUTE(SUBSTITUTE(SUBSTITUTE(SUBSTITUTE(SUBSTITUTE(SUBSTITUTE(SUBSTITUTE(SUBSTITUTE(SUBSTITUTE(SUBSTITUTE(SUBSTITUTE(SUBSTITUTE(SUBSTITUTE(SUBSTITUTE(SUBSTITUTE(SUBSTITUTE(SUBSTITUTE(BM665,"b","a"),"c","a"),"d","a"),"e","a"),"f","a"),"g","a"),"h","a"),"i","a"),"j","a"),"k","a"),"l","a"),"m","a"),"n","a"),"o","a"),"p","a"),"q","a"),"r","a"),"s","a"),"t","a"),"u","a"),"v","a"),"w","a"),"x","a"),"y","a"),"z","a")</f>
        <v/>
      </c>
      <c r="BO665" s="61" t="str">
        <f aca="false">SUBSTITUTE(SUBSTITUTE(SUBSTITUTE(SUBSTITUTE(SUBSTITUTE(SUBSTITUTE(SUBSTITUTE(SUBSTITUTE(SUBSTITUTE(LOWER(W665&amp;""),"1","0"),"2","0"),"3","0"),"4","0"),"5","0"),"6","0"),"7","0"),"8","0"),"9","0")</f>
        <v/>
      </c>
      <c r="BP665" s="61" t="str">
        <f aca="false">SUBSTITUTE(SUBSTITUTE(SUBSTITUTE(SUBSTITUTE(SUBSTITUTE(SUBSTITUTE(SUBSTITUTE(SUBSTITUTE(SUBSTITUTE(SUBSTITUTE(SUBSTITUTE(SUBSTITUTE(SUBSTITUTE(SUBSTITUTE(SUBSTITUTE(SUBSTITUTE(SUBSTITUTE(SUBSTITUTE(SUBSTITUTE(SUBSTITUTE(SUBSTITUTE(SUBSTITUTE(SUBSTITUTE(SUBSTITUTE(SUBSTITUTE(BO665,"b","a"),"c","a"),"d","a"),"e","a"),"f","a"),"g","a"),"h","a"),"i","a"),"j","a"),"k","a"),"l","a"),"m","a"),"n","a"),"o","a"),"p","a"),"q","a"),"r","a"),"s","a"),"t","a"),"u","a"),"v","a"),"w","a"),"x","a"),"y","a"),"z","a")</f>
        <v/>
      </c>
      <c r="BQ665" s="61" t="n">
        <f aca="false">IFERROR(IF(AND(ISERROR(SEARCH(" mh"," "&amp;LOWER(W665))),ISNA(MATCH(LEFT(TRIM(BP665),255),{"0000a","000a","00a","0000aa","000aa","00aa","0aa","0000aaa","000aaa","00a00","0a00","0000-0000","00:00","a00","a0","00.00.0000","00/00/0000","00-00-0000","0000-00-00","0000/00/00","0000.00.00","00.00.00","00/00/00","00-00-00","0.00.0000","0/00/0000","0-00-0000"},0)),ISNA(MATCH(LEFT(TRIM(CA665),255),{"0000a","000a","00a","0000aa","000aa","00aa","0aa","0000aaa","000aaa","00a00","0a00","0000-0000","00:00","a00","a0","00.00.0000","00/00/0000","00-00-0000","0000-00-00","0000/00/00","0000.00.00","00.00.00","00/00/00","00-00-00","0.00.0000","0/00/0000","0-00-0000"},0)),LEN(CB665)&gt;=3,NOT(OR(SUBSTITUTE(CB665,"0","")="",AND(LEN(CB665)&gt;=4,CB665=REPT(LEFT(CB665),LEN(CB665))),ISNUMBER(MATCH(CB665,{"123","1234","12345","123456","1234567","12345678","0123","01234","012345","98765","987654","54321"},0)),AND(LEN(CB665)=8,LEFT(CB665,3)="202"))),OR(AND((LEN(CA665)-LEN(SUBSTITUTE(CA665,"a","")))&gt;=1,SUMPRODUCT(--ISNUMBER(SEARCH({"a0","a-0","a_0","a/0","a.0","a#0","0a","0-a","0_a","0/a"},BP665)))&gt;0),ISNUMBER(SEARCH("000000",BP665)))),1,0),0)</f>
        <v>0</v>
      </c>
      <c r="BR665" s="61" t="n">
        <f aca="false">IFERROR(LEN(SUBSTITUTE(CC665," ",""))-SUMPRODUCT((LEN(CC665)-LEN(SUBSTITUTE(CC665," "&amp;L_Role&amp;" "," ")))/(LEN(L_Role)+1)*LEN(L_Role)),0)</f>
        <v>0</v>
      </c>
      <c r="BS665" s="61" t="n">
        <f aca="false">IFERROR(LEN(SUBSTITUTE(CD665," ",""))-SUMPRODUCT((LEN(CD665)-LEN(SUBSTITUTE(CD665," "&amp;L_Role&amp;" "," ")))/(LEN(L_Role)+1)*LEN(L_Role)),0)</f>
        <v>0</v>
      </c>
      <c r="BT6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665,"revision",""),"version",""),"jan",""),"feb",""),"mar",""),"apr",""),"may",""),"jun",""),"jul",""),"aug",""),"sep",""),"oct",""),"nov",""),"dec",""),"utc",""),"gmt",""),"myt",""),"bst",""),"rev",""),"ver",""),"b","a"),"c","a"),"d","a"),"e","a"),"f","a"),"g","a"),"h","a"),"i","a"),"j","a"),"k","a"),"l","a"),"m","a"),"n","a"),"o","a"),"p","a"),"q","a"),"r","a"),"s","a"),"t","a"),"u","a"),"v","a"),"w","a"),"x","a"),"y","a"),"z","a")</f>
        <v/>
      </c>
      <c r="BU665" s="61" t="str">
        <f aca="false">SUBSTITUTE(SUBSTITUTE(SUBSTITUTE(SUBSTITUTE(SUBSTITUTE(SUBSTITUTE(SUBSTITUTE(SUBSTITUTE(SUBSTITUTE(SUBSTITUTE(LEFT(BM665,FIND("0",BM665&amp;"0")-1),"-",""),"_",""),"/",""),".",""),"#",""),"\\",""),":","")," ",""),"(",""),")","")</f>
        <v/>
      </c>
      <c r="BV665" s="61" t="n">
        <f aca="false">0</f>
        <v>0</v>
      </c>
      <c r="BW66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665&amp;""),"a",""),"b",""),"c",""),"d",""),"e",""),"f",""),"g",""),"h",""),"i",""),"j",""),"k",""),"l",""),"m",""),"n",""),"o",""),"p",""),"q",""),"r",""),"s",""),"t",""),"u",""),"v",""),"w",""),"x",""),"y",""),"z",""),"-",""),"_",""),"/",""),".",""),"#",""),"\\",""),":","")," ",""),"(",""),")","")</f>
        <v/>
      </c>
      <c r="BX665" s="61" t="str">
        <f aca="false">SUBSTITUTE(SUBSTITUTE(SUBSTITUTE(SUBSTITUTE(SUBSTITUTE(SUBSTITUTE(SUBSTITUTE(SUBSTITUTE(SUBSTITUTE(SUBSTITUTE(SUBSTITUTE(BM665,"0",""),"-",""),"_",""),"/",""),".",""),"#",""),"\\",""),":","")," ",""),"(",""),")","")</f>
        <v/>
      </c>
      <c r="BY665" s="62" t="n">
        <f aca="false">Q665-T7EarlyD*24/24</f>
        <v>46304.28125</v>
      </c>
      <c r="BZ665" s="61" t="n">
        <f aca="false">IFERROR(IF(IF(TRIM(S665)="Link / file path",AND(LEN(TRIM(Z665))&gt;=5,SUMPRODUCT(--ISNUMBER(SEARCH({"http","www.","\\",":\",".pdf",".jpg",".jpeg",".png",".heic",".xls",".doc",".msg",".eml",".ppt",".txt",".zip"},Z665)))&gt;0),AND(ISERROR(FIND(" ",TRIM(Z665))),NOT(OR(SUMPRODUCT(--ISNUMBER(FIND({",",";","&amp;","+"},Z665)))&gt;0,SUMPRODUCT(--ISNUMBER(SEARCH({"0/aa","0\\aa"},BN665)))&gt;0)),NOT(SUMPRODUCT(--ISNUMBER(SEARCH({"http","www.","\\",":\",".pdf",".jpg",".jpeg",".png",".heic",".xls",".doc",".msg",".eml",".ppt",".txt",".zip"},Z665)))&gt;0),NOT(LOWER(TRIM(Z665))=LOWER(Flights!$F$25)),ISNA(MATCH(BU665,{"mh","rev","revision","ver","version","v","r","a","b","seat","tray","row","gate","bay","stand","page","pg","item","line","no","cart","galley","flight","flt","table","box","bag","oven","etd","eta","std","sta","atd","ata","qty","pax","x","time","tel","ph","mob","day","wk","week","utc","gmt","myt","lt"},0)),NOT(OR(ISNUMBER(MATCH(LEFT(BN665,255),{"0000a","000a","00a","0000aa","000aa","00aa","0aa","0000aaa","000aaa","00a00","0a00","0000-0000","00:00","a00","a0","00.00.0000","00/00/0000","00-00-0000","0000-00-00","0000/00/00","0000.00.00","00.00.00","00/00/00","00-00-00","0.00.0000","0/00/0000","0-00-0000"},0)),ISNUMBER(MATCH(LEFT(BT665,255),{"0000a","000a","00a","0000aa","000aa","00aa","0aa","0000aaa","000aaa","00a00","0a00","0000-0000","00:00","a00","a0","00.00.0000","00/00/0000","00-00-0000","0000-00-00","0000/00/00","0000.00.00","00.00.00","00/00/00","00-00-00","0.00.0000","0/00/0000","0-00-0000"},0)))),NOT(OR(AND(BW665&lt;&gt;"",SUBSTITUTE(BW665,"0","")=""),AND(LEN(BW665)&gt;=4,BW665=REPT(LEFT(BW665),LEN(BW665))),ISNUMBER(MATCH(BW665,{"123","1234","12345","123456","1234567","12345678","0123","01234","012345","98765","987654","54321"},0)),ISNUMBER(MATCH(BX665,{"x","xx","xxx","xxxx","xxxxx","abc","abcd","nil","na","nan","test","tbc","tba","tbd","dummy","sample","example","eg","zz","zzz","none","null","xyz","qwe","asd","id","ref"},0)),AND(LEN(BW665)=8,BX665="",OR(LEFT(BW665,3)="202",ISNUMBER(MATCH(RIGHT(BW665,4),{"2025","2026","2027"},0)))))),OR(AND((LEN(BT665)-LEN(SUBSTITUTE(BT665,"a","")))&gt;=1,(LEN(BN665)-LEN(SUBSTITUTE(BN665,"0","")))&gt;=2,SUMPRODUCT(--ISNUMBER(SEARCH({"a0","a-0","a_0","a/0","a.0","a#0","0a","0-a","0_a","0/a"},BN665)))&gt;0),AND((LEN(BN665)-LEN(SUBSTITUTE(BN665,"a","")))=0,(LEN(BN665)-LEN(SUBSTITUTE(BN665,"0","")))&gt;=5)))),1,0),0)</f>
        <v>0</v>
      </c>
      <c r="CA6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665,"revision",""),"version",""),"jan",""),"feb",""),"mar",""),"apr",""),"may",""),"jun",""),"jul",""),"aug",""),"sep",""),"oct",""),"nov",""),"dec",""),"utc",""),"gmt",""),"myt",""),"bst",""),"rev",""),"ver",""),"b","a"),"c","a"),"d","a"),"e","a"),"f","a"),"g","a"),"h","a"),"i","a"),"j","a"),"k","a"),"l","a"),"m","a"),"n","a"),"o","a"),"p","a"),"q","a"),"r","a"),"s","a"),"t","a"),"u","a"),"v","a"),"w","a"),"x","a"),"y","a"),"z","a")</f>
        <v/>
      </c>
      <c r="CB66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665&amp;""),"a",""),"b",""),"c",""),"d",""),"e",""),"f",""),"g",""),"h",""),"i",""),"j",""),"k",""),"l",""),"m",""),"n",""),"o",""),"p",""),"q",""),"r",""),"s",""),"t",""),"u",""),"v",""),"w",""),"x",""),"y",""),"z",""),"-",""),"_",""),"/",""),".",""),"#",""),"\\",""),":","")," ",""),"(",""),")","")</f>
        <v/>
      </c>
      <c r="CC665" s="0" t="str">
        <f aca="false">" "&amp;TRIM(SUBSTITUTE(SUBSTITUTE(SUBSTITUTE(SUBSTITUTE(SUBSTITUTE(SUBSTITUTE(SUBSTITUTE(SUBSTITUTE(SUBSTITUTE(SUBSTITUTE(SUBSTITUTE(SUBSTITUTE(SUBSTITUTE(SUBSTITUTE(SUBSTITUTE(SUBSTITUTE(SUBSTITUTE(SUBSTITUTE(SUBSTITUTE(SUBSTITUTE(SUBSTITUTE(SUBSTITUTE(SUBSTITUTE(SUBSTITUTE(LOWER(T665&amp;""),CHAR(10)," "),CHAR(13)," "),CHAR(9)," "),CHAR(160)," "),"."," "),","," "),"-"," "),"/"," "),"("," "),")"," "),":"," "),";"," "),"_"," "),"–"," "),"?"," "),"!"," "),"*"," "),"["," "),"]"," "),"'"," "),"#"," "),"+"," "),"&amp;"," "),"\"," "))&amp;" "</f>
        <v>  </v>
      </c>
      <c r="CD665" s="0" t="str">
        <f aca="false">" "&amp;TRIM(SUBSTITUTE(SUBSTITUTE(SUBSTITUTE(SUBSTITUTE(SUBSTITUTE(SUBSTITUTE(SUBSTITUTE(SUBSTITUTE(SUBSTITUTE(SUBSTITUTE(SUBSTITUTE(SUBSTITUTE(SUBSTITUTE(SUBSTITUTE(SUBSTITUTE(SUBSTITUTE(SUBSTITUTE(SUBSTITUTE(SUBSTITUTE(SUBSTITUTE(SUBSTITUTE(SUBSTITUTE(SUBSTITUTE(SUBSTITUTE(LOWER(AE665&amp;""),CHAR(10)," "),CHAR(13)," "),CHAR(9)," "),CHAR(160)," "),"."," "),","," "),"-"," "),"/"," "),"("," "),")"," "),":"," "),";"," "),"_"," "),"–"," "),"?"," "),"!"," "),"*"," "),"["," "),"]"," "),"'"," "),"#"," "),"+"," "),"&amp;"," "),"\"," "))&amp;" "</f>
        <v>  </v>
      </c>
      <c r="CE665" s="68" t="n">
        <f aca="false">IFERROR(IF(AND(LEN(AU665)&gt;0,LEN(AU665)=LEN(AX665),OR(TRIM(MID(SUBSTITUTE(TRIM(CC665)," ",REPT(" ",60)),1,60))="",ISNUMBER(SEARCH(" "&amp;TRIM(MID(SUBSTITUTE(TRIM(CC665)," ",REPT(" ",60)),1,60))&amp;" ",CD665))),OR(TRIM(MID(SUBSTITUTE(TRIM(CC665)," ",REPT(" ",60)),61,60))="",ISNUMBER(SEARCH(" "&amp;TRIM(MID(SUBSTITUTE(TRIM(CC665)," ",REPT(" ",60)),61,60))&amp;" ",CD665))),OR(TRIM(MID(SUBSTITUTE(TRIM(CC665)," ",REPT(" ",60)),121,60))="",ISNUMBER(SEARCH(" "&amp;TRIM(MID(SUBSTITUTE(TRIM(CC665)," ",REPT(" ",60)),121,60))&amp;" ",CD665)))),1,0),0)</f>
        <v>0</v>
      </c>
      <c r="CG665" s="68" t="n">
        <f aca="false">IFERROR(LEN(SUBSTITUTE(BF665," ",""))-SUMPRODUCT((LEN(BF665)-LEN(SUBSTITUTE(BF665," "&amp;L_NAFiller&amp;" "," ")))/(LEN(L_NAFiller)+1)*LEN(L_NAFiller)),0)</f>
        <v>0</v>
      </c>
    </row>
    <row r="666" customFormat="false" ht="41.25" hidden="false" customHeight="true" outlineLevel="0" collapsed="false">
      <c r="A666" s="57" t="s">
        <v>1386</v>
      </c>
      <c r="B666" s="57" t="s">
        <v>310</v>
      </c>
      <c r="C666" s="57" t="str">
        <f aca="false">Flights!$F$25</f>
        <v>MH1437</v>
      </c>
      <c r="D666" s="58" t="n">
        <f aca="false">Flights!$D$25</f>
        <v>46325</v>
      </c>
      <c r="E666" s="57" t="str">
        <f aca="false">Flights!$G$25&amp;"-"&amp;Flights!$H$25</f>
        <v>LGK-KUL</v>
      </c>
      <c r="F666" s="57" t="str">
        <f aca="false">Flights!$K$25</f>
        <v>BC</v>
      </c>
      <c r="G666" s="57" t="s">
        <v>81</v>
      </c>
      <c r="H666" s="57" t="s">
        <v>378</v>
      </c>
      <c r="I666" s="57" t="s">
        <v>385</v>
      </c>
      <c r="J666" s="57" t="s">
        <v>386</v>
      </c>
      <c r="K666" s="67" t="s">
        <v>387</v>
      </c>
      <c r="L666" s="67" t="s">
        <v>382</v>
      </c>
      <c r="M666" s="67"/>
      <c r="N666" s="67" t="s">
        <v>383</v>
      </c>
      <c r="O666" s="67" t="s">
        <v>914</v>
      </c>
      <c r="P666" s="57" t="s">
        <v>187</v>
      </c>
      <c r="Q666" s="59" t="n">
        <f aca="false">ROUND((Flights!$AC$25)*1440,0)/1440</f>
        <v>46318.28125</v>
      </c>
      <c r="R666" s="59" t="n">
        <f aca="false">Q666+(IF(AND(INDEX(TZ_DSTS,MATCH(P666,TZ_STN,0))&lt;&gt;"",Q666&gt;=INDEX(TZ_DSTS,MATCH(P666,TZ_STN,0)),Q666&lt;INDEX(TZ_DSTE,MATCH(P666,TZ_STN,0))),INDEX(TZ_DST,MATCH(P666,TZ_STN,0)),INDEX(TZ_STD,MATCH(P666,TZ_STN,0))))/24</f>
        <v>46318.6145833333</v>
      </c>
      <c r="S666" s="60"/>
      <c r="T666" s="60"/>
      <c r="U666" s="60"/>
      <c r="V666" s="60"/>
      <c r="W666" s="61"/>
      <c r="X666" s="60"/>
      <c r="Y666" s="60"/>
      <c r="Z666" s="60"/>
      <c r="AA666" s="60"/>
      <c r="AB666" s="60"/>
      <c r="AC666" s="60"/>
      <c r="AD666" s="66"/>
      <c r="AE666" s="60"/>
      <c r="AF666" s="61" t="str">
        <f aca="false">IF(AND(ISNUMBER(X666),ISNUMBER(Y666)),Y666-X666,"")</f>
        <v/>
      </c>
      <c r="AG666" s="62" t="str">
        <f aca="false">IF(ISNUMBER(AD666),AD666-(IF(AND(INDEX(TZ_DSTS,MATCH(P666,TZ_STN,0))&lt;&gt;"",(AD666-INDEX(TZ_STD,MATCH(P666,TZ_STN,0))/24)&gt;=INDEX(TZ_DSTS,MATCH(P666,TZ_STN,0)),(AD666-INDEX(TZ_STD,MATCH(P666,TZ_STN,0))/24)&lt;INDEX(TZ_DSTE,MATCH(P666,TZ_STN,0))),INDEX(TZ_DST,MATCH(P666,TZ_STN,0)),INDEX(TZ_STD,MATCH(P666,TZ_STN,0))))/24,"")</f>
        <v/>
      </c>
      <c r="AH666" s="65" t="str">
        <f aca="false">IFERROR(IF(N666="N/A – rule",IF(OR(TRIM(U666)="",TRIM(U666)="N/A",TRIM(U666)="Not started"),"N/A – RULE","INVALID – this check does not apply to this aircraft: clear the status (or correct the fleet on Flights)"),IF(TRIM(U666)="N/A",IF(AT666=0,"INVALID – N/A not permitted for this check",IF(AND(TRIM(AB666)&lt;&gt;"",TRIM(AB666)&lt;&gt;"Closed"),"INVALID – corrective action still open",IF(AND(NOT(OR(LEN(AZ666)&lt;15,ISNUMBER(MATCH(AZ666,L_Placeholder,0)))),BK666=0,CG666&gt;=8,NOT(OR(LEN(AU666)&lt;2,ISNUMBER(MATCH(AU666,L_Placeholder,0)))),BR666&gt;=3,NOT(OR(LEN(AX666)&lt;2,ISNUMBER(MATCH(AX666,L_Placeholder,0)))),BS666&gt;=3,TRIM(AE666)&lt;&gt;TRIM(T666),AX666&lt;&gt;AU666,CE666=0),"N/A – JUSTIFIED","INVALID – N/A needs a real, settled reason (not 'not applicable' / 'as above' / TBC), a named PIC and a different named verifier"))),IF(OR(TRIM(U666)="Pass",TRIM(U666)="Pass after CA"),IF(NOT(ISNUMBER(AD666)),"INVALID – completion time missing",IF(OR(OR(LEN(AU666)&lt;2,ISNUMBER(MATCH(AU666,L_Placeholder,0))),BR666&lt;3),"INVALID – PIC missing or not a named person (a role such as QA / CSM is not a name)",IF(OR(LEN(AV666)&lt;2,ISNUMBER(MATCH(AV666,L_Placeholder,0))),"INVALID – result / assessment missing",IF(OR(OR(LEN(AW666)&lt;3,ISNUMBER(MATCH(AW666,L_Placeholder,0))),SUMPRODUCT(--ISNUMBER(SEARCH(" "&amp;L_EvidencePhrase&amp;" ",BD666)))&gt;0,BI666=1),"INVALID – evidence missing, placeholder or not yet on file",IF(ISNA(MATCH(TRIM(S666),L_EvidenceType,0)),"INVALID – choose the evidence type from the list (column S)",IF(BL666=0,"INVALID – evidence ID must be the record's own ID only (e.g. SF-2210, IMG_2231, 1045521); a link / file name needs type 'Link / file path'",IF(OR(OR(LEN(AX666)&lt;2,ISNUMBER(MATCH(AX666,L_Placeholder,0))),BS666&lt;3),"INVALID – verifier missing or not a named person (a role such as QA / CSM is not a name)",IF(OR(AX666=AU666,CE666=1,AND(LEN(AU666)&gt;=4,ISNUMBER(SEARCH(AU666,AX666))),AND(LEN(AX666)&gt;=4,ISNUMBER(SEARCH(AX666,AU666)))),"INVALID – verifier must be a different, named person (not the PIC or a role)",IF(BH666=1,"INVALID – result not yet available (awaiting / TBC)",IF(BG666=1,"INVALID – result describes a problem: record Fail, then Pass after CA (or reword if it is not a problem)",IF(BV666=1,"INVALID – wording says not on board: an on-board confirmation needs the item loaded",IF(AND(AQ666=1,OR(OR(LEN(AY666)&lt;3,ISNUMBER(MATCH(AY666,L_Placeholder,0))),BJ666=1,BQ666=0)),"INVALID – batch ID missing, placeholder or not an ID (e.g. PASB-261008-BC-017)",IF(AND(AR666=1,OR(NOT(ISNUMBER(X666)),NOT(ISNUMBER(Y666)))),"INVALID – expected/actual qty missing",IF(AND(AR666=1,OR(X666&lt;=0,Y666&lt;0)),"INVALID – expected qty must be above 0 and actual not negative",IF(BB666&lt;&gt;"",BB666,IF(AND(AS666=1,Documents!$J$25&lt;&gt;"ON FILE"),"INVALID – GLD not on file (Documents sheet)",IF(AND(AS666=2,Documents!$O$25&lt;&gt;"ON FILE"),"INVALID – menu checklist not on file (Documents sheet)",IF(AND(AS666=3,NOT(ISNUMBER(Flights!$AX$25))),"INVALID – enter carrying flight KUL departure (Flights AX)",IF(AND(AS666=3,OR(Flights!$AZ$25&gt;Flights!$AA$25,Flights!$AX$25&lt;Flights!$AA$25-3)),"INVALID – carrying flight (Flights AX) cannot arrive before this leg's STD, or is over 3 days early",IF(AG666&gt;AsOfUTC,"INVALID – completion time is in the future",IF(AND(ISNUMBER(BY666),AG666&lt;BY666),IF(H666="Physical uplift","INVALID – before uplift window (cannot confirm loading)","INVALID – before valid window"),IF(AG666&gt;Flights!$AA$25,"INVALID – completed after departure (cannot establish readiness)",IF(AND(H666="Preparation",AG666&gt;=IF(ISNUMBER(Flights!$BA$25),MIN(Flights!$BA$25,Flights!$AA$25),Flights!$AA$25)),"INVALID – completed after loading / departure (cannot establish readiness)",IF(AND(H666="Physical uplift",AG666&gt;Q666),"INVALID – recorded after the loading flight departed",IF(AG666&gt;Q666,"COMPLETE – LATE","COMPLETE"))))))))))))))))))))))))),IF(TRIM(U666)="Fail","FAIL – DISCREPANCY",IF(AND(TRIM(U666)&lt;&gt;"",TRIM(U666)&lt;&gt;"Not started",TRIM(U666)&lt;&gt;"In progress"),"INVALID – unrecognised status (use the list)",IF(AsOfUTC&gt;Q666,"OVERDUE",IF(N666="Clarification required","OPEN – CLARIFICATION","OPEN"))))))),"INVALID – error value in an input cell")</f>
        <v>OPEN</v>
      </c>
      <c r="AI666" s="61" t="n">
        <f aca="false">IF(OR(AH666="N/A – RULE",AH666="N/A – JUSTIFIED"),0,1)</f>
        <v>1</v>
      </c>
      <c r="AJ666" s="61" t="n">
        <f aca="false">IF(LEFT(AH666,8)="COMPLETE",1,0)</f>
        <v>0</v>
      </c>
      <c r="AK666" s="61" t="n">
        <f aca="false">IF(AND(AI666=1,AJ666=0,AsOfUTC&gt;Q666),1,0)</f>
        <v>0</v>
      </c>
      <c r="AL666" s="61" t="n">
        <f aca="false">IFERROR(IF(AND(AI666=1,OR(TRIM(U666)="Fail",AND(TRIM(AB666)&lt;&gt;"",TRIM(AB666)&lt;&gt;"Closed"),AND(ISNUMBER(AF666),AF666&lt;&gt;0,TRIM(U666)&lt;&gt;"Pass after CA"))),1,0),1)</f>
        <v>0</v>
      </c>
      <c r="AM666" s="61" t="n">
        <f aca="false">IF(LEFT(AH666,7)="INVALID",1,0)</f>
        <v>0</v>
      </c>
      <c r="AN666" s="61" t="n">
        <f aca="false">IF(AND(N666="Clarification required",AI666=1,AJ666=0),1,0)</f>
        <v>0</v>
      </c>
      <c r="AO666" s="61" t="str">
        <f aca="false">IF(AK666=1,SUM(AK$5:AK666),"")</f>
        <v/>
      </c>
      <c r="AP666" s="61" t="str">
        <f aca="false">IF(AL666=1,SUM(AL$5:AL666),"")</f>
        <v/>
      </c>
      <c r="AQ666" s="61" t="n">
        <v>0</v>
      </c>
      <c r="AR666" s="61" t="n">
        <v>0</v>
      </c>
      <c r="AS666" s="61" t="n">
        <v>0</v>
      </c>
      <c r="AT666" s="61" t="n">
        <v>1</v>
      </c>
      <c r="AU666" s="61" t="str">
        <f aca="false">SUBSTITUTE(SUBSTITUTE(SUBSTITUTE(SUBSTITUTE(SUBSTITUTE(SUBSTITUTE(SUBSTITUTE(SUBSTITUTE(SUBSTITUTE(SUBSTITUTE(SUBSTITUTE(SUBSTITUTE(SUBSTITUTE(SUBSTITUTE(SUBSTITUTE(SUBSTITUTE(LOWER(T666&amp;""),CHAR(10),""),CHAR(13),""),CHAR(9),""),CHAR(160),"")," ",""),".",""),"-",""),"/",""),"?",""),"_",""),",",""),"[",""),"]",""),"(",""),")",""),"*","")</f>
        <v/>
      </c>
      <c r="AV666" s="61" t="str">
        <f aca="false">SUBSTITUTE(SUBSTITUTE(SUBSTITUTE(SUBSTITUTE(SUBSTITUTE(SUBSTITUTE(SUBSTITUTE(SUBSTITUTE(SUBSTITUTE(SUBSTITUTE(SUBSTITUTE(SUBSTITUTE(SUBSTITUTE(SUBSTITUTE(SUBSTITUTE(SUBSTITUTE(LOWER(V666&amp;""),CHAR(10),""),CHAR(13),""),CHAR(9),""),CHAR(160),"")," ",""),".",""),"-",""),"/",""),"?",""),"_",""),",",""),"[",""),"]",""),"(",""),")",""),"*","")</f>
        <v/>
      </c>
      <c r="AW666" s="61" t="str">
        <f aca="false">SUBSTITUTE(SUBSTITUTE(SUBSTITUTE(SUBSTITUTE(SUBSTITUTE(SUBSTITUTE(SUBSTITUTE(SUBSTITUTE(SUBSTITUTE(SUBSTITUTE(SUBSTITUTE(SUBSTITUTE(SUBSTITUTE(SUBSTITUTE(SUBSTITUTE(SUBSTITUTE(LOWER(Z666&amp;""),CHAR(10),""),CHAR(13),""),CHAR(9),""),CHAR(160),"")," ",""),".",""),"-",""),"/",""),"?",""),"_",""),",",""),"[",""),"]",""),"(",""),")",""),"*","")</f>
        <v/>
      </c>
      <c r="AX666" s="61" t="str">
        <f aca="false">SUBSTITUTE(SUBSTITUTE(SUBSTITUTE(SUBSTITUTE(SUBSTITUTE(SUBSTITUTE(SUBSTITUTE(SUBSTITUTE(SUBSTITUTE(SUBSTITUTE(SUBSTITUTE(SUBSTITUTE(SUBSTITUTE(SUBSTITUTE(SUBSTITUTE(SUBSTITUTE(LOWER(AE666&amp;""),CHAR(10),""),CHAR(13),""),CHAR(9),""),CHAR(160),"")," ",""),".",""),"-",""),"/",""),"?",""),"_",""),",",""),"[",""),"]",""),"(",""),")",""),"*","")</f>
        <v/>
      </c>
      <c r="AY666" s="61" t="str">
        <f aca="false">SUBSTITUTE(SUBSTITUTE(SUBSTITUTE(SUBSTITUTE(SUBSTITUTE(SUBSTITUTE(SUBSTITUTE(SUBSTITUTE(SUBSTITUTE(SUBSTITUTE(SUBSTITUTE(SUBSTITUTE(SUBSTITUTE(SUBSTITUTE(SUBSTITUTE(SUBSTITUTE(LOWER(W666&amp;""),CHAR(10),""),CHAR(13),""),CHAR(9),""),CHAR(160),"")," ",""),".",""),"-",""),"/",""),"?",""),"_",""),",",""),"[",""),"]",""),"(",""),")",""),"*","")</f>
        <v/>
      </c>
      <c r="AZ666" s="61" t="str">
        <f aca="false">SUBSTITUTE(SUBSTITUTE(SUBSTITUTE(SUBSTITUTE(SUBSTITUTE(SUBSTITUTE(SUBSTITUTE(SUBSTITUTE(SUBSTITUTE(SUBSTITUTE(SUBSTITUTE(SUBSTITUTE(SUBSTITUTE(SUBSTITUTE(SUBSTITUTE(SUBSTITUTE(LOWER(AC666&amp;""),CHAR(10),""),CHAR(13),""),CHAR(9),""),CHAR(160),"")," ",""),".",""),"-",""),"/",""),"?",""),"_",""),",",""),"[",""),"]",""),"(",""),")",""),"*","")</f>
        <v/>
      </c>
      <c r="BA666" s="61" t="str">
        <f aca="false">SUBSTITUTE(SUBSTITUTE(SUBSTITUTE(SUBSTITUTE(SUBSTITUTE(SUBSTITUTE(SUBSTITUTE(SUBSTITUTE(SUBSTITUTE(SUBSTITUTE(SUBSTITUTE(SUBSTITUTE(SUBSTITUTE(SUBSTITUTE(SUBSTITUTE(SUBSTITUTE(LOWER(AA666&amp;""),CHAR(10),""),CHAR(13),""),CHAR(9),""),CHAR(160),"")," ",""),".",""),"-",""),"/",""),"?",""),"_",""),",",""),"[",""),"]",""),"(",""),")",""),"*","")</f>
        <v/>
      </c>
      <c r="BB666" s="61" t="str">
        <f aca="false">IF(AND(TRIM(U666)="Pass",ISNUMBER(AF666)),IF(AF666&lt;&gt;0,"INVALID – qty variance: use Fail or Pass after CA",""),"")&amp;IF(AND(TRIM(U666)="Pass after CA",ISNUMBER(AF666)),IF(AF666&lt;&gt;0,"INVALID – after the corrective action the actual qty must equal expected (update Actual)",""),"")&amp;IF(AND(TRIM(U666)="Pass",TRIM(AB666)&lt;&gt;"",TRIM(AB666)&lt;&gt;"Closed"),"INVALID – corrective action not closed: use Fail, then Pass after CA","")&amp;IF(AND(LEN(BA666)&gt;=2,ISNA(MATCH(LEFT(BA666,255),L_Placeholder,0)),TRIM(AB666)=""),"INVALID – CA status missing for the recorded corrective action","")&amp;IF(AND(TRIM(U666)="Pass after CA",OR(OR(LEN(BA666)&lt;5,ISNUMBER(MATCH(BA666,L_Placeholder,0))),TRIM(AB666)&lt;&gt;"Closed")),"INVALID – corrective action not recorded/closed","")</f>
        <v/>
      </c>
      <c r="BC666" s="61" t="str">
        <f aca="false">" "&amp;TRIM(SUBSTITUTE(SUBSTITUTE(SUBSTITUTE(SUBSTITUTE(SUBSTITUTE(SUBSTITUTE(SUBSTITUTE(SUBSTITUTE(SUBSTITUTE(SUBSTITUTE(SUBSTITUTE(SUBSTITUTE(SUBSTITUTE(SUBSTITUTE(SUBSTITUTE(SUBSTITUTE(SUBSTITUTE(SUBSTITUTE(SUBSTITUTE(SUBSTITUTE(SUBSTITUTE(SUBSTITUTE(SUBSTITUTE(SUBSTITUTE(LOWER(V666&amp;""),CHAR(10)," "),CHAR(13)," "),CHAR(9)," "),CHAR(160)," "),"."," "),","," "),"-"," "),"/"," "),"("," "),")"," "),":"," "),";"," "),"_"," "),"–"," "),"?"," "),"!"," "),"*"," "),"["," "),"]"," "),"'"," "),"#"," "),"+"," "),"&amp;"," "),"\"," "))&amp;" "</f>
        <v>  </v>
      </c>
      <c r="BD666" s="61" t="str">
        <f aca="false">" "&amp;TRIM(SUBSTITUTE(SUBSTITUTE(SUBSTITUTE(SUBSTITUTE(SUBSTITUTE(SUBSTITUTE(SUBSTITUTE(SUBSTITUTE(SUBSTITUTE(SUBSTITUTE(SUBSTITUTE(SUBSTITUTE(SUBSTITUTE(SUBSTITUTE(SUBSTITUTE(SUBSTITUTE(SUBSTITUTE(SUBSTITUTE(SUBSTITUTE(SUBSTITUTE(SUBSTITUTE(SUBSTITUTE(SUBSTITUTE(SUBSTITUTE(LOWER(Z666&amp;""),CHAR(10)," "),CHAR(13)," "),CHAR(9)," "),CHAR(160)," "),"."," "),","," "),"-"," "),"/"," "),"("," "),")"," "),":"," "),";"," "),"_"," "),"–"," "),"?"," "),"!"," "),"*"," "),"["," "),"]"," "),"'"," "),"#"," "),"+"," "),"&amp;"," "),"\"," "))&amp;" "</f>
        <v>  </v>
      </c>
      <c r="BE666" s="61" t="str">
        <f aca="false">" "&amp;TRIM(SUBSTITUTE(SUBSTITUTE(SUBSTITUTE(SUBSTITUTE(SUBSTITUTE(SUBSTITUTE(SUBSTITUTE(SUBSTITUTE(SUBSTITUTE(SUBSTITUTE(SUBSTITUTE(SUBSTITUTE(SUBSTITUTE(SUBSTITUTE(SUBSTITUTE(SUBSTITUTE(SUBSTITUTE(SUBSTITUTE(SUBSTITUTE(SUBSTITUTE(SUBSTITUTE(SUBSTITUTE(SUBSTITUTE(SUBSTITUTE(LOWER(W666&amp;""),CHAR(10)," "),CHAR(13)," "),CHAR(9)," "),CHAR(160)," "),"."," "),","," "),"-"," "),"/"," "),"("," "),")"," "),":"," "),";"," "),"_"," "),"–"," "),"?"," "),"!"," "),"*"," "),"["," "),"]"," "),"'"," "),"#"," "),"+"," "),"&amp;"," "),"\"," "))&amp;" "</f>
        <v>  </v>
      </c>
      <c r="BF666" s="61" t="str">
        <f aca="false">" "&amp;TRIM(SUBSTITUTE(SUBSTITUTE(SUBSTITUTE(SUBSTITUTE(SUBSTITUTE(SUBSTITUTE(SUBSTITUTE(SUBSTITUTE(SUBSTITUTE(SUBSTITUTE(SUBSTITUTE(SUBSTITUTE(SUBSTITUTE(SUBSTITUTE(SUBSTITUTE(SUBSTITUTE(SUBSTITUTE(SUBSTITUTE(SUBSTITUTE(SUBSTITUTE(SUBSTITUTE(SUBSTITUTE(SUBSTITUTE(SUBSTITUTE(LOWER(AC666&amp;""),CHAR(10)," "),CHAR(13)," "),CHAR(9)," "),CHAR(160)," "),"."," "),","," "),"-"," "),"/"," "),"("," "),")"," "),":"," "),";"," "),"_"," "),"–"," "),"?"," "),"!"," "),"*"," "),"["," "),"]"," "),"'"," "),"#"," "),"+"," "),"&amp;"," "),"\"," "))&amp;" "</f>
        <v>  </v>
      </c>
      <c r="BG666" s="61" t="n">
        <f aca="false">IFERROR(IF(AND(TRIM(U666)="Pass",SUMPRODUCT((LEN(BC666)-LEN(SUBSTITUTE(BC666," "&amp;L_ResultBad&amp;" "," ")))/(LEN(L_ResultBad)+1))&gt;SUMPRODUCT((LEN(BC666)-LEN(SUBSTITUTE(BC666," "&amp;L_NegPhrase&amp;" "," ")))/(LEN(L_NegPhrase)+1))),1,0),0)</f>
        <v>0</v>
      </c>
      <c r="BH666" s="61" t="n">
        <f aca="false">IFERROR(IF(SUMPRODUCT((LEN(BC666)-LEN(SUBSTITUTE(BC666," "&amp;L_Pending&amp;" "," ")))/(LEN(L_Pending)+1))&gt;SUMPRODUCT((LEN(BC666)-LEN(SUBSTITUTE(BC666," "&amp;L_PendNeg&amp;" "," ")))/(LEN(L_PendNeg)+1))+SUMPRODUCT((LEN(BC666)-LEN(SUBSTITUTE(BC666," "&amp;L_PendPrep&amp;" "," ")))/(LEN(L_PendPrep)+1)),1,0),1)</f>
        <v>0</v>
      </c>
      <c r="BI666" s="61" t="n">
        <f aca="false">IFERROR(IF(SUMPRODUCT((LEN(BD666)-LEN(SUBSTITUTE(BD666," "&amp;L_PendStrict&amp;" "," ")))/(LEN(L_PendStrict)+1))&gt;SUMPRODUCT((LEN(BD666)-LEN(SUBSTITUTE(BD666," "&amp;L_PendNeg&amp;" "," ")))/(LEN(L_PendNeg)+1)),1,0),1)</f>
        <v>0</v>
      </c>
      <c r="BJ666" s="61" t="n">
        <f aca="false">IFERROR(IF(SUMPRODUCT((LEN(BE666)-LEN(SUBSTITUTE(BE666," "&amp;L_Pending&amp;" "," ")))/(LEN(L_Pending)+1))&gt;SUMPRODUCT((LEN(BE666)-LEN(SUBSTITUTE(BE666," "&amp;L_PendNeg&amp;" "," ")))/(LEN(L_PendNeg)+1))+SUMPRODUCT((LEN(BE666)-LEN(SUBSTITUTE(BE666," "&amp;L_PendPrep&amp;" "," ")))/(LEN(L_PendPrep)+1)),1,0),1)</f>
        <v>0</v>
      </c>
      <c r="BK666" s="61" t="n">
        <f aca="false">IFERROR(IF(SUMPRODUCT((LEN(BF666)-LEN(SUBSTITUTE(BF666," "&amp;L_PendStrict&amp;" "," ")))/(LEN(L_PendStrict)+1))&gt;SUMPRODUCT((LEN(BF666)-LEN(SUBSTITUTE(BF666," "&amp;L_PendNeg&amp;" "," ")))/(LEN(L_PendNeg)+1)),1,0),1)</f>
        <v>0</v>
      </c>
      <c r="BL666" s="61" t="n">
        <f aca="false">IF(ISNA(MATCH(TRIM(S666),L_EvidenceType,0)),0,BZ666)</f>
        <v>0</v>
      </c>
      <c r="BM666" s="61" t="str">
        <f aca="false">SUBSTITUTE(SUBSTITUTE(SUBSTITUTE(SUBSTITUTE(SUBSTITUTE(SUBSTITUTE(SUBSTITUTE(SUBSTITUTE(SUBSTITUTE(LOWER(Z666&amp;""),"1","0"),"2","0"),"3","0"),"4","0"),"5","0"),"6","0"),"7","0"),"8","0"),"9","0")</f>
        <v/>
      </c>
      <c r="BN666" s="61" t="str">
        <f aca="false">SUBSTITUTE(SUBSTITUTE(SUBSTITUTE(SUBSTITUTE(SUBSTITUTE(SUBSTITUTE(SUBSTITUTE(SUBSTITUTE(SUBSTITUTE(SUBSTITUTE(SUBSTITUTE(SUBSTITUTE(SUBSTITUTE(SUBSTITUTE(SUBSTITUTE(SUBSTITUTE(SUBSTITUTE(SUBSTITUTE(SUBSTITUTE(SUBSTITUTE(SUBSTITUTE(SUBSTITUTE(SUBSTITUTE(SUBSTITUTE(SUBSTITUTE(BM666,"b","a"),"c","a"),"d","a"),"e","a"),"f","a"),"g","a"),"h","a"),"i","a"),"j","a"),"k","a"),"l","a"),"m","a"),"n","a"),"o","a"),"p","a"),"q","a"),"r","a"),"s","a"),"t","a"),"u","a"),"v","a"),"w","a"),"x","a"),"y","a"),"z","a")</f>
        <v/>
      </c>
      <c r="BO666" s="61" t="str">
        <f aca="false">SUBSTITUTE(SUBSTITUTE(SUBSTITUTE(SUBSTITUTE(SUBSTITUTE(SUBSTITUTE(SUBSTITUTE(SUBSTITUTE(SUBSTITUTE(LOWER(W666&amp;""),"1","0"),"2","0"),"3","0"),"4","0"),"5","0"),"6","0"),"7","0"),"8","0"),"9","0")</f>
        <v/>
      </c>
      <c r="BP666" s="61" t="str">
        <f aca="false">SUBSTITUTE(SUBSTITUTE(SUBSTITUTE(SUBSTITUTE(SUBSTITUTE(SUBSTITUTE(SUBSTITUTE(SUBSTITUTE(SUBSTITUTE(SUBSTITUTE(SUBSTITUTE(SUBSTITUTE(SUBSTITUTE(SUBSTITUTE(SUBSTITUTE(SUBSTITUTE(SUBSTITUTE(SUBSTITUTE(SUBSTITUTE(SUBSTITUTE(SUBSTITUTE(SUBSTITUTE(SUBSTITUTE(SUBSTITUTE(SUBSTITUTE(BO666,"b","a"),"c","a"),"d","a"),"e","a"),"f","a"),"g","a"),"h","a"),"i","a"),"j","a"),"k","a"),"l","a"),"m","a"),"n","a"),"o","a"),"p","a"),"q","a"),"r","a"),"s","a"),"t","a"),"u","a"),"v","a"),"w","a"),"x","a"),"y","a"),"z","a")</f>
        <v/>
      </c>
      <c r="BQ666" s="61" t="n">
        <f aca="false">IFERROR(IF(AND(ISERROR(SEARCH(" mh"," "&amp;LOWER(W666))),ISNA(MATCH(LEFT(TRIM(BP666),255),{"0000a","000a","00a","0000aa","000aa","00aa","0aa","0000aaa","000aaa","00a00","0a00","0000-0000","00:00","a00","a0","00.00.0000","00/00/0000","00-00-0000","0000-00-00","0000/00/00","0000.00.00","00.00.00","00/00/00","00-00-00","0.00.0000","0/00/0000","0-00-0000"},0)),ISNA(MATCH(LEFT(TRIM(CA666),255),{"0000a","000a","00a","0000aa","000aa","00aa","0aa","0000aaa","000aaa","00a00","0a00","0000-0000","00:00","a00","a0","00.00.0000","00/00/0000","00-00-0000","0000-00-00","0000/00/00","0000.00.00","00.00.00","00/00/00","00-00-00","0.00.0000","0/00/0000","0-00-0000"},0)),LEN(CB666)&gt;=3,NOT(OR(SUBSTITUTE(CB666,"0","")="",AND(LEN(CB666)&gt;=4,CB666=REPT(LEFT(CB666),LEN(CB666))),ISNUMBER(MATCH(CB666,{"123","1234","12345","123456","1234567","12345678","0123","01234","012345","98765","987654","54321"},0)),AND(LEN(CB666)=8,LEFT(CB666,3)="202"))),OR(AND((LEN(CA666)-LEN(SUBSTITUTE(CA666,"a","")))&gt;=1,SUMPRODUCT(--ISNUMBER(SEARCH({"a0","a-0","a_0","a/0","a.0","a#0","0a","0-a","0_a","0/a"},BP666)))&gt;0),ISNUMBER(SEARCH("000000",BP666)))),1,0),0)</f>
        <v>0</v>
      </c>
      <c r="BR666" s="61" t="n">
        <f aca="false">IFERROR(LEN(SUBSTITUTE(CC666," ",""))-SUMPRODUCT((LEN(CC666)-LEN(SUBSTITUTE(CC666," "&amp;L_Role&amp;" "," ")))/(LEN(L_Role)+1)*LEN(L_Role)),0)</f>
        <v>0</v>
      </c>
      <c r="BS666" s="61" t="n">
        <f aca="false">IFERROR(LEN(SUBSTITUTE(CD666," ",""))-SUMPRODUCT((LEN(CD666)-LEN(SUBSTITUTE(CD666," "&amp;L_Role&amp;" "," ")))/(LEN(L_Role)+1)*LEN(L_Role)),0)</f>
        <v>0</v>
      </c>
      <c r="BT6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666,"revision",""),"version",""),"jan",""),"feb",""),"mar",""),"apr",""),"may",""),"jun",""),"jul",""),"aug",""),"sep",""),"oct",""),"nov",""),"dec",""),"utc",""),"gmt",""),"myt",""),"bst",""),"rev",""),"ver",""),"b","a"),"c","a"),"d","a"),"e","a"),"f","a"),"g","a"),"h","a"),"i","a"),"j","a"),"k","a"),"l","a"),"m","a"),"n","a"),"o","a"),"p","a"),"q","a"),"r","a"),"s","a"),"t","a"),"u","a"),"v","a"),"w","a"),"x","a"),"y","a"),"z","a")</f>
        <v/>
      </c>
      <c r="BU666" s="61" t="str">
        <f aca="false">SUBSTITUTE(SUBSTITUTE(SUBSTITUTE(SUBSTITUTE(SUBSTITUTE(SUBSTITUTE(SUBSTITUTE(SUBSTITUTE(SUBSTITUTE(SUBSTITUTE(LEFT(BM666,FIND("0",BM666&amp;"0")-1),"-",""),"_",""),"/",""),".",""),"#",""),"\\",""),":","")," ",""),"(",""),")","")</f>
        <v/>
      </c>
      <c r="BV666" s="61" t="n">
        <f aca="false">0</f>
        <v>0</v>
      </c>
      <c r="BW66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666&amp;""),"a",""),"b",""),"c",""),"d",""),"e",""),"f",""),"g",""),"h",""),"i",""),"j",""),"k",""),"l",""),"m",""),"n",""),"o",""),"p",""),"q",""),"r",""),"s",""),"t",""),"u",""),"v",""),"w",""),"x",""),"y",""),"z",""),"-",""),"_",""),"/",""),".",""),"#",""),"\\",""),":","")," ",""),"(",""),")","")</f>
        <v/>
      </c>
      <c r="BX666" s="61" t="str">
        <f aca="false">SUBSTITUTE(SUBSTITUTE(SUBSTITUTE(SUBSTITUTE(SUBSTITUTE(SUBSTITUTE(SUBSTITUTE(SUBSTITUTE(SUBSTITUTE(SUBSTITUTE(SUBSTITUTE(BM666,"0",""),"-",""),"_",""),"/",""),".",""),"#",""),"\\",""),":","")," ",""),"(",""),")","")</f>
        <v/>
      </c>
      <c r="BY666" s="62" t="n">
        <f aca="false">Q666-T7EarlyD*24/24</f>
        <v>46304.28125</v>
      </c>
      <c r="BZ666" s="61" t="n">
        <f aca="false">IFERROR(IF(IF(TRIM(S666)="Link / file path",AND(LEN(TRIM(Z666))&gt;=5,SUMPRODUCT(--ISNUMBER(SEARCH({"http","www.","\\",":\",".pdf",".jpg",".jpeg",".png",".heic",".xls",".doc",".msg",".eml",".ppt",".txt",".zip"},Z666)))&gt;0),AND(ISERROR(FIND(" ",TRIM(Z666))),NOT(OR(SUMPRODUCT(--ISNUMBER(FIND({",",";","&amp;","+"},Z666)))&gt;0,SUMPRODUCT(--ISNUMBER(SEARCH({"0/aa","0\\aa"},BN666)))&gt;0)),NOT(SUMPRODUCT(--ISNUMBER(SEARCH({"http","www.","\\",":\",".pdf",".jpg",".jpeg",".png",".heic",".xls",".doc",".msg",".eml",".ppt",".txt",".zip"},Z666)))&gt;0),NOT(LOWER(TRIM(Z666))=LOWER(Flights!$F$25)),ISNA(MATCH(BU666,{"mh","rev","revision","ver","version","v","r","a","b","seat","tray","row","gate","bay","stand","page","pg","item","line","no","cart","galley","flight","flt","table","box","bag","oven","etd","eta","std","sta","atd","ata","qty","pax","x","time","tel","ph","mob","day","wk","week","utc","gmt","myt","lt"},0)),NOT(OR(ISNUMBER(MATCH(LEFT(BN666,255),{"0000a","000a","00a","0000aa","000aa","00aa","0aa","0000aaa","000aaa","00a00","0a00","0000-0000","00:00","a00","a0","00.00.0000","00/00/0000","00-00-0000","0000-00-00","0000/00/00","0000.00.00","00.00.00","00/00/00","00-00-00","0.00.0000","0/00/0000","0-00-0000"},0)),ISNUMBER(MATCH(LEFT(BT666,255),{"0000a","000a","00a","0000aa","000aa","00aa","0aa","0000aaa","000aaa","00a00","0a00","0000-0000","00:00","a00","a0","00.00.0000","00/00/0000","00-00-0000","0000-00-00","0000/00/00","0000.00.00","00.00.00","00/00/00","00-00-00","0.00.0000","0/00/0000","0-00-0000"},0)))),NOT(OR(AND(BW666&lt;&gt;"",SUBSTITUTE(BW666,"0","")=""),AND(LEN(BW666)&gt;=4,BW666=REPT(LEFT(BW666),LEN(BW666))),ISNUMBER(MATCH(BW666,{"123","1234","12345","123456","1234567","12345678","0123","01234","012345","98765","987654","54321"},0)),ISNUMBER(MATCH(BX666,{"x","xx","xxx","xxxx","xxxxx","abc","abcd","nil","na","nan","test","tbc","tba","tbd","dummy","sample","example","eg","zz","zzz","none","null","xyz","qwe","asd","id","ref"},0)),AND(LEN(BW666)=8,BX666="",OR(LEFT(BW666,3)="202",ISNUMBER(MATCH(RIGHT(BW666,4),{"2025","2026","2027"},0)))))),OR(AND((LEN(BT666)-LEN(SUBSTITUTE(BT666,"a","")))&gt;=1,(LEN(BN666)-LEN(SUBSTITUTE(BN666,"0","")))&gt;=2,SUMPRODUCT(--ISNUMBER(SEARCH({"a0","a-0","a_0","a/0","a.0","a#0","0a","0-a","0_a","0/a"},BN666)))&gt;0),AND((LEN(BN666)-LEN(SUBSTITUTE(BN666,"a","")))=0,(LEN(BN666)-LEN(SUBSTITUTE(BN666,"0","")))&gt;=5)))),1,0),0)</f>
        <v>0</v>
      </c>
      <c r="CA6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666,"revision",""),"version",""),"jan",""),"feb",""),"mar",""),"apr",""),"may",""),"jun",""),"jul",""),"aug",""),"sep",""),"oct",""),"nov",""),"dec",""),"utc",""),"gmt",""),"myt",""),"bst",""),"rev",""),"ver",""),"b","a"),"c","a"),"d","a"),"e","a"),"f","a"),"g","a"),"h","a"),"i","a"),"j","a"),"k","a"),"l","a"),"m","a"),"n","a"),"o","a"),"p","a"),"q","a"),"r","a"),"s","a"),"t","a"),"u","a"),"v","a"),"w","a"),"x","a"),"y","a"),"z","a")</f>
        <v/>
      </c>
      <c r="CB66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666&amp;""),"a",""),"b",""),"c",""),"d",""),"e",""),"f",""),"g",""),"h",""),"i",""),"j",""),"k",""),"l",""),"m",""),"n",""),"o",""),"p",""),"q",""),"r",""),"s",""),"t",""),"u",""),"v",""),"w",""),"x",""),"y",""),"z",""),"-",""),"_",""),"/",""),".",""),"#",""),"\\",""),":","")," ",""),"(",""),")","")</f>
        <v/>
      </c>
      <c r="CC666" s="0" t="str">
        <f aca="false">" "&amp;TRIM(SUBSTITUTE(SUBSTITUTE(SUBSTITUTE(SUBSTITUTE(SUBSTITUTE(SUBSTITUTE(SUBSTITUTE(SUBSTITUTE(SUBSTITUTE(SUBSTITUTE(SUBSTITUTE(SUBSTITUTE(SUBSTITUTE(SUBSTITUTE(SUBSTITUTE(SUBSTITUTE(SUBSTITUTE(SUBSTITUTE(SUBSTITUTE(SUBSTITUTE(SUBSTITUTE(SUBSTITUTE(SUBSTITUTE(SUBSTITUTE(LOWER(T666&amp;""),CHAR(10)," "),CHAR(13)," "),CHAR(9)," "),CHAR(160)," "),"."," "),","," "),"-"," "),"/"," "),"("," "),")"," "),":"," "),";"," "),"_"," "),"–"," "),"?"," "),"!"," "),"*"," "),"["," "),"]"," "),"'"," "),"#"," "),"+"," "),"&amp;"," "),"\"," "))&amp;" "</f>
        <v>  </v>
      </c>
      <c r="CD666" s="0" t="str">
        <f aca="false">" "&amp;TRIM(SUBSTITUTE(SUBSTITUTE(SUBSTITUTE(SUBSTITUTE(SUBSTITUTE(SUBSTITUTE(SUBSTITUTE(SUBSTITUTE(SUBSTITUTE(SUBSTITUTE(SUBSTITUTE(SUBSTITUTE(SUBSTITUTE(SUBSTITUTE(SUBSTITUTE(SUBSTITUTE(SUBSTITUTE(SUBSTITUTE(SUBSTITUTE(SUBSTITUTE(SUBSTITUTE(SUBSTITUTE(SUBSTITUTE(SUBSTITUTE(LOWER(AE666&amp;""),CHAR(10)," "),CHAR(13)," "),CHAR(9)," "),CHAR(160)," "),"."," "),","," "),"-"," "),"/"," "),"("," "),")"," "),":"," "),";"," "),"_"," "),"–"," "),"?"," "),"!"," "),"*"," "),"["," "),"]"," "),"'"," "),"#"," "),"+"," "),"&amp;"," "),"\"," "))&amp;" "</f>
        <v>  </v>
      </c>
      <c r="CE666" s="68" t="n">
        <f aca="false">IFERROR(IF(AND(LEN(AU666)&gt;0,LEN(AU666)=LEN(AX666),OR(TRIM(MID(SUBSTITUTE(TRIM(CC666)," ",REPT(" ",60)),1,60))="",ISNUMBER(SEARCH(" "&amp;TRIM(MID(SUBSTITUTE(TRIM(CC666)," ",REPT(" ",60)),1,60))&amp;" ",CD666))),OR(TRIM(MID(SUBSTITUTE(TRIM(CC666)," ",REPT(" ",60)),61,60))="",ISNUMBER(SEARCH(" "&amp;TRIM(MID(SUBSTITUTE(TRIM(CC666)," ",REPT(" ",60)),61,60))&amp;" ",CD666))),OR(TRIM(MID(SUBSTITUTE(TRIM(CC666)," ",REPT(" ",60)),121,60))="",ISNUMBER(SEARCH(" "&amp;TRIM(MID(SUBSTITUTE(TRIM(CC666)," ",REPT(" ",60)),121,60))&amp;" ",CD666)))),1,0),0)</f>
        <v>0</v>
      </c>
      <c r="CG666" s="68" t="n">
        <f aca="false">IFERROR(LEN(SUBSTITUTE(BF666," ",""))-SUMPRODUCT((LEN(BF666)-LEN(SUBSTITUTE(BF666," "&amp;L_NAFiller&amp;" "," ")))/(LEN(L_NAFiller)+1)*LEN(L_NAFiller)),0)</f>
        <v>0</v>
      </c>
    </row>
    <row r="667" customFormat="false" ht="41.25" hidden="false" customHeight="true" outlineLevel="0" collapsed="false">
      <c r="A667" s="57" t="s">
        <v>1387</v>
      </c>
      <c r="B667" s="57" t="s">
        <v>310</v>
      </c>
      <c r="C667" s="57" t="str">
        <f aca="false">Flights!$F$25</f>
        <v>MH1437</v>
      </c>
      <c r="D667" s="58" t="n">
        <f aca="false">Flights!$D$25</f>
        <v>46325</v>
      </c>
      <c r="E667" s="57" t="str">
        <f aca="false">Flights!$G$25&amp;"-"&amp;Flights!$H$25</f>
        <v>LGK-KUL</v>
      </c>
      <c r="F667" s="57" t="str">
        <f aca="false">Flights!$K$25</f>
        <v>BC</v>
      </c>
      <c r="G667" s="57" t="s">
        <v>81</v>
      </c>
      <c r="H667" s="57" t="s">
        <v>378</v>
      </c>
      <c r="I667" s="57" t="s">
        <v>389</v>
      </c>
      <c r="J667" s="57" t="s">
        <v>390</v>
      </c>
      <c r="K667" s="67" t="s">
        <v>391</v>
      </c>
      <c r="L667" s="67" t="s">
        <v>382</v>
      </c>
      <c r="M667" s="67"/>
      <c r="N667" s="67" t="str">
        <f aca="false">IF(TRIM(Flights!$L$25)="A339","Required","N/A – rule")</f>
        <v>N/A – rule</v>
      </c>
      <c r="O667" s="67" t="s">
        <v>392</v>
      </c>
      <c r="P667" s="57" t="s">
        <v>187</v>
      </c>
      <c r="Q667" s="59" t="n">
        <f aca="false">ROUND((Flights!$AC$25)*1440,0)/1440</f>
        <v>46318.28125</v>
      </c>
      <c r="R667" s="59" t="n">
        <f aca="false">Q667+(IF(AND(INDEX(TZ_DSTS,MATCH(P667,TZ_STN,0))&lt;&gt;"",Q667&gt;=INDEX(TZ_DSTS,MATCH(P667,TZ_STN,0)),Q667&lt;INDEX(TZ_DSTE,MATCH(P667,TZ_STN,0))),INDEX(TZ_DST,MATCH(P667,TZ_STN,0)),INDEX(TZ_STD,MATCH(P667,TZ_STN,0))))/24</f>
        <v>46318.6145833333</v>
      </c>
      <c r="S667" s="60"/>
      <c r="T667" s="60"/>
      <c r="U667" s="60"/>
      <c r="V667" s="60"/>
      <c r="W667" s="61"/>
      <c r="X667" s="60"/>
      <c r="Y667" s="60"/>
      <c r="Z667" s="60"/>
      <c r="AA667" s="60"/>
      <c r="AB667" s="60"/>
      <c r="AC667" s="60"/>
      <c r="AD667" s="66"/>
      <c r="AE667" s="60"/>
      <c r="AF667" s="61" t="str">
        <f aca="false">IF(AND(ISNUMBER(X667),ISNUMBER(Y667)),Y667-X667,"")</f>
        <v/>
      </c>
      <c r="AG667" s="62" t="str">
        <f aca="false">IF(ISNUMBER(AD667),AD667-(IF(AND(INDEX(TZ_DSTS,MATCH(P667,TZ_STN,0))&lt;&gt;"",(AD667-INDEX(TZ_STD,MATCH(P667,TZ_STN,0))/24)&gt;=INDEX(TZ_DSTS,MATCH(P667,TZ_STN,0)),(AD667-INDEX(TZ_STD,MATCH(P667,TZ_STN,0))/24)&lt;INDEX(TZ_DSTE,MATCH(P667,TZ_STN,0))),INDEX(TZ_DST,MATCH(P667,TZ_STN,0)),INDEX(TZ_STD,MATCH(P667,TZ_STN,0))))/24,"")</f>
        <v/>
      </c>
      <c r="AH667" s="65" t="str">
        <f aca="false">IFERROR(IF(N667="N/A – rule",IF(OR(TRIM(U667)="",TRIM(U667)="N/A",TRIM(U667)="Not started"),"N/A – RULE","INVALID – this check does not apply to this aircraft: clear the status (or correct the fleet on Flights)"),IF(TRIM(U667)="N/A",IF(AT667=0,"INVALID – N/A not permitted for this check",IF(AND(TRIM(AB667)&lt;&gt;"",TRIM(AB667)&lt;&gt;"Closed"),"INVALID – corrective action still open",IF(AND(NOT(OR(LEN(AZ667)&lt;15,ISNUMBER(MATCH(AZ667,L_Placeholder,0)))),BK667=0,CG667&gt;=8,NOT(OR(LEN(AU667)&lt;2,ISNUMBER(MATCH(AU667,L_Placeholder,0)))),BR667&gt;=3,NOT(OR(LEN(AX667)&lt;2,ISNUMBER(MATCH(AX667,L_Placeholder,0)))),BS667&gt;=3,TRIM(AE667)&lt;&gt;TRIM(T667),AX667&lt;&gt;AU667,CE667=0),"N/A – JUSTIFIED","INVALID – N/A needs a real, settled reason (not 'not applicable' / 'as above' / TBC), a named PIC and a different named verifier"))),IF(OR(TRIM(U667)="Pass",TRIM(U667)="Pass after CA"),IF(NOT(ISNUMBER(AD667)),"INVALID – completion time missing",IF(OR(OR(LEN(AU667)&lt;2,ISNUMBER(MATCH(AU667,L_Placeholder,0))),BR667&lt;3),"INVALID – PIC missing or not a named person (a role such as QA / CSM is not a name)",IF(OR(LEN(AV667)&lt;2,ISNUMBER(MATCH(AV667,L_Placeholder,0))),"INVALID – result / assessment missing",IF(OR(OR(LEN(AW667)&lt;3,ISNUMBER(MATCH(AW667,L_Placeholder,0))),SUMPRODUCT(--ISNUMBER(SEARCH(" "&amp;L_EvidencePhrase&amp;" ",BD667)))&gt;0,BI667=1),"INVALID – evidence missing, placeholder or not yet on file",IF(ISNA(MATCH(TRIM(S667),L_EvidenceType,0)),"INVALID – choose the evidence type from the list (column S)",IF(BL667=0,"INVALID – evidence ID must be the record's own ID only (e.g. SF-2210, IMG_2231, 1045521); a link / file name needs type 'Link / file path'",IF(OR(OR(LEN(AX667)&lt;2,ISNUMBER(MATCH(AX667,L_Placeholder,0))),BS667&lt;3),"INVALID – verifier missing or not a named person (a role such as QA / CSM is not a name)",IF(OR(AX667=AU667,CE667=1,AND(LEN(AU667)&gt;=4,ISNUMBER(SEARCH(AU667,AX667))),AND(LEN(AX667)&gt;=4,ISNUMBER(SEARCH(AX667,AU667)))),"INVALID – verifier must be a different, named person (not the PIC or a role)",IF(BH667=1,"INVALID – result not yet available (awaiting / TBC)",IF(BG667=1,"INVALID – result describes a problem: record Fail, then Pass after CA (or reword if it is not a problem)",IF(BV667=1,"INVALID – wording says not on board: an on-board confirmation needs the item loaded",IF(AND(AQ667=1,OR(OR(LEN(AY667)&lt;3,ISNUMBER(MATCH(AY667,L_Placeholder,0))),BJ667=1,BQ667=0)),"INVALID – batch ID missing, placeholder or not an ID (e.g. PASB-261008-BC-017)",IF(AND(AR667=1,OR(NOT(ISNUMBER(X667)),NOT(ISNUMBER(Y667)))),"INVALID – expected/actual qty missing",IF(AND(AR667=1,OR(X667&lt;=0,Y667&lt;0)),"INVALID – expected qty must be above 0 and actual not negative",IF(BB667&lt;&gt;"",BB667,IF(AND(AS667=1,Documents!$J$25&lt;&gt;"ON FILE"),"INVALID – GLD not on file (Documents sheet)",IF(AND(AS667=2,Documents!$O$25&lt;&gt;"ON FILE"),"INVALID – menu checklist not on file (Documents sheet)",IF(AND(AS667=3,NOT(ISNUMBER(Flights!$AX$25))),"INVALID – enter carrying flight KUL departure (Flights AX)",IF(AND(AS667=3,OR(Flights!$AZ$25&gt;Flights!$AA$25,Flights!$AX$25&lt;Flights!$AA$25-3)),"INVALID – carrying flight (Flights AX) cannot arrive before this leg's STD, or is over 3 days early",IF(AG667&gt;AsOfUTC,"INVALID – completion time is in the future",IF(AND(ISNUMBER(BY667),AG667&lt;BY667),IF(H667="Physical uplift","INVALID – before uplift window (cannot confirm loading)","INVALID – before valid window"),IF(AG667&gt;Flights!$AA$25,"INVALID – completed after departure (cannot establish readiness)",IF(AND(H667="Preparation",AG667&gt;=IF(ISNUMBER(Flights!$BA$25),MIN(Flights!$BA$25,Flights!$AA$25),Flights!$AA$25)),"INVALID – completed after loading / departure (cannot establish readiness)",IF(AND(H667="Physical uplift",AG667&gt;Q667),"INVALID – recorded after the loading flight departed",IF(AG667&gt;Q667,"COMPLETE – LATE","COMPLETE"))))))))))))))))))))))))),IF(TRIM(U667)="Fail","FAIL – DISCREPANCY",IF(AND(TRIM(U667)&lt;&gt;"",TRIM(U667)&lt;&gt;"Not started",TRIM(U667)&lt;&gt;"In progress"),"INVALID – unrecognised status (use the list)",IF(AsOfUTC&gt;Q667,"OVERDUE",IF(N667="Clarification required","OPEN – CLARIFICATION","OPEN"))))))),"INVALID – error value in an input cell")</f>
        <v>N/A – RULE</v>
      </c>
      <c r="AI667" s="61" t="n">
        <f aca="false">IF(OR(AH667="N/A – RULE",AH667="N/A – JUSTIFIED"),0,1)</f>
        <v>0</v>
      </c>
      <c r="AJ667" s="61" t="n">
        <f aca="false">IF(LEFT(AH667,8)="COMPLETE",1,0)</f>
        <v>0</v>
      </c>
      <c r="AK667" s="61" t="n">
        <f aca="false">IF(AND(AI667=1,AJ667=0,AsOfUTC&gt;Q667),1,0)</f>
        <v>0</v>
      </c>
      <c r="AL667" s="61" t="n">
        <f aca="false">IFERROR(IF(AND(AI667=1,OR(TRIM(U667)="Fail",AND(TRIM(AB667)&lt;&gt;"",TRIM(AB667)&lt;&gt;"Closed"),AND(ISNUMBER(AF667),AF667&lt;&gt;0,TRIM(U667)&lt;&gt;"Pass after CA"))),1,0),1)</f>
        <v>0</v>
      </c>
      <c r="AM667" s="61" t="n">
        <f aca="false">IF(LEFT(AH667,7)="INVALID",1,0)</f>
        <v>0</v>
      </c>
      <c r="AN667" s="61" t="n">
        <f aca="false">IF(AND(N667="Clarification required",AI667=1,AJ667=0),1,0)</f>
        <v>0</v>
      </c>
      <c r="AO667" s="61" t="str">
        <f aca="false">IF(AK667=1,SUM(AK$5:AK667),"")</f>
        <v/>
      </c>
      <c r="AP667" s="61" t="str">
        <f aca="false">IF(AL667=1,SUM(AL$5:AL667),"")</f>
        <v/>
      </c>
      <c r="AQ667" s="61" t="n">
        <v>0</v>
      </c>
      <c r="AR667" s="61" t="n">
        <v>0</v>
      </c>
      <c r="AS667" s="61" t="n">
        <v>0</v>
      </c>
      <c r="AT667" s="61" t="n">
        <v>0</v>
      </c>
      <c r="AU667" s="61" t="str">
        <f aca="false">SUBSTITUTE(SUBSTITUTE(SUBSTITUTE(SUBSTITUTE(SUBSTITUTE(SUBSTITUTE(SUBSTITUTE(SUBSTITUTE(SUBSTITUTE(SUBSTITUTE(SUBSTITUTE(SUBSTITUTE(SUBSTITUTE(SUBSTITUTE(SUBSTITUTE(SUBSTITUTE(LOWER(T667&amp;""),CHAR(10),""),CHAR(13),""),CHAR(9),""),CHAR(160),"")," ",""),".",""),"-",""),"/",""),"?",""),"_",""),",",""),"[",""),"]",""),"(",""),")",""),"*","")</f>
        <v/>
      </c>
      <c r="AV667" s="61" t="str">
        <f aca="false">SUBSTITUTE(SUBSTITUTE(SUBSTITUTE(SUBSTITUTE(SUBSTITUTE(SUBSTITUTE(SUBSTITUTE(SUBSTITUTE(SUBSTITUTE(SUBSTITUTE(SUBSTITUTE(SUBSTITUTE(SUBSTITUTE(SUBSTITUTE(SUBSTITUTE(SUBSTITUTE(LOWER(V667&amp;""),CHAR(10),""),CHAR(13),""),CHAR(9),""),CHAR(160),"")," ",""),".",""),"-",""),"/",""),"?",""),"_",""),",",""),"[",""),"]",""),"(",""),")",""),"*","")</f>
        <v/>
      </c>
      <c r="AW667" s="61" t="str">
        <f aca="false">SUBSTITUTE(SUBSTITUTE(SUBSTITUTE(SUBSTITUTE(SUBSTITUTE(SUBSTITUTE(SUBSTITUTE(SUBSTITUTE(SUBSTITUTE(SUBSTITUTE(SUBSTITUTE(SUBSTITUTE(SUBSTITUTE(SUBSTITUTE(SUBSTITUTE(SUBSTITUTE(LOWER(Z667&amp;""),CHAR(10),""),CHAR(13),""),CHAR(9),""),CHAR(160),"")," ",""),".",""),"-",""),"/",""),"?",""),"_",""),",",""),"[",""),"]",""),"(",""),")",""),"*","")</f>
        <v/>
      </c>
      <c r="AX667" s="61" t="str">
        <f aca="false">SUBSTITUTE(SUBSTITUTE(SUBSTITUTE(SUBSTITUTE(SUBSTITUTE(SUBSTITUTE(SUBSTITUTE(SUBSTITUTE(SUBSTITUTE(SUBSTITUTE(SUBSTITUTE(SUBSTITUTE(SUBSTITUTE(SUBSTITUTE(SUBSTITUTE(SUBSTITUTE(LOWER(AE667&amp;""),CHAR(10),""),CHAR(13),""),CHAR(9),""),CHAR(160),"")," ",""),".",""),"-",""),"/",""),"?",""),"_",""),",",""),"[",""),"]",""),"(",""),")",""),"*","")</f>
        <v/>
      </c>
      <c r="AY667" s="61" t="str">
        <f aca="false">SUBSTITUTE(SUBSTITUTE(SUBSTITUTE(SUBSTITUTE(SUBSTITUTE(SUBSTITUTE(SUBSTITUTE(SUBSTITUTE(SUBSTITUTE(SUBSTITUTE(SUBSTITUTE(SUBSTITUTE(SUBSTITUTE(SUBSTITUTE(SUBSTITUTE(SUBSTITUTE(LOWER(W667&amp;""),CHAR(10),""),CHAR(13),""),CHAR(9),""),CHAR(160),"")," ",""),".",""),"-",""),"/",""),"?",""),"_",""),",",""),"[",""),"]",""),"(",""),")",""),"*","")</f>
        <v/>
      </c>
      <c r="AZ667" s="61" t="str">
        <f aca="false">SUBSTITUTE(SUBSTITUTE(SUBSTITUTE(SUBSTITUTE(SUBSTITUTE(SUBSTITUTE(SUBSTITUTE(SUBSTITUTE(SUBSTITUTE(SUBSTITUTE(SUBSTITUTE(SUBSTITUTE(SUBSTITUTE(SUBSTITUTE(SUBSTITUTE(SUBSTITUTE(LOWER(AC667&amp;""),CHAR(10),""),CHAR(13),""),CHAR(9),""),CHAR(160),"")," ",""),".",""),"-",""),"/",""),"?",""),"_",""),",",""),"[",""),"]",""),"(",""),")",""),"*","")</f>
        <v/>
      </c>
      <c r="BA667" s="61" t="str">
        <f aca="false">SUBSTITUTE(SUBSTITUTE(SUBSTITUTE(SUBSTITUTE(SUBSTITUTE(SUBSTITUTE(SUBSTITUTE(SUBSTITUTE(SUBSTITUTE(SUBSTITUTE(SUBSTITUTE(SUBSTITUTE(SUBSTITUTE(SUBSTITUTE(SUBSTITUTE(SUBSTITUTE(LOWER(AA667&amp;""),CHAR(10),""),CHAR(13),""),CHAR(9),""),CHAR(160),"")," ",""),".",""),"-",""),"/",""),"?",""),"_",""),",",""),"[",""),"]",""),"(",""),")",""),"*","")</f>
        <v/>
      </c>
      <c r="BB667" s="61" t="str">
        <f aca="false">IF(AND(TRIM(U667)="Pass",ISNUMBER(AF667)),IF(AF667&lt;&gt;0,"INVALID – qty variance: use Fail or Pass after CA",""),"")&amp;IF(AND(TRIM(U667)="Pass after CA",ISNUMBER(AF667)),IF(AF667&lt;&gt;0,"INVALID – after the corrective action the actual qty must equal expected (update Actual)",""),"")&amp;IF(AND(TRIM(U667)="Pass",TRIM(AB667)&lt;&gt;"",TRIM(AB667)&lt;&gt;"Closed"),"INVALID – corrective action not closed: use Fail, then Pass after CA","")&amp;IF(AND(LEN(BA667)&gt;=2,ISNA(MATCH(LEFT(BA667,255),L_Placeholder,0)),TRIM(AB667)=""),"INVALID – CA status missing for the recorded corrective action","")&amp;IF(AND(TRIM(U667)="Pass after CA",OR(OR(LEN(BA667)&lt;5,ISNUMBER(MATCH(BA667,L_Placeholder,0))),TRIM(AB667)&lt;&gt;"Closed")),"INVALID – corrective action not recorded/closed","")</f>
        <v/>
      </c>
      <c r="BC667" s="61" t="str">
        <f aca="false">" "&amp;TRIM(SUBSTITUTE(SUBSTITUTE(SUBSTITUTE(SUBSTITUTE(SUBSTITUTE(SUBSTITUTE(SUBSTITUTE(SUBSTITUTE(SUBSTITUTE(SUBSTITUTE(SUBSTITUTE(SUBSTITUTE(SUBSTITUTE(SUBSTITUTE(SUBSTITUTE(SUBSTITUTE(SUBSTITUTE(SUBSTITUTE(SUBSTITUTE(SUBSTITUTE(SUBSTITUTE(SUBSTITUTE(SUBSTITUTE(SUBSTITUTE(LOWER(V667&amp;""),CHAR(10)," "),CHAR(13)," "),CHAR(9)," "),CHAR(160)," "),"."," "),","," "),"-"," "),"/"," "),"("," "),")"," "),":"," "),";"," "),"_"," "),"–"," "),"?"," "),"!"," "),"*"," "),"["," "),"]"," "),"'"," "),"#"," "),"+"," "),"&amp;"," "),"\"," "))&amp;" "</f>
        <v>  </v>
      </c>
      <c r="BD667" s="61" t="str">
        <f aca="false">" "&amp;TRIM(SUBSTITUTE(SUBSTITUTE(SUBSTITUTE(SUBSTITUTE(SUBSTITUTE(SUBSTITUTE(SUBSTITUTE(SUBSTITUTE(SUBSTITUTE(SUBSTITUTE(SUBSTITUTE(SUBSTITUTE(SUBSTITUTE(SUBSTITUTE(SUBSTITUTE(SUBSTITUTE(SUBSTITUTE(SUBSTITUTE(SUBSTITUTE(SUBSTITUTE(SUBSTITUTE(SUBSTITUTE(SUBSTITUTE(SUBSTITUTE(LOWER(Z667&amp;""),CHAR(10)," "),CHAR(13)," "),CHAR(9)," "),CHAR(160)," "),"."," "),","," "),"-"," "),"/"," "),"("," "),")"," "),":"," "),";"," "),"_"," "),"–"," "),"?"," "),"!"," "),"*"," "),"["," "),"]"," "),"'"," "),"#"," "),"+"," "),"&amp;"," "),"\"," "))&amp;" "</f>
        <v>  </v>
      </c>
      <c r="BE667" s="61" t="str">
        <f aca="false">" "&amp;TRIM(SUBSTITUTE(SUBSTITUTE(SUBSTITUTE(SUBSTITUTE(SUBSTITUTE(SUBSTITUTE(SUBSTITUTE(SUBSTITUTE(SUBSTITUTE(SUBSTITUTE(SUBSTITUTE(SUBSTITUTE(SUBSTITUTE(SUBSTITUTE(SUBSTITUTE(SUBSTITUTE(SUBSTITUTE(SUBSTITUTE(SUBSTITUTE(SUBSTITUTE(SUBSTITUTE(SUBSTITUTE(SUBSTITUTE(SUBSTITUTE(LOWER(W667&amp;""),CHAR(10)," "),CHAR(13)," "),CHAR(9)," "),CHAR(160)," "),"."," "),","," "),"-"," "),"/"," "),"("," "),")"," "),":"," "),";"," "),"_"," "),"–"," "),"?"," "),"!"," "),"*"," "),"["," "),"]"," "),"'"," "),"#"," "),"+"," "),"&amp;"," "),"\"," "))&amp;" "</f>
        <v>  </v>
      </c>
      <c r="BF667" s="61" t="str">
        <f aca="false">" "&amp;TRIM(SUBSTITUTE(SUBSTITUTE(SUBSTITUTE(SUBSTITUTE(SUBSTITUTE(SUBSTITUTE(SUBSTITUTE(SUBSTITUTE(SUBSTITUTE(SUBSTITUTE(SUBSTITUTE(SUBSTITUTE(SUBSTITUTE(SUBSTITUTE(SUBSTITUTE(SUBSTITUTE(SUBSTITUTE(SUBSTITUTE(SUBSTITUTE(SUBSTITUTE(SUBSTITUTE(SUBSTITUTE(SUBSTITUTE(SUBSTITUTE(LOWER(AC667&amp;""),CHAR(10)," "),CHAR(13)," "),CHAR(9)," "),CHAR(160)," "),"."," "),","," "),"-"," "),"/"," "),"("," "),")"," "),":"," "),";"," "),"_"," "),"–"," "),"?"," "),"!"," "),"*"," "),"["," "),"]"," "),"'"," "),"#"," "),"+"," "),"&amp;"," "),"\"," "))&amp;" "</f>
        <v>  </v>
      </c>
      <c r="BG667" s="61" t="n">
        <f aca="false">IFERROR(IF(AND(TRIM(U667)="Pass",SUMPRODUCT((LEN(BC667)-LEN(SUBSTITUTE(BC667," "&amp;L_ResultBad&amp;" "," ")))/(LEN(L_ResultBad)+1))&gt;SUMPRODUCT((LEN(BC667)-LEN(SUBSTITUTE(BC667," "&amp;L_NegPhrase&amp;" "," ")))/(LEN(L_NegPhrase)+1))),1,0),0)</f>
        <v>0</v>
      </c>
      <c r="BH667" s="61" t="n">
        <f aca="false">IFERROR(IF(SUMPRODUCT((LEN(BC667)-LEN(SUBSTITUTE(BC667," "&amp;L_Pending&amp;" "," ")))/(LEN(L_Pending)+1))&gt;SUMPRODUCT((LEN(BC667)-LEN(SUBSTITUTE(BC667," "&amp;L_PendNeg&amp;" "," ")))/(LEN(L_PendNeg)+1))+SUMPRODUCT((LEN(BC667)-LEN(SUBSTITUTE(BC667," "&amp;L_PendPrep&amp;" "," ")))/(LEN(L_PendPrep)+1)),1,0),1)</f>
        <v>0</v>
      </c>
      <c r="BI667" s="61" t="n">
        <f aca="false">IFERROR(IF(SUMPRODUCT((LEN(BD667)-LEN(SUBSTITUTE(BD667," "&amp;L_PendStrict&amp;" "," ")))/(LEN(L_PendStrict)+1))&gt;SUMPRODUCT((LEN(BD667)-LEN(SUBSTITUTE(BD667," "&amp;L_PendNeg&amp;" "," ")))/(LEN(L_PendNeg)+1)),1,0),1)</f>
        <v>0</v>
      </c>
      <c r="BJ667" s="61" t="n">
        <f aca="false">IFERROR(IF(SUMPRODUCT((LEN(BE667)-LEN(SUBSTITUTE(BE667," "&amp;L_Pending&amp;" "," ")))/(LEN(L_Pending)+1))&gt;SUMPRODUCT((LEN(BE667)-LEN(SUBSTITUTE(BE667," "&amp;L_PendNeg&amp;" "," ")))/(LEN(L_PendNeg)+1))+SUMPRODUCT((LEN(BE667)-LEN(SUBSTITUTE(BE667," "&amp;L_PendPrep&amp;" "," ")))/(LEN(L_PendPrep)+1)),1,0),1)</f>
        <v>0</v>
      </c>
      <c r="BK667" s="61" t="n">
        <f aca="false">IFERROR(IF(SUMPRODUCT((LEN(BF667)-LEN(SUBSTITUTE(BF667," "&amp;L_PendStrict&amp;" "," ")))/(LEN(L_PendStrict)+1))&gt;SUMPRODUCT((LEN(BF667)-LEN(SUBSTITUTE(BF667," "&amp;L_PendNeg&amp;" "," ")))/(LEN(L_PendNeg)+1)),1,0),1)</f>
        <v>0</v>
      </c>
      <c r="BL667" s="61" t="n">
        <f aca="false">IF(ISNA(MATCH(TRIM(S667),L_EvidenceType,0)),0,BZ667)</f>
        <v>0</v>
      </c>
      <c r="BM667" s="61" t="str">
        <f aca="false">SUBSTITUTE(SUBSTITUTE(SUBSTITUTE(SUBSTITUTE(SUBSTITUTE(SUBSTITUTE(SUBSTITUTE(SUBSTITUTE(SUBSTITUTE(LOWER(Z667&amp;""),"1","0"),"2","0"),"3","0"),"4","0"),"5","0"),"6","0"),"7","0"),"8","0"),"9","0")</f>
        <v/>
      </c>
      <c r="BN667" s="61" t="str">
        <f aca="false">SUBSTITUTE(SUBSTITUTE(SUBSTITUTE(SUBSTITUTE(SUBSTITUTE(SUBSTITUTE(SUBSTITUTE(SUBSTITUTE(SUBSTITUTE(SUBSTITUTE(SUBSTITUTE(SUBSTITUTE(SUBSTITUTE(SUBSTITUTE(SUBSTITUTE(SUBSTITUTE(SUBSTITUTE(SUBSTITUTE(SUBSTITUTE(SUBSTITUTE(SUBSTITUTE(SUBSTITUTE(SUBSTITUTE(SUBSTITUTE(SUBSTITUTE(BM667,"b","a"),"c","a"),"d","a"),"e","a"),"f","a"),"g","a"),"h","a"),"i","a"),"j","a"),"k","a"),"l","a"),"m","a"),"n","a"),"o","a"),"p","a"),"q","a"),"r","a"),"s","a"),"t","a"),"u","a"),"v","a"),"w","a"),"x","a"),"y","a"),"z","a")</f>
        <v/>
      </c>
      <c r="BO667" s="61" t="str">
        <f aca="false">SUBSTITUTE(SUBSTITUTE(SUBSTITUTE(SUBSTITUTE(SUBSTITUTE(SUBSTITUTE(SUBSTITUTE(SUBSTITUTE(SUBSTITUTE(LOWER(W667&amp;""),"1","0"),"2","0"),"3","0"),"4","0"),"5","0"),"6","0"),"7","0"),"8","0"),"9","0")</f>
        <v/>
      </c>
      <c r="BP667" s="61" t="str">
        <f aca="false">SUBSTITUTE(SUBSTITUTE(SUBSTITUTE(SUBSTITUTE(SUBSTITUTE(SUBSTITUTE(SUBSTITUTE(SUBSTITUTE(SUBSTITUTE(SUBSTITUTE(SUBSTITUTE(SUBSTITUTE(SUBSTITUTE(SUBSTITUTE(SUBSTITUTE(SUBSTITUTE(SUBSTITUTE(SUBSTITUTE(SUBSTITUTE(SUBSTITUTE(SUBSTITUTE(SUBSTITUTE(SUBSTITUTE(SUBSTITUTE(SUBSTITUTE(BO667,"b","a"),"c","a"),"d","a"),"e","a"),"f","a"),"g","a"),"h","a"),"i","a"),"j","a"),"k","a"),"l","a"),"m","a"),"n","a"),"o","a"),"p","a"),"q","a"),"r","a"),"s","a"),"t","a"),"u","a"),"v","a"),"w","a"),"x","a"),"y","a"),"z","a")</f>
        <v/>
      </c>
      <c r="BQ667" s="61" t="n">
        <f aca="false">IFERROR(IF(AND(ISERROR(SEARCH(" mh"," "&amp;LOWER(W667))),ISNA(MATCH(LEFT(TRIM(BP667),255),{"0000a","000a","00a","0000aa","000aa","00aa","0aa","0000aaa","000aaa","00a00","0a00","0000-0000","00:00","a00","a0","00.00.0000","00/00/0000","00-00-0000","0000-00-00","0000/00/00","0000.00.00","00.00.00","00/00/00","00-00-00","0.00.0000","0/00/0000","0-00-0000"},0)),ISNA(MATCH(LEFT(TRIM(CA667),255),{"0000a","000a","00a","0000aa","000aa","00aa","0aa","0000aaa","000aaa","00a00","0a00","0000-0000","00:00","a00","a0","00.00.0000","00/00/0000","00-00-0000","0000-00-00","0000/00/00","0000.00.00","00.00.00","00/00/00","00-00-00","0.00.0000","0/00/0000","0-00-0000"},0)),LEN(CB667)&gt;=3,NOT(OR(SUBSTITUTE(CB667,"0","")="",AND(LEN(CB667)&gt;=4,CB667=REPT(LEFT(CB667),LEN(CB667))),ISNUMBER(MATCH(CB667,{"123","1234","12345","123456","1234567","12345678","0123","01234","012345","98765","987654","54321"},0)),AND(LEN(CB667)=8,LEFT(CB667,3)="202"))),OR(AND((LEN(CA667)-LEN(SUBSTITUTE(CA667,"a","")))&gt;=1,SUMPRODUCT(--ISNUMBER(SEARCH({"a0","a-0","a_0","a/0","a.0","a#0","0a","0-a","0_a","0/a"},BP667)))&gt;0),ISNUMBER(SEARCH("000000",BP667)))),1,0),0)</f>
        <v>0</v>
      </c>
      <c r="BR667" s="61" t="n">
        <f aca="false">IFERROR(LEN(SUBSTITUTE(CC667," ",""))-SUMPRODUCT((LEN(CC667)-LEN(SUBSTITUTE(CC667," "&amp;L_Role&amp;" "," ")))/(LEN(L_Role)+1)*LEN(L_Role)),0)</f>
        <v>0</v>
      </c>
      <c r="BS667" s="61" t="n">
        <f aca="false">IFERROR(LEN(SUBSTITUTE(CD667," ",""))-SUMPRODUCT((LEN(CD667)-LEN(SUBSTITUTE(CD667," "&amp;L_Role&amp;" "," ")))/(LEN(L_Role)+1)*LEN(L_Role)),0)</f>
        <v>0</v>
      </c>
      <c r="BT6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667,"revision",""),"version",""),"jan",""),"feb",""),"mar",""),"apr",""),"may",""),"jun",""),"jul",""),"aug",""),"sep",""),"oct",""),"nov",""),"dec",""),"utc",""),"gmt",""),"myt",""),"bst",""),"rev",""),"ver",""),"b","a"),"c","a"),"d","a"),"e","a"),"f","a"),"g","a"),"h","a"),"i","a"),"j","a"),"k","a"),"l","a"),"m","a"),"n","a"),"o","a"),"p","a"),"q","a"),"r","a"),"s","a"),"t","a"),"u","a"),"v","a"),"w","a"),"x","a"),"y","a"),"z","a")</f>
        <v/>
      </c>
      <c r="BU667" s="61" t="str">
        <f aca="false">SUBSTITUTE(SUBSTITUTE(SUBSTITUTE(SUBSTITUTE(SUBSTITUTE(SUBSTITUTE(SUBSTITUTE(SUBSTITUTE(SUBSTITUTE(SUBSTITUTE(LEFT(BM667,FIND("0",BM667&amp;"0")-1),"-",""),"_",""),"/",""),".",""),"#",""),"\\",""),":","")," ",""),"(",""),")","")</f>
        <v/>
      </c>
      <c r="BV667" s="61" t="n">
        <f aca="false">0</f>
        <v>0</v>
      </c>
      <c r="BW66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667&amp;""),"a",""),"b",""),"c",""),"d",""),"e",""),"f",""),"g",""),"h",""),"i",""),"j",""),"k",""),"l",""),"m",""),"n",""),"o",""),"p",""),"q",""),"r",""),"s",""),"t",""),"u",""),"v",""),"w",""),"x",""),"y",""),"z",""),"-",""),"_",""),"/",""),".",""),"#",""),"\\",""),":","")," ",""),"(",""),")","")</f>
        <v/>
      </c>
      <c r="BX667" s="61" t="str">
        <f aca="false">SUBSTITUTE(SUBSTITUTE(SUBSTITUTE(SUBSTITUTE(SUBSTITUTE(SUBSTITUTE(SUBSTITUTE(SUBSTITUTE(SUBSTITUTE(SUBSTITUTE(SUBSTITUTE(BM667,"0",""),"-",""),"_",""),"/",""),".",""),"#",""),"\\",""),":","")," ",""),"(",""),")","")</f>
        <v/>
      </c>
      <c r="BY667" s="62" t="n">
        <f aca="false">Q667-T7EarlyD*24/24</f>
        <v>46304.28125</v>
      </c>
      <c r="BZ667" s="61" t="n">
        <f aca="false">IFERROR(IF(IF(TRIM(S667)="Link / file path",AND(LEN(TRIM(Z667))&gt;=5,SUMPRODUCT(--ISNUMBER(SEARCH({"http","www.","\\",":\",".pdf",".jpg",".jpeg",".png",".heic",".xls",".doc",".msg",".eml",".ppt",".txt",".zip"},Z667)))&gt;0),AND(ISERROR(FIND(" ",TRIM(Z667))),NOT(OR(SUMPRODUCT(--ISNUMBER(FIND({",",";","&amp;","+"},Z667)))&gt;0,SUMPRODUCT(--ISNUMBER(SEARCH({"0/aa","0\\aa"},BN667)))&gt;0)),NOT(SUMPRODUCT(--ISNUMBER(SEARCH({"http","www.","\\",":\",".pdf",".jpg",".jpeg",".png",".heic",".xls",".doc",".msg",".eml",".ppt",".txt",".zip"},Z667)))&gt;0),NOT(LOWER(TRIM(Z667))=LOWER(Flights!$F$25)),ISNA(MATCH(BU667,{"mh","rev","revision","ver","version","v","r","a","b","seat","tray","row","gate","bay","stand","page","pg","item","line","no","cart","galley","flight","flt","table","box","bag","oven","etd","eta","std","sta","atd","ata","qty","pax","x","time","tel","ph","mob","day","wk","week","utc","gmt","myt","lt"},0)),NOT(OR(ISNUMBER(MATCH(LEFT(BN667,255),{"0000a","000a","00a","0000aa","000aa","00aa","0aa","0000aaa","000aaa","00a00","0a00","0000-0000","00:00","a00","a0","00.00.0000","00/00/0000","00-00-0000","0000-00-00","0000/00/00","0000.00.00","00.00.00","00/00/00","00-00-00","0.00.0000","0/00/0000","0-00-0000"},0)),ISNUMBER(MATCH(LEFT(BT667,255),{"0000a","000a","00a","0000aa","000aa","00aa","0aa","0000aaa","000aaa","00a00","0a00","0000-0000","00:00","a00","a0","00.00.0000","00/00/0000","00-00-0000","0000-00-00","0000/00/00","0000.00.00","00.00.00","00/00/00","00-00-00","0.00.0000","0/00/0000","0-00-0000"},0)))),NOT(OR(AND(BW667&lt;&gt;"",SUBSTITUTE(BW667,"0","")=""),AND(LEN(BW667)&gt;=4,BW667=REPT(LEFT(BW667),LEN(BW667))),ISNUMBER(MATCH(BW667,{"123","1234","12345","123456","1234567","12345678","0123","01234","012345","98765","987654","54321"},0)),ISNUMBER(MATCH(BX667,{"x","xx","xxx","xxxx","xxxxx","abc","abcd","nil","na","nan","test","tbc","tba","tbd","dummy","sample","example","eg","zz","zzz","none","null","xyz","qwe","asd","id","ref"},0)),AND(LEN(BW667)=8,BX667="",OR(LEFT(BW667,3)="202",ISNUMBER(MATCH(RIGHT(BW667,4),{"2025","2026","2027"},0)))))),OR(AND((LEN(BT667)-LEN(SUBSTITUTE(BT667,"a","")))&gt;=1,(LEN(BN667)-LEN(SUBSTITUTE(BN667,"0","")))&gt;=2,SUMPRODUCT(--ISNUMBER(SEARCH({"a0","a-0","a_0","a/0","a.0","a#0","0a","0-a","0_a","0/a"},BN667)))&gt;0),AND((LEN(BN667)-LEN(SUBSTITUTE(BN667,"a","")))=0,(LEN(BN667)-LEN(SUBSTITUTE(BN667,"0","")))&gt;=5)))),1,0),0)</f>
        <v>0</v>
      </c>
      <c r="CA6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667,"revision",""),"version",""),"jan",""),"feb",""),"mar",""),"apr",""),"may",""),"jun",""),"jul",""),"aug",""),"sep",""),"oct",""),"nov",""),"dec",""),"utc",""),"gmt",""),"myt",""),"bst",""),"rev",""),"ver",""),"b","a"),"c","a"),"d","a"),"e","a"),"f","a"),"g","a"),"h","a"),"i","a"),"j","a"),"k","a"),"l","a"),"m","a"),"n","a"),"o","a"),"p","a"),"q","a"),"r","a"),"s","a"),"t","a"),"u","a"),"v","a"),"w","a"),"x","a"),"y","a"),"z","a")</f>
        <v/>
      </c>
      <c r="CB66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667&amp;""),"a",""),"b",""),"c",""),"d",""),"e",""),"f",""),"g",""),"h",""),"i",""),"j",""),"k",""),"l",""),"m",""),"n",""),"o",""),"p",""),"q",""),"r",""),"s",""),"t",""),"u",""),"v",""),"w",""),"x",""),"y",""),"z",""),"-",""),"_",""),"/",""),".",""),"#",""),"\\",""),":","")," ",""),"(",""),")","")</f>
        <v/>
      </c>
      <c r="CC667" s="0" t="str">
        <f aca="false">" "&amp;TRIM(SUBSTITUTE(SUBSTITUTE(SUBSTITUTE(SUBSTITUTE(SUBSTITUTE(SUBSTITUTE(SUBSTITUTE(SUBSTITUTE(SUBSTITUTE(SUBSTITUTE(SUBSTITUTE(SUBSTITUTE(SUBSTITUTE(SUBSTITUTE(SUBSTITUTE(SUBSTITUTE(SUBSTITUTE(SUBSTITUTE(SUBSTITUTE(SUBSTITUTE(SUBSTITUTE(SUBSTITUTE(SUBSTITUTE(SUBSTITUTE(LOWER(T667&amp;""),CHAR(10)," "),CHAR(13)," "),CHAR(9)," "),CHAR(160)," "),"."," "),","," "),"-"," "),"/"," "),"("," "),")"," "),":"," "),";"," "),"_"," "),"–"," "),"?"," "),"!"," "),"*"," "),"["," "),"]"," "),"'"," "),"#"," "),"+"," "),"&amp;"," "),"\"," "))&amp;" "</f>
        <v>  </v>
      </c>
      <c r="CD667" s="0" t="str">
        <f aca="false">" "&amp;TRIM(SUBSTITUTE(SUBSTITUTE(SUBSTITUTE(SUBSTITUTE(SUBSTITUTE(SUBSTITUTE(SUBSTITUTE(SUBSTITUTE(SUBSTITUTE(SUBSTITUTE(SUBSTITUTE(SUBSTITUTE(SUBSTITUTE(SUBSTITUTE(SUBSTITUTE(SUBSTITUTE(SUBSTITUTE(SUBSTITUTE(SUBSTITUTE(SUBSTITUTE(SUBSTITUTE(SUBSTITUTE(SUBSTITUTE(SUBSTITUTE(LOWER(AE667&amp;""),CHAR(10)," "),CHAR(13)," "),CHAR(9)," "),CHAR(160)," "),"."," "),","," "),"-"," "),"/"," "),"("," "),")"," "),":"," "),";"," "),"_"," "),"–"," "),"?"," "),"!"," "),"*"," "),"["," "),"]"," "),"'"," "),"#"," "),"+"," "),"&amp;"," "),"\"," "))&amp;" "</f>
        <v>  </v>
      </c>
      <c r="CE667" s="68" t="n">
        <f aca="false">IFERROR(IF(AND(LEN(AU667)&gt;0,LEN(AU667)=LEN(AX667),OR(TRIM(MID(SUBSTITUTE(TRIM(CC667)," ",REPT(" ",60)),1,60))="",ISNUMBER(SEARCH(" "&amp;TRIM(MID(SUBSTITUTE(TRIM(CC667)," ",REPT(" ",60)),1,60))&amp;" ",CD667))),OR(TRIM(MID(SUBSTITUTE(TRIM(CC667)," ",REPT(" ",60)),61,60))="",ISNUMBER(SEARCH(" "&amp;TRIM(MID(SUBSTITUTE(TRIM(CC667)," ",REPT(" ",60)),61,60))&amp;" ",CD667))),OR(TRIM(MID(SUBSTITUTE(TRIM(CC667)," ",REPT(" ",60)),121,60))="",ISNUMBER(SEARCH(" "&amp;TRIM(MID(SUBSTITUTE(TRIM(CC667)," ",REPT(" ",60)),121,60))&amp;" ",CD667)))),1,0),0)</f>
        <v>0</v>
      </c>
      <c r="CG667" s="68" t="n">
        <f aca="false">IFERROR(LEN(SUBSTITUTE(BF667," ",""))-SUMPRODUCT((LEN(BF667)-LEN(SUBSTITUTE(BF667," "&amp;L_NAFiller&amp;" "," ")))/(LEN(L_NAFiller)+1)*LEN(L_NAFiller)),0)</f>
        <v>0</v>
      </c>
    </row>
    <row r="668" customFormat="false" ht="39.75" hidden="false" customHeight="true" outlineLevel="0" collapsed="false">
      <c r="A668" s="57" t="s">
        <v>1388</v>
      </c>
      <c r="B668" s="57" t="s">
        <v>310</v>
      </c>
      <c r="C668" s="57" t="str">
        <f aca="false">Flights!$F$25</f>
        <v>MH1437</v>
      </c>
      <c r="D668" s="58" t="n">
        <f aca="false">Flights!$D$25</f>
        <v>46325</v>
      </c>
      <c r="E668" s="57" t="str">
        <f aca="false">Flights!$G$25&amp;"-"&amp;Flights!$H$25</f>
        <v>LGK-KUL</v>
      </c>
      <c r="F668" s="57" t="str">
        <f aca="false">Flights!$K$25</f>
        <v>BC</v>
      </c>
      <c r="G668" s="57" t="s">
        <v>81</v>
      </c>
      <c r="H668" s="57" t="s">
        <v>378</v>
      </c>
      <c r="I668" s="57" t="s">
        <v>394</v>
      </c>
      <c r="J668" s="57" t="s">
        <v>395</v>
      </c>
      <c r="K668" s="67" t="s">
        <v>396</v>
      </c>
      <c r="L668" s="67" t="s">
        <v>382</v>
      </c>
      <c r="M668" s="67"/>
      <c r="N668" s="67" t="s">
        <v>383</v>
      </c>
      <c r="O668" s="67"/>
      <c r="P668" s="57" t="s">
        <v>187</v>
      </c>
      <c r="Q668" s="59" t="n">
        <f aca="false">ROUND((Flights!$AC$25)*1440,0)/1440</f>
        <v>46318.28125</v>
      </c>
      <c r="R668" s="59" t="n">
        <f aca="false">Q668+(IF(AND(INDEX(TZ_DSTS,MATCH(P668,TZ_STN,0))&lt;&gt;"",Q668&gt;=INDEX(TZ_DSTS,MATCH(P668,TZ_STN,0)),Q668&lt;INDEX(TZ_DSTE,MATCH(P668,TZ_STN,0))),INDEX(TZ_DST,MATCH(P668,TZ_STN,0)),INDEX(TZ_STD,MATCH(P668,TZ_STN,0))))/24</f>
        <v>46318.6145833333</v>
      </c>
      <c r="S668" s="60"/>
      <c r="T668" s="60"/>
      <c r="U668" s="60"/>
      <c r="V668" s="60"/>
      <c r="W668" s="61"/>
      <c r="X668" s="60"/>
      <c r="Y668" s="60"/>
      <c r="Z668" s="60"/>
      <c r="AA668" s="60"/>
      <c r="AB668" s="60"/>
      <c r="AC668" s="60"/>
      <c r="AD668" s="66"/>
      <c r="AE668" s="60"/>
      <c r="AF668" s="61" t="str">
        <f aca="false">IF(AND(ISNUMBER(X668),ISNUMBER(Y668)),Y668-X668,"")</f>
        <v/>
      </c>
      <c r="AG668" s="62" t="str">
        <f aca="false">IF(ISNUMBER(AD668),AD668-(IF(AND(INDEX(TZ_DSTS,MATCH(P668,TZ_STN,0))&lt;&gt;"",(AD668-INDEX(TZ_STD,MATCH(P668,TZ_STN,0))/24)&gt;=INDEX(TZ_DSTS,MATCH(P668,TZ_STN,0)),(AD668-INDEX(TZ_STD,MATCH(P668,TZ_STN,0))/24)&lt;INDEX(TZ_DSTE,MATCH(P668,TZ_STN,0))),INDEX(TZ_DST,MATCH(P668,TZ_STN,0)),INDEX(TZ_STD,MATCH(P668,TZ_STN,0))))/24,"")</f>
        <v/>
      </c>
      <c r="AH668" s="65" t="str">
        <f aca="false">IFERROR(IF(N668="N/A – rule",IF(OR(TRIM(U668)="",TRIM(U668)="N/A",TRIM(U668)="Not started"),"N/A – RULE","INVALID – this check does not apply to this aircraft: clear the status (or correct the fleet on Flights)"),IF(TRIM(U668)="N/A",IF(AT668=0,"INVALID – N/A not permitted for this check",IF(AND(TRIM(AB668)&lt;&gt;"",TRIM(AB668)&lt;&gt;"Closed"),"INVALID – corrective action still open",IF(AND(NOT(OR(LEN(AZ668)&lt;15,ISNUMBER(MATCH(AZ668,L_Placeholder,0)))),BK668=0,CG668&gt;=8,NOT(OR(LEN(AU668)&lt;2,ISNUMBER(MATCH(AU668,L_Placeholder,0)))),BR668&gt;=3,NOT(OR(LEN(AX668)&lt;2,ISNUMBER(MATCH(AX668,L_Placeholder,0)))),BS668&gt;=3,TRIM(AE668)&lt;&gt;TRIM(T668),AX668&lt;&gt;AU668,CE668=0),"N/A – JUSTIFIED","INVALID – N/A needs a real, settled reason (not 'not applicable' / 'as above' / TBC), a named PIC and a different named verifier"))),IF(OR(TRIM(U668)="Pass",TRIM(U668)="Pass after CA"),IF(NOT(ISNUMBER(AD668)),"INVALID – completion time missing",IF(OR(OR(LEN(AU668)&lt;2,ISNUMBER(MATCH(AU668,L_Placeholder,0))),BR668&lt;3),"INVALID – PIC missing or not a named person (a role such as QA / CSM is not a name)",IF(OR(LEN(AV668)&lt;2,ISNUMBER(MATCH(AV668,L_Placeholder,0))),"INVALID – result / assessment missing",IF(OR(OR(LEN(AW668)&lt;3,ISNUMBER(MATCH(AW668,L_Placeholder,0))),SUMPRODUCT(--ISNUMBER(SEARCH(" "&amp;L_EvidencePhrase&amp;" ",BD668)))&gt;0,BI668=1),"INVALID – evidence missing, placeholder or not yet on file",IF(ISNA(MATCH(TRIM(S668),L_EvidenceType,0)),"INVALID – choose the evidence type from the list (column S)",IF(BL668=0,"INVALID – evidence ID must be the record's own ID only (e.g. SF-2210, IMG_2231, 1045521); a link / file name needs type 'Link / file path'",IF(OR(OR(LEN(AX668)&lt;2,ISNUMBER(MATCH(AX668,L_Placeholder,0))),BS668&lt;3),"INVALID – verifier missing or not a named person (a role such as QA / CSM is not a name)",IF(OR(AX668=AU668,CE668=1,AND(LEN(AU668)&gt;=4,ISNUMBER(SEARCH(AU668,AX668))),AND(LEN(AX668)&gt;=4,ISNUMBER(SEARCH(AX668,AU668)))),"INVALID – verifier must be a different, named person (not the PIC or a role)",IF(BH668=1,"INVALID – result not yet available (awaiting / TBC)",IF(BG668=1,"INVALID – result describes a problem: record Fail, then Pass after CA (or reword if it is not a problem)",IF(BV668=1,"INVALID – wording says not on board: an on-board confirmation needs the item loaded",IF(AND(AQ668=1,OR(OR(LEN(AY668)&lt;3,ISNUMBER(MATCH(AY668,L_Placeholder,0))),BJ668=1,BQ668=0)),"INVALID – batch ID missing, placeholder or not an ID (e.g. PASB-261008-BC-017)",IF(AND(AR668=1,OR(NOT(ISNUMBER(X668)),NOT(ISNUMBER(Y668)))),"INVALID – expected/actual qty missing",IF(AND(AR668=1,OR(X668&lt;=0,Y668&lt;0)),"INVALID – expected qty must be above 0 and actual not negative",IF(BB668&lt;&gt;"",BB668,IF(AND(AS668=1,Documents!$J$25&lt;&gt;"ON FILE"),"INVALID – GLD not on file (Documents sheet)",IF(AND(AS668=2,Documents!$O$25&lt;&gt;"ON FILE"),"INVALID – menu checklist not on file (Documents sheet)",IF(AND(AS668=3,NOT(ISNUMBER(Flights!$AX$25))),"INVALID – enter carrying flight KUL departure (Flights AX)",IF(AND(AS668=3,OR(Flights!$AZ$25&gt;Flights!$AA$25,Flights!$AX$25&lt;Flights!$AA$25-3)),"INVALID – carrying flight (Flights AX) cannot arrive before this leg's STD, or is over 3 days early",IF(AG668&gt;AsOfUTC,"INVALID – completion time is in the future",IF(AND(ISNUMBER(BY668),AG668&lt;BY668),IF(H668="Physical uplift","INVALID – before uplift window (cannot confirm loading)","INVALID – before valid window"),IF(AG668&gt;Flights!$AA$25,"INVALID – completed after departure (cannot establish readiness)",IF(AND(H668="Preparation",AG668&gt;=IF(ISNUMBER(Flights!$BA$25),MIN(Flights!$BA$25,Flights!$AA$25),Flights!$AA$25)),"INVALID – completed after loading / departure (cannot establish readiness)",IF(AND(H668="Physical uplift",AG668&gt;Q668),"INVALID – recorded after the loading flight departed",IF(AG668&gt;Q668,"COMPLETE – LATE","COMPLETE"))))))))))))))))))))))))),IF(TRIM(U668)="Fail","FAIL – DISCREPANCY",IF(AND(TRIM(U668)&lt;&gt;"",TRIM(U668)&lt;&gt;"Not started",TRIM(U668)&lt;&gt;"In progress"),"INVALID – unrecognised status (use the list)",IF(AsOfUTC&gt;Q668,"OVERDUE",IF(N668="Clarification required","OPEN – CLARIFICATION","OPEN"))))))),"INVALID – error value in an input cell")</f>
        <v>OPEN</v>
      </c>
      <c r="AI668" s="61" t="n">
        <f aca="false">IF(OR(AH668="N/A – RULE",AH668="N/A – JUSTIFIED"),0,1)</f>
        <v>1</v>
      </c>
      <c r="AJ668" s="61" t="n">
        <f aca="false">IF(LEFT(AH668,8)="COMPLETE",1,0)</f>
        <v>0</v>
      </c>
      <c r="AK668" s="61" t="n">
        <f aca="false">IF(AND(AI668=1,AJ668=0,AsOfUTC&gt;Q668),1,0)</f>
        <v>0</v>
      </c>
      <c r="AL668" s="61" t="n">
        <f aca="false">IFERROR(IF(AND(AI668=1,OR(TRIM(U668)="Fail",AND(TRIM(AB668)&lt;&gt;"",TRIM(AB668)&lt;&gt;"Closed"),AND(ISNUMBER(AF668),AF668&lt;&gt;0,TRIM(U668)&lt;&gt;"Pass after CA"))),1,0),1)</f>
        <v>0</v>
      </c>
      <c r="AM668" s="61" t="n">
        <f aca="false">IF(LEFT(AH668,7)="INVALID",1,0)</f>
        <v>0</v>
      </c>
      <c r="AN668" s="61" t="n">
        <f aca="false">IF(AND(N668="Clarification required",AI668=1,AJ668=0),1,0)</f>
        <v>0</v>
      </c>
      <c r="AO668" s="61" t="str">
        <f aca="false">IF(AK668=1,SUM(AK$5:AK668),"")</f>
        <v/>
      </c>
      <c r="AP668" s="61" t="str">
        <f aca="false">IF(AL668=1,SUM(AL$5:AL668),"")</f>
        <v/>
      </c>
      <c r="AQ668" s="61" t="n">
        <v>0</v>
      </c>
      <c r="AR668" s="61" t="n">
        <v>0</v>
      </c>
      <c r="AS668" s="61" t="n">
        <v>0</v>
      </c>
      <c r="AT668" s="61" t="n">
        <v>0</v>
      </c>
      <c r="AU668" s="61" t="str">
        <f aca="false">SUBSTITUTE(SUBSTITUTE(SUBSTITUTE(SUBSTITUTE(SUBSTITUTE(SUBSTITUTE(SUBSTITUTE(SUBSTITUTE(SUBSTITUTE(SUBSTITUTE(SUBSTITUTE(SUBSTITUTE(SUBSTITUTE(SUBSTITUTE(SUBSTITUTE(SUBSTITUTE(LOWER(T668&amp;""),CHAR(10),""),CHAR(13),""),CHAR(9),""),CHAR(160),"")," ",""),".",""),"-",""),"/",""),"?",""),"_",""),",",""),"[",""),"]",""),"(",""),")",""),"*","")</f>
        <v/>
      </c>
      <c r="AV668" s="61" t="str">
        <f aca="false">SUBSTITUTE(SUBSTITUTE(SUBSTITUTE(SUBSTITUTE(SUBSTITUTE(SUBSTITUTE(SUBSTITUTE(SUBSTITUTE(SUBSTITUTE(SUBSTITUTE(SUBSTITUTE(SUBSTITUTE(SUBSTITUTE(SUBSTITUTE(SUBSTITUTE(SUBSTITUTE(LOWER(V668&amp;""),CHAR(10),""),CHAR(13),""),CHAR(9),""),CHAR(160),"")," ",""),".",""),"-",""),"/",""),"?",""),"_",""),",",""),"[",""),"]",""),"(",""),")",""),"*","")</f>
        <v/>
      </c>
      <c r="AW668" s="61" t="str">
        <f aca="false">SUBSTITUTE(SUBSTITUTE(SUBSTITUTE(SUBSTITUTE(SUBSTITUTE(SUBSTITUTE(SUBSTITUTE(SUBSTITUTE(SUBSTITUTE(SUBSTITUTE(SUBSTITUTE(SUBSTITUTE(SUBSTITUTE(SUBSTITUTE(SUBSTITUTE(SUBSTITUTE(LOWER(Z668&amp;""),CHAR(10),""),CHAR(13),""),CHAR(9),""),CHAR(160),"")," ",""),".",""),"-",""),"/",""),"?",""),"_",""),",",""),"[",""),"]",""),"(",""),")",""),"*","")</f>
        <v/>
      </c>
      <c r="AX668" s="61" t="str">
        <f aca="false">SUBSTITUTE(SUBSTITUTE(SUBSTITUTE(SUBSTITUTE(SUBSTITUTE(SUBSTITUTE(SUBSTITUTE(SUBSTITUTE(SUBSTITUTE(SUBSTITUTE(SUBSTITUTE(SUBSTITUTE(SUBSTITUTE(SUBSTITUTE(SUBSTITUTE(SUBSTITUTE(LOWER(AE668&amp;""),CHAR(10),""),CHAR(13),""),CHAR(9),""),CHAR(160),"")," ",""),".",""),"-",""),"/",""),"?",""),"_",""),",",""),"[",""),"]",""),"(",""),")",""),"*","")</f>
        <v/>
      </c>
      <c r="AY668" s="61" t="str">
        <f aca="false">SUBSTITUTE(SUBSTITUTE(SUBSTITUTE(SUBSTITUTE(SUBSTITUTE(SUBSTITUTE(SUBSTITUTE(SUBSTITUTE(SUBSTITUTE(SUBSTITUTE(SUBSTITUTE(SUBSTITUTE(SUBSTITUTE(SUBSTITUTE(SUBSTITUTE(SUBSTITUTE(LOWER(W668&amp;""),CHAR(10),""),CHAR(13),""),CHAR(9),""),CHAR(160),"")," ",""),".",""),"-",""),"/",""),"?",""),"_",""),",",""),"[",""),"]",""),"(",""),")",""),"*","")</f>
        <v/>
      </c>
      <c r="AZ668" s="61" t="str">
        <f aca="false">SUBSTITUTE(SUBSTITUTE(SUBSTITUTE(SUBSTITUTE(SUBSTITUTE(SUBSTITUTE(SUBSTITUTE(SUBSTITUTE(SUBSTITUTE(SUBSTITUTE(SUBSTITUTE(SUBSTITUTE(SUBSTITUTE(SUBSTITUTE(SUBSTITUTE(SUBSTITUTE(LOWER(AC668&amp;""),CHAR(10),""),CHAR(13),""),CHAR(9),""),CHAR(160),"")," ",""),".",""),"-",""),"/",""),"?",""),"_",""),",",""),"[",""),"]",""),"(",""),")",""),"*","")</f>
        <v/>
      </c>
      <c r="BA668" s="61" t="str">
        <f aca="false">SUBSTITUTE(SUBSTITUTE(SUBSTITUTE(SUBSTITUTE(SUBSTITUTE(SUBSTITUTE(SUBSTITUTE(SUBSTITUTE(SUBSTITUTE(SUBSTITUTE(SUBSTITUTE(SUBSTITUTE(SUBSTITUTE(SUBSTITUTE(SUBSTITUTE(SUBSTITUTE(LOWER(AA668&amp;""),CHAR(10),""),CHAR(13),""),CHAR(9),""),CHAR(160),"")," ",""),".",""),"-",""),"/",""),"?",""),"_",""),",",""),"[",""),"]",""),"(",""),")",""),"*","")</f>
        <v/>
      </c>
      <c r="BB668" s="61" t="str">
        <f aca="false">IF(AND(TRIM(U668)="Pass",ISNUMBER(AF668)),IF(AF668&lt;&gt;0,"INVALID – qty variance: use Fail or Pass after CA",""),"")&amp;IF(AND(TRIM(U668)="Pass after CA",ISNUMBER(AF668)),IF(AF668&lt;&gt;0,"INVALID – after the corrective action the actual qty must equal expected (update Actual)",""),"")&amp;IF(AND(TRIM(U668)="Pass",TRIM(AB668)&lt;&gt;"",TRIM(AB668)&lt;&gt;"Closed"),"INVALID – corrective action not closed: use Fail, then Pass after CA","")&amp;IF(AND(LEN(BA668)&gt;=2,ISNA(MATCH(LEFT(BA668,255),L_Placeholder,0)),TRIM(AB668)=""),"INVALID – CA status missing for the recorded corrective action","")&amp;IF(AND(TRIM(U668)="Pass after CA",OR(OR(LEN(BA668)&lt;5,ISNUMBER(MATCH(BA668,L_Placeholder,0))),TRIM(AB668)&lt;&gt;"Closed")),"INVALID – corrective action not recorded/closed","")</f>
        <v/>
      </c>
      <c r="BC668" s="61" t="str">
        <f aca="false">" "&amp;TRIM(SUBSTITUTE(SUBSTITUTE(SUBSTITUTE(SUBSTITUTE(SUBSTITUTE(SUBSTITUTE(SUBSTITUTE(SUBSTITUTE(SUBSTITUTE(SUBSTITUTE(SUBSTITUTE(SUBSTITUTE(SUBSTITUTE(SUBSTITUTE(SUBSTITUTE(SUBSTITUTE(SUBSTITUTE(SUBSTITUTE(SUBSTITUTE(SUBSTITUTE(SUBSTITUTE(SUBSTITUTE(SUBSTITUTE(SUBSTITUTE(LOWER(V668&amp;""),CHAR(10)," "),CHAR(13)," "),CHAR(9)," "),CHAR(160)," "),"."," "),","," "),"-"," "),"/"," "),"("," "),")"," "),":"," "),";"," "),"_"," "),"–"," "),"?"," "),"!"," "),"*"," "),"["," "),"]"," "),"'"," "),"#"," "),"+"," "),"&amp;"," "),"\"," "))&amp;" "</f>
        <v>  </v>
      </c>
      <c r="BD668" s="61" t="str">
        <f aca="false">" "&amp;TRIM(SUBSTITUTE(SUBSTITUTE(SUBSTITUTE(SUBSTITUTE(SUBSTITUTE(SUBSTITUTE(SUBSTITUTE(SUBSTITUTE(SUBSTITUTE(SUBSTITUTE(SUBSTITUTE(SUBSTITUTE(SUBSTITUTE(SUBSTITUTE(SUBSTITUTE(SUBSTITUTE(SUBSTITUTE(SUBSTITUTE(SUBSTITUTE(SUBSTITUTE(SUBSTITUTE(SUBSTITUTE(SUBSTITUTE(SUBSTITUTE(LOWER(Z668&amp;""),CHAR(10)," "),CHAR(13)," "),CHAR(9)," "),CHAR(160)," "),"."," "),","," "),"-"," "),"/"," "),"("," "),")"," "),":"," "),";"," "),"_"," "),"–"," "),"?"," "),"!"," "),"*"," "),"["," "),"]"," "),"'"," "),"#"," "),"+"," "),"&amp;"," "),"\"," "))&amp;" "</f>
        <v>  </v>
      </c>
      <c r="BE668" s="61" t="str">
        <f aca="false">" "&amp;TRIM(SUBSTITUTE(SUBSTITUTE(SUBSTITUTE(SUBSTITUTE(SUBSTITUTE(SUBSTITUTE(SUBSTITUTE(SUBSTITUTE(SUBSTITUTE(SUBSTITUTE(SUBSTITUTE(SUBSTITUTE(SUBSTITUTE(SUBSTITUTE(SUBSTITUTE(SUBSTITUTE(SUBSTITUTE(SUBSTITUTE(SUBSTITUTE(SUBSTITUTE(SUBSTITUTE(SUBSTITUTE(SUBSTITUTE(SUBSTITUTE(LOWER(W668&amp;""),CHAR(10)," "),CHAR(13)," "),CHAR(9)," "),CHAR(160)," "),"."," "),","," "),"-"," "),"/"," "),"("," "),")"," "),":"," "),";"," "),"_"," "),"–"," "),"?"," "),"!"," "),"*"," "),"["," "),"]"," "),"'"," "),"#"," "),"+"," "),"&amp;"," "),"\"," "))&amp;" "</f>
        <v>  </v>
      </c>
      <c r="BF668" s="61" t="str">
        <f aca="false">" "&amp;TRIM(SUBSTITUTE(SUBSTITUTE(SUBSTITUTE(SUBSTITUTE(SUBSTITUTE(SUBSTITUTE(SUBSTITUTE(SUBSTITUTE(SUBSTITUTE(SUBSTITUTE(SUBSTITUTE(SUBSTITUTE(SUBSTITUTE(SUBSTITUTE(SUBSTITUTE(SUBSTITUTE(SUBSTITUTE(SUBSTITUTE(SUBSTITUTE(SUBSTITUTE(SUBSTITUTE(SUBSTITUTE(SUBSTITUTE(SUBSTITUTE(LOWER(AC668&amp;""),CHAR(10)," "),CHAR(13)," "),CHAR(9)," "),CHAR(160)," "),"."," "),","," "),"-"," "),"/"," "),"("," "),")"," "),":"," "),";"," "),"_"," "),"–"," "),"?"," "),"!"," "),"*"," "),"["," "),"]"," "),"'"," "),"#"," "),"+"," "),"&amp;"," "),"\"," "))&amp;" "</f>
        <v>  </v>
      </c>
      <c r="BG668" s="61" t="n">
        <f aca="false">IFERROR(IF(AND(TRIM(U668)="Pass",SUMPRODUCT((LEN(BC668)-LEN(SUBSTITUTE(BC668," "&amp;L_ResultBad&amp;" "," ")))/(LEN(L_ResultBad)+1))&gt;SUMPRODUCT((LEN(BC668)-LEN(SUBSTITUTE(BC668," "&amp;L_NegPhrase&amp;" "," ")))/(LEN(L_NegPhrase)+1))),1,0),0)</f>
        <v>0</v>
      </c>
      <c r="BH668" s="61" t="n">
        <f aca="false">IFERROR(IF(SUMPRODUCT((LEN(BC668)-LEN(SUBSTITUTE(BC668," "&amp;L_Pending&amp;" "," ")))/(LEN(L_Pending)+1))&gt;SUMPRODUCT((LEN(BC668)-LEN(SUBSTITUTE(BC668," "&amp;L_PendNeg&amp;" "," ")))/(LEN(L_PendNeg)+1))+SUMPRODUCT((LEN(BC668)-LEN(SUBSTITUTE(BC668," "&amp;L_PendPrep&amp;" "," ")))/(LEN(L_PendPrep)+1)),1,0),1)</f>
        <v>0</v>
      </c>
      <c r="BI668" s="61" t="n">
        <f aca="false">IFERROR(IF(SUMPRODUCT((LEN(BD668)-LEN(SUBSTITUTE(BD668," "&amp;L_PendStrict&amp;" "," ")))/(LEN(L_PendStrict)+1))&gt;SUMPRODUCT((LEN(BD668)-LEN(SUBSTITUTE(BD668," "&amp;L_PendNeg&amp;" "," ")))/(LEN(L_PendNeg)+1)),1,0),1)</f>
        <v>0</v>
      </c>
      <c r="BJ668" s="61" t="n">
        <f aca="false">IFERROR(IF(SUMPRODUCT((LEN(BE668)-LEN(SUBSTITUTE(BE668," "&amp;L_Pending&amp;" "," ")))/(LEN(L_Pending)+1))&gt;SUMPRODUCT((LEN(BE668)-LEN(SUBSTITUTE(BE668," "&amp;L_PendNeg&amp;" "," ")))/(LEN(L_PendNeg)+1))+SUMPRODUCT((LEN(BE668)-LEN(SUBSTITUTE(BE668," "&amp;L_PendPrep&amp;" "," ")))/(LEN(L_PendPrep)+1)),1,0),1)</f>
        <v>0</v>
      </c>
      <c r="BK668" s="61" t="n">
        <f aca="false">IFERROR(IF(SUMPRODUCT((LEN(BF668)-LEN(SUBSTITUTE(BF668," "&amp;L_PendStrict&amp;" "," ")))/(LEN(L_PendStrict)+1))&gt;SUMPRODUCT((LEN(BF668)-LEN(SUBSTITUTE(BF668," "&amp;L_PendNeg&amp;" "," ")))/(LEN(L_PendNeg)+1)),1,0),1)</f>
        <v>0</v>
      </c>
      <c r="BL668" s="61" t="n">
        <f aca="false">IF(ISNA(MATCH(TRIM(S668),L_EvidenceType,0)),0,BZ668)</f>
        <v>0</v>
      </c>
      <c r="BM668" s="61" t="str">
        <f aca="false">SUBSTITUTE(SUBSTITUTE(SUBSTITUTE(SUBSTITUTE(SUBSTITUTE(SUBSTITUTE(SUBSTITUTE(SUBSTITUTE(SUBSTITUTE(LOWER(Z668&amp;""),"1","0"),"2","0"),"3","0"),"4","0"),"5","0"),"6","0"),"7","0"),"8","0"),"9","0")</f>
        <v/>
      </c>
      <c r="BN668" s="61" t="str">
        <f aca="false">SUBSTITUTE(SUBSTITUTE(SUBSTITUTE(SUBSTITUTE(SUBSTITUTE(SUBSTITUTE(SUBSTITUTE(SUBSTITUTE(SUBSTITUTE(SUBSTITUTE(SUBSTITUTE(SUBSTITUTE(SUBSTITUTE(SUBSTITUTE(SUBSTITUTE(SUBSTITUTE(SUBSTITUTE(SUBSTITUTE(SUBSTITUTE(SUBSTITUTE(SUBSTITUTE(SUBSTITUTE(SUBSTITUTE(SUBSTITUTE(SUBSTITUTE(BM668,"b","a"),"c","a"),"d","a"),"e","a"),"f","a"),"g","a"),"h","a"),"i","a"),"j","a"),"k","a"),"l","a"),"m","a"),"n","a"),"o","a"),"p","a"),"q","a"),"r","a"),"s","a"),"t","a"),"u","a"),"v","a"),"w","a"),"x","a"),"y","a"),"z","a")</f>
        <v/>
      </c>
      <c r="BO668" s="61" t="str">
        <f aca="false">SUBSTITUTE(SUBSTITUTE(SUBSTITUTE(SUBSTITUTE(SUBSTITUTE(SUBSTITUTE(SUBSTITUTE(SUBSTITUTE(SUBSTITUTE(LOWER(W668&amp;""),"1","0"),"2","0"),"3","0"),"4","0"),"5","0"),"6","0"),"7","0"),"8","0"),"9","0")</f>
        <v/>
      </c>
      <c r="BP668" s="61" t="str">
        <f aca="false">SUBSTITUTE(SUBSTITUTE(SUBSTITUTE(SUBSTITUTE(SUBSTITUTE(SUBSTITUTE(SUBSTITUTE(SUBSTITUTE(SUBSTITUTE(SUBSTITUTE(SUBSTITUTE(SUBSTITUTE(SUBSTITUTE(SUBSTITUTE(SUBSTITUTE(SUBSTITUTE(SUBSTITUTE(SUBSTITUTE(SUBSTITUTE(SUBSTITUTE(SUBSTITUTE(SUBSTITUTE(SUBSTITUTE(SUBSTITUTE(SUBSTITUTE(BO668,"b","a"),"c","a"),"d","a"),"e","a"),"f","a"),"g","a"),"h","a"),"i","a"),"j","a"),"k","a"),"l","a"),"m","a"),"n","a"),"o","a"),"p","a"),"q","a"),"r","a"),"s","a"),"t","a"),"u","a"),"v","a"),"w","a"),"x","a"),"y","a"),"z","a")</f>
        <v/>
      </c>
      <c r="BQ668" s="61" t="n">
        <f aca="false">IFERROR(IF(AND(ISERROR(SEARCH(" mh"," "&amp;LOWER(W668))),ISNA(MATCH(LEFT(TRIM(BP668),255),{"0000a","000a","00a","0000aa","000aa","00aa","0aa","0000aaa","000aaa","00a00","0a00","0000-0000","00:00","a00","a0","00.00.0000","00/00/0000","00-00-0000","0000-00-00","0000/00/00","0000.00.00","00.00.00","00/00/00","00-00-00","0.00.0000","0/00/0000","0-00-0000"},0)),ISNA(MATCH(LEFT(TRIM(CA668),255),{"0000a","000a","00a","0000aa","000aa","00aa","0aa","0000aaa","000aaa","00a00","0a00","0000-0000","00:00","a00","a0","00.00.0000","00/00/0000","00-00-0000","0000-00-00","0000/00/00","0000.00.00","00.00.00","00/00/00","00-00-00","0.00.0000","0/00/0000","0-00-0000"},0)),LEN(CB668)&gt;=3,NOT(OR(SUBSTITUTE(CB668,"0","")="",AND(LEN(CB668)&gt;=4,CB668=REPT(LEFT(CB668),LEN(CB668))),ISNUMBER(MATCH(CB668,{"123","1234","12345","123456","1234567","12345678","0123","01234","012345","98765","987654","54321"},0)),AND(LEN(CB668)=8,LEFT(CB668,3)="202"))),OR(AND((LEN(CA668)-LEN(SUBSTITUTE(CA668,"a","")))&gt;=1,SUMPRODUCT(--ISNUMBER(SEARCH({"a0","a-0","a_0","a/0","a.0","a#0","0a","0-a","0_a","0/a"},BP668)))&gt;0),ISNUMBER(SEARCH("000000",BP668)))),1,0),0)</f>
        <v>0</v>
      </c>
      <c r="BR668" s="61" t="n">
        <f aca="false">IFERROR(LEN(SUBSTITUTE(CC668," ",""))-SUMPRODUCT((LEN(CC668)-LEN(SUBSTITUTE(CC668," "&amp;L_Role&amp;" "," ")))/(LEN(L_Role)+1)*LEN(L_Role)),0)</f>
        <v>0</v>
      </c>
      <c r="BS668" s="61" t="n">
        <f aca="false">IFERROR(LEN(SUBSTITUTE(CD668," ",""))-SUMPRODUCT((LEN(CD668)-LEN(SUBSTITUTE(CD668," "&amp;L_Role&amp;" "," ")))/(LEN(L_Role)+1)*LEN(L_Role)),0)</f>
        <v>0</v>
      </c>
      <c r="BT6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668,"revision",""),"version",""),"jan",""),"feb",""),"mar",""),"apr",""),"may",""),"jun",""),"jul",""),"aug",""),"sep",""),"oct",""),"nov",""),"dec",""),"utc",""),"gmt",""),"myt",""),"bst",""),"rev",""),"ver",""),"b","a"),"c","a"),"d","a"),"e","a"),"f","a"),"g","a"),"h","a"),"i","a"),"j","a"),"k","a"),"l","a"),"m","a"),"n","a"),"o","a"),"p","a"),"q","a"),"r","a"),"s","a"),"t","a"),"u","a"),"v","a"),"w","a"),"x","a"),"y","a"),"z","a")</f>
        <v/>
      </c>
      <c r="BU668" s="61" t="str">
        <f aca="false">SUBSTITUTE(SUBSTITUTE(SUBSTITUTE(SUBSTITUTE(SUBSTITUTE(SUBSTITUTE(SUBSTITUTE(SUBSTITUTE(SUBSTITUTE(SUBSTITUTE(LEFT(BM668,FIND("0",BM668&amp;"0")-1),"-",""),"_",""),"/",""),".",""),"#",""),"\\",""),":","")," ",""),"(",""),")","")</f>
        <v/>
      </c>
      <c r="BV668" s="61" t="n">
        <f aca="false">0</f>
        <v>0</v>
      </c>
      <c r="BW66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668&amp;""),"a",""),"b",""),"c",""),"d",""),"e",""),"f",""),"g",""),"h",""),"i",""),"j",""),"k",""),"l",""),"m",""),"n",""),"o",""),"p",""),"q",""),"r",""),"s",""),"t",""),"u",""),"v",""),"w",""),"x",""),"y",""),"z",""),"-",""),"_",""),"/",""),".",""),"#",""),"\\",""),":","")," ",""),"(",""),")","")</f>
        <v/>
      </c>
      <c r="BX668" s="61" t="str">
        <f aca="false">SUBSTITUTE(SUBSTITUTE(SUBSTITUTE(SUBSTITUTE(SUBSTITUTE(SUBSTITUTE(SUBSTITUTE(SUBSTITUTE(SUBSTITUTE(SUBSTITUTE(SUBSTITUTE(BM668,"0",""),"-",""),"_",""),"/",""),".",""),"#",""),"\\",""),":","")," ",""),"(",""),")","")</f>
        <v/>
      </c>
      <c r="BY668" s="62" t="n">
        <f aca="false">Q668-T7EarlyD*24/24</f>
        <v>46304.28125</v>
      </c>
      <c r="BZ668" s="61" t="n">
        <f aca="false">IFERROR(IF(IF(TRIM(S668)="Link / file path",AND(LEN(TRIM(Z668))&gt;=5,SUMPRODUCT(--ISNUMBER(SEARCH({"http","www.","\\",":\",".pdf",".jpg",".jpeg",".png",".heic",".xls",".doc",".msg",".eml",".ppt",".txt",".zip"},Z668)))&gt;0),AND(ISERROR(FIND(" ",TRIM(Z668))),NOT(OR(SUMPRODUCT(--ISNUMBER(FIND({",",";","&amp;","+"},Z668)))&gt;0,SUMPRODUCT(--ISNUMBER(SEARCH({"0/aa","0\\aa"},BN668)))&gt;0)),NOT(SUMPRODUCT(--ISNUMBER(SEARCH({"http","www.","\\",":\",".pdf",".jpg",".jpeg",".png",".heic",".xls",".doc",".msg",".eml",".ppt",".txt",".zip"},Z668)))&gt;0),NOT(LOWER(TRIM(Z668))=LOWER(Flights!$F$25)),ISNA(MATCH(BU668,{"mh","rev","revision","ver","version","v","r","a","b","seat","tray","row","gate","bay","stand","page","pg","item","line","no","cart","galley","flight","flt","table","box","bag","oven","etd","eta","std","sta","atd","ata","qty","pax","x","time","tel","ph","mob","day","wk","week","utc","gmt","myt","lt"},0)),NOT(OR(ISNUMBER(MATCH(LEFT(BN668,255),{"0000a","000a","00a","0000aa","000aa","00aa","0aa","0000aaa","000aaa","00a00","0a00","0000-0000","00:00","a00","a0","00.00.0000","00/00/0000","00-00-0000","0000-00-00","0000/00/00","0000.00.00","00.00.00","00/00/00","00-00-00","0.00.0000","0/00/0000","0-00-0000"},0)),ISNUMBER(MATCH(LEFT(BT668,255),{"0000a","000a","00a","0000aa","000aa","00aa","0aa","0000aaa","000aaa","00a00","0a00","0000-0000","00:00","a00","a0","00.00.0000","00/00/0000","00-00-0000","0000-00-00","0000/00/00","0000.00.00","00.00.00","00/00/00","00-00-00","0.00.0000","0/00/0000","0-00-0000"},0)))),NOT(OR(AND(BW668&lt;&gt;"",SUBSTITUTE(BW668,"0","")=""),AND(LEN(BW668)&gt;=4,BW668=REPT(LEFT(BW668),LEN(BW668))),ISNUMBER(MATCH(BW668,{"123","1234","12345","123456","1234567","12345678","0123","01234","012345","98765","987654","54321"},0)),ISNUMBER(MATCH(BX668,{"x","xx","xxx","xxxx","xxxxx","abc","abcd","nil","na","nan","test","tbc","tba","tbd","dummy","sample","example","eg","zz","zzz","none","null","xyz","qwe","asd","id","ref"},0)),AND(LEN(BW668)=8,BX668="",OR(LEFT(BW668,3)="202",ISNUMBER(MATCH(RIGHT(BW668,4),{"2025","2026","2027"},0)))))),OR(AND((LEN(BT668)-LEN(SUBSTITUTE(BT668,"a","")))&gt;=1,(LEN(BN668)-LEN(SUBSTITUTE(BN668,"0","")))&gt;=2,SUMPRODUCT(--ISNUMBER(SEARCH({"a0","a-0","a_0","a/0","a.0","a#0","0a","0-a","0_a","0/a"},BN668)))&gt;0),AND((LEN(BN668)-LEN(SUBSTITUTE(BN668,"a","")))=0,(LEN(BN668)-LEN(SUBSTITUTE(BN668,"0","")))&gt;=5)))),1,0),0)</f>
        <v>0</v>
      </c>
      <c r="CA6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668,"revision",""),"version",""),"jan",""),"feb",""),"mar",""),"apr",""),"may",""),"jun",""),"jul",""),"aug",""),"sep",""),"oct",""),"nov",""),"dec",""),"utc",""),"gmt",""),"myt",""),"bst",""),"rev",""),"ver",""),"b","a"),"c","a"),"d","a"),"e","a"),"f","a"),"g","a"),"h","a"),"i","a"),"j","a"),"k","a"),"l","a"),"m","a"),"n","a"),"o","a"),"p","a"),"q","a"),"r","a"),"s","a"),"t","a"),"u","a"),"v","a"),"w","a"),"x","a"),"y","a"),"z","a")</f>
        <v/>
      </c>
      <c r="CB66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668&amp;""),"a",""),"b",""),"c",""),"d",""),"e",""),"f",""),"g",""),"h",""),"i",""),"j",""),"k",""),"l",""),"m",""),"n",""),"o",""),"p",""),"q",""),"r",""),"s",""),"t",""),"u",""),"v",""),"w",""),"x",""),"y",""),"z",""),"-",""),"_",""),"/",""),".",""),"#",""),"\\",""),":","")," ",""),"(",""),")","")</f>
        <v/>
      </c>
      <c r="CC668" s="0" t="str">
        <f aca="false">" "&amp;TRIM(SUBSTITUTE(SUBSTITUTE(SUBSTITUTE(SUBSTITUTE(SUBSTITUTE(SUBSTITUTE(SUBSTITUTE(SUBSTITUTE(SUBSTITUTE(SUBSTITUTE(SUBSTITUTE(SUBSTITUTE(SUBSTITUTE(SUBSTITUTE(SUBSTITUTE(SUBSTITUTE(SUBSTITUTE(SUBSTITUTE(SUBSTITUTE(SUBSTITUTE(SUBSTITUTE(SUBSTITUTE(SUBSTITUTE(SUBSTITUTE(LOWER(T668&amp;""),CHAR(10)," "),CHAR(13)," "),CHAR(9)," "),CHAR(160)," "),"."," "),","," "),"-"," "),"/"," "),"("," "),")"," "),":"," "),";"," "),"_"," "),"–"," "),"?"," "),"!"," "),"*"," "),"["," "),"]"," "),"'"," "),"#"," "),"+"," "),"&amp;"," "),"\"," "))&amp;" "</f>
        <v>  </v>
      </c>
      <c r="CD668" s="0" t="str">
        <f aca="false">" "&amp;TRIM(SUBSTITUTE(SUBSTITUTE(SUBSTITUTE(SUBSTITUTE(SUBSTITUTE(SUBSTITUTE(SUBSTITUTE(SUBSTITUTE(SUBSTITUTE(SUBSTITUTE(SUBSTITUTE(SUBSTITUTE(SUBSTITUTE(SUBSTITUTE(SUBSTITUTE(SUBSTITUTE(SUBSTITUTE(SUBSTITUTE(SUBSTITUTE(SUBSTITUTE(SUBSTITUTE(SUBSTITUTE(SUBSTITUTE(SUBSTITUTE(LOWER(AE668&amp;""),CHAR(10)," "),CHAR(13)," "),CHAR(9)," "),CHAR(160)," "),"."," "),","," "),"-"," "),"/"," "),"("," "),")"," "),":"," "),";"," "),"_"," "),"–"," "),"?"," "),"!"," "),"*"," "),"["," "),"]"," "),"'"," "),"#"," "),"+"," "),"&amp;"," "),"\"," "))&amp;" "</f>
        <v>  </v>
      </c>
      <c r="CE668" s="68" t="n">
        <f aca="false">IFERROR(IF(AND(LEN(AU668)&gt;0,LEN(AU668)=LEN(AX668),OR(TRIM(MID(SUBSTITUTE(TRIM(CC668)," ",REPT(" ",60)),1,60))="",ISNUMBER(SEARCH(" "&amp;TRIM(MID(SUBSTITUTE(TRIM(CC668)," ",REPT(" ",60)),1,60))&amp;" ",CD668))),OR(TRIM(MID(SUBSTITUTE(TRIM(CC668)," ",REPT(" ",60)),61,60))="",ISNUMBER(SEARCH(" "&amp;TRIM(MID(SUBSTITUTE(TRIM(CC668)," ",REPT(" ",60)),61,60))&amp;" ",CD668))),OR(TRIM(MID(SUBSTITUTE(TRIM(CC668)," ",REPT(" ",60)),121,60))="",ISNUMBER(SEARCH(" "&amp;TRIM(MID(SUBSTITUTE(TRIM(CC668)," ",REPT(" ",60)),121,60))&amp;" ",CD668)))),1,0),0)</f>
        <v>0</v>
      </c>
      <c r="CG668" s="68" t="n">
        <f aca="false">IFERROR(LEN(SUBSTITUTE(BF668," ",""))-SUMPRODUCT((LEN(BF668)-LEN(SUBSTITUTE(BF668," "&amp;L_NAFiller&amp;" "," ")))/(LEN(L_NAFiller)+1)*LEN(L_NAFiller)),0)</f>
        <v>0</v>
      </c>
    </row>
    <row r="669" customFormat="false" ht="39.75" hidden="false" customHeight="true" outlineLevel="0" collapsed="false">
      <c r="A669" s="57" t="s">
        <v>1389</v>
      </c>
      <c r="B669" s="57" t="s">
        <v>310</v>
      </c>
      <c r="C669" s="57" t="str">
        <f aca="false">Flights!$F$25</f>
        <v>MH1437</v>
      </c>
      <c r="D669" s="58" t="n">
        <f aca="false">Flights!$D$25</f>
        <v>46325</v>
      </c>
      <c r="E669" s="57" t="str">
        <f aca="false">Flights!$G$25&amp;"-"&amp;Flights!$H$25</f>
        <v>LGK-KUL</v>
      </c>
      <c r="F669" s="57" t="str">
        <f aca="false">Flights!$K$25</f>
        <v>BC</v>
      </c>
      <c r="G669" s="57" t="s">
        <v>81</v>
      </c>
      <c r="H669" s="57" t="s">
        <v>378</v>
      </c>
      <c r="I669" s="57" t="s">
        <v>398</v>
      </c>
      <c r="J669" s="57" t="s">
        <v>399</v>
      </c>
      <c r="K669" s="67" t="s">
        <v>400</v>
      </c>
      <c r="L669" s="67" t="s">
        <v>382</v>
      </c>
      <c r="M669" s="67"/>
      <c r="N669" s="67" t="s">
        <v>383</v>
      </c>
      <c r="O669" s="67"/>
      <c r="P669" s="57" t="s">
        <v>187</v>
      </c>
      <c r="Q669" s="59" t="n">
        <f aca="false">ROUND((Flights!$AC$25)*1440,0)/1440</f>
        <v>46318.28125</v>
      </c>
      <c r="R669" s="59" t="n">
        <f aca="false">Q669+(IF(AND(INDEX(TZ_DSTS,MATCH(P669,TZ_STN,0))&lt;&gt;"",Q669&gt;=INDEX(TZ_DSTS,MATCH(P669,TZ_STN,0)),Q669&lt;INDEX(TZ_DSTE,MATCH(P669,TZ_STN,0))),INDEX(TZ_DST,MATCH(P669,TZ_STN,0)),INDEX(TZ_STD,MATCH(P669,TZ_STN,0))))/24</f>
        <v>46318.6145833333</v>
      </c>
      <c r="S669" s="60"/>
      <c r="T669" s="60"/>
      <c r="U669" s="60"/>
      <c r="V669" s="60"/>
      <c r="W669" s="61"/>
      <c r="X669" s="60"/>
      <c r="Y669" s="60"/>
      <c r="Z669" s="60"/>
      <c r="AA669" s="60"/>
      <c r="AB669" s="60"/>
      <c r="AC669" s="60"/>
      <c r="AD669" s="66"/>
      <c r="AE669" s="60"/>
      <c r="AF669" s="61" t="str">
        <f aca="false">IF(AND(ISNUMBER(X669),ISNUMBER(Y669)),Y669-X669,"")</f>
        <v/>
      </c>
      <c r="AG669" s="62" t="str">
        <f aca="false">IF(ISNUMBER(AD669),AD669-(IF(AND(INDEX(TZ_DSTS,MATCH(P669,TZ_STN,0))&lt;&gt;"",(AD669-INDEX(TZ_STD,MATCH(P669,TZ_STN,0))/24)&gt;=INDEX(TZ_DSTS,MATCH(P669,TZ_STN,0)),(AD669-INDEX(TZ_STD,MATCH(P669,TZ_STN,0))/24)&lt;INDEX(TZ_DSTE,MATCH(P669,TZ_STN,0))),INDEX(TZ_DST,MATCH(P669,TZ_STN,0)),INDEX(TZ_STD,MATCH(P669,TZ_STN,0))))/24,"")</f>
        <v/>
      </c>
      <c r="AH669" s="65" t="str">
        <f aca="false">IFERROR(IF(N669="N/A – rule",IF(OR(TRIM(U669)="",TRIM(U669)="N/A",TRIM(U669)="Not started"),"N/A – RULE","INVALID – this check does not apply to this aircraft: clear the status (or correct the fleet on Flights)"),IF(TRIM(U669)="N/A",IF(AT669=0,"INVALID – N/A not permitted for this check",IF(AND(TRIM(AB669)&lt;&gt;"",TRIM(AB669)&lt;&gt;"Closed"),"INVALID – corrective action still open",IF(AND(NOT(OR(LEN(AZ669)&lt;15,ISNUMBER(MATCH(AZ669,L_Placeholder,0)))),BK669=0,CG669&gt;=8,NOT(OR(LEN(AU669)&lt;2,ISNUMBER(MATCH(AU669,L_Placeholder,0)))),BR669&gt;=3,NOT(OR(LEN(AX669)&lt;2,ISNUMBER(MATCH(AX669,L_Placeholder,0)))),BS669&gt;=3,TRIM(AE669)&lt;&gt;TRIM(T669),AX669&lt;&gt;AU669,CE669=0),"N/A – JUSTIFIED","INVALID – N/A needs a real, settled reason (not 'not applicable' / 'as above' / TBC), a named PIC and a different named verifier"))),IF(OR(TRIM(U669)="Pass",TRIM(U669)="Pass after CA"),IF(NOT(ISNUMBER(AD669)),"INVALID – completion time missing",IF(OR(OR(LEN(AU669)&lt;2,ISNUMBER(MATCH(AU669,L_Placeholder,0))),BR669&lt;3),"INVALID – PIC missing or not a named person (a role such as QA / CSM is not a name)",IF(OR(LEN(AV669)&lt;2,ISNUMBER(MATCH(AV669,L_Placeholder,0))),"INVALID – result / assessment missing",IF(OR(OR(LEN(AW669)&lt;3,ISNUMBER(MATCH(AW669,L_Placeholder,0))),SUMPRODUCT(--ISNUMBER(SEARCH(" "&amp;L_EvidencePhrase&amp;" ",BD669)))&gt;0,BI669=1),"INVALID – evidence missing, placeholder or not yet on file",IF(ISNA(MATCH(TRIM(S669),L_EvidenceType,0)),"INVALID – choose the evidence type from the list (column S)",IF(BL669=0,"INVALID – evidence ID must be the record's own ID only (e.g. SF-2210, IMG_2231, 1045521); a link / file name needs type 'Link / file path'",IF(OR(OR(LEN(AX669)&lt;2,ISNUMBER(MATCH(AX669,L_Placeholder,0))),BS669&lt;3),"INVALID – verifier missing or not a named person (a role such as QA / CSM is not a name)",IF(OR(AX669=AU669,CE669=1,AND(LEN(AU669)&gt;=4,ISNUMBER(SEARCH(AU669,AX669))),AND(LEN(AX669)&gt;=4,ISNUMBER(SEARCH(AX669,AU669)))),"INVALID – verifier must be a different, named person (not the PIC or a role)",IF(BH669=1,"INVALID – result not yet available (awaiting / TBC)",IF(BG669=1,"INVALID – result describes a problem: record Fail, then Pass after CA (or reword if it is not a problem)",IF(BV669=1,"INVALID – wording says not on board: an on-board confirmation needs the item loaded",IF(AND(AQ669=1,OR(OR(LEN(AY669)&lt;3,ISNUMBER(MATCH(AY669,L_Placeholder,0))),BJ669=1,BQ669=0)),"INVALID – batch ID missing, placeholder or not an ID (e.g. PASB-261008-BC-017)",IF(AND(AR669=1,OR(NOT(ISNUMBER(X669)),NOT(ISNUMBER(Y669)))),"INVALID – expected/actual qty missing",IF(AND(AR669=1,OR(X669&lt;=0,Y669&lt;0)),"INVALID – expected qty must be above 0 and actual not negative",IF(BB669&lt;&gt;"",BB669,IF(AND(AS669=1,Documents!$J$25&lt;&gt;"ON FILE"),"INVALID – GLD not on file (Documents sheet)",IF(AND(AS669=2,Documents!$O$25&lt;&gt;"ON FILE"),"INVALID – menu checklist not on file (Documents sheet)",IF(AND(AS669=3,NOT(ISNUMBER(Flights!$AX$25))),"INVALID – enter carrying flight KUL departure (Flights AX)",IF(AND(AS669=3,OR(Flights!$AZ$25&gt;Flights!$AA$25,Flights!$AX$25&lt;Flights!$AA$25-3)),"INVALID – carrying flight (Flights AX) cannot arrive before this leg's STD, or is over 3 days early",IF(AG669&gt;AsOfUTC,"INVALID – completion time is in the future",IF(AND(ISNUMBER(BY669),AG669&lt;BY669),IF(H669="Physical uplift","INVALID – before uplift window (cannot confirm loading)","INVALID – before valid window"),IF(AG669&gt;Flights!$AA$25,"INVALID – completed after departure (cannot establish readiness)",IF(AND(H669="Preparation",AG669&gt;=IF(ISNUMBER(Flights!$BA$25),MIN(Flights!$BA$25,Flights!$AA$25),Flights!$AA$25)),"INVALID – completed after loading / departure (cannot establish readiness)",IF(AND(H669="Physical uplift",AG669&gt;Q669),"INVALID – recorded after the loading flight departed",IF(AG669&gt;Q669,"COMPLETE – LATE","COMPLETE"))))))))))))))))))))))))),IF(TRIM(U669)="Fail","FAIL – DISCREPANCY",IF(AND(TRIM(U669)&lt;&gt;"",TRIM(U669)&lt;&gt;"Not started",TRIM(U669)&lt;&gt;"In progress"),"INVALID – unrecognised status (use the list)",IF(AsOfUTC&gt;Q669,"OVERDUE",IF(N669="Clarification required","OPEN – CLARIFICATION","OPEN"))))))),"INVALID – error value in an input cell")</f>
        <v>OPEN</v>
      </c>
      <c r="AI669" s="61" t="n">
        <f aca="false">IF(OR(AH669="N/A – RULE",AH669="N/A – JUSTIFIED"),0,1)</f>
        <v>1</v>
      </c>
      <c r="AJ669" s="61" t="n">
        <f aca="false">IF(LEFT(AH669,8)="COMPLETE",1,0)</f>
        <v>0</v>
      </c>
      <c r="AK669" s="61" t="n">
        <f aca="false">IF(AND(AI669=1,AJ669=0,AsOfUTC&gt;Q669),1,0)</f>
        <v>0</v>
      </c>
      <c r="AL669" s="61" t="n">
        <f aca="false">IFERROR(IF(AND(AI669=1,OR(TRIM(U669)="Fail",AND(TRIM(AB669)&lt;&gt;"",TRIM(AB669)&lt;&gt;"Closed"),AND(ISNUMBER(AF669),AF669&lt;&gt;0,TRIM(U669)&lt;&gt;"Pass after CA"))),1,0),1)</f>
        <v>0</v>
      </c>
      <c r="AM669" s="61" t="n">
        <f aca="false">IF(LEFT(AH669,7)="INVALID",1,0)</f>
        <v>0</v>
      </c>
      <c r="AN669" s="61" t="n">
        <f aca="false">IF(AND(N669="Clarification required",AI669=1,AJ669=0),1,0)</f>
        <v>0</v>
      </c>
      <c r="AO669" s="61" t="str">
        <f aca="false">IF(AK669=1,SUM(AK$5:AK669),"")</f>
        <v/>
      </c>
      <c r="AP669" s="61" t="str">
        <f aca="false">IF(AL669=1,SUM(AL$5:AL669),"")</f>
        <v/>
      </c>
      <c r="AQ669" s="61" t="n">
        <v>0</v>
      </c>
      <c r="AR669" s="61" t="n">
        <v>0</v>
      </c>
      <c r="AS669" s="61" t="n">
        <v>0</v>
      </c>
      <c r="AT669" s="61" t="n">
        <v>0</v>
      </c>
      <c r="AU669" s="61" t="str">
        <f aca="false">SUBSTITUTE(SUBSTITUTE(SUBSTITUTE(SUBSTITUTE(SUBSTITUTE(SUBSTITUTE(SUBSTITUTE(SUBSTITUTE(SUBSTITUTE(SUBSTITUTE(SUBSTITUTE(SUBSTITUTE(SUBSTITUTE(SUBSTITUTE(SUBSTITUTE(SUBSTITUTE(LOWER(T669&amp;""),CHAR(10),""),CHAR(13),""),CHAR(9),""),CHAR(160),"")," ",""),".",""),"-",""),"/",""),"?",""),"_",""),",",""),"[",""),"]",""),"(",""),")",""),"*","")</f>
        <v/>
      </c>
      <c r="AV669" s="61" t="str">
        <f aca="false">SUBSTITUTE(SUBSTITUTE(SUBSTITUTE(SUBSTITUTE(SUBSTITUTE(SUBSTITUTE(SUBSTITUTE(SUBSTITUTE(SUBSTITUTE(SUBSTITUTE(SUBSTITUTE(SUBSTITUTE(SUBSTITUTE(SUBSTITUTE(SUBSTITUTE(SUBSTITUTE(LOWER(V669&amp;""),CHAR(10),""),CHAR(13),""),CHAR(9),""),CHAR(160),"")," ",""),".",""),"-",""),"/",""),"?",""),"_",""),",",""),"[",""),"]",""),"(",""),")",""),"*","")</f>
        <v/>
      </c>
      <c r="AW669" s="61" t="str">
        <f aca="false">SUBSTITUTE(SUBSTITUTE(SUBSTITUTE(SUBSTITUTE(SUBSTITUTE(SUBSTITUTE(SUBSTITUTE(SUBSTITUTE(SUBSTITUTE(SUBSTITUTE(SUBSTITUTE(SUBSTITUTE(SUBSTITUTE(SUBSTITUTE(SUBSTITUTE(SUBSTITUTE(LOWER(Z669&amp;""),CHAR(10),""),CHAR(13),""),CHAR(9),""),CHAR(160),"")," ",""),".",""),"-",""),"/",""),"?",""),"_",""),",",""),"[",""),"]",""),"(",""),")",""),"*","")</f>
        <v/>
      </c>
      <c r="AX669" s="61" t="str">
        <f aca="false">SUBSTITUTE(SUBSTITUTE(SUBSTITUTE(SUBSTITUTE(SUBSTITUTE(SUBSTITUTE(SUBSTITUTE(SUBSTITUTE(SUBSTITUTE(SUBSTITUTE(SUBSTITUTE(SUBSTITUTE(SUBSTITUTE(SUBSTITUTE(SUBSTITUTE(SUBSTITUTE(LOWER(AE669&amp;""),CHAR(10),""),CHAR(13),""),CHAR(9),""),CHAR(160),"")," ",""),".",""),"-",""),"/",""),"?",""),"_",""),",",""),"[",""),"]",""),"(",""),")",""),"*","")</f>
        <v/>
      </c>
      <c r="AY669" s="61" t="str">
        <f aca="false">SUBSTITUTE(SUBSTITUTE(SUBSTITUTE(SUBSTITUTE(SUBSTITUTE(SUBSTITUTE(SUBSTITUTE(SUBSTITUTE(SUBSTITUTE(SUBSTITUTE(SUBSTITUTE(SUBSTITUTE(SUBSTITUTE(SUBSTITUTE(SUBSTITUTE(SUBSTITUTE(LOWER(W669&amp;""),CHAR(10),""),CHAR(13),""),CHAR(9),""),CHAR(160),"")," ",""),".",""),"-",""),"/",""),"?",""),"_",""),",",""),"[",""),"]",""),"(",""),")",""),"*","")</f>
        <v/>
      </c>
      <c r="AZ669" s="61" t="str">
        <f aca="false">SUBSTITUTE(SUBSTITUTE(SUBSTITUTE(SUBSTITUTE(SUBSTITUTE(SUBSTITUTE(SUBSTITUTE(SUBSTITUTE(SUBSTITUTE(SUBSTITUTE(SUBSTITUTE(SUBSTITUTE(SUBSTITUTE(SUBSTITUTE(SUBSTITUTE(SUBSTITUTE(LOWER(AC669&amp;""),CHAR(10),""),CHAR(13),""),CHAR(9),""),CHAR(160),"")," ",""),".",""),"-",""),"/",""),"?",""),"_",""),",",""),"[",""),"]",""),"(",""),")",""),"*","")</f>
        <v/>
      </c>
      <c r="BA669" s="61" t="str">
        <f aca="false">SUBSTITUTE(SUBSTITUTE(SUBSTITUTE(SUBSTITUTE(SUBSTITUTE(SUBSTITUTE(SUBSTITUTE(SUBSTITUTE(SUBSTITUTE(SUBSTITUTE(SUBSTITUTE(SUBSTITUTE(SUBSTITUTE(SUBSTITUTE(SUBSTITUTE(SUBSTITUTE(LOWER(AA669&amp;""),CHAR(10),""),CHAR(13),""),CHAR(9),""),CHAR(160),"")," ",""),".",""),"-",""),"/",""),"?",""),"_",""),",",""),"[",""),"]",""),"(",""),")",""),"*","")</f>
        <v/>
      </c>
      <c r="BB669" s="61" t="str">
        <f aca="false">IF(AND(TRIM(U669)="Pass",ISNUMBER(AF669)),IF(AF669&lt;&gt;0,"INVALID – qty variance: use Fail or Pass after CA",""),"")&amp;IF(AND(TRIM(U669)="Pass after CA",ISNUMBER(AF669)),IF(AF669&lt;&gt;0,"INVALID – after the corrective action the actual qty must equal expected (update Actual)",""),"")&amp;IF(AND(TRIM(U669)="Pass",TRIM(AB669)&lt;&gt;"",TRIM(AB669)&lt;&gt;"Closed"),"INVALID – corrective action not closed: use Fail, then Pass after CA","")&amp;IF(AND(LEN(BA669)&gt;=2,ISNA(MATCH(LEFT(BA669,255),L_Placeholder,0)),TRIM(AB669)=""),"INVALID – CA status missing for the recorded corrective action","")&amp;IF(AND(TRIM(U669)="Pass after CA",OR(OR(LEN(BA669)&lt;5,ISNUMBER(MATCH(BA669,L_Placeholder,0))),TRIM(AB669)&lt;&gt;"Closed")),"INVALID – corrective action not recorded/closed","")</f>
        <v/>
      </c>
      <c r="BC669" s="61" t="str">
        <f aca="false">" "&amp;TRIM(SUBSTITUTE(SUBSTITUTE(SUBSTITUTE(SUBSTITUTE(SUBSTITUTE(SUBSTITUTE(SUBSTITUTE(SUBSTITUTE(SUBSTITUTE(SUBSTITUTE(SUBSTITUTE(SUBSTITUTE(SUBSTITUTE(SUBSTITUTE(SUBSTITUTE(SUBSTITUTE(SUBSTITUTE(SUBSTITUTE(SUBSTITUTE(SUBSTITUTE(SUBSTITUTE(SUBSTITUTE(SUBSTITUTE(SUBSTITUTE(LOWER(V669&amp;""),CHAR(10)," "),CHAR(13)," "),CHAR(9)," "),CHAR(160)," "),"."," "),","," "),"-"," "),"/"," "),"("," "),")"," "),":"," "),";"," "),"_"," "),"–"," "),"?"," "),"!"," "),"*"," "),"["," "),"]"," "),"'"," "),"#"," "),"+"," "),"&amp;"," "),"\"," "))&amp;" "</f>
        <v>  </v>
      </c>
      <c r="BD669" s="61" t="str">
        <f aca="false">" "&amp;TRIM(SUBSTITUTE(SUBSTITUTE(SUBSTITUTE(SUBSTITUTE(SUBSTITUTE(SUBSTITUTE(SUBSTITUTE(SUBSTITUTE(SUBSTITUTE(SUBSTITUTE(SUBSTITUTE(SUBSTITUTE(SUBSTITUTE(SUBSTITUTE(SUBSTITUTE(SUBSTITUTE(SUBSTITUTE(SUBSTITUTE(SUBSTITUTE(SUBSTITUTE(SUBSTITUTE(SUBSTITUTE(SUBSTITUTE(SUBSTITUTE(LOWER(Z669&amp;""),CHAR(10)," "),CHAR(13)," "),CHAR(9)," "),CHAR(160)," "),"."," "),","," "),"-"," "),"/"," "),"("," "),")"," "),":"," "),";"," "),"_"," "),"–"," "),"?"," "),"!"," "),"*"," "),"["," "),"]"," "),"'"," "),"#"," "),"+"," "),"&amp;"," "),"\"," "))&amp;" "</f>
        <v>  </v>
      </c>
      <c r="BE669" s="61" t="str">
        <f aca="false">" "&amp;TRIM(SUBSTITUTE(SUBSTITUTE(SUBSTITUTE(SUBSTITUTE(SUBSTITUTE(SUBSTITUTE(SUBSTITUTE(SUBSTITUTE(SUBSTITUTE(SUBSTITUTE(SUBSTITUTE(SUBSTITUTE(SUBSTITUTE(SUBSTITUTE(SUBSTITUTE(SUBSTITUTE(SUBSTITUTE(SUBSTITUTE(SUBSTITUTE(SUBSTITUTE(SUBSTITUTE(SUBSTITUTE(SUBSTITUTE(SUBSTITUTE(LOWER(W669&amp;""),CHAR(10)," "),CHAR(13)," "),CHAR(9)," "),CHAR(160)," "),"."," "),","," "),"-"," "),"/"," "),"("," "),")"," "),":"," "),";"," "),"_"," "),"–"," "),"?"," "),"!"," "),"*"," "),"["," "),"]"," "),"'"," "),"#"," "),"+"," "),"&amp;"," "),"\"," "))&amp;" "</f>
        <v>  </v>
      </c>
      <c r="BF669" s="61" t="str">
        <f aca="false">" "&amp;TRIM(SUBSTITUTE(SUBSTITUTE(SUBSTITUTE(SUBSTITUTE(SUBSTITUTE(SUBSTITUTE(SUBSTITUTE(SUBSTITUTE(SUBSTITUTE(SUBSTITUTE(SUBSTITUTE(SUBSTITUTE(SUBSTITUTE(SUBSTITUTE(SUBSTITUTE(SUBSTITUTE(SUBSTITUTE(SUBSTITUTE(SUBSTITUTE(SUBSTITUTE(SUBSTITUTE(SUBSTITUTE(SUBSTITUTE(SUBSTITUTE(LOWER(AC669&amp;""),CHAR(10)," "),CHAR(13)," "),CHAR(9)," "),CHAR(160)," "),"."," "),","," "),"-"," "),"/"," "),"("," "),")"," "),":"," "),";"," "),"_"," "),"–"," "),"?"," "),"!"," "),"*"," "),"["," "),"]"," "),"'"," "),"#"," "),"+"," "),"&amp;"," "),"\"," "))&amp;" "</f>
        <v>  </v>
      </c>
      <c r="BG669" s="61" t="n">
        <f aca="false">IFERROR(IF(AND(TRIM(U669)="Pass",SUMPRODUCT((LEN(BC669)-LEN(SUBSTITUTE(BC669," "&amp;L_ResultBad&amp;" "," ")))/(LEN(L_ResultBad)+1))&gt;SUMPRODUCT((LEN(BC669)-LEN(SUBSTITUTE(BC669," "&amp;L_NegPhrase&amp;" "," ")))/(LEN(L_NegPhrase)+1))),1,0),0)</f>
        <v>0</v>
      </c>
      <c r="BH669" s="61" t="n">
        <f aca="false">IFERROR(IF(SUMPRODUCT((LEN(BC669)-LEN(SUBSTITUTE(BC669," "&amp;L_Pending&amp;" "," ")))/(LEN(L_Pending)+1))&gt;SUMPRODUCT((LEN(BC669)-LEN(SUBSTITUTE(BC669," "&amp;L_PendNeg&amp;" "," ")))/(LEN(L_PendNeg)+1))+SUMPRODUCT((LEN(BC669)-LEN(SUBSTITUTE(BC669," "&amp;L_PendPrep&amp;" "," ")))/(LEN(L_PendPrep)+1)),1,0),1)</f>
        <v>0</v>
      </c>
      <c r="BI669" s="61" t="n">
        <f aca="false">IFERROR(IF(SUMPRODUCT((LEN(BD669)-LEN(SUBSTITUTE(BD669," "&amp;L_PendStrict&amp;" "," ")))/(LEN(L_PendStrict)+1))&gt;SUMPRODUCT((LEN(BD669)-LEN(SUBSTITUTE(BD669," "&amp;L_PendNeg&amp;" "," ")))/(LEN(L_PendNeg)+1)),1,0),1)</f>
        <v>0</v>
      </c>
      <c r="BJ669" s="61" t="n">
        <f aca="false">IFERROR(IF(SUMPRODUCT((LEN(BE669)-LEN(SUBSTITUTE(BE669," "&amp;L_Pending&amp;" "," ")))/(LEN(L_Pending)+1))&gt;SUMPRODUCT((LEN(BE669)-LEN(SUBSTITUTE(BE669," "&amp;L_PendNeg&amp;" "," ")))/(LEN(L_PendNeg)+1))+SUMPRODUCT((LEN(BE669)-LEN(SUBSTITUTE(BE669," "&amp;L_PendPrep&amp;" "," ")))/(LEN(L_PendPrep)+1)),1,0),1)</f>
        <v>0</v>
      </c>
      <c r="BK669" s="61" t="n">
        <f aca="false">IFERROR(IF(SUMPRODUCT((LEN(BF669)-LEN(SUBSTITUTE(BF669," "&amp;L_PendStrict&amp;" "," ")))/(LEN(L_PendStrict)+1))&gt;SUMPRODUCT((LEN(BF669)-LEN(SUBSTITUTE(BF669," "&amp;L_PendNeg&amp;" "," ")))/(LEN(L_PendNeg)+1)),1,0),1)</f>
        <v>0</v>
      </c>
      <c r="BL669" s="61" t="n">
        <f aca="false">IF(ISNA(MATCH(TRIM(S669),L_EvidenceType,0)),0,BZ669)</f>
        <v>0</v>
      </c>
      <c r="BM669" s="61" t="str">
        <f aca="false">SUBSTITUTE(SUBSTITUTE(SUBSTITUTE(SUBSTITUTE(SUBSTITUTE(SUBSTITUTE(SUBSTITUTE(SUBSTITUTE(SUBSTITUTE(LOWER(Z669&amp;""),"1","0"),"2","0"),"3","0"),"4","0"),"5","0"),"6","0"),"7","0"),"8","0"),"9","0")</f>
        <v/>
      </c>
      <c r="BN669" s="61" t="str">
        <f aca="false">SUBSTITUTE(SUBSTITUTE(SUBSTITUTE(SUBSTITUTE(SUBSTITUTE(SUBSTITUTE(SUBSTITUTE(SUBSTITUTE(SUBSTITUTE(SUBSTITUTE(SUBSTITUTE(SUBSTITUTE(SUBSTITUTE(SUBSTITUTE(SUBSTITUTE(SUBSTITUTE(SUBSTITUTE(SUBSTITUTE(SUBSTITUTE(SUBSTITUTE(SUBSTITUTE(SUBSTITUTE(SUBSTITUTE(SUBSTITUTE(SUBSTITUTE(BM669,"b","a"),"c","a"),"d","a"),"e","a"),"f","a"),"g","a"),"h","a"),"i","a"),"j","a"),"k","a"),"l","a"),"m","a"),"n","a"),"o","a"),"p","a"),"q","a"),"r","a"),"s","a"),"t","a"),"u","a"),"v","a"),"w","a"),"x","a"),"y","a"),"z","a")</f>
        <v/>
      </c>
      <c r="BO669" s="61" t="str">
        <f aca="false">SUBSTITUTE(SUBSTITUTE(SUBSTITUTE(SUBSTITUTE(SUBSTITUTE(SUBSTITUTE(SUBSTITUTE(SUBSTITUTE(SUBSTITUTE(LOWER(W669&amp;""),"1","0"),"2","0"),"3","0"),"4","0"),"5","0"),"6","0"),"7","0"),"8","0"),"9","0")</f>
        <v/>
      </c>
      <c r="BP669" s="61" t="str">
        <f aca="false">SUBSTITUTE(SUBSTITUTE(SUBSTITUTE(SUBSTITUTE(SUBSTITUTE(SUBSTITUTE(SUBSTITUTE(SUBSTITUTE(SUBSTITUTE(SUBSTITUTE(SUBSTITUTE(SUBSTITUTE(SUBSTITUTE(SUBSTITUTE(SUBSTITUTE(SUBSTITUTE(SUBSTITUTE(SUBSTITUTE(SUBSTITUTE(SUBSTITUTE(SUBSTITUTE(SUBSTITUTE(SUBSTITUTE(SUBSTITUTE(SUBSTITUTE(BO669,"b","a"),"c","a"),"d","a"),"e","a"),"f","a"),"g","a"),"h","a"),"i","a"),"j","a"),"k","a"),"l","a"),"m","a"),"n","a"),"o","a"),"p","a"),"q","a"),"r","a"),"s","a"),"t","a"),"u","a"),"v","a"),"w","a"),"x","a"),"y","a"),"z","a")</f>
        <v/>
      </c>
      <c r="BQ669" s="61" t="n">
        <f aca="false">IFERROR(IF(AND(ISERROR(SEARCH(" mh"," "&amp;LOWER(W669))),ISNA(MATCH(LEFT(TRIM(BP669),255),{"0000a","000a","00a","0000aa","000aa","00aa","0aa","0000aaa","000aaa","00a00","0a00","0000-0000","00:00","a00","a0","00.00.0000","00/00/0000","00-00-0000","0000-00-00","0000/00/00","0000.00.00","00.00.00","00/00/00","00-00-00","0.00.0000","0/00/0000","0-00-0000"},0)),ISNA(MATCH(LEFT(TRIM(CA669),255),{"0000a","000a","00a","0000aa","000aa","00aa","0aa","0000aaa","000aaa","00a00","0a00","0000-0000","00:00","a00","a0","00.00.0000","00/00/0000","00-00-0000","0000-00-00","0000/00/00","0000.00.00","00.00.00","00/00/00","00-00-00","0.00.0000","0/00/0000","0-00-0000"},0)),LEN(CB669)&gt;=3,NOT(OR(SUBSTITUTE(CB669,"0","")="",AND(LEN(CB669)&gt;=4,CB669=REPT(LEFT(CB669),LEN(CB669))),ISNUMBER(MATCH(CB669,{"123","1234","12345","123456","1234567","12345678","0123","01234","012345","98765","987654","54321"},0)),AND(LEN(CB669)=8,LEFT(CB669,3)="202"))),OR(AND((LEN(CA669)-LEN(SUBSTITUTE(CA669,"a","")))&gt;=1,SUMPRODUCT(--ISNUMBER(SEARCH({"a0","a-0","a_0","a/0","a.0","a#0","0a","0-a","0_a","0/a"},BP669)))&gt;0),ISNUMBER(SEARCH("000000",BP669)))),1,0),0)</f>
        <v>0</v>
      </c>
      <c r="BR669" s="61" t="n">
        <f aca="false">IFERROR(LEN(SUBSTITUTE(CC669," ",""))-SUMPRODUCT((LEN(CC669)-LEN(SUBSTITUTE(CC669," "&amp;L_Role&amp;" "," ")))/(LEN(L_Role)+1)*LEN(L_Role)),0)</f>
        <v>0</v>
      </c>
      <c r="BS669" s="61" t="n">
        <f aca="false">IFERROR(LEN(SUBSTITUTE(CD669," ",""))-SUMPRODUCT((LEN(CD669)-LEN(SUBSTITUTE(CD669," "&amp;L_Role&amp;" "," ")))/(LEN(L_Role)+1)*LEN(L_Role)),0)</f>
        <v>0</v>
      </c>
      <c r="BT6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669,"revision",""),"version",""),"jan",""),"feb",""),"mar",""),"apr",""),"may",""),"jun",""),"jul",""),"aug",""),"sep",""),"oct",""),"nov",""),"dec",""),"utc",""),"gmt",""),"myt",""),"bst",""),"rev",""),"ver",""),"b","a"),"c","a"),"d","a"),"e","a"),"f","a"),"g","a"),"h","a"),"i","a"),"j","a"),"k","a"),"l","a"),"m","a"),"n","a"),"o","a"),"p","a"),"q","a"),"r","a"),"s","a"),"t","a"),"u","a"),"v","a"),"w","a"),"x","a"),"y","a"),"z","a")</f>
        <v/>
      </c>
      <c r="BU669" s="61" t="str">
        <f aca="false">SUBSTITUTE(SUBSTITUTE(SUBSTITUTE(SUBSTITUTE(SUBSTITUTE(SUBSTITUTE(SUBSTITUTE(SUBSTITUTE(SUBSTITUTE(SUBSTITUTE(LEFT(BM669,FIND("0",BM669&amp;"0")-1),"-",""),"_",""),"/",""),".",""),"#",""),"\\",""),":","")," ",""),"(",""),")","")</f>
        <v/>
      </c>
      <c r="BV669" s="61" t="n">
        <f aca="false">0</f>
        <v>0</v>
      </c>
      <c r="BW66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669&amp;""),"a",""),"b",""),"c",""),"d",""),"e",""),"f",""),"g",""),"h",""),"i",""),"j",""),"k",""),"l",""),"m",""),"n",""),"o",""),"p",""),"q",""),"r",""),"s",""),"t",""),"u",""),"v",""),"w",""),"x",""),"y",""),"z",""),"-",""),"_",""),"/",""),".",""),"#",""),"\\",""),":","")," ",""),"(",""),")","")</f>
        <v/>
      </c>
      <c r="BX669" s="61" t="str">
        <f aca="false">SUBSTITUTE(SUBSTITUTE(SUBSTITUTE(SUBSTITUTE(SUBSTITUTE(SUBSTITUTE(SUBSTITUTE(SUBSTITUTE(SUBSTITUTE(SUBSTITUTE(SUBSTITUTE(BM669,"0",""),"-",""),"_",""),"/",""),".",""),"#",""),"\\",""),":","")," ",""),"(",""),")","")</f>
        <v/>
      </c>
      <c r="BY669" s="62" t="n">
        <f aca="false">Q669-T7EarlyD*24/24</f>
        <v>46304.28125</v>
      </c>
      <c r="BZ669" s="61" t="n">
        <f aca="false">IFERROR(IF(IF(TRIM(S669)="Link / file path",AND(LEN(TRIM(Z669))&gt;=5,SUMPRODUCT(--ISNUMBER(SEARCH({"http","www.","\\",":\",".pdf",".jpg",".jpeg",".png",".heic",".xls",".doc",".msg",".eml",".ppt",".txt",".zip"},Z669)))&gt;0),AND(ISERROR(FIND(" ",TRIM(Z669))),NOT(OR(SUMPRODUCT(--ISNUMBER(FIND({",",";","&amp;","+"},Z669)))&gt;0,SUMPRODUCT(--ISNUMBER(SEARCH({"0/aa","0\\aa"},BN669)))&gt;0)),NOT(SUMPRODUCT(--ISNUMBER(SEARCH({"http","www.","\\",":\",".pdf",".jpg",".jpeg",".png",".heic",".xls",".doc",".msg",".eml",".ppt",".txt",".zip"},Z669)))&gt;0),NOT(LOWER(TRIM(Z669))=LOWER(Flights!$F$25)),ISNA(MATCH(BU669,{"mh","rev","revision","ver","version","v","r","a","b","seat","tray","row","gate","bay","stand","page","pg","item","line","no","cart","galley","flight","flt","table","box","bag","oven","etd","eta","std","sta","atd","ata","qty","pax","x","time","tel","ph","mob","day","wk","week","utc","gmt","myt","lt"},0)),NOT(OR(ISNUMBER(MATCH(LEFT(BN669,255),{"0000a","000a","00a","0000aa","000aa","00aa","0aa","0000aaa","000aaa","00a00","0a00","0000-0000","00:00","a00","a0","00.00.0000","00/00/0000","00-00-0000","0000-00-00","0000/00/00","0000.00.00","00.00.00","00/00/00","00-00-00","0.00.0000","0/00/0000","0-00-0000"},0)),ISNUMBER(MATCH(LEFT(BT669,255),{"0000a","000a","00a","0000aa","000aa","00aa","0aa","0000aaa","000aaa","00a00","0a00","0000-0000","00:00","a00","a0","00.00.0000","00/00/0000","00-00-0000","0000-00-00","0000/00/00","0000.00.00","00.00.00","00/00/00","00-00-00","0.00.0000","0/00/0000","0-00-0000"},0)))),NOT(OR(AND(BW669&lt;&gt;"",SUBSTITUTE(BW669,"0","")=""),AND(LEN(BW669)&gt;=4,BW669=REPT(LEFT(BW669),LEN(BW669))),ISNUMBER(MATCH(BW669,{"123","1234","12345","123456","1234567","12345678","0123","01234","012345","98765","987654","54321"},0)),ISNUMBER(MATCH(BX669,{"x","xx","xxx","xxxx","xxxxx","abc","abcd","nil","na","nan","test","tbc","tba","tbd","dummy","sample","example","eg","zz","zzz","none","null","xyz","qwe","asd","id","ref"},0)),AND(LEN(BW669)=8,BX669="",OR(LEFT(BW669,3)="202",ISNUMBER(MATCH(RIGHT(BW669,4),{"2025","2026","2027"},0)))))),OR(AND((LEN(BT669)-LEN(SUBSTITUTE(BT669,"a","")))&gt;=1,(LEN(BN669)-LEN(SUBSTITUTE(BN669,"0","")))&gt;=2,SUMPRODUCT(--ISNUMBER(SEARCH({"a0","a-0","a_0","a/0","a.0","a#0","0a","0-a","0_a","0/a"},BN669)))&gt;0),AND((LEN(BN669)-LEN(SUBSTITUTE(BN669,"a","")))=0,(LEN(BN669)-LEN(SUBSTITUTE(BN669,"0","")))&gt;=5)))),1,0),0)</f>
        <v>0</v>
      </c>
      <c r="CA6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669,"revision",""),"version",""),"jan",""),"feb",""),"mar",""),"apr",""),"may",""),"jun",""),"jul",""),"aug",""),"sep",""),"oct",""),"nov",""),"dec",""),"utc",""),"gmt",""),"myt",""),"bst",""),"rev",""),"ver",""),"b","a"),"c","a"),"d","a"),"e","a"),"f","a"),"g","a"),"h","a"),"i","a"),"j","a"),"k","a"),"l","a"),"m","a"),"n","a"),"o","a"),"p","a"),"q","a"),"r","a"),"s","a"),"t","a"),"u","a"),"v","a"),"w","a"),"x","a"),"y","a"),"z","a")</f>
        <v/>
      </c>
      <c r="CB66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669&amp;""),"a",""),"b",""),"c",""),"d",""),"e",""),"f",""),"g",""),"h",""),"i",""),"j",""),"k",""),"l",""),"m",""),"n",""),"o",""),"p",""),"q",""),"r",""),"s",""),"t",""),"u",""),"v",""),"w",""),"x",""),"y",""),"z",""),"-",""),"_",""),"/",""),".",""),"#",""),"\\",""),":","")," ",""),"(",""),")","")</f>
        <v/>
      </c>
      <c r="CC669" s="0" t="str">
        <f aca="false">" "&amp;TRIM(SUBSTITUTE(SUBSTITUTE(SUBSTITUTE(SUBSTITUTE(SUBSTITUTE(SUBSTITUTE(SUBSTITUTE(SUBSTITUTE(SUBSTITUTE(SUBSTITUTE(SUBSTITUTE(SUBSTITUTE(SUBSTITUTE(SUBSTITUTE(SUBSTITUTE(SUBSTITUTE(SUBSTITUTE(SUBSTITUTE(SUBSTITUTE(SUBSTITUTE(SUBSTITUTE(SUBSTITUTE(SUBSTITUTE(SUBSTITUTE(LOWER(T669&amp;""),CHAR(10)," "),CHAR(13)," "),CHAR(9)," "),CHAR(160)," "),"."," "),","," "),"-"," "),"/"," "),"("," "),")"," "),":"," "),";"," "),"_"," "),"–"," "),"?"," "),"!"," "),"*"," "),"["," "),"]"," "),"'"," "),"#"," "),"+"," "),"&amp;"," "),"\"," "))&amp;" "</f>
        <v>  </v>
      </c>
      <c r="CD669" s="0" t="str">
        <f aca="false">" "&amp;TRIM(SUBSTITUTE(SUBSTITUTE(SUBSTITUTE(SUBSTITUTE(SUBSTITUTE(SUBSTITUTE(SUBSTITUTE(SUBSTITUTE(SUBSTITUTE(SUBSTITUTE(SUBSTITUTE(SUBSTITUTE(SUBSTITUTE(SUBSTITUTE(SUBSTITUTE(SUBSTITUTE(SUBSTITUTE(SUBSTITUTE(SUBSTITUTE(SUBSTITUTE(SUBSTITUTE(SUBSTITUTE(SUBSTITUTE(SUBSTITUTE(LOWER(AE669&amp;""),CHAR(10)," "),CHAR(13)," "),CHAR(9)," "),CHAR(160)," "),"."," "),","," "),"-"," "),"/"," "),"("," "),")"," "),":"," "),";"," "),"_"," "),"–"," "),"?"," "),"!"," "),"*"," "),"["," "),"]"," "),"'"," "),"#"," "),"+"," "),"&amp;"," "),"\"," "))&amp;" "</f>
        <v>  </v>
      </c>
      <c r="CE669" s="68" t="n">
        <f aca="false">IFERROR(IF(AND(LEN(AU669)&gt;0,LEN(AU669)=LEN(AX669),OR(TRIM(MID(SUBSTITUTE(TRIM(CC669)," ",REPT(" ",60)),1,60))="",ISNUMBER(SEARCH(" "&amp;TRIM(MID(SUBSTITUTE(TRIM(CC669)," ",REPT(" ",60)),1,60))&amp;" ",CD669))),OR(TRIM(MID(SUBSTITUTE(TRIM(CC669)," ",REPT(" ",60)),61,60))="",ISNUMBER(SEARCH(" "&amp;TRIM(MID(SUBSTITUTE(TRIM(CC669)," ",REPT(" ",60)),61,60))&amp;" ",CD669))),OR(TRIM(MID(SUBSTITUTE(TRIM(CC669)," ",REPT(" ",60)),121,60))="",ISNUMBER(SEARCH(" "&amp;TRIM(MID(SUBSTITUTE(TRIM(CC669)," ",REPT(" ",60)),121,60))&amp;" ",CD669)))),1,0),0)</f>
        <v>0</v>
      </c>
      <c r="CG669" s="68" t="n">
        <f aca="false">IFERROR(LEN(SUBSTITUTE(BF669," ",""))-SUMPRODUCT((LEN(BF669)-LEN(SUBSTITUTE(BF669," "&amp;L_NAFiller&amp;" "," ")))/(LEN(L_NAFiller)+1)*LEN(L_NAFiller)),0)</f>
        <v>0</v>
      </c>
    </row>
    <row r="670" customFormat="false" ht="39.75" hidden="false" customHeight="true" outlineLevel="0" collapsed="false">
      <c r="A670" s="57" t="s">
        <v>1390</v>
      </c>
      <c r="B670" s="57" t="s">
        <v>310</v>
      </c>
      <c r="C670" s="57" t="str">
        <f aca="false">Flights!$F$25</f>
        <v>MH1437</v>
      </c>
      <c r="D670" s="58" t="n">
        <f aca="false">Flights!$D$25</f>
        <v>46325</v>
      </c>
      <c r="E670" s="57" t="str">
        <f aca="false">Flights!$G$25&amp;"-"&amp;Flights!$H$25</f>
        <v>LGK-KUL</v>
      </c>
      <c r="F670" s="57" t="str">
        <f aca="false">Flights!$K$25</f>
        <v>BC</v>
      </c>
      <c r="G670" s="57" t="s">
        <v>81</v>
      </c>
      <c r="H670" s="57" t="s">
        <v>378</v>
      </c>
      <c r="I670" s="57" t="s">
        <v>398</v>
      </c>
      <c r="J670" s="57" t="s">
        <v>402</v>
      </c>
      <c r="K670" s="67" t="s">
        <v>403</v>
      </c>
      <c r="L670" s="67" t="s">
        <v>382</v>
      </c>
      <c r="M670" s="67"/>
      <c r="N670" s="67" t="s">
        <v>383</v>
      </c>
      <c r="O670" s="67"/>
      <c r="P670" s="57" t="s">
        <v>187</v>
      </c>
      <c r="Q670" s="59" t="n">
        <f aca="false">ROUND((Flights!$AC$25)*1440,0)/1440</f>
        <v>46318.28125</v>
      </c>
      <c r="R670" s="59" t="n">
        <f aca="false">Q670+(IF(AND(INDEX(TZ_DSTS,MATCH(P670,TZ_STN,0))&lt;&gt;"",Q670&gt;=INDEX(TZ_DSTS,MATCH(P670,TZ_STN,0)),Q670&lt;INDEX(TZ_DSTE,MATCH(P670,TZ_STN,0))),INDEX(TZ_DST,MATCH(P670,TZ_STN,0)),INDEX(TZ_STD,MATCH(P670,TZ_STN,0))))/24</f>
        <v>46318.6145833333</v>
      </c>
      <c r="S670" s="60"/>
      <c r="T670" s="60"/>
      <c r="U670" s="60"/>
      <c r="V670" s="60"/>
      <c r="W670" s="61"/>
      <c r="X670" s="60"/>
      <c r="Y670" s="60"/>
      <c r="Z670" s="60"/>
      <c r="AA670" s="60"/>
      <c r="AB670" s="60"/>
      <c r="AC670" s="60"/>
      <c r="AD670" s="66"/>
      <c r="AE670" s="60"/>
      <c r="AF670" s="61" t="str">
        <f aca="false">IF(AND(ISNUMBER(X670),ISNUMBER(Y670)),Y670-X670,"")</f>
        <v/>
      </c>
      <c r="AG670" s="62" t="str">
        <f aca="false">IF(ISNUMBER(AD670),AD670-(IF(AND(INDEX(TZ_DSTS,MATCH(P670,TZ_STN,0))&lt;&gt;"",(AD670-INDEX(TZ_STD,MATCH(P670,TZ_STN,0))/24)&gt;=INDEX(TZ_DSTS,MATCH(P670,TZ_STN,0)),(AD670-INDEX(TZ_STD,MATCH(P670,TZ_STN,0))/24)&lt;INDEX(TZ_DSTE,MATCH(P670,TZ_STN,0))),INDEX(TZ_DST,MATCH(P670,TZ_STN,0)),INDEX(TZ_STD,MATCH(P670,TZ_STN,0))))/24,"")</f>
        <v/>
      </c>
      <c r="AH670" s="65" t="str">
        <f aca="false">IFERROR(IF(N670="N/A – rule",IF(OR(TRIM(U670)="",TRIM(U670)="N/A",TRIM(U670)="Not started"),"N/A – RULE","INVALID – this check does not apply to this aircraft: clear the status (or correct the fleet on Flights)"),IF(TRIM(U670)="N/A",IF(AT670=0,"INVALID – N/A not permitted for this check",IF(AND(TRIM(AB670)&lt;&gt;"",TRIM(AB670)&lt;&gt;"Closed"),"INVALID – corrective action still open",IF(AND(NOT(OR(LEN(AZ670)&lt;15,ISNUMBER(MATCH(AZ670,L_Placeholder,0)))),BK670=0,CG670&gt;=8,NOT(OR(LEN(AU670)&lt;2,ISNUMBER(MATCH(AU670,L_Placeholder,0)))),BR670&gt;=3,NOT(OR(LEN(AX670)&lt;2,ISNUMBER(MATCH(AX670,L_Placeholder,0)))),BS670&gt;=3,TRIM(AE670)&lt;&gt;TRIM(T670),AX670&lt;&gt;AU670,CE670=0),"N/A – JUSTIFIED","INVALID – N/A needs a real, settled reason (not 'not applicable' / 'as above' / TBC), a named PIC and a different named verifier"))),IF(OR(TRIM(U670)="Pass",TRIM(U670)="Pass after CA"),IF(NOT(ISNUMBER(AD670)),"INVALID – completion time missing",IF(OR(OR(LEN(AU670)&lt;2,ISNUMBER(MATCH(AU670,L_Placeholder,0))),BR670&lt;3),"INVALID – PIC missing or not a named person (a role such as QA / CSM is not a name)",IF(OR(LEN(AV670)&lt;2,ISNUMBER(MATCH(AV670,L_Placeholder,0))),"INVALID – result / assessment missing",IF(OR(OR(LEN(AW670)&lt;3,ISNUMBER(MATCH(AW670,L_Placeholder,0))),SUMPRODUCT(--ISNUMBER(SEARCH(" "&amp;L_EvidencePhrase&amp;" ",BD670)))&gt;0,BI670=1),"INVALID – evidence missing, placeholder or not yet on file",IF(ISNA(MATCH(TRIM(S670),L_EvidenceType,0)),"INVALID – choose the evidence type from the list (column S)",IF(BL670=0,"INVALID – evidence ID must be the record's own ID only (e.g. SF-2210, IMG_2231, 1045521); a link / file name needs type 'Link / file path'",IF(OR(OR(LEN(AX670)&lt;2,ISNUMBER(MATCH(AX670,L_Placeholder,0))),BS670&lt;3),"INVALID – verifier missing or not a named person (a role such as QA / CSM is not a name)",IF(OR(AX670=AU670,CE670=1,AND(LEN(AU670)&gt;=4,ISNUMBER(SEARCH(AU670,AX670))),AND(LEN(AX670)&gt;=4,ISNUMBER(SEARCH(AX670,AU670)))),"INVALID – verifier must be a different, named person (not the PIC or a role)",IF(BH670=1,"INVALID – result not yet available (awaiting / TBC)",IF(BG670=1,"INVALID – result describes a problem: record Fail, then Pass after CA (or reword if it is not a problem)",IF(BV670=1,"INVALID – wording says not on board: an on-board confirmation needs the item loaded",IF(AND(AQ670=1,OR(OR(LEN(AY670)&lt;3,ISNUMBER(MATCH(AY670,L_Placeholder,0))),BJ670=1,BQ670=0)),"INVALID – batch ID missing, placeholder or not an ID (e.g. PASB-261008-BC-017)",IF(AND(AR670=1,OR(NOT(ISNUMBER(X670)),NOT(ISNUMBER(Y670)))),"INVALID – expected/actual qty missing",IF(AND(AR670=1,OR(X670&lt;=0,Y670&lt;0)),"INVALID – expected qty must be above 0 and actual not negative",IF(BB670&lt;&gt;"",BB670,IF(AND(AS670=1,Documents!$J$25&lt;&gt;"ON FILE"),"INVALID – GLD not on file (Documents sheet)",IF(AND(AS670=2,Documents!$O$25&lt;&gt;"ON FILE"),"INVALID – menu checklist not on file (Documents sheet)",IF(AND(AS670=3,NOT(ISNUMBER(Flights!$AX$25))),"INVALID – enter carrying flight KUL departure (Flights AX)",IF(AND(AS670=3,OR(Flights!$AZ$25&gt;Flights!$AA$25,Flights!$AX$25&lt;Flights!$AA$25-3)),"INVALID – carrying flight (Flights AX) cannot arrive before this leg's STD, or is over 3 days early",IF(AG670&gt;AsOfUTC,"INVALID – completion time is in the future",IF(AND(ISNUMBER(BY670),AG670&lt;BY670),IF(H670="Physical uplift","INVALID – before uplift window (cannot confirm loading)","INVALID – before valid window"),IF(AG670&gt;Flights!$AA$25,"INVALID – completed after departure (cannot establish readiness)",IF(AND(H670="Preparation",AG670&gt;=IF(ISNUMBER(Flights!$BA$25),MIN(Flights!$BA$25,Flights!$AA$25),Flights!$AA$25)),"INVALID – completed after loading / departure (cannot establish readiness)",IF(AND(H670="Physical uplift",AG670&gt;Q670),"INVALID – recorded after the loading flight departed",IF(AG670&gt;Q670,"COMPLETE – LATE","COMPLETE"))))))))))))))))))))))))),IF(TRIM(U670)="Fail","FAIL – DISCREPANCY",IF(AND(TRIM(U670)&lt;&gt;"",TRIM(U670)&lt;&gt;"Not started",TRIM(U670)&lt;&gt;"In progress"),"INVALID – unrecognised status (use the list)",IF(AsOfUTC&gt;Q670,"OVERDUE",IF(N670="Clarification required","OPEN – CLARIFICATION","OPEN"))))))),"INVALID – error value in an input cell")</f>
        <v>OPEN</v>
      </c>
      <c r="AI670" s="61" t="n">
        <f aca="false">IF(OR(AH670="N/A – RULE",AH670="N/A – JUSTIFIED"),0,1)</f>
        <v>1</v>
      </c>
      <c r="AJ670" s="61" t="n">
        <f aca="false">IF(LEFT(AH670,8)="COMPLETE",1,0)</f>
        <v>0</v>
      </c>
      <c r="AK670" s="61" t="n">
        <f aca="false">IF(AND(AI670=1,AJ670=0,AsOfUTC&gt;Q670),1,0)</f>
        <v>0</v>
      </c>
      <c r="AL670" s="61" t="n">
        <f aca="false">IFERROR(IF(AND(AI670=1,OR(TRIM(U670)="Fail",AND(TRIM(AB670)&lt;&gt;"",TRIM(AB670)&lt;&gt;"Closed"),AND(ISNUMBER(AF670),AF670&lt;&gt;0,TRIM(U670)&lt;&gt;"Pass after CA"))),1,0),1)</f>
        <v>0</v>
      </c>
      <c r="AM670" s="61" t="n">
        <f aca="false">IF(LEFT(AH670,7)="INVALID",1,0)</f>
        <v>0</v>
      </c>
      <c r="AN670" s="61" t="n">
        <f aca="false">IF(AND(N670="Clarification required",AI670=1,AJ670=0),1,0)</f>
        <v>0</v>
      </c>
      <c r="AO670" s="61" t="str">
        <f aca="false">IF(AK670=1,SUM(AK$5:AK670),"")</f>
        <v/>
      </c>
      <c r="AP670" s="61" t="str">
        <f aca="false">IF(AL670=1,SUM(AL$5:AL670),"")</f>
        <v/>
      </c>
      <c r="AQ670" s="61" t="n">
        <v>0</v>
      </c>
      <c r="AR670" s="61" t="n">
        <v>0</v>
      </c>
      <c r="AS670" s="61" t="n">
        <v>0</v>
      </c>
      <c r="AT670" s="61" t="n">
        <v>0</v>
      </c>
      <c r="AU670" s="61" t="str">
        <f aca="false">SUBSTITUTE(SUBSTITUTE(SUBSTITUTE(SUBSTITUTE(SUBSTITUTE(SUBSTITUTE(SUBSTITUTE(SUBSTITUTE(SUBSTITUTE(SUBSTITUTE(SUBSTITUTE(SUBSTITUTE(SUBSTITUTE(SUBSTITUTE(SUBSTITUTE(SUBSTITUTE(LOWER(T670&amp;""),CHAR(10),""),CHAR(13),""),CHAR(9),""),CHAR(160),"")," ",""),".",""),"-",""),"/",""),"?",""),"_",""),",",""),"[",""),"]",""),"(",""),")",""),"*","")</f>
        <v/>
      </c>
      <c r="AV670" s="61" t="str">
        <f aca="false">SUBSTITUTE(SUBSTITUTE(SUBSTITUTE(SUBSTITUTE(SUBSTITUTE(SUBSTITUTE(SUBSTITUTE(SUBSTITUTE(SUBSTITUTE(SUBSTITUTE(SUBSTITUTE(SUBSTITUTE(SUBSTITUTE(SUBSTITUTE(SUBSTITUTE(SUBSTITUTE(LOWER(V670&amp;""),CHAR(10),""),CHAR(13),""),CHAR(9),""),CHAR(160),"")," ",""),".",""),"-",""),"/",""),"?",""),"_",""),",",""),"[",""),"]",""),"(",""),")",""),"*","")</f>
        <v/>
      </c>
      <c r="AW670" s="61" t="str">
        <f aca="false">SUBSTITUTE(SUBSTITUTE(SUBSTITUTE(SUBSTITUTE(SUBSTITUTE(SUBSTITUTE(SUBSTITUTE(SUBSTITUTE(SUBSTITUTE(SUBSTITUTE(SUBSTITUTE(SUBSTITUTE(SUBSTITUTE(SUBSTITUTE(SUBSTITUTE(SUBSTITUTE(LOWER(Z670&amp;""),CHAR(10),""),CHAR(13),""),CHAR(9),""),CHAR(160),"")," ",""),".",""),"-",""),"/",""),"?",""),"_",""),",",""),"[",""),"]",""),"(",""),")",""),"*","")</f>
        <v/>
      </c>
      <c r="AX670" s="61" t="str">
        <f aca="false">SUBSTITUTE(SUBSTITUTE(SUBSTITUTE(SUBSTITUTE(SUBSTITUTE(SUBSTITUTE(SUBSTITUTE(SUBSTITUTE(SUBSTITUTE(SUBSTITUTE(SUBSTITUTE(SUBSTITUTE(SUBSTITUTE(SUBSTITUTE(SUBSTITUTE(SUBSTITUTE(LOWER(AE670&amp;""),CHAR(10),""),CHAR(13),""),CHAR(9),""),CHAR(160),"")," ",""),".",""),"-",""),"/",""),"?",""),"_",""),",",""),"[",""),"]",""),"(",""),")",""),"*","")</f>
        <v/>
      </c>
      <c r="AY670" s="61" t="str">
        <f aca="false">SUBSTITUTE(SUBSTITUTE(SUBSTITUTE(SUBSTITUTE(SUBSTITUTE(SUBSTITUTE(SUBSTITUTE(SUBSTITUTE(SUBSTITUTE(SUBSTITUTE(SUBSTITUTE(SUBSTITUTE(SUBSTITUTE(SUBSTITUTE(SUBSTITUTE(SUBSTITUTE(LOWER(W670&amp;""),CHAR(10),""),CHAR(13),""),CHAR(9),""),CHAR(160),"")," ",""),".",""),"-",""),"/",""),"?",""),"_",""),",",""),"[",""),"]",""),"(",""),")",""),"*","")</f>
        <v/>
      </c>
      <c r="AZ670" s="61" t="str">
        <f aca="false">SUBSTITUTE(SUBSTITUTE(SUBSTITUTE(SUBSTITUTE(SUBSTITUTE(SUBSTITUTE(SUBSTITUTE(SUBSTITUTE(SUBSTITUTE(SUBSTITUTE(SUBSTITUTE(SUBSTITUTE(SUBSTITUTE(SUBSTITUTE(SUBSTITUTE(SUBSTITUTE(LOWER(AC670&amp;""),CHAR(10),""),CHAR(13),""),CHAR(9),""),CHAR(160),"")," ",""),".",""),"-",""),"/",""),"?",""),"_",""),",",""),"[",""),"]",""),"(",""),")",""),"*","")</f>
        <v/>
      </c>
      <c r="BA670" s="61" t="str">
        <f aca="false">SUBSTITUTE(SUBSTITUTE(SUBSTITUTE(SUBSTITUTE(SUBSTITUTE(SUBSTITUTE(SUBSTITUTE(SUBSTITUTE(SUBSTITUTE(SUBSTITUTE(SUBSTITUTE(SUBSTITUTE(SUBSTITUTE(SUBSTITUTE(SUBSTITUTE(SUBSTITUTE(LOWER(AA670&amp;""),CHAR(10),""),CHAR(13),""),CHAR(9),""),CHAR(160),"")," ",""),".",""),"-",""),"/",""),"?",""),"_",""),",",""),"[",""),"]",""),"(",""),")",""),"*","")</f>
        <v/>
      </c>
      <c r="BB670" s="61" t="str">
        <f aca="false">IF(AND(TRIM(U670)="Pass",ISNUMBER(AF670)),IF(AF670&lt;&gt;0,"INVALID – qty variance: use Fail or Pass after CA",""),"")&amp;IF(AND(TRIM(U670)="Pass after CA",ISNUMBER(AF670)),IF(AF670&lt;&gt;0,"INVALID – after the corrective action the actual qty must equal expected (update Actual)",""),"")&amp;IF(AND(TRIM(U670)="Pass",TRIM(AB670)&lt;&gt;"",TRIM(AB670)&lt;&gt;"Closed"),"INVALID – corrective action not closed: use Fail, then Pass after CA","")&amp;IF(AND(LEN(BA670)&gt;=2,ISNA(MATCH(LEFT(BA670,255),L_Placeholder,0)),TRIM(AB670)=""),"INVALID – CA status missing for the recorded corrective action","")&amp;IF(AND(TRIM(U670)="Pass after CA",OR(OR(LEN(BA670)&lt;5,ISNUMBER(MATCH(BA670,L_Placeholder,0))),TRIM(AB670)&lt;&gt;"Closed")),"INVALID – corrective action not recorded/closed","")</f>
        <v/>
      </c>
      <c r="BC670" s="61" t="str">
        <f aca="false">" "&amp;TRIM(SUBSTITUTE(SUBSTITUTE(SUBSTITUTE(SUBSTITUTE(SUBSTITUTE(SUBSTITUTE(SUBSTITUTE(SUBSTITUTE(SUBSTITUTE(SUBSTITUTE(SUBSTITUTE(SUBSTITUTE(SUBSTITUTE(SUBSTITUTE(SUBSTITUTE(SUBSTITUTE(SUBSTITUTE(SUBSTITUTE(SUBSTITUTE(SUBSTITUTE(SUBSTITUTE(SUBSTITUTE(SUBSTITUTE(SUBSTITUTE(LOWER(V670&amp;""),CHAR(10)," "),CHAR(13)," "),CHAR(9)," "),CHAR(160)," "),"."," "),","," "),"-"," "),"/"," "),"("," "),")"," "),":"," "),";"," "),"_"," "),"–"," "),"?"," "),"!"," "),"*"," "),"["," "),"]"," "),"'"," "),"#"," "),"+"," "),"&amp;"," "),"\"," "))&amp;" "</f>
        <v>  </v>
      </c>
      <c r="BD670" s="61" t="str">
        <f aca="false">" "&amp;TRIM(SUBSTITUTE(SUBSTITUTE(SUBSTITUTE(SUBSTITUTE(SUBSTITUTE(SUBSTITUTE(SUBSTITUTE(SUBSTITUTE(SUBSTITUTE(SUBSTITUTE(SUBSTITUTE(SUBSTITUTE(SUBSTITUTE(SUBSTITUTE(SUBSTITUTE(SUBSTITUTE(SUBSTITUTE(SUBSTITUTE(SUBSTITUTE(SUBSTITUTE(SUBSTITUTE(SUBSTITUTE(SUBSTITUTE(SUBSTITUTE(LOWER(Z670&amp;""),CHAR(10)," "),CHAR(13)," "),CHAR(9)," "),CHAR(160)," "),"."," "),","," "),"-"," "),"/"," "),"("," "),")"," "),":"," "),";"," "),"_"," "),"–"," "),"?"," "),"!"," "),"*"," "),"["," "),"]"," "),"'"," "),"#"," "),"+"," "),"&amp;"," "),"\"," "))&amp;" "</f>
        <v>  </v>
      </c>
      <c r="BE670" s="61" t="str">
        <f aca="false">" "&amp;TRIM(SUBSTITUTE(SUBSTITUTE(SUBSTITUTE(SUBSTITUTE(SUBSTITUTE(SUBSTITUTE(SUBSTITUTE(SUBSTITUTE(SUBSTITUTE(SUBSTITUTE(SUBSTITUTE(SUBSTITUTE(SUBSTITUTE(SUBSTITUTE(SUBSTITUTE(SUBSTITUTE(SUBSTITUTE(SUBSTITUTE(SUBSTITUTE(SUBSTITUTE(SUBSTITUTE(SUBSTITUTE(SUBSTITUTE(SUBSTITUTE(LOWER(W670&amp;""),CHAR(10)," "),CHAR(13)," "),CHAR(9)," "),CHAR(160)," "),"."," "),","," "),"-"," "),"/"," "),"("," "),")"," "),":"," "),";"," "),"_"," "),"–"," "),"?"," "),"!"," "),"*"," "),"["," "),"]"," "),"'"," "),"#"," "),"+"," "),"&amp;"," "),"\"," "))&amp;" "</f>
        <v>  </v>
      </c>
      <c r="BF670" s="61" t="str">
        <f aca="false">" "&amp;TRIM(SUBSTITUTE(SUBSTITUTE(SUBSTITUTE(SUBSTITUTE(SUBSTITUTE(SUBSTITUTE(SUBSTITUTE(SUBSTITUTE(SUBSTITUTE(SUBSTITUTE(SUBSTITUTE(SUBSTITUTE(SUBSTITUTE(SUBSTITUTE(SUBSTITUTE(SUBSTITUTE(SUBSTITUTE(SUBSTITUTE(SUBSTITUTE(SUBSTITUTE(SUBSTITUTE(SUBSTITUTE(SUBSTITUTE(SUBSTITUTE(LOWER(AC670&amp;""),CHAR(10)," "),CHAR(13)," "),CHAR(9)," "),CHAR(160)," "),"."," "),","," "),"-"," "),"/"," "),"("," "),")"," "),":"," "),";"," "),"_"," "),"–"," "),"?"," "),"!"," "),"*"," "),"["," "),"]"," "),"'"," "),"#"," "),"+"," "),"&amp;"," "),"\"," "))&amp;" "</f>
        <v>  </v>
      </c>
      <c r="BG670" s="61" t="n">
        <f aca="false">IFERROR(IF(AND(TRIM(U670)="Pass",SUMPRODUCT((LEN(BC670)-LEN(SUBSTITUTE(BC670," "&amp;L_ResultBad&amp;" "," ")))/(LEN(L_ResultBad)+1))&gt;SUMPRODUCT((LEN(BC670)-LEN(SUBSTITUTE(BC670," "&amp;L_NegPhrase&amp;" "," ")))/(LEN(L_NegPhrase)+1))),1,0),0)</f>
        <v>0</v>
      </c>
      <c r="BH670" s="61" t="n">
        <f aca="false">IFERROR(IF(SUMPRODUCT((LEN(BC670)-LEN(SUBSTITUTE(BC670," "&amp;L_Pending&amp;" "," ")))/(LEN(L_Pending)+1))&gt;SUMPRODUCT((LEN(BC670)-LEN(SUBSTITUTE(BC670," "&amp;L_PendNeg&amp;" "," ")))/(LEN(L_PendNeg)+1))+SUMPRODUCT((LEN(BC670)-LEN(SUBSTITUTE(BC670," "&amp;L_PendPrep&amp;" "," ")))/(LEN(L_PendPrep)+1)),1,0),1)</f>
        <v>0</v>
      </c>
      <c r="BI670" s="61" t="n">
        <f aca="false">IFERROR(IF(SUMPRODUCT((LEN(BD670)-LEN(SUBSTITUTE(BD670," "&amp;L_PendStrict&amp;" "," ")))/(LEN(L_PendStrict)+1))&gt;SUMPRODUCT((LEN(BD670)-LEN(SUBSTITUTE(BD670," "&amp;L_PendNeg&amp;" "," ")))/(LEN(L_PendNeg)+1)),1,0),1)</f>
        <v>0</v>
      </c>
      <c r="BJ670" s="61" t="n">
        <f aca="false">IFERROR(IF(SUMPRODUCT((LEN(BE670)-LEN(SUBSTITUTE(BE670," "&amp;L_Pending&amp;" "," ")))/(LEN(L_Pending)+1))&gt;SUMPRODUCT((LEN(BE670)-LEN(SUBSTITUTE(BE670," "&amp;L_PendNeg&amp;" "," ")))/(LEN(L_PendNeg)+1))+SUMPRODUCT((LEN(BE670)-LEN(SUBSTITUTE(BE670," "&amp;L_PendPrep&amp;" "," ")))/(LEN(L_PendPrep)+1)),1,0),1)</f>
        <v>0</v>
      </c>
      <c r="BK670" s="61" t="n">
        <f aca="false">IFERROR(IF(SUMPRODUCT((LEN(BF670)-LEN(SUBSTITUTE(BF670," "&amp;L_PendStrict&amp;" "," ")))/(LEN(L_PendStrict)+1))&gt;SUMPRODUCT((LEN(BF670)-LEN(SUBSTITUTE(BF670," "&amp;L_PendNeg&amp;" "," ")))/(LEN(L_PendNeg)+1)),1,0),1)</f>
        <v>0</v>
      </c>
      <c r="BL670" s="61" t="n">
        <f aca="false">IF(ISNA(MATCH(TRIM(S670),L_EvidenceType,0)),0,BZ670)</f>
        <v>0</v>
      </c>
      <c r="BM670" s="61" t="str">
        <f aca="false">SUBSTITUTE(SUBSTITUTE(SUBSTITUTE(SUBSTITUTE(SUBSTITUTE(SUBSTITUTE(SUBSTITUTE(SUBSTITUTE(SUBSTITUTE(LOWER(Z670&amp;""),"1","0"),"2","0"),"3","0"),"4","0"),"5","0"),"6","0"),"7","0"),"8","0"),"9","0")</f>
        <v/>
      </c>
      <c r="BN670" s="61" t="str">
        <f aca="false">SUBSTITUTE(SUBSTITUTE(SUBSTITUTE(SUBSTITUTE(SUBSTITUTE(SUBSTITUTE(SUBSTITUTE(SUBSTITUTE(SUBSTITUTE(SUBSTITUTE(SUBSTITUTE(SUBSTITUTE(SUBSTITUTE(SUBSTITUTE(SUBSTITUTE(SUBSTITUTE(SUBSTITUTE(SUBSTITUTE(SUBSTITUTE(SUBSTITUTE(SUBSTITUTE(SUBSTITUTE(SUBSTITUTE(SUBSTITUTE(SUBSTITUTE(BM670,"b","a"),"c","a"),"d","a"),"e","a"),"f","a"),"g","a"),"h","a"),"i","a"),"j","a"),"k","a"),"l","a"),"m","a"),"n","a"),"o","a"),"p","a"),"q","a"),"r","a"),"s","a"),"t","a"),"u","a"),"v","a"),"w","a"),"x","a"),"y","a"),"z","a")</f>
        <v/>
      </c>
      <c r="BO670" s="61" t="str">
        <f aca="false">SUBSTITUTE(SUBSTITUTE(SUBSTITUTE(SUBSTITUTE(SUBSTITUTE(SUBSTITUTE(SUBSTITUTE(SUBSTITUTE(SUBSTITUTE(LOWER(W670&amp;""),"1","0"),"2","0"),"3","0"),"4","0"),"5","0"),"6","0"),"7","0"),"8","0"),"9","0")</f>
        <v/>
      </c>
      <c r="BP670" s="61" t="str">
        <f aca="false">SUBSTITUTE(SUBSTITUTE(SUBSTITUTE(SUBSTITUTE(SUBSTITUTE(SUBSTITUTE(SUBSTITUTE(SUBSTITUTE(SUBSTITUTE(SUBSTITUTE(SUBSTITUTE(SUBSTITUTE(SUBSTITUTE(SUBSTITUTE(SUBSTITUTE(SUBSTITUTE(SUBSTITUTE(SUBSTITUTE(SUBSTITUTE(SUBSTITUTE(SUBSTITUTE(SUBSTITUTE(SUBSTITUTE(SUBSTITUTE(SUBSTITUTE(BO670,"b","a"),"c","a"),"d","a"),"e","a"),"f","a"),"g","a"),"h","a"),"i","a"),"j","a"),"k","a"),"l","a"),"m","a"),"n","a"),"o","a"),"p","a"),"q","a"),"r","a"),"s","a"),"t","a"),"u","a"),"v","a"),"w","a"),"x","a"),"y","a"),"z","a")</f>
        <v/>
      </c>
      <c r="BQ670" s="61" t="n">
        <f aca="false">IFERROR(IF(AND(ISERROR(SEARCH(" mh"," "&amp;LOWER(W670))),ISNA(MATCH(LEFT(TRIM(BP670),255),{"0000a","000a","00a","0000aa","000aa","00aa","0aa","0000aaa","000aaa","00a00","0a00","0000-0000","00:00","a00","a0","00.00.0000","00/00/0000","00-00-0000","0000-00-00","0000/00/00","0000.00.00","00.00.00","00/00/00","00-00-00","0.00.0000","0/00/0000","0-00-0000"},0)),ISNA(MATCH(LEFT(TRIM(CA670),255),{"0000a","000a","00a","0000aa","000aa","00aa","0aa","0000aaa","000aaa","00a00","0a00","0000-0000","00:00","a00","a0","00.00.0000","00/00/0000","00-00-0000","0000-00-00","0000/00/00","0000.00.00","00.00.00","00/00/00","00-00-00","0.00.0000","0/00/0000","0-00-0000"},0)),LEN(CB670)&gt;=3,NOT(OR(SUBSTITUTE(CB670,"0","")="",AND(LEN(CB670)&gt;=4,CB670=REPT(LEFT(CB670),LEN(CB670))),ISNUMBER(MATCH(CB670,{"123","1234","12345","123456","1234567","12345678","0123","01234","012345","98765","987654","54321"},0)),AND(LEN(CB670)=8,LEFT(CB670,3)="202"))),OR(AND((LEN(CA670)-LEN(SUBSTITUTE(CA670,"a","")))&gt;=1,SUMPRODUCT(--ISNUMBER(SEARCH({"a0","a-0","a_0","a/0","a.0","a#0","0a","0-a","0_a","0/a"},BP670)))&gt;0),ISNUMBER(SEARCH("000000",BP670)))),1,0),0)</f>
        <v>0</v>
      </c>
      <c r="BR670" s="61" t="n">
        <f aca="false">IFERROR(LEN(SUBSTITUTE(CC670," ",""))-SUMPRODUCT((LEN(CC670)-LEN(SUBSTITUTE(CC670," "&amp;L_Role&amp;" "," ")))/(LEN(L_Role)+1)*LEN(L_Role)),0)</f>
        <v>0</v>
      </c>
      <c r="BS670" s="61" t="n">
        <f aca="false">IFERROR(LEN(SUBSTITUTE(CD670," ",""))-SUMPRODUCT((LEN(CD670)-LEN(SUBSTITUTE(CD670," "&amp;L_Role&amp;" "," ")))/(LEN(L_Role)+1)*LEN(L_Role)),0)</f>
        <v>0</v>
      </c>
      <c r="BT6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670,"revision",""),"version",""),"jan",""),"feb",""),"mar",""),"apr",""),"may",""),"jun",""),"jul",""),"aug",""),"sep",""),"oct",""),"nov",""),"dec",""),"utc",""),"gmt",""),"myt",""),"bst",""),"rev",""),"ver",""),"b","a"),"c","a"),"d","a"),"e","a"),"f","a"),"g","a"),"h","a"),"i","a"),"j","a"),"k","a"),"l","a"),"m","a"),"n","a"),"o","a"),"p","a"),"q","a"),"r","a"),"s","a"),"t","a"),"u","a"),"v","a"),"w","a"),"x","a"),"y","a"),"z","a")</f>
        <v/>
      </c>
      <c r="BU670" s="61" t="str">
        <f aca="false">SUBSTITUTE(SUBSTITUTE(SUBSTITUTE(SUBSTITUTE(SUBSTITUTE(SUBSTITUTE(SUBSTITUTE(SUBSTITUTE(SUBSTITUTE(SUBSTITUTE(LEFT(BM670,FIND("0",BM670&amp;"0")-1),"-",""),"_",""),"/",""),".",""),"#",""),"\\",""),":","")," ",""),"(",""),")","")</f>
        <v/>
      </c>
      <c r="BV670" s="61" t="n">
        <f aca="false">0</f>
        <v>0</v>
      </c>
      <c r="BW67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670&amp;""),"a",""),"b",""),"c",""),"d",""),"e",""),"f",""),"g",""),"h",""),"i",""),"j",""),"k",""),"l",""),"m",""),"n",""),"o",""),"p",""),"q",""),"r",""),"s",""),"t",""),"u",""),"v",""),"w",""),"x",""),"y",""),"z",""),"-",""),"_",""),"/",""),".",""),"#",""),"\\",""),":","")," ",""),"(",""),")","")</f>
        <v/>
      </c>
      <c r="BX670" s="61" t="str">
        <f aca="false">SUBSTITUTE(SUBSTITUTE(SUBSTITUTE(SUBSTITUTE(SUBSTITUTE(SUBSTITUTE(SUBSTITUTE(SUBSTITUTE(SUBSTITUTE(SUBSTITUTE(SUBSTITUTE(BM670,"0",""),"-",""),"_",""),"/",""),".",""),"#",""),"\\",""),":","")," ",""),"(",""),")","")</f>
        <v/>
      </c>
      <c r="BY670" s="62" t="n">
        <f aca="false">Q670-T7EarlyD*24/24</f>
        <v>46304.28125</v>
      </c>
      <c r="BZ670" s="61" t="n">
        <f aca="false">IFERROR(IF(IF(TRIM(S670)="Link / file path",AND(LEN(TRIM(Z670))&gt;=5,SUMPRODUCT(--ISNUMBER(SEARCH({"http","www.","\\",":\",".pdf",".jpg",".jpeg",".png",".heic",".xls",".doc",".msg",".eml",".ppt",".txt",".zip"},Z670)))&gt;0),AND(ISERROR(FIND(" ",TRIM(Z670))),NOT(OR(SUMPRODUCT(--ISNUMBER(FIND({",",";","&amp;","+"},Z670)))&gt;0,SUMPRODUCT(--ISNUMBER(SEARCH({"0/aa","0\\aa"},BN670)))&gt;0)),NOT(SUMPRODUCT(--ISNUMBER(SEARCH({"http","www.","\\",":\",".pdf",".jpg",".jpeg",".png",".heic",".xls",".doc",".msg",".eml",".ppt",".txt",".zip"},Z670)))&gt;0),NOT(LOWER(TRIM(Z670))=LOWER(Flights!$F$25)),ISNA(MATCH(BU670,{"mh","rev","revision","ver","version","v","r","a","b","seat","tray","row","gate","bay","stand","page","pg","item","line","no","cart","galley","flight","flt","table","box","bag","oven","etd","eta","std","sta","atd","ata","qty","pax","x","time","tel","ph","mob","day","wk","week","utc","gmt","myt","lt"},0)),NOT(OR(ISNUMBER(MATCH(LEFT(BN670,255),{"0000a","000a","00a","0000aa","000aa","00aa","0aa","0000aaa","000aaa","00a00","0a00","0000-0000","00:00","a00","a0","00.00.0000","00/00/0000","00-00-0000","0000-00-00","0000/00/00","0000.00.00","00.00.00","00/00/00","00-00-00","0.00.0000","0/00/0000","0-00-0000"},0)),ISNUMBER(MATCH(LEFT(BT670,255),{"0000a","000a","00a","0000aa","000aa","00aa","0aa","0000aaa","000aaa","00a00","0a00","0000-0000","00:00","a00","a0","00.00.0000","00/00/0000","00-00-0000","0000-00-00","0000/00/00","0000.00.00","00.00.00","00/00/00","00-00-00","0.00.0000","0/00/0000","0-00-0000"},0)))),NOT(OR(AND(BW670&lt;&gt;"",SUBSTITUTE(BW670,"0","")=""),AND(LEN(BW670)&gt;=4,BW670=REPT(LEFT(BW670),LEN(BW670))),ISNUMBER(MATCH(BW670,{"123","1234","12345","123456","1234567","12345678","0123","01234","012345","98765","987654","54321"},0)),ISNUMBER(MATCH(BX670,{"x","xx","xxx","xxxx","xxxxx","abc","abcd","nil","na","nan","test","tbc","tba","tbd","dummy","sample","example","eg","zz","zzz","none","null","xyz","qwe","asd","id","ref"},0)),AND(LEN(BW670)=8,BX670="",OR(LEFT(BW670,3)="202",ISNUMBER(MATCH(RIGHT(BW670,4),{"2025","2026","2027"},0)))))),OR(AND((LEN(BT670)-LEN(SUBSTITUTE(BT670,"a","")))&gt;=1,(LEN(BN670)-LEN(SUBSTITUTE(BN670,"0","")))&gt;=2,SUMPRODUCT(--ISNUMBER(SEARCH({"a0","a-0","a_0","a/0","a.0","a#0","0a","0-a","0_a","0/a"},BN670)))&gt;0),AND((LEN(BN670)-LEN(SUBSTITUTE(BN670,"a","")))=0,(LEN(BN670)-LEN(SUBSTITUTE(BN670,"0","")))&gt;=5)))),1,0),0)</f>
        <v>0</v>
      </c>
      <c r="CA6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670,"revision",""),"version",""),"jan",""),"feb",""),"mar",""),"apr",""),"may",""),"jun",""),"jul",""),"aug",""),"sep",""),"oct",""),"nov",""),"dec",""),"utc",""),"gmt",""),"myt",""),"bst",""),"rev",""),"ver",""),"b","a"),"c","a"),"d","a"),"e","a"),"f","a"),"g","a"),"h","a"),"i","a"),"j","a"),"k","a"),"l","a"),"m","a"),"n","a"),"o","a"),"p","a"),"q","a"),"r","a"),"s","a"),"t","a"),"u","a"),"v","a"),"w","a"),"x","a"),"y","a"),"z","a")</f>
        <v/>
      </c>
      <c r="CB67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670&amp;""),"a",""),"b",""),"c",""),"d",""),"e",""),"f",""),"g",""),"h",""),"i",""),"j",""),"k",""),"l",""),"m",""),"n",""),"o",""),"p",""),"q",""),"r",""),"s",""),"t",""),"u",""),"v",""),"w",""),"x",""),"y",""),"z",""),"-",""),"_",""),"/",""),".",""),"#",""),"\\",""),":","")," ",""),"(",""),")","")</f>
        <v/>
      </c>
      <c r="CC670" s="0" t="str">
        <f aca="false">" "&amp;TRIM(SUBSTITUTE(SUBSTITUTE(SUBSTITUTE(SUBSTITUTE(SUBSTITUTE(SUBSTITUTE(SUBSTITUTE(SUBSTITUTE(SUBSTITUTE(SUBSTITUTE(SUBSTITUTE(SUBSTITUTE(SUBSTITUTE(SUBSTITUTE(SUBSTITUTE(SUBSTITUTE(SUBSTITUTE(SUBSTITUTE(SUBSTITUTE(SUBSTITUTE(SUBSTITUTE(SUBSTITUTE(SUBSTITUTE(SUBSTITUTE(LOWER(T670&amp;""),CHAR(10)," "),CHAR(13)," "),CHAR(9)," "),CHAR(160)," "),"."," "),","," "),"-"," "),"/"," "),"("," "),")"," "),":"," "),";"," "),"_"," "),"–"," "),"?"," "),"!"," "),"*"," "),"["," "),"]"," "),"'"," "),"#"," "),"+"," "),"&amp;"," "),"\"," "))&amp;" "</f>
        <v>  </v>
      </c>
      <c r="CD670" s="0" t="str">
        <f aca="false">" "&amp;TRIM(SUBSTITUTE(SUBSTITUTE(SUBSTITUTE(SUBSTITUTE(SUBSTITUTE(SUBSTITUTE(SUBSTITUTE(SUBSTITUTE(SUBSTITUTE(SUBSTITUTE(SUBSTITUTE(SUBSTITUTE(SUBSTITUTE(SUBSTITUTE(SUBSTITUTE(SUBSTITUTE(SUBSTITUTE(SUBSTITUTE(SUBSTITUTE(SUBSTITUTE(SUBSTITUTE(SUBSTITUTE(SUBSTITUTE(SUBSTITUTE(LOWER(AE670&amp;""),CHAR(10)," "),CHAR(13)," "),CHAR(9)," "),CHAR(160)," "),"."," "),","," "),"-"," "),"/"," "),"("," "),")"," "),":"," "),";"," "),"_"," "),"–"," "),"?"," "),"!"," "),"*"," "),"["," "),"]"," "),"'"," "),"#"," "),"+"," "),"&amp;"," "),"\"," "))&amp;" "</f>
        <v>  </v>
      </c>
      <c r="CE670" s="68" t="n">
        <f aca="false">IFERROR(IF(AND(LEN(AU670)&gt;0,LEN(AU670)=LEN(AX670),OR(TRIM(MID(SUBSTITUTE(TRIM(CC670)," ",REPT(" ",60)),1,60))="",ISNUMBER(SEARCH(" "&amp;TRIM(MID(SUBSTITUTE(TRIM(CC670)," ",REPT(" ",60)),1,60))&amp;" ",CD670))),OR(TRIM(MID(SUBSTITUTE(TRIM(CC670)," ",REPT(" ",60)),61,60))="",ISNUMBER(SEARCH(" "&amp;TRIM(MID(SUBSTITUTE(TRIM(CC670)," ",REPT(" ",60)),61,60))&amp;" ",CD670))),OR(TRIM(MID(SUBSTITUTE(TRIM(CC670)," ",REPT(" ",60)),121,60))="",ISNUMBER(SEARCH(" "&amp;TRIM(MID(SUBSTITUTE(TRIM(CC670)," ",REPT(" ",60)),121,60))&amp;" ",CD670)))),1,0),0)</f>
        <v>0</v>
      </c>
      <c r="CG670" s="68" t="n">
        <f aca="false">IFERROR(LEN(SUBSTITUTE(BF670," ",""))-SUMPRODUCT((LEN(BF670)-LEN(SUBSTITUTE(BF670," "&amp;L_NAFiller&amp;" "," ")))/(LEN(L_NAFiller)+1)*LEN(L_NAFiller)),0)</f>
        <v>0</v>
      </c>
    </row>
    <row r="671" customFormat="false" ht="39.75" hidden="false" customHeight="true" outlineLevel="0" collapsed="false">
      <c r="A671" s="57" t="s">
        <v>1391</v>
      </c>
      <c r="B671" s="57" t="s">
        <v>310</v>
      </c>
      <c r="C671" s="57" t="str">
        <f aca="false">Flights!$F$25</f>
        <v>MH1437</v>
      </c>
      <c r="D671" s="58" t="n">
        <f aca="false">Flights!$D$25</f>
        <v>46325</v>
      </c>
      <c r="E671" s="57" t="str">
        <f aca="false">Flights!$G$25&amp;"-"&amp;Flights!$H$25</f>
        <v>LGK-KUL</v>
      </c>
      <c r="F671" s="57" t="str">
        <f aca="false">Flights!$K$25</f>
        <v>BC</v>
      </c>
      <c r="G671" s="57" t="s">
        <v>81</v>
      </c>
      <c r="H671" s="57" t="s">
        <v>378</v>
      </c>
      <c r="I671" s="57" t="s">
        <v>405</v>
      </c>
      <c r="J671" s="57" t="s">
        <v>406</v>
      </c>
      <c r="K671" s="67" t="s">
        <v>407</v>
      </c>
      <c r="L671" s="67" t="s">
        <v>382</v>
      </c>
      <c r="M671" s="67"/>
      <c r="N671" s="67" t="s">
        <v>383</v>
      </c>
      <c r="O671" s="67"/>
      <c r="P671" s="57" t="s">
        <v>187</v>
      </c>
      <c r="Q671" s="59" t="n">
        <f aca="false">ROUND((Flights!$AC$25)*1440,0)/1440</f>
        <v>46318.28125</v>
      </c>
      <c r="R671" s="59" t="n">
        <f aca="false">Q671+(IF(AND(INDEX(TZ_DSTS,MATCH(P671,TZ_STN,0))&lt;&gt;"",Q671&gt;=INDEX(TZ_DSTS,MATCH(P671,TZ_STN,0)),Q671&lt;INDEX(TZ_DSTE,MATCH(P671,TZ_STN,0))),INDEX(TZ_DST,MATCH(P671,TZ_STN,0)),INDEX(TZ_STD,MATCH(P671,TZ_STN,0))))/24</f>
        <v>46318.6145833333</v>
      </c>
      <c r="S671" s="60"/>
      <c r="T671" s="60"/>
      <c r="U671" s="60"/>
      <c r="V671" s="60"/>
      <c r="W671" s="61"/>
      <c r="X671" s="60"/>
      <c r="Y671" s="60"/>
      <c r="Z671" s="60"/>
      <c r="AA671" s="60"/>
      <c r="AB671" s="60"/>
      <c r="AC671" s="60"/>
      <c r="AD671" s="66"/>
      <c r="AE671" s="60"/>
      <c r="AF671" s="61" t="str">
        <f aca="false">IF(AND(ISNUMBER(X671),ISNUMBER(Y671)),Y671-X671,"")</f>
        <v/>
      </c>
      <c r="AG671" s="62" t="str">
        <f aca="false">IF(ISNUMBER(AD671),AD671-(IF(AND(INDEX(TZ_DSTS,MATCH(P671,TZ_STN,0))&lt;&gt;"",(AD671-INDEX(TZ_STD,MATCH(P671,TZ_STN,0))/24)&gt;=INDEX(TZ_DSTS,MATCH(P671,TZ_STN,0)),(AD671-INDEX(TZ_STD,MATCH(P671,TZ_STN,0))/24)&lt;INDEX(TZ_DSTE,MATCH(P671,TZ_STN,0))),INDEX(TZ_DST,MATCH(P671,TZ_STN,0)),INDEX(TZ_STD,MATCH(P671,TZ_STN,0))))/24,"")</f>
        <v/>
      </c>
      <c r="AH671" s="65" t="str">
        <f aca="false">IFERROR(IF(N671="N/A – rule",IF(OR(TRIM(U671)="",TRIM(U671)="N/A",TRIM(U671)="Not started"),"N/A – RULE","INVALID – this check does not apply to this aircraft: clear the status (or correct the fleet on Flights)"),IF(TRIM(U671)="N/A",IF(AT671=0,"INVALID – N/A not permitted for this check",IF(AND(TRIM(AB671)&lt;&gt;"",TRIM(AB671)&lt;&gt;"Closed"),"INVALID – corrective action still open",IF(AND(NOT(OR(LEN(AZ671)&lt;15,ISNUMBER(MATCH(AZ671,L_Placeholder,0)))),BK671=0,CG671&gt;=8,NOT(OR(LEN(AU671)&lt;2,ISNUMBER(MATCH(AU671,L_Placeholder,0)))),BR671&gt;=3,NOT(OR(LEN(AX671)&lt;2,ISNUMBER(MATCH(AX671,L_Placeholder,0)))),BS671&gt;=3,TRIM(AE671)&lt;&gt;TRIM(T671),AX671&lt;&gt;AU671,CE671=0),"N/A – JUSTIFIED","INVALID – N/A needs a real, settled reason (not 'not applicable' / 'as above' / TBC), a named PIC and a different named verifier"))),IF(OR(TRIM(U671)="Pass",TRIM(U671)="Pass after CA"),IF(NOT(ISNUMBER(AD671)),"INVALID – completion time missing",IF(OR(OR(LEN(AU671)&lt;2,ISNUMBER(MATCH(AU671,L_Placeholder,0))),BR671&lt;3),"INVALID – PIC missing or not a named person (a role such as QA / CSM is not a name)",IF(OR(LEN(AV671)&lt;2,ISNUMBER(MATCH(AV671,L_Placeholder,0))),"INVALID – result / assessment missing",IF(OR(OR(LEN(AW671)&lt;3,ISNUMBER(MATCH(AW671,L_Placeholder,0))),SUMPRODUCT(--ISNUMBER(SEARCH(" "&amp;L_EvidencePhrase&amp;" ",BD671)))&gt;0,BI671=1),"INVALID – evidence missing, placeholder or not yet on file",IF(ISNA(MATCH(TRIM(S671),L_EvidenceType,0)),"INVALID – choose the evidence type from the list (column S)",IF(BL671=0,"INVALID – evidence ID must be the record's own ID only (e.g. SF-2210, IMG_2231, 1045521); a link / file name needs type 'Link / file path'",IF(OR(OR(LEN(AX671)&lt;2,ISNUMBER(MATCH(AX671,L_Placeholder,0))),BS671&lt;3),"INVALID – verifier missing or not a named person (a role such as QA / CSM is not a name)",IF(OR(AX671=AU671,CE671=1,AND(LEN(AU671)&gt;=4,ISNUMBER(SEARCH(AU671,AX671))),AND(LEN(AX671)&gt;=4,ISNUMBER(SEARCH(AX671,AU671)))),"INVALID – verifier must be a different, named person (not the PIC or a role)",IF(BH671=1,"INVALID – result not yet available (awaiting / TBC)",IF(BG671=1,"INVALID – result describes a problem: record Fail, then Pass after CA (or reword if it is not a problem)",IF(BV671=1,"INVALID – wording says not on board: an on-board confirmation needs the item loaded",IF(AND(AQ671=1,OR(OR(LEN(AY671)&lt;3,ISNUMBER(MATCH(AY671,L_Placeholder,0))),BJ671=1,BQ671=0)),"INVALID – batch ID missing, placeholder or not an ID (e.g. PASB-261008-BC-017)",IF(AND(AR671=1,OR(NOT(ISNUMBER(X671)),NOT(ISNUMBER(Y671)))),"INVALID – expected/actual qty missing",IF(AND(AR671=1,OR(X671&lt;=0,Y671&lt;0)),"INVALID – expected qty must be above 0 and actual not negative",IF(BB671&lt;&gt;"",BB671,IF(AND(AS671=1,Documents!$J$25&lt;&gt;"ON FILE"),"INVALID – GLD not on file (Documents sheet)",IF(AND(AS671=2,Documents!$O$25&lt;&gt;"ON FILE"),"INVALID – menu checklist not on file (Documents sheet)",IF(AND(AS671=3,NOT(ISNUMBER(Flights!$AX$25))),"INVALID – enter carrying flight KUL departure (Flights AX)",IF(AND(AS671=3,OR(Flights!$AZ$25&gt;Flights!$AA$25,Flights!$AX$25&lt;Flights!$AA$25-3)),"INVALID – carrying flight (Flights AX) cannot arrive before this leg's STD, or is over 3 days early",IF(AG671&gt;AsOfUTC,"INVALID – completion time is in the future",IF(AND(ISNUMBER(BY671),AG671&lt;BY671),IF(H671="Physical uplift","INVALID – before uplift window (cannot confirm loading)","INVALID – before valid window"),IF(AG671&gt;Flights!$AA$25,"INVALID – completed after departure (cannot establish readiness)",IF(AND(H671="Preparation",AG671&gt;=IF(ISNUMBER(Flights!$BA$25),MIN(Flights!$BA$25,Flights!$AA$25),Flights!$AA$25)),"INVALID – completed after loading / departure (cannot establish readiness)",IF(AND(H671="Physical uplift",AG671&gt;Q671),"INVALID – recorded after the loading flight departed",IF(AG671&gt;Q671,"COMPLETE – LATE","COMPLETE"))))))))))))))))))))))))),IF(TRIM(U671)="Fail","FAIL – DISCREPANCY",IF(AND(TRIM(U671)&lt;&gt;"",TRIM(U671)&lt;&gt;"Not started",TRIM(U671)&lt;&gt;"In progress"),"INVALID – unrecognised status (use the list)",IF(AsOfUTC&gt;Q671,"OVERDUE",IF(N671="Clarification required","OPEN – CLARIFICATION","OPEN"))))))),"INVALID – error value in an input cell")</f>
        <v>OPEN</v>
      </c>
      <c r="AI671" s="61" t="n">
        <f aca="false">IF(OR(AH671="N/A – RULE",AH671="N/A – JUSTIFIED"),0,1)</f>
        <v>1</v>
      </c>
      <c r="AJ671" s="61" t="n">
        <f aca="false">IF(LEFT(AH671,8)="COMPLETE",1,0)</f>
        <v>0</v>
      </c>
      <c r="AK671" s="61" t="n">
        <f aca="false">IF(AND(AI671=1,AJ671=0,AsOfUTC&gt;Q671),1,0)</f>
        <v>0</v>
      </c>
      <c r="AL671" s="61" t="n">
        <f aca="false">IFERROR(IF(AND(AI671=1,OR(TRIM(U671)="Fail",AND(TRIM(AB671)&lt;&gt;"",TRIM(AB671)&lt;&gt;"Closed"),AND(ISNUMBER(AF671),AF671&lt;&gt;0,TRIM(U671)&lt;&gt;"Pass after CA"))),1,0),1)</f>
        <v>0</v>
      </c>
      <c r="AM671" s="61" t="n">
        <f aca="false">IF(LEFT(AH671,7)="INVALID",1,0)</f>
        <v>0</v>
      </c>
      <c r="AN671" s="61" t="n">
        <f aca="false">IF(AND(N671="Clarification required",AI671=1,AJ671=0),1,0)</f>
        <v>0</v>
      </c>
      <c r="AO671" s="61" t="str">
        <f aca="false">IF(AK671=1,SUM(AK$5:AK671),"")</f>
        <v/>
      </c>
      <c r="AP671" s="61" t="str">
        <f aca="false">IF(AL671=1,SUM(AL$5:AL671),"")</f>
        <v/>
      </c>
      <c r="AQ671" s="61" t="n">
        <v>0</v>
      </c>
      <c r="AR671" s="61" t="n">
        <v>0</v>
      </c>
      <c r="AS671" s="61" t="n">
        <v>1</v>
      </c>
      <c r="AT671" s="61" t="n">
        <v>0</v>
      </c>
      <c r="AU671" s="61" t="str">
        <f aca="false">SUBSTITUTE(SUBSTITUTE(SUBSTITUTE(SUBSTITUTE(SUBSTITUTE(SUBSTITUTE(SUBSTITUTE(SUBSTITUTE(SUBSTITUTE(SUBSTITUTE(SUBSTITUTE(SUBSTITUTE(SUBSTITUTE(SUBSTITUTE(SUBSTITUTE(SUBSTITUTE(LOWER(T671&amp;""),CHAR(10),""),CHAR(13),""),CHAR(9),""),CHAR(160),"")," ",""),".",""),"-",""),"/",""),"?",""),"_",""),",",""),"[",""),"]",""),"(",""),")",""),"*","")</f>
        <v/>
      </c>
      <c r="AV671" s="61" t="str">
        <f aca="false">SUBSTITUTE(SUBSTITUTE(SUBSTITUTE(SUBSTITUTE(SUBSTITUTE(SUBSTITUTE(SUBSTITUTE(SUBSTITUTE(SUBSTITUTE(SUBSTITUTE(SUBSTITUTE(SUBSTITUTE(SUBSTITUTE(SUBSTITUTE(SUBSTITUTE(SUBSTITUTE(LOWER(V671&amp;""),CHAR(10),""),CHAR(13),""),CHAR(9),""),CHAR(160),"")," ",""),".",""),"-",""),"/",""),"?",""),"_",""),",",""),"[",""),"]",""),"(",""),")",""),"*","")</f>
        <v/>
      </c>
      <c r="AW671" s="61" t="str">
        <f aca="false">SUBSTITUTE(SUBSTITUTE(SUBSTITUTE(SUBSTITUTE(SUBSTITUTE(SUBSTITUTE(SUBSTITUTE(SUBSTITUTE(SUBSTITUTE(SUBSTITUTE(SUBSTITUTE(SUBSTITUTE(SUBSTITUTE(SUBSTITUTE(SUBSTITUTE(SUBSTITUTE(LOWER(Z671&amp;""),CHAR(10),""),CHAR(13),""),CHAR(9),""),CHAR(160),"")," ",""),".",""),"-",""),"/",""),"?",""),"_",""),",",""),"[",""),"]",""),"(",""),")",""),"*","")</f>
        <v/>
      </c>
      <c r="AX671" s="61" t="str">
        <f aca="false">SUBSTITUTE(SUBSTITUTE(SUBSTITUTE(SUBSTITUTE(SUBSTITUTE(SUBSTITUTE(SUBSTITUTE(SUBSTITUTE(SUBSTITUTE(SUBSTITUTE(SUBSTITUTE(SUBSTITUTE(SUBSTITUTE(SUBSTITUTE(SUBSTITUTE(SUBSTITUTE(LOWER(AE671&amp;""),CHAR(10),""),CHAR(13),""),CHAR(9),""),CHAR(160),"")," ",""),".",""),"-",""),"/",""),"?",""),"_",""),",",""),"[",""),"]",""),"(",""),")",""),"*","")</f>
        <v/>
      </c>
      <c r="AY671" s="61" t="str">
        <f aca="false">SUBSTITUTE(SUBSTITUTE(SUBSTITUTE(SUBSTITUTE(SUBSTITUTE(SUBSTITUTE(SUBSTITUTE(SUBSTITUTE(SUBSTITUTE(SUBSTITUTE(SUBSTITUTE(SUBSTITUTE(SUBSTITUTE(SUBSTITUTE(SUBSTITUTE(SUBSTITUTE(LOWER(W671&amp;""),CHAR(10),""),CHAR(13),""),CHAR(9),""),CHAR(160),"")," ",""),".",""),"-",""),"/",""),"?",""),"_",""),",",""),"[",""),"]",""),"(",""),")",""),"*","")</f>
        <v/>
      </c>
      <c r="AZ671" s="61" t="str">
        <f aca="false">SUBSTITUTE(SUBSTITUTE(SUBSTITUTE(SUBSTITUTE(SUBSTITUTE(SUBSTITUTE(SUBSTITUTE(SUBSTITUTE(SUBSTITUTE(SUBSTITUTE(SUBSTITUTE(SUBSTITUTE(SUBSTITUTE(SUBSTITUTE(SUBSTITUTE(SUBSTITUTE(LOWER(AC671&amp;""),CHAR(10),""),CHAR(13),""),CHAR(9),""),CHAR(160),"")," ",""),".",""),"-",""),"/",""),"?",""),"_",""),",",""),"[",""),"]",""),"(",""),")",""),"*","")</f>
        <v/>
      </c>
      <c r="BA671" s="61" t="str">
        <f aca="false">SUBSTITUTE(SUBSTITUTE(SUBSTITUTE(SUBSTITUTE(SUBSTITUTE(SUBSTITUTE(SUBSTITUTE(SUBSTITUTE(SUBSTITUTE(SUBSTITUTE(SUBSTITUTE(SUBSTITUTE(SUBSTITUTE(SUBSTITUTE(SUBSTITUTE(SUBSTITUTE(LOWER(AA671&amp;""),CHAR(10),""),CHAR(13),""),CHAR(9),""),CHAR(160),"")," ",""),".",""),"-",""),"/",""),"?",""),"_",""),",",""),"[",""),"]",""),"(",""),")",""),"*","")</f>
        <v/>
      </c>
      <c r="BB671" s="61" t="str">
        <f aca="false">IF(AND(TRIM(U671)="Pass",ISNUMBER(AF671)),IF(AF671&lt;&gt;0,"INVALID – qty variance: use Fail or Pass after CA",""),"")&amp;IF(AND(TRIM(U671)="Pass after CA",ISNUMBER(AF671)),IF(AF671&lt;&gt;0,"INVALID – after the corrective action the actual qty must equal expected (update Actual)",""),"")&amp;IF(AND(TRIM(U671)="Pass",TRIM(AB671)&lt;&gt;"",TRIM(AB671)&lt;&gt;"Closed"),"INVALID – corrective action not closed: use Fail, then Pass after CA","")&amp;IF(AND(LEN(BA671)&gt;=2,ISNA(MATCH(LEFT(BA671,255),L_Placeholder,0)),TRIM(AB671)=""),"INVALID – CA status missing for the recorded corrective action","")&amp;IF(AND(TRIM(U671)="Pass after CA",OR(OR(LEN(BA671)&lt;5,ISNUMBER(MATCH(BA671,L_Placeholder,0))),TRIM(AB671)&lt;&gt;"Closed")),"INVALID – corrective action not recorded/closed","")</f>
        <v/>
      </c>
      <c r="BC671" s="61" t="str">
        <f aca="false">" "&amp;TRIM(SUBSTITUTE(SUBSTITUTE(SUBSTITUTE(SUBSTITUTE(SUBSTITUTE(SUBSTITUTE(SUBSTITUTE(SUBSTITUTE(SUBSTITUTE(SUBSTITUTE(SUBSTITUTE(SUBSTITUTE(SUBSTITUTE(SUBSTITUTE(SUBSTITUTE(SUBSTITUTE(SUBSTITUTE(SUBSTITUTE(SUBSTITUTE(SUBSTITUTE(SUBSTITUTE(SUBSTITUTE(SUBSTITUTE(SUBSTITUTE(LOWER(V671&amp;""),CHAR(10)," "),CHAR(13)," "),CHAR(9)," "),CHAR(160)," "),"."," "),","," "),"-"," "),"/"," "),"("," "),")"," "),":"," "),";"," "),"_"," "),"–"," "),"?"," "),"!"," "),"*"," "),"["," "),"]"," "),"'"," "),"#"," "),"+"," "),"&amp;"," "),"\"," "))&amp;" "</f>
        <v>  </v>
      </c>
      <c r="BD671" s="61" t="str">
        <f aca="false">" "&amp;TRIM(SUBSTITUTE(SUBSTITUTE(SUBSTITUTE(SUBSTITUTE(SUBSTITUTE(SUBSTITUTE(SUBSTITUTE(SUBSTITUTE(SUBSTITUTE(SUBSTITUTE(SUBSTITUTE(SUBSTITUTE(SUBSTITUTE(SUBSTITUTE(SUBSTITUTE(SUBSTITUTE(SUBSTITUTE(SUBSTITUTE(SUBSTITUTE(SUBSTITUTE(SUBSTITUTE(SUBSTITUTE(SUBSTITUTE(SUBSTITUTE(LOWER(Z671&amp;""),CHAR(10)," "),CHAR(13)," "),CHAR(9)," "),CHAR(160)," "),"."," "),","," "),"-"," "),"/"," "),"("," "),")"," "),":"," "),";"," "),"_"," "),"–"," "),"?"," "),"!"," "),"*"," "),"["," "),"]"," "),"'"," "),"#"," "),"+"," "),"&amp;"," "),"\"," "))&amp;" "</f>
        <v>  </v>
      </c>
      <c r="BE671" s="61" t="str">
        <f aca="false">" "&amp;TRIM(SUBSTITUTE(SUBSTITUTE(SUBSTITUTE(SUBSTITUTE(SUBSTITUTE(SUBSTITUTE(SUBSTITUTE(SUBSTITUTE(SUBSTITUTE(SUBSTITUTE(SUBSTITUTE(SUBSTITUTE(SUBSTITUTE(SUBSTITUTE(SUBSTITUTE(SUBSTITUTE(SUBSTITUTE(SUBSTITUTE(SUBSTITUTE(SUBSTITUTE(SUBSTITUTE(SUBSTITUTE(SUBSTITUTE(SUBSTITUTE(LOWER(W671&amp;""),CHAR(10)," "),CHAR(13)," "),CHAR(9)," "),CHAR(160)," "),"."," "),","," "),"-"," "),"/"," "),"("," "),")"," "),":"," "),";"," "),"_"," "),"–"," "),"?"," "),"!"," "),"*"," "),"["," "),"]"," "),"'"," "),"#"," "),"+"," "),"&amp;"," "),"\"," "))&amp;" "</f>
        <v>  </v>
      </c>
      <c r="BF671" s="61" t="str">
        <f aca="false">" "&amp;TRIM(SUBSTITUTE(SUBSTITUTE(SUBSTITUTE(SUBSTITUTE(SUBSTITUTE(SUBSTITUTE(SUBSTITUTE(SUBSTITUTE(SUBSTITUTE(SUBSTITUTE(SUBSTITUTE(SUBSTITUTE(SUBSTITUTE(SUBSTITUTE(SUBSTITUTE(SUBSTITUTE(SUBSTITUTE(SUBSTITUTE(SUBSTITUTE(SUBSTITUTE(SUBSTITUTE(SUBSTITUTE(SUBSTITUTE(SUBSTITUTE(LOWER(AC671&amp;""),CHAR(10)," "),CHAR(13)," "),CHAR(9)," "),CHAR(160)," "),"."," "),","," "),"-"," "),"/"," "),"("," "),")"," "),":"," "),";"," "),"_"," "),"–"," "),"?"," "),"!"," "),"*"," "),"["," "),"]"," "),"'"," "),"#"," "),"+"," "),"&amp;"," "),"\"," "))&amp;" "</f>
        <v>  </v>
      </c>
      <c r="BG671" s="61" t="n">
        <f aca="false">IFERROR(IF(AND(TRIM(U671)="Pass",SUMPRODUCT((LEN(BC671)-LEN(SUBSTITUTE(BC671," "&amp;L_ResultBad&amp;" "," ")))/(LEN(L_ResultBad)+1))&gt;SUMPRODUCT((LEN(BC671)-LEN(SUBSTITUTE(BC671," "&amp;L_NegPhrase&amp;" "," ")))/(LEN(L_NegPhrase)+1))),1,0),0)</f>
        <v>0</v>
      </c>
      <c r="BH671" s="61" t="n">
        <f aca="false">IFERROR(IF(SUMPRODUCT((LEN(BC671)-LEN(SUBSTITUTE(BC671," "&amp;L_Pending&amp;" "," ")))/(LEN(L_Pending)+1))&gt;SUMPRODUCT((LEN(BC671)-LEN(SUBSTITUTE(BC671," "&amp;L_PendNeg&amp;" "," ")))/(LEN(L_PendNeg)+1))+SUMPRODUCT((LEN(BC671)-LEN(SUBSTITUTE(BC671," "&amp;L_PendPrep&amp;" "," ")))/(LEN(L_PendPrep)+1)),1,0),1)</f>
        <v>0</v>
      </c>
      <c r="BI671" s="61" t="n">
        <f aca="false">IFERROR(IF(SUMPRODUCT((LEN(BD671)-LEN(SUBSTITUTE(BD671," "&amp;L_PendStrict&amp;" "," ")))/(LEN(L_PendStrict)+1))&gt;SUMPRODUCT((LEN(BD671)-LEN(SUBSTITUTE(BD671," "&amp;L_PendNeg&amp;" "," ")))/(LEN(L_PendNeg)+1)),1,0),1)</f>
        <v>0</v>
      </c>
      <c r="BJ671" s="61" t="n">
        <f aca="false">IFERROR(IF(SUMPRODUCT((LEN(BE671)-LEN(SUBSTITUTE(BE671," "&amp;L_Pending&amp;" "," ")))/(LEN(L_Pending)+1))&gt;SUMPRODUCT((LEN(BE671)-LEN(SUBSTITUTE(BE671," "&amp;L_PendNeg&amp;" "," ")))/(LEN(L_PendNeg)+1))+SUMPRODUCT((LEN(BE671)-LEN(SUBSTITUTE(BE671," "&amp;L_PendPrep&amp;" "," ")))/(LEN(L_PendPrep)+1)),1,0),1)</f>
        <v>0</v>
      </c>
      <c r="BK671" s="61" t="n">
        <f aca="false">IFERROR(IF(SUMPRODUCT((LEN(BF671)-LEN(SUBSTITUTE(BF671," "&amp;L_PendStrict&amp;" "," ")))/(LEN(L_PendStrict)+1))&gt;SUMPRODUCT((LEN(BF671)-LEN(SUBSTITUTE(BF671," "&amp;L_PendNeg&amp;" "," ")))/(LEN(L_PendNeg)+1)),1,0),1)</f>
        <v>0</v>
      </c>
      <c r="BL671" s="61" t="n">
        <f aca="false">IF(ISNA(MATCH(TRIM(S671),L_EvidenceType,0)),0,BZ671)</f>
        <v>0</v>
      </c>
      <c r="BM671" s="61" t="str">
        <f aca="false">SUBSTITUTE(SUBSTITUTE(SUBSTITUTE(SUBSTITUTE(SUBSTITUTE(SUBSTITUTE(SUBSTITUTE(SUBSTITUTE(SUBSTITUTE(LOWER(Z671&amp;""),"1","0"),"2","0"),"3","0"),"4","0"),"5","0"),"6","0"),"7","0"),"8","0"),"9","0")</f>
        <v/>
      </c>
      <c r="BN671" s="61" t="str">
        <f aca="false">SUBSTITUTE(SUBSTITUTE(SUBSTITUTE(SUBSTITUTE(SUBSTITUTE(SUBSTITUTE(SUBSTITUTE(SUBSTITUTE(SUBSTITUTE(SUBSTITUTE(SUBSTITUTE(SUBSTITUTE(SUBSTITUTE(SUBSTITUTE(SUBSTITUTE(SUBSTITUTE(SUBSTITUTE(SUBSTITUTE(SUBSTITUTE(SUBSTITUTE(SUBSTITUTE(SUBSTITUTE(SUBSTITUTE(SUBSTITUTE(SUBSTITUTE(BM671,"b","a"),"c","a"),"d","a"),"e","a"),"f","a"),"g","a"),"h","a"),"i","a"),"j","a"),"k","a"),"l","a"),"m","a"),"n","a"),"o","a"),"p","a"),"q","a"),"r","a"),"s","a"),"t","a"),"u","a"),"v","a"),"w","a"),"x","a"),"y","a"),"z","a")</f>
        <v/>
      </c>
      <c r="BO671" s="61" t="str">
        <f aca="false">SUBSTITUTE(SUBSTITUTE(SUBSTITUTE(SUBSTITUTE(SUBSTITUTE(SUBSTITUTE(SUBSTITUTE(SUBSTITUTE(SUBSTITUTE(LOWER(W671&amp;""),"1","0"),"2","0"),"3","0"),"4","0"),"5","0"),"6","0"),"7","0"),"8","0"),"9","0")</f>
        <v/>
      </c>
      <c r="BP671" s="61" t="str">
        <f aca="false">SUBSTITUTE(SUBSTITUTE(SUBSTITUTE(SUBSTITUTE(SUBSTITUTE(SUBSTITUTE(SUBSTITUTE(SUBSTITUTE(SUBSTITUTE(SUBSTITUTE(SUBSTITUTE(SUBSTITUTE(SUBSTITUTE(SUBSTITUTE(SUBSTITUTE(SUBSTITUTE(SUBSTITUTE(SUBSTITUTE(SUBSTITUTE(SUBSTITUTE(SUBSTITUTE(SUBSTITUTE(SUBSTITUTE(SUBSTITUTE(SUBSTITUTE(BO671,"b","a"),"c","a"),"d","a"),"e","a"),"f","a"),"g","a"),"h","a"),"i","a"),"j","a"),"k","a"),"l","a"),"m","a"),"n","a"),"o","a"),"p","a"),"q","a"),"r","a"),"s","a"),"t","a"),"u","a"),"v","a"),"w","a"),"x","a"),"y","a"),"z","a")</f>
        <v/>
      </c>
      <c r="BQ671" s="61" t="n">
        <f aca="false">IFERROR(IF(AND(ISERROR(SEARCH(" mh"," "&amp;LOWER(W671))),ISNA(MATCH(LEFT(TRIM(BP671),255),{"0000a","000a","00a","0000aa","000aa","00aa","0aa","0000aaa","000aaa","00a00","0a00","0000-0000","00:00","a00","a0","00.00.0000","00/00/0000","00-00-0000","0000-00-00","0000/00/00","0000.00.00","00.00.00","00/00/00","00-00-00","0.00.0000","0/00/0000","0-00-0000"},0)),ISNA(MATCH(LEFT(TRIM(CA671),255),{"0000a","000a","00a","0000aa","000aa","00aa","0aa","0000aaa","000aaa","00a00","0a00","0000-0000","00:00","a00","a0","00.00.0000","00/00/0000","00-00-0000","0000-00-00","0000/00/00","0000.00.00","00.00.00","00/00/00","00-00-00","0.00.0000","0/00/0000","0-00-0000"},0)),LEN(CB671)&gt;=3,NOT(OR(SUBSTITUTE(CB671,"0","")="",AND(LEN(CB671)&gt;=4,CB671=REPT(LEFT(CB671),LEN(CB671))),ISNUMBER(MATCH(CB671,{"123","1234","12345","123456","1234567","12345678","0123","01234","012345","98765","987654","54321"},0)),AND(LEN(CB671)=8,LEFT(CB671,3)="202"))),OR(AND((LEN(CA671)-LEN(SUBSTITUTE(CA671,"a","")))&gt;=1,SUMPRODUCT(--ISNUMBER(SEARCH({"a0","a-0","a_0","a/0","a.0","a#0","0a","0-a","0_a","0/a"},BP671)))&gt;0),ISNUMBER(SEARCH("000000",BP671)))),1,0),0)</f>
        <v>0</v>
      </c>
      <c r="BR671" s="61" t="n">
        <f aca="false">IFERROR(LEN(SUBSTITUTE(CC671," ",""))-SUMPRODUCT((LEN(CC671)-LEN(SUBSTITUTE(CC671," "&amp;L_Role&amp;" "," ")))/(LEN(L_Role)+1)*LEN(L_Role)),0)</f>
        <v>0</v>
      </c>
      <c r="BS671" s="61" t="n">
        <f aca="false">IFERROR(LEN(SUBSTITUTE(CD671," ",""))-SUMPRODUCT((LEN(CD671)-LEN(SUBSTITUTE(CD671," "&amp;L_Role&amp;" "," ")))/(LEN(L_Role)+1)*LEN(L_Role)),0)</f>
        <v>0</v>
      </c>
      <c r="BT6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671,"revision",""),"version",""),"jan",""),"feb",""),"mar",""),"apr",""),"may",""),"jun",""),"jul",""),"aug",""),"sep",""),"oct",""),"nov",""),"dec",""),"utc",""),"gmt",""),"myt",""),"bst",""),"rev",""),"ver",""),"b","a"),"c","a"),"d","a"),"e","a"),"f","a"),"g","a"),"h","a"),"i","a"),"j","a"),"k","a"),"l","a"),"m","a"),"n","a"),"o","a"),"p","a"),"q","a"),"r","a"),"s","a"),"t","a"),"u","a"),"v","a"),"w","a"),"x","a"),"y","a"),"z","a")</f>
        <v/>
      </c>
      <c r="BU671" s="61" t="str">
        <f aca="false">SUBSTITUTE(SUBSTITUTE(SUBSTITUTE(SUBSTITUTE(SUBSTITUTE(SUBSTITUTE(SUBSTITUTE(SUBSTITUTE(SUBSTITUTE(SUBSTITUTE(LEFT(BM671,FIND("0",BM671&amp;"0")-1),"-",""),"_",""),"/",""),".",""),"#",""),"\\",""),":","")," ",""),"(",""),")","")</f>
        <v/>
      </c>
      <c r="BV671" s="61" t="n">
        <f aca="false">0</f>
        <v>0</v>
      </c>
      <c r="BW67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671&amp;""),"a",""),"b",""),"c",""),"d",""),"e",""),"f",""),"g",""),"h",""),"i",""),"j",""),"k",""),"l",""),"m",""),"n",""),"o",""),"p",""),"q",""),"r",""),"s",""),"t",""),"u",""),"v",""),"w",""),"x",""),"y",""),"z",""),"-",""),"_",""),"/",""),".",""),"#",""),"\\",""),":","")," ",""),"(",""),")","")</f>
        <v/>
      </c>
      <c r="BX671" s="61" t="str">
        <f aca="false">SUBSTITUTE(SUBSTITUTE(SUBSTITUTE(SUBSTITUTE(SUBSTITUTE(SUBSTITUTE(SUBSTITUTE(SUBSTITUTE(SUBSTITUTE(SUBSTITUTE(SUBSTITUTE(BM671,"0",""),"-",""),"_",""),"/",""),".",""),"#",""),"\\",""),":","")," ",""),"(",""),")","")</f>
        <v/>
      </c>
      <c r="BY671" s="62" t="n">
        <f aca="false">Q671-T7EarlyD*24/24</f>
        <v>46304.28125</v>
      </c>
      <c r="BZ671" s="61" t="n">
        <f aca="false">IFERROR(IF(IF(TRIM(S671)="Link / file path",AND(LEN(TRIM(Z671))&gt;=5,SUMPRODUCT(--ISNUMBER(SEARCH({"http","www.","\\",":\",".pdf",".jpg",".jpeg",".png",".heic",".xls",".doc",".msg",".eml",".ppt",".txt",".zip"},Z671)))&gt;0),AND(ISERROR(FIND(" ",TRIM(Z671))),NOT(OR(SUMPRODUCT(--ISNUMBER(FIND({",",";","&amp;","+"},Z671)))&gt;0,SUMPRODUCT(--ISNUMBER(SEARCH({"0/aa","0\\aa"},BN671)))&gt;0)),NOT(SUMPRODUCT(--ISNUMBER(SEARCH({"http","www.","\\",":\",".pdf",".jpg",".jpeg",".png",".heic",".xls",".doc",".msg",".eml",".ppt",".txt",".zip"},Z671)))&gt;0),NOT(LOWER(TRIM(Z671))=LOWER(Flights!$F$25)),ISNA(MATCH(BU671,{"mh","rev","revision","ver","version","v","r","a","b","seat","tray","row","gate","bay","stand","page","pg","item","line","no","cart","galley","flight","flt","table","box","bag","oven","etd","eta","std","sta","atd","ata","qty","pax","x","time","tel","ph","mob","day","wk","week","utc","gmt","myt","lt"},0)),NOT(OR(ISNUMBER(MATCH(LEFT(BN671,255),{"0000a","000a","00a","0000aa","000aa","00aa","0aa","0000aaa","000aaa","00a00","0a00","0000-0000","00:00","a00","a0","00.00.0000","00/00/0000","00-00-0000","0000-00-00","0000/00/00","0000.00.00","00.00.00","00/00/00","00-00-00","0.00.0000","0/00/0000","0-00-0000"},0)),ISNUMBER(MATCH(LEFT(BT671,255),{"0000a","000a","00a","0000aa","000aa","00aa","0aa","0000aaa","000aaa","00a00","0a00","0000-0000","00:00","a00","a0","00.00.0000","00/00/0000","00-00-0000","0000-00-00","0000/00/00","0000.00.00","00.00.00","00/00/00","00-00-00","0.00.0000","0/00/0000","0-00-0000"},0)))),NOT(OR(AND(BW671&lt;&gt;"",SUBSTITUTE(BW671,"0","")=""),AND(LEN(BW671)&gt;=4,BW671=REPT(LEFT(BW671),LEN(BW671))),ISNUMBER(MATCH(BW671,{"123","1234","12345","123456","1234567","12345678","0123","01234","012345","98765","987654","54321"},0)),ISNUMBER(MATCH(BX671,{"x","xx","xxx","xxxx","xxxxx","abc","abcd","nil","na","nan","test","tbc","tba","tbd","dummy","sample","example","eg","zz","zzz","none","null","xyz","qwe","asd","id","ref"},0)),AND(LEN(BW671)=8,BX671="",OR(LEFT(BW671,3)="202",ISNUMBER(MATCH(RIGHT(BW671,4),{"2025","2026","2027"},0)))))),OR(AND((LEN(BT671)-LEN(SUBSTITUTE(BT671,"a","")))&gt;=1,(LEN(BN671)-LEN(SUBSTITUTE(BN671,"0","")))&gt;=2,SUMPRODUCT(--ISNUMBER(SEARCH({"a0","a-0","a_0","a/0","a.0","a#0","0a","0-a","0_a","0/a"},BN671)))&gt;0),AND((LEN(BN671)-LEN(SUBSTITUTE(BN671,"a","")))=0,(LEN(BN671)-LEN(SUBSTITUTE(BN671,"0","")))&gt;=5)))),1,0),0)</f>
        <v>0</v>
      </c>
      <c r="CA6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671,"revision",""),"version",""),"jan",""),"feb",""),"mar",""),"apr",""),"may",""),"jun",""),"jul",""),"aug",""),"sep",""),"oct",""),"nov",""),"dec",""),"utc",""),"gmt",""),"myt",""),"bst",""),"rev",""),"ver",""),"b","a"),"c","a"),"d","a"),"e","a"),"f","a"),"g","a"),"h","a"),"i","a"),"j","a"),"k","a"),"l","a"),"m","a"),"n","a"),"o","a"),"p","a"),"q","a"),"r","a"),"s","a"),"t","a"),"u","a"),"v","a"),"w","a"),"x","a"),"y","a"),"z","a")</f>
        <v/>
      </c>
      <c r="CB67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671&amp;""),"a",""),"b",""),"c",""),"d",""),"e",""),"f",""),"g",""),"h",""),"i",""),"j",""),"k",""),"l",""),"m",""),"n",""),"o",""),"p",""),"q",""),"r",""),"s",""),"t",""),"u",""),"v",""),"w",""),"x",""),"y",""),"z",""),"-",""),"_",""),"/",""),".",""),"#",""),"\\",""),":","")," ",""),"(",""),")","")</f>
        <v/>
      </c>
      <c r="CC671" s="0" t="str">
        <f aca="false">" "&amp;TRIM(SUBSTITUTE(SUBSTITUTE(SUBSTITUTE(SUBSTITUTE(SUBSTITUTE(SUBSTITUTE(SUBSTITUTE(SUBSTITUTE(SUBSTITUTE(SUBSTITUTE(SUBSTITUTE(SUBSTITUTE(SUBSTITUTE(SUBSTITUTE(SUBSTITUTE(SUBSTITUTE(SUBSTITUTE(SUBSTITUTE(SUBSTITUTE(SUBSTITUTE(SUBSTITUTE(SUBSTITUTE(SUBSTITUTE(SUBSTITUTE(LOWER(T671&amp;""),CHAR(10)," "),CHAR(13)," "),CHAR(9)," "),CHAR(160)," "),"."," "),","," "),"-"," "),"/"," "),"("," "),")"," "),":"," "),";"," "),"_"," "),"–"," "),"?"," "),"!"," "),"*"," "),"["," "),"]"," "),"'"," "),"#"," "),"+"," "),"&amp;"," "),"\"," "))&amp;" "</f>
        <v>  </v>
      </c>
      <c r="CD671" s="0" t="str">
        <f aca="false">" "&amp;TRIM(SUBSTITUTE(SUBSTITUTE(SUBSTITUTE(SUBSTITUTE(SUBSTITUTE(SUBSTITUTE(SUBSTITUTE(SUBSTITUTE(SUBSTITUTE(SUBSTITUTE(SUBSTITUTE(SUBSTITUTE(SUBSTITUTE(SUBSTITUTE(SUBSTITUTE(SUBSTITUTE(SUBSTITUTE(SUBSTITUTE(SUBSTITUTE(SUBSTITUTE(SUBSTITUTE(SUBSTITUTE(SUBSTITUTE(SUBSTITUTE(LOWER(AE671&amp;""),CHAR(10)," "),CHAR(13)," "),CHAR(9)," "),CHAR(160)," "),"."," "),","," "),"-"," "),"/"," "),"("," "),")"," "),":"," "),";"," "),"_"," "),"–"," "),"?"," "),"!"," "),"*"," "),"["," "),"]"," "),"'"," "),"#"," "),"+"," "),"&amp;"," "),"\"," "))&amp;" "</f>
        <v>  </v>
      </c>
      <c r="CE671" s="68" t="n">
        <f aca="false">IFERROR(IF(AND(LEN(AU671)&gt;0,LEN(AU671)=LEN(AX671),OR(TRIM(MID(SUBSTITUTE(TRIM(CC671)," ",REPT(" ",60)),1,60))="",ISNUMBER(SEARCH(" "&amp;TRIM(MID(SUBSTITUTE(TRIM(CC671)," ",REPT(" ",60)),1,60))&amp;" ",CD671))),OR(TRIM(MID(SUBSTITUTE(TRIM(CC671)," ",REPT(" ",60)),61,60))="",ISNUMBER(SEARCH(" "&amp;TRIM(MID(SUBSTITUTE(TRIM(CC671)," ",REPT(" ",60)),61,60))&amp;" ",CD671))),OR(TRIM(MID(SUBSTITUTE(TRIM(CC671)," ",REPT(" ",60)),121,60))="",ISNUMBER(SEARCH(" "&amp;TRIM(MID(SUBSTITUTE(TRIM(CC671)," ",REPT(" ",60)),121,60))&amp;" ",CD671)))),1,0),0)</f>
        <v>0</v>
      </c>
      <c r="CG671" s="68" t="n">
        <f aca="false">IFERROR(LEN(SUBSTITUTE(BF671," ",""))-SUMPRODUCT((LEN(BF671)-LEN(SUBSTITUTE(BF671," "&amp;L_NAFiller&amp;" "," ")))/(LEN(L_NAFiller)+1)*LEN(L_NAFiller)),0)</f>
        <v>0</v>
      </c>
    </row>
    <row r="672" customFormat="false" ht="39.75" hidden="false" customHeight="true" outlineLevel="0" collapsed="false">
      <c r="A672" s="57" t="s">
        <v>1392</v>
      </c>
      <c r="B672" s="57" t="s">
        <v>310</v>
      </c>
      <c r="C672" s="57" t="str">
        <f aca="false">Flights!$F$25</f>
        <v>MH1437</v>
      </c>
      <c r="D672" s="58" t="n">
        <f aca="false">Flights!$D$25</f>
        <v>46325</v>
      </c>
      <c r="E672" s="57" t="str">
        <f aca="false">Flights!$G$25&amp;"-"&amp;Flights!$H$25</f>
        <v>LGK-KUL</v>
      </c>
      <c r="F672" s="57" t="str">
        <f aca="false">Flights!$K$25</f>
        <v>BC</v>
      </c>
      <c r="G672" s="57" t="s">
        <v>81</v>
      </c>
      <c r="H672" s="57" t="s">
        <v>378</v>
      </c>
      <c r="I672" s="57" t="s">
        <v>405</v>
      </c>
      <c r="J672" s="57" t="s">
        <v>409</v>
      </c>
      <c r="K672" s="67" t="s">
        <v>407</v>
      </c>
      <c r="L672" s="67" t="s">
        <v>382</v>
      </c>
      <c r="M672" s="67"/>
      <c r="N672" s="67" t="s">
        <v>383</v>
      </c>
      <c r="O672" s="67"/>
      <c r="P672" s="57" t="s">
        <v>187</v>
      </c>
      <c r="Q672" s="59" t="n">
        <f aca="false">ROUND((Flights!$AC$25)*1440,0)/1440</f>
        <v>46318.28125</v>
      </c>
      <c r="R672" s="59" t="n">
        <f aca="false">Q672+(IF(AND(INDEX(TZ_DSTS,MATCH(P672,TZ_STN,0))&lt;&gt;"",Q672&gt;=INDEX(TZ_DSTS,MATCH(P672,TZ_STN,0)),Q672&lt;INDEX(TZ_DSTE,MATCH(P672,TZ_STN,0))),INDEX(TZ_DST,MATCH(P672,TZ_STN,0)),INDEX(TZ_STD,MATCH(P672,TZ_STN,0))))/24</f>
        <v>46318.6145833333</v>
      </c>
      <c r="S672" s="60"/>
      <c r="T672" s="60"/>
      <c r="U672" s="60"/>
      <c r="V672" s="60"/>
      <c r="W672" s="61"/>
      <c r="X672" s="60"/>
      <c r="Y672" s="60"/>
      <c r="Z672" s="60"/>
      <c r="AA672" s="60"/>
      <c r="AB672" s="60"/>
      <c r="AC672" s="60"/>
      <c r="AD672" s="66"/>
      <c r="AE672" s="60"/>
      <c r="AF672" s="61" t="str">
        <f aca="false">IF(AND(ISNUMBER(X672),ISNUMBER(Y672)),Y672-X672,"")</f>
        <v/>
      </c>
      <c r="AG672" s="62" t="str">
        <f aca="false">IF(ISNUMBER(AD672),AD672-(IF(AND(INDEX(TZ_DSTS,MATCH(P672,TZ_STN,0))&lt;&gt;"",(AD672-INDEX(TZ_STD,MATCH(P672,TZ_STN,0))/24)&gt;=INDEX(TZ_DSTS,MATCH(P672,TZ_STN,0)),(AD672-INDEX(TZ_STD,MATCH(P672,TZ_STN,0))/24)&lt;INDEX(TZ_DSTE,MATCH(P672,TZ_STN,0))),INDEX(TZ_DST,MATCH(P672,TZ_STN,0)),INDEX(TZ_STD,MATCH(P672,TZ_STN,0))))/24,"")</f>
        <v/>
      </c>
      <c r="AH672" s="65" t="str">
        <f aca="false">IFERROR(IF(N672="N/A – rule",IF(OR(TRIM(U672)="",TRIM(U672)="N/A",TRIM(U672)="Not started"),"N/A – RULE","INVALID – this check does not apply to this aircraft: clear the status (or correct the fleet on Flights)"),IF(TRIM(U672)="N/A",IF(AT672=0,"INVALID – N/A not permitted for this check",IF(AND(TRIM(AB672)&lt;&gt;"",TRIM(AB672)&lt;&gt;"Closed"),"INVALID – corrective action still open",IF(AND(NOT(OR(LEN(AZ672)&lt;15,ISNUMBER(MATCH(AZ672,L_Placeholder,0)))),BK672=0,CG672&gt;=8,NOT(OR(LEN(AU672)&lt;2,ISNUMBER(MATCH(AU672,L_Placeholder,0)))),BR672&gt;=3,NOT(OR(LEN(AX672)&lt;2,ISNUMBER(MATCH(AX672,L_Placeholder,0)))),BS672&gt;=3,TRIM(AE672)&lt;&gt;TRIM(T672),AX672&lt;&gt;AU672,CE672=0),"N/A – JUSTIFIED","INVALID – N/A needs a real, settled reason (not 'not applicable' / 'as above' / TBC), a named PIC and a different named verifier"))),IF(OR(TRIM(U672)="Pass",TRIM(U672)="Pass after CA"),IF(NOT(ISNUMBER(AD672)),"INVALID – completion time missing",IF(OR(OR(LEN(AU672)&lt;2,ISNUMBER(MATCH(AU672,L_Placeholder,0))),BR672&lt;3),"INVALID – PIC missing or not a named person (a role such as QA / CSM is not a name)",IF(OR(LEN(AV672)&lt;2,ISNUMBER(MATCH(AV672,L_Placeholder,0))),"INVALID – result / assessment missing",IF(OR(OR(LEN(AW672)&lt;3,ISNUMBER(MATCH(AW672,L_Placeholder,0))),SUMPRODUCT(--ISNUMBER(SEARCH(" "&amp;L_EvidencePhrase&amp;" ",BD672)))&gt;0,BI672=1),"INVALID – evidence missing, placeholder or not yet on file",IF(ISNA(MATCH(TRIM(S672),L_EvidenceType,0)),"INVALID – choose the evidence type from the list (column S)",IF(BL672=0,"INVALID – evidence ID must be the record's own ID only (e.g. SF-2210, IMG_2231, 1045521); a link / file name needs type 'Link / file path'",IF(OR(OR(LEN(AX672)&lt;2,ISNUMBER(MATCH(AX672,L_Placeholder,0))),BS672&lt;3),"INVALID – verifier missing or not a named person (a role such as QA / CSM is not a name)",IF(OR(AX672=AU672,CE672=1,AND(LEN(AU672)&gt;=4,ISNUMBER(SEARCH(AU672,AX672))),AND(LEN(AX672)&gt;=4,ISNUMBER(SEARCH(AX672,AU672)))),"INVALID – verifier must be a different, named person (not the PIC or a role)",IF(BH672=1,"INVALID – result not yet available (awaiting / TBC)",IF(BG672=1,"INVALID – result describes a problem: record Fail, then Pass after CA (or reword if it is not a problem)",IF(BV672=1,"INVALID – wording says not on board: an on-board confirmation needs the item loaded",IF(AND(AQ672=1,OR(OR(LEN(AY672)&lt;3,ISNUMBER(MATCH(AY672,L_Placeholder,0))),BJ672=1,BQ672=0)),"INVALID – batch ID missing, placeholder or not an ID (e.g. PASB-261008-BC-017)",IF(AND(AR672=1,OR(NOT(ISNUMBER(X672)),NOT(ISNUMBER(Y672)))),"INVALID – expected/actual qty missing",IF(AND(AR672=1,OR(X672&lt;=0,Y672&lt;0)),"INVALID – expected qty must be above 0 and actual not negative",IF(BB672&lt;&gt;"",BB672,IF(AND(AS672=1,Documents!$J$25&lt;&gt;"ON FILE"),"INVALID – GLD not on file (Documents sheet)",IF(AND(AS672=2,Documents!$O$25&lt;&gt;"ON FILE"),"INVALID – menu checklist not on file (Documents sheet)",IF(AND(AS672=3,NOT(ISNUMBER(Flights!$AX$25))),"INVALID – enter carrying flight KUL departure (Flights AX)",IF(AND(AS672=3,OR(Flights!$AZ$25&gt;Flights!$AA$25,Flights!$AX$25&lt;Flights!$AA$25-3)),"INVALID – carrying flight (Flights AX) cannot arrive before this leg's STD, or is over 3 days early",IF(AG672&gt;AsOfUTC,"INVALID – completion time is in the future",IF(AND(ISNUMBER(BY672),AG672&lt;BY672),IF(H672="Physical uplift","INVALID – before uplift window (cannot confirm loading)","INVALID – before valid window"),IF(AG672&gt;Flights!$AA$25,"INVALID – completed after departure (cannot establish readiness)",IF(AND(H672="Preparation",AG672&gt;=IF(ISNUMBER(Flights!$BA$25),MIN(Flights!$BA$25,Flights!$AA$25),Flights!$AA$25)),"INVALID – completed after loading / departure (cannot establish readiness)",IF(AND(H672="Physical uplift",AG672&gt;Q672),"INVALID – recorded after the loading flight departed",IF(AG672&gt;Q672,"COMPLETE – LATE","COMPLETE"))))))))))))))))))))))))),IF(TRIM(U672)="Fail","FAIL – DISCREPANCY",IF(AND(TRIM(U672)&lt;&gt;"",TRIM(U672)&lt;&gt;"Not started",TRIM(U672)&lt;&gt;"In progress"),"INVALID – unrecognised status (use the list)",IF(AsOfUTC&gt;Q672,"OVERDUE",IF(N672="Clarification required","OPEN – CLARIFICATION","OPEN"))))))),"INVALID – error value in an input cell")</f>
        <v>OPEN</v>
      </c>
      <c r="AI672" s="61" t="n">
        <f aca="false">IF(OR(AH672="N/A – RULE",AH672="N/A – JUSTIFIED"),0,1)</f>
        <v>1</v>
      </c>
      <c r="AJ672" s="61" t="n">
        <f aca="false">IF(LEFT(AH672,8)="COMPLETE",1,0)</f>
        <v>0</v>
      </c>
      <c r="AK672" s="61" t="n">
        <f aca="false">IF(AND(AI672=1,AJ672=0,AsOfUTC&gt;Q672),1,0)</f>
        <v>0</v>
      </c>
      <c r="AL672" s="61" t="n">
        <f aca="false">IFERROR(IF(AND(AI672=1,OR(TRIM(U672)="Fail",AND(TRIM(AB672)&lt;&gt;"",TRIM(AB672)&lt;&gt;"Closed"),AND(ISNUMBER(AF672),AF672&lt;&gt;0,TRIM(U672)&lt;&gt;"Pass after CA"))),1,0),1)</f>
        <v>0</v>
      </c>
      <c r="AM672" s="61" t="n">
        <f aca="false">IF(LEFT(AH672,7)="INVALID",1,0)</f>
        <v>0</v>
      </c>
      <c r="AN672" s="61" t="n">
        <f aca="false">IF(AND(N672="Clarification required",AI672=1,AJ672=0),1,0)</f>
        <v>0</v>
      </c>
      <c r="AO672" s="61" t="str">
        <f aca="false">IF(AK672=1,SUM(AK$5:AK672),"")</f>
        <v/>
      </c>
      <c r="AP672" s="61" t="str">
        <f aca="false">IF(AL672=1,SUM(AL$5:AL672),"")</f>
        <v/>
      </c>
      <c r="AQ672" s="61" t="n">
        <v>0</v>
      </c>
      <c r="AR672" s="61" t="n">
        <v>0</v>
      </c>
      <c r="AS672" s="61" t="n">
        <v>2</v>
      </c>
      <c r="AT672" s="61" t="n">
        <v>0</v>
      </c>
      <c r="AU672" s="61" t="str">
        <f aca="false">SUBSTITUTE(SUBSTITUTE(SUBSTITUTE(SUBSTITUTE(SUBSTITUTE(SUBSTITUTE(SUBSTITUTE(SUBSTITUTE(SUBSTITUTE(SUBSTITUTE(SUBSTITUTE(SUBSTITUTE(SUBSTITUTE(SUBSTITUTE(SUBSTITUTE(SUBSTITUTE(LOWER(T672&amp;""),CHAR(10),""),CHAR(13),""),CHAR(9),""),CHAR(160),"")," ",""),".",""),"-",""),"/",""),"?",""),"_",""),",",""),"[",""),"]",""),"(",""),")",""),"*","")</f>
        <v/>
      </c>
      <c r="AV672" s="61" t="str">
        <f aca="false">SUBSTITUTE(SUBSTITUTE(SUBSTITUTE(SUBSTITUTE(SUBSTITUTE(SUBSTITUTE(SUBSTITUTE(SUBSTITUTE(SUBSTITUTE(SUBSTITUTE(SUBSTITUTE(SUBSTITUTE(SUBSTITUTE(SUBSTITUTE(SUBSTITUTE(SUBSTITUTE(LOWER(V672&amp;""),CHAR(10),""),CHAR(13),""),CHAR(9),""),CHAR(160),"")," ",""),".",""),"-",""),"/",""),"?",""),"_",""),",",""),"[",""),"]",""),"(",""),")",""),"*","")</f>
        <v/>
      </c>
      <c r="AW672" s="61" t="str">
        <f aca="false">SUBSTITUTE(SUBSTITUTE(SUBSTITUTE(SUBSTITUTE(SUBSTITUTE(SUBSTITUTE(SUBSTITUTE(SUBSTITUTE(SUBSTITUTE(SUBSTITUTE(SUBSTITUTE(SUBSTITUTE(SUBSTITUTE(SUBSTITUTE(SUBSTITUTE(SUBSTITUTE(LOWER(Z672&amp;""),CHAR(10),""),CHAR(13),""),CHAR(9),""),CHAR(160),"")," ",""),".",""),"-",""),"/",""),"?",""),"_",""),",",""),"[",""),"]",""),"(",""),")",""),"*","")</f>
        <v/>
      </c>
      <c r="AX672" s="61" t="str">
        <f aca="false">SUBSTITUTE(SUBSTITUTE(SUBSTITUTE(SUBSTITUTE(SUBSTITUTE(SUBSTITUTE(SUBSTITUTE(SUBSTITUTE(SUBSTITUTE(SUBSTITUTE(SUBSTITUTE(SUBSTITUTE(SUBSTITUTE(SUBSTITUTE(SUBSTITUTE(SUBSTITUTE(LOWER(AE672&amp;""),CHAR(10),""),CHAR(13),""),CHAR(9),""),CHAR(160),"")," ",""),".",""),"-",""),"/",""),"?",""),"_",""),",",""),"[",""),"]",""),"(",""),")",""),"*","")</f>
        <v/>
      </c>
      <c r="AY672" s="61" t="str">
        <f aca="false">SUBSTITUTE(SUBSTITUTE(SUBSTITUTE(SUBSTITUTE(SUBSTITUTE(SUBSTITUTE(SUBSTITUTE(SUBSTITUTE(SUBSTITUTE(SUBSTITUTE(SUBSTITUTE(SUBSTITUTE(SUBSTITUTE(SUBSTITUTE(SUBSTITUTE(SUBSTITUTE(LOWER(W672&amp;""),CHAR(10),""),CHAR(13),""),CHAR(9),""),CHAR(160),"")," ",""),".",""),"-",""),"/",""),"?",""),"_",""),",",""),"[",""),"]",""),"(",""),")",""),"*","")</f>
        <v/>
      </c>
      <c r="AZ672" s="61" t="str">
        <f aca="false">SUBSTITUTE(SUBSTITUTE(SUBSTITUTE(SUBSTITUTE(SUBSTITUTE(SUBSTITUTE(SUBSTITUTE(SUBSTITUTE(SUBSTITUTE(SUBSTITUTE(SUBSTITUTE(SUBSTITUTE(SUBSTITUTE(SUBSTITUTE(SUBSTITUTE(SUBSTITUTE(LOWER(AC672&amp;""),CHAR(10),""),CHAR(13),""),CHAR(9),""),CHAR(160),"")," ",""),".",""),"-",""),"/",""),"?",""),"_",""),",",""),"[",""),"]",""),"(",""),")",""),"*","")</f>
        <v/>
      </c>
      <c r="BA672" s="61" t="str">
        <f aca="false">SUBSTITUTE(SUBSTITUTE(SUBSTITUTE(SUBSTITUTE(SUBSTITUTE(SUBSTITUTE(SUBSTITUTE(SUBSTITUTE(SUBSTITUTE(SUBSTITUTE(SUBSTITUTE(SUBSTITUTE(SUBSTITUTE(SUBSTITUTE(SUBSTITUTE(SUBSTITUTE(LOWER(AA672&amp;""),CHAR(10),""),CHAR(13),""),CHAR(9),""),CHAR(160),"")," ",""),".",""),"-",""),"/",""),"?",""),"_",""),",",""),"[",""),"]",""),"(",""),")",""),"*","")</f>
        <v/>
      </c>
      <c r="BB672" s="61" t="str">
        <f aca="false">IF(AND(TRIM(U672)="Pass",ISNUMBER(AF672)),IF(AF672&lt;&gt;0,"INVALID – qty variance: use Fail or Pass after CA",""),"")&amp;IF(AND(TRIM(U672)="Pass after CA",ISNUMBER(AF672)),IF(AF672&lt;&gt;0,"INVALID – after the corrective action the actual qty must equal expected (update Actual)",""),"")&amp;IF(AND(TRIM(U672)="Pass",TRIM(AB672)&lt;&gt;"",TRIM(AB672)&lt;&gt;"Closed"),"INVALID – corrective action not closed: use Fail, then Pass after CA","")&amp;IF(AND(LEN(BA672)&gt;=2,ISNA(MATCH(LEFT(BA672,255),L_Placeholder,0)),TRIM(AB672)=""),"INVALID – CA status missing for the recorded corrective action","")&amp;IF(AND(TRIM(U672)="Pass after CA",OR(OR(LEN(BA672)&lt;5,ISNUMBER(MATCH(BA672,L_Placeholder,0))),TRIM(AB672)&lt;&gt;"Closed")),"INVALID – corrective action not recorded/closed","")</f>
        <v/>
      </c>
      <c r="BC672" s="61" t="str">
        <f aca="false">" "&amp;TRIM(SUBSTITUTE(SUBSTITUTE(SUBSTITUTE(SUBSTITUTE(SUBSTITUTE(SUBSTITUTE(SUBSTITUTE(SUBSTITUTE(SUBSTITUTE(SUBSTITUTE(SUBSTITUTE(SUBSTITUTE(SUBSTITUTE(SUBSTITUTE(SUBSTITUTE(SUBSTITUTE(SUBSTITUTE(SUBSTITUTE(SUBSTITUTE(SUBSTITUTE(SUBSTITUTE(SUBSTITUTE(SUBSTITUTE(SUBSTITUTE(LOWER(V672&amp;""),CHAR(10)," "),CHAR(13)," "),CHAR(9)," "),CHAR(160)," "),"."," "),","," "),"-"," "),"/"," "),"("," "),")"," "),":"," "),";"," "),"_"," "),"–"," "),"?"," "),"!"," "),"*"," "),"["," "),"]"," "),"'"," "),"#"," "),"+"," "),"&amp;"," "),"\"," "))&amp;" "</f>
        <v>  </v>
      </c>
      <c r="BD672" s="61" t="str">
        <f aca="false">" "&amp;TRIM(SUBSTITUTE(SUBSTITUTE(SUBSTITUTE(SUBSTITUTE(SUBSTITUTE(SUBSTITUTE(SUBSTITUTE(SUBSTITUTE(SUBSTITUTE(SUBSTITUTE(SUBSTITUTE(SUBSTITUTE(SUBSTITUTE(SUBSTITUTE(SUBSTITUTE(SUBSTITUTE(SUBSTITUTE(SUBSTITUTE(SUBSTITUTE(SUBSTITUTE(SUBSTITUTE(SUBSTITUTE(SUBSTITUTE(SUBSTITUTE(LOWER(Z672&amp;""),CHAR(10)," "),CHAR(13)," "),CHAR(9)," "),CHAR(160)," "),"."," "),","," "),"-"," "),"/"," "),"("," "),")"," "),":"," "),";"," "),"_"," "),"–"," "),"?"," "),"!"," "),"*"," "),"["," "),"]"," "),"'"," "),"#"," "),"+"," "),"&amp;"," "),"\"," "))&amp;" "</f>
        <v>  </v>
      </c>
      <c r="BE672" s="61" t="str">
        <f aca="false">" "&amp;TRIM(SUBSTITUTE(SUBSTITUTE(SUBSTITUTE(SUBSTITUTE(SUBSTITUTE(SUBSTITUTE(SUBSTITUTE(SUBSTITUTE(SUBSTITUTE(SUBSTITUTE(SUBSTITUTE(SUBSTITUTE(SUBSTITUTE(SUBSTITUTE(SUBSTITUTE(SUBSTITUTE(SUBSTITUTE(SUBSTITUTE(SUBSTITUTE(SUBSTITUTE(SUBSTITUTE(SUBSTITUTE(SUBSTITUTE(SUBSTITUTE(LOWER(W672&amp;""),CHAR(10)," "),CHAR(13)," "),CHAR(9)," "),CHAR(160)," "),"."," "),","," "),"-"," "),"/"," "),"("," "),")"," "),":"," "),";"," "),"_"," "),"–"," "),"?"," "),"!"," "),"*"," "),"["," "),"]"," "),"'"," "),"#"," "),"+"," "),"&amp;"," "),"\"," "))&amp;" "</f>
        <v>  </v>
      </c>
      <c r="BF672" s="61" t="str">
        <f aca="false">" "&amp;TRIM(SUBSTITUTE(SUBSTITUTE(SUBSTITUTE(SUBSTITUTE(SUBSTITUTE(SUBSTITUTE(SUBSTITUTE(SUBSTITUTE(SUBSTITUTE(SUBSTITUTE(SUBSTITUTE(SUBSTITUTE(SUBSTITUTE(SUBSTITUTE(SUBSTITUTE(SUBSTITUTE(SUBSTITUTE(SUBSTITUTE(SUBSTITUTE(SUBSTITUTE(SUBSTITUTE(SUBSTITUTE(SUBSTITUTE(SUBSTITUTE(LOWER(AC672&amp;""),CHAR(10)," "),CHAR(13)," "),CHAR(9)," "),CHAR(160)," "),"."," "),","," "),"-"," "),"/"," "),"("," "),")"," "),":"," "),";"," "),"_"," "),"–"," "),"?"," "),"!"," "),"*"," "),"["," "),"]"," "),"'"," "),"#"," "),"+"," "),"&amp;"," "),"\"," "))&amp;" "</f>
        <v>  </v>
      </c>
      <c r="BG672" s="61" t="n">
        <f aca="false">IFERROR(IF(AND(TRIM(U672)="Pass",SUMPRODUCT((LEN(BC672)-LEN(SUBSTITUTE(BC672," "&amp;L_ResultBad&amp;" "," ")))/(LEN(L_ResultBad)+1))&gt;SUMPRODUCT((LEN(BC672)-LEN(SUBSTITUTE(BC672," "&amp;L_NegPhrase&amp;" "," ")))/(LEN(L_NegPhrase)+1))),1,0),0)</f>
        <v>0</v>
      </c>
      <c r="BH672" s="61" t="n">
        <f aca="false">IFERROR(IF(SUMPRODUCT((LEN(BC672)-LEN(SUBSTITUTE(BC672," "&amp;L_Pending&amp;" "," ")))/(LEN(L_Pending)+1))&gt;SUMPRODUCT((LEN(BC672)-LEN(SUBSTITUTE(BC672," "&amp;L_PendNeg&amp;" "," ")))/(LEN(L_PendNeg)+1))+SUMPRODUCT((LEN(BC672)-LEN(SUBSTITUTE(BC672," "&amp;L_PendPrep&amp;" "," ")))/(LEN(L_PendPrep)+1)),1,0),1)</f>
        <v>0</v>
      </c>
      <c r="BI672" s="61" t="n">
        <f aca="false">IFERROR(IF(SUMPRODUCT((LEN(BD672)-LEN(SUBSTITUTE(BD672," "&amp;L_PendStrict&amp;" "," ")))/(LEN(L_PendStrict)+1))&gt;SUMPRODUCT((LEN(BD672)-LEN(SUBSTITUTE(BD672," "&amp;L_PendNeg&amp;" "," ")))/(LEN(L_PendNeg)+1)),1,0),1)</f>
        <v>0</v>
      </c>
      <c r="BJ672" s="61" t="n">
        <f aca="false">IFERROR(IF(SUMPRODUCT((LEN(BE672)-LEN(SUBSTITUTE(BE672," "&amp;L_Pending&amp;" "," ")))/(LEN(L_Pending)+1))&gt;SUMPRODUCT((LEN(BE672)-LEN(SUBSTITUTE(BE672," "&amp;L_PendNeg&amp;" "," ")))/(LEN(L_PendNeg)+1))+SUMPRODUCT((LEN(BE672)-LEN(SUBSTITUTE(BE672," "&amp;L_PendPrep&amp;" "," ")))/(LEN(L_PendPrep)+1)),1,0),1)</f>
        <v>0</v>
      </c>
      <c r="BK672" s="61" t="n">
        <f aca="false">IFERROR(IF(SUMPRODUCT((LEN(BF672)-LEN(SUBSTITUTE(BF672," "&amp;L_PendStrict&amp;" "," ")))/(LEN(L_PendStrict)+1))&gt;SUMPRODUCT((LEN(BF672)-LEN(SUBSTITUTE(BF672," "&amp;L_PendNeg&amp;" "," ")))/(LEN(L_PendNeg)+1)),1,0),1)</f>
        <v>0</v>
      </c>
      <c r="BL672" s="61" t="n">
        <f aca="false">IF(ISNA(MATCH(TRIM(S672),L_EvidenceType,0)),0,BZ672)</f>
        <v>0</v>
      </c>
      <c r="BM672" s="61" t="str">
        <f aca="false">SUBSTITUTE(SUBSTITUTE(SUBSTITUTE(SUBSTITUTE(SUBSTITUTE(SUBSTITUTE(SUBSTITUTE(SUBSTITUTE(SUBSTITUTE(LOWER(Z672&amp;""),"1","0"),"2","0"),"3","0"),"4","0"),"5","0"),"6","0"),"7","0"),"8","0"),"9","0")</f>
        <v/>
      </c>
      <c r="BN672" s="61" t="str">
        <f aca="false">SUBSTITUTE(SUBSTITUTE(SUBSTITUTE(SUBSTITUTE(SUBSTITUTE(SUBSTITUTE(SUBSTITUTE(SUBSTITUTE(SUBSTITUTE(SUBSTITUTE(SUBSTITUTE(SUBSTITUTE(SUBSTITUTE(SUBSTITUTE(SUBSTITUTE(SUBSTITUTE(SUBSTITUTE(SUBSTITUTE(SUBSTITUTE(SUBSTITUTE(SUBSTITUTE(SUBSTITUTE(SUBSTITUTE(SUBSTITUTE(SUBSTITUTE(BM672,"b","a"),"c","a"),"d","a"),"e","a"),"f","a"),"g","a"),"h","a"),"i","a"),"j","a"),"k","a"),"l","a"),"m","a"),"n","a"),"o","a"),"p","a"),"q","a"),"r","a"),"s","a"),"t","a"),"u","a"),"v","a"),"w","a"),"x","a"),"y","a"),"z","a")</f>
        <v/>
      </c>
      <c r="BO672" s="61" t="str">
        <f aca="false">SUBSTITUTE(SUBSTITUTE(SUBSTITUTE(SUBSTITUTE(SUBSTITUTE(SUBSTITUTE(SUBSTITUTE(SUBSTITUTE(SUBSTITUTE(LOWER(W672&amp;""),"1","0"),"2","0"),"3","0"),"4","0"),"5","0"),"6","0"),"7","0"),"8","0"),"9","0")</f>
        <v/>
      </c>
      <c r="BP672" s="61" t="str">
        <f aca="false">SUBSTITUTE(SUBSTITUTE(SUBSTITUTE(SUBSTITUTE(SUBSTITUTE(SUBSTITUTE(SUBSTITUTE(SUBSTITUTE(SUBSTITUTE(SUBSTITUTE(SUBSTITUTE(SUBSTITUTE(SUBSTITUTE(SUBSTITUTE(SUBSTITUTE(SUBSTITUTE(SUBSTITUTE(SUBSTITUTE(SUBSTITUTE(SUBSTITUTE(SUBSTITUTE(SUBSTITUTE(SUBSTITUTE(SUBSTITUTE(SUBSTITUTE(BO672,"b","a"),"c","a"),"d","a"),"e","a"),"f","a"),"g","a"),"h","a"),"i","a"),"j","a"),"k","a"),"l","a"),"m","a"),"n","a"),"o","a"),"p","a"),"q","a"),"r","a"),"s","a"),"t","a"),"u","a"),"v","a"),"w","a"),"x","a"),"y","a"),"z","a")</f>
        <v/>
      </c>
      <c r="BQ672" s="61" t="n">
        <f aca="false">IFERROR(IF(AND(ISERROR(SEARCH(" mh"," "&amp;LOWER(W672))),ISNA(MATCH(LEFT(TRIM(BP672),255),{"0000a","000a","00a","0000aa","000aa","00aa","0aa","0000aaa","000aaa","00a00","0a00","0000-0000","00:00","a00","a0","00.00.0000","00/00/0000","00-00-0000","0000-00-00","0000/00/00","0000.00.00","00.00.00","00/00/00","00-00-00","0.00.0000","0/00/0000","0-00-0000"},0)),ISNA(MATCH(LEFT(TRIM(CA672),255),{"0000a","000a","00a","0000aa","000aa","00aa","0aa","0000aaa","000aaa","00a00","0a00","0000-0000","00:00","a00","a0","00.00.0000","00/00/0000","00-00-0000","0000-00-00","0000/00/00","0000.00.00","00.00.00","00/00/00","00-00-00","0.00.0000","0/00/0000","0-00-0000"},0)),LEN(CB672)&gt;=3,NOT(OR(SUBSTITUTE(CB672,"0","")="",AND(LEN(CB672)&gt;=4,CB672=REPT(LEFT(CB672),LEN(CB672))),ISNUMBER(MATCH(CB672,{"123","1234","12345","123456","1234567","12345678","0123","01234","012345","98765","987654","54321"},0)),AND(LEN(CB672)=8,LEFT(CB672,3)="202"))),OR(AND((LEN(CA672)-LEN(SUBSTITUTE(CA672,"a","")))&gt;=1,SUMPRODUCT(--ISNUMBER(SEARCH({"a0","a-0","a_0","a/0","a.0","a#0","0a","0-a","0_a","0/a"},BP672)))&gt;0),ISNUMBER(SEARCH("000000",BP672)))),1,0),0)</f>
        <v>0</v>
      </c>
      <c r="BR672" s="61" t="n">
        <f aca="false">IFERROR(LEN(SUBSTITUTE(CC672," ",""))-SUMPRODUCT((LEN(CC672)-LEN(SUBSTITUTE(CC672," "&amp;L_Role&amp;" "," ")))/(LEN(L_Role)+1)*LEN(L_Role)),0)</f>
        <v>0</v>
      </c>
      <c r="BS672" s="61" t="n">
        <f aca="false">IFERROR(LEN(SUBSTITUTE(CD672," ",""))-SUMPRODUCT((LEN(CD672)-LEN(SUBSTITUTE(CD672," "&amp;L_Role&amp;" "," ")))/(LEN(L_Role)+1)*LEN(L_Role)),0)</f>
        <v>0</v>
      </c>
      <c r="BT6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672,"revision",""),"version",""),"jan",""),"feb",""),"mar",""),"apr",""),"may",""),"jun",""),"jul",""),"aug",""),"sep",""),"oct",""),"nov",""),"dec",""),"utc",""),"gmt",""),"myt",""),"bst",""),"rev",""),"ver",""),"b","a"),"c","a"),"d","a"),"e","a"),"f","a"),"g","a"),"h","a"),"i","a"),"j","a"),"k","a"),"l","a"),"m","a"),"n","a"),"o","a"),"p","a"),"q","a"),"r","a"),"s","a"),"t","a"),"u","a"),"v","a"),"w","a"),"x","a"),"y","a"),"z","a")</f>
        <v/>
      </c>
      <c r="BU672" s="61" t="str">
        <f aca="false">SUBSTITUTE(SUBSTITUTE(SUBSTITUTE(SUBSTITUTE(SUBSTITUTE(SUBSTITUTE(SUBSTITUTE(SUBSTITUTE(SUBSTITUTE(SUBSTITUTE(LEFT(BM672,FIND("0",BM672&amp;"0")-1),"-",""),"_",""),"/",""),".",""),"#",""),"\\",""),":","")," ",""),"(",""),")","")</f>
        <v/>
      </c>
      <c r="BV672" s="61" t="n">
        <f aca="false">0</f>
        <v>0</v>
      </c>
      <c r="BW67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672&amp;""),"a",""),"b",""),"c",""),"d",""),"e",""),"f",""),"g",""),"h",""),"i",""),"j",""),"k",""),"l",""),"m",""),"n",""),"o",""),"p",""),"q",""),"r",""),"s",""),"t",""),"u",""),"v",""),"w",""),"x",""),"y",""),"z",""),"-",""),"_",""),"/",""),".",""),"#",""),"\\",""),":","")," ",""),"(",""),")","")</f>
        <v/>
      </c>
      <c r="BX672" s="61" t="str">
        <f aca="false">SUBSTITUTE(SUBSTITUTE(SUBSTITUTE(SUBSTITUTE(SUBSTITUTE(SUBSTITUTE(SUBSTITUTE(SUBSTITUTE(SUBSTITUTE(SUBSTITUTE(SUBSTITUTE(BM672,"0",""),"-",""),"_",""),"/",""),".",""),"#",""),"\\",""),":","")," ",""),"(",""),")","")</f>
        <v/>
      </c>
      <c r="BY672" s="62" t="n">
        <f aca="false">Q672-T7EarlyD*24/24</f>
        <v>46304.28125</v>
      </c>
      <c r="BZ672" s="61" t="n">
        <f aca="false">IFERROR(IF(IF(TRIM(S672)="Link / file path",AND(LEN(TRIM(Z672))&gt;=5,SUMPRODUCT(--ISNUMBER(SEARCH({"http","www.","\\",":\",".pdf",".jpg",".jpeg",".png",".heic",".xls",".doc",".msg",".eml",".ppt",".txt",".zip"},Z672)))&gt;0),AND(ISERROR(FIND(" ",TRIM(Z672))),NOT(OR(SUMPRODUCT(--ISNUMBER(FIND({",",";","&amp;","+"},Z672)))&gt;0,SUMPRODUCT(--ISNUMBER(SEARCH({"0/aa","0\\aa"},BN672)))&gt;0)),NOT(SUMPRODUCT(--ISNUMBER(SEARCH({"http","www.","\\",":\",".pdf",".jpg",".jpeg",".png",".heic",".xls",".doc",".msg",".eml",".ppt",".txt",".zip"},Z672)))&gt;0),NOT(LOWER(TRIM(Z672))=LOWER(Flights!$F$25)),ISNA(MATCH(BU672,{"mh","rev","revision","ver","version","v","r","a","b","seat","tray","row","gate","bay","stand","page","pg","item","line","no","cart","galley","flight","flt","table","box","bag","oven","etd","eta","std","sta","atd","ata","qty","pax","x","time","tel","ph","mob","day","wk","week","utc","gmt","myt","lt"},0)),NOT(OR(ISNUMBER(MATCH(LEFT(BN672,255),{"0000a","000a","00a","0000aa","000aa","00aa","0aa","0000aaa","000aaa","00a00","0a00","0000-0000","00:00","a00","a0","00.00.0000","00/00/0000","00-00-0000","0000-00-00","0000/00/00","0000.00.00","00.00.00","00/00/00","00-00-00","0.00.0000","0/00/0000","0-00-0000"},0)),ISNUMBER(MATCH(LEFT(BT672,255),{"0000a","000a","00a","0000aa","000aa","00aa","0aa","0000aaa","000aaa","00a00","0a00","0000-0000","00:00","a00","a0","00.00.0000","00/00/0000","00-00-0000","0000-00-00","0000/00/00","0000.00.00","00.00.00","00/00/00","00-00-00","0.00.0000","0/00/0000","0-00-0000"},0)))),NOT(OR(AND(BW672&lt;&gt;"",SUBSTITUTE(BW672,"0","")=""),AND(LEN(BW672)&gt;=4,BW672=REPT(LEFT(BW672),LEN(BW672))),ISNUMBER(MATCH(BW672,{"123","1234","12345","123456","1234567","12345678","0123","01234","012345","98765","987654","54321"},0)),ISNUMBER(MATCH(BX672,{"x","xx","xxx","xxxx","xxxxx","abc","abcd","nil","na","nan","test","tbc","tba","tbd","dummy","sample","example","eg","zz","zzz","none","null","xyz","qwe","asd","id","ref"},0)),AND(LEN(BW672)=8,BX672="",OR(LEFT(BW672,3)="202",ISNUMBER(MATCH(RIGHT(BW672,4),{"2025","2026","2027"},0)))))),OR(AND((LEN(BT672)-LEN(SUBSTITUTE(BT672,"a","")))&gt;=1,(LEN(BN672)-LEN(SUBSTITUTE(BN672,"0","")))&gt;=2,SUMPRODUCT(--ISNUMBER(SEARCH({"a0","a-0","a_0","a/0","a.0","a#0","0a","0-a","0_a","0/a"},BN672)))&gt;0),AND((LEN(BN672)-LEN(SUBSTITUTE(BN672,"a","")))=0,(LEN(BN672)-LEN(SUBSTITUTE(BN672,"0","")))&gt;=5)))),1,0),0)</f>
        <v>0</v>
      </c>
      <c r="CA6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672,"revision",""),"version",""),"jan",""),"feb",""),"mar",""),"apr",""),"may",""),"jun",""),"jul",""),"aug",""),"sep",""),"oct",""),"nov",""),"dec",""),"utc",""),"gmt",""),"myt",""),"bst",""),"rev",""),"ver",""),"b","a"),"c","a"),"d","a"),"e","a"),"f","a"),"g","a"),"h","a"),"i","a"),"j","a"),"k","a"),"l","a"),"m","a"),"n","a"),"o","a"),"p","a"),"q","a"),"r","a"),"s","a"),"t","a"),"u","a"),"v","a"),"w","a"),"x","a"),"y","a"),"z","a")</f>
        <v/>
      </c>
      <c r="CB67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672&amp;""),"a",""),"b",""),"c",""),"d",""),"e",""),"f",""),"g",""),"h",""),"i",""),"j",""),"k",""),"l",""),"m",""),"n",""),"o",""),"p",""),"q",""),"r",""),"s",""),"t",""),"u",""),"v",""),"w",""),"x",""),"y",""),"z",""),"-",""),"_",""),"/",""),".",""),"#",""),"\\",""),":","")," ",""),"(",""),")","")</f>
        <v/>
      </c>
      <c r="CC672" s="0" t="str">
        <f aca="false">" "&amp;TRIM(SUBSTITUTE(SUBSTITUTE(SUBSTITUTE(SUBSTITUTE(SUBSTITUTE(SUBSTITUTE(SUBSTITUTE(SUBSTITUTE(SUBSTITUTE(SUBSTITUTE(SUBSTITUTE(SUBSTITUTE(SUBSTITUTE(SUBSTITUTE(SUBSTITUTE(SUBSTITUTE(SUBSTITUTE(SUBSTITUTE(SUBSTITUTE(SUBSTITUTE(SUBSTITUTE(SUBSTITUTE(SUBSTITUTE(SUBSTITUTE(LOWER(T672&amp;""),CHAR(10)," "),CHAR(13)," "),CHAR(9)," "),CHAR(160)," "),"."," "),","," "),"-"," "),"/"," "),"("," "),")"," "),":"," "),";"," "),"_"," "),"–"," "),"?"," "),"!"," "),"*"," "),"["," "),"]"," "),"'"," "),"#"," "),"+"," "),"&amp;"," "),"\"," "))&amp;" "</f>
        <v>  </v>
      </c>
      <c r="CD672" s="0" t="str">
        <f aca="false">" "&amp;TRIM(SUBSTITUTE(SUBSTITUTE(SUBSTITUTE(SUBSTITUTE(SUBSTITUTE(SUBSTITUTE(SUBSTITUTE(SUBSTITUTE(SUBSTITUTE(SUBSTITUTE(SUBSTITUTE(SUBSTITUTE(SUBSTITUTE(SUBSTITUTE(SUBSTITUTE(SUBSTITUTE(SUBSTITUTE(SUBSTITUTE(SUBSTITUTE(SUBSTITUTE(SUBSTITUTE(SUBSTITUTE(SUBSTITUTE(SUBSTITUTE(LOWER(AE672&amp;""),CHAR(10)," "),CHAR(13)," "),CHAR(9)," "),CHAR(160)," "),"."," "),","," "),"-"," "),"/"," "),"("," "),")"," "),":"," "),";"," "),"_"," "),"–"," "),"?"," "),"!"," "),"*"," "),"["," "),"]"," "),"'"," "),"#"," "),"+"," "),"&amp;"," "),"\"," "))&amp;" "</f>
        <v>  </v>
      </c>
      <c r="CE672" s="68" t="n">
        <f aca="false">IFERROR(IF(AND(LEN(AU672)&gt;0,LEN(AU672)=LEN(AX672),OR(TRIM(MID(SUBSTITUTE(TRIM(CC672)," ",REPT(" ",60)),1,60))="",ISNUMBER(SEARCH(" "&amp;TRIM(MID(SUBSTITUTE(TRIM(CC672)," ",REPT(" ",60)),1,60))&amp;" ",CD672))),OR(TRIM(MID(SUBSTITUTE(TRIM(CC672)," ",REPT(" ",60)),61,60))="",ISNUMBER(SEARCH(" "&amp;TRIM(MID(SUBSTITUTE(TRIM(CC672)," ",REPT(" ",60)),61,60))&amp;" ",CD672))),OR(TRIM(MID(SUBSTITUTE(TRIM(CC672)," ",REPT(" ",60)),121,60))="",ISNUMBER(SEARCH(" "&amp;TRIM(MID(SUBSTITUTE(TRIM(CC672)," ",REPT(" ",60)),121,60))&amp;" ",CD672)))),1,0),0)</f>
        <v>0</v>
      </c>
      <c r="CG672" s="68" t="n">
        <f aca="false">IFERROR(LEN(SUBSTITUTE(BF672," ",""))-SUMPRODUCT((LEN(BF672)-LEN(SUBSTITUTE(BF672," "&amp;L_NAFiller&amp;" "," ")))/(LEN(L_NAFiller)+1)*LEN(L_NAFiller)),0)</f>
        <v>0</v>
      </c>
    </row>
    <row r="673" customFormat="false" ht="41.25" hidden="false" customHeight="true" outlineLevel="0" collapsed="false">
      <c r="A673" s="57" t="s">
        <v>1393</v>
      </c>
      <c r="B673" s="57" t="s">
        <v>310</v>
      </c>
      <c r="C673" s="57" t="str">
        <f aca="false">Flights!$F$25</f>
        <v>MH1437</v>
      </c>
      <c r="D673" s="58" t="n">
        <f aca="false">Flights!$D$25</f>
        <v>46325</v>
      </c>
      <c r="E673" s="57" t="str">
        <f aca="false">Flights!$G$25&amp;"-"&amp;Flights!$H$25</f>
        <v>LGK-KUL</v>
      </c>
      <c r="F673" s="57" t="str">
        <f aca="false">Flights!$K$25</f>
        <v>BC</v>
      </c>
      <c r="G673" s="57" t="s">
        <v>81</v>
      </c>
      <c r="H673" s="57" t="s">
        <v>378</v>
      </c>
      <c r="I673" s="57" t="s">
        <v>411</v>
      </c>
      <c r="J673" s="57" t="s">
        <v>412</v>
      </c>
      <c r="K673" s="67" t="s">
        <v>922</v>
      </c>
      <c r="L673" s="67" t="s">
        <v>1371</v>
      </c>
      <c r="M673" s="67"/>
      <c r="N673" s="67" t="s">
        <v>383</v>
      </c>
      <c r="O673" s="67" t="s">
        <v>967</v>
      </c>
      <c r="P673" s="57" t="s">
        <v>187</v>
      </c>
      <c r="Q673" s="59" t="n">
        <f aca="false">ROUND((Flights!$AC$25)*1440,0)/1440</f>
        <v>46318.28125</v>
      </c>
      <c r="R673" s="59" t="n">
        <f aca="false">Q673+(IF(AND(INDEX(TZ_DSTS,MATCH(P673,TZ_STN,0))&lt;&gt;"",Q673&gt;=INDEX(TZ_DSTS,MATCH(P673,TZ_STN,0)),Q673&lt;INDEX(TZ_DSTE,MATCH(P673,TZ_STN,0))),INDEX(TZ_DST,MATCH(P673,TZ_STN,0)),INDEX(TZ_STD,MATCH(P673,TZ_STN,0))))/24</f>
        <v>46318.6145833333</v>
      </c>
      <c r="S673" s="60"/>
      <c r="T673" s="60"/>
      <c r="U673" s="60"/>
      <c r="V673" s="60"/>
      <c r="W673" s="61"/>
      <c r="X673" s="60"/>
      <c r="Y673" s="60"/>
      <c r="Z673" s="60"/>
      <c r="AA673" s="60"/>
      <c r="AB673" s="60"/>
      <c r="AC673" s="60"/>
      <c r="AD673" s="66"/>
      <c r="AE673" s="60"/>
      <c r="AF673" s="61" t="str">
        <f aca="false">IF(AND(ISNUMBER(X673),ISNUMBER(Y673)),Y673-X673,"")</f>
        <v/>
      </c>
      <c r="AG673" s="62" t="str">
        <f aca="false">IF(ISNUMBER(AD673),AD673-(IF(AND(INDEX(TZ_DSTS,MATCH(P673,TZ_STN,0))&lt;&gt;"",(AD673-INDEX(TZ_STD,MATCH(P673,TZ_STN,0))/24)&gt;=INDEX(TZ_DSTS,MATCH(P673,TZ_STN,0)),(AD673-INDEX(TZ_STD,MATCH(P673,TZ_STN,0))/24)&lt;INDEX(TZ_DSTE,MATCH(P673,TZ_STN,0))),INDEX(TZ_DST,MATCH(P673,TZ_STN,0)),INDEX(TZ_STD,MATCH(P673,TZ_STN,0))))/24,"")</f>
        <v/>
      </c>
      <c r="AH673" s="65" t="str">
        <f aca="false">IFERROR(IF(N673="N/A – rule",IF(OR(TRIM(U673)="",TRIM(U673)="N/A",TRIM(U673)="Not started"),"N/A – RULE","INVALID – this check does not apply to this aircraft: clear the status (or correct the fleet on Flights)"),IF(TRIM(U673)="N/A",IF(AT673=0,"INVALID – N/A not permitted for this check",IF(AND(TRIM(AB673)&lt;&gt;"",TRIM(AB673)&lt;&gt;"Closed"),"INVALID – corrective action still open",IF(AND(NOT(OR(LEN(AZ673)&lt;15,ISNUMBER(MATCH(AZ673,L_Placeholder,0)))),BK673=0,CG673&gt;=8,NOT(OR(LEN(AU673)&lt;2,ISNUMBER(MATCH(AU673,L_Placeholder,0)))),BR673&gt;=3,NOT(OR(LEN(AX673)&lt;2,ISNUMBER(MATCH(AX673,L_Placeholder,0)))),BS673&gt;=3,TRIM(AE673)&lt;&gt;TRIM(T673),AX673&lt;&gt;AU673,CE673=0),"N/A – JUSTIFIED","INVALID – N/A needs a real, settled reason (not 'not applicable' / 'as above' / TBC), a named PIC and a different named verifier"))),IF(OR(TRIM(U673)="Pass",TRIM(U673)="Pass after CA"),IF(NOT(ISNUMBER(AD673)),"INVALID – completion time missing",IF(OR(OR(LEN(AU673)&lt;2,ISNUMBER(MATCH(AU673,L_Placeholder,0))),BR673&lt;3),"INVALID – PIC missing or not a named person (a role such as QA / CSM is not a name)",IF(OR(LEN(AV673)&lt;2,ISNUMBER(MATCH(AV673,L_Placeholder,0))),"INVALID – result / assessment missing",IF(OR(OR(LEN(AW673)&lt;3,ISNUMBER(MATCH(AW673,L_Placeholder,0))),SUMPRODUCT(--ISNUMBER(SEARCH(" "&amp;L_EvidencePhrase&amp;" ",BD673)))&gt;0,BI673=1),"INVALID – evidence missing, placeholder or not yet on file",IF(ISNA(MATCH(TRIM(S673),L_EvidenceType,0)),"INVALID – choose the evidence type from the list (column S)",IF(BL673=0,"INVALID – evidence ID must be the record's own ID only (e.g. SF-2210, IMG_2231, 1045521); a link / file name needs type 'Link / file path'",IF(OR(OR(LEN(AX673)&lt;2,ISNUMBER(MATCH(AX673,L_Placeholder,0))),BS673&lt;3),"INVALID – verifier missing or not a named person (a role such as QA / CSM is not a name)",IF(OR(AX673=AU673,CE673=1,AND(LEN(AU673)&gt;=4,ISNUMBER(SEARCH(AU673,AX673))),AND(LEN(AX673)&gt;=4,ISNUMBER(SEARCH(AX673,AU673)))),"INVALID – verifier must be a different, named person (not the PIC or a role)",IF(BH673=1,"INVALID – result not yet available (awaiting / TBC)",IF(BG673=1,"INVALID – result describes a problem: record Fail, then Pass after CA (or reword if it is not a problem)",IF(BV673=1,"INVALID – wording says not on board: an on-board confirmation needs the item loaded",IF(AND(AQ673=1,OR(OR(LEN(AY673)&lt;3,ISNUMBER(MATCH(AY673,L_Placeholder,0))),BJ673=1,BQ673=0)),"INVALID – batch ID missing, placeholder or not an ID (e.g. PASB-261008-BC-017)",IF(AND(AR673=1,OR(NOT(ISNUMBER(X673)),NOT(ISNUMBER(Y673)))),"INVALID – expected/actual qty missing",IF(AND(AR673=1,OR(X673&lt;=0,Y673&lt;0)),"INVALID – expected qty must be above 0 and actual not negative",IF(BB673&lt;&gt;"",BB673,IF(AND(AS673=1,Documents!$J$25&lt;&gt;"ON FILE"),"INVALID – GLD not on file (Documents sheet)",IF(AND(AS673=2,Documents!$O$25&lt;&gt;"ON FILE"),"INVALID – menu checklist not on file (Documents sheet)",IF(AND(AS673=3,NOT(ISNUMBER(Flights!$AX$25))),"INVALID – enter carrying flight KUL departure (Flights AX)",IF(AND(AS673=3,OR(Flights!$AZ$25&gt;Flights!$AA$25,Flights!$AX$25&lt;Flights!$AA$25-3)),"INVALID – carrying flight (Flights AX) cannot arrive before this leg's STD, or is over 3 days early",IF(AG673&gt;AsOfUTC,"INVALID – completion time is in the future",IF(AND(ISNUMBER(BY673),AG673&lt;BY673),IF(H673="Physical uplift","INVALID – before uplift window (cannot confirm loading)","INVALID – before valid window"),IF(AG673&gt;Flights!$AA$25,"INVALID – completed after departure (cannot establish readiness)",IF(AND(H673="Preparation",AG673&gt;=IF(ISNUMBER(Flights!$BA$25),MIN(Flights!$BA$25,Flights!$AA$25),Flights!$AA$25)),"INVALID – completed after loading / departure (cannot establish readiness)",IF(AND(H673="Physical uplift",AG673&gt;Q673),"INVALID – recorded after the loading flight departed",IF(AG673&gt;Q673,"COMPLETE – LATE","COMPLETE"))))))))))))))))))))))))),IF(TRIM(U673)="Fail","FAIL – DISCREPANCY",IF(AND(TRIM(U673)&lt;&gt;"",TRIM(U673)&lt;&gt;"Not started",TRIM(U673)&lt;&gt;"In progress"),"INVALID – unrecognised status (use the list)",IF(AsOfUTC&gt;Q673,"OVERDUE",IF(N673="Clarification required","OPEN – CLARIFICATION","OPEN"))))))),"INVALID – error value in an input cell")</f>
        <v>OPEN</v>
      </c>
      <c r="AI673" s="61" t="n">
        <f aca="false">IF(OR(AH673="N/A – RULE",AH673="N/A – JUSTIFIED"),0,1)</f>
        <v>1</v>
      </c>
      <c r="AJ673" s="61" t="n">
        <f aca="false">IF(LEFT(AH673,8)="COMPLETE",1,0)</f>
        <v>0</v>
      </c>
      <c r="AK673" s="61" t="n">
        <f aca="false">IF(AND(AI673=1,AJ673=0,AsOfUTC&gt;Q673),1,0)</f>
        <v>0</v>
      </c>
      <c r="AL673" s="61" t="n">
        <f aca="false">IFERROR(IF(AND(AI673=1,OR(TRIM(U673)="Fail",AND(TRIM(AB673)&lt;&gt;"",TRIM(AB673)&lt;&gt;"Closed"),AND(ISNUMBER(AF673),AF673&lt;&gt;0,TRIM(U673)&lt;&gt;"Pass after CA"))),1,0),1)</f>
        <v>0</v>
      </c>
      <c r="AM673" s="61" t="n">
        <f aca="false">IF(LEFT(AH673,7)="INVALID",1,0)</f>
        <v>0</v>
      </c>
      <c r="AN673" s="61" t="n">
        <f aca="false">IF(AND(N673="Clarification required",AI673=1,AJ673=0),1,0)</f>
        <v>0</v>
      </c>
      <c r="AO673" s="61" t="str">
        <f aca="false">IF(AK673=1,SUM(AK$5:AK673),"")</f>
        <v/>
      </c>
      <c r="AP673" s="61" t="str">
        <f aca="false">IF(AL673=1,SUM(AL$5:AL673),"")</f>
        <v/>
      </c>
      <c r="AQ673" s="61" t="n">
        <v>0</v>
      </c>
      <c r="AR673" s="61" t="n">
        <v>0</v>
      </c>
      <c r="AS673" s="61" t="n">
        <v>0</v>
      </c>
      <c r="AT673" s="61" t="n">
        <v>0</v>
      </c>
      <c r="AU673" s="61" t="str">
        <f aca="false">SUBSTITUTE(SUBSTITUTE(SUBSTITUTE(SUBSTITUTE(SUBSTITUTE(SUBSTITUTE(SUBSTITUTE(SUBSTITUTE(SUBSTITUTE(SUBSTITUTE(SUBSTITUTE(SUBSTITUTE(SUBSTITUTE(SUBSTITUTE(SUBSTITUTE(SUBSTITUTE(LOWER(T673&amp;""),CHAR(10),""),CHAR(13),""),CHAR(9),""),CHAR(160),"")," ",""),".",""),"-",""),"/",""),"?",""),"_",""),",",""),"[",""),"]",""),"(",""),")",""),"*","")</f>
        <v/>
      </c>
      <c r="AV673" s="61" t="str">
        <f aca="false">SUBSTITUTE(SUBSTITUTE(SUBSTITUTE(SUBSTITUTE(SUBSTITUTE(SUBSTITUTE(SUBSTITUTE(SUBSTITUTE(SUBSTITUTE(SUBSTITUTE(SUBSTITUTE(SUBSTITUTE(SUBSTITUTE(SUBSTITUTE(SUBSTITUTE(SUBSTITUTE(LOWER(V673&amp;""),CHAR(10),""),CHAR(13),""),CHAR(9),""),CHAR(160),"")," ",""),".",""),"-",""),"/",""),"?",""),"_",""),",",""),"[",""),"]",""),"(",""),")",""),"*","")</f>
        <v/>
      </c>
      <c r="AW673" s="61" t="str">
        <f aca="false">SUBSTITUTE(SUBSTITUTE(SUBSTITUTE(SUBSTITUTE(SUBSTITUTE(SUBSTITUTE(SUBSTITUTE(SUBSTITUTE(SUBSTITUTE(SUBSTITUTE(SUBSTITUTE(SUBSTITUTE(SUBSTITUTE(SUBSTITUTE(SUBSTITUTE(SUBSTITUTE(LOWER(Z673&amp;""),CHAR(10),""),CHAR(13),""),CHAR(9),""),CHAR(160),"")," ",""),".",""),"-",""),"/",""),"?",""),"_",""),",",""),"[",""),"]",""),"(",""),")",""),"*","")</f>
        <v/>
      </c>
      <c r="AX673" s="61" t="str">
        <f aca="false">SUBSTITUTE(SUBSTITUTE(SUBSTITUTE(SUBSTITUTE(SUBSTITUTE(SUBSTITUTE(SUBSTITUTE(SUBSTITUTE(SUBSTITUTE(SUBSTITUTE(SUBSTITUTE(SUBSTITUTE(SUBSTITUTE(SUBSTITUTE(SUBSTITUTE(SUBSTITUTE(LOWER(AE673&amp;""),CHAR(10),""),CHAR(13),""),CHAR(9),""),CHAR(160),"")," ",""),".",""),"-",""),"/",""),"?",""),"_",""),",",""),"[",""),"]",""),"(",""),")",""),"*","")</f>
        <v/>
      </c>
      <c r="AY673" s="61" t="str">
        <f aca="false">SUBSTITUTE(SUBSTITUTE(SUBSTITUTE(SUBSTITUTE(SUBSTITUTE(SUBSTITUTE(SUBSTITUTE(SUBSTITUTE(SUBSTITUTE(SUBSTITUTE(SUBSTITUTE(SUBSTITUTE(SUBSTITUTE(SUBSTITUTE(SUBSTITUTE(SUBSTITUTE(LOWER(W673&amp;""),CHAR(10),""),CHAR(13),""),CHAR(9),""),CHAR(160),"")," ",""),".",""),"-",""),"/",""),"?",""),"_",""),",",""),"[",""),"]",""),"(",""),")",""),"*","")</f>
        <v/>
      </c>
      <c r="AZ673" s="61" t="str">
        <f aca="false">SUBSTITUTE(SUBSTITUTE(SUBSTITUTE(SUBSTITUTE(SUBSTITUTE(SUBSTITUTE(SUBSTITUTE(SUBSTITUTE(SUBSTITUTE(SUBSTITUTE(SUBSTITUTE(SUBSTITUTE(SUBSTITUTE(SUBSTITUTE(SUBSTITUTE(SUBSTITUTE(LOWER(AC673&amp;""),CHAR(10),""),CHAR(13),""),CHAR(9),""),CHAR(160),"")," ",""),".",""),"-",""),"/",""),"?",""),"_",""),",",""),"[",""),"]",""),"(",""),")",""),"*","")</f>
        <v/>
      </c>
      <c r="BA673" s="61" t="str">
        <f aca="false">SUBSTITUTE(SUBSTITUTE(SUBSTITUTE(SUBSTITUTE(SUBSTITUTE(SUBSTITUTE(SUBSTITUTE(SUBSTITUTE(SUBSTITUTE(SUBSTITUTE(SUBSTITUTE(SUBSTITUTE(SUBSTITUTE(SUBSTITUTE(SUBSTITUTE(SUBSTITUTE(LOWER(AA673&amp;""),CHAR(10),""),CHAR(13),""),CHAR(9),""),CHAR(160),"")," ",""),".",""),"-",""),"/",""),"?",""),"_",""),",",""),"[",""),"]",""),"(",""),")",""),"*","")</f>
        <v/>
      </c>
      <c r="BB673" s="61" t="str">
        <f aca="false">IF(AND(TRIM(U673)="Pass",ISNUMBER(AF673)),IF(AF673&lt;&gt;0,"INVALID – qty variance: use Fail or Pass after CA",""),"")&amp;IF(AND(TRIM(U673)="Pass after CA",ISNUMBER(AF673)),IF(AF673&lt;&gt;0,"INVALID – after the corrective action the actual qty must equal expected (update Actual)",""),"")&amp;IF(AND(TRIM(U673)="Pass",TRIM(AB673)&lt;&gt;"",TRIM(AB673)&lt;&gt;"Closed"),"INVALID – corrective action not closed: use Fail, then Pass after CA","")&amp;IF(AND(LEN(BA673)&gt;=2,ISNA(MATCH(LEFT(BA673,255),L_Placeholder,0)),TRIM(AB673)=""),"INVALID – CA status missing for the recorded corrective action","")&amp;IF(AND(TRIM(U673)="Pass after CA",OR(OR(LEN(BA673)&lt;5,ISNUMBER(MATCH(BA673,L_Placeholder,0))),TRIM(AB673)&lt;&gt;"Closed")),"INVALID – corrective action not recorded/closed","")</f>
        <v/>
      </c>
      <c r="BC673" s="61" t="str">
        <f aca="false">" "&amp;TRIM(SUBSTITUTE(SUBSTITUTE(SUBSTITUTE(SUBSTITUTE(SUBSTITUTE(SUBSTITUTE(SUBSTITUTE(SUBSTITUTE(SUBSTITUTE(SUBSTITUTE(SUBSTITUTE(SUBSTITUTE(SUBSTITUTE(SUBSTITUTE(SUBSTITUTE(SUBSTITUTE(SUBSTITUTE(SUBSTITUTE(SUBSTITUTE(SUBSTITUTE(SUBSTITUTE(SUBSTITUTE(SUBSTITUTE(SUBSTITUTE(LOWER(V673&amp;""),CHAR(10)," "),CHAR(13)," "),CHAR(9)," "),CHAR(160)," "),"."," "),","," "),"-"," "),"/"," "),"("," "),")"," "),":"," "),";"," "),"_"," "),"–"," "),"?"," "),"!"," "),"*"," "),"["," "),"]"," "),"'"," "),"#"," "),"+"," "),"&amp;"," "),"\"," "))&amp;" "</f>
        <v>  </v>
      </c>
      <c r="BD673" s="61" t="str">
        <f aca="false">" "&amp;TRIM(SUBSTITUTE(SUBSTITUTE(SUBSTITUTE(SUBSTITUTE(SUBSTITUTE(SUBSTITUTE(SUBSTITUTE(SUBSTITUTE(SUBSTITUTE(SUBSTITUTE(SUBSTITUTE(SUBSTITUTE(SUBSTITUTE(SUBSTITUTE(SUBSTITUTE(SUBSTITUTE(SUBSTITUTE(SUBSTITUTE(SUBSTITUTE(SUBSTITUTE(SUBSTITUTE(SUBSTITUTE(SUBSTITUTE(SUBSTITUTE(LOWER(Z673&amp;""),CHAR(10)," "),CHAR(13)," "),CHAR(9)," "),CHAR(160)," "),"."," "),","," "),"-"," "),"/"," "),"("," "),")"," "),":"," "),";"," "),"_"," "),"–"," "),"?"," "),"!"," "),"*"," "),"["," "),"]"," "),"'"," "),"#"," "),"+"," "),"&amp;"," "),"\"," "))&amp;" "</f>
        <v>  </v>
      </c>
      <c r="BE673" s="61" t="str">
        <f aca="false">" "&amp;TRIM(SUBSTITUTE(SUBSTITUTE(SUBSTITUTE(SUBSTITUTE(SUBSTITUTE(SUBSTITUTE(SUBSTITUTE(SUBSTITUTE(SUBSTITUTE(SUBSTITUTE(SUBSTITUTE(SUBSTITUTE(SUBSTITUTE(SUBSTITUTE(SUBSTITUTE(SUBSTITUTE(SUBSTITUTE(SUBSTITUTE(SUBSTITUTE(SUBSTITUTE(SUBSTITUTE(SUBSTITUTE(SUBSTITUTE(SUBSTITUTE(LOWER(W673&amp;""),CHAR(10)," "),CHAR(13)," "),CHAR(9)," "),CHAR(160)," "),"."," "),","," "),"-"," "),"/"," "),"("," "),")"," "),":"," "),";"," "),"_"," "),"–"," "),"?"," "),"!"," "),"*"," "),"["," "),"]"," "),"'"," "),"#"," "),"+"," "),"&amp;"," "),"\"," "))&amp;" "</f>
        <v>  </v>
      </c>
      <c r="BF673" s="61" t="str">
        <f aca="false">" "&amp;TRIM(SUBSTITUTE(SUBSTITUTE(SUBSTITUTE(SUBSTITUTE(SUBSTITUTE(SUBSTITUTE(SUBSTITUTE(SUBSTITUTE(SUBSTITUTE(SUBSTITUTE(SUBSTITUTE(SUBSTITUTE(SUBSTITUTE(SUBSTITUTE(SUBSTITUTE(SUBSTITUTE(SUBSTITUTE(SUBSTITUTE(SUBSTITUTE(SUBSTITUTE(SUBSTITUTE(SUBSTITUTE(SUBSTITUTE(SUBSTITUTE(LOWER(AC673&amp;""),CHAR(10)," "),CHAR(13)," "),CHAR(9)," "),CHAR(160)," "),"."," "),","," "),"-"," "),"/"," "),"("," "),")"," "),":"," "),";"," "),"_"," "),"–"," "),"?"," "),"!"," "),"*"," "),"["," "),"]"," "),"'"," "),"#"," "),"+"," "),"&amp;"," "),"\"," "))&amp;" "</f>
        <v>  </v>
      </c>
      <c r="BG673" s="61" t="n">
        <f aca="false">IFERROR(IF(AND(TRIM(U673)="Pass",SUMPRODUCT((LEN(BC673)-LEN(SUBSTITUTE(BC673," "&amp;L_ResultBad&amp;" "," ")))/(LEN(L_ResultBad)+1))&gt;SUMPRODUCT((LEN(BC673)-LEN(SUBSTITUTE(BC673," "&amp;L_NegPhrase&amp;" "," ")))/(LEN(L_NegPhrase)+1))),1,0),0)</f>
        <v>0</v>
      </c>
      <c r="BH673" s="61" t="n">
        <f aca="false">IFERROR(IF(SUMPRODUCT((LEN(BC673)-LEN(SUBSTITUTE(BC673," "&amp;L_Pending&amp;" "," ")))/(LEN(L_Pending)+1))&gt;SUMPRODUCT((LEN(BC673)-LEN(SUBSTITUTE(BC673," "&amp;L_PendNeg&amp;" "," ")))/(LEN(L_PendNeg)+1))+SUMPRODUCT((LEN(BC673)-LEN(SUBSTITUTE(BC673," "&amp;L_PendPrep&amp;" "," ")))/(LEN(L_PendPrep)+1)),1,0),1)</f>
        <v>0</v>
      </c>
      <c r="BI673" s="61" t="n">
        <f aca="false">IFERROR(IF(SUMPRODUCT((LEN(BD673)-LEN(SUBSTITUTE(BD673," "&amp;L_PendStrict&amp;" "," ")))/(LEN(L_PendStrict)+1))&gt;SUMPRODUCT((LEN(BD673)-LEN(SUBSTITUTE(BD673," "&amp;L_PendNeg&amp;" "," ")))/(LEN(L_PendNeg)+1)),1,0),1)</f>
        <v>0</v>
      </c>
      <c r="BJ673" s="61" t="n">
        <f aca="false">IFERROR(IF(SUMPRODUCT((LEN(BE673)-LEN(SUBSTITUTE(BE673," "&amp;L_Pending&amp;" "," ")))/(LEN(L_Pending)+1))&gt;SUMPRODUCT((LEN(BE673)-LEN(SUBSTITUTE(BE673," "&amp;L_PendNeg&amp;" "," ")))/(LEN(L_PendNeg)+1))+SUMPRODUCT((LEN(BE673)-LEN(SUBSTITUTE(BE673," "&amp;L_PendPrep&amp;" "," ")))/(LEN(L_PendPrep)+1)),1,0),1)</f>
        <v>0</v>
      </c>
      <c r="BK673" s="61" t="n">
        <f aca="false">IFERROR(IF(SUMPRODUCT((LEN(BF673)-LEN(SUBSTITUTE(BF673," "&amp;L_PendStrict&amp;" "," ")))/(LEN(L_PendStrict)+1))&gt;SUMPRODUCT((LEN(BF673)-LEN(SUBSTITUTE(BF673," "&amp;L_PendNeg&amp;" "," ")))/(LEN(L_PendNeg)+1)),1,0),1)</f>
        <v>0</v>
      </c>
      <c r="BL673" s="61" t="n">
        <f aca="false">IF(ISNA(MATCH(TRIM(S673),L_EvidenceType,0)),0,BZ673)</f>
        <v>0</v>
      </c>
      <c r="BM673" s="61" t="str">
        <f aca="false">SUBSTITUTE(SUBSTITUTE(SUBSTITUTE(SUBSTITUTE(SUBSTITUTE(SUBSTITUTE(SUBSTITUTE(SUBSTITUTE(SUBSTITUTE(LOWER(Z673&amp;""),"1","0"),"2","0"),"3","0"),"4","0"),"5","0"),"6","0"),"7","0"),"8","0"),"9","0")</f>
        <v/>
      </c>
      <c r="BN673" s="61" t="str">
        <f aca="false">SUBSTITUTE(SUBSTITUTE(SUBSTITUTE(SUBSTITUTE(SUBSTITUTE(SUBSTITUTE(SUBSTITUTE(SUBSTITUTE(SUBSTITUTE(SUBSTITUTE(SUBSTITUTE(SUBSTITUTE(SUBSTITUTE(SUBSTITUTE(SUBSTITUTE(SUBSTITUTE(SUBSTITUTE(SUBSTITUTE(SUBSTITUTE(SUBSTITUTE(SUBSTITUTE(SUBSTITUTE(SUBSTITUTE(SUBSTITUTE(SUBSTITUTE(BM673,"b","a"),"c","a"),"d","a"),"e","a"),"f","a"),"g","a"),"h","a"),"i","a"),"j","a"),"k","a"),"l","a"),"m","a"),"n","a"),"o","a"),"p","a"),"q","a"),"r","a"),"s","a"),"t","a"),"u","a"),"v","a"),"w","a"),"x","a"),"y","a"),"z","a")</f>
        <v/>
      </c>
      <c r="BO673" s="61" t="str">
        <f aca="false">SUBSTITUTE(SUBSTITUTE(SUBSTITUTE(SUBSTITUTE(SUBSTITUTE(SUBSTITUTE(SUBSTITUTE(SUBSTITUTE(SUBSTITUTE(LOWER(W673&amp;""),"1","0"),"2","0"),"3","0"),"4","0"),"5","0"),"6","0"),"7","0"),"8","0"),"9","0")</f>
        <v/>
      </c>
      <c r="BP673" s="61" t="str">
        <f aca="false">SUBSTITUTE(SUBSTITUTE(SUBSTITUTE(SUBSTITUTE(SUBSTITUTE(SUBSTITUTE(SUBSTITUTE(SUBSTITUTE(SUBSTITUTE(SUBSTITUTE(SUBSTITUTE(SUBSTITUTE(SUBSTITUTE(SUBSTITUTE(SUBSTITUTE(SUBSTITUTE(SUBSTITUTE(SUBSTITUTE(SUBSTITUTE(SUBSTITUTE(SUBSTITUTE(SUBSTITUTE(SUBSTITUTE(SUBSTITUTE(SUBSTITUTE(BO673,"b","a"),"c","a"),"d","a"),"e","a"),"f","a"),"g","a"),"h","a"),"i","a"),"j","a"),"k","a"),"l","a"),"m","a"),"n","a"),"o","a"),"p","a"),"q","a"),"r","a"),"s","a"),"t","a"),"u","a"),"v","a"),"w","a"),"x","a"),"y","a"),"z","a")</f>
        <v/>
      </c>
      <c r="BQ673" s="61" t="n">
        <f aca="false">IFERROR(IF(AND(ISERROR(SEARCH(" mh"," "&amp;LOWER(W673))),ISNA(MATCH(LEFT(TRIM(BP673),255),{"0000a","000a","00a","0000aa","000aa","00aa","0aa","0000aaa","000aaa","00a00","0a00","0000-0000","00:00","a00","a0","00.00.0000","00/00/0000","00-00-0000","0000-00-00","0000/00/00","0000.00.00","00.00.00","00/00/00","00-00-00","0.00.0000","0/00/0000","0-00-0000"},0)),ISNA(MATCH(LEFT(TRIM(CA673),255),{"0000a","000a","00a","0000aa","000aa","00aa","0aa","0000aaa","000aaa","00a00","0a00","0000-0000","00:00","a00","a0","00.00.0000","00/00/0000","00-00-0000","0000-00-00","0000/00/00","0000.00.00","00.00.00","00/00/00","00-00-00","0.00.0000","0/00/0000","0-00-0000"},0)),LEN(CB673)&gt;=3,NOT(OR(SUBSTITUTE(CB673,"0","")="",AND(LEN(CB673)&gt;=4,CB673=REPT(LEFT(CB673),LEN(CB673))),ISNUMBER(MATCH(CB673,{"123","1234","12345","123456","1234567","12345678","0123","01234","012345","98765","987654","54321"},0)),AND(LEN(CB673)=8,LEFT(CB673,3)="202"))),OR(AND((LEN(CA673)-LEN(SUBSTITUTE(CA673,"a","")))&gt;=1,SUMPRODUCT(--ISNUMBER(SEARCH({"a0","a-0","a_0","a/0","a.0","a#0","0a","0-a","0_a","0/a"},BP673)))&gt;0),ISNUMBER(SEARCH("000000",BP673)))),1,0),0)</f>
        <v>0</v>
      </c>
      <c r="BR673" s="61" t="n">
        <f aca="false">IFERROR(LEN(SUBSTITUTE(CC673," ",""))-SUMPRODUCT((LEN(CC673)-LEN(SUBSTITUTE(CC673," "&amp;L_Role&amp;" "," ")))/(LEN(L_Role)+1)*LEN(L_Role)),0)</f>
        <v>0</v>
      </c>
      <c r="BS673" s="61" t="n">
        <f aca="false">IFERROR(LEN(SUBSTITUTE(CD673," ",""))-SUMPRODUCT((LEN(CD673)-LEN(SUBSTITUTE(CD673," "&amp;L_Role&amp;" "," ")))/(LEN(L_Role)+1)*LEN(L_Role)),0)</f>
        <v>0</v>
      </c>
      <c r="BT6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673,"revision",""),"version",""),"jan",""),"feb",""),"mar",""),"apr",""),"may",""),"jun",""),"jul",""),"aug",""),"sep",""),"oct",""),"nov",""),"dec",""),"utc",""),"gmt",""),"myt",""),"bst",""),"rev",""),"ver",""),"b","a"),"c","a"),"d","a"),"e","a"),"f","a"),"g","a"),"h","a"),"i","a"),"j","a"),"k","a"),"l","a"),"m","a"),"n","a"),"o","a"),"p","a"),"q","a"),"r","a"),"s","a"),"t","a"),"u","a"),"v","a"),"w","a"),"x","a"),"y","a"),"z","a")</f>
        <v/>
      </c>
      <c r="BU673" s="61" t="str">
        <f aca="false">SUBSTITUTE(SUBSTITUTE(SUBSTITUTE(SUBSTITUTE(SUBSTITUTE(SUBSTITUTE(SUBSTITUTE(SUBSTITUTE(SUBSTITUTE(SUBSTITUTE(LEFT(BM673,FIND("0",BM673&amp;"0")-1),"-",""),"_",""),"/",""),".",""),"#",""),"\\",""),":","")," ",""),"(",""),")","")</f>
        <v/>
      </c>
      <c r="BV673" s="61" t="n">
        <f aca="false">0</f>
        <v>0</v>
      </c>
      <c r="BW67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673&amp;""),"a",""),"b",""),"c",""),"d",""),"e",""),"f",""),"g",""),"h",""),"i",""),"j",""),"k",""),"l",""),"m",""),"n",""),"o",""),"p",""),"q",""),"r",""),"s",""),"t",""),"u",""),"v",""),"w",""),"x",""),"y",""),"z",""),"-",""),"_",""),"/",""),".",""),"#",""),"\\",""),":","")," ",""),"(",""),")","")</f>
        <v/>
      </c>
      <c r="BX673" s="61" t="str">
        <f aca="false">SUBSTITUTE(SUBSTITUTE(SUBSTITUTE(SUBSTITUTE(SUBSTITUTE(SUBSTITUTE(SUBSTITUTE(SUBSTITUTE(SUBSTITUTE(SUBSTITUTE(SUBSTITUTE(BM673,"0",""),"-",""),"_",""),"/",""),".",""),"#",""),"\\",""),":","")," ",""),"(",""),")","")</f>
        <v/>
      </c>
      <c r="BY673" s="62" t="n">
        <f aca="false">Q673-T7EarlyD*24/24</f>
        <v>46304.28125</v>
      </c>
      <c r="BZ673" s="61" t="n">
        <f aca="false">IFERROR(IF(IF(TRIM(S673)="Link / file path",AND(LEN(TRIM(Z673))&gt;=5,SUMPRODUCT(--ISNUMBER(SEARCH({"http","www.","\\",":\",".pdf",".jpg",".jpeg",".png",".heic",".xls",".doc",".msg",".eml",".ppt",".txt",".zip"},Z673)))&gt;0),AND(ISERROR(FIND(" ",TRIM(Z673))),NOT(OR(SUMPRODUCT(--ISNUMBER(FIND({",",";","&amp;","+"},Z673)))&gt;0,SUMPRODUCT(--ISNUMBER(SEARCH({"0/aa","0\\aa"},BN673)))&gt;0)),NOT(SUMPRODUCT(--ISNUMBER(SEARCH({"http","www.","\\",":\",".pdf",".jpg",".jpeg",".png",".heic",".xls",".doc",".msg",".eml",".ppt",".txt",".zip"},Z673)))&gt;0),NOT(LOWER(TRIM(Z673))=LOWER(Flights!$F$25)),ISNA(MATCH(BU673,{"mh","rev","revision","ver","version","v","r","a","b","seat","tray","row","gate","bay","stand","page","pg","item","line","no","cart","galley","flight","flt","table","box","bag","oven","etd","eta","std","sta","atd","ata","qty","pax","x","time","tel","ph","mob","day","wk","week","utc","gmt","myt","lt"},0)),NOT(OR(ISNUMBER(MATCH(LEFT(BN673,255),{"0000a","000a","00a","0000aa","000aa","00aa","0aa","0000aaa","000aaa","00a00","0a00","0000-0000","00:00","a00","a0","00.00.0000","00/00/0000","00-00-0000","0000-00-00","0000/00/00","0000.00.00","00.00.00","00/00/00","00-00-00","0.00.0000","0/00/0000","0-00-0000"},0)),ISNUMBER(MATCH(LEFT(BT673,255),{"0000a","000a","00a","0000aa","000aa","00aa","0aa","0000aaa","000aaa","00a00","0a00","0000-0000","00:00","a00","a0","00.00.0000","00/00/0000","00-00-0000","0000-00-00","0000/00/00","0000.00.00","00.00.00","00/00/00","00-00-00","0.00.0000","0/00/0000","0-00-0000"},0)))),NOT(OR(AND(BW673&lt;&gt;"",SUBSTITUTE(BW673,"0","")=""),AND(LEN(BW673)&gt;=4,BW673=REPT(LEFT(BW673),LEN(BW673))),ISNUMBER(MATCH(BW673,{"123","1234","12345","123456","1234567","12345678","0123","01234","012345","98765","987654","54321"},0)),ISNUMBER(MATCH(BX673,{"x","xx","xxx","xxxx","xxxxx","abc","abcd","nil","na","nan","test","tbc","tba","tbd","dummy","sample","example","eg","zz","zzz","none","null","xyz","qwe","asd","id","ref"},0)),AND(LEN(BW673)=8,BX673="",OR(LEFT(BW673,3)="202",ISNUMBER(MATCH(RIGHT(BW673,4),{"2025","2026","2027"},0)))))),OR(AND((LEN(BT673)-LEN(SUBSTITUTE(BT673,"a","")))&gt;=1,(LEN(BN673)-LEN(SUBSTITUTE(BN673,"0","")))&gt;=2,SUMPRODUCT(--ISNUMBER(SEARCH({"a0","a-0","a_0","a/0","a.0","a#0","0a","0-a","0_a","0/a"},BN673)))&gt;0),AND((LEN(BN673)-LEN(SUBSTITUTE(BN673,"a","")))=0,(LEN(BN673)-LEN(SUBSTITUTE(BN673,"0","")))&gt;=5)))),1,0),0)</f>
        <v>0</v>
      </c>
      <c r="CA6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673,"revision",""),"version",""),"jan",""),"feb",""),"mar",""),"apr",""),"may",""),"jun",""),"jul",""),"aug",""),"sep",""),"oct",""),"nov",""),"dec",""),"utc",""),"gmt",""),"myt",""),"bst",""),"rev",""),"ver",""),"b","a"),"c","a"),"d","a"),"e","a"),"f","a"),"g","a"),"h","a"),"i","a"),"j","a"),"k","a"),"l","a"),"m","a"),"n","a"),"o","a"),"p","a"),"q","a"),"r","a"),"s","a"),"t","a"),"u","a"),"v","a"),"w","a"),"x","a"),"y","a"),"z","a")</f>
        <v/>
      </c>
      <c r="CB67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673&amp;""),"a",""),"b",""),"c",""),"d",""),"e",""),"f",""),"g",""),"h",""),"i",""),"j",""),"k",""),"l",""),"m",""),"n",""),"o",""),"p",""),"q",""),"r",""),"s",""),"t",""),"u",""),"v",""),"w",""),"x",""),"y",""),"z",""),"-",""),"_",""),"/",""),".",""),"#",""),"\\",""),":","")," ",""),"(",""),")","")</f>
        <v/>
      </c>
      <c r="CC673" s="0" t="str">
        <f aca="false">" "&amp;TRIM(SUBSTITUTE(SUBSTITUTE(SUBSTITUTE(SUBSTITUTE(SUBSTITUTE(SUBSTITUTE(SUBSTITUTE(SUBSTITUTE(SUBSTITUTE(SUBSTITUTE(SUBSTITUTE(SUBSTITUTE(SUBSTITUTE(SUBSTITUTE(SUBSTITUTE(SUBSTITUTE(SUBSTITUTE(SUBSTITUTE(SUBSTITUTE(SUBSTITUTE(SUBSTITUTE(SUBSTITUTE(SUBSTITUTE(SUBSTITUTE(LOWER(T673&amp;""),CHAR(10)," "),CHAR(13)," "),CHAR(9)," "),CHAR(160)," "),"."," "),","," "),"-"," "),"/"," "),"("," "),")"," "),":"," "),";"," "),"_"," "),"–"," "),"?"," "),"!"," "),"*"," "),"["," "),"]"," "),"'"," "),"#"," "),"+"," "),"&amp;"," "),"\"," "))&amp;" "</f>
        <v>  </v>
      </c>
      <c r="CD673" s="0" t="str">
        <f aca="false">" "&amp;TRIM(SUBSTITUTE(SUBSTITUTE(SUBSTITUTE(SUBSTITUTE(SUBSTITUTE(SUBSTITUTE(SUBSTITUTE(SUBSTITUTE(SUBSTITUTE(SUBSTITUTE(SUBSTITUTE(SUBSTITUTE(SUBSTITUTE(SUBSTITUTE(SUBSTITUTE(SUBSTITUTE(SUBSTITUTE(SUBSTITUTE(SUBSTITUTE(SUBSTITUTE(SUBSTITUTE(SUBSTITUTE(SUBSTITUTE(SUBSTITUTE(LOWER(AE673&amp;""),CHAR(10)," "),CHAR(13)," "),CHAR(9)," "),CHAR(160)," "),"."," "),","," "),"-"," "),"/"," "),"("," "),")"," "),":"," "),";"," "),"_"," "),"–"," "),"?"," "),"!"," "),"*"," "),"["," "),"]"," "),"'"," "),"#"," "),"+"," "),"&amp;"," "),"\"," "))&amp;" "</f>
        <v>  </v>
      </c>
      <c r="CE673" s="68" t="n">
        <f aca="false">IFERROR(IF(AND(LEN(AU673)&gt;0,LEN(AU673)=LEN(AX673),OR(TRIM(MID(SUBSTITUTE(TRIM(CC673)," ",REPT(" ",60)),1,60))="",ISNUMBER(SEARCH(" "&amp;TRIM(MID(SUBSTITUTE(TRIM(CC673)," ",REPT(" ",60)),1,60))&amp;" ",CD673))),OR(TRIM(MID(SUBSTITUTE(TRIM(CC673)," ",REPT(" ",60)),61,60))="",ISNUMBER(SEARCH(" "&amp;TRIM(MID(SUBSTITUTE(TRIM(CC673)," ",REPT(" ",60)),61,60))&amp;" ",CD673))),OR(TRIM(MID(SUBSTITUTE(TRIM(CC673)," ",REPT(" ",60)),121,60))="",ISNUMBER(SEARCH(" "&amp;TRIM(MID(SUBSTITUTE(TRIM(CC673)," ",REPT(" ",60)),121,60))&amp;" ",CD673)))),1,0),0)</f>
        <v>0</v>
      </c>
      <c r="CG673" s="68" t="n">
        <f aca="false">IFERROR(LEN(SUBSTITUTE(BF673," ",""))-SUMPRODUCT((LEN(BF673)-LEN(SUBSTITUTE(BF673," "&amp;L_NAFiller&amp;" "," ")))/(LEN(L_NAFiller)+1)*LEN(L_NAFiller)),0)</f>
        <v>0</v>
      </c>
    </row>
    <row r="674" customFormat="false" ht="78.75" hidden="false" customHeight="true" outlineLevel="0" collapsed="false">
      <c r="A674" s="57" t="s">
        <v>1394</v>
      </c>
      <c r="B674" s="57" t="s">
        <v>310</v>
      </c>
      <c r="C674" s="57" t="str">
        <f aca="false">Flights!$F$25</f>
        <v>MH1437</v>
      </c>
      <c r="D674" s="58" t="n">
        <f aca="false">Flights!$D$25</f>
        <v>46325</v>
      </c>
      <c r="E674" s="57" t="str">
        <f aca="false">Flights!$G$25&amp;"-"&amp;Flights!$H$25</f>
        <v>LGK-KUL</v>
      </c>
      <c r="F674" s="57" t="str">
        <f aca="false">Flights!$K$25</f>
        <v>BC</v>
      </c>
      <c r="G674" s="57" t="s">
        <v>81</v>
      </c>
      <c r="H674" s="57" t="s">
        <v>378</v>
      </c>
      <c r="I674" s="57" t="s">
        <v>411</v>
      </c>
      <c r="J674" s="57" t="s">
        <v>969</v>
      </c>
      <c r="K674" s="67" t="s">
        <v>1395</v>
      </c>
      <c r="L674" s="67" t="s">
        <v>1371</v>
      </c>
      <c r="M674" s="67"/>
      <c r="N674" s="67" t="s">
        <v>444</v>
      </c>
      <c r="O674" s="67" t="s">
        <v>1396</v>
      </c>
      <c r="P674" s="57" t="s">
        <v>187</v>
      </c>
      <c r="Q674" s="59" t="n">
        <f aca="false">ROUND((Flights!$AC$25)*1440,0)/1440</f>
        <v>46318.28125</v>
      </c>
      <c r="R674" s="59" t="n">
        <f aca="false">Q674+(IF(AND(INDEX(TZ_DSTS,MATCH(P674,TZ_STN,0))&lt;&gt;"",Q674&gt;=INDEX(TZ_DSTS,MATCH(P674,TZ_STN,0)),Q674&lt;INDEX(TZ_DSTE,MATCH(P674,TZ_STN,0))),INDEX(TZ_DST,MATCH(P674,TZ_STN,0)),INDEX(TZ_STD,MATCH(P674,TZ_STN,0))))/24</f>
        <v>46318.6145833333</v>
      </c>
      <c r="S674" s="60"/>
      <c r="T674" s="60"/>
      <c r="U674" s="60"/>
      <c r="V674" s="60"/>
      <c r="W674" s="61"/>
      <c r="X674" s="60"/>
      <c r="Y674" s="60"/>
      <c r="Z674" s="60"/>
      <c r="AA674" s="60"/>
      <c r="AB674" s="60"/>
      <c r="AC674" s="60"/>
      <c r="AD674" s="66"/>
      <c r="AE674" s="60"/>
      <c r="AF674" s="61" t="str">
        <f aca="false">IF(AND(ISNUMBER(X674),ISNUMBER(Y674)),Y674-X674,"")</f>
        <v/>
      </c>
      <c r="AG674" s="62" t="str">
        <f aca="false">IF(ISNUMBER(AD674),AD674-(IF(AND(INDEX(TZ_DSTS,MATCH(P674,TZ_STN,0))&lt;&gt;"",(AD674-INDEX(TZ_STD,MATCH(P674,TZ_STN,0))/24)&gt;=INDEX(TZ_DSTS,MATCH(P674,TZ_STN,0)),(AD674-INDEX(TZ_STD,MATCH(P674,TZ_STN,0))/24)&lt;INDEX(TZ_DSTE,MATCH(P674,TZ_STN,0))),INDEX(TZ_DST,MATCH(P674,TZ_STN,0)),INDEX(TZ_STD,MATCH(P674,TZ_STN,0))))/24,"")</f>
        <v/>
      </c>
      <c r="AH674" s="65" t="str">
        <f aca="false">IFERROR(IF(N674="N/A – rule",IF(OR(TRIM(U674)="",TRIM(U674)="N/A",TRIM(U674)="Not started"),"N/A – RULE","INVALID – this check does not apply to this aircraft: clear the status (or correct the fleet on Flights)"),IF(TRIM(U674)="N/A",IF(AT674=0,"INVALID – N/A not permitted for this check",IF(AND(TRIM(AB674)&lt;&gt;"",TRIM(AB674)&lt;&gt;"Closed"),"INVALID – corrective action still open",IF(AND(NOT(OR(LEN(AZ674)&lt;15,ISNUMBER(MATCH(AZ674,L_Placeholder,0)))),BK674=0,CG674&gt;=8,NOT(OR(LEN(AU674)&lt;2,ISNUMBER(MATCH(AU674,L_Placeholder,0)))),BR674&gt;=3,NOT(OR(LEN(AX674)&lt;2,ISNUMBER(MATCH(AX674,L_Placeholder,0)))),BS674&gt;=3,TRIM(AE674)&lt;&gt;TRIM(T674),AX674&lt;&gt;AU674,CE674=0),"N/A – JUSTIFIED","INVALID – N/A needs a real, settled reason (not 'not applicable' / 'as above' / TBC), a named PIC and a different named verifier"))),IF(OR(TRIM(U674)="Pass",TRIM(U674)="Pass after CA"),IF(NOT(ISNUMBER(AD674)),"INVALID – completion time missing",IF(OR(OR(LEN(AU674)&lt;2,ISNUMBER(MATCH(AU674,L_Placeholder,0))),BR674&lt;3),"INVALID – PIC missing or not a named person (a role such as QA / CSM is not a name)",IF(OR(LEN(AV674)&lt;2,ISNUMBER(MATCH(AV674,L_Placeholder,0))),"INVALID – result / assessment missing",IF(OR(OR(LEN(AW674)&lt;3,ISNUMBER(MATCH(AW674,L_Placeholder,0))),SUMPRODUCT(--ISNUMBER(SEARCH(" "&amp;L_EvidencePhrase&amp;" ",BD674)))&gt;0,BI674=1),"INVALID – evidence missing, placeholder or not yet on file",IF(ISNA(MATCH(TRIM(S674),L_EvidenceType,0)),"INVALID – choose the evidence type from the list (column S)",IF(BL674=0,"INVALID – evidence ID must be the record's own ID only (e.g. SF-2210, IMG_2231, 1045521); a link / file name needs type 'Link / file path'",IF(OR(OR(LEN(AX674)&lt;2,ISNUMBER(MATCH(AX674,L_Placeholder,0))),BS674&lt;3),"INVALID – verifier missing or not a named person (a role such as QA / CSM is not a name)",IF(OR(AX674=AU674,CE674=1,AND(LEN(AU674)&gt;=4,ISNUMBER(SEARCH(AU674,AX674))),AND(LEN(AX674)&gt;=4,ISNUMBER(SEARCH(AX674,AU674)))),"INVALID – verifier must be a different, named person (not the PIC or a role)",IF(BH674=1,"INVALID – result not yet available (awaiting / TBC)",IF(BG674=1,"INVALID – result describes a problem: record Fail, then Pass after CA (or reword if it is not a problem)",IF(BV674=1,"INVALID – wording says not on board: an on-board confirmation needs the item loaded",IF(AND(AQ674=1,OR(OR(LEN(AY674)&lt;3,ISNUMBER(MATCH(AY674,L_Placeholder,0))),BJ674=1,BQ674=0)),"INVALID – batch ID missing, placeholder or not an ID (e.g. PASB-261008-BC-017)",IF(AND(AR674=1,OR(NOT(ISNUMBER(X674)),NOT(ISNUMBER(Y674)))),"INVALID – expected/actual qty missing",IF(AND(AR674=1,OR(X674&lt;=0,Y674&lt;0)),"INVALID – expected qty must be above 0 and actual not negative",IF(BB674&lt;&gt;"",BB674,IF(AND(AS674=1,Documents!$J$25&lt;&gt;"ON FILE"),"INVALID – GLD not on file (Documents sheet)",IF(AND(AS674=2,Documents!$O$25&lt;&gt;"ON FILE"),"INVALID – menu checklist not on file (Documents sheet)",IF(AND(AS674=3,NOT(ISNUMBER(Flights!$AX$25))),"INVALID – enter carrying flight KUL departure (Flights AX)",IF(AND(AS674=3,OR(Flights!$AZ$25&gt;Flights!$AA$25,Flights!$AX$25&lt;Flights!$AA$25-3)),"INVALID – carrying flight (Flights AX) cannot arrive before this leg's STD, or is over 3 days early",IF(AG674&gt;AsOfUTC,"INVALID – completion time is in the future",IF(AND(ISNUMBER(BY674),AG674&lt;BY674),IF(H674="Physical uplift","INVALID – before uplift window (cannot confirm loading)","INVALID – before valid window"),IF(AG674&gt;Flights!$AA$25,"INVALID – completed after departure (cannot establish readiness)",IF(AND(H674="Preparation",AG674&gt;=IF(ISNUMBER(Flights!$BA$25),MIN(Flights!$BA$25,Flights!$AA$25),Flights!$AA$25)),"INVALID – completed after loading / departure (cannot establish readiness)",IF(AND(H674="Physical uplift",AG674&gt;Q674),"INVALID – recorded after the loading flight departed",IF(AG674&gt;Q674,"COMPLETE – LATE","COMPLETE"))))))))))))))))))))))))),IF(TRIM(U674)="Fail","FAIL – DISCREPANCY",IF(AND(TRIM(U674)&lt;&gt;"",TRIM(U674)&lt;&gt;"Not started",TRIM(U674)&lt;&gt;"In progress"),"INVALID – unrecognised status (use the list)",IF(AsOfUTC&gt;Q674,"OVERDUE",IF(N674="Clarification required","OPEN – CLARIFICATION","OPEN"))))))),"INVALID – error value in an input cell")</f>
        <v>OPEN – CLARIFICATION</v>
      </c>
      <c r="AI674" s="61" t="n">
        <f aca="false">IF(OR(AH674="N/A – RULE",AH674="N/A – JUSTIFIED"),0,1)</f>
        <v>1</v>
      </c>
      <c r="AJ674" s="61" t="n">
        <f aca="false">IF(LEFT(AH674,8)="COMPLETE",1,0)</f>
        <v>0</v>
      </c>
      <c r="AK674" s="61" t="n">
        <f aca="false">IF(AND(AI674=1,AJ674=0,AsOfUTC&gt;Q674),1,0)</f>
        <v>0</v>
      </c>
      <c r="AL674" s="61" t="n">
        <f aca="false">IFERROR(IF(AND(AI674=1,OR(TRIM(U674)="Fail",AND(TRIM(AB674)&lt;&gt;"",TRIM(AB674)&lt;&gt;"Closed"),AND(ISNUMBER(AF674),AF674&lt;&gt;0,TRIM(U674)&lt;&gt;"Pass after CA"))),1,0),1)</f>
        <v>0</v>
      </c>
      <c r="AM674" s="61" t="n">
        <f aca="false">IF(LEFT(AH674,7)="INVALID",1,0)</f>
        <v>0</v>
      </c>
      <c r="AN674" s="61" t="n">
        <f aca="false">IF(AND(N674="Clarification required",AI674=1,AJ674=0),1,0)</f>
        <v>1</v>
      </c>
      <c r="AO674" s="61" t="str">
        <f aca="false">IF(AK674=1,SUM(AK$5:AK674),"")</f>
        <v/>
      </c>
      <c r="AP674" s="61" t="str">
        <f aca="false">IF(AL674=1,SUM(AL$5:AL674),"")</f>
        <v/>
      </c>
      <c r="AQ674" s="61" t="n">
        <v>0</v>
      </c>
      <c r="AR674" s="61" t="n">
        <v>0</v>
      </c>
      <c r="AS674" s="61" t="n">
        <v>3</v>
      </c>
      <c r="AT674" s="61" t="n">
        <v>0</v>
      </c>
      <c r="AU674" s="61" t="str">
        <f aca="false">SUBSTITUTE(SUBSTITUTE(SUBSTITUTE(SUBSTITUTE(SUBSTITUTE(SUBSTITUTE(SUBSTITUTE(SUBSTITUTE(SUBSTITUTE(SUBSTITUTE(SUBSTITUTE(SUBSTITUTE(SUBSTITUTE(SUBSTITUTE(SUBSTITUTE(SUBSTITUTE(LOWER(T674&amp;""),CHAR(10),""),CHAR(13),""),CHAR(9),""),CHAR(160),"")," ",""),".",""),"-",""),"/",""),"?",""),"_",""),",",""),"[",""),"]",""),"(",""),")",""),"*","")</f>
        <v/>
      </c>
      <c r="AV674" s="61" t="str">
        <f aca="false">SUBSTITUTE(SUBSTITUTE(SUBSTITUTE(SUBSTITUTE(SUBSTITUTE(SUBSTITUTE(SUBSTITUTE(SUBSTITUTE(SUBSTITUTE(SUBSTITUTE(SUBSTITUTE(SUBSTITUTE(SUBSTITUTE(SUBSTITUTE(SUBSTITUTE(SUBSTITUTE(LOWER(V674&amp;""),CHAR(10),""),CHAR(13),""),CHAR(9),""),CHAR(160),"")," ",""),".",""),"-",""),"/",""),"?",""),"_",""),",",""),"[",""),"]",""),"(",""),")",""),"*","")</f>
        <v/>
      </c>
      <c r="AW674" s="61" t="str">
        <f aca="false">SUBSTITUTE(SUBSTITUTE(SUBSTITUTE(SUBSTITUTE(SUBSTITUTE(SUBSTITUTE(SUBSTITUTE(SUBSTITUTE(SUBSTITUTE(SUBSTITUTE(SUBSTITUTE(SUBSTITUTE(SUBSTITUTE(SUBSTITUTE(SUBSTITUTE(SUBSTITUTE(LOWER(Z674&amp;""),CHAR(10),""),CHAR(13),""),CHAR(9),""),CHAR(160),"")," ",""),".",""),"-",""),"/",""),"?",""),"_",""),",",""),"[",""),"]",""),"(",""),")",""),"*","")</f>
        <v/>
      </c>
      <c r="AX674" s="61" t="str">
        <f aca="false">SUBSTITUTE(SUBSTITUTE(SUBSTITUTE(SUBSTITUTE(SUBSTITUTE(SUBSTITUTE(SUBSTITUTE(SUBSTITUTE(SUBSTITUTE(SUBSTITUTE(SUBSTITUTE(SUBSTITUTE(SUBSTITUTE(SUBSTITUTE(SUBSTITUTE(SUBSTITUTE(LOWER(AE674&amp;""),CHAR(10),""),CHAR(13),""),CHAR(9),""),CHAR(160),"")," ",""),".",""),"-",""),"/",""),"?",""),"_",""),",",""),"[",""),"]",""),"(",""),")",""),"*","")</f>
        <v/>
      </c>
      <c r="AY674" s="61" t="str">
        <f aca="false">SUBSTITUTE(SUBSTITUTE(SUBSTITUTE(SUBSTITUTE(SUBSTITUTE(SUBSTITUTE(SUBSTITUTE(SUBSTITUTE(SUBSTITUTE(SUBSTITUTE(SUBSTITUTE(SUBSTITUTE(SUBSTITUTE(SUBSTITUTE(SUBSTITUTE(SUBSTITUTE(LOWER(W674&amp;""),CHAR(10),""),CHAR(13),""),CHAR(9),""),CHAR(160),"")," ",""),".",""),"-",""),"/",""),"?",""),"_",""),",",""),"[",""),"]",""),"(",""),")",""),"*","")</f>
        <v/>
      </c>
      <c r="AZ674" s="61" t="str">
        <f aca="false">SUBSTITUTE(SUBSTITUTE(SUBSTITUTE(SUBSTITUTE(SUBSTITUTE(SUBSTITUTE(SUBSTITUTE(SUBSTITUTE(SUBSTITUTE(SUBSTITUTE(SUBSTITUTE(SUBSTITUTE(SUBSTITUTE(SUBSTITUTE(SUBSTITUTE(SUBSTITUTE(LOWER(AC674&amp;""),CHAR(10),""),CHAR(13),""),CHAR(9),""),CHAR(160),"")," ",""),".",""),"-",""),"/",""),"?",""),"_",""),",",""),"[",""),"]",""),"(",""),")",""),"*","")</f>
        <v/>
      </c>
      <c r="BA674" s="61" t="str">
        <f aca="false">SUBSTITUTE(SUBSTITUTE(SUBSTITUTE(SUBSTITUTE(SUBSTITUTE(SUBSTITUTE(SUBSTITUTE(SUBSTITUTE(SUBSTITUTE(SUBSTITUTE(SUBSTITUTE(SUBSTITUTE(SUBSTITUTE(SUBSTITUTE(SUBSTITUTE(SUBSTITUTE(LOWER(AA674&amp;""),CHAR(10),""),CHAR(13),""),CHAR(9),""),CHAR(160),"")," ",""),".",""),"-",""),"/",""),"?",""),"_",""),",",""),"[",""),"]",""),"(",""),")",""),"*","")</f>
        <v/>
      </c>
      <c r="BB674" s="61" t="str">
        <f aca="false">IF(AND(TRIM(U674)="Pass",ISNUMBER(AF674)),IF(AF674&lt;&gt;0,"INVALID – qty variance: use Fail or Pass after CA",""),"")&amp;IF(AND(TRIM(U674)="Pass after CA",ISNUMBER(AF674)),IF(AF674&lt;&gt;0,"INVALID – after the corrective action the actual qty must equal expected (update Actual)",""),"")&amp;IF(AND(TRIM(U674)="Pass",TRIM(AB674)&lt;&gt;"",TRIM(AB674)&lt;&gt;"Closed"),"INVALID – corrective action not closed: use Fail, then Pass after CA","")&amp;IF(AND(LEN(BA674)&gt;=2,ISNA(MATCH(LEFT(BA674,255),L_Placeholder,0)),TRIM(AB674)=""),"INVALID – CA status missing for the recorded corrective action","")&amp;IF(AND(TRIM(U674)="Pass after CA",OR(OR(LEN(BA674)&lt;5,ISNUMBER(MATCH(BA674,L_Placeholder,0))),TRIM(AB674)&lt;&gt;"Closed")),"INVALID – corrective action not recorded/closed","")</f>
        <v/>
      </c>
      <c r="BC674" s="61" t="str">
        <f aca="false">" "&amp;TRIM(SUBSTITUTE(SUBSTITUTE(SUBSTITUTE(SUBSTITUTE(SUBSTITUTE(SUBSTITUTE(SUBSTITUTE(SUBSTITUTE(SUBSTITUTE(SUBSTITUTE(SUBSTITUTE(SUBSTITUTE(SUBSTITUTE(SUBSTITUTE(SUBSTITUTE(SUBSTITUTE(SUBSTITUTE(SUBSTITUTE(SUBSTITUTE(SUBSTITUTE(SUBSTITUTE(SUBSTITUTE(SUBSTITUTE(SUBSTITUTE(LOWER(V674&amp;""),CHAR(10)," "),CHAR(13)," "),CHAR(9)," "),CHAR(160)," "),"."," "),","," "),"-"," "),"/"," "),"("," "),")"," "),":"," "),";"," "),"_"," "),"–"," "),"?"," "),"!"," "),"*"," "),"["," "),"]"," "),"'"," "),"#"," "),"+"," "),"&amp;"," "),"\"," "))&amp;" "</f>
        <v>  </v>
      </c>
      <c r="BD674" s="61" t="str">
        <f aca="false">" "&amp;TRIM(SUBSTITUTE(SUBSTITUTE(SUBSTITUTE(SUBSTITUTE(SUBSTITUTE(SUBSTITUTE(SUBSTITUTE(SUBSTITUTE(SUBSTITUTE(SUBSTITUTE(SUBSTITUTE(SUBSTITUTE(SUBSTITUTE(SUBSTITUTE(SUBSTITUTE(SUBSTITUTE(SUBSTITUTE(SUBSTITUTE(SUBSTITUTE(SUBSTITUTE(SUBSTITUTE(SUBSTITUTE(SUBSTITUTE(SUBSTITUTE(LOWER(Z674&amp;""),CHAR(10)," "),CHAR(13)," "),CHAR(9)," "),CHAR(160)," "),"."," "),","," "),"-"," "),"/"," "),"("," "),")"," "),":"," "),";"," "),"_"," "),"–"," "),"?"," "),"!"," "),"*"," "),"["," "),"]"," "),"'"," "),"#"," "),"+"," "),"&amp;"," "),"\"," "))&amp;" "</f>
        <v>  </v>
      </c>
      <c r="BE674" s="61" t="str">
        <f aca="false">" "&amp;TRIM(SUBSTITUTE(SUBSTITUTE(SUBSTITUTE(SUBSTITUTE(SUBSTITUTE(SUBSTITUTE(SUBSTITUTE(SUBSTITUTE(SUBSTITUTE(SUBSTITUTE(SUBSTITUTE(SUBSTITUTE(SUBSTITUTE(SUBSTITUTE(SUBSTITUTE(SUBSTITUTE(SUBSTITUTE(SUBSTITUTE(SUBSTITUTE(SUBSTITUTE(SUBSTITUTE(SUBSTITUTE(SUBSTITUTE(SUBSTITUTE(LOWER(W674&amp;""),CHAR(10)," "),CHAR(13)," "),CHAR(9)," "),CHAR(160)," "),"."," "),","," "),"-"," "),"/"," "),"("," "),")"," "),":"," "),";"," "),"_"," "),"–"," "),"?"," "),"!"," "),"*"," "),"["," "),"]"," "),"'"," "),"#"," "),"+"," "),"&amp;"," "),"\"," "))&amp;" "</f>
        <v>  </v>
      </c>
      <c r="BF674" s="61" t="str">
        <f aca="false">" "&amp;TRIM(SUBSTITUTE(SUBSTITUTE(SUBSTITUTE(SUBSTITUTE(SUBSTITUTE(SUBSTITUTE(SUBSTITUTE(SUBSTITUTE(SUBSTITUTE(SUBSTITUTE(SUBSTITUTE(SUBSTITUTE(SUBSTITUTE(SUBSTITUTE(SUBSTITUTE(SUBSTITUTE(SUBSTITUTE(SUBSTITUTE(SUBSTITUTE(SUBSTITUTE(SUBSTITUTE(SUBSTITUTE(SUBSTITUTE(SUBSTITUTE(LOWER(AC674&amp;""),CHAR(10)," "),CHAR(13)," "),CHAR(9)," "),CHAR(160)," "),"."," "),","," "),"-"," "),"/"," "),"("," "),")"," "),":"," "),";"," "),"_"," "),"–"," "),"?"," "),"!"," "),"*"," "),"["," "),"]"," "),"'"," "),"#"," "),"+"," "),"&amp;"," "),"\"," "))&amp;" "</f>
        <v>  </v>
      </c>
      <c r="BG674" s="61" t="n">
        <f aca="false">IFERROR(IF(AND(TRIM(U674)="Pass",SUMPRODUCT((LEN(BC674)-LEN(SUBSTITUTE(BC674," "&amp;L_ResultBad&amp;" "," ")))/(LEN(L_ResultBad)+1))&gt;SUMPRODUCT((LEN(BC674)-LEN(SUBSTITUTE(BC674," "&amp;L_NegPhrase&amp;" "," ")))/(LEN(L_NegPhrase)+1))),1,0),0)</f>
        <v>0</v>
      </c>
      <c r="BH674" s="61" t="n">
        <f aca="false">IFERROR(IF(SUMPRODUCT((LEN(BC674)-LEN(SUBSTITUTE(BC674," "&amp;L_Pending&amp;" "," ")))/(LEN(L_Pending)+1))&gt;SUMPRODUCT((LEN(BC674)-LEN(SUBSTITUTE(BC674," "&amp;L_PendNeg&amp;" "," ")))/(LEN(L_PendNeg)+1))+SUMPRODUCT((LEN(BC674)-LEN(SUBSTITUTE(BC674," "&amp;L_PendPrep&amp;" "," ")))/(LEN(L_PendPrep)+1)),1,0),1)</f>
        <v>0</v>
      </c>
      <c r="BI674" s="61" t="n">
        <f aca="false">IFERROR(IF(SUMPRODUCT((LEN(BD674)-LEN(SUBSTITUTE(BD674," "&amp;L_PendStrict&amp;" "," ")))/(LEN(L_PendStrict)+1))&gt;SUMPRODUCT((LEN(BD674)-LEN(SUBSTITUTE(BD674," "&amp;L_PendNeg&amp;" "," ")))/(LEN(L_PendNeg)+1)),1,0),1)</f>
        <v>0</v>
      </c>
      <c r="BJ674" s="61" t="n">
        <f aca="false">IFERROR(IF(SUMPRODUCT((LEN(BE674)-LEN(SUBSTITUTE(BE674," "&amp;L_Pending&amp;" "," ")))/(LEN(L_Pending)+1))&gt;SUMPRODUCT((LEN(BE674)-LEN(SUBSTITUTE(BE674," "&amp;L_PendNeg&amp;" "," ")))/(LEN(L_PendNeg)+1))+SUMPRODUCT((LEN(BE674)-LEN(SUBSTITUTE(BE674," "&amp;L_PendPrep&amp;" "," ")))/(LEN(L_PendPrep)+1)),1,0),1)</f>
        <v>0</v>
      </c>
      <c r="BK674" s="61" t="n">
        <f aca="false">IFERROR(IF(SUMPRODUCT((LEN(BF674)-LEN(SUBSTITUTE(BF674," "&amp;L_PendStrict&amp;" "," ")))/(LEN(L_PendStrict)+1))&gt;SUMPRODUCT((LEN(BF674)-LEN(SUBSTITUTE(BF674," "&amp;L_PendNeg&amp;" "," ")))/(LEN(L_PendNeg)+1)),1,0),1)</f>
        <v>0</v>
      </c>
      <c r="BL674" s="61" t="n">
        <f aca="false">IF(ISNA(MATCH(TRIM(S674),L_EvidenceType,0)),0,BZ674)</f>
        <v>0</v>
      </c>
      <c r="BM674" s="61" t="str">
        <f aca="false">SUBSTITUTE(SUBSTITUTE(SUBSTITUTE(SUBSTITUTE(SUBSTITUTE(SUBSTITUTE(SUBSTITUTE(SUBSTITUTE(SUBSTITUTE(LOWER(Z674&amp;""),"1","0"),"2","0"),"3","0"),"4","0"),"5","0"),"6","0"),"7","0"),"8","0"),"9","0")</f>
        <v/>
      </c>
      <c r="BN674" s="61" t="str">
        <f aca="false">SUBSTITUTE(SUBSTITUTE(SUBSTITUTE(SUBSTITUTE(SUBSTITUTE(SUBSTITUTE(SUBSTITUTE(SUBSTITUTE(SUBSTITUTE(SUBSTITUTE(SUBSTITUTE(SUBSTITUTE(SUBSTITUTE(SUBSTITUTE(SUBSTITUTE(SUBSTITUTE(SUBSTITUTE(SUBSTITUTE(SUBSTITUTE(SUBSTITUTE(SUBSTITUTE(SUBSTITUTE(SUBSTITUTE(SUBSTITUTE(SUBSTITUTE(BM674,"b","a"),"c","a"),"d","a"),"e","a"),"f","a"),"g","a"),"h","a"),"i","a"),"j","a"),"k","a"),"l","a"),"m","a"),"n","a"),"o","a"),"p","a"),"q","a"),"r","a"),"s","a"),"t","a"),"u","a"),"v","a"),"w","a"),"x","a"),"y","a"),"z","a")</f>
        <v/>
      </c>
      <c r="BO674" s="61" t="str">
        <f aca="false">SUBSTITUTE(SUBSTITUTE(SUBSTITUTE(SUBSTITUTE(SUBSTITUTE(SUBSTITUTE(SUBSTITUTE(SUBSTITUTE(SUBSTITUTE(LOWER(W674&amp;""),"1","0"),"2","0"),"3","0"),"4","0"),"5","0"),"6","0"),"7","0"),"8","0"),"9","0")</f>
        <v/>
      </c>
      <c r="BP674" s="61" t="str">
        <f aca="false">SUBSTITUTE(SUBSTITUTE(SUBSTITUTE(SUBSTITUTE(SUBSTITUTE(SUBSTITUTE(SUBSTITUTE(SUBSTITUTE(SUBSTITUTE(SUBSTITUTE(SUBSTITUTE(SUBSTITUTE(SUBSTITUTE(SUBSTITUTE(SUBSTITUTE(SUBSTITUTE(SUBSTITUTE(SUBSTITUTE(SUBSTITUTE(SUBSTITUTE(SUBSTITUTE(SUBSTITUTE(SUBSTITUTE(SUBSTITUTE(SUBSTITUTE(BO674,"b","a"),"c","a"),"d","a"),"e","a"),"f","a"),"g","a"),"h","a"),"i","a"),"j","a"),"k","a"),"l","a"),"m","a"),"n","a"),"o","a"),"p","a"),"q","a"),"r","a"),"s","a"),"t","a"),"u","a"),"v","a"),"w","a"),"x","a"),"y","a"),"z","a")</f>
        <v/>
      </c>
      <c r="BQ674" s="61" t="n">
        <f aca="false">IFERROR(IF(AND(ISERROR(SEARCH(" mh"," "&amp;LOWER(W674))),ISNA(MATCH(LEFT(TRIM(BP674),255),{"0000a","000a","00a","0000aa","000aa","00aa","0aa","0000aaa","000aaa","00a00","0a00","0000-0000","00:00","a00","a0","00.00.0000","00/00/0000","00-00-0000","0000-00-00","0000/00/00","0000.00.00","00.00.00","00/00/00","00-00-00","0.00.0000","0/00/0000","0-00-0000"},0)),ISNA(MATCH(LEFT(TRIM(CA674),255),{"0000a","000a","00a","0000aa","000aa","00aa","0aa","0000aaa","000aaa","00a00","0a00","0000-0000","00:00","a00","a0","00.00.0000","00/00/0000","00-00-0000","0000-00-00","0000/00/00","0000.00.00","00.00.00","00/00/00","00-00-00","0.00.0000","0/00/0000","0-00-0000"},0)),LEN(CB674)&gt;=3,NOT(OR(SUBSTITUTE(CB674,"0","")="",AND(LEN(CB674)&gt;=4,CB674=REPT(LEFT(CB674),LEN(CB674))),ISNUMBER(MATCH(CB674,{"123","1234","12345","123456","1234567","12345678","0123","01234","012345","98765","987654","54321"},0)),AND(LEN(CB674)=8,LEFT(CB674,3)="202"))),OR(AND((LEN(CA674)-LEN(SUBSTITUTE(CA674,"a","")))&gt;=1,SUMPRODUCT(--ISNUMBER(SEARCH({"a0","a-0","a_0","a/0","a.0","a#0","0a","0-a","0_a","0/a"},BP674)))&gt;0),ISNUMBER(SEARCH("000000",BP674)))),1,0),0)</f>
        <v>0</v>
      </c>
      <c r="BR674" s="61" t="n">
        <f aca="false">IFERROR(LEN(SUBSTITUTE(CC674," ",""))-SUMPRODUCT((LEN(CC674)-LEN(SUBSTITUTE(CC674," "&amp;L_Role&amp;" "," ")))/(LEN(L_Role)+1)*LEN(L_Role)),0)</f>
        <v>0</v>
      </c>
      <c r="BS674" s="61" t="n">
        <f aca="false">IFERROR(LEN(SUBSTITUTE(CD674," ",""))-SUMPRODUCT((LEN(CD674)-LEN(SUBSTITUTE(CD674," "&amp;L_Role&amp;" "," ")))/(LEN(L_Role)+1)*LEN(L_Role)),0)</f>
        <v>0</v>
      </c>
      <c r="BT6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674,"revision",""),"version",""),"jan",""),"feb",""),"mar",""),"apr",""),"may",""),"jun",""),"jul",""),"aug",""),"sep",""),"oct",""),"nov",""),"dec",""),"utc",""),"gmt",""),"myt",""),"bst",""),"rev",""),"ver",""),"b","a"),"c","a"),"d","a"),"e","a"),"f","a"),"g","a"),"h","a"),"i","a"),"j","a"),"k","a"),"l","a"),"m","a"),"n","a"),"o","a"),"p","a"),"q","a"),"r","a"),"s","a"),"t","a"),"u","a"),"v","a"),"w","a"),"x","a"),"y","a"),"z","a")</f>
        <v/>
      </c>
      <c r="BU674" s="61" t="str">
        <f aca="false">SUBSTITUTE(SUBSTITUTE(SUBSTITUTE(SUBSTITUTE(SUBSTITUTE(SUBSTITUTE(SUBSTITUTE(SUBSTITUTE(SUBSTITUTE(SUBSTITUTE(LEFT(BM674,FIND("0",BM674&amp;"0")-1),"-",""),"_",""),"/",""),".",""),"#",""),"\\",""),":","")," ",""),"(",""),")","")</f>
        <v/>
      </c>
      <c r="BV674" s="61" t="n">
        <f aca="false">0</f>
        <v>0</v>
      </c>
      <c r="BW67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674&amp;""),"a",""),"b",""),"c",""),"d",""),"e",""),"f",""),"g",""),"h",""),"i",""),"j",""),"k",""),"l",""),"m",""),"n",""),"o",""),"p",""),"q",""),"r",""),"s",""),"t",""),"u",""),"v",""),"w",""),"x",""),"y",""),"z",""),"-",""),"_",""),"/",""),".",""),"#",""),"\\",""),":","")," ",""),"(",""),")","")</f>
        <v/>
      </c>
      <c r="BX674" s="61" t="str">
        <f aca="false">SUBSTITUTE(SUBSTITUTE(SUBSTITUTE(SUBSTITUTE(SUBSTITUTE(SUBSTITUTE(SUBSTITUTE(SUBSTITUTE(SUBSTITUTE(SUBSTITUTE(SUBSTITUTE(BM674,"0",""),"-",""),"_",""),"/",""),".",""),"#",""),"\\",""),":","")," ",""),"(",""),")","")</f>
        <v/>
      </c>
      <c r="BY674" s="62" t="n">
        <f aca="false">Q674-T7EarlyD*24/24</f>
        <v>46304.28125</v>
      </c>
      <c r="BZ674" s="61" t="n">
        <f aca="false">IFERROR(IF(IF(TRIM(S674)="Link / file path",AND(LEN(TRIM(Z674))&gt;=5,SUMPRODUCT(--ISNUMBER(SEARCH({"http","www.","\\",":\",".pdf",".jpg",".jpeg",".png",".heic",".xls",".doc",".msg",".eml",".ppt",".txt",".zip"},Z674)))&gt;0),AND(ISERROR(FIND(" ",TRIM(Z674))),NOT(OR(SUMPRODUCT(--ISNUMBER(FIND({",",";","&amp;","+"},Z674)))&gt;0,SUMPRODUCT(--ISNUMBER(SEARCH({"0/aa","0\\aa"},BN674)))&gt;0)),NOT(SUMPRODUCT(--ISNUMBER(SEARCH({"http","www.","\\",":\",".pdf",".jpg",".jpeg",".png",".heic",".xls",".doc",".msg",".eml",".ppt",".txt",".zip"},Z674)))&gt;0),NOT(LOWER(TRIM(Z674))=LOWER(Flights!$F$25)),ISNA(MATCH(BU674,{"mh","rev","revision","ver","version","v","r","a","b","seat","tray","row","gate","bay","stand","page","pg","item","line","no","cart","galley","flight","flt","table","box","bag","oven","etd","eta","std","sta","atd","ata","qty","pax","x","time","tel","ph","mob","day","wk","week","utc","gmt","myt","lt"},0)),NOT(OR(ISNUMBER(MATCH(LEFT(BN674,255),{"0000a","000a","00a","0000aa","000aa","00aa","0aa","0000aaa","000aaa","00a00","0a00","0000-0000","00:00","a00","a0","00.00.0000","00/00/0000","00-00-0000","0000-00-00","0000/00/00","0000.00.00","00.00.00","00/00/00","00-00-00","0.00.0000","0/00/0000","0-00-0000"},0)),ISNUMBER(MATCH(LEFT(BT674,255),{"0000a","000a","00a","0000aa","000aa","00aa","0aa","0000aaa","000aaa","00a00","0a00","0000-0000","00:00","a00","a0","00.00.0000","00/00/0000","00-00-0000","0000-00-00","0000/00/00","0000.00.00","00.00.00","00/00/00","00-00-00","0.00.0000","0/00/0000","0-00-0000"},0)))),NOT(OR(AND(BW674&lt;&gt;"",SUBSTITUTE(BW674,"0","")=""),AND(LEN(BW674)&gt;=4,BW674=REPT(LEFT(BW674),LEN(BW674))),ISNUMBER(MATCH(BW674,{"123","1234","12345","123456","1234567","12345678","0123","01234","012345","98765","987654","54321"},0)),ISNUMBER(MATCH(BX674,{"x","xx","xxx","xxxx","xxxxx","abc","abcd","nil","na","nan","test","tbc","tba","tbd","dummy","sample","example","eg","zz","zzz","none","null","xyz","qwe","asd","id","ref"},0)),AND(LEN(BW674)=8,BX674="",OR(LEFT(BW674,3)="202",ISNUMBER(MATCH(RIGHT(BW674,4),{"2025","2026","2027"},0)))))),OR(AND((LEN(BT674)-LEN(SUBSTITUTE(BT674,"a","")))&gt;=1,(LEN(BN674)-LEN(SUBSTITUTE(BN674,"0","")))&gt;=2,SUMPRODUCT(--ISNUMBER(SEARCH({"a0","a-0","a_0","a/0","a.0","a#0","0a","0-a","0_a","0/a"},BN674)))&gt;0),AND((LEN(BN674)-LEN(SUBSTITUTE(BN674,"a","")))=0,(LEN(BN674)-LEN(SUBSTITUTE(BN674,"0","")))&gt;=5)))),1,0),0)</f>
        <v>0</v>
      </c>
      <c r="CA6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674,"revision",""),"version",""),"jan",""),"feb",""),"mar",""),"apr",""),"may",""),"jun",""),"jul",""),"aug",""),"sep",""),"oct",""),"nov",""),"dec",""),"utc",""),"gmt",""),"myt",""),"bst",""),"rev",""),"ver",""),"b","a"),"c","a"),"d","a"),"e","a"),"f","a"),"g","a"),"h","a"),"i","a"),"j","a"),"k","a"),"l","a"),"m","a"),"n","a"),"o","a"),"p","a"),"q","a"),"r","a"),"s","a"),"t","a"),"u","a"),"v","a"),"w","a"),"x","a"),"y","a"),"z","a")</f>
        <v/>
      </c>
      <c r="CB67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674&amp;""),"a",""),"b",""),"c",""),"d",""),"e",""),"f",""),"g",""),"h",""),"i",""),"j",""),"k",""),"l",""),"m",""),"n",""),"o",""),"p",""),"q",""),"r",""),"s",""),"t",""),"u",""),"v",""),"w",""),"x",""),"y",""),"z",""),"-",""),"_",""),"/",""),".",""),"#",""),"\\",""),":","")," ",""),"(",""),")","")</f>
        <v/>
      </c>
      <c r="CC674" s="0" t="str">
        <f aca="false">" "&amp;TRIM(SUBSTITUTE(SUBSTITUTE(SUBSTITUTE(SUBSTITUTE(SUBSTITUTE(SUBSTITUTE(SUBSTITUTE(SUBSTITUTE(SUBSTITUTE(SUBSTITUTE(SUBSTITUTE(SUBSTITUTE(SUBSTITUTE(SUBSTITUTE(SUBSTITUTE(SUBSTITUTE(SUBSTITUTE(SUBSTITUTE(SUBSTITUTE(SUBSTITUTE(SUBSTITUTE(SUBSTITUTE(SUBSTITUTE(SUBSTITUTE(LOWER(T674&amp;""),CHAR(10)," "),CHAR(13)," "),CHAR(9)," "),CHAR(160)," "),"."," "),","," "),"-"," "),"/"," "),"("," "),")"," "),":"," "),";"," "),"_"," "),"–"," "),"?"," "),"!"," "),"*"," "),"["," "),"]"," "),"'"," "),"#"," "),"+"," "),"&amp;"," "),"\"," "))&amp;" "</f>
        <v>  </v>
      </c>
      <c r="CD674" s="0" t="str">
        <f aca="false">" "&amp;TRIM(SUBSTITUTE(SUBSTITUTE(SUBSTITUTE(SUBSTITUTE(SUBSTITUTE(SUBSTITUTE(SUBSTITUTE(SUBSTITUTE(SUBSTITUTE(SUBSTITUTE(SUBSTITUTE(SUBSTITUTE(SUBSTITUTE(SUBSTITUTE(SUBSTITUTE(SUBSTITUTE(SUBSTITUTE(SUBSTITUTE(SUBSTITUTE(SUBSTITUTE(SUBSTITUTE(SUBSTITUTE(SUBSTITUTE(SUBSTITUTE(LOWER(AE674&amp;""),CHAR(10)," "),CHAR(13)," "),CHAR(9)," "),CHAR(160)," "),"."," "),","," "),"-"," "),"/"," "),"("," "),")"," "),":"," "),";"," "),"_"," "),"–"," "),"?"," "),"!"," "),"*"," "),"["," "),"]"," "),"'"," "),"#"," "),"+"," "),"&amp;"," "),"\"," "))&amp;" "</f>
        <v>  </v>
      </c>
      <c r="CE674" s="68" t="n">
        <f aca="false">IFERROR(IF(AND(LEN(AU674)&gt;0,LEN(AU674)=LEN(AX674),OR(TRIM(MID(SUBSTITUTE(TRIM(CC674)," ",REPT(" ",60)),1,60))="",ISNUMBER(SEARCH(" "&amp;TRIM(MID(SUBSTITUTE(TRIM(CC674)," ",REPT(" ",60)),1,60))&amp;" ",CD674))),OR(TRIM(MID(SUBSTITUTE(TRIM(CC674)," ",REPT(" ",60)),61,60))="",ISNUMBER(SEARCH(" "&amp;TRIM(MID(SUBSTITUTE(TRIM(CC674)," ",REPT(" ",60)),61,60))&amp;" ",CD674))),OR(TRIM(MID(SUBSTITUTE(TRIM(CC674)," ",REPT(" ",60)),121,60))="",ISNUMBER(SEARCH(" "&amp;TRIM(MID(SUBSTITUTE(TRIM(CC674)," ",REPT(" ",60)),121,60))&amp;" ",CD674)))),1,0),0)</f>
        <v>0</v>
      </c>
      <c r="CG674" s="68" t="n">
        <f aca="false">IFERROR(LEN(SUBSTITUTE(BF674," ",""))-SUMPRODUCT((LEN(BF674)-LEN(SUBSTITUTE(BF674," "&amp;L_NAFiller&amp;" "," ")))/(LEN(L_NAFiller)+1)*LEN(L_NAFiller)),0)</f>
        <v>0</v>
      </c>
    </row>
    <row r="675" customFormat="false" ht="39.75" hidden="false" customHeight="true" outlineLevel="0" collapsed="false">
      <c r="A675" s="57" t="s">
        <v>1397</v>
      </c>
      <c r="B675" s="57" t="s">
        <v>310</v>
      </c>
      <c r="C675" s="57" t="str">
        <f aca="false">Flights!$F$25</f>
        <v>MH1437</v>
      </c>
      <c r="D675" s="58" t="n">
        <f aca="false">Flights!$D$25</f>
        <v>46325</v>
      </c>
      <c r="E675" s="57" t="str">
        <f aca="false">Flights!$G$25&amp;"-"&amp;Flights!$H$25</f>
        <v>LGK-KUL</v>
      </c>
      <c r="F675" s="57" t="str">
        <f aca="false">Flights!$K$25</f>
        <v>BC</v>
      </c>
      <c r="G675" s="57" t="s">
        <v>83</v>
      </c>
      <c r="H675" s="57" t="s">
        <v>378</v>
      </c>
      <c r="I675" s="57" t="s">
        <v>379</v>
      </c>
      <c r="J675" s="57" t="s">
        <v>416</v>
      </c>
      <c r="K675" s="67" t="s">
        <v>417</v>
      </c>
      <c r="L675" s="67" t="s">
        <v>418</v>
      </c>
      <c r="M675" s="67"/>
      <c r="N675" s="67" t="s">
        <v>383</v>
      </c>
      <c r="O675" s="67" t="s">
        <v>973</v>
      </c>
      <c r="P675" s="57" t="s">
        <v>187</v>
      </c>
      <c r="Q675" s="59" t="n">
        <f aca="false">ROUND((MIN(Flights!$AD$25,Flights!$AY$25))*1440,0)/1440</f>
        <v>46324.1875</v>
      </c>
      <c r="R675" s="59" t="n">
        <f aca="false">Q675+(IF(AND(INDEX(TZ_DSTS,MATCH(P675,TZ_STN,0))&lt;&gt;"",Q675&gt;=INDEX(TZ_DSTS,MATCH(P675,TZ_STN,0)),Q675&lt;INDEX(TZ_DSTE,MATCH(P675,TZ_STN,0))),INDEX(TZ_DST,MATCH(P675,TZ_STN,0)),INDEX(TZ_STD,MATCH(P675,TZ_STN,0))))/24</f>
        <v>46324.5208333333</v>
      </c>
      <c r="S675" s="60"/>
      <c r="T675" s="60"/>
      <c r="U675" s="60"/>
      <c r="V675" s="60"/>
      <c r="W675" s="60"/>
      <c r="X675" s="60"/>
      <c r="Y675" s="60"/>
      <c r="Z675" s="60"/>
      <c r="AA675" s="60"/>
      <c r="AB675" s="60"/>
      <c r="AC675" s="60"/>
      <c r="AD675" s="66"/>
      <c r="AE675" s="60"/>
      <c r="AF675" s="61" t="str">
        <f aca="false">IF(AND(ISNUMBER(X675),ISNUMBER(Y675)),Y675-X675,"")</f>
        <v/>
      </c>
      <c r="AG675" s="62" t="str">
        <f aca="false">IF(ISNUMBER(AD675),AD675-(IF(AND(INDEX(TZ_DSTS,MATCH(P675,TZ_STN,0))&lt;&gt;"",(AD675-INDEX(TZ_STD,MATCH(P675,TZ_STN,0))/24)&gt;=INDEX(TZ_DSTS,MATCH(P675,TZ_STN,0)),(AD675-INDEX(TZ_STD,MATCH(P675,TZ_STN,0))/24)&lt;INDEX(TZ_DSTE,MATCH(P675,TZ_STN,0))),INDEX(TZ_DST,MATCH(P675,TZ_STN,0)),INDEX(TZ_STD,MATCH(P675,TZ_STN,0))))/24,"")</f>
        <v/>
      </c>
      <c r="AH675" s="65" t="str">
        <f aca="false">IFERROR(IF(N675="N/A – rule",IF(OR(TRIM(U675)="",TRIM(U675)="N/A",TRIM(U675)="Not started"),"N/A – RULE","INVALID – this check does not apply to this aircraft: clear the status (or correct the fleet on Flights)"),IF(TRIM(U675)="N/A",IF(AT675=0,"INVALID – N/A not permitted for this check",IF(AND(TRIM(AB675)&lt;&gt;"",TRIM(AB675)&lt;&gt;"Closed"),"INVALID – corrective action still open",IF(AND(NOT(OR(LEN(AZ675)&lt;15,ISNUMBER(MATCH(AZ675,L_Placeholder,0)))),BK675=0,CG675&gt;=8,NOT(OR(LEN(AU675)&lt;2,ISNUMBER(MATCH(AU675,L_Placeholder,0)))),BR675&gt;=3,NOT(OR(LEN(AX675)&lt;2,ISNUMBER(MATCH(AX675,L_Placeholder,0)))),BS675&gt;=3,TRIM(AE675)&lt;&gt;TRIM(T675),AX675&lt;&gt;AU675,CE675=0),"N/A – JUSTIFIED","INVALID – N/A needs a real, settled reason (not 'not applicable' / 'as above' / TBC), a named PIC and a different named verifier"))),IF(OR(TRIM(U675)="Pass",TRIM(U675)="Pass after CA"),IF(NOT(ISNUMBER(AD675)),"INVALID – completion time missing",IF(OR(OR(LEN(AU675)&lt;2,ISNUMBER(MATCH(AU675,L_Placeholder,0))),BR675&lt;3),"INVALID – PIC missing or not a named person (a role such as QA / CSM is not a name)",IF(OR(LEN(AV675)&lt;2,ISNUMBER(MATCH(AV675,L_Placeholder,0))),"INVALID – result / assessment missing",IF(OR(OR(LEN(AW675)&lt;3,ISNUMBER(MATCH(AW675,L_Placeholder,0))),SUMPRODUCT(--ISNUMBER(SEARCH(" "&amp;L_EvidencePhrase&amp;" ",BD675)))&gt;0,BI675=1),"INVALID – evidence missing, placeholder or not yet on file",IF(ISNA(MATCH(TRIM(S675),L_EvidenceType,0)),"INVALID – choose the evidence type from the list (column S)",IF(BL675=0,"INVALID – evidence ID must be the record's own ID only (e.g. SF-2210, IMG_2231, 1045521); a link / file name needs type 'Link / file path'",IF(OR(OR(LEN(AX675)&lt;2,ISNUMBER(MATCH(AX675,L_Placeholder,0))),BS675&lt;3),"INVALID – verifier missing or not a named person (a role such as QA / CSM is not a name)",IF(OR(AX675=AU675,CE675=1,AND(LEN(AU675)&gt;=4,ISNUMBER(SEARCH(AU675,AX675))),AND(LEN(AX675)&gt;=4,ISNUMBER(SEARCH(AX675,AU675)))),"INVALID – verifier must be a different, named person (not the PIC or a role)",IF(BH675=1,"INVALID – result not yet available (awaiting / TBC)",IF(BG675=1,"INVALID – result describes a problem: record Fail, then Pass after CA (or reword if it is not a problem)",IF(BV675=1,"INVALID – wording says not on board: an on-board confirmation needs the item loaded",IF(AND(AQ675=1,OR(OR(LEN(AY675)&lt;3,ISNUMBER(MATCH(AY675,L_Placeholder,0))),BJ675=1,BQ675=0)),"INVALID – batch ID missing, placeholder or not an ID (e.g. PASB-261008-BC-017)",IF(AND(AR675=1,OR(NOT(ISNUMBER(X675)),NOT(ISNUMBER(Y675)))),"INVALID – expected/actual qty missing",IF(AND(AR675=1,OR(X675&lt;=0,Y675&lt;0)),"INVALID – expected qty must be above 0 and actual not negative",IF(BB675&lt;&gt;"",BB675,IF(AND(AS675=1,Documents!$J$25&lt;&gt;"ON FILE"),"INVALID – GLD not on file (Documents sheet)",IF(AND(AS675=2,Documents!$O$25&lt;&gt;"ON FILE"),"INVALID – menu checklist not on file (Documents sheet)",IF(AND(AS675=3,NOT(ISNUMBER(Flights!$AX$25))),"INVALID – enter carrying flight KUL departure (Flights AX)",IF(AND(AS675=3,OR(Flights!$AZ$25&gt;Flights!$AA$25,Flights!$AX$25&lt;Flights!$AA$25-3)),"INVALID – carrying flight (Flights AX) cannot arrive before this leg's STD, or is over 3 days early",IF(AG675&gt;AsOfUTC,"INVALID – completion time is in the future",IF(AND(ISNUMBER(BY675),AG675&lt;BY675),IF(H675="Physical uplift","INVALID – before uplift window (cannot confirm loading)","INVALID – before valid window"),IF(AG675&gt;Flights!$AA$25,"INVALID – completed after departure (cannot establish readiness)",IF(AND(H675="Preparation",AG675&gt;=Flights!$AY$25+UpliftWindowH/24),"INVALID – completed after the carrying flight left KUL",IF(AND(H675="Physical uplift",AG675&gt;Q675),"INVALID – recorded after the loading flight departed",IF(AG675&gt;Q675,"COMPLETE – LATE","COMPLETE"))))))))))))))))))))))))),IF(TRIM(U675)="Fail","FAIL – DISCREPANCY",IF(AND(TRIM(U675)&lt;&gt;"",TRIM(U675)&lt;&gt;"Not started",TRIM(U675)&lt;&gt;"In progress"),"INVALID – unrecognised status (use the list)",IF(AsOfUTC&gt;Q675,"OVERDUE",IF(N675="Clarification required","OPEN – CLARIFICATION","OPEN"))))))),"INVALID – error value in an input cell")</f>
        <v>OPEN</v>
      </c>
      <c r="AI675" s="61" t="n">
        <f aca="false">IF(OR(AH675="N/A – RULE",AH675="N/A – JUSTIFIED"),0,1)</f>
        <v>1</v>
      </c>
      <c r="AJ675" s="61" t="n">
        <f aca="false">IF(LEFT(AH675,8)="COMPLETE",1,0)</f>
        <v>0</v>
      </c>
      <c r="AK675" s="61" t="n">
        <f aca="false">IF(AND(AI675=1,AJ675=0,AsOfUTC&gt;Q675),1,0)</f>
        <v>0</v>
      </c>
      <c r="AL675" s="61" t="n">
        <f aca="false">IFERROR(IF(AND(AI675=1,OR(TRIM(U675)="Fail",AND(TRIM(AB675)&lt;&gt;"",TRIM(AB675)&lt;&gt;"Closed"),AND(ISNUMBER(AF675),AF675&lt;&gt;0,TRIM(U675)&lt;&gt;"Pass after CA"))),1,0),1)</f>
        <v>0</v>
      </c>
      <c r="AM675" s="61" t="n">
        <f aca="false">IF(LEFT(AH675,7)="INVALID",1,0)</f>
        <v>0</v>
      </c>
      <c r="AN675" s="61" t="n">
        <f aca="false">IF(AND(N675="Clarification required",AI675=1,AJ675=0),1,0)</f>
        <v>0</v>
      </c>
      <c r="AO675" s="61" t="str">
        <f aca="false">IF(AK675=1,SUM(AK$5:AK675),"")</f>
        <v/>
      </c>
      <c r="AP675" s="61" t="str">
        <f aca="false">IF(AL675=1,SUM(AL$5:AL675),"")</f>
        <v/>
      </c>
      <c r="AQ675" s="61" t="n">
        <v>1</v>
      </c>
      <c r="AR675" s="61" t="n">
        <v>0</v>
      </c>
      <c r="AS675" s="61" t="n">
        <v>0</v>
      </c>
      <c r="AT675" s="61" t="n">
        <v>0</v>
      </c>
      <c r="AU675" s="61" t="str">
        <f aca="false">SUBSTITUTE(SUBSTITUTE(SUBSTITUTE(SUBSTITUTE(SUBSTITUTE(SUBSTITUTE(SUBSTITUTE(SUBSTITUTE(SUBSTITUTE(SUBSTITUTE(SUBSTITUTE(SUBSTITUTE(SUBSTITUTE(SUBSTITUTE(SUBSTITUTE(SUBSTITUTE(LOWER(T675&amp;""),CHAR(10),""),CHAR(13),""),CHAR(9),""),CHAR(160),"")," ",""),".",""),"-",""),"/",""),"?",""),"_",""),",",""),"[",""),"]",""),"(",""),")",""),"*","")</f>
        <v/>
      </c>
      <c r="AV675" s="61" t="str">
        <f aca="false">SUBSTITUTE(SUBSTITUTE(SUBSTITUTE(SUBSTITUTE(SUBSTITUTE(SUBSTITUTE(SUBSTITUTE(SUBSTITUTE(SUBSTITUTE(SUBSTITUTE(SUBSTITUTE(SUBSTITUTE(SUBSTITUTE(SUBSTITUTE(SUBSTITUTE(SUBSTITUTE(LOWER(V675&amp;""),CHAR(10),""),CHAR(13),""),CHAR(9),""),CHAR(160),"")," ",""),".",""),"-",""),"/",""),"?",""),"_",""),",",""),"[",""),"]",""),"(",""),")",""),"*","")</f>
        <v/>
      </c>
      <c r="AW675" s="61" t="str">
        <f aca="false">SUBSTITUTE(SUBSTITUTE(SUBSTITUTE(SUBSTITUTE(SUBSTITUTE(SUBSTITUTE(SUBSTITUTE(SUBSTITUTE(SUBSTITUTE(SUBSTITUTE(SUBSTITUTE(SUBSTITUTE(SUBSTITUTE(SUBSTITUTE(SUBSTITUTE(SUBSTITUTE(LOWER(Z675&amp;""),CHAR(10),""),CHAR(13),""),CHAR(9),""),CHAR(160),"")," ",""),".",""),"-",""),"/",""),"?",""),"_",""),",",""),"[",""),"]",""),"(",""),")",""),"*","")</f>
        <v/>
      </c>
      <c r="AX675" s="61" t="str">
        <f aca="false">SUBSTITUTE(SUBSTITUTE(SUBSTITUTE(SUBSTITUTE(SUBSTITUTE(SUBSTITUTE(SUBSTITUTE(SUBSTITUTE(SUBSTITUTE(SUBSTITUTE(SUBSTITUTE(SUBSTITUTE(SUBSTITUTE(SUBSTITUTE(SUBSTITUTE(SUBSTITUTE(LOWER(AE675&amp;""),CHAR(10),""),CHAR(13),""),CHAR(9),""),CHAR(160),"")," ",""),".",""),"-",""),"/",""),"?",""),"_",""),",",""),"[",""),"]",""),"(",""),")",""),"*","")</f>
        <v/>
      </c>
      <c r="AY675" s="61" t="str">
        <f aca="false">SUBSTITUTE(SUBSTITUTE(SUBSTITUTE(SUBSTITUTE(SUBSTITUTE(SUBSTITUTE(SUBSTITUTE(SUBSTITUTE(SUBSTITUTE(SUBSTITUTE(SUBSTITUTE(SUBSTITUTE(SUBSTITUTE(SUBSTITUTE(SUBSTITUTE(SUBSTITUTE(LOWER(W675&amp;""),CHAR(10),""),CHAR(13),""),CHAR(9),""),CHAR(160),"")," ",""),".",""),"-",""),"/",""),"?",""),"_",""),",",""),"[",""),"]",""),"(",""),")",""),"*","")</f>
        <v/>
      </c>
      <c r="AZ675" s="61" t="str">
        <f aca="false">SUBSTITUTE(SUBSTITUTE(SUBSTITUTE(SUBSTITUTE(SUBSTITUTE(SUBSTITUTE(SUBSTITUTE(SUBSTITUTE(SUBSTITUTE(SUBSTITUTE(SUBSTITUTE(SUBSTITUTE(SUBSTITUTE(SUBSTITUTE(SUBSTITUTE(SUBSTITUTE(LOWER(AC675&amp;""),CHAR(10),""),CHAR(13),""),CHAR(9),""),CHAR(160),"")," ",""),".",""),"-",""),"/",""),"?",""),"_",""),",",""),"[",""),"]",""),"(",""),")",""),"*","")</f>
        <v/>
      </c>
      <c r="BA675" s="61" t="str">
        <f aca="false">SUBSTITUTE(SUBSTITUTE(SUBSTITUTE(SUBSTITUTE(SUBSTITUTE(SUBSTITUTE(SUBSTITUTE(SUBSTITUTE(SUBSTITUTE(SUBSTITUTE(SUBSTITUTE(SUBSTITUTE(SUBSTITUTE(SUBSTITUTE(SUBSTITUTE(SUBSTITUTE(LOWER(AA675&amp;""),CHAR(10),""),CHAR(13),""),CHAR(9),""),CHAR(160),"")," ",""),".",""),"-",""),"/",""),"?",""),"_",""),",",""),"[",""),"]",""),"(",""),")",""),"*","")</f>
        <v/>
      </c>
      <c r="BB675" s="61" t="str">
        <f aca="false">IF(AND(TRIM(U675)="Pass",ISNUMBER(AF675)),IF(AF675&lt;&gt;0,"INVALID – qty variance: use Fail or Pass after CA",""),"")&amp;IF(AND(TRIM(U675)="Pass after CA",ISNUMBER(AF675)),IF(AF675&lt;&gt;0,"INVALID – after the corrective action the actual qty must equal expected (update Actual)",""),"")&amp;IF(AND(TRIM(U675)="Pass",TRIM(AB675)&lt;&gt;"",TRIM(AB675)&lt;&gt;"Closed"),"INVALID – corrective action not closed: use Fail, then Pass after CA","")&amp;IF(AND(LEN(BA675)&gt;=2,ISNA(MATCH(LEFT(BA675,255),L_Placeholder,0)),TRIM(AB675)=""),"INVALID – CA status missing for the recorded corrective action","")&amp;IF(AND(TRIM(U675)="Pass after CA",OR(OR(LEN(BA675)&lt;5,ISNUMBER(MATCH(BA675,L_Placeholder,0))),TRIM(AB675)&lt;&gt;"Closed")),"INVALID – corrective action not recorded/closed","")</f>
        <v/>
      </c>
      <c r="BC675" s="61" t="str">
        <f aca="false">" "&amp;TRIM(SUBSTITUTE(SUBSTITUTE(SUBSTITUTE(SUBSTITUTE(SUBSTITUTE(SUBSTITUTE(SUBSTITUTE(SUBSTITUTE(SUBSTITUTE(SUBSTITUTE(SUBSTITUTE(SUBSTITUTE(SUBSTITUTE(SUBSTITUTE(SUBSTITUTE(SUBSTITUTE(SUBSTITUTE(SUBSTITUTE(SUBSTITUTE(SUBSTITUTE(SUBSTITUTE(SUBSTITUTE(SUBSTITUTE(SUBSTITUTE(LOWER(V675&amp;""),CHAR(10)," "),CHAR(13)," "),CHAR(9)," "),CHAR(160)," "),"."," "),","," "),"-"," "),"/"," "),"("," "),")"," "),":"," "),";"," "),"_"," "),"–"," "),"?"," "),"!"," "),"*"," "),"["," "),"]"," "),"'"," "),"#"," "),"+"," "),"&amp;"," "),"\"," "))&amp;" "</f>
        <v>  </v>
      </c>
      <c r="BD675" s="61" t="str">
        <f aca="false">" "&amp;TRIM(SUBSTITUTE(SUBSTITUTE(SUBSTITUTE(SUBSTITUTE(SUBSTITUTE(SUBSTITUTE(SUBSTITUTE(SUBSTITUTE(SUBSTITUTE(SUBSTITUTE(SUBSTITUTE(SUBSTITUTE(SUBSTITUTE(SUBSTITUTE(SUBSTITUTE(SUBSTITUTE(SUBSTITUTE(SUBSTITUTE(SUBSTITUTE(SUBSTITUTE(SUBSTITUTE(SUBSTITUTE(SUBSTITUTE(SUBSTITUTE(LOWER(Z675&amp;""),CHAR(10)," "),CHAR(13)," "),CHAR(9)," "),CHAR(160)," "),"."," "),","," "),"-"," "),"/"," "),"("," "),")"," "),":"," "),";"," "),"_"," "),"–"," "),"?"," "),"!"," "),"*"," "),"["," "),"]"," "),"'"," "),"#"," "),"+"," "),"&amp;"," "),"\"," "))&amp;" "</f>
        <v>  </v>
      </c>
      <c r="BE675" s="61" t="str">
        <f aca="false">" "&amp;TRIM(SUBSTITUTE(SUBSTITUTE(SUBSTITUTE(SUBSTITUTE(SUBSTITUTE(SUBSTITUTE(SUBSTITUTE(SUBSTITUTE(SUBSTITUTE(SUBSTITUTE(SUBSTITUTE(SUBSTITUTE(SUBSTITUTE(SUBSTITUTE(SUBSTITUTE(SUBSTITUTE(SUBSTITUTE(SUBSTITUTE(SUBSTITUTE(SUBSTITUTE(SUBSTITUTE(SUBSTITUTE(SUBSTITUTE(SUBSTITUTE(LOWER(W675&amp;""),CHAR(10)," "),CHAR(13)," "),CHAR(9)," "),CHAR(160)," "),"."," "),","," "),"-"," "),"/"," "),"("," "),")"," "),":"," "),";"," "),"_"," "),"–"," "),"?"," "),"!"," "),"*"," "),"["," "),"]"," "),"'"," "),"#"," "),"+"," "),"&amp;"," "),"\"," "))&amp;" "</f>
        <v>  </v>
      </c>
      <c r="BF675" s="61" t="str">
        <f aca="false">" "&amp;TRIM(SUBSTITUTE(SUBSTITUTE(SUBSTITUTE(SUBSTITUTE(SUBSTITUTE(SUBSTITUTE(SUBSTITUTE(SUBSTITUTE(SUBSTITUTE(SUBSTITUTE(SUBSTITUTE(SUBSTITUTE(SUBSTITUTE(SUBSTITUTE(SUBSTITUTE(SUBSTITUTE(SUBSTITUTE(SUBSTITUTE(SUBSTITUTE(SUBSTITUTE(SUBSTITUTE(SUBSTITUTE(SUBSTITUTE(SUBSTITUTE(LOWER(AC675&amp;""),CHAR(10)," "),CHAR(13)," "),CHAR(9)," "),CHAR(160)," "),"."," "),","," "),"-"," "),"/"," "),"("," "),")"," "),":"," "),";"," "),"_"," "),"–"," "),"?"," "),"!"," "),"*"," "),"["," "),"]"," "),"'"," "),"#"," "),"+"," "),"&amp;"," "),"\"," "))&amp;" "</f>
        <v>  </v>
      </c>
      <c r="BG675" s="61" t="n">
        <f aca="false">IFERROR(IF(AND(TRIM(U675)="Pass",SUMPRODUCT((LEN(BC675)-LEN(SUBSTITUTE(BC675," "&amp;L_ResultBad&amp;" "," ")))/(LEN(L_ResultBad)+1))&gt;SUMPRODUCT((LEN(BC675)-LEN(SUBSTITUTE(BC675," "&amp;L_NegPhrase&amp;" "," ")))/(LEN(L_NegPhrase)+1))),1,0),0)</f>
        <v>0</v>
      </c>
      <c r="BH675" s="61" t="n">
        <f aca="false">IFERROR(IF(SUMPRODUCT((LEN(BC675)-LEN(SUBSTITUTE(BC675," "&amp;L_Pending&amp;" "," ")))/(LEN(L_Pending)+1))&gt;SUMPRODUCT((LEN(BC675)-LEN(SUBSTITUTE(BC675," "&amp;L_PendNeg&amp;" "," ")))/(LEN(L_PendNeg)+1))+SUMPRODUCT((LEN(BC675)-LEN(SUBSTITUTE(BC675," "&amp;L_PendPrep&amp;" "," ")))/(LEN(L_PendPrep)+1)),1,0),1)</f>
        <v>0</v>
      </c>
      <c r="BI675" s="61" t="n">
        <f aca="false">IFERROR(IF(SUMPRODUCT((LEN(BD675)-LEN(SUBSTITUTE(BD675," "&amp;L_PendStrict&amp;" "," ")))/(LEN(L_PendStrict)+1))&gt;SUMPRODUCT((LEN(BD675)-LEN(SUBSTITUTE(BD675," "&amp;L_PendNeg&amp;" "," ")))/(LEN(L_PendNeg)+1)),1,0),1)</f>
        <v>0</v>
      </c>
      <c r="BJ675" s="61" t="n">
        <f aca="false">IFERROR(IF(SUMPRODUCT((LEN(BE675)-LEN(SUBSTITUTE(BE675," "&amp;L_Pending&amp;" "," ")))/(LEN(L_Pending)+1))&gt;SUMPRODUCT((LEN(BE675)-LEN(SUBSTITUTE(BE675," "&amp;L_PendNeg&amp;" "," ")))/(LEN(L_PendNeg)+1))+SUMPRODUCT((LEN(BE675)-LEN(SUBSTITUTE(BE675," "&amp;L_PendPrep&amp;" "," ")))/(LEN(L_PendPrep)+1)),1,0),1)</f>
        <v>0</v>
      </c>
      <c r="BK675" s="61" t="n">
        <f aca="false">IFERROR(IF(SUMPRODUCT((LEN(BF675)-LEN(SUBSTITUTE(BF675," "&amp;L_PendStrict&amp;" "," ")))/(LEN(L_PendStrict)+1))&gt;SUMPRODUCT((LEN(BF675)-LEN(SUBSTITUTE(BF675," "&amp;L_PendNeg&amp;" "," ")))/(LEN(L_PendNeg)+1)),1,0),1)</f>
        <v>0</v>
      </c>
      <c r="BL675" s="61" t="n">
        <f aca="false">IF(ISNA(MATCH(TRIM(S675),L_EvidenceType,0)),0,BZ675)</f>
        <v>0</v>
      </c>
      <c r="BM675" s="61" t="str">
        <f aca="false">SUBSTITUTE(SUBSTITUTE(SUBSTITUTE(SUBSTITUTE(SUBSTITUTE(SUBSTITUTE(SUBSTITUTE(SUBSTITUTE(SUBSTITUTE(LOWER(Z675&amp;""),"1","0"),"2","0"),"3","0"),"4","0"),"5","0"),"6","0"),"7","0"),"8","0"),"9","0")</f>
        <v/>
      </c>
      <c r="BN675" s="61" t="str">
        <f aca="false">SUBSTITUTE(SUBSTITUTE(SUBSTITUTE(SUBSTITUTE(SUBSTITUTE(SUBSTITUTE(SUBSTITUTE(SUBSTITUTE(SUBSTITUTE(SUBSTITUTE(SUBSTITUTE(SUBSTITUTE(SUBSTITUTE(SUBSTITUTE(SUBSTITUTE(SUBSTITUTE(SUBSTITUTE(SUBSTITUTE(SUBSTITUTE(SUBSTITUTE(SUBSTITUTE(SUBSTITUTE(SUBSTITUTE(SUBSTITUTE(SUBSTITUTE(BM675,"b","a"),"c","a"),"d","a"),"e","a"),"f","a"),"g","a"),"h","a"),"i","a"),"j","a"),"k","a"),"l","a"),"m","a"),"n","a"),"o","a"),"p","a"),"q","a"),"r","a"),"s","a"),"t","a"),"u","a"),"v","a"),"w","a"),"x","a"),"y","a"),"z","a")</f>
        <v/>
      </c>
      <c r="BO675" s="61" t="str">
        <f aca="false">SUBSTITUTE(SUBSTITUTE(SUBSTITUTE(SUBSTITUTE(SUBSTITUTE(SUBSTITUTE(SUBSTITUTE(SUBSTITUTE(SUBSTITUTE(LOWER(W675&amp;""),"1","0"),"2","0"),"3","0"),"4","0"),"5","0"),"6","0"),"7","0"),"8","0"),"9","0")</f>
        <v/>
      </c>
      <c r="BP675" s="61" t="str">
        <f aca="false">SUBSTITUTE(SUBSTITUTE(SUBSTITUTE(SUBSTITUTE(SUBSTITUTE(SUBSTITUTE(SUBSTITUTE(SUBSTITUTE(SUBSTITUTE(SUBSTITUTE(SUBSTITUTE(SUBSTITUTE(SUBSTITUTE(SUBSTITUTE(SUBSTITUTE(SUBSTITUTE(SUBSTITUTE(SUBSTITUTE(SUBSTITUTE(SUBSTITUTE(SUBSTITUTE(SUBSTITUTE(SUBSTITUTE(SUBSTITUTE(SUBSTITUTE(BO675,"b","a"),"c","a"),"d","a"),"e","a"),"f","a"),"g","a"),"h","a"),"i","a"),"j","a"),"k","a"),"l","a"),"m","a"),"n","a"),"o","a"),"p","a"),"q","a"),"r","a"),"s","a"),"t","a"),"u","a"),"v","a"),"w","a"),"x","a"),"y","a"),"z","a")</f>
        <v/>
      </c>
      <c r="BQ675" s="61" t="n">
        <f aca="false">IFERROR(IF(AND(ISERROR(SEARCH(" mh"," "&amp;LOWER(W675))),ISNA(MATCH(LEFT(TRIM(BP675),255),{"0000a","000a","00a","0000aa","000aa","00aa","0aa","0000aaa","000aaa","00a00","0a00","0000-0000","00:00","a00","a0","00.00.0000","00/00/0000","00-00-0000","0000-00-00","0000/00/00","0000.00.00","00.00.00","00/00/00","00-00-00","0.00.0000","0/00/0000","0-00-0000"},0)),ISNA(MATCH(LEFT(TRIM(CA675),255),{"0000a","000a","00a","0000aa","000aa","00aa","0aa","0000aaa","000aaa","00a00","0a00","0000-0000","00:00","a00","a0","00.00.0000","00/00/0000","00-00-0000","0000-00-00","0000/00/00","0000.00.00","00.00.00","00/00/00","00-00-00","0.00.0000","0/00/0000","0-00-0000"},0)),LEN(CB675)&gt;=3,NOT(OR(SUBSTITUTE(CB675,"0","")="",AND(LEN(CB675)&gt;=4,CB675=REPT(LEFT(CB675),LEN(CB675))),ISNUMBER(MATCH(CB675,{"123","1234","12345","123456","1234567","12345678","0123","01234","012345","98765","987654","54321"},0)),AND(LEN(CB675)=8,LEFT(CB675,3)="202"))),OR(AND((LEN(CA675)-LEN(SUBSTITUTE(CA675,"a","")))&gt;=1,SUMPRODUCT(--ISNUMBER(SEARCH({"a0","a-0","a_0","a/0","a.0","a#0","0a","0-a","0_a","0/a"},BP675)))&gt;0),ISNUMBER(SEARCH("000000",BP675)))),1,0),0)</f>
        <v>0</v>
      </c>
      <c r="BR675" s="61" t="n">
        <f aca="false">IFERROR(LEN(SUBSTITUTE(CC675," ",""))-SUMPRODUCT((LEN(CC675)-LEN(SUBSTITUTE(CC675," "&amp;L_Role&amp;" "," ")))/(LEN(L_Role)+1)*LEN(L_Role)),0)</f>
        <v>0</v>
      </c>
      <c r="BS675" s="61" t="n">
        <f aca="false">IFERROR(LEN(SUBSTITUTE(CD675," ",""))-SUMPRODUCT((LEN(CD675)-LEN(SUBSTITUTE(CD675," "&amp;L_Role&amp;" "," ")))/(LEN(L_Role)+1)*LEN(L_Role)),0)</f>
        <v>0</v>
      </c>
      <c r="BT6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675,"revision",""),"version",""),"jan",""),"feb",""),"mar",""),"apr",""),"may",""),"jun",""),"jul",""),"aug",""),"sep",""),"oct",""),"nov",""),"dec",""),"utc",""),"gmt",""),"myt",""),"bst",""),"rev",""),"ver",""),"b","a"),"c","a"),"d","a"),"e","a"),"f","a"),"g","a"),"h","a"),"i","a"),"j","a"),"k","a"),"l","a"),"m","a"),"n","a"),"o","a"),"p","a"),"q","a"),"r","a"),"s","a"),"t","a"),"u","a"),"v","a"),"w","a"),"x","a"),"y","a"),"z","a")</f>
        <v/>
      </c>
      <c r="BU675" s="61" t="str">
        <f aca="false">SUBSTITUTE(SUBSTITUTE(SUBSTITUTE(SUBSTITUTE(SUBSTITUTE(SUBSTITUTE(SUBSTITUTE(SUBSTITUTE(SUBSTITUTE(SUBSTITUTE(LEFT(BM675,FIND("0",BM675&amp;"0")-1),"-",""),"_",""),"/",""),".",""),"#",""),"\\",""),":","")," ",""),"(",""),")","")</f>
        <v/>
      </c>
      <c r="BV675" s="61" t="n">
        <f aca="false">0</f>
        <v>0</v>
      </c>
      <c r="BW67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675&amp;""),"a",""),"b",""),"c",""),"d",""),"e",""),"f",""),"g",""),"h",""),"i",""),"j",""),"k",""),"l",""),"m",""),"n",""),"o",""),"p",""),"q",""),"r",""),"s",""),"t",""),"u",""),"v",""),"w",""),"x",""),"y",""),"z",""),"-",""),"_",""),"/",""),".",""),"#",""),"\\",""),":","")," ",""),"(",""),")","")</f>
        <v/>
      </c>
      <c r="BX675" s="61" t="str">
        <f aca="false">SUBSTITUTE(SUBSTITUTE(SUBSTITUTE(SUBSTITUTE(SUBSTITUTE(SUBSTITUTE(SUBSTITUTE(SUBSTITUTE(SUBSTITUTE(SUBSTITUTE(SUBSTITUTE(BM675,"0",""),"-",""),"_",""),"/",""),".",""),"#",""),"\\",""),":","")," ",""),"(",""),")","")</f>
        <v/>
      </c>
      <c r="BY675" s="62" t="n">
        <f aca="false">Q675-T24EarlyH/24</f>
        <v>46323.1875</v>
      </c>
      <c r="BZ675" s="61" t="n">
        <f aca="false">IFERROR(IF(IF(TRIM(S675)="Link / file path",AND(LEN(TRIM(Z675))&gt;=5,SUMPRODUCT(--ISNUMBER(SEARCH({"http","www.","\\",":\",".pdf",".jpg",".jpeg",".png",".heic",".xls",".doc",".msg",".eml",".ppt",".txt",".zip"},Z675)))&gt;0),AND(ISERROR(FIND(" ",TRIM(Z675))),NOT(OR(SUMPRODUCT(--ISNUMBER(FIND({",",";","&amp;","+"},Z675)))&gt;0,SUMPRODUCT(--ISNUMBER(SEARCH({"0/aa","0\\aa"},BN675)))&gt;0)),NOT(SUMPRODUCT(--ISNUMBER(SEARCH({"http","www.","\\",":\",".pdf",".jpg",".jpeg",".png",".heic",".xls",".doc",".msg",".eml",".ppt",".txt",".zip"},Z675)))&gt;0),NOT(LOWER(TRIM(Z675))=LOWER(Flights!$F$25)),ISNA(MATCH(BU675,{"mh","rev","revision","ver","version","v","r","a","b","seat","tray","row","gate","bay","stand","page","pg","item","line","no","cart","galley","flight","flt","table","box","bag","oven","etd","eta","std","sta","atd","ata","qty","pax","x","time","tel","ph","mob","day","wk","week","utc","gmt","myt","lt"},0)),NOT(OR(ISNUMBER(MATCH(LEFT(BN675,255),{"0000a","000a","00a","0000aa","000aa","00aa","0aa","0000aaa","000aaa","00a00","0a00","0000-0000","00:00","a00","a0","00.00.0000","00/00/0000","00-00-0000","0000-00-00","0000/00/00","0000.00.00","00.00.00","00/00/00","00-00-00","0.00.0000","0/00/0000","0-00-0000"},0)),ISNUMBER(MATCH(LEFT(BT675,255),{"0000a","000a","00a","0000aa","000aa","00aa","0aa","0000aaa","000aaa","00a00","0a00","0000-0000","00:00","a00","a0","00.00.0000","00/00/0000","00-00-0000","0000-00-00","0000/00/00","0000.00.00","00.00.00","00/00/00","00-00-00","0.00.0000","0/00/0000","0-00-0000"},0)))),NOT(OR(AND(BW675&lt;&gt;"",SUBSTITUTE(BW675,"0","")=""),AND(LEN(BW675)&gt;=4,BW675=REPT(LEFT(BW675),LEN(BW675))),ISNUMBER(MATCH(BW675,{"123","1234","12345","123456","1234567","12345678","0123","01234","012345","98765","987654","54321"},0)),ISNUMBER(MATCH(BX675,{"x","xx","xxx","xxxx","xxxxx","abc","abcd","nil","na","nan","test","tbc","tba","tbd","dummy","sample","example","eg","zz","zzz","none","null","xyz","qwe","asd","id","ref"},0)),AND(LEN(BW675)=8,BX675="",OR(LEFT(BW675,3)="202",ISNUMBER(MATCH(RIGHT(BW675,4),{"2025","2026","2027"},0)))))),OR(AND((LEN(BT675)-LEN(SUBSTITUTE(BT675,"a","")))&gt;=1,(LEN(BN675)-LEN(SUBSTITUTE(BN675,"0","")))&gt;=2,SUMPRODUCT(--ISNUMBER(SEARCH({"a0","a-0","a_0","a/0","a.0","a#0","0a","0-a","0_a","0/a"},BN675)))&gt;0),AND((LEN(BN675)-LEN(SUBSTITUTE(BN675,"a","")))=0,(LEN(BN675)-LEN(SUBSTITUTE(BN675,"0","")))&gt;=5)))),1,0),0)</f>
        <v>0</v>
      </c>
      <c r="CA6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675,"revision",""),"version",""),"jan",""),"feb",""),"mar",""),"apr",""),"may",""),"jun",""),"jul",""),"aug",""),"sep",""),"oct",""),"nov",""),"dec",""),"utc",""),"gmt",""),"myt",""),"bst",""),"rev",""),"ver",""),"b","a"),"c","a"),"d","a"),"e","a"),"f","a"),"g","a"),"h","a"),"i","a"),"j","a"),"k","a"),"l","a"),"m","a"),"n","a"),"o","a"),"p","a"),"q","a"),"r","a"),"s","a"),"t","a"),"u","a"),"v","a"),"w","a"),"x","a"),"y","a"),"z","a")</f>
        <v/>
      </c>
      <c r="CB67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675&amp;""),"a",""),"b",""),"c",""),"d",""),"e",""),"f",""),"g",""),"h",""),"i",""),"j",""),"k",""),"l",""),"m",""),"n",""),"o",""),"p",""),"q",""),"r",""),"s",""),"t",""),"u",""),"v",""),"w",""),"x",""),"y",""),"z",""),"-",""),"_",""),"/",""),".",""),"#",""),"\\",""),":","")," ",""),"(",""),")","")</f>
        <v/>
      </c>
      <c r="CC675" s="0" t="str">
        <f aca="false">" "&amp;TRIM(SUBSTITUTE(SUBSTITUTE(SUBSTITUTE(SUBSTITUTE(SUBSTITUTE(SUBSTITUTE(SUBSTITUTE(SUBSTITUTE(SUBSTITUTE(SUBSTITUTE(SUBSTITUTE(SUBSTITUTE(SUBSTITUTE(SUBSTITUTE(SUBSTITUTE(SUBSTITUTE(SUBSTITUTE(SUBSTITUTE(SUBSTITUTE(SUBSTITUTE(SUBSTITUTE(SUBSTITUTE(SUBSTITUTE(SUBSTITUTE(LOWER(T675&amp;""),CHAR(10)," "),CHAR(13)," "),CHAR(9)," "),CHAR(160)," "),"."," "),","," "),"-"," "),"/"," "),"("," "),")"," "),":"," "),";"," "),"_"," "),"–"," "),"?"," "),"!"," "),"*"," "),"["," "),"]"," "),"'"," "),"#"," "),"+"," "),"&amp;"," "),"\"," "))&amp;" "</f>
        <v>  </v>
      </c>
      <c r="CD675" s="0" t="str">
        <f aca="false">" "&amp;TRIM(SUBSTITUTE(SUBSTITUTE(SUBSTITUTE(SUBSTITUTE(SUBSTITUTE(SUBSTITUTE(SUBSTITUTE(SUBSTITUTE(SUBSTITUTE(SUBSTITUTE(SUBSTITUTE(SUBSTITUTE(SUBSTITUTE(SUBSTITUTE(SUBSTITUTE(SUBSTITUTE(SUBSTITUTE(SUBSTITUTE(SUBSTITUTE(SUBSTITUTE(SUBSTITUTE(SUBSTITUTE(SUBSTITUTE(SUBSTITUTE(LOWER(AE675&amp;""),CHAR(10)," "),CHAR(13)," "),CHAR(9)," "),CHAR(160)," "),"."," "),","," "),"-"," "),"/"," "),"("," "),")"," "),":"," "),";"," "),"_"," "),"–"," "),"?"," "),"!"," "),"*"," "),"["," "),"]"," "),"'"," "),"#"," "),"+"," "),"&amp;"," "),"\"," "))&amp;" "</f>
        <v>  </v>
      </c>
      <c r="CE675" s="68" t="n">
        <f aca="false">IFERROR(IF(AND(LEN(AU675)&gt;0,LEN(AU675)=LEN(AX675),OR(TRIM(MID(SUBSTITUTE(TRIM(CC675)," ",REPT(" ",60)),1,60))="",ISNUMBER(SEARCH(" "&amp;TRIM(MID(SUBSTITUTE(TRIM(CC675)," ",REPT(" ",60)),1,60))&amp;" ",CD675))),OR(TRIM(MID(SUBSTITUTE(TRIM(CC675)," ",REPT(" ",60)),61,60))="",ISNUMBER(SEARCH(" "&amp;TRIM(MID(SUBSTITUTE(TRIM(CC675)," ",REPT(" ",60)),61,60))&amp;" ",CD675))),OR(TRIM(MID(SUBSTITUTE(TRIM(CC675)," ",REPT(" ",60)),121,60))="",ISNUMBER(SEARCH(" "&amp;TRIM(MID(SUBSTITUTE(TRIM(CC675)," ",REPT(" ",60)),121,60))&amp;" ",CD675)))),1,0),0)</f>
        <v>0</v>
      </c>
      <c r="CG675" s="68" t="n">
        <f aca="false">IFERROR(LEN(SUBSTITUTE(BF675," ",""))-SUMPRODUCT((LEN(BF675)-LEN(SUBSTITUTE(BF675," "&amp;L_NAFiller&amp;" "," ")))/(LEN(L_NAFiller)+1)*LEN(L_NAFiller)),0)</f>
        <v>0</v>
      </c>
    </row>
    <row r="676" customFormat="false" ht="41.25" hidden="false" customHeight="true" outlineLevel="0" collapsed="false">
      <c r="A676" s="57" t="s">
        <v>1398</v>
      </c>
      <c r="B676" s="57" t="s">
        <v>310</v>
      </c>
      <c r="C676" s="57" t="str">
        <f aca="false">Flights!$F$25</f>
        <v>MH1437</v>
      </c>
      <c r="D676" s="58" t="n">
        <f aca="false">Flights!$D$25</f>
        <v>46325</v>
      </c>
      <c r="E676" s="57" t="str">
        <f aca="false">Flights!$G$25&amp;"-"&amp;Flights!$H$25</f>
        <v>LGK-KUL</v>
      </c>
      <c r="F676" s="57" t="str">
        <f aca="false">Flights!$K$25</f>
        <v>BC</v>
      </c>
      <c r="G676" s="57" t="s">
        <v>420</v>
      </c>
      <c r="H676" s="57" t="s">
        <v>378</v>
      </c>
      <c r="I676" s="57" t="s">
        <v>379</v>
      </c>
      <c r="J676" s="57" t="s">
        <v>421</v>
      </c>
      <c r="K676" s="67"/>
      <c r="L676" s="67" t="s">
        <v>422</v>
      </c>
      <c r="M676" s="67"/>
      <c r="N676" s="67" t="s">
        <v>383</v>
      </c>
      <c r="O676" s="67" t="s">
        <v>975</v>
      </c>
      <c r="P676" s="57" t="s">
        <v>187</v>
      </c>
      <c r="Q676" s="59" t="n">
        <f aca="false">ROUND((MIN(Flights!$AE$25,Flights!$AY$25))*1440,0)/1440</f>
        <v>46324.1875</v>
      </c>
      <c r="R676" s="59" t="n">
        <f aca="false">Q676+(IF(AND(INDEX(TZ_DSTS,MATCH(P676,TZ_STN,0))&lt;&gt;"",Q676&gt;=INDEX(TZ_DSTS,MATCH(P676,TZ_STN,0)),Q676&lt;INDEX(TZ_DSTE,MATCH(P676,TZ_STN,0))),INDEX(TZ_DST,MATCH(P676,TZ_STN,0)),INDEX(TZ_STD,MATCH(P676,TZ_STN,0))))/24</f>
        <v>46324.5208333333</v>
      </c>
      <c r="S676" s="60"/>
      <c r="T676" s="60"/>
      <c r="U676" s="60"/>
      <c r="V676" s="60"/>
      <c r="W676" s="61"/>
      <c r="X676" s="60"/>
      <c r="Y676" s="60"/>
      <c r="Z676" s="60"/>
      <c r="AA676" s="60"/>
      <c r="AB676" s="60"/>
      <c r="AC676" s="60"/>
      <c r="AD676" s="66"/>
      <c r="AE676" s="60"/>
      <c r="AF676" s="61" t="str">
        <f aca="false">IF(AND(ISNUMBER(X676),ISNUMBER(Y676)),Y676-X676,"")</f>
        <v/>
      </c>
      <c r="AG676" s="62" t="str">
        <f aca="false">IF(ISNUMBER(AD676),AD676-(IF(AND(INDEX(TZ_DSTS,MATCH(P676,TZ_STN,0))&lt;&gt;"",(AD676-INDEX(TZ_STD,MATCH(P676,TZ_STN,0))/24)&gt;=INDEX(TZ_DSTS,MATCH(P676,TZ_STN,0)),(AD676-INDEX(TZ_STD,MATCH(P676,TZ_STN,0))/24)&lt;INDEX(TZ_DSTE,MATCH(P676,TZ_STN,0))),INDEX(TZ_DST,MATCH(P676,TZ_STN,0)),INDEX(TZ_STD,MATCH(P676,TZ_STN,0))))/24,"")</f>
        <v/>
      </c>
      <c r="AH676" s="65" t="str">
        <f aca="false">IFERROR(IF(N676="N/A – rule",IF(OR(TRIM(U676)="",TRIM(U676)="N/A",TRIM(U676)="Not started"),"N/A – RULE","INVALID – this check does not apply to this aircraft: clear the status (or correct the fleet on Flights)"),IF(TRIM(U676)="N/A",IF(AT676=0,"INVALID – N/A not permitted for this check",IF(AND(TRIM(AB676)&lt;&gt;"",TRIM(AB676)&lt;&gt;"Closed"),"INVALID – corrective action still open",IF(AND(NOT(OR(LEN(AZ676)&lt;15,ISNUMBER(MATCH(AZ676,L_Placeholder,0)))),BK676=0,CG676&gt;=8,NOT(OR(LEN(AU676)&lt;2,ISNUMBER(MATCH(AU676,L_Placeholder,0)))),BR676&gt;=3,NOT(OR(LEN(AX676)&lt;2,ISNUMBER(MATCH(AX676,L_Placeholder,0)))),BS676&gt;=3,TRIM(AE676)&lt;&gt;TRIM(T676),AX676&lt;&gt;AU676,CE676=0),"N/A – JUSTIFIED","INVALID – N/A needs a real, settled reason (not 'not applicable' / 'as above' / TBC), a named PIC and a different named verifier"))),IF(OR(TRIM(U676)="Pass",TRIM(U676)="Pass after CA"),IF(NOT(ISNUMBER(AD676)),"INVALID – completion time missing",IF(OR(OR(LEN(AU676)&lt;2,ISNUMBER(MATCH(AU676,L_Placeholder,0))),BR676&lt;3),"INVALID – PIC missing or not a named person (a role such as QA / CSM is not a name)",IF(OR(LEN(AV676)&lt;2,ISNUMBER(MATCH(AV676,L_Placeholder,0))),"INVALID – result / assessment missing",IF(OR(OR(LEN(AW676)&lt;3,ISNUMBER(MATCH(AW676,L_Placeholder,0))),SUMPRODUCT(--ISNUMBER(SEARCH(" "&amp;L_EvidencePhrase&amp;" ",BD676)))&gt;0,BI676=1),"INVALID – evidence missing, placeholder or not yet on file",IF(ISNA(MATCH(TRIM(S676),L_EvidenceType,0)),"INVALID – choose the evidence type from the list (column S)",IF(BL676=0,"INVALID – evidence ID must be the record's own ID only (e.g. SF-2210, IMG_2231, 1045521); a link / file name needs type 'Link / file path'",IF(OR(OR(LEN(AX676)&lt;2,ISNUMBER(MATCH(AX676,L_Placeholder,0))),BS676&lt;3),"INVALID – verifier missing or not a named person (a role such as QA / CSM is not a name)",IF(OR(AX676=AU676,CE676=1,AND(LEN(AU676)&gt;=4,ISNUMBER(SEARCH(AU676,AX676))),AND(LEN(AX676)&gt;=4,ISNUMBER(SEARCH(AX676,AU676)))),"INVALID – verifier must be a different, named person (not the PIC or a role)",IF(BH676=1,"INVALID – result not yet available (awaiting / TBC)",IF(BG676=1,"INVALID – result describes a problem: record Fail, then Pass after CA (or reword if it is not a problem)",IF(BV676=1,"INVALID – wording says not on board: an on-board confirmation needs the item loaded",IF(AND(AQ676=1,OR(OR(LEN(AY676)&lt;3,ISNUMBER(MATCH(AY676,L_Placeholder,0))),BJ676=1,BQ676=0)),"INVALID – batch ID missing, placeholder or not an ID (e.g. PASB-261008-BC-017)",IF(AND(AR676=1,OR(NOT(ISNUMBER(X676)),NOT(ISNUMBER(Y676)))),"INVALID – expected/actual qty missing",IF(AND(AR676=1,OR(X676&lt;=0,Y676&lt;0)),"INVALID – expected qty must be above 0 and actual not negative",IF(BB676&lt;&gt;"",BB676,IF(AND(AS676=1,Documents!$J$25&lt;&gt;"ON FILE"),"INVALID – GLD not on file (Documents sheet)",IF(AND(AS676=2,Documents!$O$25&lt;&gt;"ON FILE"),"INVALID – menu checklist not on file (Documents sheet)",IF(AND(AS676=3,NOT(ISNUMBER(Flights!$AX$25))),"INVALID – enter carrying flight KUL departure (Flights AX)",IF(AND(AS676=3,OR(Flights!$AZ$25&gt;Flights!$AA$25,Flights!$AX$25&lt;Flights!$AA$25-3)),"INVALID – carrying flight (Flights AX) cannot arrive before this leg's STD, or is over 3 days early",IF(AG676&gt;AsOfUTC,"INVALID – completion time is in the future",IF(AND(ISNUMBER(BY676),AG676&lt;BY676),IF(H676="Physical uplift","INVALID – before uplift window (cannot confirm loading)","INVALID – before valid window"),IF(AG676&gt;Flights!$AA$25,"INVALID – completed after departure (cannot establish readiness)",IF(AND(H676="Preparation",AG676&gt;=Flights!$AY$25+UpliftWindowH/24),"INVALID – completed after the carrying flight left KUL",IF(AND(H676="Physical uplift",AG676&gt;Q676),"INVALID – recorded after the loading flight departed",IF(AG676&gt;Q676,"COMPLETE – LATE","COMPLETE"))))))))))))))))))))))))),IF(TRIM(U676)="Fail","FAIL – DISCREPANCY",IF(AND(TRIM(U676)&lt;&gt;"",TRIM(U676)&lt;&gt;"Not started",TRIM(U676)&lt;&gt;"In progress"),"INVALID – unrecognised status (use the list)",IF(AsOfUTC&gt;Q676,"OVERDUE",IF(N676="Clarification required","OPEN – CLARIFICATION","OPEN"))))))),"INVALID – error value in an input cell")</f>
        <v>OPEN</v>
      </c>
      <c r="AI676" s="61" t="n">
        <f aca="false">IF(OR(AH676="N/A – RULE",AH676="N/A – JUSTIFIED"),0,1)</f>
        <v>1</v>
      </c>
      <c r="AJ676" s="61" t="n">
        <f aca="false">IF(LEFT(AH676,8)="COMPLETE",1,0)</f>
        <v>0</v>
      </c>
      <c r="AK676" s="61" t="n">
        <f aca="false">IF(AND(AI676=1,AJ676=0,AsOfUTC&gt;Q676),1,0)</f>
        <v>0</v>
      </c>
      <c r="AL676" s="61" t="n">
        <f aca="false">IFERROR(IF(AND(AI676=1,OR(TRIM(U676)="Fail",AND(TRIM(AB676)&lt;&gt;"",TRIM(AB676)&lt;&gt;"Closed"),AND(ISNUMBER(AF676),AF676&lt;&gt;0,TRIM(U676)&lt;&gt;"Pass after CA"))),1,0),1)</f>
        <v>0</v>
      </c>
      <c r="AM676" s="61" t="n">
        <f aca="false">IF(LEFT(AH676,7)="INVALID",1,0)</f>
        <v>0</v>
      </c>
      <c r="AN676" s="61" t="n">
        <f aca="false">IF(AND(N676="Clarification required",AI676=1,AJ676=0),1,0)</f>
        <v>0</v>
      </c>
      <c r="AO676" s="61" t="str">
        <f aca="false">IF(AK676=1,SUM(AK$5:AK676),"")</f>
        <v/>
      </c>
      <c r="AP676" s="61" t="str">
        <f aca="false">IF(AL676=1,SUM(AL$5:AL676),"")</f>
        <v/>
      </c>
      <c r="AQ676" s="61" t="n">
        <v>0</v>
      </c>
      <c r="AR676" s="61" t="n">
        <v>0</v>
      </c>
      <c r="AS676" s="61" t="n">
        <v>0</v>
      </c>
      <c r="AT676" s="61" t="n">
        <v>0</v>
      </c>
      <c r="AU676" s="61" t="str">
        <f aca="false">SUBSTITUTE(SUBSTITUTE(SUBSTITUTE(SUBSTITUTE(SUBSTITUTE(SUBSTITUTE(SUBSTITUTE(SUBSTITUTE(SUBSTITUTE(SUBSTITUTE(SUBSTITUTE(SUBSTITUTE(SUBSTITUTE(SUBSTITUTE(SUBSTITUTE(SUBSTITUTE(LOWER(T676&amp;""),CHAR(10),""),CHAR(13),""),CHAR(9),""),CHAR(160),"")," ",""),".",""),"-",""),"/",""),"?",""),"_",""),",",""),"[",""),"]",""),"(",""),")",""),"*","")</f>
        <v/>
      </c>
      <c r="AV676" s="61" t="str">
        <f aca="false">SUBSTITUTE(SUBSTITUTE(SUBSTITUTE(SUBSTITUTE(SUBSTITUTE(SUBSTITUTE(SUBSTITUTE(SUBSTITUTE(SUBSTITUTE(SUBSTITUTE(SUBSTITUTE(SUBSTITUTE(SUBSTITUTE(SUBSTITUTE(SUBSTITUTE(SUBSTITUTE(LOWER(V676&amp;""),CHAR(10),""),CHAR(13),""),CHAR(9),""),CHAR(160),"")," ",""),".",""),"-",""),"/",""),"?",""),"_",""),",",""),"[",""),"]",""),"(",""),")",""),"*","")</f>
        <v/>
      </c>
      <c r="AW676" s="61" t="str">
        <f aca="false">SUBSTITUTE(SUBSTITUTE(SUBSTITUTE(SUBSTITUTE(SUBSTITUTE(SUBSTITUTE(SUBSTITUTE(SUBSTITUTE(SUBSTITUTE(SUBSTITUTE(SUBSTITUTE(SUBSTITUTE(SUBSTITUTE(SUBSTITUTE(SUBSTITUTE(SUBSTITUTE(LOWER(Z676&amp;""),CHAR(10),""),CHAR(13),""),CHAR(9),""),CHAR(160),"")," ",""),".",""),"-",""),"/",""),"?",""),"_",""),",",""),"[",""),"]",""),"(",""),")",""),"*","")</f>
        <v/>
      </c>
      <c r="AX676" s="61" t="str">
        <f aca="false">SUBSTITUTE(SUBSTITUTE(SUBSTITUTE(SUBSTITUTE(SUBSTITUTE(SUBSTITUTE(SUBSTITUTE(SUBSTITUTE(SUBSTITUTE(SUBSTITUTE(SUBSTITUTE(SUBSTITUTE(SUBSTITUTE(SUBSTITUTE(SUBSTITUTE(SUBSTITUTE(LOWER(AE676&amp;""),CHAR(10),""),CHAR(13),""),CHAR(9),""),CHAR(160),"")," ",""),".",""),"-",""),"/",""),"?",""),"_",""),",",""),"[",""),"]",""),"(",""),")",""),"*","")</f>
        <v/>
      </c>
      <c r="AY676" s="61" t="str">
        <f aca="false">SUBSTITUTE(SUBSTITUTE(SUBSTITUTE(SUBSTITUTE(SUBSTITUTE(SUBSTITUTE(SUBSTITUTE(SUBSTITUTE(SUBSTITUTE(SUBSTITUTE(SUBSTITUTE(SUBSTITUTE(SUBSTITUTE(SUBSTITUTE(SUBSTITUTE(SUBSTITUTE(LOWER(W676&amp;""),CHAR(10),""),CHAR(13),""),CHAR(9),""),CHAR(160),"")," ",""),".",""),"-",""),"/",""),"?",""),"_",""),",",""),"[",""),"]",""),"(",""),")",""),"*","")</f>
        <v/>
      </c>
      <c r="AZ676" s="61" t="str">
        <f aca="false">SUBSTITUTE(SUBSTITUTE(SUBSTITUTE(SUBSTITUTE(SUBSTITUTE(SUBSTITUTE(SUBSTITUTE(SUBSTITUTE(SUBSTITUTE(SUBSTITUTE(SUBSTITUTE(SUBSTITUTE(SUBSTITUTE(SUBSTITUTE(SUBSTITUTE(SUBSTITUTE(LOWER(AC676&amp;""),CHAR(10),""),CHAR(13),""),CHAR(9),""),CHAR(160),"")," ",""),".",""),"-",""),"/",""),"?",""),"_",""),",",""),"[",""),"]",""),"(",""),")",""),"*","")</f>
        <v/>
      </c>
      <c r="BA676" s="61" t="str">
        <f aca="false">SUBSTITUTE(SUBSTITUTE(SUBSTITUTE(SUBSTITUTE(SUBSTITUTE(SUBSTITUTE(SUBSTITUTE(SUBSTITUTE(SUBSTITUTE(SUBSTITUTE(SUBSTITUTE(SUBSTITUTE(SUBSTITUTE(SUBSTITUTE(SUBSTITUTE(SUBSTITUTE(LOWER(AA676&amp;""),CHAR(10),""),CHAR(13),""),CHAR(9),""),CHAR(160),"")," ",""),".",""),"-",""),"/",""),"?",""),"_",""),",",""),"[",""),"]",""),"(",""),")",""),"*","")</f>
        <v/>
      </c>
      <c r="BB676" s="61" t="str">
        <f aca="false">IF(AND(TRIM(U676)="Pass",ISNUMBER(AF676)),IF(AF676&lt;&gt;0,"INVALID – qty variance: use Fail or Pass after CA",""),"")&amp;IF(AND(TRIM(U676)="Pass after CA",ISNUMBER(AF676)),IF(AF676&lt;&gt;0,"INVALID – after the corrective action the actual qty must equal expected (update Actual)",""),"")&amp;IF(AND(TRIM(U676)="Pass",TRIM(AB676)&lt;&gt;"",TRIM(AB676)&lt;&gt;"Closed"),"INVALID – corrective action not closed: use Fail, then Pass after CA","")&amp;IF(AND(LEN(BA676)&gt;=2,ISNA(MATCH(LEFT(BA676,255),L_Placeholder,0)),TRIM(AB676)=""),"INVALID – CA status missing for the recorded corrective action","")&amp;IF(AND(TRIM(U676)="Pass after CA",OR(OR(LEN(BA676)&lt;5,ISNUMBER(MATCH(BA676,L_Placeholder,0))),TRIM(AB676)&lt;&gt;"Closed")),"INVALID – corrective action not recorded/closed","")</f>
        <v/>
      </c>
      <c r="BC676" s="61" t="str">
        <f aca="false">" "&amp;TRIM(SUBSTITUTE(SUBSTITUTE(SUBSTITUTE(SUBSTITUTE(SUBSTITUTE(SUBSTITUTE(SUBSTITUTE(SUBSTITUTE(SUBSTITUTE(SUBSTITUTE(SUBSTITUTE(SUBSTITUTE(SUBSTITUTE(SUBSTITUTE(SUBSTITUTE(SUBSTITUTE(SUBSTITUTE(SUBSTITUTE(SUBSTITUTE(SUBSTITUTE(SUBSTITUTE(SUBSTITUTE(SUBSTITUTE(SUBSTITUTE(LOWER(V676&amp;""),CHAR(10)," "),CHAR(13)," "),CHAR(9)," "),CHAR(160)," "),"."," "),","," "),"-"," "),"/"," "),"("," "),")"," "),":"," "),";"," "),"_"," "),"–"," "),"?"," "),"!"," "),"*"," "),"["," "),"]"," "),"'"," "),"#"," "),"+"," "),"&amp;"," "),"\"," "))&amp;" "</f>
        <v>  </v>
      </c>
      <c r="BD676" s="61" t="str">
        <f aca="false">" "&amp;TRIM(SUBSTITUTE(SUBSTITUTE(SUBSTITUTE(SUBSTITUTE(SUBSTITUTE(SUBSTITUTE(SUBSTITUTE(SUBSTITUTE(SUBSTITUTE(SUBSTITUTE(SUBSTITUTE(SUBSTITUTE(SUBSTITUTE(SUBSTITUTE(SUBSTITUTE(SUBSTITUTE(SUBSTITUTE(SUBSTITUTE(SUBSTITUTE(SUBSTITUTE(SUBSTITUTE(SUBSTITUTE(SUBSTITUTE(SUBSTITUTE(LOWER(Z676&amp;""),CHAR(10)," "),CHAR(13)," "),CHAR(9)," "),CHAR(160)," "),"."," "),","," "),"-"," "),"/"," "),"("," "),")"," "),":"," "),";"," "),"_"," "),"–"," "),"?"," "),"!"," "),"*"," "),"["," "),"]"," "),"'"," "),"#"," "),"+"," "),"&amp;"," "),"\"," "))&amp;" "</f>
        <v>  </v>
      </c>
      <c r="BE676" s="61" t="str">
        <f aca="false">" "&amp;TRIM(SUBSTITUTE(SUBSTITUTE(SUBSTITUTE(SUBSTITUTE(SUBSTITUTE(SUBSTITUTE(SUBSTITUTE(SUBSTITUTE(SUBSTITUTE(SUBSTITUTE(SUBSTITUTE(SUBSTITUTE(SUBSTITUTE(SUBSTITUTE(SUBSTITUTE(SUBSTITUTE(SUBSTITUTE(SUBSTITUTE(SUBSTITUTE(SUBSTITUTE(SUBSTITUTE(SUBSTITUTE(SUBSTITUTE(SUBSTITUTE(LOWER(W676&amp;""),CHAR(10)," "),CHAR(13)," "),CHAR(9)," "),CHAR(160)," "),"."," "),","," "),"-"," "),"/"," "),"("," "),")"," "),":"," "),";"," "),"_"," "),"–"," "),"?"," "),"!"," "),"*"," "),"["," "),"]"," "),"'"," "),"#"," "),"+"," "),"&amp;"," "),"\"," "))&amp;" "</f>
        <v>  </v>
      </c>
      <c r="BF676" s="61" t="str">
        <f aca="false">" "&amp;TRIM(SUBSTITUTE(SUBSTITUTE(SUBSTITUTE(SUBSTITUTE(SUBSTITUTE(SUBSTITUTE(SUBSTITUTE(SUBSTITUTE(SUBSTITUTE(SUBSTITUTE(SUBSTITUTE(SUBSTITUTE(SUBSTITUTE(SUBSTITUTE(SUBSTITUTE(SUBSTITUTE(SUBSTITUTE(SUBSTITUTE(SUBSTITUTE(SUBSTITUTE(SUBSTITUTE(SUBSTITUTE(SUBSTITUTE(SUBSTITUTE(LOWER(AC676&amp;""),CHAR(10)," "),CHAR(13)," "),CHAR(9)," "),CHAR(160)," "),"."," "),","," "),"-"," "),"/"," "),"("," "),")"," "),":"," "),";"," "),"_"," "),"–"," "),"?"," "),"!"," "),"*"," "),"["," "),"]"," "),"'"," "),"#"," "),"+"," "),"&amp;"," "),"\"," "))&amp;" "</f>
        <v>  </v>
      </c>
      <c r="BG676" s="61" t="n">
        <f aca="false">IFERROR(IF(AND(TRIM(U676)="Pass",SUMPRODUCT((LEN(BC676)-LEN(SUBSTITUTE(BC676," "&amp;L_ResultBad&amp;" "," ")))/(LEN(L_ResultBad)+1))&gt;SUMPRODUCT((LEN(BC676)-LEN(SUBSTITUTE(BC676," "&amp;L_NegPhrase&amp;" "," ")))/(LEN(L_NegPhrase)+1))),1,0),0)</f>
        <v>0</v>
      </c>
      <c r="BH676" s="61" t="n">
        <f aca="false">IFERROR(IF(SUMPRODUCT((LEN(BC676)-LEN(SUBSTITUTE(BC676," "&amp;L_Pending&amp;" "," ")))/(LEN(L_Pending)+1))&gt;SUMPRODUCT((LEN(BC676)-LEN(SUBSTITUTE(BC676," "&amp;L_PendNeg&amp;" "," ")))/(LEN(L_PendNeg)+1))+SUMPRODUCT((LEN(BC676)-LEN(SUBSTITUTE(BC676," "&amp;L_PendPrep&amp;" "," ")))/(LEN(L_PendPrep)+1)),1,0),1)</f>
        <v>0</v>
      </c>
      <c r="BI676" s="61" t="n">
        <f aca="false">IFERROR(IF(SUMPRODUCT((LEN(BD676)-LEN(SUBSTITUTE(BD676," "&amp;L_PendStrict&amp;" "," ")))/(LEN(L_PendStrict)+1))&gt;SUMPRODUCT((LEN(BD676)-LEN(SUBSTITUTE(BD676," "&amp;L_PendNeg&amp;" "," ")))/(LEN(L_PendNeg)+1)),1,0),1)</f>
        <v>0</v>
      </c>
      <c r="BJ676" s="61" t="n">
        <f aca="false">IFERROR(IF(SUMPRODUCT((LEN(BE676)-LEN(SUBSTITUTE(BE676," "&amp;L_Pending&amp;" "," ")))/(LEN(L_Pending)+1))&gt;SUMPRODUCT((LEN(BE676)-LEN(SUBSTITUTE(BE676," "&amp;L_PendNeg&amp;" "," ")))/(LEN(L_PendNeg)+1))+SUMPRODUCT((LEN(BE676)-LEN(SUBSTITUTE(BE676," "&amp;L_PendPrep&amp;" "," ")))/(LEN(L_PendPrep)+1)),1,0),1)</f>
        <v>0</v>
      </c>
      <c r="BK676" s="61" t="n">
        <f aca="false">IFERROR(IF(SUMPRODUCT((LEN(BF676)-LEN(SUBSTITUTE(BF676," "&amp;L_PendStrict&amp;" "," ")))/(LEN(L_PendStrict)+1))&gt;SUMPRODUCT((LEN(BF676)-LEN(SUBSTITUTE(BF676," "&amp;L_PendNeg&amp;" "," ")))/(LEN(L_PendNeg)+1)),1,0),1)</f>
        <v>0</v>
      </c>
      <c r="BL676" s="61" t="n">
        <f aca="false">IF(ISNA(MATCH(TRIM(S676),L_EvidenceType,0)),0,BZ676)</f>
        <v>0</v>
      </c>
      <c r="BM676" s="61" t="str">
        <f aca="false">SUBSTITUTE(SUBSTITUTE(SUBSTITUTE(SUBSTITUTE(SUBSTITUTE(SUBSTITUTE(SUBSTITUTE(SUBSTITUTE(SUBSTITUTE(LOWER(Z676&amp;""),"1","0"),"2","0"),"3","0"),"4","0"),"5","0"),"6","0"),"7","0"),"8","0"),"9","0")</f>
        <v/>
      </c>
      <c r="BN676" s="61" t="str">
        <f aca="false">SUBSTITUTE(SUBSTITUTE(SUBSTITUTE(SUBSTITUTE(SUBSTITUTE(SUBSTITUTE(SUBSTITUTE(SUBSTITUTE(SUBSTITUTE(SUBSTITUTE(SUBSTITUTE(SUBSTITUTE(SUBSTITUTE(SUBSTITUTE(SUBSTITUTE(SUBSTITUTE(SUBSTITUTE(SUBSTITUTE(SUBSTITUTE(SUBSTITUTE(SUBSTITUTE(SUBSTITUTE(SUBSTITUTE(SUBSTITUTE(SUBSTITUTE(BM676,"b","a"),"c","a"),"d","a"),"e","a"),"f","a"),"g","a"),"h","a"),"i","a"),"j","a"),"k","a"),"l","a"),"m","a"),"n","a"),"o","a"),"p","a"),"q","a"),"r","a"),"s","a"),"t","a"),"u","a"),"v","a"),"w","a"),"x","a"),"y","a"),"z","a")</f>
        <v/>
      </c>
      <c r="BO676" s="61" t="str">
        <f aca="false">SUBSTITUTE(SUBSTITUTE(SUBSTITUTE(SUBSTITUTE(SUBSTITUTE(SUBSTITUTE(SUBSTITUTE(SUBSTITUTE(SUBSTITUTE(LOWER(W676&amp;""),"1","0"),"2","0"),"3","0"),"4","0"),"5","0"),"6","0"),"7","0"),"8","0"),"9","0")</f>
        <v/>
      </c>
      <c r="BP676" s="61" t="str">
        <f aca="false">SUBSTITUTE(SUBSTITUTE(SUBSTITUTE(SUBSTITUTE(SUBSTITUTE(SUBSTITUTE(SUBSTITUTE(SUBSTITUTE(SUBSTITUTE(SUBSTITUTE(SUBSTITUTE(SUBSTITUTE(SUBSTITUTE(SUBSTITUTE(SUBSTITUTE(SUBSTITUTE(SUBSTITUTE(SUBSTITUTE(SUBSTITUTE(SUBSTITUTE(SUBSTITUTE(SUBSTITUTE(SUBSTITUTE(SUBSTITUTE(SUBSTITUTE(BO676,"b","a"),"c","a"),"d","a"),"e","a"),"f","a"),"g","a"),"h","a"),"i","a"),"j","a"),"k","a"),"l","a"),"m","a"),"n","a"),"o","a"),"p","a"),"q","a"),"r","a"),"s","a"),"t","a"),"u","a"),"v","a"),"w","a"),"x","a"),"y","a"),"z","a")</f>
        <v/>
      </c>
      <c r="BQ676" s="61" t="n">
        <f aca="false">IFERROR(IF(AND(ISERROR(SEARCH(" mh"," "&amp;LOWER(W676))),ISNA(MATCH(LEFT(TRIM(BP676),255),{"0000a","000a","00a","0000aa","000aa","00aa","0aa","0000aaa","000aaa","00a00","0a00","0000-0000","00:00","a00","a0","00.00.0000","00/00/0000","00-00-0000","0000-00-00","0000/00/00","0000.00.00","00.00.00","00/00/00","00-00-00","0.00.0000","0/00/0000","0-00-0000"},0)),ISNA(MATCH(LEFT(TRIM(CA676),255),{"0000a","000a","00a","0000aa","000aa","00aa","0aa","0000aaa","000aaa","00a00","0a00","0000-0000","00:00","a00","a0","00.00.0000","00/00/0000","00-00-0000","0000-00-00","0000/00/00","0000.00.00","00.00.00","00/00/00","00-00-00","0.00.0000","0/00/0000","0-00-0000"},0)),LEN(CB676)&gt;=3,NOT(OR(SUBSTITUTE(CB676,"0","")="",AND(LEN(CB676)&gt;=4,CB676=REPT(LEFT(CB676),LEN(CB676))),ISNUMBER(MATCH(CB676,{"123","1234","12345","123456","1234567","12345678","0123","01234","012345","98765","987654","54321"},0)),AND(LEN(CB676)=8,LEFT(CB676,3)="202"))),OR(AND((LEN(CA676)-LEN(SUBSTITUTE(CA676,"a","")))&gt;=1,SUMPRODUCT(--ISNUMBER(SEARCH({"a0","a-0","a_0","a/0","a.0","a#0","0a","0-a","0_a","0/a"},BP676)))&gt;0),ISNUMBER(SEARCH("000000",BP676)))),1,0),0)</f>
        <v>0</v>
      </c>
      <c r="BR676" s="61" t="n">
        <f aca="false">IFERROR(LEN(SUBSTITUTE(CC676," ",""))-SUMPRODUCT((LEN(CC676)-LEN(SUBSTITUTE(CC676," "&amp;L_Role&amp;" "," ")))/(LEN(L_Role)+1)*LEN(L_Role)),0)</f>
        <v>0</v>
      </c>
      <c r="BS676" s="61" t="n">
        <f aca="false">IFERROR(LEN(SUBSTITUTE(CD676," ",""))-SUMPRODUCT((LEN(CD676)-LEN(SUBSTITUTE(CD676," "&amp;L_Role&amp;" "," ")))/(LEN(L_Role)+1)*LEN(L_Role)),0)</f>
        <v>0</v>
      </c>
      <c r="BT6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676,"revision",""),"version",""),"jan",""),"feb",""),"mar",""),"apr",""),"may",""),"jun",""),"jul",""),"aug",""),"sep",""),"oct",""),"nov",""),"dec",""),"utc",""),"gmt",""),"myt",""),"bst",""),"rev",""),"ver",""),"b","a"),"c","a"),"d","a"),"e","a"),"f","a"),"g","a"),"h","a"),"i","a"),"j","a"),"k","a"),"l","a"),"m","a"),"n","a"),"o","a"),"p","a"),"q","a"),"r","a"),"s","a"),"t","a"),"u","a"),"v","a"),"w","a"),"x","a"),"y","a"),"z","a")</f>
        <v/>
      </c>
      <c r="BU676" s="61" t="str">
        <f aca="false">SUBSTITUTE(SUBSTITUTE(SUBSTITUTE(SUBSTITUTE(SUBSTITUTE(SUBSTITUTE(SUBSTITUTE(SUBSTITUTE(SUBSTITUTE(SUBSTITUTE(LEFT(BM676,FIND("0",BM676&amp;"0")-1),"-",""),"_",""),"/",""),".",""),"#",""),"\\",""),":","")," ",""),"(",""),")","")</f>
        <v/>
      </c>
      <c r="BV676" s="61" t="n">
        <f aca="false">0</f>
        <v>0</v>
      </c>
      <c r="BW67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676&amp;""),"a",""),"b",""),"c",""),"d",""),"e",""),"f",""),"g",""),"h",""),"i",""),"j",""),"k",""),"l",""),"m",""),"n",""),"o",""),"p",""),"q",""),"r",""),"s",""),"t",""),"u",""),"v",""),"w",""),"x",""),"y",""),"z",""),"-",""),"_",""),"/",""),".",""),"#",""),"\\",""),":","")," ",""),"(",""),")","")</f>
        <v/>
      </c>
      <c r="BX676" s="61" t="str">
        <f aca="false">SUBSTITUTE(SUBSTITUTE(SUBSTITUTE(SUBSTITUTE(SUBSTITUTE(SUBSTITUTE(SUBSTITUTE(SUBSTITUTE(SUBSTITUTE(SUBSTITUTE(SUBSTITUTE(BM676,"0",""),"-",""),"_",""),"/",""),".",""),"#",""),"\\",""),":","")," ",""),"(",""),")","")</f>
        <v/>
      </c>
      <c r="BY676" s="62" t="n">
        <f aca="false">Q676-T12EarlyH/24</f>
        <v>46323.6875</v>
      </c>
      <c r="BZ676" s="61" t="n">
        <f aca="false">IFERROR(IF(IF(TRIM(S676)="Link / file path",AND(LEN(TRIM(Z676))&gt;=5,SUMPRODUCT(--ISNUMBER(SEARCH({"http","www.","\\",":\",".pdf",".jpg",".jpeg",".png",".heic",".xls",".doc",".msg",".eml",".ppt",".txt",".zip"},Z676)))&gt;0),AND(ISERROR(FIND(" ",TRIM(Z676))),NOT(OR(SUMPRODUCT(--ISNUMBER(FIND({",",";","&amp;","+"},Z676)))&gt;0,SUMPRODUCT(--ISNUMBER(SEARCH({"0/aa","0\\aa"},BN676)))&gt;0)),NOT(SUMPRODUCT(--ISNUMBER(SEARCH({"http","www.","\\",":\",".pdf",".jpg",".jpeg",".png",".heic",".xls",".doc",".msg",".eml",".ppt",".txt",".zip"},Z676)))&gt;0),NOT(LOWER(TRIM(Z676))=LOWER(Flights!$F$25)),ISNA(MATCH(BU676,{"mh","rev","revision","ver","version","v","r","a","b","seat","tray","row","gate","bay","stand","page","pg","item","line","no","cart","galley","flight","flt","table","box","bag","oven","etd","eta","std","sta","atd","ata","qty","pax","x","time","tel","ph","mob","day","wk","week","utc","gmt","myt","lt"},0)),NOT(OR(ISNUMBER(MATCH(LEFT(BN676,255),{"0000a","000a","00a","0000aa","000aa","00aa","0aa","0000aaa","000aaa","00a00","0a00","0000-0000","00:00","a00","a0","00.00.0000","00/00/0000","00-00-0000","0000-00-00","0000/00/00","0000.00.00","00.00.00","00/00/00","00-00-00","0.00.0000","0/00/0000","0-00-0000"},0)),ISNUMBER(MATCH(LEFT(BT676,255),{"0000a","000a","00a","0000aa","000aa","00aa","0aa","0000aaa","000aaa","00a00","0a00","0000-0000","00:00","a00","a0","00.00.0000","00/00/0000","00-00-0000","0000-00-00","0000/00/00","0000.00.00","00.00.00","00/00/00","00-00-00","0.00.0000","0/00/0000","0-00-0000"},0)))),NOT(OR(AND(BW676&lt;&gt;"",SUBSTITUTE(BW676,"0","")=""),AND(LEN(BW676)&gt;=4,BW676=REPT(LEFT(BW676),LEN(BW676))),ISNUMBER(MATCH(BW676,{"123","1234","12345","123456","1234567","12345678","0123","01234","012345","98765","987654","54321"},0)),ISNUMBER(MATCH(BX676,{"x","xx","xxx","xxxx","xxxxx","abc","abcd","nil","na","nan","test","tbc","tba","tbd","dummy","sample","example","eg","zz","zzz","none","null","xyz","qwe","asd","id","ref"},0)),AND(LEN(BW676)=8,BX676="",OR(LEFT(BW676,3)="202",ISNUMBER(MATCH(RIGHT(BW676,4),{"2025","2026","2027"},0)))))),OR(AND((LEN(BT676)-LEN(SUBSTITUTE(BT676,"a","")))&gt;=1,(LEN(BN676)-LEN(SUBSTITUTE(BN676,"0","")))&gt;=2,SUMPRODUCT(--ISNUMBER(SEARCH({"a0","a-0","a_0","a/0","a.0","a#0","0a","0-a","0_a","0/a"},BN676)))&gt;0),AND((LEN(BN676)-LEN(SUBSTITUTE(BN676,"a","")))=0,(LEN(BN676)-LEN(SUBSTITUTE(BN676,"0","")))&gt;=5)))),1,0),0)</f>
        <v>0</v>
      </c>
      <c r="CA6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676,"revision",""),"version",""),"jan",""),"feb",""),"mar",""),"apr",""),"may",""),"jun",""),"jul",""),"aug",""),"sep",""),"oct",""),"nov",""),"dec",""),"utc",""),"gmt",""),"myt",""),"bst",""),"rev",""),"ver",""),"b","a"),"c","a"),"d","a"),"e","a"),"f","a"),"g","a"),"h","a"),"i","a"),"j","a"),"k","a"),"l","a"),"m","a"),"n","a"),"o","a"),"p","a"),"q","a"),"r","a"),"s","a"),"t","a"),"u","a"),"v","a"),"w","a"),"x","a"),"y","a"),"z","a")</f>
        <v/>
      </c>
      <c r="CB67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676&amp;""),"a",""),"b",""),"c",""),"d",""),"e",""),"f",""),"g",""),"h",""),"i",""),"j",""),"k",""),"l",""),"m",""),"n",""),"o",""),"p",""),"q",""),"r",""),"s",""),"t",""),"u",""),"v",""),"w",""),"x",""),"y",""),"z",""),"-",""),"_",""),"/",""),".",""),"#",""),"\\",""),":","")," ",""),"(",""),")","")</f>
        <v/>
      </c>
      <c r="CC676" s="0" t="str">
        <f aca="false">" "&amp;TRIM(SUBSTITUTE(SUBSTITUTE(SUBSTITUTE(SUBSTITUTE(SUBSTITUTE(SUBSTITUTE(SUBSTITUTE(SUBSTITUTE(SUBSTITUTE(SUBSTITUTE(SUBSTITUTE(SUBSTITUTE(SUBSTITUTE(SUBSTITUTE(SUBSTITUTE(SUBSTITUTE(SUBSTITUTE(SUBSTITUTE(SUBSTITUTE(SUBSTITUTE(SUBSTITUTE(SUBSTITUTE(SUBSTITUTE(SUBSTITUTE(LOWER(T676&amp;""),CHAR(10)," "),CHAR(13)," "),CHAR(9)," "),CHAR(160)," "),"."," "),","," "),"-"," "),"/"," "),"("," "),")"," "),":"," "),";"," "),"_"," "),"–"," "),"?"," "),"!"," "),"*"," "),"["," "),"]"," "),"'"," "),"#"," "),"+"," "),"&amp;"," "),"\"," "))&amp;" "</f>
        <v>  </v>
      </c>
      <c r="CD676" s="0" t="str">
        <f aca="false">" "&amp;TRIM(SUBSTITUTE(SUBSTITUTE(SUBSTITUTE(SUBSTITUTE(SUBSTITUTE(SUBSTITUTE(SUBSTITUTE(SUBSTITUTE(SUBSTITUTE(SUBSTITUTE(SUBSTITUTE(SUBSTITUTE(SUBSTITUTE(SUBSTITUTE(SUBSTITUTE(SUBSTITUTE(SUBSTITUTE(SUBSTITUTE(SUBSTITUTE(SUBSTITUTE(SUBSTITUTE(SUBSTITUTE(SUBSTITUTE(SUBSTITUTE(LOWER(AE676&amp;""),CHAR(10)," "),CHAR(13)," "),CHAR(9)," "),CHAR(160)," "),"."," "),","," "),"-"," "),"/"," "),"("," "),")"," "),":"," "),";"," "),"_"," "),"–"," "),"?"," "),"!"," "),"*"," "),"["," "),"]"," "),"'"," "),"#"," "),"+"," "),"&amp;"," "),"\"," "))&amp;" "</f>
        <v>  </v>
      </c>
      <c r="CE676" s="68" t="n">
        <f aca="false">IFERROR(IF(AND(LEN(AU676)&gt;0,LEN(AU676)=LEN(AX676),OR(TRIM(MID(SUBSTITUTE(TRIM(CC676)," ",REPT(" ",60)),1,60))="",ISNUMBER(SEARCH(" "&amp;TRIM(MID(SUBSTITUTE(TRIM(CC676)," ",REPT(" ",60)),1,60))&amp;" ",CD676))),OR(TRIM(MID(SUBSTITUTE(TRIM(CC676)," ",REPT(" ",60)),61,60))="",ISNUMBER(SEARCH(" "&amp;TRIM(MID(SUBSTITUTE(TRIM(CC676)," ",REPT(" ",60)),61,60))&amp;" ",CD676))),OR(TRIM(MID(SUBSTITUTE(TRIM(CC676)," ",REPT(" ",60)),121,60))="",ISNUMBER(SEARCH(" "&amp;TRIM(MID(SUBSTITUTE(TRIM(CC676)," ",REPT(" ",60)),121,60))&amp;" ",CD676)))),1,0),0)</f>
        <v>0</v>
      </c>
      <c r="CG676" s="68" t="n">
        <f aca="false">IFERROR(LEN(SUBSTITUTE(BF676," ",""))-SUMPRODUCT((LEN(BF676)-LEN(SUBSTITUTE(BF676," "&amp;L_NAFiller&amp;" "," ")))/(LEN(L_NAFiller)+1)*LEN(L_NAFiller)),0)</f>
        <v>0</v>
      </c>
    </row>
    <row r="677" customFormat="false" ht="41.25" hidden="false" customHeight="true" outlineLevel="0" collapsed="false">
      <c r="A677" s="57" t="s">
        <v>1399</v>
      </c>
      <c r="B677" s="57" t="s">
        <v>310</v>
      </c>
      <c r="C677" s="57" t="str">
        <f aca="false">Flights!$F$25</f>
        <v>MH1437</v>
      </c>
      <c r="D677" s="58" t="n">
        <f aca="false">Flights!$D$25</f>
        <v>46325</v>
      </c>
      <c r="E677" s="57" t="str">
        <f aca="false">Flights!$G$25&amp;"-"&amp;Flights!$H$25</f>
        <v>LGK-KUL</v>
      </c>
      <c r="F677" s="57" t="str">
        <f aca="false">Flights!$K$25</f>
        <v>BC</v>
      </c>
      <c r="G677" s="57" t="s">
        <v>420</v>
      </c>
      <c r="H677" s="57" t="s">
        <v>378</v>
      </c>
      <c r="I677" s="57" t="s">
        <v>379</v>
      </c>
      <c r="J677" s="57" t="s">
        <v>425</v>
      </c>
      <c r="K677" s="67" t="s">
        <v>426</v>
      </c>
      <c r="L677" s="67" t="s">
        <v>422</v>
      </c>
      <c r="M677" s="67"/>
      <c r="N677" s="67" t="s">
        <v>383</v>
      </c>
      <c r="O677" s="67" t="s">
        <v>975</v>
      </c>
      <c r="P677" s="57" t="s">
        <v>187</v>
      </c>
      <c r="Q677" s="59" t="n">
        <f aca="false">ROUND((MIN(Flights!$AE$25,Flights!$AY$25))*1440,0)/1440</f>
        <v>46324.1875</v>
      </c>
      <c r="R677" s="59" t="n">
        <f aca="false">Q677+(IF(AND(INDEX(TZ_DSTS,MATCH(P677,TZ_STN,0))&lt;&gt;"",Q677&gt;=INDEX(TZ_DSTS,MATCH(P677,TZ_STN,0)),Q677&lt;INDEX(TZ_DSTE,MATCH(P677,TZ_STN,0))),INDEX(TZ_DST,MATCH(P677,TZ_STN,0)),INDEX(TZ_STD,MATCH(P677,TZ_STN,0))))/24</f>
        <v>46324.5208333333</v>
      </c>
      <c r="S677" s="60"/>
      <c r="T677" s="60"/>
      <c r="U677" s="60"/>
      <c r="V677" s="60"/>
      <c r="W677" s="61"/>
      <c r="X677" s="60"/>
      <c r="Y677" s="60"/>
      <c r="Z677" s="60"/>
      <c r="AA677" s="60"/>
      <c r="AB677" s="60"/>
      <c r="AC677" s="60"/>
      <c r="AD677" s="66"/>
      <c r="AE677" s="60"/>
      <c r="AF677" s="61" t="str">
        <f aca="false">IF(AND(ISNUMBER(X677),ISNUMBER(Y677)),Y677-X677,"")</f>
        <v/>
      </c>
      <c r="AG677" s="62" t="str">
        <f aca="false">IF(ISNUMBER(AD677),AD677-(IF(AND(INDEX(TZ_DSTS,MATCH(P677,TZ_STN,0))&lt;&gt;"",(AD677-INDEX(TZ_STD,MATCH(P677,TZ_STN,0))/24)&gt;=INDEX(TZ_DSTS,MATCH(P677,TZ_STN,0)),(AD677-INDEX(TZ_STD,MATCH(P677,TZ_STN,0))/24)&lt;INDEX(TZ_DSTE,MATCH(P677,TZ_STN,0))),INDEX(TZ_DST,MATCH(P677,TZ_STN,0)),INDEX(TZ_STD,MATCH(P677,TZ_STN,0))))/24,"")</f>
        <v/>
      </c>
      <c r="AH677" s="65" t="str">
        <f aca="false">IFERROR(IF(N677="N/A – rule",IF(OR(TRIM(U677)="",TRIM(U677)="N/A",TRIM(U677)="Not started"),"N/A – RULE","INVALID – this check does not apply to this aircraft: clear the status (or correct the fleet on Flights)"),IF(TRIM(U677)="N/A",IF(AT677=0,"INVALID – N/A not permitted for this check",IF(AND(TRIM(AB677)&lt;&gt;"",TRIM(AB677)&lt;&gt;"Closed"),"INVALID – corrective action still open",IF(AND(NOT(OR(LEN(AZ677)&lt;15,ISNUMBER(MATCH(AZ677,L_Placeholder,0)))),BK677=0,CG677&gt;=8,NOT(OR(LEN(AU677)&lt;2,ISNUMBER(MATCH(AU677,L_Placeholder,0)))),BR677&gt;=3,NOT(OR(LEN(AX677)&lt;2,ISNUMBER(MATCH(AX677,L_Placeholder,0)))),BS677&gt;=3,TRIM(AE677)&lt;&gt;TRIM(T677),AX677&lt;&gt;AU677,CE677=0),"N/A – JUSTIFIED","INVALID – N/A needs a real, settled reason (not 'not applicable' / 'as above' / TBC), a named PIC and a different named verifier"))),IF(OR(TRIM(U677)="Pass",TRIM(U677)="Pass after CA"),IF(NOT(ISNUMBER(AD677)),"INVALID – completion time missing",IF(OR(OR(LEN(AU677)&lt;2,ISNUMBER(MATCH(AU677,L_Placeholder,0))),BR677&lt;3),"INVALID – PIC missing or not a named person (a role such as QA / CSM is not a name)",IF(OR(LEN(AV677)&lt;2,ISNUMBER(MATCH(AV677,L_Placeholder,0))),"INVALID – result / assessment missing",IF(OR(OR(LEN(AW677)&lt;3,ISNUMBER(MATCH(AW677,L_Placeholder,0))),SUMPRODUCT(--ISNUMBER(SEARCH(" "&amp;L_EvidencePhrase&amp;" ",BD677)))&gt;0,BI677=1),"INVALID – evidence missing, placeholder or not yet on file",IF(ISNA(MATCH(TRIM(S677),L_EvidenceType,0)),"INVALID – choose the evidence type from the list (column S)",IF(BL677=0,"INVALID – evidence ID must be the record's own ID only (e.g. SF-2210, IMG_2231, 1045521); a link / file name needs type 'Link / file path'",IF(OR(OR(LEN(AX677)&lt;2,ISNUMBER(MATCH(AX677,L_Placeholder,0))),BS677&lt;3),"INVALID – verifier missing or not a named person (a role such as QA / CSM is not a name)",IF(OR(AX677=AU677,CE677=1,AND(LEN(AU677)&gt;=4,ISNUMBER(SEARCH(AU677,AX677))),AND(LEN(AX677)&gt;=4,ISNUMBER(SEARCH(AX677,AU677)))),"INVALID – verifier must be a different, named person (not the PIC or a role)",IF(BH677=1,"INVALID – result not yet available (awaiting / TBC)",IF(BG677=1,"INVALID – result describes a problem: record Fail, then Pass after CA (or reword if it is not a problem)",IF(BV677=1,"INVALID – wording says not on board: an on-board confirmation needs the item loaded",IF(AND(AQ677=1,OR(OR(LEN(AY677)&lt;3,ISNUMBER(MATCH(AY677,L_Placeholder,0))),BJ677=1,BQ677=0)),"INVALID – batch ID missing, placeholder or not an ID (e.g. PASB-261008-BC-017)",IF(AND(AR677=1,OR(NOT(ISNUMBER(X677)),NOT(ISNUMBER(Y677)))),"INVALID – expected/actual qty missing",IF(AND(AR677=1,OR(X677&lt;=0,Y677&lt;0)),"INVALID – expected qty must be above 0 and actual not negative",IF(BB677&lt;&gt;"",BB677,IF(AND(AS677=1,Documents!$J$25&lt;&gt;"ON FILE"),"INVALID – GLD not on file (Documents sheet)",IF(AND(AS677=2,Documents!$O$25&lt;&gt;"ON FILE"),"INVALID – menu checklist not on file (Documents sheet)",IF(AND(AS677=3,NOT(ISNUMBER(Flights!$AX$25))),"INVALID – enter carrying flight KUL departure (Flights AX)",IF(AND(AS677=3,OR(Flights!$AZ$25&gt;Flights!$AA$25,Flights!$AX$25&lt;Flights!$AA$25-3)),"INVALID – carrying flight (Flights AX) cannot arrive before this leg's STD, or is over 3 days early",IF(AG677&gt;AsOfUTC,"INVALID – completion time is in the future",IF(AND(ISNUMBER(BY677),AG677&lt;BY677),IF(H677="Physical uplift","INVALID – before uplift window (cannot confirm loading)","INVALID – before valid window"),IF(AG677&gt;Flights!$AA$25,"INVALID – completed after departure (cannot establish readiness)",IF(AND(H677="Preparation",AG677&gt;=Flights!$AY$25+UpliftWindowH/24),"INVALID – completed after the carrying flight left KUL",IF(AND(H677="Physical uplift",AG677&gt;Q677),"INVALID – recorded after the loading flight departed",IF(AG677&gt;Q677,"COMPLETE – LATE","COMPLETE"))))))))))))))))))))))))),IF(TRIM(U677)="Fail","FAIL – DISCREPANCY",IF(AND(TRIM(U677)&lt;&gt;"",TRIM(U677)&lt;&gt;"Not started",TRIM(U677)&lt;&gt;"In progress"),"INVALID – unrecognised status (use the list)",IF(AsOfUTC&gt;Q677,"OVERDUE",IF(N677="Clarification required","OPEN – CLARIFICATION","OPEN"))))))),"INVALID – error value in an input cell")</f>
        <v>OPEN</v>
      </c>
      <c r="AI677" s="61" t="n">
        <f aca="false">IF(OR(AH677="N/A – RULE",AH677="N/A – JUSTIFIED"),0,1)</f>
        <v>1</v>
      </c>
      <c r="AJ677" s="61" t="n">
        <f aca="false">IF(LEFT(AH677,8)="COMPLETE",1,0)</f>
        <v>0</v>
      </c>
      <c r="AK677" s="61" t="n">
        <f aca="false">IF(AND(AI677=1,AJ677=0,AsOfUTC&gt;Q677),1,0)</f>
        <v>0</v>
      </c>
      <c r="AL677" s="61" t="n">
        <f aca="false">IFERROR(IF(AND(AI677=1,OR(TRIM(U677)="Fail",AND(TRIM(AB677)&lt;&gt;"",TRIM(AB677)&lt;&gt;"Closed"),AND(ISNUMBER(AF677),AF677&lt;&gt;0,TRIM(U677)&lt;&gt;"Pass after CA"))),1,0),1)</f>
        <v>0</v>
      </c>
      <c r="AM677" s="61" t="n">
        <f aca="false">IF(LEFT(AH677,7)="INVALID",1,0)</f>
        <v>0</v>
      </c>
      <c r="AN677" s="61" t="n">
        <f aca="false">IF(AND(N677="Clarification required",AI677=1,AJ677=0),1,0)</f>
        <v>0</v>
      </c>
      <c r="AO677" s="61" t="str">
        <f aca="false">IF(AK677=1,SUM(AK$5:AK677),"")</f>
        <v/>
      </c>
      <c r="AP677" s="61" t="str">
        <f aca="false">IF(AL677=1,SUM(AL$5:AL677),"")</f>
        <v/>
      </c>
      <c r="AQ677" s="61" t="n">
        <v>0</v>
      </c>
      <c r="AR677" s="61" t="n">
        <v>1</v>
      </c>
      <c r="AS677" s="61" t="n">
        <v>0</v>
      </c>
      <c r="AT677" s="61" t="n">
        <v>0</v>
      </c>
      <c r="AU677" s="61" t="str">
        <f aca="false">SUBSTITUTE(SUBSTITUTE(SUBSTITUTE(SUBSTITUTE(SUBSTITUTE(SUBSTITUTE(SUBSTITUTE(SUBSTITUTE(SUBSTITUTE(SUBSTITUTE(SUBSTITUTE(SUBSTITUTE(SUBSTITUTE(SUBSTITUTE(SUBSTITUTE(SUBSTITUTE(LOWER(T677&amp;""),CHAR(10),""),CHAR(13),""),CHAR(9),""),CHAR(160),"")," ",""),".",""),"-",""),"/",""),"?",""),"_",""),",",""),"[",""),"]",""),"(",""),")",""),"*","")</f>
        <v/>
      </c>
      <c r="AV677" s="61" t="str">
        <f aca="false">SUBSTITUTE(SUBSTITUTE(SUBSTITUTE(SUBSTITUTE(SUBSTITUTE(SUBSTITUTE(SUBSTITUTE(SUBSTITUTE(SUBSTITUTE(SUBSTITUTE(SUBSTITUTE(SUBSTITUTE(SUBSTITUTE(SUBSTITUTE(SUBSTITUTE(SUBSTITUTE(LOWER(V677&amp;""),CHAR(10),""),CHAR(13),""),CHAR(9),""),CHAR(160),"")," ",""),".",""),"-",""),"/",""),"?",""),"_",""),",",""),"[",""),"]",""),"(",""),")",""),"*","")</f>
        <v/>
      </c>
      <c r="AW677" s="61" t="str">
        <f aca="false">SUBSTITUTE(SUBSTITUTE(SUBSTITUTE(SUBSTITUTE(SUBSTITUTE(SUBSTITUTE(SUBSTITUTE(SUBSTITUTE(SUBSTITUTE(SUBSTITUTE(SUBSTITUTE(SUBSTITUTE(SUBSTITUTE(SUBSTITUTE(SUBSTITUTE(SUBSTITUTE(LOWER(Z677&amp;""),CHAR(10),""),CHAR(13),""),CHAR(9),""),CHAR(160),"")," ",""),".",""),"-",""),"/",""),"?",""),"_",""),",",""),"[",""),"]",""),"(",""),")",""),"*","")</f>
        <v/>
      </c>
      <c r="AX677" s="61" t="str">
        <f aca="false">SUBSTITUTE(SUBSTITUTE(SUBSTITUTE(SUBSTITUTE(SUBSTITUTE(SUBSTITUTE(SUBSTITUTE(SUBSTITUTE(SUBSTITUTE(SUBSTITUTE(SUBSTITUTE(SUBSTITUTE(SUBSTITUTE(SUBSTITUTE(SUBSTITUTE(SUBSTITUTE(LOWER(AE677&amp;""),CHAR(10),""),CHAR(13),""),CHAR(9),""),CHAR(160),"")," ",""),".",""),"-",""),"/",""),"?",""),"_",""),",",""),"[",""),"]",""),"(",""),")",""),"*","")</f>
        <v/>
      </c>
      <c r="AY677" s="61" t="str">
        <f aca="false">SUBSTITUTE(SUBSTITUTE(SUBSTITUTE(SUBSTITUTE(SUBSTITUTE(SUBSTITUTE(SUBSTITUTE(SUBSTITUTE(SUBSTITUTE(SUBSTITUTE(SUBSTITUTE(SUBSTITUTE(SUBSTITUTE(SUBSTITUTE(SUBSTITUTE(SUBSTITUTE(LOWER(W677&amp;""),CHAR(10),""),CHAR(13),""),CHAR(9),""),CHAR(160),"")," ",""),".",""),"-",""),"/",""),"?",""),"_",""),",",""),"[",""),"]",""),"(",""),")",""),"*","")</f>
        <v/>
      </c>
      <c r="AZ677" s="61" t="str">
        <f aca="false">SUBSTITUTE(SUBSTITUTE(SUBSTITUTE(SUBSTITUTE(SUBSTITUTE(SUBSTITUTE(SUBSTITUTE(SUBSTITUTE(SUBSTITUTE(SUBSTITUTE(SUBSTITUTE(SUBSTITUTE(SUBSTITUTE(SUBSTITUTE(SUBSTITUTE(SUBSTITUTE(LOWER(AC677&amp;""),CHAR(10),""),CHAR(13),""),CHAR(9),""),CHAR(160),"")," ",""),".",""),"-",""),"/",""),"?",""),"_",""),",",""),"[",""),"]",""),"(",""),")",""),"*","")</f>
        <v/>
      </c>
      <c r="BA677" s="61" t="str">
        <f aca="false">SUBSTITUTE(SUBSTITUTE(SUBSTITUTE(SUBSTITUTE(SUBSTITUTE(SUBSTITUTE(SUBSTITUTE(SUBSTITUTE(SUBSTITUTE(SUBSTITUTE(SUBSTITUTE(SUBSTITUTE(SUBSTITUTE(SUBSTITUTE(SUBSTITUTE(SUBSTITUTE(LOWER(AA677&amp;""),CHAR(10),""),CHAR(13),""),CHAR(9),""),CHAR(160),"")," ",""),".",""),"-",""),"/",""),"?",""),"_",""),",",""),"[",""),"]",""),"(",""),")",""),"*","")</f>
        <v/>
      </c>
      <c r="BB677" s="61" t="str">
        <f aca="false">IF(AND(TRIM(U677)="Pass",ISNUMBER(AF677)),IF(AF677&lt;&gt;0,"INVALID – qty variance: use Fail or Pass after CA",""),"")&amp;IF(AND(TRIM(U677)="Pass after CA",ISNUMBER(AF677)),IF(AF677&lt;&gt;0,"INVALID – after the corrective action the actual qty must equal expected (update Actual)",""),"")&amp;IF(AND(TRIM(U677)="Pass",TRIM(AB677)&lt;&gt;"",TRIM(AB677)&lt;&gt;"Closed"),"INVALID – corrective action not closed: use Fail, then Pass after CA","")&amp;IF(AND(LEN(BA677)&gt;=2,ISNA(MATCH(LEFT(BA677,255),L_Placeholder,0)),TRIM(AB677)=""),"INVALID – CA status missing for the recorded corrective action","")&amp;IF(AND(TRIM(U677)="Pass after CA",OR(OR(LEN(BA677)&lt;5,ISNUMBER(MATCH(BA677,L_Placeholder,0))),TRIM(AB677)&lt;&gt;"Closed")),"INVALID – corrective action not recorded/closed","")</f>
        <v/>
      </c>
      <c r="BC677" s="61" t="str">
        <f aca="false">" "&amp;TRIM(SUBSTITUTE(SUBSTITUTE(SUBSTITUTE(SUBSTITUTE(SUBSTITUTE(SUBSTITUTE(SUBSTITUTE(SUBSTITUTE(SUBSTITUTE(SUBSTITUTE(SUBSTITUTE(SUBSTITUTE(SUBSTITUTE(SUBSTITUTE(SUBSTITUTE(SUBSTITUTE(SUBSTITUTE(SUBSTITUTE(SUBSTITUTE(SUBSTITUTE(SUBSTITUTE(SUBSTITUTE(SUBSTITUTE(SUBSTITUTE(LOWER(V677&amp;""),CHAR(10)," "),CHAR(13)," "),CHAR(9)," "),CHAR(160)," "),"."," "),","," "),"-"," "),"/"," "),"("," "),")"," "),":"," "),";"," "),"_"," "),"–"," "),"?"," "),"!"," "),"*"," "),"["," "),"]"," "),"'"," "),"#"," "),"+"," "),"&amp;"," "),"\"," "))&amp;" "</f>
        <v>  </v>
      </c>
      <c r="BD677" s="61" t="str">
        <f aca="false">" "&amp;TRIM(SUBSTITUTE(SUBSTITUTE(SUBSTITUTE(SUBSTITUTE(SUBSTITUTE(SUBSTITUTE(SUBSTITUTE(SUBSTITUTE(SUBSTITUTE(SUBSTITUTE(SUBSTITUTE(SUBSTITUTE(SUBSTITUTE(SUBSTITUTE(SUBSTITUTE(SUBSTITUTE(SUBSTITUTE(SUBSTITUTE(SUBSTITUTE(SUBSTITUTE(SUBSTITUTE(SUBSTITUTE(SUBSTITUTE(SUBSTITUTE(LOWER(Z677&amp;""),CHAR(10)," "),CHAR(13)," "),CHAR(9)," "),CHAR(160)," "),"."," "),","," "),"-"," "),"/"," "),"("," "),")"," "),":"," "),";"," "),"_"," "),"–"," "),"?"," "),"!"," "),"*"," "),"["," "),"]"," "),"'"," "),"#"," "),"+"," "),"&amp;"," "),"\"," "))&amp;" "</f>
        <v>  </v>
      </c>
      <c r="BE677" s="61" t="str">
        <f aca="false">" "&amp;TRIM(SUBSTITUTE(SUBSTITUTE(SUBSTITUTE(SUBSTITUTE(SUBSTITUTE(SUBSTITUTE(SUBSTITUTE(SUBSTITUTE(SUBSTITUTE(SUBSTITUTE(SUBSTITUTE(SUBSTITUTE(SUBSTITUTE(SUBSTITUTE(SUBSTITUTE(SUBSTITUTE(SUBSTITUTE(SUBSTITUTE(SUBSTITUTE(SUBSTITUTE(SUBSTITUTE(SUBSTITUTE(SUBSTITUTE(SUBSTITUTE(LOWER(W677&amp;""),CHAR(10)," "),CHAR(13)," "),CHAR(9)," "),CHAR(160)," "),"."," "),","," "),"-"," "),"/"," "),"("," "),")"," "),":"," "),";"," "),"_"," "),"–"," "),"?"," "),"!"," "),"*"," "),"["," "),"]"," "),"'"," "),"#"," "),"+"," "),"&amp;"," "),"\"," "))&amp;" "</f>
        <v>  </v>
      </c>
      <c r="BF677" s="61" t="str">
        <f aca="false">" "&amp;TRIM(SUBSTITUTE(SUBSTITUTE(SUBSTITUTE(SUBSTITUTE(SUBSTITUTE(SUBSTITUTE(SUBSTITUTE(SUBSTITUTE(SUBSTITUTE(SUBSTITUTE(SUBSTITUTE(SUBSTITUTE(SUBSTITUTE(SUBSTITUTE(SUBSTITUTE(SUBSTITUTE(SUBSTITUTE(SUBSTITUTE(SUBSTITUTE(SUBSTITUTE(SUBSTITUTE(SUBSTITUTE(SUBSTITUTE(SUBSTITUTE(LOWER(AC677&amp;""),CHAR(10)," "),CHAR(13)," "),CHAR(9)," "),CHAR(160)," "),"."," "),","," "),"-"," "),"/"," "),"("," "),")"," "),":"," "),";"," "),"_"," "),"–"," "),"?"," "),"!"," "),"*"," "),"["," "),"]"," "),"'"," "),"#"," "),"+"," "),"&amp;"," "),"\"," "))&amp;" "</f>
        <v>  </v>
      </c>
      <c r="BG677" s="61" t="n">
        <f aca="false">IFERROR(IF(AND(TRIM(U677)="Pass",SUMPRODUCT((LEN(BC677)-LEN(SUBSTITUTE(BC677," "&amp;L_ResultBad&amp;" "," ")))/(LEN(L_ResultBad)+1))&gt;SUMPRODUCT((LEN(BC677)-LEN(SUBSTITUTE(BC677," "&amp;L_NegPhrase&amp;" "," ")))/(LEN(L_NegPhrase)+1))),1,0),0)</f>
        <v>0</v>
      </c>
      <c r="BH677" s="61" t="n">
        <f aca="false">IFERROR(IF(SUMPRODUCT((LEN(BC677)-LEN(SUBSTITUTE(BC677," "&amp;L_Pending&amp;" "," ")))/(LEN(L_Pending)+1))&gt;SUMPRODUCT((LEN(BC677)-LEN(SUBSTITUTE(BC677," "&amp;L_PendNeg&amp;" "," ")))/(LEN(L_PendNeg)+1))+SUMPRODUCT((LEN(BC677)-LEN(SUBSTITUTE(BC677," "&amp;L_PendPrep&amp;" "," ")))/(LEN(L_PendPrep)+1)),1,0),1)</f>
        <v>0</v>
      </c>
      <c r="BI677" s="61" t="n">
        <f aca="false">IFERROR(IF(SUMPRODUCT((LEN(BD677)-LEN(SUBSTITUTE(BD677," "&amp;L_PendStrict&amp;" "," ")))/(LEN(L_PendStrict)+1))&gt;SUMPRODUCT((LEN(BD677)-LEN(SUBSTITUTE(BD677," "&amp;L_PendNeg&amp;" "," ")))/(LEN(L_PendNeg)+1)),1,0),1)</f>
        <v>0</v>
      </c>
      <c r="BJ677" s="61" t="n">
        <f aca="false">IFERROR(IF(SUMPRODUCT((LEN(BE677)-LEN(SUBSTITUTE(BE677," "&amp;L_Pending&amp;" "," ")))/(LEN(L_Pending)+1))&gt;SUMPRODUCT((LEN(BE677)-LEN(SUBSTITUTE(BE677," "&amp;L_PendNeg&amp;" "," ")))/(LEN(L_PendNeg)+1))+SUMPRODUCT((LEN(BE677)-LEN(SUBSTITUTE(BE677," "&amp;L_PendPrep&amp;" "," ")))/(LEN(L_PendPrep)+1)),1,0),1)</f>
        <v>0</v>
      </c>
      <c r="BK677" s="61" t="n">
        <f aca="false">IFERROR(IF(SUMPRODUCT((LEN(BF677)-LEN(SUBSTITUTE(BF677," "&amp;L_PendStrict&amp;" "," ")))/(LEN(L_PendStrict)+1))&gt;SUMPRODUCT((LEN(BF677)-LEN(SUBSTITUTE(BF677," "&amp;L_PendNeg&amp;" "," ")))/(LEN(L_PendNeg)+1)),1,0),1)</f>
        <v>0</v>
      </c>
      <c r="BL677" s="61" t="n">
        <f aca="false">IF(ISNA(MATCH(TRIM(S677),L_EvidenceType,0)),0,BZ677)</f>
        <v>0</v>
      </c>
      <c r="BM677" s="61" t="str">
        <f aca="false">SUBSTITUTE(SUBSTITUTE(SUBSTITUTE(SUBSTITUTE(SUBSTITUTE(SUBSTITUTE(SUBSTITUTE(SUBSTITUTE(SUBSTITUTE(LOWER(Z677&amp;""),"1","0"),"2","0"),"3","0"),"4","0"),"5","0"),"6","0"),"7","0"),"8","0"),"9","0")</f>
        <v/>
      </c>
      <c r="BN677" s="61" t="str">
        <f aca="false">SUBSTITUTE(SUBSTITUTE(SUBSTITUTE(SUBSTITUTE(SUBSTITUTE(SUBSTITUTE(SUBSTITUTE(SUBSTITUTE(SUBSTITUTE(SUBSTITUTE(SUBSTITUTE(SUBSTITUTE(SUBSTITUTE(SUBSTITUTE(SUBSTITUTE(SUBSTITUTE(SUBSTITUTE(SUBSTITUTE(SUBSTITUTE(SUBSTITUTE(SUBSTITUTE(SUBSTITUTE(SUBSTITUTE(SUBSTITUTE(SUBSTITUTE(BM677,"b","a"),"c","a"),"d","a"),"e","a"),"f","a"),"g","a"),"h","a"),"i","a"),"j","a"),"k","a"),"l","a"),"m","a"),"n","a"),"o","a"),"p","a"),"q","a"),"r","a"),"s","a"),"t","a"),"u","a"),"v","a"),"w","a"),"x","a"),"y","a"),"z","a")</f>
        <v/>
      </c>
      <c r="BO677" s="61" t="str">
        <f aca="false">SUBSTITUTE(SUBSTITUTE(SUBSTITUTE(SUBSTITUTE(SUBSTITUTE(SUBSTITUTE(SUBSTITUTE(SUBSTITUTE(SUBSTITUTE(LOWER(W677&amp;""),"1","0"),"2","0"),"3","0"),"4","0"),"5","0"),"6","0"),"7","0"),"8","0"),"9","0")</f>
        <v/>
      </c>
      <c r="BP677" s="61" t="str">
        <f aca="false">SUBSTITUTE(SUBSTITUTE(SUBSTITUTE(SUBSTITUTE(SUBSTITUTE(SUBSTITUTE(SUBSTITUTE(SUBSTITUTE(SUBSTITUTE(SUBSTITUTE(SUBSTITUTE(SUBSTITUTE(SUBSTITUTE(SUBSTITUTE(SUBSTITUTE(SUBSTITUTE(SUBSTITUTE(SUBSTITUTE(SUBSTITUTE(SUBSTITUTE(SUBSTITUTE(SUBSTITUTE(SUBSTITUTE(SUBSTITUTE(SUBSTITUTE(BO677,"b","a"),"c","a"),"d","a"),"e","a"),"f","a"),"g","a"),"h","a"),"i","a"),"j","a"),"k","a"),"l","a"),"m","a"),"n","a"),"o","a"),"p","a"),"q","a"),"r","a"),"s","a"),"t","a"),"u","a"),"v","a"),"w","a"),"x","a"),"y","a"),"z","a")</f>
        <v/>
      </c>
      <c r="BQ677" s="61" t="n">
        <f aca="false">IFERROR(IF(AND(ISERROR(SEARCH(" mh"," "&amp;LOWER(W677))),ISNA(MATCH(LEFT(TRIM(BP677),255),{"0000a","000a","00a","0000aa","000aa","00aa","0aa","0000aaa","000aaa","00a00","0a00","0000-0000","00:00","a00","a0","00.00.0000","00/00/0000","00-00-0000","0000-00-00","0000/00/00","0000.00.00","00.00.00","00/00/00","00-00-00","0.00.0000","0/00/0000","0-00-0000"},0)),ISNA(MATCH(LEFT(TRIM(CA677),255),{"0000a","000a","00a","0000aa","000aa","00aa","0aa","0000aaa","000aaa","00a00","0a00","0000-0000","00:00","a00","a0","00.00.0000","00/00/0000","00-00-0000","0000-00-00","0000/00/00","0000.00.00","00.00.00","00/00/00","00-00-00","0.00.0000","0/00/0000","0-00-0000"},0)),LEN(CB677)&gt;=3,NOT(OR(SUBSTITUTE(CB677,"0","")="",AND(LEN(CB677)&gt;=4,CB677=REPT(LEFT(CB677),LEN(CB677))),ISNUMBER(MATCH(CB677,{"123","1234","12345","123456","1234567","12345678","0123","01234","012345","98765","987654","54321"},0)),AND(LEN(CB677)=8,LEFT(CB677,3)="202"))),OR(AND((LEN(CA677)-LEN(SUBSTITUTE(CA677,"a","")))&gt;=1,SUMPRODUCT(--ISNUMBER(SEARCH({"a0","a-0","a_0","a/0","a.0","a#0","0a","0-a","0_a","0/a"},BP677)))&gt;0),ISNUMBER(SEARCH("000000",BP677)))),1,0),0)</f>
        <v>0</v>
      </c>
      <c r="BR677" s="61" t="n">
        <f aca="false">IFERROR(LEN(SUBSTITUTE(CC677," ",""))-SUMPRODUCT((LEN(CC677)-LEN(SUBSTITUTE(CC677," "&amp;L_Role&amp;" "," ")))/(LEN(L_Role)+1)*LEN(L_Role)),0)</f>
        <v>0</v>
      </c>
      <c r="BS677" s="61" t="n">
        <f aca="false">IFERROR(LEN(SUBSTITUTE(CD677," ",""))-SUMPRODUCT((LEN(CD677)-LEN(SUBSTITUTE(CD677," "&amp;L_Role&amp;" "," ")))/(LEN(L_Role)+1)*LEN(L_Role)),0)</f>
        <v>0</v>
      </c>
      <c r="BT6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677,"revision",""),"version",""),"jan",""),"feb",""),"mar",""),"apr",""),"may",""),"jun",""),"jul",""),"aug",""),"sep",""),"oct",""),"nov",""),"dec",""),"utc",""),"gmt",""),"myt",""),"bst",""),"rev",""),"ver",""),"b","a"),"c","a"),"d","a"),"e","a"),"f","a"),"g","a"),"h","a"),"i","a"),"j","a"),"k","a"),"l","a"),"m","a"),"n","a"),"o","a"),"p","a"),"q","a"),"r","a"),"s","a"),"t","a"),"u","a"),"v","a"),"w","a"),"x","a"),"y","a"),"z","a")</f>
        <v/>
      </c>
      <c r="BU677" s="61" t="str">
        <f aca="false">SUBSTITUTE(SUBSTITUTE(SUBSTITUTE(SUBSTITUTE(SUBSTITUTE(SUBSTITUTE(SUBSTITUTE(SUBSTITUTE(SUBSTITUTE(SUBSTITUTE(LEFT(BM677,FIND("0",BM677&amp;"0")-1),"-",""),"_",""),"/",""),".",""),"#",""),"\\",""),":","")," ",""),"(",""),")","")</f>
        <v/>
      </c>
      <c r="BV677" s="61" t="n">
        <f aca="false">0</f>
        <v>0</v>
      </c>
      <c r="BW67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677&amp;""),"a",""),"b",""),"c",""),"d",""),"e",""),"f",""),"g",""),"h",""),"i",""),"j",""),"k",""),"l",""),"m",""),"n",""),"o",""),"p",""),"q",""),"r",""),"s",""),"t",""),"u",""),"v",""),"w",""),"x",""),"y",""),"z",""),"-",""),"_",""),"/",""),".",""),"#",""),"\\",""),":","")," ",""),"(",""),")","")</f>
        <v/>
      </c>
      <c r="BX677" s="61" t="str">
        <f aca="false">SUBSTITUTE(SUBSTITUTE(SUBSTITUTE(SUBSTITUTE(SUBSTITUTE(SUBSTITUTE(SUBSTITUTE(SUBSTITUTE(SUBSTITUTE(SUBSTITUTE(SUBSTITUTE(BM677,"0",""),"-",""),"_",""),"/",""),".",""),"#",""),"\\",""),":","")," ",""),"(",""),")","")</f>
        <v/>
      </c>
      <c r="BY677" s="62" t="n">
        <f aca="false">Q677-T12EarlyH/24</f>
        <v>46323.6875</v>
      </c>
      <c r="BZ677" s="61" t="n">
        <f aca="false">IFERROR(IF(IF(TRIM(S677)="Link / file path",AND(LEN(TRIM(Z677))&gt;=5,SUMPRODUCT(--ISNUMBER(SEARCH({"http","www.","\\",":\",".pdf",".jpg",".jpeg",".png",".heic",".xls",".doc",".msg",".eml",".ppt",".txt",".zip"},Z677)))&gt;0),AND(ISERROR(FIND(" ",TRIM(Z677))),NOT(OR(SUMPRODUCT(--ISNUMBER(FIND({",",";","&amp;","+"},Z677)))&gt;0,SUMPRODUCT(--ISNUMBER(SEARCH({"0/aa","0\\aa"},BN677)))&gt;0)),NOT(SUMPRODUCT(--ISNUMBER(SEARCH({"http","www.","\\",":\",".pdf",".jpg",".jpeg",".png",".heic",".xls",".doc",".msg",".eml",".ppt",".txt",".zip"},Z677)))&gt;0),NOT(LOWER(TRIM(Z677))=LOWER(Flights!$F$25)),ISNA(MATCH(BU677,{"mh","rev","revision","ver","version","v","r","a","b","seat","tray","row","gate","bay","stand","page","pg","item","line","no","cart","galley","flight","flt","table","box","bag","oven","etd","eta","std","sta","atd","ata","qty","pax","x","time","tel","ph","mob","day","wk","week","utc","gmt","myt","lt"},0)),NOT(OR(ISNUMBER(MATCH(LEFT(BN677,255),{"0000a","000a","00a","0000aa","000aa","00aa","0aa","0000aaa","000aaa","00a00","0a00","0000-0000","00:00","a00","a0","00.00.0000","00/00/0000","00-00-0000","0000-00-00","0000/00/00","0000.00.00","00.00.00","00/00/00","00-00-00","0.00.0000","0/00/0000","0-00-0000"},0)),ISNUMBER(MATCH(LEFT(BT677,255),{"0000a","000a","00a","0000aa","000aa","00aa","0aa","0000aaa","000aaa","00a00","0a00","0000-0000","00:00","a00","a0","00.00.0000","00/00/0000","00-00-0000","0000-00-00","0000/00/00","0000.00.00","00.00.00","00/00/00","00-00-00","0.00.0000","0/00/0000","0-00-0000"},0)))),NOT(OR(AND(BW677&lt;&gt;"",SUBSTITUTE(BW677,"0","")=""),AND(LEN(BW677)&gt;=4,BW677=REPT(LEFT(BW677),LEN(BW677))),ISNUMBER(MATCH(BW677,{"123","1234","12345","123456","1234567","12345678","0123","01234","012345","98765","987654","54321"},0)),ISNUMBER(MATCH(BX677,{"x","xx","xxx","xxxx","xxxxx","abc","abcd","nil","na","nan","test","tbc","tba","tbd","dummy","sample","example","eg","zz","zzz","none","null","xyz","qwe","asd","id","ref"},0)),AND(LEN(BW677)=8,BX677="",OR(LEFT(BW677,3)="202",ISNUMBER(MATCH(RIGHT(BW677,4),{"2025","2026","2027"},0)))))),OR(AND((LEN(BT677)-LEN(SUBSTITUTE(BT677,"a","")))&gt;=1,(LEN(BN677)-LEN(SUBSTITUTE(BN677,"0","")))&gt;=2,SUMPRODUCT(--ISNUMBER(SEARCH({"a0","a-0","a_0","a/0","a.0","a#0","0a","0-a","0_a","0/a"},BN677)))&gt;0),AND((LEN(BN677)-LEN(SUBSTITUTE(BN677,"a","")))=0,(LEN(BN677)-LEN(SUBSTITUTE(BN677,"0","")))&gt;=5)))),1,0),0)</f>
        <v>0</v>
      </c>
      <c r="CA6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677,"revision",""),"version",""),"jan",""),"feb",""),"mar",""),"apr",""),"may",""),"jun",""),"jul",""),"aug",""),"sep",""),"oct",""),"nov",""),"dec",""),"utc",""),"gmt",""),"myt",""),"bst",""),"rev",""),"ver",""),"b","a"),"c","a"),"d","a"),"e","a"),"f","a"),"g","a"),"h","a"),"i","a"),"j","a"),"k","a"),"l","a"),"m","a"),"n","a"),"o","a"),"p","a"),"q","a"),"r","a"),"s","a"),"t","a"),"u","a"),"v","a"),"w","a"),"x","a"),"y","a"),"z","a")</f>
        <v/>
      </c>
      <c r="CB67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677&amp;""),"a",""),"b",""),"c",""),"d",""),"e",""),"f",""),"g",""),"h",""),"i",""),"j",""),"k",""),"l",""),"m",""),"n",""),"o",""),"p",""),"q",""),"r",""),"s",""),"t",""),"u",""),"v",""),"w",""),"x",""),"y",""),"z",""),"-",""),"_",""),"/",""),".",""),"#",""),"\\",""),":","")," ",""),"(",""),")","")</f>
        <v/>
      </c>
      <c r="CC677" s="0" t="str">
        <f aca="false">" "&amp;TRIM(SUBSTITUTE(SUBSTITUTE(SUBSTITUTE(SUBSTITUTE(SUBSTITUTE(SUBSTITUTE(SUBSTITUTE(SUBSTITUTE(SUBSTITUTE(SUBSTITUTE(SUBSTITUTE(SUBSTITUTE(SUBSTITUTE(SUBSTITUTE(SUBSTITUTE(SUBSTITUTE(SUBSTITUTE(SUBSTITUTE(SUBSTITUTE(SUBSTITUTE(SUBSTITUTE(SUBSTITUTE(SUBSTITUTE(SUBSTITUTE(LOWER(T677&amp;""),CHAR(10)," "),CHAR(13)," "),CHAR(9)," "),CHAR(160)," "),"."," "),","," "),"-"," "),"/"," "),"("," "),")"," "),":"," "),";"," "),"_"," "),"–"," "),"?"," "),"!"," "),"*"," "),"["," "),"]"," "),"'"," "),"#"," "),"+"," "),"&amp;"," "),"\"," "))&amp;" "</f>
        <v>  </v>
      </c>
      <c r="CD677" s="0" t="str">
        <f aca="false">" "&amp;TRIM(SUBSTITUTE(SUBSTITUTE(SUBSTITUTE(SUBSTITUTE(SUBSTITUTE(SUBSTITUTE(SUBSTITUTE(SUBSTITUTE(SUBSTITUTE(SUBSTITUTE(SUBSTITUTE(SUBSTITUTE(SUBSTITUTE(SUBSTITUTE(SUBSTITUTE(SUBSTITUTE(SUBSTITUTE(SUBSTITUTE(SUBSTITUTE(SUBSTITUTE(SUBSTITUTE(SUBSTITUTE(SUBSTITUTE(SUBSTITUTE(LOWER(AE677&amp;""),CHAR(10)," "),CHAR(13)," "),CHAR(9)," "),CHAR(160)," "),"."," "),","," "),"-"," "),"/"," "),"("," "),")"," "),":"," "),";"," "),"_"," "),"–"," "),"?"," "),"!"," "),"*"," "),"["," "),"]"," "),"'"," "),"#"," "),"+"," "),"&amp;"," "),"\"," "))&amp;" "</f>
        <v>  </v>
      </c>
      <c r="CE677" s="68" t="n">
        <f aca="false">IFERROR(IF(AND(LEN(AU677)&gt;0,LEN(AU677)=LEN(AX677),OR(TRIM(MID(SUBSTITUTE(TRIM(CC677)," ",REPT(" ",60)),1,60))="",ISNUMBER(SEARCH(" "&amp;TRIM(MID(SUBSTITUTE(TRIM(CC677)," ",REPT(" ",60)),1,60))&amp;" ",CD677))),OR(TRIM(MID(SUBSTITUTE(TRIM(CC677)," ",REPT(" ",60)),61,60))="",ISNUMBER(SEARCH(" "&amp;TRIM(MID(SUBSTITUTE(TRIM(CC677)," ",REPT(" ",60)),61,60))&amp;" ",CD677))),OR(TRIM(MID(SUBSTITUTE(TRIM(CC677)," ",REPT(" ",60)),121,60))="",ISNUMBER(SEARCH(" "&amp;TRIM(MID(SUBSTITUTE(TRIM(CC677)," ",REPT(" ",60)),121,60))&amp;" ",CD677)))),1,0),0)</f>
        <v>0</v>
      </c>
      <c r="CG677" s="68" t="n">
        <f aca="false">IFERROR(LEN(SUBSTITUTE(BF677," ",""))-SUMPRODUCT((LEN(BF677)-LEN(SUBSTITUTE(BF677," "&amp;L_NAFiller&amp;" "," ")))/(LEN(L_NAFiller)+1)*LEN(L_NAFiller)),0)</f>
        <v>0</v>
      </c>
    </row>
    <row r="678" customFormat="false" ht="41.25" hidden="false" customHeight="true" outlineLevel="0" collapsed="false">
      <c r="A678" s="57" t="s">
        <v>1400</v>
      </c>
      <c r="B678" s="57" t="s">
        <v>310</v>
      </c>
      <c r="C678" s="57" t="str">
        <f aca="false">Flights!$F$25</f>
        <v>MH1437</v>
      </c>
      <c r="D678" s="58" t="n">
        <f aca="false">Flights!$D$25</f>
        <v>46325</v>
      </c>
      <c r="E678" s="57" t="str">
        <f aca="false">Flights!$G$25&amp;"-"&amp;Flights!$H$25</f>
        <v>LGK-KUL</v>
      </c>
      <c r="F678" s="57" t="str">
        <f aca="false">Flights!$K$25</f>
        <v>BC</v>
      </c>
      <c r="G678" s="57" t="s">
        <v>420</v>
      </c>
      <c r="H678" s="57" t="s">
        <v>378</v>
      </c>
      <c r="I678" s="57" t="s">
        <v>428</v>
      </c>
      <c r="J678" s="57" t="s">
        <v>429</v>
      </c>
      <c r="K678" s="67"/>
      <c r="L678" s="67" t="s">
        <v>422</v>
      </c>
      <c r="M678" s="67"/>
      <c r="N678" s="67" t="s">
        <v>383</v>
      </c>
      <c r="O678" s="67" t="s">
        <v>975</v>
      </c>
      <c r="P678" s="57" t="s">
        <v>187</v>
      </c>
      <c r="Q678" s="59" t="n">
        <f aca="false">ROUND((MIN(Flights!$AE$25,Flights!$AY$25))*1440,0)/1440</f>
        <v>46324.1875</v>
      </c>
      <c r="R678" s="59" t="n">
        <f aca="false">Q678+(IF(AND(INDEX(TZ_DSTS,MATCH(P678,TZ_STN,0))&lt;&gt;"",Q678&gt;=INDEX(TZ_DSTS,MATCH(P678,TZ_STN,0)),Q678&lt;INDEX(TZ_DSTE,MATCH(P678,TZ_STN,0))),INDEX(TZ_DST,MATCH(P678,TZ_STN,0)),INDEX(TZ_STD,MATCH(P678,TZ_STN,0))))/24</f>
        <v>46324.5208333333</v>
      </c>
      <c r="S678" s="60"/>
      <c r="T678" s="60"/>
      <c r="U678" s="60"/>
      <c r="V678" s="60"/>
      <c r="W678" s="61"/>
      <c r="X678" s="60"/>
      <c r="Y678" s="60"/>
      <c r="Z678" s="60"/>
      <c r="AA678" s="60"/>
      <c r="AB678" s="60"/>
      <c r="AC678" s="60"/>
      <c r="AD678" s="66"/>
      <c r="AE678" s="60"/>
      <c r="AF678" s="61" t="str">
        <f aca="false">IF(AND(ISNUMBER(X678),ISNUMBER(Y678)),Y678-X678,"")</f>
        <v/>
      </c>
      <c r="AG678" s="62" t="str">
        <f aca="false">IF(ISNUMBER(AD678),AD678-(IF(AND(INDEX(TZ_DSTS,MATCH(P678,TZ_STN,0))&lt;&gt;"",(AD678-INDEX(TZ_STD,MATCH(P678,TZ_STN,0))/24)&gt;=INDEX(TZ_DSTS,MATCH(P678,TZ_STN,0)),(AD678-INDEX(TZ_STD,MATCH(P678,TZ_STN,0))/24)&lt;INDEX(TZ_DSTE,MATCH(P678,TZ_STN,0))),INDEX(TZ_DST,MATCH(P678,TZ_STN,0)),INDEX(TZ_STD,MATCH(P678,TZ_STN,0))))/24,"")</f>
        <v/>
      </c>
      <c r="AH678" s="65" t="str">
        <f aca="false">IFERROR(IF(N678="N/A – rule",IF(OR(TRIM(U678)="",TRIM(U678)="N/A",TRIM(U678)="Not started"),"N/A – RULE","INVALID – this check does not apply to this aircraft: clear the status (or correct the fleet on Flights)"),IF(TRIM(U678)="N/A",IF(AT678=0,"INVALID – N/A not permitted for this check",IF(AND(TRIM(AB678)&lt;&gt;"",TRIM(AB678)&lt;&gt;"Closed"),"INVALID – corrective action still open",IF(AND(NOT(OR(LEN(AZ678)&lt;15,ISNUMBER(MATCH(AZ678,L_Placeholder,0)))),BK678=0,CG678&gt;=8,NOT(OR(LEN(AU678)&lt;2,ISNUMBER(MATCH(AU678,L_Placeholder,0)))),BR678&gt;=3,NOT(OR(LEN(AX678)&lt;2,ISNUMBER(MATCH(AX678,L_Placeholder,0)))),BS678&gt;=3,TRIM(AE678)&lt;&gt;TRIM(T678),AX678&lt;&gt;AU678,CE678=0),"N/A – JUSTIFIED","INVALID – N/A needs a real, settled reason (not 'not applicable' / 'as above' / TBC), a named PIC and a different named verifier"))),IF(OR(TRIM(U678)="Pass",TRIM(U678)="Pass after CA"),IF(NOT(ISNUMBER(AD678)),"INVALID – completion time missing",IF(OR(OR(LEN(AU678)&lt;2,ISNUMBER(MATCH(AU678,L_Placeholder,0))),BR678&lt;3),"INVALID – PIC missing or not a named person (a role such as QA / CSM is not a name)",IF(OR(LEN(AV678)&lt;2,ISNUMBER(MATCH(AV678,L_Placeholder,0))),"INVALID – result / assessment missing",IF(OR(OR(LEN(AW678)&lt;3,ISNUMBER(MATCH(AW678,L_Placeholder,0))),SUMPRODUCT(--ISNUMBER(SEARCH(" "&amp;L_EvidencePhrase&amp;" ",BD678)))&gt;0,BI678=1),"INVALID – evidence missing, placeholder or not yet on file",IF(ISNA(MATCH(TRIM(S678),L_EvidenceType,0)),"INVALID – choose the evidence type from the list (column S)",IF(BL678=0,"INVALID – evidence ID must be the record's own ID only (e.g. SF-2210, IMG_2231, 1045521); a link / file name needs type 'Link / file path'",IF(OR(OR(LEN(AX678)&lt;2,ISNUMBER(MATCH(AX678,L_Placeholder,0))),BS678&lt;3),"INVALID – verifier missing or not a named person (a role such as QA / CSM is not a name)",IF(OR(AX678=AU678,CE678=1,AND(LEN(AU678)&gt;=4,ISNUMBER(SEARCH(AU678,AX678))),AND(LEN(AX678)&gt;=4,ISNUMBER(SEARCH(AX678,AU678)))),"INVALID – verifier must be a different, named person (not the PIC or a role)",IF(BH678=1,"INVALID – result not yet available (awaiting / TBC)",IF(BG678=1,"INVALID – result describes a problem: record Fail, then Pass after CA (or reword if it is not a problem)",IF(BV678=1,"INVALID – wording says not on board: an on-board confirmation needs the item loaded",IF(AND(AQ678=1,OR(OR(LEN(AY678)&lt;3,ISNUMBER(MATCH(AY678,L_Placeholder,0))),BJ678=1,BQ678=0)),"INVALID – batch ID missing, placeholder or not an ID (e.g. PASB-261008-BC-017)",IF(AND(AR678=1,OR(NOT(ISNUMBER(X678)),NOT(ISNUMBER(Y678)))),"INVALID – expected/actual qty missing",IF(AND(AR678=1,OR(X678&lt;=0,Y678&lt;0)),"INVALID – expected qty must be above 0 and actual not negative",IF(BB678&lt;&gt;"",BB678,IF(AND(AS678=1,Documents!$J$25&lt;&gt;"ON FILE"),"INVALID – GLD not on file (Documents sheet)",IF(AND(AS678=2,Documents!$O$25&lt;&gt;"ON FILE"),"INVALID – menu checklist not on file (Documents sheet)",IF(AND(AS678=3,NOT(ISNUMBER(Flights!$AX$25))),"INVALID – enter carrying flight KUL departure (Flights AX)",IF(AND(AS678=3,OR(Flights!$AZ$25&gt;Flights!$AA$25,Flights!$AX$25&lt;Flights!$AA$25-3)),"INVALID – carrying flight (Flights AX) cannot arrive before this leg's STD, or is over 3 days early",IF(AG678&gt;AsOfUTC,"INVALID – completion time is in the future",IF(AND(ISNUMBER(BY678),AG678&lt;BY678),IF(H678="Physical uplift","INVALID – before uplift window (cannot confirm loading)","INVALID – before valid window"),IF(AG678&gt;Flights!$AA$25,"INVALID – completed after departure (cannot establish readiness)",IF(AND(H678="Preparation",AG678&gt;=Flights!$AY$25+UpliftWindowH/24),"INVALID – completed after the carrying flight left KUL",IF(AND(H678="Physical uplift",AG678&gt;Q678),"INVALID – recorded after the loading flight departed",IF(AG678&gt;Q678,"COMPLETE – LATE","COMPLETE"))))))))))))))))))))))))),IF(TRIM(U678)="Fail","FAIL – DISCREPANCY",IF(AND(TRIM(U678)&lt;&gt;"",TRIM(U678)&lt;&gt;"Not started",TRIM(U678)&lt;&gt;"In progress"),"INVALID – unrecognised status (use the list)",IF(AsOfUTC&gt;Q678,"OVERDUE",IF(N678="Clarification required","OPEN – CLARIFICATION","OPEN"))))))),"INVALID – error value in an input cell")</f>
        <v>OPEN</v>
      </c>
      <c r="AI678" s="61" t="n">
        <f aca="false">IF(OR(AH678="N/A – RULE",AH678="N/A – JUSTIFIED"),0,1)</f>
        <v>1</v>
      </c>
      <c r="AJ678" s="61" t="n">
        <f aca="false">IF(LEFT(AH678,8)="COMPLETE",1,0)</f>
        <v>0</v>
      </c>
      <c r="AK678" s="61" t="n">
        <f aca="false">IF(AND(AI678=1,AJ678=0,AsOfUTC&gt;Q678),1,0)</f>
        <v>0</v>
      </c>
      <c r="AL678" s="61" t="n">
        <f aca="false">IFERROR(IF(AND(AI678=1,OR(TRIM(U678)="Fail",AND(TRIM(AB678)&lt;&gt;"",TRIM(AB678)&lt;&gt;"Closed"),AND(ISNUMBER(AF678),AF678&lt;&gt;0,TRIM(U678)&lt;&gt;"Pass after CA"))),1,0),1)</f>
        <v>0</v>
      </c>
      <c r="AM678" s="61" t="n">
        <f aca="false">IF(LEFT(AH678,7)="INVALID",1,0)</f>
        <v>0</v>
      </c>
      <c r="AN678" s="61" t="n">
        <f aca="false">IF(AND(N678="Clarification required",AI678=1,AJ678=0),1,0)</f>
        <v>0</v>
      </c>
      <c r="AO678" s="61" t="str">
        <f aca="false">IF(AK678=1,SUM(AK$5:AK678),"")</f>
        <v/>
      </c>
      <c r="AP678" s="61" t="str">
        <f aca="false">IF(AL678=1,SUM(AL$5:AL678),"")</f>
        <v/>
      </c>
      <c r="AQ678" s="61" t="n">
        <v>0</v>
      </c>
      <c r="AR678" s="61" t="n">
        <v>0</v>
      </c>
      <c r="AS678" s="61" t="n">
        <v>0</v>
      </c>
      <c r="AT678" s="61" t="n">
        <v>0</v>
      </c>
      <c r="AU678" s="61" t="str">
        <f aca="false">SUBSTITUTE(SUBSTITUTE(SUBSTITUTE(SUBSTITUTE(SUBSTITUTE(SUBSTITUTE(SUBSTITUTE(SUBSTITUTE(SUBSTITUTE(SUBSTITUTE(SUBSTITUTE(SUBSTITUTE(SUBSTITUTE(SUBSTITUTE(SUBSTITUTE(SUBSTITUTE(LOWER(T678&amp;""),CHAR(10),""),CHAR(13),""),CHAR(9),""),CHAR(160),"")," ",""),".",""),"-",""),"/",""),"?",""),"_",""),",",""),"[",""),"]",""),"(",""),")",""),"*","")</f>
        <v/>
      </c>
      <c r="AV678" s="61" t="str">
        <f aca="false">SUBSTITUTE(SUBSTITUTE(SUBSTITUTE(SUBSTITUTE(SUBSTITUTE(SUBSTITUTE(SUBSTITUTE(SUBSTITUTE(SUBSTITUTE(SUBSTITUTE(SUBSTITUTE(SUBSTITUTE(SUBSTITUTE(SUBSTITUTE(SUBSTITUTE(SUBSTITUTE(LOWER(V678&amp;""),CHAR(10),""),CHAR(13),""),CHAR(9),""),CHAR(160),"")," ",""),".",""),"-",""),"/",""),"?",""),"_",""),",",""),"[",""),"]",""),"(",""),")",""),"*","")</f>
        <v/>
      </c>
      <c r="AW678" s="61" t="str">
        <f aca="false">SUBSTITUTE(SUBSTITUTE(SUBSTITUTE(SUBSTITUTE(SUBSTITUTE(SUBSTITUTE(SUBSTITUTE(SUBSTITUTE(SUBSTITUTE(SUBSTITUTE(SUBSTITUTE(SUBSTITUTE(SUBSTITUTE(SUBSTITUTE(SUBSTITUTE(SUBSTITUTE(LOWER(Z678&amp;""),CHAR(10),""),CHAR(13),""),CHAR(9),""),CHAR(160),"")," ",""),".",""),"-",""),"/",""),"?",""),"_",""),",",""),"[",""),"]",""),"(",""),")",""),"*","")</f>
        <v/>
      </c>
      <c r="AX678" s="61" t="str">
        <f aca="false">SUBSTITUTE(SUBSTITUTE(SUBSTITUTE(SUBSTITUTE(SUBSTITUTE(SUBSTITUTE(SUBSTITUTE(SUBSTITUTE(SUBSTITUTE(SUBSTITUTE(SUBSTITUTE(SUBSTITUTE(SUBSTITUTE(SUBSTITUTE(SUBSTITUTE(SUBSTITUTE(LOWER(AE678&amp;""),CHAR(10),""),CHAR(13),""),CHAR(9),""),CHAR(160),"")," ",""),".",""),"-",""),"/",""),"?",""),"_",""),",",""),"[",""),"]",""),"(",""),")",""),"*","")</f>
        <v/>
      </c>
      <c r="AY678" s="61" t="str">
        <f aca="false">SUBSTITUTE(SUBSTITUTE(SUBSTITUTE(SUBSTITUTE(SUBSTITUTE(SUBSTITUTE(SUBSTITUTE(SUBSTITUTE(SUBSTITUTE(SUBSTITUTE(SUBSTITUTE(SUBSTITUTE(SUBSTITUTE(SUBSTITUTE(SUBSTITUTE(SUBSTITUTE(LOWER(W678&amp;""),CHAR(10),""),CHAR(13),""),CHAR(9),""),CHAR(160),"")," ",""),".",""),"-",""),"/",""),"?",""),"_",""),",",""),"[",""),"]",""),"(",""),")",""),"*","")</f>
        <v/>
      </c>
      <c r="AZ678" s="61" t="str">
        <f aca="false">SUBSTITUTE(SUBSTITUTE(SUBSTITUTE(SUBSTITUTE(SUBSTITUTE(SUBSTITUTE(SUBSTITUTE(SUBSTITUTE(SUBSTITUTE(SUBSTITUTE(SUBSTITUTE(SUBSTITUTE(SUBSTITUTE(SUBSTITUTE(SUBSTITUTE(SUBSTITUTE(LOWER(AC678&amp;""),CHAR(10),""),CHAR(13),""),CHAR(9),""),CHAR(160),"")," ",""),".",""),"-",""),"/",""),"?",""),"_",""),",",""),"[",""),"]",""),"(",""),")",""),"*","")</f>
        <v/>
      </c>
      <c r="BA678" s="61" t="str">
        <f aca="false">SUBSTITUTE(SUBSTITUTE(SUBSTITUTE(SUBSTITUTE(SUBSTITUTE(SUBSTITUTE(SUBSTITUTE(SUBSTITUTE(SUBSTITUTE(SUBSTITUTE(SUBSTITUTE(SUBSTITUTE(SUBSTITUTE(SUBSTITUTE(SUBSTITUTE(SUBSTITUTE(LOWER(AA678&amp;""),CHAR(10),""),CHAR(13),""),CHAR(9),""),CHAR(160),"")," ",""),".",""),"-",""),"/",""),"?",""),"_",""),",",""),"[",""),"]",""),"(",""),")",""),"*","")</f>
        <v/>
      </c>
      <c r="BB678" s="61" t="str">
        <f aca="false">IF(AND(TRIM(U678)="Pass",ISNUMBER(AF678)),IF(AF678&lt;&gt;0,"INVALID – qty variance: use Fail or Pass after CA",""),"")&amp;IF(AND(TRIM(U678)="Pass after CA",ISNUMBER(AF678)),IF(AF678&lt;&gt;0,"INVALID – after the corrective action the actual qty must equal expected (update Actual)",""),"")&amp;IF(AND(TRIM(U678)="Pass",TRIM(AB678)&lt;&gt;"",TRIM(AB678)&lt;&gt;"Closed"),"INVALID – corrective action not closed: use Fail, then Pass after CA","")&amp;IF(AND(LEN(BA678)&gt;=2,ISNA(MATCH(LEFT(BA678,255),L_Placeholder,0)),TRIM(AB678)=""),"INVALID – CA status missing for the recorded corrective action","")&amp;IF(AND(TRIM(U678)="Pass after CA",OR(OR(LEN(BA678)&lt;5,ISNUMBER(MATCH(BA678,L_Placeholder,0))),TRIM(AB678)&lt;&gt;"Closed")),"INVALID – corrective action not recorded/closed","")</f>
        <v/>
      </c>
      <c r="BC678" s="61" t="str">
        <f aca="false">" "&amp;TRIM(SUBSTITUTE(SUBSTITUTE(SUBSTITUTE(SUBSTITUTE(SUBSTITUTE(SUBSTITUTE(SUBSTITUTE(SUBSTITUTE(SUBSTITUTE(SUBSTITUTE(SUBSTITUTE(SUBSTITUTE(SUBSTITUTE(SUBSTITUTE(SUBSTITUTE(SUBSTITUTE(SUBSTITUTE(SUBSTITUTE(SUBSTITUTE(SUBSTITUTE(SUBSTITUTE(SUBSTITUTE(SUBSTITUTE(SUBSTITUTE(LOWER(V678&amp;""),CHAR(10)," "),CHAR(13)," "),CHAR(9)," "),CHAR(160)," "),"."," "),","," "),"-"," "),"/"," "),"("," "),")"," "),":"," "),";"," "),"_"," "),"–"," "),"?"," "),"!"," "),"*"," "),"["," "),"]"," "),"'"," "),"#"," "),"+"," "),"&amp;"," "),"\"," "))&amp;" "</f>
        <v>  </v>
      </c>
      <c r="BD678" s="61" t="str">
        <f aca="false">" "&amp;TRIM(SUBSTITUTE(SUBSTITUTE(SUBSTITUTE(SUBSTITUTE(SUBSTITUTE(SUBSTITUTE(SUBSTITUTE(SUBSTITUTE(SUBSTITUTE(SUBSTITUTE(SUBSTITUTE(SUBSTITUTE(SUBSTITUTE(SUBSTITUTE(SUBSTITUTE(SUBSTITUTE(SUBSTITUTE(SUBSTITUTE(SUBSTITUTE(SUBSTITUTE(SUBSTITUTE(SUBSTITUTE(SUBSTITUTE(SUBSTITUTE(LOWER(Z678&amp;""),CHAR(10)," "),CHAR(13)," "),CHAR(9)," "),CHAR(160)," "),"."," "),","," "),"-"," "),"/"," "),"("," "),")"," "),":"," "),";"," "),"_"," "),"–"," "),"?"," "),"!"," "),"*"," "),"["," "),"]"," "),"'"," "),"#"," "),"+"," "),"&amp;"," "),"\"," "))&amp;" "</f>
        <v>  </v>
      </c>
      <c r="BE678" s="61" t="str">
        <f aca="false">" "&amp;TRIM(SUBSTITUTE(SUBSTITUTE(SUBSTITUTE(SUBSTITUTE(SUBSTITUTE(SUBSTITUTE(SUBSTITUTE(SUBSTITUTE(SUBSTITUTE(SUBSTITUTE(SUBSTITUTE(SUBSTITUTE(SUBSTITUTE(SUBSTITUTE(SUBSTITUTE(SUBSTITUTE(SUBSTITUTE(SUBSTITUTE(SUBSTITUTE(SUBSTITUTE(SUBSTITUTE(SUBSTITUTE(SUBSTITUTE(SUBSTITUTE(LOWER(W678&amp;""),CHAR(10)," "),CHAR(13)," "),CHAR(9)," "),CHAR(160)," "),"."," "),","," "),"-"," "),"/"," "),"("," "),")"," "),":"," "),";"," "),"_"," "),"–"," "),"?"," "),"!"," "),"*"," "),"["," "),"]"," "),"'"," "),"#"," "),"+"," "),"&amp;"," "),"\"," "))&amp;" "</f>
        <v>  </v>
      </c>
      <c r="BF678" s="61" t="str">
        <f aca="false">" "&amp;TRIM(SUBSTITUTE(SUBSTITUTE(SUBSTITUTE(SUBSTITUTE(SUBSTITUTE(SUBSTITUTE(SUBSTITUTE(SUBSTITUTE(SUBSTITUTE(SUBSTITUTE(SUBSTITUTE(SUBSTITUTE(SUBSTITUTE(SUBSTITUTE(SUBSTITUTE(SUBSTITUTE(SUBSTITUTE(SUBSTITUTE(SUBSTITUTE(SUBSTITUTE(SUBSTITUTE(SUBSTITUTE(SUBSTITUTE(SUBSTITUTE(LOWER(AC678&amp;""),CHAR(10)," "),CHAR(13)," "),CHAR(9)," "),CHAR(160)," "),"."," "),","," "),"-"," "),"/"," "),"("," "),")"," "),":"," "),";"," "),"_"," "),"–"," "),"?"," "),"!"," "),"*"," "),"["," "),"]"," "),"'"," "),"#"," "),"+"," "),"&amp;"," "),"\"," "))&amp;" "</f>
        <v>  </v>
      </c>
      <c r="BG678" s="61" t="n">
        <f aca="false">IFERROR(IF(AND(TRIM(U678)="Pass",SUMPRODUCT((LEN(BC678)-LEN(SUBSTITUTE(BC678," "&amp;L_ResultBad&amp;" "," ")))/(LEN(L_ResultBad)+1))&gt;SUMPRODUCT((LEN(BC678)-LEN(SUBSTITUTE(BC678," "&amp;L_NegPhrase&amp;" "," ")))/(LEN(L_NegPhrase)+1))),1,0),0)</f>
        <v>0</v>
      </c>
      <c r="BH678" s="61" t="n">
        <f aca="false">IFERROR(IF(SUMPRODUCT((LEN(BC678)-LEN(SUBSTITUTE(BC678," "&amp;L_Pending&amp;" "," ")))/(LEN(L_Pending)+1))&gt;SUMPRODUCT((LEN(BC678)-LEN(SUBSTITUTE(BC678," "&amp;L_PendNeg&amp;" "," ")))/(LEN(L_PendNeg)+1))+SUMPRODUCT((LEN(BC678)-LEN(SUBSTITUTE(BC678," "&amp;L_PendPrep&amp;" "," ")))/(LEN(L_PendPrep)+1)),1,0),1)</f>
        <v>0</v>
      </c>
      <c r="BI678" s="61" t="n">
        <f aca="false">IFERROR(IF(SUMPRODUCT((LEN(BD678)-LEN(SUBSTITUTE(BD678," "&amp;L_PendStrict&amp;" "," ")))/(LEN(L_PendStrict)+1))&gt;SUMPRODUCT((LEN(BD678)-LEN(SUBSTITUTE(BD678," "&amp;L_PendNeg&amp;" "," ")))/(LEN(L_PendNeg)+1)),1,0),1)</f>
        <v>0</v>
      </c>
      <c r="BJ678" s="61" t="n">
        <f aca="false">IFERROR(IF(SUMPRODUCT((LEN(BE678)-LEN(SUBSTITUTE(BE678," "&amp;L_Pending&amp;" "," ")))/(LEN(L_Pending)+1))&gt;SUMPRODUCT((LEN(BE678)-LEN(SUBSTITUTE(BE678," "&amp;L_PendNeg&amp;" "," ")))/(LEN(L_PendNeg)+1))+SUMPRODUCT((LEN(BE678)-LEN(SUBSTITUTE(BE678," "&amp;L_PendPrep&amp;" "," ")))/(LEN(L_PendPrep)+1)),1,0),1)</f>
        <v>0</v>
      </c>
      <c r="BK678" s="61" t="n">
        <f aca="false">IFERROR(IF(SUMPRODUCT((LEN(BF678)-LEN(SUBSTITUTE(BF678," "&amp;L_PendStrict&amp;" "," ")))/(LEN(L_PendStrict)+1))&gt;SUMPRODUCT((LEN(BF678)-LEN(SUBSTITUTE(BF678," "&amp;L_PendNeg&amp;" "," ")))/(LEN(L_PendNeg)+1)),1,0),1)</f>
        <v>0</v>
      </c>
      <c r="BL678" s="61" t="n">
        <f aca="false">IF(ISNA(MATCH(TRIM(S678),L_EvidenceType,0)),0,BZ678)</f>
        <v>0</v>
      </c>
      <c r="BM678" s="61" t="str">
        <f aca="false">SUBSTITUTE(SUBSTITUTE(SUBSTITUTE(SUBSTITUTE(SUBSTITUTE(SUBSTITUTE(SUBSTITUTE(SUBSTITUTE(SUBSTITUTE(LOWER(Z678&amp;""),"1","0"),"2","0"),"3","0"),"4","0"),"5","0"),"6","0"),"7","0"),"8","0"),"9","0")</f>
        <v/>
      </c>
      <c r="BN678" s="61" t="str">
        <f aca="false">SUBSTITUTE(SUBSTITUTE(SUBSTITUTE(SUBSTITUTE(SUBSTITUTE(SUBSTITUTE(SUBSTITUTE(SUBSTITUTE(SUBSTITUTE(SUBSTITUTE(SUBSTITUTE(SUBSTITUTE(SUBSTITUTE(SUBSTITUTE(SUBSTITUTE(SUBSTITUTE(SUBSTITUTE(SUBSTITUTE(SUBSTITUTE(SUBSTITUTE(SUBSTITUTE(SUBSTITUTE(SUBSTITUTE(SUBSTITUTE(SUBSTITUTE(BM678,"b","a"),"c","a"),"d","a"),"e","a"),"f","a"),"g","a"),"h","a"),"i","a"),"j","a"),"k","a"),"l","a"),"m","a"),"n","a"),"o","a"),"p","a"),"q","a"),"r","a"),"s","a"),"t","a"),"u","a"),"v","a"),"w","a"),"x","a"),"y","a"),"z","a")</f>
        <v/>
      </c>
      <c r="BO678" s="61" t="str">
        <f aca="false">SUBSTITUTE(SUBSTITUTE(SUBSTITUTE(SUBSTITUTE(SUBSTITUTE(SUBSTITUTE(SUBSTITUTE(SUBSTITUTE(SUBSTITUTE(LOWER(W678&amp;""),"1","0"),"2","0"),"3","0"),"4","0"),"5","0"),"6","0"),"7","0"),"8","0"),"9","0")</f>
        <v/>
      </c>
      <c r="BP678" s="61" t="str">
        <f aca="false">SUBSTITUTE(SUBSTITUTE(SUBSTITUTE(SUBSTITUTE(SUBSTITUTE(SUBSTITUTE(SUBSTITUTE(SUBSTITUTE(SUBSTITUTE(SUBSTITUTE(SUBSTITUTE(SUBSTITUTE(SUBSTITUTE(SUBSTITUTE(SUBSTITUTE(SUBSTITUTE(SUBSTITUTE(SUBSTITUTE(SUBSTITUTE(SUBSTITUTE(SUBSTITUTE(SUBSTITUTE(SUBSTITUTE(SUBSTITUTE(SUBSTITUTE(BO678,"b","a"),"c","a"),"d","a"),"e","a"),"f","a"),"g","a"),"h","a"),"i","a"),"j","a"),"k","a"),"l","a"),"m","a"),"n","a"),"o","a"),"p","a"),"q","a"),"r","a"),"s","a"),"t","a"),"u","a"),"v","a"),"w","a"),"x","a"),"y","a"),"z","a")</f>
        <v/>
      </c>
      <c r="BQ678" s="61" t="n">
        <f aca="false">IFERROR(IF(AND(ISERROR(SEARCH(" mh"," "&amp;LOWER(W678))),ISNA(MATCH(LEFT(TRIM(BP678),255),{"0000a","000a","00a","0000aa","000aa","00aa","0aa","0000aaa","000aaa","00a00","0a00","0000-0000","00:00","a00","a0","00.00.0000","00/00/0000","00-00-0000","0000-00-00","0000/00/00","0000.00.00","00.00.00","00/00/00","00-00-00","0.00.0000","0/00/0000","0-00-0000"},0)),ISNA(MATCH(LEFT(TRIM(CA678),255),{"0000a","000a","00a","0000aa","000aa","00aa","0aa","0000aaa","000aaa","00a00","0a00","0000-0000","00:00","a00","a0","00.00.0000","00/00/0000","00-00-0000","0000-00-00","0000/00/00","0000.00.00","00.00.00","00/00/00","00-00-00","0.00.0000","0/00/0000","0-00-0000"},0)),LEN(CB678)&gt;=3,NOT(OR(SUBSTITUTE(CB678,"0","")="",AND(LEN(CB678)&gt;=4,CB678=REPT(LEFT(CB678),LEN(CB678))),ISNUMBER(MATCH(CB678,{"123","1234","12345","123456","1234567","12345678","0123","01234","012345","98765","987654","54321"},0)),AND(LEN(CB678)=8,LEFT(CB678,3)="202"))),OR(AND((LEN(CA678)-LEN(SUBSTITUTE(CA678,"a","")))&gt;=1,SUMPRODUCT(--ISNUMBER(SEARCH({"a0","a-0","a_0","a/0","a.0","a#0","0a","0-a","0_a","0/a"},BP678)))&gt;0),ISNUMBER(SEARCH("000000",BP678)))),1,0),0)</f>
        <v>0</v>
      </c>
      <c r="BR678" s="61" t="n">
        <f aca="false">IFERROR(LEN(SUBSTITUTE(CC678," ",""))-SUMPRODUCT((LEN(CC678)-LEN(SUBSTITUTE(CC678," "&amp;L_Role&amp;" "," ")))/(LEN(L_Role)+1)*LEN(L_Role)),0)</f>
        <v>0</v>
      </c>
      <c r="BS678" s="61" t="n">
        <f aca="false">IFERROR(LEN(SUBSTITUTE(CD678," ",""))-SUMPRODUCT((LEN(CD678)-LEN(SUBSTITUTE(CD678," "&amp;L_Role&amp;" "," ")))/(LEN(L_Role)+1)*LEN(L_Role)),0)</f>
        <v>0</v>
      </c>
      <c r="BT6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678,"revision",""),"version",""),"jan",""),"feb",""),"mar",""),"apr",""),"may",""),"jun",""),"jul",""),"aug",""),"sep",""),"oct",""),"nov",""),"dec",""),"utc",""),"gmt",""),"myt",""),"bst",""),"rev",""),"ver",""),"b","a"),"c","a"),"d","a"),"e","a"),"f","a"),"g","a"),"h","a"),"i","a"),"j","a"),"k","a"),"l","a"),"m","a"),"n","a"),"o","a"),"p","a"),"q","a"),"r","a"),"s","a"),"t","a"),"u","a"),"v","a"),"w","a"),"x","a"),"y","a"),"z","a")</f>
        <v/>
      </c>
      <c r="BU678" s="61" t="str">
        <f aca="false">SUBSTITUTE(SUBSTITUTE(SUBSTITUTE(SUBSTITUTE(SUBSTITUTE(SUBSTITUTE(SUBSTITUTE(SUBSTITUTE(SUBSTITUTE(SUBSTITUTE(LEFT(BM678,FIND("0",BM678&amp;"0")-1),"-",""),"_",""),"/",""),".",""),"#",""),"\\",""),":","")," ",""),"(",""),")","")</f>
        <v/>
      </c>
      <c r="BV678" s="61" t="n">
        <f aca="false">0</f>
        <v>0</v>
      </c>
      <c r="BW67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678&amp;""),"a",""),"b",""),"c",""),"d",""),"e",""),"f",""),"g",""),"h",""),"i",""),"j",""),"k",""),"l",""),"m",""),"n",""),"o",""),"p",""),"q",""),"r",""),"s",""),"t",""),"u",""),"v",""),"w",""),"x",""),"y",""),"z",""),"-",""),"_",""),"/",""),".",""),"#",""),"\\",""),":","")," ",""),"(",""),")","")</f>
        <v/>
      </c>
      <c r="BX678" s="61" t="str">
        <f aca="false">SUBSTITUTE(SUBSTITUTE(SUBSTITUTE(SUBSTITUTE(SUBSTITUTE(SUBSTITUTE(SUBSTITUTE(SUBSTITUTE(SUBSTITUTE(SUBSTITUTE(SUBSTITUTE(BM678,"0",""),"-",""),"_",""),"/",""),".",""),"#",""),"\\",""),":","")," ",""),"(",""),")","")</f>
        <v/>
      </c>
      <c r="BY678" s="62" t="n">
        <f aca="false">Q678-T12EarlyH/24</f>
        <v>46323.6875</v>
      </c>
      <c r="BZ678" s="61" t="n">
        <f aca="false">IFERROR(IF(IF(TRIM(S678)="Link / file path",AND(LEN(TRIM(Z678))&gt;=5,SUMPRODUCT(--ISNUMBER(SEARCH({"http","www.","\\",":\",".pdf",".jpg",".jpeg",".png",".heic",".xls",".doc",".msg",".eml",".ppt",".txt",".zip"},Z678)))&gt;0),AND(ISERROR(FIND(" ",TRIM(Z678))),NOT(OR(SUMPRODUCT(--ISNUMBER(FIND({",",";","&amp;","+"},Z678)))&gt;0,SUMPRODUCT(--ISNUMBER(SEARCH({"0/aa","0\\aa"},BN678)))&gt;0)),NOT(SUMPRODUCT(--ISNUMBER(SEARCH({"http","www.","\\",":\",".pdf",".jpg",".jpeg",".png",".heic",".xls",".doc",".msg",".eml",".ppt",".txt",".zip"},Z678)))&gt;0),NOT(LOWER(TRIM(Z678))=LOWER(Flights!$F$25)),ISNA(MATCH(BU678,{"mh","rev","revision","ver","version","v","r","a","b","seat","tray","row","gate","bay","stand","page","pg","item","line","no","cart","galley","flight","flt","table","box","bag","oven","etd","eta","std","sta","atd","ata","qty","pax","x","time","tel","ph","mob","day","wk","week","utc","gmt","myt","lt"},0)),NOT(OR(ISNUMBER(MATCH(LEFT(BN678,255),{"0000a","000a","00a","0000aa","000aa","00aa","0aa","0000aaa","000aaa","00a00","0a00","0000-0000","00:00","a00","a0","00.00.0000","00/00/0000","00-00-0000","0000-00-00","0000/00/00","0000.00.00","00.00.00","00/00/00","00-00-00","0.00.0000","0/00/0000","0-00-0000"},0)),ISNUMBER(MATCH(LEFT(BT678,255),{"0000a","000a","00a","0000aa","000aa","00aa","0aa","0000aaa","000aaa","00a00","0a00","0000-0000","00:00","a00","a0","00.00.0000","00/00/0000","00-00-0000","0000-00-00","0000/00/00","0000.00.00","00.00.00","00/00/00","00-00-00","0.00.0000","0/00/0000","0-00-0000"},0)))),NOT(OR(AND(BW678&lt;&gt;"",SUBSTITUTE(BW678,"0","")=""),AND(LEN(BW678)&gt;=4,BW678=REPT(LEFT(BW678),LEN(BW678))),ISNUMBER(MATCH(BW678,{"123","1234","12345","123456","1234567","12345678","0123","01234","012345","98765","987654","54321"},0)),ISNUMBER(MATCH(BX678,{"x","xx","xxx","xxxx","xxxxx","abc","abcd","nil","na","nan","test","tbc","tba","tbd","dummy","sample","example","eg","zz","zzz","none","null","xyz","qwe","asd","id","ref"},0)),AND(LEN(BW678)=8,BX678="",OR(LEFT(BW678,3)="202",ISNUMBER(MATCH(RIGHT(BW678,4),{"2025","2026","2027"},0)))))),OR(AND((LEN(BT678)-LEN(SUBSTITUTE(BT678,"a","")))&gt;=1,(LEN(BN678)-LEN(SUBSTITUTE(BN678,"0","")))&gt;=2,SUMPRODUCT(--ISNUMBER(SEARCH({"a0","a-0","a_0","a/0","a.0","a#0","0a","0-a","0_a","0/a"},BN678)))&gt;0),AND((LEN(BN678)-LEN(SUBSTITUTE(BN678,"a","")))=0,(LEN(BN678)-LEN(SUBSTITUTE(BN678,"0","")))&gt;=5)))),1,0),0)</f>
        <v>0</v>
      </c>
      <c r="CA6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678,"revision",""),"version",""),"jan",""),"feb",""),"mar",""),"apr",""),"may",""),"jun",""),"jul",""),"aug",""),"sep",""),"oct",""),"nov",""),"dec",""),"utc",""),"gmt",""),"myt",""),"bst",""),"rev",""),"ver",""),"b","a"),"c","a"),"d","a"),"e","a"),"f","a"),"g","a"),"h","a"),"i","a"),"j","a"),"k","a"),"l","a"),"m","a"),"n","a"),"o","a"),"p","a"),"q","a"),"r","a"),"s","a"),"t","a"),"u","a"),"v","a"),"w","a"),"x","a"),"y","a"),"z","a")</f>
        <v/>
      </c>
      <c r="CB67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678&amp;""),"a",""),"b",""),"c",""),"d",""),"e",""),"f",""),"g",""),"h",""),"i",""),"j",""),"k",""),"l",""),"m",""),"n",""),"o",""),"p",""),"q",""),"r",""),"s",""),"t",""),"u",""),"v",""),"w",""),"x",""),"y",""),"z",""),"-",""),"_",""),"/",""),".",""),"#",""),"\\",""),":","")," ",""),"(",""),")","")</f>
        <v/>
      </c>
      <c r="CC678" s="0" t="str">
        <f aca="false">" "&amp;TRIM(SUBSTITUTE(SUBSTITUTE(SUBSTITUTE(SUBSTITUTE(SUBSTITUTE(SUBSTITUTE(SUBSTITUTE(SUBSTITUTE(SUBSTITUTE(SUBSTITUTE(SUBSTITUTE(SUBSTITUTE(SUBSTITUTE(SUBSTITUTE(SUBSTITUTE(SUBSTITUTE(SUBSTITUTE(SUBSTITUTE(SUBSTITUTE(SUBSTITUTE(SUBSTITUTE(SUBSTITUTE(SUBSTITUTE(SUBSTITUTE(LOWER(T678&amp;""),CHAR(10)," "),CHAR(13)," "),CHAR(9)," "),CHAR(160)," "),"."," "),","," "),"-"," "),"/"," "),"("," "),")"," "),":"," "),";"," "),"_"," "),"–"," "),"?"," "),"!"," "),"*"," "),"["," "),"]"," "),"'"," "),"#"," "),"+"," "),"&amp;"," "),"\"," "))&amp;" "</f>
        <v>  </v>
      </c>
      <c r="CD678" s="0" t="str">
        <f aca="false">" "&amp;TRIM(SUBSTITUTE(SUBSTITUTE(SUBSTITUTE(SUBSTITUTE(SUBSTITUTE(SUBSTITUTE(SUBSTITUTE(SUBSTITUTE(SUBSTITUTE(SUBSTITUTE(SUBSTITUTE(SUBSTITUTE(SUBSTITUTE(SUBSTITUTE(SUBSTITUTE(SUBSTITUTE(SUBSTITUTE(SUBSTITUTE(SUBSTITUTE(SUBSTITUTE(SUBSTITUTE(SUBSTITUTE(SUBSTITUTE(SUBSTITUTE(LOWER(AE678&amp;""),CHAR(10)," "),CHAR(13)," "),CHAR(9)," "),CHAR(160)," "),"."," "),","," "),"-"," "),"/"," "),"("," "),")"," "),":"," "),";"," "),"_"," "),"–"," "),"?"," "),"!"," "),"*"," "),"["," "),"]"," "),"'"," "),"#"," "),"+"," "),"&amp;"," "),"\"," "))&amp;" "</f>
        <v>  </v>
      </c>
      <c r="CE678" s="68" t="n">
        <f aca="false">IFERROR(IF(AND(LEN(AU678)&gt;0,LEN(AU678)=LEN(AX678),OR(TRIM(MID(SUBSTITUTE(TRIM(CC678)," ",REPT(" ",60)),1,60))="",ISNUMBER(SEARCH(" "&amp;TRIM(MID(SUBSTITUTE(TRIM(CC678)," ",REPT(" ",60)),1,60))&amp;" ",CD678))),OR(TRIM(MID(SUBSTITUTE(TRIM(CC678)," ",REPT(" ",60)),61,60))="",ISNUMBER(SEARCH(" "&amp;TRIM(MID(SUBSTITUTE(TRIM(CC678)," ",REPT(" ",60)),61,60))&amp;" ",CD678))),OR(TRIM(MID(SUBSTITUTE(TRIM(CC678)," ",REPT(" ",60)),121,60))="",ISNUMBER(SEARCH(" "&amp;TRIM(MID(SUBSTITUTE(TRIM(CC678)," ",REPT(" ",60)),121,60))&amp;" ",CD678)))),1,0),0)</f>
        <v>0</v>
      </c>
      <c r="CG678" s="68" t="n">
        <f aca="false">IFERROR(LEN(SUBSTITUTE(BF678," ",""))-SUMPRODUCT((LEN(BF678)-LEN(SUBSTITUTE(BF678," "&amp;L_NAFiller&amp;" "," ")))/(LEN(L_NAFiller)+1)*LEN(L_NAFiller)),0)</f>
        <v>0</v>
      </c>
    </row>
    <row r="679" customFormat="false" ht="41.25" hidden="false" customHeight="true" outlineLevel="0" collapsed="false">
      <c r="A679" s="57" t="s">
        <v>1401</v>
      </c>
      <c r="B679" s="57" t="s">
        <v>310</v>
      </c>
      <c r="C679" s="57" t="str">
        <f aca="false">Flights!$F$25</f>
        <v>MH1437</v>
      </c>
      <c r="D679" s="58" t="n">
        <f aca="false">Flights!$D$25</f>
        <v>46325</v>
      </c>
      <c r="E679" s="57" t="str">
        <f aca="false">Flights!$G$25&amp;"-"&amp;Flights!$H$25</f>
        <v>LGK-KUL</v>
      </c>
      <c r="F679" s="57" t="str">
        <f aca="false">Flights!$K$25</f>
        <v>BC</v>
      </c>
      <c r="G679" s="57" t="s">
        <v>420</v>
      </c>
      <c r="H679" s="57" t="s">
        <v>378</v>
      </c>
      <c r="I679" s="57" t="s">
        <v>428</v>
      </c>
      <c r="J679" s="57" t="s">
        <v>431</v>
      </c>
      <c r="K679" s="67"/>
      <c r="L679" s="67" t="s">
        <v>422</v>
      </c>
      <c r="M679" s="67"/>
      <c r="N679" s="67" t="s">
        <v>383</v>
      </c>
      <c r="O679" s="67" t="s">
        <v>975</v>
      </c>
      <c r="P679" s="57" t="s">
        <v>187</v>
      </c>
      <c r="Q679" s="59" t="n">
        <f aca="false">ROUND((MIN(Flights!$AE$25,Flights!$AY$25))*1440,0)/1440</f>
        <v>46324.1875</v>
      </c>
      <c r="R679" s="59" t="n">
        <f aca="false">Q679+(IF(AND(INDEX(TZ_DSTS,MATCH(P679,TZ_STN,0))&lt;&gt;"",Q679&gt;=INDEX(TZ_DSTS,MATCH(P679,TZ_STN,0)),Q679&lt;INDEX(TZ_DSTE,MATCH(P679,TZ_STN,0))),INDEX(TZ_DST,MATCH(P679,TZ_STN,0)),INDEX(TZ_STD,MATCH(P679,TZ_STN,0))))/24</f>
        <v>46324.5208333333</v>
      </c>
      <c r="S679" s="60"/>
      <c r="T679" s="60"/>
      <c r="U679" s="60"/>
      <c r="V679" s="60"/>
      <c r="W679" s="61"/>
      <c r="X679" s="60"/>
      <c r="Y679" s="60"/>
      <c r="Z679" s="60"/>
      <c r="AA679" s="60"/>
      <c r="AB679" s="60"/>
      <c r="AC679" s="60"/>
      <c r="AD679" s="66"/>
      <c r="AE679" s="60"/>
      <c r="AF679" s="61" t="str">
        <f aca="false">IF(AND(ISNUMBER(X679),ISNUMBER(Y679)),Y679-X679,"")</f>
        <v/>
      </c>
      <c r="AG679" s="62" t="str">
        <f aca="false">IF(ISNUMBER(AD679),AD679-(IF(AND(INDEX(TZ_DSTS,MATCH(P679,TZ_STN,0))&lt;&gt;"",(AD679-INDEX(TZ_STD,MATCH(P679,TZ_STN,0))/24)&gt;=INDEX(TZ_DSTS,MATCH(P679,TZ_STN,0)),(AD679-INDEX(TZ_STD,MATCH(P679,TZ_STN,0))/24)&lt;INDEX(TZ_DSTE,MATCH(P679,TZ_STN,0))),INDEX(TZ_DST,MATCH(P679,TZ_STN,0)),INDEX(TZ_STD,MATCH(P679,TZ_STN,0))))/24,"")</f>
        <v/>
      </c>
      <c r="AH679" s="65" t="str">
        <f aca="false">IFERROR(IF(N679="N/A – rule",IF(OR(TRIM(U679)="",TRIM(U679)="N/A",TRIM(U679)="Not started"),"N/A – RULE","INVALID – this check does not apply to this aircraft: clear the status (or correct the fleet on Flights)"),IF(TRIM(U679)="N/A",IF(AT679=0,"INVALID – N/A not permitted for this check",IF(AND(TRIM(AB679)&lt;&gt;"",TRIM(AB679)&lt;&gt;"Closed"),"INVALID – corrective action still open",IF(AND(NOT(OR(LEN(AZ679)&lt;15,ISNUMBER(MATCH(AZ679,L_Placeholder,0)))),BK679=0,CG679&gt;=8,NOT(OR(LEN(AU679)&lt;2,ISNUMBER(MATCH(AU679,L_Placeholder,0)))),BR679&gt;=3,NOT(OR(LEN(AX679)&lt;2,ISNUMBER(MATCH(AX679,L_Placeholder,0)))),BS679&gt;=3,TRIM(AE679)&lt;&gt;TRIM(T679),AX679&lt;&gt;AU679,CE679=0),"N/A – JUSTIFIED","INVALID – N/A needs a real, settled reason (not 'not applicable' / 'as above' / TBC), a named PIC and a different named verifier"))),IF(OR(TRIM(U679)="Pass",TRIM(U679)="Pass after CA"),IF(NOT(ISNUMBER(AD679)),"INVALID – completion time missing",IF(OR(OR(LEN(AU679)&lt;2,ISNUMBER(MATCH(AU679,L_Placeholder,0))),BR679&lt;3),"INVALID – PIC missing or not a named person (a role such as QA / CSM is not a name)",IF(OR(LEN(AV679)&lt;2,ISNUMBER(MATCH(AV679,L_Placeholder,0))),"INVALID – result / assessment missing",IF(OR(OR(LEN(AW679)&lt;3,ISNUMBER(MATCH(AW679,L_Placeholder,0))),SUMPRODUCT(--ISNUMBER(SEARCH(" "&amp;L_EvidencePhrase&amp;" ",BD679)))&gt;0,BI679=1),"INVALID – evidence missing, placeholder or not yet on file",IF(ISNA(MATCH(TRIM(S679),L_EvidenceType,0)),"INVALID – choose the evidence type from the list (column S)",IF(BL679=0,"INVALID – evidence ID must be the record's own ID only (e.g. SF-2210, IMG_2231, 1045521); a link / file name needs type 'Link / file path'",IF(OR(OR(LEN(AX679)&lt;2,ISNUMBER(MATCH(AX679,L_Placeholder,0))),BS679&lt;3),"INVALID – verifier missing or not a named person (a role such as QA / CSM is not a name)",IF(OR(AX679=AU679,CE679=1,AND(LEN(AU679)&gt;=4,ISNUMBER(SEARCH(AU679,AX679))),AND(LEN(AX679)&gt;=4,ISNUMBER(SEARCH(AX679,AU679)))),"INVALID – verifier must be a different, named person (not the PIC or a role)",IF(BH679=1,"INVALID – result not yet available (awaiting / TBC)",IF(BG679=1,"INVALID – result describes a problem: record Fail, then Pass after CA (or reword if it is not a problem)",IF(BV679=1,"INVALID – wording says not on board: an on-board confirmation needs the item loaded",IF(AND(AQ679=1,OR(OR(LEN(AY679)&lt;3,ISNUMBER(MATCH(AY679,L_Placeholder,0))),BJ679=1,BQ679=0)),"INVALID – batch ID missing, placeholder or not an ID (e.g. PASB-261008-BC-017)",IF(AND(AR679=1,OR(NOT(ISNUMBER(X679)),NOT(ISNUMBER(Y679)))),"INVALID – expected/actual qty missing",IF(AND(AR679=1,OR(X679&lt;=0,Y679&lt;0)),"INVALID – expected qty must be above 0 and actual not negative",IF(BB679&lt;&gt;"",BB679,IF(AND(AS679=1,Documents!$J$25&lt;&gt;"ON FILE"),"INVALID – GLD not on file (Documents sheet)",IF(AND(AS679=2,Documents!$O$25&lt;&gt;"ON FILE"),"INVALID – menu checklist not on file (Documents sheet)",IF(AND(AS679=3,NOT(ISNUMBER(Flights!$AX$25))),"INVALID – enter carrying flight KUL departure (Flights AX)",IF(AND(AS679=3,OR(Flights!$AZ$25&gt;Flights!$AA$25,Flights!$AX$25&lt;Flights!$AA$25-3)),"INVALID – carrying flight (Flights AX) cannot arrive before this leg's STD, or is over 3 days early",IF(AG679&gt;AsOfUTC,"INVALID – completion time is in the future",IF(AND(ISNUMBER(BY679),AG679&lt;BY679),IF(H679="Physical uplift","INVALID – before uplift window (cannot confirm loading)","INVALID – before valid window"),IF(AG679&gt;Flights!$AA$25,"INVALID – completed after departure (cannot establish readiness)",IF(AND(H679="Preparation",AG679&gt;=Flights!$AY$25+UpliftWindowH/24),"INVALID – completed after the carrying flight left KUL",IF(AND(H679="Physical uplift",AG679&gt;Q679),"INVALID – recorded after the loading flight departed",IF(AG679&gt;Q679,"COMPLETE – LATE","COMPLETE"))))))))))))))))))))))))),IF(TRIM(U679)="Fail","FAIL – DISCREPANCY",IF(AND(TRIM(U679)&lt;&gt;"",TRIM(U679)&lt;&gt;"Not started",TRIM(U679)&lt;&gt;"In progress"),"INVALID – unrecognised status (use the list)",IF(AsOfUTC&gt;Q679,"OVERDUE",IF(N679="Clarification required","OPEN – CLARIFICATION","OPEN"))))))),"INVALID – error value in an input cell")</f>
        <v>OPEN</v>
      </c>
      <c r="AI679" s="61" t="n">
        <f aca="false">IF(OR(AH679="N/A – RULE",AH679="N/A – JUSTIFIED"),0,1)</f>
        <v>1</v>
      </c>
      <c r="AJ679" s="61" t="n">
        <f aca="false">IF(LEFT(AH679,8)="COMPLETE",1,0)</f>
        <v>0</v>
      </c>
      <c r="AK679" s="61" t="n">
        <f aca="false">IF(AND(AI679=1,AJ679=0,AsOfUTC&gt;Q679),1,0)</f>
        <v>0</v>
      </c>
      <c r="AL679" s="61" t="n">
        <f aca="false">IFERROR(IF(AND(AI679=1,OR(TRIM(U679)="Fail",AND(TRIM(AB679)&lt;&gt;"",TRIM(AB679)&lt;&gt;"Closed"),AND(ISNUMBER(AF679),AF679&lt;&gt;0,TRIM(U679)&lt;&gt;"Pass after CA"))),1,0),1)</f>
        <v>0</v>
      </c>
      <c r="AM679" s="61" t="n">
        <f aca="false">IF(LEFT(AH679,7)="INVALID",1,0)</f>
        <v>0</v>
      </c>
      <c r="AN679" s="61" t="n">
        <f aca="false">IF(AND(N679="Clarification required",AI679=1,AJ679=0),1,0)</f>
        <v>0</v>
      </c>
      <c r="AO679" s="61" t="str">
        <f aca="false">IF(AK679=1,SUM(AK$5:AK679),"")</f>
        <v/>
      </c>
      <c r="AP679" s="61" t="str">
        <f aca="false">IF(AL679=1,SUM(AL$5:AL679),"")</f>
        <v/>
      </c>
      <c r="AQ679" s="61" t="n">
        <v>0</v>
      </c>
      <c r="AR679" s="61" t="n">
        <v>0</v>
      </c>
      <c r="AS679" s="61" t="n">
        <v>0</v>
      </c>
      <c r="AT679" s="61" t="n">
        <v>0</v>
      </c>
      <c r="AU679" s="61" t="str">
        <f aca="false">SUBSTITUTE(SUBSTITUTE(SUBSTITUTE(SUBSTITUTE(SUBSTITUTE(SUBSTITUTE(SUBSTITUTE(SUBSTITUTE(SUBSTITUTE(SUBSTITUTE(SUBSTITUTE(SUBSTITUTE(SUBSTITUTE(SUBSTITUTE(SUBSTITUTE(SUBSTITUTE(LOWER(T679&amp;""),CHAR(10),""),CHAR(13),""),CHAR(9),""),CHAR(160),"")," ",""),".",""),"-",""),"/",""),"?",""),"_",""),",",""),"[",""),"]",""),"(",""),")",""),"*","")</f>
        <v/>
      </c>
      <c r="AV679" s="61" t="str">
        <f aca="false">SUBSTITUTE(SUBSTITUTE(SUBSTITUTE(SUBSTITUTE(SUBSTITUTE(SUBSTITUTE(SUBSTITUTE(SUBSTITUTE(SUBSTITUTE(SUBSTITUTE(SUBSTITUTE(SUBSTITUTE(SUBSTITUTE(SUBSTITUTE(SUBSTITUTE(SUBSTITUTE(LOWER(V679&amp;""),CHAR(10),""),CHAR(13),""),CHAR(9),""),CHAR(160),"")," ",""),".",""),"-",""),"/",""),"?",""),"_",""),",",""),"[",""),"]",""),"(",""),")",""),"*","")</f>
        <v/>
      </c>
      <c r="AW679" s="61" t="str">
        <f aca="false">SUBSTITUTE(SUBSTITUTE(SUBSTITUTE(SUBSTITUTE(SUBSTITUTE(SUBSTITUTE(SUBSTITUTE(SUBSTITUTE(SUBSTITUTE(SUBSTITUTE(SUBSTITUTE(SUBSTITUTE(SUBSTITUTE(SUBSTITUTE(SUBSTITUTE(SUBSTITUTE(LOWER(Z679&amp;""),CHAR(10),""),CHAR(13),""),CHAR(9),""),CHAR(160),"")," ",""),".",""),"-",""),"/",""),"?",""),"_",""),",",""),"[",""),"]",""),"(",""),")",""),"*","")</f>
        <v/>
      </c>
      <c r="AX679" s="61" t="str">
        <f aca="false">SUBSTITUTE(SUBSTITUTE(SUBSTITUTE(SUBSTITUTE(SUBSTITUTE(SUBSTITUTE(SUBSTITUTE(SUBSTITUTE(SUBSTITUTE(SUBSTITUTE(SUBSTITUTE(SUBSTITUTE(SUBSTITUTE(SUBSTITUTE(SUBSTITUTE(SUBSTITUTE(LOWER(AE679&amp;""),CHAR(10),""),CHAR(13),""),CHAR(9),""),CHAR(160),"")," ",""),".",""),"-",""),"/",""),"?",""),"_",""),",",""),"[",""),"]",""),"(",""),")",""),"*","")</f>
        <v/>
      </c>
      <c r="AY679" s="61" t="str">
        <f aca="false">SUBSTITUTE(SUBSTITUTE(SUBSTITUTE(SUBSTITUTE(SUBSTITUTE(SUBSTITUTE(SUBSTITUTE(SUBSTITUTE(SUBSTITUTE(SUBSTITUTE(SUBSTITUTE(SUBSTITUTE(SUBSTITUTE(SUBSTITUTE(SUBSTITUTE(SUBSTITUTE(LOWER(W679&amp;""),CHAR(10),""),CHAR(13),""),CHAR(9),""),CHAR(160),"")," ",""),".",""),"-",""),"/",""),"?",""),"_",""),",",""),"[",""),"]",""),"(",""),")",""),"*","")</f>
        <v/>
      </c>
      <c r="AZ679" s="61" t="str">
        <f aca="false">SUBSTITUTE(SUBSTITUTE(SUBSTITUTE(SUBSTITUTE(SUBSTITUTE(SUBSTITUTE(SUBSTITUTE(SUBSTITUTE(SUBSTITUTE(SUBSTITUTE(SUBSTITUTE(SUBSTITUTE(SUBSTITUTE(SUBSTITUTE(SUBSTITUTE(SUBSTITUTE(LOWER(AC679&amp;""),CHAR(10),""),CHAR(13),""),CHAR(9),""),CHAR(160),"")," ",""),".",""),"-",""),"/",""),"?",""),"_",""),",",""),"[",""),"]",""),"(",""),")",""),"*","")</f>
        <v/>
      </c>
      <c r="BA679" s="61" t="str">
        <f aca="false">SUBSTITUTE(SUBSTITUTE(SUBSTITUTE(SUBSTITUTE(SUBSTITUTE(SUBSTITUTE(SUBSTITUTE(SUBSTITUTE(SUBSTITUTE(SUBSTITUTE(SUBSTITUTE(SUBSTITUTE(SUBSTITUTE(SUBSTITUTE(SUBSTITUTE(SUBSTITUTE(LOWER(AA679&amp;""),CHAR(10),""),CHAR(13),""),CHAR(9),""),CHAR(160),"")," ",""),".",""),"-",""),"/",""),"?",""),"_",""),",",""),"[",""),"]",""),"(",""),")",""),"*","")</f>
        <v/>
      </c>
      <c r="BB679" s="61" t="str">
        <f aca="false">IF(AND(TRIM(U679)="Pass",ISNUMBER(AF679)),IF(AF679&lt;&gt;0,"INVALID – qty variance: use Fail or Pass after CA",""),"")&amp;IF(AND(TRIM(U679)="Pass after CA",ISNUMBER(AF679)),IF(AF679&lt;&gt;0,"INVALID – after the corrective action the actual qty must equal expected (update Actual)",""),"")&amp;IF(AND(TRIM(U679)="Pass",TRIM(AB679)&lt;&gt;"",TRIM(AB679)&lt;&gt;"Closed"),"INVALID – corrective action not closed: use Fail, then Pass after CA","")&amp;IF(AND(LEN(BA679)&gt;=2,ISNA(MATCH(LEFT(BA679,255),L_Placeholder,0)),TRIM(AB679)=""),"INVALID – CA status missing for the recorded corrective action","")&amp;IF(AND(TRIM(U679)="Pass after CA",OR(OR(LEN(BA679)&lt;5,ISNUMBER(MATCH(BA679,L_Placeholder,0))),TRIM(AB679)&lt;&gt;"Closed")),"INVALID – corrective action not recorded/closed","")</f>
        <v/>
      </c>
      <c r="BC679" s="61" t="str">
        <f aca="false">" "&amp;TRIM(SUBSTITUTE(SUBSTITUTE(SUBSTITUTE(SUBSTITUTE(SUBSTITUTE(SUBSTITUTE(SUBSTITUTE(SUBSTITUTE(SUBSTITUTE(SUBSTITUTE(SUBSTITUTE(SUBSTITUTE(SUBSTITUTE(SUBSTITUTE(SUBSTITUTE(SUBSTITUTE(SUBSTITUTE(SUBSTITUTE(SUBSTITUTE(SUBSTITUTE(SUBSTITUTE(SUBSTITUTE(SUBSTITUTE(SUBSTITUTE(LOWER(V679&amp;""),CHAR(10)," "),CHAR(13)," "),CHAR(9)," "),CHAR(160)," "),"."," "),","," "),"-"," "),"/"," "),"("," "),")"," "),":"," "),";"," "),"_"," "),"–"," "),"?"," "),"!"," "),"*"," "),"["," "),"]"," "),"'"," "),"#"," "),"+"," "),"&amp;"," "),"\"," "))&amp;" "</f>
        <v>  </v>
      </c>
      <c r="BD679" s="61" t="str">
        <f aca="false">" "&amp;TRIM(SUBSTITUTE(SUBSTITUTE(SUBSTITUTE(SUBSTITUTE(SUBSTITUTE(SUBSTITUTE(SUBSTITUTE(SUBSTITUTE(SUBSTITUTE(SUBSTITUTE(SUBSTITUTE(SUBSTITUTE(SUBSTITUTE(SUBSTITUTE(SUBSTITUTE(SUBSTITUTE(SUBSTITUTE(SUBSTITUTE(SUBSTITUTE(SUBSTITUTE(SUBSTITUTE(SUBSTITUTE(SUBSTITUTE(SUBSTITUTE(LOWER(Z679&amp;""),CHAR(10)," "),CHAR(13)," "),CHAR(9)," "),CHAR(160)," "),"."," "),","," "),"-"," "),"/"," "),"("," "),")"," "),":"," "),";"," "),"_"," "),"–"," "),"?"," "),"!"," "),"*"," "),"["," "),"]"," "),"'"," "),"#"," "),"+"," "),"&amp;"," "),"\"," "))&amp;" "</f>
        <v>  </v>
      </c>
      <c r="BE679" s="61" t="str">
        <f aca="false">" "&amp;TRIM(SUBSTITUTE(SUBSTITUTE(SUBSTITUTE(SUBSTITUTE(SUBSTITUTE(SUBSTITUTE(SUBSTITUTE(SUBSTITUTE(SUBSTITUTE(SUBSTITUTE(SUBSTITUTE(SUBSTITUTE(SUBSTITUTE(SUBSTITUTE(SUBSTITUTE(SUBSTITUTE(SUBSTITUTE(SUBSTITUTE(SUBSTITUTE(SUBSTITUTE(SUBSTITUTE(SUBSTITUTE(SUBSTITUTE(SUBSTITUTE(LOWER(W679&amp;""),CHAR(10)," "),CHAR(13)," "),CHAR(9)," "),CHAR(160)," "),"."," "),","," "),"-"," "),"/"," "),"("," "),")"," "),":"," "),";"," "),"_"," "),"–"," "),"?"," "),"!"," "),"*"," "),"["," "),"]"," "),"'"," "),"#"," "),"+"," "),"&amp;"," "),"\"," "))&amp;" "</f>
        <v>  </v>
      </c>
      <c r="BF679" s="61" t="str">
        <f aca="false">" "&amp;TRIM(SUBSTITUTE(SUBSTITUTE(SUBSTITUTE(SUBSTITUTE(SUBSTITUTE(SUBSTITUTE(SUBSTITUTE(SUBSTITUTE(SUBSTITUTE(SUBSTITUTE(SUBSTITUTE(SUBSTITUTE(SUBSTITUTE(SUBSTITUTE(SUBSTITUTE(SUBSTITUTE(SUBSTITUTE(SUBSTITUTE(SUBSTITUTE(SUBSTITUTE(SUBSTITUTE(SUBSTITUTE(SUBSTITUTE(SUBSTITUTE(LOWER(AC679&amp;""),CHAR(10)," "),CHAR(13)," "),CHAR(9)," "),CHAR(160)," "),"."," "),","," "),"-"," "),"/"," "),"("," "),")"," "),":"," "),";"," "),"_"," "),"–"," "),"?"," "),"!"," "),"*"," "),"["," "),"]"," "),"'"," "),"#"," "),"+"," "),"&amp;"," "),"\"," "))&amp;" "</f>
        <v>  </v>
      </c>
      <c r="BG679" s="61" t="n">
        <f aca="false">IFERROR(IF(AND(TRIM(U679)="Pass",SUMPRODUCT((LEN(BC679)-LEN(SUBSTITUTE(BC679," "&amp;L_ResultBad&amp;" "," ")))/(LEN(L_ResultBad)+1))&gt;SUMPRODUCT((LEN(BC679)-LEN(SUBSTITUTE(BC679," "&amp;L_NegPhrase&amp;" "," ")))/(LEN(L_NegPhrase)+1))),1,0),0)</f>
        <v>0</v>
      </c>
      <c r="BH679" s="61" t="n">
        <f aca="false">IFERROR(IF(SUMPRODUCT((LEN(BC679)-LEN(SUBSTITUTE(BC679," "&amp;L_Pending&amp;" "," ")))/(LEN(L_Pending)+1))&gt;SUMPRODUCT((LEN(BC679)-LEN(SUBSTITUTE(BC679," "&amp;L_PendNeg&amp;" "," ")))/(LEN(L_PendNeg)+1))+SUMPRODUCT((LEN(BC679)-LEN(SUBSTITUTE(BC679," "&amp;L_PendPrep&amp;" "," ")))/(LEN(L_PendPrep)+1)),1,0),1)</f>
        <v>0</v>
      </c>
      <c r="BI679" s="61" t="n">
        <f aca="false">IFERROR(IF(SUMPRODUCT((LEN(BD679)-LEN(SUBSTITUTE(BD679," "&amp;L_PendStrict&amp;" "," ")))/(LEN(L_PendStrict)+1))&gt;SUMPRODUCT((LEN(BD679)-LEN(SUBSTITUTE(BD679," "&amp;L_PendNeg&amp;" "," ")))/(LEN(L_PendNeg)+1)),1,0),1)</f>
        <v>0</v>
      </c>
      <c r="BJ679" s="61" t="n">
        <f aca="false">IFERROR(IF(SUMPRODUCT((LEN(BE679)-LEN(SUBSTITUTE(BE679," "&amp;L_Pending&amp;" "," ")))/(LEN(L_Pending)+1))&gt;SUMPRODUCT((LEN(BE679)-LEN(SUBSTITUTE(BE679," "&amp;L_PendNeg&amp;" "," ")))/(LEN(L_PendNeg)+1))+SUMPRODUCT((LEN(BE679)-LEN(SUBSTITUTE(BE679," "&amp;L_PendPrep&amp;" "," ")))/(LEN(L_PendPrep)+1)),1,0),1)</f>
        <v>0</v>
      </c>
      <c r="BK679" s="61" t="n">
        <f aca="false">IFERROR(IF(SUMPRODUCT((LEN(BF679)-LEN(SUBSTITUTE(BF679," "&amp;L_PendStrict&amp;" "," ")))/(LEN(L_PendStrict)+1))&gt;SUMPRODUCT((LEN(BF679)-LEN(SUBSTITUTE(BF679," "&amp;L_PendNeg&amp;" "," ")))/(LEN(L_PendNeg)+1)),1,0),1)</f>
        <v>0</v>
      </c>
      <c r="BL679" s="61" t="n">
        <f aca="false">IF(ISNA(MATCH(TRIM(S679),L_EvidenceType,0)),0,BZ679)</f>
        <v>0</v>
      </c>
      <c r="BM679" s="61" t="str">
        <f aca="false">SUBSTITUTE(SUBSTITUTE(SUBSTITUTE(SUBSTITUTE(SUBSTITUTE(SUBSTITUTE(SUBSTITUTE(SUBSTITUTE(SUBSTITUTE(LOWER(Z679&amp;""),"1","0"),"2","0"),"3","0"),"4","0"),"5","0"),"6","0"),"7","0"),"8","0"),"9","0")</f>
        <v/>
      </c>
      <c r="BN679" s="61" t="str">
        <f aca="false">SUBSTITUTE(SUBSTITUTE(SUBSTITUTE(SUBSTITUTE(SUBSTITUTE(SUBSTITUTE(SUBSTITUTE(SUBSTITUTE(SUBSTITUTE(SUBSTITUTE(SUBSTITUTE(SUBSTITUTE(SUBSTITUTE(SUBSTITUTE(SUBSTITUTE(SUBSTITUTE(SUBSTITUTE(SUBSTITUTE(SUBSTITUTE(SUBSTITUTE(SUBSTITUTE(SUBSTITUTE(SUBSTITUTE(SUBSTITUTE(SUBSTITUTE(BM679,"b","a"),"c","a"),"d","a"),"e","a"),"f","a"),"g","a"),"h","a"),"i","a"),"j","a"),"k","a"),"l","a"),"m","a"),"n","a"),"o","a"),"p","a"),"q","a"),"r","a"),"s","a"),"t","a"),"u","a"),"v","a"),"w","a"),"x","a"),"y","a"),"z","a")</f>
        <v/>
      </c>
      <c r="BO679" s="61" t="str">
        <f aca="false">SUBSTITUTE(SUBSTITUTE(SUBSTITUTE(SUBSTITUTE(SUBSTITUTE(SUBSTITUTE(SUBSTITUTE(SUBSTITUTE(SUBSTITUTE(LOWER(W679&amp;""),"1","0"),"2","0"),"3","0"),"4","0"),"5","0"),"6","0"),"7","0"),"8","0"),"9","0")</f>
        <v/>
      </c>
      <c r="BP679" s="61" t="str">
        <f aca="false">SUBSTITUTE(SUBSTITUTE(SUBSTITUTE(SUBSTITUTE(SUBSTITUTE(SUBSTITUTE(SUBSTITUTE(SUBSTITUTE(SUBSTITUTE(SUBSTITUTE(SUBSTITUTE(SUBSTITUTE(SUBSTITUTE(SUBSTITUTE(SUBSTITUTE(SUBSTITUTE(SUBSTITUTE(SUBSTITUTE(SUBSTITUTE(SUBSTITUTE(SUBSTITUTE(SUBSTITUTE(SUBSTITUTE(SUBSTITUTE(SUBSTITUTE(BO679,"b","a"),"c","a"),"d","a"),"e","a"),"f","a"),"g","a"),"h","a"),"i","a"),"j","a"),"k","a"),"l","a"),"m","a"),"n","a"),"o","a"),"p","a"),"q","a"),"r","a"),"s","a"),"t","a"),"u","a"),"v","a"),"w","a"),"x","a"),"y","a"),"z","a")</f>
        <v/>
      </c>
      <c r="BQ679" s="61" t="n">
        <f aca="false">IFERROR(IF(AND(ISERROR(SEARCH(" mh"," "&amp;LOWER(W679))),ISNA(MATCH(LEFT(TRIM(BP679),255),{"0000a","000a","00a","0000aa","000aa","00aa","0aa","0000aaa","000aaa","00a00","0a00","0000-0000","00:00","a00","a0","00.00.0000","00/00/0000","00-00-0000","0000-00-00","0000/00/00","0000.00.00","00.00.00","00/00/00","00-00-00","0.00.0000","0/00/0000","0-00-0000"},0)),ISNA(MATCH(LEFT(TRIM(CA679),255),{"0000a","000a","00a","0000aa","000aa","00aa","0aa","0000aaa","000aaa","00a00","0a00","0000-0000","00:00","a00","a0","00.00.0000","00/00/0000","00-00-0000","0000-00-00","0000/00/00","0000.00.00","00.00.00","00/00/00","00-00-00","0.00.0000","0/00/0000","0-00-0000"},0)),LEN(CB679)&gt;=3,NOT(OR(SUBSTITUTE(CB679,"0","")="",AND(LEN(CB679)&gt;=4,CB679=REPT(LEFT(CB679),LEN(CB679))),ISNUMBER(MATCH(CB679,{"123","1234","12345","123456","1234567","12345678","0123","01234","012345","98765","987654","54321"},0)),AND(LEN(CB679)=8,LEFT(CB679,3)="202"))),OR(AND((LEN(CA679)-LEN(SUBSTITUTE(CA679,"a","")))&gt;=1,SUMPRODUCT(--ISNUMBER(SEARCH({"a0","a-0","a_0","a/0","a.0","a#0","0a","0-a","0_a","0/a"},BP679)))&gt;0),ISNUMBER(SEARCH("000000",BP679)))),1,0),0)</f>
        <v>0</v>
      </c>
      <c r="BR679" s="61" t="n">
        <f aca="false">IFERROR(LEN(SUBSTITUTE(CC679," ",""))-SUMPRODUCT((LEN(CC679)-LEN(SUBSTITUTE(CC679," "&amp;L_Role&amp;" "," ")))/(LEN(L_Role)+1)*LEN(L_Role)),0)</f>
        <v>0</v>
      </c>
      <c r="BS679" s="61" t="n">
        <f aca="false">IFERROR(LEN(SUBSTITUTE(CD679," ",""))-SUMPRODUCT((LEN(CD679)-LEN(SUBSTITUTE(CD679," "&amp;L_Role&amp;" "," ")))/(LEN(L_Role)+1)*LEN(L_Role)),0)</f>
        <v>0</v>
      </c>
      <c r="BT6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679,"revision",""),"version",""),"jan",""),"feb",""),"mar",""),"apr",""),"may",""),"jun",""),"jul",""),"aug",""),"sep",""),"oct",""),"nov",""),"dec",""),"utc",""),"gmt",""),"myt",""),"bst",""),"rev",""),"ver",""),"b","a"),"c","a"),"d","a"),"e","a"),"f","a"),"g","a"),"h","a"),"i","a"),"j","a"),"k","a"),"l","a"),"m","a"),"n","a"),"o","a"),"p","a"),"q","a"),"r","a"),"s","a"),"t","a"),"u","a"),"v","a"),"w","a"),"x","a"),"y","a"),"z","a")</f>
        <v/>
      </c>
      <c r="BU679" s="61" t="str">
        <f aca="false">SUBSTITUTE(SUBSTITUTE(SUBSTITUTE(SUBSTITUTE(SUBSTITUTE(SUBSTITUTE(SUBSTITUTE(SUBSTITUTE(SUBSTITUTE(SUBSTITUTE(LEFT(BM679,FIND("0",BM679&amp;"0")-1),"-",""),"_",""),"/",""),".",""),"#",""),"\\",""),":","")," ",""),"(",""),")","")</f>
        <v/>
      </c>
      <c r="BV679" s="61" t="n">
        <f aca="false">0</f>
        <v>0</v>
      </c>
      <c r="BW67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679&amp;""),"a",""),"b",""),"c",""),"d",""),"e",""),"f",""),"g",""),"h",""),"i",""),"j",""),"k",""),"l",""),"m",""),"n",""),"o",""),"p",""),"q",""),"r",""),"s",""),"t",""),"u",""),"v",""),"w",""),"x",""),"y",""),"z",""),"-",""),"_",""),"/",""),".",""),"#",""),"\\",""),":","")," ",""),"(",""),")","")</f>
        <v/>
      </c>
      <c r="BX679" s="61" t="str">
        <f aca="false">SUBSTITUTE(SUBSTITUTE(SUBSTITUTE(SUBSTITUTE(SUBSTITUTE(SUBSTITUTE(SUBSTITUTE(SUBSTITUTE(SUBSTITUTE(SUBSTITUTE(SUBSTITUTE(BM679,"0",""),"-",""),"_",""),"/",""),".",""),"#",""),"\\",""),":","")," ",""),"(",""),")","")</f>
        <v/>
      </c>
      <c r="BY679" s="62" t="n">
        <f aca="false">Q679-T12EarlyH/24</f>
        <v>46323.6875</v>
      </c>
      <c r="BZ679" s="61" t="n">
        <f aca="false">IFERROR(IF(IF(TRIM(S679)="Link / file path",AND(LEN(TRIM(Z679))&gt;=5,SUMPRODUCT(--ISNUMBER(SEARCH({"http","www.","\\",":\",".pdf",".jpg",".jpeg",".png",".heic",".xls",".doc",".msg",".eml",".ppt",".txt",".zip"},Z679)))&gt;0),AND(ISERROR(FIND(" ",TRIM(Z679))),NOT(OR(SUMPRODUCT(--ISNUMBER(FIND({",",";","&amp;","+"},Z679)))&gt;0,SUMPRODUCT(--ISNUMBER(SEARCH({"0/aa","0\\aa"},BN679)))&gt;0)),NOT(SUMPRODUCT(--ISNUMBER(SEARCH({"http","www.","\\",":\",".pdf",".jpg",".jpeg",".png",".heic",".xls",".doc",".msg",".eml",".ppt",".txt",".zip"},Z679)))&gt;0),NOT(LOWER(TRIM(Z679))=LOWER(Flights!$F$25)),ISNA(MATCH(BU679,{"mh","rev","revision","ver","version","v","r","a","b","seat","tray","row","gate","bay","stand","page","pg","item","line","no","cart","galley","flight","flt","table","box","bag","oven","etd","eta","std","sta","atd","ata","qty","pax","x","time","tel","ph","mob","day","wk","week","utc","gmt","myt","lt"},0)),NOT(OR(ISNUMBER(MATCH(LEFT(BN679,255),{"0000a","000a","00a","0000aa","000aa","00aa","0aa","0000aaa","000aaa","00a00","0a00","0000-0000","00:00","a00","a0","00.00.0000","00/00/0000","00-00-0000","0000-00-00","0000/00/00","0000.00.00","00.00.00","00/00/00","00-00-00","0.00.0000","0/00/0000","0-00-0000"},0)),ISNUMBER(MATCH(LEFT(BT679,255),{"0000a","000a","00a","0000aa","000aa","00aa","0aa","0000aaa","000aaa","00a00","0a00","0000-0000","00:00","a00","a0","00.00.0000","00/00/0000","00-00-0000","0000-00-00","0000/00/00","0000.00.00","00.00.00","00/00/00","00-00-00","0.00.0000","0/00/0000","0-00-0000"},0)))),NOT(OR(AND(BW679&lt;&gt;"",SUBSTITUTE(BW679,"0","")=""),AND(LEN(BW679)&gt;=4,BW679=REPT(LEFT(BW679),LEN(BW679))),ISNUMBER(MATCH(BW679,{"123","1234","12345","123456","1234567","12345678","0123","01234","012345","98765","987654","54321"},0)),ISNUMBER(MATCH(BX679,{"x","xx","xxx","xxxx","xxxxx","abc","abcd","nil","na","nan","test","tbc","tba","tbd","dummy","sample","example","eg","zz","zzz","none","null","xyz","qwe","asd","id","ref"},0)),AND(LEN(BW679)=8,BX679="",OR(LEFT(BW679,3)="202",ISNUMBER(MATCH(RIGHT(BW679,4),{"2025","2026","2027"},0)))))),OR(AND((LEN(BT679)-LEN(SUBSTITUTE(BT679,"a","")))&gt;=1,(LEN(BN679)-LEN(SUBSTITUTE(BN679,"0","")))&gt;=2,SUMPRODUCT(--ISNUMBER(SEARCH({"a0","a-0","a_0","a/0","a.0","a#0","0a","0-a","0_a","0/a"},BN679)))&gt;0),AND((LEN(BN679)-LEN(SUBSTITUTE(BN679,"a","")))=0,(LEN(BN679)-LEN(SUBSTITUTE(BN679,"0","")))&gt;=5)))),1,0),0)</f>
        <v>0</v>
      </c>
      <c r="CA6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679,"revision",""),"version",""),"jan",""),"feb",""),"mar",""),"apr",""),"may",""),"jun",""),"jul",""),"aug",""),"sep",""),"oct",""),"nov",""),"dec",""),"utc",""),"gmt",""),"myt",""),"bst",""),"rev",""),"ver",""),"b","a"),"c","a"),"d","a"),"e","a"),"f","a"),"g","a"),"h","a"),"i","a"),"j","a"),"k","a"),"l","a"),"m","a"),"n","a"),"o","a"),"p","a"),"q","a"),"r","a"),"s","a"),"t","a"),"u","a"),"v","a"),"w","a"),"x","a"),"y","a"),"z","a")</f>
        <v/>
      </c>
      <c r="CB67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679&amp;""),"a",""),"b",""),"c",""),"d",""),"e",""),"f",""),"g",""),"h",""),"i",""),"j",""),"k",""),"l",""),"m",""),"n",""),"o",""),"p",""),"q",""),"r",""),"s",""),"t",""),"u",""),"v",""),"w",""),"x",""),"y",""),"z",""),"-",""),"_",""),"/",""),".",""),"#",""),"\\",""),":","")," ",""),"(",""),")","")</f>
        <v/>
      </c>
      <c r="CC679" s="0" t="str">
        <f aca="false">" "&amp;TRIM(SUBSTITUTE(SUBSTITUTE(SUBSTITUTE(SUBSTITUTE(SUBSTITUTE(SUBSTITUTE(SUBSTITUTE(SUBSTITUTE(SUBSTITUTE(SUBSTITUTE(SUBSTITUTE(SUBSTITUTE(SUBSTITUTE(SUBSTITUTE(SUBSTITUTE(SUBSTITUTE(SUBSTITUTE(SUBSTITUTE(SUBSTITUTE(SUBSTITUTE(SUBSTITUTE(SUBSTITUTE(SUBSTITUTE(SUBSTITUTE(LOWER(T679&amp;""),CHAR(10)," "),CHAR(13)," "),CHAR(9)," "),CHAR(160)," "),"."," "),","," "),"-"," "),"/"," "),"("," "),")"," "),":"," "),";"," "),"_"," "),"–"," "),"?"," "),"!"," "),"*"," "),"["," "),"]"," "),"'"," "),"#"," "),"+"," "),"&amp;"," "),"\"," "))&amp;" "</f>
        <v>  </v>
      </c>
      <c r="CD679" s="0" t="str">
        <f aca="false">" "&amp;TRIM(SUBSTITUTE(SUBSTITUTE(SUBSTITUTE(SUBSTITUTE(SUBSTITUTE(SUBSTITUTE(SUBSTITUTE(SUBSTITUTE(SUBSTITUTE(SUBSTITUTE(SUBSTITUTE(SUBSTITUTE(SUBSTITUTE(SUBSTITUTE(SUBSTITUTE(SUBSTITUTE(SUBSTITUTE(SUBSTITUTE(SUBSTITUTE(SUBSTITUTE(SUBSTITUTE(SUBSTITUTE(SUBSTITUTE(SUBSTITUTE(LOWER(AE679&amp;""),CHAR(10)," "),CHAR(13)," "),CHAR(9)," "),CHAR(160)," "),"."," "),","," "),"-"," "),"/"," "),"("," "),")"," "),":"," "),";"," "),"_"," "),"–"," "),"?"," "),"!"," "),"*"," "),"["," "),"]"," "),"'"," "),"#"," "),"+"," "),"&amp;"," "),"\"," "))&amp;" "</f>
        <v>  </v>
      </c>
      <c r="CE679" s="68" t="n">
        <f aca="false">IFERROR(IF(AND(LEN(AU679)&gt;0,LEN(AU679)=LEN(AX679),OR(TRIM(MID(SUBSTITUTE(TRIM(CC679)," ",REPT(" ",60)),1,60))="",ISNUMBER(SEARCH(" "&amp;TRIM(MID(SUBSTITUTE(TRIM(CC679)," ",REPT(" ",60)),1,60))&amp;" ",CD679))),OR(TRIM(MID(SUBSTITUTE(TRIM(CC679)," ",REPT(" ",60)),61,60))="",ISNUMBER(SEARCH(" "&amp;TRIM(MID(SUBSTITUTE(TRIM(CC679)," ",REPT(" ",60)),61,60))&amp;" ",CD679))),OR(TRIM(MID(SUBSTITUTE(TRIM(CC679)," ",REPT(" ",60)),121,60))="",ISNUMBER(SEARCH(" "&amp;TRIM(MID(SUBSTITUTE(TRIM(CC679)," ",REPT(" ",60)),121,60))&amp;" ",CD679)))),1,0),0)</f>
        <v>0</v>
      </c>
      <c r="CG679" s="68" t="n">
        <f aca="false">IFERROR(LEN(SUBSTITUTE(BF679," ",""))-SUMPRODUCT((LEN(BF679)-LEN(SUBSTITUTE(BF679," "&amp;L_NAFiller&amp;" "," ")))/(LEN(L_NAFiller)+1)*LEN(L_NAFiller)),0)</f>
        <v>0</v>
      </c>
    </row>
    <row r="680" customFormat="false" ht="41.25" hidden="false" customHeight="true" outlineLevel="0" collapsed="false">
      <c r="A680" s="57" t="s">
        <v>1402</v>
      </c>
      <c r="B680" s="57" t="s">
        <v>310</v>
      </c>
      <c r="C680" s="57" t="str">
        <f aca="false">Flights!$F$25</f>
        <v>MH1437</v>
      </c>
      <c r="D680" s="58" t="n">
        <f aca="false">Flights!$D$25</f>
        <v>46325</v>
      </c>
      <c r="E680" s="57" t="str">
        <f aca="false">Flights!$G$25&amp;"-"&amp;Flights!$H$25</f>
        <v>LGK-KUL</v>
      </c>
      <c r="F680" s="57" t="str">
        <f aca="false">Flights!$K$25</f>
        <v>BC</v>
      </c>
      <c r="G680" s="57" t="s">
        <v>420</v>
      </c>
      <c r="H680" s="57" t="s">
        <v>378</v>
      </c>
      <c r="I680" s="57" t="s">
        <v>428</v>
      </c>
      <c r="J680" s="57" t="s">
        <v>433</v>
      </c>
      <c r="K680" s="67"/>
      <c r="L680" s="67" t="s">
        <v>422</v>
      </c>
      <c r="M680" s="67"/>
      <c r="N680" s="67" t="s">
        <v>383</v>
      </c>
      <c r="O680" s="67" t="s">
        <v>975</v>
      </c>
      <c r="P680" s="57" t="s">
        <v>187</v>
      </c>
      <c r="Q680" s="59" t="n">
        <f aca="false">ROUND((MIN(Flights!$AE$25,Flights!$AY$25))*1440,0)/1440</f>
        <v>46324.1875</v>
      </c>
      <c r="R680" s="59" t="n">
        <f aca="false">Q680+(IF(AND(INDEX(TZ_DSTS,MATCH(P680,TZ_STN,0))&lt;&gt;"",Q680&gt;=INDEX(TZ_DSTS,MATCH(P680,TZ_STN,0)),Q680&lt;INDEX(TZ_DSTE,MATCH(P680,TZ_STN,0))),INDEX(TZ_DST,MATCH(P680,TZ_STN,0)),INDEX(TZ_STD,MATCH(P680,TZ_STN,0))))/24</f>
        <v>46324.5208333333</v>
      </c>
      <c r="S680" s="60"/>
      <c r="T680" s="60"/>
      <c r="U680" s="60"/>
      <c r="V680" s="60"/>
      <c r="W680" s="61"/>
      <c r="X680" s="60"/>
      <c r="Y680" s="60"/>
      <c r="Z680" s="60"/>
      <c r="AA680" s="60"/>
      <c r="AB680" s="60"/>
      <c r="AC680" s="60"/>
      <c r="AD680" s="66"/>
      <c r="AE680" s="60"/>
      <c r="AF680" s="61" t="str">
        <f aca="false">IF(AND(ISNUMBER(X680),ISNUMBER(Y680)),Y680-X680,"")</f>
        <v/>
      </c>
      <c r="AG680" s="62" t="str">
        <f aca="false">IF(ISNUMBER(AD680),AD680-(IF(AND(INDEX(TZ_DSTS,MATCH(P680,TZ_STN,0))&lt;&gt;"",(AD680-INDEX(TZ_STD,MATCH(P680,TZ_STN,0))/24)&gt;=INDEX(TZ_DSTS,MATCH(P680,TZ_STN,0)),(AD680-INDEX(TZ_STD,MATCH(P680,TZ_STN,0))/24)&lt;INDEX(TZ_DSTE,MATCH(P680,TZ_STN,0))),INDEX(TZ_DST,MATCH(P680,TZ_STN,0)),INDEX(TZ_STD,MATCH(P680,TZ_STN,0))))/24,"")</f>
        <v/>
      </c>
      <c r="AH680" s="65" t="str">
        <f aca="false">IFERROR(IF(N680="N/A – rule",IF(OR(TRIM(U680)="",TRIM(U680)="N/A",TRIM(U680)="Not started"),"N/A – RULE","INVALID – this check does not apply to this aircraft: clear the status (or correct the fleet on Flights)"),IF(TRIM(U680)="N/A",IF(AT680=0,"INVALID – N/A not permitted for this check",IF(AND(TRIM(AB680)&lt;&gt;"",TRIM(AB680)&lt;&gt;"Closed"),"INVALID – corrective action still open",IF(AND(NOT(OR(LEN(AZ680)&lt;15,ISNUMBER(MATCH(AZ680,L_Placeholder,0)))),BK680=0,CG680&gt;=8,NOT(OR(LEN(AU680)&lt;2,ISNUMBER(MATCH(AU680,L_Placeholder,0)))),BR680&gt;=3,NOT(OR(LEN(AX680)&lt;2,ISNUMBER(MATCH(AX680,L_Placeholder,0)))),BS680&gt;=3,TRIM(AE680)&lt;&gt;TRIM(T680),AX680&lt;&gt;AU680,CE680=0),"N/A – JUSTIFIED","INVALID – N/A needs a real, settled reason (not 'not applicable' / 'as above' / TBC), a named PIC and a different named verifier"))),IF(OR(TRIM(U680)="Pass",TRIM(U680)="Pass after CA"),IF(NOT(ISNUMBER(AD680)),"INVALID – completion time missing",IF(OR(OR(LEN(AU680)&lt;2,ISNUMBER(MATCH(AU680,L_Placeholder,0))),BR680&lt;3),"INVALID – PIC missing or not a named person (a role such as QA / CSM is not a name)",IF(OR(LEN(AV680)&lt;2,ISNUMBER(MATCH(AV680,L_Placeholder,0))),"INVALID – result / assessment missing",IF(OR(OR(LEN(AW680)&lt;3,ISNUMBER(MATCH(AW680,L_Placeholder,0))),SUMPRODUCT(--ISNUMBER(SEARCH(" "&amp;L_EvidencePhrase&amp;" ",BD680)))&gt;0,BI680=1),"INVALID – evidence missing, placeholder or not yet on file",IF(ISNA(MATCH(TRIM(S680),L_EvidenceType,0)),"INVALID – choose the evidence type from the list (column S)",IF(BL680=0,"INVALID – evidence ID must be the record's own ID only (e.g. SF-2210, IMG_2231, 1045521); a link / file name needs type 'Link / file path'",IF(OR(OR(LEN(AX680)&lt;2,ISNUMBER(MATCH(AX680,L_Placeholder,0))),BS680&lt;3),"INVALID – verifier missing or not a named person (a role such as QA / CSM is not a name)",IF(OR(AX680=AU680,CE680=1,AND(LEN(AU680)&gt;=4,ISNUMBER(SEARCH(AU680,AX680))),AND(LEN(AX680)&gt;=4,ISNUMBER(SEARCH(AX680,AU680)))),"INVALID – verifier must be a different, named person (not the PIC or a role)",IF(BH680=1,"INVALID – result not yet available (awaiting / TBC)",IF(BG680=1,"INVALID – result describes a problem: record Fail, then Pass after CA (or reword if it is not a problem)",IF(BV680=1,"INVALID – wording says not on board: an on-board confirmation needs the item loaded",IF(AND(AQ680=1,OR(OR(LEN(AY680)&lt;3,ISNUMBER(MATCH(AY680,L_Placeholder,0))),BJ680=1,BQ680=0)),"INVALID – batch ID missing, placeholder or not an ID (e.g. PASB-261008-BC-017)",IF(AND(AR680=1,OR(NOT(ISNUMBER(X680)),NOT(ISNUMBER(Y680)))),"INVALID – expected/actual qty missing",IF(AND(AR680=1,OR(X680&lt;=0,Y680&lt;0)),"INVALID – expected qty must be above 0 and actual not negative",IF(BB680&lt;&gt;"",BB680,IF(AND(AS680=1,Documents!$J$25&lt;&gt;"ON FILE"),"INVALID – GLD not on file (Documents sheet)",IF(AND(AS680=2,Documents!$O$25&lt;&gt;"ON FILE"),"INVALID – menu checklist not on file (Documents sheet)",IF(AND(AS680=3,NOT(ISNUMBER(Flights!$AX$25))),"INVALID – enter carrying flight KUL departure (Flights AX)",IF(AND(AS680=3,OR(Flights!$AZ$25&gt;Flights!$AA$25,Flights!$AX$25&lt;Flights!$AA$25-3)),"INVALID – carrying flight (Flights AX) cannot arrive before this leg's STD, or is over 3 days early",IF(AG680&gt;AsOfUTC,"INVALID – completion time is in the future",IF(AND(ISNUMBER(BY680),AG680&lt;BY680),IF(H680="Physical uplift","INVALID – before uplift window (cannot confirm loading)","INVALID – before valid window"),IF(AG680&gt;Flights!$AA$25,"INVALID – completed after departure (cannot establish readiness)",IF(AND(H680="Preparation",AG680&gt;=Flights!$AY$25+UpliftWindowH/24),"INVALID – completed after the carrying flight left KUL",IF(AND(H680="Physical uplift",AG680&gt;Q680),"INVALID – recorded after the loading flight departed",IF(AG680&gt;Q680,"COMPLETE – LATE","COMPLETE"))))))))))))))))))))))))),IF(TRIM(U680)="Fail","FAIL – DISCREPANCY",IF(AND(TRIM(U680)&lt;&gt;"",TRIM(U680)&lt;&gt;"Not started",TRIM(U680)&lt;&gt;"In progress"),"INVALID – unrecognised status (use the list)",IF(AsOfUTC&gt;Q680,"OVERDUE",IF(N680="Clarification required","OPEN – CLARIFICATION","OPEN"))))))),"INVALID – error value in an input cell")</f>
        <v>OPEN</v>
      </c>
      <c r="AI680" s="61" t="n">
        <f aca="false">IF(OR(AH680="N/A – RULE",AH680="N/A – JUSTIFIED"),0,1)</f>
        <v>1</v>
      </c>
      <c r="AJ680" s="61" t="n">
        <f aca="false">IF(LEFT(AH680,8)="COMPLETE",1,0)</f>
        <v>0</v>
      </c>
      <c r="AK680" s="61" t="n">
        <f aca="false">IF(AND(AI680=1,AJ680=0,AsOfUTC&gt;Q680),1,0)</f>
        <v>0</v>
      </c>
      <c r="AL680" s="61" t="n">
        <f aca="false">IFERROR(IF(AND(AI680=1,OR(TRIM(U680)="Fail",AND(TRIM(AB680)&lt;&gt;"",TRIM(AB680)&lt;&gt;"Closed"),AND(ISNUMBER(AF680),AF680&lt;&gt;0,TRIM(U680)&lt;&gt;"Pass after CA"))),1,0),1)</f>
        <v>0</v>
      </c>
      <c r="AM680" s="61" t="n">
        <f aca="false">IF(LEFT(AH680,7)="INVALID",1,0)</f>
        <v>0</v>
      </c>
      <c r="AN680" s="61" t="n">
        <f aca="false">IF(AND(N680="Clarification required",AI680=1,AJ680=0),1,0)</f>
        <v>0</v>
      </c>
      <c r="AO680" s="61" t="str">
        <f aca="false">IF(AK680=1,SUM(AK$5:AK680),"")</f>
        <v/>
      </c>
      <c r="AP680" s="61" t="str">
        <f aca="false">IF(AL680=1,SUM(AL$5:AL680),"")</f>
        <v/>
      </c>
      <c r="AQ680" s="61" t="n">
        <v>0</v>
      </c>
      <c r="AR680" s="61" t="n">
        <v>0</v>
      </c>
      <c r="AS680" s="61" t="n">
        <v>0</v>
      </c>
      <c r="AT680" s="61" t="n">
        <v>0</v>
      </c>
      <c r="AU680" s="61" t="str">
        <f aca="false">SUBSTITUTE(SUBSTITUTE(SUBSTITUTE(SUBSTITUTE(SUBSTITUTE(SUBSTITUTE(SUBSTITUTE(SUBSTITUTE(SUBSTITUTE(SUBSTITUTE(SUBSTITUTE(SUBSTITUTE(SUBSTITUTE(SUBSTITUTE(SUBSTITUTE(SUBSTITUTE(LOWER(T680&amp;""),CHAR(10),""),CHAR(13),""),CHAR(9),""),CHAR(160),"")," ",""),".",""),"-",""),"/",""),"?",""),"_",""),",",""),"[",""),"]",""),"(",""),")",""),"*","")</f>
        <v/>
      </c>
      <c r="AV680" s="61" t="str">
        <f aca="false">SUBSTITUTE(SUBSTITUTE(SUBSTITUTE(SUBSTITUTE(SUBSTITUTE(SUBSTITUTE(SUBSTITUTE(SUBSTITUTE(SUBSTITUTE(SUBSTITUTE(SUBSTITUTE(SUBSTITUTE(SUBSTITUTE(SUBSTITUTE(SUBSTITUTE(SUBSTITUTE(LOWER(V680&amp;""),CHAR(10),""),CHAR(13),""),CHAR(9),""),CHAR(160),"")," ",""),".",""),"-",""),"/",""),"?",""),"_",""),",",""),"[",""),"]",""),"(",""),")",""),"*","")</f>
        <v/>
      </c>
      <c r="AW680" s="61" t="str">
        <f aca="false">SUBSTITUTE(SUBSTITUTE(SUBSTITUTE(SUBSTITUTE(SUBSTITUTE(SUBSTITUTE(SUBSTITUTE(SUBSTITUTE(SUBSTITUTE(SUBSTITUTE(SUBSTITUTE(SUBSTITUTE(SUBSTITUTE(SUBSTITUTE(SUBSTITUTE(SUBSTITUTE(LOWER(Z680&amp;""),CHAR(10),""),CHAR(13),""),CHAR(9),""),CHAR(160),"")," ",""),".",""),"-",""),"/",""),"?",""),"_",""),",",""),"[",""),"]",""),"(",""),")",""),"*","")</f>
        <v/>
      </c>
      <c r="AX680" s="61" t="str">
        <f aca="false">SUBSTITUTE(SUBSTITUTE(SUBSTITUTE(SUBSTITUTE(SUBSTITUTE(SUBSTITUTE(SUBSTITUTE(SUBSTITUTE(SUBSTITUTE(SUBSTITUTE(SUBSTITUTE(SUBSTITUTE(SUBSTITUTE(SUBSTITUTE(SUBSTITUTE(SUBSTITUTE(LOWER(AE680&amp;""),CHAR(10),""),CHAR(13),""),CHAR(9),""),CHAR(160),"")," ",""),".",""),"-",""),"/",""),"?",""),"_",""),",",""),"[",""),"]",""),"(",""),")",""),"*","")</f>
        <v/>
      </c>
      <c r="AY680" s="61" t="str">
        <f aca="false">SUBSTITUTE(SUBSTITUTE(SUBSTITUTE(SUBSTITUTE(SUBSTITUTE(SUBSTITUTE(SUBSTITUTE(SUBSTITUTE(SUBSTITUTE(SUBSTITUTE(SUBSTITUTE(SUBSTITUTE(SUBSTITUTE(SUBSTITUTE(SUBSTITUTE(SUBSTITUTE(LOWER(W680&amp;""),CHAR(10),""),CHAR(13),""),CHAR(9),""),CHAR(160),"")," ",""),".",""),"-",""),"/",""),"?",""),"_",""),",",""),"[",""),"]",""),"(",""),")",""),"*","")</f>
        <v/>
      </c>
      <c r="AZ680" s="61" t="str">
        <f aca="false">SUBSTITUTE(SUBSTITUTE(SUBSTITUTE(SUBSTITUTE(SUBSTITUTE(SUBSTITUTE(SUBSTITUTE(SUBSTITUTE(SUBSTITUTE(SUBSTITUTE(SUBSTITUTE(SUBSTITUTE(SUBSTITUTE(SUBSTITUTE(SUBSTITUTE(SUBSTITUTE(LOWER(AC680&amp;""),CHAR(10),""),CHAR(13),""),CHAR(9),""),CHAR(160),"")," ",""),".",""),"-",""),"/",""),"?",""),"_",""),",",""),"[",""),"]",""),"(",""),")",""),"*","")</f>
        <v/>
      </c>
      <c r="BA680" s="61" t="str">
        <f aca="false">SUBSTITUTE(SUBSTITUTE(SUBSTITUTE(SUBSTITUTE(SUBSTITUTE(SUBSTITUTE(SUBSTITUTE(SUBSTITUTE(SUBSTITUTE(SUBSTITUTE(SUBSTITUTE(SUBSTITUTE(SUBSTITUTE(SUBSTITUTE(SUBSTITUTE(SUBSTITUTE(LOWER(AA680&amp;""),CHAR(10),""),CHAR(13),""),CHAR(9),""),CHAR(160),"")," ",""),".",""),"-",""),"/",""),"?",""),"_",""),",",""),"[",""),"]",""),"(",""),")",""),"*","")</f>
        <v/>
      </c>
      <c r="BB680" s="61" t="str">
        <f aca="false">IF(AND(TRIM(U680)="Pass",ISNUMBER(AF680)),IF(AF680&lt;&gt;0,"INVALID – qty variance: use Fail or Pass after CA",""),"")&amp;IF(AND(TRIM(U680)="Pass after CA",ISNUMBER(AF680)),IF(AF680&lt;&gt;0,"INVALID – after the corrective action the actual qty must equal expected (update Actual)",""),"")&amp;IF(AND(TRIM(U680)="Pass",TRIM(AB680)&lt;&gt;"",TRIM(AB680)&lt;&gt;"Closed"),"INVALID – corrective action not closed: use Fail, then Pass after CA","")&amp;IF(AND(LEN(BA680)&gt;=2,ISNA(MATCH(LEFT(BA680,255),L_Placeholder,0)),TRIM(AB680)=""),"INVALID – CA status missing for the recorded corrective action","")&amp;IF(AND(TRIM(U680)="Pass after CA",OR(OR(LEN(BA680)&lt;5,ISNUMBER(MATCH(BA680,L_Placeholder,0))),TRIM(AB680)&lt;&gt;"Closed")),"INVALID – corrective action not recorded/closed","")</f>
        <v/>
      </c>
      <c r="BC680" s="61" t="str">
        <f aca="false">" "&amp;TRIM(SUBSTITUTE(SUBSTITUTE(SUBSTITUTE(SUBSTITUTE(SUBSTITUTE(SUBSTITUTE(SUBSTITUTE(SUBSTITUTE(SUBSTITUTE(SUBSTITUTE(SUBSTITUTE(SUBSTITUTE(SUBSTITUTE(SUBSTITUTE(SUBSTITUTE(SUBSTITUTE(SUBSTITUTE(SUBSTITUTE(SUBSTITUTE(SUBSTITUTE(SUBSTITUTE(SUBSTITUTE(SUBSTITUTE(SUBSTITUTE(LOWER(V680&amp;""),CHAR(10)," "),CHAR(13)," "),CHAR(9)," "),CHAR(160)," "),"."," "),","," "),"-"," "),"/"," "),"("," "),")"," "),":"," "),";"," "),"_"," "),"–"," "),"?"," "),"!"," "),"*"," "),"["," "),"]"," "),"'"," "),"#"," "),"+"," "),"&amp;"," "),"\"," "))&amp;" "</f>
        <v>  </v>
      </c>
      <c r="BD680" s="61" t="str">
        <f aca="false">" "&amp;TRIM(SUBSTITUTE(SUBSTITUTE(SUBSTITUTE(SUBSTITUTE(SUBSTITUTE(SUBSTITUTE(SUBSTITUTE(SUBSTITUTE(SUBSTITUTE(SUBSTITUTE(SUBSTITUTE(SUBSTITUTE(SUBSTITUTE(SUBSTITUTE(SUBSTITUTE(SUBSTITUTE(SUBSTITUTE(SUBSTITUTE(SUBSTITUTE(SUBSTITUTE(SUBSTITUTE(SUBSTITUTE(SUBSTITUTE(SUBSTITUTE(LOWER(Z680&amp;""),CHAR(10)," "),CHAR(13)," "),CHAR(9)," "),CHAR(160)," "),"."," "),","," "),"-"," "),"/"," "),"("," "),")"," "),":"," "),";"," "),"_"," "),"–"," "),"?"," "),"!"," "),"*"," "),"["," "),"]"," "),"'"," "),"#"," "),"+"," "),"&amp;"," "),"\"," "))&amp;" "</f>
        <v>  </v>
      </c>
      <c r="BE680" s="61" t="str">
        <f aca="false">" "&amp;TRIM(SUBSTITUTE(SUBSTITUTE(SUBSTITUTE(SUBSTITUTE(SUBSTITUTE(SUBSTITUTE(SUBSTITUTE(SUBSTITUTE(SUBSTITUTE(SUBSTITUTE(SUBSTITUTE(SUBSTITUTE(SUBSTITUTE(SUBSTITUTE(SUBSTITUTE(SUBSTITUTE(SUBSTITUTE(SUBSTITUTE(SUBSTITUTE(SUBSTITUTE(SUBSTITUTE(SUBSTITUTE(SUBSTITUTE(SUBSTITUTE(LOWER(W680&amp;""),CHAR(10)," "),CHAR(13)," "),CHAR(9)," "),CHAR(160)," "),"."," "),","," "),"-"," "),"/"," "),"("," "),")"," "),":"," "),";"," "),"_"," "),"–"," "),"?"," "),"!"," "),"*"," "),"["," "),"]"," "),"'"," "),"#"," "),"+"," "),"&amp;"," "),"\"," "))&amp;" "</f>
        <v>  </v>
      </c>
      <c r="BF680" s="61" t="str">
        <f aca="false">" "&amp;TRIM(SUBSTITUTE(SUBSTITUTE(SUBSTITUTE(SUBSTITUTE(SUBSTITUTE(SUBSTITUTE(SUBSTITUTE(SUBSTITUTE(SUBSTITUTE(SUBSTITUTE(SUBSTITUTE(SUBSTITUTE(SUBSTITUTE(SUBSTITUTE(SUBSTITUTE(SUBSTITUTE(SUBSTITUTE(SUBSTITUTE(SUBSTITUTE(SUBSTITUTE(SUBSTITUTE(SUBSTITUTE(SUBSTITUTE(SUBSTITUTE(LOWER(AC680&amp;""),CHAR(10)," "),CHAR(13)," "),CHAR(9)," "),CHAR(160)," "),"."," "),","," "),"-"," "),"/"," "),"("," "),")"," "),":"," "),";"," "),"_"," "),"–"," "),"?"," "),"!"," "),"*"," "),"["," "),"]"," "),"'"," "),"#"," "),"+"," "),"&amp;"," "),"\"," "))&amp;" "</f>
        <v>  </v>
      </c>
      <c r="BG680" s="61" t="n">
        <f aca="false">IFERROR(IF(AND(TRIM(U680)="Pass",SUMPRODUCT((LEN(BC680)-LEN(SUBSTITUTE(BC680," "&amp;L_ResultBad&amp;" "," ")))/(LEN(L_ResultBad)+1))&gt;SUMPRODUCT((LEN(BC680)-LEN(SUBSTITUTE(BC680," "&amp;L_NegPhrase&amp;" "," ")))/(LEN(L_NegPhrase)+1))),1,0),0)</f>
        <v>0</v>
      </c>
      <c r="BH680" s="61" t="n">
        <f aca="false">IFERROR(IF(SUMPRODUCT((LEN(BC680)-LEN(SUBSTITUTE(BC680," "&amp;L_Pending&amp;" "," ")))/(LEN(L_Pending)+1))&gt;SUMPRODUCT((LEN(BC680)-LEN(SUBSTITUTE(BC680," "&amp;L_PendNeg&amp;" "," ")))/(LEN(L_PendNeg)+1))+SUMPRODUCT((LEN(BC680)-LEN(SUBSTITUTE(BC680," "&amp;L_PendPrep&amp;" "," ")))/(LEN(L_PendPrep)+1)),1,0),1)</f>
        <v>0</v>
      </c>
      <c r="BI680" s="61" t="n">
        <f aca="false">IFERROR(IF(SUMPRODUCT((LEN(BD680)-LEN(SUBSTITUTE(BD680," "&amp;L_PendStrict&amp;" "," ")))/(LEN(L_PendStrict)+1))&gt;SUMPRODUCT((LEN(BD680)-LEN(SUBSTITUTE(BD680," "&amp;L_PendNeg&amp;" "," ")))/(LEN(L_PendNeg)+1)),1,0),1)</f>
        <v>0</v>
      </c>
      <c r="BJ680" s="61" t="n">
        <f aca="false">IFERROR(IF(SUMPRODUCT((LEN(BE680)-LEN(SUBSTITUTE(BE680," "&amp;L_Pending&amp;" "," ")))/(LEN(L_Pending)+1))&gt;SUMPRODUCT((LEN(BE680)-LEN(SUBSTITUTE(BE680," "&amp;L_PendNeg&amp;" "," ")))/(LEN(L_PendNeg)+1))+SUMPRODUCT((LEN(BE680)-LEN(SUBSTITUTE(BE680," "&amp;L_PendPrep&amp;" "," ")))/(LEN(L_PendPrep)+1)),1,0),1)</f>
        <v>0</v>
      </c>
      <c r="BK680" s="61" t="n">
        <f aca="false">IFERROR(IF(SUMPRODUCT((LEN(BF680)-LEN(SUBSTITUTE(BF680," "&amp;L_PendStrict&amp;" "," ")))/(LEN(L_PendStrict)+1))&gt;SUMPRODUCT((LEN(BF680)-LEN(SUBSTITUTE(BF680," "&amp;L_PendNeg&amp;" "," ")))/(LEN(L_PendNeg)+1)),1,0),1)</f>
        <v>0</v>
      </c>
      <c r="BL680" s="61" t="n">
        <f aca="false">IF(ISNA(MATCH(TRIM(S680),L_EvidenceType,0)),0,BZ680)</f>
        <v>0</v>
      </c>
      <c r="BM680" s="61" t="str">
        <f aca="false">SUBSTITUTE(SUBSTITUTE(SUBSTITUTE(SUBSTITUTE(SUBSTITUTE(SUBSTITUTE(SUBSTITUTE(SUBSTITUTE(SUBSTITUTE(LOWER(Z680&amp;""),"1","0"),"2","0"),"3","0"),"4","0"),"5","0"),"6","0"),"7","0"),"8","0"),"9","0")</f>
        <v/>
      </c>
      <c r="BN680" s="61" t="str">
        <f aca="false">SUBSTITUTE(SUBSTITUTE(SUBSTITUTE(SUBSTITUTE(SUBSTITUTE(SUBSTITUTE(SUBSTITUTE(SUBSTITUTE(SUBSTITUTE(SUBSTITUTE(SUBSTITUTE(SUBSTITUTE(SUBSTITUTE(SUBSTITUTE(SUBSTITUTE(SUBSTITUTE(SUBSTITUTE(SUBSTITUTE(SUBSTITUTE(SUBSTITUTE(SUBSTITUTE(SUBSTITUTE(SUBSTITUTE(SUBSTITUTE(SUBSTITUTE(BM680,"b","a"),"c","a"),"d","a"),"e","a"),"f","a"),"g","a"),"h","a"),"i","a"),"j","a"),"k","a"),"l","a"),"m","a"),"n","a"),"o","a"),"p","a"),"q","a"),"r","a"),"s","a"),"t","a"),"u","a"),"v","a"),"w","a"),"x","a"),"y","a"),"z","a")</f>
        <v/>
      </c>
      <c r="BO680" s="61" t="str">
        <f aca="false">SUBSTITUTE(SUBSTITUTE(SUBSTITUTE(SUBSTITUTE(SUBSTITUTE(SUBSTITUTE(SUBSTITUTE(SUBSTITUTE(SUBSTITUTE(LOWER(W680&amp;""),"1","0"),"2","0"),"3","0"),"4","0"),"5","0"),"6","0"),"7","0"),"8","0"),"9","0")</f>
        <v/>
      </c>
      <c r="BP680" s="61" t="str">
        <f aca="false">SUBSTITUTE(SUBSTITUTE(SUBSTITUTE(SUBSTITUTE(SUBSTITUTE(SUBSTITUTE(SUBSTITUTE(SUBSTITUTE(SUBSTITUTE(SUBSTITUTE(SUBSTITUTE(SUBSTITUTE(SUBSTITUTE(SUBSTITUTE(SUBSTITUTE(SUBSTITUTE(SUBSTITUTE(SUBSTITUTE(SUBSTITUTE(SUBSTITUTE(SUBSTITUTE(SUBSTITUTE(SUBSTITUTE(SUBSTITUTE(SUBSTITUTE(BO680,"b","a"),"c","a"),"d","a"),"e","a"),"f","a"),"g","a"),"h","a"),"i","a"),"j","a"),"k","a"),"l","a"),"m","a"),"n","a"),"o","a"),"p","a"),"q","a"),"r","a"),"s","a"),"t","a"),"u","a"),"v","a"),"w","a"),"x","a"),"y","a"),"z","a")</f>
        <v/>
      </c>
      <c r="BQ680" s="61" t="n">
        <f aca="false">IFERROR(IF(AND(ISERROR(SEARCH(" mh"," "&amp;LOWER(W680))),ISNA(MATCH(LEFT(TRIM(BP680),255),{"0000a","000a","00a","0000aa","000aa","00aa","0aa","0000aaa","000aaa","00a00","0a00","0000-0000","00:00","a00","a0","00.00.0000","00/00/0000","00-00-0000","0000-00-00","0000/00/00","0000.00.00","00.00.00","00/00/00","00-00-00","0.00.0000","0/00/0000","0-00-0000"},0)),ISNA(MATCH(LEFT(TRIM(CA680),255),{"0000a","000a","00a","0000aa","000aa","00aa","0aa","0000aaa","000aaa","00a00","0a00","0000-0000","00:00","a00","a0","00.00.0000","00/00/0000","00-00-0000","0000-00-00","0000/00/00","0000.00.00","00.00.00","00/00/00","00-00-00","0.00.0000","0/00/0000","0-00-0000"},0)),LEN(CB680)&gt;=3,NOT(OR(SUBSTITUTE(CB680,"0","")="",AND(LEN(CB680)&gt;=4,CB680=REPT(LEFT(CB680),LEN(CB680))),ISNUMBER(MATCH(CB680,{"123","1234","12345","123456","1234567","12345678","0123","01234","012345","98765","987654","54321"},0)),AND(LEN(CB680)=8,LEFT(CB680,3)="202"))),OR(AND((LEN(CA680)-LEN(SUBSTITUTE(CA680,"a","")))&gt;=1,SUMPRODUCT(--ISNUMBER(SEARCH({"a0","a-0","a_0","a/0","a.0","a#0","0a","0-a","0_a","0/a"},BP680)))&gt;0),ISNUMBER(SEARCH("000000",BP680)))),1,0),0)</f>
        <v>0</v>
      </c>
      <c r="BR680" s="61" t="n">
        <f aca="false">IFERROR(LEN(SUBSTITUTE(CC680," ",""))-SUMPRODUCT((LEN(CC680)-LEN(SUBSTITUTE(CC680," "&amp;L_Role&amp;" "," ")))/(LEN(L_Role)+1)*LEN(L_Role)),0)</f>
        <v>0</v>
      </c>
      <c r="BS680" s="61" t="n">
        <f aca="false">IFERROR(LEN(SUBSTITUTE(CD680," ",""))-SUMPRODUCT((LEN(CD680)-LEN(SUBSTITUTE(CD680," "&amp;L_Role&amp;" "," ")))/(LEN(L_Role)+1)*LEN(L_Role)),0)</f>
        <v>0</v>
      </c>
      <c r="BT6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680,"revision",""),"version",""),"jan",""),"feb",""),"mar",""),"apr",""),"may",""),"jun",""),"jul",""),"aug",""),"sep",""),"oct",""),"nov",""),"dec",""),"utc",""),"gmt",""),"myt",""),"bst",""),"rev",""),"ver",""),"b","a"),"c","a"),"d","a"),"e","a"),"f","a"),"g","a"),"h","a"),"i","a"),"j","a"),"k","a"),"l","a"),"m","a"),"n","a"),"o","a"),"p","a"),"q","a"),"r","a"),"s","a"),"t","a"),"u","a"),"v","a"),"w","a"),"x","a"),"y","a"),"z","a")</f>
        <v/>
      </c>
      <c r="BU680" s="61" t="str">
        <f aca="false">SUBSTITUTE(SUBSTITUTE(SUBSTITUTE(SUBSTITUTE(SUBSTITUTE(SUBSTITUTE(SUBSTITUTE(SUBSTITUTE(SUBSTITUTE(SUBSTITUTE(LEFT(BM680,FIND("0",BM680&amp;"0")-1),"-",""),"_",""),"/",""),".",""),"#",""),"\\",""),":","")," ",""),"(",""),")","")</f>
        <v/>
      </c>
      <c r="BV680" s="61" t="n">
        <f aca="false">0</f>
        <v>0</v>
      </c>
      <c r="BW68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680&amp;""),"a",""),"b",""),"c",""),"d",""),"e",""),"f",""),"g",""),"h",""),"i",""),"j",""),"k",""),"l",""),"m",""),"n",""),"o",""),"p",""),"q",""),"r",""),"s",""),"t",""),"u",""),"v",""),"w",""),"x",""),"y",""),"z",""),"-",""),"_",""),"/",""),".",""),"#",""),"\\",""),":","")," ",""),"(",""),")","")</f>
        <v/>
      </c>
      <c r="BX680" s="61" t="str">
        <f aca="false">SUBSTITUTE(SUBSTITUTE(SUBSTITUTE(SUBSTITUTE(SUBSTITUTE(SUBSTITUTE(SUBSTITUTE(SUBSTITUTE(SUBSTITUTE(SUBSTITUTE(SUBSTITUTE(BM680,"0",""),"-",""),"_",""),"/",""),".",""),"#",""),"\\",""),":","")," ",""),"(",""),")","")</f>
        <v/>
      </c>
      <c r="BY680" s="62" t="n">
        <f aca="false">Q680-T12EarlyH/24</f>
        <v>46323.6875</v>
      </c>
      <c r="BZ680" s="61" t="n">
        <f aca="false">IFERROR(IF(IF(TRIM(S680)="Link / file path",AND(LEN(TRIM(Z680))&gt;=5,SUMPRODUCT(--ISNUMBER(SEARCH({"http","www.","\\",":\",".pdf",".jpg",".jpeg",".png",".heic",".xls",".doc",".msg",".eml",".ppt",".txt",".zip"},Z680)))&gt;0),AND(ISERROR(FIND(" ",TRIM(Z680))),NOT(OR(SUMPRODUCT(--ISNUMBER(FIND({",",";","&amp;","+"},Z680)))&gt;0,SUMPRODUCT(--ISNUMBER(SEARCH({"0/aa","0\\aa"},BN680)))&gt;0)),NOT(SUMPRODUCT(--ISNUMBER(SEARCH({"http","www.","\\",":\",".pdf",".jpg",".jpeg",".png",".heic",".xls",".doc",".msg",".eml",".ppt",".txt",".zip"},Z680)))&gt;0),NOT(LOWER(TRIM(Z680))=LOWER(Flights!$F$25)),ISNA(MATCH(BU680,{"mh","rev","revision","ver","version","v","r","a","b","seat","tray","row","gate","bay","stand","page","pg","item","line","no","cart","galley","flight","flt","table","box","bag","oven","etd","eta","std","sta","atd","ata","qty","pax","x","time","tel","ph","mob","day","wk","week","utc","gmt","myt","lt"},0)),NOT(OR(ISNUMBER(MATCH(LEFT(BN680,255),{"0000a","000a","00a","0000aa","000aa","00aa","0aa","0000aaa","000aaa","00a00","0a00","0000-0000","00:00","a00","a0","00.00.0000","00/00/0000","00-00-0000","0000-00-00","0000/00/00","0000.00.00","00.00.00","00/00/00","00-00-00","0.00.0000","0/00/0000","0-00-0000"},0)),ISNUMBER(MATCH(LEFT(BT680,255),{"0000a","000a","00a","0000aa","000aa","00aa","0aa","0000aaa","000aaa","00a00","0a00","0000-0000","00:00","a00","a0","00.00.0000","00/00/0000","00-00-0000","0000-00-00","0000/00/00","0000.00.00","00.00.00","00/00/00","00-00-00","0.00.0000","0/00/0000","0-00-0000"},0)))),NOT(OR(AND(BW680&lt;&gt;"",SUBSTITUTE(BW680,"0","")=""),AND(LEN(BW680)&gt;=4,BW680=REPT(LEFT(BW680),LEN(BW680))),ISNUMBER(MATCH(BW680,{"123","1234","12345","123456","1234567","12345678","0123","01234","012345","98765","987654","54321"},0)),ISNUMBER(MATCH(BX680,{"x","xx","xxx","xxxx","xxxxx","abc","abcd","nil","na","nan","test","tbc","tba","tbd","dummy","sample","example","eg","zz","zzz","none","null","xyz","qwe","asd","id","ref"},0)),AND(LEN(BW680)=8,BX680="",OR(LEFT(BW680,3)="202",ISNUMBER(MATCH(RIGHT(BW680,4),{"2025","2026","2027"},0)))))),OR(AND((LEN(BT680)-LEN(SUBSTITUTE(BT680,"a","")))&gt;=1,(LEN(BN680)-LEN(SUBSTITUTE(BN680,"0","")))&gt;=2,SUMPRODUCT(--ISNUMBER(SEARCH({"a0","a-0","a_0","a/0","a.0","a#0","0a","0-a","0_a","0/a"},BN680)))&gt;0),AND((LEN(BN680)-LEN(SUBSTITUTE(BN680,"a","")))=0,(LEN(BN680)-LEN(SUBSTITUTE(BN680,"0","")))&gt;=5)))),1,0),0)</f>
        <v>0</v>
      </c>
      <c r="CA6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680,"revision",""),"version",""),"jan",""),"feb",""),"mar",""),"apr",""),"may",""),"jun",""),"jul",""),"aug",""),"sep",""),"oct",""),"nov",""),"dec",""),"utc",""),"gmt",""),"myt",""),"bst",""),"rev",""),"ver",""),"b","a"),"c","a"),"d","a"),"e","a"),"f","a"),"g","a"),"h","a"),"i","a"),"j","a"),"k","a"),"l","a"),"m","a"),"n","a"),"o","a"),"p","a"),"q","a"),"r","a"),"s","a"),"t","a"),"u","a"),"v","a"),"w","a"),"x","a"),"y","a"),"z","a")</f>
        <v/>
      </c>
      <c r="CB68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680&amp;""),"a",""),"b",""),"c",""),"d",""),"e",""),"f",""),"g",""),"h",""),"i",""),"j",""),"k",""),"l",""),"m",""),"n",""),"o",""),"p",""),"q",""),"r",""),"s",""),"t",""),"u",""),"v",""),"w",""),"x",""),"y",""),"z",""),"-",""),"_",""),"/",""),".",""),"#",""),"\\",""),":","")," ",""),"(",""),")","")</f>
        <v/>
      </c>
      <c r="CC680" s="0" t="str">
        <f aca="false">" "&amp;TRIM(SUBSTITUTE(SUBSTITUTE(SUBSTITUTE(SUBSTITUTE(SUBSTITUTE(SUBSTITUTE(SUBSTITUTE(SUBSTITUTE(SUBSTITUTE(SUBSTITUTE(SUBSTITUTE(SUBSTITUTE(SUBSTITUTE(SUBSTITUTE(SUBSTITUTE(SUBSTITUTE(SUBSTITUTE(SUBSTITUTE(SUBSTITUTE(SUBSTITUTE(SUBSTITUTE(SUBSTITUTE(SUBSTITUTE(SUBSTITUTE(LOWER(T680&amp;""),CHAR(10)," "),CHAR(13)," "),CHAR(9)," "),CHAR(160)," "),"."," "),","," "),"-"," "),"/"," "),"("," "),")"," "),":"," "),";"," "),"_"," "),"–"," "),"?"," "),"!"," "),"*"," "),"["," "),"]"," "),"'"," "),"#"," "),"+"," "),"&amp;"," "),"\"," "))&amp;" "</f>
        <v>  </v>
      </c>
      <c r="CD680" s="0" t="str">
        <f aca="false">" "&amp;TRIM(SUBSTITUTE(SUBSTITUTE(SUBSTITUTE(SUBSTITUTE(SUBSTITUTE(SUBSTITUTE(SUBSTITUTE(SUBSTITUTE(SUBSTITUTE(SUBSTITUTE(SUBSTITUTE(SUBSTITUTE(SUBSTITUTE(SUBSTITUTE(SUBSTITUTE(SUBSTITUTE(SUBSTITUTE(SUBSTITUTE(SUBSTITUTE(SUBSTITUTE(SUBSTITUTE(SUBSTITUTE(SUBSTITUTE(SUBSTITUTE(LOWER(AE680&amp;""),CHAR(10)," "),CHAR(13)," "),CHAR(9)," "),CHAR(160)," "),"."," "),","," "),"-"," "),"/"," "),"("," "),")"," "),":"," "),";"," "),"_"," "),"–"," "),"?"," "),"!"," "),"*"," "),"["," "),"]"," "),"'"," "),"#"," "),"+"," "),"&amp;"," "),"\"," "))&amp;" "</f>
        <v>  </v>
      </c>
      <c r="CE680" s="68" t="n">
        <f aca="false">IFERROR(IF(AND(LEN(AU680)&gt;0,LEN(AU680)=LEN(AX680),OR(TRIM(MID(SUBSTITUTE(TRIM(CC680)," ",REPT(" ",60)),1,60))="",ISNUMBER(SEARCH(" "&amp;TRIM(MID(SUBSTITUTE(TRIM(CC680)," ",REPT(" ",60)),1,60))&amp;" ",CD680))),OR(TRIM(MID(SUBSTITUTE(TRIM(CC680)," ",REPT(" ",60)),61,60))="",ISNUMBER(SEARCH(" "&amp;TRIM(MID(SUBSTITUTE(TRIM(CC680)," ",REPT(" ",60)),61,60))&amp;" ",CD680))),OR(TRIM(MID(SUBSTITUTE(TRIM(CC680)," ",REPT(" ",60)),121,60))="",ISNUMBER(SEARCH(" "&amp;TRIM(MID(SUBSTITUTE(TRIM(CC680)," ",REPT(" ",60)),121,60))&amp;" ",CD680)))),1,0),0)</f>
        <v>0</v>
      </c>
      <c r="CG680" s="68" t="n">
        <f aca="false">IFERROR(LEN(SUBSTITUTE(BF680," ",""))-SUMPRODUCT((LEN(BF680)-LEN(SUBSTITUTE(BF680," "&amp;L_NAFiller&amp;" "," ")))/(LEN(L_NAFiller)+1)*LEN(L_NAFiller)),0)</f>
        <v>0</v>
      </c>
    </row>
    <row r="681" customFormat="false" ht="78.75" hidden="false" customHeight="true" outlineLevel="0" collapsed="false">
      <c r="A681" s="57" t="s">
        <v>1403</v>
      </c>
      <c r="B681" s="57" t="s">
        <v>310</v>
      </c>
      <c r="C681" s="57" t="str">
        <f aca="false">Flights!$F$25</f>
        <v>MH1437</v>
      </c>
      <c r="D681" s="58" t="n">
        <f aca="false">Flights!$D$25</f>
        <v>46325</v>
      </c>
      <c r="E681" s="57" t="str">
        <f aca="false">Flights!$G$25&amp;"-"&amp;Flights!$H$25</f>
        <v>LGK-KUL</v>
      </c>
      <c r="F681" s="57" t="str">
        <f aca="false">Flights!$K$25</f>
        <v>BC</v>
      </c>
      <c r="G681" s="57" t="s">
        <v>420</v>
      </c>
      <c r="H681" s="57" t="s">
        <v>378</v>
      </c>
      <c r="I681" s="57" t="s">
        <v>428</v>
      </c>
      <c r="J681" s="57" t="s">
        <v>435</v>
      </c>
      <c r="K681" s="67" t="s">
        <v>491</v>
      </c>
      <c r="L681" s="67" t="s">
        <v>422</v>
      </c>
      <c r="M681" s="67"/>
      <c r="N681" s="67" t="s">
        <v>383</v>
      </c>
      <c r="O681" s="67" t="s">
        <v>975</v>
      </c>
      <c r="P681" s="57" t="s">
        <v>187</v>
      </c>
      <c r="Q681" s="59" t="n">
        <f aca="false">ROUND((MIN(Flights!$AE$25,Flights!$AY$25))*1440,0)/1440</f>
        <v>46324.1875</v>
      </c>
      <c r="R681" s="59" t="n">
        <f aca="false">Q681+(IF(AND(INDEX(TZ_DSTS,MATCH(P681,TZ_STN,0))&lt;&gt;"",Q681&gt;=INDEX(TZ_DSTS,MATCH(P681,TZ_STN,0)),Q681&lt;INDEX(TZ_DSTE,MATCH(P681,TZ_STN,0))),INDEX(TZ_DST,MATCH(P681,TZ_STN,0)),INDEX(TZ_STD,MATCH(P681,TZ_STN,0))))/24</f>
        <v>46324.5208333333</v>
      </c>
      <c r="S681" s="60"/>
      <c r="T681" s="60"/>
      <c r="U681" s="60"/>
      <c r="V681" s="60"/>
      <c r="W681" s="61"/>
      <c r="X681" s="60"/>
      <c r="Y681" s="60"/>
      <c r="Z681" s="60"/>
      <c r="AA681" s="60"/>
      <c r="AB681" s="60"/>
      <c r="AC681" s="60"/>
      <c r="AD681" s="66"/>
      <c r="AE681" s="60"/>
      <c r="AF681" s="61" t="str">
        <f aca="false">IF(AND(ISNUMBER(X681),ISNUMBER(Y681)),Y681-X681,"")</f>
        <v/>
      </c>
      <c r="AG681" s="62" t="str">
        <f aca="false">IF(ISNUMBER(AD681),AD681-(IF(AND(INDEX(TZ_DSTS,MATCH(P681,TZ_STN,0))&lt;&gt;"",(AD681-INDEX(TZ_STD,MATCH(P681,TZ_STN,0))/24)&gt;=INDEX(TZ_DSTS,MATCH(P681,TZ_STN,0)),(AD681-INDEX(TZ_STD,MATCH(P681,TZ_STN,0))/24)&lt;INDEX(TZ_DSTE,MATCH(P681,TZ_STN,0))),INDEX(TZ_DST,MATCH(P681,TZ_STN,0)),INDEX(TZ_STD,MATCH(P681,TZ_STN,0))))/24,"")</f>
        <v/>
      </c>
      <c r="AH681" s="65" t="str">
        <f aca="false">IFERROR(IF(N681="N/A – rule",IF(OR(TRIM(U681)="",TRIM(U681)="N/A",TRIM(U681)="Not started"),"N/A – RULE","INVALID – this check does not apply to this aircraft: clear the status (or correct the fleet on Flights)"),IF(TRIM(U681)="N/A",IF(AT681=0,"INVALID – N/A not permitted for this check",IF(AND(TRIM(AB681)&lt;&gt;"",TRIM(AB681)&lt;&gt;"Closed"),"INVALID – corrective action still open",IF(AND(NOT(OR(LEN(AZ681)&lt;15,ISNUMBER(MATCH(AZ681,L_Placeholder,0)))),BK681=0,CG681&gt;=8,NOT(OR(LEN(AU681)&lt;2,ISNUMBER(MATCH(AU681,L_Placeholder,0)))),BR681&gt;=3,NOT(OR(LEN(AX681)&lt;2,ISNUMBER(MATCH(AX681,L_Placeholder,0)))),BS681&gt;=3,TRIM(AE681)&lt;&gt;TRIM(T681),AX681&lt;&gt;AU681,CE681=0),"N/A – JUSTIFIED","INVALID – N/A needs a real, settled reason (not 'not applicable' / 'as above' / TBC), a named PIC and a different named verifier"))),IF(OR(TRIM(U681)="Pass",TRIM(U681)="Pass after CA"),IF(NOT(ISNUMBER(AD681)),"INVALID – completion time missing",IF(OR(OR(LEN(AU681)&lt;2,ISNUMBER(MATCH(AU681,L_Placeholder,0))),BR681&lt;3),"INVALID – PIC missing or not a named person (a role such as QA / CSM is not a name)",IF(OR(LEN(AV681)&lt;2,ISNUMBER(MATCH(AV681,L_Placeholder,0))),"INVALID – result / assessment missing",IF(OR(OR(LEN(AW681)&lt;3,ISNUMBER(MATCH(AW681,L_Placeholder,0))),SUMPRODUCT(--ISNUMBER(SEARCH(" "&amp;L_EvidencePhrase&amp;" ",BD681)))&gt;0,BI681=1),"INVALID – evidence missing, placeholder or not yet on file",IF(ISNA(MATCH(TRIM(S681),L_EvidenceType,0)),"INVALID – choose the evidence type from the list (column S)",IF(BL681=0,"INVALID – evidence ID must be the record's own ID only (e.g. SF-2210, IMG_2231, 1045521); a link / file name needs type 'Link / file path'",IF(OR(OR(LEN(AX681)&lt;2,ISNUMBER(MATCH(AX681,L_Placeholder,0))),BS681&lt;3),"INVALID – verifier missing or not a named person (a role such as QA / CSM is not a name)",IF(OR(AX681=AU681,CE681=1,AND(LEN(AU681)&gt;=4,ISNUMBER(SEARCH(AU681,AX681))),AND(LEN(AX681)&gt;=4,ISNUMBER(SEARCH(AX681,AU681)))),"INVALID – verifier must be a different, named person (not the PIC or a role)",IF(BH681=1,"INVALID – result not yet available (awaiting / TBC)",IF(BG681=1,"INVALID – result describes a problem: record Fail, then Pass after CA (or reword if it is not a problem)",IF(BV681=1,"INVALID – wording says not on board: an on-board confirmation needs the item loaded",IF(AND(AQ681=1,OR(OR(LEN(AY681)&lt;3,ISNUMBER(MATCH(AY681,L_Placeholder,0))),BJ681=1,BQ681=0)),"INVALID – batch ID missing, placeholder or not an ID (e.g. PASB-261008-BC-017)",IF(AND(AR681=1,OR(NOT(ISNUMBER(X681)),NOT(ISNUMBER(Y681)))),"INVALID – expected/actual qty missing",IF(AND(AR681=1,OR(X681&lt;=0,Y681&lt;0)),"INVALID – expected qty must be above 0 and actual not negative",IF(BB681&lt;&gt;"",BB681,IF(AND(AS681=1,Documents!$J$25&lt;&gt;"ON FILE"),"INVALID – GLD not on file (Documents sheet)",IF(AND(AS681=2,Documents!$O$25&lt;&gt;"ON FILE"),"INVALID – menu checklist not on file (Documents sheet)",IF(AND(AS681=3,NOT(ISNUMBER(Flights!$AX$25))),"INVALID – enter carrying flight KUL departure (Flights AX)",IF(AND(AS681=3,OR(Flights!$AZ$25&gt;Flights!$AA$25,Flights!$AX$25&lt;Flights!$AA$25-3)),"INVALID – carrying flight (Flights AX) cannot arrive before this leg's STD, or is over 3 days early",IF(AG681&gt;AsOfUTC,"INVALID – completion time is in the future",IF(AND(ISNUMBER(BY681),AG681&lt;BY681),IF(H681="Physical uplift","INVALID – before uplift window (cannot confirm loading)","INVALID – before valid window"),IF(AG681&gt;Flights!$AA$25,"INVALID – completed after departure (cannot establish readiness)",IF(AND(H681="Preparation",AG681&gt;=Flights!$AY$25+UpliftWindowH/24),"INVALID – completed after the carrying flight left KUL",IF(AND(H681="Physical uplift",AG681&gt;Q681),"INVALID – recorded after the loading flight departed",IF(AG681&gt;Q681,"COMPLETE – LATE","COMPLETE"))))))))))))))))))))))))),IF(TRIM(U681)="Fail","FAIL – DISCREPANCY",IF(AND(TRIM(U681)&lt;&gt;"",TRIM(U681)&lt;&gt;"Not started",TRIM(U681)&lt;&gt;"In progress"),"INVALID – unrecognised status (use the list)",IF(AsOfUTC&gt;Q681,"OVERDUE",IF(N681="Clarification required","OPEN – CLARIFICATION","OPEN"))))))),"INVALID – error value in an input cell")</f>
        <v>OPEN</v>
      </c>
      <c r="AI681" s="61" t="n">
        <f aca="false">IF(OR(AH681="N/A – RULE",AH681="N/A – JUSTIFIED"),0,1)</f>
        <v>1</v>
      </c>
      <c r="AJ681" s="61" t="n">
        <f aca="false">IF(LEFT(AH681,8)="COMPLETE",1,0)</f>
        <v>0</v>
      </c>
      <c r="AK681" s="61" t="n">
        <f aca="false">IF(AND(AI681=1,AJ681=0,AsOfUTC&gt;Q681),1,0)</f>
        <v>0</v>
      </c>
      <c r="AL681" s="61" t="n">
        <f aca="false">IFERROR(IF(AND(AI681=1,OR(TRIM(U681)="Fail",AND(TRIM(AB681)&lt;&gt;"",TRIM(AB681)&lt;&gt;"Closed"),AND(ISNUMBER(AF681),AF681&lt;&gt;0,TRIM(U681)&lt;&gt;"Pass after CA"))),1,0),1)</f>
        <v>0</v>
      </c>
      <c r="AM681" s="61" t="n">
        <f aca="false">IF(LEFT(AH681,7)="INVALID",1,0)</f>
        <v>0</v>
      </c>
      <c r="AN681" s="61" t="n">
        <f aca="false">IF(AND(N681="Clarification required",AI681=1,AJ681=0),1,0)</f>
        <v>0</v>
      </c>
      <c r="AO681" s="61" t="str">
        <f aca="false">IF(AK681=1,SUM(AK$5:AK681),"")</f>
        <v/>
      </c>
      <c r="AP681" s="61" t="str">
        <f aca="false">IF(AL681=1,SUM(AL$5:AL681),"")</f>
        <v/>
      </c>
      <c r="AQ681" s="61" t="n">
        <v>0</v>
      </c>
      <c r="AR681" s="61" t="n">
        <v>1</v>
      </c>
      <c r="AS681" s="61" t="n">
        <v>0</v>
      </c>
      <c r="AT681" s="61" t="n">
        <v>0</v>
      </c>
      <c r="AU681" s="61" t="str">
        <f aca="false">SUBSTITUTE(SUBSTITUTE(SUBSTITUTE(SUBSTITUTE(SUBSTITUTE(SUBSTITUTE(SUBSTITUTE(SUBSTITUTE(SUBSTITUTE(SUBSTITUTE(SUBSTITUTE(SUBSTITUTE(SUBSTITUTE(SUBSTITUTE(SUBSTITUTE(SUBSTITUTE(LOWER(T681&amp;""),CHAR(10),""),CHAR(13),""),CHAR(9),""),CHAR(160),"")," ",""),".",""),"-",""),"/",""),"?",""),"_",""),",",""),"[",""),"]",""),"(",""),")",""),"*","")</f>
        <v/>
      </c>
      <c r="AV681" s="61" t="str">
        <f aca="false">SUBSTITUTE(SUBSTITUTE(SUBSTITUTE(SUBSTITUTE(SUBSTITUTE(SUBSTITUTE(SUBSTITUTE(SUBSTITUTE(SUBSTITUTE(SUBSTITUTE(SUBSTITUTE(SUBSTITUTE(SUBSTITUTE(SUBSTITUTE(SUBSTITUTE(SUBSTITUTE(LOWER(V681&amp;""),CHAR(10),""),CHAR(13),""),CHAR(9),""),CHAR(160),"")," ",""),".",""),"-",""),"/",""),"?",""),"_",""),",",""),"[",""),"]",""),"(",""),")",""),"*","")</f>
        <v/>
      </c>
      <c r="AW681" s="61" t="str">
        <f aca="false">SUBSTITUTE(SUBSTITUTE(SUBSTITUTE(SUBSTITUTE(SUBSTITUTE(SUBSTITUTE(SUBSTITUTE(SUBSTITUTE(SUBSTITUTE(SUBSTITUTE(SUBSTITUTE(SUBSTITUTE(SUBSTITUTE(SUBSTITUTE(SUBSTITUTE(SUBSTITUTE(LOWER(Z681&amp;""),CHAR(10),""),CHAR(13),""),CHAR(9),""),CHAR(160),"")," ",""),".",""),"-",""),"/",""),"?",""),"_",""),",",""),"[",""),"]",""),"(",""),")",""),"*","")</f>
        <v/>
      </c>
      <c r="AX681" s="61" t="str">
        <f aca="false">SUBSTITUTE(SUBSTITUTE(SUBSTITUTE(SUBSTITUTE(SUBSTITUTE(SUBSTITUTE(SUBSTITUTE(SUBSTITUTE(SUBSTITUTE(SUBSTITUTE(SUBSTITUTE(SUBSTITUTE(SUBSTITUTE(SUBSTITUTE(SUBSTITUTE(SUBSTITUTE(LOWER(AE681&amp;""),CHAR(10),""),CHAR(13),""),CHAR(9),""),CHAR(160),"")," ",""),".",""),"-",""),"/",""),"?",""),"_",""),",",""),"[",""),"]",""),"(",""),")",""),"*","")</f>
        <v/>
      </c>
      <c r="AY681" s="61" t="str">
        <f aca="false">SUBSTITUTE(SUBSTITUTE(SUBSTITUTE(SUBSTITUTE(SUBSTITUTE(SUBSTITUTE(SUBSTITUTE(SUBSTITUTE(SUBSTITUTE(SUBSTITUTE(SUBSTITUTE(SUBSTITUTE(SUBSTITUTE(SUBSTITUTE(SUBSTITUTE(SUBSTITUTE(LOWER(W681&amp;""),CHAR(10),""),CHAR(13),""),CHAR(9),""),CHAR(160),"")," ",""),".",""),"-",""),"/",""),"?",""),"_",""),",",""),"[",""),"]",""),"(",""),")",""),"*","")</f>
        <v/>
      </c>
      <c r="AZ681" s="61" t="str">
        <f aca="false">SUBSTITUTE(SUBSTITUTE(SUBSTITUTE(SUBSTITUTE(SUBSTITUTE(SUBSTITUTE(SUBSTITUTE(SUBSTITUTE(SUBSTITUTE(SUBSTITUTE(SUBSTITUTE(SUBSTITUTE(SUBSTITUTE(SUBSTITUTE(SUBSTITUTE(SUBSTITUTE(LOWER(AC681&amp;""),CHAR(10),""),CHAR(13),""),CHAR(9),""),CHAR(160),"")," ",""),".",""),"-",""),"/",""),"?",""),"_",""),",",""),"[",""),"]",""),"(",""),")",""),"*","")</f>
        <v/>
      </c>
      <c r="BA681" s="61" t="str">
        <f aca="false">SUBSTITUTE(SUBSTITUTE(SUBSTITUTE(SUBSTITUTE(SUBSTITUTE(SUBSTITUTE(SUBSTITUTE(SUBSTITUTE(SUBSTITUTE(SUBSTITUTE(SUBSTITUTE(SUBSTITUTE(SUBSTITUTE(SUBSTITUTE(SUBSTITUTE(SUBSTITUTE(LOWER(AA681&amp;""),CHAR(10),""),CHAR(13),""),CHAR(9),""),CHAR(160),"")," ",""),".",""),"-",""),"/",""),"?",""),"_",""),",",""),"[",""),"]",""),"(",""),")",""),"*","")</f>
        <v/>
      </c>
      <c r="BB681" s="61" t="str">
        <f aca="false">IF(AND(TRIM(U681)="Pass",ISNUMBER(AF681)),IF(AF681&lt;&gt;0,"INVALID – qty variance: use Fail or Pass after CA",""),"")&amp;IF(AND(TRIM(U681)="Pass after CA",ISNUMBER(AF681)),IF(AF681&lt;&gt;0,"INVALID – after the corrective action the actual qty must equal expected (update Actual)",""),"")&amp;IF(AND(TRIM(U681)="Pass",TRIM(AB681)&lt;&gt;"",TRIM(AB681)&lt;&gt;"Closed"),"INVALID – corrective action not closed: use Fail, then Pass after CA","")&amp;IF(AND(LEN(BA681)&gt;=2,ISNA(MATCH(LEFT(BA681,255),L_Placeholder,0)),TRIM(AB681)=""),"INVALID – CA status missing for the recorded corrective action","")&amp;IF(AND(TRIM(U681)="Pass after CA",OR(OR(LEN(BA681)&lt;5,ISNUMBER(MATCH(BA681,L_Placeholder,0))),TRIM(AB681)&lt;&gt;"Closed")),"INVALID – corrective action not recorded/closed","")</f>
        <v/>
      </c>
      <c r="BC681" s="61" t="str">
        <f aca="false">" "&amp;TRIM(SUBSTITUTE(SUBSTITUTE(SUBSTITUTE(SUBSTITUTE(SUBSTITUTE(SUBSTITUTE(SUBSTITUTE(SUBSTITUTE(SUBSTITUTE(SUBSTITUTE(SUBSTITUTE(SUBSTITUTE(SUBSTITUTE(SUBSTITUTE(SUBSTITUTE(SUBSTITUTE(SUBSTITUTE(SUBSTITUTE(SUBSTITUTE(SUBSTITUTE(SUBSTITUTE(SUBSTITUTE(SUBSTITUTE(SUBSTITUTE(LOWER(V681&amp;""),CHAR(10)," "),CHAR(13)," "),CHAR(9)," "),CHAR(160)," "),"."," "),","," "),"-"," "),"/"," "),"("," "),")"," "),":"," "),";"," "),"_"," "),"–"," "),"?"," "),"!"," "),"*"," "),"["," "),"]"," "),"'"," "),"#"," "),"+"," "),"&amp;"," "),"\"," "))&amp;" "</f>
        <v>  </v>
      </c>
      <c r="BD681" s="61" t="str">
        <f aca="false">" "&amp;TRIM(SUBSTITUTE(SUBSTITUTE(SUBSTITUTE(SUBSTITUTE(SUBSTITUTE(SUBSTITUTE(SUBSTITUTE(SUBSTITUTE(SUBSTITUTE(SUBSTITUTE(SUBSTITUTE(SUBSTITUTE(SUBSTITUTE(SUBSTITUTE(SUBSTITUTE(SUBSTITUTE(SUBSTITUTE(SUBSTITUTE(SUBSTITUTE(SUBSTITUTE(SUBSTITUTE(SUBSTITUTE(SUBSTITUTE(SUBSTITUTE(LOWER(Z681&amp;""),CHAR(10)," "),CHAR(13)," "),CHAR(9)," "),CHAR(160)," "),"."," "),","," "),"-"," "),"/"," "),"("," "),")"," "),":"," "),";"," "),"_"," "),"–"," "),"?"," "),"!"," "),"*"," "),"["," "),"]"," "),"'"," "),"#"," "),"+"," "),"&amp;"," "),"\"," "))&amp;" "</f>
        <v>  </v>
      </c>
      <c r="BE681" s="61" t="str">
        <f aca="false">" "&amp;TRIM(SUBSTITUTE(SUBSTITUTE(SUBSTITUTE(SUBSTITUTE(SUBSTITUTE(SUBSTITUTE(SUBSTITUTE(SUBSTITUTE(SUBSTITUTE(SUBSTITUTE(SUBSTITUTE(SUBSTITUTE(SUBSTITUTE(SUBSTITUTE(SUBSTITUTE(SUBSTITUTE(SUBSTITUTE(SUBSTITUTE(SUBSTITUTE(SUBSTITUTE(SUBSTITUTE(SUBSTITUTE(SUBSTITUTE(SUBSTITUTE(LOWER(W681&amp;""),CHAR(10)," "),CHAR(13)," "),CHAR(9)," "),CHAR(160)," "),"."," "),","," "),"-"," "),"/"," "),"("," "),")"," "),":"," "),";"," "),"_"," "),"–"," "),"?"," "),"!"," "),"*"," "),"["," "),"]"," "),"'"," "),"#"," "),"+"," "),"&amp;"," "),"\"," "))&amp;" "</f>
        <v>  </v>
      </c>
      <c r="BF681" s="61" t="str">
        <f aca="false">" "&amp;TRIM(SUBSTITUTE(SUBSTITUTE(SUBSTITUTE(SUBSTITUTE(SUBSTITUTE(SUBSTITUTE(SUBSTITUTE(SUBSTITUTE(SUBSTITUTE(SUBSTITUTE(SUBSTITUTE(SUBSTITUTE(SUBSTITUTE(SUBSTITUTE(SUBSTITUTE(SUBSTITUTE(SUBSTITUTE(SUBSTITUTE(SUBSTITUTE(SUBSTITUTE(SUBSTITUTE(SUBSTITUTE(SUBSTITUTE(SUBSTITUTE(LOWER(AC681&amp;""),CHAR(10)," "),CHAR(13)," "),CHAR(9)," "),CHAR(160)," "),"."," "),","," "),"-"," "),"/"," "),"("," "),")"," "),":"," "),";"," "),"_"," "),"–"," "),"?"," "),"!"," "),"*"," "),"["," "),"]"," "),"'"," "),"#"," "),"+"," "),"&amp;"," "),"\"," "))&amp;" "</f>
        <v>  </v>
      </c>
      <c r="BG681" s="61" t="n">
        <f aca="false">IFERROR(IF(AND(TRIM(U681)="Pass",SUMPRODUCT((LEN(BC681)-LEN(SUBSTITUTE(BC681," "&amp;L_ResultBad&amp;" "," ")))/(LEN(L_ResultBad)+1))&gt;SUMPRODUCT((LEN(BC681)-LEN(SUBSTITUTE(BC681," "&amp;L_NegPhrase&amp;" "," ")))/(LEN(L_NegPhrase)+1))),1,0),0)</f>
        <v>0</v>
      </c>
      <c r="BH681" s="61" t="n">
        <f aca="false">IFERROR(IF(SUMPRODUCT((LEN(BC681)-LEN(SUBSTITUTE(BC681," "&amp;L_Pending&amp;" "," ")))/(LEN(L_Pending)+1))&gt;SUMPRODUCT((LEN(BC681)-LEN(SUBSTITUTE(BC681," "&amp;L_PendNeg&amp;" "," ")))/(LEN(L_PendNeg)+1))+SUMPRODUCT((LEN(BC681)-LEN(SUBSTITUTE(BC681," "&amp;L_PendPrep&amp;" "," ")))/(LEN(L_PendPrep)+1)),1,0),1)</f>
        <v>0</v>
      </c>
      <c r="BI681" s="61" t="n">
        <f aca="false">IFERROR(IF(SUMPRODUCT((LEN(BD681)-LEN(SUBSTITUTE(BD681," "&amp;L_PendStrict&amp;" "," ")))/(LEN(L_PendStrict)+1))&gt;SUMPRODUCT((LEN(BD681)-LEN(SUBSTITUTE(BD681," "&amp;L_PendNeg&amp;" "," ")))/(LEN(L_PendNeg)+1)),1,0),1)</f>
        <v>0</v>
      </c>
      <c r="BJ681" s="61" t="n">
        <f aca="false">IFERROR(IF(SUMPRODUCT((LEN(BE681)-LEN(SUBSTITUTE(BE681," "&amp;L_Pending&amp;" "," ")))/(LEN(L_Pending)+1))&gt;SUMPRODUCT((LEN(BE681)-LEN(SUBSTITUTE(BE681," "&amp;L_PendNeg&amp;" "," ")))/(LEN(L_PendNeg)+1))+SUMPRODUCT((LEN(BE681)-LEN(SUBSTITUTE(BE681," "&amp;L_PendPrep&amp;" "," ")))/(LEN(L_PendPrep)+1)),1,0),1)</f>
        <v>0</v>
      </c>
      <c r="BK681" s="61" t="n">
        <f aca="false">IFERROR(IF(SUMPRODUCT((LEN(BF681)-LEN(SUBSTITUTE(BF681," "&amp;L_PendStrict&amp;" "," ")))/(LEN(L_PendStrict)+1))&gt;SUMPRODUCT((LEN(BF681)-LEN(SUBSTITUTE(BF681," "&amp;L_PendNeg&amp;" "," ")))/(LEN(L_PendNeg)+1)),1,0),1)</f>
        <v>0</v>
      </c>
      <c r="BL681" s="61" t="n">
        <f aca="false">IF(ISNA(MATCH(TRIM(S681),L_EvidenceType,0)),0,BZ681)</f>
        <v>0</v>
      </c>
      <c r="BM681" s="61" t="str">
        <f aca="false">SUBSTITUTE(SUBSTITUTE(SUBSTITUTE(SUBSTITUTE(SUBSTITUTE(SUBSTITUTE(SUBSTITUTE(SUBSTITUTE(SUBSTITUTE(LOWER(Z681&amp;""),"1","0"),"2","0"),"3","0"),"4","0"),"5","0"),"6","0"),"7","0"),"8","0"),"9","0")</f>
        <v/>
      </c>
      <c r="BN681" s="61" t="str">
        <f aca="false">SUBSTITUTE(SUBSTITUTE(SUBSTITUTE(SUBSTITUTE(SUBSTITUTE(SUBSTITUTE(SUBSTITUTE(SUBSTITUTE(SUBSTITUTE(SUBSTITUTE(SUBSTITUTE(SUBSTITUTE(SUBSTITUTE(SUBSTITUTE(SUBSTITUTE(SUBSTITUTE(SUBSTITUTE(SUBSTITUTE(SUBSTITUTE(SUBSTITUTE(SUBSTITUTE(SUBSTITUTE(SUBSTITUTE(SUBSTITUTE(SUBSTITUTE(BM681,"b","a"),"c","a"),"d","a"),"e","a"),"f","a"),"g","a"),"h","a"),"i","a"),"j","a"),"k","a"),"l","a"),"m","a"),"n","a"),"o","a"),"p","a"),"q","a"),"r","a"),"s","a"),"t","a"),"u","a"),"v","a"),"w","a"),"x","a"),"y","a"),"z","a")</f>
        <v/>
      </c>
      <c r="BO681" s="61" t="str">
        <f aca="false">SUBSTITUTE(SUBSTITUTE(SUBSTITUTE(SUBSTITUTE(SUBSTITUTE(SUBSTITUTE(SUBSTITUTE(SUBSTITUTE(SUBSTITUTE(LOWER(W681&amp;""),"1","0"),"2","0"),"3","0"),"4","0"),"5","0"),"6","0"),"7","0"),"8","0"),"9","0")</f>
        <v/>
      </c>
      <c r="BP681" s="61" t="str">
        <f aca="false">SUBSTITUTE(SUBSTITUTE(SUBSTITUTE(SUBSTITUTE(SUBSTITUTE(SUBSTITUTE(SUBSTITUTE(SUBSTITUTE(SUBSTITUTE(SUBSTITUTE(SUBSTITUTE(SUBSTITUTE(SUBSTITUTE(SUBSTITUTE(SUBSTITUTE(SUBSTITUTE(SUBSTITUTE(SUBSTITUTE(SUBSTITUTE(SUBSTITUTE(SUBSTITUTE(SUBSTITUTE(SUBSTITUTE(SUBSTITUTE(SUBSTITUTE(BO681,"b","a"),"c","a"),"d","a"),"e","a"),"f","a"),"g","a"),"h","a"),"i","a"),"j","a"),"k","a"),"l","a"),"m","a"),"n","a"),"o","a"),"p","a"),"q","a"),"r","a"),"s","a"),"t","a"),"u","a"),"v","a"),"w","a"),"x","a"),"y","a"),"z","a")</f>
        <v/>
      </c>
      <c r="BQ681" s="61" t="n">
        <f aca="false">IFERROR(IF(AND(ISERROR(SEARCH(" mh"," "&amp;LOWER(W681))),ISNA(MATCH(LEFT(TRIM(BP681),255),{"0000a","000a","00a","0000aa","000aa","00aa","0aa","0000aaa","000aaa","00a00","0a00","0000-0000","00:00","a00","a0","00.00.0000","00/00/0000","00-00-0000","0000-00-00","0000/00/00","0000.00.00","00.00.00","00/00/00","00-00-00","0.00.0000","0/00/0000","0-00-0000"},0)),ISNA(MATCH(LEFT(TRIM(CA681),255),{"0000a","000a","00a","0000aa","000aa","00aa","0aa","0000aaa","000aaa","00a00","0a00","0000-0000","00:00","a00","a0","00.00.0000","00/00/0000","00-00-0000","0000-00-00","0000/00/00","0000.00.00","00.00.00","00/00/00","00-00-00","0.00.0000","0/00/0000","0-00-0000"},0)),LEN(CB681)&gt;=3,NOT(OR(SUBSTITUTE(CB681,"0","")="",AND(LEN(CB681)&gt;=4,CB681=REPT(LEFT(CB681),LEN(CB681))),ISNUMBER(MATCH(CB681,{"123","1234","12345","123456","1234567","12345678","0123","01234","012345","98765","987654","54321"},0)),AND(LEN(CB681)=8,LEFT(CB681,3)="202"))),OR(AND((LEN(CA681)-LEN(SUBSTITUTE(CA681,"a","")))&gt;=1,SUMPRODUCT(--ISNUMBER(SEARCH({"a0","a-0","a_0","a/0","a.0","a#0","0a","0-a","0_a","0/a"},BP681)))&gt;0),ISNUMBER(SEARCH("000000",BP681)))),1,0),0)</f>
        <v>0</v>
      </c>
      <c r="BR681" s="61" t="n">
        <f aca="false">IFERROR(LEN(SUBSTITUTE(CC681," ",""))-SUMPRODUCT((LEN(CC681)-LEN(SUBSTITUTE(CC681," "&amp;L_Role&amp;" "," ")))/(LEN(L_Role)+1)*LEN(L_Role)),0)</f>
        <v>0</v>
      </c>
      <c r="BS681" s="61" t="n">
        <f aca="false">IFERROR(LEN(SUBSTITUTE(CD681," ",""))-SUMPRODUCT((LEN(CD681)-LEN(SUBSTITUTE(CD681," "&amp;L_Role&amp;" "," ")))/(LEN(L_Role)+1)*LEN(L_Role)),0)</f>
        <v>0</v>
      </c>
      <c r="BT6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681,"revision",""),"version",""),"jan",""),"feb",""),"mar",""),"apr",""),"may",""),"jun",""),"jul",""),"aug",""),"sep",""),"oct",""),"nov",""),"dec",""),"utc",""),"gmt",""),"myt",""),"bst",""),"rev",""),"ver",""),"b","a"),"c","a"),"d","a"),"e","a"),"f","a"),"g","a"),"h","a"),"i","a"),"j","a"),"k","a"),"l","a"),"m","a"),"n","a"),"o","a"),"p","a"),"q","a"),"r","a"),"s","a"),"t","a"),"u","a"),"v","a"),"w","a"),"x","a"),"y","a"),"z","a")</f>
        <v/>
      </c>
      <c r="BU681" s="61" t="str">
        <f aca="false">SUBSTITUTE(SUBSTITUTE(SUBSTITUTE(SUBSTITUTE(SUBSTITUTE(SUBSTITUTE(SUBSTITUTE(SUBSTITUTE(SUBSTITUTE(SUBSTITUTE(LEFT(BM681,FIND("0",BM681&amp;"0")-1),"-",""),"_",""),"/",""),".",""),"#",""),"\\",""),":","")," ",""),"(",""),")","")</f>
        <v/>
      </c>
      <c r="BV681" s="61" t="n">
        <f aca="false">0</f>
        <v>0</v>
      </c>
      <c r="BW68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681&amp;""),"a",""),"b",""),"c",""),"d",""),"e",""),"f",""),"g",""),"h",""),"i",""),"j",""),"k",""),"l",""),"m",""),"n",""),"o",""),"p",""),"q",""),"r",""),"s",""),"t",""),"u",""),"v",""),"w",""),"x",""),"y",""),"z",""),"-",""),"_",""),"/",""),".",""),"#",""),"\\",""),":","")," ",""),"(",""),")","")</f>
        <v/>
      </c>
      <c r="BX681" s="61" t="str">
        <f aca="false">SUBSTITUTE(SUBSTITUTE(SUBSTITUTE(SUBSTITUTE(SUBSTITUTE(SUBSTITUTE(SUBSTITUTE(SUBSTITUTE(SUBSTITUTE(SUBSTITUTE(SUBSTITUTE(BM681,"0",""),"-",""),"_",""),"/",""),".",""),"#",""),"\\",""),":","")," ",""),"(",""),")","")</f>
        <v/>
      </c>
      <c r="BY681" s="62" t="n">
        <f aca="false">Q681-T12EarlyH/24</f>
        <v>46323.6875</v>
      </c>
      <c r="BZ681" s="61" t="n">
        <f aca="false">IFERROR(IF(IF(TRIM(S681)="Link / file path",AND(LEN(TRIM(Z681))&gt;=5,SUMPRODUCT(--ISNUMBER(SEARCH({"http","www.","\\",":\",".pdf",".jpg",".jpeg",".png",".heic",".xls",".doc",".msg",".eml",".ppt",".txt",".zip"},Z681)))&gt;0),AND(ISERROR(FIND(" ",TRIM(Z681))),NOT(OR(SUMPRODUCT(--ISNUMBER(FIND({",",";","&amp;","+"},Z681)))&gt;0,SUMPRODUCT(--ISNUMBER(SEARCH({"0/aa","0\\aa"},BN681)))&gt;0)),NOT(SUMPRODUCT(--ISNUMBER(SEARCH({"http","www.","\\",":\",".pdf",".jpg",".jpeg",".png",".heic",".xls",".doc",".msg",".eml",".ppt",".txt",".zip"},Z681)))&gt;0),NOT(LOWER(TRIM(Z681))=LOWER(Flights!$F$25)),ISNA(MATCH(BU681,{"mh","rev","revision","ver","version","v","r","a","b","seat","tray","row","gate","bay","stand","page","pg","item","line","no","cart","galley","flight","flt","table","box","bag","oven","etd","eta","std","sta","atd","ata","qty","pax","x","time","tel","ph","mob","day","wk","week","utc","gmt","myt","lt"},0)),NOT(OR(ISNUMBER(MATCH(LEFT(BN681,255),{"0000a","000a","00a","0000aa","000aa","00aa","0aa","0000aaa","000aaa","00a00","0a00","0000-0000","00:00","a00","a0","00.00.0000","00/00/0000","00-00-0000","0000-00-00","0000/00/00","0000.00.00","00.00.00","00/00/00","00-00-00","0.00.0000","0/00/0000","0-00-0000"},0)),ISNUMBER(MATCH(LEFT(BT681,255),{"0000a","000a","00a","0000aa","000aa","00aa","0aa","0000aaa","000aaa","00a00","0a00","0000-0000","00:00","a00","a0","00.00.0000","00/00/0000","00-00-0000","0000-00-00","0000/00/00","0000.00.00","00.00.00","00/00/00","00-00-00","0.00.0000","0/00/0000","0-00-0000"},0)))),NOT(OR(AND(BW681&lt;&gt;"",SUBSTITUTE(BW681,"0","")=""),AND(LEN(BW681)&gt;=4,BW681=REPT(LEFT(BW681),LEN(BW681))),ISNUMBER(MATCH(BW681,{"123","1234","12345","123456","1234567","12345678","0123","01234","012345","98765","987654","54321"},0)),ISNUMBER(MATCH(BX681,{"x","xx","xxx","xxxx","xxxxx","abc","abcd","nil","na","nan","test","tbc","tba","tbd","dummy","sample","example","eg","zz","zzz","none","null","xyz","qwe","asd","id","ref"},0)),AND(LEN(BW681)=8,BX681="",OR(LEFT(BW681,3)="202",ISNUMBER(MATCH(RIGHT(BW681,4),{"2025","2026","2027"},0)))))),OR(AND((LEN(BT681)-LEN(SUBSTITUTE(BT681,"a","")))&gt;=1,(LEN(BN681)-LEN(SUBSTITUTE(BN681,"0","")))&gt;=2,SUMPRODUCT(--ISNUMBER(SEARCH({"a0","a-0","a_0","a/0","a.0","a#0","0a","0-a","0_a","0/a"},BN681)))&gt;0),AND((LEN(BN681)-LEN(SUBSTITUTE(BN681,"a","")))=0,(LEN(BN681)-LEN(SUBSTITUTE(BN681,"0","")))&gt;=5)))),1,0),0)</f>
        <v>0</v>
      </c>
      <c r="CA6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681,"revision",""),"version",""),"jan",""),"feb",""),"mar",""),"apr",""),"may",""),"jun",""),"jul",""),"aug",""),"sep",""),"oct",""),"nov",""),"dec",""),"utc",""),"gmt",""),"myt",""),"bst",""),"rev",""),"ver",""),"b","a"),"c","a"),"d","a"),"e","a"),"f","a"),"g","a"),"h","a"),"i","a"),"j","a"),"k","a"),"l","a"),"m","a"),"n","a"),"o","a"),"p","a"),"q","a"),"r","a"),"s","a"),"t","a"),"u","a"),"v","a"),"w","a"),"x","a"),"y","a"),"z","a")</f>
        <v/>
      </c>
      <c r="CB68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681&amp;""),"a",""),"b",""),"c",""),"d",""),"e",""),"f",""),"g",""),"h",""),"i",""),"j",""),"k",""),"l",""),"m",""),"n",""),"o",""),"p",""),"q",""),"r",""),"s",""),"t",""),"u",""),"v",""),"w",""),"x",""),"y",""),"z",""),"-",""),"_",""),"/",""),".",""),"#",""),"\\",""),":","")," ",""),"(",""),")","")</f>
        <v/>
      </c>
      <c r="CC681" s="0" t="str">
        <f aca="false">" "&amp;TRIM(SUBSTITUTE(SUBSTITUTE(SUBSTITUTE(SUBSTITUTE(SUBSTITUTE(SUBSTITUTE(SUBSTITUTE(SUBSTITUTE(SUBSTITUTE(SUBSTITUTE(SUBSTITUTE(SUBSTITUTE(SUBSTITUTE(SUBSTITUTE(SUBSTITUTE(SUBSTITUTE(SUBSTITUTE(SUBSTITUTE(SUBSTITUTE(SUBSTITUTE(SUBSTITUTE(SUBSTITUTE(SUBSTITUTE(SUBSTITUTE(LOWER(T681&amp;""),CHAR(10)," "),CHAR(13)," "),CHAR(9)," "),CHAR(160)," "),"."," "),","," "),"-"," "),"/"," "),"("," "),")"," "),":"," "),";"," "),"_"," "),"–"," "),"?"," "),"!"," "),"*"," "),"["," "),"]"," "),"'"," "),"#"," "),"+"," "),"&amp;"," "),"\"," "))&amp;" "</f>
        <v>  </v>
      </c>
      <c r="CD681" s="0" t="str">
        <f aca="false">" "&amp;TRIM(SUBSTITUTE(SUBSTITUTE(SUBSTITUTE(SUBSTITUTE(SUBSTITUTE(SUBSTITUTE(SUBSTITUTE(SUBSTITUTE(SUBSTITUTE(SUBSTITUTE(SUBSTITUTE(SUBSTITUTE(SUBSTITUTE(SUBSTITUTE(SUBSTITUTE(SUBSTITUTE(SUBSTITUTE(SUBSTITUTE(SUBSTITUTE(SUBSTITUTE(SUBSTITUTE(SUBSTITUTE(SUBSTITUTE(SUBSTITUTE(LOWER(AE681&amp;""),CHAR(10)," "),CHAR(13)," "),CHAR(9)," "),CHAR(160)," "),"."," "),","," "),"-"," "),"/"," "),"("," "),")"," "),":"," "),";"," "),"_"," "),"–"," "),"?"," "),"!"," "),"*"," "),"["," "),"]"," "),"'"," "),"#"," "),"+"," "),"&amp;"," "),"\"," "))&amp;" "</f>
        <v>  </v>
      </c>
      <c r="CE681" s="68" t="n">
        <f aca="false">IFERROR(IF(AND(LEN(AU681)&gt;0,LEN(AU681)=LEN(AX681),OR(TRIM(MID(SUBSTITUTE(TRIM(CC681)," ",REPT(" ",60)),1,60))="",ISNUMBER(SEARCH(" "&amp;TRIM(MID(SUBSTITUTE(TRIM(CC681)," ",REPT(" ",60)),1,60))&amp;" ",CD681))),OR(TRIM(MID(SUBSTITUTE(TRIM(CC681)," ",REPT(" ",60)),61,60))="",ISNUMBER(SEARCH(" "&amp;TRIM(MID(SUBSTITUTE(TRIM(CC681)," ",REPT(" ",60)),61,60))&amp;" ",CD681))),OR(TRIM(MID(SUBSTITUTE(TRIM(CC681)," ",REPT(" ",60)),121,60))="",ISNUMBER(SEARCH(" "&amp;TRIM(MID(SUBSTITUTE(TRIM(CC681)," ",REPT(" ",60)),121,60))&amp;" ",CD681)))),1,0),0)</f>
        <v>0</v>
      </c>
      <c r="CG681" s="68" t="n">
        <f aca="false">IFERROR(LEN(SUBSTITUTE(BF681," ",""))-SUMPRODUCT((LEN(BF681)-LEN(SUBSTITUTE(BF681," "&amp;L_NAFiller&amp;" "," ")))/(LEN(L_NAFiller)+1)*LEN(L_NAFiller)),0)</f>
        <v>0</v>
      </c>
    </row>
    <row r="682" customFormat="false" ht="41.25" hidden="false" customHeight="true" outlineLevel="0" collapsed="false">
      <c r="A682" s="57" t="s">
        <v>1404</v>
      </c>
      <c r="B682" s="57" t="s">
        <v>310</v>
      </c>
      <c r="C682" s="57" t="str">
        <f aca="false">Flights!$F$25</f>
        <v>MH1437</v>
      </c>
      <c r="D682" s="58" t="n">
        <f aca="false">Flights!$D$25</f>
        <v>46325</v>
      </c>
      <c r="E682" s="57" t="str">
        <f aca="false">Flights!$G$25&amp;"-"&amp;Flights!$H$25</f>
        <v>LGK-KUL</v>
      </c>
      <c r="F682" s="57" t="str">
        <f aca="false">Flights!$K$25</f>
        <v>BC</v>
      </c>
      <c r="G682" s="57" t="s">
        <v>420</v>
      </c>
      <c r="H682" s="57" t="s">
        <v>378</v>
      </c>
      <c r="I682" s="57" t="s">
        <v>428</v>
      </c>
      <c r="J682" s="57" t="s">
        <v>438</v>
      </c>
      <c r="K682" s="67"/>
      <c r="L682" s="67" t="s">
        <v>422</v>
      </c>
      <c r="M682" s="67"/>
      <c r="N682" s="67" t="s">
        <v>383</v>
      </c>
      <c r="O682" s="67" t="s">
        <v>975</v>
      </c>
      <c r="P682" s="57" t="s">
        <v>187</v>
      </c>
      <c r="Q682" s="59" t="n">
        <f aca="false">ROUND((MIN(Flights!$AE$25,Flights!$AY$25))*1440,0)/1440</f>
        <v>46324.1875</v>
      </c>
      <c r="R682" s="59" t="n">
        <f aca="false">Q682+(IF(AND(INDEX(TZ_DSTS,MATCH(P682,TZ_STN,0))&lt;&gt;"",Q682&gt;=INDEX(TZ_DSTS,MATCH(P682,TZ_STN,0)),Q682&lt;INDEX(TZ_DSTE,MATCH(P682,TZ_STN,0))),INDEX(TZ_DST,MATCH(P682,TZ_STN,0)),INDEX(TZ_STD,MATCH(P682,TZ_STN,0))))/24</f>
        <v>46324.5208333333</v>
      </c>
      <c r="S682" s="60"/>
      <c r="T682" s="60"/>
      <c r="U682" s="60"/>
      <c r="V682" s="60"/>
      <c r="W682" s="61"/>
      <c r="X682" s="60"/>
      <c r="Y682" s="60"/>
      <c r="Z682" s="60"/>
      <c r="AA682" s="60"/>
      <c r="AB682" s="60"/>
      <c r="AC682" s="60"/>
      <c r="AD682" s="66"/>
      <c r="AE682" s="60"/>
      <c r="AF682" s="61" t="str">
        <f aca="false">IF(AND(ISNUMBER(X682),ISNUMBER(Y682)),Y682-X682,"")</f>
        <v/>
      </c>
      <c r="AG682" s="62" t="str">
        <f aca="false">IF(ISNUMBER(AD682),AD682-(IF(AND(INDEX(TZ_DSTS,MATCH(P682,TZ_STN,0))&lt;&gt;"",(AD682-INDEX(TZ_STD,MATCH(P682,TZ_STN,0))/24)&gt;=INDEX(TZ_DSTS,MATCH(P682,TZ_STN,0)),(AD682-INDEX(TZ_STD,MATCH(P682,TZ_STN,0))/24)&lt;INDEX(TZ_DSTE,MATCH(P682,TZ_STN,0))),INDEX(TZ_DST,MATCH(P682,TZ_STN,0)),INDEX(TZ_STD,MATCH(P682,TZ_STN,0))))/24,"")</f>
        <v/>
      </c>
      <c r="AH682" s="65" t="str">
        <f aca="false">IFERROR(IF(N682="N/A – rule",IF(OR(TRIM(U682)="",TRIM(U682)="N/A",TRIM(U682)="Not started"),"N/A – RULE","INVALID – this check does not apply to this aircraft: clear the status (or correct the fleet on Flights)"),IF(TRIM(U682)="N/A",IF(AT682=0,"INVALID – N/A not permitted for this check",IF(AND(TRIM(AB682)&lt;&gt;"",TRIM(AB682)&lt;&gt;"Closed"),"INVALID – corrective action still open",IF(AND(NOT(OR(LEN(AZ682)&lt;15,ISNUMBER(MATCH(AZ682,L_Placeholder,0)))),BK682=0,CG682&gt;=8,NOT(OR(LEN(AU682)&lt;2,ISNUMBER(MATCH(AU682,L_Placeholder,0)))),BR682&gt;=3,NOT(OR(LEN(AX682)&lt;2,ISNUMBER(MATCH(AX682,L_Placeholder,0)))),BS682&gt;=3,TRIM(AE682)&lt;&gt;TRIM(T682),AX682&lt;&gt;AU682,CE682=0),"N/A – JUSTIFIED","INVALID – N/A needs a real, settled reason (not 'not applicable' / 'as above' / TBC), a named PIC and a different named verifier"))),IF(OR(TRIM(U682)="Pass",TRIM(U682)="Pass after CA"),IF(NOT(ISNUMBER(AD682)),"INVALID – completion time missing",IF(OR(OR(LEN(AU682)&lt;2,ISNUMBER(MATCH(AU682,L_Placeholder,0))),BR682&lt;3),"INVALID – PIC missing or not a named person (a role such as QA / CSM is not a name)",IF(OR(LEN(AV682)&lt;2,ISNUMBER(MATCH(AV682,L_Placeholder,0))),"INVALID – result / assessment missing",IF(OR(OR(LEN(AW682)&lt;3,ISNUMBER(MATCH(AW682,L_Placeholder,0))),SUMPRODUCT(--ISNUMBER(SEARCH(" "&amp;L_EvidencePhrase&amp;" ",BD682)))&gt;0,BI682=1),"INVALID – evidence missing, placeholder or not yet on file",IF(ISNA(MATCH(TRIM(S682),L_EvidenceType,0)),"INVALID – choose the evidence type from the list (column S)",IF(BL682=0,"INVALID – evidence ID must be the record's own ID only (e.g. SF-2210, IMG_2231, 1045521); a link / file name needs type 'Link / file path'",IF(OR(OR(LEN(AX682)&lt;2,ISNUMBER(MATCH(AX682,L_Placeholder,0))),BS682&lt;3),"INVALID – verifier missing or not a named person (a role such as QA / CSM is not a name)",IF(OR(AX682=AU682,CE682=1,AND(LEN(AU682)&gt;=4,ISNUMBER(SEARCH(AU682,AX682))),AND(LEN(AX682)&gt;=4,ISNUMBER(SEARCH(AX682,AU682)))),"INVALID – verifier must be a different, named person (not the PIC or a role)",IF(BH682=1,"INVALID – result not yet available (awaiting / TBC)",IF(BG682=1,"INVALID – result describes a problem: record Fail, then Pass after CA (or reword if it is not a problem)",IF(BV682=1,"INVALID – wording says not on board: an on-board confirmation needs the item loaded",IF(AND(AQ682=1,OR(OR(LEN(AY682)&lt;3,ISNUMBER(MATCH(AY682,L_Placeholder,0))),BJ682=1,BQ682=0)),"INVALID – batch ID missing, placeholder or not an ID (e.g. PASB-261008-BC-017)",IF(AND(AR682=1,OR(NOT(ISNUMBER(X682)),NOT(ISNUMBER(Y682)))),"INVALID – expected/actual qty missing",IF(AND(AR682=1,OR(X682&lt;=0,Y682&lt;0)),"INVALID – expected qty must be above 0 and actual not negative",IF(BB682&lt;&gt;"",BB682,IF(AND(AS682=1,Documents!$J$25&lt;&gt;"ON FILE"),"INVALID – GLD not on file (Documents sheet)",IF(AND(AS682=2,Documents!$O$25&lt;&gt;"ON FILE"),"INVALID – menu checklist not on file (Documents sheet)",IF(AND(AS682=3,NOT(ISNUMBER(Flights!$AX$25))),"INVALID – enter carrying flight KUL departure (Flights AX)",IF(AND(AS682=3,OR(Flights!$AZ$25&gt;Flights!$AA$25,Flights!$AX$25&lt;Flights!$AA$25-3)),"INVALID – carrying flight (Flights AX) cannot arrive before this leg's STD, or is over 3 days early",IF(AG682&gt;AsOfUTC,"INVALID – completion time is in the future",IF(AND(ISNUMBER(BY682),AG682&lt;BY682),IF(H682="Physical uplift","INVALID – before uplift window (cannot confirm loading)","INVALID – before valid window"),IF(AG682&gt;Flights!$AA$25,"INVALID – completed after departure (cannot establish readiness)",IF(AND(H682="Preparation",AG682&gt;=Flights!$AY$25+UpliftWindowH/24),"INVALID – completed after the carrying flight left KUL",IF(AND(H682="Physical uplift",AG682&gt;Q682),"INVALID – recorded after the loading flight departed",IF(AG682&gt;Q682,"COMPLETE – LATE","COMPLETE"))))))))))))))))))))))))),IF(TRIM(U682)="Fail","FAIL – DISCREPANCY",IF(AND(TRIM(U682)&lt;&gt;"",TRIM(U682)&lt;&gt;"Not started",TRIM(U682)&lt;&gt;"In progress"),"INVALID – unrecognised status (use the list)",IF(AsOfUTC&gt;Q682,"OVERDUE",IF(N682="Clarification required","OPEN – CLARIFICATION","OPEN"))))))),"INVALID – error value in an input cell")</f>
        <v>OPEN</v>
      </c>
      <c r="AI682" s="61" t="n">
        <f aca="false">IF(OR(AH682="N/A – RULE",AH682="N/A – JUSTIFIED"),0,1)</f>
        <v>1</v>
      </c>
      <c r="AJ682" s="61" t="n">
        <f aca="false">IF(LEFT(AH682,8)="COMPLETE",1,0)</f>
        <v>0</v>
      </c>
      <c r="AK682" s="61" t="n">
        <f aca="false">IF(AND(AI682=1,AJ682=0,AsOfUTC&gt;Q682),1,0)</f>
        <v>0</v>
      </c>
      <c r="AL682" s="61" t="n">
        <f aca="false">IFERROR(IF(AND(AI682=1,OR(TRIM(U682)="Fail",AND(TRIM(AB682)&lt;&gt;"",TRIM(AB682)&lt;&gt;"Closed"),AND(ISNUMBER(AF682),AF682&lt;&gt;0,TRIM(U682)&lt;&gt;"Pass after CA"))),1,0),1)</f>
        <v>0</v>
      </c>
      <c r="AM682" s="61" t="n">
        <f aca="false">IF(LEFT(AH682,7)="INVALID",1,0)</f>
        <v>0</v>
      </c>
      <c r="AN682" s="61" t="n">
        <f aca="false">IF(AND(N682="Clarification required",AI682=1,AJ682=0),1,0)</f>
        <v>0</v>
      </c>
      <c r="AO682" s="61" t="str">
        <f aca="false">IF(AK682=1,SUM(AK$5:AK682),"")</f>
        <v/>
      </c>
      <c r="AP682" s="61" t="str">
        <f aca="false">IF(AL682=1,SUM(AL$5:AL682),"")</f>
        <v/>
      </c>
      <c r="AQ682" s="61" t="n">
        <v>0</v>
      </c>
      <c r="AR682" s="61" t="n">
        <v>0</v>
      </c>
      <c r="AS682" s="61" t="n">
        <v>0</v>
      </c>
      <c r="AT682" s="61" t="n">
        <v>0</v>
      </c>
      <c r="AU682" s="61" t="str">
        <f aca="false">SUBSTITUTE(SUBSTITUTE(SUBSTITUTE(SUBSTITUTE(SUBSTITUTE(SUBSTITUTE(SUBSTITUTE(SUBSTITUTE(SUBSTITUTE(SUBSTITUTE(SUBSTITUTE(SUBSTITUTE(SUBSTITUTE(SUBSTITUTE(SUBSTITUTE(SUBSTITUTE(LOWER(T682&amp;""),CHAR(10),""),CHAR(13),""),CHAR(9),""),CHAR(160),"")," ",""),".",""),"-",""),"/",""),"?",""),"_",""),",",""),"[",""),"]",""),"(",""),")",""),"*","")</f>
        <v/>
      </c>
      <c r="AV682" s="61" t="str">
        <f aca="false">SUBSTITUTE(SUBSTITUTE(SUBSTITUTE(SUBSTITUTE(SUBSTITUTE(SUBSTITUTE(SUBSTITUTE(SUBSTITUTE(SUBSTITUTE(SUBSTITUTE(SUBSTITUTE(SUBSTITUTE(SUBSTITUTE(SUBSTITUTE(SUBSTITUTE(SUBSTITUTE(LOWER(V682&amp;""),CHAR(10),""),CHAR(13),""),CHAR(9),""),CHAR(160),"")," ",""),".",""),"-",""),"/",""),"?",""),"_",""),",",""),"[",""),"]",""),"(",""),")",""),"*","")</f>
        <v/>
      </c>
      <c r="AW682" s="61" t="str">
        <f aca="false">SUBSTITUTE(SUBSTITUTE(SUBSTITUTE(SUBSTITUTE(SUBSTITUTE(SUBSTITUTE(SUBSTITUTE(SUBSTITUTE(SUBSTITUTE(SUBSTITUTE(SUBSTITUTE(SUBSTITUTE(SUBSTITUTE(SUBSTITUTE(SUBSTITUTE(SUBSTITUTE(LOWER(Z682&amp;""),CHAR(10),""),CHAR(13),""),CHAR(9),""),CHAR(160),"")," ",""),".",""),"-",""),"/",""),"?",""),"_",""),",",""),"[",""),"]",""),"(",""),")",""),"*","")</f>
        <v/>
      </c>
      <c r="AX682" s="61" t="str">
        <f aca="false">SUBSTITUTE(SUBSTITUTE(SUBSTITUTE(SUBSTITUTE(SUBSTITUTE(SUBSTITUTE(SUBSTITUTE(SUBSTITUTE(SUBSTITUTE(SUBSTITUTE(SUBSTITUTE(SUBSTITUTE(SUBSTITUTE(SUBSTITUTE(SUBSTITUTE(SUBSTITUTE(LOWER(AE682&amp;""),CHAR(10),""),CHAR(13),""),CHAR(9),""),CHAR(160),"")," ",""),".",""),"-",""),"/",""),"?",""),"_",""),",",""),"[",""),"]",""),"(",""),")",""),"*","")</f>
        <v/>
      </c>
      <c r="AY682" s="61" t="str">
        <f aca="false">SUBSTITUTE(SUBSTITUTE(SUBSTITUTE(SUBSTITUTE(SUBSTITUTE(SUBSTITUTE(SUBSTITUTE(SUBSTITUTE(SUBSTITUTE(SUBSTITUTE(SUBSTITUTE(SUBSTITUTE(SUBSTITUTE(SUBSTITUTE(SUBSTITUTE(SUBSTITUTE(LOWER(W682&amp;""),CHAR(10),""),CHAR(13),""),CHAR(9),""),CHAR(160),"")," ",""),".",""),"-",""),"/",""),"?",""),"_",""),",",""),"[",""),"]",""),"(",""),")",""),"*","")</f>
        <v/>
      </c>
      <c r="AZ682" s="61" t="str">
        <f aca="false">SUBSTITUTE(SUBSTITUTE(SUBSTITUTE(SUBSTITUTE(SUBSTITUTE(SUBSTITUTE(SUBSTITUTE(SUBSTITUTE(SUBSTITUTE(SUBSTITUTE(SUBSTITUTE(SUBSTITUTE(SUBSTITUTE(SUBSTITUTE(SUBSTITUTE(SUBSTITUTE(LOWER(AC682&amp;""),CHAR(10),""),CHAR(13),""),CHAR(9),""),CHAR(160),"")," ",""),".",""),"-",""),"/",""),"?",""),"_",""),",",""),"[",""),"]",""),"(",""),")",""),"*","")</f>
        <v/>
      </c>
      <c r="BA682" s="61" t="str">
        <f aca="false">SUBSTITUTE(SUBSTITUTE(SUBSTITUTE(SUBSTITUTE(SUBSTITUTE(SUBSTITUTE(SUBSTITUTE(SUBSTITUTE(SUBSTITUTE(SUBSTITUTE(SUBSTITUTE(SUBSTITUTE(SUBSTITUTE(SUBSTITUTE(SUBSTITUTE(SUBSTITUTE(LOWER(AA682&amp;""),CHAR(10),""),CHAR(13),""),CHAR(9),""),CHAR(160),"")," ",""),".",""),"-",""),"/",""),"?",""),"_",""),",",""),"[",""),"]",""),"(",""),")",""),"*","")</f>
        <v/>
      </c>
      <c r="BB682" s="61" t="str">
        <f aca="false">IF(AND(TRIM(U682)="Pass",ISNUMBER(AF682)),IF(AF682&lt;&gt;0,"INVALID – qty variance: use Fail or Pass after CA",""),"")&amp;IF(AND(TRIM(U682)="Pass after CA",ISNUMBER(AF682)),IF(AF682&lt;&gt;0,"INVALID – after the corrective action the actual qty must equal expected (update Actual)",""),"")&amp;IF(AND(TRIM(U682)="Pass",TRIM(AB682)&lt;&gt;"",TRIM(AB682)&lt;&gt;"Closed"),"INVALID – corrective action not closed: use Fail, then Pass after CA","")&amp;IF(AND(LEN(BA682)&gt;=2,ISNA(MATCH(LEFT(BA682,255),L_Placeholder,0)),TRIM(AB682)=""),"INVALID – CA status missing for the recorded corrective action","")&amp;IF(AND(TRIM(U682)="Pass after CA",OR(OR(LEN(BA682)&lt;5,ISNUMBER(MATCH(BA682,L_Placeholder,0))),TRIM(AB682)&lt;&gt;"Closed")),"INVALID – corrective action not recorded/closed","")</f>
        <v/>
      </c>
      <c r="BC682" s="61" t="str">
        <f aca="false">" "&amp;TRIM(SUBSTITUTE(SUBSTITUTE(SUBSTITUTE(SUBSTITUTE(SUBSTITUTE(SUBSTITUTE(SUBSTITUTE(SUBSTITUTE(SUBSTITUTE(SUBSTITUTE(SUBSTITUTE(SUBSTITUTE(SUBSTITUTE(SUBSTITUTE(SUBSTITUTE(SUBSTITUTE(SUBSTITUTE(SUBSTITUTE(SUBSTITUTE(SUBSTITUTE(SUBSTITUTE(SUBSTITUTE(SUBSTITUTE(SUBSTITUTE(LOWER(V682&amp;""),CHAR(10)," "),CHAR(13)," "),CHAR(9)," "),CHAR(160)," "),"."," "),","," "),"-"," "),"/"," "),"("," "),")"," "),":"," "),";"," "),"_"," "),"–"," "),"?"," "),"!"," "),"*"," "),"["," "),"]"," "),"'"," "),"#"," "),"+"," "),"&amp;"," "),"\"," "))&amp;" "</f>
        <v>  </v>
      </c>
      <c r="BD682" s="61" t="str">
        <f aca="false">" "&amp;TRIM(SUBSTITUTE(SUBSTITUTE(SUBSTITUTE(SUBSTITUTE(SUBSTITUTE(SUBSTITUTE(SUBSTITUTE(SUBSTITUTE(SUBSTITUTE(SUBSTITUTE(SUBSTITUTE(SUBSTITUTE(SUBSTITUTE(SUBSTITUTE(SUBSTITUTE(SUBSTITUTE(SUBSTITUTE(SUBSTITUTE(SUBSTITUTE(SUBSTITUTE(SUBSTITUTE(SUBSTITUTE(SUBSTITUTE(SUBSTITUTE(LOWER(Z682&amp;""),CHAR(10)," "),CHAR(13)," "),CHAR(9)," "),CHAR(160)," "),"."," "),","," "),"-"," "),"/"," "),"("," "),")"," "),":"," "),";"," "),"_"," "),"–"," "),"?"," "),"!"," "),"*"," "),"["," "),"]"," "),"'"," "),"#"," "),"+"," "),"&amp;"," "),"\"," "))&amp;" "</f>
        <v>  </v>
      </c>
      <c r="BE682" s="61" t="str">
        <f aca="false">" "&amp;TRIM(SUBSTITUTE(SUBSTITUTE(SUBSTITUTE(SUBSTITUTE(SUBSTITUTE(SUBSTITUTE(SUBSTITUTE(SUBSTITUTE(SUBSTITUTE(SUBSTITUTE(SUBSTITUTE(SUBSTITUTE(SUBSTITUTE(SUBSTITUTE(SUBSTITUTE(SUBSTITUTE(SUBSTITUTE(SUBSTITUTE(SUBSTITUTE(SUBSTITUTE(SUBSTITUTE(SUBSTITUTE(SUBSTITUTE(SUBSTITUTE(LOWER(W682&amp;""),CHAR(10)," "),CHAR(13)," "),CHAR(9)," "),CHAR(160)," "),"."," "),","," "),"-"," "),"/"," "),"("," "),")"," "),":"," "),";"," "),"_"," "),"–"," "),"?"," "),"!"," "),"*"," "),"["," "),"]"," "),"'"," "),"#"," "),"+"," "),"&amp;"," "),"\"," "))&amp;" "</f>
        <v>  </v>
      </c>
      <c r="BF682" s="61" t="str">
        <f aca="false">" "&amp;TRIM(SUBSTITUTE(SUBSTITUTE(SUBSTITUTE(SUBSTITUTE(SUBSTITUTE(SUBSTITUTE(SUBSTITUTE(SUBSTITUTE(SUBSTITUTE(SUBSTITUTE(SUBSTITUTE(SUBSTITUTE(SUBSTITUTE(SUBSTITUTE(SUBSTITUTE(SUBSTITUTE(SUBSTITUTE(SUBSTITUTE(SUBSTITUTE(SUBSTITUTE(SUBSTITUTE(SUBSTITUTE(SUBSTITUTE(SUBSTITUTE(LOWER(AC682&amp;""),CHAR(10)," "),CHAR(13)," "),CHAR(9)," "),CHAR(160)," "),"."," "),","," "),"-"," "),"/"," "),"("," "),")"," "),":"," "),";"," "),"_"," "),"–"," "),"?"," "),"!"," "),"*"," "),"["," "),"]"," "),"'"," "),"#"," "),"+"," "),"&amp;"," "),"\"," "))&amp;" "</f>
        <v>  </v>
      </c>
      <c r="BG682" s="61" t="n">
        <f aca="false">IFERROR(IF(AND(TRIM(U682)="Pass",SUMPRODUCT((LEN(BC682)-LEN(SUBSTITUTE(BC682," "&amp;L_ResultBad&amp;" "," ")))/(LEN(L_ResultBad)+1))&gt;SUMPRODUCT((LEN(BC682)-LEN(SUBSTITUTE(BC682," "&amp;L_NegPhrase&amp;" "," ")))/(LEN(L_NegPhrase)+1))),1,0),0)</f>
        <v>0</v>
      </c>
      <c r="BH682" s="61" t="n">
        <f aca="false">IFERROR(IF(SUMPRODUCT((LEN(BC682)-LEN(SUBSTITUTE(BC682," "&amp;L_Pending&amp;" "," ")))/(LEN(L_Pending)+1))&gt;SUMPRODUCT((LEN(BC682)-LEN(SUBSTITUTE(BC682," "&amp;L_PendNeg&amp;" "," ")))/(LEN(L_PendNeg)+1))+SUMPRODUCT((LEN(BC682)-LEN(SUBSTITUTE(BC682," "&amp;L_PendPrep&amp;" "," ")))/(LEN(L_PendPrep)+1)),1,0),1)</f>
        <v>0</v>
      </c>
      <c r="BI682" s="61" t="n">
        <f aca="false">IFERROR(IF(SUMPRODUCT((LEN(BD682)-LEN(SUBSTITUTE(BD682," "&amp;L_PendStrict&amp;" "," ")))/(LEN(L_PendStrict)+1))&gt;SUMPRODUCT((LEN(BD682)-LEN(SUBSTITUTE(BD682," "&amp;L_PendNeg&amp;" "," ")))/(LEN(L_PendNeg)+1)),1,0),1)</f>
        <v>0</v>
      </c>
      <c r="BJ682" s="61" t="n">
        <f aca="false">IFERROR(IF(SUMPRODUCT((LEN(BE682)-LEN(SUBSTITUTE(BE682," "&amp;L_Pending&amp;" "," ")))/(LEN(L_Pending)+1))&gt;SUMPRODUCT((LEN(BE682)-LEN(SUBSTITUTE(BE682," "&amp;L_PendNeg&amp;" "," ")))/(LEN(L_PendNeg)+1))+SUMPRODUCT((LEN(BE682)-LEN(SUBSTITUTE(BE682," "&amp;L_PendPrep&amp;" "," ")))/(LEN(L_PendPrep)+1)),1,0),1)</f>
        <v>0</v>
      </c>
      <c r="BK682" s="61" t="n">
        <f aca="false">IFERROR(IF(SUMPRODUCT((LEN(BF682)-LEN(SUBSTITUTE(BF682," "&amp;L_PendStrict&amp;" "," ")))/(LEN(L_PendStrict)+1))&gt;SUMPRODUCT((LEN(BF682)-LEN(SUBSTITUTE(BF682," "&amp;L_PendNeg&amp;" "," ")))/(LEN(L_PendNeg)+1)),1,0),1)</f>
        <v>0</v>
      </c>
      <c r="BL682" s="61" t="n">
        <f aca="false">IF(ISNA(MATCH(TRIM(S682),L_EvidenceType,0)),0,BZ682)</f>
        <v>0</v>
      </c>
      <c r="BM682" s="61" t="str">
        <f aca="false">SUBSTITUTE(SUBSTITUTE(SUBSTITUTE(SUBSTITUTE(SUBSTITUTE(SUBSTITUTE(SUBSTITUTE(SUBSTITUTE(SUBSTITUTE(LOWER(Z682&amp;""),"1","0"),"2","0"),"3","0"),"4","0"),"5","0"),"6","0"),"7","0"),"8","0"),"9","0")</f>
        <v/>
      </c>
      <c r="BN682" s="61" t="str">
        <f aca="false">SUBSTITUTE(SUBSTITUTE(SUBSTITUTE(SUBSTITUTE(SUBSTITUTE(SUBSTITUTE(SUBSTITUTE(SUBSTITUTE(SUBSTITUTE(SUBSTITUTE(SUBSTITUTE(SUBSTITUTE(SUBSTITUTE(SUBSTITUTE(SUBSTITUTE(SUBSTITUTE(SUBSTITUTE(SUBSTITUTE(SUBSTITUTE(SUBSTITUTE(SUBSTITUTE(SUBSTITUTE(SUBSTITUTE(SUBSTITUTE(SUBSTITUTE(BM682,"b","a"),"c","a"),"d","a"),"e","a"),"f","a"),"g","a"),"h","a"),"i","a"),"j","a"),"k","a"),"l","a"),"m","a"),"n","a"),"o","a"),"p","a"),"q","a"),"r","a"),"s","a"),"t","a"),"u","a"),"v","a"),"w","a"),"x","a"),"y","a"),"z","a")</f>
        <v/>
      </c>
      <c r="BO682" s="61" t="str">
        <f aca="false">SUBSTITUTE(SUBSTITUTE(SUBSTITUTE(SUBSTITUTE(SUBSTITUTE(SUBSTITUTE(SUBSTITUTE(SUBSTITUTE(SUBSTITUTE(LOWER(W682&amp;""),"1","0"),"2","0"),"3","0"),"4","0"),"5","0"),"6","0"),"7","0"),"8","0"),"9","0")</f>
        <v/>
      </c>
      <c r="BP682" s="61" t="str">
        <f aca="false">SUBSTITUTE(SUBSTITUTE(SUBSTITUTE(SUBSTITUTE(SUBSTITUTE(SUBSTITUTE(SUBSTITUTE(SUBSTITUTE(SUBSTITUTE(SUBSTITUTE(SUBSTITUTE(SUBSTITUTE(SUBSTITUTE(SUBSTITUTE(SUBSTITUTE(SUBSTITUTE(SUBSTITUTE(SUBSTITUTE(SUBSTITUTE(SUBSTITUTE(SUBSTITUTE(SUBSTITUTE(SUBSTITUTE(SUBSTITUTE(SUBSTITUTE(BO682,"b","a"),"c","a"),"d","a"),"e","a"),"f","a"),"g","a"),"h","a"),"i","a"),"j","a"),"k","a"),"l","a"),"m","a"),"n","a"),"o","a"),"p","a"),"q","a"),"r","a"),"s","a"),"t","a"),"u","a"),"v","a"),"w","a"),"x","a"),"y","a"),"z","a")</f>
        <v/>
      </c>
      <c r="BQ682" s="61" t="n">
        <f aca="false">IFERROR(IF(AND(ISERROR(SEARCH(" mh"," "&amp;LOWER(W682))),ISNA(MATCH(LEFT(TRIM(BP682),255),{"0000a","000a","00a","0000aa","000aa","00aa","0aa","0000aaa","000aaa","00a00","0a00","0000-0000","00:00","a00","a0","00.00.0000","00/00/0000","00-00-0000","0000-00-00","0000/00/00","0000.00.00","00.00.00","00/00/00","00-00-00","0.00.0000","0/00/0000","0-00-0000"},0)),ISNA(MATCH(LEFT(TRIM(CA682),255),{"0000a","000a","00a","0000aa","000aa","00aa","0aa","0000aaa","000aaa","00a00","0a00","0000-0000","00:00","a00","a0","00.00.0000","00/00/0000","00-00-0000","0000-00-00","0000/00/00","0000.00.00","00.00.00","00/00/00","00-00-00","0.00.0000","0/00/0000","0-00-0000"},0)),LEN(CB682)&gt;=3,NOT(OR(SUBSTITUTE(CB682,"0","")="",AND(LEN(CB682)&gt;=4,CB682=REPT(LEFT(CB682),LEN(CB682))),ISNUMBER(MATCH(CB682,{"123","1234","12345","123456","1234567","12345678","0123","01234","012345","98765","987654","54321"},0)),AND(LEN(CB682)=8,LEFT(CB682,3)="202"))),OR(AND((LEN(CA682)-LEN(SUBSTITUTE(CA682,"a","")))&gt;=1,SUMPRODUCT(--ISNUMBER(SEARCH({"a0","a-0","a_0","a/0","a.0","a#0","0a","0-a","0_a","0/a"},BP682)))&gt;0),ISNUMBER(SEARCH("000000",BP682)))),1,0),0)</f>
        <v>0</v>
      </c>
      <c r="BR682" s="61" t="n">
        <f aca="false">IFERROR(LEN(SUBSTITUTE(CC682," ",""))-SUMPRODUCT((LEN(CC682)-LEN(SUBSTITUTE(CC682," "&amp;L_Role&amp;" "," ")))/(LEN(L_Role)+1)*LEN(L_Role)),0)</f>
        <v>0</v>
      </c>
      <c r="BS682" s="61" t="n">
        <f aca="false">IFERROR(LEN(SUBSTITUTE(CD682," ",""))-SUMPRODUCT((LEN(CD682)-LEN(SUBSTITUTE(CD682," "&amp;L_Role&amp;" "," ")))/(LEN(L_Role)+1)*LEN(L_Role)),0)</f>
        <v>0</v>
      </c>
      <c r="BT6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682,"revision",""),"version",""),"jan",""),"feb",""),"mar",""),"apr",""),"may",""),"jun",""),"jul",""),"aug",""),"sep",""),"oct",""),"nov",""),"dec",""),"utc",""),"gmt",""),"myt",""),"bst",""),"rev",""),"ver",""),"b","a"),"c","a"),"d","a"),"e","a"),"f","a"),"g","a"),"h","a"),"i","a"),"j","a"),"k","a"),"l","a"),"m","a"),"n","a"),"o","a"),"p","a"),"q","a"),"r","a"),"s","a"),"t","a"),"u","a"),"v","a"),"w","a"),"x","a"),"y","a"),"z","a")</f>
        <v/>
      </c>
      <c r="BU682" s="61" t="str">
        <f aca="false">SUBSTITUTE(SUBSTITUTE(SUBSTITUTE(SUBSTITUTE(SUBSTITUTE(SUBSTITUTE(SUBSTITUTE(SUBSTITUTE(SUBSTITUTE(SUBSTITUTE(LEFT(BM682,FIND("0",BM682&amp;"0")-1),"-",""),"_",""),"/",""),".",""),"#",""),"\\",""),":","")," ",""),"(",""),")","")</f>
        <v/>
      </c>
      <c r="BV682" s="61" t="n">
        <f aca="false">0</f>
        <v>0</v>
      </c>
      <c r="BW68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682&amp;""),"a",""),"b",""),"c",""),"d",""),"e",""),"f",""),"g",""),"h",""),"i",""),"j",""),"k",""),"l",""),"m",""),"n",""),"o",""),"p",""),"q",""),"r",""),"s",""),"t",""),"u",""),"v",""),"w",""),"x",""),"y",""),"z",""),"-",""),"_",""),"/",""),".",""),"#",""),"\\",""),":","")," ",""),"(",""),")","")</f>
        <v/>
      </c>
      <c r="BX682" s="61" t="str">
        <f aca="false">SUBSTITUTE(SUBSTITUTE(SUBSTITUTE(SUBSTITUTE(SUBSTITUTE(SUBSTITUTE(SUBSTITUTE(SUBSTITUTE(SUBSTITUTE(SUBSTITUTE(SUBSTITUTE(BM682,"0",""),"-",""),"_",""),"/",""),".",""),"#",""),"\\",""),":","")," ",""),"(",""),")","")</f>
        <v/>
      </c>
      <c r="BY682" s="62" t="n">
        <f aca="false">Q682-T12EarlyH/24</f>
        <v>46323.6875</v>
      </c>
      <c r="BZ682" s="61" t="n">
        <f aca="false">IFERROR(IF(IF(TRIM(S682)="Link / file path",AND(LEN(TRIM(Z682))&gt;=5,SUMPRODUCT(--ISNUMBER(SEARCH({"http","www.","\\",":\",".pdf",".jpg",".jpeg",".png",".heic",".xls",".doc",".msg",".eml",".ppt",".txt",".zip"},Z682)))&gt;0),AND(ISERROR(FIND(" ",TRIM(Z682))),NOT(OR(SUMPRODUCT(--ISNUMBER(FIND({",",";","&amp;","+"},Z682)))&gt;0,SUMPRODUCT(--ISNUMBER(SEARCH({"0/aa","0\\aa"},BN682)))&gt;0)),NOT(SUMPRODUCT(--ISNUMBER(SEARCH({"http","www.","\\",":\",".pdf",".jpg",".jpeg",".png",".heic",".xls",".doc",".msg",".eml",".ppt",".txt",".zip"},Z682)))&gt;0),NOT(LOWER(TRIM(Z682))=LOWER(Flights!$F$25)),ISNA(MATCH(BU682,{"mh","rev","revision","ver","version","v","r","a","b","seat","tray","row","gate","bay","stand","page","pg","item","line","no","cart","galley","flight","flt","table","box","bag","oven","etd","eta","std","sta","atd","ata","qty","pax","x","time","tel","ph","mob","day","wk","week","utc","gmt","myt","lt"},0)),NOT(OR(ISNUMBER(MATCH(LEFT(BN682,255),{"0000a","000a","00a","0000aa","000aa","00aa","0aa","0000aaa","000aaa","00a00","0a00","0000-0000","00:00","a00","a0","00.00.0000","00/00/0000","00-00-0000","0000-00-00","0000/00/00","0000.00.00","00.00.00","00/00/00","00-00-00","0.00.0000","0/00/0000","0-00-0000"},0)),ISNUMBER(MATCH(LEFT(BT682,255),{"0000a","000a","00a","0000aa","000aa","00aa","0aa","0000aaa","000aaa","00a00","0a00","0000-0000","00:00","a00","a0","00.00.0000","00/00/0000","00-00-0000","0000-00-00","0000/00/00","0000.00.00","00.00.00","00/00/00","00-00-00","0.00.0000","0/00/0000","0-00-0000"},0)))),NOT(OR(AND(BW682&lt;&gt;"",SUBSTITUTE(BW682,"0","")=""),AND(LEN(BW682)&gt;=4,BW682=REPT(LEFT(BW682),LEN(BW682))),ISNUMBER(MATCH(BW682,{"123","1234","12345","123456","1234567","12345678","0123","01234","012345","98765","987654","54321"},0)),ISNUMBER(MATCH(BX682,{"x","xx","xxx","xxxx","xxxxx","abc","abcd","nil","na","nan","test","tbc","tba","tbd","dummy","sample","example","eg","zz","zzz","none","null","xyz","qwe","asd","id","ref"},0)),AND(LEN(BW682)=8,BX682="",OR(LEFT(BW682,3)="202",ISNUMBER(MATCH(RIGHT(BW682,4),{"2025","2026","2027"},0)))))),OR(AND((LEN(BT682)-LEN(SUBSTITUTE(BT682,"a","")))&gt;=1,(LEN(BN682)-LEN(SUBSTITUTE(BN682,"0","")))&gt;=2,SUMPRODUCT(--ISNUMBER(SEARCH({"a0","a-0","a_0","a/0","a.0","a#0","0a","0-a","0_a","0/a"},BN682)))&gt;0),AND((LEN(BN682)-LEN(SUBSTITUTE(BN682,"a","")))=0,(LEN(BN682)-LEN(SUBSTITUTE(BN682,"0","")))&gt;=5)))),1,0),0)</f>
        <v>0</v>
      </c>
      <c r="CA6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682,"revision",""),"version",""),"jan",""),"feb",""),"mar",""),"apr",""),"may",""),"jun",""),"jul",""),"aug",""),"sep",""),"oct",""),"nov",""),"dec",""),"utc",""),"gmt",""),"myt",""),"bst",""),"rev",""),"ver",""),"b","a"),"c","a"),"d","a"),"e","a"),"f","a"),"g","a"),"h","a"),"i","a"),"j","a"),"k","a"),"l","a"),"m","a"),"n","a"),"o","a"),"p","a"),"q","a"),"r","a"),"s","a"),"t","a"),"u","a"),"v","a"),"w","a"),"x","a"),"y","a"),"z","a")</f>
        <v/>
      </c>
      <c r="CB68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682&amp;""),"a",""),"b",""),"c",""),"d",""),"e",""),"f",""),"g",""),"h",""),"i",""),"j",""),"k",""),"l",""),"m",""),"n",""),"o",""),"p",""),"q",""),"r",""),"s",""),"t",""),"u",""),"v",""),"w",""),"x",""),"y",""),"z",""),"-",""),"_",""),"/",""),".",""),"#",""),"\\",""),":","")," ",""),"(",""),")","")</f>
        <v/>
      </c>
      <c r="CC682" s="0" t="str">
        <f aca="false">" "&amp;TRIM(SUBSTITUTE(SUBSTITUTE(SUBSTITUTE(SUBSTITUTE(SUBSTITUTE(SUBSTITUTE(SUBSTITUTE(SUBSTITUTE(SUBSTITUTE(SUBSTITUTE(SUBSTITUTE(SUBSTITUTE(SUBSTITUTE(SUBSTITUTE(SUBSTITUTE(SUBSTITUTE(SUBSTITUTE(SUBSTITUTE(SUBSTITUTE(SUBSTITUTE(SUBSTITUTE(SUBSTITUTE(SUBSTITUTE(SUBSTITUTE(LOWER(T682&amp;""),CHAR(10)," "),CHAR(13)," "),CHAR(9)," "),CHAR(160)," "),"."," "),","," "),"-"," "),"/"," "),"("," "),")"," "),":"," "),";"," "),"_"," "),"–"," "),"?"," "),"!"," "),"*"," "),"["," "),"]"," "),"'"," "),"#"," "),"+"," "),"&amp;"," "),"\"," "))&amp;" "</f>
        <v>  </v>
      </c>
      <c r="CD682" s="0" t="str">
        <f aca="false">" "&amp;TRIM(SUBSTITUTE(SUBSTITUTE(SUBSTITUTE(SUBSTITUTE(SUBSTITUTE(SUBSTITUTE(SUBSTITUTE(SUBSTITUTE(SUBSTITUTE(SUBSTITUTE(SUBSTITUTE(SUBSTITUTE(SUBSTITUTE(SUBSTITUTE(SUBSTITUTE(SUBSTITUTE(SUBSTITUTE(SUBSTITUTE(SUBSTITUTE(SUBSTITUTE(SUBSTITUTE(SUBSTITUTE(SUBSTITUTE(SUBSTITUTE(LOWER(AE682&amp;""),CHAR(10)," "),CHAR(13)," "),CHAR(9)," "),CHAR(160)," "),"."," "),","," "),"-"," "),"/"," "),"("," "),")"," "),":"," "),";"," "),"_"," "),"–"," "),"?"," "),"!"," "),"*"," "),"["," "),"]"," "),"'"," "),"#"," "),"+"," "),"&amp;"," "),"\"," "))&amp;" "</f>
        <v>  </v>
      </c>
      <c r="CE682" s="68" t="n">
        <f aca="false">IFERROR(IF(AND(LEN(AU682)&gt;0,LEN(AU682)=LEN(AX682),OR(TRIM(MID(SUBSTITUTE(TRIM(CC682)," ",REPT(" ",60)),1,60))="",ISNUMBER(SEARCH(" "&amp;TRIM(MID(SUBSTITUTE(TRIM(CC682)," ",REPT(" ",60)),1,60))&amp;" ",CD682))),OR(TRIM(MID(SUBSTITUTE(TRIM(CC682)," ",REPT(" ",60)),61,60))="",ISNUMBER(SEARCH(" "&amp;TRIM(MID(SUBSTITUTE(TRIM(CC682)," ",REPT(" ",60)),61,60))&amp;" ",CD682))),OR(TRIM(MID(SUBSTITUTE(TRIM(CC682)," ",REPT(" ",60)),121,60))="",ISNUMBER(SEARCH(" "&amp;TRIM(MID(SUBSTITUTE(TRIM(CC682)," ",REPT(" ",60)),121,60))&amp;" ",CD682)))),1,0),0)</f>
        <v>0</v>
      </c>
      <c r="CG682" s="68" t="n">
        <f aca="false">IFERROR(LEN(SUBSTITUTE(BF682," ",""))-SUMPRODUCT((LEN(BF682)-LEN(SUBSTITUTE(BF682," "&amp;L_NAFiller&amp;" "," ")))/(LEN(L_NAFiller)+1)*LEN(L_NAFiller)),0)</f>
        <v>0</v>
      </c>
    </row>
    <row r="683" customFormat="false" ht="91.5" hidden="false" customHeight="true" outlineLevel="0" collapsed="false">
      <c r="A683" s="57" t="s">
        <v>1405</v>
      </c>
      <c r="B683" s="57" t="s">
        <v>310</v>
      </c>
      <c r="C683" s="57" t="str">
        <f aca="false">Flights!$F$25</f>
        <v>MH1437</v>
      </c>
      <c r="D683" s="58" t="n">
        <f aca="false">Flights!$D$25</f>
        <v>46325</v>
      </c>
      <c r="E683" s="57" t="str">
        <f aca="false">Flights!$G$25&amp;"-"&amp;Flights!$H$25</f>
        <v>LGK-KUL</v>
      </c>
      <c r="F683" s="57" t="str">
        <f aca="false">Flights!$K$25</f>
        <v>BC</v>
      </c>
      <c r="G683" s="57" t="s">
        <v>420</v>
      </c>
      <c r="H683" s="57" t="s">
        <v>378</v>
      </c>
      <c r="I683" s="57" t="s">
        <v>440</v>
      </c>
      <c r="J683" s="57" t="s">
        <v>494</v>
      </c>
      <c r="K683" s="67" t="s">
        <v>495</v>
      </c>
      <c r="L683" s="67" t="s">
        <v>1406</v>
      </c>
      <c r="M683" s="67" t="s">
        <v>451</v>
      </c>
      <c r="N683" s="67" t="s">
        <v>383</v>
      </c>
      <c r="O683" s="67" t="s">
        <v>1407</v>
      </c>
      <c r="P683" s="57" t="s">
        <v>187</v>
      </c>
      <c r="Q683" s="59" t="n">
        <f aca="false">ROUND((MIN(Flights!$AE$25,Flights!$AY$25))*1440,0)/1440</f>
        <v>46324.1875</v>
      </c>
      <c r="R683" s="59" t="n">
        <f aca="false">Q683+(IF(AND(INDEX(TZ_DSTS,MATCH(P683,TZ_STN,0))&lt;&gt;"",Q683&gt;=INDEX(TZ_DSTS,MATCH(P683,TZ_STN,0)),Q683&lt;INDEX(TZ_DSTE,MATCH(P683,TZ_STN,0))),INDEX(TZ_DST,MATCH(P683,TZ_STN,0)),INDEX(TZ_STD,MATCH(P683,TZ_STN,0))))/24</f>
        <v>46324.5208333333</v>
      </c>
      <c r="S683" s="60"/>
      <c r="T683" s="60"/>
      <c r="U683" s="60"/>
      <c r="V683" s="60"/>
      <c r="W683" s="61"/>
      <c r="X683" s="60"/>
      <c r="Y683" s="60"/>
      <c r="Z683" s="60"/>
      <c r="AA683" s="60"/>
      <c r="AB683" s="60"/>
      <c r="AC683" s="60"/>
      <c r="AD683" s="66"/>
      <c r="AE683" s="60"/>
      <c r="AF683" s="61" t="str">
        <f aca="false">IF(AND(ISNUMBER(X683),ISNUMBER(Y683)),Y683-X683,"")</f>
        <v/>
      </c>
      <c r="AG683" s="62" t="str">
        <f aca="false">IF(ISNUMBER(AD683),AD683-(IF(AND(INDEX(TZ_DSTS,MATCH(P683,TZ_STN,0))&lt;&gt;"",(AD683-INDEX(TZ_STD,MATCH(P683,TZ_STN,0))/24)&gt;=INDEX(TZ_DSTS,MATCH(P683,TZ_STN,0)),(AD683-INDEX(TZ_STD,MATCH(P683,TZ_STN,0))/24)&lt;INDEX(TZ_DSTE,MATCH(P683,TZ_STN,0))),INDEX(TZ_DST,MATCH(P683,TZ_STN,0)),INDEX(TZ_STD,MATCH(P683,TZ_STN,0))))/24,"")</f>
        <v/>
      </c>
      <c r="AH683" s="65" t="str">
        <f aca="false">IFERROR(IF(N683="N/A – rule",IF(OR(TRIM(U683)="",TRIM(U683)="N/A",TRIM(U683)="Not started"),"N/A – RULE","INVALID – this check does not apply to this aircraft: clear the status (or correct the fleet on Flights)"),IF(TRIM(U683)="N/A",IF(AT683=0,"INVALID – N/A not permitted for this check",IF(AND(TRIM(AB683)&lt;&gt;"",TRIM(AB683)&lt;&gt;"Closed"),"INVALID – corrective action still open",IF(AND(NOT(OR(LEN(AZ683)&lt;15,ISNUMBER(MATCH(AZ683,L_Placeholder,0)))),BK683=0,CG683&gt;=8,NOT(OR(LEN(AU683)&lt;2,ISNUMBER(MATCH(AU683,L_Placeholder,0)))),BR683&gt;=3,NOT(OR(LEN(AX683)&lt;2,ISNUMBER(MATCH(AX683,L_Placeholder,0)))),BS683&gt;=3,TRIM(AE683)&lt;&gt;TRIM(T683),AX683&lt;&gt;AU683,CE683=0),"N/A – JUSTIFIED","INVALID – N/A needs a real, settled reason (not 'not applicable' / 'as above' / TBC), a named PIC and a different named verifier"))),IF(OR(TRIM(U683)="Pass",TRIM(U683)="Pass after CA"),IF(NOT(ISNUMBER(AD683)),"INVALID – completion time missing",IF(OR(OR(LEN(AU683)&lt;2,ISNUMBER(MATCH(AU683,L_Placeholder,0))),BR683&lt;3),"INVALID – PIC missing or not a named person (a role such as QA / CSM is not a name)",IF(OR(LEN(AV683)&lt;2,ISNUMBER(MATCH(AV683,L_Placeholder,0))),"INVALID – result / assessment missing",IF(OR(OR(LEN(AW683)&lt;3,ISNUMBER(MATCH(AW683,L_Placeholder,0))),SUMPRODUCT(--ISNUMBER(SEARCH(" "&amp;L_EvidencePhrase&amp;" ",BD683)))&gt;0,BI683=1),"INVALID – evidence missing, placeholder or not yet on file",IF(ISNA(MATCH(TRIM(S683),L_EvidenceType,0)),"INVALID – choose the evidence type from the list (column S)",IF(BL683=0,"INVALID – evidence ID must be the record's own ID only (e.g. SF-2210, IMG_2231, 1045521); a link / file name needs type 'Link / file path'",IF(OR(OR(LEN(AX683)&lt;2,ISNUMBER(MATCH(AX683,L_Placeholder,0))),BS683&lt;3),"INVALID – verifier missing or not a named person (a role such as QA / CSM is not a name)",IF(OR(AX683=AU683,CE683=1,AND(LEN(AU683)&gt;=4,ISNUMBER(SEARCH(AU683,AX683))),AND(LEN(AX683)&gt;=4,ISNUMBER(SEARCH(AX683,AU683)))),"INVALID – verifier must be a different, named person (not the PIC or a role)",IF(BH683=1,"INVALID – result not yet available (awaiting / TBC)",IF(BG683=1,"INVALID – result describes a problem: record Fail, then Pass after CA (or reword if it is not a problem)",IF(BV683=1,"INVALID – wording says not on board: an on-board confirmation needs the item loaded",IF(AND(AQ683=1,OR(OR(LEN(AY683)&lt;3,ISNUMBER(MATCH(AY683,L_Placeholder,0))),BJ683=1,BQ683=0)),"INVALID – batch ID missing, placeholder or not an ID (e.g. PASB-261008-BC-017)",IF(AND(AR683=1,OR(NOT(ISNUMBER(X683)),NOT(ISNUMBER(Y683)))),"INVALID – expected/actual qty missing",IF(AND(AR683=1,OR(X683&lt;=0,Y683&lt;0)),"INVALID – expected qty must be above 0 and actual not negative",IF(BB683&lt;&gt;"",BB683,IF(AND(AS683=1,Documents!$J$25&lt;&gt;"ON FILE"),"INVALID – GLD not on file (Documents sheet)",IF(AND(AS683=2,Documents!$O$25&lt;&gt;"ON FILE"),"INVALID – menu checklist not on file (Documents sheet)",IF(AND(AS683=3,NOT(ISNUMBER(Flights!$AX$25))),"INVALID – enter carrying flight KUL departure (Flights AX)",IF(AND(AS683=3,OR(Flights!$AZ$25&gt;Flights!$AA$25,Flights!$AX$25&lt;Flights!$AA$25-3)),"INVALID – carrying flight (Flights AX) cannot arrive before this leg's STD, or is over 3 days early",IF(AG683&gt;AsOfUTC,"INVALID – completion time is in the future",IF(AND(ISNUMBER(BY683),AG683&lt;BY683),IF(H683="Physical uplift","INVALID – before uplift window (cannot confirm loading)","INVALID – before valid window"),IF(AG683&gt;Flights!$AA$25,"INVALID – completed after departure (cannot establish readiness)",IF(AND(H683="Preparation",AG683&gt;=Flights!$AY$25+UpliftWindowH/24),"INVALID – completed after the carrying flight left KUL",IF(AND(H683="Physical uplift",AG683&gt;Q683),"INVALID – recorded after the loading flight departed",IF(AG683&gt;Q683,"COMPLETE – LATE","COMPLETE"))))))))))))))))))))))))),IF(TRIM(U683)="Fail","FAIL – DISCREPANCY",IF(AND(TRIM(U683)&lt;&gt;"",TRIM(U683)&lt;&gt;"Not started",TRIM(U683)&lt;&gt;"In progress"),"INVALID – unrecognised status (use the list)",IF(AsOfUTC&gt;Q683,"OVERDUE",IF(N683="Clarification required","OPEN – CLARIFICATION","OPEN"))))))),"INVALID – error value in an input cell")</f>
        <v>OPEN</v>
      </c>
      <c r="AI683" s="61" t="n">
        <f aca="false">IF(OR(AH683="N/A – RULE",AH683="N/A – JUSTIFIED"),0,1)</f>
        <v>1</v>
      </c>
      <c r="AJ683" s="61" t="n">
        <f aca="false">IF(LEFT(AH683,8)="COMPLETE",1,0)</f>
        <v>0</v>
      </c>
      <c r="AK683" s="61" t="n">
        <f aca="false">IF(AND(AI683=1,AJ683=0,AsOfUTC&gt;Q683),1,0)</f>
        <v>0</v>
      </c>
      <c r="AL683" s="61" t="n">
        <f aca="false">IFERROR(IF(AND(AI683=1,OR(TRIM(U683)="Fail",AND(TRIM(AB683)&lt;&gt;"",TRIM(AB683)&lt;&gt;"Closed"),AND(ISNUMBER(AF683),AF683&lt;&gt;0,TRIM(U683)&lt;&gt;"Pass after CA"))),1,0),1)</f>
        <v>0</v>
      </c>
      <c r="AM683" s="61" t="n">
        <f aca="false">IF(LEFT(AH683,7)="INVALID",1,0)</f>
        <v>0</v>
      </c>
      <c r="AN683" s="61" t="n">
        <f aca="false">IF(AND(N683="Clarification required",AI683=1,AJ683=0),1,0)</f>
        <v>0</v>
      </c>
      <c r="AO683" s="61" t="str">
        <f aca="false">IF(AK683=1,SUM(AK$5:AK683),"")</f>
        <v/>
      </c>
      <c r="AP683" s="61" t="str">
        <f aca="false">IF(AL683=1,SUM(AL$5:AL683),"")</f>
        <v/>
      </c>
      <c r="AQ683" s="61" t="n">
        <v>0</v>
      </c>
      <c r="AR683" s="61" t="n">
        <v>0</v>
      </c>
      <c r="AS683" s="61" t="n">
        <v>0</v>
      </c>
      <c r="AT683" s="61" t="n">
        <v>0</v>
      </c>
      <c r="AU683" s="61" t="str">
        <f aca="false">SUBSTITUTE(SUBSTITUTE(SUBSTITUTE(SUBSTITUTE(SUBSTITUTE(SUBSTITUTE(SUBSTITUTE(SUBSTITUTE(SUBSTITUTE(SUBSTITUTE(SUBSTITUTE(SUBSTITUTE(SUBSTITUTE(SUBSTITUTE(SUBSTITUTE(SUBSTITUTE(LOWER(T683&amp;""),CHAR(10),""),CHAR(13),""),CHAR(9),""),CHAR(160),"")," ",""),".",""),"-",""),"/",""),"?",""),"_",""),",",""),"[",""),"]",""),"(",""),")",""),"*","")</f>
        <v/>
      </c>
      <c r="AV683" s="61" t="str">
        <f aca="false">SUBSTITUTE(SUBSTITUTE(SUBSTITUTE(SUBSTITUTE(SUBSTITUTE(SUBSTITUTE(SUBSTITUTE(SUBSTITUTE(SUBSTITUTE(SUBSTITUTE(SUBSTITUTE(SUBSTITUTE(SUBSTITUTE(SUBSTITUTE(SUBSTITUTE(SUBSTITUTE(LOWER(V683&amp;""),CHAR(10),""),CHAR(13),""),CHAR(9),""),CHAR(160),"")," ",""),".",""),"-",""),"/",""),"?",""),"_",""),",",""),"[",""),"]",""),"(",""),")",""),"*","")</f>
        <v/>
      </c>
      <c r="AW683" s="61" t="str">
        <f aca="false">SUBSTITUTE(SUBSTITUTE(SUBSTITUTE(SUBSTITUTE(SUBSTITUTE(SUBSTITUTE(SUBSTITUTE(SUBSTITUTE(SUBSTITUTE(SUBSTITUTE(SUBSTITUTE(SUBSTITUTE(SUBSTITUTE(SUBSTITUTE(SUBSTITUTE(SUBSTITUTE(LOWER(Z683&amp;""),CHAR(10),""),CHAR(13),""),CHAR(9),""),CHAR(160),"")," ",""),".",""),"-",""),"/",""),"?",""),"_",""),",",""),"[",""),"]",""),"(",""),")",""),"*","")</f>
        <v/>
      </c>
      <c r="AX683" s="61" t="str">
        <f aca="false">SUBSTITUTE(SUBSTITUTE(SUBSTITUTE(SUBSTITUTE(SUBSTITUTE(SUBSTITUTE(SUBSTITUTE(SUBSTITUTE(SUBSTITUTE(SUBSTITUTE(SUBSTITUTE(SUBSTITUTE(SUBSTITUTE(SUBSTITUTE(SUBSTITUTE(SUBSTITUTE(LOWER(AE683&amp;""),CHAR(10),""),CHAR(13),""),CHAR(9),""),CHAR(160),"")," ",""),".",""),"-",""),"/",""),"?",""),"_",""),",",""),"[",""),"]",""),"(",""),")",""),"*","")</f>
        <v/>
      </c>
      <c r="AY683" s="61" t="str">
        <f aca="false">SUBSTITUTE(SUBSTITUTE(SUBSTITUTE(SUBSTITUTE(SUBSTITUTE(SUBSTITUTE(SUBSTITUTE(SUBSTITUTE(SUBSTITUTE(SUBSTITUTE(SUBSTITUTE(SUBSTITUTE(SUBSTITUTE(SUBSTITUTE(SUBSTITUTE(SUBSTITUTE(LOWER(W683&amp;""),CHAR(10),""),CHAR(13),""),CHAR(9),""),CHAR(160),"")," ",""),".",""),"-",""),"/",""),"?",""),"_",""),",",""),"[",""),"]",""),"(",""),")",""),"*","")</f>
        <v/>
      </c>
      <c r="AZ683" s="61" t="str">
        <f aca="false">SUBSTITUTE(SUBSTITUTE(SUBSTITUTE(SUBSTITUTE(SUBSTITUTE(SUBSTITUTE(SUBSTITUTE(SUBSTITUTE(SUBSTITUTE(SUBSTITUTE(SUBSTITUTE(SUBSTITUTE(SUBSTITUTE(SUBSTITUTE(SUBSTITUTE(SUBSTITUTE(LOWER(AC683&amp;""),CHAR(10),""),CHAR(13),""),CHAR(9),""),CHAR(160),"")," ",""),".",""),"-",""),"/",""),"?",""),"_",""),",",""),"[",""),"]",""),"(",""),")",""),"*","")</f>
        <v/>
      </c>
      <c r="BA683" s="61" t="str">
        <f aca="false">SUBSTITUTE(SUBSTITUTE(SUBSTITUTE(SUBSTITUTE(SUBSTITUTE(SUBSTITUTE(SUBSTITUTE(SUBSTITUTE(SUBSTITUTE(SUBSTITUTE(SUBSTITUTE(SUBSTITUTE(SUBSTITUTE(SUBSTITUTE(SUBSTITUTE(SUBSTITUTE(LOWER(AA683&amp;""),CHAR(10),""),CHAR(13),""),CHAR(9),""),CHAR(160),"")," ",""),".",""),"-",""),"/",""),"?",""),"_",""),",",""),"[",""),"]",""),"(",""),")",""),"*","")</f>
        <v/>
      </c>
      <c r="BB683" s="61" t="str">
        <f aca="false">IF(AND(TRIM(U683)="Pass",ISNUMBER(AF683)),IF(AF683&lt;&gt;0,"INVALID – qty variance: use Fail or Pass after CA",""),"")&amp;IF(AND(TRIM(U683)="Pass after CA",ISNUMBER(AF683)),IF(AF683&lt;&gt;0,"INVALID – after the corrective action the actual qty must equal expected (update Actual)",""),"")&amp;IF(AND(TRIM(U683)="Pass",TRIM(AB683)&lt;&gt;"",TRIM(AB683)&lt;&gt;"Closed"),"INVALID – corrective action not closed: use Fail, then Pass after CA","")&amp;IF(AND(LEN(BA683)&gt;=2,ISNA(MATCH(LEFT(BA683,255),L_Placeholder,0)),TRIM(AB683)=""),"INVALID – CA status missing for the recorded corrective action","")&amp;IF(AND(TRIM(U683)="Pass after CA",OR(OR(LEN(BA683)&lt;5,ISNUMBER(MATCH(BA683,L_Placeholder,0))),TRIM(AB683)&lt;&gt;"Closed")),"INVALID – corrective action not recorded/closed","")</f>
        <v/>
      </c>
      <c r="BC683" s="61" t="str">
        <f aca="false">" "&amp;TRIM(SUBSTITUTE(SUBSTITUTE(SUBSTITUTE(SUBSTITUTE(SUBSTITUTE(SUBSTITUTE(SUBSTITUTE(SUBSTITUTE(SUBSTITUTE(SUBSTITUTE(SUBSTITUTE(SUBSTITUTE(SUBSTITUTE(SUBSTITUTE(SUBSTITUTE(SUBSTITUTE(SUBSTITUTE(SUBSTITUTE(SUBSTITUTE(SUBSTITUTE(SUBSTITUTE(SUBSTITUTE(SUBSTITUTE(SUBSTITUTE(LOWER(V683&amp;""),CHAR(10)," "),CHAR(13)," "),CHAR(9)," "),CHAR(160)," "),"."," "),","," "),"-"," "),"/"," "),"("," "),")"," "),":"," "),";"," "),"_"," "),"–"," "),"?"," "),"!"," "),"*"," "),"["," "),"]"," "),"'"," "),"#"," "),"+"," "),"&amp;"," "),"\"," "))&amp;" "</f>
        <v>  </v>
      </c>
      <c r="BD683" s="61" t="str">
        <f aca="false">" "&amp;TRIM(SUBSTITUTE(SUBSTITUTE(SUBSTITUTE(SUBSTITUTE(SUBSTITUTE(SUBSTITUTE(SUBSTITUTE(SUBSTITUTE(SUBSTITUTE(SUBSTITUTE(SUBSTITUTE(SUBSTITUTE(SUBSTITUTE(SUBSTITUTE(SUBSTITUTE(SUBSTITUTE(SUBSTITUTE(SUBSTITUTE(SUBSTITUTE(SUBSTITUTE(SUBSTITUTE(SUBSTITUTE(SUBSTITUTE(SUBSTITUTE(LOWER(Z683&amp;""),CHAR(10)," "),CHAR(13)," "),CHAR(9)," "),CHAR(160)," "),"."," "),","," "),"-"," "),"/"," "),"("," "),")"," "),":"," "),";"," "),"_"," "),"–"," "),"?"," "),"!"," "),"*"," "),"["," "),"]"," "),"'"," "),"#"," "),"+"," "),"&amp;"," "),"\"," "))&amp;" "</f>
        <v>  </v>
      </c>
      <c r="BE683" s="61" t="str">
        <f aca="false">" "&amp;TRIM(SUBSTITUTE(SUBSTITUTE(SUBSTITUTE(SUBSTITUTE(SUBSTITUTE(SUBSTITUTE(SUBSTITUTE(SUBSTITUTE(SUBSTITUTE(SUBSTITUTE(SUBSTITUTE(SUBSTITUTE(SUBSTITUTE(SUBSTITUTE(SUBSTITUTE(SUBSTITUTE(SUBSTITUTE(SUBSTITUTE(SUBSTITUTE(SUBSTITUTE(SUBSTITUTE(SUBSTITUTE(SUBSTITUTE(SUBSTITUTE(LOWER(W683&amp;""),CHAR(10)," "),CHAR(13)," "),CHAR(9)," "),CHAR(160)," "),"."," "),","," "),"-"," "),"/"," "),"("," "),")"," "),":"," "),";"," "),"_"," "),"–"," "),"?"," "),"!"," "),"*"," "),"["," "),"]"," "),"'"," "),"#"," "),"+"," "),"&amp;"," "),"\"," "))&amp;" "</f>
        <v>  </v>
      </c>
      <c r="BF683" s="61" t="str">
        <f aca="false">" "&amp;TRIM(SUBSTITUTE(SUBSTITUTE(SUBSTITUTE(SUBSTITUTE(SUBSTITUTE(SUBSTITUTE(SUBSTITUTE(SUBSTITUTE(SUBSTITUTE(SUBSTITUTE(SUBSTITUTE(SUBSTITUTE(SUBSTITUTE(SUBSTITUTE(SUBSTITUTE(SUBSTITUTE(SUBSTITUTE(SUBSTITUTE(SUBSTITUTE(SUBSTITUTE(SUBSTITUTE(SUBSTITUTE(SUBSTITUTE(SUBSTITUTE(LOWER(AC683&amp;""),CHAR(10)," "),CHAR(13)," "),CHAR(9)," "),CHAR(160)," "),"."," "),","," "),"-"," "),"/"," "),"("," "),")"," "),":"," "),";"," "),"_"," "),"–"," "),"?"," "),"!"," "),"*"," "),"["," "),"]"," "),"'"," "),"#"," "),"+"," "),"&amp;"," "),"\"," "))&amp;" "</f>
        <v>  </v>
      </c>
      <c r="BG683" s="61" t="n">
        <f aca="false">IFERROR(IF(AND(TRIM(U683)="Pass",SUMPRODUCT((LEN(BC683)-LEN(SUBSTITUTE(BC683," "&amp;L_ResultBad&amp;" "," ")))/(LEN(L_ResultBad)+1))&gt;SUMPRODUCT((LEN(BC683)-LEN(SUBSTITUTE(BC683," "&amp;L_NegPhrase&amp;" "," ")))/(LEN(L_NegPhrase)+1))),1,0),0)</f>
        <v>0</v>
      </c>
      <c r="BH683" s="61" t="n">
        <f aca="false">IFERROR(IF(SUMPRODUCT((LEN(BC683)-LEN(SUBSTITUTE(BC683," "&amp;L_Pending&amp;" "," ")))/(LEN(L_Pending)+1))&gt;SUMPRODUCT((LEN(BC683)-LEN(SUBSTITUTE(BC683," "&amp;L_PendNeg&amp;" "," ")))/(LEN(L_PendNeg)+1))+SUMPRODUCT((LEN(BC683)-LEN(SUBSTITUTE(BC683," "&amp;L_PendPrep&amp;" "," ")))/(LEN(L_PendPrep)+1)),1,0),1)</f>
        <v>0</v>
      </c>
      <c r="BI683" s="61" t="n">
        <f aca="false">IFERROR(IF(SUMPRODUCT((LEN(BD683)-LEN(SUBSTITUTE(BD683," "&amp;L_PendStrict&amp;" "," ")))/(LEN(L_PendStrict)+1))&gt;SUMPRODUCT((LEN(BD683)-LEN(SUBSTITUTE(BD683," "&amp;L_PendNeg&amp;" "," ")))/(LEN(L_PendNeg)+1)),1,0),1)</f>
        <v>0</v>
      </c>
      <c r="BJ683" s="61" t="n">
        <f aca="false">IFERROR(IF(SUMPRODUCT((LEN(BE683)-LEN(SUBSTITUTE(BE683," "&amp;L_Pending&amp;" "," ")))/(LEN(L_Pending)+1))&gt;SUMPRODUCT((LEN(BE683)-LEN(SUBSTITUTE(BE683," "&amp;L_PendNeg&amp;" "," ")))/(LEN(L_PendNeg)+1))+SUMPRODUCT((LEN(BE683)-LEN(SUBSTITUTE(BE683," "&amp;L_PendPrep&amp;" "," ")))/(LEN(L_PendPrep)+1)),1,0),1)</f>
        <v>0</v>
      </c>
      <c r="BK683" s="61" t="n">
        <f aca="false">IFERROR(IF(SUMPRODUCT((LEN(BF683)-LEN(SUBSTITUTE(BF683," "&amp;L_PendStrict&amp;" "," ")))/(LEN(L_PendStrict)+1))&gt;SUMPRODUCT((LEN(BF683)-LEN(SUBSTITUTE(BF683," "&amp;L_PendNeg&amp;" "," ")))/(LEN(L_PendNeg)+1)),1,0),1)</f>
        <v>0</v>
      </c>
      <c r="BL683" s="61" t="n">
        <f aca="false">IF(ISNA(MATCH(TRIM(S683),L_EvidenceType,0)),0,BZ683)</f>
        <v>0</v>
      </c>
      <c r="BM683" s="61" t="str">
        <f aca="false">SUBSTITUTE(SUBSTITUTE(SUBSTITUTE(SUBSTITUTE(SUBSTITUTE(SUBSTITUTE(SUBSTITUTE(SUBSTITUTE(SUBSTITUTE(LOWER(Z683&amp;""),"1","0"),"2","0"),"3","0"),"4","0"),"5","0"),"6","0"),"7","0"),"8","0"),"9","0")</f>
        <v/>
      </c>
      <c r="BN683" s="61" t="str">
        <f aca="false">SUBSTITUTE(SUBSTITUTE(SUBSTITUTE(SUBSTITUTE(SUBSTITUTE(SUBSTITUTE(SUBSTITUTE(SUBSTITUTE(SUBSTITUTE(SUBSTITUTE(SUBSTITUTE(SUBSTITUTE(SUBSTITUTE(SUBSTITUTE(SUBSTITUTE(SUBSTITUTE(SUBSTITUTE(SUBSTITUTE(SUBSTITUTE(SUBSTITUTE(SUBSTITUTE(SUBSTITUTE(SUBSTITUTE(SUBSTITUTE(SUBSTITUTE(BM683,"b","a"),"c","a"),"d","a"),"e","a"),"f","a"),"g","a"),"h","a"),"i","a"),"j","a"),"k","a"),"l","a"),"m","a"),"n","a"),"o","a"),"p","a"),"q","a"),"r","a"),"s","a"),"t","a"),"u","a"),"v","a"),"w","a"),"x","a"),"y","a"),"z","a")</f>
        <v/>
      </c>
      <c r="BO683" s="61" t="str">
        <f aca="false">SUBSTITUTE(SUBSTITUTE(SUBSTITUTE(SUBSTITUTE(SUBSTITUTE(SUBSTITUTE(SUBSTITUTE(SUBSTITUTE(SUBSTITUTE(LOWER(W683&amp;""),"1","0"),"2","0"),"3","0"),"4","0"),"5","0"),"6","0"),"7","0"),"8","0"),"9","0")</f>
        <v/>
      </c>
      <c r="BP683" s="61" t="str">
        <f aca="false">SUBSTITUTE(SUBSTITUTE(SUBSTITUTE(SUBSTITUTE(SUBSTITUTE(SUBSTITUTE(SUBSTITUTE(SUBSTITUTE(SUBSTITUTE(SUBSTITUTE(SUBSTITUTE(SUBSTITUTE(SUBSTITUTE(SUBSTITUTE(SUBSTITUTE(SUBSTITUTE(SUBSTITUTE(SUBSTITUTE(SUBSTITUTE(SUBSTITUTE(SUBSTITUTE(SUBSTITUTE(SUBSTITUTE(SUBSTITUTE(SUBSTITUTE(BO683,"b","a"),"c","a"),"d","a"),"e","a"),"f","a"),"g","a"),"h","a"),"i","a"),"j","a"),"k","a"),"l","a"),"m","a"),"n","a"),"o","a"),"p","a"),"q","a"),"r","a"),"s","a"),"t","a"),"u","a"),"v","a"),"w","a"),"x","a"),"y","a"),"z","a")</f>
        <v/>
      </c>
      <c r="BQ683" s="61" t="n">
        <f aca="false">IFERROR(IF(AND(ISERROR(SEARCH(" mh"," "&amp;LOWER(W683))),ISNA(MATCH(LEFT(TRIM(BP683),255),{"0000a","000a","00a","0000aa","000aa","00aa","0aa","0000aaa","000aaa","00a00","0a00","0000-0000","00:00","a00","a0","00.00.0000","00/00/0000","00-00-0000","0000-00-00","0000/00/00","0000.00.00","00.00.00","00/00/00","00-00-00","0.00.0000","0/00/0000","0-00-0000"},0)),ISNA(MATCH(LEFT(TRIM(CA683),255),{"0000a","000a","00a","0000aa","000aa","00aa","0aa","0000aaa","000aaa","00a00","0a00","0000-0000","00:00","a00","a0","00.00.0000","00/00/0000","00-00-0000","0000-00-00","0000/00/00","0000.00.00","00.00.00","00/00/00","00-00-00","0.00.0000","0/00/0000","0-00-0000"},0)),LEN(CB683)&gt;=3,NOT(OR(SUBSTITUTE(CB683,"0","")="",AND(LEN(CB683)&gt;=4,CB683=REPT(LEFT(CB683),LEN(CB683))),ISNUMBER(MATCH(CB683,{"123","1234","12345","123456","1234567","12345678","0123","01234","012345","98765","987654","54321"},0)),AND(LEN(CB683)=8,LEFT(CB683,3)="202"))),OR(AND((LEN(CA683)-LEN(SUBSTITUTE(CA683,"a","")))&gt;=1,SUMPRODUCT(--ISNUMBER(SEARCH({"a0","a-0","a_0","a/0","a.0","a#0","0a","0-a","0_a","0/a"},BP683)))&gt;0),ISNUMBER(SEARCH("000000",BP683)))),1,0),0)</f>
        <v>0</v>
      </c>
      <c r="BR683" s="61" t="n">
        <f aca="false">IFERROR(LEN(SUBSTITUTE(CC683," ",""))-SUMPRODUCT((LEN(CC683)-LEN(SUBSTITUTE(CC683," "&amp;L_Role&amp;" "," ")))/(LEN(L_Role)+1)*LEN(L_Role)),0)</f>
        <v>0</v>
      </c>
      <c r="BS683" s="61" t="n">
        <f aca="false">IFERROR(LEN(SUBSTITUTE(CD683," ",""))-SUMPRODUCT((LEN(CD683)-LEN(SUBSTITUTE(CD683," "&amp;L_Role&amp;" "," ")))/(LEN(L_Role)+1)*LEN(L_Role)),0)</f>
        <v>0</v>
      </c>
      <c r="BT6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683,"revision",""),"version",""),"jan",""),"feb",""),"mar",""),"apr",""),"may",""),"jun",""),"jul",""),"aug",""),"sep",""),"oct",""),"nov",""),"dec",""),"utc",""),"gmt",""),"myt",""),"bst",""),"rev",""),"ver",""),"b","a"),"c","a"),"d","a"),"e","a"),"f","a"),"g","a"),"h","a"),"i","a"),"j","a"),"k","a"),"l","a"),"m","a"),"n","a"),"o","a"),"p","a"),"q","a"),"r","a"),"s","a"),"t","a"),"u","a"),"v","a"),"w","a"),"x","a"),"y","a"),"z","a")</f>
        <v/>
      </c>
      <c r="BU683" s="61" t="str">
        <f aca="false">SUBSTITUTE(SUBSTITUTE(SUBSTITUTE(SUBSTITUTE(SUBSTITUTE(SUBSTITUTE(SUBSTITUTE(SUBSTITUTE(SUBSTITUTE(SUBSTITUTE(LEFT(BM683,FIND("0",BM683&amp;"0")-1),"-",""),"_",""),"/",""),".",""),"#",""),"\\",""),":","")," ",""),"(",""),")","")</f>
        <v/>
      </c>
      <c r="BV683" s="61" t="n">
        <f aca="false">0</f>
        <v>0</v>
      </c>
      <c r="BW68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683&amp;""),"a",""),"b",""),"c",""),"d",""),"e",""),"f",""),"g",""),"h",""),"i",""),"j",""),"k",""),"l",""),"m",""),"n",""),"o",""),"p",""),"q",""),"r",""),"s",""),"t",""),"u",""),"v",""),"w",""),"x",""),"y",""),"z",""),"-",""),"_",""),"/",""),".",""),"#",""),"\\",""),":","")," ",""),"(",""),")","")</f>
        <v/>
      </c>
      <c r="BX683" s="61" t="str">
        <f aca="false">SUBSTITUTE(SUBSTITUTE(SUBSTITUTE(SUBSTITUTE(SUBSTITUTE(SUBSTITUTE(SUBSTITUTE(SUBSTITUTE(SUBSTITUTE(SUBSTITUTE(SUBSTITUTE(BM683,"0",""),"-",""),"_",""),"/",""),".",""),"#",""),"\\",""),":","")," ",""),"(",""),")","")</f>
        <v/>
      </c>
      <c r="BY683" s="62" t="n">
        <f aca="false">Q683-T12EarlyH/24</f>
        <v>46323.6875</v>
      </c>
      <c r="BZ683" s="61" t="n">
        <f aca="false">IFERROR(IF(IF(TRIM(S683)="Link / file path",AND(LEN(TRIM(Z683))&gt;=5,SUMPRODUCT(--ISNUMBER(SEARCH({"http","www.","\\",":\",".pdf",".jpg",".jpeg",".png",".heic",".xls",".doc",".msg",".eml",".ppt",".txt",".zip"},Z683)))&gt;0),AND(ISERROR(FIND(" ",TRIM(Z683))),NOT(OR(SUMPRODUCT(--ISNUMBER(FIND({",",";","&amp;","+"},Z683)))&gt;0,SUMPRODUCT(--ISNUMBER(SEARCH({"0/aa","0\\aa"},BN683)))&gt;0)),NOT(SUMPRODUCT(--ISNUMBER(SEARCH({"http","www.","\\",":\",".pdf",".jpg",".jpeg",".png",".heic",".xls",".doc",".msg",".eml",".ppt",".txt",".zip"},Z683)))&gt;0),NOT(LOWER(TRIM(Z683))=LOWER(Flights!$F$25)),ISNA(MATCH(BU683,{"mh","rev","revision","ver","version","v","r","a","b","seat","tray","row","gate","bay","stand","page","pg","item","line","no","cart","galley","flight","flt","table","box","bag","oven","etd","eta","std","sta","atd","ata","qty","pax","x","time","tel","ph","mob","day","wk","week","utc","gmt","myt","lt"},0)),NOT(OR(ISNUMBER(MATCH(LEFT(BN683,255),{"0000a","000a","00a","0000aa","000aa","00aa","0aa","0000aaa","000aaa","00a00","0a00","0000-0000","00:00","a00","a0","00.00.0000","00/00/0000","00-00-0000","0000-00-00","0000/00/00","0000.00.00","00.00.00","00/00/00","00-00-00","0.00.0000","0/00/0000","0-00-0000"},0)),ISNUMBER(MATCH(LEFT(BT683,255),{"0000a","000a","00a","0000aa","000aa","00aa","0aa","0000aaa","000aaa","00a00","0a00","0000-0000","00:00","a00","a0","00.00.0000","00/00/0000","00-00-0000","0000-00-00","0000/00/00","0000.00.00","00.00.00","00/00/00","00-00-00","0.00.0000","0/00/0000","0-00-0000"},0)))),NOT(OR(AND(BW683&lt;&gt;"",SUBSTITUTE(BW683,"0","")=""),AND(LEN(BW683)&gt;=4,BW683=REPT(LEFT(BW683),LEN(BW683))),ISNUMBER(MATCH(BW683,{"123","1234","12345","123456","1234567","12345678","0123","01234","012345","98765","987654","54321"},0)),ISNUMBER(MATCH(BX683,{"x","xx","xxx","xxxx","xxxxx","abc","abcd","nil","na","nan","test","tbc","tba","tbd","dummy","sample","example","eg","zz","zzz","none","null","xyz","qwe","asd","id","ref"},0)),AND(LEN(BW683)=8,BX683="",OR(LEFT(BW683,3)="202",ISNUMBER(MATCH(RIGHT(BW683,4),{"2025","2026","2027"},0)))))),OR(AND((LEN(BT683)-LEN(SUBSTITUTE(BT683,"a","")))&gt;=1,(LEN(BN683)-LEN(SUBSTITUTE(BN683,"0","")))&gt;=2,SUMPRODUCT(--ISNUMBER(SEARCH({"a0","a-0","a_0","a/0","a.0","a#0","0a","0-a","0_a","0/a"},BN683)))&gt;0),AND((LEN(BN683)-LEN(SUBSTITUTE(BN683,"a","")))=0,(LEN(BN683)-LEN(SUBSTITUTE(BN683,"0","")))&gt;=5)))),1,0),0)</f>
        <v>0</v>
      </c>
      <c r="CA6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683,"revision",""),"version",""),"jan",""),"feb",""),"mar",""),"apr",""),"may",""),"jun",""),"jul",""),"aug",""),"sep",""),"oct",""),"nov",""),"dec",""),"utc",""),"gmt",""),"myt",""),"bst",""),"rev",""),"ver",""),"b","a"),"c","a"),"d","a"),"e","a"),"f","a"),"g","a"),"h","a"),"i","a"),"j","a"),"k","a"),"l","a"),"m","a"),"n","a"),"o","a"),"p","a"),"q","a"),"r","a"),"s","a"),"t","a"),"u","a"),"v","a"),"w","a"),"x","a"),"y","a"),"z","a")</f>
        <v/>
      </c>
      <c r="CB68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683&amp;""),"a",""),"b",""),"c",""),"d",""),"e",""),"f",""),"g",""),"h",""),"i",""),"j",""),"k",""),"l",""),"m",""),"n",""),"o",""),"p",""),"q",""),"r",""),"s",""),"t",""),"u",""),"v",""),"w",""),"x",""),"y",""),"z",""),"-",""),"_",""),"/",""),".",""),"#",""),"\\",""),":","")," ",""),"(",""),")","")</f>
        <v/>
      </c>
      <c r="CC683" s="0" t="str">
        <f aca="false">" "&amp;TRIM(SUBSTITUTE(SUBSTITUTE(SUBSTITUTE(SUBSTITUTE(SUBSTITUTE(SUBSTITUTE(SUBSTITUTE(SUBSTITUTE(SUBSTITUTE(SUBSTITUTE(SUBSTITUTE(SUBSTITUTE(SUBSTITUTE(SUBSTITUTE(SUBSTITUTE(SUBSTITUTE(SUBSTITUTE(SUBSTITUTE(SUBSTITUTE(SUBSTITUTE(SUBSTITUTE(SUBSTITUTE(SUBSTITUTE(SUBSTITUTE(LOWER(T683&amp;""),CHAR(10)," "),CHAR(13)," "),CHAR(9)," "),CHAR(160)," "),"."," "),","," "),"-"," "),"/"," "),"("," "),")"," "),":"," "),";"," "),"_"," "),"–"," "),"?"," "),"!"," "),"*"," "),"["," "),"]"," "),"'"," "),"#"," "),"+"," "),"&amp;"," "),"\"," "))&amp;" "</f>
        <v>  </v>
      </c>
      <c r="CD683" s="0" t="str">
        <f aca="false">" "&amp;TRIM(SUBSTITUTE(SUBSTITUTE(SUBSTITUTE(SUBSTITUTE(SUBSTITUTE(SUBSTITUTE(SUBSTITUTE(SUBSTITUTE(SUBSTITUTE(SUBSTITUTE(SUBSTITUTE(SUBSTITUTE(SUBSTITUTE(SUBSTITUTE(SUBSTITUTE(SUBSTITUTE(SUBSTITUTE(SUBSTITUTE(SUBSTITUTE(SUBSTITUTE(SUBSTITUTE(SUBSTITUTE(SUBSTITUTE(SUBSTITUTE(LOWER(AE683&amp;""),CHAR(10)," "),CHAR(13)," "),CHAR(9)," "),CHAR(160)," "),"."," "),","," "),"-"," "),"/"," "),"("," "),")"," "),":"," "),";"," "),"_"," "),"–"," "),"?"," "),"!"," "),"*"," "),"["," "),"]"," "),"'"," "),"#"," "),"+"," "),"&amp;"," "),"\"," "))&amp;" "</f>
        <v>  </v>
      </c>
      <c r="CE683" s="68" t="n">
        <f aca="false">IFERROR(IF(AND(LEN(AU683)&gt;0,LEN(AU683)=LEN(AX683),OR(TRIM(MID(SUBSTITUTE(TRIM(CC683)," ",REPT(" ",60)),1,60))="",ISNUMBER(SEARCH(" "&amp;TRIM(MID(SUBSTITUTE(TRIM(CC683)," ",REPT(" ",60)),1,60))&amp;" ",CD683))),OR(TRIM(MID(SUBSTITUTE(TRIM(CC683)," ",REPT(" ",60)),61,60))="",ISNUMBER(SEARCH(" "&amp;TRIM(MID(SUBSTITUTE(TRIM(CC683)," ",REPT(" ",60)),61,60))&amp;" ",CD683))),OR(TRIM(MID(SUBSTITUTE(TRIM(CC683)," ",REPT(" ",60)),121,60))="",ISNUMBER(SEARCH(" "&amp;TRIM(MID(SUBSTITUTE(TRIM(CC683)," ",REPT(" ",60)),121,60))&amp;" ",CD683)))),1,0),0)</f>
        <v>0</v>
      </c>
      <c r="CG683" s="68" t="n">
        <f aca="false">IFERROR(LEN(SUBSTITUTE(BF683," ",""))-SUMPRODUCT((LEN(BF683)-LEN(SUBSTITUTE(BF683," "&amp;L_NAFiller&amp;" "," ")))/(LEN(L_NAFiller)+1)*LEN(L_NAFiller)),0)</f>
        <v>0</v>
      </c>
    </row>
    <row r="684" customFormat="false" ht="66" hidden="false" customHeight="true" outlineLevel="0" collapsed="false">
      <c r="A684" s="57" t="s">
        <v>1408</v>
      </c>
      <c r="B684" s="57" t="s">
        <v>310</v>
      </c>
      <c r="C684" s="57" t="str">
        <f aca="false">Flights!$F$25</f>
        <v>MH1437</v>
      </c>
      <c r="D684" s="58" t="n">
        <f aca="false">Flights!$D$25</f>
        <v>46325</v>
      </c>
      <c r="E684" s="57" t="str">
        <f aca="false">Flights!$G$25&amp;"-"&amp;Flights!$H$25</f>
        <v>LGK-KUL</v>
      </c>
      <c r="F684" s="57" t="str">
        <f aca="false">Flights!$K$25</f>
        <v>BC</v>
      </c>
      <c r="G684" s="57" t="s">
        <v>420</v>
      </c>
      <c r="H684" s="57" t="s">
        <v>378</v>
      </c>
      <c r="I684" s="57" t="s">
        <v>499</v>
      </c>
      <c r="J684" s="57" t="s">
        <v>500</v>
      </c>
      <c r="K684" s="67" t="s">
        <v>501</v>
      </c>
      <c r="L684" s="67" t="s">
        <v>1409</v>
      </c>
      <c r="M684" s="67" t="s">
        <v>451</v>
      </c>
      <c r="N684" s="67" t="s">
        <v>383</v>
      </c>
      <c r="O684" s="67" t="s">
        <v>984</v>
      </c>
      <c r="P684" s="57" t="s">
        <v>187</v>
      </c>
      <c r="Q684" s="59" t="n">
        <f aca="false">ROUND((MIN(Flights!$AE$25,Flights!$AY$25))*1440,0)/1440</f>
        <v>46324.1875</v>
      </c>
      <c r="R684" s="59" t="n">
        <f aca="false">Q684+(IF(AND(INDEX(TZ_DSTS,MATCH(P684,TZ_STN,0))&lt;&gt;"",Q684&gt;=INDEX(TZ_DSTS,MATCH(P684,TZ_STN,0)),Q684&lt;INDEX(TZ_DSTE,MATCH(P684,TZ_STN,0))),INDEX(TZ_DST,MATCH(P684,TZ_STN,0)),INDEX(TZ_STD,MATCH(P684,TZ_STN,0))))/24</f>
        <v>46324.5208333333</v>
      </c>
      <c r="S684" s="60"/>
      <c r="T684" s="60"/>
      <c r="U684" s="60"/>
      <c r="V684" s="60"/>
      <c r="W684" s="61"/>
      <c r="X684" s="60"/>
      <c r="Y684" s="60"/>
      <c r="Z684" s="60"/>
      <c r="AA684" s="60"/>
      <c r="AB684" s="60"/>
      <c r="AC684" s="60"/>
      <c r="AD684" s="66"/>
      <c r="AE684" s="60"/>
      <c r="AF684" s="61" t="str">
        <f aca="false">IF(AND(ISNUMBER(X684),ISNUMBER(Y684)),Y684-X684,"")</f>
        <v/>
      </c>
      <c r="AG684" s="62" t="str">
        <f aca="false">IF(ISNUMBER(AD684),AD684-(IF(AND(INDEX(TZ_DSTS,MATCH(P684,TZ_STN,0))&lt;&gt;"",(AD684-INDEX(TZ_STD,MATCH(P684,TZ_STN,0))/24)&gt;=INDEX(TZ_DSTS,MATCH(P684,TZ_STN,0)),(AD684-INDEX(TZ_STD,MATCH(P684,TZ_STN,0))/24)&lt;INDEX(TZ_DSTE,MATCH(P684,TZ_STN,0))),INDEX(TZ_DST,MATCH(P684,TZ_STN,0)),INDEX(TZ_STD,MATCH(P684,TZ_STN,0))))/24,"")</f>
        <v/>
      </c>
      <c r="AH684" s="65" t="str">
        <f aca="false">IFERROR(IF(N684="N/A – rule",IF(OR(TRIM(U684)="",TRIM(U684)="N/A",TRIM(U684)="Not started"),"N/A – RULE","INVALID – this check does not apply to this aircraft: clear the status (or correct the fleet on Flights)"),IF(TRIM(U684)="N/A",IF(AT684=0,"INVALID – N/A not permitted for this check",IF(AND(TRIM(AB684)&lt;&gt;"",TRIM(AB684)&lt;&gt;"Closed"),"INVALID – corrective action still open",IF(AND(NOT(OR(LEN(AZ684)&lt;15,ISNUMBER(MATCH(AZ684,L_Placeholder,0)))),BK684=0,CG684&gt;=8,NOT(OR(LEN(AU684)&lt;2,ISNUMBER(MATCH(AU684,L_Placeholder,0)))),BR684&gt;=3,NOT(OR(LEN(AX684)&lt;2,ISNUMBER(MATCH(AX684,L_Placeholder,0)))),BS684&gt;=3,TRIM(AE684)&lt;&gt;TRIM(T684),AX684&lt;&gt;AU684,CE684=0),"N/A – JUSTIFIED","INVALID – N/A needs a real, settled reason (not 'not applicable' / 'as above' / TBC), a named PIC and a different named verifier"))),IF(OR(TRIM(U684)="Pass",TRIM(U684)="Pass after CA"),IF(NOT(ISNUMBER(AD684)),"INVALID – completion time missing",IF(OR(OR(LEN(AU684)&lt;2,ISNUMBER(MATCH(AU684,L_Placeholder,0))),BR684&lt;3),"INVALID – PIC missing or not a named person (a role such as QA / CSM is not a name)",IF(OR(LEN(AV684)&lt;2,ISNUMBER(MATCH(AV684,L_Placeholder,0))),"INVALID – result / assessment missing",IF(OR(OR(LEN(AW684)&lt;3,ISNUMBER(MATCH(AW684,L_Placeholder,0))),SUMPRODUCT(--ISNUMBER(SEARCH(" "&amp;L_EvidencePhrase&amp;" ",BD684)))&gt;0,BI684=1),"INVALID – evidence missing, placeholder or not yet on file",IF(ISNA(MATCH(TRIM(S684),L_EvidenceType,0)),"INVALID – choose the evidence type from the list (column S)",IF(BL684=0,"INVALID – evidence ID must be the record's own ID only (e.g. SF-2210, IMG_2231, 1045521); a link / file name needs type 'Link / file path'",IF(OR(OR(LEN(AX684)&lt;2,ISNUMBER(MATCH(AX684,L_Placeholder,0))),BS684&lt;3),"INVALID – verifier missing or not a named person (a role such as QA / CSM is not a name)",IF(OR(AX684=AU684,CE684=1,AND(LEN(AU684)&gt;=4,ISNUMBER(SEARCH(AU684,AX684))),AND(LEN(AX684)&gt;=4,ISNUMBER(SEARCH(AX684,AU684)))),"INVALID – verifier must be a different, named person (not the PIC or a role)",IF(BH684=1,"INVALID – result not yet available (awaiting / TBC)",IF(BG684=1,"INVALID – result describes a problem: record Fail, then Pass after CA (or reword if it is not a problem)",IF(BV684=1,"INVALID – wording says not on board: an on-board confirmation needs the item loaded",IF(AND(AQ684=1,OR(OR(LEN(AY684)&lt;3,ISNUMBER(MATCH(AY684,L_Placeholder,0))),BJ684=1,BQ684=0)),"INVALID – batch ID missing, placeholder or not an ID (e.g. PASB-261008-BC-017)",IF(AND(AR684=1,OR(NOT(ISNUMBER(X684)),NOT(ISNUMBER(Y684)))),"INVALID – expected/actual qty missing",IF(AND(AR684=1,OR(X684&lt;=0,Y684&lt;0)),"INVALID – expected qty must be above 0 and actual not negative",IF(BB684&lt;&gt;"",BB684,IF(AND(AS684=1,Documents!$J$25&lt;&gt;"ON FILE"),"INVALID – GLD not on file (Documents sheet)",IF(AND(AS684=2,Documents!$O$25&lt;&gt;"ON FILE"),"INVALID – menu checklist not on file (Documents sheet)",IF(AND(AS684=3,NOT(ISNUMBER(Flights!$AX$25))),"INVALID – enter carrying flight KUL departure (Flights AX)",IF(AND(AS684=3,OR(Flights!$AZ$25&gt;Flights!$AA$25,Flights!$AX$25&lt;Flights!$AA$25-3)),"INVALID – carrying flight (Flights AX) cannot arrive before this leg's STD, or is over 3 days early",IF(AG684&gt;AsOfUTC,"INVALID – completion time is in the future",IF(AND(ISNUMBER(BY684),AG684&lt;BY684),IF(H684="Physical uplift","INVALID – before uplift window (cannot confirm loading)","INVALID – before valid window"),IF(AG684&gt;Flights!$AA$25,"INVALID – completed after departure (cannot establish readiness)",IF(AND(H684="Preparation",AG684&gt;=Flights!$AY$25+UpliftWindowH/24),"INVALID – completed after the carrying flight left KUL",IF(AND(H684="Physical uplift",AG684&gt;Q684),"INVALID – recorded after the loading flight departed",IF(AG684&gt;Q684,"COMPLETE – LATE","COMPLETE"))))))))))))))))))))))))),IF(TRIM(U684)="Fail","FAIL – DISCREPANCY",IF(AND(TRIM(U684)&lt;&gt;"",TRIM(U684)&lt;&gt;"Not started",TRIM(U684)&lt;&gt;"In progress"),"INVALID – unrecognised status (use the list)",IF(AsOfUTC&gt;Q684,"OVERDUE",IF(N684="Clarification required","OPEN – CLARIFICATION","OPEN"))))))),"INVALID – error value in an input cell")</f>
        <v>OPEN</v>
      </c>
      <c r="AI684" s="61" t="n">
        <f aca="false">IF(OR(AH684="N/A – RULE",AH684="N/A – JUSTIFIED"),0,1)</f>
        <v>1</v>
      </c>
      <c r="AJ684" s="61" t="n">
        <f aca="false">IF(LEFT(AH684,8)="COMPLETE",1,0)</f>
        <v>0</v>
      </c>
      <c r="AK684" s="61" t="n">
        <f aca="false">IF(AND(AI684=1,AJ684=0,AsOfUTC&gt;Q684),1,0)</f>
        <v>0</v>
      </c>
      <c r="AL684" s="61" t="n">
        <f aca="false">IFERROR(IF(AND(AI684=1,OR(TRIM(U684)="Fail",AND(TRIM(AB684)&lt;&gt;"",TRIM(AB684)&lt;&gt;"Closed"),AND(ISNUMBER(AF684),AF684&lt;&gt;0,TRIM(U684)&lt;&gt;"Pass after CA"))),1,0),1)</f>
        <v>0</v>
      </c>
      <c r="AM684" s="61" t="n">
        <f aca="false">IF(LEFT(AH684,7)="INVALID",1,0)</f>
        <v>0</v>
      </c>
      <c r="AN684" s="61" t="n">
        <f aca="false">IF(AND(N684="Clarification required",AI684=1,AJ684=0),1,0)</f>
        <v>0</v>
      </c>
      <c r="AO684" s="61" t="str">
        <f aca="false">IF(AK684=1,SUM(AK$5:AK684),"")</f>
        <v/>
      </c>
      <c r="AP684" s="61" t="str">
        <f aca="false">IF(AL684=1,SUM(AL$5:AL684),"")</f>
        <v/>
      </c>
      <c r="AQ684" s="61" t="n">
        <v>0</v>
      </c>
      <c r="AR684" s="61" t="n">
        <v>0</v>
      </c>
      <c r="AS684" s="61" t="n">
        <v>0</v>
      </c>
      <c r="AT684" s="61" t="n">
        <v>0</v>
      </c>
      <c r="AU684" s="61" t="str">
        <f aca="false">SUBSTITUTE(SUBSTITUTE(SUBSTITUTE(SUBSTITUTE(SUBSTITUTE(SUBSTITUTE(SUBSTITUTE(SUBSTITUTE(SUBSTITUTE(SUBSTITUTE(SUBSTITUTE(SUBSTITUTE(SUBSTITUTE(SUBSTITUTE(SUBSTITUTE(SUBSTITUTE(LOWER(T684&amp;""),CHAR(10),""),CHAR(13),""),CHAR(9),""),CHAR(160),"")," ",""),".",""),"-",""),"/",""),"?",""),"_",""),",",""),"[",""),"]",""),"(",""),")",""),"*","")</f>
        <v/>
      </c>
      <c r="AV684" s="61" t="str">
        <f aca="false">SUBSTITUTE(SUBSTITUTE(SUBSTITUTE(SUBSTITUTE(SUBSTITUTE(SUBSTITUTE(SUBSTITUTE(SUBSTITUTE(SUBSTITUTE(SUBSTITUTE(SUBSTITUTE(SUBSTITUTE(SUBSTITUTE(SUBSTITUTE(SUBSTITUTE(SUBSTITUTE(LOWER(V684&amp;""),CHAR(10),""),CHAR(13),""),CHAR(9),""),CHAR(160),"")," ",""),".",""),"-",""),"/",""),"?",""),"_",""),",",""),"[",""),"]",""),"(",""),")",""),"*","")</f>
        <v/>
      </c>
      <c r="AW684" s="61" t="str">
        <f aca="false">SUBSTITUTE(SUBSTITUTE(SUBSTITUTE(SUBSTITUTE(SUBSTITUTE(SUBSTITUTE(SUBSTITUTE(SUBSTITUTE(SUBSTITUTE(SUBSTITUTE(SUBSTITUTE(SUBSTITUTE(SUBSTITUTE(SUBSTITUTE(SUBSTITUTE(SUBSTITUTE(LOWER(Z684&amp;""),CHAR(10),""),CHAR(13),""),CHAR(9),""),CHAR(160),"")," ",""),".",""),"-",""),"/",""),"?",""),"_",""),",",""),"[",""),"]",""),"(",""),")",""),"*","")</f>
        <v/>
      </c>
      <c r="AX684" s="61" t="str">
        <f aca="false">SUBSTITUTE(SUBSTITUTE(SUBSTITUTE(SUBSTITUTE(SUBSTITUTE(SUBSTITUTE(SUBSTITUTE(SUBSTITUTE(SUBSTITUTE(SUBSTITUTE(SUBSTITUTE(SUBSTITUTE(SUBSTITUTE(SUBSTITUTE(SUBSTITUTE(SUBSTITUTE(LOWER(AE684&amp;""),CHAR(10),""),CHAR(13),""),CHAR(9),""),CHAR(160),"")," ",""),".",""),"-",""),"/",""),"?",""),"_",""),",",""),"[",""),"]",""),"(",""),")",""),"*","")</f>
        <v/>
      </c>
      <c r="AY684" s="61" t="str">
        <f aca="false">SUBSTITUTE(SUBSTITUTE(SUBSTITUTE(SUBSTITUTE(SUBSTITUTE(SUBSTITUTE(SUBSTITUTE(SUBSTITUTE(SUBSTITUTE(SUBSTITUTE(SUBSTITUTE(SUBSTITUTE(SUBSTITUTE(SUBSTITUTE(SUBSTITUTE(SUBSTITUTE(LOWER(W684&amp;""),CHAR(10),""),CHAR(13),""),CHAR(9),""),CHAR(160),"")," ",""),".",""),"-",""),"/",""),"?",""),"_",""),",",""),"[",""),"]",""),"(",""),")",""),"*","")</f>
        <v/>
      </c>
      <c r="AZ684" s="61" t="str">
        <f aca="false">SUBSTITUTE(SUBSTITUTE(SUBSTITUTE(SUBSTITUTE(SUBSTITUTE(SUBSTITUTE(SUBSTITUTE(SUBSTITUTE(SUBSTITUTE(SUBSTITUTE(SUBSTITUTE(SUBSTITUTE(SUBSTITUTE(SUBSTITUTE(SUBSTITUTE(SUBSTITUTE(LOWER(AC684&amp;""),CHAR(10),""),CHAR(13),""),CHAR(9),""),CHAR(160),"")," ",""),".",""),"-",""),"/",""),"?",""),"_",""),",",""),"[",""),"]",""),"(",""),")",""),"*","")</f>
        <v/>
      </c>
      <c r="BA684" s="61" t="str">
        <f aca="false">SUBSTITUTE(SUBSTITUTE(SUBSTITUTE(SUBSTITUTE(SUBSTITUTE(SUBSTITUTE(SUBSTITUTE(SUBSTITUTE(SUBSTITUTE(SUBSTITUTE(SUBSTITUTE(SUBSTITUTE(SUBSTITUTE(SUBSTITUTE(SUBSTITUTE(SUBSTITUTE(LOWER(AA684&amp;""),CHAR(10),""),CHAR(13),""),CHAR(9),""),CHAR(160),"")," ",""),".",""),"-",""),"/",""),"?",""),"_",""),",",""),"[",""),"]",""),"(",""),")",""),"*","")</f>
        <v/>
      </c>
      <c r="BB684" s="61" t="str">
        <f aca="false">IF(AND(TRIM(U684)="Pass",ISNUMBER(AF684)),IF(AF684&lt;&gt;0,"INVALID – qty variance: use Fail or Pass after CA",""),"")&amp;IF(AND(TRIM(U684)="Pass after CA",ISNUMBER(AF684)),IF(AF684&lt;&gt;0,"INVALID – after the corrective action the actual qty must equal expected (update Actual)",""),"")&amp;IF(AND(TRIM(U684)="Pass",TRIM(AB684)&lt;&gt;"",TRIM(AB684)&lt;&gt;"Closed"),"INVALID – corrective action not closed: use Fail, then Pass after CA","")&amp;IF(AND(LEN(BA684)&gt;=2,ISNA(MATCH(LEFT(BA684,255),L_Placeholder,0)),TRIM(AB684)=""),"INVALID – CA status missing for the recorded corrective action","")&amp;IF(AND(TRIM(U684)="Pass after CA",OR(OR(LEN(BA684)&lt;5,ISNUMBER(MATCH(BA684,L_Placeholder,0))),TRIM(AB684)&lt;&gt;"Closed")),"INVALID – corrective action not recorded/closed","")</f>
        <v/>
      </c>
      <c r="BC684" s="61" t="str">
        <f aca="false">" "&amp;TRIM(SUBSTITUTE(SUBSTITUTE(SUBSTITUTE(SUBSTITUTE(SUBSTITUTE(SUBSTITUTE(SUBSTITUTE(SUBSTITUTE(SUBSTITUTE(SUBSTITUTE(SUBSTITUTE(SUBSTITUTE(SUBSTITUTE(SUBSTITUTE(SUBSTITUTE(SUBSTITUTE(SUBSTITUTE(SUBSTITUTE(SUBSTITUTE(SUBSTITUTE(SUBSTITUTE(SUBSTITUTE(SUBSTITUTE(SUBSTITUTE(LOWER(V684&amp;""),CHAR(10)," "),CHAR(13)," "),CHAR(9)," "),CHAR(160)," "),"."," "),","," "),"-"," "),"/"," "),"("," "),")"," "),":"," "),";"," "),"_"," "),"–"," "),"?"," "),"!"," "),"*"," "),"["," "),"]"," "),"'"," "),"#"," "),"+"," "),"&amp;"," "),"\"," "))&amp;" "</f>
        <v>  </v>
      </c>
      <c r="BD684" s="61" t="str">
        <f aca="false">" "&amp;TRIM(SUBSTITUTE(SUBSTITUTE(SUBSTITUTE(SUBSTITUTE(SUBSTITUTE(SUBSTITUTE(SUBSTITUTE(SUBSTITUTE(SUBSTITUTE(SUBSTITUTE(SUBSTITUTE(SUBSTITUTE(SUBSTITUTE(SUBSTITUTE(SUBSTITUTE(SUBSTITUTE(SUBSTITUTE(SUBSTITUTE(SUBSTITUTE(SUBSTITUTE(SUBSTITUTE(SUBSTITUTE(SUBSTITUTE(SUBSTITUTE(LOWER(Z684&amp;""),CHAR(10)," "),CHAR(13)," "),CHAR(9)," "),CHAR(160)," "),"."," "),","," "),"-"," "),"/"," "),"("," "),")"," "),":"," "),";"," "),"_"," "),"–"," "),"?"," "),"!"," "),"*"," "),"["," "),"]"," "),"'"," "),"#"," "),"+"," "),"&amp;"," "),"\"," "))&amp;" "</f>
        <v>  </v>
      </c>
      <c r="BE684" s="61" t="str">
        <f aca="false">" "&amp;TRIM(SUBSTITUTE(SUBSTITUTE(SUBSTITUTE(SUBSTITUTE(SUBSTITUTE(SUBSTITUTE(SUBSTITUTE(SUBSTITUTE(SUBSTITUTE(SUBSTITUTE(SUBSTITUTE(SUBSTITUTE(SUBSTITUTE(SUBSTITUTE(SUBSTITUTE(SUBSTITUTE(SUBSTITUTE(SUBSTITUTE(SUBSTITUTE(SUBSTITUTE(SUBSTITUTE(SUBSTITUTE(SUBSTITUTE(SUBSTITUTE(LOWER(W684&amp;""),CHAR(10)," "),CHAR(13)," "),CHAR(9)," "),CHAR(160)," "),"."," "),","," "),"-"," "),"/"," "),"("," "),")"," "),":"," "),";"," "),"_"," "),"–"," "),"?"," "),"!"," "),"*"," "),"["," "),"]"," "),"'"," "),"#"," "),"+"," "),"&amp;"," "),"\"," "))&amp;" "</f>
        <v>  </v>
      </c>
      <c r="BF684" s="61" t="str">
        <f aca="false">" "&amp;TRIM(SUBSTITUTE(SUBSTITUTE(SUBSTITUTE(SUBSTITUTE(SUBSTITUTE(SUBSTITUTE(SUBSTITUTE(SUBSTITUTE(SUBSTITUTE(SUBSTITUTE(SUBSTITUTE(SUBSTITUTE(SUBSTITUTE(SUBSTITUTE(SUBSTITUTE(SUBSTITUTE(SUBSTITUTE(SUBSTITUTE(SUBSTITUTE(SUBSTITUTE(SUBSTITUTE(SUBSTITUTE(SUBSTITUTE(SUBSTITUTE(LOWER(AC684&amp;""),CHAR(10)," "),CHAR(13)," "),CHAR(9)," "),CHAR(160)," "),"."," "),","," "),"-"," "),"/"," "),"("," "),")"," "),":"," "),";"," "),"_"," "),"–"," "),"?"," "),"!"," "),"*"," "),"["," "),"]"," "),"'"," "),"#"," "),"+"," "),"&amp;"," "),"\"," "))&amp;" "</f>
        <v>  </v>
      </c>
      <c r="BG684" s="61" t="n">
        <f aca="false">IFERROR(IF(AND(TRIM(U684)="Pass",SUMPRODUCT((LEN(BC684)-LEN(SUBSTITUTE(BC684," "&amp;L_ResultBad&amp;" "," ")))/(LEN(L_ResultBad)+1))&gt;SUMPRODUCT((LEN(BC684)-LEN(SUBSTITUTE(BC684," "&amp;L_NegPhrase&amp;" "," ")))/(LEN(L_NegPhrase)+1))),1,0),0)</f>
        <v>0</v>
      </c>
      <c r="BH684" s="61" t="n">
        <f aca="false">IFERROR(IF(SUMPRODUCT((LEN(BC684)-LEN(SUBSTITUTE(BC684," "&amp;L_Pending&amp;" "," ")))/(LEN(L_Pending)+1))&gt;SUMPRODUCT((LEN(BC684)-LEN(SUBSTITUTE(BC684," "&amp;L_PendNeg&amp;" "," ")))/(LEN(L_PendNeg)+1))+SUMPRODUCT((LEN(BC684)-LEN(SUBSTITUTE(BC684," "&amp;L_PendPrep&amp;" "," ")))/(LEN(L_PendPrep)+1)),1,0),1)</f>
        <v>0</v>
      </c>
      <c r="BI684" s="61" t="n">
        <f aca="false">IFERROR(IF(SUMPRODUCT((LEN(BD684)-LEN(SUBSTITUTE(BD684," "&amp;L_PendStrict&amp;" "," ")))/(LEN(L_PendStrict)+1))&gt;SUMPRODUCT((LEN(BD684)-LEN(SUBSTITUTE(BD684," "&amp;L_PendNeg&amp;" "," ")))/(LEN(L_PendNeg)+1)),1,0),1)</f>
        <v>0</v>
      </c>
      <c r="BJ684" s="61" t="n">
        <f aca="false">IFERROR(IF(SUMPRODUCT((LEN(BE684)-LEN(SUBSTITUTE(BE684," "&amp;L_Pending&amp;" "," ")))/(LEN(L_Pending)+1))&gt;SUMPRODUCT((LEN(BE684)-LEN(SUBSTITUTE(BE684," "&amp;L_PendNeg&amp;" "," ")))/(LEN(L_PendNeg)+1))+SUMPRODUCT((LEN(BE684)-LEN(SUBSTITUTE(BE684," "&amp;L_PendPrep&amp;" "," ")))/(LEN(L_PendPrep)+1)),1,0),1)</f>
        <v>0</v>
      </c>
      <c r="BK684" s="61" t="n">
        <f aca="false">IFERROR(IF(SUMPRODUCT((LEN(BF684)-LEN(SUBSTITUTE(BF684," "&amp;L_PendStrict&amp;" "," ")))/(LEN(L_PendStrict)+1))&gt;SUMPRODUCT((LEN(BF684)-LEN(SUBSTITUTE(BF684," "&amp;L_PendNeg&amp;" "," ")))/(LEN(L_PendNeg)+1)),1,0),1)</f>
        <v>0</v>
      </c>
      <c r="BL684" s="61" t="n">
        <f aca="false">IF(ISNA(MATCH(TRIM(S684),L_EvidenceType,0)),0,BZ684)</f>
        <v>0</v>
      </c>
      <c r="BM684" s="61" t="str">
        <f aca="false">SUBSTITUTE(SUBSTITUTE(SUBSTITUTE(SUBSTITUTE(SUBSTITUTE(SUBSTITUTE(SUBSTITUTE(SUBSTITUTE(SUBSTITUTE(LOWER(Z684&amp;""),"1","0"),"2","0"),"3","0"),"4","0"),"5","0"),"6","0"),"7","0"),"8","0"),"9","0")</f>
        <v/>
      </c>
      <c r="BN684" s="61" t="str">
        <f aca="false">SUBSTITUTE(SUBSTITUTE(SUBSTITUTE(SUBSTITUTE(SUBSTITUTE(SUBSTITUTE(SUBSTITUTE(SUBSTITUTE(SUBSTITUTE(SUBSTITUTE(SUBSTITUTE(SUBSTITUTE(SUBSTITUTE(SUBSTITUTE(SUBSTITUTE(SUBSTITUTE(SUBSTITUTE(SUBSTITUTE(SUBSTITUTE(SUBSTITUTE(SUBSTITUTE(SUBSTITUTE(SUBSTITUTE(SUBSTITUTE(SUBSTITUTE(BM684,"b","a"),"c","a"),"d","a"),"e","a"),"f","a"),"g","a"),"h","a"),"i","a"),"j","a"),"k","a"),"l","a"),"m","a"),"n","a"),"o","a"),"p","a"),"q","a"),"r","a"),"s","a"),"t","a"),"u","a"),"v","a"),"w","a"),"x","a"),"y","a"),"z","a")</f>
        <v/>
      </c>
      <c r="BO684" s="61" t="str">
        <f aca="false">SUBSTITUTE(SUBSTITUTE(SUBSTITUTE(SUBSTITUTE(SUBSTITUTE(SUBSTITUTE(SUBSTITUTE(SUBSTITUTE(SUBSTITUTE(LOWER(W684&amp;""),"1","0"),"2","0"),"3","0"),"4","0"),"5","0"),"6","0"),"7","0"),"8","0"),"9","0")</f>
        <v/>
      </c>
      <c r="BP684" s="61" t="str">
        <f aca="false">SUBSTITUTE(SUBSTITUTE(SUBSTITUTE(SUBSTITUTE(SUBSTITUTE(SUBSTITUTE(SUBSTITUTE(SUBSTITUTE(SUBSTITUTE(SUBSTITUTE(SUBSTITUTE(SUBSTITUTE(SUBSTITUTE(SUBSTITUTE(SUBSTITUTE(SUBSTITUTE(SUBSTITUTE(SUBSTITUTE(SUBSTITUTE(SUBSTITUTE(SUBSTITUTE(SUBSTITUTE(SUBSTITUTE(SUBSTITUTE(SUBSTITUTE(BO684,"b","a"),"c","a"),"d","a"),"e","a"),"f","a"),"g","a"),"h","a"),"i","a"),"j","a"),"k","a"),"l","a"),"m","a"),"n","a"),"o","a"),"p","a"),"q","a"),"r","a"),"s","a"),"t","a"),"u","a"),"v","a"),"w","a"),"x","a"),"y","a"),"z","a")</f>
        <v/>
      </c>
      <c r="BQ684" s="61" t="n">
        <f aca="false">IFERROR(IF(AND(ISERROR(SEARCH(" mh"," "&amp;LOWER(W684))),ISNA(MATCH(LEFT(TRIM(BP684),255),{"0000a","000a","00a","0000aa","000aa","00aa","0aa","0000aaa","000aaa","00a00","0a00","0000-0000","00:00","a00","a0","00.00.0000","00/00/0000","00-00-0000","0000-00-00","0000/00/00","0000.00.00","00.00.00","00/00/00","00-00-00","0.00.0000","0/00/0000","0-00-0000"},0)),ISNA(MATCH(LEFT(TRIM(CA684),255),{"0000a","000a","00a","0000aa","000aa","00aa","0aa","0000aaa","000aaa","00a00","0a00","0000-0000","00:00","a00","a0","00.00.0000","00/00/0000","00-00-0000","0000-00-00","0000/00/00","0000.00.00","00.00.00","00/00/00","00-00-00","0.00.0000","0/00/0000","0-00-0000"},0)),LEN(CB684)&gt;=3,NOT(OR(SUBSTITUTE(CB684,"0","")="",AND(LEN(CB684)&gt;=4,CB684=REPT(LEFT(CB684),LEN(CB684))),ISNUMBER(MATCH(CB684,{"123","1234","12345","123456","1234567","12345678","0123","01234","012345","98765","987654","54321"},0)),AND(LEN(CB684)=8,LEFT(CB684,3)="202"))),OR(AND((LEN(CA684)-LEN(SUBSTITUTE(CA684,"a","")))&gt;=1,SUMPRODUCT(--ISNUMBER(SEARCH({"a0","a-0","a_0","a/0","a.0","a#0","0a","0-a","0_a","0/a"},BP684)))&gt;0),ISNUMBER(SEARCH("000000",BP684)))),1,0),0)</f>
        <v>0</v>
      </c>
      <c r="BR684" s="61" t="n">
        <f aca="false">IFERROR(LEN(SUBSTITUTE(CC684," ",""))-SUMPRODUCT((LEN(CC684)-LEN(SUBSTITUTE(CC684," "&amp;L_Role&amp;" "," ")))/(LEN(L_Role)+1)*LEN(L_Role)),0)</f>
        <v>0</v>
      </c>
      <c r="BS684" s="61" t="n">
        <f aca="false">IFERROR(LEN(SUBSTITUTE(CD684," ",""))-SUMPRODUCT((LEN(CD684)-LEN(SUBSTITUTE(CD684," "&amp;L_Role&amp;" "," ")))/(LEN(L_Role)+1)*LEN(L_Role)),0)</f>
        <v>0</v>
      </c>
      <c r="BT6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684,"revision",""),"version",""),"jan",""),"feb",""),"mar",""),"apr",""),"may",""),"jun",""),"jul",""),"aug",""),"sep",""),"oct",""),"nov",""),"dec",""),"utc",""),"gmt",""),"myt",""),"bst",""),"rev",""),"ver",""),"b","a"),"c","a"),"d","a"),"e","a"),"f","a"),"g","a"),"h","a"),"i","a"),"j","a"),"k","a"),"l","a"),"m","a"),"n","a"),"o","a"),"p","a"),"q","a"),"r","a"),"s","a"),"t","a"),"u","a"),"v","a"),"w","a"),"x","a"),"y","a"),"z","a")</f>
        <v/>
      </c>
      <c r="BU684" s="61" t="str">
        <f aca="false">SUBSTITUTE(SUBSTITUTE(SUBSTITUTE(SUBSTITUTE(SUBSTITUTE(SUBSTITUTE(SUBSTITUTE(SUBSTITUTE(SUBSTITUTE(SUBSTITUTE(LEFT(BM684,FIND("0",BM684&amp;"0")-1),"-",""),"_",""),"/",""),".",""),"#",""),"\\",""),":","")," ",""),"(",""),")","")</f>
        <v/>
      </c>
      <c r="BV684" s="61" t="n">
        <f aca="false">0</f>
        <v>0</v>
      </c>
      <c r="BW68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684&amp;""),"a",""),"b",""),"c",""),"d",""),"e",""),"f",""),"g",""),"h",""),"i",""),"j",""),"k",""),"l",""),"m",""),"n",""),"o",""),"p",""),"q",""),"r",""),"s",""),"t",""),"u",""),"v",""),"w",""),"x",""),"y",""),"z",""),"-",""),"_",""),"/",""),".",""),"#",""),"\\",""),":","")," ",""),"(",""),")","")</f>
        <v/>
      </c>
      <c r="BX684" s="61" t="str">
        <f aca="false">SUBSTITUTE(SUBSTITUTE(SUBSTITUTE(SUBSTITUTE(SUBSTITUTE(SUBSTITUTE(SUBSTITUTE(SUBSTITUTE(SUBSTITUTE(SUBSTITUTE(SUBSTITUTE(BM684,"0",""),"-",""),"_",""),"/",""),".",""),"#",""),"\\",""),":","")," ",""),"(",""),")","")</f>
        <v/>
      </c>
      <c r="BY684" s="62" t="n">
        <f aca="false">Q684-T12EarlyH/24</f>
        <v>46323.6875</v>
      </c>
      <c r="BZ684" s="61" t="n">
        <f aca="false">IFERROR(IF(IF(TRIM(S684)="Link / file path",AND(LEN(TRIM(Z684))&gt;=5,SUMPRODUCT(--ISNUMBER(SEARCH({"http","www.","\\",":\",".pdf",".jpg",".jpeg",".png",".heic",".xls",".doc",".msg",".eml",".ppt",".txt",".zip"},Z684)))&gt;0),AND(ISERROR(FIND(" ",TRIM(Z684))),NOT(OR(SUMPRODUCT(--ISNUMBER(FIND({",",";","&amp;","+"},Z684)))&gt;0,SUMPRODUCT(--ISNUMBER(SEARCH({"0/aa","0\\aa"},BN684)))&gt;0)),NOT(SUMPRODUCT(--ISNUMBER(SEARCH({"http","www.","\\",":\",".pdf",".jpg",".jpeg",".png",".heic",".xls",".doc",".msg",".eml",".ppt",".txt",".zip"},Z684)))&gt;0),NOT(LOWER(TRIM(Z684))=LOWER(Flights!$F$25)),ISNA(MATCH(BU684,{"mh","rev","revision","ver","version","v","r","a","b","seat","tray","row","gate","bay","stand","page","pg","item","line","no","cart","galley","flight","flt","table","box","bag","oven","etd","eta","std","sta","atd","ata","qty","pax","x","time","tel","ph","mob","day","wk","week","utc","gmt","myt","lt"},0)),NOT(OR(ISNUMBER(MATCH(LEFT(BN684,255),{"0000a","000a","00a","0000aa","000aa","00aa","0aa","0000aaa","000aaa","00a00","0a00","0000-0000","00:00","a00","a0","00.00.0000","00/00/0000","00-00-0000","0000-00-00","0000/00/00","0000.00.00","00.00.00","00/00/00","00-00-00","0.00.0000","0/00/0000","0-00-0000"},0)),ISNUMBER(MATCH(LEFT(BT684,255),{"0000a","000a","00a","0000aa","000aa","00aa","0aa","0000aaa","000aaa","00a00","0a00","0000-0000","00:00","a00","a0","00.00.0000","00/00/0000","00-00-0000","0000-00-00","0000/00/00","0000.00.00","00.00.00","00/00/00","00-00-00","0.00.0000","0/00/0000","0-00-0000"},0)))),NOT(OR(AND(BW684&lt;&gt;"",SUBSTITUTE(BW684,"0","")=""),AND(LEN(BW684)&gt;=4,BW684=REPT(LEFT(BW684),LEN(BW684))),ISNUMBER(MATCH(BW684,{"123","1234","12345","123456","1234567","12345678","0123","01234","012345","98765","987654","54321"},0)),ISNUMBER(MATCH(BX684,{"x","xx","xxx","xxxx","xxxxx","abc","abcd","nil","na","nan","test","tbc","tba","tbd","dummy","sample","example","eg","zz","zzz","none","null","xyz","qwe","asd","id","ref"},0)),AND(LEN(BW684)=8,BX684="",OR(LEFT(BW684,3)="202",ISNUMBER(MATCH(RIGHT(BW684,4),{"2025","2026","2027"},0)))))),OR(AND((LEN(BT684)-LEN(SUBSTITUTE(BT684,"a","")))&gt;=1,(LEN(BN684)-LEN(SUBSTITUTE(BN684,"0","")))&gt;=2,SUMPRODUCT(--ISNUMBER(SEARCH({"a0","a-0","a_0","a/0","a.0","a#0","0a","0-a","0_a","0/a"},BN684)))&gt;0),AND((LEN(BN684)-LEN(SUBSTITUTE(BN684,"a","")))=0,(LEN(BN684)-LEN(SUBSTITUTE(BN684,"0","")))&gt;=5)))),1,0),0)</f>
        <v>0</v>
      </c>
      <c r="CA6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684,"revision",""),"version",""),"jan",""),"feb",""),"mar",""),"apr",""),"may",""),"jun",""),"jul",""),"aug",""),"sep",""),"oct",""),"nov",""),"dec",""),"utc",""),"gmt",""),"myt",""),"bst",""),"rev",""),"ver",""),"b","a"),"c","a"),"d","a"),"e","a"),"f","a"),"g","a"),"h","a"),"i","a"),"j","a"),"k","a"),"l","a"),"m","a"),"n","a"),"o","a"),"p","a"),"q","a"),"r","a"),"s","a"),"t","a"),"u","a"),"v","a"),"w","a"),"x","a"),"y","a"),"z","a")</f>
        <v/>
      </c>
      <c r="CB68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684&amp;""),"a",""),"b",""),"c",""),"d",""),"e",""),"f",""),"g",""),"h",""),"i",""),"j",""),"k",""),"l",""),"m",""),"n",""),"o",""),"p",""),"q",""),"r",""),"s",""),"t",""),"u",""),"v",""),"w",""),"x",""),"y",""),"z",""),"-",""),"_",""),"/",""),".",""),"#",""),"\\",""),":","")," ",""),"(",""),")","")</f>
        <v/>
      </c>
      <c r="CC684" s="0" t="str">
        <f aca="false">" "&amp;TRIM(SUBSTITUTE(SUBSTITUTE(SUBSTITUTE(SUBSTITUTE(SUBSTITUTE(SUBSTITUTE(SUBSTITUTE(SUBSTITUTE(SUBSTITUTE(SUBSTITUTE(SUBSTITUTE(SUBSTITUTE(SUBSTITUTE(SUBSTITUTE(SUBSTITUTE(SUBSTITUTE(SUBSTITUTE(SUBSTITUTE(SUBSTITUTE(SUBSTITUTE(SUBSTITUTE(SUBSTITUTE(SUBSTITUTE(SUBSTITUTE(LOWER(T684&amp;""),CHAR(10)," "),CHAR(13)," "),CHAR(9)," "),CHAR(160)," "),"."," "),","," "),"-"," "),"/"," "),"("," "),")"," "),":"," "),";"," "),"_"," "),"–"," "),"?"," "),"!"," "),"*"," "),"["," "),"]"," "),"'"," "),"#"," "),"+"," "),"&amp;"," "),"\"," "))&amp;" "</f>
        <v>  </v>
      </c>
      <c r="CD684" s="0" t="str">
        <f aca="false">" "&amp;TRIM(SUBSTITUTE(SUBSTITUTE(SUBSTITUTE(SUBSTITUTE(SUBSTITUTE(SUBSTITUTE(SUBSTITUTE(SUBSTITUTE(SUBSTITUTE(SUBSTITUTE(SUBSTITUTE(SUBSTITUTE(SUBSTITUTE(SUBSTITUTE(SUBSTITUTE(SUBSTITUTE(SUBSTITUTE(SUBSTITUTE(SUBSTITUTE(SUBSTITUTE(SUBSTITUTE(SUBSTITUTE(SUBSTITUTE(SUBSTITUTE(LOWER(AE684&amp;""),CHAR(10)," "),CHAR(13)," "),CHAR(9)," "),CHAR(160)," "),"."," "),","," "),"-"," "),"/"," "),"("," "),")"," "),":"," "),";"," "),"_"," "),"–"," "),"?"," "),"!"," "),"*"," "),"["," "),"]"," "),"'"," "),"#"," "),"+"," "),"&amp;"," "),"\"," "))&amp;" "</f>
        <v>  </v>
      </c>
      <c r="CE684" s="68" t="n">
        <f aca="false">IFERROR(IF(AND(LEN(AU684)&gt;0,LEN(AU684)=LEN(AX684),OR(TRIM(MID(SUBSTITUTE(TRIM(CC684)," ",REPT(" ",60)),1,60))="",ISNUMBER(SEARCH(" "&amp;TRIM(MID(SUBSTITUTE(TRIM(CC684)," ",REPT(" ",60)),1,60))&amp;" ",CD684))),OR(TRIM(MID(SUBSTITUTE(TRIM(CC684)," ",REPT(" ",60)),61,60))="",ISNUMBER(SEARCH(" "&amp;TRIM(MID(SUBSTITUTE(TRIM(CC684)," ",REPT(" ",60)),61,60))&amp;" ",CD684))),OR(TRIM(MID(SUBSTITUTE(TRIM(CC684)," ",REPT(" ",60)),121,60))="",ISNUMBER(SEARCH(" "&amp;TRIM(MID(SUBSTITUTE(TRIM(CC684)," ",REPT(" ",60)),121,60))&amp;" ",CD684)))),1,0),0)</f>
        <v>0</v>
      </c>
      <c r="CG684" s="68" t="n">
        <f aca="false">IFERROR(LEN(SUBSTITUTE(BF684," ",""))-SUMPRODUCT((LEN(BF684)-LEN(SUBSTITUTE(BF684," "&amp;L_NAFiller&amp;" "," ")))/(LEN(L_NAFiller)+1)*LEN(L_NAFiller)),0)</f>
        <v>0</v>
      </c>
    </row>
    <row r="685" customFormat="false" ht="66" hidden="false" customHeight="true" outlineLevel="0" collapsed="false">
      <c r="A685" s="57" t="s">
        <v>1410</v>
      </c>
      <c r="B685" s="57" t="s">
        <v>310</v>
      </c>
      <c r="C685" s="57" t="str">
        <f aca="false">Flights!$F$25</f>
        <v>MH1437</v>
      </c>
      <c r="D685" s="58" t="n">
        <f aca="false">Flights!$D$25</f>
        <v>46325</v>
      </c>
      <c r="E685" s="57" t="str">
        <f aca="false">Flights!$G$25&amp;"-"&amp;Flights!$H$25</f>
        <v>LGK-KUL</v>
      </c>
      <c r="F685" s="57" t="str">
        <f aca="false">Flights!$K$25</f>
        <v>BC</v>
      </c>
      <c r="G685" s="57" t="s">
        <v>420</v>
      </c>
      <c r="H685" s="57" t="s">
        <v>378</v>
      </c>
      <c r="I685" s="57" t="s">
        <v>499</v>
      </c>
      <c r="J685" s="57" t="s">
        <v>505</v>
      </c>
      <c r="K685" s="67" t="s">
        <v>501</v>
      </c>
      <c r="L685" s="67" t="s">
        <v>1411</v>
      </c>
      <c r="M685" s="67" t="s">
        <v>451</v>
      </c>
      <c r="N685" s="67" t="s">
        <v>383</v>
      </c>
      <c r="O685" s="67" t="s">
        <v>984</v>
      </c>
      <c r="P685" s="57" t="s">
        <v>187</v>
      </c>
      <c r="Q685" s="59" t="n">
        <f aca="false">ROUND((MIN(Flights!$AE$25,Flights!$AY$25))*1440,0)/1440</f>
        <v>46324.1875</v>
      </c>
      <c r="R685" s="59" t="n">
        <f aca="false">Q685+(IF(AND(INDEX(TZ_DSTS,MATCH(P685,TZ_STN,0))&lt;&gt;"",Q685&gt;=INDEX(TZ_DSTS,MATCH(P685,TZ_STN,0)),Q685&lt;INDEX(TZ_DSTE,MATCH(P685,TZ_STN,0))),INDEX(TZ_DST,MATCH(P685,TZ_STN,0)),INDEX(TZ_STD,MATCH(P685,TZ_STN,0))))/24</f>
        <v>46324.5208333333</v>
      </c>
      <c r="S685" s="60"/>
      <c r="T685" s="60"/>
      <c r="U685" s="60"/>
      <c r="V685" s="60"/>
      <c r="W685" s="61"/>
      <c r="X685" s="60"/>
      <c r="Y685" s="60"/>
      <c r="Z685" s="60"/>
      <c r="AA685" s="60"/>
      <c r="AB685" s="60"/>
      <c r="AC685" s="60"/>
      <c r="AD685" s="66"/>
      <c r="AE685" s="60"/>
      <c r="AF685" s="61" t="str">
        <f aca="false">IF(AND(ISNUMBER(X685),ISNUMBER(Y685)),Y685-X685,"")</f>
        <v/>
      </c>
      <c r="AG685" s="62" t="str">
        <f aca="false">IF(ISNUMBER(AD685),AD685-(IF(AND(INDEX(TZ_DSTS,MATCH(P685,TZ_STN,0))&lt;&gt;"",(AD685-INDEX(TZ_STD,MATCH(P685,TZ_STN,0))/24)&gt;=INDEX(TZ_DSTS,MATCH(P685,TZ_STN,0)),(AD685-INDEX(TZ_STD,MATCH(P685,TZ_STN,0))/24)&lt;INDEX(TZ_DSTE,MATCH(P685,TZ_STN,0))),INDEX(TZ_DST,MATCH(P685,TZ_STN,0)),INDEX(TZ_STD,MATCH(P685,TZ_STN,0))))/24,"")</f>
        <v/>
      </c>
      <c r="AH685" s="65" t="str">
        <f aca="false">IFERROR(IF(N685="N/A – rule",IF(OR(TRIM(U685)="",TRIM(U685)="N/A",TRIM(U685)="Not started"),"N/A – RULE","INVALID – this check does not apply to this aircraft: clear the status (or correct the fleet on Flights)"),IF(TRIM(U685)="N/A",IF(AT685=0,"INVALID – N/A not permitted for this check",IF(AND(TRIM(AB685)&lt;&gt;"",TRIM(AB685)&lt;&gt;"Closed"),"INVALID – corrective action still open",IF(AND(NOT(OR(LEN(AZ685)&lt;15,ISNUMBER(MATCH(AZ685,L_Placeholder,0)))),BK685=0,CG685&gt;=8,NOT(OR(LEN(AU685)&lt;2,ISNUMBER(MATCH(AU685,L_Placeholder,0)))),BR685&gt;=3,NOT(OR(LEN(AX685)&lt;2,ISNUMBER(MATCH(AX685,L_Placeholder,0)))),BS685&gt;=3,TRIM(AE685)&lt;&gt;TRIM(T685),AX685&lt;&gt;AU685,CE685=0),"N/A – JUSTIFIED","INVALID – N/A needs a real, settled reason (not 'not applicable' / 'as above' / TBC), a named PIC and a different named verifier"))),IF(OR(TRIM(U685)="Pass",TRIM(U685)="Pass after CA"),IF(NOT(ISNUMBER(AD685)),"INVALID – completion time missing",IF(OR(OR(LEN(AU685)&lt;2,ISNUMBER(MATCH(AU685,L_Placeholder,0))),BR685&lt;3),"INVALID – PIC missing or not a named person (a role such as QA / CSM is not a name)",IF(OR(LEN(AV685)&lt;2,ISNUMBER(MATCH(AV685,L_Placeholder,0))),"INVALID – result / assessment missing",IF(OR(OR(LEN(AW685)&lt;3,ISNUMBER(MATCH(AW685,L_Placeholder,0))),SUMPRODUCT(--ISNUMBER(SEARCH(" "&amp;L_EvidencePhrase&amp;" ",BD685)))&gt;0,BI685=1),"INVALID – evidence missing, placeholder or not yet on file",IF(ISNA(MATCH(TRIM(S685),L_EvidenceType,0)),"INVALID – choose the evidence type from the list (column S)",IF(BL685=0,"INVALID – evidence ID must be the record's own ID only (e.g. SF-2210, IMG_2231, 1045521); a link / file name needs type 'Link / file path'",IF(OR(OR(LEN(AX685)&lt;2,ISNUMBER(MATCH(AX685,L_Placeholder,0))),BS685&lt;3),"INVALID – verifier missing or not a named person (a role such as QA / CSM is not a name)",IF(OR(AX685=AU685,CE685=1,AND(LEN(AU685)&gt;=4,ISNUMBER(SEARCH(AU685,AX685))),AND(LEN(AX685)&gt;=4,ISNUMBER(SEARCH(AX685,AU685)))),"INVALID – verifier must be a different, named person (not the PIC or a role)",IF(BH685=1,"INVALID – result not yet available (awaiting / TBC)",IF(BG685=1,"INVALID – result describes a problem: record Fail, then Pass after CA (or reword if it is not a problem)",IF(BV685=1,"INVALID – wording says not on board: an on-board confirmation needs the item loaded",IF(AND(AQ685=1,OR(OR(LEN(AY685)&lt;3,ISNUMBER(MATCH(AY685,L_Placeholder,0))),BJ685=1,BQ685=0)),"INVALID – batch ID missing, placeholder or not an ID (e.g. PASB-261008-BC-017)",IF(AND(AR685=1,OR(NOT(ISNUMBER(X685)),NOT(ISNUMBER(Y685)))),"INVALID – expected/actual qty missing",IF(AND(AR685=1,OR(X685&lt;=0,Y685&lt;0)),"INVALID – expected qty must be above 0 and actual not negative",IF(BB685&lt;&gt;"",BB685,IF(AND(AS685=1,Documents!$J$25&lt;&gt;"ON FILE"),"INVALID – GLD not on file (Documents sheet)",IF(AND(AS685=2,Documents!$O$25&lt;&gt;"ON FILE"),"INVALID – menu checklist not on file (Documents sheet)",IF(AND(AS685=3,NOT(ISNUMBER(Flights!$AX$25))),"INVALID – enter carrying flight KUL departure (Flights AX)",IF(AND(AS685=3,OR(Flights!$AZ$25&gt;Flights!$AA$25,Flights!$AX$25&lt;Flights!$AA$25-3)),"INVALID – carrying flight (Flights AX) cannot arrive before this leg's STD, or is over 3 days early",IF(AG685&gt;AsOfUTC,"INVALID – completion time is in the future",IF(AND(ISNUMBER(BY685),AG685&lt;BY685),IF(H685="Physical uplift","INVALID – before uplift window (cannot confirm loading)","INVALID – before valid window"),IF(AG685&gt;Flights!$AA$25,"INVALID – completed after departure (cannot establish readiness)",IF(AND(H685="Preparation",AG685&gt;=Flights!$AY$25+UpliftWindowH/24),"INVALID – completed after the carrying flight left KUL",IF(AND(H685="Physical uplift",AG685&gt;Q685),"INVALID – recorded after the loading flight departed",IF(AG685&gt;Q685,"COMPLETE – LATE","COMPLETE"))))))))))))))))))))))))),IF(TRIM(U685)="Fail","FAIL – DISCREPANCY",IF(AND(TRIM(U685)&lt;&gt;"",TRIM(U685)&lt;&gt;"Not started",TRIM(U685)&lt;&gt;"In progress"),"INVALID – unrecognised status (use the list)",IF(AsOfUTC&gt;Q685,"OVERDUE",IF(N685="Clarification required","OPEN – CLARIFICATION","OPEN"))))))),"INVALID – error value in an input cell")</f>
        <v>OPEN</v>
      </c>
      <c r="AI685" s="61" t="n">
        <f aca="false">IF(OR(AH685="N/A – RULE",AH685="N/A – JUSTIFIED"),0,1)</f>
        <v>1</v>
      </c>
      <c r="AJ685" s="61" t="n">
        <f aca="false">IF(LEFT(AH685,8)="COMPLETE",1,0)</f>
        <v>0</v>
      </c>
      <c r="AK685" s="61" t="n">
        <f aca="false">IF(AND(AI685=1,AJ685=0,AsOfUTC&gt;Q685),1,0)</f>
        <v>0</v>
      </c>
      <c r="AL685" s="61" t="n">
        <f aca="false">IFERROR(IF(AND(AI685=1,OR(TRIM(U685)="Fail",AND(TRIM(AB685)&lt;&gt;"",TRIM(AB685)&lt;&gt;"Closed"),AND(ISNUMBER(AF685),AF685&lt;&gt;0,TRIM(U685)&lt;&gt;"Pass after CA"))),1,0),1)</f>
        <v>0</v>
      </c>
      <c r="AM685" s="61" t="n">
        <f aca="false">IF(LEFT(AH685,7)="INVALID",1,0)</f>
        <v>0</v>
      </c>
      <c r="AN685" s="61" t="n">
        <f aca="false">IF(AND(N685="Clarification required",AI685=1,AJ685=0),1,0)</f>
        <v>0</v>
      </c>
      <c r="AO685" s="61" t="str">
        <f aca="false">IF(AK685=1,SUM(AK$5:AK685),"")</f>
        <v/>
      </c>
      <c r="AP685" s="61" t="str">
        <f aca="false">IF(AL685=1,SUM(AL$5:AL685),"")</f>
        <v/>
      </c>
      <c r="AQ685" s="61" t="n">
        <v>0</v>
      </c>
      <c r="AR685" s="61" t="n">
        <v>0</v>
      </c>
      <c r="AS685" s="61" t="n">
        <v>0</v>
      </c>
      <c r="AT685" s="61" t="n">
        <v>0</v>
      </c>
      <c r="AU685" s="61" t="str">
        <f aca="false">SUBSTITUTE(SUBSTITUTE(SUBSTITUTE(SUBSTITUTE(SUBSTITUTE(SUBSTITUTE(SUBSTITUTE(SUBSTITUTE(SUBSTITUTE(SUBSTITUTE(SUBSTITUTE(SUBSTITUTE(SUBSTITUTE(SUBSTITUTE(SUBSTITUTE(SUBSTITUTE(LOWER(T685&amp;""),CHAR(10),""),CHAR(13),""),CHAR(9),""),CHAR(160),"")," ",""),".",""),"-",""),"/",""),"?",""),"_",""),",",""),"[",""),"]",""),"(",""),")",""),"*","")</f>
        <v/>
      </c>
      <c r="AV685" s="61" t="str">
        <f aca="false">SUBSTITUTE(SUBSTITUTE(SUBSTITUTE(SUBSTITUTE(SUBSTITUTE(SUBSTITUTE(SUBSTITUTE(SUBSTITUTE(SUBSTITUTE(SUBSTITUTE(SUBSTITUTE(SUBSTITUTE(SUBSTITUTE(SUBSTITUTE(SUBSTITUTE(SUBSTITUTE(LOWER(V685&amp;""),CHAR(10),""),CHAR(13),""),CHAR(9),""),CHAR(160),"")," ",""),".",""),"-",""),"/",""),"?",""),"_",""),",",""),"[",""),"]",""),"(",""),")",""),"*","")</f>
        <v/>
      </c>
      <c r="AW685" s="61" t="str">
        <f aca="false">SUBSTITUTE(SUBSTITUTE(SUBSTITUTE(SUBSTITUTE(SUBSTITUTE(SUBSTITUTE(SUBSTITUTE(SUBSTITUTE(SUBSTITUTE(SUBSTITUTE(SUBSTITUTE(SUBSTITUTE(SUBSTITUTE(SUBSTITUTE(SUBSTITUTE(SUBSTITUTE(LOWER(Z685&amp;""),CHAR(10),""),CHAR(13),""),CHAR(9),""),CHAR(160),"")," ",""),".",""),"-",""),"/",""),"?",""),"_",""),",",""),"[",""),"]",""),"(",""),")",""),"*","")</f>
        <v/>
      </c>
      <c r="AX685" s="61" t="str">
        <f aca="false">SUBSTITUTE(SUBSTITUTE(SUBSTITUTE(SUBSTITUTE(SUBSTITUTE(SUBSTITUTE(SUBSTITUTE(SUBSTITUTE(SUBSTITUTE(SUBSTITUTE(SUBSTITUTE(SUBSTITUTE(SUBSTITUTE(SUBSTITUTE(SUBSTITUTE(SUBSTITUTE(LOWER(AE685&amp;""),CHAR(10),""),CHAR(13),""),CHAR(9),""),CHAR(160),"")," ",""),".",""),"-",""),"/",""),"?",""),"_",""),",",""),"[",""),"]",""),"(",""),")",""),"*","")</f>
        <v/>
      </c>
      <c r="AY685" s="61" t="str">
        <f aca="false">SUBSTITUTE(SUBSTITUTE(SUBSTITUTE(SUBSTITUTE(SUBSTITUTE(SUBSTITUTE(SUBSTITUTE(SUBSTITUTE(SUBSTITUTE(SUBSTITUTE(SUBSTITUTE(SUBSTITUTE(SUBSTITUTE(SUBSTITUTE(SUBSTITUTE(SUBSTITUTE(LOWER(W685&amp;""),CHAR(10),""),CHAR(13),""),CHAR(9),""),CHAR(160),"")," ",""),".",""),"-",""),"/",""),"?",""),"_",""),",",""),"[",""),"]",""),"(",""),")",""),"*","")</f>
        <v/>
      </c>
      <c r="AZ685" s="61" t="str">
        <f aca="false">SUBSTITUTE(SUBSTITUTE(SUBSTITUTE(SUBSTITUTE(SUBSTITUTE(SUBSTITUTE(SUBSTITUTE(SUBSTITUTE(SUBSTITUTE(SUBSTITUTE(SUBSTITUTE(SUBSTITUTE(SUBSTITUTE(SUBSTITUTE(SUBSTITUTE(SUBSTITUTE(LOWER(AC685&amp;""),CHAR(10),""),CHAR(13),""),CHAR(9),""),CHAR(160),"")," ",""),".",""),"-",""),"/",""),"?",""),"_",""),",",""),"[",""),"]",""),"(",""),")",""),"*","")</f>
        <v/>
      </c>
      <c r="BA685" s="61" t="str">
        <f aca="false">SUBSTITUTE(SUBSTITUTE(SUBSTITUTE(SUBSTITUTE(SUBSTITUTE(SUBSTITUTE(SUBSTITUTE(SUBSTITUTE(SUBSTITUTE(SUBSTITUTE(SUBSTITUTE(SUBSTITUTE(SUBSTITUTE(SUBSTITUTE(SUBSTITUTE(SUBSTITUTE(LOWER(AA685&amp;""),CHAR(10),""),CHAR(13),""),CHAR(9),""),CHAR(160),"")," ",""),".",""),"-",""),"/",""),"?",""),"_",""),",",""),"[",""),"]",""),"(",""),")",""),"*","")</f>
        <v/>
      </c>
      <c r="BB685" s="61" t="str">
        <f aca="false">IF(AND(TRIM(U685)="Pass",ISNUMBER(AF685)),IF(AF685&lt;&gt;0,"INVALID – qty variance: use Fail or Pass after CA",""),"")&amp;IF(AND(TRIM(U685)="Pass after CA",ISNUMBER(AF685)),IF(AF685&lt;&gt;0,"INVALID – after the corrective action the actual qty must equal expected (update Actual)",""),"")&amp;IF(AND(TRIM(U685)="Pass",TRIM(AB685)&lt;&gt;"",TRIM(AB685)&lt;&gt;"Closed"),"INVALID – corrective action not closed: use Fail, then Pass after CA","")&amp;IF(AND(LEN(BA685)&gt;=2,ISNA(MATCH(LEFT(BA685,255),L_Placeholder,0)),TRIM(AB685)=""),"INVALID – CA status missing for the recorded corrective action","")&amp;IF(AND(TRIM(U685)="Pass after CA",OR(OR(LEN(BA685)&lt;5,ISNUMBER(MATCH(BA685,L_Placeholder,0))),TRIM(AB685)&lt;&gt;"Closed")),"INVALID – corrective action not recorded/closed","")</f>
        <v/>
      </c>
      <c r="BC685" s="61" t="str">
        <f aca="false">" "&amp;TRIM(SUBSTITUTE(SUBSTITUTE(SUBSTITUTE(SUBSTITUTE(SUBSTITUTE(SUBSTITUTE(SUBSTITUTE(SUBSTITUTE(SUBSTITUTE(SUBSTITUTE(SUBSTITUTE(SUBSTITUTE(SUBSTITUTE(SUBSTITUTE(SUBSTITUTE(SUBSTITUTE(SUBSTITUTE(SUBSTITUTE(SUBSTITUTE(SUBSTITUTE(SUBSTITUTE(SUBSTITUTE(SUBSTITUTE(SUBSTITUTE(LOWER(V685&amp;""),CHAR(10)," "),CHAR(13)," "),CHAR(9)," "),CHAR(160)," "),"."," "),","," "),"-"," "),"/"," "),"("," "),")"," "),":"," "),";"," "),"_"," "),"–"," "),"?"," "),"!"," "),"*"," "),"["," "),"]"," "),"'"," "),"#"," "),"+"," "),"&amp;"," "),"\"," "))&amp;" "</f>
        <v>  </v>
      </c>
      <c r="BD685" s="61" t="str">
        <f aca="false">" "&amp;TRIM(SUBSTITUTE(SUBSTITUTE(SUBSTITUTE(SUBSTITUTE(SUBSTITUTE(SUBSTITUTE(SUBSTITUTE(SUBSTITUTE(SUBSTITUTE(SUBSTITUTE(SUBSTITUTE(SUBSTITUTE(SUBSTITUTE(SUBSTITUTE(SUBSTITUTE(SUBSTITUTE(SUBSTITUTE(SUBSTITUTE(SUBSTITUTE(SUBSTITUTE(SUBSTITUTE(SUBSTITUTE(SUBSTITUTE(SUBSTITUTE(LOWER(Z685&amp;""),CHAR(10)," "),CHAR(13)," "),CHAR(9)," "),CHAR(160)," "),"."," "),","," "),"-"," "),"/"," "),"("," "),")"," "),":"," "),";"," "),"_"," "),"–"," "),"?"," "),"!"," "),"*"," "),"["," "),"]"," "),"'"," "),"#"," "),"+"," "),"&amp;"," "),"\"," "))&amp;" "</f>
        <v>  </v>
      </c>
      <c r="BE685" s="61" t="str">
        <f aca="false">" "&amp;TRIM(SUBSTITUTE(SUBSTITUTE(SUBSTITUTE(SUBSTITUTE(SUBSTITUTE(SUBSTITUTE(SUBSTITUTE(SUBSTITUTE(SUBSTITUTE(SUBSTITUTE(SUBSTITUTE(SUBSTITUTE(SUBSTITUTE(SUBSTITUTE(SUBSTITUTE(SUBSTITUTE(SUBSTITUTE(SUBSTITUTE(SUBSTITUTE(SUBSTITUTE(SUBSTITUTE(SUBSTITUTE(SUBSTITUTE(SUBSTITUTE(LOWER(W685&amp;""),CHAR(10)," "),CHAR(13)," "),CHAR(9)," "),CHAR(160)," "),"."," "),","," "),"-"," "),"/"," "),"("," "),")"," "),":"," "),";"," "),"_"," "),"–"," "),"?"," "),"!"," "),"*"," "),"["," "),"]"," "),"'"," "),"#"," "),"+"," "),"&amp;"," "),"\"," "))&amp;" "</f>
        <v>  </v>
      </c>
      <c r="BF685" s="61" t="str">
        <f aca="false">" "&amp;TRIM(SUBSTITUTE(SUBSTITUTE(SUBSTITUTE(SUBSTITUTE(SUBSTITUTE(SUBSTITUTE(SUBSTITUTE(SUBSTITUTE(SUBSTITUTE(SUBSTITUTE(SUBSTITUTE(SUBSTITUTE(SUBSTITUTE(SUBSTITUTE(SUBSTITUTE(SUBSTITUTE(SUBSTITUTE(SUBSTITUTE(SUBSTITUTE(SUBSTITUTE(SUBSTITUTE(SUBSTITUTE(SUBSTITUTE(SUBSTITUTE(LOWER(AC685&amp;""),CHAR(10)," "),CHAR(13)," "),CHAR(9)," "),CHAR(160)," "),"."," "),","," "),"-"," "),"/"," "),"("," "),")"," "),":"," "),";"," "),"_"," "),"–"," "),"?"," "),"!"," "),"*"," "),"["," "),"]"," "),"'"," "),"#"," "),"+"," "),"&amp;"," "),"\"," "))&amp;" "</f>
        <v>  </v>
      </c>
      <c r="BG685" s="61" t="n">
        <f aca="false">IFERROR(IF(AND(TRIM(U685)="Pass",SUMPRODUCT((LEN(BC685)-LEN(SUBSTITUTE(BC685," "&amp;L_ResultBad&amp;" "," ")))/(LEN(L_ResultBad)+1))&gt;SUMPRODUCT((LEN(BC685)-LEN(SUBSTITUTE(BC685," "&amp;L_NegPhrase&amp;" "," ")))/(LEN(L_NegPhrase)+1))),1,0),0)</f>
        <v>0</v>
      </c>
      <c r="BH685" s="61" t="n">
        <f aca="false">IFERROR(IF(SUMPRODUCT((LEN(BC685)-LEN(SUBSTITUTE(BC685," "&amp;L_Pending&amp;" "," ")))/(LEN(L_Pending)+1))&gt;SUMPRODUCT((LEN(BC685)-LEN(SUBSTITUTE(BC685," "&amp;L_PendNeg&amp;" "," ")))/(LEN(L_PendNeg)+1))+SUMPRODUCT((LEN(BC685)-LEN(SUBSTITUTE(BC685," "&amp;L_PendPrep&amp;" "," ")))/(LEN(L_PendPrep)+1)),1,0),1)</f>
        <v>0</v>
      </c>
      <c r="BI685" s="61" t="n">
        <f aca="false">IFERROR(IF(SUMPRODUCT((LEN(BD685)-LEN(SUBSTITUTE(BD685," "&amp;L_PendStrict&amp;" "," ")))/(LEN(L_PendStrict)+1))&gt;SUMPRODUCT((LEN(BD685)-LEN(SUBSTITUTE(BD685," "&amp;L_PendNeg&amp;" "," ")))/(LEN(L_PendNeg)+1)),1,0),1)</f>
        <v>0</v>
      </c>
      <c r="BJ685" s="61" t="n">
        <f aca="false">IFERROR(IF(SUMPRODUCT((LEN(BE685)-LEN(SUBSTITUTE(BE685," "&amp;L_Pending&amp;" "," ")))/(LEN(L_Pending)+1))&gt;SUMPRODUCT((LEN(BE685)-LEN(SUBSTITUTE(BE685," "&amp;L_PendNeg&amp;" "," ")))/(LEN(L_PendNeg)+1))+SUMPRODUCT((LEN(BE685)-LEN(SUBSTITUTE(BE685," "&amp;L_PendPrep&amp;" "," ")))/(LEN(L_PendPrep)+1)),1,0),1)</f>
        <v>0</v>
      </c>
      <c r="BK685" s="61" t="n">
        <f aca="false">IFERROR(IF(SUMPRODUCT((LEN(BF685)-LEN(SUBSTITUTE(BF685," "&amp;L_PendStrict&amp;" "," ")))/(LEN(L_PendStrict)+1))&gt;SUMPRODUCT((LEN(BF685)-LEN(SUBSTITUTE(BF685," "&amp;L_PendNeg&amp;" "," ")))/(LEN(L_PendNeg)+1)),1,0),1)</f>
        <v>0</v>
      </c>
      <c r="BL685" s="61" t="n">
        <f aca="false">IF(ISNA(MATCH(TRIM(S685),L_EvidenceType,0)),0,BZ685)</f>
        <v>0</v>
      </c>
      <c r="BM685" s="61" t="str">
        <f aca="false">SUBSTITUTE(SUBSTITUTE(SUBSTITUTE(SUBSTITUTE(SUBSTITUTE(SUBSTITUTE(SUBSTITUTE(SUBSTITUTE(SUBSTITUTE(LOWER(Z685&amp;""),"1","0"),"2","0"),"3","0"),"4","0"),"5","0"),"6","0"),"7","0"),"8","0"),"9","0")</f>
        <v/>
      </c>
      <c r="BN685" s="61" t="str">
        <f aca="false">SUBSTITUTE(SUBSTITUTE(SUBSTITUTE(SUBSTITUTE(SUBSTITUTE(SUBSTITUTE(SUBSTITUTE(SUBSTITUTE(SUBSTITUTE(SUBSTITUTE(SUBSTITUTE(SUBSTITUTE(SUBSTITUTE(SUBSTITUTE(SUBSTITUTE(SUBSTITUTE(SUBSTITUTE(SUBSTITUTE(SUBSTITUTE(SUBSTITUTE(SUBSTITUTE(SUBSTITUTE(SUBSTITUTE(SUBSTITUTE(SUBSTITUTE(BM685,"b","a"),"c","a"),"d","a"),"e","a"),"f","a"),"g","a"),"h","a"),"i","a"),"j","a"),"k","a"),"l","a"),"m","a"),"n","a"),"o","a"),"p","a"),"q","a"),"r","a"),"s","a"),"t","a"),"u","a"),"v","a"),"w","a"),"x","a"),"y","a"),"z","a")</f>
        <v/>
      </c>
      <c r="BO685" s="61" t="str">
        <f aca="false">SUBSTITUTE(SUBSTITUTE(SUBSTITUTE(SUBSTITUTE(SUBSTITUTE(SUBSTITUTE(SUBSTITUTE(SUBSTITUTE(SUBSTITUTE(LOWER(W685&amp;""),"1","0"),"2","0"),"3","0"),"4","0"),"5","0"),"6","0"),"7","0"),"8","0"),"9","0")</f>
        <v/>
      </c>
      <c r="BP685" s="61" t="str">
        <f aca="false">SUBSTITUTE(SUBSTITUTE(SUBSTITUTE(SUBSTITUTE(SUBSTITUTE(SUBSTITUTE(SUBSTITUTE(SUBSTITUTE(SUBSTITUTE(SUBSTITUTE(SUBSTITUTE(SUBSTITUTE(SUBSTITUTE(SUBSTITUTE(SUBSTITUTE(SUBSTITUTE(SUBSTITUTE(SUBSTITUTE(SUBSTITUTE(SUBSTITUTE(SUBSTITUTE(SUBSTITUTE(SUBSTITUTE(SUBSTITUTE(SUBSTITUTE(BO685,"b","a"),"c","a"),"d","a"),"e","a"),"f","a"),"g","a"),"h","a"),"i","a"),"j","a"),"k","a"),"l","a"),"m","a"),"n","a"),"o","a"),"p","a"),"q","a"),"r","a"),"s","a"),"t","a"),"u","a"),"v","a"),"w","a"),"x","a"),"y","a"),"z","a")</f>
        <v/>
      </c>
      <c r="BQ685" s="61" t="n">
        <f aca="false">IFERROR(IF(AND(ISERROR(SEARCH(" mh"," "&amp;LOWER(W685))),ISNA(MATCH(LEFT(TRIM(BP685),255),{"0000a","000a","00a","0000aa","000aa","00aa","0aa","0000aaa","000aaa","00a00","0a00","0000-0000","00:00","a00","a0","00.00.0000","00/00/0000","00-00-0000","0000-00-00","0000/00/00","0000.00.00","00.00.00","00/00/00","00-00-00","0.00.0000","0/00/0000","0-00-0000"},0)),ISNA(MATCH(LEFT(TRIM(CA685),255),{"0000a","000a","00a","0000aa","000aa","00aa","0aa","0000aaa","000aaa","00a00","0a00","0000-0000","00:00","a00","a0","00.00.0000","00/00/0000","00-00-0000","0000-00-00","0000/00/00","0000.00.00","00.00.00","00/00/00","00-00-00","0.00.0000","0/00/0000","0-00-0000"},0)),LEN(CB685)&gt;=3,NOT(OR(SUBSTITUTE(CB685,"0","")="",AND(LEN(CB685)&gt;=4,CB685=REPT(LEFT(CB685),LEN(CB685))),ISNUMBER(MATCH(CB685,{"123","1234","12345","123456","1234567","12345678","0123","01234","012345","98765","987654","54321"},0)),AND(LEN(CB685)=8,LEFT(CB685,3)="202"))),OR(AND((LEN(CA685)-LEN(SUBSTITUTE(CA685,"a","")))&gt;=1,SUMPRODUCT(--ISNUMBER(SEARCH({"a0","a-0","a_0","a/0","a.0","a#0","0a","0-a","0_a","0/a"},BP685)))&gt;0),ISNUMBER(SEARCH("000000",BP685)))),1,0),0)</f>
        <v>0</v>
      </c>
      <c r="BR685" s="61" t="n">
        <f aca="false">IFERROR(LEN(SUBSTITUTE(CC685," ",""))-SUMPRODUCT((LEN(CC685)-LEN(SUBSTITUTE(CC685," "&amp;L_Role&amp;" "," ")))/(LEN(L_Role)+1)*LEN(L_Role)),0)</f>
        <v>0</v>
      </c>
      <c r="BS685" s="61" t="n">
        <f aca="false">IFERROR(LEN(SUBSTITUTE(CD685," ",""))-SUMPRODUCT((LEN(CD685)-LEN(SUBSTITUTE(CD685," "&amp;L_Role&amp;" "," ")))/(LEN(L_Role)+1)*LEN(L_Role)),0)</f>
        <v>0</v>
      </c>
      <c r="BT6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685,"revision",""),"version",""),"jan",""),"feb",""),"mar",""),"apr",""),"may",""),"jun",""),"jul",""),"aug",""),"sep",""),"oct",""),"nov",""),"dec",""),"utc",""),"gmt",""),"myt",""),"bst",""),"rev",""),"ver",""),"b","a"),"c","a"),"d","a"),"e","a"),"f","a"),"g","a"),"h","a"),"i","a"),"j","a"),"k","a"),"l","a"),"m","a"),"n","a"),"o","a"),"p","a"),"q","a"),"r","a"),"s","a"),"t","a"),"u","a"),"v","a"),"w","a"),"x","a"),"y","a"),"z","a")</f>
        <v/>
      </c>
      <c r="BU685" s="61" t="str">
        <f aca="false">SUBSTITUTE(SUBSTITUTE(SUBSTITUTE(SUBSTITUTE(SUBSTITUTE(SUBSTITUTE(SUBSTITUTE(SUBSTITUTE(SUBSTITUTE(SUBSTITUTE(LEFT(BM685,FIND("0",BM685&amp;"0")-1),"-",""),"_",""),"/",""),".",""),"#",""),"\\",""),":","")," ",""),"(",""),")","")</f>
        <v/>
      </c>
      <c r="BV685" s="61" t="n">
        <f aca="false">0</f>
        <v>0</v>
      </c>
      <c r="BW68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685&amp;""),"a",""),"b",""),"c",""),"d",""),"e",""),"f",""),"g",""),"h",""),"i",""),"j",""),"k",""),"l",""),"m",""),"n",""),"o",""),"p",""),"q",""),"r",""),"s",""),"t",""),"u",""),"v",""),"w",""),"x",""),"y",""),"z",""),"-",""),"_",""),"/",""),".",""),"#",""),"\\",""),":","")," ",""),"(",""),")","")</f>
        <v/>
      </c>
      <c r="BX685" s="61" t="str">
        <f aca="false">SUBSTITUTE(SUBSTITUTE(SUBSTITUTE(SUBSTITUTE(SUBSTITUTE(SUBSTITUTE(SUBSTITUTE(SUBSTITUTE(SUBSTITUTE(SUBSTITUTE(SUBSTITUTE(BM685,"0",""),"-",""),"_",""),"/",""),".",""),"#",""),"\\",""),":","")," ",""),"(",""),")","")</f>
        <v/>
      </c>
      <c r="BY685" s="62" t="n">
        <f aca="false">Q685-T12EarlyH/24</f>
        <v>46323.6875</v>
      </c>
      <c r="BZ685" s="61" t="n">
        <f aca="false">IFERROR(IF(IF(TRIM(S685)="Link / file path",AND(LEN(TRIM(Z685))&gt;=5,SUMPRODUCT(--ISNUMBER(SEARCH({"http","www.","\\",":\",".pdf",".jpg",".jpeg",".png",".heic",".xls",".doc",".msg",".eml",".ppt",".txt",".zip"},Z685)))&gt;0),AND(ISERROR(FIND(" ",TRIM(Z685))),NOT(OR(SUMPRODUCT(--ISNUMBER(FIND({",",";","&amp;","+"},Z685)))&gt;0,SUMPRODUCT(--ISNUMBER(SEARCH({"0/aa","0\\aa"},BN685)))&gt;0)),NOT(SUMPRODUCT(--ISNUMBER(SEARCH({"http","www.","\\",":\",".pdf",".jpg",".jpeg",".png",".heic",".xls",".doc",".msg",".eml",".ppt",".txt",".zip"},Z685)))&gt;0),NOT(LOWER(TRIM(Z685))=LOWER(Flights!$F$25)),ISNA(MATCH(BU685,{"mh","rev","revision","ver","version","v","r","a","b","seat","tray","row","gate","bay","stand","page","pg","item","line","no","cart","galley","flight","flt","table","box","bag","oven","etd","eta","std","sta","atd","ata","qty","pax","x","time","tel","ph","mob","day","wk","week","utc","gmt","myt","lt"},0)),NOT(OR(ISNUMBER(MATCH(LEFT(BN685,255),{"0000a","000a","00a","0000aa","000aa","00aa","0aa","0000aaa","000aaa","00a00","0a00","0000-0000","00:00","a00","a0","00.00.0000","00/00/0000","00-00-0000","0000-00-00","0000/00/00","0000.00.00","00.00.00","00/00/00","00-00-00","0.00.0000","0/00/0000","0-00-0000"},0)),ISNUMBER(MATCH(LEFT(BT685,255),{"0000a","000a","00a","0000aa","000aa","00aa","0aa","0000aaa","000aaa","00a00","0a00","0000-0000","00:00","a00","a0","00.00.0000","00/00/0000","00-00-0000","0000-00-00","0000/00/00","0000.00.00","00.00.00","00/00/00","00-00-00","0.00.0000","0/00/0000","0-00-0000"},0)))),NOT(OR(AND(BW685&lt;&gt;"",SUBSTITUTE(BW685,"0","")=""),AND(LEN(BW685)&gt;=4,BW685=REPT(LEFT(BW685),LEN(BW685))),ISNUMBER(MATCH(BW685,{"123","1234","12345","123456","1234567","12345678","0123","01234","012345","98765","987654","54321"},0)),ISNUMBER(MATCH(BX685,{"x","xx","xxx","xxxx","xxxxx","abc","abcd","nil","na","nan","test","tbc","tba","tbd","dummy","sample","example","eg","zz","zzz","none","null","xyz","qwe","asd","id","ref"},0)),AND(LEN(BW685)=8,BX685="",OR(LEFT(BW685,3)="202",ISNUMBER(MATCH(RIGHT(BW685,4),{"2025","2026","2027"},0)))))),OR(AND((LEN(BT685)-LEN(SUBSTITUTE(BT685,"a","")))&gt;=1,(LEN(BN685)-LEN(SUBSTITUTE(BN685,"0","")))&gt;=2,SUMPRODUCT(--ISNUMBER(SEARCH({"a0","a-0","a_0","a/0","a.0","a#0","0a","0-a","0_a","0/a"},BN685)))&gt;0),AND((LEN(BN685)-LEN(SUBSTITUTE(BN685,"a","")))=0,(LEN(BN685)-LEN(SUBSTITUTE(BN685,"0","")))&gt;=5)))),1,0),0)</f>
        <v>0</v>
      </c>
      <c r="CA6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685,"revision",""),"version",""),"jan",""),"feb",""),"mar",""),"apr",""),"may",""),"jun",""),"jul",""),"aug",""),"sep",""),"oct",""),"nov",""),"dec",""),"utc",""),"gmt",""),"myt",""),"bst",""),"rev",""),"ver",""),"b","a"),"c","a"),"d","a"),"e","a"),"f","a"),"g","a"),"h","a"),"i","a"),"j","a"),"k","a"),"l","a"),"m","a"),"n","a"),"o","a"),"p","a"),"q","a"),"r","a"),"s","a"),"t","a"),"u","a"),"v","a"),"w","a"),"x","a"),"y","a"),"z","a")</f>
        <v/>
      </c>
      <c r="CB68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685&amp;""),"a",""),"b",""),"c",""),"d",""),"e",""),"f",""),"g",""),"h",""),"i",""),"j",""),"k",""),"l",""),"m",""),"n",""),"o",""),"p",""),"q",""),"r",""),"s",""),"t",""),"u",""),"v",""),"w",""),"x",""),"y",""),"z",""),"-",""),"_",""),"/",""),".",""),"#",""),"\\",""),":","")," ",""),"(",""),")","")</f>
        <v/>
      </c>
      <c r="CC685" s="0" t="str">
        <f aca="false">" "&amp;TRIM(SUBSTITUTE(SUBSTITUTE(SUBSTITUTE(SUBSTITUTE(SUBSTITUTE(SUBSTITUTE(SUBSTITUTE(SUBSTITUTE(SUBSTITUTE(SUBSTITUTE(SUBSTITUTE(SUBSTITUTE(SUBSTITUTE(SUBSTITUTE(SUBSTITUTE(SUBSTITUTE(SUBSTITUTE(SUBSTITUTE(SUBSTITUTE(SUBSTITUTE(SUBSTITUTE(SUBSTITUTE(SUBSTITUTE(SUBSTITUTE(LOWER(T685&amp;""),CHAR(10)," "),CHAR(13)," "),CHAR(9)," "),CHAR(160)," "),"."," "),","," "),"-"," "),"/"," "),"("," "),")"," "),":"," "),";"," "),"_"," "),"–"," "),"?"," "),"!"," "),"*"," "),"["," "),"]"," "),"'"," "),"#"," "),"+"," "),"&amp;"," "),"\"," "))&amp;" "</f>
        <v>  </v>
      </c>
      <c r="CD685" s="0" t="str">
        <f aca="false">" "&amp;TRIM(SUBSTITUTE(SUBSTITUTE(SUBSTITUTE(SUBSTITUTE(SUBSTITUTE(SUBSTITUTE(SUBSTITUTE(SUBSTITUTE(SUBSTITUTE(SUBSTITUTE(SUBSTITUTE(SUBSTITUTE(SUBSTITUTE(SUBSTITUTE(SUBSTITUTE(SUBSTITUTE(SUBSTITUTE(SUBSTITUTE(SUBSTITUTE(SUBSTITUTE(SUBSTITUTE(SUBSTITUTE(SUBSTITUTE(SUBSTITUTE(LOWER(AE685&amp;""),CHAR(10)," "),CHAR(13)," "),CHAR(9)," "),CHAR(160)," "),"."," "),","," "),"-"," "),"/"," "),"("," "),")"," "),":"," "),";"," "),"_"," "),"–"," "),"?"," "),"!"," "),"*"," "),"["," "),"]"," "),"'"," "),"#"," "),"+"," "),"&amp;"," "),"\"," "))&amp;" "</f>
        <v>  </v>
      </c>
      <c r="CE685" s="68" t="n">
        <f aca="false">IFERROR(IF(AND(LEN(AU685)&gt;0,LEN(AU685)=LEN(AX685),OR(TRIM(MID(SUBSTITUTE(TRIM(CC685)," ",REPT(" ",60)),1,60))="",ISNUMBER(SEARCH(" "&amp;TRIM(MID(SUBSTITUTE(TRIM(CC685)," ",REPT(" ",60)),1,60))&amp;" ",CD685))),OR(TRIM(MID(SUBSTITUTE(TRIM(CC685)," ",REPT(" ",60)),61,60))="",ISNUMBER(SEARCH(" "&amp;TRIM(MID(SUBSTITUTE(TRIM(CC685)," ",REPT(" ",60)),61,60))&amp;" ",CD685))),OR(TRIM(MID(SUBSTITUTE(TRIM(CC685)," ",REPT(" ",60)),121,60))="",ISNUMBER(SEARCH(" "&amp;TRIM(MID(SUBSTITUTE(TRIM(CC685)," ",REPT(" ",60)),121,60))&amp;" ",CD685)))),1,0),0)</f>
        <v>0</v>
      </c>
      <c r="CG685" s="68" t="n">
        <f aca="false">IFERROR(LEN(SUBSTITUTE(BF685," ",""))-SUMPRODUCT((LEN(BF685)-LEN(SUBSTITUTE(BF685," "&amp;L_NAFiller&amp;" "," ")))/(LEN(L_NAFiller)+1)*LEN(L_NAFiller)),0)</f>
        <v>0</v>
      </c>
    </row>
    <row r="686" customFormat="false" ht="66" hidden="false" customHeight="true" outlineLevel="0" collapsed="false">
      <c r="A686" s="57" t="s">
        <v>1412</v>
      </c>
      <c r="B686" s="57" t="s">
        <v>310</v>
      </c>
      <c r="C686" s="57" t="str">
        <f aca="false">Flights!$F$25</f>
        <v>MH1437</v>
      </c>
      <c r="D686" s="58" t="n">
        <f aca="false">Flights!$D$25</f>
        <v>46325</v>
      </c>
      <c r="E686" s="57" t="str">
        <f aca="false">Flights!$G$25&amp;"-"&amp;Flights!$H$25</f>
        <v>LGK-KUL</v>
      </c>
      <c r="F686" s="57" t="str">
        <f aca="false">Flights!$K$25</f>
        <v>BC</v>
      </c>
      <c r="G686" s="57" t="s">
        <v>420</v>
      </c>
      <c r="H686" s="57" t="s">
        <v>378</v>
      </c>
      <c r="I686" s="57" t="s">
        <v>499</v>
      </c>
      <c r="J686" s="57" t="s">
        <v>508</v>
      </c>
      <c r="K686" s="67" t="s">
        <v>501</v>
      </c>
      <c r="L686" s="67" t="s">
        <v>1413</v>
      </c>
      <c r="M686" s="67" t="s">
        <v>451</v>
      </c>
      <c r="N686" s="67" t="s">
        <v>383</v>
      </c>
      <c r="O686" s="67" t="s">
        <v>984</v>
      </c>
      <c r="P686" s="57" t="s">
        <v>187</v>
      </c>
      <c r="Q686" s="59" t="n">
        <f aca="false">ROUND((MIN(Flights!$AE$25,Flights!$AY$25))*1440,0)/1440</f>
        <v>46324.1875</v>
      </c>
      <c r="R686" s="59" t="n">
        <f aca="false">Q686+(IF(AND(INDEX(TZ_DSTS,MATCH(P686,TZ_STN,0))&lt;&gt;"",Q686&gt;=INDEX(TZ_DSTS,MATCH(P686,TZ_STN,0)),Q686&lt;INDEX(TZ_DSTE,MATCH(P686,TZ_STN,0))),INDEX(TZ_DST,MATCH(P686,TZ_STN,0)),INDEX(TZ_STD,MATCH(P686,TZ_STN,0))))/24</f>
        <v>46324.5208333333</v>
      </c>
      <c r="S686" s="60"/>
      <c r="T686" s="60"/>
      <c r="U686" s="60"/>
      <c r="V686" s="60"/>
      <c r="W686" s="61"/>
      <c r="X686" s="60"/>
      <c r="Y686" s="60"/>
      <c r="Z686" s="60"/>
      <c r="AA686" s="60"/>
      <c r="AB686" s="60"/>
      <c r="AC686" s="60"/>
      <c r="AD686" s="66"/>
      <c r="AE686" s="60"/>
      <c r="AF686" s="61" t="str">
        <f aca="false">IF(AND(ISNUMBER(X686),ISNUMBER(Y686)),Y686-X686,"")</f>
        <v/>
      </c>
      <c r="AG686" s="62" t="str">
        <f aca="false">IF(ISNUMBER(AD686),AD686-(IF(AND(INDEX(TZ_DSTS,MATCH(P686,TZ_STN,0))&lt;&gt;"",(AD686-INDEX(TZ_STD,MATCH(P686,TZ_STN,0))/24)&gt;=INDEX(TZ_DSTS,MATCH(P686,TZ_STN,0)),(AD686-INDEX(TZ_STD,MATCH(P686,TZ_STN,0))/24)&lt;INDEX(TZ_DSTE,MATCH(P686,TZ_STN,0))),INDEX(TZ_DST,MATCH(P686,TZ_STN,0)),INDEX(TZ_STD,MATCH(P686,TZ_STN,0))))/24,"")</f>
        <v/>
      </c>
      <c r="AH686" s="65" t="str">
        <f aca="false">IFERROR(IF(N686="N/A – rule",IF(OR(TRIM(U686)="",TRIM(U686)="N/A",TRIM(U686)="Not started"),"N/A – RULE","INVALID – this check does not apply to this aircraft: clear the status (or correct the fleet on Flights)"),IF(TRIM(U686)="N/A",IF(AT686=0,"INVALID – N/A not permitted for this check",IF(AND(TRIM(AB686)&lt;&gt;"",TRIM(AB686)&lt;&gt;"Closed"),"INVALID – corrective action still open",IF(AND(NOT(OR(LEN(AZ686)&lt;15,ISNUMBER(MATCH(AZ686,L_Placeholder,0)))),BK686=0,CG686&gt;=8,NOT(OR(LEN(AU686)&lt;2,ISNUMBER(MATCH(AU686,L_Placeholder,0)))),BR686&gt;=3,NOT(OR(LEN(AX686)&lt;2,ISNUMBER(MATCH(AX686,L_Placeholder,0)))),BS686&gt;=3,TRIM(AE686)&lt;&gt;TRIM(T686),AX686&lt;&gt;AU686,CE686=0),"N/A – JUSTIFIED","INVALID – N/A needs a real, settled reason (not 'not applicable' / 'as above' / TBC), a named PIC and a different named verifier"))),IF(OR(TRIM(U686)="Pass",TRIM(U686)="Pass after CA"),IF(NOT(ISNUMBER(AD686)),"INVALID – completion time missing",IF(OR(OR(LEN(AU686)&lt;2,ISNUMBER(MATCH(AU686,L_Placeholder,0))),BR686&lt;3),"INVALID – PIC missing or not a named person (a role such as QA / CSM is not a name)",IF(OR(LEN(AV686)&lt;2,ISNUMBER(MATCH(AV686,L_Placeholder,0))),"INVALID – result / assessment missing",IF(OR(OR(LEN(AW686)&lt;3,ISNUMBER(MATCH(AW686,L_Placeholder,0))),SUMPRODUCT(--ISNUMBER(SEARCH(" "&amp;L_EvidencePhrase&amp;" ",BD686)))&gt;0,BI686=1),"INVALID – evidence missing, placeholder or not yet on file",IF(ISNA(MATCH(TRIM(S686),L_EvidenceType,0)),"INVALID – choose the evidence type from the list (column S)",IF(BL686=0,"INVALID – evidence ID must be the record's own ID only (e.g. SF-2210, IMG_2231, 1045521); a link / file name needs type 'Link / file path'",IF(OR(OR(LEN(AX686)&lt;2,ISNUMBER(MATCH(AX686,L_Placeholder,0))),BS686&lt;3),"INVALID – verifier missing or not a named person (a role such as QA / CSM is not a name)",IF(OR(AX686=AU686,CE686=1,AND(LEN(AU686)&gt;=4,ISNUMBER(SEARCH(AU686,AX686))),AND(LEN(AX686)&gt;=4,ISNUMBER(SEARCH(AX686,AU686)))),"INVALID – verifier must be a different, named person (not the PIC or a role)",IF(BH686=1,"INVALID – result not yet available (awaiting / TBC)",IF(BG686=1,"INVALID – result describes a problem: record Fail, then Pass after CA (or reword if it is not a problem)",IF(BV686=1,"INVALID – wording says not on board: an on-board confirmation needs the item loaded",IF(AND(AQ686=1,OR(OR(LEN(AY686)&lt;3,ISNUMBER(MATCH(AY686,L_Placeholder,0))),BJ686=1,BQ686=0)),"INVALID – batch ID missing, placeholder or not an ID (e.g. PASB-261008-BC-017)",IF(AND(AR686=1,OR(NOT(ISNUMBER(X686)),NOT(ISNUMBER(Y686)))),"INVALID – expected/actual qty missing",IF(AND(AR686=1,OR(X686&lt;=0,Y686&lt;0)),"INVALID – expected qty must be above 0 and actual not negative",IF(BB686&lt;&gt;"",BB686,IF(AND(AS686=1,Documents!$J$25&lt;&gt;"ON FILE"),"INVALID – GLD not on file (Documents sheet)",IF(AND(AS686=2,Documents!$O$25&lt;&gt;"ON FILE"),"INVALID – menu checklist not on file (Documents sheet)",IF(AND(AS686=3,NOT(ISNUMBER(Flights!$AX$25))),"INVALID – enter carrying flight KUL departure (Flights AX)",IF(AND(AS686=3,OR(Flights!$AZ$25&gt;Flights!$AA$25,Flights!$AX$25&lt;Flights!$AA$25-3)),"INVALID – carrying flight (Flights AX) cannot arrive before this leg's STD, or is over 3 days early",IF(AG686&gt;AsOfUTC,"INVALID – completion time is in the future",IF(AND(ISNUMBER(BY686),AG686&lt;BY686),IF(H686="Physical uplift","INVALID – before uplift window (cannot confirm loading)","INVALID – before valid window"),IF(AG686&gt;Flights!$AA$25,"INVALID – completed after departure (cannot establish readiness)",IF(AND(H686="Preparation",AG686&gt;=Flights!$AY$25+UpliftWindowH/24),"INVALID – completed after the carrying flight left KUL",IF(AND(H686="Physical uplift",AG686&gt;Q686),"INVALID – recorded after the loading flight departed",IF(AG686&gt;Q686,"COMPLETE – LATE","COMPLETE"))))))))))))))))))))))))),IF(TRIM(U686)="Fail","FAIL – DISCREPANCY",IF(AND(TRIM(U686)&lt;&gt;"",TRIM(U686)&lt;&gt;"Not started",TRIM(U686)&lt;&gt;"In progress"),"INVALID – unrecognised status (use the list)",IF(AsOfUTC&gt;Q686,"OVERDUE",IF(N686="Clarification required","OPEN – CLARIFICATION","OPEN"))))))),"INVALID – error value in an input cell")</f>
        <v>OPEN</v>
      </c>
      <c r="AI686" s="61" t="n">
        <f aca="false">IF(OR(AH686="N/A – RULE",AH686="N/A – JUSTIFIED"),0,1)</f>
        <v>1</v>
      </c>
      <c r="AJ686" s="61" t="n">
        <f aca="false">IF(LEFT(AH686,8)="COMPLETE",1,0)</f>
        <v>0</v>
      </c>
      <c r="AK686" s="61" t="n">
        <f aca="false">IF(AND(AI686=1,AJ686=0,AsOfUTC&gt;Q686),1,0)</f>
        <v>0</v>
      </c>
      <c r="AL686" s="61" t="n">
        <f aca="false">IFERROR(IF(AND(AI686=1,OR(TRIM(U686)="Fail",AND(TRIM(AB686)&lt;&gt;"",TRIM(AB686)&lt;&gt;"Closed"),AND(ISNUMBER(AF686),AF686&lt;&gt;0,TRIM(U686)&lt;&gt;"Pass after CA"))),1,0),1)</f>
        <v>0</v>
      </c>
      <c r="AM686" s="61" t="n">
        <f aca="false">IF(LEFT(AH686,7)="INVALID",1,0)</f>
        <v>0</v>
      </c>
      <c r="AN686" s="61" t="n">
        <f aca="false">IF(AND(N686="Clarification required",AI686=1,AJ686=0),1,0)</f>
        <v>0</v>
      </c>
      <c r="AO686" s="61" t="str">
        <f aca="false">IF(AK686=1,SUM(AK$5:AK686),"")</f>
        <v/>
      </c>
      <c r="AP686" s="61" t="str">
        <f aca="false">IF(AL686=1,SUM(AL$5:AL686),"")</f>
        <v/>
      </c>
      <c r="AQ686" s="61" t="n">
        <v>0</v>
      </c>
      <c r="AR686" s="61" t="n">
        <v>0</v>
      </c>
      <c r="AS686" s="61" t="n">
        <v>0</v>
      </c>
      <c r="AT686" s="61" t="n">
        <v>0</v>
      </c>
      <c r="AU686" s="61" t="str">
        <f aca="false">SUBSTITUTE(SUBSTITUTE(SUBSTITUTE(SUBSTITUTE(SUBSTITUTE(SUBSTITUTE(SUBSTITUTE(SUBSTITUTE(SUBSTITUTE(SUBSTITUTE(SUBSTITUTE(SUBSTITUTE(SUBSTITUTE(SUBSTITUTE(SUBSTITUTE(SUBSTITUTE(LOWER(T686&amp;""),CHAR(10),""),CHAR(13),""),CHAR(9),""),CHAR(160),"")," ",""),".",""),"-",""),"/",""),"?",""),"_",""),",",""),"[",""),"]",""),"(",""),")",""),"*","")</f>
        <v/>
      </c>
      <c r="AV686" s="61" t="str">
        <f aca="false">SUBSTITUTE(SUBSTITUTE(SUBSTITUTE(SUBSTITUTE(SUBSTITUTE(SUBSTITUTE(SUBSTITUTE(SUBSTITUTE(SUBSTITUTE(SUBSTITUTE(SUBSTITUTE(SUBSTITUTE(SUBSTITUTE(SUBSTITUTE(SUBSTITUTE(SUBSTITUTE(LOWER(V686&amp;""),CHAR(10),""),CHAR(13),""),CHAR(9),""),CHAR(160),"")," ",""),".",""),"-",""),"/",""),"?",""),"_",""),",",""),"[",""),"]",""),"(",""),")",""),"*","")</f>
        <v/>
      </c>
      <c r="AW686" s="61" t="str">
        <f aca="false">SUBSTITUTE(SUBSTITUTE(SUBSTITUTE(SUBSTITUTE(SUBSTITUTE(SUBSTITUTE(SUBSTITUTE(SUBSTITUTE(SUBSTITUTE(SUBSTITUTE(SUBSTITUTE(SUBSTITUTE(SUBSTITUTE(SUBSTITUTE(SUBSTITUTE(SUBSTITUTE(LOWER(Z686&amp;""),CHAR(10),""),CHAR(13),""),CHAR(9),""),CHAR(160),"")," ",""),".",""),"-",""),"/",""),"?",""),"_",""),",",""),"[",""),"]",""),"(",""),")",""),"*","")</f>
        <v/>
      </c>
      <c r="AX686" s="61" t="str">
        <f aca="false">SUBSTITUTE(SUBSTITUTE(SUBSTITUTE(SUBSTITUTE(SUBSTITUTE(SUBSTITUTE(SUBSTITUTE(SUBSTITUTE(SUBSTITUTE(SUBSTITUTE(SUBSTITUTE(SUBSTITUTE(SUBSTITUTE(SUBSTITUTE(SUBSTITUTE(SUBSTITUTE(LOWER(AE686&amp;""),CHAR(10),""),CHAR(13),""),CHAR(9),""),CHAR(160),"")," ",""),".",""),"-",""),"/",""),"?",""),"_",""),",",""),"[",""),"]",""),"(",""),")",""),"*","")</f>
        <v/>
      </c>
      <c r="AY686" s="61" t="str">
        <f aca="false">SUBSTITUTE(SUBSTITUTE(SUBSTITUTE(SUBSTITUTE(SUBSTITUTE(SUBSTITUTE(SUBSTITUTE(SUBSTITUTE(SUBSTITUTE(SUBSTITUTE(SUBSTITUTE(SUBSTITUTE(SUBSTITUTE(SUBSTITUTE(SUBSTITUTE(SUBSTITUTE(LOWER(W686&amp;""),CHAR(10),""),CHAR(13),""),CHAR(9),""),CHAR(160),"")," ",""),".",""),"-",""),"/",""),"?",""),"_",""),",",""),"[",""),"]",""),"(",""),")",""),"*","")</f>
        <v/>
      </c>
      <c r="AZ686" s="61" t="str">
        <f aca="false">SUBSTITUTE(SUBSTITUTE(SUBSTITUTE(SUBSTITUTE(SUBSTITUTE(SUBSTITUTE(SUBSTITUTE(SUBSTITUTE(SUBSTITUTE(SUBSTITUTE(SUBSTITUTE(SUBSTITUTE(SUBSTITUTE(SUBSTITUTE(SUBSTITUTE(SUBSTITUTE(LOWER(AC686&amp;""),CHAR(10),""),CHAR(13),""),CHAR(9),""),CHAR(160),"")," ",""),".",""),"-",""),"/",""),"?",""),"_",""),",",""),"[",""),"]",""),"(",""),")",""),"*","")</f>
        <v/>
      </c>
      <c r="BA686" s="61" t="str">
        <f aca="false">SUBSTITUTE(SUBSTITUTE(SUBSTITUTE(SUBSTITUTE(SUBSTITUTE(SUBSTITUTE(SUBSTITUTE(SUBSTITUTE(SUBSTITUTE(SUBSTITUTE(SUBSTITUTE(SUBSTITUTE(SUBSTITUTE(SUBSTITUTE(SUBSTITUTE(SUBSTITUTE(LOWER(AA686&amp;""),CHAR(10),""),CHAR(13),""),CHAR(9),""),CHAR(160),"")," ",""),".",""),"-",""),"/",""),"?",""),"_",""),",",""),"[",""),"]",""),"(",""),")",""),"*","")</f>
        <v/>
      </c>
      <c r="BB686" s="61" t="str">
        <f aca="false">IF(AND(TRIM(U686)="Pass",ISNUMBER(AF686)),IF(AF686&lt;&gt;0,"INVALID – qty variance: use Fail or Pass after CA",""),"")&amp;IF(AND(TRIM(U686)="Pass after CA",ISNUMBER(AF686)),IF(AF686&lt;&gt;0,"INVALID – after the corrective action the actual qty must equal expected (update Actual)",""),"")&amp;IF(AND(TRIM(U686)="Pass",TRIM(AB686)&lt;&gt;"",TRIM(AB686)&lt;&gt;"Closed"),"INVALID – corrective action not closed: use Fail, then Pass after CA","")&amp;IF(AND(LEN(BA686)&gt;=2,ISNA(MATCH(LEFT(BA686,255),L_Placeholder,0)),TRIM(AB686)=""),"INVALID – CA status missing for the recorded corrective action","")&amp;IF(AND(TRIM(U686)="Pass after CA",OR(OR(LEN(BA686)&lt;5,ISNUMBER(MATCH(BA686,L_Placeholder,0))),TRIM(AB686)&lt;&gt;"Closed")),"INVALID – corrective action not recorded/closed","")</f>
        <v/>
      </c>
      <c r="BC686" s="61" t="str">
        <f aca="false">" "&amp;TRIM(SUBSTITUTE(SUBSTITUTE(SUBSTITUTE(SUBSTITUTE(SUBSTITUTE(SUBSTITUTE(SUBSTITUTE(SUBSTITUTE(SUBSTITUTE(SUBSTITUTE(SUBSTITUTE(SUBSTITUTE(SUBSTITUTE(SUBSTITUTE(SUBSTITUTE(SUBSTITUTE(SUBSTITUTE(SUBSTITUTE(SUBSTITUTE(SUBSTITUTE(SUBSTITUTE(SUBSTITUTE(SUBSTITUTE(SUBSTITUTE(LOWER(V686&amp;""),CHAR(10)," "),CHAR(13)," "),CHAR(9)," "),CHAR(160)," "),"."," "),","," "),"-"," "),"/"," "),"("," "),")"," "),":"," "),";"," "),"_"," "),"–"," "),"?"," "),"!"," "),"*"," "),"["," "),"]"," "),"'"," "),"#"," "),"+"," "),"&amp;"," "),"\"," "))&amp;" "</f>
        <v>  </v>
      </c>
      <c r="BD686" s="61" t="str">
        <f aca="false">" "&amp;TRIM(SUBSTITUTE(SUBSTITUTE(SUBSTITUTE(SUBSTITUTE(SUBSTITUTE(SUBSTITUTE(SUBSTITUTE(SUBSTITUTE(SUBSTITUTE(SUBSTITUTE(SUBSTITUTE(SUBSTITUTE(SUBSTITUTE(SUBSTITUTE(SUBSTITUTE(SUBSTITUTE(SUBSTITUTE(SUBSTITUTE(SUBSTITUTE(SUBSTITUTE(SUBSTITUTE(SUBSTITUTE(SUBSTITUTE(SUBSTITUTE(LOWER(Z686&amp;""),CHAR(10)," "),CHAR(13)," "),CHAR(9)," "),CHAR(160)," "),"."," "),","," "),"-"," "),"/"," "),"("," "),")"," "),":"," "),";"," "),"_"," "),"–"," "),"?"," "),"!"," "),"*"," "),"["," "),"]"," "),"'"," "),"#"," "),"+"," "),"&amp;"," "),"\"," "))&amp;" "</f>
        <v>  </v>
      </c>
      <c r="BE686" s="61" t="str">
        <f aca="false">" "&amp;TRIM(SUBSTITUTE(SUBSTITUTE(SUBSTITUTE(SUBSTITUTE(SUBSTITUTE(SUBSTITUTE(SUBSTITUTE(SUBSTITUTE(SUBSTITUTE(SUBSTITUTE(SUBSTITUTE(SUBSTITUTE(SUBSTITUTE(SUBSTITUTE(SUBSTITUTE(SUBSTITUTE(SUBSTITUTE(SUBSTITUTE(SUBSTITUTE(SUBSTITUTE(SUBSTITUTE(SUBSTITUTE(SUBSTITUTE(SUBSTITUTE(LOWER(W686&amp;""),CHAR(10)," "),CHAR(13)," "),CHAR(9)," "),CHAR(160)," "),"."," "),","," "),"-"," "),"/"," "),"("," "),")"," "),":"," "),";"," "),"_"," "),"–"," "),"?"," "),"!"," "),"*"," "),"["," "),"]"," "),"'"," "),"#"," "),"+"," "),"&amp;"," "),"\"," "))&amp;" "</f>
        <v>  </v>
      </c>
      <c r="BF686" s="61" t="str">
        <f aca="false">" "&amp;TRIM(SUBSTITUTE(SUBSTITUTE(SUBSTITUTE(SUBSTITUTE(SUBSTITUTE(SUBSTITUTE(SUBSTITUTE(SUBSTITUTE(SUBSTITUTE(SUBSTITUTE(SUBSTITUTE(SUBSTITUTE(SUBSTITUTE(SUBSTITUTE(SUBSTITUTE(SUBSTITUTE(SUBSTITUTE(SUBSTITUTE(SUBSTITUTE(SUBSTITUTE(SUBSTITUTE(SUBSTITUTE(SUBSTITUTE(SUBSTITUTE(LOWER(AC686&amp;""),CHAR(10)," "),CHAR(13)," "),CHAR(9)," "),CHAR(160)," "),"."," "),","," "),"-"," "),"/"," "),"("," "),")"," "),":"," "),";"," "),"_"," "),"–"," "),"?"," "),"!"," "),"*"," "),"["," "),"]"," "),"'"," "),"#"," "),"+"," "),"&amp;"," "),"\"," "))&amp;" "</f>
        <v>  </v>
      </c>
      <c r="BG686" s="61" t="n">
        <f aca="false">IFERROR(IF(AND(TRIM(U686)="Pass",SUMPRODUCT((LEN(BC686)-LEN(SUBSTITUTE(BC686," "&amp;L_ResultBad&amp;" "," ")))/(LEN(L_ResultBad)+1))&gt;SUMPRODUCT((LEN(BC686)-LEN(SUBSTITUTE(BC686," "&amp;L_NegPhrase&amp;" "," ")))/(LEN(L_NegPhrase)+1))),1,0),0)</f>
        <v>0</v>
      </c>
      <c r="BH686" s="61" t="n">
        <f aca="false">IFERROR(IF(SUMPRODUCT((LEN(BC686)-LEN(SUBSTITUTE(BC686," "&amp;L_Pending&amp;" "," ")))/(LEN(L_Pending)+1))&gt;SUMPRODUCT((LEN(BC686)-LEN(SUBSTITUTE(BC686," "&amp;L_PendNeg&amp;" "," ")))/(LEN(L_PendNeg)+1))+SUMPRODUCT((LEN(BC686)-LEN(SUBSTITUTE(BC686," "&amp;L_PendPrep&amp;" "," ")))/(LEN(L_PendPrep)+1)),1,0),1)</f>
        <v>0</v>
      </c>
      <c r="BI686" s="61" t="n">
        <f aca="false">IFERROR(IF(SUMPRODUCT((LEN(BD686)-LEN(SUBSTITUTE(BD686," "&amp;L_PendStrict&amp;" "," ")))/(LEN(L_PendStrict)+1))&gt;SUMPRODUCT((LEN(BD686)-LEN(SUBSTITUTE(BD686," "&amp;L_PendNeg&amp;" "," ")))/(LEN(L_PendNeg)+1)),1,0),1)</f>
        <v>0</v>
      </c>
      <c r="BJ686" s="61" t="n">
        <f aca="false">IFERROR(IF(SUMPRODUCT((LEN(BE686)-LEN(SUBSTITUTE(BE686," "&amp;L_Pending&amp;" "," ")))/(LEN(L_Pending)+1))&gt;SUMPRODUCT((LEN(BE686)-LEN(SUBSTITUTE(BE686," "&amp;L_PendNeg&amp;" "," ")))/(LEN(L_PendNeg)+1))+SUMPRODUCT((LEN(BE686)-LEN(SUBSTITUTE(BE686," "&amp;L_PendPrep&amp;" "," ")))/(LEN(L_PendPrep)+1)),1,0),1)</f>
        <v>0</v>
      </c>
      <c r="BK686" s="61" t="n">
        <f aca="false">IFERROR(IF(SUMPRODUCT((LEN(BF686)-LEN(SUBSTITUTE(BF686," "&amp;L_PendStrict&amp;" "," ")))/(LEN(L_PendStrict)+1))&gt;SUMPRODUCT((LEN(BF686)-LEN(SUBSTITUTE(BF686," "&amp;L_PendNeg&amp;" "," ")))/(LEN(L_PendNeg)+1)),1,0),1)</f>
        <v>0</v>
      </c>
      <c r="BL686" s="61" t="n">
        <f aca="false">IF(ISNA(MATCH(TRIM(S686),L_EvidenceType,0)),0,BZ686)</f>
        <v>0</v>
      </c>
      <c r="BM686" s="61" t="str">
        <f aca="false">SUBSTITUTE(SUBSTITUTE(SUBSTITUTE(SUBSTITUTE(SUBSTITUTE(SUBSTITUTE(SUBSTITUTE(SUBSTITUTE(SUBSTITUTE(LOWER(Z686&amp;""),"1","0"),"2","0"),"3","0"),"4","0"),"5","0"),"6","0"),"7","0"),"8","0"),"9","0")</f>
        <v/>
      </c>
      <c r="BN686" s="61" t="str">
        <f aca="false">SUBSTITUTE(SUBSTITUTE(SUBSTITUTE(SUBSTITUTE(SUBSTITUTE(SUBSTITUTE(SUBSTITUTE(SUBSTITUTE(SUBSTITUTE(SUBSTITUTE(SUBSTITUTE(SUBSTITUTE(SUBSTITUTE(SUBSTITUTE(SUBSTITUTE(SUBSTITUTE(SUBSTITUTE(SUBSTITUTE(SUBSTITUTE(SUBSTITUTE(SUBSTITUTE(SUBSTITUTE(SUBSTITUTE(SUBSTITUTE(SUBSTITUTE(BM686,"b","a"),"c","a"),"d","a"),"e","a"),"f","a"),"g","a"),"h","a"),"i","a"),"j","a"),"k","a"),"l","a"),"m","a"),"n","a"),"o","a"),"p","a"),"q","a"),"r","a"),"s","a"),"t","a"),"u","a"),"v","a"),"w","a"),"x","a"),"y","a"),"z","a")</f>
        <v/>
      </c>
      <c r="BO686" s="61" t="str">
        <f aca="false">SUBSTITUTE(SUBSTITUTE(SUBSTITUTE(SUBSTITUTE(SUBSTITUTE(SUBSTITUTE(SUBSTITUTE(SUBSTITUTE(SUBSTITUTE(LOWER(W686&amp;""),"1","0"),"2","0"),"3","0"),"4","0"),"5","0"),"6","0"),"7","0"),"8","0"),"9","0")</f>
        <v/>
      </c>
      <c r="BP686" s="61" t="str">
        <f aca="false">SUBSTITUTE(SUBSTITUTE(SUBSTITUTE(SUBSTITUTE(SUBSTITUTE(SUBSTITUTE(SUBSTITUTE(SUBSTITUTE(SUBSTITUTE(SUBSTITUTE(SUBSTITUTE(SUBSTITUTE(SUBSTITUTE(SUBSTITUTE(SUBSTITUTE(SUBSTITUTE(SUBSTITUTE(SUBSTITUTE(SUBSTITUTE(SUBSTITUTE(SUBSTITUTE(SUBSTITUTE(SUBSTITUTE(SUBSTITUTE(SUBSTITUTE(BO686,"b","a"),"c","a"),"d","a"),"e","a"),"f","a"),"g","a"),"h","a"),"i","a"),"j","a"),"k","a"),"l","a"),"m","a"),"n","a"),"o","a"),"p","a"),"q","a"),"r","a"),"s","a"),"t","a"),"u","a"),"v","a"),"w","a"),"x","a"),"y","a"),"z","a")</f>
        <v/>
      </c>
      <c r="BQ686" s="61" t="n">
        <f aca="false">IFERROR(IF(AND(ISERROR(SEARCH(" mh"," "&amp;LOWER(W686))),ISNA(MATCH(LEFT(TRIM(BP686),255),{"0000a","000a","00a","0000aa","000aa","00aa","0aa","0000aaa","000aaa","00a00","0a00","0000-0000","00:00","a00","a0","00.00.0000","00/00/0000","00-00-0000","0000-00-00","0000/00/00","0000.00.00","00.00.00","00/00/00","00-00-00","0.00.0000","0/00/0000","0-00-0000"},0)),ISNA(MATCH(LEFT(TRIM(CA686),255),{"0000a","000a","00a","0000aa","000aa","00aa","0aa","0000aaa","000aaa","00a00","0a00","0000-0000","00:00","a00","a0","00.00.0000","00/00/0000","00-00-0000","0000-00-00","0000/00/00","0000.00.00","00.00.00","00/00/00","00-00-00","0.00.0000","0/00/0000","0-00-0000"},0)),LEN(CB686)&gt;=3,NOT(OR(SUBSTITUTE(CB686,"0","")="",AND(LEN(CB686)&gt;=4,CB686=REPT(LEFT(CB686),LEN(CB686))),ISNUMBER(MATCH(CB686,{"123","1234","12345","123456","1234567","12345678","0123","01234","012345","98765","987654","54321"},0)),AND(LEN(CB686)=8,LEFT(CB686,3)="202"))),OR(AND((LEN(CA686)-LEN(SUBSTITUTE(CA686,"a","")))&gt;=1,SUMPRODUCT(--ISNUMBER(SEARCH({"a0","a-0","a_0","a/0","a.0","a#0","0a","0-a","0_a","0/a"},BP686)))&gt;0),ISNUMBER(SEARCH("000000",BP686)))),1,0),0)</f>
        <v>0</v>
      </c>
      <c r="BR686" s="61" t="n">
        <f aca="false">IFERROR(LEN(SUBSTITUTE(CC686," ",""))-SUMPRODUCT((LEN(CC686)-LEN(SUBSTITUTE(CC686," "&amp;L_Role&amp;" "," ")))/(LEN(L_Role)+1)*LEN(L_Role)),0)</f>
        <v>0</v>
      </c>
      <c r="BS686" s="61" t="n">
        <f aca="false">IFERROR(LEN(SUBSTITUTE(CD686," ",""))-SUMPRODUCT((LEN(CD686)-LEN(SUBSTITUTE(CD686," "&amp;L_Role&amp;" "," ")))/(LEN(L_Role)+1)*LEN(L_Role)),0)</f>
        <v>0</v>
      </c>
      <c r="BT6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686,"revision",""),"version",""),"jan",""),"feb",""),"mar",""),"apr",""),"may",""),"jun",""),"jul",""),"aug",""),"sep",""),"oct",""),"nov",""),"dec",""),"utc",""),"gmt",""),"myt",""),"bst",""),"rev",""),"ver",""),"b","a"),"c","a"),"d","a"),"e","a"),"f","a"),"g","a"),"h","a"),"i","a"),"j","a"),"k","a"),"l","a"),"m","a"),"n","a"),"o","a"),"p","a"),"q","a"),"r","a"),"s","a"),"t","a"),"u","a"),"v","a"),"w","a"),"x","a"),"y","a"),"z","a")</f>
        <v/>
      </c>
      <c r="BU686" s="61" t="str">
        <f aca="false">SUBSTITUTE(SUBSTITUTE(SUBSTITUTE(SUBSTITUTE(SUBSTITUTE(SUBSTITUTE(SUBSTITUTE(SUBSTITUTE(SUBSTITUTE(SUBSTITUTE(LEFT(BM686,FIND("0",BM686&amp;"0")-1),"-",""),"_",""),"/",""),".",""),"#",""),"\\",""),":","")," ",""),"(",""),")","")</f>
        <v/>
      </c>
      <c r="BV686" s="61" t="n">
        <f aca="false">0</f>
        <v>0</v>
      </c>
      <c r="BW68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686&amp;""),"a",""),"b",""),"c",""),"d",""),"e",""),"f",""),"g",""),"h",""),"i",""),"j",""),"k",""),"l",""),"m",""),"n",""),"o",""),"p",""),"q",""),"r",""),"s",""),"t",""),"u",""),"v",""),"w",""),"x",""),"y",""),"z",""),"-",""),"_",""),"/",""),".",""),"#",""),"\\",""),":","")," ",""),"(",""),")","")</f>
        <v/>
      </c>
      <c r="BX686" s="61" t="str">
        <f aca="false">SUBSTITUTE(SUBSTITUTE(SUBSTITUTE(SUBSTITUTE(SUBSTITUTE(SUBSTITUTE(SUBSTITUTE(SUBSTITUTE(SUBSTITUTE(SUBSTITUTE(SUBSTITUTE(BM686,"0",""),"-",""),"_",""),"/",""),".",""),"#",""),"\\",""),":","")," ",""),"(",""),")","")</f>
        <v/>
      </c>
      <c r="BY686" s="62" t="n">
        <f aca="false">Q686-T12EarlyH/24</f>
        <v>46323.6875</v>
      </c>
      <c r="BZ686" s="61" t="n">
        <f aca="false">IFERROR(IF(IF(TRIM(S686)="Link / file path",AND(LEN(TRIM(Z686))&gt;=5,SUMPRODUCT(--ISNUMBER(SEARCH({"http","www.","\\",":\",".pdf",".jpg",".jpeg",".png",".heic",".xls",".doc",".msg",".eml",".ppt",".txt",".zip"},Z686)))&gt;0),AND(ISERROR(FIND(" ",TRIM(Z686))),NOT(OR(SUMPRODUCT(--ISNUMBER(FIND({",",";","&amp;","+"},Z686)))&gt;0,SUMPRODUCT(--ISNUMBER(SEARCH({"0/aa","0\\aa"},BN686)))&gt;0)),NOT(SUMPRODUCT(--ISNUMBER(SEARCH({"http","www.","\\",":\",".pdf",".jpg",".jpeg",".png",".heic",".xls",".doc",".msg",".eml",".ppt",".txt",".zip"},Z686)))&gt;0),NOT(LOWER(TRIM(Z686))=LOWER(Flights!$F$25)),ISNA(MATCH(BU686,{"mh","rev","revision","ver","version","v","r","a","b","seat","tray","row","gate","bay","stand","page","pg","item","line","no","cart","galley","flight","flt","table","box","bag","oven","etd","eta","std","sta","atd","ata","qty","pax","x","time","tel","ph","mob","day","wk","week","utc","gmt","myt","lt"},0)),NOT(OR(ISNUMBER(MATCH(LEFT(BN686,255),{"0000a","000a","00a","0000aa","000aa","00aa","0aa","0000aaa","000aaa","00a00","0a00","0000-0000","00:00","a00","a0","00.00.0000","00/00/0000","00-00-0000","0000-00-00","0000/00/00","0000.00.00","00.00.00","00/00/00","00-00-00","0.00.0000","0/00/0000","0-00-0000"},0)),ISNUMBER(MATCH(LEFT(BT686,255),{"0000a","000a","00a","0000aa","000aa","00aa","0aa","0000aaa","000aaa","00a00","0a00","0000-0000","00:00","a00","a0","00.00.0000","00/00/0000","00-00-0000","0000-00-00","0000/00/00","0000.00.00","00.00.00","00/00/00","00-00-00","0.00.0000","0/00/0000","0-00-0000"},0)))),NOT(OR(AND(BW686&lt;&gt;"",SUBSTITUTE(BW686,"0","")=""),AND(LEN(BW686)&gt;=4,BW686=REPT(LEFT(BW686),LEN(BW686))),ISNUMBER(MATCH(BW686,{"123","1234","12345","123456","1234567","12345678","0123","01234","012345","98765","987654","54321"},0)),ISNUMBER(MATCH(BX686,{"x","xx","xxx","xxxx","xxxxx","abc","abcd","nil","na","nan","test","tbc","tba","tbd","dummy","sample","example","eg","zz","zzz","none","null","xyz","qwe","asd","id","ref"},0)),AND(LEN(BW686)=8,BX686="",OR(LEFT(BW686,3)="202",ISNUMBER(MATCH(RIGHT(BW686,4),{"2025","2026","2027"},0)))))),OR(AND((LEN(BT686)-LEN(SUBSTITUTE(BT686,"a","")))&gt;=1,(LEN(BN686)-LEN(SUBSTITUTE(BN686,"0","")))&gt;=2,SUMPRODUCT(--ISNUMBER(SEARCH({"a0","a-0","a_0","a/0","a.0","a#0","0a","0-a","0_a","0/a"},BN686)))&gt;0),AND((LEN(BN686)-LEN(SUBSTITUTE(BN686,"a","")))=0,(LEN(BN686)-LEN(SUBSTITUTE(BN686,"0","")))&gt;=5)))),1,0),0)</f>
        <v>0</v>
      </c>
      <c r="CA6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686,"revision",""),"version",""),"jan",""),"feb",""),"mar",""),"apr",""),"may",""),"jun",""),"jul",""),"aug",""),"sep",""),"oct",""),"nov",""),"dec",""),"utc",""),"gmt",""),"myt",""),"bst",""),"rev",""),"ver",""),"b","a"),"c","a"),"d","a"),"e","a"),"f","a"),"g","a"),"h","a"),"i","a"),"j","a"),"k","a"),"l","a"),"m","a"),"n","a"),"o","a"),"p","a"),"q","a"),"r","a"),"s","a"),"t","a"),"u","a"),"v","a"),"w","a"),"x","a"),"y","a"),"z","a")</f>
        <v/>
      </c>
      <c r="CB68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686&amp;""),"a",""),"b",""),"c",""),"d",""),"e",""),"f",""),"g",""),"h",""),"i",""),"j",""),"k",""),"l",""),"m",""),"n",""),"o",""),"p",""),"q",""),"r",""),"s",""),"t",""),"u",""),"v",""),"w",""),"x",""),"y",""),"z",""),"-",""),"_",""),"/",""),".",""),"#",""),"\\",""),":","")," ",""),"(",""),")","")</f>
        <v/>
      </c>
      <c r="CC686" s="0" t="str">
        <f aca="false">" "&amp;TRIM(SUBSTITUTE(SUBSTITUTE(SUBSTITUTE(SUBSTITUTE(SUBSTITUTE(SUBSTITUTE(SUBSTITUTE(SUBSTITUTE(SUBSTITUTE(SUBSTITUTE(SUBSTITUTE(SUBSTITUTE(SUBSTITUTE(SUBSTITUTE(SUBSTITUTE(SUBSTITUTE(SUBSTITUTE(SUBSTITUTE(SUBSTITUTE(SUBSTITUTE(SUBSTITUTE(SUBSTITUTE(SUBSTITUTE(SUBSTITUTE(LOWER(T686&amp;""),CHAR(10)," "),CHAR(13)," "),CHAR(9)," "),CHAR(160)," "),"."," "),","," "),"-"," "),"/"," "),"("," "),")"," "),":"," "),";"," "),"_"," "),"–"," "),"?"," "),"!"," "),"*"," "),"["," "),"]"," "),"'"," "),"#"," "),"+"," "),"&amp;"," "),"\"," "))&amp;" "</f>
        <v>  </v>
      </c>
      <c r="CD686" s="0" t="str">
        <f aca="false">" "&amp;TRIM(SUBSTITUTE(SUBSTITUTE(SUBSTITUTE(SUBSTITUTE(SUBSTITUTE(SUBSTITUTE(SUBSTITUTE(SUBSTITUTE(SUBSTITUTE(SUBSTITUTE(SUBSTITUTE(SUBSTITUTE(SUBSTITUTE(SUBSTITUTE(SUBSTITUTE(SUBSTITUTE(SUBSTITUTE(SUBSTITUTE(SUBSTITUTE(SUBSTITUTE(SUBSTITUTE(SUBSTITUTE(SUBSTITUTE(SUBSTITUTE(LOWER(AE686&amp;""),CHAR(10)," "),CHAR(13)," "),CHAR(9)," "),CHAR(160)," "),"."," "),","," "),"-"," "),"/"," "),"("," "),")"," "),":"," "),";"," "),"_"," "),"–"," "),"?"," "),"!"," "),"*"," "),"["," "),"]"," "),"'"," "),"#"," "),"+"," "),"&amp;"," "),"\"," "))&amp;" "</f>
        <v>  </v>
      </c>
      <c r="CE686" s="68" t="n">
        <f aca="false">IFERROR(IF(AND(LEN(AU686)&gt;0,LEN(AU686)=LEN(AX686),OR(TRIM(MID(SUBSTITUTE(TRIM(CC686)," ",REPT(" ",60)),1,60))="",ISNUMBER(SEARCH(" "&amp;TRIM(MID(SUBSTITUTE(TRIM(CC686)," ",REPT(" ",60)),1,60))&amp;" ",CD686))),OR(TRIM(MID(SUBSTITUTE(TRIM(CC686)," ",REPT(" ",60)),61,60))="",ISNUMBER(SEARCH(" "&amp;TRIM(MID(SUBSTITUTE(TRIM(CC686)," ",REPT(" ",60)),61,60))&amp;" ",CD686))),OR(TRIM(MID(SUBSTITUTE(TRIM(CC686)," ",REPT(" ",60)),121,60))="",ISNUMBER(SEARCH(" "&amp;TRIM(MID(SUBSTITUTE(TRIM(CC686)," ",REPT(" ",60)),121,60))&amp;" ",CD686)))),1,0),0)</f>
        <v>0</v>
      </c>
      <c r="CG686" s="68" t="n">
        <f aca="false">IFERROR(LEN(SUBSTITUTE(BF686," ",""))-SUMPRODUCT((LEN(BF686)-LEN(SUBSTITUTE(BF686," "&amp;L_NAFiller&amp;" "," ")))/(LEN(L_NAFiller)+1)*LEN(L_NAFiller)),0)</f>
        <v>0</v>
      </c>
    </row>
    <row r="687" customFormat="false" ht="66" hidden="false" customHeight="true" outlineLevel="0" collapsed="false">
      <c r="A687" s="57" t="s">
        <v>1414</v>
      </c>
      <c r="B687" s="57" t="s">
        <v>310</v>
      </c>
      <c r="C687" s="57" t="str">
        <f aca="false">Flights!$F$25</f>
        <v>MH1437</v>
      </c>
      <c r="D687" s="58" t="n">
        <f aca="false">Flights!$D$25</f>
        <v>46325</v>
      </c>
      <c r="E687" s="57" t="str">
        <f aca="false">Flights!$G$25&amp;"-"&amp;Flights!$H$25</f>
        <v>LGK-KUL</v>
      </c>
      <c r="F687" s="57" t="str">
        <f aca="false">Flights!$K$25</f>
        <v>BC</v>
      </c>
      <c r="G687" s="57" t="s">
        <v>420</v>
      </c>
      <c r="H687" s="57" t="s">
        <v>378</v>
      </c>
      <c r="I687" s="57" t="s">
        <v>499</v>
      </c>
      <c r="J687" s="57" t="s">
        <v>518</v>
      </c>
      <c r="K687" s="67" t="s">
        <v>519</v>
      </c>
      <c r="L687" s="67" t="s">
        <v>1415</v>
      </c>
      <c r="M687" s="67" t="s">
        <v>451</v>
      </c>
      <c r="N687" s="67" t="s">
        <v>383</v>
      </c>
      <c r="O687" s="67" t="s">
        <v>1416</v>
      </c>
      <c r="P687" s="57" t="s">
        <v>187</v>
      </c>
      <c r="Q687" s="59" t="n">
        <f aca="false">ROUND((MIN(Flights!$AE$25,Flights!$AY$25))*1440,0)/1440</f>
        <v>46324.1875</v>
      </c>
      <c r="R687" s="59" t="n">
        <f aca="false">Q687+(IF(AND(INDEX(TZ_DSTS,MATCH(P687,TZ_STN,0))&lt;&gt;"",Q687&gt;=INDEX(TZ_DSTS,MATCH(P687,TZ_STN,0)),Q687&lt;INDEX(TZ_DSTE,MATCH(P687,TZ_STN,0))),INDEX(TZ_DST,MATCH(P687,TZ_STN,0)),INDEX(TZ_STD,MATCH(P687,TZ_STN,0))))/24</f>
        <v>46324.5208333333</v>
      </c>
      <c r="S687" s="60"/>
      <c r="T687" s="60"/>
      <c r="U687" s="60"/>
      <c r="V687" s="60"/>
      <c r="W687" s="61"/>
      <c r="X687" s="60"/>
      <c r="Y687" s="60"/>
      <c r="Z687" s="60"/>
      <c r="AA687" s="60"/>
      <c r="AB687" s="60"/>
      <c r="AC687" s="60"/>
      <c r="AD687" s="66"/>
      <c r="AE687" s="60"/>
      <c r="AF687" s="61" t="str">
        <f aca="false">IF(AND(ISNUMBER(X687),ISNUMBER(Y687)),Y687-X687,"")</f>
        <v/>
      </c>
      <c r="AG687" s="62" t="str">
        <f aca="false">IF(ISNUMBER(AD687),AD687-(IF(AND(INDEX(TZ_DSTS,MATCH(P687,TZ_STN,0))&lt;&gt;"",(AD687-INDEX(TZ_STD,MATCH(P687,TZ_STN,0))/24)&gt;=INDEX(TZ_DSTS,MATCH(P687,TZ_STN,0)),(AD687-INDEX(TZ_STD,MATCH(P687,TZ_STN,0))/24)&lt;INDEX(TZ_DSTE,MATCH(P687,TZ_STN,0))),INDEX(TZ_DST,MATCH(P687,TZ_STN,0)),INDEX(TZ_STD,MATCH(P687,TZ_STN,0))))/24,"")</f>
        <v/>
      </c>
      <c r="AH687" s="65" t="str">
        <f aca="false">IFERROR(IF(N687="N/A – rule",IF(OR(TRIM(U687)="",TRIM(U687)="N/A",TRIM(U687)="Not started"),"N/A – RULE","INVALID – this check does not apply to this aircraft: clear the status (or correct the fleet on Flights)"),IF(TRIM(U687)="N/A",IF(AT687=0,"INVALID – N/A not permitted for this check",IF(AND(TRIM(AB687)&lt;&gt;"",TRIM(AB687)&lt;&gt;"Closed"),"INVALID – corrective action still open",IF(AND(NOT(OR(LEN(AZ687)&lt;15,ISNUMBER(MATCH(AZ687,L_Placeholder,0)))),BK687=0,CG687&gt;=8,NOT(OR(LEN(AU687)&lt;2,ISNUMBER(MATCH(AU687,L_Placeholder,0)))),BR687&gt;=3,NOT(OR(LEN(AX687)&lt;2,ISNUMBER(MATCH(AX687,L_Placeholder,0)))),BS687&gt;=3,TRIM(AE687)&lt;&gt;TRIM(T687),AX687&lt;&gt;AU687,CE687=0),"N/A – JUSTIFIED","INVALID – N/A needs a real, settled reason (not 'not applicable' / 'as above' / TBC), a named PIC and a different named verifier"))),IF(OR(TRIM(U687)="Pass",TRIM(U687)="Pass after CA"),IF(NOT(ISNUMBER(AD687)),"INVALID – completion time missing",IF(OR(OR(LEN(AU687)&lt;2,ISNUMBER(MATCH(AU687,L_Placeholder,0))),BR687&lt;3),"INVALID – PIC missing or not a named person (a role such as QA / CSM is not a name)",IF(OR(LEN(AV687)&lt;2,ISNUMBER(MATCH(AV687,L_Placeholder,0))),"INVALID – result / assessment missing",IF(OR(OR(LEN(AW687)&lt;3,ISNUMBER(MATCH(AW687,L_Placeholder,0))),SUMPRODUCT(--ISNUMBER(SEARCH(" "&amp;L_EvidencePhrase&amp;" ",BD687)))&gt;0,BI687=1),"INVALID – evidence missing, placeholder or not yet on file",IF(ISNA(MATCH(TRIM(S687),L_EvidenceType,0)),"INVALID – choose the evidence type from the list (column S)",IF(BL687=0,"INVALID – evidence ID must be the record's own ID only (e.g. SF-2210, IMG_2231, 1045521); a link / file name needs type 'Link / file path'",IF(OR(OR(LEN(AX687)&lt;2,ISNUMBER(MATCH(AX687,L_Placeholder,0))),BS687&lt;3),"INVALID – verifier missing or not a named person (a role such as QA / CSM is not a name)",IF(OR(AX687=AU687,CE687=1,AND(LEN(AU687)&gt;=4,ISNUMBER(SEARCH(AU687,AX687))),AND(LEN(AX687)&gt;=4,ISNUMBER(SEARCH(AX687,AU687)))),"INVALID – verifier must be a different, named person (not the PIC or a role)",IF(BH687=1,"INVALID – result not yet available (awaiting / TBC)",IF(BG687=1,"INVALID – result describes a problem: record Fail, then Pass after CA (or reword if it is not a problem)",IF(BV687=1,"INVALID – wording says not on board: an on-board confirmation needs the item loaded",IF(AND(AQ687=1,OR(OR(LEN(AY687)&lt;3,ISNUMBER(MATCH(AY687,L_Placeholder,0))),BJ687=1,BQ687=0)),"INVALID – batch ID missing, placeholder or not an ID (e.g. PASB-261008-BC-017)",IF(AND(AR687=1,OR(NOT(ISNUMBER(X687)),NOT(ISNUMBER(Y687)))),"INVALID – expected/actual qty missing",IF(AND(AR687=1,OR(X687&lt;=0,Y687&lt;0)),"INVALID – expected qty must be above 0 and actual not negative",IF(BB687&lt;&gt;"",BB687,IF(AND(AS687=1,Documents!$J$25&lt;&gt;"ON FILE"),"INVALID – GLD not on file (Documents sheet)",IF(AND(AS687=2,Documents!$O$25&lt;&gt;"ON FILE"),"INVALID – menu checklist not on file (Documents sheet)",IF(AND(AS687=3,NOT(ISNUMBER(Flights!$AX$25))),"INVALID – enter carrying flight KUL departure (Flights AX)",IF(AND(AS687=3,OR(Flights!$AZ$25&gt;Flights!$AA$25,Flights!$AX$25&lt;Flights!$AA$25-3)),"INVALID – carrying flight (Flights AX) cannot arrive before this leg's STD, or is over 3 days early",IF(AG687&gt;AsOfUTC,"INVALID – completion time is in the future",IF(AND(ISNUMBER(BY687),AG687&lt;BY687),IF(H687="Physical uplift","INVALID – before uplift window (cannot confirm loading)","INVALID – before valid window"),IF(AG687&gt;Flights!$AA$25,"INVALID – completed after departure (cannot establish readiness)",IF(AND(H687="Preparation",AG687&gt;=Flights!$AY$25+UpliftWindowH/24),"INVALID – completed after the carrying flight left KUL",IF(AND(H687="Physical uplift",AG687&gt;Q687),"INVALID – recorded after the loading flight departed",IF(AG687&gt;Q687,"COMPLETE – LATE","COMPLETE"))))))))))))))))))))))))),IF(TRIM(U687)="Fail","FAIL – DISCREPANCY",IF(AND(TRIM(U687)&lt;&gt;"",TRIM(U687)&lt;&gt;"Not started",TRIM(U687)&lt;&gt;"In progress"),"INVALID – unrecognised status (use the list)",IF(AsOfUTC&gt;Q687,"OVERDUE",IF(N687="Clarification required","OPEN – CLARIFICATION","OPEN"))))))),"INVALID – error value in an input cell")</f>
        <v>OPEN</v>
      </c>
      <c r="AI687" s="61" t="n">
        <f aca="false">IF(OR(AH687="N/A – RULE",AH687="N/A – JUSTIFIED"),0,1)</f>
        <v>1</v>
      </c>
      <c r="AJ687" s="61" t="n">
        <f aca="false">IF(LEFT(AH687,8)="COMPLETE",1,0)</f>
        <v>0</v>
      </c>
      <c r="AK687" s="61" t="n">
        <f aca="false">IF(AND(AI687=1,AJ687=0,AsOfUTC&gt;Q687),1,0)</f>
        <v>0</v>
      </c>
      <c r="AL687" s="61" t="n">
        <f aca="false">IFERROR(IF(AND(AI687=1,OR(TRIM(U687)="Fail",AND(TRIM(AB687)&lt;&gt;"",TRIM(AB687)&lt;&gt;"Closed"),AND(ISNUMBER(AF687),AF687&lt;&gt;0,TRIM(U687)&lt;&gt;"Pass after CA"))),1,0),1)</f>
        <v>0</v>
      </c>
      <c r="AM687" s="61" t="n">
        <f aca="false">IF(LEFT(AH687,7)="INVALID",1,0)</f>
        <v>0</v>
      </c>
      <c r="AN687" s="61" t="n">
        <f aca="false">IF(AND(N687="Clarification required",AI687=1,AJ687=0),1,0)</f>
        <v>0</v>
      </c>
      <c r="AO687" s="61" t="str">
        <f aca="false">IF(AK687=1,SUM(AK$5:AK687),"")</f>
        <v/>
      </c>
      <c r="AP687" s="61" t="str">
        <f aca="false">IF(AL687=1,SUM(AL$5:AL687),"")</f>
        <v/>
      </c>
      <c r="AQ687" s="61" t="n">
        <v>0</v>
      </c>
      <c r="AR687" s="61" t="n">
        <v>0</v>
      </c>
      <c r="AS687" s="61" t="n">
        <v>0</v>
      </c>
      <c r="AT687" s="61" t="n">
        <v>0</v>
      </c>
      <c r="AU687" s="61" t="str">
        <f aca="false">SUBSTITUTE(SUBSTITUTE(SUBSTITUTE(SUBSTITUTE(SUBSTITUTE(SUBSTITUTE(SUBSTITUTE(SUBSTITUTE(SUBSTITUTE(SUBSTITUTE(SUBSTITUTE(SUBSTITUTE(SUBSTITUTE(SUBSTITUTE(SUBSTITUTE(SUBSTITUTE(LOWER(T687&amp;""),CHAR(10),""),CHAR(13),""),CHAR(9),""),CHAR(160),"")," ",""),".",""),"-",""),"/",""),"?",""),"_",""),",",""),"[",""),"]",""),"(",""),")",""),"*","")</f>
        <v/>
      </c>
      <c r="AV687" s="61" t="str">
        <f aca="false">SUBSTITUTE(SUBSTITUTE(SUBSTITUTE(SUBSTITUTE(SUBSTITUTE(SUBSTITUTE(SUBSTITUTE(SUBSTITUTE(SUBSTITUTE(SUBSTITUTE(SUBSTITUTE(SUBSTITUTE(SUBSTITUTE(SUBSTITUTE(SUBSTITUTE(SUBSTITUTE(LOWER(V687&amp;""),CHAR(10),""),CHAR(13),""),CHAR(9),""),CHAR(160),"")," ",""),".",""),"-",""),"/",""),"?",""),"_",""),",",""),"[",""),"]",""),"(",""),")",""),"*","")</f>
        <v/>
      </c>
      <c r="AW687" s="61" t="str">
        <f aca="false">SUBSTITUTE(SUBSTITUTE(SUBSTITUTE(SUBSTITUTE(SUBSTITUTE(SUBSTITUTE(SUBSTITUTE(SUBSTITUTE(SUBSTITUTE(SUBSTITUTE(SUBSTITUTE(SUBSTITUTE(SUBSTITUTE(SUBSTITUTE(SUBSTITUTE(SUBSTITUTE(LOWER(Z687&amp;""),CHAR(10),""),CHAR(13),""),CHAR(9),""),CHAR(160),"")," ",""),".",""),"-",""),"/",""),"?",""),"_",""),",",""),"[",""),"]",""),"(",""),")",""),"*","")</f>
        <v/>
      </c>
      <c r="AX687" s="61" t="str">
        <f aca="false">SUBSTITUTE(SUBSTITUTE(SUBSTITUTE(SUBSTITUTE(SUBSTITUTE(SUBSTITUTE(SUBSTITUTE(SUBSTITUTE(SUBSTITUTE(SUBSTITUTE(SUBSTITUTE(SUBSTITUTE(SUBSTITUTE(SUBSTITUTE(SUBSTITUTE(SUBSTITUTE(LOWER(AE687&amp;""),CHAR(10),""),CHAR(13),""),CHAR(9),""),CHAR(160),"")," ",""),".",""),"-",""),"/",""),"?",""),"_",""),",",""),"[",""),"]",""),"(",""),")",""),"*","")</f>
        <v/>
      </c>
      <c r="AY687" s="61" t="str">
        <f aca="false">SUBSTITUTE(SUBSTITUTE(SUBSTITUTE(SUBSTITUTE(SUBSTITUTE(SUBSTITUTE(SUBSTITUTE(SUBSTITUTE(SUBSTITUTE(SUBSTITUTE(SUBSTITUTE(SUBSTITUTE(SUBSTITUTE(SUBSTITUTE(SUBSTITUTE(SUBSTITUTE(LOWER(W687&amp;""),CHAR(10),""),CHAR(13),""),CHAR(9),""),CHAR(160),"")," ",""),".",""),"-",""),"/",""),"?",""),"_",""),",",""),"[",""),"]",""),"(",""),")",""),"*","")</f>
        <v/>
      </c>
      <c r="AZ687" s="61" t="str">
        <f aca="false">SUBSTITUTE(SUBSTITUTE(SUBSTITUTE(SUBSTITUTE(SUBSTITUTE(SUBSTITUTE(SUBSTITUTE(SUBSTITUTE(SUBSTITUTE(SUBSTITUTE(SUBSTITUTE(SUBSTITUTE(SUBSTITUTE(SUBSTITUTE(SUBSTITUTE(SUBSTITUTE(LOWER(AC687&amp;""),CHAR(10),""),CHAR(13),""),CHAR(9),""),CHAR(160),"")," ",""),".",""),"-",""),"/",""),"?",""),"_",""),",",""),"[",""),"]",""),"(",""),")",""),"*","")</f>
        <v/>
      </c>
      <c r="BA687" s="61" t="str">
        <f aca="false">SUBSTITUTE(SUBSTITUTE(SUBSTITUTE(SUBSTITUTE(SUBSTITUTE(SUBSTITUTE(SUBSTITUTE(SUBSTITUTE(SUBSTITUTE(SUBSTITUTE(SUBSTITUTE(SUBSTITUTE(SUBSTITUTE(SUBSTITUTE(SUBSTITUTE(SUBSTITUTE(LOWER(AA687&amp;""),CHAR(10),""),CHAR(13),""),CHAR(9),""),CHAR(160),"")," ",""),".",""),"-",""),"/",""),"?",""),"_",""),",",""),"[",""),"]",""),"(",""),")",""),"*","")</f>
        <v/>
      </c>
      <c r="BB687" s="61" t="str">
        <f aca="false">IF(AND(TRIM(U687)="Pass",ISNUMBER(AF687)),IF(AF687&lt;&gt;0,"INVALID – qty variance: use Fail or Pass after CA",""),"")&amp;IF(AND(TRIM(U687)="Pass after CA",ISNUMBER(AF687)),IF(AF687&lt;&gt;0,"INVALID – after the corrective action the actual qty must equal expected (update Actual)",""),"")&amp;IF(AND(TRIM(U687)="Pass",TRIM(AB687)&lt;&gt;"",TRIM(AB687)&lt;&gt;"Closed"),"INVALID – corrective action not closed: use Fail, then Pass after CA","")&amp;IF(AND(LEN(BA687)&gt;=2,ISNA(MATCH(LEFT(BA687,255),L_Placeholder,0)),TRIM(AB687)=""),"INVALID – CA status missing for the recorded corrective action","")&amp;IF(AND(TRIM(U687)="Pass after CA",OR(OR(LEN(BA687)&lt;5,ISNUMBER(MATCH(BA687,L_Placeholder,0))),TRIM(AB687)&lt;&gt;"Closed")),"INVALID – corrective action not recorded/closed","")</f>
        <v/>
      </c>
      <c r="BC687" s="61" t="str">
        <f aca="false">" "&amp;TRIM(SUBSTITUTE(SUBSTITUTE(SUBSTITUTE(SUBSTITUTE(SUBSTITUTE(SUBSTITUTE(SUBSTITUTE(SUBSTITUTE(SUBSTITUTE(SUBSTITUTE(SUBSTITUTE(SUBSTITUTE(SUBSTITUTE(SUBSTITUTE(SUBSTITUTE(SUBSTITUTE(SUBSTITUTE(SUBSTITUTE(SUBSTITUTE(SUBSTITUTE(SUBSTITUTE(SUBSTITUTE(SUBSTITUTE(SUBSTITUTE(LOWER(V687&amp;""),CHAR(10)," "),CHAR(13)," "),CHAR(9)," "),CHAR(160)," "),"."," "),","," "),"-"," "),"/"," "),"("," "),")"," "),":"," "),";"," "),"_"," "),"–"," "),"?"," "),"!"," "),"*"," "),"["," "),"]"," "),"'"," "),"#"," "),"+"," "),"&amp;"," "),"\"," "))&amp;" "</f>
        <v>  </v>
      </c>
      <c r="BD687" s="61" t="str">
        <f aca="false">" "&amp;TRIM(SUBSTITUTE(SUBSTITUTE(SUBSTITUTE(SUBSTITUTE(SUBSTITUTE(SUBSTITUTE(SUBSTITUTE(SUBSTITUTE(SUBSTITUTE(SUBSTITUTE(SUBSTITUTE(SUBSTITUTE(SUBSTITUTE(SUBSTITUTE(SUBSTITUTE(SUBSTITUTE(SUBSTITUTE(SUBSTITUTE(SUBSTITUTE(SUBSTITUTE(SUBSTITUTE(SUBSTITUTE(SUBSTITUTE(SUBSTITUTE(LOWER(Z687&amp;""),CHAR(10)," "),CHAR(13)," "),CHAR(9)," "),CHAR(160)," "),"."," "),","," "),"-"," "),"/"," "),"("," "),")"," "),":"," "),";"," "),"_"," "),"–"," "),"?"," "),"!"," "),"*"," "),"["," "),"]"," "),"'"," "),"#"," "),"+"," "),"&amp;"," "),"\"," "))&amp;" "</f>
        <v>  </v>
      </c>
      <c r="BE687" s="61" t="str">
        <f aca="false">" "&amp;TRIM(SUBSTITUTE(SUBSTITUTE(SUBSTITUTE(SUBSTITUTE(SUBSTITUTE(SUBSTITUTE(SUBSTITUTE(SUBSTITUTE(SUBSTITUTE(SUBSTITUTE(SUBSTITUTE(SUBSTITUTE(SUBSTITUTE(SUBSTITUTE(SUBSTITUTE(SUBSTITUTE(SUBSTITUTE(SUBSTITUTE(SUBSTITUTE(SUBSTITUTE(SUBSTITUTE(SUBSTITUTE(SUBSTITUTE(SUBSTITUTE(LOWER(W687&amp;""),CHAR(10)," "),CHAR(13)," "),CHAR(9)," "),CHAR(160)," "),"."," "),","," "),"-"," "),"/"," "),"("," "),")"," "),":"," "),";"," "),"_"," "),"–"," "),"?"," "),"!"," "),"*"," "),"["," "),"]"," "),"'"," "),"#"," "),"+"," "),"&amp;"," "),"\"," "))&amp;" "</f>
        <v>  </v>
      </c>
      <c r="BF687" s="61" t="str">
        <f aca="false">" "&amp;TRIM(SUBSTITUTE(SUBSTITUTE(SUBSTITUTE(SUBSTITUTE(SUBSTITUTE(SUBSTITUTE(SUBSTITUTE(SUBSTITUTE(SUBSTITUTE(SUBSTITUTE(SUBSTITUTE(SUBSTITUTE(SUBSTITUTE(SUBSTITUTE(SUBSTITUTE(SUBSTITUTE(SUBSTITUTE(SUBSTITUTE(SUBSTITUTE(SUBSTITUTE(SUBSTITUTE(SUBSTITUTE(SUBSTITUTE(SUBSTITUTE(LOWER(AC687&amp;""),CHAR(10)," "),CHAR(13)," "),CHAR(9)," "),CHAR(160)," "),"."," "),","," "),"-"," "),"/"," "),"("," "),")"," "),":"," "),";"," "),"_"," "),"–"," "),"?"," "),"!"," "),"*"," "),"["," "),"]"," "),"'"," "),"#"," "),"+"," "),"&amp;"," "),"\"," "))&amp;" "</f>
        <v>  </v>
      </c>
      <c r="BG687" s="61" t="n">
        <f aca="false">IFERROR(IF(AND(TRIM(U687)="Pass",SUMPRODUCT((LEN(BC687)-LEN(SUBSTITUTE(BC687," "&amp;L_ResultBad&amp;" "," ")))/(LEN(L_ResultBad)+1))&gt;SUMPRODUCT((LEN(BC687)-LEN(SUBSTITUTE(BC687," "&amp;L_NegPhrase&amp;" "," ")))/(LEN(L_NegPhrase)+1))),1,0),0)</f>
        <v>0</v>
      </c>
      <c r="BH687" s="61" t="n">
        <f aca="false">IFERROR(IF(SUMPRODUCT((LEN(BC687)-LEN(SUBSTITUTE(BC687," "&amp;L_Pending&amp;" "," ")))/(LEN(L_Pending)+1))&gt;SUMPRODUCT((LEN(BC687)-LEN(SUBSTITUTE(BC687," "&amp;L_PendNeg&amp;" "," ")))/(LEN(L_PendNeg)+1))+SUMPRODUCT((LEN(BC687)-LEN(SUBSTITUTE(BC687," "&amp;L_PendPrep&amp;" "," ")))/(LEN(L_PendPrep)+1)),1,0),1)</f>
        <v>0</v>
      </c>
      <c r="BI687" s="61" t="n">
        <f aca="false">IFERROR(IF(SUMPRODUCT((LEN(BD687)-LEN(SUBSTITUTE(BD687," "&amp;L_PendStrict&amp;" "," ")))/(LEN(L_PendStrict)+1))&gt;SUMPRODUCT((LEN(BD687)-LEN(SUBSTITUTE(BD687," "&amp;L_PendNeg&amp;" "," ")))/(LEN(L_PendNeg)+1)),1,0),1)</f>
        <v>0</v>
      </c>
      <c r="BJ687" s="61" t="n">
        <f aca="false">IFERROR(IF(SUMPRODUCT((LEN(BE687)-LEN(SUBSTITUTE(BE687," "&amp;L_Pending&amp;" "," ")))/(LEN(L_Pending)+1))&gt;SUMPRODUCT((LEN(BE687)-LEN(SUBSTITUTE(BE687," "&amp;L_PendNeg&amp;" "," ")))/(LEN(L_PendNeg)+1))+SUMPRODUCT((LEN(BE687)-LEN(SUBSTITUTE(BE687," "&amp;L_PendPrep&amp;" "," ")))/(LEN(L_PendPrep)+1)),1,0),1)</f>
        <v>0</v>
      </c>
      <c r="BK687" s="61" t="n">
        <f aca="false">IFERROR(IF(SUMPRODUCT((LEN(BF687)-LEN(SUBSTITUTE(BF687," "&amp;L_PendStrict&amp;" "," ")))/(LEN(L_PendStrict)+1))&gt;SUMPRODUCT((LEN(BF687)-LEN(SUBSTITUTE(BF687," "&amp;L_PendNeg&amp;" "," ")))/(LEN(L_PendNeg)+1)),1,0),1)</f>
        <v>0</v>
      </c>
      <c r="BL687" s="61" t="n">
        <f aca="false">IF(ISNA(MATCH(TRIM(S687),L_EvidenceType,0)),0,BZ687)</f>
        <v>0</v>
      </c>
      <c r="BM687" s="61" t="str">
        <f aca="false">SUBSTITUTE(SUBSTITUTE(SUBSTITUTE(SUBSTITUTE(SUBSTITUTE(SUBSTITUTE(SUBSTITUTE(SUBSTITUTE(SUBSTITUTE(LOWER(Z687&amp;""),"1","0"),"2","0"),"3","0"),"4","0"),"5","0"),"6","0"),"7","0"),"8","0"),"9","0")</f>
        <v/>
      </c>
      <c r="BN687" s="61" t="str">
        <f aca="false">SUBSTITUTE(SUBSTITUTE(SUBSTITUTE(SUBSTITUTE(SUBSTITUTE(SUBSTITUTE(SUBSTITUTE(SUBSTITUTE(SUBSTITUTE(SUBSTITUTE(SUBSTITUTE(SUBSTITUTE(SUBSTITUTE(SUBSTITUTE(SUBSTITUTE(SUBSTITUTE(SUBSTITUTE(SUBSTITUTE(SUBSTITUTE(SUBSTITUTE(SUBSTITUTE(SUBSTITUTE(SUBSTITUTE(SUBSTITUTE(SUBSTITUTE(BM687,"b","a"),"c","a"),"d","a"),"e","a"),"f","a"),"g","a"),"h","a"),"i","a"),"j","a"),"k","a"),"l","a"),"m","a"),"n","a"),"o","a"),"p","a"),"q","a"),"r","a"),"s","a"),"t","a"),"u","a"),"v","a"),"w","a"),"x","a"),"y","a"),"z","a")</f>
        <v/>
      </c>
      <c r="BO687" s="61" t="str">
        <f aca="false">SUBSTITUTE(SUBSTITUTE(SUBSTITUTE(SUBSTITUTE(SUBSTITUTE(SUBSTITUTE(SUBSTITUTE(SUBSTITUTE(SUBSTITUTE(LOWER(W687&amp;""),"1","0"),"2","0"),"3","0"),"4","0"),"5","0"),"6","0"),"7","0"),"8","0"),"9","0")</f>
        <v/>
      </c>
      <c r="BP687" s="61" t="str">
        <f aca="false">SUBSTITUTE(SUBSTITUTE(SUBSTITUTE(SUBSTITUTE(SUBSTITUTE(SUBSTITUTE(SUBSTITUTE(SUBSTITUTE(SUBSTITUTE(SUBSTITUTE(SUBSTITUTE(SUBSTITUTE(SUBSTITUTE(SUBSTITUTE(SUBSTITUTE(SUBSTITUTE(SUBSTITUTE(SUBSTITUTE(SUBSTITUTE(SUBSTITUTE(SUBSTITUTE(SUBSTITUTE(SUBSTITUTE(SUBSTITUTE(SUBSTITUTE(BO687,"b","a"),"c","a"),"d","a"),"e","a"),"f","a"),"g","a"),"h","a"),"i","a"),"j","a"),"k","a"),"l","a"),"m","a"),"n","a"),"o","a"),"p","a"),"q","a"),"r","a"),"s","a"),"t","a"),"u","a"),"v","a"),"w","a"),"x","a"),"y","a"),"z","a")</f>
        <v/>
      </c>
      <c r="BQ687" s="61" t="n">
        <f aca="false">IFERROR(IF(AND(ISERROR(SEARCH(" mh"," "&amp;LOWER(W687))),ISNA(MATCH(LEFT(TRIM(BP687),255),{"0000a","000a","00a","0000aa","000aa","00aa","0aa","0000aaa","000aaa","00a00","0a00","0000-0000","00:00","a00","a0","00.00.0000","00/00/0000","00-00-0000","0000-00-00","0000/00/00","0000.00.00","00.00.00","00/00/00","00-00-00","0.00.0000","0/00/0000","0-00-0000"},0)),ISNA(MATCH(LEFT(TRIM(CA687),255),{"0000a","000a","00a","0000aa","000aa","00aa","0aa","0000aaa","000aaa","00a00","0a00","0000-0000","00:00","a00","a0","00.00.0000","00/00/0000","00-00-0000","0000-00-00","0000/00/00","0000.00.00","00.00.00","00/00/00","00-00-00","0.00.0000","0/00/0000","0-00-0000"},0)),LEN(CB687)&gt;=3,NOT(OR(SUBSTITUTE(CB687,"0","")="",AND(LEN(CB687)&gt;=4,CB687=REPT(LEFT(CB687),LEN(CB687))),ISNUMBER(MATCH(CB687,{"123","1234","12345","123456","1234567","12345678","0123","01234","012345","98765","987654","54321"},0)),AND(LEN(CB687)=8,LEFT(CB687,3)="202"))),OR(AND((LEN(CA687)-LEN(SUBSTITUTE(CA687,"a","")))&gt;=1,SUMPRODUCT(--ISNUMBER(SEARCH({"a0","a-0","a_0","a/0","a.0","a#0","0a","0-a","0_a","0/a"},BP687)))&gt;0),ISNUMBER(SEARCH("000000",BP687)))),1,0),0)</f>
        <v>0</v>
      </c>
      <c r="BR687" s="61" t="n">
        <f aca="false">IFERROR(LEN(SUBSTITUTE(CC687," ",""))-SUMPRODUCT((LEN(CC687)-LEN(SUBSTITUTE(CC687," "&amp;L_Role&amp;" "," ")))/(LEN(L_Role)+1)*LEN(L_Role)),0)</f>
        <v>0</v>
      </c>
      <c r="BS687" s="61" t="n">
        <f aca="false">IFERROR(LEN(SUBSTITUTE(CD687," ",""))-SUMPRODUCT((LEN(CD687)-LEN(SUBSTITUTE(CD687," "&amp;L_Role&amp;" "," ")))/(LEN(L_Role)+1)*LEN(L_Role)),0)</f>
        <v>0</v>
      </c>
      <c r="BT6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687,"revision",""),"version",""),"jan",""),"feb",""),"mar",""),"apr",""),"may",""),"jun",""),"jul",""),"aug",""),"sep",""),"oct",""),"nov",""),"dec",""),"utc",""),"gmt",""),"myt",""),"bst",""),"rev",""),"ver",""),"b","a"),"c","a"),"d","a"),"e","a"),"f","a"),"g","a"),"h","a"),"i","a"),"j","a"),"k","a"),"l","a"),"m","a"),"n","a"),"o","a"),"p","a"),"q","a"),"r","a"),"s","a"),"t","a"),"u","a"),"v","a"),"w","a"),"x","a"),"y","a"),"z","a")</f>
        <v/>
      </c>
      <c r="BU687" s="61" t="str">
        <f aca="false">SUBSTITUTE(SUBSTITUTE(SUBSTITUTE(SUBSTITUTE(SUBSTITUTE(SUBSTITUTE(SUBSTITUTE(SUBSTITUTE(SUBSTITUTE(SUBSTITUTE(LEFT(BM687,FIND("0",BM687&amp;"0")-1),"-",""),"_",""),"/",""),".",""),"#",""),"\\",""),":","")," ",""),"(",""),")","")</f>
        <v/>
      </c>
      <c r="BV687" s="61" t="n">
        <f aca="false">0</f>
        <v>0</v>
      </c>
      <c r="BW68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687&amp;""),"a",""),"b",""),"c",""),"d",""),"e",""),"f",""),"g",""),"h",""),"i",""),"j",""),"k",""),"l",""),"m",""),"n",""),"o",""),"p",""),"q",""),"r",""),"s",""),"t",""),"u",""),"v",""),"w",""),"x",""),"y",""),"z",""),"-",""),"_",""),"/",""),".",""),"#",""),"\\",""),":","")," ",""),"(",""),")","")</f>
        <v/>
      </c>
      <c r="BX687" s="61" t="str">
        <f aca="false">SUBSTITUTE(SUBSTITUTE(SUBSTITUTE(SUBSTITUTE(SUBSTITUTE(SUBSTITUTE(SUBSTITUTE(SUBSTITUTE(SUBSTITUTE(SUBSTITUTE(SUBSTITUTE(BM687,"0",""),"-",""),"_",""),"/",""),".",""),"#",""),"\\",""),":","")," ",""),"(",""),")","")</f>
        <v/>
      </c>
      <c r="BY687" s="62" t="n">
        <f aca="false">Q687-T12EarlyH/24</f>
        <v>46323.6875</v>
      </c>
      <c r="BZ687" s="61" t="n">
        <f aca="false">IFERROR(IF(IF(TRIM(S687)="Link / file path",AND(LEN(TRIM(Z687))&gt;=5,SUMPRODUCT(--ISNUMBER(SEARCH({"http","www.","\\",":\",".pdf",".jpg",".jpeg",".png",".heic",".xls",".doc",".msg",".eml",".ppt",".txt",".zip"},Z687)))&gt;0),AND(ISERROR(FIND(" ",TRIM(Z687))),NOT(OR(SUMPRODUCT(--ISNUMBER(FIND({",",";","&amp;","+"},Z687)))&gt;0,SUMPRODUCT(--ISNUMBER(SEARCH({"0/aa","0\\aa"},BN687)))&gt;0)),NOT(SUMPRODUCT(--ISNUMBER(SEARCH({"http","www.","\\",":\",".pdf",".jpg",".jpeg",".png",".heic",".xls",".doc",".msg",".eml",".ppt",".txt",".zip"},Z687)))&gt;0),NOT(LOWER(TRIM(Z687))=LOWER(Flights!$F$25)),ISNA(MATCH(BU687,{"mh","rev","revision","ver","version","v","r","a","b","seat","tray","row","gate","bay","stand","page","pg","item","line","no","cart","galley","flight","flt","table","box","bag","oven","etd","eta","std","sta","atd","ata","qty","pax","x","time","tel","ph","mob","day","wk","week","utc","gmt","myt","lt"},0)),NOT(OR(ISNUMBER(MATCH(LEFT(BN687,255),{"0000a","000a","00a","0000aa","000aa","00aa","0aa","0000aaa","000aaa","00a00","0a00","0000-0000","00:00","a00","a0","00.00.0000","00/00/0000","00-00-0000","0000-00-00","0000/00/00","0000.00.00","00.00.00","00/00/00","00-00-00","0.00.0000","0/00/0000","0-00-0000"},0)),ISNUMBER(MATCH(LEFT(BT687,255),{"0000a","000a","00a","0000aa","000aa","00aa","0aa","0000aaa","000aaa","00a00","0a00","0000-0000","00:00","a00","a0","00.00.0000","00/00/0000","00-00-0000","0000-00-00","0000/00/00","0000.00.00","00.00.00","00/00/00","00-00-00","0.00.0000","0/00/0000","0-00-0000"},0)))),NOT(OR(AND(BW687&lt;&gt;"",SUBSTITUTE(BW687,"0","")=""),AND(LEN(BW687)&gt;=4,BW687=REPT(LEFT(BW687),LEN(BW687))),ISNUMBER(MATCH(BW687,{"123","1234","12345","123456","1234567","12345678","0123","01234","012345","98765","987654","54321"},0)),ISNUMBER(MATCH(BX687,{"x","xx","xxx","xxxx","xxxxx","abc","abcd","nil","na","nan","test","tbc","tba","tbd","dummy","sample","example","eg","zz","zzz","none","null","xyz","qwe","asd","id","ref"},0)),AND(LEN(BW687)=8,BX687="",OR(LEFT(BW687,3)="202",ISNUMBER(MATCH(RIGHT(BW687,4),{"2025","2026","2027"},0)))))),OR(AND((LEN(BT687)-LEN(SUBSTITUTE(BT687,"a","")))&gt;=1,(LEN(BN687)-LEN(SUBSTITUTE(BN687,"0","")))&gt;=2,SUMPRODUCT(--ISNUMBER(SEARCH({"a0","a-0","a_0","a/0","a.0","a#0","0a","0-a","0_a","0/a"},BN687)))&gt;0),AND((LEN(BN687)-LEN(SUBSTITUTE(BN687,"a","")))=0,(LEN(BN687)-LEN(SUBSTITUTE(BN687,"0","")))&gt;=5)))),1,0),0)</f>
        <v>0</v>
      </c>
      <c r="CA6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687,"revision",""),"version",""),"jan",""),"feb",""),"mar",""),"apr",""),"may",""),"jun",""),"jul",""),"aug",""),"sep",""),"oct",""),"nov",""),"dec",""),"utc",""),"gmt",""),"myt",""),"bst",""),"rev",""),"ver",""),"b","a"),"c","a"),"d","a"),"e","a"),"f","a"),"g","a"),"h","a"),"i","a"),"j","a"),"k","a"),"l","a"),"m","a"),"n","a"),"o","a"),"p","a"),"q","a"),"r","a"),"s","a"),"t","a"),"u","a"),"v","a"),"w","a"),"x","a"),"y","a"),"z","a")</f>
        <v/>
      </c>
      <c r="CB68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687&amp;""),"a",""),"b",""),"c",""),"d",""),"e",""),"f",""),"g",""),"h",""),"i",""),"j",""),"k",""),"l",""),"m",""),"n",""),"o",""),"p",""),"q",""),"r",""),"s",""),"t",""),"u",""),"v",""),"w",""),"x",""),"y",""),"z",""),"-",""),"_",""),"/",""),".",""),"#",""),"\\",""),":","")," ",""),"(",""),")","")</f>
        <v/>
      </c>
      <c r="CC687" s="0" t="str">
        <f aca="false">" "&amp;TRIM(SUBSTITUTE(SUBSTITUTE(SUBSTITUTE(SUBSTITUTE(SUBSTITUTE(SUBSTITUTE(SUBSTITUTE(SUBSTITUTE(SUBSTITUTE(SUBSTITUTE(SUBSTITUTE(SUBSTITUTE(SUBSTITUTE(SUBSTITUTE(SUBSTITUTE(SUBSTITUTE(SUBSTITUTE(SUBSTITUTE(SUBSTITUTE(SUBSTITUTE(SUBSTITUTE(SUBSTITUTE(SUBSTITUTE(SUBSTITUTE(LOWER(T687&amp;""),CHAR(10)," "),CHAR(13)," "),CHAR(9)," "),CHAR(160)," "),"."," "),","," "),"-"," "),"/"," "),"("," "),")"," "),":"," "),";"," "),"_"," "),"–"," "),"?"," "),"!"," "),"*"," "),"["," "),"]"," "),"'"," "),"#"," "),"+"," "),"&amp;"," "),"\"," "))&amp;" "</f>
        <v>  </v>
      </c>
      <c r="CD687" s="0" t="str">
        <f aca="false">" "&amp;TRIM(SUBSTITUTE(SUBSTITUTE(SUBSTITUTE(SUBSTITUTE(SUBSTITUTE(SUBSTITUTE(SUBSTITUTE(SUBSTITUTE(SUBSTITUTE(SUBSTITUTE(SUBSTITUTE(SUBSTITUTE(SUBSTITUTE(SUBSTITUTE(SUBSTITUTE(SUBSTITUTE(SUBSTITUTE(SUBSTITUTE(SUBSTITUTE(SUBSTITUTE(SUBSTITUTE(SUBSTITUTE(SUBSTITUTE(SUBSTITUTE(LOWER(AE687&amp;""),CHAR(10)," "),CHAR(13)," "),CHAR(9)," "),CHAR(160)," "),"."," "),","," "),"-"," "),"/"," "),"("," "),")"," "),":"," "),";"," "),"_"," "),"–"," "),"?"," "),"!"," "),"*"," "),"["," "),"]"," "),"'"," "),"#"," "),"+"," "),"&amp;"," "),"\"," "))&amp;" "</f>
        <v>  </v>
      </c>
      <c r="CE687" s="68" t="n">
        <f aca="false">IFERROR(IF(AND(LEN(AU687)&gt;0,LEN(AU687)=LEN(AX687),OR(TRIM(MID(SUBSTITUTE(TRIM(CC687)," ",REPT(" ",60)),1,60))="",ISNUMBER(SEARCH(" "&amp;TRIM(MID(SUBSTITUTE(TRIM(CC687)," ",REPT(" ",60)),1,60))&amp;" ",CD687))),OR(TRIM(MID(SUBSTITUTE(TRIM(CC687)," ",REPT(" ",60)),61,60))="",ISNUMBER(SEARCH(" "&amp;TRIM(MID(SUBSTITUTE(TRIM(CC687)," ",REPT(" ",60)),61,60))&amp;" ",CD687))),OR(TRIM(MID(SUBSTITUTE(TRIM(CC687)," ",REPT(" ",60)),121,60))="",ISNUMBER(SEARCH(" "&amp;TRIM(MID(SUBSTITUTE(TRIM(CC687)," ",REPT(" ",60)),121,60))&amp;" ",CD687)))),1,0),0)</f>
        <v>0</v>
      </c>
      <c r="CG687" s="68" t="n">
        <f aca="false">IFERROR(LEN(SUBSTITUTE(BF687," ",""))-SUMPRODUCT((LEN(BF687)-LEN(SUBSTITUTE(BF687," "&amp;L_NAFiller&amp;" "," ")))/(LEN(L_NAFiller)+1)*LEN(L_NAFiller)),0)</f>
        <v>0</v>
      </c>
    </row>
    <row r="688" customFormat="false" ht="66" hidden="false" customHeight="true" outlineLevel="0" collapsed="false">
      <c r="A688" s="57" t="s">
        <v>1417</v>
      </c>
      <c r="B688" s="57" t="s">
        <v>310</v>
      </c>
      <c r="C688" s="57" t="str">
        <f aca="false">Flights!$F$25</f>
        <v>MH1437</v>
      </c>
      <c r="D688" s="58" t="n">
        <f aca="false">Flights!$D$25</f>
        <v>46325</v>
      </c>
      <c r="E688" s="57" t="str">
        <f aca="false">Flights!$G$25&amp;"-"&amp;Flights!$H$25</f>
        <v>LGK-KUL</v>
      </c>
      <c r="F688" s="57" t="str">
        <f aca="false">Flights!$K$25</f>
        <v>BC</v>
      </c>
      <c r="G688" s="57" t="s">
        <v>420</v>
      </c>
      <c r="H688" s="57" t="s">
        <v>378</v>
      </c>
      <c r="I688" s="57" t="s">
        <v>499</v>
      </c>
      <c r="J688" s="57" t="s">
        <v>523</v>
      </c>
      <c r="K688" s="67" t="s">
        <v>501</v>
      </c>
      <c r="L688" s="67" t="s">
        <v>1418</v>
      </c>
      <c r="M688" s="67" t="s">
        <v>451</v>
      </c>
      <c r="N688" s="67" t="s">
        <v>383</v>
      </c>
      <c r="O688" s="67" t="s">
        <v>984</v>
      </c>
      <c r="P688" s="57" t="s">
        <v>187</v>
      </c>
      <c r="Q688" s="59" t="n">
        <f aca="false">ROUND((MIN(Flights!$AE$25,Flights!$AY$25))*1440,0)/1440</f>
        <v>46324.1875</v>
      </c>
      <c r="R688" s="59" t="n">
        <f aca="false">Q688+(IF(AND(INDEX(TZ_DSTS,MATCH(P688,TZ_STN,0))&lt;&gt;"",Q688&gt;=INDEX(TZ_DSTS,MATCH(P688,TZ_STN,0)),Q688&lt;INDEX(TZ_DSTE,MATCH(P688,TZ_STN,0))),INDEX(TZ_DST,MATCH(P688,TZ_STN,0)),INDEX(TZ_STD,MATCH(P688,TZ_STN,0))))/24</f>
        <v>46324.5208333333</v>
      </c>
      <c r="S688" s="60"/>
      <c r="T688" s="60"/>
      <c r="U688" s="60"/>
      <c r="V688" s="60"/>
      <c r="W688" s="61"/>
      <c r="X688" s="60"/>
      <c r="Y688" s="60"/>
      <c r="Z688" s="60"/>
      <c r="AA688" s="60"/>
      <c r="AB688" s="60"/>
      <c r="AC688" s="60"/>
      <c r="AD688" s="66"/>
      <c r="AE688" s="60"/>
      <c r="AF688" s="61" t="str">
        <f aca="false">IF(AND(ISNUMBER(X688),ISNUMBER(Y688)),Y688-X688,"")</f>
        <v/>
      </c>
      <c r="AG688" s="62" t="str">
        <f aca="false">IF(ISNUMBER(AD688),AD688-(IF(AND(INDEX(TZ_DSTS,MATCH(P688,TZ_STN,0))&lt;&gt;"",(AD688-INDEX(TZ_STD,MATCH(P688,TZ_STN,0))/24)&gt;=INDEX(TZ_DSTS,MATCH(P688,TZ_STN,0)),(AD688-INDEX(TZ_STD,MATCH(P688,TZ_STN,0))/24)&lt;INDEX(TZ_DSTE,MATCH(P688,TZ_STN,0))),INDEX(TZ_DST,MATCH(P688,TZ_STN,0)),INDEX(TZ_STD,MATCH(P688,TZ_STN,0))))/24,"")</f>
        <v/>
      </c>
      <c r="AH688" s="65" t="str">
        <f aca="false">IFERROR(IF(N688="N/A – rule",IF(OR(TRIM(U688)="",TRIM(U688)="N/A",TRIM(U688)="Not started"),"N/A – RULE","INVALID – this check does not apply to this aircraft: clear the status (or correct the fleet on Flights)"),IF(TRIM(U688)="N/A",IF(AT688=0,"INVALID – N/A not permitted for this check",IF(AND(TRIM(AB688)&lt;&gt;"",TRIM(AB688)&lt;&gt;"Closed"),"INVALID – corrective action still open",IF(AND(NOT(OR(LEN(AZ688)&lt;15,ISNUMBER(MATCH(AZ688,L_Placeholder,0)))),BK688=0,CG688&gt;=8,NOT(OR(LEN(AU688)&lt;2,ISNUMBER(MATCH(AU688,L_Placeholder,0)))),BR688&gt;=3,NOT(OR(LEN(AX688)&lt;2,ISNUMBER(MATCH(AX688,L_Placeholder,0)))),BS688&gt;=3,TRIM(AE688)&lt;&gt;TRIM(T688),AX688&lt;&gt;AU688,CE688=0),"N/A – JUSTIFIED","INVALID – N/A needs a real, settled reason (not 'not applicable' / 'as above' / TBC), a named PIC and a different named verifier"))),IF(OR(TRIM(U688)="Pass",TRIM(U688)="Pass after CA"),IF(NOT(ISNUMBER(AD688)),"INVALID – completion time missing",IF(OR(OR(LEN(AU688)&lt;2,ISNUMBER(MATCH(AU688,L_Placeholder,0))),BR688&lt;3),"INVALID – PIC missing or not a named person (a role such as QA / CSM is not a name)",IF(OR(LEN(AV688)&lt;2,ISNUMBER(MATCH(AV688,L_Placeholder,0))),"INVALID – result / assessment missing",IF(OR(OR(LEN(AW688)&lt;3,ISNUMBER(MATCH(AW688,L_Placeholder,0))),SUMPRODUCT(--ISNUMBER(SEARCH(" "&amp;L_EvidencePhrase&amp;" ",BD688)))&gt;0,BI688=1),"INVALID – evidence missing, placeholder or not yet on file",IF(ISNA(MATCH(TRIM(S688),L_EvidenceType,0)),"INVALID – choose the evidence type from the list (column S)",IF(BL688=0,"INVALID – evidence ID must be the record's own ID only (e.g. SF-2210, IMG_2231, 1045521); a link / file name needs type 'Link / file path'",IF(OR(OR(LEN(AX688)&lt;2,ISNUMBER(MATCH(AX688,L_Placeholder,0))),BS688&lt;3),"INVALID – verifier missing or not a named person (a role such as QA / CSM is not a name)",IF(OR(AX688=AU688,CE688=1,AND(LEN(AU688)&gt;=4,ISNUMBER(SEARCH(AU688,AX688))),AND(LEN(AX688)&gt;=4,ISNUMBER(SEARCH(AX688,AU688)))),"INVALID – verifier must be a different, named person (not the PIC or a role)",IF(BH688=1,"INVALID – result not yet available (awaiting / TBC)",IF(BG688=1,"INVALID – result describes a problem: record Fail, then Pass after CA (or reword if it is not a problem)",IF(BV688=1,"INVALID – wording says not on board: an on-board confirmation needs the item loaded",IF(AND(AQ688=1,OR(OR(LEN(AY688)&lt;3,ISNUMBER(MATCH(AY688,L_Placeholder,0))),BJ688=1,BQ688=0)),"INVALID – batch ID missing, placeholder or not an ID (e.g. PASB-261008-BC-017)",IF(AND(AR688=1,OR(NOT(ISNUMBER(X688)),NOT(ISNUMBER(Y688)))),"INVALID – expected/actual qty missing",IF(AND(AR688=1,OR(X688&lt;=0,Y688&lt;0)),"INVALID – expected qty must be above 0 and actual not negative",IF(BB688&lt;&gt;"",BB688,IF(AND(AS688=1,Documents!$J$25&lt;&gt;"ON FILE"),"INVALID – GLD not on file (Documents sheet)",IF(AND(AS688=2,Documents!$O$25&lt;&gt;"ON FILE"),"INVALID – menu checklist not on file (Documents sheet)",IF(AND(AS688=3,NOT(ISNUMBER(Flights!$AX$25))),"INVALID – enter carrying flight KUL departure (Flights AX)",IF(AND(AS688=3,OR(Flights!$AZ$25&gt;Flights!$AA$25,Flights!$AX$25&lt;Flights!$AA$25-3)),"INVALID – carrying flight (Flights AX) cannot arrive before this leg's STD, or is over 3 days early",IF(AG688&gt;AsOfUTC,"INVALID – completion time is in the future",IF(AND(ISNUMBER(BY688),AG688&lt;BY688),IF(H688="Physical uplift","INVALID – before uplift window (cannot confirm loading)","INVALID – before valid window"),IF(AG688&gt;Flights!$AA$25,"INVALID – completed after departure (cannot establish readiness)",IF(AND(H688="Preparation",AG688&gt;=Flights!$AY$25+UpliftWindowH/24),"INVALID – completed after the carrying flight left KUL",IF(AND(H688="Physical uplift",AG688&gt;Q688),"INVALID – recorded after the loading flight departed",IF(AG688&gt;Q688,"COMPLETE – LATE","COMPLETE"))))))))))))))))))))))))),IF(TRIM(U688)="Fail","FAIL – DISCREPANCY",IF(AND(TRIM(U688)&lt;&gt;"",TRIM(U688)&lt;&gt;"Not started",TRIM(U688)&lt;&gt;"In progress"),"INVALID – unrecognised status (use the list)",IF(AsOfUTC&gt;Q688,"OVERDUE",IF(N688="Clarification required","OPEN – CLARIFICATION","OPEN"))))))),"INVALID – error value in an input cell")</f>
        <v>OPEN</v>
      </c>
      <c r="AI688" s="61" t="n">
        <f aca="false">IF(OR(AH688="N/A – RULE",AH688="N/A – JUSTIFIED"),0,1)</f>
        <v>1</v>
      </c>
      <c r="AJ688" s="61" t="n">
        <f aca="false">IF(LEFT(AH688,8)="COMPLETE",1,0)</f>
        <v>0</v>
      </c>
      <c r="AK688" s="61" t="n">
        <f aca="false">IF(AND(AI688=1,AJ688=0,AsOfUTC&gt;Q688),1,0)</f>
        <v>0</v>
      </c>
      <c r="AL688" s="61" t="n">
        <f aca="false">IFERROR(IF(AND(AI688=1,OR(TRIM(U688)="Fail",AND(TRIM(AB688)&lt;&gt;"",TRIM(AB688)&lt;&gt;"Closed"),AND(ISNUMBER(AF688),AF688&lt;&gt;0,TRIM(U688)&lt;&gt;"Pass after CA"))),1,0),1)</f>
        <v>0</v>
      </c>
      <c r="AM688" s="61" t="n">
        <f aca="false">IF(LEFT(AH688,7)="INVALID",1,0)</f>
        <v>0</v>
      </c>
      <c r="AN688" s="61" t="n">
        <f aca="false">IF(AND(N688="Clarification required",AI688=1,AJ688=0),1,0)</f>
        <v>0</v>
      </c>
      <c r="AO688" s="61" t="str">
        <f aca="false">IF(AK688=1,SUM(AK$5:AK688),"")</f>
        <v/>
      </c>
      <c r="AP688" s="61" t="str">
        <f aca="false">IF(AL688=1,SUM(AL$5:AL688),"")</f>
        <v/>
      </c>
      <c r="AQ688" s="61" t="n">
        <v>0</v>
      </c>
      <c r="AR688" s="61" t="n">
        <v>0</v>
      </c>
      <c r="AS688" s="61" t="n">
        <v>0</v>
      </c>
      <c r="AT688" s="61" t="n">
        <v>0</v>
      </c>
      <c r="AU688" s="61" t="str">
        <f aca="false">SUBSTITUTE(SUBSTITUTE(SUBSTITUTE(SUBSTITUTE(SUBSTITUTE(SUBSTITUTE(SUBSTITUTE(SUBSTITUTE(SUBSTITUTE(SUBSTITUTE(SUBSTITUTE(SUBSTITUTE(SUBSTITUTE(SUBSTITUTE(SUBSTITUTE(SUBSTITUTE(LOWER(T688&amp;""),CHAR(10),""),CHAR(13),""),CHAR(9),""),CHAR(160),"")," ",""),".",""),"-",""),"/",""),"?",""),"_",""),",",""),"[",""),"]",""),"(",""),")",""),"*","")</f>
        <v/>
      </c>
      <c r="AV688" s="61" t="str">
        <f aca="false">SUBSTITUTE(SUBSTITUTE(SUBSTITUTE(SUBSTITUTE(SUBSTITUTE(SUBSTITUTE(SUBSTITUTE(SUBSTITUTE(SUBSTITUTE(SUBSTITUTE(SUBSTITUTE(SUBSTITUTE(SUBSTITUTE(SUBSTITUTE(SUBSTITUTE(SUBSTITUTE(LOWER(V688&amp;""),CHAR(10),""),CHAR(13),""),CHAR(9),""),CHAR(160),"")," ",""),".",""),"-",""),"/",""),"?",""),"_",""),",",""),"[",""),"]",""),"(",""),")",""),"*","")</f>
        <v/>
      </c>
      <c r="AW688" s="61" t="str">
        <f aca="false">SUBSTITUTE(SUBSTITUTE(SUBSTITUTE(SUBSTITUTE(SUBSTITUTE(SUBSTITUTE(SUBSTITUTE(SUBSTITUTE(SUBSTITUTE(SUBSTITUTE(SUBSTITUTE(SUBSTITUTE(SUBSTITUTE(SUBSTITUTE(SUBSTITUTE(SUBSTITUTE(LOWER(Z688&amp;""),CHAR(10),""),CHAR(13),""),CHAR(9),""),CHAR(160),"")," ",""),".",""),"-",""),"/",""),"?",""),"_",""),",",""),"[",""),"]",""),"(",""),")",""),"*","")</f>
        <v/>
      </c>
      <c r="AX688" s="61" t="str">
        <f aca="false">SUBSTITUTE(SUBSTITUTE(SUBSTITUTE(SUBSTITUTE(SUBSTITUTE(SUBSTITUTE(SUBSTITUTE(SUBSTITUTE(SUBSTITUTE(SUBSTITUTE(SUBSTITUTE(SUBSTITUTE(SUBSTITUTE(SUBSTITUTE(SUBSTITUTE(SUBSTITUTE(LOWER(AE688&amp;""),CHAR(10),""),CHAR(13),""),CHAR(9),""),CHAR(160),"")," ",""),".",""),"-",""),"/",""),"?",""),"_",""),",",""),"[",""),"]",""),"(",""),")",""),"*","")</f>
        <v/>
      </c>
      <c r="AY688" s="61" t="str">
        <f aca="false">SUBSTITUTE(SUBSTITUTE(SUBSTITUTE(SUBSTITUTE(SUBSTITUTE(SUBSTITUTE(SUBSTITUTE(SUBSTITUTE(SUBSTITUTE(SUBSTITUTE(SUBSTITUTE(SUBSTITUTE(SUBSTITUTE(SUBSTITUTE(SUBSTITUTE(SUBSTITUTE(LOWER(W688&amp;""),CHAR(10),""),CHAR(13),""),CHAR(9),""),CHAR(160),"")," ",""),".",""),"-",""),"/",""),"?",""),"_",""),",",""),"[",""),"]",""),"(",""),")",""),"*","")</f>
        <v/>
      </c>
      <c r="AZ688" s="61" t="str">
        <f aca="false">SUBSTITUTE(SUBSTITUTE(SUBSTITUTE(SUBSTITUTE(SUBSTITUTE(SUBSTITUTE(SUBSTITUTE(SUBSTITUTE(SUBSTITUTE(SUBSTITUTE(SUBSTITUTE(SUBSTITUTE(SUBSTITUTE(SUBSTITUTE(SUBSTITUTE(SUBSTITUTE(LOWER(AC688&amp;""),CHAR(10),""),CHAR(13),""),CHAR(9),""),CHAR(160),"")," ",""),".",""),"-",""),"/",""),"?",""),"_",""),",",""),"[",""),"]",""),"(",""),")",""),"*","")</f>
        <v/>
      </c>
      <c r="BA688" s="61" t="str">
        <f aca="false">SUBSTITUTE(SUBSTITUTE(SUBSTITUTE(SUBSTITUTE(SUBSTITUTE(SUBSTITUTE(SUBSTITUTE(SUBSTITUTE(SUBSTITUTE(SUBSTITUTE(SUBSTITUTE(SUBSTITUTE(SUBSTITUTE(SUBSTITUTE(SUBSTITUTE(SUBSTITUTE(LOWER(AA688&amp;""),CHAR(10),""),CHAR(13),""),CHAR(9),""),CHAR(160),"")," ",""),".",""),"-",""),"/",""),"?",""),"_",""),",",""),"[",""),"]",""),"(",""),")",""),"*","")</f>
        <v/>
      </c>
      <c r="BB688" s="61" t="str">
        <f aca="false">IF(AND(TRIM(U688)="Pass",ISNUMBER(AF688)),IF(AF688&lt;&gt;0,"INVALID – qty variance: use Fail or Pass after CA",""),"")&amp;IF(AND(TRIM(U688)="Pass after CA",ISNUMBER(AF688)),IF(AF688&lt;&gt;0,"INVALID – after the corrective action the actual qty must equal expected (update Actual)",""),"")&amp;IF(AND(TRIM(U688)="Pass",TRIM(AB688)&lt;&gt;"",TRIM(AB688)&lt;&gt;"Closed"),"INVALID – corrective action not closed: use Fail, then Pass after CA","")&amp;IF(AND(LEN(BA688)&gt;=2,ISNA(MATCH(LEFT(BA688,255),L_Placeholder,0)),TRIM(AB688)=""),"INVALID – CA status missing for the recorded corrective action","")&amp;IF(AND(TRIM(U688)="Pass after CA",OR(OR(LEN(BA688)&lt;5,ISNUMBER(MATCH(BA688,L_Placeholder,0))),TRIM(AB688)&lt;&gt;"Closed")),"INVALID – corrective action not recorded/closed","")</f>
        <v/>
      </c>
      <c r="BC688" s="61" t="str">
        <f aca="false">" "&amp;TRIM(SUBSTITUTE(SUBSTITUTE(SUBSTITUTE(SUBSTITUTE(SUBSTITUTE(SUBSTITUTE(SUBSTITUTE(SUBSTITUTE(SUBSTITUTE(SUBSTITUTE(SUBSTITUTE(SUBSTITUTE(SUBSTITUTE(SUBSTITUTE(SUBSTITUTE(SUBSTITUTE(SUBSTITUTE(SUBSTITUTE(SUBSTITUTE(SUBSTITUTE(SUBSTITUTE(SUBSTITUTE(SUBSTITUTE(SUBSTITUTE(LOWER(V688&amp;""),CHAR(10)," "),CHAR(13)," "),CHAR(9)," "),CHAR(160)," "),"."," "),","," "),"-"," "),"/"," "),"("," "),")"," "),":"," "),";"," "),"_"," "),"–"," "),"?"," "),"!"," "),"*"," "),"["," "),"]"," "),"'"," "),"#"," "),"+"," "),"&amp;"," "),"\"," "))&amp;" "</f>
        <v>  </v>
      </c>
      <c r="BD688" s="61" t="str">
        <f aca="false">" "&amp;TRIM(SUBSTITUTE(SUBSTITUTE(SUBSTITUTE(SUBSTITUTE(SUBSTITUTE(SUBSTITUTE(SUBSTITUTE(SUBSTITUTE(SUBSTITUTE(SUBSTITUTE(SUBSTITUTE(SUBSTITUTE(SUBSTITUTE(SUBSTITUTE(SUBSTITUTE(SUBSTITUTE(SUBSTITUTE(SUBSTITUTE(SUBSTITUTE(SUBSTITUTE(SUBSTITUTE(SUBSTITUTE(SUBSTITUTE(SUBSTITUTE(LOWER(Z688&amp;""),CHAR(10)," "),CHAR(13)," "),CHAR(9)," "),CHAR(160)," "),"."," "),","," "),"-"," "),"/"," "),"("," "),")"," "),":"," "),";"," "),"_"," "),"–"," "),"?"," "),"!"," "),"*"," "),"["," "),"]"," "),"'"," "),"#"," "),"+"," "),"&amp;"," "),"\"," "))&amp;" "</f>
        <v>  </v>
      </c>
      <c r="BE688" s="61" t="str">
        <f aca="false">" "&amp;TRIM(SUBSTITUTE(SUBSTITUTE(SUBSTITUTE(SUBSTITUTE(SUBSTITUTE(SUBSTITUTE(SUBSTITUTE(SUBSTITUTE(SUBSTITUTE(SUBSTITUTE(SUBSTITUTE(SUBSTITUTE(SUBSTITUTE(SUBSTITUTE(SUBSTITUTE(SUBSTITUTE(SUBSTITUTE(SUBSTITUTE(SUBSTITUTE(SUBSTITUTE(SUBSTITUTE(SUBSTITUTE(SUBSTITUTE(SUBSTITUTE(LOWER(W688&amp;""),CHAR(10)," "),CHAR(13)," "),CHAR(9)," "),CHAR(160)," "),"."," "),","," "),"-"," "),"/"," "),"("," "),")"," "),":"," "),";"," "),"_"," "),"–"," "),"?"," "),"!"," "),"*"," "),"["," "),"]"," "),"'"," "),"#"," "),"+"," "),"&amp;"," "),"\"," "))&amp;" "</f>
        <v>  </v>
      </c>
      <c r="BF688" s="61" t="str">
        <f aca="false">" "&amp;TRIM(SUBSTITUTE(SUBSTITUTE(SUBSTITUTE(SUBSTITUTE(SUBSTITUTE(SUBSTITUTE(SUBSTITUTE(SUBSTITUTE(SUBSTITUTE(SUBSTITUTE(SUBSTITUTE(SUBSTITUTE(SUBSTITUTE(SUBSTITUTE(SUBSTITUTE(SUBSTITUTE(SUBSTITUTE(SUBSTITUTE(SUBSTITUTE(SUBSTITUTE(SUBSTITUTE(SUBSTITUTE(SUBSTITUTE(SUBSTITUTE(LOWER(AC688&amp;""),CHAR(10)," "),CHAR(13)," "),CHAR(9)," "),CHAR(160)," "),"."," "),","," "),"-"," "),"/"," "),"("," "),")"," "),":"," "),";"," "),"_"," "),"–"," "),"?"," "),"!"," "),"*"," "),"["," "),"]"," "),"'"," "),"#"," "),"+"," "),"&amp;"," "),"\"," "))&amp;" "</f>
        <v>  </v>
      </c>
      <c r="BG688" s="61" t="n">
        <f aca="false">IFERROR(IF(AND(TRIM(U688)="Pass",SUMPRODUCT((LEN(BC688)-LEN(SUBSTITUTE(BC688," "&amp;L_ResultBad&amp;" "," ")))/(LEN(L_ResultBad)+1))&gt;SUMPRODUCT((LEN(BC688)-LEN(SUBSTITUTE(BC688," "&amp;L_NegPhrase&amp;" "," ")))/(LEN(L_NegPhrase)+1))),1,0),0)</f>
        <v>0</v>
      </c>
      <c r="BH688" s="61" t="n">
        <f aca="false">IFERROR(IF(SUMPRODUCT((LEN(BC688)-LEN(SUBSTITUTE(BC688," "&amp;L_Pending&amp;" "," ")))/(LEN(L_Pending)+1))&gt;SUMPRODUCT((LEN(BC688)-LEN(SUBSTITUTE(BC688," "&amp;L_PendNeg&amp;" "," ")))/(LEN(L_PendNeg)+1))+SUMPRODUCT((LEN(BC688)-LEN(SUBSTITUTE(BC688," "&amp;L_PendPrep&amp;" "," ")))/(LEN(L_PendPrep)+1)),1,0),1)</f>
        <v>0</v>
      </c>
      <c r="BI688" s="61" t="n">
        <f aca="false">IFERROR(IF(SUMPRODUCT((LEN(BD688)-LEN(SUBSTITUTE(BD688," "&amp;L_PendStrict&amp;" "," ")))/(LEN(L_PendStrict)+1))&gt;SUMPRODUCT((LEN(BD688)-LEN(SUBSTITUTE(BD688," "&amp;L_PendNeg&amp;" "," ")))/(LEN(L_PendNeg)+1)),1,0),1)</f>
        <v>0</v>
      </c>
      <c r="BJ688" s="61" t="n">
        <f aca="false">IFERROR(IF(SUMPRODUCT((LEN(BE688)-LEN(SUBSTITUTE(BE688," "&amp;L_Pending&amp;" "," ")))/(LEN(L_Pending)+1))&gt;SUMPRODUCT((LEN(BE688)-LEN(SUBSTITUTE(BE688," "&amp;L_PendNeg&amp;" "," ")))/(LEN(L_PendNeg)+1))+SUMPRODUCT((LEN(BE688)-LEN(SUBSTITUTE(BE688," "&amp;L_PendPrep&amp;" "," ")))/(LEN(L_PendPrep)+1)),1,0),1)</f>
        <v>0</v>
      </c>
      <c r="BK688" s="61" t="n">
        <f aca="false">IFERROR(IF(SUMPRODUCT((LEN(BF688)-LEN(SUBSTITUTE(BF688," "&amp;L_PendStrict&amp;" "," ")))/(LEN(L_PendStrict)+1))&gt;SUMPRODUCT((LEN(BF688)-LEN(SUBSTITUTE(BF688," "&amp;L_PendNeg&amp;" "," ")))/(LEN(L_PendNeg)+1)),1,0),1)</f>
        <v>0</v>
      </c>
      <c r="BL688" s="61" t="n">
        <f aca="false">IF(ISNA(MATCH(TRIM(S688),L_EvidenceType,0)),0,BZ688)</f>
        <v>0</v>
      </c>
      <c r="BM688" s="61" t="str">
        <f aca="false">SUBSTITUTE(SUBSTITUTE(SUBSTITUTE(SUBSTITUTE(SUBSTITUTE(SUBSTITUTE(SUBSTITUTE(SUBSTITUTE(SUBSTITUTE(LOWER(Z688&amp;""),"1","0"),"2","0"),"3","0"),"4","0"),"5","0"),"6","0"),"7","0"),"8","0"),"9","0")</f>
        <v/>
      </c>
      <c r="BN688" s="61" t="str">
        <f aca="false">SUBSTITUTE(SUBSTITUTE(SUBSTITUTE(SUBSTITUTE(SUBSTITUTE(SUBSTITUTE(SUBSTITUTE(SUBSTITUTE(SUBSTITUTE(SUBSTITUTE(SUBSTITUTE(SUBSTITUTE(SUBSTITUTE(SUBSTITUTE(SUBSTITUTE(SUBSTITUTE(SUBSTITUTE(SUBSTITUTE(SUBSTITUTE(SUBSTITUTE(SUBSTITUTE(SUBSTITUTE(SUBSTITUTE(SUBSTITUTE(SUBSTITUTE(BM688,"b","a"),"c","a"),"d","a"),"e","a"),"f","a"),"g","a"),"h","a"),"i","a"),"j","a"),"k","a"),"l","a"),"m","a"),"n","a"),"o","a"),"p","a"),"q","a"),"r","a"),"s","a"),"t","a"),"u","a"),"v","a"),"w","a"),"x","a"),"y","a"),"z","a")</f>
        <v/>
      </c>
      <c r="BO688" s="61" t="str">
        <f aca="false">SUBSTITUTE(SUBSTITUTE(SUBSTITUTE(SUBSTITUTE(SUBSTITUTE(SUBSTITUTE(SUBSTITUTE(SUBSTITUTE(SUBSTITUTE(LOWER(W688&amp;""),"1","0"),"2","0"),"3","0"),"4","0"),"5","0"),"6","0"),"7","0"),"8","0"),"9","0")</f>
        <v/>
      </c>
      <c r="BP688" s="61" t="str">
        <f aca="false">SUBSTITUTE(SUBSTITUTE(SUBSTITUTE(SUBSTITUTE(SUBSTITUTE(SUBSTITUTE(SUBSTITUTE(SUBSTITUTE(SUBSTITUTE(SUBSTITUTE(SUBSTITUTE(SUBSTITUTE(SUBSTITUTE(SUBSTITUTE(SUBSTITUTE(SUBSTITUTE(SUBSTITUTE(SUBSTITUTE(SUBSTITUTE(SUBSTITUTE(SUBSTITUTE(SUBSTITUTE(SUBSTITUTE(SUBSTITUTE(SUBSTITUTE(BO688,"b","a"),"c","a"),"d","a"),"e","a"),"f","a"),"g","a"),"h","a"),"i","a"),"j","a"),"k","a"),"l","a"),"m","a"),"n","a"),"o","a"),"p","a"),"q","a"),"r","a"),"s","a"),"t","a"),"u","a"),"v","a"),"w","a"),"x","a"),"y","a"),"z","a")</f>
        <v/>
      </c>
      <c r="BQ688" s="61" t="n">
        <f aca="false">IFERROR(IF(AND(ISERROR(SEARCH(" mh"," "&amp;LOWER(W688))),ISNA(MATCH(LEFT(TRIM(BP688),255),{"0000a","000a","00a","0000aa","000aa","00aa","0aa","0000aaa","000aaa","00a00","0a00","0000-0000","00:00","a00","a0","00.00.0000","00/00/0000","00-00-0000","0000-00-00","0000/00/00","0000.00.00","00.00.00","00/00/00","00-00-00","0.00.0000","0/00/0000","0-00-0000"},0)),ISNA(MATCH(LEFT(TRIM(CA688),255),{"0000a","000a","00a","0000aa","000aa","00aa","0aa","0000aaa","000aaa","00a00","0a00","0000-0000","00:00","a00","a0","00.00.0000","00/00/0000","00-00-0000","0000-00-00","0000/00/00","0000.00.00","00.00.00","00/00/00","00-00-00","0.00.0000","0/00/0000","0-00-0000"},0)),LEN(CB688)&gt;=3,NOT(OR(SUBSTITUTE(CB688,"0","")="",AND(LEN(CB688)&gt;=4,CB688=REPT(LEFT(CB688),LEN(CB688))),ISNUMBER(MATCH(CB688,{"123","1234","12345","123456","1234567","12345678","0123","01234","012345","98765","987654","54321"},0)),AND(LEN(CB688)=8,LEFT(CB688,3)="202"))),OR(AND((LEN(CA688)-LEN(SUBSTITUTE(CA688,"a","")))&gt;=1,SUMPRODUCT(--ISNUMBER(SEARCH({"a0","a-0","a_0","a/0","a.0","a#0","0a","0-a","0_a","0/a"},BP688)))&gt;0),ISNUMBER(SEARCH("000000",BP688)))),1,0),0)</f>
        <v>0</v>
      </c>
      <c r="BR688" s="61" t="n">
        <f aca="false">IFERROR(LEN(SUBSTITUTE(CC688," ",""))-SUMPRODUCT((LEN(CC688)-LEN(SUBSTITUTE(CC688," "&amp;L_Role&amp;" "," ")))/(LEN(L_Role)+1)*LEN(L_Role)),0)</f>
        <v>0</v>
      </c>
      <c r="BS688" s="61" t="n">
        <f aca="false">IFERROR(LEN(SUBSTITUTE(CD688," ",""))-SUMPRODUCT((LEN(CD688)-LEN(SUBSTITUTE(CD688," "&amp;L_Role&amp;" "," ")))/(LEN(L_Role)+1)*LEN(L_Role)),0)</f>
        <v>0</v>
      </c>
      <c r="BT6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688,"revision",""),"version",""),"jan",""),"feb",""),"mar",""),"apr",""),"may",""),"jun",""),"jul",""),"aug",""),"sep",""),"oct",""),"nov",""),"dec",""),"utc",""),"gmt",""),"myt",""),"bst",""),"rev",""),"ver",""),"b","a"),"c","a"),"d","a"),"e","a"),"f","a"),"g","a"),"h","a"),"i","a"),"j","a"),"k","a"),"l","a"),"m","a"),"n","a"),"o","a"),"p","a"),"q","a"),"r","a"),"s","a"),"t","a"),"u","a"),"v","a"),"w","a"),"x","a"),"y","a"),"z","a")</f>
        <v/>
      </c>
      <c r="BU688" s="61" t="str">
        <f aca="false">SUBSTITUTE(SUBSTITUTE(SUBSTITUTE(SUBSTITUTE(SUBSTITUTE(SUBSTITUTE(SUBSTITUTE(SUBSTITUTE(SUBSTITUTE(SUBSTITUTE(LEFT(BM688,FIND("0",BM688&amp;"0")-1),"-",""),"_",""),"/",""),".",""),"#",""),"\\",""),":","")," ",""),"(",""),")","")</f>
        <v/>
      </c>
      <c r="BV688" s="61" t="n">
        <f aca="false">0</f>
        <v>0</v>
      </c>
      <c r="BW68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688&amp;""),"a",""),"b",""),"c",""),"d",""),"e",""),"f",""),"g",""),"h",""),"i",""),"j",""),"k",""),"l",""),"m",""),"n",""),"o",""),"p",""),"q",""),"r",""),"s",""),"t",""),"u",""),"v",""),"w",""),"x",""),"y",""),"z",""),"-",""),"_",""),"/",""),".",""),"#",""),"\\",""),":","")," ",""),"(",""),")","")</f>
        <v/>
      </c>
      <c r="BX688" s="61" t="str">
        <f aca="false">SUBSTITUTE(SUBSTITUTE(SUBSTITUTE(SUBSTITUTE(SUBSTITUTE(SUBSTITUTE(SUBSTITUTE(SUBSTITUTE(SUBSTITUTE(SUBSTITUTE(SUBSTITUTE(BM688,"0",""),"-",""),"_",""),"/",""),".",""),"#",""),"\\",""),":","")," ",""),"(",""),")","")</f>
        <v/>
      </c>
      <c r="BY688" s="62" t="n">
        <f aca="false">Q688-T12EarlyH/24</f>
        <v>46323.6875</v>
      </c>
      <c r="BZ688" s="61" t="n">
        <f aca="false">IFERROR(IF(IF(TRIM(S688)="Link / file path",AND(LEN(TRIM(Z688))&gt;=5,SUMPRODUCT(--ISNUMBER(SEARCH({"http","www.","\\",":\",".pdf",".jpg",".jpeg",".png",".heic",".xls",".doc",".msg",".eml",".ppt",".txt",".zip"},Z688)))&gt;0),AND(ISERROR(FIND(" ",TRIM(Z688))),NOT(OR(SUMPRODUCT(--ISNUMBER(FIND({",",";","&amp;","+"},Z688)))&gt;0,SUMPRODUCT(--ISNUMBER(SEARCH({"0/aa","0\\aa"},BN688)))&gt;0)),NOT(SUMPRODUCT(--ISNUMBER(SEARCH({"http","www.","\\",":\",".pdf",".jpg",".jpeg",".png",".heic",".xls",".doc",".msg",".eml",".ppt",".txt",".zip"},Z688)))&gt;0),NOT(LOWER(TRIM(Z688))=LOWER(Flights!$F$25)),ISNA(MATCH(BU688,{"mh","rev","revision","ver","version","v","r","a","b","seat","tray","row","gate","bay","stand","page","pg","item","line","no","cart","galley","flight","flt","table","box","bag","oven","etd","eta","std","sta","atd","ata","qty","pax","x","time","tel","ph","mob","day","wk","week","utc","gmt","myt","lt"},0)),NOT(OR(ISNUMBER(MATCH(LEFT(BN688,255),{"0000a","000a","00a","0000aa","000aa","00aa","0aa","0000aaa","000aaa","00a00","0a00","0000-0000","00:00","a00","a0","00.00.0000","00/00/0000","00-00-0000","0000-00-00","0000/00/00","0000.00.00","00.00.00","00/00/00","00-00-00","0.00.0000","0/00/0000","0-00-0000"},0)),ISNUMBER(MATCH(LEFT(BT688,255),{"0000a","000a","00a","0000aa","000aa","00aa","0aa","0000aaa","000aaa","00a00","0a00","0000-0000","00:00","a00","a0","00.00.0000","00/00/0000","00-00-0000","0000-00-00","0000/00/00","0000.00.00","00.00.00","00/00/00","00-00-00","0.00.0000","0/00/0000","0-00-0000"},0)))),NOT(OR(AND(BW688&lt;&gt;"",SUBSTITUTE(BW688,"0","")=""),AND(LEN(BW688)&gt;=4,BW688=REPT(LEFT(BW688),LEN(BW688))),ISNUMBER(MATCH(BW688,{"123","1234","12345","123456","1234567","12345678","0123","01234","012345","98765","987654","54321"},0)),ISNUMBER(MATCH(BX688,{"x","xx","xxx","xxxx","xxxxx","abc","abcd","nil","na","nan","test","tbc","tba","tbd","dummy","sample","example","eg","zz","zzz","none","null","xyz","qwe","asd","id","ref"},0)),AND(LEN(BW688)=8,BX688="",OR(LEFT(BW688,3)="202",ISNUMBER(MATCH(RIGHT(BW688,4),{"2025","2026","2027"},0)))))),OR(AND((LEN(BT688)-LEN(SUBSTITUTE(BT688,"a","")))&gt;=1,(LEN(BN688)-LEN(SUBSTITUTE(BN688,"0","")))&gt;=2,SUMPRODUCT(--ISNUMBER(SEARCH({"a0","a-0","a_0","a/0","a.0","a#0","0a","0-a","0_a","0/a"},BN688)))&gt;0),AND((LEN(BN688)-LEN(SUBSTITUTE(BN688,"a","")))=0,(LEN(BN688)-LEN(SUBSTITUTE(BN688,"0","")))&gt;=5)))),1,0),0)</f>
        <v>0</v>
      </c>
      <c r="CA6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688,"revision",""),"version",""),"jan",""),"feb",""),"mar",""),"apr",""),"may",""),"jun",""),"jul",""),"aug",""),"sep",""),"oct",""),"nov",""),"dec",""),"utc",""),"gmt",""),"myt",""),"bst",""),"rev",""),"ver",""),"b","a"),"c","a"),"d","a"),"e","a"),"f","a"),"g","a"),"h","a"),"i","a"),"j","a"),"k","a"),"l","a"),"m","a"),"n","a"),"o","a"),"p","a"),"q","a"),"r","a"),"s","a"),"t","a"),"u","a"),"v","a"),"w","a"),"x","a"),"y","a"),"z","a")</f>
        <v/>
      </c>
      <c r="CB68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688&amp;""),"a",""),"b",""),"c",""),"d",""),"e",""),"f",""),"g",""),"h",""),"i",""),"j",""),"k",""),"l",""),"m",""),"n",""),"o",""),"p",""),"q",""),"r",""),"s",""),"t",""),"u",""),"v",""),"w",""),"x",""),"y",""),"z",""),"-",""),"_",""),"/",""),".",""),"#",""),"\\",""),":","")," ",""),"(",""),")","")</f>
        <v/>
      </c>
      <c r="CC688" s="0" t="str">
        <f aca="false">" "&amp;TRIM(SUBSTITUTE(SUBSTITUTE(SUBSTITUTE(SUBSTITUTE(SUBSTITUTE(SUBSTITUTE(SUBSTITUTE(SUBSTITUTE(SUBSTITUTE(SUBSTITUTE(SUBSTITUTE(SUBSTITUTE(SUBSTITUTE(SUBSTITUTE(SUBSTITUTE(SUBSTITUTE(SUBSTITUTE(SUBSTITUTE(SUBSTITUTE(SUBSTITUTE(SUBSTITUTE(SUBSTITUTE(SUBSTITUTE(SUBSTITUTE(LOWER(T688&amp;""),CHAR(10)," "),CHAR(13)," "),CHAR(9)," "),CHAR(160)," "),"."," "),","," "),"-"," "),"/"," "),"("," "),")"," "),":"," "),";"," "),"_"," "),"–"," "),"?"," "),"!"," "),"*"," "),"["," "),"]"," "),"'"," "),"#"," "),"+"," "),"&amp;"," "),"\"," "))&amp;" "</f>
        <v>  </v>
      </c>
      <c r="CD688" s="0" t="str">
        <f aca="false">" "&amp;TRIM(SUBSTITUTE(SUBSTITUTE(SUBSTITUTE(SUBSTITUTE(SUBSTITUTE(SUBSTITUTE(SUBSTITUTE(SUBSTITUTE(SUBSTITUTE(SUBSTITUTE(SUBSTITUTE(SUBSTITUTE(SUBSTITUTE(SUBSTITUTE(SUBSTITUTE(SUBSTITUTE(SUBSTITUTE(SUBSTITUTE(SUBSTITUTE(SUBSTITUTE(SUBSTITUTE(SUBSTITUTE(SUBSTITUTE(SUBSTITUTE(LOWER(AE688&amp;""),CHAR(10)," "),CHAR(13)," "),CHAR(9)," "),CHAR(160)," "),"."," "),","," "),"-"," "),"/"," "),"("," "),")"," "),":"," "),";"," "),"_"," "),"–"," "),"?"," "),"!"," "),"*"," "),"["," "),"]"," "),"'"," "),"#"," "),"+"," "),"&amp;"," "),"\"," "))&amp;" "</f>
        <v>  </v>
      </c>
      <c r="CE688" s="68" t="n">
        <f aca="false">IFERROR(IF(AND(LEN(AU688)&gt;0,LEN(AU688)=LEN(AX688),OR(TRIM(MID(SUBSTITUTE(TRIM(CC688)," ",REPT(" ",60)),1,60))="",ISNUMBER(SEARCH(" "&amp;TRIM(MID(SUBSTITUTE(TRIM(CC688)," ",REPT(" ",60)),1,60))&amp;" ",CD688))),OR(TRIM(MID(SUBSTITUTE(TRIM(CC688)," ",REPT(" ",60)),61,60))="",ISNUMBER(SEARCH(" "&amp;TRIM(MID(SUBSTITUTE(TRIM(CC688)," ",REPT(" ",60)),61,60))&amp;" ",CD688))),OR(TRIM(MID(SUBSTITUTE(TRIM(CC688)," ",REPT(" ",60)),121,60))="",ISNUMBER(SEARCH(" "&amp;TRIM(MID(SUBSTITUTE(TRIM(CC688)," ",REPT(" ",60)),121,60))&amp;" ",CD688)))),1,0),0)</f>
        <v>0</v>
      </c>
      <c r="CG688" s="68" t="n">
        <f aca="false">IFERROR(LEN(SUBSTITUTE(BF688," ",""))-SUMPRODUCT((LEN(BF688)-LEN(SUBSTITUTE(BF688," "&amp;L_NAFiller&amp;" "," ")))/(LEN(L_NAFiller)+1)*LEN(L_NAFiller)),0)</f>
        <v>0</v>
      </c>
    </row>
    <row r="689" customFormat="false" ht="66" hidden="false" customHeight="true" outlineLevel="0" collapsed="false">
      <c r="A689" s="57" t="s">
        <v>1419</v>
      </c>
      <c r="B689" s="57" t="s">
        <v>310</v>
      </c>
      <c r="C689" s="57" t="str">
        <f aca="false">Flights!$F$25</f>
        <v>MH1437</v>
      </c>
      <c r="D689" s="58" t="n">
        <f aca="false">Flights!$D$25</f>
        <v>46325</v>
      </c>
      <c r="E689" s="57" t="str">
        <f aca="false">Flights!$G$25&amp;"-"&amp;Flights!$H$25</f>
        <v>LGK-KUL</v>
      </c>
      <c r="F689" s="57" t="str">
        <f aca="false">Flights!$K$25</f>
        <v>BC</v>
      </c>
      <c r="G689" s="57" t="s">
        <v>420</v>
      </c>
      <c r="H689" s="57" t="s">
        <v>378</v>
      </c>
      <c r="I689" s="57" t="s">
        <v>447</v>
      </c>
      <c r="J689" s="57" t="s">
        <v>526</v>
      </c>
      <c r="K689" s="67" t="s">
        <v>449</v>
      </c>
      <c r="L689" s="67" t="s">
        <v>1420</v>
      </c>
      <c r="M689" s="67" t="s">
        <v>451</v>
      </c>
      <c r="N689" s="67" t="s">
        <v>383</v>
      </c>
      <c r="O689" s="67" t="s">
        <v>984</v>
      </c>
      <c r="P689" s="57" t="s">
        <v>187</v>
      </c>
      <c r="Q689" s="59" t="n">
        <f aca="false">ROUND((MIN(Flights!$AE$25,Flights!$AY$25))*1440,0)/1440</f>
        <v>46324.1875</v>
      </c>
      <c r="R689" s="59" t="n">
        <f aca="false">Q689+(IF(AND(INDEX(TZ_DSTS,MATCH(P689,TZ_STN,0))&lt;&gt;"",Q689&gt;=INDEX(TZ_DSTS,MATCH(P689,TZ_STN,0)),Q689&lt;INDEX(TZ_DSTE,MATCH(P689,TZ_STN,0))),INDEX(TZ_DST,MATCH(P689,TZ_STN,0)),INDEX(TZ_STD,MATCH(P689,TZ_STN,0))))/24</f>
        <v>46324.5208333333</v>
      </c>
      <c r="S689" s="60"/>
      <c r="T689" s="60"/>
      <c r="U689" s="60"/>
      <c r="V689" s="60"/>
      <c r="W689" s="61"/>
      <c r="X689" s="60"/>
      <c r="Y689" s="60"/>
      <c r="Z689" s="60"/>
      <c r="AA689" s="60"/>
      <c r="AB689" s="60"/>
      <c r="AC689" s="60"/>
      <c r="AD689" s="66"/>
      <c r="AE689" s="60"/>
      <c r="AF689" s="61" t="str">
        <f aca="false">IF(AND(ISNUMBER(X689),ISNUMBER(Y689)),Y689-X689,"")</f>
        <v/>
      </c>
      <c r="AG689" s="62" t="str">
        <f aca="false">IF(ISNUMBER(AD689),AD689-(IF(AND(INDEX(TZ_DSTS,MATCH(P689,TZ_STN,0))&lt;&gt;"",(AD689-INDEX(TZ_STD,MATCH(P689,TZ_STN,0))/24)&gt;=INDEX(TZ_DSTS,MATCH(P689,TZ_STN,0)),(AD689-INDEX(TZ_STD,MATCH(P689,TZ_STN,0))/24)&lt;INDEX(TZ_DSTE,MATCH(P689,TZ_STN,0))),INDEX(TZ_DST,MATCH(P689,TZ_STN,0)),INDEX(TZ_STD,MATCH(P689,TZ_STN,0))))/24,"")</f>
        <v/>
      </c>
      <c r="AH689" s="65" t="str">
        <f aca="false">IFERROR(IF(N689="N/A – rule",IF(OR(TRIM(U689)="",TRIM(U689)="N/A",TRIM(U689)="Not started"),"N/A – RULE","INVALID – this check does not apply to this aircraft: clear the status (or correct the fleet on Flights)"),IF(TRIM(U689)="N/A",IF(AT689=0,"INVALID – N/A not permitted for this check",IF(AND(TRIM(AB689)&lt;&gt;"",TRIM(AB689)&lt;&gt;"Closed"),"INVALID – corrective action still open",IF(AND(NOT(OR(LEN(AZ689)&lt;15,ISNUMBER(MATCH(AZ689,L_Placeholder,0)))),BK689=0,CG689&gt;=8,NOT(OR(LEN(AU689)&lt;2,ISNUMBER(MATCH(AU689,L_Placeholder,0)))),BR689&gt;=3,NOT(OR(LEN(AX689)&lt;2,ISNUMBER(MATCH(AX689,L_Placeholder,0)))),BS689&gt;=3,TRIM(AE689)&lt;&gt;TRIM(T689),AX689&lt;&gt;AU689,CE689=0),"N/A – JUSTIFIED","INVALID – N/A needs a real, settled reason (not 'not applicable' / 'as above' / TBC), a named PIC and a different named verifier"))),IF(OR(TRIM(U689)="Pass",TRIM(U689)="Pass after CA"),IF(NOT(ISNUMBER(AD689)),"INVALID – completion time missing",IF(OR(OR(LEN(AU689)&lt;2,ISNUMBER(MATCH(AU689,L_Placeholder,0))),BR689&lt;3),"INVALID – PIC missing or not a named person (a role such as QA / CSM is not a name)",IF(OR(LEN(AV689)&lt;2,ISNUMBER(MATCH(AV689,L_Placeholder,0))),"INVALID – result / assessment missing",IF(OR(OR(LEN(AW689)&lt;3,ISNUMBER(MATCH(AW689,L_Placeholder,0))),SUMPRODUCT(--ISNUMBER(SEARCH(" "&amp;L_EvidencePhrase&amp;" ",BD689)))&gt;0,BI689=1),"INVALID – evidence missing, placeholder or not yet on file",IF(ISNA(MATCH(TRIM(S689),L_EvidenceType,0)),"INVALID – choose the evidence type from the list (column S)",IF(BL689=0,"INVALID – evidence ID must be the record's own ID only (e.g. SF-2210, IMG_2231, 1045521); a link / file name needs type 'Link / file path'",IF(OR(OR(LEN(AX689)&lt;2,ISNUMBER(MATCH(AX689,L_Placeholder,0))),BS689&lt;3),"INVALID – verifier missing or not a named person (a role such as QA / CSM is not a name)",IF(OR(AX689=AU689,CE689=1,AND(LEN(AU689)&gt;=4,ISNUMBER(SEARCH(AU689,AX689))),AND(LEN(AX689)&gt;=4,ISNUMBER(SEARCH(AX689,AU689)))),"INVALID – verifier must be a different, named person (not the PIC or a role)",IF(BH689=1,"INVALID – result not yet available (awaiting / TBC)",IF(BG689=1,"INVALID – result describes a problem: record Fail, then Pass after CA (or reword if it is not a problem)",IF(BV689=1,"INVALID – wording says not on board: an on-board confirmation needs the item loaded",IF(AND(AQ689=1,OR(OR(LEN(AY689)&lt;3,ISNUMBER(MATCH(AY689,L_Placeholder,0))),BJ689=1,BQ689=0)),"INVALID – batch ID missing, placeholder or not an ID (e.g. PASB-261008-BC-017)",IF(AND(AR689=1,OR(NOT(ISNUMBER(X689)),NOT(ISNUMBER(Y689)))),"INVALID – expected/actual qty missing",IF(AND(AR689=1,OR(X689&lt;=0,Y689&lt;0)),"INVALID – expected qty must be above 0 and actual not negative",IF(BB689&lt;&gt;"",BB689,IF(AND(AS689=1,Documents!$J$25&lt;&gt;"ON FILE"),"INVALID – GLD not on file (Documents sheet)",IF(AND(AS689=2,Documents!$O$25&lt;&gt;"ON FILE"),"INVALID – menu checklist not on file (Documents sheet)",IF(AND(AS689=3,NOT(ISNUMBER(Flights!$AX$25))),"INVALID – enter carrying flight KUL departure (Flights AX)",IF(AND(AS689=3,OR(Flights!$AZ$25&gt;Flights!$AA$25,Flights!$AX$25&lt;Flights!$AA$25-3)),"INVALID – carrying flight (Flights AX) cannot arrive before this leg's STD, or is over 3 days early",IF(AG689&gt;AsOfUTC,"INVALID – completion time is in the future",IF(AND(ISNUMBER(BY689),AG689&lt;BY689),IF(H689="Physical uplift","INVALID – before uplift window (cannot confirm loading)","INVALID – before valid window"),IF(AG689&gt;Flights!$AA$25,"INVALID – completed after departure (cannot establish readiness)",IF(AND(H689="Preparation",AG689&gt;=Flights!$AY$25+UpliftWindowH/24),"INVALID – completed after the carrying flight left KUL",IF(AND(H689="Physical uplift",AG689&gt;Q689),"INVALID – recorded after the loading flight departed",IF(AG689&gt;Q689,"COMPLETE – LATE","COMPLETE"))))))))))))))))))))))))),IF(TRIM(U689)="Fail","FAIL – DISCREPANCY",IF(AND(TRIM(U689)&lt;&gt;"",TRIM(U689)&lt;&gt;"Not started",TRIM(U689)&lt;&gt;"In progress"),"INVALID – unrecognised status (use the list)",IF(AsOfUTC&gt;Q689,"OVERDUE",IF(N689="Clarification required","OPEN – CLARIFICATION","OPEN"))))))),"INVALID – error value in an input cell")</f>
        <v>OPEN</v>
      </c>
      <c r="AI689" s="61" t="n">
        <f aca="false">IF(OR(AH689="N/A – RULE",AH689="N/A – JUSTIFIED"),0,1)</f>
        <v>1</v>
      </c>
      <c r="AJ689" s="61" t="n">
        <f aca="false">IF(LEFT(AH689,8)="COMPLETE",1,0)</f>
        <v>0</v>
      </c>
      <c r="AK689" s="61" t="n">
        <f aca="false">IF(AND(AI689=1,AJ689=0,AsOfUTC&gt;Q689),1,0)</f>
        <v>0</v>
      </c>
      <c r="AL689" s="61" t="n">
        <f aca="false">IFERROR(IF(AND(AI689=1,OR(TRIM(U689)="Fail",AND(TRIM(AB689)&lt;&gt;"",TRIM(AB689)&lt;&gt;"Closed"),AND(ISNUMBER(AF689),AF689&lt;&gt;0,TRIM(U689)&lt;&gt;"Pass after CA"))),1,0),1)</f>
        <v>0</v>
      </c>
      <c r="AM689" s="61" t="n">
        <f aca="false">IF(LEFT(AH689,7)="INVALID",1,0)</f>
        <v>0</v>
      </c>
      <c r="AN689" s="61" t="n">
        <f aca="false">IF(AND(N689="Clarification required",AI689=1,AJ689=0),1,0)</f>
        <v>0</v>
      </c>
      <c r="AO689" s="61" t="str">
        <f aca="false">IF(AK689=1,SUM(AK$5:AK689),"")</f>
        <v/>
      </c>
      <c r="AP689" s="61" t="str">
        <f aca="false">IF(AL689=1,SUM(AL$5:AL689),"")</f>
        <v/>
      </c>
      <c r="AQ689" s="61" t="n">
        <v>0</v>
      </c>
      <c r="AR689" s="61" t="n">
        <v>0</v>
      </c>
      <c r="AS689" s="61" t="n">
        <v>0</v>
      </c>
      <c r="AT689" s="61" t="n">
        <v>0</v>
      </c>
      <c r="AU689" s="61" t="str">
        <f aca="false">SUBSTITUTE(SUBSTITUTE(SUBSTITUTE(SUBSTITUTE(SUBSTITUTE(SUBSTITUTE(SUBSTITUTE(SUBSTITUTE(SUBSTITUTE(SUBSTITUTE(SUBSTITUTE(SUBSTITUTE(SUBSTITUTE(SUBSTITUTE(SUBSTITUTE(SUBSTITUTE(LOWER(T689&amp;""),CHAR(10),""),CHAR(13),""),CHAR(9),""),CHAR(160),"")," ",""),".",""),"-",""),"/",""),"?",""),"_",""),",",""),"[",""),"]",""),"(",""),")",""),"*","")</f>
        <v/>
      </c>
      <c r="AV689" s="61" t="str">
        <f aca="false">SUBSTITUTE(SUBSTITUTE(SUBSTITUTE(SUBSTITUTE(SUBSTITUTE(SUBSTITUTE(SUBSTITUTE(SUBSTITUTE(SUBSTITUTE(SUBSTITUTE(SUBSTITUTE(SUBSTITUTE(SUBSTITUTE(SUBSTITUTE(SUBSTITUTE(SUBSTITUTE(LOWER(V689&amp;""),CHAR(10),""),CHAR(13),""),CHAR(9),""),CHAR(160),"")," ",""),".",""),"-",""),"/",""),"?",""),"_",""),",",""),"[",""),"]",""),"(",""),")",""),"*","")</f>
        <v/>
      </c>
      <c r="AW689" s="61" t="str">
        <f aca="false">SUBSTITUTE(SUBSTITUTE(SUBSTITUTE(SUBSTITUTE(SUBSTITUTE(SUBSTITUTE(SUBSTITUTE(SUBSTITUTE(SUBSTITUTE(SUBSTITUTE(SUBSTITUTE(SUBSTITUTE(SUBSTITUTE(SUBSTITUTE(SUBSTITUTE(SUBSTITUTE(LOWER(Z689&amp;""),CHAR(10),""),CHAR(13),""),CHAR(9),""),CHAR(160),"")," ",""),".",""),"-",""),"/",""),"?",""),"_",""),",",""),"[",""),"]",""),"(",""),")",""),"*","")</f>
        <v/>
      </c>
      <c r="AX689" s="61" t="str">
        <f aca="false">SUBSTITUTE(SUBSTITUTE(SUBSTITUTE(SUBSTITUTE(SUBSTITUTE(SUBSTITUTE(SUBSTITUTE(SUBSTITUTE(SUBSTITUTE(SUBSTITUTE(SUBSTITUTE(SUBSTITUTE(SUBSTITUTE(SUBSTITUTE(SUBSTITUTE(SUBSTITUTE(LOWER(AE689&amp;""),CHAR(10),""),CHAR(13),""),CHAR(9),""),CHAR(160),"")," ",""),".",""),"-",""),"/",""),"?",""),"_",""),",",""),"[",""),"]",""),"(",""),")",""),"*","")</f>
        <v/>
      </c>
      <c r="AY689" s="61" t="str">
        <f aca="false">SUBSTITUTE(SUBSTITUTE(SUBSTITUTE(SUBSTITUTE(SUBSTITUTE(SUBSTITUTE(SUBSTITUTE(SUBSTITUTE(SUBSTITUTE(SUBSTITUTE(SUBSTITUTE(SUBSTITUTE(SUBSTITUTE(SUBSTITUTE(SUBSTITUTE(SUBSTITUTE(LOWER(W689&amp;""),CHAR(10),""),CHAR(13),""),CHAR(9),""),CHAR(160),"")," ",""),".",""),"-",""),"/",""),"?",""),"_",""),",",""),"[",""),"]",""),"(",""),")",""),"*","")</f>
        <v/>
      </c>
      <c r="AZ689" s="61" t="str">
        <f aca="false">SUBSTITUTE(SUBSTITUTE(SUBSTITUTE(SUBSTITUTE(SUBSTITUTE(SUBSTITUTE(SUBSTITUTE(SUBSTITUTE(SUBSTITUTE(SUBSTITUTE(SUBSTITUTE(SUBSTITUTE(SUBSTITUTE(SUBSTITUTE(SUBSTITUTE(SUBSTITUTE(LOWER(AC689&amp;""),CHAR(10),""),CHAR(13),""),CHAR(9),""),CHAR(160),"")," ",""),".",""),"-",""),"/",""),"?",""),"_",""),",",""),"[",""),"]",""),"(",""),")",""),"*","")</f>
        <v/>
      </c>
      <c r="BA689" s="61" t="str">
        <f aca="false">SUBSTITUTE(SUBSTITUTE(SUBSTITUTE(SUBSTITUTE(SUBSTITUTE(SUBSTITUTE(SUBSTITUTE(SUBSTITUTE(SUBSTITUTE(SUBSTITUTE(SUBSTITUTE(SUBSTITUTE(SUBSTITUTE(SUBSTITUTE(SUBSTITUTE(SUBSTITUTE(LOWER(AA689&amp;""),CHAR(10),""),CHAR(13),""),CHAR(9),""),CHAR(160),"")," ",""),".",""),"-",""),"/",""),"?",""),"_",""),",",""),"[",""),"]",""),"(",""),")",""),"*","")</f>
        <v/>
      </c>
      <c r="BB689" s="61" t="str">
        <f aca="false">IF(AND(TRIM(U689)="Pass",ISNUMBER(AF689)),IF(AF689&lt;&gt;0,"INVALID – qty variance: use Fail or Pass after CA",""),"")&amp;IF(AND(TRIM(U689)="Pass after CA",ISNUMBER(AF689)),IF(AF689&lt;&gt;0,"INVALID – after the corrective action the actual qty must equal expected (update Actual)",""),"")&amp;IF(AND(TRIM(U689)="Pass",TRIM(AB689)&lt;&gt;"",TRIM(AB689)&lt;&gt;"Closed"),"INVALID – corrective action not closed: use Fail, then Pass after CA","")&amp;IF(AND(LEN(BA689)&gt;=2,ISNA(MATCH(LEFT(BA689,255),L_Placeholder,0)),TRIM(AB689)=""),"INVALID – CA status missing for the recorded corrective action","")&amp;IF(AND(TRIM(U689)="Pass after CA",OR(OR(LEN(BA689)&lt;5,ISNUMBER(MATCH(BA689,L_Placeholder,0))),TRIM(AB689)&lt;&gt;"Closed")),"INVALID – corrective action not recorded/closed","")</f>
        <v/>
      </c>
      <c r="BC689" s="61" t="str">
        <f aca="false">" "&amp;TRIM(SUBSTITUTE(SUBSTITUTE(SUBSTITUTE(SUBSTITUTE(SUBSTITUTE(SUBSTITUTE(SUBSTITUTE(SUBSTITUTE(SUBSTITUTE(SUBSTITUTE(SUBSTITUTE(SUBSTITUTE(SUBSTITUTE(SUBSTITUTE(SUBSTITUTE(SUBSTITUTE(SUBSTITUTE(SUBSTITUTE(SUBSTITUTE(SUBSTITUTE(SUBSTITUTE(SUBSTITUTE(SUBSTITUTE(SUBSTITUTE(LOWER(V689&amp;""),CHAR(10)," "),CHAR(13)," "),CHAR(9)," "),CHAR(160)," "),"."," "),","," "),"-"," "),"/"," "),"("," "),")"," "),":"," "),";"," "),"_"," "),"–"," "),"?"," "),"!"," "),"*"," "),"["," "),"]"," "),"'"," "),"#"," "),"+"," "),"&amp;"," "),"\"," "))&amp;" "</f>
        <v>  </v>
      </c>
      <c r="BD689" s="61" t="str">
        <f aca="false">" "&amp;TRIM(SUBSTITUTE(SUBSTITUTE(SUBSTITUTE(SUBSTITUTE(SUBSTITUTE(SUBSTITUTE(SUBSTITUTE(SUBSTITUTE(SUBSTITUTE(SUBSTITUTE(SUBSTITUTE(SUBSTITUTE(SUBSTITUTE(SUBSTITUTE(SUBSTITUTE(SUBSTITUTE(SUBSTITUTE(SUBSTITUTE(SUBSTITUTE(SUBSTITUTE(SUBSTITUTE(SUBSTITUTE(SUBSTITUTE(SUBSTITUTE(LOWER(Z689&amp;""),CHAR(10)," "),CHAR(13)," "),CHAR(9)," "),CHAR(160)," "),"."," "),","," "),"-"," "),"/"," "),"("," "),")"," "),":"," "),";"," "),"_"," "),"–"," "),"?"," "),"!"," "),"*"," "),"["," "),"]"," "),"'"," "),"#"," "),"+"," "),"&amp;"," "),"\"," "))&amp;" "</f>
        <v>  </v>
      </c>
      <c r="BE689" s="61" t="str">
        <f aca="false">" "&amp;TRIM(SUBSTITUTE(SUBSTITUTE(SUBSTITUTE(SUBSTITUTE(SUBSTITUTE(SUBSTITUTE(SUBSTITUTE(SUBSTITUTE(SUBSTITUTE(SUBSTITUTE(SUBSTITUTE(SUBSTITUTE(SUBSTITUTE(SUBSTITUTE(SUBSTITUTE(SUBSTITUTE(SUBSTITUTE(SUBSTITUTE(SUBSTITUTE(SUBSTITUTE(SUBSTITUTE(SUBSTITUTE(SUBSTITUTE(SUBSTITUTE(LOWER(W689&amp;""),CHAR(10)," "),CHAR(13)," "),CHAR(9)," "),CHAR(160)," "),"."," "),","," "),"-"," "),"/"," "),"("," "),")"," "),":"," "),";"," "),"_"," "),"–"," "),"?"," "),"!"," "),"*"," "),"["," "),"]"," "),"'"," "),"#"," "),"+"," "),"&amp;"," "),"\"," "))&amp;" "</f>
        <v>  </v>
      </c>
      <c r="BF689" s="61" t="str">
        <f aca="false">" "&amp;TRIM(SUBSTITUTE(SUBSTITUTE(SUBSTITUTE(SUBSTITUTE(SUBSTITUTE(SUBSTITUTE(SUBSTITUTE(SUBSTITUTE(SUBSTITUTE(SUBSTITUTE(SUBSTITUTE(SUBSTITUTE(SUBSTITUTE(SUBSTITUTE(SUBSTITUTE(SUBSTITUTE(SUBSTITUTE(SUBSTITUTE(SUBSTITUTE(SUBSTITUTE(SUBSTITUTE(SUBSTITUTE(SUBSTITUTE(SUBSTITUTE(LOWER(AC689&amp;""),CHAR(10)," "),CHAR(13)," "),CHAR(9)," "),CHAR(160)," "),"."," "),","," "),"-"," "),"/"," "),"("," "),")"," "),":"," "),";"," "),"_"," "),"–"," "),"?"," "),"!"," "),"*"," "),"["," "),"]"," "),"'"," "),"#"," "),"+"," "),"&amp;"," "),"\"," "))&amp;" "</f>
        <v>  </v>
      </c>
      <c r="BG689" s="61" t="n">
        <f aca="false">IFERROR(IF(AND(TRIM(U689)="Pass",SUMPRODUCT((LEN(BC689)-LEN(SUBSTITUTE(BC689," "&amp;L_ResultBad&amp;" "," ")))/(LEN(L_ResultBad)+1))&gt;SUMPRODUCT((LEN(BC689)-LEN(SUBSTITUTE(BC689," "&amp;L_NegPhrase&amp;" "," ")))/(LEN(L_NegPhrase)+1))),1,0),0)</f>
        <v>0</v>
      </c>
      <c r="BH689" s="61" t="n">
        <f aca="false">IFERROR(IF(SUMPRODUCT((LEN(BC689)-LEN(SUBSTITUTE(BC689," "&amp;L_Pending&amp;" "," ")))/(LEN(L_Pending)+1))&gt;SUMPRODUCT((LEN(BC689)-LEN(SUBSTITUTE(BC689," "&amp;L_PendNeg&amp;" "," ")))/(LEN(L_PendNeg)+1))+SUMPRODUCT((LEN(BC689)-LEN(SUBSTITUTE(BC689," "&amp;L_PendPrep&amp;" "," ")))/(LEN(L_PendPrep)+1)),1,0),1)</f>
        <v>0</v>
      </c>
      <c r="BI689" s="61" t="n">
        <f aca="false">IFERROR(IF(SUMPRODUCT((LEN(BD689)-LEN(SUBSTITUTE(BD689," "&amp;L_PendStrict&amp;" "," ")))/(LEN(L_PendStrict)+1))&gt;SUMPRODUCT((LEN(BD689)-LEN(SUBSTITUTE(BD689," "&amp;L_PendNeg&amp;" "," ")))/(LEN(L_PendNeg)+1)),1,0),1)</f>
        <v>0</v>
      </c>
      <c r="BJ689" s="61" t="n">
        <f aca="false">IFERROR(IF(SUMPRODUCT((LEN(BE689)-LEN(SUBSTITUTE(BE689," "&amp;L_Pending&amp;" "," ")))/(LEN(L_Pending)+1))&gt;SUMPRODUCT((LEN(BE689)-LEN(SUBSTITUTE(BE689," "&amp;L_PendNeg&amp;" "," ")))/(LEN(L_PendNeg)+1))+SUMPRODUCT((LEN(BE689)-LEN(SUBSTITUTE(BE689," "&amp;L_PendPrep&amp;" "," ")))/(LEN(L_PendPrep)+1)),1,0),1)</f>
        <v>0</v>
      </c>
      <c r="BK689" s="61" t="n">
        <f aca="false">IFERROR(IF(SUMPRODUCT((LEN(BF689)-LEN(SUBSTITUTE(BF689," "&amp;L_PendStrict&amp;" "," ")))/(LEN(L_PendStrict)+1))&gt;SUMPRODUCT((LEN(BF689)-LEN(SUBSTITUTE(BF689," "&amp;L_PendNeg&amp;" "," ")))/(LEN(L_PendNeg)+1)),1,0),1)</f>
        <v>0</v>
      </c>
      <c r="BL689" s="61" t="n">
        <f aca="false">IF(ISNA(MATCH(TRIM(S689),L_EvidenceType,0)),0,BZ689)</f>
        <v>0</v>
      </c>
      <c r="BM689" s="61" t="str">
        <f aca="false">SUBSTITUTE(SUBSTITUTE(SUBSTITUTE(SUBSTITUTE(SUBSTITUTE(SUBSTITUTE(SUBSTITUTE(SUBSTITUTE(SUBSTITUTE(LOWER(Z689&amp;""),"1","0"),"2","0"),"3","0"),"4","0"),"5","0"),"6","0"),"7","0"),"8","0"),"9","0")</f>
        <v/>
      </c>
      <c r="BN689" s="61" t="str">
        <f aca="false">SUBSTITUTE(SUBSTITUTE(SUBSTITUTE(SUBSTITUTE(SUBSTITUTE(SUBSTITUTE(SUBSTITUTE(SUBSTITUTE(SUBSTITUTE(SUBSTITUTE(SUBSTITUTE(SUBSTITUTE(SUBSTITUTE(SUBSTITUTE(SUBSTITUTE(SUBSTITUTE(SUBSTITUTE(SUBSTITUTE(SUBSTITUTE(SUBSTITUTE(SUBSTITUTE(SUBSTITUTE(SUBSTITUTE(SUBSTITUTE(SUBSTITUTE(BM689,"b","a"),"c","a"),"d","a"),"e","a"),"f","a"),"g","a"),"h","a"),"i","a"),"j","a"),"k","a"),"l","a"),"m","a"),"n","a"),"o","a"),"p","a"),"q","a"),"r","a"),"s","a"),"t","a"),"u","a"),"v","a"),"w","a"),"x","a"),"y","a"),"z","a")</f>
        <v/>
      </c>
      <c r="BO689" s="61" t="str">
        <f aca="false">SUBSTITUTE(SUBSTITUTE(SUBSTITUTE(SUBSTITUTE(SUBSTITUTE(SUBSTITUTE(SUBSTITUTE(SUBSTITUTE(SUBSTITUTE(LOWER(W689&amp;""),"1","0"),"2","0"),"3","0"),"4","0"),"5","0"),"6","0"),"7","0"),"8","0"),"9","0")</f>
        <v/>
      </c>
      <c r="BP689" s="61" t="str">
        <f aca="false">SUBSTITUTE(SUBSTITUTE(SUBSTITUTE(SUBSTITUTE(SUBSTITUTE(SUBSTITUTE(SUBSTITUTE(SUBSTITUTE(SUBSTITUTE(SUBSTITUTE(SUBSTITUTE(SUBSTITUTE(SUBSTITUTE(SUBSTITUTE(SUBSTITUTE(SUBSTITUTE(SUBSTITUTE(SUBSTITUTE(SUBSTITUTE(SUBSTITUTE(SUBSTITUTE(SUBSTITUTE(SUBSTITUTE(SUBSTITUTE(SUBSTITUTE(BO689,"b","a"),"c","a"),"d","a"),"e","a"),"f","a"),"g","a"),"h","a"),"i","a"),"j","a"),"k","a"),"l","a"),"m","a"),"n","a"),"o","a"),"p","a"),"q","a"),"r","a"),"s","a"),"t","a"),"u","a"),"v","a"),"w","a"),"x","a"),"y","a"),"z","a")</f>
        <v/>
      </c>
      <c r="BQ689" s="61" t="n">
        <f aca="false">IFERROR(IF(AND(ISERROR(SEARCH(" mh"," "&amp;LOWER(W689))),ISNA(MATCH(LEFT(TRIM(BP689),255),{"0000a","000a","00a","0000aa","000aa","00aa","0aa","0000aaa","000aaa","00a00","0a00","0000-0000","00:00","a00","a0","00.00.0000","00/00/0000","00-00-0000","0000-00-00","0000/00/00","0000.00.00","00.00.00","00/00/00","00-00-00","0.00.0000","0/00/0000","0-00-0000"},0)),ISNA(MATCH(LEFT(TRIM(CA689),255),{"0000a","000a","00a","0000aa","000aa","00aa","0aa","0000aaa","000aaa","00a00","0a00","0000-0000","00:00","a00","a0","00.00.0000","00/00/0000","00-00-0000","0000-00-00","0000/00/00","0000.00.00","00.00.00","00/00/00","00-00-00","0.00.0000","0/00/0000","0-00-0000"},0)),LEN(CB689)&gt;=3,NOT(OR(SUBSTITUTE(CB689,"0","")="",AND(LEN(CB689)&gt;=4,CB689=REPT(LEFT(CB689),LEN(CB689))),ISNUMBER(MATCH(CB689,{"123","1234","12345","123456","1234567","12345678","0123","01234","012345","98765","987654","54321"},0)),AND(LEN(CB689)=8,LEFT(CB689,3)="202"))),OR(AND((LEN(CA689)-LEN(SUBSTITUTE(CA689,"a","")))&gt;=1,SUMPRODUCT(--ISNUMBER(SEARCH({"a0","a-0","a_0","a/0","a.0","a#0","0a","0-a","0_a","0/a"},BP689)))&gt;0),ISNUMBER(SEARCH("000000",BP689)))),1,0),0)</f>
        <v>0</v>
      </c>
      <c r="BR689" s="61" t="n">
        <f aca="false">IFERROR(LEN(SUBSTITUTE(CC689," ",""))-SUMPRODUCT((LEN(CC689)-LEN(SUBSTITUTE(CC689," "&amp;L_Role&amp;" "," ")))/(LEN(L_Role)+1)*LEN(L_Role)),0)</f>
        <v>0</v>
      </c>
      <c r="BS689" s="61" t="n">
        <f aca="false">IFERROR(LEN(SUBSTITUTE(CD689," ",""))-SUMPRODUCT((LEN(CD689)-LEN(SUBSTITUTE(CD689," "&amp;L_Role&amp;" "," ")))/(LEN(L_Role)+1)*LEN(L_Role)),0)</f>
        <v>0</v>
      </c>
      <c r="BT6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689,"revision",""),"version",""),"jan",""),"feb",""),"mar",""),"apr",""),"may",""),"jun",""),"jul",""),"aug",""),"sep",""),"oct",""),"nov",""),"dec",""),"utc",""),"gmt",""),"myt",""),"bst",""),"rev",""),"ver",""),"b","a"),"c","a"),"d","a"),"e","a"),"f","a"),"g","a"),"h","a"),"i","a"),"j","a"),"k","a"),"l","a"),"m","a"),"n","a"),"o","a"),"p","a"),"q","a"),"r","a"),"s","a"),"t","a"),"u","a"),"v","a"),"w","a"),"x","a"),"y","a"),"z","a")</f>
        <v/>
      </c>
      <c r="BU689" s="61" t="str">
        <f aca="false">SUBSTITUTE(SUBSTITUTE(SUBSTITUTE(SUBSTITUTE(SUBSTITUTE(SUBSTITUTE(SUBSTITUTE(SUBSTITUTE(SUBSTITUTE(SUBSTITUTE(LEFT(BM689,FIND("0",BM689&amp;"0")-1),"-",""),"_",""),"/",""),".",""),"#",""),"\\",""),":","")," ",""),"(",""),")","")</f>
        <v/>
      </c>
      <c r="BV689" s="61" t="n">
        <f aca="false">0</f>
        <v>0</v>
      </c>
      <c r="BW68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689&amp;""),"a",""),"b",""),"c",""),"d",""),"e",""),"f",""),"g",""),"h",""),"i",""),"j",""),"k",""),"l",""),"m",""),"n",""),"o",""),"p",""),"q",""),"r",""),"s",""),"t",""),"u",""),"v",""),"w",""),"x",""),"y",""),"z",""),"-",""),"_",""),"/",""),".",""),"#",""),"\\",""),":","")," ",""),"(",""),")","")</f>
        <v/>
      </c>
      <c r="BX689" s="61" t="str">
        <f aca="false">SUBSTITUTE(SUBSTITUTE(SUBSTITUTE(SUBSTITUTE(SUBSTITUTE(SUBSTITUTE(SUBSTITUTE(SUBSTITUTE(SUBSTITUTE(SUBSTITUTE(SUBSTITUTE(BM689,"0",""),"-",""),"_",""),"/",""),".",""),"#",""),"\\",""),":","")," ",""),"(",""),")","")</f>
        <v/>
      </c>
      <c r="BY689" s="62" t="n">
        <f aca="false">Q689-T12EarlyH/24</f>
        <v>46323.6875</v>
      </c>
      <c r="BZ689" s="61" t="n">
        <f aca="false">IFERROR(IF(IF(TRIM(S689)="Link / file path",AND(LEN(TRIM(Z689))&gt;=5,SUMPRODUCT(--ISNUMBER(SEARCH({"http","www.","\\",":\",".pdf",".jpg",".jpeg",".png",".heic",".xls",".doc",".msg",".eml",".ppt",".txt",".zip"},Z689)))&gt;0),AND(ISERROR(FIND(" ",TRIM(Z689))),NOT(OR(SUMPRODUCT(--ISNUMBER(FIND({",",";","&amp;","+"},Z689)))&gt;0,SUMPRODUCT(--ISNUMBER(SEARCH({"0/aa","0\\aa"},BN689)))&gt;0)),NOT(SUMPRODUCT(--ISNUMBER(SEARCH({"http","www.","\\",":\",".pdf",".jpg",".jpeg",".png",".heic",".xls",".doc",".msg",".eml",".ppt",".txt",".zip"},Z689)))&gt;0),NOT(LOWER(TRIM(Z689))=LOWER(Flights!$F$25)),ISNA(MATCH(BU689,{"mh","rev","revision","ver","version","v","r","a","b","seat","tray","row","gate","bay","stand","page","pg","item","line","no","cart","galley","flight","flt","table","box","bag","oven","etd","eta","std","sta","atd","ata","qty","pax","x","time","tel","ph","mob","day","wk","week","utc","gmt","myt","lt"},0)),NOT(OR(ISNUMBER(MATCH(LEFT(BN689,255),{"0000a","000a","00a","0000aa","000aa","00aa","0aa","0000aaa","000aaa","00a00","0a00","0000-0000","00:00","a00","a0","00.00.0000","00/00/0000","00-00-0000","0000-00-00","0000/00/00","0000.00.00","00.00.00","00/00/00","00-00-00","0.00.0000","0/00/0000","0-00-0000"},0)),ISNUMBER(MATCH(LEFT(BT689,255),{"0000a","000a","00a","0000aa","000aa","00aa","0aa","0000aaa","000aaa","00a00","0a00","0000-0000","00:00","a00","a0","00.00.0000","00/00/0000","00-00-0000","0000-00-00","0000/00/00","0000.00.00","00.00.00","00/00/00","00-00-00","0.00.0000","0/00/0000","0-00-0000"},0)))),NOT(OR(AND(BW689&lt;&gt;"",SUBSTITUTE(BW689,"0","")=""),AND(LEN(BW689)&gt;=4,BW689=REPT(LEFT(BW689),LEN(BW689))),ISNUMBER(MATCH(BW689,{"123","1234","12345","123456","1234567","12345678","0123","01234","012345","98765","987654","54321"},0)),ISNUMBER(MATCH(BX689,{"x","xx","xxx","xxxx","xxxxx","abc","abcd","nil","na","nan","test","tbc","tba","tbd","dummy","sample","example","eg","zz","zzz","none","null","xyz","qwe","asd","id","ref"},0)),AND(LEN(BW689)=8,BX689="",OR(LEFT(BW689,3)="202",ISNUMBER(MATCH(RIGHT(BW689,4),{"2025","2026","2027"},0)))))),OR(AND((LEN(BT689)-LEN(SUBSTITUTE(BT689,"a","")))&gt;=1,(LEN(BN689)-LEN(SUBSTITUTE(BN689,"0","")))&gt;=2,SUMPRODUCT(--ISNUMBER(SEARCH({"a0","a-0","a_0","a/0","a.0","a#0","0a","0-a","0_a","0/a"},BN689)))&gt;0),AND((LEN(BN689)-LEN(SUBSTITUTE(BN689,"a","")))=0,(LEN(BN689)-LEN(SUBSTITUTE(BN689,"0","")))&gt;=5)))),1,0),0)</f>
        <v>0</v>
      </c>
      <c r="CA6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689,"revision",""),"version",""),"jan",""),"feb",""),"mar",""),"apr",""),"may",""),"jun",""),"jul",""),"aug",""),"sep",""),"oct",""),"nov",""),"dec",""),"utc",""),"gmt",""),"myt",""),"bst",""),"rev",""),"ver",""),"b","a"),"c","a"),"d","a"),"e","a"),"f","a"),"g","a"),"h","a"),"i","a"),"j","a"),"k","a"),"l","a"),"m","a"),"n","a"),"o","a"),"p","a"),"q","a"),"r","a"),"s","a"),"t","a"),"u","a"),"v","a"),"w","a"),"x","a"),"y","a"),"z","a")</f>
        <v/>
      </c>
      <c r="CB68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689&amp;""),"a",""),"b",""),"c",""),"d",""),"e",""),"f",""),"g",""),"h",""),"i",""),"j",""),"k",""),"l",""),"m",""),"n",""),"o",""),"p",""),"q",""),"r",""),"s",""),"t",""),"u",""),"v",""),"w",""),"x",""),"y",""),"z",""),"-",""),"_",""),"/",""),".",""),"#",""),"\\",""),":","")," ",""),"(",""),")","")</f>
        <v/>
      </c>
      <c r="CC689" s="0" t="str">
        <f aca="false">" "&amp;TRIM(SUBSTITUTE(SUBSTITUTE(SUBSTITUTE(SUBSTITUTE(SUBSTITUTE(SUBSTITUTE(SUBSTITUTE(SUBSTITUTE(SUBSTITUTE(SUBSTITUTE(SUBSTITUTE(SUBSTITUTE(SUBSTITUTE(SUBSTITUTE(SUBSTITUTE(SUBSTITUTE(SUBSTITUTE(SUBSTITUTE(SUBSTITUTE(SUBSTITUTE(SUBSTITUTE(SUBSTITUTE(SUBSTITUTE(SUBSTITUTE(LOWER(T689&amp;""),CHAR(10)," "),CHAR(13)," "),CHAR(9)," "),CHAR(160)," "),"."," "),","," "),"-"," "),"/"," "),"("," "),")"," "),":"," "),";"," "),"_"," "),"–"," "),"?"," "),"!"," "),"*"," "),"["," "),"]"," "),"'"," "),"#"," "),"+"," "),"&amp;"," "),"\"," "))&amp;" "</f>
        <v>  </v>
      </c>
      <c r="CD689" s="0" t="str">
        <f aca="false">" "&amp;TRIM(SUBSTITUTE(SUBSTITUTE(SUBSTITUTE(SUBSTITUTE(SUBSTITUTE(SUBSTITUTE(SUBSTITUTE(SUBSTITUTE(SUBSTITUTE(SUBSTITUTE(SUBSTITUTE(SUBSTITUTE(SUBSTITUTE(SUBSTITUTE(SUBSTITUTE(SUBSTITUTE(SUBSTITUTE(SUBSTITUTE(SUBSTITUTE(SUBSTITUTE(SUBSTITUTE(SUBSTITUTE(SUBSTITUTE(SUBSTITUTE(LOWER(AE689&amp;""),CHAR(10)," "),CHAR(13)," "),CHAR(9)," "),CHAR(160)," "),"."," "),","," "),"-"," "),"/"," "),"("," "),")"," "),":"," "),";"," "),"_"," "),"–"," "),"?"," "),"!"," "),"*"," "),"["," "),"]"," "),"'"," "),"#"," "),"+"," "),"&amp;"," "),"\"," "))&amp;" "</f>
        <v>  </v>
      </c>
      <c r="CE689" s="68" t="n">
        <f aca="false">IFERROR(IF(AND(LEN(AU689)&gt;0,LEN(AU689)=LEN(AX689),OR(TRIM(MID(SUBSTITUTE(TRIM(CC689)," ",REPT(" ",60)),1,60))="",ISNUMBER(SEARCH(" "&amp;TRIM(MID(SUBSTITUTE(TRIM(CC689)," ",REPT(" ",60)),1,60))&amp;" ",CD689))),OR(TRIM(MID(SUBSTITUTE(TRIM(CC689)," ",REPT(" ",60)),61,60))="",ISNUMBER(SEARCH(" "&amp;TRIM(MID(SUBSTITUTE(TRIM(CC689)," ",REPT(" ",60)),61,60))&amp;" ",CD689))),OR(TRIM(MID(SUBSTITUTE(TRIM(CC689)," ",REPT(" ",60)),121,60))="",ISNUMBER(SEARCH(" "&amp;TRIM(MID(SUBSTITUTE(TRIM(CC689)," ",REPT(" ",60)),121,60))&amp;" ",CD689)))),1,0),0)</f>
        <v>0</v>
      </c>
      <c r="CG689" s="68" t="n">
        <f aca="false">IFERROR(LEN(SUBSTITUTE(BF689," ",""))-SUMPRODUCT((LEN(BF689)-LEN(SUBSTITUTE(BF689," "&amp;L_NAFiller&amp;" "," ")))/(LEN(L_NAFiller)+1)*LEN(L_NAFiller)),0)</f>
        <v>0</v>
      </c>
    </row>
    <row r="690" customFormat="false" ht="66" hidden="false" customHeight="true" outlineLevel="0" collapsed="false">
      <c r="A690" s="57" t="s">
        <v>1421</v>
      </c>
      <c r="B690" s="57" t="s">
        <v>310</v>
      </c>
      <c r="C690" s="57" t="str">
        <f aca="false">Flights!$F$25</f>
        <v>MH1437</v>
      </c>
      <c r="D690" s="58" t="n">
        <f aca="false">Flights!$D$25</f>
        <v>46325</v>
      </c>
      <c r="E690" s="57" t="str">
        <f aca="false">Flights!$G$25&amp;"-"&amp;Flights!$H$25</f>
        <v>LGK-KUL</v>
      </c>
      <c r="F690" s="57" t="str">
        <f aca="false">Flights!$K$25</f>
        <v>BC</v>
      </c>
      <c r="G690" s="57" t="s">
        <v>420</v>
      </c>
      <c r="H690" s="57" t="s">
        <v>378</v>
      </c>
      <c r="I690" s="57" t="s">
        <v>447</v>
      </c>
      <c r="J690" s="57" t="s">
        <v>529</v>
      </c>
      <c r="K690" s="67" t="s">
        <v>449</v>
      </c>
      <c r="L690" s="67" t="s">
        <v>1422</v>
      </c>
      <c r="M690" s="67" t="s">
        <v>451</v>
      </c>
      <c r="N690" s="67" t="s">
        <v>383</v>
      </c>
      <c r="O690" s="67" t="s">
        <v>984</v>
      </c>
      <c r="P690" s="57" t="s">
        <v>187</v>
      </c>
      <c r="Q690" s="59" t="n">
        <f aca="false">ROUND((MIN(Flights!$AE$25,Flights!$AY$25))*1440,0)/1440</f>
        <v>46324.1875</v>
      </c>
      <c r="R690" s="59" t="n">
        <f aca="false">Q690+(IF(AND(INDEX(TZ_DSTS,MATCH(P690,TZ_STN,0))&lt;&gt;"",Q690&gt;=INDEX(TZ_DSTS,MATCH(P690,TZ_STN,0)),Q690&lt;INDEX(TZ_DSTE,MATCH(P690,TZ_STN,0))),INDEX(TZ_DST,MATCH(P690,TZ_STN,0)),INDEX(TZ_STD,MATCH(P690,TZ_STN,0))))/24</f>
        <v>46324.5208333333</v>
      </c>
      <c r="S690" s="60"/>
      <c r="T690" s="60"/>
      <c r="U690" s="60"/>
      <c r="V690" s="60"/>
      <c r="W690" s="61"/>
      <c r="X690" s="60"/>
      <c r="Y690" s="60"/>
      <c r="Z690" s="60"/>
      <c r="AA690" s="60"/>
      <c r="AB690" s="60"/>
      <c r="AC690" s="60"/>
      <c r="AD690" s="66"/>
      <c r="AE690" s="60"/>
      <c r="AF690" s="61" t="str">
        <f aca="false">IF(AND(ISNUMBER(X690),ISNUMBER(Y690)),Y690-X690,"")</f>
        <v/>
      </c>
      <c r="AG690" s="62" t="str">
        <f aca="false">IF(ISNUMBER(AD690),AD690-(IF(AND(INDEX(TZ_DSTS,MATCH(P690,TZ_STN,0))&lt;&gt;"",(AD690-INDEX(TZ_STD,MATCH(P690,TZ_STN,0))/24)&gt;=INDEX(TZ_DSTS,MATCH(P690,TZ_STN,0)),(AD690-INDEX(TZ_STD,MATCH(P690,TZ_STN,0))/24)&lt;INDEX(TZ_DSTE,MATCH(P690,TZ_STN,0))),INDEX(TZ_DST,MATCH(P690,TZ_STN,0)),INDEX(TZ_STD,MATCH(P690,TZ_STN,0))))/24,"")</f>
        <v/>
      </c>
      <c r="AH690" s="65" t="str">
        <f aca="false">IFERROR(IF(N690="N/A – rule",IF(OR(TRIM(U690)="",TRIM(U690)="N/A",TRIM(U690)="Not started"),"N/A – RULE","INVALID – this check does not apply to this aircraft: clear the status (or correct the fleet on Flights)"),IF(TRIM(U690)="N/A",IF(AT690=0,"INVALID – N/A not permitted for this check",IF(AND(TRIM(AB690)&lt;&gt;"",TRIM(AB690)&lt;&gt;"Closed"),"INVALID – corrective action still open",IF(AND(NOT(OR(LEN(AZ690)&lt;15,ISNUMBER(MATCH(AZ690,L_Placeholder,0)))),BK690=0,CG690&gt;=8,NOT(OR(LEN(AU690)&lt;2,ISNUMBER(MATCH(AU690,L_Placeholder,0)))),BR690&gt;=3,NOT(OR(LEN(AX690)&lt;2,ISNUMBER(MATCH(AX690,L_Placeholder,0)))),BS690&gt;=3,TRIM(AE690)&lt;&gt;TRIM(T690),AX690&lt;&gt;AU690,CE690=0),"N/A – JUSTIFIED","INVALID – N/A needs a real, settled reason (not 'not applicable' / 'as above' / TBC), a named PIC and a different named verifier"))),IF(OR(TRIM(U690)="Pass",TRIM(U690)="Pass after CA"),IF(NOT(ISNUMBER(AD690)),"INVALID – completion time missing",IF(OR(OR(LEN(AU690)&lt;2,ISNUMBER(MATCH(AU690,L_Placeholder,0))),BR690&lt;3),"INVALID – PIC missing or not a named person (a role such as QA / CSM is not a name)",IF(OR(LEN(AV690)&lt;2,ISNUMBER(MATCH(AV690,L_Placeholder,0))),"INVALID – result / assessment missing",IF(OR(OR(LEN(AW690)&lt;3,ISNUMBER(MATCH(AW690,L_Placeholder,0))),SUMPRODUCT(--ISNUMBER(SEARCH(" "&amp;L_EvidencePhrase&amp;" ",BD690)))&gt;0,BI690=1),"INVALID – evidence missing, placeholder or not yet on file",IF(ISNA(MATCH(TRIM(S690),L_EvidenceType,0)),"INVALID – choose the evidence type from the list (column S)",IF(BL690=0,"INVALID – evidence ID must be the record's own ID only (e.g. SF-2210, IMG_2231, 1045521); a link / file name needs type 'Link / file path'",IF(OR(OR(LEN(AX690)&lt;2,ISNUMBER(MATCH(AX690,L_Placeholder,0))),BS690&lt;3),"INVALID – verifier missing or not a named person (a role such as QA / CSM is not a name)",IF(OR(AX690=AU690,CE690=1,AND(LEN(AU690)&gt;=4,ISNUMBER(SEARCH(AU690,AX690))),AND(LEN(AX690)&gt;=4,ISNUMBER(SEARCH(AX690,AU690)))),"INVALID – verifier must be a different, named person (not the PIC or a role)",IF(BH690=1,"INVALID – result not yet available (awaiting / TBC)",IF(BG690=1,"INVALID – result describes a problem: record Fail, then Pass after CA (or reword if it is not a problem)",IF(BV690=1,"INVALID – wording says not on board: an on-board confirmation needs the item loaded",IF(AND(AQ690=1,OR(OR(LEN(AY690)&lt;3,ISNUMBER(MATCH(AY690,L_Placeholder,0))),BJ690=1,BQ690=0)),"INVALID – batch ID missing, placeholder or not an ID (e.g. PASB-261008-BC-017)",IF(AND(AR690=1,OR(NOT(ISNUMBER(X690)),NOT(ISNUMBER(Y690)))),"INVALID – expected/actual qty missing",IF(AND(AR690=1,OR(X690&lt;=0,Y690&lt;0)),"INVALID – expected qty must be above 0 and actual not negative",IF(BB690&lt;&gt;"",BB690,IF(AND(AS690=1,Documents!$J$25&lt;&gt;"ON FILE"),"INVALID – GLD not on file (Documents sheet)",IF(AND(AS690=2,Documents!$O$25&lt;&gt;"ON FILE"),"INVALID – menu checklist not on file (Documents sheet)",IF(AND(AS690=3,NOT(ISNUMBER(Flights!$AX$25))),"INVALID – enter carrying flight KUL departure (Flights AX)",IF(AND(AS690=3,OR(Flights!$AZ$25&gt;Flights!$AA$25,Flights!$AX$25&lt;Flights!$AA$25-3)),"INVALID – carrying flight (Flights AX) cannot arrive before this leg's STD, or is over 3 days early",IF(AG690&gt;AsOfUTC,"INVALID – completion time is in the future",IF(AND(ISNUMBER(BY690),AG690&lt;BY690),IF(H690="Physical uplift","INVALID – before uplift window (cannot confirm loading)","INVALID – before valid window"),IF(AG690&gt;Flights!$AA$25,"INVALID – completed after departure (cannot establish readiness)",IF(AND(H690="Preparation",AG690&gt;=Flights!$AY$25+UpliftWindowH/24),"INVALID – completed after the carrying flight left KUL",IF(AND(H690="Physical uplift",AG690&gt;Q690),"INVALID – recorded after the loading flight departed",IF(AG690&gt;Q690,"COMPLETE – LATE","COMPLETE"))))))))))))))))))))))))),IF(TRIM(U690)="Fail","FAIL – DISCREPANCY",IF(AND(TRIM(U690)&lt;&gt;"",TRIM(U690)&lt;&gt;"Not started",TRIM(U690)&lt;&gt;"In progress"),"INVALID – unrecognised status (use the list)",IF(AsOfUTC&gt;Q690,"OVERDUE",IF(N690="Clarification required","OPEN – CLARIFICATION","OPEN"))))))),"INVALID – error value in an input cell")</f>
        <v>OPEN</v>
      </c>
      <c r="AI690" s="61" t="n">
        <f aca="false">IF(OR(AH690="N/A – RULE",AH690="N/A – JUSTIFIED"),0,1)</f>
        <v>1</v>
      </c>
      <c r="AJ690" s="61" t="n">
        <f aca="false">IF(LEFT(AH690,8)="COMPLETE",1,0)</f>
        <v>0</v>
      </c>
      <c r="AK690" s="61" t="n">
        <f aca="false">IF(AND(AI690=1,AJ690=0,AsOfUTC&gt;Q690),1,0)</f>
        <v>0</v>
      </c>
      <c r="AL690" s="61" t="n">
        <f aca="false">IFERROR(IF(AND(AI690=1,OR(TRIM(U690)="Fail",AND(TRIM(AB690)&lt;&gt;"",TRIM(AB690)&lt;&gt;"Closed"),AND(ISNUMBER(AF690),AF690&lt;&gt;0,TRIM(U690)&lt;&gt;"Pass after CA"))),1,0),1)</f>
        <v>0</v>
      </c>
      <c r="AM690" s="61" t="n">
        <f aca="false">IF(LEFT(AH690,7)="INVALID",1,0)</f>
        <v>0</v>
      </c>
      <c r="AN690" s="61" t="n">
        <f aca="false">IF(AND(N690="Clarification required",AI690=1,AJ690=0),1,0)</f>
        <v>0</v>
      </c>
      <c r="AO690" s="61" t="str">
        <f aca="false">IF(AK690=1,SUM(AK$5:AK690),"")</f>
        <v/>
      </c>
      <c r="AP690" s="61" t="str">
        <f aca="false">IF(AL690=1,SUM(AL$5:AL690),"")</f>
        <v/>
      </c>
      <c r="AQ690" s="61" t="n">
        <v>0</v>
      </c>
      <c r="AR690" s="61" t="n">
        <v>0</v>
      </c>
      <c r="AS690" s="61" t="n">
        <v>0</v>
      </c>
      <c r="AT690" s="61" t="n">
        <v>0</v>
      </c>
      <c r="AU690" s="61" t="str">
        <f aca="false">SUBSTITUTE(SUBSTITUTE(SUBSTITUTE(SUBSTITUTE(SUBSTITUTE(SUBSTITUTE(SUBSTITUTE(SUBSTITUTE(SUBSTITUTE(SUBSTITUTE(SUBSTITUTE(SUBSTITUTE(SUBSTITUTE(SUBSTITUTE(SUBSTITUTE(SUBSTITUTE(LOWER(T690&amp;""),CHAR(10),""),CHAR(13),""),CHAR(9),""),CHAR(160),"")," ",""),".",""),"-",""),"/",""),"?",""),"_",""),",",""),"[",""),"]",""),"(",""),")",""),"*","")</f>
        <v/>
      </c>
      <c r="AV690" s="61" t="str">
        <f aca="false">SUBSTITUTE(SUBSTITUTE(SUBSTITUTE(SUBSTITUTE(SUBSTITUTE(SUBSTITUTE(SUBSTITUTE(SUBSTITUTE(SUBSTITUTE(SUBSTITUTE(SUBSTITUTE(SUBSTITUTE(SUBSTITUTE(SUBSTITUTE(SUBSTITUTE(SUBSTITUTE(LOWER(V690&amp;""),CHAR(10),""),CHAR(13),""),CHAR(9),""),CHAR(160),"")," ",""),".",""),"-",""),"/",""),"?",""),"_",""),",",""),"[",""),"]",""),"(",""),")",""),"*","")</f>
        <v/>
      </c>
      <c r="AW690" s="61" t="str">
        <f aca="false">SUBSTITUTE(SUBSTITUTE(SUBSTITUTE(SUBSTITUTE(SUBSTITUTE(SUBSTITUTE(SUBSTITUTE(SUBSTITUTE(SUBSTITUTE(SUBSTITUTE(SUBSTITUTE(SUBSTITUTE(SUBSTITUTE(SUBSTITUTE(SUBSTITUTE(SUBSTITUTE(LOWER(Z690&amp;""),CHAR(10),""),CHAR(13),""),CHAR(9),""),CHAR(160),"")," ",""),".",""),"-",""),"/",""),"?",""),"_",""),",",""),"[",""),"]",""),"(",""),")",""),"*","")</f>
        <v/>
      </c>
      <c r="AX690" s="61" t="str">
        <f aca="false">SUBSTITUTE(SUBSTITUTE(SUBSTITUTE(SUBSTITUTE(SUBSTITUTE(SUBSTITUTE(SUBSTITUTE(SUBSTITUTE(SUBSTITUTE(SUBSTITUTE(SUBSTITUTE(SUBSTITUTE(SUBSTITUTE(SUBSTITUTE(SUBSTITUTE(SUBSTITUTE(LOWER(AE690&amp;""),CHAR(10),""),CHAR(13),""),CHAR(9),""),CHAR(160),"")," ",""),".",""),"-",""),"/",""),"?",""),"_",""),",",""),"[",""),"]",""),"(",""),")",""),"*","")</f>
        <v/>
      </c>
      <c r="AY690" s="61" t="str">
        <f aca="false">SUBSTITUTE(SUBSTITUTE(SUBSTITUTE(SUBSTITUTE(SUBSTITUTE(SUBSTITUTE(SUBSTITUTE(SUBSTITUTE(SUBSTITUTE(SUBSTITUTE(SUBSTITUTE(SUBSTITUTE(SUBSTITUTE(SUBSTITUTE(SUBSTITUTE(SUBSTITUTE(LOWER(W690&amp;""),CHAR(10),""),CHAR(13),""),CHAR(9),""),CHAR(160),"")," ",""),".",""),"-",""),"/",""),"?",""),"_",""),",",""),"[",""),"]",""),"(",""),")",""),"*","")</f>
        <v/>
      </c>
      <c r="AZ690" s="61" t="str">
        <f aca="false">SUBSTITUTE(SUBSTITUTE(SUBSTITUTE(SUBSTITUTE(SUBSTITUTE(SUBSTITUTE(SUBSTITUTE(SUBSTITUTE(SUBSTITUTE(SUBSTITUTE(SUBSTITUTE(SUBSTITUTE(SUBSTITUTE(SUBSTITUTE(SUBSTITUTE(SUBSTITUTE(LOWER(AC690&amp;""),CHAR(10),""),CHAR(13),""),CHAR(9),""),CHAR(160),"")," ",""),".",""),"-",""),"/",""),"?",""),"_",""),",",""),"[",""),"]",""),"(",""),")",""),"*","")</f>
        <v/>
      </c>
      <c r="BA690" s="61" t="str">
        <f aca="false">SUBSTITUTE(SUBSTITUTE(SUBSTITUTE(SUBSTITUTE(SUBSTITUTE(SUBSTITUTE(SUBSTITUTE(SUBSTITUTE(SUBSTITUTE(SUBSTITUTE(SUBSTITUTE(SUBSTITUTE(SUBSTITUTE(SUBSTITUTE(SUBSTITUTE(SUBSTITUTE(LOWER(AA690&amp;""),CHAR(10),""),CHAR(13),""),CHAR(9),""),CHAR(160),"")," ",""),".",""),"-",""),"/",""),"?",""),"_",""),",",""),"[",""),"]",""),"(",""),")",""),"*","")</f>
        <v/>
      </c>
      <c r="BB690" s="61" t="str">
        <f aca="false">IF(AND(TRIM(U690)="Pass",ISNUMBER(AF690)),IF(AF690&lt;&gt;0,"INVALID – qty variance: use Fail or Pass after CA",""),"")&amp;IF(AND(TRIM(U690)="Pass after CA",ISNUMBER(AF690)),IF(AF690&lt;&gt;0,"INVALID – after the corrective action the actual qty must equal expected (update Actual)",""),"")&amp;IF(AND(TRIM(U690)="Pass",TRIM(AB690)&lt;&gt;"",TRIM(AB690)&lt;&gt;"Closed"),"INVALID – corrective action not closed: use Fail, then Pass after CA","")&amp;IF(AND(LEN(BA690)&gt;=2,ISNA(MATCH(LEFT(BA690,255),L_Placeholder,0)),TRIM(AB690)=""),"INVALID – CA status missing for the recorded corrective action","")&amp;IF(AND(TRIM(U690)="Pass after CA",OR(OR(LEN(BA690)&lt;5,ISNUMBER(MATCH(BA690,L_Placeholder,0))),TRIM(AB690)&lt;&gt;"Closed")),"INVALID – corrective action not recorded/closed","")</f>
        <v/>
      </c>
      <c r="BC690" s="61" t="str">
        <f aca="false">" "&amp;TRIM(SUBSTITUTE(SUBSTITUTE(SUBSTITUTE(SUBSTITUTE(SUBSTITUTE(SUBSTITUTE(SUBSTITUTE(SUBSTITUTE(SUBSTITUTE(SUBSTITUTE(SUBSTITUTE(SUBSTITUTE(SUBSTITUTE(SUBSTITUTE(SUBSTITUTE(SUBSTITUTE(SUBSTITUTE(SUBSTITUTE(SUBSTITUTE(SUBSTITUTE(SUBSTITUTE(SUBSTITUTE(SUBSTITUTE(SUBSTITUTE(LOWER(V690&amp;""),CHAR(10)," "),CHAR(13)," "),CHAR(9)," "),CHAR(160)," "),"."," "),","," "),"-"," "),"/"," "),"("," "),")"," "),":"," "),";"," "),"_"," "),"–"," "),"?"," "),"!"," "),"*"," "),"["," "),"]"," "),"'"," "),"#"," "),"+"," "),"&amp;"," "),"\"," "))&amp;" "</f>
        <v>  </v>
      </c>
      <c r="BD690" s="61" t="str">
        <f aca="false">" "&amp;TRIM(SUBSTITUTE(SUBSTITUTE(SUBSTITUTE(SUBSTITUTE(SUBSTITUTE(SUBSTITUTE(SUBSTITUTE(SUBSTITUTE(SUBSTITUTE(SUBSTITUTE(SUBSTITUTE(SUBSTITUTE(SUBSTITUTE(SUBSTITUTE(SUBSTITUTE(SUBSTITUTE(SUBSTITUTE(SUBSTITUTE(SUBSTITUTE(SUBSTITUTE(SUBSTITUTE(SUBSTITUTE(SUBSTITUTE(SUBSTITUTE(LOWER(Z690&amp;""),CHAR(10)," "),CHAR(13)," "),CHAR(9)," "),CHAR(160)," "),"."," "),","," "),"-"," "),"/"," "),"("," "),")"," "),":"," "),";"," "),"_"," "),"–"," "),"?"," "),"!"," "),"*"," "),"["," "),"]"," "),"'"," "),"#"," "),"+"," "),"&amp;"," "),"\"," "))&amp;" "</f>
        <v>  </v>
      </c>
      <c r="BE690" s="61" t="str">
        <f aca="false">" "&amp;TRIM(SUBSTITUTE(SUBSTITUTE(SUBSTITUTE(SUBSTITUTE(SUBSTITUTE(SUBSTITUTE(SUBSTITUTE(SUBSTITUTE(SUBSTITUTE(SUBSTITUTE(SUBSTITUTE(SUBSTITUTE(SUBSTITUTE(SUBSTITUTE(SUBSTITUTE(SUBSTITUTE(SUBSTITUTE(SUBSTITUTE(SUBSTITUTE(SUBSTITUTE(SUBSTITUTE(SUBSTITUTE(SUBSTITUTE(SUBSTITUTE(LOWER(W690&amp;""),CHAR(10)," "),CHAR(13)," "),CHAR(9)," "),CHAR(160)," "),"."," "),","," "),"-"," "),"/"," "),"("," "),")"," "),":"," "),";"," "),"_"," "),"–"," "),"?"," "),"!"," "),"*"," "),"["," "),"]"," "),"'"," "),"#"," "),"+"," "),"&amp;"," "),"\"," "))&amp;" "</f>
        <v>  </v>
      </c>
      <c r="BF690" s="61" t="str">
        <f aca="false">" "&amp;TRIM(SUBSTITUTE(SUBSTITUTE(SUBSTITUTE(SUBSTITUTE(SUBSTITUTE(SUBSTITUTE(SUBSTITUTE(SUBSTITUTE(SUBSTITUTE(SUBSTITUTE(SUBSTITUTE(SUBSTITUTE(SUBSTITUTE(SUBSTITUTE(SUBSTITUTE(SUBSTITUTE(SUBSTITUTE(SUBSTITUTE(SUBSTITUTE(SUBSTITUTE(SUBSTITUTE(SUBSTITUTE(SUBSTITUTE(SUBSTITUTE(LOWER(AC690&amp;""),CHAR(10)," "),CHAR(13)," "),CHAR(9)," "),CHAR(160)," "),"."," "),","," "),"-"," "),"/"," "),"("," "),")"," "),":"," "),";"," "),"_"," "),"–"," "),"?"," "),"!"," "),"*"," "),"["," "),"]"," "),"'"," "),"#"," "),"+"," "),"&amp;"," "),"\"," "))&amp;" "</f>
        <v>  </v>
      </c>
      <c r="BG690" s="61" t="n">
        <f aca="false">IFERROR(IF(AND(TRIM(U690)="Pass",SUMPRODUCT((LEN(BC690)-LEN(SUBSTITUTE(BC690," "&amp;L_ResultBad&amp;" "," ")))/(LEN(L_ResultBad)+1))&gt;SUMPRODUCT((LEN(BC690)-LEN(SUBSTITUTE(BC690," "&amp;L_NegPhrase&amp;" "," ")))/(LEN(L_NegPhrase)+1))),1,0),0)</f>
        <v>0</v>
      </c>
      <c r="BH690" s="61" t="n">
        <f aca="false">IFERROR(IF(SUMPRODUCT((LEN(BC690)-LEN(SUBSTITUTE(BC690," "&amp;L_Pending&amp;" "," ")))/(LEN(L_Pending)+1))&gt;SUMPRODUCT((LEN(BC690)-LEN(SUBSTITUTE(BC690," "&amp;L_PendNeg&amp;" "," ")))/(LEN(L_PendNeg)+1))+SUMPRODUCT((LEN(BC690)-LEN(SUBSTITUTE(BC690," "&amp;L_PendPrep&amp;" "," ")))/(LEN(L_PendPrep)+1)),1,0),1)</f>
        <v>0</v>
      </c>
      <c r="BI690" s="61" t="n">
        <f aca="false">IFERROR(IF(SUMPRODUCT((LEN(BD690)-LEN(SUBSTITUTE(BD690," "&amp;L_PendStrict&amp;" "," ")))/(LEN(L_PendStrict)+1))&gt;SUMPRODUCT((LEN(BD690)-LEN(SUBSTITUTE(BD690," "&amp;L_PendNeg&amp;" "," ")))/(LEN(L_PendNeg)+1)),1,0),1)</f>
        <v>0</v>
      </c>
      <c r="BJ690" s="61" t="n">
        <f aca="false">IFERROR(IF(SUMPRODUCT((LEN(BE690)-LEN(SUBSTITUTE(BE690," "&amp;L_Pending&amp;" "," ")))/(LEN(L_Pending)+1))&gt;SUMPRODUCT((LEN(BE690)-LEN(SUBSTITUTE(BE690," "&amp;L_PendNeg&amp;" "," ")))/(LEN(L_PendNeg)+1))+SUMPRODUCT((LEN(BE690)-LEN(SUBSTITUTE(BE690," "&amp;L_PendPrep&amp;" "," ")))/(LEN(L_PendPrep)+1)),1,0),1)</f>
        <v>0</v>
      </c>
      <c r="BK690" s="61" t="n">
        <f aca="false">IFERROR(IF(SUMPRODUCT((LEN(BF690)-LEN(SUBSTITUTE(BF690," "&amp;L_PendStrict&amp;" "," ")))/(LEN(L_PendStrict)+1))&gt;SUMPRODUCT((LEN(BF690)-LEN(SUBSTITUTE(BF690," "&amp;L_PendNeg&amp;" "," ")))/(LEN(L_PendNeg)+1)),1,0),1)</f>
        <v>0</v>
      </c>
      <c r="BL690" s="61" t="n">
        <f aca="false">IF(ISNA(MATCH(TRIM(S690),L_EvidenceType,0)),0,BZ690)</f>
        <v>0</v>
      </c>
      <c r="BM690" s="61" t="str">
        <f aca="false">SUBSTITUTE(SUBSTITUTE(SUBSTITUTE(SUBSTITUTE(SUBSTITUTE(SUBSTITUTE(SUBSTITUTE(SUBSTITUTE(SUBSTITUTE(LOWER(Z690&amp;""),"1","0"),"2","0"),"3","0"),"4","0"),"5","0"),"6","0"),"7","0"),"8","0"),"9","0")</f>
        <v/>
      </c>
      <c r="BN690" s="61" t="str">
        <f aca="false">SUBSTITUTE(SUBSTITUTE(SUBSTITUTE(SUBSTITUTE(SUBSTITUTE(SUBSTITUTE(SUBSTITUTE(SUBSTITUTE(SUBSTITUTE(SUBSTITUTE(SUBSTITUTE(SUBSTITUTE(SUBSTITUTE(SUBSTITUTE(SUBSTITUTE(SUBSTITUTE(SUBSTITUTE(SUBSTITUTE(SUBSTITUTE(SUBSTITUTE(SUBSTITUTE(SUBSTITUTE(SUBSTITUTE(SUBSTITUTE(SUBSTITUTE(BM690,"b","a"),"c","a"),"d","a"),"e","a"),"f","a"),"g","a"),"h","a"),"i","a"),"j","a"),"k","a"),"l","a"),"m","a"),"n","a"),"o","a"),"p","a"),"q","a"),"r","a"),"s","a"),"t","a"),"u","a"),"v","a"),"w","a"),"x","a"),"y","a"),"z","a")</f>
        <v/>
      </c>
      <c r="BO690" s="61" t="str">
        <f aca="false">SUBSTITUTE(SUBSTITUTE(SUBSTITUTE(SUBSTITUTE(SUBSTITUTE(SUBSTITUTE(SUBSTITUTE(SUBSTITUTE(SUBSTITUTE(LOWER(W690&amp;""),"1","0"),"2","0"),"3","0"),"4","0"),"5","0"),"6","0"),"7","0"),"8","0"),"9","0")</f>
        <v/>
      </c>
      <c r="BP690" s="61" t="str">
        <f aca="false">SUBSTITUTE(SUBSTITUTE(SUBSTITUTE(SUBSTITUTE(SUBSTITUTE(SUBSTITUTE(SUBSTITUTE(SUBSTITUTE(SUBSTITUTE(SUBSTITUTE(SUBSTITUTE(SUBSTITUTE(SUBSTITUTE(SUBSTITUTE(SUBSTITUTE(SUBSTITUTE(SUBSTITUTE(SUBSTITUTE(SUBSTITUTE(SUBSTITUTE(SUBSTITUTE(SUBSTITUTE(SUBSTITUTE(SUBSTITUTE(SUBSTITUTE(BO690,"b","a"),"c","a"),"d","a"),"e","a"),"f","a"),"g","a"),"h","a"),"i","a"),"j","a"),"k","a"),"l","a"),"m","a"),"n","a"),"o","a"),"p","a"),"q","a"),"r","a"),"s","a"),"t","a"),"u","a"),"v","a"),"w","a"),"x","a"),"y","a"),"z","a")</f>
        <v/>
      </c>
      <c r="BQ690" s="61" t="n">
        <f aca="false">IFERROR(IF(AND(ISERROR(SEARCH(" mh"," "&amp;LOWER(W690))),ISNA(MATCH(LEFT(TRIM(BP690),255),{"0000a","000a","00a","0000aa","000aa","00aa","0aa","0000aaa","000aaa","00a00","0a00","0000-0000","00:00","a00","a0","00.00.0000","00/00/0000","00-00-0000","0000-00-00","0000/00/00","0000.00.00","00.00.00","00/00/00","00-00-00","0.00.0000","0/00/0000","0-00-0000"},0)),ISNA(MATCH(LEFT(TRIM(CA690),255),{"0000a","000a","00a","0000aa","000aa","00aa","0aa","0000aaa","000aaa","00a00","0a00","0000-0000","00:00","a00","a0","00.00.0000","00/00/0000","00-00-0000","0000-00-00","0000/00/00","0000.00.00","00.00.00","00/00/00","00-00-00","0.00.0000","0/00/0000","0-00-0000"},0)),LEN(CB690)&gt;=3,NOT(OR(SUBSTITUTE(CB690,"0","")="",AND(LEN(CB690)&gt;=4,CB690=REPT(LEFT(CB690),LEN(CB690))),ISNUMBER(MATCH(CB690,{"123","1234","12345","123456","1234567","12345678","0123","01234","012345","98765","987654","54321"},0)),AND(LEN(CB690)=8,LEFT(CB690,3)="202"))),OR(AND((LEN(CA690)-LEN(SUBSTITUTE(CA690,"a","")))&gt;=1,SUMPRODUCT(--ISNUMBER(SEARCH({"a0","a-0","a_0","a/0","a.0","a#0","0a","0-a","0_a","0/a"},BP690)))&gt;0),ISNUMBER(SEARCH("000000",BP690)))),1,0),0)</f>
        <v>0</v>
      </c>
      <c r="BR690" s="61" t="n">
        <f aca="false">IFERROR(LEN(SUBSTITUTE(CC690," ",""))-SUMPRODUCT((LEN(CC690)-LEN(SUBSTITUTE(CC690," "&amp;L_Role&amp;" "," ")))/(LEN(L_Role)+1)*LEN(L_Role)),0)</f>
        <v>0</v>
      </c>
      <c r="BS690" s="61" t="n">
        <f aca="false">IFERROR(LEN(SUBSTITUTE(CD690," ",""))-SUMPRODUCT((LEN(CD690)-LEN(SUBSTITUTE(CD690," "&amp;L_Role&amp;" "," ")))/(LEN(L_Role)+1)*LEN(L_Role)),0)</f>
        <v>0</v>
      </c>
      <c r="BT6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690,"revision",""),"version",""),"jan",""),"feb",""),"mar",""),"apr",""),"may",""),"jun",""),"jul",""),"aug",""),"sep",""),"oct",""),"nov",""),"dec",""),"utc",""),"gmt",""),"myt",""),"bst",""),"rev",""),"ver",""),"b","a"),"c","a"),"d","a"),"e","a"),"f","a"),"g","a"),"h","a"),"i","a"),"j","a"),"k","a"),"l","a"),"m","a"),"n","a"),"o","a"),"p","a"),"q","a"),"r","a"),"s","a"),"t","a"),"u","a"),"v","a"),"w","a"),"x","a"),"y","a"),"z","a")</f>
        <v/>
      </c>
      <c r="BU690" s="61" t="str">
        <f aca="false">SUBSTITUTE(SUBSTITUTE(SUBSTITUTE(SUBSTITUTE(SUBSTITUTE(SUBSTITUTE(SUBSTITUTE(SUBSTITUTE(SUBSTITUTE(SUBSTITUTE(LEFT(BM690,FIND("0",BM690&amp;"0")-1),"-",""),"_",""),"/",""),".",""),"#",""),"\\",""),":","")," ",""),"(",""),")","")</f>
        <v/>
      </c>
      <c r="BV690" s="61" t="n">
        <f aca="false">0</f>
        <v>0</v>
      </c>
      <c r="BW69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690&amp;""),"a",""),"b",""),"c",""),"d",""),"e",""),"f",""),"g",""),"h",""),"i",""),"j",""),"k",""),"l",""),"m",""),"n",""),"o",""),"p",""),"q",""),"r",""),"s",""),"t",""),"u",""),"v",""),"w",""),"x",""),"y",""),"z",""),"-",""),"_",""),"/",""),".",""),"#",""),"\\",""),":","")," ",""),"(",""),")","")</f>
        <v/>
      </c>
      <c r="BX690" s="61" t="str">
        <f aca="false">SUBSTITUTE(SUBSTITUTE(SUBSTITUTE(SUBSTITUTE(SUBSTITUTE(SUBSTITUTE(SUBSTITUTE(SUBSTITUTE(SUBSTITUTE(SUBSTITUTE(SUBSTITUTE(BM690,"0",""),"-",""),"_",""),"/",""),".",""),"#",""),"\\",""),":","")," ",""),"(",""),")","")</f>
        <v/>
      </c>
      <c r="BY690" s="62" t="n">
        <f aca="false">Q690-T12EarlyH/24</f>
        <v>46323.6875</v>
      </c>
      <c r="BZ690" s="61" t="n">
        <f aca="false">IFERROR(IF(IF(TRIM(S690)="Link / file path",AND(LEN(TRIM(Z690))&gt;=5,SUMPRODUCT(--ISNUMBER(SEARCH({"http","www.","\\",":\",".pdf",".jpg",".jpeg",".png",".heic",".xls",".doc",".msg",".eml",".ppt",".txt",".zip"},Z690)))&gt;0),AND(ISERROR(FIND(" ",TRIM(Z690))),NOT(OR(SUMPRODUCT(--ISNUMBER(FIND({",",";","&amp;","+"},Z690)))&gt;0,SUMPRODUCT(--ISNUMBER(SEARCH({"0/aa","0\\aa"},BN690)))&gt;0)),NOT(SUMPRODUCT(--ISNUMBER(SEARCH({"http","www.","\\",":\",".pdf",".jpg",".jpeg",".png",".heic",".xls",".doc",".msg",".eml",".ppt",".txt",".zip"},Z690)))&gt;0),NOT(LOWER(TRIM(Z690))=LOWER(Flights!$F$25)),ISNA(MATCH(BU690,{"mh","rev","revision","ver","version","v","r","a","b","seat","tray","row","gate","bay","stand","page","pg","item","line","no","cart","galley","flight","flt","table","box","bag","oven","etd","eta","std","sta","atd","ata","qty","pax","x","time","tel","ph","mob","day","wk","week","utc","gmt","myt","lt"},0)),NOT(OR(ISNUMBER(MATCH(LEFT(BN690,255),{"0000a","000a","00a","0000aa","000aa","00aa","0aa","0000aaa","000aaa","00a00","0a00","0000-0000","00:00","a00","a0","00.00.0000","00/00/0000","00-00-0000","0000-00-00","0000/00/00","0000.00.00","00.00.00","00/00/00","00-00-00","0.00.0000","0/00/0000","0-00-0000"},0)),ISNUMBER(MATCH(LEFT(BT690,255),{"0000a","000a","00a","0000aa","000aa","00aa","0aa","0000aaa","000aaa","00a00","0a00","0000-0000","00:00","a00","a0","00.00.0000","00/00/0000","00-00-0000","0000-00-00","0000/00/00","0000.00.00","00.00.00","00/00/00","00-00-00","0.00.0000","0/00/0000","0-00-0000"},0)))),NOT(OR(AND(BW690&lt;&gt;"",SUBSTITUTE(BW690,"0","")=""),AND(LEN(BW690)&gt;=4,BW690=REPT(LEFT(BW690),LEN(BW690))),ISNUMBER(MATCH(BW690,{"123","1234","12345","123456","1234567","12345678","0123","01234","012345","98765","987654","54321"},0)),ISNUMBER(MATCH(BX690,{"x","xx","xxx","xxxx","xxxxx","abc","abcd","nil","na","nan","test","tbc","tba","tbd","dummy","sample","example","eg","zz","zzz","none","null","xyz","qwe","asd","id","ref"},0)),AND(LEN(BW690)=8,BX690="",OR(LEFT(BW690,3)="202",ISNUMBER(MATCH(RIGHT(BW690,4),{"2025","2026","2027"},0)))))),OR(AND((LEN(BT690)-LEN(SUBSTITUTE(BT690,"a","")))&gt;=1,(LEN(BN690)-LEN(SUBSTITUTE(BN690,"0","")))&gt;=2,SUMPRODUCT(--ISNUMBER(SEARCH({"a0","a-0","a_0","a/0","a.0","a#0","0a","0-a","0_a","0/a"},BN690)))&gt;0),AND((LEN(BN690)-LEN(SUBSTITUTE(BN690,"a","")))=0,(LEN(BN690)-LEN(SUBSTITUTE(BN690,"0","")))&gt;=5)))),1,0),0)</f>
        <v>0</v>
      </c>
      <c r="CA6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690,"revision",""),"version",""),"jan",""),"feb",""),"mar",""),"apr",""),"may",""),"jun",""),"jul",""),"aug",""),"sep",""),"oct",""),"nov",""),"dec",""),"utc",""),"gmt",""),"myt",""),"bst",""),"rev",""),"ver",""),"b","a"),"c","a"),"d","a"),"e","a"),"f","a"),"g","a"),"h","a"),"i","a"),"j","a"),"k","a"),"l","a"),"m","a"),"n","a"),"o","a"),"p","a"),"q","a"),"r","a"),"s","a"),"t","a"),"u","a"),"v","a"),"w","a"),"x","a"),"y","a"),"z","a")</f>
        <v/>
      </c>
      <c r="CB69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690&amp;""),"a",""),"b",""),"c",""),"d",""),"e",""),"f",""),"g",""),"h",""),"i",""),"j",""),"k",""),"l",""),"m",""),"n",""),"o",""),"p",""),"q",""),"r",""),"s",""),"t",""),"u",""),"v",""),"w",""),"x",""),"y",""),"z",""),"-",""),"_",""),"/",""),".",""),"#",""),"\\",""),":","")," ",""),"(",""),")","")</f>
        <v/>
      </c>
      <c r="CC690" s="0" t="str">
        <f aca="false">" "&amp;TRIM(SUBSTITUTE(SUBSTITUTE(SUBSTITUTE(SUBSTITUTE(SUBSTITUTE(SUBSTITUTE(SUBSTITUTE(SUBSTITUTE(SUBSTITUTE(SUBSTITUTE(SUBSTITUTE(SUBSTITUTE(SUBSTITUTE(SUBSTITUTE(SUBSTITUTE(SUBSTITUTE(SUBSTITUTE(SUBSTITUTE(SUBSTITUTE(SUBSTITUTE(SUBSTITUTE(SUBSTITUTE(SUBSTITUTE(SUBSTITUTE(LOWER(T690&amp;""),CHAR(10)," "),CHAR(13)," "),CHAR(9)," "),CHAR(160)," "),"."," "),","," "),"-"," "),"/"," "),"("," "),")"," "),":"," "),";"," "),"_"," "),"–"," "),"?"," "),"!"," "),"*"," "),"["," "),"]"," "),"'"," "),"#"," "),"+"," "),"&amp;"," "),"\"," "))&amp;" "</f>
        <v>  </v>
      </c>
      <c r="CD690" s="0" t="str">
        <f aca="false">" "&amp;TRIM(SUBSTITUTE(SUBSTITUTE(SUBSTITUTE(SUBSTITUTE(SUBSTITUTE(SUBSTITUTE(SUBSTITUTE(SUBSTITUTE(SUBSTITUTE(SUBSTITUTE(SUBSTITUTE(SUBSTITUTE(SUBSTITUTE(SUBSTITUTE(SUBSTITUTE(SUBSTITUTE(SUBSTITUTE(SUBSTITUTE(SUBSTITUTE(SUBSTITUTE(SUBSTITUTE(SUBSTITUTE(SUBSTITUTE(SUBSTITUTE(LOWER(AE690&amp;""),CHAR(10)," "),CHAR(13)," "),CHAR(9)," "),CHAR(160)," "),"."," "),","," "),"-"," "),"/"," "),"("," "),")"," "),":"," "),";"," "),"_"," "),"–"," "),"?"," "),"!"," "),"*"," "),"["," "),"]"," "),"'"," "),"#"," "),"+"," "),"&amp;"," "),"\"," "))&amp;" "</f>
        <v>  </v>
      </c>
      <c r="CE690" s="68" t="n">
        <f aca="false">IFERROR(IF(AND(LEN(AU690)&gt;0,LEN(AU690)=LEN(AX690),OR(TRIM(MID(SUBSTITUTE(TRIM(CC690)," ",REPT(" ",60)),1,60))="",ISNUMBER(SEARCH(" "&amp;TRIM(MID(SUBSTITUTE(TRIM(CC690)," ",REPT(" ",60)),1,60))&amp;" ",CD690))),OR(TRIM(MID(SUBSTITUTE(TRIM(CC690)," ",REPT(" ",60)),61,60))="",ISNUMBER(SEARCH(" "&amp;TRIM(MID(SUBSTITUTE(TRIM(CC690)," ",REPT(" ",60)),61,60))&amp;" ",CD690))),OR(TRIM(MID(SUBSTITUTE(TRIM(CC690)," ",REPT(" ",60)),121,60))="",ISNUMBER(SEARCH(" "&amp;TRIM(MID(SUBSTITUTE(TRIM(CC690)," ",REPT(" ",60)),121,60))&amp;" ",CD690)))),1,0),0)</f>
        <v>0</v>
      </c>
      <c r="CG690" s="68" t="n">
        <f aca="false">IFERROR(LEN(SUBSTITUTE(BF690," ",""))-SUMPRODUCT((LEN(BF690)-LEN(SUBSTITUTE(BF690," "&amp;L_NAFiller&amp;" "," ")))/(LEN(L_NAFiller)+1)*LEN(L_NAFiller)),0)</f>
        <v>0</v>
      </c>
    </row>
    <row r="691" customFormat="false" ht="39.75" hidden="false" customHeight="true" outlineLevel="0" collapsed="false">
      <c r="A691" s="57" t="s">
        <v>1423</v>
      </c>
      <c r="B691" s="57" t="s">
        <v>310</v>
      </c>
      <c r="C691" s="57" t="str">
        <f aca="false">Flights!$F$25</f>
        <v>MH1437</v>
      </c>
      <c r="D691" s="58" t="n">
        <f aca="false">Flights!$D$25</f>
        <v>46325</v>
      </c>
      <c r="E691" s="57" t="str">
        <f aca="false">Flights!$G$25&amp;"-"&amp;Flights!$H$25</f>
        <v>LGK-KUL</v>
      </c>
      <c r="F691" s="57" t="str">
        <f aca="false">Flights!$K$25</f>
        <v>BC</v>
      </c>
      <c r="G691" s="57" t="s">
        <v>459</v>
      </c>
      <c r="H691" s="57" t="s">
        <v>460</v>
      </c>
      <c r="I691" s="57" t="s">
        <v>379</v>
      </c>
      <c r="J691" s="57" t="s">
        <v>461</v>
      </c>
      <c r="K691" s="67" t="s">
        <v>426</v>
      </c>
      <c r="L691" s="67" t="s">
        <v>462</v>
      </c>
      <c r="M691" s="67"/>
      <c r="N691" s="67" t="s">
        <v>383</v>
      </c>
      <c r="O691" s="67" t="s">
        <v>463</v>
      </c>
      <c r="P691" s="57" t="s">
        <v>306</v>
      </c>
      <c r="Q691" s="59" t="n">
        <f aca="false">ROUND((Flights!$AF$25)*1440,0)/1440</f>
        <v>46325.28125</v>
      </c>
      <c r="R691" s="59" t="n">
        <f aca="false">Q691+(IF(AND(INDEX(TZ_DSTS,MATCH(P691,TZ_STN,0))&lt;&gt;"",Q691&gt;=INDEX(TZ_DSTS,MATCH(P691,TZ_STN,0)),Q691&lt;INDEX(TZ_DSTE,MATCH(P691,TZ_STN,0))),INDEX(TZ_DST,MATCH(P691,TZ_STN,0)),INDEX(TZ_STD,MATCH(P691,TZ_STN,0))))/24</f>
        <v>46325.6145833333</v>
      </c>
      <c r="S691" s="60"/>
      <c r="T691" s="60"/>
      <c r="U691" s="60"/>
      <c r="V691" s="60"/>
      <c r="W691" s="61"/>
      <c r="X691" s="60"/>
      <c r="Y691" s="60"/>
      <c r="Z691" s="60"/>
      <c r="AA691" s="60"/>
      <c r="AB691" s="60"/>
      <c r="AC691" s="60"/>
      <c r="AD691" s="66"/>
      <c r="AE691" s="60"/>
      <c r="AF691" s="61" t="str">
        <f aca="false">IF(AND(ISNUMBER(X691),ISNUMBER(Y691)),Y691-X691,"")</f>
        <v/>
      </c>
      <c r="AG691" s="62" t="str">
        <f aca="false">IF(ISNUMBER(AD691),AD691-(IF(AND(INDEX(TZ_DSTS,MATCH(P691,TZ_STN,0))&lt;&gt;"",(AD691-INDEX(TZ_STD,MATCH(P691,TZ_STN,0))/24)&gt;=INDEX(TZ_DSTS,MATCH(P691,TZ_STN,0)),(AD691-INDEX(TZ_STD,MATCH(P691,TZ_STN,0))/24)&lt;INDEX(TZ_DSTE,MATCH(P691,TZ_STN,0))),INDEX(TZ_DST,MATCH(P691,TZ_STN,0)),INDEX(TZ_STD,MATCH(P691,TZ_STN,0))))/24,"")</f>
        <v/>
      </c>
      <c r="AH691" s="65" t="str">
        <f aca="false">IFERROR(IF(N691="N/A – rule",IF(OR(TRIM(U691)="",TRIM(U691)="N/A",TRIM(U691)="Not started"),"N/A – RULE","INVALID – this check does not apply to this aircraft: clear the status (or correct the fleet on Flights)"),IF(TRIM(U691)="N/A",IF(AT691=0,"INVALID – N/A not permitted for this check",IF(AND(TRIM(AB691)&lt;&gt;"",TRIM(AB691)&lt;&gt;"Closed"),"INVALID – corrective action still open",IF(AND(NOT(OR(LEN(AZ691)&lt;15,ISNUMBER(MATCH(AZ691,L_Placeholder,0)))),BK691=0,CG691&gt;=8,NOT(OR(LEN(AU691)&lt;2,ISNUMBER(MATCH(AU691,L_Placeholder,0)))),BR691&gt;=3,NOT(OR(LEN(AX691)&lt;2,ISNUMBER(MATCH(AX691,L_Placeholder,0)))),BS691&gt;=3,TRIM(AE691)&lt;&gt;TRIM(T691),AX691&lt;&gt;AU691,CE691=0),"N/A – JUSTIFIED","INVALID – N/A needs a real, settled reason (not 'not applicable' / 'as above' / TBC), a named PIC and a different named verifier"))),IF(OR(TRIM(U691)="Pass",TRIM(U691)="Pass after CA"),IF(NOT(ISNUMBER(AD691)),"INVALID – completion time missing",IF(OR(OR(LEN(AU691)&lt;2,ISNUMBER(MATCH(AU691,L_Placeholder,0))),BR691&lt;3),"INVALID – PIC missing or not a named person (a role such as QA / CSM is not a name)",IF(OR(LEN(AV691)&lt;2,ISNUMBER(MATCH(AV691,L_Placeholder,0))),"INVALID – result / assessment missing",IF(OR(OR(LEN(AW691)&lt;3,ISNUMBER(MATCH(AW691,L_Placeholder,0))),SUMPRODUCT(--ISNUMBER(SEARCH(" "&amp;L_EvidencePhrase&amp;" ",BD691)))&gt;0,BI691=1),"INVALID – evidence missing, placeholder or not yet on file",IF(ISNA(MATCH(TRIM(S691),L_EvidenceType,0)),"INVALID – choose the evidence type from the list (column S)",IF(BL691=0,"INVALID – evidence ID must be the record's own ID only (e.g. SF-2210, IMG_2231, 1045521); a link / file name needs type 'Link / file path'",IF(OR(OR(LEN(AX691)&lt;2,ISNUMBER(MATCH(AX691,L_Placeholder,0))),BS691&lt;3),"INVALID – verifier missing or not a named person (a role such as QA / CSM is not a name)",IF(OR(AX691=AU691,CE691=1,AND(LEN(AU691)&gt;=4,ISNUMBER(SEARCH(AU691,AX691))),AND(LEN(AX691)&gt;=4,ISNUMBER(SEARCH(AX691,AU691)))),"INVALID – verifier must be a different, named person (not the PIC or a role)",IF(BH691=1,"INVALID – result not yet available (awaiting / TBC)",IF(BG691=1,"INVALID – result describes a problem: record Fail, then Pass after CA (or reword if it is not a problem)",IF(BV691=1,"INVALID – wording says not on board: an on-board confirmation needs the item loaded",IF(AND(AQ691=1,OR(OR(LEN(AY691)&lt;3,ISNUMBER(MATCH(AY691,L_Placeholder,0))),BJ691=1,BQ691=0)),"INVALID – batch ID missing, placeholder or not an ID (e.g. PASB-261008-BC-017)",IF(AND(AR691=1,OR(NOT(ISNUMBER(X691)),NOT(ISNUMBER(Y691)))),"INVALID – expected/actual qty missing",IF(AND(AR691=1,OR(X691&lt;=0,Y691&lt;0)),"INVALID – expected qty must be above 0 and actual not negative",IF(AH677="N/A – JUSTIFIED","INVALID – preparation row F21-T12-02 is N/A",IF(AND(AR691=1,ISNUMBER(X677),X691&lt;&gt;X677,TRIM(U691)&lt;&gt;"Pass after CA"),"INVALID – expected qty differs from preparation check F21-T12-02: record the load change as a corrective action (Pass after CA)",IF(BB691&lt;&gt;"",BB691,IF(AND(AS691=1,Documents!$J$25&lt;&gt;"ON FILE"),"INVALID – GLD not on file (Documents sheet)",IF(AND(AS691=2,Documents!$O$25&lt;&gt;"ON FILE"),"INVALID – menu checklist not on file (Documents sheet)",IF(AND(AS691=3,NOT(ISNUMBER(Flights!$AX$25))),"INVALID – enter carrying flight KUL departure (Flights AX)",IF(AND(AS691=3,OR(Flights!$AZ$25&gt;Flights!$AA$25,Flights!$AX$25&lt;Flights!$AA$25-3)),"INVALID – carrying flight (Flights AX) cannot arrive before this leg's STD, or is over 3 days early",IF(AG691&gt;AsOfUTC,"INVALID – completion time is in the future",IF(AND(ISNUMBER(BY691),AG691&lt;BY691),IF(H691="Physical uplift","INVALID – before uplift window (cannot confirm loading)","INVALID – before valid window"),IF(AG691&gt;Flights!$AA$25,"INVALID – completed after departure (cannot establish readiness)",IF(AND(H691="Preparation",AG691&gt;=IF(ISNUMBER(Flights!$BA$25),MIN(Flights!$BA$25,Flights!$AA$25),Flights!$AA$25)),"INVALID – completed after loading / departure (cannot establish readiness)",IF(AND(H691="Physical uplift",AG691&gt;Q691),"INVALID – recorded after the loading flight departed",IF(AG691&gt;Q691,"COMPLETE – LATE","COMPLETE"))))))))))))))))))))))))))),IF(TRIM(U691)="Fail","FAIL – DISCREPANCY",IF(AND(TRIM(U691)&lt;&gt;"",TRIM(U691)&lt;&gt;"Not started",TRIM(U691)&lt;&gt;"In progress"),"INVALID – unrecognised status (use the list)",IF(AsOfUTC&gt;Q691,"OVERDUE",IF(N691="Clarification required","OPEN – CLARIFICATION","OPEN"))))))),"INVALID – error value in an input cell")</f>
        <v>OPEN</v>
      </c>
      <c r="AI691" s="61" t="n">
        <f aca="false">IF(OR(AH691="N/A – RULE",AH691="N/A – JUSTIFIED"),0,1)</f>
        <v>1</v>
      </c>
      <c r="AJ691" s="61" t="n">
        <f aca="false">IF(LEFT(AH691,8)="COMPLETE",1,0)</f>
        <v>0</v>
      </c>
      <c r="AK691" s="61" t="n">
        <f aca="false">IF(AND(AI691=1,AJ691=0,AsOfUTC&gt;Q691),1,0)</f>
        <v>0</v>
      </c>
      <c r="AL691" s="61" t="n">
        <f aca="false">IFERROR(IF(AND(AI691=1,OR(TRIM(U691)="Fail",AND(TRIM(AB691)&lt;&gt;"",TRIM(AB691)&lt;&gt;"Closed"),AND(ISNUMBER(AF691),AF691&lt;&gt;0,TRIM(U691)&lt;&gt;"Pass after CA"))),1,0),1)</f>
        <v>0</v>
      </c>
      <c r="AM691" s="61" t="n">
        <f aca="false">IF(LEFT(AH691,7)="INVALID",1,0)</f>
        <v>0</v>
      </c>
      <c r="AN691" s="61" t="n">
        <f aca="false">IF(AND(N691="Clarification required",AI691=1,AJ691=0),1,0)</f>
        <v>0</v>
      </c>
      <c r="AO691" s="61" t="str">
        <f aca="false">IF(AK691=1,SUM(AK$5:AK691),"")</f>
        <v/>
      </c>
      <c r="AP691" s="61" t="str">
        <f aca="false">IF(AL691=1,SUM(AL$5:AL691),"")</f>
        <v/>
      </c>
      <c r="AQ691" s="61" t="n">
        <v>0</v>
      </c>
      <c r="AR691" s="61" t="n">
        <v>1</v>
      </c>
      <c r="AS691" s="61" t="n">
        <v>0</v>
      </c>
      <c r="AT691" s="61" t="n">
        <v>0</v>
      </c>
      <c r="AU691" s="61" t="str">
        <f aca="false">SUBSTITUTE(SUBSTITUTE(SUBSTITUTE(SUBSTITUTE(SUBSTITUTE(SUBSTITUTE(SUBSTITUTE(SUBSTITUTE(SUBSTITUTE(SUBSTITUTE(SUBSTITUTE(SUBSTITUTE(SUBSTITUTE(SUBSTITUTE(SUBSTITUTE(SUBSTITUTE(LOWER(T691&amp;""),CHAR(10),""),CHAR(13),""),CHAR(9),""),CHAR(160),"")," ",""),".",""),"-",""),"/",""),"?",""),"_",""),",",""),"[",""),"]",""),"(",""),")",""),"*","")</f>
        <v/>
      </c>
      <c r="AV691" s="61" t="str">
        <f aca="false">SUBSTITUTE(SUBSTITUTE(SUBSTITUTE(SUBSTITUTE(SUBSTITUTE(SUBSTITUTE(SUBSTITUTE(SUBSTITUTE(SUBSTITUTE(SUBSTITUTE(SUBSTITUTE(SUBSTITUTE(SUBSTITUTE(SUBSTITUTE(SUBSTITUTE(SUBSTITUTE(LOWER(V691&amp;""),CHAR(10),""),CHAR(13),""),CHAR(9),""),CHAR(160),"")," ",""),".",""),"-",""),"/",""),"?",""),"_",""),",",""),"[",""),"]",""),"(",""),")",""),"*","")</f>
        <v/>
      </c>
      <c r="AW691" s="61" t="str">
        <f aca="false">SUBSTITUTE(SUBSTITUTE(SUBSTITUTE(SUBSTITUTE(SUBSTITUTE(SUBSTITUTE(SUBSTITUTE(SUBSTITUTE(SUBSTITUTE(SUBSTITUTE(SUBSTITUTE(SUBSTITUTE(SUBSTITUTE(SUBSTITUTE(SUBSTITUTE(SUBSTITUTE(LOWER(Z691&amp;""),CHAR(10),""),CHAR(13),""),CHAR(9),""),CHAR(160),"")," ",""),".",""),"-",""),"/",""),"?",""),"_",""),",",""),"[",""),"]",""),"(",""),")",""),"*","")</f>
        <v/>
      </c>
      <c r="AX691" s="61" t="str">
        <f aca="false">SUBSTITUTE(SUBSTITUTE(SUBSTITUTE(SUBSTITUTE(SUBSTITUTE(SUBSTITUTE(SUBSTITUTE(SUBSTITUTE(SUBSTITUTE(SUBSTITUTE(SUBSTITUTE(SUBSTITUTE(SUBSTITUTE(SUBSTITUTE(SUBSTITUTE(SUBSTITUTE(LOWER(AE691&amp;""),CHAR(10),""),CHAR(13),""),CHAR(9),""),CHAR(160),"")," ",""),".",""),"-",""),"/",""),"?",""),"_",""),",",""),"[",""),"]",""),"(",""),")",""),"*","")</f>
        <v/>
      </c>
      <c r="AY691" s="61" t="str">
        <f aca="false">SUBSTITUTE(SUBSTITUTE(SUBSTITUTE(SUBSTITUTE(SUBSTITUTE(SUBSTITUTE(SUBSTITUTE(SUBSTITUTE(SUBSTITUTE(SUBSTITUTE(SUBSTITUTE(SUBSTITUTE(SUBSTITUTE(SUBSTITUTE(SUBSTITUTE(SUBSTITUTE(LOWER(W691&amp;""),CHAR(10),""),CHAR(13),""),CHAR(9),""),CHAR(160),"")," ",""),".",""),"-",""),"/",""),"?",""),"_",""),",",""),"[",""),"]",""),"(",""),")",""),"*","")</f>
        <v/>
      </c>
      <c r="AZ691" s="61" t="str">
        <f aca="false">SUBSTITUTE(SUBSTITUTE(SUBSTITUTE(SUBSTITUTE(SUBSTITUTE(SUBSTITUTE(SUBSTITUTE(SUBSTITUTE(SUBSTITUTE(SUBSTITUTE(SUBSTITUTE(SUBSTITUTE(SUBSTITUTE(SUBSTITUTE(SUBSTITUTE(SUBSTITUTE(LOWER(AC691&amp;""),CHAR(10),""),CHAR(13),""),CHAR(9),""),CHAR(160),"")," ",""),".",""),"-",""),"/",""),"?",""),"_",""),",",""),"[",""),"]",""),"(",""),")",""),"*","")</f>
        <v/>
      </c>
      <c r="BA691" s="61" t="str">
        <f aca="false">SUBSTITUTE(SUBSTITUTE(SUBSTITUTE(SUBSTITUTE(SUBSTITUTE(SUBSTITUTE(SUBSTITUTE(SUBSTITUTE(SUBSTITUTE(SUBSTITUTE(SUBSTITUTE(SUBSTITUTE(SUBSTITUTE(SUBSTITUTE(SUBSTITUTE(SUBSTITUTE(LOWER(AA691&amp;""),CHAR(10),""),CHAR(13),""),CHAR(9),""),CHAR(160),"")," ",""),".",""),"-",""),"/",""),"?",""),"_",""),",",""),"[",""),"]",""),"(",""),")",""),"*","")</f>
        <v/>
      </c>
      <c r="BB691" s="61" t="str">
        <f aca="false">IF(AND(TRIM(U691)="Pass",ISNUMBER(AF691)),IF(AF691&lt;&gt;0,"INVALID – qty variance: use Fail or Pass after CA",""),"")&amp;IF(AND(TRIM(U691)="Pass after CA",ISNUMBER(AF691)),IF(AF691&lt;&gt;0,"INVALID – after the corrective action the actual qty must equal expected (update Actual)",""),"")&amp;IF(AND(TRIM(U691)="Pass",TRIM(AB691)&lt;&gt;"",TRIM(AB691)&lt;&gt;"Closed"),"INVALID – corrective action not closed: use Fail, then Pass after CA","")&amp;IF(AND(LEN(BA691)&gt;=2,ISNA(MATCH(LEFT(BA691,255),L_Placeholder,0)),TRIM(AB691)=""),"INVALID – CA status missing for the recorded corrective action","")&amp;IF(AND(TRIM(U691)="Pass after CA",OR(OR(LEN(BA691)&lt;5,ISNUMBER(MATCH(BA691,L_Placeholder,0))),TRIM(AB691)&lt;&gt;"Closed")),"INVALID – corrective action not recorded/closed","")</f>
        <v/>
      </c>
      <c r="BC691" s="61" t="str">
        <f aca="false">" "&amp;TRIM(SUBSTITUTE(SUBSTITUTE(SUBSTITUTE(SUBSTITUTE(SUBSTITUTE(SUBSTITUTE(SUBSTITUTE(SUBSTITUTE(SUBSTITUTE(SUBSTITUTE(SUBSTITUTE(SUBSTITUTE(SUBSTITUTE(SUBSTITUTE(SUBSTITUTE(SUBSTITUTE(SUBSTITUTE(SUBSTITUTE(SUBSTITUTE(SUBSTITUTE(SUBSTITUTE(SUBSTITUTE(SUBSTITUTE(SUBSTITUTE(LOWER(V691&amp;""),CHAR(10)," "),CHAR(13)," "),CHAR(9)," "),CHAR(160)," "),"."," "),","," "),"-"," "),"/"," "),"("," "),")"," "),":"," "),";"," "),"_"," "),"–"," "),"?"," "),"!"," "),"*"," "),"["," "),"]"," "),"'"," "),"#"," "),"+"," "),"&amp;"," "),"\"," "))&amp;" "</f>
        <v>  </v>
      </c>
      <c r="BD691" s="61" t="str">
        <f aca="false">" "&amp;TRIM(SUBSTITUTE(SUBSTITUTE(SUBSTITUTE(SUBSTITUTE(SUBSTITUTE(SUBSTITUTE(SUBSTITUTE(SUBSTITUTE(SUBSTITUTE(SUBSTITUTE(SUBSTITUTE(SUBSTITUTE(SUBSTITUTE(SUBSTITUTE(SUBSTITUTE(SUBSTITUTE(SUBSTITUTE(SUBSTITUTE(SUBSTITUTE(SUBSTITUTE(SUBSTITUTE(SUBSTITUTE(SUBSTITUTE(SUBSTITUTE(LOWER(Z691&amp;""),CHAR(10)," "),CHAR(13)," "),CHAR(9)," "),CHAR(160)," "),"."," "),","," "),"-"," "),"/"," "),"("," "),")"," "),":"," "),";"," "),"_"," "),"–"," "),"?"," "),"!"," "),"*"," "),"["," "),"]"," "),"'"," "),"#"," "),"+"," "),"&amp;"," "),"\"," "))&amp;" "</f>
        <v>  </v>
      </c>
      <c r="BE691" s="61" t="str">
        <f aca="false">" "&amp;TRIM(SUBSTITUTE(SUBSTITUTE(SUBSTITUTE(SUBSTITUTE(SUBSTITUTE(SUBSTITUTE(SUBSTITUTE(SUBSTITUTE(SUBSTITUTE(SUBSTITUTE(SUBSTITUTE(SUBSTITUTE(SUBSTITUTE(SUBSTITUTE(SUBSTITUTE(SUBSTITUTE(SUBSTITUTE(SUBSTITUTE(SUBSTITUTE(SUBSTITUTE(SUBSTITUTE(SUBSTITUTE(SUBSTITUTE(SUBSTITUTE(LOWER(W691&amp;""),CHAR(10)," "),CHAR(13)," "),CHAR(9)," "),CHAR(160)," "),"."," "),","," "),"-"," "),"/"," "),"("," "),")"," "),":"," "),";"," "),"_"," "),"–"," "),"?"," "),"!"," "),"*"," "),"["," "),"]"," "),"'"," "),"#"," "),"+"," "),"&amp;"," "),"\"," "))&amp;" "</f>
        <v>  </v>
      </c>
      <c r="BF691" s="61" t="str">
        <f aca="false">" "&amp;TRIM(SUBSTITUTE(SUBSTITUTE(SUBSTITUTE(SUBSTITUTE(SUBSTITUTE(SUBSTITUTE(SUBSTITUTE(SUBSTITUTE(SUBSTITUTE(SUBSTITUTE(SUBSTITUTE(SUBSTITUTE(SUBSTITUTE(SUBSTITUTE(SUBSTITUTE(SUBSTITUTE(SUBSTITUTE(SUBSTITUTE(SUBSTITUTE(SUBSTITUTE(SUBSTITUTE(SUBSTITUTE(SUBSTITUTE(SUBSTITUTE(LOWER(AC691&amp;""),CHAR(10)," "),CHAR(13)," "),CHAR(9)," "),CHAR(160)," "),"."," "),","," "),"-"," "),"/"," "),"("," "),")"," "),":"," "),";"," "),"_"," "),"–"," "),"?"," "),"!"," "),"*"," "),"["," "),"]"," "),"'"," "),"#"," "),"+"," "),"&amp;"," "),"\"," "))&amp;" "</f>
        <v>  </v>
      </c>
      <c r="BG691" s="61" t="n">
        <f aca="false">IFERROR(IF(AND(TRIM(U691)="Pass",SUMPRODUCT((LEN(BC691)-LEN(SUBSTITUTE(BC691," "&amp;L_ResultBad&amp;" "," ")))/(LEN(L_ResultBad)+1))&gt;SUMPRODUCT((LEN(BC691)-LEN(SUBSTITUTE(BC691," "&amp;L_NegPhrase&amp;" "," ")))/(LEN(L_NegPhrase)+1))),1,0),0)</f>
        <v>0</v>
      </c>
      <c r="BH691" s="61" t="n">
        <f aca="false">IFERROR(IF(SUMPRODUCT((LEN(BC691)-LEN(SUBSTITUTE(BC691," "&amp;L_Pending&amp;" "," ")))/(LEN(L_Pending)+1))&gt;SUMPRODUCT((LEN(BC691)-LEN(SUBSTITUTE(BC691," "&amp;L_PendNeg&amp;" "," ")))/(LEN(L_PendNeg)+1)),1,0),1)</f>
        <v>0</v>
      </c>
      <c r="BI691" s="61" t="n">
        <f aca="false">IFERROR(IF(SUMPRODUCT((LEN(BD691)-LEN(SUBSTITUTE(BD691," "&amp;L_PendStrict&amp;" "," ")))/(LEN(L_PendStrict)+1))&gt;SUMPRODUCT((LEN(BD691)-LEN(SUBSTITUTE(BD691," "&amp;L_PendNeg&amp;" "," ")))/(LEN(L_PendNeg)+1)),1,0),1)</f>
        <v>0</v>
      </c>
      <c r="BJ691" s="61" t="n">
        <f aca="false">IFERROR(IF(SUMPRODUCT((LEN(BE691)-LEN(SUBSTITUTE(BE691," "&amp;L_Pending&amp;" "," ")))/(LEN(L_Pending)+1))&gt;SUMPRODUCT((LEN(BE691)-LEN(SUBSTITUTE(BE691," "&amp;L_PendNeg&amp;" "," ")))/(LEN(L_PendNeg)+1)),1,0),1)</f>
        <v>0</v>
      </c>
      <c r="BK691" s="61" t="n">
        <f aca="false">IFERROR(IF(SUMPRODUCT((LEN(BF691)-LEN(SUBSTITUTE(BF691," "&amp;L_PendStrict&amp;" "," ")))/(LEN(L_PendStrict)+1))&gt;SUMPRODUCT((LEN(BF691)-LEN(SUBSTITUTE(BF691," "&amp;L_PendNeg&amp;" "," ")))/(LEN(L_PendNeg)+1)),1,0),1)</f>
        <v>0</v>
      </c>
      <c r="BL691" s="61" t="n">
        <f aca="false">IF(ISNA(MATCH(TRIM(S691),L_EvidenceType,0)),0,BZ691)</f>
        <v>0</v>
      </c>
      <c r="BM691" s="61" t="str">
        <f aca="false">SUBSTITUTE(SUBSTITUTE(SUBSTITUTE(SUBSTITUTE(SUBSTITUTE(SUBSTITUTE(SUBSTITUTE(SUBSTITUTE(SUBSTITUTE(LOWER(Z691&amp;""),"1","0"),"2","0"),"3","0"),"4","0"),"5","0"),"6","0"),"7","0"),"8","0"),"9","0")</f>
        <v/>
      </c>
      <c r="BN691" s="61" t="str">
        <f aca="false">SUBSTITUTE(SUBSTITUTE(SUBSTITUTE(SUBSTITUTE(SUBSTITUTE(SUBSTITUTE(SUBSTITUTE(SUBSTITUTE(SUBSTITUTE(SUBSTITUTE(SUBSTITUTE(SUBSTITUTE(SUBSTITUTE(SUBSTITUTE(SUBSTITUTE(SUBSTITUTE(SUBSTITUTE(SUBSTITUTE(SUBSTITUTE(SUBSTITUTE(SUBSTITUTE(SUBSTITUTE(SUBSTITUTE(SUBSTITUTE(SUBSTITUTE(BM691,"b","a"),"c","a"),"d","a"),"e","a"),"f","a"),"g","a"),"h","a"),"i","a"),"j","a"),"k","a"),"l","a"),"m","a"),"n","a"),"o","a"),"p","a"),"q","a"),"r","a"),"s","a"),"t","a"),"u","a"),"v","a"),"w","a"),"x","a"),"y","a"),"z","a")</f>
        <v/>
      </c>
      <c r="BO691" s="61" t="str">
        <f aca="false">SUBSTITUTE(SUBSTITUTE(SUBSTITUTE(SUBSTITUTE(SUBSTITUTE(SUBSTITUTE(SUBSTITUTE(SUBSTITUTE(SUBSTITUTE(LOWER(W691&amp;""),"1","0"),"2","0"),"3","0"),"4","0"),"5","0"),"6","0"),"7","0"),"8","0"),"9","0")</f>
        <v/>
      </c>
      <c r="BP691" s="61" t="str">
        <f aca="false">SUBSTITUTE(SUBSTITUTE(SUBSTITUTE(SUBSTITUTE(SUBSTITUTE(SUBSTITUTE(SUBSTITUTE(SUBSTITUTE(SUBSTITUTE(SUBSTITUTE(SUBSTITUTE(SUBSTITUTE(SUBSTITUTE(SUBSTITUTE(SUBSTITUTE(SUBSTITUTE(SUBSTITUTE(SUBSTITUTE(SUBSTITUTE(SUBSTITUTE(SUBSTITUTE(SUBSTITUTE(SUBSTITUTE(SUBSTITUTE(SUBSTITUTE(BO691,"b","a"),"c","a"),"d","a"),"e","a"),"f","a"),"g","a"),"h","a"),"i","a"),"j","a"),"k","a"),"l","a"),"m","a"),"n","a"),"o","a"),"p","a"),"q","a"),"r","a"),"s","a"),"t","a"),"u","a"),"v","a"),"w","a"),"x","a"),"y","a"),"z","a")</f>
        <v/>
      </c>
      <c r="BQ691" s="61" t="n">
        <f aca="false">IFERROR(IF(AND(ISERROR(SEARCH(" mh"," "&amp;LOWER(W691))),ISNA(MATCH(LEFT(TRIM(BP691),255),{"0000a","000a","00a","0000aa","000aa","00aa","0aa","0000aaa","000aaa","00a00","0a00","0000-0000","00:00","a00","a0","00.00.0000","00/00/0000","00-00-0000","0000-00-00","0000/00/00","0000.00.00","00.00.00","00/00/00","00-00-00","0.00.0000","0/00/0000","0-00-0000"},0)),ISNA(MATCH(LEFT(TRIM(CA691),255),{"0000a","000a","00a","0000aa","000aa","00aa","0aa","0000aaa","000aaa","00a00","0a00","0000-0000","00:00","a00","a0","00.00.0000","00/00/0000","00-00-0000","0000-00-00","0000/00/00","0000.00.00","00.00.00","00/00/00","00-00-00","0.00.0000","0/00/0000","0-00-0000"},0)),LEN(CB691)&gt;=3,NOT(OR(SUBSTITUTE(CB691,"0","")="",AND(LEN(CB691)&gt;=4,CB691=REPT(LEFT(CB691),LEN(CB691))),ISNUMBER(MATCH(CB691,{"123","1234","12345","123456","1234567","12345678","0123","01234","012345","98765","987654","54321"},0)),AND(LEN(CB691)=8,LEFT(CB691,3)="202"))),OR(AND((LEN(CA691)-LEN(SUBSTITUTE(CA691,"a","")))&gt;=1,SUMPRODUCT(--ISNUMBER(SEARCH({"a0","a-0","a_0","a/0","a.0","a#0","0a","0-a","0_a","0/a"},BP691)))&gt;0),ISNUMBER(SEARCH("000000",BP691)))),1,0),0)</f>
        <v>0</v>
      </c>
      <c r="BR691" s="61" t="n">
        <f aca="false">IFERROR(LEN(SUBSTITUTE(CC691," ",""))-SUMPRODUCT((LEN(CC691)-LEN(SUBSTITUTE(CC691," "&amp;L_Role&amp;" "," ")))/(LEN(L_Role)+1)*LEN(L_Role)),0)</f>
        <v>0</v>
      </c>
      <c r="BS691" s="61" t="n">
        <f aca="false">IFERROR(LEN(SUBSTITUTE(CD691," ",""))-SUMPRODUCT((LEN(CD691)-LEN(SUBSTITUTE(CD691," "&amp;L_Role&amp;" "," ")))/(LEN(L_Role)+1)*LEN(L_Role)),0)</f>
        <v>0</v>
      </c>
      <c r="BT6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691,"revision",""),"version",""),"jan",""),"feb",""),"mar",""),"apr",""),"may",""),"jun",""),"jul",""),"aug",""),"sep",""),"oct",""),"nov",""),"dec",""),"utc",""),"gmt",""),"myt",""),"bst",""),"rev",""),"ver",""),"b","a"),"c","a"),"d","a"),"e","a"),"f","a"),"g","a"),"h","a"),"i","a"),"j","a"),"k","a"),"l","a"),"m","a"),"n","a"),"o","a"),"p","a"),"q","a"),"r","a"),"s","a"),"t","a"),"u","a"),"v","a"),"w","a"),"x","a"),"y","a"),"z","a")</f>
        <v/>
      </c>
      <c r="BU691" s="61" t="str">
        <f aca="false">SUBSTITUTE(SUBSTITUTE(SUBSTITUTE(SUBSTITUTE(SUBSTITUTE(SUBSTITUTE(SUBSTITUTE(SUBSTITUTE(SUBSTITUTE(SUBSTITUTE(LEFT(BM691,FIND("0",BM691&amp;"0")-1),"-",""),"_",""),"/",""),".",""),"#",""),"\\",""),":","")," ",""),"(",""),")","")</f>
        <v/>
      </c>
      <c r="BV691" s="61" t="n">
        <f aca="false">IFERROR(IF(OR(SUMPRODUCT((LEN(BC691)-LEN(SUBSTITUTE(BC691," "&amp;L_NotLoaded&amp;" "," ")))/(LEN(L_NotLoaded)+1))&gt;SUMPRODUCT((LEN(BC691)-LEN(SUBSTITUTE(BC691," "&amp;L_NotLoadedNeg&amp;" "," ")))/(LEN(L_NotLoadedNeg)+1)),SUMPRODUCT((LEN(BD691)-LEN(SUBSTITUTE(BD691," "&amp;L_NotLoaded&amp;" "," ")))/(LEN(L_NotLoaded)+1))&gt;SUMPRODUCT((LEN(BD691)-LEN(SUBSTITUTE(BD691," "&amp;L_NotLoadedNeg&amp;" "," ")))/(LEN(L_NotLoadedNeg)+1))),1,0),0)</f>
        <v>0</v>
      </c>
      <c r="BW69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691&amp;""),"a",""),"b",""),"c",""),"d",""),"e",""),"f",""),"g",""),"h",""),"i",""),"j",""),"k",""),"l",""),"m",""),"n",""),"o",""),"p",""),"q",""),"r",""),"s",""),"t",""),"u",""),"v",""),"w",""),"x",""),"y",""),"z",""),"-",""),"_",""),"/",""),".",""),"#",""),"\\",""),":","")," ",""),"(",""),")","")</f>
        <v/>
      </c>
      <c r="BX691" s="61" t="str">
        <f aca="false">SUBSTITUTE(SUBSTITUTE(SUBSTITUTE(SUBSTITUTE(SUBSTITUTE(SUBSTITUTE(SUBSTITUTE(SUBSTITUTE(SUBSTITUTE(SUBSTITUTE(SUBSTITUTE(BM691,"0",""),"-",""),"_",""),"/",""),".",""),"#",""),"\\",""),":","")," ",""),"(",""),")","")</f>
        <v/>
      </c>
      <c r="BY691" s="62" t="n">
        <f aca="false">IF(ISNUMBER(Flights!$AZ$25),MAX(Q691-UpliftWindowH/24,Flights!$AZ$25),Q691-UpliftWindowH/24)</f>
        <v>46325.03125</v>
      </c>
      <c r="BZ691" s="61" t="n">
        <f aca="false">IFERROR(IF(IF(TRIM(S691)="Link / file path",AND(LEN(TRIM(Z691))&gt;=5,SUMPRODUCT(--ISNUMBER(SEARCH({"http","www.","\\",":\",".pdf",".jpg",".jpeg",".png",".heic",".xls",".doc",".msg",".eml",".ppt",".txt",".zip"},Z691)))&gt;0),AND(ISERROR(FIND(" ",TRIM(Z691))),NOT(OR(SUMPRODUCT(--ISNUMBER(FIND({",",";","&amp;","+"},Z691)))&gt;0,SUMPRODUCT(--ISNUMBER(SEARCH({"0/aa","0\\aa"},BN691)))&gt;0)),NOT(SUMPRODUCT(--ISNUMBER(SEARCH({"http","www.","\\",":\",".pdf",".jpg",".jpeg",".png",".heic",".xls",".doc",".msg",".eml",".ppt",".txt",".zip"},Z691)))&gt;0),NOT(LOWER(TRIM(Z691))=LOWER(Flights!$F$25)),ISNA(MATCH(BU691,{"mh","rev","revision","ver","version","v","r","a","b","seat","tray","row","gate","bay","stand","page","pg","item","line","no","cart","galley","flight","flt","table","box","bag","oven","etd","eta","std","sta","atd","ata","qty","pax","x","time","tel","ph","mob","day","wk","week","utc","gmt","myt","lt"},0)),NOT(OR(ISNUMBER(MATCH(LEFT(BN691,255),{"0000a","000a","00a","0000aa","000aa","00aa","0aa","0000aaa","000aaa","00a00","0a00","0000-0000","00:00","a00","a0","00.00.0000","00/00/0000","00-00-0000","0000-00-00","0000/00/00","0000.00.00","00.00.00","00/00/00","00-00-00","0.00.0000","0/00/0000","0-00-0000"},0)),ISNUMBER(MATCH(LEFT(BT691,255),{"0000a","000a","00a","0000aa","000aa","00aa","0aa","0000aaa","000aaa","00a00","0a00","0000-0000","00:00","a00","a0","00.00.0000","00/00/0000","00-00-0000","0000-00-00","0000/00/00","0000.00.00","00.00.00","00/00/00","00-00-00","0.00.0000","0/00/0000","0-00-0000"},0)))),NOT(OR(AND(BW691&lt;&gt;"",SUBSTITUTE(BW691,"0","")=""),AND(LEN(BW691)&gt;=4,BW691=REPT(LEFT(BW691),LEN(BW691))),ISNUMBER(MATCH(BW691,{"123","1234","12345","123456","1234567","12345678","0123","01234","012345","98765","987654","54321"},0)),ISNUMBER(MATCH(BX691,{"x","xx","xxx","xxxx","xxxxx","abc","abcd","nil","na","nan","test","tbc","tba","tbd","dummy","sample","example","eg","zz","zzz","none","null","xyz","qwe","asd","id","ref"},0)),AND(LEN(BW691)=8,BX691="",OR(LEFT(BW691,3)="202",ISNUMBER(MATCH(RIGHT(BW691,4),{"2025","2026","2027"},0)))))),OR(AND((LEN(BT691)-LEN(SUBSTITUTE(BT691,"a","")))&gt;=1,(LEN(BN691)-LEN(SUBSTITUTE(BN691,"0","")))&gt;=2,SUMPRODUCT(--ISNUMBER(SEARCH({"a0","a-0","a_0","a/0","a.0","a#0","0a","0-a","0_a","0/a"},BN691)))&gt;0),AND((LEN(BN691)-LEN(SUBSTITUTE(BN691,"a","")))=0,(LEN(BN691)-LEN(SUBSTITUTE(BN691,"0","")))&gt;=5)))),1,0),0)</f>
        <v>0</v>
      </c>
      <c r="CA6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691,"revision",""),"version",""),"jan",""),"feb",""),"mar",""),"apr",""),"may",""),"jun",""),"jul",""),"aug",""),"sep",""),"oct",""),"nov",""),"dec",""),"utc",""),"gmt",""),"myt",""),"bst",""),"rev",""),"ver",""),"b","a"),"c","a"),"d","a"),"e","a"),"f","a"),"g","a"),"h","a"),"i","a"),"j","a"),"k","a"),"l","a"),"m","a"),"n","a"),"o","a"),"p","a"),"q","a"),"r","a"),"s","a"),"t","a"),"u","a"),"v","a"),"w","a"),"x","a"),"y","a"),"z","a")</f>
        <v/>
      </c>
      <c r="CB69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691&amp;""),"a",""),"b",""),"c",""),"d",""),"e",""),"f",""),"g",""),"h",""),"i",""),"j",""),"k",""),"l",""),"m",""),"n",""),"o",""),"p",""),"q",""),"r",""),"s",""),"t",""),"u",""),"v",""),"w",""),"x",""),"y",""),"z",""),"-",""),"_",""),"/",""),".",""),"#",""),"\\",""),":","")," ",""),"(",""),")","")</f>
        <v/>
      </c>
      <c r="CC691" s="0" t="str">
        <f aca="false">" "&amp;TRIM(SUBSTITUTE(SUBSTITUTE(SUBSTITUTE(SUBSTITUTE(SUBSTITUTE(SUBSTITUTE(SUBSTITUTE(SUBSTITUTE(SUBSTITUTE(SUBSTITUTE(SUBSTITUTE(SUBSTITUTE(SUBSTITUTE(SUBSTITUTE(SUBSTITUTE(SUBSTITUTE(SUBSTITUTE(SUBSTITUTE(SUBSTITUTE(SUBSTITUTE(SUBSTITUTE(SUBSTITUTE(SUBSTITUTE(SUBSTITUTE(LOWER(T691&amp;""),CHAR(10)," "),CHAR(13)," "),CHAR(9)," "),CHAR(160)," "),"."," "),","," "),"-"," "),"/"," "),"("," "),")"," "),":"," "),";"," "),"_"," "),"–"," "),"?"," "),"!"," "),"*"," "),"["," "),"]"," "),"'"," "),"#"," "),"+"," "),"&amp;"," "),"\"," "))&amp;" "</f>
        <v>  </v>
      </c>
      <c r="CD691" s="0" t="str">
        <f aca="false">" "&amp;TRIM(SUBSTITUTE(SUBSTITUTE(SUBSTITUTE(SUBSTITUTE(SUBSTITUTE(SUBSTITUTE(SUBSTITUTE(SUBSTITUTE(SUBSTITUTE(SUBSTITUTE(SUBSTITUTE(SUBSTITUTE(SUBSTITUTE(SUBSTITUTE(SUBSTITUTE(SUBSTITUTE(SUBSTITUTE(SUBSTITUTE(SUBSTITUTE(SUBSTITUTE(SUBSTITUTE(SUBSTITUTE(SUBSTITUTE(SUBSTITUTE(LOWER(AE691&amp;""),CHAR(10)," "),CHAR(13)," "),CHAR(9)," "),CHAR(160)," "),"."," "),","," "),"-"," "),"/"," "),"("," "),")"," "),":"," "),";"," "),"_"," "),"–"," "),"?"," "),"!"," "),"*"," "),"["," "),"]"," "),"'"," "),"#"," "),"+"," "),"&amp;"," "),"\"," "))&amp;" "</f>
        <v>  </v>
      </c>
      <c r="CE691" s="68" t="n">
        <f aca="false">IFERROR(IF(AND(LEN(AU691)&gt;0,LEN(AU691)=LEN(AX691),OR(TRIM(MID(SUBSTITUTE(TRIM(CC691)," ",REPT(" ",60)),1,60))="",ISNUMBER(SEARCH(" "&amp;TRIM(MID(SUBSTITUTE(TRIM(CC691)," ",REPT(" ",60)),1,60))&amp;" ",CD691))),OR(TRIM(MID(SUBSTITUTE(TRIM(CC691)," ",REPT(" ",60)),61,60))="",ISNUMBER(SEARCH(" "&amp;TRIM(MID(SUBSTITUTE(TRIM(CC691)," ",REPT(" ",60)),61,60))&amp;" ",CD691))),OR(TRIM(MID(SUBSTITUTE(TRIM(CC691)," ",REPT(" ",60)),121,60))="",ISNUMBER(SEARCH(" "&amp;TRIM(MID(SUBSTITUTE(TRIM(CC691)," ",REPT(" ",60)),121,60))&amp;" ",CD691)))),1,0),0)</f>
        <v>0</v>
      </c>
      <c r="CG691" s="68" t="n">
        <f aca="false">IFERROR(LEN(SUBSTITUTE(BF691," ",""))-SUMPRODUCT((LEN(BF691)-LEN(SUBSTITUTE(BF691," "&amp;L_NAFiller&amp;" "," ")))/(LEN(L_NAFiller)+1)*LEN(L_NAFiller)),0)</f>
        <v>0</v>
      </c>
    </row>
    <row r="692" customFormat="false" ht="39.75" hidden="false" customHeight="true" outlineLevel="0" collapsed="false">
      <c r="A692" s="57" t="s">
        <v>1424</v>
      </c>
      <c r="B692" s="57" t="s">
        <v>310</v>
      </c>
      <c r="C692" s="57" t="str">
        <f aca="false">Flights!$F$25</f>
        <v>MH1437</v>
      </c>
      <c r="D692" s="58" t="n">
        <f aca="false">Flights!$D$25</f>
        <v>46325</v>
      </c>
      <c r="E692" s="57" t="str">
        <f aca="false">Flights!$G$25&amp;"-"&amp;Flights!$H$25</f>
        <v>LGK-KUL</v>
      </c>
      <c r="F692" s="57" t="str">
        <f aca="false">Flights!$K$25</f>
        <v>BC</v>
      </c>
      <c r="G692" s="57" t="s">
        <v>459</v>
      </c>
      <c r="H692" s="57" t="s">
        <v>460</v>
      </c>
      <c r="I692" s="57" t="s">
        <v>428</v>
      </c>
      <c r="J692" s="57" t="s">
        <v>465</v>
      </c>
      <c r="K692" s="67" t="s">
        <v>426</v>
      </c>
      <c r="L692" s="67" t="s">
        <v>462</v>
      </c>
      <c r="M692" s="67"/>
      <c r="N692" s="67" t="s">
        <v>383</v>
      </c>
      <c r="O692" s="67" t="s">
        <v>463</v>
      </c>
      <c r="P692" s="57" t="s">
        <v>306</v>
      </c>
      <c r="Q692" s="59" t="n">
        <f aca="false">ROUND((Flights!$AF$25)*1440,0)/1440</f>
        <v>46325.28125</v>
      </c>
      <c r="R692" s="59" t="n">
        <f aca="false">Q692+(IF(AND(INDEX(TZ_DSTS,MATCH(P692,TZ_STN,0))&lt;&gt;"",Q692&gt;=INDEX(TZ_DSTS,MATCH(P692,TZ_STN,0)),Q692&lt;INDEX(TZ_DSTE,MATCH(P692,TZ_STN,0))),INDEX(TZ_DST,MATCH(P692,TZ_STN,0)),INDEX(TZ_STD,MATCH(P692,TZ_STN,0))))/24</f>
        <v>46325.6145833333</v>
      </c>
      <c r="S692" s="60"/>
      <c r="T692" s="60"/>
      <c r="U692" s="60"/>
      <c r="V692" s="60"/>
      <c r="W692" s="61"/>
      <c r="X692" s="60"/>
      <c r="Y692" s="60"/>
      <c r="Z692" s="60"/>
      <c r="AA692" s="60"/>
      <c r="AB692" s="60"/>
      <c r="AC692" s="60"/>
      <c r="AD692" s="66"/>
      <c r="AE692" s="60"/>
      <c r="AF692" s="61" t="str">
        <f aca="false">IF(AND(ISNUMBER(X692),ISNUMBER(Y692)),Y692-X692,"")</f>
        <v/>
      </c>
      <c r="AG692" s="62" t="str">
        <f aca="false">IF(ISNUMBER(AD692),AD692-(IF(AND(INDEX(TZ_DSTS,MATCH(P692,TZ_STN,0))&lt;&gt;"",(AD692-INDEX(TZ_STD,MATCH(P692,TZ_STN,0))/24)&gt;=INDEX(TZ_DSTS,MATCH(P692,TZ_STN,0)),(AD692-INDEX(TZ_STD,MATCH(P692,TZ_STN,0))/24)&lt;INDEX(TZ_DSTE,MATCH(P692,TZ_STN,0))),INDEX(TZ_DST,MATCH(P692,TZ_STN,0)),INDEX(TZ_STD,MATCH(P692,TZ_STN,0))))/24,"")</f>
        <v/>
      </c>
      <c r="AH692" s="65" t="str">
        <f aca="false">IFERROR(IF(N692="N/A – rule",IF(OR(TRIM(U692)="",TRIM(U692)="N/A",TRIM(U692)="Not started"),"N/A – RULE","INVALID – this check does not apply to this aircraft: clear the status (or correct the fleet on Flights)"),IF(TRIM(U692)="N/A",IF(AT692=0,"INVALID – N/A not permitted for this check",IF(AND(TRIM(AB692)&lt;&gt;"",TRIM(AB692)&lt;&gt;"Closed"),"INVALID – corrective action still open",IF(AND(NOT(OR(LEN(AZ692)&lt;15,ISNUMBER(MATCH(AZ692,L_Placeholder,0)))),BK692=0,CG692&gt;=8,NOT(OR(LEN(AU692)&lt;2,ISNUMBER(MATCH(AU692,L_Placeholder,0)))),BR692&gt;=3,NOT(OR(LEN(AX692)&lt;2,ISNUMBER(MATCH(AX692,L_Placeholder,0)))),BS692&gt;=3,TRIM(AE692)&lt;&gt;TRIM(T692),AX692&lt;&gt;AU692,CE692=0),"N/A – JUSTIFIED","INVALID – N/A needs a real, settled reason (not 'not applicable' / 'as above' / TBC), a named PIC and a different named verifier"))),IF(OR(TRIM(U692)="Pass",TRIM(U692)="Pass after CA"),IF(NOT(ISNUMBER(AD692)),"INVALID – completion time missing",IF(OR(OR(LEN(AU692)&lt;2,ISNUMBER(MATCH(AU692,L_Placeholder,0))),BR692&lt;3),"INVALID – PIC missing or not a named person (a role such as QA / CSM is not a name)",IF(OR(LEN(AV692)&lt;2,ISNUMBER(MATCH(AV692,L_Placeholder,0))),"INVALID – result / assessment missing",IF(OR(OR(LEN(AW692)&lt;3,ISNUMBER(MATCH(AW692,L_Placeholder,0))),SUMPRODUCT(--ISNUMBER(SEARCH(" "&amp;L_EvidencePhrase&amp;" ",BD692)))&gt;0,BI692=1),"INVALID – evidence missing, placeholder or not yet on file",IF(ISNA(MATCH(TRIM(S692),L_EvidenceType,0)),"INVALID – choose the evidence type from the list (column S)",IF(BL692=0,"INVALID – evidence ID must be the record's own ID only (e.g. SF-2210, IMG_2231, 1045521); a link / file name needs type 'Link / file path'",IF(OR(OR(LEN(AX692)&lt;2,ISNUMBER(MATCH(AX692,L_Placeholder,0))),BS692&lt;3),"INVALID – verifier missing or not a named person (a role such as QA / CSM is not a name)",IF(OR(AX692=AU692,CE692=1,AND(LEN(AU692)&gt;=4,ISNUMBER(SEARCH(AU692,AX692))),AND(LEN(AX692)&gt;=4,ISNUMBER(SEARCH(AX692,AU692)))),"INVALID – verifier must be a different, named person (not the PIC or a role)",IF(BH692=1,"INVALID – result not yet available (awaiting / TBC)",IF(BG692=1,"INVALID – result describes a problem: record Fail, then Pass after CA (or reword if it is not a problem)",IF(BV692=1,"INVALID – wording says not on board: an on-board confirmation needs the item loaded",IF(AND(AQ692=1,OR(OR(LEN(AY692)&lt;3,ISNUMBER(MATCH(AY692,L_Placeholder,0))),BJ692=1,BQ692=0)),"INVALID – batch ID missing, placeholder or not an ID (e.g. PASB-261008-BC-017)",IF(AND(AR692=1,OR(NOT(ISNUMBER(X692)),NOT(ISNUMBER(Y692)))),"INVALID – expected/actual qty missing",IF(AND(AR692=1,OR(X692&lt;=0,Y692&lt;0)),"INVALID – expected qty must be above 0 and actual not negative",IF(AH681="N/A – JUSTIFIED","INVALID – preparation row F21-T12-06 is N/A",IF(AND(AR692=1,ISNUMBER(X681),X692&lt;&gt;X681,TRIM(U692)&lt;&gt;"Pass after CA"),"INVALID – expected qty differs from preparation check F21-T12-06: record the load change as a corrective action (Pass after CA)",IF(BB692&lt;&gt;"",BB692,IF(AND(AS692=1,Documents!$J$25&lt;&gt;"ON FILE"),"INVALID – GLD not on file (Documents sheet)",IF(AND(AS692=2,Documents!$O$25&lt;&gt;"ON FILE"),"INVALID – menu checklist not on file (Documents sheet)",IF(AND(AS692=3,NOT(ISNUMBER(Flights!$AX$25))),"INVALID – enter carrying flight KUL departure (Flights AX)",IF(AND(AS692=3,OR(Flights!$AZ$25&gt;Flights!$AA$25,Flights!$AX$25&lt;Flights!$AA$25-3)),"INVALID – carrying flight (Flights AX) cannot arrive before this leg's STD, or is over 3 days early",IF(AG692&gt;AsOfUTC,"INVALID – completion time is in the future",IF(AND(ISNUMBER(BY692),AG692&lt;BY692),IF(H692="Physical uplift","INVALID – before uplift window (cannot confirm loading)","INVALID – before valid window"),IF(AG692&gt;Flights!$AA$25,"INVALID – completed after departure (cannot establish readiness)",IF(AND(H692="Preparation",AG692&gt;=IF(ISNUMBER(Flights!$BA$25),MIN(Flights!$BA$25,Flights!$AA$25),Flights!$AA$25)),"INVALID – completed after loading / departure (cannot establish readiness)",IF(AND(H692="Physical uplift",AG692&gt;Q692),"INVALID – recorded after the loading flight departed",IF(AG692&gt;Q692,"COMPLETE – LATE","COMPLETE"))))))))))))))))))))))))))),IF(TRIM(U692)="Fail","FAIL – DISCREPANCY",IF(AND(TRIM(U692)&lt;&gt;"",TRIM(U692)&lt;&gt;"Not started",TRIM(U692)&lt;&gt;"In progress"),"INVALID – unrecognised status (use the list)",IF(AsOfUTC&gt;Q692,"OVERDUE",IF(N692="Clarification required","OPEN – CLARIFICATION","OPEN"))))))),"INVALID – error value in an input cell")</f>
        <v>OPEN</v>
      </c>
      <c r="AI692" s="61" t="n">
        <f aca="false">IF(OR(AH692="N/A – RULE",AH692="N/A – JUSTIFIED"),0,1)</f>
        <v>1</v>
      </c>
      <c r="AJ692" s="61" t="n">
        <f aca="false">IF(LEFT(AH692,8)="COMPLETE",1,0)</f>
        <v>0</v>
      </c>
      <c r="AK692" s="61" t="n">
        <f aca="false">IF(AND(AI692=1,AJ692=0,AsOfUTC&gt;Q692),1,0)</f>
        <v>0</v>
      </c>
      <c r="AL692" s="61" t="n">
        <f aca="false">IFERROR(IF(AND(AI692=1,OR(TRIM(U692)="Fail",AND(TRIM(AB692)&lt;&gt;"",TRIM(AB692)&lt;&gt;"Closed"),AND(ISNUMBER(AF692),AF692&lt;&gt;0,TRIM(U692)&lt;&gt;"Pass after CA"))),1,0),1)</f>
        <v>0</v>
      </c>
      <c r="AM692" s="61" t="n">
        <f aca="false">IF(LEFT(AH692,7)="INVALID",1,0)</f>
        <v>0</v>
      </c>
      <c r="AN692" s="61" t="n">
        <f aca="false">IF(AND(N692="Clarification required",AI692=1,AJ692=0),1,0)</f>
        <v>0</v>
      </c>
      <c r="AO692" s="61" t="str">
        <f aca="false">IF(AK692=1,SUM(AK$5:AK692),"")</f>
        <v/>
      </c>
      <c r="AP692" s="61" t="str">
        <f aca="false">IF(AL692=1,SUM(AL$5:AL692),"")</f>
        <v/>
      </c>
      <c r="AQ692" s="61" t="n">
        <v>0</v>
      </c>
      <c r="AR692" s="61" t="n">
        <v>1</v>
      </c>
      <c r="AS692" s="61" t="n">
        <v>0</v>
      </c>
      <c r="AT692" s="61" t="n">
        <v>0</v>
      </c>
      <c r="AU692" s="61" t="str">
        <f aca="false">SUBSTITUTE(SUBSTITUTE(SUBSTITUTE(SUBSTITUTE(SUBSTITUTE(SUBSTITUTE(SUBSTITUTE(SUBSTITUTE(SUBSTITUTE(SUBSTITUTE(SUBSTITUTE(SUBSTITUTE(SUBSTITUTE(SUBSTITUTE(SUBSTITUTE(SUBSTITUTE(LOWER(T692&amp;""),CHAR(10),""),CHAR(13),""),CHAR(9),""),CHAR(160),"")," ",""),".",""),"-",""),"/",""),"?",""),"_",""),",",""),"[",""),"]",""),"(",""),")",""),"*","")</f>
        <v/>
      </c>
      <c r="AV692" s="61" t="str">
        <f aca="false">SUBSTITUTE(SUBSTITUTE(SUBSTITUTE(SUBSTITUTE(SUBSTITUTE(SUBSTITUTE(SUBSTITUTE(SUBSTITUTE(SUBSTITUTE(SUBSTITUTE(SUBSTITUTE(SUBSTITUTE(SUBSTITUTE(SUBSTITUTE(SUBSTITUTE(SUBSTITUTE(LOWER(V692&amp;""),CHAR(10),""),CHAR(13),""),CHAR(9),""),CHAR(160),"")," ",""),".",""),"-",""),"/",""),"?",""),"_",""),",",""),"[",""),"]",""),"(",""),")",""),"*","")</f>
        <v/>
      </c>
      <c r="AW692" s="61" t="str">
        <f aca="false">SUBSTITUTE(SUBSTITUTE(SUBSTITUTE(SUBSTITUTE(SUBSTITUTE(SUBSTITUTE(SUBSTITUTE(SUBSTITUTE(SUBSTITUTE(SUBSTITUTE(SUBSTITUTE(SUBSTITUTE(SUBSTITUTE(SUBSTITUTE(SUBSTITUTE(SUBSTITUTE(LOWER(Z692&amp;""),CHAR(10),""),CHAR(13),""),CHAR(9),""),CHAR(160),"")," ",""),".",""),"-",""),"/",""),"?",""),"_",""),",",""),"[",""),"]",""),"(",""),")",""),"*","")</f>
        <v/>
      </c>
      <c r="AX692" s="61" t="str">
        <f aca="false">SUBSTITUTE(SUBSTITUTE(SUBSTITUTE(SUBSTITUTE(SUBSTITUTE(SUBSTITUTE(SUBSTITUTE(SUBSTITUTE(SUBSTITUTE(SUBSTITUTE(SUBSTITUTE(SUBSTITUTE(SUBSTITUTE(SUBSTITUTE(SUBSTITUTE(SUBSTITUTE(LOWER(AE692&amp;""),CHAR(10),""),CHAR(13),""),CHAR(9),""),CHAR(160),"")," ",""),".",""),"-",""),"/",""),"?",""),"_",""),",",""),"[",""),"]",""),"(",""),")",""),"*","")</f>
        <v/>
      </c>
      <c r="AY692" s="61" t="str">
        <f aca="false">SUBSTITUTE(SUBSTITUTE(SUBSTITUTE(SUBSTITUTE(SUBSTITUTE(SUBSTITUTE(SUBSTITUTE(SUBSTITUTE(SUBSTITUTE(SUBSTITUTE(SUBSTITUTE(SUBSTITUTE(SUBSTITUTE(SUBSTITUTE(SUBSTITUTE(SUBSTITUTE(LOWER(W692&amp;""),CHAR(10),""),CHAR(13),""),CHAR(9),""),CHAR(160),"")," ",""),".",""),"-",""),"/",""),"?",""),"_",""),",",""),"[",""),"]",""),"(",""),")",""),"*","")</f>
        <v/>
      </c>
      <c r="AZ692" s="61" t="str">
        <f aca="false">SUBSTITUTE(SUBSTITUTE(SUBSTITUTE(SUBSTITUTE(SUBSTITUTE(SUBSTITUTE(SUBSTITUTE(SUBSTITUTE(SUBSTITUTE(SUBSTITUTE(SUBSTITUTE(SUBSTITUTE(SUBSTITUTE(SUBSTITUTE(SUBSTITUTE(SUBSTITUTE(LOWER(AC692&amp;""),CHAR(10),""),CHAR(13),""),CHAR(9),""),CHAR(160),"")," ",""),".",""),"-",""),"/",""),"?",""),"_",""),",",""),"[",""),"]",""),"(",""),")",""),"*","")</f>
        <v/>
      </c>
      <c r="BA692" s="61" t="str">
        <f aca="false">SUBSTITUTE(SUBSTITUTE(SUBSTITUTE(SUBSTITUTE(SUBSTITUTE(SUBSTITUTE(SUBSTITUTE(SUBSTITUTE(SUBSTITUTE(SUBSTITUTE(SUBSTITUTE(SUBSTITUTE(SUBSTITUTE(SUBSTITUTE(SUBSTITUTE(SUBSTITUTE(LOWER(AA692&amp;""),CHAR(10),""),CHAR(13),""),CHAR(9),""),CHAR(160),"")," ",""),".",""),"-",""),"/",""),"?",""),"_",""),",",""),"[",""),"]",""),"(",""),")",""),"*","")</f>
        <v/>
      </c>
      <c r="BB692" s="61" t="str">
        <f aca="false">IF(AND(TRIM(U692)="Pass",ISNUMBER(AF692)),IF(AF692&lt;&gt;0,"INVALID – qty variance: use Fail or Pass after CA",""),"")&amp;IF(AND(TRIM(U692)="Pass after CA",ISNUMBER(AF692)),IF(AF692&lt;&gt;0,"INVALID – after the corrective action the actual qty must equal expected (update Actual)",""),"")&amp;IF(AND(TRIM(U692)="Pass",TRIM(AB692)&lt;&gt;"",TRIM(AB692)&lt;&gt;"Closed"),"INVALID – corrective action not closed: use Fail, then Pass after CA","")&amp;IF(AND(LEN(BA692)&gt;=2,ISNA(MATCH(LEFT(BA692,255),L_Placeholder,0)),TRIM(AB692)=""),"INVALID – CA status missing for the recorded corrective action","")&amp;IF(AND(TRIM(U692)="Pass after CA",OR(OR(LEN(BA692)&lt;5,ISNUMBER(MATCH(BA692,L_Placeholder,0))),TRIM(AB692)&lt;&gt;"Closed")),"INVALID – corrective action not recorded/closed","")</f>
        <v/>
      </c>
      <c r="BC692" s="61" t="str">
        <f aca="false">" "&amp;TRIM(SUBSTITUTE(SUBSTITUTE(SUBSTITUTE(SUBSTITUTE(SUBSTITUTE(SUBSTITUTE(SUBSTITUTE(SUBSTITUTE(SUBSTITUTE(SUBSTITUTE(SUBSTITUTE(SUBSTITUTE(SUBSTITUTE(SUBSTITUTE(SUBSTITUTE(SUBSTITUTE(SUBSTITUTE(SUBSTITUTE(SUBSTITUTE(SUBSTITUTE(SUBSTITUTE(SUBSTITUTE(SUBSTITUTE(SUBSTITUTE(LOWER(V692&amp;""),CHAR(10)," "),CHAR(13)," "),CHAR(9)," "),CHAR(160)," "),"."," "),","," "),"-"," "),"/"," "),"("," "),")"," "),":"," "),";"," "),"_"," "),"–"," "),"?"," "),"!"," "),"*"," "),"["," "),"]"," "),"'"," "),"#"," "),"+"," "),"&amp;"," "),"\"," "))&amp;" "</f>
        <v>  </v>
      </c>
      <c r="BD692" s="61" t="str">
        <f aca="false">" "&amp;TRIM(SUBSTITUTE(SUBSTITUTE(SUBSTITUTE(SUBSTITUTE(SUBSTITUTE(SUBSTITUTE(SUBSTITUTE(SUBSTITUTE(SUBSTITUTE(SUBSTITUTE(SUBSTITUTE(SUBSTITUTE(SUBSTITUTE(SUBSTITUTE(SUBSTITUTE(SUBSTITUTE(SUBSTITUTE(SUBSTITUTE(SUBSTITUTE(SUBSTITUTE(SUBSTITUTE(SUBSTITUTE(SUBSTITUTE(SUBSTITUTE(LOWER(Z692&amp;""),CHAR(10)," "),CHAR(13)," "),CHAR(9)," "),CHAR(160)," "),"."," "),","," "),"-"," "),"/"," "),"("," "),")"," "),":"," "),";"," "),"_"," "),"–"," "),"?"," "),"!"," "),"*"," "),"["," "),"]"," "),"'"," "),"#"," "),"+"," "),"&amp;"," "),"\"," "))&amp;" "</f>
        <v>  </v>
      </c>
      <c r="BE692" s="61" t="str">
        <f aca="false">" "&amp;TRIM(SUBSTITUTE(SUBSTITUTE(SUBSTITUTE(SUBSTITUTE(SUBSTITUTE(SUBSTITUTE(SUBSTITUTE(SUBSTITUTE(SUBSTITUTE(SUBSTITUTE(SUBSTITUTE(SUBSTITUTE(SUBSTITUTE(SUBSTITUTE(SUBSTITUTE(SUBSTITUTE(SUBSTITUTE(SUBSTITUTE(SUBSTITUTE(SUBSTITUTE(SUBSTITUTE(SUBSTITUTE(SUBSTITUTE(SUBSTITUTE(LOWER(W692&amp;""),CHAR(10)," "),CHAR(13)," "),CHAR(9)," "),CHAR(160)," "),"."," "),","," "),"-"," "),"/"," "),"("," "),")"," "),":"," "),";"," "),"_"," "),"–"," "),"?"," "),"!"," "),"*"," "),"["," "),"]"," "),"'"," "),"#"," "),"+"," "),"&amp;"," "),"\"," "))&amp;" "</f>
        <v>  </v>
      </c>
      <c r="BF692" s="61" t="str">
        <f aca="false">" "&amp;TRIM(SUBSTITUTE(SUBSTITUTE(SUBSTITUTE(SUBSTITUTE(SUBSTITUTE(SUBSTITUTE(SUBSTITUTE(SUBSTITUTE(SUBSTITUTE(SUBSTITUTE(SUBSTITUTE(SUBSTITUTE(SUBSTITUTE(SUBSTITUTE(SUBSTITUTE(SUBSTITUTE(SUBSTITUTE(SUBSTITUTE(SUBSTITUTE(SUBSTITUTE(SUBSTITUTE(SUBSTITUTE(SUBSTITUTE(SUBSTITUTE(LOWER(AC692&amp;""),CHAR(10)," "),CHAR(13)," "),CHAR(9)," "),CHAR(160)," "),"."," "),","," "),"-"," "),"/"," "),"("," "),")"," "),":"," "),";"," "),"_"," "),"–"," "),"?"," "),"!"," "),"*"," "),"["," "),"]"," "),"'"," "),"#"," "),"+"," "),"&amp;"," "),"\"," "))&amp;" "</f>
        <v>  </v>
      </c>
      <c r="BG692" s="61" t="n">
        <f aca="false">IFERROR(IF(AND(TRIM(U692)="Pass",SUMPRODUCT((LEN(BC692)-LEN(SUBSTITUTE(BC692," "&amp;L_ResultBad&amp;" "," ")))/(LEN(L_ResultBad)+1))&gt;SUMPRODUCT((LEN(BC692)-LEN(SUBSTITUTE(BC692," "&amp;L_NegPhrase&amp;" "," ")))/(LEN(L_NegPhrase)+1))),1,0),0)</f>
        <v>0</v>
      </c>
      <c r="BH692" s="61" t="n">
        <f aca="false">IFERROR(IF(SUMPRODUCT((LEN(BC692)-LEN(SUBSTITUTE(BC692," "&amp;L_Pending&amp;" "," ")))/(LEN(L_Pending)+1))&gt;SUMPRODUCT((LEN(BC692)-LEN(SUBSTITUTE(BC692," "&amp;L_PendNeg&amp;" "," ")))/(LEN(L_PendNeg)+1)),1,0),1)</f>
        <v>0</v>
      </c>
      <c r="BI692" s="61" t="n">
        <f aca="false">IFERROR(IF(SUMPRODUCT((LEN(BD692)-LEN(SUBSTITUTE(BD692," "&amp;L_PendStrict&amp;" "," ")))/(LEN(L_PendStrict)+1))&gt;SUMPRODUCT((LEN(BD692)-LEN(SUBSTITUTE(BD692," "&amp;L_PendNeg&amp;" "," ")))/(LEN(L_PendNeg)+1)),1,0),1)</f>
        <v>0</v>
      </c>
      <c r="BJ692" s="61" t="n">
        <f aca="false">IFERROR(IF(SUMPRODUCT((LEN(BE692)-LEN(SUBSTITUTE(BE692," "&amp;L_Pending&amp;" "," ")))/(LEN(L_Pending)+1))&gt;SUMPRODUCT((LEN(BE692)-LEN(SUBSTITUTE(BE692," "&amp;L_PendNeg&amp;" "," ")))/(LEN(L_PendNeg)+1)),1,0),1)</f>
        <v>0</v>
      </c>
      <c r="BK692" s="61" t="n">
        <f aca="false">IFERROR(IF(SUMPRODUCT((LEN(BF692)-LEN(SUBSTITUTE(BF692," "&amp;L_PendStrict&amp;" "," ")))/(LEN(L_PendStrict)+1))&gt;SUMPRODUCT((LEN(BF692)-LEN(SUBSTITUTE(BF692," "&amp;L_PendNeg&amp;" "," ")))/(LEN(L_PendNeg)+1)),1,0),1)</f>
        <v>0</v>
      </c>
      <c r="BL692" s="61" t="n">
        <f aca="false">IF(ISNA(MATCH(TRIM(S692),L_EvidenceType,0)),0,BZ692)</f>
        <v>0</v>
      </c>
      <c r="BM692" s="61" t="str">
        <f aca="false">SUBSTITUTE(SUBSTITUTE(SUBSTITUTE(SUBSTITUTE(SUBSTITUTE(SUBSTITUTE(SUBSTITUTE(SUBSTITUTE(SUBSTITUTE(LOWER(Z692&amp;""),"1","0"),"2","0"),"3","0"),"4","0"),"5","0"),"6","0"),"7","0"),"8","0"),"9","0")</f>
        <v/>
      </c>
      <c r="BN692" s="61" t="str">
        <f aca="false">SUBSTITUTE(SUBSTITUTE(SUBSTITUTE(SUBSTITUTE(SUBSTITUTE(SUBSTITUTE(SUBSTITUTE(SUBSTITUTE(SUBSTITUTE(SUBSTITUTE(SUBSTITUTE(SUBSTITUTE(SUBSTITUTE(SUBSTITUTE(SUBSTITUTE(SUBSTITUTE(SUBSTITUTE(SUBSTITUTE(SUBSTITUTE(SUBSTITUTE(SUBSTITUTE(SUBSTITUTE(SUBSTITUTE(SUBSTITUTE(SUBSTITUTE(BM692,"b","a"),"c","a"),"d","a"),"e","a"),"f","a"),"g","a"),"h","a"),"i","a"),"j","a"),"k","a"),"l","a"),"m","a"),"n","a"),"o","a"),"p","a"),"q","a"),"r","a"),"s","a"),"t","a"),"u","a"),"v","a"),"w","a"),"x","a"),"y","a"),"z","a")</f>
        <v/>
      </c>
      <c r="BO692" s="61" t="str">
        <f aca="false">SUBSTITUTE(SUBSTITUTE(SUBSTITUTE(SUBSTITUTE(SUBSTITUTE(SUBSTITUTE(SUBSTITUTE(SUBSTITUTE(SUBSTITUTE(LOWER(W692&amp;""),"1","0"),"2","0"),"3","0"),"4","0"),"5","0"),"6","0"),"7","0"),"8","0"),"9","0")</f>
        <v/>
      </c>
      <c r="BP692" s="61" t="str">
        <f aca="false">SUBSTITUTE(SUBSTITUTE(SUBSTITUTE(SUBSTITUTE(SUBSTITUTE(SUBSTITUTE(SUBSTITUTE(SUBSTITUTE(SUBSTITUTE(SUBSTITUTE(SUBSTITUTE(SUBSTITUTE(SUBSTITUTE(SUBSTITUTE(SUBSTITUTE(SUBSTITUTE(SUBSTITUTE(SUBSTITUTE(SUBSTITUTE(SUBSTITUTE(SUBSTITUTE(SUBSTITUTE(SUBSTITUTE(SUBSTITUTE(SUBSTITUTE(BO692,"b","a"),"c","a"),"d","a"),"e","a"),"f","a"),"g","a"),"h","a"),"i","a"),"j","a"),"k","a"),"l","a"),"m","a"),"n","a"),"o","a"),"p","a"),"q","a"),"r","a"),"s","a"),"t","a"),"u","a"),"v","a"),"w","a"),"x","a"),"y","a"),"z","a")</f>
        <v/>
      </c>
      <c r="BQ692" s="61" t="n">
        <f aca="false">IFERROR(IF(AND(ISERROR(SEARCH(" mh"," "&amp;LOWER(W692))),ISNA(MATCH(LEFT(TRIM(BP692),255),{"0000a","000a","00a","0000aa","000aa","00aa","0aa","0000aaa","000aaa","00a00","0a00","0000-0000","00:00","a00","a0","00.00.0000","00/00/0000","00-00-0000","0000-00-00","0000/00/00","0000.00.00","00.00.00","00/00/00","00-00-00","0.00.0000","0/00/0000","0-00-0000"},0)),ISNA(MATCH(LEFT(TRIM(CA692),255),{"0000a","000a","00a","0000aa","000aa","00aa","0aa","0000aaa","000aaa","00a00","0a00","0000-0000","00:00","a00","a0","00.00.0000","00/00/0000","00-00-0000","0000-00-00","0000/00/00","0000.00.00","00.00.00","00/00/00","00-00-00","0.00.0000","0/00/0000","0-00-0000"},0)),LEN(CB692)&gt;=3,NOT(OR(SUBSTITUTE(CB692,"0","")="",AND(LEN(CB692)&gt;=4,CB692=REPT(LEFT(CB692),LEN(CB692))),ISNUMBER(MATCH(CB692,{"123","1234","12345","123456","1234567","12345678","0123","01234","012345","98765","987654","54321"},0)),AND(LEN(CB692)=8,LEFT(CB692,3)="202"))),OR(AND((LEN(CA692)-LEN(SUBSTITUTE(CA692,"a","")))&gt;=1,SUMPRODUCT(--ISNUMBER(SEARCH({"a0","a-0","a_0","a/0","a.0","a#0","0a","0-a","0_a","0/a"},BP692)))&gt;0),ISNUMBER(SEARCH("000000",BP692)))),1,0),0)</f>
        <v>0</v>
      </c>
      <c r="BR692" s="61" t="n">
        <f aca="false">IFERROR(LEN(SUBSTITUTE(CC692," ",""))-SUMPRODUCT((LEN(CC692)-LEN(SUBSTITUTE(CC692," "&amp;L_Role&amp;" "," ")))/(LEN(L_Role)+1)*LEN(L_Role)),0)</f>
        <v>0</v>
      </c>
      <c r="BS692" s="61" t="n">
        <f aca="false">IFERROR(LEN(SUBSTITUTE(CD692," ",""))-SUMPRODUCT((LEN(CD692)-LEN(SUBSTITUTE(CD692," "&amp;L_Role&amp;" "," ")))/(LEN(L_Role)+1)*LEN(L_Role)),0)</f>
        <v>0</v>
      </c>
      <c r="BT6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692,"revision",""),"version",""),"jan",""),"feb",""),"mar",""),"apr",""),"may",""),"jun",""),"jul",""),"aug",""),"sep",""),"oct",""),"nov",""),"dec",""),"utc",""),"gmt",""),"myt",""),"bst",""),"rev",""),"ver",""),"b","a"),"c","a"),"d","a"),"e","a"),"f","a"),"g","a"),"h","a"),"i","a"),"j","a"),"k","a"),"l","a"),"m","a"),"n","a"),"o","a"),"p","a"),"q","a"),"r","a"),"s","a"),"t","a"),"u","a"),"v","a"),"w","a"),"x","a"),"y","a"),"z","a")</f>
        <v/>
      </c>
      <c r="BU692" s="61" t="str">
        <f aca="false">SUBSTITUTE(SUBSTITUTE(SUBSTITUTE(SUBSTITUTE(SUBSTITUTE(SUBSTITUTE(SUBSTITUTE(SUBSTITUTE(SUBSTITUTE(SUBSTITUTE(LEFT(BM692,FIND("0",BM692&amp;"0")-1),"-",""),"_",""),"/",""),".",""),"#",""),"\\",""),":","")," ",""),"(",""),")","")</f>
        <v/>
      </c>
      <c r="BV692" s="61" t="n">
        <f aca="false">IFERROR(IF(OR(SUMPRODUCT((LEN(BC692)-LEN(SUBSTITUTE(BC692," "&amp;L_NotLoaded&amp;" "," ")))/(LEN(L_NotLoaded)+1))&gt;SUMPRODUCT((LEN(BC692)-LEN(SUBSTITUTE(BC692," "&amp;L_NotLoadedNeg&amp;" "," ")))/(LEN(L_NotLoadedNeg)+1)),SUMPRODUCT((LEN(BD692)-LEN(SUBSTITUTE(BD692," "&amp;L_NotLoaded&amp;" "," ")))/(LEN(L_NotLoaded)+1))&gt;SUMPRODUCT((LEN(BD692)-LEN(SUBSTITUTE(BD692," "&amp;L_NotLoadedNeg&amp;" "," ")))/(LEN(L_NotLoadedNeg)+1))),1,0),0)</f>
        <v>0</v>
      </c>
      <c r="BW69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692&amp;""),"a",""),"b",""),"c",""),"d",""),"e",""),"f",""),"g",""),"h",""),"i",""),"j",""),"k",""),"l",""),"m",""),"n",""),"o",""),"p",""),"q",""),"r",""),"s",""),"t",""),"u",""),"v",""),"w",""),"x",""),"y",""),"z",""),"-",""),"_",""),"/",""),".",""),"#",""),"\\",""),":","")," ",""),"(",""),")","")</f>
        <v/>
      </c>
      <c r="BX692" s="61" t="str">
        <f aca="false">SUBSTITUTE(SUBSTITUTE(SUBSTITUTE(SUBSTITUTE(SUBSTITUTE(SUBSTITUTE(SUBSTITUTE(SUBSTITUTE(SUBSTITUTE(SUBSTITUTE(SUBSTITUTE(BM692,"0",""),"-",""),"_",""),"/",""),".",""),"#",""),"\\",""),":","")," ",""),"(",""),")","")</f>
        <v/>
      </c>
      <c r="BY692" s="62" t="n">
        <f aca="false">IF(ISNUMBER(Flights!$AZ$25),MAX(Q692-UpliftWindowH/24,Flights!$AZ$25),Q692-UpliftWindowH/24)</f>
        <v>46325.03125</v>
      </c>
      <c r="BZ692" s="61" t="n">
        <f aca="false">IFERROR(IF(IF(TRIM(S692)="Link / file path",AND(LEN(TRIM(Z692))&gt;=5,SUMPRODUCT(--ISNUMBER(SEARCH({"http","www.","\\",":\",".pdf",".jpg",".jpeg",".png",".heic",".xls",".doc",".msg",".eml",".ppt",".txt",".zip"},Z692)))&gt;0),AND(ISERROR(FIND(" ",TRIM(Z692))),NOT(OR(SUMPRODUCT(--ISNUMBER(FIND({",",";","&amp;","+"},Z692)))&gt;0,SUMPRODUCT(--ISNUMBER(SEARCH({"0/aa","0\\aa"},BN692)))&gt;0)),NOT(SUMPRODUCT(--ISNUMBER(SEARCH({"http","www.","\\",":\",".pdf",".jpg",".jpeg",".png",".heic",".xls",".doc",".msg",".eml",".ppt",".txt",".zip"},Z692)))&gt;0),NOT(LOWER(TRIM(Z692))=LOWER(Flights!$F$25)),ISNA(MATCH(BU692,{"mh","rev","revision","ver","version","v","r","a","b","seat","tray","row","gate","bay","stand","page","pg","item","line","no","cart","galley","flight","flt","table","box","bag","oven","etd","eta","std","sta","atd","ata","qty","pax","x","time","tel","ph","mob","day","wk","week","utc","gmt","myt","lt"},0)),NOT(OR(ISNUMBER(MATCH(LEFT(BN692,255),{"0000a","000a","00a","0000aa","000aa","00aa","0aa","0000aaa","000aaa","00a00","0a00","0000-0000","00:00","a00","a0","00.00.0000","00/00/0000","00-00-0000","0000-00-00","0000/00/00","0000.00.00","00.00.00","00/00/00","00-00-00","0.00.0000","0/00/0000","0-00-0000"},0)),ISNUMBER(MATCH(LEFT(BT692,255),{"0000a","000a","00a","0000aa","000aa","00aa","0aa","0000aaa","000aaa","00a00","0a00","0000-0000","00:00","a00","a0","00.00.0000","00/00/0000","00-00-0000","0000-00-00","0000/00/00","0000.00.00","00.00.00","00/00/00","00-00-00","0.00.0000","0/00/0000","0-00-0000"},0)))),NOT(OR(AND(BW692&lt;&gt;"",SUBSTITUTE(BW692,"0","")=""),AND(LEN(BW692)&gt;=4,BW692=REPT(LEFT(BW692),LEN(BW692))),ISNUMBER(MATCH(BW692,{"123","1234","12345","123456","1234567","12345678","0123","01234","012345","98765","987654","54321"},0)),ISNUMBER(MATCH(BX692,{"x","xx","xxx","xxxx","xxxxx","abc","abcd","nil","na","nan","test","tbc","tba","tbd","dummy","sample","example","eg","zz","zzz","none","null","xyz","qwe","asd","id","ref"},0)),AND(LEN(BW692)=8,BX692="",OR(LEFT(BW692,3)="202",ISNUMBER(MATCH(RIGHT(BW692,4),{"2025","2026","2027"},0)))))),OR(AND((LEN(BT692)-LEN(SUBSTITUTE(BT692,"a","")))&gt;=1,(LEN(BN692)-LEN(SUBSTITUTE(BN692,"0","")))&gt;=2,SUMPRODUCT(--ISNUMBER(SEARCH({"a0","a-0","a_0","a/0","a.0","a#0","0a","0-a","0_a","0/a"},BN692)))&gt;0),AND((LEN(BN692)-LEN(SUBSTITUTE(BN692,"a","")))=0,(LEN(BN692)-LEN(SUBSTITUTE(BN692,"0","")))&gt;=5)))),1,0),0)</f>
        <v>0</v>
      </c>
      <c r="CA6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692,"revision",""),"version",""),"jan",""),"feb",""),"mar",""),"apr",""),"may",""),"jun",""),"jul",""),"aug",""),"sep",""),"oct",""),"nov",""),"dec",""),"utc",""),"gmt",""),"myt",""),"bst",""),"rev",""),"ver",""),"b","a"),"c","a"),"d","a"),"e","a"),"f","a"),"g","a"),"h","a"),"i","a"),"j","a"),"k","a"),"l","a"),"m","a"),"n","a"),"o","a"),"p","a"),"q","a"),"r","a"),"s","a"),"t","a"),"u","a"),"v","a"),"w","a"),"x","a"),"y","a"),"z","a")</f>
        <v/>
      </c>
      <c r="CB69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692&amp;""),"a",""),"b",""),"c",""),"d",""),"e",""),"f",""),"g",""),"h",""),"i",""),"j",""),"k",""),"l",""),"m",""),"n",""),"o",""),"p",""),"q",""),"r",""),"s",""),"t",""),"u",""),"v",""),"w",""),"x",""),"y",""),"z",""),"-",""),"_",""),"/",""),".",""),"#",""),"\\",""),":","")," ",""),"(",""),")","")</f>
        <v/>
      </c>
      <c r="CC692" s="0" t="str">
        <f aca="false">" "&amp;TRIM(SUBSTITUTE(SUBSTITUTE(SUBSTITUTE(SUBSTITUTE(SUBSTITUTE(SUBSTITUTE(SUBSTITUTE(SUBSTITUTE(SUBSTITUTE(SUBSTITUTE(SUBSTITUTE(SUBSTITUTE(SUBSTITUTE(SUBSTITUTE(SUBSTITUTE(SUBSTITUTE(SUBSTITUTE(SUBSTITUTE(SUBSTITUTE(SUBSTITUTE(SUBSTITUTE(SUBSTITUTE(SUBSTITUTE(SUBSTITUTE(LOWER(T692&amp;""),CHAR(10)," "),CHAR(13)," "),CHAR(9)," "),CHAR(160)," "),"."," "),","," "),"-"," "),"/"," "),"("," "),")"," "),":"," "),";"," "),"_"," "),"–"," "),"?"," "),"!"," "),"*"," "),"["," "),"]"," "),"'"," "),"#"," "),"+"," "),"&amp;"," "),"\"," "))&amp;" "</f>
        <v>  </v>
      </c>
      <c r="CD692" s="0" t="str">
        <f aca="false">" "&amp;TRIM(SUBSTITUTE(SUBSTITUTE(SUBSTITUTE(SUBSTITUTE(SUBSTITUTE(SUBSTITUTE(SUBSTITUTE(SUBSTITUTE(SUBSTITUTE(SUBSTITUTE(SUBSTITUTE(SUBSTITUTE(SUBSTITUTE(SUBSTITUTE(SUBSTITUTE(SUBSTITUTE(SUBSTITUTE(SUBSTITUTE(SUBSTITUTE(SUBSTITUTE(SUBSTITUTE(SUBSTITUTE(SUBSTITUTE(SUBSTITUTE(LOWER(AE692&amp;""),CHAR(10)," "),CHAR(13)," "),CHAR(9)," "),CHAR(160)," "),"."," "),","," "),"-"," "),"/"," "),"("," "),")"," "),":"," "),";"," "),"_"," "),"–"," "),"?"," "),"!"," "),"*"," "),"["," "),"]"," "),"'"," "),"#"," "),"+"," "),"&amp;"," "),"\"," "))&amp;" "</f>
        <v>  </v>
      </c>
      <c r="CE692" s="68" t="n">
        <f aca="false">IFERROR(IF(AND(LEN(AU692)&gt;0,LEN(AU692)=LEN(AX692),OR(TRIM(MID(SUBSTITUTE(TRIM(CC692)," ",REPT(" ",60)),1,60))="",ISNUMBER(SEARCH(" "&amp;TRIM(MID(SUBSTITUTE(TRIM(CC692)," ",REPT(" ",60)),1,60))&amp;" ",CD692))),OR(TRIM(MID(SUBSTITUTE(TRIM(CC692)," ",REPT(" ",60)),61,60))="",ISNUMBER(SEARCH(" "&amp;TRIM(MID(SUBSTITUTE(TRIM(CC692)," ",REPT(" ",60)),61,60))&amp;" ",CD692))),OR(TRIM(MID(SUBSTITUTE(TRIM(CC692)," ",REPT(" ",60)),121,60))="",ISNUMBER(SEARCH(" "&amp;TRIM(MID(SUBSTITUTE(TRIM(CC692)," ",REPT(" ",60)),121,60))&amp;" ",CD692)))),1,0),0)</f>
        <v>0</v>
      </c>
      <c r="CG692" s="68" t="n">
        <f aca="false">IFERROR(LEN(SUBSTITUTE(BF692," ",""))-SUMPRODUCT((LEN(BF692)-LEN(SUBSTITUTE(BF692," "&amp;L_NAFiller&amp;" "," ")))/(LEN(L_NAFiller)+1)*LEN(L_NAFiller)),0)</f>
        <v>0</v>
      </c>
    </row>
    <row r="693" customFormat="false" ht="78.75" hidden="false" customHeight="true" outlineLevel="0" collapsed="false">
      <c r="A693" s="57" t="s">
        <v>1425</v>
      </c>
      <c r="B693" s="57" t="s">
        <v>310</v>
      </c>
      <c r="C693" s="57" t="str">
        <f aca="false">Flights!$F$25</f>
        <v>MH1437</v>
      </c>
      <c r="D693" s="58" t="n">
        <f aca="false">Flights!$D$25</f>
        <v>46325</v>
      </c>
      <c r="E693" s="57" t="str">
        <f aca="false">Flights!$G$25&amp;"-"&amp;Flights!$H$25</f>
        <v>LGK-KUL</v>
      </c>
      <c r="F693" s="57" t="str">
        <f aca="false">Flights!$K$25</f>
        <v>BC</v>
      </c>
      <c r="G693" s="57" t="s">
        <v>459</v>
      </c>
      <c r="H693" s="57" t="s">
        <v>460</v>
      </c>
      <c r="I693" s="57" t="s">
        <v>411</v>
      </c>
      <c r="J693" s="57" t="s">
        <v>1426</v>
      </c>
      <c r="K693" s="67" t="s">
        <v>1427</v>
      </c>
      <c r="L693" s="67" t="s">
        <v>990</v>
      </c>
      <c r="M693" s="67"/>
      <c r="N693" s="67" t="s">
        <v>383</v>
      </c>
      <c r="O693" s="67" t="s">
        <v>991</v>
      </c>
      <c r="P693" s="57" t="s">
        <v>187</v>
      </c>
      <c r="Q693" s="59" t="n">
        <f aca="false">ROUND((Flights!$AY$25+UpliftWindowH/24)*1440,0)/1440</f>
        <v>46324.4375</v>
      </c>
      <c r="R693" s="59" t="n">
        <f aca="false">Q693+(IF(AND(INDEX(TZ_DSTS,MATCH(P693,TZ_STN,0))&lt;&gt;"",Q693&gt;=INDEX(TZ_DSTS,MATCH(P693,TZ_STN,0)),Q693&lt;INDEX(TZ_DSTE,MATCH(P693,TZ_STN,0))),INDEX(TZ_DST,MATCH(P693,TZ_STN,0)),INDEX(TZ_STD,MATCH(P693,TZ_STN,0))))/24</f>
        <v>46324.7708333333</v>
      </c>
      <c r="S693" s="60"/>
      <c r="T693" s="60"/>
      <c r="U693" s="60"/>
      <c r="V693" s="60"/>
      <c r="W693" s="61"/>
      <c r="X693" s="60"/>
      <c r="Y693" s="60"/>
      <c r="Z693" s="60"/>
      <c r="AA693" s="60"/>
      <c r="AB693" s="60"/>
      <c r="AC693" s="60"/>
      <c r="AD693" s="66"/>
      <c r="AE693" s="60"/>
      <c r="AF693" s="61" t="str">
        <f aca="false">IF(AND(ISNUMBER(X693),ISNUMBER(Y693)),Y693-X693,"")</f>
        <v/>
      </c>
      <c r="AG693" s="62" t="str">
        <f aca="false">IF(ISNUMBER(AD693),AD693-(IF(AND(INDEX(TZ_DSTS,MATCH(P693,TZ_STN,0))&lt;&gt;"",(AD693-INDEX(TZ_STD,MATCH(P693,TZ_STN,0))/24)&gt;=INDEX(TZ_DSTS,MATCH(P693,TZ_STN,0)),(AD693-INDEX(TZ_STD,MATCH(P693,TZ_STN,0))/24)&lt;INDEX(TZ_DSTE,MATCH(P693,TZ_STN,0))),INDEX(TZ_DST,MATCH(P693,TZ_STN,0)),INDEX(TZ_STD,MATCH(P693,TZ_STN,0))))/24,"")</f>
        <v/>
      </c>
      <c r="AH693" s="65" t="str">
        <f aca="false">IFERROR(IF(N693="N/A – rule",IF(OR(TRIM(U693)="",TRIM(U693)="N/A",TRIM(U693)="Not started"),"N/A – RULE","INVALID – this check does not apply to this aircraft: clear the status (or correct the fleet on Flights)"),IF(TRIM(U693)="N/A",IF(AT693=0,"INVALID – N/A not permitted for this check",IF(AND(TRIM(AB693)&lt;&gt;"",TRIM(AB693)&lt;&gt;"Closed"),"INVALID – corrective action still open",IF(AND(NOT(OR(LEN(AZ693)&lt;15,ISNUMBER(MATCH(AZ693,L_Placeholder,0)))),BK693=0,CG693&gt;=8,NOT(OR(LEN(AU693)&lt;2,ISNUMBER(MATCH(AU693,L_Placeholder,0)))),BR693&gt;=3,NOT(OR(LEN(AX693)&lt;2,ISNUMBER(MATCH(AX693,L_Placeholder,0)))),BS693&gt;=3,TRIM(AE693)&lt;&gt;TRIM(T693),AX693&lt;&gt;AU693,CE693=0),"N/A – JUSTIFIED","INVALID – N/A needs a real, settled reason (not 'not applicable' / 'as above' / TBC), a named PIC and a different named verifier"))),IF(OR(TRIM(U693)="Pass",TRIM(U693)="Pass after CA"),IF(NOT(ISNUMBER(AD693)),"INVALID – completion time missing",IF(OR(OR(LEN(AU693)&lt;2,ISNUMBER(MATCH(AU693,L_Placeholder,0))),BR693&lt;3),"INVALID – PIC missing or not a named person (a role such as QA / CSM is not a name)",IF(OR(LEN(AV693)&lt;2,ISNUMBER(MATCH(AV693,L_Placeholder,0))),"INVALID – result / assessment missing",IF(OR(OR(LEN(AW693)&lt;3,ISNUMBER(MATCH(AW693,L_Placeholder,0))),SUMPRODUCT(--ISNUMBER(SEARCH(" "&amp;L_EvidencePhrase&amp;" ",BD693)))&gt;0,BI693=1),"INVALID – evidence missing, placeholder or not yet on file",IF(ISNA(MATCH(TRIM(S693),L_EvidenceType,0)),"INVALID – choose the evidence type from the list (column S)",IF(BL693=0,"INVALID – evidence ID must be the record's own ID only (e.g. SF-2210, IMG_2231, 1045521); a link / file name needs type 'Link / file path'",IF(OR(OR(LEN(AX693)&lt;2,ISNUMBER(MATCH(AX693,L_Placeholder,0))),BS693&lt;3),"INVALID – verifier missing or not a named person (a role such as QA / CSM is not a name)",IF(OR(AX693=AU693,CE693=1,AND(LEN(AU693)&gt;=4,ISNUMBER(SEARCH(AU693,AX693))),AND(LEN(AX693)&gt;=4,ISNUMBER(SEARCH(AX693,AU693)))),"INVALID – verifier must be a different, named person (not the PIC or a role)",IF(BH693=1,"INVALID – result not yet available (awaiting / TBC)",IF(BG693=1,"INVALID – result describes a problem: record Fail, then Pass after CA (or reword if it is not a problem)",IF(BV693=1,"INVALID – wording says not on board: an on-board confirmation needs the item loaded",IF(AND(AQ693=1,OR(OR(LEN(AY693)&lt;3,ISNUMBER(MATCH(AY693,L_Placeholder,0))),BJ693=1,BQ693=0)),"INVALID – batch ID missing, placeholder or not an ID (e.g. PASB-261008-BC-017)",IF(AND(AR693=1,OR(NOT(ISNUMBER(X693)),NOT(ISNUMBER(Y693)))),"INVALID – expected/actual qty missing",IF(AND(AR693=1,OR(X693&lt;=0,Y693&lt;0)),"INVALID – expected qty must be above 0 and actual not negative",IF(BB693&lt;&gt;"",BB693,IF(AND(AS693=1,Documents!$J$25&lt;&gt;"ON FILE"),"INVALID – GLD not on file (Documents sheet)",IF(AND(AS693=2,Documents!$O$25&lt;&gt;"ON FILE"),"INVALID – menu checklist not on file (Documents sheet)",IF(AND(AS693=3,NOT(ISNUMBER(Flights!$AX$25))),"INVALID – enter carrying flight KUL departure (Flights AX)",IF(AND(AS693=3,OR(Flights!$AZ$25&gt;Flights!$AA$25,Flights!$AX$25&lt;Flights!$AA$25-3)),"INVALID – carrying flight (Flights AX) cannot arrive before this leg's STD, or is over 3 days early",IF(AG693&gt;AsOfUTC,"INVALID – completion time is in the future",IF(AND(ISNUMBER(BY693),AG693&lt;BY693),IF(H693="Physical uplift","INVALID – before uplift window (cannot confirm loading)","INVALID – before valid window"),IF(AG693&gt;Flights!$AA$25,"INVALID – completed after departure (cannot establish readiness)",IF(AND(H693="Preparation",AG693&gt;=Flights!$AY$25+UpliftWindowH/24),"INVALID – completed after the carrying flight left KUL",IF(AND(H693="Physical uplift",AG693&gt;Q693),"INVALID – recorded after the loading flight departed",IF(AG693&gt;Q693,"COMPLETE – LATE","COMPLETE"))))))))))))))))))))))))),IF(TRIM(U693)="Fail","FAIL – DISCREPANCY",IF(AND(TRIM(U693)&lt;&gt;"",TRIM(U693)&lt;&gt;"Not started",TRIM(U693)&lt;&gt;"In progress"),"INVALID – unrecognised status (use the list)",IF(AsOfUTC&gt;Q693,"OVERDUE",IF(N693="Clarification required","OPEN – CLARIFICATION","OPEN"))))))),"INVALID – error value in an input cell")</f>
        <v>OPEN</v>
      </c>
      <c r="AI693" s="61" t="n">
        <f aca="false">IF(OR(AH693="N/A – RULE",AH693="N/A – JUSTIFIED"),0,1)</f>
        <v>1</v>
      </c>
      <c r="AJ693" s="61" t="n">
        <f aca="false">IF(LEFT(AH693,8)="COMPLETE",1,0)</f>
        <v>0</v>
      </c>
      <c r="AK693" s="61" t="n">
        <f aca="false">IF(AND(AI693=1,AJ693=0,AsOfUTC&gt;Q693),1,0)</f>
        <v>0</v>
      </c>
      <c r="AL693" s="61" t="n">
        <f aca="false">IFERROR(IF(AND(AI693=1,OR(TRIM(U693)="Fail",AND(TRIM(AB693)&lt;&gt;"",TRIM(AB693)&lt;&gt;"Closed"),AND(ISNUMBER(AF693),AF693&lt;&gt;0,TRIM(U693)&lt;&gt;"Pass after CA"))),1,0),1)</f>
        <v>0</v>
      </c>
      <c r="AM693" s="61" t="n">
        <f aca="false">IF(LEFT(AH693,7)="INVALID",1,0)</f>
        <v>0</v>
      </c>
      <c r="AN693" s="61" t="n">
        <f aca="false">IF(AND(N693="Clarification required",AI693=1,AJ693=0),1,0)</f>
        <v>0</v>
      </c>
      <c r="AO693" s="61" t="str">
        <f aca="false">IF(AK693=1,SUM(AK$5:AK693),"")</f>
        <v/>
      </c>
      <c r="AP693" s="61" t="str">
        <f aca="false">IF(AL693=1,SUM(AL$5:AL693),"")</f>
        <v/>
      </c>
      <c r="AQ693" s="61" t="n">
        <v>0</v>
      </c>
      <c r="AR693" s="61" t="n">
        <v>0</v>
      </c>
      <c r="AS693" s="61" t="n">
        <v>0</v>
      </c>
      <c r="AT693" s="61" t="n">
        <v>0</v>
      </c>
      <c r="AU693" s="61" t="str">
        <f aca="false">SUBSTITUTE(SUBSTITUTE(SUBSTITUTE(SUBSTITUTE(SUBSTITUTE(SUBSTITUTE(SUBSTITUTE(SUBSTITUTE(SUBSTITUTE(SUBSTITUTE(SUBSTITUTE(SUBSTITUTE(SUBSTITUTE(SUBSTITUTE(SUBSTITUTE(SUBSTITUTE(LOWER(T693&amp;""),CHAR(10),""),CHAR(13),""),CHAR(9),""),CHAR(160),"")," ",""),".",""),"-",""),"/",""),"?",""),"_",""),",",""),"[",""),"]",""),"(",""),")",""),"*","")</f>
        <v/>
      </c>
      <c r="AV693" s="61" t="str">
        <f aca="false">SUBSTITUTE(SUBSTITUTE(SUBSTITUTE(SUBSTITUTE(SUBSTITUTE(SUBSTITUTE(SUBSTITUTE(SUBSTITUTE(SUBSTITUTE(SUBSTITUTE(SUBSTITUTE(SUBSTITUTE(SUBSTITUTE(SUBSTITUTE(SUBSTITUTE(SUBSTITUTE(LOWER(V693&amp;""),CHAR(10),""),CHAR(13),""),CHAR(9),""),CHAR(160),"")," ",""),".",""),"-",""),"/",""),"?",""),"_",""),",",""),"[",""),"]",""),"(",""),")",""),"*","")</f>
        <v/>
      </c>
      <c r="AW693" s="61" t="str">
        <f aca="false">SUBSTITUTE(SUBSTITUTE(SUBSTITUTE(SUBSTITUTE(SUBSTITUTE(SUBSTITUTE(SUBSTITUTE(SUBSTITUTE(SUBSTITUTE(SUBSTITUTE(SUBSTITUTE(SUBSTITUTE(SUBSTITUTE(SUBSTITUTE(SUBSTITUTE(SUBSTITUTE(LOWER(Z693&amp;""),CHAR(10),""),CHAR(13),""),CHAR(9),""),CHAR(160),"")," ",""),".",""),"-",""),"/",""),"?",""),"_",""),",",""),"[",""),"]",""),"(",""),")",""),"*","")</f>
        <v/>
      </c>
      <c r="AX693" s="61" t="str">
        <f aca="false">SUBSTITUTE(SUBSTITUTE(SUBSTITUTE(SUBSTITUTE(SUBSTITUTE(SUBSTITUTE(SUBSTITUTE(SUBSTITUTE(SUBSTITUTE(SUBSTITUTE(SUBSTITUTE(SUBSTITUTE(SUBSTITUTE(SUBSTITUTE(SUBSTITUTE(SUBSTITUTE(LOWER(AE693&amp;""),CHAR(10),""),CHAR(13),""),CHAR(9),""),CHAR(160),"")," ",""),".",""),"-",""),"/",""),"?",""),"_",""),",",""),"[",""),"]",""),"(",""),")",""),"*","")</f>
        <v/>
      </c>
      <c r="AY693" s="61" t="str">
        <f aca="false">SUBSTITUTE(SUBSTITUTE(SUBSTITUTE(SUBSTITUTE(SUBSTITUTE(SUBSTITUTE(SUBSTITUTE(SUBSTITUTE(SUBSTITUTE(SUBSTITUTE(SUBSTITUTE(SUBSTITUTE(SUBSTITUTE(SUBSTITUTE(SUBSTITUTE(SUBSTITUTE(LOWER(W693&amp;""),CHAR(10),""),CHAR(13),""),CHAR(9),""),CHAR(160),"")," ",""),".",""),"-",""),"/",""),"?",""),"_",""),",",""),"[",""),"]",""),"(",""),")",""),"*","")</f>
        <v/>
      </c>
      <c r="AZ693" s="61" t="str">
        <f aca="false">SUBSTITUTE(SUBSTITUTE(SUBSTITUTE(SUBSTITUTE(SUBSTITUTE(SUBSTITUTE(SUBSTITUTE(SUBSTITUTE(SUBSTITUTE(SUBSTITUTE(SUBSTITUTE(SUBSTITUTE(SUBSTITUTE(SUBSTITUTE(SUBSTITUTE(SUBSTITUTE(LOWER(AC693&amp;""),CHAR(10),""),CHAR(13),""),CHAR(9),""),CHAR(160),"")," ",""),".",""),"-",""),"/",""),"?",""),"_",""),",",""),"[",""),"]",""),"(",""),")",""),"*","")</f>
        <v/>
      </c>
      <c r="BA693" s="61" t="str">
        <f aca="false">SUBSTITUTE(SUBSTITUTE(SUBSTITUTE(SUBSTITUTE(SUBSTITUTE(SUBSTITUTE(SUBSTITUTE(SUBSTITUTE(SUBSTITUTE(SUBSTITUTE(SUBSTITUTE(SUBSTITUTE(SUBSTITUTE(SUBSTITUTE(SUBSTITUTE(SUBSTITUTE(LOWER(AA693&amp;""),CHAR(10),""),CHAR(13),""),CHAR(9),""),CHAR(160),"")," ",""),".",""),"-",""),"/",""),"?",""),"_",""),",",""),"[",""),"]",""),"(",""),")",""),"*","")</f>
        <v/>
      </c>
      <c r="BB693" s="61" t="str">
        <f aca="false">IF(AND(TRIM(U693)="Pass",ISNUMBER(AF693)),IF(AF693&lt;&gt;0,"INVALID – qty variance: use Fail or Pass after CA",""),"")&amp;IF(AND(TRIM(U693)="Pass after CA",ISNUMBER(AF693)),IF(AF693&lt;&gt;0,"INVALID – after the corrective action the actual qty must equal expected (update Actual)",""),"")&amp;IF(AND(TRIM(U693)="Pass",TRIM(AB693)&lt;&gt;"",TRIM(AB693)&lt;&gt;"Closed"),"INVALID – corrective action not closed: use Fail, then Pass after CA","")&amp;IF(AND(LEN(BA693)&gt;=2,ISNA(MATCH(LEFT(BA693,255),L_Placeholder,0)),TRIM(AB693)=""),"INVALID – CA status missing for the recorded corrective action","")&amp;IF(AND(TRIM(U693)="Pass after CA",OR(OR(LEN(BA693)&lt;5,ISNUMBER(MATCH(BA693,L_Placeholder,0))),TRIM(AB693)&lt;&gt;"Closed")),"INVALID – corrective action not recorded/closed","")</f>
        <v/>
      </c>
      <c r="BC693" s="61" t="str">
        <f aca="false">" "&amp;TRIM(SUBSTITUTE(SUBSTITUTE(SUBSTITUTE(SUBSTITUTE(SUBSTITUTE(SUBSTITUTE(SUBSTITUTE(SUBSTITUTE(SUBSTITUTE(SUBSTITUTE(SUBSTITUTE(SUBSTITUTE(SUBSTITUTE(SUBSTITUTE(SUBSTITUTE(SUBSTITUTE(SUBSTITUTE(SUBSTITUTE(SUBSTITUTE(SUBSTITUTE(SUBSTITUTE(SUBSTITUTE(SUBSTITUTE(SUBSTITUTE(LOWER(V693&amp;""),CHAR(10)," "),CHAR(13)," "),CHAR(9)," "),CHAR(160)," "),"."," "),","," "),"-"," "),"/"," "),"("," "),")"," "),":"," "),";"," "),"_"," "),"–"," "),"?"," "),"!"," "),"*"," "),"["," "),"]"," "),"'"," "),"#"," "),"+"," "),"&amp;"," "),"\"," "))&amp;" "</f>
        <v>  </v>
      </c>
      <c r="BD693" s="61" t="str">
        <f aca="false">" "&amp;TRIM(SUBSTITUTE(SUBSTITUTE(SUBSTITUTE(SUBSTITUTE(SUBSTITUTE(SUBSTITUTE(SUBSTITUTE(SUBSTITUTE(SUBSTITUTE(SUBSTITUTE(SUBSTITUTE(SUBSTITUTE(SUBSTITUTE(SUBSTITUTE(SUBSTITUTE(SUBSTITUTE(SUBSTITUTE(SUBSTITUTE(SUBSTITUTE(SUBSTITUTE(SUBSTITUTE(SUBSTITUTE(SUBSTITUTE(SUBSTITUTE(LOWER(Z693&amp;""),CHAR(10)," "),CHAR(13)," "),CHAR(9)," "),CHAR(160)," "),"."," "),","," "),"-"," "),"/"," "),"("," "),")"," "),":"," "),";"," "),"_"," "),"–"," "),"?"," "),"!"," "),"*"," "),"["," "),"]"," "),"'"," "),"#"," "),"+"," "),"&amp;"," "),"\"," "))&amp;" "</f>
        <v>  </v>
      </c>
      <c r="BE693" s="61" t="str">
        <f aca="false">" "&amp;TRIM(SUBSTITUTE(SUBSTITUTE(SUBSTITUTE(SUBSTITUTE(SUBSTITUTE(SUBSTITUTE(SUBSTITUTE(SUBSTITUTE(SUBSTITUTE(SUBSTITUTE(SUBSTITUTE(SUBSTITUTE(SUBSTITUTE(SUBSTITUTE(SUBSTITUTE(SUBSTITUTE(SUBSTITUTE(SUBSTITUTE(SUBSTITUTE(SUBSTITUTE(SUBSTITUTE(SUBSTITUTE(SUBSTITUTE(SUBSTITUTE(LOWER(W693&amp;""),CHAR(10)," "),CHAR(13)," "),CHAR(9)," "),CHAR(160)," "),"."," "),","," "),"-"," "),"/"," "),"("," "),")"," "),":"," "),";"," "),"_"," "),"–"," "),"?"," "),"!"," "),"*"," "),"["," "),"]"," "),"'"," "),"#"," "),"+"," "),"&amp;"," "),"\"," "))&amp;" "</f>
        <v>  </v>
      </c>
      <c r="BF693" s="61" t="str">
        <f aca="false">" "&amp;TRIM(SUBSTITUTE(SUBSTITUTE(SUBSTITUTE(SUBSTITUTE(SUBSTITUTE(SUBSTITUTE(SUBSTITUTE(SUBSTITUTE(SUBSTITUTE(SUBSTITUTE(SUBSTITUTE(SUBSTITUTE(SUBSTITUTE(SUBSTITUTE(SUBSTITUTE(SUBSTITUTE(SUBSTITUTE(SUBSTITUTE(SUBSTITUTE(SUBSTITUTE(SUBSTITUTE(SUBSTITUTE(SUBSTITUTE(SUBSTITUTE(LOWER(AC693&amp;""),CHAR(10)," "),CHAR(13)," "),CHAR(9)," "),CHAR(160)," "),"."," "),","," "),"-"," "),"/"," "),"("," "),")"," "),":"," "),";"," "),"_"," "),"–"," "),"?"," "),"!"," "),"*"," "),"["," "),"]"," "),"'"," "),"#"," "),"+"," "),"&amp;"," "),"\"," "))&amp;" "</f>
        <v>  </v>
      </c>
      <c r="BG693" s="61" t="n">
        <f aca="false">IFERROR(IF(AND(TRIM(U693)="Pass",SUMPRODUCT((LEN(BC693)-LEN(SUBSTITUTE(BC693," "&amp;L_ResultBad&amp;" "," ")))/(LEN(L_ResultBad)+1))&gt;SUMPRODUCT((LEN(BC693)-LEN(SUBSTITUTE(BC693," "&amp;L_NegPhrase&amp;" "," ")))/(LEN(L_NegPhrase)+1))),1,0),0)</f>
        <v>0</v>
      </c>
      <c r="BH693" s="61" t="n">
        <f aca="false">IFERROR(IF(SUMPRODUCT((LEN(BC693)-LEN(SUBSTITUTE(BC693," "&amp;L_Pending&amp;" "," ")))/(LEN(L_Pending)+1))&gt;SUMPRODUCT((LEN(BC693)-LEN(SUBSTITUTE(BC693," "&amp;L_PendNeg&amp;" "," ")))/(LEN(L_PendNeg)+1)),1,0),1)</f>
        <v>0</v>
      </c>
      <c r="BI693" s="61" t="n">
        <f aca="false">IFERROR(IF(SUMPRODUCT((LEN(BD693)-LEN(SUBSTITUTE(BD693," "&amp;L_PendStrict&amp;" "," ")))/(LEN(L_PendStrict)+1))&gt;SUMPRODUCT((LEN(BD693)-LEN(SUBSTITUTE(BD693," "&amp;L_PendNeg&amp;" "," ")))/(LEN(L_PendNeg)+1)),1,0),1)</f>
        <v>0</v>
      </c>
      <c r="BJ693" s="61" t="n">
        <f aca="false">IFERROR(IF(SUMPRODUCT((LEN(BE693)-LEN(SUBSTITUTE(BE693," "&amp;L_Pending&amp;" "," ")))/(LEN(L_Pending)+1))&gt;SUMPRODUCT((LEN(BE693)-LEN(SUBSTITUTE(BE693," "&amp;L_PendNeg&amp;" "," ")))/(LEN(L_PendNeg)+1)),1,0),1)</f>
        <v>0</v>
      </c>
      <c r="BK693" s="61" t="n">
        <f aca="false">IFERROR(IF(SUMPRODUCT((LEN(BF693)-LEN(SUBSTITUTE(BF693," "&amp;L_PendStrict&amp;" "," ")))/(LEN(L_PendStrict)+1))&gt;SUMPRODUCT((LEN(BF693)-LEN(SUBSTITUTE(BF693," "&amp;L_PendNeg&amp;" "," ")))/(LEN(L_PendNeg)+1)),1,0),1)</f>
        <v>0</v>
      </c>
      <c r="BL693" s="61" t="n">
        <f aca="false">IF(ISNA(MATCH(TRIM(S693),L_EvidenceType,0)),0,BZ693)</f>
        <v>0</v>
      </c>
      <c r="BM693" s="61" t="str">
        <f aca="false">SUBSTITUTE(SUBSTITUTE(SUBSTITUTE(SUBSTITUTE(SUBSTITUTE(SUBSTITUTE(SUBSTITUTE(SUBSTITUTE(SUBSTITUTE(LOWER(Z693&amp;""),"1","0"),"2","0"),"3","0"),"4","0"),"5","0"),"6","0"),"7","0"),"8","0"),"9","0")</f>
        <v/>
      </c>
      <c r="BN693" s="61" t="str">
        <f aca="false">SUBSTITUTE(SUBSTITUTE(SUBSTITUTE(SUBSTITUTE(SUBSTITUTE(SUBSTITUTE(SUBSTITUTE(SUBSTITUTE(SUBSTITUTE(SUBSTITUTE(SUBSTITUTE(SUBSTITUTE(SUBSTITUTE(SUBSTITUTE(SUBSTITUTE(SUBSTITUTE(SUBSTITUTE(SUBSTITUTE(SUBSTITUTE(SUBSTITUTE(SUBSTITUTE(SUBSTITUTE(SUBSTITUTE(SUBSTITUTE(SUBSTITUTE(BM693,"b","a"),"c","a"),"d","a"),"e","a"),"f","a"),"g","a"),"h","a"),"i","a"),"j","a"),"k","a"),"l","a"),"m","a"),"n","a"),"o","a"),"p","a"),"q","a"),"r","a"),"s","a"),"t","a"),"u","a"),"v","a"),"w","a"),"x","a"),"y","a"),"z","a")</f>
        <v/>
      </c>
      <c r="BO693" s="61" t="str">
        <f aca="false">SUBSTITUTE(SUBSTITUTE(SUBSTITUTE(SUBSTITUTE(SUBSTITUTE(SUBSTITUTE(SUBSTITUTE(SUBSTITUTE(SUBSTITUTE(LOWER(W693&amp;""),"1","0"),"2","0"),"3","0"),"4","0"),"5","0"),"6","0"),"7","0"),"8","0"),"9","0")</f>
        <v/>
      </c>
      <c r="BP693" s="61" t="str">
        <f aca="false">SUBSTITUTE(SUBSTITUTE(SUBSTITUTE(SUBSTITUTE(SUBSTITUTE(SUBSTITUTE(SUBSTITUTE(SUBSTITUTE(SUBSTITUTE(SUBSTITUTE(SUBSTITUTE(SUBSTITUTE(SUBSTITUTE(SUBSTITUTE(SUBSTITUTE(SUBSTITUTE(SUBSTITUTE(SUBSTITUTE(SUBSTITUTE(SUBSTITUTE(SUBSTITUTE(SUBSTITUTE(SUBSTITUTE(SUBSTITUTE(SUBSTITUTE(BO693,"b","a"),"c","a"),"d","a"),"e","a"),"f","a"),"g","a"),"h","a"),"i","a"),"j","a"),"k","a"),"l","a"),"m","a"),"n","a"),"o","a"),"p","a"),"q","a"),"r","a"),"s","a"),"t","a"),"u","a"),"v","a"),"w","a"),"x","a"),"y","a"),"z","a")</f>
        <v/>
      </c>
      <c r="BQ693" s="61" t="n">
        <f aca="false">IFERROR(IF(AND(ISERROR(SEARCH(" mh"," "&amp;LOWER(W693))),ISNA(MATCH(LEFT(TRIM(BP693),255),{"0000a","000a","00a","0000aa","000aa","00aa","0aa","0000aaa","000aaa","00a00","0a00","0000-0000","00:00","a00","a0","00.00.0000","00/00/0000","00-00-0000","0000-00-00","0000/00/00","0000.00.00","00.00.00","00/00/00","00-00-00","0.00.0000","0/00/0000","0-00-0000"},0)),ISNA(MATCH(LEFT(TRIM(CA693),255),{"0000a","000a","00a","0000aa","000aa","00aa","0aa","0000aaa","000aaa","00a00","0a00","0000-0000","00:00","a00","a0","00.00.0000","00/00/0000","00-00-0000","0000-00-00","0000/00/00","0000.00.00","00.00.00","00/00/00","00-00-00","0.00.0000","0/00/0000","0-00-0000"},0)),LEN(CB693)&gt;=3,NOT(OR(SUBSTITUTE(CB693,"0","")="",AND(LEN(CB693)&gt;=4,CB693=REPT(LEFT(CB693),LEN(CB693))),ISNUMBER(MATCH(CB693,{"123","1234","12345","123456","1234567","12345678","0123","01234","012345","98765","987654","54321"},0)),AND(LEN(CB693)=8,LEFT(CB693,3)="202"))),OR(AND((LEN(CA693)-LEN(SUBSTITUTE(CA693,"a","")))&gt;=1,SUMPRODUCT(--ISNUMBER(SEARCH({"a0","a-0","a_0","a/0","a.0","a#0","0a","0-a","0_a","0/a"},BP693)))&gt;0),ISNUMBER(SEARCH("000000",BP693)))),1,0),0)</f>
        <v>0</v>
      </c>
      <c r="BR693" s="61" t="n">
        <f aca="false">IFERROR(LEN(SUBSTITUTE(CC693," ",""))-SUMPRODUCT((LEN(CC693)-LEN(SUBSTITUTE(CC693," "&amp;L_Role&amp;" "," ")))/(LEN(L_Role)+1)*LEN(L_Role)),0)</f>
        <v>0</v>
      </c>
      <c r="BS693" s="61" t="n">
        <f aca="false">IFERROR(LEN(SUBSTITUTE(CD693," ",""))-SUMPRODUCT((LEN(CD693)-LEN(SUBSTITUTE(CD693," "&amp;L_Role&amp;" "," ")))/(LEN(L_Role)+1)*LEN(L_Role)),0)</f>
        <v>0</v>
      </c>
      <c r="BT6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693,"revision",""),"version",""),"jan",""),"feb",""),"mar",""),"apr",""),"may",""),"jun",""),"jul",""),"aug",""),"sep",""),"oct",""),"nov",""),"dec",""),"utc",""),"gmt",""),"myt",""),"bst",""),"rev",""),"ver",""),"b","a"),"c","a"),"d","a"),"e","a"),"f","a"),"g","a"),"h","a"),"i","a"),"j","a"),"k","a"),"l","a"),"m","a"),"n","a"),"o","a"),"p","a"),"q","a"),"r","a"),"s","a"),"t","a"),"u","a"),"v","a"),"w","a"),"x","a"),"y","a"),"z","a")</f>
        <v/>
      </c>
      <c r="BU693" s="61" t="str">
        <f aca="false">SUBSTITUTE(SUBSTITUTE(SUBSTITUTE(SUBSTITUTE(SUBSTITUTE(SUBSTITUTE(SUBSTITUTE(SUBSTITUTE(SUBSTITUTE(SUBSTITUTE(LEFT(BM693,FIND("0",BM693&amp;"0")-1),"-",""),"_",""),"/",""),".",""),"#",""),"\\",""),":","")," ",""),"(",""),")","")</f>
        <v/>
      </c>
      <c r="BV693" s="61" t="n">
        <f aca="false">IFERROR(IF(OR(SUMPRODUCT((LEN(BC693)-LEN(SUBSTITUTE(BC693," "&amp;L_NotLoaded&amp;" "," ")))/(LEN(L_NotLoaded)+1))&gt;SUMPRODUCT((LEN(BC693)-LEN(SUBSTITUTE(BC693," "&amp;L_NotLoadedNeg&amp;" "," ")))/(LEN(L_NotLoadedNeg)+1)),SUMPRODUCT((LEN(BD693)-LEN(SUBSTITUTE(BD693," "&amp;L_NotLoaded&amp;" "," ")))/(LEN(L_NotLoaded)+1))&gt;SUMPRODUCT((LEN(BD693)-LEN(SUBSTITUTE(BD693," "&amp;L_NotLoadedNeg&amp;" "," ")))/(LEN(L_NotLoadedNeg)+1))),1,0),0)</f>
        <v>0</v>
      </c>
      <c r="BW69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693&amp;""),"a",""),"b",""),"c",""),"d",""),"e",""),"f",""),"g",""),"h",""),"i",""),"j",""),"k",""),"l",""),"m",""),"n",""),"o",""),"p",""),"q",""),"r",""),"s",""),"t",""),"u",""),"v",""),"w",""),"x",""),"y",""),"z",""),"-",""),"_",""),"/",""),".",""),"#",""),"\\",""),":","")," ",""),"(",""),")","")</f>
        <v/>
      </c>
      <c r="BX693" s="61" t="str">
        <f aca="false">SUBSTITUTE(SUBSTITUTE(SUBSTITUTE(SUBSTITUTE(SUBSTITUTE(SUBSTITUTE(SUBSTITUTE(SUBSTITUTE(SUBSTITUTE(SUBSTITUTE(SUBSTITUTE(BM693,"0",""),"-",""),"_",""),"/",""),".",""),"#",""),"\\",""),":","")," ",""),"(",""),")","")</f>
        <v/>
      </c>
      <c r="BY693" s="62" t="n">
        <f aca="false">Q693-UpliftWindowH/24</f>
        <v>46324.1875</v>
      </c>
      <c r="BZ693" s="61" t="n">
        <f aca="false">IFERROR(IF(IF(TRIM(S693)="Link / file path",AND(LEN(TRIM(Z693))&gt;=5,SUMPRODUCT(--ISNUMBER(SEARCH({"http","www.","\\",":\",".pdf",".jpg",".jpeg",".png",".heic",".xls",".doc",".msg",".eml",".ppt",".txt",".zip"},Z693)))&gt;0),AND(ISERROR(FIND(" ",TRIM(Z693))),NOT(OR(SUMPRODUCT(--ISNUMBER(FIND({",",";","&amp;","+"},Z693)))&gt;0,SUMPRODUCT(--ISNUMBER(SEARCH({"0/aa","0\\aa"},BN693)))&gt;0)),NOT(SUMPRODUCT(--ISNUMBER(SEARCH({"http","www.","\\",":\",".pdf",".jpg",".jpeg",".png",".heic",".xls",".doc",".msg",".eml",".ppt",".txt",".zip"},Z693)))&gt;0),NOT(LOWER(TRIM(Z693))=LOWER(Flights!$F$25)),ISNA(MATCH(BU693,{"mh","rev","revision","ver","version","v","r","a","b","seat","tray","row","gate","bay","stand","page","pg","item","line","no","cart","galley","flight","flt","table","box","bag","oven","etd","eta","std","sta","atd","ata","qty","pax","x","time","tel","ph","mob","day","wk","week","utc","gmt","myt","lt"},0)),NOT(OR(ISNUMBER(MATCH(LEFT(BN693,255),{"0000a","000a","00a","0000aa","000aa","00aa","0aa","0000aaa","000aaa","00a00","0a00","0000-0000","00:00","a00","a0","00.00.0000","00/00/0000","00-00-0000","0000-00-00","0000/00/00","0000.00.00","00.00.00","00/00/00","00-00-00","0.00.0000","0/00/0000","0-00-0000"},0)),ISNUMBER(MATCH(LEFT(BT693,255),{"0000a","000a","00a","0000aa","000aa","00aa","0aa","0000aaa","000aaa","00a00","0a00","0000-0000","00:00","a00","a0","00.00.0000","00/00/0000","00-00-0000","0000-00-00","0000/00/00","0000.00.00","00.00.00","00/00/00","00-00-00","0.00.0000","0/00/0000","0-00-0000"},0)))),NOT(OR(AND(BW693&lt;&gt;"",SUBSTITUTE(BW693,"0","")=""),AND(LEN(BW693)&gt;=4,BW693=REPT(LEFT(BW693),LEN(BW693))),ISNUMBER(MATCH(BW693,{"123","1234","12345","123456","1234567","12345678","0123","01234","012345","98765","987654","54321"},0)),ISNUMBER(MATCH(BX693,{"x","xx","xxx","xxxx","xxxxx","abc","abcd","nil","na","nan","test","tbc","tba","tbd","dummy","sample","example","eg","zz","zzz","none","null","xyz","qwe","asd","id","ref"},0)),AND(LEN(BW693)=8,BX693="",OR(LEFT(BW693,3)="202",ISNUMBER(MATCH(RIGHT(BW693,4),{"2025","2026","2027"},0)))))),OR(AND((LEN(BT693)-LEN(SUBSTITUTE(BT693,"a","")))&gt;=1,(LEN(BN693)-LEN(SUBSTITUTE(BN693,"0","")))&gt;=2,SUMPRODUCT(--ISNUMBER(SEARCH({"a0","a-0","a_0","a/0","a.0","a#0","0a","0-a","0_a","0/a"},BN693)))&gt;0),AND((LEN(BN693)-LEN(SUBSTITUTE(BN693,"a","")))=0,(LEN(BN693)-LEN(SUBSTITUTE(BN693,"0","")))&gt;=5)))),1,0),0)</f>
        <v>0</v>
      </c>
      <c r="CA6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693,"revision",""),"version",""),"jan",""),"feb",""),"mar",""),"apr",""),"may",""),"jun",""),"jul",""),"aug",""),"sep",""),"oct",""),"nov",""),"dec",""),"utc",""),"gmt",""),"myt",""),"bst",""),"rev",""),"ver",""),"b","a"),"c","a"),"d","a"),"e","a"),"f","a"),"g","a"),"h","a"),"i","a"),"j","a"),"k","a"),"l","a"),"m","a"),"n","a"),"o","a"),"p","a"),"q","a"),"r","a"),"s","a"),"t","a"),"u","a"),"v","a"),"w","a"),"x","a"),"y","a"),"z","a")</f>
        <v/>
      </c>
      <c r="CB69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693&amp;""),"a",""),"b",""),"c",""),"d",""),"e",""),"f",""),"g",""),"h",""),"i",""),"j",""),"k",""),"l",""),"m",""),"n",""),"o",""),"p",""),"q",""),"r",""),"s",""),"t",""),"u",""),"v",""),"w",""),"x",""),"y",""),"z",""),"-",""),"_",""),"/",""),".",""),"#",""),"\\",""),":","")," ",""),"(",""),")","")</f>
        <v/>
      </c>
      <c r="CC693" s="0" t="str">
        <f aca="false">" "&amp;TRIM(SUBSTITUTE(SUBSTITUTE(SUBSTITUTE(SUBSTITUTE(SUBSTITUTE(SUBSTITUTE(SUBSTITUTE(SUBSTITUTE(SUBSTITUTE(SUBSTITUTE(SUBSTITUTE(SUBSTITUTE(SUBSTITUTE(SUBSTITUTE(SUBSTITUTE(SUBSTITUTE(SUBSTITUTE(SUBSTITUTE(SUBSTITUTE(SUBSTITUTE(SUBSTITUTE(SUBSTITUTE(SUBSTITUTE(SUBSTITUTE(LOWER(T693&amp;""),CHAR(10)," "),CHAR(13)," "),CHAR(9)," "),CHAR(160)," "),"."," "),","," "),"-"," "),"/"," "),"("," "),")"," "),":"," "),";"," "),"_"," "),"–"," "),"?"," "),"!"," "),"*"," "),"["," "),"]"," "),"'"," "),"#"," "),"+"," "),"&amp;"," "),"\"," "))&amp;" "</f>
        <v>  </v>
      </c>
      <c r="CD693" s="0" t="str">
        <f aca="false">" "&amp;TRIM(SUBSTITUTE(SUBSTITUTE(SUBSTITUTE(SUBSTITUTE(SUBSTITUTE(SUBSTITUTE(SUBSTITUTE(SUBSTITUTE(SUBSTITUTE(SUBSTITUTE(SUBSTITUTE(SUBSTITUTE(SUBSTITUTE(SUBSTITUTE(SUBSTITUTE(SUBSTITUTE(SUBSTITUTE(SUBSTITUTE(SUBSTITUTE(SUBSTITUTE(SUBSTITUTE(SUBSTITUTE(SUBSTITUTE(SUBSTITUTE(LOWER(AE693&amp;""),CHAR(10)," "),CHAR(13)," "),CHAR(9)," "),CHAR(160)," "),"."," "),","," "),"-"," "),"/"," "),"("," "),")"," "),":"," "),";"," "),"_"," "),"–"," "),"?"," "),"!"," "),"*"," "),"["," "),"]"," "),"'"," "),"#"," "),"+"," "),"&amp;"," "),"\"," "))&amp;" "</f>
        <v>  </v>
      </c>
      <c r="CE693" s="68" t="n">
        <f aca="false">IFERROR(IF(AND(LEN(AU693)&gt;0,LEN(AU693)=LEN(AX693),OR(TRIM(MID(SUBSTITUTE(TRIM(CC693)," ",REPT(" ",60)),1,60))="",ISNUMBER(SEARCH(" "&amp;TRIM(MID(SUBSTITUTE(TRIM(CC693)," ",REPT(" ",60)),1,60))&amp;" ",CD693))),OR(TRIM(MID(SUBSTITUTE(TRIM(CC693)," ",REPT(" ",60)),61,60))="",ISNUMBER(SEARCH(" "&amp;TRIM(MID(SUBSTITUTE(TRIM(CC693)," ",REPT(" ",60)),61,60))&amp;" ",CD693))),OR(TRIM(MID(SUBSTITUTE(TRIM(CC693)," ",REPT(" ",60)),121,60))="",ISNUMBER(SEARCH(" "&amp;TRIM(MID(SUBSTITUTE(TRIM(CC693)," ",REPT(" ",60)),121,60))&amp;" ",CD693)))),1,0),0)</f>
        <v>0</v>
      </c>
      <c r="CG693" s="68" t="n">
        <f aca="false">IFERROR(LEN(SUBSTITUTE(BF693," ",""))-SUMPRODUCT((LEN(BF693)-LEN(SUBSTITUTE(BF693," "&amp;L_NAFiller&amp;" "," ")))/(LEN(L_NAFiller)+1)*LEN(L_NAFiller)),0)</f>
        <v>0</v>
      </c>
    </row>
    <row r="694" customFormat="false" ht="41.25" hidden="false" customHeight="true" outlineLevel="0" collapsed="false">
      <c r="A694" s="57" t="s">
        <v>1428</v>
      </c>
      <c r="B694" s="57" t="s">
        <v>310</v>
      </c>
      <c r="C694" s="57" t="str">
        <f aca="false">Flights!$F$25</f>
        <v>MH1437</v>
      </c>
      <c r="D694" s="58" t="n">
        <f aca="false">Flights!$D$25</f>
        <v>46325</v>
      </c>
      <c r="E694" s="57" t="str">
        <f aca="false">Flights!$G$25&amp;"-"&amp;Flights!$H$25</f>
        <v>LGK-KUL</v>
      </c>
      <c r="F694" s="57" t="str">
        <f aca="false">Flights!$K$25</f>
        <v>BC</v>
      </c>
      <c r="G694" s="57" t="s">
        <v>459</v>
      </c>
      <c r="H694" s="57" t="s">
        <v>460</v>
      </c>
      <c r="I694" s="57" t="s">
        <v>440</v>
      </c>
      <c r="J694" s="57" t="s">
        <v>534</v>
      </c>
      <c r="K694" s="67" t="s">
        <v>495</v>
      </c>
      <c r="L694" s="67" t="s">
        <v>1406</v>
      </c>
      <c r="M694" s="67" t="s">
        <v>451</v>
      </c>
      <c r="N694" s="67" t="s">
        <v>383</v>
      </c>
      <c r="O694" s="67" t="s">
        <v>535</v>
      </c>
      <c r="P694" s="57" t="s">
        <v>306</v>
      </c>
      <c r="Q694" s="59" t="n">
        <f aca="false">ROUND((Flights!$AF$25)*1440,0)/1440</f>
        <v>46325.28125</v>
      </c>
      <c r="R694" s="59" t="n">
        <f aca="false">Q694+(IF(AND(INDEX(TZ_DSTS,MATCH(P694,TZ_STN,0))&lt;&gt;"",Q694&gt;=INDEX(TZ_DSTS,MATCH(P694,TZ_STN,0)),Q694&lt;INDEX(TZ_DSTE,MATCH(P694,TZ_STN,0))),INDEX(TZ_DST,MATCH(P694,TZ_STN,0)),INDEX(TZ_STD,MATCH(P694,TZ_STN,0))))/24</f>
        <v>46325.6145833333</v>
      </c>
      <c r="S694" s="60"/>
      <c r="T694" s="60"/>
      <c r="U694" s="60"/>
      <c r="V694" s="60"/>
      <c r="W694" s="61"/>
      <c r="X694" s="60"/>
      <c r="Y694" s="60"/>
      <c r="Z694" s="60"/>
      <c r="AA694" s="60"/>
      <c r="AB694" s="60"/>
      <c r="AC694" s="60"/>
      <c r="AD694" s="66"/>
      <c r="AE694" s="60"/>
      <c r="AF694" s="61" t="str">
        <f aca="false">IF(AND(ISNUMBER(X694),ISNUMBER(Y694)),Y694-X694,"")</f>
        <v/>
      </c>
      <c r="AG694" s="62" t="str">
        <f aca="false">IF(ISNUMBER(AD694),AD694-(IF(AND(INDEX(TZ_DSTS,MATCH(P694,TZ_STN,0))&lt;&gt;"",(AD694-INDEX(TZ_STD,MATCH(P694,TZ_STN,0))/24)&gt;=INDEX(TZ_DSTS,MATCH(P694,TZ_STN,0)),(AD694-INDEX(TZ_STD,MATCH(P694,TZ_STN,0))/24)&lt;INDEX(TZ_DSTE,MATCH(P694,TZ_STN,0))),INDEX(TZ_DST,MATCH(P694,TZ_STN,0)),INDEX(TZ_STD,MATCH(P694,TZ_STN,0))))/24,"")</f>
        <v/>
      </c>
      <c r="AH694" s="65" t="str">
        <f aca="false">IFERROR(IF(N694="N/A – rule",IF(OR(TRIM(U694)="",TRIM(U694)="N/A",TRIM(U694)="Not started"),"N/A – RULE","INVALID – this check does not apply to this aircraft: clear the status (or correct the fleet on Flights)"),IF(TRIM(U694)="N/A",IF(AT694=0,"INVALID – N/A not permitted for this check",IF(AND(TRIM(AB694)&lt;&gt;"",TRIM(AB694)&lt;&gt;"Closed"),"INVALID – corrective action still open",IF(AND(NOT(OR(LEN(AZ694)&lt;15,ISNUMBER(MATCH(AZ694,L_Placeholder,0)))),BK694=0,CG694&gt;=8,NOT(OR(LEN(AU694)&lt;2,ISNUMBER(MATCH(AU694,L_Placeholder,0)))),BR694&gt;=3,NOT(OR(LEN(AX694)&lt;2,ISNUMBER(MATCH(AX694,L_Placeholder,0)))),BS694&gt;=3,TRIM(AE694)&lt;&gt;TRIM(T694),AX694&lt;&gt;AU694,CE694=0),"N/A – JUSTIFIED","INVALID – N/A needs a real, settled reason (not 'not applicable' / 'as above' / TBC), a named PIC and a different named verifier"))),IF(OR(TRIM(U694)="Pass",TRIM(U694)="Pass after CA"),IF(NOT(ISNUMBER(AD694)),"INVALID – completion time missing",IF(OR(OR(LEN(AU694)&lt;2,ISNUMBER(MATCH(AU694,L_Placeholder,0))),BR694&lt;3),"INVALID – PIC missing or not a named person (a role such as QA / CSM is not a name)",IF(OR(LEN(AV694)&lt;2,ISNUMBER(MATCH(AV694,L_Placeholder,0))),"INVALID – result / assessment missing",IF(OR(OR(LEN(AW694)&lt;3,ISNUMBER(MATCH(AW694,L_Placeholder,0))),SUMPRODUCT(--ISNUMBER(SEARCH(" "&amp;L_EvidencePhrase&amp;" ",BD694)))&gt;0,BI694=1),"INVALID – evidence missing, placeholder or not yet on file",IF(ISNA(MATCH(TRIM(S694),L_EvidenceType,0)),"INVALID – choose the evidence type from the list (column S)",IF(BL694=0,"INVALID – evidence ID must be the record's own ID only (e.g. SF-2210, IMG_2231, 1045521); a link / file name needs type 'Link / file path'",IF(OR(OR(LEN(AX694)&lt;2,ISNUMBER(MATCH(AX694,L_Placeholder,0))),BS694&lt;3),"INVALID – verifier missing or not a named person (a role such as QA / CSM is not a name)",IF(OR(AX694=AU694,CE694=1,AND(LEN(AU694)&gt;=4,ISNUMBER(SEARCH(AU694,AX694))),AND(LEN(AX694)&gt;=4,ISNUMBER(SEARCH(AX694,AU694)))),"INVALID – verifier must be a different, named person (not the PIC or a role)",IF(BH694=1,"INVALID – result not yet available (awaiting / TBC)",IF(BG694=1,"INVALID – result describes a problem: record Fail, then Pass after CA (or reword if it is not a problem)",IF(BV694=1,"INVALID – wording says not on board: an on-board confirmation needs the item loaded",IF(AND(AQ694=1,OR(OR(LEN(AY694)&lt;3,ISNUMBER(MATCH(AY694,L_Placeholder,0))),BJ694=1,BQ694=0)),"INVALID – batch ID missing, placeholder or not an ID (e.g. PASB-261008-BC-017)",IF(AND(AR694=1,OR(NOT(ISNUMBER(X694)),NOT(ISNUMBER(Y694)))),"INVALID – expected/actual qty missing",IF(AND(AR694=1,OR(X694&lt;=0,Y694&lt;0)),"INVALID – expected qty must be above 0 and actual not negative",IF(AH683="N/A – JUSTIFIED","INVALID – preparation row F21-T12-08 is N/A",IF(AND(AR694=1,ISNUMBER(X683),X694&lt;&gt;X683,TRIM(U694)&lt;&gt;"Pass after CA"),"INVALID – expected qty differs from preparation check F21-T12-08: record the load change as a corrective action (Pass after CA)",IF(BB694&lt;&gt;"",BB694,IF(AND(AS694=1,Documents!$J$25&lt;&gt;"ON FILE"),"INVALID – GLD not on file (Documents sheet)",IF(AND(AS694=2,Documents!$O$25&lt;&gt;"ON FILE"),"INVALID – menu checklist not on file (Documents sheet)",IF(AND(AS694=3,NOT(ISNUMBER(Flights!$AX$25))),"INVALID – enter carrying flight KUL departure (Flights AX)",IF(AND(AS694=3,OR(Flights!$AZ$25&gt;Flights!$AA$25,Flights!$AX$25&lt;Flights!$AA$25-3)),"INVALID – carrying flight (Flights AX) cannot arrive before this leg's STD, or is over 3 days early",IF(AG694&gt;AsOfUTC,"INVALID – completion time is in the future",IF(AND(ISNUMBER(BY694),AG694&lt;BY694),IF(H694="Physical uplift","INVALID – before uplift window (cannot confirm loading)","INVALID – before valid window"),IF(AG694&gt;Flights!$AA$25,"INVALID – completed after departure (cannot establish readiness)",IF(AND(H694="Preparation",AG694&gt;=IF(ISNUMBER(Flights!$BA$25),MIN(Flights!$BA$25,Flights!$AA$25),Flights!$AA$25)),"INVALID – completed after loading / departure (cannot establish readiness)",IF(AND(H694="Physical uplift",AG694&gt;Q694),"INVALID – recorded after the loading flight departed",IF(AG694&gt;Q694,"COMPLETE – LATE","COMPLETE"))))))))))))))))))))))))))),IF(TRIM(U694)="Fail","FAIL – DISCREPANCY",IF(AND(TRIM(U694)&lt;&gt;"",TRIM(U694)&lt;&gt;"Not started",TRIM(U694)&lt;&gt;"In progress"),"INVALID – unrecognised status (use the list)",IF(AsOfUTC&gt;Q694,"OVERDUE",IF(N694="Clarification required","OPEN – CLARIFICATION","OPEN"))))))),"INVALID – error value in an input cell")</f>
        <v>OPEN</v>
      </c>
      <c r="AI694" s="61" t="n">
        <f aca="false">IF(OR(AH694="N/A – RULE",AH694="N/A – JUSTIFIED"),0,1)</f>
        <v>1</v>
      </c>
      <c r="AJ694" s="61" t="n">
        <f aca="false">IF(LEFT(AH694,8)="COMPLETE",1,0)</f>
        <v>0</v>
      </c>
      <c r="AK694" s="61" t="n">
        <f aca="false">IF(AND(AI694=1,AJ694=0,AsOfUTC&gt;Q694),1,0)</f>
        <v>0</v>
      </c>
      <c r="AL694" s="61" t="n">
        <f aca="false">IFERROR(IF(AND(AI694=1,OR(TRIM(U694)="Fail",AND(TRIM(AB694)&lt;&gt;"",TRIM(AB694)&lt;&gt;"Closed"),AND(ISNUMBER(AF694),AF694&lt;&gt;0,TRIM(U694)&lt;&gt;"Pass after CA"))),1,0),1)</f>
        <v>0</v>
      </c>
      <c r="AM694" s="61" t="n">
        <f aca="false">IF(LEFT(AH694,7)="INVALID",1,0)</f>
        <v>0</v>
      </c>
      <c r="AN694" s="61" t="n">
        <f aca="false">IF(AND(N694="Clarification required",AI694=1,AJ694=0),1,0)</f>
        <v>0</v>
      </c>
      <c r="AO694" s="61" t="str">
        <f aca="false">IF(AK694=1,SUM(AK$5:AK694),"")</f>
        <v/>
      </c>
      <c r="AP694" s="61" t="str">
        <f aca="false">IF(AL694=1,SUM(AL$5:AL694),"")</f>
        <v/>
      </c>
      <c r="AQ694" s="61" t="n">
        <v>0</v>
      </c>
      <c r="AR694" s="61" t="n">
        <v>0</v>
      </c>
      <c r="AS694" s="61" t="n">
        <v>0</v>
      </c>
      <c r="AT694" s="61" t="n">
        <v>0</v>
      </c>
      <c r="AU694" s="61" t="str">
        <f aca="false">SUBSTITUTE(SUBSTITUTE(SUBSTITUTE(SUBSTITUTE(SUBSTITUTE(SUBSTITUTE(SUBSTITUTE(SUBSTITUTE(SUBSTITUTE(SUBSTITUTE(SUBSTITUTE(SUBSTITUTE(SUBSTITUTE(SUBSTITUTE(SUBSTITUTE(SUBSTITUTE(LOWER(T694&amp;""),CHAR(10),""),CHAR(13),""),CHAR(9),""),CHAR(160),"")," ",""),".",""),"-",""),"/",""),"?",""),"_",""),",",""),"[",""),"]",""),"(",""),")",""),"*","")</f>
        <v/>
      </c>
      <c r="AV694" s="61" t="str">
        <f aca="false">SUBSTITUTE(SUBSTITUTE(SUBSTITUTE(SUBSTITUTE(SUBSTITUTE(SUBSTITUTE(SUBSTITUTE(SUBSTITUTE(SUBSTITUTE(SUBSTITUTE(SUBSTITUTE(SUBSTITUTE(SUBSTITUTE(SUBSTITUTE(SUBSTITUTE(SUBSTITUTE(LOWER(V694&amp;""),CHAR(10),""),CHAR(13),""),CHAR(9),""),CHAR(160),"")," ",""),".",""),"-",""),"/",""),"?",""),"_",""),",",""),"[",""),"]",""),"(",""),")",""),"*","")</f>
        <v/>
      </c>
      <c r="AW694" s="61" t="str">
        <f aca="false">SUBSTITUTE(SUBSTITUTE(SUBSTITUTE(SUBSTITUTE(SUBSTITUTE(SUBSTITUTE(SUBSTITUTE(SUBSTITUTE(SUBSTITUTE(SUBSTITUTE(SUBSTITUTE(SUBSTITUTE(SUBSTITUTE(SUBSTITUTE(SUBSTITUTE(SUBSTITUTE(LOWER(Z694&amp;""),CHAR(10),""),CHAR(13),""),CHAR(9),""),CHAR(160),"")," ",""),".",""),"-",""),"/",""),"?",""),"_",""),",",""),"[",""),"]",""),"(",""),")",""),"*","")</f>
        <v/>
      </c>
      <c r="AX694" s="61" t="str">
        <f aca="false">SUBSTITUTE(SUBSTITUTE(SUBSTITUTE(SUBSTITUTE(SUBSTITUTE(SUBSTITUTE(SUBSTITUTE(SUBSTITUTE(SUBSTITUTE(SUBSTITUTE(SUBSTITUTE(SUBSTITUTE(SUBSTITUTE(SUBSTITUTE(SUBSTITUTE(SUBSTITUTE(LOWER(AE694&amp;""),CHAR(10),""),CHAR(13),""),CHAR(9),""),CHAR(160),"")," ",""),".",""),"-",""),"/",""),"?",""),"_",""),",",""),"[",""),"]",""),"(",""),")",""),"*","")</f>
        <v/>
      </c>
      <c r="AY694" s="61" t="str">
        <f aca="false">SUBSTITUTE(SUBSTITUTE(SUBSTITUTE(SUBSTITUTE(SUBSTITUTE(SUBSTITUTE(SUBSTITUTE(SUBSTITUTE(SUBSTITUTE(SUBSTITUTE(SUBSTITUTE(SUBSTITUTE(SUBSTITUTE(SUBSTITUTE(SUBSTITUTE(SUBSTITUTE(LOWER(W694&amp;""),CHAR(10),""),CHAR(13),""),CHAR(9),""),CHAR(160),"")," ",""),".",""),"-",""),"/",""),"?",""),"_",""),",",""),"[",""),"]",""),"(",""),")",""),"*","")</f>
        <v/>
      </c>
      <c r="AZ694" s="61" t="str">
        <f aca="false">SUBSTITUTE(SUBSTITUTE(SUBSTITUTE(SUBSTITUTE(SUBSTITUTE(SUBSTITUTE(SUBSTITUTE(SUBSTITUTE(SUBSTITUTE(SUBSTITUTE(SUBSTITUTE(SUBSTITUTE(SUBSTITUTE(SUBSTITUTE(SUBSTITUTE(SUBSTITUTE(LOWER(AC694&amp;""),CHAR(10),""),CHAR(13),""),CHAR(9),""),CHAR(160),"")," ",""),".",""),"-",""),"/",""),"?",""),"_",""),",",""),"[",""),"]",""),"(",""),")",""),"*","")</f>
        <v/>
      </c>
      <c r="BA694" s="61" t="str">
        <f aca="false">SUBSTITUTE(SUBSTITUTE(SUBSTITUTE(SUBSTITUTE(SUBSTITUTE(SUBSTITUTE(SUBSTITUTE(SUBSTITUTE(SUBSTITUTE(SUBSTITUTE(SUBSTITUTE(SUBSTITUTE(SUBSTITUTE(SUBSTITUTE(SUBSTITUTE(SUBSTITUTE(LOWER(AA694&amp;""),CHAR(10),""),CHAR(13),""),CHAR(9),""),CHAR(160),"")," ",""),".",""),"-",""),"/",""),"?",""),"_",""),",",""),"[",""),"]",""),"(",""),")",""),"*","")</f>
        <v/>
      </c>
      <c r="BB694" s="61" t="str">
        <f aca="false">IF(AND(TRIM(U694)="Pass",ISNUMBER(AF694)),IF(AF694&lt;&gt;0,"INVALID – qty variance: use Fail or Pass after CA",""),"")&amp;IF(AND(TRIM(U694)="Pass after CA",ISNUMBER(AF694)),IF(AF694&lt;&gt;0,"INVALID – after the corrective action the actual qty must equal expected (update Actual)",""),"")&amp;IF(AND(TRIM(U694)="Pass",TRIM(AB694)&lt;&gt;"",TRIM(AB694)&lt;&gt;"Closed"),"INVALID – corrective action not closed: use Fail, then Pass after CA","")&amp;IF(AND(LEN(BA694)&gt;=2,ISNA(MATCH(LEFT(BA694,255),L_Placeholder,0)),TRIM(AB694)=""),"INVALID – CA status missing for the recorded corrective action","")&amp;IF(AND(TRIM(U694)="Pass after CA",OR(OR(LEN(BA694)&lt;5,ISNUMBER(MATCH(BA694,L_Placeholder,0))),TRIM(AB694)&lt;&gt;"Closed")),"INVALID – corrective action not recorded/closed","")</f>
        <v/>
      </c>
      <c r="BC694" s="61" t="str">
        <f aca="false">" "&amp;TRIM(SUBSTITUTE(SUBSTITUTE(SUBSTITUTE(SUBSTITUTE(SUBSTITUTE(SUBSTITUTE(SUBSTITUTE(SUBSTITUTE(SUBSTITUTE(SUBSTITUTE(SUBSTITUTE(SUBSTITUTE(SUBSTITUTE(SUBSTITUTE(SUBSTITUTE(SUBSTITUTE(SUBSTITUTE(SUBSTITUTE(SUBSTITUTE(SUBSTITUTE(SUBSTITUTE(SUBSTITUTE(SUBSTITUTE(SUBSTITUTE(LOWER(V694&amp;""),CHAR(10)," "),CHAR(13)," "),CHAR(9)," "),CHAR(160)," "),"."," "),","," "),"-"," "),"/"," "),"("," "),")"," "),":"," "),";"," "),"_"," "),"–"," "),"?"," "),"!"," "),"*"," "),"["," "),"]"," "),"'"," "),"#"," "),"+"," "),"&amp;"," "),"\"," "))&amp;" "</f>
        <v>  </v>
      </c>
      <c r="BD694" s="61" t="str">
        <f aca="false">" "&amp;TRIM(SUBSTITUTE(SUBSTITUTE(SUBSTITUTE(SUBSTITUTE(SUBSTITUTE(SUBSTITUTE(SUBSTITUTE(SUBSTITUTE(SUBSTITUTE(SUBSTITUTE(SUBSTITUTE(SUBSTITUTE(SUBSTITUTE(SUBSTITUTE(SUBSTITUTE(SUBSTITUTE(SUBSTITUTE(SUBSTITUTE(SUBSTITUTE(SUBSTITUTE(SUBSTITUTE(SUBSTITUTE(SUBSTITUTE(SUBSTITUTE(LOWER(Z694&amp;""),CHAR(10)," "),CHAR(13)," "),CHAR(9)," "),CHAR(160)," "),"."," "),","," "),"-"," "),"/"," "),"("," "),")"," "),":"," "),";"," "),"_"," "),"–"," "),"?"," "),"!"," "),"*"," "),"["," "),"]"," "),"'"," "),"#"," "),"+"," "),"&amp;"," "),"\"," "))&amp;" "</f>
        <v>  </v>
      </c>
      <c r="BE694" s="61" t="str">
        <f aca="false">" "&amp;TRIM(SUBSTITUTE(SUBSTITUTE(SUBSTITUTE(SUBSTITUTE(SUBSTITUTE(SUBSTITUTE(SUBSTITUTE(SUBSTITUTE(SUBSTITUTE(SUBSTITUTE(SUBSTITUTE(SUBSTITUTE(SUBSTITUTE(SUBSTITUTE(SUBSTITUTE(SUBSTITUTE(SUBSTITUTE(SUBSTITUTE(SUBSTITUTE(SUBSTITUTE(SUBSTITUTE(SUBSTITUTE(SUBSTITUTE(SUBSTITUTE(LOWER(W694&amp;""),CHAR(10)," "),CHAR(13)," "),CHAR(9)," "),CHAR(160)," "),"."," "),","," "),"-"," "),"/"," "),"("," "),")"," "),":"," "),";"," "),"_"," "),"–"," "),"?"," "),"!"," "),"*"," "),"["," "),"]"," "),"'"," "),"#"," "),"+"," "),"&amp;"," "),"\"," "))&amp;" "</f>
        <v>  </v>
      </c>
      <c r="BF694" s="61" t="str">
        <f aca="false">" "&amp;TRIM(SUBSTITUTE(SUBSTITUTE(SUBSTITUTE(SUBSTITUTE(SUBSTITUTE(SUBSTITUTE(SUBSTITUTE(SUBSTITUTE(SUBSTITUTE(SUBSTITUTE(SUBSTITUTE(SUBSTITUTE(SUBSTITUTE(SUBSTITUTE(SUBSTITUTE(SUBSTITUTE(SUBSTITUTE(SUBSTITUTE(SUBSTITUTE(SUBSTITUTE(SUBSTITUTE(SUBSTITUTE(SUBSTITUTE(SUBSTITUTE(LOWER(AC694&amp;""),CHAR(10)," "),CHAR(13)," "),CHAR(9)," "),CHAR(160)," "),"."," "),","," "),"-"," "),"/"," "),"("," "),")"," "),":"," "),";"," "),"_"," "),"–"," "),"?"," "),"!"," "),"*"," "),"["," "),"]"," "),"'"," "),"#"," "),"+"," "),"&amp;"," "),"\"," "))&amp;" "</f>
        <v>  </v>
      </c>
      <c r="BG694" s="61" t="n">
        <f aca="false">IFERROR(IF(AND(TRIM(U694)="Pass",SUMPRODUCT((LEN(BC694)-LEN(SUBSTITUTE(BC694," "&amp;L_ResultBad&amp;" "," ")))/(LEN(L_ResultBad)+1))&gt;SUMPRODUCT((LEN(BC694)-LEN(SUBSTITUTE(BC694," "&amp;L_NegPhrase&amp;" "," ")))/(LEN(L_NegPhrase)+1))),1,0),0)</f>
        <v>0</v>
      </c>
      <c r="BH694" s="61" t="n">
        <f aca="false">IFERROR(IF(SUMPRODUCT((LEN(BC694)-LEN(SUBSTITUTE(BC694," "&amp;L_Pending&amp;" "," ")))/(LEN(L_Pending)+1))&gt;SUMPRODUCT((LEN(BC694)-LEN(SUBSTITUTE(BC694," "&amp;L_PendNeg&amp;" "," ")))/(LEN(L_PendNeg)+1)),1,0),1)</f>
        <v>0</v>
      </c>
      <c r="BI694" s="61" t="n">
        <f aca="false">IFERROR(IF(SUMPRODUCT((LEN(BD694)-LEN(SUBSTITUTE(BD694," "&amp;L_PendStrict&amp;" "," ")))/(LEN(L_PendStrict)+1))&gt;SUMPRODUCT((LEN(BD694)-LEN(SUBSTITUTE(BD694," "&amp;L_PendNeg&amp;" "," ")))/(LEN(L_PendNeg)+1)),1,0),1)</f>
        <v>0</v>
      </c>
      <c r="BJ694" s="61" t="n">
        <f aca="false">IFERROR(IF(SUMPRODUCT((LEN(BE694)-LEN(SUBSTITUTE(BE694," "&amp;L_Pending&amp;" "," ")))/(LEN(L_Pending)+1))&gt;SUMPRODUCT((LEN(BE694)-LEN(SUBSTITUTE(BE694," "&amp;L_PendNeg&amp;" "," ")))/(LEN(L_PendNeg)+1)),1,0),1)</f>
        <v>0</v>
      </c>
      <c r="BK694" s="61" t="n">
        <f aca="false">IFERROR(IF(SUMPRODUCT((LEN(BF694)-LEN(SUBSTITUTE(BF694," "&amp;L_PendStrict&amp;" "," ")))/(LEN(L_PendStrict)+1))&gt;SUMPRODUCT((LEN(BF694)-LEN(SUBSTITUTE(BF694," "&amp;L_PendNeg&amp;" "," ")))/(LEN(L_PendNeg)+1)),1,0),1)</f>
        <v>0</v>
      </c>
      <c r="BL694" s="61" t="n">
        <f aca="false">IF(ISNA(MATCH(TRIM(S694),L_EvidenceType,0)),0,BZ694)</f>
        <v>0</v>
      </c>
      <c r="BM694" s="61" t="str">
        <f aca="false">SUBSTITUTE(SUBSTITUTE(SUBSTITUTE(SUBSTITUTE(SUBSTITUTE(SUBSTITUTE(SUBSTITUTE(SUBSTITUTE(SUBSTITUTE(LOWER(Z694&amp;""),"1","0"),"2","0"),"3","0"),"4","0"),"5","0"),"6","0"),"7","0"),"8","0"),"9","0")</f>
        <v/>
      </c>
      <c r="BN694" s="61" t="str">
        <f aca="false">SUBSTITUTE(SUBSTITUTE(SUBSTITUTE(SUBSTITUTE(SUBSTITUTE(SUBSTITUTE(SUBSTITUTE(SUBSTITUTE(SUBSTITUTE(SUBSTITUTE(SUBSTITUTE(SUBSTITUTE(SUBSTITUTE(SUBSTITUTE(SUBSTITUTE(SUBSTITUTE(SUBSTITUTE(SUBSTITUTE(SUBSTITUTE(SUBSTITUTE(SUBSTITUTE(SUBSTITUTE(SUBSTITUTE(SUBSTITUTE(SUBSTITUTE(BM694,"b","a"),"c","a"),"d","a"),"e","a"),"f","a"),"g","a"),"h","a"),"i","a"),"j","a"),"k","a"),"l","a"),"m","a"),"n","a"),"o","a"),"p","a"),"q","a"),"r","a"),"s","a"),"t","a"),"u","a"),"v","a"),"w","a"),"x","a"),"y","a"),"z","a")</f>
        <v/>
      </c>
      <c r="BO694" s="61" t="str">
        <f aca="false">SUBSTITUTE(SUBSTITUTE(SUBSTITUTE(SUBSTITUTE(SUBSTITUTE(SUBSTITUTE(SUBSTITUTE(SUBSTITUTE(SUBSTITUTE(LOWER(W694&amp;""),"1","0"),"2","0"),"3","0"),"4","0"),"5","0"),"6","0"),"7","0"),"8","0"),"9","0")</f>
        <v/>
      </c>
      <c r="BP694" s="61" t="str">
        <f aca="false">SUBSTITUTE(SUBSTITUTE(SUBSTITUTE(SUBSTITUTE(SUBSTITUTE(SUBSTITUTE(SUBSTITUTE(SUBSTITUTE(SUBSTITUTE(SUBSTITUTE(SUBSTITUTE(SUBSTITUTE(SUBSTITUTE(SUBSTITUTE(SUBSTITUTE(SUBSTITUTE(SUBSTITUTE(SUBSTITUTE(SUBSTITUTE(SUBSTITUTE(SUBSTITUTE(SUBSTITUTE(SUBSTITUTE(SUBSTITUTE(SUBSTITUTE(BO694,"b","a"),"c","a"),"d","a"),"e","a"),"f","a"),"g","a"),"h","a"),"i","a"),"j","a"),"k","a"),"l","a"),"m","a"),"n","a"),"o","a"),"p","a"),"q","a"),"r","a"),"s","a"),"t","a"),"u","a"),"v","a"),"w","a"),"x","a"),"y","a"),"z","a")</f>
        <v/>
      </c>
      <c r="BQ694" s="61" t="n">
        <f aca="false">IFERROR(IF(AND(ISERROR(SEARCH(" mh"," "&amp;LOWER(W694))),ISNA(MATCH(LEFT(TRIM(BP694),255),{"0000a","000a","00a","0000aa","000aa","00aa","0aa","0000aaa","000aaa","00a00","0a00","0000-0000","00:00","a00","a0","00.00.0000","00/00/0000","00-00-0000","0000-00-00","0000/00/00","0000.00.00","00.00.00","00/00/00","00-00-00","0.00.0000","0/00/0000","0-00-0000"},0)),ISNA(MATCH(LEFT(TRIM(CA694),255),{"0000a","000a","00a","0000aa","000aa","00aa","0aa","0000aaa","000aaa","00a00","0a00","0000-0000","00:00","a00","a0","00.00.0000","00/00/0000","00-00-0000","0000-00-00","0000/00/00","0000.00.00","00.00.00","00/00/00","00-00-00","0.00.0000","0/00/0000","0-00-0000"},0)),LEN(CB694)&gt;=3,NOT(OR(SUBSTITUTE(CB694,"0","")="",AND(LEN(CB694)&gt;=4,CB694=REPT(LEFT(CB694),LEN(CB694))),ISNUMBER(MATCH(CB694,{"123","1234","12345","123456","1234567","12345678","0123","01234","012345","98765","987654","54321"},0)),AND(LEN(CB694)=8,LEFT(CB694,3)="202"))),OR(AND((LEN(CA694)-LEN(SUBSTITUTE(CA694,"a","")))&gt;=1,SUMPRODUCT(--ISNUMBER(SEARCH({"a0","a-0","a_0","a/0","a.0","a#0","0a","0-a","0_a","0/a"},BP694)))&gt;0),ISNUMBER(SEARCH("000000",BP694)))),1,0),0)</f>
        <v>0</v>
      </c>
      <c r="BR694" s="61" t="n">
        <f aca="false">IFERROR(LEN(SUBSTITUTE(CC694," ",""))-SUMPRODUCT((LEN(CC694)-LEN(SUBSTITUTE(CC694," "&amp;L_Role&amp;" "," ")))/(LEN(L_Role)+1)*LEN(L_Role)),0)</f>
        <v>0</v>
      </c>
      <c r="BS694" s="61" t="n">
        <f aca="false">IFERROR(LEN(SUBSTITUTE(CD694," ",""))-SUMPRODUCT((LEN(CD694)-LEN(SUBSTITUTE(CD694," "&amp;L_Role&amp;" "," ")))/(LEN(L_Role)+1)*LEN(L_Role)),0)</f>
        <v>0</v>
      </c>
      <c r="BT6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694,"revision",""),"version",""),"jan",""),"feb",""),"mar",""),"apr",""),"may",""),"jun",""),"jul",""),"aug",""),"sep",""),"oct",""),"nov",""),"dec",""),"utc",""),"gmt",""),"myt",""),"bst",""),"rev",""),"ver",""),"b","a"),"c","a"),"d","a"),"e","a"),"f","a"),"g","a"),"h","a"),"i","a"),"j","a"),"k","a"),"l","a"),"m","a"),"n","a"),"o","a"),"p","a"),"q","a"),"r","a"),"s","a"),"t","a"),"u","a"),"v","a"),"w","a"),"x","a"),"y","a"),"z","a")</f>
        <v/>
      </c>
      <c r="BU694" s="61" t="str">
        <f aca="false">SUBSTITUTE(SUBSTITUTE(SUBSTITUTE(SUBSTITUTE(SUBSTITUTE(SUBSTITUTE(SUBSTITUTE(SUBSTITUTE(SUBSTITUTE(SUBSTITUTE(LEFT(BM694,FIND("0",BM694&amp;"0")-1),"-",""),"_",""),"/",""),".",""),"#",""),"\\",""),":","")," ",""),"(",""),")","")</f>
        <v/>
      </c>
      <c r="BV694" s="61" t="n">
        <f aca="false">IFERROR(IF(OR(SUMPRODUCT((LEN(BC694)-LEN(SUBSTITUTE(BC694," "&amp;L_NotLoaded&amp;" "," ")))/(LEN(L_NotLoaded)+1))&gt;SUMPRODUCT((LEN(BC694)-LEN(SUBSTITUTE(BC694," "&amp;L_NotLoadedNeg&amp;" "," ")))/(LEN(L_NotLoadedNeg)+1)),SUMPRODUCT((LEN(BD694)-LEN(SUBSTITUTE(BD694," "&amp;L_NotLoaded&amp;" "," ")))/(LEN(L_NotLoaded)+1))&gt;SUMPRODUCT((LEN(BD694)-LEN(SUBSTITUTE(BD694," "&amp;L_NotLoadedNeg&amp;" "," ")))/(LEN(L_NotLoadedNeg)+1))),1,0),0)</f>
        <v>0</v>
      </c>
      <c r="BW69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694&amp;""),"a",""),"b",""),"c",""),"d",""),"e",""),"f",""),"g",""),"h",""),"i",""),"j",""),"k",""),"l",""),"m",""),"n",""),"o",""),"p",""),"q",""),"r",""),"s",""),"t",""),"u",""),"v",""),"w",""),"x",""),"y",""),"z",""),"-",""),"_",""),"/",""),".",""),"#",""),"\\",""),":","")," ",""),"(",""),")","")</f>
        <v/>
      </c>
      <c r="BX694" s="61" t="str">
        <f aca="false">SUBSTITUTE(SUBSTITUTE(SUBSTITUTE(SUBSTITUTE(SUBSTITUTE(SUBSTITUTE(SUBSTITUTE(SUBSTITUTE(SUBSTITUTE(SUBSTITUTE(SUBSTITUTE(BM694,"0",""),"-",""),"_",""),"/",""),".",""),"#",""),"\\",""),":","")," ",""),"(",""),")","")</f>
        <v/>
      </c>
      <c r="BY694" s="62" t="n">
        <f aca="false">IF(ISNUMBER(Flights!$AZ$25),MAX(Q694-UpliftWindowH/24,Flights!$AZ$25),Q694-UpliftWindowH/24)</f>
        <v>46325.03125</v>
      </c>
      <c r="BZ694" s="61" t="n">
        <f aca="false">IFERROR(IF(IF(TRIM(S694)="Link / file path",AND(LEN(TRIM(Z694))&gt;=5,SUMPRODUCT(--ISNUMBER(SEARCH({"http","www.","\\",":\",".pdf",".jpg",".jpeg",".png",".heic",".xls",".doc",".msg",".eml",".ppt",".txt",".zip"},Z694)))&gt;0),AND(ISERROR(FIND(" ",TRIM(Z694))),NOT(OR(SUMPRODUCT(--ISNUMBER(FIND({",",";","&amp;","+"},Z694)))&gt;0,SUMPRODUCT(--ISNUMBER(SEARCH({"0/aa","0\\aa"},BN694)))&gt;0)),NOT(SUMPRODUCT(--ISNUMBER(SEARCH({"http","www.","\\",":\",".pdf",".jpg",".jpeg",".png",".heic",".xls",".doc",".msg",".eml",".ppt",".txt",".zip"},Z694)))&gt;0),NOT(LOWER(TRIM(Z694))=LOWER(Flights!$F$25)),ISNA(MATCH(BU694,{"mh","rev","revision","ver","version","v","r","a","b","seat","tray","row","gate","bay","stand","page","pg","item","line","no","cart","galley","flight","flt","table","box","bag","oven","etd","eta","std","sta","atd","ata","qty","pax","x","time","tel","ph","mob","day","wk","week","utc","gmt","myt","lt"},0)),NOT(OR(ISNUMBER(MATCH(LEFT(BN694,255),{"0000a","000a","00a","0000aa","000aa","00aa","0aa","0000aaa","000aaa","00a00","0a00","0000-0000","00:00","a00","a0","00.00.0000","00/00/0000","00-00-0000","0000-00-00","0000/00/00","0000.00.00","00.00.00","00/00/00","00-00-00","0.00.0000","0/00/0000","0-00-0000"},0)),ISNUMBER(MATCH(LEFT(BT694,255),{"0000a","000a","00a","0000aa","000aa","00aa","0aa","0000aaa","000aaa","00a00","0a00","0000-0000","00:00","a00","a0","00.00.0000","00/00/0000","00-00-0000","0000-00-00","0000/00/00","0000.00.00","00.00.00","00/00/00","00-00-00","0.00.0000","0/00/0000","0-00-0000"},0)))),NOT(OR(AND(BW694&lt;&gt;"",SUBSTITUTE(BW694,"0","")=""),AND(LEN(BW694)&gt;=4,BW694=REPT(LEFT(BW694),LEN(BW694))),ISNUMBER(MATCH(BW694,{"123","1234","12345","123456","1234567","12345678","0123","01234","012345","98765","987654","54321"},0)),ISNUMBER(MATCH(BX694,{"x","xx","xxx","xxxx","xxxxx","abc","abcd","nil","na","nan","test","tbc","tba","tbd","dummy","sample","example","eg","zz","zzz","none","null","xyz","qwe","asd","id","ref"},0)),AND(LEN(BW694)=8,BX694="",OR(LEFT(BW694,3)="202",ISNUMBER(MATCH(RIGHT(BW694,4),{"2025","2026","2027"},0)))))),OR(AND((LEN(BT694)-LEN(SUBSTITUTE(BT694,"a","")))&gt;=1,(LEN(BN694)-LEN(SUBSTITUTE(BN694,"0","")))&gt;=2,SUMPRODUCT(--ISNUMBER(SEARCH({"a0","a-0","a_0","a/0","a.0","a#0","0a","0-a","0_a","0/a"},BN694)))&gt;0),AND((LEN(BN694)-LEN(SUBSTITUTE(BN694,"a","")))=0,(LEN(BN694)-LEN(SUBSTITUTE(BN694,"0","")))&gt;=5)))),1,0),0)</f>
        <v>0</v>
      </c>
      <c r="CA6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694,"revision",""),"version",""),"jan",""),"feb",""),"mar",""),"apr",""),"may",""),"jun",""),"jul",""),"aug",""),"sep",""),"oct",""),"nov",""),"dec",""),"utc",""),"gmt",""),"myt",""),"bst",""),"rev",""),"ver",""),"b","a"),"c","a"),"d","a"),"e","a"),"f","a"),"g","a"),"h","a"),"i","a"),"j","a"),"k","a"),"l","a"),"m","a"),"n","a"),"o","a"),"p","a"),"q","a"),"r","a"),"s","a"),"t","a"),"u","a"),"v","a"),"w","a"),"x","a"),"y","a"),"z","a")</f>
        <v/>
      </c>
      <c r="CB69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694&amp;""),"a",""),"b",""),"c",""),"d",""),"e",""),"f",""),"g",""),"h",""),"i",""),"j",""),"k",""),"l",""),"m",""),"n",""),"o",""),"p",""),"q",""),"r",""),"s",""),"t",""),"u",""),"v",""),"w",""),"x",""),"y",""),"z",""),"-",""),"_",""),"/",""),".",""),"#",""),"\\",""),":","")," ",""),"(",""),")","")</f>
        <v/>
      </c>
      <c r="CC694" s="0" t="str">
        <f aca="false">" "&amp;TRIM(SUBSTITUTE(SUBSTITUTE(SUBSTITUTE(SUBSTITUTE(SUBSTITUTE(SUBSTITUTE(SUBSTITUTE(SUBSTITUTE(SUBSTITUTE(SUBSTITUTE(SUBSTITUTE(SUBSTITUTE(SUBSTITUTE(SUBSTITUTE(SUBSTITUTE(SUBSTITUTE(SUBSTITUTE(SUBSTITUTE(SUBSTITUTE(SUBSTITUTE(SUBSTITUTE(SUBSTITUTE(SUBSTITUTE(SUBSTITUTE(LOWER(T694&amp;""),CHAR(10)," "),CHAR(13)," "),CHAR(9)," "),CHAR(160)," "),"."," "),","," "),"-"," "),"/"," "),"("," "),")"," "),":"," "),";"," "),"_"," "),"–"," "),"?"," "),"!"," "),"*"," "),"["," "),"]"," "),"'"," "),"#"," "),"+"," "),"&amp;"," "),"\"," "))&amp;" "</f>
        <v>  </v>
      </c>
      <c r="CD694" s="0" t="str">
        <f aca="false">" "&amp;TRIM(SUBSTITUTE(SUBSTITUTE(SUBSTITUTE(SUBSTITUTE(SUBSTITUTE(SUBSTITUTE(SUBSTITUTE(SUBSTITUTE(SUBSTITUTE(SUBSTITUTE(SUBSTITUTE(SUBSTITUTE(SUBSTITUTE(SUBSTITUTE(SUBSTITUTE(SUBSTITUTE(SUBSTITUTE(SUBSTITUTE(SUBSTITUTE(SUBSTITUTE(SUBSTITUTE(SUBSTITUTE(SUBSTITUTE(SUBSTITUTE(LOWER(AE694&amp;""),CHAR(10)," "),CHAR(13)," "),CHAR(9)," "),CHAR(160)," "),"."," "),","," "),"-"," "),"/"," "),"("," "),")"," "),":"," "),";"," "),"_"," "),"–"," "),"?"," "),"!"," "),"*"," "),"["," "),"]"," "),"'"," "),"#"," "),"+"," "),"&amp;"," "),"\"," "))&amp;" "</f>
        <v>  </v>
      </c>
      <c r="CE694" s="68" t="n">
        <f aca="false">IFERROR(IF(AND(LEN(AU694)&gt;0,LEN(AU694)=LEN(AX694),OR(TRIM(MID(SUBSTITUTE(TRIM(CC694)," ",REPT(" ",60)),1,60))="",ISNUMBER(SEARCH(" "&amp;TRIM(MID(SUBSTITUTE(TRIM(CC694)," ",REPT(" ",60)),1,60))&amp;" ",CD694))),OR(TRIM(MID(SUBSTITUTE(TRIM(CC694)," ",REPT(" ",60)),61,60))="",ISNUMBER(SEARCH(" "&amp;TRIM(MID(SUBSTITUTE(TRIM(CC694)," ",REPT(" ",60)),61,60))&amp;" ",CD694))),OR(TRIM(MID(SUBSTITUTE(TRIM(CC694)," ",REPT(" ",60)),121,60))="",ISNUMBER(SEARCH(" "&amp;TRIM(MID(SUBSTITUTE(TRIM(CC694)," ",REPT(" ",60)),121,60))&amp;" ",CD694)))),1,0),0)</f>
        <v>0</v>
      </c>
      <c r="CG694" s="68" t="n">
        <f aca="false">IFERROR(LEN(SUBSTITUTE(BF694," ",""))-SUMPRODUCT((LEN(BF694)-LEN(SUBSTITUTE(BF694," "&amp;L_NAFiller&amp;" "," ")))/(LEN(L_NAFiller)+1)*LEN(L_NAFiller)),0)</f>
        <v>0</v>
      </c>
    </row>
    <row r="695" customFormat="false" ht="39.75" hidden="false" customHeight="true" outlineLevel="0" collapsed="false">
      <c r="A695" s="57" t="s">
        <v>1429</v>
      </c>
      <c r="B695" s="57" t="s">
        <v>310</v>
      </c>
      <c r="C695" s="57" t="str">
        <f aca="false">Flights!$F$25</f>
        <v>MH1437</v>
      </c>
      <c r="D695" s="58" t="n">
        <f aca="false">Flights!$D$25</f>
        <v>46325</v>
      </c>
      <c r="E695" s="57" t="str">
        <f aca="false">Flights!$G$25&amp;"-"&amp;Flights!$H$25</f>
        <v>LGK-KUL</v>
      </c>
      <c r="F695" s="57" t="str">
        <f aca="false">Flights!$K$25</f>
        <v>BC</v>
      </c>
      <c r="G695" s="57" t="s">
        <v>459</v>
      </c>
      <c r="H695" s="57" t="s">
        <v>460</v>
      </c>
      <c r="I695" s="57" t="s">
        <v>499</v>
      </c>
      <c r="J695" s="57" t="s">
        <v>537</v>
      </c>
      <c r="K695" s="67" t="s">
        <v>501</v>
      </c>
      <c r="L695" s="67" t="s">
        <v>1409</v>
      </c>
      <c r="M695" s="67" t="s">
        <v>451</v>
      </c>
      <c r="N695" s="67" t="s">
        <v>383</v>
      </c>
      <c r="O695" s="67"/>
      <c r="P695" s="57" t="s">
        <v>306</v>
      </c>
      <c r="Q695" s="59" t="n">
        <f aca="false">ROUND((Flights!$AF$25)*1440,0)/1440</f>
        <v>46325.28125</v>
      </c>
      <c r="R695" s="59" t="n">
        <f aca="false">Q695+(IF(AND(INDEX(TZ_DSTS,MATCH(P695,TZ_STN,0))&lt;&gt;"",Q695&gt;=INDEX(TZ_DSTS,MATCH(P695,TZ_STN,0)),Q695&lt;INDEX(TZ_DSTE,MATCH(P695,TZ_STN,0))),INDEX(TZ_DST,MATCH(P695,TZ_STN,0)),INDEX(TZ_STD,MATCH(P695,TZ_STN,0))))/24</f>
        <v>46325.6145833333</v>
      </c>
      <c r="S695" s="60"/>
      <c r="T695" s="60"/>
      <c r="U695" s="60"/>
      <c r="V695" s="60"/>
      <c r="W695" s="61"/>
      <c r="X695" s="60"/>
      <c r="Y695" s="60"/>
      <c r="Z695" s="60"/>
      <c r="AA695" s="60"/>
      <c r="AB695" s="60"/>
      <c r="AC695" s="60"/>
      <c r="AD695" s="66"/>
      <c r="AE695" s="60"/>
      <c r="AF695" s="61" t="str">
        <f aca="false">IF(AND(ISNUMBER(X695),ISNUMBER(Y695)),Y695-X695,"")</f>
        <v/>
      </c>
      <c r="AG695" s="62" t="str">
        <f aca="false">IF(ISNUMBER(AD695),AD695-(IF(AND(INDEX(TZ_DSTS,MATCH(P695,TZ_STN,0))&lt;&gt;"",(AD695-INDEX(TZ_STD,MATCH(P695,TZ_STN,0))/24)&gt;=INDEX(TZ_DSTS,MATCH(P695,TZ_STN,0)),(AD695-INDEX(TZ_STD,MATCH(P695,TZ_STN,0))/24)&lt;INDEX(TZ_DSTE,MATCH(P695,TZ_STN,0))),INDEX(TZ_DST,MATCH(P695,TZ_STN,0)),INDEX(TZ_STD,MATCH(P695,TZ_STN,0))))/24,"")</f>
        <v/>
      </c>
      <c r="AH695" s="65" t="str">
        <f aca="false">IFERROR(IF(N695="N/A – rule",IF(OR(TRIM(U695)="",TRIM(U695)="N/A",TRIM(U695)="Not started"),"N/A – RULE","INVALID – this check does not apply to this aircraft: clear the status (or correct the fleet on Flights)"),IF(TRIM(U695)="N/A",IF(AT695=0,"INVALID – N/A not permitted for this check",IF(AND(TRIM(AB695)&lt;&gt;"",TRIM(AB695)&lt;&gt;"Closed"),"INVALID – corrective action still open",IF(AND(NOT(OR(LEN(AZ695)&lt;15,ISNUMBER(MATCH(AZ695,L_Placeholder,0)))),BK695=0,CG695&gt;=8,NOT(OR(LEN(AU695)&lt;2,ISNUMBER(MATCH(AU695,L_Placeholder,0)))),BR695&gt;=3,NOT(OR(LEN(AX695)&lt;2,ISNUMBER(MATCH(AX695,L_Placeholder,0)))),BS695&gt;=3,TRIM(AE695)&lt;&gt;TRIM(T695),AX695&lt;&gt;AU695,CE695=0),"N/A – JUSTIFIED","INVALID – N/A needs a real, settled reason (not 'not applicable' / 'as above' / TBC), a named PIC and a different named verifier"))),IF(OR(TRIM(U695)="Pass",TRIM(U695)="Pass after CA"),IF(NOT(ISNUMBER(AD695)),"INVALID – completion time missing",IF(OR(OR(LEN(AU695)&lt;2,ISNUMBER(MATCH(AU695,L_Placeholder,0))),BR695&lt;3),"INVALID – PIC missing or not a named person (a role such as QA / CSM is not a name)",IF(OR(LEN(AV695)&lt;2,ISNUMBER(MATCH(AV695,L_Placeholder,0))),"INVALID – result / assessment missing",IF(OR(OR(LEN(AW695)&lt;3,ISNUMBER(MATCH(AW695,L_Placeholder,0))),SUMPRODUCT(--ISNUMBER(SEARCH(" "&amp;L_EvidencePhrase&amp;" ",BD695)))&gt;0,BI695=1),"INVALID – evidence missing, placeholder or not yet on file",IF(ISNA(MATCH(TRIM(S695),L_EvidenceType,0)),"INVALID – choose the evidence type from the list (column S)",IF(BL695=0,"INVALID – evidence ID must be the record's own ID only (e.g. SF-2210, IMG_2231, 1045521); a link / file name needs type 'Link / file path'",IF(OR(OR(LEN(AX695)&lt;2,ISNUMBER(MATCH(AX695,L_Placeholder,0))),BS695&lt;3),"INVALID – verifier missing or not a named person (a role such as QA / CSM is not a name)",IF(OR(AX695=AU695,CE695=1,AND(LEN(AU695)&gt;=4,ISNUMBER(SEARCH(AU695,AX695))),AND(LEN(AX695)&gt;=4,ISNUMBER(SEARCH(AX695,AU695)))),"INVALID – verifier must be a different, named person (not the PIC or a role)",IF(BH695=1,"INVALID – result not yet available (awaiting / TBC)",IF(BG695=1,"INVALID – result describes a problem: record Fail, then Pass after CA (or reword if it is not a problem)",IF(BV695=1,"INVALID – wording says not on board: an on-board confirmation needs the item loaded",IF(AND(AQ695=1,OR(OR(LEN(AY695)&lt;3,ISNUMBER(MATCH(AY695,L_Placeholder,0))),BJ695=1,BQ695=0)),"INVALID – batch ID missing, placeholder or not an ID (e.g. PASB-261008-BC-017)",IF(AND(AR695=1,OR(NOT(ISNUMBER(X695)),NOT(ISNUMBER(Y695)))),"INVALID – expected/actual qty missing",IF(AND(AR695=1,OR(X695&lt;=0,Y695&lt;0)),"INVALID – expected qty must be above 0 and actual not negative",IF(AH684="N/A – JUSTIFIED","INVALID – preparation row F21-T12-09 is N/A",IF(AND(AR695=1,ISNUMBER(X684),X695&lt;&gt;X684,TRIM(U695)&lt;&gt;"Pass after CA"),"INVALID – expected qty differs from preparation check F21-T12-09: record the load change as a corrective action (Pass after CA)",IF(BB695&lt;&gt;"",BB695,IF(AND(AS695=1,Documents!$J$25&lt;&gt;"ON FILE"),"INVALID – GLD not on file (Documents sheet)",IF(AND(AS695=2,Documents!$O$25&lt;&gt;"ON FILE"),"INVALID – menu checklist not on file (Documents sheet)",IF(AND(AS695=3,NOT(ISNUMBER(Flights!$AX$25))),"INVALID – enter carrying flight KUL departure (Flights AX)",IF(AND(AS695=3,OR(Flights!$AZ$25&gt;Flights!$AA$25,Flights!$AX$25&lt;Flights!$AA$25-3)),"INVALID – carrying flight (Flights AX) cannot arrive before this leg's STD, or is over 3 days early",IF(AG695&gt;AsOfUTC,"INVALID – completion time is in the future",IF(AND(ISNUMBER(BY695),AG695&lt;BY695),IF(H695="Physical uplift","INVALID – before uplift window (cannot confirm loading)","INVALID – before valid window"),IF(AG695&gt;Flights!$AA$25,"INVALID – completed after departure (cannot establish readiness)",IF(AND(H695="Preparation",AG695&gt;=IF(ISNUMBER(Flights!$BA$25),MIN(Flights!$BA$25,Flights!$AA$25),Flights!$AA$25)),"INVALID – completed after loading / departure (cannot establish readiness)",IF(AND(H695="Physical uplift",AG695&gt;Q695),"INVALID – recorded after the loading flight departed",IF(AG695&gt;Q695,"COMPLETE – LATE","COMPLETE"))))))))))))))))))))))))))),IF(TRIM(U695)="Fail","FAIL – DISCREPANCY",IF(AND(TRIM(U695)&lt;&gt;"",TRIM(U695)&lt;&gt;"Not started",TRIM(U695)&lt;&gt;"In progress"),"INVALID – unrecognised status (use the list)",IF(AsOfUTC&gt;Q695,"OVERDUE",IF(N695="Clarification required","OPEN – CLARIFICATION","OPEN"))))))),"INVALID – error value in an input cell")</f>
        <v>OPEN</v>
      </c>
      <c r="AI695" s="61" t="n">
        <f aca="false">IF(OR(AH695="N/A – RULE",AH695="N/A – JUSTIFIED"),0,1)</f>
        <v>1</v>
      </c>
      <c r="AJ695" s="61" t="n">
        <f aca="false">IF(LEFT(AH695,8)="COMPLETE",1,0)</f>
        <v>0</v>
      </c>
      <c r="AK695" s="61" t="n">
        <f aca="false">IF(AND(AI695=1,AJ695=0,AsOfUTC&gt;Q695),1,0)</f>
        <v>0</v>
      </c>
      <c r="AL695" s="61" t="n">
        <f aca="false">IFERROR(IF(AND(AI695=1,OR(TRIM(U695)="Fail",AND(TRIM(AB695)&lt;&gt;"",TRIM(AB695)&lt;&gt;"Closed"),AND(ISNUMBER(AF695),AF695&lt;&gt;0,TRIM(U695)&lt;&gt;"Pass after CA"))),1,0),1)</f>
        <v>0</v>
      </c>
      <c r="AM695" s="61" t="n">
        <f aca="false">IF(LEFT(AH695,7)="INVALID",1,0)</f>
        <v>0</v>
      </c>
      <c r="AN695" s="61" t="n">
        <f aca="false">IF(AND(N695="Clarification required",AI695=1,AJ695=0),1,0)</f>
        <v>0</v>
      </c>
      <c r="AO695" s="61" t="str">
        <f aca="false">IF(AK695=1,SUM(AK$5:AK695),"")</f>
        <v/>
      </c>
      <c r="AP695" s="61" t="str">
        <f aca="false">IF(AL695=1,SUM(AL$5:AL695),"")</f>
        <v/>
      </c>
      <c r="AQ695" s="61" t="n">
        <v>0</v>
      </c>
      <c r="AR695" s="61" t="n">
        <v>0</v>
      </c>
      <c r="AS695" s="61" t="n">
        <v>0</v>
      </c>
      <c r="AT695" s="61" t="n">
        <v>0</v>
      </c>
      <c r="AU695" s="61" t="str">
        <f aca="false">SUBSTITUTE(SUBSTITUTE(SUBSTITUTE(SUBSTITUTE(SUBSTITUTE(SUBSTITUTE(SUBSTITUTE(SUBSTITUTE(SUBSTITUTE(SUBSTITUTE(SUBSTITUTE(SUBSTITUTE(SUBSTITUTE(SUBSTITUTE(SUBSTITUTE(SUBSTITUTE(LOWER(T695&amp;""),CHAR(10),""),CHAR(13),""),CHAR(9),""),CHAR(160),"")," ",""),".",""),"-",""),"/",""),"?",""),"_",""),",",""),"[",""),"]",""),"(",""),")",""),"*","")</f>
        <v/>
      </c>
      <c r="AV695" s="61" t="str">
        <f aca="false">SUBSTITUTE(SUBSTITUTE(SUBSTITUTE(SUBSTITUTE(SUBSTITUTE(SUBSTITUTE(SUBSTITUTE(SUBSTITUTE(SUBSTITUTE(SUBSTITUTE(SUBSTITUTE(SUBSTITUTE(SUBSTITUTE(SUBSTITUTE(SUBSTITUTE(SUBSTITUTE(LOWER(V695&amp;""),CHAR(10),""),CHAR(13),""),CHAR(9),""),CHAR(160),"")," ",""),".",""),"-",""),"/",""),"?",""),"_",""),",",""),"[",""),"]",""),"(",""),")",""),"*","")</f>
        <v/>
      </c>
      <c r="AW695" s="61" t="str">
        <f aca="false">SUBSTITUTE(SUBSTITUTE(SUBSTITUTE(SUBSTITUTE(SUBSTITUTE(SUBSTITUTE(SUBSTITUTE(SUBSTITUTE(SUBSTITUTE(SUBSTITUTE(SUBSTITUTE(SUBSTITUTE(SUBSTITUTE(SUBSTITUTE(SUBSTITUTE(SUBSTITUTE(LOWER(Z695&amp;""),CHAR(10),""),CHAR(13),""),CHAR(9),""),CHAR(160),"")," ",""),".",""),"-",""),"/",""),"?",""),"_",""),",",""),"[",""),"]",""),"(",""),")",""),"*","")</f>
        <v/>
      </c>
      <c r="AX695" s="61" t="str">
        <f aca="false">SUBSTITUTE(SUBSTITUTE(SUBSTITUTE(SUBSTITUTE(SUBSTITUTE(SUBSTITUTE(SUBSTITUTE(SUBSTITUTE(SUBSTITUTE(SUBSTITUTE(SUBSTITUTE(SUBSTITUTE(SUBSTITUTE(SUBSTITUTE(SUBSTITUTE(SUBSTITUTE(LOWER(AE695&amp;""),CHAR(10),""),CHAR(13),""),CHAR(9),""),CHAR(160),"")," ",""),".",""),"-",""),"/",""),"?",""),"_",""),",",""),"[",""),"]",""),"(",""),")",""),"*","")</f>
        <v/>
      </c>
      <c r="AY695" s="61" t="str">
        <f aca="false">SUBSTITUTE(SUBSTITUTE(SUBSTITUTE(SUBSTITUTE(SUBSTITUTE(SUBSTITUTE(SUBSTITUTE(SUBSTITUTE(SUBSTITUTE(SUBSTITUTE(SUBSTITUTE(SUBSTITUTE(SUBSTITUTE(SUBSTITUTE(SUBSTITUTE(SUBSTITUTE(LOWER(W695&amp;""),CHAR(10),""),CHAR(13),""),CHAR(9),""),CHAR(160),"")," ",""),".",""),"-",""),"/",""),"?",""),"_",""),",",""),"[",""),"]",""),"(",""),")",""),"*","")</f>
        <v/>
      </c>
      <c r="AZ695" s="61" t="str">
        <f aca="false">SUBSTITUTE(SUBSTITUTE(SUBSTITUTE(SUBSTITUTE(SUBSTITUTE(SUBSTITUTE(SUBSTITUTE(SUBSTITUTE(SUBSTITUTE(SUBSTITUTE(SUBSTITUTE(SUBSTITUTE(SUBSTITUTE(SUBSTITUTE(SUBSTITUTE(SUBSTITUTE(LOWER(AC695&amp;""),CHAR(10),""),CHAR(13),""),CHAR(9),""),CHAR(160),"")," ",""),".",""),"-",""),"/",""),"?",""),"_",""),",",""),"[",""),"]",""),"(",""),")",""),"*","")</f>
        <v/>
      </c>
      <c r="BA695" s="61" t="str">
        <f aca="false">SUBSTITUTE(SUBSTITUTE(SUBSTITUTE(SUBSTITUTE(SUBSTITUTE(SUBSTITUTE(SUBSTITUTE(SUBSTITUTE(SUBSTITUTE(SUBSTITUTE(SUBSTITUTE(SUBSTITUTE(SUBSTITUTE(SUBSTITUTE(SUBSTITUTE(SUBSTITUTE(LOWER(AA695&amp;""),CHAR(10),""),CHAR(13),""),CHAR(9),""),CHAR(160),"")," ",""),".",""),"-",""),"/",""),"?",""),"_",""),",",""),"[",""),"]",""),"(",""),")",""),"*","")</f>
        <v/>
      </c>
      <c r="BB695" s="61" t="str">
        <f aca="false">IF(AND(TRIM(U695)="Pass",ISNUMBER(AF695)),IF(AF695&lt;&gt;0,"INVALID – qty variance: use Fail or Pass after CA",""),"")&amp;IF(AND(TRIM(U695)="Pass after CA",ISNUMBER(AF695)),IF(AF695&lt;&gt;0,"INVALID – after the corrective action the actual qty must equal expected (update Actual)",""),"")&amp;IF(AND(TRIM(U695)="Pass",TRIM(AB695)&lt;&gt;"",TRIM(AB695)&lt;&gt;"Closed"),"INVALID – corrective action not closed: use Fail, then Pass after CA","")&amp;IF(AND(LEN(BA695)&gt;=2,ISNA(MATCH(LEFT(BA695,255),L_Placeholder,0)),TRIM(AB695)=""),"INVALID – CA status missing for the recorded corrective action","")&amp;IF(AND(TRIM(U695)="Pass after CA",OR(OR(LEN(BA695)&lt;5,ISNUMBER(MATCH(BA695,L_Placeholder,0))),TRIM(AB695)&lt;&gt;"Closed")),"INVALID – corrective action not recorded/closed","")</f>
        <v/>
      </c>
      <c r="BC695" s="61" t="str">
        <f aca="false">" "&amp;TRIM(SUBSTITUTE(SUBSTITUTE(SUBSTITUTE(SUBSTITUTE(SUBSTITUTE(SUBSTITUTE(SUBSTITUTE(SUBSTITUTE(SUBSTITUTE(SUBSTITUTE(SUBSTITUTE(SUBSTITUTE(SUBSTITUTE(SUBSTITUTE(SUBSTITUTE(SUBSTITUTE(SUBSTITUTE(SUBSTITUTE(SUBSTITUTE(SUBSTITUTE(SUBSTITUTE(SUBSTITUTE(SUBSTITUTE(SUBSTITUTE(LOWER(V695&amp;""),CHAR(10)," "),CHAR(13)," "),CHAR(9)," "),CHAR(160)," "),"."," "),","," "),"-"," "),"/"," "),"("," "),")"," "),":"," "),";"," "),"_"," "),"–"," "),"?"," "),"!"," "),"*"," "),"["," "),"]"," "),"'"," "),"#"," "),"+"," "),"&amp;"," "),"\"," "))&amp;" "</f>
        <v>  </v>
      </c>
      <c r="BD695" s="61" t="str">
        <f aca="false">" "&amp;TRIM(SUBSTITUTE(SUBSTITUTE(SUBSTITUTE(SUBSTITUTE(SUBSTITUTE(SUBSTITUTE(SUBSTITUTE(SUBSTITUTE(SUBSTITUTE(SUBSTITUTE(SUBSTITUTE(SUBSTITUTE(SUBSTITUTE(SUBSTITUTE(SUBSTITUTE(SUBSTITUTE(SUBSTITUTE(SUBSTITUTE(SUBSTITUTE(SUBSTITUTE(SUBSTITUTE(SUBSTITUTE(SUBSTITUTE(SUBSTITUTE(LOWER(Z695&amp;""),CHAR(10)," "),CHAR(13)," "),CHAR(9)," "),CHAR(160)," "),"."," "),","," "),"-"," "),"/"," "),"("," "),")"," "),":"," "),";"," "),"_"," "),"–"," "),"?"," "),"!"," "),"*"," "),"["," "),"]"," "),"'"," "),"#"," "),"+"," "),"&amp;"," "),"\"," "))&amp;" "</f>
        <v>  </v>
      </c>
      <c r="BE695" s="61" t="str">
        <f aca="false">" "&amp;TRIM(SUBSTITUTE(SUBSTITUTE(SUBSTITUTE(SUBSTITUTE(SUBSTITUTE(SUBSTITUTE(SUBSTITUTE(SUBSTITUTE(SUBSTITUTE(SUBSTITUTE(SUBSTITUTE(SUBSTITUTE(SUBSTITUTE(SUBSTITUTE(SUBSTITUTE(SUBSTITUTE(SUBSTITUTE(SUBSTITUTE(SUBSTITUTE(SUBSTITUTE(SUBSTITUTE(SUBSTITUTE(SUBSTITUTE(SUBSTITUTE(LOWER(W695&amp;""),CHAR(10)," "),CHAR(13)," "),CHAR(9)," "),CHAR(160)," "),"."," "),","," "),"-"," "),"/"," "),"("," "),")"," "),":"," "),";"," "),"_"," "),"–"," "),"?"," "),"!"," "),"*"," "),"["," "),"]"," "),"'"," "),"#"," "),"+"," "),"&amp;"," "),"\"," "))&amp;" "</f>
        <v>  </v>
      </c>
      <c r="BF695" s="61" t="str">
        <f aca="false">" "&amp;TRIM(SUBSTITUTE(SUBSTITUTE(SUBSTITUTE(SUBSTITUTE(SUBSTITUTE(SUBSTITUTE(SUBSTITUTE(SUBSTITUTE(SUBSTITUTE(SUBSTITUTE(SUBSTITUTE(SUBSTITUTE(SUBSTITUTE(SUBSTITUTE(SUBSTITUTE(SUBSTITUTE(SUBSTITUTE(SUBSTITUTE(SUBSTITUTE(SUBSTITUTE(SUBSTITUTE(SUBSTITUTE(SUBSTITUTE(SUBSTITUTE(LOWER(AC695&amp;""),CHAR(10)," "),CHAR(13)," "),CHAR(9)," "),CHAR(160)," "),"."," "),","," "),"-"," "),"/"," "),"("," "),")"," "),":"," "),";"," "),"_"," "),"–"," "),"?"," "),"!"," "),"*"," "),"["," "),"]"," "),"'"," "),"#"," "),"+"," "),"&amp;"," "),"\"," "))&amp;" "</f>
        <v>  </v>
      </c>
      <c r="BG695" s="61" t="n">
        <f aca="false">IFERROR(IF(AND(TRIM(U695)="Pass",SUMPRODUCT((LEN(BC695)-LEN(SUBSTITUTE(BC695," "&amp;L_ResultBad&amp;" "," ")))/(LEN(L_ResultBad)+1))&gt;SUMPRODUCT((LEN(BC695)-LEN(SUBSTITUTE(BC695," "&amp;L_NegPhrase&amp;" "," ")))/(LEN(L_NegPhrase)+1))),1,0),0)</f>
        <v>0</v>
      </c>
      <c r="BH695" s="61" t="n">
        <f aca="false">IFERROR(IF(SUMPRODUCT((LEN(BC695)-LEN(SUBSTITUTE(BC695," "&amp;L_Pending&amp;" "," ")))/(LEN(L_Pending)+1))&gt;SUMPRODUCT((LEN(BC695)-LEN(SUBSTITUTE(BC695," "&amp;L_PendNeg&amp;" "," ")))/(LEN(L_PendNeg)+1)),1,0),1)</f>
        <v>0</v>
      </c>
      <c r="BI695" s="61" t="n">
        <f aca="false">IFERROR(IF(SUMPRODUCT((LEN(BD695)-LEN(SUBSTITUTE(BD695," "&amp;L_PendStrict&amp;" "," ")))/(LEN(L_PendStrict)+1))&gt;SUMPRODUCT((LEN(BD695)-LEN(SUBSTITUTE(BD695," "&amp;L_PendNeg&amp;" "," ")))/(LEN(L_PendNeg)+1)),1,0),1)</f>
        <v>0</v>
      </c>
      <c r="BJ695" s="61" t="n">
        <f aca="false">IFERROR(IF(SUMPRODUCT((LEN(BE695)-LEN(SUBSTITUTE(BE695," "&amp;L_Pending&amp;" "," ")))/(LEN(L_Pending)+1))&gt;SUMPRODUCT((LEN(BE695)-LEN(SUBSTITUTE(BE695," "&amp;L_PendNeg&amp;" "," ")))/(LEN(L_PendNeg)+1)),1,0),1)</f>
        <v>0</v>
      </c>
      <c r="BK695" s="61" t="n">
        <f aca="false">IFERROR(IF(SUMPRODUCT((LEN(BF695)-LEN(SUBSTITUTE(BF695," "&amp;L_PendStrict&amp;" "," ")))/(LEN(L_PendStrict)+1))&gt;SUMPRODUCT((LEN(BF695)-LEN(SUBSTITUTE(BF695," "&amp;L_PendNeg&amp;" "," ")))/(LEN(L_PendNeg)+1)),1,0),1)</f>
        <v>0</v>
      </c>
      <c r="BL695" s="61" t="n">
        <f aca="false">IF(ISNA(MATCH(TRIM(S695),L_EvidenceType,0)),0,BZ695)</f>
        <v>0</v>
      </c>
      <c r="BM695" s="61" t="str">
        <f aca="false">SUBSTITUTE(SUBSTITUTE(SUBSTITUTE(SUBSTITUTE(SUBSTITUTE(SUBSTITUTE(SUBSTITUTE(SUBSTITUTE(SUBSTITUTE(LOWER(Z695&amp;""),"1","0"),"2","0"),"3","0"),"4","0"),"5","0"),"6","0"),"7","0"),"8","0"),"9","0")</f>
        <v/>
      </c>
      <c r="BN695" s="61" t="str">
        <f aca="false">SUBSTITUTE(SUBSTITUTE(SUBSTITUTE(SUBSTITUTE(SUBSTITUTE(SUBSTITUTE(SUBSTITUTE(SUBSTITUTE(SUBSTITUTE(SUBSTITUTE(SUBSTITUTE(SUBSTITUTE(SUBSTITUTE(SUBSTITUTE(SUBSTITUTE(SUBSTITUTE(SUBSTITUTE(SUBSTITUTE(SUBSTITUTE(SUBSTITUTE(SUBSTITUTE(SUBSTITUTE(SUBSTITUTE(SUBSTITUTE(SUBSTITUTE(BM695,"b","a"),"c","a"),"d","a"),"e","a"),"f","a"),"g","a"),"h","a"),"i","a"),"j","a"),"k","a"),"l","a"),"m","a"),"n","a"),"o","a"),"p","a"),"q","a"),"r","a"),"s","a"),"t","a"),"u","a"),"v","a"),"w","a"),"x","a"),"y","a"),"z","a")</f>
        <v/>
      </c>
      <c r="BO695" s="61" t="str">
        <f aca="false">SUBSTITUTE(SUBSTITUTE(SUBSTITUTE(SUBSTITUTE(SUBSTITUTE(SUBSTITUTE(SUBSTITUTE(SUBSTITUTE(SUBSTITUTE(LOWER(W695&amp;""),"1","0"),"2","0"),"3","0"),"4","0"),"5","0"),"6","0"),"7","0"),"8","0"),"9","0")</f>
        <v/>
      </c>
      <c r="BP695" s="61" t="str">
        <f aca="false">SUBSTITUTE(SUBSTITUTE(SUBSTITUTE(SUBSTITUTE(SUBSTITUTE(SUBSTITUTE(SUBSTITUTE(SUBSTITUTE(SUBSTITUTE(SUBSTITUTE(SUBSTITUTE(SUBSTITUTE(SUBSTITUTE(SUBSTITUTE(SUBSTITUTE(SUBSTITUTE(SUBSTITUTE(SUBSTITUTE(SUBSTITUTE(SUBSTITUTE(SUBSTITUTE(SUBSTITUTE(SUBSTITUTE(SUBSTITUTE(SUBSTITUTE(BO695,"b","a"),"c","a"),"d","a"),"e","a"),"f","a"),"g","a"),"h","a"),"i","a"),"j","a"),"k","a"),"l","a"),"m","a"),"n","a"),"o","a"),"p","a"),"q","a"),"r","a"),"s","a"),"t","a"),"u","a"),"v","a"),"w","a"),"x","a"),"y","a"),"z","a")</f>
        <v/>
      </c>
      <c r="BQ695" s="61" t="n">
        <f aca="false">IFERROR(IF(AND(ISERROR(SEARCH(" mh"," "&amp;LOWER(W695))),ISNA(MATCH(LEFT(TRIM(BP695),255),{"0000a","000a","00a","0000aa","000aa","00aa","0aa","0000aaa","000aaa","00a00","0a00","0000-0000","00:00","a00","a0","00.00.0000","00/00/0000","00-00-0000","0000-00-00","0000/00/00","0000.00.00","00.00.00","00/00/00","00-00-00","0.00.0000","0/00/0000","0-00-0000"},0)),ISNA(MATCH(LEFT(TRIM(CA695),255),{"0000a","000a","00a","0000aa","000aa","00aa","0aa","0000aaa","000aaa","00a00","0a00","0000-0000","00:00","a00","a0","00.00.0000","00/00/0000","00-00-0000","0000-00-00","0000/00/00","0000.00.00","00.00.00","00/00/00","00-00-00","0.00.0000","0/00/0000","0-00-0000"},0)),LEN(CB695)&gt;=3,NOT(OR(SUBSTITUTE(CB695,"0","")="",AND(LEN(CB695)&gt;=4,CB695=REPT(LEFT(CB695),LEN(CB695))),ISNUMBER(MATCH(CB695,{"123","1234","12345","123456","1234567","12345678","0123","01234","012345","98765","987654","54321"},0)),AND(LEN(CB695)=8,LEFT(CB695,3)="202"))),OR(AND((LEN(CA695)-LEN(SUBSTITUTE(CA695,"a","")))&gt;=1,SUMPRODUCT(--ISNUMBER(SEARCH({"a0","a-0","a_0","a/0","a.0","a#0","0a","0-a","0_a","0/a"},BP695)))&gt;0),ISNUMBER(SEARCH("000000",BP695)))),1,0),0)</f>
        <v>0</v>
      </c>
      <c r="BR695" s="61" t="n">
        <f aca="false">IFERROR(LEN(SUBSTITUTE(CC695," ",""))-SUMPRODUCT((LEN(CC695)-LEN(SUBSTITUTE(CC695," "&amp;L_Role&amp;" "," ")))/(LEN(L_Role)+1)*LEN(L_Role)),0)</f>
        <v>0</v>
      </c>
      <c r="BS695" s="61" t="n">
        <f aca="false">IFERROR(LEN(SUBSTITUTE(CD695," ",""))-SUMPRODUCT((LEN(CD695)-LEN(SUBSTITUTE(CD695," "&amp;L_Role&amp;" "," ")))/(LEN(L_Role)+1)*LEN(L_Role)),0)</f>
        <v>0</v>
      </c>
      <c r="BT6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695,"revision",""),"version",""),"jan",""),"feb",""),"mar",""),"apr",""),"may",""),"jun",""),"jul",""),"aug",""),"sep",""),"oct",""),"nov",""),"dec",""),"utc",""),"gmt",""),"myt",""),"bst",""),"rev",""),"ver",""),"b","a"),"c","a"),"d","a"),"e","a"),"f","a"),"g","a"),"h","a"),"i","a"),"j","a"),"k","a"),"l","a"),"m","a"),"n","a"),"o","a"),"p","a"),"q","a"),"r","a"),"s","a"),"t","a"),"u","a"),"v","a"),"w","a"),"x","a"),"y","a"),"z","a")</f>
        <v/>
      </c>
      <c r="BU695" s="61" t="str">
        <f aca="false">SUBSTITUTE(SUBSTITUTE(SUBSTITUTE(SUBSTITUTE(SUBSTITUTE(SUBSTITUTE(SUBSTITUTE(SUBSTITUTE(SUBSTITUTE(SUBSTITUTE(LEFT(BM695,FIND("0",BM695&amp;"0")-1),"-",""),"_",""),"/",""),".",""),"#",""),"\\",""),":","")," ",""),"(",""),")","")</f>
        <v/>
      </c>
      <c r="BV695" s="61" t="n">
        <f aca="false">IFERROR(IF(OR(SUMPRODUCT((LEN(BC695)-LEN(SUBSTITUTE(BC695," "&amp;L_NotLoaded&amp;" "," ")))/(LEN(L_NotLoaded)+1))&gt;SUMPRODUCT((LEN(BC695)-LEN(SUBSTITUTE(BC695," "&amp;L_NotLoadedNeg&amp;" "," ")))/(LEN(L_NotLoadedNeg)+1)),SUMPRODUCT((LEN(BD695)-LEN(SUBSTITUTE(BD695," "&amp;L_NotLoaded&amp;" "," ")))/(LEN(L_NotLoaded)+1))&gt;SUMPRODUCT((LEN(BD695)-LEN(SUBSTITUTE(BD695," "&amp;L_NotLoadedNeg&amp;" "," ")))/(LEN(L_NotLoadedNeg)+1))),1,0),0)</f>
        <v>0</v>
      </c>
      <c r="BW69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695&amp;""),"a",""),"b",""),"c",""),"d",""),"e",""),"f",""),"g",""),"h",""),"i",""),"j",""),"k",""),"l",""),"m",""),"n",""),"o",""),"p",""),"q",""),"r",""),"s",""),"t",""),"u",""),"v",""),"w",""),"x",""),"y",""),"z",""),"-",""),"_",""),"/",""),".",""),"#",""),"\\",""),":","")," ",""),"(",""),")","")</f>
        <v/>
      </c>
      <c r="BX695" s="61" t="str">
        <f aca="false">SUBSTITUTE(SUBSTITUTE(SUBSTITUTE(SUBSTITUTE(SUBSTITUTE(SUBSTITUTE(SUBSTITUTE(SUBSTITUTE(SUBSTITUTE(SUBSTITUTE(SUBSTITUTE(BM695,"0",""),"-",""),"_",""),"/",""),".",""),"#",""),"\\",""),":","")," ",""),"(",""),")","")</f>
        <v/>
      </c>
      <c r="BY695" s="62" t="n">
        <f aca="false">IF(ISNUMBER(Flights!$AZ$25),MAX(Q695-UpliftWindowH/24,Flights!$AZ$25),Q695-UpliftWindowH/24)</f>
        <v>46325.03125</v>
      </c>
      <c r="BZ695" s="61" t="n">
        <f aca="false">IFERROR(IF(IF(TRIM(S695)="Link / file path",AND(LEN(TRIM(Z695))&gt;=5,SUMPRODUCT(--ISNUMBER(SEARCH({"http","www.","\\",":\",".pdf",".jpg",".jpeg",".png",".heic",".xls",".doc",".msg",".eml",".ppt",".txt",".zip"},Z695)))&gt;0),AND(ISERROR(FIND(" ",TRIM(Z695))),NOT(OR(SUMPRODUCT(--ISNUMBER(FIND({",",";","&amp;","+"},Z695)))&gt;0,SUMPRODUCT(--ISNUMBER(SEARCH({"0/aa","0\\aa"},BN695)))&gt;0)),NOT(SUMPRODUCT(--ISNUMBER(SEARCH({"http","www.","\\",":\",".pdf",".jpg",".jpeg",".png",".heic",".xls",".doc",".msg",".eml",".ppt",".txt",".zip"},Z695)))&gt;0),NOT(LOWER(TRIM(Z695))=LOWER(Flights!$F$25)),ISNA(MATCH(BU695,{"mh","rev","revision","ver","version","v","r","a","b","seat","tray","row","gate","bay","stand","page","pg","item","line","no","cart","galley","flight","flt","table","box","bag","oven","etd","eta","std","sta","atd","ata","qty","pax","x","time","tel","ph","mob","day","wk","week","utc","gmt","myt","lt"},0)),NOT(OR(ISNUMBER(MATCH(LEFT(BN695,255),{"0000a","000a","00a","0000aa","000aa","00aa","0aa","0000aaa","000aaa","00a00","0a00","0000-0000","00:00","a00","a0","00.00.0000","00/00/0000","00-00-0000","0000-00-00","0000/00/00","0000.00.00","00.00.00","00/00/00","00-00-00","0.00.0000","0/00/0000","0-00-0000"},0)),ISNUMBER(MATCH(LEFT(BT695,255),{"0000a","000a","00a","0000aa","000aa","00aa","0aa","0000aaa","000aaa","00a00","0a00","0000-0000","00:00","a00","a0","00.00.0000","00/00/0000","00-00-0000","0000-00-00","0000/00/00","0000.00.00","00.00.00","00/00/00","00-00-00","0.00.0000","0/00/0000","0-00-0000"},0)))),NOT(OR(AND(BW695&lt;&gt;"",SUBSTITUTE(BW695,"0","")=""),AND(LEN(BW695)&gt;=4,BW695=REPT(LEFT(BW695),LEN(BW695))),ISNUMBER(MATCH(BW695,{"123","1234","12345","123456","1234567","12345678","0123","01234","012345","98765","987654","54321"},0)),ISNUMBER(MATCH(BX695,{"x","xx","xxx","xxxx","xxxxx","abc","abcd","nil","na","nan","test","tbc","tba","tbd","dummy","sample","example","eg","zz","zzz","none","null","xyz","qwe","asd","id","ref"},0)),AND(LEN(BW695)=8,BX695="",OR(LEFT(BW695,3)="202",ISNUMBER(MATCH(RIGHT(BW695,4),{"2025","2026","2027"},0)))))),OR(AND((LEN(BT695)-LEN(SUBSTITUTE(BT695,"a","")))&gt;=1,(LEN(BN695)-LEN(SUBSTITUTE(BN695,"0","")))&gt;=2,SUMPRODUCT(--ISNUMBER(SEARCH({"a0","a-0","a_0","a/0","a.0","a#0","0a","0-a","0_a","0/a"},BN695)))&gt;0),AND((LEN(BN695)-LEN(SUBSTITUTE(BN695,"a","")))=0,(LEN(BN695)-LEN(SUBSTITUTE(BN695,"0","")))&gt;=5)))),1,0),0)</f>
        <v>0</v>
      </c>
      <c r="CA6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695,"revision",""),"version",""),"jan",""),"feb",""),"mar",""),"apr",""),"may",""),"jun",""),"jul",""),"aug",""),"sep",""),"oct",""),"nov",""),"dec",""),"utc",""),"gmt",""),"myt",""),"bst",""),"rev",""),"ver",""),"b","a"),"c","a"),"d","a"),"e","a"),"f","a"),"g","a"),"h","a"),"i","a"),"j","a"),"k","a"),"l","a"),"m","a"),"n","a"),"o","a"),"p","a"),"q","a"),"r","a"),"s","a"),"t","a"),"u","a"),"v","a"),"w","a"),"x","a"),"y","a"),"z","a")</f>
        <v/>
      </c>
      <c r="CB69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695&amp;""),"a",""),"b",""),"c",""),"d",""),"e",""),"f",""),"g",""),"h",""),"i",""),"j",""),"k",""),"l",""),"m",""),"n",""),"o",""),"p",""),"q",""),"r",""),"s",""),"t",""),"u",""),"v",""),"w",""),"x",""),"y",""),"z",""),"-",""),"_",""),"/",""),".",""),"#",""),"\\",""),":","")," ",""),"(",""),")","")</f>
        <v/>
      </c>
      <c r="CC695" s="0" t="str">
        <f aca="false">" "&amp;TRIM(SUBSTITUTE(SUBSTITUTE(SUBSTITUTE(SUBSTITUTE(SUBSTITUTE(SUBSTITUTE(SUBSTITUTE(SUBSTITUTE(SUBSTITUTE(SUBSTITUTE(SUBSTITUTE(SUBSTITUTE(SUBSTITUTE(SUBSTITUTE(SUBSTITUTE(SUBSTITUTE(SUBSTITUTE(SUBSTITUTE(SUBSTITUTE(SUBSTITUTE(SUBSTITUTE(SUBSTITUTE(SUBSTITUTE(SUBSTITUTE(LOWER(T695&amp;""),CHAR(10)," "),CHAR(13)," "),CHAR(9)," "),CHAR(160)," "),"."," "),","," "),"-"," "),"/"," "),"("," "),")"," "),":"," "),";"," "),"_"," "),"–"," "),"?"," "),"!"," "),"*"," "),"["," "),"]"," "),"'"," "),"#"," "),"+"," "),"&amp;"," "),"\"," "))&amp;" "</f>
        <v>  </v>
      </c>
      <c r="CD695" s="0" t="str">
        <f aca="false">" "&amp;TRIM(SUBSTITUTE(SUBSTITUTE(SUBSTITUTE(SUBSTITUTE(SUBSTITUTE(SUBSTITUTE(SUBSTITUTE(SUBSTITUTE(SUBSTITUTE(SUBSTITUTE(SUBSTITUTE(SUBSTITUTE(SUBSTITUTE(SUBSTITUTE(SUBSTITUTE(SUBSTITUTE(SUBSTITUTE(SUBSTITUTE(SUBSTITUTE(SUBSTITUTE(SUBSTITUTE(SUBSTITUTE(SUBSTITUTE(SUBSTITUTE(LOWER(AE695&amp;""),CHAR(10)," "),CHAR(13)," "),CHAR(9)," "),CHAR(160)," "),"."," "),","," "),"-"," "),"/"," "),"("," "),")"," "),":"," "),";"," "),"_"," "),"–"," "),"?"," "),"!"," "),"*"," "),"["," "),"]"," "),"'"," "),"#"," "),"+"," "),"&amp;"," "),"\"," "))&amp;" "</f>
        <v>  </v>
      </c>
      <c r="CE695" s="68" t="n">
        <f aca="false">IFERROR(IF(AND(LEN(AU695)&gt;0,LEN(AU695)=LEN(AX695),OR(TRIM(MID(SUBSTITUTE(TRIM(CC695)," ",REPT(" ",60)),1,60))="",ISNUMBER(SEARCH(" "&amp;TRIM(MID(SUBSTITUTE(TRIM(CC695)," ",REPT(" ",60)),1,60))&amp;" ",CD695))),OR(TRIM(MID(SUBSTITUTE(TRIM(CC695)," ",REPT(" ",60)),61,60))="",ISNUMBER(SEARCH(" "&amp;TRIM(MID(SUBSTITUTE(TRIM(CC695)," ",REPT(" ",60)),61,60))&amp;" ",CD695))),OR(TRIM(MID(SUBSTITUTE(TRIM(CC695)," ",REPT(" ",60)),121,60))="",ISNUMBER(SEARCH(" "&amp;TRIM(MID(SUBSTITUTE(TRIM(CC695)," ",REPT(" ",60)),121,60))&amp;" ",CD695)))),1,0),0)</f>
        <v>0</v>
      </c>
      <c r="CG695" s="68" t="n">
        <f aca="false">IFERROR(LEN(SUBSTITUTE(BF695," ",""))-SUMPRODUCT((LEN(BF695)-LEN(SUBSTITUTE(BF695," "&amp;L_NAFiller&amp;" "," ")))/(LEN(L_NAFiller)+1)*LEN(L_NAFiller)),0)</f>
        <v>0</v>
      </c>
    </row>
    <row r="696" customFormat="false" ht="39.75" hidden="false" customHeight="true" outlineLevel="0" collapsed="false">
      <c r="A696" s="57" t="s">
        <v>1430</v>
      </c>
      <c r="B696" s="57" t="s">
        <v>310</v>
      </c>
      <c r="C696" s="57" t="str">
        <f aca="false">Flights!$F$25</f>
        <v>MH1437</v>
      </c>
      <c r="D696" s="58" t="n">
        <f aca="false">Flights!$D$25</f>
        <v>46325</v>
      </c>
      <c r="E696" s="57" t="str">
        <f aca="false">Flights!$G$25&amp;"-"&amp;Flights!$H$25</f>
        <v>LGK-KUL</v>
      </c>
      <c r="F696" s="57" t="str">
        <f aca="false">Flights!$K$25</f>
        <v>BC</v>
      </c>
      <c r="G696" s="57" t="s">
        <v>459</v>
      </c>
      <c r="H696" s="57" t="s">
        <v>460</v>
      </c>
      <c r="I696" s="57" t="s">
        <v>499</v>
      </c>
      <c r="J696" s="57" t="s">
        <v>539</v>
      </c>
      <c r="K696" s="67" t="s">
        <v>501</v>
      </c>
      <c r="L696" s="67" t="s">
        <v>1411</v>
      </c>
      <c r="M696" s="67" t="s">
        <v>451</v>
      </c>
      <c r="N696" s="67" t="s">
        <v>383</v>
      </c>
      <c r="O696" s="67"/>
      <c r="P696" s="57" t="s">
        <v>306</v>
      </c>
      <c r="Q696" s="59" t="n">
        <f aca="false">ROUND((Flights!$AF$25)*1440,0)/1440</f>
        <v>46325.28125</v>
      </c>
      <c r="R696" s="59" t="n">
        <f aca="false">Q696+(IF(AND(INDEX(TZ_DSTS,MATCH(P696,TZ_STN,0))&lt;&gt;"",Q696&gt;=INDEX(TZ_DSTS,MATCH(P696,TZ_STN,0)),Q696&lt;INDEX(TZ_DSTE,MATCH(P696,TZ_STN,0))),INDEX(TZ_DST,MATCH(P696,TZ_STN,0)),INDEX(TZ_STD,MATCH(P696,TZ_STN,0))))/24</f>
        <v>46325.6145833333</v>
      </c>
      <c r="S696" s="60"/>
      <c r="T696" s="60"/>
      <c r="U696" s="60"/>
      <c r="V696" s="60"/>
      <c r="W696" s="61"/>
      <c r="X696" s="60"/>
      <c r="Y696" s="60"/>
      <c r="Z696" s="60"/>
      <c r="AA696" s="60"/>
      <c r="AB696" s="60"/>
      <c r="AC696" s="60"/>
      <c r="AD696" s="66"/>
      <c r="AE696" s="60"/>
      <c r="AF696" s="61" t="str">
        <f aca="false">IF(AND(ISNUMBER(X696),ISNUMBER(Y696)),Y696-X696,"")</f>
        <v/>
      </c>
      <c r="AG696" s="62" t="str">
        <f aca="false">IF(ISNUMBER(AD696),AD696-(IF(AND(INDEX(TZ_DSTS,MATCH(P696,TZ_STN,0))&lt;&gt;"",(AD696-INDEX(TZ_STD,MATCH(P696,TZ_STN,0))/24)&gt;=INDEX(TZ_DSTS,MATCH(P696,TZ_STN,0)),(AD696-INDEX(TZ_STD,MATCH(P696,TZ_STN,0))/24)&lt;INDEX(TZ_DSTE,MATCH(P696,TZ_STN,0))),INDEX(TZ_DST,MATCH(P696,TZ_STN,0)),INDEX(TZ_STD,MATCH(P696,TZ_STN,0))))/24,"")</f>
        <v/>
      </c>
      <c r="AH696" s="65" t="str">
        <f aca="false">IFERROR(IF(N696="N/A – rule",IF(OR(TRIM(U696)="",TRIM(U696)="N/A",TRIM(U696)="Not started"),"N/A – RULE","INVALID – this check does not apply to this aircraft: clear the status (or correct the fleet on Flights)"),IF(TRIM(U696)="N/A",IF(AT696=0,"INVALID – N/A not permitted for this check",IF(AND(TRIM(AB696)&lt;&gt;"",TRIM(AB696)&lt;&gt;"Closed"),"INVALID – corrective action still open",IF(AND(NOT(OR(LEN(AZ696)&lt;15,ISNUMBER(MATCH(AZ696,L_Placeholder,0)))),BK696=0,CG696&gt;=8,NOT(OR(LEN(AU696)&lt;2,ISNUMBER(MATCH(AU696,L_Placeholder,0)))),BR696&gt;=3,NOT(OR(LEN(AX696)&lt;2,ISNUMBER(MATCH(AX696,L_Placeholder,0)))),BS696&gt;=3,TRIM(AE696)&lt;&gt;TRIM(T696),AX696&lt;&gt;AU696,CE696=0),"N/A – JUSTIFIED","INVALID – N/A needs a real, settled reason (not 'not applicable' / 'as above' / TBC), a named PIC and a different named verifier"))),IF(OR(TRIM(U696)="Pass",TRIM(U696)="Pass after CA"),IF(NOT(ISNUMBER(AD696)),"INVALID – completion time missing",IF(OR(OR(LEN(AU696)&lt;2,ISNUMBER(MATCH(AU696,L_Placeholder,0))),BR696&lt;3),"INVALID – PIC missing or not a named person (a role such as QA / CSM is not a name)",IF(OR(LEN(AV696)&lt;2,ISNUMBER(MATCH(AV696,L_Placeholder,0))),"INVALID – result / assessment missing",IF(OR(OR(LEN(AW696)&lt;3,ISNUMBER(MATCH(AW696,L_Placeholder,0))),SUMPRODUCT(--ISNUMBER(SEARCH(" "&amp;L_EvidencePhrase&amp;" ",BD696)))&gt;0,BI696=1),"INVALID – evidence missing, placeholder or not yet on file",IF(ISNA(MATCH(TRIM(S696),L_EvidenceType,0)),"INVALID – choose the evidence type from the list (column S)",IF(BL696=0,"INVALID – evidence ID must be the record's own ID only (e.g. SF-2210, IMG_2231, 1045521); a link / file name needs type 'Link / file path'",IF(OR(OR(LEN(AX696)&lt;2,ISNUMBER(MATCH(AX696,L_Placeholder,0))),BS696&lt;3),"INVALID – verifier missing or not a named person (a role such as QA / CSM is not a name)",IF(OR(AX696=AU696,CE696=1,AND(LEN(AU696)&gt;=4,ISNUMBER(SEARCH(AU696,AX696))),AND(LEN(AX696)&gt;=4,ISNUMBER(SEARCH(AX696,AU696)))),"INVALID – verifier must be a different, named person (not the PIC or a role)",IF(BH696=1,"INVALID – result not yet available (awaiting / TBC)",IF(BG696=1,"INVALID – result describes a problem: record Fail, then Pass after CA (or reword if it is not a problem)",IF(BV696=1,"INVALID – wording says not on board: an on-board confirmation needs the item loaded",IF(AND(AQ696=1,OR(OR(LEN(AY696)&lt;3,ISNUMBER(MATCH(AY696,L_Placeholder,0))),BJ696=1,BQ696=0)),"INVALID – batch ID missing, placeholder or not an ID (e.g. PASB-261008-BC-017)",IF(AND(AR696=1,OR(NOT(ISNUMBER(X696)),NOT(ISNUMBER(Y696)))),"INVALID – expected/actual qty missing",IF(AND(AR696=1,OR(X696&lt;=0,Y696&lt;0)),"INVALID – expected qty must be above 0 and actual not negative",IF(AH685="N/A – JUSTIFIED","INVALID – preparation row F21-T12-10 is N/A",IF(AND(AR696=1,ISNUMBER(X685),X696&lt;&gt;X685,TRIM(U696)&lt;&gt;"Pass after CA"),"INVALID – expected qty differs from preparation check F21-T12-10: record the load change as a corrective action (Pass after CA)",IF(BB696&lt;&gt;"",BB696,IF(AND(AS696=1,Documents!$J$25&lt;&gt;"ON FILE"),"INVALID – GLD not on file (Documents sheet)",IF(AND(AS696=2,Documents!$O$25&lt;&gt;"ON FILE"),"INVALID – menu checklist not on file (Documents sheet)",IF(AND(AS696=3,NOT(ISNUMBER(Flights!$AX$25))),"INVALID – enter carrying flight KUL departure (Flights AX)",IF(AND(AS696=3,OR(Flights!$AZ$25&gt;Flights!$AA$25,Flights!$AX$25&lt;Flights!$AA$25-3)),"INVALID – carrying flight (Flights AX) cannot arrive before this leg's STD, or is over 3 days early",IF(AG696&gt;AsOfUTC,"INVALID – completion time is in the future",IF(AND(ISNUMBER(BY696),AG696&lt;BY696),IF(H696="Physical uplift","INVALID – before uplift window (cannot confirm loading)","INVALID – before valid window"),IF(AG696&gt;Flights!$AA$25,"INVALID – completed after departure (cannot establish readiness)",IF(AND(H696="Preparation",AG696&gt;=IF(ISNUMBER(Flights!$BA$25),MIN(Flights!$BA$25,Flights!$AA$25),Flights!$AA$25)),"INVALID – completed after loading / departure (cannot establish readiness)",IF(AND(H696="Physical uplift",AG696&gt;Q696),"INVALID – recorded after the loading flight departed",IF(AG696&gt;Q696,"COMPLETE – LATE","COMPLETE"))))))))))))))))))))))))))),IF(TRIM(U696)="Fail","FAIL – DISCREPANCY",IF(AND(TRIM(U696)&lt;&gt;"",TRIM(U696)&lt;&gt;"Not started",TRIM(U696)&lt;&gt;"In progress"),"INVALID – unrecognised status (use the list)",IF(AsOfUTC&gt;Q696,"OVERDUE",IF(N696="Clarification required","OPEN – CLARIFICATION","OPEN"))))))),"INVALID – error value in an input cell")</f>
        <v>OPEN</v>
      </c>
      <c r="AI696" s="61" t="n">
        <f aca="false">IF(OR(AH696="N/A – RULE",AH696="N/A – JUSTIFIED"),0,1)</f>
        <v>1</v>
      </c>
      <c r="AJ696" s="61" t="n">
        <f aca="false">IF(LEFT(AH696,8)="COMPLETE",1,0)</f>
        <v>0</v>
      </c>
      <c r="AK696" s="61" t="n">
        <f aca="false">IF(AND(AI696=1,AJ696=0,AsOfUTC&gt;Q696),1,0)</f>
        <v>0</v>
      </c>
      <c r="AL696" s="61" t="n">
        <f aca="false">IFERROR(IF(AND(AI696=1,OR(TRIM(U696)="Fail",AND(TRIM(AB696)&lt;&gt;"",TRIM(AB696)&lt;&gt;"Closed"),AND(ISNUMBER(AF696),AF696&lt;&gt;0,TRIM(U696)&lt;&gt;"Pass after CA"))),1,0),1)</f>
        <v>0</v>
      </c>
      <c r="AM696" s="61" t="n">
        <f aca="false">IF(LEFT(AH696,7)="INVALID",1,0)</f>
        <v>0</v>
      </c>
      <c r="AN696" s="61" t="n">
        <f aca="false">IF(AND(N696="Clarification required",AI696=1,AJ696=0),1,0)</f>
        <v>0</v>
      </c>
      <c r="AO696" s="61" t="str">
        <f aca="false">IF(AK696=1,SUM(AK$5:AK696),"")</f>
        <v/>
      </c>
      <c r="AP696" s="61" t="str">
        <f aca="false">IF(AL696=1,SUM(AL$5:AL696),"")</f>
        <v/>
      </c>
      <c r="AQ696" s="61" t="n">
        <v>0</v>
      </c>
      <c r="AR696" s="61" t="n">
        <v>0</v>
      </c>
      <c r="AS696" s="61" t="n">
        <v>0</v>
      </c>
      <c r="AT696" s="61" t="n">
        <v>0</v>
      </c>
      <c r="AU696" s="61" t="str">
        <f aca="false">SUBSTITUTE(SUBSTITUTE(SUBSTITUTE(SUBSTITUTE(SUBSTITUTE(SUBSTITUTE(SUBSTITUTE(SUBSTITUTE(SUBSTITUTE(SUBSTITUTE(SUBSTITUTE(SUBSTITUTE(SUBSTITUTE(SUBSTITUTE(SUBSTITUTE(SUBSTITUTE(LOWER(T696&amp;""),CHAR(10),""),CHAR(13),""),CHAR(9),""),CHAR(160),"")," ",""),".",""),"-",""),"/",""),"?",""),"_",""),",",""),"[",""),"]",""),"(",""),")",""),"*","")</f>
        <v/>
      </c>
      <c r="AV696" s="61" t="str">
        <f aca="false">SUBSTITUTE(SUBSTITUTE(SUBSTITUTE(SUBSTITUTE(SUBSTITUTE(SUBSTITUTE(SUBSTITUTE(SUBSTITUTE(SUBSTITUTE(SUBSTITUTE(SUBSTITUTE(SUBSTITUTE(SUBSTITUTE(SUBSTITUTE(SUBSTITUTE(SUBSTITUTE(LOWER(V696&amp;""),CHAR(10),""),CHAR(13),""),CHAR(9),""),CHAR(160),"")," ",""),".",""),"-",""),"/",""),"?",""),"_",""),",",""),"[",""),"]",""),"(",""),")",""),"*","")</f>
        <v/>
      </c>
      <c r="AW696" s="61" t="str">
        <f aca="false">SUBSTITUTE(SUBSTITUTE(SUBSTITUTE(SUBSTITUTE(SUBSTITUTE(SUBSTITUTE(SUBSTITUTE(SUBSTITUTE(SUBSTITUTE(SUBSTITUTE(SUBSTITUTE(SUBSTITUTE(SUBSTITUTE(SUBSTITUTE(SUBSTITUTE(SUBSTITUTE(LOWER(Z696&amp;""),CHAR(10),""),CHAR(13),""),CHAR(9),""),CHAR(160),"")," ",""),".",""),"-",""),"/",""),"?",""),"_",""),",",""),"[",""),"]",""),"(",""),")",""),"*","")</f>
        <v/>
      </c>
      <c r="AX696" s="61" t="str">
        <f aca="false">SUBSTITUTE(SUBSTITUTE(SUBSTITUTE(SUBSTITUTE(SUBSTITUTE(SUBSTITUTE(SUBSTITUTE(SUBSTITUTE(SUBSTITUTE(SUBSTITUTE(SUBSTITUTE(SUBSTITUTE(SUBSTITUTE(SUBSTITUTE(SUBSTITUTE(SUBSTITUTE(LOWER(AE696&amp;""),CHAR(10),""),CHAR(13),""),CHAR(9),""),CHAR(160),"")," ",""),".",""),"-",""),"/",""),"?",""),"_",""),",",""),"[",""),"]",""),"(",""),")",""),"*","")</f>
        <v/>
      </c>
      <c r="AY696" s="61" t="str">
        <f aca="false">SUBSTITUTE(SUBSTITUTE(SUBSTITUTE(SUBSTITUTE(SUBSTITUTE(SUBSTITUTE(SUBSTITUTE(SUBSTITUTE(SUBSTITUTE(SUBSTITUTE(SUBSTITUTE(SUBSTITUTE(SUBSTITUTE(SUBSTITUTE(SUBSTITUTE(SUBSTITUTE(LOWER(W696&amp;""),CHAR(10),""),CHAR(13),""),CHAR(9),""),CHAR(160),"")," ",""),".",""),"-",""),"/",""),"?",""),"_",""),",",""),"[",""),"]",""),"(",""),")",""),"*","")</f>
        <v/>
      </c>
      <c r="AZ696" s="61" t="str">
        <f aca="false">SUBSTITUTE(SUBSTITUTE(SUBSTITUTE(SUBSTITUTE(SUBSTITUTE(SUBSTITUTE(SUBSTITUTE(SUBSTITUTE(SUBSTITUTE(SUBSTITUTE(SUBSTITUTE(SUBSTITUTE(SUBSTITUTE(SUBSTITUTE(SUBSTITUTE(SUBSTITUTE(LOWER(AC696&amp;""),CHAR(10),""),CHAR(13),""),CHAR(9),""),CHAR(160),"")," ",""),".",""),"-",""),"/",""),"?",""),"_",""),",",""),"[",""),"]",""),"(",""),")",""),"*","")</f>
        <v/>
      </c>
      <c r="BA696" s="61" t="str">
        <f aca="false">SUBSTITUTE(SUBSTITUTE(SUBSTITUTE(SUBSTITUTE(SUBSTITUTE(SUBSTITUTE(SUBSTITUTE(SUBSTITUTE(SUBSTITUTE(SUBSTITUTE(SUBSTITUTE(SUBSTITUTE(SUBSTITUTE(SUBSTITUTE(SUBSTITUTE(SUBSTITUTE(LOWER(AA696&amp;""),CHAR(10),""),CHAR(13),""),CHAR(9),""),CHAR(160),"")," ",""),".",""),"-",""),"/",""),"?",""),"_",""),",",""),"[",""),"]",""),"(",""),")",""),"*","")</f>
        <v/>
      </c>
      <c r="BB696" s="61" t="str">
        <f aca="false">IF(AND(TRIM(U696)="Pass",ISNUMBER(AF696)),IF(AF696&lt;&gt;0,"INVALID – qty variance: use Fail or Pass after CA",""),"")&amp;IF(AND(TRIM(U696)="Pass after CA",ISNUMBER(AF696)),IF(AF696&lt;&gt;0,"INVALID – after the corrective action the actual qty must equal expected (update Actual)",""),"")&amp;IF(AND(TRIM(U696)="Pass",TRIM(AB696)&lt;&gt;"",TRIM(AB696)&lt;&gt;"Closed"),"INVALID – corrective action not closed: use Fail, then Pass after CA","")&amp;IF(AND(LEN(BA696)&gt;=2,ISNA(MATCH(LEFT(BA696,255),L_Placeholder,0)),TRIM(AB696)=""),"INVALID – CA status missing for the recorded corrective action","")&amp;IF(AND(TRIM(U696)="Pass after CA",OR(OR(LEN(BA696)&lt;5,ISNUMBER(MATCH(BA696,L_Placeholder,0))),TRIM(AB696)&lt;&gt;"Closed")),"INVALID – corrective action not recorded/closed","")</f>
        <v/>
      </c>
      <c r="BC696" s="61" t="str">
        <f aca="false">" "&amp;TRIM(SUBSTITUTE(SUBSTITUTE(SUBSTITUTE(SUBSTITUTE(SUBSTITUTE(SUBSTITUTE(SUBSTITUTE(SUBSTITUTE(SUBSTITUTE(SUBSTITUTE(SUBSTITUTE(SUBSTITUTE(SUBSTITUTE(SUBSTITUTE(SUBSTITUTE(SUBSTITUTE(SUBSTITUTE(SUBSTITUTE(SUBSTITUTE(SUBSTITUTE(SUBSTITUTE(SUBSTITUTE(SUBSTITUTE(SUBSTITUTE(LOWER(V696&amp;""),CHAR(10)," "),CHAR(13)," "),CHAR(9)," "),CHAR(160)," "),"."," "),","," "),"-"," "),"/"," "),"("," "),")"," "),":"," "),";"," "),"_"," "),"–"," "),"?"," "),"!"," "),"*"," "),"["," "),"]"," "),"'"," "),"#"," "),"+"," "),"&amp;"," "),"\"," "))&amp;" "</f>
        <v>  </v>
      </c>
      <c r="BD696" s="61" t="str">
        <f aca="false">" "&amp;TRIM(SUBSTITUTE(SUBSTITUTE(SUBSTITUTE(SUBSTITUTE(SUBSTITUTE(SUBSTITUTE(SUBSTITUTE(SUBSTITUTE(SUBSTITUTE(SUBSTITUTE(SUBSTITUTE(SUBSTITUTE(SUBSTITUTE(SUBSTITUTE(SUBSTITUTE(SUBSTITUTE(SUBSTITUTE(SUBSTITUTE(SUBSTITUTE(SUBSTITUTE(SUBSTITUTE(SUBSTITUTE(SUBSTITUTE(SUBSTITUTE(LOWER(Z696&amp;""),CHAR(10)," "),CHAR(13)," "),CHAR(9)," "),CHAR(160)," "),"."," "),","," "),"-"," "),"/"," "),"("," "),")"," "),":"," "),";"," "),"_"," "),"–"," "),"?"," "),"!"," "),"*"," "),"["," "),"]"," "),"'"," "),"#"," "),"+"," "),"&amp;"," "),"\"," "))&amp;" "</f>
        <v>  </v>
      </c>
      <c r="BE696" s="61" t="str">
        <f aca="false">" "&amp;TRIM(SUBSTITUTE(SUBSTITUTE(SUBSTITUTE(SUBSTITUTE(SUBSTITUTE(SUBSTITUTE(SUBSTITUTE(SUBSTITUTE(SUBSTITUTE(SUBSTITUTE(SUBSTITUTE(SUBSTITUTE(SUBSTITUTE(SUBSTITUTE(SUBSTITUTE(SUBSTITUTE(SUBSTITUTE(SUBSTITUTE(SUBSTITUTE(SUBSTITUTE(SUBSTITUTE(SUBSTITUTE(SUBSTITUTE(SUBSTITUTE(LOWER(W696&amp;""),CHAR(10)," "),CHAR(13)," "),CHAR(9)," "),CHAR(160)," "),"."," "),","," "),"-"," "),"/"," "),"("," "),")"," "),":"," "),";"," "),"_"," "),"–"," "),"?"," "),"!"," "),"*"," "),"["," "),"]"," "),"'"," "),"#"," "),"+"," "),"&amp;"," "),"\"," "))&amp;" "</f>
        <v>  </v>
      </c>
      <c r="BF696" s="61" t="str">
        <f aca="false">" "&amp;TRIM(SUBSTITUTE(SUBSTITUTE(SUBSTITUTE(SUBSTITUTE(SUBSTITUTE(SUBSTITUTE(SUBSTITUTE(SUBSTITUTE(SUBSTITUTE(SUBSTITUTE(SUBSTITUTE(SUBSTITUTE(SUBSTITUTE(SUBSTITUTE(SUBSTITUTE(SUBSTITUTE(SUBSTITUTE(SUBSTITUTE(SUBSTITUTE(SUBSTITUTE(SUBSTITUTE(SUBSTITUTE(SUBSTITUTE(SUBSTITUTE(LOWER(AC696&amp;""),CHAR(10)," "),CHAR(13)," "),CHAR(9)," "),CHAR(160)," "),"."," "),","," "),"-"," "),"/"," "),"("," "),")"," "),":"," "),";"," "),"_"," "),"–"," "),"?"," "),"!"," "),"*"," "),"["," "),"]"," "),"'"," "),"#"," "),"+"," "),"&amp;"," "),"\"," "))&amp;" "</f>
        <v>  </v>
      </c>
      <c r="BG696" s="61" t="n">
        <f aca="false">IFERROR(IF(AND(TRIM(U696)="Pass",SUMPRODUCT((LEN(BC696)-LEN(SUBSTITUTE(BC696," "&amp;L_ResultBad&amp;" "," ")))/(LEN(L_ResultBad)+1))&gt;SUMPRODUCT((LEN(BC696)-LEN(SUBSTITUTE(BC696," "&amp;L_NegPhrase&amp;" "," ")))/(LEN(L_NegPhrase)+1))),1,0),0)</f>
        <v>0</v>
      </c>
      <c r="BH696" s="61" t="n">
        <f aca="false">IFERROR(IF(SUMPRODUCT((LEN(BC696)-LEN(SUBSTITUTE(BC696," "&amp;L_Pending&amp;" "," ")))/(LEN(L_Pending)+1))&gt;SUMPRODUCT((LEN(BC696)-LEN(SUBSTITUTE(BC696," "&amp;L_PendNeg&amp;" "," ")))/(LEN(L_PendNeg)+1)),1,0),1)</f>
        <v>0</v>
      </c>
      <c r="BI696" s="61" t="n">
        <f aca="false">IFERROR(IF(SUMPRODUCT((LEN(BD696)-LEN(SUBSTITUTE(BD696," "&amp;L_PendStrict&amp;" "," ")))/(LEN(L_PendStrict)+1))&gt;SUMPRODUCT((LEN(BD696)-LEN(SUBSTITUTE(BD696," "&amp;L_PendNeg&amp;" "," ")))/(LEN(L_PendNeg)+1)),1,0),1)</f>
        <v>0</v>
      </c>
      <c r="BJ696" s="61" t="n">
        <f aca="false">IFERROR(IF(SUMPRODUCT((LEN(BE696)-LEN(SUBSTITUTE(BE696," "&amp;L_Pending&amp;" "," ")))/(LEN(L_Pending)+1))&gt;SUMPRODUCT((LEN(BE696)-LEN(SUBSTITUTE(BE696," "&amp;L_PendNeg&amp;" "," ")))/(LEN(L_PendNeg)+1)),1,0),1)</f>
        <v>0</v>
      </c>
      <c r="BK696" s="61" t="n">
        <f aca="false">IFERROR(IF(SUMPRODUCT((LEN(BF696)-LEN(SUBSTITUTE(BF696," "&amp;L_PendStrict&amp;" "," ")))/(LEN(L_PendStrict)+1))&gt;SUMPRODUCT((LEN(BF696)-LEN(SUBSTITUTE(BF696," "&amp;L_PendNeg&amp;" "," ")))/(LEN(L_PendNeg)+1)),1,0),1)</f>
        <v>0</v>
      </c>
      <c r="BL696" s="61" t="n">
        <f aca="false">IF(ISNA(MATCH(TRIM(S696),L_EvidenceType,0)),0,BZ696)</f>
        <v>0</v>
      </c>
      <c r="BM696" s="61" t="str">
        <f aca="false">SUBSTITUTE(SUBSTITUTE(SUBSTITUTE(SUBSTITUTE(SUBSTITUTE(SUBSTITUTE(SUBSTITUTE(SUBSTITUTE(SUBSTITUTE(LOWER(Z696&amp;""),"1","0"),"2","0"),"3","0"),"4","0"),"5","0"),"6","0"),"7","0"),"8","0"),"9","0")</f>
        <v/>
      </c>
      <c r="BN696" s="61" t="str">
        <f aca="false">SUBSTITUTE(SUBSTITUTE(SUBSTITUTE(SUBSTITUTE(SUBSTITUTE(SUBSTITUTE(SUBSTITUTE(SUBSTITUTE(SUBSTITUTE(SUBSTITUTE(SUBSTITUTE(SUBSTITUTE(SUBSTITUTE(SUBSTITUTE(SUBSTITUTE(SUBSTITUTE(SUBSTITUTE(SUBSTITUTE(SUBSTITUTE(SUBSTITUTE(SUBSTITUTE(SUBSTITUTE(SUBSTITUTE(SUBSTITUTE(SUBSTITUTE(BM696,"b","a"),"c","a"),"d","a"),"e","a"),"f","a"),"g","a"),"h","a"),"i","a"),"j","a"),"k","a"),"l","a"),"m","a"),"n","a"),"o","a"),"p","a"),"q","a"),"r","a"),"s","a"),"t","a"),"u","a"),"v","a"),"w","a"),"x","a"),"y","a"),"z","a")</f>
        <v/>
      </c>
      <c r="BO696" s="61" t="str">
        <f aca="false">SUBSTITUTE(SUBSTITUTE(SUBSTITUTE(SUBSTITUTE(SUBSTITUTE(SUBSTITUTE(SUBSTITUTE(SUBSTITUTE(SUBSTITUTE(LOWER(W696&amp;""),"1","0"),"2","0"),"3","0"),"4","0"),"5","0"),"6","0"),"7","0"),"8","0"),"9","0")</f>
        <v/>
      </c>
      <c r="BP696" s="61" t="str">
        <f aca="false">SUBSTITUTE(SUBSTITUTE(SUBSTITUTE(SUBSTITUTE(SUBSTITUTE(SUBSTITUTE(SUBSTITUTE(SUBSTITUTE(SUBSTITUTE(SUBSTITUTE(SUBSTITUTE(SUBSTITUTE(SUBSTITUTE(SUBSTITUTE(SUBSTITUTE(SUBSTITUTE(SUBSTITUTE(SUBSTITUTE(SUBSTITUTE(SUBSTITUTE(SUBSTITUTE(SUBSTITUTE(SUBSTITUTE(SUBSTITUTE(SUBSTITUTE(BO696,"b","a"),"c","a"),"d","a"),"e","a"),"f","a"),"g","a"),"h","a"),"i","a"),"j","a"),"k","a"),"l","a"),"m","a"),"n","a"),"o","a"),"p","a"),"q","a"),"r","a"),"s","a"),"t","a"),"u","a"),"v","a"),"w","a"),"x","a"),"y","a"),"z","a")</f>
        <v/>
      </c>
      <c r="BQ696" s="61" t="n">
        <f aca="false">IFERROR(IF(AND(ISERROR(SEARCH(" mh"," "&amp;LOWER(W696))),ISNA(MATCH(LEFT(TRIM(BP696),255),{"0000a","000a","00a","0000aa","000aa","00aa","0aa","0000aaa","000aaa","00a00","0a00","0000-0000","00:00","a00","a0","00.00.0000","00/00/0000","00-00-0000","0000-00-00","0000/00/00","0000.00.00","00.00.00","00/00/00","00-00-00","0.00.0000","0/00/0000","0-00-0000"},0)),ISNA(MATCH(LEFT(TRIM(CA696),255),{"0000a","000a","00a","0000aa","000aa","00aa","0aa","0000aaa","000aaa","00a00","0a00","0000-0000","00:00","a00","a0","00.00.0000","00/00/0000","00-00-0000","0000-00-00","0000/00/00","0000.00.00","00.00.00","00/00/00","00-00-00","0.00.0000","0/00/0000","0-00-0000"},0)),LEN(CB696)&gt;=3,NOT(OR(SUBSTITUTE(CB696,"0","")="",AND(LEN(CB696)&gt;=4,CB696=REPT(LEFT(CB696),LEN(CB696))),ISNUMBER(MATCH(CB696,{"123","1234","12345","123456","1234567","12345678","0123","01234","012345","98765","987654","54321"},0)),AND(LEN(CB696)=8,LEFT(CB696,3)="202"))),OR(AND((LEN(CA696)-LEN(SUBSTITUTE(CA696,"a","")))&gt;=1,SUMPRODUCT(--ISNUMBER(SEARCH({"a0","a-0","a_0","a/0","a.0","a#0","0a","0-a","0_a","0/a"},BP696)))&gt;0),ISNUMBER(SEARCH("000000",BP696)))),1,0),0)</f>
        <v>0</v>
      </c>
      <c r="BR696" s="61" t="n">
        <f aca="false">IFERROR(LEN(SUBSTITUTE(CC696," ",""))-SUMPRODUCT((LEN(CC696)-LEN(SUBSTITUTE(CC696," "&amp;L_Role&amp;" "," ")))/(LEN(L_Role)+1)*LEN(L_Role)),0)</f>
        <v>0</v>
      </c>
      <c r="BS696" s="61" t="n">
        <f aca="false">IFERROR(LEN(SUBSTITUTE(CD696," ",""))-SUMPRODUCT((LEN(CD696)-LEN(SUBSTITUTE(CD696," "&amp;L_Role&amp;" "," ")))/(LEN(L_Role)+1)*LEN(L_Role)),0)</f>
        <v>0</v>
      </c>
      <c r="BT6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696,"revision",""),"version",""),"jan",""),"feb",""),"mar",""),"apr",""),"may",""),"jun",""),"jul",""),"aug",""),"sep",""),"oct",""),"nov",""),"dec",""),"utc",""),"gmt",""),"myt",""),"bst",""),"rev",""),"ver",""),"b","a"),"c","a"),"d","a"),"e","a"),"f","a"),"g","a"),"h","a"),"i","a"),"j","a"),"k","a"),"l","a"),"m","a"),"n","a"),"o","a"),"p","a"),"q","a"),"r","a"),"s","a"),"t","a"),"u","a"),"v","a"),"w","a"),"x","a"),"y","a"),"z","a")</f>
        <v/>
      </c>
      <c r="BU696" s="61" t="str">
        <f aca="false">SUBSTITUTE(SUBSTITUTE(SUBSTITUTE(SUBSTITUTE(SUBSTITUTE(SUBSTITUTE(SUBSTITUTE(SUBSTITUTE(SUBSTITUTE(SUBSTITUTE(LEFT(BM696,FIND("0",BM696&amp;"0")-1),"-",""),"_",""),"/",""),".",""),"#",""),"\\",""),":","")," ",""),"(",""),")","")</f>
        <v/>
      </c>
      <c r="BV696" s="61" t="n">
        <f aca="false">IFERROR(IF(OR(SUMPRODUCT((LEN(BC696)-LEN(SUBSTITUTE(BC696," "&amp;L_NotLoaded&amp;" "," ")))/(LEN(L_NotLoaded)+1))&gt;SUMPRODUCT((LEN(BC696)-LEN(SUBSTITUTE(BC696," "&amp;L_NotLoadedNeg&amp;" "," ")))/(LEN(L_NotLoadedNeg)+1)),SUMPRODUCT((LEN(BD696)-LEN(SUBSTITUTE(BD696," "&amp;L_NotLoaded&amp;" "," ")))/(LEN(L_NotLoaded)+1))&gt;SUMPRODUCT((LEN(BD696)-LEN(SUBSTITUTE(BD696," "&amp;L_NotLoadedNeg&amp;" "," ")))/(LEN(L_NotLoadedNeg)+1))),1,0),0)</f>
        <v>0</v>
      </c>
      <c r="BW69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696&amp;""),"a",""),"b",""),"c",""),"d",""),"e",""),"f",""),"g",""),"h",""),"i",""),"j",""),"k",""),"l",""),"m",""),"n",""),"o",""),"p",""),"q",""),"r",""),"s",""),"t",""),"u",""),"v",""),"w",""),"x",""),"y",""),"z",""),"-",""),"_",""),"/",""),".",""),"#",""),"\\",""),":","")," ",""),"(",""),")","")</f>
        <v/>
      </c>
      <c r="BX696" s="61" t="str">
        <f aca="false">SUBSTITUTE(SUBSTITUTE(SUBSTITUTE(SUBSTITUTE(SUBSTITUTE(SUBSTITUTE(SUBSTITUTE(SUBSTITUTE(SUBSTITUTE(SUBSTITUTE(SUBSTITUTE(BM696,"0",""),"-",""),"_",""),"/",""),".",""),"#",""),"\\",""),":","")," ",""),"(",""),")","")</f>
        <v/>
      </c>
      <c r="BY696" s="62" t="n">
        <f aca="false">IF(ISNUMBER(Flights!$AZ$25),MAX(Q696-UpliftWindowH/24,Flights!$AZ$25),Q696-UpliftWindowH/24)</f>
        <v>46325.03125</v>
      </c>
      <c r="BZ696" s="61" t="n">
        <f aca="false">IFERROR(IF(IF(TRIM(S696)="Link / file path",AND(LEN(TRIM(Z696))&gt;=5,SUMPRODUCT(--ISNUMBER(SEARCH({"http","www.","\\",":\",".pdf",".jpg",".jpeg",".png",".heic",".xls",".doc",".msg",".eml",".ppt",".txt",".zip"},Z696)))&gt;0),AND(ISERROR(FIND(" ",TRIM(Z696))),NOT(OR(SUMPRODUCT(--ISNUMBER(FIND({",",";","&amp;","+"},Z696)))&gt;0,SUMPRODUCT(--ISNUMBER(SEARCH({"0/aa","0\\aa"},BN696)))&gt;0)),NOT(SUMPRODUCT(--ISNUMBER(SEARCH({"http","www.","\\",":\",".pdf",".jpg",".jpeg",".png",".heic",".xls",".doc",".msg",".eml",".ppt",".txt",".zip"},Z696)))&gt;0),NOT(LOWER(TRIM(Z696))=LOWER(Flights!$F$25)),ISNA(MATCH(BU696,{"mh","rev","revision","ver","version","v","r","a","b","seat","tray","row","gate","bay","stand","page","pg","item","line","no","cart","galley","flight","flt","table","box","bag","oven","etd","eta","std","sta","atd","ata","qty","pax","x","time","tel","ph","mob","day","wk","week","utc","gmt","myt","lt"},0)),NOT(OR(ISNUMBER(MATCH(LEFT(BN696,255),{"0000a","000a","00a","0000aa","000aa","00aa","0aa","0000aaa","000aaa","00a00","0a00","0000-0000","00:00","a00","a0","00.00.0000","00/00/0000","00-00-0000","0000-00-00","0000/00/00","0000.00.00","00.00.00","00/00/00","00-00-00","0.00.0000","0/00/0000","0-00-0000"},0)),ISNUMBER(MATCH(LEFT(BT696,255),{"0000a","000a","00a","0000aa","000aa","00aa","0aa","0000aaa","000aaa","00a00","0a00","0000-0000","00:00","a00","a0","00.00.0000","00/00/0000","00-00-0000","0000-00-00","0000/00/00","0000.00.00","00.00.00","00/00/00","00-00-00","0.00.0000","0/00/0000","0-00-0000"},0)))),NOT(OR(AND(BW696&lt;&gt;"",SUBSTITUTE(BW696,"0","")=""),AND(LEN(BW696)&gt;=4,BW696=REPT(LEFT(BW696),LEN(BW696))),ISNUMBER(MATCH(BW696,{"123","1234","12345","123456","1234567","12345678","0123","01234","012345","98765","987654","54321"},0)),ISNUMBER(MATCH(BX696,{"x","xx","xxx","xxxx","xxxxx","abc","abcd","nil","na","nan","test","tbc","tba","tbd","dummy","sample","example","eg","zz","zzz","none","null","xyz","qwe","asd","id","ref"},0)),AND(LEN(BW696)=8,BX696="",OR(LEFT(BW696,3)="202",ISNUMBER(MATCH(RIGHT(BW696,4),{"2025","2026","2027"},0)))))),OR(AND((LEN(BT696)-LEN(SUBSTITUTE(BT696,"a","")))&gt;=1,(LEN(BN696)-LEN(SUBSTITUTE(BN696,"0","")))&gt;=2,SUMPRODUCT(--ISNUMBER(SEARCH({"a0","a-0","a_0","a/0","a.0","a#0","0a","0-a","0_a","0/a"},BN696)))&gt;0),AND((LEN(BN696)-LEN(SUBSTITUTE(BN696,"a","")))=0,(LEN(BN696)-LEN(SUBSTITUTE(BN696,"0","")))&gt;=5)))),1,0),0)</f>
        <v>0</v>
      </c>
      <c r="CA6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696,"revision",""),"version",""),"jan",""),"feb",""),"mar",""),"apr",""),"may",""),"jun",""),"jul",""),"aug",""),"sep",""),"oct",""),"nov",""),"dec",""),"utc",""),"gmt",""),"myt",""),"bst",""),"rev",""),"ver",""),"b","a"),"c","a"),"d","a"),"e","a"),"f","a"),"g","a"),"h","a"),"i","a"),"j","a"),"k","a"),"l","a"),"m","a"),"n","a"),"o","a"),"p","a"),"q","a"),"r","a"),"s","a"),"t","a"),"u","a"),"v","a"),"w","a"),"x","a"),"y","a"),"z","a")</f>
        <v/>
      </c>
      <c r="CB69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696&amp;""),"a",""),"b",""),"c",""),"d",""),"e",""),"f",""),"g",""),"h",""),"i",""),"j",""),"k",""),"l",""),"m",""),"n",""),"o",""),"p",""),"q",""),"r",""),"s",""),"t",""),"u",""),"v",""),"w",""),"x",""),"y",""),"z",""),"-",""),"_",""),"/",""),".",""),"#",""),"\\",""),":","")," ",""),"(",""),")","")</f>
        <v/>
      </c>
      <c r="CC696" s="0" t="str">
        <f aca="false">" "&amp;TRIM(SUBSTITUTE(SUBSTITUTE(SUBSTITUTE(SUBSTITUTE(SUBSTITUTE(SUBSTITUTE(SUBSTITUTE(SUBSTITUTE(SUBSTITUTE(SUBSTITUTE(SUBSTITUTE(SUBSTITUTE(SUBSTITUTE(SUBSTITUTE(SUBSTITUTE(SUBSTITUTE(SUBSTITUTE(SUBSTITUTE(SUBSTITUTE(SUBSTITUTE(SUBSTITUTE(SUBSTITUTE(SUBSTITUTE(SUBSTITUTE(LOWER(T696&amp;""),CHAR(10)," "),CHAR(13)," "),CHAR(9)," "),CHAR(160)," "),"."," "),","," "),"-"," "),"/"," "),"("," "),")"," "),":"," "),";"," "),"_"," "),"–"," "),"?"," "),"!"," "),"*"," "),"["," "),"]"," "),"'"," "),"#"," "),"+"," "),"&amp;"," "),"\"," "))&amp;" "</f>
        <v>  </v>
      </c>
      <c r="CD696" s="0" t="str">
        <f aca="false">" "&amp;TRIM(SUBSTITUTE(SUBSTITUTE(SUBSTITUTE(SUBSTITUTE(SUBSTITUTE(SUBSTITUTE(SUBSTITUTE(SUBSTITUTE(SUBSTITUTE(SUBSTITUTE(SUBSTITUTE(SUBSTITUTE(SUBSTITUTE(SUBSTITUTE(SUBSTITUTE(SUBSTITUTE(SUBSTITUTE(SUBSTITUTE(SUBSTITUTE(SUBSTITUTE(SUBSTITUTE(SUBSTITUTE(SUBSTITUTE(SUBSTITUTE(LOWER(AE696&amp;""),CHAR(10)," "),CHAR(13)," "),CHAR(9)," "),CHAR(160)," "),"."," "),","," "),"-"," "),"/"," "),"("," "),")"," "),":"," "),";"," "),"_"," "),"–"," "),"?"," "),"!"," "),"*"," "),"["," "),"]"," "),"'"," "),"#"," "),"+"," "),"&amp;"," "),"\"," "))&amp;" "</f>
        <v>  </v>
      </c>
      <c r="CE696" s="68" t="n">
        <f aca="false">IFERROR(IF(AND(LEN(AU696)&gt;0,LEN(AU696)=LEN(AX696),OR(TRIM(MID(SUBSTITUTE(TRIM(CC696)," ",REPT(" ",60)),1,60))="",ISNUMBER(SEARCH(" "&amp;TRIM(MID(SUBSTITUTE(TRIM(CC696)," ",REPT(" ",60)),1,60))&amp;" ",CD696))),OR(TRIM(MID(SUBSTITUTE(TRIM(CC696)," ",REPT(" ",60)),61,60))="",ISNUMBER(SEARCH(" "&amp;TRIM(MID(SUBSTITUTE(TRIM(CC696)," ",REPT(" ",60)),61,60))&amp;" ",CD696))),OR(TRIM(MID(SUBSTITUTE(TRIM(CC696)," ",REPT(" ",60)),121,60))="",ISNUMBER(SEARCH(" "&amp;TRIM(MID(SUBSTITUTE(TRIM(CC696)," ",REPT(" ",60)),121,60))&amp;" ",CD696)))),1,0),0)</f>
        <v>0</v>
      </c>
      <c r="CG696" s="68" t="n">
        <f aca="false">IFERROR(LEN(SUBSTITUTE(BF696," ",""))-SUMPRODUCT((LEN(BF696)-LEN(SUBSTITUTE(BF696," "&amp;L_NAFiller&amp;" "," ")))/(LEN(L_NAFiller)+1)*LEN(L_NAFiller)),0)</f>
        <v>0</v>
      </c>
    </row>
    <row r="697" customFormat="false" ht="39.75" hidden="false" customHeight="true" outlineLevel="0" collapsed="false">
      <c r="A697" s="57" t="s">
        <v>1431</v>
      </c>
      <c r="B697" s="57" t="s">
        <v>310</v>
      </c>
      <c r="C697" s="57" t="str">
        <f aca="false">Flights!$F$25</f>
        <v>MH1437</v>
      </c>
      <c r="D697" s="58" t="n">
        <f aca="false">Flights!$D$25</f>
        <v>46325</v>
      </c>
      <c r="E697" s="57" t="str">
        <f aca="false">Flights!$G$25&amp;"-"&amp;Flights!$H$25</f>
        <v>LGK-KUL</v>
      </c>
      <c r="F697" s="57" t="str">
        <f aca="false">Flights!$K$25</f>
        <v>BC</v>
      </c>
      <c r="G697" s="57" t="s">
        <v>459</v>
      </c>
      <c r="H697" s="57" t="s">
        <v>460</v>
      </c>
      <c r="I697" s="57" t="s">
        <v>499</v>
      </c>
      <c r="J697" s="57" t="s">
        <v>541</v>
      </c>
      <c r="K697" s="67" t="s">
        <v>501</v>
      </c>
      <c r="L697" s="67" t="s">
        <v>1413</v>
      </c>
      <c r="M697" s="67" t="s">
        <v>451</v>
      </c>
      <c r="N697" s="67" t="s">
        <v>383</v>
      </c>
      <c r="O697" s="67"/>
      <c r="P697" s="57" t="s">
        <v>306</v>
      </c>
      <c r="Q697" s="59" t="n">
        <f aca="false">ROUND((Flights!$AF$25)*1440,0)/1440</f>
        <v>46325.28125</v>
      </c>
      <c r="R697" s="59" t="n">
        <f aca="false">Q697+(IF(AND(INDEX(TZ_DSTS,MATCH(P697,TZ_STN,0))&lt;&gt;"",Q697&gt;=INDEX(TZ_DSTS,MATCH(P697,TZ_STN,0)),Q697&lt;INDEX(TZ_DSTE,MATCH(P697,TZ_STN,0))),INDEX(TZ_DST,MATCH(P697,TZ_STN,0)),INDEX(TZ_STD,MATCH(P697,TZ_STN,0))))/24</f>
        <v>46325.6145833333</v>
      </c>
      <c r="S697" s="60"/>
      <c r="T697" s="60"/>
      <c r="U697" s="60"/>
      <c r="V697" s="60"/>
      <c r="W697" s="61"/>
      <c r="X697" s="60"/>
      <c r="Y697" s="60"/>
      <c r="Z697" s="60"/>
      <c r="AA697" s="60"/>
      <c r="AB697" s="60"/>
      <c r="AC697" s="60"/>
      <c r="AD697" s="66"/>
      <c r="AE697" s="60"/>
      <c r="AF697" s="61" t="str">
        <f aca="false">IF(AND(ISNUMBER(X697),ISNUMBER(Y697)),Y697-X697,"")</f>
        <v/>
      </c>
      <c r="AG697" s="62" t="str">
        <f aca="false">IF(ISNUMBER(AD697),AD697-(IF(AND(INDEX(TZ_DSTS,MATCH(P697,TZ_STN,0))&lt;&gt;"",(AD697-INDEX(TZ_STD,MATCH(P697,TZ_STN,0))/24)&gt;=INDEX(TZ_DSTS,MATCH(P697,TZ_STN,0)),(AD697-INDEX(TZ_STD,MATCH(P697,TZ_STN,0))/24)&lt;INDEX(TZ_DSTE,MATCH(P697,TZ_STN,0))),INDEX(TZ_DST,MATCH(P697,TZ_STN,0)),INDEX(TZ_STD,MATCH(P697,TZ_STN,0))))/24,"")</f>
        <v/>
      </c>
      <c r="AH697" s="65" t="str">
        <f aca="false">IFERROR(IF(N697="N/A – rule",IF(OR(TRIM(U697)="",TRIM(U697)="N/A",TRIM(U697)="Not started"),"N/A – RULE","INVALID – this check does not apply to this aircraft: clear the status (or correct the fleet on Flights)"),IF(TRIM(U697)="N/A",IF(AT697=0,"INVALID – N/A not permitted for this check",IF(AND(TRIM(AB697)&lt;&gt;"",TRIM(AB697)&lt;&gt;"Closed"),"INVALID – corrective action still open",IF(AND(NOT(OR(LEN(AZ697)&lt;15,ISNUMBER(MATCH(AZ697,L_Placeholder,0)))),BK697=0,CG697&gt;=8,NOT(OR(LEN(AU697)&lt;2,ISNUMBER(MATCH(AU697,L_Placeholder,0)))),BR697&gt;=3,NOT(OR(LEN(AX697)&lt;2,ISNUMBER(MATCH(AX697,L_Placeholder,0)))),BS697&gt;=3,TRIM(AE697)&lt;&gt;TRIM(T697),AX697&lt;&gt;AU697,CE697=0),"N/A – JUSTIFIED","INVALID – N/A needs a real, settled reason (not 'not applicable' / 'as above' / TBC), a named PIC and a different named verifier"))),IF(OR(TRIM(U697)="Pass",TRIM(U697)="Pass after CA"),IF(NOT(ISNUMBER(AD697)),"INVALID – completion time missing",IF(OR(OR(LEN(AU697)&lt;2,ISNUMBER(MATCH(AU697,L_Placeholder,0))),BR697&lt;3),"INVALID – PIC missing or not a named person (a role such as QA / CSM is not a name)",IF(OR(LEN(AV697)&lt;2,ISNUMBER(MATCH(AV697,L_Placeholder,0))),"INVALID – result / assessment missing",IF(OR(OR(LEN(AW697)&lt;3,ISNUMBER(MATCH(AW697,L_Placeholder,0))),SUMPRODUCT(--ISNUMBER(SEARCH(" "&amp;L_EvidencePhrase&amp;" ",BD697)))&gt;0,BI697=1),"INVALID – evidence missing, placeholder or not yet on file",IF(ISNA(MATCH(TRIM(S697),L_EvidenceType,0)),"INVALID – choose the evidence type from the list (column S)",IF(BL697=0,"INVALID – evidence ID must be the record's own ID only (e.g. SF-2210, IMG_2231, 1045521); a link / file name needs type 'Link / file path'",IF(OR(OR(LEN(AX697)&lt;2,ISNUMBER(MATCH(AX697,L_Placeholder,0))),BS697&lt;3),"INVALID – verifier missing or not a named person (a role such as QA / CSM is not a name)",IF(OR(AX697=AU697,CE697=1,AND(LEN(AU697)&gt;=4,ISNUMBER(SEARCH(AU697,AX697))),AND(LEN(AX697)&gt;=4,ISNUMBER(SEARCH(AX697,AU697)))),"INVALID – verifier must be a different, named person (not the PIC or a role)",IF(BH697=1,"INVALID – result not yet available (awaiting / TBC)",IF(BG697=1,"INVALID – result describes a problem: record Fail, then Pass after CA (or reword if it is not a problem)",IF(BV697=1,"INVALID – wording says not on board: an on-board confirmation needs the item loaded",IF(AND(AQ697=1,OR(OR(LEN(AY697)&lt;3,ISNUMBER(MATCH(AY697,L_Placeholder,0))),BJ697=1,BQ697=0)),"INVALID – batch ID missing, placeholder or not an ID (e.g. PASB-261008-BC-017)",IF(AND(AR697=1,OR(NOT(ISNUMBER(X697)),NOT(ISNUMBER(Y697)))),"INVALID – expected/actual qty missing",IF(AND(AR697=1,OR(X697&lt;=0,Y697&lt;0)),"INVALID – expected qty must be above 0 and actual not negative",IF(AH686="N/A – JUSTIFIED","INVALID – preparation row F21-T12-11 is N/A",IF(AND(AR697=1,ISNUMBER(X686),X697&lt;&gt;X686,TRIM(U697)&lt;&gt;"Pass after CA"),"INVALID – expected qty differs from preparation check F21-T12-11: record the load change as a corrective action (Pass after CA)",IF(BB697&lt;&gt;"",BB697,IF(AND(AS697=1,Documents!$J$25&lt;&gt;"ON FILE"),"INVALID – GLD not on file (Documents sheet)",IF(AND(AS697=2,Documents!$O$25&lt;&gt;"ON FILE"),"INVALID – menu checklist not on file (Documents sheet)",IF(AND(AS697=3,NOT(ISNUMBER(Flights!$AX$25))),"INVALID – enter carrying flight KUL departure (Flights AX)",IF(AND(AS697=3,OR(Flights!$AZ$25&gt;Flights!$AA$25,Flights!$AX$25&lt;Flights!$AA$25-3)),"INVALID – carrying flight (Flights AX) cannot arrive before this leg's STD, or is over 3 days early",IF(AG697&gt;AsOfUTC,"INVALID – completion time is in the future",IF(AND(ISNUMBER(BY697),AG697&lt;BY697),IF(H697="Physical uplift","INVALID – before uplift window (cannot confirm loading)","INVALID – before valid window"),IF(AG697&gt;Flights!$AA$25,"INVALID – completed after departure (cannot establish readiness)",IF(AND(H697="Preparation",AG697&gt;=IF(ISNUMBER(Flights!$BA$25),MIN(Flights!$BA$25,Flights!$AA$25),Flights!$AA$25)),"INVALID – completed after loading / departure (cannot establish readiness)",IF(AND(H697="Physical uplift",AG697&gt;Q697),"INVALID – recorded after the loading flight departed",IF(AG697&gt;Q697,"COMPLETE – LATE","COMPLETE"))))))))))))))))))))))))))),IF(TRIM(U697)="Fail","FAIL – DISCREPANCY",IF(AND(TRIM(U697)&lt;&gt;"",TRIM(U697)&lt;&gt;"Not started",TRIM(U697)&lt;&gt;"In progress"),"INVALID – unrecognised status (use the list)",IF(AsOfUTC&gt;Q697,"OVERDUE",IF(N697="Clarification required","OPEN – CLARIFICATION","OPEN"))))))),"INVALID – error value in an input cell")</f>
        <v>OPEN</v>
      </c>
      <c r="AI697" s="61" t="n">
        <f aca="false">IF(OR(AH697="N/A – RULE",AH697="N/A – JUSTIFIED"),0,1)</f>
        <v>1</v>
      </c>
      <c r="AJ697" s="61" t="n">
        <f aca="false">IF(LEFT(AH697,8)="COMPLETE",1,0)</f>
        <v>0</v>
      </c>
      <c r="AK697" s="61" t="n">
        <f aca="false">IF(AND(AI697=1,AJ697=0,AsOfUTC&gt;Q697),1,0)</f>
        <v>0</v>
      </c>
      <c r="AL697" s="61" t="n">
        <f aca="false">IFERROR(IF(AND(AI697=1,OR(TRIM(U697)="Fail",AND(TRIM(AB697)&lt;&gt;"",TRIM(AB697)&lt;&gt;"Closed"),AND(ISNUMBER(AF697),AF697&lt;&gt;0,TRIM(U697)&lt;&gt;"Pass after CA"))),1,0),1)</f>
        <v>0</v>
      </c>
      <c r="AM697" s="61" t="n">
        <f aca="false">IF(LEFT(AH697,7)="INVALID",1,0)</f>
        <v>0</v>
      </c>
      <c r="AN697" s="61" t="n">
        <f aca="false">IF(AND(N697="Clarification required",AI697=1,AJ697=0),1,0)</f>
        <v>0</v>
      </c>
      <c r="AO697" s="61" t="str">
        <f aca="false">IF(AK697=1,SUM(AK$5:AK697),"")</f>
        <v/>
      </c>
      <c r="AP697" s="61" t="str">
        <f aca="false">IF(AL697=1,SUM(AL$5:AL697),"")</f>
        <v/>
      </c>
      <c r="AQ697" s="61" t="n">
        <v>0</v>
      </c>
      <c r="AR697" s="61" t="n">
        <v>0</v>
      </c>
      <c r="AS697" s="61" t="n">
        <v>0</v>
      </c>
      <c r="AT697" s="61" t="n">
        <v>0</v>
      </c>
      <c r="AU697" s="61" t="str">
        <f aca="false">SUBSTITUTE(SUBSTITUTE(SUBSTITUTE(SUBSTITUTE(SUBSTITUTE(SUBSTITUTE(SUBSTITUTE(SUBSTITUTE(SUBSTITUTE(SUBSTITUTE(SUBSTITUTE(SUBSTITUTE(SUBSTITUTE(SUBSTITUTE(SUBSTITUTE(SUBSTITUTE(LOWER(T697&amp;""),CHAR(10),""),CHAR(13),""),CHAR(9),""),CHAR(160),"")," ",""),".",""),"-",""),"/",""),"?",""),"_",""),",",""),"[",""),"]",""),"(",""),")",""),"*","")</f>
        <v/>
      </c>
      <c r="AV697" s="61" t="str">
        <f aca="false">SUBSTITUTE(SUBSTITUTE(SUBSTITUTE(SUBSTITUTE(SUBSTITUTE(SUBSTITUTE(SUBSTITUTE(SUBSTITUTE(SUBSTITUTE(SUBSTITUTE(SUBSTITUTE(SUBSTITUTE(SUBSTITUTE(SUBSTITUTE(SUBSTITUTE(SUBSTITUTE(LOWER(V697&amp;""),CHAR(10),""),CHAR(13),""),CHAR(9),""),CHAR(160),"")," ",""),".",""),"-",""),"/",""),"?",""),"_",""),",",""),"[",""),"]",""),"(",""),")",""),"*","")</f>
        <v/>
      </c>
      <c r="AW697" s="61" t="str">
        <f aca="false">SUBSTITUTE(SUBSTITUTE(SUBSTITUTE(SUBSTITUTE(SUBSTITUTE(SUBSTITUTE(SUBSTITUTE(SUBSTITUTE(SUBSTITUTE(SUBSTITUTE(SUBSTITUTE(SUBSTITUTE(SUBSTITUTE(SUBSTITUTE(SUBSTITUTE(SUBSTITUTE(LOWER(Z697&amp;""),CHAR(10),""),CHAR(13),""),CHAR(9),""),CHAR(160),"")," ",""),".",""),"-",""),"/",""),"?",""),"_",""),",",""),"[",""),"]",""),"(",""),")",""),"*","")</f>
        <v/>
      </c>
      <c r="AX697" s="61" t="str">
        <f aca="false">SUBSTITUTE(SUBSTITUTE(SUBSTITUTE(SUBSTITUTE(SUBSTITUTE(SUBSTITUTE(SUBSTITUTE(SUBSTITUTE(SUBSTITUTE(SUBSTITUTE(SUBSTITUTE(SUBSTITUTE(SUBSTITUTE(SUBSTITUTE(SUBSTITUTE(SUBSTITUTE(LOWER(AE697&amp;""),CHAR(10),""),CHAR(13),""),CHAR(9),""),CHAR(160),"")," ",""),".",""),"-",""),"/",""),"?",""),"_",""),",",""),"[",""),"]",""),"(",""),")",""),"*","")</f>
        <v/>
      </c>
      <c r="AY697" s="61" t="str">
        <f aca="false">SUBSTITUTE(SUBSTITUTE(SUBSTITUTE(SUBSTITUTE(SUBSTITUTE(SUBSTITUTE(SUBSTITUTE(SUBSTITUTE(SUBSTITUTE(SUBSTITUTE(SUBSTITUTE(SUBSTITUTE(SUBSTITUTE(SUBSTITUTE(SUBSTITUTE(SUBSTITUTE(LOWER(W697&amp;""),CHAR(10),""),CHAR(13),""),CHAR(9),""),CHAR(160),"")," ",""),".",""),"-",""),"/",""),"?",""),"_",""),",",""),"[",""),"]",""),"(",""),")",""),"*","")</f>
        <v/>
      </c>
      <c r="AZ697" s="61" t="str">
        <f aca="false">SUBSTITUTE(SUBSTITUTE(SUBSTITUTE(SUBSTITUTE(SUBSTITUTE(SUBSTITUTE(SUBSTITUTE(SUBSTITUTE(SUBSTITUTE(SUBSTITUTE(SUBSTITUTE(SUBSTITUTE(SUBSTITUTE(SUBSTITUTE(SUBSTITUTE(SUBSTITUTE(LOWER(AC697&amp;""),CHAR(10),""),CHAR(13),""),CHAR(9),""),CHAR(160),"")," ",""),".",""),"-",""),"/",""),"?",""),"_",""),",",""),"[",""),"]",""),"(",""),")",""),"*","")</f>
        <v/>
      </c>
      <c r="BA697" s="61" t="str">
        <f aca="false">SUBSTITUTE(SUBSTITUTE(SUBSTITUTE(SUBSTITUTE(SUBSTITUTE(SUBSTITUTE(SUBSTITUTE(SUBSTITUTE(SUBSTITUTE(SUBSTITUTE(SUBSTITUTE(SUBSTITUTE(SUBSTITUTE(SUBSTITUTE(SUBSTITUTE(SUBSTITUTE(LOWER(AA697&amp;""),CHAR(10),""),CHAR(13),""),CHAR(9),""),CHAR(160),"")," ",""),".",""),"-",""),"/",""),"?",""),"_",""),",",""),"[",""),"]",""),"(",""),")",""),"*","")</f>
        <v/>
      </c>
      <c r="BB697" s="61" t="str">
        <f aca="false">IF(AND(TRIM(U697)="Pass",ISNUMBER(AF697)),IF(AF697&lt;&gt;0,"INVALID – qty variance: use Fail or Pass after CA",""),"")&amp;IF(AND(TRIM(U697)="Pass after CA",ISNUMBER(AF697)),IF(AF697&lt;&gt;0,"INVALID – after the corrective action the actual qty must equal expected (update Actual)",""),"")&amp;IF(AND(TRIM(U697)="Pass",TRIM(AB697)&lt;&gt;"",TRIM(AB697)&lt;&gt;"Closed"),"INVALID – corrective action not closed: use Fail, then Pass after CA","")&amp;IF(AND(LEN(BA697)&gt;=2,ISNA(MATCH(LEFT(BA697,255),L_Placeholder,0)),TRIM(AB697)=""),"INVALID – CA status missing for the recorded corrective action","")&amp;IF(AND(TRIM(U697)="Pass after CA",OR(OR(LEN(BA697)&lt;5,ISNUMBER(MATCH(BA697,L_Placeholder,0))),TRIM(AB697)&lt;&gt;"Closed")),"INVALID – corrective action not recorded/closed","")</f>
        <v/>
      </c>
      <c r="BC697" s="61" t="str">
        <f aca="false">" "&amp;TRIM(SUBSTITUTE(SUBSTITUTE(SUBSTITUTE(SUBSTITUTE(SUBSTITUTE(SUBSTITUTE(SUBSTITUTE(SUBSTITUTE(SUBSTITUTE(SUBSTITUTE(SUBSTITUTE(SUBSTITUTE(SUBSTITUTE(SUBSTITUTE(SUBSTITUTE(SUBSTITUTE(SUBSTITUTE(SUBSTITUTE(SUBSTITUTE(SUBSTITUTE(SUBSTITUTE(SUBSTITUTE(SUBSTITUTE(SUBSTITUTE(LOWER(V697&amp;""),CHAR(10)," "),CHAR(13)," "),CHAR(9)," "),CHAR(160)," "),"."," "),","," "),"-"," "),"/"," "),"("," "),")"," "),":"," "),";"," "),"_"," "),"–"," "),"?"," "),"!"," "),"*"," "),"["," "),"]"," "),"'"," "),"#"," "),"+"," "),"&amp;"," "),"\"," "))&amp;" "</f>
        <v>  </v>
      </c>
      <c r="BD697" s="61" t="str">
        <f aca="false">" "&amp;TRIM(SUBSTITUTE(SUBSTITUTE(SUBSTITUTE(SUBSTITUTE(SUBSTITUTE(SUBSTITUTE(SUBSTITUTE(SUBSTITUTE(SUBSTITUTE(SUBSTITUTE(SUBSTITUTE(SUBSTITUTE(SUBSTITUTE(SUBSTITUTE(SUBSTITUTE(SUBSTITUTE(SUBSTITUTE(SUBSTITUTE(SUBSTITUTE(SUBSTITUTE(SUBSTITUTE(SUBSTITUTE(SUBSTITUTE(SUBSTITUTE(LOWER(Z697&amp;""),CHAR(10)," "),CHAR(13)," "),CHAR(9)," "),CHAR(160)," "),"."," "),","," "),"-"," "),"/"," "),"("," "),")"," "),":"," "),";"," "),"_"," "),"–"," "),"?"," "),"!"," "),"*"," "),"["," "),"]"," "),"'"," "),"#"," "),"+"," "),"&amp;"," "),"\"," "))&amp;" "</f>
        <v>  </v>
      </c>
      <c r="BE697" s="61" t="str">
        <f aca="false">" "&amp;TRIM(SUBSTITUTE(SUBSTITUTE(SUBSTITUTE(SUBSTITUTE(SUBSTITUTE(SUBSTITUTE(SUBSTITUTE(SUBSTITUTE(SUBSTITUTE(SUBSTITUTE(SUBSTITUTE(SUBSTITUTE(SUBSTITUTE(SUBSTITUTE(SUBSTITUTE(SUBSTITUTE(SUBSTITUTE(SUBSTITUTE(SUBSTITUTE(SUBSTITUTE(SUBSTITUTE(SUBSTITUTE(SUBSTITUTE(SUBSTITUTE(LOWER(W697&amp;""),CHAR(10)," "),CHAR(13)," "),CHAR(9)," "),CHAR(160)," "),"."," "),","," "),"-"," "),"/"," "),"("," "),")"," "),":"," "),";"," "),"_"," "),"–"," "),"?"," "),"!"," "),"*"," "),"["," "),"]"," "),"'"," "),"#"," "),"+"," "),"&amp;"," "),"\"," "))&amp;" "</f>
        <v>  </v>
      </c>
      <c r="BF697" s="61" t="str">
        <f aca="false">" "&amp;TRIM(SUBSTITUTE(SUBSTITUTE(SUBSTITUTE(SUBSTITUTE(SUBSTITUTE(SUBSTITUTE(SUBSTITUTE(SUBSTITUTE(SUBSTITUTE(SUBSTITUTE(SUBSTITUTE(SUBSTITUTE(SUBSTITUTE(SUBSTITUTE(SUBSTITUTE(SUBSTITUTE(SUBSTITUTE(SUBSTITUTE(SUBSTITUTE(SUBSTITUTE(SUBSTITUTE(SUBSTITUTE(SUBSTITUTE(SUBSTITUTE(LOWER(AC697&amp;""),CHAR(10)," "),CHAR(13)," "),CHAR(9)," "),CHAR(160)," "),"."," "),","," "),"-"," "),"/"," "),"("," "),")"," "),":"," "),";"," "),"_"," "),"–"," "),"?"," "),"!"," "),"*"," "),"["," "),"]"," "),"'"," "),"#"," "),"+"," "),"&amp;"," "),"\"," "))&amp;" "</f>
        <v>  </v>
      </c>
      <c r="BG697" s="61" t="n">
        <f aca="false">IFERROR(IF(AND(TRIM(U697)="Pass",SUMPRODUCT((LEN(BC697)-LEN(SUBSTITUTE(BC697," "&amp;L_ResultBad&amp;" "," ")))/(LEN(L_ResultBad)+1))&gt;SUMPRODUCT((LEN(BC697)-LEN(SUBSTITUTE(BC697," "&amp;L_NegPhrase&amp;" "," ")))/(LEN(L_NegPhrase)+1))),1,0),0)</f>
        <v>0</v>
      </c>
      <c r="BH697" s="61" t="n">
        <f aca="false">IFERROR(IF(SUMPRODUCT((LEN(BC697)-LEN(SUBSTITUTE(BC697," "&amp;L_Pending&amp;" "," ")))/(LEN(L_Pending)+1))&gt;SUMPRODUCT((LEN(BC697)-LEN(SUBSTITUTE(BC697," "&amp;L_PendNeg&amp;" "," ")))/(LEN(L_PendNeg)+1)),1,0),1)</f>
        <v>0</v>
      </c>
      <c r="BI697" s="61" t="n">
        <f aca="false">IFERROR(IF(SUMPRODUCT((LEN(BD697)-LEN(SUBSTITUTE(BD697," "&amp;L_PendStrict&amp;" "," ")))/(LEN(L_PendStrict)+1))&gt;SUMPRODUCT((LEN(BD697)-LEN(SUBSTITUTE(BD697," "&amp;L_PendNeg&amp;" "," ")))/(LEN(L_PendNeg)+1)),1,0),1)</f>
        <v>0</v>
      </c>
      <c r="BJ697" s="61" t="n">
        <f aca="false">IFERROR(IF(SUMPRODUCT((LEN(BE697)-LEN(SUBSTITUTE(BE697," "&amp;L_Pending&amp;" "," ")))/(LEN(L_Pending)+1))&gt;SUMPRODUCT((LEN(BE697)-LEN(SUBSTITUTE(BE697," "&amp;L_PendNeg&amp;" "," ")))/(LEN(L_PendNeg)+1)),1,0),1)</f>
        <v>0</v>
      </c>
      <c r="BK697" s="61" t="n">
        <f aca="false">IFERROR(IF(SUMPRODUCT((LEN(BF697)-LEN(SUBSTITUTE(BF697," "&amp;L_PendStrict&amp;" "," ")))/(LEN(L_PendStrict)+1))&gt;SUMPRODUCT((LEN(BF697)-LEN(SUBSTITUTE(BF697," "&amp;L_PendNeg&amp;" "," ")))/(LEN(L_PendNeg)+1)),1,0),1)</f>
        <v>0</v>
      </c>
      <c r="BL697" s="61" t="n">
        <f aca="false">IF(ISNA(MATCH(TRIM(S697),L_EvidenceType,0)),0,BZ697)</f>
        <v>0</v>
      </c>
      <c r="BM697" s="61" t="str">
        <f aca="false">SUBSTITUTE(SUBSTITUTE(SUBSTITUTE(SUBSTITUTE(SUBSTITUTE(SUBSTITUTE(SUBSTITUTE(SUBSTITUTE(SUBSTITUTE(LOWER(Z697&amp;""),"1","0"),"2","0"),"3","0"),"4","0"),"5","0"),"6","0"),"7","0"),"8","0"),"9","0")</f>
        <v/>
      </c>
      <c r="BN697" s="61" t="str">
        <f aca="false">SUBSTITUTE(SUBSTITUTE(SUBSTITUTE(SUBSTITUTE(SUBSTITUTE(SUBSTITUTE(SUBSTITUTE(SUBSTITUTE(SUBSTITUTE(SUBSTITUTE(SUBSTITUTE(SUBSTITUTE(SUBSTITUTE(SUBSTITUTE(SUBSTITUTE(SUBSTITUTE(SUBSTITUTE(SUBSTITUTE(SUBSTITUTE(SUBSTITUTE(SUBSTITUTE(SUBSTITUTE(SUBSTITUTE(SUBSTITUTE(SUBSTITUTE(BM697,"b","a"),"c","a"),"d","a"),"e","a"),"f","a"),"g","a"),"h","a"),"i","a"),"j","a"),"k","a"),"l","a"),"m","a"),"n","a"),"o","a"),"p","a"),"q","a"),"r","a"),"s","a"),"t","a"),"u","a"),"v","a"),"w","a"),"x","a"),"y","a"),"z","a")</f>
        <v/>
      </c>
      <c r="BO697" s="61" t="str">
        <f aca="false">SUBSTITUTE(SUBSTITUTE(SUBSTITUTE(SUBSTITUTE(SUBSTITUTE(SUBSTITUTE(SUBSTITUTE(SUBSTITUTE(SUBSTITUTE(LOWER(W697&amp;""),"1","0"),"2","0"),"3","0"),"4","0"),"5","0"),"6","0"),"7","0"),"8","0"),"9","0")</f>
        <v/>
      </c>
      <c r="BP697" s="61" t="str">
        <f aca="false">SUBSTITUTE(SUBSTITUTE(SUBSTITUTE(SUBSTITUTE(SUBSTITUTE(SUBSTITUTE(SUBSTITUTE(SUBSTITUTE(SUBSTITUTE(SUBSTITUTE(SUBSTITUTE(SUBSTITUTE(SUBSTITUTE(SUBSTITUTE(SUBSTITUTE(SUBSTITUTE(SUBSTITUTE(SUBSTITUTE(SUBSTITUTE(SUBSTITUTE(SUBSTITUTE(SUBSTITUTE(SUBSTITUTE(SUBSTITUTE(SUBSTITUTE(BO697,"b","a"),"c","a"),"d","a"),"e","a"),"f","a"),"g","a"),"h","a"),"i","a"),"j","a"),"k","a"),"l","a"),"m","a"),"n","a"),"o","a"),"p","a"),"q","a"),"r","a"),"s","a"),"t","a"),"u","a"),"v","a"),"w","a"),"x","a"),"y","a"),"z","a")</f>
        <v/>
      </c>
      <c r="BQ697" s="61" t="n">
        <f aca="false">IFERROR(IF(AND(ISERROR(SEARCH(" mh"," "&amp;LOWER(W697))),ISNA(MATCH(LEFT(TRIM(BP697),255),{"0000a","000a","00a","0000aa","000aa","00aa","0aa","0000aaa","000aaa","00a00","0a00","0000-0000","00:00","a00","a0","00.00.0000","00/00/0000","00-00-0000","0000-00-00","0000/00/00","0000.00.00","00.00.00","00/00/00","00-00-00","0.00.0000","0/00/0000","0-00-0000"},0)),ISNA(MATCH(LEFT(TRIM(CA697),255),{"0000a","000a","00a","0000aa","000aa","00aa","0aa","0000aaa","000aaa","00a00","0a00","0000-0000","00:00","a00","a0","00.00.0000","00/00/0000","00-00-0000","0000-00-00","0000/00/00","0000.00.00","00.00.00","00/00/00","00-00-00","0.00.0000","0/00/0000","0-00-0000"},0)),LEN(CB697)&gt;=3,NOT(OR(SUBSTITUTE(CB697,"0","")="",AND(LEN(CB697)&gt;=4,CB697=REPT(LEFT(CB697),LEN(CB697))),ISNUMBER(MATCH(CB697,{"123","1234","12345","123456","1234567","12345678","0123","01234","012345","98765","987654","54321"},0)),AND(LEN(CB697)=8,LEFT(CB697,3)="202"))),OR(AND((LEN(CA697)-LEN(SUBSTITUTE(CA697,"a","")))&gt;=1,SUMPRODUCT(--ISNUMBER(SEARCH({"a0","a-0","a_0","a/0","a.0","a#0","0a","0-a","0_a","0/a"},BP697)))&gt;0),ISNUMBER(SEARCH("000000",BP697)))),1,0),0)</f>
        <v>0</v>
      </c>
      <c r="BR697" s="61" t="n">
        <f aca="false">IFERROR(LEN(SUBSTITUTE(CC697," ",""))-SUMPRODUCT((LEN(CC697)-LEN(SUBSTITUTE(CC697," "&amp;L_Role&amp;" "," ")))/(LEN(L_Role)+1)*LEN(L_Role)),0)</f>
        <v>0</v>
      </c>
      <c r="BS697" s="61" t="n">
        <f aca="false">IFERROR(LEN(SUBSTITUTE(CD697," ",""))-SUMPRODUCT((LEN(CD697)-LEN(SUBSTITUTE(CD697," "&amp;L_Role&amp;" "," ")))/(LEN(L_Role)+1)*LEN(L_Role)),0)</f>
        <v>0</v>
      </c>
      <c r="BT6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697,"revision",""),"version",""),"jan",""),"feb",""),"mar",""),"apr",""),"may",""),"jun",""),"jul",""),"aug",""),"sep",""),"oct",""),"nov",""),"dec",""),"utc",""),"gmt",""),"myt",""),"bst",""),"rev",""),"ver",""),"b","a"),"c","a"),"d","a"),"e","a"),"f","a"),"g","a"),"h","a"),"i","a"),"j","a"),"k","a"),"l","a"),"m","a"),"n","a"),"o","a"),"p","a"),"q","a"),"r","a"),"s","a"),"t","a"),"u","a"),"v","a"),"w","a"),"x","a"),"y","a"),"z","a")</f>
        <v/>
      </c>
      <c r="BU697" s="61" t="str">
        <f aca="false">SUBSTITUTE(SUBSTITUTE(SUBSTITUTE(SUBSTITUTE(SUBSTITUTE(SUBSTITUTE(SUBSTITUTE(SUBSTITUTE(SUBSTITUTE(SUBSTITUTE(LEFT(BM697,FIND("0",BM697&amp;"0")-1),"-",""),"_",""),"/",""),".",""),"#",""),"\\",""),":","")," ",""),"(",""),")","")</f>
        <v/>
      </c>
      <c r="BV697" s="61" t="n">
        <f aca="false">IFERROR(IF(OR(SUMPRODUCT((LEN(BC697)-LEN(SUBSTITUTE(BC697," "&amp;L_NotLoaded&amp;" "," ")))/(LEN(L_NotLoaded)+1))&gt;SUMPRODUCT((LEN(BC697)-LEN(SUBSTITUTE(BC697," "&amp;L_NotLoadedNeg&amp;" "," ")))/(LEN(L_NotLoadedNeg)+1)),SUMPRODUCT((LEN(BD697)-LEN(SUBSTITUTE(BD697," "&amp;L_NotLoaded&amp;" "," ")))/(LEN(L_NotLoaded)+1))&gt;SUMPRODUCT((LEN(BD697)-LEN(SUBSTITUTE(BD697," "&amp;L_NotLoadedNeg&amp;" "," ")))/(LEN(L_NotLoadedNeg)+1))),1,0),0)</f>
        <v>0</v>
      </c>
      <c r="BW69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697&amp;""),"a",""),"b",""),"c",""),"d",""),"e",""),"f",""),"g",""),"h",""),"i",""),"j",""),"k",""),"l",""),"m",""),"n",""),"o",""),"p",""),"q",""),"r",""),"s",""),"t",""),"u",""),"v",""),"w",""),"x",""),"y",""),"z",""),"-",""),"_",""),"/",""),".",""),"#",""),"\\",""),":","")," ",""),"(",""),")","")</f>
        <v/>
      </c>
      <c r="BX697" s="61" t="str">
        <f aca="false">SUBSTITUTE(SUBSTITUTE(SUBSTITUTE(SUBSTITUTE(SUBSTITUTE(SUBSTITUTE(SUBSTITUTE(SUBSTITUTE(SUBSTITUTE(SUBSTITUTE(SUBSTITUTE(BM697,"0",""),"-",""),"_",""),"/",""),".",""),"#",""),"\\",""),":","")," ",""),"(",""),")","")</f>
        <v/>
      </c>
      <c r="BY697" s="62" t="n">
        <f aca="false">IF(ISNUMBER(Flights!$AZ$25),MAX(Q697-UpliftWindowH/24,Flights!$AZ$25),Q697-UpliftWindowH/24)</f>
        <v>46325.03125</v>
      </c>
      <c r="BZ697" s="61" t="n">
        <f aca="false">IFERROR(IF(IF(TRIM(S697)="Link / file path",AND(LEN(TRIM(Z697))&gt;=5,SUMPRODUCT(--ISNUMBER(SEARCH({"http","www.","\\",":\",".pdf",".jpg",".jpeg",".png",".heic",".xls",".doc",".msg",".eml",".ppt",".txt",".zip"},Z697)))&gt;0),AND(ISERROR(FIND(" ",TRIM(Z697))),NOT(OR(SUMPRODUCT(--ISNUMBER(FIND({",",";","&amp;","+"},Z697)))&gt;0,SUMPRODUCT(--ISNUMBER(SEARCH({"0/aa","0\\aa"},BN697)))&gt;0)),NOT(SUMPRODUCT(--ISNUMBER(SEARCH({"http","www.","\\",":\",".pdf",".jpg",".jpeg",".png",".heic",".xls",".doc",".msg",".eml",".ppt",".txt",".zip"},Z697)))&gt;0),NOT(LOWER(TRIM(Z697))=LOWER(Flights!$F$25)),ISNA(MATCH(BU697,{"mh","rev","revision","ver","version","v","r","a","b","seat","tray","row","gate","bay","stand","page","pg","item","line","no","cart","galley","flight","flt","table","box","bag","oven","etd","eta","std","sta","atd","ata","qty","pax","x","time","tel","ph","mob","day","wk","week","utc","gmt","myt","lt"},0)),NOT(OR(ISNUMBER(MATCH(LEFT(BN697,255),{"0000a","000a","00a","0000aa","000aa","00aa","0aa","0000aaa","000aaa","00a00","0a00","0000-0000","00:00","a00","a0","00.00.0000","00/00/0000","00-00-0000","0000-00-00","0000/00/00","0000.00.00","00.00.00","00/00/00","00-00-00","0.00.0000","0/00/0000","0-00-0000"},0)),ISNUMBER(MATCH(LEFT(BT697,255),{"0000a","000a","00a","0000aa","000aa","00aa","0aa","0000aaa","000aaa","00a00","0a00","0000-0000","00:00","a00","a0","00.00.0000","00/00/0000","00-00-0000","0000-00-00","0000/00/00","0000.00.00","00.00.00","00/00/00","00-00-00","0.00.0000","0/00/0000","0-00-0000"},0)))),NOT(OR(AND(BW697&lt;&gt;"",SUBSTITUTE(BW697,"0","")=""),AND(LEN(BW697)&gt;=4,BW697=REPT(LEFT(BW697),LEN(BW697))),ISNUMBER(MATCH(BW697,{"123","1234","12345","123456","1234567","12345678","0123","01234","012345","98765","987654","54321"},0)),ISNUMBER(MATCH(BX697,{"x","xx","xxx","xxxx","xxxxx","abc","abcd","nil","na","nan","test","tbc","tba","tbd","dummy","sample","example","eg","zz","zzz","none","null","xyz","qwe","asd","id","ref"},0)),AND(LEN(BW697)=8,BX697="",OR(LEFT(BW697,3)="202",ISNUMBER(MATCH(RIGHT(BW697,4),{"2025","2026","2027"},0)))))),OR(AND((LEN(BT697)-LEN(SUBSTITUTE(BT697,"a","")))&gt;=1,(LEN(BN697)-LEN(SUBSTITUTE(BN697,"0","")))&gt;=2,SUMPRODUCT(--ISNUMBER(SEARCH({"a0","a-0","a_0","a/0","a.0","a#0","0a","0-a","0_a","0/a"},BN697)))&gt;0),AND((LEN(BN697)-LEN(SUBSTITUTE(BN697,"a","")))=0,(LEN(BN697)-LEN(SUBSTITUTE(BN697,"0","")))&gt;=5)))),1,0),0)</f>
        <v>0</v>
      </c>
      <c r="CA6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697,"revision",""),"version",""),"jan",""),"feb",""),"mar",""),"apr",""),"may",""),"jun",""),"jul",""),"aug",""),"sep",""),"oct",""),"nov",""),"dec",""),"utc",""),"gmt",""),"myt",""),"bst",""),"rev",""),"ver",""),"b","a"),"c","a"),"d","a"),"e","a"),"f","a"),"g","a"),"h","a"),"i","a"),"j","a"),"k","a"),"l","a"),"m","a"),"n","a"),"o","a"),"p","a"),"q","a"),"r","a"),"s","a"),"t","a"),"u","a"),"v","a"),"w","a"),"x","a"),"y","a"),"z","a")</f>
        <v/>
      </c>
      <c r="CB69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697&amp;""),"a",""),"b",""),"c",""),"d",""),"e",""),"f",""),"g",""),"h",""),"i",""),"j",""),"k",""),"l",""),"m",""),"n",""),"o",""),"p",""),"q",""),"r",""),"s",""),"t",""),"u",""),"v",""),"w",""),"x",""),"y",""),"z",""),"-",""),"_",""),"/",""),".",""),"#",""),"\\",""),":","")," ",""),"(",""),")","")</f>
        <v/>
      </c>
      <c r="CC697" s="0" t="str">
        <f aca="false">" "&amp;TRIM(SUBSTITUTE(SUBSTITUTE(SUBSTITUTE(SUBSTITUTE(SUBSTITUTE(SUBSTITUTE(SUBSTITUTE(SUBSTITUTE(SUBSTITUTE(SUBSTITUTE(SUBSTITUTE(SUBSTITUTE(SUBSTITUTE(SUBSTITUTE(SUBSTITUTE(SUBSTITUTE(SUBSTITUTE(SUBSTITUTE(SUBSTITUTE(SUBSTITUTE(SUBSTITUTE(SUBSTITUTE(SUBSTITUTE(SUBSTITUTE(LOWER(T697&amp;""),CHAR(10)," "),CHAR(13)," "),CHAR(9)," "),CHAR(160)," "),"."," "),","," "),"-"," "),"/"," "),"("," "),")"," "),":"," "),";"," "),"_"," "),"–"," "),"?"," "),"!"," "),"*"," "),"["," "),"]"," "),"'"," "),"#"," "),"+"," "),"&amp;"," "),"\"," "))&amp;" "</f>
        <v>  </v>
      </c>
      <c r="CD697" s="0" t="str">
        <f aca="false">" "&amp;TRIM(SUBSTITUTE(SUBSTITUTE(SUBSTITUTE(SUBSTITUTE(SUBSTITUTE(SUBSTITUTE(SUBSTITUTE(SUBSTITUTE(SUBSTITUTE(SUBSTITUTE(SUBSTITUTE(SUBSTITUTE(SUBSTITUTE(SUBSTITUTE(SUBSTITUTE(SUBSTITUTE(SUBSTITUTE(SUBSTITUTE(SUBSTITUTE(SUBSTITUTE(SUBSTITUTE(SUBSTITUTE(SUBSTITUTE(SUBSTITUTE(LOWER(AE697&amp;""),CHAR(10)," "),CHAR(13)," "),CHAR(9)," "),CHAR(160)," "),"."," "),","," "),"-"," "),"/"," "),"("," "),")"," "),":"," "),";"," "),"_"," "),"–"," "),"?"," "),"!"," "),"*"," "),"["," "),"]"," "),"'"," "),"#"," "),"+"," "),"&amp;"," "),"\"," "))&amp;" "</f>
        <v>  </v>
      </c>
      <c r="CE697" s="68" t="n">
        <f aca="false">IFERROR(IF(AND(LEN(AU697)&gt;0,LEN(AU697)=LEN(AX697),OR(TRIM(MID(SUBSTITUTE(TRIM(CC697)," ",REPT(" ",60)),1,60))="",ISNUMBER(SEARCH(" "&amp;TRIM(MID(SUBSTITUTE(TRIM(CC697)," ",REPT(" ",60)),1,60))&amp;" ",CD697))),OR(TRIM(MID(SUBSTITUTE(TRIM(CC697)," ",REPT(" ",60)),61,60))="",ISNUMBER(SEARCH(" "&amp;TRIM(MID(SUBSTITUTE(TRIM(CC697)," ",REPT(" ",60)),61,60))&amp;" ",CD697))),OR(TRIM(MID(SUBSTITUTE(TRIM(CC697)," ",REPT(" ",60)),121,60))="",ISNUMBER(SEARCH(" "&amp;TRIM(MID(SUBSTITUTE(TRIM(CC697)," ",REPT(" ",60)),121,60))&amp;" ",CD697)))),1,0),0)</f>
        <v>0</v>
      </c>
      <c r="CG697" s="68" t="n">
        <f aca="false">IFERROR(LEN(SUBSTITUTE(BF697," ",""))-SUMPRODUCT((LEN(BF697)-LEN(SUBSTITUTE(BF697," "&amp;L_NAFiller&amp;" "," ")))/(LEN(L_NAFiller)+1)*LEN(L_NAFiller)),0)</f>
        <v>0</v>
      </c>
    </row>
    <row r="698" customFormat="false" ht="39.75" hidden="false" customHeight="true" outlineLevel="0" collapsed="false">
      <c r="A698" s="57" t="s">
        <v>1432</v>
      </c>
      <c r="B698" s="57" t="s">
        <v>310</v>
      </c>
      <c r="C698" s="57" t="str">
        <f aca="false">Flights!$F$25</f>
        <v>MH1437</v>
      </c>
      <c r="D698" s="58" t="n">
        <f aca="false">Flights!$D$25</f>
        <v>46325</v>
      </c>
      <c r="E698" s="57" t="str">
        <f aca="false">Flights!$G$25&amp;"-"&amp;Flights!$H$25</f>
        <v>LGK-KUL</v>
      </c>
      <c r="F698" s="57" t="str">
        <f aca="false">Flights!$K$25</f>
        <v>BC</v>
      </c>
      <c r="G698" s="57" t="s">
        <v>459</v>
      </c>
      <c r="H698" s="57" t="s">
        <v>460</v>
      </c>
      <c r="I698" s="57" t="s">
        <v>499</v>
      </c>
      <c r="J698" s="57" t="s">
        <v>548</v>
      </c>
      <c r="K698" s="67" t="s">
        <v>519</v>
      </c>
      <c r="L698" s="67" t="s">
        <v>1415</v>
      </c>
      <c r="M698" s="67" t="s">
        <v>451</v>
      </c>
      <c r="N698" s="67" t="s">
        <v>383</v>
      </c>
      <c r="O698" s="67" t="s">
        <v>549</v>
      </c>
      <c r="P698" s="57" t="s">
        <v>306</v>
      </c>
      <c r="Q698" s="59" t="n">
        <f aca="false">ROUND((Flights!$AF$25)*1440,0)/1440</f>
        <v>46325.28125</v>
      </c>
      <c r="R698" s="59" t="n">
        <f aca="false">Q698+(IF(AND(INDEX(TZ_DSTS,MATCH(P698,TZ_STN,0))&lt;&gt;"",Q698&gt;=INDEX(TZ_DSTS,MATCH(P698,TZ_STN,0)),Q698&lt;INDEX(TZ_DSTE,MATCH(P698,TZ_STN,0))),INDEX(TZ_DST,MATCH(P698,TZ_STN,0)),INDEX(TZ_STD,MATCH(P698,TZ_STN,0))))/24</f>
        <v>46325.6145833333</v>
      </c>
      <c r="S698" s="60"/>
      <c r="T698" s="60"/>
      <c r="U698" s="60"/>
      <c r="V698" s="60"/>
      <c r="W698" s="61"/>
      <c r="X698" s="60"/>
      <c r="Y698" s="60"/>
      <c r="Z698" s="60"/>
      <c r="AA698" s="60"/>
      <c r="AB698" s="60"/>
      <c r="AC698" s="60"/>
      <c r="AD698" s="66"/>
      <c r="AE698" s="60"/>
      <c r="AF698" s="61" t="str">
        <f aca="false">IF(AND(ISNUMBER(X698),ISNUMBER(Y698)),Y698-X698,"")</f>
        <v/>
      </c>
      <c r="AG698" s="62" t="str">
        <f aca="false">IF(ISNUMBER(AD698),AD698-(IF(AND(INDEX(TZ_DSTS,MATCH(P698,TZ_STN,0))&lt;&gt;"",(AD698-INDEX(TZ_STD,MATCH(P698,TZ_STN,0))/24)&gt;=INDEX(TZ_DSTS,MATCH(P698,TZ_STN,0)),(AD698-INDEX(TZ_STD,MATCH(P698,TZ_STN,0))/24)&lt;INDEX(TZ_DSTE,MATCH(P698,TZ_STN,0))),INDEX(TZ_DST,MATCH(P698,TZ_STN,0)),INDEX(TZ_STD,MATCH(P698,TZ_STN,0))))/24,"")</f>
        <v/>
      </c>
      <c r="AH698" s="65" t="str">
        <f aca="false">IFERROR(IF(N698="N/A – rule",IF(OR(TRIM(U698)="",TRIM(U698)="N/A",TRIM(U698)="Not started"),"N/A – RULE","INVALID – this check does not apply to this aircraft: clear the status (or correct the fleet on Flights)"),IF(TRIM(U698)="N/A",IF(AT698=0,"INVALID – N/A not permitted for this check",IF(AND(TRIM(AB698)&lt;&gt;"",TRIM(AB698)&lt;&gt;"Closed"),"INVALID – corrective action still open",IF(AND(NOT(OR(LEN(AZ698)&lt;15,ISNUMBER(MATCH(AZ698,L_Placeholder,0)))),BK698=0,CG698&gt;=8,NOT(OR(LEN(AU698)&lt;2,ISNUMBER(MATCH(AU698,L_Placeholder,0)))),BR698&gt;=3,NOT(OR(LEN(AX698)&lt;2,ISNUMBER(MATCH(AX698,L_Placeholder,0)))),BS698&gt;=3,TRIM(AE698)&lt;&gt;TRIM(T698),AX698&lt;&gt;AU698,CE698=0),"N/A – JUSTIFIED","INVALID – N/A needs a real, settled reason (not 'not applicable' / 'as above' / TBC), a named PIC and a different named verifier"))),IF(OR(TRIM(U698)="Pass",TRIM(U698)="Pass after CA"),IF(NOT(ISNUMBER(AD698)),"INVALID – completion time missing",IF(OR(OR(LEN(AU698)&lt;2,ISNUMBER(MATCH(AU698,L_Placeholder,0))),BR698&lt;3),"INVALID – PIC missing or not a named person (a role such as QA / CSM is not a name)",IF(OR(LEN(AV698)&lt;2,ISNUMBER(MATCH(AV698,L_Placeholder,0))),"INVALID – result / assessment missing",IF(OR(OR(LEN(AW698)&lt;3,ISNUMBER(MATCH(AW698,L_Placeholder,0))),SUMPRODUCT(--ISNUMBER(SEARCH(" "&amp;L_EvidencePhrase&amp;" ",BD698)))&gt;0,BI698=1),"INVALID – evidence missing, placeholder or not yet on file",IF(ISNA(MATCH(TRIM(S698),L_EvidenceType,0)),"INVALID – choose the evidence type from the list (column S)",IF(BL698=0,"INVALID – evidence ID must be the record's own ID only (e.g. SF-2210, IMG_2231, 1045521); a link / file name needs type 'Link / file path'",IF(OR(OR(LEN(AX698)&lt;2,ISNUMBER(MATCH(AX698,L_Placeholder,0))),BS698&lt;3),"INVALID – verifier missing or not a named person (a role such as QA / CSM is not a name)",IF(OR(AX698=AU698,CE698=1,AND(LEN(AU698)&gt;=4,ISNUMBER(SEARCH(AU698,AX698))),AND(LEN(AX698)&gt;=4,ISNUMBER(SEARCH(AX698,AU698)))),"INVALID – verifier must be a different, named person (not the PIC or a role)",IF(BH698=1,"INVALID – result not yet available (awaiting / TBC)",IF(BG698=1,"INVALID – result describes a problem: record Fail, then Pass after CA (or reword if it is not a problem)",IF(BV698=1,"INVALID – wording says not on board: an on-board confirmation needs the item loaded",IF(AND(AQ698=1,OR(OR(LEN(AY698)&lt;3,ISNUMBER(MATCH(AY698,L_Placeholder,0))),BJ698=1,BQ698=0)),"INVALID – batch ID missing, placeholder or not an ID (e.g. PASB-261008-BC-017)",IF(AND(AR698=1,OR(NOT(ISNUMBER(X698)),NOT(ISNUMBER(Y698)))),"INVALID – expected/actual qty missing",IF(AND(AR698=1,OR(X698&lt;=0,Y698&lt;0)),"INVALID – expected qty must be above 0 and actual not negative",IF(AH687="N/A – JUSTIFIED","INVALID – preparation row F21-T12-12 is N/A",IF(AND(AR698=1,ISNUMBER(X687),X698&lt;&gt;X687,TRIM(U698)&lt;&gt;"Pass after CA"),"INVALID – expected qty differs from preparation check F21-T12-12: record the load change as a corrective action (Pass after CA)",IF(BB698&lt;&gt;"",BB698,IF(AND(AS698=1,Documents!$J$25&lt;&gt;"ON FILE"),"INVALID – GLD not on file (Documents sheet)",IF(AND(AS698=2,Documents!$O$25&lt;&gt;"ON FILE"),"INVALID – menu checklist not on file (Documents sheet)",IF(AND(AS698=3,NOT(ISNUMBER(Flights!$AX$25))),"INVALID – enter carrying flight KUL departure (Flights AX)",IF(AND(AS698=3,OR(Flights!$AZ$25&gt;Flights!$AA$25,Flights!$AX$25&lt;Flights!$AA$25-3)),"INVALID – carrying flight (Flights AX) cannot arrive before this leg's STD, or is over 3 days early",IF(AG698&gt;AsOfUTC,"INVALID – completion time is in the future",IF(AND(ISNUMBER(BY698),AG698&lt;BY698),IF(H698="Physical uplift","INVALID – before uplift window (cannot confirm loading)","INVALID – before valid window"),IF(AG698&gt;Flights!$AA$25,"INVALID – completed after departure (cannot establish readiness)",IF(AND(H698="Preparation",AG698&gt;=IF(ISNUMBER(Flights!$BA$25),MIN(Flights!$BA$25,Flights!$AA$25),Flights!$AA$25)),"INVALID – completed after loading / departure (cannot establish readiness)",IF(AND(H698="Physical uplift",AG698&gt;Q698),"INVALID – recorded after the loading flight departed",IF(AG698&gt;Q698,"COMPLETE – LATE","COMPLETE"))))))))))))))))))))))))))),IF(TRIM(U698)="Fail","FAIL – DISCREPANCY",IF(AND(TRIM(U698)&lt;&gt;"",TRIM(U698)&lt;&gt;"Not started",TRIM(U698)&lt;&gt;"In progress"),"INVALID – unrecognised status (use the list)",IF(AsOfUTC&gt;Q698,"OVERDUE",IF(N698="Clarification required","OPEN – CLARIFICATION","OPEN"))))))),"INVALID – error value in an input cell")</f>
        <v>OPEN</v>
      </c>
      <c r="AI698" s="61" t="n">
        <f aca="false">IF(OR(AH698="N/A – RULE",AH698="N/A – JUSTIFIED"),0,1)</f>
        <v>1</v>
      </c>
      <c r="AJ698" s="61" t="n">
        <f aca="false">IF(LEFT(AH698,8)="COMPLETE",1,0)</f>
        <v>0</v>
      </c>
      <c r="AK698" s="61" t="n">
        <f aca="false">IF(AND(AI698=1,AJ698=0,AsOfUTC&gt;Q698),1,0)</f>
        <v>0</v>
      </c>
      <c r="AL698" s="61" t="n">
        <f aca="false">IFERROR(IF(AND(AI698=1,OR(TRIM(U698)="Fail",AND(TRIM(AB698)&lt;&gt;"",TRIM(AB698)&lt;&gt;"Closed"),AND(ISNUMBER(AF698),AF698&lt;&gt;0,TRIM(U698)&lt;&gt;"Pass after CA"))),1,0),1)</f>
        <v>0</v>
      </c>
      <c r="AM698" s="61" t="n">
        <f aca="false">IF(LEFT(AH698,7)="INVALID",1,0)</f>
        <v>0</v>
      </c>
      <c r="AN698" s="61" t="n">
        <f aca="false">IF(AND(N698="Clarification required",AI698=1,AJ698=0),1,0)</f>
        <v>0</v>
      </c>
      <c r="AO698" s="61" t="str">
        <f aca="false">IF(AK698=1,SUM(AK$5:AK698),"")</f>
        <v/>
      </c>
      <c r="AP698" s="61" t="str">
        <f aca="false">IF(AL698=1,SUM(AL$5:AL698),"")</f>
        <v/>
      </c>
      <c r="AQ698" s="61" t="n">
        <v>0</v>
      </c>
      <c r="AR698" s="61" t="n">
        <v>0</v>
      </c>
      <c r="AS698" s="61" t="n">
        <v>0</v>
      </c>
      <c r="AT698" s="61" t="n">
        <v>0</v>
      </c>
      <c r="AU698" s="61" t="str">
        <f aca="false">SUBSTITUTE(SUBSTITUTE(SUBSTITUTE(SUBSTITUTE(SUBSTITUTE(SUBSTITUTE(SUBSTITUTE(SUBSTITUTE(SUBSTITUTE(SUBSTITUTE(SUBSTITUTE(SUBSTITUTE(SUBSTITUTE(SUBSTITUTE(SUBSTITUTE(SUBSTITUTE(LOWER(T698&amp;""),CHAR(10),""),CHAR(13),""),CHAR(9),""),CHAR(160),"")," ",""),".",""),"-",""),"/",""),"?",""),"_",""),",",""),"[",""),"]",""),"(",""),")",""),"*","")</f>
        <v/>
      </c>
      <c r="AV698" s="61" t="str">
        <f aca="false">SUBSTITUTE(SUBSTITUTE(SUBSTITUTE(SUBSTITUTE(SUBSTITUTE(SUBSTITUTE(SUBSTITUTE(SUBSTITUTE(SUBSTITUTE(SUBSTITUTE(SUBSTITUTE(SUBSTITUTE(SUBSTITUTE(SUBSTITUTE(SUBSTITUTE(SUBSTITUTE(LOWER(V698&amp;""),CHAR(10),""),CHAR(13),""),CHAR(9),""),CHAR(160),"")," ",""),".",""),"-",""),"/",""),"?",""),"_",""),",",""),"[",""),"]",""),"(",""),")",""),"*","")</f>
        <v/>
      </c>
      <c r="AW698" s="61" t="str">
        <f aca="false">SUBSTITUTE(SUBSTITUTE(SUBSTITUTE(SUBSTITUTE(SUBSTITUTE(SUBSTITUTE(SUBSTITUTE(SUBSTITUTE(SUBSTITUTE(SUBSTITUTE(SUBSTITUTE(SUBSTITUTE(SUBSTITUTE(SUBSTITUTE(SUBSTITUTE(SUBSTITUTE(LOWER(Z698&amp;""),CHAR(10),""),CHAR(13),""),CHAR(9),""),CHAR(160),"")," ",""),".",""),"-",""),"/",""),"?",""),"_",""),",",""),"[",""),"]",""),"(",""),")",""),"*","")</f>
        <v/>
      </c>
      <c r="AX698" s="61" t="str">
        <f aca="false">SUBSTITUTE(SUBSTITUTE(SUBSTITUTE(SUBSTITUTE(SUBSTITUTE(SUBSTITUTE(SUBSTITUTE(SUBSTITUTE(SUBSTITUTE(SUBSTITUTE(SUBSTITUTE(SUBSTITUTE(SUBSTITUTE(SUBSTITUTE(SUBSTITUTE(SUBSTITUTE(LOWER(AE698&amp;""),CHAR(10),""),CHAR(13),""),CHAR(9),""),CHAR(160),"")," ",""),".",""),"-",""),"/",""),"?",""),"_",""),",",""),"[",""),"]",""),"(",""),")",""),"*","")</f>
        <v/>
      </c>
      <c r="AY698" s="61" t="str">
        <f aca="false">SUBSTITUTE(SUBSTITUTE(SUBSTITUTE(SUBSTITUTE(SUBSTITUTE(SUBSTITUTE(SUBSTITUTE(SUBSTITUTE(SUBSTITUTE(SUBSTITUTE(SUBSTITUTE(SUBSTITUTE(SUBSTITUTE(SUBSTITUTE(SUBSTITUTE(SUBSTITUTE(LOWER(W698&amp;""),CHAR(10),""),CHAR(13),""),CHAR(9),""),CHAR(160),"")," ",""),".",""),"-",""),"/",""),"?",""),"_",""),",",""),"[",""),"]",""),"(",""),")",""),"*","")</f>
        <v/>
      </c>
      <c r="AZ698" s="61" t="str">
        <f aca="false">SUBSTITUTE(SUBSTITUTE(SUBSTITUTE(SUBSTITUTE(SUBSTITUTE(SUBSTITUTE(SUBSTITUTE(SUBSTITUTE(SUBSTITUTE(SUBSTITUTE(SUBSTITUTE(SUBSTITUTE(SUBSTITUTE(SUBSTITUTE(SUBSTITUTE(SUBSTITUTE(LOWER(AC698&amp;""),CHAR(10),""),CHAR(13),""),CHAR(9),""),CHAR(160),"")," ",""),".",""),"-",""),"/",""),"?",""),"_",""),",",""),"[",""),"]",""),"(",""),")",""),"*","")</f>
        <v/>
      </c>
      <c r="BA698" s="61" t="str">
        <f aca="false">SUBSTITUTE(SUBSTITUTE(SUBSTITUTE(SUBSTITUTE(SUBSTITUTE(SUBSTITUTE(SUBSTITUTE(SUBSTITUTE(SUBSTITUTE(SUBSTITUTE(SUBSTITUTE(SUBSTITUTE(SUBSTITUTE(SUBSTITUTE(SUBSTITUTE(SUBSTITUTE(LOWER(AA698&amp;""),CHAR(10),""),CHAR(13),""),CHAR(9),""),CHAR(160),"")," ",""),".",""),"-",""),"/",""),"?",""),"_",""),",",""),"[",""),"]",""),"(",""),")",""),"*","")</f>
        <v/>
      </c>
      <c r="BB698" s="61" t="str">
        <f aca="false">IF(AND(TRIM(U698)="Pass",ISNUMBER(AF698)),IF(AF698&lt;&gt;0,"INVALID – qty variance: use Fail or Pass after CA",""),"")&amp;IF(AND(TRIM(U698)="Pass after CA",ISNUMBER(AF698)),IF(AF698&lt;&gt;0,"INVALID – after the corrective action the actual qty must equal expected (update Actual)",""),"")&amp;IF(AND(TRIM(U698)="Pass",TRIM(AB698)&lt;&gt;"",TRIM(AB698)&lt;&gt;"Closed"),"INVALID – corrective action not closed: use Fail, then Pass after CA","")&amp;IF(AND(LEN(BA698)&gt;=2,ISNA(MATCH(LEFT(BA698,255),L_Placeholder,0)),TRIM(AB698)=""),"INVALID – CA status missing for the recorded corrective action","")&amp;IF(AND(TRIM(U698)="Pass after CA",OR(OR(LEN(BA698)&lt;5,ISNUMBER(MATCH(BA698,L_Placeholder,0))),TRIM(AB698)&lt;&gt;"Closed")),"INVALID – corrective action not recorded/closed","")</f>
        <v/>
      </c>
      <c r="BC698" s="61" t="str">
        <f aca="false">" "&amp;TRIM(SUBSTITUTE(SUBSTITUTE(SUBSTITUTE(SUBSTITUTE(SUBSTITUTE(SUBSTITUTE(SUBSTITUTE(SUBSTITUTE(SUBSTITUTE(SUBSTITUTE(SUBSTITUTE(SUBSTITUTE(SUBSTITUTE(SUBSTITUTE(SUBSTITUTE(SUBSTITUTE(SUBSTITUTE(SUBSTITUTE(SUBSTITUTE(SUBSTITUTE(SUBSTITUTE(SUBSTITUTE(SUBSTITUTE(SUBSTITUTE(LOWER(V698&amp;""),CHAR(10)," "),CHAR(13)," "),CHAR(9)," "),CHAR(160)," "),"."," "),","," "),"-"," "),"/"," "),"("," "),")"," "),":"," "),";"," "),"_"," "),"–"," "),"?"," "),"!"," "),"*"," "),"["," "),"]"," "),"'"," "),"#"," "),"+"," "),"&amp;"," "),"\"," "))&amp;" "</f>
        <v>  </v>
      </c>
      <c r="BD698" s="61" t="str">
        <f aca="false">" "&amp;TRIM(SUBSTITUTE(SUBSTITUTE(SUBSTITUTE(SUBSTITUTE(SUBSTITUTE(SUBSTITUTE(SUBSTITUTE(SUBSTITUTE(SUBSTITUTE(SUBSTITUTE(SUBSTITUTE(SUBSTITUTE(SUBSTITUTE(SUBSTITUTE(SUBSTITUTE(SUBSTITUTE(SUBSTITUTE(SUBSTITUTE(SUBSTITUTE(SUBSTITUTE(SUBSTITUTE(SUBSTITUTE(SUBSTITUTE(SUBSTITUTE(LOWER(Z698&amp;""),CHAR(10)," "),CHAR(13)," "),CHAR(9)," "),CHAR(160)," "),"."," "),","," "),"-"," "),"/"," "),"("," "),")"," "),":"," "),";"," "),"_"," "),"–"," "),"?"," "),"!"," "),"*"," "),"["," "),"]"," "),"'"," "),"#"," "),"+"," "),"&amp;"," "),"\"," "))&amp;" "</f>
        <v>  </v>
      </c>
      <c r="BE698" s="61" t="str">
        <f aca="false">" "&amp;TRIM(SUBSTITUTE(SUBSTITUTE(SUBSTITUTE(SUBSTITUTE(SUBSTITUTE(SUBSTITUTE(SUBSTITUTE(SUBSTITUTE(SUBSTITUTE(SUBSTITUTE(SUBSTITUTE(SUBSTITUTE(SUBSTITUTE(SUBSTITUTE(SUBSTITUTE(SUBSTITUTE(SUBSTITUTE(SUBSTITUTE(SUBSTITUTE(SUBSTITUTE(SUBSTITUTE(SUBSTITUTE(SUBSTITUTE(SUBSTITUTE(LOWER(W698&amp;""),CHAR(10)," "),CHAR(13)," "),CHAR(9)," "),CHAR(160)," "),"."," "),","," "),"-"," "),"/"," "),"("," "),")"," "),":"," "),";"," "),"_"," "),"–"," "),"?"," "),"!"," "),"*"," "),"["," "),"]"," "),"'"," "),"#"," "),"+"," "),"&amp;"," "),"\"," "))&amp;" "</f>
        <v>  </v>
      </c>
      <c r="BF698" s="61" t="str">
        <f aca="false">" "&amp;TRIM(SUBSTITUTE(SUBSTITUTE(SUBSTITUTE(SUBSTITUTE(SUBSTITUTE(SUBSTITUTE(SUBSTITUTE(SUBSTITUTE(SUBSTITUTE(SUBSTITUTE(SUBSTITUTE(SUBSTITUTE(SUBSTITUTE(SUBSTITUTE(SUBSTITUTE(SUBSTITUTE(SUBSTITUTE(SUBSTITUTE(SUBSTITUTE(SUBSTITUTE(SUBSTITUTE(SUBSTITUTE(SUBSTITUTE(SUBSTITUTE(LOWER(AC698&amp;""),CHAR(10)," "),CHAR(13)," "),CHAR(9)," "),CHAR(160)," "),"."," "),","," "),"-"," "),"/"," "),"("," "),")"," "),":"," "),";"," "),"_"," "),"–"," "),"?"," "),"!"," "),"*"," "),"["," "),"]"," "),"'"," "),"#"," "),"+"," "),"&amp;"," "),"\"," "))&amp;" "</f>
        <v>  </v>
      </c>
      <c r="BG698" s="61" t="n">
        <f aca="false">IFERROR(IF(AND(TRIM(U698)="Pass",SUMPRODUCT((LEN(BC698)-LEN(SUBSTITUTE(BC698," "&amp;L_ResultBad&amp;" "," ")))/(LEN(L_ResultBad)+1))&gt;SUMPRODUCT((LEN(BC698)-LEN(SUBSTITUTE(BC698," "&amp;L_NegPhrase&amp;" "," ")))/(LEN(L_NegPhrase)+1))),1,0),0)</f>
        <v>0</v>
      </c>
      <c r="BH698" s="61" t="n">
        <f aca="false">IFERROR(IF(SUMPRODUCT((LEN(BC698)-LEN(SUBSTITUTE(BC698," "&amp;L_Pending&amp;" "," ")))/(LEN(L_Pending)+1))&gt;SUMPRODUCT((LEN(BC698)-LEN(SUBSTITUTE(BC698," "&amp;L_PendNeg&amp;" "," ")))/(LEN(L_PendNeg)+1)),1,0),1)</f>
        <v>0</v>
      </c>
      <c r="BI698" s="61" t="n">
        <f aca="false">IFERROR(IF(SUMPRODUCT((LEN(BD698)-LEN(SUBSTITUTE(BD698," "&amp;L_PendStrict&amp;" "," ")))/(LEN(L_PendStrict)+1))&gt;SUMPRODUCT((LEN(BD698)-LEN(SUBSTITUTE(BD698," "&amp;L_PendNeg&amp;" "," ")))/(LEN(L_PendNeg)+1)),1,0),1)</f>
        <v>0</v>
      </c>
      <c r="BJ698" s="61" t="n">
        <f aca="false">IFERROR(IF(SUMPRODUCT((LEN(BE698)-LEN(SUBSTITUTE(BE698," "&amp;L_Pending&amp;" "," ")))/(LEN(L_Pending)+1))&gt;SUMPRODUCT((LEN(BE698)-LEN(SUBSTITUTE(BE698," "&amp;L_PendNeg&amp;" "," ")))/(LEN(L_PendNeg)+1)),1,0),1)</f>
        <v>0</v>
      </c>
      <c r="BK698" s="61" t="n">
        <f aca="false">IFERROR(IF(SUMPRODUCT((LEN(BF698)-LEN(SUBSTITUTE(BF698," "&amp;L_PendStrict&amp;" "," ")))/(LEN(L_PendStrict)+1))&gt;SUMPRODUCT((LEN(BF698)-LEN(SUBSTITUTE(BF698," "&amp;L_PendNeg&amp;" "," ")))/(LEN(L_PendNeg)+1)),1,0),1)</f>
        <v>0</v>
      </c>
      <c r="BL698" s="61" t="n">
        <f aca="false">IF(ISNA(MATCH(TRIM(S698),L_EvidenceType,0)),0,BZ698)</f>
        <v>0</v>
      </c>
      <c r="BM698" s="61" t="str">
        <f aca="false">SUBSTITUTE(SUBSTITUTE(SUBSTITUTE(SUBSTITUTE(SUBSTITUTE(SUBSTITUTE(SUBSTITUTE(SUBSTITUTE(SUBSTITUTE(LOWER(Z698&amp;""),"1","0"),"2","0"),"3","0"),"4","0"),"5","0"),"6","0"),"7","0"),"8","0"),"9","0")</f>
        <v/>
      </c>
      <c r="BN698" s="61" t="str">
        <f aca="false">SUBSTITUTE(SUBSTITUTE(SUBSTITUTE(SUBSTITUTE(SUBSTITUTE(SUBSTITUTE(SUBSTITUTE(SUBSTITUTE(SUBSTITUTE(SUBSTITUTE(SUBSTITUTE(SUBSTITUTE(SUBSTITUTE(SUBSTITUTE(SUBSTITUTE(SUBSTITUTE(SUBSTITUTE(SUBSTITUTE(SUBSTITUTE(SUBSTITUTE(SUBSTITUTE(SUBSTITUTE(SUBSTITUTE(SUBSTITUTE(SUBSTITUTE(BM698,"b","a"),"c","a"),"d","a"),"e","a"),"f","a"),"g","a"),"h","a"),"i","a"),"j","a"),"k","a"),"l","a"),"m","a"),"n","a"),"o","a"),"p","a"),"q","a"),"r","a"),"s","a"),"t","a"),"u","a"),"v","a"),"w","a"),"x","a"),"y","a"),"z","a")</f>
        <v/>
      </c>
      <c r="BO698" s="61" t="str">
        <f aca="false">SUBSTITUTE(SUBSTITUTE(SUBSTITUTE(SUBSTITUTE(SUBSTITUTE(SUBSTITUTE(SUBSTITUTE(SUBSTITUTE(SUBSTITUTE(LOWER(W698&amp;""),"1","0"),"2","0"),"3","0"),"4","0"),"5","0"),"6","0"),"7","0"),"8","0"),"9","0")</f>
        <v/>
      </c>
      <c r="BP698" s="61" t="str">
        <f aca="false">SUBSTITUTE(SUBSTITUTE(SUBSTITUTE(SUBSTITUTE(SUBSTITUTE(SUBSTITUTE(SUBSTITUTE(SUBSTITUTE(SUBSTITUTE(SUBSTITUTE(SUBSTITUTE(SUBSTITUTE(SUBSTITUTE(SUBSTITUTE(SUBSTITUTE(SUBSTITUTE(SUBSTITUTE(SUBSTITUTE(SUBSTITUTE(SUBSTITUTE(SUBSTITUTE(SUBSTITUTE(SUBSTITUTE(SUBSTITUTE(SUBSTITUTE(BO698,"b","a"),"c","a"),"d","a"),"e","a"),"f","a"),"g","a"),"h","a"),"i","a"),"j","a"),"k","a"),"l","a"),"m","a"),"n","a"),"o","a"),"p","a"),"q","a"),"r","a"),"s","a"),"t","a"),"u","a"),"v","a"),"w","a"),"x","a"),"y","a"),"z","a")</f>
        <v/>
      </c>
      <c r="BQ698" s="61" t="n">
        <f aca="false">IFERROR(IF(AND(ISERROR(SEARCH(" mh"," "&amp;LOWER(W698))),ISNA(MATCH(LEFT(TRIM(BP698),255),{"0000a","000a","00a","0000aa","000aa","00aa","0aa","0000aaa","000aaa","00a00","0a00","0000-0000","00:00","a00","a0","00.00.0000","00/00/0000","00-00-0000","0000-00-00","0000/00/00","0000.00.00","00.00.00","00/00/00","00-00-00","0.00.0000","0/00/0000","0-00-0000"},0)),ISNA(MATCH(LEFT(TRIM(CA698),255),{"0000a","000a","00a","0000aa","000aa","00aa","0aa","0000aaa","000aaa","00a00","0a00","0000-0000","00:00","a00","a0","00.00.0000","00/00/0000","00-00-0000","0000-00-00","0000/00/00","0000.00.00","00.00.00","00/00/00","00-00-00","0.00.0000","0/00/0000","0-00-0000"},0)),LEN(CB698)&gt;=3,NOT(OR(SUBSTITUTE(CB698,"0","")="",AND(LEN(CB698)&gt;=4,CB698=REPT(LEFT(CB698),LEN(CB698))),ISNUMBER(MATCH(CB698,{"123","1234","12345","123456","1234567","12345678","0123","01234","012345","98765","987654","54321"},0)),AND(LEN(CB698)=8,LEFT(CB698,3)="202"))),OR(AND((LEN(CA698)-LEN(SUBSTITUTE(CA698,"a","")))&gt;=1,SUMPRODUCT(--ISNUMBER(SEARCH({"a0","a-0","a_0","a/0","a.0","a#0","0a","0-a","0_a","0/a"},BP698)))&gt;0),ISNUMBER(SEARCH("000000",BP698)))),1,0),0)</f>
        <v>0</v>
      </c>
      <c r="BR698" s="61" t="n">
        <f aca="false">IFERROR(LEN(SUBSTITUTE(CC698," ",""))-SUMPRODUCT((LEN(CC698)-LEN(SUBSTITUTE(CC698," "&amp;L_Role&amp;" "," ")))/(LEN(L_Role)+1)*LEN(L_Role)),0)</f>
        <v>0</v>
      </c>
      <c r="BS698" s="61" t="n">
        <f aca="false">IFERROR(LEN(SUBSTITUTE(CD698," ",""))-SUMPRODUCT((LEN(CD698)-LEN(SUBSTITUTE(CD698," "&amp;L_Role&amp;" "," ")))/(LEN(L_Role)+1)*LEN(L_Role)),0)</f>
        <v>0</v>
      </c>
      <c r="BT6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698,"revision",""),"version",""),"jan",""),"feb",""),"mar",""),"apr",""),"may",""),"jun",""),"jul",""),"aug",""),"sep",""),"oct",""),"nov",""),"dec",""),"utc",""),"gmt",""),"myt",""),"bst",""),"rev",""),"ver",""),"b","a"),"c","a"),"d","a"),"e","a"),"f","a"),"g","a"),"h","a"),"i","a"),"j","a"),"k","a"),"l","a"),"m","a"),"n","a"),"o","a"),"p","a"),"q","a"),"r","a"),"s","a"),"t","a"),"u","a"),"v","a"),"w","a"),"x","a"),"y","a"),"z","a")</f>
        <v/>
      </c>
      <c r="BU698" s="61" t="str">
        <f aca="false">SUBSTITUTE(SUBSTITUTE(SUBSTITUTE(SUBSTITUTE(SUBSTITUTE(SUBSTITUTE(SUBSTITUTE(SUBSTITUTE(SUBSTITUTE(SUBSTITUTE(LEFT(BM698,FIND("0",BM698&amp;"0")-1),"-",""),"_",""),"/",""),".",""),"#",""),"\\",""),":","")," ",""),"(",""),")","")</f>
        <v/>
      </c>
      <c r="BV698" s="61" t="n">
        <f aca="false">IFERROR(IF(OR(SUMPRODUCT((LEN(BC698)-LEN(SUBSTITUTE(BC698," "&amp;L_NotLoaded&amp;" "," ")))/(LEN(L_NotLoaded)+1))&gt;SUMPRODUCT((LEN(BC698)-LEN(SUBSTITUTE(BC698," "&amp;L_NotLoadedNeg&amp;" "," ")))/(LEN(L_NotLoadedNeg)+1)),SUMPRODUCT((LEN(BD698)-LEN(SUBSTITUTE(BD698," "&amp;L_NotLoaded&amp;" "," ")))/(LEN(L_NotLoaded)+1))&gt;SUMPRODUCT((LEN(BD698)-LEN(SUBSTITUTE(BD698," "&amp;L_NotLoadedNeg&amp;" "," ")))/(LEN(L_NotLoadedNeg)+1))),1,0),0)</f>
        <v>0</v>
      </c>
      <c r="BW69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698&amp;""),"a",""),"b",""),"c",""),"d",""),"e",""),"f",""),"g",""),"h",""),"i",""),"j",""),"k",""),"l",""),"m",""),"n",""),"o",""),"p",""),"q",""),"r",""),"s",""),"t",""),"u",""),"v",""),"w",""),"x",""),"y",""),"z",""),"-",""),"_",""),"/",""),".",""),"#",""),"\\",""),":","")," ",""),"(",""),")","")</f>
        <v/>
      </c>
      <c r="BX698" s="61" t="str">
        <f aca="false">SUBSTITUTE(SUBSTITUTE(SUBSTITUTE(SUBSTITUTE(SUBSTITUTE(SUBSTITUTE(SUBSTITUTE(SUBSTITUTE(SUBSTITUTE(SUBSTITUTE(SUBSTITUTE(BM698,"0",""),"-",""),"_",""),"/",""),".",""),"#",""),"\\",""),":","")," ",""),"(",""),")","")</f>
        <v/>
      </c>
      <c r="BY698" s="62" t="n">
        <f aca="false">IF(ISNUMBER(Flights!$AZ$25),MAX(Q698-UpliftWindowH/24,Flights!$AZ$25),Q698-UpliftWindowH/24)</f>
        <v>46325.03125</v>
      </c>
      <c r="BZ698" s="61" t="n">
        <f aca="false">IFERROR(IF(IF(TRIM(S698)="Link / file path",AND(LEN(TRIM(Z698))&gt;=5,SUMPRODUCT(--ISNUMBER(SEARCH({"http","www.","\\",":\",".pdf",".jpg",".jpeg",".png",".heic",".xls",".doc",".msg",".eml",".ppt",".txt",".zip"},Z698)))&gt;0),AND(ISERROR(FIND(" ",TRIM(Z698))),NOT(OR(SUMPRODUCT(--ISNUMBER(FIND({",",";","&amp;","+"},Z698)))&gt;0,SUMPRODUCT(--ISNUMBER(SEARCH({"0/aa","0\\aa"},BN698)))&gt;0)),NOT(SUMPRODUCT(--ISNUMBER(SEARCH({"http","www.","\\",":\",".pdf",".jpg",".jpeg",".png",".heic",".xls",".doc",".msg",".eml",".ppt",".txt",".zip"},Z698)))&gt;0),NOT(LOWER(TRIM(Z698))=LOWER(Flights!$F$25)),ISNA(MATCH(BU698,{"mh","rev","revision","ver","version","v","r","a","b","seat","tray","row","gate","bay","stand","page","pg","item","line","no","cart","galley","flight","flt","table","box","bag","oven","etd","eta","std","sta","atd","ata","qty","pax","x","time","tel","ph","mob","day","wk","week","utc","gmt","myt","lt"},0)),NOT(OR(ISNUMBER(MATCH(LEFT(BN698,255),{"0000a","000a","00a","0000aa","000aa","00aa","0aa","0000aaa","000aaa","00a00","0a00","0000-0000","00:00","a00","a0","00.00.0000","00/00/0000","00-00-0000","0000-00-00","0000/00/00","0000.00.00","00.00.00","00/00/00","00-00-00","0.00.0000","0/00/0000","0-00-0000"},0)),ISNUMBER(MATCH(LEFT(BT698,255),{"0000a","000a","00a","0000aa","000aa","00aa","0aa","0000aaa","000aaa","00a00","0a00","0000-0000","00:00","a00","a0","00.00.0000","00/00/0000","00-00-0000","0000-00-00","0000/00/00","0000.00.00","00.00.00","00/00/00","00-00-00","0.00.0000","0/00/0000","0-00-0000"},0)))),NOT(OR(AND(BW698&lt;&gt;"",SUBSTITUTE(BW698,"0","")=""),AND(LEN(BW698)&gt;=4,BW698=REPT(LEFT(BW698),LEN(BW698))),ISNUMBER(MATCH(BW698,{"123","1234","12345","123456","1234567","12345678","0123","01234","012345","98765","987654","54321"},0)),ISNUMBER(MATCH(BX698,{"x","xx","xxx","xxxx","xxxxx","abc","abcd","nil","na","nan","test","tbc","tba","tbd","dummy","sample","example","eg","zz","zzz","none","null","xyz","qwe","asd","id","ref"},0)),AND(LEN(BW698)=8,BX698="",OR(LEFT(BW698,3)="202",ISNUMBER(MATCH(RIGHT(BW698,4),{"2025","2026","2027"},0)))))),OR(AND((LEN(BT698)-LEN(SUBSTITUTE(BT698,"a","")))&gt;=1,(LEN(BN698)-LEN(SUBSTITUTE(BN698,"0","")))&gt;=2,SUMPRODUCT(--ISNUMBER(SEARCH({"a0","a-0","a_0","a/0","a.0","a#0","0a","0-a","0_a","0/a"},BN698)))&gt;0),AND((LEN(BN698)-LEN(SUBSTITUTE(BN698,"a","")))=0,(LEN(BN698)-LEN(SUBSTITUTE(BN698,"0","")))&gt;=5)))),1,0),0)</f>
        <v>0</v>
      </c>
      <c r="CA6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698,"revision",""),"version",""),"jan",""),"feb",""),"mar",""),"apr",""),"may",""),"jun",""),"jul",""),"aug",""),"sep",""),"oct",""),"nov",""),"dec",""),"utc",""),"gmt",""),"myt",""),"bst",""),"rev",""),"ver",""),"b","a"),"c","a"),"d","a"),"e","a"),"f","a"),"g","a"),"h","a"),"i","a"),"j","a"),"k","a"),"l","a"),"m","a"),"n","a"),"o","a"),"p","a"),"q","a"),"r","a"),"s","a"),"t","a"),"u","a"),"v","a"),"w","a"),"x","a"),"y","a"),"z","a")</f>
        <v/>
      </c>
      <c r="CB69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698&amp;""),"a",""),"b",""),"c",""),"d",""),"e",""),"f",""),"g",""),"h",""),"i",""),"j",""),"k",""),"l",""),"m",""),"n",""),"o",""),"p",""),"q",""),"r",""),"s",""),"t",""),"u",""),"v",""),"w",""),"x",""),"y",""),"z",""),"-",""),"_",""),"/",""),".",""),"#",""),"\\",""),":","")," ",""),"(",""),")","")</f>
        <v/>
      </c>
      <c r="CC698" s="0" t="str">
        <f aca="false">" "&amp;TRIM(SUBSTITUTE(SUBSTITUTE(SUBSTITUTE(SUBSTITUTE(SUBSTITUTE(SUBSTITUTE(SUBSTITUTE(SUBSTITUTE(SUBSTITUTE(SUBSTITUTE(SUBSTITUTE(SUBSTITUTE(SUBSTITUTE(SUBSTITUTE(SUBSTITUTE(SUBSTITUTE(SUBSTITUTE(SUBSTITUTE(SUBSTITUTE(SUBSTITUTE(SUBSTITUTE(SUBSTITUTE(SUBSTITUTE(SUBSTITUTE(LOWER(T698&amp;""),CHAR(10)," "),CHAR(13)," "),CHAR(9)," "),CHAR(160)," "),"."," "),","," "),"-"," "),"/"," "),"("," "),")"," "),":"," "),";"," "),"_"," "),"–"," "),"?"," "),"!"," "),"*"," "),"["," "),"]"," "),"'"," "),"#"," "),"+"," "),"&amp;"," "),"\"," "))&amp;" "</f>
        <v>  </v>
      </c>
      <c r="CD698" s="0" t="str">
        <f aca="false">" "&amp;TRIM(SUBSTITUTE(SUBSTITUTE(SUBSTITUTE(SUBSTITUTE(SUBSTITUTE(SUBSTITUTE(SUBSTITUTE(SUBSTITUTE(SUBSTITUTE(SUBSTITUTE(SUBSTITUTE(SUBSTITUTE(SUBSTITUTE(SUBSTITUTE(SUBSTITUTE(SUBSTITUTE(SUBSTITUTE(SUBSTITUTE(SUBSTITUTE(SUBSTITUTE(SUBSTITUTE(SUBSTITUTE(SUBSTITUTE(SUBSTITUTE(LOWER(AE698&amp;""),CHAR(10)," "),CHAR(13)," "),CHAR(9)," "),CHAR(160)," "),"."," "),","," "),"-"," "),"/"," "),"("," "),")"," "),":"," "),";"," "),"_"," "),"–"," "),"?"," "),"!"," "),"*"," "),"["," "),"]"," "),"'"," "),"#"," "),"+"," "),"&amp;"," "),"\"," "))&amp;" "</f>
        <v>  </v>
      </c>
      <c r="CE698" s="68" t="n">
        <f aca="false">IFERROR(IF(AND(LEN(AU698)&gt;0,LEN(AU698)=LEN(AX698),OR(TRIM(MID(SUBSTITUTE(TRIM(CC698)," ",REPT(" ",60)),1,60))="",ISNUMBER(SEARCH(" "&amp;TRIM(MID(SUBSTITUTE(TRIM(CC698)," ",REPT(" ",60)),1,60))&amp;" ",CD698))),OR(TRIM(MID(SUBSTITUTE(TRIM(CC698)," ",REPT(" ",60)),61,60))="",ISNUMBER(SEARCH(" "&amp;TRIM(MID(SUBSTITUTE(TRIM(CC698)," ",REPT(" ",60)),61,60))&amp;" ",CD698))),OR(TRIM(MID(SUBSTITUTE(TRIM(CC698)," ",REPT(" ",60)),121,60))="",ISNUMBER(SEARCH(" "&amp;TRIM(MID(SUBSTITUTE(TRIM(CC698)," ",REPT(" ",60)),121,60))&amp;" ",CD698)))),1,0),0)</f>
        <v>0</v>
      </c>
      <c r="CG698" s="68" t="n">
        <f aca="false">IFERROR(LEN(SUBSTITUTE(BF698," ",""))-SUMPRODUCT((LEN(BF698)-LEN(SUBSTITUTE(BF698," "&amp;L_NAFiller&amp;" "," ")))/(LEN(L_NAFiller)+1)*LEN(L_NAFiller)),0)</f>
        <v>0</v>
      </c>
    </row>
    <row r="699" customFormat="false" ht="39.75" hidden="false" customHeight="true" outlineLevel="0" collapsed="false">
      <c r="A699" s="57" t="s">
        <v>1433</v>
      </c>
      <c r="B699" s="57" t="s">
        <v>310</v>
      </c>
      <c r="C699" s="57" t="str">
        <f aca="false">Flights!$F$25</f>
        <v>MH1437</v>
      </c>
      <c r="D699" s="58" t="n">
        <f aca="false">Flights!$D$25</f>
        <v>46325</v>
      </c>
      <c r="E699" s="57" t="str">
        <f aca="false">Flights!$G$25&amp;"-"&amp;Flights!$H$25</f>
        <v>LGK-KUL</v>
      </c>
      <c r="F699" s="57" t="str">
        <f aca="false">Flights!$K$25</f>
        <v>BC</v>
      </c>
      <c r="G699" s="57" t="s">
        <v>459</v>
      </c>
      <c r="H699" s="57" t="s">
        <v>460</v>
      </c>
      <c r="I699" s="57" t="s">
        <v>499</v>
      </c>
      <c r="J699" s="57" t="s">
        <v>551</v>
      </c>
      <c r="K699" s="67" t="s">
        <v>501</v>
      </c>
      <c r="L699" s="67" t="s">
        <v>1418</v>
      </c>
      <c r="M699" s="67" t="s">
        <v>451</v>
      </c>
      <c r="N699" s="67" t="s">
        <v>383</v>
      </c>
      <c r="O699" s="67"/>
      <c r="P699" s="57" t="s">
        <v>306</v>
      </c>
      <c r="Q699" s="59" t="n">
        <f aca="false">ROUND((Flights!$AF$25)*1440,0)/1440</f>
        <v>46325.28125</v>
      </c>
      <c r="R699" s="59" t="n">
        <f aca="false">Q699+(IF(AND(INDEX(TZ_DSTS,MATCH(P699,TZ_STN,0))&lt;&gt;"",Q699&gt;=INDEX(TZ_DSTS,MATCH(P699,TZ_STN,0)),Q699&lt;INDEX(TZ_DSTE,MATCH(P699,TZ_STN,0))),INDEX(TZ_DST,MATCH(P699,TZ_STN,0)),INDEX(TZ_STD,MATCH(P699,TZ_STN,0))))/24</f>
        <v>46325.6145833333</v>
      </c>
      <c r="S699" s="60"/>
      <c r="T699" s="60"/>
      <c r="U699" s="60"/>
      <c r="V699" s="60"/>
      <c r="W699" s="61"/>
      <c r="X699" s="60"/>
      <c r="Y699" s="60"/>
      <c r="Z699" s="60"/>
      <c r="AA699" s="60"/>
      <c r="AB699" s="60"/>
      <c r="AC699" s="60"/>
      <c r="AD699" s="66"/>
      <c r="AE699" s="60"/>
      <c r="AF699" s="61" t="str">
        <f aca="false">IF(AND(ISNUMBER(X699),ISNUMBER(Y699)),Y699-X699,"")</f>
        <v/>
      </c>
      <c r="AG699" s="62" t="str">
        <f aca="false">IF(ISNUMBER(AD699),AD699-(IF(AND(INDEX(TZ_DSTS,MATCH(P699,TZ_STN,0))&lt;&gt;"",(AD699-INDEX(TZ_STD,MATCH(P699,TZ_STN,0))/24)&gt;=INDEX(TZ_DSTS,MATCH(P699,TZ_STN,0)),(AD699-INDEX(TZ_STD,MATCH(P699,TZ_STN,0))/24)&lt;INDEX(TZ_DSTE,MATCH(P699,TZ_STN,0))),INDEX(TZ_DST,MATCH(P699,TZ_STN,0)),INDEX(TZ_STD,MATCH(P699,TZ_STN,0))))/24,"")</f>
        <v/>
      </c>
      <c r="AH699" s="65" t="str">
        <f aca="false">IFERROR(IF(N699="N/A – rule",IF(OR(TRIM(U699)="",TRIM(U699)="N/A",TRIM(U699)="Not started"),"N/A – RULE","INVALID – this check does not apply to this aircraft: clear the status (or correct the fleet on Flights)"),IF(TRIM(U699)="N/A",IF(AT699=0,"INVALID – N/A not permitted for this check",IF(AND(TRIM(AB699)&lt;&gt;"",TRIM(AB699)&lt;&gt;"Closed"),"INVALID – corrective action still open",IF(AND(NOT(OR(LEN(AZ699)&lt;15,ISNUMBER(MATCH(AZ699,L_Placeholder,0)))),BK699=0,CG699&gt;=8,NOT(OR(LEN(AU699)&lt;2,ISNUMBER(MATCH(AU699,L_Placeholder,0)))),BR699&gt;=3,NOT(OR(LEN(AX699)&lt;2,ISNUMBER(MATCH(AX699,L_Placeholder,0)))),BS699&gt;=3,TRIM(AE699)&lt;&gt;TRIM(T699),AX699&lt;&gt;AU699,CE699=0),"N/A – JUSTIFIED","INVALID – N/A needs a real, settled reason (not 'not applicable' / 'as above' / TBC), a named PIC and a different named verifier"))),IF(OR(TRIM(U699)="Pass",TRIM(U699)="Pass after CA"),IF(NOT(ISNUMBER(AD699)),"INVALID – completion time missing",IF(OR(OR(LEN(AU699)&lt;2,ISNUMBER(MATCH(AU699,L_Placeholder,0))),BR699&lt;3),"INVALID – PIC missing or not a named person (a role such as QA / CSM is not a name)",IF(OR(LEN(AV699)&lt;2,ISNUMBER(MATCH(AV699,L_Placeholder,0))),"INVALID – result / assessment missing",IF(OR(OR(LEN(AW699)&lt;3,ISNUMBER(MATCH(AW699,L_Placeholder,0))),SUMPRODUCT(--ISNUMBER(SEARCH(" "&amp;L_EvidencePhrase&amp;" ",BD699)))&gt;0,BI699=1),"INVALID – evidence missing, placeholder or not yet on file",IF(ISNA(MATCH(TRIM(S699),L_EvidenceType,0)),"INVALID – choose the evidence type from the list (column S)",IF(BL699=0,"INVALID – evidence ID must be the record's own ID only (e.g. SF-2210, IMG_2231, 1045521); a link / file name needs type 'Link / file path'",IF(OR(OR(LEN(AX699)&lt;2,ISNUMBER(MATCH(AX699,L_Placeholder,0))),BS699&lt;3),"INVALID – verifier missing or not a named person (a role such as QA / CSM is not a name)",IF(OR(AX699=AU699,CE699=1,AND(LEN(AU699)&gt;=4,ISNUMBER(SEARCH(AU699,AX699))),AND(LEN(AX699)&gt;=4,ISNUMBER(SEARCH(AX699,AU699)))),"INVALID – verifier must be a different, named person (not the PIC or a role)",IF(BH699=1,"INVALID – result not yet available (awaiting / TBC)",IF(BG699=1,"INVALID – result describes a problem: record Fail, then Pass after CA (or reword if it is not a problem)",IF(BV699=1,"INVALID – wording says not on board: an on-board confirmation needs the item loaded",IF(AND(AQ699=1,OR(OR(LEN(AY699)&lt;3,ISNUMBER(MATCH(AY699,L_Placeholder,0))),BJ699=1,BQ699=0)),"INVALID – batch ID missing, placeholder or not an ID (e.g. PASB-261008-BC-017)",IF(AND(AR699=1,OR(NOT(ISNUMBER(X699)),NOT(ISNUMBER(Y699)))),"INVALID – expected/actual qty missing",IF(AND(AR699=1,OR(X699&lt;=0,Y699&lt;0)),"INVALID – expected qty must be above 0 and actual not negative",IF(AH688="N/A – JUSTIFIED","INVALID – preparation row F21-T12-13 is N/A",IF(AND(AR699=1,ISNUMBER(X688),X699&lt;&gt;X688,TRIM(U699)&lt;&gt;"Pass after CA"),"INVALID – expected qty differs from preparation check F21-T12-13: record the load change as a corrective action (Pass after CA)",IF(BB699&lt;&gt;"",BB699,IF(AND(AS699=1,Documents!$J$25&lt;&gt;"ON FILE"),"INVALID – GLD not on file (Documents sheet)",IF(AND(AS699=2,Documents!$O$25&lt;&gt;"ON FILE"),"INVALID – menu checklist not on file (Documents sheet)",IF(AND(AS699=3,NOT(ISNUMBER(Flights!$AX$25))),"INVALID – enter carrying flight KUL departure (Flights AX)",IF(AND(AS699=3,OR(Flights!$AZ$25&gt;Flights!$AA$25,Flights!$AX$25&lt;Flights!$AA$25-3)),"INVALID – carrying flight (Flights AX) cannot arrive before this leg's STD, or is over 3 days early",IF(AG699&gt;AsOfUTC,"INVALID – completion time is in the future",IF(AND(ISNUMBER(BY699),AG699&lt;BY699),IF(H699="Physical uplift","INVALID – before uplift window (cannot confirm loading)","INVALID – before valid window"),IF(AG699&gt;Flights!$AA$25,"INVALID – completed after departure (cannot establish readiness)",IF(AND(H699="Preparation",AG699&gt;=IF(ISNUMBER(Flights!$BA$25),MIN(Flights!$BA$25,Flights!$AA$25),Flights!$AA$25)),"INVALID – completed after loading / departure (cannot establish readiness)",IF(AND(H699="Physical uplift",AG699&gt;Q699),"INVALID – recorded after the loading flight departed",IF(AG699&gt;Q699,"COMPLETE – LATE","COMPLETE"))))))))))))))))))))))))))),IF(TRIM(U699)="Fail","FAIL – DISCREPANCY",IF(AND(TRIM(U699)&lt;&gt;"",TRIM(U699)&lt;&gt;"Not started",TRIM(U699)&lt;&gt;"In progress"),"INVALID – unrecognised status (use the list)",IF(AsOfUTC&gt;Q699,"OVERDUE",IF(N699="Clarification required","OPEN – CLARIFICATION","OPEN"))))))),"INVALID – error value in an input cell")</f>
        <v>OPEN</v>
      </c>
      <c r="AI699" s="61" t="n">
        <f aca="false">IF(OR(AH699="N/A – RULE",AH699="N/A – JUSTIFIED"),0,1)</f>
        <v>1</v>
      </c>
      <c r="AJ699" s="61" t="n">
        <f aca="false">IF(LEFT(AH699,8)="COMPLETE",1,0)</f>
        <v>0</v>
      </c>
      <c r="AK699" s="61" t="n">
        <f aca="false">IF(AND(AI699=1,AJ699=0,AsOfUTC&gt;Q699),1,0)</f>
        <v>0</v>
      </c>
      <c r="AL699" s="61" t="n">
        <f aca="false">IFERROR(IF(AND(AI699=1,OR(TRIM(U699)="Fail",AND(TRIM(AB699)&lt;&gt;"",TRIM(AB699)&lt;&gt;"Closed"),AND(ISNUMBER(AF699),AF699&lt;&gt;0,TRIM(U699)&lt;&gt;"Pass after CA"))),1,0),1)</f>
        <v>0</v>
      </c>
      <c r="AM699" s="61" t="n">
        <f aca="false">IF(LEFT(AH699,7)="INVALID",1,0)</f>
        <v>0</v>
      </c>
      <c r="AN699" s="61" t="n">
        <f aca="false">IF(AND(N699="Clarification required",AI699=1,AJ699=0),1,0)</f>
        <v>0</v>
      </c>
      <c r="AO699" s="61" t="str">
        <f aca="false">IF(AK699=1,SUM(AK$5:AK699),"")</f>
        <v/>
      </c>
      <c r="AP699" s="61" t="str">
        <f aca="false">IF(AL699=1,SUM(AL$5:AL699),"")</f>
        <v/>
      </c>
      <c r="AQ699" s="61" t="n">
        <v>0</v>
      </c>
      <c r="AR699" s="61" t="n">
        <v>0</v>
      </c>
      <c r="AS699" s="61" t="n">
        <v>0</v>
      </c>
      <c r="AT699" s="61" t="n">
        <v>0</v>
      </c>
      <c r="AU699" s="61" t="str">
        <f aca="false">SUBSTITUTE(SUBSTITUTE(SUBSTITUTE(SUBSTITUTE(SUBSTITUTE(SUBSTITUTE(SUBSTITUTE(SUBSTITUTE(SUBSTITUTE(SUBSTITUTE(SUBSTITUTE(SUBSTITUTE(SUBSTITUTE(SUBSTITUTE(SUBSTITUTE(SUBSTITUTE(LOWER(T699&amp;""),CHAR(10),""),CHAR(13),""),CHAR(9),""),CHAR(160),"")," ",""),".",""),"-",""),"/",""),"?",""),"_",""),",",""),"[",""),"]",""),"(",""),")",""),"*","")</f>
        <v/>
      </c>
      <c r="AV699" s="61" t="str">
        <f aca="false">SUBSTITUTE(SUBSTITUTE(SUBSTITUTE(SUBSTITUTE(SUBSTITUTE(SUBSTITUTE(SUBSTITUTE(SUBSTITUTE(SUBSTITUTE(SUBSTITUTE(SUBSTITUTE(SUBSTITUTE(SUBSTITUTE(SUBSTITUTE(SUBSTITUTE(SUBSTITUTE(LOWER(V699&amp;""),CHAR(10),""),CHAR(13),""),CHAR(9),""),CHAR(160),"")," ",""),".",""),"-",""),"/",""),"?",""),"_",""),",",""),"[",""),"]",""),"(",""),")",""),"*","")</f>
        <v/>
      </c>
      <c r="AW699" s="61" t="str">
        <f aca="false">SUBSTITUTE(SUBSTITUTE(SUBSTITUTE(SUBSTITUTE(SUBSTITUTE(SUBSTITUTE(SUBSTITUTE(SUBSTITUTE(SUBSTITUTE(SUBSTITUTE(SUBSTITUTE(SUBSTITUTE(SUBSTITUTE(SUBSTITUTE(SUBSTITUTE(SUBSTITUTE(LOWER(Z699&amp;""),CHAR(10),""),CHAR(13),""),CHAR(9),""),CHAR(160),"")," ",""),".",""),"-",""),"/",""),"?",""),"_",""),",",""),"[",""),"]",""),"(",""),")",""),"*","")</f>
        <v/>
      </c>
      <c r="AX699" s="61" t="str">
        <f aca="false">SUBSTITUTE(SUBSTITUTE(SUBSTITUTE(SUBSTITUTE(SUBSTITUTE(SUBSTITUTE(SUBSTITUTE(SUBSTITUTE(SUBSTITUTE(SUBSTITUTE(SUBSTITUTE(SUBSTITUTE(SUBSTITUTE(SUBSTITUTE(SUBSTITUTE(SUBSTITUTE(LOWER(AE699&amp;""),CHAR(10),""),CHAR(13),""),CHAR(9),""),CHAR(160),"")," ",""),".",""),"-",""),"/",""),"?",""),"_",""),",",""),"[",""),"]",""),"(",""),")",""),"*","")</f>
        <v/>
      </c>
      <c r="AY699" s="61" t="str">
        <f aca="false">SUBSTITUTE(SUBSTITUTE(SUBSTITUTE(SUBSTITUTE(SUBSTITUTE(SUBSTITUTE(SUBSTITUTE(SUBSTITUTE(SUBSTITUTE(SUBSTITUTE(SUBSTITUTE(SUBSTITUTE(SUBSTITUTE(SUBSTITUTE(SUBSTITUTE(SUBSTITUTE(LOWER(W699&amp;""),CHAR(10),""),CHAR(13),""),CHAR(9),""),CHAR(160),"")," ",""),".",""),"-",""),"/",""),"?",""),"_",""),",",""),"[",""),"]",""),"(",""),")",""),"*","")</f>
        <v/>
      </c>
      <c r="AZ699" s="61" t="str">
        <f aca="false">SUBSTITUTE(SUBSTITUTE(SUBSTITUTE(SUBSTITUTE(SUBSTITUTE(SUBSTITUTE(SUBSTITUTE(SUBSTITUTE(SUBSTITUTE(SUBSTITUTE(SUBSTITUTE(SUBSTITUTE(SUBSTITUTE(SUBSTITUTE(SUBSTITUTE(SUBSTITUTE(LOWER(AC699&amp;""),CHAR(10),""),CHAR(13),""),CHAR(9),""),CHAR(160),"")," ",""),".",""),"-",""),"/",""),"?",""),"_",""),",",""),"[",""),"]",""),"(",""),")",""),"*","")</f>
        <v/>
      </c>
      <c r="BA699" s="61" t="str">
        <f aca="false">SUBSTITUTE(SUBSTITUTE(SUBSTITUTE(SUBSTITUTE(SUBSTITUTE(SUBSTITUTE(SUBSTITUTE(SUBSTITUTE(SUBSTITUTE(SUBSTITUTE(SUBSTITUTE(SUBSTITUTE(SUBSTITUTE(SUBSTITUTE(SUBSTITUTE(SUBSTITUTE(LOWER(AA699&amp;""),CHAR(10),""),CHAR(13),""),CHAR(9),""),CHAR(160),"")," ",""),".",""),"-",""),"/",""),"?",""),"_",""),",",""),"[",""),"]",""),"(",""),")",""),"*","")</f>
        <v/>
      </c>
      <c r="BB699" s="61" t="str">
        <f aca="false">IF(AND(TRIM(U699)="Pass",ISNUMBER(AF699)),IF(AF699&lt;&gt;0,"INVALID – qty variance: use Fail or Pass after CA",""),"")&amp;IF(AND(TRIM(U699)="Pass after CA",ISNUMBER(AF699)),IF(AF699&lt;&gt;0,"INVALID – after the corrective action the actual qty must equal expected (update Actual)",""),"")&amp;IF(AND(TRIM(U699)="Pass",TRIM(AB699)&lt;&gt;"",TRIM(AB699)&lt;&gt;"Closed"),"INVALID – corrective action not closed: use Fail, then Pass after CA","")&amp;IF(AND(LEN(BA699)&gt;=2,ISNA(MATCH(LEFT(BA699,255),L_Placeholder,0)),TRIM(AB699)=""),"INVALID – CA status missing for the recorded corrective action","")&amp;IF(AND(TRIM(U699)="Pass after CA",OR(OR(LEN(BA699)&lt;5,ISNUMBER(MATCH(BA699,L_Placeholder,0))),TRIM(AB699)&lt;&gt;"Closed")),"INVALID – corrective action not recorded/closed","")</f>
        <v/>
      </c>
      <c r="BC699" s="61" t="str">
        <f aca="false">" "&amp;TRIM(SUBSTITUTE(SUBSTITUTE(SUBSTITUTE(SUBSTITUTE(SUBSTITUTE(SUBSTITUTE(SUBSTITUTE(SUBSTITUTE(SUBSTITUTE(SUBSTITUTE(SUBSTITUTE(SUBSTITUTE(SUBSTITUTE(SUBSTITUTE(SUBSTITUTE(SUBSTITUTE(SUBSTITUTE(SUBSTITUTE(SUBSTITUTE(SUBSTITUTE(SUBSTITUTE(SUBSTITUTE(SUBSTITUTE(SUBSTITUTE(LOWER(V699&amp;""),CHAR(10)," "),CHAR(13)," "),CHAR(9)," "),CHAR(160)," "),"."," "),","," "),"-"," "),"/"," "),"("," "),")"," "),":"," "),";"," "),"_"," "),"–"," "),"?"," "),"!"," "),"*"," "),"["," "),"]"," "),"'"," "),"#"," "),"+"," "),"&amp;"," "),"\"," "))&amp;" "</f>
        <v>  </v>
      </c>
      <c r="BD699" s="61" t="str">
        <f aca="false">" "&amp;TRIM(SUBSTITUTE(SUBSTITUTE(SUBSTITUTE(SUBSTITUTE(SUBSTITUTE(SUBSTITUTE(SUBSTITUTE(SUBSTITUTE(SUBSTITUTE(SUBSTITUTE(SUBSTITUTE(SUBSTITUTE(SUBSTITUTE(SUBSTITUTE(SUBSTITUTE(SUBSTITUTE(SUBSTITUTE(SUBSTITUTE(SUBSTITUTE(SUBSTITUTE(SUBSTITUTE(SUBSTITUTE(SUBSTITUTE(SUBSTITUTE(LOWER(Z699&amp;""),CHAR(10)," "),CHAR(13)," "),CHAR(9)," "),CHAR(160)," "),"."," "),","," "),"-"," "),"/"," "),"("," "),")"," "),":"," "),";"," "),"_"," "),"–"," "),"?"," "),"!"," "),"*"," "),"["," "),"]"," "),"'"," "),"#"," "),"+"," "),"&amp;"," "),"\"," "))&amp;" "</f>
        <v>  </v>
      </c>
      <c r="BE699" s="61" t="str">
        <f aca="false">" "&amp;TRIM(SUBSTITUTE(SUBSTITUTE(SUBSTITUTE(SUBSTITUTE(SUBSTITUTE(SUBSTITUTE(SUBSTITUTE(SUBSTITUTE(SUBSTITUTE(SUBSTITUTE(SUBSTITUTE(SUBSTITUTE(SUBSTITUTE(SUBSTITUTE(SUBSTITUTE(SUBSTITUTE(SUBSTITUTE(SUBSTITUTE(SUBSTITUTE(SUBSTITUTE(SUBSTITUTE(SUBSTITUTE(SUBSTITUTE(SUBSTITUTE(LOWER(W699&amp;""),CHAR(10)," "),CHAR(13)," "),CHAR(9)," "),CHAR(160)," "),"."," "),","," "),"-"," "),"/"," "),"("," "),")"," "),":"," "),";"," "),"_"," "),"–"," "),"?"," "),"!"," "),"*"," "),"["," "),"]"," "),"'"," "),"#"," "),"+"," "),"&amp;"," "),"\"," "))&amp;" "</f>
        <v>  </v>
      </c>
      <c r="BF699" s="61" t="str">
        <f aca="false">" "&amp;TRIM(SUBSTITUTE(SUBSTITUTE(SUBSTITUTE(SUBSTITUTE(SUBSTITUTE(SUBSTITUTE(SUBSTITUTE(SUBSTITUTE(SUBSTITUTE(SUBSTITUTE(SUBSTITUTE(SUBSTITUTE(SUBSTITUTE(SUBSTITUTE(SUBSTITUTE(SUBSTITUTE(SUBSTITUTE(SUBSTITUTE(SUBSTITUTE(SUBSTITUTE(SUBSTITUTE(SUBSTITUTE(SUBSTITUTE(SUBSTITUTE(LOWER(AC699&amp;""),CHAR(10)," "),CHAR(13)," "),CHAR(9)," "),CHAR(160)," "),"."," "),","," "),"-"," "),"/"," "),"("," "),")"," "),":"," "),";"," "),"_"," "),"–"," "),"?"," "),"!"," "),"*"," "),"["," "),"]"," "),"'"," "),"#"," "),"+"," "),"&amp;"," "),"\"," "))&amp;" "</f>
        <v>  </v>
      </c>
      <c r="BG699" s="61" t="n">
        <f aca="false">IFERROR(IF(AND(TRIM(U699)="Pass",SUMPRODUCT((LEN(BC699)-LEN(SUBSTITUTE(BC699," "&amp;L_ResultBad&amp;" "," ")))/(LEN(L_ResultBad)+1))&gt;SUMPRODUCT((LEN(BC699)-LEN(SUBSTITUTE(BC699," "&amp;L_NegPhrase&amp;" "," ")))/(LEN(L_NegPhrase)+1))),1,0),0)</f>
        <v>0</v>
      </c>
      <c r="BH699" s="61" t="n">
        <f aca="false">IFERROR(IF(SUMPRODUCT((LEN(BC699)-LEN(SUBSTITUTE(BC699," "&amp;L_Pending&amp;" "," ")))/(LEN(L_Pending)+1))&gt;SUMPRODUCT((LEN(BC699)-LEN(SUBSTITUTE(BC699," "&amp;L_PendNeg&amp;" "," ")))/(LEN(L_PendNeg)+1)),1,0),1)</f>
        <v>0</v>
      </c>
      <c r="BI699" s="61" t="n">
        <f aca="false">IFERROR(IF(SUMPRODUCT((LEN(BD699)-LEN(SUBSTITUTE(BD699," "&amp;L_PendStrict&amp;" "," ")))/(LEN(L_PendStrict)+1))&gt;SUMPRODUCT((LEN(BD699)-LEN(SUBSTITUTE(BD699," "&amp;L_PendNeg&amp;" "," ")))/(LEN(L_PendNeg)+1)),1,0),1)</f>
        <v>0</v>
      </c>
      <c r="BJ699" s="61" t="n">
        <f aca="false">IFERROR(IF(SUMPRODUCT((LEN(BE699)-LEN(SUBSTITUTE(BE699," "&amp;L_Pending&amp;" "," ")))/(LEN(L_Pending)+1))&gt;SUMPRODUCT((LEN(BE699)-LEN(SUBSTITUTE(BE699," "&amp;L_PendNeg&amp;" "," ")))/(LEN(L_PendNeg)+1)),1,0),1)</f>
        <v>0</v>
      </c>
      <c r="BK699" s="61" t="n">
        <f aca="false">IFERROR(IF(SUMPRODUCT((LEN(BF699)-LEN(SUBSTITUTE(BF699," "&amp;L_PendStrict&amp;" "," ")))/(LEN(L_PendStrict)+1))&gt;SUMPRODUCT((LEN(BF699)-LEN(SUBSTITUTE(BF699," "&amp;L_PendNeg&amp;" "," ")))/(LEN(L_PendNeg)+1)),1,0),1)</f>
        <v>0</v>
      </c>
      <c r="BL699" s="61" t="n">
        <f aca="false">IF(ISNA(MATCH(TRIM(S699),L_EvidenceType,0)),0,BZ699)</f>
        <v>0</v>
      </c>
      <c r="BM699" s="61" t="str">
        <f aca="false">SUBSTITUTE(SUBSTITUTE(SUBSTITUTE(SUBSTITUTE(SUBSTITUTE(SUBSTITUTE(SUBSTITUTE(SUBSTITUTE(SUBSTITUTE(LOWER(Z699&amp;""),"1","0"),"2","0"),"3","0"),"4","0"),"5","0"),"6","0"),"7","0"),"8","0"),"9","0")</f>
        <v/>
      </c>
      <c r="BN699" s="61" t="str">
        <f aca="false">SUBSTITUTE(SUBSTITUTE(SUBSTITUTE(SUBSTITUTE(SUBSTITUTE(SUBSTITUTE(SUBSTITUTE(SUBSTITUTE(SUBSTITUTE(SUBSTITUTE(SUBSTITUTE(SUBSTITUTE(SUBSTITUTE(SUBSTITUTE(SUBSTITUTE(SUBSTITUTE(SUBSTITUTE(SUBSTITUTE(SUBSTITUTE(SUBSTITUTE(SUBSTITUTE(SUBSTITUTE(SUBSTITUTE(SUBSTITUTE(SUBSTITUTE(BM699,"b","a"),"c","a"),"d","a"),"e","a"),"f","a"),"g","a"),"h","a"),"i","a"),"j","a"),"k","a"),"l","a"),"m","a"),"n","a"),"o","a"),"p","a"),"q","a"),"r","a"),"s","a"),"t","a"),"u","a"),"v","a"),"w","a"),"x","a"),"y","a"),"z","a")</f>
        <v/>
      </c>
      <c r="BO699" s="61" t="str">
        <f aca="false">SUBSTITUTE(SUBSTITUTE(SUBSTITUTE(SUBSTITUTE(SUBSTITUTE(SUBSTITUTE(SUBSTITUTE(SUBSTITUTE(SUBSTITUTE(LOWER(W699&amp;""),"1","0"),"2","0"),"3","0"),"4","0"),"5","0"),"6","0"),"7","0"),"8","0"),"9","0")</f>
        <v/>
      </c>
      <c r="BP699" s="61" t="str">
        <f aca="false">SUBSTITUTE(SUBSTITUTE(SUBSTITUTE(SUBSTITUTE(SUBSTITUTE(SUBSTITUTE(SUBSTITUTE(SUBSTITUTE(SUBSTITUTE(SUBSTITUTE(SUBSTITUTE(SUBSTITUTE(SUBSTITUTE(SUBSTITUTE(SUBSTITUTE(SUBSTITUTE(SUBSTITUTE(SUBSTITUTE(SUBSTITUTE(SUBSTITUTE(SUBSTITUTE(SUBSTITUTE(SUBSTITUTE(SUBSTITUTE(SUBSTITUTE(BO699,"b","a"),"c","a"),"d","a"),"e","a"),"f","a"),"g","a"),"h","a"),"i","a"),"j","a"),"k","a"),"l","a"),"m","a"),"n","a"),"o","a"),"p","a"),"q","a"),"r","a"),"s","a"),"t","a"),"u","a"),"v","a"),"w","a"),"x","a"),"y","a"),"z","a")</f>
        <v/>
      </c>
      <c r="BQ699" s="61" t="n">
        <f aca="false">IFERROR(IF(AND(ISERROR(SEARCH(" mh"," "&amp;LOWER(W699))),ISNA(MATCH(LEFT(TRIM(BP699),255),{"0000a","000a","00a","0000aa","000aa","00aa","0aa","0000aaa","000aaa","00a00","0a00","0000-0000","00:00","a00","a0","00.00.0000","00/00/0000","00-00-0000","0000-00-00","0000/00/00","0000.00.00","00.00.00","00/00/00","00-00-00","0.00.0000","0/00/0000","0-00-0000"},0)),ISNA(MATCH(LEFT(TRIM(CA699),255),{"0000a","000a","00a","0000aa","000aa","00aa","0aa","0000aaa","000aaa","00a00","0a00","0000-0000","00:00","a00","a0","00.00.0000","00/00/0000","00-00-0000","0000-00-00","0000/00/00","0000.00.00","00.00.00","00/00/00","00-00-00","0.00.0000","0/00/0000","0-00-0000"},0)),LEN(CB699)&gt;=3,NOT(OR(SUBSTITUTE(CB699,"0","")="",AND(LEN(CB699)&gt;=4,CB699=REPT(LEFT(CB699),LEN(CB699))),ISNUMBER(MATCH(CB699,{"123","1234","12345","123456","1234567","12345678","0123","01234","012345","98765","987654","54321"},0)),AND(LEN(CB699)=8,LEFT(CB699,3)="202"))),OR(AND((LEN(CA699)-LEN(SUBSTITUTE(CA699,"a","")))&gt;=1,SUMPRODUCT(--ISNUMBER(SEARCH({"a0","a-0","a_0","a/0","a.0","a#0","0a","0-a","0_a","0/a"},BP699)))&gt;0),ISNUMBER(SEARCH("000000",BP699)))),1,0),0)</f>
        <v>0</v>
      </c>
      <c r="BR699" s="61" t="n">
        <f aca="false">IFERROR(LEN(SUBSTITUTE(CC699," ",""))-SUMPRODUCT((LEN(CC699)-LEN(SUBSTITUTE(CC699," "&amp;L_Role&amp;" "," ")))/(LEN(L_Role)+1)*LEN(L_Role)),0)</f>
        <v>0</v>
      </c>
      <c r="BS699" s="61" t="n">
        <f aca="false">IFERROR(LEN(SUBSTITUTE(CD699," ",""))-SUMPRODUCT((LEN(CD699)-LEN(SUBSTITUTE(CD699," "&amp;L_Role&amp;" "," ")))/(LEN(L_Role)+1)*LEN(L_Role)),0)</f>
        <v>0</v>
      </c>
      <c r="BT6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699,"revision",""),"version",""),"jan",""),"feb",""),"mar",""),"apr",""),"may",""),"jun",""),"jul",""),"aug",""),"sep",""),"oct",""),"nov",""),"dec",""),"utc",""),"gmt",""),"myt",""),"bst",""),"rev",""),"ver",""),"b","a"),"c","a"),"d","a"),"e","a"),"f","a"),"g","a"),"h","a"),"i","a"),"j","a"),"k","a"),"l","a"),"m","a"),"n","a"),"o","a"),"p","a"),"q","a"),"r","a"),"s","a"),"t","a"),"u","a"),"v","a"),"w","a"),"x","a"),"y","a"),"z","a")</f>
        <v/>
      </c>
      <c r="BU699" s="61" t="str">
        <f aca="false">SUBSTITUTE(SUBSTITUTE(SUBSTITUTE(SUBSTITUTE(SUBSTITUTE(SUBSTITUTE(SUBSTITUTE(SUBSTITUTE(SUBSTITUTE(SUBSTITUTE(LEFT(BM699,FIND("0",BM699&amp;"0")-1),"-",""),"_",""),"/",""),".",""),"#",""),"\\",""),":","")," ",""),"(",""),")","")</f>
        <v/>
      </c>
      <c r="BV699" s="61" t="n">
        <f aca="false">IFERROR(IF(OR(SUMPRODUCT((LEN(BC699)-LEN(SUBSTITUTE(BC699," "&amp;L_NotLoaded&amp;" "," ")))/(LEN(L_NotLoaded)+1))&gt;SUMPRODUCT((LEN(BC699)-LEN(SUBSTITUTE(BC699," "&amp;L_NotLoadedNeg&amp;" "," ")))/(LEN(L_NotLoadedNeg)+1)),SUMPRODUCT((LEN(BD699)-LEN(SUBSTITUTE(BD699," "&amp;L_NotLoaded&amp;" "," ")))/(LEN(L_NotLoaded)+1))&gt;SUMPRODUCT((LEN(BD699)-LEN(SUBSTITUTE(BD699," "&amp;L_NotLoadedNeg&amp;" "," ")))/(LEN(L_NotLoadedNeg)+1))),1,0),0)</f>
        <v>0</v>
      </c>
      <c r="BW69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699&amp;""),"a",""),"b",""),"c",""),"d",""),"e",""),"f",""),"g",""),"h",""),"i",""),"j",""),"k",""),"l",""),"m",""),"n",""),"o",""),"p",""),"q",""),"r",""),"s",""),"t",""),"u",""),"v",""),"w",""),"x",""),"y",""),"z",""),"-",""),"_",""),"/",""),".",""),"#",""),"\\",""),":","")," ",""),"(",""),")","")</f>
        <v/>
      </c>
      <c r="BX699" s="61" t="str">
        <f aca="false">SUBSTITUTE(SUBSTITUTE(SUBSTITUTE(SUBSTITUTE(SUBSTITUTE(SUBSTITUTE(SUBSTITUTE(SUBSTITUTE(SUBSTITUTE(SUBSTITUTE(SUBSTITUTE(BM699,"0",""),"-",""),"_",""),"/",""),".",""),"#",""),"\\",""),":","")," ",""),"(",""),")","")</f>
        <v/>
      </c>
      <c r="BY699" s="62" t="n">
        <f aca="false">IF(ISNUMBER(Flights!$AZ$25),MAX(Q699-UpliftWindowH/24,Flights!$AZ$25),Q699-UpliftWindowH/24)</f>
        <v>46325.03125</v>
      </c>
      <c r="BZ699" s="61" t="n">
        <f aca="false">IFERROR(IF(IF(TRIM(S699)="Link / file path",AND(LEN(TRIM(Z699))&gt;=5,SUMPRODUCT(--ISNUMBER(SEARCH({"http","www.","\\",":\",".pdf",".jpg",".jpeg",".png",".heic",".xls",".doc",".msg",".eml",".ppt",".txt",".zip"},Z699)))&gt;0),AND(ISERROR(FIND(" ",TRIM(Z699))),NOT(OR(SUMPRODUCT(--ISNUMBER(FIND({",",";","&amp;","+"},Z699)))&gt;0,SUMPRODUCT(--ISNUMBER(SEARCH({"0/aa","0\\aa"},BN699)))&gt;0)),NOT(SUMPRODUCT(--ISNUMBER(SEARCH({"http","www.","\\",":\",".pdf",".jpg",".jpeg",".png",".heic",".xls",".doc",".msg",".eml",".ppt",".txt",".zip"},Z699)))&gt;0),NOT(LOWER(TRIM(Z699))=LOWER(Flights!$F$25)),ISNA(MATCH(BU699,{"mh","rev","revision","ver","version","v","r","a","b","seat","tray","row","gate","bay","stand","page","pg","item","line","no","cart","galley","flight","flt","table","box","bag","oven","etd","eta","std","sta","atd","ata","qty","pax","x","time","tel","ph","mob","day","wk","week","utc","gmt","myt","lt"},0)),NOT(OR(ISNUMBER(MATCH(LEFT(BN699,255),{"0000a","000a","00a","0000aa","000aa","00aa","0aa","0000aaa","000aaa","00a00","0a00","0000-0000","00:00","a00","a0","00.00.0000","00/00/0000","00-00-0000","0000-00-00","0000/00/00","0000.00.00","00.00.00","00/00/00","00-00-00","0.00.0000","0/00/0000","0-00-0000"},0)),ISNUMBER(MATCH(LEFT(BT699,255),{"0000a","000a","00a","0000aa","000aa","00aa","0aa","0000aaa","000aaa","00a00","0a00","0000-0000","00:00","a00","a0","00.00.0000","00/00/0000","00-00-0000","0000-00-00","0000/00/00","0000.00.00","00.00.00","00/00/00","00-00-00","0.00.0000","0/00/0000","0-00-0000"},0)))),NOT(OR(AND(BW699&lt;&gt;"",SUBSTITUTE(BW699,"0","")=""),AND(LEN(BW699)&gt;=4,BW699=REPT(LEFT(BW699),LEN(BW699))),ISNUMBER(MATCH(BW699,{"123","1234","12345","123456","1234567","12345678","0123","01234","012345","98765","987654","54321"},0)),ISNUMBER(MATCH(BX699,{"x","xx","xxx","xxxx","xxxxx","abc","abcd","nil","na","nan","test","tbc","tba","tbd","dummy","sample","example","eg","zz","zzz","none","null","xyz","qwe","asd","id","ref"},0)),AND(LEN(BW699)=8,BX699="",OR(LEFT(BW699,3)="202",ISNUMBER(MATCH(RIGHT(BW699,4),{"2025","2026","2027"},0)))))),OR(AND((LEN(BT699)-LEN(SUBSTITUTE(BT699,"a","")))&gt;=1,(LEN(BN699)-LEN(SUBSTITUTE(BN699,"0","")))&gt;=2,SUMPRODUCT(--ISNUMBER(SEARCH({"a0","a-0","a_0","a/0","a.0","a#0","0a","0-a","0_a","0/a"},BN699)))&gt;0),AND((LEN(BN699)-LEN(SUBSTITUTE(BN699,"a","")))=0,(LEN(BN699)-LEN(SUBSTITUTE(BN699,"0","")))&gt;=5)))),1,0),0)</f>
        <v>0</v>
      </c>
      <c r="CA6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699,"revision",""),"version",""),"jan",""),"feb",""),"mar",""),"apr",""),"may",""),"jun",""),"jul",""),"aug",""),"sep",""),"oct",""),"nov",""),"dec",""),"utc",""),"gmt",""),"myt",""),"bst",""),"rev",""),"ver",""),"b","a"),"c","a"),"d","a"),"e","a"),"f","a"),"g","a"),"h","a"),"i","a"),"j","a"),"k","a"),"l","a"),"m","a"),"n","a"),"o","a"),"p","a"),"q","a"),"r","a"),"s","a"),"t","a"),"u","a"),"v","a"),"w","a"),"x","a"),"y","a"),"z","a")</f>
        <v/>
      </c>
      <c r="CB69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699&amp;""),"a",""),"b",""),"c",""),"d",""),"e",""),"f",""),"g",""),"h",""),"i",""),"j",""),"k",""),"l",""),"m",""),"n",""),"o",""),"p",""),"q",""),"r",""),"s",""),"t",""),"u",""),"v",""),"w",""),"x",""),"y",""),"z",""),"-",""),"_",""),"/",""),".",""),"#",""),"\\",""),":","")," ",""),"(",""),")","")</f>
        <v/>
      </c>
      <c r="CC699" s="0" t="str">
        <f aca="false">" "&amp;TRIM(SUBSTITUTE(SUBSTITUTE(SUBSTITUTE(SUBSTITUTE(SUBSTITUTE(SUBSTITUTE(SUBSTITUTE(SUBSTITUTE(SUBSTITUTE(SUBSTITUTE(SUBSTITUTE(SUBSTITUTE(SUBSTITUTE(SUBSTITUTE(SUBSTITUTE(SUBSTITUTE(SUBSTITUTE(SUBSTITUTE(SUBSTITUTE(SUBSTITUTE(SUBSTITUTE(SUBSTITUTE(SUBSTITUTE(SUBSTITUTE(LOWER(T699&amp;""),CHAR(10)," "),CHAR(13)," "),CHAR(9)," "),CHAR(160)," "),"."," "),","," "),"-"," "),"/"," "),"("," "),")"," "),":"," "),";"," "),"_"," "),"–"," "),"?"," "),"!"," "),"*"," "),"["," "),"]"," "),"'"," "),"#"," "),"+"," "),"&amp;"," "),"\"," "))&amp;" "</f>
        <v>  </v>
      </c>
      <c r="CD699" s="0" t="str">
        <f aca="false">" "&amp;TRIM(SUBSTITUTE(SUBSTITUTE(SUBSTITUTE(SUBSTITUTE(SUBSTITUTE(SUBSTITUTE(SUBSTITUTE(SUBSTITUTE(SUBSTITUTE(SUBSTITUTE(SUBSTITUTE(SUBSTITUTE(SUBSTITUTE(SUBSTITUTE(SUBSTITUTE(SUBSTITUTE(SUBSTITUTE(SUBSTITUTE(SUBSTITUTE(SUBSTITUTE(SUBSTITUTE(SUBSTITUTE(SUBSTITUTE(SUBSTITUTE(LOWER(AE699&amp;""),CHAR(10)," "),CHAR(13)," "),CHAR(9)," "),CHAR(160)," "),"."," "),","," "),"-"," "),"/"," "),"("," "),")"," "),":"," "),";"," "),"_"," "),"–"," "),"?"," "),"!"," "),"*"," "),"["," "),"]"," "),"'"," "),"#"," "),"+"," "),"&amp;"," "),"\"," "))&amp;" "</f>
        <v>  </v>
      </c>
      <c r="CE699" s="68" t="n">
        <f aca="false">IFERROR(IF(AND(LEN(AU699)&gt;0,LEN(AU699)=LEN(AX699),OR(TRIM(MID(SUBSTITUTE(TRIM(CC699)," ",REPT(" ",60)),1,60))="",ISNUMBER(SEARCH(" "&amp;TRIM(MID(SUBSTITUTE(TRIM(CC699)," ",REPT(" ",60)),1,60))&amp;" ",CD699))),OR(TRIM(MID(SUBSTITUTE(TRIM(CC699)," ",REPT(" ",60)),61,60))="",ISNUMBER(SEARCH(" "&amp;TRIM(MID(SUBSTITUTE(TRIM(CC699)," ",REPT(" ",60)),61,60))&amp;" ",CD699))),OR(TRIM(MID(SUBSTITUTE(TRIM(CC699)," ",REPT(" ",60)),121,60))="",ISNUMBER(SEARCH(" "&amp;TRIM(MID(SUBSTITUTE(TRIM(CC699)," ",REPT(" ",60)),121,60))&amp;" ",CD699)))),1,0),0)</f>
        <v>0</v>
      </c>
      <c r="CG699" s="68" t="n">
        <f aca="false">IFERROR(LEN(SUBSTITUTE(BF699," ",""))-SUMPRODUCT((LEN(BF699)-LEN(SUBSTITUTE(BF699," "&amp;L_NAFiller&amp;" "," ")))/(LEN(L_NAFiller)+1)*LEN(L_NAFiller)),0)</f>
        <v>0</v>
      </c>
    </row>
    <row r="700" customFormat="false" ht="39.75" hidden="false" customHeight="true" outlineLevel="0" collapsed="false">
      <c r="A700" s="57" t="s">
        <v>1434</v>
      </c>
      <c r="B700" s="57" t="s">
        <v>310</v>
      </c>
      <c r="C700" s="57" t="str">
        <f aca="false">Flights!$F$25</f>
        <v>MH1437</v>
      </c>
      <c r="D700" s="58" t="n">
        <f aca="false">Flights!$D$25</f>
        <v>46325</v>
      </c>
      <c r="E700" s="57" t="str">
        <f aca="false">Flights!$G$25&amp;"-"&amp;Flights!$H$25</f>
        <v>LGK-KUL</v>
      </c>
      <c r="F700" s="57" t="str">
        <f aca="false">Flights!$K$25</f>
        <v>BC</v>
      </c>
      <c r="G700" s="57" t="s">
        <v>459</v>
      </c>
      <c r="H700" s="57" t="s">
        <v>460</v>
      </c>
      <c r="I700" s="57" t="s">
        <v>447</v>
      </c>
      <c r="J700" s="57" t="s">
        <v>553</v>
      </c>
      <c r="K700" s="67" t="s">
        <v>449</v>
      </c>
      <c r="L700" s="67" t="s">
        <v>1420</v>
      </c>
      <c r="M700" s="67" t="s">
        <v>451</v>
      </c>
      <c r="N700" s="67" t="s">
        <v>383</v>
      </c>
      <c r="O700" s="67"/>
      <c r="P700" s="57" t="s">
        <v>306</v>
      </c>
      <c r="Q700" s="59" t="n">
        <f aca="false">ROUND((Flights!$AF$25)*1440,0)/1440</f>
        <v>46325.28125</v>
      </c>
      <c r="R700" s="59" t="n">
        <f aca="false">Q700+(IF(AND(INDEX(TZ_DSTS,MATCH(P700,TZ_STN,0))&lt;&gt;"",Q700&gt;=INDEX(TZ_DSTS,MATCH(P700,TZ_STN,0)),Q700&lt;INDEX(TZ_DSTE,MATCH(P700,TZ_STN,0))),INDEX(TZ_DST,MATCH(P700,TZ_STN,0)),INDEX(TZ_STD,MATCH(P700,TZ_STN,0))))/24</f>
        <v>46325.6145833333</v>
      </c>
      <c r="S700" s="60"/>
      <c r="T700" s="60"/>
      <c r="U700" s="60"/>
      <c r="V700" s="60"/>
      <c r="W700" s="61"/>
      <c r="X700" s="60"/>
      <c r="Y700" s="60"/>
      <c r="Z700" s="60"/>
      <c r="AA700" s="60"/>
      <c r="AB700" s="60"/>
      <c r="AC700" s="60"/>
      <c r="AD700" s="66"/>
      <c r="AE700" s="60"/>
      <c r="AF700" s="61" t="str">
        <f aca="false">IF(AND(ISNUMBER(X700),ISNUMBER(Y700)),Y700-X700,"")</f>
        <v/>
      </c>
      <c r="AG700" s="62" t="str">
        <f aca="false">IF(ISNUMBER(AD700),AD700-(IF(AND(INDEX(TZ_DSTS,MATCH(P700,TZ_STN,0))&lt;&gt;"",(AD700-INDEX(TZ_STD,MATCH(P700,TZ_STN,0))/24)&gt;=INDEX(TZ_DSTS,MATCH(P700,TZ_STN,0)),(AD700-INDEX(TZ_STD,MATCH(P700,TZ_STN,0))/24)&lt;INDEX(TZ_DSTE,MATCH(P700,TZ_STN,0))),INDEX(TZ_DST,MATCH(P700,TZ_STN,0)),INDEX(TZ_STD,MATCH(P700,TZ_STN,0))))/24,"")</f>
        <v/>
      </c>
      <c r="AH700" s="65" t="str">
        <f aca="false">IFERROR(IF(N700="N/A – rule",IF(OR(TRIM(U700)="",TRIM(U700)="N/A",TRIM(U700)="Not started"),"N/A – RULE","INVALID – this check does not apply to this aircraft: clear the status (or correct the fleet on Flights)"),IF(TRIM(U700)="N/A",IF(AT700=0,"INVALID – N/A not permitted for this check",IF(AND(TRIM(AB700)&lt;&gt;"",TRIM(AB700)&lt;&gt;"Closed"),"INVALID – corrective action still open",IF(AND(NOT(OR(LEN(AZ700)&lt;15,ISNUMBER(MATCH(AZ700,L_Placeholder,0)))),BK700=0,CG700&gt;=8,NOT(OR(LEN(AU700)&lt;2,ISNUMBER(MATCH(AU700,L_Placeholder,0)))),BR700&gt;=3,NOT(OR(LEN(AX700)&lt;2,ISNUMBER(MATCH(AX700,L_Placeholder,0)))),BS700&gt;=3,TRIM(AE700)&lt;&gt;TRIM(T700),AX700&lt;&gt;AU700,CE700=0),"N/A – JUSTIFIED","INVALID – N/A needs a real, settled reason (not 'not applicable' / 'as above' / TBC), a named PIC and a different named verifier"))),IF(OR(TRIM(U700)="Pass",TRIM(U700)="Pass after CA"),IF(NOT(ISNUMBER(AD700)),"INVALID – completion time missing",IF(OR(OR(LEN(AU700)&lt;2,ISNUMBER(MATCH(AU700,L_Placeholder,0))),BR700&lt;3),"INVALID – PIC missing or not a named person (a role such as QA / CSM is not a name)",IF(OR(LEN(AV700)&lt;2,ISNUMBER(MATCH(AV700,L_Placeholder,0))),"INVALID – result / assessment missing",IF(OR(OR(LEN(AW700)&lt;3,ISNUMBER(MATCH(AW700,L_Placeholder,0))),SUMPRODUCT(--ISNUMBER(SEARCH(" "&amp;L_EvidencePhrase&amp;" ",BD700)))&gt;0,BI700=1),"INVALID – evidence missing, placeholder or not yet on file",IF(ISNA(MATCH(TRIM(S700),L_EvidenceType,0)),"INVALID – choose the evidence type from the list (column S)",IF(BL700=0,"INVALID – evidence ID must be the record's own ID only (e.g. SF-2210, IMG_2231, 1045521); a link / file name needs type 'Link / file path'",IF(OR(OR(LEN(AX700)&lt;2,ISNUMBER(MATCH(AX700,L_Placeholder,0))),BS700&lt;3),"INVALID – verifier missing or not a named person (a role such as QA / CSM is not a name)",IF(OR(AX700=AU700,CE700=1,AND(LEN(AU700)&gt;=4,ISNUMBER(SEARCH(AU700,AX700))),AND(LEN(AX700)&gt;=4,ISNUMBER(SEARCH(AX700,AU700)))),"INVALID – verifier must be a different, named person (not the PIC or a role)",IF(BH700=1,"INVALID – result not yet available (awaiting / TBC)",IF(BG700=1,"INVALID – result describes a problem: record Fail, then Pass after CA (or reword if it is not a problem)",IF(BV700=1,"INVALID – wording says not on board: an on-board confirmation needs the item loaded",IF(AND(AQ700=1,OR(OR(LEN(AY700)&lt;3,ISNUMBER(MATCH(AY700,L_Placeholder,0))),BJ700=1,BQ700=0)),"INVALID – batch ID missing, placeholder or not an ID (e.g. PASB-261008-BC-017)",IF(AND(AR700=1,OR(NOT(ISNUMBER(X700)),NOT(ISNUMBER(Y700)))),"INVALID – expected/actual qty missing",IF(AND(AR700=1,OR(X700&lt;=0,Y700&lt;0)),"INVALID – expected qty must be above 0 and actual not negative",IF(AH689="N/A – JUSTIFIED","INVALID – preparation row F21-T12-14 is N/A",IF(AND(AR700=1,ISNUMBER(X689),X700&lt;&gt;X689,TRIM(U700)&lt;&gt;"Pass after CA"),"INVALID – expected qty differs from preparation check F21-T12-14: record the load change as a corrective action (Pass after CA)",IF(BB700&lt;&gt;"",BB700,IF(AND(AS700=1,Documents!$J$25&lt;&gt;"ON FILE"),"INVALID – GLD not on file (Documents sheet)",IF(AND(AS700=2,Documents!$O$25&lt;&gt;"ON FILE"),"INVALID – menu checklist not on file (Documents sheet)",IF(AND(AS700=3,NOT(ISNUMBER(Flights!$AX$25))),"INVALID – enter carrying flight KUL departure (Flights AX)",IF(AND(AS700=3,OR(Flights!$AZ$25&gt;Flights!$AA$25,Flights!$AX$25&lt;Flights!$AA$25-3)),"INVALID – carrying flight (Flights AX) cannot arrive before this leg's STD, or is over 3 days early",IF(AG700&gt;AsOfUTC,"INVALID – completion time is in the future",IF(AND(ISNUMBER(BY700),AG700&lt;BY700),IF(H700="Physical uplift","INVALID – before uplift window (cannot confirm loading)","INVALID – before valid window"),IF(AG700&gt;Flights!$AA$25,"INVALID – completed after departure (cannot establish readiness)",IF(AND(H700="Preparation",AG700&gt;=IF(ISNUMBER(Flights!$BA$25),MIN(Flights!$BA$25,Flights!$AA$25),Flights!$AA$25)),"INVALID – completed after loading / departure (cannot establish readiness)",IF(AND(H700="Physical uplift",AG700&gt;Q700),"INVALID – recorded after the loading flight departed",IF(AG700&gt;Q700,"COMPLETE – LATE","COMPLETE"))))))))))))))))))))))))))),IF(TRIM(U700)="Fail","FAIL – DISCREPANCY",IF(AND(TRIM(U700)&lt;&gt;"",TRIM(U700)&lt;&gt;"Not started",TRIM(U700)&lt;&gt;"In progress"),"INVALID – unrecognised status (use the list)",IF(AsOfUTC&gt;Q700,"OVERDUE",IF(N700="Clarification required","OPEN – CLARIFICATION","OPEN"))))))),"INVALID – error value in an input cell")</f>
        <v>OPEN</v>
      </c>
      <c r="AI700" s="61" t="n">
        <f aca="false">IF(OR(AH700="N/A – RULE",AH700="N/A – JUSTIFIED"),0,1)</f>
        <v>1</v>
      </c>
      <c r="AJ700" s="61" t="n">
        <f aca="false">IF(LEFT(AH700,8)="COMPLETE",1,0)</f>
        <v>0</v>
      </c>
      <c r="AK700" s="61" t="n">
        <f aca="false">IF(AND(AI700=1,AJ700=0,AsOfUTC&gt;Q700),1,0)</f>
        <v>0</v>
      </c>
      <c r="AL700" s="61" t="n">
        <f aca="false">IFERROR(IF(AND(AI700=1,OR(TRIM(U700)="Fail",AND(TRIM(AB700)&lt;&gt;"",TRIM(AB700)&lt;&gt;"Closed"),AND(ISNUMBER(AF700),AF700&lt;&gt;0,TRIM(U700)&lt;&gt;"Pass after CA"))),1,0),1)</f>
        <v>0</v>
      </c>
      <c r="AM700" s="61" t="n">
        <f aca="false">IF(LEFT(AH700,7)="INVALID",1,0)</f>
        <v>0</v>
      </c>
      <c r="AN700" s="61" t="n">
        <f aca="false">IF(AND(N700="Clarification required",AI700=1,AJ700=0),1,0)</f>
        <v>0</v>
      </c>
      <c r="AO700" s="61" t="str">
        <f aca="false">IF(AK700=1,SUM(AK$5:AK700),"")</f>
        <v/>
      </c>
      <c r="AP700" s="61" t="str">
        <f aca="false">IF(AL700=1,SUM(AL$5:AL700),"")</f>
        <v/>
      </c>
      <c r="AQ700" s="61" t="n">
        <v>0</v>
      </c>
      <c r="AR700" s="61" t="n">
        <v>0</v>
      </c>
      <c r="AS700" s="61" t="n">
        <v>0</v>
      </c>
      <c r="AT700" s="61" t="n">
        <v>0</v>
      </c>
      <c r="AU700" s="61" t="str">
        <f aca="false">SUBSTITUTE(SUBSTITUTE(SUBSTITUTE(SUBSTITUTE(SUBSTITUTE(SUBSTITUTE(SUBSTITUTE(SUBSTITUTE(SUBSTITUTE(SUBSTITUTE(SUBSTITUTE(SUBSTITUTE(SUBSTITUTE(SUBSTITUTE(SUBSTITUTE(SUBSTITUTE(LOWER(T700&amp;""),CHAR(10),""),CHAR(13),""),CHAR(9),""),CHAR(160),"")," ",""),".",""),"-",""),"/",""),"?",""),"_",""),",",""),"[",""),"]",""),"(",""),")",""),"*","")</f>
        <v/>
      </c>
      <c r="AV700" s="61" t="str">
        <f aca="false">SUBSTITUTE(SUBSTITUTE(SUBSTITUTE(SUBSTITUTE(SUBSTITUTE(SUBSTITUTE(SUBSTITUTE(SUBSTITUTE(SUBSTITUTE(SUBSTITUTE(SUBSTITUTE(SUBSTITUTE(SUBSTITUTE(SUBSTITUTE(SUBSTITUTE(SUBSTITUTE(LOWER(V700&amp;""),CHAR(10),""),CHAR(13),""),CHAR(9),""),CHAR(160),"")," ",""),".",""),"-",""),"/",""),"?",""),"_",""),",",""),"[",""),"]",""),"(",""),")",""),"*","")</f>
        <v/>
      </c>
      <c r="AW700" s="61" t="str">
        <f aca="false">SUBSTITUTE(SUBSTITUTE(SUBSTITUTE(SUBSTITUTE(SUBSTITUTE(SUBSTITUTE(SUBSTITUTE(SUBSTITUTE(SUBSTITUTE(SUBSTITUTE(SUBSTITUTE(SUBSTITUTE(SUBSTITUTE(SUBSTITUTE(SUBSTITUTE(SUBSTITUTE(LOWER(Z700&amp;""),CHAR(10),""),CHAR(13),""),CHAR(9),""),CHAR(160),"")," ",""),".",""),"-",""),"/",""),"?",""),"_",""),",",""),"[",""),"]",""),"(",""),")",""),"*","")</f>
        <v/>
      </c>
      <c r="AX700" s="61" t="str">
        <f aca="false">SUBSTITUTE(SUBSTITUTE(SUBSTITUTE(SUBSTITUTE(SUBSTITUTE(SUBSTITUTE(SUBSTITUTE(SUBSTITUTE(SUBSTITUTE(SUBSTITUTE(SUBSTITUTE(SUBSTITUTE(SUBSTITUTE(SUBSTITUTE(SUBSTITUTE(SUBSTITUTE(LOWER(AE700&amp;""),CHAR(10),""),CHAR(13),""),CHAR(9),""),CHAR(160),"")," ",""),".",""),"-",""),"/",""),"?",""),"_",""),",",""),"[",""),"]",""),"(",""),")",""),"*","")</f>
        <v/>
      </c>
      <c r="AY700" s="61" t="str">
        <f aca="false">SUBSTITUTE(SUBSTITUTE(SUBSTITUTE(SUBSTITUTE(SUBSTITUTE(SUBSTITUTE(SUBSTITUTE(SUBSTITUTE(SUBSTITUTE(SUBSTITUTE(SUBSTITUTE(SUBSTITUTE(SUBSTITUTE(SUBSTITUTE(SUBSTITUTE(SUBSTITUTE(LOWER(W700&amp;""),CHAR(10),""),CHAR(13),""),CHAR(9),""),CHAR(160),"")," ",""),".",""),"-",""),"/",""),"?",""),"_",""),",",""),"[",""),"]",""),"(",""),")",""),"*","")</f>
        <v/>
      </c>
      <c r="AZ700" s="61" t="str">
        <f aca="false">SUBSTITUTE(SUBSTITUTE(SUBSTITUTE(SUBSTITUTE(SUBSTITUTE(SUBSTITUTE(SUBSTITUTE(SUBSTITUTE(SUBSTITUTE(SUBSTITUTE(SUBSTITUTE(SUBSTITUTE(SUBSTITUTE(SUBSTITUTE(SUBSTITUTE(SUBSTITUTE(LOWER(AC700&amp;""),CHAR(10),""),CHAR(13),""),CHAR(9),""),CHAR(160),"")," ",""),".",""),"-",""),"/",""),"?",""),"_",""),",",""),"[",""),"]",""),"(",""),")",""),"*","")</f>
        <v/>
      </c>
      <c r="BA700" s="61" t="str">
        <f aca="false">SUBSTITUTE(SUBSTITUTE(SUBSTITUTE(SUBSTITUTE(SUBSTITUTE(SUBSTITUTE(SUBSTITUTE(SUBSTITUTE(SUBSTITUTE(SUBSTITUTE(SUBSTITUTE(SUBSTITUTE(SUBSTITUTE(SUBSTITUTE(SUBSTITUTE(SUBSTITUTE(LOWER(AA700&amp;""),CHAR(10),""),CHAR(13),""),CHAR(9),""),CHAR(160),"")," ",""),".",""),"-",""),"/",""),"?",""),"_",""),",",""),"[",""),"]",""),"(",""),")",""),"*","")</f>
        <v/>
      </c>
      <c r="BB700" s="61" t="str">
        <f aca="false">IF(AND(TRIM(U700)="Pass",ISNUMBER(AF700)),IF(AF700&lt;&gt;0,"INVALID – qty variance: use Fail or Pass after CA",""),"")&amp;IF(AND(TRIM(U700)="Pass after CA",ISNUMBER(AF700)),IF(AF700&lt;&gt;0,"INVALID – after the corrective action the actual qty must equal expected (update Actual)",""),"")&amp;IF(AND(TRIM(U700)="Pass",TRIM(AB700)&lt;&gt;"",TRIM(AB700)&lt;&gt;"Closed"),"INVALID – corrective action not closed: use Fail, then Pass after CA","")&amp;IF(AND(LEN(BA700)&gt;=2,ISNA(MATCH(LEFT(BA700,255),L_Placeholder,0)),TRIM(AB700)=""),"INVALID – CA status missing for the recorded corrective action","")&amp;IF(AND(TRIM(U700)="Pass after CA",OR(OR(LEN(BA700)&lt;5,ISNUMBER(MATCH(BA700,L_Placeholder,0))),TRIM(AB700)&lt;&gt;"Closed")),"INVALID – corrective action not recorded/closed","")</f>
        <v/>
      </c>
      <c r="BC700" s="61" t="str">
        <f aca="false">" "&amp;TRIM(SUBSTITUTE(SUBSTITUTE(SUBSTITUTE(SUBSTITUTE(SUBSTITUTE(SUBSTITUTE(SUBSTITUTE(SUBSTITUTE(SUBSTITUTE(SUBSTITUTE(SUBSTITUTE(SUBSTITUTE(SUBSTITUTE(SUBSTITUTE(SUBSTITUTE(SUBSTITUTE(SUBSTITUTE(SUBSTITUTE(SUBSTITUTE(SUBSTITUTE(SUBSTITUTE(SUBSTITUTE(SUBSTITUTE(SUBSTITUTE(LOWER(V700&amp;""),CHAR(10)," "),CHAR(13)," "),CHAR(9)," "),CHAR(160)," "),"."," "),","," "),"-"," "),"/"," "),"("," "),")"," "),":"," "),";"," "),"_"," "),"–"," "),"?"," "),"!"," "),"*"," "),"["," "),"]"," "),"'"," "),"#"," "),"+"," "),"&amp;"," "),"\"," "))&amp;" "</f>
        <v>  </v>
      </c>
      <c r="BD700" s="61" t="str">
        <f aca="false">" "&amp;TRIM(SUBSTITUTE(SUBSTITUTE(SUBSTITUTE(SUBSTITUTE(SUBSTITUTE(SUBSTITUTE(SUBSTITUTE(SUBSTITUTE(SUBSTITUTE(SUBSTITUTE(SUBSTITUTE(SUBSTITUTE(SUBSTITUTE(SUBSTITUTE(SUBSTITUTE(SUBSTITUTE(SUBSTITUTE(SUBSTITUTE(SUBSTITUTE(SUBSTITUTE(SUBSTITUTE(SUBSTITUTE(SUBSTITUTE(SUBSTITUTE(LOWER(Z700&amp;""),CHAR(10)," "),CHAR(13)," "),CHAR(9)," "),CHAR(160)," "),"."," "),","," "),"-"," "),"/"," "),"("," "),")"," "),":"," "),";"," "),"_"," "),"–"," "),"?"," "),"!"," "),"*"," "),"["," "),"]"," "),"'"," "),"#"," "),"+"," "),"&amp;"," "),"\"," "))&amp;" "</f>
        <v>  </v>
      </c>
      <c r="BE700" s="61" t="str">
        <f aca="false">" "&amp;TRIM(SUBSTITUTE(SUBSTITUTE(SUBSTITUTE(SUBSTITUTE(SUBSTITUTE(SUBSTITUTE(SUBSTITUTE(SUBSTITUTE(SUBSTITUTE(SUBSTITUTE(SUBSTITUTE(SUBSTITUTE(SUBSTITUTE(SUBSTITUTE(SUBSTITUTE(SUBSTITUTE(SUBSTITUTE(SUBSTITUTE(SUBSTITUTE(SUBSTITUTE(SUBSTITUTE(SUBSTITUTE(SUBSTITUTE(SUBSTITUTE(LOWER(W700&amp;""),CHAR(10)," "),CHAR(13)," "),CHAR(9)," "),CHAR(160)," "),"."," "),","," "),"-"," "),"/"," "),"("," "),")"," "),":"," "),";"," "),"_"," "),"–"," "),"?"," "),"!"," "),"*"," "),"["," "),"]"," "),"'"," "),"#"," "),"+"," "),"&amp;"," "),"\"," "))&amp;" "</f>
        <v>  </v>
      </c>
      <c r="BF700" s="61" t="str">
        <f aca="false">" "&amp;TRIM(SUBSTITUTE(SUBSTITUTE(SUBSTITUTE(SUBSTITUTE(SUBSTITUTE(SUBSTITUTE(SUBSTITUTE(SUBSTITUTE(SUBSTITUTE(SUBSTITUTE(SUBSTITUTE(SUBSTITUTE(SUBSTITUTE(SUBSTITUTE(SUBSTITUTE(SUBSTITUTE(SUBSTITUTE(SUBSTITUTE(SUBSTITUTE(SUBSTITUTE(SUBSTITUTE(SUBSTITUTE(SUBSTITUTE(SUBSTITUTE(LOWER(AC700&amp;""),CHAR(10)," "),CHAR(13)," "),CHAR(9)," "),CHAR(160)," "),"."," "),","," "),"-"," "),"/"," "),"("," "),")"," "),":"," "),";"," "),"_"," "),"–"," "),"?"," "),"!"," "),"*"," "),"["," "),"]"," "),"'"," "),"#"," "),"+"," "),"&amp;"," "),"\"," "))&amp;" "</f>
        <v>  </v>
      </c>
      <c r="BG700" s="61" t="n">
        <f aca="false">IFERROR(IF(AND(TRIM(U700)="Pass",SUMPRODUCT((LEN(BC700)-LEN(SUBSTITUTE(BC700," "&amp;L_ResultBad&amp;" "," ")))/(LEN(L_ResultBad)+1))&gt;SUMPRODUCT((LEN(BC700)-LEN(SUBSTITUTE(BC700," "&amp;L_NegPhrase&amp;" "," ")))/(LEN(L_NegPhrase)+1))),1,0),0)</f>
        <v>0</v>
      </c>
      <c r="BH700" s="61" t="n">
        <f aca="false">IFERROR(IF(SUMPRODUCT((LEN(BC700)-LEN(SUBSTITUTE(BC700," "&amp;L_Pending&amp;" "," ")))/(LEN(L_Pending)+1))&gt;SUMPRODUCT((LEN(BC700)-LEN(SUBSTITUTE(BC700," "&amp;L_PendNeg&amp;" "," ")))/(LEN(L_PendNeg)+1)),1,0),1)</f>
        <v>0</v>
      </c>
      <c r="BI700" s="61" t="n">
        <f aca="false">IFERROR(IF(SUMPRODUCT((LEN(BD700)-LEN(SUBSTITUTE(BD700," "&amp;L_PendStrict&amp;" "," ")))/(LEN(L_PendStrict)+1))&gt;SUMPRODUCT((LEN(BD700)-LEN(SUBSTITUTE(BD700," "&amp;L_PendNeg&amp;" "," ")))/(LEN(L_PendNeg)+1)),1,0),1)</f>
        <v>0</v>
      </c>
      <c r="BJ700" s="61" t="n">
        <f aca="false">IFERROR(IF(SUMPRODUCT((LEN(BE700)-LEN(SUBSTITUTE(BE700," "&amp;L_Pending&amp;" "," ")))/(LEN(L_Pending)+1))&gt;SUMPRODUCT((LEN(BE700)-LEN(SUBSTITUTE(BE700," "&amp;L_PendNeg&amp;" "," ")))/(LEN(L_PendNeg)+1)),1,0),1)</f>
        <v>0</v>
      </c>
      <c r="BK700" s="61" t="n">
        <f aca="false">IFERROR(IF(SUMPRODUCT((LEN(BF700)-LEN(SUBSTITUTE(BF700," "&amp;L_PendStrict&amp;" "," ")))/(LEN(L_PendStrict)+1))&gt;SUMPRODUCT((LEN(BF700)-LEN(SUBSTITUTE(BF700," "&amp;L_PendNeg&amp;" "," ")))/(LEN(L_PendNeg)+1)),1,0),1)</f>
        <v>0</v>
      </c>
      <c r="BL700" s="61" t="n">
        <f aca="false">IF(ISNA(MATCH(TRIM(S700),L_EvidenceType,0)),0,BZ700)</f>
        <v>0</v>
      </c>
      <c r="BM700" s="61" t="str">
        <f aca="false">SUBSTITUTE(SUBSTITUTE(SUBSTITUTE(SUBSTITUTE(SUBSTITUTE(SUBSTITUTE(SUBSTITUTE(SUBSTITUTE(SUBSTITUTE(LOWER(Z700&amp;""),"1","0"),"2","0"),"3","0"),"4","0"),"5","0"),"6","0"),"7","0"),"8","0"),"9","0")</f>
        <v/>
      </c>
      <c r="BN700" s="61" t="str">
        <f aca="false">SUBSTITUTE(SUBSTITUTE(SUBSTITUTE(SUBSTITUTE(SUBSTITUTE(SUBSTITUTE(SUBSTITUTE(SUBSTITUTE(SUBSTITUTE(SUBSTITUTE(SUBSTITUTE(SUBSTITUTE(SUBSTITUTE(SUBSTITUTE(SUBSTITUTE(SUBSTITUTE(SUBSTITUTE(SUBSTITUTE(SUBSTITUTE(SUBSTITUTE(SUBSTITUTE(SUBSTITUTE(SUBSTITUTE(SUBSTITUTE(SUBSTITUTE(BM700,"b","a"),"c","a"),"d","a"),"e","a"),"f","a"),"g","a"),"h","a"),"i","a"),"j","a"),"k","a"),"l","a"),"m","a"),"n","a"),"o","a"),"p","a"),"q","a"),"r","a"),"s","a"),"t","a"),"u","a"),"v","a"),"w","a"),"x","a"),"y","a"),"z","a")</f>
        <v/>
      </c>
      <c r="BO700" s="61" t="str">
        <f aca="false">SUBSTITUTE(SUBSTITUTE(SUBSTITUTE(SUBSTITUTE(SUBSTITUTE(SUBSTITUTE(SUBSTITUTE(SUBSTITUTE(SUBSTITUTE(LOWER(W700&amp;""),"1","0"),"2","0"),"3","0"),"4","0"),"5","0"),"6","0"),"7","0"),"8","0"),"9","0")</f>
        <v/>
      </c>
      <c r="BP700" s="61" t="str">
        <f aca="false">SUBSTITUTE(SUBSTITUTE(SUBSTITUTE(SUBSTITUTE(SUBSTITUTE(SUBSTITUTE(SUBSTITUTE(SUBSTITUTE(SUBSTITUTE(SUBSTITUTE(SUBSTITUTE(SUBSTITUTE(SUBSTITUTE(SUBSTITUTE(SUBSTITUTE(SUBSTITUTE(SUBSTITUTE(SUBSTITUTE(SUBSTITUTE(SUBSTITUTE(SUBSTITUTE(SUBSTITUTE(SUBSTITUTE(SUBSTITUTE(SUBSTITUTE(BO700,"b","a"),"c","a"),"d","a"),"e","a"),"f","a"),"g","a"),"h","a"),"i","a"),"j","a"),"k","a"),"l","a"),"m","a"),"n","a"),"o","a"),"p","a"),"q","a"),"r","a"),"s","a"),"t","a"),"u","a"),"v","a"),"w","a"),"x","a"),"y","a"),"z","a")</f>
        <v/>
      </c>
      <c r="BQ700" s="61" t="n">
        <f aca="false">IFERROR(IF(AND(ISERROR(SEARCH(" mh"," "&amp;LOWER(W700))),ISNA(MATCH(LEFT(TRIM(BP700),255),{"0000a","000a","00a","0000aa","000aa","00aa","0aa","0000aaa","000aaa","00a00","0a00","0000-0000","00:00","a00","a0","00.00.0000","00/00/0000","00-00-0000","0000-00-00","0000/00/00","0000.00.00","00.00.00","00/00/00","00-00-00","0.00.0000","0/00/0000","0-00-0000"},0)),ISNA(MATCH(LEFT(TRIM(CA700),255),{"0000a","000a","00a","0000aa","000aa","00aa","0aa","0000aaa","000aaa","00a00","0a00","0000-0000","00:00","a00","a0","00.00.0000","00/00/0000","00-00-0000","0000-00-00","0000/00/00","0000.00.00","00.00.00","00/00/00","00-00-00","0.00.0000","0/00/0000","0-00-0000"},0)),LEN(CB700)&gt;=3,NOT(OR(SUBSTITUTE(CB700,"0","")="",AND(LEN(CB700)&gt;=4,CB700=REPT(LEFT(CB700),LEN(CB700))),ISNUMBER(MATCH(CB700,{"123","1234","12345","123456","1234567","12345678","0123","01234","012345","98765","987654","54321"},0)),AND(LEN(CB700)=8,LEFT(CB700,3)="202"))),OR(AND((LEN(CA700)-LEN(SUBSTITUTE(CA700,"a","")))&gt;=1,SUMPRODUCT(--ISNUMBER(SEARCH({"a0","a-0","a_0","a/0","a.0","a#0","0a","0-a","0_a","0/a"},BP700)))&gt;0),ISNUMBER(SEARCH("000000",BP700)))),1,0),0)</f>
        <v>0</v>
      </c>
      <c r="BR700" s="61" t="n">
        <f aca="false">IFERROR(LEN(SUBSTITUTE(CC700," ",""))-SUMPRODUCT((LEN(CC700)-LEN(SUBSTITUTE(CC700," "&amp;L_Role&amp;" "," ")))/(LEN(L_Role)+1)*LEN(L_Role)),0)</f>
        <v>0</v>
      </c>
      <c r="BS700" s="61" t="n">
        <f aca="false">IFERROR(LEN(SUBSTITUTE(CD700," ",""))-SUMPRODUCT((LEN(CD700)-LEN(SUBSTITUTE(CD700," "&amp;L_Role&amp;" "," ")))/(LEN(L_Role)+1)*LEN(L_Role)),0)</f>
        <v>0</v>
      </c>
      <c r="BT7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700,"revision",""),"version",""),"jan",""),"feb",""),"mar",""),"apr",""),"may",""),"jun",""),"jul",""),"aug",""),"sep",""),"oct",""),"nov",""),"dec",""),"utc",""),"gmt",""),"myt",""),"bst",""),"rev",""),"ver",""),"b","a"),"c","a"),"d","a"),"e","a"),"f","a"),"g","a"),"h","a"),"i","a"),"j","a"),"k","a"),"l","a"),"m","a"),"n","a"),"o","a"),"p","a"),"q","a"),"r","a"),"s","a"),"t","a"),"u","a"),"v","a"),"w","a"),"x","a"),"y","a"),"z","a")</f>
        <v/>
      </c>
      <c r="BU700" s="61" t="str">
        <f aca="false">SUBSTITUTE(SUBSTITUTE(SUBSTITUTE(SUBSTITUTE(SUBSTITUTE(SUBSTITUTE(SUBSTITUTE(SUBSTITUTE(SUBSTITUTE(SUBSTITUTE(LEFT(BM700,FIND("0",BM700&amp;"0")-1),"-",""),"_",""),"/",""),".",""),"#",""),"\\",""),":","")," ",""),"(",""),")","")</f>
        <v/>
      </c>
      <c r="BV700" s="61" t="n">
        <f aca="false">IFERROR(IF(OR(SUMPRODUCT((LEN(BC700)-LEN(SUBSTITUTE(BC700," "&amp;L_NotLoaded&amp;" "," ")))/(LEN(L_NotLoaded)+1))&gt;SUMPRODUCT((LEN(BC700)-LEN(SUBSTITUTE(BC700," "&amp;L_NotLoadedNeg&amp;" "," ")))/(LEN(L_NotLoadedNeg)+1)),SUMPRODUCT((LEN(BD700)-LEN(SUBSTITUTE(BD700," "&amp;L_NotLoaded&amp;" "," ")))/(LEN(L_NotLoaded)+1))&gt;SUMPRODUCT((LEN(BD700)-LEN(SUBSTITUTE(BD700," "&amp;L_NotLoadedNeg&amp;" "," ")))/(LEN(L_NotLoadedNeg)+1))),1,0),0)</f>
        <v>0</v>
      </c>
      <c r="BW70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700&amp;""),"a",""),"b",""),"c",""),"d",""),"e",""),"f",""),"g",""),"h",""),"i",""),"j",""),"k",""),"l",""),"m",""),"n",""),"o",""),"p",""),"q",""),"r",""),"s",""),"t",""),"u",""),"v",""),"w",""),"x",""),"y",""),"z",""),"-",""),"_",""),"/",""),".",""),"#",""),"\\",""),":","")," ",""),"(",""),")","")</f>
        <v/>
      </c>
      <c r="BX700" s="61" t="str">
        <f aca="false">SUBSTITUTE(SUBSTITUTE(SUBSTITUTE(SUBSTITUTE(SUBSTITUTE(SUBSTITUTE(SUBSTITUTE(SUBSTITUTE(SUBSTITUTE(SUBSTITUTE(SUBSTITUTE(BM700,"0",""),"-",""),"_",""),"/",""),".",""),"#",""),"\\",""),":","")," ",""),"(",""),")","")</f>
        <v/>
      </c>
      <c r="BY700" s="62" t="n">
        <f aca="false">IF(ISNUMBER(Flights!$AZ$25),MAX(Q700-UpliftWindowH/24,Flights!$AZ$25),Q700-UpliftWindowH/24)</f>
        <v>46325.03125</v>
      </c>
      <c r="BZ700" s="61" t="n">
        <f aca="false">IFERROR(IF(IF(TRIM(S700)="Link / file path",AND(LEN(TRIM(Z700))&gt;=5,SUMPRODUCT(--ISNUMBER(SEARCH({"http","www.","\\",":\",".pdf",".jpg",".jpeg",".png",".heic",".xls",".doc",".msg",".eml",".ppt",".txt",".zip"},Z700)))&gt;0),AND(ISERROR(FIND(" ",TRIM(Z700))),NOT(OR(SUMPRODUCT(--ISNUMBER(FIND({",",";","&amp;","+"},Z700)))&gt;0,SUMPRODUCT(--ISNUMBER(SEARCH({"0/aa","0\\aa"},BN700)))&gt;0)),NOT(SUMPRODUCT(--ISNUMBER(SEARCH({"http","www.","\\",":\",".pdf",".jpg",".jpeg",".png",".heic",".xls",".doc",".msg",".eml",".ppt",".txt",".zip"},Z700)))&gt;0),NOT(LOWER(TRIM(Z700))=LOWER(Flights!$F$25)),ISNA(MATCH(BU700,{"mh","rev","revision","ver","version","v","r","a","b","seat","tray","row","gate","bay","stand","page","pg","item","line","no","cart","galley","flight","flt","table","box","bag","oven","etd","eta","std","sta","atd","ata","qty","pax","x","time","tel","ph","mob","day","wk","week","utc","gmt","myt","lt"},0)),NOT(OR(ISNUMBER(MATCH(LEFT(BN700,255),{"0000a","000a","00a","0000aa","000aa","00aa","0aa","0000aaa","000aaa","00a00","0a00","0000-0000","00:00","a00","a0","00.00.0000","00/00/0000","00-00-0000","0000-00-00","0000/00/00","0000.00.00","00.00.00","00/00/00","00-00-00","0.00.0000","0/00/0000","0-00-0000"},0)),ISNUMBER(MATCH(LEFT(BT700,255),{"0000a","000a","00a","0000aa","000aa","00aa","0aa","0000aaa","000aaa","00a00","0a00","0000-0000","00:00","a00","a0","00.00.0000","00/00/0000","00-00-0000","0000-00-00","0000/00/00","0000.00.00","00.00.00","00/00/00","00-00-00","0.00.0000","0/00/0000","0-00-0000"},0)))),NOT(OR(AND(BW700&lt;&gt;"",SUBSTITUTE(BW700,"0","")=""),AND(LEN(BW700)&gt;=4,BW700=REPT(LEFT(BW700),LEN(BW700))),ISNUMBER(MATCH(BW700,{"123","1234","12345","123456","1234567","12345678","0123","01234","012345","98765","987654","54321"},0)),ISNUMBER(MATCH(BX700,{"x","xx","xxx","xxxx","xxxxx","abc","abcd","nil","na","nan","test","tbc","tba","tbd","dummy","sample","example","eg","zz","zzz","none","null","xyz","qwe","asd","id","ref"},0)),AND(LEN(BW700)=8,BX700="",OR(LEFT(BW700,3)="202",ISNUMBER(MATCH(RIGHT(BW700,4),{"2025","2026","2027"},0)))))),OR(AND((LEN(BT700)-LEN(SUBSTITUTE(BT700,"a","")))&gt;=1,(LEN(BN700)-LEN(SUBSTITUTE(BN700,"0","")))&gt;=2,SUMPRODUCT(--ISNUMBER(SEARCH({"a0","a-0","a_0","a/0","a.0","a#0","0a","0-a","0_a","0/a"},BN700)))&gt;0),AND((LEN(BN700)-LEN(SUBSTITUTE(BN700,"a","")))=0,(LEN(BN700)-LEN(SUBSTITUTE(BN700,"0","")))&gt;=5)))),1,0),0)</f>
        <v>0</v>
      </c>
      <c r="CA7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700,"revision",""),"version",""),"jan",""),"feb",""),"mar",""),"apr",""),"may",""),"jun",""),"jul",""),"aug",""),"sep",""),"oct",""),"nov",""),"dec",""),"utc",""),"gmt",""),"myt",""),"bst",""),"rev",""),"ver",""),"b","a"),"c","a"),"d","a"),"e","a"),"f","a"),"g","a"),"h","a"),"i","a"),"j","a"),"k","a"),"l","a"),"m","a"),"n","a"),"o","a"),"p","a"),"q","a"),"r","a"),"s","a"),"t","a"),"u","a"),"v","a"),"w","a"),"x","a"),"y","a"),"z","a")</f>
        <v/>
      </c>
      <c r="CB70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700&amp;""),"a",""),"b",""),"c",""),"d",""),"e",""),"f",""),"g",""),"h",""),"i",""),"j",""),"k",""),"l",""),"m",""),"n",""),"o",""),"p",""),"q",""),"r",""),"s",""),"t",""),"u",""),"v",""),"w",""),"x",""),"y",""),"z",""),"-",""),"_",""),"/",""),".",""),"#",""),"\\",""),":","")," ",""),"(",""),")","")</f>
        <v/>
      </c>
      <c r="CC700" s="0" t="str">
        <f aca="false">" "&amp;TRIM(SUBSTITUTE(SUBSTITUTE(SUBSTITUTE(SUBSTITUTE(SUBSTITUTE(SUBSTITUTE(SUBSTITUTE(SUBSTITUTE(SUBSTITUTE(SUBSTITUTE(SUBSTITUTE(SUBSTITUTE(SUBSTITUTE(SUBSTITUTE(SUBSTITUTE(SUBSTITUTE(SUBSTITUTE(SUBSTITUTE(SUBSTITUTE(SUBSTITUTE(SUBSTITUTE(SUBSTITUTE(SUBSTITUTE(SUBSTITUTE(LOWER(T700&amp;""),CHAR(10)," "),CHAR(13)," "),CHAR(9)," "),CHAR(160)," "),"."," "),","," "),"-"," "),"/"," "),"("," "),")"," "),":"," "),";"," "),"_"," "),"–"," "),"?"," "),"!"," "),"*"," "),"["," "),"]"," "),"'"," "),"#"," "),"+"," "),"&amp;"," "),"\"," "))&amp;" "</f>
        <v>  </v>
      </c>
      <c r="CD700" s="0" t="str">
        <f aca="false">" "&amp;TRIM(SUBSTITUTE(SUBSTITUTE(SUBSTITUTE(SUBSTITUTE(SUBSTITUTE(SUBSTITUTE(SUBSTITUTE(SUBSTITUTE(SUBSTITUTE(SUBSTITUTE(SUBSTITUTE(SUBSTITUTE(SUBSTITUTE(SUBSTITUTE(SUBSTITUTE(SUBSTITUTE(SUBSTITUTE(SUBSTITUTE(SUBSTITUTE(SUBSTITUTE(SUBSTITUTE(SUBSTITUTE(SUBSTITUTE(SUBSTITUTE(LOWER(AE700&amp;""),CHAR(10)," "),CHAR(13)," "),CHAR(9)," "),CHAR(160)," "),"."," "),","," "),"-"," "),"/"," "),"("," "),")"," "),":"," "),";"," "),"_"," "),"–"," "),"?"," "),"!"," "),"*"," "),"["," "),"]"," "),"'"," "),"#"," "),"+"," "),"&amp;"," "),"\"," "))&amp;" "</f>
        <v>  </v>
      </c>
      <c r="CE700" s="68" t="n">
        <f aca="false">IFERROR(IF(AND(LEN(AU700)&gt;0,LEN(AU700)=LEN(AX700),OR(TRIM(MID(SUBSTITUTE(TRIM(CC700)," ",REPT(" ",60)),1,60))="",ISNUMBER(SEARCH(" "&amp;TRIM(MID(SUBSTITUTE(TRIM(CC700)," ",REPT(" ",60)),1,60))&amp;" ",CD700))),OR(TRIM(MID(SUBSTITUTE(TRIM(CC700)," ",REPT(" ",60)),61,60))="",ISNUMBER(SEARCH(" "&amp;TRIM(MID(SUBSTITUTE(TRIM(CC700)," ",REPT(" ",60)),61,60))&amp;" ",CD700))),OR(TRIM(MID(SUBSTITUTE(TRIM(CC700)," ",REPT(" ",60)),121,60))="",ISNUMBER(SEARCH(" "&amp;TRIM(MID(SUBSTITUTE(TRIM(CC700)," ",REPT(" ",60)),121,60))&amp;" ",CD700)))),1,0),0)</f>
        <v>0</v>
      </c>
      <c r="CG700" s="68" t="n">
        <f aca="false">IFERROR(LEN(SUBSTITUTE(BF700," ",""))-SUMPRODUCT((LEN(BF700)-LEN(SUBSTITUTE(BF700," "&amp;L_NAFiller&amp;" "," ")))/(LEN(L_NAFiller)+1)*LEN(L_NAFiller)),0)</f>
        <v>0</v>
      </c>
    </row>
    <row r="701" customFormat="false" ht="39.75" hidden="false" customHeight="true" outlineLevel="0" collapsed="false">
      <c r="A701" s="57" t="s">
        <v>1435</v>
      </c>
      <c r="B701" s="57" t="s">
        <v>310</v>
      </c>
      <c r="C701" s="57" t="str">
        <f aca="false">Flights!$F$25</f>
        <v>MH1437</v>
      </c>
      <c r="D701" s="58" t="n">
        <f aca="false">Flights!$D$25</f>
        <v>46325</v>
      </c>
      <c r="E701" s="57" t="str">
        <f aca="false">Flights!$G$25&amp;"-"&amp;Flights!$H$25</f>
        <v>LGK-KUL</v>
      </c>
      <c r="F701" s="57" t="str">
        <f aca="false">Flights!$K$25</f>
        <v>BC</v>
      </c>
      <c r="G701" s="57" t="s">
        <v>459</v>
      </c>
      <c r="H701" s="57" t="s">
        <v>460</v>
      </c>
      <c r="I701" s="57" t="s">
        <v>447</v>
      </c>
      <c r="J701" s="57" t="s">
        <v>555</v>
      </c>
      <c r="K701" s="67" t="s">
        <v>449</v>
      </c>
      <c r="L701" s="67" t="s">
        <v>1422</v>
      </c>
      <c r="M701" s="67" t="s">
        <v>451</v>
      </c>
      <c r="N701" s="67" t="s">
        <v>383</v>
      </c>
      <c r="O701" s="67"/>
      <c r="P701" s="57" t="s">
        <v>306</v>
      </c>
      <c r="Q701" s="59" t="n">
        <f aca="false">ROUND((Flights!$AF$25)*1440,0)/1440</f>
        <v>46325.28125</v>
      </c>
      <c r="R701" s="59" t="n">
        <f aca="false">Q701+(IF(AND(INDEX(TZ_DSTS,MATCH(P701,TZ_STN,0))&lt;&gt;"",Q701&gt;=INDEX(TZ_DSTS,MATCH(P701,TZ_STN,0)),Q701&lt;INDEX(TZ_DSTE,MATCH(P701,TZ_STN,0))),INDEX(TZ_DST,MATCH(P701,TZ_STN,0)),INDEX(TZ_STD,MATCH(P701,TZ_STN,0))))/24</f>
        <v>46325.6145833333</v>
      </c>
      <c r="S701" s="60"/>
      <c r="T701" s="60"/>
      <c r="U701" s="60"/>
      <c r="V701" s="60"/>
      <c r="W701" s="61"/>
      <c r="X701" s="60"/>
      <c r="Y701" s="60"/>
      <c r="Z701" s="60"/>
      <c r="AA701" s="60"/>
      <c r="AB701" s="60"/>
      <c r="AC701" s="60"/>
      <c r="AD701" s="66"/>
      <c r="AE701" s="60"/>
      <c r="AF701" s="61" t="str">
        <f aca="false">IF(AND(ISNUMBER(X701),ISNUMBER(Y701)),Y701-X701,"")</f>
        <v/>
      </c>
      <c r="AG701" s="62" t="str">
        <f aca="false">IF(ISNUMBER(AD701),AD701-(IF(AND(INDEX(TZ_DSTS,MATCH(P701,TZ_STN,0))&lt;&gt;"",(AD701-INDEX(TZ_STD,MATCH(P701,TZ_STN,0))/24)&gt;=INDEX(TZ_DSTS,MATCH(P701,TZ_STN,0)),(AD701-INDEX(TZ_STD,MATCH(P701,TZ_STN,0))/24)&lt;INDEX(TZ_DSTE,MATCH(P701,TZ_STN,0))),INDEX(TZ_DST,MATCH(P701,TZ_STN,0)),INDEX(TZ_STD,MATCH(P701,TZ_STN,0))))/24,"")</f>
        <v/>
      </c>
      <c r="AH701" s="65" t="str">
        <f aca="false">IFERROR(IF(N701="N/A – rule",IF(OR(TRIM(U701)="",TRIM(U701)="N/A",TRIM(U701)="Not started"),"N/A – RULE","INVALID – this check does not apply to this aircraft: clear the status (or correct the fleet on Flights)"),IF(TRIM(U701)="N/A",IF(AT701=0,"INVALID – N/A not permitted for this check",IF(AND(TRIM(AB701)&lt;&gt;"",TRIM(AB701)&lt;&gt;"Closed"),"INVALID – corrective action still open",IF(AND(NOT(OR(LEN(AZ701)&lt;15,ISNUMBER(MATCH(AZ701,L_Placeholder,0)))),BK701=0,CG701&gt;=8,NOT(OR(LEN(AU701)&lt;2,ISNUMBER(MATCH(AU701,L_Placeholder,0)))),BR701&gt;=3,NOT(OR(LEN(AX701)&lt;2,ISNUMBER(MATCH(AX701,L_Placeholder,0)))),BS701&gt;=3,TRIM(AE701)&lt;&gt;TRIM(T701),AX701&lt;&gt;AU701,CE701=0),"N/A – JUSTIFIED","INVALID – N/A needs a real, settled reason (not 'not applicable' / 'as above' / TBC), a named PIC and a different named verifier"))),IF(OR(TRIM(U701)="Pass",TRIM(U701)="Pass after CA"),IF(NOT(ISNUMBER(AD701)),"INVALID – completion time missing",IF(OR(OR(LEN(AU701)&lt;2,ISNUMBER(MATCH(AU701,L_Placeholder,0))),BR701&lt;3),"INVALID – PIC missing or not a named person (a role such as QA / CSM is not a name)",IF(OR(LEN(AV701)&lt;2,ISNUMBER(MATCH(AV701,L_Placeholder,0))),"INVALID – result / assessment missing",IF(OR(OR(LEN(AW701)&lt;3,ISNUMBER(MATCH(AW701,L_Placeholder,0))),SUMPRODUCT(--ISNUMBER(SEARCH(" "&amp;L_EvidencePhrase&amp;" ",BD701)))&gt;0,BI701=1),"INVALID – evidence missing, placeholder or not yet on file",IF(ISNA(MATCH(TRIM(S701),L_EvidenceType,0)),"INVALID – choose the evidence type from the list (column S)",IF(BL701=0,"INVALID – evidence ID must be the record's own ID only (e.g. SF-2210, IMG_2231, 1045521); a link / file name needs type 'Link / file path'",IF(OR(OR(LEN(AX701)&lt;2,ISNUMBER(MATCH(AX701,L_Placeholder,0))),BS701&lt;3),"INVALID – verifier missing or not a named person (a role such as QA / CSM is not a name)",IF(OR(AX701=AU701,CE701=1,AND(LEN(AU701)&gt;=4,ISNUMBER(SEARCH(AU701,AX701))),AND(LEN(AX701)&gt;=4,ISNUMBER(SEARCH(AX701,AU701)))),"INVALID – verifier must be a different, named person (not the PIC or a role)",IF(BH701=1,"INVALID – result not yet available (awaiting / TBC)",IF(BG701=1,"INVALID – result describes a problem: record Fail, then Pass after CA (or reword if it is not a problem)",IF(BV701=1,"INVALID – wording says not on board: an on-board confirmation needs the item loaded",IF(AND(AQ701=1,OR(OR(LEN(AY701)&lt;3,ISNUMBER(MATCH(AY701,L_Placeholder,0))),BJ701=1,BQ701=0)),"INVALID – batch ID missing, placeholder or not an ID (e.g. PASB-261008-BC-017)",IF(AND(AR701=1,OR(NOT(ISNUMBER(X701)),NOT(ISNUMBER(Y701)))),"INVALID – expected/actual qty missing",IF(AND(AR701=1,OR(X701&lt;=0,Y701&lt;0)),"INVALID – expected qty must be above 0 and actual not negative",IF(AH690="N/A – JUSTIFIED","INVALID – preparation row F21-T12-15 is N/A",IF(AND(AR701=1,ISNUMBER(X690),X701&lt;&gt;X690,TRIM(U701)&lt;&gt;"Pass after CA"),"INVALID – expected qty differs from preparation check F21-T12-15: record the load change as a corrective action (Pass after CA)",IF(BB701&lt;&gt;"",BB701,IF(AND(AS701=1,Documents!$J$25&lt;&gt;"ON FILE"),"INVALID – GLD not on file (Documents sheet)",IF(AND(AS701=2,Documents!$O$25&lt;&gt;"ON FILE"),"INVALID – menu checklist not on file (Documents sheet)",IF(AND(AS701=3,NOT(ISNUMBER(Flights!$AX$25))),"INVALID – enter carrying flight KUL departure (Flights AX)",IF(AND(AS701=3,OR(Flights!$AZ$25&gt;Flights!$AA$25,Flights!$AX$25&lt;Flights!$AA$25-3)),"INVALID – carrying flight (Flights AX) cannot arrive before this leg's STD, or is over 3 days early",IF(AG701&gt;AsOfUTC,"INVALID – completion time is in the future",IF(AND(ISNUMBER(BY701),AG701&lt;BY701),IF(H701="Physical uplift","INVALID – before uplift window (cannot confirm loading)","INVALID – before valid window"),IF(AG701&gt;Flights!$AA$25,"INVALID – completed after departure (cannot establish readiness)",IF(AND(H701="Preparation",AG701&gt;=IF(ISNUMBER(Flights!$BA$25),MIN(Flights!$BA$25,Flights!$AA$25),Flights!$AA$25)),"INVALID – completed after loading / departure (cannot establish readiness)",IF(AND(H701="Physical uplift",AG701&gt;Q701),"INVALID – recorded after the loading flight departed",IF(AG701&gt;Q701,"COMPLETE – LATE","COMPLETE"))))))))))))))))))))))))))),IF(TRIM(U701)="Fail","FAIL – DISCREPANCY",IF(AND(TRIM(U701)&lt;&gt;"",TRIM(U701)&lt;&gt;"Not started",TRIM(U701)&lt;&gt;"In progress"),"INVALID – unrecognised status (use the list)",IF(AsOfUTC&gt;Q701,"OVERDUE",IF(N701="Clarification required","OPEN – CLARIFICATION","OPEN"))))))),"INVALID – error value in an input cell")</f>
        <v>OPEN</v>
      </c>
      <c r="AI701" s="61" t="n">
        <f aca="false">IF(OR(AH701="N/A – RULE",AH701="N/A – JUSTIFIED"),0,1)</f>
        <v>1</v>
      </c>
      <c r="AJ701" s="61" t="n">
        <f aca="false">IF(LEFT(AH701,8)="COMPLETE",1,0)</f>
        <v>0</v>
      </c>
      <c r="AK701" s="61" t="n">
        <f aca="false">IF(AND(AI701=1,AJ701=0,AsOfUTC&gt;Q701),1,0)</f>
        <v>0</v>
      </c>
      <c r="AL701" s="61" t="n">
        <f aca="false">IFERROR(IF(AND(AI701=1,OR(TRIM(U701)="Fail",AND(TRIM(AB701)&lt;&gt;"",TRIM(AB701)&lt;&gt;"Closed"),AND(ISNUMBER(AF701),AF701&lt;&gt;0,TRIM(U701)&lt;&gt;"Pass after CA"))),1,0),1)</f>
        <v>0</v>
      </c>
      <c r="AM701" s="61" t="n">
        <f aca="false">IF(LEFT(AH701,7)="INVALID",1,0)</f>
        <v>0</v>
      </c>
      <c r="AN701" s="61" t="n">
        <f aca="false">IF(AND(N701="Clarification required",AI701=1,AJ701=0),1,0)</f>
        <v>0</v>
      </c>
      <c r="AO701" s="61" t="str">
        <f aca="false">IF(AK701=1,SUM(AK$5:AK701),"")</f>
        <v/>
      </c>
      <c r="AP701" s="61" t="str">
        <f aca="false">IF(AL701=1,SUM(AL$5:AL701),"")</f>
        <v/>
      </c>
      <c r="AQ701" s="61" t="n">
        <v>0</v>
      </c>
      <c r="AR701" s="61" t="n">
        <v>0</v>
      </c>
      <c r="AS701" s="61" t="n">
        <v>0</v>
      </c>
      <c r="AT701" s="61" t="n">
        <v>0</v>
      </c>
      <c r="AU701" s="61" t="str">
        <f aca="false">SUBSTITUTE(SUBSTITUTE(SUBSTITUTE(SUBSTITUTE(SUBSTITUTE(SUBSTITUTE(SUBSTITUTE(SUBSTITUTE(SUBSTITUTE(SUBSTITUTE(SUBSTITUTE(SUBSTITUTE(SUBSTITUTE(SUBSTITUTE(SUBSTITUTE(SUBSTITUTE(LOWER(T701&amp;""),CHAR(10),""),CHAR(13),""),CHAR(9),""),CHAR(160),"")," ",""),".",""),"-",""),"/",""),"?",""),"_",""),",",""),"[",""),"]",""),"(",""),")",""),"*","")</f>
        <v/>
      </c>
      <c r="AV701" s="61" t="str">
        <f aca="false">SUBSTITUTE(SUBSTITUTE(SUBSTITUTE(SUBSTITUTE(SUBSTITUTE(SUBSTITUTE(SUBSTITUTE(SUBSTITUTE(SUBSTITUTE(SUBSTITUTE(SUBSTITUTE(SUBSTITUTE(SUBSTITUTE(SUBSTITUTE(SUBSTITUTE(SUBSTITUTE(LOWER(V701&amp;""),CHAR(10),""),CHAR(13),""),CHAR(9),""),CHAR(160),"")," ",""),".",""),"-",""),"/",""),"?",""),"_",""),",",""),"[",""),"]",""),"(",""),")",""),"*","")</f>
        <v/>
      </c>
      <c r="AW701" s="61" t="str">
        <f aca="false">SUBSTITUTE(SUBSTITUTE(SUBSTITUTE(SUBSTITUTE(SUBSTITUTE(SUBSTITUTE(SUBSTITUTE(SUBSTITUTE(SUBSTITUTE(SUBSTITUTE(SUBSTITUTE(SUBSTITUTE(SUBSTITUTE(SUBSTITUTE(SUBSTITUTE(SUBSTITUTE(LOWER(Z701&amp;""),CHAR(10),""),CHAR(13),""),CHAR(9),""),CHAR(160),"")," ",""),".",""),"-",""),"/",""),"?",""),"_",""),",",""),"[",""),"]",""),"(",""),")",""),"*","")</f>
        <v/>
      </c>
      <c r="AX701" s="61" t="str">
        <f aca="false">SUBSTITUTE(SUBSTITUTE(SUBSTITUTE(SUBSTITUTE(SUBSTITUTE(SUBSTITUTE(SUBSTITUTE(SUBSTITUTE(SUBSTITUTE(SUBSTITUTE(SUBSTITUTE(SUBSTITUTE(SUBSTITUTE(SUBSTITUTE(SUBSTITUTE(SUBSTITUTE(LOWER(AE701&amp;""),CHAR(10),""),CHAR(13),""),CHAR(9),""),CHAR(160),"")," ",""),".",""),"-",""),"/",""),"?",""),"_",""),",",""),"[",""),"]",""),"(",""),")",""),"*","")</f>
        <v/>
      </c>
      <c r="AY701" s="61" t="str">
        <f aca="false">SUBSTITUTE(SUBSTITUTE(SUBSTITUTE(SUBSTITUTE(SUBSTITUTE(SUBSTITUTE(SUBSTITUTE(SUBSTITUTE(SUBSTITUTE(SUBSTITUTE(SUBSTITUTE(SUBSTITUTE(SUBSTITUTE(SUBSTITUTE(SUBSTITUTE(SUBSTITUTE(LOWER(W701&amp;""),CHAR(10),""),CHAR(13),""),CHAR(9),""),CHAR(160),"")," ",""),".",""),"-",""),"/",""),"?",""),"_",""),",",""),"[",""),"]",""),"(",""),")",""),"*","")</f>
        <v/>
      </c>
      <c r="AZ701" s="61" t="str">
        <f aca="false">SUBSTITUTE(SUBSTITUTE(SUBSTITUTE(SUBSTITUTE(SUBSTITUTE(SUBSTITUTE(SUBSTITUTE(SUBSTITUTE(SUBSTITUTE(SUBSTITUTE(SUBSTITUTE(SUBSTITUTE(SUBSTITUTE(SUBSTITUTE(SUBSTITUTE(SUBSTITUTE(LOWER(AC701&amp;""),CHAR(10),""),CHAR(13),""),CHAR(9),""),CHAR(160),"")," ",""),".",""),"-",""),"/",""),"?",""),"_",""),",",""),"[",""),"]",""),"(",""),")",""),"*","")</f>
        <v/>
      </c>
      <c r="BA701" s="61" t="str">
        <f aca="false">SUBSTITUTE(SUBSTITUTE(SUBSTITUTE(SUBSTITUTE(SUBSTITUTE(SUBSTITUTE(SUBSTITUTE(SUBSTITUTE(SUBSTITUTE(SUBSTITUTE(SUBSTITUTE(SUBSTITUTE(SUBSTITUTE(SUBSTITUTE(SUBSTITUTE(SUBSTITUTE(LOWER(AA701&amp;""),CHAR(10),""),CHAR(13),""),CHAR(9),""),CHAR(160),"")," ",""),".",""),"-",""),"/",""),"?",""),"_",""),",",""),"[",""),"]",""),"(",""),")",""),"*","")</f>
        <v/>
      </c>
      <c r="BB701" s="61" t="str">
        <f aca="false">IF(AND(TRIM(U701)="Pass",ISNUMBER(AF701)),IF(AF701&lt;&gt;0,"INVALID – qty variance: use Fail or Pass after CA",""),"")&amp;IF(AND(TRIM(U701)="Pass after CA",ISNUMBER(AF701)),IF(AF701&lt;&gt;0,"INVALID – after the corrective action the actual qty must equal expected (update Actual)",""),"")&amp;IF(AND(TRIM(U701)="Pass",TRIM(AB701)&lt;&gt;"",TRIM(AB701)&lt;&gt;"Closed"),"INVALID – corrective action not closed: use Fail, then Pass after CA","")&amp;IF(AND(LEN(BA701)&gt;=2,ISNA(MATCH(LEFT(BA701,255),L_Placeholder,0)),TRIM(AB701)=""),"INVALID – CA status missing for the recorded corrective action","")&amp;IF(AND(TRIM(U701)="Pass after CA",OR(OR(LEN(BA701)&lt;5,ISNUMBER(MATCH(BA701,L_Placeholder,0))),TRIM(AB701)&lt;&gt;"Closed")),"INVALID – corrective action not recorded/closed","")</f>
        <v/>
      </c>
      <c r="BC701" s="61" t="str">
        <f aca="false">" "&amp;TRIM(SUBSTITUTE(SUBSTITUTE(SUBSTITUTE(SUBSTITUTE(SUBSTITUTE(SUBSTITUTE(SUBSTITUTE(SUBSTITUTE(SUBSTITUTE(SUBSTITUTE(SUBSTITUTE(SUBSTITUTE(SUBSTITUTE(SUBSTITUTE(SUBSTITUTE(SUBSTITUTE(SUBSTITUTE(SUBSTITUTE(SUBSTITUTE(SUBSTITUTE(SUBSTITUTE(SUBSTITUTE(SUBSTITUTE(SUBSTITUTE(LOWER(V701&amp;""),CHAR(10)," "),CHAR(13)," "),CHAR(9)," "),CHAR(160)," "),"."," "),","," "),"-"," "),"/"," "),"("," "),")"," "),":"," "),";"," "),"_"," "),"–"," "),"?"," "),"!"," "),"*"," "),"["," "),"]"," "),"'"," "),"#"," "),"+"," "),"&amp;"," "),"\"," "))&amp;" "</f>
        <v>  </v>
      </c>
      <c r="BD701" s="61" t="str">
        <f aca="false">" "&amp;TRIM(SUBSTITUTE(SUBSTITUTE(SUBSTITUTE(SUBSTITUTE(SUBSTITUTE(SUBSTITUTE(SUBSTITUTE(SUBSTITUTE(SUBSTITUTE(SUBSTITUTE(SUBSTITUTE(SUBSTITUTE(SUBSTITUTE(SUBSTITUTE(SUBSTITUTE(SUBSTITUTE(SUBSTITUTE(SUBSTITUTE(SUBSTITUTE(SUBSTITUTE(SUBSTITUTE(SUBSTITUTE(SUBSTITUTE(SUBSTITUTE(LOWER(Z701&amp;""),CHAR(10)," "),CHAR(13)," "),CHAR(9)," "),CHAR(160)," "),"."," "),","," "),"-"," "),"/"," "),"("," "),")"," "),":"," "),";"," "),"_"," "),"–"," "),"?"," "),"!"," "),"*"," "),"["," "),"]"," "),"'"," "),"#"," "),"+"," "),"&amp;"," "),"\"," "))&amp;" "</f>
        <v>  </v>
      </c>
      <c r="BE701" s="61" t="str">
        <f aca="false">" "&amp;TRIM(SUBSTITUTE(SUBSTITUTE(SUBSTITUTE(SUBSTITUTE(SUBSTITUTE(SUBSTITUTE(SUBSTITUTE(SUBSTITUTE(SUBSTITUTE(SUBSTITUTE(SUBSTITUTE(SUBSTITUTE(SUBSTITUTE(SUBSTITUTE(SUBSTITUTE(SUBSTITUTE(SUBSTITUTE(SUBSTITUTE(SUBSTITUTE(SUBSTITUTE(SUBSTITUTE(SUBSTITUTE(SUBSTITUTE(SUBSTITUTE(LOWER(W701&amp;""),CHAR(10)," "),CHAR(13)," "),CHAR(9)," "),CHAR(160)," "),"."," "),","," "),"-"," "),"/"," "),"("," "),")"," "),":"," "),";"," "),"_"," "),"–"," "),"?"," "),"!"," "),"*"," "),"["," "),"]"," "),"'"," "),"#"," "),"+"," "),"&amp;"," "),"\"," "))&amp;" "</f>
        <v>  </v>
      </c>
      <c r="BF701" s="61" t="str">
        <f aca="false">" "&amp;TRIM(SUBSTITUTE(SUBSTITUTE(SUBSTITUTE(SUBSTITUTE(SUBSTITUTE(SUBSTITUTE(SUBSTITUTE(SUBSTITUTE(SUBSTITUTE(SUBSTITUTE(SUBSTITUTE(SUBSTITUTE(SUBSTITUTE(SUBSTITUTE(SUBSTITUTE(SUBSTITUTE(SUBSTITUTE(SUBSTITUTE(SUBSTITUTE(SUBSTITUTE(SUBSTITUTE(SUBSTITUTE(SUBSTITUTE(SUBSTITUTE(LOWER(AC701&amp;""),CHAR(10)," "),CHAR(13)," "),CHAR(9)," "),CHAR(160)," "),"."," "),","," "),"-"," "),"/"," "),"("," "),")"," "),":"," "),";"," "),"_"," "),"–"," "),"?"," "),"!"," "),"*"," "),"["," "),"]"," "),"'"," "),"#"," "),"+"," "),"&amp;"," "),"\"," "))&amp;" "</f>
        <v>  </v>
      </c>
      <c r="BG701" s="61" t="n">
        <f aca="false">IFERROR(IF(AND(TRIM(U701)="Pass",SUMPRODUCT((LEN(BC701)-LEN(SUBSTITUTE(BC701," "&amp;L_ResultBad&amp;" "," ")))/(LEN(L_ResultBad)+1))&gt;SUMPRODUCT((LEN(BC701)-LEN(SUBSTITUTE(BC701," "&amp;L_NegPhrase&amp;" "," ")))/(LEN(L_NegPhrase)+1))),1,0),0)</f>
        <v>0</v>
      </c>
      <c r="BH701" s="61" t="n">
        <f aca="false">IFERROR(IF(SUMPRODUCT((LEN(BC701)-LEN(SUBSTITUTE(BC701," "&amp;L_Pending&amp;" "," ")))/(LEN(L_Pending)+1))&gt;SUMPRODUCT((LEN(BC701)-LEN(SUBSTITUTE(BC701," "&amp;L_PendNeg&amp;" "," ")))/(LEN(L_PendNeg)+1)),1,0),1)</f>
        <v>0</v>
      </c>
      <c r="BI701" s="61" t="n">
        <f aca="false">IFERROR(IF(SUMPRODUCT((LEN(BD701)-LEN(SUBSTITUTE(BD701," "&amp;L_PendStrict&amp;" "," ")))/(LEN(L_PendStrict)+1))&gt;SUMPRODUCT((LEN(BD701)-LEN(SUBSTITUTE(BD701," "&amp;L_PendNeg&amp;" "," ")))/(LEN(L_PendNeg)+1)),1,0),1)</f>
        <v>0</v>
      </c>
      <c r="BJ701" s="61" t="n">
        <f aca="false">IFERROR(IF(SUMPRODUCT((LEN(BE701)-LEN(SUBSTITUTE(BE701," "&amp;L_Pending&amp;" "," ")))/(LEN(L_Pending)+1))&gt;SUMPRODUCT((LEN(BE701)-LEN(SUBSTITUTE(BE701," "&amp;L_PendNeg&amp;" "," ")))/(LEN(L_PendNeg)+1)),1,0),1)</f>
        <v>0</v>
      </c>
      <c r="BK701" s="61" t="n">
        <f aca="false">IFERROR(IF(SUMPRODUCT((LEN(BF701)-LEN(SUBSTITUTE(BF701," "&amp;L_PendStrict&amp;" "," ")))/(LEN(L_PendStrict)+1))&gt;SUMPRODUCT((LEN(BF701)-LEN(SUBSTITUTE(BF701," "&amp;L_PendNeg&amp;" "," ")))/(LEN(L_PendNeg)+1)),1,0),1)</f>
        <v>0</v>
      </c>
      <c r="BL701" s="61" t="n">
        <f aca="false">IF(ISNA(MATCH(TRIM(S701),L_EvidenceType,0)),0,BZ701)</f>
        <v>0</v>
      </c>
      <c r="BM701" s="61" t="str">
        <f aca="false">SUBSTITUTE(SUBSTITUTE(SUBSTITUTE(SUBSTITUTE(SUBSTITUTE(SUBSTITUTE(SUBSTITUTE(SUBSTITUTE(SUBSTITUTE(LOWER(Z701&amp;""),"1","0"),"2","0"),"3","0"),"4","0"),"5","0"),"6","0"),"7","0"),"8","0"),"9","0")</f>
        <v/>
      </c>
      <c r="BN701" s="61" t="str">
        <f aca="false">SUBSTITUTE(SUBSTITUTE(SUBSTITUTE(SUBSTITUTE(SUBSTITUTE(SUBSTITUTE(SUBSTITUTE(SUBSTITUTE(SUBSTITUTE(SUBSTITUTE(SUBSTITUTE(SUBSTITUTE(SUBSTITUTE(SUBSTITUTE(SUBSTITUTE(SUBSTITUTE(SUBSTITUTE(SUBSTITUTE(SUBSTITUTE(SUBSTITUTE(SUBSTITUTE(SUBSTITUTE(SUBSTITUTE(SUBSTITUTE(SUBSTITUTE(BM701,"b","a"),"c","a"),"d","a"),"e","a"),"f","a"),"g","a"),"h","a"),"i","a"),"j","a"),"k","a"),"l","a"),"m","a"),"n","a"),"o","a"),"p","a"),"q","a"),"r","a"),"s","a"),"t","a"),"u","a"),"v","a"),"w","a"),"x","a"),"y","a"),"z","a")</f>
        <v/>
      </c>
      <c r="BO701" s="61" t="str">
        <f aca="false">SUBSTITUTE(SUBSTITUTE(SUBSTITUTE(SUBSTITUTE(SUBSTITUTE(SUBSTITUTE(SUBSTITUTE(SUBSTITUTE(SUBSTITUTE(LOWER(W701&amp;""),"1","0"),"2","0"),"3","0"),"4","0"),"5","0"),"6","0"),"7","0"),"8","0"),"9","0")</f>
        <v/>
      </c>
      <c r="BP701" s="61" t="str">
        <f aca="false">SUBSTITUTE(SUBSTITUTE(SUBSTITUTE(SUBSTITUTE(SUBSTITUTE(SUBSTITUTE(SUBSTITUTE(SUBSTITUTE(SUBSTITUTE(SUBSTITUTE(SUBSTITUTE(SUBSTITUTE(SUBSTITUTE(SUBSTITUTE(SUBSTITUTE(SUBSTITUTE(SUBSTITUTE(SUBSTITUTE(SUBSTITUTE(SUBSTITUTE(SUBSTITUTE(SUBSTITUTE(SUBSTITUTE(SUBSTITUTE(SUBSTITUTE(BO701,"b","a"),"c","a"),"d","a"),"e","a"),"f","a"),"g","a"),"h","a"),"i","a"),"j","a"),"k","a"),"l","a"),"m","a"),"n","a"),"o","a"),"p","a"),"q","a"),"r","a"),"s","a"),"t","a"),"u","a"),"v","a"),"w","a"),"x","a"),"y","a"),"z","a")</f>
        <v/>
      </c>
      <c r="BQ701" s="61" t="n">
        <f aca="false">IFERROR(IF(AND(ISERROR(SEARCH(" mh"," "&amp;LOWER(W701))),ISNA(MATCH(LEFT(TRIM(BP701),255),{"0000a","000a","00a","0000aa","000aa","00aa","0aa","0000aaa","000aaa","00a00","0a00","0000-0000","00:00","a00","a0","00.00.0000","00/00/0000","00-00-0000","0000-00-00","0000/00/00","0000.00.00","00.00.00","00/00/00","00-00-00","0.00.0000","0/00/0000","0-00-0000"},0)),ISNA(MATCH(LEFT(TRIM(CA701),255),{"0000a","000a","00a","0000aa","000aa","00aa","0aa","0000aaa","000aaa","00a00","0a00","0000-0000","00:00","a00","a0","00.00.0000","00/00/0000","00-00-0000","0000-00-00","0000/00/00","0000.00.00","00.00.00","00/00/00","00-00-00","0.00.0000","0/00/0000","0-00-0000"},0)),LEN(CB701)&gt;=3,NOT(OR(SUBSTITUTE(CB701,"0","")="",AND(LEN(CB701)&gt;=4,CB701=REPT(LEFT(CB701),LEN(CB701))),ISNUMBER(MATCH(CB701,{"123","1234","12345","123456","1234567","12345678","0123","01234","012345","98765","987654","54321"},0)),AND(LEN(CB701)=8,LEFT(CB701,3)="202"))),OR(AND((LEN(CA701)-LEN(SUBSTITUTE(CA701,"a","")))&gt;=1,SUMPRODUCT(--ISNUMBER(SEARCH({"a0","a-0","a_0","a/0","a.0","a#0","0a","0-a","0_a","0/a"},BP701)))&gt;0),ISNUMBER(SEARCH("000000",BP701)))),1,0),0)</f>
        <v>0</v>
      </c>
      <c r="BR701" s="61" t="n">
        <f aca="false">IFERROR(LEN(SUBSTITUTE(CC701," ",""))-SUMPRODUCT((LEN(CC701)-LEN(SUBSTITUTE(CC701," "&amp;L_Role&amp;" "," ")))/(LEN(L_Role)+1)*LEN(L_Role)),0)</f>
        <v>0</v>
      </c>
      <c r="BS701" s="61" t="n">
        <f aca="false">IFERROR(LEN(SUBSTITUTE(CD701," ",""))-SUMPRODUCT((LEN(CD701)-LEN(SUBSTITUTE(CD701," "&amp;L_Role&amp;" "," ")))/(LEN(L_Role)+1)*LEN(L_Role)),0)</f>
        <v>0</v>
      </c>
      <c r="BT7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701,"revision",""),"version",""),"jan",""),"feb",""),"mar",""),"apr",""),"may",""),"jun",""),"jul",""),"aug",""),"sep",""),"oct",""),"nov",""),"dec",""),"utc",""),"gmt",""),"myt",""),"bst",""),"rev",""),"ver",""),"b","a"),"c","a"),"d","a"),"e","a"),"f","a"),"g","a"),"h","a"),"i","a"),"j","a"),"k","a"),"l","a"),"m","a"),"n","a"),"o","a"),"p","a"),"q","a"),"r","a"),"s","a"),"t","a"),"u","a"),"v","a"),"w","a"),"x","a"),"y","a"),"z","a")</f>
        <v/>
      </c>
      <c r="BU701" s="61" t="str">
        <f aca="false">SUBSTITUTE(SUBSTITUTE(SUBSTITUTE(SUBSTITUTE(SUBSTITUTE(SUBSTITUTE(SUBSTITUTE(SUBSTITUTE(SUBSTITUTE(SUBSTITUTE(LEFT(BM701,FIND("0",BM701&amp;"0")-1),"-",""),"_",""),"/",""),".",""),"#",""),"\\",""),":","")," ",""),"(",""),")","")</f>
        <v/>
      </c>
      <c r="BV701" s="61" t="n">
        <f aca="false">IFERROR(IF(OR(SUMPRODUCT((LEN(BC701)-LEN(SUBSTITUTE(BC701," "&amp;L_NotLoaded&amp;" "," ")))/(LEN(L_NotLoaded)+1))&gt;SUMPRODUCT((LEN(BC701)-LEN(SUBSTITUTE(BC701," "&amp;L_NotLoadedNeg&amp;" "," ")))/(LEN(L_NotLoadedNeg)+1)),SUMPRODUCT((LEN(BD701)-LEN(SUBSTITUTE(BD701," "&amp;L_NotLoaded&amp;" "," ")))/(LEN(L_NotLoaded)+1))&gt;SUMPRODUCT((LEN(BD701)-LEN(SUBSTITUTE(BD701," "&amp;L_NotLoadedNeg&amp;" "," ")))/(LEN(L_NotLoadedNeg)+1))),1,0),0)</f>
        <v>0</v>
      </c>
      <c r="BW70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701&amp;""),"a",""),"b",""),"c",""),"d",""),"e",""),"f",""),"g",""),"h",""),"i",""),"j",""),"k",""),"l",""),"m",""),"n",""),"o",""),"p",""),"q",""),"r",""),"s",""),"t",""),"u",""),"v",""),"w",""),"x",""),"y",""),"z",""),"-",""),"_",""),"/",""),".",""),"#",""),"\\",""),":","")," ",""),"(",""),")","")</f>
        <v/>
      </c>
      <c r="BX701" s="61" t="str">
        <f aca="false">SUBSTITUTE(SUBSTITUTE(SUBSTITUTE(SUBSTITUTE(SUBSTITUTE(SUBSTITUTE(SUBSTITUTE(SUBSTITUTE(SUBSTITUTE(SUBSTITUTE(SUBSTITUTE(BM701,"0",""),"-",""),"_",""),"/",""),".",""),"#",""),"\\",""),":","")," ",""),"(",""),")","")</f>
        <v/>
      </c>
      <c r="BY701" s="62" t="n">
        <f aca="false">IF(ISNUMBER(Flights!$AZ$25),MAX(Q701-UpliftWindowH/24,Flights!$AZ$25),Q701-UpliftWindowH/24)</f>
        <v>46325.03125</v>
      </c>
      <c r="BZ701" s="61" t="n">
        <f aca="false">IFERROR(IF(IF(TRIM(S701)="Link / file path",AND(LEN(TRIM(Z701))&gt;=5,SUMPRODUCT(--ISNUMBER(SEARCH({"http","www.","\\",":\",".pdf",".jpg",".jpeg",".png",".heic",".xls",".doc",".msg",".eml",".ppt",".txt",".zip"},Z701)))&gt;0),AND(ISERROR(FIND(" ",TRIM(Z701))),NOT(OR(SUMPRODUCT(--ISNUMBER(FIND({",",";","&amp;","+"},Z701)))&gt;0,SUMPRODUCT(--ISNUMBER(SEARCH({"0/aa","0\\aa"},BN701)))&gt;0)),NOT(SUMPRODUCT(--ISNUMBER(SEARCH({"http","www.","\\",":\",".pdf",".jpg",".jpeg",".png",".heic",".xls",".doc",".msg",".eml",".ppt",".txt",".zip"},Z701)))&gt;0),NOT(LOWER(TRIM(Z701))=LOWER(Flights!$F$25)),ISNA(MATCH(BU701,{"mh","rev","revision","ver","version","v","r","a","b","seat","tray","row","gate","bay","stand","page","pg","item","line","no","cart","galley","flight","flt","table","box","bag","oven","etd","eta","std","sta","atd","ata","qty","pax","x","time","tel","ph","mob","day","wk","week","utc","gmt","myt","lt"},0)),NOT(OR(ISNUMBER(MATCH(LEFT(BN701,255),{"0000a","000a","00a","0000aa","000aa","00aa","0aa","0000aaa","000aaa","00a00","0a00","0000-0000","00:00","a00","a0","00.00.0000","00/00/0000","00-00-0000","0000-00-00","0000/00/00","0000.00.00","00.00.00","00/00/00","00-00-00","0.00.0000","0/00/0000","0-00-0000"},0)),ISNUMBER(MATCH(LEFT(BT701,255),{"0000a","000a","00a","0000aa","000aa","00aa","0aa","0000aaa","000aaa","00a00","0a00","0000-0000","00:00","a00","a0","00.00.0000","00/00/0000","00-00-0000","0000-00-00","0000/00/00","0000.00.00","00.00.00","00/00/00","00-00-00","0.00.0000","0/00/0000","0-00-0000"},0)))),NOT(OR(AND(BW701&lt;&gt;"",SUBSTITUTE(BW701,"0","")=""),AND(LEN(BW701)&gt;=4,BW701=REPT(LEFT(BW701),LEN(BW701))),ISNUMBER(MATCH(BW701,{"123","1234","12345","123456","1234567","12345678","0123","01234","012345","98765","987654","54321"},0)),ISNUMBER(MATCH(BX701,{"x","xx","xxx","xxxx","xxxxx","abc","abcd","nil","na","nan","test","tbc","tba","tbd","dummy","sample","example","eg","zz","zzz","none","null","xyz","qwe","asd","id","ref"},0)),AND(LEN(BW701)=8,BX701="",OR(LEFT(BW701,3)="202",ISNUMBER(MATCH(RIGHT(BW701,4),{"2025","2026","2027"},0)))))),OR(AND((LEN(BT701)-LEN(SUBSTITUTE(BT701,"a","")))&gt;=1,(LEN(BN701)-LEN(SUBSTITUTE(BN701,"0","")))&gt;=2,SUMPRODUCT(--ISNUMBER(SEARCH({"a0","a-0","a_0","a/0","a.0","a#0","0a","0-a","0_a","0/a"},BN701)))&gt;0),AND((LEN(BN701)-LEN(SUBSTITUTE(BN701,"a","")))=0,(LEN(BN701)-LEN(SUBSTITUTE(BN701,"0","")))&gt;=5)))),1,0),0)</f>
        <v>0</v>
      </c>
      <c r="CA7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701,"revision",""),"version",""),"jan",""),"feb",""),"mar",""),"apr",""),"may",""),"jun",""),"jul",""),"aug",""),"sep",""),"oct",""),"nov",""),"dec",""),"utc",""),"gmt",""),"myt",""),"bst",""),"rev",""),"ver",""),"b","a"),"c","a"),"d","a"),"e","a"),"f","a"),"g","a"),"h","a"),"i","a"),"j","a"),"k","a"),"l","a"),"m","a"),"n","a"),"o","a"),"p","a"),"q","a"),"r","a"),"s","a"),"t","a"),"u","a"),"v","a"),"w","a"),"x","a"),"y","a"),"z","a")</f>
        <v/>
      </c>
      <c r="CB70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701&amp;""),"a",""),"b",""),"c",""),"d",""),"e",""),"f",""),"g",""),"h",""),"i",""),"j",""),"k",""),"l",""),"m",""),"n",""),"o",""),"p",""),"q",""),"r",""),"s",""),"t",""),"u",""),"v",""),"w",""),"x",""),"y",""),"z",""),"-",""),"_",""),"/",""),".",""),"#",""),"\\",""),":","")," ",""),"(",""),")","")</f>
        <v/>
      </c>
      <c r="CC701" s="0" t="str">
        <f aca="false">" "&amp;TRIM(SUBSTITUTE(SUBSTITUTE(SUBSTITUTE(SUBSTITUTE(SUBSTITUTE(SUBSTITUTE(SUBSTITUTE(SUBSTITUTE(SUBSTITUTE(SUBSTITUTE(SUBSTITUTE(SUBSTITUTE(SUBSTITUTE(SUBSTITUTE(SUBSTITUTE(SUBSTITUTE(SUBSTITUTE(SUBSTITUTE(SUBSTITUTE(SUBSTITUTE(SUBSTITUTE(SUBSTITUTE(SUBSTITUTE(SUBSTITUTE(LOWER(T701&amp;""),CHAR(10)," "),CHAR(13)," "),CHAR(9)," "),CHAR(160)," "),"."," "),","," "),"-"," "),"/"," "),"("," "),")"," "),":"," "),";"," "),"_"," "),"–"," "),"?"," "),"!"," "),"*"," "),"["," "),"]"," "),"'"," "),"#"," "),"+"," "),"&amp;"," "),"\"," "))&amp;" "</f>
        <v>  </v>
      </c>
      <c r="CD701" s="0" t="str">
        <f aca="false">" "&amp;TRIM(SUBSTITUTE(SUBSTITUTE(SUBSTITUTE(SUBSTITUTE(SUBSTITUTE(SUBSTITUTE(SUBSTITUTE(SUBSTITUTE(SUBSTITUTE(SUBSTITUTE(SUBSTITUTE(SUBSTITUTE(SUBSTITUTE(SUBSTITUTE(SUBSTITUTE(SUBSTITUTE(SUBSTITUTE(SUBSTITUTE(SUBSTITUTE(SUBSTITUTE(SUBSTITUTE(SUBSTITUTE(SUBSTITUTE(SUBSTITUTE(LOWER(AE701&amp;""),CHAR(10)," "),CHAR(13)," "),CHAR(9)," "),CHAR(160)," "),"."," "),","," "),"-"," "),"/"," "),"("," "),")"," "),":"," "),";"," "),"_"," "),"–"," "),"?"," "),"!"," "),"*"," "),"["," "),"]"," "),"'"," "),"#"," "),"+"," "),"&amp;"," "),"\"," "))&amp;" "</f>
        <v>  </v>
      </c>
      <c r="CE701" s="68" t="n">
        <f aca="false">IFERROR(IF(AND(LEN(AU701)&gt;0,LEN(AU701)=LEN(AX701),OR(TRIM(MID(SUBSTITUTE(TRIM(CC701)," ",REPT(" ",60)),1,60))="",ISNUMBER(SEARCH(" "&amp;TRIM(MID(SUBSTITUTE(TRIM(CC701)," ",REPT(" ",60)),1,60))&amp;" ",CD701))),OR(TRIM(MID(SUBSTITUTE(TRIM(CC701)," ",REPT(" ",60)),61,60))="",ISNUMBER(SEARCH(" "&amp;TRIM(MID(SUBSTITUTE(TRIM(CC701)," ",REPT(" ",60)),61,60))&amp;" ",CD701))),OR(TRIM(MID(SUBSTITUTE(TRIM(CC701)," ",REPT(" ",60)),121,60))="",ISNUMBER(SEARCH(" "&amp;TRIM(MID(SUBSTITUTE(TRIM(CC701)," ",REPT(" ",60)),121,60))&amp;" ",CD701)))),1,0),0)</f>
        <v>0</v>
      </c>
      <c r="CG701" s="68" t="n">
        <f aca="false">IFERROR(LEN(SUBSTITUTE(BF701," ",""))-SUMPRODUCT((LEN(BF701)-LEN(SUBSTITUTE(BF701," "&amp;L_NAFiller&amp;" "," ")))/(LEN(L_NAFiller)+1)*LEN(L_NAFiller)),0)</f>
        <v>0</v>
      </c>
    </row>
    <row r="702" customFormat="false" ht="39.75" hidden="false" customHeight="true" outlineLevel="0" collapsed="false">
      <c r="A702" s="57" t="s">
        <v>1436</v>
      </c>
      <c r="B702" s="57" t="s">
        <v>312</v>
      </c>
      <c r="C702" s="57" t="str">
        <f aca="false">Flights!$F$26</f>
        <v>MH0002</v>
      </c>
      <c r="D702" s="58" t="n">
        <f aca="false">Flights!$D$26</f>
        <v>46325</v>
      </c>
      <c r="E702" s="57" t="str">
        <f aca="false">Flights!$G$26&amp;"-"&amp;Flights!$H$26</f>
        <v>KUL-LHR</v>
      </c>
      <c r="F702" s="57" t="str">
        <f aca="false">Flights!$K$26</f>
        <v>BC</v>
      </c>
      <c r="G702" s="57" t="s">
        <v>81</v>
      </c>
      <c r="H702" s="57" t="s">
        <v>378</v>
      </c>
      <c r="I702" s="57" t="s">
        <v>379</v>
      </c>
      <c r="J702" s="57" t="s">
        <v>380</v>
      </c>
      <c r="K702" s="67" t="s">
        <v>381</v>
      </c>
      <c r="L702" s="67" t="s">
        <v>382</v>
      </c>
      <c r="M702" s="67"/>
      <c r="N702" s="67" t="s">
        <v>383</v>
      </c>
      <c r="O702" s="67"/>
      <c r="P702" s="57" t="s">
        <v>187</v>
      </c>
      <c r="Q702" s="59" t="n">
        <f aca="false">ROUND((Flights!$AC$26)*1440,0)/1440</f>
        <v>46318.6388888889</v>
      </c>
      <c r="R702" s="59" t="n">
        <f aca="false">Q702+(IF(AND(INDEX(TZ_DSTS,MATCH(P702,TZ_STN,0))&lt;&gt;"",Q702&gt;=INDEX(TZ_DSTS,MATCH(P702,TZ_STN,0)),Q702&lt;INDEX(TZ_DSTE,MATCH(P702,TZ_STN,0))),INDEX(TZ_DST,MATCH(P702,TZ_STN,0)),INDEX(TZ_STD,MATCH(P702,TZ_STN,0))))/24</f>
        <v>46318.9722222222</v>
      </c>
      <c r="S702" s="60"/>
      <c r="T702" s="60"/>
      <c r="U702" s="60"/>
      <c r="V702" s="60"/>
      <c r="W702" s="61"/>
      <c r="X702" s="60"/>
      <c r="Y702" s="60"/>
      <c r="Z702" s="60"/>
      <c r="AA702" s="60"/>
      <c r="AB702" s="60"/>
      <c r="AC702" s="60"/>
      <c r="AD702" s="66"/>
      <c r="AE702" s="60"/>
      <c r="AF702" s="61" t="str">
        <f aca="false">IF(AND(ISNUMBER(X702),ISNUMBER(Y702)),Y702-X702,"")</f>
        <v/>
      </c>
      <c r="AG702" s="62" t="str">
        <f aca="false">IF(ISNUMBER(AD702),AD702-(IF(AND(INDEX(TZ_DSTS,MATCH(P702,TZ_STN,0))&lt;&gt;"",(AD702-INDEX(TZ_STD,MATCH(P702,TZ_STN,0))/24)&gt;=INDEX(TZ_DSTS,MATCH(P702,TZ_STN,0)),(AD702-INDEX(TZ_STD,MATCH(P702,TZ_STN,0))/24)&lt;INDEX(TZ_DSTE,MATCH(P702,TZ_STN,0))),INDEX(TZ_DST,MATCH(P702,TZ_STN,0)),INDEX(TZ_STD,MATCH(P702,TZ_STN,0))))/24,"")</f>
        <v/>
      </c>
      <c r="AH702" s="65" t="str">
        <f aca="false">IFERROR(IF(N702="N/A – rule",IF(OR(TRIM(U702)="",TRIM(U702)="N/A",TRIM(U702)="Not started"),"N/A – RULE","INVALID – this check does not apply to this aircraft: clear the status (or correct the fleet on Flights)"),IF(TRIM(U702)="N/A",IF(AT702=0,"INVALID – N/A not permitted for this check",IF(AND(TRIM(AB702)&lt;&gt;"",TRIM(AB702)&lt;&gt;"Closed"),"INVALID – corrective action still open",IF(AND(NOT(OR(LEN(AZ702)&lt;15,ISNUMBER(MATCH(AZ702,L_Placeholder,0)))),BK702=0,CG702&gt;=8,NOT(OR(LEN(AU702)&lt;2,ISNUMBER(MATCH(AU702,L_Placeholder,0)))),BR702&gt;=3,NOT(OR(LEN(AX702)&lt;2,ISNUMBER(MATCH(AX702,L_Placeholder,0)))),BS702&gt;=3,TRIM(AE702)&lt;&gt;TRIM(T702),AX702&lt;&gt;AU702,CE702=0),"N/A – JUSTIFIED","INVALID – N/A needs a real, settled reason (not 'not applicable' / 'as above' / TBC), a named PIC and a different named verifier"))),IF(OR(TRIM(U702)="Pass",TRIM(U702)="Pass after CA"),IF(NOT(ISNUMBER(AD702)),"INVALID – completion time missing",IF(OR(OR(LEN(AU702)&lt;2,ISNUMBER(MATCH(AU702,L_Placeholder,0))),BR702&lt;3),"INVALID – PIC missing or not a named person (a role such as QA / CSM is not a name)",IF(OR(LEN(AV702)&lt;2,ISNUMBER(MATCH(AV702,L_Placeholder,0))),"INVALID – result / assessment missing",IF(OR(OR(LEN(AW702)&lt;3,ISNUMBER(MATCH(AW702,L_Placeholder,0))),SUMPRODUCT(--ISNUMBER(SEARCH(" "&amp;L_EvidencePhrase&amp;" ",BD702)))&gt;0,BI702=1),"INVALID – evidence missing, placeholder or not yet on file",IF(ISNA(MATCH(TRIM(S702),L_EvidenceType,0)),"INVALID – choose the evidence type from the list (column S)",IF(BL702=0,"INVALID – evidence ID must be the record's own ID only (e.g. SF-2210, IMG_2231, 1045521); a link / file name needs type 'Link / file path'",IF(OR(OR(LEN(AX702)&lt;2,ISNUMBER(MATCH(AX702,L_Placeholder,0))),BS702&lt;3),"INVALID – verifier missing or not a named person (a role such as QA / CSM is not a name)",IF(OR(AX702=AU702,CE702=1,AND(LEN(AU702)&gt;=4,ISNUMBER(SEARCH(AU702,AX702))),AND(LEN(AX702)&gt;=4,ISNUMBER(SEARCH(AX702,AU702)))),"INVALID – verifier must be a different, named person (not the PIC or a role)",IF(BH702=1,"INVALID – result not yet available (awaiting / TBC)",IF(BG702=1,"INVALID – result describes a problem: record Fail, then Pass after CA (or reword if it is not a problem)",IF(BV702=1,"INVALID – wording says not on board: an on-board confirmation needs the item loaded",IF(AND(AQ702=1,OR(OR(LEN(AY702)&lt;3,ISNUMBER(MATCH(AY702,L_Placeholder,0))),BJ702=1,BQ702=0)),"INVALID – batch ID missing, placeholder or not an ID (e.g. PASB-261008-BC-017)",IF(AND(AR702=1,OR(NOT(ISNUMBER(X702)),NOT(ISNUMBER(Y702)))),"INVALID – expected/actual qty missing",IF(AND(AR702=1,OR(X702&lt;=0,Y702&lt;0)),"INVALID – expected qty must be above 0 and actual not negative",IF(BB702&lt;&gt;"",BB702,IF(AND(AS702=1,Documents!$J$26&lt;&gt;"ON FILE"),"INVALID – GLD not on file (Documents sheet)",IF(AND(AS702=2,Documents!$O$26&lt;&gt;"ON FILE"),"INVALID – menu checklist not on file (Documents sheet)",IF(AND(AS702=3,NOT(ISNUMBER(Flights!$AX$26))),"INVALID – enter carrying flight KUL departure (Flights AX)",IF(AND(AS702=3,OR(Flights!$AZ$26&gt;Flights!$AA$26,Flights!$AX$26&lt;Flights!$AA$26-3)),"INVALID – carrying flight (Flights AX) cannot arrive before this leg's STD, or is over 3 days early",IF(AG702&gt;AsOfUTC,"INVALID – completion time is in the future",IF(AND(ISNUMBER(BY702),AG702&lt;BY702),IF(H702="Physical uplift","INVALID – before uplift window (cannot confirm loading)","INVALID – before valid window"),IF(AG702&gt;Flights!$AA$26,"INVALID – completed after departure (cannot establish readiness)",IF(AND(H702="Preparation",AG702&gt;=IF(ISNUMBER(Flights!$BA$26),MIN(Flights!$BA$26,Flights!$AA$26),Flights!$AA$26)),"INVALID – completed after loading / departure (cannot establish readiness)",IF(AND(H702="Physical uplift",AG702&gt;Q702),"INVALID – recorded after the loading flight departed",IF(AG702&gt;Q702,"COMPLETE – LATE","COMPLETE"))))))))))))))))))))))))),IF(TRIM(U702)="Fail","FAIL – DISCREPANCY",IF(AND(TRIM(U702)&lt;&gt;"",TRIM(U702)&lt;&gt;"Not started",TRIM(U702)&lt;&gt;"In progress"),"INVALID – unrecognised status (use the list)",IF(AsOfUTC&gt;Q702,"OVERDUE",IF(N702="Clarification required","OPEN – CLARIFICATION","OPEN"))))))),"INVALID – error value in an input cell")</f>
        <v>OPEN</v>
      </c>
      <c r="AI702" s="61" t="n">
        <f aca="false">IF(OR(AH702="N/A – RULE",AH702="N/A – JUSTIFIED"),0,1)</f>
        <v>1</v>
      </c>
      <c r="AJ702" s="61" t="n">
        <f aca="false">IF(LEFT(AH702,8)="COMPLETE",1,0)</f>
        <v>0</v>
      </c>
      <c r="AK702" s="61" t="n">
        <f aca="false">IF(AND(AI702=1,AJ702=0,AsOfUTC&gt;Q702),1,0)</f>
        <v>0</v>
      </c>
      <c r="AL702" s="61" t="n">
        <f aca="false">IFERROR(IF(AND(AI702=1,OR(TRIM(U702)="Fail",AND(TRIM(AB702)&lt;&gt;"",TRIM(AB702)&lt;&gt;"Closed"),AND(ISNUMBER(AF702),AF702&lt;&gt;0,TRIM(U702)&lt;&gt;"Pass after CA"))),1,0),1)</f>
        <v>0</v>
      </c>
      <c r="AM702" s="61" t="n">
        <f aca="false">IF(LEFT(AH702,7)="INVALID",1,0)</f>
        <v>0</v>
      </c>
      <c r="AN702" s="61" t="n">
        <f aca="false">IF(AND(N702="Clarification required",AI702=1,AJ702=0),1,0)</f>
        <v>0</v>
      </c>
      <c r="AO702" s="61" t="str">
        <f aca="false">IF(AK702=1,SUM(AK$5:AK702),"")</f>
        <v/>
      </c>
      <c r="AP702" s="61" t="str">
        <f aca="false">IF(AL702=1,SUM(AL$5:AL702),"")</f>
        <v/>
      </c>
      <c r="AQ702" s="61" t="n">
        <v>0</v>
      </c>
      <c r="AR702" s="61" t="n">
        <v>0</v>
      </c>
      <c r="AS702" s="61" t="n">
        <v>0</v>
      </c>
      <c r="AT702" s="61" t="n">
        <v>0</v>
      </c>
      <c r="AU702" s="61" t="str">
        <f aca="false">SUBSTITUTE(SUBSTITUTE(SUBSTITUTE(SUBSTITUTE(SUBSTITUTE(SUBSTITUTE(SUBSTITUTE(SUBSTITUTE(SUBSTITUTE(SUBSTITUTE(SUBSTITUTE(SUBSTITUTE(SUBSTITUTE(SUBSTITUTE(SUBSTITUTE(SUBSTITUTE(LOWER(T702&amp;""),CHAR(10),""),CHAR(13),""),CHAR(9),""),CHAR(160),"")," ",""),".",""),"-",""),"/",""),"?",""),"_",""),",",""),"[",""),"]",""),"(",""),")",""),"*","")</f>
        <v/>
      </c>
      <c r="AV702" s="61" t="str">
        <f aca="false">SUBSTITUTE(SUBSTITUTE(SUBSTITUTE(SUBSTITUTE(SUBSTITUTE(SUBSTITUTE(SUBSTITUTE(SUBSTITUTE(SUBSTITUTE(SUBSTITUTE(SUBSTITUTE(SUBSTITUTE(SUBSTITUTE(SUBSTITUTE(SUBSTITUTE(SUBSTITUTE(LOWER(V702&amp;""),CHAR(10),""),CHAR(13),""),CHAR(9),""),CHAR(160),"")," ",""),".",""),"-",""),"/",""),"?",""),"_",""),",",""),"[",""),"]",""),"(",""),")",""),"*","")</f>
        <v/>
      </c>
      <c r="AW702" s="61" t="str">
        <f aca="false">SUBSTITUTE(SUBSTITUTE(SUBSTITUTE(SUBSTITUTE(SUBSTITUTE(SUBSTITUTE(SUBSTITUTE(SUBSTITUTE(SUBSTITUTE(SUBSTITUTE(SUBSTITUTE(SUBSTITUTE(SUBSTITUTE(SUBSTITUTE(SUBSTITUTE(SUBSTITUTE(LOWER(Z702&amp;""),CHAR(10),""),CHAR(13),""),CHAR(9),""),CHAR(160),"")," ",""),".",""),"-",""),"/",""),"?",""),"_",""),",",""),"[",""),"]",""),"(",""),")",""),"*","")</f>
        <v/>
      </c>
      <c r="AX702" s="61" t="str">
        <f aca="false">SUBSTITUTE(SUBSTITUTE(SUBSTITUTE(SUBSTITUTE(SUBSTITUTE(SUBSTITUTE(SUBSTITUTE(SUBSTITUTE(SUBSTITUTE(SUBSTITUTE(SUBSTITUTE(SUBSTITUTE(SUBSTITUTE(SUBSTITUTE(SUBSTITUTE(SUBSTITUTE(LOWER(AE702&amp;""),CHAR(10),""),CHAR(13),""),CHAR(9),""),CHAR(160),"")," ",""),".",""),"-",""),"/",""),"?",""),"_",""),",",""),"[",""),"]",""),"(",""),")",""),"*","")</f>
        <v/>
      </c>
      <c r="AY702" s="61" t="str">
        <f aca="false">SUBSTITUTE(SUBSTITUTE(SUBSTITUTE(SUBSTITUTE(SUBSTITUTE(SUBSTITUTE(SUBSTITUTE(SUBSTITUTE(SUBSTITUTE(SUBSTITUTE(SUBSTITUTE(SUBSTITUTE(SUBSTITUTE(SUBSTITUTE(SUBSTITUTE(SUBSTITUTE(LOWER(W702&amp;""),CHAR(10),""),CHAR(13),""),CHAR(9),""),CHAR(160),"")," ",""),".",""),"-",""),"/",""),"?",""),"_",""),",",""),"[",""),"]",""),"(",""),")",""),"*","")</f>
        <v/>
      </c>
      <c r="AZ702" s="61" t="str">
        <f aca="false">SUBSTITUTE(SUBSTITUTE(SUBSTITUTE(SUBSTITUTE(SUBSTITUTE(SUBSTITUTE(SUBSTITUTE(SUBSTITUTE(SUBSTITUTE(SUBSTITUTE(SUBSTITUTE(SUBSTITUTE(SUBSTITUTE(SUBSTITUTE(SUBSTITUTE(SUBSTITUTE(LOWER(AC702&amp;""),CHAR(10),""),CHAR(13),""),CHAR(9),""),CHAR(160),"")," ",""),".",""),"-",""),"/",""),"?",""),"_",""),",",""),"[",""),"]",""),"(",""),")",""),"*","")</f>
        <v/>
      </c>
      <c r="BA702" s="61" t="str">
        <f aca="false">SUBSTITUTE(SUBSTITUTE(SUBSTITUTE(SUBSTITUTE(SUBSTITUTE(SUBSTITUTE(SUBSTITUTE(SUBSTITUTE(SUBSTITUTE(SUBSTITUTE(SUBSTITUTE(SUBSTITUTE(SUBSTITUTE(SUBSTITUTE(SUBSTITUTE(SUBSTITUTE(LOWER(AA702&amp;""),CHAR(10),""),CHAR(13),""),CHAR(9),""),CHAR(160),"")," ",""),".",""),"-",""),"/",""),"?",""),"_",""),",",""),"[",""),"]",""),"(",""),")",""),"*","")</f>
        <v/>
      </c>
      <c r="BB702" s="61" t="str">
        <f aca="false">IF(AND(TRIM(U702)="Pass",ISNUMBER(AF702)),IF(AF702&lt;&gt;0,"INVALID – qty variance: use Fail or Pass after CA",""),"")&amp;IF(AND(TRIM(U702)="Pass after CA",ISNUMBER(AF702)),IF(AF702&lt;&gt;0,"INVALID – after the corrective action the actual qty must equal expected (update Actual)",""),"")&amp;IF(AND(TRIM(U702)="Pass",TRIM(AB702)&lt;&gt;"",TRIM(AB702)&lt;&gt;"Closed"),"INVALID – corrective action not closed: use Fail, then Pass after CA","")&amp;IF(AND(LEN(BA702)&gt;=2,ISNA(MATCH(LEFT(BA702,255),L_Placeholder,0)),TRIM(AB702)=""),"INVALID – CA status missing for the recorded corrective action","")&amp;IF(AND(TRIM(U702)="Pass after CA",OR(OR(LEN(BA702)&lt;5,ISNUMBER(MATCH(BA702,L_Placeholder,0))),TRIM(AB702)&lt;&gt;"Closed")),"INVALID – corrective action not recorded/closed","")</f>
        <v/>
      </c>
      <c r="BC702" s="61" t="str">
        <f aca="false">" "&amp;TRIM(SUBSTITUTE(SUBSTITUTE(SUBSTITUTE(SUBSTITUTE(SUBSTITUTE(SUBSTITUTE(SUBSTITUTE(SUBSTITUTE(SUBSTITUTE(SUBSTITUTE(SUBSTITUTE(SUBSTITUTE(SUBSTITUTE(SUBSTITUTE(SUBSTITUTE(SUBSTITUTE(SUBSTITUTE(SUBSTITUTE(SUBSTITUTE(SUBSTITUTE(SUBSTITUTE(SUBSTITUTE(SUBSTITUTE(SUBSTITUTE(LOWER(V702&amp;""),CHAR(10)," "),CHAR(13)," "),CHAR(9)," "),CHAR(160)," "),"."," "),","," "),"-"," "),"/"," "),"("," "),")"," "),":"," "),";"," "),"_"," "),"–"," "),"?"," "),"!"," "),"*"," "),"["," "),"]"," "),"'"," "),"#"," "),"+"," "),"&amp;"," "),"\"," "))&amp;" "</f>
        <v>  </v>
      </c>
      <c r="BD702" s="61" t="str">
        <f aca="false">" "&amp;TRIM(SUBSTITUTE(SUBSTITUTE(SUBSTITUTE(SUBSTITUTE(SUBSTITUTE(SUBSTITUTE(SUBSTITUTE(SUBSTITUTE(SUBSTITUTE(SUBSTITUTE(SUBSTITUTE(SUBSTITUTE(SUBSTITUTE(SUBSTITUTE(SUBSTITUTE(SUBSTITUTE(SUBSTITUTE(SUBSTITUTE(SUBSTITUTE(SUBSTITUTE(SUBSTITUTE(SUBSTITUTE(SUBSTITUTE(SUBSTITUTE(LOWER(Z702&amp;""),CHAR(10)," "),CHAR(13)," "),CHAR(9)," "),CHAR(160)," "),"."," "),","," "),"-"," "),"/"," "),"("," "),")"," "),":"," "),";"," "),"_"," "),"–"," "),"?"," "),"!"," "),"*"," "),"["," "),"]"," "),"'"," "),"#"," "),"+"," "),"&amp;"," "),"\"," "))&amp;" "</f>
        <v>  </v>
      </c>
      <c r="BE702" s="61" t="str">
        <f aca="false">" "&amp;TRIM(SUBSTITUTE(SUBSTITUTE(SUBSTITUTE(SUBSTITUTE(SUBSTITUTE(SUBSTITUTE(SUBSTITUTE(SUBSTITUTE(SUBSTITUTE(SUBSTITUTE(SUBSTITUTE(SUBSTITUTE(SUBSTITUTE(SUBSTITUTE(SUBSTITUTE(SUBSTITUTE(SUBSTITUTE(SUBSTITUTE(SUBSTITUTE(SUBSTITUTE(SUBSTITUTE(SUBSTITUTE(SUBSTITUTE(SUBSTITUTE(LOWER(W702&amp;""),CHAR(10)," "),CHAR(13)," "),CHAR(9)," "),CHAR(160)," "),"."," "),","," "),"-"," "),"/"," "),"("," "),")"," "),":"," "),";"," "),"_"," "),"–"," "),"?"," "),"!"," "),"*"," "),"["," "),"]"," "),"'"," "),"#"," "),"+"," "),"&amp;"," "),"\"," "))&amp;" "</f>
        <v>  </v>
      </c>
      <c r="BF702" s="61" t="str">
        <f aca="false">" "&amp;TRIM(SUBSTITUTE(SUBSTITUTE(SUBSTITUTE(SUBSTITUTE(SUBSTITUTE(SUBSTITUTE(SUBSTITUTE(SUBSTITUTE(SUBSTITUTE(SUBSTITUTE(SUBSTITUTE(SUBSTITUTE(SUBSTITUTE(SUBSTITUTE(SUBSTITUTE(SUBSTITUTE(SUBSTITUTE(SUBSTITUTE(SUBSTITUTE(SUBSTITUTE(SUBSTITUTE(SUBSTITUTE(SUBSTITUTE(SUBSTITUTE(LOWER(AC702&amp;""),CHAR(10)," "),CHAR(13)," "),CHAR(9)," "),CHAR(160)," "),"."," "),","," "),"-"," "),"/"," "),"("," "),")"," "),":"," "),";"," "),"_"," "),"–"," "),"?"," "),"!"," "),"*"," "),"["," "),"]"," "),"'"," "),"#"," "),"+"," "),"&amp;"," "),"\"," "))&amp;" "</f>
        <v>  </v>
      </c>
      <c r="BG702" s="61" t="n">
        <f aca="false">IFERROR(IF(AND(TRIM(U702)="Pass",SUMPRODUCT((LEN(BC702)-LEN(SUBSTITUTE(BC702," "&amp;L_ResultBad&amp;" "," ")))/(LEN(L_ResultBad)+1))&gt;SUMPRODUCT((LEN(BC702)-LEN(SUBSTITUTE(BC702," "&amp;L_NegPhrase&amp;" "," ")))/(LEN(L_NegPhrase)+1))),1,0),0)</f>
        <v>0</v>
      </c>
      <c r="BH702" s="61" t="n">
        <f aca="false">IFERROR(IF(SUMPRODUCT((LEN(BC702)-LEN(SUBSTITUTE(BC702," "&amp;L_Pending&amp;" "," ")))/(LEN(L_Pending)+1))&gt;SUMPRODUCT((LEN(BC702)-LEN(SUBSTITUTE(BC702," "&amp;L_PendNeg&amp;" "," ")))/(LEN(L_PendNeg)+1))+SUMPRODUCT((LEN(BC702)-LEN(SUBSTITUTE(BC702," "&amp;L_PendPrep&amp;" "," ")))/(LEN(L_PendPrep)+1)),1,0),1)</f>
        <v>0</v>
      </c>
      <c r="BI702" s="61" t="n">
        <f aca="false">IFERROR(IF(SUMPRODUCT((LEN(BD702)-LEN(SUBSTITUTE(BD702," "&amp;L_PendStrict&amp;" "," ")))/(LEN(L_PendStrict)+1))&gt;SUMPRODUCT((LEN(BD702)-LEN(SUBSTITUTE(BD702," "&amp;L_PendNeg&amp;" "," ")))/(LEN(L_PendNeg)+1)),1,0),1)</f>
        <v>0</v>
      </c>
      <c r="BJ702" s="61" t="n">
        <f aca="false">IFERROR(IF(SUMPRODUCT((LEN(BE702)-LEN(SUBSTITUTE(BE702," "&amp;L_Pending&amp;" "," ")))/(LEN(L_Pending)+1))&gt;SUMPRODUCT((LEN(BE702)-LEN(SUBSTITUTE(BE702," "&amp;L_PendNeg&amp;" "," ")))/(LEN(L_PendNeg)+1))+SUMPRODUCT((LEN(BE702)-LEN(SUBSTITUTE(BE702," "&amp;L_PendPrep&amp;" "," ")))/(LEN(L_PendPrep)+1)),1,0),1)</f>
        <v>0</v>
      </c>
      <c r="BK702" s="61" t="n">
        <f aca="false">IFERROR(IF(SUMPRODUCT((LEN(BF702)-LEN(SUBSTITUTE(BF702," "&amp;L_PendStrict&amp;" "," ")))/(LEN(L_PendStrict)+1))&gt;SUMPRODUCT((LEN(BF702)-LEN(SUBSTITUTE(BF702," "&amp;L_PendNeg&amp;" "," ")))/(LEN(L_PendNeg)+1)),1,0),1)</f>
        <v>0</v>
      </c>
      <c r="BL702" s="61" t="n">
        <f aca="false">IF(ISNA(MATCH(TRIM(S702),L_EvidenceType,0)),0,BZ702)</f>
        <v>0</v>
      </c>
      <c r="BM702" s="61" t="str">
        <f aca="false">SUBSTITUTE(SUBSTITUTE(SUBSTITUTE(SUBSTITUTE(SUBSTITUTE(SUBSTITUTE(SUBSTITUTE(SUBSTITUTE(SUBSTITUTE(LOWER(Z702&amp;""),"1","0"),"2","0"),"3","0"),"4","0"),"5","0"),"6","0"),"7","0"),"8","0"),"9","0")</f>
        <v/>
      </c>
      <c r="BN702" s="61" t="str">
        <f aca="false">SUBSTITUTE(SUBSTITUTE(SUBSTITUTE(SUBSTITUTE(SUBSTITUTE(SUBSTITUTE(SUBSTITUTE(SUBSTITUTE(SUBSTITUTE(SUBSTITUTE(SUBSTITUTE(SUBSTITUTE(SUBSTITUTE(SUBSTITUTE(SUBSTITUTE(SUBSTITUTE(SUBSTITUTE(SUBSTITUTE(SUBSTITUTE(SUBSTITUTE(SUBSTITUTE(SUBSTITUTE(SUBSTITUTE(SUBSTITUTE(SUBSTITUTE(BM702,"b","a"),"c","a"),"d","a"),"e","a"),"f","a"),"g","a"),"h","a"),"i","a"),"j","a"),"k","a"),"l","a"),"m","a"),"n","a"),"o","a"),"p","a"),"q","a"),"r","a"),"s","a"),"t","a"),"u","a"),"v","a"),"w","a"),"x","a"),"y","a"),"z","a")</f>
        <v/>
      </c>
      <c r="BO702" s="61" t="str">
        <f aca="false">SUBSTITUTE(SUBSTITUTE(SUBSTITUTE(SUBSTITUTE(SUBSTITUTE(SUBSTITUTE(SUBSTITUTE(SUBSTITUTE(SUBSTITUTE(LOWER(W702&amp;""),"1","0"),"2","0"),"3","0"),"4","0"),"5","0"),"6","0"),"7","0"),"8","0"),"9","0")</f>
        <v/>
      </c>
      <c r="BP702" s="61" t="str">
        <f aca="false">SUBSTITUTE(SUBSTITUTE(SUBSTITUTE(SUBSTITUTE(SUBSTITUTE(SUBSTITUTE(SUBSTITUTE(SUBSTITUTE(SUBSTITUTE(SUBSTITUTE(SUBSTITUTE(SUBSTITUTE(SUBSTITUTE(SUBSTITUTE(SUBSTITUTE(SUBSTITUTE(SUBSTITUTE(SUBSTITUTE(SUBSTITUTE(SUBSTITUTE(SUBSTITUTE(SUBSTITUTE(SUBSTITUTE(SUBSTITUTE(SUBSTITUTE(BO702,"b","a"),"c","a"),"d","a"),"e","a"),"f","a"),"g","a"),"h","a"),"i","a"),"j","a"),"k","a"),"l","a"),"m","a"),"n","a"),"o","a"),"p","a"),"q","a"),"r","a"),"s","a"),"t","a"),"u","a"),"v","a"),"w","a"),"x","a"),"y","a"),"z","a")</f>
        <v/>
      </c>
      <c r="BQ702" s="61" t="n">
        <f aca="false">IFERROR(IF(AND(ISERROR(SEARCH(" mh"," "&amp;LOWER(W702))),ISNA(MATCH(LEFT(TRIM(BP702),255),{"0000a","000a","00a","0000aa","000aa","00aa","0aa","0000aaa","000aaa","00a00","0a00","0000-0000","00:00","a00","a0","00.00.0000","00/00/0000","00-00-0000","0000-00-00","0000/00/00","0000.00.00","00.00.00","00/00/00","00-00-00","0.00.0000","0/00/0000","0-00-0000"},0)),ISNA(MATCH(LEFT(TRIM(CA702),255),{"0000a","000a","00a","0000aa","000aa","00aa","0aa","0000aaa","000aaa","00a00","0a00","0000-0000","00:00","a00","a0","00.00.0000","00/00/0000","00-00-0000","0000-00-00","0000/00/00","0000.00.00","00.00.00","00/00/00","00-00-00","0.00.0000","0/00/0000","0-00-0000"},0)),LEN(CB702)&gt;=3,NOT(OR(SUBSTITUTE(CB702,"0","")="",AND(LEN(CB702)&gt;=4,CB702=REPT(LEFT(CB702),LEN(CB702))),ISNUMBER(MATCH(CB702,{"123","1234","12345","123456","1234567","12345678","0123","01234","012345","98765","987654","54321"},0)),AND(LEN(CB702)=8,LEFT(CB702,3)="202"))),OR(AND((LEN(CA702)-LEN(SUBSTITUTE(CA702,"a","")))&gt;=1,SUMPRODUCT(--ISNUMBER(SEARCH({"a0","a-0","a_0","a/0","a.0","a#0","0a","0-a","0_a","0/a"},BP702)))&gt;0),ISNUMBER(SEARCH("000000",BP702)))),1,0),0)</f>
        <v>0</v>
      </c>
      <c r="BR702" s="61" t="n">
        <f aca="false">IFERROR(LEN(SUBSTITUTE(CC702," ",""))-SUMPRODUCT((LEN(CC702)-LEN(SUBSTITUTE(CC702," "&amp;L_Role&amp;" "," ")))/(LEN(L_Role)+1)*LEN(L_Role)),0)</f>
        <v>0</v>
      </c>
      <c r="BS702" s="61" t="n">
        <f aca="false">IFERROR(LEN(SUBSTITUTE(CD702," ",""))-SUMPRODUCT((LEN(CD702)-LEN(SUBSTITUTE(CD702," "&amp;L_Role&amp;" "," ")))/(LEN(L_Role)+1)*LEN(L_Role)),0)</f>
        <v>0</v>
      </c>
      <c r="BT7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702,"revision",""),"version",""),"jan",""),"feb",""),"mar",""),"apr",""),"may",""),"jun",""),"jul",""),"aug",""),"sep",""),"oct",""),"nov",""),"dec",""),"utc",""),"gmt",""),"myt",""),"bst",""),"rev",""),"ver",""),"b","a"),"c","a"),"d","a"),"e","a"),"f","a"),"g","a"),"h","a"),"i","a"),"j","a"),"k","a"),"l","a"),"m","a"),"n","a"),"o","a"),"p","a"),"q","a"),"r","a"),"s","a"),"t","a"),"u","a"),"v","a"),"w","a"),"x","a"),"y","a"),"z","a")</f>
        <v/>
      </c>
      <c r="BU702" s="61" t="str">
        <f aca="false">SUBSTITUTE(SUBSTITUTE(SUBSTITUTE(SUBSTITUTE(SUBSTITUTE(SUBSTITUTE(SUBSTITUTE(SUBSTITUTE(SUBSTITUTE(SUBSTITUTE(LEFT(BM702,FIND("0",BM702&amp;"0")-1),"-",""),"_",""),"/",""),".",""),"#",""),"\\",""),":","")," ",""),"(",""),")","")</f>
        <v/>
      </c>
      <c r="BV702" s="61" t="n">
        <f aca="false">0</f>
        <v>0</v>
      </c>
      <c r="BW70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702&amp;""),"a",""),"b",""),"c",""),"d",""),"e",""),"f",""),"g",""),"h",""),"i",""),"j",""),"k",""),"l",""),"m",""),"n",""),"o",""),"p",""),"q",""),"r",""),"s",""),"t",""),"u",""),"v",""),"w",""),"x",""),"y",""),"z",""),"-",""),"_",""),"/",""),".",""),"#",""),"\\",""),":","")," ",""),"(",""),")","")</f>
        <v/>
      </c>
      <c r="BX702" s="61" t="str">
        <f aca="false">SUBSTITUTE(SUBSTITUTE(SUBSTITUTE(SUBSTITUTE(SUBSTITUTE(SUBSTITUTE(SUBSTITUTE(SUBSTITUTE(SUBSTITUTE(SUBSTITUTE(SUBSTITUTE(BM702,"0",""),"-",""),"_",""),"/",""),".",""),"#",""),"\\",""),":","")," ",""),"(",""),")","")</f>
        <v/>
      </c>
      <c r="BY702" s="62" t="n">
        <f aca="false">Q702-T7EarlyD*24/24</f>
        <v>46304.6388888889</v>
      </c>
      <c r="BZ702" s="61" t="n">
        <f aca="false">IFERROR(IF(IF(TRIM(S702)="Link / file path",AND(LEN(TRIM(Z702))&gt;=5,SUMPRODUCT(--ISNUMBER(SEARCH({"http","www.","\\",":\",".pdf",".jpg",".jpeg",".png",".heic",".xls",".doc",".msg",".eml",".ppt",".txt",".zip"},Z702)))&gt;0),AND(ISERROR(FIND(" ",TRIM(Z702))),NOT(OR(SUMPRODUCT(--ISNUMBER(FIND({",",";","&amp;","+"},Z702)))&gt;0,SUMPRODUCT(--ISNUMBER(SEARCH({"0/aa","0\\aa"},BN702)))&gt;0)),NOT(SUMPRODUCT(--ISNUMBER(SEARCH({"http","www.","\\",":\",".pdf",".jpg",".jpeg",".png",".heic",".xls",".doc",".msg",".eml",".ppt",".txt",".zip"},Z702)))&gt;0),NOT(LOWER(TRIM(Z702))=LOWER(Flights!$F$26)),ISNA(MATCH(BU702,{"mh","rev","revision","ver","version","v","r","a","b","seat","tray","row","gate","bay","stand","page","pg","item","line","no","cart","galley","flight","flt","table","box","bag","oven","etd","eta","std","sta","atd","ata","qty","pax","x","time","tel","ph","mob","day","wk","week","utc","gmt","myt","lt"},0)),NOT(OR(ISNUMBER(MATCH(LEFT(BN702,255),{"0000a","000a","00a","0000aa","000aa","00aa","0aa","0000aaa","000aaa","00a00","0a00","0000-0000","00:00","a00","a0","00.00.0000","00/00/0000","00-00-0000","0000-00-00","0000/00/00","0000.00.00","00.00.00","00/00/00","00-00-00","0.00.0000","0/00/0000","0-00-0000"},0)),ISNUMBER(MATCH(LEFT(BT702,255),{"0000a","000a","00a","0000aa","000aa","00aa","0aa","0000aaa","000aaa","00a00","0a00","0000-0000","00:00","a00","a0","00.00.0000","00/00/0000","00-00-0000","0000-00-00","0000/00/00","0000.00.00","00.00.00","00/00/00","00-00-00","0.00.0000","0/00/0000","0-00-0000"},0)))),NOT(OR(AND(BW702&lt;&gt;"",SUBSTITUTE(BW702,"0","")=""),AND(LEN(BW702)&gt;=4,BW702=REPT(LEFT(BW702),LEN(BW702))),ISNUMBER(MATCH(BW702,{"123","1234","12345","123456","1234567","12345678","0123","01234","012345","98765","987654","54321"},0)),ISNUMBER(MATCH(BX702,{"x","xx","xxx","xxxx","xxxxx","abc","abcd","nil","na","nan","test","tbc","tba","tbd","dummy","sample","example","eg","zz","zzz","none","null","xyz","qwe","asd","id","ref"},0)),AND(LEN(BW702)=8,BX702="",OR(LEFT(BW702,3)="202",ISNUMBER(MATCH(RIGHT(BW702,4),{"2025","2026","2027"},0)))))),OR(AND((LEN(BT702)-LEN(SUBSTITUTE(BT702,"a","")))&gt;=1,(LEN(BN702)-LEN(SUBSTITUTE(BN702,"0","")))&gt;=2,SUMPRODUCT(--ISNUMBER(SEARCH({"a0","a-0","a_0","a/0","a.0","a#0","0a","0-a","0_a","0/a"},BN702)))&gt;0),AND((LEN(BN702)-LEN(SUBSTITUTE(BN702,"a","")))=0,(LEN(BN702)-LEN(SUBSTITUTE(BN702,"0","")))&gt;=5)))),1,0),0)</f>
        <v>0</v>
      </c>
      <c r="CA7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702,"revision",""),"version",""),"jan",""),"feb",""),"mar",""),"apr",""),"may",""),"jun",""),"jul",""),"aug",""),"sep",""),"oct",""),"nov",""),"dec",""),"utc",""),"gmt",""),"myt",""),"bst",""),"rev",""),"ver",""),"b","a"),"c","a"),"d","a"),"e","a"),"f","a"),"g","a"),"h","a"),"i","a"),"j","a"),"k","a"),"l","a"),"m","a"),"n","a"),"o","a"),"p","a"),"q","a"),"r","a"),"s","a"),"t","a"),"u","a"),"v","a"),"w","a"),"x","a"),"y","a"),"z","a")</f>
        <v/>
      </c>
      <c r="CB70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702&amp;""),"a",""),"b",""),"c",""),"d",""),"e",""),"f",""),"g",""),"h",""),"i",""),"j",""),"k",""),"l",""),"m",""),"n",""),"o",""),"p",""),"q",""),"r",""),"s",""),"t",""),"u",""),"v",""),"w",""),"x",""),"y",""),"z",""),"-",""),"_",""),"/",""),".",""),"#",""),"\\",""),":","")," ",""),"(",""),")","")</f>
        <v/>
      </c>
      <c r="CC702" s="0" t="str">
        <f aca="false">" "&amp;TRIM(SUBSTITUTE(SUBSTITUTE(SUBSTITUTE(SUBSTITUTE(SUBSTITUTE(SUBSTITUTE(SUBSTITUTE(SUBSTITUTE(SUBSTITUTE(SUBSTITUTE(SUBSTITUTE(SUBSTITUTE(SUBSTITUTE(SUBSTITUTE(SUBSTITUTE(SUBSTITUTE(SUBSTITUTE(SUBSTITUTE(SUBSTITUTE(SUBSTITUTE(SUBSTITUTE(SUBSTITUTE(SUBSTITUTE(SUBSTITUTE(LOWER(T702&amp;""),CHAR(10)," "),CHAR(13)," "),CHAR(9)," "),CHAR(160)," "),"."," "),","," "),"-"," "),"/"," "),"("," "),")"," "),":"," "),";"," "),"_"," "),"–"," "),"?"," "),"!"," "),"*"," "),"["," "),"]"," "),"'"," "),"#"," "),"+"," "),"&amp;"," "),"\"," "))&amp;" "</f>
        <v>  </v>
      </c>
      <c r="CD702" s="0" t="str">
        <f aca="false">" "&amp;TRIM(SUBSTITUTE(SUBSTITUTE(SUBSTITUTE(SUBSTITUTE(SUBSTITUTE(SUBSTITUTE(SUBSTITUTE(SUBSTITUTE(SUBSTITUTE(SUBSTITUTE(SUBSTITUTE(SUBSTITUTE(SUBSTITUTE(SUBSTITUTE(SUBSTITUTE(SUBSTITUTE(SUBSTITUTE(SUBSTITUTE(SUBSTITUTE(SUBSTITUTE(SUBSTITUTE(SUBSTITUTE(SUBSTITUTE(SUBSTITUTE(LOWER(AE702&amp;""),CHAR(10)," "),CHAR(13)," "),CHAR(9)," "),CHAR(160)," "),"."," "),","," "),"-"," "),"/"," "),"("," "),")"," "),":"," "),";"," "),"_"," "),"–"," "),"?"," "),"!"," "),"*"," "),"["," "),"]"," "),"'"," "),"#"," "),"+"," "),"&amp;"," "),"\"," "))&amp;" "</f>
        <v>  </v>
      </c>
      <c r="CE702" s="68" t="n">
        <f aca="false">IFERROR(IF(AND(LEN(AU702)&gt;0,LEN(AU702)=LEN(AX702),OR(TRIM(MID(SUBSTITUTE(TRIM(CC702)," ",REPT(" ",60)),1,60))="",ISNUMBER(SEARCH(" "&amp;TRIM(MID(SUBSTITUTE(TRIM(CC702)," ",REPT(" ",60)),1,60))&amp;" ",CD702))),OR(TRIM(MID(SUBSTITUTE(TRIM(CC702)," ",REPT(" ",60)),61,60))="",ISNUMBER(SEARCH(" "&amp;TRIM(MID(SUBSTITUTE(TRIM(CC702)," ",REPT(" ",60)),61,60))&amp;" ",CD702))),OR(TRIM(MID(SUBSTITUTE(TRIM(CC702)," ",REPT(" ",60)),121,60))="",ISNUMBER(SEARCH(" "&amp;TRIM(MID(SUBSTITUTE(TRIM(CC702)," ",REPT(" ",60)),121,60))&amp;" ",CD702)))),1,0),0)</f>
        <v>0</v>
      </c>
      <c r="CG702" s="68" t="n">
        <f aca="false">IFERROR(LEN(SUBSTITUTE(BF702," ",""))-SUMPRODUCT((LEN(BF702)-LEN(SUBSTITUTE(BF702," "&amp;L_NAFiller&amp;" "," ")))/(LEN(L_NAFiller)+1)*LEN(L_NAFiller)),0)</f>
        <v>0</v>
      </c>
    </row>
    <row r="703" customFormat="false" ht="39.75" hidden="false" customHeight="true" outlineLevel="0" collapsed="false">
      <c r="A703" s="57" t="s">
        <v>1437</v>
      </c>
      <c r="B703" s="57" t="s">
        <v>312</v>
      </c>
      <c r="C703" s="57" t="str">
        <f aca="false">Flights!$F$26</f>
        <v>MH0002</v>
      </c>
      <c r="D703" s="58" t="n">
        <f aca="false">Flights!$D$26</f>
        <v>46325</v>
      </c>
      <c r="E703" s="57" t="str">
        <f aca="false">Flights!$G$26&amp;"-"&amp;Flights!$H$26</f>
        <v>KUL-LHR</v>
      </c>
      <c r="F703" s="57" t="str">
        <f aca="false">Flights!$K$26</f>
        <v>BC</v>
      </c>
      <c r="G703" s="57" t="s">
        <v>81</v>
      </c>
      <c r="H703" s="57" t="s">
        <v>378</v>
      </c>
      <c r="I703" s="57" t="s">
        <v>385</v>
      </c>
      <c r="J703" s="57" t="s">
        <v>386</v>
      </c>
      <c r="K703" s="67" t="s">
        <v>387</v>
      </c>
      <c r="L703" s="67" t="s">
        <v>382</v>
      </c>
      <c r="M703" s="67"/>
      <c r="N703" s="67" t="s">
        <v>383</v>
      </c>
      <c r="O703" s="67"/>
      <c r="P703" s="57" t="s">
        <v>187</v>
      </c>
      <c r="Q703" s="59" t="n">
        <f aca="false">ROUND((Flights!$AC$26)*1440,0)/1440</f>
        <v>46318.6388888889</v>
      </c>
      <c r="R703" s="59" t="n">
        <f aca="false">Q703+(IF(AND(INDEX(TZ_DSTS,MATCH(P703,TZ_STN,0))&lt;&gt;"",Q703&gt;=INDEX(TZ_DSTS,MATCH(P703,TZ_STN,0)),Q703&lt;INDEX(TZ_DSTE,MATCH(P703,TZ_STN,0))),INDEX(TZ_DST,MATCH(P703,TZ_STN,0)),INDEX(TZ_STD,MATCH(P703,TZ_STN,0))))/24</f>
        <v>46318.9722222222</v>
      </c>
      <c r="S703" s="60"/>
      <c r="T703" s="60"/>
      <c r="U703" s="60"/>
      <c r="V703" s="60"/>
      <c r="W703" s="61"/>
      <c r="X703" s="60"/>
      <c r="Y703" s="60"/>
      <c r="Z703" s="60"/>
      <c r="AA703" s="60"/>
      <c r="AB703" s="60"/>
      <c r="AC703" s="60"/>
      <c r="AD703" s="66"/>
      <c r="AE703" s="60"/>
      <c r="AF703" s="61" t="str">
        <f aca="false">IF(AND(ISNUMBER(X703),ISNUMBER(Y703)),Y703-X703,"")</f>
        <v/>
      </c>
      <c r="AG703" s="62" t="str">
        <f aca="false">IF(ISNUMBER(AD703),AD703-(IF(AND(INDEX(TZ_DSTS,MATCH(P703,TZ_STN,0))&lt;&gt;"",(AD703-INDEX(TZ_STD,MATCH(P703,TZ_STN,0))/24)&gt;=INDEX(TZ_DSTS,MATCH(P703,TZ_STN,0)),(AD703-INDEX(TZ_STD,MATCH(P703,TZ_STN,0))/24)&lt;INDEX(TZ_DSTE,MATCH(P703,TZ_STN,0))),INDEX(TZ_DST,MATCH(P703,TZ_STN,0)),INDEX(TZ_STD,MATCH(P703,TZ_STN,0))))/24,"")</f>
        <v/>
      </c>
      <c r="AH703" s="65" t="str">
        <f aca="false">IFERROR(IF(N703="N/A – rule",IF(OR(TRIM(U703)="",TRIM(U703)="N/A",TRIM(U703)="Not started"),"N/A – RULE","INVALID – this check does not apply to this aircraft: clear the status (or correct the fleet on Flights)"),IF(TRIM(U703)="N/A",IF(AT703=0,"INVALID – N/A not permitted for this check",IF(AND(TRIM(AB703)&lt;&gt;"",TRIM(AB703)&lt;&gt;"Closed"),"INVALID – corrective action still open",IF(AND(NOT(OR(LEN(AZ703)&lt;15,ISNUMBER(MATCH(AZ703,L_Placeholder,0)))),BK703=0,CG703&gt;=8,NOT(OR(LEN(AU703)&lt;2,ISNUMBER(MATCH(AU703,L_Placeholder,0)))),BR703&gt;=3,NOT(OR(LEN(AX703)&lt;2,ISNUMBER(MATCH(AX703,L_Placeholder,0)))),BS703&gt;=3,TRIM(AE703)&lt;&gt;TRIM(T703),AX703&lt;&gt;AU703,CE703=0),"N/A – JUSTIFIED","INVALID – N/A needs a real, settled reason (not 'not applicable' / 'as above' / TBC), a named PIC and a different named verifier"))),IF(OR(TRIM(U703)="Pass",TRIM(U703)="Pass after CA"),IF(NOT(ISNUMBER(AD703)),"INVALID – completion time missing",IF(OR(OR(LEN(AU703)&lt;2,ISNUMBER(MATCH(AU703,L_Placeholder,0))),BR703&lt;3),"INVALID – PIC missing or not a named person (a role such as QA / CSM is not a name)",IF(OR(LEN(AV703)&lt;2,ISNUMBER(MATCH(AV703,L_Placeholder,0))),"INVALID – result / assessment missing",IF(OR(OR(LEN(AW703)&lt;3,ISNUMBER(MATCH(AW703,L_Placeholder,0))),SUMPRODUCT(--ISNUMBER(SEARCH(" "&amp;L_EvidencePhrase&amp;" ",BD703)))&gt;0,BI703=1),"INVALID – evidence missing, placeholder or not yet on file",IF(ISNA(MATCH(TRIM(S703),L_EvidenceType,0)),"INVALID – choose the evidence type from the list (column S)",IF(BL703=0,"INVALID – evidence ID must be the record's own ID only (e.g. SF-2210, IMG_2231, 1045521); a link / file name needs type 'Link / file path'",IF(OR(OR(LEN(AX703)&lt;2,ISNUMBER(MATCH(AX703,L_Placeholder,0))),BS703&lt;3),"INVALID – verifier missing or not a named person (a role such as QA / CSM is not a name)",IF(OR(AX703=AU703,CE703=1,AND(LEN(AU703)&gt;=4,ISNUMBER(SEARCH(AU703,AX703))),AND(LEN(AX703)&gt;=4,ISNUMBER(SEARCH(AX703,AU703)))),"INVALID – verifier must be a different, named person (not the PIC or a role)",IF(BH703=1,"INVALID – result not yet available (awaiting / TBC)",IF(BG703=1,"INVALID – result describes a problem: record Fail, then Pass after CA (or reword if it is not a problem)",IF(BV703=1,"INVALID – wording says not on board: an on-board confirmation needs the item loaded",IF(AND(AQ703=1,OR(OR(LEN(AY703)&lt;3,ISNUMBER(MATCH(AY703,L_Placeholder,0))),BJ703=1,BQ703=0)),"INVALID – batch ID missing, placeholder or not an ID (e.g. PASB-261008-BC-017)",IF(AND(AR703=1,OR(NOT(ISNUMBER(X703)),NOT(ISNUMBER(Y703)))),"INVALID – expected/actual qty missing",IF(AND(AR703=1,OR(X703&lt;=0,Y703&lt;0)),"INVALID – expected qty must be above 0 and actual not negative",IF(BB703&lt;&gt;"",BB703,IF(AND(AS703=1,Documents!$J$26&lt;&gt;"ON FILE"),"INVALID – GLD not on file (Documents sheet)",IF(AND(AS703=2,Documents!$O$26&lt;&gt;"ON FILE"),"INVALID – menu checklist not on file (Documents sheet)",IF(AND(AS703=3,NOT(ISNUMBER(Flights!$AX$26))),"INVALID – enter carrying flight KUL departure (Flights AX)",IF(AND(AS703=3,OR(Flights!$AZ$26&gt;Flights!$AA$26,Flights!$AX$26&lt;Flights!$AA$26-3)),"INVALID – carrying flight (Flights AX) cannot arrive before this leg's STD, or is over 3 days early",IF(AG703&gt;AsOfUTC,"INVALID – completion time is in the future",IF(AND(ISNUMBER(BY703),AG703&lt;BY703),IF(H703="Physical uplift","INVALID – before uplift window (cannot confirm loading)","INVALID – before valid window"),IF(AG703&gt;Flights!$AA$26,"INVALID – completed after departure (cannot establish readiness)",IF(AND(H703="Preparation",AG703&gt;=IF(ISNUMBER(Flights!$BA$26),MIN(Flights!$BA$26,Flights!$AA$26),Flights!$AA$26)),"INVALID – completed after loading / departure (cannot establish readiness)",IF(AND(H703="Physical uplift",AG703&gt;Q703),"INVALID – recorded after the loading flight departed",IF(AG703&gt;Q703,"COMPLETE – LATE","COMPLETE"))))))))))))))))))))))))),IF(TRIM(U703)="Fail","FAIL – DISCREPANCY",IF(AND(TRIM(U703)&lt;&gt;"",TRIM(U703)&lt;&gt;"Not started",TRIM(U703)&lt;&gt;"In progress"),"INVALID – unrecognised status (use the list)",IF(AsOfUTC&gt;Q703,"OVERDUE",IF(N703="Clarification required","OPEN – CLARIFICATION","OPEN"))))))),"INVALID – error value in an input cell")</f>
        <v>OPEN</v>
      </c>
      <c r="AI703" s="61" t="n">
        <f aca="false">IF(OR(AH703="N/A – RULE",AH703="N/A – JUSTIFIED"),0,1)</f>
        <v>1</v>
      </c>
      <c r="AJ703" s="61" t="n">
        <f aca="false">IF(LEFT(AH703,8)="COMPLETE",1,0)</f>
        <v>0</v>
      </c>
      <c r="AK703" s="61" t="n">
        <f aca="false">IF(AND(AI703=1,AJ703=0,AsOfUTC&gt;Q703),1,0)</f>
        <v>0</v>
      </c>
      <c r="AL703" s="61" t="n">
        <f aca="false">IFERROR(IF(AND(AI703=1,OR(TRIM(U703)="Fail",AND(TRIM(AB703)&lt;&gt;"",TRIM(AB703)&lt;&gt;"Closed"),AND(ISNUMBER(AF703),AF703&lt;&gt;0,TRIM(U703)&lt;&gt;"Pass after CA"))),1,0),1)</f>
        <v>0</v>
      </c>
      <c r="AM703" s="61" t="n">
        <f aca="false">IF(LEFT(AH703,7)="INVALID",1,0)</f>
        <v>0</v>
      </c>
      <c r="AN703" s="61" t="n">
        <f aca="false">IF(AND(N703="Clarification required",AI703=1,AJ703=0),1,0)</f>
        <v>0</v>
      </c>
      <c r="AO703" s="61" t="str">
        <f aca="false">IF(AK703=1,SUM(AK$5:AK703),"")</f>
        <v/>
      </c>
      <c r="AP703" s="61" t="str">
        <f aca="false">IF(AL703=1,SUM(AL$5:AL703),"")</f>
        <v/>
      </c>
      <c r="AQ703" s="61" t="n">
        <v>0</v>
      </c>
      <c r="AR703" s="61" t="n">
        <v>0</v>
      </c>
      <c r="AS703" s="61" t="n">
        <v>0</v>
      </c>
      <c r="AT703" s="61" t="n">
        <v>0</v>
      </c>
      <c r="AU703" s="61" t="str">
        <f aca="false">SUBSTITUTE(SUBSTITUTE(SUBSTITUTE(SUBSTITUTE(SUBSTITUTE(SUBSTITUTE(SUBSTITUTE(SUBSTITUTE(SUBSTITUTE(SUBSTITUTE(SUBSTITUTE(SUBSTITUTE(SUBSTITUTE(SUBSTITUTE(SUBSTITUTE(SUBSTITUTE(LOWER(T703&amp;""),CHAR(10),""),CHAR(13),""),CHAR(9),""),CHAR(160),"")," ",""),".",""),"-",""),"/",""),"?",""),"_",""),",",""),"[",""),"]",""),"(",""),")",""),"*","")</f>
        <v/>
      </c>
      <c r="AV703" s="61" t="str">
        <f aca="false">SUBSTITUTE(SUBSTITUTE(SUBSTITUTE(SUBSTITUTE(SUBSTITUTE(SUBSTITUTE(SUBSTITUTE(SUBSTITUTE(SUBSTITUTE(SUBSTITUTE(SUBSTITUTE(SUBSTITUTE(SUBSTITUTE(SUBSTITUTE(SUBSTITUTE(SUBSTITUTE(LOWER(V703&amp;""),CHAR(10),""),CHAR(13),""),CHAR(9),""),CHAR(160),"")," ",""),".",""),"-",""),"/",""),"?",""),"_",""),",",""),"[",""),"]",""),"(",""),")",""),"*","")</f>
        <v/>
      </c>
      <c r="AW703" s="61" t="str">
        <f aca="false">SUBSTITUTE(SUBSTITUTE(SUBSTITUTE(SUBSTITUTE(SUBSTITUTE(SUBSTITUTE(SUBSTITUTE(SUBSTITUTE(SUBSTITUTE(SUBSTITUTE(SUBSTITUTE(SUBSTITUTE(SUBSTITUTE(SUBSTITUTE(SUBSTITUTE(SUBSTITUTE(LOWER(Z703&amp;""),CHAR(10),""),CHAR(13),""),CHAR(9),""),CHAR(160),"")," ",""),".",""),"-",""),"/",""),"?",""),"_",""),",",""),"[",""),"]",""),"(",""),")",""),"*","")</f>
        <v/>
      </c>
      <c r="AX703" s="61" t="str">
        <f aca="false">SUBSTITUTE(SUBSTITUTE(SUBSTITUTE(SUBSTITUTE(SUBSTITUTE(SUBSTITUTE(SUBSTITUTE(SUBSTITUTE(SUBSTITUTE(SUBSTITUTE(SUBSTITUTE(SUBSTITUTE(SUBSTITUTE(SUBSTITUTE(SUBSTITUTE(SUBSTITUTE(LOWER(AE703&amp;""),CHAR(10),""),CHAR(13),""),CHAR(9),""),CHAR(160),"")," ",""),".",""),"-",""),"/",""),"?",""),"_",""),",",""),"[",""),"]",""),"(",""),")",""),"*","")</f>
        <v/>
      </c>
      <c r="AY703" s="61" t="str">
        <f aca="false">SUBSTITUTE(SUBSTITUTE(SUBSTITUTE(SUBSTITUTE(SUBSTITUTE(SUBSTITUTE(SUBSTITUTE(SUBSTITUTE(SUBSTITUTE(SUBSTITUTE(SUBSTITUTE(SUBSTITUTE(SUBSTITUTE(SUBSTITUTE(SUBSTITUTE(SUBSTITUTE(LOWER(W703&amp;""),CHAR(10),""),CHAR(13),""),CHAR(9),""),CHAR(160),"")," ",""),".",""),"-",""),"/",""),"?",""),"_",""),",",""),"[",""),"]",""),"(",""),")",""),"*","")</f>
        <v/>
      </c>
      <c r="AZ703" s="61" t="str">
        <f aca="false">SUBSTITUTE(SUBSTITUTE(SUBSTITUTE(SUBSTITUTE(SUBSTITUTE(SUBSTITUTE(SUBSTITUTE(SUBSTITUTE(SUBSTITUTE(SUBSTITUTE(SUBSTITUTE(SUBSTITUTE(SUBSTITUTE(SUBSTITUTE(SUBSTITUTE(SUBSTITUTE(LOWER(AC703&amp;""),CHAR(10),""),CHAR(13),""),CHAR(9),""),CHAR(160),"")," ",""),".",""),"-",""),"/",""),"?",""),"_",""),",",""),"[",""),"]",""),"(",""),")",""),"*","")</f>
        <v/>
      </c>
      <c r="BA703" s="61" t="str">
        <f aca="false">SUBSTITUTE(SUBSTITUTE(SUBSTITUTE(SUBSTITUTE(SUBSTITUTE(SUBSTITUTE(SUBSTITUTE(SUBSTITUTE(SUBSTITUTE(SUBSTITUTE(SUBSTITUTE(SUBSTITUTE(SUBSTITUTE(SUBSTITUTE(SUBSTITUTE(SUBSTITUTE(LOWER(AA703&amp;""),CHAR(10),""),CHAR(13),""),CHAR(9),""),CHAR(160),"")," ",""),".",""),"-",""),"/",""),"?",""),"_",""),",",""),"[",""),"]",""),"(",""),")",""),"*","")</f>
        <v/>
      </c>
      <c r="BB703" s="61" t="str">
        <f aca="false">IF(AND(TRIM(U703)="Pass",ISNUMBER(AF703)),IF(AF703&lt;&gt;0,"INVALID – qty variance: use Fail or Pass after CA",""),"")&amp;IF(AND(TRIM(U703)="Pass after CA",ISNUMBER(AF703)),IF(AF703&lt;&gt;0,"INVALID – after the corrective action the actual qty must equal expected (update Actual)",""),"")&amp;IF(AND(TRIM(U703)="Pass",TRIM(AB703)&lt;&gt;"",TRIM(AB703)&lt;&gt;"Closed"),"INVALID – corrective action not closed: use Fail, then Pass after CA","")&amp;IF(AND(LEN(BA703)&gt;=2,ISNA(MATCH(LEFT(BA703,255),L_Placeholder,0)),TRIM(AB703)=""),"INVALID – CA status missing for the recorded corrective action","")&amp;IF(AND(TRIM(U703)="Pass after CA",OR(OR(LEN(BA703)&lt;5,ISNUMBER(MATCH(BA703,L_Placeholder,0))),TRIM(AB703)&lt;&gt;"Closed")),"INVALID – corrective action not recorded/closed","")</f>
        <v/>
      </c>
      <c r="BC703" s="61" t="str">
        <f aca="false">" "&amp;TRIM(SUBSTITUTE(SUBSTITUTE(SUBSTITUTE(SUBSTITUTE(SUBSTITUTE(SUBSTITUTE(SUBSTITUTE(SUBSTITUTE(SUBSTITUTE(SUBSTITUTE(SUBSTITUTE(SUBSTITUTE(SUBSTITUTE(SUBSTITUTE(SUBSTITUTE(SUBSTITUTE(SUBSTITUTE(SUBSTITUTE(SUBSTITUTE(SUBSTITUTE(SUBSTITUTE(SUBSTITUTE(SUBSTITUTE(SUBSTITUTE(LOWER(V703&amp;""),CHAR(10)," "),CHAR(13)," "),CHAR(9)," "),CHAR(160)," "),"."," "),","," "),"-"," "),"/"," "),"("," "),")"," "),":"," "),";"," "),"_"," "),"–"," "),"?"," "),"!"," "),"*"," "),"["," "),"]"," "),"'"," "),"#"," "),"+"," "),"&amp;"," "),"\"," "))&amp;" "</f>
        <v>  </v>
      </c>
      <c r="BD703" s="61" t="str">
        <f aca="false">" "&amp;TRIM(SUBSTITUTE(SUBSTITUTE(SUBSTITUTE(SUBSTITUTE(SUBSTITUTE(SUBSTITUTE(SUBSTITUTE(SUBSTITUTE(SUBSTITUTE(SUBSTITUTE(SUBSTITUTE(SUBSTITUTE(SUBSTITUTE(SUBSTITUTE(SUBSTITUTE(SUBSTITUTE(SUBSTITUTE(SUBSTITUTE(SUBSTITUTE(SUBSTITUTE(SUBSTITUTE(SUBSTITUTE(SUBSTITUTE(SUBSTITUTE(LOWER(Z703&amp;""),CHAR(10)," "),CHAR(13)," "),CHAR(9)," "),CHAR(160)," "),"."," "),","," "),"-"," "),"/"," "),"("," "),")"," "),":"," "),";"," "),"_"," "),"–"," "),"?"," "),"!"," "),"*"," "),"["," "),"]"," "),"'"," "),"#"," "),"+"," "),"&amp;"," "),"\"," "))&amp;" "</f>
        <v>  </v>
      </c>
      <c r="BE703" s="61" t="str">
        <f aca="false">" "&amp;TRIM(SUBSTITUTE(SUBSTITUTE(SUBSTITUTE(SUBSTITUTE(SUBSTITUTE(SUBSTITUTE(SUBSTITUTE(SUBSTITUTE(SUBSTITUTE(SUBSTITUTE(SUBSTITUTE(SUBSTITUTE(SUBSTITUTE(SUBSTITUTE(SUBSTITUTE(SUBSTITUTE(SUBSTITUTE(SUBSTITUTE(SUBSTITUTE(SUBSTITUTE(SUBSTITUTE(SUBSTITUTE(SUBSTITUTE(SUBSTITUTE(LOWER(W703&amp;""),CHAR(10)," "),CHAR(13)," "),CHAR(9)," "),CHAR(160)," "),"."," "),","," "),"-"," "),"/"," "),"("," "),")"," "),":"," "),";"," "),"_"," "),"–"," "),"?"," "),"!"," "),"*"," "),"["," "),"]"," "),"'"," "),"#"," "),"+"," "),"&amp;"," "),"\"," "))&amp;" "</f>
        <v>  </v>
      </c>
      <c r="BF703" s="61" t="str">
        <f aca="false">" "&amp;TRIM(SUBSTITUTE(SUBSTITUTE(SUBSTITUTE(SUBSTITUTE(SUBSTITUTE(SUBSTITUTE(SUBSTITUTE(SUBSTITUTE(SUBSTITUTE(SUBSTITUTE(SUBSTITUTE(SUBSTITUTE(SUBSTITUTE(SUBSTITUTE(SUBSTITUTE(SUBSTITUTE(SUBSTITUTE(SUBSTITUTE(SUBSTITUTE(SUBSTITUTE(SUBSTITUTE(SUBSTITUTE(SUBSTITUTE(SUBSTITUTE(LOWER(AC703&amp;""),CHAR(10)," "),CHAR(13)," "),CHAR(9)," "),CHAR(160)," "),"."," "),","," "),"-"," "),"/"," "),"("," "),")"," "),":"," "),";"," "),"_"," "),"–"," "),"?"," "),"!"," "),"*"," "),"["," "),"]"," "),"'"," "),"#"," "),"+"," "),"&amp;"," "),"\"," "))&amp;" "</f>
        <v>  </v>
      </c>
      <c r="BG703" s="61" t="n">
        <f aca="false">IFERROR(IF(AND(TRIM(U703)="Pass",SUMPRODUCT((LEN(BC703)-LEN(SUBSTITUTE(BC703," "&amp;L_ResultBad&amp;" "," ")))/(LEN(L_ResultBad)+1))&gt;SUMPRODUCT((LEN(BC703)-LEN(SUBSTITUTE(BC703," "&amp;L_NegPhrase&amp;" "," ")))/(LEN(L_NegPhrase)+1))),1,0),0)</f>
        <v>0</v>
      </c>
      <c r="BH703" s="61" t="n">
        <f aca="false">IFERROR(IF(SUMPRODUCT((LEN(BC703)-LEN(SUBSTITUTE(BC703," "&amp;L_Pending&amp;" "," ")))/(LEN(L_Pending)+1))&gt;SUMPRODUCT((LEN(BC703)-LEN(SUBSTITUTE(BC703," "&amp;L_PendNeg&amp;" "," ")))/(LEN(L_PendNeg)+1))+SUMPRODUCT((LEN(BC703)-LEN(SUBSTITUTE(BC703," "&amp;L_PendPrep&amp;" "," ")))/(LEN(L_PendPrep)+1)),1,0),1)</f>
        <v>0</v>
      </c>
      <c r="BI703" s="61" t="n">
        <f aca="false">IFERROR(IF(SUMPRODUCT((LEN(BD703)-LEN(SUBSTITUTE(BD703," "&amp;L_PendStrict&amp;" "," ")))/(LEN(L_PendStrict)+1))&gt;SUMPRODUCT((LEN(BD703)-LEN(SUBSTITUTE(BD703," "&amp;L_PendNeg&amp;" "," ")))/(LEN(L_PendNeg)+1)),1,0),1)</f>
        <v>0</v>
      </c>
      <c r="BJ703" s="61" t="n">
        <f aca="false">IFERROR(IF(SUMPRODUCT((LEN(BE703)-LEN(SUBSTITUTE(BE703," "&amp;L_Pending&amp;" "," ")))/(LEN(L_Pending)+1))&gt;SUMPRODUCT((LEN(BE703)-LEN(SUBSTITUTE(BE703," "&amp;L_PendNeg&amp;" "," ")))/(LEN(L_PendNeg)+1))+SUMPRODUCT((LEN(BE703)-LEN(SUBSTITUTE(BE703," "&amp;L_PendPrep&amp;" "," ")))/(LEN(L_PendPrep)+1)),1,0),1)</f>
        <v>0</v>
      </c>
      <c r="BK703" s="61" t="n">
        <f aca="false">IFERROR(IF(SUMPRODUCT((LEN(BF703)-LEN(SUBSTITUTE(BF703," "&amp;L_PendStrict&amp;" "," ")))/(LEN(L_PendStrict)+1))&gt;SUMPRODUCT((LEN(BF703)-LEN(SUBSTITUTE(BF703," "&amp;L_PendNeg&amp;" "," ")))/(LEN(L_PendNeg)+1)),1,0),1)</f>
        <v>0</v>
      </c>
      <c r="BL703" s="61" t="n">
        <f aca="false">IF(ISNA(MATCH(TRIM(S703),L_EvidenceType,0)),0,BZ703)</f>
        <v>0</v>
      </c>
      <c r="BM703" s="61" t="str">
        <f aca="false">SUBSTITUTE(SUBSTITUTE(SUBSTITUTE(SUBSTITUTE(SUBSTITUTE(SUBSTITUTE(SUBSTITUTE(SUBSTITUTE(SUBSTITUTE(LOWER(Z703&amp;""),"1","0"),"2","0"),"3","0"),"4","0"),"5","0"),"6","0"),"7","0"),"8","0"),"9","0")</f>
        <v/>
      </c>
      <c r="BN703" s="61" t="str">
        <f aca="false">SUBSTITUTE(SUBSTITUTE(SUBSTITUTE(SUBSTITUTE(SUBSTITUTE(SUBSTITUTE(SUBSTITUTE(SUBSTITUTE(SUBSTITUTE(SUBSTITUTE(SUBSTITUTE(SUBSTITUTE(SUBSTITUTE(SUBSTITUTE(SUBSTITUTE(SUBSTITUTE(SUBSTITUTE(SUBSTITUTE(SUBSTITUTE(SUBSTITUTE(SUBSTITUTE(SUBSTITUTE(SUBSTITUTE(SUBSTITUTE(SUBSTITUTE(BM703,"b","a"),"c","a"),"d","a"),"e","a"),"f","a"),"g","a"),"h","a"),"i","a"),"j","a"),"k","a"),"l","a"),"m","a"),"n","a"),"o","a"),"p","a"),"q","a"),"r","a"),"s","a"),"t","a"),"u","a"),"v","a"),"w","a"),"x","a"),"y","a"),"z","a")</f>
        <v/>
      </c>
      <c r="BO703" s="61" t="str">
        <f aca="false">SUBSTITUTE(SUBSTITUTE(SUBSTITUTE(SUBSTITUTE(SUBSTITUTE(SUBSTITUTE(SUBSTITUTE(SUBSTITUTE(SUBSTITUTE(LOWER(W703&amp;""),"1","0"),"2","0"),"3","0"),"4","0"),"5","0"),"6","0"),"7","0"),"8","0"),"9","0")</f>
        <v/>
      </c>
      <c r="BP703" s="61" t="str">
        <f aca="false">SUBSTITUTE(SUBSTITUTE(SUBSTITUTE(SUBSTITUTE(SUBSTITUTE(SUBSTITUTE(SUBSTITUTE(SUBSTITUTE(SUBSTITUTE(SUBSTITUTE(SUBSTITUTE(SUBSTITUTE(SUBSTITUTE(SUBSTITUTE(SUBSTITUTE(SUBSTITUTE(SUBSTITUTE(SUBSTITUTE(SUBSTITUTE(SUBSTITUTE(SUBSTITUTE(SUBSTITUTE(SUBSTITUTE(SUBSTITUTE(SUBSTITUTE(BO703,"b","a"),"c","a"),"d","a"),"e","a"),"f","a"),"g","a"),"h","a"),"i","a"),"j","a"),"k","a"),"l","a"),"m","a"),"n","a"),"o","a"),"p","a"),"q","a"),"r","a"),"s","a"),"t","a"),"u","a"),"v","a"),"w","a"),"x","a"),"y","a"),"z","a")</f>
        <v/>
      </c>
      <c r="BQ703" s="61" t="n">
        <f aca="false">IFERROR(IF(AND(ISERROR(SEARCH(" mh"," "&amp;LOWER(W703))),ISNA(MATCH(LEFT(TRIM(BP703),255),{"0000a","000a","00a","0000aa","000aa","00aa","0aa","0000aaa","000aaa","00a00","0a00","0000-0000","00:00","a00","a0","00.00.0000","00/00/0000","00-00-0000","0000-00-00","0000/00/00","0000.00.00","00.00.00","00/00/00","00-00-00","0.00.0000","0/00/0000","0-00-0000"},0)),ISNA(MATCH(LEFT(TRIM(CA703),255),{"0000a","000a","00a","0000aa","000aa","00aa","0aa","0000aaa","000aaa","00a00","0a00","0000-0000","00:00","a00","a0","00.00.0000","00/00/0000","00-00-0000","0000-00-00","0000/00/00","0000.00.00","00.00.00","00/00/00","00-00-00","0.00.0000","0/00/0000","0-00-0000"},0)),LEN(CB703)&gt;=3,NOT(OR(SUBSTITUTE(CB703,"0","")="",AND(LEN(CB703)&gt;=4,CB703=REPT(LEFT(CB703),LEN(CB703))),ISNUMBER(MATCH(CB703,{"123","1234","12345","123456","1234567","12345678","0123","01234","012345","98765","987654","54321"},0)),AND(LEN(CB703)=8,LEFT(CB703,3)="202"))),OR(AND((LEN(CA703)-LEN(SUBSTITUTE(CA703,"a","")))&gt;=1,SUMPRODUCT(--ISNUMBER(SEARCH({"a0","a-0","a_0","a/0","a.0","a#0","0a","0-a","0_a","0/a"},BP703)))&gt;0),ISNUMBER(SEARCH("000000",BP703)))),1,0),0)</f>
        <v>0</v>
      </c>
      <c r="BR703" s="61" t="n">
        <f aca="false">IFERROR(LEN(SUBSTITUTE(CC703," ",""))-SUMPRODUCT((LEN(CC703)-LEN(SUBSTITUTE(CC703," "&amp;L_Role&amp;" "," ")))/(LEN(L_Role)+1)*LEN(L_Role)),0)</f>
        <v>0</v>
      </c>
      <c r="BS703" s="61" t="n">
        <f aca="false">IFERROR(LEN(SUBSTITUTE(CD703," ",""))-SUMPRODUCT((LEN(CD703)-LEN(SUBSTITUTE(CD703," "&amp;L_Role&amp;" "," ")))/(LEN(L_Role)+1)*LEN(L_Role)),0)</f>
        <v>0</v>
      </c>
      <c r="BT7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703,"revision",""),"version",""),"jan",""),"feb",""),"mar",""),"apr",""),"may",""),"jun",""),"jul",""),"aug",""),"sep",""),"oct",""),"nov",""),"dec",""),"utc",""),"gmt",""),"myt",""),"bst",""),"rev",""),"ver",""),"b","a"),"c","a"),"d","a"),"e","a"),"f","a"),"g","a"),"h","a"),"i","a"),"j","a"),"k","a"),"l","a"),"m","a"),"n","a"),"o","a"),"p","a"),"q","a"),"r","a"),"s","a"),"t","a"),"u","a"),"v","a"),"w","a"),"x","a"),"y","a"),"z","a")</f>
        <v/>
      </c>
      <c r="BU703" s="61" t="str">
        <f aca="false">SUBSTITUTE(SUBSTITUTE(SUBSTITUTE(SUBSTITUTE(SUBSTITUTE(SUBSTITUTE(SUBSTITUTE(SUBSTITUTE(SUBSTITUTE(SUBSTITUTE(LEFT(BM703,FIND("0",BM703&amp;"0")-1),"-",""),"_",""),"/",""),".",""),"#",""),"\\",""),":","")," ",""),"(",""),")","")</f>
        <v/>
      </c>
      <c r="BV703" s="61" t="n">
        <f aca="false">0</f>
        <v>0</v>
      </c>
      <c r="BW70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703&amp;""),"a",""),"b",""),"c",""),"d",""),"e",""),"f",""),"g",""),"h",""),"i",""),"j",""),"k",""),"l",""),"m",""),"n",""),"o",""),"p",""),"q",""),"r",""),"s",""),"t",""),"u",""),"v",""),"w",""),"x",""),"y",""),"z",""),"-",""),"_",""),"/",""),".",""),"#",""),"\\",""),":","")," ",""),"(",""),")","")</f>
        <v/>
      </c>
      <c r="BX703" s="61" t="str">
        <f aca="false">SUBSTITUTE(SUBSTITUTE(SUBSTITUTE(SUBSTITUTE(SUBSTITUTE(SUBSTITUTE(SUBSTITUTE(SUBSTITUTE(SUBSTITUTE(SUBSTITUTE(SUBSTITUTE(BM703,"0",""),"-",""),"_",""),"/",""),".",""),"#",""),"\\",""),":","")," ",""),"(",""),")","")</f>
        <v/>
      </c>
      <c r="BY703" s="62" t="n">
        <f aca="false">Q703-T7EarlyD*24/24</f>
        <v>46304.6388888889</v>
      </c>
      <c r="BZ703" s="61" t="n">
        <f aca="false">IFERROR(IF(IF(TRIM(S703)="Link / file path",AND(LEN(TRIM(Z703))&gt;=5,SUMPRODUCT(--ISNUMBER(SEARCH({"http","www.","\\",":\",".pdf",".jpg",".jpeg",".png",".heic",".xls",".doc",".msg",".eml",".ppt",".txt",".zip"},Z703)))&gt;0),AND(ISERROR(FIND(" ",TRIM(Z703))),NOT(OR(SUMPRODUCT(--ISNUMBER(FIND({",",";","&amp;","+"},Z703)))&gt;0,SUMPRODUCT(--ISNUMBER(SEARCH({"0/aa","0\\aa"},BN703)))&gt;0)),NOT(SUMPRODUCT(--ISNUMBER(SEARCH({"http","www.","\\",":\",".pdf",".jpg",".jpeg",".png",".heic",".xls",".doc",".msg",".eml",".ppt",".txt",".zip"},Z703)))&gt;0),NOT(LOWER(TRIM(Z703))=LOWER(Flights!$F$26)),ISNA(MATCH(BU703,{"mh","rev","revision","ver","version","v","r","a","b","seat","tray","row","gate","bay","stand","page","pg","item","line","no","cart","galley","flight","flt","table","box","bag","oven","etd","eta","std","sta","atd","ata","qty","pax","x","time","tel","ph","mob","day","wk","week","utc","gmt","myt","lt"},0)),NOT(OR(ISNUMBER(MATCH(LEFT(BN703,255),{"0000a","000a","00a","0000aa","000aa","00aa","0aa","0000aaa","000aaa","00a00","0a00","0000-0000","00:00","a00","a0","00.00.0000","00/00/0000","00-00-0000","0000-00-00","0000/00/00","0000.00.00","00.00.00","00/00/00","00-00-00","0.00.0000","0/00/0000","0-00-0000"},0)),ISNUMBER(MATCH(LEFT(BT703,255),{"0000a","000a","00a","0000aa","000aa","00aa","0aa","0000aaa","000aaa","00a00","0a00","0000-0000","00:00","a00","a0","00.00.0000","00/00/0000","00-00-0000","0000-00-00","0000/00/00","0000.00.00","00.00.00","00/00/00","00-00-00","0.00.0000","0/00/0000","0-00-0000"},0)))),NOT(OR(AND(BW703&lt;&gt;"",SUBSTITUTE(BW703,"0","")=""),AND(LEN(BW703)&gt;=4,BW703=REPT(LEFT(BW703),LEN(BW703))),ISNUMBER(MATCH(BW703,{"123","1234","12345","123456","1234567","12345678","0123","01234","012345","98765","987654","54321"},0)),ISNUMBER(MATCH(BX703,{"x","xx","xxx","xxxx","xxxxx","abc","abcd","nil","na","nan","test","tbc","tba","tbd","dummy","sample","example","eg","zz","zzz","none","null","xyz","qwe","asd","id","ref"},0)),AND(LEN(BW703)=8,BX703="",OR(LEFT(BW703,3)="202",ISNUMBER(MATCH(RIGHT(BW703,4),{"2025","2026","2027"},0)))))),OR(AND((LEN(BT703)-LEN(SUBSTITUTE(BT703,"a","")))&gt;=1,(LEN(BN703)-LEN(SUBSTITUTE(BN703,"0","")))&gt;=2,SUMPRODUCT(--ISNUMBER(SEARCH({"a0","a-0","a_0","a/0","a.0","a#0","0a","0-a","0_a","0/a"},BN703)))&gt;0),AND((LEN(BN703)-LEN(SUBSTITUTE(BN703,"a","")))=0,(LEN(BN703)-LEN(SUBSTITUTE(BN703,"0","")))&gt;=5)))),1,0),0)</f>
        <v>0</v>
      </c>
      <c r="CA7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703,"revision",""),"version",""),"jan",""),"feb",""),"mar",""),"apr",""),"may",""),"jun",""),"jul",""),"aug",""),"sep",""),"oct",""),"nov",""),"dec",""),"utc",""),"gmt",""),"myt",""),"bst",""),"rev",""),"ver",""),"b","a"),"c","a"),"d","a"),"e","a"),"f","a"),"g","a"),"h","a"),"i","a"),"j","a"),"k","a"),"l","a"),"m","a"),"n","a"),"o","a"),"p","a"),"q","a"),"r","a"),"s","a"),"t","a"),"u","a"),"v","a"),"w","a"),"x","a"),"y","a"),"z","a")</f>
        <v/>
      </c>
      <c r="CB70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703&amp;""),"a",""),"b",""),"c",""),"d",""),"e",""),"f",""),"g",""),"h",""),"i",""),"j",""),"k",""),"l",""),"m",""),"n",""),"o",""),"p",""),"q",""),"r",""),"s",""),"t",""),"u",""),"v",""),"w",""),"x",""),"y",""),"z",""),"-",""),"_",""),"/",""),".",""),"#",""),"\\",""),":","")," ",""),"(",""),")","")</f>
        <v/>
      </c>
      <c r="CC703" s="0" t="str">
        <f aca="false">" "&amp;TRIM(SUBSTITUTE(SUBSTITUTE(SUBSTITUTE(SUBSTITUTE(SUBSTITUTE(SUBSTITUTE(SUBSTITUTE(SUBSTITUTE(SUBSTITUTE(SUBSTITUTE(SUBSTITUTE(SUBSTITUTE(SUBSTITUTE(SUBSTITUTE(SUBSTITUTE(SUBSTITUTE(SUBSTITUTE(SUBSTITUTE(SUBSTITUTE(SUBSTITUTE(SUBSTITUTE(SUBSTITUTE(SUBSTITUTE(SUBSTITUTE(LOWER(T703&amp;""),CHAR(10)," "),CHAR(13)," "),CHAR(9)," "),CHAR(160)," "),"."," "),","," "),"-"," "),"/"," "),"("," "),")"," "),":"," "),";"," "),"_"," "),"–"," "),"?"," "),"!"," "),"*"," "),"["," "),"]"," "),"'"," "),"#"," "),"+"," "),"&amp;"," "),"\"," "))&amp;" "</f>
        <v>  </v>
      </c>
      <c r="CD703" s="0" t="str">
        <f aca="false">" "&amp;TRIM(SUBSTITUTE(SUBSTITUTE(SUBSTITUTE(SUBSTITUTE(SUBSTITUTE(SUBSTITUTE(SUBSTITUTE(SUBSTITUTE(SUBSTITUTE(SUBSTITUTE(SUBSTITUTE(SUBSTITUTE(SUBSTITUTE(SUBSTITUTE(SUBSTITUTE(SUBSTITUTE(SUBSTITUTE(SUBSTITUTE(SUBSTITUTE(SUBSTITUTE(SUBSTITUTE(SUBSTITUTE(SUBSTITUTE(SUBSTITUTE(LOWER(AE703&amp;""),CHAR(10)," "),CHAR(13)," "),CHAR(9)," "),CHAR(160)," "),"."," "),","," "),"-"," "),"/"," "),"("," "),")"," "),":"," "),";"," "),"_"," "),"–"," "),"?"," "),"!"," "),"*"," "),"["," "),"]"," "),"'"," "),"#"," "),"+"," "),"&amp;"," "),"\"," "))&amp;" "</f>
        <v>  </v>
      </c>
      <c r="CE703" s="68" t="n">
        <f aca="false">IFERROR(IF(AND(LEN(AU703)&gt;0,LEN(AU703)=LEN(AX703),OR(TRIM(MID(SUBSTITUTE(TRIM(CC703)," ",REPT(" ",60)),1,60))="",ISNUMBER(SEARCH(" "&amp;TRIM(MID(SUBSTITUTE(TRIM(CC703)," ",REPT(" ",60)),1,60))&amp;" ",CD703))),OR(TRIM(MID(SUBSTITUTE(TRIM(CC703)," ",REPT(" ",60)),61,60))="",ISNUMBER(SEARCH(" "&amp;TRIM(MID(SUBSTITUTE(TRIM(CC703)," ",REPT(" ",60)),61,60))&amp;" ",CD703))),OR(TRIM(MID(SUBSTITUTE(TRIM(CC703)," ",REPT(" ",60)),121,60))="",ISNUMBER(SEARCH(" "&amp;TRIM(MID(SUBSTITUTE(TRIM(CC703)," ",REPT(" ",60)),121,60))&amp;" ",CD703)))),1,0),0)</f>
        <v>0</v>
      </c>
      <c r="CG703" s="68" t="n">
        <f aca="false">IFERROR(LEN(SUBSTITUTE(BF703," ",""))-SUMPRODUCT((LEN(BF703)-LEN(SUBSTITUTE(BF703," "&amp;L_NAFiller&amp;" "," ")))/(LEN(L_NAFiller)+1)*LEN(L_NAFiller)),0)</f>
        <v>0</v>
      </c>
    </row>
    <row r="704" customFormat="false" ht="41.25" hidden="false" customHeight="true" outlineLevel="0" collapsed="false">
      <c r="A704" s="57" t="s">
        <v>1438</v>
      </c>
      <c r="B704" s="57" t="s">
        <v>312</v>
      </c>
      <c r="C704" s="57" t="str">
        <f aca="false">Flights!$F$26</f>
        <v>MH0002</v>
      </c>
      <c r="D704" s="58" t="n">
        <f aca="false">Flights!$D$26</f>
        <v>46325</v>
      </c>
      <c r="E704" s="57" t="str">
        <f aca="false">Flights!$G$26&amp;"-"&amp;Flights!$H$26</f>
        <v>KUL-LHR</v>
      </c>
      <c r="F704" s="57" t="str">
        <f aca="false">Flights!$K$26</f>
        <v>BC</v>
      </c>
      <c r="G704" s="57" t="s">
        <v>81</v>
      </c>
      <c r="H704" s="57" t="s">
        <v>378</v>
      </c>
      <c r="I704" s="57" t="s">
        <v>389</v>
      </c>
      <c r="J704" s="57" t="s">
        <v>390</v>
      </c>
      <c r="K704" s="67" t="s">
        <v>391</v>
      </c>
      <c r="L704" s="67" t="s">
        <v>382</v>
      </c>
      <c r="M704" s="67"/>
      <c r="N704" s="67" t="str">
        <f aca="false">IF(TRIM(Flights!$L$26)="A339","Required","N/A – rule")</f>
        <v>N/A – rule</v>
      </c>
      <c r="O704" s="67" t="s">
        <v>392</v>
      </c>
      <c r="P704" s="57" t="s">
        <v>187</v>
      </c>
      <c r="Q704" s="59" t="n">
        <f aca="false">ROUND((Flights!$AC$26)*1440,0)/1440</f>
        <v>46318.6388888889</v>
      </c>
      <c r="R704" s="59" t="n">
        <f aca="false">Q704+(IF(AND(INDEX(TZ_DSTS,MATCH(P704,TZ_STN,0))&lt;&gt;"",Q704&gt;=INDEX(TZ_DSTS,MATCH(P704,TZ_STN,0)),Q704&lt;INDEX(TZ_DSTE,MATCH(P704,TZ_STN,0))),INDEX(TZ_DST,MATCH(P704,TZ_STN,0)),INDEX(TZ_STD,MATCH(P704,TZ_STN,0))))/24</f>
        <v>46318.9722222222</v>
      </c>
      <c r="S704" s="60"/>
      <c r="T704" s="60"/>
      <c r="U704" s="60"/>
      <c r="V704" s="60"/>
      <c r="W704" s="61"/>
      <c r="X704" s="60"/>
      <c r="Y704" s="60"/>
      <c r="Z704" s="60"/>
      <c r="AA704" s="60"/>
      <c r="AB704" s="60"/>
      <c r="AC704" s="60"/>
      <c r="AD704" s="66"/>
      <c r="AE704" s="60"/>
      <c r="AF704" s="61" t="str">
        <f aca="false">IF(AND(ISNUMBER(X704),ISNUMBER(Y704)),Y704-X704,"")</f>
        <v/>
      </c>
      <c r="AG704" s="62" t="str">
        <f aca="false">IF(ISNUMBER(AD704),AD704-(IF(AND(INDEX(TZ_DSTS,MATCH(P704,TZ_STN,0))&lt;&gt;"",(AD704-INDEX(TZ_STD,MATCH(P704,TZ_STN,0))/24)&gt;=INDEX(TZ_DSTS,MATCH(P704,TZ_STN,0)),(AD704-INDEX(TZ_STD,MATCH(P704,TZ_STN,0))/24)&lt;INDEX(TZ_DSTE,MATCH(P704,TZ_STN,0))),INDEX(TZ_DST,MATCH(P704,TZ_STN,0)),INDEX(TZ_STD,MATCH(P704,TZ_STN,0))))/24,"")</f>
        <v/>
      </c>
      <c r="AH704" s="65" t="str">
        <f aca="false">IFERROR(IF(N704="N/A – rule",IF(OR(TRIM(U704)="",TRIM(U704)="N/A",TRIM(U704)="Not started"),"N/A – RULE","INVALID – this check does not apply to this aircraft: clear the status (or correct the fleet on Flights)"),IF(TRIM(U704)="N/A",IF(AT704=0,"INVALID – N/A not permitted for this check",IF(AND(TRIM(AB704)&lt;&gt;"",TRIM(AB704)&lt;&gt;"Closed"),"INVALID – corrective action still open",IF(AND(NOT(OR(LEN(AZ704)&lt;15,ISNUMBER(MATCH(AZ704,L_Placeholder,0)))),BK704=0,CG704&gt;=8,NOT(OR(LEN(AU704)&lt;2,ISNUMBER(MATCH(AU704,L_Placeholder,0)))),BR704&gt;=3,NOT(OR(LEN(AX704)&lt;2,ISNUMBER(MATCH(AX704,L_Placeholder,0)))),BS704&gt;=3,TRIM(AE704)&lt;&gt;TRIM(T704),AX704&lt;&gt;AU704,CE704=0),"N/A – JUSTIFIED","INVALID – N/A needs a real, settled reason (not 'not applicable' / 'as above' / TBC), a named PIC and a different named verifier"))),IF(OR(TRIM(U704)="Pass",TRIM(U704)="Pass after CA"),IF(NOT(ISNUMBER(AD704)),"INVALID – completion time missing",IF(OR(OR(LEN(AU704)&lt;2,ISNUMBER(MATCH(AU704,L_Placeholder,0))),BR704&lt;3),"INVALID – PIC missing or not a named person (a role such as QA / CSM is not a name)",IF(OR(LEN(AV704)&lt;2,ISNUMBER(MATCH(AV704,L_Placeholder,0))),"INVALID – result / assessment missing",IF(OR(OR(LEN(AW704)&lt;3,ISNUMBER(MATCH(AW704,L_Placeholder,0))),SUMPRODUCT(--ISNUMBER(SEARCH(" "&amp;L_EvidencePhrase&amp;" ",BD704)))&gt;0,BI704=1),"INVALID – evidence missing, placeholder or not yet on file",IF(ISNA(MATCH(TRIM(S704),L_EvidenceType,0)),"INVALID – choose the evidence type from the list (column S)",IF(BL704=0,"INVALID – evidence ID must be the record's own ID only (e.g. SF-2210, IMG_2231, 1045521); a link / file name needs type 'Link / file path'",IF(OR(OR(LEN(AX704)&lt;2,ISNUMBER(MATCH(AX704,L_Placeholder,0))),BS704&lt;3),"INVALID – verifier missing or not a named person (a role such as QA / CSM is not a name)",IF(OR(AX704=AU704,CE704=1,AND(LEN(AU704)&gt;=4,ISNUMBER(SEARCH(AU704,AX704))),AND(LEN(AX704)&gt;=4,ISNUMBER(SEARCH(AX704,AU704)))),"INVALID – verifier must be a different, named person (not the PIC or a role)",IF(BH704=1,"INVALID – result not yet available (awaiting / TBC)",IF(BG704=1,"INVALID – result describes a problem: record Fail, then Pass after CA (or reword if it is not a problem)",IF(BV704=1,"INVALID – wording says not on board: an on-board confirmation needs the item loaded",IF(AND(AQ704=1,OR(OR(LEN(AY704)&lt;3,ISNUMBER(MATCH(AY704,L_Placeholder,0))),BJ704=1,BQ704=0)),"INVALID – batch ID missing, placeholder or not an ID (e.g. PASB-261008-BC-017)",IF(AND(AR704=1,OR(NOT(ISNUMBER(X704)),NOT(ISNUMBER(Y704)))),"INVALID – expected/actual qty missing",IF(AND(AR704=1,OR(X704&lt;=0,Y704&lt;0)),"INVALID – expected qty must be above 0 and actual not negative",IF(BB704&lt;&gt;"",BB704,IF(AND(AS704=1,Documents!$J$26&lt;&gt;"ON FILE"),"INVALID – GLD not on file (Documents sheet)",IF(AND(AS704=2,Documents!$O$26&lt;&gt;"ON FILE"),"INVALID – menu checklist not on file (Documents sheet)",IF(AND(AS704=3,NOT(ISNUMBER(Flights!$AX$26))),"INVALID – enter carrying flight KUL departure (Flights AX)",IF(AND(AS704=3,OR(Flights!$AZ$26&gt;Flights!$AA$26,Flights!$AX$26&lt;Flights!$AA$26-3)),"INVALID – carrying flight (Flights AX) cannot arrive before this leg's STD, or is over 3 days early",IF(AG704&gt;AsOfUTC,"INVALID – completion time is in the future",IF(AND(ISNUMBER(BY704),AG704&lt;BY704),IF(H704="Physical uplift","INVALID – before uplift window (cannot confirm loading)","INVALID – before valid window"),IF(AG704&gt;Flights!$AA$26,"INVALID – completed after departure (cannot establish readiness)",IF(AND(H704="Preparation",AG704&gt;=IF(ISNUMBER(Flights!$BA$26),MIN(Flights!$BA$26,Flights!$AA$26),Flights!$AA$26)),"INVALID – completed after loading / departure (cannot establish readiness)",IF(AND(H704="Physical uplift",AG704&gt;Q704),"INVALID – recorded after the loading flight departed",IF(AG704&gt;Q704,"COMPLETE – LATE","COMPLETE"))))))))))))))))))))))))),IF(TRIM(U704)="Fail","FAIL – DISCREPANCY",IF(AND(TRIM(U704)&lt;&gt;"",TRIM(U704)&lt;&gt;"Not started",TRIM(U704)&lt;&gt;"In progress"),"INVALID – unrecognised status (use the list)",IF(AsOfUTC&gt;Q704,"OVERDUE",IF(N704="Clarification required","OPEN – CLARIFICATION","OPEN"))))))),"INVALID – error value in an input cell")</f>
        <v>N/A – RULE</v>
      </c>
      <c r="AI704" s="61" t="n">
        <f aca="false">IF(OR(AH704="N/A – RULE",AH704="N/A – JUSTIFIED"),0,1)</f>
        <v>0</v>
      </c>
      <c r="AJ704" s="61" t="n">
        <f aca="false">IF(LEFT(AH704,8)="COMPLETE",1,0)</f>
        <v>0</v>
      </c>
      <c r="AK704" s="61" t="n">
        <f aca="false">IF(AND(AI704=1,AJ704=0,AsOfUTC&gt;Q704),1,0)</f>
        <v>0</v>
      </c>
      <c r="AL704" s="61" t="n">
        <f aca="false">IFERROR(IF(AND(AI704=1,OR(TRIM(U704)="Fail",AND(TRIM(AB704)&lt;&gt;"",TRIM(AB704)&lt;&gt;"Closed"),AND(ISNUMBER(AF704),AF704&lt;&gt;0,TRIM(U704)&lt;&gt;"Pass after CA"))),1,0),1)</f>
        <v>0</v>
      </c>
      <c r="AM704" s="61" t="n">
        <f aca="false">IF(LEFT(AH704,7)="INVALID",1,0)</f>
        <v>0</v>
      </c>
      <c r="AN704" s="61" t="n">
        <f aca="false">IF(AND(N704="Clarification required",AI704=1,AJ704=0),1,0)</f>
        <v>0</v>
      </c>
      <c r="AO704" s="61" t="str">
        <f aca="false">IF(AK704=1,SUM(AK$5:AK704),"")</f>
        <v/>
      </c>
      <c r="AP704" s="61" t="str">
        <f aca="false">IF(AL704=1,SUM(AL$5:AL704),"")</f>
        <v/>
      </c>
      <c r="AQ704" s="61" t="n">
        <v>0</v>
      </c>
      <c r="AR704" s="61" t="n">
        <v>0</v>
      </c>
      <c r="AS704" s="61" t="n">
        <v>0</v>
      </c>
      <c r="AT704" s="61" t="n">
        <v>0</v>
      </c>
      <c r="AU704" s="61" t="str">
        <f aca="false">SUBSTITUTE(SUBSTITUTE(SUBSTITUTE(SUBSTITUTE(SUBSTITUTE(SUBSTITUTE(SUBSTITUTE(SUBSTITUTE(SUBSTITUTE(SUBSTITUTE(SUBSTITUTE(SUBSTITUTE(SUBSTITUTE(SUBSTITUTE(SUBSTITUTE(SUBSTITUTE(LOWER(T704&amp;""),CHAR(10),""),CHAR(13),""),CHAR(9),""),CHAR(160),"")," ",""),".",""),"-",""),"/",""),"?",""),"_",""),",",""),"[",""),"]",""),"(",""),")",""),"*","")</f>
        <v/>
      </c>
      <c r="AV704" s="61" t="str">
        <f aca="false">SUBSTITUTE(SUBSTITUTE(SUBSTITUTE(SUBSTITUTE(SUBSTITUTE(SUBSTITUTE(SUBSTITUTE(SUBSTITUTE(SUBSTITUTE(SUBSTITUTE(SUBSTITUTE(SUBSTITUTE(SUBSTITUTE(SUBSTITUTE(SUBSTITUTE(SUBSTITUTE(LOWER(V704&amp;""),CHAR(10),""),CHAR(13),""),CHAR(9),""),CHAR(160),"")," ",""),".",""),"-",""),"/",""),"?",""),"_",""),",",""),"[",""),"]",""),"(",""),")",""),"*","")</f>
        <v/>
      </c>
      <c r="AW704" s="61" t="str">
        <f aca="false">SUBSTITUTE(SUBSTITUTE(SUBSTITUTE(SUBSTITUTE(SUBSTITUTE(SUBSTITUTE(SUBSTITUTE(SUBSTITUTE(SUBSTITUTE(SUBSTITUTE(SUBSTITUTE(SUBSTITUTE(SUBSTITUTE(SUBSTITUTE(SUBSTITUTE(SUBSTITUTE(LOWER(Z704&amp;""),CHAR(10),""),CHAR(13),""),CHAR(9),""),CHAR(160),"")," ",""),".",""),"-",""),"/",""),"?",""),"_",""),",",""),"[",""),"]",""),"(",""),")",""),"*","")</f>
        <v/>
      </c>
      <c r="AX704" s="61" t="str">
        <f aca="false">SUBSTITUTE(SUBSTITUTE(SUBSTITUTE(SUBSTITUTE(SUBSTITUTE(SUBSTITUTE(SUBSTITUTE(SUBSTITUTE(SUBSTITUTE(SUBSTITUTE(SUBSTITUTE(SUBSTITUTE(SUBSTITUTE(SUBSTITUTE(SUBSTITUTE(SUBSTITUTE(LOWER(AE704&amp;""),CHAR(10),""),CHAR(13),""),CHAR(9),""),CHAR(160),"")," ",""),".",""),"-",""),"/",""),"?",""),"_",""),",",""),"[",""),"]",""),"(",""),")",""),"*","")</f>
        <v/>
      </c>
      <c r="AY704" s="61" t="str">
        <f aca="false">SUBSTITUTE(SUBSTITUTE(SUBSTITUTE(SUBSTITUTE(SUBSTITUTE(SUBSTITUTE(SUBSTITUTE(SUBSTITUTE(SUBSTITUTE(SUBSTITUTE(SUBSTITUTE(SUBSTITUTE(SUBSTITUTE(SUBSTITUTE(SUBSTITUTE(SUBSTITUTE(LOWER(W704&amp;""),CHAR(10),""),CHAR(13),""),CHAR(9),""),CHAR(160),"")," ",""),".",""),"-",""),"/",""),"?",""),"_",""),",",""),"[",""),"]",""),"(",""),")",""),"*","")</f>
        <v/>
      </c>
      <c r="AZ704" s="61" t="str">
        <f aca="false">SUBSTITUTE(SUBSTITUTE(SUBSTITUTE(SUBSTITUTE(SUBSTITUTE(SUBSTITUTE(SUBSTITUTE(SUBSTITUTE(SUBSTITUTE(SUBSTITUTE(SUBSTITUTE(SUBSTITUTE(SUBSTITUTE(SUBSTITUTE(SUBSTITUTE(SUBSTITUTE(LOWER(AC704&amp;""),CHAR(10),""),CHAR(13),""),CHAR(9),""),CHAR(160),"")," ",""),".",""),"-",""),"/",""),"?",""),"_",""),",",""),"[",""),"]",""),"(",""),")",""),"*","")</f>
        <v/>
      </c>
      <c r="BA704" s="61" t="str">
        <f aca="false">SUBSTITUTE(SUBSTITUTE(SUBSTITUTE(SUBSTITUTE(SUBSTITUTE(SUBSTITUTE(SUBSTITUTE(SUBSTITUTE(SUBSTITUTE(SUBSTITUTE(SUBSTITUTE(SUBSTITUTE(SUBSTITUTE(SUBSTITUTE(SUBSTITUTE(SUBSTITUTE(LOWER(AA704&amp;""),CHAR(10),""),CHAR(13),""),CHAR(9),""),CHAR(160),"")," ",""),".",""),"-",""),"/",""),"?",""),"_",""),",",""),"[",""),"]",""),"(",""),")",""),"*","")</f>
        <v/>
      </c>
      <c r="BB704" s="61" t="str">
        <f aca="false">IF(AND(TRIM(U704)="Pass",ISNUMBER(AF704)),IF(AF704&lt;&gt;0,"INVALID – qty variance: use Fail or Pass after CA",""),"")&amp;IF(AND(TRIM(U704)="Pass after CA",ISNUMBER(AF704)),IF(AF704&lt;&gt;0,"INVALID – after the corrective action the actual qty must equal expected (update Actual)",""),"")&amp;IF(AND(TRIM(U704)="Pass",TRIM(AB704)&lt;&gt;"",TRIM(AB704)&lt;&gt;"Closed"),"INVALID – corrective action not closed: use Fail, then Pass after CA","")&amp;IF(AND(LEN(BA704)&gt;=2,ISNA(MATCH(LEFT(BA704,255),L_Placeholder,0)),TRIM(AB704)=""),"INVALID – CA status missing for the recorded corrective action","")&amp;IF(AND(TRIM(U704)="Pass after CA",OR(OR(LEN(BA704)&lt;5,ISNUMBER(MATCH(BA704,L_Placeholder,0))),TRIM(AB704)&lt;&gt;"Closed")),"INVALID – corrective action not recorded/closed","")</f>
        <v/>
      </c>
      <c r="BC704" s="61" t="str">
        <f aca="false">" "&amp;TRIM(SUBSTITUTE(SUBSTITUTE(SUBSTITUTE(SUBSTITUTE(SUBSTITUTE(SUBSTITUTE(SUBSTITUTE(SUBSTITUTE(SUBSTITUTE(SUBSTITUTE(SUBSTITUTE(SUBSTITUTE(SUBSTITUTE(SUBSTITUTE(SUBSTITUTE(SUBSTITUTE(SUBSTITUTE(SUBSTITUTE(SUBSTITUTE(SUBSTITUTE(SUBSTITUTE(SUBSTITUTE(SUBSTITUTE(SUBSTITUTE(LOWER(V704&amp;""),CHAR(10)," "),CHAR(13)," "),CHAR(9)," "),CHAR(160)," "),"."," "),","," "),"-"," "),"/"," "),"("," "),")"," "),":"," "),";"," "),"_"," "),"–"," "),"?"," "),"!"," "),"*"," "),"["," "),"]"," "),"'"," "),"#"," "),"+"," "),"&amp;"," "),"\"," "))&amp;" "</f>
        <v>  </v>
      </c>
      <c r="BD704" s="61" t="str">
        <f aca="false">" "&amp;TRIM(SUBSTITUTE(SUBSTITUTE(SUBSTITUTE(SUBSTITUTE(SUBSTITUTE(SUBSTITUTE(SUBSTITUTE(SUBSTITUTE(SUBSTITUTE(SUBSTITUTE(SUBSTITUTE(SUBSTITUTE(SUBSTITUTE(SUBSTITUTE(SUBSTITUTE(SUBSTITUTE(SUBSTITUTE(SUBSTITUTE(SUBSTITUTE(SUBSTITUTE(SUBSTITUTE(SUBSTITUTE(SUBSTITUTE(SUBSTITUTE(LOWER(Z704&amp;""),CHAR(10)," "),CHAR(13)," "),CHAR(9)," "),CHAR(160)," "),"."," "),","," "),"-"," "),"/"," "),"("," "),")"," "),":"," "),";"," "),"_"," "),"–"," "),"?"," "),"!"," "),"*"," "),"["," "),"]"," "),"'"," "),"#"," "),"+"," "),"&amp;"," "),"\"," "))&amp;" "</f>
        <v>  </v>
      </c>
      <c r="BE704" s="61" t="str">
        <f aca="false">" "&amp;TRIM(SUBSTITUTE(SUBSTITUTE(SUBSTITUTE(SUBSTITUTE(SUBSTITUTE(SUBSTITUTE(SUBSTITUTE(SUBSTITUTE(SUBSTITUTE(SUBSTITUTE(SUBSTITUTE(SUBSTITUTE(SUBSTITUTE(SUBSTITUTE(SUBSTITUTE(SUBSTITUTE(SUBSTITUTE(SUBSTITUTE(SUBSTITUTE(SUBSTITUTE(SUBSTITUTE(SUBSTITUTE(SUBSTITUTE(SUBSTITUTE(LOWER(W704&amp;""),CHAR(10)," "),CHAR(13)," "),CHAR(9)," "),CHAR(160)," "),"."," "),","," "),"-"," "),"/"," "),"("," "),")"," "),":"," "),";"," "),"_"," "),"–"," "),"?"," "),"!"," "),"*"," "),"["," "),"]"," "),"'"," "),"#"," "),"+"," "),"&amp;"," "),"\"," "))&amp;" "</f>
        <v>  </v>
      </c>
      <c r="BF704" s="61" t="str">
        <f aca="false">" "&amp;TRIM(SUBSTITUTE(SUBSTITUTE(SUBSTITUTE(SUBSTITUTE(SUBSTITUTE(SUBSTITUTE(SUBSTITUTE(SUBSTITUTE(SUBSTITUTE(SUBSTITUTE(SUBSTITUTE(SUBSTITUTE(SUBSTITUTE(SUBSTITUTE(SUBSTITUTE(SUBSTITUTE(SUBSTITUTE(SUBSTITUTE(SUBSTITUTE(SUBSTITUTE(SUBSTITUTE(SUBSTITUTE(SUBSTITUTE(SUBSTITUTE(LOWER(AC704&amp;""),CHAR(10)," "),CHAR(13)," "),CHAR(9)," "),CHAR(160)," "),"."," "),","," "),"-"," "),"/"," "),"("," "),")"," "),":"," "),";"," "),"_"," "),"–"," "),"?"," "),"!"," "),"*"," "),"["," "),"]"," "),"'"," "),"#"," "),"+"," "),"&amp;"," "),"\"," "))&amp;" "</f>
        <v>  </v>
      </c>
      <c r="BG704" s="61" t="n">
        <f aca="false">IFERROR(IF(AND(TRIM(U704)="Pass",SUMPRODUCT((LEN(BC704)-LEN(SUBSTITUTE(BC704," "&amp;L_ResultBad&amp;" "," ")))/(LEN(L_ResultBad)+1))&gt;SUMPRODUCT((LEN(BC704)-LEN(SUBSTITUTE(BC704," "&amp;L_NegPhrase&amp;" "," ")))/(LEN(L_NegPhrase)+1))),1,0),0)</f>
        <v>0</v>
      </c>
      <c r="BH704" s="61" t="n">
        <f aca="false">IFERROR(IF(SUMPRODUCT((LEN(BC704)-LEN(SUBSTITUTE(BC704," "&amp;L_Pending&amp;" "," ")))/(LEN(L_Pending)+1))&gt;SUMPRODUCT((LEN(BC704)-LEN(SUBSTITUTE(BC704," "&amp;L_PendNeg&amp;" "," ")))/(LEN(L_PendNeg)+1))+SUMPRODUCT((LEN(BC704)-LEN(SUBSTITUTE(BC704," "&amp;L_PendPrep&amp;" "," ")))/(LEN(L_PendPrep)+1)),1,0),1)</f>
        <v>0</v>
      </c>
      <c r="BI704" s="61" t="n">
        <f aca="false">IFERROR(IF(SUMPRODUCT((LEN(BD704)-LEN(SUBSTITUTE(BD704," "&amp;L_PendStrict&amp;" "," ")))/(LEN(L_PendStrict)+1))&gt;SUMPRODUCT((LEN(BD704)-LEN(SUBSTITUTE(BD704," "&amp;L_PendNeg&amp;" "," ")))/(LEN(L_PendNeg)+1)),1,0),1)</f>
        <v>0</v>
      </c>
      <c r="BJ704" s="61" t="n">
        <f aca="false">IFERROR(IF(SUMPRODUCT((LEN(BE704)-LEN(SUBSTITUTE(BE704," "&amp;L_Pending&amp;" "," ")))/(LEN(L_Pending)+1))&gt;SUMPRODUCT((LEN(BE704)-LEN(SUBSTITUTE(BE704," "&amp;L_PendNeg&amp;" "," ")))/(LEN(L_PendNeg)+1))+SUMPRODUCT((LEN(BE704)-LEN(SUBSTITUTE(BE704," "&amp;L_PendPrep&amp;" "," ")))/(LEN(L_PendPrep)+1)),1,0),1)</f>
        <v>0</v>
      </c>
      <c r="BK704" s="61" t="n">
        <f aca="false">IFERROR(IF(SUMPRODUCT((LEN(BF704)-LEN(SUBSTITUTE(BF704," "&amp;L_PendStrict&amp;" "," ")))/(LEN(L_PendStrict)+1))&gt;SUMPRODUCT((LEN(BF704)-LEN(SUBSTITUTE(BF704," "&amp;L_PendNeg&amp;" "," ")))/(LEN(L_PendNeg)+1)),1,0),1)</f>
        <v>0</v>
      </c>
      <c r="BL704" s="61" t="n">
        <f aca="false">IF(ISNA(MATCH(TRIM(S704),L_EvidenceType,0)),0,BZ704)</f>
        <v>0</v>
      </c>
      <c r="BM704" s="61" t="str">
        <f aca="false">SUBSTITUTE(SUBSTITUTE(SUBSTITUTE(SUBSTITUTE(SUBSTITUTE(SUBSTITUTE(SUBSTITUTE(SUBSTITUTE(SUBSTITUTE(LOWER(Z704&amp;""),"1","0"),"2","0"),"3","0"),"4","0"),"5","0"),"6","0"),"7","0"),"8","0"),"9","0")</f>
        <v/>
      </c>
      <c r="BN704" s="61" t="str">
        <f aca="false">SUBSTITUTE(SUBSTITUTE(SUBSTITUTE(SUBSTITUTE(SUBSTITUTE(SUBSTITUTE(SUBSTITUTE(SUBSTITUTE(SUBSTITUTE(SUBSTITUTE(SUBSTITUTE(SUBSTITUTE(SUBSTITUTE(SUBSTITUTE(SUBSTITUTE(SUBSTITUTE(SUBSTITUTE(SUBSTITUTE(SUBSTITUTE(SUBSTITUTE(SUBSTITUTE(SUBSTITUTE(SUBSTITUTE(SUBSTITUTE(SUBSTITUTE(BM704,"b","a"),"c","a"),"d","a"),"e","a"),"f","a"),"g","a"),"h","a"),"i","a"),"j","a"),"k","a"),"l","a"),"m","a"),"n","a"),"o","a"),"p","a"),"q","a"),"r","a"),"s","a"),"t","a"),"u","a"),"v","a"),"w","a"),"x","a"),"y","a"),"z","a")</f>
        <v/>
      </c>
      <c r="BO704" s="61" t="str">
        <f aca="false">SUBSTITUTE(SUBSTITUTE(SUBSTITUTE(SUBSTITUTE(SUBSTITUTE(SUBSTITUTE(SUBSTITUTE(SUBSTITUTE(SUBSTITUTE(LOWER(W704&amp;""),"1","0"),"2","0"),"3","0"),"4","0"),"5","0"),"6","0"),"7","0"),"8","0"),"9","0")</f>
        <v/>
      </c>
      <c r="BP704" s="61" t="str">
        <f aca="false">SUBSTITUTE(SUBSTITUTE(SUBSTITUTE(SUBSTITUTE(SUBSTITUTE(SUBSTITUTE(SUBSTITUTE(SUBSTITUTE(SUBSTITUTE(SUBSTITUTE(SUBSTITUTE(SUBSTITUTE(SUBSTITUTE(SUBSTITUTE(SUBSTITUTE(SUBSTITUTE(SUBSTITUTE(SUBSTITUTE(SUBSTITUTE(SUBSTITUTE(SUBSTITUTE(SUBSTITUTE(SUBSTITUTE(SUBSTITUTE(SUBSTITUTE(BO704,"b","a"),"c","a"),"d","a"),"e","a"),"f","a"),"g","a"),"h","a"),"i","a"),"j","a"),"k","a"),"l","a"),"m","a"),"n","a"),"o","a"),"p","a"),"q","a"),"r","a"),"s","a"),"t","a"),"u","a"),"v","a"),"w","a"),"x","a"),"y","a"),"z","a")</f>
        <v/>
      </c>
      <c r="BQ704" s="61" t="n">
        <f aca="false">IFERROR(IF(AND(ISERROR(SEARCH(" mh"," "&amp;LOWER(W704))),ISNA(MATCH(LEFT(TRIM(BP704),255),{"0000a","000a","00a","0000aa","000aa","00aa","0aa","0000aaa","000aaa","00a00","0a00","0000-0000","00:00","a00","a0","00.00.0000","00/00/0000","00-00-0000","0000-00-00","0000/00/00","0000.00.00","00.00.00","00/00/00","00-00-00","0.00.0000","0/00/0000","0-00-0000"},0)),ISNA(MATCH(LEFT(TRIM(CA704),255),{"0000a","000a","00a","0000aa","000aa","00aa","0aa","0000aaa","000aaa","00a00","0a00","0000-0000","00:00","a00","a0","00.00.0000","00/00/0000","00-00-0000","0000-00-00","0000/00/00","0000.00.00","00.00.00","00/00/00","00-00-00","0.00.0000","0/00/0000","0-00-0000"},0)),LEN(CB704)&gt;=3,NOT(OR(SUBSTITUTE(CB704,"0","")="",AND(LEN(CB704)&gt;=4,CB704=REPT(LEFT(CB704),LEN(CB704))),ISNUMBER(MATCH(CB704,{"123","1234","12345","123456","1234567","12345678","0123","01234","012345","98765","987654","54321"},0)),AND(LEN(CB704)=8,LEFT(CB704,3)="202"))),OR(AND((LEN(CA704)-LEN(SUBSTITUTE(CA704,"a","")))&gt;=1,SUMPRODUCT(--ISNUMBER(SEARCH({"a0","a-0","a_0","a/0","a.0","a#0","0a","0-a","0_a","0/a"},BP704)))&gt;0),ISNUMBER(SEARCH("000000",BP704)))),1,0),0)</f>
        <v>0</v>
      </c>
      <c r="BR704" s="61" t="n">
        <f aca="false">IFERROR(LEN(SUBSTITUTE(CC704," ",""))-SUMPRODUCT((LEN(CC704)-LEN(SUBSTITUTE(CC704," "&amp;L_Role&amp;" "," ")))/(LEN(L_Role)+1)*LEN(L_Role)),0)</f>
        <v>0</v>
      </c>
      <c r="BS704" s="61" t="n">
        <f aca="false">IFERROR(LEN(SUBSTITUTE(CD704," ",""))-SUMPRODUCT((LEN(CD704)-LEN(SUBSTITUTE(CD704," "&amp;L_Role&amp;" "," ")))/(LEN(L_Role)+1)*LEN(L_Role)),0)</f>
        <v>0</v>
      </c>
      <c r="BT7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704,"revision",""),"version",""),"jan",""),"feb",""),"mar",""),"apr",""),"may",""),"jun",""),"jul",""),"aug",""),"sep",""),"oct",""),"nov",""),"dec",""),"utc",""),"gmt",""),"myt",""),"bst",""),"rev",""),"ver",""),"b","a"),"c","a"),"d","a"),"e","a"),"f","a"),"g","a"),"h","a"),"i","a"),"j","a"),"k","a"),"l","a"),"m","a"),"n","a"),"o","a"),"p","a"),"q","a"),"r","a"),"s","a"),"t","a"),"u","a"),"v","a"),"w","a"),"x","a"),"y","a"),"z","a")</f>
        <v/>
      </c>
      <c r="BU704" s="61" t="str">
        <f aca="false">SUBSTITUTE(SUBSTITUTE(SUBSTITUTE(SUBSTITUTE(SUBSTITUTE(SUBSTITUTE(SUBSTITUTE(SUBSTITUTE(SUBSTITUTE(SUBSTITUTE(LEFT(BM704,FIND("0",BM704&amp;"0")-1),"-",""),"_",""),"/",""),".",""),"#",""),"\\",""),":","")," ",""),"(",""),")","")</f>
        <v/>
      </c>
      <c r="BV704" s="61" t="n">
        <f aca="false">0</f>
        <v>0</v>
      </c>
      <c r="BW70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704&amp;""),"a",""),"b",""),"c",""),"d",""),"e",""),"f",""),"g",""),"h",""),"i",""),"j",""),"k",""),"l",""),"m",""),"n",""),"o",""),"p",""),"q",""),"r",""),"s",""),"t",""),"u",""),"v",""),"w",""),"x",""),"y",""),"z",""),"-",""),"_",""),"/",""),".",""),"#",""),"\\",""),":","")," ",""),"(",""),")","")</f>
        <v/>
      </c>
      <c r="BX704" s="61" t="str">
        <f aca="false">SUBSTITUTE(SUBSTITUTE(SUBSTITUTE(SUBSTITUTE(SUBSTITUTE(SUBSTITUTE(SUBSTITUTE(SUBSTITUTE(SUBSTITUTE(SUBSTITUTE(SUBSTITUTE(BM704,"0",""),"-",""),"_",""),"/",""),".",""),"#",""),"\\",""),":","")," ",""),"(",""),")","")</f>
        <v/>
      </c>
      <c r="BY704" s="62" t="n">
        <f aca="false">Q704-T7EarlyD*24/24</f>
        <v>46304.6388888889</v>
      </c>
      <c r="BZ704" s="61" t="n">
        <f aca="false">IFERROR(IF(IF(TRIM(S704)="Link / file path",AND(LEN(TRIM(Z704))&gt;=5,SUMPRODUCT(--ISNUMBER(SEARCH({"http","www.","\\",":\",".pdf",".jpg",".jpeg",".png",".heic",".xls",".doc",".msg",".eml",".ppt",".txt",".zip"},Z704)))&gt;0),AND(ISERROR(FIND(" ",TRIM(Z704))),NOT(OR(SUMPRODUCT(--ISNUMBER(FIND({",",";","&amp;","+"},Z704)))&gt;0,SUMPRODUCT(--ISNUMBER(SEARCH({"0/aa","0\\aa"},BN704)))&gt;0)),NOT(SUMPRODUCT(--ISNUMBER(SEARCH({"http","www.","\\",":\",".pdf",".jpg",".jpeg",".png",".heic",".xls",".doc",".msg",".eml",".ppt",".txt",".zip"},Z704)))&gt;0),NOT(LOWER(TRIM(Z704))=LOWER(Flights!$F$26)),ISNA(MATCH(BU704,{"mh","rev","revision","ver","version","v","r","a","b","seat","tray","row","gate","bay","stand","page","pg","item","line","no","cart","galley","flight","flt","table","box","bag","oven","etd","eta","std","sta","atd","ata","qty","pax","x","time","tel","ph","mob","day","wk","week","utc","gmt","myt","lt"},0)),NOT(OR(ISNUMBER(MATCH(LEFT(BN704,255),{"0000a","000a","00a","0000aa","000aa","00aa","0aa","0000aaa","000aaa","00a00","0a00","0000-0000","00:00","a00","a0","00.00.0000","00/00/0000","00-00-0000","0000-00-00","0000/00/00","0000.00.00","00.00.00","00/00/00","00-00-00","0.00.0000","0/00/0000","0-00-0000"},0)),ISNUMBER(MATCH(LEFT(BT704,255),{"0000a","000a","00a","0000aa","000aa","00aa","0aa","0000aaa","000aaa","00a00","0a00","0000-0000","00:00","a00","a0","00.00.0000","00/00/0000","00-00-0000","0000-00-00","0000/00/00","0000.00.00","00.00.00","00/00/00","00-00-00","0.00.0000","0/00/0000","0-00-0000"},0)))),NOT(OR(AND(BW704&lt;&gt;"",SUBSTITUTE(BW704,"0","")=""),AND(LEN(BW704)&gt;=4,BW704=REPT(LEFT(BW704),LEN(BW704))),ISNUMBER(MATCH(BW704,{"123","1234","12345","123456","1234567","12345678","0123","01234","012345","98765","987654","54321"},0)),ISNUMBER(MATCH(BX704,{"x","xx","xxx","xxxx","xxxxx","abc","abcd","nil","na","nan","test","tbc","tba","tbd","dummy","sample","example","eg","zz","zzz","none","null","xyz","qwe","asd","id","ref"},0)),AND(LEN(BW704)=8,BX704="",OR(LEFT(BW704,3)="202",ISNUMBER(MATCH(RIGHT(BW704,4),{"2025","2026","2027"},0)))))),OR(AND((LEN(BT704)-LEN(SUBSTITUTE(BT704,"a","")))&gt;=1,(LEN(BN704)-LEN(SUBSTITUTE(BN704,"0","")))&gt;=2,SUMPRODUCT(--ISNUMBER(SEARCH({"a0","a-0","a_0","a/0","a.0","a#0","0a","0-a","0_a","0/a"},BN704)))&gt;0),AND((LEN(BN704)-LEN(SUBSTITUTE(BN704,"a","")))=0,(LEN(BN704)-LEN(SUBSTITUTE(BN704,"0","")))&gt;=5)))),1,0),0)</f>
        <v>0</v>
      </c>
      <c r="CA7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704,"revision",""),"version",""),"jan",""),"feb",""),"mar",""),"apr",""),"may",""),"jun",""),"jul",""),"aug",""),"sep",""),"oct",""),"nov",""),"dec",""),"utc",""),"gmt",""),"myt",""),"bst",""),"rev",""),"ver",""),"b","a"),"c","a"),"d","a"),"e","a"),"f","a"),"g","a"),"h","a"),"i","a"),"j","a"),"k","a"),"l","a"),"m","a"),"n","a"),"o","a"),"p","a"),"q","a"),"r","a"),"s","a"),"t","a"),"u","a"),"v","a"),"w","a"),"x","a"),"y","a"),"z","a")</f>
        <v/>
      </c>
      <c r="CB70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704&amp;""),"a",""),"b",""),"c",""),"d",""),"e",""),"f",""),"g",""),"h",""),"i",""),"j",""),"k",""),"l",""),"m",""),"n",""),"o",""),"p",""),"q",""),"r",""),"s",""),"t",""),"u",""),"v",""),"w",""),"x",""),"y",""),"z",""),"-",""),"_",""),"/",""),".",""),"#",""),"\\",""),":","")," ",""),"(",""),")","")</f>
        <v/>
      </c>
      <c r="CC704" s="0" t="str">
        <f aca="false">" "&amp;TRIM(SUBSTITUTE(SUBSTITUTE(SUBSTITUTE(SUBSTITUTE(SUBSTITUTE(SUBSTITUTE(SUBSTITUTE(SUBSTITUTE(SUBSTITUTE(SUBSTITUTE(SUBSTITUTE(SUBSTITUTE(SUBSTITUTE(SUBSTITUTE(SUBSTITUTE(SUBSTITUTE(SUBSTITUTE(SUBSTITUTE(SUBSTITUTE(SUBSTITUTE(SUBSTITUTE(SUBSTITUTE(SUBSTITUTE(SUBSTITUTE(LOWER(T704&amp;""),CHAR(10)," "),CHAR(13)," "),CHAR(9)," "),CHAR(160)," "),"."," "),","," "),"-"," "),"/"," "),"("," "),")"," "),":"," "),";"," "),"_"," "),"–"," "),"?"," "),"!"," "),"*"," "),"["," "),"]"," "),"'"," "),"#"," "),"+"," "),"&amp;"," "),"\"," "))&amp;" "</f>
        <v>  </v>
      </c>
      <c r="CD704" s="0" t="str">
        <f aca="false">" "&amp;TRIM(SUBSTITUTE(SUBSTITUTE(SUBSTITUTE(SUBSTITUTE(SUBSTITUTE(SUBSTITUTE(SUBSTITUTE(SUBSTITUTE(SUBSTITUTE(SUBSTITUTE(SUBSTITUTE(SUBSTITUTE(SUBSTITUTE(SUBSTITUTE(SUBSTITUTE(SUBSTITUTE(SUBSTITUTE(SUBSTITUTE(SUBSTITUTE(SUBSTITUTE(SUBSTITUTE(SUBSTITUTE(SUBSTITUTE(SUBSTITUTE(LOWER(AE704&amp;""),CHAR(10)," "),CHAR(13)," "),CHAR(9)," "),CHAR(160)," "),"."," "),","," "),"-"," "),"/"," "),"("," "),")"," "),":"," "),";"," "),"_"," "),"–"," "),"?"," "),"!"," "),"*"," "),"["," "),"]"," "),"'"," "),"#"," "),"+"," "),"&amp;"," "),"\"," "))&amp;" "</f>
        <v>  </v>
      </c>
      <c r="CE704" s="68" t="n">
        <f aca="false">IFERROR(IF(AND(LEN(AU704)&gt;0,LEN(AU704)=LEN(AX704),OR(TRIM(MID(SUBSTITUTE(TRIM(CC704)," ",REPT(" ",60)),1,60))="",ISNUMBER(SEARCH(" "&amp;TRIM(MID(SUBSTITUTE(TRIM(CC704)," ",REPT(" ",60)),1,60))&amp;" ",CD704))),OR(TRIM(MID(SUBSTITUTE(TRIM(CC704)," ",REPT(" ",60)),61,60))="",ISNUMBER(SEARCH(" "&amp;TRIM(MID(SUBSTITUTE(TRIM(CC704)," ",REPT(" ",60)),61,60))&amp;" ",CD704))),OR(TRIM(MID(SUBSTITUTE(TRIM(CC704)," ",REPT(" ",60)),121,60))="",ISNUMBER(SEARCH(" "&amp;TRIM(MID(SUBSTITUTE(TRIM(CC704)," ",REPT(" ",60)),121,60))&amp;" ",CD704)))),1,0),0)</f>
        <v>0</v>
      </c>
      <c r="CG704" s="68" t="n">
        <f aca="false">IFERROR(LEN(SUBSTITUTE(BF704," ",""))-SUMPRODUCT((LEN(BF704)-LEN(SUBSTITUTE(BF704," "&amp;L_NAFiller&amp;" "," ")))/(LEN(L_NAFiller)+1)*LEN(L_NAFiller)),0)</f>
        <v>0</v>
      </c>
    </row>
    <row r="705" customFormat="false" ht="39.75" hidden="false" customHeight="true" outlineLevel="0" collapsed="false">
      <c r="A705" s="57" t="s">
        <v>1439</v>
      </c>
      <c r="B705" s="57" t="s">
        <v>312</v>
      </c>
      <c r="C705" s="57" t="str">
        <f aca="false">Flights!$F$26</f>
        <v>MH0002</v>
      </c>
      <c r="D705" s="58" t="n">
        <f aca="false">Flights!$D$26</f>
        <v>46325</v>
      </c>
      <c r="E705" s="57" t="str">
        <f aca="false">Flights!$G$26&amp;"-"&amp;Flights!$H$26</f>
        <v>KUL-LHR</v>
      </c>
      <c r="F705" s="57" t="str">
        <f aca="false">Flights!$K$26</f>
        <v>BC</v>
      </c>
      <c r="G705" s="57" t="s">
        <v>81</v>
      </c>
      <c r="H705" s="57" t="s">
        <v>378</v>
      </c>
      <c r="I705" s="57" t="s">
        <v>394</v>
      </c>
      <c r="J705" s="57" t="s">
        <v>395</v>
      </c>
      <c r="K705" s="67" t="s">
        <v>396</v>
      </c>
      <c r="L705" s="67" t="s">
        <v>382</v>
      </c>
      <c r="M705" s="67"/>
      <c r="N705" s="67" t="s">
        <v>383</v>
      </c>
      <c r="O705" s="67"/>
      <c r="P705" s="57" t="s">
        <v>187</v>
      </c>
      <c r="Q705" s="59" t="n">
        <f aca="false">ROUND((Flights!$AC$26)*1440,0)/1440</f>
        <v>46318.6388888889</v>
      </c>
      <c r="R705" s="59" t="n">
        <f aca="false">Q705+(IF(AND(INDEX(TZ_DSTS,MATCH(P705,TZ_STN,0))&lt;&gt;"",Q705&gt;=INDEX(TZ_DSTS,MATCH(P705,TZ_STN,0)),Q705&lt;INDEX(TZ_DSTE,MATCH(P705,TZ_STN,0))),INDEX(TZ_DST,MATCH(P705,TZ_STN,0)),INDEX(TZ_STD,MATCH(P705,TZ_STN,0))))/24</f>
        <v>46318.9722222222</v>
      </c>
      <c r="S705" s="60"/>
      <c r="T705" s="60"/>
      <c r="U705" s="60"/>
      <c r="V705" s="60"/>
      <c r="W705" s="61"/>
      <c r="X705" s="60"/>
      <c r="Y705" s="60"/>
      <c r="Z705" s="60"/>
      <c r="AA705" s="60"/>
      <c r="AB705" s="60"/>
      <c r="AC705" s="60"/>
      <c r="AD705" s="66"/>
      <c r="AE705" s="60"/>
      <c r="AF705" s="61" t="str">
        <f aca="false">IF(AND(ISNUMBER(X705),ISNUMBER(Y705)),Y705-X705,"")</f>
        <v/>
      </c>
      <c r="AG705" s="62" t="str">
        <f aca="false">IF(ISNUMBER(AD705),AD705-(IF(AND(INDEX(TZ_DSTS,MATCH(P705,TZ_STN,0))&lt;&gt;"",(AD705-INDEX(TZ_STD,MATCH(P705,TZ_STN,0))/24)&gt;=INDEX(TZ_DSTS,MATCH(P705,TZ_STN,0)),(AD705-INDEX(TZ_STD,MATCH(P705,TZ_STN,0))/24)&lt;INDEX(TZ_DSTE,MATCH(P705,TZ_STN,0))),INDEX(TZ_DST,MATCH(P705,TZ_STN,0)),INDEX(TZ_STD,MATCH(P705,TZ_STN,0))))/24,"")</f>
        <v/>
      </c>
      <c r="AH705" s="65" t="str">
        <f aca="false">IFERROR(IF(N705="N/A – rule",IF(OR(TRIM(U705)="",TRIM(U705)="N/A",TRIM(U705)="Not started"),"N/A – RULE","INVALID – this check does not apply to this aircraft: clear the status (or correct the fleet on Flights)"),IF(TRIM(U705)="N/A",IF(AT705=0,"INVALID – N/A not permitted for this check",IF(AND(TRIM(AB705)&lt;&gt;"",TRIM(AB705)&lt;&gt;"Closed"),"INVALID – corrective action still open",IF(AND(NOT(OR(LEN(AZ705)&lt;15,ISNUMBER(MATCH(AZ705,L_Placeholder,0)))),BK705=0,CG705&gt;=8,NOT(OR(LEN(AU705)&lt;2,ISNUMBER(MATCH(AU705,L_Placeholder,0)))),BR705&gt;=3,NOT(OR(LEN(AX705)&lt;2,ISNUMBER(MATCH(AX705,L_Placeholder,0)))),BS705&gt;=3,TRIM(AE705)&lt;&gt;TRIM(T705),AX705&lt;&gt;AU705,CE705=0),"N/A – JUSTIFIED","INVALID – N/A needs a real, settled reason (not 'not applicable' / 'as above' / TBC), a named PIC and a different named verifier"))),IF(OR(TRIM(U705)="Pass",TRIM(U705)="Pass after CA"),IF(NOT(ISNUMBER(AD705)),"INVALID – completion time missing",IF(OR(OR(LEN(AU705)&lt;2,ISNUMBER(MATCH(AU705,L_Placeholder,0))),BR705&lt;3),"INVALID – PIC missing or not a named person (a role such as QA / CSM is not a name)",IF(OR(LEN(AV705)&lt;2,ISNUMBER(MATCH(AV705,L_Placeholder,0))),"INVALID – result / assessment missing",IF(OR(OR(LEN(AW705)&lt;3,ISNUMBER(MATCH(AW705,L_Placeholder,0))),SUMPRODUCT(--ISNUMBER(SEARCH(" "&amp;L_EvidencePhrase&amp;" ",BD705)))&gt;0,BI705=1),"INVALID – evidence missing, placeholder or not yet on file",IF(ISNA(MATCH(TRIM(S705),L_EvidenceType,0)),"INVALID – choose the evidence type from the list (column S)",IF(BL705=0,"INVALID – evidence ID must be the record's own ID only (e.g. SF-2210, IMG_2231, 1045521); a link / file name needs type 'Link / file path'",IF(OR(OR(LEN(AX705)&lt;2,ISNUMBER(MATCH(AX705,L_Placeholder,0))),BS705&lt;3),"INVALID – verifier missing or not a named person (a role such as QA / CSM is not a name)",IF(OR(AX705=AU705,CE705=1,AND(LEN(AU705)&gt;=4,ISNUMBER(SEARCH(AU705,AX705))),AND(LEN(AX705)&gt;=4,ISNUMBER(SEARCH(AX705,AU705)))),"INVALID – verifier must be a different, named person (not the PIC or a role)",IF(BH705=1,"INVALID – result not yet available (awaiting / TBC)",IF(BG705=1,"INVALID – result describes a problem: record Fail, then Pass after CA (or reword if it is not a problem)",IF(BV705=1,"INVALID – wording says not on board: an on-board confirmation needs the item loaded",IF(AND(AQ705=1,OR(OR(LEN(AY705)&lt;3,ISNUMBER(MATCH(AY705,L_Placeholder,0))),BJ705=1,BQ705=0)),"INVALID – batch ID missing, placeholder or not an ID (e.g. PASB-261008-BC-017)",IF(AND(AR705=1,OR(NOT(ISNUMBER(X705)),NOT(ISNUMBER(Y705)))),"INVALID – expected/actual qty missing",IF(AND(AR705=1,OR(X705&lt;=0,Y705&lt;0)),"INVALID – expected qty must be above 0 and actual not negative",IF(BB705&lt;&gt;"",BB705,IF(AND(AS705=1,Documents!$J$26&lt;&gt;"ON FILE"),"INVALID – GLD not on file (Documents sheet)",IF(AND(AS705=2,Documents!$O$26&lt;&gt;"ON FILE"),"INVALID – menu checklist not on file (Documents sheet)",IF(AND(AS705=3,NOT(ISNUMBER(Flights!$AX$26))),"INVALID – enter carrying flight KUL departure (Flights AX)",IF(AND(AS705=3,OR(Flights!$AZ$26&gt;Flights!$AA$26,Flights!$AX$26&lt;Flights!$AA$26-3)),"INVALID – carrying flight (Flights AX) cannot arrive before this leg's STD, or is over 3 days early",IF(AG705&gt;AsOfUTC,"INVALID – completion time is in the future",IF(AND(ISNUMBER(BY705),AG705&lt;BY705),IF(H705="Physical uplift","INVALID – before uplift window (cannot confirm loading)","INVALID – before valid window"),IF(AG705&gt;Flights!$AA$26,"INVALID – completed after departure (cannot establish readiness)",IF(AND(H705="Preparation",AG705&gt;=IF(ISNUMBER(Flights!$BA$26),MIN(Flights!$BA$26,Flights!$AA$26),Flights!$AA$26)),"INVALID – completed after loading / departure (cannot establish readiness)",IF(AND(H705="Physical uplift",AG705&gt;Q705),"INVALID – recorded after the loading flight departed",IF(AG705&gt;Q705,"COMPLETE – LATE","COMPLETE"))))))))))))))))))))))))),IF(TRIM(U705)="Fail","FAIL – DISCREPANCY",IF(AND(TRIM(U705)&lt;&gt;"",TRIM(U705)&lt;&gt;"Not started",TRIM(U705)&lt;&gt;"In progress"),"INVALID – unrecognised status (use the list)",IF(AsOfUTC&gt;Q705,"OVERDUE",IF(N705="Clarification required","OPEN – CLARIFICATION","OPEN"))))))),"INVALID – error value in an input cell")</f>
        <v>OPEN</v>
      </c>
      <c r="AI705" s="61" t="n">
        <f aca="false">IF(OR(AH705="N/A – RULE",AH705="N/A – JUSTIFIED"),0,1)</f>
        <v>1</v>
      </c>
      <c r="AJ705" s="61" t="n">
        <f aca="false">IF(LEFT(AH705,8)="COMPLETE",1,0)</f>
        <v>0</v>
      </c>
      <c r="AK705" s="61" t="n">
        <f aca="false">IF(AND(AI705=1,AJ705=0,AsOfUTC&gt;Q705),1,0)</f>
        <v>0</v>
      </c>
      <c r="AL705" s="61" t="n">
        <f aca="false">IFERROR(IF(AND(AI705=1,OR(TRIM(U705)="Fail",AND(TRIM(AB705)&lt;&gt;"",TRIM(AB705)&lt;&gt;"Closed"),AND(ISNUMBER(AF705),AF705&lt;&gt;0,TRIM(U705)&lt;&gt;"Pass after CA"))),1,0),1)</f>
        <v>0</v>
      </c>
      <c r="AM705" s="61" t="n">
        <f aca="false">IF(LEFT(AH705,7)="INVALID",1,0)</f>
        <v>0</v>
      </c>
      <c r="AN705" s="61" t="n">
        <f aca="false">IF(AND(N705="Clarification required",AI705=1,AJ705=0),1,0)</f>
        <v>0</v>
      </c>
      <c r="AO705" s="61" t="str">
        <f aca="false">IF(AK705=1,SUM(AK$5:AK705),"")</f>
        <v/>
      </c>
      <c r="AP705" s="61" t="str">
        <f aca="false">IF(AL705=1,SUM(AL$5:AL705),"")</f>
        <v/>
      </c>
      <c r="AQ705" s="61" t="n">
        <v>0</v>
      </c>
      <c r="AR705" s="61" t="n">
        <v>0</v>
      </c>
      <c r="AS705" s="61" t="n">
        <v>0</v>
      </c>
      <c r="AT705" s="61" t="n">
        <v>0</v>
      </c>
      <c r="AU705" s="61" t="str">
        <f aca="false">SUBSTITUTE(SUBSTITUTE(SUBSTITUTE(SUBSTITUTE(SUBSTITUTE(SUBSTITUTE(SUBSTITUTE(SUBSTITUTE(SUBSTITUTE(SUBSTITUTE(SUBSTITUTE(SUBSTITUTE(SUBSTITUTE(SUBSTITUTE(SUBSTITUTE(SUBSTITUTE(LOWER(T705&amp;""),CHAR(10),""),CHAR(13),""),CHAR(9),""),CHAR(160),"")," ",""),".",""),"-",""),"/",""),"?",""),"_",""),",",""),"[",""),"]",""),"(",""),")",""),"*","")</f>
        <v/>
      </c>
      <c r="AV705" s="61" t="str">
        <f aca="false">SUBSTITUTE(SUBSTITUTE(SUBSTITUTE(SUBSTITUTE(SUBSTITUTE(SUBSTITUTE(SUBSTITUTE(SUBSTITUTE(SUBSTITUTE(SUBSTITUTE(SUBSTITUTE(SUBSTITUTE(SUBSTITUTE(SUBSTITUTE(SUBSTITUTE(SUBSTITUTE(LOWER(V705&amp;""),CHAR(10),""),CHAR(13),""),CHAR(9),""),CHAR(160),"")," ",""),".",""),"-",""),"/",""),"?",""),"_",""),",",""),"[",""),"]",""),"(",""),")",""),"*","")</f>
        <v/>
      </c>
      <c r="AW705" s="61" t="str">
        <f aca="false">SUBSTITUTE(SUBSTITUTE(SUBSTITUTE(SUBSTITUTE(SUBSTITUTE(SUBSTITUTE(SUBSTITUTE(SUBSTITUTE(SUBSTITUTE(SUBSTITUTE(SUBSTITUTE(SUBSTITUTE(SUBSTITUTE(SUBSTITUTE(SUBSTITUTE(SUBSTITUTE(LOWER(Z705&amp;""),CHAR(10),""),CHAR(13),""),CHAR(9),""),CHAR(160),"")," ",""),".",""),"-",""),"/",""),"?",""),"_",""),",",""),"[",""),"]",""),"(",""),")",""),"*","")</f>
        <v/>
      </c>
      <c r="AX705" s="61" t="str">
        <f aca="false">SUBSTITUTE(SUBSTITUTE(SUBSTITUTE(SUBSTITUTE(SUBSTITUTE(SUBSTITUTE(SUBSTITUTE(SUBSTITUTE(SUBSTITUTE(SUBSTITUTE(SUBSTITUTE(SUBSTITUTE(SUBSTITUTE(SUBSTITUTE(SUBSTITUTE(SUBSTITUTE(LOWER(AE705&amp;""),CHAR(10),""),CHAR(13),""),CHAR(9),""),CHAR(160),"")," ",""),".",""),"-",""),"/",""),"?",""),"_",""),",",""),"[",""),"]",""),"(",""),")",""),"*","")</f>
        <v/>
      </c>
      <c r="AY705" s="61" t="str">
        <f aca="false">SUBSTITUTE(SUBSTITUTE(SUBSTITUTE(SUBSTITUTE(SUBSTITUTE(SUBSTITUTE(SUBSTITUTE(SUBSTITUTE(SUBSTITUTE(SUBSTITUTE(SUBSTITUTE(SUBSTITUTE(SUBSTITUTE(SUBSTITUTE(SUBSTITUTE(SUBSTITUTE(LOWER(W705&amp;""),CHAR(10),""),CHAR(13),""),CHAR(9),""),CHAR(160),"")," ",""),".",""),"-",""),"/",""),"?",""),"_",""),",",""),"[",""),"]",""),"(",""),")",""),"*","")</f>
        <v/>
      </c>
      <c r="AZ705" s="61" t="str">
        <f aca="false">SUBSTITUTE(SUBSTITUTE(SUBSTITUTE(SUBSTITUTE(SUBSTITUTE(SUBSTITUTE(SUBSTITUTE(SUBSTITUTE(SUBSTITUTE(SUBSTITUTE(SUBSTITUTE(SUBSTITUTE(SUBSTITUTE(SUBSTITUTE(SUBSTITUTE(SUBSTITUTE(LOWER(AC705&amp;""),CHAR(10),""),CHAR(13),""),CHAR(9),""),CHAR(160),"")," ",""),".",""),"-",""),"/",""),"?",""),"_",""),",",""),"[",""),"]",""),"(",""),")",""),"*","")</f>
        <v/>
      </c>
      <c r="BA705" s="61" t="str">
        <f aca="false">SUBSTITUTE(SUBSTITUTE(SUBSTITUTE(SUBSTITUTE(SUBSTITUTE(SUBSTITUTE(SUBSTITUTE(SUBSTITUTE(SUBSTITUTE(SUBSTITUTE(SUBSTITUTE(SUBSTITUTE(SUBSTITUTE(SUBSTITUTE(SUBSTITUTE(SUBSTITUTE(LOWER(AA705&amp;""),CHAR(10),""),CHAR(13),""),CHAR(9),""),CHAR(160),"")," ",""),".",""),"-",""),"/",""),"?",""),"_",""),",",""),"[",""),"]",""),"(",""),")",""),"*","")</f>
        <v/>
      </c>
      <c r="BB705" s="61" t="str">
        <f aca="false">IF(AND(TRIM(U705)="Pass",ISNUMBER(AF705)),IF(AF705&lt;&gt;0,"INVALID – qty variance: use Fail or Pass after CA",""),"")&amp;IF(AND(TRIM(U705)="Pass after CA",ISNUMBER(AF705)),IF(AF705&lt;&gt;0,"INVALID – after the corrective action the actual qty must equal expected (update Actual)",""),"")&amp;IF(AND(TRIM(U705)="Pass",TRIM(AB705)&lt;&gt;"",TRIM(AB705)&lt;&gt;"Closed"),"INVALID – corrective action not closed: use Fail, then Pass after CA","")&amp;IF(AND(LEN(BA705)&gt;=2,ISNA(MATCH(LEFT(BA705,255),L_Placeholder,0)),TRIM(AB705)=""),"INVALID – CA status missing for the recorded corrective action","")&amp;IF(AND(TRIM(U705)="Pass after CA",OR(OR(LEN(BA705)&lt;5,ISNUMBER(MATCH(BA705,L_Placeholder,0))),TRIM(AB705)&lt;&gt;"Closed")),"INVALID – corrective action not recorded/closed","")</f>
        <v/>
      </c>
      <c r="BC705" s="61" t="str">
        <f aca="false">" "&amp;TRIM(SUBSTITUTE(SUBSTITUTE(SUBSTITUTE(SUBSTITUTE(SUBSTITUTE(SUBSTITUTE(SUBSTITUTE(SUBSTITUTE(SUBSTITUTE(SUBSTITUTE(SUBSTITUTE(SUBSTITUTE(SUBSTITUTE(SUBSTITUTE(SUBSTITUTE(SUBSTITUTE(SUBSTITUTE(SUBSTITUTE(SUBSTITUTE(SUBSTITUTE(SUBSTITUTE(SUBSTITUTE(SUBSTITUTE(SUBSTITUTE(LOWER(V705&amp;""),CHAR(10)," "),CHAR(13)," "),CHAR(9)," "),CHAR(160)," "),"."," "),","," "),"-"," "),"/"," "),"("," "),")"," "),":"," "),";"," "),"_"," "),"–"," "),"?"," "),"!"," "),"*"," "),"["," "),"]"," "),"'"," "),"#"," "),"+"," "),"&amp;"," "),"\"," "))&amp;" "</f>
        <v>  </v>
      </c>
      <c r="BD705" s="61" t="str">
        <f aca="false">" "&amp;TRIM(SUBSTITUTE(SUBSTITUTE(SUBSTITUTE(SUBSTITUTE(SUBSTITUTE(SUBSTITUTE(SUBSTITUTE(SUBSTITUTE(SUBSTITUTE(SUBSTITUTE(SUBSTITUTE(SUBSTITUTE(SUBSTITUTE(SUBSTITUTE(SUBSTITUTE(SUBSTITUTE(SUBSTITUTE(SUBSTITUTE(SUBSTITUTE(SUBSTITUTE(SUBSTITUTE(SUBSTITUTE(SUBSTITUTE(SUBSTITUTE(LOWER(Z705&amp;""),CHAR(10)," "),CHAR(13)," "),CHAR(9)," "),CHAR(160)," "),"."," "),","," "),"-"," "),"/"," "),"("," "),")"," "),":"," "),";"," "),"_"," "),"–"," "),"?"," "),"!"," "),"*"," "),"["," "),"]"," "),"'"," "),"#"," "),"+"," "),"&amp;"," "),"\"," "))&amp;" "</f>
        <v>  </v>
      </c>
      <c r="BE705" s="61" t="str">
        <f aca="false">" "&amp;TRIM(SUBSTITUTE(SUBSTITUTE(SUBSTITUTE(SUBSTITUTE(SUBSTITUTE(SUBSTITUTE(SUBSTITUTE(SUBSTITUTE(SUBSTITUTE(SUBSTITUTE(SUBSTITUTE(SUBSTITUTE(SUBSTITUTE(SUBSTITUTE(SUBSTITUTE(SUBSTITUTE(SUBSTITUTE(SUBSTITUTE(SUBSTITUTE(SUBSTITUTE(SUBSTITUTE(SUBSTITUTE(SUBSTITUTE(SUBSTITUTE(LOWER(W705&amp;""),CHAR(10)," "),CHAR(13)," "),CHAR(9)," "),CHAR(160)," "),"."," "),","," "),"-"," "),"/"," "),"("," "),")"," "),":"," "),";"," "),"_"," "),"–"," "),"?"," "),"!"," "),"*"," "),"["," "),"]"," "),"'"," "),"#"," "),"+"," "),"&amp;"," "),"\"," "))&amp;" "</f>
        <v>  </v>
      </c>
      <c r="BF705" s="61" t="str">
        <f aca="false">" "&amp;TRIM(SUBSTITUTE(SUBSTITUTE(SUBSTITUTE(SUBSTITUTE(SUBSTITUTE(SUBSTITUTE(SUBSTITUTE(SUBSTITUTE(SUBSTITUTE(SUBSTITUTE(SUBSTITUTE(SUBSTITUTE(SUBSTITUTE(SUBSTITUTE(SUBSTITUTE(SUBSTITUTE(SUBSTITUTE(SUBSTITUTE(SUBSTITUTE(SUBSTITUTE(SUBSTITUTE(SUBSTITUTE(SUBSTITUTE(SUBSTITUTE(LOWER(AC705&amp;""),CHAR(10)," "),CHAR(13)," "),CHAR(9)," "),CHAR(160)," "),"."," "),","," "),"-"," "),"/"," "),"("," "),")"," "),":"," "),";"," "),"_"," "),"–"," "),"?"," "),"!"," "),"*"," "),"["," "),"]"," "),"'"," "),"#"," "),"+"," "),"&amp;"," "),"\"," "))&amp;" "</f>
        <v>  </v>
      </c>
      <c r="BG705" s="61" t="n">
        <f aca="false">IFERROR(IF(AND(TRIM(U705)="Pass",SUMPRODUCT((LEN(BC705)-LEN(SUBSTITUTE(BC705," "&amp;L_ResultBad&amp;" "," ")))/(LEN(L_ResultBad)+1))&gt;SUMPRODUCT((LEN(BC705)-LEN(SUBSTITUTE(BC705," "&amp;L_NegPhrase&amp;" "," ")))/(LEN(L_NegPhrase)+1))),1,0),0)</f>
        <v>0</v>
      </c>
      <c r="BH705" s="61" t="n">
        <f aca="false">IFERROR(IF(SUMPRODUCT((LEN(BC705)-LEN(SUBSTITUTE(BC705," "&amp;L_Pending&amp;" "," ")))/(LEN(L_Pending)+1))&gt;SUMPRODUCT((LEN(BC705)-LEN(SUBSTITUTE(BC705," "&amp;L_PendNeg&amp;" "," ")))/(LEN(L_PendNeg)+1))+SUMPRODUCT((LEN(BC705)-LEN(SUBSTITUTE(BC705," "&amp;L_PendPrep&amp;" "," ")))/(LEN(L_PendPrep)+1)),1,0),1)</f>
        <v>0</v>
      </c>
      <c r="BI705" s="61" t="n">
        <f aca="false">IFERROR(IF(SUMPRODUCT((LEN(BD705)-LEN(SUBSTITUTE(BD705," "&amp;L_PendStrict&amp;" "," ")))/(LEN(L_PendStrict)+1))&gt;SUMPRODUCT((LEN(BD705)-LEN(SUBSTITUTE(BD705," "&amp;L_PendNeg&amp;" "," ")))/(LEN(L_PendNeg)+1)),1,0),1)</f>
        <v>0</v>
      </c>
      <c r="BJ705" s="61" t="n">
        <f aca="false">IFERROR(IF(SUMPRODUCT((LEN(BE705)-LEN(SUBSTITUTE(BE705," "&amp;L_Pending&amp;" "," ")))/(LEN(L_Pending)+1))&gt;SUMPRODUCT((LEN(BE705)-LEN(SUBSTITUTE(BE705," "&amp;L_PendNeg&amp;" "," ")))/(LEN(L_PendNeg)+1))+SUMPRODUCT((LEN(BE705)-LEN(SUBSTITUTE(BE705," "&amp;L_PendPrep&amp;" "," ")))/(LEN(L_PendPrep)+1)),1,0),1)</f>
        <v>0</v>
      </c>
      <c r="BK705" s="61" t="n">
        <f aca="false">IFERROR(IF(SUMPRODUCT((LEN(BF705)-LEN(SUBSTITUTE(BF705," "&amp;L_PendStrict&amp;" "," ")))/(LEN(L_PendStrict)+1))&gt;SUMPRODUCT((LEN(BF705)-LEN(SUBSTITUTE(BF705," "&amp;L_PendNeg&amp;" "," ")))/(LEN(L_PendNeg)+1)),1,0),1)</f>
        <v>0</v>
      </c>
      <c r="BL705" s="61" t="n">
        <f aca="false">IF(ISNA(MATCH(TRIM(S705),L_EvidenceType,0)),0,BZ705)</f>
        <v>0</v>
      </c>
      <c r="BM705" s="61" t="str">
        <f aca="false">SUBSTITUTE(SUBSTITUTE(SUBSTITUTE(SUBSTITUTE(SUBSTITUTE(SUBSTITUTE(SUBSTITUTE(SUBSTITUTE(SUBSTITUTE(LOWER(Z705&amp;""),"1","0"),"2","0"),"3","0"),"4","0"),"5","0"),"6","0"),"7","0"),"8","0"),"9","0")</f>
        <v/>
      </c>
      <c r="BN705" s="61" t="str">
        <f aca="false">SUBSTITUTE(SUBSTITUTE(SUBSTITUTE(SUBSTITUTE(SUBSTITUTE(SUBSTITUTE(SUBSTITUTE(SUBSTITUTE(SUBSTITUTE(SUBSTITUTE(SUBSTITUTE(SUBSTITUTE(SUBSTITUTE(SUBSTITUTE(SUBSTITUTE(SUBSTITUTE(SUBSTITUTE(SUBSTITUTE(SUBSTITUTE(SUBSTITUTE(SUBSTITUTE(SUBSTITUTE(SUBSTITUTE(SUBSTITUTE(SUBSTITUTE(BM705,"b","a"),"c","a"),"d","a"),"e","a"),"f","a"),"g","a"),"h","a"),"i","a"),"j","a"),"k","a"),"l","a"),"m","a"),"n","a"),"o","a"),"p","a"),"q","a"),"r","a"),"s","a"),"t","a"),"u","a"),"v","a"),"w","a"),"x","a"),"y","a"),"z","a")</f>
        <v/>
      </c>
      <c r="BO705" s="61" t="str">
        <f aca="false">SUBSTITUTE(SUBSTITUTE(SUBSTITUTE(SUBSTITUTE(SUBSTITUTE(SUBSTITUTE(SUBSTITUTE(SUBSTITUTE(SUBSTITUTE(LOWER(W705&amp;""),"1","0"),"2","0"),"3","0"),"4","0"),"5","0"),"6","0"),"7","0"),"8","0"),"9","0")</f>
        <v/>
      </c>
      <c r="BP705" s="61" t="str">
        <f aca="false">SUBSTITUTE(SUBSTITUTE(SUBSTITUTE(SUBSTITUTE(SUBSTITUTE(SUBSTITUTE(SUBSTITUTE(SUBSTITUTE(SUBSTITUTE(SUBSTITUTE(SUBSTITUTE(SUBSTITUTE(SUBSTITUTE(SUBSTITUTE(SUBSTITUTE(SUBSTITUTE(SUBSTITUTE(SUBSTITUTE(SUBSTITUTE(SUBSTITUTE(SUBSTITUTE(SUBSTITUTE(SUBSTITUTE(SUBSTITUTE(SUBSTITUTE(BO705,"b","a"),"c","a"),"d","a"),"e","a"),"f","a"),"g","a"),"h","a"),"i","a"),"j","a"),"k","a"),"l","a"),"m","a"),"n","a"),"o","a"),"p","a"),"q","a"),"r","a"),"s","a"),"t","a"),"u","a"),"v","a"),"w","a"),"x","a"),"y","a"),"z","a")</f>
        <v/>
      </c>
      <c r="BQ705" s="61" t="n">
        <f aca="false">IFERROR(IF(AND(ISERROR(SEARCH(" mh"," "&amp;LOWER(W705))),ISNA(MATCH(LEFT(TRIM(BP705),255),{"0000a","000a","00a","0000aa","000aa","00aa","0aa","0000aaa","000aaa","00a00","0a00","0000-0000","00:00","a00","a0","00.00.0000","00/00/0000","00-00-0000","0000-00-00","0000/00/00","0000.00.00","00.00.00","00/00/00","00-00-00","0.00.0000","0/00/0000","0-00-0000"},0)),ISNA(MATCH(LEFT(TRIM(CA705),255),{"0000a","000a","00a","0000aa","000aa","00aa","0aa","0000aaa","000aaa","00a00","0a00","0000-0000","00:00","a00","a0","00.00.0000","00/00/0000","00-00-0000","0000-00-00","0000/00/00","0000.00.00","00.00.00","00/00/00","00-00-00","0.00.0000","0/00/0000","0-00-0000"},0)),LEN(CB705)&gt;=3,NOT(OR(SUBSTITUTE(CB705,"0","")="",AND(LEN(CB705)&gt;=4,CB705=REPT(LEFT(CB705),LEN(CB705))),ISNUMBER(MATCH(CB705,{"123","1234","12345","123456","1234567","12345678","0123","01234","012345","98765","987654","54321"},0)),AND(LEN(CB705)=8,LEFT(CB705,3)="202"))),OR(AND((LEN(CA705)-LEN(SUBSTITUTE(CA705,"a","")))&gt;=1,SUMPRODUCT(--ISNUMBER(SEARCH({"a0","a-0","a_0","a/0","a.0","a#0","0a","0-a","0_a","0/a"},BP705)))&gt;0),ISNUMBER(SEARCH("000000",BP705)))),1,0),0)</f>
        <v>0</v>
      </c>
      <c r="BR705" s="61" t="n">
        <f aca="false">IFERROR(LEN(SUBSTITUTE(CC705," ",""))-SUMPRODUCT((LEN(CC705)-LEN(SUBSTITUTE(CC705," "&amp;L_Role&amp;" "," ")))/(LEN(L_Role)+1)*LEN(L_Role)),0)</f>
        <v>0</v>
      </c>
      <c r="BS705" s="61" t="n">
        <f aca="false">IFERROR(LEN(SUBSTITUTE(CD705," ",""))-SUMPRODUCT((LEN(CD705)-LEN(SUBSTITUTE(CD705," "&amp;L_Role&amp;" "," ")))/(LEN(L_Role)+1)*LEN(L_Role)),0)</f>
        <v>0</v>
      </c>
      <c r="BT7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705,"revision",""),"version",""),"jan",""),"feb",""),"mar",""),"apr",""),"may",""),"jun",""),"jul",""),"aug",""),"sep",""),"oct",""),"nov",""),"dec",""),"utc",""),"gmt",""),"myt",""),"bst",""),"rev",""),"ver",""),"b","a"),"c","a"),"d","a"),"e","a"),"f","a"),"g","a"),"h","a"),"i","a"),"j","a"),"k","a"),"l","a"),"m","a"),"n","a"),"o","a"),"p","a"),"q","a"),"r","a"),"s","a"),"t","a"),"u","a"),"v","a"),"w","a"),"x","a"),"y","a"),"z","a")</f>
        <v/>
      </c>
      <c r="BU705" s="61" t="str">
        <f aca="false">SUBSTITUTE(SUBSTITUTE(SUBSTITUTE(SUBSTITUTE(SUBSTITUTE(SUBSTITUTE(SUBSTITUTE(SUBSTITUTE(SUBSTITUTE(SUBSTITUTE(LEFT(BM705,FIND("0",BM705&amp;"0")-1),"-",""),"_",""),"/",""),".",""),"#",""),"\\",""),":","")," ",""),"(",""),")","")</f>
        <v/>
      </c>
      <c r="BV705" s="61" t="n">
        <f aca="false">0</f>
        <v>0</v>
      </c>
      <c r="BW70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705&amp;""),"a",""),"b",""),"c",""),"d",""),"e",""),"f",""),"g",""),"h",""),"i",""),"j",""),"k",""),"l",""),"m",""),"n",""),"o",""),"p",""),"q",""),"r",""),"s",""),"t",""),"u",""),"v",""),"w",""),"x",""),"y",""),"z",""),"-",""),"_",""),"/",""),".",""),"#",""),"\\",""),":","")," ",""),"(",""),")","")</f>
        <v/>
      </c>
      <c r="BX705" s="61" t="str">
        <f aca="false">SUBSTITUTE(SUBSTITUTE(SUBSTITUTE(SUBSTITUTE(SUBSTITUTE(SUBSTITUTE(SUBSTITUTE(SUBSTITUTE(SUBSTITUTE(SUBSTITUTE(SUBSTITUTE(BM705,"0",""),"-",""),"_",""),"/",""),".",""),"#",""),"\\",""),":","")," ",""),"(",""),")","")</f>
        <v/>
      </c>
      <c r="BY705" s="62" t="n">
        <f aca="false">Q705-T7EarlyD*24/24</f>
        <v>46304.6388888889</v>
      </c>
      <c r="BZ705" s="61" t="n">
        <f aca="false">IFERROR(IF(IF(TRIM(S705)="Link / file path",AND(LEN(TRIM(Z705))&gt;=5,SUMPRODUCT(--ISNUMBER(SEARCH({"http","www.","\\",":\",".pdf",".jpg",".jpeg",".png",".heic",".xls",".doc",".msg",".eml",".ppt",".txt",".zip"},Z705)))&gt;0),AND(ISERROR(FIND(" ",TRIM(Z705))),NOT(OR(SUMPRODUCT(--ISNUMBER(FIND({",",";","&amp;","+"},Z705)))&gt;0,SUMPRODUCT(--ISNUMBER(SEARCH({"0/aa","0\\aa"},BN705)))&gt;0)),NOT(SUMPRODUCT(--ISNUMBER(SEARCH({"http","www.","\\",":\",".pdf",".jpg",".jpeg",".png",".heic",".xls",".doc",".msg",".eml",".ppt",".txt",".zip"},Z705)))&gt;0),NOT(LOWER(TRIM(Z705))=LOWER(Flights!$F$26)),ISNA(MATCH(BU705,{"mh","rev","revision","ver","version","v","r","a","b","seat","tray","row","gate","bay","stand","page","pg","item","line","no","cart","galley","flight","flt","table","box","bag","oven","etd","eta","std","sta","atd","ata","qty","pax","x","time","tel","ph","mob","day","wk","week","utc","gmt","myt","lt"},0)),NOT(OR(ISNUMBER(MATCH(LEFT(BN705,255),{"0000a","000a","00a","0000aa","000aa","00aa","0aa","0000aaa","000aaa","00a00","0a00","0000-0000","00:00","a00","a0","00.00.0000","00/00/0000","00-00-0000","0000-00-00","0000/00/00","0000.00.00","00.00.00","00/00/00","00-00-00","0.00.0000","0/00/0000","0-00-0000"},0)),ISNUMBER(MATCH(LEFT(BT705,255),{"0000a","000a","00a","0000aa","000aa","00aa","0aa","0000aaa","000aaa","00a00","0a00","0000-0000","00:00","a00","a0","00.00.0000","00/00/0000","00-00-0000","0000-00-00","0000/00/00","0000.00.00","00.00.00","00/00/00","00-00-00","0.00.0000","0/00/0000","0-00-0000"},0)))),NOT(OR(AND(BW705&lt;&gt;"",SUBSTITUTE(BW705,"0","")=""),AND(LEN(BW705)&gt;=4,BW705=REPT(LEFT(BW705),LEN(BW705))),ISNUMBER(MATCH(BW705,{"123","1234","12345","123456","1234567","12345678","0123","01234","012345","98765","987654","54321"},0)),ISNUMBER(MATCH(BX705,{"x","xx","xxx","xxxx","xxxxx","abc","abcd","nil","na","nan","test","tbc","tba","tbd","dummy","sample","example","eg","zz","zzz","none","null","xyz","qwe","asd","id","ref"},0)),AND(LEN(BW705)=8,BX705="",OR(LEFT(BW705,3)="202",ISNUMBER(MATCH(RIGHT(BW705,4),{"2025","2026","2027"},0)))))),OR(AND((LEN(BT705)-LEN(SUBSTITUTE(BT705,"a","")))&gt;=1,(LEN(BN705)-LEN(SUBSTITUTE(BN705,"0","")))&gt;=2,SUMPRODUCT(--ISNUMBER(SEARCH({"a0","a-0","a_0","a/0","a.0","a#0","0a","0-a","0_a","0/a"},BN705)))&gt;0),AND((LEN(BN705)-LEN(SUBSTITUTE(BN705,"a","")))=0,(LEN(BN705)-LEN(SUBSTITUTE(BN705,"0","")))&gt;=5)))),1,0),0)</f>
        <v>0</v>
      </c>
      <c r="CA7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705,"revision",""),"version",""),"jan",""),"feb",""),"mar",""),"apr",""),"may",""),"jun",""),"jul",""),"aug",""),"sep",""),"oct",""),"nov",""),"dec",""),"utc",""),"gmt",""),"myt",""),"bst",""),"rev",""),"ver",""),"b","a"),"c","a"),"d","a"),"e","a"),"f","a"),"g","a"),"h","a"),"i","a"),"j","a"),"k","a"),"l","a"),"m","a"),"n","a"),"o","a"),"p","a"),"q","a"),"r","a"),"s","a"),"t","a"),"u","a"),"v","a"),"w","a"),"x","a"),"y","a"),"z","a")</f>
        <v/>
      </c>
      <c r="CB70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705&amp;""),"a",""),"b",""),"c",""),"d",""),"e",""),"f",""),"g",""),"h",""),"i",""),"j",""),"k",""),"l",""),"m",""),"n",""),"o",""),"p",""),"q",""),"r",""),"s",""),"t",""),"u",""),"v",""),"w",""),"x",""),"y",""),"z",""),"-",""),"_",""),"/",""),".",""),"#",""),"\\",""),":","")," ",""),"(",""),")","")</f>
        <v/>
      </c>
      <c r="CC705" s="0" t="str">
        <f aca="false">" "&amp;TRIM(SUBSTITUTE(SUBSTITUTE(SUBSTITUTE(SUBSTITUTE(SUBSTITUTE(SUBSTITUTE(SUBSTITUTE(SUBSTITUTE(SUBSTITUTE(SUBSTITUTE(SUBSTITUTE(SUBSTITUTE(SUBSTITUTE(SUBSTITUTE(SUBSTITUTE(SUBSTITUTE(SUBSTITUTE(SUBSTITUTE(SUBSTITUTE(SUBSTITUTE(SUBSTITUTE(SUBSTITUTE(SUBSTITUTE(SUBSTITUTE(LOWER(T705&amp;""),CHAR(10)," "),CHAR(13)," "),CHAR(9)," "),CHAR(160)," "),"."," "),","," "),"-"," "),"/"," "),"("," "),")"," "),":"," "),";"," "),"_"," "),"–"," "),"?"," "),"!"," "),"*"," "),"["," "),"]"," "),"'"," "),"#"," "),"+"," "),"&amp;"," "),"\"," "))&amp;" "</f>
        <v>  </v>
      </c>
      <c r="CD705" s="0" t="str">
        <f aca="false">" "&amp;TRIM(SUBSTITUTE(SUBSTITUTE(SUBSTITUTE(SUBSTITUTE(SUBSTITUTE(SUBSTITUTE(SUBSTITUTE(SUBSTITUTE(SUBSTITUTE(SUBSTITUTE(SUBSTITUTE(SUBSTITUTE(SUBSTITUTE(SUBSTITUTE(SUBSTITUTE(SUBSTITUTE(SUBSTITUTE(SUBSTITUTE(SUBSTITUTE(SUBSTITUTE(SUBSTITUTE(SUBSTITUTE(SUBSTITUTE(SUBSTITUTE(LOWER(AE705&amp;""),CHAR(10)," "),CHAR(13)," "),CHAR(9)," "),CHAR(160)," "),"."," "),","," "),"-"," "),"/"," "),"("," "),")"," "),":"," "),";"," "),"_"," "),"–"," "),"?"," "),"!"," "),"*"," "),"["," "),"]"," "),"'"," "),"#"," "),"+"," "),"&amp;"," "),"\"," "))&amp;" "</f>
        <v>  </v>
      </c>
      <c r="CE705" s="68" t="n">
        <f aca="false">IFERROR(IF(AND(LEN(AU705)&gt;0,LEN(AU705)=LEN(AX705),OR(TRIM(MID(SUBSTITUTE(TRIM(CC705)," ",REPT(" ",60)),1,60))="",ISNUMBER(SEARCH(" "&amp;TRIM(MID(SUBSTITUTE(TRIM(CC705)," ",REPT(" ",60)),1,60))&amp;" ",CD705))),OR(TRIM(MID(SUBSTITUTE(TRIM(CC705)," ",REPT(" ",60)),61,60))="",ISNUMBER(SEARCH(" "&amp;TRIM(MID(SUBSTITUTE(TRIM(CC705)," ",REPT(" ",60)),61,60))&amp;" ",CD705))),OR(TRIM(MID(SUBSTITUTE(TRIM(CC705)," ",REPT(" ",60)),121,60))="",ISNUMBER(SEARCH(" "&amp;TRIM(MID(SUBSTITUTE(TRIM(CC705)," ",REPT(" ",60)),121,60))&amp;" ",CD705)))),1,0),0)</f>
        <v>0</v>
      </c>
      <c r="CG705" s="68" t="n">
        <f aca="false">IFERROR(LEN(SUBSTITUTE(BF705," ",""))-SUMPRODUCT((LEN(BF705)-LEN(SUBSTITUTE(BF705," "&amp;L_NAFiller&amp;" "," ")))/(LEN(L_NAFiller)+1)*LEN(L_NAFiller)),0)</f>
        <v>0</v>
      </c>
    </row>
    <row r="706" customFormat="false" ht="39.75" hidden="false" customHeight="true" outlineLevel="0" collapsed="false">
      <c r="A706" s="57" t="s">
        <v>1440</v>
      </c>
      <c r="B706" s="57" t="s">
        <v>312</v>
      </c>
      <c r="C706" s="57" t="str">
        <f aca="false">Flights!$F$26</f>
        <v>MH0002</v>
      </c>
      <c r="D706" s="58" t="n">
        <f aca="false">Flights!$D$26</f>
        <v>46325</v>
      </c>
      <c r="E706" s="57" t="str">
        <f aca="false">Flights!$G$26&amp;"-"&amp;Flights!$H$26</f>
        <v>KUL-LHR</v>
      </c>
      <c r="F706" s="57" t="str">
        <f aca="false">Flights!$K$26</f>
        <v>BC</v>
      </c>
      <c r="G706" s="57" t="s">
        <v>81</v>
      </c>
      <c r="H706" s="57" t="s">
        <v>378</v>
      </c>
      <c r="I706" s="57" t="s">
        <v>398</v>
      </c>
      <c r="J706" s="57" t="s">
        <v>399</v>
      </c>
      <c r="K706" s="67" t="s">
        <v>400</v>
      </c>
      <c r="L706" s="67" t="s">
        <v>382</v>
      </c>
      <c r="M706" s="67"/>
      <c r="N706" s="67" t="s">
        <v>383</v>
      </c>
      <c r="O706" s="67"/>
      <c r="P706" s="57" t="s">
        <v>187</v>
      </c>
      <c r="Q706" s="59" t="n">
        <f aca="false">ROUND((Flights!$AC$26)*1440,0)/1440</f>
        <v>46318.6388888889</v>
      </c>
      <c r="R706" s="59" t="n">
        <f aca="false">Q706+(IF(AND(INDEX(TZ_DSTS,MATCH(P706,TZ_STN,0))&lt;&gt;"",Q706&gt;=INDEX(TZ_DSTS,MATCH(P706,TZ_STN,0)),Q706&lt;INDEX(TZ_DSTE,MATCH(P706,TZ_STN,0))),INDEX(TZ_DST,MATCH(P706,TZ_STN,0)),INDEX(TZ_STD,MATCH(P706,TZ_STN,0))))/24</f>
        <v>46318.9722222222</v>
      </c>
      <c r="S706" s="60"/>
      <c r="T706" s="60"/>
      <c r="U706" s="60"/>
      <c r="V706" s="60"/>
      <c r="W706" s="61"/>
      <c r="X706" s="60"/>
      <c r="Y706" s="60"/>
      <c r="Z706" s="60"/>
      <c r="AA706" s="60"/>
      <c r="AB706" s="60"/>
      <c r="AC706" s="60"/>
      <c r="AD706" s="66"/>
      <c r="AE706" s="60"/>
      <c r="AF706" s="61" t="str">
        <f aca="false">IF(AND(ISNUMBER(X706),ISNUMBER(Y706)),Y706-X706,"")</f>
        <v/>
      </c>
      <c r="AG706" s="62" t="str">
        <f aca="false">IF(ISNUMBER(AD706),AD706-(IF(AND(INDEX(TZ_DSTS,MATCH(P706,TZ_STN,0))&lt;&gt;"",(AD706-INDEX(TZ_STD,MATCH(P706,TZ_STN,0))/24)&gt;=INDEX(TZ_DSTS,MATCH(P706,TZ_STN,0)),(AD706-INDEX(TZ_STD,MATCH(P706,TZ_STN,0))/24)&lt;INDEX(TZ_DSTE,MATCH(P706,TZ_STN,0))),INDEX(TZ_DST,MATCH(P706,TZ_STN,0)),INDEX(TZ_STD,MATCH(P706,TZ_STN,0))))/24,"")</f>
        <v/>
      </c>
      <c r="AH706" s="65" t="str">
        <f aca="false">IFERROR(IF(N706="N/A – rule",IF(OR(TRIM(U706)="",TRIM(U706)="N/A",TRIM(U706)="Not started"),"N/A – RULE","INVALID – this check does not apply to this aircraft: clear the status (or correct the fleet on Flights)"),IF(TRIM(U706)="N/A",IF(AT706=0,"INVALID – N/A not permitted for this check",IF(AND(TRIM(AB706)&lt;&gt;"",TRIM(AB706)&lt;&gt;"Closed"),"INVALID – corrective action still open",IF(AND(NOT(OR(LEN(AZ706)&lt;15,ISNUMBER(MATCH(AZ706,L_Placeholder,0)))),BK706=0,CG706&gt;=8,NOT(OR(LEN(AU706)&lt;2,ISNUMBER(MATCH(AU706,L_Placeholder,0)))),BR706&gt;=3,NOT(OR(LEN(AX706)&lt;2,ISNUMBER(MATCH(AX706,L_Placeholder,0)))),BS706&gt;=3,TRIM(AE706)&lt;&gt;TRIM(T706),AX706&lt;&gt;AU706,CE706=0),"N/A – JUSTIFIED","INVALID – N/A needs a real, settled reason (not 'not applicable' / 'as above' / TBC), a named PIC and a different named verifier"))),IF(OR(TRIM(U706)="Pass",TRIM(U706)="Pass after CA"),IF(NOT(ISNUMBER(AD706)),"INVALID – completion time missing",IF(OR(OR(LEN(AU706)&lt;2,ISNUMBER(MATCH(AU706,L_Placeholder,0))),BR706&lt;3),"INVALID – PIC missing or not a named person (a role such as QA / CSM is not a name)",IF(OR(LEN(AV706)&lt;2,ISNUMBER(MATCH(AV706,L_Placeholder,0))),"INVALID – result / assessment missing",IF(OR(OR(LEN(AW706)&lt;3,ISNUMBER(MATCH(AW706,L_Placeholder,0))),SUMPRODUCT(--ISNUMBER(SEARCH(" "&amp;L_EvidencePhrase&amp;" ",BD706)))&gt;0,BI706=1),"INVALID – evidence missing, placeholder or not yet on file",IF(ISNA(MATCH(TRIM(S706),L_EvidenceType,0)),"INVALID – choose the evidence type from the list (column S)",IF(BL706=0,"INVALID – evidence ID must be the record's own ID only (e.g. SF-2210, IMG_2231, 1045521); a link / file name needs type 'Link / file path'",IF(OR(OR(LEN(AX706)&lt;2,ISNUMBER(MATCH(AX706,L_Placeholder,0))),BS706&lt;3),"INVALID – verifier missing or not a named person (a role such as QA / CSM is not a name)",IF(OR(AX706=AU706,CE706=1,AND(LEN(AU706)&gt;=4,ISNUMBER(SEARCH(AU706,AX706))),AND(LEN(AX706)&gt;=4,ISNUMBER(SEARCH(AX706,AU706)))),"INVALID – verifier must be a different, named person (not the PIC or a role)",IF(BH706=1,"INVALID – result not yet available (awaiting / TBC)",IF(BG706=1,"INVALID – result describes a problem: record Fail, then Pass after CA (or reword if it is not a problem)",IF(BV706=1,"INVALID – wording says not on board: an on-board confirmation needs the item loaded",IF(AND(AQ706=1,OR(OR(LEN(AY706)&lt;3,ISNUMBER(MATCH(AY706,L_Placeholder,0))),BJ706=1,BQ706=0)),"INVALID – batch ID missing, placeholder or not an ID (e.g. PASB-261008-BC-017)",IF(AND(AR706=1,OR(NOT(ISNUMBER(X706)),NOT(ISNUMBER(Y706)))),"INVALID – expected/actual qty missing",IF(AND(AR706=1,OR(X706&lt;=0,Y706&lt;0)),"INVALID – expected qty must be above 0 and actual not negative",IF(BB706&lt;&gt;"",BB706,IF(AND(AS706=1,Documents!$J$26&lt;&gt;"ON FILE"),"INVALID – GLD not on file (Documents sheet)",IF(AND(AS706=2,Documents!$O$26&lt;&gt;"ON FILE"),"INVALID – menu checklist not on file (Documents sheet)",IF(AND(AS706=3,NOT(ISNUMBER(Flights!$AX$26))),"INVALID – enter carrying flight KUL departure (Flights AX)",IF(AND(AS706=3,OR(Flights!$AZ$26&gt;Flights!$AA$26,Flights!$AX$26&lt;Flights!$AA$26-3)),"INVALID – carrying flight (Flights AX) cannot arrive before this leg's STD, or is over 3 days early",IF(AG706&gt;AsOfUTC,"INVALID – completion time is in the future",IF(AND(ISNUMBER(BY706),AG706&lt;BY706),IF(H706="Physical uplift","INVALID – before uplift window (cannot confirm loading)","INVALID – before valid window"),IF(AG706&gt;Flights!$AA$26,"INVALID – completed after departure (cannot establish readiness)",IF(AND(H706="Preparation",AG706&gt;=IF(ISNUMBER(Flights!$BA$26),MIN(Flights!$BA$26,Flights!$AA$26),Flights!$AA$26)),"INVALID – completed after loading / departure (cannot establish readiness)",IF(AND(H706="Physical uplift",AG706&gt;Q706),"INVALID – recorded after the loading flight departed",IF(AG706&gt;Q706,"COMPLETE – LATE","COMPLETE"))))))))))))))))))))))))),IF(TRIM(U706)="Fail","FAIL – DISCREPANCY",IF(AND(TRIM(U706)&lt;&gt;"",TRIM(U706)&lt;&gt;"Not started",TRIM(U706)&lt;&gt;"In progress"),"INVALID – unrecognised status (use the list)",IF(AsOfUTC&gt;Q706,"OVERDUE",IF(N706="Clarification required","OPEN – CLARIFICATION","OPEN"))))))),"INVALID – error value in an input cell")</f>
        <v>OPEN</v>
      </c>
      <c r="AI706" s="61" t="n">
        <f aca="false">IF(OR(AH706="N/A – RULE",AH706="N/A – JUSTIFIED"),0,1)</f>
        <v>1</v>
      </c>
      <c r="AJ706" s="61" t="n">
        <f aca="false">IF(LEFT(AH706,8)="COMPLETE",1,0)</f>
        <v>0</v>
      </c>
      <c r="AK706" s="61" t="n">
        <f aca="false">IF(AND(AI706=1,AJ706=0,AsOfUTC&gt;Q706),1,0)</f>
        <v>0</v>
      </c>
      <c r="AL706" s="61" t="n">
        <f aca="false">IFERROR(IF(AND(AI706=1,OR(TRIM(U706)="Fail",AND(TRIM(AB706)&lt;&gt;"",TRIM(AB706)&lt;&gt;"Closed"),AND(ISNUMBER(AF706),AF706&lt;&gt;0,TRIM(U706)&lt;&gt;"Pass after CA"))),1,0),1)</f>
        <v>0</v>
      </c>
      <c r="AM706" s="61" t="n">
        <f aca="false">IF(LEFT(AH706,7)="INVALID",1,0)</f>
        <v>0</v>
      </c>
      <c r="AN706" s="61" t="n">
        <f aca="false">IF(AND(N706="Clarification required",AI706=1,AJ706=0),1,0)</f>
        <v>0</v>
      </c>
      <c r="AO706" s="61" t="str">
        <f aca="false">IF(AK706=1,SUM(AK$5:AK706),"")</f>
        <v/>
      </c>
      <c r="AP706" s="61" t="str">
        <f aca="false">IF(AL706=1,SUM(AL$5:AL706),"")</f>
        <v/>
      </c>
      <c r="AQ706" s="61" t="n">
        <v>0</v>
      </c>
      <c r="AR706" s="61" t="n">
        <v>0</v>
      </c>
      <c r="AS706" s="61" t="n">
        <v>0</v>
      </c>
      <c r="AT706" s="61" t="n">
        <v>0</v>
      </c>
      <c r="AU706" s="61" t="str">
        <f aca="false">SUBSTITUTE(SUBSTITUTE(SUBSTITUTE(SUBSTITUTE(SUBSTITUTE(SUBSTITUTE(SUBSTITUTE(SUBSTITUTE(SUBSTITUTE(SUBSTITUTE(SUBSTITUTE(SUBSTITUTE(SUBSTITUTE(SUBSTITUTE(SUBSTITUTE(SUBSTITUTE(LOWER(T706&amp;""),CHAR(10),""),CHAR(13),""),CHAR(9),""),CHAR(160),"")," ",""),".",""),"-",""),"/",""),"?",""),"_",""),",",""),"[",""),"]",""),"(",""),")",""),"*","")</f>
        <v/>
      </c>
      <c r="AV706" s="61" t="str">
        <f aca="false">SUBSTITUTE(SUBSTITUTE(SUBSTITUTE(SUBSTITUTE(SUBSTITUTE(SUBSTITUTE(SUBSTITUTE(SUBSTITUTE(SUBSTITUTE(SUBSTITUTE(SUBSTITUTE(SUBSTITUTE(SUBSTITUTE(SUBSTITUTE(SUBSTITUTE(SUBSTITUTE(LOWER(V706&amp;""),CHAR(10),""),CHAR(13),""),CHAR(9),""),CHAR(160),"")," ",""),".",""),"-",""),"/",""),"?",""),"_",""),",",""),"[",""),"]",""),"(",""),")",""),"*","")</f>
        <v/>
      </c>
      <c r="AW706" s="61" t="str">
        <f aca="false">SUBSTITUTE(SUBSTITUTE(SUBSTITUTE(SUBSTITUTE(SUBSTITUTE(SUBSTITUTE(SUBSTITUTE(SUBSTITUTE(SUBSTITUTE(SUBSTITUTE(SUBSTITUTE(SUBSTITUTE(SUBSTITUTE(SUBSTITUTE(SUBSTITUTE(SUBSTITUTE(LOWER(Z706&amp;""),CHAR(10),""),CHAR(13),""),CHAR(9),""),CHAR(160),"")," ",""),".",""),"-",""),"/",""),"?",""),"_",""),",",""),"[",""),"]",""),"(",""),")",""),"*","")</f>
        <v/>
      </c>
      <c r="AX706" s="61" t="str">
        <f aca="false">SUBSTITUTE(SUBSTITUTE(SUBSTITUTE(SUBSTITUTE(SUBSTITUTE(SUBSTITUTE(SUBSTITUTE(SUBSTITUTE(SUBSTITUTE(SUBSTITUTE(SUBSTITUTE(SUBSTITUTE(SUBSTITUTE(SUBSTITUTE(SUBSTITUTE(SUBSTITUTE(LOWER(AE706&amp;""),CHAR(10),""),CHAR(13),""),CHAR(9),""),CHAR(160),"")," ",""),".",""),"-",""),"/",""),"?",""),"_",""),",",""),"[",""),"]",""),"(",""),")",""),"*","")</f>
        <v/>
      </c>
      <c r="AY706" s="61" t="str">
        <f aca="false">SUBSTITUTE(SUBSTITUTE(SUBSTITUTE(SUBSTITUTE(SUBSTITUTE(SUBSTITUTE(SUBSTITUTE(SUBSTITUTE(SUBSTITUTE(SUBSTITUTE(SUBSTITUTE(SUBSTITUTE(SUBSTITUTE(SUBSTITUTE(SUBSTITUTE(SUBSTITUTE(LOWER(W706&amp;""),CHAR(10),""),CHAR(13),""),CHAR(9),""),CHAR(160),"")," ",""),".",""),"-",""),"/",""),"?",""),"_",""),",",""),"[",""),"]",""),"(",""),")",""),"*","")</f>
        <v/>
      </c>
      <c r="AZ706" s="61" t="str">
        <f aca="false">SUBSTITUTE(SUBSTITUTE(SUBSTITUTE(SUBSTITUTE(SUBSTITUTE(SUBSTITUTE(SUBSTITUTE(SUBSTITUTE(SUBSTITUTE(SUBSTITUTE(SUBSTITUTE(SUBSTITUTE(SUBSTITUTE(SUBSTITUTE(SUBSTITUTE(SUBSTITUTE(LOWER(AC706&amp;""),CHAR(10),""),CHAR(13),""),CHAR(9),""),CHAR(160),"")," ",""),".",""),"-",""),"/",""),"?",""),"_",""),",",""),"[",""),"]",""),"(",""),")",""),"*","")</f>
        <v/>
      </c>
      <c r="BA706" s="61" t="str">
        <f aca="false">SUBSTITUTE(SUBSTITUTE(SUBSTITUTE(SUBSTITUTE(SUBSTITUTE(SUBSTITUTE(SUBSTITUTE(SUBSTITUTE(SUBSTITUTE(SUBSTITUTE(SUBSTITUTE(SUBSTITUTE(SUBSTITUTE(SUBSTITUTE(SUBSTITUTE(SUBSTITUTE(LOWER(AA706&amp;""),CHAR(10),""),CHAR(13),""),CHAR(9),""),CHAR(160),"")," ",""),".",""),"-",""),"/",""),"?",""),"_",""),",",""),"[",""),"]",""),"(",""),")",""),"*","")</f>
        <v/>
      </c>
      <c r="BB706" s="61" t="str">
        <f aca="false">IF(AND(TRIM(U706)="Pass",ISNUMBER(AF706)),IF(AF706&lt;&gt;0,"INVALID – qty variance: use Fail or Pass after CA",""),"")&amp;IF(AND(TRIM(U706)="Pass after CA",ISNUMBER(AF706)),IF(AF706&lt;&gt;0,"INVALID – after the corrective action the actual qty must equal expected (update Actual)",""),"")&amp;IF(AND(TRIM(U706)="Pass",TRIM(AB706)&lt;&gt;"",TRIM(AB706)&lt;&gt;"Closed"),"INVALID – corrective action not closed: use Fail, then Pass after CA","")&amp;IF(AND(LEN(BA706)&gt;=2,ISNA(MATCH(LEFT(BA706,255),L_Placeholder,0)),TRIM(AB706)=""),"INVALID – CA status missing for the recorded corrective action","")&amp;IF(AND(TRIM(U706)="Pass after CA",OR(OR(LEN(BA706)&lt;5,ISNUMBER(MATCH(BA706,L_Placeholder,0))),TRIM(AB706)&lt;&gt;"Closed")),"INVALID – corrective action not recorded/closed","")</f>
        <v/>
      </c>
      <c r="BC706" s="61" t="str">
        <f aca="false">" "&amp;TRIM(SUBSTITUTE(SUBSTITUTE(SUBSTITUTE(SUBSTITUTE(SUBSTITUTE(SUBSTITUTE(SUBSTITUTE(SUBSTITUTE(SUBSTITUTE(SUBSTITUTE(SUBSTITUTE(SUBSTITUTE(SUBSTITUTE(SUBSTITUTE(SUBSTITUTE(SUBSTITUTE(SUBSTITUTE(SUBSTITUTE(SUBSTITUTE(SUBSTITUTE(SUBSTITUTE(SUBSTITUTE(SUBSTITUTE(SUBSTITUTE(LOWER(V706&amp;""),CHAR(10)," "),CHAR(13)," "),CHAR(9)," "),CHAR(160)," "),"."," "),","," "),"-"," "),"/"," "),"("," "),")"," "),":"," "),";"," "),"_"," "),"–"," "),"?"," "),"!"," "),"*"," "),"["," "),"]"," "),"'"," "),"#"," "),"+"," "),"&amp;"," "),"\"," "))&amp;" "</f>
        <v>  </v>
      </c>
      <c r="BD706" s="61" t="str">
        <f aca="false">" "&amp;TRIM(SUBSTITUTE(SUBSTITUTE(SUBSTITUTE(SUBSTITUTE(SUBSTITUTE(SUBSTITUTE(SUBSTITUTE(SUBSTITUTE(SUBSTITUTE(SUBSTITUTE(SUBSTITUTE(SUBSTITUTE(SUBSTITUTE(SUBSTITUTE(SUBSTITUTE(SUBSTITUTE(SUBSTITUTE(SUBSTITUTE(SUBSTITUTE(SUBSTITUTE(SUBSTITUTE(SUBSTITUTE(SUBSTITUTE(SUBSTITUTE(LOWER(Z706&amp;""),CHAR(10)," "),CHAR(13)," "),CHAR(9)," "),CHAR(160)," "),"."," "),","," "),"-"," "),"/"," "),"("," "),")"," "),":"," "),";"," "),"_"," "),"–"," "),"?"," "),"!"," "),"*"," "),"["," "),"]"," "),"'"," "),"#"," "),"+"," "),"&amp;"," "),"\"," "))&amp;" "</f>
        <v>  </v>
      </c>
      <c r="BE706" s="61" t="str">
        <f aca="false">" "&amp;TRIM(SUBSTITUTE(SUBSTITUTE(SUBSTITUTE(SUBSTITUTE(SUBSTITUTE(SUBSTITUTE(SUBSTITUTE(SUBSTITUTE(SUBSTITUTE(SUBSTITUTE(SUBSTITUTE(SUBSTITUTE(SUBSTITUTE(SUBSTITUTE(SUBSTITUTE(SUBSTITUTE(SUBSTITUTE(SUBSTITUTE(SUBSTITUTE(SUBSTITUTE(SUBSTITUTE(SUBSTITUTE(SUBSTITUTE(SUBSTITUTE(LOWER(W706&amp;""),CHAR(10)," "),CHAR(13)," "),CHAR(9)," "),CHAR(160)," "),"."," "),","," "),"-"," "),"/"," "),"("," "),")"," "),":"," "),";"," "),"_"," "),"–"," "),"?"," "),"!"," "),"*"," "),"["," "),"]"," "),"'"," "),"#"," "),"+"," "),"&amp;"," "),"\"," "))&amp;" "</f>
        <v>  </v>
      </c>
      <c r="BF706" s="61" t="str">
        <f aca="false">" "&amp;TRIM(SUBSTITUTE(SUBSTITUTE(SUBSTITUTE(SUBSTITUTE(SUBSTITUTE(SUBSTITUTE(SUBSTITUTE(SUBSTITUTE(SUBSTITUTE(SUBSTITUTE(SUBSTITUTE(SUBSTITUTE(SUBSTITUTE(SUBSTITUTE(SUBSTITUTE(SUBSTITUTE(SUBSTITUTE(SUBSTITUTE(SUBSTITUTE(SUBSTITUTE(SUBSTITUTE(SUBSTITUTE(SUBSTITUTE(SUBSTITUTE(LOWER(AC706&amp;""),CHAR(10)," "),CHAR(13)," "),CHAR(9)," "),CHAR(160)," "),"."," "),","," "),"-"," "),"/"," "),"("," "),")"," "),":"," "),";"," "),"_"," "),"–"," "),"?"," "),"!"," "),"*"," "),"["," "),"]"," "),"'"," "),"#"," "),"+"," "),"&amp;"," "),"\"," "))&amp;" "</f>
        <v>  </v>
      </c>
      <c r="BG706" s="61" t="n">
        <f aca="false">IFERROR(IF(AND(TRIM(U706)="Pass",SUMPRODUCT((LEN(BC706)-LEN(SUBSTITUTE(BC706," "&amp;L_ResultBad&amp;" "," ")))/(LEN(L_ResultBad)+1))&gt;SUMPRODUCT((LEN(BC706)-LEN(SUBSTITUTE(BC706," "&amp;L_NegPhrase&amp;" "," ")))/(LEN(L_NegPhrase)+1))),1,0),0)</f>
        <v>0</v>
      </c>
      <c r="BH706" s="61" t="n">
        <f aca="false">IFERROR(IF(SUMPRODUCT((LEN(BC706)-LEN(SUBSTITUTE(BC706," "&amp;L_Pending&amp;" "," ")))/(LEN(L_Pending)+1))&gt;SUMPRODUCT((LEN(BC706)-LEN(SUBSTITUTE(BC706," "&amp;L_PendNeg&amp;" "," ")))/(LEN(L_PendNeg)+1))+SUMPRODUCT((LEN(BC706)-LEN(SUBSTITUTE(BC706," "&amp;L_PendPrep&amp;" "," ")))/(LEN(L_PendPrep)+1)),1,0),1)</f>
        <v>0</v>
      </c>
      <c r="BI706" s="61" t="n">
        <f aca="false">IFERROR(IF(SUMPRODUCT((LEN(BD706)-LEN(SUBSTITUTE(BD706," "&amp;L_PendStrict&amp;" "," ")))/(LEN(L_PendStrict)+1))&gt;SUMPRODUCT((LEN(BD706)-LEN(SUBSTITUTE(BD706," "&amp;L_PendNeg&amp;" "," ")))/(LEN(L_PendNeg)+1)),1,0),1)</f>
        <v>0</v>
      </c>
      <c r="BJ706" s="61" t="n">
        <f aca="false">IFERROR(IF(SUMPRODUCT((LEN(BE706)-LEN(SUBSTITUTE(BE706," "&amp;L_Pending&amp;" "," ")))/(LEN(L_Pending)+1))&gt;SUMPRODUCT((LEN(BE706)-LEN(SUBSTITUTE(BE706," "&amp;L_PendNeg&amp;" "," ")))/(LEN(L_PendNeg)+1))+SUMPRODUCT((LEN(BE706)-LEN(SUBSTITUTE(BE706," "&amp;L_PendPrep&amp;" "," ")))/(LEN(L_PendPrep)+1)),1,0),1)</f>
        <v>0</v>
      </c>
      <c r="BK706" s="61" t="n">
        <f aca="false">IFERROR(IF(SUMPRODUCT((LEN(BF706)-LEN(SUBSTITUTE(BF706," "&amp;L_PendStrict&amp;" "," ")))/(LEN(L_PendStrict)+1))&gt;SUMPRODUCT((LEN(BF706)-LEN(SUBSTITUTE(BF706," "&amp;L_PendNeg&amp;" "," ")))/(LEN(L_PendNeg)+1)),1,0),1)</f>
        <v>0</v>
      </c>
      <c r="BL706" s="61" t="n">
        <f aca="false">IF(ISNA(MATCH(TRIM(S706),L_EvidenceType,0)),0,BZ706)</f>
        <v>0</v>
      </c>
      <c r="BM706" s="61" t="str">
        <f aca="false">SUBSTITUTE(SUBSTITUTE(SUBSTITUTE(SUBSTITUTE(SUBSTITUTE(SUBSTITUTE(SUBSTITUTE(SUBSTITUTE(SUBSTITUTE(LOWER(Z706&amp;""),"1","0"),"2","0"),"3","0"),"4","0"),"5","0"),"6","0"),"7","0"),"8","0"),"9","0")</f>
        <v/>
      </c>
      <c r="BN706" s="61" t="str">
        <f aca="false">SUBSTITUTE(SUBSTITUTE(SUBSTITUTE(SUBSTITUTE(SUBSTITUTE(SUBSTITUTE(SUBSTITUTE(SUBSTITUTE(SUBSTITUTE(SUBSTITUTE(SUBSTITUTE(SUBSTITUTE(SUBSTITUTE(SUBSTITUTE(SUBSTITUTE(SUBSTITUTE(SUBSTITUTE(SUBSTITUTE(SUBSTITUTE(SUBSTITUTE(SUBSTITUTE(SUBSTITUTE(SUBSTITUTE(SUBSTITUTE(SUBSTITUTE(BM706,"b","a"),"c","a"),"d","a"),"e","a"),"f","a"),"g","a"),"h","a"),"i","a"),"j","a"),"k","a"),"l","a"),"m","a"),"n","a"),"o","a"),"p","a"),"q","a"),"r","a"),"s","a"),"t","a"),"u","a"),"v","a"),"w","a"),"x","a"),"y","a"),"z","a")</f>
        <v/>
      </c>
      <c r="BO706" s="61" t="str">
        <f aca="false">SUBSTITUTE(SUBSTITUTE(SUBSTITUTE(SUBSTITUTE(SUBSTITUTE(SUBSTITUTE(SUBSTITUTE(SUBSTITUTE(SUBSTITUTE(LOWER(W706&amp;""),"1","0"),"2","0"),"3","0"),"4","0"),"5","0"),"6","0"),"7","0"),"8","0"),"9","0")</f>
        <v/>
      </c>
      <c r="BP706" s="61" t="str">
        <f aca="false">SUBSTITUTE(SUBSTITUTE(SUBSTITUTE(SUBSTITUTE(SUBSTITUTE(SUBSTITUTE(SUBSTITUTE(SUBSTITUTE(SUBSTITUTE(SUBSTITUTE(SUBSTITUTE(SUBSTITUTE(SUBSTITUTE(SUBSTITUTE(SUBSTITUTE(SUBSTITUTE(SUBSTITUTE(SUBSTITUTE(SUBSTITUTE(SUBSTITUTE(SUBSTITUTE(SUBSTITUTE(SUBSTITUTE(SUBSTITUTE(SUBSTITUTE(BO706,"b","a"),"c","a"),"d","a"),"e","a"),"f","a"),"g","a"),"h","a"),"i","a"),"j","a"),"k","a"),"l","a"),"m","a"),"n","a"),"o","a"),"p","a"),"q","a"),"r","a"),"s","a"),"t","a"),"u","a"),"v","a"),"w","a"),"x","a"),"y","a"),"z","a")</f>
        <v/>
      </c>
      <c r="BQ706" s="61" t="n">
        <f aca="false">IFERROR(IF(AND(ISERROR(SEARCH(" mh"," "&amp;LOWER(W706))),ISNA(MATCH(LEFT(TRIM(BP706),255),{"0000a","000a","00a","0000aa","000aa","00aa","0aa","0000aaa","000aaa","00a00","0a00","0000-0000","00:00","a00","a0","00.00.0000","00/00/0000","00-00-0000","0000-00-00","0000/00/00","0000.00.00","00.00.00","00/00/00","00-00-00","0.00.0000","0/00/0000","0-00-0000"},0)),ISNA(MATCH(LEFT(TRIM(CA706),255),{"0000a","000a","00a","0000aa","000aa","00aa","0aa","0000aaa","000aaa","00a00","0a00","0000-0000","00:00","a00","a0","00.00.0000","00/00/0000","00-00-0000","0000-00-00","0000/00/00","0000.00.00","00.00.00","00/00/00","00-00-00","0.00.0000","0/00/0000","0-00-0000"},0)),LEN(CB706)&gt;=3,NOT(OR(SUBSTITUTE(CB706,"0","")="",AND(LEN(CB706)&gt;=4,CB706=REPT(LEFT(CB706),LEN(CB706))),ISNUMBER(MATCH(CB706,{"123","1234","12345","123456","1234567","12345678","0123","01234","012345","98765","987654","54321"},0)),AND(LEN(CB706)=8,LEFT(CB706,3)="202"))),OR(AND((LEN(CA706)-LEN(SUBSTITUTE(CA706,"a","")))&gt;=1,SUMPRODUCT(--ISNUMBER(SEARCH({"a0","a-0","a_0","a/0","a.0","a#0","0a","0-a","0_a","0/a"},BP706)))&gt;0),ISNUMBER(SEARCH("000000",BP706)))),1,0),0)</f>
        <v>0</v>
      </c>
      <c r="BR706" s="61" t="n">
        <f aca="false">IFERROR(LEN(SUBSTITUTE(CC706," ",""))-SUMPRODUCT((LEN(CC706)-LEN(SUBSTITUTE(CC706," "&amp;L_Role&amp;" "," ")))/(LEN(L_Role)+1)*LEN(L_Role)),0)</f>
        <v>0</v>
      </c>
      <c r="BS706" s="61" t="n">
        <f aca="false">IFERROR(LEN(SUBSTITUTE(CD706," ",""))-SUMPRODUCT((LEN(CD706)-LEN(SUBSTITUTE(CD706," "&amp;L_Role&amp;" "," ")))/(LEN(L_Role)+1)*LEN(L_Role)),0)</f>
        <v>0</v>
      </c>
      <c r="BT7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706,"revision",""),"version",""),"jan",""),"feb",""),"mar",""),"apr",""),"may",""),"jun",""),"jul",""),"aug",""),"sep",""),"oct",""),"nov",""),"dec",""),"utc",""),"gmt",""),"myt",""),"bst",""),"rev",""),"ver",""),"b","a"),"c","a"),"d","a"),"e","a"),"f","a"),"g","a"),"h","a"),"i","a"),"j","a"),"k","a"),"l","a"),"m","a"),"n","a"),"o","a"),"p","a"),"q","a"),"r","a"),"s","a"),"t","a"),"u","a"),"v","a"),"w","a"),"x","a"),"y","a"),"z","a")</f>
        <v/>
      </c>
      <c r="BU706" s="61" t="str">
        <f aca="false">SUBSTITUTE(SUBSTITUTE(SUBSTITUTE(SUBSTITUTE(SUBSTITUTE(SUBSTITUTE(SUBSTITUTE(SUBSTITUTE(SUBSTITUTE(SUBSTITUTE(LEFT(BM706,FIND("0",BM706&amp;"0")-1),"-",""),"_",""),"/",""),".",""),"#",""),"\\",""),":","")," ",""),"(",""),")","")</f>
        <v/>
      </c>
      <c r="BV706" s="61" t="n">
        <f aca="false">0</f>
        <v>0</v>
      </c>
      <c r="BW70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706&amp;""),"a",""),"b",""),"c",""),"d",""),"e",""),"f",""),"g",""),"h",""),"i",""),"j",""),"k",""),"l",""),"m",""),"n",""),"o",""),"p",""),"q",""),"r",""),"s",""),"t",""),"u",""),"v",""),"w",""),"x",""),"y",""),"z",""),"-",""),"_",""),"/",""),".",""),"#",""),"\\",""),":","")," ",""),"(",""),")","")</f>
        <v/>
      </c>
      <c r="BX706" s="61" t="str">
        <f aca="false">SUBSTITUTE(SUBSTITUTE(SUBSTITUTE(SUBSTITUTE(SUBSTITUTE(SUBSTITUTE(SUBSTITUTE(SUBSTITUTE(SUBSTITUTE(SUBSTITUTE(SUBSTITUTE(BM706,"0",""),"-",""),"_",""),"/",""),".",""),"#",""),"\\",""),":","")," ",""),"(",""),")","")</f>
        <v/>
      </c>
      <c r="BY706" s="62" t="n">
        <f aca="false">Q706-T7EarlyD*24/24</f>
        <v>46304.6388888889</v>
      </c>
      <c r="BZ706" s="61" t="n">
        <f aca="false">IFERROR(IF(IF(TRIM(S706)="Link / file path",AND(LEN(TRIM(Z706))&gt;=5,SUMPRODUCT(--ISNUMBER(SEARCH({"http","www.","\\",":\",".pdf",".jpg",".jpeg",".png",".heic",".xls",".doc",".msg",".eml",".ppt",".txt",".zip"},Z706)))&gt;0),AND(ISERROR(FIND(" ",TRIM(Z706))),NOT(OR(SUMPRODUCT(--ISNUMBER(FIND({",",";","&amp;","+"},Z706)))&gt;0,SUMPRODUCT(--ISNUMBER(SEARCH({"0/aa","0\\aa"},BN706)))&gt;0)),NOT(SUMPRODUCT(--ISNUMBER(SEARCH({"http","www.","\\",":\",".pdf",".jpg",".jpeg",".png",".heic",".xls",".doc",".msg",".eml",".ppt",".txt",".zip"},Z706)))&gt;0),NOT(LOWER(TRIM(Z706))=LOWER(Flights!$F$26)),ISNA(MATCH(BU706,{"mh","rev","revision","ver","version","v","r","a","b","seat","tray","row","gate","bay","stand","page","pg","item","line","no","cart","galley","flight","flt","table","box","bag","oven","etd","eta","std","sta","atd","ata","qty","pax","x","time","tel","ph","mob","day","wk","week","utc","gmt","myt","lt"},0)),NOT(OR(ISNUMBER(MATCH(LEFT(BN706,255),{"0000a","000a","00a","0000aa","000aa","00aa","0aa","0000aaa","000aaa","00a00","0a00","0000-0000","00:00","a00","a0","00.00.0000","00/00/0000","00-00-0000","0000-00-00","0000/00/00","0000.00.00","00.00.00","00/00/00","00-00-00","0.00.0000","0/00/0000","0-00-0000"},0)),ISNUMBER(MATCH(LEFT(BT706,255),{"0000a","000a","00a","0000aa","000aa","00aa","0aa","0000aaa","000aaa","00a00","0a00","0000-0000","00:00","a00","a0","00.00.0000","00/00/0000","00-00-0000","0000-00-00","0000/00/00","0000.00.00","00.00.00","00/00/00","00-00-00","0.00.0000","0/00/0000","0-00-0000"},0)))),NOT(OR(AND(BW706&lt;&gt;"",SUBSTITUTE(BW706,"0","")=""),AND(LEN(BW706)&gt;=4,BW706=REPT(LEFT(BW706),LEN(BW706))),ISNUMBER(MATCH(BW706,{"123","1234","12345","123456","1234567","12345678","0123","01234","012345","98765","987654","54321"},0)),ISNUMBER(MATCH(BX706,{"x","xx","xxx","xxxx","xxxxx","abc","abcd","nil","na","nan","test","tbc","tba","tbd","dummy","sample","example","eg","zz","zzz","none","null","xyz","qwe","asd","id","ref"},0)),AND(LEN(BW706)=8,BX706="",OR(LEFT(BW706,3)="202",ISNUMBER(MATCH(RIGHT(BW706,4),{"2025","2026","2027"},0)))))),OR(AND((LEN(BT706)-LEN(SUBSTITUTE(BT706,"a","")))&gt;=1,(LEN(BN706)-LEN(SUBSTITUTE(BN706,"0","")))&gt;=2,SUMPRODUCT(--ISNUMBER(SEARCH({"a0","a-0","a_0","a/0","a.0","a#0","0a","0-a","0_a","0/a"},BN706)))&gt;0),AND((LEN(BN706)-LEN(SUBSTITUTE(BN706,"a","")))=0,(LEN(BN706)-LEN(SUBSTITUTE(BN706,"0","")))&gt;=5)))),1,0),0)</f>
        <v>0</v>
      </c>
      <c r="CA7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706,"revision",""),"version",""),"jan",""),"feb",""),"mar",""),"apr",""),"may",""),"jun",""),"jul",""),"aug",""),"sep",""),"oct",""),"nov",""),"dec",""),"utc",""),"gmt",""),"myt",""),"bst",""),"rev",""),"ver",""),"b","a"),"c","a"),"d","a"),"e","a"),"f","a"),"g","a"),"h","a"),"i","a"),"j","a"),"k","a"),"l","a"),"m","a"),"n","a"),"o","a"),"p","a"),"q","a"),"r","a"),"s","a"),"t","a"),"u","a"),"v","a"),"w","a"),"x","a"),"y","a"),"z","a")</f>
        <v/>
      </c>
      <c r="CB70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706&amp;""),"a",""),"b",""),"c",""),"d",""),"e",""),"f",""),"g",""),"h",""),"i",""),"j",""),"k",""),"l",""),"m",""),"n",""),"o",""),"p",""),"q",""),"r",""),"s",""),"t",""),"u",""),"v",""),"w",""),"x",""),"y",""),"z",""),"-",""),"_",""),"/",""),".",""),"#",""),"\\",""),":","")," ",""),"(",""),")","")</f>
        <v/>
      </c>
      <c r="CC706" s="0" t="str">
        <f aca="false">" "&amp;TRIM(SUBSTITUTE(SUBSTITUTE(SUBSTITUTE(SUBSTITUTE(SUBSTITUTE(SUBSTITUTE(SUBSTITUTE(SUBSTITUTE(SUBSTITUTE(SUBSTITUTE(SUBSTITUTE(SUBSTITUTE(SUBSTITUTE(SUBSTITUTE(SUBSTITUTE(SUBSTITUTE(SUBSTITUTE(SUBSTITUTE(SUBSTITUTE(SUBSTITUTE(SUBSTITUTE(SUBSTITUTE(SUBSTITUTE(SUBSTITUTE(LOWER(T706&amp;""),CHAR(10)," "),CHAR(13)," "),CHAR(9)," "),CHAR(160)," "),"."," "),","," "),"-"," "),"/"," "),"("," "),")"," "),":"," "),";"," "),"_"," "),"–"," "),"?"," "),"!"," "),"*"," "),"["," "),"]"," "),"'"," "),"#"," "),"+"," "),"&amp;"," "),"\"," "))&amp;" "</f>
        <v>  </v>
      </c>
      <c r="CD706" s="0" t="str">
        <f aca="false">" "&amp;TRIM(SUBSTITUTE(SUBSTITUTE(SUBSTITUTE(SUBSTITUTE(SUBSTITUTE(SUBSTITUTE(SUBSTITUTE(SUBSTITUTE(SUBSTITUTE(SUBSTITUTE(SUBSTITUTE(SUBSTITUTE(SUBSTITUTE(SUBSTITUTE(SUBSTITUTE(SUBSTITUTE(SUBSTITUTE(SUBSTITUTE(SUBSTITUTE(SUBSTITUTE(SUBSTITUTE(SUBSTITUTE(SUBSTITUTE(SUBSTITUTE(LOWER(AE706&amp;""),CHAR(10)," "),CHAR(13)," "),CHAR(9)," "),CHAR(160)," "),"."," "),","," "),"-"," "),"/"," "),"("," "),")"," "),":"," "),";"," "),"_"," "),"–"," "),"?"," "),"!"," "),"*"," "),"["," "),"]"," "),"'"," "),"#"," "),"+"," "),"&amp;"," "),"\"," "))&amp;" "</f>
        <v>  </v>
      </c>
      <c r="CE706" s="68" t="n">
        <f aca="false">IFERROR(IF(AND(LEN(AU706)&gt;0,LEN(AU706)=LEN(AX706),OR(TRIM(MID(SUBSTITUTE(TRIM(CC706)," ",REPT(" ",60)),1,60))="",ISNUMBER(SEARCH(" "&amp;TRIM(MID(SUBSTITUTE(TRIM(CC706)," ",REPT(" ",60)),1,60))&amp;" ",CD706))),OR(TRIM(MID(SUBSTITUTE(TRIM(CC706)," ",REPT(" ",60)),61,60))="",ISNUMBER(SEARCH(" "&amp;TRIM(MID(SUBSTITUTE(TRIM(CC706)," ",REPT(" ",60)),61,60))&amp;" ",CD706))),OR(TRIM(MID(SUBSTITUTE(TRIM(CC706)," ",REPT(" ",60)),121,60))="",ISNUMBER(SEARCH(" "&amp;TRIM(MID(SUBSTITUTE(TRIM(CC706)," ",REPT(" ",60)),121,60))&amp;" ",CD706)))),1,0),0)</f>
        <v>0</v>
      </c>
      <c r="CG706" s="68" t="n">
        <f aca="false">IFERROR(LEN(SUBSTITUTE(BF706," ",""))-SUMPRODUCT((LEN(BF706)-LEN(SUBSTITUTE(BF706," "&amp;L_NAFiller&amp;" "," ")))/(LEN(L_NAFiller)+1)*LEN(L_NAFiller)),0)</f>
        <v>0</v>
      </c>
    </row>
    <row r="707" customFormat="false" ht="39.75" hidden="false" customHeight="true" outlineLevel="0" collapsed="false">
      <c r="A707" s="57" t="s">
        <v>1441</v>
      </c>
      <c r="B707" s="57" t="s">
        <v>312</v>
      </c>
      <c r="C707" s="57" t="str">
        <f aca="false">Flights!$F$26</f>
        <v>MH0002</v>
      </c>
      <c r="D707" s="58" t="n">
        <f aca="false">Flights!$D$26</f>
        <v>46325</v>
      </c>
      <c r="E707" s="57" t="str">
        <f aca="false">Flights!$G$26&amp;"-"&amp;Flights!$H$26</f>
        <v>KUL-LHR</v>
      </c>
      <c r="F707" s="57" t="str">
        <f aca="false">Flights!$K$26</f>
        <v>BC</v>
      </c>
      <c r="G707" s="57" t="s">
        <v>81</v>
      </c>
      <c r="H707" s="57" t="s">
        <v>378</v>
      </c>
      <c r="I707" s="57" t="s">
        <v>398</v>
      </c>
      <c r="J707" s="57" t="s">
        <v>402</v>
      </c>
      <c r="K707" s="67" t="s">
        <v>403</v>
      </c>
      <c r="L707" s="67" t="s">
        <v>382</v>
      </c>
      <c r="M707" s="67"/>
      <c r="N707" s="67" t="s">
        <v>383</v>
      </c>
      <c r="O707" s="67"/>
      <c r="P707" s="57" t="s">
        <v>187</v>
      </c>
      <c r="Q707" s="59" t="n">
        <f aca="false">ROUND((Flights!$AC$26)*1440,0)/1440</f>
        <v>46318.6388888889</v>
      </c>
      <c r="R707" s="59" t="n">
        <f aca="false">Q707+(IF(AND(INDEX(TZ_DSTS,MATCH(P707,TZ_STN,0))&lt;&gt;"",Q707&gt;=INDEX(TZ_DSTS,MATCH(P707,TZ_STN,0)),Q707&lt;INDEX(TZ_DSTE,MATCH(P707,TZ_STN,0))),INDEX(TZ_DST,MATCH(P707,TZ_STN,0)),INDEX(TZ_STD,MATCH(P707,TZ_STN,0))))/24</f>
        <v>46318.9722222222</v>
      </c>
      <c r="S707" s="60"/>
      <c r="T707" s="60"/>
      <c r="U707" s="60"/>
      <c r="V707" s="60"/>
      <c r="W707" s="61"/>
      <c r="X707" s="60"/>
      <c r="Y707" s="60"/>
      <c r="Z707" s="60"/>
      <c r="AA707" s="60"/>
      <c r="AB707" s="60"/>
      <c r="AC707" s="60"/>
      <c r="AD707" s="66"/>
      <c r="AE707" s="60"/>
      <c r="AF707" s="61" t="str">
        <f aca="false">IF(AND(ISNUMBER(X707),ISNUMBER(Y707)),Y707-X707,"")</f>
        <v/>
      </c>
      <c r="AG707" s="62" t="str">
        <f aca="false">IF(ISNUMBER(AD707),AD707-(IF(AND(INDEX(TZ_DSTS,MATCH(P707,TZ_STN,0))&lt;&gt;"",(AD707-INDEX(TZ_STD,MATCH(P707,TZ_STN,0))/24)&gt;=INDEX(TZ_DSTS,MATCH(P707,TZ_STN,0)),(AD707-INDEX(TZ_STD,MATCH(P707,TZ_STN,0))/24)&lt;INDEX(TZ_DSTE,MATCH(P707,TZ_STN,0))),INDEX(TZ_DST,MATCH(P707,TZ_STN,0)),INDEX(TZ_STD,MATCH(P707,TZ_STN,0))))/24,"")</f>
        <v/>
      </c>
      <c r="AH707" s="65" t="str">
        <f aca="false">IFERROR(IF(N707="N/A – rule",IF(OR(TRIM(U707)="",TRIM(U707)="N/A",TRIM(U707)="Not started"),"N/A – RULE","INVALID – this check does not apply to this aircraft: clear the status (or correct the fleet on Flights)"),IF(TRIM(U707)="N/A",IF(AT707=0,"INVALID – N/A not permitted for this check",IF(AND(TRIM(AB707)&lt;&gt;"",TRIM(AB707)&lt;&gt;"Closed"),"INVALID – corrective action still open",IF(AND(NOT(OR(LEN(AZ707)&lt;15,ISNUMBER(MATCH(AZ707,L_Placeholder,0)))),BK707=0,CG707&gt;=8,NOT(OR(LEN(AU707)&lt;2,ISNUMBER(MATCH(AU707,L_Placeholder,0)))),BR707&gt;=3,NOT(OR(LEN(AX707)&lt;2,ISNUMBER(MATCH(AX707,L_Placeholder,0)))),BS707&gt;=3,TRIM(AE707)&lt;&gt;TRIM(T707),AX707&lt;&gt;AU707,CE707=0),"N/A – JUSTIFIED","INVALID – N/A needs a real, settled reason (not 'not applicable' / 'as above' / TBC), a named PIC and a different named verifier"))),IF(OR(TRIM(U707)="Pass",TRIM(U707)="Pass after CA"),IF(NOT(ISNUMBER(AD707)),"INVALID – completion time missing",IF(OR(OR(LEN(AU707)&lt;2,ISNUMBER(MATCH(AU707,L_Placeholder,0))),BR707&lt;3),"INVALID – PIC missing or not a named person (a role such as QA / CSM is not a name)",IF(OR(LEN(AV707)&lt;2,ISNUMBER(MATCH(AV707,L_Placeholder,0))),"INVALID – result / assessment missing",IF(OR(OR(LEN(AW707)&lt;3,ISNUMBER(MATCH(AW707,L_Placeholder,0))),SUMPRODUCT(--ISNUMBER(SEARCH(" "&amp;L_EvidencePhrase&amp;" ",BD707)))&gt;0,BI707=1),"INVALID – evidence missing, placeholder or not yet on file",IF(ISNA(MATCH(TRIM(S707),L_EvidenceType,0)),"INVALID – choose the evidence type from the list (column S)",IF(BL707=0,"INVALID – evidence ID must be the record's own ID only (e.g. SF-2210, IMG_2231, 1045521); a link / file name needs type 'Link / file path'",IF(OR(OR(LEN(AX707)&lt;2,ISNUMBER(MATCH(AX707,L_Placeholder,0))),BS707&lt;3),"INVALID – verifier missing or not a named person (a role such as QA / CSM is not a name)",IF(OR(AX707=AU707,CE707=1,AND(LEN(AU707)&gt;=4,ISNUMBER(SEARCH(AU707,AX707))),AND(LEN(AX707)&gt;=4,ISNUMBER(SEARCH(AX707,AU707)))),"INVALID – verifier must be a different, named person (not the PIC or a role)",IF(BH707=1,"INVALID – result not yet available (awaiting / TBC)",IF(BG707=1,"INVALID – result describes a problem: record Fail, then Pass after CA (or reword if it is not a problem)",IF(BV707=1,"INVALID – wording says not on board: an on-board confirmation needs the item loaded",IF(AND(AQ707=1,OR(OR(LEN(AY707)&lt;3,ISNUMBER(MATCH(AY707,L_Placeholder,0))),BJ707=1,BQ707=0)),"INVALID – batch ID missing, placeholder or not an ID (e.g. PASB-261008-BC-017)",IF(AND(AR707=1,OR(NOT(ISNUMBER(X707)),NOT(ISNUMBER(Y707)))),"INVALID – expected/actual qty missing",IF(AND(AR707=1,OR(X707&lt;=0,Y707&lt;0)),"INVALID – expected qty must be above 0 and actual not negative",IF(BB707&lt;&gt;"",BB707,IF(AND(AS707=1,Documents!$J$26&lt;&gt;"ON FILE"),"INVALID – GLD not on file (Documents sheet)",IF(AND(AS707=2,Documents!$O$26&lt;&gt;"ON FILE"),"INVALID – menu checklist not on file (Documents sheet)",IF(AND(AS707=3,NOT(ISNUMBER(Flights!$AX$26))),"INVALID – enter carrying flight KUL departure (Flights AX)",IF(AND(AS707=3,OR(Flights!$AZ$26&gt;Flights!$AA$26,Flights!$AX$26&lt;Flights!$AA$26-3)),"INVALID – carrying flight (Flights AX) cannot arrive before this leg's STD, or is over 3 days early",IF(AG707&gt;AsOfUTC,"INVALID – completion time is in the future",IF(AND(ISNUMBER(BY707),AG707&lt;BY707),IF(H707="Physical uplift","INVALID – before uplift window (cannot confirm loading)","INVALID – before valid window"),IF(AG707&gt;Flights!$AA$26,"INVALID – completed after departure (cannot establish readiness)",IF(AND(H707="Preparation",AG707&gt;=IF(ISNUMBER(Flights!$BA$26),MIN(Flights!$BA$26,Flights!$AA$26),Flights!$AA$26)),"INVALID – completed after loading / departure (cannot establish readiness)",IF(AND(H707="Physical uplift",AG707&gt;Q707),"INVALID – recorded after the loading flight departed",IF(AG707&gt;Q707,"COMPLETE – LATE","COMPLETE"))))))))))))))))))))))))),IF(TRIM(U707)="Fail","FAIL – DISCREPANCY",IF(AND(TRIM(U707)&lt;&gt;"",TRIM(U707)&lt;&gt;"Not started",TRIM(U707)&lt;&gt;"In progress"),"INVALID – unrecognised status (use the list)",IF(AsOfUTC&gt;Q707,"OVERDUE",IF(N707="Clarification required","OPEN – CLARIFICATION","OPEN"))))))),"INVALID – error value in an input cell")</f>
        <v>OPEN</v>
      </c>
      <c r="AI707" s="61" t="n">
        <f aca="false">IF(OR(AH707="N/A – RULE",AH707="N/A – JUSTIFIED"),0,1)</f>
        <v>1</v>
      </c>
      <c r="AJ707" s="61" t="n">
        <f aca="false">IF(LEFT(AH707,8)="COMPLETE",1,0)</f>
        <v>0</v>
      </c>
      <c r="AK707" s="61" t="n">
        <f aca="false">IF(AND(AI707=1,AJ707=0,AsOfUTC&gt;Q707),1,0)</f>
        <v>0</v>
      </c>
      <c r="AL707" s="61" t="n">
        <f aca="false">IFERROR(IF(AND(AI707=1,OR(TRIM(U707)="Fail",AND(TRIM(AB707)&lt;&gt;"",TRIM(AB707)&lt;&gt;"Closed"),AND(ISNUMBER(AF707),AF707&lt;&gt;0,TRIM(U707)&lt;&gt;"Pass after CA"))),1,0),1)</f>
        <v>0</v>
      </c>
      <c r="AM707" s="61" t="n">
        <f aca="false">IF(LEFT(AH707,7)="INVALID",1,0)</f>
        <v>0</v>
      </c>
      <c r="AN707" s="61" t="n">
        <f aca="false">IF(AND(N707="Clarification required",AI707=1,AJ707=0),1,0)</f>
        <v>0</v>
      </c>
      <c r="AO707" s="61" t="str">
        <f aca="false">IF(AK707=1,SUM(AK$5:AK707),"")</f>
        <v/>
      </c>
      <c r="AP707" s="61" t="str">
        <f aca="false">IF(AL707=1,SUM(AL$5:AL707),"")</f>
        <v/>
      </c>
      <c r="AQ707" s="61" t="n">
        <v>0</v>
      </c>
      <c r="AR707" s="61" t="n">
        <v>0</v>
      </c>
      <c r="AS707" s="61" t="n">
        <v>0</v>
      </c>
      <c r="AT707" s="61" t="n">
        <v>0</v>
      </c>
      <c r="AU707" s="61" t="str">
        <f aca="false">SUBSTITUTE(SUBSTITUTE(SUBSTITUTE(SUBSTITUTE(SUBSTITUTE(SUBSTITUTE(SUBSTITUTE(SUBSTITUTE(SUBSTITUTE(SUBSTITUTE(SUBSTITUTE(SUBSTITUTE(SUBSTITUTE(SUBSTITUTE(SUBSTITUTE(SUBSTITUTE(LOWER(T707&amp;""),CHAR(10),""),CHAR(13),""),CHAR(9),""),CHAR(160),"")," ",""),".",""),"-",""),"/",""),"?",""),"_",""),",",""),"[",""),"]",""),"(",""),")",""),"*","")</f>
        <v/>
      </c>
      <c r="AV707" s="61" t="str">
        <f aca="false">SUBSTITUTE(SUBSTITUTE(SUBSTITUTE(SUBSTITUTE(SUBSTITUTE(SUBSTITUTE(SUBSTITUTE(SUBSTITUTE(SUBSTITUTE(SUBSTITUTE(SUBSTITUTE(SUBSTITUTE(SUBSTITUTE(SUBSTITUTE(SUBSTITUTE(SUBSTITUTE(LOWER(V707&amp;""),CHAR(10),""),CHAR(13),""),CHAR(9),""),CHAR(160),"")," ",""),".",""),"-",""),"/",""),"?",""),"_",""),",",""),"[",""),"]",""),"(",""),")",""),"*","")</f>
        <v/>
      </c>
      <c r="AW707" s="61" t="str">
        <f aca="false">SUBSTITUTE(SUBSTITUTE(SUBSTITUTE(SUBSTITUTE(SUBSTITUTE(SUBSTITUTE(SUBSTITUTE(SUBSTITUTE(SUBSTITUTE(SUBSTITUTE(SUBSTITUTE(SUBSTITUTE(SUBSTITUTE(SUBSTITUTE(SUBSTITUTE(SUBSTITUTE(LOWER(Z707&amp;""),CHAR(10),""),CHAR(13),""),CHAR(9),""),CHAR(160),"")," ",""),".",""),"-",""),"/",""),"?",""),"_",""),",",""),"[",""),"]",""),"(",""),")",""),"*","")</f>
        <v/>
      </c>
      <c r="AX707" s="61" t="str">
        <f aca="false">SUBSTITUTE(SUBSTITUTE(SUBSTITUTE(SUBSTITUTE(SUBSTITUTE(SUBSTITUTE(SUBSTITUTE(SUBSTITUTE(SUBSTITUTE(SUBSTITUTE(SUBSTITUTE(SUBSTITUTE(SUBSTITUTE(SUBSTITUTE(SUBSTITUTE(SUBSTITUTE(LOWER(AE707&amp;""),CHAR(10),""),CHAR(13),""),CHAR(9),""),CHAR(160),"")," ",""),".",""),"-",""),"/",""),"?",""),"_",""),",",""),"[",""),"]",""),"(",""),")",""),"*","")</f>
        <v/>
      </c>
      <c r="AY707" s="61" t="str">
        <f aca="false">SUBSTITUTE(SUBSTITUTE(SUBSTITUTE(SUBSTITUTE(SUBSTITUTE(SUBSTITUTE(SUBSTITUTE(SUBSTITUTE(SUBSTITUTE(SUBSTITUTE(SUBSTITUTE(SUBSTITUTE(SUBSTITUTE(SUBSTITUTE(SUBSTITUTE(SUBSTITUTE(LOWER(W707&amp;""),CHAR(10),""),CHAR(13),""),CHAR(9),""),CHAR(160),"")," ",""),".",""),"-",""),"/",""),"?",""),"_",""),",",""),"[",""),"]",""),"(",""),")",""),"*","")</f>
        <v/>
      </c>
      <c r="AZ707" s="61" t="str">
        <f aca="false">SUBSTITUTE(SUBSTITUTE(SUBSTITUTE(SUBSTITUTE(SUBSTITUTE(SUBSTITUTE(SUBSTITUTE(SUBSTITUTE(SUBSTITUTE(SUBSTITUTE(SUBSTITUTE(SUBSTITUTE(SUBSTITUTE(SUBSTITUTE(SUBSTITUTE(SUBSTITUTE(LOWER(AC707&amp;""),CHAR(10),""),CHAR(13),""),CHAR(9),""),CHAR(160),"")," ",""),".",""),"-",""),"/",""),"?",""),"_",""),",",""),"[",""),"]",""),"(",""),")",""),"*","")</f>
        <v/>
      </c>
      <c r="BA707" s="61" t="str">
        <f aca="false">SUBSTITUTE(SUBSTITUTE(SUBSTITUTE(SUBSTITUTE(SUBSTITUTE(SUBSTITUTE(SUBSTITUTE(SUBSTITUTE(SUBSTITUTE(SUBSTITUTE(SUBSTITUTE(SUBSTITUTE(SUBSTITUTE(SUBSTITUTE(SUBSTITUTE(SUBSTITUTE(LOWER(AA707&amp;""),CHAR(10),""),CHAR(13),""),CHAR(9),""),CHAR(160),"")," ",""),".",""),"-",""),"/",""),"?",""),"_",""),",",""),"[",""),"]",""),"(",""),")",""),"*","")</f>
        <v/>
      </c>
      <c r="BB707" s="61" t="str">
        <f aca="false">IF(AND(TRIM(U707)="Pass",ISNUMBER(AF707)),IF(AF707&lt;&gt;0,"INVALID – qty variance: use Fail or Pass after CA",""),"")&amp;IF(AND(TRIM(U707)="Pass after CA",ISNUMBER(AF707)),IF(AF707&lt;&gt;0,"INVALID – after the corrective action the actual qty must equal expected (update Actual)",""),"")&amp;IF(AND(TRIM(U707)="Pass",TRIM(AB707)&lt;&gt;"",TRIM(AB707)&lt;&gt;"Closed"),"INVALID – corrective action not closed: use Fail, then Pass after CA","")&amp;IF(AND(LEN(BA707)&gt;=2,ISNA(MATCH(LEFT(BA707,255),L_Placeholder,0)),TRIM(AB707)=""),"INVALID – CA status missing for the recorded corrective action","")&amp;IF(AND(TRIM(U707)="Pass after CA",OR(OR(LEN(BA707)&lt;5,ISNUMBER(MATCH(BA707,L_Placeholder,0))),TRIM(AB707)&lt;&gt;"Closed")),"INVALID – corrective action not recorded/closed","")</f>
        <v/>
      </c>
      <c r="BC707" s="61" t="str">
        <f aca="false">" "&amp;TRIM(SUBSTITUTE(SUBSTITUTE(SUBSTITUTE(SUBSTITUTE(SUBSTITUTE(SUBSTITUTE(SUBSTITUTE(SUBSTITUTE(SUBSTITUTE(SUBSTITUTE(SUBSTITUTE(SUBSTITUTE(SUBSTITUTE(SUBSTITUTE(SUBSTITUTE(SUBSTITUTE(SUBSTITUTE(SUBSTITUTE(SUBSTITUTE(SUBSTITUTE(SUBSTITUTE(SUBSTITUTE(SUBSTITUTE(SUBSTITUTE(LOWER(V707&amp;""),CHAR(10)," "),CHAR(13)," "),CHAR(9)," "),CHAR(160)," "),"."," "),","," "),"-"," "),"/"," "),"("," "),")"," "),":"," "),";"," "),"_"," "),"–"," "),"?"," "),"!"," "),"*"," "),"["," "),"]"," "),"'"," "),"#"," "),"+"," "),"&amp;"," "),"\"," "))&amp;" "</f>
        <v>  </v>
      </c>
      <c r="BD707" s="61" t="str">
        <f aca="false">" "&amp;TRIM(SUBSTITUTE(SUBSTITUTE(SUBSTITUTE(SUBSTITUTE(SUBSTITUTE(SUBSTITUTE(SUBSTITUTE(SUBSTITUTE(SUBSTITUTE(SUBSTITUTE(SUBSTITUTE(SUBSTITUTE(SUBSTITUTE(SUBSTITUTE(SUBSTITUTE(SUBSTITUTE(SUBSTITUTE(SUBSTITUTE(SUBSTITUTE(SUBSTITUTE(SUBSTITUTE(SUBSTITUTE(SUBSTITUTE(SUBSTITUTE(LOWER(Z707&amp;""),CHAR(10)," "),CHAR(13)," "),CHAR(9)," "),CHAR(160)," "),"."," "),","," "),"-"," "),"/"," "),"("," "),")"," "),":"," "),";"," "),"_"," "),"–"," "),"?"," "),"!"," "),"*"," "),"["," "),"]"," "),"'"," "),"#"," "),"+"," "),"&amp;"," "),"\"," "))&amp;" "</f>
        <v>  </v>
      </c>
      <c r="BE707" s="61" t="str">
        <f aca="false">" "&amp;TRIM(SUBSTITUTE(SUBSTITUTE(SUBSTITUTE(SUBSTITUTE(SUBSTITUTE(SUBSTITUTE(SUBSTITUTE(SUBSTITUTE(SUBSTITUTE(SUBSTITUTE(SUBSTITUTE(SUBSTITUTE(SUBSTITUTE(SUBSTITUTE(SUBSTITUTE(SUBSTITUTE(SUBSTITUTE(SUBSTITUTE(SUBSTITUTE(SUBSTITUTE(SUBSTITUTE(SUBSTITUTE(SUBSTITUTE(SUBSTITUTE(LOWER(W707&amp;""),CHAR(10)," "),CHAR(13)," "),CHAR(9)," "),CHAR(160)," "),"."," "),","," "),"-"," "),"/"," "),"("," "),")"," "),":"," "),";"," "),"_"," "),"–"," "),"?"," "),"!"," "),"*"," "),"["," "),"]"," "),"'"," "),"#"," "),"+"," "),"&amp;"," "),"\"," "))&amp;" "</f>
        <v>  </v>
      </c>
      <c r="BF707" s="61" t="str">
        <f aca="false">" "&amp;TRIM(SUBSTITUTE(SUBSTITUTE(SUBSTITUTE(SUBSTITUTE(SUBSTITUTE(SUBSTITUTE(SUBSTITUTE(SUBSTITUTE(SUBSTITUTE(SUBSTITUTE(SUBSTITUTE(SUBSTITUTE(SUBSTITUTE(SUBSTITUTE(SUBSTITUTE(SUBSTITUTE(SUBSTITUTE(SUBSTITUTE(SUBSTITUTE(SUBSTITUTE(SUBSTITUTE(SUBSTITUTE(SUBSTITUTE(SUBSTITUTE(LOWER(AC707&amp;""),CHAR(10)," "),CHAR(13)," "),CHAR(9)," "),CHAR(160)," "),"."," "),","," "),"-"," "),"/"," "),"("," "),")"," "),":"," "),";"," "),"_"," "),"–"," "),"?"," "),"!"," "),"*"," "),"["," "),"]"," "),"'"," "),"#"," "),"+"," "),"&amp;"," "),"\"," "))&amp;" "</f>
        <v>  </v>
      </c>
      <c r="BG707" s="61" t="n">
        <f aca="false">IFERROR(IF(AND(TRIM(U707)="Pass",SUMPRODUCT((LEN(BC707)-LEN(SUBSTITUTE(BC707," "&amp;L_ResultBad&amp;" "," ")))/(LEN(L_ResultBad)+1))&gt;SUMPRODUCT((LEN(BC707)-LEN(SUBSTITUTE(BC707," "&amp;L_NegPhrase&amp;" "," ")))/(LEN(L_NegPhrase)+1))),1,0),0)</f>
        <v>0</v>
      </c>
      <c r="BH707" s="61" t="n">
        <f aca="false">IFERROR(IF(SUMPRODUCT((LEN(BC707)-LEN(SUBSTITUTE(BC707," "&amp;L_Pending&amp;" "," ")))/(LEN(L_Pending)+1))&gt;SUMPRODUCT((LEN(BC707)-LEN(SUBSTITUTE(BC707," "&amp;L_PendNeg&amp;" "," ")))/(LEN(L_PendNeg)+1))+SUMPRODUCT((LEN(BC707)-LEN(SUBSTITUTE(BC707," "&amp;L_PendPrep&amp;" "," ")))/(LEN(L_PendPrep)+1)),1,0),1)</f>
        <v>0</v>
      </c>
      <c r="BI707" s="61" t="n">
        <f aca="false">IFERROR(IF(SUMPRODUCT((LEN(BD707)-LEN(SUBSTITUTE(BD707," "&amp;L_PendStrict&amp;" "," ")))/(LEN(L_PendStrict)+1))&gt;SUMPRODUCT((LEN(BD707)-LEN(SUBSTITUTE(BD707," "&amp;L_PendNeg&amp;" "," ")))/(LEN(L_PendNeg)+1)),1,0),1)</f>
        <v>0</v>
      </c>
      <c r="BJ707" s="61" t="n">
        <f aca="false">IFERROR(IF(SUMPRODUCT((LEN(BE707)-LEN(SUBSTITUTE(BE707," "&amp;L_Pending&amp;" "," ")))/(LEN(L_Pending)+1))&gt;SUMPRODUCT((LEN(BE707)-LEN(SUBSTITUTE(BE707," "&amp;L_PendNeg&amp;" "," ")))/(LEN(L_PendNeg)+1))+SUMPRODUCT((LEN(BE707)-LEN(SUBSTITUTE(BE707," "&amp;L_PendPrep&amp;" "," ")))/(LEN(L_PendPrep)+1)),1,0),1)</f>
        <v>0</v>
      </c>
      <c r="BK707" s="61" t="n">
        <f aca="false">IFERROR(IF(SUMPRODUCT((LEN(BF707)-LEN(SUBSTITUTE(BF707," "&amp;L_PendStrict&amp;" "," ")))/(LEN(L_PendStrict)+1))&gt;SUMPRODUCT((LEN(BF707)-LEN(SUBSTITUTE(BF707," "&amp;L_PendNeg&amp;" "," ")))/(LEN(L_PendNeg)+1)),1,0),1)</f>
        <v>0</v>
      </c>
      <c r="BL707" s="61" t="n">
        <f aca="false">IF(ISNA(MATCH(TRIM(S707),L_EvidenceType,0)),0,BZ707)</f>
        <v>0</v>
      </c>
      <c r="BM707" s="61" t="str">
        <f aca="false">SUBSTITUTE(SUBSTITUTE(SUBSTITUTE(SUBSTITUTE(SUBSTITUTE(SUBSTITUTE(SUBSTITUTE(SUBSTITUTE(SUBSTITUTE(LOWER(Z707&amp;""),"1","0"),"2","0"),"3","0"),"4","0"),"5","0"),"6","0"),"7","0"),"8","0"),"9","0")</f>
        <v/>
      </c>
      <c r="BN707" s="61" t="str">
        <f aca="false">SUBSTITUTE(SUBSTITUTE(SUBSTITUTE(SUBSTITUTE(SUBSTITUTE(SUBSTITUTE(SUBSTITUTE(SUBSTITUTE(SUBSTITUTE(SUBSTITUTE(SUBSTITUTE(SUBSTITUTE(SUBSTITUTE(SUBSTITUTE(SUBSTITUTE(SUBSTITUTE(SUBSTITUTE(SUBSTITUTE(SUBSTITUTE(SUBSTITUTE(SUBSTITUTE(SUBSTITUTE(SUBSTITUTE(SUBSTITUTE(SUBSTITUTE(BM707,"b","a"),"c","a"),"d","a"),"e","a"),"f","a"),"g","a"),"h","a"),"i","a"),"j","a"),"k","a"),"l","a"),"m","a"),"n","a"),"o","a"),"p","a"),"q","a"),"r","a"),"s","a"),"t","a"),"u","a"),"v","a"),"w","a"),"x","a"),"y","a"),"z","a")</f>
        <v/>
      </c>
      <c r="BO707" s="61" t="str">
        <f aca="false">SUBSTITUTE(SUBSTITUTE(SUBSTITUTE(SUBSTITUTE(SUBSTITUTE(SUBSTITUTE(SUBSTITUTE(SUBSTITUTE(SUBSTITUTE(LOWER(W707&amp;""),"1","0"),"2","0"),"3","0"),"4","0"),"5","0"),"6","0"),"7","0"),"8","0"),"9","0")</f>
        <v/>
      </c>
      <c r="BP707" s="61" t="str">
        <f aca="false">SUBSTITUTE(SUBSTITUTE(SUBSTITUTE(SUBSTITUTE(SUBSTITUTE(SUBSTITUTE(SUBSTITUTE(SUBSTITUTE(SUBSTITUTE(SUBSTITUTE(SUBSTITUTE(SUBSTITUTE(SUBSTITUTE(SUBSTITUTE(SUBSTITUTE(SUBSTITUTE(SUBSTITUTE(SUBSTITUTE(SUBSTITUTE(SUBSTITUTE(SUBSTITUTE(SUBSTITUTE(SUBSTITUTE(SUBSTITUTE(SUBSTITUTE(BO707,"b","a"),"c","a"),"d","a"),"e","a"),"f","a"),"g","a"),"h","a"),"i","a"),"j","a"),"k","a"),"l","a"),"m","a"),"n","a"),"o","a"),"p","a"),"q","a"),"r","a"),"s","a"),"t","a"),"u","a"),"v","a"),"w","a"),"x","a"),"y","a"),"z","a")</f>
        <v/>
      </c>
      <c r="BQ707" s="61" t="n">
        <f aca="false">IFERROR(IF(AND(ISERROR(SEARCH(" mh"," "&amp;LOWER(W707))),ISNA(MATCH(LEFT(TRIM(BP707),255),{"0000a","000a","00a","0000aa","000aa","00aa","0aa","0000aaa","000aaa","00a00","0a00","0000-0000","00:00","a00","a0","00.00.0000","00/00/0000","00-00-0000","0000-00-00","0000/00/00","0000.00.00","00.00.00","00/00/00","00-00-00","0.00.0000","0/00/0000","0-00-0000"},0)),ISNA(MATCH(LEFT(TRIM(CA707),255),{"0000a","000a","00a","0000aa","000aa","00aa","0aa","0000aaa","000aaa","00a00","0a00","0000-0000","00:00","a00","a0","00.00.0000","00/00/0000","00-00-0000","0000-00-00","0000/00/00","0000.00.00","00.00.00","00/00/00","00-00-00","0.00.0000","0/00/0000","0-00-0000"},0)),LEN(CB707)&gt;=3,NOT(OR(SUBSTITUTE(CB707,"0","")="",AND(LEN(CB707)&gt;=4,CB707=REPT(LEFT(CB707),LEN(CB707))),ISNUMBER(MATCH(CB707,{"123","1234","12345","123456","1234567","12345678","0123","01234","012345","98765","987654","54321"},0)),AND(LEN(CB707)=8,LEFT(CB707,3)="202"))),OR(AND((LEN(CA707)-LEN(SUBSTITUTE(CA707,"a","")))&gt;=1,SUMPRODUCT(--ISNUMBER(SEARCH({"a0","a-0","a_0","a/0","a.0","a#0","0a","0-a","0_a","0/a"},BP707)))&gt;0),ISNUMBER(SEARCH("000000",BP707)))),1,0),0)</f>
        <v>0</v>
      </c>
      <c r="BR707" s="61" t="n">
        <f aca="false">IFERROR(LEN(SUBSTITUTE(CC707," ",""))-SUMPRODUCT((LEN(CC707)-LEN(SUBSTITUTE(CC707," "&amp;L_Role&amp;" "," ")))/(LEN(L_Role)+1)*LEN(L_Role)),0)</f>
        <v>0</v>
      </c>
      <c r="BS707" s="61" t="n">
        <f aca="false">IFERROR(LEN(SUBSTITUTE(CD707," ",""))-SUMPRODUCT((LEN(CD707)-LEN(SUBSTITUTE(CD707," "&amp;L_Role&amp;" "," ")))/(LEN(L_Role)+1)*LEN(L_Role)),0)</f>
        <v>0</v>
      </c>
      <c r="BT7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707,"revision",""),"version",""),"jan",""),"feb",""),"mar",""),"apr",""),"may",""),"jun",""),"jul",""),"aug",""),"sep",""),"oct",""),"nov",""),"dec",""),"utc",""),"gmt",""),"myt",""),"bst",""),"rev",""),"ver",""),"b","a"),"c","a"),"d","a"),"e","a"),"f","a"),"g","a"),"h","a"),"i","a"),"j","a"),"k","a"),"l","a"),"m","a"),"n","a"),"o","a"),"p","a"),"q","a"),"r","a"),"s","a"),"t","a"),"u","a"),"v","a"),"w","a"),"x","a"),"y","a"),"z","a")</f>
        <v/>
      </c>
      <c r="BU707" s="61" t="str">
        <f aca="false">SUBSTITUTE(SUBSTITUTE(SUBSTITUTE(SUBSTITUTE(SUBSTITUTE(SUBSTITUTE(SUBSTITUTE(SUBSTITUTE(SUBSTITUTE(SUBSTITUTE(LEFT(BM707,FIND("0",BM707&amp;"0")-1),"-",""),"_",""),"/",""),".",""),"#",""),"\\",""),":","")," ",""),"(",""),")","")</f>
        <v/>
      </c>
      <c r="BV707" s="61" t="n">
        <f aca="false">0</f>
        <v>0</v>
      </c>
      <c r="BW70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707&amp;""),"a",""),"b",""),"c",""),"d",""),"e",""),"f",""),"g",""),"h",""),"i",""),"j",""),"k",""),"l",""),"m",""),"n",""),"o",""),"p",""),"q",""),"r",""),"s",""),"t",""),"u",""),"v",""),"w",""),"x",""),"y",""),"z",""),"-",""),"_",""),"/",""),".",""),"#",""),"\\",""),":","")," ",""),"(",""),")","")</f>
        <v/>
      </c>
      <c r="BX707" s="61" t="str">
        <f aca="false">SUBSTITUTE(SUBSTITUTE(SUBSTITUTE(SUBSTITUTE(SUBSTITUTE(SUBSTITUTE(SUBSTITUTE(SUBSTITUTE(SUBSTITUTE(SUBSTITUTE(SUBSTITUTE(BM707,"0",""),"-",""),"_",""),"/",""),".",""),"#",""),"\\",""),":","")," ",""),"(",""),")","")</f>
        <v/>
      </c>
      <c r="BY707" s="62" t="n">
        <f aca="false">Q707-T7EarlyD*24/24</f>
        <v>46304.6388888889</v>
      </c>
      <c r="BZ707" s="61" t="n">
        <f aca="false">IFERROR(IF(IF(TRIM(S707)="Link / file path",AND(LEN(TRIM(Z707))&gt;=5,SUMPRODUCT(--ISNUMBER(SEARCH({"http","www.","\\",":\",".pdf",".jpg",".jpeg",".png",".heic",".xls",".doc",".msg",".eml",".ppt",".txt",".zip"},Z707)))&gt;0),AND(ISERROR(FIND(" ",TRIM(Z707))),NOT(OR(SUMPRODUCT(--ISNUMBER(FIND({",",";","&amp;","+"},Z707)))&gt;0,SUMPRODUCT(--ISNUMBER(SEARCH({"0/aa","0\\aa"},BN707)))&gt;0)),NOT(SUMPRODUCT(--ISNUMBER(SEARCH({"http","www.","\\",":\",".pdf",".jpg",".jpeg",".png",".heic",".xls",".doc",".msg",".eml",".ppt",".txt",".zip"},Z707)))&gt;0),NOT(LOWER(TRIM(Z707))=LOWER(Flights!$F$26)),ISNA(MATCH(BU707,{"mh","rev","revision","ver","version","v","r","a","b","seat","tray","row","gate","bay","stand","page","pg","item","line","no","cart","galley","flight","flt","table","box","bag","oven","etd","eta","std","sta","atd","ata","qty","pax","x","time","tel","ph","mob","day","wk","week","utc","gmt","myt","lt"},0)),NOT(OR(ISNUMBER(MATCH(LEFT(BN707,255),{"0000a","000a","00a","0000aa","000aa","00aa","0aa","0000aaa","000aaa","00a00","0a00","0000-0000","00:00","a00","a0","00.00.0000","00/00/0000","00-00-0000","0000-00-00","0000/00/00","0000.00.00","00.00.00","00/00/00","00-00-00","0.00.0000","0/00/0000","0-00-0000"},0)),ISNUMBER(MATCH(LEFT(BT707,255),{"0000a","000a","00a","0000aa","000aa","00aa","0aa","0000aaa","000aaa","00a00","0a00","0000-0000","00:00","a00","a0","00.00.0000","00/00/0000","00-00-0000","0000-00-00","0000/00/00","0000.00.00","00.00.00","00/00/00","00-00-00","0.00.0000","0/00/0000","0-00-0000"},0)))),NOT(OR(AND(BW707&lt;&gt;"",SUBSTITUTE(BW707,"0","")=""),AND(LEN(BW707)&gt;=4,BW707=REPT(LEFT(BW707),LEN(BW707))),ISNUMBER(MATCH(BW707,{"123","1234","12345","123456","1234567","12345678","0123","01234","012345","98765","987654","54321"},0)),ISNUMBER(MATCH(BX707,{"x","xx","xxx","xxxx","xxxxx","abc","abcd","nil","na","nan","test","tbc","tba","tbd","dummy","sample","example","eg","zz","zzz","none","null","xyz","qwe","asd","id","ref"},0)),AND(LEN(BW707)=8,BX707="",OR(LEFT(BW707,3)="202",ISNUMBER(MATCH(RIGHT(BW707,4),{"2025","2026","2027"},0)))))),OR(AND((LEN(BT707)-LEN(SUBSTITUTE(BT707,"a","")))&gt;=1,(LEN(BN707)-LEN(SUBSTITUTE(BN707,"0","")))&gt;=2,SUMPRODUCT(--ISNUMBER(SEARCH({"a0","a-0","a_0","a/0","a.0","a#0","0a","0-a","0_a","0/a"},BN707)))&gt;0),AND((LEN(BN707)-LEN(SUBSTITUTE(BN707,"a","")))=0,(LEN(BN707)-LEN(SUBSTITUTE(BN707,"0","")))&gt;=5)))),1,0),0)</f>
        <v>0</v>
      </c>
      <c r="CA7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707,"revision",""),"version",""),"jan",""),"feb",""),"mar",""),"apr",""),"may",""),"jun",""),"jul",""),"aug",""),"sep",""),"oct",""),"nov",""),"dec",""),"utc",""),"gmt",""),"myt",""),"bst",""),"rev",""),"ver",""),"b","a"),"c","a"),"d","a"),"e","a"),"f","a"),"g","a"),"h","a"),"i","a"),"j","a"),"k","a"),"l","a"),"m","a"),"n","a"),"o","a"),"p","a"),"q","a"),"r","a"),"s","a"),"t","a"),"u","a"),"v","a"),"w","a"),"x","a"),"y","a"),"z","a")</f>
        <v/>
      </c>
      <c r="CB70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707&amp;""),"a",""),"b",""),"c",""),"d",""),"e",""),"f",""),"g",""),"h",""),"i",""),"j",""),"k",""),"l",""),"m",""),"n",""),"o",""),"p",""),"q",""),"r",""),"s",""),"t",""),"u",""),"v",""),"w",""),"x",""),"y",""),"z",""),"-",""),"_",""),"/",""),".",""),"#",""),"\\",""),":","")," ",""),"(",""),")","")</f>
        <v/>
      </c>
      <c r="CC707" s="0" t="str">
        <f aca="false">" "&amp;TRIM(SUBSTITUTE(SUBSTITUTE(SUBSTITUTE(SUBSTITUTE(SUBSTITUTE(SUBSTITUTE(SUBSTITUTE(SUBSTITUTE(SUBSTITUTE(SUBSTITUTE(SUBSTITUTE(SUBSTITUTE(SUBSTITUTE(SUBSTITUTE(SUBSTITUTE(SUBSTITUTE(SUBSTITUTE(SUBSTITUTE(SUBSTITUTE(SUBSTITUTE(SUBSTITUTE(SUBSTITUTE(SUBSTITUTE(SUBSTITUTE(LOWER(T707&amp;""),CHAR(10)," "),CHAR(13)," "),CHAR(9)," "),CHAR(160)," "),"."," "),","," "),"-"," "),"/"," "),"("," "),")"," "),":"," "),";"," "),"_"," "),"–"," "),"?"," "),"!"," "),"*"," "),"["," "),"]"," "),"'"," "),"#"," "),"+"," "),"&amp;"," "),"\"," "))&amp;" "</f>
        <v>  </v>
      </c>
      <c r="CD707" s="0" t="str">
        <f aca="false">" "&amp;TRIM(SUBSTITUTE(SUBSTITUTE(SUBSTITUTE(SUBSTITUTE(SUBSTITUTE(SUBSTITUTE(SUBSTITUTE(SUBSTITUTE(SUBSTITUTE(SUBSTITUTE(SUBSTITUTE(SUBSTITUTE(SUBSTITUTE(SUBSTITUTE(SUBSTITUTE(SUBSTITUTE(SUBSTITUTE(SUBSTITUTE(SUBSTITUTE(SUBSTITUTE(SUBSTITUTE(SUBSTITUTE(SUBSTITUTE(SUBSTITUTE(LOWER(AE707&amp;""),CHAR(10)," "),CHAR(13)," "),CHAR(9)," "),CHAR(160)," "),"."," "),","," "),"-"," "),"/"," "),"("," "),")"," "),":"," "),";"," "),"_"," "),"–"," "),"?"," "),"!"," "),"*"," "),"["," "),"]"," "),"'"," "),"#"," "),"+"," "),"&amp;"," "),"\"," "))&amp;" "</f>
        <v>  </v>
      </c>
      <c r="CE707" s="68" t="n">
        <f aca="false">IFERROR(IF(AND(LEN(AU707)&gt;0,LEN(AU707)=LEN(AX707),OR(TRIM(MID(SUBSTITUTE(TRIM(CC707)," ",REPT(" ",60)),1,60))="",ISNUMBER(SEARCH(" "&amp;TRIM(MID(SUBSTITUTE(TRIM(CC707)," ",REPT(" ",60)),1,60))&amp;" ",CD707))),OR(TRIM(MID(SUBSTITUTE(TRIM(CC707)," ",REPT(" ",60)),61,60))="",ISNUMBER(SEARCH(" "&amp;TRIM(MID(SUBSTITUTE(TRIM(CC707)," ",REPT(" ",60)),61,60))&amp;" ",CD707))),OR(TRIM(MID(SUBSTITUTE(TRIM(CC707)," ",REPT(" ",60)),121,60))="",ISNUMBER(SEARCH(" "&amp;TRIM(MID(SUBSTITUTE(TRIM(CC707)," ",REPT(" ",60)),121,60))&amp;" ",CD707)))),1,0),0)</f>
        <v>0</v>
      </c>
      <c r="CG707" s="68" t="n">
        <f aca="false">IFERROR(LEN(SUBSTITUTE(BF707," ",""))-SUMPRODUCT((LEN(BF707)-LEN(SUBSTITUTE(BF707," "&amp;L_NAFiller&amp;" "," ")))/(LEN(L_NAFiller)+1)*LEN(L_NAFiller)),0)</f>
        <v>0</v>
      </c>
    </row>
    <row r="708" customFormat="false" ht="39.75" hidden="false" customHeight="true" outlineLevel="0" collapsed="false">
      <c r="A708" s="57" t="s">
        <v>1442</v>
      </c>
      <c r="B708" s="57" t="s">
        <v>312</v>
      </c>
      <c r="C708" s="57" t="str">
        <f aca="false">Flights!$F$26</f>
        <v>MH0002</v>
      </c>
      <c r="D708" s="58" t="n">
        <f aca="false">Flights!$D$26</f>
        <v>46325</v>
      </c>
      <c r="E708" s="57" t="str">
        <f aca="false">Flights!$G$26&amp;"-"&amp;Flights!$H$26</f>
        <v>KUL-LHR</v>
      </c>
      <c r="F708" s="57" t="str">
        <f aca="false">Flights!$K$26</f>
        <v>BC</v>
      </c>
      <c r="G708" s="57" t="s">
        <v>81</v>
      </c>
      <c r="H708" s="57" t="s">
        <v>378</v>
      </c>
      <c r="I708" s="57" t="s">
        <v>405</v>
      </c>
      <c r="J708" s="57" t="s">
        <v>406</v>
      </c>
      <c r="K708" s="67" t="s">
        <v>407</v>
      </c>
      <c r="L708" s="67" t="s">
        <v>382</v>
      </c>
      <c r="M708" s="67"/>
      <c r="N708" s="67" t="s">
        <v>383</v>
      </c>
      <c r="O708" s="67"/>
      <c r="P708" s="57" t="s">
        <v>187</v>
      </c>
      <c r="Q708" s="59" t="n">
        <f aca="false">ROUND((Flights!$AC$26)*1440,0)/1440</f>
        <v>46318.6388888889</v>
      </c>
      <c r="R708" s="59" t="n">
        <f aca="false">Q708+(IF(AND(INDEX(TZ_DSTS,MATCH(P708,TZ_STN,0))&lt;&gt;"",Q708&gt;=INDEX(TZ_DSTS,MATCH(P708,TZ_STN,0)),Q708&lt;INDEX(TZ_DSTE,MATCH(P708,TZ_STN,0))),INDEX(TZ_DST,MATCH(P708,TZ_STN,0)),INDEX(TZ_STD,MATCH(P708,TZ_STN,0))))/24</f>
        <v>46318.9722222222</v>
      </c>
      <c r="S708" s="60"/>
      <c r="T708" s="60"/>
      <c r="U708" s="60"/>
      <c r="V708" s="60"/>
      <c r="W708" s="61"/>
      <c r="X708" s="60"/>
      <c r="Y708" s="60"/>
      <c r="Z708" s="60"/>
      <c r="AA708" s="60"/>
      <c r="AB708" s="60"/>
      <c r="AC708" s="60"/>
      <c r="AD708" s="66"/>
      <c r="AE708" s="60"/>
      <c r="AF708" s="61" t="str">
        <f aca="false">IF(AND(ISNUMBER(X708),ISNUMBER(Y708)),Y708-X708,"")</f>
        <v/>
      </c>
      <c r="AG708" s="62" t="str">
        <f aca="false">IF(ISNUMBER(AD708),AD708-(IF(AND(INDEX(TZ_DSTS,MATCH(P708,TZ_STN,0))&lt;&gt;"",(AD708-INDEX(TZ_STD,MATCH(P708,TZ_STN,0))/24)&gt;=INDEX(TZ_DSTS,MATCH(P708,TZ_STN,0)),(AD708-INDEX(TZ_STD,MATCH(P708,TZ_STN,0))/24)&lt;INDEX(TZ_DSTE,MATCH(P708,TZ_STN,0))),INDEX(TZ_DST,MATCH(P708,TZ_STN,0)),INDEX(TZ_STD,MATCH(P708,TZ_STN,0))))/24,"")</f>
        <v/>
      </c>
      <c r="AH708" s="65" t="str">
        <f aca="false">IFERROR(IF(N708="N/A – rule",IF(OR(TRIM(U708)="",TRIM(U708)="N/A",TRIM(U708)="Not started"),"N/A – RULE","INVALID – this check does not apply to this aircraft: clear the status (or correct the fleet on Flights)"),IF(TRIM(U708)="N/A",IF(AT708=0,"INVALID – N/A not permitted for this check",IF(AND(TRIM(AB708)&lt;&gt;"",TRIM(AB708)&lt;&gt;"Closed"),"INVALID – corrective action still open",IF(AND(NOT(OR(LEN(AZ708)&lt;15,ISNUMBER(MATCH(AZ708,L_Placeholder,0)))),BK708=0,CG708&gt;=8,NOT(OR(LEN(AU708)&lt;2,ISNUMBER(MATCH(AU708,L_Placeholder,0)))),BR708&gt;=3,NOT(OR(LEN(AX708)&lt;2,ISNUMBER(MATCH(AX708,L_Placeholder,0)))),BS708&gt;=3,TRIM(AE708)&lt;&gt;TRIM(T708),AX708&lt;&gt;AU708,CE708=0),"N/A – JUSTIFIED","INVALID – N/A needs a real, settled reason (not 'not applicable' / 'as above' / TBC), a named PIC and a different named verifier"))),IF(OR(TRIM(U708)="Pass",TRIM(U708)="Pass after CA"),IF(NOT(ISNUMBER(AD708)),"INVALID – completion time missing",IF(OR(OR(LEN(AU708)&lt;2,ISNUMBER(MATCH(AU708,L_Placeholder,0))),BR708&lt;3),"INVALID – PIC missing or not a named person (a role such as QA / CSM is not a name)",IF(OR(LEN(AV708)&lt;2,ISNUMBER(MATCH(AV708,L_Placeholder,0))),"INVALID – result / assessment missing",IF(OR(OR(LEN(AW708)&lt;3,ISNUMBER(MATCH(AW708,L_Placeholder,0))),SUMPRODUCT(--ISNUMBER(SEARCH(" "&amp;L_EvidencePhrase&amp;" ",BD708)))&gt;0,BI708=1),"INVALID – evidence missing, placeholder or not yet on file",IF(ISNA(MATCH(TRIM(S708),L_EvidenceType,0)),"INVALID – choose the evidence type from the list (column S)",IF(BL708=0,"INVALID – evidence ID must be the record's own ID only (e.g. SF-2210, IMG_2231, 1045521); a link / file name needs type 'Link / file path'",IF(OR(OR(LEN(AX708)&lt;2,ISNUMBER(MATCH(AX708,L_Placeholder,0))),BS708&lt;3),"INVALID – verifier missing or not a named person (a role such as QA / CSM is not a name)",IF(OR(AX708=AU708,CE708=1,AND(LEN(AU708)&gt;=4,ISNUMBER(SEARCH(AU708,AX708))),AND(LEN(AX708)&gt;=4,ISNUMBER(SEARCH(AX708,AU708)))),"INVALID – verifier must be a different, named person (not the PIC or a role)",IF(BH708=1,"INVALID – result not yet available (awaiting / TBC)",IF(BG708=1,"INVALID – result describes a problem: record Fail, then Pass after CA (or reword if it is not a problem)",IF(BV708=1,"INVALID – wording says not on board: an on-board confirmation needs the item loaded",IF(AND(AQ708=1,OR(OR(LEN(AY708)&lt;3,ISNUMBER(MATCH(AY708,L_Placeholder,0))),BJ708=1,BQ708=0)),"INVALID – batch ID missing, placeholder or not an ID (e.g. PASB-261008-BC-017)",IF(AND(AR708=1,OR(NOT(ISNUMBER(X708)),NOT(ISNUMBER(Y708)))),"INVALID – expected/actual qty missing",IF(AND(AR708=1,OR(X708&lt;=0,Y708&lt;0)),"INVALID – expected qty must be above 0 and actual not negative",IF(BB708&lt;&gt;"",BB708,IF(AND(AS708=1,Documents!$J$26&lt;&gt;"ON FILE"),"INVALID – GLD not on file (Documents sheet)",IF(AND(AS708=2,Documents!$O$26&lt;&gt;"ON FILE"),"INVALID – menu checklist not on file (Documents sheet)",IF(AND(AS708=3,NOT(ISNUMBER(Flights!$AX$26))),"INVALID – enter carrying flight KUL departure (Flights AX)",IF(AND(AS708=3,OR(Flights!$AZ$26&gt;Flights!$AA$26,Flights!$AX$26&lt;Flights!$AA$26-3)),"INVALID – carrying flight (Flights AX) cannot arrive before this leg's STD, or is over 3 days early",IF(AG708&gt;AsOfUTC,"INVALID – completion time is in the future",IF(AND(ISNUMBER(BY708),AG708&lt;BY708),IF(H708="Physical uplift","INVALID – before uplift window (cannot confirm loading)","INVALID – before valid window"),IF(AG708&gt;Flights!$AA$26,"INVALID – completed after departure (cannot establish readiness)",IF(AND(H708="Preparation",AG708&gt;=IF(ISNUMBER(Flights!$BA$26),MIN(Flights!$BA$26,Flights!$AA$26),Flights!$AA$26)),"INVALID – completed after loading / departure (cannot establish readiness)",IF(AND(H708="Physical uplift",AG708&gt;Q708),"INVALID – recorded after the loading flight departed",IF(AG708&gt;Q708,"COMPLETE – LATE","COMPLETE"))))))))))))))))))))))))),IF(TRIM(U708)="Fail","FAIL – DISCREPANCY",IF(AND(TRIM(U708)&lt;&gt;"",TRIM(U708)&lt;&gt;"Not started",TRIM(U708)&lt;&gt;"In progress"),"INVALID – unrecognised status (use the list)",IF(AsOfUTC&gt;Q708,"OVERDUE",IF(N708="Clarification required","OPEN – CLARIFICATION","OPEN"))))))),"INVALID – error value in an input cell")</f>
        <v>OPEN</v>
      </c>
      <c r="AI708" s="61" t="n">
        <f aca="false">IF(OR(AH708="N/A – RULE",AH708="N/A – JUSTIFIED"),0,1)</f>
        <v>1</v>
      </c>
      <c r="AJ708" s="61" t="n">
        <f aca="false">IF(LEFT(AH708,8)="COMPLETE",1,0)</f>
        <v>0</v>
      </c>
      <c r="AK708" s="61" t="n">
        <f aca="false">IF(AND(AI708=1,AJ708=0,AsOfUTC&gt;Q708),1,0)</f>
        <v>0</v>
      </c>
      <c r="AL708" s="61" t="n">
        <f aca="false">IFERROR(IF(AND(AI708=1,OR(TRIM(U708)="Fail",AND(TRIM(AB708)&lt;&gt;"",TRIM(AB708)&lt;&gt;"Closed"),AND(ISNUMBER(AF708),AF708&lt;&gt;0,TRIM(U708)&lt;&gt;"Pass after CA"))),1,0),1)</f>
        <v>0</v>
      </c>
      <c r="AM708" s="61" t="n">
        <f aca="false">IF(LEFT(AH708,7)="INVALID",1,0)</f>
        <v>0</v>
      </c>
      <c r="AN708" s="61" t="n">
        <f aca="false">IF(AND(N708="Clarification required",AI708=1,AJ708=0),1,0)</f>
        <v>0</v>
      </c>
      <c r="AO708" s="61" t="str">
        <f aca="false">IF(AK708=1,SUM(AK$5:AK708),"")</f>
        <v/>
      </c>
      <c r="AP708" s="61" t="str">
        <f aca="false">IF(AL708=1,SUM(AL$5:AL708),"")</f>
        <v/>
      </c>
      <c r="AQ708" s="61" t="n">
        <v>0</v>
      </c>
      <c r="AR708" s="61" t="n">
        <v>0</v>
      </c>
      <c r="AS708" s="61" t="n">
        <v>1</v>
      </c>
      <c r="AT708" s="61" t="n">
        <v>0</v>
      </c>
      <c r="AU708" s="61" t="str">
        <f aca="false">SUBSTITUTE(SUBSTITUTE(SUBSTITUTE(SUBSTITUTE(SUBSTITUTE(SUBSTITUTE(SUBSTITUTE(SUBSTITUTE(SUBSTITUTE(SUBSTITUTE(SUBSTITUTE(SUBSTITUTE(SUBSTITUTE(SUBSTITUTE(SUBSTITUTE(SUBSTITUTE(LOWER(T708&amp;""),CHAR(10),""),CHAR(13),""),CHAR(9),""),CHAR(160),"")," ",""),".",""),"-",""),"/",""),"?",""),"_",""),",",""),"[",""),"]",""),"(",""),")",""),"*","")</f>
        <v/>
      </c>
      <c r="AV708" s="61" t="str">
        <f aca="false">SUBSTITUTE(SUBSTITUTE(SUBSTITUTE(SUBSTITUTE(SUBSTITUTE(SUBSTITUTE(SUBSTITUTE(SUBSTITUTE(SUBSTITUTE(SUBSTITUTE(SUBSTITUTE(SUBSTITUTE(SUBSTITUTE(SUBSTITUTE(SUBSTITUTE(SUBSTITUTE(LOWER(V708&amp;""),CHAR(10),""),CHAR(13),""),CHAR(9),""),CHAR(160),"")," ",""),".",""),"-",""),"/",""),"?",""),"_",""),",",""),"[",""),"]",""),"(",""),")",""),"*","")</f>
        <v/>
      </c>
      <c r="AW708" s="61" t="str">
        <f aca="false">SUBSTITUTE(SUBSTITUTE(SUBSTITUTE(SUBSTITUTE(SUBSTITUTE(SUBSTITUTE(SUBSTITUTE(SUBSTITUTE(SUBSTITUTE(SUBSTITUTE(SUBSTITUTE(SUBSTITUTE(SUBSTITUTE(SUBSTITUTE(SUBSTITUTE(SUBSTITUTE(LOWER(Z708&amp;""),CHAR(10),""),CHAR(13),""),CHAR(9),""),CHAR(160),"")," ",""),".",""),"-",""),"/",""),"?",""),"_",""),",",""),"[",""),"]",""),"(",""),")",""),"*","")</f>
        <v/>
      </c>
      <c r="AX708" s="61" t="str">
        <f aca="false">SUBSTITUTE(SUBSTITUTE(SUBSTITUTE(SUBSTITUTE(SUBSTITUTE(SUBSTITUTE(SUBSTITUTE(SUBSTITUTE(SUBSTITUTE(SUBSTITUTE(SUBSTITUTE(SUBSTITUTE(SUBSTITUTE(SUBSTITUTE(SUBSTITUTE(SUBSTITUTE(LOWER(AE708&amp;""),CHAR(10),""),CHAR(13),""),CHAR(9),""),CHAR(160),"")," ",""),".",""),"-",""),"/",""),"?",""),"_",""),",",""),"[",""),"]",""),"(",""),")",""),"*","")</f>
        <v/>
      </c>
      <c r="AY708" s="61" t="str">
        <f aca="false">SUBSTITUTE(SUBSTITUTE(SUBSTITUTE(SUBSTITUTE(SUBSTITUTE(SUBSTITUTE(SUBSTITUTE(SUBSTITUTE(SUBSTITUTE(SUBSTITUTE(SUBSTITUTE(SUBSTITUTE(SUBSTITUTE(SUBSTITUTE(SUBSTITUTE(SUBSTITUTE(LOWER(W708&amp;""),CHAR(10),""),CHAR(13),""),CHAR(9),""),CHAR(160),"")," ",""),".",""),"-",""),"/",""),"?",""),"_",""),",",""),"[",""),"]",""),"(",""),")",""),"*","")</f>
        <v/>
      </c>
      <c r="AZ708" s="61" t="str">
        <f aca="false">SUBSTITUTE(SUBSTITUTE(SUBSTITUTE(SUBSTITUTE(SUBSTITUTE(SUBSTITUTE(SUBSTITUTE(SUBSTITUTE(SUBSTITUTE(SUBSTITUTE(SUBSTITUTE(SUBSTITUTE(SUBSTITUTE(SUBSTITUTE(SUBSTITUTE(SUBSTITUTE(LOWER(AC708&amp;""),CHAR(10),""),CHAR(13),""),CHAR(9),""),CHAR(160),"")," ",""),".",""),"-",""),"/",""),"?",""),"_",""),",",""),"[",""),"]",""),"(",""),")",""),"*","")</f>
        <v/>
      </c>
      <c r="BA708" s="61" t="str">
        <f aca="false">SUBSTITUTE(SUBSTITUTE(SUBSTITUTE(SUBSTITUTE(SUBSTITUTE(SUBSTITUTE(SUBSTITUTE(SUBSTITUTE(SUBSTITUTE(SUBSTITUTE(SUBSTITUTE(SUBSTITUTE(SUBSTITUTE(SUBSTITUTE(SUBSTITUTE(SUBSTITUTE(LOWER(AA708&amp;""),CHAR(10),""),CHAR(13),""),CHAR(9),""),CHAR(160),"")," ",""),".",""),"-",""),"/",""),"?",""),"_",""),",",""),"[",""),"]",""),"(",""),")",""),"*","")</f>
        <v/>
      </c>
      <c r="BB708" s="61" t="str">
        <f aca="false">IF(AND(TRIM(U708)="Pass",ISNUMBER(AF708)),IF(AF708&lt;&gt;0,"INVALID – qty variance: use Fail or Pass after CA",""),"")&amp;IF(AND(TRIM(U708)="Pass after CA",ISNUMBER(AF708)),IF(AF708&lt;&gt;0,"INVALID – after the corrective action the actual qty must equal expected (update Actual)",""),"")&amp;IF(AND(TRIM(U708)="Pass",TRIM(AB708)&lt;&gt;"",TRIM(AB708)&lt;&gt;"Closed"),"INVALID – corrective action not closed: use Fail, then Pass after CA","")&amp;IF(AND(LEN(BA708)&gt;=2,ISNA(MATCH(LEFT(BA708,255),L_Placeholder,0)),TRIM(AB708)=""),"INVALID – CA status missing for the recorded corrective action","")&amp;IF(AND(TRIM(U708)="Pass after CA",OR(OR(LEN(BA708)&lt;5,ISNUMBER(MATCH(BA708,L_Placeholder,0))),TRIM(AB708)&lt;&gt;"Closed")),"INVALID – corrective action not recorded/closed","")</f>
        <v/>
      </c>
      <c r="BC708" s="61" t="str">
        <f aca="false">" "&amp;TRIM(SUBSTITUTE(SUBSTITUTE(SUBSTITUTE(SUBSTITUTE(SUBSTITUTE(SUBSTITUTE(SUBSTITUTE(SUBSTITUTE(SUBSTITUTE(SUBSTITUTE(SUBSTITUTE(SUBSTITUTE(SUBSTITUTE(SUBSTITUTE(SUBSTITUTE(SUBSTITUTE(SUBSTITUTE(SUBSTITUTE(SUBSTITUTE(SUBSTITUTE(SUBSTITUTE(SUBSTITUTE(SUBSTITUTE(SUBSTITUTE(LOWER(V708&amp;""),CHAR(10)," "),CHAR(13)," "),CHAR(9)," "),CHAR(160)," "),"."," "),","," "),"-"," "),"/"," "),"("," "),")"," "),":"," "),";"," "),"_"," "),"–"," "),"?"," "),"!"," "),"*"," "),"["," "),"]"," "),"'"," "),"#"," "),"+"," "),"&amp;"," "),"\"," "))&amp;" "</f>
        <v>  </v>
      </c>
      <c r="BD708" s="61" t="str">
        <f aca="false">" "&amp;TRIM(SUBSTITUTE(SUBSTITUTE(SUBSTITUTE(SUBSTITUTE(SUBSTITUTE(SUBSTITUTE(SUBSTITUTE(SUBSTITUTE(SUBSTITUTE(SUBSTITUTE(SUBSTITUTE(SUBSTITUTE(SUBSTITUTE(SUBSTITUTE(SUBSTITUTE(SUBSTITUTE(SUBSTITUTE(SUBSTITUTE(SUBSTITUTE(SUBSTITUTE(SUBSTITUTE(SUBSTITUTE(SUBSTITUTE(SUBSTITUTE(LOWER(Z708&amp;""),CHAR(10)," "),CHAR(13)," "),CHAR(9)," "),CHAR(160)," "),"."," "),","," "),"-"," "),"/"," "),"("," "),")"," "),":"," "),";"," "),"_"," "),"–"," "),"?"," "),"!"," "),"*"," "),"["," "),"]"," "),"'"," "),"#"," "),"+"," "),"&amp;"," "),"\"," "))&amp;" "</f>
        <v>  </v>
      </c>
      <c r="BE708" s="61" t="str">
        <f aca="false">" "&amp;TRIM(SUBSTITUTE(SUBSTITUTE(SUBSTITUTE(SUBSTITUTE(SUBSTITUTE(SUBSTITUTE(SUBSTITUTE(SUBSTITUTE(SUBSTITUTE(SUBSTITUTE(SUBSTITUTE(SUBSTITUTE(SUBSTITUTE(SUBSTITUTE(SUBSTITUTE(SUBSTITUTE(SUBSTITUTE(SUBSTITUTE(SUBSTITUTE(SUBSTITUTE(SUBSTITUTE(SUBSTITUTE(SUBSTITUTE(SUBSTITUTE(LOWER(W708&amp;""),CHAR(10)," "),CHAR(13)," "),CHAR(9)," "),CHAR(160)," "),"."," "),","," "),"-"," "),"/"," "),"("," "),")"," "),":"," "),";"," "),"_"," "),"–"," "),"?"," "),"!"," "),"*"," "),"["," "),"]"," "),"'"," "),"#"," "),"+"," "),"&amp;"," "),"\"," "))&amp;" "</f>
        <v>  </v>
      </c>
      <c r="BF708" s="61" t="str">
        <f aca="false">" "&amp;TRIM(SUBSTITUTE(SUBSTITUTE(SUBSTITUTE(SUBSTITUTE(SUBSTITUTE(SUBSTITUTE(SUBSTITUTE(SUBSTITUTE(SUBSTITUTE(SUBSTITUTE(SUBSTITUTE(SUBSTITUTE(SUBSTITUTE(SUBSTITUTE(SUBSTITUTE(SUBSTITUTE(SUBSTITUTE(SUBSTITUTE(SUBSTITUTE(SUBSTITUTE(SUBSTITUTE(SUBSTITUTE(SUBSTITUTE(SUBSTITUTE(LOWER(AC708&amp;""),CHAR(10)," "),CHAR(13)," "),CHAR(9)," "),CHAR(160)," "),"."," "),","," "),"-"," "),"/"," "),"("," "),")"," "),":"," "),";"," "),"_"," "),"–"," "),"?"," "),"!"," "),"*"," "),"["," "),"]"," "),"'"," "),"#"," "),"+"," "),"&amp;"," "),"\"," "))&amp;" "</f>
        <v>  </v>
      </c>
      <c r="BG708" s="61" t="n">
        <f aca="false">IFERROR(IF(AND(TRIM(U708)="Pass",SUMPRODUCT((LEN(BC708)-LEN(SUBSTITUTE(BC708," "&amp;L_ResultBad&amp;" "," ")))/(LEN(L_ResultBad)+1))&gt;SUMPRODUCT((LEN(BC708)-LEN(SUBSTITUTE(BC708," "&amp;L_NegPhrase&amp;" "," ")))/(LEN(L_NegPhrase)+1))),1,0),0)</f>
        <v>0</v>
      </c>
      <c r="BH708" s="61" t="n">
        <f aca="false">IFERROR(IF(SUMPRODUCT((LEN(BC708)-LEN(SUBSTITUTE(BC708," "&amp;L_Pending&amp;" "," ")))/(LEN(L_Pending)+1))&gt;SUMPRODUCT((LEN(BC708)-LEN(SUBSTITUTE(BC708," "&amp;L_PendNeg&amp;" "," ")))/(LEN(L_PendNeg)+1))+SUMPRODUCT((LEN(BC708)-LEN(SUBSTITUTE(BC708," "&amp;L_PendPrep&amp;" "," ")))/(LEN(L_PendPrep)+1)),1,0),1)</f>
        <v>0</v>
      </c>
      <c r="BI708" s="61" t="n">
        <f aca="false">IFERROR(IF(SUMPRODUCT((LEN(BD708)-LEN(SUBSTITUTE(BD708," "&amp;L_PendStrict&amp;" "," ")))/(LEN(L_PendStrict)+1))&gt;SUMPRODUCT((LEN(BD708)-LEN(SUBSTITUTE(BD708," "&amp;L_PendNeg&amp;" "," ")))/(LEN(L_PendNeg)+1)),1,0),1)</f>
        <v>0</v>
      </c>
      <c r="BJ708" s="61" t="n">
        <f aca="false">IFERROR(IF(SUMPRODUCT((LEN(BE708)-LEN(SUBSTITUTE(BE708," "&amp;L_Pending&amp;" "," ")))/(LEN(L_Pending)+1))&gt;SUMPRODUCT((LEN(BE708)-LEN(SUBSTITUTE(BE708," "&amp;L_PendNeg&amp;" "," ")))/(LEN(L_PendNeg)+1))+SUMPRODUCT((LEN(BE708)-LEN(SUBSTITUTE(BE708," "&amp;L_PendPrep&amp;" "," ")))/(LEN(L_PendPrep)+1)),1,0),1)</f>
        <v>0</v>
      </c>
      <c r="BK708" s="61" t="n">
        <f aca="false">IFERROR(IF(SUMPRODUCT((LEN(BF708)-LEN(SUBSTITUTE(BF708," "&amp;L_PendStrict&amp;" "," ")))/(LEN(L_PendStrict)+1))&gt;SUMPRODUCT((LEN(BF708)-LEN(SUBSTITUTE(BF708," "&amp;L_PendNeg&amp;" "," ")))/(LEN(L_PendNeg)+1)),1,0),1)</f>
        <v>0</v>
      </c>
      <c r="BL708" s="61" t="n">
        <f aca="false">IF(ISNA(MATCH(TRIM(S708),L_EvidenceType,0)),0,BZ708)</f>
        <v>0</v>
      </c>
      <c r="BM708" s="61" t="str">
        <f aca="false">SUBSTITUTE(SUBSTITUTE(SUBSTITUTE(SUBSTITUTE(SUBSTITUTE(SUBSTITUTE(SUBSTITUTE(SUBSTITUTE(SUBSTITUTE(LOWER(Z708&amp;""),"1","0"),"2","0"),"3","0"),"4","0"),"5","0"),"6","0"),"7","0"),"8","0"),"9","0")</f>
        <v/>
      </c>
      <c r="BN708" s="61" t="str">
        <f aca="false">SUBSTITUTE(SUBSTITUTE(SUBSTITUTE(SUBSTITUTE(SUBSTITUTE(SUBSTITUTE(SUBSTITUTE(SUBSTITUTE(SUBSTITUTE(SUBSTITUTE(SUBSTITUTE(SUBSTITUTE(SUBSTITUTE(SUBSTITUTE(SUBSTITUTE(SUBSTITUTE(SUBSTITUTE(SUBSTITUTE(SUBSTITUTE(SUBSTITUTE(SUBSTITUTE(SUBSTITUTE(SUBSTITUTE(SUBSTITUTE(SUBSTITUTE(BM708,"b","a"),"c","a"),"d","a"),"e","a"),"f","a"),"g","a"),"h","a"),"i","a"),"j","a"),"k","a"),"l","a"),"m","a"),"n","a"),"o","a"),"p","a"),"q","a"),"r","a"),"s","a"),"t","a"),"u","a"),"v","a"),"w","a"),"x","a"),"y","a"),"z","a")</f>
        <v/>
      </c>
      <c r="BO708" s="61" t="str">
        <f aca="false">SUBSTITUTE(SUBSTITUTE(SUBSTITUTE(SUBSTITUTE(SUBSTITUTE(SUBSTITUTE(SUBSTITUTE(SUBSTITUTE(SUBSTITUTE(LOWER(W708&amp;""),"1","0"),"2","0"),"3","0"),"4","0"),"5","0"),"6","0"),"7","0"),"8","0"),"9","0")</f>
        <v/>
      </c>
      <c r="BP708" s="61" t="str">
        <f aca="false">SUBSTITUTE(SUBSTITUTE(SUBSTITUTE(SUBSTITUTE(SUBSTITUTE(SUBSTITUTE(SUBSTITUTE(SUBSTITUTE(SUBSTITUTE(SUBSTITUTE(SUBSTITUTE(SUBSTITUTE(SUBSTITUTE(SUBSTITUTE(SUBSTITUTE(SUBSTITUTE(SUBSTITUTE(SUBSTITUTE(SUBSTITUTE(SUBSTITUTE(SUBSTITUTE(SUBSTITUTE(SUBSTITUTE(SUBSTITUTE(SUBSTITUTE(BO708,"b","a"),"c","a"),"d","a"),"e","a"),"f","a"),"g","a"),"h","a"),"i","a"),"j","a"),"k","a"),"l","a"),"m","a"),"n","a"),"o","a"),"p","a"),"q","a"),"r","a"),"s","a"),"t","a"),"u","a"),"v","a"),"w","a"),"x","a"),"y","a"),"z","a")</f>
        <v/>
      </c>
      <c r="BQ708" s="61" t="n">
        <f aca="false">IFERROR(IF(AND(ISERROR(SEARCH(" mh"," "&amp;LOWER(W708))),ISNA(MATCH(LEFT(TRIM(BP708),255),{"0000a","000a","00a","0000aa","000aa","00aa","0aa","0000aaa","000aaa","00a00","0a00","0000-0000","00:00","a00","a0","00.00.0000","00/00/0000","00-00-0000","0000-00-00","0000/00/00","0000.00.00","00.00.00","00/00/00","00-00-00","0.00.0000","0/00/0000","0-00-0000"},0)),ISNA(MATCH(LEFT(TRIM(CA708),255),{"0000a","000a","00a","0000aa","000aa","00aa","0aa","0000aaa","000aaa","00a00","0a00","0000-0000","00:00","a00","a0","00.00.0000","00/00/0000","00-00-0000","0000-00-00","0000/00/00","0000.00.00","00.00.00","00/00/00","00-00-00","0.00.0000","0/00/0000","0-00-0000"},0)),LEN(CB708)&gt;=3,NOT(OR(SUBSTITUTE(CB708,"0","")="",AND(LEN(CB708)&gt;=4,CB708=REPT(LEFT(CB708),LEN(CB708))),ISNUMBER(MATCH(CB708,{"123","1234","12345","123456","1234567","12345678","0123","01234","012345","98765","987654","54321"},0)),AND(LEN(CB708)=8,LEFT(CB708,3)="202"))),OR(AND((LEN(CA708)-LEN(SUBSTITUTE(CA708,"a","")))&gt;=1,SUMPRODUCT(--ISNUMBER(SEARCH({"a0","a-0","a_0","a/0","a.0","a#0","0a","0-a","0_a","0/a"},BP708)))&gt;0),ISNUMBER(SEARCH("000000",BP708)))),1,0),0)</f>
        <v>0</v>
      </c>
      <c r="BR708" s="61" t="n">
        <f aca="false">IFERROR(LEN(SUBSTITUTE(CC708," ",""))-SUMPRODUCT((LEN(CC708)-LEN(SUBSTITUTE(CC708," "&amp;L_Role&amp;" "," ")))/(LEN(L_Role)+1)*LEN(L_Role)),0)</f>
        <v>0</v>
      </c>
      <c r="BS708" s="61" t="n">
        <f aca="false">IFERROR(LEN(SUBSTITUTE(CD708," ",""))-SUMPRODUCT((LEN(CD708)-LEN(SUBSTITUTE(CD708," "&amp;L_Role&amp;" "," ")))/(LEN(L_Role)+1)*LEN(L_Role)),0)</f>
        <v>0</v>
      </c>
      <c r="BT7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708,"revision",""),"version",""),"jan",""),"feb",""),"mar",""),"apr",""),"may",""),"jun",""),"jul",""),"aug",""),"sep",""),"oct",""),"nov",""),"dec",""),"utc",""),"gmt",""),"myt",""),"bst",""),"rev",""),"ver",""),"b","a"),"c","a"),"d","a"),"e","a"),"f","a"),"g","a"),"h","a"),"i","a"),"j","a"),"k","a"),"l","a"),"m","a"),"n","a"),"o","a"),"p","a"),"q","a"),"r","a"),"s","a"),"t","a"),"u","a"),"v","a"),"w","a"),"x","a"),"y","a"),"z","a")</f>
        <v/>
      </c>
      <c r="BU708" s="61" t="str">
        <f aca="false">SUBSTITUTE(SUBSTITUTE(SUBSTITUTE(SUBSTITUTE(SUBSTITUTE(SUBSTITUTE(SUBSTITUTE(SUBSTITUTE(SUBSTITUTE(SUBSTITUTE(LEFT(BM708,FIND("0",BM708&amp;"0")-1),"-",""),"_",""),"/",""),".",""),"#",""),"\\",""),":","")," ",""),"(",""),")","")</f>
        <v/>
      </c>
      <c r="BV708" s="61" t="n">
        <f aca="false">0</f>
        <v>0</v>
      </c>
      <c r="BW70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708&amp;""),"a",""),"b",""),"c",""),"d",""),"e",""),"f",""),"g",""),"h",""),"i",""),"j",""),"k",""),"l",""),"m",""),"n",""),"o",""),"p",""),"q",""),"r",""),"s",""),"t",""),"u",""),"v",""),"w",""),"x",""),"y",""),"z",""),"-",""),"_",""),"/",""),".",""),"#",""),"\\",""),":","")," ",""),"(",""),")","")</f>
        <v/>
      </c>
      <c r="BX708" s="61" t="str">
        <f aca="false">SUBSTITUTE(SUBSTITUTE(SUBSTITUTE(SUBSTITUTE(SUBSTITUTE(SUBSTITUTE(SUBSTITUTE(SUBSTITUTE(SUBSTITUTE(SUBSTITUTE(SUBSTITUTE(BM708,"0",""),"-",""),"_",""),"/",""),".",""),"#",""),"\\",""),":","")," ",""),"(",""),")","")</f>
        <v/>
      </c>
      <c r="BY708" s="62" t="n">
        <f aca="false">Q708-T7EarlyD*24/24</f>
        <v>46304.6388888889</v>
      </c>
      <c r="BZ708" s="61" t="n">
        <f aca="false">IFERROR(IF(IF(TRIM(S708)="Link / file path",AND(LEN(TRIM(Z708))&gt;=5,SUMPRODUCT(--ISNUMBER(SEARCH({"http","www.","\\",":\",".pdf",".jpg",".jpeg",".png",".heic",".xls",".doc",".msg",".eml",".ppt",".txt",".zip"},Z708)))&gt;0),AND(ISERROR(FIND(" ",TRIM(Z708))),NOT(OR(SUMPRODUCT(--ISNUMBER(FIND({",",";","&amp;","+"},Z708)))&gt;0,SUMPRODUCT(--ISNUMBER(SEARCH({"0/aa","0\\aa"},BN708)))&gt;0)),NOT(SUMPRODUCT(--ISNUMBER(SEARCH({"http","www.","\\",":\",".pdf",".jpg",".jpeg",".png",".heic",".xls",".doc",".msg",".eml",".ppt",".txt",".zip"},Z708)))&gt;0),NOT(LOWER(TRIM(Z708))=LOWER(Flights!$F$26)),ISNA(MATCH(BU708,{"mh","rev","revision","ver","version","v","r","a","b","seat","tray","row","gate","bay","stand","page","pg","item","line","no","cart","galley","flight","flt","table","box","bag","oven","etd","eta","std","sta","atd","ata","qty","pax","x","time","tel","ph","mob","day","wk","week","utc","gmt","myt","lt"},0)),NOT(OR(ISNUMBER(MATCH(LEFT(BN708,255),{"0000a","000a","00a","0000aa","000aa","00aa","0aa","0000aaa","000aaa","00a00","0a00","0000-0000","00:00","a00","a0","00.00.0000","00/00/0000","00-00-0000","0000-00-00","0000/00/00","0000.00.00","00.00.00","00/00/00","00-00-00","0.00.0000","0/00/0000","0-00-0000"},0)),ISNUMBER(MATCH(LEFT(BT708,255),{"0000a","000a","00a","0000aa","000aa","00aa","0aa","0000aaa","000aaa","00a00","0a00","0000-0000","00:00","a00","a0","00.00.0000","00/00/0000","00-00-0000","0000-00-00","0000/00/00","0000.00.00","00.00.00","00/00/00","00-00-00","0.00.0000","0/00/0000","0-00-0000"},0)))),NOT(OR(AND(BW708&lt;&gt;"",SUBSTITUTE(BW708,"0","")=""),AND(LEN(BW708)&gt;=4,BW708=REPT(LEFT(BW708),LEN(BW708))),ISNUMBER(MATCH(BW708,{"123","1234","12345","123456","1234567","12345678","0123","01234","012345","98765","987654","54321"},0)),ISNUMBER(MATCH(BX708,{"x","xx","xxx","xxxx","xxxxx","abc","abcd","nil","na","nan","test","tbc","tba","tbd","dummy","sample","example","eg","zz","zzz","none","null","xyz","qwe","asd","id","ref"},0)),AND(LEN(BW708)=8,BX708="",OR(LEFT(BW708,3)="202",ISNUMBER(MATCH(RIGHT(BW708,4),{"2025","2026","2027"},0)))))),OR(AND((LEN(BT708)-LEN(SUBSTITUTE(BT708,"a","")))&gt;=1,(LEN(BN708)-LEN(SUBSTITUTE(BN708,"0","")))&gt;=2,SUMPRODUCT(--ISNUMBER(SEARCH({"a0","a-0","a_0","a/0","a.0","a#0","0a","0-a","0_a","0/a"},BN708)))&gt;0),AND((LEN(BN708)-LEN(SUBSTITUTE(BN708,"a","")))=0,(LEN(BN708)-LEN(SUBSTITUTE(BN708,"0","")))&gt;=5)))),1,0),0)</f>
        <v>0</v>
      </c>
      <c r="CA7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708,"revision",""),"version",""),"jan",""),"feb",""),"mar",""),"apr",""),"may",""),"jun",""),"jul",""),"aug",""),"sep",""),"oct",""),"nov",""),"dec",""),"utc",""),"gmt",""),"myt",""),"bst",""),"rev",""),"ver",""),"b","a"),"c","a"),"d","a"),"e","a"),"f","a"),"g","a"),"h","a"),"i","a"),"j","a"),"k","a"),"l","a"),"m","a"),"n","a"),"o","a"),"p","a"),"q","a"),"r","a"),"s","a"),"t","a"),"u","a"),"v","a"),"w","a"),"x","a"),"y","a"),"z","a")</f>
        <v/>
      </c>
      <c r="CB70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708&amp;""),"a",""),"b",""),"c",""),"d",""),"e",""),"f",""),"g",""),"h",""),"i",""),"j",""),"k",""),"l",""),"m",""),"n",""),"o",""),"p",""),"q",""),"r",""),"s",""),"t",""),"u",""),"v",""),"w",""),"x",""),"y",""),"z",""),"-",""),"_",""),"/",""),".",""),"#",""),"\\",""),":","")," ",""),"(",""),")","")</f>
        <v/>
      </c>
      <c r="CC708" s="0" t="str">
        <f aca="false">" "&amp;TRIM(SUBSTITUTE(SUBSTITUTE(SUBSTITUTE(SUBSTITUTE(SUBSTITUTE(SUBSTITUTE(SUBSTITUTE(SUBSTITUTE(SUBSTITUTE(SUBSTITUTE(SUBSTITUTE(SUBSTITUTE(SUBSTITUTE(SUBSTITUTE(SUBSTITUTE(SUBSTITUTE(SUBSTITUTE(SUBSTITUTE(SUBSTITUTE(SUBSTITUTE(SUBSTITUTE(SUBSTITUTE(SUBSTITUTE(SUBSTITUTE(LOWER(T708&amp;""),CHAR(10)," "),CHAR(13)," "),CHAR(9)," "),CHAR(160)," "),"."," "),","," "),"-"," "),"/"," "),"("," "),")"," "),":"," "),";"," "),"_"," "),"–"," "),"?"," "),"!"," "),"*"," "),"["," "),"]"," "),"'"," "),"#"," "),"+"," "),"&amp;"," "),"\"," "))&amp;" "</f>
        <v>  </v>
      </c>
      <c r="CD708" s="0" t="str">
        <f aca="false">" "&amp;TRIM(SUBSTITUTE(SUBSTITUTE(SUBSTITUTE(SUBSTITUTE(SUBSTITUTE(SUBSTITUTE(SUBSTITUTE(SUBSTITUTE(SUBSTITUTE(SUBSTITUTE(SUBSTITUTE(SUBSTITUTE(SUBSTITUTE(SUBSTITUTE(SUBSTITUTE(SUBSTITUTE(SUBSTITUTE(SUBSTITUTE(SUBSTITUTE(SUBSTITUTE(SUBSTITUTE(SUBSTITUTE(SUBSTITUTE(SUBSTITUTE(LOWER(AE708&amp;""),CHAR(10)," "),CHAR(13)," "),CHAR(9)," "),CHAR(160)," "),"."," "),","," "),"-"," "),"/"," "),"("," "),")"," "),":"," "),";"," "),"_"," "),"–"," "),"?"," "),"!"," "),"*"," "),"["," "),"]"," "),"'"," "),"#"," "),"+"," "),"&amp;"," "),"\"," "))&amp;" "</f>
        <v>  </v>
      </c>
      <c r="CE708" s="68" t="n">
        <f aca="false">IFERROR(IF(AND(LEN(AU708)&gt;0,LEN(AU708)=LEN(AX708),OR(TRIM(MID(SUBSTITUTE(TRIM(CC708)," ",REPT(" ",60)),1,60))="",ISNUMBER(SEARCH(" "&amp;TRIM(MID(SUBSTITUTE(TRIM(CC708)," ",REPT(" ",60)),1,60))&amp;" ",CD708))),OR(TRIM(MID(SUBSTITUTE(TRIM(CC708)," ",REPT(" ",60)),61,60))="",ISNUMBER(SEARCH(" "&amp;TRIM(MID(SUBSTITUTE(TRIM(CC708)," ",REPT(" ",60)),61,60))&amp;" ",CD708))),OR(TRIM(MID(SUBSTITUTE(TRIM(CC708)," ",REPT(" ",60)),121,60))="",ISNUMBER(SEARCH(" "&amp;TRIM(MID(SUBSTITUTE(TRIM(CC708)," ",REPT(" ",60)),121,60))&amp;" ",CD708)))),1,0),0)</f>
        <v>0</v>
      </c>
      <c r="CG708" s="68" t="n">
        <f aca="false">IFERROR(LEN(SUBSTITUTE(BF708," ",""))-SUMPRODUCT((LEN(BF708)-LEN(SUBSTITUTE(BF708," "&amp;L_NAFiller&amp;" "," ")))/(LEN(L_NAFiller)+1)*LEN(L_NAFiller)),0)</f>
        <v>0</v>
      </c>
    </row>
    <row r="709" customFormat="false" ht="39.75" hidden="false" customHeight="true" outlineLevel="0" collapsed="false">
      <c r="A709" s="57" t="s">
        <v>1443</v>
      </c>
      <c r="B709" s="57" t="s">
        <v>312</v>
      </c>
      <c r="C709" s="57" t="str">
        <f aca="false">Flights!$F$26</f>
        <v>MH0002</v>
      </c>
      <c r="D709" s="58" t="n">
        <f aca="false">Flights!$D$26</f>
        <v>46325</v>
      </c>
      <c r="E709" s="57" t="str">
        <f aca="false">Flights!$G$26&amp;"-"&amp;Flights!$H$26</f>
        <v>KUL-LHR</v>
      </c>
      <c r="F709" s="57" t="str">
        <f aca="false">Flights!$K$26</f>
        <v>BC</v>
      </c>
      <c r="G709" s="57" t="s">
        <v>81</v>
      </c>
      <c r="H709" s="57" t="s">
        <v>378</v>
      </c>
      <c r="I709" s="57" t="s">
        <v>405</v>
      </c>
      <c r="J709" s="57" t="s">
        <v>409</v>
      </c>
      <c r="K709" s="67" t="s">
        <v>407</v>
      </c>
      <c r="L709" s="67" t="s">
        <v>382</v>
      </c>
      <c r="M709" s="67"/>
      <c r="N709" s="67" t="s">
        <v>383</v>
      </c>
      <c r="O709" s="67"/>
      <c r="P709" s="57" t="s">
        <v>187</v>
      </c>
      <c r="Q709" s="59" t="n">
        <f aca="false">ROUND((Flights!$AC$26)*1440,0)/1440</f>
        <v>46318.6388888889</v>
      </c>
      <c r="R709" s="59" t="n">
        <f aca="false">Q709+(IF(AND(INDEX(TZ_DSTS,MATCH(P709,TZ_STN,0))&lt;&gt;"",Q709&gt;=INDEX(TZ_DSTS,MATCH(P709,TZ_STN,0)),Q709&lt;INDEX(TZ_DSTE,MATCH(P709,TZ_STN,0))),INDEX(TZ_DST,MATCH(P709,TZ_STN,0)),INDEX(TZ_STD,MATCH(P709,TZ_STN,0))))/24</f>
        <v>46318.9722222222</v>
      </c>
      <c r="S709" s="60"/>
      <c r="T709" s="60"/>
      <c r="U709" s="60"/>
      <c r="V709" s="60"/>
      <c r="W709" s="61"/>
      <c r="X709" s="60"/>
      <c r="Y709" s="60"/>
      <c r="Z709" s="60"/>
      <c r="AA709" s="60"/>
      <c r="AB709" s="60"/>
      <c r="AC709" s="60"/>
      <c r="AD709" s="66"/>
      <c r="AE709" s="60"/>
      <c r="AF709" s="61" t="str">
        <f aca="false">IF(AND(ISNUMBER(X709),ISNUMBER(Y709)),Y709-X709,"")</f>
        <v/>
      </c>
      <c r="AG709" s="62" t="str">
        <f aca="false">IF(ISNUMBER(AD709),AD709-(IF(AND(INDEX(TZ_DSTS,MATCH(P709,TZ_STN,0))&lt;&gt;"",(AD709-INDEX(TZ_STD,MATCH(P709,TZ_STN,0))/24)&gt;=INDEX(TZ_DSTS,MATCH(P709,TZ_STN,0)),(AD709-INDEX(TZ_STD,MATCH(P709,TZ_STN,0))/24)&lt;INDEX(TZ_DSTE,MATCH(P709,TZ_STN,0))),INDEX(TZ_DST,MATCH(P709,TZ_STN,0)),INDEX(TZ_STD,MATCH(P709,TZ_STN,0))))/24,"")</f>
        <v/>
      </c>
      <c r="AH709" s="65" t="str">
        <f aca="false">IFERROR(IF(N709="N/A – rule",IF(OR(TRIM(U709)="",TRIM(U709)="N/A",TRIM(U709)="Not started"),"N/A – RULE","INVALID – this check does not apply to this aircraft: clear the status (or correct the fleet on Flights)"),IF(TRIM(U709)="N/A",IF(AT709=0,"INVALID – N/A not permitted for this check",IF(AND(TRIM(AB709)&lt;&gt;"",TRIM(AB709)&lt;&gt;"Closed"),"INVALID – corrective action still open",IF(AND(NOT(OR(LEN(AZ709)&lt;15,ISNUMBER(MATCH(AZ709,L_Placeholder,0)))),BK709=0,CG709&gt;=8,NOT(OR(LEN(AU709)&lt;2,ISNUMBER(MATCH(AU709,L_Placeholder,0)))),BR709&gt;=3,NOT(OR(LEN(AX709)&lt;2,ISNUMBER(MATCH(AX709,L_Placeholder,0)))),BS709&gt;=3,TRIM(AE709)&lt;&gt;TRIM(T709),AX709&lt;&gt;AU709,CE709=0),"N/A – JUSTIFIED","INVALID – N/A needs a real, settled reason (not 'not applicable' / 'as above' / TBC), a named PIC and a different named verifier"))),IF(OR(TRIM(U709)="Pass",TRIM(U709)="Pass after CA"),IF(NOT(ISNUMBER(AD709)),"INVALID – completion time missing",IF(OR(OR(LEN(AU709)&lt;2,ISNUMBER(MATCH(AU709,L_Placeholder,0))),BR709&lt;3),"INVALID – PIC missing or not a named person (a role such as QA / CSM is not a name)",IF(OR(LEN(AV709)&lt;2,ISNUMBER(MATCH(AV709,L_Placeholder,0))),"INVALID – result / assessment missing",IF(OR(OR(LEN(AW709)&lt;3,ISNUMBER(MATCH(AW709,L_Placeholder,0))),SUMPRODUCT(--ISNUMBER(SEARCH(" "&amp;L_EvidencePhrase&amp;" ",BD709)))&gt;0,BI709=1),"INVALID – evidence missing, placeholder or not yet on file",IF(ISNA(MATCH(TRIM(S709),L_EvidenceType,0)),"INVALID – choose the evidence type from the list (column S)",IF(BL709=0,"INVALID – evidence ID must be the record's own ID only (e.g. SF-2210, IMG_2231, 1045521); a link / file name needs type 'Link / file path'",IF(OR(OR(LEN(AX709)&lt;2,ISNUMBER(MATCH(AX709,L_Placeholder,0))),BS709&lt;3),"INVALID – verifier missing or not a named person (a role such as QA / CSM is not a name)",IF(OR(AX709=AU709,CE709=1,AND(LEN(AU709)&gt;=4,ISNUMBER(SEARCH(AU709,AX709))),AND(LEN(AX709)&gt;=4,ISNUMBER(SEARCH(AX709,AU709)))),"INVALID – verifier must be a different, named person (not the PIC or a role)",IF(BH709=1,"INVALID – result not yet available (awaiting / TBC)",IF(BG709=1,"INVALID – result describes a problem: record Fail, then Pass after CA (or reword if it is not a problem)",IF(BV709=1,"INVALID – wording says not on board: an on-board confirmation needs the item loaded",IF(AND(AQ709=1,OR(OR(LEN(AY709)&lt;3,ISNUMBER(MATCH(AY709,L_Placeholder,0))),BJ709=1,BQ709=0)),"INVALID – batch ID missing, placeholder or not an ID (e.g. PASB-261008-BC-017)",IF(AND(AR709=1,OR(NOT(ISNUMBER(X709)),NOT(ISNUMBER(Y709)))),"INVALID – expected/actual qty missing",IF(AND(AR709=1,OR(X709&lt;=0,Y709&lt;0)),"INVALID – expected qty must be above 0 and actual not negative",IF(BB709&lt;&gt;"",BB709,IF(AND(AS709=1,Documents!$J$26&lt;&gt;"ON FILE"),"INVALID – GLD not on file (Documents sheet)",IF(AND(AS709=2,Documents!$O$26&lt;&gt;"ON FILE"),"INVALID – menu checklist not on file (Documents sheet)",IF(AND(AS709=3,NOT(ISNUMBER(Flights!$AX$26))),"INVALID – enter carrying flight KUL departure (Flights AX)",IF(AND(AS709=3,OR(Flights!$AZ$26&gt;Flights!$AA$26,Flights!$AX$26&lt;Flights!$AA$26-3)),"INVALID – carrying flight (Flights AX) cannot arrive before this leg's STD, or is over 3 days early",IF(AG709&gt;AsOfUTC,"INVALID – completion time is in the future",IF(AND(ISNUMBER(BY709),AG709&lt;BY709),IF(H709="Physical uplift","INVALID – before uplift window (cannot confirm loading)","INVALID – before valid window"),IF(AG709&gt;Flights!$AA$26,"INVALID – completed after departure (cannot establish readiness)",IF(AND(H709="Preparation",AG709&gt;=IF(ISNUMBER(Flights!$BA$26),MIN(Flights!$BA$26,Flights!$AA$26),Flights!$AA$26)),"INVALID – completed after loading / departure (cannot establish readiness)",IF(AND(H709="Physical uplift",AG709&gt;Q709),"INVALID – recorded after the loading flight departed",IF(AG709&gt;Q709,"COMPLETE – LATE","COMPLETE"))))))))))))))))))))))))),IF(TRIM(U709)="Fail","FAIL – DISCREPANCY",IF(AND(TRIM(U709)&lt;&gt;"",TRIM(U709)&lt;&gt;"Not started",TRIM(U709)&lt;&gt;"In progress"),"INVALID – unrecognised status (use the list)",IF(AsOfUTC&gt;Q709,"OVERDUE",IF(N709="Clarification required","OPEN – CLARIFICATION","OPEN"))))))),"INVALID – error value in an input cell")</f>
        <v>OPEN</v>
      </c>
      <c r="AI709" s="61" t="n">
        <f aca="false">IF(OR(AH709="N/A – RULE",AH709="N/A – JUSTIFIED"),0,1)</f>
        <v>1</v>
      </c>
      <c r="AJ709" s="61" t="n">
        <f aca="false">IF(LEFT(AH709,8)="COMPLETE",1,0)</f>
        <v>0</v>
      </c>
      <c r="AK709" s="61" t="n">
        <f aca="false">IF(AND(AI709=1,AJ709=0,AsOfUTC&gt;Q709),1,0)</f>
        <v>0</v>
      </c>
      <c r="AL709" s="61" t="n">
        <f aca="false">IFERROR(IF(AND(AI709=1,OR(TRIM(U709)="Fail",AND(TRIM(AB709)&lt;&gt;"",TRIM(AB709)&lt;&gt;"Closed"),AND(ISNUMBER(AF709),AF709&lt;&gt;0,TRIM(U709)&lt;&gt;"Pass after CA"))),1,0),1)</f>
        <v>0</v>
      </c>
      <c r="AM709" s="61" t="n">
        <f aca="false">IF(LEFT(AH709,7)="INVALID",1,0)</f>
        <v>0</v>
      </c>
      <c r="AN709" s="61" t="n">
        <f aca="false">IF(AND(N709="Clarification required",AI709=1,AJ709=0),1,0)</f>
        <v>0</v>
      </c>
      <c r="AO709" s="61" t="str">
        <f aca="false">IF(AK709=1,SUM(AK$5:AK709),"")</f>
        <v/>
      </c>
      <c r="AP709" s="61" t="str">
        <f aca="false">IF(AL709=1,SUM(AL$5:AL709),"")</f>
        <v/>
      </c>
      <c r="AQ709" s="61" t="n">
        <v>0</v>
      </c>
      <c r="AR709" s="61" t="n">
        <v>0</v>
      </c>
      <c r="AS709" s="61" t="n">
        <v>2</v>
      </c>
      <c r="AT709" s="61" t="n">
        <v>0</v>
      </c>
      <c r="AU709" s="61" t="str">
        <f aca="false">SUBSTITUTE(SUBSTITUTE(SUBSTITUTE(SUBSTITUTE(SUBSTITUTE(SUBSTITUTE(SUBSTITUTE(SUBSTITUTE(SUBSTITUTE(SUBSTITUTE(SUBSTITUTE(SUBSTITUTE(SUBSTITUTE(SUBSTITUTE(SUBSTITUTE(SUBSTITUTE(LOWER(T709&amp;""),CHAR(10),""),CHAR(13),""),CHAR(9),""),CHAR(160),"")," ",""),".",""),"-",""),"/",""),"?",""),"_",""),",",""),"[",""),"]",""),"(",""),")",""),"*","")</f>
        <v/>
      </c>
      <c r="AV709" s="61" t="str">
        <f aca="false">SUBSTITUTE(SUBSTITUTE(SUBSTITUTE(SUBSTITUTE(SUBSTITUTE(SUBSTITUTE(SUBSTITUTE(SUBSTITUTE(SUBSTITUTE(SUBSTITUTE(SUBSTITUTE(SUBSTITUTE(SUBSTITUTE(SUBSTITUTE(SUBSTITUTE(SUBSTITUTE(LOWER(V709&amp;""),CHAR(10),""),CHAR(13),""),CHAR(9),""),CHAR(160),"")," ",""),".",""),"-",""),"/",""),"?",""),"_",""),",",""),"[",""),"]",""),"(",""),")",""),"*","")</f>
        <v/>
      </c>
      <c r="AW709" s="61" t="str">
        <f aca="false">SUBSTITUTE(SUBSTITUTE(SUBSTITUTE(SUBSTITUTE(SUBSTITUTE(SUBSTITUTE(SUBSTITUTE(SUBSTITUTE(SUBSTITUTE(SUBSTITUTE(SUBSTITUTE(SUBSTITUTE(SUBSTITUTE(SUBSTITUTE(SUBSTITUTE(SUBSTITUTE(LOWER(Z709&amp;""),CHAR(10),""),CHAR(13),""),CHAR(9),""),CHAR(160),"")," ",""),".",""),"-",""),"/",""),"?",""),"_",""),",",""),"[",""),"]",""),"(",""),")",""),"*","")</f>
        <v/>
      </c>
      <c r="AX709" s="61" t="str">
        <f aca="false">SUBSTITUTE(SUBSTITUTE(SUBSTITUTE(SUBSTITUTE(SUBSTITUTE(SUBSTITUTE(SUBSTITUTE(SUBSTITUTE(SUBSTITUTE(SUBSTITUTE(SUBSTITUTE(SUBSTITUTE(SUBSTITUTE(SUBSTITUTE(SUBSTITUTE(SUBSTITUTE(LOWER(AE709&amp;""),CHAR(10),""),CHAR(13),""),CHAR(9),""),CHAR(160),"")," ",""),".",""),"-",""),"/",""),"?",""),"_",""),",",""),"[",""),"]",""),"(",""),")",""),"*","")</f>
        <v/>
      </c>
      <c r="AY709" s="61" t="str">
        <f aca="false">SUBSTITUTE(SUBSTITUTE(SUBSTITUTE(SUBSTITUTE(SUBSTITUTE(SUBSTITUTE(SUBSTITUTE(SUBSTITUTE(SUBSTITUTE(SUBSTITUTE(SUBSTITUTE(SUBSTITUTE(SUBSTITUTE(SUBSTITUTE(SUBSTITUTE(SUBSTITUTE(LOWER(W709&amp;""),CHAR(10),""),CHAR(13),""),CHAR(9),""),CHAR(160),"")," ",""),".",""),"-",""),"/",""),"?",""),"_",""),",",""),"[",""),"]",""),"(",""),")",""),"*","")</f>
        <v/>
      </c>
      <c r="AZ709" s="61" t="str">
        <f aca="false">SUBSTITUTE(SUBSTITUTE(SUBSTITUTE(SUBSTITUTE(SUBSTITUTE(SUBSTITUTE(SUBSTITUTE(SUBSTITUTE(SUBSTITUTE(SUBSTITUTE(SUBSTITUTE(SUBSTITUTE(SUBSTITUTE(SUBSTITUTE(SUBSTITUTE(SUBSTITUTE(LOWER(AC709&amp;""),CHAR(10),""),CHAR(13),""),CHAR(9),""),CHAR(160),"")," ",""),".",""),"-",""),"/",""),"?",""),"_",""),",",""),"[",""),"]",""),"(",""),")",""),"*","")</f>
        <v/>
      </c>
      <c r="BA709" s="61" t="str">
        <f aca="false">SUBSTITUTE(SUBSTITUTE(SUBSTITUTE(SUBSTITUTE(SUBSTITUTE(SUBSTITUTE(SUBSTITUTE(SUBSTITUTE(SUBSTITUTE(SUBSTITUTE(SUBSTITUTE(SUBSTITUTE(SUBSTITUTE(SUBSTITUTE(SUBSTITUTE(SUBSTITUTE(LOWER(AA709&amp;""),CHAR(10),""),CHAR(13),""),CHAR(9),""),CHAR(160),"")," ",""),".",""),"-",""),"/",""),"?",""),"_",""),",",""),"[",""),"]",""),"(",""),")",""),"*","")</f>
        <v/>
      </c>
      <c r="BB709" s="61" t="str">
        <f aca="false">IF(AND(TRIM(U709)="Pass",ISNUMBER(AF709)),IF(AF709&lt;&gt;0,"INVALID – qty variance: use Fail or Pass after CA",""),"")&amp;IF(AND(TRIM(U709)="Pass after CA",ISNUMBER(AF709)),IF(AF709&lt;&gt;0,"INVALID – after the corrective action the actual qty must equal expected (update Actual)",""),"")&amp;IF(AND(TRIM(U709)="Pass",TRIM(AB709)&lt;&gt;"",TRIM(AB709)&lt;&gt;"Closed"),"INVALID – corrective action not closed: use Fail, then Pass after CA","")&amp;IF(AND(LEN(BA709)&gt;=2,ISNA(MATCH(LEFT(BA709,255),L_Placeholder,0)),TRIM(AB709)=""),"INVALID – CA status missing for the recorded corrective action","")&amp;IF(AND(TRIM(U709)="Pass after CA",OR(OR(LEN(BA709)&lt;5,ISNUMBER(MATCH(BA709,L_Placeholder,0))),TRIM(AB709)&lt;&gt;"Closed")),"INVALID – corrective action not recorded/closed","")</f>
        <v/>
      </c>
      <c r="BC709" s="61" t="str">
        <f aca="false">" "&amp;TRIM(SUBSTITUTE(SUBSTITUTE(SUBSTITUTE(SUBSTITUTE(SUBSTITUTE(SUBSTITUTE(SUBSTITUTE(SUBSTITUTE(SUBSTITUTE(SUBSTITUTE(SUBSTITUTE(SUBSTITUTE(SUBSTITUTE(SUBSTITUTE(SUBSTITUTE(SUBSTITUTE(SUBSTITUTE(SUBSTITUTE(SUBSTITUTE(SUBSTITUTE(SUBSTITUTE(SUBSTITUTE(SUBSTITUTE(SUBSTITUTE(LOWER(V709&amp;""),CHAR(10)," "),CHAR(13)," "),CHAR(9)," "),CHAR(160)," "),"."," "),","," "),"-"," "),"/"," "),"("," "),")"," "),":"," "),";"," "),"_"," "),"–"," "),"?"," "),"!"," "),"*"," "),"["," "),"]"," "),"'"," "),"#"," "),"+"," "),"&amp;"," "),"\"," "))&amp;" "</f>
        <v>  </v>
      </c>
      <c r="BD709" s="61" t="str">
        <f aca="false">" "&amp;TRIM(SUBSTITUTE(SUBSTITUTE(SUBSTITUTE(SUBSTITUTE(SUBSTITUTE(SUBSTITUTE(SUBSTITUTE(SUBSTITUTE(SUBSTITUTE(SUBSTITUTE(SUBSTITUTE(SUBSTITUTE(SUBSTITUTE(SUBSTITUTE(SUBSTITUTE(SUBSTITUTE(SUBSTITUTE(SUBSTITUTE(SUBSTITUTE(SUBSTITUTE(SUBSTITUTE(SUBSTITUTE(SUBSTITUTE(SUBSTITUTE(LOWER(Z709&amp;""),CHAR(10)," "),CHAR(13)," "),CHAR(9)," "),CHAR(160)," "),"."," "),","," "),"-"," "),"/"," "),"("," "),")"," "),":"," "),";"," "),"_"," "),"–"," "),"?"," "),"!"," "),"*"," "),"["," "),"]"," "),"'"," "),"#"," "),"+"," "),"&amp;"," "),"\"," "))&amp;" "</f>
        <v>  </v>
      </c>
      <c r="BE709" s="61" t="str">
        <f aca="false">" "&amp;TRIM(SUBSTITUTE(SUBSTITUTE(SUBSTITUTE(SUBSTITUTE(SUBSTITUTE(SUBSTITUTE(SUBSTITUTE(SUBSTITUTE(SUBSTITUTE(SUBSTITUTE(SUBSTITUTE(SUBSTITUTE(SUBSTITUTE(SUBSTITUTE(SUBSTITUTE(SUBSTITUTE(SUBSTITUTE(SUBSTITUTE(SUBSTITUTE(SUBSTITUTE(SUBSTITUTE(SUBSTITUTE(SUBSTITUTE(SUBSTITUTE(LOWER(W709&amp;""),CHAR(10)," "),CHAR(13)," "),CHAR(9)," "),CHAR(160)," "),"."," "),","," "),"-"," "),"/"," "),"("," "),")"," "),":"," "),";"," "),"_"," "),"–"," "),"?"," "),"!"," "),"*"," "),"["," "),"]"," "),"'"," "),"#"," "),"+"," "),"&amp;"," "),"\"," "))&amp;" "</f>
        <v>  </v>
      </c>
      <c r="BF709" s="61" t="str">
        <f aca="false">" "&amp;TRIM(SUBSTITUTE(SUBSTITUTE(SUBSTITUTE(SUBSTITUTE(SUBSTITUTE(SUBSTITUTE(SUBSTITUTE(SUBSTITUTE(SUBSTITUTE(SUBSTITUTE(SUBSTITUTE(SUBSTITUTE(SUBSTITUTE(SUBSTITUTE(SUBSTITUTE(SUBSTITUTE(SUBSTITUTE(SUBSTITUTE(SUBSTITUTE(SUBSTITUTE(SUBSTITUTE(SUBSTITUTE(SUBSTITUTE(SUBSTITUTE(LOWER(AC709&amp;""),CHAR(10)," "),CHAR(13)," "),CHAR(9)," "),CHAR(160)," "),"."," "),","," "),"-"," "),"/"," "),"("," "),")"," "),":"," "),";"," "),"_"," "),"–"," "),"?"," "),"!"," "),"*"," "),"["," "),"]"," "),"'"," "),"#"," "),"+"," "),"&amp;"," "),"\"," "))&amp;" "</f>
        <v>  </v>
      </c>
      <c r="BG709" s="61" t="n">
        <f aca="false">IFERROR(IF(AND(TRIM(U709)="Pass",SUMPRODUCT((LEN(BC709)-LEN(SUBSTITUTE(BC709," "&amp;L_ResultBad&amp;" "," ")))/(LEN(L_ResultBad)+1))&gt;SUMPRODUCT((LEN(BC709)-LEN(SUBSTITUTE(BC709," "&amp;L_NegPhrase&amp;" "," ")))/(LEN(L_NegPhrase)+1))),1,0),0)</f>
        <v>0</v>
      </c>
      <c r="BH709" s="61" t="n">
        <f aca="false">IFERROR(IF(SUMPRODUCT((LEN(BC709)-LEN(SUBSTITUTE(BC709," "&amp;L_Pending&amp;" "," ")))/(LEN(L_Pending)+1))&gt;SUMPRODUCT((LEN(BC709)-LEN(SUBSTITUTE(BC709," "&amp;L_PendNeg&amp;" "," ")))/(LEN(L_PendNeg)+1))+SUMPRODUCT((LEN(BC709)-LEN(SUBSTITUTE(BC709," "&amp;L_PendPrep&amp;" "," ")))/(LEN(L_PendPrep)+1)),1,0),1)</f>
        <v>0</v>
      </c>
      <c r="BI709" s="61" t="n">
        <f aca="false">IFERROR(IF(SUMPRODUCT((LEN(BD709)-LEN(SUBSTITUTE(BD709," "&amp;L_PendStrict&amp;" "," ")))/(LEN(L_PendStrict)+1))&gt;SUMPRODUCT((LEN(BD709)-LEN(SUBSTITUTE(BD709," "&amp;L_PendNeg&amp;" "," ")))/(LEN(L_PendNeg)+1)),1,0),1)</f>
        <v>0</v>
      </c>
      <c r="BJ709" s="61" t="n">
        <f aca="false">IFERROR(IF(SUMPRODUCT((LEN(BE709)-LEN(SUBSTITUTE(BE709," "&amp;L_Pending&amp;" "," ")))/(LEN(L_Pending)+1))&gt;SUMPRODUCT((LEN(BE709)-LEN(SUBSTITUTE(BE709," "&amp;L_PendNeg&amp;" "," ")))/(LEN(L_PendNeg)+1))+SUMPRODUCT((LEN(BE709)-LEN(SUBSTITUTE(BE709," "&amp;L_PendPrep&amp;" "," ")))/(LEN(L_PendPrep)+1)),1,0),1)</f>
        <v>0</v>
      </c>
      <c r="BK709" s="61" t="n">
        <f aca="false">IFERROR(IF(SUMPRODUCT((LEN(BF709)-LEN(SUBSTITUTE(BF709," "&amp;L_PendStrict&amp;" "," ")))/(LEN(L_PendStrict)+1))&gt;SUMPRODUCT((LEN(BF709)-LEN(SUBSTITUTE(BF709," "&amp;L_PendNeg&amp;" "," ")))/(LEN(L_PendNeg)+1)),1,0),1)</f>
        <v>0</v>
      </c>
      <c r="BL709" s="61" t="n">
        <f aca="false">IF(ISNA(MATCH(TRIM(S709),L_EvidenceType,0)),0,BZ709)</f>
        <v>0</v>
      </c>
      <c r="BM709" s="61" t="str">
        <f aca="false">SUBSTITUTE(SUBSTITUTE(SUBSTITUTE(SUBSTITUTE(SUBSTITUTE(SUBSTITUTE(SUBSTITUTE(SUBSTITUTE(SUBSTITUTE(LOWER(Z709&amp;""),"1","0"),"2","0"),"3","0"),"4","0"),"5","0"),"6","0"),"7","0"),"8","0"),"9","0")</f>
        <v/>
      </c>
      <c r="BN709" s="61" t="str">
        <f aca="false">SUBSTITUTE(SUBSTITUTE(SUBSTITUTE(SUBSTITUTE(SUBSTITUTE(SUBSTITUTE(SUBSTITUTE(SUBSTITUTE(SUBSTITUTE(SUBSTITUTE(SUBSTITUTE(SUBSTITUTE(SUBSTITUTE(SUBSTITUTE(SUBSTITUTE(SUBSTITUTE(SUBSTITUTE(SUBSTITUTE(SUBSTITUTE(SUBSTITUTE(SUBSTITUTE(SUBSTITUTE(SUBSTITUTE(SUBSTITUTE(SUBSTITUTE(BM709,"b","a"),"c","a"),"d","a"),"e","a"),"f","a"),"g","a"),"h","a"),"i","a"),"j","a"),"k","a"),"l","a"),"m","a"),"n","a"),"o","a"),"p","a"),"q","a"),"r","a"),"s","a"),"t","a"),"u","a"),"v","a"),"w","a"),"x","a"),"y","a"),"z","a")</f>
        <v/>
      </c>
      <c r="BO709" s="61" t="str">
        <f aca="false">SUBSTITUTE(SUBSTITUTE(SUBSTITUTE(SUBSTITUTE(SUBSTITUTE(SUBSTITUTE(SUBSTITUTE(SUBSTITUTE(SUBSTITUTE(LOWER(W709&amp;""),"1","0"),"2","0"),"3","0"),"4","0"),"5","0"),"6","0"),"7","0"),"8","0"),"9","0")</f>
        <v/>
      </c>
      <c r="BP709" s="61" t="str">
        <f aca="false">SUBSTITUTE(SUBSTITUTE(SUBSTITUTE(SUBSTITUTE(SUBSTITUTE(SUBSTITUTE(SUBSTITUTE(SUBSTITUTE(SUBSTITUTE(SUBSTITUTE(SUBSTITUTE(SUBSTITUTE(SUBSTITUTE(SUBSTITUTE(SUBSTITUTE(SUBSTITUTE(SUBSTITUTE(SUBSTITUTE(SUBSTITUTE(SUBSTITUTE(SUBSTITUTE(SUBSTITUTE(SUBSTITUTE(SUBSTITUTE(SUBSTITUTE(BO709,"b","a"),"c","a"),"d","a"),"e","a"),"f","a"),"g","a"),"h","a"),"i","a"),"j","a"),"k","a"),"l","a"),"m","a"),"n","a"),"o","a"),"p","a"),"q","a"),"r","a"),"s","a"),"t","a"),"u","a"),"v","a"),"w","a"),"x","a"),"y","a"),"z","a")</f>
        <v/>
      </c>
      <c r="BQ709" s="61" t="n">
        <f aca="false">IFERROR(IF(AND(ISERROR(SEARCH(" mh"," "&amp;LOWER(W709))),ISNA(MATCH(LEFT(TRIM(BP709),255),{"0000a","000a","00a","0000aa","000aa","00aa","0aa","0000aaa","000aaa","00a00","0a00","0000-0000","00:00","a00","a0","00.00.0000","00/00/0000","00-00-0000","0000-00-00","0000/00/00","0000.00.00","00.00.00","00/00/00","00-00-00","0.00.0000","0/00/0000","0-00-0000"},0)),ISNA(MATCH(LEFT(TRIM(CA709),255),{"0000a","000a","00a","0000aa","000aa","00aa","0aa","0000aaa","000aaa","00a00","0a00","0000-0000","00:00","a00","a0","00.00.0000","00/00/0000","00-00-0000","0000-00-00","0000/00/00","0000.00.00","00.00.00","00/00/00","00-00-00","0.00.0000","0/00/0000","0-00-0000"},0)),LEN(CB709)&gt;=3,NOT(OR(SUBSTITUTE(CB709,"0","")="",AND(LEN(CB709)&gt;=4,CB709=REPT(LEFT(CB709),LEN(CB709))),ISNUMBER(MATCH(CB709,{"123","1234","12345","123456","1234567","12345678","0123","01234","012345","98765","987654","54321"},0)),AND(LEN(CB709)=8,LEFT(CB709,3)="202"))),OR(AND((LEN(CA709)-LEN(SUBSTITUTE(CA709,"a","")))&gt;=1,SUMPRODUCT(--ISNUMBER(SEARCH({"a0","a-0","a_0","a/0","a.0","a#0","0a","0-a","0_a","0/a"},BP709)))&gt;0),ISNUMBER(SEARCH("000000",BP709)))),1,0),0)</f>
        <v>0</v>
      </c>
      <c r="BR709" s="61" t="n">
        <f aca="false">IFERROR(LEN(SUBSTITUTE(CC709," ",""))-SUMPRODUCT((LEN(CC709)-LEN(SUBSTITUTE(CC709," "&amp;L_Role&amp;" "," ")))/(LEN(L_Role)+1)*LEN(L_Role)),0)</f>
        <v>0</v>
      </c>
      <c r="BS709" s="61" t="n">
        <f aca="false">IFERROR(LEN(SUBSTITUTE(CD709," ",""))-SUMPRODUCT((LEN(CD709)-LEN(SUBSTITUTE(CD709," "&amp;L_Role&amp;" "," ")))/(LEN(L_Role)+1)*LEN(L_Role)),0)</f>
        <v>0</v>
      </c>
      <c r="BT7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709,"revision",""),"version",""),"jan",""),"feb",""),"mar",""),"apr",""),"may",""),"jun",""),"jul",""),"aug",""),"sep",""),"oct",""),"nov",""),"dec",""),"utc",""),"gmt",""),"myt",""),"bst",""),"rev",""),"ver",""),"b","a"),"c","a"),"d","a"),"e","a"),"f","a"),"g","a"),"h","a"),"i","a"),"j","a"),"k","a"),"l","a"),"m","a"),"n","a"),"o","a"),"p","a"),"q","a"),"r","a"),"s","a"),"t","a"),"u","a"),"v","a"),"w","a"),"x","a"),"y","a"),"z","a")</f>
        <v/>
      </c>
      <c r="BU709" s="61" t="str">
        <f aca="false">SUBSTITUTE(SUBSTITUTE(SUBSTITUTE(SUBSTITUTE(SUBSTITUTE(SUBSTITUTE(SUBSTITUTE(SUBSTITUTE(SUBSTITUTE(SUBSTITUTE(LEFT(BM709,FIND("0",BM709&amp;"0")-1),"-",""),"_",""),"/",""),".",""),"#",""),"\\",""),":","")," ",""),"(",""),")","")</f>
        <v/>
      </c>
      <c r="BV709" s="61" t="n">
        <f aca="false">0</f>
        <v>0</v>
      </c>
      <c r="BW70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709&amp;""),"a",""),"b",""),"c",""),"d",""),"e",""),"f",""),"g",""),"h",""),"i",""),"j",""),"k",""),"l",""),"m",""),"n",""),"o",""),"p",""),"q",""),"r",""),"s",""),"t",""),"u",""),"v",""),"w",""),"x",""),"y",""),"z",""),"-",""),"_",""),"/",""),".",""),"#",""),"\\",""),":","")," ",""),"(",""),")","")</f>
        <v/>
      </c>
      <c r="BX709" s="61" t="str">
        <f aca="false">SUBSTITUTE(SUBSTITUTE(SUBSTITUTE(SUBSTITUTE(SUBSTITUTE(SUBSTITUTE(SUBSTITUTE(SUBSTITUTE(SUBSTITUTE(SUBSTITUTE(SUBSTITUTE(BM709,"0",""),"-",""),"_",""),"/",""),".",""),"#",""),"\\",""),":","")," ",""),"(",""),")","")</f>
        <v/>
      </c>
      <c r="BY709" s="62" t="n">
        <f aca="false">Q709-T7EarlyD*24/24</f>
        <v>46304.6388888889</v>
      </c>
      <c r="BZ709" s="61" t="n">
        <f aca="false">IFERROR(IF(IF(TRIM(S709)="Link / file path",AND(LEN(TRIM(Z709))&gt;=5,SUMPRODUCT(--ISNUMBER(SEARCH({"http","www.","\\",":\",".pdf",".jpg",".jpeg",".png",".heic",".xls",".doc",".msg",".eml",".ppt",".txt",".zip"},Z709)))&gt;0),AND(ISERROR(FIND(" ",TRIM(Z709))),NOT(OR(SUMPRODUCT(--ISNUMBER(FIND({",",";","&amp;","+"},Z709)))&gt;0,SUMPRODUCT(--ISNUMBER(SEARCH({"0/aa","0\\aa"},BN709)))&gt;0)),NOT(SUMPRODUCT(--ISNUMBER(SEARCH({"http","www.","\\",":\",".pdf",".jpg",".jpeg",".png",".heic",".xls",".doc",".msg",".eml",".ppt",".txt",".zip"},Z709)))&gt;0),NOT(LOWER(TRIM(Z709))=LOWER(Flights!$F$26)),ISNA(MATCH(BU709,{"mh","rev","revision","ver","version","v","r","a","b","seat","tray","row","gate","bay","stand","page","pg","item","line","no","cart","galley","flight","flt","table","box","bag","oven","etd","eta","std","sta","atd","ata","qty","pax","x","time","tel","ph","mob","day","wk","week","utc","gmt","myt","lt"},0)),NOT(OR(ISNUMBER(MATCH(LEFT(BN709,255),{"0000a","000a","00a","0000aa","000aa","00aa","0aa","0000aaa","000aaa","00a00","0a00","0000-0000","00:00","a00","a0","00.00.0000","00/00/0000","00-00-0000","0000-00-00","0000/00/00","0000.00.00","00.00.00","00/00/00","00-00-00","0.00.0000","0/00/0000","0-00-0000"},0)),ISNUMBER(MATCH(LEFT(BT709,255),{"0000a","000a","00a","0000aa","000aa","00aa","0aa","0000aaa","000aaa","00a00","0a00","0000-0000","00:00","a00","a0","00.00.0000","00/00/0000","00-00-0000","0000-00-00","0000/00/00","0000.00.00","00.00.00","00/00/00","00-00-00","0.00.0000","0/00/0000","0-00-0000"},0)))),NOT(OR(AND(BW709&lt;&gt;"",SUBSTITUTE(BW709,"0","")=""),AND(LEN(BW709)&gt;=4,BW709=REPT(LEFT(BW709),LEN(BW709))),ISNUMBER(MATCH(BW709,{"123","1234","12345","123456","1234567","12345678","0123","01234","012345","98765","987654","54321"},0)),ISNUMBER(MATCH(BX709,{"x","xx","xxx","xxxx","xxxxx","abc","abcd","nil","na","nan","test","tbc","tba","tbd","dummy","sample","example","eg","zz","zzz","none","null","xyz","qwe","asd","id","ref"},0)),AND(LEN(BW709)=8,BX709="",OR(LEFT(BW709,3)="202",ISNUMBER(MATCH(RIGHT(BW709,4),{"2025","2026","2027"},0)))))),OR(AND((LEN(BT709)-LEN(SUBSTITUTE(BT709,"a","")))&gt;=1,(LEN(BN709)-LEN(SUBSTITUTE(BN709,"0","")))&gt;=2,SUMPRODUCT(--ISNUMBER(SEARCH({"a0","a-0","a_0","a/0","a.0","a#0","0a","0-a","0_a","0/a"},BN709)))&gt;0),AND((LEN(BN709)-LEN(SUBSTITUTE(BN709,"a","")))=0,(LEN(BN709)-LEN(SUBSTITUTE(BN709,"0","")))&gt;=5)))),1,0),0)</f>
        <v>0</v>
      </c>
      <c r="CA7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709,"revision",""),"version",""),"jan",""),"feb",""),"mar",""),"apr",""),"may",""),"jun",""),"jul",""),"aug",""),"sep",""),"oct",""),"nov",""),"dec",""),"utc",""),"gmt",""),"myt",""),"bst",""),"rev",""),"ver",""),"b","a"),"c","a"),"d","a"),"e","a"),"f","a"),"g","a"),"h","a"),"i","a"),"j","a"),"k","a"),"l","a"),"m","a"),"n","a"),"o","a"),"p","a"),"q","a"),"r","a"),"s","a"),"t","a"),"u","a"),"v","a"),"w","a"),"x","a"),"y","a"),"z","a")</f>
        <v/>
      </c>
      <c r="CB70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709&amp;""),"a",""),"b",""),"c",""),"d",""),"e",""),"f",""),"g",""),"h",""),"i",""),"j",""),"k",""),"l",""),"m",""),"n",""),"o",""),"p",""),"q",""),"r",""),"s",""),"t",""),"u",""),"v",""),"w",""),"x",""),"y",""),"z",""),"-",""),"_",""),"/",""),".",""),"#",""),"\\",""),":","")," ",""),"(",""),")","")</f>
        <v/>
      </c>
      <c r="CC709" s="0" t="str">
        <f aca="false">" "&amp;TRIM(SUBSTITUTE(SUBSTITUTE(SUBSTITUTE(SUBSTITUTE(SUBSTITUTE(SUBSTITUTE(SUBSTITUTE(SUBSTITUTE(SUBSTITUTE(SUBSTITUTE(SUBSTITUTE(SUBSTITUTE(SUBSTITUTE(SUBSTITUTE(SUBSTITUTE(SUBSTITUTE(SUBSTITUTE(SUBSTITUTE(SUBSTITUTE(SUBSTITUTE(SUBSTITUTE(SUBSTITUTE(SUBSTITUTE(SUBSTITUTE(LOWER(T709&amp;""),CHAR(10)," "),CHAR(13)," "),CHAR(9)," "),CHAR(160)," "),"."," "),","," "),"-"," "),"/"," "),"("," "),")"," "),":"," "),";"," "),"_"," "),"–"," "),"?"," "),"!"," "),"*"," "),"["," "),"]"," "),"'"," "),"#"," "),"+"," "),"&amp;"," "),"\"," "))&amp;" "</f>
        <v>  </v>
      </c>
      <c r="CD709" s="0" t="str">
        <f aca="false">" "&amp;TRIM(SUBSTITUTE(SUBSTITUTE(SUBSTITUTE(SUBSTITUTE(SUBSTITUTE(SUBSTITUTE(SUBSTITUTE(SUBSTITUTE(SUBSTITUTE(SUBSTITUTE(SUBSTITUTE(SUBSTITUTE(SUBSTITUTE(SUBSTITUTE(SUBSTITUTE(SUBSTITUTE(SUBSTITUTE(SUBSTITUTE(SUBSTITUTE(SUBSTITUTE(SUBSTITUTE(SUBSTITUTE(SUBSTITUTE(SUBSTITUTE(LOWER(AE709&amp;""),CHAR(10)," "),CHAR(13)," "),CHAR(9)," "),CHAR(160)," "),"."," "),","," "),"-"," "),"/"," "),"("," "),")"," "),":"," "),";"," "),"_"," "),"–"," "),"?"," "),"!"," "),"*"," "),"["," "),"]"," "),"'"," "),"#"," "),"+"," "),"&amp;"," "),"\"," "))&amp;" "</f>
        <v>  </v>
      </c>
      <c r="CE709" s="68" t="n">
        <f aca="false">IFERROR(IF(AND(LEN(AU709)&gt;0,LEN(AU709)=LEN(AX709),OR(TRIM(MID(SUBSTITUTE(TRIM(CC709)," ",REPT(" ",60)),1,60))="",ISNUMBER(SEARCH(" "&amp;TRIM(MID(SUBSTITUTE(TRIM(CC709)," ",REPT(" ",60)),1,60))&amp;" ",CD709))),OR(TRIM(MID(SUBSTITUTE(TRIM(CC709)," ",REPT(" ",60)),61,60))="",ISNUMBER(SEARCH(" "&amp;TRIM(MID(SUBSTITUTE(TRIM(CC709)," ",REPT(" ",60)),61,60))&amp;" ",CD709))),OR(TRIM(MID(SUBSTITUTE(TRIM(CC709)," ",REPT(" ",60)),121,60))="",ISNUMBER(SEARCH(" "&amp;TRIM(MID(SUBSTITUTE(TRIM(CC709)," ",REPT(" ",60)),121,60))&amp;" ",CD709)))),1,0),0)</f>
        <v>0</v>
      </c>
      <c r="CG709" s="68" t="n">
        <f aca="false">IFERROR(LEN(SUBSTITUTE(BF709," ",""))-SUMPRODUCT((LEN(BF709)-LEN(SUBSTITUTE(BF709," "&amp;L_NAFiller&amp;" "," ")))/(LEN(L_NAFiller)+1)*LEN(L_NAFiller)),0)</f>
        <v>0</v>
      </c>
    </row>
    <row r="710" customFormat="false" ht="39.75" hidden="false" customHeight="true" outlineLevel="0" collapsed="false">
      <c r="A710" s="57" t="s">
        <v>1444</v>
      </c>
      <c r="B710" s="57" t="s">
        <v>312</v>
      </c>
      <c r="C710" s="57" t="str">
        <f aca="false">Flights!$F$26</f>
        <v>MH0002</v>
      </c>
      <c r="D710" s="58" t="n">
        <f aca="false">Flights!$D$26</f>
        <v>46325</v>
      </c>
      <c r="E710" s="57" t="str">
        <f aca="false">Flights!$G$26&amp;"-"&amp;Flights!$H$26</f>
        <v>KUL-LHR</v>
      </c>
      <c r="F710" s="57" t="str">
        <f aca="false">Flights!$K$26</f>
        <v>BC</v>
      </c>
      <c r="G710" s="57" t="s">
        <v>81</v>
      </c>
      <c r="H710" s="57" t="s">
        <v>378</v>
      </c>
      <c r="I710" s="57" t="s">
        <v>411</v>
      </c>
      <c r="J710" s="57" t="s">
        <v>412</v>
      </c>
      <c r="K710" s="67" t="s">
        <v>716</v>
      </c>
      <c r="L710" s="67" t="s">
        <v>414</v>
      </c>
      <c r="M710" s="67"/>
      <c r="N710" s="67" t="s">
        <v>383</v>
      </c>
      <c r="O710" s="67"/>
      <c r="P710" s="57" t="s">
        <v>187</v>
      </c>
      <c r="Q710" s="59" t="n">
        <f aca="false">ROUND((Flights!$AC$26)*1440,0)/1440</f>
        <v>46318.6388888889</v>
      </c>
      <c r="R710" s="59" t="n">
        <f aca="false">Q710+(IF(AND(INDEX(TZ_DSTS,MATCH(P710,TZ_STN,0))&lt;&gt;"",Q710&gt;=INDEX(TZ_DSTS,MATCH(P710,TZ_STN,0)),Q710&lt;INDEX(TZ_DSTE,MATCH(P710,TZ_STN,0))),INDEX(TZ_DST,MATCH(P710,TZ_STN,0)),INDEX(TZ_STD,MATCH(P710,TZ_STN,0))))/24</f>
        <v>46318.9722222222</v>
      </c>
      <c r="S710" s="60"/>
      <c r="T710" s="60"/>
      <c r="U710" s="60"/>
      <c r="V710" s="60"/>
      <c r="W710" s="61"/>
      <c r="X710" s="60"/>
      <c r="Y710" s="60"/>
      <c r="Z710" s="60"/>
      <c r="AA710" s="60"/>
      <c r="AB710" s="60"/>
      <c r="AC710" s="60"/>
      <c r="AD710" s="66"/>
      <c r="AE710" s="60"/>
      <c r="AF710" s="61" t="str">
        <f aca="false">IF(AND(ISNUMBER(X710),ISNUMBER(Y710)),Y710-X710,"")</f>
        <v/>
      </c>
      <c r="AG710" s="62" t="str">
        <f aca="false">IF(ISNUMBER(AD710),AD710-(IF(AND(INDEX(TZ_DSTS,MATCH(P710,TZ_STN,0))&lt;&gt;"",(AD710-INDEX(TZ_STD,MATCH(P710,TZ_STN,0))/24)&gt;=INDEX(TZ_DSTS,MATCH(P710,TZ_STN,0)),(AD710-INDEX(TZ_STD,MATCH(P710,TZ_STN,0))/24)&lt;INDEX(TZ_DSTE,MATCH(P710,TZ_STN,0))),INDEX(TZ_DST,MATCH(P710,TZ_STN,0)),INDEX(TZ_STD,MATCH(P710,TZ_STN,0))))/24,"")</f>
        <v/>
      </c>
      <c r="AH710" s="65" t="str">
        <f aca="false">IFERROR(IF(N710="N/A – rule",IF(OR(TRIM(U710)="",TRIM(U710)="N/A",TRIM(U710)="Not started"),"N/A – RULE","INVALID – this check does not apply to this aircraft: clear the status (or correct the fleet on Flights)"),IF(TRIM(U710)="N/A",IF(AT710=0,"INVALID – N/A not permitted for this check",IF(AND(TRIM(AB710)&lt;&gt;"",TRIM(AB710)&lt;&gt;"Closed"),"INVALID – corrective action still open",IF(AND(NOT(OR(LEN(AZ710)&lt;15,ISNUMBER(MATCH(AZ710,L_Placeholder,0)))),BK710=0,CG710&gt;=8,NOT(OR(LEN(AU710)&lt;2,ISNUMBER(MATCH(AU710,L_Placeholder,0)))),BR710&gt;=3,NOT(OR(LEN(AX710)&lt;2,ISNUMBER(MATCH(AX710,L_Placeholder,0)))),BS710&gt;=3,TRIM(AE710)&lt;&gt;TRIM(T710),AX710&lt;&gt;AU710,CE710=0),"N/A – JUSTIFIED","INVALID – N/A needs a real, settled reason (not 'not applicable' / 'as above' / TBC), a named PIC and a different named verifier"))),IF(OR(TRIM(U710)="Pass",TRIM(U710)="Pass after CA"),IF(NOT(ISNUMBER(AD710)),"INVALID – completion time missing",IF(OR(OR(LEN(AU710)&lt;2,ISNUMBER(MATCH(AU710,L_Placeholder,0))),BR710&lt;3),"INVALID – PIC missing or not a named person (a role such as QA / CSM is not a name)",IF(OR(LEN(AV710)&lt;2,ISNUMBER(MATCH(AV710,L_Placeholder,0))),"INVALID – result / assessment missing",IF(OR(OR(LEN(AW710)&lt;3,ISNUMBER(MATCH(AW710,L_Placeholder,0))),SUMPRODUCT(--ISNUMBER(SEARCH(" "&amp;L_EvidencePhrase&amp;" ",BD710)))&gt;0,BI710=1),"INVALID – evidence missing, placeholder or not yet on file",IF(ISNA(MATCH(TRIM(S710),L_EvidenceType,0)),"INVALID – choose the evidence type from the list (column S)",IF(BL710=0,"INVALID – evidence ID must be the record's own ID only (e.g. SF-2210, IMG_2231, 1045521); a link / file name needs type 'Link / file path'",IF(OR(OR(LEN(AX710)&lt;2,ISNUMBER(MATCH(AX710,L_Placeholder,0))),BS710&lt;3),"INVALID – verifier missing or not a named person (a role such as QA / CSM is not a name)",IF(OR(AX710=AU710,CE710=1,AND(LEN(AU710)&gt;=4,ISNUMBER(SEARCH(AU710,AX710))),AND(LEN(AX710)&gt;=4,ISNUMBER(SEARCH(AX710,AU710)))),"INVALID – verifier must be a different, named person (not the PIC or a role)",IF(BH710=1,"INVALID – result not yet available (awaiting / TBC)",IF(BG710=1,"INVALID – result describes a problem: record Fail, then Pass after CA (or reword if it is not a problem)",IF(BV710=1,"INVALID – wording says not on board: an on-board confirmation needs the item loaded",IF(AND(AQ710=1,OR(OR(LEN(AY710)&lt;3,ISNUMBER(MATCH(AY710,L_Placeholder,0))),BJ710=1,BQ710=0)),"INVALID – batch ID missing, placeholder or not an ID (e.g. PASB-261008-BC-017)",IF(AND(AR710=1,OR(NOT(ISNUMBER(X710)),NOT(ISNUMBER(Y710)))),"INVALID – expected/actual qty missing",IF(AND(AR710=1,OR(X710&lt;=0,Y710&lt;0)),"INVALID – expected qty must be above 0 and actual not negative",IF(BB710&lt;&gt;"",BB710,IF(AND(AS710=1,Documents!$J$26&lt;&gt;"ON FILE"),"INVALID – GLD not on file (Documents sheet)",IF(AND(AS710=2,Documents!$O$26&lt;&gt;"ON FILE"),"INVALID – menu checklist not on file (Documents sheet)",IF(AND(AS710=3,NOT(ISNUMBER(Flights!$AX$26))),"INVALID – enter carrying flight KUL departure (Flights AX)",IF(AND(AS710=3,OR(Flights!$AZ$26&gt;Flights!$AA$26,Flights!$AX$26&lt;Flights!$AA$26-3)),"INVALID – carrying flight (Flights AX) cannot arrive before this leg's STD, or is over 3 days early",IF(AG710&gt;AsOfUTC,"INVALID – completion time is in the future",IF(AND(ISNUMBER(BY710),AG710&lt;BY710),IF(H710="Physical uplift","INVALID – before uplift window (cannot confirm loading)","INVALID – before valid window"),IF(AG710&gt;Flights!$AA$26,"INVALID – completed after departure (cannot establish readiness)",IF(AND(H710="Preparation",AG710&gt;=IF(ISNUMBER(Flights!$BA$26),MIN(Flights!$BA$26,Flights!$AA$26),Flights!$AA$26)),"INVALID – completed after loading / departure (cannot establish readiness)",IF(AND(H710="Physical uplift",AG710&gt;Q710),"INVALID – recorded after the loading flight departed",IF(AG710&gt;Q710,"COMPLETE – LATE","COMPLETE"))))))))))))))))))))))))),IF(TRIM(U710)="Fail","FAIL – DISCREPANCY",IF(AND(TRIM(U710)&lt;&gt;"",TRIM(U710)&lt;&gt;"Not started",TRIM(U710)&lt;&gt;"In progress"),"INVALID – unrecognised status (use the list)",IF(AsOfUTC&gt;Q710,"OVERDUE",IF(N710="Clarification required","OPEN – CLARIFICATION","OPEN"))))))),"INVALID – error value in an input cell")</f>
        <v>OPEN</v>
      </c>
      <c r="AI710" s="61" t="n">
        <f aca="false">IF(OR(AH710="N/A – RULE",AH710="N/A – JUSTIFIED"),0,1)</f>
        <v>1</v>
      </c>
      <c r="AJ710" s="61" t="n">
        <f aca="false">IF(LEFT(AH710,8)="COMPLETE",1,0)</f>
        <v>0</v>
      </c>
      <c r="AK710" s="61" t="n">
        <f aca="false">IF(AND(AI710=1,AJ710=0,AsOfUTC&gt;Q710),1,0)</f>
        <v>0</v>
      </c>
      <c r="AL710" s="61" t="n">
        <f aca="false">IFERROR(IF(AND(AI710=1,OR(TRIM(U710)="Fail",AND(TRIM(AB710)&lt;&gt;"",TRIM(AB710)&lt;&gt;"Closed"),AND(ISNUMBER(AF710),AF710&lt;&gt;0,TRIM(U710)&lt;&gt;"Pass after CA"))),1,0),1)</f>
        <v>0</v>
      </c>
      <c r="AM710" s="61" t="n">
        <f aca="false">IF(LEFT(AH710,7)="INVALID",1,0)</f>
        <v>0</v>
      </c>
      <c r="AN710" s="61" t="n">
        <f aca="false">IF(AND(N710="Clarification required",AI710=1,AJ710=0),1,0)</f>
        <v>0</v>
      </c>
      <c r="AO710" s="61" t="str">
        <f aca="false">IF(AK710=1,SUM(AK$5:AK710),"")</f>
        <v/>
      </c>
      <c r="AP710" s="61" t="str">
        <f aca="false">IF(AL710=1,SUM(AL$5:AL710),"")</f>
        <v/>
      </c>
      <c r="AQ710" s="61" t="n">
        <v>0</v>
      </c>
      <c r="AR710" s="61" t="n">
        <v>0</v>
      </c>
      <c r="AS710" s="61" t="n">
        <v>0</v>
      </c>
      <c r="AT710" s="61" t="n">
        <v>0</v>
      </c>
      <c r="AU710" s="61" t="str">
        <f aca="false">SUBSTITUTE(SUBSTITUTE(SUBSTITUTE(SUBSTITUTE(SUBSTITUTE(SUBSTITUTE(SUBSTITUTE(SUBSTITUTE(SUBSTITUTE(SUBSTITUTE(SUBSTITUTE(SUBSTITUTE(SUBSTITUTE(SUBSTITUTE(SUBSTITUTE(SUBSTITUTE(LOWER(T710&amp;""),CHAR(10),""),CHAR(13),""),CHAR(9),""),CHAR(160),"")," ",""),".",""),"-",""),"/",""),"?",""),"_",""),",",""),"[",""),"]",""),"(",""),")",""),"*","")</f>
        <v/>
      </c>
      <c r="AV710" s="61" t="str">
        <f aca="false">SUBSTITUTE(SUBSTITUTE(SUBSTITUTE(SUBSTITUTE(SUBSTITUTE(SUBSTITUTE(SUBSTITUTE(SUBSTITUTE(SUBSTITUTE(SUBSTITUTE(SUBSTITUTE(SUBSTITUTE(SUBSTITUTE(SUBSTITUTE(SUBSTITUTE(SUBSTITUTE(LOWER(V710&amp;""),CHAR(10),""),CHAR(13),""),CHAR(9),""),CHAR(160),"")," ",""),".",""),"-",""),"/",""),"?",""),"_",""),",",""),"[",""),"]",""),"(",""),")",""),"*","")</f>
        <v/>
      </c>
      <c r="AW710" s="61" t="str">
        <f aca="false">SUBSTITUTE(SUBSTITUTE(SUBSTITUTE(SUBSTITUTE(SUBSTITUTE(SUBSTITUTE(SUBSTITUTE(SUBSTITUTE(SUBSTITUTE(SUBSTITUTE(SUBSTITUTE(SUBSTITUTE(SUBSTITUTE(SUBSTITUTE(SUBSTITUTE(SUBSTITUTE(LOWER(Z710&amp;""),CHAR(10),""),CHAR(13),""),CHAR(9),""),CHAR(160),"")," ",""),".",""),"-",""),"/",""),"?",""),"_",""),",",""),"[",""),"]",""),"(",""),")",""),"*","")</f>
        <v/>
      </c>
      <c r="AX710" s="61" t="str">
        <f aca="false">SUBSTITUTE(SUBSTITUTE(SUBSTITUTE(SUBSTITUTE(SUBSTITUTE(SUBSTITUTE(SUBSTITUTE(SUBSTITUTE(SUBSTITUTE(SUBSTITUTE(SUBSTITUTE(SUBSTITUTE(SUBSTITUTE(SUBSTITUTE(SUBSTITUTE(SUBSTITUTE(LOWER(AE710&amp;""),CHAR(10),""),CHAR(13),""),CHAR(9),""),CHAR(160),"")," ",""),".",""),"-",""),"/",""),"?",""),"_",""),",",""),"[",""),"]",""),"(",""),")",""),"*","")</f>
        <v/>
      </c>
      <c r="AY710" s="61" t="str">
        <f aca="false">SUBSTITUTE(SUBSTITUTE(SUBSTITUTE(SUBSTITUTE(SUBSTITUTE(SUBSTITUTE(SUBSTITUTE(SUBSTITUTE(SUBSTITUTE(SUBSTITUTE(SUBSTITUTE(SUBSTITUTE(SUBSTITUTE(SUBSTITUTE(SUBSTITUTE(SUBSTITUTE(LOWER(W710&amp;""),CHAR(10),""),CHAR(13),""),CHAR(9),""),CHAR(160),"")," ",""),".",""),"-",""),"/",""),"?",""),"_",""),",",""),"[",""),"]",""),"(",""),")",""),"*","")</f>
        <v/>
      </c>
      <c r="AZ710" s="61" t="str">
        <f aca="false">SUBSTITUTE(SUBSTITUTE(SUBSTITUTE(SUBSTITUTE(SUBSTITUTE(SUBSTITUTE(SUBSTITUTE(SUBSTITUTE(SUBSTITUTE(SUBSTITUTE(SUBSTITUTE(SUBSTITUTE(SUBSTITUTE(SUBSTITUTE(SUBSTITUTE(SUBSTITUTE(LOWER(AC710&amp;""),CHAR(10),""),CHAR(13),""),CHAR(9),""),CHAR(160),"")," ",""),".",""),"-",""),"/",""),"?",""),"_",""),",",""),"[",""),"]",""),"(",""),")",""),"*","")</f>
        <v/>
      </c>
      <c r="BA710" s="61" t="str">
        <f aca="false">SUBSTITUTE(SUBSTITUTE(SUBSTITUTE(SUBSTITUTE(SUBSTITUTE(SUBSTITUTE(SUBSTITUTE(SUBSTITUTE(SUBSTITUTE(SUBSTITUTE(SUBSTITUTE(SUBSTITUTE(SUBSTITUTE(SUBSTITUTE(SUBSTITUTE(SUBSTITUTE(LOWER(AA710&amp;""),CHAR(10),""),CHAR(13),""),CHAR(9),""),CHAR(160),"")," ",""),".",""),"-",""),"/",""),"?",""),"_",""),",",""),"[",""),"]",""),"(",""),")",""),"*","")</f>
        <v/>
      </c>
      <c r="BB710" s="61" t="str">
        <f aca="false">IF(AND(TRIM(U710)="Pass",ISNUMBER(AF710)),IF(AF710&lt;&gt;0,"INVALID – qty variance: use Fail or Pass after CA",""),"")&amp;IF(AND(TRIM(U710)="Pass after CA",ISNUMBER(AF710)),IF(AF710&lt;&gt;0,"INVALID – after the corrective action the actual qty must equal expected (update Actual)",""),"")&amp;IF(AND(TRIM(U710)="Pass",TRIM(AB710)&lt;&gt;"",TRIM(AB710)&lt;&gt;"Closed"),"INVALID – corrective action not closed: use Fail, then Pass after CA","")&amp;IF(AND(LEN(BA710)&gt;=2,ISNA(MATCH(LEFT(BA710,255),L_Placeholder,0)),TRIM(AB710)=""),"INVALID – CA status missing for the recorded corrective action","")&amp;IF(AND(TRIM(U710)="Pass after CA",OR(OR(LEN(BA710)&lt;5,ISNUMBER(MATCH(BA710,L_Placeholder,0))),TRIM(AB710)&lt;&gt;"Closed")),"INVALID – corrective action not recorded/closed","")</f>
        <v/>
      </c>
      <c r="BC710" s="61" t="str">
        <f aca="false">" "&amp;TRIM(SUBSTITUTE(SUBSTITUTE(SUBSTITUTE(SUBSTITUTE(SUBSTITUTE(SUBSTITUTE(SUBSTITUTE(SUBSTITUTE(SUBSTITUTE(SUBSTITUTE(SUBSTITUTE(SUBSTITUTE(SUBSTITUTE(SUBSTITUTE(SUBSTITUTE(SUBSTITUTE(SUBSTITUTE(SUBSTITUTE(SUBSTITUTE(SUBSTITUTE(SUBSTITUTE(SUBSTITUTE(SUBSTITUTE(SUBSTITUTE(LOWER(V710&amp;""),CHAR(10)," "),CHAR(13)," "),CHAR(9)," "),CHAR(160)," "),"."," "),","," "),"-"," "),"/"," "),"("," "),")"," "),":"," "),";"," "),"_"," "),"–"," "),"?"," "),"!"," "),"*"," "),"["," "),"]"," "),"'"," "),"#"," "),"+"," "),"&amp;"," "),"\"," "))&amp;" "</f>
        <v>  </v>
      </c>
      <c r="BD710" s="61" t="str">
        <f aca="false">" "&amp;TRIM(SUBSTITUTE(SUBSTITUTE(SUBSTITUTE(SUBSTITUTE(SUBSTITUTE(SUBSTITUTE(SUBSTITUTE(SUBSTITUTE(SUBSTITUTE(SUBSTITUTE(SUBSTITUTE(SUBSTITUTE(SUBSTITUTE(SUBSTITUTE(SUBSTITUTE(SUBSTITUTE(SUBSTITUTE(SUBSTITUTE(SUBSTITUTE(SUBSTITUTE(SUBSTITUTE(SUBSTITUTE(SUBSTITUTE(SUBSTITUTE(LOWER(Z710&amp;""),CHAR(10)," "),CHAR(13)," "),CHAR(9)," "),CHAR(160)," "),"."," "),","," "),"-"," "),"/"," "),"("," "),")"," "),":"," "),";"," "),"_"," "),"–"," "),"?"," "),"!"," "),"*"," "),"["," "),"]"," "),"'"," "),"#"," "),"+"," "),"&amp;"," "),"\"," "))&amp;" "</f>
        <v>  </v>
      </c>
      <c r="BE710" s="61" t="str">
        <f aca="false">" "&amp;TRIM(SUBSTITUTE(SUBSTITUTE(SUBSTITUTE(SUBSTITUTE(SUBSTITUTE(SUBSTITUTE(SUBSTITUTE(SUBSTITUTE(SUBSTITUTE(SUBSTITUTE(SUBSTITUTE(SUBSTITUTE(SUBSTITUTE(SUBSTITUTE(SUBSTITUTE(SUBSTITUTE(SUBSTITUTE(SUBSTITUTE(SUBSTITUTE(SUBSTITUTE(SUBSTITUTE(SUBSTITUTE(SUBSTITUTE(SUBSTITUTE(LOWER(W710&amp;""),CHAR(10)," "),CHAR(13)," "),CHAR(9)," "),CHAR(160)," "),"."," "),","," "),"-"," "),"/"," "),"("," "),")"," "),":"," "),";"," "),"_"," "),"–"," "),"?"," "),"!"," "),"*"," "),"["," "),"]"," "),"'"," "),"#"," "),"+"," "),"&amp;"," "),"\"," "))&amp;" "</f>
        <v>  </v>
      </c>
      <c r="BF710" s="61" t="str">
        <f aca="false">" "&amp;TRIM(SUBSTITUTE(SUBSTITUTE(SUBSTITUTE(SUBSTITUTE(SUBSTITUTE(SUBSTITUTE(SUBSTITUTE(SUBSTITUTE(SUBSTITUTE(SUBSTITUTE(SUBSTITUTE(SUBSTITUTE(SUBSTITUTE(SUBSTITUTE(SUBSTITUTE(SUBSTITUTE(SUBSTITUTE(SUBSTITUTE(SUBSTITUTE(SUBSTITUTE(SUBSTITUTE(SUBSTITUTE(SUBSTITUTE(SUBSTITUTE(LOWER(AC710&amp;""),CHAR(10)," "),CHAR(13)," "),CHAR(9)," "),CHAR(160)," "),"."," "),","," "),"-"," "),"/"," "),"("," "),")"," "),":"," "),";"," "),"_"," "),"–"," "),"?"," "),"!"," "),"*"," "),"["," "),"]"," "),"'"," "),"#"," "),"+"," "),"&amp;"," "),"\"," "))&amp;" "</f>
        <v>  </v>
      </c>
      <c r="BG710" s="61" t="n">
        <f aca="false">IFERROR(IF(AND(TRIM(U710)="Pass",SUMPRODUCT((LEN(BC710)-LEN(SUBSTITUTE(BC710," "&amp;L_ResultBad&amp;" "," ")))/(LEN(L_ResultBad)+1))&gt;SUMPRODUCT((LEN(BC710)-LEN(SUBSTITUTE(BC710," "&amp;L_NegPhrase&amp;" "," ")))/(LEN(L_NegPhrase)+1))),1,0),0)</f>
        <v>0</v>
      </c>
      <c r="BH710" s="61" t="n">
        <f aca="false">IFERROR(IF(SUMPRODUCT((LEN(BC710)-LEN(SUBSTITUTE(BC710," "&amp;L_Pending&amp;" "," ")))/(LEN(L_Pending)+1))&gt;SUMPRODUCT((LEN(BC710)-LEN(SUBSTITUTE(BC710," "&amp;L_PendNeg&amp;" "," ")))/(LEN(L_PendNeg)+1))+SUMPRODUCT((LEN(BC710)-LEN(SUBSTITUTE(BC710," "&amp;L_PendPrep&amp;" "," ")))/(LEN(L_PendPrep)+1)),1,0),1)</f>
        <v>0</v>
      </c>
      <c r="BI710" s="61" t="n">
        <f aca="false">IFERROR(IF(SUMPRODUCT((LEN(BD710)-LEN(SUBSTITUTE(BD710," "&amp;L_PendStrict&amp;" "," ")))/(LEN(L_PendStrict)+1))&gt;SUMPRODUCT((LEN(BD710)-LEN(SUBSTITUTE(BD710," "&amp;L_PendNeg&amp;" "," ")))/(LEN(L_PendNeg)+1)),1,0),1)</f>
        <v>0</v>
      </c>
      <c r="BJ710" s="61" t="n">
        <f aca="false">IFERROR(IF(SUMPRODUCT((LEN(BE710)-LEN(SUBSTITUTE(BE710," "&amp;L_Pending&amp;" "," ")))/(LEN(L_Pending)+1))&gt;SUMPRODUCT((LEN(BE710)-LEN(SUBSTITUTE(BE710," "&amp;L_PendNeg&amp;" "," ")))/(LEN(L_PendNeg)+1))+SUMPRODUCT((LEN(BE710)-LEN(SUBSTITUTE(BE710," "&amp;L_PendPrep&amp;" "," ")))/(LEN(L_PendPrep)+1)),1,0),1)</f>
        <v>0</v>
      </c>
      <c r="BK710" s="61" t="n">
        <f aca="false">IFERROR(IF(SUMPRODUCT((LEN(BF710)-LEN(SUBSTITUTE(BF710," "&amp;L_PendStrict&amp;" "," ")))/(LEN(L_PendStrict)+1))&gt;SUMPRODUCT((LEN(BF710)-LEN(SUBSTITUTE(BF710," "&amp;L_PendNeg&amp;" "," ")))/(LEN(L_PendNeg)+1)),1,0),1)</f>
        <v>0</v>
      </c>
      <c r="BL710" s="61" t="n">
        <f aca="false">IF(ISNA(MATCH(TRIM(S710),L_EvidenceType,0)),0,BZ710)</f>
        <v>0</v>
      </c>
      <c r="BM710" s="61" t="str">
        <f aca="false">SUBSTITUTE(SUBSTITUTE(SUBSTITUTE(SUBSTITUTE(SUBSTITUTE(SUBSTITUTE(SUBSTITUTE(SUBSTITUTE(SUBSTITUTE(LOWER(Z710&amp;""),"1","0"),"2","0"),"3","0"),"4","0"),"5","0"),"6","0"),"7","0"),"8","0"),"9","0")</f>
        <v/>
      </c>
      <c r="BN710" s="61" t="str">
        <f aca="false">SUBSTITUTE(SUBSTITUTE(SUBSTITUTE(SUBSTITUTE(SUBSTITUTE(SUBSTITUTE(SUBSTITUTE(SUBSTITUTE(SUBSTITUTE(SUBSTITUTE(SUBSTITUTE(SUBSTITUTE(SUBSTITUTE(SUBSTITUTE(SUBSTITUTE(SUBSTITUTE(SUBSTITUTE(SUBSTITUTE(SUBSTITUTE(SUBSTITUTE(SUBSTITUTE(SUBSTITUTE(SUBSTITUTE(SUBSTITUTE(SUBSTITUTE(BM710,"b","a"),"c","a"),"d","a"),"e","a"),"f","a"),"g","a"),"h","a"),"i","a"),"j","a"),"k","a"),"l","a"),"m","a"),"n","a"),"o","a"),"p","a"),"q","a"),"r","a"),"s","a"),"t","a"),"u","a"),"v","a"),"w","a"),"x","a"),"y","a"),"z","a")</f>
        <v/>
      </c>
      <c r="BO710" s="61" t="str">
        <f aca="false">SUBSTITUTE(SUBSTITUTE(SUBSTITUTE(SUBSTITUTE(SUBSTITUTE(SUBSTITUTE(SUBSTITUTE(SUBSTITUTE(SUBSTITUTE(LOWER(W710&amp;""),"1","0"),"2","0"),"3","0"),"4","0"),"5","0"),"6","0"),"7","0"),"8","0"),"9","0")</f>
        <v/>
      </c>
      <c r="BP710" s="61" t="str">
        <f aca="false">SUBSTITUTE(SUBSTITUTE(SUBSTITUTE(SUBSTITUTE(SUBSTITUTE(SUBSTITUTE(SUBSTITUTE(SUBSTITUTE(SUBSTITUTE(SUBSTITUTE(SUBSTITUTE(SUBSTITUTE(SUBSTITUTE(SUBSTITUTE(SUBSTITUTE(SUBSTITUTE(SUBSTITUTE(SUBSTITUTE(SUBSTITUTE(SUBSTITUTE(SUBSTITUTE(SUBSTITUTE(SUBSTITUTE(SUBSTITUTE(SUBSTITUTE(BO710,"b","a"),"c","a"),"d","a"),"e","a"),"f","a"),"g","a"),"h","a"),"i","a"),"j","a"),"k","a"),"l","a"),"m","a"),"n","a"),"o","a"),"p","a"),"q","a"),"r","a"),"s","a"),"t","a"),"u","a"),"v","a"),"w","a"),"x","a"),"y","a"),"z","a")</f>
        <v/>
      </c>
      <c r="BQ710" s="61" t="n">
        <f aca="false">IFERROR(IF(AND(ISERROR(SEARCH(" mh"," "&amp;LOWER(W710))),ISNA(MATCH(LEFT(TRIM(BP710),255),{"0000a","000a","00a","0000aa","000aa","00aa","0aa","0000aaa","000aaa","00a00","0a00","0000-0000","00:00","a00","a0","00.00.0000","00/00/0000","00-00-0000","0000-00-00","0000/00/00","0000.00.00","00.00.00","00/00/00","00-00-00","0.00.0000","0/00/0000","0-00-0000"},0)),ISNA(MATCH(LEFT(TRIM(CA710),255),{"0000a","000a","00a","0000aa","000aa","00aa","0aa","0000aaa","000aaa","00a00","0a00","0000-0000","00:00","a00","a0","00.00.0000","00/00/0000","00-00-0000","0000-00-00","0000/00/00","0000.00.00","00.00.00","00/00/00","00-00-00","0.00.0000","0/00/0000","0-00-0000"},0)),LEN(CB710)&gt;=3,NOT(OR(SUBSTITUTE(CB710,"0","")="",AND(LEN(CB710)&gt;=4,CB710=REPT(LEFT(CB710),LEN(CB710))),ISNUMBER(MATCH(CB710,{"123","1234","12345","123456","1234567","12345678","0123","01234","012345","98765","987654","54321"},0)),AND(LEN(CB710)=8,LEFT(CB710,3)="202"))),OR(AND((LEN(CA710)-LEN(SUBSTITUTE(CA710,"a","")))&gt;=1,SUMPRODUCT(--ISNUMBER(SEARCH({"a0","a-0","a_0","a/0","a.0","a#0","0a","0-a","0_a","0/a"},BP710)))&gt;0),ISNUMBER(SEARCH("000000",BP710)))),1,0),0)</f>
        <v>0</v>
      </c>
      <c r="BR710" s="61" t="n">
        <f aca="false">IFERROR(LEN(SUBSTITUTE(CC710," ",""))-SUMPRODUCT((LEN(CC710)-LEN(SUBSTITUTE(CC710," "&amp;L_Role&amp;" "," ")))/(LEN(L_Role)+1)*LEN(L_Role)),0)</f>
        <v>0</v>
      </c>
      <c r="BS710" s="61" t="n">
        <f aca="false">IFERROR(LEN(SUBSTITUTE(CD710," ",""))-SUMPRODUCT((LEN(CD710)-LEN(SUBSTITUTE(CD710," "&amp;L_Role&amp;" "," ")))/(LEN(L_Role)+1)*LEN(L_Role)),0)</f>
        <v>0</v>
      </c>
      <c r="BT7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710,"revision",""),"version",""),"jan",""),"feb",""),"mar",""),"apr",""),"may",""),"jun",""),"jul",""),"aug",""),"sep",""),"oct",""),"nov",""),"dec",""),"utc",""),"gmt",""),"myt",""),"bst",""),"rev",""),"ver",""),"b","a"),"c","a"),"d","a"),"e","a"),"f","a"),"g","a"),"h","a"),"i","a"),"j","a"),"k","a"),"l","a"),"m","a"),"n","a"),"o","a"),"p","a"),"q","a"),"r","a"),"s","a"),"t","a"),"u","a"),"v","a"),"w","a"),"x","a"),"y","a"),"z","a")</f>
        <v/>
      </c>
      <c r="BU710" s="61" t="str">
        <f aca="false">SUBSTITUTE(SUBSTITUTE(SUBSTITUTE(SUBSTITUTE(SUBSTITUTE(SUBSTITUTE(SUBSTITUTE(SUBSTITUTE(SUBSTITUTE(SUBSTITUTE(LEFT(BM710,FIND("0",BM710&amp;"0")-1),"-",""),"_",""),"/",""),".",""),"#",""),"\\",""),":","")," ",""),"(",""),")","")</f>
        <v/>
      </c>
      <c r="BV710" s="61" t="n">
        <f aca="false">0</f>
        <v>0</v>
      </c>
      <c r="BW71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710&amp;""),"a",""),"b",""),"c",""),"d",""),"e",""),"f",""),"g",""),"h",""),"i",""),"j",""),"k",""),"l",""),"m",""),"n",""),"o",""),"p",""),"q",""),"r",""),"s",""),"t",""),"u",""),"v",""),"w",""),"x",""),"y",""),"z",""),"-",""),"_",""),"/",""),".",""),"#",""),"\\",""),":","")," ",""),"(",""),")","")</f>
        <v/>
      </c>
      <c r="BX710" s="61" t="str">
        <f aca="false">SUBSTITUTE(SUBSTITUTE(SUBSTITUTE(SUBSTITUTE(SUBSTITUTE(SUBSTITUTE(SUBSTITUTE(SUBSTITUTE(SUBSTITUTE(SUBSTITUTE(SUBSTITUTE(BM710,"0",""),"-",""),"_",""),"/",""),".",""),"#",""),"\\",""),":","")," ",""),"(",""),")","")</f>
        <v/>
      </c>
      <c r="BY710" s="62" t="n">
        <f aca="false">Q710-T7EarlyD*24/24</f>
        <v>46304.6388888889</v>
      </c>
      <c r="BZ710" s="61" t="n">
        <f aca="false">IFERROR(IF(IF(TRIM(S710)="Link / file path",AND(LEN(TRIM(Z710))&gt;=5,SUMPRODUCT(--ISNUMBER(SEARCH({"http","www.","\\",":\",".pdf",".jpg",".jpeg",".png",".heic",".xls",".doc",".msg",".eml",".ppt",".txt",".zip"},Z710)))&gt;0),AND(ISERROR(FIND(" ",TRIM(Z710))),NOT(OR(SUMPRODUCT(--ISNUMBER(FIND({",",";","&amp;","+"},Z710)))&gt;0,SUMPRODUCT(--ISNUMBER(SEARCH({"0/aa","0\\aa"},BN710)))&gt;0)),NOT(SUMPRODUCT(--ISNUMBER(SEARCH({"http","www.","\\",":\",".pdf",".jpg",".jpeg",".png",".heic",".xls",".doc",".msg",".eml",".ppt",".txt",".zip"},Z710)))&gt;0),NOT(LOWER(TRIM(Z710))=LOWER(Flights!$F$26)),ISNA(MATCH(BU710,{"mh","rev","revision","ver","version","v","r","a","b","seat","tray","row","gate","bay","stand","page","pg","item","line","no","cart","galley","flight","flt","table","box","bag","oven","etd","eta","std","sta","atd","ata","qty","pax","x","time","tel","ph","mob","day","wk","week","utc","gmt","myt","lt"},0)),NOT(OR(ISNUMBER(MATCH(LEFT(BN710,255),{"0000a","000a","00a","0000aa","000aa","00aa","0aa","0000aaa","000aaa","00a00","0a00","0000-0000","00:00","a00","a0","00.00.0000","00/00/0000","00-00-0000","0000-00-00","0000/00/00","0000.00.00","00.00.00","00/00/00","00-00-00","0.00.0000","0/00/0000","0-00-0000"},0)),ISNUMBER(MATCH(LEFT(BT710,255),{"0000a","000a","00a","0000aa","000aa","00aa","0aa","0000aaa","000aaa","00a00","0a00","0000-0000","00:00","a00","a0","00.00.0000","00/00/0000","00-00-0000","0000-00-00","0000/00/00","0000.00.00","00.00.00","00/00/00","00-00-00","0.00.0000","0/00/0000","0-00-0000"},0)))),NOT(OR(AND(BW710&lt;&gt;"",SUBSTITUTE(BW710,"0","")=""),AND(LEN(BW710)&gt;=4,BW710=REPT(LEFT(BW710),LEN(BW710))),ISNUMBER(MATCH(BW710,{"123","1234","12345","123456","1234567","12345678","0123","01234","012345","98765","987654","54321"},0)),ISNUMBER(MATCH(BX710,{"x","xx","xxx","xxxx","xxxxx","abc","abcd","nil","na","nan","test","tbc","tba","tbd","dummy","sample","example","eg","zz","zzz","none","null","xyz","qwe","asd","id","ref"},0)),AND(LEN(BW710)=8,BX710="",OR(LEFT(BW710,3)="202",ISNUMBER(MATCH(RIGHT(BW710,4),{"2025","2026","2027"},0)))))),OR(AND((LEN(BT710)-LEN(SUBSTITUTE(BT710,"a","")))&gt;=1,(LEN(BN710)-LEN(SUBSTITUTE(BN710,"0","")))&gt;=2,SUMPRODUCT(--ISNUMBER(SEARCH({"a0","a-0","a_0","a/0","a.0","a#0","0a","0-a","0_a","0/a"},BN710)))&gt;0),AND((LEN(BN710)-LEN(SUBSTITUTE(BN710,"a","")))=0,(LEN(BN710)-LEN(SUBSTITUTE(BN710,"0","")))&gt;=5)))),1,0),0)</f>
        <v>0</v>
      </c>
      <c r="CA7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710,"revision",""),"version",""),"jan",""),"feb",""),"mar",""),"apr",""),"may",""),"jun",""),"jul",""),"aug",""),"sep",""),"oct",""),"nov",""),"dec",""),"utc",""),"gmt",""),"myt",""),"bst",""),"rev",""),"ver",""),"b","a"),"c","a"),"d","a"),"e","a"),"f","a"),"g","a"),"h","a"),"i","a"),"j","a"),"k","a"),"l","a"),"m","a"),"n","a"),"o","a"),"p","a"),"q","a"),"r","a"),"s","a"),"t","a"),"u","a"),"v","a"),"w","a"),"x","a"),"y","a"),"z","a")</f>
        <v/>
      </c>
      <c r="CB7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710&amp;""),"a",""),"b",""),"c",""),"d",""),"e",""),"f",""),"g",""),"h",""),"i",""),"j",""),"k",""),"l",""),"m",""),"n",""),"o",""),"p",""),"q",""),"r",""),"s",""),"t",""),"u",""),"v",""),"w",""),"x",""),"y",""),"z",""),"-",""),"_",""),"/",""),".",""),"#",""),"\\",""),":","")," ",""),"(",""),")","")</f>
        <v/>
      </c>
      <c r="CC710" s="0" t="str">
        <f aca="false">" "&amp;TRIM(SUBSTITUTE(SUBSTITUTE(SUBSTITUTE(SUBSTITUTE(SUBSTITUTE(SUBSTITUTE(SUBSTITUTE(SUBSTITUTE(SUBSTITUTE(SUBSTITUTE(SUBSTITUTE(SUBSTITUTE(SUBSTITUTE(SUBSTITUTE(SUBSTITUTE(SUBSTITUTE(SUBSTITUTE(SUBSTITUTE(SUBSTITUTE(SUBSTITUTE(SUBSTITUTE(SUBSTITUTE(SUBSTITUTE(SUBSTITUTE(LOWER(T710&amp;""),CHAR(10)," "),CHAR(13)," "),CHAR(9)," "),CHAR(160)," "),"."," "),","," "),"-"," "),"/"," "),"("," "),")"," "),":"," "),";"," "),"_"," "),"–"," "),"?"," "),"!"," "),"*"," "),"["," "),"]"," "),"'"," "),"#"," "),"+"," "),"&amp;"," "),"\"," "))&amp;" "</f>
        <v>  </v>
      </c>
      <c r="CD710" s="0" t="str">
        <f aca="false">" "&amp;TRIM(SUBSTITUTE(SUBSTITUTE(SUBSTITUTE(SUBSTITUTE(SUBSTITUTE(SUBSTITUTE(SUBSTITUTE(SUBSTITUTE(SUBSTITUTE(SUBSTITUTE(SUBSTITUTE(SUBSTITUTE(SUBSTITUTE(SUBSTITUTE(SUBSTITUTE(SUBSTITUTE(SUBSTITUTE(SUBSTITUTE(SUBSTITUTE(SUBSTITUTE(SUBSTITUTE(SUBSTITUTE(SUBSTITUTE(SUBSTITUTE(LOWER(AE710&amp;""),CHAR(10)," "),CHAR(13)," "),CHAR(9)," "),CHAR(160)," "),"."," "),","," "),"-"," "),"/"," "),"("," "),")"," "),":"," "),";"," "),"_"," "),"–"," "),"?"," "),"!"," "),"*"," "),"["," "),"]"," "),"'"," "),"#"," "),"+"," "),"&amp;"," "),"\"," "))&amp;" "</f>
        <v>  </v>
      </c>
      <c r="CE710" s="68" t="n">
        <f aca="false">IFERROR(IF(AND(LEN(AU710)&gt;0,LEN(AU710)=LEN(AX710),OR(TRIM(MID(SUBSTITUTE(TRIM(CC710)," ",REPT(" ",60)),1,60))="",ISNUMBER(SEARCH(" "&amp;TRIM(MID(SUBSTITUTE(TRIM(CC710)," ",REPT(" ",60)),1,60))&amp;" ",CD710))),OR(TRIM(MID(SUBSTITUTE(TRIM(CC710)," ",REPT(" ",60)),61,60))="",ISNUMBER(SEARCH(" "&amp;TRIM(MID(SUBSTITUTE(TRIM(CC710)," ",REPT(" ",60)),61,60))&amp;" ",CD710))),OR(TRIM(MID(SUBSTITUTE(TRIM(CC710)," ",REPT(" ",60)),121,60))="",ISNUMBER(SEARCH(" "&amp;TRIM(MID(SUBSTITUTE(TRIM(CC710)," ",REPT(" ",60)),121,60))&amp;" ",CD710)))),1,0),0)</f>
        <v>0</v>
      </c>
      <c r="CG710" s="68" t="n">
        <f aca="false">IFERROR(LEN(SUBSTITUTE(BF710," ",""))-SUMPRODUCT((LEN(BF710)-LEN(SUBSTITUTE(BF710," "&amp;L_NAFiller&amp;" "," ")))/(LEN(L_NAFiller)+1)*LEN(L_NAFiller)),0)</f>
        <v>0</v>
      </c>
    </row>
    <row r="711" customFormat="false" ht="39.75" hidden="false" customHeight="true" outlineLevel="0" collapsed="false">
      <c r="A711" s="57" t="s">
        <v>1445</v>
      </c>
      <c r="B711" s="57" t="s">
        <v>312</v>
      </c>
      <c r="C711" s="57" t="str">
        <f aca="false">Flights!$F$26</f>
        <v>MH0002</v>
      </c>
      <c r="D711" s="58" t="n">
        <f aca="false">Flights!$D$26</f>
        <v>46325</v>
      </c>
      <c r="E711" s="57" t="str">
        <f aca="false">Flights!$G$26&amp;"-"&amp;Flights!$H$26</f>
        <v>KUL-LHR</v>
      </c>
      <c r="F711" s="57" t="str">
        <f aca="false">Flights!$K$26</f>
        <v>BC</v>
      </c>
      <c r="G711" s="57" t="s">
        <v>83</v>
      </c>
      <c r="H711" s="57" t="s">
        <v>378</v>
      </c>
      <c r="I711" s="57" t="s">
        <v>379</v>
      </c>
      <c r="J711" s="57" t="s">
        <v>416</v>
      </c>
      <c r="K711" s="67" t="s">
        <v>417</v>
      </c>
      <c r="L711" s="67" t="s">
        <v>418</v>
      </c>
      <c r="M711" s="67"/>
      <c r="N711" s="67" t="s">
        <v>383</v>
      </c>
      <c r="O711" s="67"/>
      <c r="P711" s="57" t="s">
        <v>187</v>
      </c>
      <c r="Q711" s="59" t="n">
        <f aca="false">ROUND((Flights!$AD$26)*1440,0)/1440</f>
        <v>46324.6388888889</v>
      </c>
      <c r="R711" s="59" t="n">
        <f aca="false">Q711+(IF(AND(INDEX(TZ_DSTS,MATCH(P711,TZ_STN,0))&lt;&gt;"",Q711&gt;=INDEX(TZ_DSTS,MATCH(P711,TZ_STN,0)),Q711&lt;INDEX(TZ_DSTE,MATCH(P711,TZ_STN,0))),INDEX(TZ_DST,MATCH(P711,TZ_STN,0)),INDEX(TZ_STD,MATCH(P711,TZ_STN,0))))/24</f>
        <v>46324.9722222222</v>
      </c>
      <c r="S711" s="60"/>
      <c r="T711" s="60"/>
      <c r="U711" s="60"/>
      <c r="V711" s="60"/>
      <c r="W711" s="60"/>
      <c r="X711" s="60"/>
      <c r="Y711" s="60"/>
      <c r="Z711" s="60"/>
      <c r="AA711" s="60"/>
      <c r="AB711" s="60"/>
      <c r="AC711" s="60"/>
      <c r="AD711" s="66"/>
      <c r="AE711" s="60"/>
      <c r="AF711" s="61" t="str">
        <f aca="false">IF(AND(ISNUMBER(X711),ISNUMBER(Y711)),Y711-X711,"")</f>
        <v/>
      </c>
      <c r="AG711" s="62" t="str">
        <f aca="false">IF(ISNUMBER(AD711),AD711-(IF(AND(INDEX(TZ_DSTS,MATCH(P711,TZ_STN,0))&lt;&gt;"",(AD711-INDEX(TZ_STD,MATCH(P711,TZ_STN,0))/24)&gt;=INDEX(TZ_DSTS,MATCH(P711,TZ_STN,0)),(AD711-INDEX(TZ_STD,MATCH(P711,TZ_STN,0))/24)&lt;INDEX(TZ_DSTE,MATCH(P711,TZ_STN,0))),INDEX(TZ_DST,MATCH(P711,TZ_STN,0)),INDEX(TZ_STD,MATCH(P711,TZ_STN,0))))/24,"")</f>
        <v/>
      </c>
      <c r="AH711" s="65" t="str">
        <f aca="false">IFERROR(IF(N711="N/A – rule",IF(OR(TRIM(U711)="",TRIM(U711)="N/A",TRIM(U711)="Not started"),"N/A – RULE","INVALID – this check does not apply to this aircraft: clear the status (or correct the fleet on Flights)"),IF(TRIM(U711)="N/A",IF(AT711=0,"INVALID – N/A not permitted for this check",IF(AND(TRIM(AB711)&lt;&gt;"",TRIM(AB711)&lt;&gt;"Closed"),"INVALID – corrective action still open",IF(AND(NOT(OR(LEN(AZ711)&lt;15,ISNUMBER(MATCH(AZ711,L_Placeholder,0)))),BK711=0,CG711&gt;=8,NOT(OR(LEN(AU711)&lt;2,ISNUMBER(MATCH(AU711,L_Placeholder,0)))),BR711&gt;=3,NOT(OR(LEN(AX711)&lt;2,ISNUMBER(MATCH(AX711,L_Placeholder,0)))),BS711&gt;=3,TRIM(AE711)&lt;&gt;TRIM(T711),AX711&lt;&gt;AU711,CE711=0),"N/A – JUSTIFIED","INVALID – N/A needs a real, settled reason (not 'not applicable' / 'as above' / TBC), a named PIC and a different named verifier"))),IF(OR(TRIM(U711)="Pass",TRIM(U711)="Pass after CA"),IF(NOT(ISNUMBER(AD711)),"INVALID – completion time missing",IF(OR(OR(LEN(AU711)&lt;2,ISNUMBER(MATCH(AU711,L_Placeholder,0))),BR711&lt;3),"INVALID – PIC missing or not a named person (a role such as QA / CSM is not a name)",IF(OR(LEN(AV711)&lt;2,ISNUMBER(MATCH(AV711,L_Placeholder,0))),"INVALID – result / assessment missing",IF(OR(OR(LEN(AW711)&lt;3,ISNUMBER(MATCH(AW711,L_Placeholder,0))),SUMPRODUCT(--ISNUMBER(SEARCH(" "&amp;L_EvidencePhrase&amp;" ",BD711)))&gt;0,BI711=1),"INVALID – evidence missing, placeholder or not yet on file",IF(ISNA(MATCH(TRIM(S711),L_EvidenceType,0)),"INVALID – choose the evidence type from the list (column S)",IF(BL711=0,"INVALID – evidence ID must be the record's own ID only (e.g. SF-2210, IMG_2231, 1045521); a link / file name needs type 'Link / file path'",IF(OR(OR(LEN(AX711)&lt;2,ISNUMBER(MATCH(AX711,L_Placeholder,0))),BS711&lt;3),"INVALID – verifier missing or not a named person (a role such as QA / CSM is not a name)",IF(OR(AX711=AU711,CE711=1,AND(LEN(AU711)&gt;=4,ISNUMBER(SEARCH(AU711,AX711))),AND(LEN(AX711)&gt;=4,ISNUMBER(SEARCH(AX711,AU711)))),"INVALID – verifier must be a different, named person (not the PIC or a role)",IF(BH711=1,"INVALID – result not yet available (awaiting / TBC)",IF(BG711=1,"INVALID – result describes a problem: record Fail, then Pass after CA (or reword if it is not a problem)",IF(BV711=1,"INVALID – wording says not on board: an on-board confirmation needs the item loaded",IF(AND(AQ711=1,OR(OR(LEN(AY711)&lt;3,ISNUMBER(MATCH(AY711,L_Placeholder,0))),BJ711=1,BQ711=0)),"INVALID – batch ID missing, placeholder or not an ID (e.g. PASB-261008-BC-017)",IF(AND(AR711=1,OR(NOT(ISNUMBER(X711)),NOT(ISNUMBER(Y711)))),"INVALID – expected/actual qty missing",IF(AND(AR711=1,OR(X711&lt;=0,Y711&lt;0)),"INVALID – expected qty must be above 0 and actual not negative",IF(BB711&lt;&gt;"",BB711,IF(AND(AS711=1,Documents!$J$26&lt;&gt;"ON FILE"),"INVALID – GLD not on file (Documents sheet)",IF(AND(AS711=2,Documents!$O$26&lt;&gt;"ON FILE"),"INVALID – menu checklist not on file (Documents sheet)",IF(AND(AS711=3,NOT(ISNUMBER(Flights!$AX$26))),"INVALID – enter carrying flight KUL departure (Flights AX)",IF(AND(AS711=3,OR(Flights!$AZ$26&gt;Flights!$AA$26,Flights!$AX$26&lt;Flights!$AA$26-3)),"INVALID – carrying flight (Flights AX) cannot arrive before this leg's STD, or is over 3 days early",IF(AG711&gt;AsOfUTC,"INVALID – completion time is in the future",IF(AND(ISNUMBER(BY711),AG711&lt;BY711),IF(H711="Physical uplift","INVALID – before uplift window (cannot confirm loading)","INVALID – before valid window"),IF(AG711&gt;Flights!$AA$26,"INVALID – completed after departure (cannot establish readiness)",IF(AND(H711="Preparation",AG711&gt;=IF(ISNUMBER(Flights!$BA$26),MIN(Flights!$BA$26,Flights!$AA$26),Flights!$AA$26)),"INVALID – completed after loading / departure (cannot establish readiness)",IF(AND(H711="Physical uplift",AG711&gt;Q711),"INVALID – recorded after the loading flight departed",IF(AG711&gt;Q711,"COMPLETE – LATE","COMPLETE"))))))))))))))))))))))))),IF(TRIM(U711)="Fail","FAIL – DISCREPANCY",IF(AND(TRIM(U711)&lt;&gt;"",TRIM(U711)&lt;&gt;"Not started",TRIM(U711)&lt;&gt;"In progress"),"INVALID – unrecognised status (use the list)",IF(AsOfUTC&gt;Q711,"OVERDUE",IF(N711="Clarification required","OPEN – CLARIFICATION","OPEN"))))))),"INVALID – error value in an input cell")</f>
        <v>OPEN</v>
      </c>
      <c r="AI711" s="61" t="n">
        <f aca="false">IF(OR(AH711="N/A – RULE",AH711="N/A – JUSTIFIED"),0,1)</f>
        <v>1</v>
      </c>
      <c r="AJ711" s="61" t="n">
        <f aca="false">IF(LEFT(AH711,8)="COMPLETE",1,0)</f>
        <v>0</v>
      </c>
      <c r="AK711" s="61" t="n">
        <f aca="false">IF(AND(AI711=1,AJ711=0,AsOfUTC&gt;Q711),1,0)</f>
        <v>0</v>
      </c>
      <c r="AL711" s="61" t="n">
        <f aca="false">IFERROR(IF(AND(AI711=1,OR(TRIM(U711)="Fail",AND(TRIM(AB711)&lt;&gt;"",TRIM(AB711)&lt;&gt;"Closed"),AND(ISNUMBER(AF711),AF711&lt;&gt;0,TRIM(U711)&lt;&gt;"Pass after CA"))),1,0),1)</f>
        <v>0</v>
      </c>
      <c r="AM711" s="61" t="n">
        <f aca="false">IF(LEFT(AH711,7)="INVALID",1,0)</f>
        <v>0</v>
      </c>
      <c r="AN711" s="61" t="n">
        <f aca="false">IF(AND(N711="Clarification required",AI711=1,AJ711=0),1,0)</f>
        <v>0</v>
      </c>
      <c r="AO711" s="61" t="str">
        <f aca="false">IF(AK711=1,SUM(AK$5:AK711),"")</f>
        <v/>
      </c>
      <c r="AP711" s="61" t="str">
        <f aca="false">IF(AL711=1,SUM(AL$5:AL711),"")</f>
        <v/>
      </c>
      <c r="AQ711" s="61" t="n">
        <v>1</v>
      </c>
      <c r="AR711" s="61" t="n">
        <v>0</v>
      </c>
      <c r="AS711" s="61" t="n">
        <v>0</v>
      </c>
      <c r="AT711" s="61" t="n">
        <v>0</v>
      </c>
      <c r="AU711" s="61" t="str">
        <f aca="false">SUBSTITUTE(SUBSTITUTE(SUBSTITUTE(SUBSTITUTE(SUBSTITUTE(SUBSTITUTE(SUBSTITUTE(SUBSTITUTE(SUBSTITUTE(SUBSTITUTE(SUBSTITUTE(SUBSTITUTE(SUBSTITUTE(SUBSTITUTE(SUBSTITUTE(SUBSTITUTE(LOWER(T711&amp;""),CHAR(10),""),CHAR(13),""),CHAR(9),""),CHAR(160),"")," ",""),".",""),"-",""),"/",""),"?",""),"_",""),",",""),"[",""),"]",""),"(",""),")",""),"*","")</f>
        <v/>
      </c>
      <c r="AV711" s="61" t="str">
        <f aca="false">SUBSTITUTE(SUBSTITUTE(SUBSTITUTE(SUBSTITUTE(SUBSTITUTE(SUBSTITUTE(SUBSTITUTE(SUBSTITUTE(SUBSTITUTE(SUBSTITUTE(SUBSTITUTE(SUBSTITUTE(SUBSTITUTE(SUBSTITUTE(SUBSTITUTE(SUBSTITUTE(LOWER(V711&amp;""),CHAR(10),""),CHAR(13),""),CHAR(9),""),CHAR(160),"")," ",""),".",""),"-",""),"/",""),"?",""),"_",""),",",""),"[",""),"]",""),"(",""),")",""),"*","")</f>
        <v/>
      </c>
      <c r="AW711" s="61" t="str">
        <f aca="false">SUBSTITUTE(SUBSTITUTE(SUBSTITUTE(SUBSTITUTE(SUBSTITUTE(SUBSTITUTE(SUBSTITUTE(SUBSTITUTE(SUBSTITUTE(SUBSTITUTE(SUBSTITUTE(SUBSTITUTE(SUBSTITUTE(SUBSTITUTE(SUBSTITUTE(SUBSTITUTE(LOWER(Z711&amp;""),CHAR(10),""),CHAR(13),""),CHAR(9),""),CHAR(160),"")," ",""),".",""),"-",""),"/",""),"?",""),"_",""),",",""),"[",""),"]",""),"(",""),")",""),"*","")</f>
        <v/>
      </c>
      <c r="AX711" s="61" t="str">
        <f aca="false">SUBSTITUTE(SUBSTITUTE(SUBSTITUTE(SUBSTITUTE(SUBSTITUTE(SUBSTITUTE(SUBSTITUTE(SUBSTITUTE(SUBSTITUTE(SUBSTITUTE(SUBSTITUTE(SUBSTITUTE(SUBSTITUTE(SUBSTITUTE(SUBSTITUTE(SUBSTITUTE(LOWER(AE711&amp;""),CHAR(10),""),CHAR(13),""),CHAR(9),""),CHAR(160),"")," ",""),".",""),"-",""),"/",""),"?",""),"_",""),",",""),"[",""),"]",""),"(",""),")",""),"*","")</f>
        <v/>
      </c>
      <c r="AY711" s="61" t="str">
        <f aca="false">SUBSTITUTE(SUBSTITUTE(SUBSTITUTE(SUBSTITUTE(SUBSTITUTE(SUBSTITUTE(SUBSTITUTE(SUBSTITUTE(SUBSTITUTE(SUBSTITUTE(SUBSTITUTE(SUBSTITUTE(SUBSTITUTE(SUBSTITUTE(SUBSTITUTE(SUBSTITUTE(LOWER(W711&amp;""),CHAR(10),""),CHAR(13),""),CHAR(9),""),CHAR(160),"")," ",""),".",""),"-",""),"/",""),"?",""),"_",""),",",""),"[",""),"]",""),"(",""),")",""),"*","")</f>
        <v/>
      </c>
      <c r="AZ711" s="61" t="str">
        <f aca="false">SUBSTITUTE(SUBSTITUTE(SUBSTITUTE(SUBSTITUTE(SUBSTITUTE(SUBSTITUTE(SUBSTITUTE(SUBSTITUTE(SUBSTITUTE(SUBSTITUTE(SUBSTITUTE(SUBSTITUTE(SUBSTITUTE(SUBSTITUTE(SUBSTITUTE(SUBSTITUTE(LOWER(AC711&amp;""),CHAR(10),""),CHAR(13),""),CHAR(9),""),CHAR(160),"")," ",""),".",""),"-",""),"/",""),"?",""),"_",""),",",""),"[",""),"]",""),"(",""),")",""),"*","")</f>
        <v/>
      </c>
      <c r="BA711" s="61" t="str">
        <f aca="false">SUBSTITUTE(SUBSTITUTE(SUBSTITUTE(SUBSTITUTE(SUBSTITUTE(SUBSTITUTE(SUBSTITUTE(SUBSTITUTE(SUBSTITUTE(SUBSTITUTE(SUBSTITUTE(SUBSTITUTE(SUBSTITUTE(SUBSTITUTE(SUBSTITUTE(SUBSTITUTE(LOWER(AA711&amp;""),CHAR(10),""),CHAR(13),""),CHAR(9),""),CHAR(160),"")," ",""),".",""),"-",""),"/",""),"?",""),"_",""),",",""),"[",""),"]",""),"(",""),")",""),"*","")</f>
        <v/>
      </c>
      <c r="BB711" s="61" t="str">
        <f aca="false">IF(AND(TRIM(U711)="Pass",ISNUMBER(AF711)),IF(AF711&lt;&gt;0,"INVALID – qty variance: use Fail or Pass after CA",""),"")&amp;IF(AND(TRIM(U711)="Pass after CA",ISNUMBER(AF711)),IF(AF711&lt;&gt;0,"INVALID – after the corrective action the actual qty must equal expected (update Actual)",""),"")&amp;IF(AND(TRIM(U711)="Pass",TRIM(AB711)&lt;&gt;"",TRIM(AB711)&lt;&gt;"Closed"),"INVALID – corrective action not closed: use Fail, then Pass after CA","")&amp;IF(AND(LEN(BA711)&gt;=2,ISNA(MATCH(LEFT(BA711,255),L_Placeholder,0)),TRIM(AB711)=""),"INVALID – CA status missing for the recorded corrective action","")&amp;IF(AND(TRIM(U711)="Pass after CA",OR(OR(LEN(BA711)&lt;5,ISNUMBER(MATCH(BA711,L_Placeholder,0))),TRIM(AB711)&lt;&gt;"Closed")),"INVALID – corrective action not recorded/closed","")</f>
        <v/>
      </c>
      <c r="BC711" s="61" t="str">
        <f aca="false">" "&amp;TRIM(SUBSTITUTE(SUBSTITUTE(SUBSTITUTE(SUBSTITUTE(SUBSTITUTE(SUBSTITUTE(SUBSTITUTE(SUBSTITUTE(SUBSTITUTE(SUBSTITUTE(SUBSTITUTE(SUBSTITUTE(SUBSTITUTE(SUBSTITUTE(SUBSTITUTE(SUBSTITUTE(SUBSTITUTE(SUBSTITUTE(SUBSTITUTE(SUBSTITUTE(SUBSTITUTE(SUBSTITUTE(SUBSTITUTE(SUBSTITUTE(LOWER(V711&amp;""),CHAR(10)," "),CHAR(13)," "),CHAR(9)," "),CHAR(160)," "),"."," "),","," "),"-"," "),"/"," "),"("," "),")"," "),":"," "),";"," "),"_"," "),"–"," "),"?"," "),"!"," "),"*"," "),"["," "),"]"," "),"'"," "),"#"," "),"+"," "),"&amp;"," "),"\"," "))&amp;" "</f>
        <v>  </v>
      </c>
      <c r="BD711" s="61" t="str">
        <f aca="false">" "&amp;TRIM(SUBSTITUTE(SUBSTITUTE(SUBSTITUTE(SUBSTITUTE(SUBSTITUTE(SUBSTITUTE(SUBSTITUTE(SUBSTITUTE(SUBSTITUTE(SUBSTITUTE(SUBSTITUTE(SUBSTITUTE(SUBSTITUTE(SUBSTITUTE(SUBSTITUTE(SUBSTITUTE(SUBSTITUTE(SUBSTITUTE(SUBSTITUTE(SUBSTITUTE(SUBSTITUTE(SUBSTITUTE(SUBSTITUTE(SUBSTITUTE(LOWER(Z711&amp;""),CHAR(10)," "),CHAR(13)," "),CHAR(9)," "),CHAR(160)," "),"."," "),","," "),"-"," "),"/"," "),"("," "),")"," "),":"," "),";"," "),"_"," "),"–"," "),"?"," "),"!"," "),"*"," "),"["," "),"]"," "),"'"," "),"#"," "),"+"," "),"&amp;"," "),"\"," "))&amp;" "</f>
        <v>  </v>
      </c>
      <c r="BE711" s="61" t="str">
        <f aca="false">" "&amp;TRIM(SUBSTITUTE(SUBSTITUTE(SUBSTITUTE(SUBSTITUTE(SUBSTITUTE(SUBSTITUTE(SUBSTITUTE(SUBSTITUTE(SUBSTITUTE(SUBSTITUTE(SUBSTITUTE(SUBSTITUTE(SUBSTITUTE(SUBSTITUTE(SUBSTITUTE(SUBSTITUTE(SUBSTITUTE(SUBSTITUTE(SUBSTITUTE(SUBSTITUTE(SUBSTITUTE(SUBSTITUTE(SUBSTITUTE(SUBSTITUTE(LOWER(W711&amp;""),CHAR(10)," "),CHAR(13)," "),CHAR(9)," "),CHAR(160)," "),"."," "),","," "),"-"," "),"/"," "),"("," "),")"," "),":"," "),";"," "),"_"," "),"–"," "),"?"," "),"!"," "),"*"," "),"["," "),"]"," "),"'"," "),"#"," "),"+"," "),"&amp;"," "),"\"," "))&amp;" "</f>
        <v>  </v>
      </c>
      <c r="BF711" s="61" t="str">
        <f aca="false">" "&amp;TRIM(SUBSTITUTE(SUBSTITUTE(SUBSTITUTE(SUBSTITUTE(SUBSTITUTE(SUBSTITUTE(SUBSTITUTE(SUBSTITUTE(SUBSTITUTE(SUBSTITUTE(SUBSTITUTE(SUBSTITUTE(SUBSTITUTE(SUBSTITUTE(SUBSTITUTE(SUBSTITUTE(SUBSTITUTE(SUBSTITUTE(SUBSTITUTE(SUBSTITUTE(SUBSTITUTE(SUBSTITUTE(SUBSTITUTE(SUBSTITUTE(LOWER(AC711&amp;""),CHAR(10)," "),CHAR(13)," "),CHAR(9)," "),CHAR(160)," "),"."," "),","," "),"-"," "),"/"," "),"("," "),")"," "),":"," "),";"," "),"_"," "),"–"," "),"?"," "),"!"," "),"*"," "),"["," "),"]"," "),"'"," "),"#"," "),"+"," "),"&amp;"," "),"\"," "))&amp;" "</f>
        <v>  </v>
      </c>
      <c r="BG711" s="61" t="n">
        <f aca="false">IFERROR(IF(AND(TRIM(U711)="Pass",SUMPRODUCT((LEN(BC711)-LEN(SUBSTITUTE(BC711," "&amp;L_ResultBad&amp;" "," ")))/(LEN(L_ResultBad)+1))&gt;SUMPRODUCT((LEN(BC711)-LEN(SUBSTITUTE(BC711," "&amp;L_NegPhrase&amp;" "," ")))/(LEN(L_NegPhrase)+1))),1,0),0)</f>
        <v>0</v>
      </c>
      <c r="BH711" s="61" t="n">
        <f aca="false">IFERROR(IF(SUMPRODUCT((LEN(BC711)-LEN(SUBSTITUTE(BC711," "&amp;L_Pending&amp;" "," ")))/(LEN(L_Pending)+1))&gt;SUMPRODUCT((LEN(BC711)-LEN(SUBSTITUTE(BC711," "&amp;L_PendNeg&amp;" "," ")))/(LEN(L_PendNeg)+1))+SUMPRODUCT((LEN(BC711)-LEN(SUBSTITUTE(BC711," "&amp;L_PendPrep&amp;" "," ")))/(LEN(L_PendPrep)+1)),1,0),1)</f>
        <v>0</v>
      </c>
      <c r="BI711" s="61" t="n">
        <f aca="false">IFERROR(IF(SUMPRODUCT((LEN(BD711)-LEN(SUBSTITUTE(BD711," "&amp;L_PendStrict&amp;" "," ")))/(LEN(L_PendStrict)+1))&gt;SUMPRODUCT((LEN(BD711)-LEN(SUBSTITUTE(BD711," "&amp;L_PendNeg&amp;" "," ")))/(LEN(L_PendNeg)+1)),1,0),1)</f>
        <v>0</v>
      </c>
      <c r="BJ711" s="61" t="n">
        <f aca="false">IFERROR(IF(SUMPRODUCT((LEN(BE711)-LEN(SUBSTITUTE(BE711," "&amp;L_Pending&amp;" "," ")))/(LEN(L_Pending)+1))&gt;SUMPRODUCT((LEN(BE711)-LEN(SUBSTITUTE(BE711," "&amp;L_PendNeg&amp;" "," ")))/(LEN(L_PendNeg)+1))+SUMPRODUCT((LEN(BE711)-LEN(SUBSTITUTE(BE711," "&amp;L_PendPrep&amp;" "," ")))/(LEN(L_PendPrep)+1)),1,0),1)</f>
        <v>0</v>
      </c>
      <c r="BK711" s="61" t="n">
        <f aca="false">IFERROR(IF(SUMPRODUCT((LEN(BF711)-LEN(SUBSTITUTE(BF711," "&amp;L_PendStrict&amp;" "," ")))/(LEN(L_PendStrict)+1))&gt;SUMPRODUCT((LEN(BF711)-LEN(SUBSTITUTE(BF711," "&amp;L_PendNeg&amp;" "," ")))/(LEN(L_PendNeg)+1)),1,0),1)</f>
        <v>0</v>
      </c>
      <c r="BL711" s="61" t="n">
        <f aca="false">IF(ISNA(MATCH(TRIM(S711),L_EvidenceType,0)),0,BZ711)</f>
        <v>0</v>
      </c>
      <c r="BM711" s="61" t="str">
        <f aca="false">SUBSTITUTE(SUBSTITUTE(SUBSTITUTE(SUBSTITUTE(SUBSTITUTE(SUBSTITUTE(SUBSTITUTE(SUBSTITUTE(SUBSTITUTE(LOWER(Z711&amp;""),"1","0"),"2","0"),"3","0"),"4","0"),"5","0"),"6","0"),"7","0"),"8","0"),"9","0")</f>
        <v/>
      </c>
      <c r="BN711" s="61" t="str">
        <f aca="false">SUBSTITUTE(SUBSTITUTE(SUBSTITUTE(SUBSTITUTE(SUBSTITUTE(SUBSTITUTE(SUBSTITUTE(SUBSTITUTE(SUBSTITUTE(SUBSTITUTE(SUBSTITUTE(SUBSTITUTE(SUBSTITUTE(SUBSTITUTE(SUBSTITUTE(SUBSTITUTE(SUBSTITUTE(SUBSTITUTE(SUBSTITUTE(SUBSTITUTE(SUBSTITUTE(SUBSTITUTE(SUBSTITUTE(SUBSTITUTE(SUBSTITUTE(BM711,"b","a"),"c","a"),"d","a"),"e","a"),"f","a"),"g","a"),"h","a"),"i","a"),"j","a"),"k","a"),"l","a"),"m","a"),"n","a"),"o","a"),"p","a"),"q","a"),"r","a"),"s","a"),"t","a"),"u","a"),"v","a"),"w","a"),"x","a"),"y","a"),"z","a")</f>
        <v/>
      </c>
      <c r="BO711" s="61" t="str">
        <f aca="false">SUBSTITUTE(SUBSTITUTE(SUBSTITUTE(SUBSTITUTE(SUBSTITUTE(SUBSTITUTE(SUBSTITUTE(SUBSTITUTE(SUBSTITUTE(LOWER(W711&amp;""),"1","0"),"2","0"),"3","0"),"4","0"),"5","0"),"6","0"),"7","0"),"8","0"),"9","0")</f>
        <v/>
      </c>
      <c r="BP711" s="61" t="str">
        <f aca="false">SUBSTITUTE(SUBSTITUTE(SUBSTITUTE(SUBSTITUTE(SUBSTITUTE(SUBSTITUTE(SUBSTITUTE(SUBSTITUTE(SUBSTITUTE(SUBSTITUTE(SUBSTITUTE(SUBSTITUTE(SUBSTITUTE(SUBSTITUTE(SUBSTITUTE(SUBSTITUTE(SUBSTITUTE(SUBSTITUTE(SUBSTITUTE(SUBSTITUTE(SUBSTITUTE(SUBSTITUTE(SUBSTITUTE(SUBSTITUTE(SUBSTITUTE(BO711,"b","a"),"c","a"),"d","a"),"e","a"),"f","a"),"g","a"),"h","a"),"i","a"),"j","a"),"k","a"),"l","a"),"m","a"),"n","a"),"o","a"),"p","a"),"q","a"),"r","a"),"s","a"),"t","a"),"u","a"),"v","a"),"w","a"),"x","a"),"y","a"),"z","a")</f>
        <v/>
      </c>
      <c r="BQ711" s="61" t="n">
        <f aca="false">IFERROR(IF(AND(ISERROR(SEARCH(" mh"," "&amp;LOWER(W711))),ISNA(MATCH(LEFT(TRIM(BP711),255),{"0000a","000a","00a","0000aa","000aa","00aa","0aa","0000aaa","000aaa","00a00","0a00","0000-0000","00:00","a00","a0","00.00.0000","00/00/0000","00-00-0000","0000-00-00","0000/00/00","0000.00.00","00.00.00","00/00/00","00-00-00","0.00.0000","0/00/0000","0-00-0000"},0)),ISNA(MATCH(LEFT(TRIM(CA711),255),{"0000a","000a","00a","0000aa","000aa","00aa","0aa","0000aaa","000aaa","00a00","0a00","0000-0000","00:00","a00","a0","00.00.0000","00/00/0000","00-00-0000","0000-00-00","0000/00/00","0000.00.00","00.00.00","00/00/00","00-00-00","0.00.0000","0/00/0000","0-00-0000"},0)),LEN(CB711)&gt;=3,NOT(OR(SUBSTITUTE(CB711,"0","")="",AND(LEN(CB711)&gt;=4,CB711=REPT(LEFT(CB711),LEN(CB711))),ISNUMBER(MATCH(CB711,{"123","1234","12345","123456","1234567","12345678","0123","01234","012345","98765","987654","54321"},0)),AND(LEN(CB711)=8,LEFT(CB711,3)="202"))),OR(AND((LEN(CA711)-LEN(SUBSTITUTE(CA711,"a","")))&gt;=1,SUMPRODUCT(--ISNUMBER(SEARCH({"a0","a-0","a_0","a/0","a.0","a#0","0a","0-a","0_a","0/a"},BP711)))&gt;0),ISNUMBER(SEARCH("000000",BP711)))),1,0),0)</f>
        <v>0</v>
      </c>
      <c r="BR711" s="61" t="n">
        <f aca="false">IFERROR(LEN(SUBSTITUTE(CC711," ",""))-SUMPRODUCT((LEN(CC711)-LEN(SUBSTITUTE(CC711," "&amp;L_Role&amp;" "," ")))/(LEN(L_Role)+1)*LEN(L_Role)),0)</f>
        <v>0</v>
      </c>
      <c r="BS711" s="61" t="n">
        <f aca="false">IFERROR(LEN(SUBSTITUTE(CD711," ",""))-SUMPRODUCT((LEN(CD711)-LEN(SUBSTITUTE(CD711," "&amp;L_Role&amp;" "," ")))/(LEN(L_Role)+1)*LEN(L_Role)),0)</f>
        <v>0</v>
      </c>
      <c r="BT7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711,"revision",""),"version",""),"jan",""),"feb",""),"mar",""),"apr",""),"may",""),"jun",""),"jul",""),"aug",""),"sep",""),"oct",""),"nov",""),"dec",""),"utc",""),"gmt",""),"myt",""),"bst",""),"rev",""),"ver",""),"b","a"),"c","a"),"d","a"),"e","a"),"f","a"),"g","a"),"h","a"),"i","a"),"j","a"),"k","a"),"l","a"),"m","a"),"n","a"),"o","a"),"p","a"),"q","a"),"r","a"),"s","a"),"t","a"),"u","a"),"v","a"),"w","a"),"x","a"),"y","a"),"z","a")</f>
        <v/>
      </c>
      <c r="BU711" s="61" t="str">
        <f aca="false">SUBSTITUTE(SUBSTITUTE(SUBSTITUTE(SUBSTITUTE(SUBSTITUTE(SUBSTITUTE(SUBSTITUTE(SUBSTITUTE(SUBSTITUTE(SUBSTITUTE(LEFT(BM711,FIND("0",BM711&amp;"0")-1),"-",""),"_",""),"/",""),".",""),"#",""),"\\",""),":","")," ",""),"(",""),")","")</f>
        <v/>
      </c>
      <c r="BV711" s="61" t="n">
        <f aca="false">0</f>
        <v>0</v>
      </c>
      <c r="BW71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711&amp;""),"a",""),"b",""),"c",""),"d",""),"e",""),"f",""),"g",""),"h",""),"i",""),"j",""),"k",""),"l",""),"m",""),"n",""),"o",""),"p",""),"q",""),"r",""),"s",""),"t",""),"u",""),"v",""),"w",""),"x",""),"y",""),"z",""),"-",""),"_",""),"/",""),".",""),"#",""),"\\",""),":","")," ",""),"(",""),")","")</f>
        <v/>
      </c>
      <c r="BX711" s="61" t="str">
        <f aca="false">SUBSTITUTE(SUBSTITUTE(SUBSTITUTE(SUBSTITUTE(SUBSTITUTE(SUBSTITUTE(SUBSTITUTE(SUBSTITUTE(SUBSTITUTE(SUBSTITUTE(SUBSTITUTE(BM711,"0",""),"-",""),"_",""),"/",""),".",""),"#",""),"\\",""),":","")," ",""),"(",""),")","")</f>
        <v/>
      </c>
      <c r="BY711" s="62" t="n">
        <f aca="false">Q711-T24EarlyH/24</f>
        <v>46323.6388888889</v>
      </c>
      <c r="BZ711" s="61" t="n">
        <f aca="false">IFERROR(IF(IF(TRIM(S711)="Link / file path",AND(LEN(TRIM(Z711))&gt;=5,SUMPRODUCT(--ISNUMBER(SEARCH({"http","www.","\\",":\",".pdf",".jpg",".jpeg",".png",".heic",".xls",".doc",".msg",".eml",".ppt",".txt",".zip"},Z711)))&gt;0),AND(ISERROR(FIND(" ",TRIM(Z711))),NOT(OR(SUMPRODUCT(--ISNUMBER(FIND({",",";","&amp;","+"},Z711)))&gt;0,SUMPRODUCT(--ISNUMBER(SEARCH({"0/aa","0\\aa"},BN711)))&gt;0)),NOT(SUMPRODUCT(--ISNUMBER(SEARCH({"http","www.","\\",":\",".pdf",".jpg",".jpeg",".png",".heic",".xls",".doc",".msg",".eml",".ppt",".txt",".zip"},Z711)))&gt;0),NOT(LOWER(TRIM(Z711))=LOWER(Flights!$F$26)),ISNA(MATCH(BU711,{"mh","rev","revision","ver","version","v","r","a","b","seat","tray","row","gate","bay","stand","page","pg","item","line","no","cart","galley","flight","flt","table","box","bag","oven","etd","eta","std","sta","atd","ata","qty","pax","x","time","tel","ph","mob","day","wk","week","utc","gmt","myt","lt"},0)),NOT(OR(ISNUMBER(MATCH(LEFT(BN711,255),{"0000a","000a","00a","0000aa","000aa","00aa","0aa","0000aaa","000aaa","00a00","0a00","0000-0000","00:00","a00","a0","00.00.0000","00/00/0000","00-00-0000","0000-00-00","0000/00/00","0000.00.00","00.00.00","00/00/00","00-00-00","0.00.0000","0/00/0000","0-00-0000"},0)),ISNUMBER(MATCH(LEFT(BT711,255),{"0000a","000a","00a","0000aa","000aa","00aa","0aa","0000aaa","000aaa","00a00","0a00","0000-0000","00:00","a00","a0","00.00.0000","00/00/0000","00-00-0000","0000-00-00","0000/00/00","0000.00.00","00.00.00","00/00/00","00-00-00","0.00.0000","0/00/0000","0-00-0000"},0)))),NOT(OR(AND(BW711&lt;&gt;"",SUBSTITUTE(BW711,"0","")=""),AND(LEN(BW711)&gt;=4,BW711=REPT(LEFT(BW711),LEN(BW711))),ISNUMBER(MATCH(BW711,{"123","1234","12345","123456","1234567","12345678","0123","01234","012345","98765","987654","54321"},0)),ISNUMBER(MATCH(BX711,{"x","xx","xxx","xxxx","xxxxx","abc","abcd","nil","na","nan","test","tbc","tba","tbd","dummy","sample","example","eg","zz","zzz","none","null","xyz","qwe","asd","id","ref"},0)),AND(LEN(BW711)=8,BX711="",OR(LEFT(BW711,3)="202",ISNUMBER(MATCH(RIGHT(BW711,4),{"2025","2026","2027"},0)))))),OR(AND((LEN(BT711)-LEN(SUBSTITUTE(BT711,"a","")))&gt;=1,(LEN(BN711)-LEN(SUBSTITUTE(BN711,"0","")))&gt;=2,SUMPRODUCT(--ISNUMBER(SEARCH({"a0","a-0","a_0","a/0","a.0","a#0","0a","0-a","0_a","0/a"},BN711)))&gt;0),AND((LEN(BN711)-LEN(SUBSTITUTE(BN711,"a","")))=0,(LEN(BN711)-LEN(SUBSTITUTE(BN711,"0","")))&gt;=5)))),1,0),0)</f>
        <v>0</v>
      </c>
      <c r="CA7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711,"revision",""),"version",""),"jan",""),"feb",""),"mar",""),"apr",""),"may",""),"jun",""),"jul",""),"aug",""),"sep",""),"oct",""),"nov",""),"dec",""),"utc",""),"gmt",""),"myt",""),"bst",""),"rev",""),"ver",""),"b","a"),"c","a"),"d","a"),"e","a"),"f","a"),"g","a"),"h","a"),"i","a"),"j","a"),"k","a"),"l","a"),"m","a"),"n","a"),"o","a"),"p","a"),"q","a"),"r","a"),"s","a"),"t","a"),"u","a"),"v","a"),"w","a"),"x","a"),"y","a"),"z","a")</f>
        <v/>
      </c>
      <c r="CB7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711&amp;""),"a",""),"b",""),"c",""),"d",""),"e",""),"f",""),"g",""),"h",""),"i",""),"j",""),"k",""),"l",""),"m",""),"n",""),"o",""),"p",""),"q",""),"r",""),"s",""),"t",""),"u",""),"v",""),"w",""),"x",""),"y",""),"z",""),"-",""),"_",""),"/",""),".",""),"#",""),"\\",""),":","")," ",""),"(",""),")","")</f>
        <v/>
      </c>
      <c r="CC711" s="0" t="str">
        <f aca="false">" "&amp;TRIM(SUBSTITUTE(SUBSTITUTE(SUBSTITUTE(SUBSTITUTE(SUBSTITUTE(SUBSTITUTE(SUBSTITUTE(SUBSTITUTE(SUBSTITUTE(SUBSTITUTE(SUBSTITUTE(SUBSTITUTE(SUBSTITUTE(SUBSTITUTE(SUBSTITUTE(SUBSTITUTE(SUBSTITUTE(SUBSTITUTE(SUBSTITUTE(SUBSTITUTE(SUBSTITUTE(SUBSTITUTE(SUBSTITUTE(SUBSTITUTE(LOWER(T711&amp;""),CHAR(10)," "),CHAR(13)," "),CHAR(9)," "),CHAR(160)," "),"."," "),","," "),"-"," "),"/"," "),"("," "),")"," "),":"," "),";"," "),"_"," "),"–"," "),"?"," "),"!"," "),"*"," "),"["," "),"]"," "),"'"," "),"#"," "),"+"," "),"&amp;"," "),"\"," "))&amp;" "</f>
        <v>  </v>
      </c>
      <c r="CD711" s="0" t="str">
        <f aca="false">" "&amp;TRIM(SUBSTITUTE(SUBSTITUTE(SUBSTITUTE(SUBSTITUTE(SUBSTITUTE(SUBSTITUTE(SUBSTITUTE(SUBSTITUTE(SUBSTITUTE(SUBSTITUTE(SUBSTITUTE(SUBSTITUTE(SUBSTITUTE(SUBSTITUTE(SUBSTITUTE(SUBSTITUTE(SUBSTITUTE(SUBSTITUTE(SUBSTITUTE(SUBSTITUTE(SUBSTITUTE(SUBSTITUTE(SUBSTITUTE(SUBSTITUTE(LOWER(AE711&amp;""),CHAR(10)," "),CHAR(13)," "),CHAR(9)," "),CHAR(160)," "),"."," "),","," "),"-"," "),"/"," "),"("," "),")"," "),":"," "),";"," "),"_"," "),"–"," "),"?"," "),"!"," "),"*"," "),"["," "),"]"," "),"'"," "),"#"," "),"+"," "),"&amp;"," "),"\"," "))&amp;" "</f>
        <v>  </v>
      </c>
      <c r="CE711" s="68" t="n">
        <f aca="false">IFERROR(IF(AND(LEN(AU711)&gt;0,LEN(AU711)=LEN(AX711),OR(TRIM(MID(SUBSTITUTE(TRIM(CC711)," ",REPT(" ",60)),1,60))="",ISNUMBER(SEARCH(" "&amp;TRIM(MID(SUBSTITUTE(TRIM(CC711)," ",REPT(" ",60)),1,60))&amp;" ",CD711))),OR(TRIM(MID(SUBSTITUTE(TRIM(CC711)," ",REPT(" ",60)),61,60))="",ISNUMBER(SEARCH(" "&amp;TRIM(MID(SUBSTITUTE(TRIM(CC711)," ",REPT(" ",60)),61,60))&amp;" ",CD711))),OR(TRIM(MID(SUBSTITUTE(TRIM(CC711)," ",REPT(" ",60)),121,60))="",ISNUMBER(SEARCH(" "&amp;TRIM(MID(SUBSTITUTE(TRIM(CC711)," ",REPT(" ",60)),121,60))&amp;" ",CD711)))),1,0),0)</f>
        <v>0</v>
      </c>
      <c r="CG711" s="68" t="n">
        <f aca="false">IFERROR(LEN(SUBSTITUTE(BF711," ",""))-SUMPRODUCT((LEN(BF711)-LEN(SUBSTITUTE(BF711," "&amp;L_NAFiller&amp;" "," ")))/(LEN(L_NAFiller)+1)*LEN(L_NAFiller)),0)</f>
        <v>0</v>
      </c>
    </row>
    <row r="712" customFormat="false" ht="39.75" hidden="false" customHeight="true" outlineLevel="0" collapsed="false">
      <c r="A712" s="57" t="s">
        <v>1446</v>
      </c>
      <c r="B712" s="57" t="s">
        <v>312</v>
      </c>
      <c r="C712" s="57" t="str">
        <f aca="false">Flights!$F$26</f>
        <v>MH0002</v>
      </c>
      <c r="D712" s="58" t="n">
        <f aca="false">Flights!$D$26</f>
        <v>46325</v>
      </c>
      <c r="E712" s="57" t="str">
        <f aca="false">Flights!$G$26&amp;"-"&amp;Flights!$H$26</f>
        <v>KUL-LHR</v>
      </c>
      <c r="F712" s="57" t="str">
        <f aca="false">Flights!$K$26</f>
        <v>BC</v>
      </c>
      <c r="G712" s="57" t="s">
        <v>420</v>
      </c>
      <c r="H712" s="57" t="s">
        <v>378</v>
      </c>
      <c r="I712" s="57" t="s">
        <v>379</v>
      </c>
      <c r="J712" s="57" t="s">
        <v>421</v>
      </c>
      <c r="K712" s="67"/>
      <c r="L712" s="67" t="s">
        <v>422</v>
      </c>
      <c r="M712" s="67"/>
      <c r="N712" s="67" t="s">
        <v>383</v>
      </c>
      <c r="O712" s="67" t="s">
        <v>423</v>
      </c>
      <c r="P712" s="57" t="s">
        <v>187</v>
      </c>
      <c r="Q712" s="59" t="n">
        <f aca="false">ROUND((Flights!$AE$26)*1440,0)/1440</f>
        <v>46325.1388888889</v>
      </c>
      <c r="R712" s="59" t="n">
        <f aca="false">Q712+(IF(AND(INDEX(TZ_DSTS,MATCH(P712,TZ_STN,0))&lt;&gt;"",Q712&gt;=INDEX(TZ_DSTS,MATCH(P712,TZ_STN,0)),Q712&lt;INDEX(TZ_DSTE,MATCH(P712,TZ_STN,0))),INDEX(TZ_DST,MATCH(P712,TZ_STN,0)),INDEX(TZ_STD,MATCH(P712,TZ_STN,0))))/24</f>
        <v>46325.4722222222</v>
      </c>
      <c r="S712" s="60"/>
      <c r="T712" s="60"/>
      <c r="U712" s="60"/>
      <c r="V712" s="60"/>
      <c r="W712" s="61"/>
      <c r="X712" s="60"/>
      <c r="Y712" s="60"/>
      <c r="Z712" s="60"/>
      <c r="AA712" s="60"/>
      <c r="AB712" s="60"/>
      <c r="AC712" s="60"/>
      <c r="AD712" s="66"/>
      <c r="AE712" s="60"/>
      <c r="AF712" s="61" t="str">
        <f aca="false">IF(AND(ISNUMBER(X712),ISNUMBER(Y712)),Y712-X712,"")</f>
        <v/>
      </c>
      <c r="AG712" s="62" t="str">
        <f aca="false">IF(ISNUMBER(AD712),AD712-(IF(AND(INDEX(TZ_DSTS,MATCH(P712,TZ_STN,0))&lt;&gt;"",(AD712-INDEX(TZ_STD,MATCH(P712,TZ_STN,0))/24)&gt;=INDEX(TZ_DSTS,MATCH(P712,TZ_STN,0)),(AD712-INDEX(TZ_STD,MATCH(P712,TZ_STN,0))/24)&lt;INDEX(TZ_DSTE,MATCH(P712,TZ_STN,0))),INDEX(TZ_DST,MATCH(P712,TZ_STN,0)),INDEX(TZ_STD,MATCH(P712,TZ_STN,0))))/24,"")</f>
        <v/>
      </c>
      <c r="AH712" s="65" t="str">
        <f aca="false">IFERROR(IF(N712="N/A – rule",IF(OR(TRIM(U712)="",TRIM(U712)="N/A",TRIM(U712)="Not started"),"N/A – RULE","INVALID – this check does not apply to this aircraft: clear the status (or correct the fleet on Flights)"),IF(TRIM(U712)="N/A",IF(AT712=0,"INVALID – N/A not permitted for this check",IF(AND(TRIM(AB712)&lt;&gt;"",TRIM(AB712)&lt;&gt;"Closed"),"INVALID – corrective action still open",IF(AND(NOT(OR(LEN(AZ712)&lt;15,ISNUMBER(MATCH(AZ712,L_Placeholder,0)))),BK712=0,CG712&gt;=8,NOT(OR(LEN(AU712)&lt;2,ISNUMBER(MATCH(AU712,L_Placeholder,0)))),BR712&gt;=3,NOT(OR(LEN(AX712)&lt;2,ISNUMBER(MATCH(AX712,L_Placeholder,0)))),BS712&gt;=3,TRIM(AE712)&lt;&gt;TRIM(T712),AX712&lt;&gt;AU712,CE712=0),"N/A – JUSTIFIED","INVALID – N/A needs a real, settled reason (not 'not applicable' / 'as above' / TBC), a named PIC and a different named verifier"))),IF(OR(TRIM(U712)="Pass",TRIM(U712)="Pass after CA"),IF(NOT(ISNUMBER(AD712)),"INVALID – completion time missing",IF(OR(OR(LEN(AU712)&lt;2,ISNUMBER(MATCH(AU712,L_Placeholder,0))),BR712&lt;3),"INVALID – PIC missing or not a named person (a role such as QA / CSM is not a name)",IF(OR(LEN(AV712)&lt;2,ISNUMBER(MATCH(AV712,L_Placeholder,0))),"INVALID – result / assessment missing",IF(OR(OR(LEN(AW712)&lt;3,ISNUMBER(MATCH(AW712,L_Placeholder,0))),SUMPRODUCT(--ISNUMBER(SEARCH(" "&amp;L_EvidencePhrase&amp;" ",BD712)))&gt;0,BI712=1),"INVALID – evidence missing, placeholder or not yet on file",IF(ISNA(MATCH(TRIM(S712),L_EvidenceType,0)),"INVALID – choose the evidence type from the list (column S)",IF(BL712=0,"INVALID – evidence ID must be the record's own ID only (e.g. SF-2210, IMG_2231, 1045521); a link / file name needs type 'Link / file path'",IF(OR(OR(LEN(AX712)&lt;2,ISNUMBER(MATCH(AX712,L_Placeholder,0))),BS712&lt;3),"INVALID – verifier missing or not a named person (a role such as QA / CSM is not a name)",IF(OR(AX712=AU712,CE712=1,AND(LEN(AU712)&gt;=4,ISNUMBER(SEARCH(AU712,AX712))),AND(LEN(AX712)&gt;=4,ISNUMBER(SEARCH(AX712,AU712)))),"INVALID – verifier must be a different, named person (not the PIC or a role)",IF(BH712=1,"INVALID – result not yet available (awaiting / TBC)",IF(BG712=1,"INVALID – result describes a problem: record Fail, then Pass after CA (or reword if it is not a problem)",IF(BV712=1,"INVALID – wording says not on board: an on-board confirmation needs the item loaded",IF(AND(AQ712=1,OR(OR(LEN(AY712)&lt;3,ISNUMBER(MATCH(AY712,L_Placeholder,0))),BJ712=1,BQ712=0)),"INVALID – batch ID missing, placeholder or not an ID (e.g. PASB-261008-BC-017)",IF(AND(AR712=1,OR(NOT(ISNUMBER(X712)),NOT(ISNUMBER(Y712)))),"INVALID – expected/actual qty missing",IF(AND(AR712=1,OR(X712&lt;=0,Y712&lt;0)),"INVALID – expected qty must be above 0 and actual not negative",IF(BB712&lt;&gt;"",BB712,IF(AND(AS712=1,Documents!$J$26&lt;&gt;"ON FILE"),"INVALID – GLD not on file (Documents sheet)",IF(AND(AS712=2,Documents!$O$26&lt;&gt;"ON FILE"),"INVALID – menu checklist not on file (Documents sheet)",IF(AND(AS712=3,NOT(ISNUMBER(Flights!$AX$26))),"INVALID – enter carrying flight KUL departure (Flights AX)",IF(AND(AS712=3,OR(Flights!$AZ$26&gt;Flights!$AA$26,Flights!$AX$26&lt;Flights!$AA$26-3)),"INVALID – carrying flight (Flights AX) cannot arrive before this leg's STD, or is over 3 days early",IF(AG712&gt;AsOfUTC,"INVALID – completion time is in the future",IF(AND(ISNUMBER(BY712),AG712&lt;BY712),IF(H712="Physical uplift","INVALID – before uplift window (cannot confirm loading)","INVALID – before valid window"),IF(AG712&gt;Flights!$AA$26,"INVALID – completed after departure (cannot establish readiness)",IF(AND(H712="Preparation",AG712&gt;=IF(ISNUMBER(Flights!$BA$26),MIN(Flights!$BA$26,Flights!$AA$26),Flights!$AA$26)),"INVALID – completed after loading / departure (cannot establish readiness)",IF(AND(H712="Physical uplift",AG712&gt;Q712),"INVALID – recorded after the loading flight departed",IF(AG712&gt;Q712,"COMPLETE – LATE","COMPLETE"))))))))))))))))))))))))),IF(TRIM(U712)="Fail","FAIL – DISCREPANCY",IF(AND(TRIM(U712)&lt;&gt;"",TRIM(U712)&lt;&gt;"Not started",TRIM(U712)&lt;&gt;"In progress"),"INVALID – unrecognised status (use the list)",IF(AsOfUTC&gt;Q712,"OVERDUE",IF(N712="Clarification required","OPEN – CLARIFICATION","OPEN"))))))),"INVALID – error value in an input cell")</f>
        <v>OPEN</v>
      </c>
      <c r="AI712" s="61" t="n">
        <f aca="false">IF(OR(AH712="N/A – RULE",AH712="N/A – JUSTIFIED"),0,1)</f>
        <v>1</v>
      </c>
      <c r="AJ712" s="61" t="n">
        <f aca="false">IF(LEFT(AH712,8)="COMPLETE",1,0)</f>
        <v>0</v>
      </c>
      <c r="AK712" s="61" t="n">
        <f aca="false">IF(AND(AI712=1,AJ712=0,AsOfUTC&gt;Q712),1,0)</f>
        <v>0</v>
      </c>
      <c r="AL712" s="61" t="n">
        <f aca="false">IFERROR(IF(AND(AI712=1,OR(TRIM(U712)="Fail",AND(TRIM(AB712)&lt;&gt;"",TRIM(AB712)&lt;&gt;"Closed"),AND(ISNUMBER(AF712),AF712&lt;&gt;0,TRIM(U712)&lt;&gt;"Pass after CA"))),1,0),1)</f>
        <v>0</v>
      </c>
      <c r="AM712" s="61" t="n">
        <f aca="false">IF(LEFT(AH712,7)="INVALID",1,0)</f>
        <v>0</v>
      </c>
      <c r="AN712" s="61" t="n">
        <f aca="false">IF(AND(N712="Clarification required",AI712=1,AJ712=0),1,0)</f>
        <v>0</v>
      </c>
      <c r="AO712" s="61" t="str">
        <f aca="false">IF(AK712=1,SUM(AK$5:AK712),"")</f>
        <v/>
      </c>
      <c r="AP712" s="61" t="str">
        <f aca="false">IF(AL712=1,SUM(AL$5:AL712),"")</f>
        <v/>
      </c>
      <c r="AQ712" s="61" t="n">
        <v>0</v>
      </c>
      <c r="AR712" s="61" t="n">
        <v>0</v>
      </c>
      <c r="AS712" s="61" t="n">
        <v>0</v>
      </c>
      <c r="AT712" s="61" t="n">
        <v>0</v>
      </c>
      <c r="AU712" s="61" t="str">
        <f aca="false">SUBSTITUTE(SUBSTITUTE(SUBSTITUTE(SUBSTITUTE(SUBSTITUTE(SUBSTITUTE(SUBSTITUTE(SUBSTITUTE(SUBSTITUTE(SUBSTITUTE(SUBSTITUTE(SUBSTITUTE(SUBSTITUTE(SUBSTITUTE(SUBSTITUTE(SUBSTITUTE(LOWER(T712&amp;""),CHAR(10),""),CHAR(13),""),CHAR(9),""),CHAR(160),"")," ",""),".",""),"-",""),"/",""),"?",""),"_",""),",",""),"[",""),"]",""),"(",""),")",""),"*","")</f>
        <v/>
      </c>
      <c r="AV712" s="61" t="str">
        <f aca="false">SUBSTITUTE(SUBSTITUTE(SUBSTITUTE(SUBSTITUTE(SUBSTITUTE(SUBSTITUTE(SUBSTITUTE(SUBSTITUTE(SUBSTITUTE(SUBSTITUTE(SUBSTITUTE(SUBSTITUTE(SUBSTITUTE(SUBSTITUTE(SUBSTITUTE(SUBSTITUTE(LOWER(V712&amp;""),CHAR(10),""),CHAR(13),""),CHAR(9),""),CHAR(160),"")," ",""),".",""),"-",""),"/",""),"?",""),"_",""),",",""),"[",""),"]",""),"(",""),")",""),"*","")</f>
        <v/>
      </c>
      <c r="AW712" s="61" t="str">
        <f aca="false">SUBSTITUTE(SUBSTITUTE(SUBSTITUTE(SUBSTITUTE(SUBSTITUTE(SUBSTITUTE(SUBSTITUTE(SUBSTITUTE(SUBSTITUTE(SUBSTITUTE(SUBSTITUTE(SUBSTITUTE(SUBSTITUTE(SUBSTITUTE(SUBSTITUTE(SUBSTITUTE(LOWER(Z712&amp;""),CHAR(10),""),CHAR(13),""),CHAR(9),""),CHAR(160),"")," ",""),".",""),"-",""),"/",""),"?",""),"_",""),",",""),"[",""),"]",""),"(",""),")",""),"*","")</f>
        <v/>
      </c>
      <c r="AX712" s="61" t="str">
        <f aca="false">SUBSTITUTE(SUBSTITUTE(SUBSTITUTE(SUBSTITUTE(SUBSTITUTE(SUBSTITUTE(SUBSTITUTE(SUBSTITUTE(SUBSTITUTE(SUBSTITUTE(SUBSTITUTE(SUBSTITUTE(SUBSTITUTE(SUBSTITUTE(SUBSTITUTE(SUBSTITUTE(LOWER(AE712&amp;""),CHAR(10),""),CHAR(13),""),CHAR(9),""),CHAR(160),"")," ",""),".",""),"-",""),"/",""),"?",""),"_",""),",",""),"[",""),"]",""),"(",""),")",""),"*","")</f>
        <v/>
      </c>
      <c r="AY712" s="61" t="str">
        <f aca="false">SUBSTITUTE(SUBSTITUTE(SUBSTITUTE(SUBSTITUTE(SUBSTITUTE(SUBSTITUTE(SUBSTITUTE(SUBSTITUTE(SUBSTITUTE(SUBSTITUTE(SUBSTITUTE(SUBSTITUTE(SUBSTITUTE(SUBSTITUTE(SUBSTITUTE(SUBSTITUTE(LOWER(W712&amp;""),CHAR(10),""),CHAR(13),""),CHAR(9),""),CHAR(160),"")," ",""),".",""),"-",""),"/",""),"?",""),"_",""),",",""),"[",""),"]",""),"(",""),")",""),"*","")</f>
        <v/>
      </c>
      <c r="AZ712" s="61" t="str">
        <f aca="false">SUBSTITUTE(SUBSTITUTE(SUBSTITUTE(SUBSTITUTE(SUBSTITUTE(SUBSTITUTE(SUBSTITUTE(SUBSTITUTE(SUBSTITUTE(SUBSTITUTE(SUBSTITUTE(SUBSTITUTE(SUBSTITUTE(SUBSTITUTE(SUBSTITUTE(SUBSTITUTE(LOWER(AC712&amp;""),CHAR(10),""),CHAR(13),""),CHAR(9),""),CHAR(160),"")," ",""),".",""),"-",""),"/",""),"?",""),"_",""),",",""),"[",""),"]",""),"(",""),")",""),"*","")</f>
        <v/>
      </c>
      <c r="BA712" s="61" t="str">
        <f aca="false">SUBSTITUTE(SUBSTITUTE(SUBSTITUTE(SUBSTITUTE(SUBSTITUTE(SUBSTITUTE(SUBSTITUTE(SUBSTITUTE(SUBSTITUTE(SUBSTITUTE(SUBSTITUTE(SUBSTITUTE(SUBSTITUTE(SUBSTITUTE(SUBSTITUTE(SUBSTITUTE(LOWER(AA712&amp;""),CHAR(10),""),CHAR(13),""),CHAR(9),""),CHAR(160),"")," ",""),".",""),"-",""),"/",""),"?",""),"_",""),",",""),"[",""),"]",""),"(",""),")",""),"*","")</f>
        <v/>
      </c>
      <c r="BB712" s="61" t="str">
        <f aca="false">IF(AND(TRIM(U712)="Pass",ISNUMBER(AF712)),IF(AF712&lt;&gt;0,"INVALID – qty variance: use Fail or Pass after CA",""),"")&amp;IF(AND(TRIM(U712)="Pass after CA",ISNUMBER(AF712)),IF(AF712&lt;&gt;0,"INVALID – after the corrective action the actual qty must equal expected (update Actual)",""),"")&amp;IF(AND(TRIM(U712)="Pass",TRIM(AB712)&lt;&gt;"",TRIM(AB712)&lt;&gt;"Closed"),"INVALID – corrective action not closed: use Fail, then Pass after CA","")&amp;IF(AND(LEN(BA712)&gt;=2,ISNA(MATCH(LEFT(BA712,255),L_Placeholder,0)),TRIM(AB712)=""),"INVALID – CA status missing for the recorded corrective action","")&amp;IF(AND(TRIM(U712)="Pass after CA",OR(OR(LEN(BA712)&lt;5,ISNUMBER(MATCH(BA712,L_Placeholder,0))),TRIM(AB712)&lt;&gt;"Closed")),"INVALID – corrective action not recorded/closed","")</f>
        <v/>
      </c>
      <c r="BC712" s="61" t="str">
        <f aca="false">" "&amp;TRIM(SUBSTITUTE(SUBSTITUTE(SUBSTITUTE(SUBSTITUTE(SUBSTITUTE(SUBSTITUTE(SUBSTITUTE(SUBSTITUTE(SUBSTITUTE(SUBSTITUTE(SUBSTITUTE(SUBSTITUTE(SUBSTITUTE(SUBSTITUTE(SUBSTITUTE(SUBSTITUTE(SUBSTITUTE(SUBSTITUTE(SUBSTITUTE(SUBSTITUTE(SUBSTITUTE(SUBSTITUTE(SUBSTITUTE(SUBSTITUTE(LOWER(V712&amp;""),CHAR(10)," "),CHAR(13)," "),CHAR(9)," "),CHAR(160)," "),"."," "),","," "),"-"," "),"/"," "),"("," "),")"," "),":"," "),";"," "),"_"," "),"–"," "),"?"," "),"!"," "),"*"," "),"["," "),"]"," "),"'"," "),"#"," "),"+"," "),"&amp;"," "),"\"," "))&amp;" "</f>
        <v>  </v>
      </c>
      <c r="BD712" s="61" t="str">
        <f aca="false">" "&amp;TRIM(SUBSTITUTE(SUBSTITUTE(SUBSTITUTE(SUBSTITUTE(SUBSTITUTE(SUBSTITUTE(SUBSTITUTE(SUBSTITUTE(SUBSTITUTE(SUBSTITUTE(SUBSTITUTE(SUBSTITUTE(SUBSTITUTE(SUBSTITUTE(SUBSTITUTE(SUBSTITUTE(SUBSTITUTE(SUBSTITUTE(SUBSTITUTE(SUBSTITUTE(SUBSTITUTE(SUBSTITUTE(SUBSTITUTE(SUBSTITUTE(LOWER(Z712&amp;""),CHAR(10)," "),CHAR(13)," "),CHAR(9)," "),CHAR(160)," "),"."," "),","," "),"-"," "),"/"," "),"("," "),")"," "),":"," "),";"," "),"_"," "),"–"," "),"?"," "),"!"," "),"*"," "),"["," "),"]"," "),"'"," "),"#"," "),"+"," "),"&amp;"," "),"\"," "))&amp;" "</f>
        <v>  </v>
      </c>
      <c r="BE712" s="61" t="str">
        <f aca="false">" "&amp;TRIM(SUBSTITUTE(SUBSTITUTE(SUBSTITUTE(SUBSTITUTE(SUBSTITUTE(SUBSTITUTE(SUBSTITUTE(SUBSTITUTE(SUBSTITUTE(SUBSTITUTE(SUBSTITUTE(SUBSTITUTE(SUBSTITUTE(SUBSTITUTE(SUBSTITUTE(SUBSTITUTE(SUBSTITUTE(SUBSTITUTE(SUBSTITUTE(SUBSTITUTE(SUBSTITUTE(SUBSTITUTE(SUBSTITUTE(SUBSTITUTE(LOWER(W712&amp;""),CHAR(10)," "),CHAR(13)," "),CHAR(9)," "),CHAR(160)," "),"."," "),","," "),"-"," "),"/"," "),"("," "),")"," "),":"," "),";"," "),"_"," "),"–"," "),"?"," "),"!"," "),"*"," "),"["," "),"]"," "),"'"," "),"#"," "),"+"," "),"&amp;"," "),"\"," "))&amp;" "</f>
        <v>  </v>
      </c>
      <c r="BF712" s="61" t="str">
        <f aca="false">" "&amp;TRIM(SUBSTITUTE(SUBSTITUTE(SUBSTITUTE(SUBSTITUTE(SUBSTITUTE(SUBSTITUTE(SUBSTITUTE(SUBSTITUTE(SUBSTITUTE(SUBSTITUTE(SUBSTITUTE(SUBSTITUTE(SUBSTITUTE(SUBSTITUTE(SUBSTITUTE(SUBSTITUTE(SUBSTITUTE(SUBSTITUTE(SUBSTITUTE(SUBSTITUTE(SUBSTITUTE(SUBSTITUTE(SUBSTITUTE(SUBSTITUTE(LOWER(AC712&amp;""),CHAR(10)," "),CHAR(13)," "),CHAR(9)," "),CHAR(160)," "),"."," "),","," "),"-"," "),"/"," "),"("," "),")"," "),":"," "),";"," "),"_"," "),"–"," "),"?"," "),"!"," "),"*"," "),"["," "),"]"," "),"'"," "),"#"," "),"+"," "),"&amp;"," "),"\"," "))&amp;" "</f>
        <v>  </v>
      </c>
      <c r="BG712" s="61" t="n">
        <f aca="false">IFERROR(IF(AND(TRIM(U712)="Pass",SUMPRODUCT((LEN(BC712)-LEN(SUBSTITUTE(BC712," "&amp;L_ResultBad&amp;" "," ")))/(LEN(L_ResultBad)+1))&gt;SUMPRODUCT((LEN(BC712)-LEN(SUBSTITUTE(BC712," "&amp;L_NegPhrase&amp;" "," ")))/(LEN(L_NegPhrase)+1))),1,0),0)</f>
        <v>0</v>
      </c>
      <c r="BH712" s="61" t="n">
        <f aca="false">IFERROR(IF(SUMPRODUCT((LEN(BC712)-LEN(SUBSTITUTE(BC712," "&amp;L_Pending&amp;" "," ")))/(LEN(L_Pending)+1))&gt;SUMPRODUCT((LEN(BC712)-LEN(SUBSTITUTE(BC712," "&amp;L_PendNeg&amp;" "," ")))/(LEN(L_PendNeg)+1))+SUMPRODUCT((LEN(BC712)-LEN(SUBSTITUTE(BC712," "&amp;L_PendPrep&amp;" "," ")))/(LEN(L_PendPrep)+1)),1,0),1)</f>
        <v>0</v>
      </c>
      <c r="BI712" s="61" t="n">
        <f aca="false">IFERROR(IF(SUMPRODUCT((LEN(BD712)-LEN(SUBSTITUTE(BD712," "&amp;L_PendStrict&amp;" "," ")))/(LEN(L_PendStrict)+1))&gt;SUMPRODUCT((LEN(BD712)-LEN(SUBSTITUTE(BD712," "&amp;L_PendNeg&amp;" "," ")))/(LEN(L_PendNeg)+1)),1,0),1)</f>
        <v>0</v>
      </c>
      <c r="BJ712" s="61" t="n">
        <f aca="false">IFERROR(IF(SUMPRODUCT((LEN(BE712)-LEN(SUBSTITUTE(BE712," "&amp;L_Pending&amp;" "," ")))/(LEN(L_Pending)+1))&gt;SUMPRODUCT((LEN(BE712)-LEN(SUBSTITUTE(BE712," "&amp;L_PendNeg&amp;" "," ")))/(LEN(L_PendNeg)+1))+SUMPRODUCT((LEN(BE712)-LEN(SUBSTITUTE(BE712," "&amp;L_PendPrep&amp;" "," ")))/(LEN(L_PendPrep)+1)),1,0),1)</f>
        <v>0</v>
      </c>
      <c r="BK712" s="61" t="n">
        <f aca="false">IFERROR(IF(SUMPRODUCT((LEN(BF712)-LEN(SUBSTITUTE(BF712," "&amp;L_PendStrict&amp;" "," ")))/(LEN(L_PendStrict)+1))&gt;SUMPRODUCT((LEN(BF712)-LEN(SUBSTITUTE(BF712," "&amp;L_PendNeg&amp;" "," ")))/(LEN(L_PendNeg)+1)),1,0),1)</f>
        <v>0</v>
      </c>
      <c r="BL712" s="61" t="n">
        <f aca="false">IF(ISNA(MATCH(TRIM(S712),L_EvidenceType,0)),0,BZ712)</f>
        <v>0</v>
      </c>
      <c r="BM712" s="61" t="str">
        <f aca="false">SUBSTITUTE(SUBSTITUTE(SUBSTITUTE(SUBSTITUTE(SUBSTITUTE(SUBSTITUTE(SUBSTITUTE(SUBSTITUTE(SUBSTITUTE(LOWER(Z712&amp;""),"1","0"),"2","0"),"3","0"),"4","0"),"5","0"),"6","0"),"7","0"),"8","0"),"9","0")</f>
        <v/>
      </c>
      <c r="BN712" s="61" t="str">
        <f aca="false">SUBSTITUTE(SUBSTITUTE(SUBSTITUTE(SUBSTITUTE(SUBSTITUTE(SUBSTITUTE(SUBSTITUTE(SUBSTITUTE(SUBSTITUTE(SUBSTITUTE(SUBSTITUTE(SUBSTITUTE(SUBSTITUTE(SUBSTITUTE(SUBSTITUTE(SUBSTITUTE(SUBSTITUTE(SUBSTITUTE(SUBSTITUTE(SUBSTITUTE(SUBSTITUTE(SUBSTITUTE(SUBSTITUTE(SUBSTITUTE(SUBSTITUTE(BM712,"b","a"),"c","a"),"d","a"),"e","a"),"f","a"),"g","a"),"h","a"),"i","a"),"j","a"),"k","a"),"l","a"),"m","a"),"n","a"),"o","a"),"p","a"),"q","a"),"r","a"),"s","a"),"t","a"),"u","a"),"v","a"),"w","a"),"x","a"),"y","a"),"z","a")</f>
        <v/>
      </c>
      <c r="BO712" s="61" t="str">
        <f aca="false">SUBSTITUTE(SUBSTITUTE(SUBSTITUTE(SUBSTITUTE(SUBSTITUTE(SUBSTITUTE(SUBSTITUTE(SUBSTITUTE(SUBSTITUTE(LOWER(W712&amp;""),"1","0"),"2","0"),"3","0"),"4","0"),"5","0"),"6","0"),"7","0"),"8","0"),"9","0")</f>
        <v/>
      </c>
      <c r="BP712" s="61" t="str">
        <f aca="false">SUBSTITUTE(SUBSTITUTE(SUBSTITUTE(SUBSTITUTE(SUBSTITUTE(SUBSTITUTE(SUBSTITUTE(SUBSTITUTE(SUBSTITUTE(SUBSTITUTE(SUBSTITUTE(SUBSTITUTE(SUBSTITUTE(SUBSTITUTE(SUBSTITUTE(SUBSTITUTE(SUBSTITUTE(SUBSTITUTE(SUBSTITUTE(SUBSTITUTE(SUBSTITUTE(SUBSTITUTE(SUBSTITUTE(SUBSTITUTE(SUBSTITUTE(BO712,"b","a"),"c","a"),"d","a"),"e","a"),"f","a"),"g","a"),"h","a"),"i","a"),"j","a"),"k","a"),"l","a"),"m","a"),"n","a"),"o","a"),"p","a"),"q","a"),"r","a"),"s","a"),"t","a"),"u","a"),"v","a"),"w","a"),"x","a"),"y","a"),"z","a")</f>
        <v/>
      </c>
      <c r="BQ712" s="61" t="n">
        <f aca="false">IFERROR(IF(AND(ISERROR(SEARCH(" mh"," "&amp;LOWER(W712))),ISNA(MATCH(LEFT(TRIM(BP712),255),{"0000a","000a","00a","0000aa","000aa","00aa","0aa","0000aaa","000aaa","00a00","0a00","0000-0000","00:00","a00","a0","00.00.0000","00/00/0000","00-00-0000","0000-00-00","0000/00/00","0000.00.00","00.00.00","00/00/00","00-00-00","0.00.0000","0/00/0000","0-00-0000"},0)),ISNA(MATCH(LEFT(TRIM(CA712),255),{"0000a","000a","00a","0000aa","000aa","00aa","0aa","0000aaa","000aaa","00a00","0a00","0000-0000","00:00","a00","a0","00.00.0000","00/00/0000","00-00-0000","0000-00-00","0000/00/00","0000.00.00","00.00.00","00/00/00","00-00-00","0.00.0000","0/00/0000","0-00-0000"},0)),LEN(CB712)&gt;=3,NOT(OR(SUBSTITUTE(CB712,"0","")="",AND(LEN(CB712)&gt;=4,CB712=REPT(LEFT(CB712),LEN(CB712))),ISNUMBER(MATCH(CB712,{"123","1234","12345","123456","1234567","12345678","0123","01234","012345","98765","987654","54321"},0)),AND(LEN(CB712)=8,LEFT(CB712,3)="202"))),OR(AND((LEN(CA712)-LEN(SUBSTITUTE(CA712,"a","")))&gt;=1,SUMPRODUCT(--ISNUMBER(SEARCH({"a0","a-0","a_0","a/0","a.0","a#0","0a","0-a","0_a","0/a"},BP712)))&gt;0),ISNUMBER(SEARCH("000000",BP712)))),1,0),0)</f>
        <v>0</v>
      </c>
      <c r="BR712" s="61" t="n">
        <f aca="false">IFERROR(LEN(SUBSTITUTE(CC712," ",""))-SUMPRODUCT((LEN(CC712)-LEN(SUBSTITUTE(CC712," "&amp;L_Role&amp;" "," ")))/(LEN(L_Role)+1)*LEN(L_Role)),0)</f>
        <v>0</v>
      </c>
      <c r="BS712" s="61" t="n">
        <f aca="false">IFERROR(LEN(SUBSTITUTE(CD712," ",""))-SUMPRODUCT((LEN(CD712)-LEN(SUBSTITUTE(CD712," "&amp;L_Role&amp;" "," ")))/(LEN(L_Role)+1)*LEN(L_Role)),0)</f>
        <v>0</v>
      </c>
      <c r="BT7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712,"revision",""),"version",""),"jan",""),"feb",""),"mar",""),"apr",""),"may",""),"jun",""),"jul",""),"aug",""),"sep",""),"oct",""),"nov",""),"dec",""),"utc",""),"gmt",""),"myt",""),"bst",""),"rev",""),"ver",""),"b","a"),"c","a"),"d","a"),"e","a"),"f","a"),"g","a"),"h","a"),"i","a"),"j","a"),"k","a"),"l","a"),"m","a"),"n","a"),"o","a"),"p","a"),"q","a"),"r","a"),"s","a"),"t","a"),"u","a"),"v","a"),"w","a"),"x","a"),"y","a"),"z","a")</f>
        <v/>
      </c>
      <c r="BU712" s="61" t="str">
        <f aca="false">SUBSTITUTE(SUBSTITUTE(SUBSTITUTE(SUBSTITUTE(SUBSTITUTE(SUBSTITUTE(SUBSTITUTE(SUBSTITUTE(SUBSTITUTE(SUBSTITUTE(LEFT(BM712,FIND("0",BM712&amp;"0")-1),"-",""),"_",""),"/",""),".",""),"#",""),"\\",""),":","")," ",""),"(",""),")","")</f>
        <v/>
      </c>
      <c r="BV712" s="61" t="n">
        <f aca="false">0</f>
        <v>0</v>
      </c>
      <c r="BW71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712&amp;""),"a",""),"b",""),"c",""),"d",""),"e",""),"f",""),"g",""),"h",""),"i",""),"j",""),"k",""),"l",""),"m",""),"n",""),"o",""),"p",""),"q",""),"r",""),"s",""),"t",""),"u",""),"v",""),"w",""),"x",""),"y",""),"z",""),"-",""),"_",""),"/",""),".",""),"#",""),"\\",""),":","")," ",""),"(",""),")","")</f>
        <v/>
      </c>
      <c r="BX712" s="61" t="str">
        <f aca="false">SUBSTITUTE(SUBSTITUTE(SUBSTITUTE(SUBSTITUTE(SUBSTITUTE(SUBSTITUTE(SUBSTITUTE(SUBSTITUTE(SUBSTITUTE(SUBSTITUTE(SUBSTITUTE(BM712,"0",""),"-",""),"_",""),"/",""),".",""),"#",""),"\\",""),":","")," ",""),"(",""),")","")</f>
        <v/>
      </c>
      <c r="BY712" s="62" t="n">
        <f aca="false">Q712-T12EarlyH/24</f>
        <v>46324.6388888889</v>
      </c>
      <c r="BZ712" s="61" t="n">
        <f aca="false">IFERROR(IF(IF(TRIM(S712)="Link / file path",AND(LEN(TRIM(Z712))&gt;=5,SUMPRODUCT(--ISNUMBER(SEARCH({"http","www.","\\",":\",".pdf",".jpg",".jpeg",".png",".heic",".xls",".doc",".msg",".eml",".ppt",".txt",".zip"},Z712)))&gt;0),AND(ISERROR(FIND(" ",TRIM(Z712))),NOT(OR(SUMPRODUCT(--ISNUMBER(FIND({",",";","&amp;","+"},Z712)))&gt;0,SUMPRODUCT(--ISNUMBER(SEARCH({"0/aa","0\\aa"},BN712)))&gt;0)),NOT(SUMPRODUCT(--ISNUMBER(SEARCH({"http","www.","\\",":\",".pdf",".jpg",".jpeg",".png",".heic",".xls",".doc",".msg",".eml",".ppt",".txt",".zip"},Z712)))&gt;0),NOT(LOWER(TRIM(Z712))=LOWER(Flights!$F$26)),ISNA(MATCH(BU712,{"mh","rev","revision","ver","version","v","r","a","b","seat","tray","row","gate","bay","stand","page","pg","item","line","no","cart","galley","flight","flt","table","box","bag","oven","etd","eta","std","sta","atd","ata","qty","pax","x","time","tel","ph","mob","day","wk","week","utc","gmt","myt","lt"},0)),NOT(OR(ISNUMBER(MATCH(LEFT(BN712,255),{"0000a","000a","00a","0000aa","000aa","00aa","0aa","0000aaa","000aaa","00a00","0a00","0000-0000","00:00","a00","a0","00.00.0000","00/00/0000","00-00-0000","0000-00-00","0000/00/00","0000.00.00","00.00.00","00/00/00","00-00-00","0.00.0000","0/00/0000","0-00-0000"},0)),ISNUMBER(MATCH(LEFT(BT712,255),{"0000a","000a","00a","0000aa","000aa","00aa","0aa","0000aaa","000aaa","00a00","0a00","0000-0000","00:00","a00","a0","00.00.0000","00/00/0000","00-00-0000","0000-00-00","0000/00/00","0000.00.00","00.00.00","00/00/00","00-00-00","0.00.0000","0/00/0000","0-00-0000"},0)))),NOT(OR(AND(BW712&lt;&gt;"",SUBSTITUTE(BW712,"0","")=""),AND(LEN(BW712)&gt;=4,BW712=REPT(LEFT(BW712),LEN(BW712))),ISNUMBER(MATCH(BW712,{"123","1234","12345","123456","1234567","12345678","0123","01234","012345","98765","987654","54321"},0)),ISNUMBER(MATCH(BX712,{"x","xx","xxx","xxxx","xxxxx","abc","abcd","nil","na","nan","test","tbc","tba","tbd","dummy","sample","example","eg","zz","zzz","none","null","xyz","qwe","asd","id","ref"},0)),AND(LEN(BW712)=8,BX712="",OR(LEFT(BW712,3)="202",ISNUMBER(MATCH(RIGHT(BW712,4),{"2025","2026","2027"},0)))))),OR(AND((LEN(BT712)-LEN(SUBSTITUTE(BT712,"a","")))&gt;=1,(LEN(BN712)-LEN(SUBSTITUTE(BN712,"0","")))&gt;=2,SUMPRODUCT(--ISNUMBER(SEARCH({"a0","a-0","a_0","a/0","a.0","a#0","0a","0-a","0_a","0/a"},BN712)))&gt;0),AND((LEN(BN712)-LEN(SUBSTITUTE(BN712,"a","")))=0,(LEN(BN712)-LEN(SUBSTITUTE(BN712,"0","")))&gt;=5)))),1,0),0)</f>
        <v>0</v>
      </c>
      <c r="CA7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712,"revision",""),"version",""),"jan",""),"feb",""),"mar",""),"apr",""),"may",""),"jun",""),"jul",""),"aug",""),"sep",""),"oct",""),"nov",""),"dec",""),"utc",""),"gmt",""),"myt",""),"bst",""),"rev",""),"ver",""),"b","a"),"c","a"),"d","a"),"e","a"),"f","a"),"g","a"),"h","a"),"i","a"),"j","a"),"k","a"),"l","a"),"m","a"),"n","a"),"o","a"),"p","a"),"q","a"),"r","a"),"s","a"),"t","a"),"u","a"),"v","a"),"w","a"),"x","a"),"y","a"),"z","a")</f>
        <v/>
      </c>
      <c r="CB7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712&amp;""),"a",""),"b",""),"c",""),"d",""),"e",""),"f",""),"g",""),"h",""),"i",""),"j",""),"k",""),"l",""),"m",""),"n",""),"o",""),"p",""),"q",""),"r",""),"s",""),"t",""),"u",""),"v",""),"w",""),"x",""),"y",""),"z",""),"-",""),"_",""),"/",""),".",""),"#",""),"\\",""),":","")," ",""),"(",""),")","")</f>
        <v/>
      </c>
      <c r="CC712" s="0" t="str">
        <f aca="false">" "&amp;TRIM(SUBSTITUTE(SUBSTITUTE(SUBSTITUTE(SUBSTITUTE(SUBSTITUTE(SUBSTITUTE(SUBSTITUTE(SUBSTITUTE(SUBSTITUTE(SUBSTITUTE(SUBSTITUTE(SUBSTITUTE(SUBSTITUTE(SUBSTITUTE(SUBSTITUTE(SUBSTITUTE(SUBSTITUTE(SUBSTITUTE(SUBSTITUTE(SUBSTITUTE(SUBSTITUTE(SUBSTITUTE(SUBSTITUTE(SUBSTITUTE(LOWER(T712&amp;""),CHAR(10)," "),CHAR(13)," "),CHAR(9)," "),CHAR(160)," "),"."," "),","," "),"-"," "),"/"," "),"("," "),")"," "),":"," "),";"," "),"_"," "),"–"," "),"?"," "),"!"," "),"*"," "),"["," "),"]"," "),"'"," "),"#"," "),"+"," "),"&amp;"," "),"\"," "))&amp;" "</f>
        <v>  </v>
      </c>
      <c r="CD712" s="0" t="str">
        <f aca="false">" "&amp;TRIM(SUBSTITUTE(SUBSTITUTE(SUBSTITUTE(SUBSTITUTE(SUBSTITUTE(SUBSTITUTE(SUBSTITUTE(SUBSTITUTE(SUBSTITUTE(SUBSTITUTE(SUBSTITUTE(SUBSTITUTE(SUBSTITUTE(SUBSTITUTE(SUBSTITUTE(SUBSTITUTE(SUBSTITUTE(SUBSTITUTE(SUBSTITUTE(SUBSTITUTE(SUBSTITUTE(SUBSTITUTE(SUBSTITUTE(SUBSTITUTE(LOWER(AE712&amp;""),CHAR(10)," "),CHAR(13)," "),CHAR(9)," "),CHAR(160)," "),"."," "),","," "),"-"," "),"/"," "),"("," "),")"," "),":"," "),";"," "),"_"," "),"–"," "),"?"," "),"!"," "),"*"," "),"["," "),"]"," "),"'"," "),"#"," "),"+"," "),"&amp;"," "),"\"," "))&amp;" "</f>
        <v>  </v>
      </c>
      <c r="CE712" s="68" t="n">
        <f aca="false">IFERROR(IF(AND(LEN(AU712)&gt;0,LEN(AU712)=LEN(AX712),OR(TRIM(MID(SUBSTITUTE(TRIM(CC712)," ",REPT(" ",60)),1,60))="",ISNUMBER(SEARCH(" "&amp;TRIM(MID(SUBSTITUTE(TRIM(CC712)," ",REPT(" ",60)),1,60))&amp;" ",CD712))),OR(TRIM(MID(SUBSTITUTE(TRIM(CC712)," ",REPT(" ",60)),61,60))="",ISNUMBER(SEARCH(" "&amp;TRIM(MID(SUBSTITUTE(TRIM(CC712)," ",REPT(" ",60)),61,60))&amp;" ",CD712))),OR(TRIM(MID(SUBSTITUTE(TRIM(CC712)," ",REPT(" ",60)),121,60))="",ISNUMBER(SEARCH(" "&amp;TRIM(MID(SUBSTITUTE(TRIM(CC712)," ",REPT(" ",60)),121,60))&amp;" ",CD712)))),1,0),0)</f>
        <v>0</v>
      </c>
      <c r="CG712" s="68" t="n">
        <f aca="false">IFERROR(LEN(SUBSTITUTE(BF712," ",""))-SUMPRODUCT((LEN(BF712)-LEN(SUBSTITUTE(BF712," "&amp;L_NAFiller&amp;" "," ")))/(LEN(L_NAFiller)+1)*LEN(L_NAFiller)),0)</f>
        <v>0</v>
      </c>
    </row>
    <row r="713" customFormat="false" ht="39.75" hidden="false" customHeight="true" outlineLevel="0" collapsed="false">
      <c r="A713" s="57" t="s">
        <v>1447</v>
      </c>
      <c r="B713" s="57" t="s">
        <v>312</v>
      </c>
      <c r="C713" s="57" t="str">
        <f aca="false">Flights!$F$26</f>
        <v>MH0002</v>
      </c>
      <c r="D713" s="58" t="n">
        <f aca="false">Flights!$D$26</f>
        <v>46325</v>
      </c>
      <c r="E713" s="57" t="str">
        <f aca="false">Flights!$G$26&amp;"-"&amp;Flights!$H$26</f>
        <v>KUL-LHR</v>
      </c>
      <c r="F713" s="57" t="str">
        <f aca="false">Flights!$K$26</f>
        <v>BC</v>
      </c>
      <c r="G713" s="57" t="s">
        <v>420</v>
      </c>
      <c r="H713" s="57" t="s">
        <v>378</v>
      </c>
      <c r="I713" s="57" t="s">
        <v>379</v>
      </c>
      <c r="J713" s="57" t="s">
        <v>425</v>
      </c>
      <c r="K713" s="67" t="s">
        <v>426</v>
      </c>
      <c r="L713" s="67" t="s">
        <v>422</v>
      </c>
      <c r="M713" s="67"/>
      <c r="N713" s="67" t="s">
        <v>383</v>
      </c>
      <c r="O713" s="67" t="s">
        <v>423</v>
      </c>
      <c r="P713" s="57" t="s">
        <v>187</v>
      </c>
      <c r="Q713" s="59" t="n">
        <f aca="false">ROUND((Flights!$AE$26)*1440,0)/1440</f>
        <v>46325.1388888889</v>
      </c>
      <c r="R713" s="59" t="n">
        <f aca="false">Q713+(IF(AND(INDEX(TZ_DSTS,MATCH(P713,TZ_STN,0))&lt;&gt;"",Q713&gt;=INDEX(TZ_DSTS,MATCH(P713,TZ_STN,0)),Q713&lt;INDEX(TZ_DSTE,MATCH(P713,TZ_STN,0))),INDEX(TZ_DST,MATCH(P713,TZ_STN,0)),INDEX(TZ_STD,MATCH(P713,TZ_STN,0))))/24</f>
        <v>46325.4722222222</v>
      </c>
      <c r="S713" s="60"/>
      <c r="T713" s="60"/>
      <c r="U713" s="60"/>
      <c r="V713" s="60"/>
      <c r="W713" s="61"/>
      <c r="X713" s="60"/>
      <c r="Y713" s="60"/>
      <c r="Z713" s="60"/>
      <c r="AA713" s="60"/>
      <c r="AB713" s="60"/>
      <c r="AC713" s="60"/>
      <c r="AD713" s="66"/>
      <c r="AE713" s="60"/>
      <c r="AF713" s="61" t="str">
        <f aca="false">IF(AND(ISNUMBER(X713),ISNUMBER(Y713)),Y713-X713,"")</f>
        <v/>
      </c>
      <c r="AG713" s="62" t="str">
        <f aca="false">IF(ISNUMBER(AD713),AD713-(IF(AND(INDEX(TZ_DSTS,MATCH(P713,TZ_STN,0))&lt;&gt;"",(AD713-INDEX(TZ_STD,MATCH(P713,TZ_STN,0))/24)&gt;=INDEX(TZ_DSTS,MATCH(P713,TZ_STN,0)),(AD713-INDEX(TZ_STD,MATCH(P713,TZ_STN,0))/24)&lt;INDEX(TZ_DSTE,MATCH(P713,TZ_STN,0))),INDEX(TZ_DST,MATCH(P713,TZ_STN,0)),INDEX(TZ_STD,MATCH(P713,TZ_STN,0))))/24,"")</f>
        <v/>
      </c>
      <c r="AH713" s="65" t="str">
        <f aca="false">IFERROR(IF(N713="N/A – rule",IF(OR(TRIM(U713)="",TRIM(U713)="N/A",TRIM(U713)="Not started"),"N/A – RULE","INVALID – this check does not apply to this aircraft: clear the status (or correct the fleet on Flights)"),IF(TRIM(U713)="N/A",IF(AT713=0,"INVALID – N/A not permitted for this check",IF(AND(TRIM(AB713)&lt;&gt;"",TRIM(AB713)&lt;&gt;"Closed"),"INVALID – corrective action still open",IF(AND(NOT(OR(LEN(AZ713)&lt;15,ISNUMBER(MATCH(AZ713,L_Placeholder,0)))),BK713=0,CG713&gt;=8,NOT(OR(LEN(AU713)&lt;2,ISNUMBER(MATCH(AU713,L_Placeholder,0)))),BR713&gt;=3,NOT(OR(LEN(AX713)&lt;2,ISNUMBER(MATCH(AX713,L_Placeholder,0)))),BS713&gt;=3,TRIM(AE713)&lt;&gt;TRIM(T713),AX713&lt;&gt;AU713,CE713=0),"N/A – JUSTIFIED","INVALID – N/A needs a real, settled reason (not 'not applicable' / 'as above' / TBC), a named PIC and a different named verifier"))),IF(OR(TRIM(U713)="Pass",TRIM(U713)="Pass after CA"),IF(NOT(ISNUMBER(AD713)),"INVALID – completion time missing",IF(OR(OR(LEN(AU713)&lt;2,ISNUMBER(MATCH(AU713,L_Placeholder,0))),BR713&lt;3),"INVALID – PIC missing or not a named person (a role such as QA / CSM is not a name)",IF(OR(LEN(AV713)&lt;2,ISNUMBER(MATCH(AV713,L_Placeholder,0))),"INVALID – result / assessment missing",IF(OR(OR(LEN(AW713)&lt;3,ISNUMBER(MATCH(AW713,L_Placeholder,0))),SUMPRODUCT(--ISNUMBER(SEARCH(" "&amp;L_EvidencePhrase&amp;" ",BD713)))&gt;0,BI713=1),"INVALID – evidence missing, placeholder or not yet on file",IF(ISNA(MATCH(TRIM(S713),L_EvidenceType,0)),"INVALID – choose the evidence type from the list (column S)",IF(BL713=0,"INVALID – evidence ID must be the record's own ID only (e.g. SF-2210, IMG_2231, 1045521); a link / file name needs type 'Link / file path'",IF(OR(OR(LEN(AX713)&lt;2,ISNUMBER(MATCH(AX713,L_Placeholder,0))),BS713&lt;3),"INVALID – verifier missing or not a named person (a role such as QA / CSM is not a name)",IF(OR(AX713=AU713,CE713=1,AND(LEN(AU713)&gt;=4,ISNUMBER(SEARCH(AU713,AX713))),AND(LEN(AX713)&gt;=4,ISNUMBER(SEARCH(AX713,AU713)))),"INVALID – verifier must be a different, named person (not the PIC or a role)",IF(BH713=1,"INVALID – result not yet available (awaiting / TBC)",IF(BG713=1,"INVALID – result describes a problem: record Fail, then Pass after CA (or reword if it is not a problem)",IF(BV713=1,"INVALID – wording says not on board: an on-board confirmation needs the item loaded",IF(AND(AQ713=1,OR(OR(LEN(AY713)&lt;3,ISNUMBER(MATCH(AY713,L_Placeholder,0))),BJ713=1,BQ713=0)),"INVALID – batch ID missing, placeholder or not an ID (e.g. PASB-261008-BC-017)",IF(AND(AR713=1,OR(NOT(ISNUMBER(X713)),NOT(ISNUMBER(Y713)))),"INVALID – expected/actual qty missing",IF(AND(AR713=1,OR(X713&lt;=0,Y713&lt;0)),"INVALID – expected qty must be above 0 and actual not negative",IF(BB713&lt;&gt;"",BB713,IF(AND(AS713=1,Documents!$J$26&lt;&gt;"ON FILE"),"INVALID – GLD not on file (Documents sheet)",IF(AND(AS713=2,Documents!$O$26&lt;&gt;"ON FILE"),"INVALID – menu checklist not on file (Documents sheet)",IF(AND(AS713=3,NOT(ISNUMBER(Flights!$AX$26))),"INVALID – enter carrying flight KUL departure (Flights AX)",IF(AND(AS713=3,OR(Flights!$AZ$26&gt;Flights!$AA$26,Flights!$AX$26&lt;Flights!$AA$26-3)),"INVALID – carrying flight (Flights AX) cannot arrive before this leg's STD, or is over 3 days early",IF(AG713&gt;AsOfUTC,"INVALID – completion time is in the future",IF(AND(ISNUMBER(BY713),AG713&lt;BY713),IF(H713="Physical uplift","INVALID – before uplift window (cannot confirm loading)","INVALID – before valid window"),IF(AG713&gt;Flights!$AA$26,"INVALID – completed after departure (cannot establish readiness)",IF(AND(H713="Preparation",AG713&gt;=IF(ISNUMBER(Flights!$BA$26),MIN(Flights!$BA$26,Flights!$AA$26),Flights!$AA$26)),"INVALID – completed after loading / departure (cannot establish readiness)",IF(AND(H713="Physical uplift",AG713&gt;Q713),"INVALID – recorded after the loading flight departed",IF(AG713&gt;Q713,"COMPLETE – LATE","COMPLETE"))))))))))))))))))))))))),IF(TRIM(U713)="Fail","FAIL – DISCREPANCY",IF(AND(TRIM(U713)&lt;&gt;"",TRIM(U713)&lt;&gt;"Not started",TRIM(U713)&lt;&gt;"In progress"),"INVALID – unrecognised status (use the list)",IF(AsOfUTC&gt;Q713,"OVERDUE",IF(N713="Clarification required","OPEN – CLARIFICATION","OPEN"))))))),"INVALID – error value in an input cell")</f>
        <v>OPEN</v>
      </c>
      <c r="AI713" s="61" t="n">
        <f aca="false">IF(OR(AH713="N/A – RULE",AH713="N/A – JUSTIFIED"),0,1)</f>
        <v>1</v>
      </c>
      <c r="AJ713" s="61" t="n">
        <f aca="false">IF(LEFT(AH713,8)="COMPLETE",1,0)</f>
        <v>0</v>
      </c>
      <c r="AK713" s="61" t="n">
        <f aca="false">IF(AND(AI713=1,AJ713=0,AsOfUTC&gt;Q713),1,0)</f>
        <v>0</v>
      </c>
      <c r="AL713" s="61" t="n">
        <f aca="false">IFERROR(IF(AND(AI713=1,OR(TRIM(U713)="Fail",AND(TRIM(AB713)&lt;&gt;"",TRIM(AB713)&lt;&gt;"Closed"),AND(ISNUMBER(AF713),AF713&lt;&gt;0,TRIM(U713)&lt;&gt;"Pass after CA"))),1,0),1)</f>
        <v>0</v>
      </c>
      <c r="AM713" s="61" t="n">
        <f aca="false">IF(LEFT(AH713,7)="INVALID",1,0)</f>
        <v>0</v>
      </c>
      <c r="AN713" s="61" t="n">
        <f aca="false">IF(AND(N713="Clarification required",AI713=1,AJ713=0),1,0)</f>
        <v>0</v>
      </c>
      <c r="AO713" s="61" t="str">
        <f aca="false">IF(AK713=1,SUM(AK$5:AK713),"")</f>
        <v/>
      </c>
      <c r="AP713" s="61" t="str">
        <f aca="false">IF(AL713=1,SUM(AL$5:AL713),"")</f>
        <v/>
      </c>
      <c r="AQ713" s="61" t="n">
        <v>0</v>
      </c>
      <c r="AR713" s="61" t="n">
        <v>1</v>
      </c>
      <c r="AS713" s="61" t="n">
        <v>0</v>
      </c>
      <c r="AT713" s="61" t="n">
        <v>0</v>
      </c>
      <c r="AU713" s="61" t="str">
        <f aca="false">SUBSTITUTE(SUBSTITUTE(SUBSTITUTE(SUBSTITUTE(SUBSTITUTE(SUBSTITUTE(SUBSTITUTE(SUBSTITUTE(SUBSTITUTE(SUBSTITUTE(SUBSTITUTE(SUBSTITUTE(SUBSTITUTE(SUBSTITUTE(SUBSTITUTE(SUBSTITUTE(LOWER(T713&amp;""),CHAR(10),""),CHAR(13),""),CHAR(9),""),CHAR(160),"")," ",""),".",""),"-",""),"/",""),"?",""),"_",""),",",""),"[",""),"]",""),"(",""),")",""),"*","")</f>
        <v/>
      </c>
      <c r="AV713" s="61" t="str">
        <f aca="false">SUBSTITUTE(SUBSTITUTE(SUBSTITUTE(SUBSTITUTE(SUBSTITUTE(SUBSTITUTE(SUBSTITUTE(SUBSTITUTE(SUBSTITUTE(SUBSTITUTE(SUBSTITUTE(SUBSTITUTE(SUBSTITUTE(SUBSTITUTE(SUBSTITUTE(SUBSTITUTE(LOWER(V713&amp;""),CHAR(10),""),CHAR(13),""),CHAR(9),""),CHAR(160),"")," ",""),".",""),"-",""),"/",""),"?",""),"_",""),",",""),"[",""),"]",""),"(",""),")",""),"*","")</f>
        <v/>
      </c>
      <c r="AW713" s="61" t="str">
        <f aca="false">SUBSTITUTE(SUBSTITUTE(SUBSTITUTE(SUBSTITUTE(SUBSTITUTE(SUBSTITUTE(SUBSTITUTE(SUBSTITUTE(SUBSTITUTE(SUBSTITUTE(SUBSTITUTE(SUBSTITUTE(SUBSTITUTE(SUBSTITUTE(SUBSTITUTE(SUBSTITUTE(LOWER(Z713&amp;""),CHAR(10),""),CHAR(13),""),CHAR(9),""),CHAR(160),"")," ",""),".",""),"-",""),"/",""),"?",""),"_",""),",",""),"[",""),"]",""),"(",""),")",""),"*","")</f>
        <v/>
      </c>
      <c r="AX713" s="61" t="str">
        <f aca="false">SUBSTITUTE(SUBSTITUTE(SUBSTITUTE(SUBSTITUTE(SUBSTITUTE(SUBSTITUTE(SUBSTITUTE(SUBSTITUTE(SUBSTITUTE(SUBSTITUTE(SUBSTITUTE(SUBSTITUTE(SUBSTITUTE(SUBSTITUTE(SUBSTITUTE(SUBSTITUTE(LOWER(AE713&amp;""),CHAR(10),""),CHAR(13),""),CHAR(9),""),CHAR(160),"")," ",""),".",""),"-",""),"/",""),"?",""),"_",""),",",""),"[",""),"]",""),"(",""),")",""),"*","")</f>
        <v/>
      </c>
      <c r="AY713" s="61" t="str">
        <f aca="false">SUBSTITUTE(SUBSTITUTE(SUBSTITUTE(SUBSTITUTE(SUBSTITUTE(SUBSTITUTE(SUBSTITUTE(SUBSTITUTE(SUBSTITUTE(SUBSTITUTE(SUBSTITUTE(SUBSTITUTE(SUBSTITUTE(SUBSTITUTE(SUBSTITUTE(SUBSTITUTE(LOWER(W713&amp;""),CHAR(10),""),CHAR(13),""),CHAR(9),""),CHAR(160),"")," ",""),".",""),"-",""),"/",""),"?",""),"_",""),",",""),"[",""),"]",""),"(",""),")",""),"*","")</f>
        <v/>
      </c>
      <c r="AZ713" s="61" t="str">
        <f aca="false">SUBSTITUTE(SUBSTITUTE(SUBSTITUTE(SUBSTITUTE(SUBSTITUTE(SUBSTITUTE(SUBSTITUTE(SUBSTITUTE(SUBSTITUTE(SUBSTITUTE(SUBSTITUTE(SUBSTITUTE(SUBSTITUTE(SUBSTITUTE(SUBSTITUTE(SUBSTITUTE(LOWER(AC713&amp;""),CHAR(10),""),CHAR(13),""),CHAR(9),""),CHAR(160),"")," ",""),".",""),"-",""),"/",""),"?",""),"_",""),",",""),"[",""),"]",""),"(",""),")",""),"*","")</f>
        <v/>
      </c>
      <c r="BA713" s="61" t="str">
        <f aca="false">SUBSTITUTE(SUBSTITUTE(SUBSTITUTE(SUBSTITUTE(SUBSTITUTE(SUBSTITUTE(SUBSTITUTE(SUBSTITUTE(SUBSTITUTE(SUBSTITUTE(SUBSTITUTE(SUBSTITUTE(SUBSTITUTE(SUBSTITUTE(SUBSTITUTE(SUBSTITUTE(LOWER(AA713&amp;""),CHAR(10),""),CHAR(13),""),CHAR(9),""),CHAR(160),"")," ",""),".",""),"-",""),"/",""),"?",""),"_",""),",",""),"[",""),"]",""),"(",""),")",""),"*","")</f>
        <v/>
      </c>
      <c r="BB713" s="61" t="str">
        <f aca="false">IF(AND(TRIM(U713)="Pass",ISNUMBER(AF713)),IF(AF713&lt;&gt;0,"INVALID – qty variance: use Fail or Pass after CA",""),"")&amp;IF(AND(TRIM(U713)="Pass after CA",ISNUMBER(AF713)),IF(AF713&lt;&gt;0,"INVALID – after the corrective action the actual qty must equal expected (update Actual)",""),"")&amp;IF(AND(TRIM(U713)="Pass",TRIM(AB713)&lt;&gt;"",TRIM(AB713)&lt;&gt;"Closed"),"INVALID – corrective action not closed: use Fail, then Pass after CA","")&amp;IF(AND(LEN(BA713)&gt;=2,ISNA(MATCH(LEFT(BA713,255),L_Placeholder,0)),TRIM(AB713)=""),"INVALID – CA status missing for the recorded corrective action","")&amp;IF(AND(TRIM(U713)="Pass after CA",OR(OR(LEN(BA713)&lt;5,ISNUMBER(MATCH(BA713,L_Placeholder,0))),TRIM(AB713)&lt;&gt;"Closed")),"INVALID – corrective action not recorded/closed","")</f>
        <v/>
      </c>
      <c r="BC713" s="61" t="str">
        <f aca="false">" "&amp;TRIM(SUBSTITUTE(SUBSTITUTE(SUBSTITUTE(SUBSTITUTE(SUBSTITUTE(SUBSTITUTE(SUBSTITUTE(SUBSTITUTE(SUBSTITUTE(SUBSTITUTE(SUBSTITUTE(SUBSTITUTE(SUBSTITUTE(SUBSTITUTE(SUBSTITUTE(SUBSTITUTE(SUBSTITUTE(SUBSTITUTE(SUBSTITUTE(SUBSTITUTE(SUBSTITUTE(SUBSTITUTE(SUBSTITUTE(SUBSTITUTE(LOWER(V713&amp;""),CHAR(10)," "),CHAR(13)," "),CHAR(9)," "),CHAR(160)," "),"."," "),","," "),"-"," "),"/"," "),"("," "),")"," "),":"," "),";"," "),"_"," "),"–"," "),"?"," "),"!"," "),"*"," "),"["," "),"]"," "),"'"," "),"#"," "),"+"," "),"&amp;"," "),"\"," "))&amp;" "</f>
        <v>  </v>
      </c>
      <c r="BD713" s="61" t="str">
        <f aca="false">" "&amp;TRIM(SUBSTITUTE(SUBSTITUTE(SUBSTITUTE(SUBSTITUTE(SUBSTITUTE(SUBSTITUTE(SUBSTITUTE(SUBSTITUTE(SUBSTITUTE(SUBSTITUTE(SUBSTITUTE(SUBSTITUTE(SUBSTITUTE(SUBSTITUTE(SUBSTITUTE(SUBSTITUTE(SUBSTITUTE(SUBSTITUTE(SUBSTITUTE(SUBSTITUTE(SUBSTITUTE(SUBSTITUTE(SUBSTITUTE(SUBSTITUTE(LOWER(Z713&amp;""),CHAR(10)," "),CHAR(13)," "),CHAR(9)," "),CHAR(160)," "),"."," "),","," "),"-"," "),"/"," "),"("," "),")"," "),":"," "),";"," "),"_"," "),"–"," "),"?"," "),"!"," "),"*"," "),"["," "),"]"," "),"'"," "),"#"," "),"+"," "),"&amp;"," "),"\"," "))&amp;" "</f>
        <v>  </v>
      </c>
      <c r="BE713" s="61" t="str">
        <f aca="false">" "&amp;TRIM(SUBSTITUTE(SUBSTITUTE(SUBSTITUTE(SUBSTITUTE(SUBSTITUTE(SUBSTITUTE(SUBSTITUTE(SUBSTITUTE(SUBSTITUTE(SUBSTITUTE(SUBSTITUTE(SUBSTITUTE(SUBSTITUTE(SUBSTITUTE(SUBSTITUTE(SUBSTITUTE(SUBSTITUTE(SUBSTITUTE(SUBSTITUTE(SUBSTITUTE(SUBSTITUTE(SUBSTITUTE(SUBSTITUTE(SUBSTITUTE(LOWER(W713&amp;""),CHAR(10)," "),CHAR(13)," "),CHAR(9)," "),CHAR(160)," "),"."," "),","," "),"-"," "),"/"," "),"("," "),")"," "),":"," "),";"," "),"_"," "),"–"," "),"?"," "),"!"," "),"*"," "),"["," "),"]"," "),"'"," "),"#"," "),"+"," "),"&amp;"," "),"\"," "))&amp;" "</f>
        <v>  </v>
      </c>
      <c r="BF713" s="61" t="str">
        <f aca="false">" "&amp;TRIM(SUBSTITUTE(SUBSTITUTE(SUBSTITUTE(SUBSTITUTE(SUBSTITUTE(SUBSTITUTE(SUBSTITUTE(SUBSTITUTE(SUBSTITUTE(SUBSTITUTE(SUBSTITUTE(SUBSTITUTE(SUBSTITUTE(SUBSTITUTE(SUBSTITUTE(SUBSTITUTE(SUBSTITUTE(SUBSTITUTE(SUBSTITUTE(SUBSTITUTE(SUBSTITUTE(SUBSTITUTE(SUBSTITUTE(SUBSTITUTE(LOWER(AC713&amp;""),CHAR(10)," "),CHAR(13)," "),CHAR(9)," "),CHAR(160)," "),"."," "),","," "),"-"," "),"/"," "),"("," "),")"," "),":"," "),";"," "),"_"," "),"–"," "),"?"," "),"!"," "),"*"," "),"["," "),"]"," "),"'"," "),"#"," "),"+"," "),"&amp;"," "),"\"," "))&amp;" "</f>
        <v>  </v>
      </c>
      <c r="BG713" s="61" t="n">
        <f aca="false">IFERROR(IF(AND(TRIM(U713)="Pass",SUMPRODUCT((LEN(BC713)-LEN(SUBSTITUTE(BC713," "&amp;L_ResultBad&amp;" "," ")))/(LEN(L_ResultBad)+1))&gt;SUMPRODUCT((LEN(BC713)-LEN(SUBSTITUTE(BC713," "&amp;L_NegPhrase&amp;" "," ")))/(LEN(L_NegPhrase)+1))),1,0),0)</f>
        <v>0</v>
      </c>
      <c r="BH713" s="61" t="n">
        <f aca="false">IFERROR(IF(SUMPRODUCT((LEN(BC713)-LEN(SUBSTITUTE(BC713," "&amp;L_Pending&amp;" "," ")))/(LEN(L_Pending)+1))&gt;SUMPRODUCT((LEN(BC713)-LEN(SUBSTITUTE(BC713," "&amp;L_PendNeg&amp;" "," ")))/(LEN(L_PendNeg)+1))+SUMPRODUCT((LEN(BC713)-LEN(SUBSTITUTE(BC713," "&amp;L_PendPrep&amp;" "," ")))/(LEN(L_PendPrep)+1)),1,0),1)</f>
        <v>0</v>
      </c>
      <c r="BI713" s="61" t="n">
        <f aca="false">IFERROR(IF(SUMPRODUCT((LEN(BD713)-LEN(SUBSTITUTE(BD713," "&amp;L_PendStrict&amp;" "," ")))/(LEN(L_PendStrict)+1))&gt;SUMPRODUCT((LEN(BD713)-LEN(SUBSTITUTE(BD713," "&amp;L_PendNeg&amp;" "," ")))/(LEN(L_PendNeg)+1)),1,0),1)</f>
        <v>0</v>
      </c>
      <c r="BJ713" s="61" t="n">
        <f aca="false">IFERROR(IF(SUMPRODUCT((LEN(BE713)-LEN(SUBSTITUTE(BE713," "&amp;L_Pending&amp;" "," ")))/(LEN(L_Pending)+1))&gt;SUMPRODUCT((LEN(BE713)-LEN(SUBSTITUTE(BE713," "&amp;L_PendNeg&amp;" "," ")))/(LEN(L_PendNeg)+1))+SUMPRODUCT((LEN(BE713)-LEN(SUBSTITUTE(BE713," "&amp;L_PendPrep&amp;" "," ")))/(LEN(L_PendPrep)+1)),1,0),1)</f>
        <v>0</v>
      </c>
      <c r="BK713" s="61" t="n">
        <f aca="false">IFERROR(IF(SUMPRODUCT((LEN(BF713)-LEN(SUBSTITUTE(BF713," "&amp;L_PendStrict&amp;" "," ")))/(LEN(L_PendStrict)+1))&gt;SUMPRODUCT((LEN(BF713)-LEN(SUBSTITUTE(BF713," "&amp;L_PendNeg&amp;" "," ")))/(LEN(L_PendNeg)+1)),1,0),1)</f>
        <v>0</v>
      </c>
      <c r="BL713" s="61" t="n">
        <f aca="false">IF(ISNA(MATCH(TRIM(S713),L_EvidenceType,0)),0,BZ713)</f>
        <v>0</v>
      </c>
      <c r="BM713" s="61" t="str">
        <f aca="false">SUBSTITUTE(SUBSTITUTE(SUBSTITUTE(SUBSTITUTE(SUBSTITUTE(SUBSTITUTE(SUBSTITUTE(SUBSTITUTE(SUBSTITUTE(LOWER(Z713&amp;""),"1","0"),"2","0"),"3","0"),"4","0"),"5","0"),"6","0"),"7","0"),"8","0"),"9","0")</f>
        <v/>
      </c>
      <c r="BN713" s="61" t="str">
        <f aca="false">SUBSTITUTE(SUBSTITUTE(SUBSTITUTE(SUBSTITUTE(SUBSTITUTE(SUBSTITUTE(SUBSTITUTE(SUBSTITUTE(SUBSTITUTE(SUBSTITUTE(SUBSTITUTE(SUBSTITUTE(SUBSTITUTE(SUBSTITUTE(SUBSTITUTE(SUBSTITUTE(SUBSTITUTE(SUBSTITUTE(SUBSTITUTE(SUBSTITUTE(SUBSTITUTE(SUBSTITUTE(SUBSTITUTE(SUBSTITUTE(SUBSTITUTE(BM713,"b","a"),"c","a"),"d","a"),"e","a"),"f","a"),"g","a"),"h","a"),"i","a"),"j","a"),"k","a"),"l","a"),"m","a"),"n","a"),"o","a"),"p","a"),"q","a"),"r","a"),"s","a"),"t","a"),"u","a"),"v","a"),"w","a"),"x","a"),"y","a"),"z","a")</f>
        <v/>
      </c>
      <c r="BO713" s="61" t="str">
        <f aca="false">SUBSTITUTE(SUBSTITUTE(SUBSTITUTE(SUBSTITUTE(SUBSTITUTE(SUBSTITUTE(SUBSTITUTE(SUBSTITUTE(SUBSTITUTE(LOWER(W713&amp;""),"1","0"),"2","0"),"3","0"),"4","0"),"5","0"),"6","0"),"7","0"),"8","0"),"9","0")</f>
        <v/>
      </c>
      <c r="BP713" s="61" t="str">
        <f aca="false">SUBSTITUTE(SUBSTITUTE(SUBSTITUTE(SUBSTITUTE(SUBSTITUTE(SUBSTITUTE(SUBSTITUTE(SUBSTITUTE(SUBSTITUTE(SUBSTITUTE(SUBSTITUTE(SUBSTITUTE(SUBSTITUTE(SUBSTITUTE(SUBSTITUTE(SUBSTITUTE(SUBSTITUTE(SUBSTITUTE(SUBSTITUTE(SUBSTITUTE(SUBSTITUTE(SUBSTITUTE(SUBSTITUTE(SUBSTITUTE(SUBSTITUTE(BO713,"b","a"),"c","a"),"d","a"),"e","a"),"f","a"),"g","a"),"h","a"),"i","a"),"j","a"),"k","a"),"l","a"),"m","a"),"n","a"),"o","a"),"p","a"),"q","a"),"r","a"),"s","a"),"t","a"),"u","a"),"v","a"),"w","a"),"x","a"),"y","a"),"z","a")</f>
        <v/>
      </c>
      <c r="BQ713" s="61" t="n">
        <f aca="false">IFERROR(IF(AND(ISERROR(SEARCH(" mh"," "&amp;LOWER(W713))),ISNA(MATCH(LEFT(TRIM(BP713),255),{"0000a","000a","00a","0000aa","000aa","00aa","0aa","0000aaa","000aaa","00a00","0a00","0000-0000","00:00","a00","a0","00.00.0000","00/00/0000","00-00-0000","0000-00-00","0000/00/00","0000.00.00","00.00.00","00/00/00","00-00-00","0.00.0000","0/00/0000","0-00-0000"},0)),ISNA(MATCH(LEFT(TRIM(CA713),255),{"0000a","000a","00a","0000aa","000aa","00aa","0aa","0000aaa","000aaa","00a00","0a00","0000-0000","00:00","a00","a0","00.00.0000","00/00/0000","00-00-0000","0000-00-00","0000/00/00","0000.00.00","00.00.00","00/00/00","00-00-00","0.00.0000","0/00/0000","0-00-0000"},0)),LEN(CB713)&gt;=3,NOT(OR(SUBSTITUTE(CB713,"0","")="",AND(LEN(CB713)&gt;=4,CB713=REPT(LEFT(CB713),LEN(CB713))),ISNUMBER(MATCH(CB713,{"123","1234","12345","123456","1234567","12345678","0123","01234","012345","98765","987654","54321"},0)),AND(LEN(CB713)=8,LEFT(CB713,3)="202"))),OR(AND((LEN(CA713)-LEN(SUBSTITUTE(CA713,"a","")))&gt;=1,SUMPRODUCT(--ISNUMBER(SEARCH({"a0","a-0","a_0","a/0","a.0","a#0","0a","0-a","0_a","0/a"},BP713)))&gt;0),ISNUMBER(SEARCH("000000",BP713)))),1,0),0)</f>
        <v>0</v>
      </c>
      <c r="BR713" s="61" t="n">
        <f aca="false">IFERROR(LEN(SUBSTITUTE(CC713," ",""))-SUMPRODUCT((LEN(CC713)-LEN(SUBSTITUTE(CC713," "&amp;L_Role&amp;" "," ")))/(LEN(L_Role)+1)*LEN(L_Role)),0)</f>
        <v>0</v>
      </c>
      <c r="BS713" s="61" t="n">
        <f aca="false">IFERROR(LEN(SUBSTITUTE(CD713," ",""))-SUMPRODUCT((LEN(CD713)-LEN(SUBSTITUTE(CD713," "&amp;L_Role&amp;" "," ")))/(LEN(L_Role)+1)*LEN(L_Role)),0)</f>
        <v>0</v>
      </c>
      <c r="BT7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713,"revision",""),"version",""),"jan",""),"feb",""),"mar",""),"apr",""),"may",""),"jun",""),"jul",""),"aug",""),"sep",""),"oct",""),"nov",""),"dec",""),"utc",""),"gmt",""),"myt",""),"bst",""),"rev",""),"ver",""),"b","a"),"c","a"),"d","a"),"e","a"),"f","a"),"g","a"),"h","a"),"i","a"),"j","a"),"k","a"),"l","a"),"m","a"),"n","a"),"o","a"),"p","a"),"q","a"),"r","a"),"s","a"),"t","a"),"u","a"),"v","a"),"w","a"),"x","a"),"y","a"),"z","a")</f>
        <v/>
      </c>
      <c r="BU713" s="61" t="str">
        <f aca="false">SUBSTITUTE(SUBSTITUTE(SUBSTITUTE(SUBSTITUTE(SUBSTITUTE(SUBSTITUTE(SUBSTITUTE(SUBSTITUTE(SUBSTITUTE(SUBSTITUTE(LEFT(BM713,FIND("0",BM713&amp;"0")-1),"-",""),"_",""),"/",""),".",""),"#",""),"\\",""),":","")," ",""),"(",""),")","")</f>
        <v/>
      </c>
      <c r="BV713" s="61" t="n">
        <f aca="false">0</f>
        <v>0</v>
      </c>
      <c r="BW71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713&amp;""),"a",""),"b",""),"c",""),"d",""),"e",""),"f",""),"g",""),"h",""),"i",""),"j",""),"k",""),"l",""),"m",""),"n",""),"o",""),"p",""),"q",""),"r",""),"s",""),"t",""),"u",""),"v",""),"w",""),"x",""),"y",""),"z",""),"-",""),"_",""),"/",""),".",""),"#",""),"\\",""),":","")," ",""),"(",""),")","")</f>
        <v/>
      </c>
      <c r="BX713" s="61" t="str">
        <f aca="false">SUBSTITUTE(SUBSTITUTE(SUBSTITUTE(SUBSTITUTE(SUBSTITUTE(SUBSTITUTE(SUBSTITUTE(SUBSTITUTE(SUBSTITUTE(SUBSTITUTE(SUBSTITUTE(BM713,"0",""),"-",""),"_",""),"/",""),".",""),"#",""),"\\",""),":","")," ",""),"(",""),")","")</f>
        <v/>
      </c>
      <c r="BY713" s="62" t="n">
        <f aca="false">Q713-T12EarlyH/24</f>
        <v>46324.6388888889</v>
      </c>
      <c r="BZ713" s="61" t="n">
        <f aca="false">IFERROR(IF(IF(TRIM(S713)="Link / file path",AND(LEN(TRIM(Z713))&gt;=5,SUMPRODUCT(--ISNUMBER(SEARCH({"http","www.","\\",":\",".pdf",".jpg",".jpeg",".png",".heic",".xls",".doc",".msg",".eml",".ppt",".txt",".zip"},Z713)))&gt;0),AND(ISERROR(FIND(" ",TRIM(Z713))),NOT(OR(SUMPRODUCT(--ISNUMBER(FIND({",",";","&amp;","+"},Z713)))&gt;0,SUMPRODUCT(--ISNUMBER(SEARCH({"0/aa","0\\aa"},BN713)))&gt;0)),NOT(SUMPRODUCT(--ISNUMBER(SEARCH({"http","www.","\\",":\",".pdf",".jpg",".jpeg",".png",".heic",".xls",".doc",".msg",".eml",".ppt",".txt",".zip"},Z713)))&gt;0),NOT(LOWER(TRIM(Z713))=LOWER(Flights!$F$26)),ISNA(MATCH(BU713,{"mh","rev","revision","ver","version","v","r","a","b","seat","tray","row","gate","bay","stand","page","pg","item","line","no","cart","galley","flight","flt","table","box","bag","oven","etd","eta","std","sta","atd","ata","qty","pax","x","time","tel","ph","mob","day","wk","week","utc","gmt","myt","lt"},0)),NOT(OR(ISNUMBER(MATCH(LEFT(BN713,255),{"0000a","000a","00a","0000aa","000aa","00aa","0aa","0000aaa","000aaa","00a00","0a00","0000-0000","00:00","a00","a0","00.00.0000","00/00/0000","00-00-0000","0000-00-00","0000/00/00","0000.00.00","00.00.00","00/00/00","00-00-00","0.00.0000","0/00/0000","0-00-0000"},0)),ISNUMBER(MATCH(LEFT(BT713,255),{"0000a","000a","00a","0000aa","000aa","00aa","0aa","0000aaa","000aaa","00a00","0a00","0000-0000","00:00","a00","a0","00.00.0000","00/00/0000","00-00-0000","0000-00-00","0000/00/00","0000.00.00","00.00.00","00/00/00","00-00-00","0.00.0000","0/00/0000","0-00-0000"},0)))),NOT(OR(AND(BW713&lt;&gt;"",SUBSTITUTE(BW713,"0","")=""),AND(LEN(BW713)&gt;=4,BW713=REPT(LEFT(BW713),LEN(BW713))),ISNUMBER(MATCH(BW713,{"123","1234","12345","123456","1234567","12345678","0123","01234","012345","98765","987654","54321"},0)),ISNUMBER(MATCH(BX713,{"x","xx","xxx","xxxx","xxxxx","abc","abcd","nil","na","nan","test","tbc","tba","tbd","dummy","sample","example","eg","zz","zzz","none","null","xyz","qwe","asd","id","ref"},0)),AND(LEN(BW713)=8,BX713="",OR(LEFT(BW713,3)="202",ISNUMBER(MATCH(RIGHT(BW713,4),{"2025","2026","2027"},0)))))),OR(AND((LEN(BT713)-LEN(SUBSTITUTE(BT713,"a","")))&gt;=1,(LEN(BN713)-LEN(SUBSTITUTE(BN713,"0","")))&gt;=2,SUMPRODUCT(--ISNUMBER(SEARCH({"a0","a-0","a_0","a/0","a.0","a#0","0a","0-a","0_a","0/a"},BN713)))&gt;0),AND((LEN(BN713)-LEN(SUBSTITUTE(BN713,"a","")))=0,(LEN(BN713)-LEN(SUBSTITUTE(BN713,"0","")))&gt;=5)))),1,0),0)</f>
        <v>0</v>
      </c>
      <c r="CA7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713,"revision",""),"version",""),"jan",""),"feb",""),"mar",""),"apr",""),"may",""),"jun",""),"jul",""),"aug",""),"sep",""),"oct",""),"nov",""),"dec",""),"utc",""),"gmt",""),"myt",""),"bst",""),"rev",""),"ver",""),"b","a"),"c","a"),"d","a"),"e","a"),"f","a"),"g","a"),"h","a"),"i","a"),"j","a"),"k","a"),"l","a"),"m","a"),"n","a"),"o","a"),"p","a"),"q","a"),"r","a"),"s","a"),"t","a"),"u","a"),"v","a"),"w","a"),"x","a"),"y","a"),"z","a")</f>
        <v/>
      </c>
      <c r="CB7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713&amp;""),"a",""),"b",""),"c",""),"d",""),"e",""),"f",""),"g",""),"h",""),"i",""),"j",""),"k",""),"l",""),"m",""),"n",""),"o",""),"p",""),"q",""),"r",""),"s",""),"t",""),"u",""),"v",""),"w",""),"x",""),"y",""),"z",""),"-",""),"_",""),"/",""),".",""),"#",""),"\\",""),":","")," ",""),"(",""),")","")</f>
        <v/>
      </c>
      <c r="CC713" s="0" t="str">
        <f aca="false">" "&amp;TRIM(SUBSTITUTE(SUBSTITUTE(SUBSTITUTE(SUBSTITUTE(SUBSTITUTE(SUBSTITUTE(SUBSTITUTE(SUBSTITUTE(SUBSTITUTE(SUBSTITUTE(SUBSTITUTE(SUBSTITUTE(SUBSTITUTE(SUBSTITUTE(SUBSTITUTE(SUBSTITUTE(SUBSTITUTE(SUBSTITUTE(SUBSTITUTE(SUBSTITUTE(SUBSTITUTE(SUBSTITUTE(SUBSTITUTE(SUBSTITUTE(LOWER(T713&amp;""),CHAR(10)," "),CHAR(13)," "),CHAR(9)," "),CHAR(160)," "),"."," "),","," "),"-"," "),"/"," "),"("," "),")"," "),":"," "),";"," "),"_"," "),"–"," "),"?"," "),"!"," "),"*"," "),"["," "),"]"," "),"'"," "),"#"," "),"+"," "),"&amp;"," "),"\"," "))&amp;" "</f>
        <v>  </v>
      </c>
      <c r="CD713" s="0" t="str">
        <f aca="false">" "&amp;TRIM(SUBSTITUTE(SUBSTITUTE(SUBSTITUTE(SUBSTITUTE(SUBSTITUTE(SUBSTITUTE(SUBSTITUTE(SUBSTITUTE(SUBSTITUTE(SUBSTITUTE(SUBSTITUTE(SUBSTITUTE(SUBSTITUTE(SUBSTITUTE(SUBSTITUTE(SUBSTITUTE(SUBSTITUTE(SUBSTITUTE(SUBSTITUTE(SUBSTITUTE(SUBSTITUTE(SUBSTITUTE(SUBSTITUTE(SUBSTITUTE(LOWER(AE713&amp;""),CHAR(10)," "),CHAR(13)," "),CHAR(9)," "),CHAR(160)," "),"."," "),","," "),"-"," "),"/"," "),"("," "),")"," "),":"," "),";"," "),"_"," "),"–"," "),"?"," "),"!"," "),"*"," "),"["," "),"]"," "),"'"," "),"#"," "),"+"," "),"&amp;"," "),"\"," "))&amp;" "</f>
        <v>  </v>
      </c>
      <c r="CE713" s="68" t="n">
        <f aca="false">IFERROR(IF(AND(LEN(AU713)&gt;0,LEN(AU713)=LEN(AX713),OR(TRIM(MID(SUBSTITUTE(TRIM(CC713)," ",REPT(" ",60)),1,60))="",ISNUMBER(SEARCH(" "&amp;TRIM(MID(SUBSTITUTE(TRIM(CC713)," ",REPT(" ",60)),1,60))&amp;" ",CD713))),OR(TRIM(MID(SUBSTITUTE(TRIM(CC713)," ",REPT(" ",60)),61,60))="",ISNUMBER(SEARCH(" "&amp;TRIM(MID(SUBSTITUTE(TRIM(CC713)," ",REPT(" ",60)),61,60))&amp;" ",CD713))),OR(TRIM(MID(SUBSTITUTE(TRIM(CC713)," ",REPT(" ",60)),121,60))="",ISNUMBER(SEARCH(" "&amp;TRIM(MID(SUBSTITUTE(TRIM(CC713)," ",REPT(" ",60)),121,60))&amp;" ",CD713)))),1,0),0)</f>
        <v>0</v>
      </c>
      <c r="CG713" s="68" t="n">
        <f aca="false">IFERROR(LEN(SUBSTITUTE(BF713," ",""))-SUMPRODUCT((LEN(BF713)-LEN(SUBSTITUTE(BF713," "&amp;L_NAFiller&amp;" "," ")))/(LEN(L_NAFiller)+1)*LEN(L_NAFiller)),0)</f>
        <v>0</v>
      </c>
    </row>
    <row r="714" customFormat="false" ht="39.75" hidden="false" customHeight="true" outlineLevel="0" collapsed="false">
      <c r="A714" s="57" t="s">
        <v>1448</v>
      </c>
      <c r="B714" s="57" t="s">
        <v>312</v>
      </c>
      <c r="C714" s="57" t="str">
        <f aca="false">Flights!$F$26</f>
        <v>MH0002</v>
      </c>
      <c r="D714" s="58" t="n">
        <f aca="false">Flights!$D$26</f>
        <v>46325</v>
      </c>
      <c r="E714" s="57" t="str">
        <f aca="false">Flights!$G$26&amp;"-"&amp;Flights!$H$26</f>
        <v>KUL-LHR</v>
      </c>
      <c r="F714" s="57" t="str">
        <f aca="false">Flights!$K$26</f>
        <v>BC</v>
      </c>
      <c r="G714" s="57" t="s">
        <v>420</v>
      </c>
      <c r="H714" s="57" t="s">
        <v>378</v>
      </c>
      <c r="I714" s="57" t="s">
        <v>428</v>
      </c>
      <c r="J714" s="57" t="s">
        <v>429</v>
      </c>
      <c r="K714" s="67"/>
      <c r="L714" s="67" t="s">
        <v>422</v>
      </c>
      <c r="M714" s="67"/>
      <c r="N714" s="67" t="s">
        <v>383</v>
      </c>
      <c r="O714" s="67" t="s">
        <v>423</v>
      </c>
      <c r="P714" s="57" t="s">
        <v>187</v>
      </c>
      <c r="Q714" s="59" t="n">
        <f aca="false">ROUND((Flights!$AE$26)*1440,0)/1440</f>
        <v>46325.1388888889</v>
      </c>
      <c r="R714" s="59" t="n">
        <f aca="false">Q714+(IF(AND(INDEX(TZ_DSTS,MATCH(P714,TZ_STN,0))&lt;&gt;"",Q714&gt;=INDEX(TZ_DSTS,MATCH(P714,TZ_STN,0)),Q714&lt;INDEX(TZ_DSTE,MATCH(P714,TZ_STN,0))),INDEX(TZ_DST,MATCH(P714,TZ_STN,0)),INDEX(TZ_STD,MATCH(P714,TZ_STN,0))))/24</f>
        <v>46325.4722222222</v>
      </c>
      <c r="S714" s="60"/>
      <c r="T714" s="60"/>
      <c r="U714" s="60"/>
      <c r="V714" s="60"/>
      <c r="W714" s="61"/>
      <c r="X714" s="60"/>
      <c r="Y714" s="60"/>
      <c r="Z714" s="60"/>
      <c r="AA714" s="60"/>
      <c r="AB714" s="60"/>
      <c r="AC714" s="60"/>
      <c r="AD714" s="66"/>
      <c r="AE714" s="60"/>
      <c r="AF714" s="61" t="str">
        <f aca="false">IF(AND(ISNUMBER(X714),ISNUMBER(Y714)),Y714-X714,"")</f>
        <v/>
      </c>
      <c r="AG714" s="62" t="str">
        <f aca="false">IF(ISNUMBER(AD714),AD714-(IF(AND(INDEX(TZ_DSTS,MATCH(P714,TZ_STN,0))&lt;&gt;"",(AD714-INDEX(TZ_STD,MATCH(P714,TZ_STN,0))/24)&gt;=INDEX(TZ_DSTS,MATCH(P714,TZ_STN,0)),(AD714-INDEX(TZ_STD,MATCH(P714,TZ_STN,0))/24)&lt;INDEX(TZ_DSTE,MATCH(P714,TZ_STN,0))),INDEX(TZ_DST,MATCH(P714,TZ_STN,0)),INDEX(TZ_STD,MATCH(P714,TZ_STN,0))))/24,"")</f>
        <v/>
      </c>
      <c r="AH714" s="65" t="str">
        <f aca="false">IFERROR(IF(N714="N/A – rule",IF(OR(TRIM(U714)="",TRIM(U714)="N/A",TRIM(U714)="Not started"),"N/A – RULE","INVALID – this check does not apply to this aircraft: clear the status (or correct the fleet on Flights)"),IF(TRIM(U714)="N/A",IF(AT714=0,"INVALID – N/A not permitted for this check",IF(AND(TRIM(AB714)&lt;&gt;"",TRIM(AB714)&lt;&gt;"Closed"),"INVALID – corrective action still open",IF(AND(NOT(OR(LEN(AZ714)&lt;15,ISNUMBER(MATCH(AZ714,L_Placeholder,0)))),BK714=0,CG714&gt;=8,NOT(OR(LEN(AU714)&lt;2,ISNUMBER(MATCH(AU714,L_Placeholder,0)))),BR714&gt;=3,NOT(OR(LEN(AX714)&lt;2,ISNUMBER(MATCH(AX714,L_Placeholder,0)))),BS714&gt;=3,TRIM(AE714)&lt;&gt;TRIM(T714),AX714&lt;&gt;AU714,CE714=0),"N/A – JUSTIFIED","INVALID – N/A needs a real, settled reason (not 'not applicable' / 'as above' / TBC), a named PIC and a different named verifier"))),IF(OR(TRIM(U714)="Pass",TRIM(U714)="Pass after CA"),IF(NOT(ISNUMBER(AD714)),"INVALID – completion time missing",IF(OR(OR(LEN(AU714)&lt;2,ISNUMBER(MATCH(AU714,L_Placeholder,0))),BR714&lt;3),"INVALID – PIC missing or not a named person (a role such as QA / CSM is not a name)",IF(OR(LEN(AV714)&lt;2,ISNUMBER(MATCH(AV714,L_Placeholder,0))),"INVALID – result / assessment missing",IF(OR(OR(LEN(AW714)&lt;3,ISNUMBER(MATCH(AW714,L_Placeholder,0))),SUMPRODUCT(--ISNUMBER(SEARCH(" "&amp;L_EvidencePhrase&amp;" ",BD714)))&gt;0,BI714=1),"INVALID – evidence missing, placeholder or not yet on file",IF(ISNA(MATCH(TRIM(S714),L_EvidenceType,0)),"INVALID – choose the evidence type from the list (column S)",IF(BL714=0,"INVALID – evidence ID must be the record's own ID only (e.g. SF-2210, IMG_2231, 1045521); a link / file name needs type 'Link / file path'",IF(OR(OR(LEN(AX714)&lt;2,ISNUMBER(MATCH(AX714,L_Placeholder,0))),BS714&lt;3),"INVALID – verifier missing or not a named person (a role such as QA / CSM is not a name)",IF(OR(AX714=AU714,CE714=1,AND(LEN(AU714)&gt;=4,ISNUMBER(SEARCH(AU714,AX714))),AND(LEN(AX714)&gt;=4,ISNUMBER(SEARCH(AX714,AU714)))),"INVALID – verifier must be a different, named person (not the PIC or a role)",IF(BH714=1,"INVALID – result not yet available (awaiting / TBC)",IF(BG714=1,"INVALID – result describes a problem: record Fail, then Pass after CA (or reword if it is not a problem)",IF(BV714=1,"INVALID – wording says not on board: an on-board confirmation needs the item loaded",IF(AND(AQ714=1,OR(OR(LEN(AY714)&lt;3,ISNUMBER(MATCH(AY714,L_Placeholder,0))),BJ714=1,BQ714=0)),"INVALID – batch ID missing, placeholder or not an ID (e.g. PASB-261008-BC-017)",IF(AND(AR714=1,OR(NOT(ISNUMBER(X714)),NOT(ISNUMBER(Y714)))),"INVALID – expected/actual qty missing",IF(AND(AR714=1,OR(X714&lt;=0,Y714&lt;0)),"INVALID – expected qty must be above 0 and actual not negative",IF(BB714&lt;&gt;"",BB714,IF(AND(AS714=1,Documents!$J$26&lt;&gt;"ON FILE"),"INVALID – GLD not on file (Documents sheet)",IF(AND(AS714=2,Documents!$O$26&lt;&gt;"ON FILE"),"INVALID – menu checklist not on file (Documents sheet)",IF(AND(AS714=3,NOT(ISNUMBER(Flights!$AX$26))),"INVALID – enter carrying flight KUL departure (Flights AX)",IF(AND(AS714=3,OR(Flights!$AZ$26&gt;Flights!$AA$26,Flights!$AX$26&lt;Flights!$AA$26-3)),"INVALID – carrying flight (Flights AX) cannot arrive before this leg's STD, or is over 3 days early",IF(AG714&gt;AsOfUTC,"INVALID – completion time is in the future",IF(AND(ISNUMBER(BY714),AG714&lt;BY714),IF(H714="Physical uplift","INVALID – before uplift window (cannot confirm loading)","INVALID – before valid window"),IF(AG714&gt;Flights!$AA$26,"INVALID – completed after departure (cannot establish readiness)",IF(AND(H714="Preparation",AG714&gt;=IF(ISNUMBER(Flights!$BA$26),MIN(Flights!$BA$26,Flights!$AA$26),Flights!$AA$26)),"INVALID – completed after loading / departure (cannot establish readiness)",IF(AND(H714="Physical uplift",AG714&gt;Q714),"INVALID – recorded after the loading flight departed",IF(AG714&gt;Q714,"COMPLETE – LATE","COMPLETE"))))))))))))))))))))))))),IF(TRIM(U714)="Fail","FAIL – DISCREPANCY",IF(AND(TRIM(U714)&lt;&gt;"",TRIM(U714)&lt;&gt;"Not started",TRIM(U714)&lt;&gt;"In progress"),"INVALID – unrecognised status (use the list)",IF(AsOfUTC&gt;Q714,"OVERDUE",IF(N714="Clarification required","OPEN – CLARIFICATION","OPEN"))))))),"INVALID – error value in an input cell")</f>
        <v>OPEN</v>
      </c>
      <c r="AI714" s="61" t="n">
        <f aca="false">IF(OR(AH714="N/A – RULE",AH714="N/A – JUSTIFIED"),0,1)</f>
        <v>1</v>
      </c>
      <c r="AJ714" s="61" t="n">
        <f aca="false">IF(LEFT(AH714,8)="COMPLETE",1,0)</f>
        <v>0</v>
      </c>
      <c r="AK714" s="61" t="n">
        <f aca="false">IF(AND(AI714=1,AJ714=0,AsOfUTC&gt;Q714),1,0)</f>
        <v>0</v>
      </c>
      <c r="AL714" s="61" t="n">
        <f aca="false">IFERROR(IF(AND(AI714=1,OR(TRIM(U714)="Fail",AND(TRIM(AB714)&lt;&gt;"",TRIM(AB714)&lt;&gt;"Closed"),AND(ISNUMBER(AF714),AF714&lt;&gt;0,TRIM(U714)&lt;&gt;"Pass after CA"))),1,0),1)</f>
        <v>0</v>
      </c>
      <c r="AM714" s="61" t="n">
        <f aca="false">IF(LEFT(AH714,7)="INVALID",1,0)</f>
        <v>0</v>
      </c>
      <c r="AN714" s="61" t="n">
        <f aca="false">IF(AND(N714="Clarification required",AI714=1,AJ714=0),1,0)</f>
        <v>0</v>
      </c>
      <c r="AO714" s="61" t="str">
        <f aca="false">IF(AK714=1,SUM(AK$5:AK714),"")</f>
        <v/>
      </c>
      <c r="AP714" s="61" t="str">
        <f aca="false">IF(AL714=1,SUM(AL$5:AL714),"")</f>
        <v/>
      </c>
      <c r="AQ714" s="61" t="n">
        <v>0</v>
      </c>
      <c r="AR714" s="61" t="n">
        <v>0</v>
      </c>
      <c r="AS714" s="61" t="n">
        <v>0</v>
      </c>
      <c r="AT714" s="61" t="n">
        <v>0</v>
      </c>
      <c r="AU714" s="61" t="str">
        <f aca="false">SUBSTITUTE(SUBSTITUTE(SUBSTITUTE(SUBSTITUTE(SUBSTITUTE(SUBSTITUTE(SUBSTITUTE(SUBSTITUTE(SUBSTITUTE(SUBSTITUTE(SUBSTITUTE(SUBSTITUTE(SUBSTITUTE(SUBSTITUTE(SUBSTITUTE(SUBSTITUTE(LOWER(T714&amp;""),CHAR(10),""),CHAR(13),""),CHAR(9),""),CHAR(160),"")," ",""),".",""),"-",""),"/",""),"?",""),"_",""),",",""),"[",""),"]",""),"(",""),")",""),"*","")</f>
        <v/>
      </c>
      <c r="AV714" s="61" t="str">
        <f aca="false">SUBSTITUTE(SUBSTITUTE(SUBSTITUTE(SUBSTITUTE(SUBSTITUTE(SUBSTITUTE(SUBSTITUTE(SUBSTITUTE(SUBSTITUTE(SUBSTITUTE(SUBSTITUTE(SUBSTITUTE(SUBSTITUTE(SUBSTITUTE(SUBSTITUTE(SUBSTITUTE(LOWER(V714&amp;""),CHAR(10),""),CHAR(13),""),CHAR(9),""),CHAR(160),"")," ",""),".",""),"-",""),"/",""),"?",""),"_",""),",",""),"[",""),"]",""),"(",""),")",""),"*","")</f>
        <v/>
      </c>
      <c r="AW714" s="61" t="str">
        <f aca="false">SUBSTITUTE(SUBSTITUTE(SUBSTITUTE(SUBSTITUTE(SUBSTITUTE(SUBSTITUTE(SUBSTITUTE(SUBSTITUTE(SUBSTITUTE(SUBSTITUTE(SUBSTITUTE(SUBSTITUTE(SUBSTITUTE(SUBSTITUTE(SUBSTITUTE(SUBSTITUTE(LOWER(Z714&amp;""),CHAR(10),""),CHAR(13),""),CHAR(9),""),CHAR(160),"")," ",""),".",""),"-",""),"/",""),"?",""),"_",""),",",""),"[",""),"]",""),"(",""),")",""),"*","")</f>
        <v/>
      </c>
      <c r="AX714" s="61" t="str">
        <f aca="false">SUBSTITUTE(SUBSTITUTE(SUBSTITUTE(SUBSTITUTE(SUBSTITUTE(SUBSTITUTE(SUBSTITUTE(SUBSTITUTE(SUBSTITUTE(SUBSTITUTE(SUBSTITUTE(SUBSTITUTE(SUBSTITUTE(SUBSTITUTE(SUBSTITUTE(SUBSTITUTE(LOWER(AE714&amp;""),CHAR(10),""),CHAR(13),""),CHAR(9),""),CHAR(160),"")," ",""),".",""),"-",""),"/",""),"?",""),"_",""),",",""),"[",""),"]",""),"(",""),")",""),"*","")</f>
        <v/>
      </c>
      <c r="AY714" s="61" t="str">
        <f aca="false">SUBSTITUTE(SUBSTITUTE(SUBSTITUTE(SUBSTITUTE(SUBSTITUTE(SUBSTITUTE(SUBSTITUTE(SUBSTITUTE(SUBSTITUTE(SUBSTITUTE(SUBSTITUTE(SUBSTITUTE(SUBSTITUTE(SUBSTITUTE(SUBSTITUTE(SUBSTITUTE(LOWER(W714&amp;""),CHAR(10),""),CHAR(13),""),CHAR(9),""),CHAR(160),"")," ",""),".",""),"-",""),"/",""),"?",""),"_",""),",",""),"[",""),"]",""),"(",""),")",""),"*","")</f>
        <v/>
      </c>
      <c r="AZ714" s="61" t="str">
        <f aca="false">SUBSTITUTE(SUBSTITUTE(SUBSTITUTE(SUBSTITUTE(SUBSTITUTE(SUBSTITUTE(SUBSTITUTE(SUBSTITUTE(SUBSTITUTE(SUBSTITUTE(SUBSTITUTE(SUBSTITUTE(SUBSTITUTE(SUBSTITUTE(SUBSTITUTE(SUBSTITUTE(LOWER(AC714&amp;""),CHAR(10),""),CHAR(13),""),CHAR(9),""),CHAR(160),"")," ",""),".",""),"-",""),"/",""),"?",""),"_",""),",",""),"[",""),"]",""),"(",""),")",""),"*","")</f>
        <v/>
      </c>
      <c r="BA714" s="61" t="str">
        <f aca="false">SUBSTITUTE(SUBSTITUTE(SUBSTITUTE(SUBSTITUTE(SUBSTITUTE(SUBSTITUTE(SUBSTITUTE(SUBSTITUTE(SUBSTITUTE(SUBSTITUTE(SUBSTITUTE(SUBSTITUTE(SUBSTITUTE(SUBSTITUTE(SUBSTITUTE(SUBSTITUTE(LOWER(AA714&amp;""),CHAR(10),""),CHAR(13),""),CHAR(9),""),CHAR(160),"")," ",""),".",""),"-",""),"/",""),"?",""),"_",""),",",""),"[",""),"]",""),"(",""),")",""),"*","")</f>
        <v/>
      </c>
      <c r="BB714" s="61" t="str">
        <f aca="false">IF(AND(TRIM(U714)="Pass",ISNUMBER(AF714)),IF(AF714&lt;&gt;0,"INVALID – qty variance: use Fail or Pass after CA",""),"")&amp;IF(AND(TRIM(U714)="Pass after CA",ISNUMBER(AF714)),IF(AF714&lt;&gt;0,"INVALID – after the corrective action the actual qty must equal expected (update Actual)",""),"")&amp;IF(AND(TRIM(U714)="Pass",TRIM(AB714)&lt;&gt;"",TRIM(AB714)&lt;&gt;"Closed"),"INVALID – corrective action not closed: use Fail, then Pass after CA","")&amp;IF(AND(LEN(BA714)&gt;=2,ISNA(MATCH(LEFT(BA714,255),L_Placeholder,0)),TRIM(AB714)=""),"INVALID – CA status missing for the recorded corrective action","")&amp;IF(AND(TRIM(U714)="Pass after CA",OR(OR(LEN(BA714)&lt;5,ISNUMBER(MATCH(BA714,L_Placeholder,0))),TRIM(AB714)&lt;&gt;"Closed")),"INVALID – corrective action not recorded/closed","")</f>
        <v/>
      </c>
      <c r="BC714" s="61" t="str">
        <f aca="false">" "&amp;TRIM(SUBSTITUTE(SUBSTITUTE(SUBSTITUTE(SUBSTITUTE(SUBSTITUTE(SUBSTITUTE(SUBSTITUTE(SUBSTITUTE(SUBSTITUTE(SUBSTITUTE(SUBSTITUTE(SUBSTITUTE(SUBSTITUTE(SUBSTITUTE(SUBSTITUTE(SUBSTITUTE(SUBSTITUTE(SUBSTITUTE(SUBSTITUTE(SUBSTITUTE(SUBSTITUTE(SUBSTITUTE(SUBSTITUTE(SUBSTITUTE(LOWER(V714&amp;""),CHAR(10)," "),CHAR(13)," "),CHAR(9)," "),CHAR(160)," "),"."," "),","," "),"-"," "),"/"," "),"("," "),")"," "),":"," "),";"," "),"_"," "),"–"," "),"?"," "),"!"," "),"*"," "),"["," "),"]"," "),"'"," "),"#"," "),"+"," "),"&amp;"," "),"\"," "))&amp;" "</f>
        <v>  </v>
      </c>
      <c r="BD714" s="61" t="str">
        <f aca="false">" "&amp;TRIM(SUBSTITUTE(SUBSTITUTE(SUBSTITUTE(SUBSTITUTE(SUBSTITUTE(SUBSTITUTE(SUBSTITUTE(SUBSTITUTE(SUBSTITUTE(SUBSTITUTE(SUBSTITUTE(SUBSTITUTE(SUBSTITUTE(SUBSTITUTE(SUBSTITUTE(SUBSTITUTE(SUBSTITUTE(SUBSTITUTE(SUBSTITUTE(SUBSTITUTE(SUBSTITUTE(SUBSTITUTE(SUBSTITUTE(SUBSTITUTE(LOWER(Z714&amp;""),CHAR(10)," "),CHAR(13)," "),CHAR(9)," "),CHAR(160)," "),"."," "),","," "),"-"," "),"/"," "),"("," "),")"," "),":"," "),";"," "),"_"," "),"–"," "),"?"," "),"!"," "),"*"," "),"["," "),"]"," "),"'"," "),"#"," "),"+"," "),"&amp;"," "),"\"," "))&amp;" "</f>
        <v>  </v>
      </c>
      <c r="BE714" s="61" t="str">
        <f aca="false">" "&amp;TRIM(SUBSTITUTE(SUBSTITUTE(SUBSTITUTE(SUBSTITUTE(SUBSTITUTE(SUBSTITUTE(SUBSTITUTE(SUBSTITUTE(SUBSTITUTE(SUBSTITUTE(SUBSTITUTE(SUBSTITUTE(SUBSTITUTE(SUBSTITUTE(SUBSTITUTE(SUBSTITUTE(SUBSTITUTE(SUBSTITUTE(SUBSTITUTE(SUBSTITUTE(SUBSTITUTE(SUBSTITUTE(SUBSTITUTE(SUBSTITUTE(LOWER(W714&amp;""),CHAR(10)," "),CHAR(13)," "),CHAR(9)," "),CHAR(160)," "),"."," "),","," "),"-"," "),"/"," "),"("," "),")"," "),":"," "),";"," "),"_"," "),"–"," "),"?"," "),"!"," "),"*"," "),"["," "),"]"," "),"'"," "),"#"," "),"+"," "),"&amp;"," "),"\"," "))&amp;" "</f>
        <v>  </v>
      </c>
      <c r="BF714" s="61" t="str">
        <f aca="false">" "&amp;TRIM(SUBSTITUTE(SUBSTITUTE(SUBSTITUTE(SUBSTITUTE(SUBSTITUTE(SUBSTITUTE(SUBSTITUTE(SUBSTITUTE(SUBSTITUTE(SUBSTITUTE(SUBSTITUTE(SUBSTITUTE(SUBSTITUTE(SUBSTITUTE(SUBSTITUTE(SUBSTITUTE(SUBSTITUTE(SUBSTITUTE(SUBSTITUTE(SUBSTITUTE(SUBSTITUTE(SUBSTITUTE(SUBSTITUTE(SUBSTITUTE(LOWER(AC714&amp;""),CHAR(10)," "),CHAR(13)," "),CHAR(9)," "),CHAR(160)," "),"."," "),","," "),"-"," "),"/"," "),"("," "),")"," "),":"," "),";"," "),"_"," "),"–"," "),"?"," "),"!"," "),"*"," "),"["," "),"]"," "),"'"," "),"#"," "),"+"," "),"&amp;"," "),"\"," "))&amp;" "</f>
        <v>  </v>
      </c>
      <c r="BG714" s="61" t="n">
        <f aca="false">IFERROR(IF(AND(TRIM(U714)="Pass",SUMPRODUCT((LEN(BC714)-LEN(SUBSTITUTE(BC714," "&amp;L_ResultBad&amp;" "," ")))/(LEN(L_ResultBad)+1))&gt;SUMPRODUCT((LEN(BC714)-LEN(SUBSTITUTE(BC714," "&amp;L_NegPhrase&amp;" "," ")))/(LEN(L_NegPhrase)+1))),1,0),0)</f>
        <v>0</v>
      </c>
      <c r="BH714" s="61" t="n">
        <f aca="false">IFERROR(IF(SUMPRODUCT((LEN(BC714)-LEN(SUBSTITUTE(BC714," "&amp;L_Pending&amp;" "," ")))/(LEN(L_Pending)+1))&gt;SUMPRODUCT((LEN(BC714)-LEN(SUBSTITUTE(BC714," "&amp;L_PendNeg&amp;" "," ")))/(LEN(L_PendNeg)+1))+SUMPRODUCT((LEN(BC714)-LEN(SUBSTITUTE(BC714," "&amp;L_PendPrep&amp;" "," ")))/(LEN(L_PendPrep)+1)),1,0),1)</f>
        <v>0</v>
      </c>
      <c r="BI714" s="61" t="n">
        <f aca="false">IFERROR(IF(SUMPRODUCT((LEN(BD714)-LEN(SUBSTITUTE(BD714," "&amp;L_PendStrict&amp;" "," ")))/(LEN(L_PendStrict)+1))&gt;SUMPRODUCT((LEN(BD714)-LEN(SUBSTITUTE(BD714," "&amp;L_PendNeg&amp;" "," ")))/(LEN(L_PendNeg)+1)),1,0),1)</f>
        <v>0</v>
      </c>
      <c r="BJ714" s="61" t="n">
        <f aca="false">IFERROR(IF(SUMPRODUCT((LEN(BE714)-LEN(SUBSTITUTE(BE714," "&amp;L_Pending&amp;" "," ")))/(LEN(L_Pending)+1))&gt;SUMPRODUCT((LEN(BE714)-LEN(SUBSTITUTE(BE714," "&amp;L_PendNeg&amp;" "," ")))/(LEN(L_PendNeg)+1))+SUMPRODUCT((LEN(BE714)-LEN(SUBSTITUTE(BE714," "&amp;L_PendPrep&amp;" "," ")))/(LEN(L_PendPrep)+1)),1,0),1)</f>
        <v>0</v>
      </c>
      <c r="BK714" s="61" t="n">
        <f aca="false">IFERROR(IF(SUMPRODUCT((LEN(BF714)-LEN(SUBSTITUTE(BF714," "&amp;L_PendStrict&amp;" "," ")))/(LEN(L_PendStrict)+1))&gt;SUMPRODUCT((LEN(BF714)-LEN(SUBSTITUTE(BF714," "&amp;L_PendNeg&amp;" "," ")))/(LEN(L_PendNeg)+1)),1,0),1)</f>
        <v>0</v>
      </c>
      <c r="BL714" s="61" t="n">
        <f aca="false">IF(ISNA(MATCH(TRIM(S714),L_EvidenceType,0)),0,BZ714)</f>
        <v>0</v>
      </c>
      <c r="BM714" s="61" t="str">
        <f aca="false">SUBSTITUTE(SUBSTITUTE(SUBSTITUTE(SUBSTITUTE(SUBSTITUTE(SUBSTITUTE(SUBSTITUTE(SUBSTITUTE(SUBSTITUTE(LOWER(Z714&amp;""),"1","0"),"2","0"),"3","0"),"4","0"),"5","0"),"6","0"),"7","0"),"8","0"),"9","0")</f>
        <v/>
      </c>
      <c r="BN714" s="61" t="str">
        <f aca="false">SUBSTITUTE(SUBSTITUTE(SUBSTITUTE(SUBSTITUTE(SUBSTITUTE(SUBSTITUTE(SUBSTITUTE(SUBSTITUTE(SUBSTITUTE(SUBSTITUTE(SUBSTITUTE(SUBSTITUTE(SUBSTITUTE(SUBSTITUTE(SUBSTITUTE(SUBSTITUTE(SUBSTITUTE(SUBSTITUTE(SUBSTITUTE(SUBSTITUTE(SUBSTITUTE(SUBSTITUTE(SUBSTITUTE(SUBSTITUTE(SUBSTITUTE(BM714,"b","a"),"c","a"),"d","a"),"e","a"),"f","a"),"g","a"),"h","a"),"i","a"),"j","a"),"k","a"),"l","a"),"m","a"),"n","a"),"o","a"),"p","a"),"q","a"),"r","a"),"s","a"),"t","a"),"u","a"),"v","a"),"w","a"),"x","a"),"y","a"),"z","a")</f>
        <v/>
      </c>
      <c r="BO714" s="61" t="str">
        <f aca="false">SUBSTITUTE(SUBSTITUTE(SUBSTITUTE(SUBSTITUTE(SUBSTITUTE(SUBSTITUTE(SUBSTITUTE(SUBSTITUTE(SUBSTITUTE(LOWER(W714&amp;""),"1","0"),"2","0"),"3","0"),"4","0"),"5","0"),"6","0"),"7","0"),"8","0"),"9","0")</f>
        <v/>
      </c>
      <c r="BP714" s="61" t="str">
        <f aca="false">SUBSTITUTE(SUBSTITUTE(SUBSTITUTE(SUBSTITUTE(SUBSTITUTE(SUBSTITUTE(SUBSTITUTE(SUBSTITUTE(SUBSTITUTE(SUBSTITUTE(SUBSTITUTE(SUBSTITUTE(SUBSTITUTE(SUBSTITUTE(SUBSTITUTE(SUBSTITUTE(SUBSTITUTE(SUBSTITUTE(SUBSTITUTE(SUBSTITUTE(SUBSTITUTE(SUBSTITUTE(SUBSTITUTE(SUBSTITUTE(SUBSTITUTE(BO714,"b","a"),"c","a"),"d","a"),"e","a"),"f","a"),"g","a"),"h","a"),"i","a"),"j","a"),"k","a"),"l","a"),"m","a"),"n","a"),"o","a"),"p","a"),"q","a"),"r","a"),"s","a"),"t","a"),"u","a"),"v","a"),"w","a"),"x","a"),"y","a"),"z","a")</f>
        <v/>
      </c>
      <c r="BQ714" s="61" t="n">
        <f aca="false">IFERROR(IF(AND(ISERROR(SEARCH(" mh"," "&amp;LOWER(W714))),ISNA(MATCH(LEFT(TRIM(BP714),255),{"0000a","000a","00a","0000aa","000aa","00aa","0aa","0000aaa","000aaa","00a00","0a00","0000-0000","00:00","a00","a0","00.00.0000","00/00/0000","00-00-0000","0000-00-00","0000/00/00","0000.00.00","00.00.00","00/00/00","00-00-00","0.00.0000","0/00/0000","0-00-0000"},0)),ISNA(MATCH(LEFT(TRIM(CA714),255),{"0000a","000a","00a","0000aa","000aa","00aa","0aa","0000aaa","000aaa","00a00","0a00","0000-0000","00:00","a00","a0","00.00.0000","00/00/0000","00-00-0000","0000-00-00","0000/00/00","0000.00.00","00.00.00","00/00/00","00-00-00","0.00.0000","0/00/0000","0-00-0000"},0)),LEN(CB714)&gt;=3,NOT(OR(SUBSTITUTE(CB714,"0","")="",AND(LEN(CB714)&gt;=4,CB714=REPT(LEFT(CB714),LEN(CB714))),ISNUMBER(MATCH(CB714,{"123","1234","12345","123456","1234567","12345678","0123","01234","012345","98765","987654","54321"},0)),AND(LEN(CB714)=8,LEFT(CB714,3)="202"))),OR(AND((LEN(CA714)-LEN(SUBSTITUTE(CA714,"a","")))&gt;=1,SUMPRODUCT(--ISNUMBER(SEARCH({"a0","a-0","a_0","a/0","a.0","a#0","0a","0-a","0_a","0/a"},BP714)))&gt;0),ISNUMBER(SEARCH("000000",BP714)))),1,0),0)</f>
        <v>0</v>
      </c>
      <c r="BR714" s="61" t="n">
        <f aca="false">IFERROR(LEN(SUBSTITUTE(CC714," ",""))-SUMPRODUCT((LEN(CC714)-LEN(SUBSTITUTE(CC714," "&amp;L_Role&amp;" "," ")))/(LEN(L_Role)+1)*LEN(L_Role)),0)</f>
        <v>0</v>
      </c>
      <c r="BS714" s="61" t="n">
        <f aca="false">IFERROR(LEN(SUBSTITUTE(CD714," ",""))-SUMPRODUCT((LEN(CD714)-LEN(SUBSTITUTE(CD714," "&amp;L_Role&amp;" "," ")))/(LEN(L_Role)+1)*LEN(L_Role)),0)</f>
        <v>0</v>
      </c>
      <c r="BT7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714,"revision",""),"version",""),"jan",""),"feb",""),"mar",""),"apr",""),"may",""),"jun",""),"jul",""),"aug",""),"sep",""),"oct",""),"nov",""),"dec",""),"utc",""),"gmt",""),"myt",""),"bst",""),"rev",""),"ver",""),"b","a"),"c","a"),"d","a"),"e","a"),"f","a"),"g","a"),"h","a"),"i","a"),"j","a"),"k","a"),"l","a"),"m","a"),"n","a"),"o","a"),"p","a"),"q","a"),"r","a"),"s","a"),"t","a"),"u","a"),"v","a"),"w","a"),"x","a"),"y","a"),"z","a")</f>
        <v/>
      </c>
      <c r="BU714" s="61" t="str">
        <f aca="false">SUBSTITUTE(SUBSTITUTE(SUBSTITUTE(SUBSTITUTE(SUBSTITUTE(SUBSTITUTE(SUBSTITUTE(SUBSTITUTE(SUBSTITUTE(SUBSTITUTE(LEFT(BM714,FIND("0",BM714&amp;"0")-1),"-",""),"_",""),"/",""),".",""),"#",""),"\\",""),":","")," ",""),"(",""),")","")</f>
        <v/>
      </c>
      <c r="BV714" s="61" t="n">
        <f aca="false">0</f>
        <v>0</v>
      </c>
      <c r="BW71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714&amp;""),"a",""),"b",""),"c",""),"d",""),"e",""),"f",""),"g",""),"h",""),"i",""),"j",""),"k",""),"l",""),"m",""),"n",""),"o",""),"p",""),"q",""),"r",""),"s",""),"t",""),"u",""),"v",""),"w",""),"x",""),"y",""),"z",""),"-",""),"_",""),"/",""),".",""),"#",""),"\\",""),":","")," ",""),"(",""),")","")</f>
        <v/>
      </c>
      <c r="BX714" s="61" t="str">
        <f aca="false">SUBSTITUTE(SUBSTITUTE(SUBSTITUTE(SUBSTITUTE(SUBSTITUTE(SUBSTITUTE(SUBSTITUTE(SUBSTITUTE(SUBSTITUTE(SUBSTITUTE(SUBSTITUTE(BM714,"0",""),"-",""),"_",""),"/",""),".",""),"#",""),"\\",""),":","")," ",""),"(",""),")","")</f>
        <v/>
      </c>
      <c r="BY714" s="62" t="n">
        <f aca="false">Q714-T12EarlyH/24</f>
        <v>46324.6388888889</v>
      </c>
      <c r="BZ714" s="61" t="n">
        <f aca="false">IFERROR(IF(IF(TRIM(S714)="Link / file path",AND(LEN(TRIM(Z714))&gt;=5,SUMPRODUCT(--ISNUMBER(SEARCH({"http","www.","\\",":\",".pdf",".jpg",".jpeg",".png",".heic",".xls",".doc",".msg",".eml",".ppt",".txt",".zip"},Z714)))&gt;0),AND(ISERROR(FIND(" ",TRIM(Z714))),NOT(OR(SUMPRODUCT(--ISNUMBER(FIND({",",";","&amp;","+"},Z714)))&gt;0,SUMPRODUCT(--ISNUMBER(SEARCH({"0/aa","0\\aa"},BN714)))&gt;0)),NOT(SUMPRODUCT(--ISNUMBER(SEARCH({"http","www.","\\",":\",".pdf",".jpg",".jpeg",".png",".heic",".xls",".doc",".msg",".eml",".ppt",".txt",".zip"},Z714)))&gt;0),NOT(LOWER(TRIM(Z714))=LOWER(Flights!$F$26)),ISNA(MATCH(BU714,{"mh","rev","revision","ver","version","v","r","a","b","seat","tray","row","gate","bay","stand","page","pg","item","line","no","cart","galley","flight","flt","table","box","bag","oven","etd","eta","std","sta","atd","ata","qty","pax","x","time","tel","ph","mob","day","wk","week","utc","gmt","myt","lt"},0)),NOT(OR(ISNUMBER(MATCH(LEFT(BN714,255),{"0000a","000a","00a","0000aa","000aa","00aa","0aa","0000aaa","000aaa","00a00","0a00","0000-0000","00:00","a00","a0","00.00.0000","00/00/0000","00-00-0000","0000-00-00","0000/00/00","0000.00.00","00.00.00","00/00/00","00-00-00","0.00.0000","0/00/0000","0-00-0000"},0)),ISNUMBER(MATCH(LEFT(BT714,255),{"0000a","000a","00a","0000aa","000aa","00aa","0aa","0000aaa","000aaa","00a00","0a00","0000-0000","00:00","a00","a0","00.00.0000","00/00/0000","00-00-0000","0000-00-00","0000/00/00","0000.00.00","00.00.00","00/00/00","00-00-00","0.00.0000","0/00/0000","0-00-0000"},0)))),NOT(OR(AND(BW714&lt;&gt;"",SUBSTITUTE(BW714,"0","")=""),AND(LEN(BW714)&gt;=4,BW714=REPT(LEFT(BW714),LEN(BW714))),ISNUMBER(MATCH(BW714,{"123","1234","12345","123456","1234567","12345678","0123","01234","012345","98765","987654","54321"},0)),ISNUMBER(MATCH(BX714,{"x","xx","xxx","xxxx","xxxxx","abc","abcd","nil","na","nan","test","tbc","tba","tbd","dummy","sample","example","eg","zz","zzz","none","null","xyz","qwe","asd","id","ref"},0)),AND(LEN(BW714)=8,BX714="",OR(LEFT(BW714,3)="202",ISNUMBER(MATCH(RIGHT(BW714,4),{"2025","2026","2027"},0)))))),OR(AND((LEN(BT714)-LEN(SUBSTITUTE(BT714,"a","")))&gt;=1,(LEN(BN714)-LEN(SUBSTITUTE(BN714,"0","")))&gt;=2,SUMPRODUCT(--ISNUMBER(SEARCH({"a0","a-0","a_0","a/0","a.0","a#0","0a","0-a","0_a","0/a"},BN714)))&gt;0),AND((LEN(BN714)-LEN(SUBSTITUTE(BN714,"a","")))=0,(LEN(BN714)-LEN(SUBSTITUTE(BN714,"0","")))&gt;=5)))),1,0),0)</f>
        <v>0</v>
      </c>
      <c r="CA7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714,"revision",""),"version",""),"jan",""),"feb",""),"mar",""),"apr",""),"may",""),"jun",""),"jul",""),"aug",""),"sep",""),"oct",""),"nov",""),"dec",""),"utc",""),"gmt",""),"myt",""),"bst",""),"rev",""),"ver",""),"b","a"),"c","a"),"d","a"),"e","a"),"f","a"),"g","a"),"h","a"),"i","a"),"j","a"),"k","a"),"l","a"),"m","a"),"n","a"),"o","a"),"p","a"),"q","a"),"r","a"),"s","a"),"t","a"),"u","a"),"v","a"),"w","a"),"x","a"),"y","a"),"z","a")</f>
        <v/>
      </c>
      <c r="CB7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714&amp;""),"a",""),"b",""),"c",""),"d",""),"e",""),"f",""),"g",""),"h",""),"i",""),"j",""),"k",""),"l",""),"m",""),"n",""),"o",""),"p",""),"q",""),"r",""),"s",""),"t",""),"u",""),"v",""),"w",""),"x",""),"y",""),"z",""),"-",""),"_",""),"/",""),".",""),"#",""),"\\",""),":","")," ",""),"(",""),")","")</f>
        <v/>
      </c>
      <c r="CC714" s="0" t="str">
        <f aca="false">" "&amp;TRIM(SUBSTITUTE(SUBSTITUTE(SUBSTITUTE(SUBSTITUTE(SUBSTITUTE(SUBSTITUTE(SUBSTITUTE(SUBSTITUTE(SUBSTITUTE(SUBSTITUTE(SUBSTITUTE(SUBSTITUTE(SUBSTITUTE(SUBSTITUTE(SUBSTITUTE(SUBSTITUTE(SUBSTITUTE(SUBSTITUTE(SUBSTITUTE(SUBSTITUTE(SUBSTITUTE(SUBSTITUTE(SUBSTITUTE(SUBSTITUTE(LOWER(T714&amp;""),CHAR(10)," "),CHAR(13)," "),CHAR(9)," "),CHAR(160)," "),"."," "),","," "),"-"," "),"/"," "),"("," "),")"," "),":"," "),";"," "),"_"," "),"–"," "),"?"," "),"!"," "),"*"," "),"["," "),"]"," "),"'"," "),"#"," "),"+"," "),"&amp;"," "),"\"," "))&amp;" "</f>
        <v>  </v>
      </c>
      <c r="CD714" s="0" t="str">
        <f aca="false">" "&amp;TRIM(SUBSTITUTE(SUBSTITUTE(SUBSTITUTE(SUBSTITUTE(SUBSTITUTE(SUBSTITUTE(SUBSTITUTE(SUBSTITUTE(SUBSTITUTE(SUBSTITUTE(SUBSTITUTE(SUBSTITUTE(SUBSTITUTE(SUBSTITUTE(SUBSTITUTE(SUBSTITUTE(SUBSTITUTE(SUBSTITUTE(SUBSTITUTE(SUBSTITUTE(SUBSTITUTE(SUBSTITUTE(SUBSTITUTE(SUBSTITUTE(LOWER(AE714&amp;""),CHAR(10)," "),CHAR(13)," "),CHAR(9)," "),CHAR(160)," "),"."," "),","," "),"-"," "),"/"," "),"("," "),")"," "),":"," "),";"," "),"_"," "),"–"," "),"?"," "),"!"," "),"*"," "),"["," "),"]"," "),"'"," "),"#"," "),"+"," "),"&amp;"," "),"\"," "))&amp;" "</f>
        <v>  </v>
      </c>
      <c r="CE714" s="68" t="n">
        <f aca="false">IFERROR(IF(AND(LEN(AU714)&gt;0,LEN(AU714)=LEN(AX714),OR(TRIM(MID(SUBSTITUTE(TRIM(CC714)," ",REPT(" ",60)),1,60))="",ISNUMBER(SEARCH(" "&amp;TRIM(MID(SUBSTITUTE(TRIM(CC714)," ",REPT(" ",60)),1,60))&amp;" ",CD714))),OR(TRIM(MID(SUBSTITUTE(TRIM(CC714)," ",REPT(" ",60)),61,60))="",ISNUMBER(SEARCH(" "&amp;TRIM(MID(SUBSTITUTE(TRIM(CC714)," ",REPT(" ",60)),61,60))&amp;" ",CD714))),OR(TRIM(MID(SUBSTITUTE(TRIM(CC714)," ",REPT(" ",60)),121,60))="",ISNUMBER(SEARCH(" "&amp;TRIM(MID(SUBSTITUTE(TRIM(CC714)," ",REPT(" ",60)),121,60))&amp;" ",CD714)))),1,0),0)</f>
        <v>0</v>
      </c>
      <c r="CG714" s="68" t="n">
        <f aca="false">IFERROR(LEN(SUBSTITUTE(BF714," ",""))-SUMPRODUCT((LEN(BF714)-LEN(SUBSTITUTE(BF714," "&amp;L_NAFiller&amp;" "," ")))/(LEN(L_NAFiller)+1)*LEN(L_NAFiller)),0)</f>
        <v>0</v>
      </c>
    </row>
    <row r="715" customFormat="false" ht="39.75" hidden="false" customHeight="true" outlineLevel="0" collapsed="false">
      <c r="A715" s="57" t="s">
        <v>1449</v>
      </c>
      <c r="B715" s="57" t="s">
        <v>312</v>
      </c>
      <c r="C715" s="57" t="str">
        <f aca="false">Flights!$F$26</f>
        <v>MH0002</v>
      </c>
      <c r="D715" s="58" t="n">
        <f aca="false">Flights!$D$26</f>
        <v>46325</v>
      </c>
      <c r="E715" s="57" t="str">
        <f aca="false">Flights!$G$26&amp;"-"&amp;Flights!$H$26</f>
        <v>KUL-LHR</v>
      </c>
      <c r="F715" s="57" t="str">
        <f aca="false">Flights!$K$26</f>
        <v>BC</v>
      </c>
      <c r="G715" s="57" t="s">
        <v>420</v>
      </c>
      <c r="H715" s="57" t="s">
        <v>378</v>
      </c>
      <c r="I715" s="57" t="s">
        <v>428</v>
      </c>
      <c r="J715" s="57" t="s">
        <v>431</v>
      </c>
      <c r="K715" s="67"/>
      <c r="L715" s="67" t="s">
        <v>422</v>
      </c>
      <c r="M715" s="67"/>
      <c r="N715" s="67" t="s">
        <v>383</v>
      </c>
      <c r="O715" s="67" t="s">
        <v>423</v>
      </c>
      <c r="P715" s="57" t="s">
        <v>187</v>
      </c>
      <c r="Q715" s="59" t="n">
        <f aca="false">ROUND((Flights!$AE$26)*1440,0)/1440</f>
        <v>46325.1388888889</v>
      </c>
      <c r="R715" s="59" t="n">
        <f aca="false">Q715+(IF(AND(INDEX(TZ_DSTS,MATCH(P715,TZ_STN,0))&lt;&gt;"",Q715&gt;=INDEX(TZ_DSTS,MATCH(P715,TZ_STN,0)),Q715&lt;INDEX(TZ_DSTE,MATCH(P715,TZ_STN,0))),INDEX(TZ_DST,MATCH(P715,TZ_STN,0)),INDEX(TZ_STD,MATCH(P715,TZ_STN,0))))/24</f>
        <v>46325.4722222222</v>
      </c>
      <c r="S715" s="60"/>
      <c r="T715" s="60"/>
      <c r="U715" s="60"/>
      <c r="V715" s="60"/>
      <c r="W715" s="61"/>
      <c r="X715" s="60"/>
      <c r="Y715" s="60"/>
      <c r="Z715" s="60"/>
      <c r="AA715" s="60"/>
      <c r="AB715" s="60"/>
      <c r="AC715" s="60"/>
      <c r="AD715" s="66"/>
      <c r="AE715" s="60"/>
      <c r="AF715" s="61" t="str">
        <f aca="false">IF(AND(ISNUMBER(X715),ISNUMBER(Y715)),Y715-X715,"")</f>
        <v/>
      </c>
      <c r="AG715" s="62" t="str">
        <f aca="false">IF(ISNUMBER(AD715),AD715-(IF(AND(INDEX(TZ_DSTS,MATCH(P715,TZ_STN,0))&lt;&gt;"",(AD715-INDEX(TZ_STD,MATCH(P715,TZ_STN,0))/24)&gt;=INDEX(TZ_DSTS,MATCH(P715,TZ_STN,0)),(AD715-INDEX(TZ_STD,MATCH(P715,TZ_STN,0))/24)&lt;INDEX(TZ_DSTE,MATCH(P715,TZ_STN,0))),INDEX(TZ_DST,MATCH(P715,TZ_STN,0)),INDEX(TZ_STD,MATCH(P715,TZ_STN,0))))/24,"")</f>
        <v/>
      </c>
      <c r="AH715" s="65" t="str">
        <f aca="false">IFERROR(IF(N715="N/A – rule",IF(OR(TRIM(U715)="",TRIM(U715)="N/A",TRIM(U715)="Not started"),"N/A – RULE","INVALID – this check does not apply to this aircraft: clear the status (or correct the fleet on Flights)"),IF(TRIM(U715)="N/A",IF(AT715=0,"INVALID – N/A not permitted for this check",IF(AND(TRIM(AB715)&lt;&gt;"",TRIM(AB715)&lt;&gt;"Closed"),"INVALID – corrective action still open",IF(AND(NOT(OR(LEN(AZ715)&lt;15,ISNUMBER(MATCH(AZ715,L_Placeholder,0)))),BK715=0,CG715&gt;=8,NOT(OR(LEN(AU715)&lt;2,ISNUMBER(MATCH(AU715,L_Placeholder,0)))),BR715&gt;=3,NOT(OR(LEN(AX715)&lt;2,ISNUMBER(MATCH(AX715,L_Placeholder,0)))),BS715&gt;=3,TRIM(AE715)&lt;&gt;TRIM(T715),AX715&lt;&gt;AU715,CE715=0),"N/A – JUSTIFIED","INVALID – N/A needs a real, settled reason (not 'not applicable' / 'as above' / TBC), a named PIC and a different named verifier"))),IF(OR(TRIM(U715)="Pass",TRIM(U715)="Pass after CA"),IF(NOT(ISNUMBER(AD715)),"INVALID – completion time missing",IF(OR(OR(LEN(AU715)&lt;2,ISNUMBER(MATCH(AU715,L_Placeholder,0))),BR715&lt;3),"INVALID – PIC missing or not a named person (a role such as QA / CSM is not a name)",IF(OR(LEN(AV715)&lt;2,ISNUMBER(MATCH(AV715,L_Placeholder,0))),"INVALID – result / assessment missing",IF(OR(OR(LEN(AW715)&lt;3,ISNUMBER(MATCH(AW715,L_Placeholder,0))),SUMPRODUCT(--ISNUMBER(SEARCH(" "&amp;L_EvidencePhrase&amp;" ",BD715)))&gt;0,BI715=1),"INVALID – evidence missing, placeholder or not yet on file",IF(ISNA(MATCH(TRIM(S715),L_EvidenceType,0)),"INVALID – choose the evidence type from the list (column S)",IF(BL715=0,"INVALID – evidence ID must be the record's own ID only (e.g. SF-2210, IMG_2231, 1045521); a link / file name needs type 'Link / file path'",IF(OR(OR(LEN(AX715)&lt;2,ISNUMBER(MATCH(AX715,L_Placeholder,0))),BS715&lt;3),"INVALID – verifier missing or not a named person (a role such as QA / CSM is not a name)",IF(OR(AX715=AU715,CE715=1,AND(LEN(AU715)&gt;=4,ISNUMBER(SEARCH(AU715,AX715))),AND(LEN(AX715)&gt;=4,ISNUMBER(SEARCH(AX715,AU715)))),"INVALID – verifier must be a different, named person (not the PIC or a role)",IF(BH715=1,"INVALID – result not yet available (awaiting / TBC)",IF(BG715=1,"INVALID – result describes a problem: record Fail, then Pass after CA (or reword if it is not a problem)",IF(BV715=1,"INVALID – wording says not on board: an on-board confirmation needs the item loaded",IF(AND(AQ715=1,OR(OR(LEN(AY715)&lt;3,ISNUMBER(MATCH(AY715,L_Placeholder,0))),BJ715=1,BQ715=0)),"INVALID – batch ID missing, placeholder or not an ID (e.g. PASB-261008-BC-017)",IF(AND(AR715=1,OR(NOT(ISNUMBER(X715)),NOT(ISNUMBER(Y715)))),"INVALID – expected/actual qty missing",IF(AND(AR715=1,OR(X715&lt;=0,Y715&lt;0)),"INVALID – expected qty must be above 0 and actual not negative",IF(BB715&lt;&gt;"",BB715,IF(AND(AS715=1,Documents!$J$26&lt;&gt;"ON FILE"),"INVALID – GLD not on file (Documents sheet)",IF(AND(AS715=2,Documents!$O$26&lt;&gt;"ON FILE"),"INVALID – menu checklist not on file (Documents sheet)",IF(AND(AS715=3,NOT(ISNUMBER(Flights!$AX$26))),"INVALID – enter carrying flight KUL departure (Flights AX)",IF(AND(AS715=3,OR(Flights!$AZ$26&gt;Flights!$AA$26,Flights!$AX$26&lt;Flights!$AA$26-3)),"INVALID – carrying flight (Flights AX) cannot arrive before this leg's STD, or is over 3 days early",IF(AG715&gt;AsOfUTC,"INVALID – completion time is in the future",IF(AND(ISNUMBER(BY715),AG715&lt;BY715),IF(H715="Physical uplift","INVALID – before uplift window (cannot confirm loading)","INVALID – before valid window"),IF(AG715&gt;Flights!$AA$26,"INVALID – completed after departure (cannot establish readiness)",IF(AND(H715="Preparation",AG715&gt;=IF(ISNUMBER(Flights!$BA$26),MIN(Flights!$BA$26,Flights!$AA$26),Flights!$AA$26)),"INVALID – completed after loading / departure (cannot establish readiness)",IF(AND(H715="Physical uplift",AG715&gt;Q715),"INVALID – recorded after the loading flight departed",IF(AG715&gt;Q715,"COMPLETE – LATE","COMPLETE"))))))))))))))))))))))))),IF(TRIM(U715)="Fail","FAIL – DISCREPANCY",IF(AND(TRIM(U715)&lt;&gt;"",TRIM(U715)&lt;&gt;"Not started",TRIM(U715)&lt;&gt;"In progress"),"INVALID – unrecognised status (use the list)",IF(AsOfUTC&gt;Q715,"OVERDUE",IF(N715="Clarification required","OPEN – CLARIFICATION","OPEN"))))))),"INVALID – error value in an input cell")</f>
        <v>OPEN</v>
      </c>
      <c r="AI715" s="61" t="n">
        <f aca="false">IF(OR(AH715="N/A – RULE",AH715="N/A – JUSTIFIED"),0,1)</f>
        <v>1</v>
      </c>
      <c r="AJ715" s="61" t="n">
        <f aca="false">IF(LEFT(AH715,8)="COMPLETE",1,0)</f>
        <v>0</v>
      </c>
      <c r="AK715" s="61" t="n">
        <f aca="false">IF(AND(AI715=1,AJ715=0,AsOfUTC&gt;Q715),1,0)</f>
        <v>0</v>
      </c>
      <c r="AL715" s="61" t="n">
        <f aca="false">IFERROR(IF(AND(AI715=1,OR(TRIM(U715)="Fail",AND(TRIM(AB715)&lt;&gt;"",TRIM(AB715)&lt;&gt;"Closed"),AND(ISNUMBER(AF715),AF715&lt;&gt;0,TRIM(U715)&lt;&gt;"Pass after CA"))),1,0),1)</f>
        <v>0</v>
      </c>
      <c r="AM715" s="61" t="n">
        <f aca="false">IF(LEFT(AH715,7)="INVALID",1,0)</f>
        <v>0</v>
      </c>
      <c r="AN715" s="61" t="n">
        <f aca="false">IF(AND(N715="Clarification required",AI715=1,AJ715=0),1,0)</f>
        <v>0</v>
      </c>
      <c r="AO715" s="61" t="str">
        <f aca="false">IF(AK715=1,SUM(AK$5:AK715),"")</f>
        <v/>
      </c>
      <c r="AP715" s="61" t="str">
        <f aca="false">IF(AL715=1,SUM(AL$5:AL715),"")</f>
        <v/>
      </c>
      <c r="AQ715" s="61" t="n">
        <v>0</v>
      </c>
      <c r="AR715" s="61" t="n">
        <v>0</v>
      </c>
      <c r="AS715" s="61" t="n">
        <v>0</v>
      </c>
      <c r="AT715" s="61" t="n">
        <v>0</v>
      </c>
      <c r="AU715" s="61" t="str">
        <f aca="false">SUBSTITUTE(SUBSTITUTE(SUBSTITUTE(SUBSTITUTE(SUBSTITUTE(SUBSTITUTE(SUBSTITUTE(SUBSTITUTE(SUBSTITUTE(SUBSTITUTE(SUBSTITUTE(SUBSTITUTE(SUBSTITUTE(SUBSTITUTE(SUBSTITUTE(SUBSTITUTE(LOWER(T715&amp;""),CHAR(10),""),CHAR(13),""),CHAR(9),""),CHAR(160),"")," ",""),".",""),"-",""),"/",""),"?",""),"_",""),",",""),"[",""),"]",""),"(",""),")",""),"*","")</f>
        <v/>
      </c>
      <c r="AV715" s="61" t="str">
        <f aca="false">SUBSTITUTE(SUBSTITUTE(SUBSTITUTE(SUBSTITUTE(SUBSTITUTE(SUBSTITUTE(SUBSTITUTE(SUBSTITUTE(SUBSTITUTE(SUBSTITUTE(SUBSTITUTE(SUBSTITUTE(SUBSTITUTE(SUBSTITUTE(SUBSTITUTE(SUBSTITUTE(LOWER(V715&amp;""),CHAR(10),""),CHAR(13),""),CHAR(9),""),CHAR(160),"")," ",""),".",""),"-",""),"/",""),"?",""),"_",""),",",""),"[",""),"]",""),"(",""),")",""),"*","")</f>
        <v/>
      </c>
      <c r="AW715" s="61" t="str">
        <f aca="false">SUBSTITUTE(SUBSTITUTE(SUBSTITUTE(SUBSTITUTE(SUBSTITUTE(SUBSTITUTE(SUBSTITUTE(SUBSTITUTE(SUBSTITUTE(SUBSTITUTE(SUBSTITUTE(SUBSTITUTE(SUBSTITUTE(SUBSTITUTE(SUBSTITUTE(SUBSTITUTE(LOWER(Z715&amp;""),CHAR(10),""),CHAR(13),""),CHAR(9),""),CHAR(160),"")," ",""),".",""),"-",""),"/",""),"?",""),"_",""),",",""),"[",""),"]",""),"(",""),")",""),"*","")</f>
        <v/>
      </c>
      <c r="AX715" s="61" t="str">
        <f aca="false">SUBSTITUTE(SUBSTITUTE(SUBSTITUTE(SUBSTITUTE(SUBSTITUTE(SUBSTITUTE(SUBSTITUTE(SUBSTITUTE(SUBSTITUTE(SUBSTITUTE(SUBSTITUTE(SUBSTITUTE(SUBSTITUTE(SUBSTITUTE(SUBSTITUTE(SUBSTITUTE(LOWER(AE715&amp;""),CHAR(10),""),CHAR(13),""),CHAR(9),""),CHAR(160),"")," ",""),".",""),"-",""),"/",""),"?",""),"_",""),",",""),"[",""),"]",""),"(",""),")",""),"*","")</f>
        <v/>
      </c>
      <c r="AY715" s="61" t="str">
        <f aca="false">SUBSTITUTE(SUBSTITUTE(SUBSTITUTE(SUBSTITUTE(SUBSTITUTE(SUBSTITUTE(SUBSTITUTE(SUBSTITUTE(SUBSTITUTE(SUBSTITUTE(SUBSTITUTE(SUBSTITUTE(SUBSTITUTE(SUBSTITUTE(SUBSTITUTE(SUBSTITUTE(LOWER(W715&amp;""),CHAR(10),""),CHAR(13),""),CHAR(9),""),CHAR(160),"")," ",""),".",""),"-",""),"/",""),"?",""),"_",""),",",""),"[",""),"]",""),"(",""),")",""),"*","")</f>
        <v/>
      </c>
      <c r="AZ715" s="61" t="str">
        <f aca="false">SUBSTITUTE(SUBSTITUTE(SUBSTITUTE(SUBSTITUTE(SUBSTITUTE(SUBSTITUTE(SUBSTITUTE(SUBSTITUTE(SUBSTITUTE(SUBSTITUTE(SUBSTITUTE(SUBSTITUTE(SUBSTITUTE(SUBSTITUTE(SUBSTITUTE(SUBSTITUTE(LOWER(AC715&amp;""),CHAR(10),""),CHAR(13),""),CHAR(9),""),CHAR(160),"")," ",""),".",""),"-",""),"/",""),"?",""),"_",""),",",""),"[",""),"]",""),"(",""),")",""),"*","")</f>
        <v/>
      </c>
      <c r="BA715" s="61" t="str">
        <f aca="false">SUBSTITUTE(SUBSTITUTE(SUBSTITUTE(SUBSTITUTE(SUBSTITUTE(SUBSTITUTE(SUBSTITUTE(SUBSTITUTE(SUBSTITUTE(SUBSTITUTE(SUBSTITUTE(SUBSTITUTE(SUBSTITUTE(SUBSTITUTE(SUBSTITUTE(SUBSTITUTE(LOWER(AA715&amp;""),CHAR(10),""),CHAR(13),""),CHAR(9),""),CHAR(160),"")," ",""),".",""),"-",""),"/",""),"?",""),"_",""),",",""),"[",""),"]",""),"(",""),")",""),"*","")</f>
        <v/>
      </c>
      <c r="BB715" s="61" t="str">
        <f aca="false">IF(AND(TRIM(U715)="Pass",ISNUMBER(AF715)),IF(AF715&lt;&gt;0,"INVALID – qty variance: use Fail or Pass after CA",""),"")&amp;IF(AND(TRIM(U715)="Pass after CA",ISNUMBER(AF715)),IF(AF715&lt;&gt;0,"INVALID – after the corrective action the actual qty must equal expected (update Actual)",""),"")&amp;IF(AND(TRIM(U715)="Pass",TRIM(AB715)&lt;&gt;"",TRIM(AB715)&lt;&gt;"Closed"),"INVALID – corrective action not closed: use Fail, then Pass after CA","")&amp;IF(AND(LEN(BA715)&gt;=2,ISNA(MATCH(LEFT(BA715,255),L_Placeholder,0)),TRIM(AB715)=""),"INVALID – CA status missing for the recorded corrective action","")&amp;IF(AND(TRIM(U715)="Pass after CA",OR(OR(LEN(BA715)&lt;5,ISNUMBER(MATCH(BA715,L_Placeholder,0))),TRIM(AB715)&lt;&gt;"Closed")),"INVALID – corrective action not recorded/closed","")</f>
        <v/>
      </c>
      <c r="BC715" s="61" t="str">
        <f aca="false">" "&amp;TRIM(SUBSTITUTE(SUBSTITUTE(SUBSTITUTE(SUBSTITUTE(SUBSTITUTE(SUBSTITUTE(SUBSTITUTE(SUBSTITUTE(SUBSTITUTE(SUBSTITUTE(SUBSTITUTE(SUBSTITUTE(SUBSTITUTE(SUBSTITUTE(SUBSTITUTE(SUBSTITUTE(SUBSTITUTE(SUBSTITUTE(SUBSTITUTE(SUBSTITUTE(SUBSTITUTE(SUBSTITUTE(SUBSTITUTE(SUBSTITUTE(LOWER(V715&amp;""),CHAR(10)," "),CHAR(13)," "),CHAR(9)," "),CHAR(160)," "),"."," "),","," "),"-"," "),"/"," "),"("," "),")"," "),":"," "),";"," "),"_"," "),"–"," "),"?"," "),"!"," "),"*"," "),"["," "),"]"," "),"'"," "),"#"," "),"+"," "),"&amp;"," "),"\"," "))&amp;" "</f>
        <v>  </v>
      </c>
      <c r="BD715" s="61" t="str">
        <f aca="false">" "&amp;TRIM(SUBSTITUTE(SUBSTITUTE(SUBSTITUTE(SUBSTITUTE(SUBSTITUTE(SUBSTITUTE(SUBSTITUTE(SUBSTITUTE(SUBSTITUTE(SUBSTITUTE(SUBSTITUTE(SUBSTITUTE(SUBSTITUTE(SUBSTITUTE(SUBSTITUTE(SUBSTITUTE(SUBSTITUTE(SUBSTITUTE(SUBSTITUTE(SUBSTITUTE(SUBSTITUTE(SUBSTITUTE(SUBSTITUTE(SUBSTITUTE(LOWER(Z715&amp;""),CHAR(10)," "),CHAR(13)," "),CHAR(9)," "),CHAR(160)," "),"."," "),","," "),"-"," "),"/"," "),"("," "),")"," "),":"," "),";"," "),"_"," "),"–"," "),"?"," "),"!"," "),"*"," "),"["," "),"]"," "),"'"," "),"#"," "),"+"," "),"&amp;"," "),"\"," "))&amp;" "</f>
        <v>  </v>
      </c>
      <c r="BE715" s="61" t="str">
        <f aca="false">" "&amp;TRIM(SUBSTITUTE(SUBSTITUTE(SUBSTITUTE(SUBSTITUTE(SUBSTITUTE(SUBSTITUTE(SUBSTITUTE(SUBSTITUTE(SUBSTITUTE(SUBSTITUTE(SUBSTITUTE(SUBSTITUTE(SUBSTITUTE(SUBSTITUTE(SUBSTITUTE(SUBSTITUTE(SUBSTITUTE(SUBSTITUTE(SUBSTITUTE(SUBSTITUTE(SUBSTITUTE(SUBSTITUTE(SUBSTITUTE(SUBSTITUTE(LOWER(W715&amp;""),CHAR(10)," "),CHAR(13)," "),CHAR(9)," "),CHAR(160)," "),"."," "),","," "),"-"," "),"/"," "),"("," "),")"," "),":"," "),";"," "),"_"," "),"–"," "),"?"," "),"!"," "),"*"," "),"["," "),"]"," "),"'"," "),"#"," "),"+"," "),"&amp;"," "),"\"," "))&amp;" "</f>
        <v>  </v>
      </c>
      <c r="BF715" s="61" t="str">
        <f aca="false">" "&amp;TRIM(SUBSTITUTE(SUBSTITUTE(SUBSTITUTE(SUBSTITUTE(SUBSTITUTE(SUBSTITUTE(SUBSTITUTE(SUBSTITUTE(SUBSTITUTE(SUBSTITUTE(SUBSTITUTE(SUBSTITUTE(SUBSTITUTE(SUBSTITUTE(SUBSTITUTE(SUBSTITUTE(SUBSTITUTE(SUBSTITUTE(SUBSTITUTE(SUBSTITUTE(SUBSTITUTE(SUBSTITUTE(SUBSTITUTE(SUBSTITUTE(LOWER(AC715&amp;""),CHAR(10)," "),CHAR(13)," "),CHAR(9)," "),CHAR(160)," "),"."," "),","," "),"-"," "),"/"," "),"("," "),")"," "),":"," "),";"," "),"_"," "),"–"," "),"?"," "),"!"," "),"*"," "),"["," "),"]"," "),"'"," "),"#"," "),"+"," "),"&amp;"," "),"\"," "))&amp;" "</f>
        <v>  </v>
      </c>
      <c r="BG715" s="61" t="n">
        <f aca="false">IFERROR(IF(AND(TRIM(U715)="Pass",SUMPRODUCT((LEN(BC715)-LEN(SUBSTITUTE(BC715," "&amp;L_ResultBad&amp;" "," ")))/(LEN(L_ResultBad)+1))&gt;SUMPRODUCT((LEN(BC715)-LEN(SUBSTITUTE(BC715," "&amp;L_NegPhrase&amp;" "," ")))/(LEN(L_NegPhrase)+1))),1,0),0)</f>
        <v>0</v>
      </c>
      <c r="BH715" s="61" t="n">
        <f aca="false">IFERROR(IF(SUMPRODUCT((LEN(BC715)-LEN(SUBSTITUTE(BC715," "&amp;L_Pending&amp;" "," ")))/(LEN(L_Pending)+1))&gt;SUMPRODUCT((LEN(BC715)-LEN(SUBSTITUTE(BC715," "&amp;L_PendNeg&amp;" "," ")))/(LEN(L_PendNeg)+1))+SUMPRODUCT((LEN(BC715)-LEN(SUBSTITUTE(BC715," "&amp;L_PendPrep&amp;" "," ")))/(LEN(L_PendPrep)+1)),1,0),1)</f>
        <v>0</v>
      </c>
      <c r="BI715" s="61" t="n">
        <f aca="false">IFERROR(IF(SUMPRODUCT((LEN(BD715)-LEN(SUBSTITUTE(BD715," "&amp;L_PendStrict&amp;" "," ")))/(LEN(L_PendStrict)+1))&gt;SUMPRODUCT((LEN(BD715)-LEN(SUBSTITUTE(BD715," "&amp;L_PendNeg&amp;" "," ")))/(LEN(L_PendNeg)+1)),1,0),1)</f>
        <v>0</v>
      </c>
      <c r="BJ715" s="61" t="n">
        <f aca="false">IFERROR(IF(SUMPRODUCT((LEN(BE715)-LEN(SUBSTITUTE(BE715," "&amp;L_Pending&amp;" "," ")))/(LEN(L_Pending)+1))&gt;SUMPRODUCT((LEN(BE715)-LEN(SUBSTITUTE(BE715," "&amp;L_PendNeg&amp;" "," ")))/(LEN(L_PendNeg)+1))+SUMPRODUCT((LEN(BE715)-LEN(SUBSTITUTE(BE715," "&amp;L_PendPrep&amp;" "," ")))/(LEN(L_PendPrep)+1)),1,0),1)</f>
        <v>0</v>
      </c>
      <c r="BK715" s="61" t="n">
        <f aca="false">IFERROR(IF(SUMPRODUCT((LEN(BF715)-LEN(SUBSTITUTE(BF715," "&amp;L_PendStrict&amp;" "," ")))/(LEN(L_PendStrict)+1))&gt;SUMPRODUCT((LEN(BF715)-LEN(SUBSTITUTE(BF715," "&amp;L_PendNeg&amp;" "," ")))/(LEN(L_PendNeg)+1)),1,0),1)</f>
        <v>0</v>
      </c>
      <c r="BL715" s="61" t="n">
        <f aca="false">IF(ISNA(MATCH(TRIM(S715),L_EvidenceType,0)),0,BZ715)</f>
        <v>0</v>
      </c>
      <c r="BM715" s="61" t="str">
        <f aca="false">SUBSTITUTE(SUBSTITUTE(SUBSTITUTE(SUBSTITUTE(SUBSTITUTE(SUBSTITUTE(SUBSTITUTE(SUBSTITUTE(SUBSTITUTE(LOWER(Z715&amp;""),"1","0"),"2","0"),"3","0"),"4","0"),"5","0"),"6","0"),"7","0"),"8","0"),"9","0")</f>
        <v/>
      </c>
      <c r="BN715" s="61" t="str">
        <f aca="false">SUBSTITUTE(SUBSTITUTE(SUBSTITUTE(SUBSTITUTE(SUBSTITUTE(SUBSTITUTE(SUBSTITUTE(SUBSTITUTE(SUBSTITUTE(SUBSTITUTE(SUBSTITUTE(SUBSTITUTE(SUBSTITUTE(SUBSTITUTE(SUBSTITUTE(SUBSTITUTE(SUBSTITUTE(SUBSTITUTE(SUBSTITUTE(SUBSTITUTE(SUBSTITUTE(SUBSTITUTE(SUBSTITUTE(SUBSTITUTE(SUBSTITUTE(BM715,"b","a"),"c","a"),"d","a"),"e","a"),"f","a"),"g","a"),"h","a"),"i","a"),"j","a"),"k","a"),"l","a"),"m","a"),"n","a"),"o","a"),"p","a"),"q","a"),"r","a"),"s","a"),"t","a"),"u","a"),"v","a"),"w","a"),"x","a"),"y","a"),"z","a")</f>
        <v/>
      </c>
      <c r="BO715" s="61" t="str">
        <f aca="false">SUBSTITUTE(SUBSTITUTE(SUBSTITUTE(SUBSTITUTE(SUBSTITUTE(SUBSTITUTE(SUBSTITUTE(SUBSTITUTE(SUBSTITUTE(LOWER(W715&amp;""),"1","0"),"2","0"),"3","0"),"4","0"),"5","0"),"6","0"),"7","0"),"8","0"),"9","0")</f>
        <v/>
      </c>
      <c r="BP715" s="61" t="str">
        <f aca="false">SUBSTITUTE(SUBSTITUTE(SUBSTITUTE(SUBSTITUTE(SUBSTITUTE(SUBSTITUTE(SUBSTITUTE(SUBSTITUTE(SUBSTITUTE(SUBSTITUTE(SUBSTITUTE(SUBSTITUTE(SUBSTITUTE(SUBSTITUTE(SUBSTITUTE(SUBSTITUTE(SUBSTITUTE(SUBSTITUTE(SUBSTITUTE(SUBSTITUTE(SUBSTITUTE(SUBSTITUTE(SUBSTITUTE(SUBSTITUTE(SUBSTITUTE(BO715,"b","a"),"c","a"),"d","a"),"e","a"),"f","a"),"g","a"),"h","a"),"i","a"),"j","a"),"k","a"),"l","a"),"m","a"),"n","a"),"o","a"),"p","a"),"q","a"),"r","a"),"s","a"),"t","a"),"u","a"),"v","a"),"w","a"),"x","a"),"y","a"),"z","a")</f>
        <v/>
      </c>
      <c r="BQ715" s="61" t="n">
        <f aca="false">IFERROR(IF(AND(ISERROR(SEARCH(" mh"," "&amp;LOWER(W715))),ISNA(MATCH(LEFT(TRIM(BP715),255),{"0000a","000a","00a","0000aa","000aa","00aa","0aa","0000aaa","000aaa","00a00","0a00","0000-0000","00:00","a00","a0","00.00.0000","00/00/0000","00-00-0000","0000-00-00","0000/00/00","0000.00.00","00.00.00","00/00/00","00-00-00","0.00.0000","0/00/0000","0-00-0000"},0)),ISNA(MATCH(LEFT(TRIM(CA715),255),{"0000a","000a","00a","0000aa","000aa","00aa","0aa","0000aaa","000aaa","00a00","0a00","0000-0000","00:00","a00","a0","00.00.0000","00/00/0000","00-00-0000","0000-00-00","0000/00/00","0000.00.00","00.00.00","00/00/00","00-00-00","0.00.0000","0/00/0000","0-00-0000"},0)),LEN(CB715)&gt;=3,NOT(OR(SUBSTITUTE(CB715,"0","")="",AND(LEN(CB715)&gt;=4,CB715=REPT(LEFT(CB715),LEN(CB715))),ISNUMBER(MATCH(CB715,{"123","1234","12345","123456","1234567","12345678","0123","01234","012345","98765","987654","54321"},0)),AND(LEN(CB715)=8,LEFT(CB715,3)="202"))),OR(AND((LEN(CA715)-LEN(SUBSTITUTE(CA715,"a","")))&gt;=1,SUMPRODUCT(--ISNUMBER(SEARCH({"a0","a-0","a_0","a/0","a.0","a#0","0a","0-a","0_a","0/a"},BP715)))&gt;0),ISNUMBER(SEARCH("000000",BP715)))),1,0),0)</f>
        <v>0</v>
      </c>
      <c r="BR715" s="61" t="n">
        <f aca="false">IFERROR(LEN(SUBSTITUTE(CC715," ",""))-SUMPRODUCT((LEN(CC715)-LEN(SUBSTITUTE(CC715," "&amp;L_Role&amp;" "," ")))/(LEN(L_Role)+1)*LEN(L_Role)),0)</f>
        <v>0</v>
      </c>
      <c r="BS715" s="61" t="n">
        <f aca="false">IFERROR(LEN(SUBSTITUTE(CD715," ",""))-SUMPRODUCT((LEN(CD715)-LEN(SUBSTITUTE(CD715," "&amp;L_Role&amp;" "," ")))/(LEN(L_Role)+1)*LEN(L_Role)),0)</f>
        <v>0</v>
      </c>
      <c r="BT7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715,"revision",""),"version",""),"jan",""),"feb",""),"mar",""),"apr",""),"may",""),"jun",""),"jul",""),"aug",""),"sep",""),"oct",""),"nov",""),"dec",""),"utc",""),"gmt",""),"myt",""),"bst",""),"rev",""),"ver",""),"b","a"),"c","a"),"d","a"),"e","a"),"f","a"),"g","a"),"h","a"),"i","a"),"j","a"),"k","a"),"l","a"),"m","a"),"n","a"),"o","a"),"p","a"),"q","a"),"r","a"),"s","a"),"t","a"),"u","a"),"v","a"),"w","a"),"x","a"),"y","a"),"z","a")</f>
        <v/>
      </c>
      <c r="BU715" s="61" t="str">
        <f aca="false">SUBSTITUTE(SUBSTITUTE(SUBSTITUTE(SUBSTITUTE(SUBSTITUTE(SUBSTITUTE(SUBSTITUTE(SUBSTITUTE(SUBSTITUTE(SUBSTITUTE(LEFT(BM715,FIND("0",BM715&amp;"0")-1),"-",""),"_",""),"/",""),".",""),"#",""),"\\",""),":","")," ",""),"(",""),")","")</f>
        <v/>
      </c>
      <c r="BV715" s="61" t="n">
        <f aca="false">0</f>
        <v>0</v>
      </c>
      <c r="BW71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715&amp;""),"a",""),"b",""),"c",""),"d",""),"e",""),"f",""),"g",""),"h",""),"i",""),"j",""),"k",""),"l",""),"m",""),"n",""),"o",""),"p",""),"q",""),"r",""),"s",""),"t",""),"u",""),"v",""),"w",""),"x",""),"y",""),"z",""),"-",""),"_",""),"/",""),".",""),"#",""),"\\",""),":","")," ",""),"(",""),")","")</f>
        <v/>
      </c>
      <c r="BX715" s="61" t="str">
        <f aca="false">SUBSTITUTE(SUBSTITUTE(SUBSTITUTE(SUBSTITUTE(SUBSTITUTE(SUBSTITUTE(SUBSTITUTE(SUBSTITUTE(SUBSTITUTE(SUBSTITUTE(SUBSTITUTE(BM715,"0",""),"-",""),"_",""),"/",""),".",""),"#",""),"\\",""),":","")," ",""),"(",""),")","")</f>
        <v/>
      </c>
      <c r="BY715" s="62" t="n">
        <f aca="false">Q715-T12EarlyH/24</f>
        <v>46324.6388888889</v>
      </c>
      <c r="BZ715" s="61" t="n">
        <f aca="false">IFERROR(IF(IF(TRIM(S715)="Link / file path",AND(LEN(TRIM(Z715))&gt;=5,SUMPRODUCT(--ISNUMBER(SEARCH({"http","www.","\\",":\",".pdf",".jpg",".jpeg",".png",".heic",".xls",".doc",".msg",".eml",".ppt",".txt",".zip"},Z715)))&gt;0),AND(ISERROR(FIND(" ",TRIM(Z715))),NOT(OR(SUMPRODUCT(--ISNUMBER(FIND({",",";","&amp;","+"},Z715)))&gt;0,SUMPRODUCT(--ISNUMBER(SEARCH({"0/aa","0\\aa"},BN715)))&gt;0)),NOT(SUMPRODUCT(--ISNUMBER(SEARCH({"http","www.","\\",":\",".pdf",".jpg",".jpeg",".png",".heic",".xls",".doc",".msg",".eml",".ppt",".txt",".zip"},Z715)))&gt;0),NOT(LOWER(TRIM(Z715))=LOWER(Flights!$F$26)),ISNA(MATCH(BU715,{"mh","rev","revision","ver","version","v","r","a","b","seat","tray","row","gate","bay","stand","page","pg","item","line","no","cart","galley","flight","flt","table","box","bag","oven","etd","eta","std","sta","atd","ata","qty","pax","x","time","tel","ph","mob","day","wk","week","utc","gmt","myt","lt"},0)),NOT(OR(ISNUMBER(MATCH(LEFT(BN715,255),{"0000a","000a","00a","0000aa","000aa","00aa","0aa","0000aaa","000aaa","00a00","0a00","0000-0000","00:00","a00","a0","00.00.0000","00/00/0000","00-00-0000","0000-00-00","0000/00/00","0000.00.00","00.00.00","00/00/00","00-00-00","0.00.0000","0/00/0000","0-00-0000"},0)),ISNUMBER(MATCH(LEFT(BT715,255),{"0000a","000a","00a","0000aa","000aa","00aa","0aa","0000aaa","000aaa","00a00","0a00","0000-0000","00:00","a00","a0","00.00.0000","00/00/0000","00-00-0000","0000-00-00","0000/00/00","0000.00.00","00.00.00","00/00/00","00-00-00","0.00.0000","0/00/0000","0-00-0000"},0)))),NOT(OR(AND(BW715&lt;&gt;"",SUBSTITUTE(BW715,"0","")=""),AND(LEN(BW715)&gt;=4,BW715=REPT(LEFT(BW715),LEN(BW715))),ISNUMBER(MATCH(BW715,{"123","1234","12345","123456","1234567","12345678","0123","01234","012345","98765","987654","54321"},0)),ISNUMBER(MATCH(BX715,{"x","xx","xxx","xxxx","xxxxx","abc","abcd","nil","na","nan","test","tbc","tba","tbd","dummy","sample","example","eg","zz","zzz","none","null","xyz","qwe","asd","id","ref"},0)),AND(LEN(BW715)=8,BX715="",OR(LEFT(BW715,3)="202",ISNUMBER(MATCH(RIGHT(BW715,4),{"2025","2026","2027"},0)))))),OR(AND((LEN(BT715)-LEN(SUBSTITUTE(BT715,"a","")))&gt;=1,(LEN(BN715)-LEN(SUBSTITUTE(BN715,"0","")))&gt;=2,SUMPRODUCT(--ISNUMBER(SEARCH({"a0","a-0","a_0","a/0","a.0","a#0","0a","0-a","0_a","0/a"},BN715)))&gt;0),AND((LEN(BN715)-LEN(SUBSTITUTE(BN715,"a","")))=0,(LEN(BN715)-LEN(SUBSTITUTE(BN715,"0","")))&gt;=5)))),1,0),0)</f>
        <v>0</v>
      </c>
      <c r="CA7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715,"revision",""),"version",""),"jan",""),"feb",""),"mar",""),"apr",""),"may",""),"jun",""),"jul",""),"aug",""),"sep",""),"oct",""),"nov",""),"dec",""),"utc",""),"gmt",""),"myt",""),"bst",""),"rev",""),"ver",""),"b","a"),"c","a"),"d","a"),"e","a"),"f","a"),"g","a"),"h","a"),"i","a"),"j","a"),"k","a"),"l","a"),"m","a"),"n","a"),"o","a"),"p","a"),"q","a"),"r","a"),"s","a"),"t","a"),"u","a"),"v","a"),"w","a"),"x","a"),"y","a"),"z","a")</f>
        <v/>
      </c>
      <c r="CB7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715&amp;""),"a",""),"b",""),"c",""),"d",""),"e",""),"f",""),"g",""),"h",""),"i",""),"j",""),"k",""),"l",""),"m",""),"n",""),"o",""),"p",""),"q",""),"r",""),"s",""),"t",""),"u",""),"v",""),"w",""),"x",""),"y",""),"z",""),"-",""),"_",""),"/",""),".",""),"#",""),"\\",""),":","")," ",""),"(",""),")","")</f>
        <v/>
      </c>
      <c r="CC715" s="0" t="str">
        <f aca="false">" "&amp;TRIM(SUBSTITUTE(SUBSTITUTE(SUBSTITUTE(SUBSTITUTE(SUBSTITUTE(SUBSTITUTE(SUBSTITUTE(SUBSTITUTE(SUBSTITUTE(SUBSTITUTE(SUBSTITUTE(SUBSTITUTE(SUBSTITUTE(SUBSTITUTE(SUBSTITUTE(SUBSTITUTE(SUBSTITUTE(SUBSTITUTE(SUBSTITUTE(SUBSTITUTE(SUBSTITUTE(SUBSTITUTE(SUBSTITUTE(SUBSTITUTE(LOWER(T715&amp;""),CHAR(10)," "),CHAR(13)," "),CHAR(9)," "),CHAR(160)," "),"."," "),","," "),"-"," "),"/"," "),"("," "),")"," "),":"," "),";"," "),"_"," "),"–"," "),"?"," "),"!"," "),"*"," "),"["," "),"]"," "),"'"," "),"#"," "),"+"," "),"&amp;"," "),"\"," "))&amp;" "</f>
        <v>  </v>
      </c>
      <c r="CD715" s="0" t="str">
        <f aca="false">" "&amp;TRIM(SUBSTITUTE(SUBSTITUTE(SUBSTITUTE(SUBSTITUTE(SUBSTITUTE(SUBSTITUTE(SUBSTITUTE(SUBSTITUTE(SUBSTITUTE(SUBSTITUTE(SUBSTITUTE(SUBSTITUTE(SUBSTITUTE(SUBSTITUTE(SUBSTITUTE(SUBSTITUTE(SUBSTITUTE(SUBSTITUTE(SUBSTITUTE(SUBSTITUTE(SUBSTITUTE(SUBSTITUTE(SUBSTITUTE(SUBSTITUTE(LOWER(AE715&amp;""),CHAR(10)," "),CHAR(13)," "),CHAR(9)," "),CHAR(160)," "),"."," "),","," "),"-"," "),"/"," "),"("," "),")"," "),":"," "),";"," "),"_"," "),"–"," "),"?"," "),"!"," "),"*"," "),"["," "),"]"," "),"'"," "),"#"," "),"+"," "),"&amp;"," "),"\"," "))&amp;" "</f>
        <v>  </v>
      </c>
      <c r="CE715" s="68" t="n">
        <f aca="false">IFERROR(IF(AND(LEN(AU715)&gt;0,LEN(AU715)=LEN(AX715),OR(TRIM(MID(SUBSTITUTE(TRIM(CC715)," ",REPT(" ",60)),1,60))="",ISNUMBER(SEARCH(" "&amp;TRIM(MID(SUBSTITUTE(TRIM(CC715)," ",REPT(" ",60)),1,60))&amp;" ",CD715))),OR(TRIM(MID(SUBSTITUTE(TRIM(CC715)," ",REPT(" ",60)),61,60))="",ISNUMBER(SEARCH(" "&amp;TRIM(MID(SUBSTITUTE(TRIM(CC715)," ",REPT(" ",60)),61,60))&amp;" ",CD715))),OR(TRIM(MID(SUBSTITUTE(TRIM(CC715)," ",REPT(" ",60)),121,60))="",ISNUMBER(SEARCH(" "&amp;TRIM(MID(SUBSTITUTE(TRIM(CC715)," ",REPT(" ",60)),121,60))&amp;" ",CD715)))),1,0),0)</f>
        <v>0</v>
      </c>
      <c r="CG715" s="68" t="n">
        <f aca="false">IFERROR(LEN(SUBSTITUTE(BF715," ",""))-SUMPRODUCT((LEN(BF715)-LEN(SUBSTITUTE(BF715," "&amp;L_NAFiller&amp;" "," ")))/(LEN(L_NAFiller)+1)*LEN(L_NAFiller)),0)</f>
        <v>0</v>
      </c>
    </row>
    <row r="716" customFormat="false" ht="39.75" hidden="false" customHeight="true" outlineLevel="0" collapsed="false">
      <c r="A716" s="57" t="s">
        <v>1450</v>
      </c>
      <c r="B716" s="57" t="s">
        <v>312</v>
      </c>
      <c r="C716" s="57" t="str">
        <f aca="false">Flights!$F$26</f>
        <v>MH0002</v>
      </c>
      <c r="D716" s="58" t="n">
        <f aca="false">Flights!$D$26</f>
        <v>46325</v>
      </c>
      <c r="E716" s="57" t="str">
        <f aca="false">Flights!$G$26&amp;"-"&amp;Flights!$H$26</f>
        <v>KUL-LHR</v>
      </c>
      <c r="F716" s="57" t="str">
        <f aca="false">Flights!$K$26</f>
        <v>BC</v>
      </c>
      <c r="G716" s="57" t="s">
        <v>420</v>
      </c>
      <c r="H716" s="57" t="s">
        <v>378</v>
      </c>
      <c r="I716" s="57" t="s">
        <v>428</v>
      </c>
      <c r="J716" s="57" t="s">
        <v>433</v>
      </c>
      <c r="K716" s="67"/>
      <c r="L716" s="67" t="s">
        <v>422</v>
      </c>
      <c r="M716" s="67"/>
      <c r="N716" s="67" t="s">
        <v>383</v>
      </c>
      <c r="O716" s="67" t="s">
        <v>423</v>
      </c>
      <c r="P716" s="57" t="s">
        <v>187</v>
      </c>
      <c r="Q716" s="59" t="n">
        <f aca="false">ROUND((Flights!$AE$26)*1440,0)/1440</f>
        <v>46325.1388888889</v>
      </c>
      <c r="R716" s="59" t="n">
        <f aca="false">Q716+(IF(AND(INDEX(TZ_DSTS,MATCH(P716,TZ_STN,0))&lt;&gt;"",Q716&gt;=INDEX(TZ_DSTS,MATCH(P716,TZ_STN,0)),Q716&lt;INDEX(TZ_DSTE,MATCH(P716,TZ_STN,0))),INDEX(TZ_DST,MATCH(P716,TZ_STN,0)),INDEX(TZ_STD,MATCH(P716,TZ_STN,0))))/24</f>
        <v>46325.4722222222</v>
      </c>
      <c r="S716" s="60"/>
      <c r="T716" s="60"/>
      <c r="U716" s="60"/>
      <c r="V716" s="60"/>
      <c r="W716" s="61"/>
      <c r="X716" s="60"/>
      <c r="Y716" s="60"/>
      <c r="Z716" s="60"/>
      <c r="AA716" s="60"/>
      <c r="AB716" s="60"/>
      <c r="AC716" s="60"/>
      <c r="AD716" s="66"/>
      <c r="AE716" s="60"/>
      <c r="AF716" s="61" t="str">
        <f aca="false">IF(AND(ISNUMBER(X716),ISNUMBER(Y716)),Y716-X716,"")</f>
        <v/>
      </c>
      <c r="AG716" s="62" t="str">
        <f aca="false">IF(ISNUMBER(AD716),AD716-(IF(AND(INDEX(TZ_DSTS,MATCH(P716,TZ_STN,0))&lt;&gt;"",(AD716-INDEX(TZ_STD,MATCH(P716,TZ_STN,0))/24)&gt;=INDEX(TZ_DSTS,MATCH(P716,TZ_STN,0)),(AD716-INDEX(TZ_STD,MATCH(P716,TZ_STN,0))/24)&lt;INDEX(TZ_DSTE,MATCH(P716,TZ_STN,0))),INDEX(TZ_DST,MATCH(P716,TZ_STN,0)),INDEX(TZ_STD,MATCH(P716,TZ_STN,0))))/24,"")</f>
        <v/>
      </c>
      <c r="AH716" s="65" t="str">
        <f aca="false">IFERROR(IF(N716="N/A – rule",IF(OR(TRIM(U716)="",TRIM(U716)="N/A",TRIM(U716)="Not started"),"N/A – RULE","INVALID – this check does not apply to this aircraft: clear the status (or correct the fleet on Flights)"),IF(TRIM(U716)="N/A",IF(AT716=0,"INVALID – N/A not permitted for this check",IF(AND(TRIM(AB716)&lt;&gt;"",TRIM(AB716)&lt;&gt;"Closed"),"INVALID – corrective action still open",IF(AND(NOT(OR(LEN(AZ716)&lt;15,ISNUMBER(MATCH(AZ716,L_Placeholder,0)))),BK716=0,CG716&gt;=8,NOT(OR(LEN(AU716)&lt;2,ISNUMBER(MATCH(AU716,L_Placeholder,0)))),BR716&gt;=3,NOT(OR(LEN(AX716)&lt;2,ISNUMBER(MATCH(AX716,L_Placeholder,0)))),BS716&gt;=3,TRIM(AE716)&lt;&gt;TRIM(T716),AX716&lt;&gt;AU716,CE716=0),"N/A – JUSTIFIED","INVALID – N/A needs a real, settled reason (not 'not applicable' / 'as above' / TBC), a named PIC and a different named verifier"))),IF(OR(TRIM(U716)="Pass",TRIM(U716)="Pass after CA"),IF(NOT(ISNUMBER(AD716)),"INVALID – completion time missing",IF(OR(OR(LEN(AU716)&lt;2,ISNUMBER(MATCH(AU716,L_Placeholder,0))),BR716&lt;3),"INVALID – PIC missing or not a named person (a role such as QA / CSM is not a name)",IF(OR(LEN(AV716)&lt;2,ISNUMBER(MATCH(AV716,L_Placeholder,0))),"INVALID – result / assessment missing",IF(OR(OR(LEN(AW716)&lt;3,ISNUMBER(MATCH(AW716,L_Placeholder,0))),SUMPRODUCT(--ISNUMBER(SEARCH(" "&amp;L_EvidencePhrase&amp;" ",BD716)))&gt;0,BI716=1),"INVALID – evidence missing, placeholder or not yet on file",IF(ISNA(MATCH(TRIM(S716),L_EvidenceType,0)),"INVALID – choose the evidence type from the list (column S)",IF(BL716=0,"INVALID – evidence ID must be the record's own ID only (e.g. SF-2210, IMG_2231, 1045521); a link / file name needs type 'Link / file path'",IF(OR(OR(LEN(AX716)&lt;2,ISNUMBER(MATCH(AX716,L_Placeholder,0))),BS716&lt;3),"INVALID – verifier missing or not a named person (a role such as QA / CSM is not a name)",IF(OR(AX716=AU716,CE716=1,AND(LEN(AU716)&gt;=4,ISNUMBER(SEARCH(AU716,AX716))),AND(LEN(AX716)&gt;=4,ISNUMBER(SEARCH(AX716,AU716)))),"INVALID – verifier must be a different, named person (not the PIC or a role)",IF(BH716=1,"INVALID – result not yet available (awaiting / TBC)",IF(BG716=1,"INVALID – result describes a problem: record Fail, then Pass after CA (or reword if it is not a problem)",IF(BV716=1,"INVALID – wording says not on board: an on-board confirmation needs the item loaded",IF(AND(AQ716=1,OR(OR(LEN(AY716)&lt;3,ISNUMBER(MATCH(AY716,L_Placeholder,0))),BJ716=1,BQ716=0)),"INVALID – batch ID missing, placeholder or not an ID (e.g. PASB-261008-BC-017)",IF(AND(AR716=1,OR(NOT(ISNUMBER(X716)),NOT(ISNUMBER(Y716)))),"INVALID – expected/actual qty missing",IF(AND(AR716=1,OR(X716&lt;=0,Y716&lt;0)),"INVALID – expected qty must be above 0 and actual not negative",IF(BB716&lt;&gt;"",BB716,IF(AND(AS716=1,Documents!$J$26&lt;&gt;"ON FILE"),"INVALID – GLD not on file (Documents sheet)",IF(AND(AS716=2,Documents!$O$26&lt;&gt;"ON FILE"),"INVALID – menu checklist not on file (Documents sheet)",IF(AND(AS716=3,NOT(ISNUMBER(Flights!$AX$26))),"INVALID – enter carrying flight KUL departure (Flights AX)",IF(AND(AS716=3,OR(Flights!$AZ$26&gt;Flights!$AA$26,Flights!$AX$26&lt;Flights!$AA$26-3)),"INVALID – carrying flight (Flights AX) cannot arrive before this leg's STD, or is over 3 days early",IF(AG716&gt;AsOfUTC,"INVALID – completion time is in the future",IF(AND(ISNUMBER(BY716),AG716&lt;BY716),IF(H716="Physical uplift","INVALID – before uplift window (cannot confirm loading)","INVALID – before valid window"),IF(AG716&gt;Flights!$AA$26,"INVALID – completed after departure (cannot establish readiness)",IF(AND(H716="Preparation",AG716&gt;=IF(ISNUMBER(Flights!$BA$26),MIN(Flights!$BA$26,Flights!$AA$26),Flights!$AA$26)),"INVALID – completed after loading / departure (cannot establish readiness)",IF(AND(H716="Physical uplift",AG716&gt;Q716),"INVALID – recorded after the loading flight departed",IF(AG716&gt;Q716,"COMPLETE – LATE","COMPLETE"))))))))))))))))))))))))),IF(TRIM(U716)="Fail","FAIL – DISCREPANCY",IF(AND(TRIM(U716)&lt;&gt;"",TRIM(U716)&lt;&gt;"Not started",TRIM(U716)&lt;&gt;"In progress"),"INVALID – unrecognised status (use the list)",IF(AsOfUTC&gt;Q716,"OVERDUE",IF(N716="Clarification required","OPEN – CLARIFICATION","OPEN"))))))),"INVALID – error value in an input cell")</f>
        <v>OPEN</v>
      </c>
      <c r="AI716" s="61" t="n">
        <f aca="false">IF(OR(AH716="N/A – RULE",AH716="N/A – JUSTIFIED"),0,1)</f>
        <v>1</v>
      </c>
      <c r="AJ716" s="61" t="n">
        <f aca="false">IF(LEFT(AH716,8)="COMPLETE",1,0)</f>
        <v>0</v>
      </c>
      <c r="AK716" s="61" t="n">
        <f aca="false">IF(AND(AI716=1,AJ716=0,AsOfUTC&gt;Q716),1,0)</f>
        <v>0</v>
      </c>
      <c r="AL716" s="61" t="n">
        <f aca="false">IFERROR(IF(AND(AI716=1,OR(TRIM(U716)="Fail",AND(TRIM(AB716)&lt;&gt;"",TRIM(AB716)&lt;&gt;"Closed"),AND(ISNUMBER(AF716),AF716&lt;&gt;0,TRIM(U716)&lt;&gt;"Pass after CA"))),1,0),1)</f>
        <v>0</v>
      </c>
      <c r="AM716" s="61" t="n">
        <f aca="false">IF(LEFT(AH716,7)="INVALID",1,0)</f>
        <v>0</v>
      </c>
      <c r="AN716" s="61" t="n">
        <f aca="false">IF(AND(N716="Clarification required",AI716=1,AJ716=0),1,0)</f>
        <v>0</v>
      </c>
      <c r="AO716" s="61" t="str">
        <f aca="false">IF(AK716=1,SUM(AK$5:AK716),"")</f>
        <v/>
      </c>
      <c r="AP716" s="61" t="str">
        <f aca="false">IF(AL716=1,SUM(AL$5:AL716),"")</f>
        <v/>
      </c>
      <c r="AQ716" s="61" t="n">
        <v>0</v>
      </c>
      <c r="AR716" s="61" t="n">
        <v>0</v>
      </c>
      <c r="AS716" s="61" t="n">
        <v>0</v>
      </c>
      <c r="AT716" s="61" t="n">
        <v>0</v>
      </c>
      <c r="AU716" s="61" t="str">
        <f aca="false">SUBSTITUTE(SUBSTITUTE(SUBSTITUTE(SUBSTITUTE(SUBSTITUTE(SUBSTITUTE(SUBSTITUTE(SUBSTITUTE(SUBSTITUTE(SUBSTITUTE(SUBSTITUTE(SUBSTITUTE(SUBSTITUTE(SUBSTITUTE(SUBSTITUTE(SUBSTITUTE(LOWER(T716&amp;""),CHAR(10),""),CHAR(13),""),CHAR(9),""),CHAR(160),"")," ",""),".",""),"-",""),"/",""),"?",""),"_",""),",",""),"[",""),"]",""),"(",""),")",""),"*","")</f>
        <v/>
      </c>
      <c r="AV716" s="61" t="str">
        <f aca="false">SUBSTITUTE(SUBSTITUTE(SUBSTITUTE(SUBSTITUTE(SUBSTITUTE(SUBSTITUTE(SUBSTITUTE(SUBSTITUTE(SUBSTITUTE(SUBSTITUTE(SUBSTITUTE(SUBSTITUTE(SUBSTITUTE(SUBSTITUTE(SUBSTITUTE(SUBSTITUTE(LOWER(V716&amp;""),CHAR(10),""),CHAR(13),""),CHAR(9),""),CHAR(160),"")," ",""),".",""),"-",""),"/",""),"?",""),"_",""),",",""),"[",""),"]",""),"(",""),")",""),"*","")</f>
        <v/>
      </c>
      <c r="AW716" s="61" t="str">
        <f aca="false">SUBSTITUTE(SUBSTITUTE(SUBSTITUTE(SUBSTITUTE(SUBSTITUTE(SUBSTITUTE(SUBSTITUTE(SUBSTITUTE(SUBSTITUTE(SUBSTITUTE(SUBSTITUTE(SUBSTITUTE(SUBSTITUTE(SUBSTITUTE(SUBSTITUTE(SUBSTITUTE(LOWER(Z716&amp;""),CHAR(10),""),CHAR(13),""),CHAR(9),""),CHAR(160),"")," ",""),".",""),"-",""),"/",""),"?",""),"_",""),",",""),"[",""),"]",""),"(",""),")",""),"*","")</f>
        <v/>
      </c>
      <c r="AX716" s="61" t="str">
        <f aca="false">SUBSTITUTE(SUBSTITUTE(SUBSTITUTE(SUBSTITUTE(SUBSTITUTE(SUBSTITUTE(SUBSTITUTE(SUBSTITUTE(SUBSTITUTE(SUBSTITUTE(SUBSTITUTE(SUBSTITUTE(SUBSTITUTE(SUBSTITUTE(SUBSTITUTE(SUBSTITUTE(LOWER(AE716&amp;""),CHAR(10),""),CHAR(13),""),CHAR(9),""),CHAR(160),"")," ",""),".",""),"-",""),"/",""),"?",""),"_",""),",",""),"[",""),"]",""),"(",""),")",""),"*","")</f>
        <v/>
      </c>
      <c r="AY716" s="61" t="str">
        <f aca="false">SUBSTITUTE(SUBSTITUTE(SUBSTITUTE(SUBSTITUTE(SUBSTITUTE(SUBSTITUTE(SUBSTITUTE(SUBSTITUTE(SUBSTITUTE(SUBSTITUTE(SUBSTITUTE(SUBSTITUTE(SUBSTITUTE(SUBSTITUTE(SUBSTITUTE(SUBSTITUTE(LOWER(W716&amp;""),CHAR(10),""),CHAR(13),""),CHAR(9),""),CHAR(160),"")," ",""),".",""),"-",""),"/",""),"?",""),"_",""),",",""),"[",""),"]",""),"(",""),")",""),"*","")</f>
        <v/>
      </c>
      <c r="AZ716" s="61" t="str">
        <f aca="false">SUBSTITUTE(SUBSTITUTE(SUBSTITUTE(SUBSTITUTE(SUBSTITUTE(SUBSTITUTE(SUBSTITUTE(SUBSTITUTE(SUBSTITUTE(SUBSTITUTE(SUBSTITUTE(SUBSTITUTE(SUBSTITUTE(SUBSTITUTE(SUBSTITUTE(SUBSTITUTE(LOWER(AC716&amp;""),CHAR(10),""),CHAR(13),""),CHAR(9),""),CHAR(160),"")," ",""),".",""),"-",""),"/",""),"?",""),"_",""),",",""),"[",""),"]",""),"(",""),")",""),"*","")</f>
        <v/>
      </c>
      <c r="BA716" s="61" t="str">
        <f aca="false">SUBSTITUTE(SUBSTITUTE(SUBSTITUTE(SUBSTITUTE(SUBSTITUTE(SUBSTITUTE(SUBSTITUTE(SUBSTITUTE(SUBSTITUTE(SUBSTITUTE(SUBSTITUTE(SUBSTITUTE(SUBSTITUTE(SUBSTITUTE(SUBSTITUTE(SUBSTITUTE(LOWER(AA716&amp;""),CHAR(10),""),CHAR(13),""),CHAR(9),""),CHAR(160),"")," ",""),".",""),"-",""),"/",""),"?",""),"_",""),",",""),"[",""),"]",""),"(",""),")",""),"*","")</f>
        <v/>
      </c>
      <c r="BB716" s="61" t="str">
        <f aca="false">IF(AND(TRIM(U716)="Pass",ISNUMBER(AF716)),IF(AF716&lt;&gt;0,"INVALID – qty variance: use Fail or Pass after CA",""),"")&amp;IF(AND(TRIM(U716)="Pass after CA",ISNUMBER(AF716)),IF(AF716&lt;&gt;0,"INVALID – after the corrective action the actual qty must equal expected (update Actual)",""),"")&amp;IF(AND(TRIM(U716)="Pass",TRIM(AB716)&lt;&gt;"",TRIM(AB716)&lt;&gt;"Closed"),"INVALID – corrective action not closed: use Fail, then Pass after CA","")&amp;IF(AND(LEN(BA716)&gt;=2,ISNA(MATCH(LEFT(BA716,255),L_Placeholder,0)),TRIM(AB716)=""),"INVALID – CA status missing for the recorded corrective action","")&amp;IF(AND(TRIM(U716)="Pass after CA",OR(OR(LEN(BA716)&lt;5,ISNUMBER(MATCH(BA716,L_Placeholder,0))),TRIM(AB716)&lt;&gt;"Closed")),"INVALID – corrective action not recorded/closed","")</f>
        <v/>
      </c>
      <c r="BC716" s="61" t="str">
        <f aca="false">" "&amp;TRIM(SUBSTITUTE(SUBSTITUTE(SUBSTITUTE(SUBSTITUTE(SUBSTITUTE(SUBSTITUTE(SUBSTITUTE(SUBSTITUTE(SUBSTITUTE(SUBSTITUTE(SUBSTITUTE(SUBSTITUTE(SUBSTITUTE(SUBSTITUTE(SUBSTITUTE(SUBSTITUTE(SUBSTITUTE(SUBSTITUTE(SUBSTITUTE(SUBSTITUTE(SUBSTITUTE(SUBSTITUTE(SUBSTITUTE(SUBSTITUTE(LOWER(V716&amp;""),CHAR(10)," "),CHAR(13)," "),CHAR(9)," "),CHAR(160)," "),"."," "),","," "),"-"," "),"/"," "),"("," "),")"," "),":"," "),";"," "),"_"," "),"–"," "),"?"," "),"!"," "),"*"," "),"["," "),"]"," "),"'"," "),"#"," "),"+"," "),"&amp;"," "),"\"," "))&amp;" "</f>
        <v>  </v>
      </c>
      <c r="BD716" s="61" t="str">
        <f aca="false">" "&amp;TRIM(SUBSTITUTE(SUBSTITUTE(SUBSTITUTE(SUBSTITUTE(SUBSTITUTE(SUBSTITUTE(SUBSTITUTE(SUBSTITUTE(SUBSTITUTE(SUBSTITUTE(SUBSTITUTE(SUBSTITUTE(SUBSTITUTE(SUBSTITUTE(SUBSTITUTE(SUBSTITUTE(SUBSTITUTE(SUBSTITUTE(SUBSTITUTE(SUBSTITUTE(SUBSTITUTE(SUBSTITUTE(SUBSTITUTE(SUBSTITUTE(LOWER(Z716&amp;""),CHAR(10)," "),CHAR(13)," "),CHAR(9)," "),CHAR(160)," "),"."," "),","," "),"-"," "),"/"," "),"("," "),")"," "),":"," "),";"," "),"_"," "),"–"," "),"?"," "),"!"," "),"*"," "),"["," "),"]"," "),"'"," "),"#"," "),"+"," "),"&amp;"," "),"\"," "))&amp;" "</f>
        <v>  </v>
      </c>
      <c r="BE716" s="61" t="str">
        <f aca="false">" "&amp;TRIM(SUBSTITUTE(SUBSTITUTE(SUBSTITUTE(SUBSTITUTE(SUBSTITUTE(SUBSTITUTE(SUBSTITUTE(SUBSTITUTE(SUBSTITUTE(SUBSTITUTE(SUBSTITUTE(SUBSTITUTE(SUBSTITUTE(SUBSTITUTE(SUBSTITUTE(SUBSTITUTE(SUBSTITUTE(SUBSTITUTE(SUBSTITUTE(SUBSTITUTE(SUBSTITUTE(SUBSTITUTE(SUBSTITUTE(SUBSTITUTE(LOWER(W716&amp;""),CHAR(10)," "),CHAR(13)," "),CHAR(9)," "),CHAR(160)," "),"."," "),","," "),"-"," "),"/"," "),"("," "),")"," "),":"," "),";"," "),"_"," "),"–"," "),"?"," "),"!"," "),"*"," "),"["," "),"]"," "),"'"," "),"#"," "),"+"," "),"&amp;"," "),"\"," "))&amp;" "</f>
        <v>  </v>
      </c>
      <c r="BF716" s="61" t="str">
        <f aca="false">" "&amp;TRIM(SUBSTITUTE(SUBSTITUTE(SUBSTITUTE(SUBSTITUTE(SUBSTITUTE(SUBSTITUTE(SUBSTITUTE(SUBSTITUTE(SUBSTITUTE(SUBSTITUTE(SUBSTITUTE(SUBSTITUTE(SUBSTITUTE(SUBSTITUTE(SUBSTITUTE(SUBSTITUTE(SUBSTITUTE(SUBSTITUTE(SUBSTITUTE(SUBSTITUTE(SUBSTITUTE(SUBSTITUTE(SUBSTITUTE(SUBSTITUTE(LOWER(AC716&amp;""),CHAR(10)," "),CHAR(13)," "),CHAR(9)," "),CHAR(160)," "),"."," "),","," "),"-"," "),"/"," "),"("," "),")"," "),":"," "),";"," "),"_"," "),"–"," "),"?"," "),"!"," "),"*"," "),"["," "),"]"," "),"'"," "),"#"," "),"+"," "),"&amp;"," "),"\"," "))&amp;" "</f>
        <v>  </v>
      </c>
      <c r="BG716" s="61" t="n">
        <f aca="false">IFERROR(IF(AND(TRIM(U716)="Pass",SUMPRODUCT((LEN(BC716)-LEN(SUBSTITUTE(BC716," "&amp;L_ResultBad&amp;" "," ")))/(LEN(L_ResultBad)+1))&gt;SUMPRODUCT((LEN(BC716)-LEN(SUBSTITUTE(BC716," "&amp;L_NegPhrase&amp;" "," ")))/(LEN(L_NegPhrase)+1))),1,0),0)</f>
        <v>0</v>
      </c>
      <c r="BH716" s="61" t="n">
        <f aca="false">IFERROR(IF(SUMPRODUCT((LEN(BC716)-LEN(SUBSTITUTE(BC716," "&amp;L_Pending&amp;" "," ")))/(LEN(L_Pending)+1))&gt;SUMPRODUCT((LEN(BC716)-LEN(SUBSTITUTE(BC716," "&amp;L_PendNeg&amp;" "," ")))/(LEN(L_PendNeg)+1))+SUMPRODUCT((LEN(BC716)-LEN(SUBSTITUTE(BC716," "&amp;L_PendPrep&amp;" "," ")))/(LEN(L_PendPrep)+1)),1,0),1)</f>
        <v>0</v>
      </c>
      <c r="BI716" s="61" t="n">
        <f aca="false">IFERROR(IF(SUMPRODUCT((LEN(BD716)-LEN(SUBSTITUTE(BD716," "&amp;L_PendStrict&amp;" "," ")))/(LEN(L_PendStrict)+1))&gt;SUMPRODUCT((LEN(BD716)-LEN(SUBSTITUTE(BD716," "&amp;L_PendNeg&amp;" "," ")))/(LEN(L_PendNeg)+1)),1,0),1)</f>
        <v>0</v>
      </c>
      <c r="BJ716" s="61" t="n">
        <f aca="false">IFERROR(IF(SUMPRODUCT((LEN(BE716)-LEN(SUBSTITUTE(BE716," "&amp;L_Pending&amp;" "," ")))/(LEN(L_Pending)+1))&gt;SUMPRODUCT((LEN(BE716)-LEN(SUBSTITUTE(BE716," "&amp;L_PendNeg&amp;" "," ")))/(LEN(L_PendNeg)+1))+SUMPRODUCT((LEN(BE716)-LEN(SUBSTITUTE(BE716," "&amp;L_PendPrep&amp;" "," ")))/(LEN(L_PendPrep)+1)),1,0),1)</f>
        <v>0</v>
      </c>
      <c r="BK716" s="61" t="n">
        <f aca="false">IFERROR(IF(SUMPRODUCT((LEN(BF716)-LEN(SUBSTITUTE(BF716," "&amp;L_PendStrict&amp;" "," ")))/(LEN(L_PendStrict)+1))&gt;SUMPRODUCT((LEN(BF716)-LEN(SUBSTITUTE(BF716," "&amp;L_PendNeg&amp;" "," ")))/(LEN(L_PendNeg)+1)),1,0),1)</f>
        <v>0</v>
      </c>
      <c r="BL716" s="61" t="n">
        <f aca="false">IF(ISNA(MATCH(TRIM(S716),L_EvidenceType,0)),0,BZ716)</f>
        <v>0</v>
      </c>
      <c r="BM716" s="61" t="str">
        <f aca="false">SUBSTITUTE(SUBSTITUTE(SUBSTITUTE(SUBSTITUTE(SUBSTITUTE(SUBSTITUTE(SUBSTITUTE(SUBSTITUTE(SUBSTITUTE(LOWER(Z716&amp;""),"1","0"),"2","0"),"3","0"),"4","0"),"5","0"),"6","0"),"7","0"),"8","0"),"9","0")</f>
        <v/>
      </c>
      <c r="BN716" s="61" t="str">
        <f aca="false">SUBSTITUTE(SUBSTITUTE(SUBSTITUTE(SUBSTITUTE(SUBSTITUTE(SUBSTITUTE(SUBSTITUTE(SUBSTITUTE(SUBSTITUTE(SUBSTITUTE(SUBSTITUTE(SUBSTITUTE(SUBSTITUTE(SUBSTITUTE(SUBSTITUTE(SUBSTITUTE(SUBSTITUTE(SUBSTITUTE(SUBSTITUTE(SUBSTITUTE(SUBSTITUTE(SUBSTITUTE(SUBSTITUTE(SUBSTITUTE(SUBSTITUTE(BM716,"b","a"),"c","a"),"d","a"),"e","a"),"f","a"),"g","a"),"h","a"),"i","a"),"j","a"),"k","a"),"l","a"),"m","a"),"n","a"),"o","a"),"p","a"),"q","a"),"r","a"),"s","a"),"t","a"),"u","a"),"v","a"),"w","a"),"x","a"),"y","a"),"z","a")</f>
        <v/>
      </c>
      <c r="BO716" s="61" t="str">
        <f aca="false">SUBSTITUTE(SUBSTITUTE(SUBSTITUTE(SUBSTITUTE(SUBSTITUTE(SUBSTITUTE(SUBSTITUTE(SUBSTITUTE(SUBSTITUTE(LOWER(W716&amp;""),"1","0"),"2","0"),"3","0"),"4","0"),"5","0"),"6","0"),"7","0"),"8","0"),"9","0")</f>
        <v/>
      </c>
      <c r="BP716" s="61" t="str">
        <f aca="false">SUBSTITUTE(SUBSTITUTE(SUBSTITUTE(SUBSTITUTE(SUBSTITUTE(SUBSTITUTE(SUBSTITUTE(SUBSTITUTE(SUBSTITUTE(SUBSTITUTE(SUBSTITUTE(SUBSTITUTE(SUBSTITUTE(SUBSTITUTE(SUBSTITUTE(SUBSTITUTE(SUBSTITUTE(SUBSTITUTE(SUBSTITUTE(SUBSTITUTE(SUBSTITUTE(SUBSTITUTE(SUBSTITUTE(SUBSTITUTE(SUBSTITUTE(BO716,"b","a"),"c","a"),"d","a"),"e","a"),"f","a"),"g","a"),"h","a"),"i","a"),"j","a"),"k","a"),"l","a"),"m","a"),"n","a"),"o","a"),"p","a"),"q","a"),"r","a"),"s","a"),"t","a"),"u","a"),"v","a"),"w","a"),"x","a"),"y","a"),"z","a")</f>
        <v/>
      </c>
      <c r="BQ716" s="61" t="n">
        <f aca="false">IFERROR(IF(AND(ISERROR(SEARCH(" mh"," "&amp;LOWER(W716))),ISNA(MATCH(LEFT(TRIM(BP716),255),{"0000a","000a","00a","0000aa","000aa","00aa","0aa","0000aaa","000aaa","00a00","0a00","0000-0000","00:00","a00","a0","00.00.0000","00/00/0000","00-00-0000","0000-00-00","0000/00/00","0000.00.00","00.00.00","00/00/00","00-00-00","0.00.0000","0/00/0000","0-00-0000"},0)),ISNA(MATCH(LEFT(TRIM(CA716),255),{"0000a","000a","00a","0000aa","000aa","00aa","0aa","0000aaa","000aaa","00a00","0a00","0000-0000","00:00","a00","a0","00.00.0000","00/00/0000","00-00-0000","0000-00-00","0000/00/00","0000.00.00","00.00.00","00/00/00","00-00-00","0.00.0000","0/00/0000","0-00-0000"},0)),LEN(CB716)&gt;=3,NOT(OR(SUBSTITUTE(CB716,"0","")="",AND(LEN(CB716)&gt;=4,CB716=REPT(LEFT(CB716),LEN(CB716))),ISNUMBER(MATCH(CB716,{"123","1234","12345","123456","1234567","12345678","0123","01234","012345","98765","987654","54321"},0)),AND(LEN(CB716)=8,LEFT(CB716,3)="202"))),OR(AND((LEN(CA716)-LEN(SUBSTITUTE(CA716,"a","")))&gt;=1,SUMPRODUCT(--ISNUMBER(SEARCH({"a0","a-0","a_0","a/0","a.0","a#0","0a","0-a","0_a","0/a"},BP716)))&gt;0),ISNUMBER(SEARCH("000000",BP716)))),1,0),0)</f>
        <v>0</v>
      </c>
      <c r="BR716" s="61" t="n">
        <f aca="false">IFERROR(LEN(SUBSTITUTE(CC716," ",""))-SUMPRODUCT((LEN(CC716)-LEN(SUBSTITUTE(CC716," "&amp;L_Role&amp;" "," ")))/(LEN(L_Role)+1)*LEN(L_Role)),0)</f>
        <v>0</v>
      </c>
      <c r="BS716" s="61" t="n">
        <f aca="false">IFERROR(LEN(SUBSTITUTE(CD716," ",""))-SUMPRODUCT((LEN(CD716)-LEN(SUBSTITUTE(CD716," "&amp;L_Role&amp;" "," ")))/(LEN(L_Role)+1)*LEN(L_Role)),0)</f>
        <v>0</v>
      </c>
      <c r="BT7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716,"revision",""),"version",""),"jan",""),"feb",""),"mar",""),"apr",""),"may",""),"jun",""),"jul",""),"aug",""),"sep",""),"oct",""),"nov",""),"dec",""),"utc",""),"gmt",""),"myt",""),"bst",""),"rev",""),"ver",""),"b","a"),"c","a"),"d","a"),"e","a"),"f","a"),"g","a"),"h","a"),"i","a"),"j","a"),"k","a"),"l","a"),"m","a"),"n","a"),"o","a"),"p","a"),"q","a"),"r","a"),"s","a"),"t","a"),"u","a"),"v","a"),"w","a"),"x","a"),"y","a"),"z","a")</f>
        <v/>
      </c>
      <c r="BU716" s="61" t="str">
        <f aca="false">SUBSTITUTE(SUBSTITUTE(SUBSTITUTE(SUBSTITUTE(SUBSTITUTE(SUBSTITUTE(SUBSTITUTE(SUBSTITUTE(SUBSTITUTE(SUBSTITUTE(LEFT(BM716,FIND("0",BM716&amp;"0")-1),"-",""),"_",""),"/",""),".",""),"#",""),"\\",""),":","")," ",""),"(",""),")","")</f>
        <v/>
      </c>
      <c r="BV716" s="61" t="n">
        <f aca="false">0</f>
        <v>0</v>
      </c>
      <c r="BW71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716&amp;""),"a",""),"b",""),"c",""),"d",""),"e",""),"f",""),"g",""),"h",""),"i",""),"j",""),"k",""),"l",""),"m",""),"n",""),"o",""),"p",""),"q",""),"r",""),"s",""),"t",""),"u",""),"v",""),"w",""),"x",""),"y",""),"z",""),"-",""),"_",""),"/",""),".",""),"#",""),"\\",""),":","")," ",""),"(",""),")","")</f>
        <v/>
      </c>
      <c r="BX716" s="61" t="str">
        <f aca="false">SUBSTITUTE(SUBSTITUTE(SUBSTITUTE(SUBSTITUTE(SUBSTITUTE(SUBSTITUTE(SUBSTITUTE(SUBSTITUTE(SUBSTITUTE(SUBSTITUTE(SUBSTITUTE(BM716,"0",""),"-",""),"_",""),"/",""),".",""),"#",""),"\\",""),":","")," ",""),"(",""),")","")</f>
        <v/>
      </c>
      <c r="BY716" s="62" t="n">
        <f aca="false">Q716-T12EarlyH/24</f>
        <v>46324.6388888889</v>
      </c>
      <c r="BZ716" s="61" t="n">
        <f aca="false">IFERROR(IF(IF(TRIM(S716)="Link / file path",AND(LEN(TRIM(Z716))&gt;=5,SUMPRODUCT(--ISNUMBER(SEARCH({"http","www.","\\",":\",".pdf",".jpg",".jpeg",".png",".heic",".xls",".doc",".msg",".eml",".ppt",".txt",".zip"},Z716)))&gt;0),AND(ISERROR(FIND(" ",TRIM(Z716))),NOT(OR(SUMPRODUCT(--ISNUMBER(FIND({",",";","&amp;","+"},Z716)))&gt;0,SUMPRODUCT(--ISNUMBER(SEARCH({"0/aa","0\\aa"},BN716)))&gt;0)),NOT(SUMPRODUCT(--ISNUMBER(SEARCH({"http","www.","\\",":\",".pdf",".jpg",".jpeg",".png",".heic",".xls",".doc",".msg",".eml",".ppt",".txt",".zip"},Z716)))&gt;0),NOT(LOWER(TRIM(Z716))=LOWER(Flights!$F$26)),ISNA(MATCH(BU716,{"mh","rev","revision","ver","version","v","r","a","b","seat","tray","row","gate","bay","stand","page","pg","item","line","no","cart","galley","flight","flt","table","box","bag","oven","etd","eta","std","sta","atd","ata","qty","pax","x","time","tel","ph","mob","day","wk","week","utc","gmt","myt","lt"},0)),NOT(OR(ISNUMBER(MATCH(LEFT(BN716,255),{"0000a","000a","00a","0000aa","000aa","00aa","0aa","0000aaa","000aaa","00a00","0a00","0000-0000","00:00","a00","a0","00.00.0000","00/00/0000","00-00-0000","0000-00-00","0000/00/00","0000.00.00","00.00.00","00/00/00","00-00-00","0.00.0000","0/00/0000","0-00-0000"},0)),ISNUMBER(MATCH(LEFT(BT716,255),{"0000a","000a","00a","0000aa","000aa","00aa","0aa","0000aaa","000aaa","00a00","0a00","0000-0000","00:00","a00","a0","00.00.0000","00/00/0000","00-00-0000","0000-00-00","0000/00/00","0000.00.00","00.00.00","00/00/00","00-00-00","0.00.0000","0/00/0000","0-00-0000"},0)))),NOT(OR(AND(BW716&lt;&gt;"",SUBSTITUTE(BW716,"0","")=""),AND(LEN(BW716)&gt;=4,BW716=REPT(LEFT(BW716),LEN(BW716))),ISNUMBER(MATCH(BW716,{"123","1234","12345","123456","1234567","12345678","0123","01234","012345","98765","987654","54321"},0)),ISNUMBER(MATCH(BX716,{"x","xx","xxx","xxxx","xxxxx","abc","abcd","nil","na","nan","test","tbc","tba","tbd","dummy","sample","example","eg","zz","zzz","none","null","xyz","qwe","asd","id","ref"},0)),AND(LEN(BW716)=8,BX716="",OR(LEFT(BW716,3)="202",ISNUMBER(MATCH(RIGHT(BW716,4),{"2025","2026","2027"},0)))))),OR(AND((LEN(BT716)-LEN(SUBSTITUTE(BT716,"a","")))&gt;=1,(LEN(BN716)-LEN(SUBSTITUTE(BN716,"0","")))&gt;=2,SUMPRODUCT(--ISNUMBER(SEARCH({"a0","a-0","a_0","a/0","a.0","a#0","0a","0-a","0_a","0/a"},BN716)))&gt;0),AND((LEN(BN716)-LEN(SUBSTITUTE(BN716,"a","")))=0,(LEN(BN716)-LEN(SUBSTITUTE(BN716,"0","")))&gt;=5)))),1,0),0)</f>
        <v>0</v>
      </c>
      <c r="CA7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716,"revision",""),"version",""),"jan",""),"feb",""),"mar",""),"apr",""),"may",""),"jun",""),"jul",""),"aug",""),"sep",""),"oct",""),"nov",""),"dec",""),"utc",""),"gmt",""),"myt",""),"bst",""),"rev",""),"ver",""),"b","a"),"c","a"),"d","a"),"e","a"),"f","a"),"g","a"),"h","a"),"i","a"),"j","a"),"k","a"),"l","a"),"m","a"),"n","a"),"o","a"),"p","a"),"q","a"),"r","a"),"s","a"),"t","a"),"u","a"),"v","a"),"w","a"),"x","a"),"y","a"),"z","a")</f>
        <v/>
      </c>
      <c r="CB7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716&amp;""),"a",""),"b",""),"c",""),"d",""),"e",""),"f",""),"g",""),"h",""),"i",""),"j",""),"k",""),"l",""),"m",""),"n",""),"o",""),"p",""),"q",""),"r",""),"s",""),"t",""),"u",""),"v",""),"w",""),"x",""),"y",""),"z",""),"-",""),"_",""),"/",""),".",""),"#",""),"\\",""),":","")," ",""),"(",""),")","")</f>
        <v/>
      </c>
      <c r="CC716" s="0" t="str">
        <f aca="false">" "&amp;TRIM(SUBSTITUTE(SUBSTITUTE(SUBSTITUTE(SUBSTITUTE(SUBSTITUTE(SUBSTITUTE(SUBSTITUTE(SUBSTITUTE(SUBSTITUTE(SUBSTITUTE(SUBSTITUTE(SUBSTITUTE(SUBSTITUTE(SUBSTITUTE(SUBSTITUTE(SUBSTITUTE(SUBSTITUTE(SUBSTITUTE(SUBSTITUTE(SUBSTITUTE(SUBSTITUTE(SUBSTITUTE(SUBSTITUTE(SUBSTITUTE(LOWER(T716&amp;""),CHAR(10)," "),CHAR(13)," "),CHAR(9)," "),CHAR(160)," "),"."," "),","," "),"-"," "),"/"," "),"("," "),")"," "),":"," "),";"," "),"_"," "),"–"," "),"?"," "),"!"," "),"*"," "),"["," "),"]"," "),"'"," "),"#"," "),"+"," "),"&amp;"," "),"\"," "))&amp;" "</f>
        <v>  </v>
      </c>
      <c r="CD716" s="0" t="str">
        <f aca="false">" "&amp;TRIM(SUBSTITUTE(SUBSTITUTE(SUBSTITUTE(SUBSTITUTE(SUBSTITUTE(SUBSTITUTE(SUBSTITUTE(SUBSTITUTE(SUBSTITUTE(SUBSTITUTE(SUBSTITUTE(SUBSTITUTE(SUBSTITUTE(SUBSTITUTE(SUBSTITUTE(SUBSTITUTE(SUBSTITUTE(SUBSTITUTE(SUBSTITUTE(SUBSTITUTE(SUBSTITUTE(SUBSTITUTE(SUBSTITUTE(SUBSTITUTE(LOWER(AE716&amp;""),CHAR(10)," "),CHAR(13)," "),CHAR(9)," "),CHAR(160)," "),"."," "),","," "),"-"," "),"/"," "),"("," "),")"," "),":"," "),";"," "),"_"," "),"–"," "),"?"," "),"!"," "),"*"," "),"["," "),"]"," "),"'"," "),"#"," "),"+"," "),"&amp;"," "),"\"," "))&amp;" "</f>
        <v>  </v>
      </c>
      <c r="CE716" s="68" t="n">
        <f aca="false">IFERROR(IF(AND(LEN(AU716)&gt;0,LEN(AU716)=LEN(AX716),OR(TRIM(MID(SUBSTITUTE(TRIM(CC716)," ",REPT(" ",60)),1,60))="",ISNUMBER(SEARCH(" "&amp;TRIM(MID(SUBSTITUTE(TRIM(CC716)," ",REPT(" ",60)),1,60))&amp;" ",CD716))),OR(TRIM(MID(SUBSTITUTE(TRIM(CC716)," ",REPT(" ",60)),61,60))="",ISNUMBER(SEARCH(" "&amp;TRIM(MID(SUBSTITUTE(TRIM(CC716)," ",REPT(" ",60)),61,60))&amp;" ",CD716))),OR(TRIM(MID(SUBSTITUTE(TRIM(CC716)," ",REPT(" ",60)),121,60))="",ISNUMBER(SEARCH(" "&amp;TRIM(MID(SUBSTITUTE(TRIM(CC716)," ",REPT(" ",60)),121,60))&amp;" ",CD716)))),1,0),0)</f>
        <v>0</v>
      </c>
      <c r="CG716" s="68" t="n">
        <f aca="false">IFERROR(LEN(SUBSTITUTE(BF716," ",""))-SUMPRODUCT((LEN(BF716)-LEN(SUBSTITUTE(BF716," "&amp;L_NAFiller&amp;" "," ")))/(LEN(L_NAFiller)+1)*LEN(L_NAFiller)),0)</f>
        <v>0</v>
      </c>
    </row>
    <row r="717" customFormat="false" ht="141" hidden="false" customHeight="true" outlineLevel="0" collapsed="false">
      <c r="A717" s="57" t="s">
        <v>1451</v>
      </c>
      <c r="B717" s="57" t="s">
        <v>312</v>
      </c>
      <c r="C717" s="57" t="str">
        <f aca="false">Flights!$F$26</f>
        <v>MH0002</v>
      </c>
      <c r="D717" s="58" t="n">
        <f aca="false">Flights!$D$26</f>
        <v>46325</v>
      </c>
      <c r="E717" s="57" t="str">
        <f aca="false">Flights!$G$26&amp;"-"&amp;Flights!$H$26</f>
        <v>KUL-LHR</v>
      </c>
      <c r="F717" s="57" t="str">
        <f aca="false">Flights!$K$26</f>
        <v>BC</v>
      </c>
      <c r="G717" s="57" t="s">
        <v>420</v>
      </c>
      <c r="H717" s="57" t="s">
        <v>378</v>
      </c>
      <c r="I717" s="57" t="s">
        <v>428</v>
      </c>
      <c r="J717" s="57" t="s">
        <v>435</v>
      </c>
      <c r="K717" s="67" t="s">
        <v>436</v>
      </c>
      <c r="L717" s="67" t="s">
        <v>422</v>
      </c>
      <c r="M717" s="67"/>
      <c r="N717" s="67" t="s">
        <v>383</v>
      </c>
      <c r="O717" s="67" t="s">
        <v>423</v>
      </c>
      <c r="P717" s="57" t="s">
        <v>187</v>
      </c>
      <c r="Q717" s="59" t="n">
        <f aca="false">ROUND((Flights!$AE$26)*1440,0)/1440</f>
        <v>46325.1388888889</v>
      </c>
      <c r="R717" s="59" t="n">
        <f aca="false">Q717+(IF(AND(INDEX(TZ_DSTS,MATCH(P717,TZ_STN,0))&lt;&gt;"",Q717&gt;=INDEX(TZ_DSTS,MATCH(P717,TZ_STN,0)),Q717&lt;INDEX(TZ_DSTE,MATCH(P717,TZ_STN,0))),INDEX(TZ_DST,MATCH(P717,TZ_STN,0)),INDEX(TZ_STD,MATCH(P717,TZ_STN,0))))/24</f>
        <v>46325.4722222222</v>
      </c>
      <c r="S717" s="60"/>
      <c r="T717" s="60"/>
      <c r="U717" s="60"/>
      <c r="V717" s="60"/>
      <c r="W717" s="61"/>
      <c r="X717" s="60"/>
      <c r="Y717" s="60"/>
      <c r="Z717" s="60"/>
      <c r="AA717" s="60"/>
      <c r="AB717" s="60"/>
      <c r="AC717" s="60"/>
      <c r="AD717" s="66"/>
      <c r="AE717" s="60"/>
      <c r="AF717" s="61" t="str">
        <f aca="false">IF(AND(ISNUMBER(X717),ISNUMBER(Y717)),Y717-X717,"")</f>
        <v/>
      </c>
      <c r="AG717" s="62" t="str">
        <f aca="false">IF(ISNUMBER(AD717),AD717-(IF(AND(INDEX(TZ_DSTS,MATCH(P717,TZ_STN,0))&lt;&gt;"",(AD717-INDEX(TZ_STD,MATCH(P717,TZ_STN,0))/24)&gt;=INDEX(TZ_DSTS,MATCH(P717,TZ_STN,0)),(AD717-INDEX(TZ_STD,MATCH(P717,TZ_STN,0))/24)&lt;INDEX(TZ_DSTE,MATCH(P717,TZ_STN,0))),INDEX(TZ_DST,MATCH(P717,TZ_STN,0)),INDEX(TZ_STD,MATCH(P717,TZ_STN,0))))/24,"")</f>
        <v/>
      </c>
      <c r="AH717" s="65" t="str">
        <f aca="false">IFERROR(IF(N717="N/A – rule",IF(OR(TRIM(U717)="",TRIM(U717)="N/A",TRIM(U717)="Not started"),"N/A – RULE","INVALID – this check does not apply to this aircraft: clear the status (or correct the fleet on Flights)"),IF(TRIM(U717)="N/A",IF(AT717=0,"INVALID – N/A not permitted for this check",IF(AND(TRIM(AB717)&lt;&gt;"",TRIM(AB717)&lt;&gt;"Closed"),"INVALID – corrective action still open",IF(AND(NOT(OR(LEN(AZ717)&lt;15,ISNUMBER(MATCH(AZ717,L_Placeholder,0)))),BK717=0,CG717&gt;=8,NOT(OR(LEN(AU717)&lt;2,ISNUMBER(MATCH(AU717,L_Placeholder,0)))),BR717&gt;=3,NOT(OR(LEN(AX717)&lt;2,ISNUMBER(MATCH(AX717,L_Placeholder,0)))),BS717&gt;=3,TRIM(AE717)&lt;&gt;TRIM(T717),AX717&lt;&gt;AU717,CE717=0),"N/A – JUSTIFIED","INVALID – N/A needs a real, settled reason (not 'not applicable' / 'as above' / TBC), a named PIC and a different named verifier"))),IF(OR(TRIM(U717)="Pass",TRIM(U717)="Pass after CA"),IF(NOT(ISNUMBER(AD717)),"INVALID – completion time missing",IF(OR(OR(LEN(AU717)&lt;2,ISNUMBER(MATCH(AU717,L_Placeholder,0))),BR717&lt;3),"INVALID – PIC missing or not a named person (a role such as QA / CSM is not a name)",IF(OR(LEN(AV717)&lt;2,ISNUMBER(MATCH(AV717,L_Placeholder,0))),"INVALID – result / assessment missing",IF(OR(OR(LEN(AW717)&lt;3,ISNUMBER(MATCH(AW717,L_Placeholder,0))),SUMPRODUCT(--ISNUMBER(SEARCH(" "&amp;L_EvidencePhrase&amp;" ",BD717)))&gt;0,BI717=1),"INVALID – evidence missing, placeholder or not yet on file",IF(ISNA(MATCH(TRIM(S717),L_EvidenceType,0)),"INVALID – choose the evidence type from the list (column S)",IF(BL717=0,"INVALID – evidence ID must be the record's own ID only (e.g. SF-2210, IMG_2231, 1045521); a link / file name needs type 'Link / file path'",IF(OR(OR(LEN(AX717)&lt;2,ISNUMBER(MATCH(AX717,L_Placeholder,0))),BS717&lt;3),"INVALID – verifier missing or not a named person (a role such as QA / CSM is not a name)",IF(OR(AX717=AU717,CE717=1,AND(LEN(AU717)&gt;=4,ISNUMBER(SEARCH(AU717,AX717))),AND(LEN(AX717)&gt;=4,ISNUMBER(SEARCH(AX717,AU717)))),"INVALID – verifier must be a different, named person (not the PIC or a role)",IF(BH717=1,"INVALID – result not yet available (awaiting / TBC)",IF(BG717=1,"INVALID – result describes a problem: record Fail, then Pass after CA (or reword if it is not a problem)",IF(BV717=1,"INVALID – wording says not on board: an on-board confirmation needs the item loaded",IF(AND(AQ717=1,OR(OR(LEN(AY717)&lt;3,ISNUMBER(MATCH(AY717,L_Placeholder,0))),BJ717=1,BQ717=0)),"INVALID – batch ID missing, placeholder or not an ID (e.g. PASB-261008-BC-017)",IF(AND(AR717=1,OR(NOT(ISNUMBER(X717)),NOT(ISNUMBER(Y717)))),"INVALID – expected/actual qty missing",IF(AND(AR717=1,OR(X717&lt;=0,Y717&lt;0)),"INVALID – expected qty must be above 0 and actual not negative",IF(BB717&lt;&gt;"",BB717,IF(AND(AS717=1,Documents!$J$26&lt;&gt;"ON FILE"),"INVALID – GLD not on file (Documents sheet)",IF(AND(AS717=2,Documents!$O$26&lt;&gt;"ON FILE"),"INVALID – menu checklist not on file (Documents sheet)",IF(AND(AS717=3,NOT(ISNUMBER(Flights!$AX$26))),"INVALID – enter carrying flight KUL departure (Flights AX)",IF(AND(AS717=3,OR(Flights!$AZ$26&gt;Flights!$AA$26,Flights!$AX$26&lt;Flights!$AA$26-3)),"INVALID – carrying flight (Flights AX) cannot arrive before this leg's STD, or is over 3 days early",IF(AG717&gt;AsOfUTC,"INVALID – completion time is in the future",IF(AND(ISNUMBER(BY717),AG717&lt;BY717),IF(H717="Physical uplift","INVALID – before uplift window (cannot confirm loading)","INVALID – before valid window"),IF(AG717&gt;Flights!$AA$26,"INVALID – completed after departure (cannot establish readiness)",IF(AND(H717="Preparation",AG717&gt;=IF(ISNUMBER(Flights!$BA$26),MIN(Flights!$BA$26,Flights!$AA$26),Flights!$AA$26)),"INVALID – completed after loading / departure (cannot establish readiness)",IF(AND(H717="Physical uplift",AG717&gt;Q717),"INVALID – recorded after the loading flight departed",IF(AG717&gt;Q717,"COMPLETE – LATE","COMPLETE"))))))))))))))))))))))))),IF(TRIM(U717)="Fail","FAIL – DISCREPANCY",IF(AND(TRIM(U717)&lt;&gt;"",TRIM(U717)&lt;&gt;"Not started",TRIM(U717)&lt;&gt;"In progress"),"INVALID – unrecognised status (use the list)",IF(AsOfUTC&gt;Q717,"OVERDUE",IF(N717="Clarification required","OPEN – CLARIFICATION","OPEN"))))))),"INVALID – error value in an input cell")</f>
        <v>OPEN</v>
      </c>
      <c r="AI717" s="61" t="n">
        <f aca="false">IF(OR(AH717="N/A – RULE",AH717="N/A – JUSTIFIED"),0,1)</f>
        <v>1</v>
      </c>
      <c r="AJ717" s="61" t="n">
        <f aca="false">IF(LEFT(AH717,8)="COMPLETE",1,0)</f>
        <v>0</v>
      </c>
      <c r="AK717" s="61" t="n">
        <f aca="false">IF(AND(AI717=1,AJ717=0,AsOfUTC&gt;Q717),1,0)</f>
        <v>0</v>
      </c>
      <c r="AL717" s="61" t="n">
        <f aca="false">IFERROR(IF(AND(AI717=1,OR(TRIM(U717)="Fail",AND(TRIM(AB717)&lt;&gt;"",TRIM(AB717)&lt;&gt;"Closed"),AND(ISNUMBER(AF717),AF717&lt;&gt;0,TRIM(U717)&lt;&gt;"Pass after CA"))),1,0),1)</f>
        <v>0</v>
      </c>
      <c r="AM717" s="61" t="n">
        <f aca="false">IF(LEFT(AH717,7)="INVALID",1,0)</f>
        <v>0</v>
      </c>
      <c r="AN717" s="61" t="n">
        <f aca="false">IF(AND(N717="Clarification required",AI717=1,AJ717=0),1,0)</f>
        <v>0</v>
      </c>
      <c r="AO717" s="61" t="str">
        <f aca="false">IF(AK717=1,SUM(AK$5:AK717),"")</f>
        <v/>
      </c>
      <c r="AP717" s="61" t="str">
        <f aca="false">IF(AL717=1,SUM(AL$5:AL717),"")</f>
        <v/>
      </c>
      <c r="AQ717" s="61" t="n">
        <v>0</v>
      </c>
      <c r="AR717" s="61" t="n">
        <v>1</v>
      </c>
      <c r="AS717" s="61" t="n">
        <v>0</v>
      </c>
      <c r="AT717" s="61" t="n">
        <v>0</v>
      </c>
      <c r="AU717" s="61" t="str">
        <f aca="false">SUBSTITUTE(SUBSTITUTE(SUBSTITUTE(SUBSTITUTE(SUBSTITUTE(SUBSTITUTE(SUBSTITUTE(SUBSTITUTE(SUBSTITUTE(SUBSTITUTE(SUBSTITUTE(SUBSTITUTE(SUBSTITUTE(SUBSTITUTE(SUBSTITUTE(SUBSTITUTE(LOWER(T717&amp;""),CHAR(10),""),CHAR(13),""),CHAR(9),""),CHAR(160),"")," ",""),".",""),"-",""),"/",""),"?",""),"_",""),",",""),"[",""),"]",""),"(",""),")",""),"*","")</f>
        <v/>
      </c>
      <c r="AV717" s="61" t="str">
        <f aca="false">SUBSTITUTE(SUBSTITUTE(SUBSTITUTE(SUBSTITUTE(SUBSTITUTE(SUBSTITUTE(SUBSTITUTE(SUBSTITUTE(SUBSTITUTE(SUBSTITUTE(SUBSTITUTE(SUBSTITUTE(SUBSTITUTE(SUBSTITUTE(SUBSTITUTE(SUBSTITUTE(LOWER(V717&amp;""),CHAR(10),""),CHAR(13),""),CHAR(9),""),CHAR(160),"")," ",""),".",""),"-",""),"/",""),"?",""),"_",""),",",""),"[",""),"]",""),"(",""),")",""),"*","")</f>
        <v/>
      </c>
      <c r="AW717" s="61" t="str">
        <f aca="false">SUBSTITUTE(SUBSTITUTE(SUBSTITUTE(SUBSTITUTE(SUBSTITUTE(SUBSTITUTE(SUBSTITUTE(SUBSTITUTE(SUBSTITUTE(SUBSTITUTE(SUBSTITUTE(SUBSTITUTE(SUBSTITUTE(SUBSTITUTE(SUBSTITUTE(SUBSTITUTE(LOWER(Z717&amp;""),CHAR(10),""),CHAR(13),""),CHAR(9),""),CHAR(160),"")," ",""),".",""),"-",""),"/",""),"?",""),"_",""),",",""),"[",""),"]",""),"(",""),")",""),"*","")</f>
        <v/>
      </c>
      <c r="AX717" s="61" t="str">
        <f aca="false">SUBSTITUTE(SUBSTITUTE(SUBSTITUTE(SUBSTITUTE(SUBSTITUTE(SUBSTITUTE(SUBSTITUTE(SUBSTITUTE(SUBSTITUTE(SUBSTITUTE(SUBSTITUTE(SUBSTITUTE(SUBSTITUTE(SUBSTITUTE(SUBSTITUTE(SUBSTITUTE(LOWER(AE717&amp;""),CHAR(10),""),CHAR(13),""),CHAR(9),""),CHAR(160),"")," ",""),".",""),"-",""),"/",""),"?",""),"_",""),",",""),"[",""),"]",""),"(",""),")",""),"*","")</f>
        <v/>
      </c>
      <c r="AY717" s="61" t="str">
        <f aca="false">SUBSTITUTE(SUBSTITUTE(SUBSTITUTE(SUBSTITUTE(SUBSTITUTE(SUBSTITUTE(SUBSTITUTE(SUBSTITUTE(SUBSTITUTE(SUBSTITUTE(SUBSTITUTE(SUBSTITUTE(SUBSTITUTE(SUBSTITUTE(SUBSTITUTE(SUBSTITUTE(LOWER(W717&amp;""),CHAR(10),""),CHAR(13),""),CHAR(9),""),CHAR(160),"")," ",""),".",""),"-",""),"/",""),"?",""),"_",""),",",""),"[",""),"]",""),"(",""),")",""),"*","")</f>
        <v/>
      </c>
      <c r="AZ717" s="61" t="str">
        <f aca="false">SUBSTITUTE(SUBSTITUTE(SUBSTITUTE(SUBSTITUTE(SUBSTITUTE(SUBSTITUTE(SUBSTITUTE(SUBSTITUTE(SUBSTITUTE(SUBSTITUTE(SUBSTITUTE(SUBSTITUTE(SUBSTITUTE(SUBSTITUTE(SUBSTITUTE(SUBSTITUTE(LOWER(AC717&amp;""),CHAR(10),""),CHAR(13),""),CHAR(9),""),CHAR(160),"")," ",""),".",""),"-",""),"/",""),"?",""),"_",""),",",""),"[",""),"]",""),"(",""),")",""),"*","")</f>
        <v/>
      </c>
      <c r="BA717" s="61" t="str">
        <f aca="false">SUBSTITUTE(SUBSTITUTE(SUBSTITUTE(SUBSTITUTE(SUBSTITUTE(SUBSTITUTE(SUBSTITUTE(SUBSTITUTE(SUBSTITUTE(SUBSTITUTE(SUBSTITUTE(SUBSTITUTE(SUBSTITUTE(SUBSTITUTE(SUBSTITUTE(SUBSTITUTE(LOWER(AA717&amp;""),CHAR(10),""),CHAR(13),""),CHAR(9),""),CHAR(160),"")," ",""),".",""),"-",""),"/",""),"?",""),"_",""),",",""),"[",""),"]",""),"(",""),")",""),"*","")</f>
        <v/>
      </c>
      <c r="BB717" s="61" t="str">
        <f aca="false">IF(AND(TRIM(U717)="Pass",ISNUMBER(AF717)),IF(AF717&lt;&gt;0,"INVALID – qty variance: use Fail or Pass after CA",""),"")&amp;IF(AND(TRIM(U717)="Pass after CA",ISNUMBER(AF717)),IF(AF717&lt;&gt;0,"INVALID – after the corrective action the actual qty must equal expected (update Actual)",""),"")&amp;IF(AND(TRIM(U717)="Pass",TRIM(AB717)&lt;&gt;"",TRIM(AB717)&lt;&gt;"Closed"),"INVALID – corrective action not closed: use Fail, then Pass after CA","")&amp;IF(AND(LEN(BA717)&gt;=2,ISNA(MATCH(LEFT(BA717,255),L_Placeholder,0)),TRIM(AB717)=""),"INVALID – CA status missing for the recorded corrective action","")&amp;IF(AND(TRIM(U717)="Pass after CA",OR(OR(LEN(BA717)&lt;5,ISNUMBER(MATCH(BA717,L_Placeholder,0))),TRIM(AB717)&lt;&gt;"Closed")),"INVALID – corrective action not recorded/closed","")</f>
        <v/>
      </c>
      <c r="BC717" s="61" t="str">
        <f aca="false">" "&amp;TRIM(SUBSTITUTE(SUBSTITUTE(SUBSTITUTE(SUBSTITUTE(SUBSTITUTE(SUBSTITUTE(SUBSTITUTE(SUBSTITUTE(SUBSTITUTE(SUBSTITUTE(SUBSTITUTE(SUBSTITUTE(SUBSTITUTE(SUBSTITUTE(SUBSTITUTE(SUBSTITUTE(SUBSTITUTE(SUBSTITUTE(SUBSTITUTE(SUBSTITUTE(SUBSTITUTE(SUBSTITUTE(SUBSTITUTE(SUBSTITUTE(LOWER(V717&amp;""),CHAR(10)," "),CHAR(13)," "),CHAR(9)," "),CHAR(160)," "),"."," "),","," "),"-"," "),"/"," "),"("," "),")"," "),":"," "),";"," "),"_"," "),"–"," "),"?"," "),"!"," "),"*"," "),"["," "),"]"," "),"'"," "),"#"," "),"+"," "),"&amp;"," "),"\"," "))&amp;" "</f>
        <v>  </v>
      </c>
      <c r="BD717" s="61" t="str">
        <f aca="false">" "&amp;TRIM(SUBSTITUTE(SUBSTITUTE(SUBSTITUTE(SUBSTITUTE(SUBSTITUTE(SUBSTITUTE(SUBSTITUTE(SUBSTITUTE(SUBSTITUTE(SUBSTITUTE(SUBSTITUTE(SUBSTITUTE(SUBSTITUTE(SUBSTITUTE(SUBSTITUTE(SUBSTITUTE(SUBSTITUTE(SUBSTITUTE(SUBSTITUTE(SUBSTITUTE(SUBSTITUTE(SUBSTITUTE(SUBSTITUTE(SUBSTITUTE(LOWER(Z717&amp;""),CHAR(10)," "),CHAR(13)," "),CHAR(9)," "),CHAR(160)," "),"."," "),","," "),"-"," "),"/"," "),"("," "),")"," "),":"," "),";"," "),"_"," "),"–"," "),"?"," "),"!"," "),"*"," "),"["," "),"]"," "),"'"," "),"#"," "),"+"," "),"&amp;"," "),"\"," "))&amp;" "</f>
        <v>  </v>
      </c>
      <c r="BE717" s="61" t="str">
        <f aca="false">" "&amp;TRIM(SUBSTITUTE(SUBSTITUTE(SUBSTITUTE(SUBSTITUTE(SUBSTITUTE(SUBSTITUTE(SUBSTITUTE(SUBSTITUTE(SUBSTITUTE(SUBSTITUTE(SUBSTITUTE(SUBSTITUTE(SUBSTITUTE(SUBSTITUTE(SUBSTITUTE(SUBSTITUTE(SUBSTITUTE(SUBSTITUTE(SUBSTITUTE(SUBSTITUTE(SUBSTITUTE(SUBSTITUTE(SUBSTITUTE(SUBSTITUTE(LOWER(W717&amp;""),CHAR(10)," "),CHAR(13)," "),CHAR(9)," "),CHAR(160)," "),"."," "),","," "),"-"," "),"/"," "),"("," "),")"," "),":"," "),";"," "),"_"," "),"–"," "),"?"," "),"!"," "),"*"," "),"["," "),"]"," "),"'"," "),"#"," "),"+"," "),"&amp;"," "),"\"," "))&amp;" "</f>
        <v>  </v>
      </c>
      <c r="BF717" s="61" t="str">
        <f aca="false">" "&amp;TRIM(SUBSTITUTE(SUBSTITUTE(SUBSTITUTE(SUBSTITUTE(SUBSTITUTE(SUBSTITUTE(SUBSTITUTE(SUBSTITUTE(SUBSTITUTE(SUBSTITUTE(SUBSTITUTE(SUBSTITUTE(SUBSTITUTE(SUBSTITUTE(SUBSTITUTE(SUBSTITUTE(SUBSTITUTE(SUBSTITUTE(SUBSTITUTE(SUBSTITUTE(SUBSTITUTE(SUBSTITUTE(SUBSTITUTE(SUBSTITUTE(LOWER(AC717&amp;""),CHAR(10)," "),CHAR(13)," "),CHAR(9)," "),CHAR(160)," "),"."," "),","," "),"-"," "),"/"," "),"("," "),")"," "),":"," "),";"," "),"_"," "),"–"," "),"?"," "),"!"," "),"*"," "),"["," "),"]"," "),"'"," "),"#"," "),"+"," "),"&amp;"," "),"\"," "))&amp;" "</f>
        <v>  </v>
      </c>
      <c r="BG717" s="61" t="n">
        <f aca="false">IFERROR(IF(AND(TRIM(U717)="Pass",SUMPRODUCT((LEN(BC717)-LEN(SUBSTITUTE(BC717," "&amp;L_ResultBad&amp;" "," ")))/(LEN(L_ResultBad)+1))&gt;SUMPRODUCT((LEN(BC717)-LEN(SUBSTITUTE(BC717," "&amp;L_NegPhrase&amp;" "," ")))/(LEN(L_NegPhrase)+1))),1,0),0)</f>
        <v>0</v>
      </c>
      <c r="BH717" s="61" t="n">
        <f aca="false">IFERROR(IF(SUMPRODUCT((LEN(BC717)-LEN(SUBSTITUTE(BC717," "&amp;L_Pending&amp;" "," ")))/(LEN(L_Pending)+1))&gt;SUMPRODUCT((LEN(BC717)-LEN(SUBSTITUTE(BC717," "&amp;L_PendNeg&amp;" "," ")))/(LEN(L_PendNeg)+1))+SUMPRODUCT((LEN(BC717)-LEN(SUBSTITUTE(BC717," "&amp;L_PendPrep&amp;" "," ")))/(LEN(L_PendPrep)+1)),1,0),1)</f>
        <v>0</v>
      </c>
      <c r="BI717" s="61" t="n">
        <f aca="false">IFERROR(IF(SUMPRODUCT((LEN(BD717)-LEN(SUBSTITUTE(BD717," "&amp;L_PendStrict&amp;" "," ")))/(LEN(L_PendStrict)+1))&gt;SUMPRODUCT((LEN(BD717)-LEN(SUBSTITUTE(BD717," "&amp;L_PendNeg&amp;" "," ")))/(LEN(L_PendNeg)+1)),1,0),1)</f>
        <v>0</v>
      </c>
      <c r="BJ717" s="61" t="n">
        <f aca="false">IFERROR(IF(SUMPRODUCT((LEN(BE717)-LEN(SUBSTITUTE(BE717," "&amp;L_Pending&amp;" "," ")))/(LEN(L_Pending)+1))&gt;SUMPRODUCT((LEN(BE717)-LEN(SUBSTITUTE(BE717," "&amp;L_PendNeg&amp;" "," ")))/(LEN(L_PendNeg)+1))+SUMPRODUCT((LEN(BE717)-LEN(SUBSTITUTE(BE717," "&amp;L_PendPrep&amp;" "," ")))/(LEN(L_PendPrep)+1)),1,0),1)</f>
        <v>0</v>
      </c>
      <c r="BK717" s="61" t="n">
        <f aca="false">IFERROR(IF(SUMPRODUCT((LEN(BF717)-LEN(SUBSTITUTE(BF717," "&amp;L_PendStrict&amp;" "," ")))/(LEN(L_PendStrict)+1))&gt;SUMPRODUCT((LEN(BF717)-LEN(SUBSTITUTE(BF717," "&amp;L_PendNeg&amp;" "," ")))/(LEN(L_PendNeg)+1)),1,0),1)</f>
        <v>0</v>
      </c>
      <c r="BL717" s="61" t="n">
        <f aca="false">IF(ISNA(MATCH(TRIM(S717),L_EvidenceType,0)),0,BZ717)</f>
        <v>0</v>
      </c>
      <c r="BM717" s="61" t="str">
        <f aca="false">SUBSTITUTE(SUBSTITUTE(SUBSTITUTE(SUBSTITUTE(SUBSTITUTE(SUBSTITUTE(SUBSTITUTE(SUBSTITUTE(SUBSTITUTE(LOWER(Z717&amp;""),"1","0"),"2","0"),"3","0"),"4","0"),"5","0"),"6","0"),"7","0"),"8","0"),"9","0")</f>
        <v/>
      </c>
      <c r="BN717" s="61" t="str">
        <f aca="false">SUBSTITUTE(SUBSTITUTE(SUBSTITUTE(SUBSTITUTE(SUBSTITUTE(SUBSTITUTE(SUBSTITUTE(SUBSTITUTE(SUBSTITUTE(SUBSTITUTE(SUBSTITUTE(SUBSTITUTE(SUBSTITUTE(SUBSTITUTE(SUBSTITUTE(SUBSTITUTE(SUBSTITUTE(SUBSTITUTE(SUBSTITUTE(SUBSTITUTE(SUBSTITUTE(SUBSTITUTE(SUBSTITUTE(SUBSTITUTE(SUBSTITUTE(BM717,"b","a"),"c","a"),"d","a"),"e","a"),"f","a"),"g","a"),"h","a"),"i","a"),"j","a"),"k","a"),"l","a"),"m","a"),"n","a"),"o","a"),"p","a"),"q","a"),"r","a"),"s","a"),"t","a"),"u","a"),"v","a"),"w","a"),"x","a"),"y","a"),"z","a")</f>
        <v/>
      </c>
      <c r="BO717" s="61" t="str">
        <f aca="false">SUBSTITUTE(SUBSTITUTE(SUBSTITUTE(SUBSTITUTE(SUBSTITUTE(SUBSTITUTE(SUBSTITUTE(SUBSTITUTE(SUBSTITUTE(LOWER(W717&amp;""),"1","0"),"2","0"),"3","0"),"4","0"),"5","0"),"6","0"),"7","0"),"8","0"),"9","0")</f>
        <v/>
      </c>
      <c r="BP717" s="61" t="str">
        <f aca="false">SUBSTITUTE(SUBSTITUTE(SUBSTITUTE(SUBSTITUTE(SUBSTITUTE(SUBSTITUTE(SUBSTITUTE(SUBSTITUTE(SUBSTITUTE(SUBSTITUTE(SUBSTITUTE(SUBSTITUTE(SUBSTITUTE(SUBSTITUTE(SUBSTITUTE(SUBSTITUTE(SUBSTITUTE(SUBSTITUTE(SUBSTITUTE(SUBSTITUTE(SUBSTITUTE(SUBSTITUTE(SUBSTITUTE(SUBSTITUTE(SUBSTITUTE(BO717,"b","a"),"c","a"),"d","a"),"e","a"),"f","a"),"g","a"),"h","a"),"i","a"),"j","a"),"k","a"),"l","a"),"m","a"),"n","a"),"o","a"),"p","a"),"q","a"),"r","a"),"s","a"),"t","a"),"u","a"),"v","a"),"w","a"),"x","a"),"y","a"),"z","a")</f>
        <v/>
      </c>
      <c r="BQ717" s="61" t="n">
        <f aca="false">IFERROR(IF(AND(ISERROR(SEARCH(" mh"," "&amp;LOWER(W717))),ISNA(MATCH(LEFT(TRIM(BP717),255),{"0000a","000a","00a","0000aa","000aa","00aa","0aa","0000aaa","000aaa","00a00","0a00","0000-0000","00:00","a00","a0","00.00.0000","00/00/0000","00-00-0000","0000-00-00","0000/00/00","0000.00.00","00.00.00","00/00/00","00-00-00","0.00.0000","0/00/0000","0-00-0000"},0)),ISNA(MATCH(LEFT(TRIM(CA717),255),{"0000a","000a","00a","0000aa","000aa","00aa","0aa","0000aaa","000aaa","00a00","0a00","0000-0000","00:00","a00","a0","00.00.0000","00/00/0000","00-00-0000","0000-00-00","0000/00/00","0000.00.00","00.00.00","00/00/00","00-00-00","0.00.0000","0/00/0000","0-00-0000"},0)),LEN(CB717)&gt;=3,NOT(OR(SUBSTITUTE(CB717,"0","")="",AND(LEN(CB717)&gt;=4,CB717=REPT(LEFT(CB717),LEN(CB717))),ISNUMBER(MATCH(CB717,{"123","1234","12345","123456","1234567","12345678","0123","01234","012345","98765","987654","54321"},0)),AND(LEN(CB717)=8,LEFT(CB717,3)="202"))),OR(AND((LEN(CA717)-LEN(SUBSTITUTE(CA717,"a","")))&gt;=1,SUMPRODUCT(--ISNUMBER(SEARCH({"a0","a-0","a_0","a/0","a.0","a#0","0a","0-a","0_a","0/a"},BP717)))&gt;0),ISNUMBER(SEARCH("000000",BP717)))),1,0),0)</f>
        <v>0</v>
      </c>
      <c r="BR717" s="61" t="n">
        <f aca="false">IFERROR(LEN(SUBSTITUTE(CC717," ",""))-SUMPRODUCT((LEN(CC717)-LEN(SUBSTITUTE(CC717," "&amp;L_Role&amp;" "," ")))/(LEN(L_Role)+1)*LEN(L_Role)),0)</f>
        <v>0</v>
      </c>
      <c r="BS717" s="61" t="n">
        <f aca="false">IFERROR(LEN(SUBSTITUTE(CD717," ",""))-SUMPRODUCT((LEN(CD717)-LEN(SUBSTITUTE(CD717," "&amp;L_Role&amp;" "," ")))/(LEN(L_Role)+1)*LEN(L_Role)),0)</f>
        <v>0</v>
      </c>
      <c r="BT7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717,"revision",""),"version",""),"jan",""),"feb",""),"mar",""),"apr",""),"may",""),"jun",""),"jul",""),"aug",""),"sep",""),"oct",""),"nov",""),"dec",""),"utc",""),"gmt",""),"myt",""),"bst",""),"rev",""),"ver",""),"b","a"),"c","a"),"d","a"),"e","a"),"f","a"),"g","a"),"h","a"),"i","a"),"j","a"),"k","a"),"l","a"),"m","a"),"n","a"),"o","a"),"p","a"),"q","a"),"r","a"),"s","a"),"t","a"),"u","a"),"v","a"),"w","a"),"x","a"),"y","a"),"z","a")</f>
        <v/>
      </c>
      <c r="BU717" s="61" t="str">
        <f aca="false">SUBSTITUTE(SUBSTITUTE(SUBSTITUTE(SUBSTITUTE(SUBSTITUTE(SUBSTITUTE(SUBSTITUTE(SUBSTITUTE(SUBSTITUTE(SUBSTITUTE(LEFT(BM717,FIND("0",BM717&amp;"0")-1),"-",""),"_",""),"/",""),".",""),"#",""),"\\",""),":","")," ",""),"(",""),")","")</f>
        <v/>
      </c>
      <c r="BV717" s="61" t="n">
        <f aca="false">0</f>
        <v>0</v>
      </c>
      <c r="BW71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717&amp;""),"a",""),"b",""),"c",""),"d",""),"e",""),"f",""),"g",""),"h",""),"i",""),"j",""),"k",""),"l",""),"m",""),"n",""),"o",""),"p",""),"q",""),"r",""),"s",""),"t",""),"u",""),"v",""),"w",""),"x",""),"y",""),"z",""),"-",""),"_",""),"/",""),".",""),"#",""),"\\",""),":","")," ",""),"(",""),")","")</f>
        <v/>
      </c>
      <c r="BX717" s="61" t="str">
        <f aca="false">SUBSTITUTE(SUBSTITUTE(SUBSTITUTE(SUBSTITUTE(SUBSTITUTE(SUBSTITUTE(SUBSTITUTE(SUBSTITUTE(SUBSTITUTE(SUBSTITUTE(SUBSTITUTE(BM717,"0",""),"-",""),"_",""),"/",""),".",""),"#",""),"\\",""),":","")," ",""),"(",""),")","")</f>
        <v/>
      </c>
      <c r="BY717" s="62" t="n">
        <f aca="false">Q717-T12EarlyH/24</f>
        <v>46324.6388888889</v>
      </c>
      <c r="BZ717" s="61" t="n">
        <f aca="false">IFERROR(IF(IF(TRIM(S717)="Link / file path",AND(LEN(TRIM(Z717))&gt;=5,SUMPRODUCT(--ISNUMBER(SEARCH({"http","www.","\\",":\",".pdf",".jpg",".jpeg",".png",".heic",".xls",".doc",".msg",".eml",".ppt",".txt",".zip"},Z717)))&gt;0),AND(ISERROR(FIND(" ",TRIM(Z717))),NOT(OR(SUMPRODUCT(--ISNUMBER(FIND({",",";","&amp;","+"},Z717)))&gt;0,SUMPRODUCT(--ISNUMBER(SEARCH({"0/aa","0\\aa"},BN717)))&gt;0)),NOT(SUMPRODUCT(--ISNUMBER(SEARCH({"http","www.","\\",":\",".pdf",".jpg",".jpeg",".png",".heic",".xls",".doc",".msg",".eml",".ppt",".txt",".zip"},Z717)))&gt;0),NOT(LOWER(TRIM(Z717))=LOWER(Flights!$F$26)),ISNA(MATCH(BU717,{"mh","rev","revision","ver","version","v","r","a","b","seat","tray","row","gate","bay","stand","page","pg","item","line","no","cart","galley","flight","flt","table","box","bag","oven","etd","eta","std","sta","atd","ata","qty","pax","x","time","tel","ph","mob","day","wk","week","utc","gmt","myt","lt"},0)),NOT(OR(ISNUMBER(MATCH(LEFT(BN717,255),{"0000a","000a","00a","0000aa","000aa","00aa","0aa","0000aaa","000aaa","00a00","0a00","0000-0000","00:00","a00","a0","00.00.0000","00/00/0000","00-00-0000","0000-00-00","0000/00/00","0000.00.00","00.00.00","00/00/00","00-00-00","0.00.0000","0/00/0000","0-00-0000"},0)),ISNUMBER(MATCH(LEFT(BT717,255),{"0000a","000a","00a","0000aa","000aa","00aa","0aa","0000aaa","000aaa","00a00","0a00","0000-0000","00:00","a00","a0","00.00.0000","00/00/0000","00-00-0000","0000-00-00","0000/00/00","0000.00.00","00.00.00","00/00/00","00-00-00","0.00.0000","0/00/0000","0-00-0000"},0)))),NOT(OR(AND(BW717&lt;&gt;"",SUBSTITUTE(BW717,"0","")=""),AND(LEN(BW717)&gt;=4,BW717=REPT(LEFT(BW717),LEN(BW717))),ISNUMBER(MATCH(BW717,{"123","1234","12345","123456","1234567","12345678","0123","01234","012345","98765","987654","54321"},0)),ISNUMBER(MATCH(BX717,{"x","xx","xxx","xxxx","xxxxx","abc","abcd","nil","na","nan","test","tbc","tba","tbd","dummy","sample","example","eg","zz","zzz","none","null","xyz","qwe","asd","id","ref"},0)),AND(LEN(BW717)=8,BX717="",OR(LEFT(BW717,3)="202",ISNUMBER(MATCH(RIGHT(BW717,4),{"2025","2026","2027"},0)))))),OR(AND((LEN(BT717)-LEN(SUBSTITUTE(BT717,"a","")))&gt;=1,(LEN(BN717)-LEN(SUBSTITUTE(BN717,"0","")))&gt;=2,SUMPRODUCT(--ISNUMBER(SEARCH({"a0","a-0","a_0","a/0","a.0","a#0","0a","0-a","0_a","0/a"},BN717)))&gt;0),AND((LEN(BN717)-LEN(SUBSTITUTE(BN717,"a","")))=0,(LEN(BN717)-LEN(SUBSTITUTE(BN717,"0","")))&gt;=5)))),1,0),0)</f>
        <v>0</v>
      </c>
      <c r="CA7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717,"revision",""),"version",""),"jan",""),"feb",""),"mar",""),"apr",""),"may",""),"jun",""),"jul",""),"aug",""),"sep",""),"oct",""),"nov",""),"dec",""),"utc",""),"gmt",""),"myt",""),"bst",""),"rev",""),"ver",""),"b","a"),"c","a"),"d","a"),"e","a"),"f","a"),"g","a"),"h","a"),"i","a"),"j","a"),"k","a"),"l","a"),"m","a"),"n","a"),"o","a"),"p","a"),"q","a"),"r","a"),"s","a"),"t","a"),"u","a"),"v","a"),"w","a"),"x","a"),"y","a"),"z","a")</f>
        <v/>
      </c>
      <c r="CB7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717&amp;""),"a",""),"b",""),"c",""),"d",""),"e",""),"f",""),"g",""),"h",""),"i",""),"j",""),"k",""),"l",""),"m",""),"n",""),"o",""),"p",""),"q",""),"r",""),"s",""),"t",""),"u",""),"v",""),"w",""),"x",""),"y",""),"z",""),"-",""),"_",""),"/",""),".",""),"#",""),"\\",""),":","")," ",""),"(",""),")","")</f>
        <v/>
      </c>
      <c r="CC717" s="0" t="str">
        <f aca="false">" "&amp;TRIM(SUBSTITUTE(SUBSTITUTE(SUBSTITUTE(SUBSTITUTE(SUBSTITUTE(SUBSTITUTE(SUBSTITUTE(SUBSTITUTE(SUBSTITUTE(SUBSTITUTE(SUBSTITUTE(SUBSTITUTE(SUBSTITUTE(SUBSTITUTE(SUBSTITUTE(SUBSTITUTE(SUBSTITUTE(SUBSTITUTE(SUBSTITUTE(SUBSTITUTE(SUBSTITUTE(SUBSTITUTE(SUBSTITUTE(SUBSTITUTE(LOWER(T717&amp;""),CHAR(10)," "),CHAR(13)," "),CHAR(9)," "),CHAR(160)," "),"."," "),","," "),"-"," "),"/"," "),"("," "),")"," "),":"," "),";"," "),"_"," "),"–"," "),"?"," "),"!"," "),"*"," "),"["," "),"]"," "),"'"," "),"#"," "),"+"," "),"&amp;"," "),"\"," "))&amp;" "</f>
        <v>  </v>
      </c>
      <c r="CD717" s="0" t="str">
        <f aca="false">" "&amp;TRIM(SUBSTITUTE(SUBSTITUTE(SUBSTITUTE(SUBSTITUTE(SUBSTITUTE(SUBSTITUTE(SUBSTITUTE(SUBSTITUTE(SUBSTITUTE(SUBSTITUTE(SUBSTITUTE(SUBSTITUTE(SUBSTITUTE(SUBSTITUTE(SUBSTITUTE(SUBSTITUTE(SUBSTITUTE(SUBSTITUTE(SUBSTITUTE(SUBSTITUTE(SUBSTITUTE(SUBSTITUTE(SUBSTITUTE(SUBSTITUTE(LOWER(AE717&amp;""),CHAR(10)," "),CHAR(13)," "),CHAR(9)," "),CHAR(160)," "),"."," "),","," "),"-"," "),"/"," "),"("," "),")"," "),":"," "),";"," "),"_"," "),"–"," "),"?"," "),"!"," "),"*"," "),"["," "),"]"," "),"'"," "),"#"," "),"+"," "),"&amp;"," "),"\"," "))&amp;" "</f>
        <v>  </v>
      </c>
      <c r="CE717" s="68" t="n">
        <f aca="false">IFERROR(IF(AND(LEN(AU717)&gt;0,LEN(AU717)=LEN(AX717),OR(TRIM(MID(SUBSTITUTE(TRIM(CC717)," ",REPT(" ",60)),1,60))="",ISNUMBER(SEARCH(" "&amp;TRIM(MID(SUBSTITUTE(TRIM(CC717)," ",REPT(" ",60)),1,60))&amp;" ",CD717))),OR(TRIM(MID(SUBSTITUTE(TRIM(CC717)," ",REPT(" ",60)),61,60))="",ISNUMBER(SEARCH(" "&amp;TRIM(MID(SUBSTITUTE(TRIM(CC717)," ",REPT(" ",60)),61,60))&amp;" ",CD717))),OR(TRIM(MID(SUBSTITUTE(TRIM(CC717)," ",REPT(" ",60)),121,60))="",ISNUMBER(SEARCH(" "&amp;TRIM(MID(SUBSTITUTE(TRIM(CC717)," ",REPT(" ",60)),121,60))&amp;" ",CD717)))),1,0),0)</f>
        <v>0</v>
      </c>
      <c r="CG717" s="68" t="n">
        <f aca="false">IFERROR(LEN(SUBSTITUTE(BF717," ",""))-SUMPRODUCT((LEN(BF717)-LEN(SUBSTITUTE(BF717," "&amp;L_NAFiller&amp;" "," ")))/(LEN(L_NAFiller)+1)*LEN(L_NAFiller)),0)</f>
        <v>0</v>
      </c>
    </row>
    <row r="718" customFormat="false" ht="39.75" hidden="false" customHeight="true" outlineLevel="0" collapsed="false">
      <c r="A718" s="57" t="s">
        <v>1452</v>
      </c>
      <c r="B718" s="57" t="s">
        <v>312</v>
      </c>
      <c r="C718" s="57" t="str">
        <f aca="false">Flights!$F$26</f>
        <v>MH0002</v>
      </c>
      <c r="D718" s="58" t="n">
        <f aca="false">Flights!$D$26</f>
        <v>46325</v>
      </c>
      <c r="E718" s="57" t="str">
        <f aca="false">Flights!$G$26&amp;"-"&amp;Flights!$H$26</f>
        <v>KUL-LHR</v>
      </c>
      <c r="F718" s="57" t="str">
        <f aca="false">Flights!$K$26</f>
        <v>BC</v>
      </c>
      <c r="G718" s="57" t="s">
        <v>420</v>
      </c>
      <c r="H718" s="57" t="s">
        <v>378</v>
      </c>
      <c r="I718" s="57" t="s">
        <v>428</v>
      </c>
      <c r="J718" s="57" t="s">
        <v>438</v>
      </c>
      <c r="K718" s="67"/>
      <c r="L718" s="67" t="s">
        <v>422</v>
      </c>
      <c r="M718" s="67"/>
      <c r="N718" s="67" t="s">
        <v>383</v>
      </c>
      <c r="O718" s="67" t="s">
        <v>423</v>
      </c>
      <c r="P718" s="57" t="s">
        <v>187</v>
      </c>
      <c r="Q718" s="59" t="n">
        <f aca="false">ROUND((Flights!$AE$26)*1440,0)/1440</f>
        <v>46325.1388888889</v>
      </c>
      <c r="R718" s="59" t="n">
        <f aca="false">Q718+(IF(AND(INDEX(TZ_DSTS,MATCH(P718,TZ_STN,0))&lt;&gt;"",Q718&gt;=INDEX(TZ_DSTS,MATCH(P718,TZ_STN,0)),Q718&lt;INDEX(TZ_DSTE,MATCH(P718,TZ_STN,0))),INDEX(TZ_DST,MATCH(P718,TZ_STN,0)),INDEX(TZ_STD,MATCH(P718,TZ_STN,0))))/24</f>
        <v>46325.4722222222</v>
      </c>
      <c r="S718" s="60"/>
      <c r="T718" s="60"/>
      <c r="U718" s="60"/>
      <c r="V718" s="60"/>
      <c r="W718" s="61"/>
      <c r="X718" s="60"/>
      <c r="Y718" s="60"/>
      <c r="Z718" s="60"/>
      <c r="AA718" s="60"/>
      <c r="AB718" s="60"/>
      <c r="AC718" s="60"/>
      <c r="AD718" s="66"/>
      <c r="AE718" s="60"/>
      <c r="AF718" s="61" t="str">
        <f aca="false">IF(AND(ISNUMBER(X718),ISNUMBER(Y718)),Y718-X718,"")</f>
        <v/>
      </c>
      <c r="AG718" s="62" t="str">
        <f aca="false">IF(ISNUMBER(AD718),AD718-(IF(AND(INDEX(TZ_DSTS,MATCH(P718,TZ_STN,0))&lt;&gt;"",(AD718-INDEX(TZ_STD,MATCH(P718,TZ_STN,0))/24)&gt;=INDEX(TZ_DSTS,MATCH(P718,TZ_STN,0)),(AD718-INDEX(TZ_STD,MATCH(P718,TZ_STN,0))/24)&lt;INDEX(TZ_DSTE,MATCH(P718,TZ_STN,0))),INDEX(TZ_DST,MATCH(P718,TZ_STN,0)),INDEX(TZ_STD,MATCH(P718,TZ_STN,0))))/24,"")</f>
        <v/>
      </c>
      <c r="AH718" s="65" t="str">
        <f aca="false">IFERROR(IF(N718="N/A – rule",IF(OR(TRIM(U718)="",TRIM(U718)="N/A",TRIM(U718)="Not started"),"N/A – RULE","INVALID – this check does not apply to this aircraft: clear the status (or correct the fleet on Flights)"),IF(TRIM(U718)="N/A",IF(AT718=0,"INVALID – N/A not permitted for this check",IF(AND(TRIM(AB718)&lt;&gt;"",TRIM(AB718)&lt;&gt;"Closed"),"INVALID – corrective action still open",IF(AND(NOT(OR(LEN(AZ718)&lt;15,ISNUMBER(MATCH(AZ718,L_Placeholder,0)))),BK718=0,CG718&gt;=8,NOT(OR(LEN(AU718)&lt;2,ISNUMBER(MATCH(AU718,L_Placeholder,0)))),BR718&gt;=3,NOT(OR(LEN(AX718)&lt;2,ISNUMBER(MATCH(AX718,L_Placeholder,0)))),BS718&gt;=3,TRIM(AE718)&lt;&gt;TRIM(T718),AX718&lt;&gt;AU718,CE718=0),"N/A – JUSTIFIED","INVALID – N/A needs a real, settled reason (not 'not applicable' / 'as above' / TBC), a named PIC and a different named verifier"))),IF(OR(TRIM(U718)="Pass",TRIM(U718)="Pass after CA"),IF(NOT(ISNUMBER(AD718)),"INVALID – completion time missing",IF(OR(OR(LEN(AU718)&lt;2,ISNUMBER(MATCH(AU718,L_Placeholder,0))),BR718&lt;3),"INVALID – PIC missing or not a named person (a role such as QA / CSM is not a name)",IF(OR(LEN(AV718)&lt;2,ISNUMBER(MATCH(AV718,L_Placeholder,0))),"INVALID – result / assessment missing",IF(OR(OR(LEN(AW718)&lt;3,ISNUMBER(MATCH(AW718,L_Placeholder,0))),SUMPRODUCT(--ISNUMBER(SEARCH(" "&amp;L_EvidencePhrase&amp;" ",BD718)))&gt;0,BI718=1),"INVALID – evidence missing, placeholder or not yet on file",IF(ISNA(MATCH(TRIM(S718),L_EvidenceType,0)),"INVALID – choose the evidence type from the list (column S)",IF(BL718=0,"INVALID – evidence ID must be the record's own ID only (e.g. SF-2210, IMG_2231, 1045521); a link / file name needs type 'Link / file path'",IF(OR(OR(LEN(AX718)&lt;2,ISNUMBER(MATCH(AX718,L_Placeholder,0))),BS718&lt;3),"INVALID – verifier missing or not a named person (a role such as QA / CSM is not a name)",IF(OR(AX718=AU718,CE718=1,AND(LEN(AU718)&gt;=4,ISNUMBER(SEARCH(AU718,AX718))),AND(LEN(AX718)&gt;=4,ISNUMBER(SEARCH(AX718,AU718)))),"INVALID – verifier must be a different, named person (not the PIC or a role)",IF(BH718=1,"INVALID – result not yet available (awaiting / TBC)",IF(BG718=1,"INVALID – result describes a problem: record Fail, then Pass after CA (or reword if it is not a problem)",IF(BV718=1,"INVALID – wording says not on board: an on-board confirmation needs the item loaded",IF(AND(AQ718=1,OR(OR(LEN(AY718)&lt;3,ISNUMBER(MATCH(AY718,L_Placeholder,0))),BJ718=1,BQ718=0)),"INVALID – batch ID missing, placeholder or not an ID (e.g. PASB-261008-BC-017)",IF(AND(AR718=1,OR(NOT(ISNUMBER(X718)),NOT(ISNUMBER(Y718)))),"INVALID – expected/actual qty missing",IF(AND(AR718=1,OR(X718&lt;=0,Y718&lt;0)),"INVALID – expected qty must be above 0 and actual not negative",IF(BB718&lt;&gt;"",BB718,IF(AND(AS718=1,Documents!$J$26&lt;&gt;"ON FILE"),"INVALID – GLD not on file (Documents sheet)",IF(AND(AS718=2,Documents!$O$26&lt;&gt;"ON FILE"),"INVALID – menu checklist not on file (Documents sheet)",IF(AND(AS718=3,NOT(ISNUMBER(Flights!$AX$26))),"INVALID – enter carrying flight KUL departure (Flights AX)",IF(AND(AS718=3,OR(Flights!$AZ$26&gt;Flights!$AA$26,Flights!$AX$26&lt;Flights!$AA$26-3)),"INVALID – carrying flight (Flights AX) cannot arrive before this leg's STD, or is over 3 days early",IF(AG718&gt;AsOfUTC,"INVALID – completion time is in the future",IF(AND(ISNUMBER(BY718),AG718&lt;BY718),IF(H718="Physical uplift","INVALID – before uplift window (cannot confirm loading)","INVALID – before valid window"),IF(AG718&gt;Flights!$AA$26,"INVALID – completed after departure (cannot establish readiness)",IF(AND(H718="Preparation",AG718&gt;=IF(ISNUMBER(Flights!$BA$26),MIN(Flights!$BA$26,Flights!$AA$26),Flights!$AA$26)),"INVALID – completed after loading / departure (cannot establish readiness)",IF(AND(H718="Physical uplift",AG718&gt;Q718),"INVALID – recorded after the loading flight departed",IF(AG718&gt;Q718,"COMPLETE – LATE","COMPLETE"))))))))))))))))))))))))),IF(TRIM(U718)="Fail","FAIL – DISCREPANCY",IF(AND(TRIM(U718)&lt;&gt;"",TRIM(U718)&lt;&gt;"Not started",TRIM(U718)&lt;&gt;"In progress"),"INVALID – unrecognised status (use the list)",IF(AsOfUTC&gt;Q718,"OVERDUE",IF(N718="Clarification required","OPEN – CLARIFICATION","OPEN"))))))),"INVALID – error value in an input cell")</f>
        <v>OPEN</v>
      </c>
      <c r="AI718" s="61" t="n">
        <f aca="false">IF(OR(AH718="N/A – RULE",AH718="N/A – JUSTIFIED"),0,1)</f>
        <v>1</v>
      </c>
      <c r="AJ718" s="61" t="n">
        <f aca="false">IF(LEFT(AH718,8)="COMPLETE",1,0)</f>
        <v>0</v>
      </c>
      <c r="AK718" s="61" t="n">
        <f aca="false">IF(AND(AI718=1,AJ718=0,AsOfUTC&gt;Q718),1,0)</f>
        <v>0</v>
      </c>
      <c r="AL718" s="61" t="n">
        <f aca="false">IFERROR(IF(AND(AI718=1,OR(TRIM(U718)="Fail",AND(TRIM(AB718)&lt;&gt;"",TRIM(AB718)&lt;&gt;"Closed"),AND(ISNUMBER(AF718),AF718&lt;&gt;0,TRIM(U718)&lt;&gt;"Pass after CA"))),1,0),1)</f>
        <v>0</v>
      </c>
      <c r="AM718" s="61" t="n">
        <f aca="false">IF(LEFT(AH718,7)="INVALID",1,0)</f>
        <v>0</v>
      </c>
      <c r="AN718" s="61" t="n">
        <f aca="false">IF(AND(N718="Clarification required",AI718=1,AJ718=0),1,0)</f>
        <v>0</v>
      </c>
      <c r="AO718" s="61" t="str">
        <f aca="false">IF(AK718=1,SUM(AK$5:AK718),"")</f>
        <v/>
      </c>
      <c r="AP718" s="61" t="str">
        <f aca="false">IF(AL718=1,SUM(AL$5:AL718),"")</f>
        <v/>
      </c>
      <c r="AQ718" s="61" t="n">
        <v>0</v>
      </c>
      <c r="AR718" s="61" t="n">
        <v>0</v>
      </c>
      <c r="AS718" s="61" t="n">
        <v>0</v>
      </c>
      <c r="AT718" s="61" t="n">
        <v>0</v>
      </c>
      <c r="AU718" s="61" t="str">
        <f aca="false">SUBSTITUTE(SUBSTITUTE(SUBSTITUTE(SUBSTITUTE(SUBSTITUTE(SUBSTITUTE(SUBSTITUTE(SUBSTITUTE(SUBSTITUTE(SUBSTITUTE(SUBSTITUTE(SUBSTITUTE(SUBSTITUTE(SUBSTITUTE(SUBSTITUTE(SUBSTITUTE(LOWER(T718&amp;""),CHAR(10),""),CHAR(13),""),CHAR(9),""),CHAR(160),"")," ",""),".",""),"-",""),"/",""),"?",""),"_",""),",",""),"[",""),"]",""),"(",""),")",""),"*","")</f>
        <v/>
      </c>
      <c r="AV718" s="61" t="str">
        <f aca="false">SUBSTITUTE(SUBSTITUTE(SUBSTITUTE(SUBSTITUTE(SUBSTITUTE(SUBSTITUTE(SUBSTITUTE(SUBSTITUTE(SUBSTITUTE(SUBSTITUTE(SUBSTITUTE(SUBSTITUTE(SUBSTITUTE(SUBSTITUTE(SUBSTITUTE(SUBSTITUTE(LOWER(V718&amp;""),CHAR(10),""),CHAR(13),""),CHAR(9),""),CHAR(160),"")," ",""),".",""),"-",""),"/",""),"?",""),"_",""),",",""),"[",""),"]",""),"(",""),")",""),"*","")</f>
        <v/>
      </c>
      <c r="AW718" s="61" t="str">
        <f aca="false">SUBSTITUTE(SUBSTITUTE(SUBSTITUTE(SUBSTITUTE(SUBSTITUTE(SUBSTITUTE(SUBSTITUTE(SUBSTITUTE(SUBSTITUTE(SUBSTITUTE(SUBSTITUTE(SUBSTITUTE(SUBSTITUTE(SUBSTITUTE(SUBSTITUTE(SUBSTITUTE(LOWER(Z718&amp;""),CHAR(10),""),CHAR(13),""),CHAR(9),""),CHAR(160),"")," ",""),".",""),"-",""),"/",""),"?",""),"_",""),",",""),"[",""),"]",""),"(",""),")",""),"*","")</f>
        <v/>
      </c>
      <c r="AX718" s="61" t="str">
        <f aca="false">SUBSTITUTE(SUBSTITUTE(SUBSTITUTE(SUBSTITUTE(SUBSTITUTE(SUBSTITUTE(SUBSTITUTE(SUBSTITUTE(SUBSTITUTE(SUBSTITUTE(SUBSTITUTE(SUBSTITUTE(SUBSTITUTE(SUBSTITUTE(SUBSTITUTE(SUBSTITUTE(LOWER(AE718&amp;""),CHAR(10),""),CHAR(13),""),CHAR(9),""),CHAR(160),"")," ",""),".",""),"-",""),"/",""),"?",""),"_",""),",",""),"[",""),"]",""),"(",""),")",""),"*","")</f>
        <v/>
      </c>
      <c r="AY718" s="61" t="str">
        <f aca="false">SUBSTITUTE(SUBSTITUTE(SUBSTITUTE(SUBSTITUTE(SUBSTITUTE(SUBSTITUTE(SUBSTITUTE(SUBSTITUTE(SUBSTITUTE(SUBSTITUTE(SUBSTITUTE(SUBSTITUTE(SUBSTITUTE(SUBSTITUTE(SUBSTITUTE(SUBSTITUTE(LOWER(W718&amp;""),CHAR(10),""),CHAR(13),""),CHAR(9),""),CHAR(160),"")," ",""),".",""),"-",""),"/",""),"?",""),"_",""),",",""),"[",""),"]",""),"(",""),")",""),"*","")</f>
        <v/>
      </c>
      <c r="AZ718" s="61" t="str">
        <f aca="false">SUBSTITUTE(SUBSTITUTE(SUBSTITUTE(SUBSTITUTE(SUBSTITUTE(SUBSTITUTE(SUBSTITUTE(SUBSTITUTE(SUBSTITUTE(SUBSTITUTE(SUBSTITUTE(SUBSTITUTE(SUBSTITUTE(SUBSTITUTE(SUBSTITUTE(SUBSTITUTE(LOWER(AC718&amp;""),CHAR(10),""),CHAR(13),""),CHAR(9),""),CHAR(160),"")," ",""),".",""),"-",""),"/",""),"?",""),"_",""),",",""),"[",""),"]",""),"(",""),")",""),"*","")</f>
        <v/>
      </c>
      <c r="BA718" s="61" t="str">
        <f aca="false">SUBSTITUTE(SUBSTITUTE(SUBSTITUTE(SUBSTITUTE(SUBSTITUTE(SUBSTITUTE(SUBSTITUTE(SUBSTITUTE(SUBSTITUTE(SUBSTITUTE(SUBSTITUTE(SUBSTITUTE(SUBSTITUTE(SUBSTITUTE(SUBSTITUTE(SUBSTITUTE(LOWER(AA718&amp;""),CHAR(10),""),CHAR(13),""),CHAR(9),""),CHAR(160),"")," ",""),".",""),"-",""),"/",""),"?",""),"_",""),",",""),"[",""),"]",""),"(",""),")",""),"*","")</f>
        <v/>
      </c>
      <c r="BB718" s="61" t="str">
        <f aca="false">IF(AND(TRIM(U718)="Pass",ISNUMBER(AF718)),IF(AF718&lt;&gt;0,"INVALID – qty variance: use Fail or Pass after CA",""),"")&amp;IF(AND(TRIM(U718)="Pass after CA",ISNUMBER(AF718)),IF(AF718&lt;&gt;0,"INVALID – after the corrective action the actual qty must equal expected (update Actual)",""),"")&amp;IF(AND(TRIM(U718)="Pass",TRIM(AB718)&lt;&gt;"",TRIM(AB718)&lt;&gt;"Closed"),"INVALID – corrective action not closed: use Fail, then Pass after CA","")&amp;IF(AND(LEN(BA718)&gt;=2,ISNA(MATCH(LEFT(BA718,255),L_Placeholder,0)),TRIM(AB718)=""),"INVALID – CA status missing for the recorded corrective action","")&amp;IF(AND(TRIM(U718)="Pass after CA",OR(OR(LEN(BA718)&lt;5,ISNUMBER(MATCH(BA718,L_Placeholder,0))),TRIM(AB718)&lt;&gt;"Closed")),"INVALID – corrective action not recorded/closed","")</f>
        <v/>
      </c>
      <c r="BC718" s="61" t="str">
        <f aca="false">" "&amp;TRIM(SUBSTITUTE(SUBSTITUTE(SUBSTITUTE(SUBSTITUTE(SUBSTITUTE(SUBSTITUTE(SUBSTITUTE(SUBSTITUTE(SUBSTITUTE(SUBSTITUTE(SUBSTITUTE(SUBSTITUTE(SUBSTITUTE(SUBSTITUTE(SUBSTITUTE(SUBSTITUTE(SUBSTITUTE(SUBSTITUTE(SUBSTITUTE(SUBSTITUTE(SUBSTITUTE(SUBSTITUTE(SUBSTITUTE(SUBSTITUTE(LOWER(V718&amp;""),CHAR(10)," "),CHAR(13)," "),CHAR(9)," "),CHAR(160)," "),"."," "),","," "),"-"," "),"/"," "),"("," "),")"," "),":"," "),";"," "),"_"," "),"–"," "),"?"," "),"!"," "),"*"," "),"["," "),"]"," "),"'"," "),"#"," "),"+"," "),"&amp;"," "),"\"," "))&amp;" "</f>
        <v>  </v>
      </c>
      <c r="BD718" s="61" t="str">
        <f aca="false">" "&amp;TRIM(SUBSTITUTE(SUBSTITUTE(SUBSTITUTE(SUBSTITUTE(SUBSTITUTE(SUBSTITUTE(SUBSTITUTE(SUBSTITUTE(SUBSTITUTE(SUBSTITUTE(SUBSTITUTE(SUBSTITUTE(SUBSTITUTE(SUBSTITUTE(SUBSTITUTE(SUBSTITUTE(SUBSTITUTE(SUBSTITUTE(SUBSTITUTE(SUBSTITUTE(SUBSTITUTE(SUBSTITUTE(SUBSTITUTE(SUBSTITUTE(LOWER(Z718&amp;""),CHAR(10)," "),CHAR(13)," "),CHAR(9)," "),CHAR(160)," "),"."," "),","," "),"-"," "),"/"," "),"("," "),")"," "),":"," "),";"," "),"_"," "),"–"," "),"?"," "),"!"," "),"*"," "),"["," "),"]"," "),"'"," "),"#"," "),"+"," "),"&amp;"," "),"\"," "))&amp;" "</f>
        <v>  </v>
      </c>
      <c r="BE718" s="61" t="str">
        <f aca="false">" "&amp;TRIM(SUBSTITUTE(SUBSTITUTE(SUBSTITUTE(SUBSTITUTE(SUBSTITUTE(SUBSTITUTE(SUBSTITUTE(SUBSTITUTE(SUBSTITUTE(SUBSTITUTE(SUBSTITUTE(SUBSTITUTE(SUBSTITUTE(SUBSTITUTE(SUBSTITUTE(SUBSTITUTE(SUBSTITUTE(SUBSTITUTE(SUBSTITUTE(SUBSTITUTE(SUBSTITUTE(SUBSTITUTE(SUBSTITUTE(SUBSTITUTE(LOWER(W718&amp;""),CHAR(10)," "),CHAR(13)," "),CHAR(9)," "),CHAR(160)," "),"."," "),","," "),"-"," "),"/"," "),"("," "),")"," "),":"," "),";"," "),"_"," "),"–"," "),"?"," "),"!"," "),"*"," "),"["," "),"]"," "),"'"," "),"#"," "),"+"," "),"&amp;"," "),"\"," "))&amp;" "</f>
        <v>  </v>
      </c>
      <c r="BF718" s="61" t="str">
        <f aca="false">" "&amp;TRIM(SUBSTITUTE(SUBSTITUTE(SUBSTITUTE(SUBSTITUTE(SUBSTITUTE(SUBSTITUTE(SUBSTITUTE(SUBSTITUTE(SUBSTITUTE(SUBSTITUTE(SUBSTITUTE(SUBSTITUTE(SUBSTITUTE(SUBSTITUTE(SUBSTITUTE(SUBSTITUTE(SUBSTITUTE(SUBSTITUTE(SUBSTITUTE(SUBSTITUTE(SUBSTITUTE(SUBSTITUTE(SUBSTITUTE(SUBSTITUTE(LOWER(AC718&amp;""),CHAR(10)," "),CHAR(13)," "),CHAR(9)," "),CHAR(160)," "),"."," "),","," "),"-"," "),"/"," "),"("," "),")"," "),":"," "),";"," "),"_"," "),"–"," "),"?"," "),"!"," "),"*"," "),"["," "),"]"," "),"'"," "),"#"," "),"+"," "),"&amp;"," "),"\"," "))&amp;" "</f>
        <v>  </v>
      </c>
      <c r="BG718" s="61" t="n">
        <f aca="false">IFERROR(IF(AND(TRIM(U718)="Pass",SUMPRODUCT((LEN(BC718)-LEN(SUBSTITUTE(BC718," "&amp;L_ResultBad&amp;" "," ")))/(LEN(L_ResultBad)+1))&gt;SUMPRODUCT((LEN(BC718)-LEN(SUBSTITUTE(BC718," "&amp;L_NegPhrase&amp;" "," ")))/(LEN(L_NegPhrase)+1))),1,0),0)</f>
        <v>0</v>
      </c>
      <c r="BH718" s="61" t="n">
        <f aca="false">IFERROR(IF(SUMPRODUCT((LEN(BC718)-LEN(SUBSTITUTE(BC718," "&amp;L_Pending&amp;" "," ")))/(LEN(L_Pending)+1))&gt;SUMPRODUCT((LEN(BC718)-LEN(SUBSTITUTE(BC718," "&amp;L_PendNeg&amp;" "," ")))/(LEN(L_PendNeg)+1))+SUMPRODUCT((LEN(BC718)-LEN(SUBSTITUTE(BC718," "&amp;L_PendPrep&amp;" "," ")))/(LEN(L_PendPrep)+1)),1,0),1)</f>
        <v>0</v>
      </c>
      <c r="BI718" s="61" t="n">
        <f aca="false">IFERROR(IF(SUMPRODUCT((LEN(BD718)-LEN(SUBSTITUTE(BD718," "&amp;L_PendStrict&amp;" "," ")))/(LEN(L_PendStrict)+1))&gt;SUMPRODUCT((LEN(BD718)-LEN(SUBSTITUTE(BD718," "&amp;L_PendNeg&amp;" "," ")))/(LEN(L_PendNeg)+1)),1,0),1)</f>
        <v>0</v>
      </c>
      <c r="BJ718" s="61" t="n">
        <f aca="false">IFERROR(IF(SUMPRODUCT((LEN(BE718)-LEN(SUBSTITUTE(BE718," "&amp;L_Pending&amp;" "," ")))/(LEN(L_Pending)+1))&gt;SUMPRODUCT((LEN(BE718)-LEN(SUBSTITUTE(BE718," "&amp;L_PendNeg&amp;" "," ")))/(LEN(L_PendNeg)+1))+SUMPRODUCT((LEN(BE718)-LEN(SUBSTITUTE(BE718," "&amp;L_PendPrep&amp;" "," ")))/(LEN(L_PendPrep)+1)),1,0),1)</f>
        <v>0</v>
      </c>
      <c r="BK718" s="61" t="n">
        <f aca="false">IFERROR(IF(SUMPRODUCT((LEN(BF718)-LEN(SUBSTITUTE(BF718," "&amp;L_PendStrict&amp;" "," ")))/(LEN(L_PendStrict)+1))&gt;SUMPRODUCT((LEN(BF718)-LEN(SUBSTITUTE(BF718," "&amp;L_PendNeg&amp;" "," ")))/(LEN(L_PendNeg)+1)),1,0),1)</f>
        <v>0</v>
      </c>
      <c r="BL718" s="61" t="n">
        <f aca="false">IF(ISNA(MATCH(TRIM(S718),L_EvidenceType,0)),0,BZ718)</f>
        <v>0</v>
      </c>
      <c r="BM718" s="61" t="str">
        <f aca="false">SUBSTITUTE(SUBSTITUTE(SUBSTITUTE(SUBSTITUTE(SUBSTITUTE(SUBSTITUTE(SUBSTITUTE(SUBSTITUTE(SUBSTITUTE(LOWER(Z718&amp;""),"1","0"),"2","0"),"3","0"),"4","0"),"5","0"),"6","0"),"7","0"),"8","0"),"9","0")</f>
        <v/>
      </c>
      <c r="BN718" s="61" t="str">
        <f aca="false">SUBSTITUTE(SUBSTITUTE(SUBSTITUTE(SUBSTITUTE(SUBSTITUTE(SUBSTITUTE(SUBSTITUTE(SUBSTITUTE(SUBSTITUTE(SUBSTITUTE(SUBSTITUTE(SUBSTITUTE(SUBSTITUTE(SUBSTITUTE(SUBSTITUTE(SUBSTITUTE(SUBSTITUTE(SUBSTITUTE(SUBSTITUTE(SUBSTITUTE(SUBSTITUTE(SUBSTITUTE(SUBSTITUTE(SUBSTITUTE(SUBSTITUTE(BM718,"b","a"),"c","a"),"d","a"),"e","a"),"f","a"),"g","a"),"h","a"),"i","a"),"j","a"),"k","a"),"l","a"),"m","a"),"n","a"),"o","a"),"p","a"),"q","a"),"r","a"),"s","a"),"t","a"),"u","a"),"v","a"),"w","a"),"x","a"),"y","a"),"z","a")</f>
        <v/>
      </c>
      <c r="BO718" s="61" t="str">
        <f aca="false">SUBSTITUTE(SUBSTITUTE(SUBSTITUTE(SUBSTITUTE(SUBSTITUTE(SUBSTITUTE(SUBSTITUTE(SUBSTITUTE(SUBSTITUTE(LOWER(W718&amp;""),"1","0"),"2","0"),"3","0"),"4","0"),"5","0"),"6","0"),"7","0"),"8","0"),"9","0")</f>
        <v/>
      </c>
      <c r="BP718" s="61" t="str">
        <f aca="false">SUBSTITUTE(SUBSTITUTE(SUBSTITUTE(SUBSTITUTE(SUBSTITUTE(SUBSTITUTE(SUBSTITUTE(SUBSTITUTE(SUBSTITUTE(SUBSTITUTE(SUBSTITUTE(SUBSTITUTE(SUBSTITUTE(SUBSTITUTE(SUBSTITUTE(SUBSTITUTE(SUBSTITUTE(SUBSTITUTE(SUBSTITUTE(SUBSTITUTE(SUBSTITUTE(SUBSTITUTE(SUBSTITUTE(SUBSTITUTE(SUBSTITUTE(BO718,"b","a"),"c","a"),"d","a"),"e","a"),"f","a"),"g","a"),"h","a"),"i","a"),"j","a"),"k","a"),"l","a"),"m","a"),"n","a"),"o","a"),"p","a"),"q","a"),"r","a"),"s","a"),"t","a"),"u","a"),"v","a"),"w","a"),"x","a"),"y","a"),"z","a")</f>
        <v/>
      </c>
      <c r="BQ718" s="61" t="n">
        <f aca="false">IFERROR(IF(AND(ISERROR(SEARCH(" mh"," "&amp;LOWER(W718))),ISNA(MATCH(LEFT(TRIM(BP718),255),{"0000a","000a","00a","0000aa","000aa","00aa","0aa","0000aaa","000aaa","00a00","0a00","0000-0000","00:00","a00","a0","00.00.0000","00/00/0000","00-00-0000","0000-00-00","0000/00/00","0000.00.00","00.00.00","00/00/00","00-00-00","0.00.0000","0/00/0000","0-00-0000"},0)),ISNA(MATCH(LEFT(TRIM(CA718),255),{"0000a","000a","00a","0000aa","000aa","00aa","0aa","0000aaa","000aaa","00a00","0a00","0000-0000","00:00","a00","a0","00.00.0000","00/00/0000","00-00-0000","0000-00-00","0000/00/00","0000.00.00","00.00.00","00/00/00","00-00-00","0.00.0000","0/00/0000","0-00-0000"},0)),LEN(CB718)&gt;=3,NOT(OR(SUBSTITUTE(CB718,"0","")="",AND(LEN(CB718)&gt;=4,CB718=REPT(LEFT(CB718),LEN(CB718))),ISNUMBER(MATCH(CB718,{"123","1234","12345","123456","1234567","12345678","0123","01234","012345","98765","987654","54321"},0)),AND(LEN(CB718)=8,LEFT(CB718,3)="202"))),OR(AND((LEN(CA718)-LEN(SUBSTITUTE(CA718,"a","")))&gt;=1,SUMPRODUCT(--ISNUMBER(SEARCH({"a0","a-0","a_0","a/0","a.0","a#0","0a","0-a","0_a","0/a"},BP718)))&gt;0),ISNUMBER(SEARCH("000000",BP718)))),1,0),0)</f>
        <v>0</v>
      </c>
      <c r="BR718" s="61" t="n">
        <f aca="false">IFERROR(LEN(SUBSTITUTE(CC718," ",""))-SUMPRODUCT((LEN(CC718)-LEN(SUBSTITUTE(CC718," "&amp;L_Role&amp;" "," ")))/(LEN(L_Role)+1)*LEN(L_Role)),0)</f>
        <v>0</v>
      </c>
      <c r="BS718" s="61" t="n">
        <f aca="false">IFERROR(LEN(SUBSTITUTE(CD718," ",""))-SUMPRODUCT((LEN(CD718)-LEN(SUBSTITUTE(CD718," "&amp;L_Role&amp;" "," ")))/(LEN(L_Role)+1)*LEN(L_Role)),0)</f>
        <v>0</v>
      </c>
      <c r="BT7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718,"revision",""),"version",""),"jan",""),"feb",""),"mar",""),"apr",""),"may",""),"jun",""),"jul",""),"aug",""),"sep",""),"oct",""),"nov",""),"dec",""),"utc",""),"gmt",""),"myt",""),"bst",""),"rev",""),"ver",""),"b","a"),"c","a"),"d","a"),"e","a"),"f","a"),"g","a"),"h","a"),"i","a"),"j","a"),"k","a"),"l","a"),"m","a"),"n","a"),"o","a"),"p","a"),"q","a"),"r","a"),"s","a"),"t","a"),"u","a"),"v","a"),"w","a"),"x","a"),"y","a"),"z","a")</f>
        <v/>
      </c>
      <c r="BU718" s="61" t="str">
        <f aca="false">SUBSTITUTE(SUBSTITUTE(SUBSTITUTE(SUBSTITUTE(SUBSTITUTE(SUBSTITUTE(SUBSTITUTE(SUBSTITUTE(SUBSTITUTE(SUBSTITUTE(LEFT(BM718,FIND("0",BM718&amp;"0")-1),"-",""),"_",""),"/",""),".",""),"#",""),"\\",""),":","")," ",""),"(",""),")","")</f>
        <v/>
      </c>
      <c r="BV718" s="61" t="n">
        <f aca="false">0</f>
        <v>0</v>
      </c>
      <c r="BW71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718&amp;""),"a",""),"b",""),"c",""),"d",""),"e",""),"f",""),"g",""),"h",""),"i",""),"j",""),"k",""),"l",""),"m",""),"n",""),"o",""),"p",""),"q",""),"r",""),"s",""),"t",""),"u",""),"v",""),"w",""),"x",""),"y",""),"z",""),"-",""),"_",""),"/",""),".",""),"#",""),"\\",""),":","")," ",""),"(",""),")","")</f>
        <v/>
      </c>
      <c r="BX718" s="61" t="str">
        <f aca="false">SUBSTITUTE(SUBSTITUTE(SUBSTITUTE(SUBSTITUTE(SUBSTITUTE(SUBSTITUTE(SUBSTITUTE(SUBSTITUTE(SUBSTITUTE(SUBSTITUTE(SUBSTITUTE(BM718,"0",""),"-",""),"_",""),"/",""),".",""),"#",""),"\\",""),":","")," ",""),"(",""),")","")</f>
        <v/>
      </c>
      <c r="BY718" s="62" t="n">
        <f aca="false">Q718-T12EarlyH/24</f>
        <v>46324.6388888889</v>
      </c>
      <c r="BZ718" s="61" t="n">
        <f aca="false">IFERROR(IF(IF(TRIM(S718)="Link / file path",AND(LEN(TRIM(Z718))&gt;=5,SUMPRODUCT(--ISNUMBER(SEARCH({"http","www.","\\",":\",".pdf",".jpg",".jpeg",".png",".heic",".xls",".doc",".msg",".eml",".ppt",".txt",".zip"},Z718)))&gt;0),AND(ISERROR(FIND(" ",TRIM(Z718))),NOT(OR(SUMPRODUCT(--ISNUMBER(FIND({",",";","&amp;","+"},Z718)))&gt;0,SUMPRODUCT(--ISNUMBER(SEARCH({"0/aa","0\\aa"},BN718)))&gt;0)),NOT(SUMPRODUCT(--ISNUMBER(SEARCH({"http","www.","\\",":\",".pdf",".jpg",".jpeg",".png",".heic",".xls",".doc",".msg",".eml",".ppt",".txt",".zip"},Z718)))&gt;0),NOT(LOWER(TRIM(Z718))=LOWER(Flights!$F$26)),ISNA(MATCH(BU718,{"mh","rev","revision","ver","version","v","r","a","b","seat","tray","row","gate","bay","stand","page","pg","item","line","no","cart","galley","flight","flt","table","box","bag","oven","etd","eta","std","sta","atd","ata","qty","pax","x","time","tel","ph","mob","day","wk","week","utc","gmt","myt","lt"},0)),NOT(OR(ISNUMBER(MATCH(LEFT(BN718,255),{"0000a","000a","00a","0000aa","000aa","00aa","0aa","0000aaa","000aaa","00a00","0a00","0000-0000","00:00","a00","a0","00.00.0000","00/00/0000","00-00-0000","0000-00-00","0000/00/00","0000.00.00","00.00.00","00/00/00","00-00-00","0.00.0000","0/00/0000","0-00-0000"},0)),ISNUMBER(MATCH(LEFT(BT718,255),{"0000a","000a","00a","0000aa","000aa","00aa","0aa","0000aaa","000aaa","00a00","0a00","0000-0000","00:00","a00","a0","00.00.0000","00/00/0000","00-00-0000","0000-00-00","0000/00/00","0000.00.00","00.00.00","00/00/00","00-00-00","0.00.0000","0/00/0000","0-00-0000"},0)))),NOT(OR(AND(BW718&lt;&gt;"",SUBSTITUTE(BW718,"0","")=""),AND(LEN(BW718)&gt;=4,BW718=REPT(LEFT(BW718),LEN(BW718))),ISNUMBER(MATCH(BW718,{"123","1234","12345","123456","1234567","12345678","0123","01234","012345","98765","987654","54321"},0)),ISNUMBER(MATCH(BX718,{"x","xx","xxx","xxxx","xxxxx","abc","abcd","nil","na","nan","test","tbc","tba","tbd","dummy","sample","example","eg","zz","zzz","none","null","xyz","qwe","asd","id","ref"},0)),AND(LEN(BW718)=8,BX718="",OR(LEFT(BW718,3)="202",ISNUMBER(MATCH(RIGHT(BW718,4),{"2025","2026","2027"},0)))))),OR(AND((LEN(BT718)-LEN(SUBSTITUTE(BT718,"a","")))&gt;=1,(LEN(BN718)-LEN(SUBSTITUTE(BN718,"0","")))&gt;=2,SUMPRODUCT(--ISNUMBER(SEARCH({"a0","a-0","a_0","a/0","a.0","a#0","0a","0-a","0_a","0/a"},BN718)))&gt;0),AND((LEN(BN718)-LEN(SUBSTITUTE(BN718,"a","")))=0,(LEN(BN718)-LEN(SUBSTITUTE(BN718,"0","")))&gt;=5)))),1,0),0)</f>
        <v>0</v>
      </c>
      <c r="CA7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718,"revision",""),"version",""),"jan",""),"feb",""),"mar",""),"apr",""),"may",""),"jun",""),"jul",""),"aug",""),"sep",""),"oct",""),"nov",""),"dec",""),"utc",""),"gmt",""),"myt",""),"bst",""),"rev",""),"ver",""),"b","a"),"c","a"),"d","a"),"e","a"),"f","a"),"g","a"),"h","a"),"i","a"),"j","a"),"k","a"),"l","a"),"m","a"),"n","a"),"o","a"),"p","a"),"q","a"),"r","a"),"s","a"),"t","a"),"u","a"),"v","a"),"w","a"),"x","a"),"y","a"),"z","a")</f>
        <v/>
      </c>
      <c r="CB7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718&amp;""),"a",""),"b",""),"c",""),"d",""),"e",""),"f",""),"g",""),"h",""),"i",""),"j",""),"k",""),"l",""),"m",""),"n",""),"o",""),"p",""),"q",""),"r",""),"s",""),"t",""),"u",""),"v",""),"w",""),"x",""),"y",""),"z",""),"-",""),"_",""),"/",""),".",""),"#",""),"\\",""),":","")," ",""),"(",""),")","")</f>
        <v/>
      </c>
      <c r="CC718" s="0" t="str">
        <f aca="false">" "&amp;TRIM(SUBSTITUTE(SUBSTITUTE(SUBSTITUTE(SUBSTITUTE(SUBSTITUTE(SUBSTITUTE(SUBSTITUTE(SUBSTITUTE(SUBSTITUTE(SUBSTITUTE(SUBSTITUTE(SUBSTITUTE(SUBSTITUTE(SUBSTITUTE(SUBSTITUTE(SUBSTITUTE(SUBSTITUTE(SUBSTITUTE(SUBSTITUTE(SUBSTITUTE(SUBSTITUTE(SUBSTITUTE(SUBSTITUTE(SUBSTITUTE(LOWER(T718&amp;""),CHAR(10)," "),CHAR(13)," "),CHAR(9)," "),CHAR(160)," "),"."," "),","," "),"-"," "),"/"," "),"("," "),")"," "),":"," "),";"," "),"_"," "),"–"," "),"?"," "),"!"," "),"*"," "),"["," "),"]"," "),"'"," "),"#"," "),"+"," "),"&amp;"," "),"\"," "))&amp;" "</f>
        <v>  </v>
      </c>
      <c r="CD718" s="0" t="str">
        <f aca="false">" "&amp;TRIM(SUBSTITUTE(SUBSTITUTE(SUBSTITUTE(SUBSTITUTE(SUBSTITUTE(SUBSTITUTE(SUBSTITUTE(SUBSTITUTE(SUBSTITUTE(SUBSTITUTE(SUBSTITUTE(SUBSTITUTE(SUBSTITUTE(SUBSTITUTE(SUBSTITUTE(SUBSTITUTE(SUBSTITUTE(SUBSTITUTE(SUBSTITUTE(SUBSTITUTE(SUBSTITUTE(SUBSTITUTE(SUBSTITUTE(SUBSTITUTE(LOWER(AE718&amp;""),CHAR(10)," "),CHAR(13)," "),CHAR(9)," "),CHAR(160)," "),"."," "),","," "),"-"," "),"/"," "),"("," "),")"," "),":"," "),";"," "),"_"," "),"–"," "),"?"," "),"!"," "),"*"," "),"["," "),"]"," "),"'"," "),"#"," "),"+"," "),"&amp;"," "),"\"," "))&amp;" "</f>
        <v>  </v>
      </c>
      <c r="CE718" s="68" t="n">
        <f aca="false">IFERROR(IF(AND(LEN(AU718)&gt;0,LEN(AU718)=LEN(AX718),OR(TRIM(MID(SUBSTITUTE(TRIM(CC718)," ",REPT(" ",60)),1,60))="",ISNUMBER(SEARCH(" "&amp;TRIM(MID(SUBSTITUTE(TRIM(CC718)," ",REPT(" ",60)),1,60))&amp;" ",CD718))),OR(TRIM(MID(SUBSTITUTE(TRIM(CC718)," ",REPT(" ",60)),61,60))="",ISNUMBER(SEARCH(" "&amp;TRIM(MID(SUBSTITUTE(TRIM(CC718)," ",REPT(" ",60)),61,60))&amp;" ",CD718))),OR(TRIM(MID(SUBSTITUTE(TRIM(CC718)," ",REPT(" ",60)),121,60))="",ISNUMBER(SEARCH(" "&amp;TRIM(MID(SUBSTITUTE(TRIM(CC718)," ",REPT(" ",60)),121,60))&amp;" ",CD718)))),1,0),0)</f>
        <v>0</v>
      </c>
      <c r="CG718" s="68" t="n">
        <f aca="false">IFERROR(LEN(SUBSTITUTE(BF718," ",""))-SUMPRODUCT((LEN(BF718)-LEN(SUBSTITUTE(BF718," "&amp;L_NAFiller&amp;" "," ")))/(LEN(L_NAFiller)+1)*LEN(L_NAFiller)),0)</f>
        <v>0</v>
      </c>
    </row>
    <row r="719" customFormat="false" ht="91.5" hidden="false" customHeight="true" outlineLevel="0" collapsed="false">
      <c r="A719" s="57" t="s">
        <v>1453</v>
      </c>
      <c r="B719" s="57" t="s">
        <v>312</v>
      </c>
      <c r="C719" s="57" t="str">
        <f aca="false">Flights!$F$26</f>
        <v>MH0002</v>
      </c>
      <c r="D719" s="58" t="n">
        <f aca="false">Flights!$D$26</f>
        <v>46325</v>
      </c>
      <c r="E719" s="57" t="str">
        <f aca="false">Flights!$G$26&amp;"-"&amp;Flights!$H$26</f>
        <v>KUL-LHR</v>
      </c>
      <c r="F719" s="57" t="str">
        <f aca="false">Flights!$K$26</f>
        <v>BC</v>
      </c>
      <c r="G719" s="57" t="s">
        <v>420</v>
      </c>
      <c r="H719" s="57" t="s">
        <v>378</v>
      </c>
      <c r="I719" s="57" t="s">
        <v>440</v>
      </c>
      <c r="J719" s="57" t="s">
        <v>441</v>
      </c>
      <c r="K719" s="67" t="s">
        <v>501</v>
      </c>
      <c r="L719" s="67" t="s">
        <v>443</v>
      </c>
      <c r="M719" s="67" t="s">
        <v>726</v>
      </c>
      <c r="N719" s="67" t="s">
        <v>444</v>
      </c>
      <c r="O719" s="67" t="s">
        <v>727</v>
      </c>
      <c r="P719" s="57" t="s">
        <v>187</v>
      </c>
      <c r="Q719" s="59" t="n">
        <f aca="false">ROUND((Flights!$AE$26)*1440,0)/1440</f>
        <v>46325.1388888889</v>
      </c>
      <c r="R719" s="59" t="n">
        <f aca="false">Q719+(IF(AND(INDEX(TZ_DSTS,MATCH(P719,TZ_STN,0))&lt;&gt;"",Q719&gt;=INDEX(TZ_DSTS,MATCH(P719,TZ_STN,0)),Q719&lt;INDEX(TZ_DSTE,MATCH(P719,TZ_STN,0))),INDEX(TZ_DST,MATCH(P719,TZ_STN,0)),INDEX(TZ_STD,MATCH(P719,TZ_STN,0))))/24</f>
        <v>46325.4722222222</v>
      </c>
      <c r="S719" s="60"/>
      <c r="T719" s="60"/>
      <c r="U719" s="60"/>
      <c r="V719" s="60"/>
      <c r="W719" s="61"/>
      <c r="X719" s="60"/>
      <c r="Y719" s="60"/>
      <c r="Z719" s="60"/>
      <c r="AA719" s="60"/>
      <c r="AB719" s="60"/>
      <c r="AC719" s="60"/>
      <c r="AD719" s="66"/>
      <c r="AE719" s="60"/>
      <c r="AF719" s="61" t="str">
        <f aca="false">IF(AND(ISNUMBER(X719),ISNUMBER(Y719)),Y719-X719,"")</f>
        <v/>
      </c>
      <c r="AG719" s="62" t="str">
        <f aca="false">IF(ISNUMBER(AD719),AD719-(IF(AND(INDEX(TZ_DSTS,MATCH(P719,TZ_STN,0))&lt;&gt;"",(AD719-INDEX(TZ_STD,MATCH(P719,TZ_STN,0))/24)&gt;=INDEX(TZ_DSTS,MATCH(P719,TZ_STN,0)),(AD719-INDEX(TZ_STD,MATCH(P719,TZ_STN,0))/24)&lt;INDEX(TZ_DSTE,MATCH(P719,TZ_STN,0))),INDEX(TZ_DST,MATCH(P719,TZ_STN,0)),INDEX(TZ_STD,MATCH(P719,TZ_STN,0))))/24,"")</f>
        <v/>
      </c>
      <c r="AH719" s="65" t="str">
        <f aca="false">IFERROR(IF(N719="N/A – rule",IF(OR(TRIM(U719)="",TRIM(U719)="N/A",TRIM(U719)="Not started"),"N/A – RULE","INVALID – this check does not apply to this aircraft: clear the status (or correct the fleet on Flights)"),IF(TRIM(U719)="N/A",IF(AT719=0,"INVALID – N/A not permitted for this check",IF(AND(TRIM(AB719)&lt;&gt;"",TRIM(AB719)&lt;&gt;"Closed"),"INVALID – corrective action still open",IF(AND(NOT(OR(LEN(AZ719)&lt;15,ISNUMBER(MATCH(AZ719,L_Placeholder,0)))),BK719=0,CG719&gt;=8,NOT(OR(LEN(AU719)&lt;2,ISNUMBER(MATCH(AU719,L_Placeholder,0)))),BR719&gt;=3,NOT(OR(LEN(AX719)&lt;2,ISNUMBER(MATCH(AX719,L_Placeholder,0)))),BS719&gt;=3,TRIM(AE719)&lt;&gt;TRIM(T719),AX719&lt;&gt;AU719,CE719=0),"N/A – JUSTIFIED","INVALID – N/A needs a real, settled reason (not 'not applicable' / 'as above' / TBC), a named PIC and a different named verifier"))),IF(OR(TRIM(U719)="Pass",TRIM(U719)="Pass after CA"),IF(NOT(ISNUMBER(AD719)),"INVALID – completion time missing",IF(OR(OR(LEN(AU719)&lt;2,ISNUMBER(MATCH(AU719,L_Placeholder,0))),BR719&lt;3),"INVALID – PIC missing or not a named person (a role such as QA / CSM is not a name)",IF(OR(LEN(AV719)&lt;2,ISNUMBER(MATCH(AV719,L_Placeholder,0))),"INVALID – result / assessment missing",IF(OR(OR(LEN(AW719)&lt;3,ISNUMBER(MATCH(AW719,L_Placeholder,0))),SUMPRODUCT(--ISNUMBER(SEARCH(" "&amp;L_EvidencePhrase&amp;" ",BD719)))&gt;0,BI719=1),"INVALID – evidence missing, placeholder or not yet on file",IF(ISNA(MATCH(TRIM(S719),L_EvidenceType,0)),"INVALID – choose the evidence type from the list (column S)",IF(BL719=0,"INVALID – evidence ID must be the record's own ID only (e.g. SF-2210, IMG_2231, 1045521); a link / file name needs type 'Link / file path'",IF(OR(OR(LEN(AX719)&lt;2,ISNUMBER(MATCH(AX719,L_Placeholder,0))),BS719&lt;3),"INVALID – verifier missing or not a named person (a role such as QA / CSM is not a name)",IF(OR(AX719=AU719,CE719=1,AND(LEN(AU719)&gt;=4,ISNUMBER(SEARCH(AU719,AX719))),AND(LEN(AX719)&gt;=4,ISNUMBER(SEARCH(AX719,AU719)))),"INVALID – verifier must be a different, named person (not the PIC or a role)",IF(BH719=1,"INVALID – result not yet available (awaiting / TBC)",IF(BG719=1,"INVALID – result describes a problem: record Fail, then Pass after CA (or reword if it is not a problem)",IF(BV719=1,"INVALID – wording says not on board: an on-board confirmation needs the item loaded",IF(AND(AQ719=1,OR(OR(LEN(AY719)&lt;3,ISNUMBER(MATCH(AY719,L_Placeholder,0))),BJ719=1,BQ719=0)),"INVALID – batch ID missing, placeholder or not an ID (e.g. PASB-261008-BC-017)",IF(AND(AR719=1,OR(NOT(ISNUMBER(X719)),NOT(ISNUMBER(Y719)))),"INVALID – expected/actual qty missing",IF(AND(AR719=1,OR(X719&lt;=0,Y719&lt;0)),"INVALID – expected qty must be above 0 and actual not negative",IF(BB719&lt;&gt;"",BB719,IF(AND(AS719=1,Documents!$J$26&lt;&gt;"ON FILE"),"INVALID – GLD not on file (Documents sheet)",IF(AND(AS719=2,Documents!$O$26&lt;&gt;"ON FILE"),"INVALID – menu checklist not on file (Documents sheet)",IF(AND(AS719=3,NOT(ISNUMBER(Flights!$AX$26))),"INVALID – enter carrying flight KUL departure (Flights AX)",IF(AND(AS719=3,OR(Flights!$AZ$26&gt;Flights!$AA$26,Flights!$AX$26&lt;Flights!$AA$26-3)),"INVALID – carrying flight (Flights AX) cannot arrive before this leg's STD, or is over 3 days early",IF(AG719&gt;AsOfUTC,"INVALID – completion time is in the future",IF(AND(ISNUMBER(BY719),AG719&lt;BY719),IF(H719="Physical uplift","INVALID – before uplift window (cannot confirm loading)","INVALID – before valid window"),IF(AG719&gt;Flights!$AA$26,"INVALID – completed after departure (cannot establish readiness)",IF(AND(H719="Preparation",AG719&gt;=IF(ISNUMBER(Flights!$BA$26),MIN(Flights!$BA$26,Flights!$AA$26),Flights!$AA$26)),"INVALID – completed after loading / departure (cannot establish readiness)",IF(AND(H719="Physical uplift",AG719&gt;Q719),"INVALID – recorded after the loading flight departed",IF(AG719&gt;Q719,"COMPLETE – LATE","COMPLETE"))))))))))))))))))))))))),IF(TRIM(U719)="Fail","FAIL – DISCREPANCY",IF(AND(TRIM(U719)&lt;&gt;"",TRIM(U719)&lt;&gt;"Not started",TRIM(U719)&lt;&gt;"In progress"),"INVALID – unrecognised status (use the list)",IF(AsOfUTC&gt;Q719,"OVERDUE",IF(N719="Clarification required","OPEN – CLARIFICATION","OPEN"))))))),"INVALID – error value in an input cell")</f>
        <v>OPEN – CLARIFICATION</v>
      </c>
      <c r="AI719" s="61" t="n">
        <f aca="false">IF(OR(AH719="N/A – RULE",AH719="N/A – JUSTIFIED"),0,1)</f>
        <v>1</v>
      </c>
      <c r="AJ719" s="61" t="n">
        <f aca="false">IF(LEFT(AH719,8)="COMPLETE",1,0)</f>
        <v>0</v>
      </c>
      <c r="AK719" s="61" t="n">
        <f aca="false">IF(AND(AI719=1,AJ719=0,AsOfUTC&gt;Q719),1,0)</f>
        <v>0</v>
      </c>
      <c r="AL719" s="61" t="n">
        <f aca="false">IFERROR(IF(AND(AI719=1,OR(TRIM(U719)="Fail",AND(TRIM(AB719)&lt;&gt;"",TRIM(AB719)&lt;&gt;"Closed"),AND(ISNUMBER(AF719),AF719&lt;&gt;0,TRIM(U719)&lt;&gt;"Pass after CA"))),1,0),1)</f>
        <v>0</v>
      </c>
      <c r="AM719" s="61" t="n">
        <f aca="false">IF(LEFT(AH719,7)="INVALID",1,0)</f>
        <v>0</v>
      </c>
      <c r="AN719" s="61" t="n">
        <f aca="false">IF(AND(N719="Clarification required",AI719=1,AJ719=0),1,0)</f>
        <v>1</v>
      </c>
      <c r="AO719" s="61" t="str">
        <f aca="false">IF(AK719=1,SUM(AK$5:AK719),"")</f>
        <v/>
      </c>
      <c r="AP719" s="61" t="str">
        <f aca="false">IF(AL719=1,SUM(AL$5:AL719),"")</f>
        <v/>
      </c>
      <c r="AQ719" s="61" t="n">
        <v>0</v>
      </c>
      <c r="AR719" s="61" t="n">
        <v>0</v>
      </c>
      <c r="AS719" s="61" t="n">
        <v>0</v>
      </c>
      <c r="AT719" s="61" t="n">
        <v>1</v>
      </c>
      <c r="AU719" s="61" t="str">
        <f aca="false">SUBSTITUTE(SUBSTITUTE(SUBSTITUTE(SUBSTITUTE(SUBSTITUTE(SUBSTITUTE(SUBSTITUTE(SUBSTITUTE(SUBSTITUTE(SUBSTITUTE(SUBSTITUTE(SUBSTITUTE(SUBSTITUTE(SUBSTITUTE(SUBSTITUTE(SUBSTITUTE(LOWER(T719&amp;""),CHAR(10),""),CHAR(13),""),CHAR(9),""),CHAR(160),"")," ",""),".",""),"-",""),"/",""),"?",""),"_",""),",",""),"[",""),"]",""),"(",""),")",""),"*","")</f>
        <v/>
      </c>
      <c r="AV719" s="61" t="str">
        <f aca="false">SUBSTITUTE(SUBSTITUTE(SUBSTITUTE(SUBSTITUTE(SUBSTITUTE(SUBSTITUTE(SUBSTITUTE(SUBSTITUTE(SUBSTITUTE(SUBSTITUTE(SUBSTITUTE(SUBSTITUTE(SUBSTITUTE(SUBSTITUTE(SUBSTITUTE(SUBSTITUTE(LOWER(V719&amp;""),CHAR(10),""),CHAR(13),""),CHAR(9),""),CHAR(160),"")," ",""),".",""),"-",""),"/",""),"?",""),"_",""),",",""),"[",""),"]",""),"(",""),")",""),"*","")</f>
        <v/>
      </c>
      <c r="AW719" s="61" t="str">
        <f aca="false">SUBSTITUTE(SUBSTITUTE(SUBSTITUTE(SUBSTITUTE(SUBSTITUTE(SUBSTITUTE(SUBSTITUTE(SUBSTITUTE(SUBSTITUTE(SUBSTITUTE(SUBSTITUTE(SUBSTITUTE(SUBSTITUTE(SUBSTITUTE(SUBSTITUTE(SUBSTITUTE(LOWER(Z719&amp;""),CHAR(10),""),CHAR(13),""),CHAR(9),""),CHAR(160),"")," ",""),".",""),"-",""),"/",""),"?",""),"_",""),",",""),"[",""),"]",""),"(",""),")",""),"*","")</f>
        <v/>
      </c>
      <c r="AX719" s="61" t="str">
        <f aca="false">SUBSTITUTE(SUBSTITUTE(SUBSTITUTE(SUBSTITUTE(SUBSTITUTE(SUBSTITUTE(SUBSTITUTE(SUBSTITUTE(SUBSTITUTE(SUBSTITUTE(SUBSTITUTE(SUBSTITUTE(SUBSTITUTE(SUBSTITUTE(SUBSTITUTE(SUBSTITUTE(LOWER(AE719&amp;""),CHAR(10),""),CHAR(13),""),CHAR(9),""),CHAR(160),"")," ",""),".",""),"-",""),"/",""),"?",""),"_",""),",",""),"[",""),"]",""),"(",""),")",""),"*","")</f>
        <v/>
      </c>
      <c r="AY719" s="61" t="str">
        <f aca="false">SUBSTITUTE(SUBSTITUTE(SUBSTITUTE(SUBSTITUTE(SUBSTITUTE(SUBSTITUTE(SUBSTITUTE(SUBSTITUTE(SUBSTITUTE(SUBSTITUTE(SUBSTITUTE(SUBSTITUTE(SUBSTITUTE(SUBSTITUTE(SUBSTITUTE(SUBSTITUTE(LOWER(W719&amp;""),CHAR(10),""),CHAR(13),""),CHAR(9),""),CHAR(160),"")," ",""),".",""),"-",""),"/",""),"?",""),"_",""),",",""),"[",""),"]",""),"(",""),")",""),"*","")</f>
        <v/>
      </c>
      <c r="AZ719" s="61" t="str">
        <f aca="false">SUBSTITUTE(SUBSTITUTE(SUBSTITUTE(SUBSTITUTE(SUBSTITUTE(SUBSTITUTE(SUBSTITUTE(SUBSTITUTE(SUBSTITUTE(SUBSTITUTE(SUBSTITUTE(SUBSTITUTE(SUBSTITUTE(SUBSTITUTE(SUBSTITUTE(SUBSTITUTE(LOWER(AC719&amp;""),CHAR(10),""),CHAR(13),""),CHAR(9),""),CHAR(160),"")," ",""),".",""),"-",""),"/",""),"?",""),"_",""),",",""),"[",""),"]",""),"(",""),")",""),"*","")</f>
        <v/>
      </c>
      <c r="BA719" s="61" t="str">
        <f aca="false">SUBSTITUTE(SUBSTITUTE(SUBSTITUTE(SUBSTITUTE(SUBSTITUTE(SUBSTITUTE(SUBSTITUTE(SUBSTITUTE(SUBSTITUTE(SUBSTITUTE(SUBSTITUTE(SUBSTITUTE(SUBSTITUTE(SUBSTITUTE(SUBSTITUTE(SUBSTITUTE(LOWER(AA719&amp;""),CHAR(10),""),CHAR(13),""),CHAR(9),""),CHAR(160),"")," ",""),".",""),"-",""),"/",""),"?",""),"_",""),",",""),"[",""),"]",""),"(",""),")",""),"*","")</f>
        <v/>
      </c>
      <c r="BB719" s="61" t="str">
        <f aca="false">IF(AND(TRIM(U719)="Pass",ISNUMBER(AF719)),IF(AF719&lt;&gt;0,"INVALID – qty variance: use Fail or Pass after CA",""),"")&amp;IF(AND(TRIM(U719)="Pass after CA",ISNUMBER(AF719)),IF(AF719&lt;&gt;0,"INVALID – after the corrective action the actual qty must equal expected (update Actual)",""),"")&amp;IF(AND(TRIM(U719)="Pass",TRIM(AB719)&lt;&gt;"",TRIM(AB719)&lt;&gt;"Closed"),"INVALID – corrective action not closed: use Fail, then Pass after CA","")&amp;IF(AND(LEN(BA719)&gt;=2,ISNA(MATCH(LEFT(BA719,255),L_Placeholder,0)),TRIM(AB719)=""),"INVALID – CA status missing for the recorded corrective action","")&amp;IF(AND(TRIM(U719)="Pass after CA",OR(OR(LEN(BA719)&lt;5,ISNUMBER(MATCH(BA719,L_Placeholder,0))),TRIM(AB719)&lt;&gt;"Closed")),"INVALID – corrective action not recorded/closed","")</f>
        <v/>
      </c>
      <c r="BC719" s="61" t="str">
        <f aca="false">" "&amp;TRIM(SUBSTITUTE(SUBSTITUTE(SUBSTITUTE(SUBSTITUTE(SUBSTITUTE(SUBSTITUTE(SUBSTITUTE(SUBSTITUTE(SUBSTITUTE(SUBSTITUTE(SUBSTITUTE(SUBSTITUTE(SUBSTITUTE(SUBSTITUTE(SUBSTITUTE(SUBSTITUTE(SUBSTITUTE(SUBSTITUTE(SUBSTITUTE(SUBSTITUTE(SUBSTITUTE(SUBSTITUTE(SUBSTITUTE(SUBSTITUTE(LOWER(V719&amp;""),CHAR(10)," "),CHAR(13)," "),CHAR(9)," "),CHAR(160)," "),"."," "),","," "),"-"," "),"/"," "),"("," "),")"," "),":"," "),";"," "),"_"," "),"–"," "),"?"," "),"!"," "),"*"," "),"["," "),"]"," "),"'"," "),"#"," "),"+"," "),"&amp;"," "),"\"," "))&amp;" "</f>
        <v>  </v>
      </c>
      <c r="BD719" s="61" t="str">
        <f aca="false">" "&amp;TRIM(SUBSTITUTE(SUBSTITUTE(SUBSTITUTE(SUBSTITUTE(SUBSTITUTE(SUBSTITUTE(SUBSTITUTE(SUBSTITUTE(SUBSTITUTE(SUBSTITUTE(SUBSTITUTE(SUBSTITUTE(SUBSTITUTE(SUBSTITUTE(SUBSTITUTE(SUBSTITUTE(SUBSTITUTE(SUBSTITUTE(SUBSTITUTE(SUBSTITUTE(SUBSTITUTE(SUBSTITUTE(SUBSTITUTE(SUBSTITUTE(LOWER(Z719&amp;""),CHAR(10)," "),CHAR(13)," "),CHAR(9)," "),CHAR(160)," "),"."," "),","," "),"-"," "),"/"," "),"("," "),")"," "),":"," "),";"," "),"_"," "),"–"," "),"?"," "),"!"," "),"*"," "),"["," "),"]"," "),"'"," "),"#"," "),"+"," "),"&amp;"," "),"\"," "))&amp;" "</f>
        <v>  </v>
      </c>
      <c r="BE719" s="61" t="str">
        <f aca="false">" "&amp;TRIM(SUBSTITUTE(SUBSTITUTE(SUBSTITUTE(SUBSTITUTE(SUBSTITUTE(SUBSTITUTE(SUBSTITUTE(SUBSTITUTE(SUBSTITUTE(SUBSTITUTE(SUBSTITUTE(SUBSTITUTE(SUBSTITUTE(SUBSTITUTE(SUBSTITUTE(SUBSTITUTE(SUBSTITUTE(SUBSTITUTE(SUBSTITUTE(SUBSTITUTE(SUBSTITUTE(SUBSTITUTE(SUBSTITUTE(SUBSTITUTE(LOWER(W719&amp;""),CHAR(10)," "),CHAR(13)," "),CHAR(9)," "),CHAR(160)," "),"."," "),","," "),"-"," "),"/"," "),"("," "),")"," "),":"," "),";"," "),"_"," "),"–"," "),"?"," "),"!"," "),"*"," "),"["," "),"]"," "),"'"," "),"#"," "),"+"," "),"&amp;"," "),"\"," "))&amp;" "</f>
        <v>  </v>
      </c>
      <c r="BF719" s="61" t="str">
        <f aca="false">" "&amp;TRIM(SUBSTITUTE(SUBSTITUTE(SUBSTITUTE(SUBSTITUTE(SUBSTITUTE(SUBSTITUTE(SUBSTITUTE(SUBSTITUTE(SUBSTITUTE(SUBSTITUTE(SUBSTITUTE(SUBSTITUTE(SUBSTITUTE(SUBSTITUTE(SUBSTITUTE(SUBSTITUTE(SUBSTITUTE(SUBSTITUTE(SUBSTITUTE(SUBSTITUTE(SUBSTITUTE(SUBSTITUTE(SUBSTITUTE(SUBSTITUTE(LOWER(AC719&amp;""),CHAR(10)," "),CHAR(13)," "),CHAR(9)," "),CHAR(160)," "),"."," "),","," "),"-"," "),"/"," "),"("," "),")"," "),":"," "),";"," "),"_"," "),"–"," "),"?"," "),"!"," "),"*"," "),"["," "),"]"," "),"'"," "),"#"," "),"+"," "),"&amp;"," "),"\"," "))&amp;" "</f>
        <v>  </v>
      </c>
      <c r="BG719" s="61" t="n">
        <f aca="false">IFERROR(IF(AND(TRIM(U719)="Pass",SUMPRODUCT((LEN(BC719)-LEN(SUBSTITUTE(BC719," "&amp;L_ResultBad&amp;" "," ")))/(LEN(L_ResultBad)+1))&gt;SUMPRODUCT((LEN(BC719)-LEN(SUBSTITUTE(BC719," "&amp;L_NegPhrase&amp;" "," ")))/(LEN(L_NegPhrase)+1))),1,0),0)</f>
        <v>0</v>
      </c>
      <c r="BH719" s="61" t="n">
        <f aca="false">IFERROR(IF(SUMPRODUCT((LEN(BC719)-LEN(SUBSTITUTE(BC719," "&amp;L_Pending&amp;" "," ")))/(LEN(L_Pending)+1))&gt;SUMPRODUCT((LEN(BC719)-LEN(SUBSTITUTE(BC719," "&amp;L_PendNeg&amp;" "," ")))/(LEN(L_PendNeg)+1))+SUMPRODUCT((LEN(BC719)-LEN(SUBSTITUTE(BC719," "&amp;L_PendPrep&amp;" "," ")))/(LEN(L_PendPrep)+1)),1,0),1)</f>
        <v>0</v>
      </c>
      <c r="BI719" s="61" t="n">
        <f aca="false">IFERROR(IF(SUMPRODUCT((LEN(BD719)-LEN(SUBSTITUTE(BD719," "&amp;L_PendStrict&amp;" "," ")))/(LEN(L_PendStrict)+1))&gt;SUMPRODUCT((LEN(BD719)-LEN(SUBSTITUTE(BD719," "&amp;L_PendNeg&amp;" "," ")))/(LEN(L_PendNeg)+1)),1,0),1)</f>
        <v>0</v>
      </c>
      <c r="BJ719" s="61" t="n">
        <f aca="false">IFERROR(IF(SUMPRODUCT((LEN(BE719)-LEN(SUBSTITUTE(BE719," "&amp;L_Pending&amp;" "," ")))/(LEN(L_Pending)+1))&gt;SUMPRODUCT((LEN(BE719)-LEN(SUBSTITUTE(BE719," "&amp;L_PendNeg&amp;" "," ")))/(LEN(L_PendNeg)+1))+SUMPRODUCT((LEN(BE719)-LEN(SUBSTITUTE(BE719," "&amp;L_PendPrep&amp;" "," ")))/(LEN(L_PendPrep)+1)),1,0),1)</f>
        <v>0</v>
      </c>
      <c r="BK719" s="61" t="n">
        <f aca="false">IFERROR(IF(SUMPRODUCT((LEN(BF719)-LEN(SUBSTITUTE(BF719," "&amp;L_PendStrict&amp;" "," ")))/(LEN(L_PendStrict)+1))&gt;SUMPRODUCT((LEN(BF719)-LEN(SUBSTITUTE(BF719," "&amp;L_PendNeg&amp;" "," ")))/(LEN(L_PendNeg)+1)),1,0),1)</f>
        <v>0</v>
      </c>
      <c r="BL719" s="61" t="n">
        <f aca="false">IF(ISNA(MATCH(TRIM(S719),L_EvidenceType,0)),0,BZ719)</f>
        <v>0</v>
      </c>
      <c r="BM719" s="61" t="str">
        <f aca="false">SUBSTITUTE(SUBSTITUTE(SUBSTITUTE(SUBSTITUTE(SUBSTITUTE(SUBSTITUTE(SUBSTITUTE(SUBSTITUTE(SUBSTITUTE(LOWER(Z719&amp;""),"1","0"),"2","0"),"3","0"),"4","0"),"5","0"),"6","0"),"7","0"),"8","0"),"9","0")</f>
        <v/>
      </c>
      <c r="BN719" s="61" t="str">
        <f aca="false">SUBSTITUTE(SUBSTITUTE(SUBSTITUTE(SUBSTITUTE(SUBSTITUTE(SUBSTITUTE(SUBSTITUTE(SUBSTITUTE(SUBSTITUTE(SUBSTITUTE(SUBSTITUTE(SUBSTITUTE(SUBSTITUTE(SUBSTITUTE(SUBSTITUTE(SUBSTITUTE(SUBSTITUTE(SUBSTITUTE(SUBSTITUTE(SUBSTITUTE(SUBSTITUTE(SUBSTITUTE(SUBSTITUTE(SUBSTITUTE(SUBSTITUTE(BM719,"b","a"),"c","a"),"d","a"),"e","a"),"f","a"),"g","a"),"h","a"),"i","a"),"j","a"),"k","a"),"l","a"),"m","a"),"n","a"),"o","a"),"p","a"),"q","a"),"r","a"),"s","a"),"t","a"),"u","a"),"v","a"),"w","a"),"x","a"),"y","a"),"z","a")</f>
        <v/>
      </c>
      <c r="BO719" s="61" t="str">
        <f aca="false">SUBSTITUTE(SUBSTITUTE(SUBSTITUTE(SUBSTITUTE(SUBSTITUTE(SUBSTITUTE(SUBSTITUTE(SUBSTITUTE(SUBSTITUTE(LOWER(W719&amp;""),"1","0"),"2","0"),"3","0"),"4","0"),"5","0"),"6","0"),"7","0"),"8","0"),"9","0")</f>
        <v/>
      </c>
      <c r="BP719" s="61" t="str">
        <f aca="false">SUBSTITUTE(SUBSTITUTE(SUBSTITUTE(SUBSTITUTE(SUBSTITUTE(SUBSTITUTE(SUBSTITUTE(SUBSTITUTE(SUBSTITUTE(SUBSTITUTE(SUBSTITUTE(SUBSTITUTE(SUBSTITUTE(SUBSTITUTE(SUBSTITUTE(SUBSTITUTE(SUBSTITUTE(SUBSTITUTE(SUBSTITUTE(SUBSTITUTE(SUBSTITUTE(SUBSTITUTE(SUBSTITUTE(SUBSTITUTE(SUBSTITUTE(BO719,"b","a"),"c","a"),"d","a"),"e","a"),"f","a"),"g","a"),"h","a"),"i","a"),"j","a"),"k","a"),"l","a"),"m","a"),"n","a"),"o","a"),"p","a"),"q","a"),"r","a"),"s","a"),"t","a"),"u","a"),"v","a"),"w","a"),"x","a"),"y","a"),"z","a")</f>
        <v/>
      </c>
      <c r="BQ719" s="61" t="n">
        <f aca="false">IFERROR(IF(AND(ISERROR(SEARCH(" mh"," "&amp;LOWER(W719))),ISNA(MATCH(LEFT(TRIM(BP719),255),{"0000a","000a","00a","0000aa","000aa","00aa","0aa","0000aaa","000aaa","00a00","0a00","0000-0000","00:00","a00","a0","00.00.0000","00/00/0000","00-00-0000","0000-00-00","0000/00/00","0000.00.00","00.00.00","00/00/00","00-00-00","0.00.0000","0/00/0000","0-00-0000"},0)),ISNA(MATCH(LEFT(TRIM(CA719),255),{"0000a","000a","00a","0000aa","000aa","00aa","0aa","0000aaa","000aaa","00a00","0a00","0000-0000","00:00","a00","a0","00.00.0000","00/00/0000","00-00-0000","0000-00-00","0000/00/00","0000.00.00","00.00.00","00/00/00","00-00-00","0.00.0000","0/00/0000","0-00-0000"},0)),LEN(CB719)&gt;=3,NOT(OR(SUBSTITUTE(CB719,"0","")="",AND(LEN(CB719)&gt;=4,CB719=REPT(LEFT(CB719),LEN(CB719))),ISNUMBER(MATCH(CB719,{"123","1234","12345","123456","1234567","12345678","0123","01234","012345","98765","987654","54321"},0)),AND(LEN(CB719)=8,LEFT(CB719,3)="202"))),OR(AND((LEN(CA719)-LEN(SUBSTITUTE(CA719,"a","")))&gt;=1,SUMPRODUCT(--ISNUMBER(SEARCH({"a0","a-0","a_0","a/0","a.0","a#0","0a","0-a","0_a","0/a"},BP719)))&gt;0),ISNUMBER(SEARCH("000000",BP719)))),1,0),0)</f>
        <v>0</v>
      </c>
      <c r="BR719" s="61" t="n">
        <f aca="false">IFERROR(LEN(SUBSTITUTE(CC719," ",""))-SUMPRODUCT((LEN(CC719)-LEN(SUBSTITUTE(CC719," "&amp;L_Role&amp;" "," ")))/(LEN(L_Role)+1)*LEN(L_Role)),0)</f>
        <v>0</v>
      </c>
      <c r="BS719" s="61" t="n">
        <f aca="false">IFERROR(LEN(SUBSTITUTE(CD719," ",""))-SUMPRODUCT((LEN(CD719)-LEN(SUBSTITUTE(CD719," "&amp;L_Role&amp;" "," ")))/(LEN(L_Role)+1)*LEN(L_Role)),0)</f>
        <v>0</v>
      </c>
      <c r="BT7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719,"revision",""),"version",""),"jan",""),"feb",""),"mar",""),"apr",""),"may",""),"jun",""),"jul",""),"aug",""),"sep",""),"oct",""),"nov",""),"dec",""),"utc",""),"gmt",""),"myt",""),"bst",""),"rev",""),"ver",""),"b","a"),"c","a"),"d","a"),"e","a"),"f","a"),"g","a"),"h","a"),"i","a"),"j","a"),"k","a"),"l","a"),"m","a"),"n","a"),"o","a"),"p","a"),"q","a"),"r","a"),"s","a"),"t","a"),"u","a"),"v","a"),"w","a"),"x","a"),"y","a"),"z","a")</f>
        <v/>
      </c>
      <c r="BU719" s="61" t="str">
        <f aca="false">SUBSTITUTE(SUBSTITUTE(SUBSTITUTE(SUBSTITUTE(SUBSTITUTE(SUBSTITUTE(SUBSTITUTE(SUBSTITUTE(SUBSTITUTE(SUBSTITUTE(LEFT(BM719,FIND("0",BM719&amp;"0")-1),"-",""),"_",""),"/",""),".",""),"#",""),"\\",""),":","")," ",""),"(",""),")","")</f>
        <v/>
      </c>
      <c r="BV719" s="61" t="n">
        <f aca="false">0</f>
        <v>0</v>
      </c>
      <c r="BW71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719&amp;""),"a",""),"b",""),"c",""),"d",""),"e",""),"f",""),"g",""),"h",""),"i",""),"j",""),"k",""),"l",""),"m",""),"n",""),"o",""),"p",""),"q",""),"r",""),"s",""),"t",""),"u",""),"v",""),"w",""),"x",""),"y",""),"z",""),"-",""),"_",""),"/",""),".",""),"#",""),"\\",""),":","")," ",""),"(",""),")","")</f>
        <v/>
      </c>
      <c r="BX719" s="61" t="str">
        <f aca="false">SUBSTITUTE(SUBSTITUTE(SUBSTITUTE(SUBSTITUTE(SUBSTITUTE(SUBSTITUTE(SUBSTITUTE(SUBSTITUTE(SUBSTITUTE(SUBSTITUTE(SUBSTITUTE(BM719,"0",""),"-",""),"_",""),"/",""),".",""),"#",""),"\\",""),":","")," ",""),"(",""),")","")</f>
        <v/>
      </c>
      <c r="BY719" s="62" t="n">
        <f aca="false">Q719-T12EarlyH/24</f>
        <v>46324.6388888889</v>
      </c>
      <c r="BZ719" s="61" t="n">
        <f aca="false">IFERROR(IF(IF(TRIM(S719)="Link / file path",AND(LEN(TRIM(Z719))&gt;=5,SUMPRODUCT(--ISNUMBER(SEARCH({"http","www.","\\",":\",".pdf",".jpg",".jpeg",".png",".heic",".xls",".doc",".msg",".eml",".ppt",".txt",".zip"},Z719)))&gt;0),AND(ISERROR(FIND(" ",TRIM(Z719))),NOT(OR(SUMPRODUCT(--ISNUMBER(FIND({",",";","&amp;","+"},Z719)))&gt;0,SUMPRODUCT(--ISNUMBER(SEARCH({"0/aa","0\\aa"},BN719)))&gt;0)),NOT(SUMPRODUCT(--ISNUMBER(SEARCH({"http","www.","\\",":\",".pdf",".jpg",".jpeg",".png",".heic",".xls",".doc",".msg",".eml",".ppt",".txt",".zip"},Z719)))&gt;0),NOT(LOWER(TRIM(Z719))=LOWER(Flights!$F$26)),ISNA(MATCH(BU719,{"mh","rev","revision","ver","version","v","r","a","b","seat","tray","row","gate","bay","stand","page","pg","item","line","no","cart","galley","flight","flt","table","box","bag","oven","etd","eta","std","sta","atd","ata","qty","pax","x","time","tel","ph","mob","day","wk","week","utc","gmt","myt","lt"},0)),NOT(OR(ISNUMBER(MATCH(LEFT(BN719,255),{"0000a","000a","00a","0000aa","000aa","00aa","0aa","0000aaa","000aaa","00a00","0a00","0000-0000","00:00","a00","a0","00.00.0000","00/00/0000","00-00-0000","0000-00-00","0000/00/00","0000.00.00","00.00.00","00/00/00","00-00-00","0.00.0000","0/00/0000","0-00-0000"},0)),ISNUMBER(MATCH(LEFT(BT719,255),{"0000a","000a","00a","0000aa","000aa","00aa","0aa","0000aaa","000aaa","00a00","0a00","0000-0000","00:00","a00","a0","00.00.0000","00/00/0000","00-00-0000","0000-00-00","0000/00/00","0000.00.00","00.00.00","00/00/00","00-00-00","0.00.0000","0/00/0000","0-00-0000"},0)))),NOT(OR(AND(BW719&lt;&gt;"",SUBSTITUTE(BW719,"0","")=""),AND(LEN(BW719)&gt;=4,BW719=REPT(LEFT(BW719),LEN(BW719))),ISNUMBER(MATCH(BW719,{"123","1234","12345","123456","1234567","12345678","0123","01234","012345","98765","987654","54321"},0)),ISNUMBER(MATCH(BX719,{"x","xx","xxx","xxxx","xxxxx","abc","abcd","nil","na","nan","test","tbc","tba","tbd","dummy","sample","example","eg","zz","zzz","none","null","xyz","qwe","asd","id","ref"},0)),AND(LEN(BW719)=8,BX719="",OR(LEFT(BW719,3)="202",ISNUMBER(MATCH(RIGHT(BW719,4),{"2025","2026","2027"},0)))))),OR(AND((LEN(BT719)-LEN(SUBSTITUTE(BT719,"a","")))&gt;=1,(LEN(BN719)-LEN(SUBSTITUTE(BN719,"0","")))&gt;=2,SUMPRODUCT(--ISNUMBER(SEARCH({"a0","a-0","a_0","a/0","a.0","a#0","0a","0-a","0_a","0/a"},BN719)))&gt;0),AND((LEN(BN719)-LEN(SUBSTITUTE(BN719,"a","")))=0,(LEN(BN719)-LEN(SUBSTITUTE(BN719,"0","")))&gt;=5)))),1,0),0)</f>
        <v>0</v>
      </c>
      <c r="CA7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719,"revision",""),"version",""),"jan",""),"feb",""),"mar",""),"apr",""),"may",""),"jun",""),"jul",""),"aug",""),"sep",""),"oct",""),"nov",""),"dec",""),"utc",""),"gmt",""),"myt",""),"bst",""),"rev",""),"ver",""),"b","a"),"c","a"),"d","a"),"e","a"),"f","a"),"g","a"),"h","a"),"i","a"),"j","a"),"k","a"),"l","a"),"m","a"),"n","a"),"o","a"),"p","a"),"q","a"),"r","a"),"s","a"),"t","a"),"u","a"),"v","a"),"w","a"),"x","a"),"y","a"),"z","a")</f>
        <v/>
      </c>
      <c r="CB7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719&amp;""),"a",""),"b",""),"c",""),"d",""),"e",""),"f",""),"g",""),"h",""),"i",""),"j",""),"k",""),"l",""),"m",""),"n",""),"o",""),"p",""),"q",""),"r",""),"s",""),"t",""),"u",""),"v",""),"w",""),"x",""),"y",""),"z",""),"-",""),"_",""),"/",""),".",""),"#",""),"\\",""),":","")," ",""),"(",""),")","")</f>
        <v/>
      </c>
      <c r="CC719" s="0" t="str">
        <f aca="false">" "&amp;TRIM(SUBSTITUTE(SUBSTITUTE(SUBSTITUTE(SUBSTITUTE(SUBSTITUTE(SUBSTITUTE(SUBSTITUTE(SUBSTITUTE(SUBSTITUTE(SUBSTITUTE(SUBSTITUTE(SUBSTITUTE(SUBSTITUTE(SUBSTITUTE(SUBSTITUTE(SUBSTITUTE(SUBSTITUTE(SUBSTITUTE(SUBSTITUTE(SUBSTITUTE(SUBSTITUTE(SUBSTITUTE(SUBSTITUTE(SUBSTITUTE(LOWER(T719&amp;""),CHAR(10)," "),CHAR(13)," "),CHAR(9)," "),CHAR(160)," "),"."," "),","," "),"-"," "),"/"," "),"("," "),")"," "),":"," "),";"," "),"_"," "),"–"," "),"?"," "),"!"," "),"*"," "),"["," "),"]"," "),"'"," "),"#"," "),"+"," "),"&amp;"," "),"\"," "))&amp;" "</f>
        <v>  </v>
      </c>
      <c r="CD719" s="0" t="str">
        <f aca="false">" "&amp;TRIM(SUBSTITUTE(SUBSTITUTE(SUBSTITUTE(SUBSTITUTE(SUBSTITUTE(SUBSTITUTE(SUBSTITUTE(SUBSTITUTE(SUBSTITUTE(SUBSTITUTE(SUBSTITUTE(SUBSTITUTE(SUBSTITUTE(SUBSTITUTE(SUBSTITUTE(SUBSTITUTE(SUBSTITUTE(SUBSTITUTE(SUBSTITUTE(SUBSTITUTE(SUBSTITUTE(SUBSTITUTE(SUBSTITUTE(SUBSTITUTE(LOWER(AE719&amp;""),CHAR(10)," "),CHAR(13)," "),CHAR(9)," "),CHAR(160)," "),"."," "),","," "),"-"," "),"/"," "),"("," "),")"," "),":"," "),";"," "),"_"," "),"–"," "),"?"," "),"!"," "),"*"," "),"["," "),"]"," "),"'"," "),"#"," "),"+"," "),"&amp;"," "),"\"," "))&amp;" "</f>
        <v>  </v>
      </c>
      <c r="CE719" s="68" t="n">
        <f aca="false">IFERROR(IF(AND(LEN(AU719)&gt;0,LEN(AU719)=LEN(AX719),OR(TRIM(MID(SUBSTITUTE(TRIM(CC719)," ",REPT(" ",60)),1,60))="",ISNUMBER(SEARCH(" "&amp;TRIM(MID(SUBSTITUTE(TRIM(CC719)," ",REPT(" ",60)),1,60))&amp;" ",CD719))),OR(TRIM(MID(SUBSTITUTE(TRIM(CC719)," ",REPT(" ",60)),61,60))="",ISNUMBER(SEARCH(" "&amp;TRIM(MID(SUBSTITUTE(TRIM(CC719)," ",REPT(" ",60)),61,60))&amp;" ",CD719))),OR(TRIM(MID(SUBSTITUTE(TRIM(CC719)," ",REPT(" ",60)),121,60))="",ISNUMBER(SEARCH(" "&amp;TRIM(MID(SUBSTITUTE(TRIM(CC719)," ",REPT(" ",60)),121,60))&amp;" ",CD719)))),1,0),0)</f>
        <v>0</v>
      </c>
      <c r="CG719" s="68" t="n">
        <f aca="false">IFERROR(LEN(SUBSTITUTE(BF719," ",""))-SUMPRODUCT((LEN(BF719)-LEN(SUBSTITUTE(BF719," "&amp;L_NAFiller&amp;" "," ")))/(LEN(L_NAFiller)+1)*LEN(L_NAFiller)),0)</f>
        <v>0</v>
      </c>
    </row>
    <row r="720" customFormat="false" ht="39.75" hidden="false" customHeight="true" outlineLevel="0" collapsed="false">
      <c r="A720" s="57" t="s">
        <v>1454</v>
      </c>
      <c r="B720" s="57" t="s">
        <v>312</v>
      </c>
      <c r="C720" s="57" t="str">
        <f aca="false">Flights!$F$26</f>
        <v>MH0002</v>
      </c>
      <c r="D720" s="58" t="n">
        <f aca="false">Flights!$D$26</f>
        <v>46325</v>
      </c>
      <c r="E720" s="57" t="str">
        <f aca="false">Flights!$G$26&amp;"-"&amp;Flights!$H$26</f>
        <v>KUL-LHR</v>
      </c>
      <c r="F720" s="57" t="str">
        <f aca="false">Flights!$K$26</f>
        <v>BC</v>
      </c>
      <c r="G720" s="57" t="s">
        <v>420</v>
      </c>
      <c r="H720" s="57" t="s">
        <v>378</v>
      </c>
      <c r="I720" s="57" t="s">
        <v>440</v>
      </c>
      <c r="J720" s="57" t="s">
        <v>729</v>
      </c>
      <c r="K720" s="67" t="s">
        <v>730</v>
      </c>
      <c r="L720" s="67" t="s">
        <v>731</v>
      </c>
      <c r="M720" s="67" t="s">
        <v>187</v>
      </c>
      <c r="N720" s="67" t="s">
        <v>383</v>
      </c>
      <c r="O720" s="67" t="s">
        <v>732</v>
      </c>
      <c r="P720" s="57" t="s">
        <v>187</v>
      </c>
      <c r="Q720" s="59" t="n">
        <f aca="false">ROUND((Flights!$AE$26)*1440,0)/1440</f>
        <v>46325.1388888889</v>
      </c>
      <c r="R720" s="59" t="n">
        <f aca="false">Q720+(IF(AND(INDEX(TZ_DSTS,MATCH(P720,TZ_STN,0))&lt;&gt;"",Q720&gt;=INDEX(TZ_DSTS,MATCH(P720,TZ_STN,0)),Q720&lt;INDEX(TZ_DSTE,MATCH(P720,TZ_STN,0))),INDEX(TZ_DST,MATCH(P720,TZ_STN,0)),INDEX(TZ_STD,MATCH(P720,TZ_STN,0))))/24</f>
        <v>46325.4722222222</v>
      </c>
      <c r="S720" s="60"/>
      <c r="T720" s="60"/>
      <c r="U720" s="60"/>
      <c r="V720" s="60"/>
      <c r="W720" s="61"/>
      <c r="X720" s="60"/>
      <c r="Y720" s="60"/>
      <c r="Z720" s="60"/>
      <c r="AA720" s="60"/>
      <c r="AB720" s="60"/>
      <c r="AC720" s="60"/>
      <c r="AD720" s="66"/>
      <c r="AE720" s="60"/>
      <c r="AF720" s="61" t="str">
        <f aca="false">IF(AND(ISNUMBER(X720),ISNUMBER(Y720)),Y720-X720,"")</f>
        <v/>
      </c>
      <c r="AG720" s="62" t="str">
        <f aca="false">IF(ISNUMBER(AD720),AD720-(IF(AND(INDEX(TZ_DSTS,MATCH(P720,TZ_STN,0))&lt;&gt;"",(AD720-INDEX(TZ_STD,MATCH(P720,TZ_STN,0))/24)&gt;=INDEX(TZ_DSTS,MATCH(P720,TZ_STN,0)),(AD720-INDEX(TZ_STD,MATCH(P720,TZ_STN,0))/24)&lt;INDEX(TZ_DSTE,MATCH(P720,TZ_STN,0))),INDEX(TZ_DST,MATCH(P720,TZ_STN,0)),INDEX(TZ_STD,MATCH(P720,TZ_STN,0))))/24,"")</f>
        <v/>
      </c>
      <c r="AH720" s="65" t="str">
        <f aca="false">IFERROR(IF(N720="N/A – rule",IF(OR(TRIM(U720)="",TRIM(U720)="N/A",TRIM(U720)="Not started"),"N/A – RULE","INVALID – this check does not apply to this aircraft: clear the status (or correct the fleet on Flights)"),IF(TRIM(U720)="N/A",IF(AT720=0,"INVALID – N/A not permitted for this check",IF(AND(TRIM(AB720)&lt;&gt;"",TRIM(AB720)&lt;&gt;"Closed"),"INVALID – corrective action still open",IF(AND(NOT(OR(LEN(AZ720)&lt;15,ISNUMBER(MATCH(AZ720,L_Placeholder,0)))),BK720=0,CG720&gt;=8,NOT(OR(LEN(AU720)&lt;2,ISNUMBER(MATCH(AU720,L_Placeholder,0)))),BR720&gt;=3,NOT(OR(LEN(AX720)&lt;2,ISNUMBER(MATCH(AX720,L_Placeholder,0)))),BS720&gt;=3,TRIM(AE720)&lt;&gt;TRIM(T720),AX720&lt;&gt;AU720,CE720=0),"N/A – JUSTIFIED","INVALID – N/A needs a real, settled reason (not 'not applicable' / 'as above' / TBC), a named PIC and a different named verifier"))),IF(OR(TRIM(U720)="Pass",TRIM(U720)="Pass after CA"),IF(NOT(ISNUMBER(AD720)),"INVALID – completion time missing",IF(OR(OR(LEN(AU720)&lt;2,ISNUMBER(MATCH(AU720,L_Placeholder,0))),BR720&lt;3),"INVALID – PIC missing or not a named person (a role such as QA / CSM is not a name)",IF(OR(LEN(AV720)&lt;2,ISNUMBER(MATCH(AV720,L_Placeholder,0))),"INVALID – result / assessment missing",IF(OR(OR(LEN(AW720)&lt;3,ISNUMBER(MATCH(AW720,L_Placeholder,0))),SUMPRODUCT(--ISNUMBER(SEARCH(" "&amp;L_EvidencePhrase&amp;" ",BD720)))&gt;0,BI720=1),"INVALID – evidence missing, placeholder or not yet on file",IF(ISNA(MATCH(TRIM(S720),L_EvidenceType,0)),"INVALID – choose the evidence type from the list (column S)",IF(BL720=0,"INVALID – evidence ID must be the record's own ID only (e.g. SF-2210, IMG_2231, 1045521); a link / file name needs type 'Link / file path'",IF(OR(OR(LEN(AX720)&lt;2,ISNUMBER(MATCH(AX720,L_Placeholder,0))),BS720&lt;3),"INVALID – verifier missing or not a named person (a role such as QA / CSM is not a name)",IF(OR(AX720=AU720,CE720=1,AND(LEN(AU720)&gt;=4,ISNUMBER(SEARCH(AU720,AX720))),AND(LEN(AX720)&gt;=4,ISNUMBER(SEARCH(AX720,AU720)))),"INVALID – verifier must be a different, named person (not the PIC or a role)",IF(BH720=1,"INVALID – result not yet available (awaiting / TBC)",IF(BG720=1,"INVALID – result describes a problem: record Fail, then Pass after CA (or reword if it is not a problem)",IF(BV720=1,"INVALID – wording says not on board: an on-board confirmation needs the item loaded",IF(AND(AQ720=1,OR(OR(LEN(AY720)&lt;3,ISNUMBER(MATCH(AY720,L_Placeholder,0))),BJ720=1,BQ720=0)),"INVALID – batch ID missing, placeholder or not an ID (e.g. PASB-261008-BC-017)",IF(AND(AR720=1,OR(NOT(ISNUMBER(X720)),NOT(ISNUMBER(Y720)))),"INVALID – expected/actual qty missing",IF(AND(AR720=1,OR(X720&lt;=0,Y720&lt;0)),"INVALID – expected qty must be above 0 and actual not negative",IF(BB720&lt;&gt;"",BB720,IF(AND(AS720=1,Documents!$J$26&lt;&gt;"ON FILE"),"INVALID – GLD not on file (Documents sheet)",IF(AND(AS720=2,Documents!$O$26&lt;&gt;"ON FILE"),"INVALID – menu checklist not on file (Documents sheet)",IF(AND(AS720=3,NOT(ISNUMBER(Flights!$AX$26))),"INVALID – enter carrying flight KUL departure (Flights AX)",IF(AND(AS720=3,OR(Flights!$AZ$26&gt;Flights!$AA$26,Flights!$AX$26&lt;Flights!$AA$26-3)),"INVALID – carrying flight (Flights AX) cannot arrive before this leg's STD, or is over 3 days early",IF(AG720&gt;AsOfUTC,"INVALID – completion time is in the future",IF(AND(ISNUMBER(BY720),AG720&lt;BY720),IF(H720="Physical uplift","INVALID – before uplift window (cannot confirm loading)","INVALID – before valid window"),IF(AG720&gt;Flights!$AA$26,"INVALID – completed after departure (cannot establish readiness)",IF(AND(H720="Preparation",AG720&gt;=IF(ISNUMBER(Flights!$BA$26),MIN(Flights!$BA$26,Flights!$AA$26),Flights!$AA$26)),"INVALID – completed after loading / departure (cannot establish readiness)",IF(AND(H720="Physical uplift",AG720&gt;Q720),"INVALID – recorded after the loading flight departed",IF(AG720&gt;Q720,"COMPLETE – LATE","COMPLETE"))))))))))))))))))))))))),IF(TRIM(U720)="Fail","FAIL – DISCREPANCY",IF(AND(TRIM(U720)&lt;&gt;"",TRIM(U720)&lt;&gt;"Not started",TRIM(U720)&lt;&gt;"In progress"),"INVALID – unrecognised status (use the list)",IF(AsOfUTC&gt;Q720,"OVERDUE",IF(N720="Clarification required","OPEN – CLARIFICATION","OPEN"))))))),"INVALID – error value in an input cell")</f>
        <v>OPEN</v>
      </c>
      <c r="AI720" s="61" t="n">
        <f aca="false">IF(OR(AH720="N/A – RULE",AH720="N/A – JUSTIFIED"),0,1)</f>
        <v>1</v>
      </c>
      <c r="AJ720" s="61" t="n">
        <f aca="false">IF(LEFT(AH720,8)="COMPLETE",1,0)</f>
        <v>0</v>
      </c>
      <c r="AK720" s="61" t="n">
        <f aca="false">IF(AND(AI720=1,AJ720=0,AsOfUTC&gt;Q720),1,0)</f>
        <v>0</v>
      </c>
      <c r="AL720" s="61" t="n">
        <f aca="false">IFERROR(IF(AND(AI720=1,OR(TRIM(U720)="Fail",AND(TRIM(AB720)&lt;&gt;"",TRIM(AB720)&lt;&gt;"Closed"),AND(ISNUMBER(AF720),AF720&lt;&gt;0,TRIM(U720)&lt;&gt;"Pass after CA"))),1,0),1)</f>
        <v>0</v>
      </c>
      <c r="AM720" s="61" t="n">
        <f aca="false">IF(LEFT(AH720,7)="INVALID",1,0)</f>
        <v>0</v>
      </c>
      <c r="AN720" s="61" t="n">
        <f aca="false">IF(AND(N720="Clarification required",AI720=1,AJ720=0),1,0)</f>
        <v>0</v>
      </c>
      <c r="AO720" s="61" t="str">
        <f aca="false">IF(AK720=1,SUM(AK$5:AK720),"")</f>
        <v/>
      </c>
      <c r="AP720" s="61" t="str">
        <f aca="false">IF(AL720=1,SUM(AL$5:AL720),"")</f>
        <v/>
      </c>
      <c r="AQ720" s="61" t="n">
        <v>0</v>
      </c>
      <c r="AR720" s="61" t="n">
        <v>0</v>
      </c>
      <c r="AS720" s="61" t="n">
        <v>0</v>
      </c>
      <c r="AT720" s="61" t="n">
        <v>0</v>
      </c>
      <c r="AU720" s="61" t="str">
        <f aca="false">SUBSTITUTE(SUBSTITUTE(SUBSTITUTE(SUBSTITUTE(SUBSTITUTE(SUBSTITUTE(SUBSTITUTE(SUBSTITUTE(SUBSTITUTE(SUBSTITUTE(SUBSTITUTE(SUBSTITUTE(SUBSTITUTE(SUBSTITUTE(SUBSTITUTE(SUBSTITUTE(LOWER(T720&amp;""),CHAR(10),""),CHAR(13),""),CHAR(9),""),CHAR(160),"")," ",""),".",""),"-",""),"/",""),"?",""),"_",""),",",""),"[",""),"]",""),"(",""),")",""),"*","")</f>
        <v/>
      </c>
      <c r="AV720" s="61" t="str">
        <f aca="false">SUBSTITUTE(SUBSTITUTE(SUBSTITUTE(SUBSTITUTE(SUBSTITUTE(SUBSTITUTE(SUBSTITUTE(SUBSTITUTE(SUBSTITUTE(SUBSTITUTE(SUBSTITUTE(SUBSTITUTE(SUBSTITUTE(SUBSTITUTE(SUBSTITUTE(SUBSTITUTE(LOWER(V720&amp;""),CHAR(10),""),CHAR(13),""),CHAR(9),""),CHAR(160),"")," ",""),".",""),"-",""),"/",""),"?",""),"_",""),",",""),"[",""),"]",""),"(",""),")",""),"*","")</f>
        <v/>
      </c>
      <c r="AW720" s="61" t="str">
        <f aca="false">SUBSTITUTE(SUBSTITUTE(SUBSTITUTE(SUBSTITUTE(SUBSTITUTE(SUBSTITUTE(SUBSTITUTE(SUBSTITUTE(SUBSTITUTE(SUBSTITUTE(SUBSTITUTE(SUBSTITUTE(SUBSTITUTE(SUBSTITUTE(SUBSTITUTE(SUBSTITUTE(LOWER(Z720&amp;""),CHAR(10),""),CHAR(13),""),CHAR(9),""),CHAR(160),"")," ",""),".",""),"-",""),"/",""),"?",""),"_",""),",",""),"[",""),"]",""),"(",""),")",""),"*","")</f>
        <v/>
      </c>
      <c r="AX720" s="61" t="str">
        <f aca="false">SUBSTITUTE(SUBSTITUTE(SUBSTITUTE(SUBSTITUTE(SUBSTITUTE(SUBSTITUTE(SUBSTITUTE(SUBSTITUTE(SUBSTITUTE(SUBSTITUTE(SUBSTITUTE(SUBSTITUTE(SUBSTITUTE(SUBSTITUTE(SUBSTITUTE(SUBSTITUTE(LOWER(AE720&amp;""),CHAR(10),""),CHAR(13),""),CHAR(9),""),CHAR(160),"")," ",""),".",""),"-",""),"/",""),"?",""),"_",""),",",""),"[",""),"]",""),"(",""),")",""),"*","")</f>
        <v/>
      </c>
      <c r="AY720" s="61" t="str">
        <f aca="false">SUBSTITUTE(SUBSTITUTE(SUBSTITUTE(SUBSTITUTE(SUBSTITUTE(SUBSTITUTE(SUBSTITUTE(SUBSTITUTE(SUBSTITUTE(SUBSTITUTE(SUBSTITUTE(SUBSTITUTE(SUBSTITUTE(SUBSTITUTE(SUBSTITUTE(SUBSTITUTE(LOWER(W720&amp;""),CHAR(10),""),CHAR(13),""),CHAR(9),""),CHAR(160),"")," ",""),".",""),"-",""),"/",""),"?",""),"_",""),",",""),"[",""),"]",""),"(",""),")",""),"*","")</f>
        <v/>
      </c>
      <c r="AZ720" s="61" t="str">
        <f aca="false">SUBSTITUTE(SUBSTITUTE(SUBSTITUTE(SUBSTITUTE(SUBSTITUTE(SUBSTITUTE(SUBSTITUTE(SUBSTITUTE(SUBSTITUTE(SUBSTITUTE(SUBSTITUTE(SUBSTITUTE(SUBSTITUTE(SUBSTITUTE(SUBSTITUTE(SUBSTITUTE(LOWER(AC720&amp;""),CHAR(10),""),CHAR(13),""),CHAR(9),""),CHAR(160),"")," ",""),".",""),"-",""),"/",""),"?",""),"_",""),",",""),"[",""),"]",""),"(",""),")",""),"*","")</f>
        <v/>
      </c>
      <c r="BA720" s="61" t="str">
        <f aca="false">SUBSTITUTE(SUBSTITUTE(SUBSTITUTE(SUBSTITUTE(SUBSTITUTE(SUBSTITUTE(SUBSTITUTE(SUBSTITUTE(SUBSTITUTE(SUBSTITUTE(SUBSTITUTE(SUBSTITUTE(SUBSTITUTE(SUBSTITUTE(SUBSTITUTE(SUBSTITUTE(LOWER(AA720&amp;""),CHAR(10),""),CHAR(13),""),CHAR(9),""),CHAR(160),"")," ",""),".",""),"-",""),"/",""),"?",""),"_",""),",",""),"[",""),"]",""),"(",""),")",""),"*","")</f>
        <v/>
      </c>
      <c r="BB720" s="61" t="str">
        <f aca="false">IF(AND(TRIM(U720)="Pass",ISNUMBER(AF720)),IF(AF720&lt;&gt;0,"INVALID – qty variance: use Fail or Pass after CA",""),"")&amp;IF(AND(TRIM(U720)="Pass after CA",ISNUMBER(AF720)),IF(AF720&lt;&gt;0,"INVALID – after the corrective action the actual qty must equal expected (update Actual)",""),"")&amp;IF(AND(TRIM(U720)="Pass",TRIM(AB720)&lt;&gt;"",TRIM(AB720)&lt;&gt;"Closed"),"INVALID – corrective action not closed: use Fail, then Pass after CA","")&amp;IF(AND(LEN(BA720)&gt;=2,ISNA(MATCH(LEFT(BA720,255),L_Placeholder,0)),TRIM(AB720)=""),"INVALID – CA status missing for the recorded corrective action","")&amp;IF(AND(TRIM(U720)="Pass after CA",OR(OR(LEN(BA720)&lt;5,ISNUMBER(MATCH(BA720,L_Placeholder,0))),TRIM(AB720)&lt;&gt;"Closed")),"INVALID – corrective action not recorded/closed","")</f>
        <v/>
      </c>
      <c r="BC720" s="61" t="str">
        <f aca="false">" "&amp;TRIM(SUBSTITUTE(SUBSTITUTE(SUBSTITUTE(SUBSTITUTE(SUBSTITUTE(SUBSTITUTE(SUBSTITUTE(SUBSTITUTE(SUBSTITUTE(SUBSTITUTE(SUBSTITUTE(SUBSTITUTE(SUBSTITUTE(SUBSTITUTE(SUBSTITUTE(SUBSTITUTE(SUBSTITUTE(SUBSTITUTE(SUBSTITUTE(SUBSTITUTE(SUBSTITUTE(SUBSTITUTE(SUBSTITUTE(SUBSTITUTE(LOWER(V720&amp;""),CHAR(10)," "),CHAR(13)," "),CHAR(9)," "),CHAR(160)," "),"."," "),","," "),"-"," "),"/"," "),"("," "),")"," "),":"," "),";"," "),"_"," "),"–"," "),"?"," "),"!"," "),"*"," "),"["," "),"]"," "),"'"," "),"#"," "),"+"," "),"&amp;"," "),"\"," "))&amp;" "</f>
        <v>  </v>
      </c>
      <c r="BD720" s="61" t="str">
        <f aca="false">" "&amp;TRIM(SUBSTITUTE(SUBSTITUTE(SUBSTITUTE(SUBSTITUTE(SUBSTITUTE(SUBSTITUTE(SUBSTITUTE(SUBSTITUTE(SUBSTITUTE(SUBSTITUTE(SUBSTITUTE(SUBSTITUTE(SUBSTITUTE(SUBSTITUTE(SUBSTITUTE(SUBSTITUTE(SUBSTITUTE(SUBSTITUTE(SUBSTITUTE(SUBSTITUTE(SUBSTITUTE(SUBSTITUTE(SUBSTITUTE(SUBSTITUTE(LOWER(Z720&amp;""),CHAR(10)," "),CHAR(13)," "),CHAR(9)," "),CHAR(160)," "),"."," "),","," "),"-"," "),"/"," "),"("," "),")"," "),":"," "),";"," "),"_"," "),"–"," "),"?"," "),"!"," "),"*"," "),"["," "),"]"," "),"'"," "),"#"," "),"+"," "),"&amp;"," "),"\"," "))&amp;" "</f>
        <v>  </v>
      </c>
      <c r="BE720" s="61" t="str">
        <f aca="false">" "&amp;TRIM(SUBSTITUTE(SUBSTITUTE(SUBSTITUTE(SUBSTITUTE(SUBSTITUTE(SUBSTITUTE(SUBSTITUTE(SUBSTITUTE(SUBSTITUTE(SUBSTITUTE(SUBSTITUTE(SUBSTITUTE(SUBSTITUTE(SUBSTITUTE(SUBSTITUTE(SUBSTITUTE(SUBSTITUTE(SUBSTITUTE(SUBSTITUTE(SUBSTITUTE(SUBSTITUTE(SUBSTITUTE(SUBSTITUTE(SUBSTITUTE(LOWER(W720&amp;""),CHAR(10)," "),CHAR(13)," "),CHAR(9)," "),CHAR(160)," "),"."," "),","," "),"-"," "),"/"," "),"("," "),")"," "),":"," "),";"," "),"_"," "),"–"," "),"?"," "),"!"," "),"*"," "),"["," "),"]"," "),"'"," "),"#"," "),"+"," "),"&amp;"," "),"\"," "))&amp;" "</f>
        <v>  </v>
      </c>
      <c r="BF720" s="61" t="str">
        <f aca="false">" "&amp;TRIM(SUBSTITUTE(SUBSTITUTE(SUBSTITUTE(SUBSTITUTE(SUBSTITUTE(SUBSTITUTE(SUBSTITUTE(SUBSTITUTE(SUBSTITUTE(SUBSTITUTE(SUBSTITUTE(SUBSTITUTE(SUBSTITUTE(SUBSTITUTE(SUBSTITUTE(SUBSTITUTE(SUBSTITUTE(SUBSTITUTE(SUBSTITUTE(SUBSTITUTE(SUBSTITUTE(SUBSTITUTE(SUBSTITUTE(SUBSTITUTE(LOWER(AC720&amp;""),CHAR(10)," "),CHAR(13)," "),CHAR(9)," "),CHAR(160)," "),"."," "),","," "),"-"," "),"/"," "),"("," "),")"," "),":"," "),";"," "),"_"," "),"–"," "),"?"," "),"!"," "),"*"," "),"["," "),"]"," "),"'"," "),"#"," "),"+"," "),"&amp;"," "),"\"," "))&amp;" "</f>
        <v>  </v>
      </c>
      <c r="BG720" s="61" t="n">
        <f aca="false">IFERROR(IF(AND(TRIM(U720)="Pass",SUMPRODUCT((LEN(BC720)-LEN(SUBSTITUTE(BC720," "&amp;L_ResultBad&amp;" "," ")))/(LEN(L_ResultBad)+1))&gt;SUMPRODUCT((LEN(BC720)-LEN(SUBSTITUTE(BC720," "&amp;L_NegPhrase&amp;" "," ")))/(LEN(L_NegPhrase)+1))),1,0),0)</f>
        <v>0</v>
      </c>
      <c r="BH720" s="61" t="n">
        <f aca="false">IFERROR(IF(SUMPRODUCT((LEN(BC720)-LEN(SUBSTITUTE(BC720," "&amp;L_Pending&amp;" "," ")))/(LEN(L_Pending)+1))&gt;SUMPRODUCT((LEN(BC720)-LEN(SUBSTITUTE(BC720," "&amp;L_PendNeg&amp;" "," ")))/(LEN(L_PendNeg)+1))+SUMPRODUCT((LEN(BC720)-LEN(SUBSTITUTE(BC720," "&amp;L_PendPrep&amp;" "," ")))/(LEN(L_PendPrep)+1)),1,0),1)</f>
        <v>0</v>
      </c>
      <c r="BI720" s="61" t="n">
        <f aca="false">IFERROR(IF(SUMPRODUCT((LEN(BD720)-LEN(SUBSTITUTE(BD720," "&amp;L_PendStrict&amp;" "," ")))/(LEN(L_PendStrict)+1))&gt;SUMPRODUCT((LEN(BD720)-LEN(SUBSTITUTE(BD720," "&amp;L_PendNeg&amp;" "," ")))/(LEN(L_PendNeg)+1)),1,0),1)</f>
        <v>0</v>
      </c>
      <c r="BJ720" s="61" t="n">
        <f aca="false">IFERROR(IF(SUMPRODUCT((LEN(BE720)-LEN(SUBSTITUTE(BE720," "&amp;L_Pending&amp;" "," ")))/(LEN(L_Pending)+1))&gt;SUMPRODUCT((LEN(BE720)-LEN(SUBSTITUTE(BE720," "&amp;L_PendNeg&amp;" "," ")))/(LEN(L_PendNeg)+1))+SUMPRODUCT((LEN(BE720)-LEN(SUBSTITUTE(BE720," "&amp;L_PendPrep&amp;" "," ")))/(LEN(L_PendPrep)+1)),1,0),1)</f>
        <v>0</v>
      </c>
      <c r="BK720" s="61" t="n">
        <f aca="false">IFERROR(IF(SUMPRODUCT((LEN(BF720)-LEN(SUBSTITUTE(BF720," "&amp;L_PendStrict&amp;" "," ")))/(LEN(L_PendStrict)+1))&gt;SUMPRODUCT((LEN(BF720)-LEN(SUBSTITUTE(BF720," "&amp;L_PendNeg&amp;" "," ")))/(LEN(L_PendNeg)+1)),1,0),1)</f>
        <v>0</v>
      </c>
      <c r="BL720" s="61" t="n">
        <f aca="false">IF(ISNA(MATCH(TRIM(S720),L_EvidenceType,0)),0,BZ720)</f>
        <v>0</v>
      </c>
      <c r="BM720" s="61" t="str">
        <f aca="false">SUBSTITUTE(SUBSTITUTE(SUBSTITUTE(SUBSTITUTE(SUBSTITUTE(SUBSTITUTE(SUBSTITUTE(SUBSTITUTE(SUBSTITUTE(LOWER(Z720&amp;""),"1","0"),"2","0"),"3","0"),"4","0"),"5","0"),"6","0"),"7","0"),"8","0"),"9","0")</f>
        <v/>
      </c>
      <c r="BN720" s="61" t="str">
        <f aca="false">SUBSTITUTE(SUBSTITUTE(SUBSTITUTE(SUBSTITUTE(SUBSTITUTE(SUBSTITUTE(SUBSTITUTE(SUBSTITUTE(SUBSTITUTE(SUBSTITUTE(SUBSTITUTE(SUBSTITUTE(SUBSTITUTE(SUBSTITUTE(SUBSTITUTE(SUBSTITUTE(SUBSTITUTE(SUBSTITUTE(SUBSTITUTE(SUBSTITUTE(SUBSTITUTE(SUBSTITUTE(SUBSTITUTE(SUBSTITUTE(SUBSTITUTE(BM720,"b","a"),"c","a"),"d","a"),"e","a"),"f","a"),"g","a"),"h","a"),"i","a"),"j","a"),"k","a"),"l","a"),"m","a"),"n","a"),"o","a"),"p","a"),"q","a"),"r","a"),"s","a"),"t","a"),"u","a"),"v","a"),"w","a"),"x","a"),"y","a"),"z","a")</f>
        <v/>
      </c>
      <c r="BO720" s="61" t="str">
        <f aca="false">SUBSTITUTE(SUBSTITUTE(SUBSTITUTE(SUBSTITUTE(SUBSTITUTE(SUBSTITUTE(SUBSTITUTE(SUBSTITUTE(SUBSTITUTE(LOWER(W720&amp;""),"1","0"),"2","0"),"3","0"),"4","0"),"5","0"),"6","0"),"7","0"),"8","0"),"9","0")</f>
        <v/>
      </c>
      <c r="BP720" s="61" t="str">
        <f aca="false">SUBSTITUTE(SUBSTITUTE(SUBSTITUTE(SUBSTITUTE(SUBSTITUTE(SUBSTITUTE(SUBSTITUTE(SUBSTITUTE(SUBSTITUTE(SUBSTITUTE(SUBSTITUTE(SUBSTITUTE(SUBSTITUTE(SUBSTITUTE(SUBSTITUTE(SUBSTITUTE(SUBSTITUTE(SUBSTITUTE(SUBSTITUTE(SUBSTITUTE(SUBSTITUTE(SUBSTITUTE(SUBSTITUTE(SUBSTITUTE(SUBSTITUTE(BO720,"b","a"),"c","a"),"d","a"),"e","a"),"f","a"),"g","a"),"h","a"),"i","a"),"j","a"),"k","a"),"l","a"),"m","a"),"n","a"),"o","a"),"p","a"),"q","a"),"r","a"),"s","a"),"t","a"),"u","a"),"v","a"),"w","a"),"x","a"),"y","a"),"z","a")</f>
        <v/>
      </c>
      <c r="BQ720" s="61" t="n">
        <f aca="false">IFERROR(IF(AND(ISERROR(SEARCH(" mh"," "&amp;LOWER(W720))),ISNA(MATCH(LEFT(TRIM(BP720),255),{"0000a","000a","00a","0000aa","000aa","00aa","0aa","0000aaa","000aaa","00a00","0a00","0000-0000","00:00","a00","a0","00.00.0000","00/00/0000","00-00-0000","0000-00-00","0000/00/00","0000.00.00","00.00.00","00/00/00","00-00-00","0.00.0000","0/00/0000","0-00-0000"},0)),ISNA(MATCH(LEFT(TRIM(CA720),255),{"0000a","000a","00a","0000aa","000aa","00aa","0aa","0000aaa","000aaa","00a00","0a00","0000-0000","00:00","a00","a0","00.00.0000","00/00/0000","00-00-0000","0000-00-00","0000/00/00","0000.00.00","00.00.00","00/00/00","00-00-00","0.00.0000","0/00/0000","0-00-0000"},0)),LEN(CB720)&gt;=3,NOT(OR(SUBSTITUTE(CB720,"0","")="",AND(LEN(CB720)&gt;=4,CB720=REPT(LEFT(CB720),LEN(CB720))),ISNUMBER(MATCH(CB720,{"123","1234","12345","123456","1234567","12345678","0123","01234","012345","98765","987654","54321"},0)),AND(LEN(CB720)=8,LEFT(CB720,3)="202"))),OR(AND((LEN(CA720)-LEN(SUBSTITUTE(CA720,"a","")))&gt;=1,SUMPRODUCT(--ISNUMBER(SEARCH({"a0","a-0","a_0","a/0","a.0","a#0","0a","0-a","0_a","0/a"},BP720)))&gt;0),ISNUMBER(SEARCH("000000",BP720)))),1,0),0)</f>
        <v>0</v>
      </c>
      <c r="BR720" s="61" t="n">
        <f aca="false">IFERROR(LEN(SUBSTITUTE(CC720," ",""))-SUMPRODUCT((LEN(CC720)-LEN(SUBSTITUTE(CC720," "&amp;L_Role&amp;" "," ")))/(LEN(L_Role)+1)*LEN(L_Role)),0)</f>
        <v>0</v>
      </c>
      <c r="BS720" s="61" t="n">
        <f aca="false">IFERROR(LEN(SUBSTITUTE(CD720," ",""))-SUMPRODUCT((LEN(CD720)-LEN(SUBSTITUTE(CD720," "&amp;L_Role&amp;" "," ")))/(LEN(L_Role)+1)*LEN(L_Role)),0)</f>
        <v>0</v>
      </c>
      <c r="BT7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720,"revision",""),"version",""),"jan",""),"feb",""),"mar",""),"apr",""),"may",""),"jun",""),"jul",""),"aug",""),"sep",""),"oct",""),"nov",""),"dec",""),"utc",""),"gmt",""),"myt",""),"bst",""),"rev",""),"ver",""),"b","a"),"c","a"),"d","a"),"e","a"),"f","a"),"g","a"),"h","a"),"i","a"),"j","a"),"k","a"),"l","a"),"m","a"),"n","a"),"o","a"),"p","a"),"q","a"),"r","a"),"s","a"),"t","a"),"u","a"),"v","a"),"w","a"),"x","a"),"y","a"),"z","a")</f>
        <v/>
      </c>
      <c r="BU720" s="61" t="str">
        <f aca="false">SUBSTITUTE(SUBSTITUTE(SUBSTITUTE(SUBSTITUTE(SUBSTITUTE(SUBSTITUTE(SUBSTITUTE(SUBSTITUTE(SUBSTITUTE(SUBSTITUTE(LEFT(BM720,FIND("0",BM720&amp;"0")-1),"-",""),"_",""),"/",""),".",""),"#",""),"\\",""),":","")," ",""),"(",""),")","")</f>
        <v/>
      </c>
      <c r="BV720" s="61" t="n">
        <f aca="false">0</f>
        <v>0</v>
      </c>
      <c r="BW72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720&amp;""),"a",""),"b",""),"c",""),"d",""),"e",""),"f",""),"g",""),"h",""),"i",""),"j",""),"k",""),"l",""),"m",""),"n",""),"o",""),"p",""),"q",""),"r",""),"s",""),"t",""),"u",""),"v",""),"w",""),"x",""),"y",""),"z",""),"-",""),"_",""),"/",""),".",""),"#",""),"\\",""),":","")," ",""),"(",""),")","")</f>
        <v/>
      </c>
      <c r="BX720" s="61" t="str">
        <f aca="false">SUBSTITUTE(SUBSTITUTE(SUBSTITUTE(SUBSTITUTE(SUBSTITUTE(SUBSTITUTE(SUBSTITUTE(SUBSTITUTE(SUBSTITUTE(SUBSTITUTE(SUBSTITUTE(BM720,"0",""),"-",""),"_",""),"/",""),".",""),"#",""),"\\",""),":","")," ",""),"(",""),")","")</f>
        <v/>
      </c>
      <c r="BY720" s="62" t="n">
        <f aca="false">Q720-T12EarlyH/24</f>
        <v>46324.6388888889</v>
      </c>
      <c r="BZ720" s="61" t="n">
        <f aca="false">IFERROR(IF(IF(TRIM(S720)="Link / file path",AND(LEN(TRIM(Z720))&gt;=5,SUMPRODUCT(--ISNUMBER(SEARCH({"http","www.","\\",":\",".pdf",".jpg",".jpeg",".png",".heic",".xls",".doc",".msg",".eml",".ppt",".txt",".zip"},Z720)))&gt;0),AND(ISERROR(FIND(" ",TRIM(Z720))),NOT(OR(SUMPRODUCT(--ISNUMBER(FIND({",",";","&amp;","+"},Z720)))&gt;0,SUMPRODUCT(--ISNUMBER(SEARCH({"0/aa","0\\aa"},BN720)))&gt;0)),NOT(SUMPRODUCT(--ISNUMBER(SEARCH({"http","www.","\\",":\",".pdf",".jpg",".jpeg",".png",".heic",".xls",".doc",".msg",".eml",".ppt",".txt",".zip"},Z720)))&gt;0),NOT(LOWER(TRIM(Z720))=LOWER(Flights!$F$26)),ISNA(MATCH(BU720,{"mh","rev","revision","ver","version","v","r","a","b","seat","tray","row","gate","bay","stand","page","pg","item","line","no","cart","galley","flight","flt","table","box","bag","oven","etd","eta","std","sta","atd","ata","qty","pax","x","time","tel","ph","mob","day","wk","week","utc","gmt","myt","lt"},0)),NOT(OR(ISNUMBER(MATCH(LEFT(BN720,255),{"0000a","000a","00a","0000aa","000aa","00aa","0aa","0000aaa","000aaa","00a00","0a00","0000-0000","00:00","a00","a0","00.00.0000","00/00/0000","00-00-0000","0000-00-00","0000/00/00","0000.00.00","00.00.00","00/00/00","00-00-00","0.00.0000","0/00/0000","0-00-0000"},0)),ISNUMBER(MATCH(LEFT(BT720,255),{"0000a","000a","00a","0000aa","000aa","00aa","0aa","0000aaa","000aaa","00a00","0a00","0000-0000","00:00","a00","a0","00.00.0000","00/00/0000","00-00-0000","0000-00-00","0000/00/00","0000.00.00","00.00.00","00/00/00","00-00-00","0.00.0000","0/00/0000","0-00-0000"},0)))),NOT(OR(AND(BW720&lt;&gt;"",SUBSTITUTE(BW720,"0","")=""),AND(LEN(BW720)&gt;=4,BW720=REPT(LEFT(BW720),LEN(BW720))),ISNUMBER(MATCH(BW720,{"123","1234","12345","123456","1234567","12345678","0123","01234","012345","98765","987654","54321"},0)),ISNUMBER(MATCH(BX720,{"x","xx","xxx","xxxx","xxxxx","abc","abcd","nil","na","nan","test","tbc","tba","tbd","dummy","sample","example","eg","zz","zzz","none","null","xyz","qwe","asd","id","ref"},0)),AND(LEN(BW720)=8,BX720="",OR(LEFT(BW720,3)="202",ISNUMBER(MATCH(RIGHT(BW720,4),{"2025","2026","2027"},0)))))),OR(AND((LEN(BT720)-LEN(SUBSTITUTE(BT720,"a","")))&gt;=1,(LEN(BN720)-LEN(SUBSTITUTE(BN720,"0","")))&gt;=2,SUMPRODUCT(--ISNUMBER(SEARCH({"a0","a-0","a_0","a/0","a.0","a#0","0a","0-a","0_a","0/a"},BN720)))&gt;0),AND((LEN(BN720)-LEN(SUBSTITUTE(BN720,"a","")))=0,(LEN(BN720)-LEN(SUBSTITUTE(BN720,"0","")))&gt;=5)))),1,0),0)</f>
        <v>0</v>
      </c>
      <c r="CA7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720,"revision",""),"version",""),"jan",""),"feb",""),"mar",""),"apr",""),"may",""),"jun",""),"jul",""),"aug",""),"sep",""),"oct",""),"nov",""),"dec",""),"utc",""),"gmt",""),"myt",""),"bst",""),"rev",""),"ver",""),"b","a"),"c","a"),"d","a"),"e","a"),"f","a"),"g","a"),"h","a"),"i","a"),"j","a"),"k","a"),"l","a"),"m","a"),"n","a"),"o","a"),"p","a"),"q","a"),"r","a"),"s","a"),"t","a"),"u","a"),"v","a"),"w","a"),"x","a"),"y","a"),"z","a")</f>
        <v/>
      </c>
      <c r="CB7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720&amp;""),"a",""),"b",""),"c",""),"d",""),"e",""),"f",""),"g",""),"h",""),"i",""),"j",""),"k",""),"l",""),"m",""),"n",""),"o",""),"p",""),"q",""),"r",""),"s",""),"t",""),"u",""),"v",""),"w",""),"x",""),"y",""),"z",""),"-",""),"_",""),"/",""),".",""),"#",""),"\\",""),":","")," ",""),"(",""),")","")</f>
        <v/>
      </c>
      <c r="CC720" s="0" t="str">
        <f aca="false">" "&amp;TRIM(SUBSTITUTE(SUBSTITUTE(SUBSTITUTE(SUBSTITUTE(SUBSTITUTE(SUBSTITUTE(SUBSTITUTE(SUBSTITUTE(SUBSTITUTE(SUBSTITUTE(SUBSTITUTE(SUBSTITUTE(SUBSTITUTE(SUBSTITUTE(SUBSTITUTE(SUBSTITUTE(SUBSTITUTE(SUBSTITUTE(SUBSTITUTE(SUBSTITUTE(SUBSTITUTE(SUBSTITUTE(SUBSTITUTE(SUBSTITUTE(LOWER(T720&amp;""),CHAR(10)," "),CHAR(13)," "),CHAR(9)," "),CHAR(160)," "),"."," "),","," "),"-"," "),"/"," "),"("," "),")"," "),":"," "),";"," "),"_"," "),"–"," "),"?"," "),"!"," "),"*"," "),"["," "),"]"," "),"'"," "),"#"," "),"+"," "),"&amp;"," "),"\"," "))&amp;" "</f>
        <v>  </v>
      </c>
      <c r="CD720" s="0" t="str">
        <f aca="false">" "&amp;TRIM(SUBSTITUTE(SUBSTITUTE(SUBSTITUTE(SUBSTITUTE(SUBSTITUTE(SUBSTITUTE(SUBSTITUTE(SUBSTITUTE(SUBSTITUTE(SUBSTITUTE(SUBSTITUTE(SUBSTITUTE(SUBSTITUTE(SUBSTITUTE(SUBSTITUTE(SUBSTITUTE(SUBSTITUTE(SUBSTITUTE(SUBSTITUTE(SUBSTITUTE(SUBSTITUTE(SUBSTITUTE(SUBSTITUTE(SUBSTITUTE(LOWER(AE720&amp;""),CHAR(10)," "),CHAR(13)," "),CHAR(9)," "),CHAR(160)," "),"."," "),","," "),"-"," "),"/"," "),"("," "),")"," "),":"," "),";"," "),"_"," "),"–"," "),"?"," "),"!"," "),"*"," "),"["," "),"]"," "),"'"," "),"#"," "),"+"," "),"&amp;"," "),"\"," "))&amp;" "</f>
        <v>  </v>
      </c>
      <c r="CE720" s="68" t="n">
        <f aca="false">IFERROR(IF(AND(LEN(AU720)&gt;0,LEN(AU720)=LEN(AX720),OR(TRIM(MID(SUBSTITUTE(TRIM(CC720)," ",REPT(" ",60)),1,60))="",ISNUMBER(SEARCH(" "&amp;TRIM(MID(SUBSTITUTE(TRIM(CC720)," ",REPT(" ",60)),1,60))&amp;" ",CD720))),OR(TRIM(MID(SUBSTITUTE(TRIM(CC720)," ",REPT(" ",60)),61,60))="",ISNUMBER(SEARCH(" "&amp;TRIM(MID(SUBSTITUTE(TRIM(CC720)," ",REPT(" ",60)),61,60))&amp;" ",CD720))),OR(TRIM(MID(SUBSTITUTE(TRIM(CC720)," ",REPT(" ",60)),121,60))="",ISNUMBER(SEARCH(" "&amp;TRIM(MID(SUBSTITUTE(TRIM(CC720)," ",REPT(" ",60)),121,60))&amp;" ",CD720)))),1,0),0)</f>
        <v>0</v>
      </c>
      <c r="CG720" s="68" t="n">
        <f aca="false">IFERROR(LEN(SUBSTITUTE(BF720," ",""))-SUMPRODUCT((LEN(BF720)-LEN(SUBSTITUTE(BF720," "&amp;L_NAFiller&amp;" "," ")))/(LEN(L_NAFiller)+1)*LEN(L_NAFiller)),0)</f>
        <v>0</v>
      </c>
    </row>
    <row r="721" customFormat="false" ht="39.75" hidden="false" customHeight="true" outlineLevel="0" collapsed="false">
      <c r="A721" s="57" t="s">
        <v>1455</v>
      </c>
      <c r="B721" s="57" t="s">
        <v>312</v>
      </c>
      <c r="C721" s="57" t="str">
        <f aca="false">Flights!$F$26</f>
        <v>MH0002</v>
      </c>
      <c r="D721" s="58" t="n">
        <f aca="false">Flights!$D$26</f>
        <v>46325</v>
      </c>
      <c r="E721" s="57" t="str">
        <f aca="false">Flights!$G$26&amp;"-"&amp;Flights!$H$26</f>
        <v>KUL-LHR</v>
      </c>
      <c r="F721" s="57" t="str">
        <f aca="false">Flights!$K$26</f>
        <v>BC</v>
      </c>
      <c r="G721" s="57" t="s">
        <v>420</v>
      </c>
      <c r="H721" s="57" t="s">
        <v>378</v>
      </c>
      <c r="I721" s="57" t="s">
        <v>440</v>
      </c>
      <c r="J721" s="57" t="s">
        <v>603</v>
      </c>
      <c r="K721" s="67" t="s">
        <v>501</v>
      </c>
      <c r="L721" s="67" t="s">
        <v>734</v>
      </c>
      <c r="M721" s="67" t="s">
        <v>187</v>
      </c>
      <c r="N721" s="67" t="s">
        <v>383</v>
      </c>
      <c r="O721" s="67"/>
      <c r="P721" s="57" t="s">
        <v>187</v>
      </c>
      <c r="Q721" s="59" t="n">
        <f aca="false">ROUND((Flights!$AE$26)*1440,0)/1440</f>
        <v>46325.1388888889</v>
      </c>
      <c r="R721" s="59" t="n">
        <f aca="false">Q721+(IF(AND(INDEX(TZ_DSTS,MATCH(P721,TZ_STN,0))&lt;&gt;"",Q721&gt;=INDEX(TZ_DSTS,MATCH(P721,TZ_STN,0)),Q721&lt;INDEX(TZ_DSTE,MATCH(P721,TZ_STN,0))),INDEX(TZ_DST,MATCH(P721,TZ_STN,0)),INDEX(TZ_STD,MATCH(P721,TZ_STN,0))))/24</f>
        <v>46325.4722222222</v>
      </c>
      <c r="S721" s="60"/>
      <c r="T721" s="60"/>
      <c r="U721" s="60"/>
      <c r="V721" s="60"/>
      <c r="W721" s="61"/>
      <c r="X721" s="60"/>
      <c r="Y721" s="60"/>
      <c r="Z721" s="60"/>
      <c r="AA721" s="60"/>
      <c r="AB721" s="60"/>
      <c r="AC721" s="60"/>
      <c r="AD721" s="66"/>
      <c r="AE721" s="60"/>
      <c r="AF721" s="61" t="str">
        <f aca="false">IF(AND(ISNUMBER(X721),ISNUMBER(Y721)),Y721-X721,"")</f>
        <v/>
      </c>
      <c r="AG721" s="62" t="str">
        <f aca="false">IF(ISNUMBER(AD721),AD721-(IF(AND(INDEX(TZ_DSTS,MATCH(P721,TZ_STN,0))&lt;&gt;"",(AD721-INDEX(TZ_STD,MATCH(P721,TZ_STN,0))/24)&gt;=INDEX(TZ_DSTS,MATCH(P721,TZ_STN,0)),(AD721-INDEX(TZ_STD,MATCH(P721,TZ_STN,0))/24)&lt;INDEX(TZ_DSTE,MATCH(P721,TZ_STN,0))),INDEX(TZ_DST,MATCH(P721,TZ_STN,0)),INDEX(TZ_STD,MATCH(P721,TZ_STN,0))))/24,"")</f>
        <v/>
      </c>
      <c r="AH721" s="65" t="str">
        <f aca="false">IFERROR(IF(N721="N/A – rule",IF(OR(TRIM(U721)="",TRIM(U721)="N/A",TRIM(U721)="Not started"),"N/A – RULE","INVALID – this check does not apply to this aircraft: clear the status (or correct the fleet on Flights)"),IF(TRIM(U721)="N/A",IF(AT721=0,"INVALID – N/A not permitted for this check",IF(AND(TRIM(AB721)&lt;&gt;"",TRIM(AB721)&lt;&gt;"Closed"),"INVALID – corrective action still open",IF(AND(NOT(OR(LEN(AZ721)&lt;15,ISNUMBER(MATCH(AZ721,L_Placeholder,0)))),BK721=0,CG721&gt;=8,NOT(OR(LEN(AU721)&lt;2,ISNUMBER(MATCH(AU721,L_Placeholder,0)))),BR721&gt;=3,NOT(OR(LEN(AX721)&lt;2,ISNUMBER(MATCH(AX721,L_Placeholder,0)))),BS721&gt;=3,TRIM(AE721)&lt;&gt;TRIM(T721),AX721&lt;&gt;AU721,CE721=0),"N/A – JUSTIFIED","INVALID – N/A needs a real, settled reason (not 'not applicable' / 'as above' / TBC), a named PIC and a different named verifier"))),IF(OR(TRIM(U721)="Pass",TRIM(U721)="Pass after CA"),IF(NOT(ISNUMBER(AD721)),"INVALID – completion time missing",IF(OR(OR(LEN(AU721)&lt;2,ISNUMBER(MATCH(AU721,L_Placeholder,0))),BR721&lt;3),"INVALID – PIC missing or not a named person (a role such as QA / CSM is not a name)",IF(OR(LEN(AV721)&lt;2,ISNUMBER(MATCH(AV721,L_Placeholder,0))),"INVALID – result / assessment missing",IF(OR(OR(LEN(AW721)&lt;3,ISNUMBER(MATCH(AW721,L_Placeholder,0))),SUMPRODUCT(--ISNUMBER(SEARCH(" "&amp;L_EvidencePhrase&amp;" ",BD721)))&gt;0,BI721=1),"INVALID – evidence missing, placeholder or not yet on file",IF(ISNA(MATCH(TRIM(S721),L_EvidenceType,0)),"INVALID – choose the evidence type from the list (column S)",IF(BL721=0,"INVALID – evidence ID must be the record's own ID only (e.g. SF-2210, IMG_2231, 1045521); a link / file name needs type 'Link / file path'",IF(OR(OR(LEN(AX721)&lt;2,ISNUMBER(MATCH(AX721,L_Placeholder,0))),BS721&lt;3),"INVALID – verifier missing or not a named person (a role such as QA / CSM is not a name)",IF(OR(AX721=AU721,CE721=1,AND(LEN(AU721)&gt;=4,ISNUMBER(SEARCH(AU721,AX721))),AND(LEN(AX721)&gt;=4,ISNUMBER(SEARCH(AX721,AU721)))),"INVALID – verifier must be a different, named person (not the PIC or a role)",IF(BH721=1,"INVALID – result not yet available (awaiting / TBC)",IF(BG721=1,"INVALID – result describes a problem: record Fail, then Pass after CA (or reword if it is not a problem)",IF(BV721=1,"INVALID – wording says not on board: an on-board confirmation needs the item loaded",IF(AND(AQ721=1,OR(OR(LEN(AY721)&lt;3,ISNUMBER(MATCH(AY721,L_Placeholder,0))),BJ721=1,BQ721=0)),"INVALID – batch ID missing, placeholder or not an ID (e.g. PASB-261008-BC-017)",IF(AND(AR721=1,OR(NOT(ISNUMBER(X721)),NOT(ISNUMBER(Y721)))),"INVALID – expected/actual qty missing",IF(AND(AR721=1,OR(X721&lt;=0,Y721&lt;0)),"INVALID – expected qty must be above 0 and actual not negative",IF(BB721&lt;&gt;"",BB721,IF(AND(AS721=1,Documents!$J$26&lt;&gt;"ON FILE"),"INVALID – GLD not on file (Documents sheet)",IF(AND(AS721=2,Documents!$O$26&lt;&gt;"ON FILE"),"INVALID – menu checklist not on file (Documents sheet)",IF(AND(AS721=3,NOT(ISNUMBER(Flights!$AX$26))),"INVALID – enter carrying flight KUL departure (Flights AX)",IF(AND(AS721=3,OR(Flights!$AZ$26&gt;Flights!$AA$26,Flights!$AX$26&lt;Flights!$AA$26-3)),"INVALID – carrying flight (Flights AX) cannot arrive before this leg's STD, or is over 3 days early",IF(AG721&gt;AsOfUTC,"INVALID – completion time is in the future",IF(AND(ISNUMBER(BY721),AG721&lt;BY721),IF(H721="Physical uplift","INVALID – before uplift window (cannot confirm loading)","INVALID – before valid window"),IF(AG721&gt;Flights!$AA$26,"INVALID – completed after departure (cannot establish readiness)",IF(AND(H721="Preparation",AG721&gt;=IF(ISNUMBER(Flights!$BA$26),MIN(Flights!$BA$26,Flights!$AA$26),Flights!$AA$26)),"INVALID – completed after loading / departure (cannot establish readiness)",IF(AND(H721="Physical uplift",AG721&gt;Q721),"INVALID – recorded after the loading flight departed",IF(AG721&gt;Q721,"COMPLETE – LATE","COMPLETE"))))))))))))))))))))))))),IF(TRIM(U721)="Fail","FAIL – DISCREPANCY",IF(AND(TRIM(U721)&lt;&gt;"",TRIM(U721)&lt;&gt;"Not started",TRIM(U721)&lt;&gt;"In progress"),"INVALID – unrecognised status (use the list)",IF(AsOfUTC&gt;Q721,"OVERDUE",IF(N721="Clarification required","OPEN – CLARIFICATION","OPEN"))))))),"INVALID – error value in an input cell")</f>
        <v>OPEN</v>
      </c>
      <c r="AI721" s="61" t="n">
        <f aca="false">IF(OR(AH721="N/A – RULE",AH721="N/A – JUSTIFIED"),0,1)</f>
        <v>1</v>
      </c>
      <c r="AJ721" s="61" t="n">
        <f aca="false">IF(LEFT(AH721,8)="COMPLETE",1,0)</f>
        <v>0</v>
      </c>
      <c r="AK721" s="61" t="n">
        <f aca="false">IF(AND(AI721=1,AJ721=0,AsOfUTC&gt;Q721),1,0)</f>
        <v>0</v>
      </c>
      <c r="AL721" s="61" t="n">
        <f aca="false">IFERROR(IF(AND(AI721=1,OR(TRIM(U721)="Fail",AND(TRIM(AB721)&lt;&gt;"",TRIM(AB721)&lt;&gt;"Closed"),AND(ISNUMBER(AF721),AF721&lt;&gt;0,TRIM(U721)&lt;&gt;"Pass after CA"))),1,0),1)</f>
        <v>0</v>
      </c>
      <c r="AM721" s="61" t="n">
        <f aca="false">IF(LEFT(AH721,7)="INVALID",1,0)</f>
        <v>0</v>
      </c>
      <c r="AN721" s="61" t="n">
        <f aca="false">IF(AND(N721="Clarification required",AI721=1,AJ721=0),1,0)</f>
        <v>0</v>
      </c>
      <c r="AO721" s="61" t="str">
        <f aca="false">IF(AK721=1,SUM(AK$5:AK721),"")</f>
        <v/>
      </c>
      <c r="AP721" s="61" t="str">
        <f aca="false">IF(AL721=1,SUM(AL$5:AL721),"")</f>
        <v/>
      </c>
      <c r="AQ721" s="61" t="n">
        <v>0</v>
      </c>
      <c r="AR721" s="61" t="n">
        <v>0</v>
      </c>
      <c r="AS721" s="61" t="n">
        <v>0</v>
      </c>
      <c r="AT721" s="61" t="n">
        <v>0</v>
      </c>
      <c r="AU721" s="61" t="str">
        <f aca="false">SUBSTITUTE(SUBSTITUTE(SUBSTITUTE(SUBSTITUTE(SUBSTITUTE(SUBSTITUTE(SUBSTITUTE(SUBSTITUTE(SUBSTITUTE(SUBSTITUTE(SUBSTITUTE(SUBSTITUTE(SUBSTITUTE(SUBSTITUTE(SUBSTITUTE(SUBSTITUTE(LOWER(T721&amp;""),CHAR(10),""),CHAR(13),""),CHAR(9),""),CHAR(160),"")," ",""),".",""),"-",""),"/",""),"?",""),"_",""),",",""),"[",""),"]",""),"(",""),")",""),"*","")</f>
        <v/>
      </c>
      <c r="AV721" s="61" t="str">
        <f aca="false">SUBSTITUTE(SUBSTITUTE(SUBSTITUTE(SUBSTITUTE(SUBSTITUTE(SUBSTITUTE(SUBSTITUTE(SUBSTITUTE(SUBSTITUTE(SUBSTITUTE(SUBSTITUTE(SUBSTITUTE(SUBSTITUTE(SUBSTITUTE(SUBSTITUTE(SUBSTITUTE(LOWER(V721&amp;""),CHAR(10),""),CHAR(13),""),CHAR(9),""),CHAR(160),"")," ",""),".",""),"-",""),"/",""),"?",""),"_",""),",",""),"[",""),"]",""),"(",""),")",""),"*","")</f>
        <v/>
      </c>
      <c r="AW721" s="61" t="str">
        <f aca="false">SUBSTITUTE(SUBSTITUTE(SUBSTITUTE(SUBSTITUTE(SUBSTITUTE(SUBSTITUTE(SUBSTITUTE(SUBSTITUTE(SUBSTITUTE(SUBSTITUTE(SUBSTITUTE(SUBSTITUTE(SUBSTITUTE(SUBSTITUTE(SUBSTITUTE(SUBSTITUTE(LOWER(Z721&amp;""),CHAR(10),""),CHAR(13),""),CHAR(9),""),CHAR(160),"")," ",""),".",""),"-",""),"/",""),"?",""),"_",""),",",""),"[",""),"]",""),"(",""),")",""),"*","")</f>
        <v/>
      </c>
      <c r="AX721" s="61" t="str">
        <f aca="false">SUBSTITUTE(SUBSTITUTE(SUBSTITUTE(SUBSTITUTE(SUBSTITUTE(SUBSTITUTE(SUBSTITUTE(SUBSTITUTE(SUBSTITUTE(SUBSTITUTE(SUBSTITUTE(SUBSTITUTE(SUBSTITUTE(SUBSTITUTE(SUBSTITUTE(SUBSTITUTE(LOWER(AE721&amp;""),CHAR(10),""),CHAR(13),""),CHAR(9),""),CHAR(160),"")," ",""),".",""),"-",""),"/",""),"?",""),"_",""),",",""),"[",""),"]",""),"(",""),")",""),"*","")</f>
        <v/>
      </c>
      <c r="AY721" s="61" t="str">
        <f aca="false">SUBSTITUTE(SUBSTITUTE(SUBSTITUTE(SUBSTITUTE(SUBSTITUTE(SUBSTITUTE(SUBSTITUTE(SUBSTITUTE(SUBSTITUTE(SUBSTITUTE(SUBSTITUTE(SUBSTITUTE(SUBSTITUTE(SUBSTITUTE(SUBSTITUTE(SUBSTITUTE(LOWER(W721&amp;""),CHAR(10),""),CHAR(13),""),CHAR(9),""),CHAR(160),"")," ",""),".",""),"-",""),"/",""),"?",""),"_",""),",",""),"[",""),"]",""),"(",""),")",""),"*","")</f>
        <v/>
      </c>
      <c r="AZ721" s="61" t="str">
        <f aca="false">SUBSTITUTE(SUBSTITUTE(SUBSTITUTE(SUBSTITUTE(SUBSTITUTE(SUBSTITUTE(SUBSTITUTE(SUBSTITUTE(SUBSTITUTE(SUBSTITUTE(SUBSTITUTE(SUBSTITUTE(SUBSTITUTE(SUBSTITUTE(SUBSTITUTE(SUBSTITUTE(LOWER(AC721&amp;""),CHAR(10),""),CHAR(13),""),CHAR(9),""),CHAR(160),"")," ",""),".",""),"-",""),"/",""),"?",""),"_",""),",",""),"[",""),"]",""),"(",""),")",""),"*","")</f>
        <v/>
      </c>
      <c r="BA721" s="61" t="str">
        <f aca="false">SUBSTITUTE(SUBSTITUTE(SUBSTITUTE(SUBSTITUTE(SUBSTITUTE(SUBSTITUTE(SUBSTITUTE(SUBSTITUTE(SUBSTITUTE(SUBSTITUTE(SUBSTITUTE(SUBSTITUTE(SUBSTITUTE(SUBSTITUTE(SUBSTITUTE(SUBSTITUTE(LOWER(AA721&amp;""),CHAR(10),""),CHAR(13),""),CHAR(9),""),CHAR(160),"")," ",""),".",""),"-",""),"/",""),"?",""),"_",""),",",""),"[",""),"]",""),"(",""),")",""),"*","")</f>
        <v/>
      </c>
      <c r="BB721" s="61" t="str">
        <f aca="false">IF(AND(TRIM(U721)="Pass",ISNUMBER(AF721)),IF(AF721&lt;&gt;0,"INVALID – qty variance: use Fail or Pass after CA",""),"")&amp;IF(AND(TRIM(U721)="Pass after CA",ISNUMBER(AF721)),IF(AF721&lt;&gt;0,"INVALID – after the corrective action the actual qty must equal expected (update Actual)",""),"")&amp;IF(AND(TRIM(U721)="Pass",TRIM(AB721)&lt;&gt;"",TRIM(AB721)&lt;&gt;"Closed"),"INVALID – corrective action not closed: use Fail, then Pass after CA","")&amp;IF(AND(LEN(BA721)&gt;=2,ISNA(MATCH(LEFT(BA721,255),L_Placeholder,0)),TRIM(AB721)=""),"INVALID – CA status missing for the recorded corrective action","")&amp;IF(AND(TRIM(U721)="Pass after CA",OR(OR(LEN(BA721)&lt;5,ISNUMBER(MATCH(BA721,L_Placeholder,0))),TRIM(AB721)&lt;&gt;"Closed")),"INVALID – corrective action not recorded/closed","")</f>
        <v/>
      </c>
      <c r="BC721" s="61" t="str">
        <f aca="false">" "&amp;TRIM(SUBSTITUTE(SUBSTITUTE(SUBSTITUTE(SUBSTITUTE(SUBSTITUTE(SUBSTITUTE(SUBSTITUTE(SUBSTITUTE(SUBSTITUTE(SUBSTITUTE(SUBSTITUTE(SUBSTITUTE(SUBSTITUTE(SUBSTITUTE(SUBSTITUTE(SUBSTITUTE(SUBSTITUTE(SUBSTITUTE(SUBSTITUTE(SUBSTITUTE(SUBSTITUTE(SUBSTITUTE(SUBSTITUTE(SUBSTITUTE(LOWER(V721&amp;""),CHAR(10)," "),CHAR(13)," "),CHAR(9)," "),CHAR(160)," "),"."," "),","," "),"-"," "),"/"," "),"("," "),")"," "),":"," "),";"," "),"_"," "),"–"," "),"?"," "),"!"," "),"*"," "),"["," "),"]"," "),"'"," "),"#"," "),"+"," "),"&amp;"," "),"\"," "))&amp;" "</f>
        <v>  </v>
      </c>
      <c r="BD721" s="61" t="str">
        <f aca="false">" "&amp;TRIM(SUBSTITUTE(SUBSTITUTE(SUBSTITUTE(SUBSTITUTE(SUBSTITUTE(SUBSTITUTE(SUBSTITUTE(SUBSTITUTE(SUBSTITUTE(SUBSTITUTE(SUBSTITUTE(SUBSTITUTE(SUBSTITUTE(SUBSTITUTE(SUBSTITUTE(SUBSTITUTE(SUBSTITUTE(SUBSTITUTE(SUBSTITUTE(SUBSTITUTE(SUBSTITUTE(SUBSTITUTE(SUBSTITUTE(SUBSTITUTE(LOWER(Z721&amp;""),CHAR(10)," "),CHAR(13)," "),CHAR(9)," "),CHAR(160)," "),"."," "),","," "),"-"," "),"/"," "),"("," "),")"," "),":"," "),";"," "),"_"," "),"–"," "),"?"," "),"!"," "),"*"," "),"["," "),"]"," "),"'"," "),"#"," "),"+"," "),"&amp;"," "),"\"," "))&amp;" "</f>
        <v>  </v>
      </c>
      <c r="BE721" s="61" t="str">
        <f aca="false">" "&amp;TRIM(SUBSTITUTE(SUBSTITUTE(SUBSTITUTE(SUBSTITUTE(SUBSTITUTE(SUBSTITUTE(SUBSTITUTE(SUBSTITUTE(SUBSTITUTE(SUBSTITUTE(SUBSTITUTE(SUBSTITUTE(SUBSTITUTE(SUBSTITUTE(SUBSTITUTE(SUBSTITUTE(SUBSTITUTE(SUBSTITUTE(SUBSTITUTE(SUBSTITUTE(SUBSTITUTE(SUBSTITUTE(SUBSTITUTE(SUBSTITUTE(LOWER(W721&amp;""),CHAR(10)," "),CHAR(13)," "),CHAR(9)," "),CHAR(160)," "),"."," "),","," "),"-"," "),"/"," "),"("," "),")"," "),":"," "),";"," "),"_"," "),"–"," "),"?"," "),"!"," "),"*"," "),"["," "),"]"," "),"'"," "),"#"," "),"+"," "),"&amp;"," "),"\"," "))&amp;" "</f>
        <v>  </v>
      </c>
      <c r="BF721" s="61" t="str">
        <f aca="false">" "&amp;TRIM(SUBSTITUTE(SUBSTITUTE(SUBSTITUTE(SUBSTITUTE(SUBSTITUTE(SUBSTITUTE(SUBSTITUTE(SUBSTITUTE(SUBSTITUTE(SUBSTITUTE(SUBSTITUTE(SUBSTITUTE(SUBSTITUTE(SUBSTITUTE(SUBSTITUTE(SUBSTITUTE(SUBSTITUTE(SUBSTITUTE(SUBSTITUTE(SUBSTITUTE(SUBSTITUTE(SUBSTITUTE(SUBSTITUTE(SUBSTITUTE(LOWER(AC721&amp;""),CHAR(10)," "),CHAR(13)," "),CHAR(9)," "),CHAR(160)," "),"."," "),","," "),"-"," "),"/"," "),"("," "),")"," "),":"," "),";"," "),"_"," "),"–"," "),"?"," "),"!"," "),"*"," "),"["," "),"]"," "),"'"," "),"#"," "),"+"," "),"&amp;"," "),"\"," "))&amp;" "</f>
        <v>  </v>
      </c>
      <c r="BG721" s="61" t="n">
        <f aca="false">IFERROR(IF(AND(TRIM(U721)="Pass",SUMPRODUCT((LEN(BC721)-LEN(SUBSTITUTE(BC721," "&amp;L_ResultBad&amp;" "," ")))/(LEN(L_ResultBad)+1))&gt;SUMPRODUCT((LEN(BC721)-LEN(SUBSTITUTE(BC721," "&amp;L_NegPhrase&amp;" "," ")))/(LEN(L_NegPhrase)+1))),1,0),0)</f>
        <v>0</v>
      </c>
      <c r="BH721" s="61" t="n">
        <f aca="false">IFERROR(IF(SUMPRODUCT((LEN(BC721)-LEN(SUBSTITUTE(BC721," "&amp;L_Pending&amp;" "," ")))/(LEN(L_Pending)+1))&gt;SUMPRODUCT((LEN(BC721)-LEN(SUBSTITUTE(BC721," "&amp;L_PendNeg&amp;" "," ")))/(LEN(L_PendNeg)+1))+SUMPRODUCT((LEN(BC721)-LEN(SUBSTITUTE(BC721," "&amp;L_PendPrep&amp;" "," ")))/(LEN(L_PendPrep)+1)),1,0),1)</f>
        <v>0</v>
      </c>
      <c r="BI721" s="61" t="n">
        <f aca="false">IFERROR(IF(SUMPRODUCT((LEN(BD721)-LEN(SUBSTITUTE(BD721," "&amp;L_PendStrict&amp;" "," ")))/(LEN(L_PendStrict)+1))&gt;SUMPRODUCT((LEN(BD721)-LEN(SUBSTITUTE(BD721," "&amp;L_PendNeg&amp;" "," ")))/(LEN(L_PendNeg)+1)),1,0),1)</f>
        <v>0</v>
      </c>
      <c r="BJ721" s="61" t="n">
        <f aca="false">IFERROR(IF(SUMPRODUCT((LEN(BE721)-LEN(SUBSTITUTE(BE721," "&amp;L_Pending&amp;" "," ")))/(LEN(L_Pending)+1))&gt;SUMPRODUCT((LEN(BE721)-LEN(SUBSTITUTE(BE721," "&amp;L_PendNeg&amp;" "," ")))/(LEN(L_PendNeg)+1))+SUMPRODUCT((LEN(BE721)-LEN(SUBSTITUTE(BE721," "&amp;L_PendPrep&amp;" "," ")))/(LEN(L_PendPrep)+1)),1,0),1)</f>
        <v>0</v>
      </c>
      <c r="BK721" s="61" t="n">
        <f aca="false">IFERROR(IF(SUMPRODUCT((LEN(BF721)-LEN(SUBSTITUTE(BF721," "&amp;L_PendStrict&amp;" "," ")))/(LEN(L_PendStrict)+1))&gt;SUMPRODUCT((LEN(BF721)-LEN(SUBSTITUTE(BF721," "&amp;L_PendNeg&amp;" "," ")))/(LEN(L_PendNeg)+1)),1,0),1)</f>
        <v>0</v>
      </c>
      <c r="BL721" s="61" t="n">
        <f aca="false">IF(ISNA(MATCH(TRIM(S721),L_EvidenceType,0)),0,BZ721)</f>
        <v>0</v>
      </c>
      <c r="BM721" s="61" t="str">
        <f aca="false">SUBSTITUTE(SUBSTITUTE(SUBSTITUTE(SUBSTITUTE(SUBSTITUTE(SUBSTITUTE(SUBSTITUTE(SUBSTITUTE(SUBSTITUTE(LOWER(Z721&amp;""),"1","0"),"2","0"),"3","0"),"4","0"),"5","0"),"6","0"),"7","0"),"8","0"),"9","0")</f>
        <v/>
      </c>
      <c r="BN721" s="61" t="str">
        <f aca="false">SUBSTITUTE(SUBSTITUTE(SUBSTITUTE(SUBSTITUTE(SUBSTITUTE(SUBSTITUTE(SUBSTITUTE(SUBSTITUTE(SUBSTITUTE(SUBSTITUTE(SUBSTITUTE(SUBSTITUTE(SUBSTITUTE(SUBSTITUTE(SUBSTITUTE(SUBSTITUTE(SUBSTITUTE(SUBSTITUTE(SUBSTITUTE(SUBSTITUTE(SUBSTITUTE(SUBSTITUTE(SUBSTITUTE(SUBSTITUTE(SUBSTITUTE(BM721,"b","a"),"c","a"),"d","a"),"e","a"),"f","a"),"g","a"),"h","a"),"i","a"),"j","a"),"k","a"),"l","a"),"m","a"),"n","a"),"o","a"),"p","a"),"q","a"),"r","a"),"s","a"),"t","a"),"u","a"),"v","a"),"w","a"),"x","a"),"y","a"),"z","a")</f>
        <v/>
      </c>
      <c r="BO721" s="61" t="str">
        <f aca="false">SUBSTITUTE(SUBSTITUTE(SUBSTITUTE(SUBSTITUTE(SUBSTITUTE(SUBSTITUTE(SUBSTITUTE(SUBSTITUTE(SUBSTITUTE(LOWER(W721&amp;""),"1","0"),"2","0"),"3","0"),"4","0"),"5","0"),"6","0"),"7","0"),"8","0"),"9","0")</f>
        <v/>
      </c>
      <c r="BP721" s="61" t="str">
        <f aca="false">SUBSTITUTE(SUBSTITUTE(SUBSTITUTE(SUBSTITUTE(SUBSTITUTE(SUBSTITUTE(SUBSTITUTE(SUBSTITUTE(SUBSTITUTE(SUBSTITUTE(SUBSTITUTE(SUBSTITUTE(SUBSTITUTE(SUBSTITUTE(SUBSTITUTE(SUBSTITUTE(SUBSTITUTE(SUBSTITUTE(SUBSTITUTE(SUBSTITUTE(SUBSTITUTE(SUBSTITUTE(SUBSTITUTE(SUBSTITUTE(SUBSTITUTE(BO721,"b","a"),"c","a"),"d","a"),"e","a"),"f","a"),"g","a"),"h","a"),"i","a"),"j","a"),"k","a"),"l","a"),"m","a"),"n","a"),"o","a"),"p","a"),"q","a"),"r","a"),"s","a"),"t","a"),"u","a"),"v","a"),"w","a"),"x","a"),"y","a"),"z","a")</f>
        <v/>
      </c>
      <c r="BQ721" s="61" t="n">
        <f aca="false">IFERROR(IF(AND(ISERROR(SEARCH(" mh"," "&amp;LOWER(W721))),ISNA(MATCH(LEFT(TRIM(BP721),255),{"0000a","000a","00a","0000aa","000aa","00aa","0aa","0000aaa","000aaa","00a00","0a00","0000-0000","00:00","a00","a0","00.00.0000","00/00/0000","00-00-0000","0000-00-00","0000/00/00","0000.00.00","00.00.00","00/00/00","00-00-00","0.00.0000","0/00/0000","0-00-0000"},0)),ISNA(MATCH(LEFT(TRIM(CA721),255),{"0000a","000a","00a","0000aa","000aa","00aa","0aa","0000aaa","000aaa","00a00","0a00","0000-0000","00:00","a00","a0","00.00.0000","00/00/0000","00-00-0000","0000-00-00","0000/00/00","0000.00.00","00.00.00","00/00/00","00-00-00","0.00.0000","0/00/0000","0-00-0000"},0)),LEN(CB721)&gt;=3,NOT(OR(SUBSTITUTE(CB721,"0","")="",AND(LEN(CB721)&gt;=4,CB721=REPT(LEFT(CB721),LEN(CB721))),ISNUMBER(MATCH(CB721,{"123","1234","12345","123456","1234567","12345678","0123","01234","012345","98765","987654","54321"},0)),AND(LEN(CB721)=8,LEFT(CB721,3)="202"))),OR(AND((LEN(CA721)-LEN(SUBSTITUTE(CA721,"a","")))&gt;=1,SUMPRODUCT(--ISNUMBER(SEARCH({"a0","a-0","a_0","a/0","a.0","a#0","0a","0-a","0_a","0/a"},BP721)))&gt;0),ISNUMBER(SEARCH("000000",BP721)))),1,0),0)</f>
        <v>0</v>
      </c>
      <c r="BR721" s="61" t="n">
        <f aca="false">IFERROR(LEN(SUBSTITUTE(CC721," ",""))-SUMPRODUCT((LEN(CC721)-LEN(SUBSTITUTE(CC721," "&amp;L_Role&amp;" "," ")))/(LEN(L_Role)+1)*LEN(L_Role)),0)</f>
        <v>0</v>
      </c>
      <c r="BS721" s="61" t="n">
        <f aca="false">IFERROR(LEN(SUBSTITUTE(CD721," ",""))-SUMPRODUCT((LEN(CD721)-LEN(SUBSTITUTE(CD721," "&amp;L_Role&amp;" "," ")))/(LEN(L_Role)+1)*LEN(L_Role)),0)</f>
        <v>0</v>
      </c>
      <c r="BT7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721,"revision",""),"version",""),"jan",""),"feb",""),"mar",""),"apr",""),"may",""),"jun",""),"jul",""),"aug",""),"sep",""),"oct",""),"nov",""),"dec",""),"utc",""),"gmt",""),"myt",""),"bst",""),"rev",""),"ver",""),"b","a"),"c","a"),"d","a"),"e","a"),"f","a"),"g","a"),"h","a"),"i","a"),"j","a"),"k","a"),"l","a"),"m","a"),"n","a"),"o","a"),"p","a"),"q","a"),"r","a"),"s","a"),"t","a"),"u","a"),"v","a"),"w","a"),"x","a"),"y","a"),"z","a")</f>
        <v/>
      </c>
      <c r="BU721" s="61" t="str">
        <f aca="false">SUBSTITUTE(SUBSTITUTE(SUBSTITUTE(SUBSTITUTE(SUBSTITUTE(SUBSTITUTE(SUBSTITUTE(SUBSTITUTE(SUBSTITUTE(SUBSTITUTE(LEFT(BM721,FIND("0",BM721&amp;"0")-1),"-",""),"_",""),"/",""),".",""),"#",""),"\\",""),":","")," ",""),"(",""),")","")</f>
        <v/>
      </c>
      <c r="BV721" s="61" t="n">
        <f aca="false">0</f>
        <v>0</v>
      </c>
      <c r="BW72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721&amp;""),"a",""),"b",""),"c",""),"d",""),"e",""),"f",""),"g",""),"h",""),"i",""),"j",""),"k",""),"l",""),"m",""),"n",""),"o",""),"p",""),"q",""),"r",""),"s",""),"t",""),"u",""),"v",""),"w",""),"x",""),"y",""),"z",""),"-",""),"_",""),"/",""),".",""),"#",""),"\\",""),":","")," ",""),"(",""),")","")</f>
        <v/>
      </c>
      <c r="BX721" s="61" t="str">
        <f aca="false">SUBSTITUTE(SUBSTITUTE(SUBSTITUTE(SUBSTITUTE(SUBSTITUTE(SUBSTITUTE(SUBSTITUTE(SUBSTITUTE(SUBSTITUTE(SUBSTITUTE(SUBSTITUTE(BM721,"0",""),"-",""),"_",""),"/",""),".",""),"#",""),"\\",""),":","")," ",""),"(",""),")","")</f>
        <v/>
      </c>
      <c r="BY721" s="62" t="n">
        <f aca="false">Q721-T12EarlyH/24</f>
        <v>46324.6388888889</v>
      </c>
      <c r="BZ721" s="61" t="n">
        <f aca="false">IFERROR(IF(IF(TRIM(S721)="Link / file path",AND(LEN(TRIM(Z721))&gt;=5,SUMPRODUCT(--ISNUMBER(SEARCH({"http","www.","\\",":\",".pdf",".jpg",".jpeg",".png",".heic",".xls",".doc",".msg",".eml",".ppt",".txt",".zip"},Z721)))&gt;0),AND(ISERROR(FIND(" ",TRIM(Z721))),NOT(OR(SUMPRODUCT(--ISNUMBER(FIND({",",";","&amp;","+"},Z721)))&gt;0,SUMPRODUCT(--ISNUMBER(SEARCH({"0/aa","0\\aa"},BN721)))&gt;0)),NOT(SUMPRODUCT(--ISNUMBER(SEARCH({"http","www.","\\",":\",".pdf",".jpg",".jpeg",".png",".heic",".xls",".doc",".msg",".eml",".ppt",".txt",".zip"},Z721)))&gt;0),NOT(LOWER(TRIM(Z721))=LOWER(Flights!$F$26)),ISNA(MATCH(BU721,{"mh","rev","revision","ver","version","v","r","a","b","seat","tray","row","gate","bay","stand","page","pg","item","line","no","cart","galley","flight","flt","table","box","bag","oven","etd","eta","std","sta","atd","ata","qty","pax","x","time","tel","ph","mob","day","wk","week","utc","gmt","myt","lt"},0)),NOT(OR(ISNUMBER(MATCH(LEFT(BN721,255),{"0000a","000a","00a","0000aa","000aa","00aa","0aa","0000aaa","000aaa","00a00","0a00","0000-0000","00:00","a00","a0","00.00.0000","00/00/0000","00-00-0000","0000-00-00","0000/00/00","0000.00.00","00.00.00","00/00/00","00-00-00","0.00.0000","0/00/0000","0-00-0000"},0)),ISNUMBER(MATCH(LEFT(BT721,255),{"0000a","000a","00a","0000aa","000aa","00aa","0aa","0000aaa","000aaa","00a00","0a00","0000-0000","00:00","a00","a0","00.00.0000","00/00/0000","00-00-0000","0000-00-00","0000/00/00","0000.00.00","00.00.00","00/00/00","00-00-00","0.00.0000","0/00/0000","0-00-0000"},0)))),NOT(OR(AND(BW721&lt;&gt;"",SUBSTITUTE(BW721,"0","")=""),AND(LEN(BW721)&gt;=4,BW721=REPT(LEFT(BW721),LEN(BW721))),ISNUMBER(MATCH(BW721,{"123","1234","12345","123456","1234567","12345678","0123","01234","012345","98765","987654","54321"},0)),ISNUMBER(MATCH(BX721,{"x","xx","xxx","xxxx","xxxxx","abc","abcd","nil","na","nan","test","tbc","tba","tbd","dummy","sample","example","eg","zz","zzz","none","null","xyz","qwe","asd","id","ref"},0)),AND(LEN(BW721)=8,BX721="",OR(LEFT(BW721,3)="202",ISNUMBER(MATCH(RIGHT(BW721,4),{"2025","2026","2027"},0)))))),OR(AND((LEN(BT721)-LEN(SUBSTITUTE(BT721,"a","")))&gt;=1,(LEN(BN721)-LEN(SUBSTITUTE(BN721,"0","")))&gt;=2,SUMPRODUCT(--ISNUMBER(SEARCH({"a0","a-0","a_0","a/0","a.0","a#0","0a","0-a","0_a","0/a"},BN721)))&gt;0),AND((LEN(BN721)-LEN(SUBSTITUTE(BN721,"a","")))=0,(LEN(BN721)-LEN(SUBSTITUTE(BN721,"0","")))&gt;=5)))),1,0),0)</f>
        <v>0</v>
      </c>
      <c r="CA7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721,"revision",""),"version",""),"jan",""),"feb",""),"mar",""),"apr",""),"may",""),"jun",""),"jul",""),"aug",""),"sep",""),"oct",""),"nov",""),"dec",""),"utc",""),"gmt",""),"myt",""),"bst",""),"rev",""),"ver",""),"b","a"),"c","a"),"d","a"),"e","a"),"f","a"),"g","a"),"h","a"),"i","a"),"j","a"),"k","a"),"l","a"),"m","a"),"n","a"),"o","a"),"p","a"),"q","a"),"r","a"),"s","a"),"t","a"),"u","a"),"v","a"),"w","a"),"x","a"),"y","a"),"z","a")</f>
        <v/>
      </c>
      <c r="CB7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721&amp;""),"a",""),"b",""),"c",""),"d",""),"e",""),"f",""),"g",""),"h",""),"i",""),"j",""),"k",""),"l",""),"m",""),"n",""),"o",""),"p",""),"q",""),"r",""),"s",""),"t",""),"u",""),"v",""),"w",""),"x",""),"y",""),"z",""),"-",""),"_",""),"/",""),".",""),"#",""),"\\",""),":","")," ",""),"(",""),")","")</f>
        <v/>
      </c>
      <c r="CC721" s="0" t="str">
        <f aca="false">" "&amp;TRIM(SUBSTITUTE(SUBSTITUTE(SUBSTITUTE(SUBSTITUTE(SUBSTITUTE(SUBSTITUTE(SUBSTITUTE(SUBSTITUTE(SUBSTITUTE(SUBSTITUTE(SUBSTITUTE(SUBSTITUTE(SUBSTITUTE(SUBSTITUTE(SUBSTITUTE(SUBSTITUTE(SUBSTITUTE(SUBSTITUTE(SUBSTITUTE(SUBSTITUTE(SUBSTITUTE(SUBSTITUTE(SUBSTITUTE(SUBSTITUTE(LOWER(T721&amp;""),CHAR(10)," "),CHAR(13)," "),CHAR(9)," "),CHAR(160)," "),"."," "),","," "),"-"," "),"/"," "),"("," "),")"," "),":"," "),";"," "),"_"," "),"–"," "),"?"," "),"!"," "),"*"," "),"["," "),"]"," "),"'"," "),"#"," "),"+"," "),"&amp;"," "),"\"," "))&amp;" "</f>
        <v>  </v>
      </c>
      <c r="CD721" s="0" t="str">
        <f aca="false">" "&amp;TRIM(SUBSTITUTE(SUBSTITUTE(SUBSTITUTE(SUBSTITUTE(SUBSTITUTE(SUBSTITUTE(SUBSTITUTE(SUBSTITUTE(SUBSTITUTE(SUBSTITUTE(SUBSTITUTE(SUBSTITUTE(SUBSTITUTE(SUBSTITUTE(SUBSTITUTE(SUBSTITUTE(SUBSTITUTE(SUBSTITUTE(SUBSTITUTE(SUBSTITUTE(SUBSTITUTE(SUBSTITUTE(SUBSTITUTE(SUBSTITUTE(LOWER(AE721&amp;""),CHAR(10)," "),CHAR(13)," "),CHAR(9)," "),CHAR(160)," "),"."," "),","," "),"-"," "),"/"," "),"("," "),")"," "),":"," "),";"," "),"_"," "),"–"," "),"?"," "),"!"," "),"*"," "),"["," "),"]"," "),"'"," "),"#"," "),"+"," "),"&amp;"," "),"\"," "))&amp;" "</f>
        <v>  </v>
      </c>
      <c r="CE721" s="68" t="n">
        <f aca="false">IFERROR(IF(AND(LEN(AU721)&gt;0,LEN(AU721)=LEN(AX721),OR(TRIM(MID(SUBSTITUTE(TRIM(CC721)," ",REPT(" ",60)),1,60))="",ISNUMBER(SEARCH(" "&amp;TRIM(MID(SUBSTITUTE(TRIM(CC721)," ",REPT(" ",60)),1,60))&amp;" ",CD721))),OR(TRIM(MID(SUBSTITUTE(TRIM(CC721)," ",REPT(" ",60)),61,60))="",ISNUMBER(SEARCH(" "&amp;TRIM(MID(SUBSTITUTE(TRIM(CC721)," ",REPT(" ",60)),61,60))&amp;" ",CD721))),OR(TRIM(MID(SUBSTITUTE(TRIM(CC721)," ",REPT(" ",60)),121,60))="",ISNUMBER(SEARCH(" "&amp;TRIM(MID(SUBSTITUTE(TRIM(CC721)," ",REPT(" ",60)),121,60))&amp;" ",CD721)))),1,0),0)</f>
        <v>0</v>
      </c>
      <c r="CG721" s="68" t="n">
        <f aca="false">IFERROR(LEN(SUBSTITUTE(BF721," ",""))-SUMPRODUCT((LEN(BF721)-LEN(SUBSTITUTE(BF721," "&amp;L_NAFiller&amp;" "," ")))/(LEN(L_NAFiller)+1)*LEN(L_NAFiller)),0)</f>
        <v>0</v>
      </c>
    </row>
    <row r="722" customFormat="false" ht="41.25" hidden="false" customHeight="true" outlineLevel="0" collapsed="false">
      <c r="A722" s="57" t="s">
        <v>1456</v>
      </c>
      <c r="B722" s="57" t="s">
        <v>312</v>
      </c>
      <c r="C722" s="57" t="str">
        <f aca="false">Flights!$F$26</f>
        <v>MH0002</v>
      </c>
      <c r="D722" s="58" t="n">
        <f aca="false">Flights!$D$26</f>
        <v>46325</v>
      </c>
      <c r="E722" s="57" t="str">
        <f aca="false">Flights!$G$26&amp;"-"&amp;Flights!$H$26</f>
        <v>KUL-LHR</v>
      </c>
      <c r="F722" s="57" t="str">
        <f aca="false">Flights!$K$26</f>
        <v>BC</v>
      </c>
      <c r="G722" s="57" t="s">
        <v>420</v>
      </c>
      <c r="H722" s="57" t="s">
        <v>378</v>
      </c>
      <c r="I722" s="57" t="s">
        <v>499</v>
      </c>
      <c r="J722" s="57" t="s">
        <v>500</v>
      </c>
      <c r="K722" s="67" t="s">
        <v>501</v>
      </c>
      <c r="L722" s="67" t="s">
        <v>736</v>
      </c>
      <c r="M722" s="67" t="s">
        <v>451</v>
      </c>
      <c r="N722" s="67" t="s">
        <v>383</v>
      </c>
      <c r="O722" s="67" t="s">
        <v>503</v>
      </c>
      <c r="P722" s="57" t="s">
        <v>187</v>
      </c>
      <c r="Q722" s="59" t="n">
        <f aca="false">ROUND((Flights!$AE$26)*1440,0)/1440</f>
        <v>46325.1388888889</v>
      </c>
      <c r="R722" s="59" t="n">
        <f aca="false">Q722+(IF(AND(INDEX(TZ_DSTS,MATCH(P722,TZ_STN,0))&lt;&gt;"",Q722&gt;=INDEX(TZ_DSTS,MATCH(P722,TZ_STN,0)),Q722&lt;INDEX(TZ_DSTE,MATCH(P722,TZ_STN,0))),INDEX(TZ_DST,MATCH(P722,TZ_STN,0)),INDEX(TZ_STD,MATCH(P722,TZ_STN,0))))/24</f>
        <v>46325.4722222222</v>
      </c>
      <c r="S722" s="60"/>
      <c r="T722" s="60"/>
      <c r="U722" s="60"/>
      <c r="V722" s="60"/>
      <c r="W722" s="61"/>
      <c r="X722" s="60"/>
      <c r="Y722" s="60"/>
      <c r="Z722" s="60"/>
      <c r="AA722" s="60"/>
      <c r="AB722" s="60"/>
      <c r="AC722" s="60"/>
      <c r="AD722" s="66"/>
      <c r="AE722" s="60"/>
      <c r="AF722" s="61" t="str">
        <f aca="false">IF(AND(ISNUMBER(X722),ISNUMBER(Y722)),Y722-X722,"")</f>
        <v/>
      </c>
      <c r="AG722" s="62" t="str">
        <f aca="false">IF(ISNUMBER(AD722),AD722-(IF(AND(INDEX(TZ_DSTS,MATCH(P722,TZ_STN,0))&lt;&gt;"",(AD722-INDEX(TZ_STD,MATCH(P722,TZ_STN,0))/24)&gt;=INDEX(TZ_DSTS,MATCH(P722,TZ_STN,0)),(AD722-INDEX(TZ_STD,MATCH(P722,TZ_STN,0))/24)&lt;INDEX(TZ_DSTE,MATCH(P722,TZ_STN,0))),INDEX(TZ_DST,MATCH(P722,TZ_STN,0)),INDEX(TZ_STD,MATCH(P722,TZ_STN,0))))/24,"")</f>
        <v/>
      </c>
      <c r="AH722" s="65" t="str">
        <f aca="false">IFERROR(IF(N722="N/A – rule",IF(OR(TRIM(U722)="",TRIM(U722)="N/A",TRIM(U722)="Not started"),"N/A – RULE","INVALID – this check does not apply to this aircraft: clear the status (or correct the fleet on Flights)"),IF(TRIM(U722)="N/A",IF(AT722=0,"INVALID – N/A not permitted for this check",IF(AND(TRIM(AB722)&lt;&gt;"",TRIM(AB722)&lt;&gt;"Closed"),"INVALID – corrective action still open",IF(AND(NOT(OR(LEN(AZ722)&lt;15,ISNUMBER(MATCH(AZ722,L_Placeholder,0)))),BK722=0,CG722&gt;=8,NOT(OR(LEN(AU722)&lt;2,ISNUMBER(MATCH(AU722,L_Placeholder,0)))),BR722&gt;=3,NOT(OR(LEN(AX722)&lt;2,ISNUMBER(MATCH(AX722,L_Placeholder,0)))),BS722&gt;=3,TRIM(AE722)&lt;&gt;TRIM(T722),AX722&lt;&gt;AU722,CE722=0),"N/A – JUSTIFIED","INVALID – N/A needs a real, settled reason (not 'not applicable' / 'as above' / TBC), a named PIC and a different named verifier"))),IF(OR(TRIM(U722)="Pass",TRIM(U722)="Pass after CA"),IF(NOT(ISNUMBER(AD722)),"INVALID – completion time missing",IF(OR(OR(LEN(AU722)&lt;2,ISNUMBER(MATCH(AU722,L_Placeholder,0))),BR722&lt;3),"INVALID – PIC missing or not a named person (a role such as QA / CSM is not a name)",IF(OR(LEN(AV722)&lt;2,ISNUMBER(MATCH(AV722,L_Placeholder,0))),"INVALID – result / assessment missing",IF(OR(OR(LEN(AW722)&lt;3,ISNUMBER(MATCH(AW722,L_Placeholder,0))),SUMPRODUCT(--ISNUMBER(SEARCH(" "&amp;L_EvidencePhrase&amp;" ",BD722)))&gt;0,BI722=1),"INVALID – evidence missing, placeholder or not yet on file",IF(ISNA(MATCH(TRIM(S722),L_EvidenceType,0)),"INVALID – choose the evidence type from the list (column S)",IF(BL722=0,"INVALID – evidence ID must be the record's own ID only (e.g. SF-2210, IMG_2231, 1045521); a link / file name needs type 'Link / file path'",IF(OR(OR(LEN(AX722)&lt;2,ISNUMBER(MATCH(AX722,L_Placeholder,0))),BS722&lt;3),"INVALID – verifier missing or not a named person (a role such as QA / CSM is not a name)",IF(OR(AX722=AU722,CE722=1,AND(LEN(AU722)&gt;=4,ISNUMBER(SEARCH(AU722,AX722))),AND(LEN(AX722)&gt;=4,ISNUMBER(SEARCH(AX722,AU722)))),"INVALID – verifier must be a different, named person (not the PIC or a role)",IF(BH722=1,"INVALID – result not yet available (awaiting / TBC)",IF(BG722=1,"INVALID – result describes a problem: record Fail, then Pass after CA (or reword if it is not a problem)",IF(BV722=1,"INVALID – wording says not on board: an on-board confirmation needs the item loaded",IF(AND(AQ722=1,OR(OR(LEN(AY722)&lt;3,ISNUMBER(MATCH(AY722,L_Placeholder,0))),BJ722=1,BQ722=0)),"INVALID – batch ID missing, placeholder or not an ID (e.g. PASB-261008-BC-017)",IF(AND(AR722=1,OR(NOT(ISNUMBER(X722)),NOT(ISNUMBER(Y722)))),"INVALID – expected/actual qty missing",IF(AND(AR722=1,OR(X722&lt;=0,Y722&lt;0)),"INVALID – expected qty must be above 0 and actual not negative",IF(BB722&lt;&gt;"",BB722,IF(AND(AS722=1,Documents!$J$26&lt;&gt;"ON FILE"),"INVALID – GLD not on file (Documents sheet)",IF(AND(AS722=2,Documents!$O$26&lt;&gt;"ON FILE"),"INVALID – menu checklist not on file (Documents sheet)",IF(AND(AS722=3,NOT(ISNUMBER(Flights!$AX$26))),"INVALID – enter carrying flight KUL departure (Flights AX)",IF(AND(AS722=3,OR(Flights!$AZ$26&gt;Flights!$AA$26,Flights!$AX$26&lt;Flights!$AA$26-3)),"INVALID – carrying flight (Flights AX) cannot arrive before this leg's STD, or is over 3 days early",IF(AG722&gt;AsOfUTC,"INVALID – completion time is in the future",IF(AND(ISNUMBER(BY722),AG722&lt;BY722),IF(H722="Physical uplift","INVALID – before uplift window (cannot confirm loading)","INVALID – before valid window"),IF(AG722&gt;Flights!$AA$26,"INVALID – completed after departure (cannot establish readiness)",IF(AND(H722="Preparation",AG722&gt;=IF(ISNUMBER(Flights!$BA$26),MIN(Flights!$BA$26,Flights!$AA$26),Flights!$AA$26)),"INVALID – completed after loading / departure (cannot establish readiness)",IF(AND(H722="Physical uplift",AG722&gt;Q722),"INVALID – recorded after the loading flight departed",IF(AG722&gt;Q722,"COMPLETE – LATE","COMPLETE"))))))))))))))))))))))))),IF(TRIM(U722)="Fail","FAIL – DISCREPANCY",IF(AND(TRIM(U722)&lt;&gt;"",TRIM(U722)&lt;&gt;"Not started",TRIM(U722)&lt;&gt;"In progress"),"INVALID – unrecognised status (use the list)",IF(AsOfUTC&gt;Q722,"OVERDUE",IF(N722="Clarification required","OPEN – CLARIFICATION","OPEN"))))))),"INVALID – error value in an input cell")</f>
        <v>OPEN</v>
      </c>
      <c r="AI722" s="61" t="n">
        <f aca="false">IF(OR(AH722="N/A – RULE",AH722="N/A – JUSTIFIED"),0,1)</f>
        <v>1</v>
      </c>
      <c r="AJ722" s="61" t="n">
        <f aca="false">IF(LEFT(AH722,8)="COMPLETE",1,0)</f>
        <v>0</v>
      </c>
      <c r="AK722" s="61" t="n">
        <f aca="false">IF(AND(AI722=1,AJ722=0,AsOfUTC&gt;Q722),1,0)</f>
        <v>0</v>
      </c>
      <c r="AL722" s="61" t="n">
        <f aca="false">IFERROR(IF(AND(AI722=1,OR(TRIM(U722)="Fail",AND(TRIM(AB722)&lt;&gt;"",TRIM(AB722)&lt;&gt;"Closed"),AND(ISNUMBER(AF722),AF722&lt;&gt;0,TRIM(U722)&lt;&gt;"Pass after CA"))),1,0),1)</f>
        <v>0</v>
      </c>
      <c r="AM722" s="61" t="n">
        <f aca="false">IF(LEFT(AH722,7)="INVALID",1,0)</f>
        <v>0</v>
      </c>
      <c r="AN722" s="61" t="n">
        <f aca="false">IF(AND(N722="Clarification required",AI722=1,AJ722=0),1,0)</f>
        <v>0</v>
      </c>
      <c r="AO722" s="61" t="str">
        <f aca="false">IF(AK722=1,SUM(AK$5:AK722),"")</f>
        <v/>
      </c>
      <c r="AP722" s="61" t="str">
        <f aca="false">IF(AL722=1,SUM(AL$5:AL722),"")</f>
        <v/>
      </c>
      <c r="AQ722" s="61" t="n">
        <v>0</v>
      </c>
      <c r="AR722" s="61" t="n">
        <v>0</v>
      </c>
      <c r="AS722" s="61" t="n">
        <v>0</v>
      </c>
      <c r="AT722" s="61" t="n">
        <v>0</v>
      </c>
      <c r="AU722" s="61" t="str">
        <f aca="false">SUBSTITUTE(SUBSTITUTE(SUBSTITUTE(SUBSTITUTE(SUBSTITUTE(SUBSTITUTE(SUBSTITUTE(SUBSTITUTE(SUBSTITUTE(SUBSTITUTE(SUBSTITUTE(SUBSTITUTE(SUBSTITUTE(SUBSTITUTE(SUBSTITUTE(SUBSTITUTE(LOWER(T722&amp;""),CHAR(10),""),CHAR(13),""),CHAR(9),""),CHAR(160),"")," ",""),".",""),"-",""),"/",""),"?",""),"_",""),",",""),"[",""),"]",""),"(",""),")",""),"*","")</f>
        <v/>
      </c>
      <c r="AV722" s="61" t="str">
        <f aca="false">SUBSTITUTE(SUBSTITUTE(SUBSTITUTE(SUBSTITUTE(SUBSTITUTE(SUBSTITUTE(SUBSTITUTE(SUBSTITUTE(SUBSTITUTE(SUBSTITUTE(SUBSTITUTE(SUBSTITUTE(SUBSTITUTE(SUBSTITUTE(SUBSTITUTE(SUBSTITUTE(LOWER(V722&amp;""),CHAR(10),""),CHAR(13),""),CHAR(9),""),CHAR(160),"")," ",""),".",""),"-",""),"/",""),"?",""),"_",""),",",""),"[",""),"]",""),"(",""),")",""),"*","")</f>
        <v/>
      </c>
      <c r="AW722" s="61" t="str">
        <f aca="false">SUBSTITUTE(SUBSTITUTE(SUBSTITUTE(SUBSTITUTE(SUBSTITUTE(SUBSTITUTE(SUBSTITUTE(SUBSTITUTE(SUBSTITUTE(SUBSTITUTE(SUBSTITUTE(SUBSTITUTE(SUBSTITUTE(SUBSTITUTE(SUBSTITUTE(SUBSTITUTE(LOWER(Z722&amp;""),CHAR(10),""),CHAR(13),""),CHAR(9),""),CHAR(160),"")," ",""),".",""),"-",""),"/",""),"?",""),"_",""),",",""),"[",""),"]",""),"(",""),")",""),"*","")</f>
        <v/>
      </c>
      <c r="AX722" s="61" t="str">
        <f aca="false">SUBSTITUTE(SUBSTITUTE(SUBSTITUTE(SUBSTITUTE(SUBSTITUTE(SUBSTITUTE(SUBSTITUTE(SUBSTITUTE(SUBSTITUTE(SUBSTITUTE(SUBSTITUTE(SUBSTITUTE(SUBSTITUTE(SUBSTITUTE(SUBSTITUTE(SUBSTITUTE(LOWER(AE722&amp;""),CHAR(10),""),CHAR(13),""),CHAR(9),""),CHAR(160),"")," ",""),".",""),"-",""),"/",""),"?",""),"_",""),",",""),"[",""),"]",""),"(",""),")",""),"*","")</f>
        <v/>
      </c>
      <c r="AY722" s="61" t="str">
        <f aca="false">SUBSTITUTE(SUBSTITUTE(SUBSTITUTE(SUBSTITUTE(SUBSTITUTE(SUBSTITUTE(SUBSTITUTE(SUBSTITUTE(SUBSTITUTE(SUBSTITUTE(SUBSTITUTE(SUBSTITUTE(SUBSTITUTE(SUBSTITUTE(SUBSTITUTE(SUBSTITUTE(LOWER(W722&amp;""),CHAR(10),""),CHAR(13),""),CHAR(9),""),CHAR(160),"")," ",""),".",""),"-",""),"/",""),"?",""),"_",""),",",""),"[",""),"]",""),"(",""),")",""),"*","")</f>
        <v/>
      </c>
      <c r="AZ722" s="61" t="str">
        <f aca="false">SUBSTITUTE(SUBSTITUTE(SUBSTITUTE(SUBSTITUTE(SUBSTITUTE(SUBSTITUTE(SUBSTITUTE(SUBSTITUTE(SUBSTITUTE(SUBSTITUTE(SUBSTITUTE(SUBSTITUTE(SUBSTITUTE(SUBSTITUTE(SUBSTITUTE(SUBSTITUTE(LOWER(AC722&amp;""),CHAR(10),""),CHAR(13),""),CHAR(9),""),CHAR(160),"")," ",""),".",""),"-",""),"/",""),"?",""),"_",""),",",""),"[",""),"]",""),"(",""),")",""),"*","")</f>
        <v/>
      </c>
      <c r="BA722" s="61" t="str">
        <f aca="false">SUBSTITUTE(SUBSTITUTE(SUBSTITUTE(SUBSTITUTE(SUBSTITUTE(SUBSTITUTE(SUBSTITUTE(SUBSTITUTE(SUBSTITUTE(SUBSTITUTE(SUBSTITUTE(SUBSTITUTE(SUBSTITUTE(SUBSTITUTE(SUBSTITUTE(SUBSTITUTE(LOWER(AA722&amp;""),CHAR(10),""),CHAR(13),""),CHAR(9),""),CHAR(160),"")," ",""),".",""),"-",""),"/",""),"?",""),"_",""),",",""),"[",""),"]",""),"(",""),")",""),"*","")</f>
        <v/>
      </c>
      <c r="BB722" s="61" t="str">
        <f aca="false">IF(AND(TRIM(U722)="Pass",ISNUMBER(AF722)),IF(AF722&lt;&gt;0,"INVALID – qty variance: use Fail or Pass after CA",""),"")&amp;IF(AND(TRIM(U722)="Pass after CA",ISNUMBER(AF722)),IF(AF722&lt;&gt;0,"INVALID – after the corrective action the actual qty must equal expected (update Actual)",""),"")&amp;IF(AND(TRIM(U722)="Pass",TRIM(AB722)&lt;&gt;"",TRIM(AB722)&lt;&gt;"Closed"),"INVALID – corrective action not closed: use Fail, then Pass after CA","")&amp;IF(AND(LEN(BA722)&gt;=2,ISNA(MATCH(LEFT(BA722,255),L_Placeholder,0)),TRIM(AB722)=""),"INVALID – CA status missing for the recorded corrective action","")&amp;IF(AND(TRIM(U722)="Pass after CA",OR(OR(LEN(BA722)&lt;5,ISNUMBER(MATCH(BA722,L_Placeholder,0))),TRIM(AB722)&lt;&gt;"Closed")),"INVALID – corrective action not recorded/closed","")</f>
        <v/>
      </c>
      <c r="BC722" s="61" t="str">
        <f aca="false">" "&amp;TRIM(SUBSTITUTE(SUBSTITUTE(SUBSTITUTE(SUBSTITUTE(SUBSTITUTE(SUBSTITUTE(SUBSTITUTE(SUBSTITUTE(SUBSTITUTE(SUBSTITUTE(SUBSTITUTE(SUBSTITUTE(SUBSTITUTE(SUBSTITUTE(SUBSTITUTE(SUBSTITUTE(SUBSTITUTE(SUBSTITUTE(SUBSTITUTE(SUBSTITUTE(SUBSTITUTE(SUBSTITUTE(SUBSTITUTE(SUBSTITUTE(LOWER(V722&amp;""),CHAR(10)," "),CHAR(13)," "),CHAR(9)," "),CHAR(160)," "),"."," "),","," "),"-"," "),"/"," "),"("," "),")"," "),":"," "),";"," "),"_"," "),"–"," "),"?"," "),"!"," "),"*"," "),"["," "),"]"," "),"'"," "),"#"," "),"+"," "),"&amp;"," "),"\"," "))&amp;" "</f>
        <v>  </v>
      </c>
      <c r="BD722" s="61" t="str">
        <f aca="false">" "&amp;TRIM(SUBSTITUTE(SUBSTITUTE(SUBSTITUTE(SUBSTITUTE(SUBSTITUTE(SUBSTITUTE(SUBSTITUTE(SUBSTITUTE(SUBSTITUTE(SUBSTITUTE(SUBSTITUTE(SUBSTITUTE(SUBSTITUTE(SUBSTITUTE(SUBSTITUTE(SUBSTITUTE(SUBSTITUTE(SUBSTITUTE(SUBSTITUTE(SUBSTITUTE(SUBSTITUTE(SUBSTITUTE(SUBSTITUTE(SUBSTITUTE(LOWER(Z722&amp;""),CHAR(10)," "),CHAR(13)," "),CHAR(9)," "),CHAR(160)," "),"."," "),","," "),"-"," "),"/"," "),"("," "),")"," "),":"," "),";"," "),"_"," "),"–"," "),"?"," "),"!"," "),"*"," "),"["," "),"]"," "),"'"," "),"#"," "),"+"," "),"&amp;"," "),"\"," "))&amp;" "</f>
        <v>  </v>
      </c>
      <c r="BE722" s="61" t="str">
        <f aca="false">" "&amp;TRIM(SUBSTITUTE(SUBSTITUTE(SUBSTITUTE(SUBSTITUTE(SUBSTITUTE(SUBSTITUTE(SUBSTITUTE(SUBSTITUTE(SUBSTITUTE(SUBSTITUTE(SUBSTITUTE(SUBSTITUTE(SUBSTITUTE(SUBSTITUTE(SUBSTITUTE(SUBSTITUTE(SUBSTITUTE(SUBSTITUTE(SUBSTITUTE(SUBSTITUTE(SUBSTITUTE(SUBSTITUTE(SUBSTITUTE(SUBSTITUTE(LOWER(W722&amp;""),CHAR(10)," "),CHAR(13)," "),CHAR(9)," "),CHAR(160)," "),"."," "),","," "),"-"," "),"/"," "),"("," "),")"," "),":"," "),";"," "),"_"," "),"–"," "),"?"," "),"!"," "),"*"," "),"["," "),"]"," "),"'"," "),"#"," "),"+"," "),"&amp;"," "),"\"," "))&amp;" "</f>
        <v>  </v>
      </c>
      <c r="BF722" s="61" t="str">
        <f aca="false">" "&amp;TRIM(SUBSTITUTE(SUBSTITUTE(SUBSTITUTE(SUBSTITUTE(SUBSTITUTE(SUBSTITUTE(SUBSTITUTE(SUBSTITUTE(SUBSTITUTE(SUBSTITUTE(SUBSTITUTE(SUBSTITUTE(SUBSTITUTE(SUBSTITUTE(SUBSTITUTE(SUBSTITUTE(SUBSTITUTE(SUBSTITUTE(SUBSTITUTE(SUBSTITUTE(SUBSTITUTE(SUBSTITUTE(SUBSTITUTE(SUBSTITUTE(LOWER(AC722&amp;""),CHAR(10)," "),CHAR(13)," "),CHAR(9)," "),CHAR(160)," "),"."," "),","," "),"-"," "),"/"," "),"("," "),")"," "),":"," "),";"," "),"_"," "),"–"," "),"?"," "),"!"," "),"*"," "),"["," "),"]"," "),"'"," "),"#"," "),"+"," "),"&amp;"," "),"\"," "))&amp;" "</f>
        <v>  </v>
      </c>
      <c r="BG722" s="61" t="n">
        <f aca="false">IFERROR(IF(AND(TRIM(U722)="Pass",SUMPRODUCT((LEN(BC722)-LEN(SUBSTITUTE(BC722," "&amp;L_ResultBad&amp;" "," ")))/(LEN(L_ResultBad)+1))&gt;SUMPRODUCT((LEN(BC722)-LEN(SUBSTITUTE(BC722," "&amp;L_NegPhrase&amp;" "," ")))/(LEN(L_NegPhrase)+1))),1,0),0)</f>
        <v>0</v>
      </c>
      <c r="BH722" s="61" t="n">
        <f aca="false">IFERROR(IF(SUMPRODUCT((LEN(BC722)-LEN(SUBSTITUTE(BC722," "&amp;L_Pending&amp;" "," ")))/(LEN(L_Pending)+1))&gt;SUMPRODUCT((LEN(BC722)-LEN(SUBSTITUTE(BC722," "&amp;L_PendNeg&amp;" "," ")))/(LEN(L_PendNeg)+1))+SUMPRODUCT((LEN(BC722)-LEN(SUBSTITUTE(BC722," "&amp;L_PendPrep&amp;" "," ")))/(LEN(L_PendPrep)+1)),1,0),1)</f>
        <v>0</v>
      </c>
      <c r="BI722" s="61" t="n">
        <f aca="false">IFERROR(IF(SUMPRODUCT((LEN(BD722)-LEN(SUBSTITUTE(BD722," "&amp;L_PendStrict&amp;" "," ")))/(LEN(L_PendStrict)+1))&gt;SUMPRODUCT((LEN(BD722)-LEN(SUBSTITUTE(BD722," "&amp;L_PendNeg&amp;" "," ")))/(LEN(L_PendNeg)+1)),1,0),1)</f>
        <v>0</v>
      </c>
      <c r="BJ722" s="61" t="n">
        <f aca="false">IFERROR(IF(SUMPRODUCT((LEN(BE722)-LEN(SUBSTITUTE(BE722," "&amp;L_Pending&amp;" "," ")))/(LEN(L_Pending)+1))&gt;SUMPRODUCT((LEN(BE722)-LEN(SUBSTITUTE(BE722," "&amp;L_PendNeg&amp;" "," ")))/(LEN(L_PendNeg)+1))+SUMPRODUCT((LEN(BE722)-LEN(SUBSTITUTE(BE722," "&amp;L_PendPrep&amp;" "," ")))/(LEN(L_PendPrep)+1)),1,0),1)</f>
        <v>0</v>
      </c>
      <c r="BK722" s="61" t="n">
        <f aca="false">IFERROR(IF(SUMPRODUCT((LEN(BF722)-LEN(SUBSTITUTE(BF722," "&amp;L_PendStrict&amp;" "," ")))/(LEN(L_PendStrict)+1))&gt;SUMPRODUCT((LEN(BF722)-LEN(SUBSTITUTE(BF722," "&amp;L_PendNeg&amp;" "," ")))/(LEN(L_PendNeg)+1)),1,0),1)</f>
        <v>0</v>
      </c>
      <c r="BL722" s="61" t="n">
        <f aca="false">IF(ISNA(MATCH(TRIM(S722),L_EvidenceType,0)),0,BZ722)</f>
        <v>0</v>
      </c>
      <c r="BM722" s="61" t="str">
        <f aca="false">SUBSTITUTE(SUBSTITUTE(SUBSTITUTE(SUBSTITUTE(SUBSTITUTE(SUBSTITUTE(SUBSTITUTE(SUBSTITUTE(SUBSTITUTE(LOWER(Z722&amp;""),"1","0"),"2","0"),"3","0"),"4","0"),"5","0"),"6","0"),"7","0"),"8","0"),"9","0")</f>
        <v/>
      </c>
      <c r="BN722" s="61" t="str">
        <f aca="false">SUBSTITUTE(SUBSTITUTE(SUBSTITUTE(SUBSTITUTE(SUBSTITUTE(SUBSTITUTE(SUBSTITUTE(SUBSTITUTE(SUBSTITUTE(SUBSTITUTE(SUBSTITUTE(SUBSTITUTE(SUBSTITUTE(SUBSTITUTE(SUBSTITUTE(SUBSTITUTE(SUBSTITUTE(SUBSTITUTE(SUBSTITUTE(SUBSTITUTE(SUBSTITUTE(SUBSTITUTE(SUBSTITUTE(SUBSTITUTE(SUBSTITUTE(BM722,"b","a"),"c","a"),"d","a"),"e","a"),"f","a"),"g","a"),"h","a"),"i","a"),"j","a"),"k","a"),"l","a"),"m","a"),"n","a"),"o","a"),"p","a"),"q","a"),"r","a"),"s","a"),"t","a"),"u","a"),"v","a"),"w","a"),"x","a"),"y","a"),"z","a")</f>
        <v/>
      </c>
      <c r="BO722" s="61" t="str">
        <f aca="false">SUBSTITUTE(SUBSTITUTE(SUBSTITUTE(SUBSTITUTE(SUBSTITUTE(SUBSTITUTE(SUBSTITUTE(SUBSTITUTE(SUBSTITUTE(LOWER(W722&amp;""),"1","0"),"2","0"),"3","0"),"4","0"),"5","0"),"6","0"),"7","0"),"8","0"),"9","0")</f>
        <v/>
      </c>
      <c r="BP722" s="61" t="str">
        <f aca="false">SUBSTITUTE(SUBSTITUTE(SUBSTITUTE(SUBSTITUTE(SUBSTITUTE(SUBSTITUTE(SUBSTITUTE(SUBSTITUTE(SUBSTITUTE(SUBSTITUTE(SUBSTITUTE(SUBSTITUTE(SUBSTITUTE(SUBSTITUTE(SUBSTITUTE(SUBSTITUTE(SUBSTITUTE(SUBSTITUTE(SUBSTITUTE(SUBSTITUTE(SUBSTITUTE(SUBSTITUTE(SUBSTITUTE(SUBSTITUTE(SUBSTITUTE(BO722,"b","a"),"c","a"),"d","a"),"e","a"),"f","a"),"g","a"),"h","a"),"i","a"),"j","a"),"k","a"),"l","a"),"m","a"),"n","a"),"o","a"),"p","a"),"q","a"),"r","a"),"s","a"),"t","a"),"u","a"),"v","a"),"w","a"),"x","a"),"y","a"),"z","a")</f>
        <v/>
      </c>
      <c r="BQ722" s="61" t="n">
        <f aca="false">IFERROR(IF(AND(ISERROR(SEARCH(" mh"," "&amp;LOWER(W722))),ISNA(MATCH(LEFT(TRIM(BP722),255),{"0000a","000a","00a","0000aa","000aa","00aa","0aa","0000aaa","000aaa","00a00","0a00","0000-0000","00:00","a00","a0","00.00.0000","00/00/0000","00-00-0000","0000-00-00","0000/00/00","0000.00.00","00.00.00","00/00/00","00-00-00","0.00.0000","0/00/0000","0-00-0000"},0)),ISNA(MATCH(LEFT(TRIM(CA722),255),{"0000a","000a","00a","0000aa","000aa","00aa","0aa","0000aaa","000aaa","00a00","0a00","0000-0000","00:00","a00","a0","00.00.0000","00/00/0000","00-00-0000","0000-00-00","0000/00/00","0000.00.00","00.00.00","00/00/00","00-00-00","0.00.0000","0/00/0000","0-00-0000"},0)),LEN(CB722)&gt;=3,NOT(OR(SUBSTITUTE(CB722,"0","")="",AND(LEN(CB722)&gt;=4,CB722=REPT(LEFT(CB722),LEN(CB722))),ISNUMBER(MATCH(CB722,{"123","1234","12345","123456","1234567","12345678","0123","01234","012345","98765","987654","54321"},0)),AND(LEN(CB722)=8,LEFT(CB722,3)="202"))),OR(AND((LEN(CA722)-LEN(SUBSTITUTE(CA722,"a","")))&gt;=1,SUMPRODUCT(--ISNUMBER(SEARCH({"a0","a-0","a_0","a/0","a.0","a#0","0a","0-a","0_a","0/a"},BP722)))&gt;0),ISNUMBER(SEARCH("000000",BP722)))),1,0),0)</f>
        <v>0</v>
      </c>
      <c r="BR722" s="61" t="n">
        <f aca="false">IFERROR(LEN(SUBSTITUTE(CC722," ",""))-SUMPRODUCT((LEN(CC722)-LEN(SUBSTITUTE(CC722," "&amp;L_Role&amp;" "," ")))/(LEN(L_Role)+1)*LEN(L_Role)),0)</f>
        <v>0</v>
      </c>
      <c r="BS722" s="61" t="n">
        <f aca="false">IFERROR(LEN(SUBSTITUTE(CD722," ",""))-SUMPRODUCT((LEN(CD722)-LEN(SUBSTITUTE(CD722," "&amp;L_Role&amp;" "," ")))/(LEN(L_Role)+1)*LEN(L_Role)),0)</f>
        <v>0</v>
      </c>
      <c r="BT7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722,"revision",""),"version",""),"jan",""),"feb",""),"mar",""),"apr",""),"may",""),"jun",""),"jul",""),"aug",""),"sep",""),"oct",""),"nov",""),"dec",""),"utc",""),"gmt",""),"myt",""),"bst",""),"rev",""),"ver",""),"b","a"),"c","a"),"d","a"),"e","a"),"f","a"),"g","a"),"h","a"),"i","a"),"j","a"),"k","a"),"l","a"),"m","a"),"n","a"),"o","a"),"p","a"),"q","a"),"r","a"),"s","a"),"t","a"),"u","a"),"v","a"),"w","a"),"x","a"),"y","a"),"z","a")</f>
        <v/>
      </c>
      <c r="BU722" s="61" t="str">
        <f aca="false">SUBSTITUTE(SUBSTITUTE(SUBSTITUTE(SUBSTITUTE(SUBSTITUTE(SUBSTITUTE(SUBSTITUTE(SUBSTITUTE(SUBSTITUTE(SUBSTITUTE(LEFT(BM722,FIND("0",BM722&amp;"0")-1),"-",""),"_",""),"/",""),".",""),"#",""),"\\",""),":","")," ",""),"(",""),")","")</f>
        <v/>
      </c>
      <c r="BV722" s="61" t="n">
        <f aca="false">0</f>
        <v>0</v>
      </c>
      <c r="BW72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722&amp;""),"a",""),"b",""),"c",""),"d",""),"e",""),"f",""),"g",""),"h",""),"i",""),"j",""),"k",""),"l",""),"m",""),"n",""),"o",""),"p",""),"q",""),"r",""),"s",""),"t",""),"u",""),"v",""),"w",""),"x",""),"y",""),"z",""),"-",""),"_",""),"/",""),".",""),"#",""),"\\",""),":","")," ",""),"(",""),")","")</f>
        <v/>
      </c>
      <c r="BX722" s="61" t="str">
        <f aca="false">SUBSTITUTE(SUBSTITUTE(SUBSTITUTE(SUBSTITUTE(SUBSTITUTE(SUBSTITUTE(SUBSTITUTE(SUBSTITUTE(SUBSTITUTE(SUBSTITUTE(SUBSTITUTE(BM722,"0",""),"-",""),"_",""),"/",""),".",""),"#",""),"\\",""),":","")," ",""),"(",""),")","")</f>
        <v/>
      </c>
      <c r="BY722" s="62" t="n">
        <f aca="false">Q722-T12EarlyH/24</f>
        <v>46324.6388888889</v>
      </c>
      <c r="BZ722" s="61" t="n">
        <f aca="false">IFERROR(IF(IF(TRIM(S722)="Link / file path",AND(LEN(TRIM(Z722))&gt;=5,SUMPRODUCT(--ISNUMBER(SEARCH({"http","www.","\\",":\",".pdf",".jpg",".jpeg",".png",".heic",".xls",".doc",".msg",".eml",".ppt",".txt",".zip"},Z722)))&gt;0),AND(ISERROR(FIND(" ",TRIM(Z722))),NOT(OR(SUMPRODUCT(--ISNUMBER(FIND({",",";","&amp;","+"},Z722)))&gt;0,SUMPRODUCT(--ISNUMBER(SEARCH({"0/aa","0\\aa"},BN722)))&gt;0)),NOT(SUMPRODUCT(--ISNUMBER(SEARCH({"http","www.","\\",":\",".pdf",".jpg",".jpeg",".png",".heic",".xls",".doc",".msg",".eml",".ppt",".txt",".zip"},Z722)))&gt;0),NOT(LOWER(TRIM(Z722))=LOWER(Flights!$F$26)),ISNA(MATCH(BU722,{"mh","rev","revision","ver","version","v","r","a","b","seat","tray","row","gate","bay","stand","page","pg","item","line","no","cart","galley","flight","flt","table","box","bag","oven","etd","eta","std","sta","atd","ata","qty","pax","x","time","tel","ph","mob","day","wk","week","utc","gmt","myt","lt"},0)),NOT(OR(ISNUMBER(MATCH(LEFT(BN722,255),{"0000a","000a","00a","0000aa","000aa","00aa","0aa","0000aaa","000aaa","00a00","0a00","0000-0000","00:00","a00","a0","00.00.0000","00/00/0000","00-00-0000","0000-00-00","0000/00/00","0000.00.00","00.00.00","00/00/00","00-00-00","0.00.0000","0/00/0000","0-00-0000"},0)),ISNUMBER(MATCH(LEFT(BT722,255),{"0000a","000a","00a","0000aa","000aa","00aa","0aa","0000aaa","000aaa","00a00","0a00","0000-0000","00:00","a00","a0","00.00.0000","00/00/0000","00-00-0000","0000-00-00","0000/00/00","0000.00.00","00.00.00","00/00/00","00-00-00","0.00.0000","0/00/0000","0-00-0000"},0)))),NOT(OR(AND(BW722&lt;&gt;"",SUBSTITUTE(BW722,"0","")=""),AND(LEN(BW722)&gt;=4,BW722=REPT(LEFT(BW722),LEN(BW722))),ISNUMBER(MATCH(BW722,{"123","1234","12345","123456","1234567","12345678","0123","01234","012345","98765","987654","54321"},0)),ISNUMBER(MATCH(BX722,{"x","xx","xxx","xxxx","xxxxx","abc","abcd","nil","na","nan","test","tbc","tba","tbd","dummy","sample","example","eg","zz","zzz","none","null","xyz","qwe","asd","id","ref"},0)),AND(LEN(BW722)=8,BX722="",OR(LEFT(BW722,3)="202",ISNUMBER(MATCH(RIGHT(BW722,4),{"2025","2026","2027"},0)))))),OR(AND((LEN(BT722)-LEN(SUBSTITUTE(BT722,"a","")))&gt;=1,(LEN(BN722)-LEN(SUBSTITUTE(BN722,"0","")))&gt;=2,SUMPRODUCT(--ISNUMBER(SEARCH({"a0","a-0","a_0","a/0","a.0","a#0","0a","0-a","0_a","0/a"},BN722)))&gt;0),AND((LEN(BN722)-LEN(SUBSTITUTE(BN722,"a","")))=0,(LEN(BN722)-LEN(SUBSTITUTE(BN722,"0","")))&gt;=5)))),1,0),0)</f>
        <v>0</v>
      </c>
      <c r="CA7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722,"revision",""),"version",""),"jan",""),"feb",""),"mar",""),"apr",""),"may",""),"jun",""),"jul",""),"aug",""),"sep",""),"oct",""),"nov",""),"dec",""),"utc",""),"gmt",""),"myt",""),"bst",""),"rev",""),"ver",""),"b","a"),"c","a"),"d","a"),"e","a"),"f","a"),"g","a"),"h","a"),"i","a"),"j","a"),"k","a"),"l","a"),"m","a"),"n","a"),"o","a"),"p","a"),"q","a"),"r","a"),"s","a"),"t","a"),"u","a"),"v","a"),"w","a"),"x","a"),"y","a"),"z","a")</f>
        <v/>
      </c>
      <c r="CB7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722&amp;""),"a",""),"b",""),"c",""),"d",""),"e",""),"f",""),"g",""),"h",""),"i",""),"j",""),"k",""),"l",""),"m",""),"n",""),"o",""),"p",""),"q",""),"r",""),"s",""),"t",""),"u",""),"v",""),"w",""),"x",""),"y",""),"z",""),"-",""),"_",""),"/",""),".",""),"#",""),"\\",""),":","")," ",""),"(",""),")","")</f>
        <v/>
      </c>
      <c r="CC722" s="0" t="str">
        <f aca="false">" "&amp;TRIM(SUBSTITUTE(SUBSTITUTE(SUBSTITUTE(SUBSTITUTE(SUBSTITUTE(SUBSTITUTE(SUBSTITUTE(SUBSTITUTE(SUBSTITUTE(SUBSTITUTE(SUBSTITUTE(SUBSTITUTE(SUBSTITUTE(SUBSTITUTE(SUBSTITUTE(SUBSTITUTE(SUBSTITUTE(SUBSTITUTE(SUBSTITUTE(SUBSTITUTE(SUBSTITUTE(SUBSTITUTE(SUBSTITUTE(SUBSTITUTE(LOWER(T722&amp;""),CHAR(10)," "),CHAR(13)," "),CHAR(9)," "),CHAR(160)," "),"."," "),","," "),"-"," "),"/"," "),"("," "),")"," "),":"," "),";"," "),"_"," "),"–"," "),"?"," "),"!"," "),"*"," "),"["," "),"]"," "),"'"," "),"#"," "),"+"," "),"&amp;"," "),"\"," "))&amp;" "</f>
        <v>  </v>
      </c>
      <c r="CD722" s="0" t="str">
        <f aca="false">" "&amp;TRIM(SUBSTITUTE(SUBSTITUTE(SUBSTITUTE(SUBSTITUTE(SUBSTITUTE(SUBSTITUTE(SUBSTITUTE(SUBSTITUTE(SUBSTITUTE(SUBSTITUTE(SUBSTITUTE(SUBSTITUTE(SUBSTITUTE(SUBSTITUTE(SUBSTITUTE(SUBSTITUTE(SUBSTITUTE(SUBSTITUTE(SUBSTITUTE(SUBSTITUTE(SUBSTITUTE(SUBSTITUTE(SUBSTITUTE(SUBSTITUTE(LOWER(AE722&amp;""),CHAR(10)," "),CHAR(13)," "),CHAR(9)," "),CHAR(160)," "),"."," "),","," "),"-"," "),"/"," "),"("," "),")"," "),":"," "),";"," "),"_"," "),"–"," "),"?"," "),"!"," "),"*"," "),"["," "),"]"," "),"'"," "),"#"," "),"+"," "),"&amp;"," "),"\"," "))&amp;" "</f>
        <v>  </v>
      </c>
      <c r="CE722" s="68" t="n">
        <f aca="false">IFERROR(IF(AND(LEN(AU722)&gt;0,LEN(AU722)=LEN(AX722),OR(TRIM(MID(SUBSTITUTE(TRIM(CC722)," ",REPT(" ",60)),1,60))="",ISNUMBER(SEARCH(" "&amp;TRIM(MID(SUBSTITUTE(TRIM(CC722)," ",REPT(" ",60)),1,60))&amp;" ",CD722))),OR(TRIM(MID(SUBSTITUTE(TRIM(CC722)," ",REPT(" ",60)),61,60))="",ISNUMBER(SEARCH(" "&amp;TRIM(MID(SUBSTITUTE(TRIM(CC722)," ",REPT(" ",60)),61,60))&amp;" ",CD722))),OR(TRIM(MID(SUBSTITUTE(TRIM(CC722)," ",REPT(" ",60)),121,60))="",ISNUMBER(SEARCH(" "&amp;TRIM(MID(SUBSTITUTE(TRIM(CC722)," ",REPT(" ",60)),121,60))&amp;" ",CD722)))),1,0),0)</f>
        <v>0</v>
      </c>
      <c r="CG722" s="68" t="n">
        <f aca="false">IFERROR(LEN(SUBSTITUTE(BF722," ",""))-SUMPRODUCT((LEN(BF722)-LEN(SUBSTITUTE(BF722," "&amp;L_NAFiller&amp;" "," ")))/(LEN(L_NAFiller)+1)*LEN(L_NAFiller)),0)</f>
        <v>0</v>
      </c>
    </row>
    <row r="723" customFormat="false" ht="41.25" hidden="false" customHeight="true" outlineLevel="0" collapsed="false">
      <c r="A723" s="57" t="s">
        <v>1457</v>
      </c>
      <c r="B723" s="57" t="s">
        <v>312</v>
      </c>
      <c r="C723" s="57" t="str">
        <f aca="false">Flights!$F$26</f>
        <v>MH0002</v>
      </c>
      <c r="D723" s="58" t="n">
        <f aca="false">Flights!$D$26</f>
        <v>46325</v>
      </c>
      <c r="E723" s="57" t="str">
        <f aca="false">Flights!$G$26&amp;"-"&amp;Flights!$H$26</f>
        <v>KUL-LHR</v>
      </c>
      <c r="F723" s="57" t="str">
        <f aca="false">Flights!$K$26</f>
        <v>BC</v>
      </c>
      <c r="G723" s="57" t="s">
        <v>420</v>
      </c>
      <c r="H723" s="57" t="s">
        <v>378</v>
      </c>
      <c r="I723" s="57" t="s">
        <v>499</v>
      </c>
      <c r="J723" s="57" t="s">
        <v>505</v>
      </c>
      <c r="K723" s="67" t="s">
        <v>501</v>
      </c>
      <c r="L723" s="67" t="s">
        <v>738</v>
      </c>
      <c r="M723" s="67" t="s">
        <v>451</v>
      </c>
      <c r="N723" s="67" t="s">
        <v>383</v>
      </c>
      <c r="O723" s="67" t="s">
        <v>503</v>
      </c>
      <c r="P723" s="57" t="s">
        <v>187</v>
      </c>
      <c r="Q723" s="59" t="n">
        <f aca="false">ROUND((Flights!$AE$26)*1440,0)/1440</f>
        <v>46325.1388888889</v>
      </c>
      <c r="R723" s="59" t="n">
        <f aca="false">Q723+(IF(AND(INDEX(TZ_DSTS,MATCH(P723,TZ_STN,0))&lt;&gt;"",Q723&gt;=INDEX(TZ_DSTS,MATCH(P723,TZ_STN,0)),Q723&lt;INDEX(TZ_DSTE,MATCH(P723,TZ_STN,0))),INDEX(TZ_DST,MATCH(P723,TZ_STN,0)),INDEX(TZ_STD,MATCH(P723,TZ_STN,0))))/24</f>
        <v>46325.4722222222</v>
      </c>
      <c r="S723" s="60"/>
      <c r="T723" s="60"/>
      <c r="U723" s="60"/>
      <c r="V723" s="60"/>
      <c r="W723" s="61"/>
      <c r="X723" s="60"/>
      <c r="Y723" s="60"/>
      <c r="Z723" s="60"/>
      <c r="AA723" s="60"/>
      <c r="AB723" s="60"/>
      <c r="AC723" s="60"/>
      <c r="AD723" s="66"/>
      <c r="AE723" s="60"/>
      <c r="AF723" s="61" t="str">
        <f aca="false">IF(AND(ISNUMBER(X723),ISNUMBER(Y723)),Y723-X723,"")</f>
        <v/>
      </c>
      <c r="AG723" s="62" t="str">
        <f aca="false">IF(ISNUMBER(AD723),AD723-(IF(AND(INDEX(TZ_DSTS,MATCH(P723,TZ_STN,0))&lt;&gt;"",(AD723-INDEX(TZ_STD,MATCH(P723,TZ_STN,0))/24)&gt;=INDEX(TZ_DSTS,MATCH(P723,TZ_STN,0)),(AD723-INDEX(TZ_STD,MATCH(P723,TZ_STN,0))/24)&lt;INDEX(TZ_DSTE,MATCH(P723,TZ_STN,0))),INDEX(TZ_DST,MATCH(P723,TZ_STN,0)),INDEX(TZ_STD,MATCH(P723,TZ_STN,0))))/24,"")</f>
        <v/>
      </c>
      <c r="AH723" s="65" t="str">
        <f aca="false">IFERROR(IF(N723="N/A – rule",IF(OR(TRIM(U723)="",TRIM(U723)="N/A",TRIM(U723)="Not started"),"N/A – RULE","INVALID – this check does not apply to this aircraft: clear the status (or correct the fleet on Flights)"),IF(TRIM(U723)="N/A",IF(AT723=0,"INVALID – N/A not permitted for this check",IF(AND(TRIM(AB723)&lt;&gt;"",TRIM(AB723)&lt;&gt;"Closed"),"INVALID – corrective action still open",IF(AND(NOT(OR(LEN(AZ723)&lt;15,ISNUMBER(MATCH(AZ723,L_Placeholder,0)))),BK723=0,CG723&gt;=8,NOT(OR(LEN(AU723)&lt;2,ISNUMBER(MATCH(AU723,L_Placeholder,0)))),BR723&gt;=3,NOT(OR(LEN(AX723)&lt;2,ISNUMBER(MATCH(AX723,L_Placeholder,0)))),BS723&gt;=3,TRIM(AE723)&lt;&gt;TRIM(T723),AX723&lt;&gt;AU723,CE723=0),"N/A – JUSTIFIED","INVALID – N/A needs a real, settled reason (not 'not applicable' / 'as above' / TBC), a named PIC and a different named verifier"))),IF(OR(TRIM(U723)="Pass",TRIM(U723)="Pass after CA"),IF(NOT(ISNUMBER(AD723)),"INVALID – completion time missing",IF(OR(OR(LEN(AU723)&lt;2,ISNUMBER(MATCH(AU723,L_Placeholder,0))),BR723&lt;3),"INVALID – PIC missing or not a named person (a role such as QA / CSM is not a name)",IF(OR(LEN(AV723)&lt;2,ISNUMBER(MATCH(AV723,L_Placeholder,0))),"INVALID – result / assessment missing",IF(OR(OR(LEN(AW723)&lt;3,ISNUMBER(MATCH(AW723,L_Placeholder,0))),SUMPRODUCT(--ISNUMBER(SEARCH(" "&amp;L_EvidencePhrase&amp;" ",BD723)))&gt;0,BI723=1),"INVALID – evidence missing, placeholder or not yet on file",IF(ISNA(MATCH(TRIM(S723),L_EvidenceType,0)),"INVALID – choose the evidence type from the list (column S)",IF(BL723=0,"INVALID – evidence ID must be the record's own ID only (e.g. SF-2210, IMG_2231, 1045521); a link / file name needs type 'Link / file path'",IF(OR(OR(LEN(AX723)&lt;2,ISNUMBER(MATCH(AX723,L_Placeholder,0))),BS723&lt;3),"INVALID – verifier missing or not a named person (a role such as QA / CSM is not a name)",IF(OR(AX723=AU723,CE723=1,AND(LEN(AU723)&gt;=4,ISNUMBER(SEARCH(AU723,AX723))),AND(LEN(AX723)&gt;=4,ISNUMBER(SEARCH(AX723,AU723)))),"INVALID – verifier must be a different, named person (not the PIC or a role)",IF(BH723=1,"INVALID – result not yet available (awaiting / TBC)",IF(BG723=1,"INVALID – result describes a problem: record Fail, then Pass after CA (or reword if it is not a problem)",IF(BV723=1,"INVALID – wording says not on board: an on-board confirmation needs the item loaded",IF(AND(AQ723=1,OR(OR(LEN(AY723)&lt;3,ISNUMBER(MATCH(AY723,L_Placeholder,0))),BJ723=1,BQ723=0)),"INVALID – batch ID missing, placeholder or not an ID (e.g. PASB-261008-BC-017)",IF(AND(AR723=1,OR(NOT(ISNUMBER(X723)),NOT(ISNUMBER(Y723)))),"INVALID – expected/actual qty missing",IF(AND(AR723=1,OR(X723&lt;=0,Y723&lt;0)),"INVALID – expected qty must be above 0 and actual not negative",IF(BB723&lt;&gt;"",BB723,IF(AND(AS723=1,Documents!$J$26&lt;&gt;"ON FILE"),"INVALID – GLD not on file (Documents sheet)",IF(AND(AS723=2,Documents!$O$26&lt;&gt;"ON FILE"),"INVALID – menu checklist not on file (Documents sheet)",IF(AND(AS723=3,NOT(ISNUMBER(Flights!$AX$26))),"INVALID – enter carrying flight KUL departure (Flights AX)",IF(AND(AS723=3,OR(Flights!$AZ$26&gt;Flights!$AA$26,Flights!$AX$26&lt;Flights!$AA$26-3)),"INVALID – carrying flight (Flights AX) cannot arrive before this leg's STD, or is over 3 days early",IF(AG723&gt;AsOfUTC,"INVALID – completion time is in the future",IF(AND(ISNUMBER(BY723),AG723&lt;BY723),IF(H723="Physical uplift","INVALID – before uplift window (cannot confirm loading)","INVALID – before valid window"),IF(AG723&gt;Flights!$AA$26,"INVALID – completed after departure (cannot establish readiness)",IF(AND(H723="Preparation",AG723&gt;=IF(ISNUMBER(Flights!$BA$26),MIN(Flights!$BA$26,Flights!$AA$26),Flights!$AA$26)),"INVALID – completed after loading / departure (cannot establish readiness)",IF(AND(H723="Physical uplift",AG723&gt;Q723),"INVALID – recorded after the loading flight departed",IF(AG723&gt;Q723,"COMPLETE – LATE","COMPLETE"))))))))))))))))))))))))),IF(TRIM(U723)="Fail","FAIL – DISCREPANCY",IF(AND(TRIM(U723)&lt;&gt;"",TRIM(U723)&lt;&gt;"Not started",TRIM(U723)&lt;&gt;"In progress"),"INVALID – unrecognised status (use the list)",IF(AsOfUTC&gt;Q723,"OVERDUE",IF(N723="Clarification required","OPEN – CLARIFICATION","OPEN"))))))),"INVALID – error value in an input cell")</f>
        <v>OPEN</v>
      </c>
      <c r="AI723" s="61" t="n">
        <f aca="false">IF(OR(AH723="N/A – RULE",AH723="N/A – JUSTIFIED"),0,1)</f>
        <v>1</v>
      </c>
      <c r="AJ723" s="61" t="n">
        <f aca="false">IF(LEFT(AH723,8)="COMPLETE",1,0)</f>
        <v>0</v>
      </c>
      <c r="AK723" s="61" t="n">
        <f aca="false">IF(AND(AI723=1,AJ723=0,AsOfUTC&gt;Q723),1,0)</f>
        <v>0</v>
      </c>
      <c r="AL723" s="61" t="n">
        <f aca="false">IFERROR(IF(AND(AI723=1,OR(TRIM(U723)="Fail",AND(TRIM(AB723)&lt;&gt;"",TRIM(AB723)&lt;&gt;"Closed"),AND(ISNUMBER(AF723),AF723&lt;&gt;0,TRIM(U723)&lt;&gt;"Pass after CA"))),1,0),1)</f>
        <v>0</v>
      </c>
      <c r="AM723" s="61" t="n">
        <f aca="false">IF(LEFT(AH723,7)="INVALID",1,0)</f>
        <v>0</v>
      </c>
      <c r="AN723" s="61" t="n">
        <f aca="false">IF(AND(N723="Clarification required",AI723=1,AJ723=0),1,0)</f>
        <v>0</v>
      </c>
      <c r="AO723" s="61" t="str">
        <f aca="false">IF(AK723=1,SUM(AK$5:AK723),"")</f>
        <v/>
      </c>
      <c r="AP723" s="61" t="str">
        <f aca="false">IF(AL723=1,SUM(AL$5:AL723),"")</f>
        <v/>
      </c>
      <c r="AQ723" s="61" t="n">
        <v>0</v>
      </c>
      <c r="AR723" s="61" t="n">
        <v>0</v>
      </c>
      <c r="AS723" s="61" t="n">
        <v>0</v>
      </c>
      <c r="AT723" s="61" t="n">
        <v>0</v>
      </c>
      <c r="AU723" s="61" t="str">
        <f aca="false">SUBSTITUTE(SUBSTITUTE(SUBSTITUTE(SUBSTITUTE(SUBSTITUTE(SUBSTITUTE(SUBSTITUTE(SUBSTITUTE(SUBSTITUTE(SUBSTITUTE(SUBSTITUTE(SUBSTITUTE(SUBSTITUTE(SUBSTITUTE(SUBSTITUTE(SUBSTITUTE(LOWER(T723&amp;""),CHAR(10),""),CHAR(13),""),CHAR(9),""),CHAR(160),"")," ",""),".",""),"-",""),"/",""),"?",""),"_",""),",",""),"[",""),"]",""),"(",""),")",""),"*","")</f>
        <v/>
      </c>
      <c r="AV723" s="61" t="str">
        <f aca="false">SUBSTITUTE(SUBSTITUTE(SUBSTITUTE(SUBSTITUTE(SUBSTITUTE(SUBSTITUTE(SUBSTITUTE(SUBSTITUTE(SUBSTITUTE(SUBSTITUTE(SUBSTITUTE(SUBSTITUTE(SUBSTITUTE(SUBSTITUTE(SUBSTITUTE(SUBSTITUTE(LOWER(V723&amp;""),CHAR(10),""),CHAR(13),""),CHAR(9),""),CHAR(160),"")," ",""),".",""),"-",""),"/",""),"?",""),"_",""),",",""),"[",""),"]",""),"(",""),")",""),"*","")</f>
        <v/>
      </c>
      <c r="AW723" s="61" t="str">
        <f aca="false">SUBSTITUTE(SUBSTITUTE(SUBSTITUTE(SUBSTITUTE(SUBSTITUTE(SUBSTITUTE(SUBSTITUTE(SUBSTITUTE(SUBSTITUTE(SUBSTITUTE(SUBSTITUTE(SUBSTITUTE(SUBSTITUTE(SUBSTITUTE(SUBSTITUTE(SUBSTITUTE(LOWER(Z723&amp;""),CHAR(10),""),CHAR(13),""),CHAR(9),""),CHAR(160),"")," ",""),".",""),"-",""),"/",""),"?",""),"_",""),",",""),"[",""),"]",""),"(",""),")",""),"*","")</f>
        <v/>
      </c>
      <c r="AX723" s="61" t="str">
        <f aca="false">SUBSTITUTE(SUBSTITUTE(SUBSTITUTE(SUBSTITUTE(SUBSTITUTE(SUBSTITUTE(SUBSTITUTE(SUBSTITUTE(SUBSTITUTE(SUBSTITUTE(SUBSTITUTE(SUBSTITUTE(SUBSTITUTE(SUBSTITUTE(SUBSTITUTE(SUBSTITUTE(LOWER(AE723&amp;""),CHAR(10),""),CHAR(13),""),CHAR(9),""),CHAR(160),"")," ",""),".",""),"-",""),"/",""),"?",""),"_",""),",",""),"[",""),"]",""),"(",""),")",""),"*","")</f>
        <v/>
      </c>
      <c r="AY723" s="61" t="str">
        <f aca="false">SUBSTITUTE(SUBSTITUTE(SUBSTITUTE(SUBSTITUTE(SUBSTITUTE(SUBSTITUTE(SUBSTITUTE(SUBSTITUTE(SUBSTITUTE(SUBSTITUTE(SUBSTITUTE(SUBSTITUTE(SUBSTITUTE(SUBSTITUTE(SUBSTITUTE(SUBSTITUTE(LOWER(W723&amp;""),CHAR(10),""),CHAR(13),""),CHAR(9),""),CHAR(160),"")," ",""),".",""),"-",""),"/",""),"?",""),"_",""),",",""),"[",""),"]",""),"(",""),")",""),"*","")</f>
        <v/>
      </c>
      <c r="AZ723" s="61" t="str">
        <f aca="false">SUBSTITUTE(SUBSTITUTE(SUBSTITUTE(SUBSTITUTE(SUBSTITUTE(SUBSTITUTE(SUBSTITUTE(SUBSTITUTE(SUBSTITUTE(SUBSTITUTE(SUBSTITUTE(SUBSTITUTE(SUBSTITUTE(SUBSTITUTE(SUBSTITUTE(SUBSTITUTE(LOWER(AC723&amp;""),CHAR(10),""),CHAR(13),""),CHAR(9),""),CHAR(160),"")," ",""),".",""),"-",""),"/",""),"?",""),"_",""),",",""),"[",""),"]",""),"(",""),")",""),"*","")</f>
        <v/>
      </c>
      <c r="BA723" s="61" t="str">
        <f aca="false">SUBSTITUTE(SUBSTITUTE(SUBSTITUTE(SUBSTITUTE(SUBSTITUTE(SUBSTITUTE(SUBSTITUTE(SUBSTITUTE(SUBSTITUTE(SUBSTITUTE(SUBSTITUTE(SUBSTITUTE(SUBSTITUTE(SUBSTITUTE(SUBSTITUTE(SUBSTITUTE(LOWER(AA723&amp;""),CHAR(10),""),CHAR(13),""),CHAR(9),""),CHAR(160),"")," ",""),".",""),"-",""),"/",""),"?",""),"_",""),",",""),"[",""),"]",""),"(",""),")",""),"*","")</f>
        <v/>
      </c>
      <c r="BB723" s="61" t="str">
        <f aca="false">IF(AND(TRIM(U723)="Pass",ISNUMBER(AF723)),IF(AF723&lt;&gt;0,"INVALID – qty variance: use Fail or Pass after CA",""),"")&amp;IF(AND(TRIM(U723)="Pass after CA",ISNUMBER(AF723)),IF(AF723&lt;&gt;0,"INVALID – after the corrective action the actual qty must equal expected (update Actual)",""),"")&amp;IF(AND(TRIM(U723)="Pass",TRIM(AB723)&lt;&gt;"",TRIM(AB723)&lt;&gt;"Closed"),"INVALID – corrective action not closed: use Fail, then Pass after CA","")&amp;IF(AND(LEN(BA723)&gt;=2,ISNA(MATCH(LEFT(BA723,255),L_Placeholder,0)),TRIM(AB723)=""),"INVALID – CA status missing for the recorded corrective action","")&amp;IF(AND(TRIM(U723)="Pass after CA",OR(OR(LEN(BA723)&lt;5,ISNUMBER(MATCH(BA723,L_Placeholder,0))),TRIM(AB723)&lt;&gt;"Closed")),"INVALID – corrective action not recorded/closed","")</f>
        <v/>
      </c>
      <c r="BC723" s="61" t="str">
        <f aca="false">" "&amp;TRIM(SUBSTITUTE(SUBSTITUTE(SUBSTITUTE(SUBSTITUTE(SUBSTITUTE(SUBSTITUTE(SUBSTITUTE(SUBSTITUTE(SUBSTITUTE(SUBSTITUTE(SUBSTITUTE(SUBSTITUTE(SUBSTITUTE(SUBSTITUTE(SUBSTITUTE(SUBSTITUTE(SUBSTITUTE(SUBSTITUTE(SUBSTITUTE(SUBSTITUTE(SUBSTITUTE(SUBSTITUTE(SUBSTITUTE(SUBSTITUTE(LOWER(V723&amp;""),CHAR(10)," "),CHAR(13)," "),CHAR(9)," "),CHAR(160)," "),"."," "),","," "),"-"," "),"/"," "),"("," "),")"," "),":"," "),";"," "),"_"," "),"–"," "),"?"," "),"!"," "),"*"," "),"["," "),"]"," "),"'"," "),"#"," "),"+"," "),"&amp;"," "),"\"," "))&amp;" "</f>
        <v>  </v>
      </c>
      <c r="BD723" s="61" t="str">
        <f aca="false">" "&amp;TRIM(SUBSTITUTE(SUBSTITUTE(SUBSTITUTE(SUBSTITUTE(SUBSTITUTE(SUBSTITUTE(SUBSTITUTE(SUBSTITUTE(SUBSTITUTE(SUBSTITUTE(SUBSTITUTE(SUBSTITUTE(SUBSTITUTE(SUBSTITUTE(SUBSTITUTE(SUBSTITUTE(SUBSTITUTE(SUBSTITUTE(SUBSTITUTE(SUBSTITUTE(SUBSTITUTE(SUBSTITUTE(SUBSTITUTE(SUBSTITUTE(LOWER(Z723&amp;""),CHAR(10)," "),CHAR(13)," "),CHAR(9)," "),CHAR(160)," "),"."," "),","," "),"-"," "),"/"," "),"("," "),")"," "),":"," "),";"," "),"_"," "),"–"," "),"?"," "),"!"," "),"*"," "),"["," "),"]"," "),"'"," "),"#"," "),"+"," "),"&amp;"," "),"\"," "))&amp;" "</f>
        <v>  </v>
      </c>
      <c r="BE723" s="61" t="str">
        <f aca="false">" "&amp;TRIM(SUBSTITUTE(SUBSTITUTE(SUBSTITUTE(SUBSTITUTE(SUBSTITUTE(SUBSTITUTE(SUBSTITUTE(SUBSTITUTE(SUBSTITUTE(SUBSTITUTE(SUBSTITUTE(SUBSTITUTE(SUBSTITUTE(SUBSTITUTE(SUBSTITUTE(SUBSTITUTE(SUBSTITUTE(SUBSTITUTE(SUBSTITUTE(SUBSTITUTE(SUBSTITUTE(SUBSTITUTE(SUBSTITUTE(SUBSTITUTE(LOWER(W723&amp;""),CHAR(10)," "),CHAR(13)," "),CHAR(9)," "),CHAR(160)," "),"."," "),","," "),"-"," "),"/"," "),"("," "),")"," "),":"," "),";"," "),"_"," "),"–"," "),"?"," "),"!"," "),"*"," "),"["," "),"]"," "),"'"," "),"#"," "),"+"," "),"&amp;"," "),"\"," "))&amp;" "</f>
        <v>  </v>
      </c>
      <c r="BF723" s="61" t="str">
        <f aca="false">" "&amp;TRIM(SUBSTITUTE(SUBSTITUTE(SUBSTITUTE(SUBSTITUTE(SUBSTITUTE(SUBSTITUTE(SUBSTITUTE(SUBSTITUTE(SUBSTITUTE(SUBSTITUTE(SUBSTITUTE(SUBSTITUTE(SUBSTITUTE(SUBSTITUTE(SUBSTITUTE(SUBSTITUTE(SUBSTITUTE(SUBSTITUTE(SUBSTITUTE(SUBSTITUTE(SUBSTITUTE(SUBSTITUTE(SUBSTITUTE(SUBSTITUTE(LOWER(AC723&amp;""),CHAR(10)," "),CHAR(13)," "),CHAR(9)," "),CHAR(160)," "),"."," "),","," "),"-"," "),"/"," "),"("," "),")"," "),":"," "),";"," "),"_"," "),"–"," "),"?"," "),"!"," "),"*"," "),"["," "),"]"," "),"'"," "),"#"," "),"+"," "),"&amp;"," "),"\"," "))&amp;" "</f>
        <v>  </v>
      </c>
      <c r="BG723" s="61" t="n">
        <f aca="false">IFERROR(IF(AND(TRIM(U723)="Pass",SUMPRODUCT((LEN(BC723)-LEN(SUBSTITUTE(BC723," "&amp;L_ResultBad&amp;" "," ")))/(LEN(L_ResultBad)+1))&gt;SUMPRODUCT((LEN(BC723)-LEN(SUBSTITUTE(BC723," "&amp;L_NegPhrase&amp;" "," ")))/(LEN(L_NegPhrase)+1))),1,0),0)</f>
        <v>0</v>
      </c>
      <c r="BH723" s="61" t="n">
        <f aca="false">IFERROR(IF(SUMPRODUCT((LEN(BC723)-LEN(SUBSTITUTE(BC723," "&amp;L_Pending&amp;" "," ")))/(LEN(L_Pending)+1))&gt;SUMPRODUCT((LEN(BC723)-LEN(SUBSTITUTE(BC723," "&amp;L_PendNeg&amp;" "," ")))/(LEN(L_PendNeg)+1))+SUMPRODUCT((LEN(BC723)-LEN(SUBSTITUTE(BC723," "&amp;L_PendPrep&amp;" "," ")))/(LEN(L_PendPrep)+1)),1,0),1)</f>
        <v>0</v>
      </c>
      <c r="BI723" s="61" t="n">
        <f aca="false">IFERROR(IF(SUMPRODUCT((LEN(BD723)-LEN(SUBSTITUTE(BD723," "&amp;L_PendStrict&amp;" "," ")))/(LEN(L_PendStrict)+1))&gt;SUMPRODUCT((LEN(BD723)-LEN(SUBSTITUTE(BD723," "&amp;L_PendNeg&amp;" "," ")))/(LEN(L_PendNeg)+1)),1,0),1)</f>
        <v>0</v>
      </c>
      <c r="BJ723" s="61" t="n">
        <f aca="false">IFERROR(IF(SUMPRODUCT((LEN(BE723)-LEN(SUBSTITUTE(BE723," "&amp;L_Pending&amp;" "," ")))/(LEN(L_Pending)+1))&gt;SUMPRODUCT((LEN(BE723)-LEN(SUBSTITUTE(BE723," "&amp;L_PendNeg&amp;" "," ")))/(LEN(L_PendNeg)+1))+SUMPRODUCT((LEN(BE723)-LEN(SUBSTITUTE(BE723," "&amp;L_PendPrep&amp;" "," ")))/(LEN(L_PendPrep)+1)),1,0),1)</f>
        <v>0</v>
      </c>
      <c r="BK723" s="61" t="n">
        <f aca="false">IFERROR(IF(SUMPRODUCT((LEN(BF723)-LEN(SUBSTITUTE(BF723," "&amp;L_PendStrict&amp;" "," ")))/(LEN(L_PendStrict)+1))&gt;SUMPRODUCT((LEN(BF723)-LEN(SUBSTITUTE(BF723," "&amp;L_PendNeg&amp;" "," ")))/(LEN(L_PendNeg)+1)),1,0),1)</f>
        <v>0</v>
      </c>
      <c r="BL723" s="61" t="n">
        <f aca="false">IF(ISNA(MATCH(TRIM(S723),L_EvidenceType,0)),0,BZ723)</f>
        <v>0</v>
      </c>
      <c r="BM723" s="61" t="str">
        <f aca="false">SUBSTITUTE(SUBSTITUTE(SUBSTITUTE(SUBSTITUTE(SUBSTITUTE(SUBSTITUTE(SUBSTITUTE(SUBSTITUTE(SUBSTITUTE(LOWER(Z723&amp;""),"1","0"),"2","0"),"3","0"),"4","0"),"5","0"),"6","0"),"7","0"),"8","0"),"9","0")</f>
        <v/>
      </c>
      <c r="BN723" s="61" t="str">
        <f aca="false">SUBSTITUTE(SUBSTITUTE(SUBSTITUTE(SUBSTITUTE(SUBSTITUTE(SUBSTITUTE(SUBSTITUTE(SUBSTITUTE(SUBSTITUTE(SUBSTITUTE(SUBSTITUTE(SUBSTITUTE(SUBSTITUTE(SUBSTITUTE(SUBSTITUTE(SUBSTITUTE(SUBSTITUTE(SUBSTITUTE(SUBSTITUTE(SUBSTITUTE(SUBSTITUTE(SUBSTITUTE(SUBSTITUTE(SUBSTITUTE(SUBSTITUTE(BM723,"b","a"),"c","a"),"d","a"),"e","a"),"f","a"),"g","a"),"h","a"),"i","a"),"j","a"),"k","a"),"l","a"),"m","a"),"n","a"),"o","a"),"p","a"),"q","a"),"r","a"),"s","a"),"t","a"),"u","a"),"v","a"),"w","a"),"x","a"),"y","a"),"z","a")</f>
        <v/>
      </c>
      <c r="BO723" s="61" t="str">
        <f aca="false">SUBSTITUTE(SUBSTITUTE(SUBSTITUTE(SUBSTITUTE(SUBSTITUTE(SUBSTITUTE(SUBSTITUTE(SUBSTITUTE(SUBSTITUTE(LOWER(W723&amp;""),"1","0"),"2","0"),"3","0"),"4","0"),"5","0"),"6","0"),"7","0"),"8","0"),"9","0")</f>
        <v/>
      </c>
      <c r="BP723" s="61" t="str">
        <f aca="false">SUBSTITUTE(SUBSTITUTE(SUBSTITUTE(SUBSTITUTE(SUBSTITUTE(SUBSTITUTE(SUBSTITUTE(SUBSTITUTE(SUBSTITUTE(SUBSTITUTE(SUBSTITUTE(SUBSTITUTE(SUBSTITUTE(SUBSTITUTE(SUBSTITUTE(SUBSTITUTE(SUBSTITUTE(SUBSTITUTE(SUBSTITUTE(SUBSTITUTE(SUBSTITUTE(SUBSTITUTE(SUBSTITUTE(SUBSTITUTE(SUBSTITUTE(BO723,"b","a"),"c","a"),"d","a"),"e","a"),"f","a"),"g","a"),"h","a"),"i","a"),"j","a"),"k","a"),"l","a"),"m","a"),"n","a"),"o","a"),"p","a"),"q","a"),"r","a"),"s","a"),"t","a"),"u","a"),"v","a"),"w","a"),"x","a"),"y","a"),"z","a")</f>
        <v/>
      </c>
      <c r="BQ723" s="61" t="n">
        <f aca="false">IFERROR(IF(AND(ISERROR(SEARCH(" mh"," "&amp;LOWER(W723))),ISNA(MATCH(LEFT(TRIM(BP723),255),{"0000a","000a","00a","0000aa","000aa","00aa","0aa","0000aaa","000aaa","00a00","0a00","0000-0000","00:00","a00","a0","00.00.0000","00/00/0000","00-00-0000","0000-00-00","0000/00/00","0000.00.00","00.00.00","00/00/00","00-00-00","0.00.0000","0/00/0000","0-00-0000"},0)),ISNA(MATCH(LEFT(TRIM(CA723),255),{"0000a","000a","00a","0000aa","000aa","00aa","0aa","0000aaa","000aaa","00a00","0a00","0000-0000","00:00","a00","a0","00.00.0000","00/00/0000","00-00-0000","0000-00-00","0000/00/00","0000.00.00","00.00.00","00/00/00","00-00-00","0.00.0000","0/00/0000","0-00-0000"},0)),LEN(CB723)&gt;=3,NOT(OR(SUBSTITUTE(CB723,"0","")="",AND(LEN(CB723)&gt;=4,CB723=REPT(LEFT(CB723),LEN(CB723))),ISNUMBER(MATCH(CB723,{"123","1234","12345","123456","1234567","12345678","0123","01234","012345","98765","987654","54321"},0)),AND(LEN(CB723)=8,LEFT(CB723,3)="202"))),OR(AND((LEN(CA723)-LEN(SUBSTITUTE(CA723,"a","")))&gt;=1,SUMPRODUCT(--ISNUMBER(SEARCH({"a0","a-0","a_0","a/0","a.0","a#0","0a","0-a","0_a","0/a"},BP723)))&gt;0),ISNUMBER(SEARCH("000000",BP723)))),1,0),0)</f>
        <v>0</v>
      </c>
      <c r="BR723" s="61" t="n">
        <f aca="false">IFERROR(LEN(SUBSTITUTE(CC723," ",""))-SUMPRODUCT((LEN(CC723)-LEN(SUBSTITUTE(CC723," "&amp;L_Role&amp;" "," ")))/(LEN(L_Role)+1)*LEN(L_Role)),0)</f>
        <v>0</v>
      </c>
      <c r="BS723" s="61" t="n">
        <f aca="false">IFERROR(LEN(SUBSTITUTE(CD723," ",""))-SUMPRODUCT((LEN(CD723)-LEN(SUBSTITUTE(CD723," "&amp;L_Role&amp;" "," ")))/(LEN(L_Role)+1)*LEN(L_Role)),0)</f>
        <v>0</v>
      </c>
      <c r="BT7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723,"revision",""),"version",""),"jan",""),"feb",""),"mar",""),"apr",""),"may",""),"jun",""),"jul",""),"aug",""),"sep",""),"oct",""),"nov",""),"dec",""),"utc",""),"gmt",""),"myt",""),"bst",""),"rev",""),"ver",""),"b","a"),"c","a"),"d","a"),"e","a"),"f","a"),"g","a"),"h","a"),"i","a"),"j","a"),"k","a"),"l","a"),"m","a"),"n","a"),"o","a"),"p","a"),"q","a"),"r","a"),"s","a"),"t","a"),"u","a"),"v","a"),"w","a"),"x","a"),"y","a"),"z","a")</f>
        <v/>
      </c>
      <c r="BU723" s="61" t="str">
        <f aca="false">SUBSTITUTE(SUBSTITUTE(SUBSTITUTE(SUBSTITUTE(SUBSTITUTE(SUBSTITUTE(SUBSTITUTE(SUBSTITUTE(SUBSTITUTE(SUBSTITUTE(LEFT(BM723,FIND("0",BM723&amp;"0")-1),"-",""),"_",""),"/",""),".",""),"#",""),"\\",""),":","")," ",""),"(",""),")","")</f>
        <v/>
      </c>
      <c r="BV723" s="61" t="n">
        <f aca="false">0</f>
        <v>0</v>
      </c>
      <c r="BW72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723&amp;""),"a",""),"b",""),"c",""),"d",""),"e",""),"f",""),"g",""),"h",""),"i",""),"j",""),"k",""),"l",""),"m",""),"n",""),"o",""),"p",""),"q",""),"r",""),"s",""),"t",""),"u",""),"v",""),"w",""),"x",""),"y",""),"z",""),"-",""),"_",""),"/",""),".",""),"#",""),"\\",""),":","")," ",""),"(",""),")","")</f>
        <v/>
      </c>
      <c r="BX723" s="61" t="str">
        <f aca="false">SUBSTITUTE(SUBSTITUTE(SUBSTITUTE(SUBSTITUTE(SUBSTITUTE(SUBSTITUTE(SUBSTITUTE(SUBSTITUTE(SUBSTITUTE(SUBSTITUTE(SUBSTITUTE(BM723,"0",""),"-",""),"_",""),"/",""),".",""),"#",""),"\\",""),":","")," ",""),"(",""),")","")</f>
        <v/>
      </c>
      <c r="BY723" s="62" t="n">
        <f aca="false">Q723-T12EarlyH/24</f>
        <v>46324.6388888889</v>
      </c>
      <c r="BZ723" s="61" t="n">
        <f aca="false">IFERROR(IF(IF(TRIM(S723)="Link / file path",AND(LEN(TRIM(Z723))&gt;=5,SUMPRODUCT(--ISNUMBER(SEARCH({"http","www.","\\",":\",".pdf",".jpg",".jpeg",".png",".heic",".xls",".doc",".msg",".eml",".ppt",".txt",".zip"},Z723)))&gt;0),AND(ISERROR(FIND(" ",TRIM(Z723))),NOT(OR(SUMPRODUCT(--ISNUMBER(FIND({",",";","&amp;","+"},Z723)))&gt;0,SUMPRODUCT(--ISNUMBER(SEARCH({"0/aa","0\\aa"},BN723)))&gt;0)),NOT(SUMPRODUCT(--ISNUMBER(SEARCH({"http","www.","\\",":\",".pdf",".jpg",".jpeg",".png",".heic",".xls",".doc",".msg",".eml",".ppt",".txt",".zip"},Z723)))&gt;0),NOT(LOWER(TRIM(Z723))=LOWER(Flights!$F$26)),ISNA(MATCH(BU723,{"mh","rev","revision","ver","version","v","r","a","b","seat","tray","row","gate","bay","stand","page","pg","item","line","no","cart","galley","flight","flt","table","box","bag","oven","etd","eta","std","sta","atd","ata","qty","pax","x","time","tel","ph","mob","day","wk","week","utc","gmt","myt","lt"},0)),NOT(OR(ISNUMBER(MATCH(LEFT(BN723,255),{"0000a","000a","00a","0000aa","000aa","00aa","0aa","0000aaa","000aaa","00a00","0a00","0000-0000","00:00","a00","a0","00.00.0000","00/00/0000","00-00-0000","0000-00-00","0000/00/00","0000.00.00","00.00.00","00/00/00","00-00-00","0.00.0000","0/00/0000","0-00-0000"},0)),ISNUMBER(MATCH(LEFT(BT723,255),{"0000a","000a","00a","0000aa","000aa","00aa","0aa","0000aaa","000aaa","00a00","0a00","0000-0000","00:00","a00","a0","00.00.0000","00/00/0000","00-00-0000","0000-00-00","0000/00/00","0000.00.00","00.00.00","00/00/00","00-00-00","0.00.0000","0/00/0000","0-00-0000"},0)))),NOT(OR(AND(BW723&lt;&gt;"",SUBSTITUTE(BW723,"0","")=""),AND(LEN(BW723)&gt;=4,BW723=REPT(LEFT(BW723),LEN(BW723))),ISNUMBER(MATCH(BW723,{"123","1234","12345","123456","1234567","12345678","0123","01234","012345","98765","987654","54321"},0)),ISNUMBER(MATCH(BX723,{"x","xx","xxx","xxxx","xxxxx","abc","abcd","nil","na","nan","test","tbc","tba","tbd","dummy","sample","example","eg","zz","zzz","none","null","xyz","qwe","asd","id","ref"},0)),AND(LEN(BW723)=8,BX723="",OR(LEFT(BW723,3)="202",ISNUMBER(MATCH(RIGHT(BW723,4),{"2025","2026","2027"},0)))))),OR(AND((LEN(BT723)-LEN(SUBSTITUTE(BT723,"a","")))&gt;=1,(LEN(BN723)-LEN(SUBSTITUTE(BN723,"0","")))&gt;=2,SUMPRODUCT(--ISNUMBER(SEARCH({"a0","a-0","a_0","a/0","a.0","a#0","0a","0-a","0_a","0/a"},BN723)))&gt;0),AND((LEN(BN723)-LEN(SUBSTITUTE(BN723,"a","")))=0,(LEN(BN723)-LEN(SUBSTITUTE(BN723,"0","")))&gt;=5)))),1,0),0)</f>
        <v>0</v>
      </c>
      <c r="CA7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723,"revision",""),"version",""),"jan",""),"feb",""),"mar",""),"apr",""),"may",""),"jun",""),"jul",""),"aug",""),"sep",""),"oct",""),"nov",""),"dec",""),"utc",""),"gmt",""),"myt",""),"bst",""),"rev",""),"ver",""),"b","a"),"c","a"),"d","a"),"e","a"),"f","a"),"g","a"),"h","a"),"i","a"),"j","a"),"k","a"),"l","a"),"m","a"),"n","a"),"o","a"),"p","a"),"q","a"),"r","a"),"s","a"),"t","a"),"u","a"),"v","a"),"w","a"),"x","a"),"y","a"),"z","a")</f>
        <v/>
      </c>
      <c r="CB7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723&amp;""),"a",""),"b",""),"c",""),"d",""),"e",""),"f",""),"g",""),"h",""),"i",""),"j",""),"k",""),"l",""),"m",""),"n",""),"o",""),"p",""),"q",""),"r",""),"s",""),"t",""),"u",""),"v",""),"w",""),"x",""),"y",""),"z",""),"-",""),"_",""),"/",""),".",""),"#",""),"\\",""),":","")," ",""),"(",""),")","")</f>
        <v/>
      </c>
      <c r="CC723" s="0" t="str">
        <f aca="false">" "&amp;TRIM(SUBSTITUTE(SUBSTITUTE(SUBSTITUTE(SUBSTITUTE(SUBSTITUTE(SUBSTITUTE(SUBSTITUTE(SUBSTITUTE(SUBSTITUTE(SUBSTITUTE(SUBSTITUTE(SUBSTITUTE(SUBSTITUTE(SUBSTITUTE(SUBSTITUTE(SUBSTITUTE(SUBSTITUTE(SUBSTITUTE(SUBSTITUTE(SUBSTITUTE(SUBSTITUTE(SUBSTITUTE(SUBSTITUTE(SUBSTITUTE(LOWER(T723&amp;""),CHAR(10)," "),CHAR(13)," "),CHAR(9)," "),CHAR(160)," "),"."," "),","," "),"-"," "),"/"," "),"("," "),")"," "),":"," "),";"," "),"_"," "),"–"," "),"?"," "),"!"," "),"*"," "),"["," "),"]"," "),"'"," "),"#"," "),"+"," "),"&amp;"," "),"\"," "))&amp;" "</f>
        <v>  </v>
      </c>
      <c r="CD723" s="0" t="str">
        <f aca="false">" "&amp;TRIM(SUBSTITUTE(SUBSTITUTE(SUBSTITUTE(SUBSTITUTE(SUBSTITUTE(SUBSTITUTE(SUBSTITUTE(SUBSTITUTE(SUBSTITUTE(SUBSTITUTE(SUBSTITUTE(SUBSTITUTE(SUBSTITUTE(SUBSTITUTE(SUBSTITUTE(SUBSTITUTE(SUBSTITUTE(SUBSTITUTE(SUBSTITUTE(SUBSTITUTE(SUBSTITUTE(SUBSTITUTE(SUBSTITUTE(SUBSTITUTE(LOWER(AE723&amp;""),CHAR(10)," "),CHAR(13)," "),CHAR(9)," "),CHAR(160)," "),"."," "),","," "),"-"," "),"/"," "),"("," "),")"," "),":"," "),";"," "),"_"," "),"–"," "),"?"," "),"!"," "),"*"," "),"["," "),"]"," "),"'"," "),"#"," "),"+"," "),"&amp;"," "),"\"," "))&amp;" "</f>
        <v>  </v>
      </c>
      <c r="CE723" s="68" t="n">
        <f aca="false">IFERROR(IF(AND(LEN(AU723)&gt;0,LEN(AU723)=LEN(AX723),OR(TRIM(MID(SUBSTITUTE(TRIM(CC723)," ",REPT(" ",60)),1,60))="",ISNUMBER(SEARCH(" "&amp;TRIM(MID(SUBSTITUTE(TRIM(CC723)," ",REPT(" ",60)),1,60))&amp;" ",CD723))),OR(TRIM(MID(SUBSTITUTE(TRIM(CC723)," ",REPT(" ",60)),61,60))="",ISNUMBER(SEARCH(" "&amp;TRIM(MID(SUBSTITUTE(TRIM(CC723)," ",REPT(" ",60)),61,60))&amp;" ",CD723))),OR(TRIM(MID(SUBSTITUTE(TRIM(CC723)," ",REPT(" ",60)),121,60))="",ISNUMBER(SEARCH(" "&amp;TRIM(MID(SUBSTITUTE(TRIM(CC723)," ",REPT(" ",60)),121,60))&amp;" ",CD723)))),1,0),0)</f>
        <v>0</v>
      </c>
      <c r="CG723" s="68" t="n">
        <f aca="false">IFERROR(LEN(SUBSTITUTE(BF723," ",""))-SUMPRODUCT((LEN(BF723)-LEN(SUBSTITUTE(BF723," "&amp;L_NAFiller&amp;" "," ")))/(LEN(L_NAFiller)+1)*LEN(L_NAFiller)),0)</f>
        <v>0</v>
      </c>
    </row>
    <row r="724" customFormat="false" ht="41.25" hidden="false" customHeight="true" outlineLevel="0" collapsed="false">
      <c r="A724" s="57" t="s">
        <v>1458</v>
      </c>
      <c r="B724" s="57" t="s">
        <v>312</v>
      </c>
      <c r="C724" s="57" t="str">
        <f aca="false">Flights!$F$26</f>
        <v>MH0002</v>
      </c>
      <c r="D724" s="58" t="n">
        <f aca="false">Flights!$D$26</f>
        <v>46325</v>
      </c>
      <c r="E724" s="57" t="str">
        <f aca="false">Flights!$G$26&amp;"-"&amp;Flights!$H$26</f>
        <v>KUL-LHR</v>
      </c>
      <c r="F724" s="57" t="str">
        <f aca="false">Flights!$K$26</f>
        <v>BC</v>
      </c>
      <c r="G724" s="57" t="s">
        <v>420</v>
      </c>
      <c r="H724" s="57" t="s">
        <v>378</v>
      </c>
      <c r="I724" s="57" t="s">
        <v>499</v>
      </c>
      <c r="J724" s="57" t="s">
        <v>508</v>
      </c>
      <c r="K724" s="67" t="s">
        <v>501</v>
      </c>
      <c r="L724" s="67" t="s">
        <v>740</v>
      </c>
      <c r="M724" s="67" t="s">
        <v>451</v>
      </c>
      <c r="N724" s="67" t="s">
        <v>383</v>
      </c>
      <c r="O724" s="67" t="s">
        <v>503</v>
      </c>
      <c r="P724" s="57" t="s">
        <v>187</v>
      </c>
      <c r="Q724" s="59" t="n">
        <f aca="false">ROUND((Flights!$AE$26)*1440,0)/1440</f>
        <v>46325.1388888889</v>
      </c>
      <c r="R724" s="59" t="n">
        <f aca="false">Q724+(IF(AND(INDEX(TZ_DSTS,MATCH(P724,TZ_STN,0))&lt;&gt;"",Q724&gt;=INDEX(TZ_DSTS,MATCH(P724,TZ_STN,0)),Q724&lt;INDEX(TZ_DSTE,MATCH(P724,TZ_STN,0))),INDEX(TZ_DST,MATCH(P724,TZ_STN,0)),INDEX(TZ_STD,MATCH(P724,TZ_STN,0))))/24</f>
        <v>46325.4722222222</v>
      </c>
      <c r="S724" s="60"/>
      <c r="T724" s="60"/>
      <c r="U724" s="60"/>
      <c r="V724" s="60"/>
      <c r="W724" s="61"/>
      <c r="X724" s="60"/>
      <c r="Y724" s="60"/>
      <c r="Z724" s="60"/>
      <c r="AA724" s="60"/>
      <c r="AB724" s="60"/>
      <c r="AC724" s="60"/>
      <c r="AD724" s="66"/>
      <c r="AE724" s="60"/>
      <c r="AF724" s="61" t="str">
        <f aca="false">IF(AND(ISNUMBER(X724),ISNUMBER(Y724)),Y724-X724,"")</f>
        <v/>
      </c>
      <c r="AG724" s="62" t="str">
        <f aca="false">IF(ISNUMBER(AD724),AD724-(IF(AND(INDEX(TZ_DSTS,MATCH(P724,TZ_STN,0))&lt;&gt;"",(AD724-INDEX(TZ_STD,MATCH(P724,TZ_STN,0))/24)&gt;=INDEX(TZ_DSTS,MATCH(P724,TZ_STN,0)),(AD724-INDEX(TZ_STD,MATCH(P724,TZ_STN,0))/24)&lt;INDEX(TZ_DSTE,MATCH(P724,TZ_STN,0))),INDEX(TZ_DST,MATCH(P724,TZ_STN,0)),INDEX(TZ_STD,MATCH(P724,TZ_STN,0))))/24,"")</f>
        <v/>
      </c>
      <c r="AH724" s="65" t="str">
        <f aca="false">IFERROR(IF(N724="N/A – rule",IF(OR(TRIM(U724)="",TRIM(U724)="N/A",TRIM(U724)="Not started"),"N/A – RULE","INVALID – this check does not apply to this aircraft: clear the status (or correct the fleet on Flights)"),IF(TRIM(U724)="N/A",IF(AT724=0,"INVALID – N/A not permitted for this check",IF(AND(TRIM(AB724)&lt;&gt;"",TRIM(AB724)&lt;&gt;"Closed"),"INVALID – corrective action still open",IF(AND(NOT(OR(LEN(AZ724)&lt;15,ISNUMBER(MATCH(AZ724,L_Placeholder,0)))),BK724=0,CG724&gt;=8,NOT(OR(LEN(AU724)&lt;2,ISNUMBER(MATCH(AU724,L_Placeholder,0)))),BR724&gt;=3,NOT(OR(LEN(AX724)&lt;2,ISNUMBER(MATCH(AX724,L_Placeholder,0)))),BS724&gt;=3,TRIM(AE724)&lt;&gt;TRIM(T724),AX724&lt;&gt;AU724,CE724=0),"N/A – JUSTIFIED","INVALID – N/A needs a real, settled reason (not 'not applicable' / 'as above' / TBC), a named PIC and a different named verifier"))),IF(OR(TRIM(U724)="Pass",TRIM(U724)="Pass after CA"),IF(NOT(ISNUMBER(AD724)),"INVALID – completion time missing",IF(OR(OR(LEN(AU724)&lt;2,ISNUMBER(MATCH(AU724,L_Placeholder,0))),BR724&lt;3),"INVALID – PIC missing or not a named person (a role such as QA / CSM is not a name)",IF(OR(LEN(AV724)&lt;2,ISNUMBER(MATCH(AV724,L_Placeholder,0))),"INVALID – result / assessment missing",IF(OR(OR(LEN(AW724)&lt;3,ISNUMBER(MATCH(AW724,L_Placeholder,0))),SUMPRODUCT(--ISNUMBER(SEARCH(" "&amp;L_EvidencePhrase&amp;" ",BD724)))&gt;0,BI724=1),"INVALID – evidence missing, placeholder or not yet on file",IF(ISNA(MATCH(TRIM(S724),L_EvidenceType,0)),"INVALID – choose the evidence type from the list (column S)",IF(BL724=0,"INVALID – evidence ID must be the record's own ID only (e.g. SF-2210, IMG_2231, 1045521); a link / file name needs type 'Link / file path'",IF(OR(OR(LEN(AX724)&lt;2,ISNUMBER(MATCH(AX724,L_Placeholder,0))),BS724&lt;3),"INVALID – verifier missing or not a named person (a role such as QA / CSM is not a name)",IF(OR(AX724=AU724,CE724=1,AND(LEN(AU724)&gt;=4,ISNUMBER(SEARCH(AU724,AX724))),AND(LEN(AX724)&gt;=4,ISNUMBER(SEARCH(AX724,AU724)))),"INVALID – verifier must be a different, named person (not the PIC or a role)",IF(BH724=1,"INVALID – result not yet available (awaiting / TBC)",IF(BG724=1,"INVALID – result describes a problem: record Fail, then Pass after CA (or reword if it is not a problem)",IF(BV724=1,"INVALID – wording says not on board: an on-board confirmation needs the item loaded",IF(AND(AQ724=1,OR(OR(LEN(AY724)&lt;3,ISNUMBER(MATCH(AY724,L_Placeholder,0))),BJ724=1,BQ724=0)),"INVALID – batch ID missing, placeholder or not an ID (e.g. PASB-261008-BC-017)",IF(AND(AR724=1,OR(NOT(ISNUMBER(X724)),NOT(ISNUMBER(Y724)))),"INVALID – expected/actual qty missing",IF(AND(AR724=1,OR(X724&lt;=0,Y724&lt;0)),"INVALID – expected qty must be above 0 and actual not negative",IF(BB724&lt;&gt;"",BB724,IF(AND(AS724=1,Documents!$J$26&lt;&gt;"ON FILE"),"INVALID – GLD not on file (Documents sheet)",IF(AND(AS724=2,Documents!$O$26&lt;&gt;"ON FILE"),"INVALID – menu checklist not on file (Documents sheet)",IF(AND(AS724=3,NOT(ISNUMBER(Flights!$AX$26))),"INVALID – enter carrying flight KUL departure (Flights AX)",IF(AND(AS724=3,OR(Flights!$AZ$26&gt;Flights!$AA$26,Flights!$AX$26&lt;Flights!$AA$26-3)),"INVALID – carrying flight (Flights AX) cannot arrive before this leg's STD, or is over 3 days early",IF(AG724&gt;AsOfUTC,"INVALID – completion time is in the future",IF(AND(ISNUMBER(BY724),AG724&lt;BY724),IF(H724="Physical uplift","INVALID – before uplift window (cannot confirm loading)","INVALID – before valid window"),IF(AG724&gt;Flights!$AA$26,"INVALID – completed after departure (cannot establish readiness)",IF(AND(H724="Preparation",AG724&gt;=IF(ISNUMBER(Flights!$BA$26),MIN(Flights!$BA$26,Flights!$AA$26),Flights!$AA$26)),"INVALID – completed after loading / departure (cannot establish readiness)",IF(AND(H724="Physical uplift",AG724&gt;Q724),"INVALID – recorded after the loading flight departed",IF(AG724&gt;Q724,"COMPLETE – LATE","COMPLETE"))))))))))))))))))))))))),IF(TRIM(U724)="Fail","FAIL – DISCREPANCY",IF(AND(TRIM(U724)&lt;&gt;"",TRIM(U724)&lt;&gt;"Not started",TRIM(U724)&lt;&gt;"In progress"),"INVALID – unrecognised status (use the list)",IF(AsOfUTC&gt;Q724,"OVERDUE",IF(N724="Clarification required","OPEN – CLARIFICATION","OPEN"))))))),"INVALID – error value in an input cell")</f>
        <v>OPEN</v>
      </c>
      <c r="AI724" s="61" t="n">
        <f aca="false">IF(OR(AH724="N/A – RULE",AH724="N/A – JUSTIFIED"),0,1)</f>
        <v>1</v>
      </c>
      <c r="AJ724" s="61" t="n">
        <f aca="false">IF(LEFT(AH724,8)="COMPLETE",1,0)</f>
        <v>0</v>
      </c>
      <c r="AK724" s="61" t="n">
        <f aca="false">IF(AND(AI724=1,AJ724=0,AsOfUTC&gt;Q724),1,0)</f>
        <v>0</v>
      </c>
      <c r="AL724" s="61" t="n">
        <f aca="false">IFERROR(IF(AND(AI724=1,OR(TRIM(U724)="Fail",AND(TRIM(AB724)&lt;&gt;"",TRIM(AB724)&lt;&gt;"Closed"),AND(ISNUMBER(AF724),AF724&lt;&gt;0,TRIM(U724)&lt;&gt;"Pass after CA"))),1,0),1)</f>
        <v>0</v>
      </c>
      <c r="AM724" s="61" t="n">
        <f aca="false">IF(LEFT(AH724,7)="INVALID",1,0)</f>
        <v>0</v>
      </c>
      <c r="AN724" s="61" t="n">
        <f aca="false">IF(AND(N724="Clarification required",AI724=1,AJ724=0),1,0)</f>
        <v>0</v>
      </c>
      <c r="AO724" s="61" t="str">
        <f aca="false">IF(AK724=1,SUM(AK$5:AK724),"")</f>
        <v/>
      </c>
      <c r="AP724" s="61" t="str">
        <f aca="false">IF(AL724=1,SUM(AL$5:AL724),"")</f>
        <v/>
      </c>
      <c r="AQ724" s="61" t="n">
        <v>0</v>
      </c>
      <c r="AR724" s="61" t="n">
        <v>0</v>
      </c>
      <c r="AS724" s="61" t="n">
        <v>0</v>
      </c>
      <c r="AT724" s="61" t="n">
        <v>0</v>
      </c>
      <c r="AU724" s="61" t="str">
        <f aca="false">SUBSTITUTE(SUBSTITUTE(SUBSTITUTE(SUBSTITUTE(SUBSTITUTE(SUBSTITUTE(SUBSTITUTE(SUBSTITUTE(SUBSTITUTE(SUBSTITUTE(SUBSTITUTE(SUBSTITUTE(SUBSTITUTE(SUBSTITUTE(SUBSTITUTE(SUBSTITUTE(LOWER(T724&amp;""),CHAR(10),""),CHAR(13),""),CHAR(9),""),CHAR(160),"")," ",""),".",""),"-",""),"/",""),"?",""),"_",""),",",""),"[",""),"]",""),"(",""),")",""),"*","")</f>
        <v/>
      </c>
      <c r="AV724" s="61" t="str">
        <f aca="false">SUBSTITUTE(SUBSTITUTE(SUBSTITUTE(SUBSTITUTE(SUBSTITUTE(SUBSTITUTE(SUBSTITUTE(SUBSTITUTE(SUBSTITUTE(SUBSTITUTE(SUBSTITUTE(SUBSTITUTE(SUBSTITUTE(SUBSTITUTE(SUBSTITUTE(SUBSTITUTE(LOWER(V724&amp;""),CHAR(10),""),CHAR(13),""),CHAR(9),""),CHAR(160),"")," ",""),".",""),"-",""),"/",""),"?",""),"_",""),",",""),"[",""),"]",""),"(",""),")",""),"*","")</f>
        <v/>
      </c>
      <c r="AW724" s="61" t="str">
        <f aca="false">SUBSTITUTE(SUBSTITUTE(SUBSTITUTE(SUBSTITUTE(SUBSTITUTE(SUBSTITUTE(SUBSTITUTE(SUBSTITUTE(SUBSTITUTE(SUBSTITUTE(SUBSTITUTE(SUBSTITUTE(SUBSTITUTE(SUBSTITUTE(SUBSTITUTE(SUBSTITUTE(LOWER(Z724&amp;""),CHAR(10),""),CHAR(13),""),CHAR(9),""),CHAR(160),"")," ",""),".",""),"-",""),"/",""),"?",""),"_",""),",",""),"[",""),"]",""),"(",""),")",""),"*","")</f>
        <v/>
      </c>
      <c r="AX724" s="61" t="str">
        <f aca="false">SUBSTITUTE(SUBSTITUTE(SUBSTITUTE(SUBSTITUTE(SUBSTITUTE(SUBSTITUTE(SUBSTITUTE(SUBSTITUTE(SUBSTITUTE(SUBSTITUTE(SUBSTITUTE(SUBSTITUTE(SUBSTITUTE(SUBSTITUTE(SUBSTITUTE(SUBSTITUTE(LOWER(AE724&amp;""),CHAR(10),""),CHAR(13),""),CHAR(9),""),CHAR(160),"")," ",""),".",""),"-",""),"/",""),"?",""),"_",""),",",""),"[",""),"]",""),"(",""),")",""),"*","")</f>
        <v/>
      </c>
      <c r="AY724" s="61" t="str">
        <f aca="false">SUBSTITUTE(SUBSTITUTE(SUBSTITUTE(SUBSTITUTE(SUBSTITUTE(SUBSTITUTE(SUBSTITUTE(SUBSTITUTE(SUBSTITUTE(SUBSTITUTE(SUBSTITUTE(SUBSTITUTE(SUBSTITUTE(SUBSTITUTE(SUBSTITUTE(SUBSTITUTE(LOWER(W724&amp;""),CHAR(10),""),CHAR(13),""),CHAR(9),""),CHAR(160),"")," ",""),".",""),"-",""),"/",""),"?",""),"_",""),",",""),"[",""),"]",""),"(",""),")",""),"*","")</f>
        <v/>
      </c>
      <c r="AZ724" s="61" t="str">
        <f aca="false">SUBSTITUTE(SUBSTITUTE(SUBSTITUTE(SUBSTITUTE(SUBSTITUTE(SUBSTITUTE(SUBSTITUTE(SUBSTITUTE(SUBSTITUTE(SUBSTITUTE(SUBSTITUTE(SUBSTITUTE(SUBSTITUTE(SUBSTITUTE(SUBSTITUTE(SUBSTITUTE(LOWER(AC724&amp;""),CHAR(10),""),CHAR(13),""),CHAR(9),""),CHAR(160),"")," ",""),".",""),"-",""),"/",""),"?",""),"_",""),",",""),"[",""),"]",""),"(",""),")",""),"*","")</f>
        <v/>
      </c>
      <c r="BA724" s="61" t="str">
        <f aca="false">SUBSTITUTE(SUBSTITUTE(SUBSTITUTE(SUBSTITUTE(SUBSTITUTE(SUBSTITUTE(SUBSTITUTE(SUBSTITUTE(SUBSTITUTE(SUBSTITUTE(SUBSTITUTE(SUBSTITUTE(SUBSTITUTE(SUBSTITUTE(SUBSTITUTE(SUBSTITUTE(LOWER(AA724&amp;""),CHAR(10),""),CHAR(13),""),CHAR(9),""),CHAR(160),"")," ",""),".",""),"-",""),"/",""),"?",""),"_",""),",",""),"[",""),"]",""),"(",""),")",""),"*","")</f>
        <v/>
      </c>
      <c r="BB724" s="61" t="str">
        <f aca="false">IF(AND(TRIM(U724)="Pass",ISNUMBER(AF724)),IF(AF724&lt;&gt;0,"INVALID – qty variance: use Fail or Pass after CA",""),"")&amp;IF(AND(TRIM(U724)="Pass after CA",ISNUMBER(AF724)),IF(AF724&lt;&gt;0,"INVALID – after the corrective action the actual qty must equal expected (update Actual)",""),"")&amp;IF(AND(TRIM(U724)="Pass",TRIM(AB724)&lt;&gt;"",TRIM(AB724)&lt;&gt;"Closed"),"INVALID – corrective action not closed: use Fail, then Pass after CA","")&amp;IF(AND(LEN(BA724)&gt;=2,ISNA(MATCH(LEFT(BA724,255),L_Placeholder,0)),TRIM(AB724)=""),"INVALID – CA status missing for the recorded corrective action","")&amp;IF(AND(TRIM(U724)="Pass after CA",OR(OR(LEN(BA724)&lt;5,ISNUMBER(MATCH(BA724,L_Placeholder,0))),TRIM(AB724)&lt;&gt;"Closed")),"INVALID – corrective action not recorded/closed","")</f>
        <v/>
      </c>
      <c r="BC724" s="61" t="str">
        <f aca="false">" "&amp;TRIM(SUBSTITUTE(SUBSTITUTE(SUBSTITUTE(SUBSTITUTE(SUBSTITUTE(SUBSTITUTE(SUBSTITUTE(SUBSTITUTE(SUBSTITUTE(SUBSTITUTE(SUBSTITUTE(SUBSTITUTE(SUBSTITUTE(SUBSTITUTE(SUBSTITUTE(SUBSTITUTE(SUBSTITUTE(SUBSTITUTE(SUBSTITUTE(SUBSTITUTE(SUBSTITUTE(SUBSTITUTE(SUBSTITUTE(SUBSTITUTE(LOWER(V724&amp;""),CHAR(10)," "),CHAR(13)," "),CHAR(9)," "),CHAR(160)," "),"."," "),","," "),"-"," "),"/"," "),"("," "),")"," "),":"," "),";"," "),"_"," "),"–"," "),"?"," "),"!"," "),"*"," "),"["," "),"]"," "),"'"," "),"#"," "),"+"," "),"&amp;"," "),"\"," "))&amp;" "</f>
        <v>  </v>
      </c>
      <c r="BD724" s="61" t="str">
        <f aca="false">" "&amp;TRIM(SUBSTITUTE(SUBSTITUTE(SUBSTITUTE(SUBSTITUTE(SUBSTITUTE(SUBSTITUTE(SUBSTITUTE(SUBSTITUTE(SUBSTITUTE(SUBSTITUTE(SUBSTITUTE(SUBSTITUTE(SUBSTITUTE(SUBSTITUTE(SUBSTITUTE(SUBSTITUTE(SUBSTITUTE(SUBSTITUTE(SUBSTITUTE(SUBSTITUTE(SUBSTITUTE(SUBSTITUTE(SUBSTITUTE(SUBSTITUTE(LOWER(Z724&amp;""),CHAR(10)," "),CHAR(13)," "),CHAR(9)," "),CHAR(160)," "),"."," "),","," "),"-"," "),"/"," "),"("," "),")"," "),":"," "),";"," "),"_"," "),"–"," "),"?"," "),"!"," "),"*"," "),"["," "),"]"," "),"'"," "),"#"," "),"+"," "),"&amp;"," "),"\"," "))&amp;" "</f>
        <v>  </v>
      </c>
      <c r="BE724" s="61" t="str">
        <f aca="false">" "&amp;TRIM(SUBSTITUTE(SUBSTITUTE(SUBSTITUTE(SUBSTITUTE(SUBSTITUTE(SUBSTITUTE(SUBSTITUTE(SUBSTITUTE(SUBSTITUTE(SUBSTITUTE(SUBSTITUTE(SUBSTITUTE(SUBSTITUTE(SUBSTITUTE(SUBSTITUTE(SUBSTITUTE(SUBSTITUTE(SUBSTITUTE(SUBSTITUTE(SUBSTITUTE(SUBSTITUTE(SUBSTITUTE(SUBSTITUTE(SUBSTITUTE(LOWER(W724&amp;""),CHAR(10)," "),CHAR(13)," "),CHAR(9)," "),CHAR(160)," "),"."," "),","," "),"-"," "),"/"," "),"("," "),")"," "),":"," "),";"," "),"_"," "),"–"," "),"?"," "),"!"," "),"*"," "),"["," "),"]"," "),"'"," "),"#"," "),"+"," "),"&amp;"," "),"\"," "))&amp;" "</f>
        <v>  </v>
      </c>
      <c r="BF724" s="61" t="str">
        <f aca="false">" "&amp;TRIM(SUBSTITUTE(SUBSTITUTE(SUBSTITUTE(SUBSTITUTE(SUBSTITUTE(SUBSTITUTE(SUBSTITUTE(SUBSTITUTE(SUBSTITUTE(SUBSTITUTE(SUBSTITUTE(SUBSTITUTE(SUBSTITUTE(SUBSTITUTE(SUBSTITUTE(SUBSTITUTE(SUBSTITUTE(SUBSTITUTE(SUBSTITUTE(SUBSTITUTE(SUBSTITUTE(SUBSTITUTE(SUBSTITUTE(SUBSTITUTE(LOWER(AC724&amp;""),CHAR(10)," "),CHAR(13)," "),CHAR(9)," "),CHAR(160)," "),"."," "),","," "),"-"," "),"/"," "),"("," "),")"," "),":"," "),";"," "),"_"," "),"–"," "),"?"," "),"!"," "),"*"," "),"["," "),"]"," "),"'"," "),"#"," "),"+"," "),"&amp;"," "),"\"," "))&amp;" "</f>
        <v>  </v>
      </c>
      <c r="BG724" s="61" t="n">
        <f aca="false">IFERROR(IF(AND(TRIM(U724)="Pass",SUMPRODUCT((LEN(BC724)-LEN(SUBSTITUTE(BC724," "&amp;L_ResultBad&amp;" "," ")))/(LEN(L_ResultBad)+1))&gt;SUMPRODUCT((LEN(BC724)-LEN(SUBSTITUTE(BC724," "&amp;L_NegPhrase&amp;" "," ")))/(LEN(L_NegPhrase)+1))),1,0),0)</f>
        <v>0</v>
      </c>
      <c r="BH724" s="61" t="n">
        <f aca="false">IFERROR(IF(SUMPRODUCT((LEN(BC724)-LEN(SUBSTITUTE(BC724," "&amp;L_Pending&amp;" "," ")))/(LEN(L_Pending)+1))&gt;SUMPRODUCT((LEN(BC724)-LEN(SUBSTITUTE(BC724," "&amp;L_PendNeg&amp;" "," ")))/(LEN(L_PendNeg)+1))+SUMPRODUCT((LEN(BC724)-LEN(SUBSTITUTE(BC724," "&amp;L_PendPrep&amp;" "," ")))/(LEN(L_PendPrep)+1)),1,0),1)</f>
        <v>0</v>
      </c>
      <c r="BI724" s="61" t="n">
        <f aca="false">IFERROR(IF(SUMPRODUCT((LEN(BD724)-LEN(SUBSTITUTE(BD724," "&amp;L_PendStrict&amp;" "," ")))/(LEN(L_PendStrict)+1))&gt;SUMPRODUCT((LEN(BD724)-LEN(SUBSTITUTE(BD724," "&amp;L_PendNeg&amp;" "," ")))/(LEN(L_PendNeg)+1)),1,0),1)</f>
        <v>0</v>
      </c>
      <c r="BJ724" s="61" t="n">
        <f aca="false">IFERROR(IF(SUMPRODUCT((LEN(BE724)-LEN(SUBSTITUTE(BE724," "&amp;L_Pending&amp;" "," ")))/(LEN(L_Pending)+1))&gt;SUMPRODUCT((LEN(BE724)-LEN(SUBSTITUTE(BE724," "&amp;L_PendNeg&amp;" "," ")))/(LEN(L_PendNeg)+1))+SUMPRODUCT((LEN(BE724)-LEN(SUBSTITUTE(BE724," "&amp;L_PendPrep&amp;" "," ")))/(LEN(L_PendPrep)+1)),1,0),1)</f>
        <v>0</v>
      </c>
      <c r="BK724" s="61" t="n">
        <f aca="false">IFERROR(IF(SUMPRODUCT((LEN(BF724)-LEN(SUBSTITUTE(BF724," "&amp;L_PendStrict&amp;" "," ")))/(LEN(L_PendStrict)+1))&gt;SUMPRODUCT((LEN(BF724)-LEN(SUBSTITUTE(BF724," "&amp;L_PendNeg&amp;" "," ")))/(LEN(L_PendNeg)+1)),1,0),1)</f>
        <v>0</v>
      </c>
      <c r="BL724" s="61" t="n">
        <f aca="false">IF(ISNA(MATCH(TRIM(S724),L_EvidenceType,0)),0,BZ724)</f>
        <v>0</v>
      </c>
      <c r="BM724" s="61" t="str">
        <f aca="false">SUBSTITUTE(SUBSTITUTE(SUBSTITUTE(SUBSTITUTE(SUBSTITUTE(SUBSTITUTE(SUBSTITUTE(SUBSTITUTE(SUBSTITUTE(LOWER(Z724&amp;""),"1","0"),"2","0"),"3","0"),"4","0"),"5","0"),"6","0"),"7","0"),"8","0"),"9","0")</f>
        <v/>
      </c>
      <c r="BN724" s="61" t="str">
        <f aca="false">SUBSTITUTE(SUBSTITUTE(SUBSTITUTE(SUBSTITUTE(SUBSTITUTE(SUBSTITUTE(SUBSTITUTE(SUBSTITUTE(SUBSTITUTE(SUBSTITUTE(SUBSTITUTE(SUBSTITUTE(SUBSTITUTE(SUBSTITUTE(SUBSTITUTE(SUBSTITUTE(SUBSTITUTE(SUBSTITUTE(SUBSTITUTE(SUBSTITUTE(SUBSTITUTE(SUBSTITUTE(SUBSTITUTE(SUBSTITUTE(SUBSTITUTE(BM724,"b","a"),"c","a"),"d","a"),"e","a"),"f","a"),"g","a"),"h","a"),"i","a"),"j","a"),"k","a"),"l","a"),"m","a"),"n","a"),"o","a"),"p","a"),"q","a"),"r","a"),"s","a"),"t","a"),"u","a"),"v","a"),"w","a"),"x","a"),"y","a"),"z","a")</f>
        <v/>
      </c>
      <c r="BO724" s="61" t="str">
        <f aca="false">SUBSTITUTE(SUBSTITUTE(SUBSTITUTE(SUBSTITUTE(SUBSTITUTE(SUBSTITUTE(SUBSTITUTE(SUBSTITUTE(SUBSTITUTE(LOWER(W724&amp;""),"1","0"),"2","0"),"3","0"),"4","0"),"5","0"),"6","0"),"7","0"),"8","0"),"9","0")</f>
        <v/>
      </c>
      <c r="BP724" s="61" t="str">
        <f aca="false">SUBSTITUTE(SUBSTITUTE(SUBSTITUTE(SUBSTITUTE(SUBSTITUTE(SUBSTITUTE(SUBSTITUTE(SUBSTITUTE(SUBSTITUTE(SUBSTITUTE(SUBSTITUTE(SUBSTITUTE(SUBSTITUTE(SUBSTITUTE(SUBSTITUTE(SUBSTITUTE(SUBSTITUTE(SUBSTITUTE(SUBSTITUTE(SUBSTITUTE(SUBSTITUTE(SUBSTITUTE(SUBSTITUTE(SUBSTITUTE(SUBSTITUTE(BO724,"b","a"),"c","a"),"d","a"),"e","a"),"f","a"),"g","a"),"h","a"),"i","a"),"j","a"),"k","a"),"l","a"),"m","a"),"n","a"),"o","a"),"p","a"),"q","a"),"r","a"),"s","a"),"t","a"),"u","a"),"v","a"),"w","a"),"x","a"),"y","a"),"z","a")</f>
        <v/>
      </c>
      <c r="BQ724" s="61" t="n">
        <f aca="false">IFERROR(IF(AND(ISERROR(SEARCH(" mh"," "&amp;LOWER(W724))),ISNA(MATCH(LEFT(TRIM(BP724),255),{"0000a","000a","00a","0000aa","000aa","00aa","0aa","0000aaa","000aaa","00a00","0a00","0000-0000","00:00","a00","a0","00.00.0000","00/00/0000","00-00-0000","0000-00-00","0000/00/00","0000.00.00","00.00.00","00/00/00","00-00-00","0.00.0000","0/00/0000","0-00-0000"},0)),ISNA(MATCH(LEFT(TRIM(CA724),255),{"0000a","000a","00a","0000aa","000aa","00aa","0aa","0000aaa","000aaa","00a00","0a00","0000-0000","00:00","a00","a0","00.00.0000","00/00/0000","00-00-0000","0000-00-00","0000/00/00","0000.00.00","00.00.00","00/00/00","00-00-00","0.00.0000","0/00/0000","0-00-0000"},0)),LEN(CB724)&gt;=3,NOT(OR(SUBSTITUTE(CB724,"0","")="",AND(LEN(CB724)&gt;=4,CB724=REPT(LEFT(CB724),LEN(CB724))),ISNUMBER(MATCH(CB724,{"123","1234","12345","123456","1234567","12345678","0123","01234","012345","98765","987654","54321"},0)),AND(LEN(CB724)=8,LEFT(CB724,3)="202"))),OR(AND((LEN(CA724)-LEN(SUBSTITUTE(CA724,"a","")))&gt;=1,SUMPRODUCT(--ISNUMBER(SEARCH({"a0","a-0","a_0","a/0","a.0","a#0","0a","0-a","0_a","0/a"},BP724)))&gt;0),ISNUMBER(SEARCH("000000",BP724)))),1,0),0)</f>
        <v>0</v>
      </c>
      <c r="BR724" s="61" t="n">
        <f aca="false">IFERROR(LEN(SUBSTITUTE(CC724," ",""))-SUMPRODUCT((LEN(CC724)-LEN(SUBSTITUTE(CC724," "&amp;L_Role&amp;" "," ")))/(LEN(L_Role)+1)*LEN(L_Role)),0)</f>
        <v>0</v>
      </c>
      <c r="BS724" s="61" t="n">
        <f aca="false">IFERROR(LEN(SUBSTITUTE(CD724," ",""))-SUMPRODUCT((LEN(CD724)-LEN(SUBSTITUTE(CD724," "&amp;L_Role&amp;" "," ")))/(LEN(L_Role)+1)*LEN(L_Role)),0)</f>
        <v>0</v>
      </c>
      <c r="BT7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724,"revision",""),"version",""),"jan",""),"feb",""),"mar",""),"apr",""),"may",""),"jun",""),"jul",""),"aug",""),"sep",""),"oct",""),"nov",""),"dec",""),"utc",""),"gmt",""),"myt",""),"bst",""),"rev",""),"ver",""),"b","a"),"c","a"),"d","a"),"e","a"),"f","a"),"g","a"),"h","a"),"i","a"),"j","a"),"k","a"),"l","a"),"m","a"),"n","a"),"o","a"),"p","a"),"q","a"),"r","a"),"s","a"),"t","a"),"u","a"),"v","a"),"w","a"),"x","a"),"y","a"),"z","a")</f>
        <v/>
      </c>
      <c r="BU724" s="61" t="str">
        <f aca="false">SUBSTITUTE(SUBSTITUTE(SUBSTITUTE(SUBSTITUTE(SUBSTITUTE(SUBSTITUTE(SUBSTITUTE(SUBSTITUTE(SUBSTITUTE(SUBSTITUTE(LEFT(BM724,FIND("0",BM724&amp;"0")-1),"-",""),"_",""),"/",""),".",""),"#",""),"\\",""),":","")," ",""),"(",""),")","")</f>
        <v/>
      </c>
      <c r="BV724" s="61" t="n">
        <f aca="false">0</f>
        <v>0</v>
      </c>
      <c r="BW72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724&amp;""),"a",""),"b",""),"c",""),"d",""),"e",""),"f",""),"g",""),"h",""),"i",""),"j",""),"k",""),"l",""),"m",""),"n",""),"o",""),"p",""),"q",""),"r",""),"s",""),"t",""),"u",""),"v",""),"w",""),"x",""),"y",""),"z",""),"-",""),"_",""),"/",""),".",""),"#",""),"\\",""),":","")," ",""),"(",""),")","")</f>
        <v/>
      </c>
      <c r="BX724" s="61" t="str">
        <f aca="false">SUBSTITUTE(SUBSTITUTE(SUBSTITUTE(SUBSTITUTE(SUBSTITUTE(SUBSTITUTE(SUBSTITUTE(SUBSTITUTE(SUBSTITUTE(SUBSTITUTE(SUBSTITUTE(BM724,"0",""),"-",""),"_",""),"/",""),".",""),"#",""),"\\",""),":","")," ",""),"(",""),")","")</f>
        <v/>
      </c>
      <c r="BY724" s="62" t="n">
        <f aca="false">Q724-T12EarlyH/24</f>
        <v>46324.6388888889</v>
      </c>
      <c r="BZ724" s="61" t="n">
        <f aca="false">IFERROR(IF(IF(TRIM(S724)="Link / file path",AND(LEN(TRIM(Z724))&gt;=5,SUMPRODUCT(--ISNUMBER(SEARCH({"http","www.","\\",":\",".pdf",".jpg",".jpeg",".png",".heic",".xls",".doc",".msg",".eml",".ppt",".txt",".zip"},Z724)))&gt;0),AND(ISERROR(FIND(" ",TRIM(Z724))),NOT(OR(SUMPRODUCT(--ISNUMBER(FIND({",",";","&amp;","+"},Z724)))&gt;0,SUMPRODUCT(--ISNUMBER(SEARCH({"0/aa","0\\aa"},BN724)))&gt;0)),NOT(SUMPRODUCT(--ISNUMBER(SEARCH({"http","www.","\\",":\",".pdf",".jpg",".jpeg",".png",".heic",".xls",".doc",".msg",".eml",".ppt",".txt",".zip"},Z724)))&gt;0),NOT(LOWER(TRIM(Z724))=LOWER(Flights!$F$26)),ISNA(MATCH(BU724,{"mh","rev","revision","ver","version","v","r","a","b","seat","tray","row","gate","bay","stand","page","pg","item","line","no","cart","galley","flight","flt","table","box","bag","oven","etd","eta","std","sta","atd","ata","qty","pax","x","time","tel","ph","mob","day","wk","week","utc","gmt","myt","lt"},0)),NOT(OR(ISNUMBER(MATCH(LEFT(BN724,255),{"0000a","000a","00a","0000aa","000aa","00aa","0aa","0000aaa","000aaa","00a00","0a00","0000-0000","00:00","a00","a0","00.00.0000","00/00/0000","00-00-0000","0000-00-00","0000/00/00","0000.00.00","00.00.00","00/00/00","00-00-00","0.00.0000","0/00/0000","0-00-0000"},0)),ISNUMBER(MATCH(LEFT(BT724,255),{"0000a","000a","00a","0000aa","000aa","00aa","0aa","0000aaa","000aaa","00a00","0a00","0000-0000","00:00","a00","a0","00.00.0000","00/00/0000","00-00-0000","0000-00-00","0000/00/00","0000.00.00","00.00.00","00/00/00","00-00-00","0.00.0000","0/00/0000","0-00-0000"},0)))),NOT(OR(AND(BW724&lt;&gt;"",SUBSTITUTE(BW724,"0","")=""),AND(LEN(BW724)&gt;=4,BW724=REPT(LEFT(BW724),LEN(BW724))),ISNUMBER(MATCH(BW724,{"123","1234","12345","123456","1234567","12345678","0123","01234","012345","98765","987654","54321"},0)),ISNUMBER(MATCH(BX724,{"x","xx","xxx","xxxx","xxxxx","abc","abcd","nil","na","nan","test","tbc","tba","tbd","dummy","sample","example","eg","zz","zzz","none","null","xyz","qwe","asd","id","ref"},0)),AND(LEN(BW724)=8,BX724="",OR(LEFT(BW724,3)="202",ISNUMBER(MATCH(RIGHT(BW724,4),{"2025","2026","2027"},0)))))),OR(AND((LEN(BT724)-LEN(SUBSTITUTE(BT724,"a","")))&gt;=1,(LEN(BN724)-LEN(SUBSTITUTE(BN724,"0","")))&gt;=2,SUMPRODUCT(--ISNUMBER(SEARCH({"a0","a-0","a_0","a/0","a.0","a#0","0a","0-a","0_a","0/a"},BN724)))&gt;0),AND((LEN(BN724)-LEN(SUBSTITUTE(BN724,"a","")))=0,(LEN(BN724)-LEN(SUBSTITUTE(BN724,"0","")))&gt;=5)))),1,0),0)</f>
        <v>0</v>
      </c>
      <c r="CA7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724,"revision",""),"version",""),"jan",""),"feb",""),"mar",""),"apr",""),"may",""),"jun",""),"jul",""),"aug",""),"sep",""),"oct",""),"nov",""),"dec",""),"utc",""),"gmt",""),"myt",""),"bst",""),"rev",""),"ver",""),"b","a"),"c","a"),"d","a"),"e","a"),"f","a"),"g","a"),"h","a"),"i","a"),"j","a"),"k","a"),"l","a"),"m","a"),"n","a"),"o","a"),"p","a"),"q","a"),"r","a"),"s","a"),"t","a"),"u","a"),"v","a"),"w","a"),"x","a"),"y","a"),"z","a")</f>
        <v/>
      </c>
      <c r="CB7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724&amp;""),"a",""),"b",""),"c",""),"d",""),"e",""),"f",""),"g",""),"h",""),"i",""),"j",""),"k",""),"l",""),"m",""),"n",""),"o",""),"p",""),"q",""),"r",""),"s",""),"t",""),"u",""),"v",""),"w",""),"x",""),"y",""),"z",""),"-",""),"_",""),"/",""),".",""),"#",""),"\\",""),":","")," ",""),"(",""),")","")</f>
        <v/>
      </c>
      <c r="CC724" s="0" t="str">
        <f aca="false">" "&amp;TRIM(SUBSTITUTE(SUBSTITUTE(SUBSTITUTE(SUBSTITUTE(SUBSTITUTE(SUBSTITUTE(SUBSTITUTE(SUBSTITUTE(SUBSTITUTE(SUBSTITUTE(SUBSTITUTE(SUBSTITUTE(SUBSTITUTE(SUBSTITUTE(SUBSTITUTE(SUBSTITUTE(SUBSTITUTE(SUBSTITUTE(SUBSTITUTE(SUBSTITUTE(SUBSTITUTE(SUBSTITUTE(SUBSTITUTE(SUBSTITUTE(LOWER(T724&amp;""),CHAR(10)," "),CHAR(13)," "),CHAR(9)," "),CHAR(160)," "),"."," "),","," "),"-"," "),"/"," "),"("," "),")"," "),":"," "),";"," "),"_"," "),"–"," "),"?"," "),"!"," "),"*"," "),"["," "),"]"," "),"'"," "),"#"," "),"+"," "),"&amp;"," "),"\"," "))&amp;" "</f>
        <v>  </v>
      </c>
      <c r="CD724" s="0" t="str">
        <f aca="false">" "&amp;TRIM(SUBSTITUTE(SUBSTITUTE(SUBSTITUTE(SUBSTITUTE(SUBSTITUTE(SUBSTITUTE(SUBSTITUTE(SUBSTITUTE(SUBSTITUTE(SUBSTITUTE(SUBSTITUTE(SUBSTITUTE(SUBSTITUTE(SUBSTITUTE(SUBSTITUTE(SUBSTITUTE(SUBSTITUTE(SUBSTITUTE(SUBSTITUTE(SUBSTITUTE(SUBSTITUTE(SUBSTITUTE(SUBSTITUTE(SUBSTITUTE(LOWER(AE724&amp;""),CHAR(10)," "),CHAR(13)," "),CHAR(9)," "),CHAR(160)," "),"."," "),","," "),"-"," "),"/"," "),"("," "),")"," "),":"," "),";"," "),"_"," "),"–"," "),"?"," "),"!"," "),"*"," "),"["," "),"]"," "),"'"," "),"#"," "),"+"," "),"&amp;"," "),"\"," "))&amp;" "</f>
        <v>  </v>
      </c>
      <c r="CE724" s="68" t="n">
        <f aca="false">IFERROR(IF(AND(LEN(AU724)&gt;0,LEN(AU724)=LEN(AX724),OR(TRIM(MID(SUBSTITUTE(TRIM(CC724)," ",REPT(" ",60)),1,60))="",ISNUMBER(SEARCH(" "&amp;TRIM(MID(SUBSTITUTE(TRIM(CC724)," ",REPT(" ",60)),1,60))&amp;" ",CD724))),OR(TRIM(MID(SUBSTITUTE(TRIM(CC724)," ",REPT(" ",60)),61,60))="",ISNUMBER(SEARCH(" "&amp;TRIM(MID(SUBSTITUTE(TRIM(CC724)," ",REPT(" ",60)),61,60))&amp;" ",CD724))),OR(TRIM(MID(SUBSTITUTE(TRIM(CC724)," ",REPT(" ",60)),121,60))="",ISNUMBER(SEARCH(" "&amp;TRIM(MID(SUBSTITUTE(TRIM(CC724)," ",REPT(" ",60)),121,60))&amp;" ",CD724)))),1,0),0)</f>
        <v>0</v>
      </c>
      <c r="CG724" s="68" t="n">
        <f aca="false">IFERROR(LEN(SUBSTITUTE(BF724," ",""))-SUMPRODUCT((LEN(BF724)-LEN(SUBSTITUTE(BF724," "&amp;L_NAFiller&amp;" "," ")))/(LEN(L_NAFiller)+1)*LEN(L_NAFiller)),0)</f>
        <v>0</v>
      </c>
    </row>
    <row r="725" customFormat="false" ht="41.25" hidden="false" customHeight="true" outlineLevel="0" collapsed="false">
      <c r="A725" s="57" t="s">
        <v>1459</v>
      </c>
      <c r="B725" s="57" t="s">
        <v>312</v>
      </c>
      <c r="C725" s="57" t="str">
        <f aca="false">Flights!$F$26</f>
        <v>MH0002</v>
      </c>
      <c r="D725" s="58" t="n">
        <f aca="false">Flights!$D$26</f>
        <v>46325</v>
      </c>
      <c r="E725" s="57" t="str">
        <f aca="false">Flights!$G$26&amp;"-"&amp;Flights!$H$26</f>
        <v>KUL-LHR</v>
      </c>
      <c r="F725" s="57" t="str">
        <f aca="false">Flights!$K$26</f>
        <v>BC</v>
      </c>
      <c r="G725" s="57" t="s">
        <v>420</v>
      </c>
      <c r="H725" s="57" t="s">
        <v>378</v>
      </c>
      <c r="I725" s="57" t="s">
        <v>499</v>
      </c>
      <c r="J725" s="57" t="s">
        <v>511</v>
      </c>
      <c r="K725" s="67" t="s">
        <v>501</v>
      </c>
      <c r="L725" s="67" t="s">
        <v>742</v>
      </c>
      <c r="M725" s="67" t="s">
        <v>451</v>
      </c>
      <c r="N725" s="67" t="s">
        <v>383</v>
      </c>
      <c r="O725" s="67" t="s">
        <v>503</v>
      </c>
      <c r="P725" s="57" t="s">
        <v>187</v>
      </c>
      <c r="Q725" s="59" t="n">
        <f aca="false">ROUND((Flights!$AE$26)*1440,0)/1440</f>
        <v>46325.1388888889</v>
      </c>
      <c r="R725" s="59" t="n">
        <f aca="false">Q725+(IF(AND(INDEX(TZ_DSTS,MATCH(P725,TZ_STN,0))&lt;&gt;"",Q725&gt;=INDEX(TZ_DSTS,MATCH(P725,TZ_STN,0)),Q725&lt;INDEX(TZ_DSTE,MATCH(P725,TZ_STN,0))),INDEX(TZ_DST,MATCH(P725,TZ_STN,0)),INDEX(TZ_STD,MATCH(P725,TZ_STN,0))))/24</f>
        <v>46325.4722222222</v>
      </c>
      <c r="S725" s="60"/>
      <c r="T725" s="60"/>
      <c r="U725" s="60"/>
      <c r="V725" s="60"/>
      <c r="W725" s="61"/>
      <c r="X725" s="60"/>
      <c r="Y725" s="60"/>
      <c r="Z725" s="60"/>
      <c r="AA725" s="60"/>
      <c r="AB725" s="60"/>
      <c r="AC725" s="60"/>
      <c r="AD725" s="66"/>
      <c r="AE725" s="60"/>
      <c r="AF725" s="61" t="str">
        <f aca="false">IF(AND(ISNUMBER(X725),ISNUMBER(Y725)),Y725-X725,"")</f>
        <v/>
      </c>
      <c r="AG725" s="62" t="str">
        <f aca="false">IF(ISNUMBER(AD725),AD725-(IF(AND(INDEX(TZ_DSTS,MATCH(P725,TZ_STN,0))&lt;&gt;"",(AD725-INDEX(TZ_STD,MATCH(P725,TZ_STN,0))/24)&gt;=INDEX(TZ_DSTS,MATCH(P725,TZ_STN,0)),(AD725-INDEX(TZ_STD,MATCH(P725,TZ_STN,0))/24)&lt;INDEX(TZ_DSTE,MATCH(P725,TZ_STN,0))),INDEX(TZ_DST,MATCH(P725,TZ_STN,0)),INDEX(TZ_STD,MATCH(P725,TZ_STN,0))))/24,"")</f>
        <v/>
      </c>
      <c r="AH725" s="65" t="str">
        <f aca="false">IFERROR(IF(N725="N/A – rule",IF(OR(TRIM(U725)="",TRIM(U725)="N/A",TRIM(U725)="Not started"),"N/A – RULE","INVALID – this check does not apply to this aircraft: clear the status (or correct the fleet on Flights)"),IF(TRIM(U725)="N/A",IF(AT725=0,"INVALID – N/A not permitted for this check",IF(AND(TRIM(AB725)&lt;&gt;"",TRIM(AB725)&lt;&gt;"Closed"),"INVALID – corrective action still open",IF(AND(NOT(OR(LEN(AZ725)&lt;15,ISNUMBER(MATCH(AZ725,L_Placeholder,0)))),BK725=0,CG725&gt;=8,NOT(OR(LEN(AU725)&lt;2,ISNUMBER(MATCH(AU725,L_Placeholder,0)))),BR725&gt;=3,NOT(OR(LEN(AX725)&lt;2,ISNUMBER(MATCH(AX725,L_Placeholder,0)))),BS725&gt;=3,TRIM(AE725)&lt;&gt;TRIM(T725),AX725&lt;&gt;AU725,CE725=0),"N/A – JUSTIFIED","INVALID – N/A needs a real, settled reason (not 'not applicable' / 'as above' / TBC), a named PIC and a different named verifier"))),IF(OR(TRIM(U725)="Pass",TRIM(U725)="Pass after CA"),IF(NOT(ISNUMBER(AD725)),"INVALID – completion time missing",IF(OR(OR(LEN(AU725)&lt;2,ISNUMBER(MATCH(AU725,L_Placeholder,0))),BR725&lt;3),"INVALID – PIC missing or not a named person (a role such as QA / CSM is not a name)",IF(OR(LEN(AV725)&lt;2,ISNUMBER(MATCH(AV725,L_Placeholder,0))),"INVALID – result / assessment missing",IF(OR(OR(LEN(AW725)&lt;3,ISNUMBER(MATCH(AW725,L_Placeholder,0))),SUMPRODUCT(--ISNUMBER(SEARCH(" "&amp;L_EvidencePhrase&amp;" ",BD725)))&gt;0,BI725=1),"INVALID – evidence missing, placeholder or not yet on file",IF(ISNA(MATCH(TRIM(S725),L_EvidenceType,0)),"INVALID – choose the evidence type from the list (column S)",IF(BL725=0,"INVALID – evidence ID must be the record's own ID only (e.g. SF-2210, IMG_2231, 1045521); a link / file name needs type 'Link / file path'",IF(OR(OR(LEN(AX725)&lt;2,ISNUMBER(MATCH(AX725,L_Placeholder,0))),BS725&lt;3),"INVALID – verifier missing or not a named person (a role such as QA / CSM is not a name)",IF(OR(AX725=AU725,CE725=1,AND(LEN(AU725)&gt;=4,ISNUMBER(SEARCH(AU725,AX725))),AND(LEN(AX725)&gt;=4,ISNUMBER(SEARCH(AX725,AU725)))),"INVALID – verifier must be a different, named person (not the PIC or a role)",IF(BH725=1,"INVALID – result not yet available (awaiting / TBC)",IF(BG725=1,"INVALID – result describes a problem: record Fail, then Pass after CA (or reword if it is not a problem)",IF(BV725=1,"INVALID – wording says not on board: an on-board confirmation needs the item loaded",IF(AND(AQ725=1,OR(OR(LEN(AY725)&lt;3,ISNUMBER(MATCH(AY725,L_Placeholder,0))),BJ725=1,BQ725=0)),"INVALID – batch ID missing, placeholder or not an ID (e.g. PASB-261008-BC-017)",IF(AND(AR725=1,OR(NOT(ISNUMBER(X725)),NOT(ISNUMBER(Y725)))),"INVALID – expected/actual qty missing",IF(AND(AR725=1,OR(X725&lt;=0,Y725&lt;0)),"INVALID – expected qty must be above 0 and actual not negative",IF(BB725&lt;&gt;"",BB725,IF(AND(AS725=1,Documents!$J$26&lt;&gt;"ON FILE"),"INVALID – GLD not on file (Documents sheet)",IF(AND(AS725=2,Documents!$O$26&lt;&gt;"ON FILE"),"INVALID – menu checklist not on file (Documents sheet)",IF(AND(AS725=3,NOT(ISNUMBER(Flights!$AX$26))),"INVALID – enter carrying flight KUL departure (Flights AX)",IF(AND(AS725=3,OR(Flights!$AZ$26&gt;Flights!$AA$26,Flights!$AX$26&lt;Flights!$AA$26-3)),"INVALID – carrying flight (Flights AX) cannot arrive before this leg's STD, or is over 3 days early",IF(AG725&gt;AsOfUTC,"INVALID – completion time is in the future",IF(AND(ISNUMBER(BY725),AG725&lt;BY725),IF(H725="Physical uplift","INVALID – before uplift window (cannot confirm loading)","INVALID – before valid window"),IF(AG725&gt;Flights!$AA$26,"INVALID – completed after departure (cannot establish readiness)",IF(AND(H725="Preparation",AG725&gt;=IF(ISNUMBER(Flights!$BA$26),MIN(Flights!$BA$26,Flights!$AA$26),Flights!$AA$26)),"INVALID – completed after loading / departure (cannot establish readiness)",IF(AND(H725="Physical uplift",AG725&gt;Q725),"INVALID – recorded after the loading flight departed",IF(AG725&gt;Q725,"COMPLETE – LATE","COMPLETE"))))))))))))))))))))))))),IF(TRIM(U725)="Fail","FAIL – DISCREPANCY",IF(AND(TRIM(U725)&lt;&gt;"",TRIM(U725)&lt;&gt;"Not started",TRIM(U725)&lt;&gt;"In progress"),"INVALID – unrecognised status (use the list)",IF(AsOfUTC&gt;Q725,"OVERDUE",IF(N725="Clarification required","OPEN – CLARIFICATION","OPEN"))))))),"INVALID – error value in an input cell")</f>
        <v>OPEN</v>
      </c>
      <c r="AI725" s="61" t="n">
        <f aca="false">IF(OR(AH725="N/A – RULE",AH725="N/A – JUSTIFIED"),0,1)</f>
        <v>1</v>
      </c>
      <c r="AJ725" s="61" t="n">
        <f aca="false">IF(LEFT(AH725,8)="COMPLETE",1,0)</f>
        <v>0</v>
      </c>
      <c r="AK725" s="61" t="n">
        <f aca="false">IF(AND(AI725=1,AJ725=0,AsOfUTC&gt;Q725),1,0)</f>
        <v>0</v>
      </c>
      <c r="AL725" s="61" t="n">
        <f aca="false">IFERROR(IF(AND(AI725=1,OR(TRIM(U725)="Fail",AND(TRIM(AB725)&lt;&gt;"",TRIM(AB725)&lt;&gt;"Closed"),AND(ISNUMBER(AF725),AF725&lt;&gt;0,TRIM(U725)&lt;&gt;"Pass after CA"))),1,0),1)</f>
        <v>0</v>
      </c>
      <c r="AM725" s="61" t="n">
        <f aca="false">IF(LEFT(AH725,7)="INVALID",1,0)</f>
        <v>0</v>
      </c>
      <c r="AN725" s="61" t="n">
        <f aca="false">IF(AND(N725="Clarification required",AI725=1,AJ725=0),1,0)</f>
        <v>0</v>
      </c>
      <c r="AO725" s="61" t="str">
        <f aca="false">IF(AK725=1,SUM(AK$5:AK725),"")</f>
        <v/>
      </c>
      <c r="AP725" s="61" t="str">
        <f aca="false">IF(AL725=1,SUM(AL$5:AL725),"")</f>
        <v/>
      </c>
      <c r="AQ725" s="61" t="n">
        <v>0</v>
      </c>
      <c r="AR725" s="61" t="n">
        <v>0</v>
      </c>
      <c r="AS725" s="61" t="n">
        <v>0</v>
      </c>
      <c r="AT725" s="61" t="n">
        <v>0</v>
      </c>
      <c r="AU725" s="61" t="str">
        <f aca="false">SUBSTITUTE(SUBSTITUTE(SUBSTITUTE(SUBSTITUTE(SUBSTITUTE(SUBSTITUTE(SUBSTITUTE(SUBSTITUTE(SUBSTITUTE(SUBSTITUTE(SUBSTITUTE(SUBSTITUTE(SUBSTITUTE(SUBSTITUTE(SUBSTITUTE(SUBSTITUTE(LOWER(T725&amp;""),CHAR(10),""),CHAR(13),""),CHAR(9),""),CHAR(160),"")," ",""),".",""),"-",""),"/",""),"?",""),"_",""),",",""),"[",""),"]",""),"(",""),")",""),"*","")</f>
        <v/>
      </c>
      <c r="AV725" s="61" t="str">
        <f aca="false">SUBSTITUTE(SUBSTITUTE(SUBSTITUTE(SUBSTITUTE(SUBSTITUTE(SUBSTITUTE(SUBSTITUTE(SUBSTITUTE(SUBSTITUTE(SUBSTITUTE(SUBSTITUTE(SUBSTITUTE(SUBSTITUTE(SUBSTITUTE(SUBSTITUTE(SUBSTITUTE(LOWER(V725&amp;""),CHAR(10),""),CHAR(13),""),CHAR(9),""),CHAR(160),"")," ",""),".",""),"-",""),"/",""),"?",""),"_",""),",",""),"[",""),"]",""),"(",""),")",""),"*","")</f>
        <v/>
      </c>
      <c r="AW725" s="61" t="str">
        <f aca="false">SUBSTITUTE(SUBSTITUTE(SUBSTITUTE(SUBSTITUTE(SUBSTITUTE(SUBSTITUTE(SUBSTITUTE(SUBSTITUTE(SUBSTITUTE(SUBSTITUTE(SUBSTITUTE(SUBSTITUTE(SUBSTITUTE(SUBSTITUTE(SUBSTITUTE(SUBSTITUTE(LOWER(Z725&amp;""),CHAR(10),""),CHAR(13),""),CHAR(9),""),CHAR(160),"")," ",""),".",""),"-",""),"/",""),"?",""),"_",""),",",""),"[",""),"]",""),"(",""),")",""),"*","")</f>
        <v/>
      </c>
      <c r="AX725" s="61" t="str">
        <f aca="false">SUBSTITUTE(SUBSTITUTE(SUBSTITUTE(SUBSTITUTE(SUBSTITUTE(SUBSTITUTE(SUBSTITUTE(SUBSTITUTE(SUBSTITUTE(SUBSTITUTE(SUBSTITUTE(SUBSTITUTE(SUBSTITUTE(SUBSTITUTE(SUBSTITUTE(SUBSTITUTE(LOWER(AE725&amp;""),CHAR(10),""),CHAR(13),""),CHAR(9),""),CHAR(160),"")," ",""),".",""),"-",""),"/",""),"?",""),"_",""),",",""),"[",""),"]",""),"(",""),")",""),"*","")</f>
        <v/>
      </c>
      <c r="AY725" s="61" t="str">
        <f aca="false">SUBSTITUTE(SUBSTITUTE(SUBSTITUTE(SUBSTITUTE(SUBSTITUTE(SUBSTITUTE(SUBSTITUTE(SUBSTITUTE(SUBSTITUTE(SUBSTITUTE(SUBSTITUTE(SUBSTITUTE(SUBSTITUTE(SUBSTITUTE(SUBSTITUTE(SUBSTITUTE(LOWER(W725&amp;""),CHAR(10),""),CHAR(13),""),CHAR(9),""),CHAR(160),"")," ",""),".",""),"-",""),"/",""),"?",""),"_",""),",",""),"[",""),"]",""),"(",""),")",""),"*","")</f>
        <v/>
      </c>
      <c r="AZ725" s="61" t="str">
        <f aca="false">SUBSTITUTE(SUBSTITUTE(SUBSTITUTE(SUBSTITUTE(SUBSTITUTE(SUBSTITUTE(SUBSTITUTE(SUBSTITUTE(SUBSTITUTE(SUBSTITUTE(SUBSTITUTE(SUBSTITUTE(SUBSTITUTE(SUBSTITUTE(SUBSTITUTE(SUBSTITUTE(LOWER(AC725&amp;""),CHAR(10),""),CHAR(13),""),CHAR(9),""),CHAR(160),"")," ",""),".",""),"-",""),"/",""),"?",""),"_",""),",",""),"[",""),"]",""),"(",""),")",""),"*","")</f>
        <v/>
      </c>
      <c r="BA725" s="61" t="str">
        <f aca="false">SUBSTITUTE(SUBSTITUTE(SUBSTITUTE(SUBSTITUTE(SUBSTITUTE(SUBSTITUTE(SUBSTITUTE(SUBSTITUTE(SUBSTITUTE(SUBSTITUTE(SUBSTITUTE(SUBSTITUTE(SUBSTITUTE(SUBSTITUTE(SUBSTITUTE(SUBSTITUTE(LOWER(AA725&amp;""),CHAR(10),""),CHAR(13),""),CHAR(9),""),CHAR(160),"")," ",""),".",""),"-",""),"/",""),"?",""),"_",""),",",""),"[",""),"]",""),"(",""),")",""),"*","")</f>
        <v/>
      </c>
      <c r="BB725" s="61" t="str">
        <f aca="false">IF(AND(TRIM(U725)="Pass",ISNUMBER(AF725)),IF(AF725&lt;&gt;0,"INVALID – qty variance: use Fail or Pass after CA",""),"")&amp;IF(AND(TRIM(U725)="Pass after CA",ISNUMBER(AF725)),IF(AF725&lt;&gt;0,"INVALID – after the corrective action the actual qty must equal expected (update Actual)",""),"")&amp;IF(AND(TRIM(U725)="Pass",TRIM(AB725)&lt;&gt;"",TRIM(AB725)&lt;&gt;"Closed"),"INVALID – corrective action not closed: use Fail, then Pass after CA","")&amp;IF(AND(LEN(BA725)&gt;=2,ISNA(MATCH(LEFT(BA725,255),L_Placeholder,0)),TRIM(AB725)=""),"INVALID – CA status missing for the recorded corrective action","")&amp;IF(AND(TRIM(U725)="Pass after CA",OR(OR(LEN(BA725)&lt;5,ISNUMBER(MATCH(BA725,L_Placeholder,0))),TRIM(AB725)&lt;&gt;"Closed")),"INVALID – corrective action not recorded/closed","")</f>
        <v/>
      </c>
      <c r="BC725" s="61" t="str">
        <f aca="false">" "&amp;TRIM(SUBSTITUTE(SUBSTITUTE(SUBSTITUTE(SUBSTITUTE(SUBSTITUTE(SUBSTITUTE(SUBSTITUTE(SUBSTITUTE(SUBSTITUTE(SUBSTITUTE(SUBSTITUTE(SUBSTITUTE(SUBSTITUTE(SUBSTITUTE(SUBSTITUTE(SUBSTITUTE(SUBSTITUTE(SUBSTITUTE(SUBSTITUTE(SUBSTITUTE(SUBSTITUTE(SUBSTITUTE(SUBSTITUTE(SUBSTITUTE(LOWER(V725&amp;""),CHAR(10)," "),CHAR(13)," "),CHAR(9)," "),CHAR(160)," "),"."," "),","," "),"-"," "),"/"," "),"("," "),")"," "),":"," "),";"," "),"_"," "),"–"," "),"?"," "),"!"," "),"*"," "),"["," "),"]"," "),"'"," "),"#"," "),"+"," "),"&amp;"," "),"\"," "))&amp;" "</f>
        <v>  </v>
      </c>
      <c r="BD725" s="61" t="str">
        <f aca="false">" "&amp;TRIM(SUBSTITUTE(SUBSTITUTE(SUBSTITUTE(SUBSTITUTE(SUBSTITUTE(SUBSTITUTE(SUBSTITUTE(SUBSTITUTE(SUBSTITUTE(SUBSTITUTE(SUBSTITUTE(SUBSTITUTE(SUBSTITUTE(SUBSTITUTE(SUBSTITUTE(SUBSTITUTE(SUBSTITUTE(SUBSTITUTE(SUBSTITUTE(SUBSTITUTE(SUBSTITUTE(SUBSTITUTE(SUBSTITUTE(SUBSTITUTE(LOWER(Z725&amp;""),CHAR(10)," "),CHAR(13)," "),CHAR(9)," "),CHAR(160)," "),"."," "),","," "),"-"," "),"/"," "),"("," "),")"," "),":"," "),";"," "),"_"," "),"–"," "),"?"," "),"!"," "),"*"," "),"["," "),"]"," "),"'"," "),"#"," "),"+"," "),"&amp;"," "),"\"," "))&amp;" "</f>
        <v>  </v>
      </c>
      <c r="BE725" s="61" t="str">
        <f aca="false">" "&amp;TRIM(SUBSTITUTE(SUBSTITUTE(SUBSTITUTE(SUBSTITUTE(SUBSTITUTE(SUBSTITUTE(SUBSTITUTE(SUBSTITUTE(SUBSTITUTE(SUBSTITUTE(SUBSTITUTE(SUBSTITUTE(SUBSTITUTE(SUBSTITUTE(SUBSTITUTE(SUBSTITUTE(SUBSTITUTE(SUBSTITUTE(SUBSTITUTE(SUBSTITUTE(SUBSTITUTE(SUBSTITUTE(SUBSTITUTE(SUBSTITUTE(LOWER(W725&amp;""),CHAR(10)," "),CHAR(13)," "),CHAR(9)," "),CHAR(160)," "),"."," "),","," "),"-"," "),"/"," "),"("," "),")"," "),":"," "),";"," "),"_"," "),"–"," "),"?"," "),"!"," "),"*"," "),"["," "),"]"," "),"'"," "),"#"," "),"+"," "),"&amp;"," "),"\"," "))&amp;" "</f>
        <v>  </v>
      </c>
      <c r="BF725" s="61" t="str">
        <f aca="false">" "&amp;TRIM(SUBSTITUTE(SUBSTITUTE(SUBSTITUTE(SUBSTITUTE(SUBSTITUTE(SUBSTITUTE(SUBSTITUTE(SUBSTITUTE(SUBSTITUTE(SUBSTITUTE(SUBSTITUTE(SUBSTITUTE(SUBSTITUTE(SUBSTITUTE(SUBSTITUTE(SUBSTITUTE(SUBSTITUTE(SUBSTITUTE(SUBSTITUTE(SUBSTITUTE(SUBSTITUTE(SUBSTITUTE(SUBSTITUTE(SUBSTITUTE(LOWER(AC725&amp;""),CHAR(10)," "),CHAR(13)," "),CHAR(9)," "),CHAR(160)," "),"."," "),","," "),"-"," "),"/"," "),"("," "),")"," "),":"," "),";"," "),"_"," "),"–"," "),"?"," "),"!"," "),"*"," "),"["," "),"]"," "),"'"," "),"#"," "),"+"," "),"&amp;"," "),"\"," "))&amp;" "</f>
        <v>  </v>
      </c>
      <c r="BG725" s="61" t="n">
        <f aca="false">IFERROR(IF(AND(TRIM(U725)="Pass",SUMPRODUCT((LEN(BC725)-LEN(SUBSTITUTE(BC725," "&amp;L_ResultBad&amp;" "," ")))/(LEN(L_ResultBad)+1))&gt;SUMPRODUCT((LEN(BC725)-LEN(SUBSTITUTE(BC725," "&amp;L_NegPhrase&amp;" "," ")))/(LEN(L_NegPhrase)+1))),1,0),0)</f>
        <v>0</v>
      </c>
      <c r="BH725" s="61" t="n">
        <f aca="false">IFERROR(IF(SUMPRODUCT((LEN(BC725)-LEN(SUBSTITUTE(BC725," "&amp;L_Pending&amp;" "," ")))/(LEN(L_Pending)+1))&gt;SUMPRODUCT((LEN(BC725)-LEN(SUBSTITUTE(BC725," "&amp;L_PendNeg&amp;" "," ")))/(LEN(L_PendNeg)+1))+SUMPRODUCT((LEN(BC725)-LEN(SUBSTITUTE(BC725," "&amp;L_PendPrep&amp;" "," ")))/(LEN(L_PendPrep)+1)),1,0),1)</f>
        <v>0</v>
      </c>
      <c r="BI725" s="61" t="n">
        <f aca="false">IFERROR(IF(SUMPRODUCT((LEN(BD725)-LEN(SUBSTITUTE(BD725," "&amp;L_PendStrict&amp;" "," ")))/(LEN(L_PendStrict)+1))&gt;SUMPRODUCT((LEN(BD725)-LEN(SUBSTITUTE(BD725," "&amp;L_PendNeg&amp;" "," ")))/(LEN(L_PendNeg)+1)),1,0),1)</f>
        <v>0</v>
      </c>
      <c r="BJ725" s="61" t="n">
        <f aca="false">IFERROR(IF(SUMPRODUCT((LEN(BE725)-LEN(SUBSTITUTE(BE725," "&amp;L_Pending&amp;" "," ")))/(LEN(L_Pending)+1))&gt;SUMPRODUCT((LEN(BE725)-LEN(SUBSTITUTE(BE725," "&amp;L_PendNeg&amp;" "," ")))/(LEN(L_PendNeg)+1))+SUMPRODUCT((LEN(BE725)-LEN(SUBSTITUTE(BE725," "&amp;L_PendPrep&amp;" "," ")))/(LEN(L_PendPrep)+1)),1,0),1)</f>
        <v>0</v>
      </c>
      <c r="BK725" s="61" t="n">
        <f aca="false">IFERROR(IF(SUMPRODUCT((LEN(BF725)-LEN(SUBSTITUTE(BF725," "&amp;L_PendStrict&amp;" "," ")))/(LEN(L_PendStrict)+1))&gt;SUMPRODUCT((LEN(BF725)-LEN(SUBSTITUTE(BF725," "&amp;L_PendNeg&amp;" "," ")))/(LEN(L_PendNeg)+1)),1,0),1)</f>
        <v>0</v>
      </c>
      <c r="BL725" s="61" t="n">
        <f aca="false">IF(ISNA(MATCH(TRIM(S725),L_EvidenceType,0)),0,BZ725)</f>
        <v>0</v>
      </c>
      <c r="BM725" s="61" t="str">
        <f aca="false">SUBSTITUTE(SUBSTITUTE(SUBSTITUTE(SUBSTITUTE(SUBSTITUTE(SUBSTITUTE(SUBSTITUTE(SUBSTITUTE(SUBSTITUTE(LOWER(Z725&amp;""),"1","0"),"2","0"),"3","0"),"4","0"),"5","0"),"6","0"),"7","0"),"8","0"),"9","0")</f>
        <v/>
      </c>
      <c r="BN725" s="61" t="str">
        <f aca="false">SUBSTITUTE(SUBSTITUTE(SUBSTITUTE(SUBSTITUTE(SUBSTITUTE(SUBSTITUTE(SUBSTITUTE(SUBSTITUTE(SUBSTITUTE(SUBSTITUTE(SUBSTITUTE(SUBSTITUTE(SUBSTITUTE(SUBSTITUTE(SUBSTITUTE(SUBSTITUTE(SUBSTITUTE(SUBSTITUTE(SUBSTITUTE(SUBSTITUTE(SUBSTITUTE(SUBSTITUTE(SUBSTITUTE(SUBSTITUTE(SUBSTITUTE(BM725,"b","a"),"c","a"),"d","a"),"e","a"),"f","a"),"g","a"),"h","a"),"i","a"),"j","a"),"k","a"),"l","a"),"m","a"),"n","a"),"o","a"),"p","a"),"q","a"),"r","a"),"s","a"),"t","a"),"u","a"),"v","a"),"w","a"),"x","a"),"y","a"),"z","a")</f>
        <v/>
      </c>
      <c r="BO725" s="61" t="str">
        <f aca="false">SUBSTITUTE(SUBSTITUTE(SUBSTITUTE(SUBSTITUTE(SUBSTITUTE(SUBSTITUTE(SUBSTITUTE(SUBSTITUTE(SUBSTITUTE(LOWER(W725&amp;""),"1","0"),"2","0"),"3","0"),"4","0"),"5","0"),"6","0"),"7","0"),"8","0"),"9","0")</f>
        <v/>
      </c>
      <c r="BP725" s="61" t="str">
        <f aca="false">SUBSTITUTE(SUBSTITUTE(SUBSTITUTE(SUBSTITUTE(SUBSTITUTE(SUBSTITUTE(SUBSTITUTE(SUBSTITUTE(SUBSTITUTE(SUBSTITUTE(SUBSTITUTE(SUBSTITUTE(SUBSTITUTE(SUBSTITUTE(SUBSTITUTE(SUBSTITUTE(SUBSTITUTE(SUBSTITUTE(SUBSTITUTE(SUBSTITUTE(SUBSTITUTE(SUBSTITUTE(SUBSTITUTE(SUBSTITUTE(SUBSTITUTE(BO725,"b","a"),"c","a"),"d","a"),"e","a"),"f","a"),"g","a"),"h","a"),"i","a"),"j","a"),"k","a"),"l","a"),"m","a"),"n","a"),"o","a"),"p","a"),"q","a"),"r","a"),"s","a"),"t","a"),"u","a"),"v","a"),"w","a"),"x","a"),"y","a"),"z","a")</f>
        <v/>
      </c>
      <c r="BQ725" s="61" t="n">
        <f aca="false">IFERROR(IF(AND(ISERROR(SEARCH(" mh"," "&amp;LOWER(W725))),ISNA(MATCH(LEFT(TRIM(BP725),255),{"0000a","000a","00a","0000aa","000aa","00aa","0aa","0000aaa","000aaa","00a00","0a00","0000-0000","00:00","a00","a0","00.00.0000","00/00/0000","00-00-0000","0000-00-00","0000/00/00","0000.00.00","00.00.00","00/00/00","00-00-00","0.00.0000","0/00/0000","0-00-0000"},0)),ISNA(MATCH(LEFT(TRIM(CA725),255),{"0000a","000a","00a","0000aa","000aa","00aa","0aa","0000aaa","000aaa","00a00","0a00","0000-0000","00:00","a00","a0","00.00.0000","00/00/0000","00-00-0000","0000-00-00","0000/00/00","0000.00.00","00.00.00","00/00/00","00-00-00","0.00.0000","0/00/0000","0-00-0000"},0)),LEN(CB725)&gt;=3,NOT(OR(SUBSTITUTE(CB725,"0","")="",AND(LEN(CB725)&gt;=4,CB725=REPT(LEFT(CB725),LEN(CB725))),ISNUMBER(MATCH(CB725,{"123","1234","12345","123456","1234567","12345678","0123","01234","012345","98765","987654","54321"},0)),AND(LEN(CB725)=8,LEFT(CB725,3)="202"))),OR(AND((LEN(CA725)-LEN(SUBSTITUTE(CA725,"a","")))&gt;=1,SUMPRODUCT(--ISNUMBER(SEARCH({"a0","a-0","a_0","a/0","a.0","a#0","0a","0-a","0_a","0/a"},BP725)))&gt;0),ISNUMBER(SEARCH("000000",BP725)))),1,0),0)</f>
        <v>0</v>
      </c>
      <c r="BR725" s="61" t="n">
        <f aca="false">IFERROR(LEN(SUBSTITUTE(CC725," ",""))-SUMPRODUCT((LEN(CC725)-LEN(SUBSTITUTE(CC725," "&amp;L_Role&amp;" "," ")))/(LEN(L_Role)+1)*LEN(L_Role)),0)</f>
        <v>0</v>
      </c>
      <c r="BS725" s="61" t="n">
        <f aca="false">IFERROR(LEN(SUBSTITUTE(CD725," ",""))-SUMPRODUCT((LEN(CD725)-LEN(SUBSTITUTE(CD725," "&amp;L_Role&amp;" "," ")))/(LEN(L_Role)+1)*LEN(L_Role)),0)</f>
        <v>0</v>
      </c>
      <c r="BT7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725,"revision",""),"version",""),"jan",""),"feb",""),"mar",""),"apr",""),"may",""),"jun",""),"jul",""),"aug",""),"sep",""),"oct",""),"nov",""),"dec",""),"utc",""),"gmt",""),"myt",""),"bst",""),"rev",""),"ver",""),"b","a"),"c","a"),"d","a"),"e","a"),"f","a"),"g","a"),"h","a"),"i","a"),"j","a"),"k","a"),"l","a"),"m","a"),"n","a"),"o","a"),"p","a"),"q","a"),"r","a"),"s","a"),"t","a"),"u","a"),"v","a"),"w","a"),"x","a"),"y","a"),"z","a")</f>
        <v/>
      </c>
      <c r="BU725" s="61" t="str">
        <f aca="false">SUBSTITUTE(SUBSTITUTE(SUBSTITUTE(SUBSTITUTE(SUBSTITUTE(SUBSTITUTE(SUBSTITUTE(SUBSTITUTE(SUBSTITUTE(SUBSTITUTE(LEFT(BM725,FIND("0",BM725&amp;"0")-1),"-",""),"_",""),"/",""),".",""),"#",""),"\\",""),":","")," ",""),"(",""),")","")</f>
        <v/>
      </c>
      <c r="BV725" s="61" t="n">
        <f aca="false">0</f>
        <v>0</v>
      </c>
      <c r="BW72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725&amp;""),"a",""),"b",""),"c",""),"d",""),"e",""),"f",""),"g",""),"h",""),"i",""),"j",""),"k",""),"l",""),"m",""),"n",""),"o",""),"p",""),"q",""),"r",""),"s",""),"t",""),"u",""),"v",""),"w",""),"x",""),"y",""),"z",""),"-",""),"_",""),"/",""),".",""),"#",""),"\\",""),":","")," ",""),"(",""),")","")</f>
        <v/>
      </c>
      <c r="BX725" s="61" t="str">
        <f aca="false">SUBSTITUTE(SUBSTITUTE(SUBSTITUTE(SUBSTITUTE(SUBSTITUTE(SUBSTITUTE(SUBSTITUTE(SUBSTITUTE(SUBSTITUTE(SUBSTITUTE(SUBSTITUTE(BM725,"0",""),"-",""),"_",""),"/",""),".",""),"#",""),"\\",""),":","")," ",""),"(",""),")","")</f>
        <v/>
      </c>
      <c r="BY725" s="62" t="n">
        <f aca="false">Q725-T12EarlyH/24</f>
        <v>46324.6388888889</v>
      </c>
      <c r="BZ725" s="61" t="n">
        <f aca="false">IFERROR(IF(IF(TRIM(S725)="Link / file path",AND(LEN(TRIM(Z725))&gt;=5,SUMPRODUCT(--ISNUMBER(SEARCH({"http","www.","\\",":\",".pdf",".jpg",".jpeg",".png",".heic",".xls",".doc",".msg",".eml",".ppt",".txt",".zip"},Z725)))&gt;0),AND(ISERROR(FIND(" ",TRIM(Z725))),NOT(OR(SUMPRODUCT(--ISNUMBER(FIND({",",";","&amp;","+"},Z725)))&gt;0,SUMPRODUCT(--ISNUMBER(SEARCH({"0/aa","0\\aa"},BN725)))&gt;0)),NOT(SUMPRODUCT(--ISNUMBER(SEARCH({"http","www.","\\",":\",".pdf",".jpg",".jpeg",".png",".heic",".xls",".doc",".msg",".eml",".ppt",".txt",".zip"},Z725)))&gt;0),NOT(LOWER(TRIM(Z725))=LOWER(Flights!$F$26)),ISNA(MATCH(BU725,{"mh","rev","revision","ver","version","v","r","a","b","seat","tray","row","gate","bay","stand","page","pg","item","line","no","cart","galley","flight","flt","table","box","bag","oven","etd","eta","std","sta","atd","ata","qty","pax","x","time","tel","ph","mob","day","wk","week","utc","gmt","myt","lt"},0)),NOT(OR(ISNUMBER(MATCH(LEFT(BN725,255),{"0000a","000a","00a","0000aa","000aa","00aa","0aa","0000aaa","000aaa","00a00","0a00","0000-0000","00:00","a00","a0","00.00.0000","00/00/0000","00-00-0000","0000-00-00","0000/00/00","0000.00.00","00.00.00","00/00/00","00-00-00","0.00.0000","0/00/0000","0-00-0000"},0)),ISNUMBER(MATCH(LEFT(BT725,255),{"0000a","000a","00a","0000aa","000aa","00aa","0aa","0000aaa","000aaa","00a00","0a00","0000-0000","00:00","a00","a0","00.00.0000","00/00/0000","00-00-0000","0000-00-00","0000/00/00","0000.00.00","00.00.00","00/00/00","00-00-00","0.00.0000","0/00/0000","0-00-0000"},0)))),NOT(OR(AND(BW725&lt;&gt;"",SUBSTITUTE(BW725,"0","")=""),AND(LEN(BW725)&gt;=4,BW725=REPT(LEFT(BW725),LEN(BW725))),ISNUMBER(MATCH(BW725,{"123","1234","12345","123456","1234567","12345678","0123","01234","012345","98765","987654","54321"},0)),ISNUMBER(MATCH(BX725,{"x","xx","xxx","xxxx","xxxxx","abc","abcd","nil","na","nan","test","tbc","tba","tbd","dummy","sample","example","eg","zz","zzz","none","null","xyz","qwe","asd","id","ref"},0)),AND(LEN(BW725)=8,BX725="",OR(LEFT(BW725,3)="202",ISNUMBER(MATCH(RIGHT(BW725,4),{"2025","2026","2027"},0)))))),OR(AND((LEN(BT725)-LEN(SUBSTITUTE(BT725,"a","")))&gt;=1,(LEN(BN725)-LEN(SUBSTITUTE(BN725,"0","")))&gt;=2,SUMPRODUCT(--ISNUMBER(SEARCH({"a0","a-0","a_0","a/0","a.0","a#0","0a","0-a","0_a","0/a"},BN725)))&gt;0),AND((LEN(BN725)-LEN(SUBSTITUTE(BN725,"a","")))=0,(LEN(BN725)-LEN(SUBSTITUTE(BN725,"0","")))&gt;=5)))),1,0),0)</f>
        <v>0</v>
      </c>
      <c r="CA7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725,"revision",""),"version",""),"jan",""),"feb",""),"mar",""),"apr",""),"may",""),"jun",""),"jul",""),"aug",""),"sep",""),"oct",""),"nov",""),"dec",""),"utc",""),"gmt",""),"myt",""),"bst",""),"rev",""),"ver",""),"b","a"),"c","a"),"d","a"),"e","a"),"f","a"),"g","a"),"h","a"),"i","a"),"j","a"),"k","a"),"l","a"),"m","a"),"n","a"),"o","a"),"p","a"),"q","a"),"r","a"),"s","a"),"t","a"),"u","a"),"v","a"),"w","a"),"x","a"),"y","a"),"z","a")</f>
        <v/>
      </c>
      <c r="CB7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725&amp;""),"a",""),"b",""),"c",""),"d",""),"e",""),"f",""),"g",""),"h",""),"i",""),"j",""),"k",""),"l",""),"m",""),"n",""),"o",""),"p",""),"q",""),"r",""),"s",""),"t",""),"u",""),"v",""),"w",""),"x",""),"y",""),"z",""),"-",""),"_",""),"/",""),".",""),"#",""),"\\",""),":","")," ",""),"(",""),")","")</f>
        <v/>
      </c>
      <c r="CC725" s="0" t="str">
        <f aca="false">" "&amp;TRIM(SUBSTITUTE(SUBSTITUTE(SUBSTITUTE(SUBSTITUTE(SUBSTITUTE(SUBSTITUTE(SUBSTITUTE(SUBSTITUTE(SUBSTITUTE(SUBSTITUTE(SUBSTITUTE(SUBSTITUTE(SUBSTITUTE(SUBSTITUTE(SUBSTITUTE(SUBSTITUTE(SUBSTITUTE(SUBSTITUTE(SUBSTITUTE(SUBSTITUTE(SUBSTITUTE(SUBSTITUTE(SUBSTITUTE(SUBSTITUTE(LOWER(T725&amp;""),CHAR(10)," "),CHAR(13)," "),CHAR(9)," "),CHAR(160)," "),"."," "),","," "),"-"," "),"/"," "),"("," "),")"," "),":"," "),";"," "),"_"," "),"–"," "),"?"," "),"!"," "),"*"," "),"["," "),"]"," "),"'"," "),"#"," "),"+"," "),"&amp;"," "),"\"," "))&amp;" "</f>
        <v>  </v>
      </c>
      <c r="CD725" s="0" t="str">
        <f aca="false">" "&amp;TRIM(SUBSTITUTE(SUBSTITUTE(SUBSTITUTE(SUBSTITUTE(SUBSTITUTE(SUBSTITUTE(SUBSTITUTE(SUBSTITUTE(SUBSTITUTE(SUBSTITUTE(SUBSTITUTE(SUBSTITUTE(SUBSTITUTE(SUBSTITUTE(SUBSTITUTE(SUBSTITUTE(SUBSTITUTE(SUBSTITUTE(SUBSTITUTE(SUBSTITUTE(SUBSTITUTE(SUBSTITUTE(SUBSTITUTE(SUBSTITUTE(LOWER(AE725&amp;""),CHAR(10)," "),CHAR(13)," "),CHAR(9)," "),CHAR(160)," "),"."," "),","," "),"-"," "),"/"," "),"("," "),")"," "),":"," "),";"," "),"_"," "),"–"," "),"?"," "),"!"," "),"*"," "),"["," "),"]"," "),"'"," "),"#"," "),"+"," "),"&amp;"," "),"\"," "))&amp;" "</f>
        <v>  </v>
      </c>
      <c r="CE725" s="68" t="n">
        <f aca="false">IFERROR(IF(AND(LEN(AU725)&gt;0,LEN(AU725)=LEN(AX725),OR(TRIM(MID(SUBSTITUTE(TRIM(CC725)," ",REPT(" ",60)),1,60))="",ISNUMBER(SEARCH(" "&amp;TRIM(MID(SUBSTITUTE(TRIM(CC725)," ",REPT(" ",60)),1,60))&amp;" ",CD725))),OR(TRIM(MID(SUBSTITUTE(TRIM(CC725)," ",REPT(" ",60)),61,60))="",ISNUMBER(SEARCH(" "&amp;TRIM(MID(SUBSTITUTE(TRIM(CC725)," ",REPT(" ",60)),61,60))&amp;" ",CD725))),OR(TRIM(MID(SUBSTITUTE(TRIM(CC725)," ",REPT(" ",60)),121,60))="",ISNUMBER(SEARCH(" "&amp;TRIM(MID(SUBSTITUTE(TRIM(CC725)," ",REPT(" ",60)),121,60))&amp;" ",CD725)))),1,0),0)</f>
        <v>0</v>
      </c>
      <c r="CG725" s="68" t="n">
        <f aca="false">IFERROR(LEN(SUBSTITUTE(BF725," ",""))-SUMPRODUCT((LEN(BF725)-LEN(SUBSTITUTE(BF725," "&amp;L_NAFiller&amp;" "," ")))/(LEN(L_NAFiller)+1)*LEN(L_NAFiller)),0)</f>
        <v>0</v>
      </c>
    </row>
    <row r="726" customFormat="false" ht="41.25" hidden="false" customHeight="true" outlineLevel="0" collapsed="false">
      <c r="A726" s="57" t="s">
        <v>1460</v>
      </c>
      <c r="B726" s="57" t="s">
        <v>312</v>
      </c>
      <c r="C726" s="57" t="str">
        <f aca="false">Flights!$F$26</f>
        <v>MH0002</v>
      </c>
      <c r="D726" s="58" t="n">
        <f aca="false">Flights!$D$26</f>
        <v>46325</v>
      </c>
      <c r="E726" s="57" t="str">
        <f aca="false">Flights!$G$26&amp;"-"&amp;Flights!$H$26</f>
        <v>KUL-LHR</v>
      </c>
      <c r="F726" s="57" t="str">
        <f aca="false">Flights!$K$26</f>
        <v>BC</v>
      </c>
      <c r="G726" s="57" t="s">
        <v>420</v>
      </c>
      <c r="H726" s="57" t="s">
        <v>378</v>
      </c>
      <c r="I726" s="57" t="s">
        <v>499</v>
      </c>
      <c r="J726" s="57" t="s">
        <v>515</v>
      </c>
      <c r="K726" s="67" t="s">
        <v>501</v>
      </c>
      <c r="L726" s="67" t="s">
        <v>744</v>
      </c>
      <c r="M726" s="67" t="s">
        <v>451</v>
      </c>
      <c r="N726" s="67" t="s">
        <v>383</v>
      </c>
      <c r="O726" s="67" t="s">
        <v>503</v>
      </c>
      <c r="P726" s="57" t="s">
        <v>187</v>
      </c>
      <c r="Q726" s="59" t="n">
        <f aca="false">ROUND((Flights!$AE$26)*1440,0)/1440</f>
        <v>46325.1388888889</v>
      </c>
      <c r="R726" s="59" t="n">
        <f aca="false">Q726+(IF(AND(INDEX(TZ_DSTS,MATCH(P726,TZ_STN,0))&lt;&gt;"",Q726&gt;=INDEX(TZ_DSTS,MATCH(P726,TZ_STN,0)),Q726&lt;INDEX(TZ_DSTE,MATCH(P726,TZ_STN,0))),INDEX(TZ_DST,MATCH(P726,TZ_STN,0)),INDEX(TZ_STD,MATCH(P726,TZ_STN,0))))/24</f>
        <v>46325.4722222222</v>
      </c>
      <c r="S726" s="60"/>
      <c r="T726" s="60"/>
      <c r="U726" s="60"/>
      <c r="V726" s="60"/>
      <c r="W726" s="61"/>
      <c r="X726" s="60"/>
      <c r="Y726" s="60"/>
      <c r="Z726" s="60"/>
      <c r="AA726" s="60"/>
      <c r="AB726" s="60"/>
      <c r="AC726" s="60"/>
      <c r="AD726" s="66"/>
      <c r="AE726" s="60"/>
      <c r="AF726" s="61" t="str">
        <f aca="false">IF(AND(ISNUMBER(X726),ISNUMBER(Y726)),Y726-X726,"")</f>
        <v/>
      </c>
      <c r="AG726" s="62" t="str">
        <f aca="false">IF(ISNUMBER(AD726),AD726-(IF(AND(INDEX(TZ_DSTS,MATCH(P726,TZ_STN,0))&lt;&gt;"",(AD726-INDEX(TZ_STD,MATCH(P726,TZ_STN,0))/24)&gt;=INDEX(TZ_DSTS,MATCH(P726,TZ_STN,0)),(AD726-INDEX(TZ_STD,MATCH(P726,TZ_STN,0))/24)&lt;INDEX(TZ_DSTE,MATCH(P726,TZ_STN,0))),INDEX(TZ_DST,MATCH(P726,TZ_STN,0)),INDEX(TZ_STD,MATCH(P726,TZ_STN,0))))/24,"")</f>
        <v/>
      </c>
      <c r="AH726" s="65" t="str">
        <f aca="false">IFERROR(IF(N726="N/A – rule",IF(OR(TRIM(U726)="",TRIM(U726)="N/A",TRIM(U726)="Not started"),"N/A – RULE","INVALID – this check does not apply to this aircraft: clear the status (or correct the fleet on Flights)"),IF(TRIM(U726)="N/A",IF(AT726=0,"INVALID – N/A not permitted for this check",IF(AND(TRIM(AB726)&lt;&gt;"",TRIM(AB726)&lt;&gt;"Closed"),"INVALID – corrective action still open",IF(AND(NOT(OR(LEN(AZ726)&lt;15,ISNUMBER(MATCH(AZ726,L_Placeholder,0)))),BK726=0,CG726&gt;=8,NOT(OR(LEN(AU726)&lt;2,ISNUMBER(MATCH(AU726,L_Placeholder,0)))),BR726&gt;=3,NOT(OR(LEN(AX726)&lt;2,ISNUMBER(MATCH(AX726,L_Placeholder,0)))),BS726&gt;=3,TRIM(AE726)&lt;&gt;TRIM(T726),AX726&lt;&gt;AU726,CE726=0),"N/A – JUSTIFIED","INVALID – N/A needs a real, settled reason (not 'not applicable' / 'as above' / TBC), a named PIC and a different named verifier"))),IF(OR(TRIM(U726)="Pass",TRIM(U726)="Pass after CA"),IF(NOT(ISNUMBER(AD726)),"INVALID – completion time missing",IF(OR(OR(LEN(AU726)&lt;2,ISNUMBER(MATCH(AU726,L_Placeholder,0))),BR726&lt;3),"INVALID – PIC missing or not a named person (a role such as QA / CSM is not a name)",IF(OR(LEN(AV726)&lt;2,ISNUMBER(MATCH(AV726,L_Placeholder,0))),"INVALID – result / assessment missing",IF(OR(OR(LEN(AW726)&lt;3,ISNUMBER(MATCH(AW726,L_Placeholder,0))),SUMPRODUCT(--ISNUMBER(SEARCH(" "&amp;L_EvidencePhrase&amp;" ",BD726)))&gt;0,BI726=1),"INVALID – evidence missing, placeholder or not yet on file",IF(ISNA(MATCH(TRIM(S726),L_EvidenceType,0)),"INVALID – choose the evidence type from the list (column S)",IF(BL726=0,"INVALID – evidence ID must be the record's own ID only (e.g. SF-2210, IMG_2231, 1045521); a link / file name needs type 'Link / file path'",IF(OR(OR(LEN(AX726)&lt;2,ISNUMBER(MATCH(AX726,L_Placeholder,0))),BS726&lt;3),"INVALID – verifier missing or not a named person (a role such as QA / CSM is not a name)",IF(OR(AX726=AU726,CE726=1,AND(LEN(AU726)&gt;=4,ISNUMBER(SEARCH(AU726,AX726))),AND(LEN(AX726)&gt;=4,ISNUMBER(SEARCH(AX726,AU726)))),"INVALID – verifier must be a different, named person (not the PIC or a role)",IF(BH726=1,"INVALID – result not yet available (awaiting / TBC)",IF(BG726=1,"INVALID – result describes a problem: record Fail, then Pass after CA (or reword if it is not a problem)",IF(BV726=1,"INVALID – wording says not on board: an on-board confirmation needs the item loaded",IF(AND(AQ726=1,OR(OR(LEN(AY726)&lt;3,ISNUMBER(MATCH(AY726,L_Placeholder,0))),BJ726=1,BQ726=0)),"INVALID – batch ID missing, placeholder or not an ID (e.g. PASB-261008-BC-017)",IF(AND(AR726=1,OR(NOT(ISNUMBER(X726)),NOT(ISNUMBER(Y726)))),"INVALID – expected/actual qty missing",IF(AND(AR726=1,OR(X726&lt;=0,Y726&lt;0)),"INVALID – expected qty must be above 0 and actual not negative",IF(BB726&lt;&gt;"",BB726,IF(AND(AS726=1,Documents!$J$26&lt;&gt;"ON FILE"),"INVALID – GLD not on file (Documents sheet)",IF(AND(AS726=2,Documents!$O$26&lt;&gt;"ON FILE"),"INVALID – menu checklist not on file (Documents sheet)",IF(AND(AS726=3,NOT(ISNUMBER(Flights!$AX$26))),"INVALID – enter carrying flight KUL departure (Flights AX)",IF(AND(AS726=3,OR(Flights!$AZ$26&gt;Flights!$AA$26,Flights!$AX$26&lt;Flights!$AA$26-3)),"INVALID – carrying flight (Flights AX) cannot arrive before this leg's STD, or is over 3 days early",IF(AG726&gt;AsOfUTC,"INVALID – completion time is in the future",IF(AND(ISNUMBER(BY726),AG726&lt;BY726),IF(H726="Physical uplift","INVALID – before uplift window (cannot confirm loading)","INVALID – before valid window"),IF(AG726&gt;Flights!$AA$26,"INVALID – completed after departure (cannot establish readiness)",IF(AND(H726="Preparation",AG726&gt;=IF(ISNUMBER(Flights!$BA$26),MIN(Flights!$BA$26,Flights!$AA$26),Flights!$AA$26)),"INVALID – completed after loading / departure (cannot establish readiness)",IF(AND(H726="Physical uplift",AG726&gt;Q726),"INVALID – recorded after the loading flight departed",IF(AG726&gt;Q726,"COMPLETE – LATE","COMPLETE"))))))))))))))))))))))))),IF(TRIM(U726)="Fail","FAIL – DISCREPANCY",IF(AND(TRIM(U726)&lt;&gt;"",TRIM(U726)&lt;&gt;"Not started",TRIM(U726)&lt;&gt;"In progress"),"INVALID – unrecognised status (use the list)",IF(AsOfUTC&gt;Q726,"OVERDUE",IF(N726="Clarification required","OPEN – CLARIFICATION","OPEN"))))))),"INVALID – error value in an input cell")</f>
        <v>OPEN</v>
      </c>
      <c r="AI726" s="61" t="n">
        <f aca="false">IF(OR(AH726="N/A – RULE",AH726="N/A – JUSTIFIED"),0,1)</f>
        <v>1</v>
      </c>
      <c r="AJ726" s="61" t="n">
        <f aca="false">IF(LEFT(AH726,8)="COMPLETE",1,0)</f>
        <v>0</v>
      </c>
      <c r="AK726" s="61" t="n">
        <f aca="false">IF(AND(AI726=1,AJ726=0,AsOfUTC&gt;Q726),1,0)</f>
        <v>0</v>
      </c>
      <c r="AL726" s="61" t="n">
        <f aca="false">IFERROR(IF(AND(AI726=1,OR(TRIM(U726)="Fail",AND(TRIM(AB726)&lt;&gt;"",TRIM(AB726)&lt;&gt;"Closed"),AND(ISNUMBER(AF726),AF726&lt;&gt;0,TRIM(U726)&lt;&gt;"Pass after CA"))),1,0),1)</f>
        <v>0</v>
      </c>
      <c r="AM726" s="61" t="n">
        <f aca="false">IF(LEFT(AH726,7)="INVALID",1,0)</f>
        <v>0</v>
      </c>
      <c r="AN726" s="61" t="n">
        <f aca="false">IF(AND(N726="Clarification required",AI726=1,AJ726=0),1,0)</f>
        <v>0</v>
      </c>
      <c r="AO726" s="61" t="str">
        <f aca="false">IF(AK726=1,SUM(AK$5:AK726),"")</f>
        <v/>
      </c>
      <c r="AP726" s="61" t="str">
        <f aca="false">IF(AL726=1,SUM(AL$5:AL726),"")</f>
        <v/>
      </c>
      <c r="AQ726" s="61" t="n">
        <v>0</v>
      </c>
      <c r="AR726" s="61" t="n">
        <v>0</v>
      </c>
      <c r="AS726" s="61" t="n">
        <v>0</v>
      </c>
      <c r="AT726" s="61" t="n">
        <v>0</v>
      </c>
      <c r="AU726" s="61" t="str">
        <f aca="false">SUBSTITUTE(SUBSTITUTE(SUBSTITUTE(SUBSTITUTE(SUBSTITUTE(SUBSTITUTE(SUBSTITUTE(SUBSTITUTE(SUBSTITUTE(SUBSTITUTE(SUBSTITUTE(SUBSTITUTE(SUBSTITUTE(SUBSTITUTE(SUBSTITUTE(SUBSTITUTE(LOWER(T726&amp;""),CHAR(10),""),CHAR(13),""),CHAR(9),""),CHAR(160),"")," ",""),".",""),"-",""),"/",""),"?",""),"_",""),",",""),"[",""),"]",""),"(",""),")",""),"*","")</f>
        <v/>
      </c>
      <c r="AV726" s="61" t="str">
        <f aca="false">SUBSTITUTE(SUBSTITUTE(SUBSTITUTE(SUBSTITUTE(SUBSTITUTE(SUBSTITUTE(SUBSTITUTE(SUBSTITUTE(SUBSTITUTE(SUBSTITUTE(SUBSTITUTE(SUBSTITUTE(SUBSTITUTE(SUBSTITUTE(SUBSTITUTE(SUBSTITUTE(LOWER(V726&amp;""),CHAR(10),""),CHAR(13),""),CHAR(9),""),CHAR(160),"")," ",""),".",""),"-",""),"/",""),"?",""),"_",""),",",""),"[",""),"]",""),"(",""),")",""),"*","")</f>
        <v/>
      </c>
      <c r="AW726" s="61" t="str">
        <f aca="false">SUBSTITUTE(SUBSTITUTE(SUBSTITUTE(SUBSTITUTE(SUBSTITUTE(SUBSTITUTE(SUBSTITUTE(SUBSTITUTE(SUBSTITUTE(SUBSTITUTE(SUBSTITUTE(SUBSTITUTE(SUBSTITUTE(SUBSTITUTE(SUBSTITUTE(SUBSTITUTE(LOWER(Z726&amp;""),CHAR(10),""),CHAR(13),""),CHAR(9),""),CHAR(160),"")," ",""),".",""),"-",""),"/",""),"?",""),"_",""),",",""),"[",""),"]",""),"(",""),")",""),"*","")</f>
        <v/>
      </c>
      <c r="AX726" s="61" t="str">
        <f aca="false">SUBSTITUTE(SUBSTITUTE(SUBSTITUTE(SUBSTITUTE(SUBSTITUTE(SUBSTITUTE(SUBSTITUTE(SUBSTITUTE(SUBSTITUTE(SUBSTITUTE(SUBSTITUTE(SUBSTITUTE(SUBSTITUTE(SUBSTITUTE(SUBSTITUTE(SUBSTITUTE(LOWER(AE726&amp;""),CHAR(10),""),CHAR(13),""),CHAR(9),""),CHAR(160),"")," ",""),".",""),"-",""),"/",""),"?",""),"_",""),",",""),"[",""),"]",""),"(",""),")",""),"*","")</f>
        <v/>
      </c>
      <c r="AY726" s="61" t="str">
        <f aca="false">SUBSTITUTE(SUBSTITUTE(SUBSTITUTE(SUBSTITUTE(SUBSTITUTE(SUBSTITUTE(SUBSTITUTE(SUBSTITUTE(SUBSTITUTE(SUBSTITUTE(SUBSTITUTE(SUBSTITUTE(SUBSTITUTE(SUBSTITUTE(SUBSTITUTE(SUBSTITUTE(LOWER(W726&amp;""),CHAR(10),""),CHAR(13),""),CHAR(9),""),CHAR(160),"")," ",""),".",""),"-",""),"/",""),"?",""),"_",""),",",""),"[",""),"]",""),"(",""),")",""),"*","")</f>
        <v/>
      </c>
      <c r="AZ726" s="61" t="str">
        <f aca="false">SUBSTITUTE(SUBSTITUTE(SUBSTITUTE(SUBSTITUTE(SUBSTITUTE(SUBSTITUTE(SUBSTITUTE(SUBSTITUTE(SUBSTITUTE(SUBSTITUTE(SUBSTITUTE(SUBSTITUTE(SUBSTITUTE(SUBSTITUTE(SUBSTITUTE(SUBSTITUTE(LOWER(AC726&amp;""),CHAR(10),""),CHAR(13),""),CHAR(9),""),CHAR(160),"")," ",""),".",""),"-",""),"/",""),"?",""),"_",""),",",""),"[",""),"]",""),"(",""),")",""),"*","")</f>
        <v/>
      </c>
      <c r="BA726" s="61" t="str">
        <f aca="false">SUBSTITUTE(SUBSTITUTE(SUBSTITUTE(SUBSTITUTE(SUBSTITUTE(SUBSTITUTE(SUBSTITUTE(SUBSTITUTE(SUBSTITUTE(SUBSTITUTE(SUBSTITUTE(SUBSTITUTE(SUBSTITUTE(SUBSTITUTE(SUBSTITUTE(SUBSTITUTE(LOWER(AA726&amp;""),CHAR(10),""),CHAR(13),""),CHAR(9),""),CHAR(160),"")," ",""),".",""),"-",""),"/",""),"?",""),"_",""),",",""),"[",""),"]",""),"(",""),")",""),"*","")</f>
        <v/>
      </c>
      <c r="BB726" s="61" t="str">
        <f aca="false">IF(AND(TRIM(U726)="Pass",ISNUMBER(AF726)),IF(AF726&lt;&gt;0,"INVALID – qty variance: use Fail or Pass after CA",""),"")&amp;IF(AND(TRIM(U726)="Pass after CA",ISNUMBER(AF726)),IF(AF726&lt;&gt;0,"INVALID – after the corrective action the actual qty must equal expected (update Actual)",""),"")&amp;IF(AND(TRIM(U726)="Pass",TRIM(AB726)&lt;&gt;"",TRIM(AB726)&lt;&gt;"Closed"),"INVALID – corrective action not closed: use Fail, then Pass after CA","")&amp;IF(AND(LEN(BA726)&gt;=2,ISNA(MATCH(LEFT(BA726,255),L_Placeholder,0)),TRIM(AB726)=""),"INVALID – CA status missing for the recorded corrective action","")&amp;IF(AND(TRIM(U726)="Pass after CA",OR(OR(LEN(BA726)&lt;5,ISNUMBER(MATCH(BA726,L_Placeholder,0))),TRIM(AB726)&lt;&gt;"Closed")),"INVALID – corrective action not recorded/closed","")</f>
        <v/>
      </c>
      <c r="BC726" s="61" t="str">
        <f aca="false">" "&amp;TRIM(SUBSTITUTE(SUBSTITUTE(SUBSTITUTE(SUBSTITUTE(SUBSTITUTE(SUBSTITUTE(SUBSTITUTE(SUBSTITUTE(SUBSTITUTE(SUBSTITUTE(SUBSTITUTE(SUBSTITUTE(SUBSTITUTE(SUBSTITUTE(SUBSTITUTE(SUBSTITUTE(SUBSTITUTE(SUBSTITUTE(SUBSTITUTE(SUBSTITUTE(SUBSTITUTE(SUBSTITUTE(SUBSTITUTE(SUBSTITUTE(LOWER(V726&amp;""),CHAR(10)," "),CHAR(13)," "),CHAR(9)," "),CHAR(160)," "),"."," "),","," "),"-"," "),"/"," "),"("," "),")"," "),":"," "),";"," "),"_"," "),"–"," "),"?"," "),"!"," "),"*"," "),"["," "),"]"," "),"'"," "),"#"," "),"+"," "),"&amp;"," "),"\"," "))&amp;" "</f>
        <v>  </v>
      </c>
      <c r="BD726" s="61" t="str">
        <f aca="false">" "&amp;TRIM(SUBSTITUTE(SUBSTITUTE(SUBSTITUTE(SUBSTITUTE(SUBSTITUTE(SUBSTITUTE(SUBSTITUTE(SUBSTITUTE(SUBSTITUTE(SUBSTITUTE(SUBSTITUTE(SUBSTITUTE(SUBSTITUTE(SUBSTITUTE(SUBSTITUTE(SUBSTITUTE(SUBSTITUTE(SUBSTITUTE(SUBSTITUTE(SUBSTITUTE(SUBSTITUTE(SUBSTITUTE(SUBSTITUTE(SUBSTITUTE(LOWER(Z726&amp;""),CHAR(10)," "),CHAR(13)," "),CHAR(9)," "),CHAR(160)," "),"."," "),","," "),"-"," "),"/"," "),"("," "),")"," "),":"," "),";"," "),"_"," "),"–"," "),"?"," "),"!"," "),"*"," "),"["," "),"]"," "),"'"," "),"#"," "),"+"," "),"&amp;"," "),"\"," "))&amp;" "</f>
        <v>  </v>
      </c>
      <c r="BE726" s="61" t="str">
        <f aca="false">" "&amp;TRIM(SUBSTITUTE(SUBSTITUTE(SUBSTITUTE(SUBSTITUTE(SUBSTITUTE(SUBSTITUTE(SUBSTITUTE(SUBSTITUTE(SUBSTITUTE(SUBSTITUTE(SUBSTITUTE(SUBSTITUTE(SUBSTITUTE(SUBSTITUTE(SUBSTITUTE(SUBSTITUTE(SUBSTITUTE(SUBSTITUTE(SUBSTITUTE(SUBSTITUTE(SUBSTITUTE(SUBSTITUTE(SUBSTITUTE(SUBSTITUTE(LOWER(W726&amp;""),CHAR(10)," "),CHAR(13)," "),CHAR(9)," "),CHAR(160)," "),"."," "),","," "),"-"," "),"/"," "),"("," "),")"," "),":"," "),";"," "),"_"," "),"–"," "),"?"," "),"!"," "),"*"," "),"["," "),"]"," "),"'"," "),"#"," "),"+"," "),"&amp;"," "),"\"," "))&amp;" "</f>
        <v>  </v>
      </c>
      <c r="BF726" s="61" t="str">
        <f aca="false">" "&amp;TRIM(SUBSTITUTE(SUBSTITUTE(SUBSTITUTE(SUBSTITUTE(SUBSTITUTE(SUBSTITUTE(SUBSTITUTE(SUBSTITUTE(SUBSTITUTE(SUBSTITUTE(SUBSTITUTE(SUBSTITUTE(SUBSTITUTE(SUBSTITUTE(SUBSTITUTE(SUBSTITUTE(SUBSTITUTE(SUBSTITUTE(SUBSTITUTE(SUBSTITUTE(SUBSTITUTE(SUBSTITUTE(SUBSTITUTE(SUBSTITUTE(LOWER(AC726&amp;""),CHAR(10)," "),CHAR(13)," "),CHAR(9)," "),CHAR(160)," "),"."," "),","," "),"-"," "),"/"," "),"("," "),")"," "),":"," "),";"," "),"_"," "),"–"," "),"?"," "),"!"," "),"*"," "),"["," "),"]"," "),"'"," "),"#"," "),"+"," "),"&amp;"," "),"\"," "))&amp;" "</f>
        <v>  </v>
      </c>
      <c r="BG726" s="61" t="n">
        <f aca="false">IFERROR(IF(AND(TRIM(U726)="Pass",SUMPRODUCT((LEN(BC726)-LEN(SUBSTITUTE(BC726," "&amp;L_ResultBad&amp;" "," ")))/(LEN(L_ResultBad)+1))&gt;SUMPRODUCT((LEN(BC726)-LEN(SUBSTITUTE(BC726," "&amp;L_NegPhrase&amp;" "," ")))/(LEN(L_NegPhrase)+1))),1,0),0)</f>
        <v>0</v>
      </c>
      <c r="BH726" s="61" t="n">
        <f aca="false">IFERROR(IF(SUMPRODUCT((LEN(BC726)-LEN(SUBSTITUTE(BC726," "&amp;L_Pending&amp;" "," ")))/(LEN(L_Pending)+1))&gt;SUMPRODUCT((LEN(BC726)-LEN(SUBSTITUTE(BC726," "&amp;L_PendNeg&amp;" "," ")))/(LEN(L_PendNeg)+1))+SUMPRODUCT((LEN(BC726)-LEN(SUBSTITUTE(BC726," "&amp;L_PendPrep&amp;" "," ")))/(LEN(L_PendPrep)+1)),1,0),1)</f>
        <v>0</v>
      </c>
      <c r="BI726" s="61" t="n">
        <f aca="false">IFERROR(IF(SUMPRODUCT((LEN(BD726)-LEN(SUBSTITUTE(BD726," "&amp;L_PendStrict&amp;" "," ")))/(LEN(L_PendStrict)+1))&gt;SUMPRODUCT((LEN(BD726)-LEN(SUBSTITUTE(BD726," "&amp;L_PendNeg&amp;" "," ")))/(LEN(L_PendNeg)+1)),1,0),1)</f>
        <v>0</v>
      </c>
      <c r="BJ726" s="61" t="n">
        <f aca="false">IFERROR(IF(SUMPRODUCT((LEN(BE726)-LEN(SUBSTITUTE(BE726," "&amp;L_Pending&amp;" "," ")))/(LEN(L_Pending)+1))&gt;SUMPRODUCT((LEN(BE726)-LEN(SUBSTITUTE(BE726," "&amp;L_PendNeg&amp;" "," ")))/(LEN(L_PendNeg)+1))+SUMPRODUCT((LEN(BE726)-LEN(SUBSTITUTE(BE726," "&amp;L_PendPrep&amp;" "," ")))/(LEN(L_PendPrep)+1)),1,0),1)</f>
        <v>0</v>
      </c>
      <c r="BK726" s="61" t="n">
        <f aca="false">IFERROR(IF(SUMPRODUCT((LEN(BF726)-LEN(SUBSTITUTE(BF726," "&amp;L_PendStrict&amp;" "," ")))/(LEN(L_PendStrict)+1))&gt;SUMPRODUCT((LEN(BF726)-LEN(SUBSTITUTE(BF726," "&amp;L_PendNeg&amp;" "," ")))/(LEN(L_PendNeg)+1)),1,0),1)</f>
        <v>0</v>
      </c>
      <c r="BL726" s="61" t="n">
        <f aca="false">IF(ISNA(MATCH(TRIM(S726),L_EvidenceType,0)),0,BZ726)</f>
        <v>0</v>
      </c>
      <c r="BM726" s="61" t="str">
        <f aca="false">SUBSTITUTE(SUBSTITUTE(SUBSTITUTE(SUBSTITUTE(SUBSTITUTE(SUBSTITUTE(SUBSTITUTE(SUBSTITUTE(SUBSTITUTE(LOWER(Z726&amp;""),"1","0"),"2","0"),"3","0"),"4","0"),"5","0"),"6","0"),"7","0"),"8","0"),"9","0")</f>
        <v/>
      </c>
      <c r="BN726" s="61" t="str">
        <f aca="false">SUBSTITUTE(SUBSTITUTE(SUBSTITUTE(SUBSTITUTE(SUBSTITUTE(SUBSTITUTE(SUBSTITUTE(SUBSTITUTE(SUBSTITUTE(SUBSTITUTE(SUBSTITUTE(SUBSTITUTE(SUBSTITUTE(SUBSTITUTE(SUBSTITUTE(SUBSTITUTE(SUBSTITUTE(SUBSTITUTE(SUBSTITUTE(SUBSTITUTE(SUBSTITUTE(SUBSTITUTE(SUBSTITUTE(SUBSTITUTE(SUBSTITUTE(BM726,"b","a"),"c","a"),"d","a"),"e","a"),"f","a"),"g","a"),"h","a"),"i","a"),"j","a"),"k","a"),"l","a"),"m","a"),"n","a"),"o","a"),"p","a"),"q","a"),"r","a"),"s","a"),"t","a"),"u","a"),"v","a"),"w","a"),"x","a"),"y","a"),"z","a")</f>
        <v/>
      </c>
      <c r="BO726" s="61" t="str">
        <f aca="false">SUBSTITUTE(SUBSTITUTE(SUBSTITUTE(SUBSTITUTE(SUBSTITUTE(SUBSTITUTE(SUBSTITUTE(SUBSTITUTE(SUBSTITUTE(LOWER(W726&amp;""),"1","0"),"2","0"),"3","0"),"4","0"),"5","0"),"6","0"),"7","0"),"8","0"),"9","0")</f>
        <v/>
      </c>
      <c r="BP726" s="61" t="str">
        <f aca="false">SUBSTITUTE(SUBSTITUTE(SUBSTITUTE(SUBSTITUTE(SUBSTITUTE(SUBSTITUTE(SUBSTITUTE(SUBSTITUTE(SUBSTITUTE(SUBSTITUTE(SUBSTITUTE(SUBSTITUTE(SUBSTITUTE(SUBSTITUTE(SUBSTITUTE(SUBSTITUTE(SUBSTITUTE(SUBSTITUTE(SUBSTITUTE(SUBSTITUTE(SUBSTITUTE(SUBSTITUTE(SUBSTITUTE(SUBSTITUTE(SUBSTITUTE(BO726,"b","a"),"c","a"),"d","a"),"e","a"),"f","a"),"g","a"),"h","a"),"i","a"),"j","a"),"k","a"),"l","a"),"m","a"),"n","a"),"o","a"),"p","a"),"q","a"),"r","a"),"s","a"),"t","a"),"u","a"),"v","a"),"w","a"),"x","a"),"y","a"),"z","a")</f>
        <v/>
      </c>
      <c r="BQ726" s="61" t="n">
        <f aca="false">IFERROR(IF(AND(ISERROR(SEARCH(" mh"," "&amp;LOWER(W726))),ISNA(MATCH(LEFT(TRIM(BP726),255),{"0000a","000a","00a","0000aa","000aa","00aa","0aa","0000aaa","000aaa","00a00","0a00","0000-0000","00:00","a00","a0","00.00.0000","00/00/0000","00-00-0000","0000-00-00","0000/00/00","0000.00.00","00.00.00","00/00/00","00-00-00","0.00.0000","0/00/0000","0-00-0000"},0)),ISNA(MATCH(LEFT(TRIM(CA726),255),{"0000a","000a","00a","0000aa","000aa","00aa","0aa","0000aaa","000aaa","00a00","0a00","0000-0000","00:00","a00","a0","00.00.0000","00/00/0000","00-00-0000","0000-00-00","0000/00/00","0000.00.00","00.00.00","00/00/00","00-00-00","0.00.0000","0/00/0000","0-00-0000"},0)),LEN(CB726)&gt;=3,NOT(OR(SUBSTITUTE(CB726,"0","")="",AND(LEN(CB726)&gt;=4,CB726=REPT(LEFT(CB726),LEN(CB726))),ISNUMBER(MATCH(CB726,{"123","1234","12345","123456","1234567","12345678","0123","01234","012345","98765","987654","54321"},0)),AND(LEN(CB726)=8,LEFT(CB726,3)="202"))),OR(AND((LEN(CA726)-LEN(SUBSTITUTE(CA726,"a","")))&gt;=1,SUMPRODUCT(--ISNUMBER(SEARCH({"a0","a-0","a_0","a/0","a.0","a#0","0a","0-a","0_a","0/a"},BP726)))&gt;0),ISNUMBER(SEARCH("000000",BP726)))),1,0),0)</f>
        <v>0</v>
      </c>
      <c r="BR726" s="61" t="n">
        <f aca="false">IFERROR(LEN(SUBSTITUTE(CC726," ",""))-SUMPRODUCT((LEN(CC726)-LEN(SUBSTITUTE(CC726," "&amp;L_Role&amp;" "," ")))/(LEN(L_Role)+1)*LEN(L_Role)),0)</f>
        <v>0</v>
      </c>
      <c r="BS726" s="61" t="n">
        <f aca="false">IFERROR(LEN(SUBSTITUTE(CD726," ",""))-SUMPRODUCT((LEN(CD726)-LEN(SUBSTITUTE(CD726," "&amp;L_Role&amp;" "," ")))/(LEN(L_Role)+1)*LEN(L_Role)),0)</f>
        <v>0</v>
      </c>
      <c r="BT7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726,"revision",""),"version",""),"jan",""),"feb",""),"mar",""),"apr",""),"may",""),"jun",""),"jul",""),"aug",""),"sep",""),"oct",""),"nov",""),"dec",""),"utc",""),"gmt",""),"myt",""),"bst",""),"rev",""),"ver",""),"b","a"),"c","a"),"d","a"),"e","a"),"f","a"),"g","a"),"h","a"),"i","a"),"j","a"),"k","a"),"l","a"),"m","a"),"n","a"),"o","a"),"p","a"),"q","a"),"r","a"),"s","a"),"t","a"),"u","a"),"v","a"),"w","a"),"x","a"),"y","a"),"z","a")</f>
        <v/>
      </c>
      <c r="BU726" s="61" t="str">
        <f aca="false">SUBSTITUTE(SUBSTITUTE(SUBSTITUTE(SUBSTITUTE(SUBSTITUTE(SUBSTITUTE(SUBSTITUTE(SUBSTITUTE(SUBSTITUTE(SUBSTITUTE(LEFT(BM726,FIND("0",BM726&amp;"0")-1),"-",""),"_",""),"/",""),".",""),"#",""),"\\",""),":","")," ",""),"(",""),")","")</f>
        <v/>
      </c>
      <c r="BV726" s="61" t="n">
        <f aca="false">0</f>
        <v>0</v>
      </c>
      <c r="BW72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726&amp;""),"a",""),"b",""),"c",""),"d",""),"e",""),"f",""),"g",""),"h",""),"i",""),"j",""),"k",""),"l",""),"m",""),"n",""),"o",""),"p",""),"q",""),"r",""),"s",""),"t",""),"u",""),"v",""),"w",""),"x",""),"y",""),"z",""),"-",""),"_",""),"/",""),".",""),"#",""),"\\",""),":","")," ",""),"(",""),")","")</f>
        <v/>
      </c>
      <c r="BX726" s="61" t="str">
        <f aca="false">SUBSTITUTE(SUBSTITUTE(SUBSTITUTE(SUBSTITUTE(SUBSTITUTE(SUBSTITUTE(SUBSTITUTE(SUBSTITUTE(SUBSTITUTE(SUBSTITUTE(SUBSTITUTE(BM726,"0",""),"-",""),"_",""),"/",""),".",""),"#",""),"\\",""),":","")," ",""),"(",""),")","")</f>
        <v/>
      </c>
      <c r="BY726" s="62" t="n">
        <f aca="false">Q726-T12EarlyH/24</f>
        <v>46324.6388888889</v>
      </c>
      <c r="BZ726" s="61" t="n">
        <f aca="false">IFERROR(IF(IF(TRIM(S726)="Link / file path",AND(LEN(TRIM(Z726))&gt;=5,SUMPRODUCT(--ISNUMBER(SEARCH({"http","www.","\\",":\",".pdf",".jpg",".jpeg",".png",".heic",".xls",".doc",".msg",".eml",".ppt",".txt",".zip"},Z726)))&gt;0),AND(ISERROR(FIND(" ",TRIM(Z726))),NOT(OR(SUMPRODUCT(--ISNUMBER(FIND({",",";","&amp;","+"},Z726)))&gt;0,SUMPRODUCT(--ISNUMBER(SEARCH({"0/aa","0\\aa"},BN726)))&gt;0)),NOT(SUMPRODUCT(--ISNUMBER(SEARCH({"http","www.","\\",":\",".pdf",".jpg",".jpeg",".png",".heic",".xls",".doc",".msg",".eml",".ppt",".txt",".zip"},Z726)))&gt;0),NOT(LOWER(TRIM(Z726))=LOWER(Flights!$F$26)),ISNA(MATCH(BU726,{"mh","rev","revision","ver","version","v","r","a","b","seat","tray","row","gate","bay","stand","page","pg","item","line","no","cart","galley","flight","flt","table","box","bag","oven","etd","eta","std","sta","atd","ata","qty","pax","x","time","tel","ph","mob","day","wk","week","utc","gmt","myt","lt"},0)),NOT(OR(ISNUMBER(MATCH(LEFT(BN726,255),{"0000a","000a","00a","0000aa","000aa","00aa","0aa","0000aaa","000aaa","00a00","0a00","0000-0000","00:00","a00","a0","00.00.0000","00/00/0000","00-00-0000","0000-00-00","0000/00/00","0000.00.00","00.00.00","00/00/00","00-00-00","0.00.0000","0/00/0000","0-00-0000"},0)),ISNUMBER(MATCH(LEFT(BT726,255),{"0000a","000a","00a","0000aa","000aa","00aa","0aa","0000aaa","000aaa","00a00","0a00","0000-0000","00:00","a00","a0","00.00.0000","00/00/0000","00-00-0000","0000-00-00","0000/00/00","0000.00.00","00.00.00","00/00/00","00-00-00","0.00.0000","0/00/0000","0-00-0000"},0)))),NOT(OR(AND(BW726&lt;&gt;"",SUBSTITUTE(BW726,"0","")=""),AND(LEN(BW726)&gt;=4,BW726=REPT(LEFT(BW726),LEN(BW726))),ISNUMBER(MATCH(BW726,{"123","1234","12345","123456","1234567","12345678","0123","01234","012345","98765","987654","54321"},0)),ISNUMBER(MATCH(BX726,{"x","xx","xxx","xxxx","xxxxx","abc","abcd","nil","na","nan","test","tbc","tba","tbd","dummy","sample","example","eg","zz","zzz","none","null","xyz","qwe","asd","id","ref"},0)),AND(LEN(BW726)=8,BX726="",OR(LEFT(BW726,3)="202",ISNUMBER(MATCH(RIGHT(BW726,4),{"2025","2026","2027"},0)))))),OR(AND((LEN(BT726)-LEN(SUBSTITUTE(BT726,"a","")))&gt;=1,(LEN(BN726)-LEN(SUBSTITUTE(BN726,"0","")))&gt;=2,SUMPRODUCT(--ISNUMBER(SEARCH({"a0","a-0","a_0","a/0","a.0","a#0","0a","0-a","0_a","0/a"},BN726)))&gt;0),AND((LEN(BN726)-LEN(SUBSTITUTE(BN726,"a","")))=0,(LEN(BN726)-LEN(SUBSTITUTE(BN726,"0","")))&gt;=5)))),1,0),0)</f>
        <v>0</v>
      </c>
      <c r="CA7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726,"revision",""),"version",""),"jan",""),"feb",""),"mar",""),"apr",""),"may",""),"jun",""),"jul",""),"aug",""),"sep",""),"oct",""),"nov",""),"dec",""),"utc",""),"gmt",""),"myt",""),"bst",""),"rev",""),"ver",""),"b","a"),"c","a"),"d","a"),"e","a"),"f","a"),"g","a"),"h","a"),"i","a"),"j","a"),"k","a"),"l","a"),"m","a"),"n","a"),"o","a"),"p","a"),"q","a"),"r","a"),"s","a"),"t","a"),"u","a"),"v","a"),"w","a"),"x","a"),"y","a"),"z","a")</f>
        <v/>
      </c>
      <c r="CB7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726&amp;""),"a",""),"b",""),"c",""),"d",""),"e",""),"f",""),"g",""),"h",""),"i",""),"j",""),"k",""),"l",""),"m",""),"n",""),"o",""),"p",""),"q",""),"r",""),"s",""),"t",""),"u",""),"v",""),"w",""),"x",""),"y",""),"z",""),"-",""),"_",""),"/",""),".",""),"#",""),"\\",""),":","")," ",""),"(",""),")","")</f>
        <v/>
      </c>
      <c r="CC726" s="0" t="str">
        <f aca="false">" "&amp;TRIM(SUBSTITUTE(SUBSTITUTE(SUBSTITUTE(SUBSTITUTE(SUBSTITUTE(SUBSTITUTE(SUBSTITUTE(SUBSTITUTE(SUBSTITUTE(SUBSTITUTE(SUBSTITUTE(SUBSTITUTE(SUBSTITUTE(SUBSTITUTE(SUBSTITUTE(SUBSTITUTE(SUBSTITUTE(SUBSTITUTE(SUBSTITUTE(SUBSTITUTE(SUBSTITUTE(SUBSTITUTE(SUBSTITUTE(SUBSTITUTE(LOWER(T726&amp;""),CHAR(10)," "),CHAR(13)," "),CHAR(9)," "),CHAR(160)," "),"."," "),","," "),"-"," "),"/"," "),"("," "),")"," "),":"," "),";"," "),"_"," "),"–"," "),"?"," "),"!"," "),"*"," "),"["," "),"]"," "),"'"," "),"#"," "),"+"," "),"&amp;"," "),"\"," "))&amp;" "</f>
        <v>  </v>
      </c>
      <c r="CD726" s="0" t="str">
        <f aca="false">" "&amp;TRIM(SUBSTITUTE(SUBSTITUTE(SUBSTITUTE(SUBSTITUTE(SUBSTITUTE(SUBSTITUTE(SUBSTITUTE(SUBSTITUTE(SUBSTITUTE(SUBSTITUTE(SUBSTITUTE(SUBSTITUTE(SUBSTITUTE(SUBSTITUTE(SUBSTITUTE(SUBSTITUTE(SUBSTITUTE(SUBSTITUTE(SUBSTITUTE(SUBSTITUTE(SUBSTITUTE(SUBSTITUTE(SUBSTITUTE(SUBSTITUTE(LOWER(AE726&amp;""),CHAR(10)," "),CHAR(13)," "),CHAR(9)," "),CHAR(160)," "),"."," "),","," "),"-"," "),"/"," "),"("," "),")"," "),":"," "),";"," "),"_"," "),"–"," "),"?"," "),"!"," "),"*"," "),"["," "),"]"," "),"'"," "),"#"," "),"+"," "),"&amp;"," "),"\"," "))&amp;" "</f>
        <v>  </v>
      </c>
      <c r="CE726" s="68" t="n">
        <f aca="false">IFERROR(IF(AND(LEN(AU726)&gt;0,LEN(AU726)=LEN(AX726),OR(TRIM(MID(SUBSTITUTE(TRIM(CC726)," ",REPT(" ",60)),1,60))="",ISNUMBER(SEARCH(" "&amp;TRIM(MID(SUBSTITUTE(TRIM(CC726)," ",REPT(" ",60)),1,60))&amp;" ",CD726))),OR(TRIM(MID(SUBSTITUTE(TRIM(CC726)," ",REPT(" ",60)),61,60))="",ISNUMBER(SEARCH(" "&amp;TRIM(MID(SUBSTITUTE(TRIM(CC726)," ",REPT(" ",60)),61,60))&amp;" ",CD726))),OR(TRIM(MID(SUBSTITUTE(TRIM(CC726)," ",REPT(" ",60)),121,60))="",ISNUMBER(SEARCH(" "&amp;TRIM(MID(SUBSTITUTE(TRIM(CC726)," ",REPT(" ",60)),121,60))&amp;" ",CD726)))),1,0),0)</f>
        <v>0</v>
      </c>
      <c r="CG726" s="68" t="n">
        <f aca="false">IFERROR(LEN(SUBSTITUTE(BF726," ",""))-SUMPRODUCT((LEN(BF726)-LEN(SUBSTITUTE(BF726," "&amp;L_NAFiller&amp;" "," ")))/(LEN(L_NAFiller)+1)*LEN(L_NAFiller)),0)</f>
        <v>0</v>
      </c>
    </row>
    <row r="727" customFormat="false" ht="54" hidden="false" customHeight="true" outlineLevel="0" collapsed="false">
      <c r="A727" s="57" t="s">
        <v>1461</v>
      </c>
      <c r="B727" s="57" t="s">
        <v>312</v>
      </c>
      <c r="C727" s="57" t="str">
        <f aca="false">Flights!$F$26</f>
        <v>MH0002</v>
      </c>
      <c r="D727" s="58" t="n">
        <f aca="false">Flights!$D$26</f>
        <v>46325</v>
      </c>
      <c r="E727" s="57" t="str">
        <f aca="false">Flights!$G$26&amp;"-"&amp;Flights!$H$26</f>
        <v>KUL-LHR</v>
      </c>
      <c r="F727" s="57" t="str">
        <f aca="false">Flights!$K$26</f>
        <v>BC</v>
      </c>
      <c r="G727" s="57" t="s">
        <v>420</v>
      </c>
      <c r="H727" s="57" t="s">
        <v>378</v>
      </c>
      <c r="I727" s="57" t="s">
        <v>499</v>
      </c>
      <c r="J727" s="57" t="s">
        <v>518</v>
      </c>
      <c r="K727" s="67" t="s">
        <v>616</v>
      </c>
      <c r="L727" s="67" t="s">
        <v>746</v>
      </c>
      <c r="M727" s="67" t="s">
        <v>451</v>
      </c>
      <c r="N727" s="67" t="s">
        <v>383</v>
      </c>
      <c r="O727" s="67" t="s">
        <v>521</v>
      </c>
      <c r="P727" s="57" t="s">
        <v>187</v>
      </c>
      <c r="Q727" s="59" t="n">
        <f aca="false">ROUND((Flights!$AE$26)*1440,0)/1440</f>
        <v>46325.1388888889</v>
      </c>
      <c r="R727" s="59" t="n">
        <f aca="false">Q727+(IF(AND(INDEX(TZ_DSTS,MATCH(P727,TZ_STN,0))&lt;&gt;"",Q727&gt;=INDEX(TZ_DSTS,MATCH(P727,TZ_STN,0)),Q727&lt;INDEX(TZ_DSTE,MATCH(P727,TZ_STN,0))),INDEX(TZ_DST,MATCH(P727,TZ_STN,0)),INDEX(TZ_STD,MATCH(P727,TZ_STN,0))))/24</f>
        <v>46325.4722222222</v>
      </c>
      <c r="S727" s="60"/>
      <c r="T727" s="60"/>
      <c r="U727" s="60"/>
      <c r="V727" s="60"/>
      <c r="W727" s="61"/>
      <c r="X727" s="60"/>
      <c r="Y727" s="60"/>
      <c r="Z727" s="60"/>
      <c r="AA727" s="60"/>
      <c r="AB727" s="60"/>
      <c r="AC727" s="60"/>
      <c r="AD727" s="66"/>
      <c r="AE727" s="60"/>
      <c r="AF727" s="61" t="str">
        <f aca="false">IF(AND(ISNUMBER(X727),ISNUMBER(Y727)),Y727-X727,"")</f>
        <v/>
      </c>
      <c r="AG727" s="62" t="str">
        <f aca="false">IF(ISNUMBER(AD727),AD727-(IF(AND(INDEX(TZ_DSTS,MATCH(P727,TZ_STN,0))&lt;&gt;"",(AD727-INDEX(TZ_STD,MATCH(P727,TZ_STN,0))/24)&gt;=INDEX(TZ_DSTS,MATCH(P727,TZ_STN,0)),(AD727-INDEX(TZ_STD,MATCH(P727,TZ_STN,0))/24)&lt;INDEX(TZ_DSTE,MATCH(P727,TZ_STN,0))),INDEX(TZ_DST,MATCH(P727,TZ_STN,0)),INDEX(TZ_STD,MATCH(P727,TZ_STN,0))))/24,"")</f>
        <v/>
      </c>
      <c r="AH727" s="65" t="str">
        <f aca="false">IFERROR(IF(N727="N/A – rule",IF(OR(TRIM(U727)="",TRIM(U727)="N/A",TRIM(U727)="Not started"),"N/A – RULE","INVALID – this check does not apply to this aircraft: clear the status (or correct the fleet on Flights)"),IF(TRIM(U727)="N/A",IF(AT727=0,"INVALID – N/A not permitted for this check",IF(AND(TRIM(AB727)&lt;&gt;"",TRIM(AB727)&lt;&gt;"Closed"),"INVALID – corrective action still open",IF(AND(NOT(OR(LEN(AZ727)&lt;15,ISNUMBER(MATCH(AZ727,L_Placeholder,0)))),BK727=0,CG727&gt;=8,NOT(OR(LEN(AU727)&lt;2,ISNUMBER(MATCH(AU727,L_Placeholder,0)))),BR727&gt;=3,NOT(OR(LEN(AX727)&lt;2,ISNUMBER(MATCH(AX727,L_Placeholder,0)))),BS727&gt;=3,TRIM(AE727)&lt;&gt;TRIM(T727),AX727&lt;&gt;AU727,CE727=0),"N/A – JUSTIFIED","INVALID – N/A needs a real, settled reason (not 'not applicable' / 'as above' / TBC), a named PIC and a different named verifier"))),IF(OR(TRIM(U727)="Pass",TRIM(U727)="Pass after CA"),IF(NOT(ISNUMBER(AD727)),"INVALID – completion time missing",IF(OR(OR(LEN(AU727)&lt;2,ISNUMBER(MATCH(AU727,L_Placeholder,0))),BR727&lt;3),"INVALID – PIC missing or not a named person (a role such as QA / CSM is not a name)",IF(OR(LEN(AV727)&lt;2,ISNUMBER(MATCH(AV727,L_Placeholder,0))),"INVALID – result / assessment missing",IF(OR(OR(LEN(AW727)&lt;3,ISNUMBER(MATCH(AW727,L_Placeholder,0))),SUMPRODUCT(--ISNUMBER(SEARCH(" "&amp;L_EvidencePhrase&amp;" ",BD727)))&gt;0,BI727=1),"INVALID – evidence missing, placeholder or not yet on file",IF(ISNA(MATCH(TRIM(S727),L_EvidenceType,0)),"INVALID – choose the evidence type from the list (column S)",IF(BL727=0,"INVALID – evidence ID must be the record's own ID only (e.g. SF-2210, IMG_2231, 1045521); a link / file name needs type 'Link / file path'",IF(OR(OR(LEN(AX727)&lt;2,ISNUMBER(MATCH(AX727,L_Placeholder,0))),BS727&lt;3),"INVALID – verifier missing or not a named person (a role such as QA / CSM is not a name)",IF(OR(AX727=AU727,CE727=1,AND(LEN(AU727)&gt;=4,ISNUMBER(SEARCH(AU727,AX727))),AND(LEN(AX727)&gt;=4,ISNUMBER(SEARCH(AX727,AU727)))),"INVALID – verifier must be a different, named person (not the PIC or a role)",IF(BH727=1,"INVALID – result not yet available (awaiting / TBC)",IF(BG727=1,"INVALID – result describes a problem: record Fail, then Pass after CA (or reword if it is not a problem)",IF(BV727=1,"INVALID – wording says not on board: an on-board confirmation needs the item loaded",IF(AND(AQ727=1,OR(OR(LEN(AY727)&lt;3,ISNUMBER(MATCH(AY727,L_Placeholder,0))),BJ727=1,BQ727=0)),"INVALID – batch ID missing, placeholder or not an ID (e.g. PASB-261008-BC-017)",IF(AND(AR727=1,OR(NOT(ISNUMBER(X727)),NOT(ISNUMBER(Y727)))),"INVALID – expected/actual qty missing",IF(AND(AR727=1,OR(X727&lt;=0,Y727&lt;0)),"INVALID – expected qty must be above 0 and actual not negative",IF(BB727&lt;&gt;"",BB727,IF(AND(AS727=1,Documents!$J$26&lt;&gt;"ON FILE"),"INVALID – GLD not on file (Documents sheet)",IF(AND(AS727=2,Documents!$O$26&lt;&gt;"ON FILE"),"INVALID – menu checklist not on file (Documents sheet)",IF(AND(AS727=3,NOT(ISNUMBER(Flights!$AX$26))),"INVALID – enter carrying flight KUL departure (Flights AX)",IF(AND(AS727=3,OR(Flights!$AZ$26&gt;Flights!$AA$26,Flights!$AX$26&lt;Flights!$AA$26-3)),"INVALID – carrying flight (Flights AX) cannot arrive before this leg's STD, or is over 3 days early",IF(AG727&gt;AsOfUTC,"INVALID – completion time is in the future",IF(AND(ISNUMBER(BY727),AG727&lt;BY727),IF(H727="Physical uplift","INVALID – before uplift window (cannot confirm loading)","INVALID – before valid window"),IF(AG727&gt;Flights!$AA$26,"INVALID – completed after departure (cannot establish readiness)",IF(AND(H727="Preparation",AG727&gt;=IF(ISNUMBER(Flights!$BA$26),MIN(Flights!$BA$26,Flights!$AA$26),Flights!$AA$26)),"INVALID – completed after loading / departure (cannot establish readiness)",IF(AND(H727="Physical uplift",AG727&gt;Q727),"INVALID – recorded after the loading flight departed",IF(AG727&gt;Q727,"COMPLETE – LATE","COMPLETE"))))))))))))))))))))))))),IF(TRIM(U727)="Fail","FAIL – DISCREPANCY",IF(AND(TRIM(U727)&lt;&gt;"",TRIM(U727)&lt;&gt;"Not started",TRIM(U727)&lt;&gt;"In progress"),"INVALID – unrecognised status (use the list)",IF(AsOfUTC&gt;Q727,"OVERDUE",IF(N727="Clarification required","OPEN – CLARIFICATION","OPEN"))))))),"INVALID – error value in an input cell")</f>
        <v>OPEN</v>
      </c>
      <c r="AI727" s="61" t="n">
        <f aca="false">IF(OR(AH727="N/A – RULE",AH727="N/A – JUSTIFIED"),0,1)</f>
        <v>1</v>
      </c>
      <c r="AJ727" s="61" t="n">
        <f aca="false">IF(LEFT(AH727,8)="COMPLETE",1,0)</f>
        <v>0</v>
      </c>
      <c r="AK727" s="61" t="n">
        <f aca="false">IF(AND(AI727=1,AJ727=0,AsOfUTC&gt;Q727),1,0)</f>
        <v>0</v>
      </c>
      <c r="AL727" s="61" t="n">
        <f aca="false">IFERROR(IF(AND(AI727=1,OR(TRIM(U727)="Fail",AND(TRIM(AB727)&lt;&gt;"",TRIM(AB727)&lt;&gt;"Closed"),AND(ISNUMBER(AF727),AF727&lt;&gt;0,TRIM(U727)&lt;&gt;"Pass after CA"))),1,0),1)</f>
        <v>0</v>
      </c>
      <c r="AM727" s="61" t="n">
        <f aca="false">IF(LEFT(AH727,7)="INVALID",1,0)</f>
        <v>0</v>
      </c>
      <c r="AN727" s="61" t="n">
        <f aca="false">IF(AND(N727="Clarification required",AI727=1,AJ727=0),1,0)</f>
        <v>0</v>
      </c>
      <c r="AO727" s="61" t="str">
        <f aca="false">IF(AK727=1,SUM(AK$5:AK727),"")</f>
        <v/>
      </c>
      <c r="AP727" s="61" t="str">
        <f aca="false">IF(AL727=1,SUM(AL$5:AL727),"")</f>
        <v/>
      </c>
      <c r="AQ727" s="61" t="n">
        <v>0</v>
      </c>
      <c r="AR727" s="61" t="n">
        <v>0</v>
      </c>
      <c r="AS727" s="61" t="n">
        <v>0</v>
      </c>
      <c r="AT727" s="61" t="n">
        <v>0</v>
      </c>
      <c r="AU727" s="61" t="str">
        <f aca="false">SUBSTITUTE(SUBSTITUTE(SUBSTITUTE(SUBSTITUTE(SUBSTITUTE(SUBSTITUTE(SUBSTITUTE(SUBSTITUTE(SUBSTITUTE(SUBSTITUTE(SUBSTITUTE(SUBSTITUTE(SUBSTITUTE(SUBSTITUTE(SUBSTITUTE(SUBSTITUTE(LOWER(T727&amp;""),CHAR(10),""),CHAR(13),""),CHAR(9),""),CHAR(160),"")," ",""),".",""),"-",""),"/",""),"?",""),"_",""),",",""),"[",""),"]",""),"(",""),")",""),"*","")</f>
        <v/>
      </c>
      <c r="AV727" s="61" t="str">
        <f aca="false">SUBSTITUTE(SUBSTITUTE(SUBSTITUTE(SUBSTITUTE(SUBSTITUTE(SUBSTITUTE(SUBSTITUTE(SUBSTITUTE(SUBSTITUTE(SUBSTITUTE(SUBSTITUTE(SUBSTITUTE(SUBSTITUTE(SUBSTITUTE(SUBSTITUTE(SUBSTITUTE(LOWER(V727&amp;""),CHAR(10),""),CHAR(13),""),CHAR(9),""),CHAR(160),"")," ",""),".",""),"-",""),"/",""),"?",""),"_",""),",",""),"[",""),"]",""),"(",""),")",""),"*","")</f>
        <v/>
      </c>
      <c r="AW727" s="61" t="str">
        <f aca="false">SUBSTITUTE(SUBSTITUTE(SUBSTITUTE(SUBSTITUTE(SUBSTITUTE(SUBSTITUTE(SUBSTITUTE(SUBSTITUTE(SUBSTITUTE(SUBSTITUTE(SUBSTITUTE(SUBSTITUTE(SUBSTITUTE(SUBSTITUTE(SUBSTITUTE(SUBSTITUTE(LOWER(Z727&amp;""),CHAR(10),""),CHAR(13),""),CHAR(9),""),CHAR(160),"")," ",""),".",""),"-",""),"/",""),"?",""),"_",""),",",""),"[",""),"]",""),"(",""),")",""),"*","")</f>
        <v/>
      </c>
      <c r="AX727" s="61" t="str">
        <f aca="false">SUBSTITUTE(SUBSTITUTE(SUBSTITUTE(SUBSTITUTE(SUBSTITUTE(SUBSTITUTE(SUBSTITUTE(SUBSTITUTE(SUBSTITUTE(SUBSTITUTE(SUBSTITUTE(SUBSTITUTE(SUBSTITUTE(SUBSTITUTE(SUBSTITUTE(SUBSTITUTE(LOWER(AE727&amp;""),CHAR(10),""),CHAR(13),""),CHAR(9),""),CHAR(160),"")," ",""),".",""),"-",""),"/",""),"?",""),"_",""),",",""),"[",""),"]",""),"(",""),")",""),"*","")</f>
        <v/>
      </c>
      <c r="AY727" s="61" t="str">
        <f aca="false">SUBSTITUTE(SUBSTITUTE(SUBSTITUTE(SUBSTITUTE(SUBSTITUTE(SUBSTITUTE(SUBSTITUTE(SUBSTITUTE(SUBSTITUTE(SUBSTITUTE(SUBSTITUTE(SUBSTITUTE(SUBSTITUTE(SUBSTITUTE(SUBSTITUTE(SUBSTITUTE(LOWER(W727&amp;""),CHAR(10),""),CHAR(13),""),CHAR(9),""),CHAR(160),"")," ",""),".",""),"-",""),"/",""),"?",""),"_",""),",",""),"[",""),"]",""),"(",""),")",""),"*","")</f>
        <v/>
      </c>
      <c r="AZ727" s="61" t="str">
        <f aca="false">SUBSTITUTE(SUBSTITUTE(SUBSTITUTE(SUBSTITUTE(SUBSTITUTE(SUBSTITUTE(SUBSTITUTE(SUBSTITUTE(SUBSTITUTE(SUBSTITUTE(SUBSTITUTE(SUBSTITUTE(SUBSTITUTE(SUBSTITUTE(SUBSTITUTE(SUBSTITUTE(LOWER(AC727&amp;""),CHAR(10),""),CHAR(13),""),CHAR(9),""),CHAR(160),"")," ",""),".",""),"-",""),"/",""),"?",""),"_",""),",",""),"[",""),"]",""),"(",""),")",""),"*","")</f>
        <v/>
      </c>
      <c r="BA727" s="61" t="str">
        <f aca="false">SUBSTITUTE(SUBSTITUTE(SUBSTITUTE(SUBSTITUTE(SUBSTITUTE(SUBSTITUTE(SUBSTITUTE(SUBSTITUTE(SUBSTITUTE(SUBSTITUTE(SUBSTITUTE(SUBSTITUTE(SUBSTITUTE(SUBSTITUTE(SUBSTITUTE(SUBSTITUTE(LOWER(AA727&amp;""),CHAR(10),""),CHAR(13),""),CHAR(9),""),CHAR(160),"")," ",""),".",""),"-",""),"/",""),"?",""),"_",""),",",""),"[",""),"]",""),"(",""),")",""),"*","")</f>
        <v/>
      </c>
      <c r="BB727" s="61" t="str">
        <f aca="false">IF(AND(TRIM(U727)="Pass",ISNUMBER(AF727)),IF(AF727&lt;&gt;0,"INVALID – qty variance: use Fail or Pass after CA",""),"")&amp;IF(AND(TRIM(U727)="Pass after CA",ISNUMBER(AF727)),IF(AF727&lt;&gt;0,"INVALID – after the corrective action the actual qty must equal expected (update Actual)",""),"")&amp;IF(AND(TRIM(U727)="Pass",TRIM(AB727)&lt;&gt;"",TRIM(AB727)&lt;&gt;"Closed"),"INVALID – corrective action not closed: use Fail, then Pass after CA","")&amp;IF(AND(LEN(BA727)&gt;=2,ISNA(MATCH(LEFT(BA727,255),L_Placeholder,0)),TRIM(AB727)=""),"INVALID – CA status missing for the recorded corrective action","")&amp;IF(AND(TRIM(U727)="Pass after CA",OR(OR(LEN(BA727)&lt;5,ISNUMBER(MATCH(BA727,L_Placeholder,0))),TRIM(AB727)&lt;&gt;"Closed")),"INVALID – corrective action not recorded/closed","")</f>
        <v/>
      </c>
      <c r="BC727" s="61" t="str">
        <f aca="false">" "&amp;TRIM(SUBSTITUTE(SUBSTITUTE(SUBSTITUTE(SUBSTITUTE(SUBSTITUTE(SUBSTITUTE(SUBSTITUTE(SUBSTITUTE(SUBSTITUTE(SUBSTITUTE(SUBSTITUTE(SUBSTITUTE(SUBSTITUTE(SUBSTITUTE(SUBSTITUTE(SUBSTITUTE(SUBSTITUTE(SUBSTITUTE(SUBSTITUTE(SUBSTITUTE(SUBSTITUTE(SUBSTITUTE(SUBSTITUTE(SUBSTITUTE(LOWER(V727&amp;""),CHAR(10)," "),CHAR(13)," "),CHAR(9)," "),CHAR(160)," "),"."," "),","," "),"-"," "),"/"," "),"("," "),")"," "),":"," "),";"," "),"_"," "),"–"," "),"?"," "),"!"," "),"*"," "),"["," "),"]"," "),"'"," "),"#"," "),"+"," "),"&amp;"," "),"\"," "))&amp;" "</f>
        <v>  </v>
      </c>
      <c r="BD727" s="61" t="str">
        <f aca="false">" "&amp;TRIM(SUBSTITUTE(SUBSTITUTE(SUBSTITUTE(SUBSTITUTE(SUBSTITUTE(SUBSTITUTE(SUBSTITUTE(SUBSTITUTE(SUBSTITUTE(SUBSTITUTE(SUBSTITUTE(SUBSTITUTE(SUBSTITUTE(SUBSTITUTE(SUBSTITUTE(SUBSTITUTE(SUBSTITUTE(SUBSTITUTE(SUBSTITUTE(SUBSTITUTE(SUBSTITUTE(SUBSTITUTE(SUBSTITUTE(SUBSTITUTE(LOWER(Z727&amp;""),CHAR(10)," "),CHAR(13)," "),CHAR(9)," "),CHAR(160)," "),"."," "),","," "),"-"," "),"/"," "),"("," "),")"," "),":"," "),";"," "),"_"," "),"–"," "),"?"," "),"!"," "),"*"," "),"["," "),"]"," "),"'"," "),"#"," "),"+"," "),"&amp;"," "),"\"," "))&amp;" "</f>
        <v>  </v>
      </c>
      <c r="BE727" s="61" t="str">
        <f aca="false">" "&amp;TRIM(SUBSTITUTE(SUBSTITUTE(SUBSTITUTE(SUBSTITUTE(SUBSTITUTE(SUBSTITUTE(SUBSTITUTE(SUBSTITUTE(SUBSTITUTE(SUBSTITUTE(SUBSTITUTE(SUBSTITUTE(SUBSTITUTE(SUBSTITUTE(SUBSTITUTE(SUBSTITUTE(SUBSTITUTE(SUBSTITUTE(SUBSTITUTE(SUBSTITUTE(SUBSTITUTE(SUBSTITUTE(SUBSTITUTE(SUBSTITUTE(LOWER(W727&amp;""),CHAR(10)," "),CHAR(13)," "),CHAR(9)," "),CHAR(160)," "),"."," "),","," "),"-"," "),"/"," "),"("," "),")"," "),":"," "),";"," "),"_"," "),"–"," "),"?"," "),"!"," "),"*"," "),"["," "),"]"," "),"'"," "),"#"," "),"+"," "),"&amp;"," "),"\"," "))&amp;" "</f>
        <v>  </v>
      </c>
      <c r="BF727" s="61" t="str">
        <f aca="false">" "&amp;TRIM(SUBSTITUTE(SUBSTITUTE(SUBSTITUTE(SUBSTITUTE(SUBSTITUTE(SUBSTITUTE(SUBSTITUTE(SUBSTITUTE(SUBSTITUTE(SUBSTITUTE(SUBSTITUTE(SUBSTITUTE(SUBSTITUTE(SUBSTITUTE(SUBSTITUTE(SUBSTITUTE(SUBSTITUTE(SUBSTITUTE(SUBSTITUTE(SUBSTITUTE(SUBSTITUTE(SUBSTITUTE(SUBSTITUTE(SUBSTITUTE(LOWER(AC727&amp;""),CHAR(10)," "),CHAR(13)," "),CHAR(9)," "),CHAR(160)," "),"."," "),","," "),"-"," "),"/"," "),"("," "),")"," "),":"," "),";"," "),"_"," "),"–"," "),"?"," "),"!"," "),"*"," "),"["," "),"]"," "),"'"," "),"#"," "),"+"," "),"&amp;"," "),"\"," "))&amp;" "</f>
        <v>  </v>
      </c>
      <c r="BG727" s="61" t="n">
        <f aca="false">IFERROR(IF(AND(TRIM(U727)="Pass",SUMPRODUCT((LEN(BC727)-LEN(SUBSTITUTE(BC727," "&amp;L_ResultBad&amp;" "," ")))/(LEN(L_ResultBad)+1))&gt;SUMPRODUCT((LEN(BC727)-LEN(SUBSTITUTE(BC727," "&amp;L_NegPhrase&amp;" "," ")))/(LEN(L_NegPhrase)+1))),1,0),0)</f>
        <v>0</v>
      </c>
      <c r="BH727" s="61" t="n">
        <f aca="false">IFERROR(IF(SUMPRODUCT((LEN(BC727)-LEN(SUBSTITUTE(BC727," "&amp;L_Pending&amp;" "," ")))/(LEN(L_Pending)+1))&gt;SUMPRODUCT((LEN(BC727)-LEN(SUBSTITUTE(BC727," "&amp;L_PendNeg&amp;" "," ")))/(LEN(L_PendNeg)+1))+SUMPRODUCT((LEN(BC727)-LEN(SUBSTITUTE(BC727," "&amp;L_PendPrep&amp;" "," ")))/(LEN(L_PendPrep)+1)),1,0),1)</f>
        <v>0</v>
      </c>
      <c r="BI727" s="61" t="n">
        <f aca="false">IFERROR(IF(SUMPRODUCT((LEN(BD727)-LEN(SUBSTITUTE(BD727," "&amp;L_PendStrict&amp;" "," ")))/(LEN(L_PendStrict)+1))&gt;SUMPRODUCT((LEN(BD727)-LEN(SUBSTITUTE(BD727," "&amp;L_PendNeg&amp;" "," ")))/(LEN(L_PendNeg)+1)),1,0),1)</f>
        <v>0</v>
      </c>
      <c r="BJ727" s="61" t="n">
        <f aca="false">IFERROR(IF(SUMPRODUCT((LEN(BE727)-LEN(SUBSTITUTE(BE727," "&amp;L_Pending&amp;" "," ")))/(LEN(L_Pending)+1))&gt;SUMPRODUCT((LEN(BE727)-LEN(SUBSTITUTE(BE727," "&amp;L_PendNeg&amp;" "," ")))/(LEN(L_PendNeg)+1))+SUMPRODUCT((LEN(BE727)-LEN(SUBSTITUTE(BE727," "&amp;L_PendPrep&amp;" "," ")))/(LEN(L_PendPrep)+1)),1,0),1)</f>
        <v>0</v>
      </c>
      <c r="BK727" s="61" t="n">
        <f aca="false">IFERROR(IF(SUMPRODUCT((LEN(BF727)-LEN(SUBSTITUTE(BF727," "&amp;L_PendStrict&amp;" "," ")))/(LEN(L_PendStrict)+1))&gt;SUMPRODUCT((LEN(BF727)-LEN(SUBSTITUTE(BF727," "&amp;L_PendNeg&amp;" "," ")))/(LEN(L_PendNeg)+1)),1,0),1)</f>
        <v>0</v>
      </c>
      <c r="BL727" s="61" t="n">
        <f aca="false">IF(ISNA(MATCH(TRIM(S727),L_EvidenceType,0)),0,BZ727)</f>
        <v>0</v>
      </c>
      <c r="BM727" s="61" t="str">
        <f aca="false">SUBSTITUTE(SUBSTITUTE(SUBSTITUTE(SUBSTITUTE(SUBSTITUTE(SUBSTITUTE(SUBSTITUTE(SUBSTITUTE(SUBSTITUTE(LOWER(Z727&amp;""),"1","0"),"2","0"),"3","0"),"4","0"),"5","0"),"6","0"),"7","0"),"8","0"),"9","0")</f>
        <v/>
      </c>
      <c r="BN727" s="61" t="str">
        <f aca="false">SUBSTITUTE(SUBSTITUTE(SUBSTITUTE(SUBSTITUTE(SUBSTITUTE(SUBSTITUTE(SUBSTITUTE(SUBSTITUTE(SUBSTITUTE(SUBSTITUTE(SUBSTITUTE(SUBSTITUTE(SUBSTITUTE(SUBSTITUTE(SUBSTITUTE(SUBSTITUTE(SUBSTITUTE(SUBSTITUTE(SUBSTITUTE(SUBSTITUTE(SUBSTITUTE(SUBSTITUTE(SUBSTITUTE(SUBSTITUTE(SUBSTITUTE(BM727,"b","a"),"c","a"),"d","a"),"e","a"),"f","a"),"g","a"),"h","a"),"i","a"),"j","a"),"k","a"),"l","a"),"m","a"),"n","a"),"o","a"),"p","a"),"q","a"),"r","a"),"s","a"),"t","a"),"u","a"),"v","a"),"w","a"),"x","a"),"y","a"),"z","a")</f>
        <v/>
      </c>
      <c r="BO727" s="61" t="str">
        <f aca="false">SUBSTITUTE(SUBSTITUTE(SUBSTITUTE(SUBSTITUTE(SUBSTITUTE(SUBSTITUTE(SUBSTITUTE(SUBSTITUTE(SUBSTITUTE(LOWER(W727&amp;""),"1","0"),"2","0"),"3","0"),"4","0"),"5","0"),"6","0"),"7","0"),"8","0"),"9","0")</f>
        <v/>
      </c>
      <c r="BP727" s="61" t="str">
        <f aca="false">SUBSTITUTE(SUBSTITUTE(SUBSTITUTE(SUBSTITUTE(SUBSTITUTE(SUBSTITUTE(SUBSTITUTE(SUBSTITUTE(SUBSTITUTE(SUBSTITUTE(SUBSTITUTE(SUBSTITUTE(SUBSTITUTE(SUBSTITUTE(SUBSTITUTE(SUBSTITUTE(SUBSTITUTE(SUBSTITUTE(SUBSTITUTE(SUBSTITUTE(SUBSTITUTE(SUBSTITUTE(SUBSTITUTE(SUBSTITUTE(SUBSTITUTE(BO727,"b","a"),"c","a"),"d","a"),"e","a"),"f","a"),"g","a"),"h","a"),"i","a"),"j","a"),"k","a"),"l","a"),"m","a"),"n","a"),"o","a"),"p","a"),"q","a"),"r","a"),"s","a"),"t","a"),"u","a"),"v","a"),"w","a"),"x","a"),"y","a"),"z","a")</f>
        <v/>
      </c>
      <c r="BQ727" s="61" t="n">
        <f aca="false">IFERROR(IF(AND(ISERROR(SEARCH(" mh"," "&amp;LOWER(W727))),ISNA(MATCH(LEFT(TRIM(BP727),255),{"0000a","000a","00a","0000aa","000aa","00aa","0aa","0000aaa","000aaa","00a00","0a00","0000-0000","00:00","a00","a0","00.00.0000","00/00/0000","00-00-0000","0000-00-00","0000/00/00","0000.00.00","00.00.00","00/00/00","00-00-00","0.00.0000","0/00/0000","0-00-0000"},0)),ISNA(MATCH(LEFT(TRIM(CA727),255),{"0000a","000a","00a","0000aa","000aa","00aa","0aa","0000aaa","000aaa","00a00","0a00","0000-0000","00:00","a00","a0","00.00.0000","00/00/0000","00-00-0000","0000-00-00","0000/00/00","0000.00.00","00.00.00","00/00/00","00-00-00","0.00.0000","0/00/0000","0-00-0000"},0)),LEN(CB727)&gt;=3,NOT(OR(SUBSTITUTE(CB727,"0","")="",AND(LEN(CB727)&gt;=4,CB727=REPT(LEFT(CB727),LEN(CB727))),ISNUMBER(MATCH(CB727,{"123","1234","12345","123456","1234567","12345678","0123","01234","012345","98765","987654","54321"},0)),AND(LEN(CB727)=8,LEFT(CB727,3)="202"))),OR(AND((LEN(CA727)-LEN(SUBSTITUTE(CA727,"a","")))&gt;=1,SUMPRODUCT(--ISNUMBER(SEARCH({"a0","a-0","a_0","a/0","a.0","a#0","0a","0-a","0_a","0/a"},BP727)))&gt;0),ISNUMBER(SEARCH("000000",BP727)))),1,0),0)</f>
        <v>0</v>
      </c>
      <c r="BR727" s="61" t="n">
        <f aca="false">IFERROR(LEN(SUBSTITUTE(CC727," ",""))-SUMPRODUCT((LEN(CC727)-LEN(SUBSTITUTE(CC727," "&amp;L_Role&amp;" "," ")))/(LEN(L_Role)+1)*LEN(L_Role)),0)</f>
        <v>0</v>
      </c>
      <c r="BS727" s="61" t="n">
        <f aca="false">IFERROR(LEN(SUBSTITUTE(CD727," ",""))-SUMPRODUCT((LEN(CD727)-LEN(SUBSTITUTE(CD727," "&amp;L_Role&amp;" "," ")))/(LEN(L_Role)+1)*LEN(L_Role)),0)</f>
        <v>0</v>
      </c>
      <c r="BT7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727,"revision",""),"version",""),"jan",""),"feb",""),"mar",""),"apr",""),"may",""),"jun",""),"jul",""),"aug",""),"sep",""),"oct",""),"nov",""),"dec",""),"utc",""),"gmt",""),"myt",""),"bst",""),"rev",""),"ver",""),"b","a"),"c","a"),"d","a"),"e","a"),"f","a"),"g","a"),"h","a"),"i","a"),"j","a"),"k","a"),"l","a"),"m","a"),"n","a"),"o","a"),"p","a"),"q","a"),"r","a"),"s","a"),"t","a"),"u","a"),"v","a"),"w","a"),"x","a"),"y","a"),"z","a")</f>
        <v/>
      </c>
      <c r="BU727" s="61" t="str">
        <f aca="false">SUBSTITUTE(SUBSTITUTE(SUBSTITUTE(SUBSTITUTE(SUBSTITUTE(SUBSTITUTE(SUBSTITUTE(SUBSTITUTE(SUBSTITUTE(SUBSTITUTE(LEFT(BM727,FIND("0",BM727&amp;"0")-1),"-",""),"_",""),"/",""),".",""),"#",""),"\\",""),":","")," ",""),"(",""),")","")</f>
        <v/>
      </c>
      <c r="BV727" s="61" t="n">
        <f aca="false">0</f>
        <v>0</v>
      </c>
      <c r="BW72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727&amp;""),"a",""),"b",""),"c",""),"d",""),"e",""),"f",""),"g",""),"h",""),"i",""),"j",""),"k",""),"l",""),"m",""),"n",""),"o",""),"p",""),"q",""),"r",""),"s",""),"t",""),"u",""),"v",""),"w",""),"x",""),"y",""),"z",""),"-",""),"_",""),"/",""),".",""),"#",""),"\\",""),":","")," ",""),"(",""),")","")</f>
        <v/>
      </c>
      <c r="BX727" s="61" t="str">
        <f aca="false">SUBSTITUTE(SUBSTITUTE(SUBSTITUTE(SUBSTITUTE(SUBSTITUTE(SUBSTITUTE(SUBSTITUTE(SUBSTITUTE(SUBSTITUTE(SUBSTITUTE(SUBSTITUTE(BM727,"0",""),"-",""),"_",""),"/",""),".",""),"#",""),"\\",""),":","")," ",""),"(",""),")","")</f>
        <v/>
      </c>
      <c r="BY727" s="62" t="n">
        <f aca="false">Q727-T12EarlyH/24</f>
        <v>46324.6388888889</v>
      </c>
      <c r="BZ727" s="61" t="n">
        <f aca="false">IFERROR(IF(IF(TRIM(S727)="Link / file path",AND(LEN(TRIM(Z727))&gt;=5,SUMPRODUCT(--ISNUMBER(SEARCH({"http","www.","\\",":\",".pdf",".jpg",".jpeg",".png",".heic",".xls",".doc",".msg",".eml",".ppt",".txt",".zip"},Z727)))&gt;0),AND(ISERROR(FIND(" ",TRIM(Z727))),NOT(OR(SUMPRODUCT(--ISNUMBER(FIND({",",";","&amp;","+"},Z727)))&gt;0,SUMPRODUCT(--ISNUMBER(SEARCH({"0/aa","0\\aa"},BN727)))&gt;0)),NOT(SUMPRODUCT(--ISNUMBER(SEARCH({"http","www.","\\",":\",".pdf",".jpg",".jpeg",".png",".heic",".xls",".doc",".msg",".eml",".ppt",".txt",".zip"},Z727)))&gt;0),NOT(LOWER(TRIM(Z727))=LOWER(Flights!$F$26)),ISNA(MATCH(BU727,{"mh","rev","revision","ver","version","v","r","a","b","seat","tray","row","gate","bay","stand","page","pg","item","line","no","cart","galley","flight","flt","table","box","bag","oven","etd","eta","std","sta","atd","ata","qty","pax","x","time","tel","ph","mob","day","wk","week","utc","gmt","myt","lt"},0)),NOT(OR(ISNUMBER(MATCH(LEFT(BN727,255),{"0000a","000a","00a","0000aa","000aa","00aa","0aa","0000aaa","000aaa","00a00","0a00","0000-0000","00:00","a00","a0","00.00.0000","00/00/0000","00-00-0000","0000-00-00","0000/00/00","0000.00.00","00.00.00","00/00/00","00-00-00","0.00.0000","0/00/0000","0-00-0000"},0)),ISNUMBER(MATCH(LEFT(BT727,255),{"0000a","000a","00a","0000aa","000aa","00aa","0aa","0000aaa","000aaa","00a00","0a00","0000-0000","00:00","a00","a0","00.00.0000","00/00/0000","00-00-0000","0000-00-00","0000/00/00","0000.00.00","00.00.00","00/00/00","00-00-00","0.00.0000","0/00/0000","0-00-0000"},0)))),NOT(OR(AND(BW727&lt;&gt;"",SUBSTITUTE(BW727,"0","")=""),AND(LEN(BW727)&gt;=4,BW727=REPT(LEFT(BW727),LEN(BW727))),ISNUMBER(MATCH(BW727,{"123","1234","12345","123456","1234567","12345678","0123","01234","012345","98765","987654","54321"},0)),ISNUMBER(MATCH(BX727,{"x","xx","xxx","xxxx","xxxxx","abc","abcd","nil","na","nan","test","tbc","tba","tbd","dummy","sample","example","eg","zz","zzz","none","null","xyz","qwe","asd","id","ref"},0)),AND(LEN(BW727)=8,BX727="",OR(LEFT(BW727,3)="202",ISNUMBER(MATCH(RIGHT(BW727,4),{"2025","2026","2027"},0)))))),OR(AND((LEN(BT727)-LEN(SUBSTITUTE(BT727,"a","")))&gt;=1,(LEN(BN727)-LEN(SUBSTITUTE(BN727,"0","")))&gt;=2,SUMPRODUCT(--ISNUMBER(SEARCH({"a0","a-0","a_0","a/0","a.0","a#0","0a","0-a","0_a","0/a"},BN727)))&gt;0),AND((LEN(BN727)-LEN(SUBSTITUTE(BN727,"a","")))=0,(LEN(BN727)-LEN(SUBSTITUTE(BN727,"0","")))&gt;=5)))),1,0),0)</f>
        <v>0</v>
      </c>
      <c r="CA7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727,"revision",""),"version",""),"jan",""),"feb",""),"mar",""),"apr",""),"may",""),"jun",""),"jul",""),"aug",""),"sep",""),"oct",""),"nov",""),"dec",""),"utc",""),"gmt",""),"myt",""),"bst",""),"rev",""),"ver",""),"b","a"),"c","a"),"d","a"),"e","a"),"f","a"),"g","a"),"h","a"),"i","a"),"j","a"),"k","a"),"l","a"),"m","a"),"n","a"),"o","a"),"p","a"),"q","a"),"r","a"),"s","a"),"t","a"),"u","a"),"v","a"),"w","a"),"x","a"),"y","a"),"z","a")</f>
        <v/>
      </c>
      <c r="CB72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727&amp;""),"a",""),"b",""),"c",""),"d",""),"e",""),"f",""),"g",""),"h",""),"i",""),"j",""),"k",""),"l",""),"m",""),"n",""),"o",""),"p",""),"q",""),"r",""),"s",""),"t",""),"u",""),"v",""),"w",""),"x",""),"y",""),"z",""),"-",""),"_",""),"/",""),".",""),"#",""),"\\",""),":","")," ",""),"(",""),")","")</f>
        <v/>
      </c>
      <c r="CC727" s="0" t="str">
        <f aca="false">" "&amp;TRIM(SUBSTITUTE(SUBSTITUTE(SUBSTITUTE(SUBSTITUTE(SUBSTITUTE(SUBSTITUTE(SUBSTITUTE(SUBSTITUTE(SUBSTITUTE(SUBSTITUTE(SUBSTITUTE(SUBSTITUTE(SUBSTITUTE(SUBSTITUTE(SUBSTITUTE(SUBSTITUTE(SUBSTITUTE(SUBSTITUTE(SUBSTITUTE(SUBSTITUTE(SUBSTITUTE(SUBSTITUTE(SUBSTITUTE(SUBSTITUTE(LOWER(T727&amp;""),CHAR(10)," "),CHAR(13)," "),CHAR(9)," "),CHAR(160)," "),"."," "),","," "),"-"," "),"/"," "),"("," "),")"," "),":"," "),";"," "),"_"," "),"–"," "),"?"," "),"!"," "),"*"," "),"["," "),"]"," "),"'"," "),"#"," "),"+"," "),"&amp;"," "),"\"," "))&amp;" "</f>
        <v>  </v>
      </c>
      <c r="CD727" s="0" t="str">
        <f aca="false">" "&amp;TRIM(SUBSTITUTE(SUBSTITUTE(SUBSTITUTE(SUBSTITUTE(SUBSTITUTE(SUBSTITUTE(SUBSTITUTE(SUBSTITUTE(SUBSTITUTE(SUBSTITUTE(SUBSTITUTE(SUBSTITUTE(SUBSTITUTE(SUBSTITUTE(SUBSTITUTE(SUBSTITUTE(SUBSTITUTE(SUBSTITUTE(SUBSTITUTE(SUBSTITUTE(SUBSTITUTE(SUBSTITUTE(SUBSTITUTE(SUBSTITUTE(LOWER(AE727&amp;""),CHAR(10)," "),CHAR(13)," "),CHAR(9)," "),CHAR(160)," "),"."," "),","," "),"-"," "),"/"," "),"("," "),")"," "),":"," "),";"," "),"_"," "),"–"," "),"?"," "),"!"," "),"*"," "),"["," "),"]"," "),"'"," "),"#"," "),"+"," "),"&amp;"," "),"\"," "))&amp;" "</f>
        <v>  </v>
      </c>
      <c r="CE727" s="68" t="n">
        <f aca="false">IFERROR(IF(AND(LEN(AU727)&gt;0,LEN(AU727)=LEN(AX727),OR(TRIM(MID(SUBSTITUTE(TRIM(CC727)," ",REPT(" ",60)),1,60))="",ISNUMBER(SEARCH(" "&amp;TRIM(MID(SUBSTITUTE(TRIM(CC727)," ",REPT(" ",60)),1,60))&amp;" ",CD727))),OR(TRIM(MID(SUBSTITUTE(TRIM(CC727)," ",REPT(" ",60)),61,60))="",ISNUMBER(SEARCH(" "&amp;TRIM(MID(SUBSTITUTE(TRIM(CC727)," ",REPT(" ",60)),61,60))&amp;" ",CD727))),OR(TRIM(MID(SUBSTITUTE(TRIM(CC727)," ",REPT(" ",60)),121,60))="",ISNUMBER(SEARCH(" "&amp;TRIM(MID(SUBSTITUTE(TRIM(CC727)," ",REPT(" ",60)),121,60))&amp;" ",CD727)))),1,0),0)</f>
        <v>0</v>
      </c>
      <c r="CG727" s="68" t="n">
        <f aca="false">IFERROR(LEN(SUBSTITUTE(BF727," ",""))-SUMPRODUCT((LEN(BF727)-LEN(SUBSTITUTE(BF727," "&amp;L_NAFiller&amp;" "," ")))/(LEN(L_NAFiller)+1)*LEN(L_NAFiller)),0)</f>
        <v>0</v>
      </c>
    </row>
    <row r="728" customFormat="false" ht="41.25" hidden="false" customHeight="true" outlineLevel="0" collapsed="false">
      <c r="A728" s="57" t="s">
        <v>1462</v>
      </c>
      <c r="B728" s="57" t="s">
        <v>312</v>
      </c>
      <c r="C728" s="57" t="str">
        <f aca="false">Flights!$F$26</f>
        <v>MH0002</v>
      </c>
      <c r="D728" s="58" t="n">
        <f aca="false">Flights!$D$26</f>
        <v>46325</v>
      </c>
      <c r="E728" s="57" t="str">
        <f aca="false">Flights!$G$26&amp;"-"&amp;Flights!$H$26</f>
        <v>KUL-LHR</v>
      </c>
      <c r="F728" s="57" t="str">
        <f aca="false">Flights!$K$26</f>
        <v>BC</v>
      </c>
      <c r="G728" s="57" t="s">
        <v>420</v>
      </c>
      <c r="H728" s="57" t="s">
        <v>378</v>
      </c>
      <c r="I728" s="57" t="s">
        <v>499</v>
      </c>
      <c r="J728" s="57" t="s">
        <v>523</v>
      </c>
      <c r="K728" s="67" t="s">
        <v>501</v>
      </c>
      <c r="L728" s="67" t="s">
        <v>748</v>
      </c>
      <c r="M728" s="67" t="s">
        <v>451</v>
      </c>
      <c r="N728" s="67" t="s">
        <v>383</v>
      </c>
      <c r="O728" s="67" t="s">
        <v>503</v>
      </c>
      <c r="P728" s="57" t="s">
        <v>187</v>
      </c>
      <c r="Q728" s="59" t="n">
        <f aca="false">ROUND((Flights!$AE$26)*1440,0)/1440</f>
        <v>46325.1388888889</v>
      </c>
      <c r="R728" s="59" t="n">
        <f aca="false">Q728+(IF(AND(INDEX(TZ_DSTS,MATCH(P728,TZ_STN,0))&lt;&gt;"",Q728&gt;=INDEX(TZ_DSTS,MATCH(P728,TZ_STN,0)),Q728&lt;INDEX(TZ_DSTE,MATCH(P728,TZ_STN,0))),INDEX(TZ_DST,MATCH(P728,TZ_STN,0)),INDEX(TZ_STD,MATCH(P728,TZ_STN,0))))/24</f>
        <v>46325.4722222222</v>
      </c>
      <c r="S728" s="60"/>
      <c r="T728" s="60"/>
      <c r="U728" s="60"/>
      <c r="V728" s="60"/>
      <c r="W728" s="61"/>
      <c r="X728" s="60"/>
      <c r="Y728" s="60"/>
      <c r="Z728" s="60"/>
      <c r="AA728" s="60"/>
      <c r="AB728" s="60"/>
      <c r="AC728" s="60"/>
      <c r="AD728" s="66"/>
      <c r="AE728" s="60"/>
      <c r="AF728" s="61" t="str">
        <f aca="false">IF(AND(ISNUMBER(X728),ISNUMBER(Y728)),Y728-X728,"")</f>
        <v/>
      </c>
      <c r="AG728" s="62" t="str">
        <f aca="false">IF(ISNUMBER(AD728),AD728-(IF(AND(INDEX(TZ_DSTS,MATCH(P728,TZ_STN,0))&lt;&gt;"",(AD728-INDEX(TZ_STD,MATCH(P728,TZ_STN,0))/24)&gt;=INDEX(TZ_DSTS,MATCH(P728,TZ_STN,0)),(AD728-INDEX(TZ_STD,MATCH(P728,TZ_STN,0))/24)&lt;INDEX(TZ_DSTE,MATCH(P728,TZ_STN,0))),INDEX(TZ_DST,MATCH(P728,TZ_STN,0)),INDEX(TZ_STD,MATCH(P728,TZ_STN,0))))/24,"")</f>
        <v/>
      </c>
      <c r="AH728" s="65" t="str">
        <f aca="false">IFERROR(IF(N728="N/A – rule",IF(OR(TRIM(U728)="",TRIM(U728)="N/A",TRIM(U728)="Not started"),"N/A – RULE","INVALID – this check does not apply to this aircraft: clear the status (or correct the fleet on Flights)"),IF(TRIM(U728)="N/A",IF(AT728=0,"INVALID – N/A not permitted for this check",IF(AND(TRIM(AB728)&lt;&gt;"",TRIM(AB728)&lt;&gt;"Closed"),"INVALID – corrective action still open",IF(AND(NOT(OR(LEN(AZ728)&lt;15,ISNUMBER(MATCH(AZ728,L_Placeholder,0)))),BK728=0,CG728&gt;=8,NOT(OR(LEN(AU728)&lt;2,ISNUMBER(MATCH(AU728,L_Placeholder,0)))),BR728&gt;=3,NOT(OR(LEN(AX728)&lt;2,ISNUMBER(MATCH(AX728,L_Placeholder,0)))),BS728&gt;=3,TRIM(AE728)&lt;&gt;TRIM(T728),AX728&lt;&gt;AU728,CE728=0),"N/A – JUSTIFIED","INVALID – N/A needs a real, settled reason (not 'not applicable' / 'as above' / TBC), a named PIC and a different named verifier"))),IF(OR(TRIM(U728)="Pass",TRIM(U728)="Pass after CA"),IF(NOT(ISNUMBER(AD728)),"INVALID – completion time missing",IF(OR(OR(LEN(AU728)&lt;2,ISNUMBER(MATCH(AU728,L_Placeholder,0))),BR728&lt;3),"INVALID – PIC missing or not a named person (a role such as QA / CSM is not a name)",IF(OR(LEN(AV728)&lt;2,ISNUMBER(MATCH(AV728,L_Placeholder,0))),"INVALID – result / assessment missing",IF(OR(OR(LEN(AW728)&lt;3,ISNUMBER(MATCH(AW728,L_Placeholder,0))),SUMPRODUCT(--ISNUMBER(SEARCH(" "&amp;L_EvidencePhrase&amp;" ",BD728)))&gt;0,BI728=1),"INVALID – evidence missing, placeholder or not yet on file",IF(ISNA(MATCH(TRIM(S728),L_EvidenceType,0)),"INVALID – choose the evidence type from the list (column S)",IF(BL728=0,"INVALID – evidence ID must be the record's own ID only (e.g. SF-2210, IMG_2231, 1045521); a link / file name needs type 'Link / file path'",IF(OR(OR(LEN(AX728)&lt;2,ISNUMBER(MATCH(AX728,L_Placeholder,0))),BS728&lt;3),"INVALID – verifier missing or not a named person (a role such as QA / CSM is not a name)",IF(OR(AX728=AU728,CE728=1,AND(LEN(AU728)&gt;=4,ISNUMBER(SEARCH(AU728,AX728))),AND(LEN(AX728)&gt;=4,ISNUMBER(SEARCH(AX728,AU728)))),"INVALID – verifier must be a different, named person (not the PIC or a role)",IF(BH728=1,"INVALID – result not yet available (awaiting / TBC)",IF(BG728=1,"INVALID – result describes a problem: record Fail, then Pass after CA (or reword if it is not a problem)",IF(BV728=1,"INVALID – wording says not on board: an on-board confirmation needs the item loaded",IF(AND(AQ728=1,OR(OR(LEN(AY728)&lt;3,ISNUMBER(MATCH(AY728,L_Placeholder,0))),BJ728=1,BQ728=0)),"INVALID – batch ID missing, placeholder or not an ID (e.g. PASB-261008-BC-017)",IF(AND(AR728=1,OR(NOT(ISNUMBER(X728)),NOT(ISNUMBER(Y728)))),"INVALID – expected/actual qty missing",IF(AND(AR728=1,OR(X728&lt;=0,Y728&lt;0)),"INVALID – expected qty must be above 0 and actual not negative",IF(BB728&lt;&gt;"",BB728,IF(AND(AS728=1,Documents!$J$26&lt;&gt;"ON FILE"),"INVALID – GLD not on file (Documents sheet)",IF(AND(AS728=2,Documents!$O$26&lt;&gt;"ON FILE"),"INVALID – menu checklist not on file (Documents sheet)",IF(AND(AS728=3,NOT(ISNUMBER(Flights!$AX$26))),"INVALID – enter carrying flight KUL departure (Flights AX)",IF(AND(AS728=3,OR(Flights!$AZ$26&gt;Flights!$AA$26,Flights!$AX$26&lt;Flights!$AA$26-3)),"INVALID – carrying flight (Flights AX) cannot arrive before this leg's STD, or is over 3 days early",IF(AG728&gt;AsOfUTC,"INVALID – completion time is in the future",IF(AND(ISNUMBER(BY728),AG728&lt;BY728),IF(H728="Physical uplift","INVALID – before uplift window (cannot confirm loading)","INVALID – before valid window"),IF(AG728&gt;Flights!$AA$26,"INVALID – completed after departure (cannot establish readiness)",IF(AND(H728="Preparation",AG728&gt;=IF(ISNUMBER(Flights!$BA$26),MIN(Flights!$BA$26,Flights!$AA$26),Flights!$AA$26)),"INVALID – completed after loading / departure (cannot establish readiness)",IF(AND(H728="Physical uplift",AG728&gt;Q728),"INVALID – recorded after the loading flight departed",IF(AG728&gt;Q728,"COMPLETE – LATE","COMPLETE"))))))))))))))))))))))))),IF(TRIM(U728)="Fail","FAIL – DISCREPANCY",IF(AND(TRIM(U728)&lt;&gt;"",TRIM(U728)&lt;&gt;"Not started",TRIM(U728)&lt;&gt;"In progress"),"INVALID – unrecognised status (use the list)",IF(AsOfUTC&gt;Q728,"OVERDUE",IF(N728="Clarification required","OPEN – CLARIFICATION","OPEN"))))))),"INVALID – error value in an input cell")</f>
        <v>OPEN</v>
      </c>
      <c r="AI728" s="61" t="n">
        <f aca="false">IF(OR(AH728="N/A – RULE",AH728="N/A – JUSTIFIED"),0,1)</f>
        <v>1</v>
      </c>
      <c r="AJ728" s="61" t="n">
        <f aca="false">IF(LEFT(AH728,8)="COMPLETE",1,0)</f>
        <v>0</v>
      </c>
      <c r="AK728" s="61" t="n">
        <f aca="false">IF(AND(AI728=1,AJ728=0,AsOfUTC&gt;Q728),1,0)</f>
        <v>0</v>
      </c>
      <c r="AL728" s="61" t="n">
        <f aca="false">IFERROR(IF(AND(AI728=1,OR(TRIM(U728)="Fail",AND(TRIM(AB728)&lt;&gt;"",TRIM(AB728)&lt;&gt;"Closed"),AND(ISNUMBER(AF728),AF728&lt;&gt;0,TRIM(U728)&lt;&gt;"Pass after CA"))),1,0),1)</f>
        <v>0</v>
      </c>
      <c r="AM728" s="61" t="n">
        <f aca="false">IF(LEFT(AH728,7)="INVALID",1,0)</f>
        <v>0</v>
      </c>
      <c r="AN728" s="61" t="n">
        <f aca="false">IF(AND(N728="Clarification required",AI728=1,AJ728=0),1,0)</f>
        <v>0</v>
      </c>
      <c r="AO728" s="61" t="str">
        <f aca="false">IF(AK728=1,SUM(AK$5:AK728),"")</f>
        <v/>
      </c>
      <c r="AP728" s="61" t="str">
        <f aca="false">IF(AL728=1,SUM(AL$5:AL728),"")</f>
        <v/>
      </c>
      <c r="AQ728" s="61" t="n">
        <v>0</v>
      </c>
      <c r="AR728" s="61" t="n">
        <v>0</v>
      </c>
      <c r="AS728" s="61" t="n">
        <v>0</v>
      </c>
      <c r="AT728" s="61" t="n">
        <v>0</v>
      </c>
      <c r="AU728" s="61" t="str">
        <f aca="false">SUBSTITUTE(SUBSTITUTE(SUBSTITUTE(SUBSTITUTE(SUBSTITUTE(SUBSTITUTE(SUBSTITUTE(SUBSTITUTE(SUBSTITUTE(SUBSTITUTE(SUBSTITUTE(SUBSTITUTE(SUBSTITUTE(SUBSTITUTE(SUBSTITUTE(SUBSTITUTE(LOWER(T728&amp;""),CHAR(10),""),CHAR(13),""),CHAR(9),""),CHAR(160),"")," ",""),".",""),"-",""),"/",""),"?",""),"_",""),",",""),"[",""),"]",""),"(",""),")",""),"*","")</f>
        <v/>
      </c>
      <c r="AV728" s="61" t="str">
        <f aca="false">SUBSTITUTE(SUBSTITUTE(SUBSTITUTE(SUBSTITUTE(SUBSTITUTE(SUBSTITUTE(SUBSTITUTE(SUBSTITUTE(SUBSTITUTE(SUBSTITUTE(SUBSTITUTE(SUBSTITUTE(SUBSTITUTE(SUBSTITUTE(SUBSTITUTE(SUBSTITUTE(LOWER(V728&amp;""),CHAR(10),""),CHAR(13),""),CHAR(9),""),CHAR(160),"")," ",""),".",""),"-",""),"/",""),"?",""),"_",""),",",""),"[",""),"]",""),"(",""),")",""),"*","")</f>
        <v/>
      </c>
      <c r="AW728" s="61" t="str">
        <f aca="false">SUBSTITUTE(SUBSTITUTE(SUBSTITUTE(SUBSTITUTE(SUBSTITUTE(SUBSTITUTE(SUBSTITUTE(SUBSTITUTE(SUBSTITUTE(SUBSTITUTE(SUBSTITUTE(SUBSTITUTE(SUBSTITUTE(SUBSTITUTE(SUBSTITUTE(SUBSTITUTE(LOWER(Z728&amp;""),CHAR(10),""),CHAR(13),""),CHAR(9),""),CHAR(160),"")," ",""),".",""),"-",""),"/",""),"?",""),"_",""),",",""),"[",""),"]",""),"(",""),")",""),"*","")</f>
        <v/>
      </c>
      <c r="AX728" s="61" t="str">
        <f aca="false">SUBSTITUTE(SUBSTITUTE(SUBSTITUTE(SUBSTITUTE(SUBSTITUTE(SUBSTITUTE(SUBSTITUTE(SUBSTITUTE(SUBSTITUTE(SUBSTITUTE(SUBSTITUTE(SUBSTITUTE(SUBSTITUTE(SUBSTITUTE(SUBSTITUTE(SUBSTITUTE(LOWER(AE728&amp;""),CHAR(10),""),CHAR(13),""),CHAR(9),""),CHAR(160),"")," ",""),".",""),"-",""),"/",""),"?",""),"_",""),",",""),"[",""),"]",""),"(",""),")",""),"*","")</f>
        <v/>
      </c>
      <c r="AY728" s="61" t="str">
        <f aca="false">SUBSTITUTE(SUBSTITUTE(SUBSTITUTE(SUBSTITUTE(SUBSTITUTE(SUBSTITUTE(SUBSTITUTE(SUBSTITUTE(SUBSTITUTE(SUBSTITUTE(SUBSTITUTE(SUBSTITUTE(SUBSTITUTE(SUBSTITUTE(SUBSTITUTE(SUBSTITUTE(LOWER(W728&amp;""),CHAR(10),""),CHAR(13),""),CHAR(9),""),CHAR(160),"")," ",""),".",""),"-",""),"/",""),"?",""),"_",""),",",""),"[",""),"]",""),"(",""),")",""),"*","")</f>
        <v/>
      </c>
      <c r="AZ728" s="61" t="str">
        <f aca="false">SUBSTITUTE(SUBSTITUTE(SUBSTITUTE(SUBSTITUTE(SUBSTITUTE(SUBSTITUTE(SUBSTITUTE(SUBSTITUTE(SUBSTITUTE(SUBSTITUTE(SUBSTITUTE(SUBSTITUTE(SUBSTITUTE(SUBSTITUTE(SUBSTITUTE(SUBSTITUTE(LOWER(AC728&amp;""),CHAR(10),""),CHAR(13),""),CHAR(9),""),CHAR(160),"")," ",""),".",""),"-",""),"/",""),"?",""),"_",""),",",""),"[",""),"]",""),"(",""),")",""),"*","")</f>
        <v/>
      </c>
      <c r="BA728" s="61" t="str">
        <f aca="false">SUBSTITUTE(SUBSTITUTE(SUBSTITUTE(SUBSTITUTE(SUBSTITUTE(SUBSTITUTE(SUBSTITUTE(SUBSTITUTE(SUBSTITUTE(SUBSTITUTE(SUBSTITUTE(SUBSTITUTE(SUBSTITUTE(SUBSTITUTE(SUBSTITUTE(SUBSTITUTE(LOWER(AA728&amp;""),CHAR(10),""),CHAR(13),""),CHAR(9),""),CHAR(160),"")," ",""),".",""),"-",""),"/",""),"?",""),"_",""),",",""),"[",""),"]",""),"(",""),")",""),"*","")</f>
        <v/>
      </c>
      <c r="BB728" s="61" t="str">
        <f aca="false">IF(AND(TRIM(U728)="Pass",ISNUMBER(AF728)),IF(AF728&lt;&gt;0,"INVALID – qty variance: use Fail or Pass after CA",""),"")&amp;IF(AND(TRIM(U728)="Pass after CA",ISNUMBER(AF728)),IF(AF728&lt;&gt;0,"INVALID – after the corrective action the actual qty must equal expected (update Actual)",""),"")&amp;IF(AND(TRIM(U728)="Pass",TRIM(AB728)&lt;&gt;"",TRIM(AB728)&lt;&gt;"Closed"),"INVALID – corrective action not closed: use Fail, then Pass after CA","")&amp;IF(AND(LEN(BA728)&gt;=2,ISNA(MATCH(LEFT(BA728,255),L_Placeholder,0)),TRIM(AB728)=""),"INVALID – CA status missing for the recorded corrective action","")&amp;IF(AND(TRIM(U728)="Pass after CA",OR(OR(LEN(BA728)&lt;5,ISNUMBER(MATCH(BA728,L_Placeholder,0))),TRIM(AB728)&lt;&gt;"Closed")),"INVALID – corrective action not recorded/closed","")</f>
        <v/>
      </c>
      <c r="BC728" s="61" t="str">
        <f aca="false">" "&amp;TRIM(SUBSTITUTE(SUBSTITUTE(SUBSTITUTE(SUBSTITUTE(SUBSTITUTE(SUBSTITUTE(SUBSTITUTE(SUBSTITUTE(SUBSTITUTE(SUBSTITUTE(SUBSTITUTE(SUBSTITUTE(SUBSTITUTE(SUBSTITUTE(SUBSTITUTE(SUBSTITUTE(SUBSTITUTE(SUBSTITUTE(SUBSTITUTE(SUBSTITUTE(SUBSTITUTE(SUBSTITUTE(SUBSTITUTE(SUBSTITUTE(LOWER(V728&amp;""),CHAR(10)," "),CHAR(13)," "),CHAR(9)," "),CHAR(160)," "),"."," "),","," "),"-"," "),"/"," "),"("," "),")"," "),":"," "),";"," "),"_"," "),"–"," "),"?"," "),"!"," "),"*"," "),"["," "),"]"," "),"'"," "),"#"," "),"+"," "),"&amp;"," "),"\"," "))&amp;" "</f>
        <v>  </v>
      </c>
      <c r="BD728" s="61" t="str">
        <f aca="false">" "&amp;TRIM(SUBSTITUTE(SUBSTITUTE(SUBSTITUTE(SUBSTITUTE(SUBSTITUTE(SUBSTITUTE(SUBSTITUTE(SUBSTITUTE(SUBSTITUTE(SUBSTITUTE(SUBSTITUTE(SUBSTITUTE(SUBSTITUTE(SUBSTITUTE(SUBSTITUTE(SUBSTITUTE(SUBSTITUTE(SUBSTITUTE(SUBSTITUTE(SUBSTITUTE(SUBSTITUTE(SUBSTITUTE(SUBSTITUTE(SUBSTITUTE(LOWER(Z728&amp;""),CHAR(10)," "),CHAR(13)," "),CHAR(9)," "),CHAR(160)," "),"."," "),","," "),"-"," "),"/"," "),"("," "),")"," "),":"," "),";"," "),"_"," "),"–"," "),"?"," "),"!"," "),"*"," "),"["," "),"]"," "),"'"," "),"#"," "),"+"," "),"&amp;"," "),"\"," "))&amp;" "</f>
        <v>  </v>
      </c>
      <c r="BE728" s="61" t="str">
        <f aca="false">" "&amp;TRIM(SUBSTITUTE(SUBSTITUTE(SUBSTITUTE(SUBSTITUTE(SUBSTITUTE(SUBSTITUTE(SUBSTITUTE(SUBSTITUTE(SUBSTITUTE(SUBSTITUTE(SUBSTITUTE(SUBSTITUTE(SUBSTITUTE(SUBSTITUTE(SUBSTITUTE(SUBSTITUTE(SUBSTITUTE(SUBSTITUTE(SUBSTITUTE(SUBSTITUTE(SUBSTITUTE(SUBSTITUTE(SUBSTITUTE(SUBSTITUTE(LOWER(W728&amp;""),CHAR(10)," "),CHAR(13)," "),CHAR(9)," "),CHAR(160)," "),"."," "),","," "),"-"," "),"/"," "),"("," "),")"," "),":"," "),";"," "),"_"," "),"–"," "),"?"," "),"!"," "),"*"," "),"["," "),"]"," "),"'"," "),"#"," "),"+"," "),"&amp;"," "),"\"," "))&amp;" "</f>
        <v>  </v>
      </c>
      <c r="BF728" s="61" t="str">
        <f aca="false">" "&amp;TRIM(SUBSTITUTE(SUBSTITUTE(SUBSTITUTE(SUBSTITUTE(SUBSTITUTE(SUBSTITUTE(SUBSTITUTE(SUBSTITUTE(SUBSTITUTE(SUBSTITUTE(SUBSTITUTE(SUBSTITUTE(SUBSTITUTE(SUBSTITUTE(SUBSTITUTE(SUBSTITUTE(SUBSTITUTE(SUBSTITUTE(SUBSTITUTE(SUBSTITUTE(SUBSTITUTE(SUBSTITUTE(SUBSTITUTE(SUBSTITUTE(LOWER(AC728&amp;""),CHAR(10)," "),CHAR(13)," "),CHAR(9)," "),CHAR(160)," "),"."," "),","," "),"-"," "),"/"," "),"("," "),")"," "),":"," "),";"," "),"_"," "),"–"," "),"?"," "),"!"," "),"*"," "),"["," "),"]"," "),"'"," "),"#"," "),"+"," "),"&amp;"," "),"\"," "))&amp;" "</f>
        <v>  </v>
      </c>
      <c r="BG728" s="61" t="n">
        <f aca="false">IFERROR(IF(AND(TRIM(U728)="Pass",SUMPRODUCT((LEN(BC728)-LEN(SUBSTITUTE(BC728," "&amp;L_ResultBad&amp;" "," ")))/(LEN(L_ResultBad)+1))&gt;SUMPRODUCT((LEN(BC728)-LEN(SUBSTITUTE(BC728," "&amp;L_NegPhrase&amp;" "," ")))/(LEN(L_NegPhrase)+1))),1,0),0)</f>
        <v>0</v>
      </c>
      <c r="BH728" s="61" t="n">
        <f aca="false">IFERROR(IF(SUMPRODUCT((LEN(BC728)-LEN(SUBSTITUTE(BC728," "&amp;L_Pending&amp;" "," ")))/(LEN(L_Pending)+1))&gt;SUMPRODUCT((LEN(BC728)-LEN(SUBSTITUTE(BC728," "&amp;L_PendNeg&amp;" "," ")))/(LEN(L_PendNeg)+1))+SUMPRODUCT((LEN(BC728)-LEN(SUBSTITUTE(BC728," "&amp;L_PendPrep&amp;" "," ")))/(LEN(L_PendPrep)+1)),1,0),1)</f>
        <v>0</v>
      </c>
      <c r="BI728" s="61" t="n">
        <f aca="false">IFERROR(IF(SUMPRODUCT((LEN(BD728)-LEN(SUBSTITUTE(BD728," "&amp;L_PendStrict&amp;" "," ")))/(LEN(L_PendStrict)+1))&gt;SUMPRODUCT((LEN(BD728)-LEN(SUBSTITUTE(BD728," "&amp;L_PendNeg&amp;" "," ")))/(LEN(L_PendNeg)+1)),1,0),1)</f>
        <v>0</v>
      </c>
      <c r="BJ728" s="61" t="n">
        <f aca="false">IFERROR(IF(SUMPRODUCT((LEN(BE728)-LEN(SUBSTITUTE(BE728," "&amp;L_Pending&amp;" "," ")))/(LEN(L_Pending)+1))&gt;SUMPRODUCT((LEN(BE728)-LEN(SUBSTITUTE(BE728," "&amp;L_PendNeg&amp;" "," ")))/(LEN(L_PendNeg)+1))+SUMPRODUCT((LEN(BE728)-LEN(SUBSTITUTE(BE728," "&amp;L_PendPrep&amp;" "," ")))/(LEN(L_PendPrep)+1)),1,0),1)</f>
        <v>0</v>
      </c>
      <c r="BK728" s="61" t="n">
        <f aca="false">IFERROR(IF(SUMPRODUCT((LEN(BF728)-LEN(SUBSTITUTE(BF728," "&amp;L_PendStrict&amp;" "," ")))/(LEN(L_PendStrict)+1))&gt;SUMPRODUCT((LEN(BF728)-LEN(SUBSTITUTE(BF728," "&amp;L_PendNeg&amp;" "," ")))/(LEN(L_PendNeg)+1)),1,0),1)</f>
        <v>0</v>
      </c>
      <c r="BL728" s="61" t="n">
        <f aca="false">IF(ISNA(MATCH(TRIM(S728),L_EvidenceType,0)),0,BZ728)</f>
        <v>0</v>
      </c>
      <c r="BM728" s="61" t="str">
        <f aca="false">SUBSTITUTE(SUBSTITUTE(SUBSTITUTE(SUBSTITUTE(SUBSTITUTE(SUBSTITUTE(SUBSTITUTE(SUBSTITUTE(SUBSTITUTE(LOWER(Z728&amp;""),"1","0"),"2","0"),"3","0"),"4","0"),"5","0"),"6","0"),"7","0"),"8","0"),"9","0")</f>
        <v/>
      </c>
      <c r="BN728" s="61" t="str">
        <f aca="false">SUBSTITUTE(SUBSTITUTE(SUBSTITUTE(SUBSTITUTE(SUBSTITUTE(SUBSTITUTE(SUBSTITUTE(SUBSTITUTE(SUBSTITUTE(SUBSTITUTE(SUBSTITUTE(SUBSTITUTE(SUBSTITUTE(SUBSTITUTE(SUBSTITUTE(SUBSTITUTE(SUBSTITUTE(SUBSTITUTE(SUBSTITUTE(SUBSTITUTE(SUBSTITUTE(SUBSTITUTE(SUBSTITUTE(SUBSTITUTE(SUBSTITUTE(BM728,"b","a"),"c","a"),"d","a"),"e","a"),"f","a"),"g","a"),"h","a"),"i","a"),"j","a"),"k","a"),"l","a"),"m","a"),"n","a"),"o","a"),"p","a"),"q","a"),"r","a"),"s","a"),"t","a"),"u","a"),"v","a"),"w","a"),"x","a"),"y","a"),"z","a")</f>
        <v/>
      </c>
      <c r="BO728" s="61" t="str">
        <f aca="false">SUBSTITUTE(SUBSTITUTE(SUBSTITUTE(SUBSTITUTE(SUBSTITUTE(SUBSTITUTE(SUBSTITUTE(SUBSTITUTE(SUBSTITUTE(LOWER(W728&amp;""),"1","0"),"2","0"),"3","0"),"4","0"),"5","0"),"6","0"),"7","0"),"8","0"),"9","0")</f>
        <v/>
      </c>
      <c r="BP728" s="61" t="str">
        <f aca="false">SUBSTITUTE(SUBSTITUTE(SUBSTITUTE(SUBSTITUTE(SUBSTITUTE(SUBSTITUTE(SUBSTITUTE(SUBSTITUTE(SUBSTITUTE(SUBSTITUTE(SUBSTITUTE(SUBSTITUTE(SUBSTITUTE(SUBSTITUTE(SUBSTITUTE(SUBSTITUTE(SUBSTITUTE(SUBSTITUTE(SUBSTITUTE(SUBSTITUTE(SUBSTITUTE(SUBSTITUTE(SUBSTITUTE(SUBSTITUTE(SUBSTITUTE(BO728,"b","a"),"c","a"),"d","a"),"e","a"),"f","a"),"g","a"),"h","a"),"i","a"),"j","a"),"k","a"),"l","a"),"m","a"),"n","a"),"o","a"),"p","a"),"q","a"),"r","a"),"s","a"),"t","a"),"u","a"),"v","a"),"w","a"),"x","a"),"y","a"),"z","a")</f>
        <v/>
      </c>
      <c r="BQ728" s="61" t="n">
        <f aca="false">IFERROR(IF(AND(ISERROR(SEARCH(" mh"," "&amp;LOWER(W728))),ISNA(MATCH(LEFT(TRIM(BP728),255),{"0000a","000a","00a","0000aa","000aa","00aa","0aa","0000aaa","000aaa","00a00","0a00","0000-0000","00:00","a00","a0","00.00.0000","00/00/0000","00-00-0000","0000-00-00","0000/00/00","0000.00.00","00.00.00","00/00/00","00-00-00","0.00.0000","0/00/0000","0-00-0000"},0)),ISNA(MATCH(LEFT(TRIM(CA728),255),{"0000a","000a","00a","0000aa","000aa","00aa","0aa","0000aaa","000aaa","00a00","0a00","0000-0000","00:00","a00","a0","00.00.0000","00/00/0000","00-00-0000","0000-00-00","0000/00/00","0000.00.00","00.00.00","00/00/00","00-00-00","0.00.0000","0/00/0000","0-00-0000"},0)),LEN(CB728)&gt;=3,NOT(OR(SUBSTITUTE(CB728,"0","")="",AND(LEN(CB728)&gt;=4,CB728=REPT(LEFT(CB728),LEN(CB728))),ISNUMBER(MATCH(CB728,{"123","1234","12345","123456","1234567","12345678","0123","01234","012345","98765","987654","54321"},0)),AND(LEN(CB728)=8,LEFT(CB728,3)="202"))),OR(AND((LEN(CA728)-LEN(SUBSTITUTE(CA728,"a","")))&gt;=1,SUMPRODUCT(--ISNUMBER(SEARCH({"a0","a-0","a_0","a/0","a.0","a#0","0a","0-a","0_a","0/a"},BP728)))&gt;0),ISNUMBER(SEARCH("000000",BP728)))),1,0),0)</f>
        <v>0</v>
      </c>
      <c r="BR728" s="61" t="n">
        <f aca="false">IFERROR(LEN(SUBSTITUTE(CC728," ",""))-SUMPRODUCT((LEN(CC728)-LEN(SUBSTITUTE(CC728," "&amp;L_Role&amp;" "," ")))/(LEN(L_Role)+1)*LEN(L_Role)),0)</f>
        <v>0</v>
      </c>
      <c r="BS728" s="61" t="n">
        <f aca="false">IFERROR(LEN(SUBSTITUTE(CD728," ",""))-SUMPRODUCT((LEN(CD728)-LEN(SUBSTITUTE(CD728," "&amp;L_Role&amp;" "," ")))/(LEN(L_Role)+1)*LEN(L_Role)),0)</f>
        <v>0</v>
      </c>
      <c r="BT7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728,"revision",""),"version",""),"jan",""),"feb",""),"mar",""),"apr",""),"may",""),"jun",""),"jul",""),"aug",""),"sep",""),"oct",""),"nov",""),"dec",""),"utc",""),"gmt",""),"myt",""),"bst",""),"rev",""),"ver",""),"b","a"),"c","a"),"d","a"),"e","a"),"f","a"),"g","a"),"h","a"),"i","a"),"j","a"),"k","a"),"l","a"),"m","a"),"n","a"),"o","a"),"p","a"),"q","a"),"r","a"),"s","a"),"t","a"),"u","a"),"v","a"),"w","a"),"x","a"),"y","a"),"z","a")</f>
        <v/>
      </c>
      <c r="BU728" s="61" t="str">
        <f aca="false">SUBSTITUTE(SUBSTITUTE(SUBSTITUTE(SUBSTITUTE(SUBSTITUTE(SUBSTITUTE(SUBSTITUTE(SUBSTITUTE(SUBSTITUTE(SUBSTITUTE(LEFT(BM728,FIND("0",BM728&amp;"0")-1),"-",""),"_",""),"/",""),".",""),"#",""),"\\",""),":","")," ",""),"(",""),")","")</f>
        <v/>
      </c>
      <c r="BV728" s="61" t="n">
        <f aca="false">0</f>
        <v>0</v>
      </c>
      <c r="BW72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728&amp;""),"a",""),"b",""),"c",""),"d",""),"e",""),"f",""),"g",""),"h",""),"i",""),"j",""),"k",""),"l",""),"m",""),"n",""),"o",""),"p",""),"q",""),"r",""),"s",""),"t",""),"u",""),"v",""),"w",""),"x",""),"y",""),"z",""),"-",""),"_",""),"/",""),".",""),"#",""),"\\",""),":","")," ",""),"(",""),")","")</f>
        <v/>
      </c>
      <c r="BX728" s="61" t="str">
        <f aca="false">SUBSTITUTE(SUBSTITUTE(SUBSTITUTE(SUBSTITUTE(SUBSTITUTE(SUBSTITUTE(SUBSTITUTE(SUBSTITUTE(SUBSTITUTE(SUBSTITUTE(SUBSTITUTE(BM728,"0",""),"-",""),"_",""),"/",""),".",""),"#",""),"\\",""),":","")," ",""),"(",""),")","")</f>
        <v/>
      </c>
      <c r="BY728" s="62" t="n">
        <f aca="false">Q728-T12EarlyH/24</f>
        <v>46324.6388888889</v>
      </c>
      <c r="BZ728" s="61" t="n">
        <f aca="false">IFERROR(IF(IF(TRIM(S728)="Link / file path",AND(LEN(TRIM(Z728))&gt;=5,SUMPRODUCT(--ISNUMBER(SEARCH({"http","www.","\\",":\",".pdf",".jpg",".jpeg",".png",".heic",".xls",".doc",".msg",".eml",".ppt",".txt",".zip"},Z728)))&gt;0),AND(ISERROR(FIND(" ",TRIM(Z728))),NOT(OR(SUMPRODUCT(--ISNUMBER(FIND({",",";","&amp;","+"},Z728)))&gt;0,SUMPRODUCT(--ISNUMBER(SEARCH({"0/aa","0\\aa"},BN728)))&gt;0)),NOT(SUMPRODUCT(--ISNUMBER(SEARCH({"http","www.","\\",":\",".pdf",".jpg",".jpeg",".png",".heic",".xls",".doc",".msg",".eml",".ppt",".txt",".zip"},Z728)))&gt;0),NOT(LOWER(TRIM(Z728))=LOWER(Flights!$F$26)),ISNA(MATCH(BU728,{"mh","rev","revision","ver","version","v","r","a","b","seat","tray","row","gate","bay","stand","page","pg","item","line","no","cart","galley","flight","flt","table","box","bag","oven","etd","eta","std","sta","atd","ata","qty","pax","x","time","tel","ph","mob","day","wk","week","utc","gmt","myt","lt"},0)),NOT(OR(ISNUMBER(MATCH(LEFT(BN728,255),{"0000a","000a","00a","0000aa","000aa","00aa","0aa","0000aaa","000aaa","00a00","0a00","0000-0000","00:00","a00","a0","00.00.0000","00/00/0000","00-00-0000","0000-00-00","0000/00/00","0000.00.00","00.00.00","00/00/00","00-00-00","0.00.0000","0/00/0000","0-00-0000"},0)),ISNUMBER(MATCH(LEFT(BT728,255),{"0000a","000a","00a","0000aa","000aa","00aa","0aa","0000aaa","000aaa","00a00","0a00","0000-0000","00:00","a00","a0","00.00.0000","00/00/0000","00-00-0000","0000-00-00","0000/00/00","0000.00.00","00.00.00","00/00/00","00-00-00","0.00.0000","0/00/0000","0-00-0000"},0)))),NOT(OR(AND(BW728&lt;&gt;"",SUBSTITUTE(BW728,"0","")=""),AND(LEN(BW728)&gt;=4,BW728=REPT(LEFT(BW728),LEN(BW728))),ISNUMBER(MATCH(BW728,{"123","1234","12345","123456","1234567","12345678","0123","01234","012345","98765","987654","54321"},0)),ISNUMBER(MATCH(BX728,{"x","xx","xxx","xxxx","xxxxx","abc","abcd","nil","na","nan","test","tbc","tba","tbd","dummy","sample","example","eg","zz","zzz","none","null","xyz","qwe","asd","id","ref"},0)),AND(LEN(BW728)=8,BX728="",OR(LEFT(BW728,3)="202",ISNUMBER(MATCH(RIGHT(BW728,4),{"2025","2026","2027"},0)))))),OR(AND((LEN(BT728)-LEN(SUBSTITUTE(BT728,"a","")))&gt;=1,(LEN(BN728)-LEN(SUBSTITUTE(BN728,"0","")))&gt;=2,SUMPRODUCT(--ISNUMBER(SEARCH({"a0","a-0","a_0","a/0","a.0","a#0","0a","0-a","0_a","0/a"},BN728)))&gt;0),AND((LEN(BN728)-LEN(SUBSTITUTE(BN728,"a","")))=0,(LEN(BN728)-LEN(SUBSTITUTE(BN728,"0","")))&gt;=5)))),1,0),0)</f>
        <v>0</v>
      </c>
      <c r="CA7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728,"revision",""),"version",""),"jan",""),"feb",""),"mar",""),"apr",""),"may",""),"jun",""),"jul",""),"aug",""),"sep",""),"oct",""),"nov",""),"dec",""),"utc",""),"gmt",""),"myt",""),"bst",""),"rev",""),"ver",""),"b","a"),"c","a"),"d","a"),"e","a"),"f","a"),"g","a"),"h","a"),"i","a"),"j","a"),"k","a"),"l","a"),"m","a"),"n","a"),"o","a"),"p","a"),"q","a"),"r","a"),"s","a"),"t","a"),"u","a"),"v","a"),"w","a"),"x","a"),"y","a"),"z","a")</f>
        <v/>
      </c>
      <c r="CB72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728&amp;""),"a",""),"b",""),"c",""),"d",""),"e",""),"f",""),"g",""),"h",""),"i",""),"j",""),"k",""),"l",""),"m",""),"n",""),"o",""),"p",""),"q",""),"r",""),"s",""),"t",""),"u",""),"v",""),"w",""),"x",""),"y",""),"z",""),"-",""),"_",""),"/",""),".",""),"#",""),"\\",""),":","")," ",""),"(",""),")","")</f>
        <v/>
      </c>
      <c r="CC728" s="0" t="str">
        <f aca="false">" "&amp;TRIM(SUBSTITUTE(SUBSTITUTE(SUBSTITUTE(SUBSTITUTE(SUBSTITUTE(SUBSTITUTE(SUBSTITUTE(SUBSTITUTE(SUBSTITUTE(SUBSTITUTE(SUBSTITUTE(SUBSTITUTE(SUBSTITUTE(SUBSTITUTE(SUBSTITUTE(SUBSTITUTE(SUBSTITUTE(SUBSTITUTE(SUBSTITUTE(SUBSTITUTE(SUBSTITUTE(SUBSTITUTE(SUBSTITUTE(SUBSTITUTE(LOWER(T728&amp;""),CHAR(10)," "),CHAR(13)," "),CHAR(9)," "),CHAR(160)," "),"."," "),","," "),"-"," "),"/"," "),"("," "),")"," "),":"," "),";"," "),"_"," "),"–"," "),"?"," "),"!"," "),"*"," "),"["," "),"]"," "),"'"," "),"#"," "),"+"," "),"&amp;"," "),"\"," "))&amp;" "</f>
        <v>  </v>
      </c>
      <c r="CD728" s="0" t="str">
        <f aca="false">" "&amp;TRIM(SUBSTITUTE(SUBSTITUTE(SUBSTITUTE(SUBSTITUTE(SUBSTITUTE(SUBSTITUTE(SUBSTITUTE(SUBSTITUTE(SUBSTITUTE(SUBSTITUTE(SUBSTITUTE(SUBSTITUTE(SUBSTITUTE(SUBSTITUTE(SUBSTITUTE(SUBSTITUTE(SUBSTITUTE(SUBSTITUTE(SUBSTITUTE(SUBSTITUTE(SUBSTITUTE(SUBSTITUTE(SUBSTITUTE(SUBSTITUTE(LOWER(AE728&amp;""),CHAR(10)," "),CHAR(13)," "),CHAR(9)," "),CHAR(160)," "),"."," "),","," "),"-"," "),"/"," "),"("," "),")"," "),":"," "),";"," "),"_"," "),"–"," "),"?"," "),"!"," "),"*"," "),"["," "),"]"," "),"'"," "),"#"," "),"+"," "),"&amp;"," "),"\"," "))&amp;" "</f>
        <v>  </v>
      </c>
      <c r="CE728" s="68" t="n">
        <f aca="false">IFERROR(IF(AND(LEN(AU728)&gt;0,LEN(AU728)=LEN(AX728),OR(TRIM(MID(SUBSTITUTE(TRIM(CC728)," ",REPT(" ",60)),1,60))="",ISNUMBER(SEARCH(" "&amp;TRIM(MID(SUBSTITUTE(TRIM(CC728)," ",REPT(" ",60)),1,60))&amp;" ",CD728))),OR(TRIM(MID(SUBSTITUTE(TRIM(CC728)," ",REPT(" ",60)),61,60))="",ISNUMBER(SEARCH(" "&amp;TRIM(MID(SUBSTITUTE(TRIM(CC728)," ",REPT(" ",60)),61,60))&amp;" ",CD728))),OR(TRIM(MID(SUBSTITUTE(TRIM(CC728)," ",REPT(" ",60)),121,60))="",ISNUMBER(SEARCH(" "&amp;TRIM(MID(SUBSTITUTE(TRIM(CC728)," ",REPT(" ",60)),121,60))&amp;" ",CD728)))),1,0),0)</f>
        <v>0</v>
      </c>
      <c r="CG728" s="68" t="n">
        <f aca="false">IFERROR(LEN(SUBSTITUTE(BF728," ",""))-SUMPRODUCT((LEN(BF728)-LEN(SUBSTITUTE(BF728," "&amp;L_NAFiller&amp;" "," ")))/(LEN(L_NAFiller)+1)*LEN(L_NAFiller)),0)</f>
        <v>0</v>
      </c>
    </row>
    <row r="729" customFormat="false" ht="41.25" hidden="false" customHeight="true" outlineLevel="0" collapsed="false">
      <c r="A729" s="57" t="s">
        <v>1463</v>
      </c>
      <c r="B729" s="57" t="s">
        <v>312</v>
      </c>
      <c r="C729" s="57" t="str">
        <f aca="false">Flights!$F$26</f>
        <v>MH0002</v>
      </c>
      <c r="D729" s="58" t="n">
        <f aca="false">Flights!$D$26</f>
        <v>46325</v>
      </c>
      <c r="E729" s="57" t="str">
        <f aca="false">Flights!$G$26&amp;"-"&amp;Flights!$H$26</f>
        <v>KUL-LHR</v>
      </c>
      <c r="F729" s="57" t="str">
        <f aca="false">Flights!$K$26</f>
        <v>BC</v>
      </c>
      <c r="G729" s="57" t="s">
        <v>420</v>
      </c>
      <c r="H729" s="57" t="s">
        <v>378</v>
      </c>
      <c r="I729" s="57" t="s">
        <v>447</v>
      </c>
      <c r="J729" s="57" t="s">
        <v>526</v>
      </c>
      <c r="K729" s="67" t="s">
        <v>449</v>
      </c>
      <c r="L729" s="67" t="s">
        <v>750</v>
      </c>
      <c r="M729" s="67" t="s">
        <v>451</v>
      </c>
      <c r="N729" s="67" t="s">
        <v>383</v>
      </c>
      <c r="O729" s="67" t="s">
        <v>503</v>
      </c>
      <c r="P729" s="57" t="s">
        <v>187</v>
      </c>
      <c r="Q729" s="59" t="n">
        <f aca="false">ROUND((Flights!$AE$26)*1440,0)/1440</f>
        <v>46325.1388888889</v>
      </c>
      <c r="R729" s="59" t="n">
        <f aca="false">Q729+(IF(AND(INDEX(TZ_DSTS,MATCH(P729,TZ_STN,0))&lt;&gt;"",Q729&gt;=INDEX(TZ_DSTS,MATCH(P729,TZ_STN,0)),Q729&lt;INDEX(TZ_DSTE,MATCH(P729,TZ_STN,0))),INDEX(TZ_DST,MATCH(P729,TZ_STN,0)),INDEX(TZ_STD,MATCH(P729,TZ_STN,0))))/24</f>
        <v>46325.4722222222</v>
      </c>
      <c r="S729" s="60"/>
      <c r="T729" s="60"/>
      <c r="U729" s="60"/>
      <c r="V729" s="60"/>
      <c r="W729" s="61"/>
      <c r="X729" s="60"/>
      <c r="Y729" s="60"/>
      <c r="Z729" s="60"/>
      <c r="AA729" s="60"/>
      <c r="AB729" s="60"/>
      <c r="AC729" s="60"/>
      <c r="AD729" s="66"/>
      <c r="AE729" s="60"/>
      <c r="AF729" s="61" t="str">
        <f aca="false">IF(AND(ISNUMBER(X729),ISNUMBER(Y729)),Y729-X729,"")</f>
        <v/>
      </c>
      <c r="AG729" s="62" t="str">
        <f aca="false">IF(ISNUMBER(AD729),AD729-(IF(AND(INDEX(TZ_DSTS,MATCH(P729,TZ_STN,0))&lt;&gt;"",(AD729-INDEX(TZ_STD,MATCH(P729,TZ_STN,0))/24)&gt;=INDEX(TZ_DSTS,MATCH(P729,TZ_STN,0)),(AD729-INDEX(TZ_STD,MATCH(P729,TZ_STN,0))/24)&lt;INDEX(TZ_DSTE,MATCH(P729,TZ_STN,0))),INDEX(TZ_DST,MATCH(P729,TZ_STN,0)),INDEX(TZ_STD,MATCH(P729,TZ_STN,0))))/24,"")</f>
        <v/>
      </c>
      <c r="AH729" s="65" t="str">
        <f aca="false">IFERROR(IF(N729="N/A – rule",IF(OR(TRIM(U729)="",TRIM(U729)="N/A",TRIM(U729)="Not started"),"N/A – RULE","INVALID – this check does not apply to this aircraft: clear the status (or correct the fleet on Flights)"),IF(TRIM(U729)="N/A",IF(AT729=0,"INVALID – N/A not permitted for this check",IF(AND(TRIM(AB729)&lt;&gt;"",TRIM(AB729)&lt;&gt;"Closed"),"INVALID – corrective action still open",IF(AND(NOT(OR(LEN(AZ729)&lt;15,ISNUMBER(MATCH(AZ729,L_Placeholder,0)))),BK729=0,CG729&gt;=8,NOT(OR(LEN(AU729)&lt;2,ISNUMBER(MATCH(AU729,L_Placeholder,0)))),BR729&gt;=3,NOT(OR(LEN(AX729)&lt;2,ISNUMBER(MATCH(AX729,L_Placeholder,0)))),BS729&gt;=3,TRIM(AE729)&lt;&gt;TRIM(T729),AX729&lt;&gt;AU729,CE729=0),"N/A – JUSTIFIED","INVALID – N/A needs a real, settled reason (not 'not applicable' / 'as above' / TBC), a named PIC and a different named verifier"))),IF(OR(TRIM(U729)="Pass",TRIM(U729)="Pass after CA"),IF(NOT(ISNUMBER(AD729)),"INVALID – completion time missing",IF(OR(OR(LEN(AU729)&lt;2,ISNUMBER(MATCH(AU729,L_Placeholder,0))),BR729&lt;3),"INVALID – PIC missing or not a named person (a role such as QA / CSM is not a name)",IF(OR(LEN(AV729)&lt;2,ISNUMBER(MATCH(AV729,L_Placeholder,0))),"INVALID – result / assessment missing",IF(OR(OR(LEN(AW729)&lt;3,ISNUMBER(MATCH(AW729,L_Placeholder,0))),SUMPRODUCT(--ISNUMBER(SEARCH(" "&amp;L_EvidencePhrase&amp;" ",BD729)))&gt;0,BI729=1),"INVALID – evidence missing, placeholder or not yet on file",IF(ISNA(MATCH(TRIM(S729),L_EvidenceType,0)),"INVALID – choose the evidence type from the list (column S)",IF(BL729=0,"INVALID – evidence ID must be the record's own ID only (e.g. SF-2210, IMG_2231, 1045521); a link / file name needs type 'Link / file path'",IF(OR(OR(LEN(AX729)&lt;2,ISNUMBER(MATCH(AX729,L_Placeholder,0))),BS729&lt;3),"INVALID – verifier missing or not a named person (a role such as QA / CSM is not a name)",IF(OR(AX729=AU729,CE729=1,AND(LEN(AU729)&gt;=4,ISNUMBER(SEARCH(AU729,AX729))),AND(LEN(AX729)&gt;=4,ISNUMBER(SEARCH(AX729,AU729)))),"INVALID – verifier must be a different, named person (not the PIC or a role)",IF(BH729=1,"INVALID – result not yet available (awaiting / TBC)",IF(BG729=1,"INVALID – result describes a problem: record Fail, then Pass after CA (or reword if it is not a problem)",IF(BV729=1,"INVALID – wording says not on board: an on-board confirmation needs the item loaded",IF(AND(AQ729=1,OR(OR(LEN(AY729)&lt;3,ISNUMBER(MATCH(AY729,L_Placeholder,0))),BJ729=1,BQ729=0)),"INVALID – batch ID missing, placeholder or not an ID (e.g. PASB-261008-BC-017)",IF(AND(AR729=1,OR(NOT(ISNUMBER(X729)),NOT(ISNUMBER(Y729)))),"INVALID – expected/actual qty missing",IF(AND(AR729=1,OR(X729&lt;=0,Y729&lt;0)),"INVALID – expected qty must be above 0 and actual not negative",IF(BB729&lt;&gt;"",BB729,IF(AND(AS729=1,Documents!$J$26&lt;&gt;"ON FILE"),"INVALID – GLD not on file (Documents sheet)",IF(AND(AS729=2,Documents!$O$26&lt;&gt;"ON FILE"),"INVALID – menu checklist not on file (Documents sheet)",IF(AND(AS729=3,NOT(ISNUMBER(Flights!$AX$26))),"INVALID – enter carrying flight KUL departure (Flights AX)",IF(AND(AS729=3,OR(Flights!$AZ$26&gt;Flights!$AA$26,Flights!$AX$26&lt;Flights!$AA$26-3)),"INVALID – carrying flight (Flights AX) cannot arrive before this leg's STD, or is over 3 days early",IF(AG729&gt;AsOfUTC,"INVALID – completion time is in the future",IF(AND(ISNUMBER(BY729),AG729&lt;BY729),IF(H729="Physical uplift","INVALID – before uplift window (cannot confirm loading)","INVALID – before valid window"),IF(AG729&gt;Flights!$AA$26,"INVALID – completed after departure (cannot establish readiness)",IF(AND(H729="Preparation",AG729&gt;=IF(ISNUMBER(Flights!$BA$26),MIN(Flights!$BA$26,Flights!$AA$26),Flights!$AA$26)),"INVALID – completed after loading / departure (cannot establish readiness)",IF(AND(H729="Physical uplift",AG729&gt;Q729),"INVALID – recorded after the loading flight departed",IF(AG729&gt;Q729,"COMPLETE – LATE","COMPLETE"))))))))))))))))))))))))),IF(TRIM(U729)="Fail","FAIL – DISCREPANCY",IF(AND(TRIM(U729)&lt;&gt;"",TRIM(U729)&lt;&gt;"Not started",TRIM(U729)&lt;&gt;"In progress"),"INVALID – unrecognised status (use the list)",IF(AsOfUTC&gt;Q729,"OVERDUE",IF(N729="Clarification required","OPEN – CLARIFICATION","OPEN"))))))),"INVALID – error value in an input cell")</f>
        <v>OPEN</v>
      </c>
      <c r="AI729" s="61" t="n">
        <f aca="false">IF(OR(AH729="N/A – RULE",AH729="N/A – JUSTIFIED"),0,1)</f>
        <v>1</v>
      </c>
      <c r="AJ729" s="61" t="n">
        <f aca="false">IF(LEFT(AH729,8)="COMPLETE",1,0)</f>
        <v>0</v>
      </c>
      <c r="AK729" s="61" t="n">
        <f aca="false">IF(AND(AI729=1,AJ729=0,AsOfUTC&gt;Q729),1,0)</f>
        <v>0</v>
      </c>
      <c r="AL729" s="61" t="n">
        <f aca="false">IFERROR(IF(AND(AI729=1,OR(TRIM(U729)="Fail",AND(TRIM(AB729)&lt;&gt;"",TRIM(AB729)&lt;&gt;"Closed"),AND(ISNUMBER(AF729),AF729&lt;&gt;0,TRIM(U729)&lt;&gt;"Pass after CA"))),1,0),1)</f>
        <v>0</v>
      </c>
      <c r="AM729" s="61" t="n">
        <f aca="false">IF(LEFT(AH729,7)="INVALID",1,0)</f>
        <v>0</v>
      </c>
      <c r="AN729" s="61" t="n">
        <f aca="false">IF(AND(N729="Clarification required",AI729=1,AJ729=0),1,0)</f>
        <v>0</v>
      </c>
      <c r="AO729" s="61" t="str">
        <f aca="false">IF(AK729=1,SUM(AK$5:AK729),"")</f>
        <v/>
      </c>
      <c r="AP729" s="61" t="str">
        <f aca="false">IF(AL729=1,SUM(AL$5:AL729),"")</f>
        <v/>
      </c>
      <c r="AQ729" s="61" t="n">
        <v>0</v>
      </c>
      <c r="AR729" s="61" t="n">
        <v>0</v>
      </c>
      <c r="AS729" s="61" t="n">
        <v>0</v>
      </c>
      <c r="AT729" s="61" t="n">
        <v>0</v>
      </c>
      <c r="AU729" s="61" t="str">
        <f aca="false">SUBSTITUTE(SUBSTITUTE(SUBSTITUTE(SUBSTITUTE(SUBSTITUTE(SUBSTITUTE(SUBSTITUTE(SUBSTITUTE(SUBSTITUTE(SUBSTITUTE(SUBSTITUTE(SUBSTITUTE(SUBSTITUTE(SUBSTITUTE(SUBSTITUTE(SUBSTITUTE(LOWER(T729&amp;""),CHAR(10),""),CHAR(13),""),CHAR(9),""),CHAR(160),"")," ",""),".",""),"-",""),"/",""),"?",""),"_",""),",",""),"[",""),"]",""),"(",""),")",""),"*","")</f>
        <v/>
      </c>
      <c r="AV729" s="61" t="str">
        <f aca="false">SUBSTITUTE(SUBSTITUTE(SUBSTITUTE(SUBSTITUTE(SUBSTITUTE(SUBSTITUTE(SUBSTITUTE(SUBSTITUTE(SUBSTITUTE(SUBSTITUTE(SUBSTITUTE(SUBSTITUTE(SUBSTITUTE(SUBSTITUTE(SUBSTITUTE(SUBSTITUTE(LOWER(V729&amp;""),CHAR(10),""),CHAR(13),""),CHAR(9),""),CHAR(160),"")," ",""),".",""),"-",""),"/",""),"?",""),"_",""),",",""),"[",""),"]",""),"(",""),")",""),"*","")</f>
        <v/>
      </c>
      <c r="AW729" s="61" t="str">
        <f aca="false">SUBSTITUTE(SUBSTITUTE(SUBSTITUTE(SUBSTITUTE(SUBSTITUTE(SUBSTITUTE(SUBSTITUTE(SUBSTITUTE(SUBSTITUTE(SUBSTITUTE(SUBSTITUTE(SUBSTITUTE(SUBSTITUTE(SUBSTITUTE(SUBSTITUTE(SUBSTITUTE(LOWER(Z729&amp;""),CHAR(10),""),CHAR(13),""),CHAR(9),""),CHAR(160),"")," ",""),".",""),"-",""),"/",""),"?",""),"_",""),",",""),"[",""),"]",""),"(",""),")",""),"*","")</f>
        <v/>
      </c>
      <c r="AX729" s="61" t="str">
        <f aca="false">SUBSTITUTE(SUBSTITUTE(SUBSTITUTE(SUBSTITUTE(SUBSTITUTE(SUBSTITUTE(SUBSTITUTE(SUBSTITUTE(SUBSTITUTE(SUBSTITUTE(SUBSTITUTE(SUBSTITUTE(SUBSTITUTE(SUBSTITUTE(SUBSTITUTE(SUBSTITUTE(LOWER(AE729&amp;""),CHAR(10),""),CHAR(13),""),CHAR(9),""),CHAR(160),"")," ",""),".",""),"-",""),"/",""),"?",""),"_",""),",",""),"[",""),"]",""),"(",""),")",""),"*","")</f>
        <v/>
      </c>
      <c r="AY729" s="61" t="str">
        <f aca="false">SUBSTITUTE(SUBSTITUTE(SUBSTITUTE(SUBSTITUTE(SUBSTITUTE(SUBSTITUTE(SUBSTITUTE(SUBSTITUTE(SUBSTITUTE(SUBSTITUTE(SUBSTITUTE(SUBSTITUTE(SUBSTITUTE(SUBSTITUTE(SUBSTITUTE(SUBSTITUTE(LOWER(W729&amp;""),CHAR(10),""),CHAR(13),""),CHAR(9),""),CHAR(160),"")," ",""),".",""),"-",""),"/",""),"?",""),"_",""),",",""),"[",""),"]",""),"(",""),")",""),"*","")</f>
        <v/>
      </c>
      <c r="AZ729" s="61" t="str">
        <f aca="false">SUBSTITUTE(SUBSTITUTE(SUBSTITUTE(SUBSTITUTE(SUBSTITUTE(SUBSTITUTE(SUBSTITUTE(SUBSTITUTE(SUBSTITUTE(SUBSTITUTE(SUBSTITUTE(SUBSTITUTE(SUBSTITUTE(SUBSTITUTE(SUBSTITUTE(SUBSTITUTE(LOWER(AC729&amp;""),CHAR(10),""),CHAR(13),""),CHAR(9),""),CHAR(160),"")," ",""),".",""),"-",""),"/",""),"?",""),"_",""),",",""),"[",""),"]",""),"(",""),")",""),"*","")</f>
        <v/>
      </c>
      <c r="BA729" s="61" t="str">
        <f aca="false">SUBSTITUTE(SUBSTITUTE(SUBSTITUTE(SUBSTITUTE(SUBSTITUTE(SUBSTITUTE(SUBSTITUTE(SUBSTITUTE(SUBSTITUTE(SUBSTITUTE(SUBSTITUTE(SUBSTITUTE(SUBSTITUTE(SUBSTITUTE(SUBSTITUTE(SUBSTITUTE(LOWER(AA729&amp;""),CHAR(10),""),CHAR(13),""),CHAR(9),""),CHAR(160),"")," ",""),".",""),"-",""),"/",""),"?",""),"_",""),",",""),"[",""),"]",""),"(",""),")",""),"*","")</f>
        <v/>
      </c>
      <c r="BB729" s="61" t="str">
        <f aca="false">IF(AND(TRIM(U729)="Pass",ISNUMBER(AF729)),IF(AF729&lt;&gt;0,"INVALID – qty variance: use Fail or Pass after CA",""),"")&amp;IF(AND(TRIM(U729)="Pass after CA",ISNUMBER(AF729)),IF(AF729&lt;&gt;0,"INVALID – after the corrective action the actual qty must equal expected (update Actual)",""),"")&amp;IF(AND(TRIM(U729)="Pass",TRIM(AB729)&lt;&gt;"",TRIM(AB729)&lt;&gt;"Closed"),"INVALID – corrective action not closed: use Fail, then Pass after CA","")&amp;IF(AND(LEN(BA729)&gt;=2,ISNA(MATCH(LEFT(BA729,255),L_Placeholder,0)),TRIM(AB729)=""),"INVALID – CA status missing for the recorded corrective action","")&amp;IF(AND(TRIM(U729)="Pass after CA",OR(OR(LEN(BA729)&lt;5,ISNUMBER(MATCH(BA729,L_Placeholder,0))),TRIM(AB729)&lt;&gt;"Closed")),"INVALID – corrective action not recorded/closed","")</f>
        <v/>
      </c>
      <c r="BC729" s="61" t="str">
        <f aca="false">" "&amp;TRIM(SUBSTITUTE(SUBSTITUTE(SUBSTITUTE(SUBSTITUTE(SUBSTITUTE(SUBSTITUTE(SUBSTITUTE(SUBSTITUTE(SUBSTITUTE(SUBSTITUTE(SUBSTITUTE(SUBSTITUTE(SUBSTITUTE(SUBSTITUTE(SUBSTITUTE(SUBSTITUTE(SUBSTITUTE(SUBSTITUTE(SUBSTITUTE(SUBSTITUTE(SUBSTITUTE(SUBSTITUTE(SUBSTITUTE(SUBSTITUTE(LOWER(V729&amp;""),CHAR(10)," "),CHAR(13)," "),CHAR(9)," "),CHAR(160)," "),"."," "),","," "),"-"," "),"/"," "),"("," "),")"," "),":"," "),";"," "),"_"," "),"–"," "),"?"," "),"!"," "),"*"," "),"["," "),"]"," "),"'"," "),"#"," "),"+"," "),"&amp;"," "),"\"," "))&amp;" "</f>
        <v>  </v>
      </c>
      <c r="BD729" s="61" t="str">
        <f aca="false">" "&amp;TRIM(SUBSTITUTE(SUBSTITUTE(SUBSTITUTE(SUBSTITUTE(SUBSTITUTE(SUBSTITUTE(SUBSTITUTE(SUBSTITUTE(SUBSTITUTE(SUBSTITUTE(SUBSTITUTE(SUBSTITUTE(SUBSTITUTE(SUBSTITUTE(SUBSTITUTE(SUBSTITUTE(SUBSTITUTE(SUBSTITUTE(SUBSTITUTE(SUBSTITUTE(SUBSTITUTE(SUBSTITUTE(SUBSTITUTE(SUBSTITUTE(LOWER(Z729&amp;""),CHAR(10)," "),CHAR(13)," "),CHAR(9)," "),CHAR(160)," "),"."," "),","," "),"-"," "),"/"," "),"("," "),")"," "),":"," "),";"," "),"_"," "),"–"," "),"?"," "),"!"," "),"*"," "),"["," "),"]"," "),"'"," "),"#"," "),"+"," "),"&amp;"," "),"\"," "))&amp;" "</f>
        <v>  </v>
      </c>
      <c r="BE729" s="61" t="str">
        <f aca="false">" "&amp;TRIM(SUBSTITUTE(SUBSTITUTE(SUBSTITUTE(SUBSTITUTE(SUBSTITUTE(SUBSTITUTE(SUBSTITUTE(SUBSTITUTE(SUBSTITUTE(SUBSTITUTE(SUBSTITUTE(SUBSTITUTE(SUBSTITUTE(SUBSTITUTE(SUBSTITUTE(SUBSTITUTE(SUBSTITUTE(SUBSTITUTE(SUBSTITUTE(SUBSTITUTE(SUBSTITUTE(SUBSTITUTE(SUBSTITUTE(SUBSTITUTE(LOWER(W729&amp;""),CHAR(10)," "),CHAR(13)," "),CHAR(9)," "),CHAR(160)," "),"."," "),","," "),"-"," "),"/"," "),"("," "),")"," "),":"," "),";"," "),"_"," "),"–"," "),"?"," "),"!"," "),"*"," "),"["," "),"]"," "),"'"," "),"#"," "),"+"," "),"&amp;"," "),"\"," "))&amp;" "</f>
        <v>  </v>
      </c>
      <c r="BF729" s="61" t="str">
        <f aca="false">" "&amp;TRIM(SUBSTITUTE(SUBSTITUTE(SUBSTITUTE(SUBSTITUTE(SUBSTITUTE(SUBSTITUTE(SUBSTITUTE(SUBSTITUTE(SUBSTITUTE(SUBSTITUTE(SUBSTITUTE(SUBSTITUTE(SUBSTITUTE(SUBSTITUTE(SUBSTITUTE(SUBSTITUTE(SUBSTITUTE(SUBSTITUTE(SUBSTITUTE(SUBSTITUTE(SUBSTITUTE(SUBSTITUTE(SUBSTITUTE(SUBSTITUTE(LOWER(AC729&amp;""),CHAR(10)," "),CHAR(13)," "),CHAR(9)," "),CHAR(160)," "),"."," "),","," "),"-"," "),"/"," "),"("," "),")"," "),":"," "),";"," "),"_"," "),"–"," "),"?"," "),"!"," "),"*"," "),"["," "),"]"," "),"'"," "),"#"," "),"+"," "),"&amp;"," "),"\"," "))&amp;" "</f>
        <v>  </v>
      </c>
      <c r="BG729" s="61" t="n">
        <f aca="false">IFERROR(IF(AND(TRIM(U729)="Pass",SUMPRODUCT((LEN(BC729)-LEN(SUBSTITUTE(BC729," "&amp;L_ResultBad&amp;" "," ")))/(LEN(L_ResultBad)+1))&gt;SUMPRODUCT((LEN(BC729)-LEN(SUBSTITUTE(BC729," "&amp;L_NegPhrase&amp;" "," ")))/(LEN(L_NegPhrase)+1))),1,0),0)</f>
        <v>0</v>
      </c>
      <c r="BH729" s="61" t="n">
        <f aca="false">IFERROR(IF(SUMPRODUCT((LEN(BC729)-LEN(SUBSTITUTE(BC729," "&amp;L_Pending&amp;" "," ")))/(LEN(L_Pending)+1))&gt;SUMPRODUCT((LEN(BC729)-LEN(SUBSTITUTE(BC729," "&amp;L_PendNeg&amp;" "," ")))/(LEN(L_PendNeg)+1))+SUMPRODUCT((LEN(BC729)-LEN(SUBSTITUTE(BC729," "&amp;L_PendPrep&amp;" "," ")))/(LEN(L_PendPrep)+1)),1,0),1)</f>
        <v>0</v>
      </c>
      <c r="BI729" s="61" t="n">
        <f aca="false">IFERROR(IF(SUMPRODUCT((LEN(BD729)-LEN(SUBSTITUTE(BD729," "&amp;L_PendStrict&amp;" "," ")))/(LEN(L_PendStrict)+1))&gt;SUMPRODUCT((LEN(BD729)-LEN(SUBSTITUTE(BD729," "&amp;L_PendNeg&amp;" "," ")))/(LEN(L_PendNeg)+1)),1,0),1)</f>
        <v>0</v>
      </c>
      <c r="BJ729" s="61" t="n">
        <f aca="false">IFERROR(IF(SUMPRODUCT((LEN(BE729)-LEN(SUBSTITUTE(BE729," "&amp;L_Pending&amp;" "," ")))/(LEN(L_Pending)+1))&gt;SUMPRODUCT((LEN(BE729)-LEN(SUBSTITUTE(BE729," "&amp;L_PendNeg&amp;" "," ")))/(LEN(L_PendNeg)+1))+SUMPRODUCT((LEN(BE729)-LEN(SUBSTITUTE(BE729," "&amp;L_PendPrep&amp;" "," ")))/(LEN(L_PendPrep)+1)),1,0),1)</f>
        <v>0</v>
      </c>
      <c r="BK729" s="61" t="n">
        <f aca="false">IFERROR(IF(SUMPRODUCT((LEN(BF729)-LEN(SUBSTITUTE(BF729," "&amp;L_PendStrict&amp;" "," ")))/(LEN(L_PendStrict)+1))&gt;SUMPRODUCT((LEN(BF729)-LEN(SUBSTITUTE(BF729," "&amp;L_PendNeg&amp;" "," ")))/(LEN(L_PendNeg)+1)),1,0),1)</f>
        <v>0</v>
      </c>
      <c r="BL729" s="61" t="n">
        <f aca="false">IF(ISNA(MATCH(TRIM(S729),L_EvidenceType,0)),0,BZ729)</f>
        <v>0</v>
      </c>
      <c r="BM729" s="61" t="str">
        <f aca="false">SUBSTITUTE(SUBSTITUTE(SUBSTITUTE(SUBSTITUTE(SUBSTITUTE(SUBSTITUTE(SUBSTITUTE(SUBSTITUTE(SUBSTITUTE(LOWER(Z729&amp;""),"1","0"),"2","0"),"3","0"),"4","0"),"5","0"),"6","0"),"7","0"),"8","0"),"9","0")</f>
        <v/>
      </c>
      <c r="BN729" s="61" t="str">
        <f aca="false">SUBSTITUTE(SUBSTITUTE(SUBSTITUTE(SUBSTITUTE(SUBSTITUTE(SUBSTITUTE(SUBSTITUTE(SUBSTITUTE(SUBSTITUTE(SUBSTITUTE(SUBSTITUTE(SUBSTITUTE(SUBSTITUTE(SUBSTITUTE(SUBSTITUTE(SUBSTITUTE(SUBSTITUTE(SUBSTITUTE(SUBSTITUTE(SUBSTITUTE(SUBSTITUTE(SUBSTITUTE(SUBSTITUTE(SUBSTITUTE(SUBSTITUTE(BM729,"b","a"),"c","a"),"d","a"),"e","a"),"f","a"),"g","a"),"h","a"),"i","a"),"j","a"),"k","a"),"l","a"),"m","a"),"n","a"),"o","a"),"p","a"),"q","a"),"r","a"),"s","a"),"t","a"),"u","a"),"v","a"),"w","a"),"x","a"),"y","a"),"z","a")</f>
        <v/>
      </c>
      <c r="BO729" s="61" t="str">
        <f aca="false">SUBSTITUTE(SUBSTITUTE(SUBSTITUTE(SUBSTITUTE(SUBSTITUTE(SUBSTITUTE(SUBSTITUTE(SUBSTITUTE(SUBSTITUTE(LOWER(W729&amp;""),"1","0"),"2","0"),"3","0"),"4","0"),"5","0"),"6","0"),"7","0"),"8","0"),"9","0")</f>
        <v/>
      </c>
      <c r="BP729" s="61" t="str">
        <f aca="false">SUBSTITUTE(SUBSTITUTE(SUBSTITUTE(SUBSTITUTE(SUBSTITUTE(SUBSTITUTE(SUBSTITUTE(SUBSTITUTE(SUBSTITUTE(SUBSTITUTE(SUBSTITUTE(SUBSTITUTE(SUBSTITUTE(SUBSTITUTE(SUBSTITUTE(SUBSTITUTE(SUBSTITUTE(SUBSTITUTE(SUBSTITUTE(SUBSTITUTE(SUBSTITUTE(SUBSTITUTE(SUBSTITUTE(SUBSTITUTE(SUBSTITUTE(BO729,"b","a"),"c","a"),"d","a"),"e","a"),"f","a"),"g","a"),"h","a"),"i","a"),"j","a"),"k","a"),"l","a"),"m","a"),"n","a"),"o","a"),"p","a"),"q","a"),"r","a"),"s","a"),"t","a"),"u","a"),"v","a"),"w","a"),"x","a"),"y","a"),"z","a")</f>
        <v/>
      </c>
      <c r="BQ729" s="61" t="n">
        <f aca="false">IFERROR(IF(AND(ISERROR(SEARCH(" mh"," "&amp;LOWER(W729))),ISNA(MATCH(LEFT(TRIM(BP729),255),{"0000a","000a","00a","0000aa","000aa","00aa","0aa","0000aaa","000aaa","00a00","0a00","0000-0000","00:00","a00","a0","00.00.0000","00/00/0000","00-00-0000","0000-00-00","0000/00/00","0000.00.00","00.00.00","00/00/00","00-00-00","0.00.0000","0/00/0000","0-00-0000"},0)),ISNA(MATCH(LEFT(TRIM(CA729),255),{"0000a","000a","00a","0000aa","000aa","00aa","0aa","0000aaa","000aaa","00a00","0a00","0000-0000","00:00","a00","a0","00.00.0000","00/00/0000","00-00-0000","0000-00-00","0000/00/00","0000.00.00","00.00.00","00/00/00","00-00-00","0.00.0000","0/00/0000","0-00-0000"},0)),LEN(CB729)&gt;=3,NOT(OR(SUBSTITUTE(CB729,"0","")="",AND(LEN(CB729)&gt;=4,CB729=REPT(LEFT(CB729),LEN(CB729))),ISNUMBER(MATCH(CB729,{"123","1234","12345","123456","1234567","12345678","0123","01234","012345","98765","987654","54321"},0)),AND(LEN(CB729)=8,LEFT(CB729,3)="202"))),OR(AND((LEN(CA729)-LEN(SUBSTITUTE(CA729,"a","")))&gt;=1,SUMPRODUCT(--ISNUMBER(SEARCH({"a0","a-0","a_0","a/0","a.0","a#0","0a","0-a","0_a","0/a"},BP729)))&gt;0),ISNUMBER(SEARCH("000000",BP729)))),1,0),0)</f>
        <v>0</v>
      </c>
      <c r="BR729" s="61" t="n">
        <f aca="false">IFERROR(LEN(SUBSTITUTE(CC729," ",""))-SUMPRODUCT((LEN(CC729)-LEN(SUBSTITUTE(CC729," "&amp;L_Role&amp;" "," ")))/(LEN(L_Role)+1)*LEN(L_Role)),0)</f>
        <v>0</v>
      </c>
      <c r="BS729" s="61" t="n">
        <f aca="false">IFERROR(LEN(SUBSTITUTE(CD729," ",""))-SUMPRODUCT((LEN(CD729)-LEN(SUBSTITUTE(CD729," "&amp;L_Role&amp;" "," ")))/(LEN(L_Role)+1)*LEN(L_Role)),0)</f>
        <v>0</v>
      </c>
      <c r="BT7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729,"revision",""),"version",""),"jan",""),"feb",""),"mar",""),"apr",""),"may",""),"jun",""),"jul",""),"aug",""),"sep",""),"oct",""),"nov",""),"dec",""),"utc",""),"gmt",""),"myt",""),"bst",""),"rev",""),"ver",""),"b","a"),"c","a"),"d","a"),"e","a"),"f","a"),"g","a"),"h","a"),"i","a"),"j","a"),"k","a"),"l","a"),"m","a"),"n","a"),"o","a"),"p","a"),"q","a"),"r","a"),"s","a"),"t","a"),"u","a"),"v","a"),"w","a"),"x","a"),"y","a"),"z","a")</f>
        <v/>
      </c>
      <c r="BU729" s="61" t="str">
        <f aca="false">SUBSTITUTE(SUBSTITUTE(SUBSTITUTE(SUBSTITUTE(SUBSTITUTE(SUBSTITUTE(SUBSTITUTE(SUBSTITUTE(SUBSTITUTE(SUBSTITUTE(LEFT(BM729,FIND("0",BM729&amp;"0")-1),"-",""),"_",""),"/",""),".",""),"#",""),"\\",""),":","")," ",""),"(",""),")","")</f>
        <v/>
      </c>
      <c r="BV729" s="61" t="n">
        <f aca="false">0</f>
        <v>0</v>
      </c>
      <c r="BW72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729&amp;""),"a",""),"b",""),"c",""),"d",""),"e",""),"f",""),"g",""),"h",""),"i",""),"j",""),"k",""),"l",""),"m",""),"n",""),"o",""),"p",""),"q",""),"r",""),"s",""),"t",""),"u",""),"v",""),"w",""),"x",""),"y",""),"z",""),"-",""),"_",""),"/",""),".",""),"#",""),"\\",""),":","")," ",""),"(",""),")","")</f>
        <v/>
      </c>
      <c r="BX729" s="61" t="str">
        <f aca="false">SUBSTITUTE(SUBSTITUTE(SUBSTITUTE(SUBSTITUTE(SUBSTITUTE(SUBSTITUTE(SUBSTITUTE(SUBSTITUTE(SUBSTITUTE(SUBSTITUTE(SUBSTITUTE(BM729,"0",""),"-",""),"_",""),"/",""),".",""),"#",""),"\\",""),":","")," ",""),"(",""),")","")</f>
        <v/>
      </c>
      <c r="BY729" s="62" t="n">
        <f aca="false">Q729-T12EarlyH/24</f>
        <v>46324.6388888889</v>
      </c>
      <c r="BZ729" s="61" t="n">
        <f aca="false">IFERROR(IF(IF(TRIM(S729)="Link / file path",AND(LEN(TRIM(Z729))&gt;=5,SUMPRODUCT(--ISNUMBER(SEARCH({"http","www.","\\",":\",".pdf",".jpg",".jpeg",".png",".heic",".xls",".doc",".msg",".eml",".ppt",".txt",".zip"},Z729)))&gt;0),AND(ISERROR(FIND(" ",TRIM(Z729))),NOT(OR(SUMPRODUCT(--ISNUMBER(FIND({",",";","&amp;","+"},Z729)))&gt;0,SUMPRODUCT(--ISNUMBER(SEARCH({"0/aa","0\\aa"},BN729)))&gt;0)),NOT(SUMPRODUCT(--ISNUMBER(SEARCH({"http","www.","\\",":\",".pdf",".jpg",".jpeg",".png",".heic",".xls",".doc",".msg",".eml",".ppt",".txt",".zip"},Z729)))&gt;0),NOT(LOWER(TRIM(Z729))=LOWER(Flights!$F$26)),ISNA(MATCH(BU729,{"mh","rev","revision","ver","version","v","r","a","b","seat","tray","row","gate","bay","stand","page","pg","item","line","no","cart","galley","flight","flt","table","box","bag","oven","etd","eta","std","sta","atd","ata","qty","pax","x","time","tel","ph","mob","day","wk","week","utc","gmt","myt","lt"},0)),NOT(OR(ISNUMBER(MATCH(LEFT(BN729,255),{"0000a","000a","00a","0000aa","000aa","00aa","0aa","0000aaa","000aaa","00a00","0a00","0000-0000","00:00","a00","a0","00.00.0000","00/00/0000","00-00-0000","0000-00-00","0000/00/00","0000.00.00","00.00.00","00/00/00","00-00-00","0.00.0000","0/00/0000","0-00-0000"},0)),ISNUMBER(MATCH(LEFT(BT729,255),{"0000a","000a","00a","0000aa","000aa","00aa","0aa","0000aaa","000aaa","00a00","0a00","0000-0000","00:00","a00","a0","00.00.0000","00/00/0000","00-00-0000","0000-00-00","0000/00/00","0000.00.00","00.00.00","00/00/00","00-00-00","0.00.0000","0/00/0000","0-00-0000"},0)))),NOT(OR(AND(BW729&lt;&gt;"",SUBSTITUTE(BW729,"0","")=""),AND(LEN(BW729)&gt;=4,BW729=REPT(LEFT(BW729),LEN(BW729))),ISNUMBER(MATCH(BW729,{"123","1234","12345","123456","1234567","12345678","0123","01234","012345","98765","987654","54321"},0)),ISNUMBER(MATCH(BX729,{"x","xx","xxx","xxxx","xxxxx","abc","abcd","nil","na","nan","test","tbc","tba","tbd","dummy","sample","example","eg","zz","zzz","none","null","xyz","qwe","asd","id","ref"},0)),AND(LEN(BW729)=8,BX729="",OR(LEFT(BW729,3)="202",ISNUMBER(MATCH(RIGHT(BW729,4),{"2025","2026","2027"},0)))))),OR(AND((LEN(BT729)-LEN(SUBSTITUTE(BT729,"a","")))&gt;=1,(LEN(BN729)-LEN(SUBSTITUTE(BN729,"0","")))&gt;=2,SUMPRODUCT(--ISNUMBER(SEARCH({"a0","a-0","a_0","a/0","a.0","a#0","0a","0-a","0_a","0/a"},BN729)))&gt;0),AND((LEN(BN729)-LEN(SUBSTITUTE(BN729,"a","")))=0,(LEN(BN729)-LEN(SUBSTITUTE(BN729,"0","")))&gt;=5)))),1,0),0)</f>
        <v>0</v>
      </c>
      <c r="CA7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729,"revision",""),"version",""),"jan",""),"feb",""),"mar",""),"apr",""),"may",""),"jun",""),"jul",""),"aug",""),"sep",""),"oct",""),"nov",""),"dec",""),"utc",""),"gmt",""),"myt",""),"bst",""),"rev",""),"ver",""),"b","a"),"c","a"),"d","a"),"e","a"),"f","a"),"g","a"),"h","a"),"i","a"),"j","a"),"k","a"),"l","a"),"m","a"),"n","a"),"o","a"),"p","a"),"q","a"),"r","a"),"s","a"),"t","a"),"u","a"),"v","a"),"w","a"),"x","a"),"y","a"),"z","a")</f>
        <v/>
      </c>
      <c r="CB72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729&amp;""),"a",""),"b",""),"c",""),"d",""),"e",""),"f",""),"g",""),"h",""),"i",""),"j",""),"k",""),"l",""),"m",""),"n",""),"o",""),"p",""),"q",""),"r",""),"s",""),"t",""),"u",""),"v",""),"w",""),"x",""),"y",""),"z",""),"-",""),"_",""),"/",""),".",""),"#",""),"\\",""),":","")," ",""),"(",""),")","")</f>
        <v/>
      </c>
      <c r="CC729" s="0" t="str">
        <f aca="false">" "&amp;TRIM(SUBSTITUTE(SUBSTITUTE(SUBSTITUTE(SUBSTITUTE(SUBSTITUTE(SUBSTITUTE(SUBSTITUTE(SUBSTITUTE(SUBSTITUTE(SUBSTITUTE(SUBSTITUTE(SUBSTITUTE(SUBSTITUTE(SUBSTITUTE(SUBSTITUTE(SUBSTITUTE(SUBSTITUTE(SUBSTITUTE(SUBSTITUTE(SUBSTITUTE(SUBSTITUTE(SUBSTITUTE(SUBSTITUTE(SUBSTITUTE(LOWER(T729&amp;""),CHAR(10)," "),CHAR(13)," "),CHAR(9)," "),CHAR(160)," "),"."," "),","," "),"-"," "),"/"," "),"("," "),")"," "),":"," "),";"," "),"_"," "),"–"," "),"?"," "),"!"," "),"*"," "),"["," "),"]"," "),"'"," "),"#"," "),"+"," "),"&amp;"," "),"\"," "))&amp;" "</f>
        <v>  </v>
      </c>
      <c r="CD729" s="0" t="str">
        <f aca="false">" "&amp;TRIM(SUBSTITUTE(SUBSTITUTE(SUBSTITUTE(SUBSTITUTE(SUBSTITUTE(SUBSTITUTE(SUBSTITUTE(SUBSTITUTE(SUBSTITUTE(SUBSTITUTE(SUBSTITUTE(SUBSTITUTE(SUBSTITUTE(SUBSTITUTE(SUBSTITUTE(SUBSTITUTE(SUBSTITUTE(SUBSTITUTE(SUBSTITUTE(SUBSTITUTE(SUBSTITUTE(SUBSTITUTE(SUBSTITUTE(SUBSTITUTE(LOWER(AE729&amp;""),CHAR(10)," "),CHAR(13)," "),CHAR(9)," "),CHAR(160)," "),"."," "),","," "),"-"," "),"/"," "),"("," "),")"," "),":"," "),";"," "),"_"," "),"–"," "),"?"," "),"!"," "),"*"," "),"["," "),"]"," "),"'"," "),"#"," "),"+"," "),"&amp;"," "),"\"," "))&amp;" "</f>
        <v>  </v>
      </c>
      <c r="CE729" s="68" t="n">
        <f aca="false">IFERROR(IF(AND(LEN(AU729)&gt;0,LEN(AU729)=LEN(AX729),OR(TRIM(MID(SUBSTITUTE(TRIM(CC729)," ",REPT(" ",60)),1,60))="",ISNUMBER(SEARCH(" "&amp;TRIM(MID(SUBSTITUTE(TRIM(CC729)," ",REPT(" ",60)),1,60))&amp;" ",CD729))),OR(TRIM(MID(SUBSTITUTE(TRIM(CC729)," ",REPT(" ",60)),61,60))="",ISNUMBER(SEARCH(" "&amp;TRIM(MID(SUBSTITUTE(TRIM(CC729)," ",REPT(" ",60)),61,60))&amp;" ",CD729))),OR(TRIM(MID(SUBSTITUTE(TRIM(CC729)," ",REPT(" ",60)),121,60))="",ISNUMBER(SEARCH(" "&amp;TRIM(MID(SUBSTITUTE(TRIM(CC729)," ",REPT(" ",60)),121,60))&amp;" ",CD729)))),1,0),0)</f>
        <v>0</v>
      </c>
      <c r="CG729" s="68" t="n">
        <f aca="false">IFERROR(LEN(SUBSTITUTE(BF729," ",""))-SUMPRODUCT((LEN(BF729)-LEN(SUBSTITUTE(BF729," "&amp;L_NAFiller&amp;" "," ")))/(LEN(L_NAFiller)+1)*LEN(L_NAFiller)),0)</f>
        <v>0</v>
      </c>
    </row>
    <row r="730" customFormat="false" ht="41.25" hidden="false" customHeight="true" outlineLevel="0" collapsed="false">
      <c r="A730" s="57" t="s">
        <v>1464</v>
      </c>
      <c r="B730" s="57" t="s">
        <v>312</v>
      </c>
      <c r="C730" s="57" t="str">
        <f aca="false">Flights!$F$26</f>
        <v>MH0002</v>
      </c>
      <c r="D730" s="58" t="n">
        <f aca="false">Flights!$D$26</f>
        <v>46325</v>
      </c>
      <c r="E730" s="57" t="str">
        <f aca="false">Flights!$G$26&amp;"-"&amp;Flights!$H$26</f>
        <v>KUL-LHR</v>
      </c>
      <c r="F730" s="57" t="str">
        <f aca="false">Flights!$K$26</f>
        <v>BC</v>
      </c>
      <c r="G730" s="57" t="s">
        <v>420</v>
      </c>
      <c r="H730" s="57" t="s">
        <v>378</v>
      </c>
      <c r="I730" s="57" t="s">
        <v>447</v>
      </c>
      <c r="J730" s="57" t="s">
        <v>623</v>
      </c>
      <c r="K730" s="67" t="s">
        <v>449</v>
      </c>
      <c r="L730" s="67" t="s">
        <v>752</v>
      </c>
      <c r="M730" s="67" t="s">
        <v>451</v>
      </c>
      <c r="N730" s="67" t="s">
        <v>383</v>
      </c>
      <c r="O730" s="67" t="s">
        <v>503</v>
      </c>
      <c r="P730" s="57" t="s">
        <v>187</v>
      </c>
      <c r="Q730" s="59" t="n">
        <f aca="false">ROUND((Flights!$AE$26)*1440,0)/1440</f>
        <v>46325.1388888889</v>
      </c>
      <c r="R730" s="59" t="n">
        <f aca="false">Q730+(IF(AND(INDEX(TZ_DSTS,MATCH(P730,TZ_STN,0))&lt;&gt;"",Q730&gt;=INDEX(TZ_DSTS,MATCH(P730,TZ_STN,0)),Q730&lt;INDEX(TZ_DSTE,MATCH(P730,TZ_STN,0))),INDEX(TZ_DST,MATCH(P730,TZ_STN,0)),INDEX(TZ_STD,MATCH(P730,TZ_STN,0))))/24</f>
        <v>46325.4722222222</v>
      </c>
      <c r="S730" s="60"/>
      <c r="T730" s="60"/>
      <c r="U730" s="60"/>
      <c r="V730" s="60"/>
      <c r="W730" s="61"/>
      <c r="X730" s="60"/>
      <c r="Y730" s="60"/>
      <c r="Z730" s="60"/>
      <c r="AA730" s="60"/>
      <c r="AB730" s="60"/>
      <c r="AC730" s="60"/>
      <c r="AD730" s="66"/>
      <c r="AE730" s="60"/>
      <c r="AF730" s="61" t="str">
        <f aca="false">IF(AND(ISNUMBER(X730),ISNUMBER(Y730)),Y730-X730,"")</f>
        <v/>
      </c>
      <c r="AG730" s="62" t="str">
        <f aca="false">IF(ISNUMBER(AD730),AD730-(IF(AND(INDEX(TZ_DSTS,MATCH(P730,TZ_STN,0))&lt;&gt;"",(AD730-INDEX(TZ_STD,MATCH(P730,TZ_STN,0))/24)&gt;=INDEX(TZ_DSTS,MATCH(P730,TZ_STN,0)),(AD730-INDEX(TZ_STD,MATCH(P730,TZ_STN,0))/24)&lt;INDEX(TZ_DSTE,MATCH(P730,TZ_STN,0))),INDEX(TZ_DST,MATCH(P730,TZ_STN,0)),INDEX(TZ_STD,MATCH(P730,TZ_STN,0))))/24,"")</f>
        <v/>
      </c>
      <c r="AH730" s="65" t="str">
        <f aca="false">IFERROR(IF(N730="N/A – rule",IF(OR(TRIM(U730)="",TRIM(U730)="N/A",TRIM(U730)="Not started"),"N/A – RULE","INVALID – this check does not apply to this aircraft: clear the status (or correct the fleet on Flights)"),IF(TRIM(U730)="N/A",IF(AT730=0,"INVALID – N/A not permitted for this check",IF(AND(TRIM(AB730)&lt;&gt;"",TRIM(AB730)&lt;&gt;"Closed"),"INVALID – corrective action still open",IF(AND(NOT(OR(LEN(AZ730)&lt;15,ISNUMBER(MATCH(AZ730,L_Placeholder,0)))),BK730=0,CG730&gt;=8,NOT(OR(LEN(AU730)&lt;2,ISNUMBER(MATCH(AU730,L_Placeholder,0)))),BR730&gt;=3,NOT(OR(LEN(AX730)&lt;2,ISNUMBER(MATCH(AX730,L_Placeholder,0)))),BS730&gt;=3,TRIM(AE730)&lt;&gt;TRIM(T730),AX730&lt;&gt;AU730,CE730=0),"N/A – JUSTIFIED","INVALID – N/A needs a real, settled reason (not 'not applicable' / 'as above' / TBC), a named PIC and a different named verifier"))),IF(OR(TRIM(U730)="Pass",TRIM(U730)="Pass after CA"),IF(NOT(ISNUMBER(AD730)),"INVALID – completion time missing",IF(OR(OR(LEN(AU730)&lt;2,ISNUMBER(MATCH(AU730,L_Placeholder,0))),BR730&lt;3),"INVALID – PIC missing or not a named person (a role such as QA / CSM is not a name)",IF(OR(LEN(AV730)&lt;2,ISNUMBER(MATCH(AV730,L_Placeholder,0))),"INVALID – result / assessment missing",IF(OR(OR(LEN(AW730)&lt;3,ISNUMBER(MATCH(AW730,L_Placeholder,0))),SUMPRODUCT(--ISNUMBER(SEARCH(" "&amp;L_EvidencePhrase&amp;" ",BD730)))&gt;0,BI730=1),"INVALID – evidence missing, placeholder or not yet on file",IF(ISNA(MATCH(TRIM(S730),L_EvidenceType,0)),"INVALID – choose the evidence type from the list (column S)",IF(BL730=0,"INVALID – evidence ID must be the record's own ID only (e.g. SF-2210, IMG_2231, 1045521); a link / file name needs type 'Link / file path'",IF(OR(OR(LEN(AX730)&lt;2,ISNUMBER(MATCH(AX730,L_Placeholder,0))),BS730&lt;3),"INVALID – verifier missing or not a named person (a role such as QA / CSM is not a name)",IF(OR(AX730=AU730,CE730=1,AND(LEN(AU730)&gt;=4,ISNUMBER(SEARCH(AU730,AX730))),AND(LEN(AX730)&gt;=4,ISNUMBER(SEARCH(AX730,AU730)))),"INVALID – verifier must be a different, named person (not the PIC or a role)",IF(BH730=1,"INVALID – result not yet available (awaiting / TBC)",IF(BG730=1,"INVALID – result describes a problem: record Fail, then Pass after CA (or reword if it is not a problem)",IF(BV730=1,"INVALID – wording says not on board: an on-board confirmation needs the item loaded",IF(AND(AQ730=1,OR(OR(LEN(AY730)&lt;3,ISNUMBER(MATCH(AY730,L_Placeholder,0))),BJ730=1,BQ730=0)),"INVALID – batch ID missing, placeholder or not an ID (e.g. PASB-261008-BC-017)",IF(AND(AR730=1,OR(NOT(ISNUMBER(X730)),NOT(ISNUMBER(Y730)))),"INVALID – expected/actual qty missing",IF(AND(AR730=1,OR(X730&lt;=0,Y730&lt;0)),"INVALID – expected qty must be above 0 and actual not negative",IF(BB730&lt;&gt;"",BB730,IF(AND(AS730=1,Documents!$J$26&lt;&gt;"ON FILE"),"INVALID – GLD not on file (Documents sheet)",IF(AND(AS730=2,Documents!$O$26&lt;&gt;"ON FILE"),"INVALID – menu checklist not on file (Documents sheet)",IF(AND(AS730=3,NOT(ISNUMBER(Flights!$AX$26))),"INVALID – enter carrying flight KUL departure (Flights AX)",IF(AND(AS730=3,OR(Flights!$AZ$26&gt;Flights!$AA$26,Flights!$AX$26&lt;Flights!$AA$26-3)),"INVALID – carrying flight (Flights AX) cannot arrive before this leg's STD, or is over 3 days early",IF(AG730&gt;AsOfUTC,"INVALID – completion time is in the future",IF(AND(ISNUMBER(BY730),AG730&lt;BY730),IF(H730="Physical uplift","INVALID – before uplift window (cannot confirm loading)","INVALID – before valid window"),IF(AG730&gt;Flights!$AA$26,"INVALID – completed after departure (cannot establish readiness)",IF(AND(H730="Preparation",AG730&gt;=IF(ISNUMBER(Flights!$BA$26),MIN(Flights!$BA$26,Flights!$AA$26),Flights!$AA$26)),"INVALID – completed after loading / departure (cannot establish readiness)",IF(AND(H730="Physical uplift",AG730&gt;Q730),"INVALID – recorded after the loading flight departed",IF(AG730&gt;Q730,"COMPLETE – LATE","COMPLETE"))))))))))))))))))))))))),IF(TRIM(U730)="Fail","FAIL – DISCREPANCY",IF(AND(TRIM(U730)&lt;&gt;"",TRIM(U730)&lt;&gt;"Not started",TRIM(U730)&lt;&gt;"In progress"),"INVALID – unrecognised status (use the list)",IF(AsOfUTC&gt;Q730,"OVERDUE",IF(N730="Clarification required","OPEN – CLARIFICATION","OPEN"))))))),"INVALID – error value in an input cell")</f>
        <v>OPEN</v>
      </c>
      <c r="AI730" s="61" t="n">
        <f aca="false">IF(OR(AH730="N/A – RULE",AH730="N/A – JUSTIFIED"),0,1)</f>
        <v>1</v>
      </c>
      <c r="AJ730" s="61" t="n">
        <f aca="false">IF(LEFT(AH730,8)="COMPLETE",1,0)</f>
        <v>0</v>
      </c>
      <c r="AK730" s="61" t="n">
        <f aca="false">IF(AND(AI730=1,AJ730=0,AsOfUTC&gt;Q730),1,0)</f>
        <v>0</v>
      </c>
      <c r="AL730" s="61" t="n">
        <f aca="false">IFERROR(IF(AND(AI730=1,OR(TRIM(U730)="Fail",AND(TRIM(AB730)&lt;&gt;"",TRIM(AB730)&lt;&gt;"Closed"),AND(ISNUMBER(AF730),AF730&lt;&gt;0,TRIM(U730)&lt;&gt;"Pass after CA"))),1,0),1)</f>
        <v>0</v>
      </c>
      <c r="AM730" s="61" t="n">
        <f aca="false">IF(LEFT(AH730,7)="INVALID",1,0)</f>
        <v>0</v>
      </c>
      <c r="AN730" s="61" t="n">
        <f aca="false">IF(AND(N730="Clarification required",AI730=1,AJ730=0),1,0)</f>
        <v>0</v>
      </c>
      <c r="AO730" s="61" t="str">
        <f aca="false">IF(AK730=1,SUM(AK$5:AK730),"")</f>
        <v/>
      </c>
      <c r="AP730" s="61" t="str">
        <f aca="false">IF(AL730=1,SUM(AL$5:AL730),"")</f>
        <v/>
      </c>
      <c r="AQ730" s="61" t="n">
        <v>0</v>
      </c>
      <c r="AR730" s="61" t="n">
        <v>0</v>
      </c>
      <c r="AS730" s="61" t="n">
        <v>0</v>
      </c>
      <c r="AT730" s="61" t="n">
        <v>0</v>
      </c>
      <c r="AU730" s="61" t="str">
        <f aca="false">SUBSTITUTE(SUBSTITUTE(SUBSTITUTE(SUBSTITUTE(SUBSTITUTE(SUBSTITUTE(SUBSTITUTE(SUBSTITUTE(SUBSTITUTE(SUBSTITUTE(SUBSTITUTE(SUBSTITUTE(SUBSTITUTE(SUBSTITUTE(SUBSTITUTE(SUBSTITUTE(LOWER(T730&amp;""),CHAR(10),""),CHAR(13),""),CHAR(9),""),CHAR(160),"")," ",""),".",""),"-",""),"/",""),"?",""),"_",""),",",""),"[",""),"]",""),"(",""),")",""),"*","")</f>
        <v/>
      </c>
      <c r="AV730" s="61" t="str">
        <f aca="false">SUBSTITUTE(SUBSTITUTE(SUBSTITUTE(SUBSTITUTE(SUBSTITUTE(SUBSTITUTE(SUBSTITUTE(SUBSTITUTE(SUBSTITUTE(SUBSTITUTE(SUBSTITUTE(SUBSTITUTE(SUBSTITUTE(SUBSTITUTE(SUBSTITUTE(SUBSTITUTE(LOWER(V730&amp;""),CHAR(10),""),CHAR(13),""),CHAR(9),""),CHAR(160),"")," ",""),".",""),"-",""),"/",""),"?",""),"_",""),",",""),"[",""),"]",""),"(",""),")",""),"*","")</f>
        <v/>
      </c>
      <c r="AW730" s="61" t="str">
        <f aca="false">SUBSTITUTE(SUBSTITUTE(SUBSTITUTE(SUBSTITUTE(SUBSTITUTE(SUBSTITUTE(SUBSTITUTE(SUBSTITUTE(SUBSTITUTE(SUBSTITUTE(SUBSTITUTE(SUBSTITUTE(SUBSTITUTE(SUBSTITUTE(SUBSTITUTE(SUBSTITUTE(LOWER(Z730&amp;""),CHAR(10),""),CHAR(13),""),CHAR(9),""),CHAR(160),"")," ",""),".",""),"-",""),"/",""),"?",""),"_",""),",",""),"[",""),"]",""),"(",""),")",""),"*","")</f>
        <v/>
      </c>
      <c r="AX730" s="61" t="str">
        <f aca="false">SUBSTITUTE(SUBSTITUTE(SUBSTITUTE(SUBSTITUTE(SUBSTITUTE(SUBSTITUTE(SUBSTITUTE(SUBSTITUTE(SUBSTITUTE(SUBSTITUTE(SUBSTITUTE(SUBSTITUTE(SUBSTITUTE(SUBSTITUTE(SUBSTITUTE(SUBSTITUTE(LOWER(AE730&amp;""),CHAR(10),""),CHAR(13),""),CHAR(9),""),CHAR(160),"")," ",""),".",""),"-",""),"/",""),"?",""),"_",""),",",""),"[",""),"]",""),"(",""),")",""),"*","")</f>
        <v/>
      </c>
      <c r="AY730" s="61" t="str">
        <f aca="false">SUBSTITUTE(SUBSTITUTE(SUBSTITUTE(SUBSTITUTE(SUBSTITUTE(SUBSTITUTE(SUBSTITUTE(SUBSTITUTE(SUBSTITUTE(SUBSTITUTE(SUBSTITUTE(SUBSTITUTE(SUBSTITUTE(SUBSTITUTE(SUBSTITUTE(SUBSTITUTE(LOWER(W730&amp;""),CHAR(10),""),CHAR(13),""),CHAR(9),""),CHAR(160),"")," ",""),".",""),"-",""),"/",""),"?",""),"_",""),",",""),"[",""),"]",""),"(",""),")",""),"*","")</f>
        <v/>
      </c>
      <c r="AZ730" s="61" t="str">
        <f aca="false">SUBSTITUTE(SUBSTITUTE(SUBSTITUTE(SUBSTITUTE(SUBSTITUTE(SUBSTITUTE(SUBSTITUTE(SUBSTITUTE(SUBSTITUTE(SUBSTITUTE(SUBSTITUTE(SUBSTITUTE(SUBSTITUTE(SUBSTITUTE(SUBSTITUTE(SUBSTITUTE(LOWER(AC730&amp;""),CHAR(10),""),CHAR(13),""),CHAR(9),""),CHAR(160),"")," ",""),".",""),"-",""),"/",""),"?",""),"_",""),",",""),"[",""),"]",""),"(",""),")",""),"*","")</f>
        <v/>
      </c>
      <c r="BA730" s="61" t="str">
        <f aca="false">SUBSTITUTE(SUBSTITUTE(SUBSTITUTE(SUBSTITUTE(SUBSTITUTE(SUBSTITUTE(SUBSTITUTE(SUBSTITUTE(SUBSTITUTE(SUBSTITUTE(SUBSTITUTE(SUBSTITUTE(SUBSTITUTE(SUBSTITUTE(SUBSTITUTE(SUBSTITUTE(LOWER(AA730&amp;""),CHAR(10),""),CHAR(13),""),CHAR(9),""),CHAR(160),"")," ",""),".",""),"-",""),"/",""),"?",""),"_",""),",",""),"[",""),"]",""),"(",""),")",""),"*","")</f>
        <v/>
      </c>
      <c r="BB730" s="61" t="str">
        <f aca="false">IF(AND(TRIM(U730)="Pass",ISNUMBER(AF730)),IF(AF730&lt;&gt;0,"INVALID – qty variance: use Fail or Pass after CA",""),"")&amp;IF(AND(TRIM(U730)="Pass after CA",ISNUMBER(AF730)),IF(AF730&lt;&gt;0,"INVALID – after the corrective action the actual qty must equal expected (update Actual)",""),"")&amp;IF(AND(TRIM(U730)="Pass",TRIM(AB730)&lt;&gt;"",TRIM(AB730)&lt;&gt;"Closed"),"INVALID – corrective action not closed: use Fail, then Pass after CA","")&amp;IF(AND(LEN(BA730)&gt;=2,ISNA(MATCH(LEFT(BA730,255),L_Placeholder,0)),TRIM(AB730)=""),"INVALID – CA status missing for the recorded corrective action","")&amp;IF(AND(TRIM(U730)="Pass after CA",OR(OR(LEN(BA730)&lt;5,ISNUMBER(MATCH(BA730,L_Placeholder,0))),TRIM(AB730)&lt;&gt;"Closed")),"INVALID – corrective action not recorded/closed","")</f>
        <v/>
      </c>
      <c r="BC730" s="61" t="str">
        <f aca="false">" "&amp;TRIM(SUBSTITUTE(SUBSTITUTE(SUBSTITUTE(SUBSTITUTE(SUBSTITUTE(SUBSTITUTE(SUBSTITUTE(SUBSTITUTE(SUBSTITUTE(SUBSTITUTE(SUBSTITUTE(SUBSTITUTE(SUBSTITUTE(SUBSTITUTE(SUBSTITUTE(SUBSTITUTE(SUBSTITUTE(SUBSTITUTE(SUBSTITUTE(SUBSTITUTE(SUBSTITUTE(SUBSTITUTE(SUBSTITUTE(SUBSTITUTE(LOWER(V730&amp;""),CHAR(10)," "),CHAR(13)," "),CHAR(9)," "),CHAR(160)," "),"."," "),","," "),"-"," "),"/"," "),"("," "),")"," "),":"," "),";"," "),"_"," "),"–"," "),"?"," "),"!"," "),"*"," "),"["," "),"]"," "),"'"," "),"#"," "),"+"," "),"&amp;"," "),"\"," "))&amp;" "</f>
        <v>  </v>
      </c>
      <c r="BD730" s="61" t="str">
        <f aca="false">" "&amp;TRIM(SUBSTITUTE(SUBSTITUTE(SUBSTITUTE(SUBSTITUTE(SUBSTITUTE(SUBSTITUTE(SUBSTITUTE(SUBSTITUTE(SUBSTITUTE(SUBSTITUTE(SUBSTITUTE(SUBSTITUTE(SUBSTITUTE(SUBSTITUTE(SUBSTITUTE(SUBSTITUTE(SUBSTITUTE(SUBSTITUTE(SUBSTITUTE(SUBSTITUTE(SUBSTITUTE(SUBSTITUTE(SUBSTITUTE(SUBSTITUTE(LOWER(Z730&amp;""),CHAR(10)," "),CHAR(13)," "),CHAR(9)," "),CHAR(160)," "),"."," "),","," "),"-"," "),"/"," "),"("," "),")"," "),":"," "),";"," "),"_"," "),"–"," "),"?"," "),"!"," "),"*"," "),"["," "),"]"," "),"'"," "),"#"," "),"+"," "),"&amp;"," "),"\"," "))&amp;" "</f>
        <v>  </v>
      </c>
      <c r="BE730" s="61" t="str">
        <f aca="false">" "&amp;TRIM(SUBSTITUTE(SUBSTITUTE(SUBSTITUTE(SUBSTITUTE(SUBSTITUTE(SUBSTITUTE(SUBSTITUTE(SUBSTITUTE(SUBSTITUTE(SUBSTITUTE(SUBSTITUTE(SUBSTITUTE(SUBSTITUTE(SUBSTITUTE(SUBSTITUTE(SUBSTITUTE(SUBSTITUTE(SUBSTITUTE(SUBSTITUTE(SUBSTITUTE(SUBSTITUTE(SUBSTITUTE(SUBSTITUTE(SUBSTITUTE(LOWER(W730&amp;""),CHAR(10)," "),CHAR(13)," "),CHAR(9)," "),CHAR(160)," "),"."," "),","," "),"-"," "),"/"," "),"("," "),")"," "),":"," "),";"," "),"_"," "),"–"," "),"?"," "),"!"," "),"*"," "),"["," "),"]"," "),"'"," "),"#"," "),"+"," "),"&amp;"," "),"\"," "))&amp;" "</f>
        <v>  </v>
      </c>
      <c r="BF730" s="61" t="str">
        <f aca="false">" "&amp;TRIM(SUBSTITUTE(SUBSTITUTE(SUBSTITUTE(SUBSTITUTE(SUBSTITUTE(SUBSTITUTE(SUBSTITUTE(SUBSTITUTE(SUBSTITUTE(SUBSTITUTE(SUBSTITUTE(SUBSTITUTE(SUBSTITUTE(SUBSTITUTE(SUBSTITUTE(SUBSTITUTE(SUBSTITUTE(SUBSTITUTE(SUBSTITUTE(SUBSTITUTE(SUBSTITUTE(SUBSTITUTE(SUBSTITUTE(SUBSTITUTE(LOWER(AC730&amp;""),CHAR(10)," "),CHAR(13)," "),CHAR(9)," "),CHAR(160)," "),"."," "),","," "),"-"," "),"/"," "),"("," "),")"," "),":"," "),";"," "),"_"," "),"–"," "),"?"," "),"!"," "),"*"," "),"["," "),"]"," "),"'"," "),"#"," "),"+"," "),"&amp;"," "),"\"," "))&amp;" "</f>
        <v>  </v>
      </c>
      <c r="BG730" s="61" t="n">
        <f aca="false">IFERROR(IF(AND(TRIM(U730)="Pass",SUMPRODUCT((LEN(BC730)-LEN(SUBSTITUTE(BC730," "&amp;L_ResultBad&amp;" "," ")))/(LEN(L_ResultBad)+1))&gt;SUMPRODUCT((LEN(BC730)-LEN(SUBSTITUTE(BC730," "&amp;L_NegPhrase&amp;" "," ")))/(LEN(L_NegPhrase)+1))),1,0),0)</f>
        <v>0</v>
      </c>
      <c r="BH730" s="61" t="n">
        <f aca="false">IFERROR(IF(SUMPRODUCT((LEN(BC730)-LEN(SUBSTITUTE(BC730," "&amp;L_Pending&amp;" "," ")))/(LEN(L_Pending)+1))&gt;SUMPRODUCT((LEN(BC730)-LEN(SUBSTITUTE(BC730," "&amp;L_PendNeg&amp;" "," ")))/(LEN(L_PendNeg)+1))+SUMPRODUCT((LEN(BC730)-LEN(SUBSTITUTE(BC730," "&amp;L_PendPrep&amp;" "," ")))/(LEN(L_PendPrep)+1)),1,0),1)</f>
        <v>0</v>
      </c>
      <c r="BI730" s="61" t="n">
        <f aca="false">IFERROR(IF(SUMPRODUCT((LEN(BD730)-LEN(SUBSTITUTE(BD730," "&amp;L_PendStrict&amp;" "," ")))/(LEN(L_PendStrict)+1))&gt;SUMPRODUCT((LEN(BD730)-LEN(SUBSTITUTE(BD730," "&amp;L_PendNeg&amp;" "," ")))/(LEN(L_PendNeg)+1)),1,0),1)</f>
        <v>0</v>
      </c>
      <c r="BJ730" s="61" t="n">
        <f aca="false">IFERROR(IF(SUMPRODUCT((LEN(BE730)-LEN(SUBSTITUTE(BE730," "&amp;L_Pending&amp;" "," ")))/(LEN(L_Pending)+1))&gt;SUMPRODUCT((LEN(BE730)-LEN(SUBSTITUTE(BE730," "&amp;L_PendNeg&amp;" "," ")))/(LEN(L_PendNeg)+1))+SUMPRODUCT((LEN(BE730)-LEN(SUBSTITUTE(BE730," "&amp;L_PendPrep&amp;" "," ")))/(LEN(L_PendPrep)+1)),1,0),1)</f>
        <v>0</v>
      </c>
      <c r="BK730" s="61" t="n">
        <f aca="false">IFERROR(IF(SUMPRODUCT((LEN(BF730)-LEN(SUBSTITUTE(BF730," "&amp;L_PendStrict&amp;" "," ")))/(LEN(L_PendStrict)+1))&gt;SUMPRODUCT((LEN(BF730)-LEN(SUBSTITUTE(BF730," "&amp;L_PendNeg&amp;" "," ")))/(LEN(L_PendNeg)+1)),1,0),1)</f>
        <v>0</v>
      </c>
      <c r="BL730" s="61" t="n">
        <f aca="false">IF(ISNA(MATCH(TRIM(S730),L_EvidenceType,0)),0,BZ730)</f>
        <v>0</v>
      </c>
      <c r="BM730" s="61" t="str">
        <f aca="false">SUBSTITUTE(SUBSTITUTE(SUBSTITUTE(SUBSTITUTE(SUBSTITUTE(SUBSTITUTE(SUBSTITUTE(SUBSTITUTE(SUBSTITUTE(LOWER(Z730&amp;""),"1","0"),"2","0"),"3","0"),"4","0"),"5","0"),"6","0"),"7","0"),"8","0"),"9","0")</f>
        <v/>
      </c>
      <c r="BN730" s="61" t="str">
        <f aca="false">SUBSTITUTE(SUBSTITUTE(SUBSTITUTE(SUBSTITUTE(SUBSTITUTE(SUBSTITUTE(SUBSTITUTE(SUBSTITUTE(SUBSTITUTE(SUBSTITUTE(SUBSTITUTE(SUBSTITUTE(SUBSTITUTE(SUBSTITUTE(SUBSTITUTE(SUBSTITUTE(SUBSTITUTE(SUBSTITUTE(SUBSTITUTE(SUBSTITUTE(SUBSTITUTE(SUBSTITUTE(SUBSTITUTE(SUBSTITUTE(SUBSTITUTE(BM730,"b","a"),"c","a"),"d","a"),"e","a"),"f","a"),"g","a"),"h","a"),"i","a"),"j","a"),"k","a"),"l","a"),"m","a"),"n","a"),"o","a"),"p","a"),"q","a"),"r","a"),"s","a"),"t","a"),"u","a"),"v","a"),"w","a"),"x","a"),"y","a"),"z","a")</f>
        <v/>
      </c>
      <c r="BO730" s="61" t="str">
        <f aca="false">SUBSTITUTE(SUBSTITUTE(SUBSTITUTE(SUBSTITUTE(SUBSTITUTE(SUBSTITUTE(SUBSTITUTE(SUBSTITUTE(SUBSTITUTE(LOWER(W730&amp;""),"1","0"),"2","0"),"3","0"),"4","0"),"5","0"),"6","0"),"7","0"),"8","0"),"9","0")</f>
        <v/>
      </c>
      <c r="BP730" s="61" t="str">
        <f aca="false">SUBSTITUTE(SUBSTITUTE(SUBSTITUTE(SUBSTITUTE(SUBSTITUTE(SUBSTITUTE(SUBSTITUTE(SUBSTITUTE(SUBSTITUTE(SUBSTITUTE(SUBSTITUTE(SUBSTITUTE(SUBSTITUTE(SUBSTITUTE(SUBSTITUTE(SUBSTITUTE(SUBSTITUTE(SUBSTITUTE(SUBSTITUTE(SUBSTITUTE(SUBSTITUTE(SUBSTITUTE(SUBSTITUTE(SUBSTITUTE(SUBSTITUTE(BO730,"b","a"),"c","a"),"d","a"),"e","a"),"f","a"),"g","a"),"h","a"),"i","a"),"j","a"),"k","a"),"l","a"),"m","a"),"n","a"),"o","a"),"p","a"),"q","a"),"r","a"),"s","a"),"t","a"),"u","a"),"v","a"),"w","a"),"x","a"),"y","a"),"z","a")</f>
        <v/>
      </c>
      <c r="BQ730" s="61" t="n">
        <f aca="false">IFERROR(IF(AND(ISERROR(SEARCH(" mh"," "&amp;LOWER(W730))),ISNA(MATCH(LEFT(TRIM(BP730),255),{"0000a","000a","00a","0000aa","000aa","00aa","0aa","0000aaa","000aaa","00a00","0a00","0000-0000","00:00","a00","a0","00.00.0000","00/00/0000","00-00-0000","0000-00-00","0000/00/00","0000.00.00","00.00.00","00/00/00","00-00-00","0.00.0000","0/00/0000","0-00-0000"},0)),ISNA(MATCH(LEFT(TRIM(CA730),255),{"0000a","000a","00a","0000aa","000aa","00aa","0aa","0000aaa","000aaa","00a00","0a00","0000-0000","00:00","a00","a0","00.00.0000","00/00/0000","00-00-0000","0000-00-00","0000/00/00","0000.00.00","00.00.00","00/00/00","00-00-00","0.00.0000","0/00/0000","0-00-0000"},0)),LEN(CB730)&gt;=3,NOT(OR(SUBSTITUTE(CB730,"0","")="",AND(LEN(CB730)&gt;=4,CB730=REPT(LEFT(CB730),LEN(CB730))),ISNUMBER(MATCH(CB730,{"123","1234","12345","123456","1234567","12345678","0123","01234","012345","98765","987654","54321"},0)),AND(LEN(CB730)=8,LEFT(CB730,3)="202"))),OR(AND((LEN(CA730)-LEN(SUBSTITUTE(CA730,"a","")))&gt;=1,SUMPRODUCT(--ISNUMBER(SEARCH({"a0","a-0","a_0","a/0","a.0","a#0","0a","0-a","0_a","0/a"},BP730)))&gt;0),ISNUMBER(SEARCH("000000",BP730)))),1,0),0)</f>
        <v>0</v>
      </c>
      <c r="BR730" s="61" t="n">
        <f aca="false">IFERROR(LEN(SUBSTITUTE(CC730," ",""))-SUMPRODUCT((LEN(CC730)-LEN(SUBSTITUTE(CC730," "&amp;L_Role&amp;" "," ")))/(LEN(L_Role)+1)*LEN(L_Role)),0)</f>
        <v>0</v>
      </c>
      <c r="BS730" s="61" t="n">
        <f aca="false">IFERROR(LEN(SUBSTITUTE(CD730," ",""))-SUMPRODUCT((LEN(CD730)-LEN(SUBSTITUTE(CD730," "&amp;L_Role&amp;" "," ")))/(LEN(L_Role)+1)*LEN(L_Role)),0)</f>
        <v>0</v>
      </c>
      <c r="BT7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730,"revision",""),"version",""),"jan",""),"feb",""),"mar",""),"apr",""),"may",""),"jun",""),"jul",""),"aug",""),"sep",""),"oct",""),"nov",""),"dec",""),"utc",""),"gmt",""),"myt",""),"bst",""),"rev",""),"ver",""),"b","a"),"c","a"),"d","a"),"e","a"),"f","a"),"g","a"),"h","a"),"i","a"),"j","a"),"k","a"),"l","a"),"m","a"),"n","a"),"o","a"),"p","a"),"q","a"),"r","a"),"s","a"),"t","a"),"u","a"),"v","a"),"w","a"),"x","a"),"y","a"),"z","a")</f>
        <v/>
      </c>
      <c r="BU730" s="61" t="str">
        <f aca="false">SUBSTITUTE(SUBSTITUTE(SUBSTITUTE(SUBSTITUTE(SUBSTITUTE(SUBSTITUTE(SUBSTITUTE(SUBSTITUTE(SUBSTITUTE(SUBSTITUTE(LEFT(BM730,FIND("0",BM730&amp;"0")-1),"-",""),"_",""),"/",""),".",""),"#",""),"\\",""),":","")," ",""),"(",""),")","")</f>
        <v/>
      </c>
      <c r="BV730" s="61" t="n">
        <f aca="false">0</f>
        <v>0</v>
      </c>
      <c r="BW73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730&amp;""),"a",""),"b",""),"c",""),"d",""),"e",""),"f",""),"g",""),"h",""),"i",""),"j",""),"k",""),"l",""),"m",""),"n",""),"o",""),"p",""),"q",""),"r",""),"s",""),"t",""),"u",""),"v",""),"w",""),"x",""),"y",""),"z",""),"-",""),"_",""),"/",""),".",""),"#",""),"\\",""),":","")," ",""),"(",""),")","")</f>
        <v/>
      </c>
      <c r="BX730" s="61" t="str">
        <f aca="false">SUBSTITUTE(SUBSTITUTE(SUBSTITUTE(SUBSTITUTE(SUBSTITUTE(SUBSTITUTE(SUBSTITUTE(SUBSTITUTE(SUBSTITUTE(SUBSTITUTE(SUBSTITUTE(BM730,"0",""),"-",""),"_",""),"/",""),".",""),"#",""),"\\",""),":","")," ",""),"(",""),")","")</f>
        <v/>
      </c>
      <c r="BY730" s="62" t="n">
        <f aca="false">Q730-T12EarlyH/24</f>
        <v>46324.6388888889</v>
      </c>
      <c r="BZ730" s="61" t="n">
        <f aca="false">IFERROR(IF(IF(TRIM(S730)="Link / file path",AND(LEN(TRIM(Z730))&gt;=5,SUMPRODUCT(--ISNUMBER(SEARCH({"http","www.","\\",":\",".pdf",".jpg",".jpeg",".png",".heic",".xls",".doc",".msg",".eml",".ppt",".txt",".zip"},Z730)))&gt;0),AND(ISERROR(FIND(" ",TRIM(Z730))),NOT(OR(SUMPRODUCT(--ISNUMBER(FIND({",",";","&amp;","+"},Z730)))&gt;0,SUMPRODUCT(--ISNUMBER(SEARCH({"0/aa","0\\aa"},BN730)))&gt;0)),NOT(SUMPRODUCT(--ISNUMBER(SEARCH({"http","www.","\\",":\",".pdf",".jpg",".jpeg",".png",".heic",".xls",".doc",".msg",".eml",".ppt",".txt",".zip"},Z730)))&gt;0),NOT(LOWER(TRIM(Z730))=LOWER(Flights!$F$26)),ISNA(MATCH(BU730,{"mh","rev","revision","ver","version","v","r","a","b","seat","tray","row","gate","bay","stand","page","pg","item","line","no","cart","galley","flight","flt","table","box","bag","oven","etd","eta","std","sta","atd","ata","qty","pax","x","time","tel","ph","mob","day","wk","week","utc","gmt","myt","lt"},0)),NOT(OR(ISNUMBER(MATCH(LEFT(BN730,255),{"0000a","000a","00a","0000aa","000aa","00aa","0aa","0000aaa","000aaa","00a00","0a00","0000-0000","00:00","a00","a0","00.00.0000","00/00/0000","00-00-0000","0000-00-00","0000/00/00","0000.00.00","00.00.00","00/00/00","00-00-00","0.00.0000","0/00/0000","0-00-0000"},0)),ISNUMBER(MATCH(LEFT(BT730,255),{"0000a","000a","00a","0000aa","000aa","00aa","0aa","0000aaa","000aaa","00a00","0a00","0000-0000","00:00","a00","a0","00.00.0000","00/00/0000","00-00-0000","0000-00-00","0000/00/00","0000.00.00","00.00.00","00/00/00","00-00-00","0.00.0000","0/00/0000","0-00-0000"},0)))),NOT(OR(AND(BW730&lt;&gt;"",SUBSTITUTE(BW730,"0","")=""),AND(LEN(BW730)&gt;=4,BW730=REPT(LEFT(BW730),LEN(BW730))),ISNUMBER(MATCH(BW730,{"123","1234","12345","123456","1234567","12345678","0123","01234","012345","98765","987654","54321"},0)),ISNUMBER(MATCH(BX730,{"x","xx","xxx","xxxx","xxxxx","abc","abcd","nil","na","nan","test","tbc","tba","tbd","dummy","sample","example","eg","zz","zzz","none","null","xyz","qwe","asd","id","ref"},0)),AND(LEN(BW730)=8,BX730="",OR(LEFT(BW730,3)="202",ISNUMBER(MATCH(RIGHT(BW730,4),{"2025","2026","2027"},0)))))),OR(AND((LEN(BT730)-LEN(SUBSTITUTE(BT730,"a","")))&gt;=1,(LEN(BN730)-LEN(SUBSTITUTE(BN730,"0","")))&gt;=2,SUMPRODUCT(--ISNUMBER(SEARCH({"a0","a-0","a_0","a/0","a.0","a#0","0a","0-a","0_a","0/a"},BN730)))&gt;0),AND((LEN(BN730)-LEN(SUBSTITUTE(BN730,"a","")))=0,(LEN(BN730)-LEN(SUBSTITUTE(BN730,"0","")))&gt;=5)))),1,0),0)</f>
        <v>0</v>
      </c>
      <c r="CA7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730,"revision",""),"version",""),"jan",""),"feb",""),"mar",""),"apr",""),"may",""),"jun",""),"jul",""),"aug",""),"sep",""),"oct",""),"nov",""),"dec",""),"utc",""),"gmt",""),"myt",""),"bst",""),"rev",""),"ver",""),"b","a"),"c","a"),"d","a"),"e","a"),"f","a"),"g","a"),"h","a"),"i","a"),"j","a"),"k","a"),"l","a"),"m","a"),"n","a"),"o","a"),"p","a"),"q","a"),"r","a"),"s","a"),"t","a"),"u","a"),"v","a"),"w","a"),"x","a"),"y","a"),"z","a")</f>
        <v/>
      </c>
      <c r="CB73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730&amp;""),"a",""),"b",""),"c",""),"d",""),"e",""),"f",""),"g",""),"h",""),"i",""),"j",""),"k",""),"l",""),"m",""),"n",""),"o",""),"p",""),"q",""),"r",""),"s",""),"t",""),"u",""),"v",""),"w",""),"x",""),"y",""),"z",""),"-",""),"_",""),"/",""),".",""),"#",""),"\\",""),":","")," ",""),"(",""),")","")</f>
        <v/>
      </c>
      <c r="CC730" s="0" t="str">
        <f aca="false">" "&amp;TRIM(SUBSTITUTE(SUBSTITUTE(SUBSTITUTE(SUBSTITUTE(SUBSTITUTE(SUBSTITUTE(SUBSTITUTE(SUBSTITUTE(SUBSTITUTE(SUBSTITUTE(SUBSTITUTE(SUBSTITUTE(SUBSTITUTE(SUBSTITUTE(SUBSTITUTE(SUBSTITUTE(SUBSTITUTE(SUBSTITUTE(SUBSTITUTE(SUBSTITUTE(SUBSTITUTE(SUBSTITUTE(SUBSTITUTE(SUBSTITUTE(LOWER(T730&amp;""),CHAR(10)," "),CHAR(13)," "),CHAR(9)," "),CHAR(160)," "),"."," "),","," "),"-"," "),"/"," "),"("," "),")"," "),":"," "),";"," "),"_"," "),"–"," "),"?"," "),"!"," "),"*"," "),"["," "),"]"," "),"'"," "),"#"," "),"+"," "),"&amp;"," "),"\"," "))&amp;" "</f>
        <v>  </v>
      </c>
      <c r="CD730" s="0" t="str">
        <f aca="false">" "&amp;TRIM(SUBSTITUTE(SUBSTITUTE(SUBSTITUTE(SUBSTITUTE(SUBSTITUTE(SUBSTITUTE(SUBSTITUTE(SUBSTITUTE(SUBSTITUTE(SUBSTITUTE(SUBSTITUTE(SUBSTITUTE(SUBSTITUTE(SUBSTITUTE(SUBSTITUTE(SUBSTITUTE(SUBSTITUTE(SUBSTITUTE(SUBSTITUTE(SUBSTITUTE(SUBSTITUTE(SUBSTITUTE(SUBSTITUTE(SUBSTITUTE(LOWER(AE730&amp;""),CHAR(10)," "),CHAR(13)," "),CHAR(9)," "),CHAR(160)," "),"."," "),","," "),"-"," "),"/"," "),"("," "),")"," "),":"," "),";"," "),"_"," "),"–"," "),"?"," "),"!"," "),"*"," "),"["," "),"]"," "),"'"," "),"#"," "),"+"," "),"&amp;"," "),"\"," "))&amp;" "</f>
        <v>  </v>
      </c>
      <c r="CE730" s="68" t="n">
        <f aca="false">IFERROR(IF(AND(LEN(AU730)&gt;0,LEN(AU730)=LEN(AX730),OR(TRIM(MID(SUBSTITUTE(TRIM(CC730)," ",REPT(" ",60)),1,60))="",ISNUMBER(SEARCH(" "&amp;TRIM(MID(SUBSTITUTE(TRIM(CC730)," ",REPT(" ",60)),1,60))&amp;" ",CD730))),OR(TRIM(MID(SUBSTITUTE(TRIM(CC730)," ",REPT(" ",60)),61,60))="",ISNUMBER(SEARCH(" "&amp;TRIM(MID(SUBSTITUTE(TRIM(CC730)," ",REPT(" ",60)),61,60))&amp;" ",CD730))),OR(TRIM(MID(SUBSTITUTE(TRIM(CC730)," ",REPT(" ",60)),121,60))="",ISNUMBER(SEARCH(" "&amp;TRIM(MID(SUBSTITUTE(TRIM(CC730)," ",REPT(" ",60)),121,60))&amp;" ",CD730)))),1,0),0)</f>
        <v>0</v>
      </c>
      <c r="CG730" s="68" t="n">
        <f aca="false">IFERROR(LEN(SUBSTITUTE(BF730," ",""))-SUMPRODUCT((LEN(BF730)-LEN(SUBSTITUTE(BF730," "&amp;L_NAFiller&amp;" "," ")))/(LEN(L_NAFiller)+1)*LEN(L_NAFiller)),0)</f>
        <v>0</v>
      </c>
    </row>
    <row r="731" customFormat="false" ht="41.25" hidden="false" customHeight="true" outlineLevel="0" collapsed="false">
      <c r="A731" s="57" t="s">
        <v>1465</v>
      </c>
      <c r="B731" s="57" t="s">
        <v>312</v>
      </c>
      <c r="C731" s="57" t="str">
        <f aca="false">Flights!$F$26</f>
        <v>MH0002</v>
      </c>
      <c r="D731" s="58" t="n">
        <f aca="false">Flights!$D$26</f>
        <v>46325</v>
      </c>
      <c r="E731" s="57" t="str">
        <f aca="false">Flights!$G$26&amp;"-"&amp;Flights!$H$26</f>
        <v>KUL-LHR</v>
      </c>
      <c r="F731" s="57" t="str">
        <f aca="false">Flights!$K$26</f>
        <v>BC</v>
      </c>
      <c r="G731" s="57" t="s">
        <v>420</v>
      </c>
      <c r="H731" s="57" t="s">
        <v>378</v>
      </c>
      <c r="I731" s="57" t="s">
        <v>447</v>
      </c>
      <c r="J731" s="57" t="s">
        <v>626</v>
      </c>
      <c r="K731" s="67" t="s">
        <v>449</v>
      </c>
      <c r="L731" s="67" t="s">
        <v>754</v>
      </c>
      <c r="M731" s="67" t="s">
        <v>451</v>
      </c>
      <c r="N731" s="67" t="s">
        <v>383</v>
      </c>
      <c r="O731" s="67" t="s">
        <v>503</v>
      </c>
      <c r="P731" s="57" t="s">
        <v>187</v>
      </c>
      <c r="Q731" s="59" t="n">
        <f aca="false">ROUND((Flights!$AE$26)*1440,0)/1440</f>
        <v>46325.1388888889</v>
      </c>
      <c r="R731" s="59" t="n">
        <f aca="false">Q731+(IF(AND(INDEX(TZ_DSTS,MATCH(P731,TZ_STN,0))&lt;&gt;"",Q731&gt;=INDEX(TZ_DSTS,MATCH(P731,TZ_STN,0)),Q731&lt;INDEX(TZ_DSTE,MATCH(P731,TZ_STN,0))),INDEX(TZ_DST,MATCH(P731,TZ_STN,0)),INDEX(TZ_STD,MATCH(P731,TZ_STN,0))))/24</f>
        <v>46325.4722222222</v>
      </c>
      <c r="S731" s="60"/>
      <c r="T731" s="60"/>
      <c r="U731" s="60"/>
      <c r="V731" s="60"/>
      <c r="W731" s="61"/>
      <c r="X731" s="60"/>
      <c r="Y731" s="60"/>
      <c r="Z731" s="60"/>
      <c r="AA731" s="60"/>
      <c r="AB731" s="60"/>
      <c r="AC731" s="60"/>
      <c r="AD731" s="66"/>
      <c r="AE731" s="60"/>
      <c r="AF731" s="61" t="str">
        <f aca="false">IF(AND(ISNUMBER(X731),ISNUMBER(Y731)),Y731-X731,"")</f>
        <v/>
      </c>
      <c r="AG731" s="62" t="str">
        <f aca="false">IF(ISNUMBER(AD731),AD731-(IF(AND(INDEX(TZ_DSTS,MATCH(P731,TZ_STN,0))&lt;&gt;"",(AD731-INDEX(TZ_STD,MATCH(P731,TZ_STN,0))/24)&gt;=INDEX(TZ_DSTS,MATCH(P731,TZ_STN,0)),(AD731-INDEX(TZ_STD,MATCH(P731,TZ_STN,0))/24)&lt;INDEX(TZ_DSTE,MATCH(P731,TZ_STN,0))),INDEX(TZ_DST,MATCH(P731,TZ_STN,0)),INDEX(TZ_STD,MATCH(P731,TZ_STN,0))))/24,"")</f>
        <v/>
      </c>
      <c r="AH731" s="65" t="str">
        <f aca="false">IFERROR(IF(N731="N/A – rule",IF(OR(TRIM(U731)="",TRIM(U731)="N/A",TRIM(U731)="Not started"),"N/A – RULE","INVALID – this check does not apply to this aircraft: clear the status (or correct the fleet on Flights)"),IF(TRIM(U731)="N/A",IF(AT731=0,"INVALID – N/A not permitted for this check",IF(AND(TRIM(AB731)&lt;&gt;"",TRIM(AB731)&lt;&gt;"Closed"),"INVALID – corrective action still open",IF(AND(NOT(OR(LEN(AZ731)&lt;15,ISNUMBER(MATCH(AZ731,L_Placeholder,0)))),BK731=0,CG731&gt;=8,NOT(OR(LEN(AU731)&lt;2,ISNUMBER(MATCH(AU731,L_Placeholder,0)))),BR731&gt;=3,NOT(OR(LEN(AX731)&lt;2,ISNUMBER(MATCH(AX731,L_Placeholder,0)))),BS731&gt;=3,TRIM(AE731)&lt;&gt;TRIM(T731),AX731&lt;&gt;AU731,CE731=0),"N/A – JUSTIFIED","INVALID – N/A needs a real, settled reason (not 'not applicable' / 'as above' / TBC), a named PIC and a different named verifier"))),IF(OR(TRIM(U731)="Pass",TRIM(U731)="Pass after CA"),IF(NOT(ISNUMBER(AD731)),"INVALID – completion time missing",IF(OR(OR(LEN(AU731)&lt;2,ISNUMBER(MATCH(AU731,L_Placeholder,0))),BR731&lt;3),"INVALID – PIC missing or not a named person (a role such as QA / CSM is not a name)",IF(OR(LEN(AV731)&lt;2,ISNUMBER(MATCH(AV731,L_Placeholder,0))),"INVALID – result / assessment missing",IF(OR(OR(LEN(AW731)&lt;3,ISNUMBER(MATCH(AW731,L_Placeholder,0))),SUMPRODUCT(--ISNUMBER(SEARCH(" "&amp;L_EvidencePhrase&amp;" ",BD731)))&gt;0,BI731=1),"INVALID – evidence missing, placeholder or not yet on file",IF(ISNA(MATCH(TRIM(S731),L_EvidenceType,0)),"INVALID – choose the evidence type from the list (column S)",IF(BL731=0,"INVALID – evidence ID must be the record's own ID only (e.g. SF-2210, IMG_2231, 1045521); a link / file name needs type 'Link / file path'",IF(OR(OR(LEN(AX731)&lt;2,ISNUMBER(MATCH(AX731,L_Placeholder,0))),BS731&lt;3),"INVALID – verifier missing or not a named person (a role such as QA / CSM is not a name)",IF(OR(AX731=AU731,CE731=1,AND(LEN(AU731)&gt;=4,ISNUMBER(SEARCH(AU731,AX731))),AND(LEN(AX731)&gt;=4,ISNUMBER(SEARCH(AX731,AU731)))),"INVALID – verifier must be a different, named person (not the PIC or a role)",IF(BH731=1,"INVALID – result not yet available (awaiting / TBC)",IF(BG731=1,"INVALID – result describes a problem: record Fail, then Pass after CA (or reword if it is not a problem)",IF(BV731=1,"INVALID – wording says not on board: an on-board confirmation needs the item loaded",IF(AND(AQ731=1,OR(OR(LEN(AY731)&lt;3,ISNUMBER(MATCH(AY731,L_Placeholder,0))),BJ731=1,BQ731=0)),"INVALID – batch ID missing, placeholder or not an ID (e.g. PASB-261008-BC-017)",IF(AND(AR731=1,OR(NOT(ISNUMBER(X731)),NOT(ISNUMBER(Y731)))),"INVALID – expected/actual qty missing",IF(AND(AR731=1,OR(X731&lt;=0,Y731&lt;0)),"INVALID – expected qty must be above 0 and actual not negative",IF(BB731&lt;&gt;"",BB731,IF(AND(AS731=1,Documents!$J$26&lt;&gt;"ON FILE"),"INVALID – GLD not on file (Documents sheet)",IF(AND(AS731=2,Documents!$O$26&lt;&gt;"ON FILE"),"INVALID – menu checklist not on file (Documents sheet)",IF(AND(AS731=3,NOT(ISNUMBER(Flights!$AX$26))),"INVALID – enter carrying flight KUL departure (Flights AX)",IF(AND(AS731=3,OR(Flights!$AZ$26&gt;Flights!$AA$26,Flights!$AX$26&lt;Flights!$AA$26-3)),"INVALID – carrying flight (Flights AX) cannot arrive before this leg's STD, or is over 3 days early",IF(AG731&gt;AsOfUTC,"INVALID – completion time is in the future",IF(AND(ISNUMBER(BY731),AG731&lt;BY731),IF(H731="Physical uplift","INVALID – before uplift window (cannot confirm loading)","INVALID – before valid window"),IF(AG731&gt;Flights!$AA$26,"INVALID – completed after departure (cannot establish readiness)",IF(AND(H731="Preparation",AG731&gt;=IF(ISNUMBER(Flights!$BA$26),MIN(Flights!$BA$26,Flights!$AA$26),Flights!$AA$26)),"INVALID – completed after loading / departure (cannot establish readiness)",IF(AND(H731="Physical uplift",AG731&gt;Q731),"INVALID – recorded after the loading flight departed",IF(AG731&gt;Q731,"COMPLETE – LATE","COMPLETE"))))))))))))))))))))))))),IF(TRIM(U731)="Fail","FAIL – DISCREPANCY",IF(AND(TRIM(U731)&lt;&gt;"",TRIM(U731)&lt;&gt;"Not started",TRIM(U731)&lt;&gt;"In progress"),"INVALID – unrecognised status (use the list)",IF(AsOfUTC&gt;Q731,"OVERDUE",IF(N731="Clarification required","OPEN – CLARIFICATION","OPEN"))))))),"INVALID – error value in an input cell")</f>
        <v>OPEN</v>
      </c>
      <c r="AI731" s="61" t="n">
        <f aca="false">IF(OR(AH731="N/A – RULE",AH731="N/A – JUSTIFIED"),0,1)</f>
        <v>1</v>
      </c>
      <c r="AJ731" s="61" t="n">
        <f aca="false">IF(LEFT(AH731,8)="COMPLETE",1,0)</f>
        <v>0</v>
      </c>
      <c r="AK731" s="61" t="n">
        <f aca="false">IF(AND(AI731=1,AJ731=0,AsOfUTC&gt;Q731),1,0)</f>
        <v>0</v>
      </c>
      <c r="AL731" s="61" t="n">
        <f aca="false">IFERROR(IF(AND(AI731=1,OR(TRIM(U731)="Fail",AND(TRIM(AB731)&lt;&gt;"",TRIM(AB731)&lt;&gt;"Closed"),AND(ISNUMBER(AF731),AF731&lt;&gt;0,TRIM(U731)&lt;&gt;"Pass after CA"))),1,0),1)</f>
        <v>0</v>
      </c>
      <c r="AM731" s="61" t="n">
        <f aca="false">IF(LEFT(AH731,7)="INVALID",1,0)</f>
        <v>0</v>
      </c>
      <c r="AN731" s="61" t="n">
        <f aca="false">IF(AND(N731="Clarification required",AI731=1,AJ731=0),1,0)</f>
        <v>0</v>
      </c>
      <c r="AO731" s="61" t="str">
        <f aca="false">IF(AK731=1,SUM(AK$5:AK731),"")</f>
        <v/>
      </c>
      <c r="AP731" s="61" t="str">
        <f aca="false">IF(AL731=1,SUM(AL$5:AL731),"")</f>
        <v/>
      </c>
      <c r="AQ731" s="61" t="n">
        <v>0</v>
      </c>
      <c r="AR731" s="61" t="n">
        <v>0</v>
      </c>
      <c r="AS731" s="61" t="n">
        <v>0</v>
      </c>
      <c r="AT731" s="61" t="n">
        <v>0</v>
      </c>
      <c r="AU731" s="61" t="str">
        <f aca="false">SUBSTITUTE(SUBSTITUTE(SUBSTITUTE(SUBSTITUTE(SUBSTITUTE(SUBSTITUTE(SUBSTITUTE(SUBSTITUTE(SUBSTITUTE(SUBSTITUTE(SUBSTITUTE(SUBSTITUTE(SUBSTITUTE(SUBSTITUTE(SUBSTITUTE(SUBSTITUTE(LOWER(T731&amp;""),CHAR(10),""),CHAR(13),""),CHAR(9),""),CHAR(160),"")," ",""),".",""),"-",""),"/",""),"?",""),"_",""),",",""),"[",""),"]",""),"(",""),")",""),"*","")</f>
        <v/>
      </c>
      <c r="AV731" s="61" t="str">
        <f aca="false">SUBSTITUTE(SUBSTITUTE(SUBSTITUTE(SUBSTITUTE(SUBSTITUTE(SUBSTITUTE(SUBSTITUTE(SUBSTITUTE(SUBSTITUTE(SUBSTITUTE(SUBSTITUTE(SUBSTITUTE(SUBSTITUTE(SUBSTITUTE(SUBSTITUTE(SUBSTITUTE(LOWER(V731&amp;""),CHAR(10),""),CHAR(13),""),CHAR(9),""),CHAR(160),"")," ",""),".",""),"-",""),"/",""),"?",""),"_",""),",",""),"[",""),"]",""),"(",""),")",""),"*","")</f>
        <v/>
      </c>
      <c r="AW731" s="61" t="str">
        <f aca="false">SUBSTITUTE(SUBSTITUTE(SUBSTITUTE(SUBSTITUTE(SUBSTITUTE(SUBSTITUTE(SUBSTITUTE(SUBSTITUTE(SUBSTITUTE(SUBSTITUTE(SUBSTITUTE(SUBSTITUTE(SUBSTITUTE(SUBSTITUTE(SUBSTITUTE(SUBSTITUTE(LOWER(Z731&amp;""),CHAR(10),""),CHAR(13),""),CHAR(9),""),CHAR(160),"")," ",""),".",""),"-",""),"/",""),"?",""),"_",""),",",""),"[",""),"]",""),"(",""),")",""),"*","")</f>
        <v/>
      </c>
      <c r="AX731" s="61" t="str">
        <f aca="false">SUBSTITUTE(SUBSTITUTE(SUBSTITUTE(SUBSTITUTE(SUBSTITUTE(SUBSTITUTE(SUBSTITUTE(SUBSTITUTE(SUBSTITUTE(SUBSTITUTE(SUBSTITUTE(SUBSTITUTE(SUBSTITUTE(SUBSTITUTE(SUBSTITUTE(SUBSTITUTE(LOWER(AE731&amp;""),CHAR(10),""),CHAR(13),""),CHAR(9),""),CHAR(160),"")," ",""),".",""),"-",""),"/",""),"?",""),"_",""),",",""),"[",""),"]",""),"(",""),")",""),"*","")</f>
        <v/>
      </c>
      <c r="AY731" s="61" t="str">
        <f aca="false">SUBSTITUTE(SUBSTITUTE(SUBSTITUTE(SUBSTITUTE(SUBSTITUTE(SUBSTITUTE(SUBSTITUTE(SUBSTITUTE(SUBSTITUTE(SUBSTITUTE(SUBSTITUTE(SUBSTITUTE(SUBSTITUTE(SUBSTITUTE(SUBSTITUTE(SUBSTITUTE(LOWER(W731&amp;""),CHAR(10),""),CHAR(13),""),CHAR(9),""),CHAR(160),"")," ",""),".",""),"-",""),"/",""),"?",""),"_",""),",",""),"[",""),"]",""),"(",""),")",""),"*","")</f>
        <v/>
      </c>
      <c r="AZ731" s="61" t="str">
        <f aca="false">SUBSTITUTE(SUBSTITUTE(SUBSTITUTE(SUBSTITUTE(SUBSTITUTE(SUBSTITUTE(SUBSTITUTE(SUBSTITUTE(SUBSTITUTE(SUBSTITUTE(SUBSTITUTE(SUBSTITUTE(SUBSTITUTE(SUBSTITUTE(SUBSTITUTE(SUBSTITUTE(LOWER(AC731&amp;""),CHAR(10),""),CHAR(13),""),CHAR(9),""),CHAR(160),"")," ",""),".",""),"-",""),"/",""),"?",""),"_",""),",",""),"[",""),"]",""),"(",""),")",""),"*","")</f>
        <v/>
      </c>
      <c r="BA731" s="61" t="str">
        <f aca="false">SUBSTITUTE(SUBSTITUTE(SUBSTITUTE(SUBSTITUTE(SUBSTITUTE(SUBSTITUTE(SUBSTITUTE(SUBSTITUTE(SUBSTITUTE(SUBSTITUTE(SUBSTITUTE(SUBSTITUTE(SUBSTITUTE(SUBSTITUTE(SUBSTITUTE(SUBSTITUTE(LOWER(AA731&amp;""),CHAR(10),""),CHAR(13),""),CHAR(9),""),CHAR(160),"")," ",""),".",""),"-",""),"/",""),"?",""),"_",""),",",""),"[",""),"]",""),"(",""),")",""),"*","")</f>
        <v/>
      </c>
      <c r="BB731" s="61" t="str">
        <f aca="false">IF(AND(TRIM(U731)="Pass",ISNUMBER(AF731)),IF(AF731&lt;&gt;0,"INVALID – qty variance: use Fail or Pass after CA",""),"")&amp;IF(AND(TRIM(U731)="Pass after CA",ISNUMBER(AF731)),IF(AF731&lt;&gt;0,"INVALID – after the corrective action the actual qty must equal expected (update Actual)",""),"")&amp;IF(AND(TRIM(U731)="Pass",TRIM(AB731)&lt;&gt;"",TRIM(AB731)&lt;&gt;"Closed"),"INVALID – corrective action not closed: use Fail, then Pass after CA","")&amp;IF(AND(LEN(BA731)&gt;=2,ISNA(MATCH(LEFT(BA731,255),L_Placeholder,0)),TRIM(AB731)=""),"INVALID – CA status missing for the recorded corrective action","")&amp;IF(AND(TRIM(U731)="Pass after CA",OR(OR(LEN(BA731)&lt;5,ISNUMBER(MATCH(BA731,L_Placeholder,0))),TRIM(AB731)&lt;&gt;"Closed")),"INVALID – corrective action not recorded/closed","")</f>
        <v/>
      </c>
      <c r="BC731" s="61" t="str">
        <f aca="false">" "&amp;TRIM(SUBSTITUTE(SUBSTITUTE(SUBSTITUTE(SUBSTITUTE(SUBSTITUTE(SUBSTITUTE(SUBSTITUTE(SUBSTITUTE(SUBSTITUTE(SUBSTITUTE(SUBSTITUTE(SUBSTITUTE(SUBSTITUTE(SUBSTITUTE(SUBSTITUTE(SUBSTITUTE(SUBSTITUTE(SUBSTITUTE(SUBSTITUTE(SUBSTITUTE(SUBSTITUTE(SUBSTITUTE(SUBSTITUTE(SUBSTITUTE(LOWER(V731&amp;""),CHAR(10)," "),CHAR(13)," "),CHAR(9)," "),CHAR(160)," "),"."," "),","," "),"-"," "),"/"," "),"("," "),")"," "),":"," "),";"," "),"_"," "),"–"," "),"?"," "),"!"," "),"*"," "),"["," "),"]"," "),"'"," "),"#"," "),"+"," "),"&amp;"," "),"\"," "))&amp;" "</f>
        <v>  </v>
      </c>
      <c r="BD731" s="61" t="str">
        <f aca="false">" "&amp;TRIM(SUBSTITUTE(SUBSTITUTE(SUBSTITUTE(SUBSTITUTE(SUBSTITUTE(SUBSTITUTE(SUBSTITUTE(SUBSTITUTE(SUBSTITUTE(SUBSTITUTE(SUBSTITUTE(SUBSTITUTE(SUBSTITUTE(SUBSTITUTE(SUBSTITUTE(SUBSTITUTE(SUBSTITUTE(SUBSTITUTE(SUBSTITUTE(SUBSTITUTE(SUBSTITUTE(SUBSTITUTE(SUBSTITUTE(SUBSTITUTE(LOWER(Z731&amp;""),CHAR(10)," "),CHAR(13)," "),CHAR(9)," "),CHAR(160)," "),"."," "),","," "),"-"," "),"/"," "),"("," "),")"," "),":"," "),";"," "),"_"," "),"–"," "),"?"," "),"!"," "),"*"," "),"["," "),"]"," "),"'"," "),"#"," "),"+"," "),"&amp;"," "),"\"," "))&amp;" "</f>
        <v>  </v>
      </c>
      <c r="BE731" s="61" t="str">
        <f aca="false">" "&amp;TRIM(SUBSTITUTE(SUBSTITUTE(SUBSTITUTE(SUBSTITUTE(SUBSTITUTE(SUBSTITUTE(SUBSTITUTE(SUBSTITUTE(SUBSTITUTE(SUBSTITUTE(SUBSTITUTE(SUBSTITUTE(SUBSTITUTE(SUBSTITUTE(SUBSTITUTE(SUBSTITUTE(SUBSTITUTE(SUBSTITUTE(SUBSTITUTE(SUBSTITUTE(SUBSTITUTE(SUBSTITUTE(SUBSTITUTE(SUBSTITUTE(LOWER(W731&amp;""),CHAR(10)," "),CHAR(13)," "),CHAR(9)," "),CHAR(160)," "),"."," "),","," "),"-"," "),"/"," "),"("," "),")"," "),":"," "),";"," "),"_"," "),"–"," "),"?"," "),"!"," "),"*"," "),"["," "),"]"," "),"'"," "),"#"," "),"+"," "),"&amp;"," "),"\"," "))&amp;" "</f>
        <v>  </v>
      </c>
      <c r="BF731" s="61" t="str">
        <f aca="false">" "&amp;TRIM(SUBSTITUTE(SUBSTITUTE(SUBSTITUTE(SUBSTITUTE(SUBSTITUTE(SUBSTITUTE(SUBSTITUTE(SUBSTITUTE(SUBSTITUTE(SUBSTITUTE(SUBSTITUTE(SUBSTITUTE(SUBSTITUTE(SUBSTITUTE(SUBSTITUTE(SUBSTITUTE(SUBSTITUTE(SUBSTITUTE(SUBSTITUTE(SUBSTITUTE(SUBSTITUTE(SUBSTITUTE(SUBSTITUTE(SUBSTITUTE(LOWER(AC731&amp;""),CHAR(10)," "),CHAR(13)," "),CHAR(9)," "),CHAR(160)," "),"."," "),","," "),"-"," "),"/"," "),"("," "),")"," "),":"," "),";"," "),"_"," "),"–"," "),"?"," "),"!"," "),"*"," "),"["," "),"]"," "),"'"," "),"#"," "),"+"," "),"&amp;"," "),"\"," "))&amp;" "</f>
        <v>  </v>
      </c>
      <c r="BG731" s="61" t="n">
        <f aca="false">IFERROR(IF(AND(TRIM(U731)="Pass",SUMPRODUCT((LEN(BC731)-LEN(SUBSTITUTE(BC731," "&amp;L_ResultBad&amp;" "," ")))/(LEN(L_ResultBad)+1))&gt;SUMPRODUCT((LEN(BC731)-LEN(SUBSTITUTE(BC731," "&amp;L_NegPhrase&amp;" "," ")))/(LEN(L_NegPhrase)+1))),1,0),0)</f>
        <v>0</v>
      </c>
      <c r="BH731" s="61" t="n">
        <f aca="false">IFERROR(IF(SUMPRODUCT((LEN(BC731)-LEN(SUBSTITUTE(BC731," "&amp;L_Pending&amp;" "," ")))/(LEN(L_Pending)+1))&gt;SUMPRODUCT((LEN(BC731)-LEN(SUBSTITUTE(BC731," "&amp;L_PendNeg&amp;" "," ")))/(LEN(L_PendNeg)+1))+SUMPRODUCT((LEN(BC731)-LEN(SUBSTITUTE(BC731," "&amp;L_PendPrep&amp;" "," ")))/(LEN(L_PendPrep)+1)),1,0),1)</f>
        <v>0</v>
      </c>
      <c r="BI731" s="61" t="n">
        <f aca="false">IFERROR(IF(SUMPRODUCT((LEN(BD731)-LEN(SUBSTITUTE(BD731," "&amp;L_PendStrict&amp;" "," ")))/(LEN(L_PendStrict)+1))&gt;SUMPRODUCT((LEN(BD731)-LEN(SUBSTITUTE(BD731," "&amp;L_PendNeg&amp;" "," ")))/(LEN(L_PendNeg)+1)),1,0),1)</f>
        <v>0</v>
      </c>
      <c r="BJ731" s="61" t="n">
        <f aca="false">IFERROR(IF(SUMPRODUCT((LEN(BE731)-LEN(SUBSTITUTE(BE731," "&amp;L_Pending&amp;" "," ")))/(LEN(L_Pending)+1))&gt;SUMPRODUCT((LEN(BE731)-LEN(SUBSTITUTE(BE731," "&amp;L_PendNeg&amp;" "," ")))/(LEN(L_PendNeg)+1))+SUMPRODUCT((LEN(BE731)-LEN(SUBSTITUTE(BE731," "&amp;L_PendPrep&amp;" "," ")))/(LEN(L_PendPrep)+1)),1,0),1)</f>
        <v>0</v>
      </c>
      <c r="BK731" s="61" t="n">
        <f aca="false">IFERROR(IF(SUMPRODUCT((LEN(BF731)-LEN(SUBSTITUTE(BF731," "&amp;L_PendStrict&amp;" "," ")))/(LEN(L_PendStrict)+1))&gt;SUMPRODUCT((LEN(BF731)-LEN(SUBSTITUTE(BF731," "&amp;L_PendNeg&amp;" "," ")))/(LEN(L_PendNeg)+1)),1,0),1)</f>
        <v>0</v>
      </c>
      <c r="BL731" s="61" t="n">
        <f aca="false">IF(ISNA(MATCH(TRIM(S731),L_EvidenceType,0)),0,BZ731)</f>
        <v>0</v>
      </c>
      <c r="BM731" s="61" t="str">
        <f aca="false">SUBSTITUTE(SUBSTITUTE(SUBSTITUTE(SUBSTITUTE(SUBSTITUTE(SUBSTITUTE(SUBSTITUTE(SUBSTITUTE(SUBSTITUTE(LOWER(Z731&amp;""),"1","0"),"2","0"),"3","0"),"4","0"),"5","0"),"6","0"),"7","0"),"8","0"),"9","0")</f>
        <v/>
      </c>
      <c r="BN731" s="61" t="str">
        <f aca="false">SUBSTITUTE(SUBSTITUTE(SUBSTITUTE(SUBSTITUTE(SUBSTITUTE(SUBSTITUTE(SUBSTITUTE(SUBSTITUTE(SUBSTITUTE(SUBSTITUTE(SUBSTITUTE(SUBSTITUTE(SUBSTITUTE(SUBSTITUTE(SUBSTITUTE(SUBSTITUTE(SUBSTITUTE(SUBSTITUTE(SUBSTITUTE(SUBSTITUTE(SUBSTITUTE(SUBSTITUTE(SUBSTITUTE(SUBSTITUTE(SUBSTITUTE(BM731,"b","a"),"c","a"),"d","a"),"e","a"),"f","a"),"g","a"),"h","a"),"i","a"),"j","a"),"k","a"),"l","a"),"m","a"),"n","a"),"o","a"),"p","a"),"q","a"),"r","a"),"s","a"),"t","a"),"u","a"),"v","a"),"w","a"),"x","a"),"y","a"),"z","a")</f>
        <v/>
      </c>
      <c r="BO731" s="61" t="str">
        <f aca="false">SUBSTITUTE(SUBSTITUTE(SUBSTITUTE(SUBSTITUTE(SUBSTITUTE(SUBSTITUTE(SUBSTITUTE(SUBSTITUTE(SUBSTITUTE(LOWER(W731&amp;""),"1","0"),"2","0"),"3","0"),"4","0"),"5","0"),"6","0"),"7","0"),"8","0"),"9","0")</f>
        <v/>
      </c>
      <c r="BP731" s="61" t="str">
        <f aca="false">SUBSTITUTE(SUBSTITUTE(SUBSTITUTE(SUBSTITUTE(SUBSTITUTE(SUBSTITUTE(SUBSTITUTE(SUBSTITUTE(SUBSTITUTE(SUBSTITUTE(SUBSTITUTE(SUBSTITUTE(SUBSTITUTE(SUBSTITUTE(SUBSTITUTE(SUBSTITUTE(SUBSTITUTE(SUBSTITUTE(SUBSTITUTE(SUBSTITUTE(SUBSTITUTE(SUBSTITUTE(SUBSTITUTE(SUBSTITUTE(SUBSTITUTE(BO731,"b","a"),"c","a"),"d","a"),"e","a"),"f","a"),"g","a"),"h","a"),"i","a"),"j","a"),"k","a"),"l","a"),"m","a"),"n","a"),"o","a"),"p","a"),"q","a"),"r","a"),"s","a"),"t","a"),"u","a"),"v","a"),"w","a"),"x","a"),"y","a"),"z","a")</f>
        <v/>
      </c>
      <c r="BQ731" s="61" t="n">
        <f aca="false">IFERROR(IF(AND(ISERROR(SEARCH(" mh"," "&amp;LOWER(W731))),ISNA(MATCH(LEFT(TRIM(BP731),255),{"0000a","000a","00a","0000aa","000aa","00aa","0aa","0000aaa","000aaa","00a00","0a00","0000-0000","00:00","a00","a0","00.00.0000","00/00/0000","00-00-0000","0000-00-00","0000/00/00","0000.00.00","00.00.00","00/00/00","00-00-00","0.00.0000","0/00/0000","0-00-0000"},0)),ISNA(MATCH(LEFT(TRIM(CA731),255),{"0000a","000a","00a","0000aa","000aa","00aa","0aa","0000aaa","000aaa","00a00","0a00","0000-0000","00:00","a00","a0","00.00.0000","00/00/0000","00-00-0000","0000-00-00","0000/00/00","0000.00.00","00.00.00","00/00/00","00-00-00","0.00.0000","0/00/0000","0-00-0000"},0)),LEN(CB731)&gt;=3,NOT(OR(SUBSTITUTE(CB731,"0","")="",AND(LEN(CB731)&gt;=4,CB731=REPT(LEFT(CB731),LEN(CB731))),ISNUMBER(MATCH(CB731,{"123","1234","12345","123456","1234567","12345678","0123","01234","012345","98765","987654","54321"},0)),AND(LEN(CB731)=8,LEFT(CB731,3)="202"))),OR(AND((LEN(CA731)-LEN(SUBSTITUTE(CA731,"a","")))&gt;=1,SUMPRODUCT(--ISNUMBER(SEARCH({"a0","a-0","a_0","a/0","a.0","a#0","0a","0-a","0_a","0/a"},BP731)))&gt;0),ISNUMBER(SEARCH("000000",BP731)))),1,0),0)</f>
        <v>0</v>
      </c>
      <c r="BR731" s="61" t="n">
        <f aca="false">IFERROR(LEN(SUBSTITUTE(CC731," ",""))-SUMPRODUCT((LEN(CC731)-LEN(SUBSTITUTE(CC731," "&amp;L_Role&amp;" "," ")))/(LEN(L_Role)+1)*LEN(L_Role)),0)</f>
        <v>0</v>
      </c>
      <c r="BS731" s="61" t="n">
        <f aca="false">IFERROR(LEN(SUBSTITUTE(CD731," ",""))-SUMPRODUCT((LEN(CD731)-LEN(SUBSTITUTE(CD731," "&amp;L_Role&amp;" "," ")))/(LEN(L_Role)+1)*LEN(L_Role)),0)</f>
        <v>0</v>
      </c>
      <c r="BT7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731,"revision",""),"version",""),"jan",""),"feb",""),"mar",""),"apr",""),"may",""),"jun",""),"jul",""),"aug",""),"sep",""),"oct",""),"nov",""),"dec",""),"utc",""),"gmt",""),"myt",""),"bst",""),"rev",""),"ver",""),"b","a"),"c","a"),"d","a"),"e","a"),"f","a"),"g","a"),"h","a"),"i","a"),"j","a"),"k","a"),"l","a"),"m","a"),"n","a"),"o","a"),"p","a"),"q","a"),"r","a"),"s","a"),"t","a"),"u","a"),"v","a"),"w","a"),"x","a"),"y","a"),"z","a")</f>
        <v/>
      </c>
      <c r="BU731" s="61" t="str">
        <f aca="false">SUBSTITUTE(SUBSTITUTE(SUBSTITUTE(SUBSTITUTE(SUBSTITUTE(SUBSTITUTE(SUBSTITUTE(SUBSTITUTE(SUBSTITUTE(SUBSTITUTE(LEFT(BM731,FIND("0",BM731&amp;"0")-1),"-",""),"_",""),"/",""),".",""),"#",""),"\\",""),":","")," ",""),"(",""),")","")</f>
        <v/>
      </c>
      <c r="BV731" s="61" t="n">
        <f aca="false">0</f>
        <v>0</v>
      </c>
      <c r="BW73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731&amp;""),"a",""),"b",""),"c",""),"d",""),"e",""),"f",""),"g",""),"h",""),"i",""),"j",""),"k",""),"l",""),"m",""),"n",""),"o",""),"p",""),"q",""),"r",""),"s",""),"t",""),"u",""),"v",""),"w",""),"x",""),"y",""),"z",""),"-",""),"_",""),"/",""),".",""),"#",""),"\\",""),":","")," ",""),"(",""),")","")</f>
        <v/>
      </c>
      <c r="BX731" s="61" t="str">
        <f aca="false">SUBSTITUTE(SUBSTITUTE(SUBSTITUTE(SUBSTITUTE(SUBSTITUTE(SUBSTITUTE(SUBSTITUTE(SUBSTITUTE(SUBSTITUTE(SUBSTITUTE(SUBSTITUTE(BM731,"0",""),"-",""),"_",""),"/",""),".",""),"#",""),"\\",""),":","")," ",""),"(",""),")","")</f>
        <v/>
      </c>
      <c r="BY731" s="62" t="n">
        <f aca="false">Q731-T12EarlyH/24</f>
        <v>46324.6388888889</v>
      </c>
      <c r="BZ731" s="61" t="n">
        <f aca="false">IFERROR(IF(IF(TRIM(S731)="Link / file path",AND(LEN(TRIM(Z731))&gt;=5,SUMPRODUCT(--ISNUMBER(SEARCH({"http","www.","\\",":\",".pdf",".jpg",".jpeg",".png",".heic",".xls",".doc",".msg",".eml",".ppt",".txt",".zip"},Z731)))&gt;0),AND(ISERROR(FIND(" ",TRIM(Z731))),NOT(OR(SUMPRODUCT(--ISNUMBER(FIND({",",";","&amp;","+"},Z731)))&gt;0,SUMPRODUCT(--ISNUMBER(SEARCH({"0/aa","0\\aa"},BN731)))&gt;0)),NOT(SUMPRODUCT(--ISNUMBER(SEARCH({"http","www.","\\",":\",".pdf",".jpg",".jpeg",".png",".heic",".xls",".doc",".msg",".eml",".ppt",".txt",".zip"},Z731)))&gt;0),NOT(LOWER(TRIM(Z731))=LOWER(Flights!$F$26)),ISNA(MATCH(BU731,{"mh","rev","revision","ver","version","v","r","a","b","seat","tray","row","gate","bay","stand","page","pg","item","line","no","cart","galley","flight","flt","table","box","bag","oven","etd","eta","std","sta","atd","ata","qty","pax","x","time","tel","ph","mob","day","wk","week","utc","gmt","myt","lt"},0)),NOT(OR(ISNUMBER(MATCH(LEFT(BN731,255),{"0000a","000a","00a","0000aa","000aa","00aa","0aa","0000aaa","000aaa","00a00","0a00","0000-0000","00:00","a00","a0","00.00.0000","00/00/0000","00-00-0000","0000-00-00","0000/00/00","0000.00.00","00.00.00","00/00/00","00-00-00","0.00.0000","0/00/0000","0-00-0000"},0)),ISNUMBER(MATCH(LEFT(BT731,255),{"0000a","000a","00a","0000aa","000aa","00aa","0aa","0000aaa","000aaa","00a00","0a00","0000-0000","00:00","a00","a0","00.00.0000","00/00/0000","00-00-0000","0000-00-00","0000/00/00","0000.00.00","00.00.00","00/00/00","00-00-00","0.00.0000","0/00/0000","0-00-0000"},0)))),NOT(OR(AND(BW731&lt;&gt;"",SUBSTITUTE(BW731,"0","")=""),AND(LEN(BW731)&gt;=4,BW731=REPT(LEFT(BW731),LEN(BW731))),ISNUMBER(MATCH(BW731,{"123","1234","12345","123456","1234567","12345678","0123","01234","012345","98765","987654","54321"},0)),ISNUMBER(MATCH(BX731,{"x","xx","xxx","xxxx","xxxxx","abc","abcd","nil","na","nan","test","tbc","tba","tbd","dummy","sample","example","eg","zz","zzz","none","null","xyz","qwe","asd","id","ref"},0)),AND(LEN(BW731)=8,BX731="",OR(LEFT(BW731,3)="202",ISNUMBER(MATCH(RIGHT(BW731,4),{"2025","2026","2027"},0)))))),OR(AND((LEN(BT731)-LEN(SUBSTITUTE(BT731,"a","")))&gt;=1,(LEN(BN731)-LEN(SUBSTITUTE(BN731,"0","")))&gt;=2,SUMPRODUCT(--ISNUMBER(SEARCH({"a0","a-0","a_0","a/0","a.0","a#0","0a","0-a","0_a","0/a"},BN731)))&gt;0),AND((LEN(BN731)-LEN(SUBSTITUTE(BN731,"a","")))=0,(LEN(BN731)-LEN(SUBSTITUTE(BN731,"0","")))&gt;=5)))),1,0),0)</f>
        <v>0</v>
      </c>
      <c r="CA7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731,"revision",""),"version",""),"jan",""),"feb",""),"mar",""),"apr",""),"may",""),"jun",""),"jul",""),"aug",""),"sep",""),"oct",""),"nov",""),"dec",""),"utc",""),"gmt",""),"myt",""),"bst",""),"rev",""),"ver",""),"b","a"),"c","a"),"d","a"),"e","a"),"f","a"),"g","a"),"h","a"),"i","a"),"j","a"),"k","a"),"l","a"),"m","a"),"n","a"),"o","a"),"p","a"),"q","a"),"r","a"),"s","a"),"t","a"),"u","a"),"v","a"),"w","a"),"x","a"),"y","a"),"z","a")</f>
        <v/>
      </c>
      <c r="CB73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731&amp;""),"a",""),"b",""),"c",""),"d",""),"e",""),"f",""),"g",""),"h",""),"i",""),"j",""),"k",""),"l",""),"m",""),"n",""),"o",""),"p",""),"q",""),"r",""),"s",""),"t",""),"u",""),"v",""),"w",""),"x",""),"y",""),"z",""),"-",""),"_",""),"/",""),".",""),"#",""),"\\",""),":","")," ",""),"(",""),")","")</f>
        <v/>
      </c>
      <c r="CC731" s="0" t="str">
        <f aca="false">" "&amp;TRIM(SUBSTITUTE(SUBSTITUTE(SUBSTITUTE(SUBSTITUTE(SUBSTITUTE(SUBSTITUTE(SUBSTITUTE(SUBSTITUTE(SUBSTITUTE(SUBSTITUTE(SUBSTITUTE(SUBSTITUTE(SUBSTITUTE(SUBSTITUTE(SUBSTITUTE(SUBSTITUTE(SUBSTITUTE(SUBSTITUTE(SUBSTITUTE(SUBSTITUTE(SUBSTITUTE(SUBSTITUTE(SUBSTITUTE(SUBSTITUTE(LOWER(T731&amp;""),CHAR(10)," "),CHAR(13)," "),CHAR(9)," "),CHAR(160)," "),"."," "),","," "),"-"," "),"/"," "),"("," "),")"," "),":"," "),";"," "),"_"," "),"–"," "),"?"," "),"!"," "),"*"," "),"["," "),"]"," "),"'"," "),"#"," "),"+"," "),"&amp;"," "),"\"," "))&amp;" "</f>
        <v>  </v>
      </c>
      <c r="CD731" s="0" t="str">
        <f aca="false">" "&amp;TRIM(SUBSTITUTE(SUBSTITUTE(SUBSTITUTE(SUBSTITUTE(SUBSTITUTE(SUBSTITUTE(SUBSTITUTE(SUBSTITUTE(SUBSTITUTE(SUBSTITUTE(SUBSTITUTE(SUBSTITUTE(SUBSTITUTE(SUBSTITUTE(SUBSTITUTE(SUBSTITUTE(SUBSTITUTE(SUBSTITUTE(SUBSTITUTE(SUBSTITUTE(SUBSTITUTE(SUBSTITUTE(SUBSTITUTE(SUBSTITUTE(LOWER(AE731&amp;""),CHAR(10)," "),CHAR(13)," "),CHAR(9)," "),CHAR(160)," "),"."," "),","," "),"-"," "),"/"," "),"("," "),")"," "),":"," "),";"," "),"_"," "),"–"," "),"?"," "),"!"," "),"*"," "),"["," "),"]"," "),"'"," "),"#"," "),"+"," "),"&amp;"," "),"\"," "))&amp;" "</f>
        <v>  </v>
      </c>
      <c r="CE731" s="68" t="n">
        <f aca="false">IFERROR(IF(AND(LEN(AU731)&gt;0,LEN(AU731)=LEN(AX731),OR(TRIM(MID(SUBSTITUTE(TRIM(CC731)," ",REPT(" ",60)),1,60))="",ISNUMBER(SEARCH(" "&amp;TRIM(MID(SUBSTITUTE(TRIM(CC731)," ",REPT(" ",60)),1,60))&amp;" ",CD731))),OR(TRIM(MID(SUBSTITUTE(TRIM(CC731)," ",REPT(" ",60)),61,60))="",ISNUMBER(SEARCH(" "&amp;TRIM(MID(SUBSTITUTE(TRIM(CC731)," ",REPT(" ",60)),61,60))&amp;" ",CD731))),OR(TRIM(MID(SUBSTITUTE(TRIM(CC731)," ",REPT(" ",60)),121,60))="",ISNUMBER(SEARCH(" "&amp;TRIM(MID(SUBSTITUTE(TRIM(CC731)," ",REPT(" ",60)),121,60))&amp;" ",CD731)))),1,0),0)</f>
        <v>0</v>
      </c>
      <c r="CG731" s="68" t="n">
        <f aca="false">IFERROR(LEN(SUBSTITUTE(BF731," ",""))-SUMPRODUCT((LEN(BF731)-LEN(SUBSTITUTE(BF731," "&amp;L_NAFiller&amp;" "," ")))/(LEN(L_NAFiller)+1)*LEN(L_NAFiller)),0)</f>
        <v>0</v>
      </c>
    </row>
    <row r="732" customFormat="false" ht="39.75" hidden="false" customHeight="true" outlineLevel="0" collapsed="false">
      <c r="A732" s="57" t="s">
        <v>1466</v>
      </c>
      <c r="B732" s="57" t="s">
        <v>312</v>
      </c>
      <c r="C732" s="57" t="str">
        <f aca="false">Flights!$F$26</f>
        <v>MH0002</v>
      </c>
      <c r="D732" s="58" t="n">
        <f aca="false">Flights!$D$26</f>
        <v>46325</v>
      </c>
      <c r="E732" s="57" t="str">
        <f aca="false">Flights!$G$26&amp;"-"&amp;Flights!$H$26</f>
        <v>KUL-LHR</v>
      </c>
      <c r="F732" s="57" t="str">
        <f aca="false">Flights!$K$26</f>
        <v>BC</v>
      </c>
      <c r="G732" s="57" t="s">
        <v>420</v>
      </c>
      <c r="H732" s="57" t="s">
        <v>378</v>
      </c>
      <c r="I732" s="57" t="s">
        <v>629</v>
      </c>
      <c r="J732" s="57" t="s">
        <v>630</v>
      </c>
      <c r="K732" s="67" t="s">
        <v>501</v>
      </c>
      <c r="L732" s="67" t="s">
        <v>756</v>
      </c>
      <c r="M732" s="67" t="s">
        <v>187</v>
      </c>
      <c r="N732" s="67" t="s">
        <v>383</v>
      </c>
      <c r="O732" s="67" t="s">
        <v>632</v>
      </c>
      <c r="P732" s="57" t="s">
        <v>187</v>
      </c>
      <c r="Q732" s="59" t="n">
        <f aca="false">ROUND((Flights!$AE$26)*1440,0)/1440</f>
        <v>46325.1388888889</v>
      </c>
      <c r="R732" s="59" t="n">
        <f aca="false">Q732+(IF(AND(INDEX(TZ_DSTS,MATCH(P732,TZ_STN,0))&lt;&gt;"",Q732&gt;=INDEX(TZ_DSTS,MATCH(P732,TZ_STN,0)),Q732&lt;INDEX(TZ_DSTE,MATCH(P732,TZ_STN,0))),INDEX(TZ_DST,MATCH(P732,TZ_STN,0)),INDEX(TZ_STD,MATCH(P732,TZ_STN,0))))/24</f>
        <v>46325.4722222222</v>
      </c>
      <c r="S732" s="60"/>
      <c r="T732" s="60"/>
      <c r="U732" s="60"/>
      <c r="V732" s="60"/>
      <c r="W732" s="61"/>
      <c r="X732" s="60"/>
      <c r="Y732" s="60"/>
      <c r="Z732" s="60"/>
      <c r="AA732" s="60"/>
      <c r="AB732" s="60"/>
      <c r="AC732" s="60"/>
      <c r="AD732" s="66"/>
      <c r="AE732" s="60"/>
      <c r="AF732" s="61" t="str">
        <f aca="false">IF(AND(ISNUMBER(X732),ISNUMBER(Y732)),Y732-X732,"")</f>
        <v/>
      </c>
      <c r="AG732" s="62" t="str">
        <f aca="false">IF(ISNUMBER(AD732),AD732-(IF(AND(INDEX(TZ_DSTS,MATCH(P732,TZ_STN,0))&lt;&gt;"",(AD732-INDEX(TZ_STD,MATCH(P732,TZ_STN,0))/24)&gt;=INDEX(TZ_DSTS,MATCH(P732,TZ_STN,0)),(AD732-INDEX(TZ_STD,MATCH(P732,TZ_STN,0))/24)&lt;INDEX(TZ_DSTE,MATCH(P732,TZ_STN,0))),INDEX(TZ_DST,MATCH(P732,TZ_STN,0)),INDEX(TZ_STD,MATCH(P732,TZ_STN,0))))/24,"")</f>
        <v/>
      </c>
      <c r="AH732" s="65" t="str">
        <f aca="false">IFERROR(IF(N732="N/A – rule",IF(OR(TRIM(U732)="",TRIM(U732)="N/A",TRIM(U732)="Not started"),"N/A – RULE","INVALID – this check does not apply to this aircraft: clear the status (or correct the fleet on Flights)"),IF(TRIM(U732)="N/A",IF(AT732=0,"INVALID – N/A not permitted for this check",IF(AND(TRIM(AB732)&lt;&gt;"",TRIM(AB732)&lt;&gt;"Closed"),"INVALID – corrective action still open",IF(AND(NOT(OR(LEN(AZ732)&lt;15,ISNUMBER(MATCH(AZ732,L_Placeholder,0)))),BK732=0,CG732&gt;=8,NOT(OR(LEN(AU732)&lt;2,ISNUMBER(MATCH(AU732,L_Placeholder,0)))),BR732&gt;=3,NOT(OR(LEN(AX732)&lt;2,ISNUMBER(MATCH(AX732,L_Placeholder,0)))),BS732&gt;=3,TRIM(AE732)&lt;&gt;TRIM(T732),AX732&lt;&gt;AU732,CE732=0),"N/A – JUSTIFIED","INVALID – N/A needs a real, settled reason (not 'not applicable' / 'as above' / TBC), a named PIC and a different named verifier"))),IF(OR(TRIM(U732)="Pass",TRIM(U732)="Pass after CA"),IF(NOT(ISNUMBER(AD732)),"INVALID – completion time missing",IF(OR(OR(LEN(AU732)&lt;2,ISNUMBER(MATCH(AU732,L_Placeholder,0))),BR732&lt;3),"INVALID – PIC missing or not a named person (a role such as QA / CSM is not a name)",IF(OR(LEN(AV732)&lt;2,ISNUMBER(MATCH(AV732,L_Placeholder,0))),"INVALID – result / assessment missing",IF(OR(OR(LEN(AW732)&lt;3,ISNUMBER(MATCH(AW732,L_Placeholder,0))),SUMPRODUCT(--ISNUMBER(SEARCH(" "&amp;L_EvidencePhrase&amp;" ",BD732)))&gt;0,BI732=1),"INVALID – evidence missing, placeholder or not yet on file",IF(ISNA(MATCH(TRIM(S732),L_EvidenceType,0)),"INVALID – choose the evidence type from the list (column S)",IF(BL732=0,"INVALID – evidence ID must be the record's own ID only (e.g. SF-2210, IMG_2231, 1045521); a link / file name needs type 'Link / file path'",IF(OR(OR(LEN(AX732)&lt;2,ISNUMBER(MATCH(AX732,L_Placeholder,0))),BS732&lt;3),"INVALID – verifier missing or not a named person (a role such as QA / CSM is not a name)",IF(OR(AX732=AU732,CE732=1,AND(LEN(AU732)&gt;=4,ISNUMBER(SEARCH(AU732,AX732))),AND(LEN(AX732)&gt;=4,ISNUMBER(SEARCH(AX732,AU732)))),"INVALID – verifier must be a different, named person (not the PIC or a role)",IF(BH732=1,"INVALID – result not yet available (awaiting / TBC)",IF(BG732=1,"INVALID – result describes a problem: record Fail, then Pass after CA (or reword if it is not a problem)",IF(BV732=1,"INVALID – wording says not on board: an on-board confirmation needs the item loaded",IF(AND(AQ732=1,OR(OR(LEN(AY732)&lt;3,ISNUMBER(MATCH(AY732,L_Placeholder,0))),BJ732=1,BQ732=0)),"INVALID – batch ID missing, placeholder or not an ID (e.g. PASB-261008-BC-017)",IF(AND(AR732=1,OR(NOT(ISNUMBER(X732)),NOT(ISNUMBER(Y732)))),"INVALID – expected/actual qty missing",IF(AND(AR732=1,OR(X732&lt;=0,Y732&lt;0)),"INVALID – expected qty must be above 0 and actual not negative",IF(BB732&lt;&gt;"",BB732,IF(AND(AS732=1,Documents!$J$26&lt;&gt;"ON FILE"),"INVALID – GLD not on file (Documents sheet)",IF(AND(AS732=2,Documents!$O$26&lt;&gt;"ON FILE"),"INVALID – menu checklist not on file (Documents sheet)",IF(AND(AS732=3,NOT(ISNUMBER(Flights!$AX$26))),"INVALID – enter carrying flight KUL departure (Flights AX)",IF(AND(AS732=3,OR(Flights!$AZ$26&gt;Flights!$AA$26,Flights!$AX$26&lt;Flights!$AA$26-3)),"INVALID – carrying flight (Flights AX) cannot arrive before this leg's STD, or is over 3 days early",IF(AG732&gt;AsOfUTC,"INVALID – completion time is in the future",IF(AND(ISNUMBER(BY732),AG732&lt;BY732),IF(H732="Physical uplift","INVALID – before uplift window (cannot confirm loading)","INVALID – before valid window"),IF(AG732&gt;Flights!$AA$26,"INVALID – completed after departure (cannot establish readiness)",IF(AND(H732="Preparation",AG732&gt;=IF(ISNUMBER(Flights!$BA$26),MIN(Flights!$BA$26,Flights!$AA$26),Flights!$AA$26)),"INVALID – completed after loading / departure (cannot establish readiness)",IF(AND(H732="Physical uplift",AG732&gt;Q732),"INVALID – recorded after the loading flight departed",IF(AG732&gt;Q732,"COMPLETE – LATE","COMPLETE"))))))))))))))))))))))))),IF(TRIM(U732)="Fail","FAIL – DISCREPANCY",IF(AND(TRIM(U732)&lt;&gt;"",TRIM(U732)&lt;&gt;"Not started",TRIM(U732)&lt;&gt;"In progress"),"INVALID – unrecognised status (use the list)",IF(AsOfUTC&gt;Q732,"OVERDUE",IF(N732="Clarification required","OPEN – CLARIFICATION","OPEN"))))))),"INVALID – error value in an input cell")</f>
        <v>OPEN</v>
      </c>
      <c r="AI732" s="61" t="n">
        <f aca="false">IF(OR(AH732="N/A – RULE",AH732="N/A – JUSTIFIED"),0,1)</f>
        <v>1</v>
      </c>
      <c r="AJ732" s="61" t="n">
        <f aca="false">IF(LEFT(AH732,8)="COMPLETE",1,0)</f>
        <v>0</v>
      </c>
      <c r="AK732" s="61" t="n">
        <f aca="false">IF(AND(AI732=1,AJ732=0,AsOfUTC&gt;Q732),1,0)</f>
        <v>0</v>
      </c>
      <c r="AL732" s="61" t="n">
        <f aca="false">IFERROR(IF(AND(AI732=1,OR(TRIM(U732)="Fail",AND(TRIM(AB732)&lt;&gt;"",TRIM(AB732)&lt;&gt;"Closed"),AND(ISNUMBER(AF732),AF732&lt;&gt;0,TRIM(U732)&lt;&gt;"Pass after CA"))),1,0),1)</f>
        <v>0</v>
      </c>
      <c r="AM732" s="61" t="n">
        <f aca="false">IF(LEFT(AH732,7)="INVALID",1,0)</f>
        <v>0</v>
      </c>
      <c r="AN732" s="61" t="n">
        <f aca="false">IF(AND(N732="Clarification required",AI732=1,AJ732=0),1,0)</f>
        <v>0</v>
      </c>
      <c r="AO732" s="61" t="str">
        <f aca="false">IF(AK732=1,SUM(AK$5:AK732),"")</f>
        <v/>
      </c>
      <c r="AP732" s="61" t="str">
        <f aca="false">IF(AL732=1,SUM(AL$5:AL732),"")</f>
        <v/>
      </c>
      <c r="AQ732" s="61" t="n">
        <v>0</v>
      </c>
      <c r="AR732" s="61" t="n">
        <v>0</v>
      </c>
      <c r="AS732" s="61" t="n">
        <v>0</v>
      </c>
      <c r="AT732" s="61" t="n">
        <v>0</v>
      </c>
      <c r="AU732" s="61" t="str">
        <f aca="false">SUBSTITUTE(SUBSTITUTE(SUBSTITUTE(SUBSTITUTE(SUBSTITUTE(SUBSTITUTE(SUBSTITUTE(SUBSTITUTE(SUBSTITUTE(SUBSTITUTE(SUBSTITUTE(SUBSTITUTE(SUBSTITUTE(SUBSTITUTE(SUBSTITUTE(SUBSTITUTE(LOWER(T732&amp;""),CHAR(10),""),CHAR(13),""),CHAR(9),""),CHAR(160),"")," ",""),".",""),"-",""),"/",""),"?",""),"_",""),",",""),"[",""),"]",""),"(",""),")",""),"*","")</f>
        <v/>
      </c>
      <c r="AV732" s="61" t="str">
        <f aca="false">SUBSTITUTE(SUBSTITUTE(SUBSTITUTE(SUBSTITUTE(SUBSTITUTE(SUBSTITUTE(SUBSTITUTE(SUBSTITUTE(SUBSTITUTE(SUBSTITUTE(SUBSTITUTE(SUBSTITUTE(SUBSTITUTE(SUBSTITUTE(SUBSTITUTE(SUBSTITUTE(LOWER(V732&amp;""),CHAR(10),""),CHAR(13),""),CHAR(9),""),CHAR(160),"")," ",""),".",""),"-",""),"/",""),"?",""),"_",""),",",""),"[",""),"]",""),"(",""),")",""),"*","")</f>
        <v/>
      </c>
      <c r="AW732" s="61" t="str">
        <f aca="false">SUBSTITUTE(SUBSTITUTE(SUBSTITUTE(SUBSTITUTE(SUBSTITUTE(SUBSTITUTE(SUBSTITUTE(SUBSTITUTE(SUBSTITUTE(SUBSTITUTE(SUBSTITUTE(SUBSTITUTE(SUBSTITUTE(SUBSTITUTE(SUBSTITUTE(SUBSTITUTE(LOWER(Z732&amp;""),CHAR(10),""),CHAR(13),""),CHAR(9),""),CHAR(160),"")," ",""),".",""),"-",""),"/",""),"?",""),"_",""),",",""),"[",""),"]",""),"(",""),")",""),"*","")</f>
        <v/>
      </c>
      <c r="AX732" s="61" t="str">
        <f aca="false">SUBSTITUTE(SUBSTITUTE(SUBSTITUTE(SUBSTITUTE(SUBSTITUTE(SUBSTITUTE(SUBSTITUTE(SUBSTITUTE(SUBSTITUTE(SUBSTITUTE(SUBSTITUTE(SUBSTITUTE(SUBSTITUTE(SUBSTITUTE(SUBSTITUTE(SUBSTITUTE(LOWER(AE732&amp;""),CHAR(10),""),CHAR(13),""),CHAR(9),""),CHAR(160),"")," ",""),".",""),"-",""),"/",""),"?",""),"_",""),",",""),"[",""),"]",""),"(",""),")",""),"*","")</f>
        <v/>
      </c>
      <c r="AY732" s="61" t="str">
        <f aca="false">SUBSTITUTE(SUBSTITUTE(SUBSTITUTE(SUBSTITUTE(SUBSTITUTE(SUBSTITUTE(SUBSTITUTE(SUBSTITUTE(SUBSTITUTE(SUBSTITUTE(SUBSTITUTE(SUBSTITUTE(SUBSTITUTE(SUBSTITUTE(SUBSTITUTE(SUBSTITUTE(LOWER(W732&amp;""),CHAR(10),""),CHAR(13),""),CHAR(9),""),CHAR(160),"")," ",""),".",""),"-",""),"/",""),"?",""),"_",""),",",""),"[",""),"]",""),"(",""),")",""),"*","")</f>
        <v/>
      </c>
      <c r="AZ732" s="61" t="str">
        <f aca="false">SUBSTITUTE(SUBSTITUTE(SUBSTITUTE(SUBSTITUTE(SUBSTITUTE(SUBSTITUTE(SUBSTITUTE(SUBSTITUTE(SUBSTITUTE(SUBSTITUTE(SUBSTITUTE(SUBSTITUTE(SUBSTITUTE(SUBSTITUTE(SUBSTITUTE(SUBSTITUTE(LOWER(AC732&amp;""),CHAR(10),""),CHAR(13),""),CHAR(9),""),CHAR(160),"")," ",""),".",""),"-",""),"/",""),"?",""),"_",""),",",""),"[",""),"]",""),"(",""),")",""),"*","")</f>
        <v/>
      </c>
      <c r="BA732" s="61" t="str">
        <f aca="false">SUBSTITUTE(SUBSTITUTE(SUBSTITUTE(SUBSTITUTE(SUBSTITUTE(SUBSTITUTE(SUBSTITUTE(SUBSTITUTE(SUBSTITUTE(SUBSTITUTE(SUBSTITUTE(SUBSTITUTE(SUBSTITUTE(SUBSTITUTE(SUBSTITUTE(SUBSTITUTE(LOWER(AA732&amp;""),CHAR(10),""),CHAR(13),""),CHAR(9),""),CHAR(160),"")," ",""),".",""),"-",""),"/",""),"?",""),"_",""),",",""),"[",""),"]",""),"(",""),")",""),"*","")</f>
        <v/>
      </c>
      <c r="BB732" s="61" t="str">
        <f aca="false">IF(AND(TRIM(U732)="Pass",ISNUMBER(AF732)),IF(AF732&lt;&gt;0,"INVALID – qty variance: use Fail or Pass after CA",""),"")&amp;IF(AND(TRIM(U732)="Pass after CA",ISNUMBER(AF732)),IF(AF732&lt;&gt;0,"INVALID – after the corrective action the actual qty must equal expected (update Actual)",""),"")&amp;IF(AND(TRIM(U732)="Pass",TRIM(AB732)&lt;&gt;"",TRIM(AB732)&lt;&gt;"Closed"),"INVALID – corrective action not closed: use Fail, then Pass after CA","")&amp;IF(AND(LEN(BA732)&gt;=2,ISNA(MATCH(LEFT(BA732,255),L_Placeholder,0)),TRIM(AB732)=""),"INVALID – CA status missing for the recorded corrective action","")&amp;IF(AND(TRIM(U732)="Pass after CA",OR(OR(LEN(BA732)&lt;5,ISNUMBER(MATCH(BA732,L_Placeholder,0))),TRIM(AB732)&lt;&gt;"Closed")),"INVALID – corrective action not recorded/closed","")</f>
        <v/>
      </c>
      <c r="BC732" s="61" t="str">
        <f aca="false">" "&amp;TRIM(SUBSTITUTE(SUBSTITUTE(SUBSTITUTE(SUBSTITUTE(SUBSTITUTE(SUBSTITUTE(SUBSTITUTE(SUBSTITUTE(SUBSTITUTE(SUBSTITUTE(SUBSTITUTE(SUBSTITUTE(SUBSTITUTE(SUBSTITUTE(SUBSTITUTE(SUBSTITUTE(SUBSTITUTE(SUBSTITUTE(SUBSTITUTE(SUBSTITUTE(SUBSTITUTE(SUBSTITUTE(SUBSTITUTE(SUBSTITUTE(LOWER(V732&amp;""),CHAR(10)," "),CHAR(13)," "),CHAR(9)," "),CHAR(160)," "),"."," "),","," "),"-"," "),"/"," "),"("," "),")"," "),":"," "),";"," "),"_"," "),"–"," "),"?"," "),"!"," "),"*"," "),"["," "),"]"," "),"'"," "),"#"," "),"+"," "),"&amp;"," "),"\"," "))&amp;" "</f>
        <v>  </v>
      </c>
      <c r="BD732" s="61" t="str">
        <f aca="false">" "&amp;TRIM(SUBSTITUTE(SUBSTITUTE(SUBSTITUTE(SUBSTITUTE(SUBSTITUTE(SUBSTITUTE(SUBSTITUTE(SUBSTITUTE(SUBSTITUTE(SUBSTITUTE(SUBSTITUTE(SUBSTITUTE(SUBSTITUTE(SUBSTITUTE(SUBSTITUTE(SUBSTITUTE(SUBSTITUTE(SUBSTITUTE(SUBSTITUTE(SUBSTITUTE(SUBSTITUTE(SUBSTITUTE(SUBSTITUTE(SUBSTITUTE(LOWER(Z732&amp;""),CHAR(10)," "),CHAR(13)," "),CHAR(9)," "),CHAR(160)," "),"."," "),","," "),"-"," "),"/"," "),"("," "),")"," "),":"," "),";"," "),"_"," "),"–"," "),"?"," "),"!"," "),"*"," "),"["," "),"]"," "),"'"," "),"#"," "),"+"," "),"&amp;"," "),"\"," "))&amp;" "</f>
        <v>  </v>
      </c>
      <c r="BE732" s="61" t="str">
        <f aca="false">" "&amp;TRIM(SUBSTITUTE(SUBSTITUTE(SUBSTITUTE(SUBSTITUTE(SUBSTITUTE(SUBSTITUTE(SUBSTITUTE(SUBSTITUTE(SUBSTITUTE(SUBSTITUTE(SUBSTITUTE(SUBSTITUTE(SUBSTITUTE(SUBSTITUTE(SUBSTITUTE(SUBSTITUTE(SUBSTITUTE(SUBSTITUTE(SUBSTITUTE(SUBSTITUTE(SUBSTITUTE(SUBSTITUTE(SUBSTITUTE(SUBSTITUTE(LOWER(W732&amp;""),CHAR(10)," "),CHAR(13)," "),CHAR(9)," "),CHAR(160)," "),"."," "),","," "),"-"," "),"/"," "),"("," "),")"," "),":"," "),";"," "),"_"," "),"–"," "),"?"," "),"!"," "),"*"," "),"["," "),"]"," "),"'"," "),"#"," "),"+"," "),"&amp;"," "),"\"," "))&amp;" "</f>
        <v>  </v>
      </c>
      <c r="BF732" s="61" t="str">
        <f aca="false">" "&amp;TRIM(SUBSTITUTE(SUBSTITUTE(SUBSTITUTE(SUBSTITUTE(SUBSTITUTE(SUBSTITUTE(SUBSTITUTE(SUBSTITUTE(SUBSTITUTE(SUBSTITUTE(SUBSTITUTE(SUBSTITUTE(SUBSTITUTE(SUBSTITUTE(SUBSTITUTE(SUBSTITUTE(SUBSTITUTE(SUBSTITUTE(SUBSTITUTE(SUBSTITUTE(SUBSTITUTE(SUBSTITUTE(SUBSTITUTE(SUBSTITUTE(LOWER(AC732&amp;""),CHAR(10)," "),CHAR(13)," "),CHAR(9)," "),CHAR(160)," "),"."," "),","," "),"-"," "),"/"," "),"("," "),")"," "),":"," "),";"," "),"_"," "),"–"," "),"?"," "),"!"," "),"*"," "),"["," "),"]"," "),"'"," "),"#"," "),"+"," "),"&amp;"," "),"\"," "))&amp;" "</f>
        <v>  </v>
      </c>
      <c r="BG732" s="61" t="n">
        <f aca="false">IFERROR(IF(AND(TRIM(U732)="Pass",SUMPRODUCT((LEN(BC732)-LEN(SUBSTITUTE(BC732," "&amp;L_ResultBad&amp;" "," ")))/(LEN(L_ResultBad)+1))&gt;SUMPRODUCT((LEN(BC732)-LEN(SUBSTITUTE(BC732," "&amp;L_NegPhrase&amp;" "," ")))/(LEN(L_NegPhrase)+1))),1,0),0)</f>
        <v>0</v>
      </c>
      <c r="BH732" s="61" t="n">
        <f aca="false">IFERROR(IF(SUMPRODUCT((LEN(BC732)-LEN(SUBSTITUTE(BC732," "&amp;L_Pending&amp;" "," ")))/(LEN(L_Pending)+1))&gt;SUMPRODUCT((LEN(BC732)-LEN(SUBSTITUTE(BC732," "&amp;L_PendNeg&amp;" "," ")))/(LEN(L_PendNeg)+1))+SUMPRODUCT((LEN(BC732)-LEN(SUBSTITUTE(BC732," "&amp;L_PendPrep&amp;" "," ")))/(LEN(L_PendPrep)+1)),1,0),1)</f>
        <v>0</v>
      </c>
      <c r="BI732" s="61" t="n">
        <f aca="false">IFERROR(IF(SUMPRODUCT((LEN(BD732)-LEN(SUBSTITUTE(BD732," "&amp;L_PendStrict&amp;" "," ")))/(LEN(L_PendStrict)+1))&gt;SUMPRODUCT((LEN(BD732)-LEN(SUBSTITUTE(BD732," "&amp;L_PendNeg&amp;" "," ")))/(LEN(L_PendNeg)+1)),1,0),1)</f>
        <v>0</v>
      </c>
      <c r="BJ732" s="61" t="n">
        <f aca="false">IFERROR(IF(SUMPRODUCT((LEN(BE732)-LEN(SUBSTITUTE(BE732," "&amp;L_Pending&amp;" "," ")))/(LEN(L_Pending)+1))&gt;SUMPRODUCT((LEN(BE732)-LEN(SUBSTITUTE(BE732," "&amp;L_PendNeg&amp;" "," ")))/(LEN(L_PendNeg)+1))+SUMPRODUCT((LEN(BE732)-LEN(SUBSTITUTE(BE732," "&amp;L_PendPrep&amp;" "," ")))/(LEN(L_PendPrep)+1)),1,0),1)</f>
        <v>0</v>
      </c>
      <c r="BK732" s="61" t="n">
        <f aca="false">IFERROR(IF(SUMPRODUCT((LEN(BF732)-LEN(SUBSTITUTE(BF732," "&amp;L_PendStrict&amp;" "," ")))/(LEN(L_PendStrict)+1))&gt;SUMPRODUCT((LEN(BF732)-LEN(SUBSTITUTE(BF732," "&amp;L_PendNeg&amp;" "," ")))/(LEN(L_PendNeg)+1)),1,0),1)</f>
        <v>0</v>
      </c>
      <c r="BL732" s="61" t="n">
        <f aca="false">IF(ISNA(MATCH(TRIM(S732),L_EvidenceType,0)),0,BZ732)</f>
        <v>0</v>
      </c>
      <c r="BM732" s="61" t="str">
        <f aca="false">SUBSTITUTE(SUBSTITUTE(SUBSTITUTE(SUBSTITUTE(SUBSTITUTE(SUBSTITUTE(SUBSTITUTE(SUBSTITUTE(SUBSTITUTE(LOWER(Z732&amp;""),"1","0"),"2","0"),"3","0"),"4","0"),"5","0"),"6","0"),"7","0"),"8","0"),"9","0")</f>
        <v/>
      </c>
      <c r="BN732" s="61" t="str">
        <f aca="false">SUBSTITUTE(SUBSTITUTE(SUBSTITUTE(SUBSTITUTE(SUBSTITUTE(SUBSTITUTE(SUBSTITUTE(SUBSTITUTE(SUBSTITUTE(SUBSTITUTE(SUBSTITUTE(SUBSTITUTE(SUBSTITUTE(SUBSTITUTE(SUBSTITUTE(SUBSTITUTE(SUBSTITUTE(SUBSTITUTE(SUBSTITUTE(SUBSTITUTE(SUBSTITUTE(SUBSTITUTE(SUBSTITUTE(SUBSTITUTE(SUBSTITUTE(BM732,"b","a"),"c","a"),"d","a"),"e","a"),"f","a"),"g","a"),"h","a"),"i","a"),"j","a"),"k","a"),"l","a"),"m","a"),"n","a"),"o","a"),"p","a"),"q","a"),"r","a"),"s","a"),"t","a"),"u","a"),"v","a"),"w","a"),"x","a"),"y","a"),"z","a")</f>
        <v/>
      </c>
      <c r="BO732" s="61" t="str">
        <f aca="false">SUBSTITUTE(SUBSTITUTE(SUBSTITUTE(SUBSTITUTE(SUBSTITUTE(SUBSTITUTE(SUBSTITUTE(SUBSTITUTE(SUBSTITUTE(LOWER(W732&amp;""),"1","0"),"2","0"),"3","0"),"4","0"),"5","0"),"6","0"),"7","0"),"8","0"),"9","0")</f>
        <v/>
      </c>
      <c r="BP732" s="61" t="str">
        <f aca="false">SUBSTITUTE(SUBSTITUTE(SUBSTITUTE(SUBSTITUTE(SUBSTITUTE(SUBSTITUTE(SUBSTITUTE(SUBSTITUTE(SUBSTITUTE(SUBSTITUTE(SUBSTITUTE(SUBSTITUTE(SUBSTITUTE(SUBSTITUTE(SUBSTITUTE(SUBSTITUTE(SUBSTITUTE(SUBSTITUTE(SUBSTITUTE(SUBSTITUTE(SUBSTITUTE(SUBSTITUTE(SUBSTITUTE(SUBSTITUTE(SUBSTITUTE(BO732,"b","a"),"c","a"),"d","a"),"e","a"),"f","a"),"g","a"),"h","a"),"i","a"),"j","a"),"k","a"),"l","a"),"m","a"),"n","a"),"o","a"),"p","a"),"q","a"),"r","a"),"s","a"),"t","a"),"u","a"),"v","a"),"w","a"),"x","a"),"y","a"),"z","a")</f>
        <v/>
      </c>
      <c r="BQ732" s="61" t="n">
        <f aca="false">IFERROR(IF(AND(ISERROR(SEARCH(" mh"," "&amp;LOWER(W732))),ISNA(MATCH(LEFT(TRIM(BP732),255),{"0000a","000a","00a","0000aa","000aa","00aa","0aa","0000aaa","000aaa","00a00","0a00","0000-0000","00:00","a00","a0","00.00.0000","00/00/0000","00-00-0000","0000-00-00","0000/00/00","0000.00.00","00.00.00","00/00/00","00-00-00","0.00.0000","0/00/0000","0-00-0000"},0)),ISNA(MATCH(LEFT(TRIM(CA732),255),{"0000a","000a","00a","0000aa","000aa","00aa","0aa","0000aaa","000aaa","00a00","0a00","0000-0000","00:00","a00","a0","00.00.0000","00/00/0000","00-00-0000","0000-00-00","0000/00/00","0000.00.00","00.00.00","00/00/00","00-00-00","0.00.0000","0/00/0000","0-00-0000"},0)),LEN(CB732)&gt;=3,NOT(OR(SUBSTITUTE(CB732,"0","")="",AND(LEN(CB732)&gt;=4,CB732=REPT(LEFT(CB732),LEN(CB732))),ISNUMBER(MATCH(CB732,{"123","1234","12345","123456","1234567","12345678","0123","01234","012345","98765","987654","54321"},0)),AND(LEN(CB732)=8,LEFT(CB732,3)="202"))),OR(AND((LEN(CA732)-LEN(SUBSTITUTE(CA732,"a","")))&gt;=1,SUMPRODUCT(--ISNUMBER(SEARCH({"a0","a-0","a_0","a/0","a.0","a#0","0a","0-a","0_a","0/a"},BP732)))&gt;0),ISNUMBER(SEARCH("000000",BP732)))),1,0),0)</f>
        <v>0</v>
      </c>
      <c r="BR732" s="61" t="n">
        <f aca="false">IFERROR(LEN(SUBSTITUTE(CC732," ",""))-SUMPRODUCT((LEN(CC732)-LEN(SUBSTITUTE(CC732," "&amp;L_Role&amp;" "," ")))/(LEN(L_Role)+1)*LEN(L_Role)),0)</f>
        <v>0</v>
      </c>
      <c r="BS732" s="61" t="n">
        <f aca="false">IFERROR(LEN(SUBSTITUTE(CD732," ",""))-SUMPRODUCT((LEN(CD732)-LEN(SUBSTITUTE(CD732," "&amp;L_Role&amp;" "," ")))/(LEN(L_Role)+1)*LEN(L_Role)),0)</f>
        <v>0</v>
      </c>
      <c r="BT7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732,"revision",""),"version",""),"jan",""),"feb",""),"mar",""),"apr",""),"may",""),"jun",""),"jul",""),"aug",""),"sep",""),"oct",""),"nov",""),"dec",""),"utc",""),"gmt",""),"myt",""),"bst",""),"rev",""),"ver",""),"b","a"),"c","a"),"d","a"),"e","a"),"f","a"),"g","a"),"h","a"),"i","a"),"j","a"),"k","a"),"l","a"),"m","a"),"n","a"),"o","a"),"p","a"),"q","a"),"r","a"),"s","a"),"t","a"),"u","a"),"v","a"),"w","a"),"x","a"),"y","a"),"z","a")</f>
        <v/>
      </c>
      <c r="BU732" s="61" t="str">
        <f aca="false">SUBSTITUTE(SUBSTITUTE(SUBSTITUTE(SUBSTITUTE(SUBSTITUTE(SUBSTITUTE(SUBSTITUTE(SUBSTITUTE(SUBSTITUTE(SUBSTITUTE(LEFT(BM732,FIND("0",BM732&amp;"0")-1),"-",""),"_",""),"/",""),".",""),"#",""),"\\",""),":","")," ",""),"(",""),")","")</f>
        <v/>
      </c>
      <c r="BV732" s="61" t="n">
        <f aca="false">0</f>
        <v>0</v>
      </c>
      <c r="BW73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732&amp;""),"a",""),"b",""),"c",""),"d",""),"e",""),"f",""),"g",""),"h",""),"i",""),"j",""),"k",""),"l",""),"m",""),"n",""),"o",""),"p",""),"q",""),"r",""),"s",""),"t",""),"u",""),"v",""),"w",""),"x",""),"y",""),"z",""),"-",""),"_",""),"/",""),".",""),"#",""),"\\",""),":","")," ",""),"(",""),")","")</f>
        <v/>
      </c>
      <c r="BX732" s="61" t="str">
        <f aca="false">SUBSTITUTE(SUBSTITUTE(SUBSTITUTE(SUBSTITUTE(SUBSTITUTE(SUBSTITUTE(SUBSTITUTE(SUBSTITUTE(SUBSTITUTE(SUBSTITUTE(SUBSTITUTE(BM732,"0",""),"-",""),"_",""),"/",""),".",""),"#",""),"\\",""),":","")," ",""),"(",""),")","")</f>
        <v/>
      </c>
      <c r="BY732" s="62" t="n">
        <f aca="false">Q732-T12EarlyH/24</f>
        <v>46324.6388888889</v>
      </c>
      <c r="BZ732" s="61" t="n">
        <f aca="false">IFERROR(IF(IF(TRIM(S732)="Link / file path",AND(LEN(TRIM(Z732))&gt;=5,SUMPRODUCT(--ISNUMBER(SEARCH({"http","www.","\\",":\",".pdf",".jpg",".jpeg",".png",".heic",".xls",".doc",".msg",".eml",".ppt",".txt",".zip"},Z732)))&gt;0),AND(ISERROR(FIND(" ",TRIM(Z732))),NOT(OR(SUMPRODUCT(--ISNUMBER(FIND({",",";","&amp;","+"},Z732)))&gt;0,SUMPRODUCT(--ISNUMBER(SEARCH({"0/aa","0\\aa"},BN732)))&gt;0)),NOT(SUMPRODUCT(--ISNUMBER(SEARCH({"http","www.","\\",":\",".pdf",".jpg",".jpeg",".png",".heic",".xls",".doc",".msg",".eml",".ppt",".txt",".zip"},Z732)))&gt;0),NOT(LOWER(TRIM(Z732))=LOWER(Flights!$F$26)),ISNA(MATCH(BU732,{"mh","rev","revision","ver","version","v","r","a","b","seat","tray","row","gate","bay","stand","page","pg","item","line","no","cart","galley","flight","flt","table","box","bag","oven","etd","eta","std","sta","atd","ata","qty","pax","x","time","tel","ph","mob","day","wk","week","utc","gmt","myt","lt"},0)),NOT(OR(ISNUMBER(MATCH(LEFT(BN732,255),{"0000a","000a","00a","0000aa","000aa","00aa","0aa","0000aaa","000aaa","00a00","0a00","0000-0000","00:00","a00","a0","00.00.0000","00/00/0000","00-00-0000","0000-00-00","0000/00/00","0000.00.00","00.00.00","00/00/00","00-00-00","0.00.0000","0/00/0000","0-00-0000"},0)),ISNUMBER(MATCH(LEFT(BT732,255),{"0000a","000a","00a","0000aa","000aa","00aa","0aa","0000aaa","000aaa","00a00","0a00","0000-0000","00:00","a00","a0","00.00.0000","00/00/0000","00-00-0000","0000-00-00","0000/00/00","0000.00.00","00.00.00","00/00/00","00-00-00","0.00.0000","0/00/0000","0-00-0000"},0)))),NOT(OR(AND(BW732&lt;&gt;"",SUBSTITUTE(BW732,"0","")=""),AND(LEN(BW732)&gt;=4,BW732=REPT(LEFT(BW732),LEN(BW732))),ISNUMBER(MATCH(BW732,{"123","1234","12345","123456","1234567","12345678","0123","01234","012345","98765","987654","54321"},0)),ISNUMBER(MATCH(BX732,{"x","xx","xxx","xxxx","xxxxx","abc","abcd","nil","na","nan","test","tbc","tba","tbd","dummy","sample","example","eg","zz","zzz","none","null","xyz","qwe","asd","id","ref"},0)),AND(LEN(BW732)=8,BX732="",OR(LEFT(BW732,3)="202",ISNUMBER(MATCH(RIGHT(BW732,4),{"2025","2026","2027"},0)))))),OR(AND((LEN(BT732)-LEN(SUBSTITUTE(BT732,"a","")))&gt;=1,(LEN(BN732)-LEN(SUBSTITUTE(BN732,"0","")))&gt;=2,SUMPRODUCT(--ISNUMBER(SEARCH({"a0","a-0","a_0","a/0","a.0","a#0","0a","0-a","0_a","0/a"},BN732)))&gt;0),AND((LEN(BN732)-LEN(SUBSTITUTE(BN732,"a","")))=0,(LEN(BN732)-LEN(SUBSTITUTE(BN732,"0","")))&gt;=5)))),1,0),0)</f>
        <v>0</v>
      </c>
      <c r="CA7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732,"revision",""),"version",""),"jan",""),"feb",""),"mar",""),"apr",""),"may",""),"jun",""),"jul",""),"aug",""),"sep",""),"oct",""),"nov",""),"dec",""),"utc",""),"gmt",""),"myt",""),"bst",""),"rev",""),"ver",""),"b","a"),"c","a"),"d","a"),"e","a"),"f","a"),"g","a"),"h","a"),"i","a"),"j","a"),"k","a"),"l","a"),"m","a"),"n","a"),"o","a"),"p","a"),"q","a"),"r","a"),"s","a"),"t","a"),"u","a"),"v","a"),"w","a"),"x","a"),"y","a"),"z","a")</f>
        <v/>
      </c>
      <c r="CB73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732&amp;""),"a",""),"b",""),"c",""),"d",""),"e",""),"f",""),"g",""),"h",""),"i",""),"j",""),"k",""),"l",""),"m",""),"n",""),"o",""),"p",""),"q",""),"r",""),"s",""),"t",""),"u",""),"v",""),"w",""),"x",""),"y",""),"z",""),"-",""),"_",""),"/",""),".",""),"#",""),"\\",""),":","")," ",""),"(",""),")","")</f>
        <v/>
      </c>
      <c r="CC732" s="0" t="str">
        <f aca="false">" "&amp;TRIM(SUBSTITUTE(SUBSTITUTE(SUBSTITUTE(SUBSTITUTE(SUBSTITUTE(SUBSTITUTE(SUBSTITUTE(SUBSTITUTE(SUBSTITUTE(SUBSTITUTE(SUBSTITUTE(SUBSTITUTE(SUBSTITUTE(SUBSTITUTE(SUBSTITUTE(SUBSTITUTE(SUBSTITUTE(SUBSTITUTE(SUBSTITUTE(SUBSTITUTE(SUBSTITUTE(SUBSTITUTE(SUBSTITUTE(SUBSTITUTE(LOWER(T732&amp;""),CHAR(10)," "),CHAR(13)," "),CHAR(9)," "),CHAR(160)," "),"."," "),","," "),"-"," "),"/"," "),"("," "),")"," "),":"," "),";"," "),"_"," "),"–"," "),"?"," "),"!"," "),"*"," "),"["," "),"]"," "),"'"," "),"#"," "),"+"," "),"&amp;"," "),"\"," "))&amp;" "</f>
        <v>  </v>
      </c>
      <c r="CD732" s="0" t="str">
        <f aca="false">" "&amp;TRIM(SUBSTITUTE(SUBSTITUTE(SUBSTITUTE(SUBSTITUTE(SUBSTITUTE(SUBSTITUTE(SUBSTITUTE(SUBSTITUTE(SUBSTITUTE(SUBSTITUTE(SUBSTITUTE(SUBSTITUTE(SUBSTITUTE(SUBSTITUTE(SUBSTITUTE(SUBSTITUTE(SUBSTITUTE(SUBSTITUTE(SUBSTITUTE(SUBSTITUTE(SUBSTITUTE(SUBSTITUTE(SUBSTITUTE(SUBSTITUTE(LOWER(AE732&amp;""),CHAR(10)," "),CHAR(13)," "),CHAR(9)," "),CHAR(160)," "),"."," "),","," "),"-"," "),"/"," "),"("," "),")"," "),":"," "),";"," "),"_"," "),"–"," "),"?"," "),"!"," "),"*"," "),"["," "),"]"," "),"'"," "),"#"," "),"+"," "),"&amp;"," "),"\"," "))&amp;" "</f>
        <v>  </v>
      </c>
      <c r="CE732" s="68" t="n">
        <f aca="false">IFERROR(IF(AND(LEN(AU732)&gt;0,LEN(AU732)=LEN(AX732),OR(TRIM(MID(SUBSTITUTE(TRIM(CC732)," ",REPT(" ",60)),1,60))="",ISNUMBER(SEARCH(" "&amp;TRIM(MID(SUBSTITUTE(TRIM(CC732)," ",REPT(" ",60)),1,60))&amp;" ",CD732))),OR(TRIM(MID(SUBSTITUTE(TRIM(CC732)," ",REPT(" ",60)),61,60))="",ISNUMBER(SEARCH(" "&amp;TRIM(MID(SUBSTITUTE(TRIM(CC732)," ",REPT(" ",60)),61,60))&amp;" ",CD732))),OR(TRIM(MID(SUBSTITUTE(TRIM(CC732)," ",REPT(" ",60)),121,60))="",ISNUMBER(SEARCH(" "&amp;TRIM(MID(SUBSTITUTE(TRIM(CC732)," ",REPT(" ",60)),121,60))&amp;" ",CD732)))),1,0),0)</f>
        <v>0</v>
      </c>
      <c r="CG732" s="68" t="n">
        <f aca="false">IFERROR(LEN(SUBSTITUTE(BF732," ",""))-SUMPRODUCT((LEN(BF732)-LEN(SUBSTITUTE(BF732," "&amp;L_NAFiller&amp;" "," ")))/(LEN(L_NAFiller)+1)*LEN(L_NAFiller)),0)</f>
        <v>0</v>
      </c>
    </row>
    <row r="733" customFormat="false" ht="39.75" hidden="false" customHeight="true" outlineLevel="0" collapsed="false">
      <c r="A733" s="57" t="s">
        <v>1467</v>
      </c>
      <c r="B733" s="57" t="s">
        <v>312</v>
      </c>
      <c r="C733" s="57" t="str">
        <f aca="false">Flights!$F$26</f>
        <v>MH0002</v>
      </c>
      <c r="D733" s="58" t="n">
        <f aca="false">Flights!$D$26</f>
        <v>46325</v>
      </c>
      <c r="E733" s="57" t="str">
        <f aca="false">Flights!$G$26&amp;"-"&amp;Flights!$H$26</f>
        <v>KUL-LHR</v>
      </c>
      <c r="F733" s="57" t="str">
        <f aca="false">Flights!$K$26</f>
        <v>BC</v>
      </c>
      <c r="G733" s="57" t="s">
        <v>459</v>
      </c>
      <c r="H733" s="57" t="s">
        <v>460</v>
      </c>
      <c r="I733" s="57" t="s">
        <v>379</v>
      </c>
      <c r="J733" s="57" t="s">
        <v>461</v>
      </c>
      <c r="K733" s="67" t="s">
        <v>426</v>
      </c>
      <c r="L733" s="67" t="s">
        <v>462</v>
      </c>
      <c r="M733" s="67"/>
      <c r="N733" s="67" t="s">
        <v>383</v>
      </c>
      <c r="O733" s="67" t="s">
        <v>463</v>
      </c>
      <c r="P733" s="57" t="s">
        <v>187</v>
      </c>
      <c r="Q733" s="59" t="n">
        <f aca="false">ROUND((Flights!$AF$26)*1440,0)/1440</f>
        <v>46325.6388888889</v>
      </c>
      <c r="R733" s="59" t="n">
        <f aca="false">Q733+(IF(AND(INDEX(TZ_DSTS,MATCH(P733,TZ_STN,0))&lt;&gt;"",Q733&gt;=INDEX(TZ_DSTS,MATCH(P733,TZ_STN,0)),Q733&lt;INDEX(TZ_DSTE,MATCH(P733,TZ_STN,0))),INDEX(TZ_DST,MATCH(P733,TZ_STN,0)),INDEX(TZ_STD,MATCH(P733,TZ_STN,0))))/24</f>
        <v>46325.9722222222</v>
      </c>
      <c r="S733" s="60"/>
      <c r="T733" s="60"/>
      <c r="U733" s="60"/>
      <c r="V733" s="60"/>
      <c r="W733" s="61"/>
      <c r="X733" s="60"/>
      <c r="Y733" s="60"/>
      <c r="Z733" s="60"/>
      <c r="AA733" s="60"/>
      <c r="AB733" s="60"/>
      <c r="AC733" s="60"/>
      <c r="AD733" s="66"/>
      <c r="AE733" s="60"/>
      <c r="AF733" s="61" t="str">
        <f aca="false">IF(AND(ISNUMBER(X733),ISNUMBER(Y733)),Y733-X733,"")</f>
        <v/>
      </c>
      <c r="AG733" s="62" t="str">
        <f aca="false">IF(ISNUMBER(AD733),AD733-(IF(AND(INDEX(TZ_DSTS,MATCH(P733,TZ_STN,0))&lt;&gt;"",(AD733-INDEX(TZ_STD,MATCH(P733,TZ_STN,0))/24)&gt;=INDEX(TZ_DSTS,MATCH(P733,TZ_STN,0)),(AD733-INDEX(TZ_STD,MATCH(P733,TZ_STN,0))/24)&lt;INDEX(TZ_DSTE,MATCH(P733,TZ_STN,0))),INDEX(TZ_DST,MATCH(P733,TZ_STN,0)),INDEX(TZ_STD,MATCH(P733,TZ_STN,0))))/24,"")</f>
        <v/>
      </c>
      <c r="AH733" s="65" t="str">
        <f aca="false">IFERROR(IF(N733="N/A – rule",IF(OR(TRIM(U733)="",TRIM(U733)="N/A",TRIM(U733)="Not started"),"N/A – RULE","INVALID – this check does not apply to this aircraft: clear the status (or correct the fleet on Flights)"),IF(TRIM(U733)="N/A",IF(AT733=0,"INVALID – N/A not permitted for this check",IF(AND(TRIM(AB733)&lt;&gt;"",TRIM(AB733)&lt;&gt;"Closed"),"INVALID – corrective action still open",IF(AND(NOT(OR(LEN(AZ733)&lt;15,ISNUMBER(MATCH(AZ733,L_Placeholder,0)))),BK733=0,CG733&gt;=8,NOT(OR(LEN(AU733)&lt;2,ISNUMBER(MATCH(AU733,L_Placeholder,0)))),BR733&gt;=3,NOT(OR(LEN(AX733)&lt;2,ISNUMBER(MATCH(AX733,L_Placeholder,0)))),BS733&gt;=3,TRIM(AE733)&lt;&gt;TRIM(T733),AX733&lt;&gt;AU733,CE733=0),"N/A – JUSTIFIED","INVALID – N/A needs a real, settled reason (not 'not applicable' / 'as above' / TBC), a named PIC and a different named verifier"))),IF(OR(TRIM(U733)="Pass",TRIM(U733)="Pass after CA"),IF(NOT(ISNUMBER(AD733)),"INVALID – completion time missing",IF(OR(OR(LEN(AU733)&lt;2,ISNUMBER(MATCH(AU733,L_Placeholder,0))),BR733&lt;3),"INVALID – PIC missing or not a named person (a role such as QA / CSM is not a name)",IF(OR(LEN(AV733)&lt;2,ISNUMBER(MATCH(AV733,L_Placeholder,0))),"INVALID – result / assessment missing",IF(OR(OR(LEN(AW733)&lt;3,ISNUMBER(MATCH(AW733,L_Placeholder,0))),SUMPRODUCT(--ISNUMBER(SEARCH(" "&amp;L_EvidencePhrase&amp;" ",BD733)))&gt;0,BI733=1),"INVALID – evidence missing, placeholder or not yet on file",IF(ISNA(MATCH(TRIM(S733),L_EvidenceType,0)),"INVALID – choose the evidence type from the list (column S)",IF(BL733=0,"INVALID – evidence ID must be the record's own ID only (e.g. SF-2210, IMG_2231, 1045521); a link / file name needs type 'Link / file path'",IF(OR(OR(LEN(AX733)&lt;2,ISNUMBER(MATCH(AX733,L_Placeholder,0))),BS733&lt;3),"INVALID – verifier missing or not a named person (a role such as QA / CSM is not a name)",IF(OR(AX733=AU733,CE733=1,AND(LEN(AU733)&gt;=4,ISNUMBER(SEARCH(AU733,AX733))),AND(LEN(AX733)&gt;=4,ISNUMBER(SEARCH(AX733,AU733)))),"INVALID – verifier must be a different, named person (not the PIC or a role)",IF(BH733=1,"INVALID – result not yet available (awaiting / TBC)",IF(BG733=1,"INVALID – result describes a problem: record Fail, then Pass after CA (or reword if it is not a problem)",IF(BV733=1,"INVALID – wording says not on board: an on-board confirmation needs the item loaded",IF(AND(AQ733=1,OR(OR(LEN(AY733)&lt;3,ISNUMBER(MATCH(AY733,L_Placeholder,0))),BJ733=1,BQ733=0)),"INVALID – batch ID missing, placeholder or not an ID (e.g. PASB-261008-BC-017)",IF(AND(AR733=1,OR(NOT(ISNUMBER(X733)),NOT(ISNUMBER(Y733)))),"INVALID – expected/actual qty missing",IF(AND(AR733=1,OR(X733&lt;=0,Y733&lt;0)),"INVALID – expected qty must be above 0 and actual not negative",IF(AH713="N/A – JUSTIFIED","INVALID – preparation row F22-T12-02 is N/A",IF(AND(AR733=1,ISNUMBER(X713),X733&lt;&gt;X713,TRIM(U733)&lt;&gt;"Pass after CA"),"INVALID – expected qty differs from preparation check F22-T12-02: record the load change as a corrective action (Pass after CA)",IF(BB733&lt;&gt;"",BB733,IF(AND(AS733=1,Documents!$J$26&lt;&gt;"ON FILE"),"INVALID – GLD not on file (Documents sheet)",IF(AND(AS733=2,Documents!$O$26&lt;&gt;"ON FILE"),"INVALID – menu checklist not on file (Documents sheet)",IF(AND(AS733=3,NOT(ISNUMBER(Flights!$AX$26))),"INVALID – enter carrying flight KUL departure (Flights AX)",IF(AND(AS733=3,OR(Flights!$AZ$26&gt;Flights!$AA$26,Flights!$AX$26&lt;Flights!$AA$26-3)),"INVALID – carrying flight (Flights AX) cannot arrive before this leg's STD, or is over 3 days early",IF(AG733&gt;AsOfUTC,"INVALID – completion time is in the future",IF(AND(ISNUMBER(BY733),AG733&lt;BY733),IF(H733="Physical uplift","INVALID – before uplift window (cannot confirm loading)","INVALID – before valid window"),IF(AG733&gt;Flights!$AA$26,"INVALID – completed after departure (cannot establish readiness)",IF(AND(H733="Preparation",AG733&gt;=IF(ISNUMBER(Flights!$BA$26),MIN(Flights!$BA$26,Flights!$AA$26),Flights!$AA$26)),"INVALID – completed after loading / departure (cannot establish readiness)",IF(AND(H733="Physical uplift",AG733&gt;Q733),"INVALID – recorded after the loading flight departed",IF(AG733&gt;Q733,"COMPLETE – LATE","COMPLETE"))))))))))))))))))))))))))),IF(TRIM(U733)="Fail","FAIL – DISCREPANCY",IF(AND(TRIM(U733)&lt;&gt;"",TRIM(U733)&lt;&gt;"Not started",TRIM(U733)&lt;&gt;"In progress"),"INVALID – unrecognised status (use the list)",IF(AsOfUTC&gt;Q733,"OVERDUE",IF(N733="Clarification required","OPEN – CLARIFICATION","OPEN"))))))),"INVALID – error value in an input cell")</f>
        <v>OPEN</v>
      </c>
      <c r="AI733" s="61" t="n">
        <f aca="false">IF(OR(AH733="N/A – RULE",AH733="N/A – JUSTIFIED"),0,1)</f>
        <v>1</v>
      </c>
      <c r="AJ733" s="61" t="n">
        <f aca="false">IF(LEFT(AH733,8)="COMPLETE",1,0)</f>
        <v>0</v>
      </c>
      <c r="AK733" s="61" t="n">
        <f aca="false">IF(AND(AI733=1,AJ733=0,AsOfUTC&gt;Q733),1,0)</f>
        <v>0</v>
      </c>
      <c r="AL733" s="61" t="n">
        <f aca="false">IFERROR(IF(AND(AI733=1,OR(TRIM(U733)="Fail",AND(TRIM(AB733)&lt;&gt;"",TRIM(AB733)&lt;&gt;"Closed"),AND(ISNUMBER(AF733),AF733&lt;&gt;0,TRIM(U733)&lt;&gt;"Pass after CA"))),1,0),1)</f>
        <v>0</v>
      </c>
      <c r="AM733" s="61" t="n">
        <f aca="false">IF(LEFT(AH733,7)="INVALID",1,0)</f>
        <v>0</v>
      </c>
      <c r="AN733" s="61" t="n">
        <f aca="false">IF(AND(N733="Clarification required",AI733=1,AJ733=0),1,0)</f>
        <v>0</v>
      </c>
      <c r="AO733" s="61" t="str">
        <f aca="false">IF(AK733=1,SUM(AK$5:AK733),"")</f>
        <v/>
      </c>
      <c r="AP733" s="61" t="str">
        <f aca="false">IF(AL733=1,SUM(AL$5:AL733),"")</f>
        <v/>
      </c>
      <c r="AQ733" s="61" t="n">
        <v>0</v>
      </c>
      <c r="AR733" s="61" t="n">
        <v>1</v>
      </c>
      <c r="AS733" s="61" t="n">
        <v>0</v>
      </c>
      <c r="AT733" s="61" t="n">
        <v>0</v>
      </c>
      <c r="AU733" s="61" t="str">
        <f aca="false">SUBSTITUTE(SUBSTITUTE(SUBSTITUTE(SUBSTITUTE(SUBSTITUTE(SUBSTITUTE(SUBSTITUTE(SUBSTITUTE(SUBSTITUTE(SUBSTITUTE(SUBSTITUTE(SUBSTITUTE(SUBSTITUTE(SUBSTITUTE(SUBSTITUTE(SUBSTITUTE(LOWER(T733&amp;""),CHAR(10),""),CHAR(13),""),CHAR(9),""),CHAR(160),"")," ",""),".",""),"-",""),"/",""),"?",""),"_",""),",",""),"[",""),"]",""),"(",""),")",""),"*","")</f>
        <v/>
      </c>
      <c r="AV733" s="61" t="str">
        <f aca="false">SUBSTITUTE(SUBSTITUTE(SUBSTITUTE(SUBSTITUTE(SUBSTITUTE(SUBSTITUTE(SUBSTITUTE(SUBSTITUTE(SUBSTITUTE(SUBSTITUTE(SUBSTITUTE(SUBSTITUTE(SUBSTITUTE(SUBSTITUTE(SUBSTITUTE(SUBSTITUTE(LOWER(V733&amp;""),CHAR(10),""),CHAR(13),""),CHAR(9),""),CHAR(160),"")," ",""),".",""),"-",""),"/",""),"?",""),"_",""),",",""),"[",""),"]",""),"(",""),")",""),"*","")</f>
        <v/>
      </c>
      <c r="AW733" s="61" t="str">
        <f aca="false">SUBSTITUTE(SUBSTITUTE(SUBSTITUTE(SUBSTITUTE(SUBSTITUTE(SUBSTITUTE(SUBSTITUTE(SUBSTITUTE(SUBSTITUTE(SUBSTITUTE(SUBSTITUTE(SUBSTITUTE(SUBSTITUTE(SUBSTITUTE(SUBSTITUTE(SUBSTITUTE(LOWER(Z733&amp;""),CHAR(10),""),CHAR(13),""),CHAR(9),""),CHAR(160),"")," ",""),".",""),"-",""),"/",""),"?",""),"_",""),",",""),"[",""),"]",""),"(",""),")",""),"*","")</f>
        <v/>
      </c>
      <c r="AX733" s="61" t="str">
        <f aca="false">SUBSTITUTE(SUBSTITUTE(SUBSTITUTE(SUBSTITUTE(SUBSTITUTE(SUBSTITUTE(SUBSTITUTE(SUBSTITUTE(SUBSTITUTE(SUBSTITUTE(SUBSTITUTE(SUBSTITUTE(SUBSTITUTE(SUBSTITUTE(SUBSTITUTE(SUBSTITUTE(LOWER(AE733&amp;""),CHAR(10),""),CHAR(13),""),CHAR(9),""),CHAR(160),"")," ",""),".",""),"-",""),"/",""),"?",""),"_",""),",",""),"[",""),"]",""),"(",""),")",""),"*","")</f>
        <v/>
      </c>
      <c r="AY733" s="61" t="str">
        <f aca="false">SUBSTITUTE(SUBSTITUTE(SUBSTITUTE(SUBSTITUTE(SUBSTITUTE(SUBSTITUTE(SUBSTITUTE(SUBSTITUTE(SUBSTITUTE(SUBSTITUTE(SUBSTITUTE(SUBSTITUTE(SUBSTITUTE(SUBSTITUTE(SUBSTITUTE(SUBSTITUTE(LOWER(W733&amp;""),CHAR(10),""),CHAR(13),""),CHAR(9),""),CHAR(160),"")," ",""),".",""),"-",""),"/",""),"?",""),"_",""),",",""),"[",""),"]",""),"(",""),")",""),"*","")</f>
        <v/>
      </c>
      <c r="AZ733" s="61" t="str">
        <f aca="false">SUBSTITUTE(SUBSTITUTE(SUBSTITUTE(SUBSTITUTE(SUBSTITUTE(SUBSTITUTE(SUBSTITUTE(SUBSTITUTE(SUBSTITUTE(SUBSTITUTE(SUBSTITUTE(SUBSTITUTE(SUBSTITUTE(SUBSTITUTE(SUBSTITUTE(SUBSTITUTE(LOWER(AC733&amp;""),CHAR(10),""),CHAR(13),""),CHAR(9),""),CHAR(160),"")," ",""),".",""),"-",""),"/",""),"?",""),"_",""),",",""),"[",""),"]",""),"(",""),")",""),"*","")</f>
        <v/>
      </c>
      <c r="BA733" s="61" t="str">
        <f aca="false">SUBSTITUTE(SUBSTITUTE(SUBSTITUTE(SUBSTITUTE(SUBSTITUTE(SUBSTITUTE(SUBSTITUTE(SUBSTITUTE(SUBSTITUTE(SUBSTITUTE(SUBSTITUTE(SUBSTITUTE(SUBSTITUTE(SUBSTITUTE(SUBSTITUTE(SUBSTITUTE(LOWER(AA733&amp;""),CHAR(10),""),CHAR(13),""),CHAR(9),""),CHAR(160),"")," ",""),".",""),"-",""),"/",""),"?",""),"_",""),",",""),"[",""),"]",""),"(",""),")",""),"*","")</f>
        <v/>
      </c>
      <c r="BB733" s="61" t="str">
        <f aca="false">IF(AND(TRIM(U733)="Pass",ISNUMBER(AF733)),IF(AF733&lt;&gt;0,"INVALID – qty variance: use Fail or Pass after CA",""),"")&amp;IF(AND(TRIM(U733)="Pass after CA",ISNUMBER(AF733)),IF(AF733&lt;&gt;0,"INVALID – after the corrective action the actual qty must equal expected (update Actual)",""),"")&amp;IF(AND(TRIM(U733)="Pass",TRIM(AB733)&lt;&gt;"",TRIM(AB733)&lt;&gt;"Closed"),"INVALID – corrective action not closed: use Fail, then Pass after CA","")&amp;IF(AND(LEN(BA733)&gt;=2,ISNA(MATCH(LEFT(BA733,255),L_Placeholder,0)),TRIM(AB733)=""),"INVALID – CA status missing for the recorded corrective action","")&amp;IF(AND(TRIM(U733)="Pass after CA",OR(OR(LEN(BA733)&lt;5,ISNUMBER(MATCH(BA733,L_Placeholder,0))),TRIM(AB733)&lt;&gt;"Closed")),"INVALID – corrective action not recorded/closed","")</f>
        <v/>
      </c>
      <c r="BC733" s="61" t="str">
        <f aca="false">" "&amp;TRIM(SUBSTITUTE(SUBSTITUTE(SUBSTITUTE(SUBSTITUTE(SUBSTITUTE(SUBSTITUTE(SUBSTITUTE(SUBSTITUTE(SUBSTITUTE(SUBSTITUTE(SUBSTITUTE(SUBSTITUTE(SUBSTITUTE(SUBSTITUTE(SUBSTITUTE(SUBSTITUTE(SUBSTITUTE(SUBSTITUTE(SUBSTITUTE(SUBSTITUTE(SUBSTITUTE(SUBSTITUTE(SUBSTITUTE(SUBSTITUTE(LOWER(V733&amp;""),CHAR(10)," "),CHAR(13)," "),CHAR(9)," "),CHAR(160)," "),"."," "),","," "),"-"," "),"/"," "),"("," "),")"," "),":"," "),";"," "),"_"," "),"–"," "),"?"," "),"!"," "),"*"," "),"["," "),"]"," "),"'"," "),"#"," "),"+"," "),"&amp;"," "),"\"," "))&amp;" "</f>
        <v>  </v>
      </c>
      <c r="BD733" s="61" t="str">
        <f aca="false">" "&amp;TRIM(SUBSTITUTE(SUBSTITUTE(SUBSTITUTE(SUBSTITUTE(SUBSTITUTE(SUBSTITUTE(SUBSTITUTE(SUBSTITUTE(SUBSTITUTE(SUBSTITUTE(SUBSTITUTE(SUBSTITUTE(SUBSTITUTE(SUBSTITUTE(SUBSTITUTE(SUBSTITUTE(SUBSTITUTE(SUBSTITUTE(SUBSTITUTE(SUBSTITUTE(SUBSTITUTE(SUBSTITUTE(SUBSTITUTE(SUBSTITUTE(LOWER(Z733&amp;""),CHAR(10)," "),CHAR(13)," "),CHAR(9)," "),CHAR(160)," "),"."," "),","," "),"-"," "),"/"," "),"("," "),")"," "),":"," "),";"," "),"_"," "),"–"," "),"?"," "),"!"," "),"*"," "),"["," "),"]"," "),"'"," "),"#"," "),"+"," "),"&amp;"," "),"\"," "))&amp;" "</f>
        <v>  </v>
      </c>
      <c r="BE733" s="61" t="str">
        <f aca="false">" "&amp;TRIM(SUBSTITUTE(SUBSTITUTE(SUBSTITUTE(SUBSTITUTE(SUBSTITUTE(SUBSTITUTE(SUBSTITUTE(SUBSTITUTE(SUBSTITUTE(SUBSTITUTE(SUBSTITUTE(SUBSTITUTE(SUBSTITUTE(SUBSTITUTE(SUBSTITUTE(SUBSTITUTE(SUBSTITUTE(SUBSTITUTE(SUBSTITUTE(SUBSTITUTE(SUBSTITUTE(SUBSTITUTE(SUBSTITUTE(SUBSTITUTE(LOWER(W733&amp;""),CHAR(10)," "),CHAR(13)," "),CHAR(9)," "),CHAR(160)," "),"."," "),","," "),"-"," "),"/"," "),"("," "),")"," "),":"," "),";"," "),"_"," "),"–"," "),"?"," "),"!"," "),"*"," "),"["," "),"]"," "),"'"," "),"#"," "),"+"," "),"&amp;"," "),"\"," "))&amp;" "</f>
        <v>  </v>
      </c>
      <c r="BF733" s="61" t="str">
        <f aca="false">" "&amp;TRIM(SUBSTITUTE(SUBSTITUTE(SUBSTITUTE(SUBSTITUTE(SUBSTITUTE(SUBSTITUTE(SUBSTITUTE(SUBSTITUTE(SUBSTITUTE(SUBSTITUTE(SUBSTITUTE(SUBSTITUTE(SUBSTITUTE(SUBSTITUTE(SUBSTITUTE(SUBSTITUTE(SUBSTITUTE(SUBSTITUTE(SUBSTITUTE(SUBSTITUTE(SUBSTITUTE(SUBSTITUTE(SUBSTITUTE(SUBSTITUTE(LOWER(AC733&amp;""),CHAR(10)," "),CHAR(13)," "),CHAR(9)," "),CHAR(160)," "),"."," "),","," "),"-"," "),"/"," "),"("," "),")"," "),":"," "),";"," "),"_"," "),"–"," "),"?"," "),"!"," "),"*"," "),"["," "),"]"," "),"'"," "),"#"," "),"+"," "),"&amp;"," "),"\"," "))&amp;" "</f>
        <v>  </v>
      </c>
      <c r="BG733" s="61" t="n">
        <f aca="false">IFERROR(IF(AND(TRIM(U733)="Pass",SUMPRODUCT((LEN(BC733)-LEN(SUBSTITUTE(BC733," "&amp;L_ResultBad&amp;" "," ")))/(LEN(L_ResultBad)+1))&gt;SUMPRODUCT((LEN(BC733)-LEN(SUBSTITUTE(BC733," "&amp;L_NegPhrase&amp;" "," ")))/(LEN(L_NegPhrase)+1))),1,0),0)</f>
        <v>0</v>
      </c>
      <c r="BH733" s="61" t="n">
        <f aca="false">IFERROR(IF(SUMPRODUCT((LEN(BC733)-LEN(SUBSTITUTE(BC733," "&amp;L_Pending&amp;" "," ")))/(LEN(L_Pending)+1))&gt;SUMPRODUCT((LEN(BC733)-LEN(SUBSTITUTE(BC733," "&amp;L_PendNeg&amp;" "," ")))/(LEN(L_PendNeg)+1)),1,0),1)</f>
        <v>0</v>
      </c>
      <c r="BI733" s="61" t="n">
        <f aca="false">IFERROR(IF(SUMPRODUCT((LEN(BD733)-LEN(SUBSTITUTE(BD733," "&amp;L_PendStrict&amp;" "," ")))/(LEN(L_PendStrict)+1))&gt;SUMPRODUCT((LEN(BD733)-LEN(SUBSTITUTE(BD733," "&amp;L_PendNeg&amp;" "," ")))/(LEN(L_PendNeg)+1)),1,0),1)</f>
        <v>0</v>
      </c>
      <c r="BJ733" s="61" t="n">
        <f aca="false">IFERROR(IF(SUMPRODUCT((LEN(BE733)-LEN(SUBSTITUTE(BE733," "&amp;L_Pending&amp;" "," ")))/(LEN(L_Pending)+1))&gt;SUMPRODUCT((LEN(BE733)-LEN(SUBSTITUTE(BE733," "&amp;L_PendNeg&amp;" "," ")))/(LEN(L_PendNeg)+1)),1,0),1)</f>
        <v>0</v>
      </c>
      <c r="BK733" s="61" t="n">
        <f aca="false">IFERROR(IF(SUMPRODUCT((LEN(BF733)-LEN(SUBSTITUTE(BF733," "&amp;L_PendStrict&amp;" "," ")))/(LEN(L_PendStrict)+1))&gt;SUMPRODUCT((LEN(BF733)-LEN(SUBSTITUTE(BF733," "&amp;L_PendNeg&amp;" "," ")))/(LEN(L_PendNeg)+1)),1,0),1)</f>
        <v>0</v>
      </c>
      <c r="BL733" s="61" t="n">
        <f aca="false">IF(ISNA(MATCH(TRIM(S733),L_EvidenceType,0)),0,BZ733)</f>
        <v>0</v>
      </c>
      <c r="BM733" s="61" t="str">
        <f aca="false">SUBSTITUTE(SUBSTITUTE(SUBSTITUTE(SUBSTITUTE(SUBSTITUTE(SUBSTITUTE(SUBSTITUTE(SUBSTITUTE(SUBSTITUTE(LOWER(Z733&amp;""),"1","0"),"2","0"),"3","0"),"4","0"),"5","0"),"6","0"),"7","0"),"8","0"),"9","0")</f>
        <v/>
      </c>
      <c r="BN733" s="61" t="str">
        <f aca="false">SUBSTITUTE(SUBSTITUTE(SUBSTITUTE(SUBSTITUTE(SUBSTITUTE(SUBSTITUTE(SUBSTITUTE(SUBSTITUTE(SUBSTITUTE(SUBSTITUTE(SUBSTITUTE(SUBSTITUTE(SUBSTITUTE(SUBSTITUTE(SUBSTITUTE(SUBSTITUTE(SUBSTITUTE(SUBSTITUTE(SUBSTITUTE(SUBSTITUTE(SUBSTITUTE(SUBSTITUTE(SUBSTITUTE(SUBSTITUTE(SUBSTITUTE(BM733,"b","a"),"c","a"),"d","a"),"e","a"),"f","a"),"g","a"),"h","a"),"i","a"),"j","a"),"k","a"),"l","a"),"m","a"),"n","a"),"o","a"),"p","a"),"q","a"),"r","a"),"s","a"),"t","a"),"u","a"),"v","a"),"w","a"),"x","a"),"y","a"),"z","a")</f>
        <v/>
      </c>
      <c r="BO733" s="61" t="str">
        <f aca="false">SUBSTITUTE(SUBSTITUTE(SUBSTITUTE(SUBSTITUTE(SUBSTITUTE(SUBSTITUTE(SUBSTITUTE(SUBSTITUTE(SUBSTITUTE(LOWER(W733&amp;""),"1","0"),"2","0"),"3","0"),"4","0"),"5","0"),"6","0"),"7","0"),"8","0"),"9","0")</f>
        <v/>
      </c>
      <c r="BP733" s="61" t="str">
        <f aca="false">SUBSTITUTE(SUBSTITUTE(SUBSTITUTE(SUBSTITUTE(SUBSTITUTE(SUBSTITUTE(SUBSTITUTE(SUBSTITUTE(SUBSTITUTE(SUBSTITUTE(SUBSTITUTE(SUBSTITUTE(SUBSTITUTE(SUBSTITUTE(SUBSTITUTE(SUBSTITUTE(SUBSTITUTE(SUBSTITUTE(SUBSTITUTE(SUBSTITUTE(SUBSTITUTE(SUBSTITUTE(SUBSTITUTE(SUBSTITUTE(SUBSTITUTE(BO733,"b","a"),"c","a"),"d","a"),"e","a"),"f","a"),"g","a"),"h","a"),"i","a"),"j","a"),"k","a"),"l","a"),"m","a"),"n","a"),"o","a"),"p","a"),"q","a"),"r","a"),"s","a"),"t","a"),"u","a"),"v","a"),"w","a"),"x","a"),"y","a"),"z","a")</f>
        <v/>
      </c>
      <c r="BQ733" s="61" t="n">
        <f aca="false">IFERROR(IF(AND(ISERROR(SEARCH(" mh"," "&amp;LOWER(W733))),ISNA(MATCH(LEFT(TRIM(BP733),255),{"0000a","000a","00a","0000aa","000aa","00aa","0aa","0000aaa","000aaa","00a00","0a00","0000-0000","00:00","a00","a0","00.00.0000","00/00/0000","00-00-0000","0000-00-00","0000/00/00","0000.00.00","00.00.00","00/00/00","00-00-00","0.00.0000","0/00/0000","0-00-0000"},0)),ISNA(MATCH(LEFT(TRIM(CA733),255),{"0000a","000a","00a","0000aa","000aa","00aa","0aa","0000aaa","000aaa","00a00","0a00","0000-0000","00:00","a00","a0","00.00.0000","00/00/0000","00-00-0000","0000-00-00","0000/00/00","0000.00.00","00.00.00","00/00/00","00-00-00","0.00.0000","0/00/0000","0-00-0000"},0)),LEN(CB733)&gt;=3,NOT(OR(SUBSTITUTE(CB733,"0","")="",AND(LEN(CB733)&gt;=4,CB733=REPT(LEFT(CB733),LEN(CB733))),ISNUMBER(MATCH(CB733,{"123","1234","12345","123456","1234567","12345678","0123","01234","012345","98765","987654","54321"},0)),AND(LEN(CB733)=8,LEFT(CB733,3)="202"))),OR(AND((LEN(CA733)-LEN(SUBSTITUTE(CA733,"a","")))&gt;=1,SUMPRODUCT(--ISNUMBER(SEARCH({"a0","a-0","a_0","a/0","a.0","a#0","0a","0-a","0_a","0/a"},BP733)))&gt;0),ISNUMBER(SEARCH("000000",BP733)))),1,0),0)</f>
        <v>0</v>
      </c>
      <c r="BR733" s="61" t="n">
        <f aca="false">IFERROR(LEN(SUBSTITUTE(CC733," ",""))-SUMPRODUCT((LEN(CC733)-LEN(SUBSTITUTE(CC733," "&amp;L_Role&amp;" "," ")))/(LEN(L_Role)+1)*LEN(L_Role)),0)</f>
        <v>0</v>
      </c>
      <c r="BS733" s="61" t="n">
        <f aca="false">IFERROR(LEN(SUBSTITUTE(CD733," ",""))-SUMPRODUCT((LEN(CD733)-LEN(SUBSTITUTE(CD733," "&amp;L_Role&amp;" "," ")))/(LEN(L_Role)+1)*LEN(L_Role)),0)</f>
        <v>0</v>
      </c>
      <c r="BT7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733,"revision",""),"version",""),"jan",""),"feb",""),"mar",""),"apr",""),"may",""),"jun",""),"jul",""),"aug",""),"sep",""),"oct",""),"nov",""),"dec",""),"utc",""),"gmt",""),"myt",""),"bst",""),"rev",""),"ver",""),"b","a"),"c","a"),"d","a"),"e","a"),"f","a"),"g","a"),"h","a"),"i","a"),"j","a"),"k","a"),"l","a"),"m","a"),"n","a"),"o","a"),"p","a"),"q","a"),"r","a"),"s","a"),"t","a"),"u","a"),"v","a"),"w","a"),"x","a"),"y","a"),"z","a")</f>
        <v/>
      </c>
      <c r="BU733" s="61" t="str">
        <f aca="false">SUBSTITUTE(SUBSTITUTE(SUBSTITUTE(SUBSTITUTE(SUBSTITUTE(SUBSTITUTE(SUBSTITUTE(SUBSTITUTE(SUBSTITUTE(SUBSTITUTE(LEFT(BM733,FIND("0",BM733&amp;"0")-1),"-",""),"_",""),"/",""),".",""),"#",""),"\\",""),":","")," ",""),"(",""),")","")</f>
        <v/>
      </c>
      <c r="BV733" s="61" t="n">
        <f aca="false">IFERROR(IF(OR(SUMPRODUCT((LEN(BC733)-LEN(SUBSTITUTE(BC733," "&amp;L_NotLoaded&amp;" "," ")))/(LEN(L_NotLoaded)+1))&gt;SUMPRODUCT((LEN(BC733)-LEN(SUBSTITUTE(BC733," "&amp;L_NotLoadedNeg&amp;" "," ")))/(LEN(L_NotLoadedNeg)+1)),SUMPRODUCT((LEN(BD733)-LEN(SUBSTITUTE(BD733," "&amp;L_NotLoaded&amp;" "," ")))/(LEN(L_NotLoaded)+1))&gt;SUMPRODUCT((LEN(BD733)-LEN(SUBSTITUTE(BD733," "&amp;L_NotLoadedNeg&amp;" "," ")))/(LEN(L_NotLoadedNeg)+1))),1,0),0)</f>
        <v>0</v>
      </c>
      <c r="BW73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733&amp;""),"a",""),"b",""),"c",""),"d",""),"e",""),"f",""),"g",""),"h",""),"i",""),"j",""),"k",""),"l",""),"m",""),"n",""),"o",""),"p",""),"q",""),"r",""),"s",""),"t",""),"u",""),"v",""),"w",""),"x",""),"y",""),"z",""),"-",""),"_",""),"/",""),".",""),"#",""),"\\",""),":","")," ",""),"(",""),")","")</f>
        <v/>
      </c>
      <c r="BX733" s="61" t="str">
        <f aca="false">SUBSTITUTE(SUBSTITUTE(SUBSTITUTE(SUBSTITUTE(SUBSTITUTE(SUBSTITUTE(SUBSTITUTE(SUBSTITUTE(SUBSTITUTE(SUBSTITUTE(SUBSTITUTE(BM733,"0",""),"-",""),"_",""),"/",""),".",""),"#",""),"\\",""),":","")," ",""),"(",""),")","")</f>
        <v/>
      </c>
      <c r="BY733" s="62" t="n">
        <f aca="false">IF(ISNUMBER(Flights!$AZ$26),MAX(Q733-UpliftWindowH/24,Flights!$AZ$26),Q733-UpliftWindowH/24)</f>
        <v>46325.3888888889</v>
      </c>
      <c r="BZ733" s="61" t="n">
        <f aca="false">IFERROR(IF(IF(TRIM(S733)="Link / file path",AND(LEN(TRIM(Z733))&gt;=5,SUMPRODUCT(--ISNUMBER(SEARCH({"http","www.","\\",":\",".pdf",".jpg",".jpeg",".png",".heic",".xls",".doc",".msg",".eml",".ppt",".txt",".zip"},Z733)))&gt;0),AND(ISERROR(FIND(" ",TRIM(Z733))),NOT(OR(SUMPRODUCT(--ISNUMBER(FIND({",",";","&amp;","+"},Z733)))&gt;0,SUMPRODUCT(--ISNUMBER(SEARCH({"0/aa","0\\aa"},BN733)))&gt;0)),NOT(SUMPRODUCT(--ISNUMBER(SEARCH({"http","www.","\\",":\",".pdf",".jpg",".jpeg",".png",".heic",".xls",".doc",".msg",".eml",".ppt",".txt",".zip"},Z733)))&gt;0),NOT(LOWER(TRIM(Z733))=LOWER(Flights!$F$26)),ISNA(MATCH(BU733,{"mh","rev","revision","ver","version","v","r","a","b","seat","tray","row","gate","bay","stand","page","pg","item","line","no","cart","galley","flight","flt","table","box","bag","oven","etd","eta","std","sta","atd","ata","qty","pax","x","time","tel","ph","mob","day","wk","week","utc","gmt","myt","lt"},0)),NOT(OR(ISNUMBER(MATCH(LEFT(BN733,255),{"0000a","000a","00a","0000aa","000aa","00aa","0aa","0000aaa","000aaa","00a00","0a00","0000-0000","00:00","a00","a0","00.00.0000","00/00/0000","00-00-0000","0000-00-00","0000/00/00","0000.00.00","00.00.00","00/00/00","00-00-00","0.00.0000","0/00/0000","0-00-0000"},0)),ISNUMBER(MATCH(LEFT(BT733,255),{"0000a","000a","00a","0000aa","000aa","00aa","0aa","0000aaa","000aaa","00a00","0a00","0000-0000","00:00","a00","a0","00.00.0000","00/00/0000","00-00-0000","0000-00-00","0000/00/00","0000.00.00","00.00.00","00/00/00","00-00-00","0.00.0000","0/00/0000","0-00-0000"},0)))),NOT(OR(AND(BW733&lt;&gt;"",SUBSTITUTE(BW733,"0","")=""),AND(LEN(BW733)&gt;=4,BW733=REPT(LEFT(BW733),LEN(BW733))),ISNUMBER(MATCH(BW733,{"123","1234","12345","123456","1234567","12345678","0123","01234","012345","98765","987654","54321"},0)),ISNUMBER(MATCH(BX733,{"x","xx","xxx","xxxx","xxxxx","abc","abcd","nil","na","nan","test","tbc","tba","tbd","dummy","sample","example","eg","zz","zzz","none","null","xyz","qwe","asd","id","ref"},0)),AND(LEN(BW733)=8,BX733="",OR(LEFT(BW733,3)="202",ISNUMBER(MATCH(RIGHT(BW733,4),{"2025","2026","2027"},0)))))),OR(AND((LEN(BT733)-LEN(SUBSTITUTE(BT733,"a","")))&gt;=1,(LEN(BN733)-LEN(SUBSTITUTE(BN733,"0","")))&gt;=2,SUMPRODUCT(--ISNUMBER(SEARCH({"a0","a-0","a_0","a/0","a.0","a#0","0a","0-a","0_a","0/a"},BN733)))&gt;0),AND((LEN(BN733)-LEN(SUBSTITUTE(BN733,"a","")))=0,(LEN(BN733)-LEN(SUBSTITUTE(BN733,"0","")))&gt;=5)))),1,0),0)</f>
        <v>0</v>
      </c>
      <c r="CA7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733,"revision",""),"version",""),"jan",""),"feb",""),"mar",""),"apr",""),"may",""),"jun",""),"jul",""),"aug",""),"sep",""),"oct",""),"nov",""),"dec",""),"utc",""),"gmt",""),"myt",""),"bst",""),"rev",""),"ver",""),"b","a"),"c","a"),"d","a"),"e","a"),"f","a"),"g","a"),"h","a"),"i","a"),"j","a"),"k","a"),"l","a"),"m","a"),"n","a"),"o","a"),"p","a"),"q","a"),"r","a"),"s","a"),"t","a"),"u","a"),"v","a"),"w","a"),"x","a"),"y","a"),"z","a")</f>
        <v/>
      </c>
      <c r="CB73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733&amp;""),"a",""),"b",""),"c",""),"d",""),"e",""),"f",""),"g",""),"h",""),"i",""),"j",""),"k",""),"l",""),"m",""),"n",""),"o",""),"p",""),"q",""),"r",""),"s",""),"t",""),"u",""),"v",""),"w",""),"x",""),"y",""),"z",""),"-",""),"_",""),"/",""),".",""),"#",""),"\\",""),":","")," ",""),"(",""),")","")</f>
        <v/>
      </c>
      <c r="CC733" s="0" t="str">
        <f aca="false">" "&amp;TRIM(SUBSTITUTE(SUBSTITUTE(SUBSTITUTE(SUBSTITUTE(SUBSTITUTE(SUBSTITUTE(SUBSTITUTE(SUBSTITUTE(SUBSTITUTE(SUBSTITUTE(SUBSTITUTE(SUBSTITUTE(SUBSTITUTE(SUBSTITUTE(SUBSTITUTE(SUBSTITUTE(SUBSTITUTE(SUBSTITUTE(SUBSTITUTE(SUBSTITUTE(SUBSTITUTE(SUBSTITUTE(SUBSTITUTE(SUBSTITUTE(LOWER(T733&amp;""),CHAR(10)," "),CHAR(13)," "),CHAR(9)," "),CHAR(160)," "),"."," "),","," "),"-"," "),"/"," "),"("," "),")"," "),":"," "),";"," "),"_"," "),"–"," "),"?"," "),"!"," "),"*"," "),"["," "),"]"," "),"'"," "),"#"," "),"+"," "),"&amp;"," "),"\"," "))&amp;" "</f>
        <v>  </v>
      </c>
      <c r="CD733" s="0" t="str">
        <f aca="false">" "&amp;TRIM(SUBSTITUTE(SUBSTITUTE(SUBSTITUTE(SUBSTITUTE(SUBSTITUTE(SUBSTITUTE(SUBSTITUTE(SUBSTITUTE(SUBSTITUTE(SUBSTITUTE(SUBSTITUTE(SUBSTITUTE(SUBSTITUTE(SUBSTITUTE(SUBSTITUTE(SUBSTITUTE(SUBSTITUTE(SUBSTITUTE(SUBSTITUTE(SUBSTITUTE(SUBSTITUTE(SUBSTITUTE(SUBSTITUTE(SUBSTITUTE(LOWER(AE733&amp;""),CHAR(10)," "),CHAR(13)," "),CHAR(9)," "),CHAR(160)," "),"."," "),","," "),"-"," "),"/"," "),"("," "),")"," "),":"," "),";"," "),"_"," "),"–"," "),"?"," "),"!"," "),"*"," "),"["," "),"]"," "),"'"," "),"#"," "),"+"," "),"&amp;"," "),"\"," "))&amp;" "</f>
        <v>  </v>
      </c>
      <c r="CE733" s="68" t="n">
        <f aca="false">IFERROR(IF(AND(LEN(AU733)&gt;0,LEN(AU733)=LEN(AX733),OR(TRIM(MID(SUBSTITUTE(TRIM(CC733)," ",REPT(" ",60)),1,60))="",ISNUMBER(SEARCH(" "&amp;TRIM(MID(SUBSTITUTE(TRIM(CC733)," ",REPT(" ",60)),1,60))&amp;" ",CD733))),OR(TRIM(MID(SUBSTITUTE(TRIM(CC733)," ",REPT(" ",60)),61,60))="",ISNUMBER(SEARCH(" "&amp;TRIM(MID(SUBSTITUTE(TRIM(CC733)," ",REPT(" ",60)),61,60))&amp;" ",CD733))),OR(TRIM(MID(SUBSTITUTE(TRIM(CC733)," ",REPT(" ",60)),121,60))="",ISNUMBER(SEARCH(" "&amp;TRIM(MID(SUBSTITUTE(TRIM(CC733)," ",REPT(" ",60)),121,60))&amp;" ",CD733)))),1,0),0)</f>
        <v>0</v>
      </c>
      <c r="CG733" s="68" t="n">
        <f aca="false">IFERROR(LEN(SUBSTITUTE(BF733," ",""))-SUMPRODUCT((LEN(BF733)-LEN(SUBSTITUTE(BF733," "&amp;L_NAFiller&amp;" "," ")))/(LEN(L_NAFiller)+1)*LEN(L_NAFiller)),0)</f>
        <v>0</v>
      </c>
    </row>
    <row r="734" customFormat="false" ht="39.75" hidden="false" customHeight="true" outlineLevel="0" collapsed="false">
      <c r="A734" s="57" t="s">
        <v>1468</v>
      </c>
      <c r="B734" s="57" t="s">
        <v>312</v>
      </c>
      <c r="C734" s="57" t="str">
        <f aca="false">Flights!$F$26</f>
        <v>MH0002</v>
      </c>
      <c r="D734" s="58" t="n">
        <f aca="false">Flights!$D$26</f>
        <v>46325</v>
      </c>
      <c r="E734" s="57" t="str">
        <f aca="false">Flights!$G$26&amp;"-"&amp;Flights!$H$26</f>
        <v>KUL-LHR</v>
      </c>
      <c r="F734" s="57" t="str">
        <f aca="false">Flights!$K$26</f>
        <v>BC</v>
      </c>
      <c r="G734" s="57" t="s">
        <v>459</v>
      </c>
      <c r="H734" s="57" t="s">
        <v>460</v>
      </c>
      <c r="I734" s="57" t="s">
        <v>428</v>
      </c>
      <c r="J734" s="57" t="s">
        <v>465</v>
      </c>
      <c r="K734" s="67" t="s">
        <v>426</v>
      </c>
      <c r="L734" s="67" t="s">
        <v>462</v>
      </c>
      <c r="M734" s="67"/>
      <c r="N734" s="67" t="s">
        <v>383</v>
      </c>
      <c r="O734" s="67" t="s">
        <v>463</v>
      </c>
      <c r="P734" s="57" t="s">
        <v>187</v>
      </c>
      <c r="Q734" s="59" t="n">
        <f aca="false">ROUND((Flights!$AF$26)*1440,0)/1440</f>
        <v>46325.6388888889</v>
      </c>
      <c r="R734" s="59" t="n">
        <f aca="false">Q734+(IF(AND(INDEX(TZ_DSTS,MATCH(P734,TZ_STN,0))&lt;&gt;"",Q734&gt;=INDEX(TZ_DSTS,MATCH(P734,TZ_STN,0)),Q734&lt;INDEX(TZ_DSTE,MATCH(P734,TZ_STN,0))),INDEX(TZ_DST,MATCH(P734,TZ_STN,0)),INDEX(TZ_STD,MATCH(P734,TZ_STN,0))))/24</f>
        <v>46325.9722222222</v>
      </c>
      <c r="S734" s="60"/>
      <c r="T734" s="60"/>
      <c r="U734" s="60"/>
      <c r="V734" s="60"/>
      <c r="W734" s="61"/>
      <c r="X734" s="60"/>
      <c r="Y734" s="60"/>
      <c r="Z734" s="60"/>
      <c r="AA734" s="60"/>
      <c r="AB734" s="60"/>
      <c r="AC734" s="60"/>
      <c r="AD734" s="66"/>
      <c r="AE734" s="60"/>
      <c r="AF734" s="61" t="str">
        <f aca="false">IF(AND(ISNUMBER(X734),ISNUMBER(Y734)),Y734-X734,"")</f>
        <v/>
      </c>
      <c r="AG734" s="62" t="str">
        <f aca="false">IF(ISNUMBER(AD734),AD734-(IF(AND(INDEX(TZ_DSTS,MATCH(P734,TZ_STN,0))&lt;&gt;"",(AD734-INDEX(TZ_STD,MATCH(P734,TZ_STN,0))/24)&gt;=INDEX(TZ_DSTS,MATCH(P734,TZ_STN,0)),(AD734-INDEX(TZ_STD,MATCH(P734,TZ_STN,0))/24)&lt;INDEX(TZ_DSTE,MATCH(P734,TZ_STN,0))),INDEX(TZ_DST,MATCH(P734,TZ_STN,0)),INDEX(TZ_STD,MATCH(P734,TZ_STN,0))))/24,"")</f>
        <v/>
      </c>
      <c r="AH734" s="65" t="str">
        <f aca="false">IFERROR(IF(N734="N/A – rule",IF(OR(TRIM(U734)="",TRIM(U734)="N/A",TRIM(U734)="Not started"),"N/A – RULE","INVALID – this check does not apply to this aircraft: clear the status (or correct the fleet on Flights)"),IF(TRIM(U734)="N/A",IF(AT734=0,"INVALID – N/A not permitted for this check",IF(AND(TRIM(AB734)&lt;&gt;"",TRIM(AB734)&lt;&gt;"Closed"),"INVALID – corrective action still open",IF(AND(NOT(OR(LEN(AZ734)&lt;15,ISNUMBER(MATCH(AZ734,L_Placeholder,0)))),BK734=0,CG734&gt;=8,NOT(OR(LEN(AU734)&lt;2,ISNUMBER(MATCH(AU734,L_Placeholder,0)))),BR734&gt;=3,NOT(OR(LEN(AX734)&lt;2,ISNUMBER(MATCH(AX734,L_Placeholder,0)))),BS734&gt;=3,TRIM(AE734)&lt;&gt;TRIM(T734),AX734&lt;&gt;AU734,CE734=0),"N/A – JUSTIFIED","INVALID – N/A needs a real, settled reason (not 'not applicable' / 'as above' / TBC), a named PIC and a different named verifier"))),IF(OR(TRIM(U734)="Pass",TRIM(U734)="Pass after CA"),IF(NOT(ISNUMBER(AD734)),"INVALID – completion time missing",IF(OR(OR(LEN(AU734)&lt;2,ISNUMBER(MATCH(AU734,L_Placeholder,0))),BR734&lt;3),"INVALID – PIC missing or not a named person (a role such as QA / CSM is not a name)",IF(OR(LEN(AV734)&lt;2,ISNUMBER(MATCH(AV734,L_Placeholder,0))),"INVALID – result / assessment missing",IF(OR(OR(LEN(AW734)&lt;3,ISNUMBER(MATCH(AW734,L_Placeholder,0))),SUMPRODUCT(--ISNUMBER(SEARCH(" "&amp;L_EvidencePhrase&amp;" ",BD734)))&gt;0,BI734=1),"INVALID – evidence missing, placeholder or not yet on file",IF(ISNA(MATCH(TRIM(S734),L_EvidenceType,0)),"INVALID – choose the evidence type from the list (column S)",IF(BL734=0,"INVALID – evidence ID must be the record's own ID only (e.g. SF-2210, IMG_2231, 1045521); a link / file name needs type 'Link / file path'",IF(OR(OR(LEN(AX734)&lt;2,ISNUMBER(MATCH(AX734,L_Placeholder,0))),BS734&lt;3),"INVALID – verifier missing or not a named person (a role such as QA / CSM is not a name)",IF(OR(AX734=AU734,CE734=1,AND(LEN(AU734)&gt;=4,ISNUMBER(SEARCH(AU734,AX734))),AND(LEN(AX734)&gt;=4,ISNUMBER(SEARCH(AX734,AU734)))),"INVALID – verifier must be a different, named person (not the PIC or a role)",IF(BH734=1,"INVALID – result not yet available (awaiting / TBC)",IF(BG734=1,"INVALID – result describes a problem: record Fail, then Pass after CA (or reword if it is not a problem)",IF(BV734=1,"INVALID – wording says not on board: an on-board confirmation needs the item loaded",IF(AND(AQ734=1,OR(OR(LEN(AY734)&lt;3,ISNUMBER(MATCH(AY734,L_Placeholder,0))),BJ734=1,BQ734=0)),"INVALID – batch ID missing, placeholder or not an ID (e.g. PASB-261008-BC-017)",IF(AND(AR734=1,OR(NOT(ISNUMBER(X734)),NOT(ISNUMBER(Y734)))),"INVALID – expected/actual qty missing",IF(AND(AR734=1,OR(X734&lt;=0,Y734&lt;0)),"INVALID – expected qty must be above 0 and actual not negative",IF(AH717="N/A – JUSTIFIED","INVALID – preparation row F22-T12-06 is N/A",IF(AND(AR734=1,ISNUMBER(X717),X734&lt;&gt;X717,TRIM(U734)&lt;&gt;"Pass after CA"),"INVALID – expected qty differs from preparation check F22-T12-06: record the load change as a corrective action (Pass after CA)",IF(BB734&lt;&gt;"",BB734,IF(AND(AS734=1,Documents!$J$26&lt;&gt;"ON FILE"),"INVALID – GLD not on file (Documents sheet)",IF(AND(AS734=2,Documents!$O$26&lt;&gt;"ON FILE"),"INVALID – menu checklist not on file (Documents sheet)",IF(AND(AS734=3,NOT(ISNUMBER(Flights!$AX$26))),"INVALID – enter carrying flight KUL departure (Flights AX)",IF(AND(AS734=3,OR(Flights!$AZ$26&gt;Flights!$AA$26,Flights!$AX$26&lt;Flights!$AA$26-3)),"INVALID – carrying flight (Flights AX) cannot arrive before this leg's STD, or is over 3 days early",IF(AG734&gt;AsOfUTC,"INVALID – completion time is in the future",IF(AND(ISNUMBER(BY734),AG734&lt;BY734),IF(H734="Physical uplift","INVALID – before uplift window (cannot confirm loading)","INVALID – before valid window"),IF(AG734&gt;Flights!$AA$26,"INVALID – completed after departure (cannot establish readiness)",IF(AND(H734="Preparation",AG734&gt;=IF(ISNUMBER(Flights!$BA$26),MIN(Flights!$BA$26,Flights!$AA$26),Flights!$AA$26)),"INVALID – completed after loading / departure (cannot establish readiness)",IF(AND(H734="Physical uplift",AG734&gt;Q734),"INVALID – recorded after the loading flight departed",IF(AG734&gt;Q734,"COMPLETE – LATE","COMPLETE"))))))))))))))))))))))))))),IF(TRIM(U734)="Fail","FAIL – DISCREPANCY",IF(AND(TRIM(U734)&lt;&gt;"",TRIM(U734)&lt;&gt;"Not started",TRIM(U734)&lt;&gt;"In progress"),"INVALID – unrecognised status (use the list)",IF(AsOfUTC&gt;Q734,"OVERDUE",IF(N734="Clarification required","OPEN – CLARIFICATION","OPEN"))))))),"INVALID – error value in an input cell")</f>
        <v>OPEN</v>
      </c>
      <c r="AI734" s="61" t="n">
        <f aca="false">IF(OR(AH734="N/A – RULE",AH734="N/A – JUSTIFIED"),0,1)</f>
        <v>1</v>
      </c>
      <c r="AJ734" s="61" t="n">
        <f aca="false">IF(LEFT(AH734,8)="COMPLETE",1,0)</f>
        <v>0</v>
      </c>
      <c r="AK734" s="61" t="n">
        <f aca="false">IF(AND(AI734=1,AJ734=0,AsOfUTC&gt;Q734),1,0)</f>
        <v>0</v>
      </c>
      <c r="AL734" s="61" t="n">
        <f aca="false">IFERROR(IF(AND(AI734=1,OR(TRIM(U734)="Fail",AND(TRIM(AB734)&lt;&gt;"",TRIM(AB734)&lt;&gt;"Closed"),AND(ISNUMBER(AF734),AF734&lt;&gt;0,TRIM(U734)&lt;&gt;"Pass after CA"))),1,0),1)</f>
        <v>0</v>
      </c>
      <c r="AM734" s="61" t="n">
        <f aca="false">IF(LEFT(AH734,7)="INVALID",1,0)</f>
        <v>0</v>
      </c>
      <c r="AN734" s="61" t="n">
        <f aca="false">IF(AND(N734="Clarification required",AI734=1,AJ734=0),1,0)</f>
        <v>0</v>
      </c>
      <c r="AO734" s="61" t="str">
        <f aca="false">IF(AK734=1,SUM(AK$5:AK734),"")</f>
        <v/>
      </c>
      <c r="AP734" s="61" t="str">
        <f aca="false">IF(AL734=1,SUM(AL$5:AL734),"")</f>
        <v/>
      </c>
      <c r="AQ734" s="61" t="n">
        <v>0</v>
      </c>
      <c r="AR734" s="61" t="n">
        <v>1</v>
      </c>
      <c r="AS734" s="61" t="n">
        <v>0</v>
      </c>
      <c r="AT734" s="61" t="n">
        <v>0</v>
      </c>
      <c r="AU734" s="61" t="str">
        <f aca="false">SUBSTITUTE(SUBSTITUTE(SUBSTITUTE(SUBSTITUTE(SUBSTITUTE(SUBSTITUTE(SUBSTITUTE(SUBSTITUTE(SUBSTITUTE(SUBSTITUTE(SUBSTITUTE(SUBSTITUTE(SUBSTITUTE(SUBSTITUTE(SUBSTITUTE(SUBSTITUTE(LOWER(T734&amp;""),CHAR(10),""),CHAR(13),""),CHAR(9),""),CHAR(160),"")," ",""),".",""),"-",""),"/",""),"?",""),"_",""),",",""),"[",""),"]",""),"(",""),")",""),"*","")</f>
        <v/>
      </c>
      <c r="AV734" s="61" t="str">
        <f aca="false">SUBSTITUTE(SUBSTITUTE(SUBSTITUTE(SUBSTITUTE(SUBSTITUTE(SUBSTITUTE(SUBSTITUTE(SUBSTITUTE(SUBSTITUTE(SUBSTITUTE(SUBSTITUTE(SUBSTITUTE(SUBSTITUTE(SUBSTITUTE(SUBSTITUTE(SUBSTITUTE(LOWER(V734&amp;""),CHAR(10),""),CHAR(13),""),CHAR(9),""),CHAR(160),"")," ",""),".",""),"-",""),"/",""),"?",""),"_",""),",",""),"[",""),"]",""),"(",""),")",""),"*","")</f>
        <v/>
      </c>
      <c r="AW734" s="61" t="str">
        <f aca="false">SUBSTITUTE(SUBSTITUTE(SUBSTITUTE(SUBSTITUTE(SUBSTITUTE(SUBSTITUTE(SUBSTITUTE(SUBSTITUTE(SUBSTITUTE(SUBSTITUTE(SUBSTITUTE(SUBSTITUTE(SUBSTITUTE(SUBSTITUTE(SUBSTITUTE(SUBSTITUTE(LOWER(Z734&amp;""),CHAR(10),""),CHAR(13),""),CHAR(9),""),CHAR(160),"")," ",""),".",""),"-",""),"/",""),"?",""),"_",""),",",""),"[",""),"]",""),"(",""),")",""),"*","")</f>
        <v/>
      </c>
      <c r="AX734" s="61" t="str">
        <f aca="false">SUBSTITUTE(SUBSTITUTE(SUBSTITUTE(SUBSTITUTE(SUBSTITUTE(SUBSTITUTE(SUBSTITUTE(SUBSTITUTE(SUBSTITUTE(SUBSTITUTE(SUBSTITUTE(SUBSTITUTE(SUBSTITUTE(SUBSTITUTE(SUBSTITUTE(SUBSTITUTE(LOWER(AE734&amp;""),CHAR(10),""),CHAR(13),""),CHAR(9),""),CHAR(160),"")," ",""),".",""),"-",""),"/",""),"?",""),"_",""),",",""),"[",""),"]",""),"(",""),")",""),"*","")</f>
        <v/>
      </c>
      <c r="AY734" s="61" t="str">
        <f aca="false">SUBSTITUTE(SUBSTITUTE(SUBSTITUTE(SUBSTITUTE(SUBSTITUTE(SUBSTITUTE(SUBSTITUTE(SUBSTITUTE(SUBSTITUTE(SUBSTITUTE(SUBSTITUTE(SUBSTITUTE(SUBSTITUTE(SUBSTITUTE(SUBSTITUTE(SUBSTITUTE(LOWER(W734&amp;""),CHAR(10),""),CHAR(13),""),CHAR(9),""),CHAR(160),"")," ",""),".",""),"-",""),"/",""),"?",""),"_",""),",",""),"[",""),"]",""),"(",""),")",""),"*","")</f>
        <v/>
      </c>
      <c r="AZ734" s="61" t="str">
        <f aca="false">SUBSTITUTE(SUBSTITUTE(SUBSTITUTE(SUBSTITUTE(SUBSTITUTE(SUBSTITUTE(SUBSTITUTE(SUBSTITUTE(SUBSTITUTE(SUBSTITUTE(SUBSTITUTE(SUBSTITUTE(SUBSTITUTE(SUBSTITUTE(SUBSTITUTE(SUBSTITUTE(LOWER(AC734&amp;""),CHAR(10),""),CHAR(13),""),CHAR(9),""),CHAR(160),"")," ",""),".",""),"-",""),"/",""),"?",""),"_",""),",",""),"[",""),"]",""),"(",""),")",""),"*","")</f>
        <v/>
      </c>
      <c r="BA734" s="61" t="str">
        <f aca="false">SUBSTITUTE(SUBSTITUTE(SUBSTITUTE(SUBSTITUTE(SUBSTITUTE(SUBSTITUTE(SUBSTITUTE(SUBSTITUTE(SUBSTITUTE(SUBSTITUTE(SUBSTITUTE(SUBSTITUTE(SUBSTITUTE(SUBSTITUTE(SUBSTITUTE(SUBSTITUTE(LOWER(AA734&amp;""),CHAR(10),""),CHAR(13),""),CHAR(9),""),CHAR(160),"")," ",""),".",""),"-",""),"/",""),"?",""),"_",""),",",""),"[",""),"]",""),"(",""),")",""),"*","")</f>
        <v/>
      </c>
      <c r="BB734" s="61" t="str">
        <f aca="false">IF(AND(TRIM(U734)="Pass",ISNUMBER(AF734)),IF(AF734&lt;&gt;0,"INVALID – qty variance: use Fail or Pass after CA",""),"")&amp;IF(AND(TRIM(U734)="Pass after CA",ISNUMBER(AF734)),IF(AF734&lt;&gt;0,"INVALID – after the corrective action the actual qty must equal expected (update Actual)",""),"")&amp;IF(AND(TRIM(U734)="Pass",TRIM(AB734)&lt;&gt;"",TRIM(AB734)&lt;&gt;"Closed"),"INVALID – corrective action not closed: use Fail, then Pass after CA","")&amp;IF(AND(LEN(BA734)&gt;=2,ISNA(MATCH(LEFT(BA734,255),L_Placeholder,0)),TRIM(AB734)=""),"INVALID – CA status missing for the recorded corrective action","")&amp;IF(AND(TRIM(U734)="Pass after CA",OR(OR(LEN(BA734)&lt;5,ISNUMBER(MATCH(BA734,L_Placeholder,0))),TRIM(AB734)&lt;&gt;"Closed")),"INVALID – corrective action not recorded/closed","")</f>
        <v/>
      </c>
      <c r="BC734" s="61" t="str">
        <f aca="false">" "&amp;TRIM(SUBSTITUTE(SUBSTITUTE(SUBSTITUTE(SUBSTITUTE(SUBSTITUTE(SUBSTITUTE(SUBSTITUTE(SUBSTITUTE(SUBSTITUTE(SUBSTITUTE(SUBSTITUTE(SUBSTITUTE(SUBSTITUTE(SUBSTITUTE(SUBSTITUTE(SUBSTITUTE(SUBSTITUTE(SUBSTITUTE(SUBSTITUTE(SUBSTITUTE(SUBSTITUTE(SUBSTITUTE(SUBSTITUTE(SUBSTITUTE(LOWER(V734&amp;""),CHAR(10)," "),CHAR(13)," "),CHAR(9)," "),CHAR(160)," "),"."," "),","," "),"-"," "),"/"," "),"("," "),")"," "),":"," "),";"," "),"_"," "),"–"," "),"?"," "),"!"," "),"*"," "),"["," "),"]"," "),"'"," "),"#"," "),"+"," "),"&amp;"," "),"\"," "))&amp;" "</f>
        <v>  </v>
      </c>
      <c r="BD734" s="61" t="str">
        <f aca="false">" "&amp;TRIM(SUBSTITUTE(SUBSTITUTE(SUBSTITUTE(SUBSTITUTE(SUBSTITUTE(SUBSTITUTE(SUBSTITUTE(SUBSTITUTE(SUBSTITUTE(SUBSTITUTE(SUBSTITUTE(SUBSTITUTE(SUBSTITUTE(SUBSTITUTE(SUBSTITUTE(SUBSTITUTE(SUBSTITUTE(SUBSTITUTE(SUBSTITUTE(SUBSTITUTE(SUBSTITUTE(SUBSTITUTE(SUBSTITUTE(SUBSTITUTE(LOWER(Z734&amp;""),CHAR(10)," "),CHAR(13)," "),CHAR(9)," "),CHAR(160)," "),"."," "),","," "),"-"," "),"/"," "),"("," "),")"," "),":"," "),";"," "),"_"," "),"–"," "),"?"," "),"!"," "),"*"," "),"["," "),"]"," "),"'"," "),"#"," "),"+"," "),"&amp;"," "),"\"," "))&amp;" "</f>
        <v>  </v>
      </c>
      <c r="BE734" s="61" t="str">
        <f aca="false">" "&amp;TRIM(SUBSTITUTE(SUBSTITUTE(SUBSTITUTE(SUBSTITUTE(SUBSTITUTE(SUBSTITUTE(SUBSTITUTE(SUBSTITUTE(SUBSTITUTE(SUBSTITUTE(SUBSTITUTE(SUBSTITUTE(SUBSTITUTE(SUBSTITUTE(SUBSTITUTE(SUBSTITUTE(SUBSTITUTE(SUBSTITUTE(SUBSTITUTE(SUBSTITUTE(SUBSTITUTE(SUBSTITUTE(SUBSTITUTE(SUBSTITUTE(LOWER(W734&amp;""),CHAR(10)," "),CHAR(13)," "),CHAR(9)," "),CHAR(160)," "),"."," "),","," "),"-"," "),"/"," "),"("," "),")"," "),":"," "),";"," "),"_"," "),"–"," "),"?"," "),"!"," "),"*"," "),"["," "),"]"," "),"'"," "),"#"," "),"+"," "),"&amp;"," "),"\"," "))&amp;" "</f>
        <v>  </v>
      </c>
      <c r="BF734" s="61" t="str">
        <f aca="false">" "&amp;TRIM(SUBSTITUTE(SUBSTITUTE(SUBSTITUTE(SUBSTITUTE(SUBSTITUTE(SUBSTITUTE(SUBSTITUTE(SUBSTITUTE(SUBSTITUTE(SUBSTITUTE(SUBSTITUTE(SUBSTITUTE(SUBSTITUTE(SUBSTITUTE(SUBSTITUTE(SUBSTITUTE(SUBSTITUTE(SUBSTITUTE(SUBSTITUTE(SUBSTITUTE(SUBSTITUTE(SUBSTITUTE(SUBSTITUTE(SUBSTITUTE(LOWER(AC734&amp;""),CHAR(10)," "),CHAR(13)," "),CHAR(9)," "),CHAR(160)," "),"."," "),","," "),"-"," "),"/"," "),"("," "),")"," "),":"," "),";"," "),"_"," "),"–"," "),"?"," "),"!"," "),"*"," "),"["," "),"]"," "),"'"," "),"#"," "),"+"," "),"&amp;"," "),"\"," "))&amp;" "</f>
        <v>  </v>
      </c>
      <c r="BG734" s="61" t="n">
        <f aca="false">IFERROR(IF(AND(TRIM(U734)="Pass",SUMPRODUCT((LEN(BC734)-LEN(SUBSTITUTE(BC734," "&amp;L_ResultBad&amp;" "," ")))/(LEN(L_ResultBad)+1))&gt;SUMPRODUCT((LEN(BC734)-LEN(SUBSTITUTE(BC734," "&amp;L_NegPhrase&amp;" "," ")))/(LEN(L_NegPhrase)+1))),1,0),0)</f>
        <v>0</v>
      </c>
      <c r="BH734" s="61" t="n">
        <f aca="false">IFERROR(IF(SUMPRODUCT((LEN(BC734)-LEN(SUBSTITUTE(BC734," "&amp;L_Pending&amp;" "," ")))/(LEN(L_Pending)+1))&gt;SUMPRODUCT((LEN(BC734)-LEN(SUBSTITUTE(BC734," "&amp;L_PendNeg&amp;" "," ")))/(LEN(L_PendNeg)+1)),1,0),1)</f>
        <v>0</v>
      </c>
      <c r="BI734" s="61" t="n">
        <f aca="false">IFERROR(IF(SUMPRODUCT((LEN(BD734)-LEN(SUBSTITUTE(BD734," "&amp;L_PendStrict&amp;" "," ")))/(LEN(L_PendStrict)+1))&gt;SUMPRODUCT((LEN(BD734)-LEN(SUBSTITUTE(BD734," "&amp;L_PendNeg&amp;" "," ")))/(LEN(L_PendNeg)+1)),1,0),1)</f>
        <v>0</v>
      </c>
      <c r="BJ734" s="61" t="n">
        <f aca="false">IFERROR(IF(SUMPRODUCT((LEN(BE734)-LEN(SUBSTITUTE(BE734," "&amp;L_Pending&amp;" "," ")))/(LEN(L_Pending)+1))&gt;SUMPRODUCT((LEN(BE734)-LEN(SUBSTITUTE(BE734," "&amp;L_PendNeg&amp;" "," ")))/(LEN(L_PendNeg)+1)),1,0),1)</f>
        <v>0</v>
      </c>
      <c r="BK734" s="61" t="n">
        <f aca="false">IFERROR(IF(SUMPRODUCT((LEN(BF734)-LEN(SUBSTITUTE(BF734," "&amp;L_PendStrict&amp;" "," ")))/(LEN(L_PendStrict)+1))&gt;SUMPRODUCT((LEN(BF734)-LEN(SUBSTITUTE(BF734," "&amp;L_PendNeg&amp;" "," ")))/(LEN(L_PendNeg)+1)),1,0),1)</f>
        <v>0</v>
      </c>
      <c r="BL734" s="61" t="n">
        <f aca="false">IF(ISNA(MATCH(TRIM(S734),L_EvidenceType,0)),0,BZ734)</f>
        <v>0</v>
      </c>
      <c r="BM734" s="61" t="str">
        <f aca="false">SUBSTITUTE(SUBSTITUTE(SUBSTITUTE(SUBSTITUTE(SUBSTITUTE(SUBSTITUTE(SUBSTITUTE(SUBSTITUTE(SUBSTITUTE(LOWER(Z734&amp;""),"1","0"),"2","0"),"3","0"),"4","0"),"5","0"),"6","0"),"7","0"),"8","0"),"9","0")</f>
        <v/>
      </c>
      <c r="BN734" s="61" t="str">
        <f aca="false">SUBSTITUTE(SUBSTITUTE(SUBSTITUTE(SUBSTITUTE(SUBSTITUTE(SUBSTITUTE(SUBSTITUTE(SUBSTITUTE(SUBSTITUTE(SUBSTITUTE(SUBSTITUTE(SUBSTITUTE(SUBSTITUTE(SUBSTITUTE(SUBSTITUTE(SUBSTITUTE(SUBSTITUTE(SUBSTITUTE(SUBSTITUTE(SUBSTITUTE(SUBSTITUTE(SUBSTITUTE(SUBSTITUTE(SUBSTITUTE(SUBSTITUTE(BM734,"b","a"),"c","a"),"d","a"),"e","a"),"f","a"),"g","a"),"h","a"),"i","a"),"j","a"),"k","a"),"l","a"),"m","a"),"n","a"),"o","a"),"p","a"),"q","a"),"r","a"),"s","a"),"t","a"),"u","a"),"v","a"),"w","a"),"x","a"),"y","a"),"z","a")</f>
        <v/>
      </c>
      <c r="BO734" s="61" t="str">
        <f aca="false">SUBSTITUTE(SUBSTITUTE(SUBSTITUTE(SUBSTITUTE(SUBSTITUTE(SUBSTITUTE(SUBSTITUTE(SUBSTITUTE(SUBSTITUTE(LOWER(W734&amp;""),"1","0"),"2","0"),"3","0"),"4","0"),"5","0"),"6","0"),"7","0"),"8","0"),"9","0")</f>
        <v/>
      </c>
      <c r="BP734" s="61" t="str">
        <f aca="false">SUBSTITUTE(SUBSTITUTE(SUBSTITUTE(SUBSTITUTE(SUBSTITUTE(SUBSTITUTE(SUBSTITUTE(SUBSTITUTE(SUBSTITUTE(SUBSTITUTE(SUBSTITUTE(SUBSTITUTE(SUBSTITUTE(SUBSTITUTE(SUBSTITUTE(SUBSTITUTE(SUBSTITUTE(SUBSTITUTE(SUBSTITUTE(SUBSTITUTE(SUBSTITUTE(SUBSTITUTE(SUBSTITUTE(SUBSTITUTE(SUBSTITUTE(BO734,"b","a"),"c","a"),"d","a"),"e","a"),"f","a"),"g","a"),"h","a"),"i","a"),"j","a"),"k","a"),"l","a"),"m","a"),"n","a"),"o","a"),"p","a"),"q","a"),"r","a"),"s","a"),"t","a"),"u","a"),"v","a"),"w","a"),"x","a"),"y","a"),"z","a")</f>
        <v/>
      </c>
      <c r="BQ734" s="61" t="n">
        <f aca="false">IFERROR(IF(AND(ISERROR(SEARCH(" mh"," "&amp;LOWER(W734))),ISNA(MATCH(LEFT(TRIM(BP734),255),{"0000a","000a","00a","0000aa","000aa","00aa","0aa","0000aaa","000aaa","00a00","0a00","0000-0000","00:00","a00","a0","00.00.0000","00/00/0000","00-00-0000","0000-00-00","0000/00/00","0000.00.00","00.00.00","00/00/00","00-00-00","0.00.0000","0/00/0000","0-00-0000"},0)),ISNA(MATCH(LEFT(TRIM(CA734),255),{"0000a","000a","00a","0000aa","000aa","00aa","0aa","0000aaa","000aaa","00a00","0a00","0000-0000","00:00","a00","a0","00.00.0000","00/00/0000","00-00-0000","0000-00-00","0000/00/00","0000.00.00","00.00.00","00/00/00","00-00-00","0.00.0000","0/00/0000","0-00-0000"},0)),LEN(CB734)&gt;=3,NOT(OR(SUBSTITUTE(CB734,"0","")="",AND(LEN(CB734)&gt;=4,CB734=REPT(LEFT(CB734),LEN(CB734))),ISNUMBER(MATCH(CB734,{"123","1234","12345","123456","1234567","12345678","0123","01234","012345","98765","987654","54321"},0)),AND(LEN(CB734)=8,LEFT(CB734,3)="202"))),OR(AND((LEN(CA734)-LEN(SUBSTITUTE(CA734,"a","")))&gt;=1,SUMPRODUCT(--ISNUMBER(SEARCH({"a0","a-0","a_0","a/0","a.0","a#0","0a","0-a","0_a","0/a"},BP734)))&gt;0),ISNUMBER(SEARCH("000000",BP734)))),1,0),0)</f>
        <v>0</v>
      </c>
      <c r="BR734" s="61" t="n">
        <f aca="false">IFERROR(LEN(SUBSTITUTE(CC734," ",""))-SUMPRODUCT((LEN(CC734)-LEN(SUBSTITUTE(CC734," "&amp;L_Role&amp;" "," ")))/(LEN(L_Role)+1)*LEN(L_Role)),0)</f>
        <v>0</v>
      </c>
      <c r="BS734" s="61" t="n">
        <f aca="false">IFERROR(LEN(SUBSTITUTE(CD734," ",""))-SUMPRODUCT((LEN(CD734)-LEN(SUBSTITUTE(CD734," "&amp;L_Role&amp;" "," ")))/(LEN(L_Role)+1)*LEN(L_Role)),0)</f>
        <v>0</v>
      </c>
      <c r="BT7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734,"revision",""),"version",""),"jan",""),"feb",""),"mar",""),"apr",""),"may",""),"jun",""),"jul",""),"aug",""),"sep",""),"oct",""),"nov",""),"dec",""),"utc",""),"gmt",""),"myt",""),"bst",""),"rev",""),"ver",""),"b","a"),"c","a"),"d","a"),"e","a"),"f","a"),"g","a"),"h","a"),"i","a"),"j","a"),"k","a"),"l","a"),"m","a"),"n","a"),"o","a"),"p","a"),"q","a"),"r","a"),"s","a"),"t","a"),"u","a"),"v","a"),"w","a"),"x","a"),"y","a"),"z","a")</f>
        <v/>
      </c>
      <c r="BU734" s="61" t="str">
        <f aca="false">SUBSTITUTE(SUBSTITUTE(SUBSTITUTE(SUBSTITUTE(SUBSTITUTE(SUBSTITUTE(SUBSTITUTE(SUBSTITUTE(SUBSTITUTE(SUBSTITUTE(LEFT(BM734,FIND("0",BM734&amp;"0")-1),"-",""),"_",""),"/",""),".",""),"#",""),"\\",""),":","")," ",""),"(",""),")","")</f>
        <v/>
      </c>
      <c r="BV734" s="61" t="n">
        <f aca="false">IFERROR(IF(OR(SUMPRODUCT((LEN(BC734)-LEN(SUBSTITUTE(BC734," "&amp;L_NotLoaded&amp;" "," ")))/(LEN(L_NotLoaded)+1))&gt;SUMPRODUCT((LEN(BC734)-LEN(SUBSTITUTE(BC734," "&amp;L_NotLoadedNeg&amp;" "," ")))/(LEN(L_NotLoadedNeg)+1)),SUMPRODUCT((LEN(BD734)-LEN(SUBSTITUTE(BD734," "&amp;L_NotLoaded&amp;" "," ")))/(LEN(L_NotLoaded)+1))&gt;SUMPRODUCT((LEN(BD734)-LEN(SUBSTITUTE(BD734," "&amp;L_NotLoadedNeg&amp;" "," ")))/(LEN(L_NotLoadedNeg)+1))),1,0),0)</f>
        <v>0</v>
      </c>
      <c r="BW73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734&amp;""),"a",""),"b",""),"c",""),"d",""),"e",""),"f",""),"g",""),"h",""),"i",""),"j",""),"k",""),"l",""),"m",""),"n",""),"o",""),"p",""),"q",""),"r",""),"s",""),"t",""),"u",""),"v",""),"w",""),"x",""),"y",""),"z",""),"-",""),"_",""),"/",""),".",""),"#",""),"\\",""),":","")," ",""),"(",""),")","")</f>
        <v/>
      </c>
      <c r="BX734" s="61" t="str">
        <f aca="false">SUBSTITUTE(SUBSTITUTE(SUBSTITUTE(SUBSTITUTE(SUBSTITUTE(SUBSTITUTE(SUBSTITUTE(SUBSTITUTE(SUBSTITUTE(SUBSTITUTE(SUBSTITUTE(BM734,"0",""),"-",""),"_",""),"/",""),".",""),"#",""),"\\",""),":","")," ",""),"(",""),")","")</f>
        <v/>
      </c>
      <c r="BY734" s="62" t="n">
        <f aca="false">IF(ISNUMBER(Flights!$AZ$26),MAX(Q734-UpliftWindowH/24,Flights!$AZ$26),Q734-UpliftWindowH/24)</f>
        <v>46325.3888888889</v>
      </c>
      <c r="BZ734" s="61" t="n">
        <f aca="false">IFERROR(IF(IF(TRIM(S734)="Link / file path",AND(LEN(TRIM(Z734))&gt;=5,SUMPRODUCT(--ISNUMBER(SEARCH({"http","www.","\\",":\",".pdf",".jpg",".jpeg",".png",".heic",".xls",".doc",".msg",".eml",".ppt",".txt",".zip"},Z734)))&gt;0),AND(ISERROR(FIND(" ",TRIM(Z734))),NOT(OR(SUMPRODUCT(--ISNUMBER(FIND({",",";","&amp;","+"},Z734)))&gt;0,SUMPRODUCT(--ISNUMBER(SEARCH({"0/aa","0\\aa"},BN734)))&gt;0)),NOT(SUMPRODUCT(--ISNUMBER(SEARCH({"http","www.","\\",":\",".pdf",".jpg",".jpeg",".png",".heic",".xls",".doc",".msg",".eml",".ppt",".txt",".zip"},Z734)))&gt;0),NOT(LOWER(TRIM(Z734))=LOWER(Flights!$F$26)),ISNA(MATCH(BU734,{"mh","rev","revision","ver","version","v","r","a","b","seat","tray","row","gate","bay","stand","page","pg","item","line","no","cart","galley","flight","flt","table","box","bag","oven","etd","eta","std","sta","atd","ata","qty","pax","x","time","tel","ph","mob","day","wk","week","utc","gmt","myt","lt"},0)),NOT(OR(ISNUMBER(MATCH(LEFT(BN734,255),{"0000a","000a","00a","0000aa","000aa","00aa","0aa","0000aaa","000aaa","00a00","0a00","0000-0000","00:00","a00","a0","00.00.0000","00/00/0000","00-00-0000","0000-00-00","0000/00/00","0000.00.00","00.00.00","00/00/00","00-00-00","0.00.0000","0/00/0000","0-00-0000"},0)),ISNUMBER(MATCH(LEFT(BT734,255),{"0000a","000a","00a","0000aa","000aa","00aa","0aa","0000aaa","000aaa","00a00","0a00","0000-0000","00:00","a00","a0","00.00.0000","00/00/0000","00-00-0000","0000-00-00","0000/00/00","0000.00.00","00.00.00","00/00/00","00-00-00","0.00.0000","0/00/0000","0-00-0000"},0)))),NOT(OR(AND(BW734&lt;&gt;"",SUBSTITUTE(BW734,"0","")=""),AND(LEN(BW734)&gt;=4,BW734=REPT(LEFT(BW734),LEN(BW734))),ISNUMBER(MATCH(BW734,{"123","1234","12345","123456","1234567","12345678","0123","01234","012345","98765","987654","54321"},0)),ISNUMBER(MATCH(BX734,{"x","xx","xxx","xxxx","xxxxx","abc","abcd","nil","na","nan","test","tbc","tba","tbd","dummy","sample","example","eg","zz","zzz","none","null","xyz","qwe","asd","id","ref"},0)),AND(LEN(BW734)=8,BX734="",OR(LEFT(BW734,3)="202",ISNUMBER(MATCH(RIGHT(BW734,4),{"2025","2026","2027"},0)))))),OR(AND((LEN(BT734)-LEN(SUBSTITUTE(BT734,"a","")))&gt;=1,(LEN(BN734)-LEN(SUBSTITUTE(BN734,"0","")))&gt;=2,SUMPRODUCT(--ISNUMBER(SEARCH({"a0","a-0","a_0","a/0","a.0","a#0","0a","0-a","0_a","0/a"},BN734)))&gt;0),AND((LEN(BN734)-LEN(SUBSTITUTE(BN734,"a","")))=0,(LEN(BN734)-LEN(SUBSTITUTE(BN734,"0","")))&gt;=5)))),1,0),0)</f>
        <v>0</v>
      </c>
      <c r="CA7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734,"revision",""),"version",""),"jan",""),"feb",""),"mar",""),"apr",""),"may",""),"jun",""),"jul",""),"aug",""),"sep",""),"oct",""),"nov",""),"dec",""),"utc",""),"gmt",""),"myt",""),"bst",""),"rev",""),"ver",""),"b","a"),"c","a"),"d","a"),"e","a"),"f","a"),"g","a"),"h","a"),"i","a"),"j","a"),"k","a"),"l","a"),"m","a"),"n","a"),"o","a"),"p","a"),"q","a"),"r","a"),"s","a"),"t","a"),"u","a"),"v","a"),"w","a"),"x","a"),"y","a"),"z","a")</f>
        <v/>
      </c>
      <c r="CB73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734&amp;""),"a",""),"b",""),"c",""),"d",""),"e",""),"f",""),"g",""),"h",""),"i",""),"j",""),"k",""),"l",""),"m",""),"n",""),"o",""),"p",""),"q",""),"r",""),"s",""),"t",""),"u",""),"v",""),"w",""),"x",""),"y",""),"z",""),"-",""),"_",""),"/",""),".",""),"#",""),"\\",""),":","")," ",""),"(",""),")","")</f>
        <v/>
      </c>
      <c r="CC734" s="0" t="str">
        <f aca="false">" "&amp;TRIM(SUBSTITUTE(SUBSTITUTE(SUBSTITUTE(SUBSTITUTE(SUBSTITUTE(SUBSTITUTE(SUBSTITUTE(SUBSTITUTE(SUBSTITUTE(SUBSTITUTE(SUBSTITUTE(SUBSTITUTE(SUBSTITUTE(SUBSTITUTE(SUBSTITUTE(SUBSTITUTE(SUBSTITUTE(SUBSTITUTE(SUBSTITUTE(SUBSTITUTE(SUBSTITUTE(SUBSTITUTE(SUBSTITUTE(SUBSTITUTE(LOWER(T734&amp;""),CHAR(10)," "),CHAR(13)," "),CHAR(9)," "),CHAR(160)," "),"."," "),","," "),"-"," "),"/"," "),"("," "),")"," "),":"," "),";"," "),"_"," "),"–"," "),"?"," "),"!"," "),"*"," "),"["," "),"]"," "),"'"," "),"#"," "),"+"," "),"&amp;"," "),"\"," "))&amp;" "</f>
        <v>  </v>
      </c>
      <c r="CD734" s="0" t="str">
        <f aca="false">" "&amp;TRIM(SUBSTITUTE(SUBSTITUTE(SUBSTITUTE(SUBSTITUTE(SUBSTITUTE(SUBSTITUTE(SUBSTITUTE(SUBSTITUTE(SUBSTITUTE(SUBSTITUTE(SUBSTITUTE(SUBSTITUTE(SUBSTITUTE(SUBSTITUTE(SUBSTITUTE(SUBSTITUTE(SUBSTITUTE(SUBSTITUTE(SUBSTITUTE(SUBSTITUTE(SUBSTITUTE(SUBSTITUTE(SUBSTITUTE(SUBSTITUTE(LOWER(AE734&amp;""),CHAR(10)," "),CHAR(13)," "),CHAR(9)," "),CHAR(160)," "),"."," "),","," "),"-"," "),"/"," "),"("," "),")"," "),":"," "),";"," "),"_"," "),"–"," "),"?"," "),"!"," "),"*"," "),"["," "),"]"," "),"'"," "),"#"," "),"+"," "),"&amp;"," "),"\"," "))&amp;" "</f>
        <v>  </v>
      </c>
      <c r="CE734" s="68" t="n">
        <f aca="false">IFERROR(IF(AND(LEN(AU734)&gt;0,LEN(AU734)=LEN(AX734),OR(TRIM(MID(SUBSTITUTE(TRIM(CC734)," ",REPT(" ",60)),1,60))="",ISNUMBER(SEARCH(" "&amp;TRIM(MID(SUBSTITUTE(TRIM(CC734)," ",REPT(" ",60)),1,60))&amp;" ",CD734))),OR(TRIM(MID(SUBSTITUTE(TRIM(CC734)," ",REPT(" ",60)),61,60))="",ISNUMBER(SEARCH(" "&amp;TRIM(MID(SUBSTITUTE(TRIM(CC734)," ",REPT(" ",60)),61,60))&amp;" ",CD734))),OR(TRIM(MID(SUBSTITUTE(TRIM(CC734)," ",REPT(" ",60)),121,60))="",ISNUMBER(SEARCH(" "&amp;TRIM(MID(SUBSTITUTE(TRIM(CC734)," ",REPT(" ",60)),121,60))&amp;" ",CD734)))),1,0),0)</f>
        <v>0</v>
      </c>
      <c r="CG734" s="68" t="n">
        <f aca="false">IFERROR(LEN(SUBSTITUTE(BF734," ",""))-SUMPRODUCT((LEN(BF734)-LEN(SUBSTITUTE(BF734," "&amp;L_NAFiller&amp;" "," ")))/(LEN(L_NAFiller)+1)*LEN(L_NAFiller)),0)</f>
        <v>0</v>
      </c>
    </row>
    <row r="735" customFormat="false" ht="91.5" hidden="false" customHeight="true" outlineLevel="0" collapsed="false">
      <c r="A735" s="57" t="s">
        <v>1469</v>
      </c>
      <c r="B735" s="57" t="s">
        <v>312</v>
      </c>
      <c r="C735" s="57" t="str">
        <f aca="false">Flights!$F$26</f>
        <v>MH0002</v>
      </c>
      <c r="D735" s="58" t="n">
        <f aca="false">Flights!$D$26</f>
        <v>46325</v>
      </c>
      <c r="E735" s="57" t="str">
        <f aca="false">Flights!$G$26&amp;"-"&amp;Flights!$H$26</f>
        <v>KUL-LHR</v>
      </c>
      <c r="F735" s="57" t="str">
        <f aca="false">Flights!$K$26</f>
        <v>BC</v>
      </c>
      <c r="G735" s="57" t="s">
        <v>459</v>
      </c>
      <c r="H735" s="57" t="s">
        <v>460</v>
      </c>
      <c r="I735" s="57" t="s">
        <v>440</v>
      </c>
      <c r="J735" s="57" t="s">
        <v>467</v>
      </c>
      <c r="K735" s="67" t="s">
        <v>501</v>
      </c>
      <c r="L735" s="67" t="s">
        <v>443</v>
      </c>
      <c r="M735" s="67" t="s">
        <v>726</v>
      </c>
      <c r="N735" s="67" t="s">
        <v>444</v>
      </c>
      <c r="O735" s="67" t="s">
        <v>727</v>
      </c>
      <c r="P735" s="57" t="s">
        <v>187</v>
      </c>
      <c r="Q735" s="59" t="n">
        <f aca="false">ROUND((Flights!$AF$26)*1440,0)/1440</f>
        <v>46325.6388888889</v>
      </c>
      <c r="R735" s="59" t="n">
        <f aca="false">Q735+(IF(AND(INDEX(TZ_DSTS,MATCH(P735,TZ_STN,0))&lt;&gt;"",Q735&gt;=INDEX(TZ_DSTS,MATCH(P735,TZ_STN,0)),Q735&lt;INDEX(TZ_DSTE,MATCH(P735,TZ_STN,0))),INDEX(TZ_DST,MATCH(P735,TZ_STN,0)),INDEX(TZ_STD,MATCH(P735,TZ_STN,0))))/24</f>
        <v>46325.9722222222</v>
      </c>
      <c r="S735" s="60"/>
      <c r="T735" s="60"/>
      <c r="U735" s="60"/>
      <c r="V735" s="60"/>
      <c r="W735" s="61"/>
      <c r="X735" s="60"/>
      <c r="Y735" s="60"/>
      <c r="Z735" s="60"/>
      <c r="AA735" s="60"/>
      <c r="AB735" s="60"/>
      <c r="AC735" s="60"/>
      <c r="AD735" s="66"/>
      <c r="AE735" s="60"/>
      <c r="AF735" s="61" t="str">
        <f aca="false">IF(AND(ISNUMBER(X735),ISNUMBER(Y735)),Y735-X735,"")</f>
        <v/>
      </c>
      <c r="AG735" s="62" t="str">
        <f aca="false">IF(ISNUMBER(AD735),AD735-(IF(AND(INDEX(TZ_DSTS,MATCH(P735,TZ_STN,0))&lt;&gt;"",(AD735-INDEX(TZ_STD,MATCH(P735,TZ_STN,0))/24)&gt;=INDEX(TZ_DSTS,MATCH(P735,TZ_STN,0)),(AD735-INDEX(TZ_STD,MATCH(P735,TZ_STN,0))/24)&lt;INDEX(TZ_DSTE,MATCH(P735,TZ_STN,0))),INDEX(TZ_DST,MATCH(P735,TZ_STN,0)),INDEX(TZ_STD,MATCH(P735,TZ_STN,0))))/24,"")</f>
        <v/>
      </c>
      <c r="AH735" s="65" t="str">
        <f aca="false">IFERROR(IF(N735="N/A – rule",IF(OR(TRIM(U735)="",TRIM(U735)="N/A",TRIM(U735)="Not started"),"N/A – RULE","INVALID – this check does not apply to this aircraft: clear the status (or correct the fleet on Flights)"),IF(TRIM(U735)="N/A",IF(AT735=0,"INVALID – N/A not permitted for this check",IF(AND(TRIM(AB735)&lt;&gt;"",TRIM(AB735)&lt;&gt;"Closed"),"INVALID – corrective action still open",IF(AND(NOT(OR(LEN(AZ735)&lt;15,ISNUMBER(MATCH(AZ735,L_Placeholder,0)))),BK735=0,CG735&gt;=8,NOT(OR(LEN(AU735)&lt;2,ISNUMBER(MATCH(AU735,L_Placeholder,0)))),BR735&gt;=3,NOT(OR(LEN(AX735)&lt;2,ISNUMBER(MATCH(AX735,L_Placeholder,0)))),BS735&gt;=3,TRIM(AE735)&lt;&gt;TRIM(T735),AX735&lt;&gt;AU735,CE735=0),"N/A – JUSTIFIED","INVALID – N/A needs a real, settled reason (not 'not applicable' / 'as above' / TBC), a named PIC and a different named verifier"))),IF(OR(TRIM(U735)="Pass",TRIM(U735)="Pass after CA"),IF(NOT(ISNUMBER(AD735)),"INVALID – completion time missing",IF(OR(OR(LEN(AU735)&lt;2,ISNUMBER(MATCH(AU735,L_Placeholder,0))),BR735&lt;3),"INVALID – PIC missing or not a named person (a role such as QA / CSM is not a name)",IF(OR(LEN(AV735)&lt;2,ISNUMBER(MATCH(AV735,L_Placeholder,0))),"INVALID – result / assessment missing",IF(OR(OR(LEN(AW735)&lt;3,ISNUMBER(MATCH(AW735,L_Placeholder,0))),SUMPRODUCT(--ISNUMBER(SEARCH(" "&amp;L_EvidencePhrase&amp;" ",BD735)))&gt;0,BI735=1),"INVALID – evidence missing, placeholder or not yet on file",IF(ISNA(MATCH(TRIM(S735),L_EvidenceType,0)),"INVALID – choose the evidence type from the list (column S)",IF(BL735=0,"INVALID – evidence ID must be the record's own ID only (e.g. SF-2210, IMG_2231, 1045521); a link / file name needs type 'Link / file path'",IF(OR(OR(LEN(AX735)&lt;2,ISNUMBER(MATCH(AX735,L_Placeholder,0))),BS735&lt;3),"INVALID – verifier missing or not a named person (a role such as QA / CSM is not a name)",IF(OR(AX735=AU735,CE735=1,AND(LEN(AU735)&gt;=4,ISNUMBER(SEARCH(AU735,AX735))),AND(LEN(AX735)&gt;=4,ISNUMBER(SEARCH(AX735,AU735)))),"INVALID – verifier must be a different, named person (not the PIC or a role)",IF(BH735=1,"INVALID – result not yet available (awaiting / TBC)",IF(BG735=1,"INVALID – result describes a problem: record Fail, then Pass after CA (or reword if it is not a problem)",IF(BV735=1,"INVALID – wording says not on board: an on-board confirmation needs the item loaded",IF(AND(AQ735=1,OR(OR(LEN(AY735)&lt;3,ISNUMBER(MATCH(AY735,L_Placeholder,0))),BJ735=1,BQ735=0)),"INVALID – batch ID missing, placeholder or not an ID (e.g. PASB-261008-BC-017)",IF(AND(AR735=1,OR(NOT(ISNUMBER(X735)),NOT(ISNUMBER(Y735)))),"INVALID – expected/actual qty missing",IF(AND(AR735=1,OR(X735&lt;=0,Y735&lt;0)),"INVALID – expected qty must be above 0 and actual not negative",IF(AH719="N/A – JUSTIFIED","INVALID – preparation row F22-T12-08 is N/A",IF(AND(AR735=1,ISNUMBER(X719),X735&lt;&gt;X719,TRIM(U735)&lt;&gt;"Pass after CA"),"INVALID – expected qty differs from preparation check F22-T12-08: record the load change as a corrective action (Pass after CA)",IF(BB735&lt;&gt;"",BB735,IF(AND(AS735=1,Documents!$J$26&lt;&gt;"ON FILE"),"INVALID – GLD not on file (Documents sheet)",IF(AND(AS735=2,Documents!$O$26&lt;&gt;"ON FILE"),"INVALID – menu checklist not on file (Documents sheet)",IF(AND(AS735=3,NOT(ISNUMBER(Flights!$AX$26))),"INVALID – enter carrying flight KUL departure (Flights AX)",IF(AND(AS735=3,OR(Flights!$AZ$26&gt;Flights!$AA$26,Flights!$AX$26&lt;Flights!$AA$26-3)),"INVALID – carrying flight (Flights AX) cannot arrive before this leg's STD, or is over 3 days early",IF(AG735&gt;AsOfUTC,"INVALID – completion time is in the future",IF(AND(ISNUMBER(BY735),AG735&lt;BY735),IF(H735="Physical uplift","INVALID – before uplift window (cannot confirm loading)","INVALID – before valid window"),IF(AG735&gt;Flights!$AA$26,"INVALID – completed after departure (cannot establish readiness)",IF(AND(H735="Preparation",AG735&gt;=IF(ISNUMBER(Flights!$BA$26),MIN(Flights!$BA$26,Flights!$AA$26),Flights!$AA$26)),"INVALID – completed after loading / departure (cannot establish readiness)",IF(AND(H735="Physical uplift",AG735&gt;Q735),"INVALID – recorded after the loading flight departed",IF(AG735&gt;Q735,"COMPLETE – LATE","COMPLETE"))))))))))))))))))))))))))),IF(TRIM(U735)="Fail","FAIL – DISCREPANCY",IF(AND(TRIM(U735)&lt;&gt;"",TRIM(U735)&lt;&gt;"Not started",TRIM(U735)&lt;&gt;"In progress"),"INVALID – unrecognised status (use the list)",IF(AsOfUTC&gt;Q735,"OVERDUE",IF(N735="Clarification required","OPEN – CLARIFICATION","OPEN"))))))),"INVALID – error value in an input cell")</f>
        <v>OPEN – CLARIFICATION</v>
      </c>
      <c r="AI735" s="61" t="n">
        <f aca="false">IF(OR(AH735="N/A – RULE",AH735="N/A – JUSTIFIED"),0,1)</f>
        <v>1</v>
      </c>
      <c r="AJ735" s="61" t="n">
        <f aca="false">IF(LEFT(AH735,8)="COMPLETE",1,0)</f>
        <v>0</v>
      </c>
      <c r="AK735" s="61" t="n">
        <f aca="false">IF(AND(AI735=1,AJ735=0,AsOfUTC&gt;Q735),1,0)</f>
        <v>0</v>
      </c>
      <c r="AL735" s="61" t="n">
        <f aca="false">IFERROR(IF(AND(AI735=1,OR(TRIM(U735)="Fail",AND(TRIM(AB735)&lt;&gt;"",TRIM(AB735)&lt;&gt;"Closed"),AND(ISNUMBER(AF735),AF735&lt;&gt;0,TRIM(U735)&lt;&gt;"Pass after CA"))),1,0),1)</f>
        <v>0</v>
      </c>
      <c r="AM735" s="61" t="n">
        <f aca="false">IF(LEFT(AH735,7)="INVALID",1,0)</f>
        <v>0</v>
      </c>
      <c r="AN735" s="61" t="n">
        <f aca="false">IF(AND(N735="Clarification required",AI735=1,AJ735=0),1,0)</f>
        <v>1</v>
      </c>
      <c r="AO735" s="61" t="str">
        <f aca="false">IF(AK735=1,SUM(AK$5:AK735),"")</f>
        <v/>
      </c>
      <c r="AP735" s="61" t="str">
        <f aca="false">IF(AL735=1,SUM(AL$5:AL735),"")</f>
        <v/>
      </c>
      <c r="AQ735" s="61" t="n">
        <v>0</v>
      </c>
      <c r="AR735" s="61" t="n">
        <v>0</v>
      </c>
      <c r="AS735" s="61" t="n">
        <v>0</v>
      </c>
      <c r="AT735" s="61" t="n">
        <v>1</v>
      </c>
      <c r="AU735" s="61" t="str">
        <f aca="false">SUBSTITUTE(SUBSTITUTE(SUBSTITUTE(SUBSTITUTE(SUBSTITUTE(SUBSTITUTE(SUBSTITUTE(SUBSTITUTE(SUBSTITUTE(SUBSTITUTE(SUBSTITUTE(SUBSTITUTE(SUBSTITUTE(SUBSTITUTE(SUBSTITUTE(SUBSTITUTE(LOWER(T735&amp;""),CHAR(10),""),CHAR(13),""),CHAR(9),""),CHAR(160),"")," ",""),".",""),"-",""),"/",""),"?",""),"_",""),",",""),"[",""),"]",""),"(",""),")",""),"*","")</f>
        <v/>
      </c>
      <c r="AV735" s="61" t="str">
        <f aca="false">SUBSTITUTE(SUBSTITUTE(SUBSTITUTE(SUBSTITUTE(SUBSTITUTE(SUBSTITUTE(SUBSTITUTE(SUBSTITUTE(SUBSTITUTE(SUBSTITUTE(SUBSTITUTE(SUBSTITUTE(SUBSTITUTE(SUBSTITUTE(SUBSTITUTE(SUBSTITUTE(LOWER(V735&amp;""),CHAR(10),""),CHAR(13),""),CHAR(9),""),CHAR(160),"")," ",""),".",""),"-",""),"/",""),"?",""),"_",""),",",""),"[",""),"]",""),"(",""),")",""),"*","")</f>
        <v/>
      </c>
      <c r="AW735" s="61" t="str">
        <f aca="false">SUBSTITUTE(SUBSTITUTE(SUBSTITUTE(SUBSTITUTE(SUBSTITUTE(SUBSTITUTE(SUBSTITUTE(SUBSTITUTE(SUBSTITUTE(SUBSTITUTE(SUBSTITUTE(SUBSTITUTE(SUBSTITUTE(SUBSTITUTE(SUBSTITUTE(SUBSTITUTE(LOWER(Z735&amp;""),CHAR(10),""),CHAR(13),""),CHAR(9),""),CHAR(160),"")," ",""),".",""),"-",""),"/",""),"?",""),"_",""),",",""),"[",""),"]",""),"(",""),")",""),"*","")</f>
        <v/>
      </c>
      <c r="AX735" s="61" t="str">
        <f aca="false">SUBSTITUTE(SUBSTITUTE(SUBSTITUTE(SUBSTITUTE(SUBSTITUTE(SUBSTITUTE(SUBSTITUTE(SUBSTITUTE(SUBSTITUTE(SUBSTITUTE(SUBSTITUTE(SUBSTITUTE(SUBSTITUTE(SUBSTITUTE(SUBSTITUTE(SUBSTITUTE(LOWER(AE735&amp;""),CHAR(10),""),CHAR(13),""),CHAR(9),""),CHAR(160),"")," ",""),".",""),"-",""),"/",""),"?",""),"_",""),",",""),"[",""),"]",""),"(",""),")",""),"*","")</f>
        <v/>
      </c>
      <c r="AY735" s="61" t="str">
        <f aca="false">SUBSTITUTE(SUBSTITUTE(SUBSTITUTE(SUBSTITUTE(SUBSTITUTE(SUBSTITUTE(SUBSTITUTE(SUBSTITUTE(SUBSTITUTE(SUBSTITUTE(SUBSTITUTE(SUBSTITUTE(SUBSTITUTE(SUBSTITUTE(SUBSTITUTE(SUBSTITUTE(LOWER(W735&amp;""),CHAR(10),""),CHAR(13),""),CHAR(9),""),CHAR(160),"")," ",""),".",""),"-",""),"/",""),"?",""),"_",""),",",""),"[",""),"]",""),"(",""),")",""),"*","")</f>
        <v/>
      </c>
      <c r="AZ735" s="61" t="str">
        <f aca="false">SUBSTITUTE(SUBSTITUTE(SUBSTITUTE(SUBSTITUTE(SUBSTITUTE(SUBSTITUTE(SUBSTITUTE(SUBSTITUTE(SUBSTITUTE(SUBSTITUTE(SUBSTITUTE(SUBSTITUTE(SUBSTITUTE(SUBSTITUTE(SUBSTITUTE(SUBSTITUTE(LOWER(AC735&amp;""),CHAR(10),""),CHAR(13),""),CHAR(9),""),CHAR(160),"")," ",""),".",""),"-",""),"/",""),"?",""),"_",""),",",""),"[",""),"]",""),"(",""),")",""),"*","")</f>
        <v/>
      </c>
      <c r="BA735" s="61" t="str">
        <f aca="false">SUBSTITUTE(SUBSTITUTE(SUBSTITUTE(SUBSTITUTE(SUBSTITUTE(SUBSTITUTE(SUBSTITUTE(SUBSTITUTE(SUBSTITUTE(SUBSTITUTE(SUBSTITUTE(SUBSTITUTE(SUBSTITUTE(SUBSTITUTE(SUBSTITUTE(SUBSTITUTE(LOWER(AA735&amp;""),CHAR(10),""),CHAR(13),""),CHAR(9),""),CHAR(160),"")," ",""),".",""),"-",""),"/",""),"?",""),"_",""),",",""),"[",""),"]",""),"(",""),")",""),"*","")</f>
        <v/>
      </c>
      <c r="BB735" s="61" t="str">
        <f aca="false">IF(AND(TRIM(U735)="Pass",ISNUMBER(AF735)),IF(AF735&lt;&gt;0,"INVALID – qty variance: use Fail or Pass after CA",""),"")&amp;IF(AND(TRIM(U735)="Pass after CA",ISNUMBER(AF735)),IF(AF735&lt;&gt;0,"INVALID – after the corrective action the actual qty must equal expected (update Actual)",""),"")&amp;IF(AND(TRIM(U735)="Pass",TRIM(AB735)&lt;&gt;"",TRIM(AB735)&lt;&gt;"Closed"),"INVALID – corrective action not closed: use Fail, then Pass after CA","")&amp;IF(AND(LEN(BA735)&gt;=2,ISNA(MATCH(LEFT(BA735,255),L_Placeholder,0)),TRIM(AB735)=""),"INVALID – CA status missing for the recorded corrective action","")&amp;IF(AND(TRIM(U735)="Pass after CA",OR(OR(LEN(BA735)&lt;5,ISNUMBER(MATCH(BA735,L_Placeholder,0))),TRIM(AB735)&lt;&gt;"Closed")),"INVALID – corrective action not recorded/closed","")</f>
        <v/>
      </c>
      <c r="BC735" s="61" t="str">
        <f aca="false">" "&amp;TRIM(SUBSTITUTE(SUBSTITUTE(SUBSTITUTE(SUBSTITUTE(SUBSTITUTE(SUBSTITUTE(SUBSTITUTE(SUBSTITUTE(SUBSTITUTE(SUBSTITUTE(SUBSTITUTE(SUBSTITUTE(SUBSTITUTE(SUBSTITUTE(SUBSTITUTE(SUBSTITUTE(SUBSTITUTE(SUBSTITUTE(SUBSTITUTE(SUBSTITUTE(SUBSTITUTE(SUBSTITUTE(SUBSTITUTE(SUBSTITUTE(LOWER(V735&amp;""),CHAR(10)," "),CHAR(13)," "),CHAR(9)," "),CHAR(160)," "),"."," "),","," "),"-"," "),"/"," "),"("," "),")"," "),":"," "),";"," "),"_"," "),"–"," "),"?"," "),"!"," "),"*"," "),"["," "),"]"," "),"'"," "),"#"," "),"+"," "),"&amp;"," "),"\"," "))&amp;" "</f>
        <v>  </v>
      </c>
      <c r="BD735" s="61" t="str">
        <f aca="false">" "&amp;TRIM(SUBSTITUTE(SUBSTITUTE(SUBSTITUTE(SUBSTITUTE(SUBSTITUTE(SUBSTITUTE(SUBSTITUTE(SUBSTITUTE(SUBSTITUTE(SUBSTITUTE(SUBSTITUTE(SUBSTITUTE(SUBSTITUTE(SUBSTITUTE(SUBSTITUTE(SUBSTITUTE(SUBSTITUTE(SUBSTITUTE(SUBSTITUTE(SUBSTITUTE(SUBSTITUTE(SUBSTITUTE(SUBSTITUTE(SUBSTITUTE(LOWER(Z735&amp;""),CHAR(10)," "),CHAR(13)," "),CHAR(9)," "),CHAR(160)," "),"."," "),","," "),"-"," "),"/"," "),"("," "),")"," "),":"," "),";"," "),"_"," "),"–"," "),"?"," "),"!"," "),"*"," "),"["," "),"]"," "),"'"," "),"#"," "),"+"," "),"&amp;"," "),"\"," "))&amp;" "</f>
        <v>  </v>
      </c>
      <c r="BE735" s="61" t="str">
        <f aca="false">" "&amp;TRIM(SUBSTITUTE(SUBSTITUTE(SUBSTITUTE(SUBSTITUTE(SUBSTITUTE(SUBSTITUTE(SUBSTITUTE(SUBSTITUTE(SUBSTITUTE(SUBSTITUTE(SUBSTITUTE(SUBSTITUTE(SUBSTITUTE(SUBSTITUTE(SUBSTITUTE(SUBSTITUTE(SUBSTITUTE(SUBSTITUTE(SUBSTITUTE(SUBSTITUTE(SUBSTITUTE(SUBSTITUTE(SUBSTITUTE(SUBSTITUTE(LOWER(W735&amp;""),CHAR(10)," "),CHAR(13)," "),CHAR(9)," "),CHAR(160)," "),"."," "),","," "),"-"," "),"/"," "),"("," "),")"," "),":"," "),";"," "),"_"," "),"–"," "),"?"," "),"!"," "),"*"," "),"["," "),"]"," "),"'"," "),"#"," "),"+"," "),"&amp;"," "),"\"," "))&amp;" "</f>
        <v>  </v>
      </c>
      <c r="BF735" s="61" t="str">
        <f aca="false">" "&amp;TRIM(SUBSTITUTE(SUBSTITUTE(SUBSTITUTE(SUBSTITUTE(SUBSTITUTE(SUBSTITUTE(SUBSTITUTE(SUBSTITUTE(SUBSTITUTE(SUBSTITUTE(SUBSTITUTE(SUBSTITUTE(SUBSTITUTE(SUBSTITUTE(SUBSTITUTE(SUBSTITUTE(SUBSTITUTE(SUBSTITUTE(SUBSTITUTE(SUBSTITUTE(SUBSTITUTE(SUBSTITUTE(SUBSTITUTE(SUBSTITUTE(LOWER(AC735&amp;""),CHAR(10)," "),CHAR(13)," "),CHAR(9)," "),CHAR(160)," "),"."," "),","," "),"-"," "),"/"," "),"("," "),")"," "),":"," "),";"," "),"_"," "),"–"," "),"?"," "),"!"," "),"*"," "),"["," "),"]"," "),"'"," "),"#"," "),"+"," "),"&amp;"," "),"\"," "))&amp;" "</f>
        <v>  </v>
      </c>
      <c r="BG735" s="61" t="n">
        <f aca="false">IFERROR(IF(AND(TRIM(U735)="Pass",SUMPRODUCT((LEN(BC735)-LEN(SUBSTITUTE(BC735," "&amp;L_ResultBad&amp;" "," ")))/(LEN(L_ResultBad)+1))&gt;SUMPRODUCT((LEN(BC735)-LEN(SUBSTITUTE(BC735," "&amp;L_NegPhrase&amp;" "," ")))/(LEN(L_NegPhrase)+1))),1,0),0)</f>
        <v>0</v>
      </c>
      <c r="BH735" s="61" t="n">
        <f aca="false">IFERROR(IF(SUMPRODUCT((LEN(BC735)-LEN(SUBSTITUTE(BC735," "&amp;L_Pending&amp;" "," ")))/(LEN(L_Pending)+1))&gt;SUMPRODUCT((LEN(BC735)-LEN(SUBSTITUTE(BC735," "&amp;L_PendNeg&amp;" "," ")))/(LEN(L_PendNeg)+1)),1,0),1)</f>
        <v>0</v>
      </c>
      <c r="BI735" s="61" t="n">
        <f aca="false">IFERROR(IF(SUMPRODUCT((LEN(BD735)-LEN(SUBSTITUTE(BD735," "&amp;L_PendStrict&amp;" "," ")))/(LEN(L_PendStrict)+1))&gt;SUMPRODUCT((LEN(BD735)-LEN(SUBSTITUTE(BD735," "&amp;L_PendNeg&amp;" "," ")))/(LEN(L_PendNeg)+1)),1,0),1)</f>
        <v>0</v>
      </c>
      <c r="BJ735" s="61" t="n">
        <f aca="false">IFERROR(IF(SUMPRODUCT((LEN(BE735)-LEN(SUBSTITUTE(BE735," "&amp;L_Pending&amp;" "," ")))/(LEN(L_Pending)+1))&gt;SUMPRODUCT((LEN(BE735)-LEN(SUBSTITUTE(BE735," "&amp;L_PendNeg&amp;" "," ")))/(LEN(L_PendNeg)+1)),1,0),1)</f>
        <v>0</v>
      </c>
      <c r="BK735" s="61" t="n">
        <f aca="false">IFERROR(IF(SUMPRODUCT((LEN(BF735)-LEN(SUBSTITUTE(BF735," "&amp;L_PendStrict&amp;" "," ")))/(LEN(L_PendStrict)+1))&gt;SUMPRODUCT((LEN(BF735)-LEN(SUBSTITUTE(BF735," "&amp;L_PendNeg&amp;" "," ")))/(LEN(L_PendNeg)+1)),1,0),1)</f>
        <v>0</v>
      </c>
      <c r="BL735" s="61" t="n">
        <f aca="false">IF(ISNA(MATCH(TRIM(S735),L_EvidenceType,0)),0,BZ735)</f>
        <v>0</v>
      </c>
      <c r="BM735" s="61" t="str">
        <f aca="false">SUBSTITUTE(SUBSTITUTE(SUBSTITUTE(SUBSTITUTE(SUBSTITUTE(SUBSTITUTE(SUBSTITUTE(SUBSTITUTE(SUBSTITUTE(LOWER(Z735&amp;""),"1","0"),"2","0"),"3","0"),"4","0"),"5","0"),"6","0"),"7","0"),"8","0"),"9","0")</f>
        <v/>
      </c>
      <c r="BN735" s="61" t="str">
        <f aca="false">SUBSTITUTE(SUBSTITUTE(SUBSTITUTE(SUBSTITUTE(SUBSTITUTE(SUBSTITUTE(SUBSTITUTE(SUBSTITUTE(SUBSTITUTE(SUBSTITUTE(SUBSTITUTE(SUBSTITUTE(SUBSTITUTE(SUBSTITUTE(SUBSTITUTE(SUBSTITUTE(SUBSTITUTE(SUBSTITUTE(SUBSTITUTE(SUBSTITUTE(SUBSTITUTE(SUBSTITUTE(SUBSTITUTE(SUBSTITUTE(SUBSTITUTE(BM735,"b","a"),"c","a"),"d","a"),"e","a"),"f","a"),"g","a"),"h","a"),"i","a"),"j","a"),"k","a"),"l","a"),"m","a"),"n","a"),"o","a"),"p","a"),"q","a"),"r","a"),"s","a"),"t","a"),"u","a"),"v","a"),"w","a"),"x","a"),"y","a"),"z","a")</f>
        <v/>
      </c>
      <c r="BO735" s="61" t="str">
        <f aca="false">SUBSTITUTE(SUBSTITUTE(SUBSTITUTE(SUBSTITUTE(SUBSTITUTE(SUBSTITUTE(SUBSTITUTE(SUBSTITUTE(SUBSTITUTE(LOWER(W735&amp;""),"1","0"),"2","0"),"3","0"),"4","0"),"5","0"),"6","0"),"7","0"),"8","0"),"9","0")</f>
        <v/>
      </c>
      <c r="BP735" s="61" t="str">
        <f aca="false">SUBSTITUTE(SUBSTITUTE(SUBSTITUTE(SUBSTITUTE(SUBSTITUTE(SUBSTITUTE(SUBSTITUTE(SUBSTITUTE(SUBSTITUTE(SUBSTITUTE(SUBSTITUTE(SUBSTITUTE(SUBSTITUTE(SUBSTITUTE(SUBSTITUTE(SUBSTITUTE(SUBSTITUTE(SUBSTITUTE(SUBSTITUTE(SUBSTITUTE(SUBSTITUTE(SUBSTITUTE(SUBSTITUTE(SUBSTITUTE(SUBSTITUTE(BO735,"b","a"),"c","a"),"d","a"),"e","a"),"f","a"),"g","a"),"h","a"),"i","a"),"j","a"),"k","a"),"l","a"),"m","a"),"n","a"),"o","a"),"p","a"),"q","a"),"r","a"),"s","a"),"t","a"),"u","a"),"v","a"),"w","a"),"x","a"),"y","a"),"z","a")</f>
        <v/>
      </c>
      <c r="BQ735" s="61" t="n">
        <f aca="false">IFERROR(IF(AND(ISERROR(SEARCH(" mh"," "&amp;LOWER(W735))),ISNA(MATCH(LEFT(TRIM(BP735),255),{"0000a","000a","00a","0000aa","000aa","00aa","0aa","0000aaa","000aaa","00a00","0a00","0000-0000","00:00","a00","a0","00.00.0000","00/00/0000","00-00-0000","0000-00-00","0000/00/00","0000.00.00","00.00.00","00/00/00","00-00-00","0.00.0000","0/00/0000","0-00-0000"},0)),ISNA(MATCH(LEFT(TRIM(CA735),255),{"0000a","000a","00a","0000aa","000aa","00aa","0aa","0000aaa","000aaa","00a00","0a00","0000-0000","00:00","a00","a0","00.00.0000","00/00/0000","00-00-0000","0000-00-00","0000/00/00","0000.00.00","00.00.00","00/00/00","00-00-00","0.00.0000","0/00/0000","0-00-0000"},0)),LEN(CB735)&gt;=3,NOT(OR(SUBSTITUTE(CB735,"0","")="",AND(LEN(CB735)&gt;=4,CB735=REPT(LEFT(CB735),LEN(CB735))),ISNUMBER(MATCH(CB735,{"123","1234","12345","123456","1234567","12345678","0123","01234","012345","98765","987654","54321"},0)),AND(LEN(CB735)=8,LEFT(CB735,3)="202"))),OR(AND((LEN(CA735)-LEN(SUBSTITUTE(CA735,"a","")))&gt;=1,SUMPRODUCT(--ISNUMBER(SEARCH({"a0","a-0","a_0","a/0","a.0","a#0","0a","0-a","0_a","0/a"},BP735)))&gt;0),ISNUMBER(SEARCH("000000",BP735)))),1,0),0)</f>
        <v>0</v>
      </c>
      <c r="BR735" s="61" t="n">
        <f aca="false">IFERROR(LEN(SUBSTITUTE(CC735," ",""))-SUMPRODUCT((LEN(CC735)-LEN(SUBSTITUTE(CC735," "&amp;L_Role&amp;" "," ")))/(LEN(L_Role)+1)*LEN(L_Role)),0)</f>
        <v>0</v>
      </c>
      <c r="BS735" s="61" t="n">
        <f aca="false">IFERROR(LEN(SUBSTITUTE(CD735," ",""))-SUMPRODUCT((LEN(CD735)-LEN(SUBSTITUTE(CD735," "&amp;L_Role&amp;" "," ")))/(LEN(L_Role)+1)*LEN(L_Role)),0)</f>
        <v>0</v>
      </c>
      <c r="BT7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735,"revision",""),"version",""),"jan",""),"feb",""),"mar",""),"apr",""),"may",""),"jun",""),"jul",""),"aug",""),"sep",""),"oct",""),"nov",""),"dec",""),"utc",""),"gmt",""),"myt",""),"bst",""),"rev",""),"ver",""),"b","a"),"c","a"),"d","a"),"e","a"),"f","a"),"g","a"),"h","a"),"i","a"),"j","a"),"k","a"),"l","a"),"m","a"),"n","a"),"o","a"),"p","a"),"q","a"),"r","a"),"s","a"),"t","a"),"u","a"),"v","a"),"w","a"),"x","a"),"y","a"),"z","a")</f>
        <v/>
      </c>
      <c r="BU735" s="61" t="str">
        <f aca="false">SUBSTITUTE(SUBSTITUTE(SUBSTITUTE(SUBSTITUTE(SUBSTITUTE(SUBSTITUTE(SUBSTITUTE(SUBSTITUTE(SUBSTITUTE(SUBSTITUTE(LEFT(BM735,FIND("0",BM735&amp;"0")-1),"-",""),"_",""),"/",""),".",""),"#",""),"\\",""),":","")," ",""),"(",""),")","")</f>
        <v/>
      </c>
      <c r="BV735" s="61" t="n">
        <f aca="false">IFERROR(IF(OR(SUMPRODUCT((LEN(BC735)-LEN(SUBSTITUTE(BC735," "&amp;L_NotLoaded&amp;" "," ")))/(LEN(L_NotLoaded)+1))&gt;SUMPRODUCT((LEN(BC735)-LEN(SUBSTITUTE(BC735," "&amp;L_NotLoadedNeg&amp;" "," ")))/(LEN(L_NotLoadedNeg)+1)),SUMPRODUCT((LEN(BD735)-LEN(SUBSTITUTE(BD735," "&amp;L_NotLoaded&amp;" "," ")))/(LEN(L_NotLoaded)+1))&gt;SUMPRODUCT((LEN(BD735)-LEN(SUBSTITUTE(BD735," "&amp;L_NotLoadedNeg&amp;" "," ")))/(LEN(L_NotLoadedNeg)+1))),1,0),0)</f>
        <v>0</v>
      </c>
      <c r="BW73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735&amp;""),"a",""),"b",""),"c",""),"d",""),"e",""),"f",""),"g",""),"h",""),"i",""),"j",""),"k",""),"l",""),"m",""),"n",""),"o",""),"p",""),"q",""),"r",""),"s",""),"t",""),"u",""),"v",""),"w",""),"x",""),"y",""),"z",""),"-",""),"_",""),"/",""),".",""),"#",""),"\\",""),":","")," ",""),"(",""),")","")</f>
        <v/>
      </c>
      <c r="BX735" s="61" t="str">
        <f aca="false">SUBSTITUTE(SUBSTITUTE(SUBSTITUTE(SUBSTITUTE(SUBSTITUTE(SUBSTITUTE(SUBSTITUTE(SUBSTITUTE(SUBSTITUTE(SUBSTITUTE(SUBSTITUTE(BM735,"0",""),"-",""),"_",""),"/",""),".",""),"#",""),"\\",""),":","")," ",""),"(",""),")","")</f>
        <v/>
      </c>
      <c r="BY735" s="62" t="n">
        <f aca="false">IF(ISNUMBER(Flights!$AZ$26),MAX(Q735-UpliftWindowH/24,Flights!$AZ$26),Q735-UpliftWindowH/24)</f>
        <v>46325.3888888889</v>
      </c>
      <c r="BZ735" s="61" t="n">
        <f aca="false">IFERROR(IF(IF(TRIM(S735)="Link / file path",AND(LEN(TRIM(Z735))&gt;=5,SUMPRODUCT(--ISNUMBER(SEARCH({"http","www.","\\",":\",".pdf",".jpg",".jpeg",".png",".heic",".xls",".doc",".msg",".eml",".ppt",".txt",".zip"},Z735)))&gt;0),AND(ISERROR(FIND(" ",TRIM(Z735))),NOT(OR(SUMPRODUCT(--ISNUMBER(FIND({",",";","&amp;","+"},Z735)))&gt;0,SUMPRODUCT(--ISNUMBER(SEARCH({"0/aa","0\\aa"},BN735)))&gt;0)),NOT(SUMPRODUCT(--ISNUMBER(SEARCH({"http","www.","\\",":\",".pdf",".jpg",".jpeg",".png",".heic",".xls",".doc",".msg",".eml",".ppt",".txt",".zip"},Z735)))&gt;0),NOT(LOWER(TRIM(Z735))=LOWER(Flights!$F$26)),ISNA(MATCH(BU735,{"mh","rev","revision","ver","version","v","r","a","b","seat","tray","row","gate","bay","stand","page","pg","item","line","no","cart","galley","flight","flt","table","box","bag","oven","etd","eta","std","sta","atd","ata","qty","pax","x","time","tel","ph","mob","day","wk","week","utc","gmt","myt","lt"},0)),NOT(OR(ISNUMBER(MATCH(LEFT(BN735,255),{"0000a","000a","00a","0000aa","000aa","00aa","0aa","0000aaa","000aaa","00a00","0a00","0000-0000","00:00","a00","a0","00.00.0000","00/00/0000","00-00-0000","0000-00-00","0000/00/00","0000.00.00","00.00.00","00/00/00","00-00-00","0.00.0000","0/00/0000","0-00-0000"},0)),ISNUMBER(MATCH(LEFT(BT735,255),{"0000a","000a","00a","0000aa","000aa","00aa","0aa","0000aaa","000aaa","00a00","0a00","0000-0000","00:00","a00","a0","00.00.0000","00/00/0000","00-00-0000","0000-00-00","0000/00/00","0000.00.00","00.00.00","00/00/00","00-00-00","0.00.0000","0/00/0000","0-00-0000"},0)))),NOT(OR(AND(BW735&lt;&gt;"",SUBSTITUTE(BW735,"0","")=""),AND(LEN(BW735)&gt;=4,BW735=REPT(LEFT(BW735),LEN(BW735))),ISNUMBER(MATCH(BW735,{"123","1234","12345","123456","1234567","12345678","0123","01234","012345","98765","987654","54321"},0)),ISNUMBER(MATCH(BX735,{"x","xx","xxx","xxxx","xxxxx","abc","abcd","nil","na","nan","test","tbc","tba","tbd","dummy","sample","example","eg","zz","zzz","none","null","xyz","qwe","asd","id","ref"},0)),AND(LEN(BW735)=8,BX735="",OR(LEFT(BW735,3)="202",ISNUMBER(MATCH(RIGHT(BW735,4),{"2025","2026","2027"},0)))))),OR(AND((LEN(BT735)-LEN(SUBSTITUTE(BT735,"a","")))&gt;=1,(LEN(BN735)-LEN(SUBSTITUTE(BN735,"0","")))&gt;=2,SUMPRODUCT(--ISNUMBER(SEARCH({"a0","a-0","a_0","a/0","a.0","a#0","0a","0-a","0_a","0/a"},BN735)))&gt;0),AND((LEN(BN735)-LEN(SUBSTITUTE(BN735,"a","")))=0,(LEN(BN735)-LEN(SUBSTITUTE(BN735,"0","")))&gt;=5)))),1,0),0)</f>
        <v>0</v>
      </c>
      <c r="CA7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735,"revision",""),"version",""),"jan",""),"feb",""),"mar",""),"apr",""),"may",""),"jun",""),"jul",""),"aug",""),"sep",""),"oct",""),"nov",""),"dec",""),"utc",""),"gmt",""),"myt",""),"bst",""),"rev",""),"ver",""),"b","a"),"c","a"),"d","a"),"e","a"),"f","a"),"g","a"),"h","a"),"i","a"),"j","a"),"k","a"),"l","a"),"m","a"),"n","a"),"o","a"),"p","a"),"q","a"),"r","a"),"s","a"),"t","a"),"u","a"),"v","a"),"w","a"),"x","a"),"y","a"),"z","a")</f>
        <v/>
      </c>
      <c r="CB73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735&amp;""),"a",""),"b",""),"c",""),"d",""),"e",""),"f",""),"g",""),"h",""),"i",""),"j",""),"k",""),"l",""),"m",""),"n",""),"o",""),"p",""),"q",""),"r",""),"s",""),"t",""),"u",""),"v",""),"w",""),"x",""),"y",""),"z",""),"-",""),"_",""),"/",""),".",""),"#",""),"\\",""),":","")," ",""),"(",""),")","")</f>
        <v/>
      </c>
      <c r="CC735" s="0" t="str">
        <f aca="false">" "&amp;TRIM(SUBSTITUTE(SUBSTITUTE(SUBSTITUTE(SUBSTITUTE(SUBSTITUTE(SUBSTITUTE(SUBSTITUTE(SUBSTITUTE(SUBSTITUTE(SUBSTITUTE(SUBSTITUTE(SUBSTITUTE(SUBSTITUTE(SUBSTITUTE(SUBSTITUTE(SUBSTITUTE(SUBSTITUTE(SUBSTITUTE(SUBSTITUTE(SUBSTITUTE(SUBSTITUTE(SUBSTITUTE(SUBSTITUTE(SUBSTITUTE(LOWER(T735&amp;""),CHAR(10)," "),CHAR(13)," "),CHAR(9)," "),CHAR(160)," "),"."," "),","," "),"-"," "),"/"," "),"("," "),")"," "),":"," "),";"," "),"_"," "),"–"," "),"?"," "),"!"," "),"*"," "),"["," "),"]"," "),"'"," "),"#"," "),"+"," "),"&amp;"," "),"\"," "))&amp;" "</f>
        <v>  </v>
      </c>
      <c r="CD735" s="0" t="str">
        <f aca="false">" "&amp;TRIM(SUBSTITUTE(SUBSTITUTE(SUBSTITUTE(SUBSTITUTE(SUBSTITUTE(SUBSTITUTE(SUBSTITUTE(SUBSTITUTE(SUBSTITUTE(SUBSTITUTE(SUBSTITUTE(SUBSTITUTE(SUBSTITUTE(SUBSTITUTE(SUBSTITUTE(SUBSTITUTE(SUBSTITUTE(SUBSTITUTE(SUBSTITUTE(SUBSTITUTE(SUBSTITUTE(SUBSTITUTE(SUBSTITUTE(SUBSTITUTE(LOWER(AE735&amp;""),CHAR(10)," "),CHAR(13)," "),CHAR(9)," "),CHAR(160)," "),"."," "),","," "),"-"," "),"/"," "),"("," "),")"," "),":"," "),";"," "),"_"," "),"–"," "),"?"," "),"!"," "),"*"," "),"["," "),"]"," "),"'"," "),"#"," "),"+"," "),"&amp;"," "),"\"," "))&amp;" "</f>
        <v>  </v>
      </c>
      <c r="CE735" s="68" t="n">
        <f aca="false">IFERROR(IF(AND(LEN(AU735)&gt;0,LEN(AU735)=LEN(AX735),OR(TRIM(MID(SUBSTITUTE(TRIM(CC735)," ",REPT(" ",60)),1,60))="",ISNUMBER(SEARCH(" "&amp;TRIM(MID(SUBSTITUTE(TRIM(CC735)," ",REPT(" ",60)),1,60))&amp;" ",CD735))),OR(TRIM(MID(SUBSTITUTE(TRIM(CC735)," ",REPT(" ",60)),61,60))="",ISNUMBER(SEARCH(" "&amp;TRIM(MID(SUBSTITUTE(TRIM(CC735)," ",REPT(" ",60)),61,60))&amp;" ",CD735))),OR(TRIM(MID(SUBSTITUTE(TRIM(CC735)," ",REPT(" ",60)),121,60))="",ISNUMBER(SEARCH(" "&amp;TRIM(MID(SUBSTITUTE(TRIM(CC735)," ",REPT(" ",60)),121,60))&amp;" ",CD735)))),1,0),0)</f>
        <v>0</v>
      </c>
      <c r="CG735" s="68" t="n">
        <f aca="false">IFERROR(LEN(SUBSTITUTE(BF735," ",""))-SUMPRODUCT((LEN(BF735)-LEN(SUBSTITUTE(BF735," "&amp;L_NAFiller&amp;" "," ")))/(LEN(L_NAFiller)+1)*LEN(L_NAFiller)),0)</f>
        <v>0</v>
      </c>
    </row>
    <row r="736" customFormat="false" ht="39.75" hidden="false" customHeight="true" outlineLevel="0" collapsed="false">
      <c r="A736" s="57" t="s">
        <v>1470</v>
      </c>
      <c r="B736" s="57" t="s">
        <v>312</v>
      </c>
      <c r="C736" s="57" t="str">
        <f aca="false">Flights!$F$26</f>
        <v>MH0002</v>
      </c>
      <c r="D736" s="58" t="n">
        <f aca="false">Flights!$D$26</f>
        <v>46325</v>
      </c>
      <c r="E736" s="57" t="str">
        <f aca="false">Flights!$G$26&amp;"-"&amp;Flights!$H$26</f>
        <v>KUL-LHR</v>
      </c>
      <c r="F736" s="57" t="str">
        <f aca="false">Flights!$K$26</f>
        <v>BC</v>
      </c>
      <c r="G736" s="57" t="s">
        <v>459</v>
      </c>
      <c r="H736" s="57" t="s">
        <v>460</v>
      </c>
      <c r="I736" s="57" t="s">
        <v>440</v>
      </c>
      <c r="J736" s="57" t="s">
        <v>761</v>
      </c>
      <c r="K736" s="67" t="s">
        <v>730</v>
      </c>
      <c r="L736" s="67" t="s">
        <v>731</v>
      </c>
      <c r="M736" s="67" t="s">
        <v>187</v>
      </c>
      <c r="N736" s="67" t="s">
        <v>383</v>
      </c>
      <c r="O736" s="67" t="s">
        <v>732</v>
      </c>
      <c r="P736" s="57" t="s">
        <v>187</v>
      </c>
      <c r="Q736" s="59" t="n">
        <f aca="false">ROUND((Flights!$AF$26)*1440,0)/1440</f>
        <v>46325.6388888889</v>
      </c>
      <c r="R736" s="59" t="n">
        <f aca="false">Q736+(IF(AND(INDEX(TZ_DSTS,MATCH(P736,TZ_STN,0))&lt;&gt;"",Q736&gt;=INDEX(TZ_DSTS,MATCH(P736,TZ_STN,0)),Q736&lt;INDEX(TZ_DSTE,MATCH(P736,TZ_STN,0))),INDEX(TZ_DST,MATCH(P736,TZ_STN,0)),INDEX(TZ_STD,MATCH(P736,TZ_STN,0))))/24</f>
        <v>46325.9722222222</v>
      </c>
      <c r="S736" s="60"/>
      <c r="T736" s="60"/>
      <c r="U736" s="60"/>
      <c r="V736" s="60"/>
      <c r="W736" s="61"/>
      <c r="X736" s="60"/>
      <c r="Y736" s="60"/>
      <c r="Z736" s="60"/>
      <c r="AA736" s="60"/>
      <c r="AB736" s="60"/>
      <c r="AC736" s="60"/>
      <c r="AD736" s="66"/>
      <c r="AE736" s="60"/>
      <c r="AF736" s="61" t="str">
        <f aca="false">IF(AND(ISNUMBER(X736),ISNUMBER(Y736)),Y736-X736,"")</f>
        <v/>
      </c>
      <c r="AG736" s="62" t="str">
        <f aca="false">IF(ISNUMBER(AD736),AD736-(IF(AND(INDEX(TZ_DSTS,MATCH(P736,TZ_STN,0))&lt;&gt;"",(AD736-INDEX(TZ_STD,MATCH(P736,TZ_STN,0))/24)&gt;=INDEX(TZ_DSTS,MATCH(P736,TZ_STN,0)),(AD736-INDEX(TZ_STD,MATCH(P736,TZ_STN,0))/24)&lt;INDEX(TZ_DSTE,MATCH(P736,TZ_STN,0))),INDEX(TZ_DST,MATCH(P736,TZ_STN,0)),INDEX(TZ_STD,MATCH(P736,TZ_STN,0))))/24,"")</f>
        <v/>
      </c>
      <c r="AH736" s="65" t="str">
        <f aca="false">IFERROR(IF(N736="N/A – rule",IF(OR(TRIM(U736)="",TRIM(U736)="N/A",TRIM(U736)="Not started"),"N/A – RULE","INVALID – this check does not apply to this aircraft: clear the status (or correct the fleet on Flights)"),IF(TRIM(U736)="N/A",IF(AT736=0,"INVALID – N/A not permitted for this check",IF(AND(TRIM(AB736)&lt;&gt;"",TRIM(AB736)&lt;&gt;"Closed"),"INVALID – corrective action still open",IF(AND(NOT(OR(LEN(AZ736)&lt;15,ISNUMBER(MATCH(AZ736,L_Placeholder,0)))),BK736=0,CG736&gt;=8,NOT(OR(LEN(AU736)&lt;2,ISNUMBER(MATCH(AU736,L_Placeholder,0)))),BR736&gt;=3,NOT(OR(LEN(AX736)&lt;2,ISNUMBER(MATCH(AX736,L_Placeholder,0)))),BS736&gt;=3,TRIM(AE736)&lt;&gt;TRIM(T736),AX736&lt;&gt;AU736,CE736=0),"N/A – JUSTIFIED","INVALID – N/A needs a real, settled reason (not 'not applicable' / 'as above' / TBC), a named PIC and a different named verifier"))),IF(OR(TRIM(U736)="Pass",TRIM(U736)="Pass after CA"),IF(NOT(ISNUMBER(AD736)),"INVALID – completion time missing",IF(OR(OR(LEN(AU736)&lt;2,ISNUMBER(MATCH(AU736,L_Placeholder,0))),BR736&lt;3),"INVALID – PIC missing or not a named person (a role such as QA / CSM is not a name)",IF(OR(LEN(AV736)&lt;2,ISNUMBER(MATCH(AV736,L_Placeholder,0))),"INVALID – result / assessment missing",IF(OR(OR(LEN(AW736)&lt;3,ISNUMBER(MATCH(AW736,L_Placeholder,0))),SUMPRODUCT(--ISNUMBER(SEARCH(" "&amp;L_EvidencePhrase&amp;" ",BD736)))&gt;0,BI736=1),"INVALID – evidence missing, placeholder or not yet on file",IF(ISNA(MATCH(TRIM(S736),L_EvidenceType,0)),"INVALID – choose the evidence type from the list (column S)",IF(BL736=0,"INVALID – evidence ID must be the record's own ID only (e.g. SF-2210, IMG_2231, 1045521); a link / file name needs type 'Link / file path'",IF(OR(OR(LEN(AX736)&lt;2,ISNUMBER(MATCH(AX736,L_Placeholder,0))),BS736&lt;3),"INVALID – verifier missing or not a named person (a role such as QA / CSM is not a name)",IF(OR(AX736=AU736,CE736=1,AND(LEN(AU736)&gt;=4,ISNUMBER(SEARCH(AU736,AX736))),AND(LEN(AX736)&gt;=4,ISNUMBER(SEARCH(AX736,AU736)))),"INVALID – verifier must be a different, named person (not the PIC or a role)",IF(BH736=1,"INVALID – result not yet available (awaiting / TBC)",IF(BG736=1,"INVALID – result describes a problem: record Fail, then Pass after CA (or reword if it is not a problem)",IF(BV736=1,"INVALID – wording says not on board: an on-board confirmation needs the item loaded",IF(AND(AQ736=1,OR(OR(LEN(AY736)&lt;3,ISNUMBER(MATCH(AY736,L_Placeholder,0))),BJ736=1,BQ736=0)),"INVALID – batch ID missing, placeholder or not an ID (e.g. PASB-261008-BC-017)",IF(AND(AR736=1,OR(NOT(ISNUMBER(X736)),NOT(ISNUMBER(Y736)))),"INVALID – expected/actual qty missing",IF(AND(AR736=1,OR(X736&lt;=0,Y736&lt;0)),"INVALID – expected qty must be above 0 and actual not negative",IF(AH720="N/A – JUSTIFIED","INVALID – preparation row F22-T12-09 is N/A",IF(AND(AR736=1,ISNUMBER(X720),X736&lt;&gt;X720,TRIM(U736)&lt;&gt;"Pass after CA"),"INVALID – expected qty differs from preparation check F22-T12-09: record the load change as a corrective action (Pass after CA)",IF(BB736&lt;&gt;"",BB736,IF(AND(AS736=1,Documents!$J$26&lt;&gt;"ON FILE"),"INVALID – GLD not on file (Documents sheet)",IF(AND(AS736=2,Documents!$O$26&lt;&gt;"ON FILE"),"INVALID – menu checklist not on file (Documents sheet)",IF(AND(AS736=3,NOT(ISNUMBER(Flights!$AX$26))),"INVALID – enter carrying flight KUL departure (Flights AX)",IF(AND(AS736=3,OR(Flights!$AZ$26&gt;Flights!$AA$26,Flights!$AX$26&lt;Flights!$AA$26-3)),"INVALID – carrying flight (Flights AX) cannot arrive before this leg's STD, or is over 3 days early",IF(AG736&gt;AsOfUTC,"INVALID – completion time is in the future",IF(AND(ISNUMBER(BY736),AG736&lt;BY736),IF(H736="Physical uplift","INVALID – before uplift window (cannot confirm loading)","INVALID – before valid window"),IF(AG736&gt;Flights!$AA$26,"INVALID – completed after departure (cannot establish readiness)",IF(AND(H736="Preparation",AG736&gt;=IF(ISNUMBER(Flights!$BA$26),MIN(Flights!$BA$26,Flights!$AA$26),Flights!$AA$26)),"INVALID – completed after loading / departure (cannot establish readiness)",IF(AND(H736="Physical uplift",AG736&gt;Q736),"INVALID – recorded after the loading flight departed",IF(AG736&gt;Q736,"COMPLETE – LATE","COMPLETE"))))))))))))))))))))))))))),IF(TRIM(U736)="Fail","FAIL – DISCREPANCY",IF(AND(TRIM(U736)&lt;&gt;"",TRIM(U736)&lt;&gt;"Not started",TRIM(U736)&lt;&gt;"In progress"),"INVALID – unrecognised status (use the list)",IF(AsOfUTC&gt;Q736,"OVERDUE",IF(N736="Clarification required","OPEN – CLARIFICATION","OPEN"))))))),"INVALID – error value in an input cell")</f>
        <v>OPEN</v>
      </c>
      <c r="AI736" s="61" t="n">
        <f aca="false">IF(OR(AH736="N/A – RULE",AH736="N/A – JUSTIFIED"),0,1)</f>
        <v>1</v>
      </c>
      <c r="AJ736" s="61" t="n">
        <f aca="false">IF(LEFT(AH736,8)="COMPLETE",1,0)</f>
        <v>0</v>
      </c>
      <c r="AK736" s="61" t="n">
        <f aca="false">IF(AND(AI736=1,AJ736=0,AsOfUTC&gt;Q736),1,0)</f>
        <v>0</v>
      </c>
      <c r="AL736" s="61" t="n">
        <f aca="false">IFERROR(IF(AND(AI736=1,OR(TRIM(U736)="Fail",AND(TRIM(AB736)&lt;&gt;"",TRIM(AB736)&lt;&gt;"Closed"),AND(ISNUMBER(AF736),AF736&lt;&gt;0,TRIM(U736)&lt;&gt;"Pass after CA"))),1,0),1)</f>
        <v>0</v>
      </c>
      <c r="AM736" s="61" t="n">
        <f aca="false">IF(LEFT(AH736,7)="INVALID",1,0)</f>
        <v>0</v>
      </c>
      <c r="AN736" s="61" t="n">
        <f aca="false">IF(AND(N736="Clarification required",AI736=1,AJ736=0),1,0)</f>
        <v>0</v>
      </c>
      <c r="AO736" s="61" t="str">
        <f aca="false">IF(AK736=1,SUM(AK$5:AK736),"")</f>
        <v/>
      </c>
      <c r="AP736" s="61" t="str">
        <f aca="false">IF(AL736=1,SUM(AL$5:AL736),"")</f>
        <v/>
      </c>
      <c r="AQ736" s="61" t="n">
        <v>0</v>
      </c>
      <c r="AR736" s="61" t="n">
        <v>0</v>
      </c>
      <c r="AS736" s="61" t="n">
        <v>0</v>
      </c>
      <c r="AT736" s="61" t="n">
        <v>0</v>
      </c>
      <c r="AU736" s="61" t="str">
        <f aca="false">SUBSTITUTE(SUBSTITUTE(SUBSTITUTE(SUBSTITUTE(SUBSTITUTE(SUBSTITUTE(SUBSTITUTE(SUBSTITUTE(SUBSTITUTE(SUBSTITUTE(SUBSTITUTE(SUBSTITUTE(SUBSTITUTE(SUBSTITUTE(SUBSTITUTE(SUBSTITUTE(LOWER(T736&amp;""),CHAR(10),""),CHAR(13),""),CHAR(9),""),CHAR(160),"")," ",""),".",""),"-",""),"/",""),"?",""),"_",""),",",""),"[",""),"]",""),"(",""),")",""),"*","")</f>
        <v/>
      </c>
      <c r="AV736" s="61" t="str">
        <f aca="false">SUBSTITUTE(SUBSTITUTE(SUBSTITUTE(SUBSTITUTE(SUBSTITUTE(SUBSTITUTE(SUBSTITUTE(SUBSTITUTE(SUBSTITUTE(SUBSTITUTE(SUBSTITUTE(SUBSTITUTE(SUBSTITUTE(SUBSTITUTE(SUBSTITUTE(SUBSTITUTE(LOWER(V736&amp;""),CHAR(10),""),CHAR(13),""),CHAR(9),""),CHAR(160),"")," ",""),".",""),"-",""),"/",""),"?",""),"_",""),",",""),"[",""),"]",""),"(",""),")",""),"*","")</f>
        <v/>
      </c>
      <c r="AW736" s="61" t="str">
        <f aca="false">SUBSTITUTE(SUBSTITUTE(SUBSTITUTE(SUBSTITUTE(SUBSTITUTE(SUBSTITUTE(SUBSTITUTE(SUBSTITUTE(SUBSTITUTE(SUBSTITUTE(SUBSTITUTE(SUBSTITUTE(SUBSTITUTE(SUBSTITUTE(SUBSTITUTE(SUBSTITUTE(LOWER(Z736&amp;""),CHAR(10),""),CHAR(13),""),CHAR(9),""),CHAR(160),"")," ",""),".",""),"-",""),"/",""),"?",""),"_",""),",",""),"[",""),"]",""),"(",""),")",""),"*","")</f>
        <v/>
      </c>
      <c r="AX736" s="61" t="str">
        <f aca="false">SUBSTITUTE(SUBSTITUTE(SUBSTITUTE(SUBSTITUTE(SUBSTITUTE(SUBSTITUTE(SUBSTITUTE(SUBSTITUTE(SUBSTITUTE(SUBSTITUTE(SUBSTITUTE(SUBSTITUTE(SUBSTITUTE(SUBSTITUTE(SUBSTITUTE(SUBSTITUTE(LOWER(AE736&amp;""),CHAR(10),""),CHAR(13),""),CHAR(9),""),CHAR(160),"")," ",""),".",""),"-",""),"/",""),"?",""),"_",""),",",""),"[",""),"]",""),"(",""),")",""),"*","")</f>
        <v/>
      </c>
      <c r="AY736" s="61" t="str">
        <f aca="false">SUBSTITUTE(SUBSTITUTE(SUBSTITUTE(SUBSTITUTE(SUBSTITUTE(SUBSTITUTE(SUBSTITUTE(SUBSTITUTE(SUBSTITUTE(SUBSTITUTE(SUBSTITUTE(SUBSTITUTE(SUBSTITUTE(SUBSTITUTE(SUBSTITUTE(SUBSTITUTE(LOWER(W736&amp;""),CHAR(10),""),CHAR(13),""),CHAR(9),""),CHAR(160),"")," ",""),".",""),"-",""),"/",""),"?",""),"_",""),",",""),"[",""),"]",""),"(",""),")",""),"*","")</f>
        <v/>
      </c>
      <c r="AZ736" s="61" t="str">
        <f aca="false">SUBSTITUTE(SUBSTITUTE(SUBSTITUTE(SUBSTITUTE(SUBSTITUTE(SUBSTITUTE(SUBSTITUTE(SUBSTITUTE(SUBSTITUTE(SUBSTITUTE(SUBSTITUTE(SUBSTITUTE(SUBSTITUTE(SUBSTITUTE(SUBSTITUTE(SUBSTITUTE(LOWER(AC736&amp;""),CHAR(10),""),CHAR(13),""),CHAR(9),""),CHAR(160),"")," ",""),".",""),"-",""),"/",""),"?",""),"_",""),",",""),"[",""),"]",""),"(",""),")",""),"*","")</f>
        <v/>
      </c>
      <c r="BA736" s="61" t="str">
        <f aca="false">SUBSTITUTE(SUBSTITUTE(SUBSTITUTE(SUBSTITUTE(SUBSTITUTE(SUBSTITUTE(SUBSTITUTE(SUBSTITUTE(SUBSTITUTE(SUBSTITUTE(SUBSTITUTE(SUBSTITUTE(SUBSTITUTE(SUBSTITUTE(SUBSTITUTE(SUBSTITUTE(LOWER(AA736&amp;""),CHAR(10),""),CHAR(13),""),CHAR(9),""),CHAR(160),"")," ",""),".",""),"-",""),"/",""),"?",""),"_",""),",",""),"[",""),"]",""),"(",""),")",""),"*","")</f>
        <v/>
      </c>
      <c r="BB736" s="61" t="str">
        <f aca="false">IF(AND(TRIM(U736)="Pass",ISNUMBER(AF736)),IF(AF736&lt;&gt;0,"INVALID – qty variance: use Fail or Pass after CA",""),"")&amp;IF(AND(TRIM(U736)="Pass after CA",ISNUMBER(AF736)),IF(AF736&lt;&gt;0,"INVALID – after the corrective action the actual qty must equal expected (update Actual)",""),"")&amp;IF(AND(TRIM(U736)="Pass",TRIM(AB736)&lt;&gt;"",TRIM(AB736)&lt;&gt;"Closed"),"INVALID – corrective action not closed: use Fail, then Pass after CA","")&amp;IF(AND(LEN(BA736)&gt;=2,ISNA(MATCH(LEFT(BA736,255),L_Placeholder,0)),TRIM(AB736)=""),"INVALID – CA status missing for the recorded corrective action","")&amp;IF(AND(TRIM(U736)="Pass after CA",OR(OR(LEN(BA736)&lt;5,ISNUMBER(MATCH(BA736,L_Placeholder,0))),TRIM(AB736)&lt;&gt;"Closed")),"INVALID – corrective action not recorded/closed","")</f>
        <v/>
      </c>
      <c r="BC736" s="61" t="str">
        <f aca="false">" "&amp;TRIM(SUBSTITUTE(SUBSTITUTE(SUBSTITUTE(SUBSTITUTE(SUBSTITUTE(SUBSTITUTE(SUBSTITUTE(SUBSTITUTE(SUBSTITUTE(SUBSTITUTE(SUBSTITUTE(SUBSTITUTE(SUBSTITUTE(SUBSTITUTE(SUBSTITUTE(SUBSTITUTE(SUBSTITUTE(SUBSTITUTE(SUBSTITUTE(SUBSTITUTE(SUBSTITUTE(SUBSTITUTE(SUBSTITUTE(SUBSTITUTE(LOWER(V736&amp;""),CHAR(10)," "),CHAR(13)," "),CHAR(9)," "),CHAR(160)," "),"."," "),","," "),"-"," "),"/"," "),"("," "),")"," "),":"," "),";"," "),"_"," "),"–"," "),"?"," "),"!"," "),"*"," "),"["," "),"]"," "),"'"," "),"#"," "),"+"," "),"&amp;"," "),"\"," "))&amp;" "</f>
        <v>  </v>
      </c>
      <c r="BD736" s="61" t="str">
        <f aca="false">" "&amp;TRIM(SUBSTITUTE(SUBSTITUTE(SUBSTITUTE(SUBSTITUTE(SUBSTITUTE(SUBSTITUTE(SUBSTITUTE(SUBSTITUTE(SUBSTITUTE(SUBSTITUTE(SUBSTITUTE(SUBSTITUTE(SUBSTITUTE(SUBSTITUTE(SUBSTITUTE(SUBSTITUTE(SUBSTITUTE(SUBSTITUTE(SUBSTITUTE(SUBSTITUTE(SUBSTITUTE(SUBSTITUTE(SUBSTITUTE(SUBSTITUTE(LOWER(Z736&amp;""),CHAR(10)," "),CHAR(13)," "),CHAR(9)," "),CHAR(160)," "),"."," "),","," "),"-"," "),"/"," "),"("," "),")"," "),":"," "),";"," "),"_"," "),"–"," "),"?"," "),"!"," "),"*"," "),"["," "),"]"," "),"'"," "),"#"," "),"+"," "),"&amp;"," "),"\"," "))&amp;" "</f>
        <v>  </v>
      </c>
      <c r="BE736" s="61" t="str">
        <f aca="false">" "&amp;TRIM(SUBSTITUTE(SUBSTITUTE(SUBSTITUTE(SUBSTITUTE(SUBSTITUTE(SUBSTITUTE(SUBSTITUTE(SUBSTITUTE(SUBSTITUTE(SUBSTITUTE(SUBSTITUTE(SUBSTITUTE(SUBSTITUTE(SUBSTITUTE(SUBSTITUTE(SUBSTITUTE(SUBSTITUTE(SUBSTITUTE(SUBSTITUTE(SUBSTITUTE(SUBSTITUTE(SUBSTITUTE(SUBSTITUTE(SUBSTITUTE(LOWER(W736&amp;""),CHAR(10)," "),CHAR(13)," "),CHAR(9)," "),CHAR(160)," "),"."," "),","," "),"-"," "),"/"," "),"("," "),")"," "),":"," "),";"," "),"_"," "),"–"," "),"?"," "),"!"," "),"*"," "),"["," "),"]"," "),"'"," "),"#"," "),"+"," "),"&amp;"," "),"\"," "))&amp;" "</f>
        <v>  </v>
      </c>
      <c r="BF736" s="61" t="str">
        <f aca="false">" "&amp;TRIM(SUBSTITUTE(SUBSTITUTE(SUBSTITUTE(SUBSTITUTE(SUBSTITUTE(SUBSTITUTE(SUBSTITUTE(SUBSTITUTE(SUBSTITUTE(SUBSTITUTE(SUBSTITUTE(SUBSTITUTE(SUBSTITUTE(SUBSTITUTE(SUBSTITUTE(SUBSTITUTE(SUBSTITUTE(SUBSTITUTE(SUBSTITUTE(SUBSTITUTE(SUBSTITUTE(SUBSTITUTE(SUBSTITUTE(SUBSTITUTE(LOWER(AC736&amp;""),CHAR(10)," "),CHAR(13)," "),CHAR(9)," "),CHAR(160)," "),"."," "),","," "),"-"," "),"/"," "),"("," "),")"," "),":"," "),";"," "),"_"," "),"–"," "),"?"," "),"!"," "),"*"," "),"["," "),"]"," "),"'"," "),"#"," "),"+"," "),"&amp;"," "),"\"," "))&amp;" "</f>
        <v>  </v>
      </c>
      <c r="BG736" s="61" t="n">
        <f aca="false">IFERROR(IF(AND(TRIM(U736)="Pass",SUMPRODUCT((LEN(BC736)-LEN(SUBSTITUTE(BC736," "&amp;L_ResultBad&amp;" "," ")))/(LEN(L_ResultBad)+1))&gt;SUMPRODUCT((LEN(BC736)-LEN(SUBSTITUTE(BC736," "&amp;L_NegPhrase&amp;" "," ")))/(LEN(L_NegPhrase)+1))),1,0),0)</f>
        <v>0</v>
      </c>
      <c r="BH736" s="61" t="n">
        <f aca="false">IFERROR(IF(SUMPRODUCT((LEN(BC736)-LEN(SUBSTITUTE(BC736," "&amp;L_Pending&amp;" "," ")))/(LEN(L_Pending)+1))&gt;SUMPRODUCT((LEN(BC736)-LEN(SUBSTITUTE(BC736," "&amp;L_PendNeg&amp;" "," ")))/(LEN(L_PendNeg)+1)),1,0),1)</f>
        <v>0</v>
      </c>
      <c r="BI736" s="61" t="n">
        <f aca="false">IFERROR(IF(SUMPRODUCT((LEN(BD736)-LEN(SUBSTITUTE(BD736," "&amp;L_PendStrict&amp;" "," ")))/(LEN(L_PendStrict)+1))&gt;SUMPRODUCT((LEN(BD736)-LEN(SUBSTITUTE(BD736," "&amp;L_PendNeg&amp;" "," ")))/(LEN(L_PendNeg)+1)),1,0),1)</f>
        <v>0</v>
      </c>
      <c r="BJ736" s="61" t="n">
        <f aca="false">IFERROR(IF(SUMPRODUCT((LEN(BE736)-LEN(SUBSTITUTE(BE736," "&amp;L_Pending&amp;" "," ")))/(LEN(L_Pending)+1))&gt;SUMPRODUCT((LEN(BE736)-LEN(SUBSTITUTE(BE736," "&amp;L_PendNeg&amp;" "," ")))/(LEN(L_PendNeg)+1)),1,0),1)</f>
        <v>0</v>
      </c>
      <c r="BK736" s="61" t="n">
        <f aca="false">IFERROR(IF(SUMPRODUCT((LEN(BF736)-LEN(SUBSTITUTE(BF736," "&amp;L_PendStrict&amp;" "," ")))/(LEN(L_PendStrict)+1))&gt;SUMPRODUCT((LEN(BF736)-LEN(SUBSTITUTE(BF736," "&amp;L_PendNeg&amp;" "," ")))/(LEN(L_PendNeg)+1)),1,0),1)</f>
        <v>0</v>
      </c>
      <c r="BL736" s="61" t="n">
        <f aca="false">IF(ISNA(MATCH(TRIM(S736),L_EvidenceType,0)),0,BZ736)</f>
        <v>0</v>
      </c>
      <c r="BM736" s="61" t="str">
        <f aca="false">SUBSTITUTE(SUBSTITUTE(SUBSTITUTE(SUBSTITUTE(SUBSTITUTE(SUBSTITUTE(SUBSTITUTE(SUBSTITUTE(SUBSTITUTE(LOWER(Z736&amp;""),"1","0"),"2","0"),"3","0"),"4","0"),"5","0"),"6","0"),"7","0"),"8","0"),"9","0")</f>
        <v/>
      </c>
      <c r="BN736" s="61" t="str">
        <f aca="false">SUBSTITUTE(SUBSTITUTE(SUBSTITUTE(SUBSTITUTE(SUBSTITUTE(SUBSTITUTE(SUBSTITUTE(SUBSTITUTE(SUBSTITUTE(SUBSTITUTE(SUBSTITUTE(SUBSTITUTE(SUBSTITUTE(SUBSTITUTE(SUBSTITUTE(SUBSTITUTE(SUBSTITUTE(SUBSTITUTE(SUBSTITUTE(SUBSTITUTE(SUBSTITUTE(SUBSTITUTE(SUBSTITUTE(SUBSTITUTE(SUBSTITUTE(BM736,"b","a"),"c","a"),"d","a"),"e","a"),"f","a"),"g","a"),"h","a"),"i","a"),"j","a"),"k","a"),"l","a"),"m","a"),"n","a"),"o","a"),"p","a"),"q","a"),"r","a"),"s","a"),"t","a"),"u","a"),"v","a"),"w","a"),"x","a"),"y","a"),"z","a")</f>
        <v/>
      </c>
      <c r="BO736" s="61" t="str">
        <f aca="false">SUBSTITUTE(SUBSTITUTE(SUBSTITUTE(SUBSTITUTE(SUBSTITUTE(SUBSTITUTE(SUBSTITUTE(SUBSTITUTE(SUBSTITUTE(LOWER(W736&amp;""),"1","0"),"2","0"),"3","0"),"4","0"),"5","0"),"6","0"),"7","0"),"8","0"),"9","0")</f>
        <v/>
      </c>
      <c r="BP736" s="61" t="str">
        <f aca="false">SUBSTITUTE(SUBSTITUTE(SUBSTITUTE(SUBSTITUTE(SUBSTITUTE(SUBSTITUTE(SUBSTITUTE(SUBSTITUTE(SUBSTITUTE(SUBSTITUTE(SUBSTITUTE(SUBSTITUTE(SUBSTITUTE(SUBSTITUTE(SUBSTITUTE(SUBSTITUTE(SUBSTITUTE(SUBSTITUTE(SUBSTITUTE(SUBSTITUTE(SUBSTITUTE(SUBSTITUTE(SUBSTITUTE(SUBSTITUTE(SUBSTITUTE(BO736,"b","a"),"c","a"),"d","a"),"e","a"),"f","a"),"g","a"),"h","a"),"i","a"),"j","a"),"k","a"),"l","a"),"m","a"),"n","a"),"o","a"),"p","a"),"q","a"),"r","a"),"s","a"),"t","a"),"u","a"),"v","a"),"w","a"),"x","a"),"y","a"),"z","a")</f>
        <v/>
      </c>
      <c r="BQ736" s="61" t="n">
        <f aca="false">IFERROR(IF(AND(ISERROR(SEARCH(" mh"," "&amp;LOWER(W736))),ISNA(MATCH(LEFT(TRIM(BP736),255),{"0000a","000a","00a","0000aa","000aa","00aa","0aa","0000aaa","000aaa","00a00","0a00","0000-0000","00:00","a00","a0","00.00.0000","00/00/0000","00-00-0000","0000-00-00","0000/00/00","0000.00.00","00.00.00","00/00/00","00-00-00","0.00.0000","0/00/0000","0-00-0000"},0)),ISNA(MATCH(LEFT(TRIM(CA736),255),{"0000a","000a","00a","0000aa","000aa","00aa","0aa","0000aaa","000aaa","00a00","0a00","0000-0000","00:00","a00","a0","00.00.0000","00/00/0000","00-00-0000","0000-00-00","0000/00/00","0000.00.00","00.00.00","00/00/00","00-00-00","0.00.0000","0/00/0000","0-00-0000"},0)),LEN(CB736)&gt;=3,NOT(OR(SUBSTITUTE(CB736,"0","")="",AND(LEN(CB736)&gt;=4,CB736=REPT(LEFT(CB736),LEN(CB736))),ISNUMBER(MATCH(CB736,{"123","1234","12345","123456","1234567","12345678","0123","01234","012345","98765","987654","54321"},0)),AND(LEN(CB736)=8,LEFT(CB736,3)="202"))),OR(AND((LEN(CA736)-LEN(SUBSTITUTE(CA736,"a","")))&gt;=1,SUMPRODUCT(--ISNUMBER(SEARCH({"a0","a-0","a_0","a/0","a.0","a#0","0a","0-a","0_a","0/a"},BP736)))&gt;0),ISNUMBER(SEARCH("000000",BP736)))),1,0),0)</f>
        <v>0</v>
      </c>
      <c r="BR736" s="61" t="n">
        <f aca="false">IFERROR(LEN(SUBSTITUTE(CC736," ",""))-SUMPRODUCT((LEN(CC736)-LEN(SUBSTITUTE(CC736," "&amp;L_Role&amp;" "," ")))/(LEN(L_Role)+1)*LEN(L_Role)),0)</f>
        <v>0</v>
      </c>
      <c r="BS736" s="61" t="n">
        <f aca="false">IFERROR(LEN(SUBSTITUTE(CD736," ",""))-SUMPRODUCT((LEN(CD736)-LEN(SUBSTITUTE(CD736," "&amp;L_Role&amp;" "," ")))/(LEN(L_Role)+1)*LEN(L_Role)),0)</f>
        <v>0</v>
      </c>
      <c r="BT7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736,"revision",""),"version",""),"jan",""),"feb",""),"mar",""),"apr",""),"may",""),"jun",""),"jul",""),"aug",""),"sep",""),"oct",""),"nov",""),"dec",""),"utc",""),"gmt",""),"myt",""),"bst",""),"rev",""),"ver",""),"b","a"),"c","a"),"d","a"),"e","a"),"f","a"),"g","a"),"h","a"),"i","a"),"j","a"),"k","a"),"l","a"),"m","a"),"n","a"),"o","a"),"p","a"),"q","a"),"r","a"),"s","a"),"t","a"),"u","a"),"v","a"),"w","a"),"x","a"),"y","a"),"z","a")</f>
        <v/>
      </c>
      <c r="BU736" s="61" t="str">
        <f aca="false">SUBSTITUTE(SUBSTITUTE(SUBSTITUTE(SUBSTITUTE(SUBSTITUTE(SUBSTITUTE(SUBSTITUTE(SUBSTITUTE(SUBSTITUTE(SUBSTITUTE(LEFT(BM736,FIND("0",BM736&amp;"0")-1),"-",""),"_",""),"/",""),".",""),"#",""),"\\",""),":","")," ",""),"(",""),")","")</f>
        <v/>
      </c>
      <c r="BV736" s="61" t="n">
        <f aca="false">IFERROR(IF(OR(SUMPRODUCT((LEN(BC736)-LEN(SUBSTITUTE(BC736," "&amp;L_NotLoaded&amp;" "," ")))/(LEN(L_NotLoaded)+1))&gt;SUMPRODUCT((LEN(BC736)-LEN(SUBSTITUTE(BC736," "&amp;L_NotLoadedNeg&amp;" "," ")))/(LEN(L_NotLoadedNeg)+1)),SUMPRODUCT((LEN(BD736)-LEN(SUBSTITUTE(BD736," "&amp;L_NotLoaded&amp;" "," ")))/(LEN(L_NotLoaded)+1))&gt;SUMPRODUCT((LEN(BD736)-LEN(SUBSTITUTE(BD736," "&amp;L_NotLoadedNeg&amp;" "," ")))/(LEN(L_NotLoadedNeg)+1))),1,0),0)</f>
        <v>0</v>
      </c>
      <c r="BW73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736&amp;""),"a",""),"b",""),"c",""),"d",""),"e",""),"f",""),"g",""),"h",""),"i",""),"j",""),"k",""),"l",""),"m",""),"n",""),"o",""),"p",""),"q",""),"r",""),"s",""),"t",""),"u",""),"v",""),"w",""),"x",""),"y",""),"z",""),"-",""),"_",""),"/",""),".",""),"#",""),"\\",""),":","")," ",""),"(",""),")","")</f>
        <v/>
      </c>
      <c r="BX736" s="61" t="str">
        <f aca="false">SUBSTITUTE(SUBSTITUTE(SUBSTITUTE(SUBSTITUTE(SUBSTITUTE(SUBSTITUTE(SUBSTITUTE(SUBSTITUTE(SUBSTITUTE(SUBSTITUTE(SUBSTITUTE(BM736,"0",""),"-",""),"_",""),"/",""),".",""),"#",""),"\\",""),":","")," ",""),"(",""),")","")</f>
        <v/>
      </c>
      <c r="BY736" s="62" t="n">
        <f aca="false">IF(ISNUMBER(Flights!$AZ$26),MAX(Q736-UpliftWindowH/24,Flights!$AZ$26),Q736-UpliftWindowH/24)</f>
        <v>46325.3888888889</v>
      </c>
      <c r="BZ736" s="61" t="n">
        <f aca="false">IFERROR(IF(IF(TRIM(S736)="Link / file path",AND(LEN(TRIM(Z736))&gt;=5,SUMPRODUCT(--ISNUMBER(SEARCH({"http","www.","\\",":\",".pdf",".jpg",".jpeg",".png",".heic",".xls",".doc",".msg",".eml",".ppt",".txt",".zip"},Z736)))&gt;0),AND(ISERROR(FIND(" ",TRIM(Z736))),NOT(OR(SUMPRODUCT(--ISNUMBER(FIND({",",";","&amp;","+"},Z736)))&gt;0,SUMPRODUCT(--ISNUMBER(SEARCH({"0/aa","0\\aa"},BN736)))&gt;0)),NOT(SUMPRODUCT(--ISNUMBER(SEARCH({"http","www.","\\",":\",".pdf",".jpg",".jpeg",".png",".heic",".xls",".doc",".msg",".eml",".ppt",".txt",".zip"},Z736)))&gt;0),NOT(LOWER(TRIM(Z736))=LOWER(Flights!$F$26)),ISNA(MATCH(BU736,{"mh","rev","revision","ver","version","v","r","a","b","seat","tray","row","gate","bay","stand","page","pg","item","line","no","cart","galley","flight","flt","table","box","bag","oven","etd","eta","std","sta","atd","ata","qty","pax","x","time","tel","ph","mob","day","wk","week","utc","gmt","myt","lt"},0)),NOT(OR(ISNUMBER(MATCH(LEFT(BN736,255),{"0000a","000a","00a","0000aa","000aa","00aa","0aa","0000aaa","000aaa","00a00","0a00","0000-0000","00:00","a00","a0","00.00.0000","00/00/0000","00-00-0000","0000-00-00","0000/00/00","0000.00.00","00.00.00","00/00/00","00-00-00","0.00.0000","0/00/0000","0-00-0000"},0)),ISNUMBER(MATCH(LEFT(BT736,255),{"0000a","000a","00a","0000aa","000aa","00aa","0aa","0000aaa","000aaa","00a00","0a00","0000-0000","00:00","a00","a0","00.00.0000","00/00/0000","00-00-0000","0000-00-00","0000/00/00","0000.00.00","00.00.00","00/00/00","00-00-00","0.00.0000","0/00/0000","0-00-0000"},0)))),NOT(OR(AND(BW736&lt;&gt;"",SUBSTITUTE(BW736,"0","")=""),AND(LEN(BW736)&gt;=4,BW736=REPT(LEFT(BW736),LEN(BW736))),ISNUMBER(MATCH(BW736,{"123","1234","12345","123456","1234567","12345678","0123","01234","012345","98765","987654","54321"},0)),ISNUMBER(MATCH(BX736,{"x","xx","xxx","xxxx","xxxxx","abc","abcd","nil","na","nan","test","tbc","tba","tbd","dummy","sample","example","eg","zz","zzz","none","null","xyz","qwe","asd","id","ref"},0)),AND(LEN(BW736)=8,BX736="",OR(LEFT(BW736,3)="202",ISNUMBER(MATCH(RIGHT(BW736,4),{"2025","2026","2027"},0)))))),OR(AND((LEN(BT736)-LEN(SUBSTITUTE(BT736,"a","")))&gt;=1,(LEN(BN736)-LEN(SUBSTITUTE(BN736,"0","")))&gt;=2,SUMPRODUCT(--ISNUMBER(SEARCH({"a0","a-0","a_0","a/0","a.0","a#0","0a","0-a","0_a","0/a"},BN736)))&gt;0),AND((LEN(BN736)-LEN(SUBSTITUTE(BN736,"a","")))=0,(LEN(BN736)-LEN(SUBSTITUTE(BN736,"0","")))&gt;=5)))),1,0),0)</f>
        <v>0</v>
      </c>
      <c r="CA7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736,"revision",""),"version",""),"jan",""),"feb",""),"mar",""),"apr",""),"may",""),"jun",""),"jul",""),"aug",""),"sep",""),"oct",""),"nov",""),"dec",""),"utc",""),"gmt",""),"myt",""),"bst",""),"rev",""),"ver",""),"b","a"),"c","a"),"d","a"),"e","a"),"f","a"),"g","a"),"h","a"),"i","a"),"j","a"),"k","a"),"l","a"),"m","a"),"n","a"),"o","a"),"p","a"),"q","a"),"r","a"),"s","a"),"t","a"),"u","a"),"v","a"),"w","a"),"x","a"),"y","a"),"z","a")</f>
        <v/>
      </c>
      <c r="CB73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736&amp;""),"a",""),"b",""),"c",""),"d",""),"e",""),"f",""),"g",""),"h",""),"i",""),"j",""),"k",""),"l",""),"m",""),"n",""),"o",""),"p",""),"q",""),"r",""),"s",""),"t",""),"u",""),"v",""),"w",""),"x",""),"y",""),"z",""),"-",""),"_",""),"/",""),".",""),"#",""),"\\",""),":","")," ",""),"(",""),")","")</f>
        <v/>
      </c>
      <c r="CC736" s="0" t="str">
        <f aca="false">" "&amp;TRIM(SUBSTITUTE(SUBSTITUTE(SUBSTITUTE(SUBSTITUTE(SUBSTITUTE(SUBSTITUTE(SUBSTITUTE(SUBSTITUTE(SUBSTITUTE(SUBSTITUTE(SUBSTITUTE(SUBSTITUTE(SUBSTITUTE(SUBSTITUTE(SUBSTITUTE(SUBSTITUTE(SUBSTITUTE(SUBSTITUTE(SUBSTITUTE(SUBSTITUTE(SUBSTITUTE(SUBSTITUTE(SUBSTITUTE(SUBSTITUTE(LOWER(T736&amp;""),CHAR(10)," "),CHAR(13)," "),CHAR(9)," "),CHAR(160)," "),"."," "),","," "),"-"," "),"/"," "),"("," "),")"," "),":"," "),";"," "),"_"," "),"–"," "),"?"," "),"!"," "),"*"," "),"["," "),"]"," "),"'"," "),"#"," "),"+"," "),"&amp;"," "),"\"," "))&amp;" "</f>
        <v>  </v>
      </c>
      <c r="CD736" s="0" t="str">
        <f aca="false">" "&amp;TRIM(SUBSTITUTE(SUBSTITUTE(SUBSTITUTE(SUBSTITUTE(SUBSTITUTE(SUBSTITUTE(SUBSTITUTE(SUBSTITUTE(SUBSTITUTE(SUBSTITUTE(SUBSTITUTE(SUBSTITUTE(SUBSTITUTE(SUBSTITUTE(SUBSTITUTE(SUBSTITUTE(SUBSTITUTE(SUBSTITUTE(SUBSTITUTE(SUBSTITUTE(SUBSTITUTE(SUBSTITUTE(SUBSTITUTE(SUBSTITUTE(LOWER(AE736&amp;""),CHAR(10)," "),CHAR(13)," "),CHAR(9)," "),CHAR(160)," "),"."," "),","," "),"-"," "),"/"," "),"("," "),")"," "),":"," "),";"," "),"_"," "),"–"," "),"?"," "),"!"," "),"*"," "),"["," "),"]"," "),"'"," "),"#"," "),"+"," "),"&amp;"," "),"\"," "))&amp;" "</f>
        <v>  </v>
      </c>
      <c r="CE736" s="68" t="n">
        <f aca="false">IFERROR(IF(AND(LEN(AU736)&gt;0,LEN(AU736)=LEN(AX736),OR(TRIM(MID(SUBSTITUTE(TRIM(CC736)," ",REPT(" ",60)),1,60))="",ISNUMBER(SEARCH(" "&amp;TRIM(MID(SUBSTITUTE(TRIM(CC736)," ",REPT(" ",60)),1,60))&amp;" ",CD736))),OR(TRIM(MID(SUBSTITUTE(TRIM(CC736)," ",REPT(" ",60)),61,60))="",ISNUMBER(SEARCH(" "&amp;TRIM(MID(SUBSTITUTE(TRIM(CC736)," ",REPT(" ",60)),61,60))&amp;" ",CD736))),OR(TRIM(MID(SUBSTITUTE(TRIM(CC736)," ",REPT(" ",60)),121,60))="",ISNUMBER(SEARCH(" "&amp;TRIM(MID(SUBSTITUTE(TRIM(CC736)," ",REPT(" ",60)),121,60))&amp;" ",CD736)))),1,0),0)</f>
        <v>0</v>
      </c>
      <c r="CG736" s="68" t="n">
        <f aca="false">IFERROR(LEN(SUBSTITUTE(BF736," ",""))-SUMPRODUCT((LEN(BF736)-LEN(SUBSTITUTE(BF736," "&amp;L_NAFiller&amp;" "," ")))/(LEN(L_NAFiller)+1)*LEN(L_NAFiller)),0)</f>
        <v>0</v>
      </c>
    </row>
    <row r="737" customFormat="false" ht="39.75" hidden="false" customHeight="true" outlineLevel="0" collapsed="false">
      <c r="A737" s="57" t="s">
        <v>1471</v>
      </c>
      <c r="B737" s="57" t="s">
        <v>312</v>
      </c>
      <c r="C737" s="57" t="str">
        <f aca="false">Flights!$F$26</f>
        <v>MH0002</v>
      </c>
      <c r="D737" s="58" t="n">
        <f aca="false">Flights!$D$26</f>
        <v>46325</v>
      </c>
      <c r="E737" s="57" t="str">
        <f aca="false">Flights!$G$26&amp;"-"&amp;Flights!$H$26</f>
        <v>KUL-LHR</v>
      </c>
      <c r="F737" s="57" t="str">
        <f aca="false">Flights!$K$26</f>
        <v>BC</v>
      </c>
      <c r="G737" s="57" t="s">
        <v>459</v>
      </c>
      <c r="H737" s="57" t="s">
        <v>460</v>
      </c>
      <c r="I737" s="57" t="s">
        <v>440</v>
      </c>
      <c r="J737" s="57" t="s">
        <v>643</v>
      </c>
      <c r="K737" s="67" t="s">
        <v>501</v>
      </c>
      <c r="L737" s="67" t="s">
        <v>734</v>
      </c>
      <c r="M737" s="67" t="s">
        <v>187</v>
      </c>
      <c r="N737" s="67" t="s">
        <v>383</v>
      </c>
      <c r="O737" s="67"/>
      <c r="P737" s="57" t="s">
        <v>187</v>
      </c>
      <c r="Q737" s="59" t="n">
        <f aca="false">ROUND((Flights!$AF$26)*1440,0)/1440</f>
        <v>46325.6388888889</v>
      </c>
      <c r="R737" s="59" t="n">
        <f aca="false">Q737+(IF(AND(INDEX(TZ_DSTS,MATCH(P737,TZ_STN,0))&lt;&gt;"",Q737&gt;=INDEX(TZ_DSTS,MATCH(P737,TZ_STN,0)),Q737&lt;INDEX(TZ_DSTE,MATCH(P737,TZ_STN,0))),INDEX(TZ_DST,MATCH(P737,TZ_STN,0)),INDEX(TZ_STD,MATCH(P737,TZ_STN,0))))/24</f>
        <v>46325.9722222222</v>
      </c>
      <c r="S737" s="60"/>
      <c r="T737" s="60"/>
      <c r="U737" s="60"/>
      <c r="V737" s="60"/>
      <c r="W737" s="61"/>
      <c r="X737" s="60"/>
      <c r="Y737" s="60"/>
      <c r="Z737" s="60"/>
      <c r="AA737" s="60"/>
      <c r="AB737" s="60"/>
      <c r="AC737" s="60"/>
      <c r="AD737" s="66"/>
      <c r="AE737" s="60"/>
      <c r="AF737" s="61" t="str">
        <f aca="false">IF(AND(ISNUMBER(X737),ISNUMBER(Y737)),Y737-X737,"")</f>
        <v/>
      </c>
      <c r="AG737" s="62" t="str">
        <f aca="false">IF(ISNUMBER(AD737),AD737-(IF(AND(INDEX(TZ_DSTS,MATCH(P737,TZ_STN,0))&lt;&gt;"",(AD737-INDEX(TZ_STD,MATCH(P737,TZ_STN,0))/24)&gt;=INDEX(TZ_DSTS,MATCH(P737,TZ_STN,0)),(AD737-INDEX(TZ_STD,MATCH(P737,TZ_STN,0))/24)&lt;INDEX(TZ_DSTE,MATCH(P737,TZ_STN,0))),INDEX(TZ_DST,MATCH(P737,TZ_STN,0)),INDEX(TZ_STD,MATCH(P737,TZ_STN,0))))/24,"")</f>
        <v/>
      </c>
      <c r="AH737" s="65" t="str">
        <f aca="false">IFERROR(IF(N737="N/A – rule",IF(OR(TRIM(U737)="",TRIM(U737)="N/A",TRIM(U737)="Not started"),"N/A – RULE","INVALID – this check does not apply to this aircraft: clear the status (or correct the fleet on Flights)"),IF(TRIM(U737)="N/A",IF(AT737=0,"INVALID – N/A not permitted for this check",IF(AND(TRIM(AB737)&lt;&gt;"",TRIM(AB737)&lt;&gt;"Closed"),"INVALID – corrective action still open",IF(AND(NOT(OR(LEN(AZ737)&lt;15,ISNUMBER(MATCH(AZ737,L_Placeholder,0)))),BK737=0,CG737&gt;=8,NOT(OR(LEN(AU737)&lt;2,ISNUMBER(MATCH(AU737,L_Placeholder,0)))),BR737&gt;=3,NOT(OR(LEN(AX737)&lt;2,ISNUMBER(MATCH(AX737,L_Placeholder,0)))),BS737&gt;=3,TRIM(AE737)&lt;&gt;TRIM(T737),AX737&lt;&gt;AU737,CE737=0),"N/A – JUSTIFIED","INVALID – N/A needs a real, settled reason (not 'not applicable' / 'as above' / TBC), a named PIC and a different named verifier"))),IF(OR(TRIM(U737)="Pass",TRIM(U737)="Pass after CA"),IF(NOT(ISNUMBER(AD737)),"INVALID – completion time missing",IF(OR(OR(LEN(AU737)&lt;2,ISNUMBER(MATCH(AU737,L_Placeholder,0))),BR737&lt;3),"INVALID – PIC missing or not a named person (a role such as QA / CSM is not a name)",IF(OR(LEN(AV737)&lt;2,ISNUMBER(MATCH(AV737,L_Placeholder,0))),"INVALID – result / assessment missing",IF(OR(OR(LEN(AW737)&lt;3,ISNUMBER(MATCH(AW737,L_Placeholder,0))),SUMPRODUCT(--ISNUMBER(SEARCH(" "&amp;L_EvidencePhrase&amp;" ",BD737)))&gt;0,BI737=1),"INVALID – evidence missing, placeholder or not yet on file",IF(ISNA(MATCH(TRIM(S737),L_EvidenceType,0)),"INVALID – choose the evidence type from the list (column S)",IF(BL737=0,"INVALID – evidence ID must be the record's own ID only (e.g. SF-2210, IMG_2231, 1045521); a link / file name needs type 'Link / file path'",IF(OR(OR(LEN(AX737)&lt;2,ISNUMBER(MATCH(AX737,L_Placeholder,0))),BS737&lt;3),"INVALID – verifier missing or not a named person (a role such as QA / CSM is not a name)",IF(OR(AX737=AU737,CE737=1,AND(LEN(AU737)&gt;=4,ISNUMBER(SEARCH(AU737,AX737))),AND(LEN(AX737)&gt;=4,ISNUMBER(SEARCH(AX737,AU737)))),"INVALID – verifier must be a different, named person (not the PIC or a role)",IF(BH737=1,"INVALID – result not yet available (awaiting / TBC)",IF(BG737=1,"INVALID – result describes a problem: record Fail, then Pass after CA (or reword if it is not a problem)",IF(BV737=1,"INVALID – wording says not on board: an on-board confirmation needs the item loaded",IF(AND(AQ737=1,OR(OR(LEN(AY737)&lt;3,ISNUMBER(MATCH(AY737,L_Placeholder,0))),BJ737=1,BQ737=0)),"INVALID – batch ID missing, placeholder or not an ID (e.g. PASB-261008-BC-017)",IF(AND(AR737=1,OR(NOT(ISNUMBER(X737)),NOT(ISNUMBER(Y737)))),"INVALID – expected/actual qty missing",IF(AND(AR737=1,OR(X737&lt;=0,Y737&lt;0)),"INVALID – expected qty must be above 0 and actual not negative",IF(AH721="N/A – JUSTIFIED","INVALID – preparation row F22-T12-10 is N/A",IF(AND(AR737=1,ISNUMBER(X721),X737&lt;&gt;X721,TRIM(U737)&lt;&gt;"Pass after CA"),"INVALID – expected qty differs from preparation check F22-T12-10: record the load change as a corrective action (Pass after CA)",IF(BB737&lt;&gt;"",BB737,IF(AND(AS737=1,Documents!$J$26&lt;&gt;"ON FILE"),"INVALID – GLD not on file (Documents sheet)",IF(AND(AS737=2,Documents!$O$26&lt;&gt;"ON FILE"),"INVALID – menu checklist not on file (Documents sheet)",IF(AND(AS737=3,NOT(ISNUMBER(Flights!$AX$26))),"INVALID – enter carrying flight KUL departure (Flights AX)",IF(AND(AS737=3,OR(Flights!$AZ$26&gt;Flights!$AA$26,Flights!$AX$26&lt;Flights!$AA$26-3)),"INVALID – carrying flight (Flights AX) cannot arrive before this leg's STD, or is over 3 days early",IF(AG737&gt;AsOfUTC,"INVALID – completion time is in the future",IF(AND(ISNUMBER(BY737),AG737&lt;BY737),IF(H737="Physical uplift","INVALID – before uplift window (cannot confirm loading)","INVALID – before valid window"),IF(AG737&gt;Flights!$AA$26,"INVALID – completed after departure (cannot establish readiness)",IF(AND(H737="Preparation",AG737&gt;=IF(ISNUMBER(Flights!$BA$26),MIN(Flights!$BA$26,Flights!$AA$26),Flights!$AA$26)),"INVALID – completed after loading / departure (cannot establish readiness)",IF(AND(H737="Physical uplift",AG737&gt;Q737),"INVALID – recorded after the loading flight departed",IF(AG737&gt;Q737,"COMPLETE – LATE","COMPLETE"))))))))))))))))))))))))))),IF(TRIM(U737)="Fail","FAIL – DISCREPANCY",IF(AND(TRIM(U737)&lt;&gt;"",TRIM(U737)&lt;&gt;"Not started",TRIM(U737)&lt;&gt;"In progress"),"INVALID – unrecognised status (use the list)",IF(AsOfUTC&gt;Q737,"OVERDUE",IF(N737="Clarification required","OPEN – CLARIFICATION","OPEN"))))))),"INVALID – error value in an input cell")</f>
        <v>OPEN</v>
      </c>
      <c r="AI737" s="61" t="n">
        <f aca="false">IF(OR(AH737="N/A – RULE",AH737="N/A – JUSTIFIED"),0,1)</f>
        <v>1</v>
      </c>
      <c r="AJ737" s="61" t="n">
        <f aca="false">IF(LEFT(AH737,8)="COMPLETE",1,0)</f>
        <v>0</v>
      </c>
      <c r="AK737" s="61" t="n">
        <f aca="false">IF(AND(AI737=1,AJ737=0,AsOfUTC&gt;Q737),1,0)</f>
        <v>0</v>
      </c>
      <c r="AL737" s="61" t="n">
        <f aca="false">IFERROR(IF(AND(AI737=1,OR(TRIM(U737)="Fail",AND(TRIM(AB737)&lt;&gt;"",TRIM(AB737)&lt;&gt;"Closed"),AND(ISNUMBER(AF737),AF737&lt;&gt;0,TRIM(U737)&lt;&gt;"Pass after CA"))),1,0),1)</f>
        <v>0</v>
      </c>
      <c r="AM737" s="61" t="n">
        <f aca="false">IF(LEFT(AH737,7)="INVALID",1,0)</f>
        <v>0</v>
      </c>
      <c r="AN737" s="61" t="n">
        <f aca="false">IF(AND(N737="Clarification required",AI737=1,AJ737=0),1,0)</f>
        <v>0</v>
      </c>
      <c r="AO737" s="61" t="str">
        <f aca="false">IF(AK737=1,SUM(AK$5:AK737),"")</f>
        <v/>
      </c>
      <c r="AP737" s="61" t="str">
        <f aca="false">IF(AL737=1,SUM(AL$5:AL737),"")</f>
        <v/>
      </c>
      <c r="AQ737" s="61" t="n">
        <v>0</v>
      </c>
      <c r="AR737" s="61" t="n">
        <v>0</v>
      </c>
      <c r="AS737" s="61" t="n">
        <v>0</v>
      </c>
      <c r="AT737" s="61" t="n">
        <v>0</v>
      </c>
      <c r="AU737" s="61" t="str">
        <f aca="false">SUBSTITUTE(SUBSTITUTE(SUBSTITUTE(SUBSTITUTE(SUBSTITUTE(SUBSTITUTE(SUBSTITUTE(SUBSTITUTE(SUBSTITUTE(SUBSTITUTE(SUBSTITUTE(SUBSTITUTE(SUBSTITUTE(SUBSTITUTE(SUBSTITUTE(SUBSTITUTE(LOWER(T737&amp;""),CHAR(10),""),CHAR(13),""),CHAR(9),""),CHAR(160),"")," ",""),".",""),"-",""),"/",""),"?",""),"_",""),",",""),"[",""),"]",""),"(",""),")",""),"*","")</f>
        <v/>
      </c>
      <c r="AV737" s="61" t="str">
        <f aca="false">SUBSTITUTE(SUBSTITUTE(SUBSTITUTE(SUBSTITUTE(SUBSTITUTE(SUBSTITUTE(SUBSTITUTE(SUBSTITUTE(SUBSTITUTE(SUBSTITUTE(SUBSTITUTE(SUBSTITUTE(SUBSTITUTE(SUBSTITUTE(SUBSTITUTE(SUBSTITUTE(LOWER(V737&amp;""),CHAR(10),""),CHAR(13),""),CHAR(9),""),CHAR(160),"")," ",""),".",""),"-",""),"/",""),"?",""),"_",""),",",""),"[",""),"]",""),"(",""),")",""),"*","")</f>
        <v/>
      </c>
      <c r="AW737" s="61" t="str">
        <f aca="false">SUBSTITUTE(SUBSTITUTE(SUBSTITUTE(SUBSTITUTE(SUBSTITUTE(SUBSTITUTE(SUBSTITUTE(SUBSTITUTE(SUBSTITUTE(SUBSTITUTE(SUBSTITUTE(SUBSTITUTE(SUBSTITUTE(SUBSTITUTE(SUBSTITUTE(SUBSTITUTE(LOWER(Z737&amp;""),CHAR(10),""),CHAR(13),""),CHAR(9),""),CHAR(160),"")," ",""),".",""),"-",""),"/",""),"?",""),"_",""),",",""),"[",""),"]",""),"(",""),")",""),"*","")</f>
        <v/>
      </c>
      <c r="AX737" s="61" t="str">
        <f aca="false">SUBSTITUTE(SUBSTITUTE(SUBSTITUTE(SUBSTITUTE(SUBSTITUTE(SUBSTITUTE(SUBSTITUTE(SUBSTITUTE(SUBSTITUTE(SUBSTITUTE(SUBSTITUTE(SUBSTITUTE(SUBSTITUTE(SUBSTITUTE(SUBSTITUTE(SUBSTITUTE(LOWER(AE737&amp;""),CHAR(10),""),CHAR(13),""),CHAR(9),""),CHAR(160),"")," ",""),".",""),"-",""),"/",""),"?",""),"_",""),",",""),"[",""),"]",""),"(",""),")",""),"*","")</f>
        <v/>
      </c>
      <c r="AY737" s="61" t="str">
        <f aca="false">SUBSTITUTE(SUBSTITUTE(SUBSTITUTE(SUBSTITUTE(SUBSTITUTE(SUBSTITUTE(SUBSTITUTE(SUBSTITUTE(SUBSTITUTE(SUBSTITUTE(SUBSTITUTE(SUBSTITUTE(SUBSTITUTE(SUBSTITUTE(SUBSTITUTE(SUBSTITUTE(LOWER(W737&amp;""),CHAR(10),""),CHAR(13),""),CHAR(9),""),CHAR(160),"")," ",""),".",""),"-",""),"/",""),"?",""),"_",""),",",""),"[",""),"]",""),"(",""),")",""),"*","")</f>
        <v/>
      </c>
      <c r="AZ737" s="61" t="str">
        <f aca="false">SUBSTITUTE(SUBSTITUTE(SUBSTITUTE(SUBSTITUTE(SUBSTITUTE(SUBSTITUTE(SUBSTITUTE(SUBSTITUTE(SUBSTITUTE(SUBSTITUTE(SUBSTITUTE(SUBSTITUTE(SUBSTITUTE(SUBSTITUTE(SUBSTITUTE(SUBSTITUTE(LOWER(AC737&amp;""),CHAR(10),""),CHAR(13),""),CHAR(9),""),CHAR(160),"")," ",""),".",""),"-",""),"/",""),"?",""),"_",""),",",""),"[",""),"]",""),"(",""),")",""),"*","")</f>
        <v/>
      </c>
      <c r="BA737" s="61" t="str">
        <f aca="false">SUBSTITUTE(SUBSTITUTE(SUBSTITUTE(SUBSTITUTE(SUBSTITUTE(SUBSTITUTE(SUBSTITUTE(SUBSTITUTE(SUBSTITUTE(SUBSTITUTE(SUBSTITUTE(SUBSTITUTE(SUBSTITUTE(SUBSTITUTE(SUBSTITUTE(SUBSTITUTE(LOWER(AA737&amp;""),CHAR(10),""),CHAR(13),""),CHAR(9),""),CHAR(160),"")," ",""),".",""),"-",""),"/",""),"?",""),"_",""),",",""),"[",""),"]",""),"(",""),")",""),"*","")</f>
        <v/>
      </c>
      <c r="BB737" s="61" t="str">
        <f aca="false">IF(AND(TRIM(U737)="Pass",ISNUMBER(AF737)),IF(AF737&lt;&gt;0,"INVALID – qty variance: use Fail or Pass after CA",""),"")&amp;IF(AND(TRIM(U737)="Pass after CA",ISNUMBER(AF737)),IF(AF737&lt;&gt;0,"INVALID – after the corrective action the actual qty must equal expected (update Actual)",""),"")&amp;IF(AND(TRIM(U737)="Pass",TRIM(AB737)&lt;&gt;"",TRIM(AB737)&lt;&gt;"Closed"),"INVALID – corrective action not closed: use Fail, then Pass after CA","")&amp;IF(AND(LEN(BA737)&gt;=2,ISNA(MATCH(LEFT(BA737,255),L_Placeholder,0)),TRIM(AB737)=""),"INVALID – CA status missing for the recorded corrective action","")&amp;IF(AND(TRIM(U737)="Pass after CA",OR(OR(LEN(BA737)&lt;5,ISNUMBER(MATCH(BA737,L_Placeholder,0))),TRIM(AB737)&lt;&gt;"Closed")),"INVALID – corrective action not recorded/closed","")</f>
        <v/>
      </c>
      <c r="BC737" s="61" t="str">
        <f aca="false">" "&amp;TRIM(SUBSTITUTE(SUBSTITUTE(SUBSTITUTE(SUBSTITUTE(SUBSTITUTE(SUBSTITUTE(SUBSTITUTE(SUBSTITUTE(SUBSTITUTE(SUBSTITUTE(SUBSTITUTE(SUBSTITUTE(SUBSTITUTE(SUBSTITUTE(SUBSTITUTE(SUBSTITUTE(SUBSTITUTE(SUBSTITUTE(SUBSTITUTE(SUBSTITUTE(SUBSTITUTE(SUBSTITUTE(SUBSTITUTE(SUBSTITUTE(LOWER(V737&amp;""),CHAR(10)," "),CHAR(13)," "),CHAR(9)," "),CHAR(160)," "),"."," "),","," "),"-"," "),"/"," "),"("," "),")"," "),":"," "),";"," "),"_"," "),"–"," "),"?"," "),"!"," "),"*"," "),"["," "),"]"," "),"'"," "),"#"," "),"+"," "),"&amp;"," "),"\"," "))&amp;" "</f>
        <v>  </v>
      </c>
      <c r="BD737" s="61" t="str">
        <f aca="false">" "&amp;TRIM(SUBSTITUTE(SUBSTITUTE(SUBSTITUTE(SUBSTITUTE(SUBSTITUTE(SUBSTITUTE(SUBSTITUTE(SUBSTITUTE(SUBSTITUTE(SUBSTITUTE(SUBSTITUTE(SUBSTITUTE(SUBSTITUTE(SUBSTITUTE(SUBSTITUTE(SUBSTITUTE(SUBSTITUTE(SUBSTITUTE(SUBSTITUTE(SUBSTITUTE(SUBSTITUTE(SUBSTITUTE(SUBSTITUTE(SUBSTITUTE(LOWER(Z737&amp;""),CHAR(10)," "),CHAR(13)," "),CHAR(9)," "),CHAR(160)," "),"."," "),","," "),"-"," "),"/"," "),"("," "),")"," "),":"," "),";"," "),"_"," "),"–"," "),"?"," "),"!"," "),"*"," "),"["," "),"]"," "),"'"," "),"#"," "),"+"," "),"&amp;"," "),"\"," "))&amp;" "</f>
        <v>  </v>
      </c>
      <c r="BE737" s="61" t="str">
        <f aca="false">" "&amp;TRIM(SUBSTITUTE(SUBSTITUTE(SUBSTITUTE(SUBSTITUTE(SUBSTITUTE(SUBSTITUTE(SUBSTITUTE(SUBSTITUTE(SUBSTITUTE(SUBSTITUTE(SUBSTITUTE(SUBSTITUTE(SUBSTITUTE(SUBSTITUTE(SUBSTITUTE(SUBSTITUTE(SUBSTITUTE(SUBSTITUTE(SUBSTITUTE(SUBSTITUTE(SUBSTITUTE(SUBSTITUTE(SUBSTITUTE(SUBSTITUTE(LOWER(W737&amp;""),CHAR(10)," "),CHAR(13)," "),CHAR(9)," "),CHAR(160)," "),"."," "),","," "),"-"," "),"/"," "),"("," "),")"," "),":"," "),";"," "),"_"," "),"–"," "),"?"," "),"!"," "),"*"," "),"["," "),"]"," "),"'"," "),"#"," "),"+"," "),"&amp;"," "),"\"," "))&amp;" "</f>
        <v>  </v>
      </c>
      <c r="BF737" s="61" t="str">
        <f aca="false">" "&amp;TRIM(SUBSTITUTE(SUBSTITUTE(SUBSTITUTE(SUBSTITUTE(SUBSTITUTE(SUBSTITUTE(SUBSTITUTE(SUBSTITUTE(SUBSTITUTE(SUBSTITUTE(SUBSTITUTE(SUBSTITUTE(SUBSTITUTE(SUBSTITUTE(SUBSTITUTE(SUBSTITUTE(SUBSTITUTE(SUBSTITUTE(SUBSTITUTE(SUBSTITUTE(SUBSTITUTE(SUBSTITUTE(SUBSTITUTE(SUBSTITUTE(LOWER(AC737&amp;""),CHAR(10)," "),CHAR(13)," "),CHAR(9)," "),CHAR(160)," "),"."," "),","," "),"-"," "),"/"," "),"("," "),")"," "),":"," "),";"," "),"_"," "),"–"," "),"?"," "),"!"," "),"*"," "),"["," "),"]"," "),"'"," "),"#"," "),"+"," "),"&amp;"," "),"\"," "))&amp;" "</f>
        <v>  </v>
      </c>
      <c r="BG737" s="61" t="n">
        <f aca="false">IFERROR(IF(AND(TRIM(U737)="Pass",SUMPRODUCT((LEN(BC737)-LEN(SUBSTITUTE(BC737," "&amp;L_ResultBad&amp;" "," ")))/(LEN(L_ResultBad)+1))&gt;SUMPRODUCT((LEN(BC737)-LEN(SUBSTITUTE(BC737," "&amp;L_NegPhrase&amp;" "," ")))/(LEN(L_NegPhrase)+1))),1,0),0)</f>
        <v>0</v>
      </c>
      <c r="BH737" s="61" t="n">
        <f aca="false">IFERROR(IF(SUMPRODUCT((LEN(BC737)-LEN(SUBSTITUTE(BC737," "&amp;L_Pending&amp;" "," ")))/(LEN(L_Pending)+1))&gt;SUMPRODUCT((LEN(BC737)-LEN(SUBSTITUTE(BC737," "&amp;L_PendNeg&amp;" "," ")))/(LEN(L_PendNeg)+1)),1,0),1)</f>
        <v>0</v>
      </c>
      <c r="BI737" s="61" t="n">
        <f aca="false">IFERROR(IF(SUMPRODUCT((LEN(BD737)-LEN(SUBSTITUTE(BD737," "&amp;L_PendStrict&amp;" "," ")))/(LEN(L_PendStrict)+1))&gt;SUMPRODUCT((LEN(BD737)-LEN(SUBSTITUTE(BD737," "&amp;L_PendNeg&amp;" "," ")))/(LEN(L_PendNeg)+1)),1,0),1)</f>
        <v>0</v>
      </c>
      <c r="BJ737" s="61" t="n">
        <f aca="false">IFERROR(IF(SUMPRODUCT((LEN(BE737)-LEN(SUBSTITUTE(BE737," "&amp;L_Pending&amp;" "," ")))/(LEN(L_Pending)+1))&gt;SUMPRODUCT((LEN(BE737)-LEN(SUBSTITUTE(BE737," "&amp;L_PendNeg&amp;" "," ")))/(LEN(L_PendNeg)+1)),1,0),1)</f>
        <v>0</v>
      </c>
      <c r="BK737" s="61" t="n">
        <f aca="false">IFERROR(IF(SUMPRODUCT((LEN(BF737)-LEN(SUBSTITUTE(BF737," "&amp;L_PendStrict&amp;" "," ")))/(LEN(L_PendStrict)+1))&gt;SUMPRODUCT((LEN(BF737)-LEN(SUBSTITUTE(BF737," "&amp;L_PendNeg&amp;" "," ")))/(LEN(L_PendNeg)+1)),1,0),1)</f>
        <v>0</v>
      </c>
      <c r="BL737" s="61" t="n">
        <f aca="false">IF(ISNA(MATCH(TRIM(S737),L_EvidenceType,0)),0,BZ737)</f>
        <v>0</v>
      </c>
      <c r="BM737" s="61" t="str">
        <f aca="false">SUBSTITUTE(SUBSTITUTE(SUBSTITUTE(SUBSTITUTE(SUBSTITUTE(SUBSTITUTE(SUBSTITUTE(SUBSTITUTE(SUBSTITUTE(LOWER(Z737&amp;""),"1","0"),"2","0"),"3","0"),"4","0"),"5","0"),"6","0"),"7","0"),"8","0"),"9","0")</f>
        <v/>
      </c>
      <c r="BN737" s="61" t="str">
        <f aca="false">SUBSTITUTE(SUBSTITUTE(SUBSTITUTE(SUBSTITUTE(SUBSTITUTE(SUBSTITUTE(SUBSTITUTE(SUBSTITUTE(SUBSTITUTE(SUBSTITUTE(SUBSTITUTE(SUBSTITUTE(SUBSTITUTE(SUBSTITUTE(SUBSTITUTE(SUBSTITUTE(SUBSTITUTE(SUBSTITUTE(SUBSTITUTE(SUBSTITUTE(SUBSTITUTE(SUBSTITUTE(SUBSTITUTE(SUBSTITUTE(SUBSTITUTE(BM737,"b","a"),"c","a"),"d","a"),"e","a"),"f","a"),"g","a"),"h","a"),"i","a"),"j","a"),"k","a"),"l","a"),"m","a"),"n","a"),"o","a"),"p","a"),"q","a"),"r","a"),"s","a"),"t","a"),"u","a"),"v","a"),"w","a"),"x","a"),"y","a"),"z","a")</f>
        <v/>
      </c>
      <c r="BO737" s="61" t="str">
        <f aca="false">SUBSTITUTE(SUBSTITUTE(SUBSTITUTE(SUBSTITUTE(SUBSTITUTE(SUBSTITUTE(SUBSTITUTE(SUBSTITUTE(SUBSTITUTE(LOWER(W737&amp;""),"1","0"),"2","0"),"3","0"),"4","0"),"5","0"),"6","0"),"7","0"),"8","0"),"9","0")</f>
        <v/>
      </c>
      <c r="BP737" s="61" t="str">
        <f aca="false">SUBSTITUTE(SUBSTITUTE(SUBSTITUTE(SUBSTITUTE(SUBSTITUTE(SUBSTITUTE(SUBSTITUTE(SUBSTITUTE(SUBSTITUTE(SUBSTITUTE(SUBSTITUTE(SUBSTITUTE(SUBSTITUTE(SUBSTITUTE(SUBSTITUTE(SUBSTITUTE(SUBSTITUTE(SUBSTITUTE(SUBSTITUTE(SUBSTITUTE(SUBSTITUTE(SUBSTITUTE(SUBSTITUTE(SUBSTITUTE(SUBSTITUTE(BO737,"b","a"),"c","a"),"d","a"),"e","a"),"f","a"),"g","a"),"h","a"),"i","a"),"j","a"),"k","a"),"l","a"),"m","a"),"n","a"),"o","a"),"p","a"),"q","a"),"r","a"),"s","a"),"t","a"),"u","a"),"v","a"),"w","a"),"x","a"),"y","a"),"z","a")</f>
        <v/>
      </c>
      <c r="BQ737" s="61" t="n">
        <f aca="false">IFERROR(IF(AND(ISERROR(SEARCH(" mh"," "&amp;LOWER(W737))),ISNA(MATCH(LEFT(TRIM(BP737),255),{"0000a","000a","00a","0000aa","000aa","00aa","0aa","0000aaa","000aaa","00a00","0a00","0000-0000","00:00","a00","a0","00.00.0000","00/00/0000","00-00-0000","0000-00-00","0000/00/00","0000.00.00","00.00.00","00/00/00","00-00-00","0.00.0000","0/00/0000","0-00-0000"},0)),ISNA(MATCH(LEFT(TRIM(CA737),255),{"0000a","000a","00a","0000aa","000aa","00aa","0aa","0000aaa","000aaa","00a00","0a00","0000-0000","00:00","a00","a0","00.00.0000","00/00/0000","00-00-0000","0000-00-00","0000/00/00","0000.00.00","00.00.00","00/00/00","00-00-00","0.00.0000","0/00/0000","0-00-0000"},0)),LEN(CB737)&gt;=3,NOT(OR(SUBSTITUTE(CB737,"0","")="",AND(LEN(CB737)&gt;=4,CB737=REPT(LEFT(CB737),LEN(CB737))),ISNUMBER(MATCH(CB737,{"123","1234","12345","123456","1234567","12345678","0123","01234","012345","98765","987654","54321"},0)),AND(LEN(CB737)=8,LEFT(CB737,3)="202"))),OR(AND((LEN(CA737)-LEN(SUBSTITUTE(CA737,"a","")))&gt;=1,SUMPRODUCT(--ISNUMBER(SEARCH({"a0","a-0","a_0","a/0","a.0","a#0","0a","0-a","0_a","0/a"},BP737)))&gt;0),ISNUMBER(SEARCH("000000",BP737)))),1,0),0)</f>
        <v>0</v>
      </c>
      <c r="BR737" s="61" t="n">
        <f aca="false">IFERROR(LEN(SUBSTITUTE(CC737," ",""))-SUMPRODUCT((LEN(CC737)-LEN(SUBSTITUTE(CC737," "&amp;L_Role&amp;" "," ")))/(LEN(L_Role)+1)*LEN(L_Role)),0)</f>
        <v>0</v>
      </c>
      <c r="BS737" s="61" t="n">
        <f aca="false">IFERROR(LEN(SUBSTITUTE(CD737," ",""))-SUMPRODUCT((LEN(CD737)-LEN(SUBSTITUTE(CD737," "&amp;L_Role&amp;" "," ")))/(LEN(L_Role)+1)*LEN(L_Role)),0)</f>
        <v>0</v>
      </c>
      <c r="BT7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737,"revision",""),"version",""),"jan",""),"feb",""),"mar",""),"apr",""),"may",""),"jun",""),"jul",""),"aug",""),"sep",""),"oct",""),"nov",""),"dec",""),"utc",""),"gmt",""),"myt",""),"bst",""),"rev",""),"ver",""),"b","a"),"c","a"),"d","a"),"e","a"),"f","a"),"g","a"),"h","a"),"i","a"),"j","a"),"k","a"),"l","a"),"m","a"),"n","a"),"o","a"),"p","a"),"q","a"),"r","a"),"s","a"),"t","a"),"u","a"),"v","a"),"w","a"),"x","a"),"y","a"),"z","a")</f>
        <v/>
      </c>
      <c r="BU737" s="61" t="str">
        <f aca="false">SUBSTITUTE(SUBSTITUTE(SUBSTITUTE(SUBSTITUTE(SUBSTITUTE(SUBSTITUTE(SUBSTITUTE(SUBSTITUTE(SUBSTITUTE(SUBSTITUTE(LEFT(BM737,FIND("0",BM737&amp;"0")-1),"-",""),"_",""),"/",""),".",""),"#",""),"\\",""),":","")," ",""),"(",""),")","")</f>
        <v/>
      </c>
      <c r="BV737" s="61" t="n">
        <f aca="false">IFERROR(IF(OR(SUMPRODUCT((LEN(BC737)-LEN(SUBSTITUTE(BC737," "&amp;L_NotLoaded&amp;" "," ")))/(LEN(L_NotLoaded)+1))&gt;SUMPRODUCT((LEN(BC737)-LEN(SUBSTITUTE(BC737," "&amp;L_NotLoadedNeg&amp;" "," ")))/(LEN(L_NotLoadedNeg)+1)),SUMPRODUCT((LEN(BD737)-LEN(SUBSTITUTE(BD737," "&amp;L_NotLoaded&amp;" "," ")))/(LEN(L_NotLoaded)+1))&gt;SUMPRODUCT((LEN(BD737)-LEN(SUBSTITUTE(BD737," "&amp;L_NotLoadedNeg&amp;" "," ")))/(LEN(L_NotLoadedNeg)+1))),1,0),0)</f>
        <v>0</v>
      </c>
      <c r="BW73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737&amp;""),"a",""),"b",""),"c",""),"d",""),"e",""),"f",""),"g",""),"h",""),"i",""),"j",""),"k",""),"l",""),"m",""),"n",""),"o",""),"p",""),"q",""),"r",""),"s",""),"t",""),"u",""),"v",""),"w",""),"x",""),"y",""),"z",""),"-",""),"_",""),"/",""),".",""),"#",""),"\\",""),":","")," ",""),"(",""),")","")</f>
        <v/>
      </c>
      <c r="BX737" s="61" t="str">
        <f aca="false">SUBSTITUTE(SUBSTITUTE(SUBSTITUTE(SUBSTITUTE(SUBSTITUTE(SUBSTITUTE(SUBSTITUTE(SUBSTITUTE(SUBSTITUTE(SUBSTITUTE(SUBSTITUTE(BM737,"0",""),"-",""),"_",""),"/",""),".",""),"#",""),"\\",""),":","")," ",""),"(",""),")","")</f>
        <v/>
      </c>
      <c r="BY737" s="62" t="n">
        <f aca="false">IF(ISNUMBER(Flights!$AZ$26),MAX(Q737-UpliftWindowH/24,Flights!$AZ$26),Q737-UpliftWindowH/24)</f>
        <v>46325.3888888889</v>
      </c>
      <c r="BZ737" s="61" t="n">
        <f aca="false">IFERROR(IF(IF(TRIM(S737)="Link / file path",AND(LEN(TRIM(Z737))&gt;=5,SUMPRODUCT(--ISNUMBER(SEARCH({"http","www.","\\",":\",".pdf",".jpg",".jpeg",".png",".heic",".xls",".doc",".msg",".eml",".ppt",".txt",".zip"},Z737)))&gt;0),AND(ISERROR(FIND(" ",TRIM(Z737))),NOT(OR(SUMPRODUCT(--ISNUMBER(FIND({",",";","&amp;","+"},Z737)))&gt;0,SUMPRODUCT(--ISNUMBER(SEARCH({"0/aa","0\\aa"},BN737)))&gt;0)),NOT(SUMPRODUCT(--ISNUMBER(SEARCH({"http","www.","\\",":\",".pdf",".jpg",".jpeg",".png",".heic",".xls",".doc",".msg",".eml",".ppt",".txt",".zip"},Z737)))&gt;0),NOT(LOWER(TRIM(Z737))=LOWER(Flights!$F$26)),ISNA(MATCH(BU737,{"mh","rev","revision","ver","version","v","r","a","b","seat","tray","row","gate","bay","stand","page","pg","item","line","no","cart","galley","flight","flt","table","box","bag","oven","etd","eta","std","sta","atd","ata","qty","pax","x","time","tel","ph","mob","day","wk","week","utc","gmt","myt","lt"},0)),NOT(OR(ISNUMBER(MATCH(LEFT(BN737,255),{"0000a","000a","00a","0000aa","000aa","00aa","0aa","0000aaa","000aaa","00a00","0a00","0000-0000","00:00","a00","a0","00.00.0000","00/00/0000","00-00-0000","0000-00-00","0000/00/00","0000.00.00","00.00.00","00/00/00","00-00-00","0.00.0000","0/00/0000","0-00-0000"},0)),ISNUMBER(MATCH(LEFT(BT737,255),{"0000a","000a","00a","0000aa","000aa","00aa","0aa","0000aaa","000aaa","00a00","0a00","0000-0000","00:00","a00","a0","00.00.0000","00/00/0000","00-00-0000","0000-00-00","0000/00/00","0000.00.00","00.00.00","00/00/00","00-00-00","0.00.0000","0/00/0000","0-00-0000"},0)))),NOT(OR(AND(BW737&lt;&gt;"",SUBSTITUTE(BW737,"0","")=""),AND(LEN(BW737)&gt;=4,BW737=REPT(LEFT(BW737),LEN(BW737))),ISNUMBER(MATCH(BW737,{"123","1234","12345","123456","1234567","12345678","0123","01234","012345","98765","987654","54321"},0)),ISNUMBER(MATCH(BX737,{"x","xx","xxx","xxxx","xxxxx","abc","abcd","nil","na","nan","test","tbc","tba","tbd","dummy","sample","example","eg","zz","zzz","none","null","xyz","qwe","asd","id","ref"},0)),AND(LEN(BW737)=8,BX737="",OR(LEFT(BW737,3)="202",ISNUMBER(MATCH(RIGHT(BW737,4),{"2025","2026","2027"},0)))))),OR(AND((LEN(BT737)-LEN(SUBSTITUTE(BT737,"a","")))&gt;=1,(LEN(BN737)-LEN(SUBSTITUTE(BN737,"0","")))&gt;=2,SUMPRODUCT(--ISNUMBER(SEARCH({"a0","a-0","a_0","a/0","a.0","a#0","0a","0-a","0_a","0/a"},BN737)))&gt;0),AND((LEN(BN737)-LEN(SUBSTITUTE(BN737,"a","")))=0,(LEN(BN737)-LEN(SUBSTITUTE(BN737,"0","")))&gt;=5)))),1,0),0)</f>
        <v>0</v>
      </c>
      <c r="CA7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737,"revision",""),"version",""),"jan",""),"feb",""),"mar",""),"apr",""),"may",""),"jun",""),"jul",""),"aug",""),"sep",""),"oct",""),"nov",""),"dec",""),"utc",""),"gmt",""),"myt",""),"bst",""),"rev",""),"ver",""),"b","a"),"c","a"),"d","a"),"e","a"),"f","a"),"g","a"),"h","a"),"i","a"),"j","a"),"k","a"),"l","a"),"m","a"),"n","a"),"o","a"),"p","a"),"q","a"),"r","a"),"s","a"),"t","a"),"u","a"),"v","a"),"w","a"),"x","a"),"y","a"),"z","a")</f>
        <v/>
      </c>
      <c r="CB73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737&amp;""),"a",""),"b",""),"c",""),"d",""),"e",""),"f",""),"g",""),"h",""),"i",""),"j",""),"k",""),"l",""),"m",""),"n",""),"o",""),"p",""),"q",""),"r",""),"s",""),"t",""),"u",""),"v",""),"w",""),"x",""),"y",""),"z",""),"-",""),"_",""),"/",""),".",""),"#",""),"\\",""),":","")," ",""),"(",""),")","")</f>
        <v/>
      </c>
      <c r="CC737" s="0" t="str">
        <f aca="false">" "&amp;TRIM(SUBSTITUTE(SUBSTITUTE(SUBSTITUTE(SUBSTITUTE(SUBSTITUTE(SUBSTITUTE(SUBSTITUTE(SUBSTITUTE(SUBSTITUTE(SUBSTITUTE(SUBSTITUTE(SUBSTITUTE(SUBSTITUTE(SUBSTITUTE(SUBSTITUTE(SUBSTITUTE(SUBSTITUTE(SUBSTITUTE(SUBSTITUTE(SUBSTITUTE(SUBSTITUTE(SUBSTITUTE(SUBSTITUTE(SUBSTITUTE(LOWER(T737&amp;""),CHAR(10)," "),CHAR(13)," "),CHAR(9)," "),CHAR(160)," "),"."," "),","," "),"-"," "),"/"," "),"("," "),")"," "),":"," "),";"," "),"_"," "),"–"," "),"?"," "),"!"," "),"*"," "),"["," "),"]"," "),"'"," "),"#"," "),"+"," "),"&amp;"," "),"\"," "))&amp;" "</f>
        <v>  </v>
      </c>
      <c r="CD737" s="0" t="str">
        <f aca="false">" "&amp;TRIM(SUBSTITUTE(SUBSTITUTE(SUBSTITUTE(SUBSTITUTE(SUBSTITUTE(SUBSTITUTE(SUBSTITUTE(SUBSTITUTE(SUBSTITUTE(SUBSTITUTE(SUBSTITUTE(SUBSTITUTE(SUBSTITUTE(SUBSTITUTE(SUBSTITUTE(SUBSTITUTE(SUBSTITUTE(SUBSTITUTE(SUBSTITUTE(SUBSTITUTE(SUBSTITUTE(SUBSTITUTE(SUBSTITUTE(SUBSTITUTE(LOWER(AE737&amp;""),CHAR(10)," "),CHAR(13)," "),CHAR(9)," "),CHAR(160)," "),"."," "),","," "),"-"," "),"/"," "),"("," "),")"," "),":"," "),";"," "),"_"," "),"–"," "),"?"," "),"!"," "),"*"," "),"["," "),"]"," "),"'"," "),"#"," "),"+"," "),"&amp;"," "),"\"," "))&amp;" "</f>
        <v>  </v>
      </c>
      <c r="CE737" s="68" t="n">
        <f aca="false">IFERROR(IF(AND(LEN(AU737)&gt;0,LEN(AU737)=LEN(AX737),OR(TRIM(MID(SUBSTITUTE(TRIM(CC737)," ",REPT(" ",60)),1,60))="",ISNUMBER(SEARCH(" "&amp;TRIM(MID(SUBSTITUTE(TRIM(CC737)," ",REPT(" ",60)),1,60))&amp;" ",CD737))),OR(TRIM(MID(SUBSTITUTE(TRIM(CC737)," ",REPT(" ",60)),61,60))="",ISNUMBER(SEARCH(" "&amp;TRIM(MID(SUBSTITUTE(TRIM(CC737)," ",REPT(" ",60)),61,60))&amp;" ",CD737))),OR(TRIM(MID(SUBSTITUTE(TRIM(CC737)," ",REPT(" ",60)),121,60))="",ISNUMBER(SEARCH(" "&amp;TRIM(MID(SUBSTITUTE(TRIM(CC737)," ",REPT(" ",60)),121,60))&amp;" ",CD737)))),1,0),0)</f>
        <v>0</v>
      </c>
      <c r="CG737" s="68" t="n">
        <f aca="false">IFERROR(LEN(SUBSTITUTE(BF737," ",""))-SUMPRODUCT((LEN(BF737)-LEN(SUBSTITUTE(BF737," "&amp;L_NAFiller&amp;" "," ")))/(LEN(L_NAFiller)+1)*LEN(L_NAFiller)),0)</f>
        <v>0</v>
      </c>
    </row>
    <row r="738" customFormat="false" ht="39.75" hidden="false" customHeight="true" outlineLevel="0" collapsed="false">
      <c r="A738" s="57" t="s">
        <v>1472</v>
      </c>
      <c r="B738" s="57" t="s">
        <v>312</v>
      </c>
      <c r="C738" s="57" t="str">
        <f aca="false">Flights!$F$26</f>
        <v>MH0002</v>
      </c>
      <c r="D738" s="58" t="n">
        <f aca="false">Flights!$D$26</f>
        <v>46325</v>
      </c>
      <c r="E738" s="57" t="str">
        <f aca="false">Flights!$G$26&amp;"-"&amp;Flights!$H$26</f>
        <v>KUL-LHR</v>
      </c>
      <c r="F738" s="57" t="str">
        <f aca="false">Flights!$K$26</f>
        <v>BC</v>
      </c>
      <c r="G738" s="57" t="s">
        <v>459</v>
      </c>
      <c r="H738" s="57" t="s">
        <v>460</v>
      </c>
      <c r="I738" s="57" t="s">
        <v>499</v>
      </c>
      <c r="J738" s="57" t="s">
        <v>537</v>
      </c>
      <c r="K738" s="67" t="s">
        <v>501</v>
      </c>
      <c r="L738" s="67" t="s">
        <v>736</v>
      </c>
      <c r="M738" s="67" t="s">
        <v>451</v>
      </c>
      <c r="N738" s="67" t="s">
        <v>383</v>
      </c>
      <c r="O738" s="67"/>
      <c r="P738" s="57" t="s">
        <v>187</v>
      </c>
      <c r="Q738" s="59" t="n">
        <f aca="false">ROUND((Flights!$AF$26)*1440,0)/1440</f>
        <v>46325.6388888889</v>
      </c>
      <c r="R738" s="59" t="n">
        <f aca="false">Q738+(IF(AND(INDEX(TZ_DSTS,MATCH(P738,TZ_STN,0))&lt;&gt;"",Q738&gt;=INDEX(TZ_DSTS,MATCH(P738,TZ_STN,0)),Q738&lt;INDEX(TZ_DSTE,MATCH(P738,TZ_STN,0))),INDEX(TZ_DST,MATCH(P738,TZ_STN,0)),INDEX(TZ_STD,MATCH(P738,TZ_STN,0))))/24</f>
        <v>46325.9722222222</v>
      </c>
      <c r="S738" s="60"/>
      <c r="T738" s="60"/>
      <c r="U738" s="60"/>
      <c r="V738" s="60"/>
      <c r="W738" s="61"/>
      <c r="X738" s="60"/>
      <c r="Y738" s="60"/>
      <c r="Z738" s="60"/>
      <c r="AA738" s="60"/>
      <c r="AB738" s="60"/>
      <c r="AC738" s="60"/>
      <c r="AD738" s="66"/>
      <c r="AE738" s="60"/>
      <c r="AF738" s="61" t="str">
        <f aca="false">IF(AND(ISNUMBER(X738),ISNUMBER(Y738)),Y738-X738,"")</f>
        <v/>
      </c>
      <c r="AG738" s="62" t="str">
        <f aca="false">IF(ISNUMBER(AD738),AD738-(IF(AND(INDEX(TZ_DSTS,MATCH(P738,TZ_STN,0))&lt;&gt;"",(AD738-INDEX(TZ_STD,MATCH(P738,TZ_STN,0))/24)&gt;=INDEX(TZ_DSTS,MATCH(P738,TZ_STN,0)),(AD738-INDEX(TZ_STD,MATCH(P738,TZ_STN,0))/24)&lt;INDEX(TZ_DSTE,MATCH(P738,TZ_STN,0))),INDEX(TZ_DST,MATCH(P738,TZ_STN,0)),INDEX(TZ_STD,MATCH(P738,TZ_STN,0))))/24,"")</f>
        <v/>
      </c>
      <c r="AH738" s="65" t="str">
        <f aca="false">IFERROR(IF(N738="N/A – rule",IF(OR(TRIM(U738)="",TRIM(U738)="N/A",TRIM(U738)="Not started"),"N/A – RULE","INVALID – this check does not apply to this aircraft: clear the status (or correct the fleet on Flights)"),IF(TRIM(U738)="N/A",IF(AT738=0,"INVALID – N/A not permitted for this check",IF(AND(TRIM(AB738)&lt;&gt;"",TRIM(AB738)&lt;&gt;"Closed"),"INVALID – corrective action still open",IF(AND(NOT(OR(LEN(AZ738)&lt;15,ISNUMBER(MATCH(AZ738,L_Placeholder,0)))),BK738=0,CG738&gt;=8,NOT(OR(LEN(AU738)&lt;2,ISNUMBER(MATCH(AU738,L_Placeholder,0)))),BR738&gt;=3,NOT(OR(LEN(AX738)&lt;2,ISNUMBER(MATCH(AX738,L_Placeholder,0)))),BS738&gt;=3,TRIM(AE738)&lt;&gt;TRIM(T738),AX738&lt;&gt;AU738,CE738=0),"N/A – JUSTIFIED","INVALID – N/A needs a real, settled reason (not 'not applicable' / 'as above' / TBC), a named PIC and a different named verifier"))),IF(OR(TRIM(U738)="Pass",TRIM(U738)="Pass after CA"),IF(NOT(ISNUMBER(AD738)),"INVALID – completion time missing",IF(OR(OR(LEN(AU738)&lt;2,ISNUMBER(MATCH(AU738,L_Placeholder,0))),BR738&lt;3),"INVALID – PIC missing or not a named person (a role such as QA / CSM is not a name)",IF(OR(LEN(AV738)&lt;2,ISNUMBER(MATCH(AV738,L_Placeholder,0))),"INVALID – result / assessment missing",IF(OR(OR(LEN(AW738)&lt;3,ISNUMBER(MATCH(AW738,L_Placeholder,0))),SUMPRODUCT(--ISNUMBER(SEARCH(" "&amp;L_EvidencePhrase&amp;" ",BD738)))&gt;0,BI738=1),"INVALID – evidence missing, placeholder or not yet on file",IF(ISNA(MATCH(TRIM(S738),L_EvidenceType,0)),"INVALID – choose the evidence type from the list (column S)",IF(BL738=0,"INVALID – evidence ID must be the record's own ID only (e.g. SF-2210, IMG_2231, 1045521); a link / file name needs type 'Link / file path'",IF(OR(OR(LEN(AX738)&lt;2,ISNUMBER(MATCH(AX738,L_Placeholder,0))),BS738&lt;3),"INVALID – verifier missing or not a named person (a role such as QA / CSM is not a name)",IF(OR(AX738=AU738,CE738=1,AND(LEN(AU738)&gt;=4,ISNUMBER(SEARCH(AU738,AX738))),AND(LEN(AX738)&gt;=4,ISNUMBER(SEARCH(AX738,AU738)))),"INVALID – verifier must be a different, named person (not the PIC or a role)",IF(BH738=1,"INVALID – result not yet available (awaiting / TBC)",IF(BG738=1,"INVALID – result describes a problem: record Fail, then Pass after CA (or reword if it is not a problem)",IF(BV738=1,"INVALID – wording says not on board: an on-board confirmation needs the item loaded",IF(AND(AQ738=1,OR(OR(LEN(AY738)&lt;3,ISNUMBER(MATCH(AY738,L_Placeholder,0))),BJ738=1,BQ738=0)),"INVALID – batch ID missing, placeholder or not an ID (e.g. PASB-261008-BC-017)",IF(AND(AR738=1,OR(NOT(ISNUMBER(X738)),NOT(ISNUMBER(Y738)))),"INVALID – expected/actual qty missing",IF(AND(AR738=1,OR(X738&lt;=0,Y738&lt;0)),"INVALID – expected qty must be above 0 and actual not negative",IF(AH722="N/A – JUSTIFIED","INVALID – preparation row F22-T12-11 is N/A",IF(AND(AR738=1,ISNUMBER(X722),X738&lt;&gt;X722,TRIM(U738)&lt;&gt;"Pass after CA"),"INVALID – expected qty differs from preparation check F22-T12-11: record the load change as a corrective action (Pass after CA)",IF(BB738&lt;&gt;"",BB738,IF(AND(AS738=1,Documents!$J$26&lt;&gt;"ON FILE"),"INVALID – GLD not on file (Documents sheet)",IF(AND(AS738=2,Documents!$O$26&lt;&gt;"ON FILE"),"INVALID – menu checklist not on file (Documents sheet)",IF(AND(AS738=3,NOT(ISNUMBER(Flights!$AX$26))),"INVALID – enter carrying flight KUL departure (Flights AX)",IF(AND(AS738=3,OR(Flights!$AZ$26&gt;Flights!$AA$26,Flights!$AX$26&lt;Flights!$AA$26-3)),"INVALID – carrying flight (Flights AX) cannot arrive before this leg's STD, or is over 3 days early",IF(AG738&gt;AsOfUTC,"INVALID – completion time is in the future",IF(AND(ISNUMBER(BY738),AG738&lt;BY738),IF(H738="Physical uplift","INVALID – before uplift window (cannot confirm loading)","INVALID – before valid window"),IF(AG738&gt;Flights!$AA$26,"INVALID – completed after departure (cannot establish readiness)",IF(AND(H738="Preparation",AG738&gt;=IF(ISNUMBER(Flights!$BA$26),MIN(Flights!$BA$26,Flights!$AA$26),Flights!$AA$26)),"INVALID – completed after loading / departure (cannot establish readiness)",IF(AND(H738="Physical uplift",AG738&gt;Q738),"INVALID – recorded after the loading flight departed",IF(AG738&gt;Q738,"COMPLETE – LATE","COMPLETE"))))))))))))))))))))))))))),IF(TRIM(U738)="Fail","FAIL – DISCREPANCY",IF(AND(TRIM(U738)&lt;&gt;"",TRIM(U738)&lt;&gt;"Not started",TRIM(U738)&lt;&gt;"In progress"),"INVALID – unrecognised status (use the list)",IF(AsOfUTC&gt;Q738,"OVERDUE",IF(N738="Clarification required","OPEN – CLARIFICATION","OPEN"))))))),"INVALID – error value in an input cell")</f>
        <v>OPEN</v>
      </c>
      <c r="AI738" s="61" t="n">
        <f aca="false">IF(OR(AH738="N/A – RULE",AH738="N/A – JUSTIFIED"),0,1)</f>
        <v>1</v>
      </c>
      <c r="AJ738" s="61" t="n">
        <f aca="false">IF(LEFT(AH738,8)="COMPLETE",1,0)</f>
        <v>0</v>
      </c>
      <c r="AK738" s="61" t="n">
        <f aca="false">IF(AND(AI738=1,AJ738=0,AsOfUTC&gt;Q738),1,0)</f>
        <v>0</v>
      </c>
      <c r="AL738" s="61" t="n">
        <f aca="false">IFERROR(IF(AND(AI738=1,OR(TRIM(U738)="Fail",AND(TRIM(AB738)&lt;&gt;"",TRIM(AB738)&lt;&gt;"Closed"),AND(ISNUMBER(AF738),AF738&lt;&gt;0,TRIM(U738)&lt;&gt;"Pass after CA"))),1,0),1)</f>
        <v>0</v>
      </c>
      <c r="AM738" s="61" t="n">
        <f aca="false">IF(LEFT(AH738,7)="INVALID",1,0)</f>
        <v>0</v>
      </c>
      <c r="AN738" s="61" t="n">
        <f aca="false">IF(AND(N738="Clarification required",AI738=1,AJ738=0),1,0)</f>
        <v>0</v>
      </c>
      <c r="AO738" s="61" t="str">
        <f aca="false">IF(AK738=1,SUM(AK$5:AK738),"")</f>
        <v/>
      </c>
      <c r="AP738" s="61" t="str">
        <f aca="false">IF(AL738=1,SUM(AL$5:AL738),"")</f>
        <v/>
      </c>
      <c r="AQ738" s="61" t="n">
        <v>0</v>
      </c>
      <c r="AR738" s="61" t="n">
        <v>0</v>
      </c>
      <c r="AS738" s="61" t="n">
        <v>0</v>
      </c>
      <c r="AT738" s="61" t="n">
        <v>0</v>
      </c>
      <c r="AU738" s="61" t="str">
        <f aca="false">SUBSTITUTE(SUBSTITUTE(SUBSTITUTE(SUBSTITUTE(SUBSTITUTE(SUBSTITUTE(SUBSTITUTE(SUBSTITUTE(SUBSTITUTE(SUBSTITUTE(SUBSTITUTE(SUBSTITUTE(SUBSTITUTE(SUBSTITUTE(SUBSTITUTE(SUBSTITUTE(LOWER(T738&amp;""),CHAR(10),""),CHAR(13),""),CHAR(9),""),CHAR(160),"")," ",""),".",""),"-",""),"/",""),"?",""),"_",""),",",""),"[",""),"]",""),"(",""),")",""),"*","")</f>
        <v/>
      </c>
      <c r="AV738" s="61" t="str">
        <f aca="false">SUBSTITUTE(SUBSTITUTE(SUBSTITUTE(SUBSTITUTE(SUBSTITUTE(SUBSTITUTE(SUBSTITUTE(SUBSTITUTE(SUBSTITUTE(SUBSTITUTE(SUBSTITUTE(SUBSTITUTE(SUBSTITUTE(SUBSTITUTE(SUBSTITUTE(SUBSTITUTE(LOWER(V738&amp;""),CHAR(10),""),CHAR(13),""),CHAR(9),""),CHAR(160),"")," ",""),".",""),"-",""),"/",""),"?",""),"_",""),",",""),"[",""),"]",""),"(",""),")",""),"*","")</f>
        <v/>
      </c>
      <c r="AW738" s="61" t="str">
        <f aca="false">SUBSTITUTE(SUBSTITUTE(SUBSTITUTE(SUBSTITUTE(SUBSTITUTE(SUBSTITUTE(SUBSTITUTE(SUBSTITUTE(SUBSTITUTE(SUBSTITUTE(SUBSTITUTE(SUBSTITUTE(SUBSTITUTE(SUBSTITUTE(SUBSTITUTE(SUBSTITUTE(LOWER(Z738&amp;""),CHAR(10),""),CHAR(13),""),CHAR(9),""),CHAR(160),"")," ",""),".",""),"-",""),"/",""),"?",""),"_",""),",",""),"[",""),"]",""),"(",""),")",""),"*","")</f>
        <v/>
      </c>
      <c r="AX738" s="61" t="str">
        <f aca="false">SUBSTITUTE(SUBSTITUTE(SUBSTITUTE(SUBSTITUTE(SUBSTITUTE(SUBSTITUTE(SUBSTITUTE(SUBSTITUTE(SUBSTITUTE(SUBSTITUTE(SUBSTITUTE(SUBSTITUTE(SUBSTITUTE(SUBSTITUTE(SUBSTITUTE(SUBSTITUTE(LOWER(AE738&amp;""),CHAR(10),""),CHAR(13),""),CHAR(9),""),CHAR(160),"")," ",""),".",""),"-",""),"/",""),"?",""),"_",""),",",""),"[",""),"]",""),"(",""),")",""),"*","")</f>
        <v/>
      </c>
      <c r="AY738" s="61" t="str">
        <f aca="false">SUBSTITUTE(SUBSTITUTE(SUBSTITUTE(SUBSTITUTE(SUBSTITUTE(SUBSTITUTE(SUBSTITUTE(SUBSTITUTE(SUBSTITUTE(SUBSTITUTE(SUBSTITUTE(SUBSTITUTE(SUBSTITUTE(SUBSTITUTE(SUBSTITUTE(SUBSTITUTE(LOWER(W738&amp;""),CHAR(10),""),CHAR(13),""),CHAR(9),""),CHAR(160),"")," ",""),".",""),"-",""),"/",""),"?",""),"_",""),",",""),"[",""),"]",""),"(",""),")",""),"*","")</f>
        <v/>
      </c>
      <c r="AZ738" s="61" t="str">
        <f aca="false">SUBSTITUTE(SUBSTITUTE(SUBSTITUTE(SUBSTITUTE(SUBSTITUTE(SUBSTITUTE(SUBSTITUTE(SUBSTITUTE(SUBSTITUTE(SUBSTITUTE(SUBSTITUTE(SUBSTITUTE(SUBSTITUTE(SUBSTITUTE(SUBSTITUTE(SUBSTITUTE(LOWER(AC738&amp;""),CHAR(10),""),CHAR(13),""),CHAR(9),""),CHAR(160),"")," ",""),".",""),"-",""),"/",""),"?",""),"_",""),",",""),"[",""),"]",""),"(",""),")",""),"*","")</f>
        <v/>
      </c>
      <c r="BA738" s="61" t="str">
        <f aca="false">SUBSTITUTE(SUBSTITUTE(SUBSTITUTE(SUBSTITUTE(SUBSTITUTE(SUBSTITUTE(SUBSTITUTE(SUBSTITUTE(SUBSTITUTE(SUBSTITUTE(SUBSTITUTE(SUBSTITUTE(SUBSTITUTE(SUBSTITUTE(SUBSTITUTE(SUBSTITUTE(LOWER(AA738&amp;""),CHAR(10),""),CHAR(13),""),CHAR(9),""),CHAR(160),"")," ",""),".",""),"-",""),"/",""),"?",""),"_",""),",",""),"[",""),"]",""),"(",""),")",""),"*","")</f>
        <v/>
      </c>
      <c r="BB738" s="61" t="str">
        <f aca="false">IF(AND(TRIM(U738)="Pass",ISNUMBER(AF738)),IF(AF738&lt;&gt;0,"INVALID – qty variance: use Fail or Pass after CA",""),"")&amp;IF(AND(TRIM(U738)="Pass after CA",ISNUMBER(AF738)),IF(AF738&lt;&gt;0,"INVALID – after the corrective action the actual qty must equal expected (update Actual)",""),"")&amp;IF(AND(TRIM(U738)="Pass",TRIM(AB738)&lt;&gt;"",TRIM(AB738)&lt;&gt;"Closed"),"INVALID – corrective action not closed: use Fail, then Pass after CA","")&amp;IF(AND(LEN(BA738)&gt;=2,ISNA(MATCH(LEFT(BA738,255),L_Placeholder,0)),TRIM(AB738)=""),"INVALID – CA status missing for the recorded corrective action","")&amp;IF(AND(TRIM(U738)="Pass after CA",OR(OR(LEN(BA738)&lt;5,ISNUMBER(MATCH(BA738,L_Placeholder,0))),TRIM(AB738)&lt;&gt;"Closed")),"INVALID – corrective action not recorded/closed","")</f>
        <v/>
      </c>
      <c r="BC738" s="61" t="str">
        <f aca="false">" "&amp;TRIM(SUBSTITUTE(SUBSTITUTE(SUBSTITUTE(SUBSTITUTE(SUBSTITUTE(SUBSTITUTE(SUBSTITUTE(SUBSTITUTE(SUBSTITUTE(SUBSTITUTE(SUBSTITUTE(SUBSTITUTE(SUBSTITUTE(SUBSTITUTE(SUBSTITUTE(SUBSTITUTE(SUBSTITUTE(SUBSTITUTE(SUBSTITUTE(SUBSTITUTE(SUBSTITUTE(SUBSTITUTE(SUBSTITUTE(SUBSTITUTE(LOWER(V738&amp;""),CHAR(10)," "),CHAR(13)," "),CHAR(9)," "),CHAR(160)," "),"."," "),","," "),"-"," "),"/"," "),"("," "),")"," "),":"," "),";"," "),"_"," "),"–"," "),"?"," "),"!"," "),"*"," "),"["," "),"]"," "),"'"," "),"#"," "),"+"," "),"&amp;"," "),"\"," "))&amp;" "</f>
        <v>  </v>
      </c>
      <c r="BD738" s="61" t="str">
        <f aca="false">" "&amp;TRIM(SUBSTITUTE(SUBSTITUTE(SUBSTITUTE(SUBSTITUTE(SUBSTITUTE(SUBSTITUTE(SUBSTITUTE(SUBSTITUTE(SUBSTITUTE(SUBSTITUTE(SUBSTITUTE(SUBSTITUTE(SUBSTITUTE(SUBSTITUTE(SUBSTITUTE(SUBSTITUTE(SUBSTITUTE(SUBSTITUTE(SUBSTITUTE(SUBSTITUTE(SUBSTITUTE(SUBSTITUTE(SUBSTITUTE(SUBSTITUTE(LOWER(Z738&amp;""),CHAR(10)," "),CHAR(13)," "),CHAR(9)," "),CHAR(160)," "),"."," "),","," "),"-"," "),"/"," "),"("," "),")"," "),":"," "),";"," "),"_"," "),"–"," "),"?"," "),"!"," "),"*"," "),"["," "),"]"," "),"'"," "),"#"," "),"+"," "),"&amp;"," "),"\"," "))&amp;" "</f>
        <v>  </v>
      </c>
      <c r="BE738" s="61" t="str">
        <f aca="false">" "&amp;TRIM(SUBSTITUTE(SUBSTITUTE(SUBSTITUTE(SUBSTITUTE(SUBSTITUTE(SUBSTITUTE(SUBSTITUTE(SUBSTITUTE(SUBSTITUTE(SUBSTITUTE(SUBSTITUTE(SUBSTITUTE(SUBSTITUTE(SUBSTITUTE(SUBSTITUTE(SUBSTITUTE(SUBSTITUTE(SUBSTITUTE(SUBSTITUTE(SUBSTITUTE(SUBSTITUTE(SUBSTITUTE(SUBSTITUTE(SUBSTITUTE(LOWER(W738&amp;""),CHAR(10)," "),CHAR(13)," "),CHAR(9)," "),CHAR(160)," "),"."," "),","," "),"-"," "),"/"," "),"("," "),")"," "),":"," "),";"," "),"_"," "),"–"," "),"?"," "),"!"," "),"*"," "),"["," "),"]"," "),"'"," "),"#"," "),"+"," "),"&amp;"," "),"\"," "))&amp;" "</f>
        <v>  </v>
      </c>
      <c r="BF738" s="61" t="str">
        <f aca="false">" "&amp;TRIM(SUBSTITUTE(SUBSTITUTE(SUBSTITUTE(SUBSTITUTE(SUBSTITUTE(SUBSTITUTE(SUBSTITUTE(SUBSTITUTE(SUBSTITUTE(SUBSTITUTE(SUBSTITUTE(SUBSTITUTE(SUBSTITUTE(SUBSTITUTE(SUBSTITUTE(SUBSTITUTE(SUBSTITUTE(SUBSTITUTE(SUBSTITUTE(SUBSTITUTE(SUBSTITUTE(SUBSTITUTE(SUBSTITUTE(SUBSTITUTE(LOWER(AC738&amp;""),CHAR(10)," "),CHAR(13)," "),CHAR(9)," "),CHAR(160)," "),"."," "),","," "),"-"," "),"/"," "),"("," "),")"," "),":"," "),";"," "),"_"," "),"–"," "),"?"," "),"!"," "),"*"," "),"["," "),"]"," "),"'"," "),"#"," "),"+"," "),"&amp;"," "),"\"," "))&amp;" "</f>
        <v>  </v>
      </c>
      <c r="BG738" s="61" t="n">
        <f aca="false">IFERROR(IF(AND(TRIM(U738)="Pass",SUMPRODUCT((LEN(BC738)-LEN(SUBSTITUTE(BC738," "&amp;L_ResultBad&amp;" "," ")))/(LEN(L_ResultBad)+1))&gt;SUMPRODUCT((LEN(BC738)-LEN(SUBSTITUTE(BC738," "&amp;L_NegPhrase&amp;" "," ")))/(LEN(L_NegPhrase)+1))),1,0),0)</f>
        <v>0</v>
      </c>
      <c r="BH738" s="61" t="n">
        <f aca="false">IFERROR(IF(SUMPRODUCT((LEN(BC738)-LEN(SUBSTITUTE(BC738," "&amp;L_Pending&amp;" "," ")))/(LEN(L_Pending)+1))&gt;SUMPRODUCT((LEN(BC738)-LEN(SUBSTITUTE(BC738," "&amp;L_PendNeg&amp;" "," ")))/(LEN(L_PendNeg)+1)),1,0),1)</f>
        <v>0</v>
      </c>
      <c r="BI738" s="61" t="n">
        <f aca="false">IFERROR(IF(SUMPRODUCT((LEN(BD738)-LEN(SUBSTITUTE(BD738," "&amp;L_PendStrict&amp;" "," ")))/(LEN(L_PendStrict)+1))&gt;SUMPRODUCT((LEN(BD738)-LEN(SUBSTITUTE(BD738," "&amp;L_PendNeg&amp;" "," ")))/(LEN(L_PendNeg)+1)),1,0),1)</f>
        <v>0</v>
      </c>
      <c r="BJ738" s="61" t="n">
        <f aca="false">IFERROR(IF(SUMPRODUCT((LEN(BE738)-LEN(SUBSTITUTE(BE738," "&amp;L_Pending&amp;" "," ")))/(LEN(L_Pending)+1))&gt;SUMPRODUCT((LEN(BE738)-LEN(SUBSTITUTE(BE738," "&amp;L_PendNeg&amp;" "," ")))/(LEN(L_PendNeg)+1)),1,0),1)</f>
        <v>0</v>
      </c>
      <c r="BK738" s="61" t="n">
        <f aca="false">IFERROR(IF(SUMPRODUCT((LEN(BF738)-LEN(SUBSTITUTE(BF738," "&amp;L_PendStrict&amp;" "," ")))/(LEN(L_PendStrict)+1))&gt;SUMPRODUCT((LEN(BF738)-LEN(SUBSTITUTE(BF738," "&amp;L_PendNeg&amp;" "," ")))/(LEN(L_PendNeg)+1)),1,0),1)</f>
        <v>0</v>
      </c>
      <c r="BL738" s="61" t="n">
        <f aca="false">IF(ISNA(MATCH(TRIM(S738),L_EvidenceType,0)),0,BZ738)</f>
        <v>0</v>
      </c>
      <c r="BM738" s="61" t="str">
        <f aca="false">SUBSTITUTE(SUBSTITUTE(SUBSTITUTE(SUBSTITUTE(SUBSTITUTE(SUBSTITUTE(SUBSTITUTE(SUBSTITUTE(SUBSTITUTE(LOWER(Z738&amp;""),"1","0"),"2","0"),"3","0"),"4","0"),"5","0"),"6","0"),"7","0"),"8","0"),"9","0")</f>
        <v/>
      </c>
      <c r="BN738" s="61" t="str">
        <f aca="false">SUBSTITUTE(SUBSTITUTE(SUBSTITUTE(SUBSTITUTE(SUBSTITUTE(SUBSTITUTE(SUBSTITUTE(SUBSTITUTE(SUBSTITUTE(SUBSTITUTE(SUBSTITUTE(SUBSTITUTE(SUBSTITUTE(SUBSTITUTE(SUBSTITUTE(SUBSTITUTE(SUBSTITUTE(SUBSTITUTE(SUBSTITUTE(SUBSTITUTE(SUBSTITUTE(SUBSTITUTE(SUBSTITUTE(SUBSTITUTE(SUBSTITUTE(BM738,"b","a"),"c","a"),"d","a"),"e","a"),"f","a"),"g","a"),"h","a"),"i","a"),"j","a"),"k","a"),"l","a"),"m","a"),"n","a"),"o","a"),"p","a"),"q","a"),"r","a"),"s","a"),"t","a"),"u","a"),"v","a"),"w","a"),"x","a"),"y","a"),"z","a")</f>
        <v/>
      </c>
      <c r="BO738" s="61" t="str">
        <f aca="false">SUBSTITUTE(SUBSTITUTE(SUBSTITUTE(SUBSTITUTE(SUBSTITUTE(SUBSTITUTE(SUBSTITUTE(SUBSTITUTE(SUBSTITUTE(LOWER(W738&amp;""),"1","0"),"2","0"),"3","0"),"4","0"),"5","0"),"6","0"),"7","0"),"8","0"),"9","0")</f>
        <v/>
      </c>
      <c r="BP738" s="61" t="str">
        <f aca="false">SUBSTITUTE(SUBSTITUTE(SUBSTITUTE(SUBSTITUTE(SUBSTITUTE(SUBSTITUTE(SUBSTITUTE(SUBSTITUTE(SUBSTITUTE(SUBSTITUTE(SUBSTITUTE(SUBSTITUTE(SUBSTITUTE(SUBSTITUTE(SUBSTITUTE(SUBSTITUTE(SUBSTITUTE(SUBSTITUTE(SUBSTITUTE(SUBSTITUTE(SUBSTITUTE(SUBSTITUTE(SUBSTITUTE(SUBSTITUTE(SUBSTITUTE(BO738,"b","a"),"c","a"),"d","a"),"e","a"),"f","a"),"g","a"),"h","a"),"i","a"),"j","a"),"k","a"),"l","a"),"m","a"),"n","a"),"o","a"),"p","a"),"q","a"),"r","a"),"s","a"),"t","a"),"u","a"),"v","a"),"w","a"),"x","a"),"y","a"),"z","a")</f>
        <v/>
      </c>
      <c r="BQ738" s="61" t="n">
        <f aca="false">IFERROR(IF(AND(ISERROR(SEARCH(" mh"," "&amp;LOWER(W738))),ISNA(MATCH(LEFT(TRIM(BP738),255),{"0000a","000a","00a","0000aa","000aa","00aa","0aa","0000aaa","000aaa","00a00","0a00","0000-0000","00:00","a00","a0","00.00.0000","00/00/0000","00-00-0000","0000-00-00","0000/00/00","0000.00.00","00.00.00","00/00/00","00-00-00","0.00.0000","0/00/0000","0-00-0000"},0)),ISNA(MATCH(LEFT(TRIM(CA738),255),{"0000a","000a","00a","0000aa","000aa","00aa","0aa","0000aaa","000aaa","00a00","0a00","0000-0000","00:00","a00","a0","00.00.0000","00/00/0000","00-00-0000","0000-00-00","0000/00/00","0000.00.00","00.00.00","00/00/00","00-00-00","0.00.0000","0/00/0000","0-00-0000"},0)),LEN(CB738)&gt;=3,NOT(OR(SUBSTITUTE(CB738,"0","")="",AND(LEN(CB738)&gt;=4,CB738=REPT(LEFT(CB738),LEN(CB738))),ISNUMBER(MATCH(CB738,{"123","1234","12345","123456","1234567","12345678","0123","01234","012345","98765","987654","54321"},0)),AND(LEN(CB738)=8,LEFT(CB738,3)="202"))),OR(AND((LEN(CA738)-LEN(SUBSTITUTE(CA738,"a","")))&gt;=1,SUMPRODUCT(--ISNUMBER(SEARCH({"a0","a-0","a_0","a/0","a.0","a#0","0a","0-a","0_a","0/a"},BP738)))&gt;0),ISNUMBER(SEARCH("000000",BP738)))),1,0),0)</f>
        <v>0</v>
      </c>
      <c r="BR738" s="61" t="n">
        <f aca="false">IFERROR(LEN(SUBSTITUTE(CC738," ",""))-SUMPRODUCT((LEN(CC738)-LEN(SUBSTITUTE(CC738," "&amp;L_Role&amp;" "," ")))/(LEN(L_Role)+1)*LEN(L_Role)),0)</f>
        <v>0</v>
      </c>
      <c r="BS738" s="61" t="n">
        <f aca="false">IFERROR(LEN(SUBSTITUTE(CD738," ",""))-SUMPRODUCT((LEN(CD738)-LEN(SUBSTITUTE(CD738," "&amp;L_Role&amp;" "," ")))/(LEN(L_Role)+1)*LEN(L_Role)),0)</f>
        <v>0</v>
      </c>
      <c r="BT7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738,"revision",""),"version",""),"jan",""),"feb",""),"mar",""),"apr",""),"may",""),"jun",""),"jul",""),"aug",""),"sep",""),"oct",""),"nov",""),"dec",""),"utc",""),"gmt",""),"myt",""),"bst",""),"rev",""),"ver",""),"b","a"),"c","a"),"d","a"),"e","a"),"f","a"),"g","a"),"h","a"),"i","a"),"j","a"),"k","a"),"l","a"),"m","a"),"n","a"),"o","a"),"p","a"),"q","a"),"r","a"),"s","a"),"t","a"),"u","a"),"v","a"),"w","a"),"x","a"),"y","a"),"z","a")</f>
        <v/>
      </c>
      <c r="BU738" s="61" t="str">
        <f aca="false">SUBSTITUTE(SUBSTITUTE(SUBSTITUTE(SUBSTITUTE(SUBSTITUTE(SUBSTITUTE(SUBSTITUTE(SUBSTITUTE(SUBSTITUTE(SUBSTITUTE(LEFT(BM738,FIND("0",BM738&amp;"0")-1),"-",""),"_",""),"/",""),".",""),"#",""),"\\",""),":","")," ",""),"(",""),")","")</f>
        <v/>
      </c>
      <c r="BV738" s="61" t="n">
        <f aca="false">IFERROR(IF(OR(SUMPRODUCT((LEN(BC738)-LEN(SUBSTITUTE(BC738," "&amp;L_NotLoaded&amp;" "," ")))/(LEN(L_NotLoaded)+1))&gt;SUMPRODUCT((LEN(BC738)-LEN(SUBSTITUTE(BC738," "&amp;L_NotLoadedNeg&amp;" "," ")))/(LEN(L_NotLoadedNeg)+1)),SUMPRODUCT((LEN(BD738)-LEN(SUBSTITUTE(BD738," "&amp;L_NotLoaded&amp;" "," ")))/(LEN(L_NotLoaded)+1))&gt;SUMPRODUCT((LEN(BD738)-LEN(SUBSTITUTE(BD738," "&amp;L_NotLoadedNeg&amp;" "," ")))/(LEN(L_NotLoadedNeg)+1))),1,0),0)</f>
        <v>0</v>
      </c>
      <c r="BW73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738&amp;""),"a",""),"b",""),"c",""),"d",""),"e",""),"f",""),"g",""),"h",""),"i",""),"j",""),"k",""),"l",""),"m",""),"n",""),"o",""),"p",""),"q",""),"r",""),"s",""),"t",""),"u",""),"v",""),"w",""),"x",""),"y",""),"z",""),"-",""),"_",""),"/",""),".",""),"#",""),"\\",""),":","")," ",""),"(",""),")","")</f>
        <v/>
      </c>
      <c r="BX738" s="61" t="str">
        <f aca="false">SUBSTITUTE(SUBSTITUTE(SUBSTITUTE(SUBSTITUTE(SUBSTITUTE(SUBSTITUTE(SUBSTITUTE(SUBSTITUTE(SUBSTITUTE(SUBSTITUTE(SUBSTITUTE(BM738,"0",""),"-",""),"_",""),"/",""),".",""),"#",""),"\\",""),":","")," ",""),"(",""),")","")</f>
        <v/>
      </c>
      <c r="BY738" s="62" t="n">
        <f aca="false">IF(ISNUMBER(Flights!$AZ$26),MAX(Q738-UpliftWindowH/24,Flights!$AZ$26),Q738-UpliftWindowH/24)</f>
        <v>46325.3888888889</v>
      </c>
      <c r="BZ738" s="61" t="n">
        <f aca="false">IFERROR(IF(IF(TRIM(S738)="Link / file path",AND(LEN(TRIM(Z738))&gt;=5,SUMPRODUCT(--ISNUMBER(SEARCH({"http","www.","\\",":\",".pdf",".jpg",".jpeg",".png",".heic",".xls",".doc",".msg",".eml",".ppt",".txt",".zip"},Z738)))&gt;0),AND(ISERROR(FIND(" ",TRIM(Z738))),NOT(OR(SUMPRODUCT(--ISNUMBER(FIND({",",";","&amp;","+"},Z738)))&gt;0,SUMPRODUCT(--ISNUMBER(SEARCH({"0/aa","0\\aa"},BN738)))&gt;0)),NOT(SUMPRODUCT(--ISNUMBER(SEARCH({"http","www.","\\",":\",".pdf",".jpg",".jpeg",".png",".heic",".xls",".doc",".msg",".eml",".ppt",".txt",".zip"},Z738)))&gt;0),NOT(LOWER(TRIM(Z738))=LOWER(Flights!$F$26)),ISNA(MATCH(BU738,{"mh","rev","revision","ver","version","v","r","a","b","seat","tray","row","gate","bay","stand","page","pg","item","line","no","cart","galley","flight","flt","table","box","bag","oven","etd","eta","std","sta","atd","ata","qty","pax","x","time","tel","ph","mob","day","wk","week","utc","gmt","myt","lt"},0)),NOT(OR(ISNUMBER(MATCH(LEFT(BN738,255),{"0000a","000a","00a","0000aa","000aa","00aa","0aa","0000aaa","000aaa","00a00","0a00","0000-0000","00:00","a00","a0","00.00.0000","00/00/0000","00-00-0000","0000-00-00","0000/00/00","0000.00.00","00.00.00","00/00/00","00-00-00","0.00.0000","0/00/0000","0-00-0000"},0)),ISNUMBER(MATCH(LEFT(BT738,255),{"0000a","000a","00a","0000aa","000aa","00aa","0aa","0000aaa","000aaa","00a00","0a00","0000-0000","00:00","a00","a0","00.00.0000","00/00/0000","00-00-0000","0000-00-00","0000/00/00","0000.00.00","00.00.00","00/00/00","00-00-00","0.00.0000","0/00/0000","0-00-0000"},0)))),NOT(OR(AND(BW738&lt;&gt;"",SUBSTITUTE(BW738,"0","")=""),AND(LEN(BW738)&gt;=4,BW738=REPT(LEFT(BW738),LEN(BW738))),ISNUMBER(MATCH(BW738,{"123","1234","12345","123456","1234567","12345678","0123","01234","012345","98765","987654","54321"},0)),ISNUMBER(MATCH(BX738,{"x","xx","xxx","xxxx","xxxxx","abc","abcd","nil","na","nan","test","tbc","tba","tbd","dummy","sample","example","eg","zz","zzz","none","null","xyz","qwe","asd","id","ref"},0)),AND(LEN(BW738)=8,BX738="",OR(LEFT(BW738,3)="202",ISNUMBER(MATCH(RIGHT(BW738,4),{"2025","2026","2027"},0)))))),OR(AND((LEN(BT738)-LEN(SUBSTITUTE(BT738,"a","")))&gt;=1,(LEN(BN738)-LEN(SUBSTITUTE(BN738,"0","")))&gt;=2,SUMPRODUCT(--ISNUMBER(SEARCH({"a0","a-0","a_0","a/0","a.0","a#0","0a","0-a","0_a","0/a"},BN738)))&gt;0),AND((LEN(BN738)-LEN(SUBSTITUTE(BN738,"a","")))=0,(LEN(BN738)-LEN(SUBSTITUTE(BN738,"0","")))&gt;=5)))),1,0),0)</f>
        <v>0</v>
      </c>
      <c r="CA7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738,"revision",""),"version",""),"jan",""),"feb",""),"mar",""),"apr",""),"may",""),"jun",""),"jul",""),"aug",""),"sep",""),"oct",""),"nov",""),"dec",""),"utc",""),"gmt",""),"myt",""),"bst",""),"rev",""),"ver",""),"b","a"),"c","a"),"d","a"),"e","a"),"f","a"),"g","a"),"h","a"),"i","a"),"j","a"),"k","a"),"l","a"),"m","a"),"n","a"),"o","a"),"p","a"),"q","a"),"r","a"),"s","a"),"t","a"),"u","a"),"v","a"),"w","a"),"x","a"),"y","a"),"z","a")</f>
        <v/>
      </c>
      <c r="CB73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738&amp;""),"a",""),"b",""),"c",""),"d",""),"e",""),"f",""),"g",""),"h",""),"i",""),"j",""),"k",""),"l",""),"m",""),"n",""),"o",""),"p",""),"q",""),"r",""),"s",""),"t",""),"u",""),"v",""),"w",""),"x",""),"y",""),"z",""),"-",""),"_",""),"/",""),".",""),"#",""),"\\",""),":","")," ",""),"(",""),")","")</f>
        <v/>
      </c>
      <c r="CC738" s="0" t="str">
        <f aca="false">" "&amp;TRIM(SUBSTITUTE(SUBSTITUTE(SUBSTITUTE(SUBSTITUTE(SUBSTITUTE(SUBSTITUTE(SUBSTITUTE(SUBSTITUTE(SUBSTITUTE(SUBSTITUTE(SUBSTITUTE(SUBSTITUTE(SUBSTITUTE(SUBSTITUTE(SUBSTITUTE(SUBSTITUTE(SUBSTITUTE(SUBSTITUTE(SUBSTITUTE(SUBSTITUTE(SUBSTITUTE(SUBSTITUTE(SUBSTITUTE(SUBSTITUTE(LOWER(T738&amp;""),CHAR(10)," "),CHAR(13)," "),CHAR(9)," "),CHAR(160)," "),"."," "),","," "),"-"," "),"/"," "),"("," "),")"," "),":"," "),";"," "),"_"," "),"–"," "),"?"," "),"!"," "),"*"," "),"["," "),"]"," "),"'"," "),"#"," "),"+"," "),"&amp;"," "),"\"," "))&amp;" "</f>
        <v>  </v>
      </c>
      <c r="CD738" s="0" t="str">
        <f aca="false">" "&amp;TRIM(SUBSTITUTE(SUBSTITUTE(SUBSTITUTE(SUBSTITUTE(SUBSTITUTE(SUBSTITUTE(SUBSTITUTE(SUBSTITUTE(SUBSTITUTE(SUBSTITUTE(SUBSTITUTE(SUBSTITUTE(SUBSTITUTE(SUBSTITUTE(SUBSTITUTE(SUBSTITUTE(SUBSTITUTE(SUBSTITUTE(SUBSTITUTE(SUBSTITUTE(SUBSTITUTE(SUBSTITUTE(SUBSTITUTE(SUBSTITUTE(LOWER(AE738&amp;""),CHAR(10)," "),CHAR(13)," "),CHAR(9)," "),CHAR(160)," "),"."," "),","," "),"-"," "),"/"," "),"("," "),")"," "),":"," "),";"," "),"_"," "),"–"," "),"?"," "),"!"," "),"*"," "),"["," "),"]"," "),"'"," "),"#"," "),"+"," "),"&amp;"," "),"\"," "))&amp;" "</f>
        <v>  </v>
      </c>
      <c r="CE738" s="68" t="n">
        <f aca="false">IFERROR(IF(AND(LEN(AU738)&gt;0,LEN(AU738)=LEN(AX738),OR(TRIM(MID(SUBSTITUTE(TRIM(CC738)," ",REPT(" ",60)),1,60))="",ISNUMBER(SEARCH(" "&amp;TRIM(MID(SUBSTITUTE(TRIM(CC738)," ",REPT(" ",60)),1,60))&amp;" ",CD738))),OR(TRIM(MID(SUBSTITUTE(TRIM(CC738)," ",REPT(" ",60)),61,60))="",ISNUMBER(SEARCH(" "&amp;TRIM(MID(SUBSTITUTE(TRIM(CC738)," ",REPT(" ",60)),61,60))&amp;" ",CD738))),OR(TRIM(MID(SUBSTITUTE(TRIM(CC738)," ",REPT(" ",60)),121,60))="",ISNUMBER(SEARCH(" "&amp;TRIM(MID(SUBSTITUTE(TRIM(CC738)," ",REPT(" ",60)),121,60))&amp;" ",CD738)))),1,0),0)</f>
        <v>0</v>
      </c>
      <c r="CG738" s="68" t="n">
        <f aca="false">IFERROR(LEN(SUBSTITUTE(BF738," ",""))-SUMPRODUCT((LEN(BF738)-LEN(SUBSTITUTE(BF738," "&amp;L_NAFiller&amp;" "," ")))/(LEN(L_NAFiller)+1)*LEN(L_NAFiller)),0)</f>
        <v>0</v>
      </c>
    </row>
    <row r="739" customFormat="false" ht="39.75" hidden="false" customHeight="true" outlineLevel="0" collapsed="false">
      <c r="A739" s="57" t="s">
        <v>1473</v>
      </c>
      <c r="B739" s="57" t="s">
        <v>312</v>
      </c>
      <c r="C739" s="57" t="str">
        <f aca="false">Flights!$F$26</f>
        <v>MH0002</v>
      </c>
      <c r="D739" s="58" t="n">
        <f aca="false">Flights!$D$26</f>
        <v>46325</v>
      </c>
      <c r="E739" s="57" t="str">
        <f aca="false">Flights!$G$26&amp;"-"&amp;Flights!$H$26</f>
        <v>KUL-LHR</v>
      </c>
      <c r="F739" s="57" t="str">
        <f aca="false">Flights!$K$26</f>
        <v>BC</v>
      </c>
      <c r="G739" s="57" t="s">
        <v>459</v>
      </c>
      <c r="H739" s="57" t="s">
        <v>460</v>
      </c>
      <c r="I739" s="57" t="s">
        <v>499</v>
      </c>
      <c r="J739" s="57" t="s">
        <v>539</v>
      </c>
      <c r="K739" s="67" t="s">
        <v>501</v>
      </c>
      <c r="L739" s="67" t="s">
        <v>738</v>
      </c>
      <c r="M739" s="67" t="s">
        <v>451</v>
      </c>
      <c r="N739" s="67" t="s">
        <v>383</v>
      </c>
      <c r="O739" s="67"/>
      <c r="P739" s="57" t="s">
        <v>187</v>
      </c>
      <c r="Q739" s="59" t="n">
        <f aca="false">ROUND((Flights!$AF$26)*1440,0)/1440</f>
        <v>46325.6388888889</v>
      </c>
      <c r="R739" s="59" t="n">
        <f aca="false">Q739+(IF(AND(INDEX(TZ_DSTS,MATCH(P739,TZ_STN,0))&lt;&gt;"",Q739&gt;=INDEX(TZ_DSTS,MATCH(P739,TZ_STN,0)),Q739&lt;INDEX(TZ_DSTE,MATCH(P739,TZ_STN,0))),INDEX(TZ_DST,MATCH(P739,TZ_STN,0)),INDEX(TZ_STD,MATCH(P739,TZ_STN,0))))/24</f>
        <v>46325.9722222222</v>
      </c>
      <c r="S739" s="60"/>
      <c r="T739" s="60"/>
      <c r="U739" s="60"/>
      <c r="V739" s="60"/>
      <c r="W739" s="61"/>
      <c r="X739" s="60"/>
      <c r="Y739" s="60"/>
      <c r="Z739" s="60"/>
      <c r="AA739" s="60"/>
      <c r="AB739" s="60"/>
      <c r="AC739" s="60"/>
      <c r="AD739" s="66"/>
      <c r="AE739" s="60"/>
      <c r="AF739" s="61" t="str">
        <f aca="false">IF(AND(ISNUMBER(X739),ISNUMBER(Y739)),Y739-X739,"")</f>
        <v/>
      </c>
      <c r="AG739" s="62" t="str">
        <f aca="false">IF(ISNUMBER(AD739),AD739-(IF(AND(INDEX(TZ_DSTS,MATCH(P739,TZ_STN,0))&lt;&gt;"",(AD739-INDEX(TZ_STD,MATCH(P739,TZ_STN,0))/24)&gt;=INDEX(TZ_DSTS,MATCH(P739,TZ_STN,0)),(AD739-INDEX(TZ_STD,MATCH(P739,TZ_STN,0))/24)&lt;INDEX(TZ_DSTE,MATCH(P739,TZ_STN,0))),INDEX(TZ_DST,MATCH(P739,TZ_STN,0)),INDEX(TZ_STD,MATCH(P739,TZ_STN,0))))/24,"")</f>
        <v/>
      </c>
      <c r="AH739" s="65" t="str">
        <f aca="false">IFERROR(IF(N739="N/A – rule",IF(OR(TRIM(U739)="",TRIM(U739)="N/A",TRIM(U739)="Not started"),"N/A – RULE","INVALID – this check does not apply to this aircraft: clear the status (or correct the fleet on Flights)"),IF(TRIM(U739)="N/A",IF(AT739=0,"INVALID – N/A not permitted for this check",IF(AND(TRIM(AB739)&lt;&gt;"",TRIM(AB739)&lt;&gt;"Closed"),"INVALID – corrective action still open",IF(AND(NOT(OR(LEN(AZ739)&lt;15,ISNUMBER(MATCH(AZ739,L_Placeholder,0)))),BK739=0,CG739&gt;=8,NOT(OR(LEN(AU739)&lt;2,ISNUMBER(MATCH(AU739,L_Placeholder,0)))),BR739&gt;=3,NOT(OR(LEN(AX739)&lt;2,ISNUMBER(MATCH(AX739,L_Placeholder,0)))),BS739&gt;=3,TRIM(AE739)&lt;&gt;TRIM(T739),AX739&lt;&gt;AU739,CE739=0),"N/A – JUSTIFIED","INVALID – N/A needs a real, settled reason (not 'not applicable' / 'as above' / TBC), a named PIC and a different named verifier"))),IF(OR(TRIM(U739)="Pass",TRIM(U739)="Pass after CA"),IF(NOT(ISNUMBER(AD739)),"INVALID – completion time missing",IF(OR(OR(LEN(AU739)&lt;2,ISNUMBER(MATCH(AU739,L_Placeholder,0))),BR739&lt;3),"INVALID – PIC missing or not a named person (a role such as QA / CSM is not a name)",IF(OR(LEN(AV739)&lt;2,ISNUMBER(MATCH(AV739,L_Placeholder,0))),"INVALID – result / assessment missing",IF(OR(OR(LEN(AW739)&lt;3,ISNUMBER(MATCH(AW739,L_Placeholder,0))),SUMPRODUCT(--ISNUMBER(SEARCH(" "&amp;L_EvidencePhrase&amp;" ",BD739)))&gt;0,BI739=1),"INVALID – evidence missing, placeholder or not yet on file",IF(ISNA(MATCH(TRIM(S739),L_EvidenceType,0)),"INVALID – choose the evidence type from the list (column S)",IF(BL739=0,"INVALID – evidence ID must be the record's own ID only (e.g. SF-2210, IMG_2231, 1045521); a link / file name needs type 'Link / file path'",IF(OR(OR(LEN(AX739)&lt;2,ISNUMBER(MATCH(AX739,L_Placeholder,0))),BS739&lt;3),"INVALID – verifier missing or not a named person (a role such as QA / CSM is not a name)",IF(OR(AX739=AU739,CE739=1,AND(LEN(AU739)&gt;=4,ISNUMBER(SEARCH(AU739,AX739))),AND(LEN(AX739)&gt;=4,ISNUMBER(SEARCH(AX739,AU739)))),"INVALID – verifier must be a different, named person (not the PIC or a role)",IF(BH739=1,"INVALID – result not yet available (awaiting / TBC)",IF(BG739=1,"INVALID – result describes a problem: record Fail, then Pass after CA (or reword if it is not a problem)",IF(BV739=1,"INVALID – wording says not on board: an on-board confirmation needs the item loaded",IF(AND(AQ739=1,OR(OR(LEN(AY739)&lt;3,ISNUMBER(MATCH(AY739,L_Placeholder,0))),BJ739=1,BQ739=0)),"INVALID – batch ID missing, placeholder or not an ID (e.g. PASB-261008-BC-017)",IF(AND(AR739=1,OR(NOT(ISNUMBER(X739)),NOT(ISNUMBER(Y739)))),"INVALID – expected/actual qty missing",IF(AND(AR739=1,OR(X739&lt;=0,Y739&lt;0)),"INVALID – expected qty must be above 0 and actual not negative",IF(AH723="N/A – JUSTIFIED","INVALID – preparation row F22-T12-12 is N/A",IF(AND(AR739=1,ISNUMBER(X723),X739&lt;&gt;X723,TRIM(U739)&lt;&gt;"Pass after CA"),"INVALID – expected qty differs from preparation check F22-T12-12: record the load change as a corrective action (Pass after CA)",IF(BB739&lt;&gt;"",BB739,IF(AND(AS739=1,Documents!$J$26&lt;&gt;"ON FILE"),"INVALID – GLD not on file (Documents sheet)",IF(AND(AS739=2,Documents!$O$26&lt;&gt;"ON FILE"),"INVALID – menu checklist not on file (Documents sheet)",IF(AND(AS739=3,NOT(ISNUMBER(Flights!$AX$26))),"INVALID – enter carrying flight KUL departure (Flights AX)",IF(AND(AS739=3,OR(Flights!$AZ$26&gt;Flights!$AA$26,Flights!$AX$26&lt;Flights!$AA$26-3)),"INVALID – carrying flight (Flights AX) cannot arrive before this leg's STD, or is over 3 days early",IF(AG739&gt;AsOfUTC,"INVALID – completion time is in the future",IF(AND(ISNUMBER(BY739),AG739&lt;BY739),IF(H739="Physical uplift","INVALID – before uplift window (cannot confirm loading)","INVALID – before valid window"),IF(AG739&gt;Flights!$AA$26,"INVALID – completed after departure (cannot establish readiness)",IF(AND(H739="Preparation",AG739&gt;=IF(ISNUMBER(Flights!$BA$26),MIN(Flights!$BA$26,Flights!$AA$26),Flights!$AA$26)),"INVALID – completed after loading / departure (cannot establish readiness)",IF(AND(H739="Physical uplift",AG739&gt;Q739),"INVALID – recorded after the loading flight departed",IF(AG739&gt;Q739,"COMPLETE – LATE","COMPLETE"))))))))))))))))))))))))))),IF(TRIM(U739)="Fail","FAIL – DISCREPANCY",IF(AND(TRIM(U739)&lt;&gt;"",TRIM(U739)&lt;&gt;"Not started",TRIM(U739)&lt;&gt;"In progress"),"INVALID – unrecognised status (use the list)",IF(AsOfUTC&gt;Q739,"OVERDUE",IF(N739="Clarification required","OPEN – CLARIFICATION","OPEN"))))))),"INVALID – error value in an input cell")</f>
        <v>OPEN</v>
      </c>
      <c r="AI739" s="61" t="n">
        <f aca="false">IF(OR(AH739="N/A – RULE",AH739="N/A – JUSTIFIED"),0,1)</f>
        <v>1</v>
      </c>
      <c r="AJ739" s="61" t="n">
        <f aca="false">IF(LEFT(AH739,8)="COMPLETE",1,0)</f>
        <v>0</v>
      </c>
      <c r="AK739" s="61" t="n">
        <f aca="false">IF(AND(AI739=1,AJ739=0,AsOfUTC&gt;Q739),1,0)</f>
        <v>0</v>
      </c>
      <c r="AL739" s="61" t="n">
        <f aca="false">IFERROR(IF(AND(AI739=1,OR(TRIM(U739)="Fail",AND(TRIM(AB739)&lt;&gt;"",TRIM(AB739)&lt;&gt;"Closed"),AND(ISNUMBER(AF739),AF739&lt;&gt;0,TRIM(U739)&lt;&gt;"Pass after CA"))),1,0),1)</f>
        <v>0</v>
      </c>
      <c r="AM739" s="61" t="n">
        <f aca="false">IF(LEFT(AH739,7)="INVALID",1,0)</f>
        <v>0</v>
      </c>
      <c r="AN739" s="61" t="n">
        <f aca="false">IF(AND(N739="Clarification required",AI739=1,AJ739=0),1,0)</f>
        <v>0</v>
      </c>
      <c r="AO739" s="61" t="str">
        <f aca="false">IF(AK739=1,SUM(AK$5:AK739),"")</f>
        <v/>
      </c>
      <c r="AP739" s="61" t="str">
        <f aca="false">IF(AL739=1,SUM(AL$5:AL739),"")</f>
        <v/>
      </c>
      <c r="AQ739" s="61" t="n">
        <v>0</v>
      </c>
      <c r="AR739" s="61" t="n">
        <v>0</v>
      </c>
      <c r="AS739" s="61" t="n">
        <v>0</v>
      </c>
      <c r="AT739" s="61" t="n">
        <v>0</v>
      </c>
      <c r="AU739" s="61" t="str">
        <f aca="false">SUBSTITUTE(SUBSTITUTE(SUBSTITUTE(SUBSTITUTE(SUBSTITUTE(SUBSTITUTE(SUBSTITUTE(SUBSTITUTE(SUBSTITUTE(SUBSTITUTE(SUBSTITUTE(SUBSTITUTE(SUBSTITUTE(SUBSTITUTE(SUBSTITUTE(SUBSTITUTE(LOWER(T739&amp;""),CHAR(10),""),CHAR(13),""),CHAR(9),""),CHAR(160),"")," ",""),".",""),"-",""),"/",""),"?",""),"_",""),",",""),"[",""),"]",""),"(",""),")",""),"*","")</f>
        <v/>
      </c>
      <c r="AV739" s="61" t="str">
        <f aca="false">SUBSTITUTE(SUBSTITUTE(SUBSTITUTE(SUBSTITUTE(SUBSTITUTE(SUBSTITUTE(SUBSTITUTE(SUBSTITUTE(SUBSTITUTE(SUBSTITUTE(SUBSTITUTE(SUBSTITUTE(SUBSTITUTE(SUBSTITUTE(SUBSTITUTE(SUBSTITUTE(LOWER(V739&amp;""),CHAR(10),""),CHAR(13),""),CHAR(9),""),CHAR(160),"")," ",""),".",""),"-",""),"/",""),"?",""),"_",""),",",""),"[",""),"]",""),"(",""),")",""),"*","")</f>
        <v/>
      </c>
      <c r="AW739" s="61" t="str">
        <f aca="false">SUBSTITUTE(SUBSTITUTE(SUBSTITUTE(SUBSTITUTE(SUBSTITUTE(SUBSTITUTE(SUBSTITUTE(SUBSTITUTE(SUBSTITUTE(SUBSTITUTE(SUBSTITUTE(SUBSTITUTE(SUBSTITUTE(SUBSTITUTE(SUBSTITUTE(SUBSTITUTE(LOWER(Z739&amp;""),CHAR(10),""),CHAR(13),""),CHAR(9),""),CHAR(160),"")," ",""),".",""),"-",""),"/",""),"?",""),"_",""),",",""),"[",""),"]",""),"(",""),")",""),"*","")</f>
        <v/>
      </c>
      <c r="AX739" s="61" t="str">
        <f aca="false">SUBSTITUTE(SUBSTITUTE(SUBSTITUTE(SUBSTITUTE(SUBSTITUTE(SUBSTITUTE(SUBSTITUTE(SUBSTITUTE(SUBSTITUTE(SUBSTITUTE(SUBSTITUTE(SUBSTITUTE(SUBSTITUTE(SUBSTITUTE(SUBSTITUTE(SUBSTITUTE(LOWER(AE739&amp;""),CHAR(10),""),CHAR(13),""),CHAR(9),""),CHAR(160),"")," ",""),".",""),"-",""),"/",""),"?",""),"_",""),",",""),"[",""),"]",""),"(",""),")",""),"*","")</f>
        <v/>
      </c>
      <c r="AY739" s="61" t="str">
        <f aca="false">SUBSTITUTE(SUBSTITUTE(SUBSTITUTE(SUBSTITUTE(SUBSTITUTE(SUBSTITUTE(SUBSTITUTE(SUBSTITUTE(SUBSTITUTE(SUBSTITUTE(SUBSTITUTE(SUBSTITUTE(SUBSTITUTE(SUBSTITUTE(SUBSTITUTE(SUBSTITUTE(LOWER(W739&amp;""),CHAR(10),""),CHAR(13),""),CHAR(9),""),CHAR(160),"")," ",""),".",""),"-",""),"/",""),"?",""),"_",""),",",""),"[",""),"]",""),"(",""),")",""),"*","")</f>
        <v/>
      </c>
      <c r="AZ739" s="61" t="str">
        <f aca="false">SUBSTITUTE(SUBSTITUTE(SUBSTITUTE(SUBSTITUTE(SUBSTITUTE(SUBSTITUTE(SUBSTITUTE(SUBSTITUTE(SUBSTITUTE(SUBSTITUTE(SUBSTITUTE(SUBSTITUTE(SUBSTITUTE(SUBSTITUTE(SUBSTITUTE(SUBSTITUTE(LOWER(AC739&amp;""),CHAR(10),""),CHAR(13),""),CHAR(9),""),CHAR(160),"")," ",""),".",""),"-",""),"/",""),"?",""),"_",""),",",""),"[",""),"]",""),"(",""),")",""),"*","")</f>
        <v/>
      </c>
      <c r="BA739" s="61" t="str">
        <f aca="false">SUBSTITUTE(SUBSTITUTE(SUBSTITUTE(SUBSTITUTE(SUBSTITUTE(SUBSTITUTE(SUBSTITUTE(SUBSTITUTE(SUBSTITUTE(SUBSTITUTE(SUBSTITUTE(SUBSTITUTE(SUBSTITUTE(SUBSTITUTE(SUBSTITUTE(SUBSTITUTE(LOWER(AA739&amp;""),CHAR(10),""),CHAR(13),""),CHAR(9),""),CHAR(160),"")," ",""),".",""),"-",""),"/",""),"?",""),"_",""),",",""),"[",""),"]",""),"(",""),")",""),"*","")</f>
        <v/>
      </c>
      <c r="BB739" s="61" t="str">
        <f aca="false">IF(AND(TRIM(U739)="Pass",ISNUMBER(AF739)),IF(AF739&lt;&gt;0,"INVALID – qty variance: use Fail or Pass after CA",""),"")&amp;IF(AND(TRIM(U739)="Pass after CA",ISNUMBER(AF739)),IF(AF739&lt;&gt;0,"INVALID – after the corrective action the actual qty must equal expected (update Actual)",""),"")&amp;IF(AND(TRIM(U739)="Pass",TRIM(AB739)&lt;&gt;"",TRIM(AB739)&lt;&gt;"Closed"),"INVALID – corrective action not closed: use Fail, then Pass after CA","")&amp;IF(AND(LEN(BA739)&gt;=2,ISNA(MATCH(LEFT(BA739,255),L_Placeholder,0)),TRIM(AB739)=""),"INVALID – CA status missing for the recorded corrective action","")&amp;IF(AND(TRIM(U739)="Pass after CA",OR(OR(LEN(BA739)&lt;5,ISNUMBER(MATCH(BA739,L_Placeholder,0))),TRIM(AB739)&lt;&gt;"Closed")),"INVALID – corrective action not recorded/closed","")</f>
        <v/>
      </c>
      <c r="BC739" s="61" t="str">
        <f aca="false">" "&amp;TRIM(SUBSTITUTE(SUBSTITUTE(SUBSTITUTE(SUBSTITUTE(SUBSTITUTE(SUBSTITUTE(SUBSTITUTE(SUBSTITUTE(SUBSTITUTE(SUBSTITUTE(SUBSTITUTE(SUBSTITUTE(SUBSTITUTE(SUBSTITUTE(SUBSTITUTE(SUBSTITUTE(SUBSTITUTE(SUBSTITUTE(SUBSTITUTE(SUBSTITUTE(SUBSTITUTE(SUBSTITUTE(SUBSTITUTE(SUBSTITUTE(LOWER(V739&amp;""),CHAR(10)," "),CHAR(13)," "),CHAR(9)," "),CHAR(160)," "),"."," "),","," "),"-"," "),"/"," "),"("," "),")"," "),":"," "),";"," "),"_"," "),"–"," "),"?"," "),"!"," "),"*"," "),"["," "),"]"," "),"'"," "),"#"," "),"+"," "),"&amp;"," "),"\"," "))&amp;" "</f>
        <v>  </v>
      </c>
      <c r="BD739" s="61" t="str">
        <f aca="false">" "&amp;TRIM(SUBSTITUTE(SUBSTITUTE(SUBSTITUTE(SUBSTITUTE(SUBSTITUTE(SUBSTITUTE(SUBSTITUTE(SUBSTITUTE(SUBSTITUTE(SUBSTITUTE(SUBSTITUTE(SUBSTITUTE(SUBSTITUTE(SUBSTITUTE(SUBSTITUTE(SUBSTITUTE(SUBSTITUTE(SUBSTITUTE(SUBSTITUTE(SUBSTITUTE(SUBSTITUTE(SUBSTITUTE(SUBSTITUTE(SUBSTITUTE(LOWER(Z739&amp;""),CHAR(10)," "),CHAR(13)," "),CHAR(9)," "),CHAR(160)," "),"."," "),","," "),"-"," "),"/"," "),"("," "),")"," "),":"," "),";"," "),"_"," "),"–"," "),"?"," "),"!"," "),"*"," "),"["," "),"]"," "),"'"," "),"#"," "),"+"," "),"&amp;"," "),"\"," "))&amp;" "</f>
        <v>  </v>
      </c>
      <c r="BE739" s="61" t="str">
        <f aca="false">" "&amp;TRIM(SUBSTITUTE(SUBSTITUTE(SUBSTITUTE(SUBSTITUTE(SUBSTITUTE(SUBSTITUTE(SUBSTITUTE(SUBSTITUTE(SUBSTITUTE(SUBSTITUTE(SUBSTITUTE(SUBSTITUTE(SUBSTITUTE(SUBSTITUTE(SUBSTITUTE(SUBSTITUTE(SUBSTITUTE(SUBSTITUTE(SUBSTITUTE(SUBSTITUTE(SUBSTITUTE(SUBSTITUTE(SUBSTITUTE(SUBSTITUTE(LOWER(W739&amp;""),CHAR(10)," "),CHAR(13)," "),CHAR(9)," "),CHAR(160)," "),"."," "),","," "),"-"," "),"/"," "),"("," "),")"," "),":"," "),";"," "),"_"," "),"–"," "),"?"," "),"!"," "),"*"," "),"["," "),"]"," "),"'"," "),"#"," "),"+"," "),"&amp;"," "),"\"," "))&amp;" "</f>
        <v>  </v>
      </c>
      <c r="BF739" s="61" t="str">
        <f aca="false">" "&amp;TRIM(SUBSTITUTE(SUBSTITUTE(SUBSTITUTE(SUBSTITUTE(SUBSTITUTE(SUBSTITUTE(SUBSTITUTE(SUBSTITUTE(SUBSTITUTE(SUBSTITUTE(SUBSTITUTE(SUBSTITUTE(SUBSTITUTE(SUBSTITUTE(SUBSTITUTE(SUBSTITUTE(SUBSTITUTE(SUBSTITUTE(SUBSTITUTE(SUBSTITUTE(SUBSTITUTE(SUBSTITUTE(SUBSTITUTE(SUBSTITUTE(LOWER(AC739&amp;""),CHAR(10)," "),CHAR(13)," "),CHAR(9)," "),CHAR(160)," "),"."," "),","," "),"-"," "),"/"," "),"("," "),")"," "),":"," "),";"," "),"_"," "),"–"," "),"?"," "),"!"," "),"*"," "),"["," "),"]"," "),"'"," "),"#"," "),"+"," "),"&amp;"," "),"\"," "))&amp;" "</f>
        <v>  </v>
      </c>
      <c r="BG739" s="61" t="n">
        <f aca="false">IFERROR(IF(AND(TRIM(U739)="Pass",SUMPRODUCT((LEN(BC739)-LEN(SUBSTITUTE(BC739," "&amp;L_ResultBad&amp;" "," ")))/(LEN(L_ResultBad)+1))&gt;SUMPRODUCT((LEN(BC739)-LEN(SUBSTITUTE(BC739," "&amp;L_NegPhrase&amp;" "," ")))/(LEN(L_NegPhrase)+1))),1,0),0)</f>
        <v>0</v>
      </c>
      <c r="BH739" s="61" t="n">
        <f aca="false">IFERROR(IF(SUMPRODUCT((LEN(BC739)-LEN(SUBSTITUTE(BC739," "&amp;L_Pending&amp;" "," ")))/(LEN(L_Pending)+1))&gt;SUMPRODUCT((LEN(BC739)-LEN(SUBSTITUTE(BC739," "&amp;L_PendNeg&amp;" "," ")))/(LEN(L_PendNeg)+1)),1,0),1)</f>
        <v>0</v>
      </c>
      <c r="BI739" s="61" t="n">
        <f aca="false">IFERROR(IF(SUMPRODUCT((LEN(BD739)-LEN(SUBSTITUTE(BD739," "&amp;L_PendStrict&amp;" "," ")))/(LEN(L_PendStrict)+1))&gt;SUMPRODUCT((LEN(BD739)-LEN(SUBSTITUTE(BD739," "&amp;L_PendNeg&amp;" "," ")))/(LEN(L_PendNeg)+1)),1,0),1)</f>
        <v>0</v>
      </c>
      <c r="BJ739" s="61" t="n">
        <f aca="false">IFERROR(IF(SUMPRODUCT((LEN(BE739)-LEN(SUBSTITUTE(BE739," "&amp;L_Pending&amp;" "," ")))/(LEN(L_Pending)+1))&gt;SUMPRODUCT((LEN(BE739)-LEN(SUBSTITUTE(BE739," "&amp;L_PendNeg&amp;" "," ")))/(LEN(L_PendNeg)+1)),1,0),1)</f>
        <v>0</v>
      </c>
      <c r="BK739" s="61" t="n">
        <f aca="false">IFERROR(IF(SUMPRODUCT((LEN(BF739)-LEN(SUBSTITUTE(BF739," "&amp;L_PendStrict&amp;" "," ")))/(LEN(L_PendStrict)+1))&gt;SUMPRODUCT((LEN(BF739)-LEN(SUBSTITUTE(BF739," "&amp;L_PendNeg&amp;" "," ")))/(LEN(L_PendNeg)+1)),1,0),1)</f>
        <v>0</v>
      </c>
      <c r="BL739" s="61" t="n">
        <f aca="false">IF(ISNA(MATCH(TRIM(S739),L_EvidenceType,0)),0,BZ739)</f>
        <v>0</v>
      </c>
      <c r="BM739" s="61" t="str">
        <f aca="false">SUBSTITUTE(SUBSTITUTE(SUBSTITUTE(SUBSTITUTE(SUBSTITUTE(SUBSTITUTE(SUBSTITUTE(SUBSTITUTE(SUBSTITUTE(LOWER(Z739&amp;""),"1","0"),"2","0"),"3","0"),"4","0"),"5","0"),"6","0"),"7","0"),"8","0"),"9","0")</f>
        <v/>
      </c>
      <c r="BN739" s="61" t="str">
        <f aca="false">SUBSTITUTE(SUBSTITUTE(SUBSTITUTE(SUBSTITUTE(SUBSTITUTE(SUBSTITUTE(SUBSTITUTE(SUBSTITUTE(SUBSTITUTE(SUBSTITUTE(SUBSTITUTE(SUBSTITUTE(SUBSTITUTE(SUBSTITUTE(SUBSTITUTE(SUBSTITUTE(SUBSTITUTE(SUBSTITUTE(SUBSTITUTE(SUBSTITUTE(SUBSTITUTE(SUBSTITUTE(SUBSTITUTE(SUBSTITUTE(SUBSTITUTE(BM739,"b","a"),"c","a"),"d","a"),"e","a"),"f","a"),"g","a"),"h","a"),"i","a"),"j","a"),"k","a"),"l","a"),"m","a"),"n","a"),"o","a"),"p","a"),"q","a"),"r","a"),"s","a"),"t","a"),"u","a"),"v","a"),"w","a"),"x","a"),"y","a"),"z","a")</f>
        <v/>
      </c>
      <c r="BO739" s="61" t="str">
        <f aca="false">SUBSTITUTE(SUBSTITUTE(SUBSTITUTE(SUBSTITUTE(SUBSTITUTE(SUBSTITUTE(SUBSTITUTE(SUBSTITUTE(SUBSTITUTE(LOWER(W739&amp;""),"1","0"),"2","0"),"3","0"),"4","0"),"5","0"),"6","0"),"7","0"),"8","0"),"9","0")</f>
        <v/>
      </c>
      <c r="BP739" s="61" t="str">
        <f aca="false">SUBSTITUTE(SUBSTITUTE(SUBSTITUTE(SUBSTITUTE(SUBSTITUTE(SUBSTITUTE(SUBSTITUTE(SUBSTITUTE(SUBSTITUTE(SUBSTITUTE(SUBSTITUTE(SUBSTITUTE(SUBSTITUTE(SUBSTITUTE(SUBSTITUTE(SUBSTITUTE(SUBSTITUTE(SUBSTITUTE(SUBSTITUTE(SUBSTITUTE(SUBSTITUTE(SUBSTITUTE(SUBSTITUTE(SUBSTITUTE(SUBSTITUTE(BO739,"b","a"),"c","a"),"d","a"),"e","a"),"f","a"),"g","a"),"h","a"),"i","a"),"j","a"),"k","a"),"l","a"),"m","a"),"n","a"),"o","a"),"p","a"),"q","a"),"r","a"),"s","a"),"t","a"),"u","a"),"v","a"),"w","a"),"x","a"),"y","a"),"z","a")</f>
        <v/>
      </c>
      <c r="BQ739" s="61" t="n">
        <f aca="false">IFERROR(IF(AND(ISERROR(SEARCH(" mh"," "&amp;LOWER(W739))),ISNA(MATCH(LEFT(TRIM(BP739),255),{"0000a","000a","00a","0000aa","000aa","00aa","0aa","0000aaa","000aaa","00a00","0a00","0000-0000","00:00","a00","a0","00.00.0000","00/00/0000","00-00-0000","0000-00-00","0000/00/00","0000.00.00","00.00.00","00/00/00","00-00-00","0.00.0000","0/00/0000","0-00-0000"},0)),ISNA(MATCH(LEFT(TRIM(CA739),255),{"0000a","000a","00a","0000aa","000aa","00aa","0aa","0000aaa","000aaa","00a00","0a00","0000-0000","00:00","a00","a0","00.00.0000","00/00/0000","00-00-0000","0000-00-00","0000/00/00","0000.00.00","00.00.00","00/00/00","00-00-00","0.00.0000","0/00/0000","0-00-0000"},0)),LEN(CB739)&gt;=3,NOT(OR(SUBSTITUTE(CB739,"0","")="",AND(LEN(CB739)&gt;=4,CB739=REPT(LEFT(CB739),LEN(CB739))),ISNUMBER(MATCH(CB739,{"123","1234","12345","123456","1234567","12345678","0123","01234","012345","98765","987654","54321"},0)),AND(LEN(CB739)=8,LEFT(CB739,3)="202"))),OR(AND((LEN(CA739)-LEN(SUBSTITUTE(CA739,"a","")))&gt;=1,SUMPRODUCT(--ISNUMBER(SEARCH({"a0","a-0","a_0","a/0","a.0","a#0","0a","0-a","0_a","0/a"},BP739)))&gt;0),ISNUMBER(SEARCH("000000",BP739)))),1,0),0)</f>
        <v>0</v>
      </c>
      <c r="BR739" s="61" t="n">
        <f aca="false">IFERROR(LEN(SUBSTITUTE(CC739," ",""))-SUMPRODUCT((LEN(CC739)-LEN(SUBSTITUTE(CC739," "&amp;L_Role&amp;" "," ")))/(LEN(L_Role)+1)*LEN(L_Role)),0)</f>
        <v>0</v>
      </c>
      <c r="BS739" s="61" t="n">
        <f aca="false">IFERROR(LEN(SUBSTITUTE(CD739," ",""))-SUMPRODUCT((LEN(CD739)-LEN(SUBSTITUTE(CD739," "&amp;L_Role&amp;" "," ")))/(LEN(L_Role)+1)*LEN(L_Role)),0)</f>
        <v>0</v>
      </c>
      <c r="BT7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739,"revision",""),"version",""),"jan",""),"feb",""),"mar",""),"apr",""),"may",""),"jun",""),"jul",""),"aug",""),"sep",""),"oct",""),"nov",""),"dec",""),"utc",""),"gmt",""),"myt",""),"bst",""),"rev",""),"ver",""),"b","a"),"c","a"),"d","a"),"e","a"),"f","a"),"g","a"),"h","a"),"i","a"),"j","a"),"k","a"),"l","a"),"m","a"),"n","a"),"o","a"),"p","a"),"q","a"),"r","a"),"s","a"),"t","a"),"u","a"),"v","a"),"w","a"),"x","a"),"y","a"),"z","a")</f>
        <v/>
      </c>
      <c r="BU739" s="61" t="str">
        <f aca="false">SUBSTITUTE(SUBSTITUTE(SUBSTITUTE(SUBSTITUTE(SUBSTITUTE(SUBSTITUTE(SUBSTITUTE(SUBSTITUTE(SUBSTITUTE(SUBSTITUTE(LEFT(BM739,FIND("0",BM739&amp;"0")-1),"-",""),"_",""),"/",""),".",""),"#",""),"\\",""),":","")," ",""),"(",""),")","")</f>
        <v/>
      </c>
      <c r="BV739" s="61" t="n">
        <f aca="false">IFERROR(IF(OR(SUMPRODUCT((LEN(BC739)-LEN(SUBSTITUTE(BC739," "&amp;L_NotLoaded&amp;" "," ")))/(LEN(L_NotLoaded)+1))&gt;SUMPRODUCT((LEN(BC739)-LEN(SUBSTITUTE(BC739," "&amp;L_NotLoadedNeg&amp;" "," ")))/(LEN(L_NotLoadedNeg)+1)),SUMPRODUCT((LEN(BD739)-LEN(SUBSTITUTE(BD739," "&amp;L_NotLoaded&amp;" "," ")))/(LEN(L_NotLoaded)+1))&gt;SUMPRODUCT((LEN(BD739)-LEN(SUBSTITUTE(BD739," "&amp;L_NotLoadedNeg&amp;" "," ")))/(LEN(L_NotLoadedNeg)+1))),1,0),0)</f>
        <v>0</v>
      </c>
      <c r="BW739"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739&amp;""),"a",""),"b",""),"c",""),"d",""),"e",""),"f",""),"g",""),"h",""),"i",""),"j",""),"k",""),"l",""),"m",""),"n",""),"o",""),"p",""),"q",""),"r",""),"s",""),"t",""),"u",""),"v",""),"w",""),"x",""),"y",""),"z",""),"-",""),"_",""),"/",""),".",""),"#",""),"\\",""),":","")," ",""),"(",""),")","")</f>
        <v/>
      </c>
      <c r="BX739" s="61" t="str">
        <f aca="false">SUBSTITUTE(SUBSTITUTE(SUBSTITUTE(SUBSTITUTE(SUBSTITUTE(SUBSTITUTE(SUBSTITUTE(SUBSTITUTE(SUBSTITUTE(SUBSTITUTE(SUBSTITUTE(BM739,"0",""),"-",""),"_",""),"/",""),".",""),"#",""),"\\",""),":","")," ",""),"(",""),")","")</f>
        <v/>
      </c>
      <c r="BY739" s="62" t="n">
        <f aca="false">IF(ISNUMBER(Flights!$AZ$26),MAX(Q739-UpliftWindowH/24,Flights!$AZ$26),Q739-UpliftWindowH/24)</f>
        <v>46325.3888888889</v>
      </c>
      <c r="BZ739" s="61" t="n">
        <f aca="false">IFERROR(IF(IF(TRIM(S739)="Link / file path",AND(LEN(TRIM(Z739))&gt;=5,SUMPRODUCT(--ISNUMBER(SEARCH({"http","www.","\\",":\",".pdf",".jpg",".jpeg",".png",".heic",".xls",".doc",".msg",".eml",".ppt",".txt",".zip"},Z739)))&gt;0),AND(ISERROR(FIND(" ",TRIM(Z739))),NOT(OR(SUMPRODUCT(--ISNUMBER(FIND({",",";","&amp;","+"},Z739)))&gt;0,SUMPRODUCT(--ISNUMBER(SEARCH({"0/aa","0\\aa"},BN739)))&gt;0)),NOT(SUMPRODUCT(--ISNUMBER(SEARCH({"http","www.","\\",":\",".pdf",".jpg",".jpeg",".png",".heic",".xls",".doc",".msg",".eml",".ppt",".txt",".zip"},Z739)))&gt;0),NOT(LOWER(TRIM(Z739))=LOWER(Flights!$F$26)),ISNA(MATCH(BU739,{"mh","rev","revision","ver","version","v","r","a","b","seat","tray","row","gate","bay","stand","page","pg","item","line","no","cart","galley","flight","flt","table","box","bag","oven","etd","eta","std","sta","atd","ata","qty","pax","x","time","tel","ph","mob","day","wk","week","utc","gmt","myt","lt"},0)),NOT(OR(ISNUMBER(MATCH(LEFT(BN739,255),{"0000a","000a","00a","0000aa","000aa","00aa","0aa","0000aaa","000aaa","00a00","0a00","0000-0000","00:00","a00","a0","00.00.0000","00/00/0000","00-00-0000","0000-00-00","0000/00/00","0000.00.00","00.00.00","00/00/00","00-00-00","0.00.0000","0/00/0000","0-00-0000"},0)),ISNUMBER(MATCH(LEFT(BT739,255),{"0000a","000a","00a","0000aa","000aa","00aa","0aa","0000aaa","000aaa","00a00","0a00","0000-0000","00:00","a00","a0","00.00.0000","00/00/0000","00-00-0000","0000-00-00","0000/00/00","0000.00.00","00.00.00","00/00/00","00-00-00","0.00.0000","0/00/0000","0-00-0000"},0)))),NOT(OR(AND(BW739&lt;&gt;"",SUBSTITUTE(BW739,"0","")=""),AND(LEN(BW739)&gt;=4,BW739=REPT(LEFT(BW739),LEN(BW739))),ISNUMBER(MATCH(BW739,{"123","1234","12345","123456","1234567","12345678","0123","01234","012345","98765","987654","54321"},0)),ISNUMBER(MATCH(BX739,{"x","xx","xxx","xxxx","xxxxx","abc","abcd","nil","na","nan","test","tbc","tba","tbd","dummy","sample","example","eg","zz","zzz","none","null","xyz","qwe","asd","id","ref"},0)),AND(LEN(BW739)=8,BX739="",OR(LEFT(BW739,3)="202",ISNUMBER(MATCH(RIGHT(BW739,4),{"2025","2026","2027"},0)))))),OR(AND((LEN(BT739)-LEN(SUBSTITUTE(BT739,"a","")))&gt;=1,(LEN(BN739)-LEN(SUBSTITUTE(BN739,"0","")))&gt;=2,SUMPRODUCT(--ISNUMBER(SEARCH({"a0","a-0","a_0","a/0","a.0","a#0","0a","0-a","0_a","0/a"},BN739)))&gt;0),AND((LEN(BN739)-LEN(SUBSTITUTE(BN739,"a","")))=0,(LEN(BN739)-LEN(SUBSTITUTE(BN739,"0","")))&gt;=5)))),1,0),0)</f>
        <v>0</v>
      </c>
      <c r="CA7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739,"revision",""),"version",""),"jan",""),"feb",""),"mar",""),"apr",""),"may",""),"jun",""),"jul",""),"aug",""),"sep",""),"oct",""),"nov",""),"dec",""),"utc",""),"gmt",""),"myt",""),"bst",""),"rev",""),"ver",""),"b","a"),"c","a"),"d","a"),"e","a"),"f","a"),"g","a"),"h","a"),"i","a"),"j","a"),"k","a"),"l","a"),"m","a"),"n","a"),"o","a"),"p","a"),"q","a"),"r","a"),"s","a"),"t","a"),"u","a"),"v","a"),"w","a"),"x","a"),"y","a"),"z","a")</f>
        <v/>
      </c>
      <c r="CB73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739&amp;""),"a",""),"b",""),"c",""),"d",""),"e",""),"f",""),"g",""),"h",""),"i",""),"j",""),"k",""),"l",""),"m",""),"n",""),"o",""),"p",""),"q",""),"r",""),"s",""),"t",""),"u",""),"v",""),"w",""),"x",""),"y",""),"z",""),"-",""),"_",""),"/",""),".",""),"#",""),"\\",""),":","")," ",""),"(",""),")","")</f>
        <v/>
      </c>
      <c r="CC739" s="0" t="str">
        <f aca="false">" "&amp;TRIM(SUBSTITUTE(SUBSTITUTE(SUBSTITUTE(SUBSTITUTE(SUBSTITUTE(SUBSTITUTE(SUBSTITUTE(SUBSTITUTE(SUBSTITUTE(SUBSTITUTE(SUBSTITUTE(SUBSTITUTE(SUBSTITUTE(SUBSTITUTE(SUBSTITUTE(SUBSTITUTE(SUBSTITUTE(SUBSTITUTE(SUBSTITUTE(SUBSTITUTE(SUBSTITUTE(SUBSTITUTE(SUBSTITUTE(SUBSTITUTE(LOWER(T739&amp;""),CHAR(10)," "),CHAR(13)," "),CHAR(9)," "),CHAR(160)," "),"."," "),","," "),"-"," "),"/"," "),"("," "),")"," "),":"," "),";"," "),"_"," "),"–"," "),"?"," "),"!"," "),"*"," "),"["," "),"]"," "),"'"," "),"#"," "),"+"," "),"&amp;"," "),"\"," "))&amp;" "</f>
        <v>  </v>
      </c>
      <c r="CD739" s="0" t="str">
        <f aca="false">" "&amp;TRIM(SUBSTITUTE(SUBSTITUTE(SUBSTITUTE(SUBSTITUTE(SUBSTITUTE(SUBSTITUTE(SUBSTITUTE(SUBSTITUTE(SUBSTITUTE(SUBSTITUTE(SUBSTITUTE(SUBSTITUTE(SUBSTITUTE(SUBSTITUTE(SUBSTITUTE(SUBSTITUTE(SUBSTITUTE(SUBSTITUTE(SUBSTITUTE(SUBSTITUTE(SUBSTITUTE(SUBSTITUTE(SUBSTITUTE(SUBSTITUTE(LOWER(AE739&amp;""),CHAR(10)," "),CHAR(13)," "),CHAR(9)," "),CHAR(160)," "),"."," "),","," "),"-"," "),"/"," "),"("," "),")"," "),":"," "),";"," "),"_"," "),"–"," "),"?"," "),"!"," "),"*"," "),"["," "),"]"," "),"'"," "),"#"," "),"+"," "),"&amp;"," "),"\"," "))&amp;" "</f>
        <v>  </v>
      </c>
      <c r="CE739" s="68" t="n">
        <f aca="false">IFERROR(IF(AND(LEN(AU739)&gt;0,LEN(AU739)=LEN(AX739),OR(TRIM(MID(SUBSTITUTE(TRIM(CC739)," ",REPT(" ",60)),1,60))="",ISNUMBER(SEARCH(" "&amp;TRIM(MID(SUBSTITUTE(TRIM(CC739)," ",REPT(" ",60)),1,60))&amp;" ",CD739))),OR(TRIM(MID(SUBSTITUTE(TRIM(CC739)," ",REPT(" ",60)),61,60))="",ISNUMBER(SEARCH(" "&amp;TRIM(MID(SUBSTITUTE(TRIM(CC739)," ",REPT(" ",60)),61,60))&amp;" ",CD739))),OR(TRIM(MID(SUBSTITUTE(TRIM(CC739)," ",REPT(" ",60)),121,60))="",ISNUMBER(SEARCH(" "&amp;TRIM(MID(SUBSTITUTE(TRIM(CC739)," ",REPT(" ",60)),121,60))&amp;" ",CD739)))),1,0),0)</f>
        <v>0</v>
      </c>
      <c r="CG739" s="68" t="n">
        <f aca="false">IFERROR(LEN(SUBSTITUTE(BF739," ",""))-SUMPRODUCT((LEN(BF739)-LEN(SUBSTITUTE(BF739," "&amp;L_NAFiller&amp;" "," ")))/(LEN(L_NAFiller)+1)*LEN(L_NAFiller)),0)</f>
        <v>0</v>
      </c>
    </row>
    <row r="740" customFormat="false" ht="39.75" hidden="false" customHeight="true" outlineLevel="0" collapsed="false">
      <c r="A740" s="57" t="s">
        <v>1474</v>
      </c>
      <c r="B740" s="57" t="s">
        <v>312</v>
      </c>
      <c r="C740" s="57" t="str">
        <f aca="false">Flights!$F$26</f>
        <v>MH0002</v>
      </c>
      <c r="D740" s="58" t="n">
        <f aca="false">Flights!$D$26</f>
        <v>46325</v>
      </c>
      <c r="E740" s="57" t="str">
        <f aca="false">Flights!$G$26&amp;"-"&amp;Flights!$H$26</f>
        <v>KUL-LHR</v>
      </c>
      <c r="F740" s="57" t="str">
        <f aca="false">Flights!$K$26</f>
        <v>BC</v>
      </c>
      <c r="G740" s="57" t="s">
        <v>459</v>
      </c>
      <c r="H740" s="57" t="s">
        <v>460</v>
      </c>
      <c r="I740" s="57" t="s">
        <v>499</v>
      </c>
      <c r="J740" s="57" t="s">
        <v>541</v>
      </c>
      <c r="K740" s="67" t="s">
        <v>501</v>
      </c>
      <c r="L740" s="67" t="s">
        <v>740</v>
      </c>
      <c r="M740" s="67" t="s">
        <v>451</v>
      </c>
      <c r="N740" s="67" t="s">
        <v>383</v>
      </c>
      <c r="O740" s="67"/>
      <c r="P740" s="57" t="s">
        <v>187</v>
      </c>
      <c r="Q740" s="59" t="n">
        <f aca="false">ROUND((Flights!$AF$26)*1440,0)/1440</f>
        <v>46325.6388888889</v>
      </c>
      <c r="R740" s="59" t="n">
        <f aca="false">Q740+(IF(AND(INDEX(TZ_DSTS,MATCH(P740,TZ_STN,0))&lt;&gt;"",Q740&gt;=INDEX(TZ_DSTS,MATCH(P740,TZ_STN,0)),Q740&lt;INDEX(TZ_DSTE,MATCH(P740,TZ_STN,0))),INDEX(TZ_DST,MATCH(P740,TZ_STN,0)),INDEX(TZ_STD,MATCH(P740,TZ_STN,0))))/24</f>
        <v>46325.9722222222</v>
      </c>
      <c r="S740" s="60"/>
      <c r="T740" s="60"/>
      <c r="U740" s="60"/>
      <c r="V740" s="60"/>
      <c r="W740" s="61"/>
      <c r="X740" s="60"/>
      <c r="Y740" s="60"/>
      <c r="Z740" s="60"/>
      <c r="AA740" s="60"/>
      <c r="AB740" s="60"/>
      <c r="AC740" s="60"/>
      <c r="AD740" s="66"/>
      <c r="AE740" s="60"/>
      <c r="AF740" s="61" t="str">
        <f aca="false">IF(AND(ISNUMBER(X740),ISNUMBER(Y740)),Y740-X740,"")</f>
        <v/>
      </c>
      <c r="AG740" s="62" t="str">
        <f aca="false">IF(ISNUMBER(AD740),AD740-(IF(AND(INDEX(TZ_DSTS,MATCH(P740,TZ_STN,0))&lt;&gt;"",(AD740-INDEX(TZ_STD,MATCH(P740,TZ_STN,0))/24)&gt;=INDEX(TZ_DSTS,MATCH(P740,TZ_STN,0)),(AD740-INDEX(TZ_STD,MATCH(P740,TZ_STN,0))/24)&lt;INDEX(TZ_DSTE,MATCH(P740,TZ_STN,0))),INDEX(TZ_DST,MATCH(P740,TZ_STN,0)),INDEX(TZ_STD,MATCH(P740,TZ_STN,0))))/24,"")</f>
        <v/>
      </c>
      <c r="AH740" s="65" t="str">
        <f aca="false">IFERROR(IF(N740="N/A – rule",IF(OR(TRIM(U740)="",TRIM(U740)="N/A",TRIM(U740)="Not started"),"N/A – RULE","INVALID – this check does not apply to this aircraft: clear the status (or correct the fleet on Flights)"),IF(TRIM(U740)="N/A",IF(AT740=0,"INVALID – N/A not permitted for this check",IF(AND(TRIM(AB740)&lt;&gt;"",TRIM(AB740)&lt;&gt;"Closed"),"INVALID – corrective action still open",IF(AND(NOT(OR(LEN(AZ740)&lt;15,ISNUMBER(MATCH(AZ740,L_Placeholder,0)))),BK740=0,CG740&gt;=8,NOT(OR(LEN(AU740)&lt;2,ISNUMBER(MATCH(AU740,L_Placeholder,0)))),BR740&gt;=3,NOT(OR(LEN(AX740)&lt;2,ISNUMBER(MATCH(AX740,L_Placeholder,0)))),BS740&gt;=3,TRIM(AE740)&lt;&gt;TRIM(T740),AX740&lt;&gt;AU740,CE740=0),"N/A – JUSTIFIED","INVALID – N/A needs a real, settled reason (not 'not applicable' / 'as above' / TBC), a named PIC and a different named verifier"))),IF(OR(TRIM(U740)="Pass",TRIM(U740)="Pass after CA"),IF(NOT(ISNUMBER(AD740)),"INVALID – completion time missing",IF(OR(OR(LEN(AU740)&lt;2,ISNUMBER(MATCH(AU740,L_Placeholder,0))),BR740&lt;3),"INVALID – PIC missing or not a named person (a role such as QA / CSM is not a name)",IF(OR(LEN(AV740)&lt;2,ISNUMBER(MATCH(AV740,L_Placeholder,0))),"INVALID – result / assessment missing",IF(OR(OR(LEN(AW740)&lt;3,ISNUMBER(MATCH(AW740,L_Placeholder,0))),SUMPRODUCT(--ISNUMBER(SEARCH(" "&amp;L_EvidencePhrase&amp;" ",BD740)))&gt;0,BI740=1),"INVALID – evidence missing, placeholder or not yet on file",IF(ISNA(MATCH(TRIM(S740),L_EvidenceType,0)),"INVALID – choose the evidence type from the list (column S)",IF(BL740=0,"INVALID – evidence ID must be the record's own ID only (e.g. SF-2210, IMG_2231, 1045521); a link / file name needs type 'Link / file path'",IF(OR(OR(LEN(AX740)&lt;2,ISNUMBER(MATCH(AX740,L_Placeholder,0))),BS740&lt;3),"INVALID – verifier missing or not a named person (a role such as QA / CSM is not a name)",IF(OR(AX740=AU740,CE740=1,AND(LEN(AU740)&gt;=4,ISNUMBER(SEARCH(AU740,AX740))),AND(LEN(AX740)&gt;=4,ISNUMBER(SEARCH(AX740,AU740)))),"INVALID – verifier must be a different, named person (not the PIC or a role)",IF(BH740=1,"INVALID – result not yet available (awaiting / TBC)",IF(BG740=1,"INVALID – result describes a problem: record Fail, then Pass after CA (or reword if it is not a problem)",IF(BV740=1,"INVALID – wording says not on board: an on-board confirmation needs the item loaded",IF(AND(AQ740=1,OR(OR(LEN(AY740)&lt;3,ISNUMBER(MATCH(AY740,L_Placeholder,0))),BJ740=1,BQ740=0)),"INVALID – batch ID missing, placeholder or not an ID (e.g. PASB-261008-BC-017)",IF(AND(AR740=1,OR(NOT(ISNUMBER(X740)),NOT(ISNUMBER(Y740)))),"INVALID – expected/actual qty missing",IF(AND(AR740=1,OR(X740&lt;=0,Y740&lt;0)),"INVALID – expected qty must be above 0 and actual not negative",IF(AH724="N/A – JUSTIFIED","INVALID – preparation row F22-T12-13 is N/A",IF(AND(AR740=1,ISNUMBER(X724),X740&lt;&gt;X724,TRIM(U740)&lt;&gt;"Pass after CA"),"INVALID – expected qty differs from preparation check F22-T12-13: record the load change as a corrective action (Pass after CA)",IF(BB740&lt;&gt;"",BB740,IF(AND(AS740=1,Documents!$J$26&lt;&gt;"ON FILE"),"INVALID – GLD not on file (Documents sheet)",IF(AND(AS740=2,Documents!$O$26&lt;&gt;"ON FILE"),"INVALID – menu checklist not on file (Documents sheet)",IF(AND(AS740=3,NOT(ISNUMBER(Flights!$AX$26))),"INVALID – enter carrying flight KUL departure (Flights AX)",IF(AND(AS740=3,OR(Flights!$AZ$26&gt;Flights!$AA$26,Flights!$AX$26&lt;Flights!$AA$26-3)),"INVALID – carrying flight (Flights AX) cannot arrive before this leg's STD, or is over 3 days early",IF(AG740&gt;AsOfUTC,"INVALID – completion time is in the future",IF(AND(ISNUMBER(BY740),AG740&lt;BY740),IF(H740="Physical uplift","INVALID – before uplift window (cannot confirm loading)","INVALID – before valid window"),IF(AG740&gt;Flights!$AA$26,"INVALID – completed after departure (cannot establish readiness)",IF(AND(H740="Preparation",AG740&gt;=IF(ISNUMBER(Flights!$BA$26),MIN(Flights!$BA$26,Flights!$AA$26),Flights!$AA$26)),"INVALID – completed after loading / departure (cannot establish readiness)",IF(AND(H740="Physical uplift",AG740&gt;Q740),"INVALID – recorded after the loading flight departed",IF(AG740&gt;Q740,"COMPLETE – LATE","COMPLETE"))))))))))))))))))))))))))),IF(TRIM(U740)="Fail","FAIL – DISCREPANCY",IF(AND(TRIM(U740)&lt;&gt;"",TRIM(U740)&lt;&gt;"Not started",TRIM(U740)&lt;&gt;"In progress"),"INVALID – unrecognised status (use the list)",IF(AsOfUTC&gt;Q740,"OVERDUE",IF(N740="Clarification required","OPEN – CLARIFICATION","OPEN"))))))),"INVALID – error value in an input cell")</f>
        <v>OPEN</v>
      </c>
      <c r="AI740" s="61" t="n">
        <f aca="false">IF(OR(AH740="N/A – RULE",AH740="N/A – JUSTIFIED"),0,1)</f>
        <v>1</v>
      </c>
      <c r="AJ740" s="61" t="n">
        <f aca="false">IF(LEFT(AH740,8)="COMPLETE",1,0)</f>
        <v>0</v>
      </c>
      <c r="AK740" s="61" t="n">
        <f aca="false">IF(AND(AI740=1,AJ740=0,AsOfUTC&gt;Q740),1,0)</f>
        <v>0</v>
      </c>
      <c r="AL740" s="61" t="n">
        <f aca="false">IFERROR(IF(AND(AI740=1,OR(TRIM(U740)="Fail",AND(TRIM(AB740)&lt;&gt;"",TRIM(AB740)&lt;&gt;"Closed"),AND(ISNUMBER(AF740),AF740&lt;&gt;0,TRIM(U740)&lt;&gt;"Pass after CA"))),1,0),1)</f>
        <v>0</v>
      </c>
      <c r="AM740" s="61" t="n">
        <f aca="false">IF(LEFT(AH740,7)="INVALID",1,0)</f>
        <v>0</v>
      </c>
      <c r="AN740" s="61" t="n">
        <f aca="false">IF(AND(N740="Clarification required",AI740=1,AJ740=0),1,0)</f>
        <v>0</v>
      </c>
      <c r="AO740" s="61" t="str">
        <f aca="false">IF(AK740=1,SUM(AK$5:AK740),"")</f>
        <v/>
      </c>
      <c r="AP740" s="61" t="str">
        <f aca="false">IF(AL740=1,SUM(AL$5:AL740),"")</f>
        <v/>
      </c>
      <c r="AQ740" s="61" t="n">
        <v>0</v>
      </c>
      <c r="AR740" s="61" t="n">
        <v>0</v>
      </c>
      <c r="AS740" s="61" t="n">
        <v>0</v>
      </c>
      <c r="AT740" s="61" t="n">
        <v>0</v>
      </c>
      <c r="AU740" s="61" t="str">
        <f aca="false">SUBSTITUTE(SUBSTITUTE(SUBSTITUTE(SUBSTITUTE(SUBSTITUTE(SUBSTITUTE(SUBSTITUTE(SUBSTITUTE(SUBSTITUTE(SUBSTITUTE(SUBSTITUTE(SUBSTITUTE(SUBSTITUTE(SUBSTITUTE(SUBSTITUTE(SUBSTITUTE(LOWER(T740&amp;""),CHAR(10),""),CHAR(13),""),CHAR(9),""),CHAR(160),"")," ",""),".",""),"-",""),"/",""),"?",""),"_",""),",",""),"[",""),"]",""),"(",""),")",""),"*","")</f>
        <v/>
      </c>
      <c r="AV740" s="61" t="str">
        <f aca="false">SUBSTITUTE(SUBSTITUTE(SUBSTITUTE(SUBSTITUTE(SUBSTITUTE(SUBSTITUTE(SUBSTITUTE(SUBSTITUTE(SUBSTITUTE(SUBSTITUTE(SUBSTITUTE(SUBSTITUTE(SUBSTITUTE(SUBSTITUTE(SUBSTITUTE(SUBSTITUTE(LOWER(V740&amp;""),CHAR(10),""),CHAR(13),""),CHAR(9),""),CHAR(160),"")," ",""),".",""),"-",""),"/",""),"?",""),"_",""),",",""),"[",""),"]",""),"(",""),")",""),"*","")</f>
        <v/>
      </c>
      <c r="AW740" s="61" t="str">
        <f aca="false">SUBSTITUTE(SUBSTITUTE(SUBSTITUTE(SUBSTITUTE(SUBSTITUTE(SUBSTITUTE(SUBSTITUTE(SUBSTITUTE(SUBSTITUTE(SUBSTITUTE(SUBSTITUTE(SUBSTITUTE(SUBSTITUTE(SUBSTITUTE(SUBSTITUTE(SUBSTITUTE(LOWER(Z740&amp;""),CHAR(10),""),CHAR(13),""),CHAR(9),""),CHAR(160),"")," ",""),".",""),"-",""),"/",""),"?",""),"_",""),",",""),"[",""),"]",""),"(",""),")",""),"*","")</f>
        <v/>
      </c>
      <c r="AX740" s="61" t="str">
        <f aca="false">SUBSTITUTE(SUBSTITUTE(SUBSTITUTE(SUBSTITUTE(SUBSTITUTE(SUBSTITUTE(SUBSTITUTE(SUBSTITUTE(SUBSTITUTE(SUBSTITUTE(SUBSTITUTE(SUBSTITUTE(SUBSTITUTE(SUBSTITUTE(SUBSTITUTE(SUBSTITUTE(LOWER(AE740&amp;""),CHAR(10),""),CHAR(13),""),CHAR(9),""),CHAR(160),"")," ",""),".",""),"-",""),"/",""),"?",""),"_",""),",",""),"[",""),"]",""),"(",""),")",""),"*","")</f>
        <v/>
      </c>
      <c r="AY740" s="61" t="str">
        <f aca="false">SUBSTITUTE(SUBSTITUTE(SUBSTITUTE(SUBSTITUTE(SUBSTITUTE(SUBSTITUTE(SUBSTITUTE(SUBSTITUTE(SUBSTITUTE(SUBSTITUTE(SUBSTITUTE(SUBSTITUTE(SUBSTITUTE(SUBSTITUTE(SUBSTITUTE(SUBSTITUTE(LOWER(W740&amp;""),CHAR(10),""),CHAR(13),""),CHAR(9),""),CHAR(160),"")," ",""),".",""),"-",""),"/",""),"?",""),"_",""),",",""),"[",""),"]",""),"(",""),")",""),"*","")</f>
        <v/>
      </c>
      <c r="AZ740" s="61" t="str">
        <f aca="false">SUBSTITUTE(SUBSTITUTE(SUBSTITUTE(SUBSTITUTE(SUBSTITUTE(SUBSTITUTE(SUBSTITUTE(SUBSTITUTE(SUBSTITUTE(SUBSTITUTE(SUBSTITUTE(SUBSTITUTE(SUBSTITUTE(SUBSTITUTE(SUBSTITUTE(SUBSTITUTE(LOWER(AC740&amp;""),CHAR(10),""),CHAR(13),""),CHAR(9),""),CHAR(160),"")," ",""),".",""),"-",""),"/",""),"?",""),"_",""),",",""),"[",""),"]",""),"(",""),")",""),"*","")</f>
        <v/>
      </c>
      <c r="BA740" s="61" t="str">
        <f aca="false">SUBSTITUTE(SUBSTITUTE(SUBSTITUTE(SUBSTITUTE(SUBSTITUTE(SUBSTITUTE(SUBSTITUTE(SUBSTITUTE(SUBSTITUTE(SUBSTITUTE(SUBSTITUTE(SUBSTITUTE(SUBSTITUTE(SUBSTITUTE(SUBSTITUTE(SUBSTITUTE(LOWER(AA740&amp;""),CHAR(10),""),CHAR(13),""),CHAR(9),""),CHAR(160),"")," ",""),".",""),"-",""),"/",""),"?",""),"_",""),",",""),"[",""),"]",""),"(",""),")",""),"*","")</f>
        <v/>
      </c>
      <c r="BB740" s="61" t="str">
        <f aca="false">IF(AND(TRIM(U740)="Pass",ISNUMBER(AF740)),IF(AF740&lt;&gt;0,"INVALID – qty variance: use Fail or Pass after CA",""),"")&amp;IF(AND(TRIM(U740)="Pass after CA",ISNUMBER(AF740)),IF(AF740&lt;&gt;0,"INVALID – after the corrective action the actual qty must equal expected (update Actual)",""),"")&amp;IF(AND(TRIM(U740)="Pass",TRIM(AB740)&lt;&gt;"",TRIM(AB740)&lt;&gt;"Closed"),"INVALID – corrective action not closed: use Fail, then Pass after CA","")&amp;IF(AND(LEN(BA740)&gt;=2,ISNA(MATCH(LEFT(BA740,255),L_Placeholder,0)),TRIM(AB740)=""),"INVALID – CA status missing for the recorded corrective action","")&amp;IF(AND(TRIM(U740)="Pass after CA",OR(OR(LEN(BA740)&lt;5,ISNUMBER(MATCH(BA740,L_Placeholder,0))),TRIM(AB740)&lt;&gt;"Closed")),"INVALID – corrective action not recorded/closed","")</f>
        <v/>
      </c>
      <c r="BC740" s="61" t="str">
        <f aca="false">" "&amp;TRIM(SUBSTITUTE(SUBSTITUTE(SUBSTITUTE(SUBSTITUTE(SUBSTITUTE(SUBSTITUTE(SUBSTITUTE(SUBSTITUTE(SUBSTITUTE(SUBSTITUTE(SUBSTITUTE(SUBSTITUTE(SUBSTITUTE(SUBSTITUTE(SUBSTITUTE(SUBSTITUTE(SUBSTITUTE(SUBSTITUTE(SUBSTITUTE(SUBSTITUTE(SUBSTITUTE(SUBSTITUTE(SUBSTITUTE(SUBSTITUTE(LOWER(V740&amp;""),CHAR(10)," "),CHAR(13)," "),CHAR(9)," "),CHAR(160)," "),"."," "),","," "),"-"," "),"/"," "),"("," "),")"," "),":"," "),";"," "),"_"," "),"–"," "),"?"," "),"!"," "),"*"," "),"["," "),"]"," "),"'"," "),"#"," "),"+"," "),"&amp;"," "),"\"," "))&amp;" "</f>
        <v>  </v>
      </c>
      <c r="BD740" s="61" t="str">
        <f aca="false">" "&amp;TRIM(SUBSTITUTE(SUBSTITUTE(SUBSTITUTE(SUBSTITUTE(SUBSTITUTE(SUBSTITUTE(SUBSTITUTE(SUBSTITUTE(SUBSTITUTE(SUBSTITUTE(SUBSTITUTE(SUBSTITUTE(SUBSTITUTE(SUBSTITUTE(SUBSTITUTE(SUBSTITUTE(SUBSTITUTE(SUBSTITUTE(SUBSTITUTE(SUBSTITUTE(SUBSTITUTE(SUBSTITUTE(SUBSTITUTE(SUBSTITUTE(LOWER(Z740&amp;""),CHAR(10)," "),CHAR(13)," "),CHAR(9)," "),CHAR(160)," "),"."," "),","," "),"-"," "),"/"," "),"("," "),")"," "),":"," "),";"," "),"_"," "),"–"," "),"?"," "),"!"," "),"*"," "),"["," "),"]"," "),"'"," "),"#"," "),"+"," "),"&amp;"," "),"\"," "))&amp;" "</f>
        <v>  </v>
      </c>
      <c r="BE740" s="61" t="str">
        <f aca="false">" "&amp;TRIM(SUBSTITUTE(SUBSTITUTE(SUBSTITUTE(SUBSTITUTE(SUBSTITUTE(SUBSTITUTE(SUBSTITUTE(SUBSTITUTE(SUBSTITUTE(SUBSTITUTE(SUBSTITUTE(SUBSTITUTE(SUBSTITUTE(SUBSTITUTE(SUBSTITUTE(SUBSTITUTE(SUBSTITUTE(SUBSTITUTE(SUBSTITUTE(SUBSTITUTE(SUBSTITUTE(SUBSTITUTE(SUBSTITUTE(SUBSTITUTE(LOWER(W740&amp;""),CHAR(10)," "),CHAR(13)," "),CHAR(9)," "),CHAR(160)," "),"."," "),","," "),"-"," "),"/"," "),"("," "),")"," "),":"," "),";"," "),"_"," "),"–"," "),"?"," "),"!"," "),"*"," "),"["," "),"]"," "),"'"," "),"#"," "),"+"," "),"&amp;"," "),"\"," "))&amp;" "</f>
        <v>  </v>
      </c>
      <c r="BF740" s="61" t="str">
        <f aca="false">" "&amp;TRIM(SUBSTITUTE(SUBSTITUTE(SUBSTITUTE(SUBSTITUTE(SUBSTITUTE(SUBSTITUTE(SUBSTITUTE(SUBSTITUTE(SUBSTITUTE(SUBSTITUTE(SUBSTITUTE(SUBSTITUTE(SUBSTITUTE(SUBSTITUTE(SUBSTITUTE(SUBSTITUTE(SUBSTITUTE(SUBSTITUTE(SUBSTITUTE(SUBSTITUTE(SUBSTITUTE(SUBSTITUTE(SUBSTITUTE(SUBSTITUTE(LOWER(AC740&amp;""),CHAR(10)," "),CHAR(13)," "),CHAR(9)," "),CHAR(160)," "),"."," "),","," "),"-"," "),"/"," "),"("," "),")"," "),":"," "),";"," "),"_"," "),"–"," "),"?"," "),"!"," "),"*"," "),"["," "),"]"," "),"'"," "),"#"," "),"+"," "),"&amp;"," "),"\"," "))&amp;" "</f>
        <v>  </v>
      </c>
      <c r="BG740" s="61" t="n">
        <f aca="false">IFERROR(IF(AND(TRIM(U740)="Pass",SUMPRODUCT((LEN(BC740)-LEN(SUBSTITUTE(BC740," "&amp;L_ResultBad&amp;" "," ")))/(LEN(L_ResultBad)+1))&gt;SUMPRODUCT((LEN(BC740)-LEN(SUBSTITUTE(BC740," "&amp;L_NegPhrase&amp;" "," ")))/(LEN(L_NegPhrase)+1))),1,0),0)</f>
        <v>0</v>
      </c>
      <c r="BH740" s="61" t="n">
        <f aca="false">IFERROR(IF(SUMPRODUCT((LEN(BC740)-LEN(SUBSTITUTE(BC740," "&amp;L_Pending&amp;" "," ")))/(LEN(L_Pending)+1))&gt;SUMPRODUCT((LEN(BC740)-LEN(SUBSTITUTE(BC740," "&amp;L_PendNeg&amp;" "," ")))/(LEN(L_PendNeg)+1)),1,0),1)</f>
        <v>0</v>
      </c>
      <c r="BI740" s="61" t="n">
        <f aca="false">IFERROR(IF(SUMPRODUCT((LEN(BD740)-LEN(SUBSTITUTE(BD740," "&amp;L_PendStrict&amp;" "," ")))/(LEN(L_PendStrict)+1))&gt;SUMPRODUCT((LEN(BD740)-LEN(SUBSTITUTE(BD740," "&amp;L_PendNeg&amp;" "," ")))/(LEN(L_PendNeg)+1)),1,0),1)</f>
        <v>0</v>
      </c>
      <c r="BJ740" s="61" t="n">
        <f aca="false">IFERROR(IF(SUMPRODUCT((LEN(BE740)-LEN(SUBSTITUTE(BE740," "&amp;L_Pending&amp;" "," ")))/(LEN(L_Pending)+1))&gt;SUMPRODUCT((LEN(BE740)-LEN(SUBSTITUTE(BE740," "&amp;L_PendNeg&amp;" "," ")))/(LEN(L_PendNeg)+1)),1,0),1)</f>
        <v>0</v>
      </c>
      <c r="BK740" s="61" t="n">
        <f aca="false">IFERROR(IF(SUMPRODUCT((LEN(BF740)-LEN(SUBSTITUTE(BF740," "&amp;L_PendStrict&amp;" "," ")))/(LEN(L_PendStrict)+1))&gt;SUMPRODUCT((LEN(BF740)-LEN(SUBSTITUTE(BF740," "&amp;L_PendNeg&amp;" "," ")))/(LEN(L_PendNeg)+1)),1,0),1)</f>
        <v>0</v>
      </c>
      <c r="BL740" s="61" t="n">
        <f aca="false">IF(ISNA(MATCH(TRIM(S740),L_EvidenceType,0)),0,BZ740)</f>
        <v>0</v>
      </c>
      <c r="BM740" s="61" t="str">
        <f aca="false">SUBSTITUTE(SUBSTITUTE(SUBSTITUTE(SUBSTITUTE(SUBSTITUTE(SUBSTITUTE(SUBSTITUTE(SUBSTITUTE(SUBSTITUTE(LOWER(Z740&amp;""),"1","0"),"2","0"),"3","0"),"4","0"),"5","0"),"6","0"),"7","0"),"8","0"),"9","0")</f>
        <v/>
      </c>
      <c r="BN740" s="61" t="str">
        <f aca="false">SUBSTITUTE(SUBSTITUTE(SUBSTITUTE(SUBSTITUTE(SUBSTITUTE(SUBSTITUTE(SUBSTITUTE(SUBSTITUTE(SUBSTITUTE(SUBSTITUTE(SUBSTITUTE(SUBSTITUTE(SUBSTITUTE(SUBSTITUTE(SUBSTITUTE(SUBSTITUTE(SUBSTITUTE(SUBSTITUTE(SUBSTITUTE(SUBSTITUTE(SUBSTITUTE(SUBSTITUTE(SUBSTITUTE(SUBSTITUTE(SUBSTITUTE(BM740,"b","a"),"c","a"),"d","a"),"e","a"),"f","a"),"g","a"),"h","a"),"i","a"),"j","a"),"k","a"),"l","a"),"m","a"),"n","a"),"o","a"),"p","a"),"q","a"),"r","a"),"s","a"),"t","a"),"u","a"),"v","a"),"w","a"),"x","a"),"y","a"),"z","a")</f>
        <v/>
      </c>
      <c r="BO740" s="61" t="str">
        <f aca="false">SUBSTITUTE(SUBSTITUTE(SUBSTITUTE(SUBSTITUTE(SUBSTITUTE(SUBSTITUTE(SUBSTITUTE(SUBSTITUTE(SUBSTITUTE(LOWER(W740&amp;""),"1","0"),"2","0"),"3","0"),"4","0"),"5","0"),"6","0"),"7","0"),"8","0"),"9","0")</f>
        <v/>
      </c>
      <c r="BP740" s="61" t="str">
        <f aca="false">SUBSTITUTE(SUBSTITUTE(SUBSTITUTE(SUBSTITUTE(SUBSTITUTE(SUBSTITUTE(SUBSTITUTE(SUBSTITUTE(SUBSTITUTE(SUBSTITUTE(SUBSTITUTE(SUBSTITUTE(SUBSTITUTE(SUBSTITUTE(SUBSTITUTE(SUBSTITUTE(SUBSTITUTE(SUBSTITUTE(SUBSTITUTE(SUBSTITUTE(SUBSTITUTE(SUBSTITUTE(SUBSTITUTE(SUBSTITUTE(SUBSTITUTE(BO740,"b","a"),"c","a"),"d","a"),"e","a"),"f","a"),"g","a"),"h","a"),"i","a"),"j","a"),"k","a"),"l","a"),"m","a"),"n","a"),"o","a"),"p","a"),"q","a"),"r","a"),"s","a"),"t","a"),"u","a"),"v","a"),"w","a"),"x","a"),"y","a"),"z","a")</f>
        <v/>
      </c>
      <c r="BQ740" s="61" t="n">
        <f aca="false">IFERROR(IF(AND(ISERROR(SEARCH(" mh"," "&amp;LOWER(W740))),ISNA(MATCH(LEFT(TRIM(BP740),255),{"0000a","000a","00a","0000aa","000aa","00aa","0aa","0000aaa","000aaa","00a00","0a00","0000-0000","00:00","a00","a0","00.00.0000","00/00/0000","00-00-0000","0000-00-00","0000/00/00","0000.00.00","00.00.00","00/00/00","00-00-00","0.00.0000","0/00/0000","0-00-0000"},0)),ISNA(MATCH(LEFT(TRIM(CA740),255),{"0000a","000a","00a","0000aa","000aa","00aa","0aa","0000aaa","000aaa","00a00","0a00","0000-0000","00:00","a00","a0","00.00.0000","00/00/0000","00-00-0000","0000-00-00","0000/00/00","0000.00.00","00.00.00","00/00/00","00-00-00","0.00.0000","0/00/0000","0-00-0000"},0)),LEN(CB740)&gt;=3,NOT(OR(SUBSTITUTE(CB740,"0","")="",AND(LEN(CB740)&gt;=4,CB740=REPT(LEFT(CB740),LEN(CB740))),ISNUMBER(MATCH(CB740,{"123","1234","12345","123456","1234567","12345678","0123","01234","012345","98765","987654","54321"},0)),AND(LEN(CB740)=8,LEFT(CB740,3)="202"))),OR(AND((LEN(CA740)-LEN(SUBSTITUTE(CA740,"a","")))&gt;=1,SUMPRODUCT(--ISNUMBER(SEARCH({"a0","a-0","a_0","a/0","a.0","a#0","0a","0-a","0_a","0/a"},BP740)))&gt;0),ISNUMBER(SEARCH("000000",BP740)))),1,0),0)</f>
        <v>0</v>
      </c>
      <c r="BR740" s="61" t="n">
        <f aca="false">IFERROR(LEN(SUBSTITUTE(CC740," ",""))-SUMPRODUCT((LEN(CC740)-LEN(SUBSTITUTE(CC740," "&amp;L_Role&amp;" "," ")))/(LEN(L_Role)+1)*LEN(L_Role)),0)</f>
        <v>0</v>
      </c>
      <c r="BS740" s="61" t="n">
        <f aca="false">IFERROR(LEN(SUBSTITUTE(CD740," ",""))-SUMPRODUCT((LEN(CD740)-LEN(SUBSTITUTE(CD740," "&amp;L_Role&amp;" "," ")))/(LEN(L_Role)+1)*LEN(L_Role)),0)</f>
        <v>0</v>
      </c>
      <c r="BT7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740,"revision",""),"version",""),"jan",""),"feb",""),"mar",""),"apr",""),"may",""),"jun",""),"jul",""),"aug",""),"sep",""),"oct",""),"nov",""),"dec",""),"utc",""),"gmt",""),"myt",""),"bst",""),"rev",""),"ver",""),"b","a"),"c","a"),"d","a"),"e","a"),"f","a"),"g","a"),"h","a"),"i","a"),"j","a"),"k","a"),"l","a"),"m","a"),"n","a"),"o","a"),"p","a"),"q","a"),"r","a"),"s","a"),"t","a"),"u","a"),"v","a"),"w","a"),"x","a"),"y","a"),"z","a")</f>
        <v/>
      </c>
      <c r="BU740" s="61" t="str">
        <f aca="false">SUBSTITUTE(SUBSTITUTE(SUBSTITUTE(SUBSTITUTE(SUBSTITUTE(SUBSTITUTE(SUBSTITUTE(SUBSTITUTE(SUBSTITUTE(SUBSTITUTE(LEFT(BM740,FIND("0",BM740&amp;"0")-1),"-",""),"_",""),"/",""),".",""),"#",""),"\\",""),":","")," ",""),"(",""),")","")</f>
        <v/>
      </c>
      <c r="BV740" s="61" t="n">
        <f aca="false">IFERROR(IF(OR(SUMPRODUCT((LEN(BC740)-LEN(SUBSTITUTE(BC740," "&amp;L_NotLoaded&amp;" "," ")))/(LEN(L_NotLoaded)+1))&gt;SUMPRODUCT((LEN(BC740)-LEN(SUBSTITUTE(BC740," "&amp;L_NotLoadedNeg&amp;" "," ")))/(LEN(L_NotLoadedNeg)+1)),SUMPRODUCT((LEN(BD740)-LEN(SUBSTITUTE(BD740," "&amp;L_NotLoaded&amp;" "," ")))/(LEN(L_NotLoaded)+1))&gt;SUMPRODUCT((LEN(BD740)-LEN(SUBSTITUTE(BD740," "&amp;L_NotLoadedNeg&amp;" "," ")))/(LEN(L_NotLoadedNeg)+1))),1,0),0)</f>
        <v>0</v>
      </c>
      <c r="BW740"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740&amp;""),"a",""),"b",""),"c",""),"d",""),"e",""),"f",""),"g",""),"h",""),"i",""),"j",""),"k",""),"l",""),"m",""),"n",""),"o",""),"p",""),"q",""),"r",""),"s",""),"t",""),"u",""),"v",""),"w",""),"x",""),"y",""),"z",""),"-",""),"_",""),"/",""),".",""),"#",""),"\\",""),":","")," ",""),"(",""),")","")</f>
        <v/>
      </c>
      <c r="BX740" s="61" t="str">
        <f aca="false">SUBSTITUTE(SUBSTITUTE(SUBSTITUTE(SUBSTITUTE(SUBSTITUTE(SUBSTITUTE(SUBSTITUTE(SUBSTITUTE(SUBSTITUTE(SUBSTITUTE(SUBSTITUTE(BM740,"0",""),"-",""),"_",""),"/",""),".",""),"#",""),"\\",""),":","")," ",""),"(",""),")","")</f>
        <v/>
      </c>
      <c r="BY740" s="62" t="n">
        <f aca="false">IF(ISNUMBER(Flights!$AZ$26),MAX(Q740-UpliftWindowH/24,Flights!$AZ$26),Q740-UpliftWindowH/24)</f>
        <v>46325.3888888889</v>
      </c>
      <c r="BZ740" s="61" t="n">
        <f aca="false">IFERROR(IF(IF(TRIM(S740)="Link / file path",AND(LEN(TRIM(Z740))&gt;=5,SUMPRODUCT(--ISNUMBER(SEARCH({"http","www.","\\",":\",".pdf",".jpg",".jpeg",".png",".heic",".xls",".doc",".msg",".eml",".ppt",".txt",".zip"},Z740)))&gt;0),AND(ISERROR(FIND(" ",TRIM(Z740))),NOT(OR(SUMPRODUCT(--ISNUMBER(FIND({",",";","&amp;","+"},Z740)))&gt;0,SUMPRODUCT(--ISNUMBER(SEARCH({"0/aa","0\\aa"},BN740)))&gt;0)),NOT(SUMPRODUCT(--ISNUMBER(SEARCH({"http","www.","\\",":\",".pdf",".jpg",".jpeg",".png",".heic",".xls",".doc",".msg",".eml",".ppt",".txt",".zip"},Z740)))&gt;0),NOT(LOWER(TRIM(Z740))=LOWER(Flights!$F$26)),ISNA(MATCH(BU740,{"mh","rev","revision","ver","version","v","r","a","b","seat","tray","row","gate","bay","stand","page","pg","item","line","no","cart","galley","flight","flt","table","box","bag","oven","etd","eta","std","sta","atd","ata","qty","pax","x","time","tel","ph","mob","day","wk","week","utc","gmt","myt","lt"},0)),NOT(OR(ISNUMBER(MATCH(LEFT(BN740,255),{"0000a","000a","00a","0000aa","000aa","00aa","0aa","0000aaa","000aaa","00a00","0a00","0000-0000","00:00","a00","a0","00.00.0000","00/00/0000","00-00-0000","0000-00-00","0000/00/00","0000.00.00","00.00.00","00/00/00","00-00-00","0.00.0000","0/00/0000","0-00-0000"},0)),ISNUMBER(MATCH(LEFT(BT740,255),{"0000a","000a","00a","0000aa","000aa","00aa","0aa","0000aaa","000aaa","00a00","0a00","0000-0000","00:00","a00","a0","00.00.0000","00/00/0000","00-00-0000","0000-00-00","0000/00/00","0000.00.00","00.00.00","00/00/00","00-00-00","0.00.0000","0/00/0000","0-00-0000"},0)))),NOT(OR(AND(BW740&lt;&gt;"",SUBSTITUTE(BW740,"0","")=""),AND(LEN(BW740)&gt;=4,BW740=REPT(LEFT(BW740),LEN(BW740))),ISNUMBER(MATCH(BW740,{"123","1234","12345","123456","1234567","12345678","0123","01234","012345","98765","987654","54321"},0)),ISNUMBER(MATCH(BX740,{"x","xx","xxx","xxxx","xxxxx","abc","abcd","nil","na","nan","test","tbc","tba","tbd","dummy","sample","example","eg","zz","zzz","none","null","xyz","qwe","asd","id","ref"},0)),AND(LEN(BW740)=8,BX740="",OR(LEFT(BW740,3)="202",ISNUMBER(MATCH(RIGHT(BW740,4),{"2025","2026","2027"},0)))))),OR(AND((LEN(BT740)-LEN(SUBSTITUTE(BT740,"a","")))&gt;=1,(LEN(BN740)-LEN(SUBSTITUTE(BN740,"0","")))&gt;=2,SUMPRODUCT(--ISNUMBER(SEARCH({"a0","a-0","a_0","a/0","a.0","a#0","0a","0-a","0_a","0/a"},BN740)))&gt;0),AND((LEN(BN740)-LEN(SUBSTITUTE(BN740,"a","")))=0,(LEN(BN740)-LEN(SUBSTITUTE(BN740,"0","")))&gt;=5)))),1,0),0)</f>
        <v>0</v>
      </c>
      <c r="CA7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740,"revision",""),"version",""),"jan",""),"feb",""),"mar",""),"apr",""),"may",""),"jun",""),"jul",""),"aug",""),"sep",""),"oct",""),"nov",""),"dec",""),"utc",""),"gmt",""),"myt",""),"bst",""),"rev",""),"ver",""),"b","a"),"c","a"),"d","a"),"e","a"),"f","a"),"g","a"),"h","a"),"i","a"),"j","a"),"k","a"),"l","a"),"m","a"),"n","a"),"o","a"),"p","a"),"q","a"),"r","a"),"s","a"),"t","a"),"u","a"),"v","a"),"w","a"),"x","a"),"y","a"),"z","a")</f>
        <v/>
      </c>
      <c r="CB74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740&amp;""),"a",""),"b",""),"c",""),"d",""),"e",""),"f",""),"g",""),"h",""),"i",""),"j",""),"k",""),"l",""),"m",""),"n",""),"o",""),"p",""),"q",""),"r",""),"s",""),"t",""),"u",""),"v",""),"w",""),"x",""),"y",""),"z",""),"-",""),"_",""),"/",""),".",""),"#",""),"\\",""),":","")," ",""),"(",""),")","")</f>
        <v/>
      </c>
      <c r="CC740" s="0" t="str">
        <f aca="false">" "&amp;TRIM(SUBSTITUTE(SUBSTITUTE(SUBSTITUTE(SUBSTITUTE(SUBSTITUTE(SUBSTITUTE(SUBSTITUTE(SUBSTITUTE(SUBSTITUTE(SUBSTITUTE(SUBSTITUTE(SUBSTITUTE(SUBSTITUTE(SUBSTITUTE(SUBSTITUTE(SUBSTITUTE(SUBSTITUTE(SUBSTITUTE(SUBSTITUTE(SUBSTITUTE(SUBSTITUTE(SUBSTITUTE(SUBSTITUTE(SUBSTITUTE(LOWER(T740&amp;""),CHAR(10)," "),CHAR(13)," "),CHAR(9)," "),CHAR(160)," "),"."," "),","," "),"-"," "),"/"," "),"("," "),")"," "),":"," "),";"," "),"_"," "),"–"," "),"?"," "),"!"," "),"*"," "),"["," "),"]"," "),"'"," "),"#"," "),"+"," "),"&amp;"," "),"\"," "))&amp;" "</f>
        <v>  </v>
      </c>
      <c r="CD740" s="0" t="str">
        <f aca="false">" "&amp;TRIM(SUBSTITUTE(SUBSTITUTE(SUBSTITUTE(SUBSTITUTE(SUBSTITUTE(SUBSTITUTE(SUBSTITUTE(SUBSTITUTE(SUBSTITUTE(SUBSTITUTE(SUBSTITUTE(SUBSTITUTE(SUBSTITUTE(SUBSTITUTE(SUBSTITUTE(SUBSTITUTE(SUBSTITUTE(SUBSTITUTE(SUBSTITUTE(SUBSTITUTE(SUBSTITUTE(SUBSTITUTE(SUBSTITUTE(SUBSTITUTE(LOWER(AE740&amp;""),CHAR(10)," "),CHAR(13)," "),CHAR(9)," "),CHAR(160)," "),"."," "),","," "),"-"," "),"/"," "),"("," "),")"," "),":"," "),";"," "),"_"," "),"–"," "),"?"," "),"!"," "),"*"," "),"["," "),"]"," "),"'"," "),"#"," "),"+"," "),"&amp;"," "),"\"," "))&amp;" "</f>
        <v>  </v>
      </c>
      <c r="CE740" s="68" t="n">
        <f aca="false">IFERROR(IF(AND(LEN(AU740)&gt;0,LEN(AU740)=LEN(AX740),OR(TRIM(MID(SUBSTITUTE(TRIM(CC740)," ",REPT(" ",60)),1,60))="",ISNUMBER(SEARCH(" "&amp;TRIM(MID(SUBSTITUTE(TRIM(CC740)," ",REPT(" ",60)),1,60))&amp;" ",CD740))),OR(TRIM(MID(SUBSTITUTE(TRIM(CC740)," ",REPT(" ",60)),61,60))="",ISNUMBER(SEARCH(" "&amp;TRIM(MID(SUBSTITUTE(TRIM(CC740)," ",REPT(" ",60)),61,60))&amp;" ",CD740))),OR(TRIM(MID(SUBSTITUTE(TRIM(CC740)," ",REPT(" ",60)),121,60))="",ISNUMBER(SEARCH(" "&amp;TRIM(MID(SUBSTITUTE(TRIM(CC740)," ",REPT(" ",60)),121,60))&amp;" ",CD740)))),1,0),0)</f>
        <v>0</v>
      </c>
      <c r="CG740" s="68" t="n">
        <f aca="false">IFERROR(LEN(SUBSTITUTE(BF740," ",""))-SUMPRODUCT((LEN(BF740)-LEN(SUBSTITUTE(BF740," "&amp;L_NAFiller&amp;" "," ")))/(LEN(L_NAFiller)+1)*LEN(L_NAFiller)),0)</f>
        <v>0</v>
      </c>
    </row>
    <row r="741" customFormat="false" ht="39.75" hidden="false" customHeight="true" outlineLevel="0" collapsed="false">
      <c r="A741" s="57" t="s">
        <v>1475</v>
      </c>
      <c r="B741" s="57" t="s">
        <v>312</v>
      </c>
      <c r="C741" s="57" t="str">
        <f aca="false">Flights!$F$26</f>
        <v>MH0002</v>
      </c>
      <c r="D741" s="58" t="n">
        <f aca="false">Flights!$D$26</f>
        <v>46325</v>
      </c>
      <c r="E741" s="57" t="str">
        <f aca="false">Flights!$G$26&amp;"-"&amp;Flights!$H$26</f>
        <v>KUL-LHR</v>
      </c>
      <c r="F741" s="57" t="str">
        <f aca="false">Flights!$K$26</f>
        <v>BC</v>
      </c>
      <c r="G741" s="57" t="s">
        <v>459</v>
      </c>
      <c r="H741" s="57" t="s">
        <v>460</v>
      </c>
      <c r="I741" s="57" t="s">
        <v>499</v>
      </c>
      <c r="J741" s="57" t="s">
        <v>543</v>
      </c>
      <c r="K741" s="67" t="s">
        <v>501</v>
      </c>
      <c r="L741" s="67" t="s">
        <v>742</v>
      </c>
      <c r="M741" s="67" t="s">
        <v>451</v>
      </c>
      <c r="N741" s="67" t="s">
        <v>383</v>
      </c>
      <c r="O741" s="67"/>
      <c r="P741" s="57" t="s">
        <v>187</v>
      </c>
      <c r="Q741" s="59" t="n">
        <f aca="false">ROUND((Flights!$AF$26)*1440,0)/1440</f>
        <v>46325.6388888889</v>
      </c>
      <c r="R741" s="59" t="n">
        <f aca="false">Q741+(IF(AND(INDEX(TZ_DSTS,MATCH(P741,TZ_STN,0))&lt;&gt;"",Q741&gt;=INDEX(TZ_DSTS,MATCH(P741,TZ_STN,0)),Q741&lt;INDEX(TZ_DSTE,MATCH(P741,TZ_STN,0))),INDEX(TZ_DST,MATCH(P741,TZ_STN,0)),INDEX(TZ_STD,MATCH(P741,TZ_STN,0))))/24</f>
        <v>46325.9722222222</v>
      </c>
      <c r="S741" s="60"/>
      <c r="T741" s="60"/>
      <c r="U741" s="60"/>
      <c r="V741" s="60"/>
      <c r="W741" s="61"/>
      <c r="X741" s="60"/>
      <c r="Y741" s="60"/>
      <c r="Z741" s="60"/>
      <c r="AA741" s="60"/>
      <c r="AB741" s="60"/>
      <c r="AC741" s="60"/>
      <c r="AD741" s="66"/>
      <c r="AE741" s="60"/>
      <c r="AF741" s="61" t="str">
        <f aca="false">IF(AND(ISNUMBER(X741),ISNUMBER(Y741)),Y741-X741,"")</f>
        <v/>
      </c>
      <c r="AG741" s="62" t="str">
        <f aca="false">IF(ISNUMBER(AD741),AD741-(IF(AND(INDEX(TZ_DSTS,MATCH(P741,TZ_STN,0))&lt;&gt;"",(AD741-INDEX(TZ_STD,MATCH(P741,TZ_STN,0))/24)&gt;=INDEX(TZ_DSTS,MATCH(P741,TZ_STN,0)),(AD741-INDEX(TZ_STD,MATCH(P741,TZ_STN,0))/24)&lt;INDEX(TZ_DSTE,MATCH(P741,TZ_STN,0))),INDEX(TZ_DST,MATCH(P741,TZ_STN,0)),INDEX(TZ_STD,MATCH(P741,TZ_STN,0))))/24,"")</f>
        <v/>
      </c>
      <c r="AH741" s="65" t="str">
        <f aca="false">IFERROR(IF(N741="N/A – rule",IF(OR(TRIM(U741)="",TRIM(U741)="N/A",TRIM(U741)="Not started"),"N/A – RULE","INVALID – this check does not apply to this aircraft: clear the status (or correct the fleet on Flights)"),IF(TRIM(U741)="N/A",IF(AT741=0,"INVALID – N/A not permitted for this check",IF(AND(TRIM(AB741)&lt;&gt;"",TRIM(AB741)&lt;&gt;"Closed"),"INVALID – corrective action still open",IF(AND(NOT(OR(LEN(AZ741)&lt;15,ISNUMBER(MATCH(AZ741,L_Placeholder,0)))),BK741=0,CG741&gt;=8,NOT(OR(LEN(AU741)&lt;2,ISNUMBER(MATCH(AU741,L_Placeholder,0)))),BR741&gt;=3,NOT(OR(LEN(AX741)&lt;2,ISNUMBER(MATCH(AX741,L_Placeholder,0)))),BS741&gt;=3,TRIM(AE741)&lt;&gt;TRIM(T741),AX741&lt;&gt;AU741,CE741=0),"N/A – JUSTIFIED","INVALID – N/A needs a real, settled reason (not 'not applicable' / 'as above' / TBC), a named PIC and a different named verifier"))),IF(OR(TRIM(U741)="Pass",TRIM(U741)="Pass after CA"),IF(NOT(ISNUMBER(AD741)),"INVALID – completion time missing",IF(OR(OR(LEN(AU741)&lt;2,ISNUMBER(MATCH(AU741,L_Placeholder,0))),BR741&lt;3),"INVALID – PIC missing or not a named person (a role such as QA / CSM is not a name)",IF(OR(LEN(AV741)&lt;2,ISNUMBER(MATCH(AV741,L_Placeholder,0))),"INVALID – result / assessment missing",IF(OR(OR(LEN(AW741)&lt;3,ISNUMBER(MATCH(AW741,L_Placeholder,0))),SUMPRODUCT(--ISNUMBER(SEARCH(" "&amp;L_EvidencePhrase&amp;" ",BD741)))&gt;0,BI741=1),"INVALID – evidence missing, placeholder or not yet on file",IF(ISNA(MATCH(TRIM(S741),L_EvidenceType,0)),"INVALID – choose the evidence type from the list (column S)",IF(BL741=0,"INVALID – evidence ID must be the record's own ID only (e.g. SF-2210, IMG_2231, 1045521); a link / file name needs type 'Link / file path'",IF(OR(OR(LEN(AX741)&lt;2,ISNUMBER(MATCH(AX741,L_Placeholder,0))),BS741&lt;3),"INVALID – verifier missing or not a named person (a role such as QA / CSM is not a name)",IF(OR(AX741=AU741,CE741=1,AND(LEN(AU741)&gt;=4,ISNUMBER(SEARCH(AU741,AX741))),AND(LEN(AX741)&gt;=4,ISNUMBER(SEARCH(AX741,AU741)))),"INVALID – verifier must be a different, named person (not the PIC or a role)",IF(BH741=1,"INVALID – result not yet available (awaiting / TBC)",IF(BG741=1,"INVALID – result describes a problem: record Fail, then Pass after CA (or reword if it is not a problem)",IF(BV741=1,"INVALID – wording says not on board: an on-board confirmation needs the item loaded",IF(AND(AQ741=1,OR(OR(LEN(AY741)&lt;3,ISNUMBER(MATCH(AY741,L_Placeholder,0))),BJ741=1,BQ741=0)),"INVALID – batch ID missing, placeholder or not an ID (e.g. PASB-261008-BC-017)",IF(AND(AR741=1,OR(NOT(ISNUMBER(X741)),NOT(ISNUMBER(Y741)))),"INVALID – expected/actual qty missing",IF(AND(AR741=1,OR(X741&lt;=0,Y741&lt;0)),"INVALID – expected qty must be above 0 and actual not negative",IF(AH725="N/A – JUSTIFIED","INVALID – preparation row F22-T12-14 is N/A",IF(AND(AR741=1,ISNUMBER(X725),X741&lt;&gt;X725,TRIM(U741)&lt;&gt;"Pass after CA"),"INVALID – expected qty differs from preparation check F22-T12-14: record the load change as a corrective action (Pass after CA)",IF(BB741&lt;&gt;"",BB741,IF(AND(AS741=1,Documents!$J$26&lt;&gt;"ON FILE"),"INVALID – GLD not on file (Documents sheet)",IF(AND(AS741=2,Documents!$O$26&lt;&gt;"ON FILE"),"INVALID – menu checklist not on file (Documents sheet)",IF(AND(AS741=3,NOT(ISNUMBER(Flights!$AX$26))),"INVALID – enter carrying flight KUL departure (Flights AX)",IF(AND(AS741=3,OR(Flights!$AZ$26&gt;Flights!$AA$26,Flights!$AX$26&lt;Flights!$AA$26-3)),"INVALID – carrying flight (Flights AX) cannot arrive before this leg's STD, or is over 3 days early",IF(AG741&gt;AsOfUTC,"INVALID – completion time is in the future",IF(AND(ISNUMBER(BY741),AG741&lt;BY741),IF(H741="Physical uplift","INVALID – before uplift window (cannot confirm loading)","INVALID – before valid window"),IF(AG741&gt;Flights!$AA$26,"INVALID – completed after departure (cannot establish readiness)",IF(AND(H741="Preparation",AG741&gt;=IF(ISNUMBER(Flights!$BA$26),MIN(Flights!$BA$26,Flights!$AA$26),Flights!$AA$26)),"INVALID – completed after loading / departure (cannot establish readiness)",IF(AND(H741="Physical uplift",AG741&gt;Q741),"INVALID – recorded after the loading flight departed",IF(AG741&gt;Q741,"COMPLETE – LATE","COMPLETE"))))))))))))))))))))))))))),IF(TRIM(U741)="Fail","FAIL – DISCREPANCY",IF(AND(TRIM(U741)&lt;&gt;"",TRIM(U741)&lt;&gt;"Not started",TRIM(U741)&lt;&gt;"In progress"),"INVALID – unrecognised status (use the list)",IF(AsOfUTC&gt;Q741,"OVERDUE",IF(N741="Clarification required","OPEN – CLARIFICATION","OPEN"))))))),"INVALID – error value in an input cell")</f>
        <v>OPEN</v>
      </c>
      <c r="AI741" s="61" t="n">
        <f aca="false">IF(OR(AH741="N/A – RULE",AH741="N/A – JUSTIFIED"),0,1)</f>
        <v>1</v>
      </c>
      <c r="AJ741" s="61" t="n">
        <f aca="false">IF(LEFT(AH741,8)="COMPLETE",1,0)</f>
        <v>0</v>
      </c>
      <c r="AK741" s="61" t="n">
        <f aca="false">IF(AND(AI741=1,AJ741=0,AsOfUTC&gt;Q741),1,0)</f>
        <v>0</v>
      </c>
      <c r="AL741" s="61" t="n">
        <f aca="false">IFERROR(IF(AND(AI741=1,OR(TRIM(U741)="Fail",AND(TRIM(AB741)&lt;&gt;"",TRIM(AB741)&lt;&gt;"Closed"),AND(ISNUMBER(AF741),AF741&lt;&gt;0,TRIM(U741)&lt;&gt;"Pass after CA"))),1,0),1)</f>
        <v>0</v>
      </c>
      <c r="AM741" s="61" t="n">
        <f aca="false">IF(LEFT(AH741,7)="INVALID",1,0)</f>
        <v>0</v>
      </c>
      <c r="AN741" s="61" t="n">
        <f aca="false">IF(AND(N741="Clarification required",AI741=1,AJ741=0),1,0)</f>
        <v>0</v>
      </c>
      <c r="AO741" s="61" t="str">
        <f aca="false">IF(AK741=1,SUM(AK$5:AK741),"")</f>
        <v/>
      </c>
      <c r="AP741" s="61" t="str">
        <f aca="false">IF(AL741=1,SUM(AL$5:AL741),"")</f>
        <v/>
      </c>
      <c r="AQ741" s="61" t="n">
        <v>0</v>
      </c>
      <c r="AR741" s="61" t="n">
        <v>0</v>
      </c>
      <c r="AS741" s="61" t="n">
        <v>0</v>
      </c>
      <c r="AT741" s="61" t="n">
        <v>0</v>
      </c>
      <c r="AU741" s="61" t="str">
        <f aca="false">SUBSTITUTE(SUBSTITUTE(SUBSTITUTE(SUBSTITUTE(SUBSTITUTE(SUBSTITUTE(SUBSTITUTE(SUBSTITUTE(SUBSTITUTE(SUBSTITUTE(SUBSTITUTE(SUBSTITUTE(SUBSTITUTE(SUBSTITUTE(SUBSTITUTE(SUBSTITUTE(LOWER(T741&amp;""),CHAR(10),""),CHAR(13),""),CHAR(9),""),CHAR(160),"")," ",""),".",""),"-",""),"/",""),"?",""),"_",""),",",""),"[",""),"]",""),"(",""),")",""),"*","")</f>
        <v/>
      </c>
      <c r="AV741" s="61" t="str">
        <f aca="false">SUBSTITUTE(SUBSTITUTE(SUBSTITUTE(SUBSTITUTE(SUBSTITUTE(SUBSTITUTE(SUBSTITUTE(SUBSTITUTE(SUBSTITUTE(SUBSTITUTE(SUBSTITUTE(SUBSTITUTE(SUBSTITUTE(SUBSTITUTE(SUBSTITUTE(SUBSTITUTE(LOWER(V741&amp;""),CHAR(10),""),CHAR(13),""),CHAR(9),""),CHAR(160),"")," ",""),".",""),"-",""),"/",""),"?",""),"_",""),",",""),"[",""),"]",""),"(",""),")",""),"*","")</f>
        <v/>
      </c>
      <c r="AW741" s="61" t="str">
        <f aca="false">SUBSTITUTE(SUBSTITUTE(SUBSTITUTE(SUBSTITUTE(SUBSTITUTE(SUBSTITUTE(SUBSTITUTE(SUBSTITUTE(SUBSTITUTE(SUBSTITUTE(SUBSTITUTE(SUBSTITUTE(SUBSTITUTE(SUBSTITUTE(SUBSTITUTE(SUBSTITUTE(LOWER(Z741&amp;""),CHAR(10),""),CHAR(13),""),CHAR(9),""),CHAR(160),"")," ",""),".",""),"-",""),"/",""),"?",""),"_",""),",",""),"[",""),"]",""),"(",""),")",""),"*","")</f>
        <v/>
      </c>
      <c r="AX741" s="61" t="str">
        <f aca="false">SUBSTITUTE(SUBSTITUTE(SUBSTITUTE(SUBSTITUTE(SUBSTITUTE(SUBSTITUTE(SUBSTITUTE(SUBSTITUTE(SUBSTITUTE(SUBSTITUTE(SUBSTITUTE(SUBSTITUTE(SUBSTITUTE(SUBSTITUTE(SUBSTITUTE(SUBSTITUTE(LOWER(AE741&amp;""),CHAR(10),""),CHAR(13),""),CHAR(9),""),CHAR(160),"")," ",""),".",""),"-",""),"/",""),"?",""),"_",""),",",""),"[",""),"]",""),"(",""),")",""),"*","")</f>
        <v/>
      </c>
      <c r="AY741" s="61" t="str">
        <f aca="false">SUBSTITUTE(SUBSTITUTE(SUBSTITUTE(SUBSTITUTE(SUBSTITUTE(SUBSTITUTE(SUBSTITUTE(SUBSTITUTE(SUBSTITUTE(SUBSTITUTE(SUBSTITUTE(SUBSTITUTE(SUBSTITUTE(SUBSTITUTE(SUBSTITUTE(SUBSTITUTE(LOWER(W741&amp;""),CHAR(10),""),CHAR(13),""),CHAR(9),""),CHAR(160),"")," ",""),".",""),"-",""),"/",""),"?",""),"_",""),",",""),"[",""),"]",""),"(",""),")",""),"*","")</f>
        <v/>
      </c>
      <c r="AZ741" s="61" t="str">
        <f aca="false">SUBSTITUTE(SUBSTITUTE(SUBSTITUTE(SUBSTITUTE(SUBSTITUTE(SUBSTITUTE(SUBSTITUTE(SUBSTITUTE(SUBSTITUTE(SUBSTITUTE(SUBSTITUTE(SUBSTITUTE(SUBSTITUTE(SUBSTITUTE(SUBSTITUTE(SUBSTITUTE(LOWER(AC741&amp;""),CHAR(10),""),CHAR(13),""),CHAR(9),""),CHAR(160),"")," ",""),".",""),"-",""),"/",""),"?",""),"_",""),",",""),"[",""),"]",""),"(",""),")",""),"*","")</f>
        <v/>
      </c>
      <c r="BA741" s="61" t="str">
        <f aca="false">SUBSTITUTE(SUBSTITUTE(SUBSTITUTE(SUBSTITUTE(SUBSTITUTE(SUBSTITUTE(SUBSTITUTE(SUBSTITUTE(SUBSTITUTE(SUBSTITUTE(SUBSTITUTE(SUBSTITUTE(SUBSTITUTE(SUBSTITUTE(SUBSTITUTE(SUBSTITUTE(LOWER(AA741&amp;""),CHAR(10),""),CHAR(13),""),CHAR(9),""),CHAR(160),"")," ",""),".",""),"-",""),"/",""),"?",""),"_",""),",",""),"[",""),"]",""),"(",""),")",""),"*","")</f>
        <v/>
      </c>
      <c r="BB741" s="61" t="str">
        <f aca="false">IF(AND(TRIM(U741)="Pass",ISNUMBER(AF741)),IF(AF741&lt;&gt;0,"INVALID – qty variance: use Fail or Pass after CA",""),"")&amp;IF(AND(TRIM(U741)="Pass after CA",ISNUMBER(AF741)),IF(AF741&lt;&gt;0,"INVALID – after the corrective action the actual qty must equal expected (update Actual)",""),"")&amp;IF(AND(TRIM(U741)="Pass",TRIM(AB741)&lt;&gt;"",TRIM(AB741)&lt;&gt;"Closed"),"INVALID – corrective action not closed: use Fail, then Pass after CA","")&amp;IF(AND(LEN(BA741)&gt;=2,ISNA(MATCH(LEFT(BA741,255),L_Placeholder,0)),TRIM(AB741)=""),"INVALID – CA status missing for the recorded corrective action","")&amp;IF(AND(TRIM(U741)="Pass after CA",OR(OR(LEN(BA741)&lt;5,ISNUMBER(MATCH(BA741,L_Placeholder,0))),TRIM(AB741)&lt;&gt;"Closed")),"INVALID – corrective action not recorded/closed","")</f>
        <v/>
      </c>
      <c r="BC741" s="61" t="str">
        <f aca="false">" "&amp;TRIM(SUBSTITUTE(SUBSTITUTE(SUBSTITUTE(SUBSTITUTE(SUBSTITUTE(SUBSTITUTE(SUBSTITUTE(SUBSTITUTE(SUBSTITUTE(SUBSTITUTE(SUBSTITUTE(SUBSTITUTE(SUBSTITUTE(SUBSTITUTE(SUBSTITUTE(SUBSTITUTE(SUBSTITUTE(SUBSTITUTE(SUBSTITUTE(SUBSTITUTE(SUBSTITUTE(SUBSTITUTE(SUBSTITUTE(SUBSTITUTE(LOWER(V741&amp;""),CHAR(10)," "),CHAR(13)," "),CHAR(9)," "),CHAR(160)," "),"."," "),","," "),"-"," "),"/"," "),"("," "),")"," "),":"," "),";"," "),"_"," "),"–"," "),"?"," "),"!"," "),"*"," "),"["," "),"]"," "),"'"," "),"#"," "),"+"," "),"&amp;"," "),"\"," "))&amp;" "</f>
        <v>  </v>
      </c>
      <c r="BD741" s="61" t="str">
        <f aca="false">" "&amp;TRIM(SUBSTITUTE(SUBSTITUTE(SUBSTITUTE(SUBSTITUTE(SUBSTITUTE(SUBSTITUTE(SUBSTITUTE(SUBSTITUTE(SUBSTITUTE(SUBSTITUTE(SUBSTITUTE(SUBSTITUTE(SUBSTITUTE(SUBSTITUTE(SUBSTITUTE(SUBSTITUTE(SUBSTITUTE(SUBSTITUTE(SUBSTITUTE(SUBSTITUTE(SUBSTITUTE(SUBSTITUTE(SUBSTITUTE(SUBSTITUTE(LOWER(Z741&amp;""),CHAR(10)," "),CHAR(13)," "),CHAR(9)," "),CHAR(160)," "),"."," "),","," "),"-"," "),"/"," "),"("," "),")"," "),":"," "),";"," "),"_"," "),"–"," "),"?"," "),"!"," "),"*"," "),"["," "),"]"," "),"'"," "),"#"," "),"+"," "),"&amp;"," "),"\"," "))&amp;" "</f>
        <v>  </v>
      </c>
      <c r="BE741" s="61" t="str">
        <f aca="false">" "&amp;TRIM(SUBSTITUTE(SUBSTITUTE(SUBSTITUTE(SUBSTITUTE(SUBSTITUTE(SUBSTITUTE(SUBSTITUTE(SUBSTITUTE(SUBSTITUTE(SUBSTITUTE(SUBSTITUTE(SUBSTITUTE(SUBSTITUTE(SUBSTITUTE(SUBSTITUTE(SUBSTITUTE(SUBSTITUTE(SUBSTITUTE(SUBSTITUTE(SUBSTITUTE(SUBSTITUTE(SUBSTITUTE(SUBSTITUTE(SUBSTITUTE(LOWER(W741&amp;""),CHAR(10)," "),CHAR(13)," "),CHAR(9)," "),CHAR(160)," "),"."," "),","," "),"-"," "),"/"," "),"("," "),")"," "),":"," "),";"," "),"_"," "),"–"," "),"?"," "),"!"," "),"*"," "),"["," "),"]"," "),"'"," "),"#"," "),"+"," "),"&amp;"," "),"\"," "))&amp;" "</f>
        <v>  </v>
      </c>
      <c r="BF741" s="61" t="str">
        <f aca="false">" "&amp;TRIM(SUBSTITUTE(SUBSTITUTE(SUBSTITUTE(SUBSTITUTE(SUBSTITUTE(SUBSTITUTE(SUBSTITUTE(SUBSTITUTE(SUBSTITUTE(SUBSTITUTE(SUBSTITUTE(SUBSTITUTE(SUBSTITUTE(SUBSTITUTE(SUBSTITUTE(SUBSTITUTE(SUBSTITUTE(SUBSTITUTE(SUBSTITUTE(SUBSTITUTE(SUBSTITUTE(SUBSTITUTE(SUBSTITUTE(SUBSTITUTE(LOWER(AC741&amp;""),CHAR(10)," "),CHAR(13)," "),CHAR(9)," "),CHAR(160)," "),"."," "),","," "),"-"," "),"/"," "),"("," "),")"," "),":"," "),";"," "),"_"," "),"–"," "),"?"," "),"!"," "),"*"," "),"["," "),"]"," "),"'"," "),"#"," "),"+"," "),"&amp;"," "),"\"," "))&amp;" "</f>
        <v>  </v>
      </c>
      <c r="BG741" s="61" t="n">
        <f aca="false">IFERROR(IF(AND(TRIM(U741)="Pass",SUMPRODUCT((LEN(BC741)-LEN(SUBSTITUTE(BC741," "&amp;L_ResultBad&amp;" "," ")))/(LEN(L_ResultBad)+1))&gt;SUMPRODUCT((LEN(BC741)-LEN(SUBSTITUTE(BC741," "&amp;L_NegPhrase&amp;" "," ")))/(LEN(L_NegPhrase)+1))),1,0),0)</f>
        <v>0</v>
      </c>
      <c r="BH741" s="61" t="n">
        <f aca="false">IFERROR(IF(SUMPRODUCT((LEN(BC741)-LEN(SUBSTITUTE(BC741," "&amp;L_Pending&amp;" "," ")))/(LEN(L_Pending)+1))&gt;SUMPRODUCT((LEN(BC741)-LEN(SUBSTITUTE(BC741," "&amp;L_PendNeg&amp;" "," ")))/(LEN(L_PendNeg)+1)),1,0),1)</f>
        <v>0</v>
      </c>
      <c r="BI741" s="61" t="n">
        <f aca="false">IFERROR(IF(SUMPRODUCT((LEN(BD741)-LEN(SUBSTITUTE(BD741," "&amp;L_PendStrict&amp;" "," ")))/(LEN(L_PendStrict)+1))&gt;SUMPRODUCT((LEN(BD741)-LEN(SUBSTITUTE(BD741," "&amp;L_PendNeg&amp;" "," ")))/(LEN(L_PendNeg)+1)),1,0),1)</f>
        <v>0</v>
      </c>
      <c r="BJ741" s="61" t="n">
        <f aca="false">IFERROR(IF(SUMPRODUCT((LEN(BE741)-LEN(SUBSTITUTE(BE741," "&amp;L_Pending&amp;" "," ")))/(LEN(L_Pending)+1))&gt;SUMPRODUCT((LEN(BE741)-LEN(SUBSTITUTE(BE741," "&amp;L_PendNeg&amp;" "," ")))/(LEN(L_PendNeg)+1)),1,0),1)</f>
        <v>0</v>
      </c>
      <c r="BK741" s="61" t="n">
        <f aca="false">IFERROR(IF(SUMPRODUCT((LEN(BF741)-LEN(SUBSTITUTE(BF741," "&amp;L_PendStrict&amp;" "," ")))/(LEN(L_PendStrict)+1))&gt;SUMPRODUCT((LEN(BF741)-LEN(SUBSTITUTE(BF741," "&amp;L_PendNeg&amp;" "," ")))/(LEN(L_PendNeg)+1)),1,0),1)</f>
        <v>0</v>
      </c>
      <c r="BL741" s="61" t="n">
        <f aca="false">IF(ISNA(MATCH(TRIM(S741),L_EvidenceType,0)),0,BZ741)</f>
        <v>0</v>
      </c>
      <c r="BM741" s="61" t="str">
        <f aca="false">SUBSTITUTE(SUBSTITUTE(SUBSTITUTE(SUBSTITUTE(SUBSTITUTE(SUBSTITUTE(SUBSTITUTE(SUBSTITUTE(SUBSTITUTE(LOWER(Z741&amp;""),"1","0"),"2","0"),"3","0"),"4","0"),"5","0"),"6","0"),"7","0"),"8","0"),"9","0")</f>
        <v/>
      </c>
      <c r="BN741" s="61" t="str">
        <f aca="false">SUBSTITUTE(SUBSTITUTE(SUBSTITUTE(SUBSTITUTE(SUBSTITUTE(SUBSTITUTE(SUBSTITUTE(SUBSTITUTE(SUBSTITUTE(SUBSTITUTE(SUBSTITUTE(SUBSTITUTE(SUBSTITUTE(SUBSTITUTE(SUBSTITUTE(SUBSTITUTE(SUBSTITUTE(SUBSTITUTE(SUBSTITUTE(SUBSTITUTE(SUBSTITUTE(SUBSTITUTE(SUBSTITUTE(SUBSTITUTE(SUBSTITUTE(BM741,"b","a"),"c","a"),"d","a"),"e","a"),"f","a"),"g","a"),"h","a"),"i","a"),"j","a"),"k","a"),"l","a"),"m","a"),"n","a"),"o","a"),"p","a"),"q","a"),"r","a"),"s","a"),"t","a"),"u","a"),"v","a"),"w","a"),"x","a"),"y","a"),"z","a")</f>
        <v/>
      </c>
      <c r="BO741" s="61" t="str">
        <f aca="false">SUBSTITUTE(SUBSTITUTE(SUBSTITUTE(SUBSTITUTE(SUBSTITUTE(SUBSTITUTE(SUBSTITUTE(SUBSTITUTE(SUBSTITUTE(LOWER(W741&amp;""),"1","0"),"2","0"),"3","0"),"4","0"),"5","0"),"6","0"),"7","0"),"8","0"),"9","0")</f>
        <v/>
      </c>
      <c r="BP741" s="61" t="str">
        <f aca="false">SUBSTITUTE(SUBSTITUTE(SUBSTITUTE(SUBSTITUTE(SUBSTITUTE(SUBSTITUTE(SUBSTITUTE(SUBSTITUTE(SUBSTITUTE(SUBSTITUTE(SUBSTITUTE(SUBSTITUTE(SUBSTITUTE(SUBSTITUTE(SUBSTITUTE(SUBSTITUTE(SUBSTITUTE(SUBSTITUTE(SUBSTITUTE(SUBSTITUTE(SUBSTITUTE(SUBSTITUTE(SUBSTITUTE(SUBSTITUTE(SUBSTITUTE(BO741,"b","a"),"c","a"),"d","a"),"e","a"),"f","a"),"g","a"),"h","a"),"i","a"),"j","a"),"k","a"),"l","a"),"m","a"),"n","a"),"o","a"),"p","a"),"q","a"),"r","a"),"s","a"),"t","a"),"u","a"),"v","a"),"w","a"),"x","a"),"y","a"),"z","a")</f>
        <v/>
      </c>
      <c r="BQ741" s="61" t="n">
        <f aca="false">IFERROR(IF(AND(ISERROR(SEARCH(" mh"," "&amp;LOWER(W741))),ISNA(MATCH(LEFT(TRIM(BP741),255),{"0000a","000a","00a","0000aa","000aa","00aa","0aa","0000aaa","000aaa","00a00","0a00","0000-0000","00:00","a00","a0","00.00.0000","00/00/0000","00-00-0000","0000-00-00","0000/00/00","0000.00.00","00.00.00","00/00/00","00-00-00","0.00.0000","0/00/0000","0-00-0000"},0)),ISNA(MATCH(LEFT(TRIM(CA741),255),{"0000a","000a","00a","0000aa","000aa","00aa","0aa","0000aaa","000aaa","00a00","0a00","0000-0000","00:00","a00","a0","00.00.0000","00/00/0000","00-00-0000","0000-00-00","0000/00/00","0000.00.00","00.00.00","00/00/00","00-00-00","0.00.0000","0/00/0000","0-00-0000"},0)),LEN(CB741)&gt;=3,NOT(OR(SUBSTITUTE(CB741,"0","")="",AND(LEN(CB741)&gt;=4,CB741=REPT(LEFT(CB741),LEN(CB741))),ISNUMBER(MATCH(CB741,{"123","1234","12345","123456","1234567","12345678","0123","01234","012345","98765","987654","54321"},0)),AND(LEN(CB741)=8,LEFT(CB741,3)="202"))),OR(AND((LEN(CA741)-LEN(SUBSTITUTE(CA741,"a","")))&gt;=1,SUMPRODUCT(--ISNUMBER(SEARCH({"a0","a-0","a_0","a/0","a.0","a#0","0a","0-a","0_a","0/a"},BP741)))&gt;0),ISNUMBER(SEARCH("000000",BP741)))),1,0),0)</f>
        <v>0</v>
      </c>
      <c r="BR741" s="61" t="n">
        <f aca="false">IFERROR(LEN(SUBSTITUTE(CC741," ",""))-SUMPRODUCT((LEN(CC741)-LEN(SUBSTITUTE(CC741," "&amp;L_Role&amp;" "," ")))/(LEN(L_Role)+1)*LEN(L_Role)),0)</f>
        <v>0</v>
      </c>
      <c r="BS741" s="61" t="n">
        <f aca="false">IFERROR(LEN(SUBSTITUTE(CD741," ",""))-SUMPRODUCT((LEN(CD741)-LEN(SUBSTITUTE(CD741," "&amp;L_Role&amp;" "," ")))/(LEN(L_Role)+1)*LEN(L_Role)),0)</f>
        <v>0</v>
      </c>
      <c r="BT7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741,"revision",""),"version",""),"jan",""),"feb",""),"mar",""),"apr",""),"may",""),"jun",""),"jul",""),"aug",""),"sep",""),"oct",""),"nov",""),"dec",""),"utc",""),"gmt",""),"myt",""),"bst",""),"rev",""),"ver",""),"b","a"),"c","a"),"d","a"),"e","a"),"f","a"),"g","a"),"h","a"),"i","a"),"j","a"),"k","a"),"l","a"),"m","a"),"n","a"),"o","a"),"p","a"),"q","a"),"r","a"),"s","a"),"t","a"),"u","a"),"v","a"),"w","a"),"x","a"),"y","a"),"z","a")</f>
        <v/>
      </c>
      <c r="BU741" s="61" t="str">
        <f aca="false">SUBSTITUTE(SUBSTITUTE(SUBSTITUTE(SUBSTITUTE(SUBSTITUTE(SUBSTITUTE(SUBSTITUTE(SUBSTITUTE(SUBSTITUTE(SUBSTITUTE(LEFT(BM741,FIND("0",BM741&amp;"0")-1),"-",""),"_",""),"/",""),".",""),"#",""),"\\",""),":","")," ",""),"(",""),")","")</f>
        <v/>
      </c>
      <c r="BV741" s="61" t="n">
        <f aca="false">IFERROR(IF(OR(SUMPRODUCT((LEN(BC741)-LEN(SUBSTITUTE(BC741," "&amp;L_NotLoaded&amp;" "," ")))/(LEN(L_NotLoaded)+1))&gt;SUMPRODUCT((LEN(BC741)-LEN(SUBSTITUTE(BC741," "&amp;L_NotLoadedNeg&amp;" "," ")))/(LEN(L_NotLoadedNeg)+1)),SUMPRODUCT((LEN(BD741)-LEN(SUBSTITUTE(BD741," "&amp;L_NotLoaded&amp;" "," ")))/(LEN(L_NotLoaded)+1))&gt;SUMPRODUCT((LEN(BD741)-LEN(SUBSTITUTE(BD741," "&amp;L_NotLoadedNeg&amp;" "," ")))/(LEN(L_NotLoadedNeg)+1))),1,0),0)</f>
        <v>0</v>
      </c>
      <c r="BW741"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741&amp;""),"a",""),"b",""),"c",""),"d",""),"e",""),"f",""),"g",""),"h",""),"i",""),"j",""),"k",""),"l",""),"m",""),"n",""),"o",""),"p",""),"q",""),"r",""),"s",""),"t",""),"u",""),"v",""),"w",""),"x",""),"y",""),"z",""),"-",""),"_",""),"/",""),".",""),"#",""),"\\",""),":","")," ",""),"(",""),")","")</f>
        <v/>
      </c>
      <c r="BX741" s="61" t="str">
        <f aca="false">SUBSTITUTE(SUBSTITUTE(SUBSTITUTE(SUBSTITUTE(SUBSTITUTE(SUBSTITUTE(SUBSTITUTE(SUBSTITUTE(SUBSTITUTE(SUBSTITUTE(SUBSTITUTE(BM741,"0",""),"-",""),"_",""),"/",""),".",""),"#",""),"\\",""),":","")," ",""),"(",""),")","")</f>
        <v/>
      </c>
      <c r="BY741" s="62" t="n">
        <f aca="false">IF(ISNUMBER(Flights!$AZ$26),MAX(Q741-UpliftWindowH/24,Flights!$AZ$26),Q741-UpliftWindowH/24)</f>
        <v>46325.3888888889</v>
      </c>
      <c r="BZ741" s="61" t="n">
        <f aca="false">IFERROR(IF(IF(TRIM(S741)="Link / file path",AND(LEN(TRIM(Z741))&gt;=5,SUMPRODUCT(--ISNUMBER(SEARCH({"http","www.","\\",":\",".pdf",".jpg",".jpeg",".png",".heic",".xls",".doc",".msg",".eml",".ppt",".txt",".zip"},Z741)))&gt;0),AND(ISERROR(FIND(" ",TRIM(Z741))),NOT(OR(SUMPRODUCT(--ISNUMBER(FIND({",",";","&amp;","+"},Z741)))&gt;0,SUMPRODUCT(--ISNUMBER(SEARCH({"0/aa","0\\aa"},BN741)))&gt;0)),NOT(SUMPRODUCT(--ISNUMBER(SEARCH({"http","www.","\\",":\",".pdf",".jpg",".jpeg",".png",".heic",".xls",".doc",".msg",".eml",".ppt",".txt",".zip"},Z741)))&gt;0),NOT(LOWER(TRIM(Z741))=LOWER(Flights!$F$26)),ISNA(MATCH(BU741,{"mh","rev","revision","ver","version","v","r","a","b","seat","tray","row","gate","bay","stand","page","pg","item","line","no","cart","galley","flight","flt","table","box","bag","oven","etd","eta","std","sta","atd","ata","qty","pax","x","time","tel","ph","mob","day","wk","week","utc","gmt","myt","lt"},0)),NOT(OR(ISNUMBER(MATCH(LEFT(BN741,255),{"0000a","000a","00a","0000aa","000aa","00aa","0aa","0000aaa","000aaa","00a00","0a00","0000-0000","00:00","a00","a0","00.00.0000","00/00/0000","00-00-0000","0000-00-00","0000/00/00","0000.00.00","00.00.00","00/00/00","00-00-00","0.00.0000","0/00/0000","0-00-0000"},0)),ISNUMBER(MATCH(LEFT(BT741,255),{"0000a","000a","00a","0000aa","000aa","00aa","0aa","0000aaa","000aaa","00a00","0a00","0000-0000","00:00","a00","a0","00.00.0000","00/00/0000","00-00-0000","0000-00-00","0000/00/00","0000.00.00","00.00.00","00/00/00","00-00-00","0.00.0000","0/00/0000","0-00-0000"},0)))),NOT(OR(AND(BW741&lt;&gt;"",SUBSTITUTE(BW741,"0","")=""),AND(LEN(BW741)&gt;=4,BW741=REPT(LEFT(BW741),LEN(BW741))),ISNUMBER(MATCH(BW741,{"123","1234","12345","123456","1234567","12345678","0123","01234","012345","98765","987654","54321"},0)),ISNUMBER(MATCH(BX741,{"x","xx","xxx","xxxx","xxxxx","abc","abcd","nil","na","nan","test","tbc","tba","tbd","dummy","sample","example","eg","zz","zzz","none","null","xyz","qwe","asd","id","ref"},0)),AND(LEN(BW741)=8,BX741="",OR(LEFT(BW741,3)="202",ISNUMBER(MATCH(RIGHT(BW741,4),{"2025","2026","2027"},0)))))),OR(AND((LEN(BT741)-LEN(SUBSTITUTE(BT741,"a","")))&gt;=1,(LEN(BN741)-LEN(SUBSTITUTE(BN741,"0","")))&gt;=2,SUMPRODUCT(--ISNUMBER(SEARCH({"a0","a-0","a_0","a/0","a.0","a#0","0a","0-a","0_a","0/a"},BN741)))&gt;0),AND((LEN(BN741)-LEN(SUBSTITUTE(BN741,"a","")))=0,(LEN(BN741)-LEN(SUBSTITUTE(BN741,"0","")))&gt;=5)))),1,0),0)</f>
        <v>0</v>
      </c>
      <c r="CA7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741,"revision",""),"version",""),"jan",""),"feb",""),"mar",""),"apr",""),"may",""),"jun",""),"jul",""),"aug",""),"sep",""),"oct",""),"nov",""),"dec",""),"utc",""),"gmt",""),"myt",""),"bst",""),"rev",""),"ver",""),"b","a"),"c","a"),"d","a"),"e","a"),"f","a"),"g","a"),"h","a"),"i","a"),"j","a"),"k","a"),"l","a"),"m","a"),"n","a"),"o","a"),"p","a"),"q","a"),"r","a"),"s","a"),"t","a"),"u","a"),"v","a"),"w","a"),"x","a"),"y","a"),"z","a")</f>
        <v/>
      </c>
      <c r="CB74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741&amp;""),"a",""),"b",""),"c",""),"d",""),"e",""),"f",""),"g",""),"h",""),"i",""),"j",""),"k",""),"l",""),"m",""),"n",""),"o",""),"p",""),"q",""),"r",""),"s",""),"t",""),"u",""),"v",""),"w",""),"x",""),"y",""),"z",""),"-",""),"_",""),"/",""),".",""),"#",""),"\\",""),":","")," ",""),"(",""),")","")</f>
        <v/>
      </c>
      <c r="CC741" s="0" t="str">
        <f aca="false">" "&amp;TRIM(SUBSTITUTE(SUBSTITUTE(SUBSTITUTE(SUBSTITUTE(SUBSTITUTE(SUBSTITUTE(SUBSTITUTE(SUBSTITUTE(SUBSTITUTE(SUBSTITUTE(SUBSTITUTE(SUBSTITUTE(SUBSTITUTE(SUBSTITUTE(SUBSTITUTE(SUBSTITUTE(SUBSTITUTE(SUBSTITUTE(SUBSTITUTE(SUBSTITUTE(SUBSTITUTE(SUBSTITUTE(SUBSTITUTE(SUBSTITUTE(LOWER(T741&amp;""),CHAR(10)," "),CHAR(13)," "),CHAR(9)," "),CHAR(160)," "),"."," "),","," "),"-"," "),"/"," "),"("," "),")"," "),":"," "),";"," "),"_"," "),"–"," "),"?"," "),"!"," "),"*"," "),"["," "),"]"," "),"'"," "),"#"," "),"+"," "),"&amp;"," "),"\"," "))&amp;" "</f>
        <v>  </v>
      </c>
      <c r="CD741" s="0" t="str">
        <f aca="false">" "&amp;TRIM(SUBSTITUTE(SUBSTITUTE(SUBSTITUTE(SUBSTITUTE(SUBSTITUTE(SUBSTITUTE(SUBSTITUTE(SUBSTITUTE(SUBSTITUTE(SUBSTITUTE(SUBSTITUTE(SUBSTITUTE(SUBSTITUTE(SUBSTITUTE(SUBSTITUTE(SUBSTITUTE(SUBSTITUTE(SUBSTITUTE(SUBSTITUTE(SUBSTITUTE(SUBSTITUTE(SUBSTITUTE(SUBSTITUTE(SUBSTITUTE(LOWER(AE741&amp;""),CHAR(10)," "),CHAR(13)," "),CHAR(9)," "),CHAR(160)," "),"."," "),","," "),"-"," "),"/"," "),"("," "),")"," "),":"," "),";"," "),"_"," "),"–"," "),"?"," "),"!"," "),"*"," "),"["," "),"]"," "),"'"," "),"#"," "),"+"," "),"&amp;"," "),"\"," "))&amp;" "</f>
        <v>  </v>
      </c>
      <c r="CE741" s="68" t="n">
        <f aca="false">IFERROR(IF(AND(LEN(AU741)&gt;0,LEN(AU741)=LEN(AX741),OR(TRIM(MID(SUBSTITUTE(TRIM(CC741)," ",REPT(" ",60)),1,60))="",ISNUMBER(SEARCH(" "&amp;TRIM(MID(SUBSTITUTE(TRIM(CC741)," ",REPT(" ",60)),1,60))&amp;" ",CD741))),OR(TRIM(MID(SUBSTITUTE(TRIM(CC741)," ",REPT(" ",60)),61,60))="",ISNUMBER(SEARCH(" "&amp;TRIM(MID(SUBSTITUTE(TRIM(CC741)," ",REPT(" ",60)),61,60))&amp;" ",CD741))),OR(TRIM(MID(SUBSTITUTE(TRIM(CC741)," ",REPT(" ",60)),121,60))="",ISNUMBER(SEARCH(" "&amp;TRIM(MID(SUBSTITUTE(TRIM(CC741)," ",REPT(" ",60)),121,60))&amp;" ",CD741)))),1,0),0)</f>
        <v>0</v>
      </c>
      <c r="CG741" s="68" t="n">
        <f aca="false">IFERROR(LEN(SUBSTITUTE(BF741," ",""))-SUMPRODUCT((LEN(BF741)-LEN(SUBSTITUTE(BF741," "&amp;L_NAFiller&amp;" "," ")))/(LEN(L_NAFiller)+1)*LEN(L_NAFiller)),0)</f>
        <v>0</v>
      </c>
    </row>
    <row r="742" customFormat="false" ht="39.75" hidden="false" customHeight="true" outlineLevel="0" collapsed="false">
      <c r="A742" s="57" t="s">
        <v>1476</v>
      </c>
      <c r="B742" s="57" t="s">
        <v>312</v>
      </c>
      <c r="C742" s="57" t="str">
        <f aca="false">Flights!$F$26</f>
        <v>MH0002</v>
      </c>
      <c r="D742" s="58" t="n">
        <f aca="false">Flights!$D$26</f>
        <v>46325</v>
      </c>
      <c r="E742" s="57" t="str">
        <f aca="false">Flights!$G$26&amp;"-"&amp;Flights!$H$26</f>
        <v>KUL-LHR</v>
      </c>
      <c r="F742" s="57" t="str">
        <f aca="false">Flights!$K$26</f>
        <v>BC</v>
      </c>
      <c r="G742" s="57" t="s">
        <v>459</v>
      </c>
      <c r="H742" s="57" t="s">
        <v>460</v>
      </c>
      <c r="I742" s="57" t="s">
        <v>499</v>
      </c>
      <c r="J742" s="57" t="s">
        <v>546</v>
      </c>
      <c r="K742" s="67" t="s">
        <v>501</v>
      </c>
      <c r="L742" s="67" t="s">
        <v>744</v>
      </c>
      <c r="M742" s="67" t="s">
        <v>451</v>
      </c>
      <c r="N742" s="67" t="s">
        <v>383</v>
      </c>
      <c r="O742" s="67"/>
      <c r="P742" s="57" t="s">
        <v>187</v>
      </c>
      <c r="Q742" s="59" t="n">
        <f aca="false">ROUND((Flights!$AF$26)*1440,0)/1440</f>
        <v>46325.6388888889</v>
      </c>
      <c r="R742" s="59" t="n">
        <f aca="false">Q742+(IF(AND(INDEX(TZ_DSTS,MATCH(P742,TZ_STN,0))&lt;&gt;"",Q742&gt;=INDEX(TZ_DSTS,MATCH(P742,TZ_STN,0)),Q742&lt;INDEX(TZ_DSTE,MATCH(P742,TZ_STN,0))),INDEX(TZ_DST,MATCH(P742,TZ_STN,0)),INDEX(TZ_STD,MATCH(P742,TZ_STN,0))))/24</f>
        <v>46325.9722222222</v>
      </c>
      <c r="S742" s="60"/>
      <c r="T742" s="60"/>
      <c r="U742" s="60"/>
      <c r="V742" s="60"/>
      <c r="W742" s="61"/>
      <c r="X742" s="60"/>
      <c r="Y742" s="60"/>
      <c r="Z742" s="60"/>
      <c r="AA742" s="60"/>
      <c r="AB742" s="60"/>
      <c r="AC742" s="60"/>
      <c r="AD742" s="66"/>
      <c r="AE742" s="60"/>
      <c r="AF742" s="61" t="str">
        <f aca="false">IF(AND(ISNUMBER(X742),ISNUMBER(Y742)),Y742-X742,"")</f>
        <v/>
      </c>
      <c r="AG742" s="62" t="str">
        <f aca="false">IF(ISNUMBER(AD742),AD742-(IF(AND(INDEX(TZ_DSTS,MATCH(P742,TZ_STN,0))&lt;&gt;"",(AD742-INDEX(TZ_STD,MATCH(P742,TZ_STN,0))/24)&gt;=INDEX(TZ_DSTS,MATCH(P742,TZ_STN,0)),(AD742-INDEX(TZ_STD,MATCH(P742,TZ_STN,0))/24)&lt;INDEX(TZ_DSTE,MATCH(P742,TZ_STN,0))),INDEX(TZ_DST,MATCH(P742,TZ_STN,0)),INDEX(TZ_STD,MATCH(P742,TZ_STN,0))))/24,"")</f>
        <v/>
      </c>
      <c r="AH742" s="65" t="str">
        <f aca="false">IFERROR(IF(N742="N/A – rule",IF(OR(TRIM(U742)="",TRIM(U742)="N/A",TRIM(U742)="Not started"),"N/A – RULE","INVALID – this check does not apply to this aircraft: clear the status (or correct the fleet on Flights)"),IF(TRIM(U742)="N/A",IF(AT742=0,"INVALID – N/A not permitted for this check",IF(AND(TRIM(AB742)&lt;&gt;"",TRIM(AB742)&lt;&gt;"Closed"),"INVALID – corrective action still open",IF(AND(NOT(OR(LEN(AZ742)&lt;15,ISNUMBER(MATCH(AZ742,L_Placeholder,0)))),BK742=0,CG742&gt;=8,NOT(OR(LEN(AU742)&lt;2,ISNUMBER(MATCH(AU742,L_Placeholder,0)))),BR742&gt;=3,NOT(OR(LEN(AX742)&lt;2,ISNUMBER(MATCH(AX742,L_Placeholder,0)))),BS742&gt;=3,TRIM(AE742)&lt;&gt;TRIM(T742),AX742&lt;&gt;AU742,CE742=0),"N/A – JUSTIFIED","INVALID – N/A needs a real, settled reason (not 'not applicable' / 'as above' / TBC), a named PIC and a different named verifier"))),IF(OR(TRIM(U742)="Pass",TRIM(U742)="Pass after CA"),IF(NOT(ISNUMBER(AD742)),"INVALID – completion time missing",IF(OR(OR(LEN(AU742)&lt;2,ISNUMBER(MATCH(AU742,L_Placeholder,0))),BR742&lt;3),"INVALID – PIC missing or not a named person (a role such as QA / CSM is not a name)",IF(OR(LEN(AV742)&lt;2,ISNUMBER(MATCH(AV742,L_Placeholder,0))),"INVALID – result / assessment missing",IF(OR(OR(LEN(AW742)&lt;3,ISNUMBER(MATCH(AW742,L_Placeholder,0))),SUMPRODUCT(--ISNUMBER(SEARCH(" "&amp;L_EvidencePhrase&amp;" ",BD742)))&gt;0,BI742=1),"INVALID – evidence missing, placeholder or not yet on file",IF(ISNA(MATCH(TRIM(S742),L_EvidenceType,0)),"INVALID – choose the evidence type from the list (column S)",IF(BL742=0,"INVALID – evidence ID must be the record's own ID only (e.g. SF-2210, IMG_2231, 1045521); a link / file name needs type 'Link / file path'",IF(OR(OR(LEN(AX742)&lt;2,ISNUMBER(MATCH(AX742,L_Placeholder,0))),BS742&lt;3),"INVALID – verifier missing or not a named person (a role such as QA / CSM is not a name)",IF(OR(AX742=AU742,CE742=1,AND(LEN(AU742)&gt;=4,ISNUMBER(SEARCH(AU742,AX742))),AND(LEN(AX742)&gt;=4,ISNUMBER(SEARCH(AX742,AU742)))),"INVALID – verifier must be a different, named person (not the PIC or a role)",IF(BH742=1,"INVALID – result not yet available (awaiting / TBC)",IF(BG742=1,"INVALID – result describes a problem: record Fail, then Pass after CA (or reword if it is not a problem)",IF(BV742=1,"INVALID – wording says not on board: an on-board confirmation needs the item loaded",IF(AND(AQ742=1,OR(OR(LEN(AY742)&lt;3,ISNUMBER(MATCH(AY742,L_Placeholder,0))),BJ742=1,BQ742=0)),"INVALID – batch ID missing, placeholder or not an ID (e.g. PASB-261008-BC-017)",IF(AND(AR742=1,OR(NOT(ISNUMBER(X742)),NOT(ISNUMBER(Y742)))),"INVALID – expected/actual qty missing",IF(AND(AR742=1,OR(X742&lt;=0,Y742&lt;0)),"INVALID – expected qty must be above 0 and actual not negative",IF(AH726="N/A – JUSTIFIED","INVALID – preparation row F22-T12-15 is N/A",IF(AND(AR742=1,ISNUMBER(X726),X742&lt;&gt;X726,TRIM(U742)&lt;&gt;"Pass after CA"),"INVALID – expected qty differs from preparation check F22-T12-15: record the load change as a corrective action (Pass after CA)",IF(BB742&lt;&gt;"",BB742,IF(AND(AS742=1,Documents!$J$26&lt;&gt;"ON FILE"),"INVALID – GLD not on file (Documents sheet)",IF(AND(AS742=2,Documents!$O$26&lt;&gt;"ON FILE"),"INVALID – menu checklist not on file (Documents sheet)",IF(AND(AS742=3,NOT(ISNUMBER(Flights!$AX$26))),"INVALID – enter carrying flight KUL departure (Flights AX)",IF(AND(AS742=3,OR(Flights!$AZ$26&gt;Flights!$AA$26,Flights!$AX$26&lt;Flights!$AA$26-3)),"INVALID – carrying flight (Flights AX) cannot arrive before this leg's STD, or is over 3 days early",IF(AG742&gt;AsOfUTC,"INVALID – completion time is in the future",IF(AND(ISNUMBER(BY742),AG742&lt;BY742),IF(H742="Physical uplift","INVALID – before uplift window (cannot confirm loading)","INVALID – before valid window"),IF(AG742&gt;Flights!$AA$26,"INVALID – completed after departure (cannot establish readiness)",IF(AND(H742="Preparation",AG742&gt;=IF(ISNUMBER(Flights!$BA$26),MIN(Flights!$BA$26,Flights!$AA$26),Flights!$AA$26)),"INVALID – completed after loading / departure (cannot establish readiness)",IF(AND(H742="Physical uplift",AG742&gt;Q742),"INVALID – recorded after the loading flight departed",IF(AG742&gt;Q742,"COMPLETE – LATE","COMPLETE"))))))))))))))))))))))))))),IF(TRIM(U742)="Fail","FAIL – DISCREPANCY",IF(AND(TRIM(U742)&lt;&gt;"",TRIM(U742)&lt;&gt;"Not started",TRIM(U742)&lt;&gt;"In progress"),"INVALID – unrecognised status (use the list)",IF(AsOfUTC&gt;Q742,"OVERDUE",IF(N742="Clarification required","OPEN – CLARIFICATION","OPEN"))))))),"INVALID – error value in an input cell")</f>
        <v>OPEN</v>
      </c>
      <c r="AI742" s="61" t="n">
        <f aca="false">IF(OR(AH742="N/A – RULE",AH742="N/A – JUSTIFIED"),0,1)</f>
        <v>1</v>
      </c>
      <c r="AJ742" s="61" t="n">
        <f aca="false">IF(LEFT(AH742,8)="COMPLETE",1,0)</f>
        <v>0</v>
      </c>
      <c r="AK742" s="61" t="n">
        <f aca="false">IF(AND(AI742=1,AJ742=0,AsOfUTC&gt;Q742),1,0)</f>
        <v>0</v>
      </c>
      <c r="AL742" s="61" t="n">
        <f aca="false">IFERROR(IF(AND(AI742=1,OR(TRIM(U742)="Fail",AND(TRIM(AB742)&lt;&gt;"",TRIM(AB742)&lt;&gt;"Closed"),AND(ISNUMBER(AF742),AF742&lt;&gt;0,TRIM(U742)&lt;&gt;"Pass after CA"))),1,0),1)</f>
        <v>0</v>
      </c>
      <c r="AM742" s="61" t="n">
        <f aca="false">IF(LEFT(AH742,7)="INVALID",1,0)</f>
        <v>0</v>
      </c>
      <c r="AN742" s="61" t="n">
        <f aca="false">IF(AND(N742="Clarification required",AI742=1,AJ742=0),1,0)</f>
        <v>0</v>
      </c>
      <c r="AO742" s="61" t="str">
        <f aca="false">IF(AK742=1,SUM(AK$5:AK742),"")</f>
        <v/>
      </c>
      <c r="AP742" s="61" t="str">
        <f aca="false">IF(AL742=1,SUM(AL$5:AL742),"")</f>
        <v/>
      </c>
      <c r="AQ742" s="61" t="n">
        <v>0</v>
      </c>
      <c r="AR742" s="61" t="n">
        <v>0</v>
      </c>
      <c r="AS742" s="61" t="n">
        <v>0</v>
      </c>
      <c r="AT742" s="61" t="n">
        <v>0</v>
      </c>
      <c r="AU742" s="61" t="str">
        <f aca="false">SUBSTITUTE(SUBSTITUTE(SUBSTITUTE(SUBSTITUTE(SUBSTITUTE(SUBSTITUTE(SUBSTITUTE(SUBSTITUTE(SUBSTITUTE(SUBSTITUTE(SUBSTITUTE(SUBSTITUTE(SUBSTITUTE(SUBSTITUTE(SUBSTITUTE(SUBSTITUTE(LOWER(T742&amp;""),CHAR(10),""),CHAR(13),""),CHAR(9),""),CHAR(160),"")," ",""),".",""),"-",""),"/",""),"?",""),"_",""),",",""),"[",""),"]",""),"(",""),")",""),"*","")</f>
        <v/>
      </c>
      <c r="AV742" s="61" t="str">
        <f aca="false">SUBSTITUTE(SUBSTITUTE(SUBSTITUTE(SUBSTITUTE(SUBSTITUTE(SUBSTITUTE(SUBSTITUTE(SUBSTITUTE(SUBSTITUTE(SUBSTITUTE(SUBSTITUTE(SUBSTITUTE(SUBSTITUTE(SUBSTITUTE(SUBSTITUTE(SUBSTITUTE(LOWER(V742&amp;""),CHAR(10),""),CHAR(13),""),CHAR(9),""),CHAR(160),"")," ",""),".",""),"-",""),"/",""),"?",""),"_",""),",",""),"[",""),"]",""),"(",""),")",""),"*","")</f>
        <v/>
      </c>
      <c r="AW742" s="61" t="str">
        <f aca="false">SUBSTITUTE(SUBSTITUTE(SUBSTITUTE(SUBSTITUTE(SUBSTITUTE(SUBSTITUTE(SUBSTITUTE(SUBSTITUTE(SUBSTITUTE(SUBSTITUTE(SUBSTITUTE(SUBSTITUTE(SUBSTITUTE(SUBSTITUTE(SUBSTITUTE(SUBSTITUTE(LOWER(Z742&amp;""),CHAR(10),""),CHAR(13),""),CHAR(9),""),CHAR(160),"")," ",""),".",""),"-",""),"/",""),"?",""),"_",""),",",""),"[",""),"]",""),"(",""),")",""),"*","")</f>
        <v/>
      </c>
      <c r="AX742" s="61" t="str">
        <f aca="false">SUBSTITUTE(SUBSTITUTE(SUBSTITUTE(SUBSTITUTE(SUBSTITUTE(SUBSTITUTE(SUBSTITUTE(SUBSTITUTE(SUBSTITUTE(SUBSTITUTE(SUBSTITUTE(SUBSTITUTE(SUBSTITUTE(SUBSTITUTE(SUBSTITUTE(SUBSTITUTE(LOWER(AE742&amp;""),CHAR(10),""),CHAR(13),""),CHAR(9),""),CHAR(160),"")," ",""),".",""),"-",""),"/",""),"?",""),"_",""),",",""),"[",""),"]",""),"(",""),")",""),"*","")</f>
        <v/>
      </c>
      <c r="AY742" s="61" t="str">
        <f aca="false">SUBSTITUTE(SUBSTITUTE(SUBSTITUTE(SUBSTITUTE(SUBSTITUTE(SUBSTITUTE(SUBSTITUTE(SUBSTITUTE(SUBSTITUTE(SUBSTITUTE(SUBSTITUTE(SUBSTITUTE(SUBSTITUTE(SUBSTITUTE(SUBSTITUTE(SUBSTITUTE(LOWER(W742&amp;""),CHAR(10),""),CHAR(13),""),CHAR(9),""),CHAR(160),"")," ",""),".",""),"-",""),"/",""),"?",""),"_",""),",",""),"[",""),"]",""),"(",""),")",""),"*","")</f>
        <v/>
      </c>
      <c r="AZ742" s="61" t="str">
        <f aca="false">SUBSTITUTE(SUBSTITUTE(SUBSTITUTE(SUBSTITUTE(SUBSTITUTE(SUBSTITUTE(SUBSTITUTE(SUBSTITUTE(SUBSTITUTE(SUBSTITUTE(SUBSTITUTE(SUBSTITUTE(SUBSTITUTE(SUBSTITUTE(SUBSTITUTE(SUBSTITUTE(LOWER(AC742&amp;""),CHAR(10),""),CHAR(13),""),CHAR(9),""),CHAR(160),"")," ",""),".",""),"-",""),"/",""),"?",""),"_",""),",",""),"[",""),"]",""),"(",""),")",""),"*","")</f>
        <v/>
      </c>
      <c r="BA742" s="61" t="str">
        <f aca="false">SUBSTITUTE(SUBSTITUTE(SUBSTITUTE(SUBSTITUTE(SUBSTITUTE(SUBSTITUTE(SUBSTITUTE(SUBSTITUTE(SUBSTITUTE(SUBSTITUTE(SUBSTITUTE(SUBSTITUTE(SUBSTITUTE(SUBSTITUTE(SUBSTITUTE(SUBSTITUTE(LOWER(AA742&amp;""),CHAR(10),""),CHAR(13),""),CHAR(9),""),CHAR(160),"")," ",""),".",""),"-",""),"/",""),"?",""),"_",""),",",""),"[",""),"]",""),"(",""),")",""),"*","")</f>
        <v/>
      </c>
      <c r="BB742" s="61" t="str">
        <f aca="false">IF(AND(TRIM(U742)="Pass",ISNUMBER(AF742)),IF(AF742&lt;&gt;0,"INVALID – qty variance: use Fail or Pass after CA",""),"")&amp;IF(AND(TRIM(U742)="Pass after CA",ISNUMBER(AF742)),IF(AF742&lt;&gt;0,"INVALID – after the corrective action the actual qty must equal expected (update Actual)",""),"")&amp;IF(AND(TRIM(U742)="Pass",TRIM(AB742)&lt;&gt;"",TRIM(AB742)&lt;&gt;"Closed"),"INVALID – corrective action not closed: use Fail, then Pass after CA","")&amp;IF(AND(LEN(BA742)&gt;=2,ISNA(MATCH(LEFT(BA742,255),L_Placeholder,0)),TRIM(AB742)=""),"INVALID – CA status missing for the recorded corrective action","")&amp;IF(AND(TRIM(U742)="Pass after CA",OR(OR(LEN(BA742)&lt;5,ISNUMBER(MATCH(BA742,L_Placeholder,0))),TRIM(AB742)&lt;&gt;"Closed")),"INVALID – corrective action not recorded/closed","")</f>
        <v/>
      </c>
      <c r="BC742" s="61" t="str">
        <f aca="false">" "&amp;TRIM(SUBSTITUTE(SUBSTITUTE(SUBSTITUTE(SUBSTITUTE(SUBSTITUTE(SUBSTITUTE(SUBSTITUTE(SUBSTITUTE(SUBSTITUTE(SUBSTITUTE(SUBSTITUTE(SUBSTITUTE(SUBSTITUTE(SUBSTITUTE(SUBSTITUTE(SUBSTITUTE(SUBSTITUTE(SUBSTITUTE(SUBSTITUTE(SUBSTITUTE(SUBSTITUTE(SUBSTITUTE(SUBSTITUTE(SUBSTITUTE(LOWER(V742&amp;""),CHAR(10)," "),CHAR(13)," "),CHAR(9)," "),CHAR(160)," "),"."," "),","," "),"-"," "),"/"," "),"("," "),")"," "),":"," "),";"," "),"_"," "),"–"," "),"?"," "),"!"," "),"*"," "),"["," "),"]"," "),"'"," "),"#"," "),"+"," "),"&amp;"," "),"\"," "))&amp;" "</f>
        <v>  </v>
      </c>
      <c r="BD742" s="61" t="str">
        <f aca="false">" "&amp;TRIM(SUBSTITUTE(SUBSTITUTE(SUBSTITUTE(SUBSTITUTE(SUBSTITUTE(SUBSTITUTE(SUBSTITUTE(SUBSTITUTE(SUBSTITUTE(SUBSTITUTE(SUBSTITUTE(SUBSTITUTE(SUBSTITUTE(SUBSTITUTE(SUBSTITUTE(SUBSTITUTE(SUBSTITUTE(SUBSTITUTE(SUBSTITUTE(SUBSTITUTE(SUBSTITUTE(SUBSTITUTE(SUBSTITUTE(SUBSTITUTE(LOWER(Z742&amp;""),CHAR(10)," "),CHAR(13)," "),CHAR(9)," "),CHAR(160)," "),"."," "),","," "),"-"," "),"/"," "),"("," "),")"," "),":"," "),";"," "),"_"," "),"–"," "),"?"," "),"!"," "),"*"," "),"["," "),"]"," "),"'"," "),"#"," "),"+"," "),"&amp;"," "),"\"," "))&amp;" "</f>
        <v>  </v>
      </c>
      <c r="BE742" s="61" t="str">
        <f aca="false">" "&amp;TRIM(SUBSTITUTE(SUBSTITUTE(SUBSTITUTE(SUBSTITUTE(SUBSTITUTE(SUBSTITUTE(SUBSTITUTE(SUBSTITUTE(SUBSTITUTE(SUBSTITUTE(SUBSTITUTE(SUBSTITUTE(SUBSTITUTE(SUBSTITUTE(SUBSTITUTE(SUBSTITUTE(SUBSTITUTE(SUBSTITUTE(SUBSTITUTE(SUBSTITUTE(SUBSTITUTE(SUBSTITUTE(SUBSTITUTE(SUBSTITUTE(LOWER(W742&amp;""),CHAR(10)," "),CHAR(13)," "),CHAR(9)," "),CHAR(160)," "),"."," "),","," "),"-"," "),"/"," "),"("," "),")"," "),":"," "),";"," "),"_"," "),"–"," "),"?"," "),"!"," "),"*"," "),"["," "),"]"," "),"'"," "),"#"," "),"+"," "),"&amp;"," "),"\"," "))&amp;" "</f>
        <v>  </v>
      </c>
      <c r="BF742" s="61" t="str">
        <f aca="false">" "&amp;TRIM(SUBSTITUTE(SUBSTITUTE(SUBSTITUTE(SUBSTITUTE(SUBSTITUTE(SUBSTITUTE(SUBSTITUTE(SUBSTITUTE(SUBSTITUTE(SUBSTITUTE(SUBSTITUTE(SUBSTITUTE(SUBSTITUTE(SUBSTITUTE(SUBSTITUTE(SUBSTITUTE(SUBSTITUTE(SUBSTITUTE(SUBSTITUTE(SUBSTITUTE(SUBSTITUTE(SUBSTITUTE(SUBSTITUTE(SUBSTITUTE(LOWER(AC742&amp;""),CHAR(10)," "),CHAR(13)," "),CHAR(9)," "),CHAR(160)," "),"."," "),","," "),"-"," "),"/"," "),"("," "),")"," "),":"," "),";"," "),"_"," "),"–"," "),"?"," "),"!"," "),"*"," "),"["," "),"]"," "),"'"," "),"#"," "),"+"," "),"&amp;"," "),"\"," "))&amp;" "</f>
        <v>  </v>
      </c>
      <c r="BG742" s="61" t="n">
        <f aca="false">IFERROR(IF(AND(TRIM(U742)="Pass",SUMPRODUCT((LEN(BC742)-LEN(SUBSTITUTE(BC742," "&amp;L_ResultBad&amp;" "," ")))/(LEN(L_ResultBad)+1))&gt;SUMPRODUCT((LEN(BC742)-LEN(SUBSTITUTE(BC742," "&amp;L_NegPhrase&amp;" "," ")))/(LEN(L_NegPhrase)+1))),1,0),0)</f>
        <v>0</v>
      </c>
      <c r="BH742" s="61" t="n">
        <f aca="false">IFERROR(IF(SUMPRODUCT((LEN(BC742)-LEN(SUBSTITUTE(BC742," "&amp;L_Pending&amp;" "," ")))/(LEN(L_Pending)+1))&gt;SUMPRODUCT((LEN(BC742)-LEN(SUBSTITUTE(BC742," "&amp;L_PendNeg&amp;" "," ")))/(LEN(L_PendNeg)+1)),1,0),1)</f>
        <v>0</v>
      </c>
      <c r="BI742" s="61" t="n">
        <f aca="false">IFERROR(IF(SUMPRODUCT((LEN(BD742)-LEN(SUBSTITUTE(BD742," "&amp;L_PendStrict&amp;" "," ")))/(LEN(L_PendStrict)+1))&gt;SUMPRODUCT((LEN(BD742)-LEN(SUBSTITUTE(BD742," "&amp;L_PendNeg&amp;" "," ")))/(LEN(L_PendNeg)+1)),1,0),1)</f>
        <v>0</v>
      </c>
      <c r="BJ742" s="61" t="n">
        <f aca="false">IFERROR(IF(SUMPRODUCT((LEN(BE742)-LEN(SUBSTITUTE(BE742," "&amp;L_Pending&amp;" "," ")))/(LEN(L_Pending)+1))&gt;SUMPRODUCT((LEN(BE742)-LEN(SUBSTITUTE(BE742," "&amp;L_PendNeg&amp;" "," ")))/(LEN(L_PendNeg)+1)),1,0),1)</f>
        <v>0</v>
      </c>
      <c r="BK742" s="61" t="n">
        <f aca="false">IFERROR(IF(SUMPRODUCT((LEN(BF742)-LEN(SUBSTITUTE(BF742," "&amp;L_PendStrict&amp;" "," ")))/(LEN(L_PendStrict)+1))&gt;SUMPRODUCT((LEN(BF742)-LEN(SUBSTITUTE(BF742," "&amp;L_PendNeg&amp;" "," ")))/(LEN(L_PendNeg)+1)),1,0),1)</f>
        <v>0</v>
      </c>
      <c r="BL742" s="61" t="n">
        <f aca="false">IF(ISNA(MATCH(TRIM(S742),L_EvidenceType,0)),0,BZ742)</f>
        <v>0</v>
      </c>
      <c r="BM742" s="61" t="str">
        <f aca="false">SUBSTITUTE(SUBSTITUTE(SUBSTITUTE(SUBSTITUTE(SUBSTITUTE(SUBSTITUTE(SUBSTITUTE(SUBSTITUTE(SUBSTITUTE(LOWER(Z742&amp;""),"1","0"),"2","0"),"3","0"),"4","0"),"5","0"),"6","0"),"7","0"),"8","0"),"9","0")</f>
        <v/>
      </c>
      <c r="BN742" s="61" t="str">
        <f aca="false">SUBSTITUTE(SUBSTITUTE(SUBSTITUTE(SUBSTITUTE(SUBSTITUTE(SUBSTITUTE(SUBSTITUTE(SUBSTITUTE(SUBSTITUTE(SUBSTITUTE(SUBSTITUTE(SUBSTITUTE(SUBSTITUTE(SUBSTITUTE(SUBSTITUTE(SUBSTITUTE(SUBSTITUTE(SUBSTITUTE(SUBSTITUTE(SUBSTITUTE(SUBSTITUTE(SUBSTITUTE(SUBSTITUTE(SUBSTITUTE(SUBSTITUTE(BM742,"b","a"),"c","a"),"d","a"),"e","a"),"f","a"),"g","a"),"h","a"),"i","a"),"j","a"),"k","a"),"l","a"),"m","a"),"n","a"),"o","a"),"p","a"),"q","a"),"r","a"),"s","a"),"t","a"),"u","a"),"v","a"),"w","a"),"x","a"),"y","a"),"z","a")</f>
        <v/>
      </c>
      <c r="BO742" s="61" t="str">
        <f aca="false">SUBSTITUTE(SUBSTITUTE(SUBSTITUTE(SUBSTITUTE(SUBSTITUTE(SUBSTITUTE(SUBSTITUTE(SUBSTITUTE(SUBSTITUTE(LOWER(W742&amp;""),"1","0"),"2","0"),"3","0"),"4","0"),"5","0"),"6","0"),"7","0"),"8","0"),"9","0")</f>
        <v/>
      </c>
      <c r="BP742" s="61" t="str">
        <f aca="false">SUBSTITUTE(SUBSTITUTE(SUBSTITUTE(SUBSTITUTE(SUBSTITUTE(SUBSTITUTE(SUBSTITUTE(SUBSTITUTE(SUBSTITUTE(SUBSTITUTE(SUBSTITUTE(SUBSTITUTE(SUBSTITUTE(SUBSTITUTE(SUBSTITUTE(SUBSTITUTE(SUBSTITUTE(SUBSTITUTE(SUBSTITUTE(SUBSTITUTE(SUBSTITUTE(SUBSTITUTE(SUBSTITUTE(SUBSTITUTE(SUBSTITUTE(BO742,"b","a"),"c","a"),"d","a"),"e","a"),"f","a"),"g","a"),"h","a"),"i","a"),"j","a"),"k","a"),"l","a"),"m","a"),"n","a"),"o","a"),"p","a"),"q","a"),"r","a"),"s","a"),"t","a"),"u","a"),"v","a"),"w","a"),"x","a"),"y","a"),"z","a")</f>
        <v/>
      </c>
      <c r="BQ742" s="61" t="n">
        <f aca="false">IFERROR(IF(AND(ISERROR(SEARCH(" mh"," "&amp;LOWER(W742))),ISNA(MATCH(LEFT(TRIM(BP742),255),{"0000a","000a","00a","0000aa","000aa","00aa","0aa","0000aaa","000aaa","00a00","0a00","0000-0000","00:00","a00","a0","00.00.0000","00/00/0000","00-00-0000","0000-00-00","0000/00/00","0000.00.00","00.00.00","00/00/00","00-00-00","0.00.0000","0/00/0000","0-00-0000"},0)),ISNA(MATCH(LEFT(TRIM(CA742),255),{"0000a","000a","00a","0000aa","000aa","00aa","0aa","0000aaa","000aaa","00a00","0a00","0000-0000","00:00","a00","a0","00.00.0000","00/00/0000","00-00-0000","0000-00-00","0000/00/00","0000.00.00","00.00.00","00/00/00","00-00-00","0.00.0000","0/00/0000","0-00-0000"},0)),LEN(CB742)&gt;=3,NOT(OR(SUBSTITUTE(CB742,"0","")="",AND(LEN(CB742)&gt;=4,CB742=REPT(LEFT(CB742),LEN(CB742))),ISNUMBER(MATCH(CB742,{"123","1234","12345","123456","1234567","12345678","0123","01234","012345","98765","987654","54321"},0)),AND(LEN(CB742)=8,LEFT(CB742,3)="202"))),OR(AND((LEN(CA742)-LEN(SUBSTITUTE(CA742,"a","")))&gt;=1,SUMPRODUCT(--ISNUMBER(SEARCH({"a0","a-0","a_0","a/0","a.0","a#0","0a","0-a","0_a","0/a"},BP742)))&gt;0),ISNUMBER(SEARCH("000000",BP742)))),1,0),0)</f>
        <v>0</v>
      </c>
      <c r="BR742" s="61" t="n">
        <f aca="false">IFERROR(LEN(SUBSTITUTE(CC742," ",""))-SUMPRODUCT((LEN(CC742)-LEN(SUBSTITUTE(CC742," "&amp;L_Role&amp;" "," ")))/(LEN(L_Role)+1)*LEN(L_Role)),0)</f>
        <v>0</v>
      </c>
      <c r="BS742" s="61" t="n">
        <f aca="false">IFERROR(LEN(SUBSTITUTE(CD742," ",""))-SUMPRODUCT((LEN(CD742)-LEN(SUBSTITUTE(CD742," "&amp;L_Role&amp;" "," ")))/(LEN(L_Role)+1)*LEN(L_Role)),0)</f>
        <v>0</v>
      </c>
      <c r="BT7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742,"revision",""),"version",""),"jan",""),"feb",""),"mar",""),"apr",""),"may",""),"jun",""),"jul",""),"aug",""),"sep",""),"oct",""),"nov",""),"dec",""),"utc",""),"gmt",""),"myt",""),"bst",""),"rev",""),"ver",""),"b","a"),"c","a"),"d","a"),"e","a"),"f","a"),"g","a"),"h","a"),"i","a"),"j","a"),"k","a"),"l","a"),"m","a"),"n","a"),"o","a"),"p","a"),"q","a"),"r","a"),"s","a"),"t","a"),"u","a"),"v","a"),"w","a"),"x","a"),"y","a"),"z","a")</f>
        <v/>
      </c>
      <c r="BU742" s="61" t="str">
        <f aca="false">SUBSTITUTE(SUBSTITUTE(SUBSTITUTE(SUBSTITUTE(SUBSTITUTE(SUBSTITUTE(SUBSTITUTE(SUBSTITUTE(SUBSTITUTE(SUBSTITUTE(LEFT(BM742,FIND("0",BM742&amp;"0")-1),"-",""),"_",""),"/",""),".",""),"#",""),"\\",""),":","")," ",""),"(",""),")","")</f>
        <v/>
      </c>
      <c r="BV742" s="61" t="n">
        <f aca="false">IFERROR(IF(OR(SUMPRODUCT((LEN(BC742)-LEN(SUBSTITUTE(BC742," "&amp;L_NotLoaded&amp;" "," ")))/(LEN(L_NotLoaded)+1))&gt;SUMPRODUCT((LEN(BC742)-LEN(SUBSTITUTE(BC742," "&amp;L_NotLoadedNeg&amp;" "," ")))/(LEN(L_NotLoadedNeg)+1)),SUMPRODUCT((LEN(BD742)-LEN(SUBSTITUTE(BD742," "&amp;L_NotLoaded&amp;" "," ")))/(LEN(L_NotLoaded)+1))&gt;SUMPRODUCT((LEN(BD742)-LEN(SUBSTITUTE(BD742," "&amp;L_NotLoadedNeg&amp;" "," ")))/(LEN(L_NotLoadedNeg)+1))),1,0),0)</f>
        <v>0</v>
      </c>
      <c r="BW742"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742&amp;""),"a",""),"b",""),"c",""),"d",""),"e",""),"f",""),"g",""),"h",""),"i",""),"j",""),"k",""),"l",""),"m",""),"n",""),"o",""),"p",""),"q",""),"r",""),"s",""),"t",""),"u",""),"v",""),"w",""),"x",""),"y",""),"z",""),"-",""),"_",""),"/",""),".",""),"#",""),"\\",""),":","")," ",""),"(",""),")","")</f>
        <v/>
      </c>
      <c r="BX742" s="61" t="str">
        <f aca="false">SUBSTITUTE(SUBSTITUTE(SUBSTITUTE(SUBSTITUTE(SUBSTITUTE(SUBSTITUTE(SUBSTITUTE(SUBSTITUTE(SUBSTITUTE(SUBSTITUTE(SUBSTITUTE(BM742,"0",""),"-",""),"_",""),"/",""),".",""),"#",""),"\\",""),":","")," ",""),"(",""),")","")</f>
        <v/>
      </c>
      <c r="BY742" s="62" t="n">
        <f aca="false">IF(ISNUMBER(Flights!$AZ$26),MAX(Q742-UpliftWindowH/24,Flights!$AZ$26),Q742-UpliftWindowH/24)</f>
        <v>46325.3888888889</v>
      </c>
      <c r="BZ742" s="61" t="n">
        <f aca="false">IFERROR(IF(IF(TRIM(S742)="Link / file path",AND(LEN(TRIM(Z742))&gt;=5,SUMPRODUCT(--ISNUMBER(SEARCH({"http","www.","\\",":\",".pdf",".jpg",".jpeg",".png",".heic",".xls",".doc",".msg",".eml",".ppt",".txt",".zip"},Z742)))&gt;0),AND(ISERROR(FIND(" ",TRIM(Z742))),NOT(OR(SUMPRODUCT(--ISNUMBER(FIND({",",";","&amp;","+"},Z742)))&gt;0,SUMPRODUCT(--ISNUMBER(SEARCH({"0/aa","0\\aa"},BN742)))&gt;0)),NOT(SUMPRODUCT(--ISNUMBER(SEARCH({"http","www.","\\",":\",".pdf",".jpg",".jpeg",".png",".heic",".xls",".doc",".msg",".eml",".ppt",".txt",".zip"},Z742)))&gt;0),NOT(LOWER(TRIM(Z742))=LOWER(Flights!$F$26)),ISNA(MATCH(BU742,{"mh","rev","revision","ver","version","v","r","a","b","seat","tray","row","gate","bay","stand","page","pg","item","line","no","cart","galley","flight","flt","table","box","bag","oven","etd","eta","std","sta","atd","ata","qty","pax","x","time","tel","ph","mob","day","wk","week","utc","gmt","myt","lt"},0)),NOT(OR(ISNUMBER(MATCH(LEFT(BN742,255),{"0000a","000a","00a","0000aa","000aa","00aa","0aa","0000aaa","000aaa","00a00","0a00","0000-0000","00:00","a00","a0","00.00.0000","00/00/0000","00-00-0000","0000-00-00","0000/00/00","0000.00.00","00.00.00","00/00/00","00-00-00","0.00.0000","0/00/0000","0-00-0000"},0)),ISNUMBER(MATCH(LEFT(BT742,255),{"0000a","000a","00a","0000aa","000aa","00aa","0aa","0000aaa","000aaa","00a00","0a00","0000-0000","00:00","a00","a0","00.00.0000","00/00/0000","00-00-0000","0000-00-00","0000/00/00","0000.00.00","00.00.00","00/00/00","00-00-00","0.00.0000","0/00/0000","0-00-0000"},0)))),NOT(OR(AND(BW742&lt;&gt;"",SUBSTITUTE(BW742,"0","")=""),AND(LEN(BW742)&gt;=4,BW742=REPT(LEFT(BW742),LEN(BW742))),ISNUMBER(MATCH(BW742,{"123","1234","12345","123456","1234567","12345678","0123","01234","012345","98765","987654","54321"},0)),ISNUMBER(MATCH(BX742,{"x","xx","xxx","xxxx","xxxxx","abc","abcd","nil","na","nan","test","tbc","tba","tbd","dummy","sample","example","eg","zz","zzz","none","null","xyz","qwe","asd","id","ref"},0)),AND(LEN(BW742)=8,BX742="",OR(LEFT(BW742,3)="202",ISNUMBER(MATCH(RIGHT(BW742,4),{"2025","2026","2027"},0)))))),OR(AND((LEN(BT742)-LEN(SUBSTITUTE(BT742,"a","")))&gt;=1,(LEN(BN742)-LEN(SUBSTITUTE(BN742,"0","")))&gt;=2,SUMPRODUCT(--ISNUMBER(SEARCH({"a0","a-0","a_0","a/0","a.0","a#0","0a","0-a","0_a","0/a"},BN742)))&gt;0),AND((LEN(BN742)-LEN(SUBSTITUTE(BN742,"a","")))=0,(LEN(BN742)-LEN(SUBSTITUTE(BN742,"0","")))&gt;=5)))),1,0),0)</f>
        <v>0</v>
      </c>
      <c r="CA7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742,"revision",""),"version",""),"jan",""),"feb",""),"mar",""),"apr",""),"may",""),"jun",""),"jul",""),"aug",""),"sep",""),"oct",""),"nov",""),"dec",""),"utc",""),"gmt",""),"myt",""),"bst",""),"rev",""),"ver",""),"b","a"),"c","a"),"d","a"),"e","a"),"f","a"),"g","a"),"h","a"),"i","a"),"j","a"),"k","a"),"l","a"),"m","a"),"n","a"),"o","a"),"p","a"),"q","a"),"r","a"),"s","a"),"t","a"),"u","a"),"v","a"),"w","a"),"x","a"),"y","a"),"z","a")</f>
        <v/>
      </c>
      <c r="CB74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742&amp;""),"a",""),"b",""),"c",""),"d",""),"e",""),"f",""),"g",""),"h",""),"i",""),"j",""),"k",""),"l",""),"m",""),"n",""),"o",""),"p",""),"q",""),"r",""),"s",""),"t",""),"u",""),"v",""),"w",""),"x",""),"y",""),"z",""),"-",""),"_",""),"/",""),".",""),"#",""),"\\",""),":","")," ",""),"(",""),")","")</f>
        <v/>
      </c>
      <c r="CC742" s="0" t="str">
        <f aca="false">" "&amp;TRIM(SUBSTITUTE(SUBSTITUTE(SUBSTITUTE(SUBSTITUTE(SUBSTITUTE(SUBSTITUTE(SUBSTITUTE(SUBSTITUTE(SUBSTITUTE(SUBSTITUTE(SUBSTITUTE(SUBSTITUTE(SUBSTITUTE(SUBSTITUTE(SUBSTITUTE(SUBSTITUTE(SUBSTITUTE(SUBSTITUTE(SUBSTITUTE(SUBSTITUTE(SUBSTITUTE(SUBSTITUTE(SUBSTITUTE(SUBSTITUTE(LOWER(T742&amp;""),CHAR(10)," "),CHAR(13)," "),CHAR(9)," "),CHAR(160)," "),"."," "),","," "),"-"," "),"/"," "),"("," "),")"," "),":"," "),";"," "),"_"," "),"–"," "),"?"," "),"!"," "),"*"," "),"["," "),"]"," "),"'"," "),"#"," "),"+"," "),"&amp;"," "),"\"," "))&amp;" "</f>
        <v>  </v>
      </c>
      <c r="CD742" s="0" t="str">
        <f aca="false">" "&amp;TRIM(SUBSTITUTE(SUBSTITUTE(SUBSTITUTE(SUBSTITUTE(SUBSTITUTE(SUBSTITUTE(SUBSTITUTE(SUBSTITUTE(SUBSTITUTE(SUBSTITUTE(SUBSTITUTE(SUBSTITUTE(SUBSTITUTE(SUBSTITUTE(SUBSTITUTE(SUBSTITUTE(SUBSTITUTE(SUBSTITUTE(SUBSTITUTE(SUBSTITUTE(SUBSTITUTE(SUBSTITUTE(SUBSTITUTE(SUBSTITUTE(LOWER(AE742&amp;""),CHAR(10)," "),CHAR(13)," "),CHAR(9)," "),CHAR(160)," "),"."," "),","," "),"-"," "),"/"," "),"("," "),")"," "),":"," "),";"," "),"_"," "),"–"," "),"?"," "),"!"," "),"*"," "),"["," "),"]"," "),"'"," "),"#"," "),"+"," "),"&amp;"," "),"\"," "))&amp;" "</f>
        <v>  </v>
      </c>
      <c r="CE742" s="68" t="n">
        <f aca="false">IFERROR(IF(AND(LEN(AU742)&gt;0,LEN(AU742)=LEN(AX742),OR(TRIM(MID(SUBSTITUTE(TRIM(CC742)," ",REPT(" ",60)),1,60))="",ISNUMBER(SEARCH(" "&amp;TRIM(MID(SUBSTITUTE(TRIM(CC742)," ",REPT(" ",60)),1,60))&amp;" ",CD742))),OR(TRIM(MID(SUBSTITUTE(TRIM(CC742)," ",REPT(" ",60)),61,60))="",ISNUMBER(SEARCH(" "&amp;TRIM(MID(SUBSTITUTE(TRIM(CC742)," ",REPT(" ",60)),61,60))&amp;" ",CD742))),OR(TRIM(MID(SUBSTITUTE(TRIM(CC742)," ",REPT(" ",60)),121,60))="",ISNUMBER(SEARCH(" "&amp;TRIM(MID(SUBSTITUTE(TRIM(CC742)," ",REPT(" ",60)),121,60))&amp;" ",CD742)))),1,0),0)</f>
        <v>0</v>
      </c>
      <c r="CG742" s="68" t="n">
        <f aca="false">IFERROR(LEN(SUBSTITUTE(BF742," ",""))-SUMPRODUCT((LEN(BF742)-LEN(SUBSTITUTE(BF742," "&amp;L_NAFiller&amp;" "," ")))/(LEN(L_NAFiller)+1)*LEN(L_NAFiller)),0)</f>
        <v>0</v>
      </c>
    </row>
    <row r="743" customFormat="false" ht="39.75" hidden="false" customHeight="true" outlineLevel="0" collapsed="false">
      <c r="A743" s="57" t="s">
        <v>1477</v>
      </c>
      <c r="B743" s="57" t="s">
        <v>312</v>
      </c>
      <c r="C743" s="57" t="str">
        <f aca="false">Flights!$F$26</f>
        <v>MH0002</v>
      </c>
      <c r="D743" s="58" t="n">
        <f aca="false">Flights!$D$26</f>
        <v>46325</v>
      </c>
      <c r="E743" s="57" t="str">
        <f aca="false">Flights!$G$26&amp;"-"&amp;Flights!$H$26</f>
        <v>KUL-LHR</v>
      </c>
      <c r="F743" s="57" t="str">
        <f aca="false">Flights!$K$26</f>
        <v>BC</v>
      </c>
      <c r="G743" s="57" t="s">
        <v>459</v>
      </c>
      <c r="H743" s="57" t="s">
        <v>460</v>
      </c>
      <c r="I743" s="57" t="s">
        <v>499</v>
      </c>
      <c r="J743" s="57" t="s">
        <v>548</v>
      </c>
      <c r="K743" s="67" t="s">
        <v>616</v>
      </c>
      <c r="L743" s="67" t="s">
        <v>746</v>
      </c>
      <c r="M743" s="67" t="s">
        <v>451</v>
      </c>
      <c r="N743" s="67" t="s">
        <v>383</v>
      </c>
      <c r="O743" s="67" t="s">
        <v>549</v>
      </c>
      <c r="P743" s="57" t="s">
        <v>187</v>
      </c>
      <c r="Q743" s="59" t="n">
        <f aca="false">ROUND((Flights!$AF$26)*1440,0)/1440</f>
        <v>46325.6388888889</v>
      </c>
      <c r="R743" s="59" t="n">
        <f aca="false">Q743+(IF(AND(INDEX(TZ_DSTS,MATCH(P743,TZ_STN,0))&lt;&gt;"",Q743&gt;=INDEX(TZ_DSTS,MATCH(P743,TZ_STN,0)),Q743&lt;INDEX(TZ_DSTE,MATCH(P743,TZ_STN,0))),INDEX(TZ_DST,MATCH(P743,TZ_STN,0)),INDEX(TZ_STD,MATCH(P743,TZ_STN,0))))/24</f>
        <v>46325.9722222222</v>
      </c>
      <c r="S743" s="60"/>
      <c r="T743" s="60"/>
      <c r="U743" s="60"/>
      <c r="V743" s="60"/>
      <c r="W743" s="61"/>
      <c r="X743" s="60"/>
      <c r="Y743" s="60"/>
      <c r="Z743" s="60"/>
      <c r="AA743" s="60"/>
      <c r="AB743" s="60"/>
      <c r="AC743" s="60"/>
      <c r="AD743" s="66"/>
      <c r="AE743" s="60"/>
      <c r="AF743" s="61" t="str">
        <f aca="false">IF(AND(ISNUMBER(X743),ISNUMBER(Y743)),Y743-X743,"")</f>
        <v/>
      </c>
      <c r="AG743" s="62" t="str">
        <f aca="false">IF(ISNUMBER(AD743),AD743-(IF(AND(INDEX(TZ_DSTS,MATCH(P743,TZ_STN,0))&lt;&gt;"",(AD743-INDEX(TZ_STD,MATCH(P743,TZ_STN,0))/24)&gt;=INDEX(TZ_DSTS,MATCH(P743,TZ_STN,0)),(AD743-INDEX(TZ_STD,MATCH(P743,TZ_STN,0))/24)&lt;INDEX(TZ_DSTE,MATCH(P743,TZ_STN,0))),INDEX(TZ_DST,MATCH(P743,TZ_STN,0)),INDEX(TZ_STD,MATCH(P743,TZ_STN,0))))/24,"")</f>
        <v/>
      </c>
      <c r="AH743" s="65" t="str">
        <f aca="false">IFERROR(IF(N743="N/A – rule",IF(OR(TRIM(U743)="",TRIM(U743)="N/A",TRIM(U743)="Not started"),"N/A – RULE","INVALID – this check does not apply to this aircraft: clear the status (or correct the fleet on Flights)"),IF(TRIM(U743)="N/A",IF(AT743=0,"INVALID – N/A not permitted for this check",IF(AND(TRIM(AB743)&lt;&gt;"",TRIM(AB743)&lt;&gt;"Closed"),"INVALID – corrective action still open",IF(AND(NOT(OR(LEN(AZ743)&lt;15,ISNUMBER(MATCH(AZ743,L_Placeholder,0)))),BK743=0,CG743&gt;=8,NOT(OR(LEN(AU743)&lt;2,ISNUMBER(MATCH(AU743,L_Placeholder,0)))),BR743&gt;=3,NOT(OR(LEN(AX743)&lt;2,ISNUMBER(MATCH(AX743,L_Placeholder,0)))),BS743&gt;=3,TRIM(AE743)&lt;&gt;TRIM(T743),AX743&lt;&gt;AU743,CE743=0),"N/A – JUSTIFIED","INVALID – N/A needs a real, settled reason (not 'not applicable' / 'as above' / TBC), a named PIC and a different named verifier"))),IF(OR(TRIM(U743)="Pass",TRIM(U743)="Pass after CA"),IF(NOT(ISNUMBER(AD743)),"INVALID – completion time missing",IF(OR(OR(LEN(AU743)&lt;2,ISNUMBER(MATCH(AU743,L_Placeholder,0))),BR743&lt;3),"INVALID – PIC missing or not a named person (a role such as QA / CSM is not a name)",IF(OR(LEN(AV743)&lt;2,ISNUMBER(MATCH(AV743,L_Placeholder,0))),"INVALID – result / assessment missing",IF(OR(OR(LEN(AW743)&lt;3,ISNUMBER(MATCH(AW743,L_Placeholder,0))),SUMPRODUCT(--ISNUMBER(SEARCH(" "&amp;L_EvidencePhrase&amp;" ",BD743)))&gt;0,BI743=1),"INVALID – evidence missing, placeholder or not yet on file",IF(ISNA(MATCH(TRIM(S743),L_EvidenceType,0)),"INVALID – choose the evidence type from the list (column S)",IF(BL743=0,"INVALID – evidence ID must be the record's own ID only (e.g. SF-2210, IMG_2231, 1045521); a link / file name needs type 'Link / file path'",IF(OR(OR(LEN(AX743)&lt;2,ISNUMBER(MATCH(AX743,L_Placeholder,0))),BS743&lt;3),"INVALID – verifier missing or not a named person (a role such as QA / CSM is not a name)",IF(OR(AX743=AU743,CE743=1,AND(LEN(AU743)&gt;=4,ISNUMBER(SEARCH(AU743,AX743))),AND(LEN(AX743)&gt;=4,ISNUMBER(SEARCH(AX743,AU743)))),"INVALID – verifier must be a different, named person (not the PIC or a role)",IF(BH743=1,"INVALID – result not yet available (awaiting / TBC)",IF(BG743=1,"INVALID – result describes a problem: record Fail, then Pass after CA (or reword if it is not a problem)",IF(BV743=1,"INVALID – wording says not on board: an on-board confirmation needs the item loaded",IF(AND(AQ743=1,OR(OR(LEN(AY743)&lt;3,ISNUMBER(MATCH(AY743,L_Placeholder,0))),BJ743=1,BQ743=0)),"INVALID – batch ID missing, placeholder or not an ID (e.g. PASB-261008-BC-017)",IF(AND(AR743=1,OR(NOT(ISNUMBER(X743)),NOT(ISNUMBER(Y743)))),"INVALID – expected/actual qty missing",IF(AND(AR743=1,OR(X743&lt;=0,Y743&lt;0)),"INVALID – expected qty must be above 0 and actual not negative",IF(AH727="N/A – JUSTIFIED","INVALID – preparation row F22-T12-16 is N/A",IF(AND(AR743=1,ISNUMBER(X727),X743&lt;&gt;X727,TRIM(U743)&lt;&gt;"Pass after CA"),"INVALID – expected qty differs from preparation check F22-T12-16: record the load change as a corrective action (Pass after CA)",IF(BB743&lt;&gt;"",BB743,IF(AND(AS743=1,Documents!$J$26&lt;&gt;"ON FILE"),"INVALID – GLD not on file (Documents sheet)",IF(AND(AS743=2,Documents!$O$26&lt;&gt;"ON FILE"),"INVALID – menu checklist not on file (Documents sheet)",IF(AND(AS743=3,NOT(ISNUMBER(Flights!$AX$26))),"INVALID – enter carrying flight KUL departure (Flights AX)",IF(AND(AS743=3,OR(Flights!$AZ$26&gt;Flights!$AA$26,Flights!$AX$26&lt;Flights!$AA$26-3)),"INVALID – carrying flight (Flights AX) cannot arrive before this leg's STD, or is over 3 days early",IF(AG743&gt;AsOfUTC,"INVALID – completion time is in the future",IF(AND(ISNUMBER(BY743),AG743&lt;BY743),IF(H743="Physical uplift","INVALID – before uplift window (cannot confirm loading)","INVALID – before valid window"),IF(AG743&gt;Flights!$AA$26,"INVALID – completed after departure (cannot establish readiness)",IF(AND(H743="Preparation",AG743&gt;=IF(ISNUMBER(Flights!$BA$26),MIN(Flights!$BA$26,Flights!$AA$26),Flights!$AA$26)),"INVALID – completed after loading / departure (cannot establish readiness)",IF(AND(H743="Physical uplift",AG743&gt;Q743),"INVALID – recorded after the loading flight departed",IF(AG743&gt;Q743,"COMPLETE – LATE","COMPLETE"))))))))))))))))))))))))))),IF(TRIM(U743)="Fail","FAIL – DISCREPANCY",IF(AND(TRIM(U743)&lt;&gt;"",TRIM(U743)&lt;&gt;"Not started",TRIM(U743)&lt;&gt;"In progress"),"INVALID – unrecognised status (use the list)",IF(AsOfUTC&gt;Q743,"OVERDUE",IF(N743="Clarification required","OPEN – CLARIFICATION","OPEN"))))))),"INVALID – error value in an input cell")</f>
        <v>OPEN</v>
      </c>
      <c r="AI743" s="61" t="n">
        <f aca="false">IF(OR(AH743="N/A – RULE",AH743="N/A – JUSTIFIED"),0,1)</f>
        <v>1</v>
      </c>
      <c r="AJ743" s="61" t="n">
        <f aca="false">IF(LEFT(AH743,8)="COMPLETE",1,0)</f>
        <v>0</v>
      </c>
      <c r="AK743" s="61" t="n">
        <f aca="false">IF(AND(AI743=1,AJ743=0,AsOfUTC&gt;Q743),1,0)</f>
        <v>0</v>
      </c>
      <c r="AL743" s="61" t="n">
        <f aca="false">IFERROR(IF(AND(AI743=1,OR(TRIM(U743)="Fail",AND(TRIM(AB743)&lt;&gt;"",TRIM(AB743)&lt;&gt;"Closed"),AND(ISNUMBER(AF743),AF743&lt;&gt;0,TRIM(U743)&lt;&gt;"Pass after CA"))),1,0),1)</f>
        <v>0</v>
      </c>
      <c r="AM743" s="61" t="n">
        <f aca="false">IF(LEFT(AH743,7)="INVALID",1,0)</f>
        <v>0</v>
      </c>
      <c r="AN743" s="61" t="n">
        <f aca="false">IF(AND(N743="Clarification required",AI743=1,AJ743=0),1,0)</f>
        <v>0</v>
      </c>
      <c r="AO743" s="61" t="str">
        <f aca="false">IF(AK743=1,SUM(AK$5:AK743),"")</f>
        <v/>
      </c>
      <c r="AP743" s="61" t="str">
        <f aca="false">IF(AL743=1,SUM(AL$5:AL743),"")</f>
        <v/>
      </c>
      <c r="AQ743" s="61" t="n">
        <v>0</v>
      </c>
      <c r="AR743" s="61" t="n">
        <v>0</v>
      </c>
      <c r="AS743" s="61" t="n">
        <v>0</v>
      </c>
      <c r="AT743" s="61" t="n">
        <v>0</v>
      </c>
      <c r="AU743" s="61" t="str">
        <f aca="false">SUBSTITUTE(SUBSTITUTE(SUBSTITUTE(SUBSTITUTE(SUBSTITUTE(SUBSTITUTE(SUBSTITUTE(SUBSTITUTE(SUBSTITUTE(SUBSTITUTE(SUBSTITUTE(SUBSTITUTE(SUBSTITUTE(SUBSTITUTE(SUBSTITUTE(SUBSTITUTE(LOWER(T743&amp;""),CHAR(10),""),CHAR(13),""),CHAR(9),""),CHAR(160),"")," ",""),".",""),"-",""),"/",""),"?",""),"_",""),",",""),"[",""),"]",""),"(",""),")",""),"*","")</f>
        <v/>
      </c>
      <c r="AV743" s="61" t="str">
        <f aca="false">SUBSTITUTE(SUBSTITUTE(SUBSTITUTE(SUBSTITUTE(SUBSTITUTE(SUBSTITUTE(SUBSTITUTE(SUBSTITUTE(SUBSTITUTE(SUBSTITUTE(SUBSTITUTE(SUBSTITUTE(SUBSTITUTE(SUBSTITUTE(SUBSTITUTE(SUBSTITUTE(LOWER(V743&amp;""),CHAR(10),""),CHAR(13),""),CHAR(9),""),CHAR(160),"")," ",""),".",""),"-",""),"/",""),"?",""),"_",""),",",""),"[",""),"]",""),"(",""),")",""),"*","")</f>
        <v/>
      </c>
      <c r="AW743" s="61" t="str">
        <f aca="false">SUBSTITUTE(SUBSTITUTE(SUBSTITUTE(SUBSTITUTE(SUBSTITUTE(SUBSTITUTE(SUBSTITUTE(SUBSTITUTE(SUBSTITUTE(SUBSTITUTE(SUBSTITUTE(SUBSTITUTE(SUBSTITUTE(SUBSTITUTE(SUBSTITUTE(SUBSTITUTE(LOWER(Z743&amp;""),CHAR(10),""),CHAR(13),""),CHAR(9),""),CHAR(160),"")," ",""),".",""),"-",""),"/",""),"?",""),"_",""),",",""),"[",""),"]",""),"(",""),")",""),"*","")</f>
        <v/>
      </c>
      <c r="AX743" s="61" t="str">
        <f aca="false">SUBSTITUTE(SUBSTITUTE(SUBSTITUTE(SUBSTITUTE(SUBSTITUTE(SUBSTITUTE(SUBSTITUTE(SUBSTITUTE(SUBSTITUTE(SUBSTITUTE(SUBSTITUTE(SUBSTITUTE(SUBSTITUTE(SUBSTITUTE(SUBSTITUTE(SUBSTITUTE(LOWER(AE743&amp;""),CHAR(10),""),CHAR(13),""),CHAR(9),""),CHAR(160),"")," ",""),".",""),"-",""),"/",""),"?",""),"_",""),",",""),"[",""),"]",""),"(",""),")",""),"*","")</f>
        <v/>
      </c>
      <c r="AY743" s="61" t="str">
        <f aca="false">SUBSTITUTE(SUBSTITUTE(SUBSTITUTE(SUBSTITUTE(SUBSTITUTE(SUBSTITUTE(SUBSTITUTE(SUBSTITUTE(SUBSTITUTE(SUBSTITUTE(SUBSTITUTE(SUBSTITUTE(SUBSTITUTE(SUBSTITUTE(SUBSTITUTE(SUBSTITUTE(LOWER(W743&amp;""),CHAR(10),""),CHAR(13),""),CHAR(9),""),CHAR(160),"")," ",""),".",""),"-",""),"/",""),"?",""),"_",""),",",""),"[",""),"]",""),"(",""),")",""),"*","")</f>
        <v/>
      </c>
      <c r="AZ743" s="61" t="str">
        <f aca="false">SUBSTITUTE(SUBSTITUTE(SUBSTITUTE(SUBSTITUTE(SUBSTITUTE(SUBSTITUTE(SUBSTITUTE(SUBSTITUTE(SUBSTITUTE(SUBSTITUTE(SUBSTITUTE(SUBSTITUTE(SUBSTITUTE(SUBSTITUTE(SUBSTITUTE(SUBSTITUTE(LOWER(AC743&amp;""),CHAR(10),""),CHAR(13),""),CHAR(9),""),CHAR(160),"")," ",""),".",""),"-",""),"/",""),"?",""),"_",""),",",""),"[",""),"]",""),"(",""),")",""),"*","")</f>
        <v/>
      </c>
      <c r="BA743" s="61" t="str">
        <f aca="false">SUBSTITUTE(SUBSTITUTE(SUBSTITUTE(SUBSTITUTE(SUBSTITUTE(SUBSTITUTE(SUBSTITUTE(SUBSTITUTE(SUBSTITUTE(SUBSTITUTE(SUBSTITUTE(SUBSTITUTE(SUBSTITUTE(SUBSTITUTE(SUBSTITUTE(SUBSTITUTE(LOWER(AA743&amp;""),CHAR(10),""),CHAR(13),""),CHAR(9),""),CHAR(160),"")," ",""),".",""),"-",""),"/",""),"?",""),"_",""),",",""),"[",""),"]",""),"(",""),")",""),"*","")</f>
        <v/>
      </c>
      <c r="BB743" s="61" t="str">
        <f aca="false">IF(AND(TRIM(U743)="Pass",ISNUMBER(AF743)),IF(AF743&lt;&gt;0,"INVALID – qty variance: use Fail or Pass after CA",""),"")&amp;IF(AND(TRIM(U743)="Pass after CA",ISNUMBER(AF743)),IF(AF743&lt;&gt;0,"INVALID – after the corrective action the actual qty must equal expected (update Actual)",""),"")&amp;IF(AND(TRIM(U743)="Pass",TRIM(AB743)&lt;&gt;"",TRIM(AB743)&lt;&gt;"Closed"),"INVALID – corrective action not closed: use Fail, then Pass after CA","")&amp;IF(AND(LEN(BA743)&gt;=2,ISNA(MATCH(LEFT(BA743,255),L_Placeholder,0)),TRIM(AB743)=""),"INVALID – CA status missing for the recorded corrective action","")&amp;IF(AND(TRIM(U743)="Pass after CA",OR(OR(LEN(BA743)&lt;5,ISNUMBER(MATCH(BA743,L_Placeholder,0))),TRIM(AB743)&lt;&gt;"Closed")),"INVALID – corrective action not recorded/closed","")</f>
        <v/>
      </c>
      <c r="BC743" s="61" t="str">
        <f aca="false">" "&amp;TRIM(SUBSTITUTE(SUBSTITUTE(SUBSTITUTE(SUBSTITUTE(SUBSTITUTE(SUBSTITUTE(SUBSTITUTE(SUBSTITUTE(SUBSTITUTE(SUBSTITUTE(SUBSTITUTE(SUBSTITUTE(SUBSTITUTE(SUBSTITUTE(SUBSTITUTE(SUBSTITUTE(SUBSTITUTE(SUBSTITUTE(SUBSTITUTE(SUBSTITUTE(SUBSTITUTE(SUBSTITUTE(SUBSTITUTE(SUBSTITUTE(LOWER(V743&amp;""),CHAR(10)," "),CHAR(13)," "),CHAR(9)," "),CHAR(160)," "),"."," "),","," "),"-"," "),"/"," "),"("," "),")"," "),":"," "),";"," "),"_"," "),"–"," "),"?"," "),"!"," "),"*"," "),"["," "),"]"," "),"'"," "),"#"," "),"+"," "),"&amp;"," "),"\"," "))&amp;" "</f>
        <v>  </v>
      </c>
      <c r="BD743" s="61" t="str">
        <f aca="false">" "&amp;TRIM(SUBSTITUTE(SUBSTITUTE(SUBSTITUTE(SUBSTITUTE(SUBSTITUTE(SUBSTITUTE(SUBSTITUTE(SUBSTITUTE(SUBSTITUTE(SUBSTITUTE(SUBSTITUTE(SUBSTITUTE(SUBSTITUTE(SUBSTITUTE(SUBSTITUTE(SUBSTITUTE(SUBSTITUTE(SUBSTITUTE(SUBSTITUTE(SUBSTITUTE(SUBSTITUTE(SUBSTITUTE(SUBSTITUTE(SUBSTITUTE(LOWER(Z743&amp;""),CHAR(10)," "),CHAR(13)," "),CHAR(9)," "),CHAR(160)," "),"."," "),","," "),"-"," "),"/"," "),"("," "),")"," "),":"," "),";"," "),"_"," "),"–"," "),"?"," "),"!"," "),"*"," "),"["," "),"]"," "),"'"," "),"#"," "),"+"," "),"&amp;"," "),"\"," "))&amp;" "</f>
        <v>  </v>
      </c>
      <c r="BE743" s="61" t="str">
        <f aca="false">" "&amp;TRIM(SUBSTITUTE(SUBSTITUTE(SUBSTITUTE(SUBSTITUTE(SUBSTITUTE(SUBSTITUTE(SUBSTITUTE(SUBSTITUTE(SUBSTITUTE(SUBSTITUTE(SUBSTITUTE(SUBSTITUTE(SUBSTITUTE(SUBSTITUTE(SUBSTITUTE(SUBSTITUTE(SUBSTITUTE(SUBSTITUTE(SUBSTITUTE(SUBSTITUTE(SUBSTITUTE(SUBSTITUTE(SUBSTITUTE(SUBSTITUTE(LOWER(W743&amp;""),CHAR(10)," "),CHAR(13)," "),CHAR(9)," "),CHAR(160)," "),"."," "),","," "),"-"," "),"/"," "),"("," "),")"," "),":"," "),";"," "),"_"," "),"–"," "),"?"," "),"!"," "),"*"," "),"["," "),"]"," "),"'"," "),"#"," "),"+"," "),"&amp;"," "),"\"," "))&amp;" "</f>
        <v>  </v>
      </c>
      <c r="BF743" s="61" t="str">
        <f aca="false">" "&amp;TRIM(SUBSTITUTE(SUBSTITUTE(SUBSTITUTE(SUBSTITUTE(SUBSTITUTE(SUBSTITUTE(SUBSTITUTE(SUBSTITUTE(SUBSTITUTE(SUBSTITUTE(SUBSTITUTE(SUBSTITUTE(SUBSTITUTE(SUBSTITUTE(SUBSTITUTE(SUBSTITUTE(SUBSTITUTE(SUBSTITUTE(SUBSTITUTE(SUBSTITUTE(SUBSTITUTE(SUBSTITUTE(SUBSTITUTE(SUBSTITUTE(LOWER(AC743&amp;""),CHAR(10)," "),CHAR(13)," "),CHAR(9)," "),CHAR(160)," "),"."," "),","," "),"-"," "),"/"," "),"("," "),")"," "),":"," "),";"," "),"_"," "),"–"," "),"?"," "),"!"," "),"*"," "),"["," "),"]"," "),"'"," "),"#"," "),"+"," "),"&amp;"," "),"\"," "))&amp;" "</f>
        <v>  </v>
      </c>
      <c r="BG743" s="61" t="n">
        <f aca="false">IFERROR(IF(AND(TRIM(U743)="Pass",SUMPRODUCT((LEN(BC743)-LEN(SUBSTITUTE(BC743," "&amp;L_ResultBad&amp;" "," ")))/(LEN(L_ResultBad)+1))&gt;SUMPRODUCT((LEN(BC743)-LEN(SUBSTITUTE(BC743," "&amp;L_NegPhrase&amp;" "," ")))/(LEN(L_NegPhrase)+1))),1,0),0)</f>
        <v>0</v>
      </c>
      <c r="BH743" s="61" t="n">
        <f aca="false">IFERROR(IF(SUMPRODUCT((LEN(BC743)-LEN(SUBSTITUTE(BC743," "&amp;L_Pending&amp;" "," ")))/(LEN(L_Pending)+1))&gt;SUMPRODUCT((LEN(BC743)-LEN(SUBSTITUTE(BC743," "&amp;L_PendNeg&amp;" "," ")))/(LEN(L_PendNeg)+1)),1,0),1)</f>
        <v>0</v>
      </c>
      <c r="BI743" s="61" t="n">
        <f aca="false">IFERROR(IF(SUMPRODUCT((LEN(BD743)-LEN(SUBSTITUTE(BD743," "&amp;L_PendStrict&amp;" "," ")))/(LEN(L_PendStrict)+1))&gt;SUMPRODUCT((LEN(BD743)-LEN(SUBSTITUTE(BD743," "&amp;L_PendNeg&amp;" "," ")))/(LEN(L_PendNeg)+1)),1,0),1)</f>
        <v>0</v>
      </c>
      <c r="BJ743" s="61" t="n">
        <f aca="false">IFERROR(IF(SUMPRODUCT((LEN(BE743)-LEN(SUBSTITUTE(BE743," "&amp;L_Pending&amp;" "," ")))/(LEN(L_Pending)+1))&gt;SUMPRODUCT((LEN(BE743)-LEN(SUBSTITUTE(BE743," "&amp;L_PendNeg&amp;" "," ")))/(LEN(L_PendNeg)+1)),1,0),1)</f>
        <v>0</v>
      </c>
      <c r="BK743" s="61" t="n">
        <f aca="false">IFERROR(IF(SUMPRODUCT((LEN(BF743)-LEN(SUBSTITUTE(BF743," "&amp;L_PendStrict&amp;" "," ")))/(LEN(L_PendStrict)+1))&gt;SUMPRODUCT((LEN(BF743)-LEN(SUBSTITUTE(BF743," "&amp;L_PendNeg&amp;" "," ")))/(LEN(L_PendNeg)+1)),1,0),1)</f>
        <v>0</v>
      </c>
      <c r="BL743" s="61" t="n">
        <f aca="false">IF(ISNA(MATCH(TRIM(S743),L_EvidenceType,0)),0,BZ743)</f>
        <v>0</v>
      </c>
      <c r="BM743" s="61" t="str">
        <f aca="false">SUBSTITUTE(SUBSTITUTE(SUBSTITUTE(SUBSTITUTE(SUBSTITUTE(SUBSTITUTE(SUBSTITUTE(SUBSTITUTE(SUBSTITUTE(LOWER(Z743&amp;""),"1","0"),"2","0"),"3","0"),"4","0"),"5","0"),"6","0"),"7","0"),"8","0"),"9","0")</f>
        <v/>
      </c>
      <c r="BN743" s="61" t="str">
        <f aca="false">SUBSTITUTE(SUBSTITUTE(SUBSTITUTE(SUBSTITUTE(SUBSTITUTE(SUBSTITUTE(SUBSTITUTE(SUBSTITUTE(SUBSTITUTE(SUBSTITUTE(SUBSTITUTE(SUBSTITUTE(SUBSTITUTE(SUBSTITUTE(SUBSTITUTE(SUBSTITUTE(SUBSTITUTE(SUBSTITUTE(SUBSTITUTE(SUBSTITUTE(SUBSTITUTE(SUBSTITUTE(SUBSTITUTE(SUBSTITUTE(SUBSTITUTE(BM743,"b","a"),"c","a"),"d","a"),"e","a"),"f","a"),"g","a"),"h","a"),"i","a"),"j","a"),"k","a"),"l","a"),"m","a"),"n","a"),"o","a"),"p","a"),"q","a"),"r","a"),"s","a"),"t","a"),"u","a"),"v","a"),"w","a"),"x","a"),"y","a"),"z","a")</f>
        <v/>
      </c>
      <c r="BO743" s="61" t="str">
        <f aca="false">SUBSTITUTE(SUBSTITUTE(SUBSTITUTE(SUBSTITUTE(SUBSTITUTE(SUBSTITUTE(SUBSTITUTE(SUBSTITUTE(SUBSTITUTE(LOWER(W743&amp;""),"1","0"),"2","0"),"3","0"),"4","0"),"5","0"),"6","0"),"7","0"),"8","0"),"9","0")</f>
        <v/>
      </c>
      <c r="BP743" s="61" t="str">
        <f aca="false">SUBSTITUTE(SUBSTITUTE(SUBSTITUTE(SUBSTITUTE(SUBSTITUTE(SUBSTITUTE(SUBSTITUTE(SUBSTITUTE(SUBSTITUTE(SUBSTITUTE(SUBSTITUTE(SUBSTITUTE(SUBSTITUTE(SUBSTITUTE(SUBSTITUTE(SUBSTITUTE(SUBSTITUTE(SUBSTITUTE(SUBSTITUTE(SUBSTITUTE(SUBSTITUTE(SUBSTITUTE(SUBSTITUTE(SUBSTITUTE(SUBSTITUTE(BO743,"b","a"),"c","a"),"d","a"),"e","a"),"f","a"),"g","a"),"h","a"),"i","a"),"j","a"),"k","a"),"l","a"),"m","a"),"n","a"),"o","a"),"p","a"),"q","a"),"r","a"),"s","a"),"t","a"),"u","a"),"v","a"),"w","a"),"x","a"),"y","a"),"z","a")</f>
        <v/>
      </c>
      <c r="BQ743" s="61" t="n">
        <f aca="false">IFERROR(IF(AND(ISERROR(SEARCH(" mh"," "&amp;LOWER(W743))),ISNA(MATCH(LEFT(TRIM(BP743),255),{"0000a","000a","00a","0000aa","000aa","00aa","0aa","0000aaa","000aaa","00a00","0a00","0000-0000","00:00","a00","a0","00.00.0000","00/00/0000","00-00-0000","0000-00-00","0000/00/00","0000.00.00","00.00.00","00/00/00","00-00-00","0.00.0000","0/00/0000","0-00-0000"},0)),ISNA(MATCH(LEFT(TRIM(CA743),255),{"0000a","000a","00a","0000aa","000aa","00aa","0aa","0000aaa","000aaa","00a00","0a00","0000-0000","00:00","a00","a0","00.00.0000","00/00/0000","00-00-0000","0000-00-00","0000/00/00","0000.00.00","00.00.00","00/00/00","00-00-00","0.00.0000","0/00/0000","0-00-0000"},0)),LEN(CB743)&gt;=3,NOT(OR(SUBSTITUTE(CB743,"0","")="",AND(LEN(CB743)&gt;=4,CB743=REPT(LEFT(CB743),LEN(CB743))),ISNUMBER(MATCH(CB743,{"123","1234","12345","123456","1234567","12345678","0123","01234","012345","98765","987654","54321"},0)),AND(LEN(CB743)=8,LEFT(CB743,3)="202"))),OR(AND((LEN(CA743)-LEN(SUBSTITUTE(CA743,"a","")))&gt;=1,SUMPRODUCT(--ISNUMBER(SEARCH({"a0","a-0","a_0","a/0","a.0","a#0","0a","0-a","0_a","0/a"},BP743)))&gt;0),ISNUMBER(SEARCH("000000",BP743)))),1,0),0)</f>
        <v>0</v>
      </c>
      <c r="BR743" s="61" t="n">
        <f aca="false">IFERROR(LEN(SUBSTITUTE(CC743," ",""))-SUMPRODUCT((LEN(CC743)-LEN(SUBSTITUTE(CC743," "&amp;L_Role&amp;" "," ")))/(LEN(L_Role)+1)*LEN(L_Role)),0)</f>
        <v>0</v>
      </c>
      <c r="BS743" s="61" t="n">
        <f aca="false">IFERROR(LEN(SUBSTITUTE(CD743," ",""))-SUMPRODUCT((LEN(CD743)-LEN(SUBSTITUTE(CD743," "&amp;L_Role&amp;" "," ")))/(LEN(L_Role)+1)*LEN(L_Role)),0)</f>
        <v>0</v>
      </c>
      <c r="BT7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743,"revision",""),"version",""),"jan",""),"feb",""),"mar",""),"apr",""),"may",""),"jun",""),"jul",""),"aug",""),"sep",""),"oct",""),"nov",""),"dec",""),"utc",""),"gmt",""),"myt",""),"bst",""),"rev",""),"ver",""),"b","a"),"c","a"),"d","a"),"e","a"),"f","a"),"g","a"),"h","a"),"i","a"),"j","a"),"k","a"),"l","a"),"m","a"),"n","a"),"o","a"),"p","a"),"q","a"),"r","a"),"s","a"),"t","a"),"u","a"),"v","a"),"w","a"),"x","a"),"y","a"),"z","a")</f>
        <v/>
      </c>
      <c r="BU743" s="61" t="str">
        <f aca="false">SUBSTITUTE(SUBSTITUTE(SUBSTITUTE(SUBSTITUTE(SUBSTITUTE(SUBSTITUTE(SUBSTITUTE(SUBSTITUTE(SUBSTITUTE(SUBSTITUTE(LEFT(BM743,FIND("0",BM743&amp;"0")-1),"-",""),"_",""),"/",""),".",""),"#",""),"\\",""),":","")," ",""),"(",""),")","")</f>
        <v/>
      </c>
      <c r="BV743" s="61" t="n">
        <f aca="false">IFERROR(IF(OR(SUMPRODUCT((LEN(BC743)-LEN(SUBSTITUTE(BC743," "&amp;L_NotLoaded&amp;" "," ")))/(LEN(L_NotLoaded)+1))&gt;SUMPRODUCT((LEN(BC743)-LEN(SUBSTITUTE(BC743," "&amp;L_NotLoadedNeg&amp;" "," ")))/(LEN(L_NotLoadedNeg)+1)),SUMPRODUCT((LEN(BD743)-LEN(SUBSTITUTE(BD743," "&amp;L_NotLoaded&amp;" "," ")))/(LEN(L_NotLoaded)+1))&gt;SUMPRODUCT((LEN(BD743)-LEN(SUBSTITUTE(BD743," "&amp;L_NotLoadedNeg&amp;" "," ")))/(LEN(L_NotLoadedNeg)+1))),1,0),0)</f>
        <v>0</v>
      </c>
      <c r="BW743"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743&amp;""),"a",""),"b",""),"c",""),"d",""),"e",""),"f",""),"g",""),"h",""),"i",""),"j",""),"k",""),"l",""),"m",""),"n",""),"o",""),"p",""),"q",""),"r",""),"s",""),"t",""),"u",""),"v",""),"w",""),"x",""),"y",""),"z",""),"-",""),"_",""),"/",""),".",""),"#",""),"\\",""),":","")," ",""),"(",""),")","")</f>
        <v/>
      </c>
      <c r="BX743" s="61" t="str">
        <f aca="false">SUBSTITUTE(SUBSTITUTE(SUBSTITUTE(SUBSTITUTE(SUBSTITUTE(SUBSTITUTE(SUBSTITUTE(SUBSTITUTE(SUBSTITUTE(SUBSTITUTE(SUBSTITUTE(BM743,"0",""),"-",""),"_",""),"/",""),".",""),"#",""),"\\",""),":","")," ",""),"(",""),")","")</f>
        <v/>
      </c>
      <c r="BY743" s="62" t="n">
        <f aca="false">IF(ISNUMBER(Flights!$AZ$26),MAX(Q743-UpliftWindowH/24,Flights!$AZ$26),Q743-UpliftWindowH/24)</f>
        <v>46325.3888888889</v>
      </c>
      <c r="BZ743" s="61" t="n">
        <f aca="false">IFERROR(IF(IF(TRIM(S743)="Link / file path",AND(LEN(TRIM(Z743))&gt;=5,SUMPRODUCT(--ISNUMBER(SEARCH({"http","www.","\\",":\",".pdf",".jpg",".jpeg",".png",".heic",".xls",".doc",".msg",".eml",".ppt",".txt",".zip"},Z743)))&gt;0),AND(ISERROR(FIND(" ",TRIM(Z743))),NOT(OR(SUMPRODUCT(--ISNUMBER(FIND({",",";","&amp;","+"},Z743)))&gt;0,SUMPRODUCT(--ISNUMBER(SEARCH({"0/aa","0\\aa"},BN743)))&gt;0)),NOT(SUMPRODUCT(--ISNUMBER(SEARCH({"http","www.","\\",":\",".pdf",".jpg",".jpeg",".png",".heic",".xls",".doc",".msg",".eml",".ppt",".txt",".zip"},Z743)))&gt;0),NOT(LOWER(TRIM(Z743))=LOWER(Flights!$F$26)),ISNA(MATCH(BU743,{"mh","rev","revision","ver","version","v","r","a","b","seat","tray","row","gate","bay","stand","page","pg","item","line","no","cart","galley","flight","flt","table","box","bag","oven","etd","eta","std","sta","atd","ata","qty","pax","x","time","tel","ph","mob","day","wk","week","utc","gmt","myt","lt"},0)),NOT(OR(ISNUMBER(MATCH(LEFT(BN743,255),{"0000a","000a","00a","0000aa","000aa","00aa","0aa","0000aaa","000aaa","00a00","0a00","0000-0000","00:00","a00","a0","00.00.0000","00/00/0000","00-00-0000","0000-00-00","0000/00/00","0000.00.00","00.00.00","00/00/00","00-00-00","0.00.0000","0/00/0000","0-00-0000"},0)),ISNUMBER(MATCH(LEFT(BT743,255),{"0000a","000a","00a","0000aa","000aa","00aa","0aa","0000aaa","000aaa","00a00","0a00","0000-0000","00:00","a00","a0","00.00.0000","00/00/0000","00-00-0000","0000-00-00","0000/00/00","0000.00.00","00.00.00","00/00/00","00-00-00","0.00.0000","0/00/0000","0-00-0000"},0)))),NOT(OR(AND(BW743&lt;&gt;"",SUBSTITUTE(BW743,"0","")=""),AND(LEN(BW743)&gt;=4,BW743=REPT(LEFT(BW743),LEN(BW743))),ISNUMBER(MATCH(BW743,{"123","1234","12345","123456","1234567","12345678","0123","01234","012345","98765","987654","54321"},0)),ISNUMBER(MATCH(BX743,{"x","xx","xxx","xxxx","xxxxx","abc","abcd","nil","na","nan","test","tbc","tba","tbd","dummy","sample","example","eg","zz","zzz","none","null","xyz","qwe","asd","id","ref"},0)),AND(LEN(BW743)=8,BX743="",OR(LEFT(BW743,3)="202",ISNUMBER(MATCH(RIGHT(BW743,4),{"2025","2026","2027"},0)))))),OR(AND((LEN(BT743)-LEN(SUBSTITUTE(BT743,"a","")))&gt;=1,(LEN(BN743)-LEN(SUBSTITUTE(BN743,"0","")))&gt;=2,SUMPRODUCT(--ISNUMBER(SEARCH({"a0","a-0","a_0","a/0","a.0","a#0","0a","0-a","0_a","0/a"},BN743)))&gt;0),AND((LEN(BN743)-LEN(SUBSTITUTE(BN743,"a","")))=0,(LEN(BN743)-LEN(SUBSTITUTE(BN743,"0","")))&gt;=5)))),1,0),0)</f>
        <v>0</v>
      </c>
      <c r="CA7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743,"revision",""),"version",""),"jan",""),"feb",""),"mar",""),"apr",""),"may",""),"jun",""),"jul",""),"aug",""),"sep",""),"oct",""),"nov",""),"dec",""),"utc",""),"gmt",""),"myt",""),"bst",""),"rev",""),"ver",""),"b","a"),"c","a"),"d","a"),"e","a"),"f","a"),"g","a"),"h","a"),"i","a"),"j","a"),"k","a"),"l","a"),"m","a"),"n","a"),"o","a"),"p","a"),"q","a"),"r","a"),"s","a"),"t","a"),"u","a"),"v","a"),"w","a"),"x","a"),"y","a"),"z","a")</f>
        <v/>
      </c>
      <c r="CB74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743&amp;""),"a",""),"b",""),"c",""),"d",""),"e",""),"f",""),"g",""),"h",""),"i",""),"j",""),"k",""),"l",""),"m",""),"n",""),"o",""),"p",""),"q",""),"r",""),"s",""),"t",""),"u",""),"v",""),"w",""),"x",""),"y",""),"z",""),"-",""),"_",""),"/",""),".",""),"#",""),"\\",""),":","")," ",""),"(",""),")","")</f>
        <v/>
      </c>
      <c r="CC743" s="0" t="str">
        <f aca="false">" "&amp;TRIM(SUBSTITUTE(SUBSTITUTE(SUBSTITUTE(SUBSTITUTE(SUBSTITUTE(SUBSTITUTE(SUBSTITUTE(SUBSTITUTE(SUBSTITUTE(SUBSTITUTE(SUBSTITUTE(SUBSTITUTE(SUBSTITUTE(SUBSTITUTE(SUBSTITUTE(SUBSTITUTE(SUBSTITUTE(SUBSTITUTE(SUBSTITUTE(SUBSTITUTE(SUBSTITUTE(SUBSTITUTE(SUBSTITUTE(SUBSTITUTE(LOWER(T743&amp;""),CHAR(10)," "),CHAR(13)," "),CHAR(9)," "),CHAR(160)," "),"."," "),","," "),"-"," "),"/"," "),"("," "),")"," "),":"," "),";"," "),"_"," "),"–"," "),"?"," "),"!"," "),"*"," "),"["," "),"]"," "),"'"," "),"#"," "),"+"," "),"&amp;"," "),"\"," "))&amp;" "</f>
        <v>  </v>
      </c>
      <c r="CD743" s="0" t="str">
        <f aca="false">" "&amp;TRIM(SUBSTITUTE(SUBSTITUTE(SUBSTITUTE(SUBSTITUTE(SUBSTITUTE(SUBSTITUTE(SUBSTITUTE(SUBSTITUTE(SUBSTITUTE(SUBSTITUTE(SUBSTITUTE(SUBSTITUTE(SUBSTITUTE(SUBSTITUTE(SUBSTITUTE(SUBSTITUTE(SUBSTITUTE(SUBSTITUTE(SUBSTITUTE(SUBSTITUTE(SUBSTITUTE(SUBSTITUTE(SUBSTITUTE(SUBSTITUTE(LOWER(AE743&amp;""),CHAR(10)," "),CHAR(13)," "),CHAR(9)," "),CHAR(160)," "),"."," "),","," "),"-"," "),"/"," "),"("," "),")"," "),":"," "),";"," "),"_"," "),"–"," "),"?"," "),"!"," "),"*"," "),"["," "),"]"," "),"'"," "),"#"," "),"+"," "),"&amp;"," "),"\"," "))&amp;" "</f>
        <v>  </v>
      </c>
      <c r="CE743" s="68" t="n">
        <f aca="false">IFERROR(IF(AND(LEN(AU743)&gt;0,LEN(AU743)=LEN(AX743),OR(TRIM(MID(SUBSTITUTE(TRIM(CC743)," ",REPT(" ",60)),1,60))="",ISNUMBER(SEARCH(" "&amp;TRIM(MID(SUBSTITUTE(TRIM(CC743)," ",REPT(" ",60)),1,60))&amp;" ",CD743))),OR(TRIM(MID(SUBSTITUTE(TRIM(CC743)," ",REPT(" ",60)),61,60))="",ISNUMBER(SEARCH(" "&amp;TRIM(MID(SUBSTITUTE(TRIM(CC743)," ",REPT(" ",60)),61,60))&amp;" ",CD743))),OR(TRIM(MID(SUBSTITUTE(TRIM(CC743)," ",REPT(" ",60)),121,60))="",ISNUMBER(SEARCH(" "&amp;TRIM(MID(SUBSTITUTE(TRIM(CC743)," ",REPT(" ",60)),121,60))&amp;" ",CD743)))),1,0),0)</f>
        <v>0</v>
      </c>
      <c r="CG743" s="68" t="n">
        <f aca="false">IFERROR(LEN(SUBSTITUTE(BF743," ",""))-SUMPRODUCT((LEN(BF743)-LEN(SUBSTITUTE(BF743," "&amp;L_NAFiller&amp;" "," ")))/(LEN(L_NAFiller)+1)*LEN(L_NAFiller)),0)</f>
        <v>0</v>
      </c>
    </row>
    <row r="744" customFormat="false" ht="39.75" hidden="false" customHeight="true" outlineLevel="0" collapsed="false">
      <c r="A744" s="57" t="s">
        <v>1478</v>
      </c>
      <c r="B744" s="57" t="s">
        <v>312</v>
      </c>
      <c r="C744" s="57" t="str">
        <f aca="false">Flights!$F$26</f>
        <v>MH0002</v>
      </c>
      <c r="D744" s="58" t="n">
        <f aca="false">Flights!$D$26</f>
        <v>46325</v>
      </c>
      <c r="E744" s="57" t="str">
        <f aca="false">Flights!$G$26&amp;"-"&amp;Flights!$H$26</f>
        <v>KUL-LHR</v>
      </c>
      <c r="F744" s="57" t="str">
        <f aca="false">Flights!$K$26</f>
        <v>BC</v>
      </c>
      <c r="G744" s="57" t="s">
        <v>459</v>
      </c>
      <c r="H744" s="57" t="s">
        <v>460</v>
      </c>
      <c r="I744" s="57" t="s">
        <v>499</v>
      </c>
      <c r="J744" s="57" t="s">
        <v>551</v>
      </c>
      <c r="K744" s="67" t="s">
        <v>501</v>
      </c>
      <c r="L744" s="67" t="s">
        <v>748</v>
      </c>
      <c r="M744" s="67" t="s">
        <v>451</v>
      </c>
      <c r="N744" s="67" t="s">
        <v>383</v>
      </c>
      <c r="O744" s="67"/>
      <c r="P744" s="57" t="s">
        <v>187</v>
      </c>
      <c r="Q744" s="59" t="n">
        <f aca="false">ROUND((Flights!$AF$26)*1440,0)/1440</f>
        <v>46325.6388888889</v>
      </c>
      <c r="R744" s="59" t="n">
        <f aca="false">Q744+(IF(AND(INDEX(TZ_DSTS,MATCH(P744,TZ_STN,0))&lt;&gt;"",Q744&gt;=INDEX(TZ_DSTS,MATCH(P744,TZ_STN,0)),Q744&lt;INDEX(TZ_DSTE,MATCH(P744,TZ_STN,0))),INDEX(TZ_DST,MATCH(P744,TZ_STN,0)),INDEX(TZ_STD,MATCH(P744,TZ_STN,0))))/24</f>
        <v>46325.9722222222</v>
      </c>
      <c r="S744" s="60"/>
      <c r="T744" s="60"/>
      <c r="U744" s="60"/>
      <c r="V744" s="60"/>
      <c r="W744" s="61"/>
      <c r="X744" s="60"/>
      <c r="Y744" s="60"/>
      <c r="Z744" s="60"/>
      <c r="AA744" s="60"/>
      <c r="AB744" s="60"/>
      <c r="AC744" s="60"/>
      <c r="AD744" s="66"/>
      <c r="AE744" s="60"/>
      <c r="AF744" s="61" t="str">
        <f aca="false">IF(AND(ISNUMBER(X744),ISNUMBER(Y744)),Y744-X744,"")</f>
        <v/>
      </c>
      <c r="AG744" s="62" t="str">
        <f aca="false">IF(ISNUMBER(AD744),AD744-(IF(AND(INDEX(TZ_DSTS,MATCH(P744,TZ_STN,0))&lt;&gt;"",(AD744-INDEX(TZ_STD,MATCH(P744,TZ_STN,0))/24)&gt;=INDEX(TZ_DSTS,MATCH(P744,TZ_STN,0)),(AD744-INDEX(TZ_STD,MATCH(P744,TZ_STN,0))/24)&lt;INDEX(TZ_DSTE,MATCH(P744,TZ_STN,0))),INDEX(TZ_DST,MATCH(P744,TZ_STN,0)),INDEX(TZ_STD,MATCH(P744,TZ_STN,0))))/24,"")</f>
        <v/>
      </c>
      <c r="AH744" s="65" t="str">
        <f aca="false">IFERROR(IF(N744="N/A – rule",IF(OR(TRIM(U744)="",TRIM(U744)="N/A",TRIM(U744)="Not started"),"N/A – RULE","INVALID – this check does not apply to this aircraft: clear the status (or correct the fleet on Flights)"),IF(TRIM(U744)="N/A",IF(AT744=0,"INVALID – N/A not permitted for this check",IF(AND(TRIM(AB744)&lt;&gt;"",TRIM(AB744)&lt;&gt;"Closed"),"INVALID – corrective action still open",IF(AND(NOT(OR(LEN(AZ744)&lt;15,ISNUMBER(MATCH(AZ744,L_Placeholder,0)))),BK744=0,CG744&gt;=8,NOT(OR(LEN(AU744)&lt;2,ISNUMBER(MATCH(AU744,L_Placeholder,0)))),BR744&gt;=3,NOT(OR(LEN(AX744)&lt;2,ISNUMBER(MATCH(AX744,L_Placeholder,0)))),BS744&gt;=3,TRIM(AE744)&lt;&gt;TRIM(T744),AX744&lt;&gt;AU744,CE744=0),"N/A – JUSTIFIED","INVALID – N/A needs a real, settled reason (not 'not applicable' / 'as above' / TBC), a named PIC and a different named verifier"))),IF(OR(TRIM(U744)="Pass",TRIM(U744)="Pass after CA"),IF(NOT(ISNUMBER(AD744)),"INVALID – completion time missing",IF(OR(OR(LEN(AU744)&lt;2,ISNUMBER(MATCH(AU744,L_Placeholder,0))),BR744&lt;3),"INVALID – PIC missing or not a named person (a role such as QA / CSM is not a name)",IF(OR(LEN(AV744)&lt;2,ISNUMBER(MATCH(AV744,L_Placeholder,0))),"INVALID – result / assessment missing",IF(OR(OR(LEN(AW744)&lt;3,ISNUMBER(MATCH(AW744,L_Placeholder,0))),SUMPRODUCT(--ISNUMBER(SEARCH(" "&amp;L_EvidencePhrase&amp;" ",BD744)))&gt;0,BI744=1),"INVALID – evidence missing, placeholder or not yet on file",IF(ISNA(MATCH(TRIM(S744),L_EvidenceType,0)),"INVALID – choose the evidence type from the list (column S)",IF(BL744=0,"INVALID – evidence ID must be the record's own ID only (e.g. SF-2210, IMG_2231, 1045521); a link / file name needs type 'Link / file path'",IF(OR(OR(LEN(AX744)&lt;2,ISNUMBER(MATCH(AX744,L_Placeholder,0))),BS744&lt;3),"INVALID – verifier missing or not a named person (a role such as QA / CSM is not a name)",IF(OR(AX744=AU744,CE744=1,AND(LEN(AU744)&gt;=4,ISNUMBER(SEARCH(AU744,AX744))),AND(LEN(AX744)&gt;=4,ISNUMBER(SEARCH(AX744,AU744)))),"INVALID – verifier must be a different, named person (not the PIC or a role)",IF(BH744=1,"INVALID – result not yet available (awaiting / TBC)",IF(BG744=1,"INVALID – result describes a problem: record Fail, then Pass after CA (or reword if it is not a problem)",IF(BV744=1,"INVALID – wording says not on board: an on-board confirmation needs the item loaded",IF(AND(AQ744=1,OR(OR(LEN(AY744)&lt;3,ISNUMBER(MATCH(AY744,L_Placeholder,0))),BJ744=1,BQ744=0)),"INVALID – batch ID missing, placeholder or not an ID (e.g. PASB-261008-BC-017)",IF(AND(AR744=1,OR(NOT(ISNUMBER(X744)),NOT(ISNUMBER(Y744)))),"INVALID – expected/actual qty missing",IF(AND(AR744=1,OR(X744&lt;=0,Y744&lt;0)),"INVALID – expected qty must be above 0 and actual not negative",IF(AH728="N/A – JUSTIFIED","INVALID – preparation row F22-T12-17 is N/A",IF(AND(AR744=1,ISNUMBER(X728),X744&lt;&gt;X728,TRIM(U744)&lt;&gt;"Pass after CA"),"INVALID – expected qty differs from preparation check F22-T12-17: record the load change as a corrective action (Pass after CA)",IF(BB744&lt;&gt;"",BB744,IF(AND(AS744=1,Documents!$J$26&lt;&gt;"ON FILE"),"INVALID – GLD not on file (Documents sheet)",IF(AND(AS744=2,Documents!$O$26&lt;&gt;"ON FILE"),"INVALID – menu checklist not on file (Documents sheet)",IF(AND(AS744=3,NOT(ISNUMBER(Flights!$AX$26))),"INVALID – enter carrying flight KUL departure (Flights AX)",IF(AND(AS744=3,OR(Flights!$AZ$26&gt;Flights!$AA$26,Flights!$AX$26&lt;Flights!$AA$26-3)),"INVALID – carrying flight (Flights AX) cannot arrive before this leg's STD, or is over 3 days early",IF(AG744&gt;AsOfUTC,"INVALID – completion time is in the future",IF(AND(ISNUMBER(BY744),AG744&lt;BY744),IF(H744="Physical uplift","INVALID – before uplift window (cannot confirm loading)","INVALID – before valid window"),IF(AG744&gt;Flights!$AA$26,"INVALID – completed after departure (cannot establish readiness)",IF(AND(H744="Preparation",AG744&gt;=IF(ISNUMBER(Flights!$BA$26),MIN(Flights!$BA$26,Flights!$AA$26),Flights!$AA$26)),"INVALID – completed after loading / departure (cannot establish readiness)",IF(AND(H744="Physical uplift",AG744&gt;Q744),"INVALID – recorded after the loading flight departed",IF(AG744&gt;Q744,"COMPLETE – LATE","COMPLETE"))))))))))))))))))))))))))),IF(TRIM(U744)="Fail","FAIL – DISCREPANCY",IF(AND(TRIM(U744)&lt;&gt;"",TRIM(U744)&lt;&gt;"Not started",TRIM(U744)&lt;&gt;"In progress"),"INVALID – unrecognised status (use the list)",IF(AsOfUTC&gt;Q744,"OVERDUE",IF(N744="Clarification required","OPEN – CLARIFICATION","OPEN"))))))),"INVALID – error value in an input cell")</f>
        <v>OPEN</v>
      </c>
      <c r="AI744" s="61" t="n">
        <f aca="false">IF(OR(AH744="N/A – RULE",AH744="N/A – JUSTIFIED"),0,1)</f>
        <v>1</v>
      </c>
      <c r="AJ744" s="61" t="n">
        <f aca="false">IF(LEFT(AH744,8)="COMPLETE",1,0)</f>
        <v>0</v>
      </c>
      <c r="AK744" s="61" t="n">
        <f aca="false">IF(AND(AI744=1,AJ744=0,AsOfUTC&gt;Q744),1,0)</f>
        <v>0</v>
      </c>
      <c r="AL744" s="61" t="n">
        <f aca="false">IFERROR(IF(AND(AI744=1,OR(TRIM(U744)="Fail",AND(TRIM(AB744)&lt;&gt;"",TRIM(AB744)&lt;&gt;"Closed"),AND(ISNUMBER(AF744),AF744&lt;&gt;0,TRIM(U744)&lt;&gt;"Pass after CA"))),1,0),1)</f>
        <v>0</v>
      </c>
      <c r="AM744" s="61" t="n">
        <f aca="false">IF(LEFT(AH744,7)="INVALID",1,0)</f>
        <v>0</v>
      </c>
      <c r="AN744" s="61" t="n">
        <f aca="false">IF(AND(N744="Clarification required",AI744=1,AJ744=0),1,0)</f>
        <v>0</v>
      </c>
      <c r="AO744" s="61" t="str">
        <f aca="false">IF(AK744=1,SUM(AK$5:AK744),"")</f>
        <v/>
      </c>
      <c r="AP744" s="61" t="str">
        <f aca="false">IF(AL744=1,SUM(AL$5:AL744),"")</f>
        <v/>
      </c>
      <c r="AQ744" s="61" t="n">
        <v>0</v>
      </c>
      <c r="AR744" s="61" t="n">
        <v>0</v>
      </c>
      <c r="AS744" s="61" t="n">
        <v>0</v>
      </c>
      <c r="AT744" s="61" t="n">
        <v>0</v>
      </c>
      <c r="AU744" s="61" t="str">
        <f aca="false">SUBSTITUTE(SUBSTITUTE(SUBSTITUTE(SUBSTITUTE(SUBSTITUTE(SUBSTITUTE(SUBSTITUTE(SUBSTITUTE(SUBSTITUTE(SUBSTITUTE(SUBSTITUTE(SUBSTITUTE(SUBSTITUTE(SUBSTITUTE(SUBSTITUTE(SUBSTITUTE(LOWER(T744&amp;""),CHAR(10),""),CHAR(13),""),CHAR(9),""),CHAR(160),"")," ",""),".",""),"-",""),"/",""),"?",""),"_",""),",",""),"[",""),"]",""),"(",""),")",""),"*","")</f>
        <v/>
      </c>
      <c r="AV744" s="61" t="str">
        <f aca="false">SUBSTITUTE(SUBSTITUTE(SUBSTITUTE(SUBSTITUTE(SUBSTITUTE(SUBSTITUTE(SUBSTITUTE(SUBSTITUTE(SUBSTITUTE(SUBSTITUTE(SUBSTITUTE(SUBSTITUTE(SUBSTITUTE(SUBSTITUTE(SUBSTITUTE(SUBSTITUTE(LOWER(V744&amp;""),CHAR(10),""),CHAR(13),""),CHAR(9),""),CHAR(160),"")," ",""),".",""),"-",""),"/",""),"?",""),"_",""),",",""),"[",""),"]",""),"(",""),")",""),"*","")</f>
        <v/>
      </c>
      <c r="AW744" s="61" t="str">
        <f aca="false">SUBSTITUTE(SUBSTITUTE(SUBSTITUTE(SUBSTITUTE(SUBSTITUTE(SUBSTITUTE(SUBSTITUTE(SUBSTITUTE(SUBSTITUTE(SUBSTITUTE(SUBSTITUTE(SUBSTITUTE(SUBSTITUTE(SUBSTITUTE(SUBSTITUTE(SUBSTITUTE(LOWER(Z744&amp;""),CHAR(10),""),CHAR(13),""),CHAR(9),""),CHAR(160),"")," ",""),".",""),"-",""),"/",""),"?",""),"_",""),",",""),"[",""),"]",""),"(",""),")",""),"*","")</f>
        <v/>
      </c>
      <c r="AX744" s="61" t="str">
        <f aca="false">SUBSTITUTE(SUBSTITUTE(SUBSTITUTE(SUBSTITUTE(SUBSTITUTE(SUBSTITUTE(SUBSTITUTE(SUBSTITUTE(SUBSTITUTE(SUBSTITUTE(SUBSTITUTE(SUBSTITUTE(SUBSTITUTE(SUBSTITUTE(SUBSTITUTE(SUBSTITUTE(LOWER(AE744&amp;""),CHAR(10),""),CHAR(13),""),CHAR(9),""),CHAR(160),"")," ",""),".",""),"-",""),"/",""),"?",""),"_",""),",",""),"[",""),"]",""),"(",""),")",""),"*","")</f>
        <v/>
      </c>
      <c r="AY744" s="61" t="str">
        <f aca="false">SUBSTITUTE(SUBSTITUTE(SUBSTITUTE(SUBSTITUTE(SUBSTITUTE(SUBSTITUTE(SUBSTITUTE(SUBSTITUTE(SUBSTITUTE(SUBSTITUTE(SUBSTITUTE(SUBSTITUTE(SUBSTITUTE(SUBSTITUTE(SUBSTITUTE(SUBSTITUTE(LOWER(W744&amp;""),CHAR(10),""),CHAR(13),""),CHAR(9),""),CHAR(160),"")," ",""),".",""),"-",""),"/",""),"?",""),"_",""),",",""),"[",""),"]",""),"(",""),")",""),"*","")</f>
        <v/>
      </c>
      <c r="AZ744" s="61" t="str">
        <f aca="false">SUBSTITUTE(SUBSTITUTE(SUBSTITUTE(SUBSTITUTE(SUBSTITUTE(SUBSTITUTE(SUBSTITUTE(SUBSTITUTE(SUBSTITUTE(SUBSTITUTE(SUBSTITUTE(SUBSTITUTE(SUBSTITUTE(SUBSTITUTE(SUBSTITUTE(SUBSTITUTE(LOWER(AC744&amp;""),CHAR(10),""),CHAR(13),""),CHAR(9),""),CHAR(160),"")," ",""),".",""),"-",""),"/",""),"?",""),"_",""),",",""),"[",""),"]",""),"(",""),")",""),"*","")</f>
        <v/>
      </c>
      <c r="BA744" s="61" t="str">
        <f aca="false">SUBSTITUTE(SUBSTITUTE(SUBSTITUTE(SUBSTITUTE(SUBSTITUTE(SUBSTITUTE(SUBSTITUTE(SUBSTITUTE(SUBSTITUTE(SUBSTITUTE(SUBSTITUTE(SUBSTITUTE(SUBSTITUTE(SUBSTITUTE(SUBSTITUTE(SUBSTITUTE(LOWER(AA744&amp;""),CHAR(10),""),CHAR(13),""),CHAR(9),""),CHAR(160),"")," ",""),".",""),"-",""),"/",""),"?",""),"_",""),",",""),"[",""),"]",""),"(",""),")",""),"*","")</f>
        <v/>
      </c>
      <c r="BB744" s="61" t="str">
        <f aca="false">IF(AND(TRIM(U744)="Pass",ISNUMBER(AF744)),IF(AF744&lt;&gt;0,"INVALID – qty variance: use Fail or Pass after CA",""),"")&amp;IF(AND(TRIM(U744)="Pass after CA",ISNUMBER(AF744)),IF(AF744&lt;&gt;0,"INVALID – after the corrective action the actual qty must equal expected (update Actual)",""),"")&amp;IF(AND(TRIM(U744)="Pass",TRIM(AB744)&lt;&gt;"",TRIM(AB744)&lt;&gt;"Closed"),"INVALID – corrective action not closed: use Fail, then Pass after CA","")&amp;IF(AND(LEN(BA744)&gt;=2,ISNA(MATCH(LEFT(BA744,255),L_Placeholder,0)),TRIM(AB744)=""),"INVALID – CA status missing for the recorded corrective action","")&amp;IF(AND(TRIM(U744)="Pass after CA",OR(OR(LEN(BA744)&lt;5,ISNUMBER(MATCH(BA744,L_Placeholder,0))),TRIM(AB744)&lt;&gt;"Closed")),"INVALID – corrective action not recorded/closed","")</f>
        <v/>
      </c>
      <c r="BC744" s="61" t="str">
        <f aca="false">" "&amp;TRIM(SUBSTITUTE(SUBSTITUTE(SUBSTITUTE(SUBSTITUTE(SUBSTITUTE(SUBSTITUTE(SUBSTITUTE(SUBSTITUTE(SUBSTITUTE(SUBSTITUTE(SUBSTITUTE(SUBSTITUTE(SUBSTITUTE(SUBSTITUTE(SUBSTITUTE(SUBSTITUTE(SUBSTITUTE(SUBSTITUTE(SUBSTITUTE(SUBSTITUTE(SUBSTITUTE(SUBSTITUTE(SUBSTITUTE(SUBSTITUTE(LOWER(V744&amp;""),CHAR(10)," "),CHAR(13)," "),CHAR(9)," "),CHAR(160)," "),"."," "),","," "),"-"," "),"/"," "),"("," "),")"," "),":"," "),";"," "),"_"," "),"–"," "),"?"," "),"!"," "),"*"," "),"["," "),"]"," "),"'"," "),"#"," "),"+"," "),"&amp;"," "),"\"," "))&amp;" "</f>
        <v>  </v>
      </c>
      <c r="BD744" s="61" t="str">
        <f aca="false">" "&amp;TRIM(SUBSTITUTE(SUBSTITUTE(SUBSTITUTE(SUBSTITUTE(SUBSTITUTE(SUBSTITUTE(SUBSTITUTE(SUBSTITUTE(SUBSTITUTE(SUBSTITUTE(SUBSTITUTE(SUBSTITUTE(SUBSTITUTE(SUBSTITUTE(SUBSTITUTE(SUBSTITUTE(SUBSTITUTE(SUBSTITUTE(SUBSTITUTE(SUBSTITUTE(SUBSTITUTE(SUBSTITUTE(SUBSTITUTE(SUBSTITUTE(LOWER(Z744&amp;""),CHAR(10)," "),CHAR(13)," "),CHAR(9)," "),CHAR(160)," "),"."," "),","," "),"-"," "),"/"," "),"("," "),")"," "),":"," "),";"," "),"_"," "),"–"," "),"?"," "),"!"," "),"*"," "),"["," "),"]"," "),"'"," "),"#"," "),"+"," "),"&amp;"," "),"\"," "))&amp;" "</f>
        <v>  </v>
      </c>
      <c r="BE744" s="61" t="str">
        <f aca="false">" "&amp;TRIM(SUBSTITUTE(SUBSTITUTE(SUBSTITUTE(SUBSTITUTE(SUBSTITUTE(SUBSTITUTE(SUBSTITUTE(SUBSTITUTE(SUBSTITUTE(SUBSTITUTE(SUBSTITUTE(SUBSTITUTE(SUBSTITUTE(SUBSTITUTE(SUBSTITUTE(SUBSTITUTE(SUBSTITUTE(SUBSTITUTE(SUBSTITUTE(SUBSTITUTE(SUBSTITUTE(SUBSTITUTE(SUBSTITUTE(SUBSTITUTE(LOWER(W744&amp;""),CHAR(10)," "),CHAR(13)," "),CHAR(9)," "),CHAR(160)," "),"."," "),","," "),"-"," "),"/"," "),"("," "),")"," "),":"," "),";"," "),"_"," "),"–"," "),"?"," "),"!"," "),"*"," "),"["," "),"]"," "),"'"," "),"#"," "),"+"," "),"&amp;"," "),"\"," "))&amp;" "</f>
        <v>  </v>
      </c>
      <c r="BF744" s="61" t="str">
        <f aca="false">" "&amp;TRIM(SUBSTITUTE(SUBSTITUTE(SUBSTITUTE(SUBSTITUTE(SUBSTITUTE(SUBSTITUTE(SUBSTITUTE(SUBSTITUTE(SUBSTITUTE(SUBSTITUTE(SUBSTITUTE(SUBSTITUTE(SUBSTITUTE(SUBSTITUTE(SUBSTITUTE(SUBSTITUTE(SUBSTITUTE(SUBSTITUTE(SUBSTITUTE(SUBSTITUTE(SUBSTITUTE(SUBSTITUTE(SUBSTITUTE(SUBSTITUTE(LOWER(AC744&amp;""),CHAR(10)," "),CHAR(13)," "),CHAR(9)," "),CHAR(160)," "),"."," "),","," "),"-"," "),"/"," "),"("," "),")"," "),":"," "),";"," "),"_"," "),"–"," "),"?"," "),"!"," "),"*"," "),"["," "),"]"," "),"'"," "),"#"," "),"+"," "),"&amp;"," "),"\"," "))&amp;" "</f>
        <v>  </v>
      </c>
      <c r="BG744" s="61" t="n">
        <f aca="false">IFERROR(IF(AND(TRIM(U744)="Pass",SUMPRODUCT((LEN(BC744)-LEN(SUBSTITUTE(BC744," "&amp;L_ResultBad&amp;" "," ")))/(LEN(L_ResultBad)+1))&gt;SUMPRODUCT((LEN(BC744)-LEN(SUBSTITUTE(BC744," "&amp;L_NegPhrase&amp;" "," ")))/(LEN(L_NegPhrase)+1))),1,0),0)</f>
        <v>0</v>
      </c>
      <c r="BH744" s="61" t="n">
        <f aca="false">IFERROR(IF(SUMPRODUCT((LEN(BC744)-LEN(SUBSTITUTE(BC744," "&amp;L_Pending&amp;" "," ")))/(LEN(L_Pending)+1))&gt;SUMPRODUCT((LEN(BC744)-LEN(SUBSTITUTE(BC744," "&amp;L_PendNeg&amp;" "," ")))/(LEN(L_PendNeg)+1)),1,0),1)</f>
        <v>0</v>
      </c>
      <c r="BI744" s="61" t="n">
        <f aca="false">IFERROR(IF(SUMPRODUCT((LEN(BD744)-LEN(SUBSTITUTE(BD744," "&amp;L_PendStrict&amp;" "," ")))/(LEN(L_PendStrict)+1))&gt;SUMPRODUCT((LEN(BD744)-LEN(SUBSTITUTE(BD744," "&amp;L_PendNeg&amp;" "," ")))/(LEN(L_PendNeg)+1)),1,0),1)</f>
        <v>0</v>
      </c>
      <c r="BJ744" s="61" t="n">
        <f aca="false">IFERROR(IF(SUMPRODUCT((LEN(BE744)-LEN(SUBSTITUTE(BE744," "&amp;L_Pending&amp;" "," ")))/(LEN(L_Pending)+1))&gt;SUMPRODUCT((LEN(BE744)-LEN(SUBSTITUTE(BE744," "&amp;L_PendNeg&amp;" "," ")))/(LEN(L_PendNeg)+1)),1,0),1)</f>
        <v>0</v>
      </c>
      <c r="BK744" s="61" t="n">
        <f aca="false">IFERROR(IF(SUMPRODUCT((LEN(BF744)-LEN(SUBSTITUTE(BF744," "&amp;L_PendStrict&amp;" "," ")))/(LEN(L_PendStrict)+1))&gt;SUMPRODUCT((LEN(BF744)-LEN(SUBSTITUTE(BF744," "&amp;L_PendNeg&amp;" "," ")))/(LEN(L_PendNeg)+1)),1,0),1)</f>
        <v>0</v>
      </c>
      <c r="BL744" s="61" t="n">
        <f aca="false">IF(ISNA(MATCH(TRIM(S744),L_EvidenceType,0)),0,BZ744)</f>
        <v>0</v>
      </c>
      <c r="BM744" s="61" t="str">
        <f aca="false">SUBSTITUTE(SUBSTITUTE(SUBSTITUTE(SUBSTITUTE(SUBSTITUTE(SUBSTITUTE(SUBSTITUTE(SUBSTITUTE(SUBSTITUTE(LOWER(Z744&amp;""),"1","0"),"2","0"),"3","0"),"4","0"),"5","0"),"6","0"),"7","0"),"8","0"),"9","0")</f>
        <v/>
      </c>
      <c r="BN744" s="61" t="str">
        <f aca="false">SUBSTITUTE(SUBSTITUTE(SUBSTITUTE(SUBSTITUTE(SUBSTITUTE(SUBSTITUTE(SUBSTITUTE(SUBSTITUTE(SUBSTITUTE(SUBSTITUTE(SUBSTITUTE(SUBSTITUTE(SUBSTITUTE(SUBSTITUTE(SUBSTITUTE(SUBSTITUTE(SUBSTITUTE(SUBSTITUTE(SUBSTITUTE(SUBSTITUTE(SUBSTITUTE(SUBSTITUTE(SUBSTITUTE(SUBSTITUTE(SUBSTITUTE(BM744,"b","a"),"c","a"),"d","a"),"e","a"),"f","a"),"g","a"),"h","a"),"i","a"),"j","a"),"k","a"),"l","a"),"m","a"),"n","a"),"o","a"),"p","a"),"q","a"),"r","a"),"s","a"),"t","a"),"u","a"),"v","a"),"w","a"),"x","a"),"y","a"),"z","a")</f>
        <v/>
      </c>
      <c r="BO744" s="61" t="str">
        <f aca="false">SUBSTITUTE(SUBSTITUTE(SUBSTITUTE(SUBSTITUTE(SUBSTITUTE(SUBSTITUTE(SUBSTITUTE(SUBSTITUTE(SUBSTITUTE(LOWER(W744&amp;""),"1","0"),"2","0"),"3","0"),"4","0"),"5","0"),"6","0"),"7","0"),"8","0"),"9","0")</f>
        <v/>
      </c>
      <c r="BP744" s="61" t="str">
        <f aca="false">SUBSTITUTE(SUBSTITUTE(SUBSTITUTE(SUBSTITUTE(SUBSTITUTE(SUBSTITUTE(SUBSTITUTE(SUBSTITUTE(SUBSTITUTE(SUBSTITUTE(SUBSTITUTE(SUBSTITUTE(SUBSTITUTE(SUBSTITUTE(SUBSTITUTE(SUBSTITUTE(SUBSTITUTE(SUBSTITUTE(SUBSTITUTE(SUBSTITUTE(SUBSTITUTE(SUBSTITUTE(SUBSTITUTE(SUBSTITUTE(SUBSTITUTE(BO744,"b","a"),"c","a"),"d","a"),"e","a"),"f","a"),"g","a"),"h","a"),"i","a"),"j","a"),"k","a"),"l","a"),"m","a"),"n","a"),"o","a"),"p","a"),"q","a"),"r","a"),"s","a"),"t","a"),"u","a"),"v","a"),"w","a"),"x","a"),"y","a"),"z","a")</f>
        <v/>
      </c>
      <c r="BQ744" s="61" t="n">
        <f aca="false">IFERROR(IF(AND(ISERROR(SEARCH(" mh"," "&amp;LOWER(W744))),ISNA(MATCH(LEFT(TRIM(BP744),255),{"0000a","000a","00a","0000aa","000aa","00aa","0aa","0000aaa","000aaa","00a00","0a00","0000-0000","00:00","a00","a0","00.00.0000","00/00/0000","00-00-0000","0000-00-00","0000/00/00","0000.00.00","00.00.00","00/00/00","00-00-00","0.00.0000","0/00/0000","0-00-0000"},0)),ISNA(MATCH(LEFT(TRIM(CA744),255),{"0000a","000a","00a","0000aa","000aa","00aa","0aa","0000aaa","000aaa","00a00","0a00","0000-0000","00:00","a00","a0","00.00.0000","00/00/0000","00-00-0000","0000-00-00","0000/00/00","0000.00.00","00.00.00","00/00/00","00-00-00","0.00.0000","0/00/0000","0-00-0000"},0)),LEN(CB744)&gt;=3,NOT(OR(SUBSTITUTE(CB744,"0","")="",AND(LEN(CB744)&gt;=4,CB744=REPT(LEFT(CB744),LEN(CB744))),ISNUMBER(MATCH(CB744,{"123","1234","12345","123456","1234567","12345678","0123","01234","012345","98765","987654","54321"},0)),AND(LEN(CB744)=8,LEFT(CB744,3)="202"))),OR(AND((LEN(CA744)-LEN(SUBSTITUTE(CA744,"a","")))&gt;=1,SUMPRODUCT(--ISNUMBER(SEARCH({"a0","a-0","a_0","a/0","a.0","a#0","0a","0-a","0_a","0/a"},BP744)))&gt;0),ISNUMBER(SEARCH("000000",BP744)))),1,0),0)</f>
        <v>0</v>
      </c>
      <c r="BR744" s="61" t="n">
        <f aca="false">IFERROR(LEN(SUBSTITUTE(CC744," ",""))-SUMPRODUCT((LEN(CC744)-LEN(SUBSTITUTE(CC744," "&amp;L_Role&amp;" "," ")))/(LEN(L_Role)+1)*LEN(L_Role)),0)</f>
        <v>0</v>
      </c>
      <c r="BS744" s="61" t="n">
        <f aca="false">IFERROR(LEN(SUBSTITUTE(CD744," ",""))-SUMPRODUCT((LEN(CD744)-LEN(SUBSTITUTE(CD744," "&amp;L_Role&amp;" "," ")))/(LEN(L_Role)+1)*LEN(L_Role)),0)</f>
        <v>0</v>
      </c>
      <c r="BT7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744,"revision",""),"version",""),"jan",""),"feb",""),"mar",""),"apr",""),"may",""),"jun",""),"jul",""),"aug",""),"sep",""),"oct",""),"nov",""),"dec",""),"utc",""),"gmt",""),"myt",""),"bst",""),"rev",""),"ver",""),"b","a"),"c","a"),"d","a"),"e","a"),"f","a"),"g","a"),"h","a"),"i","a"),"j","a"),"k","a"),"l","a"),"m","a"),"n","a"),"o","a"),"p","a"),"q","a"),"r","a"),"s","a"),"t","a"),"u","a"),"v","a"),"w","a"),"x","a"),"y","a"),"z","a")</f>
        <v/>
      </c>
      <c r="BU744" s="61" t="str">
        <f aca="false">SUBSTITUTE(SUBSTITUTE(SUBSTITUTE(SUBSTITUTE(SUBSTITUTE(SUBSTITUTE(SUBSTITUTE(SUBSTITUTE(SUBSTITUTE(SUBSTITUTE(LEFT(BM744,FIND("0",BM744&amp;"0")-1),"-",""),"_",""),"/",""),".",""),"#",""),"\\",""),":","")," ",""),"(",""),")","")</f>
        <v/>
      </c>
      <c r="BV744" s="61" t="n">
        <f aca="false">IFERROR(IF(OR(SUMPRODUCT((LEN(BC744)-LEN(SUBSTITUTE(BC744," "&amp;L_NotLoaded&amp;" "," ")))/(LEN(L_NotLoaded)+1))&gt;SUMPRODUCT((LEN(BC744)-LEN(SUBSTITUTE(BC744," "&amp;L_NotLoadedNeg&amp;" "," ")))/(LEN(L_NotLoadedNeg)+1)),SUMPRODUCT((LEN(BD744)-LEN(SUBSTITUTE(BD744," "&amp;L_NotLoaded&amp;" "," ")))/(LEN(L_NotLoaded)+1))&gt;SUMPRODUCT((LEN(BD744)-LEN(SUBSTITUTE(BD744," "&amp;L_NotLoadedNeg&amp;" "," ")))/(LEN(L_NotLoadedNeg)+1))),1,0),0)</f>
        <v>0</v>
      </c>
      <c r="BW744"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744&amp;""),"a",""),"b",""),"c",""),"d",""),"e",""),"f",""),"g",""),"h",""),"i",""),"j",""),"k",""),"l",""),"m",""),"n",""),"o",""),"p",""),"q",""),"r",""),"s",""),"t",""),"u",""),"v",""),"w",""),"x",""),"y",""),"z",""),"-",""),"_",""),"/",""),".",""),"#",""),"\\",""),":","")," ",""),"(",""),")","")</f>
        <v/>
      </c>
      <c r="BX744" s="61" t="str">
        <f aca="false">SUBSTITUTE(SUBSTITUTE(SUBSTITUTE(SUBSTITUTE(SUBSTITUTE(SUBSTITUTE(SUBSTITUTE(SUBSTITUTE(SUBSTITUTE(SUBSTITUTE(SUBSTITUTE(BM744,"0",""),"-",""),"_",""),"/",""),".",""),"#",""),"\\",""),":","")," ",""),"(",""),")","")</f>
        <v/>
      </c>
      <c r="BY744" s="62" t="n">
        <f aca="false">IF(ISNUMBER(Flights!$AZ$26),MAX(Q744-UpliftWindowH/24,Flights!$AZ$26),Q744-UpliftWindowH/24)</f>
        <v>46325.3888888889</v>
      </c>
      <c r="BZ744" s="61" t="n">
        <f aca="false">IFERROR(IF(IF(TRIM(S744)="Link / file path",AND(LEN(TRIM(Z744))&gt;=5,SUMPRODUCT(--ISNUMBER(SEARCH({"http","www.","\\",":\",".pdf",".jpg",".jpeg",".png",".heic",".xls",".doc",".msg",".eml",".ppt",".txt",".zip"},Z744)))&gt;0),AND(ISERROR(FIND(" ",TRIM(Z744))),NOT(OR(SUMPRODUCT(--ISNUMBER(FIND({",",";","&amp;","+"},Z744)))&gt;0,SUMPRODUCT(--ISNUMBER(SEARCH({"0/aa","0\\aa"},BN744)))&gt;0)),NOT(SUMPRODUCT(--ISNUMBER(SEARCH({"http","www.","\\",":\",".pdf",".jpg",".jpeg",".png",".heic",".xls",".doc",".msg",".eml",".ppt",".txt",".zip"},Z744)))&gt;0),NOT(LOWER(TRIM(Z744))=LOWER(Flights!$F$26)),ISNA(MATCH(BU744,{"mh","rev","revision","ver","version","v","r","a","b","seat","tray","row","gate","bay","stand","page","pg","item","line","no","cart","galley","flight","flt","table","box","bag","oven","etd","eta","std","sta","atd","ata","qty","pax","x","time","tel","ph","mob","day","wk","week","utc","gmt","myt","lt"},0)),NOT(OR(ISNUMBER(MATCH(LEFT(BN744,255),{"0000a","000a","00a","0000aa","000aa","00aa","0aa","0000aaa","000aaa","00a00","0a00","0000-0000","00:00","a00","a0","00.00.0000","00/00/0000","00-00-0000","0000-00-00","0000/00/00","0000.00.00","00.00.00","00/00/00","00-00-00","0.00.0000","0/00/0000","0-00-0000"},0)),ISNUMBER(MATCH(LEFT(BT744,255),{"0000a","000a","00a","0000aa","000aa","00aa","0aa","0000aaa","000aaa","00a00","0a00","0000-0000","00:00","a00","a0","00.00.0000","00/00/0000","00-00-0000","0000-00-00","0000/00/00","0000.00.00","00.00.00","00/00/00","00-00-00","0.00.0000","0/00/0000","0-00-0000"},0)))),NOT(OR(AND(BW744&lt;&gt;"",SUBSTITUTE(BW744,"0","")=""),AND(LEN(BW744)&gt;=4,BW744=REPT(LEFT(BW744),LEN(BW744))),ISNUMBER(MATCH(BW744,{"123","1234","12345","123456","1234567","12345678","0123","01234","012345","98765","987654","54321"},0)),ISNUMBER(MATCH(BX744,{"x","xx","xxx","xxxx","xxxxx","abc","abcd","nil","na","nan","test","tbc","tba","tbd","dummy","sample","example","eg","zz","zzz","none","null","xyz","qwe","asd","id","ref"},0)),AND(LEN(BW744)=8,BX744="",OR(LEFT(BW744,3)="202",ISNUMBER(MATCH(RIGHT(BW744,4),{"2025","2026","2027"},0)))))),OR(AND((LEN(BT744)-LEN(SUBSTITUTE(BT744,"a","")))&gt;=1,(LEN(BN744)-LEN(SUBSTITUTE(BN744,"0","")))&gt;=2,SUMPRODUCT(--ISNUMBER(SEARCH({"a0","a-0","a_0","a/0","a.0","a#0","0a","0-a","0_a","0/a"},BN744)))&gt;0),AND((LEN(BN744)-LEN(SUBSTITUTE(BN744,"a","")))=0,(LEN(BN744)-LEN(SUBSTITUTE(BN744,"0","")))&gt;=5)))),1,0),0)</f>
        <v>0</v>
      </c>
      <c r="CA7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744,"revision",""),"version",""),"jan",""),"feb",""),"mar",""),"apr",""),"may",""),"jun",""),"jul",""),"aug",""),"sep",""),"oct",""),"nov",""),"dec",""),"utc",""),"gmt",""),"myt",""),"bst",""),"rev",""),"ver",""),"b","a"),"c","a"),"d","a"),"e","a"),"f","a"),"g","a"),"h","a"),"i","a"),"j","a"),"k","a"),"l","a"),"m","a"),"n","a"),"o","a"),"p","a"),"q","a"),"r","a"),"s","a"),"t","a"),"u","a"),"v","a"),"w","a"),"x","a"),"y","a"),"z","a")</f>
        <v/>
      </c>
      <c r="CB74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744&amp;""),"a",""),"b",""),"c",""),"d",""),"e",""),"f",""),"g",""),"h",""),"i",""),"j",""),"k",""),"l",""),"m",""),"n",""),"o",""),"p",""),"q",""),"r",""),"s",""),"t",""),"u",""),"v",""),"w",""),"x",""),"y",""),"z",""),"-",""),"_",""),"/",""),".",""),"#",""),"\\",""),":","")," ",""),"(",""),")","")</f>
        <v/>
      </c>
      <c r="CC744" s="0" t="str">
        <f aca="false">" "&amp;TRIM(SUBSTITUTE(SUBSTITUTE(SUBSTITUTE(SUBSTITUTE(SUBSTITUTE(SUBSTITUTE(SUBSTITUTE(SUBSTITUTE(SUBSTITUTE(SUBSTITUTE(SUBSTITUTE(SUBSTITUTE(SUBSTITUTE(SUBSTITUTE(SUBSTITUTE(SUBSTITUTE(SUBSTITUTE(SUBSTITUTE(SUBSTITUTE(SUBSTITUTE(SUBSTITUTE(SUBSTITUTE(SUBSTITUTE(SUBSTITUTE(LOWER(T744&amp;""),CHAR(10)," "),CHAR(13)," "),CHAR(9)," "),CHAR(160)," "),"."," "),","," "),"-"," "),"/"," "),"("," "),")"," "),":"," "),";"," "),"_"," "),"–"," "),"?"," "),"!"," "),"*"," "),"["," "),"]"," "),"'"," "),"#"," "),"+"," "),"&amp;"," "),"\"," "))&amp;" "</f>
        <v>  </v>
      </c>
      <c r="CD744" s="0" t="str">
        <f aca="false">" "&amp;TRIM(SUBSTITUTE(SUBSTITUTE(SUBSTITUTE(SUBSTITUTE(SUBSTITUTE(SUBSTITUTE(SUBSTITUTE(SUBSTITUTE(SUBSTITUTE(SUBSTITUTE(SUBSTITUTE(SUBSTITUTE(SUBSTITUTE(SUBSTITUTE(SUBSTITUTE(SUBSTITUTE(SUBSTITUTE(SUBSTITUTE(SUBSTITUTE(SUBSTITUTE(SUBSTITUTE(SUBSTITUTE(SUBSTITUTE(SUBSTITUTE(LOWER(AE744&amp;""),CHAR(10)," "),CHAR(13)," "),CHAR(9)," "),CHAR(160)," "),"."," "),","," "),"-"," "),"/"," "),"("," "),")"," "),":"," "),";"," "),"_"," "),"–"," "),"?"," "),"!"," "),"*"," "),"["," "),"]"," "),"'"," "),"#"," "),"+"," "),"&amp;"," "),"\"," "))&amp;" "</f>
        <v>  </v>
      </c>
      <c r="CE744" s="68" t="n">
        <f aca="false">IFERROR(IF(AND(LEN(AU744)&gt;0,LEN(AU744)=LEN(AX744),OR(TRIM(MID(SUBSTITUTE(TRIM(CC744)," ",REPT(" ",60)),1,60))="",ISNUMBER(SEARCH(" "&amp;TRIM(MID(SUBSTITUTE(TRIM(CC744)," ",REPT(" ",60)),1,60))&amp;" ",CD744))),OR(TRIM(MID(SUBSTITUTE(TRIM(CC744)," ",REPT(" ",60)),61,60))="",ISNUMBER(SEARCH(" "&amp;TRIM(MID(SUBSTITUTE(TRIM(CC744)," ",REPT(" ",60)),61,60))&amp;" ",CD744))),OR(TRIM(MID(SUBSTITUTE(TRIM(CC744)," ",REPT(" ",60)),121,60))="",ISNUMBER(SEARCH(" "&amp;TRIM(MID(SUBSTITUTE(TRIM(CC744)," ",REPT(" ",60)),121,60))&amp;" ",CD744)))),1,0),0)</f>
        <v>0</v>
      </c>
      <c r="CG744" s="68" t="n">
        <f aca="false">IFERROR(LEN(SUBSTITUTE(BF744," ",""))-SUMPRODUCT((LEN(BF744)-LEN(SUBSTITUTE(BF744," "&amp;L_NAFiller&amp;" "," ")))/(LEN(L_NAFiller)+1)*LEN(L_NAFiller)),0)</f>
        <v>0</v>
      </c>
    </row>
    <row r="745" customFormat="false" ht="39.75" hidden="false" customHeight="true" outlineLevel="0" collapsed="false">
      <c r="A745" s="57" t="s">
        <v>1479</v>
      </c>
      <c r="B745" s="57" t="s">
        <v>312</v>
      </c>
      <c r="C745" s="57" t="str">
        <f aca="false">Flights!$F$26</f>
        <v>MH0002</v>
      </c>
      <c r="D745" s="58" t="n">
        <f aca="false">Flights!$D$26</f>
        <v>46325</v>
      </c>
      <c r="E745" s="57" t="str">
        <f aca="false">Flights!$G$26&amp;"-"&amp;Flights!$H$26</f>
        <v>KUL-LHR</v>
      </c>
      <c r="F745" s="57" t="str">
        <f aca="false">Flights!$K$26</f>
        <v>BC</v>
      </c>
      <c r="G745" s="57" t="s">
        <v>459</v>
      </c>
      <c r="H745" s="57" t="s">
        <v>460</v>
      </c>
      <c r="I745" s="57" t="s">
        <v>447</v>
      </c>
      <c r="J745" s="57" t="s">
        <v>553</v>
      </c>
      <c r="K745" s="67" t="s">
        <v>449</v>
      </c>
      <c r="L745" s="67" t="s">
        <v>750</v>
      </c>
      <c r="M745" s="67" t="s">
        <v>451</v>
      </c>
      <c r="N745" s="67" t="s">
        <v>383</v>
      </c>
      <c r="O745" s="67"/>
      <c r="P745" s="57" t="s">
        <v>187</v>
      </c>
      <c r="Q745" s="59" t="n">
        <f aca="false">ROUND((Flights!$AF$26)*1440,0)/1440</f>
        <v>46325.6388888889</v>
      </c>
      <c r="R745" s="59" t="n">
        <f aca="false">Q745+(IF(AND(INDEX(TZ_DSTS,MATCH(P745,TZ_STN,0))&lt;&gt;"",Q745&gt;=INDEX(TZ_DSTS,MATCH(P745,TZ_STN,0)),Q745&lt;INDEX(TZ_DSTE,MATCH(P745,TZ_STN,0))),INDEX(TZ_DST,MATCH(P745,TZ_STN,0)),INDEX(TZ_STD,MATCH(P745,TZ_STN,0))))/24</f>
        <v>46325.9722222222</v>
      </c>
      <c r="S745" s="60"/>
      <c r="T745" s="60"/>
      <c r="U745" s="60"/>
      <c r="V745" s="60"/>
      <c r="W745" s="61"/>
      <c r="X745" s="60"/>
      <c r="Y745" s="60"/>
      <c r="Z745" s="60"/>
      <c r="AA745" s="60"/>
      <c r="AB745" s="60"/>
      <c r="AC745" s="60"/>
      <c r="AD745" s="66"/>
      <c r="AE745" s="60"/>
      <c r="AF745" s="61" t="str">
        <f aca="false">IF(AND(ISNUMBER(X745),ISNUMBER(Y745)),Y745-X745,"")</f>
        <v/>
      </c>
      <c r="AG745" s="62" t="str">
        <f aca="false">IF(ISNUMBER(AD745),AD745-(IF(AND(INDEX(TZ_DSTS,MATCH(P745,TZ_STN,0))&lt;&gt;"",(AD745-INDEX(TZ_STD,MATCH(P745,TZ_STN,0))/24)&gt;=INDEX(TZ_DSTS,MATCH(P745,TZ_STN,0)),(AD745-INDEX(TZ_STD,MATCH(P745,TZ_STN,0))/24)&lt;INDEX(TZ_DSTE,MATCH(P745,TZ_STN,0))),INDEX(TZ_DST,MATCH(P745,TZ_STN,0)),INDEX(TZ_STD,MATCH(P745,TZ_STN,0))))/24,"")</f>
        <v/>
      </c>
      <c r="AH745" s="65" t="str">
        <f aca="false">IFERROR(IF(N745="N/A – rule",IF(OR(TRIM(U745)="",TRIM(U745)="N/A",TRIM(U745)="Not started"),"N/A – RULE","INVALID – this check does not apply to this aircraft: clear the status (or correct the fleet on Flights)"),IF(TRIM(U745)="N/A",IF(AT745=0,"INVALID – N/A not permitted for this check",IF(AND(TRIM(AB745)&lt;&gt;"",TRIM(AB745)&lt;&gt;"Closed"),"INVALID – corrective action still open",IF(AND(NOT(OR(LEN(AZ745)&lt;15,ISNUMBER(MATCH(AZ745,L_Placeholder,0)))),BK745=0,CG745&gt;=8,NOT(OR(LEN(AU745)&lt;2,ISNUMBER(MATCH(AU745,L_Placeholder,0)))),BR745&gt;=3,NOT(OR(LEN(AX745)&lt;2,ISNUMBER(MATCH(AX745,L_Placeholder,0)))),BS745&gt;=3,TRIM(AE745)&lt;&gt;TRIM(T745),AX745&lt;&gt;AU745,CE745=0),"N/A – JUSTIFIED","INVALID – N/A needs a real, settled reason (not 'not applicable' / 'as above' / TBC), a named PIC and a different named verifier"))),IF(OR(TRIM(U745)="Pass",TRIM(U745)="Pass after CA"),IF(NOT(ISNUMBER(AD745)),"INVALID – completion time missing",IF(OR(OR(LEN(AU745)&lt;2,ISNUMBER(MATCH(AU745,L_Placeholder,0))),BR745&lt;3),"INVALID – PIC missing or not a named person (a role such as QA / CSM is not a name)",IF(OR(LEN(AV745)&lt;2,ISNUMBER(MATCH(AV745,L_Placeholder,0))),"INVALID – result / assessment missing",IF(OR(OR(LEN(AW745)&lt;3,ISNUMBER(MATCH(AW745,L_Placeholder,0))),SUMPRODUCT(--ISNUMBER(SEARCH(" "&amp;L_EvidencePhrase&amp;" ",BD745)))&gt;0,BI745=1),"INVALID – evidence missing, placeholder or not yet on file",IF(ISNA(MATCH(TRIM(S745),L_EvidenceType,0)),"INVALID – choose the evidence type from the list (column S)",IF(BL745=0,"INVALID – evidence ID must be the record's own ID only (e.g. SF-2210, IMG_2231, 1045521); a link / file name needs type 'Link / file path'",IF(OR(OR(LEN(AX745)&lt;2,ISNUMBER(MATCH(AX745,L_Placeholder,0))),BS745&lt;3),"INVALID – verifier missing or not a named person (a role such as QA / CSM is not a name)",IF(OR(AX745=AU745,CE745=1,AND(LEN(AU745)&gt;=4,ISNUMBER(SEARCH(AU745,AX745))),AND(LEN(AX745)&gt;=4,ISNUMBER(SEARCH(AX745,AU745)))),"INVALID – verifier must be a different, named person (not the PIC or a role)",IF(BH745=1,"INVALID – result not yet available (awaiting / TBC)",IF(BG745=1,"INVALID – result describes a problem: record Fail, then Pass after CA (or reword if it is not a problem)",IF(BV745=1,"INVALID – wording says not on board: an on-board confirmation needs the item loaded",IF(AND(AQ745=1,OR(OR(LEN(AY745)&lt;3,ISNUMBER(MATCH(AY745,L_Placeholder,0))),BJ745=1,BQ745=0)),"INVALID – batch ID missing, placeholder or not an ID (e.g. PASB-261008-BC-017)",IF(AND(AR745=1,OR(NOT(ISNUMBER(X745)),NOT(ISNUMBER(Y745)))),"INVALID – expected/actual qty missing",IF(AND(AR745=1,OR(X745&lt;=0,Y745&lt;0)),"INVALID – expected qty must be above 0 and actual not negative",IF(AH729="N/A – JUSTIFIED","INVALID – preparation row F22-T12-18 is N/A",IF(AND(AR745=1,ISNUMBER(X729),X745&lt;&gt;X729,TRIM(U745)&lt;&gt;"Pass after CA"),"INVALID – expected qty differs from preparation check F22-T12-18: record the load change as a corrective action (Pass after CA)",IF(BB745&lt;&gt;"",BB745,IF(AND(AS745=1,Documents!$J$26&lt;&gt;"ON FILE"),"INVALID – GLD not on file (Documents sheet)",IF(AND(AS745=2,Documents!$O$26&lt;&gt;"ON FILE"),"INVALID – menu checklist not on file (Documents sheet)",IF(AND(AS745=3,NOT(ISNUMBER(Flights!$AX$26))),"INVALID – enter carrying flight KUL departure (Flights AX)",IF(AND(AS745=3,OR(Flights!$AZ$26&gt;Flights!$AA$26,Flights!$AX$26&lt;Flights!$AA$26-3)),"INVALID – carrying flight (Flights AX) cannot arrive before this leg's STD, or is over 3 days early",IF(AG745&gt;AsOfUTC,"INVALID – completion time is in the future",IF(AND(ISNUMBER(BY745),AG745&lt;BY745),IF(H745="Physical uplift","INVALID – before uplift window (cannot confirm loading)","INVALID – before valid window"),IF(AG745&gt;Flights!$AA$26,"INVALID – completed after departure (cannot establish readiness)",IF(AND(H745="Preparation",AG745&gt;=IF(ISNUMBER(Flights!$BA$26),MIN(Flights!$BA$26,Flights!$AA$26),Flights!$AA$26)),"INVALID – completed after loading / departure (cannot establish readiness)",IF(AND(H745="Physical uplift",AG745&gt;Q745),"INVALID – recorded after the loading flight departed",IF(AG745&gt;Q745,"COMPLETE – LATE","COMPLETE"))))))))))))))))))))))))))),IF(TRIM(U745)="Fail","FAIL – DISCREPANCY",IF(AND(TRIM(U745)&lt;&gt;"",TRIM(U745)&lt;&gt;"Not started",TRIM(U745)&lt;&gt;"In progress"),"INVALID – unrecognised status (use the list)",IF(AsOfUTC&gt;Q745,"OVERDUE",IF(N745="Clarification required","OPEN – CLARIFICATION","OPEN"))))))),"INVALID – error value in an input cell")</f>
        <v>OPEN</v>
      </c>
      <c r="AI745" s="61" t="n">
        <f aca="false">IF(OR(AH745="N/A – RULE",AH745="N/A – JUSTIFIED"),0,1)</f>
        <v>1</v>
      </c>
      <c r="AJ745" s="61" t="n">
        <f aca="false">IF(LEFT(AH745,8)="COMPLETE",1,0)</f>
        <v>0</v>
      </c>
      <c r="AK745" s="61" t="n">
        <f aca="false">IF(AND(AI745=1,AJ745=0,AsOfUTC&gt;Q745),1,0)</f>
        <v>0</v>
      </c>
      <c r="AL745" s="61" t="n">
        <f aca="false">IFERROR(IF(AND(AI745=1,OR(TRIM(U745)="Fail",AND(TRIM(AB745)&lt;&gt;"",TRIM(AB745)&lt;&gt;"Closed"),AND(ISNUMBER(AF745),AF745&lt;&gt;0,TRIM(U745)&lt;&gt;"Pass after CA"))),1,0),1)</f>
        <v>0</v>
      </c>
      <c r="AM745" s="61" t="n">
        <f aca="false">IF(LEFT(AH745,7)="INVALID",1,0)</f>
        <v>0</v>
      </c>
      <c r="AN745" s="61" t="n">
        <f aca="false">IF(AND(N745="Clarification required",AI745=1,AJ745=0),1,0)</f>
        <v>0</v>
      </c>
      <c r="AO745" s="61" t="str">
        <f aca="false">IF(AK745=1,SUM(AK$5:AK745),"")</f>
        <v/>
      </c>
      <c r="AP745" s="61" t="str">
        <f aca="false">IF(AL745=1,SUM(AL$5:AL745),"")</f>
        <v/>
      </c>
      <c r="AQ745" s="61" t="n">
        <v>0</v>
      </c>
      <c r="AR745" s="61" t="n">
        <v>0</v>
      </c>
      <c r="AS745" s="61" t="n">
        <v>0</v>
      </c>
      <c r="AT745" s="61" t="n">
        <v>0</v>
      </c>
      <c r="AU745" s="61" t="str">
        <f aca="false">SUBSTITUTE(SUBSTITUTE(SUBSTITUTE(SUBSTITUTE(SUBSTITUTE(SUBSTITUTE(SUBSTITUTE(SUBSTITUTE(SUBSTITUTE(SUBSTITUTE(SUBSTITUTE(SUBSTITUTE(SUBSTITUTE(SUBSTITUTE(SUBSTITUTE(SUBSTITUTE(LOWER(T745&amp;""),CHAR(10),""),CHAR(13),""),CHAR(9),""),CHAR(160),"")," ",""),".",""),"-",""),"/",""),"?",""),"_",""),",",""),"[",""),"]",""),"(",""),")",""),"*","")</f>
        <v/>
      </c>
      <c r="AV745" s="61" t="str">
        <f aca="false">SUBSTITUTE(SUBSTITUTE(SUBSTITUTE(SUBSTITUTE(SUBSTITUTE(SUBSTITUTE(SUBSTITUTE(SUBSTITUTE(SUBSTITUTE(SUBSTITUTE(SUBSTITUTE(SUBSTITUTE(SUBSTITUTE(SUBSTITUTE(SUBSTITUTE(SUBSTITUTE(LOWER(V745&amp;""),CHAR(10),""),CHAR(13),""),CHAR(9),""),CHAR(160),"")," ",""),".",""),"-",""),"/",""),"?",""),"_",""),",",""),"[",""),"]",""),"(",""),")",""),"*","")</f>
        <v/>
      </c>
      <c r="AW745" s="61" t="str">
        <f aca="false">SUBSTITUTE(SUBSTITUTE(SUBSTITUTE(SUBSTITUTE(SUBSTITUTE(SUBSTITUTE(SUBSTITUTE(SUBSTITUTE(SUBSTITUTE(SUBSTITUTE(SUBSTITUTE(SUBSTITUTE(SUBSTITUTE(SUBSTITUTE(SUBSTITUTE(SUBSTITUTE(LOWER(Z745&amp;""),CHAR(10),""),CHAR(13),""),CHAR(9),""),CHAR(160),"")," ",""),".",""),"-",""),"/",""),"?",""),"_",""),",",""),"[",""),"]",""),"(",""),")",""),"*","")</f>
        <v/>
      </c>
      <c r="AX745" s="61" t="str">
        <f aca="false">SUBSTITUTE(SUBSTITUTE(SUBSTITUTE(SUBSTITUTE(SUBSTITUTE(SUBSTITUTE(SUBSTITUTE(SUBSTITUTE(SUBSTITUTE(SUBSTITUTE(SUBSTITUTE(SUBSTITUTE(SUBSTITUTE(SUBSTITUTE(SUBSTITUTE(SUBSTITUTE(LOWER(AE745&amp;""),CHAR(10),""),CHAR(13),""),CHAR(9),""),CHAR(160),"")," ",""),".",""),"-",""),"/",""),"?",""),"_",""),",",""),"[",""),"]",""),"(",""),")",""),"*","")</f>
        <v/>
      </c>
      <c r="AY745" s="61" t="str">
        <f aca="false">SUBSTITUTE(SUBSTITUTE(SUBSTITUTE(SUBSTITUTE(SUBSTITUTE(SUBSTITUTE(SUBSTITUTE(SUBSTITUTE(SUBSTITUTE(SUBSTITUTE(SUBSTITUTE(SUBSTITUTE(SUBSTITUTE(SUBSTITUTE(SUBSTITUTE(SUBSTITUTE(LOWER(W745&amp;""),CHAR(10),""),CHAR(13),""),CHAR(9),""),CHAR(160),"")," ",""),".",""),"-",""),"/",""),"?",""),"_",""),",",""),"[",""),"]",""),"(",""),")",""),"*","")</f>
        <v/>
      </c>
      <c r="AZ745" s="61" t="str">
        <f aca="false">SUBSTITUTE(SUBSTITUTE(SUBSTITUTE(SUBSTITUTE(SUBSTITUTE(SUBSTITUTE(SUBSTITUTE(SUBSTITUTE(SUBSTITUTE(SUBSTITUTE(SUBSTITUTE(SUBSTITUTE(SUBSTITUTE(SUBSTITUTE(SUBSTITUTE(SUBSTITUTE(LOWER(AC745&amp;""),CHAR(10),""),CHAR(13),""),CHAR(9),""),CHAR(160),"")," ",""),".",""),"-",""),"/",""),"?",""),"_",""),",",""),"[",""),"]",""),"(",""),")",""),"*","")</f>
        <v/>
      </c>
      <c r="BA745" s="61" t="str">
        <f aca="false">SUBSTITUTE(SUBSTITUTE(SUBSTITUTE(SUBSTITUTE(SUBSTITUTE(SUBSTITUTE(SUBSTITUTE(SUBSTITUTE(SUBSTITUTE(SUBSTITUTE(SUBSTITUTE(SUBSTITUTE(SUBSTITUTE(SUBSTITUTE(SUBSTITUTE(SUBSTITUTE(LOWER(AA745&amp;""),CHAR(10),""),CHAR(13),""),CHAR(9),""),CHAR(160),"")," ",""),".",""),"-",""),"/",""),"?",""),"_",""),",",""),"[",""),"]",""),"(",""),")",""),"*","")</f>
        <v/>
      </c>
      <c r="BB745" s="61" t="str">
        <f aca="false">IF(AND(TRIM(U745)="Pass",ISNUMBER(AF745)),IF(AF745&lt;&gt;0,"INVALID – qty variance: use Fail or Pass after CA",""),"")&amp;IF(AND(TRIM(U745)="Pass after CA",ISNUMBER(AF745)),IF(AF745&lt;&gt;0,"INVALID – after the corrective action the actual qty must equal expected (update Actual)",""),"")&amp;IF(AND(TRIM(U745)="Pass",TRIM(AB745)&lt;&gt;"",TRIM(AB745)&lt;&gt;"Closed"),"INVALID – corrective action not closed: use Fail, then Pass after CA","")&amp;IF(AND(LEN(BA745)&gt;=2,ISNA(MATCH(LEFT(BA745,255),L_Placeholder,0)),TRIM(AB745)=""),"INVALID – CA status missing for the recorded corrective action","")&amp;IF(AND(TRIM(U745)="Pass after CA",OR(OR(LEN(BA745)&lt;5,ISNUMBER(MATCH(BA745,L_Placeholder,0))),TRIM(AB745)&lt;&gt;"Closed")),"INVALID – corrective action not recorded/closed","")</f>
        <v/>
      </c>
      <c r="BC745" s="61" t="str">
        <f aca="false">" "&amp;TRIM(SUBSTITUTE(SUBSTITUTE(SUBSTITUTE(SUBSTITUTE(SUBSTITUTE(SUBSTITUTE(SUBSTITUTE(SUBSTITUTE(SUBSTITUTE(SUBSTITUTE(SUBSTITUTE(SUBSTITUTE(SUBSTITUTE(SUBSTITUTE(SUBSTITUTE(SUBSTITUTE(SUBSTITUTE(SUBSTITUTE(SUBSTITUTE(SUBSTITUTE(SUBSTITUTE(SUBSTITUTE(SUBSTITUTE(SUBSTITUTE(LOWER(V745&amp;""),CHAR(10)," "),CHAR(13)," "),CHAR(9)," "),CHAR(160)," "),"."," "),","," "),"-"," "),"/"," "),"("," "),")"," "),":"," "),";"," "),"_"," "),"–"," "),"?"," "),"!"," "),"*"," "),"["," "),"]"," "),"'"," "),"#"," "),"+"," "),"&amp;"," "),"\"," "))&amp;" "</f>
        <v>  </v>
      </c>
      <c r="BD745" s="61" t="str">
        <f aca="false">" "&amp;TRIM(SUBSTITUTE(SUBSTITUTE(SUBSTITUTE(SUBSTITUTE(SUBSTITUTE(SUBSTITUTE(SUBSTITUTE(SUBSTITUTE(SUBSTITUTE(SUBSTITUTE(SUBSTITUTE(SUBSTITUTE(SUBSTITUTE(SUBSTITUTE(SUBSTITUTE(SUBSTITUTE(SUBSTITUTE(SUBSTITUTE(SUBSTITUTE(SUBSTITUTE(SUBSTITUTE(SUBSTITUTE(SUBSTITUTE(SUBSTITUTE(LOWER(Z745&amp;""),CHAR(10)," "),CHAR(13)," "),CHAR(9)," "),CHAR(160)," "),"."," "),","," "),"-"," "),"/"," "),"("," "),")"," "),":"," "),";"," "),"_"," "),"–"," "),"?"," "),"!"," "),"*"," "),"["," "),"]"," "),"'"," "),"#"," "),"+"," "),"&amp;"," "),"\"," "))&amp;" "</f>
        <v>  </v>
      </c>
      <c r="BE745" s="61" t="str">
        <f aca="false">" "&amp;TRIM(SUBSTITUTE(SUBSTITUTE(SUBSTITUTE(SUBSTITUTE(SUBSTITUTE(SUBSTITUTE(SUBSTITUTE(SUBSTITUTE(SUBSTITUTE(SUBSTITUTE(SUBSTITUTE(SUBSTITUTE(SUBSTITUTE(SUBSTITUTE(SUBSTITUTE(SUBSTITUTE(SUBSTITUTE(SUBSTITUTE(SUBSTITUTE(SUBSTITUTE(SUBSTITUTE(SUBSTITUTE(SUBSTITUTE(SUBSTITUTE(LOWER(W745&amp;""),CHAR(10)," "),CHAR(13)," "),CHAR(9)," "),CHAR(160)," "),"."," "),","," "),"-"," "),"/"," "),"("," "),")"," "),":"," "),";"," "),"_"," "),"–"," "),"?"," "),"!"," "),"*"," "),"["," "),"]"," "),"'"," "),"#"," "),"+"," "),"&amp;"," "),"\"," "))&amp;" "</f>
        <v>  </v>
      </c>
      <c r="BF745" s="61" t="str">
        <f aca="false">" "&amp;TRIM(SUBSTITUTE(SUBSTITUTE(SUBSTITUTE(SUBSTITUTE(SUBSTITUTE(SUBSTITUTE(SUBSTITUTE(SUBSTITUTE(SUBSTITUTE(SUBSTITUTE(SUBSTITUTE(SUBSTITUTE(SUBSTITUTE(SUBSTITUTE(SUBSTITUTE(SUBSTITUTE(SUBSTITUTE(SUBSTITUTE(SUBSTITUTE(SUBSTITUTE(SUBSTITUTE(SUBSTITUTE(SUBSTITUTE(SUBSTITUTE(LOWER(AC745&amp;""),CHAR(10)," "),CHAR(13)," "),CHAR(9)," "),CHAR(160)," "),"."," "),","," "),"-"," "),"/"," "),"("," "),")"," "),":"," "),";"," "),"_"," "),"–"," "),"?"," "),"!"," "),"*"," "),"["," "),"]"," "),"'"," "),"#"," "),"+"," "),"&amp;"," "),"\"," "))&amp;" "</f>
        <v>  </v>
      </c>
      <c r="BG745" s="61" t="n">
        <f aca="false">IFERROR(IF(AND(TRIM(U745)="Pass",SUMPRODUCT((LEN(BC745)-LEN(SUBSTITUTE(BC745," "&amp;L_ResultBad&amp;" "," ")))/(LEN(L_ResultBad)+1))&gt;SUMPRODUCT((LEN(BC745)-LEN(SUBSTITUTE(BC745," "&amp;L_NegPhrase&amp;" "," ")))/(LEN(L_NegPhrase)+1))),1,0),0)</f>
        <v>0</v>
      </c>
      <c r="BH745" s="61" t="n">
        <f aca="false">IFERROR(IF(SUMPRODUCT((LEN(BC745)-LEN(SUBSTITUTE(BC745," "&amp;L_Pending&amp;" "," ")))/(LEN(L_Pending)+1))&gt;SUMPRODUCT((LEN(BC745)-LEN(SUBSTITUTE(BC745," "&amp;L_PendNeg&amp;" "," ")))/(LEN(L_PendNeg)+1)),1,0),1)</f>
        <v>0</v>
      </c>
      <c r="BI745" s="61" t="n">
        <f aca="false">IFERROR(IF(SUMPRODUCT((LEN(BD745)-LEN(SUBSTITUTE(BD745," "&amp;L_PendStrict&amp;" "," ")))/(LEN(L_PendStrict)+1))&gt;SUMPRODUCT((LEN(BD745)-LEN(SUBSTITUTE(BD745," "&amp;L_PendNeg&amp;" "," ")))/(LEN(L_PendNeg)+1)),1,0),1)</f>
        <v>0</v>
      </c>
      <c r="BJ745" s="61" t="n">
        <f aca="false">IFERROR(IF(SUMPRODUCT((LEN(BE745)-LEN(SUBSTITUTE(BE745," "&amp;L_Pending&amp;" "," ")))/(LEN(L_Pending)+1))&gt;SUMPRODUCT((LEN(BE745)-LEN(SUBSTITUTE(BE745," "&amp;L_PendNeg&amp;" "," ")))/(LEN(L_PendNeg)+1)),1,0),1)</f>
        <v>0</v>
      </c>
      <c r="BK745" s="61" t="n">
        <f aca="false">IFERROR(IF(SUMPRODUCT((LEN(BF745)-LEN(SUBSTITUTE(BF745," "&amp;L_PendStrict&amp;" "," ")))/(LEN(L_PendStrict)+1))&gt;SUMPRODUCT((LEN(BF745)-LEN(SUBSTITUTE(BF745," "&amp;L_PendNeg&amp;" "," ")))/(LEN(L_PendNeg)+1)),1,0),1)</f>
        <v>0</v>
      </c>
      <c r="BL745" s="61" t="n">
        <f aca="false">IF(ISNA(MATCH(TRIM(S745),L_EvidenceType,0)),0,BZ745)</f>
        <v>0</v>
      </c>
      <c r="BM745" s="61" t="str">
        <f aca="false">SUBSTITUTE(SUBSTITUTE(SUBSTITUTE(SUBSTITUTE(SUBSTITUTE(SUBSTITUTE(SUBSTITUTE(SUBSTITUTE(SUBSTITUTE(LOWER(Z745&amp;""),"1","0"),"2","0"),"3","0"),"4","0"),"5","0"),"6","0"),"7","0"),"8","0"),"9","0")</f>
        <v/>
      </c>
      <c r="BN745" s="61" t="str">
        <f aca="false">SUBSTITUTE(SUBSTITUTE(SUBSTITUTE(SUBSTITUTE(SUBSTITUTE(SUBSTITUTE(SUBSTITUTE(SUBSTITUTE(SUBSTITUTE(SUBSTITUTE(SUBSTITUTE(SUBSTITUTE(SUBSTITUTE(SUBSTITUTE(SUBSTITUTE(SUBSTITUTE(SUBSTITUTE(SUBSTITUTE(SUBSTITUTE(SUBSTITUTE(SUBSTITUTE(SUBSTITUTE(SUBSTITUTE(SUBSTITUTE(SUBSTITUTE(BM745,"b","a"),"c","a"),"d","a"),"e","a"),"f","a"),"g","a"),"h","a"),"i","a"),"j","a"),"k","a"),"l","a"),"m","a"),"n","a"),"o","a"),"p","a"),"q","a"),"r","a"),"s","a"),"t","a"),"u","a"),"v","a"),"w","a"),"x","a"),"y","a"),"z","a")</f>
        <v/>
      </c>
      <c r="BO745" s="61" t="str">
        <f aca="false">SUBSTITUTE(SUBSTITUTE(SUBSTITUTE(SUBSTITUTE(SUBSTITUTE(SUBSTITUTE(SUBSTITUTE(SUBSTITUTE(SUBSTITUTE(LOWER(W745&amp;""),"1","0"),"2","0"),"3","0"),"4","0"),"5","0"),"6","0"),"7","0"),"8","0"),"9","0")</f>
        <v/>
      </c>
      <c r="BP745" s="61" t="str">
        <f aca="false">SUBSTITUTE(SUBSTITUTE(SUBSTITUTE(SUBSTITUTE(SUBSTITUTE(SUBSTITUTE(SUBSTITUTE(SUBSTITUTE(SUBSTITUTE(SUBSTITUTE(SUBSTITUTE(SUBSTITUTE(SUBSTITUTE(SUBSTITUTE(SUBSTITUTE(SUBSTITUTE(SUBSTITUTE(SUBSTITUTE(SUBSTITUTE(SUBSTITUTE(SUBSTITUTE(SUBSTITUTE(SUBSTITUTE(SUBSTITUTE(SUBSTITUTE(BO745,"b","a"),"c","a"),"d","a"),"e","a"),"f","a"),"g","a"),"h","a"),"i","a"),"j","a"),"k","a"),"l","a"),"m","a"),"n","a"),"o","a"),"p","a"),"q","a"),"r","a"),"s","a"),"t","a"),"u","a"),"v","a"),"w","a"),"x","a"),"y","a"),"z","a")</f>
        <v/>
      </c>
      <c r="BQ745" s="61" t="n">
        <f aca="false">IFERROR(IF(AND(ISERROR(SEARCH(" mh"," "&amp;LOWER(W745))),ISNA(MATCH(LEFT(TRIM(BP745),255),{"0000a","000a","00a","0000aa","000aa","00aa","0aa","0000aaa","000aaa","00a00","0a00","0000-0000","00:00","a00","a0","00.00.0000","00/00/0000","00-00-0000","0000-00-00","0000/00/00","0000.00.00","00.00.00","00/00/00","00-00-00","0.00.0000","0/00/0000","0-00-0000"},0)),ISNA(MATCH(LEFT(TRIM(CA745),255),{"0000a","000a","00a","0000aa","000aa","00aa","0aa","0000aaa","000aaa","00a00","0a00","0000-0000","00:00","a00","a0","00.00.0000","00/00/0000","00-00-0000","0000-00-00","0000/00/00","0000.00.00","00.00.00","00/00/00","00-00-00","0.00.0000","0/00/0000","0-00-0000"},0)),LEN(CB745)&gt;=3,NOT(OR(SUBSTITUTE(CB745,"0","")="",AND(LEN(CB745)&gt;=4,CB745=REPT(LEFT(CB745),LEN(CB745))),ISNUMBER(MATCH(CB745,{"123","1234","12345","123456","1234567","12345678","0123","01234","012345","98765","987654","54321"},0)),AND(LEN(CB745)=8,LEFT(CB745,3)="202"))),OR(AND((LEN(CA745)-LEN(SUBSTITUTE(CA745,"a","")))&gt;=1,SUMPRODUCT(--ISNUMBER(SEARCH({"a0","a-0","a_0","a/0","a.0","a#0","0a","0-a","0_a","0/a"},BP745)))&gt;0),ISNUMBER(SEARCH("000000",BP745)))),1,0),0)</f>
        <v>0</v>
      </c>
      <c r="BR745" s="61" t="n">
        <f aca="false">IFERROR(LEN(SUBSTITUTE(CC745," ",""))-SUMPRODUCT((LEN(CC745)-LEN(SUBSTITUTE(CC745," "&amp;L_Role&amp;" "," ")))/(LEN(L_Role)+1)*LEN(L_Role)),0)</f>
        <v>0</v>
      </c>
      <c r="BS745" s="61" t="n">
        <f aca="false">IFERROR(LEN(SUBSTITUTE(CD745," ",""))-SUMPRODUCT((LEN(CD745)-LEN(SUBSTITUTE(CD745," "&amp;L_Role&amp;" "," ")))/(LEN(L_Role)+1)*LEN(L_Role)),0)</f>
        <v>0</v>
      </c>
      <c r="BT7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745,"revision",""),"version",""),"jan",""),"feb",""),"mar",""),"apr",""),"may",""),"jun",""),"jul",""),"aug",""),"sep",""),"oct",""),"nov",""),"dec",""),"utc",""),"gmt",""),"myt",""),"bst",""),"rev",""),"ver",""),"b","a"),"c","a"),"d","a"),"e","a"),"f","a"),"g","a"),"h","a"),"i","a"),"j","a"),"k","a"),"l","a"),"m","a"),"n","a"),"o","a"),"p","a"),"q","a"),"r","a"),"s","a"),"t","a"),"u","a"),"v","a"),"w","a"),"x","a"),"y","a"),"z","a")</f>
        <v/>
      </c>
      <c r="BU745" s="61" t="str">
        <f aca="false">SUBSTITUTE(SUBSTITUTE(SUBSTITUTE(SUBSTITUTE(SUBSTITUTE(SUBSTITUTE(SUBSTITUTE(SUBSTITUTE(SUBSTITUTE(SUBSTITUTE(LEFT(BM745,FIND("0",BM745&amp;"0")-1),"-",""),"_",""),"/",""),".",""),"#",""),"\\",""),":","")," ",""),"(",""),")","")</f>
        <v/>
      </c>
      <c r="BV745" s="61" t="n">
        <f aca="false">IFERROR(IF(OR(SUMPRODUCT((LEN(BC745)-LEN(SUBSTITUTE(BC745," "&amp;L_NotLoaded&amp;" "," ")))/(LEN(L_NotLoaded)+1))&gt;SUMPRODUCT((LEN(BC745)-LEN(SUBSTITUTE(BC745," "&amp;L_NotLoadedNeg&amp;" "," ")))/(LEN(L_NotLoadedNeg)+1)),SUMPRODUCT((LEN(BD745)-LEN(SUBSTITUTE(BD745," "&amp;L_NotLoaded&amp;" "," ")))/(LEN(L_NotLoaded)+1))&gt;SUMPRODUCT((LEN(BD745)-LEN(SUBSTITUTE(BD745," "&amp;L_NotLoadedNeg&amp;" "," ")))/(LEN(L_NotLoadedNeg)+1))),1,0),0)</f>
        <v>0</v>
      </c>
      <c r="BW745"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745&amp;""),"a",""),"b",""),"c",""),"d",""),"e",""),"f",""),"g",""),"h",""),"i",""),"j",""),"k",""),"l",""),"m",""),"n",""),"o",""),"p",""),"q",""),"r",""),"s",""),"t",""),"u",""),"v",""),"w",""),"x",""),"y",""),"z",""),"-",""),"_",""),"/",""),".",""),"#",""),"\\",""),":","")," ",""),"(",""),")","")</f>
        <v/>
      </c>
      <c r="BX745" s="61" t="str">
        <f aca="false">SUBSTITUTE(SUBSTITUTE(SUBSTITUTE(SUBSTITUTE(SUBSTITUTE(SUBSTITUTE(SUBSTITUTE(SUBSTITUTE(SUBSTITUTE(SUBSTITUTE(SUBSTITUTE(BM745,"0",""),"-",""),"_",""),"/",""),".",""),"#",""),"\\",""),":","")," ",""),"(",""),")","")</f>
        <v/>
      </c>
      <c r="BY745" s="62" t="n">
        <f aca="false">IF(ISNUMBER(Flights!$AZ$26),MAX(Q745-UpliftWindowH/24,Flights!$AZ$26),Q745-UpliftWindowH/24)</f>
        <v>46325.3888888889</v>
      </c>
      <c r="BZ745" s="61" t="n">
        <f aca="false">IFERROR(IF(IF(TRIM(S745)="Link / file path",AND(LEN(TRIM(Z745))&gt;=5,SUMPRODUCT(--ISNUMBER(SEARCH({"http","www.","\\",":\",".pdf",".jpg",".jpeg",".png",".heic",".xls",".doc",".msg",".eml",".ppt",".txt",".zip"},Z745)))&gt;0),AND(ISERROR(FIND(" ",TRIM(Z745))),NOT(OR(SUMPRODUCT(--ISNUMBER(FIND({",",";","&amp;","+"},Z745)))&gt;0,SUMPRODUCT(--ISNUMBER(SEARCH({"0/aa","0\\aa"},BN745)))&gt;0)),NOT(SUMPRODUCT(--ISNUMBER(SEARCH({"http","www.","\\",":\",".pdf",".jpg",".jpeg",".png",".heic",".xls",".doc",".msg",".eml",".ppt",".txt",".zip"},Z745)))&gt;0),NOT(LOWER(TRIM(Z745))=LOWER(Flights!$F$26)),ISNA(MATCH(BU745,{"mh","rev","revision","ver","version","v","r","a","b","seat","tray","row","gate","bay","stand","page","pg","item","line","no","cart","galley","flight","flt","table","box","bag","oven","etd","eta","std","sta","atd","ata","qty","pax","x","time","tel","ph","mob","day","wk","week","utc","gmt","myt","lt"},0)),NOT(OR(ISNUMBER(MATCH(LEFT(BN745,255),{"0000a","000a","00a","0000aa","000aa","00aa","0aa","0000aaa","000aaa","00a00","0a00","0000-0000","00:00","a00","a0","00.00.0000","00/00/0000","00-00-0000","0000-00-00","0000/00/00","0000.00.00","00.00.00","00/00/00","00-00-00","0.00.0000","0/00/0000","0-00-0000"},0)),ISNUMBER(MATCH(LEFT(BT745,255),{"0000a","000a","00a","0000aa","000aa","00aa","0aa","0000aaa","000aaa","00a00","0a00","0000-0000","00:00","a00","a0","00.00.0000","00/00/0000","00-00-0000","0000-00-00","0000/00/00","0000.00.00","00.00.00","00/00/00","00-00-00","0.00.0000","0/00/0000","0-00-0000"},0)))),NOT(OR(AND(BW745&lt;&gt;"",SUBSTITUTE(BW745,"0","")=""),AND(LEN(BW745)&gt;=4,BW745=REPT(LEFT(BW745),LEN(BW745))),ISNUMBER(MATCH(BW745,{"123","1234","12345","123456","1234567","12345678","0123","01234","012345","98765","987654","54321"},0)),ISNUMBER(MATCH(BX745,{"x","xx","xxx","xxxx","xxxxx","abc","abcd","nil","na","nan","test","tbc","tba","tbd","dummy","sample","example","eg","zz","zzz","none","null","xyz","qwe","asd","id","ref"},0)),AND(LEN(BW745)=8,BX745="",OR(LEFT(BW745,3)="202",ISNUMBER(MATCH(RIGHT(BW745,4),{"2025","2026","2027"},0)))))),OR(AND((LEN(BT745)-LEN(SUBSTITUTE(BT745,"a","")))&gt;=1,(LEN(BN745)-LEN(SUBSTITUTE(BN745,"0","")))&gt;=2,SUMPRODUCT(--ISNUMBER(SEARCH({"a0","a-0","a_0","a/0","a.0","a#0","0a","0-a","0_a","0/a"},BN745)))&gt;0),AND((LEN(BN745)-LEN(SUBSTITUTE(BN745,"a","")))=0,(LEN(BN745)-LEN(SUBSTITUTE(BN745,"0","")))&gt;=5)))),1,0),0)</f>
        <v>0</v>
      </c>
      <c r="CA7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745,"revision",""),"version",""),"jan",""),"feb",""),"mar",""),"apr",""),"may",""),"jun",""),"jul",""),"aug",""),"sep",""),"oct",""),"nov",""),"dec",""),"utc",""),"gmt",""),"myt",""),"bst",""),"rev",""),"ver",""),"b","a"),"c","a"),"d","a"),"e","a"),"f","a"),"g","a"),"h","a"),"i","a"),"j","a"),"k","a"),"l","a"),"m","a"),"n","a"),"o","a"),"p","a"),"q","a"),"r","a"),"s","a"),"t","a"),"u","a"),"v","a"),"w","a"),"x","a"),"y","a"),"z","a")</f>
        <v/>
      </c>
      <c r="CB74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745&amp;""),"a",""),"b",""),"c",""),"d",""),"e",""),"f",""),"g",""),"h",""),"i",""),"j",""),"k",""),"l",""),"m",""),"n",""),"o",""),"p",""),"q",""),"r",""),"s",""),"t",""),"u",""),"v",""),"w",""),"x",""),"y",""),"z",""),"-",""),"_",""),"/",""),".",""),"#",""),"\\",""),":","")," ",""),"(",""),")","")</f>
        <v/>
      </c>
      <c r="CC745" s="0" t="str">
        <f aca="false">" "&amp;TRIM(SUBSTITUTE(SUBSTITUTE(SUBSTITUTE(SUBSTITUTE(SUBSTITUTE(SUBSTITUTE(SUBSTITUTE(SUBSTITUTE(SUBSTITUTE(SUBSTITUTE(SUBSTITUTE(SUBSTITUTE(SUBSTITUTE(SUBSTITUTE(SUBSTITUTE(SUBSTITUTE(SUBSTITUTE(SUBSTITUTE(SUBSTITUTE(SUBSTITUTE(SUBSTITUTE(SUBSTITUTE(SUBSTITUTE(SUBSTITUTE(LOWER(T745&amp;""),CHAR(10)," "),CHAR(13)," "),CHAR(9)," "),CHAR(160)," "),"."," "),","," "),"-"," "),"/"," "),"("," "),")"," "),":"," "),";"," "),"_"," "),"–"," "),"?"," "),"!"," "),"*"," "),"["," "),"]"," "),"'"," "),"#"," "),"+"," "),"&amp;"," "),"\"," "))&amp;" "</f>
        <v>  </v>
      </c>
      <c r="CD745" s="0" t="str">
        <f aca="false">" "&amp;TRIM(SUBSTITUTE(SUBSTITUTE(SUBSTITUTE(SUBSTITUTE(SUBSTITUTE(SUBSTITUTE(SUBSTITUTE(SUBSTITUTE(SUBSTITUTE(SUBSTITUTE(SUBSTITUTE(SUBSTITUTE(SUBSTITUTE(SUBSTITUTE(SUBSTITUTE(SUBSTITUTE(SUBSTITUTE(SUBSTITUTE(SUBSTITUTE(SUBSTITUTE(SUBSTITUTE(SUBSTITUTE(SUBSTITUTE(SUBSTITUTE(LOWER(AE745&amp;""),CHAR(10)," "),CHAR(13)," "),CHAR(9)," "),CHAR(160)," "),"."," "),","," "),"-"," "),"/"," "),"("," "),")"," "),":"," "),";"," "),"_"," "),"–"," "),"?"," "),"!"," "),"*"," "),"["," "),"]"," "),"'"," "),"#"," "),"+"," "),"&amp;"," "),"\"," "))&amp;" "</f>
        <v>  </v>
      </c>
      <c r="CE745" s="68" t="n">
        <f aca="false">IFERROR(IF(AND(LEN(AU745)&gt;0,LEN(AU745)=LEN(AX745),OR(TRIM(MID(SUBSTITUTE(TRIM(CC745)," ",REPT(" ",60)),1,60))="",ISNUMBER(SEARCH(" "&amp;TRIM(MID(SUBSTITUTE(TRIM(CC745)," ",REPT(" ",60)),1,60))&amp;" ",CD745))),OR(TRIM(MID(SUBSTITUTE(TRIM(CC745)," ",REPT(" ",60)),61,60))="",ISNUMBER(SEARCH(" "&amp;TRIM(MID(SUBSTITUTE(TRIM(CC745)," ",REPT(" ",60)),61,60))&amp;" ",CD745))),OR(TRIM(MID(SUBSTITUTE(TRIM(CC745)," ",REPT(" ",60)),121,60))="",ISNUMBER(SEARCH(" "&amp;TRIM(MID(SUBSTITUTE(TRIM(CC745)," ",REPT(" ",60)),121,60))&amp;" ",CD745)))),1,0),0)</f>
        <v>0</v>
      </c>
      <c r="CG745" s="68" t="n">
        <f aca="false">IFERROR(LEN(SUBSTITUTE(BF745," ",""))-SUMPRODUCT((LEN(BF745)-LEN(SUBSTITUTE(BF745," "&amp;L_NAFiller&amp;" "," ")))/(LEN(L_NAFiller)+1)*LEN(L_NAFiller)),0)</f>
        <v>0</v>
      </c>
    </row>
    <row r="746" customFormat="false" ht="39.75" hidden="false" customHeight="true" outlineLevel="0" collapsed="false">
      <c r="A746" s="57" t="s">
        <v>1480</v>
      </c>
      <c r="B746" s="57" t="s">
        <v>312</v>
      </c>
      <c r="C746" s="57" t="str">
        <f aca="false">Flights!$F$26</f>
        <v>MH0002</v>
      </c>
      <c r="D746" s="58" t="n">
        <f aca="false">Flights!$D$26</f>
        <v>46325</v>
      </c>
      <c r="E746" s="57" t="str">
        <f aca="false">Flights!$G$26&amp;"-"&amp;Flights!$H$26</f>
        <v>KUL-LHR</v>
      </c>
      <c r="F746" s="57" t="str">
        <f aca="false">Flights!$K$26</f>
        <v>BC</v>
      </c>
      <c r="G746" s="57" t="s">
        <v>459</v>
      </c>
      <c r="H746" s="57" t="s">
        <v>460</v>
      </c>
      <c r="I746" s="57" t="s">
        <v>447</v>
      </c>
      <c r="J746" s="57" t="s">
        <v>653</v>
      </c>
      <c r="K746" s="67" t="s">
        <v>449</v>
      </c>
      <c r="L746" s="67" t="s">
        <v>752</v>
      </c>
      <c r="M746" s="67" t="s">
        <v>451</v>
      </c>
      <c r="N746" s="67" t="s">
        <v>383</v>
      </c>
      <c r="O746" s="67"/>
      <c r="P746" s="57" t="s">
        <v>187</v>
      </c>
      <c r="Q746" s="59" t="n">
        <f aca="false">ROUND((Flights!$AF$26)*1440,0)/1440</f>
        <v>46325.6388888889</v>
      </c>
      <c r="R746" s="59" t="n">
        <f aca="false">Q746+(IF(AND(INDEX(TZ_DSTS,MATCH(P746,TZ_STN,0))&lt;&gt;"",Q746&gt;=INDEX(TZ_DSTS,MATCH(P746,TZ_STN,0)),Q746&lt;INDEX(TZ_DSTE,MATCH(P746,TZ_STN,0))),INDEX(TZ_DST,MATCH(P746,TZ_STN,0)),INDEX(TZ_STD,MATCH(P746,TZ_STN,0))))/24</f>
        <v>46325.9722222222</v>
      </c>
      <c r="S746" s="60"/>
      <c r="T746" s="60"/>
      <c r="U746" s="60"/>
      <c r="V746" s="60"/>
      <c r="W746" s="61"/>
      <c r="X746" s="60"/>
      <c r="Y746" s="60"/>
      <c r="Z746" s="60"/>
      <c r="AA746" s="60"/>
      <c r="AB746" s="60"/>
      <c r="AC746" s="60"/>
      <c r="AD746" s="66"/>
      <c r="AE746" s="60"/>
      <c r="AF746" s="61" t="str">
        <f aca="false">IF(AND(ISNUMBER(X746),ISNUMBER(Y746)),Y746-X746,"")</f>
        <v/>
      </c>
      <c r="AG746" s="62" t="str">
        <f aca="false">IF(ISNUMBER(AD746),AD746-(IF(AND(INDEX(TZ_DSTS,MATCH(P746,TZ_STN,0))&lt;&gt;"",(AD746-INDEX(TZ_STD,MATCH(P746,TZ_STN,0))/24)&gt;=INDEX(TZ_DSTS,MATCH(P746,TZ_STN,0)),(AD746-INDEX(TZ_STD,MATCH(P746,TZ_STN,0))/24)&lt;INDEX(TZ_DSTE,MATCH(P746,TZ_STN,0))),INDEX(TZ_DST,MATCH(P746,TZ_STN,0)),INDEX(TZ_STD,MATCH(P746,TZ_STN,0))))/24,"")</f>
        <v/>
      </c>
      <c r="AH746" s="65" t="str">
        <f aca="false">IFERROR(IF(N746="N/A – rule",IF(OR(TRIM(U746)="",TRIM(U746)="N/A",TRIM(U746)="Not started"),"N/A – RULE","INVALID – this check does not apply to this aircraft: clear the status (or correct the fleet on Flights)"),IF(TRIM(U746)="N/A",IF(AT746=0,"INVALID – N/A not permitted for this check",IF(AND(TRIM(AB746)&lt;&gt;"",TRIM(AB746)&lt;&gt;"Closed"),"INVALID – corrective action still open",IF(AND(NOT(OR(LEN(AZ746)&lt;15,ISNUMBER(MATCH(AZ746,L_Placeholder,0)))),BK746=0,CG746&gt;=8,NOT(OR(LEN(AU746)&lt;2,ISNUMBER(MATCH(AU746,L_Placeholder,0)))),BR746&gt;=3,NOT(OR(LEN(AX746)&lt;2,ISNUMBER(MATCH(AX746,L_Placeholder,0)))),BS746&gt;=3,TRIM(AE746)&lt;&gt;TRIM(T746),AX746&lt;&gt;AU746,CE746=0),"N/A – JUSTIFIED","INVALID – N/A needs a real, settled reason (not 'not applicable' / 'as above' / TBC), a named PIC and a different named verifier"))),IF(OR(TRIM(U746)="Pass",TRIM(U746)="Pass after CA"),IF(NOT(ISNUMBER(AD746)),"INVALID – completion time missing",IF(OR(OR(LEN(AU746)&lt;2,ISNUMBER(MATCH(AU746,L_Placeholder,0))),BR746&lt;3),"INVALID – PIC missing or not a named person (a role such as QA / CSM is not a name)",IF(OR(LEN(AV746)&lt;2,ISNUMBER(MATCH(AV746,L_Placeholder,0))),"INVALID – result / assessment missing",IF(OR(OR(LEN(AW746)&lt;3,ISNUMBER(MATCH(AW746,L_Placeholder,0))),SUMPRODUCT(--ISNUMBER(SEARCH(" "&amp;L_EvidencePhrase&amp;" ",BD746)))&gt;0,BI746=1),"INVALID – evidence missing, placeholder or not yet on file",IF(ISNA(MATCH(TRIM(S746),L_EvidenceType,0)),"INVALID – choose the evidence type from the list (column S)",IF(BL746=0,"INVALID – evidence ID must be the record's own ID only (e.g. SF-2210, IMG_2231, 1045521); a link / file name needs type 'Link / file path'",IF(OR(OR(LEN(AX746)&lt;2,ISNUMBER(MATCH(AX746,L_Placeholder,0))),BS746&lt;3),"INVALID – verifier missing or not a named person (a role such as QA / CSM is not a name)",IF(OR(AX746=AU746,CE746=1,AND(LEN(AU746)&gt;=4,ISNUMBER(SEARCH(AU746,AX746))),AND(LEN(AX746)&gt;=4,ISNUMBER(SEARCH(AX746,AU746)))),"INVALID – verifier must be a different, named person (not the PIC or a role)",IF(BH746=1,"INVALID – result not yet available (awaiting / TBC)",IF(BG746=1,"INVALID – result describes a problem: record Fail, then Pass after CA (or reword if it is not a problem)",IF(BV746=1,"INVALID – wording says not on board: an on-board confirmation needs the item loaded",IF(AND(AQ746=1,OR(OR(LEN(AY746)&lt;3,ISNUMBER(MATCH(AY746,L_Placeholder,0))),BJ746=1,BQ746=0)),"INVALID – batch ID missing, placeholder or not an ID (e.g. PASB-261008-BC-017)",IF(AND(AR746=1,OR(NOT(ISNUMBER(X746)),NOT(ISNUMBER(Y746)))),"INVALID – expected/actual qty missing",IF(AND(AR746=1,OR(X746&lt;=0,Y746&lt;0)),"INVALID – expected qty must be above 0 and actual not negative",IF(AH730="N/A – JUSTIFIED","INVALID – preparation row F22-T12-19 is N/A",IF(AND(AR746=1,ISNUMBER(X730),X746&lt;&gt;X730,TRIM(U746)&lt;&gt;"Pass after CA"),"INVALID – expected qty differs from preparation check F22-T12-19: record the load change as a corrective action (Pass after CA)",IF(BB746&lt;&gt;"",BB746,IF(AND(AS746=1,Documents!$J$26&lt;&gt;"ON FILE"),"INVALID – GLD not on file (Documents sheet)",IF(AND(AS746=2,Documents!$O$26&lt;&gt;"ON FILE"),"INVALID – menu checklist not on file (Documents sheet)",IF(AND(AS746=3,NOT(ISNUMBER(Flights!$AX$26))),"INVALID – enter carrying flight KUL departure (Flights AX)",IF(AND(AS746=3,OR(Flights!$AZ$26&gt;Flights!$AA$26,Flights!$AX$26&lt;Flights!$AA$26-3)),"INVALID – carrying flight (Flights AX) cannot arrive before this leg's STD, or is over 3 days early",IF(AG746&gt;AsOfUTC,"INVALID – completion time is in the future",IF(AND(ISNUMBER(BY746),AG746&lt;BY746),IF(H746="Physical uplift","INVALID – before uplift window (cannot confirm loading)","INVALID – before valid window"),IF(AG746&gt;Flights!$AA$26,"INVALID – completed after departure (cannot establish readiness)",IF(AND(H746="Preparation",AG746&gt;=IF(ISNUMBER(Flights!$BA$26),MIN(Flights!$BA$26,Flights!$AA$26),Flights!$AA$26)),"INVALID – completed after loading / departure (cannot establish readiness)",IF(AND(H746="Physical uplift",AG746&gt;Q746),"INVALID – recorded after the loading flight departed",IF(AG746&gt;Q746,"COMPLETE – LATE","COMPLETE"))))))))))))))))))))))))))),IF(TRIM(U746)="Fail","FAIL – DISCREPANCY",IF(AND(TRIM(U746)&lt;&gt;"",TRIM(U746)&lt;&gt;"Not started",TRIM(U746)&lt;&gt;"In progress"),"INVALID – unrecognised status (use the list)",IF(AsOfUTC&gt;Q746,"OVERDUE",IF(N746="Clarification required","OPEN – CLARIFICATION","OPEN"))))))),"INVALID – error value in an input cell")</f>
        <v>OPEN</v>
      </c>
      <c r="AI746" s="61" t="n">
        <f aca="false">IF(OR(AH746="N/A – RULE",AH746="N/A – JUSTIFIED"),0,1)</f>
        <v>1</v>
      </c>
      <c r="AJ746" s="61" t="n">
        <f aca="false">IF(LEFT(AH746,8)="COMPLETE",1,0)</f>
        <v>0</v>
      </c>
      <c r="AK746" s="61" t="n">
        <f aca="false">IF(AND(AI746=1,AJ746=0,AsOfUTC&gt;Q746),1,0)</f>
        <v>0</v>
      </c>
      <c r="AL746" s="61" t="n">
        <f aca="false">IFERROR(IF(AND(AI746=1,OR(TRIM(U746)="Fail",AND(TRIM(AB746)&lt;&gt;"",TRIM(AB746)&lt;&gt;"Closed"),AND(ISNUMBER(AF746),AF746&lt;&gt;0,TRIM(U746)&lt;&gt;"Pass after CA"))),1,0),1)</f>
        <v>0</v>
      </c>
      <c r="AM746" s="61" t="n">
        <f aca="false">IF(LEFT(AH746,7)="INVALID",1,0)</f>
        <v>0</v>
      </c>
      <c r="AN746" s="61" t="n">
        <f aca="false">IF(AND(N746="Clarification required",AI746=1,AJ746=0),1,0)</f>
        <v>0</v>
      </c>
      <c r="AO746" s="61" t="str">
        <f aca="false">IF(AK746=1,SUM(AK$5:AK746),"")</f>
        <v/>
      </c>
      <c r="AP746" s="61" t="str">
        <f aca="false">IF(AL746=1,SUM(AL$5:AL746),"")</f>
        <v/>
      </c>
      <c r="AQ746" s="61" t="n">
        <v>0</v>
      </c>
      <c r="AR746" s="61" t="n">
        <v>0</v>
      </c>
      <c r="AS746" s="61" t="n">
        <v>0</v>
      </c>
      <c r="AT746" s="61" t="n">
        <v>0</v>
      </c>
      <c r="AU746" s="61" t="str">
        <f aca="false">SUBSTITUTE(SUBSTITUTE(SUBSTITUTE(SUBSTITUTE(SUBSTITUTE(SUBSTITUTE(SUBSTITUTE(SUBSTITUTE(SUBSTITUTE(SUBSTITUTE(SUBSTITUTE(SUBSTITUTE(SUBSTITUTE(SUBSTITUTE(SUBSTITUTE(SUBSTITUTE(LOWER(T746&amp;""),CHAR(10),""),CHAR(13),""),CHAR(9),""),CHAR(160),"")," ",""),".",""),"-",""),"/",""),"?",""),"_",""),",",""),"[",""),"]",""),"(",""),")",""),"*","")</f>
        <v/>
      </c>
      <c r="AV746" s="61" t="str">
        <f aca="false">SUBSTITUTE(SUBSTITUTE(SUBSTITUTE(SUBSTITUTE(SUBSTITUTE(SUBSTITUTE(SUBSTITUTE(SUBSTITUTE(SUBSTITUTE(SUBSTITUTE(SUBSTITUTE(SUBSTITUTE(SUBSTITUTE(SUBSTITUTE(SUBSTITUTE(SUBSTITUTE(LOWER(V746&amp;""),CHAR(10),""),CHAR(13),""),CHAR(9),""),CHAR(160),"")," ",""),".",""),"-",""),"/",""),"?",""),"_",""),",",""),"[",""),"]",""),"(",""),")",""),"*","")</f>
        <v/>
      </c>
      <c r="AW746" s="61" t="str">
        <f aca="false">SUBSTITUTE(SUBSTITUTE(SUBSTITUTE(SUBSTITUTE(SUBSTITUTE(SUBSTITUTE(SUBSTITUTE(SUBSTITUTE(SUBSTITUTE(SUBSTITUTE(SUBSTITUTE(SUBSTITUTE(SUBSTITUTE(SUBSTITUTE(SUBSTITUTE(SUBSTITUTE(LOWER(Z746&amp;""),CHAR(10),""),CHAR(13),""),CHAR(9),""),CHAR(160),"")," ",""),".",""),"-",""),"/",""),"?",""),"_",""),",",""),"[",""),"]",""),"(",""),")",""),"*","")</f>
        <v/>
      </c>
      <c r="AX746" s="61" t="str">
        <f aca="false">SUBSTITUTE(SUBSTITUTE(SUBSTITUTE(SUBSTITUTE(SUBSTITUTE(SUBSTITUTE(SUBSTITUTE(SUBSTITUTE(SUBSTITUTE(SUBSTITUTE(SUBSTITUTE(SUBSTITUTE(SUBSTITUTE(SUBSTITUTE(SUBSTITUTE(SUBSTITUTE(LOWER(AE746&amp;""),CHAR(10),""),CHAR(13),""),CHAR(9),""),CHAR(160),"")," ",""),".",""),"-",""),"/",""),"?",""),"_",""),",",""),"[",""),"]",""),"(",""),")",""),"*","")</f>
        <v/>
      </c>
      <c r="AY746" s="61" t="str">
        <f aca="false">SUBSTITUTE(SUBSTITUTE(SUBSTITUTE(SUBSTITUTE(SUBSTITUTE(SUBSTITUTE(SUBSTITUTE(SUBSTITUTE(SUBSTITUTE(SUBSTITUTE(SUBSTITUTE(SUBSTITUTE(SUBSTITUTE(SUBSTITUTE(SUBSTITUTE(SUBSTITUTE(LOWER(W746&amp;""),CHAR(10),""),CHAR(13),""),CHAR(9),""),CHAR(160),"")," ",""),".",""),"-",""),"/",""),"?",""),"_",""),",",""),"[",""),"]",""),"(",""),")",""),"*","")</f>
        <v/>
      </c>
      <c r="AZ746" s="61" t="str">
        <f aca="false">SUBSTITUTE(SUBSTITUTE(SUBSTITUTE(SUBSTITUTE(SUBSTITUTE(SUBSTITUTE(SUBSTITUTE(SUBSTITUTE(SUBSTITUTE(SUBSTITUTE(SUBSTITUTE(SUBSTITUTE(SUBSTITUTE(SUBSTITUTE(SUBSTITUTE(SUBSTITUTE(LOWER(AC746&amp;""),CHAR(10),""),CHAR(13),""),CHAR(9),""),CHAR(160),"")," ",""),".",""),"-",""),"/",""),"?",""),"_",""),",",""),"[",""),"]",""),"(",""),")",""),"*","")</f>
        <v/>
      </c>
      <c r="BA746" s="61" t="str">
        <f aca="false">SUBSTITUTE(SUBSTITUTE(SUBSTITUTE(SUBSTITUTE(SUBSTITUTE(SUBSTITUTE(SUBSTITUTE(SUBSTITUTE(SUBSTITUTE(SUBSTITUTE(SUBSTITUTE(SUBSTITUTE(SUBSTITUTE(SUBSTITUTE(SUBSTITUTE(SUBSTITUTE(LOWER(AA746&amp;""),CHAR(10),""),CHAR(13),""),CHAR(9),""),CHAR(160),"")," ",""),".",""),"-",""),"/",""),"?",""),"_",""),",",""),"[",""),"]",""),"(",""),")",""),"*","")</f>
        <v/>
      </c>
      <c r="BB746" s="61" t="str">
        <f aca="false">IF(AND(TRIM(U746)="Pass",ISNUMBER(AF746)),IF(AF746&lt;&gt;0,"INVALID – qty variance: use Fail or Pass after CA",""),"")&amp;IF(AND(TRIM(U746)="Pass after CA",ISNUMBER(AF746)),IF(AF746&lt;&gt;0,"INVALID – after the corrective action the actual qty must equal expected (update Actual)",""),"")&amp;IF(AND(TRIM(U746)="Pass",TRIM(AB746)&lt;&gt;"",TRIM(AB746)&lt;&gt;"Closed"),"INVALID – corrective action not closed: use Fail, then Pass after CA","")&amp;IF(AND(LEN(BA746)&gt;=2,ISNA(MATCH(LEFT(BA746,255),L_Placeholder,0)),TRIM(AB746)=""),"INVALID – CA status missing for the recorded corrective action","")&amp;IF(AND(TRIM(U746)="Pass after CA",OR(OR(LEN(BA746)&lt;5,ISNUMBER(MATCH(BA746,L_Placeholder,0))),TRIM(AB746)&lt;&gt;"Closed")),"INVALID – corrective action not recorded/closed","")</f>
        <v/>
      </c>
      <c r="BC746" s="61" t="str">
        <f aca="false">" "&amp;TRIM(SUBSTITUTE(SUBSTITUTE(SUBSTITUTE(SUBSTITUTE(SUBSTITUTE(SUBSTITUTE(SUBSTITUTE(SUBSTITUTE(SUBSTITUTE(SUBSTITUTE(SUBSTITUTE(SUBSTITUTE(SUBSTITUTE(SUBSTITUTE(SUBSTITUTE(SUBSTITUTE(SUBSTITUTE(SUBSTITUTE(SUBSTITUTE(SUBSTITUTE(SUBSTITUTE(SUBSTITUTE(SUBSTITUTE(SUBSTITUTE(LOWER(V746&amp;""),CHAR(10)," "),CHAR(13)," "),CHAR(9)," "),CHAR(160)," "),"."," "),","," "),"-"," "),"/"," "),"("," "),")"," "),":"," "),";"," "),"_"," "),"–"," "),"?"," "),"!"," "),"*"," "),"["," "),"]"," "),"'"," "),"#"," "),"+"," "),"&amp;"," "),"\"," "))&amp;" "</f>
        <v>  </v>
      </c>
      <c r="BD746" s="61" t="str">
        <f aca="false">" "&amp;TRIM(SUBSTITUTE(SUBSTITUTE(SUBSTITUTE(SUBSTITUTE(SUBSTITUTE(SUBSTITUTE(SUBSTITUTE(SUBSTITUTE(SUBSTITUTE(SUBSTITUTE(SUBSTITUTE(SUBSTITUTE(SUBSTITUTE(SUBSTITUTE(SUBSTITUTE(SUBSTITUTE(SUBSTITUTE(SUBSTITUTE(SUBSTITUTE(SUBSTITUTE(SUBSTITUTE(SUBSTITUTE(SUBSTITUTE(SUBSTITUTE(LOWER(Z746&amp;""),CHAR(10)," "),CHAR(13)," "),CHAR(9)," "),CHAR(160)," "),"."," "),","," "),"-"," "),"/"," "),"("," "),")"," "),":"," "),";"," "),"_"," "),"–"," "),"?"," "),"!"," "),"*"," "),"["," "),"]"," "),"'"," "),"#"," "),"+"," "),"&amp;"," "),"\"," "))&amp;" "</f>
        <v>  </v>
      </c>
      <c r="BE746" s="61" t="str">
        <f aca="false">" "&amp;TRIM(SUBSTITUTE(SUBSTITUTE(SUBSTITUTE(SUBSTITUTE(SUBSTITUTE(SUBSTITUTE(SUBSTITUTE(SUBSTITUTE(SUBSTITUTE(SUBSTITUTE(SUBSTITUTE(SUBSTITUTE(SUBSTITUTE(SUBSTITUTE(SUBSTITUTE(SUBSTITUTE(SUBSTITUTE(SUBSTITUTE(SUBSTITUTE(SUBSTITUTE(SUBSTITUTE(SUBSTITUTE(SUBSTITUTE(SUBSTITUTE(LOWER(W746&amp;""),CHAR(10)," "),CHAR(13)," "),CHAR(9)," "),CHAR(160)," "),"."," "),","," "),"-"," "),"/"," "),"("," "),")"," "),":"," "),";"," "),"_"," "),"–"," "),"?"," "),"!"," "),"*"," "),"["," "),"]"," "),"'"," "),"#"," "),"+"," "),"&amp;"," "),"\"," "))&amp;" "</f>
        <v>  </v>
      </c>
      <c r="BF746" s="61" t="str">
        <f aca="false">" "&amp;TRIM(SUBSTITUTE(SUBSTITUTE(SUBSTITUTE(SUBSTITUTE(SUBSTITUTE(SUBSTITUTE(SUBSTITUTE(SUBSTITUTE(SUBSTITUTE(SUBSTITUTE(SUBSTITUTE(SUBSTITUTE(SUBSTITUTE(SUBSTITUTE(SUBSTITUTE(SUBSTITUTE(SUBSTITUTE(SUBSTITUTE(SUBSTITUTE(SUBSTITUTE(SUBSTITUTE(SUBSTITUTE(SUBSTITUTE(SUBSTITUTE(LOWER(AC746&amp;""),CHAR(10)," "),CHAR(13)," "),CHAR(9)," "),CHAR(160)," "),"."," "),","," "),"-"," "),"/"," "),"("," "),")"," "),":"," "),";"," "),"_"," "),"–"," "),"?"," "),"!"," "),"*"," "),"["," "),"]"," "),"'"," "),"#"," "),"+"," "),"&amp;"," "),"\"," "))&amp;" "</f>
        <v>  </v>
      </c>
      <c r="BG746" s="61" t="n">
        <f aca="false">IFERROR(IF(AND(TRIM(U746)="Pass",SUMPRODUCT((LEN(BC746)-LEN(SUBSTITUTE(BC746," "&amp;L_ResultBad&amp;" "," ")))/(LEN(L_ResultBad)+1))&gt;SUMPRODUCT((LEN(BC746)-LEN(SUBSTITUTE(BC746," "&amp;L_NegPhrase&amp;" "," ")))/(LEN(L_NegPhrase)+1))),1,0),0)</f>
        <v>0</v>
      </c>
      <c r="BH746" s="61" t="n">
        <f aca="false">IFERROR(IF(SUMPRODUCT((LEN(BC746)-LEN(SUBSTITUTE(BC746," "&amp;L_Pending&amp;" "," ")))/(LEN(L_Pending)+1))&gt;SUMPRODUCT((LEN(BC746)-LEN(SUBSTITUTE(BC746," "&amp;L_PendNeg&amp;" "," ")))/(LEN(L_PendNeg)+1)),1,0),1)</f>
        <v>0</v>
      </c>
      <c r="BI746" s="61" t="n">
        <f aca="false">IFERROR(IF(SUMPRODUCT((LEN(BD746)-LEN(SUBSTITUTE(BD746," "&amp;L_PendStrict&amp;" "," ")))/(LEN(L_PendStrict)+1))&gt;SUMPRODUCT((LEN(BD746)-LEN(SUBSTITUTE(BD746," "&amp;L_PendNeg&amp;" "," ")))/(LEN(L_PendNeg)+1)),1,0),1)</f>
        <v>0</v>
      </c>
      <c r="BJ746" s="61" t="n">
        <f aca="false">IFERROR(IF(SUMPRODUCT((LEN(BE746)-LEN(SUBSTITUTE(BE746," "&amp;L_Pending&amp;" "," ")))/(LEN(L_Pending)+1))&gt;SUMPRODUCT((LEN(BE746)-LEN(SUBSTITUTE(BE746," "&amp;L_PendNeg&amp;" "," ")))/(LEN(L_PendNeg)+1)),1,0),1)</f>
        <v>0</v>
      </c>
      <c r="BK746" s="61" t="n">
        <f aca="false">IFERROR(IF(SUMPRODUCT((LEN(BF746)-LEN(SUBSTITUTE(BF746," "&amp;L_PendStrict&amp;" "," ")))/(LEN(L_PendStrict)+1))&gt;SUMPRODUCT((LEN(BF746)-LEN(SUBSTITUTE(BF746," "&amp;L_PendNeg&amp;" "," ")))/(LEN(L_PendNeg)+1)),1,0),1)</f>
        <v>0</v>
      </c>
      <c r="BL746" s="61" t="n">
        <f aca="false">IF(ISNA(MATCH(TRIM(S746),L_EvidenceType,0)),0,BZ746)</f>
        <v>0</v>
      </c>
      <c r="BM746" s="61" t="str">
        <f aca="false">SUBSTITUTE(SUBSTITUTE(SUBSTITUTE(SUBSTITUTE(SUBSTITUTE(SUBSTITUTE(SUBSTITUTE(SUBSTITUTE(SUBSTITUTE(LOWER(Z746&amp;""),"1","0"),"2","0"),"3","0"),"4","0"),"5","0"),"6","0"),"7","0"),"8","0"),"9","0")</f>
        <v/>
      </c>
      <c r="BN746" s="61" t="str">
        <f aca="false">SUBSTITUTE(SUBSTITUTE(SUBSTITUTE(SUBSTITUTE(SUBSTITUTE(SUBSTITUTE(SUBSTITUTE(SUBSTITUTE(SUBSTITUTE(SUBSTITUTE(SUBSTITUTE(SUBSTITUTE(SUBSTITUTE(SUBSTITUTE(SUBSTITUTE(SUBSTITUTE(SUBSTITUTE(SUBSTITUTE(SUBSTITUTE(SUBSTITUTE(SUBSTITUTE(SUBSTITUTE(SUBSTITUTE(SUBSTITUTE(SUBSTITUTE(BM746,"b","a"),"c","a"),"d","a"),"e","a"),"f","a"),"g","a"),"h","a"),"i","a"),"j","a"),"k","a"),"l","a"),"m","a"),"n","a"),"o","a"),"p","a"),"q","a"),"r","a"),"s","a"),"t","a"),"u","a"),"v","a"),"w","a"),"x","a"),"y","a"),"z","a")</f>
        <v/>
      </c>
      <c r="BO746" s="61" t="str">
        <f aca="false">SUBSTITUTE(SUBSTITUTE(SUBSTITUTE(SUBSTITUTE(SUBSTITUTE(SUBSTITUTE(SUBSTITUTE(SUBSTITUTE(SUBSTITUTE(LOWER(W746&amp;""),"1","0"),"2","0"),"3","0"),"4","0"),"5","0"),"6","0"),"7","0"),"8","0"),"9","0")</f>
        <v/>
      </c>
      <c r="BP746" s="61" t="str">
        <f aca="false">SUBSTITUTE(SUBSTITUTE(SUBSTITUTE(SUBSTITUTE(SUBSTITUTE(SUBSTITUTE(SUBSTITUTE(SUBSTITUTE(SUBSTITUTE(SUBSTITUTE(SUBSTITUTE(SUBSTITUTE(SUBSTITUTE(SUBSTITUTE(SUBSTITUTE(SUBSTITUTE(SUBSTITUTE(SUBSTITUTE(SUBSTITUTE(SUBSTITUTE(SUBSTITUTE(SUBSTITUTE(SUBSTITUTE(SUBSTITUTE(SUBSTITUTE(BO746,"b","a"),"c","a"),"d","a"),"e","a"),"f","a"),"g","a"),"h","a"),"i","a"),"j","a"),"k","a"),"l","a"),"m","a"),"n","a"),"o","a"),"p","a"),"q","a"),"r","a"),"s","a"),"t","a"),"u","a"),"v","a"),"w","a"),"x","a"),"y","a"),"z","a")</f>
        <v/>
      </c>
      <c r="BQ746" s="61" t="n">
        <f aca="false">IFERROR(IF(AND(ISERROR(SEARCH(" mh"," "&amp;LOWER(W746))),ISNA(MATCH(LEFT(TRIM(BP746),255),{"0000a","000a","00a","0000aa","000aa","00aa","0aa","0000aaa","000aaa","00a00","0a00","0000-0000","00:00","a00","a0","00.00.0000","00/00/0000","00-00-0000","0000-00-00","0000/00/00","0000.00.00","00.00.00","00/00/00","00-00-00","0.00.0000","0/00/0000","0-00-0000"},0)),ISNA(MATCH(LEFT(TRIM(CA746),255),{"0000a","000a","00a","0000aa","000aa","00aa","0aa","0000aaa","000aaa","00a00","0a00","0000-0000","00:00","a00","a0","00.00.0000","00/00/0000","00-00-0000","0000-00-00","0000/00/00","0000.00.00","00.00.00","00/00/00","00-00-00","0.00.0000","0/00/0000","0-00-0000"},0)),LEN(CB746)&gt;=3,NOT(OR(SUBSTITUTE(CB746,"0","")="",AND(LEN(CB746)&gt;=4,CB746=REPT(LEFT(CB746),LEN(CB746))),ISNUMBER(MATCH(CB746,{"123","1234","12345","123456","1234567","12345678","0123","01234","012345","98765","987654","54321"},0)),AND(LEN(CB746)=8,LEFT(CB746,3)="202"))),OR(AND((LEN(CA746)-LEN(SUBSTITUTE(CA746,"a","")))&gt;=1,SUMPRODUCT(--ISNUMBER(SEARCH({"a0","a-0","a_0","a/0","a.0","a#0","0a","0-a","0_a","0/a"},BP746)))&gt;0),ISNUMBER(SEARCH("000000",BP746)))),1,0),0)</f>
        <v>0</v>
      </c>
      <c r="BR746" s="61" t="n">
        <f aca="false">IFERROR(LEN(SUBSTITUTE(CC746," ",""))-SUMPRODUCT((LEN(CC746)-LEN(SUBSTITUTE(CC746," "&amp;L_Role&amp;" "," ")))/(LEN(L_Role)+1)*LEN(L_Role)),0)</f>
        <v>0</v>
      </c>
      <c r="BS746" s="61" t="n">
        <f aca="false">IFERROR(LEN(SUBSTITUTE(CD746," ",""))-SUMPRODUCT((LEN(CD746)-LEN(SUBSTITUTE(CD746," "&amp;L_Role&amp;" "," ")))/(LEN(L_Role)+1)*LEN(L_Role)),0)</f>
        <v>0</v>
      </c>
      <c r="BT7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746,"revision",""),"version",""),"jan",""),"feb",""),"mar",""),"apr",""),"may",""),"jun",""),"jul",""),"aug",""),"sep",""),"oct",""),"nov",""),"dec",""),"utc",""),"gmt",""),"myt",""),"bst",""),"rev",""),"ver",""),"b","a"),"c","a"),"d","a"),"e","a"),"f","a"),"g","a"),"h","a"),"i","a"),"j","a"),"k","a"),"l","a"),"m","a"),"n","a"),"o","a"),"p","a"),"q","a"),"r","a"),"s","a"),"t","a"),"u","a"),"v","a"),"w","a"),"x","a"),"y","a"),"z","a")</f>
        <v/>
      </c>
      <c r="BU746" s="61" t="str">
        <f aca="false">SUBSTITUTE(SUBSTITUTE(SUBSTITUTE(SUBSTITUTE(SUBSTITUTE(SUBSTITUTE(SUBSTITUTE(SUBSTITUTE(SUBSTITUTE(SUBSTITUTE(LEFT(BM746,FIND("0",BM746&amp;"0")-1),"-",""),"_",""),"/",""),".",""),"#",""),"\\",""),":","")," ",""),"(",""),")","")</f>
        <v/>
      </c>
      <c r="BV746" s="61" t="n">
        <f aca="false">IFERROR(IF(OR(SUMPRODUCT((LEN(BC746)-LEN(SUBSTITUTE(BC746," "&amp;L_NotLoaded&amp;" "," ")))/(LEN(L_NotLoaded)+1))&gt;SUMPRODUCT((LEN(BC746)-LEN(SUBSTITUTE(BC746," "&amp;L_NotLoadedNeg&amp;" "," ")))/(LEN(L_NotLoadedNeg)+1)),SUMPRODUCT((LEN(BD746)-LEN(SUBSTITUTE(BD746," "&amp;L_NotLoaded&amp;" "," ")))/(LEN(L_NotLoaded)+1))&gt;SUMPRODUCT((LEN(BD746)-LEN(SUBSTITUTE(BD746," "&amp;L_NotLoadedNeg&amp;" "," ")))/(LEN(L_NotLoadedNeg)+1))),1,0),0)</f>
        <v>0</v>
      </c>
      <c r="BW746"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746&amp;""),"a",""),"b",""),"c",""),"d",""),"e",""),"f",""),"g",""),"h",""),"i",""),"j",""),"k",""),"l",""),"m",""),"n",""),"o",""),"p",""),"q",""),"r",""),"s",""),"t",""),"u",""),"v",""),"w",""),"x",""),"y",""),"z",""),"-",""),"_",""),"/",""),".",""),"#",""),"\\",""),":","")," ",""),"(",""),")","")</f>
        <v/>
      </c>
      <c r="BX746" s="61" t="str">
        <f aca="false">SUBSTITUTE(SUBSTITUTE(SUBSTITUTE(SUBSTITUTE(SUBSTITUTE(SUBSTITUTE(SUBSTITUTE(SUBSTITUTE(SUBSTITUTE(SUBSTITUTE(SUBSTITUTE(BM746,"0",""),"-",""),"_",""),"/",""),".",""),"#",""),"\\",""),":","")," ",""),"(",""),")","")</f>
        <v/>
      </c>
      <c r="BY746" s="62" t="n">
        <f aca="false">IF(ISNUMBER(Flights!$AZ$26),MAX(Q746-UpliftWindowH/24,Flights!$AZ$26),Q746-UpliftWindowH/24)</f>
        <v>46325.3888888889</v>
      </c>
      <c r="BZ746" s="61" t="n">
        <f aca="false">IFERROR(IF(IF(TRIM(S746)="Link / file path",AND(LEN(TRIM(Z746))&gt;=5,SUMPRODUCT(--ISNUMBER(SEARCH({"http","www.","\\",":\",".pdf",".jpg",".jpeg",".png",".heic",".xls",".doc",".msg",".eml",".ppt",".txt",".zip"},Z746)))&gt;0),AND(ISERROR(FIND(" ",TRIM(Z746))),NOT(OR(SUMPRODUCT(--ISNUMBER(FIND({",",";","&amp;","+"},Z746)))&gt;0,SUMPRODUCT(--ISNUMBER(SEARCH({"0/aa","0\\aa"},BN746)))&gt;0)),NOT(SUMPRODUCT(--ISNUMBER(SEARCH({"http","www.","\\",":\",".pdf",".jpg",".jpeg",".png",".heic",".xls",".doc",".msg",".eml",".ppt",".txt",".zip"},Z746)))&gt;0),NOT(LOWER(TRIM(Z746))=LOWER(Flights!$F$26)),ISNA(MATCH(BU746,{"mh","rev","revision","ver","version","v","r","a","b","seat","tray","row","gate","bay","stand","page","pg","item","line","no","cart","galley","flight","flt","table","box","bag","oven","etd","eta","std","sta","atd","ata","qty","pax","x","time","tel","ph","mob","day","wk","week","utc","gmt","myt","lt"},0)),NOT(OR(ISNUMBER(MATCH(LEFT(BN746,255),{"0000a","000a","00a","0000aa","000aa","00aa","0aa","0000aaa","000aaa","00a00","0a00","0000-0000","00:00","a00","a0","00.00.0000","00/00/0000","00-00-0000","0000-00-00","0000/00/00","0000.00.00","00.00.00","00/00/00","00-00-00","0.00.0000","0/00/0000","0-00-0000"},0)),ISNUMBER(MATCH(LEFT(BT746,255),{"0000a","000a","00a","0000aa","000aa","00aa","0aa","0000aaa","000aaa","00a00","0a00","0000-0000","00:00","a00","a0","00.00.0000","00/00/0000","00-00-0000","0000-00-00","0000/00/00","0000.00.00","00.00.00","00/00/00","00-00-00","0.00.0000","0/00/0000","0-00-0000"},0)))),NOT(OR(AND(BW746&lt;&gt;"",SUBSTITUTE(BW746,"0","")=""),AND(LEN(BW746)&gt;=4,BW746=REPT(LEFT(BW746),LEN(BW746))),ISNUMBER(MATCH(BW746,{"123","1234","12345","123456","1234567","12345678","0123","01234","012345","98765","987654","54321"},0)),ISNUMBER(MATCH(BX746,{"x","xx","xxx","xxxx","xxxxx","abc","abcd","nil","na","nan","test","tbc","tba","tbd","dummy","sample","example","eg","zz","zzz","none","null","xyz","qwe","asd","id","ref"},0)),AND(LEN(BW746)=8,BX746="",OR(LEFT(BW746,3)="202",ISNUMBER(MATCH(RIGHT(BW746,4),{"2025","2026","2027"},0)))))),OR(AND((LEN(BT746)-LEN(SUBSTITUTE(BT746,"a","")))&gt;=1,(LEN(BN746)-LEN(SUBSTITUTE(BN746,"0","")))&gt;=2,SUMPRODUCT(--ISNUMBER(SEARCH({"a0","a-0","a_0","a/0","a.0","a#0","0a","0-a","0_a","0/a"},BN746)))&gt;0),AND((LEN(BN746)-LEN(SUBSTITUTE(BN746,"a","")))=0,(LEN(BN746)-LEN(SUBSTITUTE(BN746,"0","")))&gt;=5)))),1,0),0)</f>
        <v>0</v>
      </c>
      <c r="CA7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746,"revision",""),"version",""),"jan",""),"feb",""),"mar",""),"apr",""),"may",""),"jun",""),"jul",""),"aug",""),"sep",""),"oct",""),"nov",""),"dec",""),"utc",""),"gmt",""),"myt",""),"bst",""),"rev",""),"ver",""),"b","a"),"c","a"),"d","a"),"e","a"),"f","a"),"g","a"),"h","a"),"i","a"),"j","a"),"k","a"),"l","a"),"m","a"),"n","a"),"o","a"),"p","a"),"q","a"),"r","a"),"s","a"),"t","a"),"u","a"),"v","a"),"w","a"),"x","a"),"y","a"),"z","a")</f>
        <v/>
      </c>
      <c r="CB74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746&amp;""),"a",""),"b",""),"c",""),"d",""),"e",""),"f",""),"g",""),"h",""),"i",""),"j",""),"k",""),"l",""),"m",""),"n",""),"o",""),"p",""),"q",""),"r",""),"s",""),"t",""),"u",""),"v",""),"w",""),"x",""),"y",""),"z",""),"-",""),"_",""),"/",""),".",""),"#",""),"\\",""),":","")," ",""),"(",""),")","")</f>
        <v/>
      </c>
      <c r="CC746" s="0" t="str">
        <f aca="false">" "&amp;TRIM(SUBSTITUTE(SUBSTITUTE(SUBSTITUTE(SUBSTITUTE(SUBSTITUTE(SUBSTITUTE(SUBSTITUTE(SUBSTITUTE(SUBSTITUTE(SUBSTITUTE(SUBSTITUTE(SUBSTITUTE(SUBSTITUTE(SUBSTITUTE(SUBSTITUTE(SUBSTITUTE(SUBSTITUTE(SUBSTITUTE(SUBSTITUTE(SUBSTITUTE(SUBSTITUTE(SUBSTITUTE(SUBSTITUTE(SUBSTITUTE(LOWER(T746&amp;""),CHAR(10)," "),CHAR(13)," "),CHAR(9)," "),CHAR(160)," "),"."," "),","," "),"-"," "),"/"," "),"("," "),")"," "),":"," "),";"," "),"_"," "),"–"," "),"?"," "),"!"," "),"*"," "),"["," "),"]"," "),"'"," "),"#"," "),"+"," "),"&amp;"," "),"\"," "))&amp;" "</f>
        <v>  </v>
      </c>
      <c r="CD746" s="0" t="str">
        <f aca="false">" "&amp;TRIM(SUBSTITUTE(SUBSTITUTE(SUBSTITUTE(SUBSTITUTE(SUBSTITUTE(SUBSTITUTE(SUBSTITUTE(SUBSTITUTE(SUBSTITUTE(SUBSTITUTE(SUBSTITUTE(SUBSTITUTE(SUBSTITUTE(SUBSTITUTE(SUBSTITUTE(SUBSTITUTE(SUBSTITUTE(SUBSTITUTE(SUBSTITUTE(SUBSTITUTE(SUBSTITUTE(SUBSTITUTE(SUBSTITUTE(SUBSTITUTE(LOWER(AE746&amp;""),CHAR(10)," "),CHAR(13)," "),CHAR(9)," "),CHAR(160)," "),"."," "),","," "),"-"," "),"/"," "),"("," "),")"," "),":"," "),";"," "),"_"," "),"–"," "),"?"," "),"!"," "),"*"," "),"["," "),"]"," "),"'"," "),"#"," "),"+"," "),"&amp;"," "),"\"," "))&amp;" "</f>
        <v>  </v>
      </c>
      <c r="CE746" s="68" t="n">
        <f aca="false">IFERROR(IF(AND(LEN(AU746)&gt;0,LEN(AU746)=LEN(AX746),OR(TRIM(MID(SUBSTITUTE(TRIM(CC746)," ",REPT(" ",60)),1,60))="",ISNUMBER(SEARCH(" "&amp;TRIM(MID(SUBSTITUTE(TRIM(CC746)," ",REPT(" ",60)),1,60))&amp;" ",CD746))),OR(TRIM(MID(SUBSTITUTE(TRIM(CC746)," ",REPT(" ",60)),61,60))="",ISNUMBER(SEARCH(" "&amp;TRIM(MID(SUBSTITUTE(TRIM(CC746)," ",REPT(" ",60)),61,60))&amp;" ",CD746))),OR(TRIM(MID(SUBSTITUTE(TRIM(CC746)," ",REPT(" ",60)),121,60))="",ISNUMBER(SEARCH(" "&amp;TRIM(MID(SUBSTITUTE(TRIM(CC746)," ",REPT(" ",60)),121,60))&amp;" ",CD746)))),1,0),0)</f>
        <v>0</v>
      </c>
      <c r="CG746" s="68" t="n">
        <f aca="false">IFERROR(LEN(SUBSTITUTE(BF746," ",""))-SUMPRODUCT((LEN(BF746)-LEN(SUBSTITUTE(BF746," "&amp;L_NAFiller&amp;" "," ")))/(LEN(L_NAFiller)+1)*LEN(L_NAFiller)),0)</f>
        <v>0</v>
      </c>
    </row>
    <row r="747" customFormat="false" ht="39.75" hidden="false" customHeight="true" outlineLevel="0" collapsed="false">
      <c r="A747" s="57" t="s">
        <v>1481</v>
      </c>
      <c r="B747" s="57" t="s">
        <v>312</v>
      </c>
      <c r="C747" s="57" t="str">
        <f aca="false">Flights!$F$26</f>
        <v>MH0002</v>
      </c>
      <c r="D747" s="58" t="n">
        <f aca="false">Flights!$D$26</f>
        <v>46325</v>
      </c>
      <c r="E747" s="57" t="str">
        <f aca="false">Flights!$G$26&amp;"-"&amp;Flights!$H$26</f>
        <v>KUL-LHR</v>
      </c>
      <c r="F747" s="57" t="str">
        <f aca="false">Flights!$K$26</f>
        <v>BC</v>
      </c>
      <c r="G747" s="57" t="s">
        <v>459</v>
      </c>
      <c r="H747" s="57" t="s">
        <v>460</v>
      </c>
      <c r="I747" s="57" t="s">
        <v>447</v>
      </c>
      <c r="J747" s="57" t="s">
        <v>655</v>
      </c>
      <c r="K747" s="67" t="s">
        <v>449</v>
      </c>
      <c r="L747" s="67" t="s">
        <v>754</v>
      </c>
      <c r="M747" s="67" t="s">
        <v>451</v>
      </c>
      <c r="N747" s="67" t="s">
        <v>383</v>
      </c>
      <c r="O747" s="67"/>
      <c r="P747" s="57" t="s">
        <v>187</v>
      </c>
      <c r="Q747" s="59" t="n">
        <f aca="false">ROUND((Flights!$AF$26)*1440,0)/1440</f>
        <v>46325.6388888889</v>
      </c>
      <c r="R747" s="59" t="n">
        <f aca="false">Q747+(IF(AND(INDEX(TZ_DSTS,MATCH(P747,TZ_STN,0))&lt;&gt;"",Q747&gt;=INDEX(TZ_DSTS,MATCH(P747,TZ_STN,0)),Q747&lt;INDEX(TZ_DSTE,MATCH(P747,TZ_STN,0))),INDEX(TZ_DST,MATCH(P747,TZ_STN,0)),INDEX(TZ_STD,MATCH(P747,TZ_STN,0))))/24</f>
        <v>46325.9722222222</v>
      </c>
      <c r="S747" s="60"/>
      <c r="T747" s="60"/>
      <c r="U747" s="60"/>
      <c r="V747" s="60"/>
      <c r="W747" s="61"/>
      <c r="X747" s="60"/>
      <c r="Y747" s="60"/>
      <c r="Z747" s="60"/>
      <c r="AA747" s="60"/>
      <c r="AB747" s="60"/>
      <c r="AC747" s="60"/>
      <c r="AD747" s="66"/>
      <c r="AE747" s="60"/>
      <c r="AF747" s="61" t="str">
        <f aca="false">IF(AND(ISNUMBER(X747),ISNUMBER(Y747)),Y747-X747,"")</f>
        <v/>
      </c>
      <c r="AG747" s="62" t="str">
        <f aca="false">IF(ISNUMBER(AD747),AD747-(IF(AND(INDEX(TZ_DSTS,MATCH(P747,TZ_STN,0))&lt;&gt;"",(AD747-INDEX(TZ_STD,MATCH(P747,TZ_STN,0))/24)&gt;=INDEX(TZ_DSTS,MATCH(P747,TZ_STN,0)),(AD747-INDEX(TZ_STD,MATCH(P747,TZ_STN,0))/24)&lt;INDEX(TZ_DSTE,MATCH(P747,TZ_STN,0))),INDEX(TZ_DST,MATCH(P747,TZ_STN,0)),INDEX(TZ_STD,MATCH(P747,TZ_STN,0))))/24,"")</f>
        <v/>
      </c>
      <c r="AH747" s="65" t="str">
        <f aca="false">IFERROR(IF(N747="N/A – rule",IF(OR(TRIM(U747)="",TRIM(U747)="N/A",TRIM(U747)="Not started"),"N/A – RULE","INVALID – this check does not apply to this aircraft: clear the status (or correct the fleet on Flights)"),IF(TRIM(U747)="N/A",IF(AT747=0,"INVALID – N/A not permitted for this check",IF(AND(TRIM(AB747)&lt;&gt;"",TRIM(AB747)&lt;&gt;"Closed"),"INVALID – corrective action still open",IF(AND(NOT(OR(LEN(AZ747)&lt;15,ISNUMBER(MATCH(AZ747,L_Placeholder,0)))),BK747=0,CG747&gt;=8,NOT(OR(LEN(AU747)&lt;2,ISNUMBER(MATCH(AU747,L_Placeholder,0)))),BR747&gt;=3,NOT(OR(LEN(AX747)&lt;2,ISNUMBER(MATCH(AX747,L_Placeholder,0)))),BS747&gt;=3,TRIM(AE747)&lt;&gt;TRIM(T747),AX747&lt;&gt;AU747,CE747=0),"N/A – JUSTIFIED","INVALID – N/A needs a real, settled reason (not 'not applicable' / 'as above' / TBC), a named PIC and a different named verifier"))),IF(OR(TRIM(U747)="Pass",TRIM(U747)="Pass after CA"),IF(NOT(ISNUMBER(AD747)),"INVALID – completion time missing",IF(OR(OR(LEN(AU747)&lt;2,ISNUMBER(MATCH(AU747,L_Placeholder,0))),BR747&lt;3),"INVALID – PIC missing or not a named person (a role such as QA / CSM is not a name)",IF(OR(LEN(AV747)&lt;2,ISNUMBER(MATCH(AV747,L_Placeholder,0))),"INVALID – result / assessment missing",IF(OR(OR(LEN(AW747)&lt;3,ISNUMBER(MATCH(AW747,L_Placeholder,0))),SUMPRODUCT(--ISNUMBER(SEARCH(" "&amp;L_EvidencePhrase&amp;" ",BD747)))&gt;0,BI747=1),"INVALID – evidence missing, placeholder or not yet on file",IF(ISNA(MATCH(TRIM(S747),L_EvidenceType,0)),"INVALID – choose the evidence type from the list (column S)",IF(BL747=0,"INVALID – evidence ID must be the record's own ID only (e.g. SF-2210, IMG_2231, 1045521); a link / file name needs type 'Link / file path'",IF(OR(OR(LEN(AX747)&lt;2,ISNUMBER(MATCH(AX747,L_Placeholder,0))),BS747&lt;3),"INVALID – verifier missing or not a named person (a role such as QA / CSM is not a name)",IF(OR(AX747=AU747,CE747=1,AND(LEN(AU747)&gt;=4,ISNUMBER(SEARCH(AU747,AX747))),AND(LEN(AX747)&gt;=4,ISNUMBER(SEARCH(AX747,AU747)))),"INVALID – verifier must be a different, named person (not the PIC or a role)",IF(BH747=1,"INVALID – result not yet available (awaiting / TBC)",IF(BG747=1,"INVALID – result describes a problem: record Fail, then Pass after CA (or reword if it is not a problem)",IF(BV747=1,"INVALID – wording says not on board: an on-board confirmation needs the item loaded",IF(AND(AQ747=1,OR(OR(LEN(AY747)&lt;3,ISNUMBER(MATCH(AY747,L_Placeholder,0))),BJ747=1,BQ747=0)),"INVALID – batch ID missing, placeholder or not an ID (e.g. PASB-261008-BC-017)",IF(AND(AR747=1,OR(NOT(ISNUMBER(X747)),NOT(ISNUMBER(Y747)))),"INVALID – expected/actual qty missing",IF(AND(AR747=1,OR(X747&lt;=0,Y747&lt;0)),"INVALID – expected qty must be above 0 and actual not negative",IF(AH731="N/A – JUSTIFIED","INVALID – preparation row F22-T12-20 is N/A",IF(AND(AR747=1,ISNUMBER(X731),X747&lt;&gt;X731,TRIM(U747)&lt;&gt;"Pass after CA"),"INVALID – expected qty differs from preparation check F22-T12-20: record the load change as a corrective action (Pass after CA)",IF(BB747&lt;&gt;"",BB747,IF(AND(AS747=1,Documents!$J$26&lt;&gt;"ON FILE"),"INVALID – GLD not on file (Documents sheet)",IF(AND(AS747=2,Documents!$O$26&lt;&gt;"ON FILE"),"INVALID – menu checklist not on file (Documents sheet)",IF(AND(AS747=3,NOT(ISNUMBER(Flights!$AX$26))),"INVALID – enter carrying flight KUL departure (Flights AX)",IF(AND(AS747=3,OR(Flights!$AZ$26&gt;Flights!$AA$26,Flights!$AX$26&lt;Flights!$AA$26-3)),"INVALID – carrying flight (Flights AX) cannot arrive before this leg's STD, or is over 3 days early",IF(AG747&gt;AsOfUTC,"INVALID – completion time is in the future",IF(AND(ISNUMBER(BY747),AG747&lt;BY747),IF(H747="Physical uplift","INVALID – before uplift window (cannot confirm loading)","INVALID – before valid window"),IF(AG747&gt;Flights!$AA$26,"INVALID – completed after departure (cannot establish readiness)",IF(AND(H747="Preparation",AG747&gt;=IF(ISNUMBER(Flights!$BA$26),MIN(Flights!$BA$26,Flights!$AA$26),Flights!$AA$26)),"INVALID – completed after loading / departure (cannot establish readiness)",IF(AND(H747="Physical uplift",AG747&gt;Q747),"INVALID – recorded after the loading flight departed",IF(AG747&gt;Q747,"COMPLETE – LATE","COMPLETE"))))))))))))))))))))))))))),IF(TRIM(U747)="Fail","FAIL – DISCREPANCY",IF(AND(TRIM(U747)&lt;&gt;"",TRIM(U747)&lt;&gt;"Not started",TRIM(U747)&lt;&gt;"In progress"),"INVALID – unrecognised status (use the list)",IF(AsOfUTC&gt;Q747,"OVERDUE",IF(N747="Clarification required","OPEN – CLARIFICATION","OPEN"))))))),"INVALID – error value in an input cell")</f>
        <v>OPEN</v>
      </c>
      <c r="AI747" s="61" t="n">
        <f aca="false">IF(OR(AH747="N/A – RULE",AH747="N/A – JUSTIFIED"),0,1)</f>
        <v>1</v>
      </c>
      <c r="AJ747" s="61" t="n">
        <f aca="false">IF(LEFT(AH747,8)="COMPLETE",1,0)</f>
        <v>0</v>
      </c>
      <c r="AK747" s="61" t="n">
        <f aca="false">IF(AND(AI747=1,AJ747=0,AsOfUTC&gt;Q747),1,0)</f>
        <v>0</v>
      </c>
      <c r="AL747" s="61" t="n">
        <f aca="false">IFERROR(IF(AND(AI747=1,OR(TRIM(U747)="Fail",AND(TRIM(AB747)&lt;&gt;"",TRIM(AB747)&lt;&gt;"Closed"),AND(ISNUMBER(AF747),AF747&lt;&gt;0,TRIM(U747)&lt;&gt;"Pass after CA"))),1,0),1)</f>
        <v>0</v>
      </c>
      <c r="AM747" s="61" t="n">
        <f aca="false">IF(LEFT(AH747,7)="INVALID",1,0)</f>
        <v>0</v>
      </c>
      <c r="AN747" s="61" t="n">
        <f aca="false">IF(AND(N747="Clarification required",AI747=1,AJ747=0),1,0)</f>
        <v>0</v>
      </c>
      <c r="AO747" s="61" t="str">
        <f aca="false">IF(AK747=1,SUM(AK$5:AK747),"")</f>
        <v/>
      </c>
      <c r="AP747" s="61" t="str">
        <f aca="false">IF(AL747=1,SUM(AL$5:AL747),"")</f>
        <v/>
      </c>
      <c r="AQ747" s="61" t="n">
        <v>0</v>
      </c>
      <c r="AR747" s="61" t="n">
        <v>0</v>
      </c>
      <c r="AS747" s="61" t="n">
        <v>0</v>
      </c>
      <c r="AT747" s="61" t="n">
        <v>0</v>
      </c>
      <c r="AU747" s="61" t="str">
        <f aca="false">SUBSTITUTE(SUBSTITUTE(SUBSTITUTE(SUBSTITUTE(SUBSTITUTE(SUBSTITUTE(SUBSTITUTE(SUBSTITUTE(SUBSTITUTE(SUBSTITUTE(SUBSTITUTE(SUBSTITUTE(SUBSTITUTE(SUBSTITUTE(SUBSTITUTE(SUBSTITUTE(LOWER(T747&amp;""),CHAR(10),""),CHAR(13),""),CHAR(9),""),CHAR(160),"")," ",""),".",""),"-",""),"/",""),"?",""),"_",""),",",""),"[",""),"]",""),"(",""),")",""),"*","")</f>
        <v/>
      </c>
      <c r="AV747" s="61" t="str">
        <f aca="false">SUBSTITUTE(SUBSTITUTE(SUBSTITUTE(SUBSTITUTE(SUBSTITUTE(SUBSTITUTE(SUBSTITUTE(SUBSTITUTE(SUBSTITUTE(SUBSTITUTE(SUBSTITUTE(SUBSTITUTE(SUBSTITUTE(SUBSTITUTE(SUBSTITUTE(SUBSTITUTE(LOWER(V747&amp;""),CHAR(10),""),CHAR(13),""),CHAR(9),""),CHAR(160),"")," ",""),".",""),"-",""),"/",""),"?",""),"_",""),",",""),"[",""),"]",""),"(",""),")",""),"*","")</f>
        <v/>
      </c>
      <c r="AW747" s="61" t="str">
        <f aca="false">SUBSTITUTE(SUBSTITUTE(SUBSTITUTE(SUBSTITUTE(SUBSTITUTE(SUBSTITUTE(SUBSTITUTE(SUBSTITUTE(SUBSTITUTE(SUBSTITUTE(SUBSTITUTE(SUBSTITUTE(SUBSTITUTE(SUBSTITUTE(SUBSTITUTE(SUBSTITUTE(LOWER(Z747&amp;""),CHAR(10),""),CHAR(13),""),CHAR(9),""),CHAR(160),"")," ",""),".",""),"-",""),"/",""),"?",""),"_",""),",",""),"[",""),"]",""),"(",""),")",""),"*","")</f>
        <v/>
      </c>
      <c r="AX747" s="61" t="str">
        <f aca="false">SUBSTITUTE(SUBSTITUTE(SUBSTITUTE(SUBSTITUTE(SUBSTITUTE(SUBSTITUTE(SUBSTITUTE(SUBSTITUTE(SUBSTITUTE(SUBSTITUTE(SUBSTITUTE(SUBSTITUTE(SUBSTITUTE(SUBSTITUTE(SUBSTITUTE(SUBSTITUTE(LOWER(AE747&amp;""),CHAR(10),""),CHAR(13),""),CHAR(9),""),CHAR(160),"")," ",""),".",""),"-",""),"/",""),"?",""),"_",""),",",""),"[",""),"]",""),"(",""),")",""),"*","")</f>
        <v/>
      </c>
      <c r="AY747" s="61" t="str">
        <f aca="false">SUBSTITUTE(SUBSTITUTE(SUBSTITUTE(SUBSTITUTE(SUBSTITUTE(SUBSTITUTE(SUBSTITUTE(SUBSTITUTE(SUBSTITUTE(SUBSTITUTE(SUBSTITUTE(SUBSTITUTE(SUBSTITUTE(SUBSTITUTE(SUBSTITUTE(SUBSTITUTE(LOWER(W747&amp;""),CHAR(10),""),CHAR(13),""),CHAR(9),""),CHAR(160),"")," ",""),".",""),"-",""),"/",""),"?",""),"_",""),",",""),"[",""),"]",""),"(",""),")",""),"*","")</f>
        <v/>
      </c>
      <c r="AZ747" s="61" t="str">
        <f aca="false">SUBSTITUTE(SUBSTITUTE(SUBSTITUTE(SUBSTITUTE(SUBSTITUTE(SUBSTITUTE(SUBSTITUTE(SUBSTITUTE(SUBSTITUTE(SUBSTITUTE(SUBSTITUTE(SUBSTITUTE(SUBSTITUTE(SUBSTITUTE(SUBSTITUTE(SUBSTITUTE(LOWER(AC747&amp;""),CHAR(10),""),CHAR(13),""),CHAR(9),""),CHAR(160),"")," ",""),".",""),"-",""),"/",""),"?",""),"_",""),",",""),"[",""),"]",""),"(",""),")",""),"*","")</f>
        <v/>
      </c>
      <c r="BA747" s="61" t="str">
        <f aca="false">SUBSTITUTE(SUBSTITUTE(SUBSTITUTE(SUBSTITUTE(SUBSTITUTE(SUBSTITUTE(SUBSTITUTE(SUBSTITUTE(SUBSTITUTE(SUBSTITUTE(SUBSTITUTE(SUBSTITUTE(SUBSTITUTE(SUBSTITUTE(SUBSTITUTE(SUBSTITUTE(LOWER(AA747&amp;""),CHAR(10),""),CHAR(13),""),CHAR(9),""),CHAR(160),"")," ",""),".",""),"-",""),"/",""),"?",""),"_",""),",",""),"[",""),"]",""),"(",""),")",""),"*","")</f>
        <v/>
      </c>
      <c r="BB747" s="61" t="str">
        <f aca="false">IF(AND(TRIM(U747)="Pass",ISNUMBER(AF747)),IF(AF747&lt;&gt;0,"INVALID – qty variance: use Fail or Pass after CA",""),"")&amp;IF(AND(TRIM(U747)="Pass after CA",ISNUMBER(AF747)),IF(AF747&lt;&gt;0,"INVALID – after the corrective action the actual qty must equal expected (update Actual)",""),"")&amp;IF(AND(TRIM(U747)="Pass",TRIM(AB747)&lt;&gt;"",TRIM(AB747)&lt;&gt;"Closed"),"INVALID – corrective action not closed: use Fail, then Pass after CA","")&amp;IF(AND(LEN(BA747)&gt;=2,ISNA(MATCH(LEFT(BA747,255),L_Placeholder,0)),TRIM(AB747)=""),"INVALID – CA status missing for the recorded corrective action","")&amp;IF(AND(TRIM(U747)="Pass after CA",OR(OR(LEN(BA747)&lt;5,ISNUMBER(MATCH(BA747,L_Placeholder,0))),TRIM(AB747)&lt;&gt;"Closed")),"INVALID – corrective action not recorded/closed","")</f>
        <v/>
      </c>
      <c r="BC747" s="61" t="str">
        <f aca="false">" "&amp;TRIM(SUBSTITUTE(SUBSTITUTE(SUBSTITUTE(SUBSTITUTE(SUBSTITUTE(SUBSTITUTE(SUBSTITUTE(SUBSTITUTE(SUBSTITUTE(SUBSTITUTE(SUBSTITUTE(SUBSTITUTE(SUBSTITUTE(SUBSTITUTE(SUBSTITUTE(SUBSTITUTE(SUBSTITUTE(SUBSTITUTE(SUBSTITUTE(SUBSTITUTE(SUBSTITUTE(SUBSTITUTE(SUBSTITUTE(SUBSTITUTE(LOWER(V747&amp;""),CHAR(10)," "),CHAR(13)," "),CHAR(9)," "),CHAR(160)," "),"."," "),","," "),"-"," "),"/"," "),"("," "),")"," "),":"," "),";"," "),"_"," "),"–"," "),"?"," "),"!"," "),"*"," "),"["," "),"]"," "),"'"," "),"#"," "),"+"," "),"&amp;"," "),"\"," "))&amp;" "</f>
        <v>  </v>
      </c>
      <c r="BD747" s="61" t="str">
        <f aca="false">" "&amp;TRIM(SUBSTITUTE(SUBSTITUTE(SUBSTITUTE(SUBSTITUTE(SUBSTITUTE(SUBSTITUTE(SUBSTITUTE(SUBSTITUTE(SUBSTITUTE(SUBSTITUTE(SUBSTITUTE(SUBSTITUTE(SUBSTITUTE(SUBSTITUTE(SUBSTITUTE(SUBSTITUTE(SUBSTITUTE(SUBSTITUTE(SUBSTITUTE(SUBSTITUTE(SUBSTITUTE(SUBSTITUTE(SUBSTITUTE(SUBSTITUTE(LOWER(Z747&amp;""),CHAR(10)," "),CHAR(13)," "),CHAR(9)," "),CHAR(160)," "),"."," "),","," "),"-"," "),"/"," "),"("," "),")"," "),":"," "),";"," "),"_"," "),"–"," "),"?"," "),"!"," "),"*"," "),"["," "),"]"," "),"'"," "),"#"," "),"+"," "),"&amp;"," "),"\"," "))&amp;" "</f>
        <v>  </v>
      </c>
      <c r="BE747" s="61" t="str">
        <f aca="false">" "&amp;TRIM(SUBSTITUTE(SUBSTITUTE(SUBSTITUTE(SUBSTITUTE(SUBSTITUTE(SUBSTITUTE(SUBSTITUTE(SUBSTITUTE(SUBSTITUTE(SUBSTITUTE(SUBSTITUTE(SUBSTITUTE(SUBSTITUTE(SUBSTITUTE(SUBSTITUTE(SUBSTITUTE(SUBSTITUTE(SUBSTITUTE(SUBSTITUTE(SUBSTITUTE(SUBSTITUTE(SUBSTITUTE(SUBSTITUTE(SUBSTITUTE(LOWER(W747&amp;""),CHAR(10)," "),CHAR(13)," "),CHAR(9)," "),CHAR(160)," "),"."," "),","," "),"-"," "),"/"," "),"("," "),")"," "),":"," "),";"," "),"_"," "),"–"," "),"?"," "),"!"," "),"*"," "),"["," "),"]"," "),"'"," "),"#"," "),"+"," "),"&amp;"," "),"\"," "))&amp;" "</f>
        <v>  </v>
      </c>
      <c r="BF747" s="61" t="str">
        <f aca="false">" "&amp;TRIM(SUBSTITUTE(SUBSTITUTE(SUBSTITUTE(SUBSTITUTE(SUBSTITUTE(SUBSTITUTE(SUBSTITUTE(SUBSTITUTE(SUBSTITUTE(SUBSTITUTE(SUBSTITUTE(SUBSTITUTE(SUBSTITUTE(SUBSTITUTE(SUBSTITUTE(SUBSTITUTE(SUBSTITUTE(SUBSTITUTE(SUBSTITUTE(SUBSTITUTE(SUBSTITUTE(SUBSTITUTE(SUBSTITUTE(SUBSTITUTE(LOWER(AC747&amp;""),CHAR(10)," "),CHAR(13)," "),CHAR(9)," "),CHAR(160)," "),"."," "),","," "),"-"," "),"/"," "),"("," "),")"," "),":"," "),";"," "),"_"," "),"–"," "),"?"," "),"!"," "),"*"," "),"["," "),"]"," "),"'"," "),"#"," "),"+"," "),"&amp;"," "),"\"," "))&amp;" "</f>
        <v>  </v>
      </c>
      <c r="BG747" s="61" t="n">
        <f aca="false">IFERROR(IF(AND(TRIM(U747)="Pass",SUMPRODUCT((LEN(BC747)-LEN(SUBSTITUTE(BC747," "&amp;L_ResultBad&amp;" "," ")))/(LEN(L_ResultBad)+1))&gt;SUMPRODUCT((LEN(BC747)-LEN(SUBSTITUTE(BC747," "&amp;L_NegPhrase&amp;" "," ")))/(LEN(L_NegPhrase)+1))),1,0),0)</f>
        <v>0</v>
      </c>
      <c r="BH747" s="61" t="n">
        <f aca="false">IFERROR(IF(SUMPRODUCT((LEN(BC747)-LEN(SUBSTITUTE(BC747," "&amp;L_Pending&amp;" "," ")))/(LEN(L_Pending)+1))&gt;SUMPRODUCT((LEN(BC747)-LEN(SUBSTITUTE(BC747," "&amp;L_PendNeg&amp;" "," ")))/(LEN(L_PendNeg)+1)),1,0),1)</f>
        <v>0</v>
      </c>
      <c r="BI747" s="61" t="n">
        <f aca="false">IFERROR(IF(SUMPRODUCT((LEN(BD747)-LEN(SUBSTITUTE(BD747," "&amp;L_PendStrict&amp;" "," ")))/(LEN(L_PendStrict)+1))&gt;SUMPRODUCT((LEN(BD747)-LEN(SUBSTITUTE(BD747," "&amp;L_PendNeg&amp;" "," ")))/(LEN(L_PendNeg)+1)),1,0),1)</f>
        <v>0</v>
      </c>
      <c r="BJ747" s="61" t="n">
        <f aca="false">IFERROR(IF(SUMPRODUCT((LEN(BE747)-LEN(SUBSTITUTE(BE747," "&amp;L_Pending&amp;" "," ")))/(LEN(L_Pending)+1))&gt;SUMPRODUCT((LEN(BE747)-LEN(SUBSTITUTE(BE747," "&amp;L_PendNeg&amp;" "," ")))/(LEN(L_PendNeg)+1)),1,0),1)</f>
        <v>0</v>
      </c>
      <c r="BK747" s="61" t="n">
        <f aca="false">IFERROR(IF(SUMPRODUCT((LEN(BF747)-LEN(SUBSTITUTE(BF747," "&amp;L_PendStrict&amp;" "," ")))/(LEN(L_PendStrict)+1))&gt;SUMPRODUCT((LEN(BF747)-LEN(SUBSTITUTE(BF747," "&amp;L_PendNeg&amp;" "," ")))/(LEN(L_PendNeg)+1)),1,0),1)</f>
        <v>0</v>
      </c>
      <c r="BL747" s="61" t="n">
        <f aca="false">IF(ISNA(MATCH(TRIM(S747),L_EvidenceType,0)),0,BZ747)</f>
        <v>0</v>
      </c>
      <c r="BM747" s="61" t="str">
        <f aca="false">SUBSTITUTE(SUBSTITUTE(SUBSTITUTE(SUBSTITUTE(SUBSTITUTE(SUBSTITUTE(SUBSTITUTE(SUBSTITUTE(SUBSTITUTE(LOWER(Z747&amp;""),"1","0"),"2","0"),"3","0"),"4","0"),"5","0"),"6","0"),"7","0"),"8","0"),"9","0")</f>
        <v/>
      </c>
      <c r="BN747" s="61" t="str">
        <f aca="false">SUBSTITUTE(SUBSTITUTE(SUBSTITUTE(SUBSTITUTE(SUBSTITUTE(SUBSTITUTE(SUBSTITUTE(SUBSTITUTE(SUBSTITUTE(SUBSTITUTE(SUBSTITUTE(SUBSTITUTE(SUBSTITUTE(SUBSTITUTE(SUBSTITUTE(SUBSTITUTE(SUBSTITUTE(SUBSTITUTE(SUBSTITUTE(SUBSTITUTE(SUBSTITUTE(SUBSTITUTE(SUBSTITUTE(SUBSTITUTE(SUBSTITUTE(BM747,"b","a"),"c","a"),"d","a"),"e","a"),"f","a"),"g","a"),"h","a"),"i","a"),"j","a"),"k","a"),"l","a"),"m","a"),"n","a"),"o","a"),"p","a"),"q","a"),"r","a"),"s","a"),"t","a"),"u","a"),"v","a"),"w","a"),"x","a"),"y","a"),"z","a")</f>
        <v/>
      </c>
      <c r="BO747" s="61" t="str">
        <f aca="false">SUBSTITUTE(SUBSTITUTE(SUBSTITUTE(SUBSTITUTE(SUBSTITUTE(SUBSTITUTE(SUBSTITUTE(SUBSTITUTE(SUBSTITUTE(LOWER(W747&amp;""),"1","0"),"2","0"),"3","0"),"4","0"),"5","0"),"6","0"),"7","0"),"8","0"),"9","0")</f>
        <v/>
      </c>
      <c r="BP747" s="61" t="str">
        <f aca="false">SUBSTITUTE(SUBSTITUTE(SUBSTITUTE(SUBSTITUTE(SUBSTITUTE(SUBSTITUTE(SUBSTITUTE(SUBSTITUTE(SUBSTITUTE(SUBSTITUTE(SUBSTITUTE(SUBSTITUTE(SUBSTITUTE(SUBSTITUTE(SUBSTITUTE(SUBSTITUTE(SUBSTITUTE(SUBSTITUTE(SUBSTITUTE(SUBSTITUTE(SUBSTITUTE(SUBSTITUTE(SUBSTITUTE(SUBSTITUTE(SUBSTITUTE(BO747,"b","a"),"c","a"),"d","a"),"e","a"),"f","a"),"g","a"),"h","a"),"i","a"),"j","a"),"k","a"),"l","a"),"m","a"),"n","a"),"o","a"),"p","a"),"q","a"),"r","a"),"s","a"),"t","a"),"u","a"),"v","a"),"w","a"),"x","a"),"y","a"),"z","a")</f>
        <v/>
      </c>
      <c r="BQ747" s="61" t="n">
        <f aca="false">IFERROR(IF(AND(ISERROR(SEARCH(" mh"," "&amp;LOWER(W747))),ISNA(MATCH(LEFT(TRIM(BP747),255),{"0000a","000a","00a","0000aa","000aa","00aa","0aa","0000aaa","000aaa","00a00","0a00","0000-0000","00:00","a00","a0","00.00.0000","00/00/0000","00-00-0000","0000-00-00","0000/00/00","0000.00.00","00.00.00","00/00/00","00-00-00","0.00.0000","0/00/0000","0-00-0000"},0)),ISNA(MATCH(LEFT(TRIM(CA747),255),{"0000a","000a","00a","0000aa","000aa","00aa","0aa","0000aaa","000aaa","00a00","0a00","0000-0000","00:00","a00","a0","00.00.0000","00/00/0000","00-00-0000","0000-00-00","0000/00/00","0000.00.00","00.00.00","00/00/00","00-00-00","0.00.0000","0/00/0000","0-00-0000"},0)),LEN(CB747)&gt;=3,NOT(OR(SUBSTITUTE(CB747,"0","")="",AND(LEN(CB747)&gt;=4,CB747=REPT(LEFT(CB747),LEN(CB747))),ISNUMBER(MATCH(CB747,{"123","1234","12345","123456","1234567","12345678","0123","01234","012345","98765","987654","54321"},0)),AND(LEN(CB747)=8,LEFT(CB747,3)="202"))),OR(AND((LEN(CA747)-LEN(SUBSTITUTE(CA747,"a","")))&gt;=1,SUMPRODUCT(--ISNUMBER(SEARCH({"a0","a-0","a_0","a/0","a.0","a#0","0a","0-a","0_a","0/a"},BP747)))&gt;0),ISNUMBER(SEARCH("000000",BP747)))),1,0),0)</f>
        <v>0</v>
      </c>
      <c r="BR747" s="61" t="n">
        <f aca="false">IFERROR(LEN(SUBSTITUTE(CC747," ",""))-SUMPRODUCT((LEN(CC747)-LEN(SUBSTITUTE(CC747," "&amp;L_Role&amp;" "," ")))/(LEN(L_Role)+1)*LEN(L_Role)),0)</f>
        <v>0</v>
      </c>
      <c r="BS747" s="61" t="n">
        <f aca="false">IFERROR(LEN(SUBSTITUTE(CD747," ",""))-SUMPRODUCT((LEN(CD747)-LEN(SUBSTITUTE(CD747," "&amp;L_Role&amp;" "," ")))/(LEN(L_Role)+1)*LEN(L_Role)),0)</f>
        <v>0</v>
      </c>
      <c r="BT7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747,"revision",""),"version",""),"jan",""),"feb",""),"mar",""),"apr",""),"may",""),"jun",""),"jul",""),"aug",""),"sep",""),"oct",""),"nov",""),"dec",""),"utc",""),"gmt",""),"myt",""),"bst",""),"rev",""),"ver",""),"b","a"),"c","a"),"d","a"),"e","a"),"f","a"),"g","a"),"h","a"),"i","a"),"j","a"),"k","a"),"l","a"),"m","a"),"n","a"),"o","a"),"p","a"),"q","a"),"r","a"),"s","a"),"t","a"),"u","a"),"v","a"),"w","a"),"x","a"),"y","a"),"z","a")</f>
        <v/>
      </c>
      <c r="BU747" s="61" t="str">
        <f aca="false">SUBSTITUTE(SUBSTITUTE(SUBSTITUTE(SUBSTITUTE(SUBSTITUTE(SUBSTITUTE(SUBSTITUTE(SUBSTITUTE(SUBSTITUTE(SUBSTITUTE(LEFT(BM747,FIND("0",BM747&amp;"0")-1),"-",""),"_",""),"/",""),".",""),"#",""),"\\",""),":","")," ",""),"(",""),")","")</f>
        <v/>
      </c>
      <c r="BV747" s="61" t="n">
        <f aca="false">IFERROR(IF(OR(SUMPRODUCT((LEN(BC747)-LEN(SUBSTITUTE(BC747," "&amp;L_NotLoaded&amp;" "," ")))/(LEN(L_NotLoaded)+1))&gt;SUMPRODUCT((LEN(BC747)-LEN(SUBSTITUTE(BC747," "&amp;L_NotLoadedNeg&amp;" "," ")))/(LEN(L_NotLoadedNeg)+1)),SUMPRODUCT((LEN(BD747)-LEN(SUBSTITUTE(BD747," "&amp;L_NotLoaded&amp;" "," ")))/(LEN(L_NotLoaded)+1))&gt;SUMPRODUCT((LEN(BD747)-LEN(SUBSTITUTE(BD747," "&amp;L_NotLoadedNeg&amp;" "," ")))/(LEN(L_NotLoadedNeg)+1))),1,0),0)</f>
        <v>0</v>
      </c>
      <c r="BW747"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747&amp;""),"a",""),"b",""),"c",""),"d",""),"e",""),"f",""),"g",""),"h",""),"i",""),"j",""),"k",""),"l",""),"m",""),"n",""),"o",""),"p",""),"q",""),"r",""),"s",""),"t",""),"u",""),"v",""),"w",""),"x",""),"y",""),"z",""),"-",""),"_",""),"/",""),".",""),"#",""),"\\",""),":","")," ",""),"(",""),")","")</f>
        <v/>
      </c>
      <c r="BX747" s="61" t="str">
        <f aca="false">SUBSTITUTE(SUBSTITUTE(SUBSTITUTE(SUBSTITUTE(SUBSTITUTE(SUBSTITUTE(SUBSTITUTE(SUBSTITUTE(SUBSTITUTE(SUBSTITUTE(SUBSTITUTE(BM747,"0",""),"-",""),"_",""),"/",""),".",""),"#",""),"\\",""),":","")," ",""),"(",""),")","")</f>
        <v/>
      </c>
      <c r="BY747" s="62" t="n">
        <f aca="false">IF(ISNUMBER(Flights!$AZ$26),MAX(Q747-UpliftWindowH/24,Flights!$AZ$26),Q747-UpliftWindowH/24)</f>
        <v>46325.3888888889</v>
      </c>
      <c r="BZ747" s="61" t="n">
        <f aca="false">IFERROR(IF(IF(TRIM(S747)="Link / file path",AND(LEN(TRIM(Z747))&gt;=5,SUMPRODUCT(--ISNUMBER(SEARCH({"http","www.","\\",":\",".pdf",".jpg",".jpeg",".png",".heic",".xls",".doc",".msg",".eml",".ppt",".txt",".zip"},Z747)))&gt;0),AND(ISERROR(FIND(" ",TRIM(Z747))),NOT(OR(SUMPRODUCT(--ISNUMBER(FIND({",",";","&amp;","+"},Z747)))&gt;0,SUMPRODUCT(--ISNUMBER(SEARCH({"0/aa","0\\aa"},BN747)))&gt;0)),NOT(SUMPRODUCT(--ISNUMBER(SEARCH({"http","www.","\\",":\",".pdf",".jpg",".jpeg",".png",".heic",".xls",".doc",".msg",".eml",".ppt",".txt",".zip"},Z747)))&gt;0),NOT(LOWER(TRIM(Z747))=LOWER(Flights!$F$26)),ISNA(MATCH(BU747,{"mh","rev","revision","ver","version","v","r","a","b","seat","tray","row","gate","bay","stand","page","pg","item","line","no","cart","galley","flight","flt","table","box","bag","oven","etd","eta","std","sta","atd","ata","qty","pax","x","time","tel","ph","mob","day","wk","week","utc","gmt","myt","lt"},0)),NOT(OR(ISNUMBER(MATCH(LEFT(BN747,255),{"0000a","000a","00a","0000aa","000aa","00aa","0aa","0000aaa","000aaa","00a00","0a00","0000-0000","00:00","a00","a0","00.00.0000","00/00/0000","00-00-0000","0000-00-00","0000/00/00","0000.00.00","00.00.00","00/00/00","00-00-00","0.00.0000","0/00/0000","0-00-0000"},0)),ISNUMBER(MATCH(LEFT(BT747,255),{"0000a","000a","00a","0000aa","000aa","00aa","0aa","0000aaa","000aaa","00a00","0a00","0000-0000","00:00","a00","a0","00.00.0000","00/00/0000","00-00-0000","0000-00-00","0000/00/00","0000.00.00","00.00.00","00/00/00","00-00-00","0.00.0000","0/00/0000","0-00-0000"},0)))),NOT(OR(AND(BW747&lt;&gt;"",SUBSTITUTE(BW747,"0","")=""),AND(LEN(BW747)&gt;=4,BW747=REPT(LEFT(BW747),LEN(BW747))),ISNUMBER(MATCH(BW747,{"123","1234","12345","123456","1234567","12345678","0123","01234","012345","98765","987654","54321"},0)),ISNUMBER(MATCH(BX747,{"x","xx","xxx","xxxx","xxxxx","abc","abcd","nil","na","nan","test","tbc","tba","tbd","dummy","sample","example","eg","zz","zzz","none","null","xyz","qwe","asd","id","ref"},0)),AND(LEN(BW747)=8,BX747="",OR(LEFT(BW747,3)="202",ISNUMBER(MATCH(RIGHT(BW747,4),{"2025","2026","2027"},0)))))),OR(AND((LEN(BT747)-LEN(SUBSTITUTE(BT747,"a","")))&gt;=1,(LEN(BN747)-LEN(SUBSTITUTE(BN747,"0","")))&gt;=2,SUMPRODUCT(--ISNUMBER(SEARCH({"a0","a-0","a_0","a/0","a.0","a#0","0a","0-a","0_a","0/a"},BN747)))&gt;0),AND((LEN(BN747)-LEN(SUBSTITUTE(BN747,"a","")))=0,(LEN(BN747)-LEN(SUBSTITUTE(BN747,"0","")))&gt;=5)))),1,0),0)</f>
        <v>0</v>
      </c>
      <c r="CA7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747,"revision",""),"version",""),"jan",""),"feb",""),"mar",""),"apr",""),"may",""),"jun",""),"jul",""),"aug",""),"sep",""),"oct",""),"nov",""),"dec",""),"utc",""),"gmt",""),"myt",""),"bst",""),"rev",""),"ver",""),"b","a"),"c","a"),"d","a"),"e","a"),"f","a"),"g","a"),"h","a"),"i","a"),"j","a"),"k","a"),"l","a"),"m","a"),"n","a"),"o","a"),"p","a"),"q","a"),"r","a"),"s","a"),"t","a"),"u","a"),"v","a"),"w","a"),"x","a"),"y","a"),"z","a")</f>
        <v/>
      </c>
      <c r="CB74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747&amp;""),"a",""),"b",""),"c",""),"d",""),"e",""),"f",""),"g",""),"h",""),"i",""),"j",""),"k",""),"l",""),"m",""),"n",""),"o",""),"p",""),"q",""),"r",""),"s",""),"t",""),"u",""),"v",""),"w",""),"x",""),"y",""),"z",""),"-",""),"_",""),"/",""),".",""),"#",""),"\\",""),":","")," ",""),"(",""),")","")</f>
        <v/>
      </c>
      <c r="CC747" s="0" t="str">
        <f aca="false">" "&amp;TRIM(SUBSTITUTE(SUBSTITUTE(SUBSTITUTE(SUBSTITUTE(SUBSTITUTE(SUBSTITUTE(SUBSTITUTE(SUBSTITUTE(SUBSTITUTE(SUBSTITUTE(SUBSTITUTE(SUBSTITUTE(SUBSTITUTE(SUBSTITUTE(SUBSTITUTE(SUBSTITUTE(SUBSTITUTE(SUBSTITUTE(SUBSTITUTE(SUBSTITUTE(SUBSTITUTE(SUBSTITUTE(SUBSTITUTE(SUBSTITUTE(LOWER(T747&amp;""),CHAR(10)," "),CHAR(13)," "),CHAR(9)," "),CHAR(160)," "),"."," "),","," "),"-"," "),"/"," "),"("," "),")"," "),":"," "),";"," "),"_"," "),"–"," "),"?"," "),"!"," "),"*"," "),"["," "),"]"," "),"'"," "),"#"," "),"+"," "),"&amp;"," "),"\"," "))&amp;" "</f>
        <v>  </v>
      </c>
      <c r="CD747" s="0" t="str">
        <f aca="false">" "&amp;TRIM(SUBSTITUTE(SUBSTITUTE(SUBSTITUTE(SUBSTITUTE(SUBSTITUTE(SUBSTITUTE(SUBSTITUTE(SUBSTITUTE(SUBSTITUTE(SUBSTITUTE(SUBSTITUTE(SUBSTITUTE(SUBSTITUTE(SUBSTITUTE(SUBSTITUTE(SUBSTITUTE(SUBSTITUTE(SUBSTITUTE(SUBSTITUTE(SUBSTITUTE(SUBSTITUTE(SUBSTITUTE(SUBSTITUTE(SUBSTITUTE(LOWER(AE747&amp;""),CHAR(10)," "),CHAR(13)," "),CHAR(9)," "),CHAR(160)," "),"."," "),","," "),"-"," "),"/"," "),"("," "),")"," "),":"," "),";"," "),"_"," "),"–"," "),"?"," "),"!"," "),"*"," "),"["," "),"]"," "),"'"," "),"#"," "),"+"," "),"&amp;"," "),"\"," "))&amp;" "</f>
        <v>  </v>
      </c>
      <c r="CE747" s="68" t="n">
        <f aca="false">IFERROR(IF(AND(LEN(AU747)&gt;0,LEN(AU747)=LEN(AX747),OR(TRIM(MID(SUBSTITUTE(TRIM(CC747)," ",REPT(" ",60)),1,60))="",ISNUMBER(SEARCH(" "&amp;TRIM(MID(SUBSTITUTE(TRIM(CC747)," ",REPT(" ",60)),1,60))&amp;" ",CD747))),OR(TRIM(MID(SUBSTITUTE(TRIM(CC747)," ",REPT(" ",60)),61,60))="",ISNUMBER(SEARCH(" "&amp;TRIM(MID(SUBSTITUTE(TRIM(CC747)," ",REPT(" ",60)),61,60))&amp;" ",CD747))),OR(TRIM(MID(SUBSTITUTE(TRIM(CC747)," ",REPT(" ",60)),121,60))="",ISNUMBER(SEARCH(" "&amp;TRIM(MID(SUBSTITUTE(TRIM(CC747)," ",REPT(" ",60)),121,60))&amp;" ",CD747)))),1,0),0)</f>
        <v>0</v>
      </c>
      <c r="CG747" s="68" t="n">
        <f aca="false">IFERROR(LEN(SUBSTITUTE(BF747," ",""))-SUMPRODUCT((LEN(BF747)-LEN(SUBSTITUTE(BF747," "&amp;L_NAFiller&amp;" "," ")))/(LEN(L_NAFiller)+1)*LEN(L_NAFiller)),0)</f>
        <v>0</v>
      </c>
    </row>
    <row r="748" customFormat="false" ht="39.75" hidden="false" customHeight="true" outlineLevel="0" collapsed="false">
      <c r="A748" s="57" t="s">
        <v>1482</v>
      </c>
      <c r="B748" s="57" t="s">
        <v>312</v>
      </c>
      <c r="C748" s="57" t="str">
        <f aca="false">Flights!$F$26</f>
        <v>MH0002</v>
      </c>
      <c r="D748" s="58" t="n">
        <f aca="false">Flights!$D$26</f>
        <v>46325</v>
      </c>
      <c r="E748" s="57" t="str">
        <f aca="false">Flights!$G$26&amp;"-"&amp;Flights!$H$26</f>
        <v>KUL-LHR</v>
      </c>
      <c r="F748" s="57" t="str">
        <f aca="false">Flights!$K$26</f>
        <v>BC</v>
      </c>
      <c r="G748" s="57" t="s">
        <v>459</v>
      </c>
      <c r="H748" s="57" t="s">
        <v>460</v>
      </c>
      <c r="I748" s="57" t="s">
        <v>629</v>
      </c>
      <c r="J748" s="57" t="s">
        <v>657</v>
      </c>
      <c r="K748" s="67" t="s">
        <v>501</v>
      </c>
      <c r="L748" s="67" t="s">
        <v>756</v>
      </c>
      <c r="M748" s="67" t="s">
        <v>187</v>
      </c>
      <c r="N748" s="67" t="s">
        <v>383</v>
      </c>
      <c r="O748" s="67" t="s">
        <v>632</v>
      </c>
      <c r="P748" s="57" t="s">
        <v>187</v>
      </c>
      <c r="Q748" s="59" t="n">
        <f aca="false">ROUND((Flights!$AF$26)*1440,0)/1440</f>
        <v>46325.6388888889</v>
      </c>
      <c r="R748" s="59" t="n">
        <f aca="false">Q748+(IF(AND(INDEX(TZ_DSTS,MATCH(P748,TZ_STN,0))&lt;&gt;"",Q748&gt;=INDEX(TZ_DSTS,MATCH(P748,TZ_STN,0)),Q748&lt;INDEX(TZ_DSTE,MATCH(P748,TZ_STN,0))),INDEX(TZ_DST,MATCH(P748,TZ_STN,0)),INDEX(TZ_STD,MATCH(P748,TZ_STN,0))))/24</f>
        <v>46325.9722222222</v>
      </c>
      <c r="S748" s="60"/>
      <c r="T748" s="60"/>
      <c r="U748" s="60"/>
      <c r="V748" s="60"/>
      <c r="W748" s="61"/>
      <c r="X748" s="60"/>
      <c r="Y748" s="60"/>
      <c r="Z748" s="60"/>
      <c r="AA748" s="60"/>
      <c r="AB748" s="60"/>
      <c r="AC748" s="60"/>
      <c r="AD748" s="66"/>
      <c r="AE748" s="60"/>
      <c r="AF748" s="61" t="str">
        <f aca="false">IF(AND(ISNUMBER(X748),ISNUMBER(Y748)),Y748-X748,"")</f>
        <v/>
      </c>
      <c r="AG748" s="62" t="str">
        <f aca="false">IF(ISNUMBER(AD748),AD748-(IF(AND(INDEX(TZ_DSTS,MATCH(P748,TZ_STN,0))&lt;&gt;"",(AD748-INDEX(TZ_STD,MATCH(P748,TZ_STN,0))/24)&gt;=INDEX(TZ_DSTS,MATCH(P748,TZ_STN,0)),(AD748-INDEX(TZ_STD,MATCH(P748,TZ_STN,0))/24)&lt;INDEX(TZ_DSTE,MATCH(P748,TZ_STN,0))),INDEX(TZ_DST,MATCH(P748,TZ_STN,0)),INDEX(TZ_STD,MATCH(P748,TZ_STN,0))))/24,"")</f>
        <v/>
      </c>
      <c r="AH748" s="65" t="str">
        <f aca="false">IFERROR(IF(N748="N/A – rule",IF(OR(TRIM(U748)="",TRIM(U748)="N/A",TRIM(U748)="Not started"),"N/A – RULE","INVALID – this check does not apply to this aircraft: clear the status (or correct the fleet on Flights)"),IF(TRIM(U748)="N/A",IF(AT748=0,"INVALID – N/A not permitted for this check",IF(AND(TRIM(AB748)&lt;&gt;"",TRIM(AB748)&lt;&gt;"Closed"),"INVALID – corrective action still open",IF(AND(NOT(OR(LEN(AZ748)&lt;15,ISNUMBER(MATCH(AZ748,L_Placeholder,0)))),BK748=0,CG748&gt;=8,NOT(OR(LEN(AU748)&lt;2,ISNUMBER(MATCH(AU748,L_Placeholder,0)))),BR748&gt;=3,NOT(OR(LEN(AX748)&lt;2,ISNUMBER(MATCH(AX748,L_Placeholder,0)))),BS748&gt;=3,TRIM(AE748)&lt;&gt;TRIM(T748),AX748&lt;&gt;AU748,CE748=0),"N/A – JUSTIFIED","INVALID – N/A needs a real, settled reason (not 'not applicable' / 'as above' / TBC), a named PIC and a different named verifier"))),IF(OR(TRIM(U748)="Pass",TRIM(U748)="Pass after CA"),IF(NOT(ISNUMBER(AD748)),"INVALID – completion time missing",IF(OR(OR(LEN(AU748)&lt;2,ISNUMBER(MATCH(AU748,L_Placeholder,0))),BR748&lt;3),"INVALID – PIC missing or not a named person (a role such as QA / CSM is not a name)",IF(OR(LEN(AV748)&lt;2,ISNUMBER(MATCH(AV748,L_Placeholder,0))),"INVALID – result / assessment missing",IF(OR(OR(LEN(AW748)&lt;3,ISNUMBER(MATCH(AW748,L_Placeholder,0))),SUMPRODUCT(--ISNUMBER(SEARCH(" "&amp;L_EvidencePhrase&amp;" ",BD748)))&gt;0,BI748=1),"INVALID – evidence missing, placeholder or not yet on file",IF(ISNA(MATCH(TRIM(S748),L_EvidenceType,0)),"INVALID – choose the evidence type from the list (column S)",IF(BL748=0,"INVALID – evidence ID must be the record's own ID only (e.g. SF-2210, IMG_2231, 1045521); a link / file name needs type 'Link / file path'",IF(OR(OR(LEN(AX748)&lt;2,ISNUMBER(MATCH(AX748,L_Placeholder,0))),BS748&lt;3),"INVALID – verifier missing or not a named person (a role such as QA / CSM is not a name)",IF(OR(AX748=AU748,CE748=1,AND(LEN(AU748)&gt;=4,ISNUMBER(SEARCH(AU748,AX748))),AND(LEN(AX748)&gt;=4,ISNUMBER(SEARCH(AX748,AU748)))),"INVALID – verifier must be a different, named person (not the PIC or a role)",IF(BH748=1,"INVALID – result not yet available (awaiting / TBC)",IF(BG748=1,"INVALID – result describes a problem: record Fail, then Pass after CA (or reword if it is not a problem)",IF(BV748=1,"INVALID – wording says not on board: an on-board confirmation needs the item loaded",IF(AND(AQ748=1,OR(OR(LEN(AY748)&lt;3,ISNUMBER(MATCH(AY748,L_Placeholder,0))),BJ748=1,BQ748=0)),"INVALID – batch ID missing, placeholder or not an ID (e.g. PASB-261008-BC-017)",IF(AND(AR748=1,OR(NOT(ISNUMBER(X748)),NOT(ISNUMBER(Y748)))),"INVALID – expected/actual qty missing",IF(AND(AR748=1,OR(X748&lt;=0,Y748&lt;0)),"INVALID – expected qty must be above 0 and actual not negative",IF(AH732="N/A – JUSTIFIED","INVALID – preparation row F22-T12-21 is N/A",IF(AND(AR748=1,ISNUMBER(X732),X748&lt;&gt;X732,TRIM(U748)&lt;&gt;"Pass after CA"),"INVALID – expected qty differs from preparation check F22-T12-21: record the load change as a corrective action (Pass after CA)",IF(BB748&lt;&gt;"",BB748,IF(AND(AS748=1,Documents!$J$26&lt;&gt;"ON FILE"),"INVALID – GLD not on file (Documents sheet)",IF(AND(AS748=2,Documents!$O$26&lt;&gt;"ON FILE"),"INVALID – menu checklist not on file (Documents sheet)",IF(AND(AS748=3,NOT(ISNUMBER(Flights!$AX$26))),"INVALID – enter carrying flight KUL departure (Flights AX)",IF(AND(AS748=3,OR(Flights!$AZ$26&gt;Flights!$AA$26,Flights!$AX$26&lt;Flights!$AA$26-3)),"INVALID – carrying flight (Flights AX) cannot arrive before this leg's STD, or is over 3 days early",IF(AG748&gt;AsOfUTC,"INVALID – completion time is in the future",IF(AND(ISNUMBER(BY748),AG748&lt;BY748),IF(H748="Physical uplift","INVALID – before uplift window (cannot confirm loading)","INVALID – before valid window"),IF(AG748&gt;Flights!$AA$26,"INVALID – completed after departure (cannot establish readiness)",IF(AND(H748="Preparation",AG748&gt;=IF(ISNUMBER(Flights!$BA$26),MIN(Flights!$BA$26,Flights!$AA$26),Flights!$AA$26)),"INVALID – completed after loading / departure (cannot establish readiness)",IF(AND(H748="Physical uplift",AG748&gt;Q748),"INVALID – recorded after the loading flight departed",IF(AG748&gt;Q748,"COMPLETE – LATE","COMPLETE"))))))))))))))))))))))))))),IF(TRIM(U748)="Fail","FAIL – DISCREPANCY",IF(AND(TRIM(U748)&lt;&gt;"",TRIM(U748)&lt;&gt;"Not started",TRIM(U748)&lt;&gt;"In progress"),"INVALID – unrecognised status (use the list)",IF(AsOfUTC&gt;Q748,"OVERDUE",IF(N748="Clarification required","OPEN – CLARIFICATION","OPEN"))))))),"INVALID – error value in an input cell")</f>
        <v>OPEN</v>
      </c>
      <c r="AI748" s="61" t="n">
        <f aca="false">IF(OR(AH748="N/A – RULE",AH748="N/A – JUSTIFIED"),0,1)</f>
        <v>1</v>
      </c>
      <c r="AJ748" s="61" t="n">
        <f aca="false">IF(LEFT(AH748,8)="COMPLETE",1,0)</f>
        <v>0</v>
      </c>
      <c r="AK748" s="61" t="n">
        <f aca="false">IF(AND(AI748=1,AJ748=0,AsOfUTC&gt;Q748),1,0)</f>
        <v>0</v>
      </c>
      <c r="AL748" s="61" t="n">
        <f aca="false">IFERROR(IF(AND(AI748=1,OR(TRIM(U748)="Fail",AND(TRIM(AB748)&lt;&gt;"",TRIM(AB748)&lt;&gt;"Closed"),AND(ISNUMBER(AF748),AF748&lt;&gt;0,TRIM(U748)&lt;&gt;"Pass after CA"))),1,0),1)</f>
        <v>0</v>
      </c>
      <c r="AM748" s="61" t="n">
        <f aca="false">IF(LEFT(AH748,7)="INVALID",1,0)</f>
        <v>0</v>
      </c>
      <c r="AN748" s="61" t="n">
        <f aca="false">IF(AND(N748="Clarification required",AI748=1,AJ748=0),1,0)</f>
        <v>0</v>
      </c>
      <c r="AO748" s="61" t="str">
        <f aca="false">IF(AK748=1,SUM(AK$5:AK748),"")</f>
        <v/>
      </c>
      <c r="AP748" s="61" t="str">
        <f aca="false">IF(AL748=1,SUM(AL$5:AL748),"")</f>
        <v/>
      </c>
      <c r="AQ748" s="61" t="n">
        <v>0</v>
      </c>
      <c r="AR748" s="61" t="n">
        <v>0</v>
      </c>
      <c r="AS748" s="61" t="n">
        <v>0</v>
      </c>
      <c r="AT748" s="61" t="n">
        <v>0</v>
      </c>
      <c r="AU748" s="61" t="str">
        <f aca="false">SUBSTITUTE(SUBSTITUTE(SUBSTITUTE(SUBSTITUTE(SUBSTITUTE(SUBSTITUTE(SUBSTITUTE(SUBSTITUTE(SUBSTITUTE(SUBSTITUTE(SUBSTITUTE(SUBSTITUTE(SUBSTITUTE(SUBSTITUTE(SUBSTITUTE(SUBSTITUTE(LOWER(T748&amp;""),CHAR(10),""),CHAR(13),""),CHAR(9),""),CHAR(160),"")," ",""),".",""),"-",""),"/",""),"?",""),"_",""),",",""),"[",""),"]",""),"(",""),")",""),"*","")</f>
        <v/>
      </c>
      <c r="AV748" s="61" t="str">
        <f aca="false">SUBSTITUTE(SUBSTITUTE(SUBSTITUTE(SUBSTITUTE(SUBSTITUTE(SUBSTITUTE(SUBSTITUTE(SUBSTITUTE(SUBSTITUTE(SUBSTITUTE(SUBSTITUTE(SUBSTITUTE(SUBSTITUTE(SUBSTITUTE(SUBSTITUTE(SUBSTITUTE(LOWER(V748&amp;""),CHAR(10),""),CHAR(13),""),CHAR(9),""),CHAR(160),"")," ",""),".",""),"-",""),"/",""),"?",""),"_",""),",",""),"[",""),"]",""),"(",""),")",""),"*","")</f>
        <v/>
      </c>
      <c r="AW748" s="61" t="str">
        <f aca="false">SUBSTITUTE(SUBSTITUTE(SUBSTITUTE(SUBSTITUTE(SUBSTITUTE(SUBSTITUTE(SUBSTITUTE(SUBSTITUTE(SUBSTITUTE(SUBSTITUTE(SUBSTITUTE(SUBSTITUTE(SUBSTITUTE(SUBSTITUTE(SUBSTITUTE(SUBSTITUTE(LOWER(Z748&amp;""),CHAR(10),""),CHAR(13),""),CHAR(9),""),CHAR(160),"")," ",""),".",""),"-",""),"/",""),"?",""),"_",""),",",""),"[",""),"]",""),"(",""),")",""),"*","")</f>
        <v/>
      </c>
      <c r="AX748" s="61" t="str">
        <f aca="false">SUBSTITUTE(SUBSTITUTE(SUBSTITUTE(SUBSTITUTE(SUBSTITUTE(SUBSTITUTE(SUBSTITUTE(SUBSTITUTE(SUBSTITUTE(SUBSTITUTE(SUBSTITUTE(SUBSTITUTE(SUBSTITUTE(SUBSTITUTE(SUBSTITUTE(SUBSTITUTE(LOWER(AE748&amp;""),CHAR(10),""),CHAR(13),""),CHAR(9),""),CHAR(160),"")," ",""),".",""),"-",""),"/",""),"?",""),"_",""),",",""),"[",""),"]",""),"(",""),")",""),"*","")</f>
        <v/>
      </c>
      <c r="AY748" s="61" t="str">
        <f aca="false">SUBSTITUTE(SUBSTITUTE(SUBSTITUTE(SUBSTITUTE(SUBSTITUTE(SUBSTITUTE(SUBSTITUTE(SUBSTITUTE(SUBSTITUTE(SUBSTITUTE(SUBSTITUTE(SUBSTITUTE(SUBSTITUTE(SUBSTITUTE(SUBSTITUTE(SUBSTITUTE(LOWER(W748&amp;""),CHAR(10),""),CHAR(13),""),CHAR(9),""),CHAR(160),"")," ",""),".",""),"-",""),"/",""),"?",""),"_",""),",",""),"[",""),"]",""),"(",""),")",""),"*","")</f>
        <v/>
      </c>
      <c r="AZ748" s="61" t="str">
        <f aca="false">SUBSTITUTE(SUBSTITUTE(SUBSTITUTE(SUBSTITUTE(SUBSTITUTE(SUBSTITUTE(SUBSTITUTE(SUBSTITUTE(SUBSTITUTE(SUBSTITUTE(SUBSTITUTE(SUBSTITUTE(SUBSTITUTE(SUBSTITUTE(SUBSTITUTE(SUBSTITUTE(LOWER(AC748&amp;""),CHAR(10),""),CHAR(13),""),CHAR(9),""),CHAR(160),"")," ",""),".",""),"-",""),"/",""),"?",""),"_",""),",",""),"[",""),"]",""),"(",""),")",""),"*","")</f>
        <v/>
      </c>
      <c r="BA748" s="61" t="str">
        <f aca="false">SUBSTITUTE(SUBSTITUTE(SUBSTITUTE(SUBSTITUTE(SUBSTITUTE(SUBSTITUTE(SUBSTITUTE(SUBSTITUTE(SUBSTITUTE(SUBSTITUTE(SUBSTITUTE(SUBSTITUTE(SUBSTITUTE(SUBSTITUTE(SUBSTITUTE(SUBSTITUTE(LOWER(AA748&amp;""),CHAR(10),""),CHAR(13),""),CHAR(9),""),CHAR(160),"")," ",""),".",""),"-",""),"/",""),"?",""),"_",""),",",""),"[",""),"]",""),"(",""),")",""),"*","")</f>
        <v/>
      </c>
      <c r="BB748" s="61" t="str">
        <f aca="false">IF(AND(TRIM(U748)="Pass",ISNUMBER(AF748)),IF(AF748&lt;&gt;0,"INVALID – qty variance: use Fail or Pass after CA",""),"")&amp;IF(AND(TRIM(U748)="Pass after CA",ISNUMBER(AF748)),IF(AF748&lt;&gt;0,"INVALID – after the corrective action the actual qty must equal expected (update Actual)",""),"")&amp;IF(AND(TRIM(U748)="Pass",TRIM(AB748)&lt;&gt;"",TRIM(AB748)&lt;&gt;"Closed"),"INVALID – corrective action not closed: use Fail, then Pass after CA","")&amp;IF(AND(LEN(BA748)&gt;=2,ISNA(MATCH(LEFT(BA748,255),L_Placeholder,0)),TRIM(AB748)=""),"INVALID – CA status missing for the recorded corrective action","")&amp;IF(AND(TRIM(U748)="Pass after CA",OR(OR(LEN(BA748)&lt;5,ISNUMBER(MATCH(BA748,L_Placeholder,0))),TRIM(AB748)&lt;&gt;"Closed")),"INVALID – corrective action not recorded/closed","")</f>
        <v/>
      </c>
      <c r="BC748" s="61" t="str">
        <f aca="false">" "&amp;TRIM(SUBSTITUTE(SUBSTITUTE(SUBSTITUTE(SUBSTITUTE(SUBSTITUTE(SUBSTITUTE(SUBSTITUTE(SUBSTITUTE(SUBSTITUTE(SUBSTITUTE(SUBSTITUTE(SUBSTITUTE(SUBSTITUTE(SUBSTITUTE(SUBSTITUTE(SUBSTITUTE(SUBSTITUTE(SUBSTITUTE(SUBSTITUTE(SUBSTITUTE(SUBSTITUTE(SUBSTITUTE(SUBSTITUTE(SUBSTITUTE(LOWER(V748&amp;""),CHAR(10)," "),CHAR(13)," "),CHAR(9)," "),CHAR(160)," "),"."," "),","," "),"-"," "),"/"," "),"("," "),")"," "),":"," "),";"," "),"_"," "),"–"," "),"?"," "),"!"," "),"*"," "),"["," "),"]"," "),"'"," "),"#"," "),"+"," "),"&amp;"," "),"\"," "))&amp;" "</f>
        <v>  </v>
      </c>
      <c r="BD748" s="61" t="str">
        <f aca="false">" "&amp;TRIM(SUBSTITUTE(SUBSTITUTE(SUBSTITUTE(SUBSTITUTE(SUBSTITUTE(SUBSTITUTE(SUBSTITUTE(SUBSTITUTE(SUBSTITUTE(SUBSTITUTE(SUBSTITUTE(SUBSTITUTE(SUBSTITUTE(SUBSTITUTE(SUBSTITUTE(SUBSTITUTE(SUBSTITUTE(SUBSTITUTE(SUBSTITUTE(SUBSTITUTE(SUBSTITUTE(SUBSTITUTE(SUBSTITUTE(SUBSTITUTE(LOWER(Z748&amp;""),CHAR(10)," "),CHAR(13)," "),CHAR(9)," "),CHAR(160)," "),"."," "),","," "),"-"," "),"/"," "),"("," "),")"," "),":"," "),";"," "),"_"," "),"–"," "),"?"," "),"!"," "),"*"," "),"["," "),"]"," "),"'"," "),"#"," "),"+"," "),"&amp;"," "),"\"," "))&amp;" "</f>
        <v>  </v>
      </c>
      <c r="BE748" s="61" t="str">
        <f aca="false">" "&amp;TRIM(SUBSTITUTE(SUBSTITUTE(SUBSTITUTE(SUBSTITUTE(SUBSTITUTE(SUBSTITUTE(SUBSTITUTE(SUBSTITUTE(SUBSTITUTE(SUBSTITUTE(SUBSTITUTE(SUBSTITUTE(SUBSTITUTE(SUBSTITUTE(SUBSTITUTE(SUBSTITUTE(SUBSTITUTE(SUBSTITUTE(SUBSTITUTE(SUBSTITUTE(SUBSTITUTE(SUBSTITUTE(SUBSTITUTE(SUBSTITUTE(LOWER(W748&amp;""),CHAR(10)," "),CHAR(13)," "),CHAR(9)," "),CHAR(160)," "),"."," "),","," "),"-"," "),"/"," "),"("," "),")"," "),":"," "),";"," "),"_"," "),"–"," "),"?"," "),"!"," "),"*"," "),"["," "),"]"," "),"'"," "),"#"," "),"+"," "),"&amp;"," "),"\"," "))&amp;" "</f>
        <v>  </v>
      </c>
      <c r="BF748" s="61" t="str">
        <f aca="false">" "&amp;TRIM(SUBSTITUTE(SUBSTITUTE(SUBSTITUTE(SUBSTITUTE(SUBSTITUTE(SUBSTITUTE(SUBSTITUTE(SUBSTITUTE(SUBSTITUTE(SUBSTITUTE(SUBSTITUTE(SUBSTITUTE(SUBSTITUTE(SUBSTITUTE(SUBSTITUTE(SUBSTITUTE(SUBSTITUTE(SUBSTITUTE(SUBSTITUTE(SUBSTITUTE(SUBSTITUTE(SUBSTITUTE(SUBSTITUTE(SUBSTITUTE(LOWER(AC748&amp;""),CHAR(10)," "),CHAR(13)," "),CHAR(9)," "),CHAR(160)," "),"."," "),","," "),"-"," "),"/"," "),"("," "),")"," "),":"," "),";"," "),"_"," "),"–"," "),"?"," "),"!"," "),"*"," "),"["," "),"]"," "),"'"," "),"#"," "),"+"," "),"&amp;"," "),"\"," "))&amp;" "</f>
        <v>  </v>
      </c>
      <c r="BG748" s="61" t="n">
        <f aca="false">IFERROR(IF(AND(TRIM(U748)="Pass",SUMPRODUCT((LEN(BC748)-LEN(SUBSTITUTE(BC748," "&amp;L_ResultBad&amp;" "," ")))/(LEN(L_ResultBad)+1))&gt;SUMPRODUCT((LEN(BC748)-LEN(SUBSTITUTE(BC748," "&amp;L_NegPhrase&amp;" "," ")))/(LEN(L_NegPhrase)+1))),1,0),0)</f>
        <v>0</v>
      </c>
      <c r="BH748" s="61" t="n">
        <f aca="false">IFERROR(IF(SUMPRODUCT((LEN(BC748)-LEN(SUBSTITUTE(BC748," "&amp;L_Pending&amp;" "," ")))/(LEN(L_Pending)+1))&gt;SUMPRODUCT((LEN(BC748)-LEN(SUBSTITUTE(BC748," "&amp;L_PendNeg&amp;" "," ")))/(LEN(L_PendNeg)+1)),1,0),1)</f>
        <v>0</v>
      </c>
      <c r="BI748" s="61" t="n">
        <f aca="false">IFERROR(IF(SUMPRODUCT((LEN(BD748)-LEN(SUBSTITUTE(BD748," "&amp;L_PendStrict&amp;" "," ")))/(LEN(L_PendStrict)+1))&gt;SUMPRODUCT((LEN(BD748)-LEN(SUBSTITUTE(BD748," "&amp;L_PendNeg&amp;" "," ")))/(LEN(L_PendNeg)+1)),1,0),1)</f>
        <v>0</v>
      </c>
      <c r="BJ748" s="61" t="n">
        <f aca="false">IFERROR(IF(SUMPRODUCT((LEN(BE748)-LEN(SUBSTITUTE(BE748," "&amp;L_Pending&amp;" "," ")))/(LEN(L_Pending)+1))&gt;SUMPRODUCT((LEN(BE748)-LEN(SUBSTITUTE(BE748," "&amp;L_PendNeg&amp;" "," ")))/(LEN(L_PendNeg)+1)),1,0),1)</f>
        <v>0</v>
      </c>
      <c r="BK748" s="61" t="n">
        <f aca="false">IFERROR(IF(SUMPRODUCT((LEN(BF748)-LEN(SUBSTITUTE(BF748," "&amp;L_PendStrict&amp;" "," ")))/(LEN(L_PendStrict)+1))&gt;SUMPRODUCT((LEN(BF748)-LEN(SUBSTITUTE(BF748," "&amp;L_PendNeg&amp;" "," ")))/(LEN(L_PendNeg)+1)),1,0),1)</f>
        <v>0</v>
      </c>
      <c r="BL748" s="61" t="n">
        <f aca="false">IF(ISNA(MATCH(TRIM(S748),L_EvidenceType,0)),0,BZ748)</f>
        <v>0</v>
      </c>
      <c r="BM748" s="61" t="str">
        <f aca="false">SUBSTITUTE(SUBSTITUTE(SUBSTITUTE(SUBSTITUTE(SUBSTITUTE(SUBSTITUTE(SUBSTITUTE(SUBSTITUTE(SUBSTITUTE(LOWER(Z748&amp;""),"1","0"),"2","0"),"3","0"),"4","0"),"5","0"),"6","0"),"7","0"),"8","0"),"9","0")</f>
        <v/>
      </c>
      <c r="BN748" s="61" t="str">
        <f aca="false">SUBSTITUTE(SUBSTITUTE(SUBSTITUTE(SUBSTITUTE(SUBSTITUTE(SUBSTITUTE(SUBSTITUTE(SUBSTITUTE(SUBSTITUTE(SUBSTITUTE(SUBSTITUTE(SUBSTITUTE(SUBSTITUTE(SUBSTITUTE(SUBSTITUTE(SUBSTITUTE(SUBSTITUTE(SUBSTITUTE(SUBSTITUTE(SUBSTITUTE(SUBSTITUTE(SUBSTITUTE(SUBSTITUTE(SUBSTITUTE(SUBSTITUTE(BM748,"b","a"),"c","a"),"d","a"),"e","a"),"f","a"),"g","a"),"h","a"),"i","a"),"j","a"),"k","a"),"l","a"),"m","a"),"n","a"),"o","a"),"p","a"),"q","a"),"r","a"),"s","a"),"t","a"),"u","a"),"v","a"),"w","a"),"x","a"),"y","a"),"z","a")</f>
        <v/>
      </c>
      <c r="BO748" s="61" t="str">
        <f aca="false">SUBSTITUTE(SUBSTITUTE(SUBSTITUTE(SUBSTITUTE(SUBSTITUTE(SUBSTITUTE(SUBSTITUTE(SUBSTITUTE(SUBSTITUTE(LOWER(W748&amp;""),"1","0"),"2","0"),"3","0"),"4","0"),"5","0"),"6","0"),"7","0"),"8","0"),"9","0")</f>
        <v/>
      </c>
      <c r="BP748" s="61" t="str">
        <f aca="false">SUBSTITUTE(SUBSTITUTE(SUBSTITUTE(SUBSTITUTE(SUBSTITUTE(SUBSTITUTE(SUBSTITUTE(SUBSTITUTE(SUBSTITUTE(SUBSTITUTE(SUBSTITUTE(SUBSTITUTE(SUBSTITUTE(SUBSTITUTE(SUBSTITUTE(SUBSTITUTE(SUBSTITUTE(SUBSTITUTE(SUBSTITUTE(SUBSTITUTE(SUBSTITUTE(SUBSTITUTE(SUBSTITUTE(SUBSTITUTE(SUBSTITUTE(BO748,"b","a"),"c","a"),"d","a"),"e","a"),"f","a"),"g","a"),"h","a"),"i","a"),"j","a"),"k","a"),"l","a"),"m","a"),"n","a"),"o","a"),"p","a"),"q","a"),"r","a"),"s","a"),"t","a"),"u","a"),"v","a"),"w","a"),"x","a"),"y","a"),"z","a")</f>
        <v/>
      </c>
      <c r="BQ748" s="61" t="n">
        <f aca="false">IFERROR(IF(AND(ISERROR(SEARCH(" mh"," "&amp;LOWER(W748))),ISNA(MATCH(LEFT(TRIM(BP748),255),{"0000a","000a","00a","0000aa","000aa","00aa","0aa","0000aaa","000aaa","00a00","0a00","0000-0000","00:00","a00","a0","00.00.0000","00/00/0000","00-00-0000","0000-00-00","0000/00/00","0000.00.00","00.00.00","00/00/00","00-00-00","0.00.0000","0/00/0000","0-00-0000"},0)),ISNA(MATCH(LEFT(TRIM(CA748),255),{"0000a","000a","00a","0000aa","000aa","00aa","0aa","0000aaa","000aaa","00a00","0a00","0000-0000","00:00","a00","a0","00.00.0000","00/00/0000","00-00-0000","0000-00-00","0000/00/00","0000.00.00","00.00.00","00/00/00","00-00-00","0.00.0000","0/00/0000","0-00-0000"},0)),LEN(CB748)&gt;=3,NOT(OR(SUBSTITUTE(CB748,"0","")="",AND(LEN(CB748)&gt;=4,CB748=REPT(LEFT(CB748),LEN(CB748))),ISNUMBER(MATCH(CB748,{"123","1234","12345","123456","1234567","12345678","0123","01234","012345","98765","987654","54321"},0)),AND(LEN(CB748)=8,LEFT(CB748,3)="202"))),OR(AND((LEN(CA748)-LEN(SUBSTITUTE(CA748,"a","")))&gt;=1,SUMPRODUCT(--ISNUMBER(SEARCH({"a0","a-0","a_0","a/0","a.0","a#0","0a","0-a","0_a","0/a"},BP748)))&gt;0),ISNUMBER(SEARCH("000000",BP748)))),1,0),0)</f>
        <v>0</v>
      </c>
      <c r="BR748" s="61" t="n">
        <f aca="false">IFERROR(LEN(SUBSTITUTE(CC748," ",""))-SUMPRODUCT((LEN(CC748)-LEN(SUBSTITUTE(CC748," "&amp;L_Role&amp;" "," ")))/(LEN(L_Role)+1)*LEN(L_Role)),0)</f>
        <v>0</v>
      </c>
      <c r="BS748" s="61" t="n">
        <f aca="false">IFERROR(LEN(SUBSTITUTE(CD748," ",""))-SUMPRODUCT((LEN(CD748)-LEN(SUBSTITUTE(CD748," "&amp;L_Role&amp;" "," ")))/(LEN(L_Role)+1)*LEN(L_Role)),0)</f>
        <v>0</v>
      </c>
      <c r="BT7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M748,"revision",""),"version",""),"jan",""),"feb",""),"mar",""),"apr",""),"may",""),"jun",""),"jul",""),"aug",""),"sep",""),"oct",""),"nov",""),"dec",""),"utc",""),"gmt",""),"myt",""),"bst",""),"rev",""),"ver",""),"b","a"),"c","a"),"d","a"),"e","a"),"f","a"),"g","a"),"h","a"),"i","a"),"j","a"),"k","a"),"l","a"),"m","a"),"n","a"),"o","a"),"p","a"),"q","a"),"r","a"),"s","a"),"t","a"),"u","a"),"v","a"),"w","a"),"x","a"),"y","a"),"z","a")</f>
        <v/>
      </c>
      <c r="BU748" s="61" t="str">
        <f aca="false">SUBSTITUTE(SUBSTITUTE(SUBSTITUTE(SUBSTITUTE(SUBSTITUTE(SUBSTITUTE(SUBSTITUTE(SUBSTITUTE(SUBSTITUTE(SUBSTITUTE(LEFT(BM748,FIND("0",BM748&amp;"0")-1),"-",""),"_",""),"/",""),".",""),"#",""),"\\",""),":","")," ",""),"(",""),")","")</f>
        <v/>
      </c>
      <c r="BV748" s="61" t="n">
        <f aca="false">IFERROR(IF(OR(SUMPRODUCT((LEN(BC748)-LEN(SUBSTITUTE(BC748," "&amp;L_NotLoaded&amp;" "," ")))/(LEN(L_NotLoaded)+1))&gt;SUMPRODUCT((LEN(BC748)-LEN(SUBSTITUTE(BC748," "&amp;L_NotLoadedNeg&amp;" "," ")))/(LEN(L_NotLoadedNeg)+1)),SUMPRODUCT((LEN(BD748)-LEN(SUBSTITUTE(BD748," "&amp;L_NotLoaded&amp;" "," ")))/(LEN(L_NotLoaded)+1))&gt;SUMPRODUCT((LEN(BD748)-LEN(SUBSTITUTE(BD748," "&amp;L_NotLoadedNeg&amp;" "," ")))/(LEN(L_NotLoadedNeg)+1))),1,0),0)</f>
        <v>0</v>
      </c>
      <c r="BW748" s="61"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Z748&amp;""),"a",""),"b",""),"c",""),"d",""),"e",""),"f",""),"g",""),"h",""),"i",""),"j",""),"k",""),"l",""),"m",""),"n",""),"o",""),"p",""),"q",""),"r",""),"s",""),"t",""),"u",""),"v",""),"w",""),"x",""),"y",""),"z",""),"-",""),"_",""),"/",""),".",""),"#",""),"\\",""),":","")," ",""),"(",""),")","")</f>
        <v/>
      </c>
      <c r="BX748" s="61" t="str">
        <f aca="false">SUBSTITUTE(SUBSTITUTE(SUBSTITUTE(SUBSTITUTE(SUBSTITUTE(SUBSTITUTE(SUBSTITUTE(SUBSTITUTE(SUBSTITUTE(SUBSTITUTE(SUBSTITUTE(BM748,"0",""),"-",""),"_",""),"/",""),".",""),"#",""),"\\",""),":","")," ",""),"(",""),")","")</f>
        <v/>
      </c>
      <c r="BY748" s="62" t="n">
        <f aca="false">IF(ISNUMBER(Flights!$AZ$26),MAX(Q748-UpliftWindowH/24,Flights!$AZ$26),Q748-UpliftWindowH/24)</f>
        <v>46325.3888888889</v>
      </c>
      <c r="BZ748" s="61" t="n">
        <f aca="false">IFERROR(IF(IF(TRIM(S748)="Link / file path",AND(LEN(TRIM(Z748))&gt;=5,SUMPRODUCT(--ISNUMBER(SEARCH({"http","www.","\\",":\",".pdf",".jpg",".jpeg",".png",".heic",".xls",".doc",".msg",".eml",".ppt",".txt",".zip"},Z748)))&gt;0),AND(ISERROR(FIND(" ",TRIM(Z748))),NOT(OR(SUMPRODUCT(--ISNUMBER(FIND({",",";","&amp;","+"},Z748)))&gt;0,SUMPRODUCT(--ISNUMBER(SEARCH({"0/aa","0\\aa"},BN748)))&gt;0)),NOT(SUMPRODUCT(--ISNUMBER(SEARCH({"http","www.","\\",":\",".pdf",".jpg",".jpeg",".png",".heic",".xls",".doc",".msg",".eml",".ppt",".txt",".zip"},Z748)))&gt;0),NOT(LOWER(TRIM(Z748))=LOWER(Flights!$F$26)),ISNA(MATCH(BU748,{"mh","rev","revision","ver","version","v","r","a","b","seat","tray","row","gate","bay","stand","page","pg","item","line","no","cart","galley","flight","flt","table","box","bag","oven","etd","eta","std","sta","atd","ata","qty","pax","x","time","tel","ph","mob","day","wk","week","utc","gmt","myt","lt"},0)),NOT(OR(ISNUMBER(MATCH(LEFT(BN748,255),{"0000a","000a","00a","0000aa","000aa","00aa","0aa","0000aaa","000aaa","00a00","0a00","0000-0000","00:00","a00","a0","00.00.0000","00/00/0000","00-00-0000","0000-00-00","0000/00/00","0000.00.00","00.00.00","00/00/00","00-00-00","0.00.0000","0/00/0000","0-00-0000"},0)),ISNUMBER(MATCH(LEFT(BT748,255),{"0000a","000a","00a","0000aa","000aa","00aa","0aa","0000aaa","000aaa","00a00","0a00","0000-0000","00:00","a00","a0","00.00.0000","00/00/0000","00-00-0000","0000-00-00","0000/00/00","0000.00.00","00.00.00","00/00/00","00-00-00","0.00.0000","0/00/0000","0-00-0000"},0)))),NOT(OR(AND(BW748&lt;&gt;"",SUBSTITUTE(BW748,"0","")=""),AND(LEN(BW748)&gt;=4,BW748=REPT(LEFT(BW748),LEN(BW748))),ISNUMBER(MATCH(BW748,{"123","1234","12345","123456","1234567","12345678","0123","01234","012345","98765","987654","54321"},0)),ISNUMBER(MATCH(BX748,{"x","xx","xxx","xxxx","xxxxx","abc","abcd","nil","na","nan","test","tbc","tba","tbd","dummy","sample","example","eg","zz","zzz","none","null","xyz","qwe","asd","id","ref"},0)),AND(LEN(BW748)=8,BX748="",OR(LEFT(BW748,3)="202",ISNUMBER(MATCH(RIGHT(BW748,4),{"2025","2026","2027"},0)))))),OR(AND((LEN(BT748)-LEN(SUBSTITUTE(BT748,"a","")))&gt;=1,(LEN(BN748)-LEN(SUBSTITUTE(BN748,"0","")))&gt;=2,SUMPRODUCT(--ISNUMBER(SEARCH({"a0","a-0","a_0","a/0","a.0","a#0","0a","0-a","0_a","0/a"},BN748)))&gt;0),AND((LEN(BN748)-LEN(SUBSTITUTE(BN748,"a","")))=0,(LEN(BN748)-LEN(SUBSTITUTE(BN748,"0","")))&gt;=5)))),1,0),0)</f>
        <v>0</v>
      </c>
      <c r="CA7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BO748,"revision",""),"version",""),"jan",""),"feb",""),"mar",""),"apr",""),"may",""),"jun",""),"jul",""),"aug",""),"sep",""),"oct",""),"nov",""),"dec",""),"utc",""),"gmt",""),"myt",""),"bst",""),"rev",""),"ver",""),"b","a"),"c","a"),"d","a"),"e","a"),"f","a"),"g","a"),"h","a"),"i","a"),"j","a"),"k","a"),"l","a"),"m","a"),"n","a"),"o","a"),"p","a"),"q","a"),"r","a"),"s","a"),"t","a"),"u","a"),"v","a"),"w","a"),"x","a"),"y","a"),"z","a")</f>
        <v/>
      </c>
      <c r="CB74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W748&amp;""),"a",""),"b",""),"c",""),"d",""),"e",""),"f",""),"g",""),"h",""),"i",""),"j",""),"k",""),"l",""),"m",""),"n",""),"o",""),"p",""),"q",""),"r",""),"s",""),"t",""),"u",""),"v",""),"w",""),"x",""),"y",""),"z",""),"-",""),"_",""),"/",""),".",""),"#",""),"\\",""),":","")," ",""),"(",""),")","")</f>
        <v/>
      </c>
      <c r="CC748" s="0" t="str">
        <f aca="false">" "&amp;TRIM(SUBSTITUTE(SUBSTITUTE(SUBSTITUTE(SUBSTITUTE(SUBSTITUTE(SUBSTITUTE(SUBSTITUTE(SUBSTITUTE(SUBSTITUTE(SUBSTITUTE(SUBSTITUTE(SUBSTITUTE(SUBSTITUTE(SUBSTITUTE(SUBSTITUTE(SUBSTITUTE(SUBSTITUTE(SUBSTITUTE(SUBSTITUTE(SUBSTITUTE(SUBSTITUTE(SUBSTITUTE(SUBSTITUTE(SUBSTITUTE(LOWER(T748&amp;""),CHAR(10)," "),CHAR(13)," "),CHAR(9)," "),CHAR(160)," "),"."," "),","," "),"-"," "),"/"," "),"("," "),")"," "),":"," "),";"," "),"_"," "),"–"," "),"?"," "),"!"," "),"*"," "),"["," "),"]"," "),"'"," "),"#"," "),"+"," "),"&amp;"," "),"\"," "))&amp;" "</f>
        <v>  </v>
      </c>
      <c r="CD748" s="0" t="str">
        <f aca="false">" "&amp;TRIM(SUBSTITUTE(SUBSTITUTE(SUBSTITUTE(SUBSTITUTE(SUBSTITUTE(SUBSTITUTE(SUBSTITUTE(SUBSTITUTE(SUBSTITUTE(SUBSTITUTE(SUBSTITUTE(SUBSTITUTE(SUBSTITUTE(SUBSTITUTE(SUBSTITUTE(SUBSTITUTE(SUBSTITUTE(SUBSTITUTE(SUBSTITUTE(SUBSTITUTE(SUBSTITUTE(SUBSTITUTE(SUBSTITUTE(SUBSTITUTE(LOWER(AE748&amp;""),CHAR(10)," "),CHAR(13)," "),CHAR(9)," "),CHAR(160)," "),"."," "),","," "),"-"," "),"/"," "),"("," "),")"," "),":"," "),";"," "),"_"," "),"–"," "),"?"," "),"!"," "),"*"," "),"["," "),"]"," "),"'"," "),"#"," "),"+"," "),"&amp;"," "),"\"," "))&amp;" "</f>
        <v>  </v>
      </c>
      <c r="CE748" s="68" t="n">
        <f aca="false">IFERROR(IF(AND(LEN(AU748)&gt;0,LEN(AU748)=LEN(AX748),OR(TRIM(MID(SUBSTITUTE(TRIM(CC748)," ",REPT(" ",60)),1,60))="",ISNUMBER(SEARCH(" "&amp;TRIM(MID(SUBSTITUTE(TRIM(CC748)," ",REPT(" ",60)),1,60))&amp;" ",CD748))),OR(TRIM(MID(SUBSTITUTE(TRIM(CC748)," ",REPT(" ",60)),61,60))="",ISNUMBER(SEARCH(" "&amp;TRIM(MID(SUBSTITUTE(TRIM(CC748)," ",REPT(" ",60)),61,60))&amp;" ",CD748))),OR(TRIM(MID(SUBSTITUTE(TRIM(CC748)," ",REPT(" ",60)),121,60))="",ISNUMBER(SEARCH(" "&amp;TRIM(MID(SUBSTITUTE(TRIM(CC748)," ",REPT(" ",60)),121,60))&amp;" ",CD748)))),1,0),0)</f>
        <v>0</v>
      </c>
      <c r="CG748" s="68" t="n">
        <f aca="false">IFERROR(LEN(SUBSTITUTE(BF748," ",""))-SUMPRODUCT((LEN(BF748)-LEN(SUBSTITUTE(BF748," "&amp;L_NAFiller&amp;" "," ")))/(LEN(L_NAFiller)+1)*LEN(L_NAFiller)),0)</f>
        <v>0</v>
      </c>
    </row>
  </sheetData>
  <sheetProtection sheet="true" formatCells="false" formatColumns="false" formatRows="false" autoFilter="false"/>
  <autoFilter ref="A4:AS748"/>
  <mergeCells count="1">
    <mergeCell ref="D2:J2"/>
  </mergeCells>
  <conditionalFormatting sqref="AH5:AH748">
    <cfRule type="expression" priority="2" aboveAverage="0" equalAverage="0" bottom="0" percent="0" rank="0" text="" dxfId="17">
      <formula>ISNUMBER(SEARCH("CHECK WORDING",AH5))</formula>
    </cfRule>
    <cfRule type="expression" priority="3" aboveAverage="0" equalAverage="0" bottom="0" percent="0" rank="0" text="" dxfId="23">
      <formula>LEFT(AH5,8)="COMPLETE"</formula>
    </cfRule>
    <cfRule type="expression" priority="4" aboveAverage="0" equalAverage="0" bottom="0" percent="0" rank="0" text="" dxfId="24">
      <formula>OR(LEFT(AH5,7)="INVALID",AH5="OVERDUE",LEFT(AH5,4)="FAIL")</formula>
    </cfRule>
    <cfRule type="expression" priority="5" aboveAverage="0" equalAverage="0" bottom="0" percent="0" rank="0" text="" dxfId="17">
      <formula>LEFT(AH5,4)="OPEN"</formula>
    </cfRule>
    <cfRule type="expression" priority="6" aboveAverage="0" equalAverage="0" bottom="0" percent="0" rank="0" text="" dxfId="25">
      <formula>LEFT(AH5,3)="N/A"</formula>
    </cfRule>
  </conditionalFormatting>
  <conditionalFormatting sqref="A5:S748">
    <cfRule type="expression" priority="7" aboveAverage="0" equalAverage="0" bottom="0" percent="0" rank="0" text="" dxfId="26">
      <formula>$AH5="N/A – RULE"</formula>
    </cfRule>
  </conditionalFormatting>
  <conditionalFormatting sqref="N5:N748">
    <cfRule type="cellIs" priority="8" operator="equal" aboveAverage="0" equalAverage="0" bottom="0" percent="0" rank="0" text="" dxfId="0">
      <formula>"Clarification required"</formula>
    </cfRule>
  </conditionalFormatting>
  <dataValidations count="5">
    <dataValidation allowBlank="true" errorStyle="stop" operator="between" prompt="Pass needs completion time, evidence and verifier. N/A needs justification and verifier." promptTitle="Status" showDropDown="false" showErrorMessage="true" showInputMessage="true" sqref="U5:U748" type="list">
      <formula1>L_Status</formula1>
      <formula2>0</formula2>
    </dataValidation>
    <dataValidation allowBlank="true" error="Choose an evidence type from the list." errorStyle="stop" errorTitle="Evidence type" operator="between" prompt="Choose the kind of record, then enter ONLY its ID in column Z (e.g. SF-2210, IMG_2231, CO/26/331, 1045521), or a link / file path." promptTitle="Evidence type" showDropDown="false" showErrorMessage="true" showInputMessage="true" sqref="S5:S748" type="list">
      <formula1>L_EvidenceType</formula1>
      <formula2>0</formula2>
    </dataValidation>
    <dataValidation allowBlank="true" error="Choose Open or Closed from the list." errorStyle="stop" errorTitle="CA status" operator="between" showDropDown="false" showErrorMessage="true" showInputMessage="false" sqref="AB5:AB748" type="list">
      <formula1>L_CA</formula1>
      <formula2>0</formula2>
    </dataValidation>
    <dataValidation allowBlank="true" error="Enter a date-time between Jul and Dec 2026." errorStyle="stop" errorTitle="Date-time required" operator="between" prompt="Local time at the check station (column P), e.g. 01/10/2026 14:30." promptTitle="Completion time" showDropDown="false" showErrorMessage="true" showInputMessage="true" sqref="AD5:AD748" type="decimal">
      <formula1>46204</formula1>
      <formula2>46419</formula2>
    </dataValidation>
    <dataValidation allowBlank="true" error="Quantity must be a number &gt;= 0." errorStyle="stop" operator="greaterThanOrEqual" showDropDown="false" showErrorMessage="true" showInputMessage="false" sqref="X5:Y748" type="decimal">
      <formula1>0</formula1>
      <formula2>0</formula2>
    </dataValidation>
  </dataValidations>
  <printOptions headings="false" gridLines="false" gridLinesSet="true" horizontalCentered="false" verticalCentered="false"/>
  <pageMargins left="0.3" right="0.3" top="1" bottom="1" header="0.511811023622047" footer="0.5"/>
  <pageSetup paperSize="9" scale="100" fitToWidth="6" fitToHeight="0" pageOrder="downThenOver" orientation="landscape" blackAndWhite="false" draft="false" cellComments="none" horizontalDpi="300" verticalDpi="300" copies="1"/>
  <headerFooter differentFirst="false" differentOddEven="false">
    <oddHeader/>
    <oddFooter>&amp;C&amp;8 &amp;A  |  Page &amp;P of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10"/>
    <col collapsed="false" customWidth="true" hidden="false" outlineLevel="0" max="5" min="4" style="0" width="9"/>
    <col collapsed="false" customWidth="true" hidden="false" outlineLevel="0" max="6" min="6" style="0" width="16"/>
    <col collapsed="false" customWidth="true" hidden="false" outlineLevel="0" max="7" min="7" style="0" width="10"/>
    <col collapsed="false" customWidth="true" hidden="false" outlineLevel="0" max="8" min="8" style="0" width="11"/>
    <col collapsed="false" customWidth="true" hidden="false" outlineLevel="0" max="9" min="9" style="0" width="34"/>
    <col collapsed="false" customWidth="true" hidden="false" outlineLevel="0" max="10" min="10" style="0" width="14"/>
    <col collapsed="false" customWidth="true" hidden="false" outlineLevel="0" max="11" min="11" style="0" width="16"/>
    <col collapsed="false" customWidth="true" hidden="false" outlineLevel="0" max="12" min="12" style="0" width="10"/>
    <col collapsed="false" customWidth="true" hidden="false" outlineLevel="0" max="13" min="13" style="0" width="11"/>
    <col collapsed="false" customWidth="true" hidden="false" outlineLevel="0" max="14" min="14" style="0" width="34"/>
    <col collapsed="false" customWidth="true" hidden="false" outlineLevel="0" max="15" min="15" style="0" width="14"/>
    <col collapsed="false" customWidth="true" hidden="false" outlineLevel="0" max="16" min="16" style="0" width="10"/>
    <col collapsed="false" customWidth="true" hidden="false" outlineLevel="0" max="17" min="17" style="0" width="40"/>
    <col collapsed="false" customWidth="true" hidden="true" outlineLevel="0" max="29" min="18" style="0" width="13"/>
  </cols>
  <sheetData>
    <row r="1" customFormat="false" ht="24" hidden="false" customHeight="true" outlineLevel="0" collapsed="false">
      <c r="A1" s="54" t="s">
        <v>405</v>
      </c>
    </row>
    <row r="2" customFormat="false" ht="54" hidden="false" customHeight="true" outlineLevel="0" collapsed="false">
      <c r="C2" s="55" t="s">
        <v>1483</v>
      </c>
      <c r="D2" s="55"/>
      <c r="E2" s="55"/>
      <c r="F2" s="55"/>
      <c r="G2" s="55"/>
      <c r="H2" s="55"/>
      <c r="I2" s="55"/>
    </row>
    <row r="4" customFormat="false" ht="42" hidden="false" customHeight="true" outlineLevel="0" collapsed="false">
      <c r="A4" s="56" t="s">
        <v>137</v>
      </c>
      <c r="B4" s="56" t="s">
        <v>140</v>
      </c>
      <c r="C4" s="56" t="s">
        <v>108</v>
      </c>
      <c r="D4" s="56" t="s">
        <v>109</v>
      </c>
      <c r="E4" s="56" t="s">
        <v>111</v>
      </c>
      <c r="F4" s="56" t="s">
        <v>1484</v>
      </c>
      <c r="G4" s="56" t="s">
        <v>1485</v>
      </c>
      <c r="H4" s="56" t="s">
        <v>1486</v>
      </c>
      <c r="I4" s="56" t="s">
        <v>1487</v>
      </c>
      <c r="J4" s="56" t="s">
        <v>1488</v>
      </c>
      <c r="K4" s="56" t="s">
        <v>1489</v>
      </c>
      <c r="L4" s="56" t="s">
        <v>1490</v>
      </c>
      <c r="M4" s="56" t="s">
        <v>1491</v>
      </c>
      <c r="N4" s="56" t="s">
        <v>1492</v>
      </c>
      <c r="O4" s="56" t="s">
        <v>1493</v>
      </c>
      <c r="P4" s="56" t="s">
        <v>1494</v>
      </c>
      <c r="Q4" s="56" t="s">
        <v>1495</v>
      </c>
    </row>
    <row r="5" customFormat="false" ht="30" hidden="false" customHeight="true" outlineLevel="0" collapsed="false">
      <c r="A5" s="70" t="s">
        <v>183</v>
      </c>
      <c r="B5" s="57" t="str">
        <f aca="false">Flights!F5</f>
        <v>MH0001</v>
      </c>
      <c r="C5" s="71" t="n">
        <f aca="false">Flights!D5</f>
        <v>46303</v>
      </c>
      <c r="D5" s="70" t="str">
        <f aca="false">Flights!G5&amp;"-"&amp;Flights!H5</f>
        <v>LHR-KUL</v>
      </c>
      <c r="E5" s="70" t="str">
        <f aca="false">Flights!L5</f>
        <v>A350</v>
      </c>
      <c r="F5" s="60"/>
      <c r="G5" s="60"/>
      <c r="H5" s="72"/>
      <c r="I5" s="60"/>
      <c r="J5" s="73" t="str">
        <f aca="false">IFERROR(IF(AND(AND(LEN(SUBSTITUTE(SUBSTITUTE(SUBSTITUTE(SUBSTITUTE(SUBSTITUTE(SUBSTITUTE(SUBSTITUTE(SUBSTITUTE(SUBSTITUTE(SUBSTITUTE(SUBSTITUTE(SUBSTITUTE(SUBSTITUTE(SUBSTITUTE(SUBSTITUTE(SUBSTITUTE(LOWER(F5&amp;""),CHAR(10),""),CHAR(13),""),CHAR(9),""),CHAR(160),"")," ",""),".",""),"-",""),"/",""),"?",""),"_",""),",",""),"[",""),"]",""),"(",""),")",""),"*",""))&gt;=3,NOT(ISNUMBER(MATCH(LEFT(SUBSTITUTE(SUBSTITUTE(SUBSTITUTE(SUBSTITUTE(SUBSTITUTE(SUBSTITUTE(SUBSTITUTE(SUBSTITUTE(SUBSTITUTE(SUBSTITUTE(SUBSTITUTE(SUBSTITUTE(SUBSTITUTE(SUBSTITUTE(SUBSTITUTE(SUBSTITUTE(LOWER(F5&amp;""),CHAR(10),""),CHAR(13),""),CHAR(9),""),CHAR(160),"")," ",""),".",""),"-",""),"/",""),"?",""),"_",""),",",""),"[",""),"]",""),"(",""),")",""),"*",""),255),L_Placeholder,0)))),AND(SUMPRODUCT(--ISNUMBER(FIND({"0","1","2","3","4","5","6","7","8","9"},F5)))&gt;0,LOWER(TRIM(F5))&lt;&gt;LOWER(Flights!$F$5),NOT(AND(LEFT(LOWER(TRIM(F5)),2)="mh",ISNUMBER(--MID(TRIM(F5),3,6))))),AND(LEN(SUBSTITUTE(SUBSTITUTE(SUBSTITUTE(SUBSTITUTE(SUBSTITUTE(SUBSTITUTE(SUBSTITUTE(SUBSTITUTE(SUBSTITUTE(SUBSTITUTE(SUBSTITUTE(SUBSTITUTE(SUBSTITUTE(SUBSTITUTE(SUBSTITUTE(SUBSTITUTE(LOWER(G5&amp;""),CHAR(10),""),CHAR(13),""),CHAR(9),""),CHAR(160),"")," ",""),".",""),"-",""),"/",""),"?",""),"_",""),",",""),"[",""),"]",""),"(",""),")",""),"*",""))&gt;=1,NOT(ISNUMBER(MATCH(LEFT(SUBSTITUTE(SUBSTITUTE(SUBSTITUTE(SUBSTITUTE(SUBSTITUTE(SUBSTITUTE(SUBSTITUTE(SUBSTITUTE(SUBSTITUTE(SUBSTITUTE(SUBSTITUTE(SUBSTITUTE(SUBSTITUTE(SUBSTITUTE(SUBSTITUTE(SUBSTITUTE(LOWER(G5&amp;""),CHAR(10),""),CHAR(13),""),CHAR(9),""),CHAR(160),"")," ",""),".",""),"-",""),"/",""),"?",""),"_",""),",",""),"[",""),"]",""),"(",""),")",""),"*",""),255),L_Placeholder,0)))),ISNUMBER(H5),H5&gt;=DATE(2020,1,1),H5&lt;=Flights!$D$5,AND(LEN(SUBSTITUTE(SUBSTITUTE(SUBSTITUTE(SUBSTITUTE(SUBSTITUTE(SUBSTITUTE(SUBSTITUTE(SUBSTITUTE(SUBSTITUTE(SUBSTITUTE(SUBSTITUTE(SUBSTITUTE(SUBSTITUTE(SUBSTITUTE(SUBSTITUTE(SUBSTITUTE(LOWER(I5&amp;""),CHAR(10),""),CHAR(13),""),CHAR(9),""),CHAR(160),"")," ",""),".",""),"-",""),"/",""),"?",""),"_",""),",",""),"[",""),"]",""),"(",""),")",""),"*",""))&gt;=5,NOT(ISNUMBER(MATCH(LEFT(SUBSTITUTE(SUBSTITUTE(SUBSTITUTE(SUBSTITUTE(SUBSTITUTE(SUBSTITUTE(SUBSTITUTE(SUBSTITUTE(SUBSTITUTE(SUBSTITUTE(SUBSTITUTE(SUBSTITUTE(SUBSTITUTE(SUBSTITUTE(SUBSTITUTE(SUBSTITUTE(LOWER(I5&amp;""),CHAR(10),""),CHAR(13),""),CHAR(9),""),CHAR(160),"")," ",""),".",""),"-",""),"/",""),"?",""),"_",""),",",""),"[",""),"]",""),"(",""),")",""),"*",""),255),L_Placeholder,0)))),OR(SUMPRODUCT(--ISNUMBER(SEARCH({"aa000"," aa 000"," aaa 000"," aaaa 000"," a 0000"," a000 000"," aa 00 000"," aaa 00 000"},S5)))&gt;0,SUMPRODUCT(--ISNUMBER(SEARCH({"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5)))&gt;0,SUMPRODUCT(--ISNUMBER(SEARCH({"http","www.","\",".pdf",".jpg",".jpeg",".png",".heic",".xls",".doc",".msg",".eml"},I5)))&gt;0,AND(SUMPRODUCT(--ISNUMBER(SEARCH({"sharepoint","onedrive","teams","dms","q-pulse","qpulse"},I5)))&gt;0,ISNUMBER(SEARCH("0",R5)))),NOT(SUMPRODUCT((LEN(X5)-LEN(SUBSTITUTE(X5," "&amp;L_PendStrict&amp;" "," ")))/(LEN(L_PendStrict)+1))&gt;SUMPRODUCT((LEN(X5)-LEN(SUBSTITUTE(X5," "&amp;L_PendNeg&amp;" "," ")))/(LEN(L_PendNeg)+1)))),"ON FILE","OUTSTANDING"),"OUTSTANDING")</f>
        <v>OUTSTANDING</v>
      </c>
      <c r="K5" s="60"/>
      <c r="L5" s="60"/>
      <c r="M5" s="72"/>
      <c r="N5" s="60"/>
      <c r="O5" s="73" t="str">
        <f aca="false">IFERROR(IF(AND(AND(LEN(SUBSTITUTE(SUBSTITUTE(SUBSTITUTE(SUBSTITUTE(SUBSTITUTE(SUBSTITUTE(SUBSTITUTE(SUBSTITUTE(SUBSTITUTE(SUBSTITUTE(SUBSTITUTE(SUBSTITUTE(SUBSTITUTE(SUBSTITUTE(SUBSTITUTE(SUBSTITUTE(LOWER(K5&amp;""),CHAR(10),""),CHAR(13),""),CHAR(9),""),CHAR(160),"")," ",""),".",""),"-",""),"/",""),"?",""),"_",""),",",""),"[",""),"]",""),"(",""),")",""),"*",""))&gt;=3,NOT(ISNUMBER(MATCH(LEFT(SUBSTITUTE(SUBSTITUTE(SUBSTITUTE(SUBSTITUTE(SUBSTITUTE(SUBSTITUTE(SUBSTITUTE(SUBSTITUTE(SUBSTITUTE(SUBSTITUTE(SUBSTITUTE(SUBSTITUTE(SUBSTITUTE(SUBSTITUTE(SUBSTITUTE(SUBSTITUTE(LOWER(K5&amp;""),CHAR(10),""),CHAR(13),""),CHAR(9),""),CHAR(160),"")," ",""),".",""),"-",""),"/",""),"?",""),"_",""),",",""),"[",""),"]",""),"(",""),")",""),"*",""),255),L_Placeholder,0)))),AND(SUMPRODUCT(--ISNUMBER(FIND({"0","1","2","3","4","5","6","7","8","9"},K5)))&gt;0,LOWER(TRIM(K5))&lt;&gt;LOWER(Flights!$F$5),NOT(AND(LEFT(LOWER(TRIM(K5)),2)="mh",ISNUMBER(--MID(TRIM(K5),3,6))))),AND(LEN(SUBSTITUTE(SUBSTITUTE(SUBSTITUTE(SUBSTITUTE(SUBSTITUTE(SUBSTITUTE(SUBSTITUTE(SUBSTITUTE(SUBSTITUTE(SUBSTITUTE(SUBSTITUTE(SUBSTITUTE(SUBSTITUTE(SUBSTITUTE(SUBSTITUTE(SUBSTITUTE(LOWER(L5&amp;""),CHAR(10),""),CHAR(13),""),CHAR(9),""),CHAR(160),"")," ",""),".",""),"-",""),"/",""),"?",""),"_",""),",",""),"[",""),"]",""),"(",""),")",""),"*",""))&gt;=1,NOT(ISNUMBER(MATCH(LEFT(SUBSTITUTE(SUBSTITUTE(SUBSTITUTE(SUBSTITUTE(SUBSTITUTE(SUBSTITUTE(SUBSTITUTE(SUBSTITUTE(SUBSTITUTE(SUBSTITUTE(SUBSTITUTE(SUBSTITUTE(SUBSTITUTE(SUBSTITUTE(SUBSTITUTE(SUBSTITUTE(LOWER(L5&amp;""),CHAR(10),""),CHAR(13),""),CHAR(9),""),CHAR(160),"")," ",""),".",""),"-",""),"/",""),"?",""),"_",""),",",""),"[",""),"]",""),"(",""),")",""),"*",""),255),L_Placeholder,0)))),ISNUMBER(M5),M5&gt;=DATE(2020,1,1),M5&lt;=Flights!$D$5,AND(LEN(SUBSTITUTE(SUBSTITUTE(SUBSTITUTE(SUBSTITUTE(SUBSTITUTE(SUBSTITUTE(SUBSTITUTE(SUBSTITUTE(SUBSTITUTE(SUBSTITUTE(SUBSTITUTE(SUBSTITUTE(SUBSTITUTE(SUBSTITUTE(SUBSTITUTE(SUBSTITUTE(LOWER(N5&amp;""),CHAR(10),""),CHAR(13),""),CHAR(9),""),CHAR(160),"")," ",""),".",""),"-",""),"/",""),"?",""),"_",""),",",""),"[",""),"]",""),"(",""),")",""),"*",""))&gt;=5,NOT(ISNUMBER(MATCH(LEFT(SUBSTITUTE(SUBSTITUTE(SUBSTITUTE(SUBSTITUTE(SUBSTITUTE(SUBSTITUTE(SUBSTITUTE(SUBSTITUTE(SUBSTITUTE(SUBSTITUTE(SUBSTITUTE(SUBSTITUTE(SUBSTITUTE(SUBSTITUTE(SUBSTITUTE(SUBSTITUTE(LOWER(N5&amp;""),CHAR(10),""),CHAR(13),""),CHAR(9),""),CHAR(160),"")," ",""),".",""),"-",""),"/",""),"?",""),"_",""),",",""),"[",""),"]",""),"(",""),")",""),"*",""),255),L_Placeholder,0)))),OR(SUMPRODUCT(--ISNUMBER(SEARCH({"aa000"," aa 000"," aaa 000"," aaaa 000"," a 0000"," a000 000"," aa 00 000"," aaa 00 000"},U5)))&gt;0,SUMPRODUCT(--ISNUMBER(SEARCH({"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5)))&gt;0,SUMPRODUCT(--ISNUMBER(SEARCH({"http","www.","\",".pdf",".jpg",".jpeg",".png",".heic",".xls",".doc",".msg",".eml"},N5)))&gt;0,AND(SUMPRODUCT(--ISNUMBER(SEARCH({"sharepoint","onedrive","teams","dms","q-pulse","qpulse"},N5)))&gt;0,ISNUMBER(SEARCH("0",T5)))),NOT(SUMPRODUCT((LEN(Y5)-LEN(SUBSTITUTE(Y5," "&amp;L_PendStrict&amp;" "," ")))/(LEN(L_PendStrict)+1))&gt;SUMPRODUCT((LEN(Y5)-LEN(SUBSTITUTE(Y5," "&amp;L_PendNeg&amp;" "," ")))/(LEN(L_PendNeg)+1)))),"ON FILE","OUTSTANDING"),"OUTSTANDING")</f>
        <v>OUTSTANDING</v>
      </c>
      <c r="P5" s="74" t="n">
        <f aca="false">(J5="OUTSTANDING")+(O5="OUTSTANDING")</f>
        <v>2</v>
      </c>
      <c r="Q5" s="57" t="s">
        <v>1496</v>
      </c>
      <c r="R5" s="0" t="str">
        <f aca="false">SUBSTITUTE(SUBSTITUTE(SUBSTITUTE(SUBSTITUTE(SUBSTITUTE(SUBSTITUTE(SUBSTITUTE(SUBSTITUTE(SUBSTITUTE(LOWER(AB5&amp;""),"1","0"),"2","0"),"3","0"),"4","0"),"5","0"),"6","0"),"7","0"),"8","0"),"9","0")</f>
        <v>  </v>
      </c>
      <c r="S5" s="0" t="str">
        <f aca="false">SUBSTITUTE(SUBSTITUTE(SUBSTITUTE(SUBSTITUTE(SUBSTITUTE(SUBSTITUTE(SUBSTITUTE(SUBSTITUTE(SUBSTITUTE(SUBSTITUTE(SUBSTITUTE(SUBSTITUTE(SUBSTITUTE(SUBSTITUTE(SUBSTITUTE(SUBSTITUTE(SUBSTITUTE(SUBSTITUTE(SUBSTITUTE(SUBSTITUTE(SUBSTITUTE(SUBSTITUTE(SUBSTITUTE(SUBSTITUTE(SUBSTITUTE(R5,"b","a"),"c","a"),"d","a"),"e","a"),"f","a"),"g","a"),"h","a"),"i","a"),"j","a"),"k","a"),"l","a"),"m","a"),"n","a"),"o","a"),"p","a"),"q","a"),"r","a"),"s","a"),"t","a"),"u","a"),"v","a"),"w","a"),"x","a"),"y","a"),"z","a")</f>
        <v>  </v>
      </c>
      <c r="T5" s="0" t="str">
        <f aca="false">SUBSTITUTE(SUBSTITUTE(SUBSTITUTE(SUBSTITUTE(SUBSTITUTE(SUBSTITUTE(SUBSTITUTE(SUBSTITUTE(SUBSTITUTE(LOWER(AC5&amp;""),"1","0"),"2","0"),"3","0"),"4","0"),"5","0"),"6","0"),"7","0"),"8","0"),"9","0")</f>
        <v>  </v>
      </c>
      <c r="U5" s="0" t="str">
        <f aca="false">SUBSTITUTE(SUBSTITUTE(SUBSTITUTE(SUBSTITUTE(SUBSTITUTE(SUBSTITUTE(SUBSTITUTE(SUBSTITUTE(SUBSTITUTE(SUBSTITUTE(SUBSTITUTE(SUBSTITUTE(SUBSTITUTE(SUBSTITUTE(SUBSTITUTE(SUBSTITUTE(SUBSTITUTE(SUBSTITUTE(SUBSTITUTE(SUBSTITUTE(SUBSTITUTE(SUBSTITUTE(SUBSTITUTE(SUBSTITUTE(SUBSTITUTE(T5,"b","a"),"c","a"),"d","a"),"e","a"),"f","a"),"g","a"),"h","a"),"i","a"),"j","a"),"k","a"),"l","a"),"m","a"),"n","a"),"o","a"),"p","a"),"q","a"),"r","a"),"s","a"),"t","a"),"u","a"),"v","a"),"w","a"),"x","a"),"y","a"),"z","a")</f>
        <v>  </v>
      </c>
      <c r="V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5," "&amp;LOWER(Flights!$F$5)&amp;" "," ~ ")," mh"," ~")," at "," ~ ")," by "," ~ ")," on "," ~ ")," to "," ~ ")," from "," ~ ")," until "," ~ ")," till "," ~ ")," before "," ~ ")," after "," ~ ")," around "," ~ ")," approx "," ~ ")," about "," ~ ")," since "," ~ ")," hrs "," ~ ")," hr "," ~ ")," hours "," ~ ")," time "," ~ ")," jan "," ~ ")," feb "," ~ ")," mar "," ~ ")," apr "," ~ ")," may "," ~ ")," jun "," ~ ")," jul "," ~ ")," aug "," ~ ")," sep "," ~ ")," sept "," ~ ")," oct "," ~ ")</f>
        <v>  </v>
      </c>
      <c r="W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5," "&amp;LOWER(Flights!$F$5)&amp;" "," ~ ")," mh"," ~")," at "," ~ ")," by "," ~ ")," on "," ~ ")," to "," ~ ")," from "," ~ ")," until "," ~ ")," till "," ~ ")," before "," ~ ")," after "," ~ ")," around "," ~ ")," approx "," ~ ")," about "," ~ ")," since "," ~ ")," hrs "," ~ ")," hr "," ~ ")," hours "," ~ ")," time "," ~ ")," jan "," ~ ")," feb "," ~ ")," mar "," ~ ")," apr "," ~ ")," may "," ~ ")," jun "," ~ ")," jul "," ~ ")," aug "," ~ ")," sep "," ~ ")," sept "," ~ ")," oct "," ~ ")</f>
        <v>  </v>
      </c>
      <c r="X5" s="0" t="str">
        <f aca="false">" "&amp;TRIM(SUBSTITUTE(SUBSTITUTE(SUBSTITUTE(SUBSTITUTE(SUBSTITUTE(SUBSTITUTE(SUBSTITUTE(SUBSTITUTE(SUBSTITUTE(SUBSTITUTE(SUBSTITUTE(SUBSTITUTE(SUBSTITUTE(SUBSTITUTE(SUBSTITUTE(SUBSTITUTE(SUBSTITUTE(SUBSTITUTE(SUBSTITUTE(SUBSTITUTE(SUBSTITUTE(SUBSTITUTE(SUBSTITUTE(SUBSTITUTE(LOWER(I5&amp;""),CHAR(10)," "),CHAR(13)," "),CHAR(9)," "),CHAR(160)," "),"."," "),","," "),"-"," "),"/"," "),"("," "),")"," "),":"," "),";"," "),"_"," "),"–"," "),"?"," "),"!"," "),"*"," "),"["," "),"]"," "),"'"," "),"#"," "),"+"," "),"&amp;"," "),"\"," "))&amp;" "</f>
        <v>  </v>
      </c>
      <c r="Y5" s="0" t="str">
        <f aca="false">" "&amp;TRIM(SUBSTITUTE(SUBSTITUTE(SUBSTITUTE(SUBSTITUTE(SUBSTITUTE(SUBSTITUTE(SUBSTITUTE(SUBSTITUTE(SUBSTITUTE(SUBSTITUTE(SUBSTITUTE(SUBSTITUTE(SUBSTITUTE(SUBSTITUTE(SUBSTITUTE(SUBSTITUTE(SUBSTITUTE(SUBSTITUTE(SUBSTITUTE(SUBSTITUTE(SUBSTITUTE(SUBSTITUTE(SUBSTITUTE(SUBSTITUTE(LOWER(N5&amp;""),CHAR(10)," "),CHAR(13)," "),CHAR(9)," "),CHAR(160)," "),"."," "),","," "),"-"," "),"/"," "),"("," "),")"," "),":"," "),";"," "),"_"," "),"–"," "),"?"," "),"!"," "),"*"," "),"["," "),"]"," "),"'"," "),"#"," "),"+"," "),"&amp;"," "),"\"," "))&amp;" "</f>
        <v>  </v>
      </c>
      <c r="Z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5,"jan","~"),"feb","~"),"mar","~"),"apr","~"),"may","~"),"jun","~"),"jul","~"),"aug","~"),"sep","~"),"oct","~"),"nov","~"),"dec","~")," nov "," ~ ")," dec "," ~ ")," mon "," ~ ")," tue "," ~ ")," wed "," ~ ")," thu "," ~ ")," fri "," ~ ")," sat "," ~ ")," sun "," ~ ")," gate "," ~ ")," bay "," ~ ")," stand "," ~ ")," position "," ~ ")," galley "," ~ ")," flight "," ~ ")," flt "," ~ ")," day "," ~ ")," date "," ~ ")," dated "," ~ ")," the "," ~ ")," and "," ~ ")," of "," ~ ")," in "," ~ ")," for "," ~ ")," with "," ~ ")</f>
        <v>  </v>
      </c>
      <c r="AA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5,"jan","~"),"feb","~"),"mar","~"),"apr","~"),"may","~"),"jun","~"),"jul","~"),"aug","~"),"sep","~"),"oct","~"),"nov","~"),"dec","~")," nov "," ~ ")," dec "," ~ ")," mon "," ~ ")," tue "," ~ ")," wed "," ~ ")," thu "," ~ ")," fri "," ~ ")," sat "," ~ ")," sun "," ~ ")," gate "," ~ ")," bay "," ~ ")," stand "," ~ ")," position "," ~ ")," galley "," ~ ")," flight "," ~ ")," flt "," ~ ")," day "," ~ ")," date "," ~ ")," dated "," ~ ")," the "," ~ ")," and "," ~ ")," of "," ~ ")," in "," ~ ")," for "," ~ ")," with "," ~ ")</f>
        <v>  </v>
      </c>
      <c r="AB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5," pax "," ~ ")," etd "," ~ ")," eta "," ~ ")," std "," ~ ")," sta "," ~ ")," atd "," ~ ")," ata "," ~ ")," lt "," ~ ")," utc "," ~ ")," local "," ~ ")," ok "," ~ ")," done "," ~ ")," seen "," ~ ")," chk "," ~ ")," chkd "," ~ ")," checked "," ~ ")," rcvd "," ~ ")," recd "," ~ ")," dep "," ~ ")," arr "," ~ ")," qty "," ~ ")," all "," ~ ")," ttl "," ~ ")," total "," ~ ")," via "," ~ ")," per "," ~ ")," call "," ~ ")," inbound "," ~ ")," outbound "," ~ ")," approx "," ~ ")</f>
        <v>  </v>
      </c>
      <c r="AC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5," pax "," ~ ")," etd "," ~ ")," eta "," ~ ")," std "," ~ ")," sta "," ~ ")," atd "," ~ ")," ata "," ~ ")," lt "," ~ ")," utc "," ~ ")," local "," ~ ")," ok "," ~ ")," done "," ~ ")," seen "," ~ ")," chk "," ~ ")," chkd "," ~ ")," checked "," ~ ")," rcvd "," ~ ")," recd "," ~ ")," dep "," ~ ")," arr "," ~ ")," qty "," ~ ")," all "," ~ ")," ttl "," ~ ")," total "," ~ ")," via "," ~ ")," per "," ~ ")," call "," ~ ")," inbound "," ~ ")," outbound "," ~ ")," approx "," ~ ")</f>
        <v>  </v>
      </c>
    </row>
    <row r="6" customFormat="false" ht="30" hidden="false" customHeight="true" outlineLevel="0" collapsed="false">
      <c r="A6" s="70" t="s">
        <v>198</v>
      </c>
      <c r="B6" s="57" t="str">
        <f aca="false">Flights!F6</f>
        <v>MH0727</v>
      </c>
      <c r="C6" s="71" t="n">
        <f aca="false">Flights!D6</f>
        <v>46304</v>
      </c>
      <c r="D6" s="70" t="str">
        <f aca="false">Flights!G6&amp;"-"&amp;Flights!H6</f>
        <v>KUL-CGK</v>
      </c>
      <c r="E6" s="70" t="str">
        <f aca="false">Flights!L6</f>
        <v>B738MAX</v>
      </c>
      <c r="F6" s="60"/>
      <c r="G6" s="60"/>
      <c r="H6" s="72"/>
      <c r="I6" s="60"/>
      <c r="J6" s="73" t="str">
        <f aca="false">IFERROR(IF(AND(AND(LEN(SUBSTITUTE(SUBSTITUTE(SUBSTITUTE(SUBSTITUTE(SUBSTITUTE(SUBSTITUTE(SUBSTITUTE(SUBSTITUTE(SUBSTITUTE(SUBSTITUTE(SUBSTITUTE(SUBSTITUTE(SUBSTITUTE(SUBSTITUTE(SUBSTITUTE(SUBSTITUTE(LOWER(F6&amp;""),CHAR(10),""),CHAR(13),""),CHAR(9),""),CHAR(160),"")," ",""),".",""),"-",""),"/",""),"?",""),"_",""),",",""),"[",""),"]",""),"(",""),")",""),"*",""))&gt;=3,NOT(ISNUMBER(MATCH(LEFT(SUBSTITUTE(SUBSTITUTE(SUBSTITUTE(SUBSTITUTE(SUBSTITUTE(SUBSTITUTE(SUBSTITUTE(SUBSTITUTE(SUBSTITUTE(SUBSTITUTE(SUBSTITUTE(SUBSTITUTE(SUBSTITUTE(SUBSTITUTE(SUBSTITUTE(SUBSTITUTE(LOWER(F6&amp;""),CHAR(10),""),CHAR(13),""),CHAR(9),""),CHAR(160),"")," ",""),".",""),"-",""),"/",""),"?",""),"_",""),",",""),"[",""),"]",""),"(",""),")",""),"*",""),255),L_Placeholder,0)))),AND(SUMPRODUCT(--ISNUMBER(FIND({"0","1","2","3","4","5","6","7","8","9"},F6)))&gt;0,LOWER(TRIM(F6))&lt;&gt;LOWER(Flights!$F$6),NOT(AND(LEFT(LOWER(TRIM(F6)),2)="mh",ISNUMBER(--MID(TRIM(F6),3,6))))),AND(LEN(SUBSTITUTE(SUBSTITUTE(SUBSTITUTE(SUBSTITUTE(SUBSTITUTE(SUBSTITUTE(SUBSTITUTE(SUBSTITUTE(SUBSTITUTE(SUBSTITUTE(SUBSTITUTE(SUBSTITUTE(SUBSTITUTE(SUBSTITUTE(SUBSTITUTE(SUBSTITUTE(LOWER(G6&amp;""),CHAR(10),""),CHAR(13),""),CHAR(9),""),CHAR(160),"")," ",""),".",""),"-",""),"/",""),"?",""),"_",""),",",""),"[",""),"]",""),"(",""),")",""),"*",""))&gt;=1,NOT(ISNUMBER(MATCH(LEFT(SUBSTITUTE(SUBSTITUTE(SUBSTITUTE(SUBSTITUTE(SUBSTITUTE(SUBSTITUTE(SUBSTITUTE(SUBSTITUTE(SUBSTITUTE(SUBSTITUTE(SUBSTITUTE(SUBSTITUTE(SUBSTITUTE(SUBSTITUTE(SUBSTITUTE(SUBSTITUTE(LOWER(G6&amp;""),CHAR(10),""),CHAR(13),""),CHAR(9),""),CHAR(160),"")," ",""),".",""),"-",""),"/",""),"?",""),"_",""),",",""),"[",""),"]",""),"(",""),")",""),"*",""),255),L_Placeholder,0)))),ISNUMBER(H6),H6&gt;=DATE(2020,1,1),H6&lt;=Flights!$D$6,AND(LEN(SUBSTITUTE(SUBSTITUTE(SUBSTITUTE(SUBSTITUTE(SUBSTITUTE(SUBSTITUTE(SUBSTITUTE(SUBSTITUTE(SUBSTITUTE(SUBSTITUTE(SUBSTITUTE(SUBSTITUTE(SUBSTITUTE(SUBSTITUTE(SUBSTITUTE(SUBSTITUTE(LOWER(I6&amp;""),CHAR(10),""),CHAR(13),""),CHAR(9),""),CHAR(160),"")," ",""),".",""),"-",""),"/",""),"?",""),"_",""),",",""),"[",""),"]",""),"(",""),")",""),"*",""))&gt;=5,NOT(ISNUMBER(MATCH(LEFT(SUBSTITUTE(SUBSTITUTE(SUBSTITUTE(SUBSTITUTE(SUBSTITUTE(SUBSTITUTE(SUBSTITUTE(SUBSTITUTE(SUBSTITUTE(SUBSTITUTE(SUBSTITUTE(SUBSTITUTE(SUBSTITUTE(SUBSTITUTE(SUBSTITUTE(SUBSTITUTE(LOWER(I6&amp;""),CHAR(10),""),CHAR(13),""),CHAR(9),""),CHAR(160),"")," ",""),".",""),"-",""),"/",""),"?",""),"_",""),",",""),"[",""),"]",""),"(",""),")",""),"*",""),255),L_Placeholder,0)))),OR(SUMPRODUCT(--ISNUMBER(SEARCH({"aa000"," aa 000"," aaa 000"," aaaa 000"," a 0000"," a000 000"," aa 00 000"," aaa 00 000"},S6)))&gt;0,SUMPRODUCT(--ISNUMBER(SEARCH({"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6)))&gt;0,SUMPRODUCT(--ISNUMBER(SEARCH({"http","www.","\",".pdf",".jpg",".jpeg",".png",".heic",".xls",".doc",".msg",".eml"},I6)))&gt;0,AND(SUMPRODUCT(--ISNUMBER(SEARCH({"sharepoint","onedrive","teams","dms","q-pulse","qpulse"},I6)))&gt;0,ISNUMBER(SEARCH("0",R6)))),NOT(SUMPRODUCT((LEN(X6)-LEN(SUBSTITUTE(X6," "&amp;L_PendStrict&amp;" "," ")))/(LEN(L_PendStrict)+1))&gt;SUMPRODUCT((LEN(X6)-LEN(SUBSTITUTE(X6," "&amp;L_PendNeg&amp;" "," ")))/(LEN(L_PendNeg)+1)))),"ON FILE","OUTSTANDING"),"OUTSTANDING")</f>
        <v>OUTSTANDING</v>
      </c>
      <c r="K6" s="60"/>
      <c r="L6" s="60"/>
      <c r="M6" s="72"/>
      <c r="N6" s="60"/>
      <c r="O6" s="73" t="str">
        <f aca="false">IFERROR(IF(AND(AND(LEN(SUBSTITUTE(SUBSTITUTE(SUBSTITUTE(SUBSTITUTE(SUBSTITUTE(SUBSTITUTE(SUBSTITUTE(SUBSTITUTE(SUBSTITUTE(SUBSTITUTE(SUBSTITUTE(SUBSTITUTE(SUBSTITUTE(SUBSTITUTE(SUBSTITUTE(SUBSTITUTE(LOWER(K6&amp;""),CHAR(10),""),CHAR(13),""),CHAR(9),""),CHAR(160),"")," ",""),".",""),"-",""),"/",""),"?",""),"_",""),",",""),"[",""),"]",""),"(",""),")",""),"*",""))&gt;=3,NOT(ISNUMBER(MATCH(LEFT(SUBSTITUTE(SUBSTITUTE(SUBSTITUTE(SUBSTITUTE(SUBSTITUTE(SUBSTITUTE(SUBSTITUTE(SUBSTITUTE(SUBSTITUTE(SUBSTITUTE(SUBSTITUTE(SUBSTITUTE(SUBSTITUTE(SUBSTITUTE(SUBSTITUTE(SUBSTITUTE(LOWER(K6&amp;""),CHAR(10),""),CHAR(13),""),CHAR(9),""),CHAR(160),"")," ",""),".",""),"-",""),"/",""),"?",""),"_",""),",",""),"[",""),"]",""),"(",""),")",""),"*",""),255),L_Placeholder,0)))),AND(SUMPRODUCT(--ISNUMBER(FIND({"0","1","2","3","4","5","6","7","8","9"},K6)))&gt;0,LOWER(TRIM(K6))&lt;&gt;LOWER(Flights!$F$6),NOT(AND(LEFT(LOWER(TRIM(K6)),2)="mh",ISNUMBER(--MID(TRIM(K6),3,6))))),AND(LEN(SUBSTITUTE(SUBSTITUTE(SUBSTITUTE(SUBSTITUTE(SUBSTITUTE(SUBSTITUTE(SUBSTITUTE(SUBSTITUTE(SUBSTITUTE(SUBSTITUTE(SUBSTITUTE(SUBSTITUTE(SUBSTITUTE(SUBSTITUTE(SUBSTITUTE(SUBSTITUTE(LOWER(L6&amp;""),CHAR(10),""),CHAR(13),""),CHAR(9),""),CHAR(160),"")," ",""),".",""),"-",""),"/",""),"?",""),"_",""),",",""),"[",""),"]",""),"(",""),")",""),"*",""))&gt;=1,NOT(ISNUMBER(MATCH(LEFT(SUBSTITUTE(SUBSTITUTE(SUBSTITUTE(SUBSTITUTE(SUBSTITUTE(SUBSTITUTE(SUBSTITUTE(SUBSTITUTE(SUBSTITUTE(SUBSTITUTE(SUBSTITUTE(SUBSTITUTE(SUBSTITUTE(SUBSTITUTE(SUBSTITUTE(SUBSTITUTE(LOWER(L6&amp;""),CHAR(10),""),CHAR(13),""),CHAR(9),""),CHAR(160),"")," ",""),".",""),"-",""),"/",""),"?",""),"_",""),",",""),"[",""),"]",""),"(",""),")",""),"*",""),255),L_Placeholder,0)))),ISNUMBER(M6),M6&gt;=DATE(2020,1,1),M6&lt;=Flights!$D$6,AND(LEN(SUBSTITUTE(SUBSTITUTE(SUBSTITUTE(SUBSTITUTE(SUBSTITUTE(SUBSTITUTE(SUBSTITUTE(SUBSTITUTE(SUBSTITUTE(SUBSTITUTE(SUBSTITUTE(SUBSTITUTE(SUBSTITUTE(SUBSTITUTE(SUBSTITUTE(SUBSTITUTE(LOWER(N6&amp;""),CHAR(10),""),CHAR(13),""),CHAR(9),""),CHAR(160),"")," ",""),".",""),"-",""),"/",""),"?",""),"_",""),",",""),"[",""),"]",""),"(",""),")",""),"*",""))&gt;=5,NOT(ISNUMBER(MATCH(LEFT(SUBSTITUTE(SUBSTITUTE(SUBSTITUTE(SUBSTITUTE(SUBSTITUTE(SUBSTITUTE(SUBSTITUTE(SUBSTITUTE(SUBSTITUTE(SUBSTITUTE(SUBSTITUTE(SUBSTITUTE(SUBSTITUTE(SUBSTITUTE(SUBSTITUTE(SUBSTITUTE(LOWER(N6&amp;""),CHAR(10),""),CHAR(13),""),CHAR(9),""),CHAR(160),"")," ",""),".",""),"-",""),"/",""),"?",""),"_",""),",",""),"[",""),"]",""),"(",""),")",""),"*",""),255),L_Placeholder,0)))),OR(SUMPRODUCT(--ISNUMBER(SEARCH({"aa000"," aa 000"," aaa 000"," aaaa 000"," a 0000"," a000 000"," aa 00 000"," aaa 00 000"},U6)))&gt;0,SUMPRODUCT(--ISNUMBER(SEARCH({"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6)))&gt;0,SUMPRODUCT(--ISNUMBER(SEARCH({"http","www.","\",".pdf",".jpg",".jpeg",".png",".heic",".xls",".doc",".msg",".eml"},N6)))&gt;0,AND(SUMPRODUCT(--ISNUMBER(SEARCH({"sharepoint","onedrive","teams","dms","q-pulse","qpulse"},N6)))&gt;0,ISNUMBER(SEARCH("0",T6)))),NOT(SUMPRODUCT((LEN(Y6)-LEN(SUBSTITUTE(Y6," "&amp;L_PendStrict&amp;" "," ")))/(LEN(L_PendStrict)+1))&gt;SUMPRODUCT((LEN(Y6)-LEN(SUBSTITUTE(Y6," "&amp;L_PendNeg&amp;" "," ")))/(LEN(L_PendNeg)+1)))),"ON FILE","OUTSTANDING"),"OUTSTANDING")</f>
        <v>OUTSTANDING</v>
      </c>
      <c r="P6" s="74" t="n">
        <f aca="false">(J6="OUTSTANDING")+(O6="OUTSTANDING")</f>
        <v>2</v>
      </c>
      <c r="Q6" s="57" t="s">
        <v>1496</v>
      </c>
      <c r="R6" s="0" t="str">
        <f aca="false">SUBSTITUTE(SUBSTITUTE(SUBSTITUTE(SUBSTITUTE(SUBSTITUTE(SUBSTITUTE(SUBSTITUTE(SUBSTITUTE(SUBSTITUTE(LOWER(AB6&amp;""),"1","0"),"2","0"),"3","0"),"4","0"),"5","0"),"6","0"),"7","0"),"8","0"),"9","0")</f>
        <v>  </v>
      </c>
      <c r="S6" s="0" t="str">
        <f aca="false">SUBSTITUTE(SUBSTITUTE(SUBSTITUTE(SUBSTITUTE(SUBSTITUTE(SUBSTITUTE(SUBSTITUTE(SUBSTITUTE(SUBSTITUTE(SUBSTITUTE(SUBSTITUTE(SUBSTITUTE(SUBSTITUTE(SUBSTITUTE(SUBSTITUTE(SUBSTITUTE(SUBSTITUTE(SUBSTITUTE(SUBSTITUTE(SUBSTITUTE(SUBSTITUTE(SUBSTITUTE(SUBSTITUTE(SUBSTITUTE(SUBSTITUTE(R6,"b","a"),"c","a"),"d","a"),"e","a"),"f","a"),"g","a"),"h","a"),"i","a"),"j","a"),"k","a"),"l","a"),"m","a"),"n","a"),"o","a"),"p","a"),"q","a"),"r","a"),"s","a"),"t","a"),"u","a"),"v","a"),"w","a"),"x","a"),"y","a"),"z","a")</f>
        <v>  </v>
      </c>
      <c r="T6" s="0" t="str">
        <f aca="false">SUBSTITUTE(SUBSTITUTE(SUBSTITUTE(SUBSTITUTE(SUBSTITUTE(SUBSTITUTE(SUBSTITUTE(SUBSTITUTE(SUBSTITUTE(LOWER(AC6&amp;""),"1","0"),"2","0"),"3","0"),"4","0"),"5","0"),"6","0"),"7","0"),"8","0"),"9","0")</f>
        <v>  </v>
      </c>
      <c r="U6" s="0" t="str">
        <f aca="false">SUBSTITUTE(SUBSTITUTE(SUBSTITUTE(SUBSTITUTE(SUBSTITUTE(SUBSTITUTE(SUBSTITUTE(SUBSTITUTE(SUBSTITUTE(SUBSTITUTE(SUBSTITUTE(SUBSTITUTE(SUBSTITUTE(SUBSTITUTE(SUBSTITUTE(SUBSTITUTE(SUBSTITUTE(SUBSTITUTE(SUBSTITUTE(SUBSTITUTE(SUBSTITUTE(SUBSTITUTE(SUBSTITUTE(SUBSTITUTE(SUBSTITUTE(T6,"b","a"),"c","a"),"d","a"),"e","a"),"f","a"),"g","a"),"h","a"),"i","a"),"j","a"),"k","a"),"l","a"),"m","a"),"n","a"),"o","a"),"p","a"),"q","a"),"r","a"),"s","a"),"t","a"),"u","a"),"v","a"),"w","a"),"x","a"),"y","a"),"z","a")</f>
        <v>  </v>
      </c>
      <c r="V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6," "&amp;LOWER(Flights!$F$6)&amp;" "," ~ ")," mh"," ~")," at "," ~ ")," by "," ~ ")," on "," ~ ")," to "," ~ ")," from "," ~ ")," until "," ~ ")," till "," ~ ")," before "," ~ ")," after "," ~ ")," around "," ~ ")," approx "," ~ ")," about "," ~ ")," since "," ~ ")," hrs "," ~ ")," hr "," ~ ")," hours "," ~ ")," time "," ~ ")," jan "," ~ ")," feb "," ~ ")," mar "," ~ ")," apr "," ~ ")," may "," ~ ")," jun "," ~ ")," jul "," ~ ")," aug "," ~ ")," sep "," ~ ")," sept "," ~ ")," oct "," ~ ")</f>
        <v>  </v>
      </c>
      <c r="W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6," "&amp;LOWER(Flights!$F$6)&amp;" "," ~ ")," mh"," ~")," at "," ~ ")," by "," ~ ")," on "," ~ ")," to "," ~ ")," from "," ~ ")," until "," ~ ")," till "," ~ ")," before "," ~ ")," after "," ~ ")," around "," ~ ")," approx "," ~ ")," about "," ~ ")," since "," ~ ")," hrs "," ~ ")," hr "," ~ ")," hours "," ~ ")," time "," ~ ")," jan "," ~ ")," feb "," ~ ")," mar "," ~ ")," apr "," ~ ")," may "," ~ ")," jun "," ~ ")," jul "," ~ ")," aug "," ~ ")," sep "," ~ ")," sept "," ~ ")," oct "," ~ ")</f>
        <v>  </v>
      </c>
      <c r="X6" s="0" t="str">
        <f aca="false">" "&amp;TRIM(SUBSTITUTE(SUBSTITUTE(SUBSTITUTE(SUBSTITUTE(SUBSTITUTE(SUBSTITUTE(SUBSTITUTE(SUBSTITUTE(SUBSTITUTE(SUBSTITUTE(SUBSTITUTE(SUBSTITUTE(SUBSTITUTE(SUBSTITUTE(SUBSTITUTE(SUBSTITUTE(SUBSTITUTE(SUBSTITUTE(SUBSTITUTE(SUBSTITUTE(SUBSTITUTE(SUBSTITUTE(SUBSTITUTE(SUBSTITUTE(LOWER(I6&amp;""),CHAR(10)," "),CHAR(13)," "),CHAR(9)," "),CHAR(160)," "),"."," "),","," "),"-"," "),"/"," "),"("," "),")"," "),":"," "),";"," "),"_"," "),"–"," "),"?"," "),"!"," "),"*"," "),"["," "),"]"," "),"'"," "),"#"," "),"+"," "),"&amp;"," "),"\"," "))&amp;" "</f>
        <v>  </v>
      </c>
      <c r="Y6" s="0" t="str">
        <f aca="false">" "&amp;TRIM(SUBSTITUTE(SUBSTITUTE(SUBSTITUTE(SUBSTITUTE(SUBSTITUTE(SUBSTITUTE(SUBSTITUTE(SUBSTITUTE(SUBSTITUTE(SUBSTITUTE(SUBSTITUTE(SUBSTITUTE(SUBSTITUTE(SUBSTITUTE(SUBSTITUTE(SUBSTITUTE(SUBSTITUTE(SUBSTITUTE(SUBSTITUTE(SUBSTITUTE(SUBSTITUTE(SUBSTITUTE(SUBSTITUTE(SUBSTITUTE(LOWER(N6&amp;""),CHAR(10)," "),CHAR(13)," "),CHAR(9)," "),CHAR(160)," "),"."," "),","," "),"-"," "),"/"," "),"("," "),")"," "),":"," "),";"," "),"_"," "),"–"," "),"?"," "),"!"," "),"*"," "),"["," "),"]"," "),"'"," "),"#"," "),"+"," "),"&amp;"," "),"\"," "))&amp;" "</f>
        <v>  </v>
      </c>
      <c r="Z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6,"jan","~"),"feb","~"),"mar","~"),"apr","~"),"may","~"),"jun","~"),"jul","~"),"aug","~"),"sep","~"),"oct","~"),"nov","~"),"dec","~")," nov "," ~ ")," dec "," ~ ")," mon "," ~ ")," tue "," ~ ")," wed "," ~ ")," thu "," ~ ")," fri "," ~ ")," sat "," ~ ")," sun "," ~ ")," gate "," ~ ")," bay "," ~ ")," stand "," ~ ")," position "," ~ ")," galley "," ~ ")," flight "," ~ ")," flt "," ~ ")," day "," ~ ")," date "," ~ ")," dated "," ~ ")," the "," ~ ")," and "," ~ ")," of "," ~ ")," in "," ~ ")," for "," ~ ")," with "," ~ ")</f>
        <v>  </v>
      </c>
      <c r="AA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6,"jan","~"),"feb","~"),"mar","~"),"apr","~"),"may","~"),"jun","~"),"jul","~"),"aug","~"),"sep","~"),"oct","~"),"nov","~"),"dec","~")," nov "," ~ ")," dec "," ~ ")," mon "," ~ ")," tue "," ~ ")," wed "," ~ ")," thu "," ~ ")," fri "," ~ ")," sat "," ~ ")," sun "," ~ ")," gate "," ~ ")," bay "," ~ ")," stand "," ~ ")," position "," ~ ")," galley "," ~ ")," flight "," ~ ")," flt "," ~ ")," day "," ~ ")," date "," ~ ")," dated "," ~ ")," the "," ~ ")," and "," ~ ")," of "," ~ ")," in "," ~ ")," for "," ~ ")," with "," ~ ")</f>
        <v>  </v>
      </c>
      <c r="AB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6," pax "," ~ ")," etd "," ~ ")," eta "," ~ ")," std "," ~ ")," sta "," ~ ")," atd "," ~ ")," ata "," ~ ")," lt "," ~ ")," utc "," ~ ")," local "," ~ ")," ok "," ~ ")," done "," ~ ")," seen "," ~ ")," chk "," ~ ")," chkd "," ~ ")," checked "," ~ ")," rcvd "," ~ ")," recd "," ~ ")," dep "," ~ ")," arr "," ~ ")," qty "," ~ ")," all "," ~ ")," ttl "," ~ ")," total "," ~ ")," via "," ~ ")," per "," ~ ")," call "," ~ ")," inbound "," ~ ")," outbound "," ~ ")," approx "," ~ ")</f>
        <v>  </v>
      </c>
      <c r="AC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6," pax "," ~ ")," etd "," ~ ")," eta "," ~ ")," std "," ~ ")," sta "," ~ ")," atd "," ~ ")," ata "," ~ ")," lt "," ~ ")," utc "," ~ ")," local "," ~ ")," ok "," ~ ")," done "," ~ ")," seen "," ~ ")," chk "," ~ ")," chkd "," ~ ")," checked "," ~ ")," rcvd "," ~ ")," recd "," ~ ")," dep "," ~ ")," arr "," ~ ")," qty "," ~ ")," all "," ~ ")," ttl "," ~ ")," total "," ~ ")," via "," ~ ")," per "," ~ ")," call "," ~ ")," inbound "," ~ ")," outbound "," ~ ")," approx "," ~ ")</f>
        <v>  </v>
      </c>
    </row>
    <row r="7" customFormat="false" ht="30" hidden="false" customHeight="true" outlineLevel="0" collapsed="false">
      <c r="A7" s="70" t="s">
        <v>212</v>
      </c>
      <c r="B7" s="57" t="str">
        <f aca="false">Flights!F7</f>
        <v>MH0720</v>
      </c>
      <c r="C7" s="71" t="n">
        <f aca="false">Flights!D7</f>
        <v>46305</v>
      </c>
      <c r="D7" s="70" t="str">
        <f aca="false">Flights!G7&amp;"-"&amp;Flights!H7</f>
        <v>CGK-KUL</v>
      </c>
      <c r="E7" s="70" t="str">
        <f aca="false">Flights!L7</f>
        <v>A333</v>
      </c>
      <c r="F7" s="60"/>
      <c r="G7" s="60"/>
      <c r="H7" s="72"/>
      <c r="I7" s="60"/>
      <c r="J7" s="73" t="str">
        <f aca="false">IFERROR(IF(AND(AND(LEN(SUBSTITUTE(SUBSTITUTE(SUBSTITUTE(SUBSTITUTE(SUBSTITUTE(SUBSTITUTE(SUBSTITUTE(SUBSTITUTE(SUBSTITUTE(SUBSTITUTE(SUBSTITUTE(SUBSTITUTE(SUBSTITUTE(SUBSTITUTE(SUBSTITUTE(SUBSTITUTE(LOWER(F7&amp;""),CHAR(10),""),CHAR(13),""),CHAR(9),""),CHAR(160),"")," ",""),".",""),"-",""),"/",""),"?",""),"_",""),",",""),"[",""),"]",""),"(",""),")",""),"*",""))&gt;=3,NOT(ISNUMBER(MATCH(LEFT(SUBSTITUTE(SUBSTITUTE(SUBSTITUTE(SUBSTITUTE(SUBSTITUTE(SUBSTITUTE(SUBSTITUTE(SUBSTITUTE(SUBSTITUTE(SUBSTITUTE(SUBSTITUTE(SUBSTITUTE(SUBSTITUTE(SUBSTITUTE(SUBSTITUTE(SUBSTITUTE(LOWER(F7&amp;""),CHAR(10),""),CHAR(13),""),CHAR(9),""),CHAR(160),"")," ",""),".",""),"-",""),"/",""),"?",""),"_",""),",",""),"[",""),"]",""),"(",""),")",""),"*",""),255),L_Placeholder,0)))),AND(SUMPRODUCT(--ISNUMBER(FIND({"0","1","2","3","4","5","6","7","8","9"},F7)))&gt;0,LOWER(TRIM(F7))&lt;&gt;LOWER(Flights!$F$7),NOT(AND(LEFT(LOWER(TRIM(F7)),2)="mh",ISNUMBER(--MID(TRIM(F7),3,6))))),AND(LEN(SUBSTITUTE(SUBSTITUTE(SUBSTITUTE(SUBSTITUTE(SUBSTITUTE(SUBSTITUTE(SUBSTITUTE(SUBSTITUTE(SUBSTITUTE(SUBSTITUTE(SUBSTITUTE(SUBSTITUTE(SUBSTITUTE(SUBSTITUTE(SUBSTITUTE(SUBSTITUTE(LOWER(G7&amp;""),CHAR(10),""),CHAR(13),""),CHAR(9),""),CHAR(160),"")," ",""),".",""),"-",""),"/",""),"?",""),"_",""),",",""),"[",""),"]",""),"(",""),")",""),"*",""))&gt;=1,NOT(ISNUMBER(MATCH(LEFT(SUBSTITUTE(SUBSTITUTE(SUBSTITUTE(SUBSTITUTE(SUBSTITUTE(SUBSTITUTE(SUBSTITUTE(SUBSTITUTE(SUBSTITUTE(SUBSTITUTE(SUBSTITUTE(SUBSTITUTE(SUBSTITUTE(SUBSTITUTE(SUBSTITUTE(SUBSTITUTE(LOWER(G7&amp;""),CHAR(10),""),CHAR(13),""),CHAR(9),""),CHAR(160),"")," ",""),".",""),"-",""),"/",""),"?",""),"_",""),",",""),"[",""),"]",""),"(",""),")",""),"*",""),255),L_Placeholder,0)))),ISNUMBER(H7),H7&gt;=DATE(2020,1,1),H7&lt;=Flights!$D$7,AND(LEN(SUBSTITUTE(SUBSTITUTE(SUBSTITUTE(SUBSTITUTE(SUBSTITUTE(SUBSTITUTE(SUBSTITUTE(SUBSTITUTE(SUBSTITUTE(SUBSTITUTE(SUBSTITUTE(SUBSTITUTE(SUBSTITUTE(SUBSTITUTE(SUBSTITUTE(SUBSTITUTE(LOWER(I7&amp;""),CHAR(10),""),CHAR(13),""),CHAR(9),""),CHAR(160),"")," ",""),".",""),"-",""),"/",""),"?",""),"_",""),",",""),"[",""),"]",""),"(",""),")",""),"*",""))&gt;=5,NOT(ISNUMBER(MATCH(LEFT(SUBSTITUTE(SUBSTITUTE(SUBSTITUTE(SUBSTITUTE(SUBSTITUTE(SUBSTITUTE(SUBSTITUTE(SUBSTITUTE(SUBSTITUTE(SUBSTITUTE(SUBSTITUTE(SUBSTITUTE(SUBSTITUTE(SUBSTITUTE(SUBSTITUTE(SUBSTITUTE(LOWER(I7&amp;""),CHAR(10),""),CHAR(13),""),CHAR(9),""),CHAR(160),"")," ",""),".",""),"-",""),"/",""),"?",""),"_",""),",",""),"[",""),"]",""),"(",""),")",""),"*",""),255),L_Placeholder,0)))),OR(SUMPRODUCT(--ISNUMBER(SEARCH({"aa000"," aa 000"," aaa 000"," aaaa 000"," a 0000"," a000 000"," aa 00 000"," aaa 00 000"},S7)))&gt;0,SUMPRODUCT(--ISNUMBER(SEARCH({"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7)))&gt;0,SUMPRODUCT(--ISNUMBER(SEARCH({"http","www.","\",".pdf",".jpg",".jpeg",".png",".heic",".xls",".doc",".msg",".eml"},I7)))&gt;0,AND(SUMPRODUCT(--ISNUMBER(SEARCH({"sharepoint","onedrive","teams","dms","q-pulse","qpulse"},I7)))&gt;0,ISNUMBER(SEARCH("0",R7)))),NOT(SUMPRODUCT((LEN(X7)-LEN(SUBSTITUTE(X7," "&amp;L_PendStrict&amp;" "," ")))/(LEN(L_PendStrict)+1))&gt;SUMPRODUCT((LEN(X7)-LEN(SUBSTITUTE(X7," "&amp;L_PendNeg&amp;" "," ")))/(LEN(L_PendNeg)+1)))),"ON FILE","OUTSTANDING"),"OUTSTANDING")</f>
        <v>OUTSTANDING</v>
      </c>
      <c r="K7" s="60"/>
      <c r="L7" s="60"/>
      <c r="M7" s="72"/>
      <c r="N7" s="60"/>
      <c r="O7" s="73" t="str">
        <f aca="false">IFERROR(IF(AND(AND(LEN(SUBSTITUTE(SUBSTITUTE(SUBSTITUTE(SUBSTITUTE(SUBSTITUTE(SUBSTITUTE(SUBSTITUTE(SUBSTITUTE(SUBSTITUTE(SUBSTITUTE(SUBSTITUTE(SUBSTITUTE(SUBSTITUTE(SUBSTITUTE(SUBSTITUTE(SUBSTITUTE(LOWER(K7&amp;""),CHAR(10),""),CHAR(13),""),CHAR(9),""),CHAR(160),"")," ",""),".",""),"-",""),"/",""),"?",""),"_",""),",",""),"[",""),"]",""),"(",""),")",""),"*",""))&gt;=3,NOT(ISNUMBER(MATCH(LEFT(SUBSTITUTE(SUBSTITUTE(SUBSTITUTE(SUBSTITUTE(SUBSTITUTE(SUBSTITUTE(SUBSTITUTE(SUBSTITUTE(SUBSTITUTE(SUBSTITUTE(SUBSTITUTE(SUBSTITUTE(SUBSTITUTE(SUBSTITUTE(SUBSTITUTE(SUBSTITUTE(LOWER(K7&amp;""),CHAR(10),""),CHAR(13),""),CHAR(9),""),CHAR(160),"")," ",""),".",""),"-",""),"/",""),"?",""),"_",""),",",""),"[",""),"]",""),"(",""),")",""),"*",""),255),L_Placeholder,0)))),AND(SUMPRODUCT(--ISNUMBER(FIND({"0","1","2","3","4","5","6","7","8","9"},K7)))&gt;0,LOWER(TRIM(K7))&lt;&gt;LOWER(Flights!$F$7),NOT(AND(LEFT(LOWER(TRIM(K7)),2)="mh",ISNUMBER(--MID(TRIM(K7),3,6))))),AND(LEN(SUBSTITUTE(SUBSTITUTE(SUBSTITUTE(SUBSTITUTE(SUBSTITUTE(SUBSTITUTE(SUBSTITUTE(SUBSTITUTE(SUBSTITUTE(SUBSTITUTE(SUBSTITUTE(SUBSTITUTE(SUBSTITUTE(SUBSTITUTE(SUBSTITUTE(SUBSTITUTE(LOWER(L7&amp;""),CHAR(10),""),CHAR(13),""),CHAR(9),""),CHAR(160),"")," ",""),".",""),"-",""),"/",""),"?",""),"_",""),",",""),"[",""),"]",""),"(",""),")",""),"*",""))&gt;=1,NOT(ISNUMBER(MATCH(LEFT(SUBSTITUTE(SUBSTITUTE(SUBSTITUTE(SUBSTITUTE(SUBSTITUTE(SUBSTITUTE(SUBSTITUTE(SUBSTITUTE(SUBSTITUTE(SUBSTITUTE(SUBSTITUTE(SUBSTITUTE(SUBSTITUTE(SUBSTITUTE(SUBSTITUTE(SUBSTITUTE(LOWER(L7&amp;""),CHAR(10),""),CHAR(13),""),CHAR(9),""),CHAR(160),"")," ",""),".",""),"-",""),"/",""),"?",""),"_",""),",",""),"[",""),"]",""),"(",""),")",""),"*",""),255),L_Placeholder,0)))),ISNUMBER(M7),M7&gt;=DATE(2020,1,1),M7&lt;=Flights!$D$7,AND(LEN(SUBSTITUTE(SUBSTITUTE(SUBSTITUTE(SUBSTITUTE(SUBSTITUTE(SUBSTITUTE(SUBSTITUTE(SUBSTITUTE(SUBSTITUTE(SUBSTITUTE(SUBSTITUTE(SUBSTITUTE(SUBSTITUTE(SUBSTITUTE(SUBSTITUTE(SUBSTITUTE(LOWER(N7&amp;""),CHAR(10),""),CHAR(13),""),CHAR(9),""),CHAR(160),"")," ",""),".",""),"-",""),"/",""),"?",""),"_",""),",",""),"[",""),"]",""),"(",""),")",""),"*",""))&gt;=5,NOT(ISNUMBER(MATCH(LEFT(SUBSTITUTE(SUBSTITUTE(SUBSTITUTE(SUBSTITUTE(SUBSTITUTE(SUBSTITUTE(SUBSTITUTE(SUBSTITUTE(SUBSTITUTE(SUBSTITUTE(SUBSTITUTE(SUBSTITUTE(SUBSTITUTE(SUBSTITUTE(SUBSTITUTE(SUBSTITUTE(LOWER(N7&amp;""),CHAR(10),""),CHAR(13),""),CHAR(9),""),CHAR(160),"")," ",""),".",""),"-",""),"/",""),"?",""),"_",""),",",""),"[",""),"]",""),"(",""),")",""),"*",""),255),L_Placeholder,0)))),OR(SUMPRODUCT(--ISNUMBER(SEARCH({"aa000"," aa 000"," aaa 000"," aaaa 000"," a 0000"," a000 000"," aa 00 000"," aaa 00 000"},U7)))&gt;0,SUMPRODUCT(--ISNUMBER(SEARCH({"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7)))&gt;0,SUMPRODUCT(--ISNUMBER(SEARCH({"http","www.","\",".pdf",".jpg",".jpeg",".png",".heic",".xls",".doc",".msg",".eml"},N7)))&gt;0,AND(SUMPRODUCT(--ISNUMBER(SEARCH({"sharepoint","onedrive","teams","dms","q-pulse","qpulse"},N7)))&gt;0,ISNUMBER(SEARCH("0",T7)))),NOT(SUMPRODUCT((LEN(Y7)-LEN(SUBSTITUTE(Y7," "&amp;L_PendStrict&amp;" "," ")))/(LEN(L_PendStrict)+1))&gt;SUMPRODUCT((LEN(Y7)-LEN(SUBSTITUTE(Y7," "&amp;L_PendNeg&amp;" "," ")))/(LEN(L_PendNeg)+1)))),"ON FILE","OUTSTANDING"),"OUTSTANDING")</f>
        <v>OUTSTANDING</v>
      </c>
      <c r="P7" s="74" t="n">
        <f aca="false">(J7="OUTSTANDING")+(O7="OUTSTANDING")</f>
        <v>2</v>
      </c>
      <c r="Q7" s="57" t="s">
        <v>1496</v>
      </c>
      <c r="R7" s="0" t="str">
        <f aca="false">SUBSTITUTE(SUBSTITUTE(SUBSTITUTE(SUBSTITUTE(SUBSTITUTE(SUBSTITUTE(SUBSTITUTE(SUBSTITUTE(SUBSTITUTE(LOWER(AB7&amp;""),"1","0"),"2","0"),"3","0"),"4","0"),"5","0"),"6","0"),"7","0"),"8","0"),"9","0")</f>
        <v>  </v>
      </c>
      <c r="S7" s="0" t="str">
        <f aca="false">SUBSTITUTE(SUBSTITUTE(SUBSTITUTE(SUBSTITUTE(SUBSTITUTE(SUBSTITUTE(SUBSTITUTE(SUBSTITUTE(SUBSTITUTE(SUBSTITUTE(SUBSTITUTE(SUBSTITUTE(SUBSTITUTE(SUBSTITUTE(SUBSTITUTE(SUBSTITUTE(SUBSTITUTE(SUBSTITUTE(SUBSTITUTE(SUBSTITUTE(SUBSTITUTE(SUBSTITUTE(SUBSTITUTE(SUBSTITUTE(SUBSTITUTE(R7,"b","a"),"c","a"),"d","a"),"e","a"),"f","a"),"g","a"),"h","a"),"i","a"),"j","a"),"k","a"),"l","a"),"m","a"),"n","a"),"o","a"),"p","a"),"q","a"),"r","a"),"s","a"),"t","a"),"u","a"),"v","a"),"w","a"),"x","a"),"y","a"),"z","a")</f>
        <v>  </v>
      </c>
      <c r="T7" s="0" t="str">
        <f aca="false">SUBSTITUTE(SUBSTITUTE(SUBSTITUTE(SUBSTITUTE(SUBSTITUTE(SUBSTITUTE(SUBSTITUTE(SUBSTITUTE(SUBSTITUTE(LOWER(AC7&amp;""),"1","0"),"2","0"),"3","0"),"4","0"),"5","0"),"6","0"),"7","0"),"8","0"),"9","0")</f>
        <v>  </v>
      </c>
      <c r="U7" s="0" t="str">
        <f aca="false">SUBSTITUTE(SUBSTITUTE(SUBSTITUTE(SUBSTITUTE(SUBSTITUTE(SUBSTITUTE(SUBSTITUTE(SUBSTITUTE(SUBSTITUTE(SUBSTITUTE(SUBSTITUTE(SUBSTITUTE(SUBSTITUTE(SUBSTITUTE(SUBSTITUTE(SUBSTITUTE(SUBSTITUTE(SUBSTITUTE(SUBSTITUTE(SUBSTITUTE(SUBSTITUTE(SUBSTITUTE(SUBSTITUTE(SUBSTITUTE(SUBSTITUTE(T7,"b","a"),"c","a"),"d","a"),"e","a"),"f","a"),"g","a"),"h","a"),"i","a"),"j","a"),"k","a"),"l","a"),"m","a"),"n","a"),"o","a"),"p","a"),"q","a"),"r","a"),"s","a"),"t","a"),"u","a"),"v","a"),"w","a"),"x","a"),"y","a"),"z","a")</f>
        <v>  </v>
      </c>
      <c r="V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7," "&amp;LOWER(Flights!$F$7)&amp;" "," ~ ")," mh"," ~")," at "," ~ ")," by "," ~ ")," on "," ~ ")," to "," ~ ")," from "," ~ ")," until "," ~ ")," till "," ~ ")," before "," ~ ")," after "," ~ ")," around "," ~ ")," approx "," ~ ")," about "," ~ ")," since "," ~ ")," hrs "," ~ ")," hr "," ~ ")," hours "," ~ ")," time "," ~ ")," jan "," ~ ")," feb "," ~ ")," mar "," ~ ")," apr "," ~ ")," may "," ~ ")," jun "," ~ ")," jul "," ~ ")," aug "," ~ ")," sep "," ~ ")," sept "," ~ ")," oct "," ~ ")</f>
        <v>  </v>
      </c>
      <c r="W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7," "&amp;LOWER(Flights!$F$7)&amp;" "," ~ ")," mh"," ~")," at "," ~ ")," by "," ~ ")," on "," ~ ")," to "," ~ ")," from "," ~ ")," until "," ~ ")," till "," ~ ")," before "," ~ ")," after "," ~ ")," around "," ~ ")," approx "," ~ ")," about "," ~ ")," since "," ~ ")," hrs "," ~ ")," hr "," ~ ")," hours "," ~ ")," time "," ~ ")," jan "," ~ ")," feb "," ~ ")," mar "," ~ ")," apr "," ~ ")," may "," ~ ")," jun "," ~ ")," jul "," ~ ")," aug "," ~ ")," sep "," ~ ")," sept "," ~ ")," oct "," ~ ")</f>
        <v>  </v>
      </c>
      <c r="X7" s="0" t="str">
        <f aca="false">" "&amp;TRIM(SUBSTITUTE(SUBSTITUTE(SUBSTITUTE(SUBSTITUTE(SUBSTITUTE(SUBSTITUTE(SUBSTITUTE(SUBSTITUTE(SUBSTITUTE(SUBSTITUTE(SUBSTITUTE(SUBSTITUTE(SUBSTITUTE(SUBSTITUTE(SUBSTITUTE(SUBSTITUTE(SUBSTITUTE(SUBSTITUTE(SUBSTITUTE(SUBSTITUTE(SUBSTITUTE(SUBSTITUTE(SUBSTITUTE(SUBSTITUTE(LOWER(I7&amp;""),CHAR(10)," "),CHAR(13)," "),CHAR(9)," "),CHAR(160)," "),"."," "),","," "),"-"," "),"/"," "),"("," "),")"," "),":"," "),";"," "),"_"," "),"–"," "),"?"," "),"!"," "),"*"," "),"["," "),"]"," "),"'"," "),"#"," "),"+"," "),"&amp;"," "),"\"," "))&amp;" "</f>
        <v>  </v>
      </c>
      <c r="Y7" s="0" t="str">
        <f aca="false">" "&amp;TRIM(SUBSTITUTE(SUBSTITUTE(SUBSTITUTE(SUBSTITUTE(SUBSTITUTE(SUBSTITUTE(SUBSTITUTE(SUBSTITUTE(SUBSTITUTE(SUBSTITUTE(SUBSTITUTE(SUBSTITUTE(SUBSTITUTE(SUBSTITUTE(SUBSTITUTE(SUBSTITUTE(SUBSTITUTE(SUBSTITUTE(SUBSTITUTE(SUBSTITUTE(SUBSTITUTE(SUBSTITUTE(SUBSTITUTE(SUBSTITUTE(LOWER(N7&amp;""),CHAR(10)," "),CHAR(13)," "),CHAR(9)," "),CHAR(160)," "),"."," "),","," "),"-"," "),"/"," "),"("," "),")"," "),":"," "),";"," "),"_"," "),"–"," "),"?"," "),"!"," "),"*"," "),"["," "),"]"," "),"'"," "),"#"," "),"+"," "),"&amp;"," "),"\"," "))&amp;" "</f>
        <v>  </v>
      </c>
      <c r="Z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7,"jan","~"),"feb","~"),"mar","~"),"apr","~"),"may","~"),"jun","~"),"jul","~"),"aug","~"),"sep","~"),"oct","~"),"nov","~"),"dec","~")," nov "," ~ ")," dec "," ~ ")," mon "," ~ ")," tue "," ~ ")," wed "," ~ ")," thu "," ~ ")," fri "," ~ ")," sat "," ~ ")," sun "," ~ ")," gate "," ~ ")," bay "," ~ ")," stand "," ~ ")," position "," ~ ")," galley "," ~ ")," flight "," ~ ")," flt "," ~ ")," day "," ~ ")," date "," ~ ")," dated "," ~ ")," the "," ~ ")," and "," ~ ")," of "," ~ ")," in "," ~ ")," for "," ~ ")," with "," ~ ")</f>
        <v>  </v>
      </c>
      <c r="AA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7,"jan","~"),"feb","~"),"mar","~"),"apr","~"),"may","~"),"jun","~"),"jul","~"),"aug","~"),"sep","~"),"oct","~"),"nov","~"),"dec","~")," nov "," ~ ")," dec "," ~ ")," mon "," ~ ")," tue "," ~ ")," wed "," ~ ")," thu "," ~ ")," fri "," ~ ")," sat "," ~ ")," sun "," ~ ")," gate "," ~ ")," bay "," ~ ")," stand "," ~ ")," position "," ~ ")," galley "," ~ ")," flight "," ~ ")," flt "," ~ ")," day "," ~ ")," date "," ~ ")," dated "," ~ ")," the "," ~ ")," and "," ~ ")," of "," ~ ")," in "," ~ ")," for "," ~ ")," with "," ~ ")</f>
        <v>  </v>
      </c>
      <c r="AB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7," pax "," ~ ")," etd "," ~ ")," eta "," ~ ")," std "," ~ ")," sta "," ~ ")," atd "," ~ ")," ata "," ~ ")," lt "," ~ ")," utc "," ~ ")," local "," ~ ")," ok "," ~ ")," done "," ~ ")," seen "," ~ ")," chk "," ~ ")," chkd "," ~ ")," checked "," ~ ")," rcvd "," ~ ")," recd "," ~ ")," dep "," ~ ")," arr "," ~ ")," qty "," ~ ")," all "," ~ ")," ttl "," ~ ")," total "," ~ ")," via "," ~ ")," per "," ~ ")," call "," ~ ")," inbound "," ~ ")," outbound "," ~ ")," approx "," ~ ")</f>
        <v>  </v>
      </c>
      <c r="AC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7," pax "," ~ ")," etd "," ~ ")," eta "," ~ ")," std "," ~ ")," sta "," ~ ")," atd "," ~ ")," ata "," ~ ")," lt "," ~ ")," utc "," ~ ")," local "," ~ ")," ok "," ~ ")," done "," ~ ")," seen "," ~ ")," chk "," ~ ")," chkd "," ~ ")," checked "," ~ ")," rcvd "," ~ ")," recd "," ~ ")," dep "," ~ ")," arr "," ~ ")," qty "," ~ ")," all "," ~ ")," ttl "," ~ ")," total "," ~ ")," via "," ~ ")," per "," ~ ")," call "," ~ ")," inbound "," ~ ")," outbound "," ~ ")," approx "," ~ ")</f>
        <v>  </v>
      </c>
    </row>
    <row r="8" customFormat="false" ht="30" hidden="false" customHeight="true" outlineLevel="0" collapsed="false">
      <c r="A8" s="70" t="s">
        <v>218</v>
      </c>
      <c r="B8" s="57" t="str">
        <f aca="false">Flights!F8</f>
        <v>MH0088</v>
      </c>
      <c r="C8" s="71" t="n">
        <f aca="false">Flights!D8</f>
        <v>46305</v>
      </c>
      <c r="D8" s="70" t="str">
        <f aca="false">Flights!G8&amp;"-"&amp;Flights!H8</f>
        <v>KUL-NRT</v>
      </c>
      <c r="E8" s="70" t="str">
        <f aca="false">Flights!L8</f>
        <v>A350</v>
      </c>
      <c r="F8" s="60"/>
      <c r="G8" s="60"/>
      <c r="H8" s="72"/>
      <c r="I8" s="60"/>
      <c r="J8" s="73" t="str">
        <f aca="false">IFERROR(IF(AND(AND(LEN(SUBSTITUTE(SUBSTITUTE(SUBSTITUTE(SUBSTITUTE(SUBSTITUTE(SUBSTITUTE(SUBSTITUTE(SUBSTITUTE(SUBSTITUTE(SUBSTITUTE(SUBSTITUTE(SUBSTITUTE(SUBSTITUTE(SUBSTITUTE(SUBSTITUTE(SUBSTITUTE(LOWER(F8&amp;""),CHAR(10),""),CHAR(13),""),CHAR(9),""),CHAR(160),"")," ",""),".",""),"-",""),"/",""),"?",""),"_",""),",",""),"[",""),"]",""),"(",""),")",""),"*",""))&gt;=3,NOT(ISNUMBER(MATCH(LEFT(SUBSTITUTE(SUBSTITUTE(SUBSTITUTE(SUBSTITUTE(SUBSTITUTE(SUBSTITUTE(SUBSTITUTE(SUBSTITUTE(SUBSTITUTE(SUBSTITUTE(SUBSTITUTE(SUBSTITUTE(SUBSTITUTE(SUBSTITUTE(SUBSTITUTE(SUBSTITUTE(LOWER(F8&amp;""),CHAR(10),""),CHAR(13),""),CHAR(9),""),CHAR(160),"")," ",""),".",""),"-",""),"/",""),"?",""),"_",""),",",""),"[",""),"]",""),"(",""),")",""),"*",""),255),L_Placeholder,0)))),AND(SUMPRODUCT(--ISNUMBER(FIND({"0","1","2","3","4","5","6","7","8","9"},F8)))&gt;0,LOWER(TRIM(F8))&lt;&gt;LOWER(Flights!$F$8),NOT(AND(LEFT(LOWER(TRIM(F8)),2)="mh",ISNUMBER(--MID(TRIM(F8),3,6))))),AND(LEN(SUBSTITUTE(SUBSTITUTE(SUBSTITUTE(SUBSTITUTE(SUBSTITUTE(SUBSTITUTE(SUBSTITUTE(SUBSTITUTE(SUBSTITUTE(SUBSTITUTE(SUBSTITUTE(SUBSTITUTE(SUBSTITUTE(SUBSTITUTE(SUBSTITUTE(SUBSTITUTE(LOWER(G8&amp;""),CHAR(10),""),CHAR(13),""),CHAR(9),""),CHAR(160),"")," ",""),".",""),"-",""),"/",""),"?",""),"_",""),",",""),"[",""),"]",""),"(",""),")",""),"*",""))&gt;=1,NOT(ISNUMBER(MATCH(LEFT(SUBSTITUTE(SUBSTITUTE(SUBSTITUTE(SUBSTITUTE(SUBSTITUTE(SUBSTITUTE(SUBSTITUTE(SUBSTITUTE(SUBSTITUTE(SUBSTITUTE(SUBSTITUTE(SUBSTITUTE(SUBSTITUTE(SUBSTITUTE(SUBSTITUTE(SUBSTITUTE(LOWER(G8&amp;""),CHAR(10),""),CHAR(13),""),CHAR(9),""),CHAR(160),"")," ",""),".",""),"-",""),"/",""),"?",""),"_",""),",",""),"[",""),"]",""),"(",""),")",""),"*",""),255),L_Placeholder,0)))),ISNUMBER(H8),H8&gt;=DATE(2020,1,1),H8&lt;=Flights!$D$8,AND(LEN(SUBSTITUTE(SUBSTITUTE(SUBSTITUTE(SUBSTITUTE(SUBSTITUTE(SUBSTITUTE(SUBSTITUTE(SUBSTITUTE(SUBSTITUTE(SUBSTITUTE(SUBSTITUTE(SUBSTITUTE(SUBSTITUTE(SUBSTITUTE(SUBSTITUTE(SUBSTITUTE(LOWER(I8&amp;""),CHAR(10),""),CHAR(13),""),CHAR(9),""),CHAR(160),"")," ",""),".",""),"-",""),"/",""),"?",""),"_",""),",",""),"[",""),"]",""),"(",""),")",""),"*",""))&gt;=5,NOT(ISNUMBER(MATCH(LEFT(SUBSTITUTE(SUBSTITUTE(SUBSTITUTE(SUBSTITUTE(SUBSTITUTE(SUBSTITUTE(SUBSTITUTE(SUBSTITUTE(SUBSTITUTE(SUBSTITUTE(SUBSTITUTE(SUBSTITUTE(SUBSTITUTE(SUBSTITUTE(SUBSTITUTE(SUBSTITUTE(LOWER(I8&amp;""),CHAR(10),""),CHAR(13),""),CHAR(9),""),CHAR(160),"")," ",""),".",""),"-",""),"/",""),"?",""),"_",""),",",""),"[",""),"]",""),"(",""),")",""),"*",""),255),L_Placeholder,0)))),OR(SUMPRODUCT(--ISNUMBER(SEARCH({"aa000"," aa 000"," aaa 000"," aaaa 000"," a 0000"," a000 000"," aa 00 000"," aaa 00 000"},S8)))&gt;0,SUMPRODUCT(--ISNUMBER(SEARCH({"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8)))&gt;0,SUMPRODUCT(--ISNUMBER(SEARCH({"http","www.","\",".pdf",".jpg",".jpeg",".png",".heic",".xls",".doc",".msg",".eml"},I8)))&gt;0,AND(SUMPRODUCT(--ISNUMBER(SEARCH({"sharepoint","onedrive","teams","dms","q-pulse","qpulse"},I8)))&gt;0,ISNUMBER(SEARCH("0",R8)))),NOT(SUMPRODUCT((LEN(X8)-LEN(SUBSTITUTE(X8," "&amp;L_PendStrict&amp;" "," ")))/(LEN(L_PendStrict)+1))&gt;SUMPRODUCT((LEN(X8)-LEN(SUBSTITUTE(X8," "&amp;L_PendNeg&amp;" "," ")))/(LEN(L_PendNeg)+1)))),"ON FILE","OUTSTANDING"),"OUTSTANDING")</f>
        <v>OUTSTANDING</v>
      </c>
      <c r="K8" s="60"/>
      <c r="L8" s="60"/>
      <c r="M8" s="72"/>
      <c r="N8" s="60"/>
      <c r="O8" s="73" t="str">
        <f aca="false">IFERROR(IF(AND(AND(LEN(SUBSTITUTE(SUBSTITUTE(SUBSTITUTE(SUBSTITUTE(SUBSTITUTE(SUBSTITUTE(SUBSTITUTE(SUBSTITUTE(SUBSTITUTE(SUBSTITUTE(SUBSTITUTE(SUBSTITUTE(SUBSTITUTE(SUBSTITUTE(SUBSTITUTE(SUBSTITUTE(LOWER(K8&amp;""),CHAR(10),""),CHAR(13),""),CHAR(9),""),CHAR(160),"")," ",""),".",""),"-",""),"/",""),"?",""),"_",""),",",""),"[",""),"]",""),"(",""),")",""),"*",""))&gt;=3,NOT(ISNUMBER(MATCH(LEFT(SUBSTITUTE(SUBSTITUTE(SUBSTITUTE(SUBSTITUTE(SUBSTITUTE(SUBSTITUTE(SUBSTITUTE(SUBSTITUTE(SUBSTITUTE(SUBSTITUTE(SUBSTITUTE(SUBSTITUTE(SUBSTITUTE(SUBSTITUTE(SUBSTITUTE(SUBSTITUTE(LOWER(K8&amp;""),CHAR(10),""),CHAR(13),""),CHAR(9),""),CHAR(160),"")," ",""),".",""),"-",""),"/",""),"?",""),"_",""),",",""),"[",""),"]",""),"(",""),")",""),"*",""),255),L_Placeholder,0)))),AND(SUMPRODUCT(--ISNUMBER(FIND({"0","1","2","3","4","5","6","7","8","9"},K8)))&gt;0,LOWER(TRIM(K8))&lt;&gt;LOWER(Flights!$F$8),NOT(AND(LEFT(LOWER(TRIM(K8)),2)="mh",ISNUMBER(--MID(TRIM(K8),3,6))))),AND(LEN(SUBSTITUTE(SUBSTITUTE(SUBSTITUTE(SUBSTITUTE(SUBSTITUTE(SUBSTITUTE(SUBSTITUTE(SUBSTITUTE(SUBSTITUTE(SUBSTITUTE(SUBSTITUTE(SUBSTITUTE(SUBSTITUTE(SUBSTITUTE(SUBSTITUTE(SUBSTITUTE(LOWER(L8&amp;""),CHAR(10),""),CHAR(13),""),CHAR(9),""),CHAR(160),"")," ",""),".",""),"-",""),"/",""),"?",""),"_",""),",",""),"[",""),"]",""),"(",""),")",""),"*",""))&gt;=1,NOT(ISNUMBER(MATCH(LEFT(SUBSTITUTE(SUBSTITUTE(SUBSTITUTE(SUBSTITUTE(SUBSTITUTE(SUBSTITUTE(SUBSTITUTE(SUBSTITUTE(SUBSTITUTE(SUBSTITUTE(SUBSTITUTE(SUBSTITUTE(SUBSTITUTE(SUBSTITUTE(SUBSTITUTE(SUBSTITUTE(LOWER(L8&amp;""),CHAR(10),""),CHAR(13),""),CHAR(9),""),CHAR(160),"")," ",""),".",""),"-",""),"/",""),"?",""),"_",""),",",""),"[",""),"]",""),"(",""),")",""),"*",""),255),L_Placeholder,0)))),ISNUMBER(M8),M8&gt;=DATE(2020,1,1),M8&lt;=Flights!$D$8,AND(LEN(SUBSTITUTE(SUBSTITUTE(SUBSTITUTE(SUBSTITUTE(SUBSTITUTE(SUBSTITUTE(SUBSTITUTE(SUBSTITUTE(SUBSTITUTE(SUBSTITUTE(SUBSTITUTE(SUBSTITUTE(SUBSTITUTE(SUBSTITUTE(SUBSTITUTE(SUBSTITUTE(LOWER(N8&amp;""),CHAR(10),""),CHAR(13),""),CHAR(9),""),CHAR(160),"")," ",""),".",""),"-",""),"/",""),"?",""),"_",""),",",""),"[",""),"]",""),"(",""),")",""),"*",""))&gt;=5,NOT(ISNUMBER(MATCH(LEFT(SUBSTITUTE(SUBSTITUTE(SUBSTITUTE(SUBSTITUTE(SUBSTITUTE(SUBSTITUTE(SUBSTITUTE(SUBSTITUTE(SUBSTITUTE(SUBSTITUTE(SUBSTITUTE(SUBSTITUTE(SUBSTITUTE(SUBSTITUTE(SUBSTITUTE(SUBSTITUTE(LOWER(N8&amp;""),CHAR(10),""),CHAR(13),""),CHAR(9),""),CHAR(160),"")," ",""),".",""),"-",""),"/",""),"?",""),"_",""),",",""),"[",""),"]",""),"(",""),")",""),"*",""),255),L_Placeholder,0)))),OR(SUMPRODUCT(--ISNUMBER(SEARCH({"aa000"," aa 000"," aaa 000"," aaaa 000"," a 0000"," a000 000"," aa 00 000"," aaa 00 000"},U8)))&gt;0,SUMPRODUCT(--ISNUMBER(SEARCH({"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8)))&gt;0,SUMPRODUCT(--ISNUMBER(SEARCH({"http","www.","\",".pdf",".jpg",".jpeg",".png",".heic",".xls",".doc",".msg",".eml"},N8)))&gt;0,AND(SUMPRODUCT(--ISNUMBER(SEARCH({"sharepoint","onedrive","teams","dms","q-pulse","qpulse"},N8)))&gt;0,ISNUMBER(SEARCH("0",T8)))),NOT(SUMPRODUCT((LEN(Y8)-LEN(SUBSTITUTE(Y8," "&amp;L_PendStrict&amp;" "," ")))/(LEN(L_PendStrict)+1))&gt;SUMPRODUCT((LEN(Y8)-LEN(SUBSTITUTE(Y8," "&amp;L_PendNeg&amp;" "," ")))/(LEN(L_PendNeg)+1)))),"ON FILE","OUTSTANDING"),"OUTSTANDING")</f>
        <v>OUTSTANDING</v>
      </c>
      <c r="P8" s="74" t="n">
        <f aca="false">(J8="OUTSTANDING")+(O8="OUTSTANDING")</f>
        <v>2</v>
      </c>
      <c r="Q8" s="57" t="s">
        <v>1496</v>
      </c>
      <c r="R8" s="0" t="str">
        <f aca="false">SUBSTITUTE(SUBSTITUTE(SUBSTITUTE(SUBSTITUTE(SUBSTITUTE(SUBSTITUTE(SUBSTITUTE(SUBSTITUTE(SUBSTITUTE(LOWER(AB8&amp;""),"1","0"),"2","0"),"3","0"),"4","0"),"5","0"),"6","0"),"7","0"),"8","0"),"9","0")</f>
        <v>  </v>
      </c>
      <c r="S8" s="0" t="str">
        <f aca="false">SUBSTITUTE(SUBSTITUTE(SUBSTITUTE(SUBSTITUTE(SUBSTITUTE(SUBSTITUTE(SUBSTITUTE(SUBSTITUTE(SUBSTITUTE(SUBSTITUTE(SUBSTITUTE(SUBSTITUTE(SUBSTITUTE(SUBSTITUTE(SUBSTITUTE(SUBSTITUTE(SUBSTITUTE(SUBSTITUTE(SUBSTITUTE(SUBSTITUTE(SUBSTITUTE(SUBSTITUTE(SUBSTITUTE(SUBSTITUTE(SUBSTITUTE(R8,"b","a"),"c","a"),"d","a"),"e","a"),"f","a"),"g","a"),"h","a"),"i","a"),"j","a"),"k","a"),"l","a"),"m","a"),"n","a"),"o","a"),"p","a"),"q","a"),"r","a"),"s","a"),"t","a"),"u","a"),"v","a"),"w","a"),"x","a"),"y","a"),"z","a")</f>
        <v>  </v>
      </c>
      <c r="T8" s="0" t="str">
        <f aca="false">SUBSTITUTE(SUBSTITUTE(SUBSTITUTE(SUBSTITUTE(SUBSTITUTE(SUBSTITUTE(SUBSTITUTE(SUBSTITUTE(SUBSTITUTE(LOWER(AC8&amp;""),"1","0"),"2","0"),"3","0"),"4","0"),"5","0"),"6","0"),"7","0"),"8","0"),"9","0")</f>
        <v>  </v>
      </c>
      <c r="U8" s="0" t="str">
        <f aca="false">SUBSTITUTE(SUBSTITUTE(SUBSTITUTE(SUBSTITUTE(SUBSTITUTE(SUBSTITUTE(SUBSTITUTE(SUBSTITUTE(SUBSTITUTE(SUBSTITUTE(SUBSTITUTE(SUBSTITUTE(SUBSTITUTE(SUBSTITUTE(SUBSTITUTE(SUBSTITUTE(SUBSTITUTE(SUBSTITUTE(SUBSTITUTE(SUBSTITUTE(SUBSTITUTE(SUBSTITUTE(SUBSTITUTE(SUBSTITUTE(SUBSTITUTE(T8,"b","a"),"c","a"),"d","a"),"e","a"),"f","a"),"g","a"),"h","a"),"i","a"),"j","a"),"k","a"),"l","a"),"m","a"),"n","a"),"o","a"),"p","a"),"q","a"),"r","a"),"s","a"),"t","a"),"u","a"),"v","a"),"w","a"),"x","a"),"y","a"),"z","a")</f>
        <v>  </v>
      </c>
      <c r="V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8," "&amp;LOWER(Flights!$F$8)&amp;" "," ~ ")," mh"," ~")," at "," ~ ")," by "," ~ ")," on "," ~ ")," to "," ~ ")," from "," ~ ")," until "," ~ ")," till "," ~ ")," before "," ~ ")," after "," ~ ")," around "," ~ ")," approx "," ~ ")," about "," ~ ")," since "," ~ ")," hrs "," ~ ")," hr "," ~ ")," hours "," ~ ")," time "," ~ ")," jan "," ~ ")," feb "," ~ ")," mar "," ~ ")," apr "," ~ ")," may "," ~ ")," jun "," ~ ")," jul "," ~ ")," aug "," ~ ")," sep "," ~ ")," sept "," ~ ")," oct "," ~ ")</f>
        <v>  </v>
      </c>
      <c r="W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8," "&amp;LOWER(Flights!$F$8)&amp;" "," ~ ")," mh"," ~")," at "," ~ ")," by "," ~ ")," on "," ~ ")," to "," ~ ")," from "," ~ ")," until "," ~ ")," till "," ~ ")," before "," ~ ")," after "," ~ ")," around "," ~ ")," approx "," ~ ")," about "," ~ ")," since "," ~ ")," hrs "," ~ ")," hr "," ~ ")," hours "," ~ ")," time "," ~ ")," jan "," ~ ")," feb "," ~ ")," mar "," ~ ")," apr "," ~ ")," may "," ~ ")," jun "," ~ ")," jul "," ~ ")," aug "," ~ ")," sep "," ~ ")," sept "," ~ ")," oct "," ~ ")</f>
        <v>  </v>
      </c>
      <c r="X8" s="0" t="str">
        <f aca="false">" "&amp;TRIM(SUBSTITUTE(SUBSTITUTE(SUBSTITUTE(SUBSTITUTE(SUBSTITUTE(SUBSTITUTE(SUBSTITUTE(SUBSTITUTE(SUBSTITUTE(SUBSTITUTE(SUBSTITUTE(SUBSTITUTE(SUBSTITUTE(SUBSTITUTE(SUBSTITUTE(SUBSTITUTE(SUBSTITUTE(SUBSTITUTE(SUBSTITUTE(SUBSTITUTE(SUBSTITUTE(SUBSTITUTE(SUBSTITUTE(SUBSTITUTE(LOWER(I8&amp;""),CHAR(10)," "),CHAR(13)," "),CHAR(9)," "),CHAR(160)," "),"."," "),","," "),"-"," "),"/"," "),"("," "),")"," "),":"," "),";"," "),"_"," "),"–"," "),"?"," "),"!"," "),"*"," "),"["," "),"]"," "),"'"," "),"#"," "),"+"," "),"&amp;"," "),"\"," "))&amp;" "</f>
        <v>  </v>
      </c>
      <c r="Y8" s="0" t="str">
        <f aca="false">" "&amp;TRIM(SUBSTITUTE(SUBSTITUTE(SUBSTITUTE(SUBSTITUTE(SUBSTITUTE(SUBSTITUTE(SUBSTITUTE(SUBSTITUTE(SUBSTITUTE(SUBSTITUTE(SUBSTITUTE(SUBSTITUTE(SUBSTITUTE(SUBSTITUTE(SUBSTITUTE(SUBSTITUTE(SUBSTITUTE(SUBSTITUTE(SUBSTITUTE(SUBSTITUTE(SUBSTITUTE(SUBSTITUTE(SUBSTITUTE(SUBSTITUTE(LOWER(N8&amp;""),CHAR(10)," "),CHAR(13)," "),CHAR(9)," "),CHAR(160)," "),"."," "),","," "),"-"," "),"/"," "),"("," "),")"," "),":"," "),";"," "),"_"," "),"–"," "),"?"," "),"!"," "),"*"," "),"["," "),"]"," "),"'"," "),"#"," "),"+"," "),"&amp;"," "),"\"," "))&amp;" "</f>
        <v>  </v>
      </c>
      <c r="Z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8,"jan","~"),"feb","~"),"mar","~"),"apr","~"),"may","~"),"jun","~"),"jul","~"),"aug","~"),"sep","~"),"oct","~"),"nov","~"),"dec","~")," nov "," ~ ")," dec "," ~ ")," mon "," ~ ")," tue "," ~ ")," wed "," ~ ")," thu "," ~ ")," fri "," ~ ")," sat "," ~ ")," sun "," ~ ")," gate "," ~ ")," bay "," ~ ")," stand "," ~ ")," position "," ~ ")," galley "," ~ ")," flight "," ~ ")," flt "," ~ ")," day "," ~ ")," date "," ~ ")," dated "," ~ ")," the "," ~ ")," and "," ~ ")," of "," ~ ")," in "," ~ ")," for "," ~ ")," with "," ~ ")</f>
        <v>  </v>
      </c>
      <c r="AA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8,"jan","~"),"feb","~"),"mar","~"),"apr","~"),"may","~"),"jun","~"),"jul","~"),"aug","~"),"sep","~"),"oct","~"),"nov","~"),"dec","~")," nov "," ~ ")," dec "," ~ ")," mon "," ~ ")," tue "," ~ ")," wed "," ~ ")," thu "," ~ ")," fri "," ~ ")," sat "," ~ ")," sun "," ~ ")," gate "," ~ ")," bay "," ~ ")," stand "," ~ ")," position "," ~ ")," galley "," ~ ")," flight "," ~ ")," flt "," ~ ")," day "," ~ ")," date "," ~ ")," dated "," ~ ")," the "," ~ ")," and "," ~ ")," of "," ~ ")," in "," ~ ")," for "," ~ ")," with "," ~ ")</f>
        <v>  </v>
      </c>
      <c r="AB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8," pax "," ~ ")," etd "," ~ ")," eta "," ~ ")," std "," ~ ")," sta "," ~ ")," atd "," ~ ")," ata "," ~ ")," lt "," ~ ")," utc "," ~ ")," local "," ~ ")," ok "," ~ ")," done "," ~ ")," seen "," ~ ")," chk "," ~ ")," chkd "," ~ ")," checked "," ~ ")," rcvd "," ~ ")," recd "," ~ ")," dep "," ~ ")," arr "," ~ ")," qty "," ~ ")," all "," ~ ")," ttl "," ~ ")," total "," ~ ")," via "," ~ ")," per "," ~ ")," call "," ~ ")," inbound "," ~ ")," outbound "," ~ ")," approx "," ~ ")</f>
        <v>  </v>
      </c>
      <c r="AC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8," pax "," ~ ")," etd "," ~ ")," eta "," ~ ")," std "," ~ ")," sta "," ~ ")," atd "," ~ ")," ata "," ~ ")," lt "," ~ ")," utc "," ~ ")," local "," ~ ")," ok "," ~ ")," done "," ~ ")," seen "," ~ ")," chk "," ~ ")," chkd "," ~ ")," checked "," ~ ")," rcvd "," ~ ")," recd "," ~ ")," dep "," ~ ")," arr "," ~ ")," qty "," ~ ")," all "," ~ ")," ttl "," ~ ")," total "," ~ ")," via "," ~ ")," per "," ~ ")," call "," ~ ")," inbound "," ~ ")," outbound "," ~ ")," approx "," ~ ")</f>
        <v>  </v>
      </c>
    </row>
    <row r="9" customFormat="false" ht="30" hidden="false" customHeight="true" outlineLevel="0" collapsed="false">
      <c r="A9" s="70" t="s">
        <v>228</v>
      </c>
      <c r="B9" s="57" t="str">
        <f aca="false">Flights!F9</f>
        <v>MH0089</v>
      </c>
      <c r="C9" s="71" t="n">
        <f aca="false">Flights!D9</f>
        <v>46310</v>
      </c>
      <c r="D9" s="70" t="str">
        <f aca="false">Flights!G9&amp;"-"&amp;Flights!H9</f>
        <v>NRT-KUL</v>
      </c>
      <c r="E9" s="70" t="str">
        <f aca="false">Flights!L9</f>
        <v>A350</v>
      </c>
      <c r="F9" s="60"/>
      <c r="G9" s="60"/>
      <c r="H9" s="72"/>
      <c r="I9" s="60"/>
      <c r="J9" s="73" t="str">
        <f aca="false">IFERROR(IF(AND(AND(LEN(SUBSTITUTE(SUBSTITUTE(SUBSTITUTE(SUBSTITUTE(SUBSTITUTE(SUBSTITUTE(SUBSTITUTE(SUBSTITUTE(SUBSTITUTE(SUBSTITUTE(SUBSTITUTE(SUBSTITUTE(SUBSTITUTE(SUBSTITUTE(SUBSTITUTE(SUBSTITUTE(LOWER(F9&amp;""),CHAR(10),""),CHAR(13),""),CHAR(9),""),CHAR(160),"")," ",""),".",""),"-",""),"/",""),"?",""),"_",""),",",""),"[",""),"]",""),"(",""),")",""),"*",""))&gt;=3,NOT(ISNUMBER(MATCH(LEFT(SUBSTITUTE(SUBSTITUTE(SUBSTITUTE(SUBSTITUTE(SUBSTITUTE(SUBSTITUTE(SUBSTITUTE(SUBSTITUTE(SUBSTITUTE(SUBSTITUTE(SUBSTITUTE(SUBSTITUTE(SUBSTITUTE(SUBSTITUTE(SUBSTITUTE(SUBSTITUTE(LOWER(F9&amp;""),CHAR(10),""),CHAR(13),""),CHAR(9),""),CHAR(160),"")," ",""),".",""),"-",""),"/",""),"?",""),"_",""),",",""),"[",""),"]",""),"(",""),")",""),"*",""),255),L_Placeholder,0)))),AND(SUMPRODUCT(--ISNUMBER(FIND({"0","1","2","3","4","5","6","7","8","9"},F9)))&gt;0,LOWER(TRIM(F9))&lt;&gt;LOWER(Flights!$F$9),NOT(AND(LEFT(LOWER(TRIM(F9)),2)="mh",ISNUMBER(--MID(TRIM(F9),3,6))))),AND(LEN(SUBSTITUTE(SUBSTITUTE(SUBSTITUTE(SUBSTITUTE(SUBSTITUTE(SUBSTITUTE(SUBSTITUTE(SUBSTITUTE(SUBSTITUTE(SUBSTITUTE(SUBSTITUTE(SUBSTITUTE(SUBSTITUTE(SUBSTITUTE(SUBSTITUTE(SUBSTITUTE(LOWER(G9&amp;""),CHAR(10),""),CHAR(13),""),CHAR(9),""),CHAR(160),"")," ",""),".",""),"-",""),"/",""),"?",""),"_",""),",",""),"[",""),"]",""),"(",""),")",""),"*",""))&gt;=1,NOT(ISNUMBER(MATCH(LEFT(SUBSTITUTE(SUBSTITUTE(SUBSTITUTE(SUBSTITUTE(SUBSTITUTE(SUBSTITUTE(SUBSTITUTE(SUBSTITUTE(SUBSTITUTE(SUBSTITUTE(SUBSTITUTE(SUBSTITUTE(SUBSTITUTE(SUBSTITUTE(SUBSTITUTE(SUBSTITUTE(LOWER(G9&amp;""),CHAR(10),""),CHAR(13),""),CHAR(9),""),CHAR(160),"")," ",""),".",""),"-",""),"/",""),"?",""),"_",""),",",""),"[",""),"]",""),"(",""),")",""),"*",""),255),L_Placeholder,0)))),ISNUMBER(H9),H9&gt;=DATE(2020,1,1),H9&lt;=Flights!$D$9,AND(LEN(SUBSTITUTE(SUBSTITUTE(SUBSTITUTE(SUBSTITUTE(SUBSTITUTE(SUBSTITUTE(SUBSTITUTE(SUBSTITUTE(SUBSTITUTE(SUBSTITUTE(SUBSTITUTE(SUBSTITUTE(SUBSTITUTE(SUBSTITUTE(SUBSTITUTE(SUBSTITUTE(LOWER(I9&amp;""),CHAR(10),""),CHAR(13),""),CHAR(9),""),CHAR(160),"")," ",""),".",""),"-",""),"/",""),"?",""),"_",""),",",""),"[",""),"]",""),"(",""),")",""),"*",""))&gt;=5,NOT(ISNUMBER(MATCH(LEFT(SUBSTITUTE(SUBSTITUTE(SUBSTITUTE(SUBSTITUTE(SUBSTITUTE(SUBSTITUTE(SUBSTITUTE(SUBSTITUTE(SUBSTITUTE(SUBSTITUTE(SUBSTITUTE(SUBSTITUTE(SUBSTITUTE(SUBSTITUTE(SUBSTITUTE(SUBSTITUTE(LOWER(I9&amp;""),CHAR(10),""),CHAR(13),""),CHAR(9),""),CHAR(160),"")," ",""),".",""),"-",""),"/",""),"?",""),"_",""),",",""),"[",""),"]",""),"(",""),")",""),"*",""),255),L_Placeholder,0)))),OR(SUMPRODUCT(--ISNUMBER(SEARCH({"aa000"," aa 000"," aaa 000"," aaaa 000"," a 0000"," a000 000"," aa 00 000"," aaa 00 000"},S9)))&gt;0,SUMPRODUCT(--ISNUMBER(SEARCH({"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9)))&gt;0,SUMPRODUCT(--ISNUMBER(SEARCH({"http","www.","\",".pdf",".jpg",".jpeg",".png",".heic",".xls",".doc",".msg",".eml"},I9)))&gt;0,AND(SUMPRODUCT(--ISNUMBER(SEARCH({"sharepoint","onedrive","teams","dms","q-pulse","qpulse"},I9)))&gt;0,ISNUMBER(SEARCH("0",R9)))),NOT(SUMPRODUCT((LEN(X9)-LEN(SUBSTITUTE(X9," "&amp;L_PendStrict&amp;" "," ")))/(LEN(L_PendStrict)+1))&gt;SUMPRODUCT((LEN(X9)-LEN(SUBSTITUTE(X9," "&amp;L_PendNeg&amp;" "," ")))/(LEN(L_PendNeg)+1)))),"ON FILE","OUTSTANDING"),"OUTSTANDING")</f>
        <v>OUTSTANDING</v>
      </c>
      <c r="K9" s="60"/>
      <c r="L9" s="60"/>
      <c r="M9" s="72"/>
      <c r="N9" s="60"/>
      <c r="O9" s="73" t="str">
        <f aca="false">IFERROR(IF(AND(AND(LEN(SUBSTITUTE(SUBSTITUTE(SUBSTITUTE(SUBSTITUTE(SUBSTITUTE(SUBSTITUTE(SUBSTITUTE(SUBSTITUTE(SUBSTITUTE(SUBSTITUTE(SUBSTITUTE(SUBSTITUTE(SUBSTITUTE(SUBSTITUTE(SUBSTITUTE(SUBSTITUTE(LOWER(K9&amp;""),CHAR(10),""),CHAR(13),""),CHAR(9),""),CHAR(160),"")," ",""),".",""),"-",""),"/",""),"?",""),"_",""),",",""),"[",""),"]",""),"(",""),")",""),"*",""))&gt;=3,NOT(ISNUMBER(MATCH(LEFT(SUBSTITUTE(SUBSTITUTE(SUBSTITUTE(SUBSTITUTE(SUBSTITUTE(SUBSTITUTE(SUBSTITUTE(SUBSTITUTE(SUBSTITUTE(SUBSTITUTE(SUBSTITUTE(SUBSTITUTE(SUBSTITUTE(SUBSTITUTE(SUBSTITUTE(SUBSTITUTE(LOWER(K9&amp;""),CHAR(10),""),CHAR(13),""),CHAR(9),""),CHAR(160),"")," ",""),".",""),"-",""),"/",""),"?",""),"_",""),",",""),"[",""),"]",""),"(",""),")",""),"*",""),255),L_Placeholder,0)))),AND(SUMPRODUCT(--ISNUMBER(FIND({"0","1","2","3","4","5","6","7","8","9"},K9)))&gt;0,LOWER(TRIM(K9))&lt;&gt;LOWER(Flights!$F$9),NOT(AND(LEFT(LOWER(TRIM(K9)),2)="mh",ISNUMBER(--MID(TRIM(K9),3,6))))),AND(LEN(SUBSTITUTE(SUBSTITUTE(SUBSTITUTE(SUBSTITUTE(SUBSTITUTE(SUBSTITUTE(SUBSTITUTE(SUBSTITUTE(SUBSTITUTE(SUBSTITUTE(SUBSTITUTE(SUBSTITUTE(SUBSTITUTE(SUBSTITUTE(SUBSTITUTE(SUBSTITUTE(LOWER(L9&amp;""),CHAR(10),""),CHAR(13),""),CHAR(9),""),CHAR(160),"")," ",""),".",""),"-",""),"/",""),"?",""),"_",""),",",""),"[",""),"]",""),"(",""),")",""),"*",""))&gt;=1,NOT(ISNUMBER(MATCH(LEFT(SUBSTITUTE(SUBSTITUTE(SUBSTITUTE(SUBSTITUTE(SUBSTITUTE(SUBSTITUTE(SUBSTITUTE(SUBSTITUTE(SUBSTITUTE(SUBSTITUTE(SUBSTITUTE(SUBSTITUTE(SUBSTITUTE(SUBSTITUTE(SUBSTITUTE(SUBSTITUTE(LOWER(L9&amp;""),CHAR(10),""),CHAR(13),""),CHAR(9),""),CHAR(160),"")," ",""),".",""),"-",""),"/",""),"?",""),"_",""),",",""),"[",""),"]",""),"(",""),")",""),"*",""),255),L_Placeholder,0)))),ISNUMBER(M9),M9&gt;=DATE(2020,1,1),M9&lt;=Flights!$D$9,AND(LEN(SUBSTITUTE(SUBSTITUTE(SUBSTITUTE(SUBSTITUTE(SUBSTITUTE(SUBSTITUTE(SUBSTITUTE(SUBSTITUTE(SUBSTITUTE(SUBSTITUTE(SUBSTITUTE(SUBSTITUTE(SUBSTITUTE(SUBSTITUTE(SUBSTITUTE(SUBSTITUTE(LOWER(N9&amp;""),CHAR(10),""),CHAR(13),""),CHAR(9),""),CHAR(160),"")," ",""),".",""),"-",""),"/",""),"?",""),"_",""),",",""),"[",""),"]",""),"(",""),")",""),"*",""))&gt;=5,NOT(ISNUMBER(MATCH(LEFT(SUBSTITUTE(SUBSTITUTE(SUBSTITUTE(SUBSTITUTE(SUBSTITUTE(SUBSTITUTE(SUBSTITUTE(SUBSTITUTE(SUBSTITUTE(SUBSTITUTE(SUBSTITUTE(SUBSTITUTE(SUBSTITUTE(SUBSTITUTE(SUBSTITUTE(SUBSTITUTE(LOWER(N9&amp;""),CHAR(10),""),CHAR(13),""),CHAR(9),""),CHAR(160),"")," ",""),".",""),"-",""),"/",""),"?",""),"_",""),",",""),"[",""),"]",""),"(",""),")",""),"*",""),255),L_Placeholder,0)))),OR(SUMPRODUCT(--ISNUMBER(SEARCH({"aa000"," aa 000"," aaa 000"," aaaa 000"," a 0000"," a000 000"," aa 00 000"," aaa 00 000"},U9)))&gt;0,SUMPRODUCT(--ISNUMBER(SEARCH({"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9)))&gt;0,SUMPRODUCT(--ISNUMBER(SEARCH({"http","www.","\",".pdf",".jpg",".jpeg",".png",".heic",".xls",".doc",".msg",".eml"},N9)))&gt;0,AND(SUMPRODUCT(--ISNUMBER(SEARCH({"sharepoint","onedrive","teams","dms","q-pulse","qpulse"},N9)))&gt;0,ISNUMBER(SEARCH("0",T9)))),NOT(SUMPRODUCT((LEN(Y9)-LEN(SUBSTITUTE(Y9," "&amp;L_PendStrict&amp;" "," ")))/(LEN(L_PendStrict)+1))&gt;SUMPRODUCT((LEN(Y9)-LEN(SUBSTITUTE(Y9," "&amp;L_PendNeg&amp;" "," ")))/(LEN(L_PendNeg)+1)))),"ON FILE","OUTSTANDING"),"OUTSTANDING")</f>
        <v>OUTSTANDING</v>
      </c>
      <c r="P9" s="74" t="n">
        <f aca="false">(J9="OUTSTANDING")+(O9="OUTSTANDING")</f>
        <v>2</v>
      </c>
      <c r="Q9" s="57" t="s">
        <v>1496</v>
      </c>
      <c r="R9" s="0" t="str">
        <f aca="false">SUBSTITUTE(SUBSTITUTE(SUBSTITUTE(SUBSTITUTE(SUBSTITUTE(SUBSTITUTE(SUBSTITUTE(SUBSTITUTE(SUBSTITUTE(LOWER(AB9&amp;""),"1","0"),"2","0"),"3","0"),"4","0"),"5","0"),"6","0"),"7","0"),"8","0"),"9","0")</f>
        <v>  </v>
      </c>
      <c r="S9" s="0" t="str">
        <f aca="false">SUBSTITUTE(SUBSTITUTE(SUBSTITUTE(SUBSTITUTE(SUBSTITUTE(SUBSTITUTE(SUBSTITUTE(SUBSTITUTE(SUBSTITUTE(SUBSTITUTE(SUBSTITUTE(SUBSTITUTE(SUBSTITUTE(SUBSTITUTE(SUBSTITUTE(SUBSTITUTE(SUBSTITUTE(SUBSTITUTE(SUBSTITUTE(SUBSTITUTE(SUBSTITUTE(SUBSTITUTE(SUBSTITUTE(SUBSTITUTE(SUBSTITUTE(R9,"b","a"),"c","a"),"d","a"),"e","a"),"f","a"),"g","a"),"h","a"),"i","a"),"j","a"),"k","a"),"l","a"),"m","a"),"n","a"),"o","a"),"p","a"),"q","a"),"r","a"),"s","a"),"t","a"),"u","a"),"v","a"),"w","a"),"x","a"),"y","a"),"z","a")</f>
        <v>  </v>
      </c>
      <c r="T9" s="0" t="str">
        <f aca="false">SUBSTITUTE(SUBSTITUTE(SUBSTITUTE(SUBSTITUTE(SUBSTITUTE(SUBSTITUTE(SUBSTITUTE(SUBSTITUTE(SUBSTITUTE(LOWER(AC9&amp;""),"1","0"),"2","0"),"3","0"),"4","0"),"5","0"),"6","0"),"7","0"),"8","0"),"9","0")</f>
        <v>  </v>
      </c>
      <c r="U9" s="0" t="str">
        <f aca="false">SUBSTITUTE(SUBSTITUTE(SUBSTITUTE(SUBSTITUTE(SUBSTITUTE(SUBSTITUTE(SUBSTITUTE(SUBSTITUTE(SUBSTITUTE(SUBSTITUTE(SUBSTITUTE(SUBSTITUTE(SUBSTITUTE(SUBSTITUTE(SUBSTITUTE(SUBSTITUTE(SUBSTITUTE(SUBSTITUTE(SUBSTITUTE(SUBSTITUTE(SUBSTITUTE(SUBSTITUTE(SUBSTITUTE(SUBSTITUTE(SUBSTITUTE(T9,"b","a"),"c","a"),"d","a"),"e","a"),"f","a"),"g","a"),"h","a"),"i","a"),"j","a"),"k","a"),"l","a"),"m","a"),"n","a"),"o","a"),"p","a"),"q","a"),"r","a"),"s","a"),"t","a"),"u","a"),"v","a"),"w","a"),"x","a"),"y","a"),"z","a")</f>
        <v>  </v>
      </c>
      <c r="V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9," "&amp;LOWER(Flights!$F$9)&amp;" "," ~ ")," mh"," ~")," at "," ~ ")," by "," ~ ")," on "," ~ ")," to "," ~ ")," from "," ~ ")," until "," ~ ")," till "," ~ ")," before "," ~ ")," after "," ~ ")," around "," ~ ")," approx "," ~ ")," about "," ~ ")," since "," ~ ")," hrs "," ~ ")," hr "," ~ ")," hours "," ~ ")," time "," ~ ")," jan "," ~ ")," feb "," ~ ")," mar "," ~ ")," apr "," ~ ")," may "," ~ ")," jun "," ~ ")," jul "," ~ ")," aug "," ~ ")," sep "," ~ ")," sept "," ~ ")," oct "," ~ ")</f>
        <v>  </v>
      </c>
      <c r="W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9," "&amp;LOWER(Flights!$F$9)&amp;" "," ~ ")," mh"," ~")," at "," ~ ")," by "," ~ ")," on "," ~ ")," to "," ~ ")," from "," ~ ")," until "," ~ ")," till "," ~ ")," before "," ~ ")," after "," ~ ")," around "," ~ ")," approx "," ~ ")," about "," ~ ")," since "," ~ ")," hrs "," ~ ")," hr "," ~ ")," hours "," ~ ")," time "," ~ ")," jan "," ~ ")," feb "," ~ ")," mar "," ~ ")," apr "," ~ ")," may "," ~ ")," jun "," ~ ")," jul "," ~ ")," aug "," ~ ")," sep "," ~ ")," sept "," ~ ")," oct "," ~ ")</f>
        <v>  </v>
      </c>
      <c r="X9" s="0" t="str">
        <f aca="false">" "&amp;TRIM(SUBSTITUTE(SUBSTITUTE(SUBSTITUTE(SUBSTITUTE(SUBSTITUTE(SUBSTITUTE(SUBSTITUTE(SUBSTITUTE(SUBSTITUTE(SUBSTITUTE(SUBSTITUTE(SUBSTITUTE(SUBSTITUTE(SUBSTITUTE(SUBSTITUTE(SUBSTITUTE(SUBSTITUTE(SUBSTITUTE(SUBSTITUTE(SUBSTITUTE(SUBSTITUTE(SUBSTITUTE(SUBSTITUTE(SUBSTITUTE(LOWER(I9&amp;""),CHAR(10)," "),CHAR(13)," "),CHAR(9)," "),CHAR(160)," "),"."," "),","," "),"-"," "),"/"," "),"("," "),")"," "),":"," "),";"," "),"_"," "),"–"," "),"?"," "),"!"," "),"*"," "),"["," "),"]"," "),"'"," "),"#"," "),"+"," "),"&amp;"," "),"\"," "))&amp;" "</f>
        <v>  </v>
      </c>
      <c r="Y9" s="0" t="str">
        <f aca="false">" "&amp;TRIM(SUBSTITUTE(SUBSTITUTE(SUBSTITUTE(SUBSTITUTE(SUBSTITUTE(SUBSTITUTE(SUBSTITUTE(SUBSTITUTE(SUBSTITUTE(SUBSTITUTE(SUBSTITUTE(SUBSTITUTE(SUBSTITUTE(SUBSTITUTE(SUBSTITUTE(SUBSTITUTE(SUBSTITUTE(SUBSTITUTE(SUBSTITUTE(SUBSTITUTE(SUBSTITUTE(SUBSTITUTE(SUBSTITUTE(SUBSTITUTE(LOWER(N9&amp;""),CHAR(10)," "),CHAR(13)," "),CHAR(9)," "),CHAR(160)," "),"."," "),","," "),"-"," "),"/"," "),"("," "),")"," "),":"," "),";"," "),"_"," "),"–"," "),"?"," "),"!"," "),"*"," "),"["," "),"]"," "),"'"," "),"#"," "),"+"," "),"&amp;"," "),"\"," "))&amp;" "</f>
        <v>  </v>
      </c>
      <c r="Z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9,"jan","~"),"feb","~"),"mar","~"),"apr","~"),"may","~"),"jun","~"),"jul","~"),"aug","~"),"sep","~"),"oct","~"),"nov","~"),"dec","~")," nov "," ~ ")," dec "," ~ ")," mon "," ~ ")," tue "," ~ ")," wed "," ~ ")," thu "," ~ ")," fri "," ~ ")," sat "," ~ ")," sun "," ~ ")," gate "," ~ ")," bay "," ~ ")," stand "," ~ ")," position "," ~ ")," galley "," ~ ")," flight "," ~ ")," flt "," ~ ")," day "," ~ ")," date "," ~ ")," dated "," ~ ")," the "," ~ ")," and "," ~ ")," of "," ~ ")," in "," ~ ")," for "," ~ ")," with "," ~ ")</f>
        <v>  </v>
      </c>
      <c r="AA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9,"jan","~"),"feb","~"),"mar","~"),"apr","~"),"may","~"),"jun","~"),"jul","~"),"aug","~"),"sep","~"),"oct","~"),"nov","~"),"dec","~")," nov "," ~ ")," dec "," ~ ")," mon "," ~ ")," tue "," ~ ")," wed "," ~ ")," thu "," ~ ")," fri "," ~ ")," sat "," ~ ")," sun "," ~ ")," gate "," ~ ")," bay "," ~ ")," stand "," ~ ")," position "," ~ ")," galley "," ~ ")," flight "," ~ ")," flt "," ~ ")," day "," ~ ")," date "," ~ ")," dated "," ~ ")," the "," ~ ")," and "," ~ ")," of "," ~ ")," in "," ~ ")," for "," ~ ")," with "," ~ ")</f>
        <v>  </v>
      </c>
      <c r="AB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9," pax "," ~ ")," etd "," ~ ")," eta "," ~ ")," std "," ~ ")," sta "," ~ ")," atd "," ~ ")," ata "," ~ ")," lt "," ~ ")," utc "," ~ ")," local "," ~ ")," ok "," ~ ")," done "," ~ ")," seen "," ~ ")," chk "," ~ ")," chkd "," ~ ")," checked "," ~ ")," rcvd "," ~ ")," recd "," ~ ")," dep "," ~ ")," arr "," ~ ")," qty "," ~ ")," all "," ~ ")," ttl "," ~ ")," total "," ~ ")," via "," ~ ")," per "," ~ ")," call "," ~ ")," inbound "," ~ ")," outbound "," ~ ")," approx "," ~ ")</f>
        <v>  </v>
      </c>
      <c r="AC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9," pax "," ~ ")," etd "," ~ ")," eta "," ~ ")," std "," ~ ")," sta "," ~ ")," atd "," ~ ")," ata "," ~ ")," lt "," ~ ")," utc "," ~ ")," local "," ~ ")," ok "," ~ ")," done "," ~ ")," seen "," ~ ")," chk "," ~ ")," chkd "," ~ ")," checked "," ~ ")," rcvd "," ~ ")," recd "," ~ ")," dep "," ~ ")," arr "," ~ ")," qty "," ~ ")," all "," ~ ")," ttl "," ~ ")," total "," ~ ")," via "," ~ ")," per "," ~ ")," call "," ~ ")," inbound "," ~ ")," outbound "," ~ ")," approx "," ~ ")</f>
        <v>  </v>
      </c>
    </row>
    <row r="10" customFormat="false" ht="30" hidden="false" customHeight="true" outlineLevel="0" collapsed="false">
      <c r="A10" s="70" t="s">
        <v>231</v>
      </c>
      <c r="B10" s="57" t="str">
        <f aca="false">Flights!F10</f>
        <v>MH0002</v>
      </c>
      <c r="C10" s="71" t="n">
        <f aca="false">Flights!D10</f>
        <v>46310</v>
      </c>
      <c r="D10" s="70" t="str">
        <f aca="false">Flights!G10&amp;"-"&amp;Flights!H10</f>
        <v>KUL-LHR</v>
      </c>
      <c r="E10" s="70" t="str">
        <f aca="false">Flights!L10</f>
        <v>A350</v>
      </c>
      <c r="F10" s="60"/>
      <c r="G10" s="60"/>
      <c r="H10" s="72"/>
      <c r="I10" s="60"/>
      <c r="J10" s="73" t="str">
        <f aca="false">IFERROR(IF(AND(AND(LEN(SUBSTITUTE(SUBSTITUTE(SUBSTITUTE(SUBSTITUTE(SUBSTITUTE(SUBSTITUTE(SUBSTITUTE(SUBSTITUTE(SUBSTITUTE(SUBSTITUTE(SUBSTITUTE(SUBSTITUTE(SUBSTITUTE(SUBSTITUTE(SUBSTITUTE(SUBSTITUTE(LOWER(F10&amp;""),CHAR(10),""),CHAR(13),""),CHAR(9),""),CHAR(160),"")," ",""),".",""),"-",""),"/",""),"?",""),"_",""),",",""),"[",""),"]",""),"(",""),")",""),"*",""))&gt;=3,NOT(ISNUMBER(MATCH(LEFT(SUBSTITUTE(SUBSTITUTE(SUBSTITUTE(SUBSTITUTE(SUBSTITUTE(SUBSTITUTE(SUBSTITUTE(SUBSTITUTE(SUBSTITUTE(SUBSTITUTE(SUBSTITUTE(SUBSTITUTE(SUBSTITUTE(SUBSTITUTE(SUBSTITUTE(SUBSTITUTE(LOWER(F10&amp;""),CHAR(10),""),CHAR(13),""),CHAR(9),""),CHAR(160),"")," ",""),".",""),"-",""),"/",""),"?",""),"_",""),",",""),"[",""),"]",""),"(",""),")",""),"*",""),255),L_Placeholder,0)))),AND(SUMPRODUCT(--ISNUMBER(FIND({"0","1","2","3","4","5","6","7","8","9"},F10)))&gt;0,LOWER(TRIM(F10))&lt;&gt;LOWER(Flights!$F$10),NOT(AND(LEFT(LOWER(TRIM(F10)),2)="mh",ISNUMBER(--MID(TRIM(F10),3,6))))),AND(LEN(SUBSTITUTE(SUBSTITUTE(SUBSTITUTE(SUBSTITUTE(SUBSTITUTE(SUBSTITUTE(SUBSTITUTE(SUBSTITUTE(SUBSTITUTE(SUBSTITUTE(SUBSTITUTE(SUBSTITUTE(SUBSTITUTE(SUBSTITUTE(SUBSTITUTE(SUBSTITUTE(LOWER(G10&amp;""),CHAR(10),""),CHAR(13),""),CHAR(9),""),CHAR(160),"")," ",""),".",""),"-",""),"/",""),"?",""),"_",""),",",""),"[",""),"]",""),"(",""),")",""),"*",""))&gt;=1,NOT(ISNUMBER(MATCH(LEFT(SUBSTITUTE(SUBSTITUTE(SUBSTITUTE(SUBSTITUTE(SUBSTITUTE(SUBSTITUTE(SUBSTITUTE(SUBSTITUTE(SUBSTITUTE(SUBSTITUTE(SUBSTITUTE(SUBSTITUTE(SUBSTITUTE(SUBSTITUTE(SUBSTITUTE(SUBSTITUTE(LOWER(G10&amp;""),CHAR(10),""),CHAR(13),""),CHAR(9),""),CHAR(160),"")," ",""),".",""),"-",""),"/",""),"?",""),"_",""),",",""),"[",""),"]",""),"(",""),")",""),"*",""),255),L_Placeholder,0)))),ISNUMBER(H10),H10&gt;=DATE(2020,1,1),H10&lt;=Flights!$D$10,AND(LEN(SUBSTITUTE(SUBSTITUTE(SUBSTITUTE(SUBSTITUTE(SUBSTITUTE(SUBSTITUTE(SUBSTITUTE(SUBSTITUTE(SUBSTITUTE(SUBSTITUTE(SUBSTITUTE(SUBSTITUTE(SUBSTITUTE(SUBSTITUTE(SUBSTITUTE(SUBSTITUTE(LOWER(I10&amp;""),CHAR(10),""),CHAR(13),""),CHAR(9),""),CHAR(160),"")," ",""),".",""),"-",""),"/",""),"?",""),"_",""),",",""),"[",""),"]",""),"(",""),")",""),"*",""))&gt;=5,NOT(ISNUMBER(MATCH(LEFT(SUBSTITUTE(SUBSTITUTE(SUBSTITUTE(SUBSTITUTE(SUBSTITUTE(SUBSTITUTE(SUBSTITUTE(SUBSTITUTE(SUBSTITUTE(SUBSTITUTE(SUBSTITUTE(SUBSTITUTE(SUBSTITUTE(SUBSTITUTE(SUBSTITUTE(SUBSTITUTE(LOWER(I10&amp;""),CHAR(10),""),CHAR(13),""),CHAR(9),""),CHAR(160),"")," ",""),".",""),"-",""),"/",""),"?",""),"_",""),",",""),"[",""),"]",""),"(",""),")",""),"*",""),255),L_Placeholder,0)))),OR(SUMPRODUCT(--ISNUMBER(SEARCH({"aa000"," aa 000"," aaa 000"," aaaa 000"," a 0000"," a000 000"," aa 00 000"," aaa 00 000"},S10)))&gt;0,SUMPRODUCT(--ISNUMBER(SEARCH({"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10)))&gt;0,SUMPRODUCT(--ISNUMBER(SEARCH({"http","www.","\",".pdf",".jpg",".jpeg",".png",".heic",".xls",".doc",".msg",".eml"},I10)))&gt;0,AND(SUMPRODUCT(--ISNUMBER(SEARCH({"sharepoint","onedrive","teams","dms","q-pulse","qpulse"},I10)))&gt;0,ISNUMBER(SEARCH("0",R10)))),NOT(SUMPRODUCT((LEN(X10)-LEN(SUBSTITUTE(X10," "&amp;L_PendStrict&amp;" "," ")))/(LEN(L_PendStrict)+1))&gt;SUMPRODUCT((LEN(X10)-LEN(SUBSTITUTE(X10," "&amp;L_PendNeg&amp;" "," ")))/(LEN(L_PendNeg)+1)))),"ON FILE","OUTSTANDING"),"OUTSTANDING")</f>
        <v>OUTSTANDING</v>
      </c>
      <c r="K10" s="60"/>
      <c r="L10" s="60"/>
      <c r="M10" s="72"/>
      <c r="N10" s="60"/>
      <c r="O10" s="73" t="str">
        <f aca="false">IFERROR(IF(AND(AND(LEN(SUBSTITUTE(SUBSTITUTE(SUBSTITUTE(SUBSTITUTE(SUBSTITUTE(SUBSTITUTE(SUBSTITUTE(SUBSTITUTE(SUBSTITUTE(SUBSTITUTE(SUBSTITUTE(SUBSTITUTE(SUBSTITUTE(SUBSTITUTE(SUBSTITUTE(SUBSTITUTE(LOWER(K10&amp;""),CHAR(10),""),CHAR(13),""),CHAR(9),""),CHAR(160),"")," ",""),".",""),"-",""),"/",""),"?",""),"_",""),",",""),"[",""),"]",""),"(",""),")",""),"*",""))&gt;=3,NOT(ISNUMBER(MATCH(LEFT(SUBSTITUTE(SUBSTITUTE(SUBSTITUTE(SUBSTITUTE(SUBSTITUTE(SUBSTITUTE(SUBSTITUTE(SUBSTITUTE(SUBSTITUTE(SUBSTITUTE(SUBSTITUTE(SUBSTITUTE(SUBSTITUTE(SUBSTITUTE(SUBSTITUTE(SUBSTITUTE(LOWER(K10&amp;""),CHAR(10),""),CHAR(13),""),CHAR(9),""),CHAR(160),"")," ",""),".",""),"-",""),"/",""),"?",""),"_",""),",",""),"[",""),"]",""),"(",""),")",""),"*",""),255),L_Placeholder,0)))),AND(SUMPRODUCT(--ISNUMBER(FIND({"0","1","2","3","4","5","6","7","8","9"},K10)))&gt;0,LOWER(TRIM(K10))&lt;&gt;LOWER(Flights!$F$10),NOT(AND(LEFT(LOWER(TRIM(K10)),2)="mh",ISNUMBER(--MID(TRIM(K10),3,6))))),AND(LEN(SUBSTITUTE(SUBSTITUTE(SUBSTITUTE(SUBSTITUTE(SUBSTITUTE(SUBSTITUTE(SUBSTITUTE(SUBSTITUTE(SUBSTITUTE(SUBSTITUTE(SUBSTITUTE(SUBSTITUTE(SUBSTITUTE(SUBSTITUTE(SUBSTITUTE(SUBSTITUTE(LOWER(L10&amp;""),CHAR(10),""),CHAR(13),""),CHAR(9),""),CHAR(160),"")," ",""),".",""),"-",""),"/",""),"?",""),"_",""),",",""),"[",""),"]",""),"(",""),")",""),"*",""))&gt;=1,NOT(ISNUMBER(MATCH(LEFT(SUBSTITUTE(SUBSTITUTE(SUBSTITUTE(SUBSTITUTE(SUBSTITUTE(SUBSTITUTE(SUBSTITUTE(SUBSTITUTE(SUBSTITUTE(SUBSTITUTE(SUBSTITUTE(SUBSTITUTE(SUBSTITUTE(SUBSTITUTE(SUBSTITUTE(SUBSTITUTE(LOWER(L10&amp;""),CHAR(10),""),CHAR(13),""),CHAR(9),""),CHAR(160),"")," ",""),".",""),"-",""),"/",""),"?",""),"_",""),",",""),"[",""),"]",""),"(",""),")",""),"*",""),255),L_Placeholder,0)))),ISNUMBER(M10),M10&gt;=DATE(2020,1,1),M10&lt;=Flights!$D$10,AND(LEN(SUBSTITUTE(SUBSTITUTE(SUBSTITUTE(SUBSTITUTE(SUBSTITUTE(SUBSTITUTE(SUBSTITUTE(SUBSTITUTE(SUBSTITUTE(SUBSTITUTE(SUBSTITUTE(SUBSTITUTE(SUBSTITUTE(SUBSTITUTE(SUBSTITUTE(SUBSTITUTE(LOWER(N10&amp;""),CHAR(10),""),CHAR(13),""),CHAR(9),""),CHAR(160),"")," ",""),".",""),"-",""),"/",""),"?",""),"_",""),",",""),"[",""),"]",""),"(",""),")",""),"*",""))&gt;=5,NOT(ISNUMBER(MATCH(LEFT(SUBSTITUTE(SUBSTITUTE(SUBSTITUTE(SUBSTITUTE(SUBSTITUTE(SUBSTITUTE(SUBSTITUTE(SUBSTITUTE(SUBSTITUTE(SUBSTITUTE(SUBSTITUTE(SUBSTITUTE(SUBSTITUTE(SUBSTITUTE(SUBSTITUTE(SUBSTITUTE(LOWER(N10&amp;""),CHAR(10),""),CHAR(13),""),CHAR(9),""),CHAR(160),"")," ",""),".",""),"-",""),"/",""),"?",""),"_",""),",",""),"[",""),"]",""),"(",""),")",""),"*",""),255),L_Placeholder,0)))),OR(SUMPRODUCT(--ISNUMBER(SEARCH({"aa000"," aa 000"," aaa 000"," aaaa 000"," a 0000"," a000 000"," aa 00 000"," aaa 00 000"},U10)))&gt;0,SUMPRODUCT(--ISNUMBER(SEARCH({"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10)))&gt;0,SUMPRODUCT(--ISNUMBER(SEARCH({"http","www.","\",".pdf",".jpg",".jpeg",".png",".heic",".xls",".doc",".msg",".eml"},N10)))&gt;0,AND(SUMPRODUCT(--ISNUMBER(SEARCH({"sharepoint","onedrive","teams","dms","q-pulse","qpulse"},N10)))&gt;0,ISNUMBER(SEARCH("0",T10)))),NOT(SUMPRODUCT((LEN(Y10)-LEN(SUBSTITUTE(Y10," "&amp;L_PendStrict&amp;" "," ")))/(LEN(L_PendStrict)+1))&gt;SUMPRODUCT((LEN(Y10)-LEN(SUBSTITUTE(Y10," "&amp;L_PendNeg&amp;" "," ")))/(LEN(L_PendNeg)+1)))),"ON FILE","OUTSTANDING"),"OUTSTANDING")</f>
        <v>OUTSTANDING</v>
      </c>
      <c r="P10" s="74" t="n">
        <f aca="false">(J10="OUTSTANDING")+(O10="OUTSTANDING")</f>
        <v>2</v>
      </c>
      <c r="Q10" s="57" t="s">
        <v>1496</v>
      </c>
      <c r="R10" s="0" t="str">
        <f aca="false">SUBSTITUTE(SUBSTITUTE(SUBSTITUTE(SUBSTITUTE(SUBSTITUTE(SUBSTITUTE(SUBSTITUTE(SUBSTITUTE(SUBSTITUTE(LOWER(AB10&amp;""),"1","0"),"2","0"),"3","0"),"4","0"),"5","0"),"6","0"),"7","0"),"8","0"),"9","0")</f>
        <v>  </v>
      </c>
      <c r="S10" s="0" t="str">
        <f aca="false">SUBSTITUTE(SUBSTITUTE(SUBSTITUTE(SUBSTITUTE(SUBSTITUTE(SUBSTITUTE(SUBSTITUTE(SUBSTITUTE(SUBSTITUTE(SUBSTITUTE(SUBSTITUTE(SUBSTITUTE(SUBSTITUTE(SUBSTITUTE(SUBSTITUTE(SUBSTITUTE(SUBSTITUTE(SUBSTITUTE(SUBSTITUTE(SUBSTITUTE(SUBSTITUTE(SUBSTITUTE(SUBSTITUTE(SUBSTITUTE(SUBSTITUTE(R10,"b","a"),"c","a"),"d","a"),"e","a"),"f","a"),"g","a"),"h","a"),"i","a"),"j","a"),"k","a"),"l","a"),"m","a"),"n","a"),"o","a"),"p","a"),"q","a"),"r","a"),"s","a"),"t","a"),"u","a"),"v","a"),"w","a"),"x","a"),"y","a"),"z","a")</f>
        <v>  </v>
      </c>
      <c r="T10" s="0" t="str">
        <f aca="false">SUBSTITUTE(SUBSTITUTE(SUBSTITUTE(SUBSTITUTE(SUBSTITUTE(SUBSTITUTE(SUBSTITUTE(SUBSTITUTE(SUBSTITUTE(LOWER(AC10&amp;""),"1","0"),"2","0"),"3","0"),"4","0"),"5","0"),"6","0"),"7","0"),"8","0"),"9","0")</f>
        <v>  </v>
      </c>
      <c r="U10" s="0" t="str">
        <f aca="false">SUBSTITUTE(SUBSTITUTE(SUBSTITUTE(SUBSTITUTE(SUBSTITUTE(SUBSTITUTE(SUBSTITUTE(SUBSTITUTE(SUBSTITUTE(SUBSTITUTE(SUBSTITUTE(SUBSTITUTE(SUBSTITUTE(SUBSTITUTE(SUBSTITUTE(SUBSTITUTE(SUBSTITUTE(SUBSTITUTE(SUBSTITUTE(SUBSTITUTE(SUBSTITUTE(SUBSTITUTE(SUBSTITUTE(SUBSTITUTE(SUBSTITUTE(T10,"b","a"),"c","a"),"d","a"),"e","a"),"f","a"),"g","a"),"h","a"),"i","a"),"j","a"),"k","a"),"l","a"),"m","a"),"n","a"),"o","a"),"p","a"),"q","a"),"r","a"),"s","a"),"t","a"),"u","a"),"v","a"),"w","a"),"x","a"),"y","a"),"z","a")</f>
        <v>  </v>
      </c>
      <c r="V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10," "&amp;LOWER(Flights!$F$10)&amp;" "," ~ ")," mh"," ~")," at "," ~ ")," by "," ~ ")," on "," ~ ")," to "," ~ ")," from "," ~ ")," until "," ~ ")," till "," ~ ")," before "," ~ ")," after "," ~ ")," around "," ~ ")," approx "," ~ ")," about "," ~ ")," since "," ~ ")," hrs "," ~ ")," hr "," ~ ")," hours "," ~ ")," time "," ~ ")," jan "," ~ ")," feb "," ~ ")," mar "," ~ ")," apr "," ~ ")," may "," ~ ")," jun "," ~ ")," jul "," ~ ")," aug "," ~ ")," sep "," ~ ")," sept "," ~ ")," oct "," ~ ")</f>
        <v>  </v>
      </c>
      <c r="W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10," "&amp;LOWER(Flights!$F$10)&amp;" "," ~ ")," mh"," ~")," at "," ~ ")," by "," ~ ")," on "," ~ ")," to "," ~ ")," from "," ~ ")," until "," ~ ")," till "," ~ ")," before "," ~ ")," after "," ~ ")," around "," ~ ")," approx "," ~ ")," about "," ~ ")," since "," ~ ")," hrs "," ~ ")," hr "," ~ ")," hours "," ~ ")," time "," ~ ")," jan "," ~ ")," feb "," ~ ")," mar "," ~ ")," apr "," ~ ")," may "," ~ ")," jun "," ~ ")," jul "," ~ ")," aug "," ~ ")," sep "," ~ ")," sept "," ~ ")," oct "," ~ ")</f>
        <v>  </v>
      </c>
      <c r="X10" s="0" t="str">
        <f aca="false">" "&amp;TRIM(SUBSTITUTE(SUBSTITUTE(SUBSTITUTE(SUBSTITUTE(SUBSTITUTE(SUBSTITUTE(SUBSTITUTE(SUBSTITUTE(SUBSTITUTE(SUBSTITUTE(SUBSTITUTE(SUBSTITUTE(SUBSTITUTE(SUBSTITUTE(SUBSTITUTE(SUBSTITUTE(SUBSTITUTE(SUBSTITUTE(SUBSTITUTE(SUBSTITUTE(SUBSTITUTE(SUBSTITUTE(SUBSTITUTE(SUBSTITUTE(LOWER(I10&amp;""),CHAR(10)," "),CHAR(13)," "),CHAR(9)," "),CHAR(160)," "),"."," "),","," "),"-"," "),"/"," "),"("," "),")"," "),":"," "),";"," "),"_"," "),"–"," "),"?"," "),"!"," "),"*"," "),"["," "),"]"," "),"'"," "),"#"," "),"+"," "),"&amp;"," "),"\"," "))&amp;" "</f>
        <v>  </v>
      </c>
      <c r="Y10" s="0" t="str">
        <f aca="false">" "&amp;TRIM(SUBSTITUTE(SUBSTITUTE(SUBSTITUTE(SUBSTITUTE(SUBSTITUTE(SUBSTITUTE(SUBSTITUTE(SUBSTITUTE(SUBSTITUTE(SUBSTITUTE(SUBSTITUTE(SUBSTITUTE(SUBSTITUTE(SUBSTITUTE(SUBSTITUTE(SUBSTITUTE(SUBSTITUTE(SUBSTITUTE(SUBSTITUTE(SUBSTITUTE(SUBSTITUTE(SUBSTITUTE(SUBSTITUTE(SUBSTITUTE(LOWER(N10&amp;""),CHAR(10)," "),CHAR(13)," "),CHAR(9)," "),CHAR(160)," "),"."," "),","," "),"-"," "),"/"," "),"("," "),")"," "),":"," "),";"," "),"_"," "),"–"," "),"?"," "),"!"," "),"*"," "),"["," "),"]"," "),"'"," "),"#"," "),"+"," "),"&amp;"," "),"\"," "))&amp;" "</f>
        <v>  </v>
      </c>
      <c r="Z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10,"jan","~"),"feb","~"),"mar","~"),"apr","~"),"may","~"),"jun","~"),"jul","~"),"aug","~"),"sep","~"),"oct","~"),"nov","~"),"dec","~")," nov "," ~ ")," dec "," ~ ")," mon "," ~ ")," tue "," ~ ")," wed "," ~ ")," thu "," ~ ")," fri "," ~ ")," sat "," ~ ")," sun "," ~ ")," gate "," ~ ")," bay "," ~ ")," stand "," ~ ")," position "," ~ ")," galley "," ~ ")," flight "," ~ ")," flt "," ~ ")," day "," ~ ")," date "," ~ ")," dated "," ~ ")," the "," ~ ")," and "," ~ ")," of "," ~ ")," in "," ~ ")," for "," ~ ")," with "," ~ ")</f>
        <v>  </v>
      </c>
      <c r="AA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10,"jan","~"),"feb","~"),"mar","~"),"apr","~"),"may","~"),"jun","~"),"jul","~"),"aug","~"),"sep","~"),"oct","~"),"nov","~"),"dec","~")," nov "," ~ ")," dec "," ~ ")," mon "," ~ ")," tue "," ~ ")," wed "," ~ ")," thu "," ~ ")," fri "," ~ ")," sat "," ~ ")," sun "," ~ ")," gate "," ~ ")," bay "," ~ ")," stand "," ~ ")," position "," ~ ")," galley "," ~ ")," flight "," ~ ")," flt "," ~ ")," day "," ~ ")," date "," ~ ")," dated "," ~ ")," the "," ~ ")," and "," ~ ")," of "," ~ ")," in "," ~ ")," for "," ~ ")," with "," ~ ")</f>
        <v>  </v>
      </c>
      <c r="AB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10," pax "," ~ ")," etd "," ~ ")," eta "," ~ ")," std "," ~ ")," sta "," ~ ")," atd "," ~ ")," ata "," ~ ")," lt "," ~ ")," utc "," ~ ")," local "," ~ ")," ok "," ~ ")," done "," ~ ")," seen "," ~ ")," chk "," ~ ")," chkd "," ~ ")," checked "," ~ ")," rcvd "," ~ ")," recd "," ~ ")," dep "," ~ ")," arr "," ~ ")," qty "," ~ ")," all "," ~ ")," ttl "," ~ ")," total "," ~ ")," via "," ~ ")," per "," ~ ")," call "," ~ ")," inbound "," ~ ")," outbound "," ~ ")," approx "," ~ ")</f>
        <v>  </v>
      </c>
      <c r="AC1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10," pax "," ~ ")," etd "," ~ ")," eta "," ~ ")," std "," ~ ")," sta "," ~ ")," atd "," ~ ")," ata "," ~ ")," lt "," ~ ")," utc "," ~ ")," local "," ~ ")," ok "," ~ ")," done "," ~ ")," seen "," ~ ")," chk "," ~ ")," chkd "," ~ ")," checked "," ~ ")," rcvd "," ~ ")," recd "," ~ ")," dep "," ~ ")," arr "," ~ ")," qty "," ~ ")," all "," ~ ")," ttl "," ~ ")," total "," ~ ")," via "," ~ ")," per "," ~ ")," call "," ~ ")," inbound "," ~ ")," outbound "," ~ ")," approx "," ~ ")</f>
        <v>  </v>
      </c>
    </row>
    <row r="11" customFormat="false" ht="30" hidden="false" customHeight="true" outlineLevel="0" collapsed="false">
      <c r="A11" s="70" t="s">
        <v>235</v>
      </c>
      <c r="B11" s="57" t="str">
        <f aca="false">Flights!F11</f>
        <v>MH0003</v>
      </c>
      <c r="C11" s="71" t="n">
        <f aca="false">Flights!D11</f>
        <v>46304</v>
      </c>
      <c r="D11" s="70" t="str">
        <f aca="false">Flights!G11&amp;"-"&amp;Flights!H11</f>
        <v>LHR-KUL</v>
      </c>
      <c r="E11" s="70" t="str">
        <f aca="false">Flights!L11</f>
        <v>A350</v>
      </c>
      <c r="F11" s="60"/>
      <c r="G11" s="60"/>
      <c r="H11" s="72"/>
      <c r="I11" s="60"/>
      <c r="J11" s="73" t="str">
        <f aca="false">IFERROR(IF(AND(AND(LEN(SUBSTITUTE(SUBSTITUTE(SUBSTITUTE(SUBSTITUTE(SUBSTITUTE(SUBSTITUTE(SUBSTITUTE(SUBSTITUTE(SUBSTITUTE(SUBSTITUTE(SUBSTITUTE(SUBSTITUTE(SUBSTITUTE(SUBSTITUTE(SUBSTITUTE(SUBSTITUTE(LOWER(F11&amp;""),CHAR(10),""),CHAR(13),""),CHAR(9),""),CHAR(160),"")," ",""),".",""),"-",""),"/",""),"?",""),"_",""),",",""),"[",""),"]",""),"(",""),")",""),"*",""))&gt;=3,NOT(ISNUMBER(MATCH(LEFT(SUBSTITUTE(SUBSTITUTE(SUBSTITUTE(SUBSTITUTE(SUBSTITUTE(SUBSTITUTE(SUBSTITUTE(SUBSTITUTE(SUBSTITUTE(SUBSTITUTE(SUBSTITUTE(SUBSTITUTE(SUBSTITUTE(SUBSTITUTE(SUBSTITUTE(SUBSTITUTE(LOWER(F11&amp;""),CHAR(10),""),CHAR(13),""),CHAR(9),""),CHAR(160),"")," ",""),".",""),"-",""),"/",""),"?",""),"_",""),",",""),"[",""),"]",""),"(",""),")",""),"*",""),255),L_Placeholder,0)))),AND(SUMPRODUCT(--ISNUMBER(FIND({"0","1","2","3","4","5","6","7","8","9"},F11)))&gt;0,LOWER(TRIM(F11))&lt;&gt;LOWER(Flights!$F$11),NOT(AND(LEFT(LOWER(TRIM(F11)),2)="mh",ISNUMBER(--MID(TRIM(F11),3,6))))),AND(LEN(SUBSTITUTE(SUBSTITUTE(SUBSTITUTE(SUBSTITUTE(SUBSTITUTE(SUBSTITUTE(SUBSTITUTE(SUBSTITUTE(SUBSTITUTE(SUBSTITUTE(SUBSTITUTE(SUBSTITUTE(SUBSTITUTE(SUBSTITUTE(SUBSTITUTE(SUBSTITUTE(LOWER(G11&amp;""),CHAR(10),""),CHAR(13),""),CHAR(9),""),CHAR(160),"")," ",""),".",""),"-",""),"/",""),"?",""),"_",""),",",""),"[",""),"]",""),"(",""),")",""),"*",""))&gt;=1,NOT(ISNUMBER(MATCH(LEFT(SUBSTITUTE(SUBSTITUTE(SUBSTITUTE(SUBSTITUTE(SUBSTITUTE(SUBSTITUTE(SUBSTITUTE(SUBSTITUTE(SUBSTITUTE(SUBSTITUTE(SUBSTITUTE(SUBSTITUTE(SUBSTITUTE(SUBSTITUTE(SUBSTITUTE(SUBSTITUTE(LOWER(G11&amp;""),CHAR(10),""),CHAR(13),""),CHAR(9),""),CHAR(160),"")," ",""),".",""),"-",""),"/",""),"?",""),"_",""),",",""),"[",""),"]",""),"(",""),")",""),"*",""),255),L_Placeholder,0)))),ISNUMBER(H11),H11&gt;=DATE(2020,1,1),H11&lt;=Flights!$D$11,AND(LEN(SUBSTITUTE(SUBSTITUTE(SUBSTITUTE(SUBSTITUTE(SUBSTITUTE(SUBSTITUTE(SUBSTITUTE(SUBSTITUTE(SUBSTITUTE(SUBSTITUTE(SUBSTITUTE(SUBSTITUTE(SUBSTITUTE(SUBSTITUTE(SUBSTITUTE(SUBSTITUTE(LOWER(I11&amp;""),CHAR(10),""),CHAR(13),""),CHAR(9),""),CHAR(160),"")," ",""),".",""),"-",""),"/",""),"?",""),"_",""),",",""),"[",""),"]",""),"(",""),")",""),"*",""))&gt;=5,NOT(ISNUMBER(MATCH(LEFT(SUBSTITUTE(SUBSTITUTE(SUBSTITUTE(SUBSTITUTE(SUBSTITUTE(SUBSTITUTE(SUBSTITUTE(SUBSTITUTE(SUBSTITUTE(SUBSTITUTE(SUBSTITUTE(SUBSTITUTE(SUBSTITUTE(SUBSTITUTE(SUBSTITUTE(SUBSTITUTE(LOWER(I11&amp;""),CHAR(10),""),CHAR(13),""),CHAR(9),""),CHAR(160),"")," ",""),".",""),"-",""),"/",""),"?",""),"_",""),",",""),"[",""),"]",""),"(",""),")",""),"*",""),255),L_Placeholder,0)))),OR(SUMPRODUCT(--ISNUMBER(SEARCH({"aa000"," aa 000"," aaa 000"," aaaa 000"," a 0000"," a000 000"," aa 00 000"," aaa 00 000"},S11)))&gt;0,SUMPRODUCT(--ISNUMBER(SEARCH({"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11)))&gt;0,SUMPRODUCT(--ISNUMBER(SEARCH({"http","www.","\",".pdf",".jpg",".jpeg",".png",".heic",".xls",".doc",".msg",".eml"},I11)))&gt;0,AND(SUMPRODUCT(--ISNUMBER(SEARCH({"sharepoint","onedrive","teams","dms","q-pulse","qpulse"},I11)))&gt;0,ISNUMBER(SEARCH("0",R11)))),NOT(SUMPRODUCT((LEN(X11)-LEN(SUBSTITUTE(X11," "&amp;L_PendStrict&amp;" "," ")))/(LEN(L_PendStrict)+1))&gt;SUMPRODUCT((LEN(X11)-LEN(SUBSTITUTE(X11," "&amp;L_PendNeg&amp;" "," ")))/(LEN(L_PendNeg)+1)))),"ON FILE","OUTSTANDING"),"OUTSTANDING")</f>
        <v>OUTSTANDING</v>
      </c>
      <c r="K11" s="60"/>
      <c r="L11" s="60"/>
      <c r="M11" s="72"/>
      <c r="N11" s="60"/>
      <c r="O11" s="73" t="str">
        <f aca="false">IFERROR(IF(AND(AND(LEN(SUBSTITUTE(SUBSTITUTE(SUBSTITUTE(SUBSTITUTE(SUBSTITUTE(SUBSTITUTE(SUBSTITUTE(SUBSTITUTE(SUBSTITUTE(SUBSTITUTE(SUBSTITUTE(SUBSTITUTE(SUBSTITUTE(SUBSTITUTE(SUBSTITUTE(SUBSTITUTE(LOWER(K11&amp;""),CHAR(10),""),CHAR(13),""),CHAR(9),""),CHAR(160),"")," ",""),".",""),"-",""),"/",""),"?",""),"_",""),",",""),"[",""),"]",""),"(",""),")",""),"*",""))&gt;=3,NOT(ISNUMBER(MATCH(LEFT(SUBSTITUTE(SUBSTITUTE(SUBSTITUTE(SUBSTITUTE(SUBSTITUTE(SUBSTITUTE(SUBSTITUTE(SUBSTITUTE(SUBSTITUTE(SUBSTITUTE(SUBSTITUTE(SUBSTITUTE(SUBSTITUTE(SUBSTITUTE(SUBSTITUTE(SUBSTITUTE(LOWER(K11&amp;""),CHAR(10),""),CHAR(13),""),CHAR(9),""),CHAR(160),"")," ",""),".",""),"-",""),"/",""),"?",""),"_",""),",",""),"[",""),"]",""),"(",""),")",""),"*",""),255),L_Placeholder,0)))),AND(SUMPRODUCT(--ISNUMBER(FIND({"0","1","2","3","4","5","6","7","8","9"},K11)))&gt;0,LOWER(TRIM(K11))&lt;&gt;LOWER(Flights!$F$11),NOT(AND(LEFT(LOWER(TRIM(K11)),2)="mh",ISNUMBER(--MID(TRIM(K11),3,6))))),AND(LEN(SUBSTITUTE(SUBSTITUTE(SUBSTITUTE(SUBSTITUTE(SUBSTITUTE(SUBSTITUTE(SUBSTITUTE(SUBSTITUTE(SUBSTITUTE(SUBSTITUTE(SUBSTITUTE(SUBSTITUTE(SUBSTITUTE(SUBSTITUTE(SUBSTITUTE(SUBSTITUTE(LOWER(L11&amp;""),CHAR(10),""),CHAR(13),""),CHAR(9),""),CHAR(160),"")," ",""),".",""),"-",""),"/",""),"?",""),"_",""),",",""),"[",""),"]",""),"(",""),")",""),"*",""))&gt;=1,NOT(ISNUMBER(MATCH(LEFT(SUBSTITUTE(SUBSTITUTE(SUBSTITUTE(SUBSTITUTE(SUBSTITUTE(SUBSTITUTE(SUBSTITUTE(SUBSTITUTE(SUBSTITUTE(SUBSTITUTE(SUBSTITUTE(SUBSTITUTE(SUBSTITUTE(SUBSTITUTE(SUBSTITUTE(SUBSTITUTE(LOWER(L11&amp;""),CHAR(10),""),CHAR(13),""),CHAR(9),""),CHAR(160),"")," ",""),".",""),"-",""),"/",""),"?",""),"_",""),",",""),"[",""),"]",""),"(",""),")",""),"*",""),255),L_Placeholder,0)))),ISNUMBER(M11),M11&gt;=DATE(2020,1,1),M11&lt;=Flights!$D$11,AND(LEN(SUBSTITUTE(SUBSTITUTE(SUBSTITUTE(SUBSTITUTE(SUBSTITUTE(SUBSTITUTE(SUBSTITUTE(SUBSTITUTE(SUBSTITUTE(SUBSTITUTE(SUBSTITUTE(SUBSTITUTE(SUBSTITUTE(SUBSTITUTE(SUBSTITUTE(SUBSTITUTE(LOWER(N11&amp;""),CHAR(10),""),CHAR(13),""),CHAR(9),""),CHAR(160),"")," ",""),".",""),"-",""),"/",""),"?",""),"_",""),",",""),"[",""),"]",""),"(",""),")",""),"*",""))&gt;=5,NOT(ISNUMBER(MATCH(LEFT(SUBSTITUTE(SUBSTITUTE(SUBSTITUTE(SUBSTITUTE(SUBSTITUTE(SUBSTITUTE(SUBSTITUTE(SUBSTITUTE(SUBSTITUTE(SUBSTITUTE(SUBSTITUTE(SUBSTITUTE(SUBSTITUTE(SUBSTITUTE(SUBSTITUTE(SUBSTITUTE(LOWER(N11&amp;""),CHAR(10),""),CHAR(13),""),CHAR(9),""),CHAR(160),"")," ",""),".",""),"-",""),"/",""),"?",""),"_",""),",",""),"[",""),"]",""),"(",""),")",""),"*",""),255),L_Placeholder,0)))),OR(SUMPRODUCT(--ISNUMBER(SEARCH({"aa000"," aa 000"," aaa 000"," aaaa 000"," a 0000"," a000 000"," aa 00 000"," aaa 00 000"},U11)))&gt;0,SUMPRODUCT(--ISNUMBER(SEARCH({"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11)))&gt;0,SUMPRODUCT(--ISNUMBER(SEARCH({"http","www.","\",".pdf",".jpg",".jpeg",".png",".heic",".xls",".doc",".msg",".eml"},N11)))&gt;0,AND(SUMPRODUCT(--ISNUMBER(SEARCH({"sharepoint","onedrive","teams","dms","q-pulse","qpulse"},N11)))&gt;0,ISNUMBER(SEARCH("0",T11)))),NOT(SUMPRODUCT((LEN(Y11)-LEN(SUBSTITUTE(Y11," "&amp;L_PendStrict&amp;" "," ")))/(LEN(L_PendStrict)+1))&gt;SUMPRODUCT((LEN(Y11)-LEN(SUBSTITUTE(Y11," "&amp;L_PendNeg&amp;" "," ")))/(LEN(L_PendNeg)+1)))),"ON FILE","OUTSTANDING"),"OUTSTANDING")</f>
        <v>OUTSTANDING</v>
      </c>
      <c r="P11" s="74" t="n">
        <f aca="false">(J11="OUTSTANDING")+(O11="OUTSTANDING")</f>
        <v>2</v>
      </c>
      <c r="Q11" s="57" t="s">
        <v>1496</v>
      </c>
      <c r="R11" s="0" t="str">
        <f aca="false">SUBSTITUTE(SUBSTITUTE(SUBSTITUTE(SUBSTITUTE(SUBSTITUTE(SUBSTITUTE(SUBSTITUTE(SUBSTITUTE(SUBSTITUTE(LOWER(AB11&amp;""),"1","0"),"2","0"),"3","0"),"4","0"),"5","0"),"6","0"),"7","0"),"8","0"),"9","0")</f>
        <v>  </v>
      </c>
      <c r="S11" s="0" t="str">
        <f aca="false">SUBSTITUTE(SUBSTITUTE(SUBSTITUTE(SUBSTITUTE(SUBSTITUTE(SUBSTITUTE(SUBSTITUTE(SUBSTITUTE(SUBSTITUTE(SUBSTITUTE(SUBSTITUTE(SUBSTITUTE(SUBSTITUTE(SUBSTITUTE(SUBSTITUTE(SUBSTITUTE(SUBSTITUTE(SUBSTITUTE(SUBSTITUTE(SUBSTITUTE(SUBSTITUTE(SUBSTITUTE(SUBSTITUTE(SUBSTITUTE(SUBSTITUTE(R11,"b","a"),"c","a"),"d","a"),"e","a"),"f","a"),"g","a"),"h","a"),"i","a"),"j","a"),"k","a"),"l","a"),"m","a"),"n","a"),"o","a"),"p","a"),"q","a"),"r","a"),"s","a"),"t","a"),"u","a"),"v","a"),"w","a"),"x","a"),"y","a"),"z","a")</f>
        <v>  </v>
      </c>
      <c r="T11" s="0" t="str">
        <f aca="false">SUBSTITUTE(SUBSTITUTE(SUBSTITUTE(SUBSTITUTE(SUBSTITUTE(SUBSTITUTE(SUBSTITUTE(SUBSTITUTE(SUBSTITUTE(LOWER(AC11&amp;""),"1","0"),"2","0"),"3","0"),"4","0"),"5","0"),"6","0"),"7","0"),"8","0"),"9","0")</f>
        <v>  </v>
      </c>
      <c r="U11" s="0" t="str">
        <f aca="false">SUBSTITUTE(SUBSTITUTE(SUBSTITUTE(SUBSTITUTE(SUBSTITUTE(SUBSTITUTE(SUBSTITUTE(SUBSTITUTE(SUBSTITUTE(SUBSTITUTE(SUBSTITUTE(SUBSTITUTE(SUBSTITUTE(SUBSTITUTE(SUBSTITUTE(SUBSTITUTE(SUBSTITUTE(SUBSTITUTE(SUBSTITUTE(SUBSTITUTE(SUBSTITUTE(SUBSTITUTE(SUBSTITUTE(SUBSTITUTE(SUBSTITUTE(T11,"b","a"),"c","a"),"d","a"),"e","a"),"f","a"),"g","a"),"h","a"),"i","a"),"j","a"),"k","a"),"l","a"),"m","a"),"n","a"),"o","a"),"p","a"),"q","a"),"r","a"),"s","a"),"t","a"),"u","a"),"v","a"),"w","a"),"x","a"),"y","a"),"z","a")</f>
        <v>  </v>
      </c>
      <c r="V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11," "&amp;LOWER(Flights!$F$11)&amp;" "," ~ ")," mh"," ~")," at "," ~ ")," by "," ~ ")," on "," ~ ")," to "," ~ ")," from "," ~ ")," until "," ~ ")," till "," ~ ")," before "," ~ ")," after "," ~ ")," around "," ~ ")," approx "," ~ ")," about "," ~ ")," since "," ~ ")," hrs "," ~ ")," hr "," ~ ")," hours "," ~ ")," time "," ~ ")," jan "," ~ ")," feb "," ~ ")," mar "," ~ ")," apr "," ~ ")," may "," ~ ")," jun "," ~ ")," jul "," ~ ")," aug "," ~ ")," sep "," ~ ")," sept "," ~ ")," oct "," ~ ")</f>
        <v>  </v>
      </c>
      <c r="W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11," "&amp;LOWER(Flights!$F$11)&amp;" "," ~ ")," mh"," ~")," at "," ~ ")," by "," ~ ")," on "," ~ ")," to "," ~ ")," from "," ~ ")," until "," ~ ")," till "," ~ ")," before "," ~ ")," after "," ~ ")," around "," ~ ")," approx "," ~ ")," about "," ~ ")," since "," ~ ")," hrs "," ~ ")," hr "," ~ ")," hours "," ~ ")," time "," ~ ")," jan "," ~ ")," feb "," ~ ")," mar "," ~ ")," apr "," ~ ")," may "," ~ ")," jun "," ~ ")," jul "," ~ ")," aug "," ~ ")," sep "," ~ ")," sept "," ~ ")," oct "," ~ ")</f>
        <v>  </v>
      </c>
      <c r="X11" s="0" t="str">
        <f aca="false">" "&amp;TRIM(SUBSTITUTE(SUBSTITUTE(SUBSTITUTE(SUBSTITUTE(SUBSTITUTE(SUBSTITUTE(SUBSTITUTE(SUBSTITUTE(SUBSTITUTE(SUBSTITUTE(SUBSTITUTE(SUBSTITUTE(SUBSTITUTE(SUBSTITUTE(SUBSTITUTE(SUBSTITUTE(SUBSTITUTE(SUBSTITUTE(SUBSTITUTE(SUBSTITUTE(SUBSTITUTE(SUBSTITUTE(SUBSTITUTE(SUBSTITUTE(LOWER(I11&amp;""),CHAR(10)," "),CHAR(13)," "),CHAR(9)," "),CHAR(160)," "),"."," "),","," "),"-"," "),"/"," "),"("," "),")"," "),":"," "),";"," "),"_"," "),"–"," "),"?"," "),"!"," "),"*"," "),"["," "),"]"," "),"'"," "),"#"," "),"+"," "),"&amp;"," "),"\"," "))&amp;" "</f>
        <v>  </v>
      </c>
      <c r="Y11" s="0" t="str">
        <f aca="false">" "&amp;TRIM(SUBSTITUTE(SUBSTITUTE(SUBSTITUTE(SUBSTITUTE(SUBSTITUTE(SUBSTITUTE(SUBSTITUTE(SUBSTITUTE(SUBSTITUTE(SUBSTITUTE(SUBSTITUTE(SUBSTITUTE(SUBSTITUTE(SUBSTITUTE(SUBSTITUTE(SUBSTITUTE(SUBSTITUTE(SUBSTITUTE(SUBSTITUTE(SUBSTITUTE(SUBSTITUTE(SUBSTITUTE(SUBSTITUTE(SUBSTITUTE(LOWER(N11&amp;""),CHAR(10)," "),CHAR(13)," "),CHAR(9)," "),CHAR(160)," "),"."," "),","," "),"-"," "),"/"," "),"("," "),")"," "),":"," "),";"," "),"_"," "),"–"," "),"?"," "),"!"," "),"*"," "),"["," "),"]"," "),"'"," "),"#"," "),"+"," "),"&amp;"," "),"\"," "))&amp;" "</f>
        <v>  </v>
      </c>
      <c r="Z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11,"jan","~"),"feb","~"),"mar","~"),"apr","~"),"may","~"),"jun","~"),"jul","~"),"aug","~"),"sep","~"),"oct","~"),"nov","~"),"dec","~")," nov "," ~ ")," dec "," ~ ")," mon "," ~ ")," tue "," ~ ")," wed "," ~ ")," thu "," ~ ")," fri "," ~ ")," sat "," ~ ")," sun "," ~ ")," gate "," ~ ")," bay "," ~ ")," stand "," ~ ")," position "," ~ ")," galley "," ~ ")," flight "," ~ ")," flt "," ~ ")," day "," ~ ")," date "," ~ ")," dated "," ~ ")," the "," ~ ")," and "," ~ ")," of "," ~ ")," in "," ~ ")," for "," ~ ")," with "," ~ ")</f>
        <v>  </v>
      </c>
      <c r="AA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11,"jan","~"),"feb","~"),"mar","~"),"apr","~"),"may","~"),"jun","~"),"jul","~"),"aug","~"),"sep","~"),"oct","~"),"nov","~"),"dec","~")," nov "," ~ ")," dec "," ~ ")," mon "," ~ ")," tue "," ~ ")," wed "," ~ ")," thu "," ~ ")," fri "," ~ ")," sat "," ~ ")," sun "," ~ ")," gate "," ~ ")," bay "," ~ ")," stand "," ~ ")," position "," ~ ")," galley "," ~ ")," flight "," ~ ")," flt "," ~ ")," day "," ~ ")," date "," ~ ")," dated "," ~ ")," the "," ~ ")," and "," ~ ")," of "," ~ ")," in "," ~ ")," for "," ~ ")," with "," ~ ")</f>
        <v>  </v>
      </c>
      <c r="AB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11," pax "," ~ ")," etd "," ~ ")," eta "," ~ ")," std "," ~ ")," sta "," ~ ")," atd "," ~ ")," ata "," ~ ")," lt "," ~ ")," utc "," ~ ")," local "," ~ ")," ok "," ~ ")," done "," ~ ")," seen "," ~ ")," chk "," ~ ")," chkd "," ~ ")," checked "," ~ ")," rcvd "," ~ ")," recd "," ~ ")," dep "," ~ ")," arr "," ~ ")," qty "," ~ ")," all "," ~ ")," ttl "," ~ ")," total "," ~ ")," via "," ~ ")," per "," ~ ")," call "," ~ ")," inbound "," ~ ")," outbound "," ~ ")," approx "," ~ ")</f>
        <v>  </v>
      </c>
      <c r="AC1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11," pax "," ~ ")," etd "," ~ ")," eta "," ~ ")," std "," ~ ")," sta "," ~ ")," atd "," ~ ")," ata "," ~ ")," lt "," ~ ")," utc "," ~ ")," local "," ~ ")," ok "," ~ ")," done "," ~ ")," seen "," ~ ")," chk "," ~ ")," chkd "," ~ ")," checked "," ~ ")," rcvd "," ~ ")," recd "," ~ ")," dep "," ~ ")," arr "," ~ ")," qty "," ~ ")," all "," ~ ")," ttl "," ~ ")," total "," ~ ")," via "," ~ ")," per "," ~ ")," call "," ~ ")," inbound "," ~ ")," outbound "," ~ ")," approx "," ~ ")</f>
        <v>  </v>
      </c>
    </row>
    <row r="12" customFormat="false" ht="30" hidden="false" customHeight="true" outlineLevel="0" collapsed="false">
      <c r="A12" s="70" t="s">
        <v>238</v>
      </c>
      <c r="B12" s="57" t="str">
        <f aca="false">Flights!F12</f>
        <v>MH0752</v>
      </c>
      <c r="C12" s="71" t="n">
        <f aca="false">Flights!D12</f>
        <v>46305</v>
      </c>
      <c r="D12" s="70" t="str">
        <f aca="false">Flights!G12&amp;"-"&amp;Flights!H12</f>
        <v>KUL-HAN</v>
      </c>
      <c r="E12" s="70" t="str">
        <f aca="false">Flights!L12</f>
        <v>B738MAX</v>
      </c>
      <c r="F12" s="60"/>
      <c r="G12" s="60"/>
      <c r="H12" s="72"/>
      <c r="I12" s="60"/>
      <c r="J12" s="73" t="str">
        <f aca="false">IFERROR(IF(AND(AND(LEN(SUBSTITUTE(SUBSTITUTE(SUBSTITUTE(SUBSTITUTE(SUBSTITUTE(SUBSTITUTE(SUBSTITUTE(SUBSTITUTE(SUBSTITUTE(SUBSTITUTE(SUBSTITUTE(SUBSTITUTE(SUBSTITUTE(SUBSTITUTE(SUBSTITUTE(SUBSTITUTE(LOWER(F12&amp;""),CHAR(10),""),CHAR(13),""),CHAR(9),""),CHAR(160),"")," ",""),".",""),"-",""),"/",""),"?",""),"_",""),",",""),"[",""),"]",""),"(",""),")",""),"*",""))&gt;=3,NOT(ISNUMBER(MATCH(LEFT(SUBSTITUTE(SUBSTITUTE(SUBSTITUTE(SUBSTITUTE(SUBSTITUTE(SUBSTITUTE(SUBSTITUTE(SUBSTITUTE(SUBSTITUTE(SUBSTITUTE(SUBSTITUTE(SUBSTITUTE(SUBSTITUTE(SUBSTITUTE(SUBSTITUTE(SUBSTITUTE(LOWER(F12&amp;""),CHAR(10),""),CHAR(13),""),CHAR(9),""),CHAR(160),"")," ",""),".",""),"-",""),"/",""),"?",""),"_",""),",",""),"[",""),"]",""),"(",""),")",""),"*",""),255),L_Placeholder,0)))),AND(SUMPRODUCT(--ISNUMBER(FIND({"0","1","2","3","4","5","6","7","8","9"},F12)))&gt;0,LOWER(TRIM(F12))&lt;&gt;LOWER(Flights!$F$12),NOT(AND(LEFT(LOWER(TRIM(F12)),2)="mh",ISNUMBER(--MID(TRIM(F12),3,6))))),AND(LEN(SUBSTITUTE(SUBSTITUTE(SUBSTITUTE(SUBSTITUTE(SUBSTITUTE(SUBSTITUTE(SUBSTITUTE(SUBSTITUTE(SUBSTITUTE(SUBSTITUTE(SUBSTITUTE(SUBSTITUTE(SUBSTITUTE(SUBSTITUTE(SUBSTITUTE(SUBSTITUTE(LOWER(G12&amp;""),CHAR(10),""),CHAR(13),""),CHAR(9),""),CHAR(160),"")," ",""),".",""),"-",""),"/",""),"?",""),"_",""),",",""),"[",""),"]",""),"(",""),")",""),"*",""))&gt;=1,NOT(ISNUMBER(MATCH(LEFT(SUBSTITUTE(SUBSTITUTE(SUBSTITUTE(SUBSTITUTE(SUBSTITUTE(SUBSTITUTE(SUBSTITUTE(SUBSTITUTE(SUBSTITUTE(SUBSTITUTE(SUBSTITUTE(SUBSTITUTE(SUBSTITUTE(SUBSTITUTE(SUBSTITUTE(SUBSTITUTE(LOWER(G12&amp;""),CHAR(10),""),CHAR(13),""),CHAR(9),""),CHAR(160),"")," ",""),".",""),"-",""),"/",""),"?",""),"_",""),",",""),"[",""),"]",""),"(",""),")",""),"*",""),255),L_Placeholder,0)))),ISNUMBER(H12),H12&gt;=DATE(2020,1,1),H12&lt;=Flights!$D$12,AND(LEN(SUBSTITUTE(SUBSTITUTE(SUBSTITUTE(SUBSTITUTE(SUBSTITUTE(SUBSTITUTE(SUBSTITUTE(SUBSTITUTE(SUBSTITUTE(SUBSTITUTE(SUBSTITUTE(SUBSTITUTE(SUBSTITUTE(SUBSTITUTE(SUBSTITUTE(SUBSTITUTE(LOWER(I12&amp;""),CHAR(10),""),CHAR(13),""),CHAR(9),""),CHAR(160),"")," ",""),".",""),"-",""),"/",""),"?",""),"_",""),",",""),"[",""),"]",""),"(",""),")",""),"*",""))&gt;=5,NOT(ISNUMBER(MATCH(LEFT(SUBSTITUTE(SUBSTITUTE(SUBSTITUTE(SUBSTITUTE(SUBSTITUTE(SUBSTITUTE(SUBSTITUTE(SUBSTITUTE(SUBSTITUTE(SUBSTITUTE(SUBSTITUTE(SUBSTITUTE(SUBSTITUTE(SUBSTITUTE(SUBSTITUTE(SUBSTITUTE(LOWER(I12&amp;""),CHAR(10),""),CHAR(13),""),CHAR(9),""),CHAR(160),"")," ",""),".",""),"-",""),"/",""),"?",""),"_",""),",",""),"[",""),"]",""),"(",""),")",""),"*",""),255),L_Placeholder,0)))),OR(SUMPRODUCT(--ISNUMBER(SEARCH({"aa000"," aa 000"," aaa 000"," aaaa 000"," a 0000"," a000 000"," aa 00 000"," aaa 00 000"},S12)))&gt;0,SUMPRODUCT(--ISNUMBER(SEARCH({"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12)))&gt;0,SUMPRODUCT(--ISNUMBER(SEARCH({"http","www.","\",".pdf",".jpg",".jpeg",".png",".heic",".xls",".doc",".msg",".eml"},I12)))&gt;0,AND(SUMPRODUCT(--ISNUMBER(SEARCH({"sharepoint","onedrive","teams","dms","q-pulse","qpulse"},I12)))&gt;0,ISNUMBER(SEARCH("0",R12)))),NOT(SUMPRODUCT((LEN(X12)-LEN(SUBSTITUTE(X12," "&amp;L_PendStrict&amp;" "," ")))/(LEN(L_PendStrict)+1))&gt;SUMPRODUCT((LEN(X12)-LEN(SUBSTITUTE(X12," "&amp;L_PendNeg&amp;" "," ")))/(LEN(L_PendNeg)+1)))),"ON FILE","OUTSTANDING"),"OUTSTANDING")</f>
        <v>OUTSTANDING</v>
      </c>
      <c r="K12" s="60"/>
      <c r="L12" s="60"/>
      <c r="M12" s="72"/>
      <c r="N12" s="60"/>
      <c r="O12" s="73" t="str">
        <f aca="false">IFERROR(IF(AND(AND(LEN(SUBSTITUTE(SUBSTITUTE(SUBSTITUTE(SUBSTITUTE(SUBSTITUTE(SUBSTITUTE(SUBSTITUTE(SUBSTITUTE(SUBSTITUTE(SUBSTITUTE(SUBSTITUTE(SUBSTITUTE(SUBSTITUTE(SUBSTITUTE(SUBSTITUTE(SUBSTITUTE(LOWER(K12&amp;""),CHAR(10),""),CHAR(13),""),CHAR(9),""),CHAR(160),"")," ",""),".",""),"-",""),"/",""),"?",""),"_",""),",",""),"[",""),"]",""),"(",""),")",""),"*",""))&gt;=3,NOT(ISNUMBER(MATCH(LEFT(SUBSTITUTE(SUBSTITUTE(SUBSTITUTE(SUBSTITUTE(SUBSTITUTE(SUBSTITUTE(SUBSTITUTE(SUBSTITUTE(SUBSTITUTE(SUBSTITUTE(SUBSTITUTE(SUBSTITUTE(SUBSTITUTE(SUBSTITUTE(SUBSTITUTE(SUBSTITUTE(LOWER(K12&amp;""),CHAR(10),""),CHAR(13),""),CHAR(9),""),CHAR(160),"")," ",""),".",""),"-",""),"/",""),"?",""),"_",""),",",""),"[",""),"]",""),"(",""),")",""),"*",""),255),L_Placeholder,0)))),AND(SUMPRODUCT(--ISNUMBER(FIND({"0","1","2","3","4","5","6","7","8","9"},K12)))&gt;0,LOWER(TRIM(K12))&lt;&gt;LOWER(Flights!$F$12),NOT(AND(LEFT(LOWER(TRIM(K12)),2)="mh",ISNUMBER(--MID(TRIM(K12),3,6))))),AND(LEN(SUBSTITUTE(SUBSTITUTE(SUBSTITUTE(SUBSTITUTE(SUBSTITUTE(SUBSTITUTE(SUBSTITUTE(SUBSTITUTE(SUBSTITUTE(SUBSTITUTE(SUBSTITUTE(SUBSTITUTE(SUBSTITUTE(SUBSTITUTE(SUBSTITUTE(SUBSTITUTE(LOWER(L12&amp;""),CHAR(10),""),CHAR(13),""),CHAR(9),""),CHAR(160),"")," ",""),".",""),"-",""),"/",""),"?",""),"_",""),",",""),"[",""),"]",""),"(",""),")",""),"*",""))&gt;=1,NOT(ISNUMBER(MATCH(LEFT(SUBSTITUTE(SUBSTITUTE(SUBSTITUTE(SUBSTITUTE(SUBSTITUTE(SUBSTITUTE(SUBSTITUTE(SUBSTITUTE(SUBSTITUTE(SUBSTITUTE(SUBSTITUTE(SUBSTITUTE(SUBSTITUTE(SUBSTITUTE(SUBSTITUTE(SUBSTITUTE(LOWER(L12&amp;""),CHAR(10),""),CHAR(13),""),CHAR(9),""),CHAR(160),"")," ",""),".",""),"-",""),"/",""),"?",""),"_",""),",",""),"[",""),"]",""),"(",""),")",""),"*",""),255),L_Placeholder,0)))),ISNUMBER(M12),M12&gt;=DATE(2020,1,1),M12&lt;=Flights!$D$12,AND(LEN(SUBSTITUTE(SUBSTITUTE(SUBSTITUTE(SUBSTITUTE(SUBSTITUTE(SUBSTITUTE(SUBSTITUTE(SUBSTITUTE(SUBSTITUTE(SUBSTITUTE(SUBSTITUTE(SUBSTITUTE(SUBSTITUTE(SUBSTITUTE(SUBSTITUTE(SUBSTITUTE(LOWER(N12&amp;""),CHAR(10),""),CHAR(13),""),CHAR(9),""),CHAR(160),"")," ",""),".",""),"-",""),"/",""),"?",""),"_",""),",",""),"[",""),"]",""),"(",""),")",""),"*",""))&gt;=5,NOT(ISNUMBER(MATCH(LEFT(SUBSTITUTE(SUBSTITUTE(SUBSTITUTE(SUBSTITUTE(SUBSTITUTE(SUBSTITUTE(SUBSTITUTE(SUBSTITUTE(SUBSTITUTE(SUBSTITUTE(SUBSTITUTE(SUBSTITUTE(SUBSTITUTE(SUBSTITUTE(SUBSTITUTE(SUBSTITUTE(LOWER(N12&amp;""),CHAR(10),""),CHAR(13),""),CHAR(9),""),CHAR(160),"")," ",""),".",""),"-",""),"/",""),"?",""),"_",""),",",""),"[",""),"]",""),"(",""),")",""),"*",""),255),L_Placeholder,0)))),OR(SUMPRODUCT(--ISNUMBER(SEARCH({"aa000"," aa 000"," aaa 000"," aaaa 000"," a 0000"," a000 000"," aa 00 000"," aaa 00 000"},U12)))&gt;0,SUMPRODUCT(--ISNUMBER(SEARCH({"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12)))&gt;0,SUMPRODUCT(--ISNUMBER(SEARCH({"http","www.","\",".pdf",".jpg",".jpeg",".png",".heic",".xls",".doc",".msg",".eml"},N12)))&gt;0,AND(SUMPRODUCT(--ISNUMBER(SEARCH({"sharepoint","onedrive","teams","dms","q-pulse","qpulse"},N12)))&gt;0,ISNUMBER(SEARCH("0",T12)))),NOT(SUMPRODUCT((LEN(Y12)-LEN(SUBSTITUTE(Y12," "&amp;L_PendStrict&amp;" "," ")))/(LEN(L_PendStrict)+1))&gt;SUMPRODUCT((LEN(Y12)-LEN(SUBSTITUTE(Y12," "&amp;L_PendNeg&amp;" "," ")))/(LEN(L_PendNeg)+1)))),"ON FILE","OUTSTANDING"),"OUTSTANDING")</f>
        <v>OUTSTANDING</v>
      </c>
      <c r="P12" s="74" t="n">
        <f aca="false">(J12="OUTSTANDING")+(O12="OUTSTANDING")</f>
        <v>2</v>
      </c>
      <c r="Q12" s="57" t="s">
        <v>1496</v>
      </c>
      <c r="R12" s="0" t="str">
        <f aca="false">SUBSTITUTE(SUBSTITUTE(SUBSTITUTE(SUBSTITUTE(SUBSTITUTE(SUBSTITUTE(SUBSTITUTE(SUBSTITUTE(SUBSTITUTE(LOWER(AB12&amp;""),"1","0"),"2","0"),"3","0"),"4","0"),"5","0"),"6","0"),"7","0"),"8","0"),"9","0")</f>
        <v>  </v>
      </c>
      <c r="S12" s="0" t="str">
        <f aca="false">SUBSTITUTE(SUBSTITUTE(SUBSTITUTE(SUBSTITUTE(SUBSTITUTE(SUBSTITUTE(SUBSTITUTE(SUBSTITUTE(SUBSTITUTE(SUBSTITUTE(SUBSTITUTE(SUBSTITUTE(SUBSTITUTE(SUBSTITUTE(SUBSTITUTE(SUBSTITUTE(SUBSTITUTE(SUBSTITUTE(SUBSTITUTE(SUBSTITUTE(SUBSTITUTE(SUBSTITUTE(SUBSTITUTE(SUBSTITUTE(SUBSTITUTE(R12,"b","a"),"c","a"),"d","a"),"e","a"),"f","a"),"g","a"),"h","a"),"i","a"),"j","a"),"k","a"),"l","a"),"m","a"),"n","a"),"o","a"),"p","a"),"q","a"),"r","a"),"s","a"),"t","a"),"u","a"),"v","a"),"w","a"),"x","a"),"y","a"),"z","a")</f>
        <v>  </v>
      </c>
      <c r="T12" s="0" t="str">
        <f aca="false">SUBSTITUTE(SUBSTITUTE(SUBSTITUTE(SUBSTITUTE(SUBSTITUTE(SUBSTITUTE(SUBSTITUTE(SUBSTITUTE(SUBSTITUTE(LOWER(AC12&amp;""),"1","0"),"2","0"),"3","0"),"4","0"),"5","0"),"6","0"),"7","0"),"8","0"),"9","0")</f>
        <v>  </v>
      </c>
      <c r="U12" s="0" t="str">
        <f aca="false">SUBSTITUTE(SUBSTITUTE(SUBSTITUTE(SUBSTITUTE(SUBSTITUTE(SUBSTITUTE(SUBSTITUTE(SUBSTITUTE(SUBSTITUTE(SUBSTITUTE(SUBSTITUTE(SUBSTITUTE(SUBSTITUTE(SUBSTITUTE(SUBSTITUTE(SUBSTITUTE(SUBSTITUTE(SUBSTITUTE(SUBSTITUTE(SUBSTITUTE(SUBSTITUTE(SUBSTITUTE(SUBSTITUTE(SUBSTITUTE(SUBSTITUTE(T12,"b","a"),"c","a"),"d","a"),"e","a"),"f","a"),"g","a"),"h","a"),"i","a"),"j","a"),"k","a"),"l","a"),"m","a"),"n","a"),"o","a"),"p","a"),"q","a"),"r","a"),"s","a"),"t","a"),"u","a"),"v","a"),"w","a"),"x","a"),"y","a"),"z","a")</f>
        <v>  </v>
      </c>
      <c r="V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12," "&amp;LOWER(Flights!$F$12)&amp;" "," ~ ")," mh"," ~")," at "," ~ ")," by "," ~ ")," on "," ~ ")," to "," ~ ")," from "," ~ ")," until "," ~ ")," till "," ~ ")," before "," ~ ")," after "," ~ ")," around "," ~ ")," approx "," ~ ")," about "," ~ ")," since "," ~ ")," hrs "," ~ ")," hr "," ~ ")," hours "," ~ ")," time "," ~ ")," jan "," ~ ")," feb "," ~ ")," mar "," ~ ")," apr "," ~ ")," may "," ~ ")," jun "," ~ ")," jul "," ~ ")," aug "," ~ ")," sep "," ~ ")," sept "," ~ ")," oct "," ~ ")</f>
        <v>  </v>
      </c>
      <c r="W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12," "&amp;LOWER(Flights!$F$12)&amp;" "," ~ ")," mh"," ~")," at "," ~ ")," by "," ~ ")," on "," ~ ")," to "," ~ ")," from "," ~ ")," until "," ~ ")," till "," ~ ")," before "," ~ ")," after "," ~ ")," around "," ~ ")," approx "," ~ ")," about "," ~ ")," since "," ~ ")," hrs "," ~ ")," hr "," ~ ")," hours "," ~ ")," time "," ~ ")," jan "," ~ ")," feb "," ~ ")," mar "," ~ ")," apr "," ~ ")," may "," ~ ")," jun "," ~ ")," jul "," ~ ")," aug "," ~ ")," sep "," ~ ")," sept "," ~ ")," oct "," ~ ")</f>
        <v>  </v>
      </c>
      <c r="X12" s="0" t="str">
        <f aca="false">" "&amp;TRIM(SUBSTITUTE(SUBSTITUTE(SUBSTITUTE(SUBSTITUTE(SUBSTITUTE(SUBSTITUTE(SUBSTITUTE(SUBSTITUTE(SUBSTITUTE(SUBSTITUTE(SUBSTITUTE(SUBSTITUTE(SUBSTITUTE(SUBSTITUTE(SUBSTITUTE(SUBSTITUTE(SUBSTITUTE(SUBSTITUTE(SUBSTITUTE(SUBSTITUTE(SUBSTITUTE(SUBSTITUTE(SUBSTITUTE(SUBSTITUTE(LOWER(I12&amp;""),CHAR(10)," "),CHAR(13)," "),CHAR(9)," "),CHAR(160)," "),"."," "),","," "),"-"," "),"/"," "),"("," "),")"," "),":"," "),";"," "),"_"," "),"–"," "),"?"," "),"!"," "),"*"," "),"["," "),"]"," "),"'"," "),"#"," "),"+"," "),"&amp;"," "),"\"," "))&amp;" "</f>
        <v>  </v>
      </c>
      <c r="Y12" s="0" t="str">
        <f aca="false">" "&amp;TRIM(SUBSTITUTE(SUBSTITUTE(SUBSTITUTE(SUBSTITUTE(SUBSTITUTE(SUBSTITUTE(SUBSTITUTE(SUBSTITUTE(SUBSTITUTE(SUBSTITUTE(SUBSTITUTE(SUBSTITUTE(SUBSTITUTE(SUBSTITUTE(SUBSTITUTE(SUBSTITUTE(SUBSTITUTE(SUBSTITUTE(SUBSTITUTE(SUBSTITUTE(SUBSTITUTE(SUBSTITUTE(SUBSTITUTE(SUBSTITUTE(LOWER(N12&amp;""),CHAR(10)," "),CHAR(13)," "),CHAR(9)," "),CHAR(160)," "),"."," "),","," "),"-"," "),"/"," "),"("," "),")"," "),":"," "),";"," "),"_"," "),"–"," "),"?"," "),"!"," "),"*"," "),"["," "),"]"," "),"'"," "),"#"," "),"+"," "),"&amp;"," "),"\"," "))&amp;" "</f>
        <v>  </v>
      </c>
      <c r="Z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12,"jan","~"),"feb","~"),"mar","~"),"apr","~"),"may","~"),"jun","~"),"jul","~"),"aug","~"),"sep","~"),"oct","~"),"nov","~"),"dec","~")," nov "," ~ ")," dec "," ~ ")," mon "," ~ ")," tue "," ~ ")," wed "," ~ ")," thu "," ~ ")," fri "," ~ ")," sat "," ~ ")," sun "," ~ ")," gate "," ~ ")," bay "," ~ ")," stand "," ~ ")," position "," ~ ")," galley "," ~ ")," flight "," ~ ")," flt "," ~ ")," day "," ~ ")," date "," ~ ")," dated "," ~ ")," the "," ~ ")," and "," ~ ")," of "," ~ ")," in "," ~ ")," for "," ~ ")," with "," ~ ")</f>
        <v>  </v>
      </c>
      <c r="AA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12,"jan","~"),"feb","~"),"mar","~"),"apr","~"),"may","~"),"jun","~"),"jul","~"),"aug","~"),"sep","~"),"oct","~"),"nov","~"),"dec","~")," nov "," ~ ")," dec "," ~ ")," mon "," ~ ")," tue "," ~ ")," wed "," ~ ")," thu "," ~ ")," fri "," ~ ")," sat "," ~ ")," sun "," ~ ")," gate "," ~ ")," bay "," ~ ")," stand "," ~ ")," position "," ~ ")," galley "," ~ ")," flight "," ~ ")," flt "," ~ ")," day "," ~ ")," date "," ~ ")," dated "," ~ ")," the "," ~ ")," and "," ~ ")," of "," ~ ")," in "," ~ ")," for "," ~ ")," with "," ~ ")</f>
        <v>  </v>
      </c>
      <c r="AB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12," pax "," ~ ")," etd "," ~ ")," eta "," ~ ")," std "," ~ ")," sta "," ~ ")," atd "," ~ ")," ata "," ~ ")," lt "," ~ ")," utc "," ~ ")," local "," ~ ")," ok "," ~ ")," done "," ~ ")," seen "," ~ ")," chk "," ~ ")," chkd "," ~ ")," checked "," ~ ")," rcvd "," ~ ")," recd "," ~ ")," dep "," ~ ")," arr "," ~ ")," qty "," ~ ")," all "," ~ ")," ttl "," ~ ")," total "," ~ ")," via "," ~ ")," per "," ~ ")," call "," ~ ")," inbound "," ~ ")," outbound "," ~ ")," approx "," ~ ")</f>
        <v>  </v>
      </c>
      <c r="AC1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12," pax "," ~ ")," etd "," ~ ")," eta "," ~ ")," std "," ~ ")," sta "," ~ ")," atd "," ~ ")," ata "," ~ ")," lt "," ~ ")," utc "," ~ ")," local "," ~ ")," ok "," ~ ")," done "," ~ ")," seen "," ~ ")," chk "," ~ ")," chkd "," ~ ")," checked "," ~ ")," rcvd "," ~ ")," recd "," ~ ")," dep "," ~ ")," arr "," ~ ")," qty "," ~ ")," all "," ~ ")," ttl "," ~ ")," total "," ~ ")," via "," ~ ")," per "," ~ ")," call "," ~ ")," inbound "," ~ ")," outbound "," ~ ")," approx "," ~ ")</f>
        <v>  </v>
      </c>
    </row>
    <row r="13" customFormat="false" ht="30" hidden="false" customHeight="true" outlineLevel="0" collapsed="false">
      <c r="A13" s="70" t="s">
        <v>246</v>
      </c>
      <c r="B13" s="57" t="str">
        <f aca="false">Flights!F13</f>
        <v>MH0753</v>
      </c>
      <c r="C13" s="71" t="n">
        <f aca="false">Flights!D13</f>
        <v>46306</v>
      </c>
      <c r="D13" s="70" t="str">
        <f aca="false">Flights!G13&amp;"-"&amp;Flights!H13</f>
        <v>HAN-KUL</v>
      </c>
      <c r="E13" s="70" t="str">
        <f aca="false">Flights!L13</f>
        <v>B738MAX</v>
      </c>
      <c r="F13" s="60"/>
      <c r="G13" s="60"/>
      <c r="H13" s="72"/>
      <c r="I13" s="60"/>
      <c r="J13" s="73" t="str">
        <f aca="false">IFERROR(IF(AND(AND(LEN(SUBSTITUTE(SUBSTITUTE(SUBSTITUTE(SUBSTITUTE(SUBSTITUTE(SUBSTITUTE(SUBSTITUTE(SUBSTITUTE(SUBSTITUTE(SUBSTITUTE(SUBSTITUTE(SUBSTITUTE(SUBSTITUTE(SUBSTITUTE(SUBSTITUTE(SUBSTITUTE(LOWER(F13&amp;""),CHAR(10),""),CHAR(13),""),CHAR(9),""),CHAR(160),"")," ",""),".",""),"-",""),"/",""),"?",""),"_",""),",",""),"[",""),"]",""),"(",""),")",""),"*",""))&gt;=3,NOT(ISNUMBER(MATCH(LEFT(SUBSTITUTE(SUBSTITUTE(SUBSTITUTE(SUBSTITUTE(SUBSTITUTE(SUBSTITUTE(SUBSTITUTE(SUBSTITUTE(SUBSTITUTE(SUBSTITUTE(SUBSTITUTE(SUBSTITUTE(SUBSTITUTE(SUBSTITUTE(SUBSTITUTE(SUBSTITUTE(LOWER(F13&amp;""),CHAR(10),""),CHAR(13),""),CHAR(9),""),CHAR(160),"")," ",""),".",""),"-",""),"/",""),"?",""),"_",""),",",""),"[",""),"]",""),"(",""),")",""),"*",""),255),L_Placeholder,0)))),AND(SUMPRODUCT(--ISNUMBER(FIND({"0","1","2","3","4","5","6","7","8","9"},F13)))&gt;0,LOWER(TRIM(F13))&lt;&gt;LOWER(Flights!$F$13),NOT(AND(LEFT(LOWER(TRIM(F13)),2)="mh",ISNUMBER(--MID(TRIM(F13),3,6))))),AND(LEN(SUBSTITUTE(SUBSTITUTE(SUBSTITUTE(SUBSTITUTE(SUBSTITUTE(SUBSTITUTE(SUBSTITUTE(SUBSTITUTE(SUBSTITUTE(SUBSTITUTE(SUBSTITUTE(SUBSTITUTE(SUBSTITUTE(SUBSTITUTE(SUBSTITUTE(SUBSTITUTE(LOWER(G13&amp;""),CHAR(10),""),CHAR(13),""),CHAR(9),""),CHAR(160),"")," ",""),".",""),"-",""),"/",""),"?",""),"_",""),",",""),"[",""),"]",""),"(",""),")",""),"*",""))&gt;=1,NOT(ISNUMBER(MATCH(LEFT(SUBSTITUTE(SUBSTITUTE(SUBSTITUTE(SUBSTITUTE(SUBSTITUTE(SUBSTITUTE(SUBSTITUTE(SUBSTITUTE(SUBSTITUTE(SUBSTITUTE(SUBSTITUTE(SUBSTITUTE(SUBSTITUTE(SUBSTITUTE(SUBSTITUTE(SUBSTITUTE(LOWER(G13&amp;""),CHAR(10),""),CHAR(13),""),CHAR(9),""),CHAR(160),"")," ",""),".",""),"-",""),"/",""),"?",""),"_",""),",",""),"[",""),"]",""),"(",""),")",""),"*",""),255),L_Placeholder,0)))),ISNUMBER(H13),H13&gt;=DATE(2020,1,1),H13&lt;=Flights!$D$13,AND(LEN(SUBSTITUTE(SUBSTITUTE(SUBSTITUTE(SUBSTITUTE(SUBSTITUTE(SUBSTITUTE(SUBSTITUTE(SUBSTITUTE(SUBSTITUTE(SUBSTITUTE(SUBSTITUTE(SUBSTITUTE(SUBSTITUTE(SUBSTITUTE(SUBSTITUTE(SUBSTITUTE(LOWER(I13&amp;""),CHAR(10),""),CHAR(13),""),CHAR(9),""),CHAR(160),"")," ",""),".",""),"-",""),"/",""),"?",""),"_",""),",",""),"[",""),"]",""),"(",""),")",""),"*",""))&gt;=5,NOT(ISNUMBER(MATCH(LEFT(SUBSTITUTE(SUBSTITUTE(SUBSTITUTE(SUBSTITUTE(SUBSTITUTE(SUBSTITUTE(SUBSTITUTE(SUBSTITUTE(SUBSTITUTE(SUBSTITUTE(SUBSTITUTE(SUBSTITUTE(SUBSTITUTE(SUBSTITUTE(SUBSTITUTE(SUBSTITUTE(LOWER(I13&amp;""),CHAR(10),""),CHAR(13),""),CHAR(9),""),CHAR(160),"")," ",""),".",""),"-",""),"/",""),"?",""),"_",""),",",""),"[",""),"]",""),"(",""),")",""),"*",""),255),L_Placeholder,0)))),OR(SUMPRODUCT(--ISNUMBER(SEARCH({"aa000"," aa 000"," aaa 000"," aaaa 000"," a 0000"," a000 000"," aa 00 000"," aaa 00 000"},S13)))&gt;0,SUMPRODUCT(--ISNUMBER(SEARCH({"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13)))&gt;0,SUMPRODUCT(--ISNUMBER(SEARCH({"http","www.","\",".pdf",".jpg",".jpeg",".png",".heic",".xls",".doc",".msg",".eml"},I13)))&gt;0,AND(SUMPRODUCT(--ISNUMBER(SEARCH({"sharepoint","onedrive","teams","dms","q-pulse","qpulse"},I13)))&gt;0,ISNUMBER(SEARCH("0",R13)))),NOT(SUMPRODUCT((LEN(X13)-LEN(SUBSTITUTE(X13," "&amp;L_PendStrict&amp;" "," ")))/(LEN(L_PendStrict)+1))&gt;SUMPRODUCT((LEN(X13)-LEN(SUBSTITUTE(X13," "&amp;L_PendNeg&amp;" "," ")))/(LEN(L_PendNeg)+1)))),"ON FILE","OUTSTANDING"),"OUTSTANDING")</f>
        <v>OUTSTANDING</v>
      </c>
      <c r="K13" s="60"/>
      <c r="L13" s="60"/>
      <c r="M13" s="72"/>
      <c r="N13" s="60"/>
      <c r="O13" s="73" t="str">
        <f aca="false">IFERROR(IF(AND(AND(LEN(SUBSTITUTE(SUBSTITUTE(SUBSTITUTE(SUBSTITUTE(SUBSTITUTE(SUBSTITUTE(SUBSTITUTE(SUBSTITUTE(SUBSTITUTE(SUBSTITUTE(SUBSTITUTE(SUBSTITUTE(SUBSTITUTE(SUBSTITUTE(SUBSTITUTE(SUBSTITUTE(LOWER(K13&amp;""),CHAR(10),""),CHAR(13),""),CHAR(9),""),CHAR(160),"")," ",""),".",""),"-",""),"/",""),"?",""),"_",""),",",""),"[",""),"]",""),"(",""),")",""),"*",""))&gt;=3,NOT(ISNUMBER(MATCH(LEFT(SUBSTITUTE(SUBSTITUTE(SUBSTITUTE(SUBSTITUTE(SUBSTITUTE(SUBSTITUTE(SUBSTITUTE(SUBSTITUTE(SUBSTITUTE(SUBSTITUTE(SUBSTITUTE(SUBSTITUTE(SUBSTITUTE(SUBSTITUTE(SUBSTITUTE(SUBSTITUTE(LOWER(K13&amp;""),CHAR(10),""),CHAR(13),""),CHAR(9),""),CHAR(160),"")," ",""),".",""),"-",""),"/",""),"?",""),"_",""),",",""),"[",""),"]",""),"(",""),")",""),"*",""),255),L_Placeholder,0)))),AND(SUMPRODUCT(--ISNUMBER(FIND({"0","1","2","3","4","5","6","7","8","9"},K13)))&gt;0,LOWER(TRIM(K13))&lt;&gt;LOWER(Flights!$F$13),NOT(AND(LEFT(LOWER(TRIM(K13)),2)="mh",ISNUMBER(--MID(TRIM(K13),3,6))))),AND(LEN(SUBSTITUTE(SUBSTITUTE(SUBSTITUTE(SUBSTITUTE(SUBSTITUTE(SUBSTITUTE(SUBSTITUTE(SUBSTITUTE(SUBSTITUTE(SUBSTITUTE(SUBSTITUTE(SUBSTITUTE(SUBSTITUTE(SUBSTITUTE(SUBSTITUTE(SUBSTITUTE(LOWER(L13&amp;""),CHAR(10),""),CHAR(13),""),CHAR(9),""),CHAR(160),"")," ",""),".",""),"-",""),"/",""),"?",""),"_",""),",",""),"[",""),"]",""),"(",""),")",""),"*",""))&gt;=1,NOT(ISNUMBER(MATCH(LEFT(SUBSTITUTE(SUBSTITUTE(SUBSTITUTE(SUBSTITUTE(SUBSTITUTE(SUBSTITUTE(SUBSTITUTE(SUBSTITUTE(SUBSTITUTE(SUBSTITUTE(SUBSTITUTE(SUBSTITUTE(SUBSTITUTE(SUBSTITUTE(SUBSTITUTE(SUBSTITUTE(LOWER(L13&amp;""),CHAR(10),""),CHAR(13),""),CHAR(9),""),CHAR(160),"")," ",""),".",""),"-",""),"/",""),"?",""),"_",""),",",""),"[",""),"]",""),"(",""),")",""),"*",""),255),L_Placeholder,0)))),ISNUMBER(M13),M13&gt;=DATE(2020,1,1),M13&lt;=Flights!$D$13,AND(LEN(SUBSTITUTE(SUBSTITUTE(SUBSTITUTE(SUBSTITUTE(SUBSTITUTE(SUBSTITUTE(SUBSTITUTE(SUBSTITUTE(SUBSTITUTE(SUBSTITUTE(SUBSTITUTE(SUBSTITUTE(SUBSTITUTE(SUBSTITUTE(SUBSTITUTE(SUBSTITUTE(LOWER(N13&amp;""),CHAR(10),""),CHAR(13),""),CHAR(9),""),CHAR(160),"")," ",""),".",""),"-",""),"/",""),"?",""),"_",""),",",""),"[",""),"]",""),"(",""),")",""),"*",""))&gt;=5,NOT(ISNUMBER(MATCH(LEFT(SUBSTITUTE(SUBSTITUTE(SUBSTITUTE(SUBSTITUTE(SUBSTITUTE(SUBSTITUTE(SUBSTITUTE(SUBSTITUTE(SUBSTITUTE(SUBSTITUTE(SUBSTITUTE(SUBSTITUTE(SUBSTITUTE(SUBSTITUTE(SUBSTITUTE(SUBSTITUTE(LOWER(N13&amp;""),CHAR(10),""),CHAR(13),""),CHAR(9),""),CHAR(160),"")," ",""),".",""),"-",""),"/",""),"?",""),"_",""),",",""),"[",""),"]",""),"(",""),")",""),"*",""),255),L_Placeholder,0)))),OR(SUMPRODUCT(--ISNUMBER(SEARCH({"aa000"," aa 000"," aaa 000"," aaaa 000"," a 0000"," a000 000"," aa 00 000"," aaa 00 000"},U13)))&gt;0,SUMPRODUCT(--ISNUMBER(SEARCH({"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13)))&gt;0,SUMPRODUCT(--ISNUMBER(SEARCH({"http","www.","\",".pdf",".jpg",".jpeg",".png",".heic",".xls",".doc",".msg",".eml"},N13)))&gt;0,AND(SUMPRODUCT(--ISNUMBER(SEARCH({"sharepoint","onedrive","teams","dms","q-pulse","qpulse"},N13)))&gt;0,ISNUMBER(SEARCH("0",T13)))),NOT(SUMPRODUCT((LEN(Y13)-LEN(SUBSTITUTE(Y13," "&amp;L_PendStrict&amp;" "," ")))/(LEN(L_PendStrict)+1))&gt;SUMPRODUCT((LEN(Y13)-LEN(SUBSTITUTE(Y13," "&amp;L_PendNeg&amp;" "," ")))/(LEN(L_PendNeg)+1)))),"ON FILE","OUTSTANDING"),"OUTSTANDING")</f>
        <v>OUTSTANDING</v>
      </c>
      <c r="P13" s="74" t="n">
        <f aca="false">(J13="OUTSTANDING")+(O13="OUTSTANDING")</f>
        <v>2</v>
      </c>
      <c r="Q13" s="57" t="s">
        <v>1496</v>
      </c>
      <c r="R13" s="0" t="str">
        <f aca="false">SUBSTITUTE(SUBSTITUTE(SUBSTITUTE(SUBSTITUTE(SUBSTITUTE(SUBSTITUTE(SUBSTITUTE(SUBSTITUTE(SUBSTITUTE(LOWER(AB13&amp;""),"1","0"),"2","0"),"3","0"),"4","0"),"5","0"),"6","0"),"7","0"),"8","0"),"9","0")</f>
        <v>  </v>
      </c>
      <c r="S13" s="0" t="str">
        <f aca="false">SUBSTITUTE(SUBSTITUTE(SUBSTITUTE(SUBSTITUTE(SUBSTITUTE(SUBSTITUTE(SUBSTITUTE(SUBSTITUTE(SUBSTITUTE(SUBSTITUTE(SUBSTITUTE(SUBSTITUTE(SUBSTITUTE(SUBSTITUTE(SUBSTITUTE(SUBSTITUTE(SUBSTITUTE(SUBSTITUTE(SUBSTITUTE(SUBSTITUTE(SUBSTITUTE(SUBSTITUTE(SUBSTITUTE(SUBSTITUTE(SUBSTITUTE(R13,"b","a"),"c","a"),"d","a"),"e","a"),"f","a"),"g","a"),"h","a"),"i","a"),"j","a"),"k","a"),"l","a"),"m","a"),"n","a"),"o","a"),"p","a"),"q","a"),"r","a"),"s","a"),"t","a"),"u","a"),"v","a"),"w","a"),"x","a"),"y","a"),"z","a")</f>
        <v>  </v>
      </c>
      <c r="T13" s="0" t="str">
        <f aca="false">SUBSTITUTE(SUBSTITUTE(SUBSTITUTE(SUBSTITUTE(SUBSTITUTE(SUBSTITUTE(SUBSTITUTE(SUBSTITUTE(SUBSTITUTE(LOWER(AC13&amp;""),"1","0"),"2","0"),"3","0"),"4","0"),"5","0"),"6","0"),"7","0"),"8","0"),"9","0")</f>
        <v>  </v>
      </c>
      <c r="U13" s="0" t="str">
        <f aca="false">SUBSTITUTE(SUBSTITUTE(SUBSTITUTE(SUBSTITUTE(SUBSTITUTE(SUBSTITUTE(SUBSTITUTE(SUBSTITUTE(SUBSTITUTE(SUBSTITUTE(SUBSTITUTE(SUBSTITUTE(SUBSTITUTE(SUBSTITUTE(SUBSTITUTE(SUBSTITUTE(SUBSTITUTE(SUBSTITUTE(SUBSTITUTE(SUBSTITUTE(SUBSTITUTE(SUBSTITUTE(SUBSTITUTE(SUBSTITUTE(SUBSTITUTE(T13,"b","a"),"c","a"),"d","a"),"e","a"),"f","a"),"g","a"),"h","a"),"i","a"),"j","a"),"k","a"),"l","a"),"m","a"),"n","a"),"o","a"),"p","a"),"q","a"),"r","a"),"s","a"),"t","a"),"u","a"),"v","a"),"w","a"),"x","a"),"y","a"),"z","a")</f>
        <v>  </v>
      </c>
      <c r="V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13," "&amp;LOWER(Flights!$F$13)&amp;" "," ~ ")," mh"," ~")," at "," ~ ")," by "," ~ ")," on "," ~ ")," to "," ~ ")," from "," ~ ")," until "," ~ ")," till "," ~ ")," before "," ~ ")," after "," ~ ")," around "," ~ ")," approx "," ~ ")," about "," ~ ")," since "," ~ ")," hrs "," ~ ")," hr "," ~ ")," hours "," ~ ")," time "," ~ ")," jan "," ~ ")," feb "," ~ ")," mar "," ~ ")," apr "," ~ ")," may "," ~ ")," jun "," ~ ")," jul "," ~ ")," aug "," ~ ")," sep "," ~ ")," sept "," ~ ")," oct "," ~ ")</f>
        <v>  </v>
      </c>
      <c r="W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13," "&amp;LOWER(Flights!$F$13)&amp;" "," ~ ")," mh"," ~")," at "," ~ ")," by "," ~ ")," on "," ~ ")," to "," ~ ")," from "," ~ ")," until "," ~ ")," till "," ~ ")," before "," ~ ")," after "," ~ ")," around "," ~ ")," approx "," ~ ")," about "," ~ ")," since "," ~ ")," hrs "," ~ ")," hr "," ~ ")," hours "," ~ ")," time "," ~ ")," jan "," ~ ")," feb "," ~ ")," mar "," ~ ")," apr "," ~ ")," may "," ~ ")," jun "," ~ ")," jul "," ~ ")," aug "," ~ ")," sep "," ~ ")," sept "," ~ ")," oct "," ~ ")</f>
        <v>  </v>
      </c>
      <c r="X13" s="0" t="str">
        <f aca="false">" "&amp;TRIM(SUBSTITUTE(SUBSTITUTE(SUBSTITUTE(SUBSTITUTE(SUBSTITUTE(SUBSTITUTE(SUBSTITUTE(SUBSTITUTE(SUBSTITUTE(SUBSTITUTE(SUBSTITUTE(SUBSTITUTE(SUBSTITUTE(SUBSTITUTE(SUBSTITUTE(SUBSTITUTE(SUBSTITUTE(SUBSTITUTE(SUBSTITUTE(SUBSTITUTE(SUBSTITUTE(SUBSTITUTE(SUBSTITUTE(SUBSTITUTE(LOWER(I13&amp;""),CHAR(10)," "),CHAR(13)," "),CHAR(9)," "),CHAR(160)," "),"."," "),","," "),"-"," "),"/"," "),"("," "),")"," "),":"," "),";"," "),"_"," "),"–"," "),"?"," "),"!"," "),"*"," "),"["," "),"]"," "),"'"," "),"#"," "),"+"," "),"&amp;"," "),"\"," "))&amp;" "</f>
        <v>  </v>
      </c>
      <c r="Y13" s="0" t="str">
        <f aca="false">" "&amp;TRIM(SUBSTITUTE(SUBSTITUTE(SUBSTITUTE(SUBSTITUTE(SUBSTITUTE(SUBSTITUTE(SUBSTITUTE(SUBSTITUTE(SUBSTITUTE(SUBSTITUTE(SUBSTITUTE(SUBSTITUTE(SUBSTITUTE(SUBSTITUTE(SUBSTITUTE(SUBSTITUTE(SUBSTITUTE(SUBSTITUTE(SUBSTITUTE(SUBSTITUTE(SUBSTITUTE(SUBSTITUTE(SUBSTITUTE(SUBSTITUTE(LOWER(N13&amp;""),CHAR(10)," "),CHAR(13)," "),CHAR(9)," "),CHAR(160)," "),"."," "),","," "),"-"," "),"/"," "),"("," "),")"," "),":"," "),";"," "),"_"," "),"–"," "),"?"," "),"!"," "),"*"," "),"["," "),"]"," "),"'"," "),"#"," "),"+"," "),"&amp;"," "),"\"," "))&amp;" "</f>
        <v>  </v>
      </c>
      <c r="Z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13,"jan","~"),"feb","~"),"mar","~"),"apr","~"),"may","~"),"jun","~"),"jul","~"),"aug","~"),"sep","~"),"oct","~"),"nov","~"),"dec","~")," nov "," ~ ")," dec "," ~ ")," mon "," ~ ")," tue "," ~ ")," wed "," ~ ")," thu "," ~ ")," fri "," ~ ")," sat "," ~ ")," sun "," ~ ")," gate "," ~ ")," bay "," ~ ")," stand "," ~ ")," position "," ~ ")," galley "," ~ ")," flight "," ~ ")," flt "," ~ ")," day "," ~ ")," date "," ~ ")," dated "," ~ ")," the "," ~ ")," and "," ~ ")," of "," ~ ")," in "," ~ ")," for "," ~ ")," with "," ~ ")</f>
        <v>  </v>
      </c>
      <c r="AA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13,"jan","~"),"feb","~"),"mar","~"),"apr","~"),"may","~"),"jun","~"),"jul","~"),"aug","~"),"sep","~"),"oct","~"),"nov","~"),"dec","~")," nov "," ~ ")," dec "," ~ ")," mon "," ~ ")," tue "," ~ ")," wed "," ~ ")," thu "," ~ ")," fri "," ~ ")," sat "," ~ ")," sun "," ~ ")," gate "," ~ ")," bay "," ~ ")," stand "," ~ ")," position "," ~ ")," galley "," ~ ")," flight "," ~ ")," flt "," ~ ")," day "," ~ ")," date "," ~ ")," dated "," ~ ")," the "," ~ ")," and "," ~ ")," of "," ~ ")," in "," ~ ")," for "," ~ ")," with "," ~ ")</f>
        <v>  </v>
      </c>
      <c r="AB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13," pax "," ~ ")," etd "," ~ ")," eta "," ~ ")," std "," ~ ")," sta "," ~ ")," atd "," ~ ")," ata "," ~ ")," lt "," ~ ")," utc "," ~ ")," local "," ~ ")," ok "," ~ ")," done "," ~ ")," seen "," ~ ")," chk "," ~ ")," chkd "," ~ ")," checked "," ~ ")," rcvd "," ~ ")," recd "," ~ ")," dep "," ~ ")," arr "," ~ ")," qty "," ~ ")," all "," ~ ")," ttl "," ~ ")," total "," ~ ")," via "," ~ ")," per "," ~ ")," call "," ~ ")," inbound "," ~ ")," outbound "," ~ ")," approx "," ~ ")</f>
        <v>  </v>
      </c>
      <c r="AC1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13," pax "," ~ ")," etd "," ~ ")," eta "," ~ ")," std "," ~ ")," sta "," ~ ")," atd "," ~ ")," ata "," ~ ")," lt "," ~ ")," utc "," ~ ")," local "," ~ ")," ok "," ~ ")," done "," ~ ")," seen "," ~ ")," chk "," ~ ")," chkd "," ~ ")," checked "," ~ ")," rcvd "," ~ ")," recd "," ~ ")," dep "," ~ ")," arr "," ~ ")," qty "," ~ ")," all "," ~ ")," ttl "," ~ ")," total "," ~ ")," via "," ~ ")," per "," ~ ")," call "," ~ ")," inbound "," ~ ")," outbound "," ~ ")," approx "," ~ ")</f>
        <v>  </v>
      </c>
    </row>
    <row r="14" customFormat="false" ht="30" hidden="false" customHeight="true" outlineLevel="0" collapsed="false">
      <c r="A14" s="70" t="s">
        <v>251</v>
      </c>
      <c r="B14" s="57" t="str">
        <f aca="false">Flights!F14</f>
        <v>MH1140</v>
      </c>
      <c r="C14" s="71" t="n">
        <f aca="false">Flights!D14</f>
        <v>46307</v>
      </c>
      <c r="D14" s="70" t="str">
        <f aca="false">Flights!G14&amp;"-"&amp;Flights!H14</f>
        <v>KUL-PEN</v>
      </c>
      <c r="E14" s="70" t="str">
        <f aca="false">Flights!L14</f>
        <v>B738MAX</v>
      </c>
      <c r="F14" s="60"/>
      <c r="G14" s="60"/>
      <c r="H14" s="72"/>
      <c r="I14" s="60"/>
      <c r="J14" s="73" t="str">
        <f aca="false">IFERROR(IF(AND(AND(LEN(SUBSTITUTE(SUBSTITUTE(SUBSTITUTE(SUBSTITUTE(SUBSTITUTE(SUBSTITUTE(SUBSTITUTE(SUBSTITUTE(SUBSTITUTE(SUBSTITUTE(SUBSTITUTE(SUBSTITUTE(SUBSTITUTE(SUBSTITUTE(SUBSTITUTE(SUBSTITUTE(LOWER(F14&amp;""),CHAR(10),""),CHAR(13),""),CHAR(9),""),CHAR(160),"")," ",""),".",""),"-",""),"/",""),"?",""),"_",""),",",""),"[",""),"]",""),"(",""),")",""),"*",""))&gt;=3,NOT(ISNUMBER(MATCH(LEFT(SUBSTITUTE(SUBSTITUTE(SUBSTITUTE(SUBSTITUTE(SUBSTITUTE(SUBSTITUTE(SUBSTITUTE(SUBSTITUTE(SUBSTITUTE(SUBSTITUTE(SUBSTITUTE(SUBSTITUTE(SUBSTITUTE(SUBSTITUTE(SUBSTITUTE(SUBSTITUTE(LOWER(F14&amp;""),CHAR(10),""),CHAR(13),""),CHAR(9),""),CHAR(160),"")," ",""),".",""),"-",""),"/",""),"?",""),"_",""),",",""),"[",""),"]",""),"(",""),")",""),"*",""),255),L_Placeholder,0)))),AND(SUMPRODUCT(--ISNUMBER(FIND({"0","1","2","3","4","5","6","7","8","9"},F14)))&gt;0,LOWER(TRIM(F14))&lt;&gt;LOWER(Flights!$F$14),NOT(AND(LEFT(LOWER(TRIM(F14)),2)="mh",ISNUMBER(--MID(TRIM(F14),3,6))))),AND(LEN(SUBSTITUTE(SUBSTITUTE(SUBSTITUTE(SUBSTITUTE(SUBSTITUTE(SUBSTITUTE(SUBSTITUTE(SUBSTITUTE(SUBSTITUTE(SUBSTITUTE(SUBSTITUTE(SUBSTITUTE(SUBSTITUTE(SUBSTITUTE(SUBSTITUTE(SUBSTITUTE(LOWER(G14&amp;""),CHAR(10),""),CHAR(13),""),CHAR(9),""),CHAR(160),"")," ",""),".",""),"-",""),"/",""),"?",""),"_",""),",",""),"[",""),"]",""),"(",""),")",""),"*",""))&gt;=1,NOT(ISNUMBER(MATCH(LEFT(SUBSTITUTE(SUBSTITUTE(SUBSTITUTE(SUBSTITUTE(SUBSTITUTE(SUBSTITUTE(SUBSTITUTE(SUBSTITUTE(SUBSTITUTE(SUBSTITUTE(SUBSTITUTE(SUBSTITUTE(SUBSTITUTE(SUBSTITUTE(SUBSTITUTE(SUBSTITUTE(LOWER(G14&amp;""),CHAR(10),""),CHAR(13),""),CHAR(9),""),CHAR(160),"")," ",""),".",""),"-",""),"/",""),"?",""),"_",""),",",""),"[",""),"]",""),"(",""),")",""),"*",""),255),L_Placeholder,0)))),ISNUMBER(H14),H14&gt;=DATE(2020,1,1),H14&lt;=Flights!$D$14,AND(LEN(SUBSTITUTE(SUBSTITUTE(SUBSTITUTE(SUBSTITUTE(SUBSTITUTE(SUBSTITUTE(SUBSTITUTE(SUBSTITUTE(SUBSTITUTE(SUBSTITUTE(SUBSTITUTE(SUBSTITUTE(SUBSTITUTE(SUBSTITUTE(SUBSTITUTE(SUBSTITUTE(LOWER(I14&amp;""),CHAR(10),""),CHAR(13),""),CHAR(9),""),CHAR(160),"")," ",""),".",""),"-",""),"/",""),"?",""),"_",""),",",""),"[",""),"]",""),"(",""),")",""),"*",""))&gt;=5,NOT(ISNUMBER(MATCH(LEFT(SUBSTITUTE(SUBSTITUTE(SUBSTITUTE(SUBSTITUTE(SUBSTITUTE(SUBSTITUTE(SUBSTITUTE(SUBSTITUTE(SUBSTITUTE(SUBSTITUTE(SUBSTITUTE(SUBSTITUTE(SUBSTITUTE(SUBSTITUTE(SUBSTITUTE(SUBSTITUTE(LOWER(I14&amp;""),CHAR(10),""),CHAR(13),""),CHAR(9),""),CHAR(160),"")," ",""),".",""),"-",""),"/",""),"?",""),"_",""),",",""),"[",""),"]",""),"(",""),")",""),"*",""),255),L_Placeholder,0)))),OR(SUMPRODUCT(--ISNUMBER(SEARCH({"aa000"," aa 000"," aaa 000"," aaaa 000"," a 0000"," a000 000"," aa 00 000"," aaa 00 000"},S14)))&gt;0,SUMPRODUCT(--ISNUMBER(SEARCH({"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14)))&gt;0,SUMPRODUCT(--ISNUMBER(SEARCH({"http","www.","\",".pdf",".jpg",".jpeg",".png",".heic",".xls",".doc",".msg",".eml"},I14)))&gt;0,AND(SUMPRODUCT(--ISNUMBER(SEARCH({"sharepoint","onedrive","teams","dms","q-pulse","qpulse"},I14)))&gt;0,ISNUMBER(SEARCH("0",R14)))),NOT(SUMPRODUCT((LEN(X14)-LEN(SUBSTITUTE(X14," "&amp;L_PendStrict&amp;" "," ")))/(LEN(L_PendStrict)+1))&gt;SUMPRODUCT((LEN(X14)-LEN(SUBSTITUTE(X14," "&amp;L_PendNeg&amp;" "," ")))/(LEN(L_PendNeg)+1)))),"ON FILE","OUTSTANDING"),"OUTSTANDING")</f>
        <v>OUTSTANDING</v>
      </c>
      <c r="K14" s="60"/>
      <c r="L14" s="60"/>
      <c r="M14" s="72"/>
      <c r="N14" s="60"/>
      <c r="O14" s="73" t="str">
        <f aca="false">IFERROR(IF(AND(AND(LEN(SUBSTITUTE(SUBSTITUTE(SUBSTITUTE(SUBSTITUTE(SUBSTITUTE(SUBSTITUTE(SUBSTITUTE(SUBSTITUTE(SUBSTITUTE(SUBSTITUTE(SUBSTITUTE(SUBSTITUTE(SUBSTITUTE(SUBSTITUTE(SUBSTITUTE(SUBSTITUTE(LOWER(K14&amp;""),CHAR(10),""),CHAR(13),""),CHAR(9),""),CHAR(160),"")," ",""),".",""),"-",""),"/",""),"?",""),"_",""),",",""),"[",""),"]",""),"(",""),")",""),"*",""))&gt;=3,NOT(ISNUMBER(MATCH(LEFT(SUBSTITUTE(SUBSTITUTE(SUBSTITUTE(SUBSTITUTE(SUBSTITUTE(SUBSTITUTE(SUBSTITUTE(SUBSTITUTE(SUBSTITUTE(SUBSTITUTE(SUBSTITUTE(SUBSTITUTE(SUBSTITUTE(SUBSTITUTE(SUBSTITUTE(SUBSTITUTE(LOWER(K14&amp;""),CHAR(10),""),CHAR(13),""),CHAR(9),""),CHAR(160),"")," ",""),".",""),"-",""),"/",""),"?",""),"_",""),",",""),"[",""),"]",""),"(",""),")",""),"*",""),255),L_Placeholder,0)))),AND(SUMPRODUCT(--ISNUMBER(FIND({"0","1","2","3","4","5","6","7","8","9"},K14)))&gt;0,LOWER(TRIM(K14))&lt;&gt;LOWER(Flights!$F$14),NOT(AND(LEFT(LOWER(TRIM(K14)),2)="mh",ISNUMBER(--MID(TRIM(K14),3,6))))),AND(LEN(SUBSTITUTE(SUBSTITUTE(SUBSTITUTE(SUBSTITUTE(SUBSTITUTE(SUBSTITUTE(SUBSTITUTE(SUBSTITUTE(SUBSTITUTE(SUBSTITUTE(SUBSTITUTE(SUBSTITUTE(SUBSTITUTE(SUBSTITUTE(SUBSTITUTE(SUBSTITUTE(LOWER(L14&amp;""),CHAR(10),""),CHAR(13),""),CHAR(9),""),CHAR(160),"")," ",""),".",""),"-",""),"/",""),"?",""),"_",""),",",""),"[",""),"]",""),"(",""),")",""),"*",""))&gt;=1,NOT(ISNUMBER(MATCH(LEFT(SUBSTITUTE(SUBSTITUTE(SUBSTITUTE(SUBSTITUTE(SUBSTITUTE(SUBSTITUTE(SUBSTITUTE(SUBSTITUTE(SUBSTITUTE(SUBSTITUTE(SUBSTITUTE(SUBSTITUTE(SUBSTITUTE(SUBSTITUTE(SUBSTITUTE(SUBSTITUTE(LOWER(L14&amp;""),CHAR(10),""),CHAR(13),""),CHAR(9),""),CHAR(160),"")," ",""),".",""),"-",""),"/",""),"?",""),"_",""),",",""),"[",""),"]",""),"(",""),")",""),"*",""),255),L_Placeholder,0)))),ISNUMBER(M14),M14&gt;=DATE(2020,1,1),M14&lt;=Flights!$D$14,AND(LEN(SUBSTITUTE(SUBSTITUTE(SUBSTITUTE(SUBSTITUTE(SUBSTITUTE(SUBSTITUTE(SUBSTITUTE(SUBSTITUTE(SUBSTITUTE(SUBSTITUTE(SUBSTITUTE(SUBSTITUTE(SUBSTITUTE(SUBSTITUTE(SUBSTITUTE(SUBSTITUTE(LOWER(N14&amp;""),CHAR(10),""),CHAR(13),""),CHAR(9),""),CHAR(160),"")," ",""),".",""),"-",""),"/",""),"?",""),"_",""),",",""),"[",""),"]",""),"(",""),")",""),"*",""))&gt;=5,NOT(ISNUMBER(MATCH(LEFT(SUBSTITUTE(SUBSTITUTE(SUBSTITUTE(SUBSTITUTE(SUBSTITUTE(SUBSTITUTE(SUBSTITUTE(SUBSTITUTE(SUBSTITUTE(SUBSTITUTE(SUBSTITUTE(SUBSTITUTE(SUBSTITUTE(SUBSTITUTE(SUBSTITUTE(SUBSTITUTE(LOWER(N14&amp;""),CHAR(10),""),CHAR(13),""),CHAR(9),""),CHAR(160),"")," ",""),".",""),"-",""),"/",""),"?",""),"_",""),",",""),"[",""),"]",""),"(",""),")",""),"*",""),255),L_Placeholder,0)))),OR(SUMPRODUCT(--ISNUMBER(SEARCH({"aa000"," aa 000"," aaa 000"," aaaa 000"," a 0000"," a000 000"," aa 00 000"," aaa 00 000"},U14)))&gt;0,SUMPRODUCT(--ISNUMBER(SEARCH({"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14)))&gt;0,SUMPRODUCT(--ISNUMBER(SEARCH({"http","www.","\",".pdf",".jpg",".jpeg",".png",".heic",".xls",".doc",".msg",".eml"},N14)))&gt;0,AND(SUMPRODUCT(--ISNUMBER(SEARCH({"sharepoint","onedrive","teams","dms","q-pulse","qpulse"},N14)))&gt;0,ISNUMBER(SEARCH("0",T14)))),NOT(SUMPRODUCT((LEN(Y14)-LEN(SUBSTITUTE(Y14," "&amp;L_PendStrict&amp;" "," ")))/(LEN(L_PendStrict)+1))&gt;SUMPRODUCT((LEN(Y14)-LEN(SUBSTITUTE(Y14," "&amp;L_PendNeg&amp;" "," ")))/(LEN(L_PendNeg)+1)))),"ON FILE","OUTSTANDING"),"OUTSTANDING")</f>
        <v>OUTSTANDING</v>
      </c>
      <c r="P14" s="74" t="n">
        <f aca="false">(J14="OUTSTANDING")+(O14="OUTSTANDING")</f>
        <v>2</v>
      </c>
      <c r="Q14" s="57" t="s">
        <v>1496</v>
      </c>
      <c r="R14" s="0" t="str">
        <f aca="false">SUBSTITUTE(SUBSTITUTE(SUBSTITUTE(SUBSTITUTE(SUBSTITUTE(SUBSTITUTE(SUBSTITUTE(SUBSTITUTE(SUBSTITUTE(LOWER(AB14&amp;""),"1","0"),"2","0"),"3","0"),"4","0"),"5","0"),"6","0"),"7","0"),"8","0"),"9","0")</f>
        <v>  </v>
      </c>
      <c r="S14" s="0" t="str">
        <f aca="false">SUBSTITUTE(SUBSTITUTE(SUBSTITUTE(SUBSTITUTE(SUBSTITUTE(SUBSTITUTE(SUBSTITUTE(SUBSTITUTE(SUBSTITUTE(SUBSTITUTE(SUBSTITUTE(SUBSTITUTE(SUBSTITUTE(SUBSTITUTE(SUBSTITUTE(SUBSTITUTE(SUBSTITUTE(SUBSTITUTE(SUBSTITUTE(SUBSTITUTE(SUBSTITUTE(SUBSTITUTE(SUBSTITUTE(SUBSTITUTE(SUBSTITUTE(R14,"b","a"),"c","a"),"d","a"),"e","a"),"f","a"),"g","a"),"h","a"),"i","a"),"j","a"),"k","a"),"l","a"),"m","a"),"n","a"),"o","a"),"p","a"),"q","a"),"r","a"),"s","a"),"t","a"),"u","a"),"v","a"),"w","a"),"x","a"),"y","a"),"z","a")</f>
        <v>  </v>
      </c>
      <c r="T14" s="0" t="str">
        <f aca="false">SUBSTITUTE(SUBSTITUTE(SUBSTITUTE(SUBSTITUTE(SUBSTITUTE(SUBSTITUTE(SUBSTITUTE(SUBSTITUTE(SUBSTITUTE(LOWER(AC14&amp;""),"1","0"),"2","0"),"3","0"),"4","0"),"5","0"),"6","0"),"7","0"),"8","0"),"9","0")</f>
        <v>  </v>
      </c>
      <c r="U14" s="0" t="str">
        <f aca="false">SUBSTITUTE(SUBSTITUTE(SUBSTITUTE(SUBSTITUTE(SUBSTITUTE(SUBSTITUTE(SUBSTITUTE(SUBSTITUTE(SUBSTITUTE(SUBSTITUTE(SUBSTITUTE(SUBSTITUTE(SUBSTITUTE(SUBSTITUTE(SUBSTITUTE(SUBSTITUTE(SUBSTITUTE(SUBSTITUTE(SUBSTITUTE(SUBSTITUTE(SUBSTITUTE(SUBSTITUTE(SUBSTITUTE(SUBSTITUTE(SUBSTITUTE(T14,"b","a"),"c","a"),"d","a"),"e","a"),"f","a"),"g","a"),"h","a"),"i","a"),"j","a"),"k","a"),"l","a"),"m","a"),"n","a"),"o","a"),"p","a"),"q","a"),"r","a"),"s","a"),"t","a"),"u","a"),"v","a"),"w","a"),"x","a"),"y","a"),"z","a")</f>
        <v>  </v>
      </c>
      <c r="V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14," "&amp;LOWER(Flights!$F$14)&amp;" "," ~ ")," mh"," ~")," at "," ~ ")," by "," ~ ")," on "," ~ ")," to "," ~ ")," from "," ~ ")," until "," ~ ")," till "," ~ ")," before "," ~ ")," after "," ~ ")," around "," ~ ")," approx "," ~ ")," about "," ~ ")," since "," ~ ")," hrs "," ~ ")," hr "," ~ ")," hours "," ~ ")," time "," ~ ")," jan "," ~ ")," feb "," ~ ")," mar "," ~ ")," apr "," ~ ")," may "," ~ ")," jun "," ~ ")," jul "," ~ ")," aug "," ~ ")," sep "," ~ ")," sept "," ~ ")," oct "," ~ ")</f>
        <v>  </v>
      </c>
      <c r="W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14," "&amp;LOWER(Flights!$F$14)&amp;" "," ~ ")," mh"," ~")," at "," ~ ")," by "," ~ ")," on "," ~ ")," to "," ~ ")," from "," ~ ")," until "," ~ ")," till "," ~ ")," before "," ~ ")," after "," ~ ")," around "," ~ ")," approx "," ~ ")," about "," ~ ")," since "," ~ ")," hrs "," ~ ")," hr "," ~ ")," hours "," ~ ")," time "," ~ ")," jan "," ~ ")," feb "," ~ ")," mar "," ~ ")," apr "," ~ ")," may "," ~ ")," jun "," ~ ")," jul "," ~ ")," aug "," ~ ")," sep "," ~ ")," sept "," ~ ")," oct "," ~ ")</f>
        <v>  </v>
      </c>
      <c r="X14" s="0" t="str">
        <f aca="false">" "&amp;TRIM(SUBSTITUTE(SUBSTITUTE(SUBSTITUTE(SUBSTITUTE(SUBSTITUTE(SUBSTITUTE(SUBSTITUTE(SUBSTITUTE(SUBSTITUTE(SUBSTITUTE(SUBSTITUTE(SUBSTITUTE(SUBSTITUTE(SUBSTITUTE(SUBSTITUTE(SUBSTITUTE(SUBSTITUTE(SUBSTITUTE(SUBSTITUTE(SUBSTITUTE(SUBSTITUTE(SUBSTITUTE(SUBSTITUTE(SUBSTITUTE(LOWER(I14&amp;""),CHAR(10)," "),CHAR(13)," "),CHAR(9)," "),CHAR(160)," "),"."," "),","," "),"-"," "),"/"," "),"("," "),")"," "),":"," "),";"," "),"_"," "),"–"," "),"?"," "),"!"," "),"*"," "),"["," "),"]"," "),"'"," "),"#"," "),"+"," "),"&amp;"," "),"\"," "))&amp;" "</f>
        <v>  </v>
      </c>
      <c r="Y14" s="0" t="str">
        <f aca="false">" "&amp;TRIM(SUBSTITUTE(SUBSTITUTE(SUBSTITUTE(SUBSTITUTE(SUBSTITUTE(SUBSTITUTE(SUBSTITUTE(SUBSTITUTE(SUBSTITUTE(SUBSTITUTE(SUBSTITUTE(SUBSTITUTE(SUBSTITUTE(SUBSTITUTE(SUBSTITUTE(SUBSTITUTE(SUBSTITUTE(SUBSTITUTE(SUBSTITUTE(SUBSTITUTE(SUBSTITUTE(SUBSTITUTE(SUBSTITUTE(SUBSTITUTE(LOWER(N14&amp;""),CHAR(10)," "),CHAR(13)," "),CHAR(9)," "),CHAR(160)," "),"."," "),","," "),"-"," "),"/"," "),"("," "),")"," "),":"," "),";"," "),"_"," "),"–"," "),"?"," "),"!"," "),"*"," "),"["," "),"]"," "),"'"," "),"#"," "),"+"," "),"&amp;"," "),"\"," "))&amp;" "</f>
        <v>  </v>
      </c>
      <c r="Z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14,"jan","~"),"feb","~"),"mar","~"),"apr","~"),"may","~"),"jun","~"),"jul","~"),"aug","~"),"sep","~"),"oct","~"),"nov","~"),"dec","~")," nov "," ~ ")," dec "," ~ ")," mon "," ~ ")," tue "," ~ ")," wed "," ~ ")," thu "," ~ ")," fri "," ~ ")," sat "," ~ ")," sun "," ~ ")," gate "," ~ ")," bay "," ~ ")," stand "," ~ ")," position "," ~ ")," galley "," ~ ")," flight "," ~ ")," flt "," ~ ")," day "," ~ ")," date "," ~ ")," dated "," ~ ")," the "," ~ ")," and "," ~ ")," of "," ~ ")," in "," ~ ")," for "," ~ ")," with "," ~ ")</f>
        <v>  </v>
      </c>
      <c r="AA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14,"jan","~"),"feb","~"),"mar","~"),"apr","~"),"may","~"),"jun","~"),"jul","~"),"aug","~"),"sep","~"),"oct","~"),"nov","~"),"dec","~")," nov "," ~ ")," dec "," ~ ")," mon "," ~ ")," tue "," ~ ")," wed "," ~ ")," thu "," ~ ")," fri "," ~ ")," sat "," ~ ")," sun "," ~ ")," gate "," ~ ")," bay "," ~ ")," stand "," ~ ")," position "," ~ ")," galley "," ~ ")," flight "," ~ ")," flt "," ~ ")," day "," ~ ")," date "," ~ ")," dated "," ~ ")," the "," ~ ")," and "," ~ ")," of "," ~ ")," in "," ~ ")," for "," ~ ")," with "," ~ ")</f>
        <v>  </v>
      </c>
      <c r="AB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14," pax "," ~ ")," etd "," ~ ")," eta "," ~ ")," std "," ~ ")," sta "," ~ ")," atd "," ~ ")," ata "," ~ ")," lt "," ~ ")," utc "," ~ ")," local "," ~ ")," ok "," ~ ")," done "," ~ ")," seen "," ~ ")," chk "," ~ ")," chkd "," ~ ")," checked "," ~ ")," rcvd "," ~ ")," recd "," ~ ")," dep "," ~ ")," arr "," ~ ")," qty "," ~ ")," all "," ~ ")," ttl "," ~ ")," total "," ~ ")," via "," ~ ")," per "," ~ ")," call "," ~ ")," inbound "," ~ ")," outbound "," ~ ")," approx "," ~ ")</f>
        <v>  </v>
      </c>
      <c r="AC1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14," pax "," ~ ")," etd "," ~ ")," eta "," ~ ")," std "," ~ ")," sta "," ~ ")," atd "," ~ ")," ata "," ~ ")," lt "," ~ ")," utc "," ~ ")," local "," ~ ")," ok "," ~ ")," done "," ~ ")," seen "," ~ ")," chk "," ~ ")," chkd "," ~ ")," checked "," ~ ")," rcvd "," ~ ")," recd "," ~ ")," dep "," ~ ")," arr "," ~ ")," qty "," ~ ")," all "," ~ ")," ttl "," ~ ")," total "," ~ ")," via "," ~ ")," per "," ~ ")," call "," ~ ")," inbound "," ~ ")," outbound "," ~ ")," approx "," ~ ")</f>
        <v>  </v>
      </c>
    </row>
    <row r="15" customFormat="false" ht="30" hidden="false" customHeight="true" outlineLevel="0" collapsed="false">
      <c r="A15" s="70" t="s">
        <v>258</v>
      </c>
      <c r="B15" s="57" t="str">
        <f aca="false">Flights!F15</f>
        <v>MH1149</v>
      </c>
      <c r="C15" s="71" t="n">
        <f aca="false">Flights!D15</f>
        <v>46307</v>
      </c>
      <c r="D15" s="70" t="str">
        <f aca="false">Flights!G15&amp;"-"&amp;Flights!H15</f>
        <v>PEN-KUL</v>
      </c>
      <c r="E15" s="70" t="str">
        <f aca="false">Flights!L15</f>
        <v>B738MAX</v>
      </c>
      <c r="F15" s="60"/>
      <c r="G15" s="60"/>
      <c r="H15" s="72"/>
      <c r="I15" s="60"/>
      <c r="J15" s="73" t="str">
        <f aca="false">IFERROR(IF(AND(AND(LEN(SUBSTITUTE(SUBSTITUTE(SUBSTITUTE(SUBSTITUTE(SUBSTITUTE(SUBSTITUTE(SUBSTITUTE(SUBSTITUTE(SUBSTITUTE(SUBSTITUTE(SUBSTITUTE(SUBSTITUTE(SUBSTITUTE(SUBSTITUTE(SUBSTITUTE(SUBSTITUTE(LOWER(F15&amp;""),CHAR(10),""),CHAR(13),""),CHAR(9),""),CHAR(160),"")," ",""),".",""),"-",""),"/",""),"?",""),"_",""),",",""),"[",""),"]",""),"(",""),")",""),"*",""))&gt;=3,NOT(ISNUMBER(MATCH(LEFT(SUBSTITUTE(SUBSTITUTE(SUBSTITUTE(SUBSTITUTE(SUBSTITUTE(SUBSTITUTE(SUBSTITUTE(SUBSTITUTE(SUBSTITUTE(SUBSTITUTE(SUBSTITUTE(SUBSTITUTE(SUBSTITUTE(SUBSTITUTE(SUBSTITUTE(SUBSTITUTE(LOWER(F15&amp;""),CHAR(10),""),CHAR(13),""),CHAR(9),""),CHAR(160),"")," ",""),".",""),"-",""),"/",""),"?",""),"_",""),",",""),"[",""),"]",""),"(",""),")",""),"*",""),255),L_Placeholder,0)))),AND(SUMPRODUCT(--ISNUMBER(FIND({"0","1","2","3","4","5","6","7","8","9"},F15)))&gt;0,LOWER(TRIM(F15))&lt;&gt;LOWER(Flights!$F$15),NOT(AND(LEFT(LOWER(TRIM(F15)),2)="mh",ISNUMBER(--MID(TRIM(F15),3,6))))),AND(LEN(SUBSTITUTE(SUBSTITUTE(SUBSTITUTE(SUBSTITUTE(SUBSTITUTE(SUBSTITUTE(SUBSTITUTE(SUBSTITUTE(SUBSTITUTE(SUBSTITUTE(SUBSTITUTE(SUBSTITUTE(SUBSTITUTE(SUBSTITUTE(SUBSTITUTE(SUBSTITUTE(LOWER(G15&amp;""),CHAR(10),""),CHAR(13),""),CHAR(9),""),CHAR(160),"")," ",""),".",""),"-",""),"/",""),"?",""),"_",""),",",""),"[",""),"]",""),"(",""),")",""),"*",""))&gt;=1,NOT(ISNUMBER(MATCH(LEFT(SUBSTITUTE(SUBSTITUTE(SUBSTITUTE(SUBSTITUTE(SUBSTITUTE(SUBSTITUTE(SUBSTITUTE(SUBSTITUTE(SUBSTITUTE(SUBSTITUTE(SUBSTITUTE(SUBSTITUTE(SUBSTITUTE(SUBSTITUTE(SUBSTITUTE(SUBSTITUTE(LOWER(G15&amp;""),CHAR(10),""),CHAR(13),""),CHAR(9),""),CHAR(160),"")," ",""),".",""),"-",""),"/",""),"?",""),"_",""),",",""),"[",""),"]",""),"(",""),")",""),"*",""),255),L_Placeholder,0)))),ISNUMBER(H15),H15&gt;=DATE(2020,1,1),H15&lt;=Flights!$D$15,AND(LEN(SUBSTITUTE(SUBSTITUTE(SUBSTITUTE(SUBSTITUTE(SUBSTITUTE(SUBSTITUTE(SUBSTITUTE(SUBSTITUTE(SUBSTITUTE(SUBSTITUTE(SUBSTITUTE(SUBSTITUTE(SUBSTITUTE(SUBSTITUTE(SUBSTITUTE(SUBSTITUTE(LOWER(I15&amp;""),CHAR(10),""),CHAR(13),""),CHAR(9),""),CHAR(160),"")," ",""),".",""),"-",""),"/",""),"?",""),"_",""),",",""),"[",""),"]",""),"(",""),")",""),"*",""))&gt;=5,NOT(ISNUMBER(MATCH(LEFT(SUBSTITUTE(SUBSTITUTE(SUBSTITUTE(SUBSTITUTE(SUBSTITUTE(SUBSTITUTE(SUBSTITUTE(SUBSTITUTE(SUBSTITUTE(SUBSTITUTE(SUBSTITUTE(SUBSTITUTE(SUBSTITUTE(SUBSTITUTE(SUBSTITUTE(SUBSTITUTE(LOWER(I15&amp;""),CHAR(10),""),CHAR(13),""),CHAR(9),""),CHAR(160),"")," ",""),".",""),"-",""),"/",""),"?",""),"_",""),",",""),"[",""),"]",""),"(",""),")",""),"*",""),255),L_Placeholder,0)))),OR(SUMPRODUCT(--ISNUMBER(SEARCH({"aa000"," aa 000"," aaa 000"," aaaa 000"," a 0000"," a000 000"," aa 00 000"," aaa 00 000"},S15)))&gt;0,SUMPRODUCT(--ISNUMBER(SEARCH({"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15)))&gt;0,SUMPRODUCT(--ISNUMBER(SEARCH({"http","www.","\",".pdf",".jpg",".jpeg",".png",".heic",".xls",".doc",".msg",".eml"},I15)))&gt;0,AND(SUMPRODUCT(--ISNUMBER(SEARCH({"sharepoint","onedrive","teams","dms","q-pulse","qpulse"},I15)))&gt;0,ISNUMBER(SEARCH("0",R15)))),NOT(SUMPRODUCT((LEN(X15)-LEN(SUBSTITUTE(X15," "&amp;L_PendStrict&amp;" "," ")))/(LEN(L_PendStrict)+1))&gt;SUMPRODUCT((LEN(X15)-LEN(SUBSTITUTE(X15," "&amp;L_PendNeg&amp;" "," ")))/(LEN(L_PendNeg)+1)))),"ON FILE","OUTSTANDING"),"OUTSTANDING")</f>
        <v>OUTSTANDING</v>
      </c>
      <c r="K15" s="60"/>
      <c r="L15" s="60"/>
      <c r="M15" s="72"/>
      <c r="N15" s="60"/>
      <c r="O15" s="73" t="str">
        <f aca="false">IFERROR(IF(AND(AND(LEN(SUBSTITUTE(SUBSTITUTE(SUBSTITUTE(SUBSTITUTE(SUBSTITUTE(SUBSTITUTE(SUBSTITUTE(SUBSTITUTE(SUBSTITUTE(SUBSTITUTE(SUBSTITUTE(SUBSTITUTE(SUBSTITUTE(SUBSTITUTE(SUBSTITUTE(SUBSTITUTE(LOWER(K15&amp;""),CHAR(10),""),CHAR(13),""),CHAR(9),""),CHAR(160),"")," ",""),".",""),"-",""),"/",""),"?",""),"_",""),",",""),"[",""),"]",""),"(",""),")",""),"*",""))&gt;=3,NOT(ISNUMBER(MATCH(LEFT(SUBSTITUTE(SUBSTITUTE(SUBSTITUTE(SUBSTITUTE(SUBSTITUTE(SUBSTITUTE(SUBSTITUTE(SUBSTITUTE(SUBSTITUTE(SUBSTITUTE(SUBSTITUTE(SUBSTITUTE(SUBSTITUTE(SUBSTITUTE(SUBSTITUTE(SUBSTITUTE(LOWER(K15&amp;""),CHAR(10),""),CHAR(13),""),CHAR(9),""),CHAR(160),"")," ",""),".",""),"-",""),"/",""),"?",""),"_",""),",",""),"[",""),"]",""),"(",""),")",""),"*",""),255),L_Placeholder,0)))),AND(SUMPRODUCT(--ISNUMBER(FIND({"0","1","2","3","4","5","6","7","8","9"},K15)))&gt;0,LOWER(TRIM(K15))&lt;&gt;LOWER(Flights!$F$15),NOT(AND(LEFT(LOWER(TRIM(K15)),2)="mh",ISNUMBER(--MID(TRIM(K15),3,6))))),AND(LEN(SUBSTITUTE(SUBSTITUTE(SUBSTITUTE(SUBSTITUTE(SUBSTITUTE(SUBSTITUTE(SUBSTITUTE(SUBSTITUTE(SUBSTITUTE(SUBSTITUTE(SUBSTITUTE(SUBSTITUTE(SUBSTITUTE(SUBSTITUTE(SUBSTITUTE(SUBSTITUTE(LOWER(L15&amp;""),CHAR(10),""),CHAR(13),""),CHAR(9),""),CHAR(160),"")," ",""),".",""),"-",""),"/",""),"?",""),"_",""),",",""),"[",""),"]",""),"(",""),")",""),"*",""))&gt;=1,NOT(ISNUMBER(MATCH(LEFT(SUBSTITUTE(SUBSTITUTE(SUBSTITUTE(SUBSTITUTE(SUBSTITUTE(SUBSTITUTE(SUBSTITUTE(SUBSTITUTE(SUBSTITUTE(SUBSTITUTE(SUBSTITUTE(SUBSTITUTE(SUBSTITUTE(SUBSTITUTE(SUBSTITUTE(SUBSTITUTE(LOWER(L15&amp;""),CHAR(10),""),CHAR(13),""),CHAR(9),""),CHAR(160),"")," ",""),".",""),"-",""),"/",""),"?",""),"_",""),",",""),"[",""),"]",""),"(",""),")",""),"*",""),255),L_Placeholder,0)))),ISNUMBER(M15),M15&gt;=DATE(2020,1,1),M15&lt;=Flights!$D$15,AND(LEN(SUBSTITUTE(SUBSTITUTE(SUBSTITUTE(SUBSTITUTE(SUBSTITUTE(SUBSTITUTE(SUBSTITUTE(SUBSTITUTE(SUBSTITUTE(SUBSTITUTE(SUBSTITUTE(SUBSTITUTE(SUBSTITUTE(SUBSTITUTE(SUBSTITUTE(SUBSTITUTE(LOWER(N15&amp;""),CHAR(10),""),CHAR(13),""),CHAR(9),""),CHAR(160),"")," ",""),".",""),"-",""),"/",""),"?",""),"_",""),",",""),"[",""),"]",""),"(",""),")",""),"*",""))&gt;=5,NOT(ISNUMBER(MATCH(LEFT(SUBSTITUTE(SUBSTITUTE(SUBSTITUTE(SUBSTITUTE(SUBSTITUTE(SUBSTITUTE(SUBSTITUTE(SUBSTITUTE(SUBSTITUTE(SUBSTITUTE(SUBSTITUTE(SUBSTITUTE(SUBSTITUTE(SUBSTITUTE(SUBSTITUTE(SUBSTITUTE(LOWER(N15&amp;""),CHAR(10),""),CHAR(13),""),CHAR(9),""),CHAR(160),"")," ",""),".",""),"-",""),"/",""),"?",""),"_",""),",",""),"[",""),"]",""),"(",""),")",""),"*",""),255),L_Placeholder,0)))),OR(SUMPRODUCT(--ISNUMBER(SEARCH({"aa000"," aa 000"," aaa 000"," aaaa 000"," a 0000"," a000 000"," aa 00 000"," aaa 00 000"},U15)))&gt;0,SUMPRODUCT(--ISNUMBER(SEARCH({"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15)))&gt;0,SUMPRODUCT(--ISNUMBER(SEARCH({"http","www.","\",".pdf",".jpg",".jpeg",".png",".heic",".xls",".doc",".msg",".eml"},N15)))&gt;0,AND(SUMPRODUCT(--ISNUMBER(SEARCH({"sharepoint","onedrive","teams","dms","q-pulse","qpulse"},N15)))&gt;0,ISNUMBER(SEARCH("0",T15)))),NOT(SUMPRODUCT((LEN(Y15)-LEN(SUBSTITUTE(Y15," "&amp;L_PendStrict&amp;" "," ")))/(LEN(L_PendStrict)+1))&gt;SUMPRODUCT((LEN(Y15)-LEN(SUBSTITUTE(Y15," "&amp;L_PendNeg&amp;" "," ")))/(LEN(L_PendNeg)+1)))),"ON FILE","OUTSTANDING"),"OUTSTANDING")</f>
        <v>OUTSTANDING</v>
      </c>
      <c r="P15" s="74" t="n">
        <f aca="false">(J15="OUTSTANDING")+(O15="OUTSTANDING")</f>
        <v>2</v>
      </c>
      <c r="Q15" s="57" t="s">
        <v>1497</v>
      </c>
      <c r="R15" s="0" t="str">
        <f aca="false">SUBSTITUTE(SUBSTITUTE(SUBSTITUTE(SUBSTITUTE(SUBSTITUTE(SUBSTITUTE(SUBSTITUTE(SUBSTITUTE(SUBSTITUTE(LOWER(AB15&amp;""),"1","0"),"2","0"),"3","0"),"4","0"),"5","0"),"6","0"),"7","0"),"8","0"),"9","0")</f>
        <v>  </v>
      </c>
      <c r="S15" s="0" t="str">
        <f aca="false">SUBSTITUTE(SUBSTITUTE(SUBSTITUTE(SUBSTITUTE(SUBSTITUTE(SUBSTITUTE(SUBSTITUTE(SUBSTITUTE(SUBSTITUTE(SUBSTITUTE(SUBSTITUTE(SUBSTITUTE(SUBSTITUTE(SUBSTITUTE(SUBSTITUTE(SUBSTITUTE(SUBSTITUTE(SUBSTITUTE(SUBSTITUTE(SUBSTITUTE(SUBSTITUTE(SUBSTITUTE(SUBSTITUTE(SUBSTITUTE(SUBSTITUTE(R15,"b","a"),"c","a"),"d","a"),"e","a"),"f","a"),"g","a"),"h","a"),"i","a"),"j","a"),"k","a"),"l","a"),"m","a"),"n","a"),"o","a"),"p","a"),"q","a"),"r","a"),"s","a"),"t","a"),"u","a"),"v","a"),"w","a"),"x","a"),"y","a"),"z","a")</f>
        <v>  </v>
      </c>
      <c r="T15" s="0" t="str">
        <f aca="false">SUBSTITUTE(SUBSTITUTE(SUBSTITUTE(SUBSTITUTE(SUBSTITUTE(SUBSTITUTE(SUBSTITUTE(SUBSTITUTE(SUBSTITUTE(LOWER(AC15&amp;""),"1","0"),"2","0"),"3","0"),"4","0"),"5","0"),"6","0"),"7","0"),"8","0"),"9","0")</f>
        <v>  </v>
      </c>
      <c r="U15" s="0" t="str">
        <f aca="false">SUBSTITUTE(SUBSTITUTE(SUBSTITUTE(SUBSTITUTE(SUBSTITUTE(SUBSTITUTE(SUBSTITUTE(SUBSTITUTE(SUBSTITUTE(SUBSTITUTE(SUBSTITUTE(SUBSTITUTE(SUBSTITUTE(SUBSTITUTE(SUBSTITUTE(SUBSTITUTE(SUBSTITUTE(SUBSTITUTE(SUBSTITUTE(SUBSTITUTE(SUBSTITUTE(SUBSTITUTE(SUBSTITUTE(SUBSTITUTE(SUBSTITUTE(T15,"b","a"),"c","a"),"d","a"),"e","a"),"f","a"),"g","a"),"h","a"),"i","a"),"j","a"),"k","a"),"l","a"),"m","a"),"n","a"),"o","a"),"p","a"),"q","a"),"r","a"),"s","a"),"t","a"),"u","a"),"v","a"),"w","a"),"x","a"),"y","a"),"z","a")</f>
        <v>  </v>
      </c>
      <c r="V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15," "&amp;LOWER(Flights!$F$15)&amp;" "," ~ ")," mh"," ~")," at "," ~ ")," by "," ~ ")," on "," ~ ")," to "," ~ ")," from "," ~ ")," until "," ~ ")," till "," ~ ")," before "," ~ ")," after "," ~ ")," around "," ~ ")," approx "," ~ ")," about "," ~ ")," since "," ~ ")," hrs "," ~ ")," hr "," ~ ")," hours "," ~ ")," time "," ~ ")," jan "," ~ ")," feb "," ~ ")," mar "," ~ ")," apr "," ~ ")," may "," ~ ")," jun "," ~ ")," jul "," ~ ")," aug "," ~ ")," sep "," ~ ")," sept "," ~ ")," oct "," ~ ")</f>
        <v>  </v>
      </c>
      <c r="W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15," "&amp;LOWER(Flights!$F$15)&amp;" "," ~ ")," mh"," ~")," at "," ~ ")," by "," ~ ")," on "," ~ ")," to "," ~ ")," from "," ~ ")," until "," ~ ")," till "," ~ ")," before "," ~ ")," after "," ~ ")," around "," ~ ")," approx "," ~ ")," about "," ~ ")," since "," ~ ")," hrs "," ~ ")," hr "," ~ ")," hours "," ~ ")," time "," ~ ")," jan "," ~ ")," feb "," ~ ")," mar "," ~ ")," apr "," ~ ")," may "," ~ ")," jun "," ~ ")," jul "," ~ ")," aug "," ~ ")," sep "," ~ ")," sept "," ~ ")," oct "," ~ ")</f>
        <v>  </v>
      </c>
      <c r="X15" s="0" t="str">
        <f aca="false">" "&amp;TRIM(SUBSTITUTE(SUBSTITUTE(SUBSTITUTE(SUBSTITUTE(SUBSTITUTE(SUBSTITUTE(SUBSTITUTE(SUBSTITUTE(SUBSTITUTE(SUBSTITUTE(SUBSTITUTE(SUBSTITUTE(SUBSTITUTE(SUBSTITUTE(SUBSTITUTE(SUBSTITUTE(SUBSTITUTE(SUBSTITUTE(SUBSTITUTE(SUBSTITUTE(SUBSTITUTE(SUBSTITUTE(SUBSTITUTE(SUBSTITUTE(LOWER(I15&amp;""),CHAR(10)," "),CHAR(13)," "),CHAR(9)," "),CHAR(160)," "),"."," "),","," "),"-"," "),"/"," "),"("," "),")"," "),":"," "),";"," "),"_"," "),"–"," "),"?"," "),"!"," "),"*"," "),"["," "),"]"," "),"'"," "),"#"," "),"+"," "),"&amp;"," "),"\"," "))&amp;" "</f>
        <v>  </v>
      </c>
      <c r="Y15" s="0" t="str">
        <f aca="false">" "&amp;TRIM(SUBSTITUTE(SUBSTITUTE(SUBSTITUTE(SUBSTITUTE(SUBSTITUTE(SUBSTITUTE(SUBSTITUTE(SUBSTITUTE(SUBSTITUTE(SUBSTITUTE(SUBSTITUTE(SUBSTITUTE(SUBSTITUTE(SUBSTITUTE(SUBSTITUTE(SUBSTITUTE(SUBSTITUTE(SUBSTITUTE(SUBSTITUTE(SUBSTITUTE(SUBSTITUTE(SUBSTITUTE(SUBSTITUTE(SUBSTITUTE(LOWER(N15&amp;""),CHAR(10)," "),CHAR(13)," "),CHAR(9)," "),CHAR(160)," "),"."," "),","," "),"-"," "),"/"," "),"("," "),")"," "),":"," "),";"," "),"_"," "),"–"," "),"?"," "),"!"," "),"*"," "),"["," "),"]"," "),"'"," "),"#"," "),"+"," "),"&amp;"," "),"\"," "))&amp;" "</f>
        <v>  </v>
      </c>
      <c r="Z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15,"jan","~"),"feb","~"),"mar","~"),"apr","~"),"may","~"),"jun","~"),"jul","~"),"aug","~"),"sep","~"),"oct","~"),"nov","~"),"dec","~")," nov "," ~ ")," dec "," ~ ")," mon "," ~ ")," tue "," ~ ")," wed "," ~ ")," thu "," ~ ")," fri "," ~ ")," sat "," ~ ")," sun "," ~ ")," gate "," ~ ")," bay "," ~ ")," stand "," ~ ")," position "," ~ ")," galley "," ~ ")," flight "," ~ ")," flt "," ~ ")," day "," ~ ")," date "," ~ ")," dated "," ~ ")," the "," ~ ")," and "," ~ ")," of "," ~ ")," in "," ~ ")," for "," ~ ")," with "," ~ ")</f>
        <v>  </v>
      </c>
      <c r="AA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15,"jan","~"),"feb","~"),"mar","~"),"apr","~"),"may","~"),"jun","~"),"jul","~"),"aug","~"),"sep","~"),"oct","~"),"nov","~"),"dec","~")," nov "," ~ ")," dec "," ~ ")," mon "," ~ ")," tue "," ~ ")," wed "," ~ ")," thu "," ~ ")," fri "," ~ ")," sat "," ~ ")," sun "," ~ ")," gate "," ~ ")," bay "," ~ ")," stand "," ~ ")," position "," ~ ")," galley "," ~ ")," flight "," ~ ")," flt "," ~ ")," day "," ~ ")," date "," ~ ")," dated "," ~ ")," the "," ~ ")," and "," ~ ")," of "," ~ ")," in "," ~ ")," for "," ~ ")," with "," ~ ")</f>
        <v>  </v>
      </c>
      <c r="AB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15," pax "," ~ ")," etd "," ~ ")," eta "," ~ ")," std "," ~ ")," sta "," ~ ")," atd "," ~ ")," ata "," ~ ")," lt "," ~ ")," utc "," ~ ")," local "," ~ ")," ok "," ~ ")," done "," ~ ")," seen "," ~ ")," chk "," ~ ")," chkd "," ~ ")," checked "," ~ ")," rcvd "," ~ ")," recd "," ~ ")," dep "," ~ ")," arr "," ~ ")," qty "," ~ ")," all "," ~ ")," ttl "," ~ ")," total "," ~ ")," via "," ~ ")," per "," ~ ")," call "," ~ ")," inbound "," ~ ")," outbound "," ~ ")," approx "," ~ ")</f>
        <v>  </v>
      </c>
      <c r="AC1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15," pax "," ~ ")," etd "," ~ ")," eta "," ~ ")," std "," ~ ")," sta "," ~ ")," atd "," ~ ")," ata "," ~ ")," lt "," ~ ")," utc "," ~ ")," local "," ~ ")," ok "," ~ ")," done "," ~ ")," seen "," ~ ")," chk "," ~ ")," chkd "," ~ ")," checked "," ~ ")," rcvd "," ~ ")," recd "," ~ ")," dep "," ~ ")," arr "," ~ ")," qty "," ~ ")," all "," ~ ")," ttl "," ~ ")," total "," ~ ")," via "," ~ ")," per "," ~ ")," call "," ~ ")," inbound "," ~ ")," outbound "," ~ ")," approx "," ~ ")</f>
        <v>  </v>
      </c>
    </row>
    <row r="16" customFormat="false" ht="30" hidden="false" customHeight="true" outlineLevel="0" collapsed="false">
      <c r="A16" s="70" t="s">
        <v>261</v>
      </c>
      <c r="B16" s="57" t="str">
        <f aca="false">Flights!F16</f>
        <v>MH0139</v>
      </c>
      <c r="C16" s="71" t="n">
        <f aca="false">Flights!D16</f>
        <v>46307</v>
      </c>
      <c r="D16" s="70" t="str">
        <f aca="false">Flights!G16&amp;"-"&amp;Flights!H16</f>
        <v>KUL-ADL</v>
      </c>
      <c r="E16" s="70" t="str">
        <f aca="false">Flights!L16</f>
        <v>A339</v>
      </c>
      <c r="F16" s="60"/>
      <c r="G16" s="60"/>
      <c r="H16" s="72"/>
      <c r="I16" s="60"/>
      <c r="J16" s="73" t="str">
        <f aca="false">IFERROR(IF(AND(AND(LEN(SUBSTITUTE(SUBSTITUTE(SUBSTITUTE(SUBSTITUTE(SUBSTITUTE(SUBSTITUTE(SUBSTITUTE(SUBSTITUTE(SUBSTITUTE(SUBSTITUTE(SUBSTITUTE(SUBSTITUTE(SUBSTITUTE(SUBSTITUTE(SUBSTITUTE(SUBSTITUTE(LOWER(F16&amp;""),CHAR(10),""),CHAR(13),""),CHAR(9),""),CHAR(160),"")," ",""),".",""),"-",""),"/",""),"?",""),"_",""),",",""),"[",""),"]",""),"(",""),")",""),"*",""))&gt;=3,NOT(ISNUMBER(MATCH(LEFT(SUBSTITUTE(SUBSTITUTE(SUBSTITUTE(SUBSTITUTE(SUBSTITUTE(SUBSTITUTE(SUBSTITUTE(SUBSTITUTE(SUBSTITUTE(SUBSTITUTE(SUBSTITUTE(SUBSTITUTE(SUBSTITUTE(SUBSTITUTE(SUBSTITUTE(SUBSTITUTE(LOWER(F16&amp;""),CHAR(10),""),CHAR(13),""),CHAR(9),""),CHAR(160),"")," ",""),".",""),"-",""),"/",""),"?",""),"_",""),",",""),"[",""),"]",""),"(",""),")",""),"*",""),255),L_Placeholder,0)))),AND(SUMPRODUCT(--ISNUMBER(FIND({"0","1","2","3","4","5","6","7","8","9"},F16)))&gt;0,LOWER(TRIM(F16))&lt;&gt;LOWER(Flights!$F$16),NOT(AND(LEFT(LOWER(TRIM(F16)),2)="mh",ISNUMBER(--MID(TRIM(F16),3,6))))),AND(LEN(SUBSTITUTE(SUBSTITUTE(SUBSTITUTE(SUBSTITUTE(SUBSTITUTE(SUBSTITUTE(SUBSTITUTE(SUBSTITUTE(SUBSTITUTE(SUBSTITUTE(SUBSTITUTE(SUBSTITUTE(SUBSTITUTE(SUBSTITUTE(SUBSTITUTE(SUBSTITUTE(LOWER(G16&amp;""),CHAR(10),""),CHAR(13),""),CHAR(9),""),CHAR(160),"")," ",""),".",""),"-",""),"/",""),"?",""),"_",""),",",""),"[",""),"]",""),"(",""),")",""),"*",""))&gt;=1,NOT(ISNUMBER(MATCH(LEFT(SUBSTITUTE(SUBSTITUTE(SUBSTITUTE(SUBSTITUTE(SUBSTITUTE(SUBSTITUTE(SUBSTITUTE(SUBSTITUTE(SUBSTITUTE(SUBSTITUTE(SUBSTITUTE(SUBSTITUTE(SUBSTITUTE(SUBSTITUTE(SUBSTITUTE(SUBSTITUTE(LOWER(G16&amp;""),CHAR(10),""),CHAR(13),""),CHAR(9),""),CHAR(160),"")," ",""),".",""),"-",""),"/",""),"?",""),"_",""),",",""),"[",""),"]",""),"(",""),")",""),"*",""),255),L_Placeholder,0)))),ISNUMBER(H16),H16&gt;=DATE(2020,1,1),H16&lt;=Flights!$D$16,AND(LEN(SUBSTITUTE(SUBSTITUTE(SUBSTITUTE(SUBSTITUTE(SUBSTITUTE(SUBSTITUTE(SUBSTITUTE(SUBSTITUTE(SUBSTITUTE(SUBSTITUTE(SUBSTITUTE(SUBSTITUTE(SUBSTITUTE(SUBSTITUTE(SUBSTITUTE(SUBSTITUTE(LOWER(I16&amp;""),CHAR(10),""),CHAR(13),""),CHAR(9),""),CHAR(160),"")," ",""),".",""),"-",""),"/",""),"?",""),"_",""),",",""),"[",""),"]",""),"(",""),")",""),"*",""))&gt;=5,NOT(ISNUMBER(MATCH(LEFT(SUBSTITUTE(SUBSTITUTE(SUBSTITUTE(SUBSTITUTE(SUBSTITUTE(SUBSTITUTE(SUBSTITUTE(SUBSTITUTE(SUBSTITUTE(SUBSTITUTE(SUBSTITUTE(SUBSTITUTE(SUBSTITUTE(SUBSTITUTE(SUBSTITUTE(SUBSTITUTE(LOWER(I16&amp;""),CHAR(10),""),CHAR(13),""),CHAR(9),""),CHAR(160),"")," ",""),".",""),"-",""),"/",""),"?",""),"_",""),",",""),"[",""),"]",""),"(",""),")",""),"*",""),255),L_Placeholder,0)))),OR(SUMPRODUCT(--ISNUMBER(SEARCH({"aa000"," aa 000"," aaa 000"," aaaa 000"," a 0000"," a000 000"," aa 00 000"," aaa 00 000"},S16)))&gt;0,SUMPRODUCT(--ISNUMBER(SEARCH({"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16)))&gt;0,SUMPRODUCT(--ISNUMBER(SEARCH({"http","www.","\",".pdf",".jpg",".jpeg",".png",".heic",".xls",".doc",".msg",".eml"},I16)))&gt;0,AND(SUMPRODUCT(--ISNUMBER(SEARCH({"sharepoint","onedrive","teams","dms","q-pulse","qpulse"},I16)))&gt;0,ISNUMBER(SEARCH("0",R16)))),NOT(SUMPRODUCT((LEN(X16)-LEN(SUBSTITUTE(X16," "&amp;L_PendStrict&amp;" "," ")))/(LEN(L_PendStrict)+1))&gt;SUMPRODUCT((LEN(X16)-LEN(SUBSTITUTE(X16," "&amp;L_PendNeg&amp;" "," ")))/(LEN(L_PendNeg)+1)))),"ON FILE","OUTSTANDING"),"OUTSTANDING")</f>
        <v>OUTSTANDING</v>
      </c>
      <c r="K16" s="60"/>
      <c r="L16" s="60"/>
      <c r="M16" s="72"/>
      <c r="N16" s="60"/>
      <c r="O16" s="73" t="str">
        <f aca="false">IFERROR(IF(AND(AND(LEN(SUBSTITUTE(SUBSTITUTE(SUBSTITUTE(SUBSTITUTE(SUBSTITUTE(SUBSTITUTE(SUBSTITUTE(SUBSTITUTE(SUBSTITUTE(SUBSTITUTE(SUBSTITUTE(SUBSTITUTE(SUBSTITUTE(SUBSTITUTE(SUBSTITUTE(SUBSTITUTE(LOWER(K16&amp;""),CHAR(10),""),CHAR(13),""),CHAR(9),""),CHAR(160),"")," ",""),".",""),"-",""),"/",""),"?",""),"_",""),",",""),"[",""),"]",""),"(",""),")",""),"*",""))&gt;=3,NOT(ISNUMBER(MATCH(LEFT(SUBSTITUTE(SUBSTITUTE(SUBSTITUTE(SUBSTITUTE(SUBSTITUTE(SUBSTITUTE(SUBSTITUTE(SUBSTITUTE(SUBSTITUTE(SUBSTITUTE(SUBSTITUTE(SUBSTITUTE(SUBSTITUTE(SUBSTITUTE(SUBSTITUTE(SUBSTITUTE(LOWER(K16&amp;""),CHAR(10),""),CHAR(13),""),CHAR(9),""),CHAR(160),"")," ",""),".",""),"-",""),"/",""),"?",""),"_",""),",",""),"[",""),"]",""),"(",""),")",""),"*",""),255),L_Placeholder,0)))),AND(SUMPRODUCT(--ISNUMBER(FIND({"0","1","2","3","4","5","6","7","8","9"},K16)))&gt;0,LOWER(TRIM(K16))&lt;&gt;LOWER(Flights!$F$16),NOT(AND(LEFT(LOWER(TRIM(K16)),2)="mh",ISNUMBER(--MID(TRIM(K16),3,6))))),AND(LEN(SUBSTITUTE(SUBSTITUTE(SUBSTITUTE(SUBSTITUTE(SUBSTITUTE(SUBSTITUTE(SUBSTITUTE(SUBSTITUTE(SUBSTITUTE(SUBSTITUTE(SUBSTITUTE(SUBSTITUTE(SUBSTITUTE(SUBSTITUTE(SUBSTITUTE(SUBSTITUTE(LOWER(L16&amp;""),CHAR(10),""),CHAR(13),""),CHAR(9),""),CHAR(160),"")," ",""),".",""),"-",""),"/",""),"?",""),"_",""),",",""),"[",""),"]",""),"(",""),")",""),"*",""))&gt;=1,NOT(ISNUMBER(MATCH(LEFT(SUBSTITUTE(SUBSTITUTE(SUBSTITUTE(SUBSTITUTE(SUBSTITUTE(SUBSTITUTE(SUBSTITUTE(SUBSTITUTE(SUBSTITUTE(SUBSTITUTE(SUBSTITUTE(SUBSTITUTE(SUBSTITUTE(SUBSTITUTE(SUBSTITUTE(SUBSTITUTE(LOWER(L16&amp;""),CHAR(10),""),CHAR(13),""),CHAR(9),""),CHAR(160),"")," ",""),".",""),"-",""),"/",""),"?",""),"_",""),",",""),"[",""),"]",""),"(",""),")",""),"*",""),255),L_Placeholder,0)))),ISNUMBER(M16),M16&gt;=DATE(2020,1,1),M16&lt;=Flights!$D$16,AND(LEN(SUBSTITUTE(SUBSTITUTE(SUBSTITUTE(SUBSTITUTE(SUBSTITUTE(SUBSTITUTE(SUBSTITUTE(SUBSTITUTE(SUBSTITUTE(SUBSTITUTE(SUBSTITUTE(SUBSTITUTE(SUBSTITUTE(SUBSTITUTE(SUBSTITUTE(SUBSTITUTE(LOWER(N16&amp;""),CHAR(10),""),CHAR(13),""),CHAR(9),""),CHAR(160),"")," ",""),".",""),"-",""),"/",""),"?",""),"_",""),",",""),"[",""),"]",""),"(",""),")",""),"*",""))&gt;=5,NOT(ISNUMBER(MATCH(LEFT(SUBSTITUTE(SUBSTITUTE(SUBSTITUTE(SUBSTITUTE(SUBSTITUTE(SUBSTITUTE(SUBSTITUTE(SUBSTITUTE(SUBSTITUTE(SUBSTITUTE(SUBSTITUTE(SUBSTITUTE(SUBSTITUTE(SUBSTITUTE(SUBSTITUTE(SUBSTITUTE(LOWER(N16&amp;""),CHAR(10),""),CHAR(13),""),CHAR(9),""),CHAR(160),"")," ",""),".",""),"-",""),"/",""),"?",""),"_",""),",",""),"[",""),"]",""),"(",""),")",""),"*",""),255),L_Placeholder,0)))),OR(SUMPRODUCT(--ISNUMBER(SEARCH({"aa000"," aa 000"," aaa 000"," aaaa 000"," a 0000"," a000 000"," aa 00 000"," aaa 00 000"},U16)))&gt;0,SUMPRODUCT(--ISNUMBER(SEARCH({"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16)))&gt;0,SUMPRODUCT(--ISNUMBER(SEARCH({"http","www.","\",".pdf",".jpg",".jpeg",".png",".heic",".xls",".doc",".msg",".eml"},N16)))&gt;0,AND(SUMPRODUCT(--ISNUMBER(SEARCH({"sharepoint","onedrive","teams","dms","q-pulse","qpulse"},N16)))&gt;0,ISNUMBER(SEARCH("0",T16)))),NOT(SUMPRODUCT((LEN(Y16)-LEN(SUBSTITUTE(Y16," "&amp;L_PendStrict&amp;" "," ")))/(LEN(L_PendStrict)+1))&gt;SUMPRODUCT((LEN(Y16)-LEN(SUBSTITUTE(Y16," "&amp;L_PendNeg&amp;" "," ")))/(LEN(L_PendNeg)+1)))),"ON FILE","OUTSTANDING"),"OUTSTANDING")</f>
        <v>OUTSTANDING</v>
      </c>
      <c r="P16" s="74" t="n">
        <f aca="false">(J16="OUTSTANDING")+(O16="OUTSTANDING")</f>
        <v>2</v>
      </c>
      <c r="Q16" s="57" t="s">
        <v>1496</v>
      </c>
      <c r="R16" s="0" t="str">
        <f aca="false">SUBSTITUTE(SUBSTITUTE(SUBSTITUTE(SUBSTITUTE(SUBSTITUTE(SUBSTITUTE(SUBSTITUTE(SUBSTITUTE(SUBSTITUTE(LOWER(AB16&amp;""),"1","0"),"2","0"),"3","0"),"4","0"),"5","0"),"6","0"),"7","0"),"8","0"),"9","0")</f>
        <v>  </v>
      </c>
      <c r="S16" s="0" t="str">
        <f aca="false">SUBSTITUTE(SUBSTITUTE(SUBSTITUTE(SUBSTITUTE(SUBSTITUTE(SUBSTITUTE(SUBSTITUTE(SUBSTITUTE(SUBSTITUTE(SUBSTITUTE(SUBSTITUTE(SUBSTITUTE(SUBSTITUTE(SUBSTITUTE(SUBSTITUTE(SUBSTITUTE(SUBSTITUTE(SUBSTITUTE(SUBSTITUTE(SUBSTITUTE(SUBSTITUTE(SUBSTITUTE(SUBSTITUTE(SUBSTITUTE(SUBSTITUTE(R16,"b","a"),"c","a"),"d","a"),"e","a"),"f","a"),"g","a"),"h","a"),"i","a"),"j","a"),"k","a"),"l","a"),"m","a"),"n","a"),"o","a"),"p","a"),"q","a"),"r","a"),"s","a"),"t","a"),"u","a"),"v","a"),"w","a"),"x","a"),"y","a"),"z","a")</f>
        <v>  </v>
      </c>
      <c r="T16" s="0" t="str">
        <f aca="false">SUBSTITUTE(SUBSTITUTE(SUBSTITUTE(SUBSTITUTE(SUBSTITUTE(SUBSTITUTE(SUBSTITUTE(SUBSTITUTE(SUBSTITUTE(LOWER(AC16&amp;""),"1","0"),"2","0"),"3","0"),"4","0"),"5","0"),"6","0"),"7","0"),"8","0"),"9","0")</f>
        <v>  </v>
      </c>
      <c r="U16" s="0" t="str">
        <f aca="false">SUBSTITUTE(SUBSTITUTE(SUBSTITUTE(SUBSTITUTE(SUBSTITUTE(SUBSTITUTE(SUBSTITUTE(SUBSTITUTE(SUBSTITUTE(SUBSTITUTE(SUBSTITUTE(SUBSTITUTE(SUBSTITUTE(SUBSTITUTE(SUBSTITUTE(SUBSTITUTE(SUBSTITUTE(SUBSTITUTE(SUBSTITUTE(SUBSTITUTE(SUBSTITUTE(SUBSTITUTE(SUBSTITUTE(SUBSTITUTE(SUBSTITUTE(T16,"b","a"),"c","a"),"d","a"),"e","a"),"f","a"),"g","a"),"h","a"),"i","a"),"j","a"),"k","a"),"l","a"),"m","a"),"n","a"),"o","a"),"p","a"),"q","a"),"r","a"),"s","a"),"t","a"),"u","a"),"v","a"),"w","a"),"x","a"),"y","a"),"z","a")</f>
        <v>  </v>
      </c>
      <c r="V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16," "&amp;LOWER(Flights!$F$16)&amp;" "," ~ ")," mh"," ~")," at "," ~ ")," by "," ~ ")," on "," ~ ")," to "," ~ ")," from "," ~ ")," until "," ~ ")," till "," ~ ")," before "," ~ ")," after "," ~ ")," around "," ~ ")," approx "," ~ ")," about "," ~ ")," since "," ~ ")," hrs "," ~ ")," hr "," ~ ")," hours "," ~ ")," time "," ~ ")," jan "," ~ ")," feb "," ~ ")," mar "," ~ ")," apr "," ~ ")," may "," ~ ")," jun "," ~ ")," jul "," ~ ")," aug "," ~ ")," sep "," ~ ")," sept "," ~ ")," oct "," ~ ")</f>
        <v>  </v>
      </c>
      <c r="W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16," "&amp;LOWER(Flights!$F$16)&amp;" "," ~ ")," mh"," ~")," at "," ~ ")," by "," ~ ")," on "," ~ ")," to "," ~ ")," from "," ~ ")," until "," ~ ")," till "," ~ ")," before "," ~ ")," after "," ~ ")," around "," ~ ")," approx "," ~ ")," about "," ~ ")," since "," ~ ")," hrs "," ~ ")," hr "," ~ ")," hours "," ~ ")," time "," ~ ")," jan "," ~ ")," feb "," ~ ")," mar "," ~ ")," apr "," ~ ")," may "," ~ ")," jun "," ~ ")," jul "," ~ ")," aug "," ~ ")," sep "," ~ ")," sept "," ~ ")," oct "," ~ ")</f>
        <v>  </v>
      </c>
      <c r="X16" s="0" t="str">
        <f aca="false">" "&amp;TRIM(SUBSTITUTE(SUBSTITUTE(SUBSTITUTE(SUBSTITUTE(SUBSTITUTE(SUBSTITUTE(SUBSTITUTE(SUBSTITUTE(SUBSTITUTE(SUBSTITUTE(SUBSTITUTE(SUBSTITUTE(SUBSTITUTE(SUBSTITUTE(SUBSTITUTE(SUBSTITUTE(SUBSTITUTE(SUBSTITUTE(SUBSTITUTE(SUBSTITUTE(SUBSTITUTE(SUBSTITUTE(SUBSTITUTE(SUBSTITUTE(LOWER(I16&amp;""),CHAR(10)," "),CHAR(13)," "),CHAR(9)," "),CHAR(160)," "),"."," "),","," "),"-"," "),"/"," "),"("," "),")"," "),":"," "),";"," "),"_"," "),"–"," "),"?"," "),"!"," "),"*"," "),"["," "),"]"," "),"'"," "),"#"," "),"+"," "),"&amp;"," "),"\"," "))&amp;" "</f>
        <v>  </v>
      </c>
      <c r="Y16" s="0" t="str">
        <f aca="false">" "&amp;TRIM(SUBSTITUTE(SUBSTITUTE(SUBSTITUTE(SUBSTITUTE(SUBSTITUTE(SUBSTITUTE(SUBSTITUTE(SUBSTITUTE(SUBSTITUTE(SUBSTITUTE(SUBSTITUTE(SUBSTITUTE(SUBSTITUTE(SUBSTITUTE(SUBSTITUTE(SUBSTITUTE(SUBSTITUTE(SUBSTITUTE(SUBSTITUTE(SUBSTITUTE(SUBSTITUTE(SUBSTITUTE(SUBSTITUTE(SUBSTITUTE(LOWER(N16&amp;""),CHAR(10)," "),CHAR(13)," "),CHAR(9)," "),CHAR(160)," "),"."," "),","," "),"-"," "),"/"," "),"("," "),")"," "),":"," "),";"," "),"_"," "),"–"," "),"?"," "),"!"," "),"*"," "),"["," "),"]"," "),"'"," "),"#"," "),"+"," "),"&amp;"," "),"\"," "))&amp;" "</f>
        <v>  </v>
      </c>
      <c r="Z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16,"jan","~"),"feb","~"),"mar","~"),"apr","~"),"may","~"),"jun","~"),"jul","~"),"aug","~"),"sep","~"),"oct","~"),"nov","~"),"dec","~")," nov "," ~ ")," dec "," ~ ")," mon "," ~ ")," tue "," ~ ")," wed "," ~ ")," thu "," ~ ")," fri "," ~ ")," sat "," ~ ")," sun "," ~ ")," gate "," ~ ")," bay "," ~ ")," stand "," ~ ")," position "," ~ ")," galley "," ~ ")," flight "," ~ ")," flt "," ~ ")," day "," ~ ")," date "," ~ ")," dated "," ~ ")," the "," ~ ")," and "," ~ ")," of "," ~ ")," in "," ~ ")," for "," ~ ")," with "," ~ ")</f>
        <v>  </v>
      </c>
      <c r="AA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16,"jan","~"),"feb","~"),"mar","~"),"apr","~"),"may","~"),"jun","~"),"jul","~"),"aug","~"),"sep","~"),"oct","~"),"nov","~"),"dec","~")," nov "," ~ ")," dec "," ~ ")," mon "," ~ ")," tue "," ~ ")," wed "," ~ ")," thu "," ~ ")," fri "," ~ ")," sat "," ~ ")," sun "," ~ ")," gate "," ~ ")," bay "," ~ ")," stand "," ~ ")," position "," ~ ")," galley "," ~ ")," flight "," ~ ")," flt "," ~ ")," day "," ~ ")," date "," ~ ")," dated "," ~ ")," the "," ~ ")," and "," ~ ")," of "," ~ ")," in "," ~ ")," for "," ~ ")," with "," ~ ")</f>
        <v>  </v>
      </c>
      <c r="AB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16," pax "," ~ ")," etd "," ~ ")," eta "," ~ ")," std "," ~ ")," sta "," ~ ")," atd "," ~ ")," ata "," ~ ")," lt "," ~ ")," utc "," ~ ")," local "," ~ ")," ok "," ~ ")," done "," ~ ")," seen "," ~ ")," chk "," ~ ")," chkd "," ~ ")," checked "," ~ ")," rcvd "," ~ ")," recd "," ~ ")," dep "," ~ ")," arr "," ~ ")," qty "," ~ ")," all "," ~ ")," ttl "," ~ ")," total "," ~ ")," via "," ~ ")," per "," ~ ")," call "," ~ ")," inbound "," ~ ")," outbound "," ~ ")," approx "," ~ ")</f>
        <v>  </v>
      </c>
      <c r="AC1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16," pax "," ~ ")," etd "," ~ ")," eta "," ~ ")," std "," ~ ")," sta "," ~ ")," atd "," ~ ")," ata "," ~ ")," lt "," ~ ")," utc "," ~ ")," local "," ~ ")," ok "," ~ ")," done "," ~ ")," seen "," ~ ")," chk "," ~ ")," chkd "," ~ ")," checked "," ~ ")," rcvd "," ~ ")," recd "," ~ ")," dep "," ~ ")," arr "," ~ ")," qty "," ~ ")," all "," ~ ")," ttl "," ~ ")," total "," ~ ")," via "," ~ ")," per "," ~ ")," call "," ~ ")," inbound "," ~ ")," outbound "," ~ ")," approx "," ~ ")</f>
        <v>  </v>
      </c>
    </row>
    <row r="17" customFormat="false" ht="30" hidden="false" customHeight="true" outlineLevel="0" collapsed="false">
      <c r="A17" s="70" t="s">
        <v>272</v>
      </c>
      <c r="B17" s="57" t="str">
        <f aca="false">Flights!F17</f>
        <v>MH0138</v>
      </c>
      <c r="C17" s="71" t="n">
        <f aca="false">Flights!D17</f>
        <v>46309</v>
      </c>
      <c r="D17" s="70" t="str">
        <f aca="false">Flights!G17&amp;"-"&amp;Flights!H17</f>
        <v>ADL-KUL</v>
      </c>
      <c r="E17" s="70" t="str">
        <f aca="false">Flights!L17</f>
        <v>A339</v>
      </c>
      <c r="F17" s="60"/>
      <c r="G17" s="60"/>
      <c r="H17" s="72"/>
      <c r="I17" s="60"/>
      <c r="J17" s="73" t="str">
        <f aca="false">IFERROR(IF(AND(AND(LEN(SUBSTITUTE(SUBSTITUTE(SUBSTITUTE(SUBSTITUTE(SUBSTITUTE(SUBSTITUTE(SUBSTITUTE(SUBSTITUTE(SUBSTITUTE(SUBSTITUTE(SUBSTITUTE(SUBSTITUTE(SUBSTITUTE(SUBSTITUTE(SUBSTITUTE(SUBSTITUTE(LOWER(F17&amp;""),CHAR(10),""),CHAR(13),""),CHAR(9),""),CHAR(160),"")," ",""),".",""),"-",""),"/",""),"?",""),"_",""),",",""),"[",""),"]",""),"(",""),")",""),"*",""))&gt;=3,NOT(ISNUMBER(MATCH(LEFT(SUBSTITUTE(SUBSTITUTE(SUBSTITUTE(SUBSTITUTE(SUBSTITUTE(SUBSTITUTE(SUBSTITUTE(SUBSTITUTE(SUBSTITUTE(SUBSTITUTE(SUBSTITUTE(SUBSTITUTE(SUBSTITUTE(SUBSTITUTE(SUBSTITUTE(SUBSTITUTE(LOWER(F17&amp;""),CHAR(10),""),CHAR(13),""),CHAR(9),""),CHAR(160),"")," ",""),".",""),"-",""),"/",""),"?",""),"_",""),",",""),"[",""),"]",""),"(",""),")",""),"*",""),255),L_Placeholder,0)))),AND(SUMPRODUCT(--ISNUMBER(FIND({"0","1","2","3","4","5","6","7","8","9"},F17)))&gt;0,LOWER(TRIM(F17))&lt;&gt;LOWER(Flights!$F$17),NOT(AND(LEFT(LOWER(TRIM(F17)),2)="mh",ISNUMBER(--MID(TRIM(F17),3,6))))),AND(LEN(SUBSTITUTE(SUBSTITUTE(SUBSTITUTE(SUBSTITUTE(SUBSTITUTE(SUBSTITUTE(SUBSTITUTE(SUBSTITUTE(SUBSTITUTE(SUBSTITUTE(SUBSTITUTE(SUBSTITUTE(SUBSTITUTE(SUBSTITUTE(SUBSTITUTE(SUBSTITUTE(LOWER(G17&amp;""),CHAR(10),""),CHAR(13),""),CHAR(9),""),CHAR(160),"")," ",""),".",""),"-",""),"/",""),"?",""),"_",""),",",""),"[",""),"]",""),"(",""),")",""),"*",""))&gt;=1,NOT(ISNUMBER(MATCH(LEFT(SUBSTITUTE(SUBSTITUTE(SUBSTITUTE(SUBSTITUTE(SUBSTITUTE(SUBSTITUTE(SUBSTITUTE(SUBSTITUTE(SUBSTITUTE(SUBSTITUTE(SUBSTITUTE(SUBSTITUTE(SUBSTITUTE(SUBSTITUTE(SUBSTITUTE(SUBSTITUTE(LOWER(G17&amp;""),CHAR(10),""),CHAR(13),""),CHAR(9),""),CHAR(160),"")," ",""),".",""),"-",""),"/",""),"?",""),"_",""),",",""),"[",""),"]",""),"(",""),")",""),"*",""),255),L_Placeholder,0)))),ISNUMBER(H17),H17&gt;=DATE(2020,1,1),H17&lt;=Flights!$D$17,AND(LEN(SUBSTITUTE(SUBSTITUTE(SUBSTITUTE(SUBSTITUTE(SUBSTITUTE(SUBSTITUTE(SUBSTITUTE(SUBSTITUTE(SUBSTITUTE(SUBSTITUTE(SUBSTITUTE(SUBSTITUTE(SUBSTITUTE(SUBSTITUTE(SUBSTITUTE(SUBSTITUTE(LOWER(I17&amp;""),CHAR(10),""),CHAR(13),""),CHAR(9),""),CHAR(160),"")," ",""),".",""),"-",""),"/",""),"?",""),"_",""),",",""),"[",""),"]",""),"(",""),")",""),"*",""))&gt;=5,NOT(ISNUMBER(MATCH(LEFT(SUBSTITUTE(SUBSTITUTE(SUBSTITUTE(SUBSTITUTE(SUBSTITUTE(SUBSTITUTE(SUBSTITUTE(SUBSTITUTE(SUBSTITUTE(SUBSTITUTE(SUBSTITUTE(SUBSTITUTE(SUBSTITUTE(SUBSTITUTE(SUBSTITUTE(SUBSTITUTE(LOWER(I17&amp;""),CHAR(10),""),CHAR(13),""),CHAR(9),""),CHAR(160),"")," ",""),".",""),"-",""),"/",""),"?",""),"_",""),",",""),"[",""),"]",""),"(",""),")",""),"*",""),255),L_Placeholder,0)))),OR(SUMPRODUCT(--ISNUMBER(SEARCH({"aa000"," aa 000"," aaa 000"," aaaa 000"," a 0000"," a000 000"," aa 00 000"," aaa 00 000"},S17)))&gt;0,SUMPRODUCT(--ISNUMBER(SEARCH({"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17)))&gt;0,SUMPRODUCT(--ISNUMBER(SEARCH({"http","www.","\",".pdf",".jpg",".jpeg",".png",".heic",".xls",".doc",".msg",".eml"},I17)))&gt;0,AND(SUMPRODUCT(--ISNUMBER(SEARCH({"sharepoint","onedrive","teams","dms","q-pulse","qpulse"},I17)))&gt;0,ISNUMBER(SEARCH("0",R17)))),NOT(SUMPRODUCT((LEN(X17)-LEN(SUBSTITUTE(X17," "&amp;L_PendStrict&amp;" "," ")))/(LEN(L_PendStrict)+1))&gt;SUMPRODUCT((LEN(X17)-LEN(SUBSTITUTE(X17," "&amp;L_PendNeg&amp;" "," ")))/(LEN(L_PendNeg)+1)))),"ON FILE","OUTSTANDING"),"OUTSTANDING")</f>
        <v>OUTSTANDING</v>
      </c>
      <c r="K17" s="60"/>
      <c r="L17" s="60"/>
      <c r="M17" s="72"/>
      <c r="N17" s="60"/>
      <c r="O17" s="73" t="str">
        <f aca="false">IFERROR(IF(AND(AND(LEN(SUBSTITUTE(SUBSTITUTE(SUBSTITUTE(SUBSTITUTE(SUBSTITUTE(SUBSTITUTE(SUBSTITUTE(SUBSTITUTE(SUBSTITUTE(SUBSTITUTE(SUBSTITUTE(SUBSTITUTE(SUBSTITUTE(SUBSTITUTE(SUBSTITUTE(SUBSTITUTE(LOWER(K17&amp;""),CHAR(10),""),CHAR(13),""),CHAR(9),""),CHAR(160),"")," ",""),".",""),"-",""),"/",""),"?",""),"_",""),",",""),"[",""),"]",""),"(",""),")",""),"*",""))&gt;=3,NOT(ISNUMBER(MATCH(LEFT(SUBSTITUTE(SUBSTITUTE(SUBSTITUTE(SUBSTITUTE(SUBSTITUTE(SUBSTITUTE(SUBSTITUTE(SUBSTITUTE(SUBSTITUTE(SUBSTITUTE(SUBSTITUTE(SUBSTITUTE(SUBSTITUTE(SUBSTITUTE(SUBSTITUTE(SUBSTITUTE(LOWER(K17&amp;""),CHAR(10),""),CHAR(13),""),CHAR(9),""),CHAR(160),"")," ",""),".",""),"-",""),"/",""),"?",""),"_",""),",",""),"[",""),"]",""),"(",""),")",""),"*",""),255),L_Placeholder,0)))),AND(SUMPRODUCT(--ISNUMBER(FIND({"0","1","2","3","4","5","6","7","8","9"},K17)))&gt;0,LOWER(TRIM(K17))&lt;&gt;LOWER(Flights!$F$17),NOT(AND(LEFT(LOWER(TRIM(K17)),2)="mh",ISNUMBER(--MID(TRIM(K17),3,6))))),AND(LEN(SUBSTITUTE(SUBSTITUTE(SUBSTITUTE(SUBSTITUTE(SUBSTITUTE(SUBSTITUTE(SUBSTITUTE(SUBSTITUTE(SUBSTITUTE(SUBSTITUTE(SUBSTITUTE(SUBSTITUTE(SUBSTITUTE(SUBSTITUTE(SUBSTITUTE(SUBSTITUTE(LOWER(L17&amp;""),CHAR(10),""),CHAR(13),""),CHAR(9),""),CHAR(160),"")," ",""),".",""),"-",""),"/",""),"?",""),"_",""),",",""),"[",""),"]",""),"(",""),")",""),"*",""))&gt;=1,NOT(ISNUMBER(MATCH(LEFT(SUBSTITUTE(SUBSTITUTE(SUBSTITUTE(SUBSTITUTE(SUBSTITUTE(SUBSTITUTE(SUBSTITUTE(SUBSTITUTE(SUBSTITUTE(SUBSTITUTE(SUBSTITUTE(SUBSTITUTE(SUBSTITUTE(SUBSTITUTE(SUBSTITUTE(SUBSTITUTE(LOWER(L17&amp;""),CHAR(10),""),CHAR(13),""),CHAR(9),""),CHAR(160),"")," ",""),".",""),"-",""),"/",""),"?",""),"_",""),",",""),"[",""),"]",""),"(",""),")",""),"*",""),255),L_Placeholder,0)))),ISNUMBER(M17),M17&gt;=DATE(2020,1,1),M17&lt;=Flights!$D$17,AND(LEN(SUBSTITUTE(SUBSTITUTE(SUBSTITUTE(SUBSTITUTE(SUBSTITUTE(SUBSTITUTE(SUBSTITUTE(SUBSTITUTE(SUBSTITUTE(SUBSTITUTE(SUBSTITUTE(SUBSTITUTE(SUBSTITUTE(SUBSTITUTE(SUBSTITUTE(SUBSTITUTE(LOWER(N17&amp;""),CHAR(10),""),CHAR(13),""),CHAR(9),""),CHAR(160),"")," ",""),".",""),"-",""),"/",""),"?",""),"_",""),",",""),"[",""),"]",""),"(",""),")",""),"*",""))&gt;=5,NOT(ISNUMBER(MATCH(LEFT(SUBSTITUTE(SUBSTITUTE(SUBSTITUTE(SUBSTITUTE(SUBSTITUTE(SUBSTITUTE(SUBSTITUTE(SUBSTITUTE(SUBSTITUTE(SUBSTITUTE(SUBSTITUTE(SUBSTITUTE(SUBSTITUTE(SUBSTITUTE(SUBSTITUTE(SUBSTITUTE(LOWER(N17&amp;""),CHAR(10),""),CHAR(13),""),CHAR(9),""),CHAR(160),"")," ",""),".",""),"-",""),"/",""),"?",""),"_",""),",",""),"[",""),"]",""),"(",""),")",""),"*",""),255),L_Placeholder,0)))),OR(SUMPRODUCT(--ISNUMBER(SEARCH({"aa000"," aa 000"," aaa 000"," aaaa 000"," a 0000"," a000 000"," aa 00 000"," aaa 00 000"},U17)))&gt;0,SUMPRODUCT(--ISNUMBER(SEARCH({"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17)))&gt;0,SUMPRODUCT(--ISNUMBER(SEARCH({"http","www.","\",".pdf",".jpg",".jpeg",".png",".heic",".xls",".doc",".msg",".eml"},N17)))&gt;0,AND(SUMPRODUCT(--ISNUMBER(SEARCH({"sharepoint","onedrive","teams","dms","q-pulse","qpulse"},N17)))&gt;0,ISNUMBER(SEARCH("0",T17)))),NOT(SUMPRODUCT((LEN(Y17)-LEN(SUBSTITUTE(Y17," "&amp;L_PendStrict&amp;" "," ")))/(LEN(L_PendStrict)+1))&gt;SUMPRODUCT((LEN(Y17)-LEN(SUBSTITUTE(Y17," "&amp;L_PendNeg&amp;" "," ")))/(LEN(L_PendNeg)+1)))),"ON FILE","OUTSTANDING"),"OUTSTANDING")</f>
        <v>OUTSTANDING</v>
      </c>
      <c r="P17" s="74" t="n">
        <f aca="false">(J17="OUTSTANDING")+(O17="OUTSTANDING")</f>
        <v>2</v>
      </c>
      <c r="Q17" s="57" t="s">
        <v>1496</v>
      </c>
      <c r="R17" s="0" t="str">
        <f aca="false">SUBSTITUTE(SUBSTITUTE(SUBSTITUTE(SUBSTITUTE(SUBSTITUTE(SUBSTITUTE(SUBSTITUTE(SUBSTITUTE(SUBSTITUTE(LOWER(AB17&amp;""),"1","0"),"2","0"),"3","0"),"4","0"),"5","0"),"6","0"),"7","0"),"8","0"),"9","0")</f>
        <v>  </v>
      </c>
      <c r="S17" s="0" t="str">
        <f aca="false">SUBSTITUTE(SUBSTITUTE(SUBSTITUTE(SUBSTITUTE(SUBSTITUTE(SUBSTITUTE(SUBSTITUTE(SUBSTITUTE(SUBSTITUTE(SUBSTITUTE(SUBSTITUTE(SUBSTITUTE(SUBSTITUTE(SUBSTITUTE(SUBSTITUTE(SUBSTITUTE(SUBSTITUTE(SUBSTITUTE(SUBSTITUTE(SUBSTITUTE(SUBSTITUTE(SUBSTITUTE(SUBSTITUTE(SUBSTITUTE(SUBSTITUTE(R17,"b","a"),"c","a"),"d","a"),"e","a"),"f","a"),"g","a"),"h","a"),"i","a"),"j","a"),"k","a"),"l","a"),"m","a"),"n","a"),"o","a"),"p","a"),"q","a"),"r","a"),"s","a"),"t","a"),"u","a"),"v","a"),"w","a"),"x","a"),"y","a"),"z","a")</f>
        <v>  </v>
      </c>
      <c r="T17" s="0" t="str">
        <f aca="false">SUBSTITUTE(SUBSTITUTE(SUBSTITUTE(SUBSTITUTE(SUBSTITUTE(SUBSTITUTE(SUBSTITUTE(SUBSTITUTE(SUBSTITUTE(LOWER(AC17&amp;""),"1","0"),"2","0"),"3","0"),"4","0"),"5","0"),"6","0"),"7","0"),"8","0"),"9","0")</f>
        <v>  </v>
      </c>
      <c r="U17" s="0" t="str">
        <f aca="false">SUBSTITUTE(SUBSTITUTE(SUBSTITUTE(SUBSTITUTE(SUBSTITUTE(SUBSTITUTE(SUBSTITUTE(SUBSTITUTE(SUBSTITUTE(SUBSTITUTE(SUBSTITUTE(SUBSTITUTE(SUBSTITUTE(SUBSTITUTE(SUBSTITUTE(SUBSTITUTE(SUBSTITUTE(SUBSTITUTE(SUBSTITUTE(SUBSTITUTE(SUBSTITUTE(SUBSTITUTE(SUBSTITUTE(SUBSTITUTE(SUBSTITUTE(T17,"b","a"),"c","a"),"d","a"),"e","a"),"f","a"),"g","a"),"h","a"),"i","a"),"j","a"),"k","a"),"l","a"),"m","a"),"n","a"),"o","a"),"p","a"),"q","a"),"r","a"),"s","a"),"t","a"),"u","a"),"v","a"),"w","a"),"x","a"),"y","a"),"z","a")</f>
        <v>  </v>
      </c>
      <c r="V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17," "&amp;LOWER(Flights!$F$17)&amp;" "," ~ ")," mh"," ~")," at "," ~ ")," by "," ~ ")," on "," ~ ")," to "," ~ ")," from "," ~ ")," until "," ~ ")," till "," ~ ")," before "," ~ ")," after "," ~ ")," around "," ~ ")," approx "," ~ ")," about "," ~ ")," since "," ~ ")," hrs "," ~ ")," hr "," ~ ")," hours "," ~ ")," time "," ~ ")," jan "," ~ ")," feb "," ~ ")," mar "," ~ ")," apr "," ~ ")," may "," ~ ")," jun "," ~ ")," jul "," ~ ")," aug "," ~ ")," sep "," ~ ")," sept "," ~ ")," oct "," ~ ")</f>
        <v>  </v>
      </c>
      <c r="W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17," "&amp;LOWER(Flights!$F$17)&amp;" "," ~ ")," mh"," ~")," at "," ~ ")," by "," ~ ")," on "," ~ ")," to "," ~ ")," from "," ~ ")," until "," ~ ")," till "," ~ ")," before "," ~ ")," after "," ~ ")," around "," ~ ")," approx "," ~ ")," about "," ~ ")," since "," ~ ")," hrs "," ~ ")," hr "," ~ ")," hours "," ~ ")," time "," ~ ")," jan "," ~ ")," feb "," ~ ")," mar "," ~ ")," apr "," ~ ")," may "," ~ ")," jun "," ~ ")," jul "," ~ ")," aug "," ~ ")," sep "," ~ ")," sept "," ~ ")," oct "," ~ ")</f>
        <v>  </v>
      </c>
      <c r="X17" s="0" t="str">
        <f aca="false">" "&amp;TRIM(SUBSTITUTE(SUBSTITUTE(SUBSTITUTE(SUBSTITUTE(SUBSTITUTE(SUBSTITUTE(SUBSTITUTE(SUBSTITUTE(SUBSTITUTE(SUBSTITUTE(SUBSTITUTE(SUBSTITUTE(SUBSTITUTE(SUBSTITUTE(SUBSTITUTE(SUBSTITUTE(SUBSTITUTE(SUBSTITUTE(SUBSTITUTE(SUBSTITUTE(SUBSTITUTE(SUBSTITUTE(SUBSTITUTE(SUBSTITUTE(LOWER(I17&amp;""),CHAR(10)," "),CHAR(13)," "),CHAR(9)," "),CHAR(160)," "),"."," "),","," "),"-"," "),"/"," "),"("," "),")"," "),":"," "),";"," "),"_"," "),"–"," "),"?"," "),"!"," "),"*"," "),"["," "),"]"," "),"'"," "),"#"," "),"+"," "),"&amp;"," "),"\"," "))&amp;" "</f>
        <v>  </v>
      </c>
      <c r="Y17" s="0" t="str">
        <f aca="false">" "&amp;TRIM(SUBSTITUTE(SUBSTITUTE(SUBSTITUTE(SUBSTITUTE(SUBSTITUTE(SUBSTITUTE(SUBSTITUTE(SUBSTITUTE(SUBSTITUTE(SUBSTITUTE(SUBSTITUTE(SUBSTITUTE(SUBSTITUTE(SUBSTITUTE(SUBSTITUTE(SUBSTITUTE(SUBSTITUTE(SUBSTITUTE(SUBSTITUTE(SUBSTITUTE(SUBSTITUTE(SUBSTITUTE(SUBSTITUTE(SUBSTITUTE(LOWER(N17&amp;""),CHAR(10)," "),CHAR(13)," "),CHAR(9)," "),CHAR(160)," "),"."," "),","," "),"-"," "),"/"," "),"("," "),")"," "),":"," "),";"," "),"_"," "),"–"," "),"?"," "),"!"," "),"*"," "),"["," "),"]"," "),"'"," "),"#"," "),"+"," "),"&amp;"," "),"\"," "))&amp;" "</f>
        <v>  </v>
      </c>
      <c r="Z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17,"jan","~"),"feb","~"),"mar","~"),"apr","~"),"may","~"),"jun","~"),"jul","~"),"aug","~"),"sep","~"),"oct","~"),"nov","~"),"dec","~")," nov "," ~ ")," dec "," ~ ")," mon "," ~ ")," tue "," ~ ")," wed "," ~ ")," thu "," ~ ")," fri "," ~ ")," sat "," ~ ")," sun "," ~ ")," gate "," ~ ")," bay "," ~ ")," stand "," ~ ")," position "," ~ ")," galley "," ~ ")," flight "," ~ ")," flt "," ~ ")," day "," ~ ")," date "," ~ ")," dated "," ~ ")," the "," ~ ")," and "," ~ ")," of "," ~ ")," in "," ~ ")," for "," ~ ")," with "," ~ ")</f>
        <v>  </v>
      </c>
      <c r="AA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17,"jan","~"),"feb","~"),"mar","~"),"apr","~"),"may","~"),"jun","~"),"jul","~"),"aug","~"),"sep","~"),"oct","~"),"nov","~"),"dec","~")," nov "," ~ ")," dec "," ~ ")," mon "," ~ ")," tue "," ~ ")," wed "," ~ ")," thu "," ~ ")," fri "," ~ ")," sat "," ~ ")," sun "," ~ ")," gate "," ~ ")," bay "," ~ ")," stand "," ~ ")," position "," ~ ")," galley "," ~ ")," flight "," ~ ")," flt "," ~ ")," day "," ~ ")," date "," ~ ")," dated "," ~ ")," the "," ~ ")," and "," ~ ")," of "," ~ ")," in "," ~ ")," for "," ~ ")," with "," ~ ")</f>
        <v>  </v>
      </c>
      <c r="AB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17," pax "," ~ ")," etd "," ~ ")," eta "," ~ ")," std "," ~ ")," sta "," ~ ")," atd "," ~ ")," ata "," ~ ")," lt "," ~ ")," utc "," ~ ")," local "," ~ ")," ok "," ~ ")," done "," ~ ")," seen "," ~ ")," chk "," ~ ")," chkd "," ~ ")," checked "," ~ ")," rcvd "," ~ ")," recd "," ~ ")," dep "," ~ ")," arr "," ~ ")," qty "," ~ ")," all "," ~ ")," ttl "," ~ ")," total "," ~ ")," via "," ~ ")," per "," ~ ")," call "," ~ ")," inbound "," ~ ")," outbound "," ~ ")," approx "," ~ ")</f>
        <v>  </v>
      </c>
      <c r="AC17"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17," pax "," ~ ")," etd "," ~ ")," eta "," ~ ")," std "," ~ ")," sta "," ~ ")," atd "," ~ ")," ata "," ~ ")," lt "," ~ ")," utc "," ~ ")," local "," ~ ")," ok "," ~ ")," done "," ~ ")," seen "," ~ ")," chk "," ~ ")," chkd "," ~ ")," checked "," ~ ")," rcvd "," ~ ")," recd "," ~ ")," dep "," ~ ")," arr "," ~ ")," qty "," ~ ")," all "," ~ ")," ttl "," ~ ")," total "," ~ ")," via "," ~ ")," per "," ~ ")," call "," ~ ")," inbound "," ~ ")," outbound "," ~ ")," approx "," ~ ")</f>
        <v>  </v>
      </c>
    </row>
    <row r="18" customFormat="false" ht="30" hidden="false" customHeight="true" outlineLevel="0" collapsed="false">
      <c r="A18" s="70" t="s">
        <v>276</v>
      </c>
      <c r="B18" s="57" t="str">
        <f aca="false">Flights!F18</f>
        <v>MH0004</v>
      </c>
      <c r="C18" s="71" t="n">
        <f aca="false">Flights!D18</f>
        <v>46310</v>
      </c>
      <c r="D18" s="70" t="str">
        <f aca="false">Flights!G18&amp;"-"&amp;Flights!H18</f>
        <v>KUL-LHR</v>
      </c>
      <c r="E18" s="70" t="str">
        <f aca="false">Flights!L18</f>
        <v>A350</v>
      </c>
      <c r="F18" s="60"/>
      <c r="G18" s="60"/>
      <c r="H18" s="72"/>
      <c r="I18" s="60"/>
      <c r="J18" s="73" t="str">
        <f aca="false">IFERROR(IF(AND(AND(LEN(SUBSTITUTE(SUBSTITUTE(SUBSTITUTE(SUBSTITUTE(SUBSTITUTE(SUBSTITUTE(SUBSTITUTE(SUBSTITUTE(SUBSTITUTE(SUBSTITUTE(SUBSTITUTE(SUBSTITUTE(SUBSTITUTE(SUBSTITUTE(SUBSTITUTE(SUBSTITUTE(LOWER(F18&amp;""),CHAR(10),""),CHAR(13),""),CHAR(9),""),CHAR(160),"")," ",""),".",""),"-",""),"/",""),"?",""),"_",""),",",""),"[",""),"]",""),"(",""),")",""),"*",""))&gt;=3,NOT(ISNUMBER(MATCH(LEFT(SUBSTITUTE(SUBSTITUTE(SUBSTITUTE(SUBSTITUTE(SUBSTITUTE(SUBSTITUTE(SUBSTITUTE(SUBSTITUTE(SUBSTITUTE(SUBSTITUTE(SUBSTITUTE(SUBSTITUTE(SUBSTITUTE(SUBSTITUTE(SUBSTITUTE(SUBSTITUTE(LOWER(F18&amp;""),CHAR(10),""),CHAR(13),""),CHAR(9),""),CHAR(160),"")," ",""),".",""),"-",""),"/",""),"?",""),"_",""),",",""),"[",""),"]",""),"(",""),")",""),"*",""),255),L_Placeholder,0)))),AND(SUMPRODUCT(--ISNUMBER(FIND({"0","1","2","3","4","5","6","7","8","9"},F18)))&gt;0,LOWER(TRIM(F18))&lt;&gt;LOWER(Flights!$F$18),NOT(AND(LEFT(LOWER(TRIM(F18)),2)="mh",ISNUMBER(--MID(TRIM(F18),3,6))))),AND(LEN(SUBSTITUTE(SUBSTITUTE(SUBSTITUTE(SUBSTITUTE(SUBSTITUTE(SUBSTITUTE(SUBSTITUTE(SUBSTITUTE(SUBSTITUTE(SUBSTITUTE(SUBSTITUTE(SUBSTITUTE(SUBSTITUTE(SUBSTITUTE(SUBSTITUTE(SUBSTITUTE(LOWER(G18&amp;""),CHAR(10),""),CHAR(13),""),CHAR(9),""),CHAR(160),"")," ",""),".",""),"-",""),"/",""),"?",""),"_",""),",",""),"[",""),"]",""),"(",""),")",""),"*",""))&gt;=1,NOT(ISNUMBER(MATCH(LEFT(SUBSTITUTE(SUBSTITUTE(SUBSTITUTE(SUBSTITUTE(SUBSTITUTE(SUBSTITUTE(SUBSTITUTE(SUBSTITUTE(SUBSTITUTE(SUBSTITUTE(SUBSTITUTE(SUBSTITUTE(SUBSTITUTE(SUBSTITUTE(SUBSTITUTE(SUBSTITUTE(LOWER(G18&amp;""),CHAR(10),""),CHAR(13),""),CHAR(9),""),CHAR(160),"")," ",""),".",""),"-",""),"/",""),"?",""),"_",""),",",""),"[",""),"]",""),"(",""),")",""),"*",""),255),L_Placeholder,0)))),ISNUMBER(H18),H18&gt;=DATE(2020,1,1),H18&lt;=Flights!$D$18,AND(LEN(SUBSTITUTE(SUBSTITUTE(SUBSTITUTE(SUBSTITUTE(SUBSTITUTE(SUBSTITUTE(SUBSTITUTE(SUBSTITUTE(SUBSTITUTE(SUBSTITUTE(SUBSTITUTE(SUBSTITUTE(SUBSTITUTE(SUBSTITUTE(SUBSTITUTE(SUBSTITUTE(LOWER(I18&amp;""),CHAR(10),""),CHAR(13),""),CHAR(9),""),CHAR(160),"")," ",""),".",""),"-",""),"/",""),"?",""),"_",""),",",""),"[",""),"]",""),"(",""),")",""),"*",""))&gt;=5,NOT(ISNUMBER(MATCH(LEFT(SUBSTITUTE(SUBSTITUTE(SUBSTITUTE(SUBSTITUTE(SUBSTITUTE(SUBSTITUTE(SUBSTITUTE(SUBSTITUTE(SUBSTITUTE(SUBSTITUTE(SUBSTITUTE(SUBSTITUTE(SUBSTITUTE(SUBSTITUTE(SUBSTITUTE(SUBSTITUTE(LOWER(I18&amp;""),CHAR(10),""),CHAR(13),""),CHAR(9),""),CHAR(160),"")," ",""),".",""),"-",""),"/",""),"?",""),"_",""),",",""),"[",""),"]",""),"(",""),")",""),"*",""),255),L_Placeholder,0)))),OR(SUMPRODUCT(--ISNUMBER(SEARCH({"aa000"," aa 000"," aaa 000"," aaaa 000"," a 0000"," a000 000"," aa 00 000"," aaa 00 000"},S18)))&gt;0,SUMPRODUCT(--ISNUMBER(SEARCH({"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18)))&gt;0,SUMPRODUCT(--ISNUMBER(SEARCH({"http","www.","\",".pdf",".jpg",".jpeg",".png",".heic",".xls",".doc",".msg",".eml"},I18)))&gt;0,AND(SUMPRODUCT(--ISNUMBER(SEARCH({"sharepoint","onedrive","teams","dms","q-pulse","qpulse"},I18)))&gt;0,ISNUMBER(SEARCH("0",R18)))),NOT(SUMPRODUCT((LEN(X18)-LEN(SUBSTITUTE(X18," "&amp;L_PendStrict&amp;" "," ")))/(LEN(L_PendStrict)+1))&gt;SUMPRODUCT((LEN(X18)-LEN(SUBSTITUTE(X18," "&amp;L_PendNeg&amp;" "," ")))/(LEN(L_PendNeg)+1)))),"ON FILE","OUTSTANDING"),"OUTSTANDING")</f>
        <v>OUTSTANDING</v>
      </c>
      <c r="K18" s="60"/>
      <c r="L18" s="60"/>
      <c r="M18" s="72"/>
      <c r="N18" s="60"/>
      <c r="O18" s="73" t="str">
        <f aca="false">IFERROR(IF(AND(AND(LEN(SUBSTITUTE(SUBSTITUTE(SUBSTITUTE(SUBSTITUTE(SUBSTITUTE(SUBSTITUTE(SUBSTITUTE(SUBSTITUTE(SUBSTITUTE(SUBSTITUTE(SUBSTITUTE(SUBSTITUTE(SUBSTITUTE(SUBSTITUTE(SUBSTITUTE(SUBSTITUTE(LOWER(K18&amp;""),CHAR(10),""),CHAR(13),""),CHAR(9),""),CHAR(160),"")," ",""),".",""),"-",""),"/",""),"?",""),"_",""),",",""),"[",""),"]",""),"(",""),")",""),"*",""))&gt;=3,NOT(ISNUMBER(MATCH(LEFT(SUBSTITUTE(SUBSTITUTE(SUBSTITUTE(SUBSTITUTE(SUBSTITUTE(SUBSTITUTE(SUBSTITUTE(SUBSTITUTE(SUBSTITUTE(SUBSTITUTE(SUBSTITUTE(SUBSTITUTE(SUBSTITUTE(SUBSTITUTE(SUBSTITUTE(SUBSTITUTE(LOWER(K18&amp;""),CHAR(10),""),CHAR(13),""),CHAR(9),""),CHAR(160),"")," ",""),".",""),"-",""),"/",""),"?",""),"_",""),",",""),"[",""),"]",""),"(",""),")",""),"*",""),255),L_Placeholder,0)))),AND(SUMPRODUCT(--ISNUMBER(FIND({"0","1","2","3","4","5","6","7","8","9"},K18)))&gt;0,LOWER(TRIM(K18))&lt;&gt;LOWER(Flights!$F$18),NOT(AND(LEFT(LOWER(TRIM(K18)),2)="mh",ISNUMBER(--MID(TRIM(K18),3,6))))),AND(LEN(SUBSTITUTE(SUBSTITUTE(SUBSTITUTE(SUBSTITUTE(SUBSTITUTE(SUBSTITUTE(SUBSTITUTE(SUBSTITUTE(SUBSTITUTE(SUBSTITUTE(SUBSTITUTE(SUBSTITUTE(SUBSTITUTE(SUBSTITUTE(SUBSTITUTE(SUBSTITUTE(LOWER(L18&amp;""),CHAR(10),""),CHAR(13),""),CHAR(9),""),CHAR(160),"")," ",""),".",""),"-",""),"/",""),"?",""),"_",""),",",""),"[",""),"]",""),"(",""),")",""),"*",""))&gt;=1,NOT(ISNUMBER(MATCH(LEFT(SUBSTITUTE(SUBSTITUTE(SUBSTITUTE(SUBSTITUTE(SUBSTITUTE(SUBSTITUTE(SUBSTITUTE(SUBSTITUTE(SUBSTITUTE(SUBSTITUTE(SUBSTITUTE(SUBSTITUTE(SUBSTITUTE(SUBSTITUTE(SUBSTITUTE(SUBSTITUTE(LOWER(L18&amp;""),CHAR(10),""),CHAR(13),""),CHAR(9),""),CHAR(160),"")," ",""),".",""),"-",""),"/",""),"?",""),"_",""),",",""),"[",""),"]",""),"(",""),")",""),"*",""),255),L_Placeholder,0)))),ISNUMBER(M18),M18&gt;=DATE(2020,1,1),M18&lt;=Flights!$D$18,AND(LEN(SUBSTITUTE(SUBSTITUTE(SUBSTITUTE(SUBSTITUTE(SUBSTITUTE(SUBSTITUTE(SUBSTITUTE(SUBSTITUTE(SUBSTITUTE(SUBSTITUTE(SUBSTITUTE(SUBSTITUTE(SUBSTITUTE(SUBSTITUTE(SUBSTITUTE(SUBSTITUTE(LOWER(N18&amp;""),CHAR(10),""),CHAR(13),""),CHAR(9),""),CHAR(160),"")," ",""),".",""),"-",""),"/",""),"?",""),"_",""),",",""),"[",""),"]",""),"(",""),")",""),"*",""))&gt;=5,NOT(ISNUMBER(MATCH(LEFT(SUBSTITUTE(SUBSTITUTE(SUBSTITUTE(SUBSTITUTE(SUBSTITUTE(SUBSTITUTE(SUBSTITUTE(SUBSTITUTE(SUBSTITUTE(SUBSTITUTE(SUBSTITUTE(SUBSTITUTE(SUBSTITUTE(SUBSTITUTE(SUBSTITUTE(SUBSTITUTE(LOWER(N18&amp;""),CHAR(10),""),CHAR(13),""),CHAR(9),""),CHAR(160),"")," ",""),".",""),"-",""),"/",""),"?",""),"_",""),",",""),"[",""),"]",""),"(",""),")",""),"*",""),255),L_Placeholder,0)))),OR(SUMPRODUCT(--ISNUMBER(SEARCH({"aa000"," aa 000"," aaa 000"," aaaa 000"," a 0000"," a000 000"," aa 00 000"," aaa 00 000"},U18)))&gt;0,SUMPRODUCT(--ISNUMBER(SEARCH({"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18)))&gt;0,SUMPRODUCT(--ISNUMBER(SEARCH({"http","www.","\",".pdf",".jpg",".jpeg",".png",".heic",".xls",".doc",".msg",".eml"},N18)))&gt;0,AND(SUMPRODUCT(--ISNUMBER(SEARCH({"sharepoint","onedrive","teams","dms","q-pulse","qpulse"},N18)))&gt;0,ISNUMBER(SEARCH("0",T18)))),NOT(SUMPRODUCT((LEN(Y18)-LEN(SUBSTITUTE(Y18," "&amp;L_PendStrict&amp;" "," ")))/(LEN(L_PendStrict)+1))&gt;SUMPRODUCT((LEN(Y18)-LEN(SUBSTITUTE(Y18," "&amp;L_PendNeg&amp;" "," ")))/(LEN(L_PendNeg)+1)))),"ON FILE","OUTSTANDING"),"OUTSTANDING")</f>
        <v>OUTSTANDING</v>
      </c>
      <c r="P18" s="74" t="n">
        <f aca="false">(J18="OUTSTANDING")+(O18="OUTSTANDING")</f>
        <v>2</v>
      </c>
      <c r="Q18" s="57" t="s">
        <v>1496</v>
      </c>
      <c r="R18" s="0" t="str">
        <f aca="false">SUBSTITUTE(SUBSTITUTE(SUBSTITUTE(SUBSTITUTE(SUBSTITUTE(SUBSTITUTE(SUBSTITUTE(SUBSTITUTE(SUBSTITUTE(LOWER(AB18&amp;""),"1","0"),"2","0"),"3","0"),"4","0"),"5","0"),"6","0"),"7","0"),"8","0"),"9","0")</f>
        <v>  </v>
      </c>
      <c r="S18" s="0" t="str">
        <f aca="false">SUBSTITUTE(SUBSTITUTE(SUBSTITUTE(SUBSTITUTE(SUBSTITUTE(SUBSTITUTE(SUBSTITUTE(SUBSTITUTE(SUBSTITUTE(SUBSTITUTE(SUBSTITUTE(SUBSTITUTE(SUBSTITUTE(SUBSTITUTE(SUBSTITUTE(SUBSTITUTE(SUBSTITUTE(SUBSTITUTE(SUBSTITUTE(SUBSTITUTE(SUBSTITUTE(SUBSTITUTE(SUBSTITUTE(SUBSTITUTE(SUBSTITUTE(R18,"b","a"),"c","a"),"d","a"),"e","a"),"f","a"),"g","a"),"h","a"),"i","a"),"j","a"),"k","a"),"l","a"),"m","a"),"n","a"),"o","a"),"p","a"),"q","a"),"r","a"),"s","a"),"t","a"),"u","a"),"v","a"),"w","a"),"x","a"),"y","a"),"z","a")</f>
        <v>  </v>
      </c>
      <c r="T18" s="0" t="str">
        <f aca="false">SUBSTITUTE(SUBSTITUTE(SUBSTITUTE(SUBSTITUTE(SUBSTITUTE(SUBSTITUTE(SUBSTITUTE(SUBSTITUTE(SUBSTITUTE(LOWER(AC18&amp;""),"1","0"),"2","0"),"3","0"),"4","0"),"5","0"),"6","0"),"7","0"),"8","0"),"9","0")</f>
        <v>  </v>
      </c>
      <c r="U18" s="0" t="str">
        <f aca="false">SUBSTITUTE(SUBSTITUTE(SUBSTITUTE(SUBSTITUTE(SUBSTITUTE(SUBSTITUTE(SUBSTITUTE(SUBSTITUTE(SUBSTITUTE(SUBSTITUTE(SUBSTITUTE(SUBSTITUTE(SUBSTITUTE(SUBSTITUTE(SUBSTITUTE(SUBSTITUTE(SUBSTITUTE(SUBSTITUTE(SUBSTITUTE(SUBSTITUTE(SUBSTITUTE(SUBSTITUTE(SUBSTITUTE(SUBSTITUTE(SUBSTITUTE(T18,"b","a"),"c","a"),"d","a"),"e","a"),"f","a"),"g","a"),"h","a"),"i","a"),"j","a"),"k","a"),"l","a"),"m","a"),"n","a"),"o","a"),"p","a"),"q","a"),"r","a"),"s","a"),"t","a"),"u","a"),"v","a"),"w","a"),"x","a"),"y","a"),"z","a")</f>
        <v>  </v>
      </c>
      <c r="V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18," "&amp;LOWER(Flights!$F$18)&amp;" "," ~ ")," mh"," ~")," at "," ~ ")," by "," ~ ")," on "," ~ ")," to "," ~ ")," from "," ~ ")," until "," ~ ")," till "," ~ ")," before "," ~ ")," after "," ~ ")," around "," ~ ")," approx "," ~ ")," about "," ~ ")," since "," ~ ")," hrs "," ~ ")," hr "," ~ ")," hours "," ~ ")," time "," ~ ")," jan "," ~ ")," feb "," ~ ")," mar "," ~ ")," apr "," ~ ")," may "," ~ ")," jun "," ~ ")," jul "," ~ ")," aug "," ~ ")," sep "," ~ ")," sept "," ~ ")," oct "," ~ ")</f>
        <v>  </v>
      </c>
      <c r="W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18," "&amp;LOWER(Flights!$F$18)&amp;" "," ~ ")," mh"," ~")," at "," ~ ")," by "," ~ ")," on "," ~ ")," to "," ~ ")," from "," ~ ")," until "," ~ ")," till "," ~ ")," before "," ~ ")," after "," ~ ")," around "," ~ ")," approx "," ~ ")," about "," ~ ")," since "," ~ ")," hrs "," ~ ")," hr "," ~ ")," hours "," ~ ")," time "," ~ ")," jan "," ~ ")," feb "," ~ ")," mar "," ~ ")," apr "," ~ ")," may "," ~ ")," jun "," ~ ")," jul "," ~ ")," aug "," ~ ")," sep "," ~ ")," sept "," ~ ")," oct "," ~ ")</f>
        <v>  </v>
      </c>
      <c r="X18" s="0" t="str">
        <f aca="false">" "&amp;TRIM(SUBSTITUTE(SUBSTITUTE(SUBSTITUTE(SUBSTITUTE(SUBSTITUTE(SUBSTITUTE(SUBSTITUTE(SUBSTITUTE(SUBSTITUTE(SUBSTITUTE(SUBSTITUTE(SUBSTITUTE(SUBSTITUTE(SUBSTITUTE(SUBSTITUTE(SUBSTITUTE(SUBSTITUTE(SUBSTITUTE(SUBSTITUTE(SUBSTITUTE(SUBSTITUTE(SUBSTITUTE(SUBSTITUTE(SUBSTITUTE(LOWER(I18&amp;""),CHAR(10)," "),CHAR(13)," "),CHAR(9)," "),CHAR(160)," "),"."," "),","," "),"-"," "),"/"," "),"("," "),")"," "),":"," "),";"," "),"_"," "),"–"," "),"?"," "),"!"," "),"*"," "),"["," "),"]"," "),"'"," "),"#"," "),"+"," "),"&amp;"," "),"\"," "))&amp;" "</f>
        <v>  </v>
      </c>
      <c r="Y18" s="0" t="str">
        <f aca="false">" "&amp;TRIM(SUBSTITUTE(SUBSTITUTE(SUBSTITUTE(SUBSTITUTE(SUBSTITUTE(SUBSTITUTE(SUBSTITUTE(SUBSTITUTE(SUBSTITUTE(SUBSTITUTE(SUBSTITUTE(SUBSTITUTE(SUBSTITUTE(SUBSTITUTE(SUBSTITUTE(SUBSTITUTE(SUBSTITUTE(SUBSTITUTE(SUBSTITUTE(SUBSTITUTE(SUBSTITUTE(SUBSTITUTE(SUBSTITUTE(SUBSTITUTE(LOWER(N18&amp;""),CHAR(10)," "),CHAR(13)," "),CHAR(9)," "),CHAR(160)," "),"."," "),","," "),"-"," "),"/"," "),"("," "),")"," "),":"," "),";"," "),"_"," "),"–"," "),"?"," "),"!"," "),"*"," "),"["," "),"]"," "),"'"," "),"#"," "),"+"," "),"&amp;"," "),"\"," "))&amp;" "</f>
        <v>  </v>
      </c>
      <c r="Z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18,"jan","~"),"feb","~"),"mar","~"),"apr","~"),"may","~"),"jun","~"),"jul","~"),"aug","~"),"sep","~"),"oct","~"),"nov","~"),"dec","~")," nov "," ~ ")," dec "," ~ ")," mon "," ~ ")," tue "," ~ ")," wed "," ~ ")," thu "," ~ ")," fri "," ~ ")," sat "," ~ ")," sun "," ~ ")," gate "," ~ ")," bay "," ~ ")," stand "," ~ ")," position "," ~ ")," galley "," ~ ")," flight "," ~ ")," flt "," ~ ")," day "," ~ ")," date "," ~ ")," dated "," ~ ")," the "," ~ ")," and "," ~ ")," of "," ~ ")," in "," ~ ")," for "," ~ ")," with "," ~ ")</f>
        <v>  </v>
      </c>
      <c r="AA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18,"jan","~"),"feb","~"),"mar","~"),"apr","~"),"may","~"),"jun","~"),"jul","~"),"aug","~"),"sep","~"),"oct","~"),"nov","~"),"dec","~")," nov "," ~ ")," dec "," ~ ")," mon "," ~ ")," tue "," ~ ")," wed "," ~ ")," thu "," ~ ")," fri "," ~ ")," sat "," ~ ")," sun "," ~ ")," gate "," ~ ")," bay "," ~ ")," stand "," ~ ")," position "," ~ ")," galley "," ~ ")," flight "," ~ ")," flt "," ~ ")," day "," ~ ")," date "," ~ ")," dated "," ~ ")," the "," ~ ")," and "," ~ ")," of "," ~ ")," in "," ~ ")," for "," ~ ")," with "," ~ ")</f>
        <v>  </v>
      </c>
      <c r="AB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18," pax "," ~ ")," etd "," ~ ")," eta "," ~ ")," std "," ~ ")," sta "," ~ ")," atd "," ~ ")," ata "," ~ ")," lt "," ~ ")," utc "," ~ ")," local "," ~ ")," ok "," ~ ")," done "," ~ ")," seen "," ~ ")," chk "," ~ ")," chkd "," ~ ")," checked "," ~ ")," rcvd "," ~ ")," recd "," ~ ")," dep "," ~ ")," arr "," ~ ")," qty "," ~ ")," all "," ~ ")," ttl "," ~ ")," total "," ~ ")," via "," ~ ")," per "," ~ ")," call "," ~ ")," inbound "," ~ ")," outbound "," ~ ")," approx "," ~ ")</f>
        <v>  </v>
      </c>
      <c r="AC18"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18," pax "," ~ ")," etd "," ~ ")," eta "," ~ ")," std "," ~ ")," sta "," ~ ")," atd "," ~ ")," ata "," ~ ")," lt "," ~ ")," utc "," ~ ")," local "," ~ ")," ok "," ~ ")," done "," ~ ")," seen "," ~ ")," chk "," ~ ")," chkd "," ~ ")," checked "," ~ ")," rcvd "," ~ ")," recd "," ~ ")," dep "," ~ ")," arr "," ~ ")," qty "," ~ ")," all "," ~ ")," ttl "," ~ ")," total "," ~ ")," via "," ~ ")," per "," ~ ")," call "," ~ ")," inbound "," ~ ")," outbound "," ~ ")," approx "," ~ ")</f>
        <v>  </v>
      </c>
    </row>
    <row r="19" customFormat="false" ht="30" hidden="false" customHeight="true" outlineLevel="0" collapsed="false">
      <c r="A19" s="70" t="s">
        <v>278</v>
      </c>
      <c r="B19" s="57" t="str">
        <f aca="false">Flights!F19</f>
        <v>MH0003</v>
      </c>
      <c r="C19" s="71" t="n">
        <f aca="false">Flights!D19</f>
        <v>46320</v>
      </c>
      <c r="D19" s="70" t="str">
        <f aca="false">Flights!G19&amp;"-"&amp;Flights!H19</f>
        <v>LHR-KUL</v>
      </c>
      <c r="E19" s="70" t="str">
        <f aca="false">Flights!L19</f>
        <v>A350</v>
      </c>
      <c r="F19" s="60"/>
      <c r="G19" s="60"/>
      <c r="H19" s="72"/>
      <c r="I19" s="60"/>
      <c r="J19" s="73" t="str">
        <f aca="false">IFERROR(IF(AND(AND(LEN(SUBSTITUTE(SUBSTITUTE(SUBSTITUTE(SUBSTITUTE(SUBSTITUTE(SUBSTITUTE(SUBSTITUTE(SUBSTITUTE(SUBSTITUTE(SUBSTITUTE(SUBSTITUTE(SUBSTITUTE(SUBSTITUTE(SUBSTITUTE(SUBSTITUTE(SUBSTITUTE(LOWER(F19&amp;""),CHAR(10),""),CHAR(13),""),CHAR(9),""),CHAR(160),"")," ",""),".",""),"-",""),"/",""),"?",""),"_",""),",",""),"[",""),"]",""),"(",""),")",""),"*",""))&gt;=3,NOT(ISNUMBER(MATCH(LEFT(SUBSTITUTE(SUBSTITUTE(SUBSTITUTE(SUBSTITUTE(SUBSTITUTE(SUBSTITUTE(SUBSTITUTE(SUBSTITUTE(SUBSTITUTE(SUBSTITUTE(SUBSTITUTE(SUBSTITUTE(SUBSTITUTE(SUBSTITUTE(SUBSTITUTE(SUBSTITUTE(LOWER(F19&amp;""),CHAR(10),""),CHAR(13),""),CHAR(9),""),CHAR(160),"")," ",""),".",""),"-",""),"/",""),"?",""),"_",""),",",""),"[",""),"]",""),"(",""),")",""),"*",""),255),L_Placeholder,0)))),AND(SUMPRODUCT(--ISNUMBER(FIND({"0","1","2","3","4","5","6","7","8","9"},F19)))&gt;0,LOWER(TRIM(F19))&lt;&gt;LOWER(Flights!$F$19),NOT(AND(LEFT(LOWER(TRIM(F19)),2)="mh",ISNUMBER(--MID(TRIM(F19),3,6))))),AND(LEN(SUBSTITUTE(SUBSTITUTE(SUBSTITUTE(SUBSTITUTE(SUBSTITUTE(SUBSTITUTE(SUBSTITUTE(SUBSTITUTE(SUBSTITUTE(SUBSTITUTE(SUBSTITUTE(SUBSTITUTE(SUBSTITUTE(SUBSTITUTE(SUBSTITUTE(SUBSTITUTE(LOWER(G19&amp;""),CHAR(10),""),CHAR(13),""),CHAR(9),""),CHAR(160),"")," ",""),".",""),"-",""),"/",""),"?",""),"_",""),",",""),"[",""),"]",""),"(",""),")",""),"*",""))&gt;=1,NOT(ISNUMBER(MATCH(LEFT(SUBSTITUTE(SUBSTITUTE(SUBSTITUTE(SUBSTITUTE(SUBSTITUTE(SUBSTITUTE(SUBSTITUTE(SUBSTITUTE(SUBSTITUTE(SUBSTITUTE(SUBSTITUTE(SUBSTITUTE(SUBSTITUTE(SUBSTITUTE(SUBSTITUTE(SUBSTITUTE(LOWER(G19&amp;""),CHAR(10),""),CHAR(13),""),CHAR(9),""),CHAR(160),"")," ",""),".",""),"-",""),"/",""),"?",""),"_",""),",",""),"[",""),"]",""),"(",""),")",""),"*",""),255),L_Placeholder,0)))),ISNUMBER(H19),H19&gt;=DATE(2020,1,1),H19&lt;=Flights!$D$19,AND(LEN(SUBSTITUTE(SUBSTITUTE(SUBSTITUTE(SUBSTITUTE(SUBSTITUTE(SUBSTITUTE(SUBSTITUTE(SUBSTITUTE(SUBSTITUTE(SUBSTITUTE(SUBSTITUTE(SUBSTITUTE(SUBSTITUTE(SUBSTITUTE(SUBSTITUTE(SUBSTITUTE(LOWER(I19&amp;""),CHAR(10),""),CHAR(13),""),CHAR(9),""),CHAR(160),"")," ",""),".",""),"-",""),"/",""),"?",""),"_",""),",",""),"[",""),"]",""),"(",""),")",""),"*",""))&gt;=5,NOT(ISNUMBER(MATCH(LEFT(SUBSTITUTE(SUBSTITUTE(SUBSTITUTE(SUBSTITUTE(SUBSTITUTE(SUBSTITUTE(SUBSTITUTE(SUBSTITUTE(SUBSTITUTE(SUBSTITUTE(SUBSTITUTE(SUBSTITUTE(SUBSTITUTE(SUBSTITUTE(SUBSTITUTE(SUBSTITUTE(LOWER(I19&amp;""),CHAR(10),""),CHAR(13),""),CHAR(9),""),CHAR(160),"")," ",""),".",""),"-",""),"/",""),"?",""),"_",""),",",""),"[",""),"]",""),"(",""),")",""),"*",""),255),L_Placeholder,0)))),OR(SUMPRODUCT(--ISNUMBER(SEARCH({"aa000"," aa 000"," aaa 000"," aaaa 000"," a 0000"," a000 000"," aa 00 000"," aaa 00 000"},S19)))&gt;0,SUMPRODUCT(--ISNUMBER(SEARCH({"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19)))&gt;0,SUMPRODUCT(--ISNUMBER(SEARCH({"http","www.","\",".pdf",".jpg",".jpeg",".png",".heic",".xls",".doc",".msg",".eml"},I19)))&gt;0,AND(SUMPRODUCT(--ISNUMBER(SEARCH({"sharepoint","onedrive","teams","dms","q-pulse","qpulse"},I19)))&gt;0,ISNUMBER(SEARCH("0",R19)))),NOT(SUMPRODUCT((LEN(X19)-LEN(SUBSTITUTE(X19," "&amp;L_PendStrict&amp;" "," ")))/(LEN(L_PendStrict)+1))&gt;SUMPRODUCT((LEN(X19)-LEN(SUBSTITUTE(X19," "&amp;L_PendNeg&amp;" "," ")))/(LEN(L_PendNeg)+1)))),"ON FILE","OUTSTANDING"),"OUTSTANDING")</f>
        <v>OUTSTANDING</v>
      </c>
      <c r="K19" s="60"/>
      <c r="L19" s="60"/>
      <c r="M19" s="72"/>
      <c r="N19" s="60"/>
      <c r="O19" s="73" t="str">
        <f aca="false">IFERROR(IF(AND(AND(LEN(SUBSTITUTE(SUBSTITUTE(SUBSTITUTE(SUBSTITUTE(SUBSTITUTE(SUBSTITUTE(SUBSTITUTE(SUBSTITUTE(SUBSTITUTE(SUBSTITUTE(SUBSTITUTE(SUBSTITUTE(SUBSTITUTE(SUBSTITUTE(SUBSTITUTE(SUBSTITUTE(LOWER(K19&amp;""),CHAR(10),""),CHAR(13),""),CHAR(9),""),CHAR(160),"")," ",""),".",""),"-",""),"/",""),"?",""),"_",""),",",""),"[",""),"]",""),"(",""),")",""),"*",""))&gt;=3,NOT(ISNUMBER(MATCH(LEFT(SUBSTITUTE(SUBSTITUTE(SUBSTITUTE(SUBSTITUTE(SUBSTITUTE(SUBSTITUTE(SUBSTITUTE(SUBSTITUTE(SUBSTITUTE(SUBSTITUTE(SUBSTITUTE(SUBSTITUTE(SUBSTITUTE(SUBSTITUTE(SUBSTITUTE(SUBSTITUTE(LOWER(K19&amp;""),CHAR(10),""),CHAR(13),""),CHAR(9),""),CHAR(160),"")," ",""),".",""),"-",""),"/",""),"?",""),"_",""),",",""),"[",""),"]",""),"(",""),")",""),"*",""),255),L_Placeholder,0)))),AND(SUMPRODUCT(--ISNUMBER(FIND({"0","1","2","3","4","5","6","7","8","9"},K19)))&gt;0,LOWER(TRIM(K19))&lt;&gt;LOWER(Flights!$F$19),NOT(AND(LEFT(LOWER(TRIM(K19)),2)="mh",ISNUMBER(--MID(TRIM(K19),3,6))))),AND(LEN(SUBSTITUTE(SUBSTITUTE(SUBSTITUTE(SUBSTITUTE(SUBSTITUTE(SUBSTITUTE(SUBSTITUTE(SUBSTITUTE(SUBSTITUTE(SUBSTITUTE(SUBSTITUTE(SUBSTITUTE(SUBSTITUTE(SUBSTITUTE(SUBSTITUTE(SUBSTITUTE(LOWER(L19&amp;""),CHAR(10),""),CHAR(13),""),CHAR(9),""),CHAR(160),"")," ",""),".",""),"-",""),"/",""),"?",""),"_",""),",",""),"[",""),"]",""),"(",""),")",""),"*",""))&gt;=1,NOT(ISNUMBER(MATCH(LEFT(SUBSTITUTE(SUBSTITUTE(SUBSTITUTE(SUBSTITUTE(SUBSTITUTE(SUBSTITUTE(SUBSTITUTE(SUBSTITUTE(SUBSTITUTE(SUBSTITUTE(SUBSTITUTE(SUBSTITUTE(SUBSTITUTE(SUBSTITUTE(SUBSTITUTE(SUBSTITUTE(LOWER(L19&amp;""),CHAR(10),""),CHAR(13),""),CHAR(9),""),CHAR(160),"")," ",""),".",""),"-",""),"/",""),"?",""),"_",""),",",""),"[",""),"]",""),"(",""),")",""),"*",""),255),L_Placeholder,0)))),ISNUMBER(M19),M19&gt;=DATE(2020,1,1),M19&lt;=Flights!$D$19,AND(LEN(SUBSTITUTE(SUBSTITUTE(SUBSTITUTE(SUBSTITUTE(SUBSTITUTE(SUBSTITUTE(SUBSTITUTE(SUBSTITUTE(SUBSTITUTE(SUBSTITUTE(SUBSTITUTE(SUBSTITUTE(SUBSTITUTE(SUBSTITUTE(SUBSTITUTE(SUBSTITUTE(LOWER(N19&amp;""),CHAR(10),""),CHAR(13),""),CHAR(9),""),CHAR(160),"")," ",""),".",""),"-",""),"/",""),"?",""),"_",""),",",""),"[",""),"]",""),"(",""),")",""),"*",""))&gt;=5,NOT(ISNUMBER(MATCH(LEFT(SUBSTITUTE(SUBSTITUTE(SUBSTITUTE(SUBSTITUTE(SUBSTITUTE(SUBSTITUTE(SUBSTITUTE(SUBSTITUTE(SUBSTITUTE(SUBSTITUTE(SUBSTITUTE(SUBSTITUTE(SUBSTITUTE(SUBSTITUTE(SUBSTITUTE(SUBSTITUTE(LOWER(N19&amp;""),CHAR(10),""),CHAR(13),""),CHAR(9),""),CHAR(160),"")," ",""),".",""),"-",""),"/",""),"?",""),"_",""),",",""),"[",""),"]",""),"(",""),")",""),"*",""),255),L_Placeholder,0)))),OR(SUMPRODUCT(--ISNUMBER(SEARCH({"aa000"," aa 000"," aaa 000"," aaaa 000"," a 0000"," a000 000"," aa 00 000"," aaa 00 000"},U19)))&gt;0,SUMPRODUCT(--ISNUMBER(SEARCH({"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19)))&gt;0,SUMPRODUCT(--ISNUMBER(SEARCH({"http","www.","\",".pdf",".jpg",".jpeg",".png",".heic",".xls",".doc",".msg",".eml"},N19)))&gt;0,AND(SUMPRODUCT(--ISNUMBER(SEARCH({"sharepoint","onedrive","teams","dms","q-pulse","qpulse"},N19)))&gt;0,ISNUMBER(SEARCH("0",T19)))),NOT(SUMPRODUCT((LEN(Y19)-LEN(SUBSTITUTE(Y19," "&amp;L_PendStrict&amp;" "," ")))/(LEN(L_PendStrict)+1))&gt;SUMPRODUCT((LEN(Y19)-LEN(SUBSTITUTE(Y19," "&amp;L_PendNeg&amp;" "," ")))/(LEN(L_PendNeg)+1)))),"ON FILE","OUTSTANDING"),"OUTSTANDING")</f>
        <v>OUTSTANDING</v>
      </c>
      <c r="P19" s="74" t="n">
        <f aca="false">(J19="OUTSTANDING")+(O19="OUTSTANDING")</f>
        <v>2</v>
      </c>
      <c r="Q19" s="57" t="s">
        <v>1496</v>
      </c>
      <c r="R19" s="0" t="str">
        <f aca="false">SUBSTITUTE(SUBSTITUTE(SUBSTITUTE(SUBSTITUTE(SUBSTITUTE(SUBSTITUTE(SUBSTITUTE(SUBSTITUTE(SUBSTITUTE(LOWER(AB19&amp;""),"1","0"),"2","0"),"3","0"),"4","0"),"5","0"),"6","0"),"7","0"),"8","0"),"9","0")</f>
        <v>  </v>
      </c>
      <c r="S19" s="0" t="str">
        <f aca="false">SUBSTITUTE(SUBSTITUTE(SUBSTITUTE(SUBSTITUTE(SUBSTITUTE(SUBSTITUTE(SUBSTITUTE(SUBSTITUTE(SUBSTITUTE(SUBSTITUTE(SUBSTITUTE(SUBSTITUTE(SUBSTITUTE(SUBSTITUTE(SUBSTITUTE(SUBSTITUTE(SUBSTITUTE(SUBSTITUTE(SUBSTITUTE(SUBSTITUTE(SUBSTITUTE(SUBSTITUTE(SUBSTITUTE(SUBSTITUTE(SUBSTITUTE(R19,"b","a"),"c","a"),"d","a"),"e","a"),"f","a"),"g","a"),"h","a"),"i","a"),"j","a"),"k","a"),"l","a"),"m","a"),"n","a"),"o","a"),"p","a"),"q","a"),"r","a"),"s","a"),"t","a"),"u","a"),"v","a"),"w","a"),"x","a"),"y","a"),"z","a")</f>
        <v>  </v>
      </c>
      <c r="T19" s="0" t="str">
        <f aca="false">SUBSTITUTE(SUBSTITUTE(SUBSTITUTE(SUBSTITUTE(SUBSTITUTE(SUBSTITUTE(SUBSTITUTE(SUBSTITUTE(SUBSTITUTE(LOWER(AC19&amp;""),"1","0"),"2","0"),"3","0"),"4","0"),"5","0"),"6","0"),"7","0"),"8","0"),"9","0")</f>
        <v>  </v>
      </c>
      <c r="U19" s="0" t="str">
        <f aca="false">SUBSTITUTE(SUBSTITUTE(SUBSTITUTE(SUBSTITUTE(SUBSTITUTE(SUBSTITUTE(SUBSTITUTE(SUBSTITUTE(SUBSTITUTE(SUBSTITUTE(SUBSTITUTE(SUBSTITUTE(SUBSTITUTE(SUBSTITUTE(SUBSTITUTE(SUBSTITUTE(SUBSTITUTE(SUBSTITUTE(SUBSTITUTE(SUBSTITUTE(SUBSTITUTE(SUBSTITUTE(SUBSTITUTE(SUBSTITUTE(SUBSTITUTE(T19,"b","a"),"c","a"),"d","a"),"e","a"),"f","a"),"g","a"),"h","a"),"i","a"),"j","a"),"k","a"),"l","a"),"m","a"),"n","a"),"o","a"),"p","a"),"q","a"),"r","a"),"s","a"),"t","a"),"u","a"),"v","a"),"w","a"),"x","a"),"y","a"),"z","a")</f>
        <v>  </v>
      </c>
      <c r="V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19," "&amp;LOWER(Flights!$F$19)&amp;" "," ~ ")," mh"," ~")," at "," ~ ")," by "," ~ ")," on "," ~ ")," to "," ~ ")," from "," ~ ")," until "," ~ ")," till "," ~ ")," before "," ~ ")," after "," ~ ")," around "," ~ ")," approx "," ~ ")," about "," ~ ")," since "," ~ ")," hrs "," ~ ")," hr "," ~ ")," hours "," ~ ")," time "," ~ ")," jan "," ~ ")," feb "," ~ ")," mar "," ~ ")," apr "," ~ ")," may "," ~ ")," jun "," ~ ")," jul "," ~ ")," aug "," ~ ")," sep "," ~ ")," sept "," ~ ")," oct "," ~ ")</f>
        <v>  </v>
      </c>
      <c r="W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19," "&amp;LOWER(Flights!$F$19)&amp;" "," ~ ")," mh"," ~")," at "," ~ ")," by "," ~ ")," on "," ~ ")," to "," ~ ")," from "," ~ ")," until "," ~ ")," till "," ~ ")," before "," ~ ")," after "," ~ ")," around "," ~ ")," approx "," ~ ")," about "," ~ ")," since "," ~ ")," hrs "," ~ ")," hr "," ~ ")," hours "," ~ ")," time "," ~ ")," jan "," ~ ")," feb "," ~ ")," mar "," ~ ")," apr "," ~ ")," may "," ~ ")," jun "," ~ ")," jul "," ~ ")," aug "," ~ ")," sep "," ~ ")," sept "," ~ ")," oct "," ~ ")</f>
        <v>  </v>
      </c>
      <c r="X19" s="0" t="str">
        <f aca="false">" "&amp;TRIM(SUBSTITUTE(SUBSTITUTE(SUBSTITUTE(SUBSTITUTE(SUBSTITUTE(SUBSTITUTE(SUBSTITUTE(SUBSTITUTE(SUBSTITUTE(SUBSTITUTE(SUBSTITUTE(SUBSTITUTE(SUBSTITUTE(SUBSTITUTE(SUBSTITUTE(SUBSTITUTE(SUBSTITUTE(SUBSTITUTE(SUBSTITUTE(SUBSTITUTE(SUBSTITUTE(SUBSTITUTE(SUBSTITUTE(SUBSTITUTE(LOWER(I19&amp;""),CHAR(10)," "),CHAR(13)," "),CHAR(9)," "),CHAR(160)," "),"."," "),","," "),"-"," "),"/"," "),"("," "),")"," "),":"," "),";"," "),"_"," "),"–"," "),"?"," "),"!"," "),"*"," "),"["," "),"]"," "),"'"," "),"#"," "),"+"," "),"&amp;"," "),"\"," "))&amp;" "</f>
        <v>  </v>
      </c>
      <c r="Y19" s="0" t="str">
        <f aca="false">" "&amp;TRIM(SUBSTITUTE(SUBSTITUTE(SUBSTITUTE(SUBSTITUTE(SUBSTITUTE(SUBSTITUTE(SUBSTITUTE(SUBSTITUTE(SUBSTITUTE(SUBSTITUTE(SUBSTITUTE(SUBSTITUTE(SUBSTITUTE(SUBSTITUTE(SUBSTITUTE(SUBSTITUTE(SUBSTITUTE(SUBSTITUTE(SUBSTITUTE(SUBSTITUTE(SUBSTITUTE(SUBSTITUTE(SUBSTITUTE(SUBSTITUTE(LOWER(N19&amp;""),CHAR(10)," "),CHAR(13)," "),CHAR(9)," "),CHAR(160)," "),"."," "),","," "),"-"," "),"/"," "),"("," "),")"," "),":"," "),";"," "),"_"," "),"–"," "),"?"," "),"!"," "),"*"," "),"["," "),"]"," "),"'"," "),"#"," "),"+"," "),"&amp;"," "),"\"," "))&amp;" "</f>
        <v>  </v>
      </c>
      <c r="Z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19,"jan","~"),"feb","~"),"mar","~"),"apr","~"),"may","~"),"jun","~"),"jul","~"),"aug","~"),"sep","~"),"oct","~"),"nov","~"),"dec","~")," nov "," ~ ")," dec "," ~ ")," mon "," ~ ")," tue "," ~ ")," wed "," ~ ")," thu "," ~ ")," fri "," ~ ")," sat "," ~ ")," sun "," ~ ")," gate "," ~ ")," bay "," ~ ")," stand "," ~ ")," position "," ~ ")," galley "," ~ ")," flight "," ~ ")," flt "," ~ ")," day "," ~ ")," date "," ~ ")," dated "," ~ ")," the "," ~ ")," and "," ~ ")," of "," ~ ")," in "," ~ ")," for "," ~ ")," with "," ~ ")</f>
        <v>  </v>
      </c>
      <c r="AA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19,"jan","~"),"feb","~"),"mar","~"),"apr","~"),"may","~"),"jun","~"),"jul","~"),"aug","~"),"sep","~"),"oct","~"),"nov","~"),"dec","~")," nov "," ~ ")," dec "," ~ ")," mon "," ~ ")," tue "," ~ ")," wed "," ~ ")," thu "," ~ ")," fri "," ~ ")," sat "," ~ ")," sun "," ~ ")," gate "," ~ ")," bay "," ~ ")," stand "," ~ ")," position "," ~ ")," galley "," ~ ")," flight "," ~ ")," flt "," ~ ")," day "," ~ ")," date "," ~ ")," dated "," ~ ")," the "," ~ ")," and "," ~ ")," of "," ~ ")," in "," ~ ")," for "," ~ ")," with "," ~ ")</f>
        <v>  </v>
      </c>
      <c r="AB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19," pax "," ~ ")," etd "," ~ ")," eta "," ~ ")," std "," ~ ")," sta "," ~ ")," atd "," ~ ")," ata "," ~ ")," lt "," ~ ")," utc "," ~ ")," local "," ~ ")," ok "," ~ ")," done "," ~ ")," seen "," ~ ")," chk "," ~ ")," chkd "," ~ ")," checked "," ~ ")," rcvd "," ~ ")," recd "," ~ ")," dep "," ~ ")," arr "," ~ ")," qty "," ~ ")," all "," ~ ")," ttl "," ~ ")," total "," ~ ")," via "," ~ ")," per "," ~ ")," call "," ~ ")," inbound "," ~ ")," outbound "," ~ ")," approx "," ~ ")</f>
        <v>  </v>
      </c>
      <c r="AC19"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19," pax "," ~ ")," etd "," ~ ")," eta "," ~ ")," std "," ~ ")," sta "," ~ ")," atd "," ~ ")," ata "," ~ ")," lt "," ~ ")," utc "," ~ ")," local "," ~ ")," ok "," ~ ")," done "," ~ ")," seen "," ~ ")," chk "," ~ ")," chkd "," ~ ")," checked "," ~ ")," rcvd "," ~ ")," recd "," ~ ")," dep "," ~ ")," arr "," ~ ")," qty "," ~ ")," all "," ~ ")," ttl "," ~ ")," total "," ~ ")," via "," ~ ")," per "," ~ ")," call "," ~ ")," inbound "," ~ ")," outbound "," ~ ")," approx "," ~ ")</f>
        <v>  </v>
      </c>
    </row>
    <row r="20" customFormat="false" ht="30" hidden="false" customHeight="true" outlineLevel="0" collapsed="false">
      <c r="A20" s="70" t="s">
        <v>280</v>
      </c>
      <c r="B20" s="57" t="str">
        <f aca="false">Flights!F20</f>
        <v>MH0072</v>
      </c>
      <c r="C20" s="71" t="n">
        <f aca="false">Flights!D20</f>
        <v>46321</v>
      </c>
      <c r="D20" s="70" t="str">
        <f aca="false">Flights!G20&amp;"-"&amp;Flights!H20</f>
        <v>KUL-HKG</v>
      </c>
      <c r="E20" s="70" t="str">
        <f aca="false">Flights!L20</f>
        <v>B738MAX</v>
      </c>
      <c r="F20" s="60"/>
      <c r="G20" s="60"/>
      <c r="H20" s="72"/>
      <c r="I20" s="60"/>
      <c r="J20" s="73" t="str">
        <f aca="false">IFERROR(IF(AND(AND(LEN(SUBSTITUTE(SUBSTITUTE(SUBSTITUTE(SUBSTITUTE(SUBSTITUTE(SUBSTITUTE(SUBSTITUTE(SUBSTITUTE(SUBSTITUTE(SUBSTITUTE(SUBSTITUTE(SUBSTITUTE(SUBSTITUTE(SUBSTITUTE(SUBSTITUTE(SUBSTITUTE(LOWER(F20&amp;""),CHAR(10),""),CHAR(13),""),CHAR(9),""),CHAR(160),"")," ",""),".",""),"-",""),"/",""),"?",""),"_",""),",",""),"[",""),"]",""),"(",""),")",""),"*",""))&gt;=3,NOT(ISNUMBER(MATCH(LEFT(SUBSTITUTE(SUBSTITUTE(SUBSTITUTE(SUBSTITUTE(SUBSTITUTE(SUBSTITUTE(SUBSTITUTE(SUBSTITUTE(SUBSTITUTE(SUBSTITUTE(SUBSTITUTE(SUBSTITUTE(SUBSTITUTE(SUBSTITUTE(SUBSTITUTE(SUBSTITUTE(LOWER(F20&amp;""),CHAR(10),""),CHAR(13),""),CHAR(9),""),CHAR(160),"")," ",""),".",""),"-",""),"/",""),"?",""),"_",""),",",""),"[",""),"]",""),"(",""),")",""),"*",""),255),L_Placeholder,0)))),AND(SUMPRODUCT(--ISNUMBER(FIND({"0","1","2","3","4","5","6","7","8","9"},F20)))&gt;0,LOWER(TRIM(F20))&lt;&gt;LOWER(Flights!$F$20),NOT(AND(LEFT(LOWER(TRIM(F20)),2)="mh",ISNUMBER(--MID(TRIM(F20),3,6))))),AND(LEN(SUBSTITUTE(SUBSTITUTE(SUBSTITUTE(SUBSTITUTE(SUBSTITUTE(SUBSTITUTE(SUBSTITUTE(SUBSTITUTE(SUBSTITUTE(SUBSTITUTE(SUBSTITUTE(SUBSTITUTE(SUBSTITUTE(SUBSTITUTE(SUBSTITUTE(SUBSTITUTE(LOWER(G20&amp;""),CHAR(10),""),CHAR(13),""),CHAR(9),""),CHAR(160),"")," ",""),".",""),"-",""),"/",""),"?",""),"_",""),",",""),"[",""),"]",""),"(",""),")",""),"*",""))&gt;=1,NOT(ISNUMBER(MATCH(LEFT(SUBSTITUTE(SUBSTITUTE(SUBSTITUTE(SUBSTITUTE(SUBSTITUTE(SUBSTITUTE(SUBSTITUTE(SUBSTITUTE(SUBSTITUTE(SUBSTITUTE(SUBSTITUTE(SUBSTITUTE(SUBSTITUTE(SUBSTITUTE(SUBSTITUTE(SUBSTITUTE(LOWER(G20&amp;""),CHAR(10),""),CHAR(13),""),CHAR(9),""),CHAR(160),"")," ",""),".",""),"-",""),"/",""),"?",""),"_",""),",",""),"[",""),"]",""),"(",""),")",""),"*",""),255),L_Placeholder,0)))),ISNUMBER(H20),H20&gt;=DATE(2020,1,1),H20&lt;=Flights!$D$20,AND(LEN(SUBSTITUTE(SUBSTITUTE(SUBSTITUTE(SUBSTITUTE(SUBSTITUTE(SUBSTITUTE(SUBSTITUTE(SUBSTITUTE(SUBSTITUTE(SUBSTITUTE(SUBSTITUTE(SUBSTITUTE(SUBSTITUTE(SUBSTITUTE(SUBSTITUTE(SUBSTITUTE(LOWER(I20&amp;""),CHAR(10),""),CHAR(13),""),CHAR(9),""),CHAR(160),"")," ",""),".",""),"-",""),"/",""),"?",""),"_",""),",",""),"[",""),"]",""),"(",""),")",""),"*",""))&gt;=5,NOT(ISNUMBER(MATCH(LEFT(SUBSTITUTE(SUBSTITUTE(SUBSTITUTE(SUBSTITUTE(SUBSTITUTE(SUBSTITUTE(SUBSTITUTE(SUBSTITUTE(SUBSTITUTE(SUBSTITUTE(SUBSTITUTE(SUBSTITUTE(SUBSTITUTE(SUBSTITUTE(SUBSTITUTE(SUBSTITUTE(LOWER(I20&amp;""),CHAR(10),""),CHAR(13),""),CHAR(9),""),CHAR(160),"")," ",""),".",""),"-",""),"/",""),"?",""),"_",""),",",""),"[",""),"]",""),"(",""),")",""),"*",""),255),L_Placeholder,0)))),OR(SUMPRODUCT(--ISNUMBER(SEARCH({"aa000"," aa 000"," aaa 000"," aaaa 000"," a 0000"," a000 000"," aa 00 000"," aaa 00 000"},S20)))&gt;0,SUMPRODUCT(--ISNUMBER(SEARCH({"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20)))&gt;0,SUMPRODUCT(--ISNUMBER(SEARCH({"http","www.","\",".pdf",".jpg",".jpeg",".png",".heic",".xls",".doc",".msg",".eml"},I20)))&gt;0,AND(SUMPRODUCT(--ISNUMBER(SEARCH({"sharepoint","onedrive","teams","dms","q-pulse","qpulse"},I20)))&gt;0,ISNUMBER(SEARCH("0",R20)))),NOT(SUMPRODUCT((LEN(X20)-LEN(SUBSTITUTE(X20," "&amp;L_PendStrict&amp;" "," ")))/(LEN(L_PendStrict)+1))&gt;SUMPRODUCT((LEN(X20)-LEN(SUBSTITUTE(X20," "&amp;L_PendNeg&amp;" "," ")))/(LEN(L_PendNeg)+1)))),"ON FILE","OUTSTANDING"),"OUTSTANDING")</f>
        <v>OUTSTANDING</v>
      </c>
      <c r="K20" s="60"/>
      <c r="L20" s="60"/>
      <c r="M20" s="72"/>
      <c r="N20" s="60"/>
      <c r="O20" s="73" t="str">
        <f aca="false">IFERROR(IF(AND(AND(LEN(SUBSTITUTE(SUBSTITUTE(SUBSTITUTE(SUBSTITUTE(SUBSTITUTE(SUBSTITUTE(SUBSTITUTE(SUBSTITUTE(SUBSTITUTE(SUBSTITUTE(SUBSTITUTE(SUBSTITUTE(SUBSTITUTE(SUBSTITUTE(SUBSTITUTE(SUBSTITUTE(LOWER(K20&amp;""),CHAR(10),""),CHAR(13),""),CHAR(9),""),CHAR(160),"")," ",""),".",""),"-",""),"/",""),"?",""),"_",""),",",""),"[",""),"]",""),"(",""),")",""),"*",""))&gt;=3,NOT(ISNUMBER(MATCH(LEFT(SUBSTITUTE(SUBSTITUTE(SUBSTITUTE(SUBSTITUTE(SUBSTITUTE(SUBSTITUTE(SUBSTITUTE(SUBSTITUTE(SUBSTITUTE(SUBSTITUTE(SUBSTITUTE(SUBSTITUTE(SUBSTITUTE(SUBSTITUTE(SUBSTITUTE(SUBSTITUTE(LOWER(K20&amp;""),CHAR(10),""),CHAR(13),""),CHAR(9),""),CHAR(160),"")," ",""),".",""),"-",""),"/",""),"?",""),"_",""),",",""),"[",""),"]",""),"(",""),")",""),"*",""),255),L_Placeholder,0)))),AND(SUMPRODUCT(--ISNUMBER(FIND({"0","1","2","3","4","5","6","7","8","9"},K20)))&gt;0,LOWER(TRIM(K20))&lt;&gt;LOWER(Flights!$F$20),NOT(AND(LEFT(LOWER(TRIM(K20)),2)="mh",ISNUMBER(--MID(TRIM(K20),3,6))))),AND(LEN(SUBSTITUTE(SUBSTITUTE(SUBSTITUTE(SUBSTITUTE(SUBSTITUTE(SUBSTITUTE(SUBSTITUTE(SUBSTITUTE(SUBSTITUTE(SUBSTITUTE(SUBSTITUTE(SUBSTITUTE(SUBSTITUTE(SUBSTITUTE(SUBSTITUTE(SUBSTITUTE(LOWER(L20&amp;""),CHAR(10),""),CHAR(13),""),CHAR(9),""),CHAR(160),"")," ",""),".",""),"-",""),"/",""),"?",""),"_",""),",",""),"[",""),"]",""),"(",""),")",""),"*",""))&gt;=1,NOT(ISNUMBER(MATCH(LEFT(SUBSTITUTE(SUBSTITUTE(SUBSTITUTE(SUBSTITUTE(SUBSTITUTE(SUBSTITUTE(SUBSTITUTE(SUBSTITUTE(SUBSTITUTE(SUBSTITUTE(SUBSTITUTE(SUBSTITUTE(SUBSTITUTE(SUBSTITUTE(SUBSTITUTE(SUBSTITUTE(LOWER(L20&amp;""),CHAR(10),""),CHAR(13),""),CHAR(9),""),CHAR(160),"")," ",""),".",""),"-",""),"/",""),"?",""),"_",""),",",""),"[",""),"]",""),"(",""),")",""),"*",""),255),L_Placeholder,0)))),ISNUMBER(M20),M20&gt;=DATE(2020,1,1),M20&lt;=Flights!$D$20,AND(LEN(SUBSTITUTE(SUBSTITUTE(SUBSTITUTE(SUBSTITUTE(SUBSTITUTE(SUBSTITUTE(SUBSTITUTE(SUBSTITUTE(SUBSTITUTE(SUBSTITUTE(SUBSTITUTE(SUBSTITUTE(SUBSTITUTE(SUBSTITUTE(SUBSTITUTE(SUBSTITUTE(LOWER(N20&amp;""),CHAR(10),""),CHAR(13),""),CHAR(9),""),CHAR(160),"")," ",""),".",""),"-",""),"/",""),"?",""),"_",""),",",""),"[",""),"]",""),"(",""),")",""),"*",""))&gt;=5,NOT(ISNUMBER(MATCH(LEFT(SUBSTITUTE(SUBSTITUTE(SUBSTITUTE(SUBSTITUTE(SUBSTITUTE(SUBSTITUTE(SUBSTITUTE(SUBSTITUTE(SUBSTITUTE(SUBSTITUTE(SUBSTITUTE(SUBSTITUTE(SUBSTITUTE(SUBSTITUTE(SUBSTITUTE(SUBSTITUTE(LOWER(N20&amp;""),CHAR(10),""),CHAR(13),""),CHAR(9),""),CHAR(160),"")," ",""),".",""),"-",""),"/",""),"?",""),"_",""),",",""),"[",""),"]",""),"(",""),")",""),"*",""),255),L_Placeholder,0)))),OR(SUMPRODUCT(--ISNUMBER(SEARCH({"aa000"," aa 000"," aaa 000"," aaaa 000"," a 0000"," a000 000"," aa 00 000"," aaa 00 000"},U20)))&gt;0,SUMPRODUCT(--ISNUMBER(SEARCH({"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20)))&gt;0,SUMPRODUCT(--ISNUMBER(SEARCH({"http","www.","\",".pdf",".jpg",".jpeg",".png",".heic",".xls",".doc",".msg",".eml"},N20)))&gt;0,AND(SUMPRODUCT(--ISNUMBER(SEARCH({"sharepoint","onedrive","teams","dms","q-pulse","qpulse"},N20)))&gt;0,ISNUMBER(SEARCH("0",T20)))),NOT(SUMPRODUCT((LEN(Y20)-LEN(SUBSTITUTE(Y20," "&amp;L_PendStrict&amp;" "," ")))/(LEN(L_PendStrict)+1))&gt;SUMPRODUCT((LEN(Y20)-LEN(SUBSTITUTE(Y20," "&amp;L_PendNeg&amp;" "," ")))/(LEN(L_PendNeg)+1)))),"ON FILE","OUTSTANDING"),"OUTSTANDING")</f>
        <v>OUTSTANDING</v>
      </c>
      <c r="P20" s="74" t="n">
        <f aca="false">(J20="OUTSTANDING")+(O20="OUTSTANDING")</f>
        <v>2</v>
      </c>
      <c r="Q20" s="57" t="s">
        <v>1496</v>
      </c>
      <c r="R20" s="0" t="str">
        <f aca="false">SUBSTITUTE(SUBSTITUTE(SUBSTITUTE(SUBSTITUTE(SUBSTITUTE(SUBSTITUTE(SUBSTITUTE(SUBSTITUTE(SUBSTITUTE(LOWER(AB20&amp;""),"1","0"),"2","0"),"3","0"),"4","0"),"5","0"),"6","0"),"7","0"),"8","0"),"9","0")</f>
        <v>  </v>
      </c>
      <c r="S20" s="0" t="str">
        <f aca="false">SUBSTITUTE(SUBSTITUTE(SUBSTITUTE(SUBSTITUTE(SUBSTITUTE(SUBSTITUTE(SUBSTITUTE(SUBSTITUTE(SUBSTITUTE(SUBSTITUTE(SUBSTITUTE(SUBSTITUTE(SUBSTITUTE(SUBSTITUTE(SUBSTITUTE(SUBSTITUTE(SUBSTITUTE(SUBSTITUTE(SUBSTITUTE(SUBSTITUTE(SUBSTITUTE(SUBSTITUTE(SUBSTITUTE(SUBSTITUTE(SUBSTITUTE(R20,"b","a"),"c","a"),"d","a"),"e","a"),"f","a"),"g","a"),"h","a"),"i","a"),"j","a"),"k","a"),"l","a"),"m","a"),"n","a"),"o","a"),"p","a"),"q","a"),"r","a"),"s","a"),"t","a"),"u","a"),"v","a"),"w","a"),"x","a"),"y","a"),"z","a")</f>
        <v>  </v>
      </c>
      <c r="T20" s="0" t="str">
        <f aca="false">SUBSTITUTE(SUBSTITUTE(SUBSTITUTE(SUBSTITUTE(SUBSTITUTE(SUBSTITUTE(SUBSTITUTE(SUBSTITUTE(SUBSTITUTE(LOWER(AC20&amp;""),"1","0"),"2","0"),"3","0"),"4","0"),"5","0"),"6","0"),"7","0"),"8","0"),"9","0")</f>
        <v>  </v>
      </c>
      <c r="U20" s="0" t="str">
        <f aca="false">SUBSTITUTE(SUBSTITUTE(SUBSTITUTE(SUBSTITUTE(SUBSTITUTE(SUBSTITUTE(SUBSTITUTE(SUBSTITUTE(SUBSTITUTE(SUBSTITUTE(SUBSTITUTE(SUBSTITUTE(SUBSTITUTE(SUBSTITUTE(SUBSTITUTE(SUBSTITUTE(SUBSTITUTE(SUBSTITUTE(SUBSTITUTE(SUBSTITUTE(SUBSTITUTE(SUBSTITUTE(SUBSTITUTE(SUBSTITUTE(SUBSTITUTE(T20,"b","a"),"c","a"),"d","a"),"e","a"),"f","a"),"g","a"),"h","a"),"i","a"),"j","a"),"k","a"),"l","a"),"m","a"),"n","a"),"o","a"),"p","a"),"q","a"),"r","a"),"s","a"),"t","a"),"u","a"),"v","a"),"w","a"),"x","a"),"y","a"),"z","a")</f>
        <v>  </v>
      </c>
      <c r="V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20," "&amp;LOWER(Flights!$F$20)&amp;" "," ~ ")," mh"," ~")," at "," ~ ")," by "," ~ ")," on "," ~ ")," to "," ~ ")," from "," ~ ")," until "," ~ ")," till "," ~ ")," before "," ~ ")," after "," ~ ")," around "," ~ ")," approx "," ~ ")," about "," ~ ")," since "," ~ ")," hrs "," ~ ")," hr "," ~ ")," hours "," ~ ")," time "," ~ ")," jan "," ~ ")," feb "," ~ ")," mar "," ~ ")," apr "," ~ ")," may "," ~ ")," jun "," ~ ")," jul "," ~ ")," aug "," ~ ")," sep "," ~ ")," sept "," ~ ")," oct "," ~ ")</f>
        <v>  </v>
      </c>
      <c r="W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20," "&amp;LOWER(Flights!$F$20)&amp;" "," ~ ")," mh"," ~")," at "," ~ ")," by "," ~ ")," on "," ~ ")," to "," ~ ")," from "," ~ ")," until "," ~ ")," till "," ~ ")," before "," ~ ")," after "," ~ ")," around "," ~ ")," approx "," ~ ")," about "," ~ ")," since "," ~ ")," hrs "," ~ ")," hr "," ~ ")," hours "," ~ ")," time "," ~ ")," jan "," ~ ")," feb "," ~ ")," mar "," ~ ")," apr "," ~ ")," may "," ~ ")," jun "," ~ ")," jul "," ~ ")," aug "," ~ ")," sep "," ~ ")," sept "," ~ ")," oct "," ~ ")</f>
        <v>  </v>
      </c>
      <c r="X20" s="0" t="str">
        <f aca="false">" "&amp;TRIM(SUBSTITUTE(SUBSTITUTE(SUBSTITUTE(SUBSTITUTE(SUBSTITUTE(SUBSTITUTE(SUBSTITUTE(SUBSTITUTE(SUBSTITUTE(SUBSTITUTE(SUBSTITUTE(SUBSTITUTE(SUBSTITUTE(SUBSTITUTE(SUBSTITUTE(SUBSTITUTE(SUBSTITUTE(SUBSTITUTE(SUBSTITUTE(SUBSTITUTE(SUBSTITUTE(SUBSTITUTE(SUBSTITUTE(SUBSTITUTE(LOWER(I20&amp;""),CHAR(10)," "),CHAR(13)," "),CHAR(9)," "),CHAR(160)," "),"."," "),","," "),"-"," "),"/"," "),"("," "),")"," "),":"," "),";"," "),"_"," "),"–"," "),"?"," "),"!"," "),"*"," "),"["," "),"]"," "),"'"," "),"#"," "),"+"," "),"&amp;"," "),"\"," "))&amp;" "</f>
        <v>  </v>
      </c>
      <c r="Y20" s="0" t="str">
        <f aca="false">" "&amp;TRIM(SUBSTITUTE(SUBSTITUTE(SUBSTITUTE(SUBSTITUTE(SUBSTITUTE(SUBSTITUTE(SUBSTITUTE(SUBSTITUTE(SUBSTITUTE(SUBSTITUTE(SUBSTITUTE(SUBSTITUTE(SUBSTITUTE(SUBSTITUTE(SUBSTITUTE(SUBSTITUTE(SUBSTITUTE(SUBSTITUTE(SUBSTITUTE(SUBSTITUTE(SUBSTITUTE(SUBSTITUTE(SUBSTITUTE(SUBSTITUTE(LOWER(N20&amp;""),CHAR(10)," "),CHAR(13)," "),CHAR(9)," "),CHAR(160)," "),"."," "),","," "),"-"," "),"/"," "),"("," "),")"," "),":"," "),";"," "),"_"," "),"–"," "),"?"," "),"!"," "),"*"," "),"["," "),"]"," "),"'"," "),"#"," "),"+"," "),"&amp;"," "),"\"," "))&amp;" "</f>
        <v>  </v>
      </c>
      <c r="Z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20,"jan","~"),"feb","~"),"mar","~"),"apr","~"),"may","~"),"jun","~"),"jul","~"),"aug","~"),"sep","~"),"oct","~"),"nov","~"),"dec","~")," nov "," ~ ")," dec "," ~ ")," mon "," ~ ")," tue "," ~ ")," wed "," ~ ")," thu "," ~ ")," fri "," ~ ")," sat "," ~ ")," sun "," ~ ")," gate "," ~ ")," bay "," ~ ")," stand "," ~ ")," position "," ~ ")," galley "," ~ ")," flight "," ~ ")," flt "," ~ ")," day "," ~ ")," date "," ~ ")," dated "," ~ ")," the "," ~ ")," and "," ~ ")," of "," ~ ")," in "," ~ ")," for "," ~ ")," with "," ~ ")</f>
        <v>  </v>
      </c>
      <c r="AA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20,"jan","~"),"feb","~"),"mar","~"),"apr","~"),"may","~"),"jun","~"),"jul","~"),"aug","~"),"sep","~"),"oct","~"),"nov","~"),"dec","~")," nov "," ~ ")," dec "," ~ ")," mon "," ~ ")," tue "," ~ ")," wed "," ~ ")," thu "," ~ ")," fri "," ~ ")," sat "," ~ ")," sun "," ~ ")," gate "," ~ ")," bay "," ~ ")," stand "," ~ ")," position "," ~ ")," galley "," ~ ")," flight "," ~ ")," flt "," ~ ")," day "," ~ ")," date "," ~ ")," dated "," ~ ")," the "," ~ ")," and "," ~ ")," of "," ~ ")," in "," ~ ")," for "," ~ ")," with "," ~ ")</f>
        <v>  </v>
      </c>
      <c r="AB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20," pax "," ~ ")," etd "," ~ ")," eta "," ~ ")," std "," ~ ")," sta "," ~ ")," atd "," ~ ")," ata "," ~ ")," lt "," ~ ")," utc "," ~ ")," local "," ~ ")," ok "," ~ ")," done "," ~ ")," seen "," ~ ")," chk "," ~ ")," chkd "," ~ ")," checked "," ~ ")," rcvd "," ~ ")," recd "," ~ ")," dep "," ~ ")," arr "," ~ ")," qty "," ~ ")," all "," ~ ")," ttl "," ~ ")," total "," ~ ")," via "," ~ ")," per "," ~ ")," call "," ~ ")," inbound "," ~ ")," outbound "," ~ ")," approx "," ~ ")</f>
        <v>  </v>
      </c>
      <c r="AC20"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20," pax "," ~ ")," etd "," ~ ")," eta "," ~ ")," std "," ~ ")," sta "," ~ ")," atd "," ~ ")," ata "," ~ ")," lt "," ~ ")," utc "," ~ ")," local "," ~ ")," ok "," ~ ")," done "," ~ ")," seen "," ~ ")," chk "," ~ ")," chkd "," ~ ")," checked "," ~ ")," rcvd "," ~ ")," recd "," ~ ")," dep "," ~ ")," arr "," ~ ")," qty "," ~ ")," all "," ~ ")," ttl "," ~ ")," total "," ~ ")," via "," ~ ")," per "," ~ ")," call "," ~ ")," inbound "," ~ ")," outbound "," ~ ")," approx "," ~ ")</f>
        <v>  </v>
      </c>
    </row>
    <row r="21" customFormat="false" ht="30" hidden="false" customHeight="true" outlineLevel="0" collapsed="false">
      <c r="A21" s="70" t="s">
        <v>290</v>
      </c>
      <c r="B21" s="57" t="str">
        <f aca="false">Flights!F21</f>
        <v>MH0073</v>
      </c>
      <c r="C21" s="71" t="n">
        <f aca="false">Flights!D21</f>
        <v>46322</v>
      </c>
      <c r="D21" s="70" t="str">
        <f aca="false">Flights!G21&amp;"-"&amp;Flights!H21</f>
        <v>HKG-KUL</v>
      </c>
      <c r="E21" s="70" t="str">
        <f aca="false">Flights!L21</f>
        <v>B738MAX</v>
      </c>
      <c r="F21" s="60"/>
      <c r="G21" s="60"/>
      <c r="H21" s="72"/>
      <c r="I21" s="60"/>
      <c r="J21" s="73" t="str">
        <f aca="false">IFERROR(IF(AND(AND(LEN(SUBSTITUTE(SUBSTITUTE(SUBSTITUTE(SUBSTITUTE(SUBSTITUTE(SUBSTITUTE(SUBSTITUTE(SUBSTITUTE(SUBSTITUTE(SUBSTITUTE(SUBSTITUTE(SUBSTITUTE(SUBSTITUTE(SUBSTITUTE(SUBSTITUTE(SUBSTITUTE(LOWER(F21&amp;""),CHAR(10),""),CHAR(13),""),CHAR(9),""),CHAR(160),"")," ",""),".",""),"-",""),"/",""),"?",""),"_",""),",",""),"[",""),"]",""),"(",""),")",""),"*",""))&gt;=3,NOT(ISNUMBER(MATCH(LEFT(SUBSTITUTE(SUBSTITUTE(SUBSTITUTE(SUBSTITUTE(SUBSTITUTE(SUBSTITUTE(SUBSTITUTE(SUBSTITUTE(SUBSTITUTE(SUBSTITUTE(SUBSTITUTE(SUBSTITUTE(SUBSTITUTE(SUBSTITUTE(SUBSTITUTE(SUBSTITUTE(LOWER(F21&amp;""),CHAR(10),""),CHAR(13),""),CHAR(9),""),CHAR(160),"")," ",""),".",""),"-",""),"/",""),"?",""),"_",""),",",""),"[",""),"]",""),"(",""),")",""),"*",""),255),L_Placeholder,0)))),AND(SUMPRODUCT(--ISNUMBER(FIND({"0","1","2","3","4","5","6","7","8","9"},F21)))&gt;0,LOWER(TRIM(F21))&lt;&gt;LOWER(Flights!$F$21),NOT(AND(LEFT(LOWER(TRIM(F21)),2)="mh",ISNUMBER(--MID(TRIM(F21),3,6))))),AND(LEN(SUBSTITUTE(SUBSTITUTE(SUBSTITUTE(SUBSTITUTE(SUBSTITUTE(SUBSTITUTE(SUBSTITUTE(SUBSTITUTE(SUBSTITUTE(SUBSTITUTE(SUBSTITUTE(SUBSTITUTE(SUBSTITUTE(SUBSTITUTE(SUBSTITUTE(SUBSTITUTE(LOWER(G21&amp;""),CHAR(10),""),CHAR(13),""),CHAR(9),""),CHAR(160),"")," ",""),".",""),"-",""),"/",""),"?",""),"_",""),",",""),"[",""),"]",""),"(",""),")",""),"*",""))&gt;=1,NOT(ISNUMBER(MATCH(LEFT(SUBSTITUTE(SUBSTITUTE(SUBSTITUTE(SUBSTITUTE(SUBSTITUTE(SUBSTITUTE(SUBSTITUTE(SUBSTITUTE(SUBSTITUTE(SUBSTITUTE(SUBSTITUTE(SUBSTITUTE(SUBSTITUTE(SUBSTITUTE(SUBSTITUTE(SUBSTITUTE(LOWER(G21&amp;""),CHAR(10),""),CHAR(13),""),CHAR(9),""),CHAR(160),"")," ",""),".",""),"-",""),"/",""),"?",""),"_",""),",",""),"[",""),"]",""),"(",""),")",""),"*",""),255),L_Placeholder,0)))),ISNUMBER(H21),H21&gt;=DATE(2020,1,1),H21&lt;=Flights!$D$21,AND(LEN(SUBSTITUTE(SUBSTITUTE(SUBSTITUTE(SUBSTITUTE(SUBSTITUTE(SUBSTITUTE(SUBSTITUTE(SUBSTITUTE(SUBSTITUTE(SUBSTITUTE(SUBSTITUTE(SUBSTITUTE(SUBSTITUTE(SUBSTITUTE(SUBSTITUTE(SUBSTITUTE(LOWER(I21&amp;""),CHAR(10),""),CHAR(13),""),CHAR(9),""),CHAR(160),"")," ",""),".",""),"-",""),"/",""),"?",""),"_",""),",",""),"[",""),"]",""),"(",""),")",""),"*",""))&gt;=5,NOT(ISNUMBER(MATCH(LEFT(SUBSTITUTE(SUBSTITUTE(SUBSTITUTE(SUBSTITUTE(SUBSTITUTE(SUBSTITUTE(SUBSTITUTE(SUBSTITUTE(SUBSTITUTE(SUBSTITUTE(SUBSTITUTE(SUBSTITUTE(SUBSTITUTE(SUBSTITUTE(SUBSTITUTE(SUBSTITUTE(LOWER(I21&amp;""),CHAR(10),""),CHAR(13),""),CHAR(9),""),CHAR(160),"")," ",""),".",""),"-",""),"/",""),"?",""),"_",""),",",""),"[",""),"]",""),"(",""),")",""),"*",""),255),L_Placeholder,0)))),OR(SUMPRODUCT(--ISNUMBER(SEARCH({"aa000"," aa 000"," aaa 000"," aaaa 000"," a 0000"," a000 000"," aa 00 000"," aaa 00 000"},S21)))&gt;0,SUMPRODUCT(--ISNUMBER(SEARCH({"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21)))&gt;0,SUMPRODUCT(--ISNUMBER(SEARCH({"http","www.","\",".pdf",".jpg",".jpeg",".png",".heic",".xls",".doc",".msg",".eml"},I21)))&gt;0,AND(SUMPRODUCT(--ISNUMBER(SEARCH({"sharepoint","onedrive","teams","dms","q-pulse","qpulse"},I21)))&gt;0,ISNUMBER(SEARCH("0",R21)))),NOT(SUMPRODUCT((LEN(X21)-LEN(SUBSTITUTE(X21," "&amp;L_PendStrict&amp;" "," ")))/(LEN(L_PendStrict)+1))&gt;SUMPRODUCT((LEN(X21)-LEN(SUBSTITUTE(X21," "&amp;L_PendNeg&amp;" "," ")))/(LEN(L_PendNeg)+1)))),"ON FILE","OUTSTANDING"),"OUTSTANDING")</f>
        <v>OUTSTANDING</v>
      </c>
      <c r="K21" s="60"/>
      <c r="L21" s="60"/>
      <c r="M21" s="72"/>
      <c r="N21" s="60"/>
      <c r="O21" s="73" t="str">
        <f aca="false">IFERROR(IF(AND(AND(LEN(SUBSTITUTE(SUBSTITUTE(SUBSTITUTE(SUBSTITUTE(SUBSTITUTE(SUBSTITUTE(SUBSTITUTE(SUBSTITUTE(SUBSTITUTE(SUBSTITUTE(SUBSTITUTE(SUBSTITUTE(SUBSTITUTE(SUBSTITUTE(SUBSTITUTE(SUBSTITUTE(LOWER(K21&amp;""),CHAR(10),""),CHAR(13),""),CHAR(9),""),CHAR(160),"")," ",""),".",""),"-",""),"/",""),"?",""),"_",""),",",""),"[",""),"]",""),"(",""),")",""),"*",""))&gt;=3,NOT(ISNUMBER(MATCH(LEFT(SUBSTITUTE(SUBSTITUTE(SUBSTITUTE(SUBSTITUTE(SUBSTITUTE(SUBSTITUTE(SUBSTITUTE(SUBSTITUTE(SUBSTITUTE(SUBSTITUTE(SUBSTITUTE(SUBSTITUTE(SUBSTITUTE(SUBSTITUTE(SUBSTITUTE(SUBSTITUTE(LOWER(K21&amp;""),CHAR(10),""),CHAR(13),""),CHAR(9),""),CHAR(160),"")," ",""),".",""),"-",""),"/",""),"?",""),"_",""),",",""),"[",""),"]",""),"(",""),")",""),"*",""),255),L_Placeholder,0)))),AND(SUMPRODUCT(--ISNUMBER(FIND({"0","1","2","3","4","5","6","7","8","9"},K21)))&gt;0,LOWER(TRIM(K21))&lt;&gt;LOWER(Flights!$F$21),NOT(AND(LEFT(LOWER(TRIM(K21)),2)="mh",ISNUMBER(--MID(TRIM(K21),3,6))))),AND(LEN(SUBSTITUTE(SUBSTITUTE(SUBSTITUTE(SUBSTITUTE(SUBSTITUTE(SUBSTITUTE(SUBSTITUTE(SUBSTITUTE(SUBSTITUTE(SUBSTITUTE(SUBSTITUTE(SUBSTITUTE(SUBSTITUTE(SUBSTITUTE(SUBSTITUTE(SUBSTITUTE(LOWER(L21&amp;""),CHAR(10),""),CHAR(13),""),CHAR(9),""),CHAR(160),"")," ",""),".",""),"-",""),"/",""),"?",""),"_",""),",",""),"[",""),"]",""),"(",""),")",""),"*",""))&gt;=1,NOT(ISNUMBER(MATCH(LEFT(SUBSTITUTE(SUBSTITUTE(SUBSTITUTE(SUBSTITUTE(SUBSTITUTE(SUBSTITUTE(SUBSTITUTE(SUBSTITUTE(SUBSTITUTE(SUBSTITUTE(SUBSTITUTE(SUBSTITUTE(SUBSTITUTE(SUBSTITUTE(SUBSTITUTE(SUBSTITUTE(LOWER(L21&amp;""),CHAR(10),""),CHAR(13),""),CHAR(9),""),CHAR(160),"")," ",""),".",""),"-",""),"/",""),"?",""),"_",""),",",""),"[",""),"]",""),"(",""),")",""),"*",""),255),L_Placeholder,0)))),ISNUMBER(M21),M21&gt;=DATE(2020,1,1),M21&lt;=Flights!$D$21,AND(LEN(SUBSTITUTE(SUBSTITUTE(SUBSTITUTE(SUBSTITUTE(SUBSTITUTE(SUBSTITUTE(SUBSTITUTE(SUBSTITUTE(SUBSTITUTE(SUBSTITUTE(SUBSTITUTE(SUBSTITUTE(SUBSTITUTE(SUBSTITUTE(SUBSTITUTE(SUBSTITUTE(LOWER(N21&amp;""),CHAR(10),""),CHAR(13),""),CHAR(9),""),CHAR(160),"")," ",""),".",""),"-",""),"/",""),"?",""),"_",""),",",""),"[",""),"]",""),"(",""),")",""),"*",""))&gt;=5,NOT(ISNUMBER(MATCH(LEFT(SUBSTITUTE(SUBSTITUTE(SUBSTITUTE(SUBSTITUTE(SUBSTITUTE(SUBSTITUTE(SUBSTITUTE(SUBSTITUTE(SUBSTITUTE(SUBSTITUTE(SUBSTITUTE(SUBSTITUTE(SUBSTITUTE(SUBSTITUTE(SUBSTITUTE(SUBSTITUTE(LOWER(N21&amp;""),CHAR(10),""),CHAR(13),""),CHAR(9),""),CHAR(160),"")," ",""),".",""),"-",""),"/",""),"?",""),"_",""),",",""),"[",""),"]",""),"(",""),")",""),"*",""),255),L_Placeholder,0)))),OR(SUMPRODUCT(--ISNUMBER(SEARCH({"aa000"," aa 000"," aaa 000"," aaaa 000"," a 0000"," a000 000"," aa 00 000"," aaa 00 000"},U21)))&gt;0,SUMPRODUCT(--ISNUMBER(SEARCH({"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21)))&gt;0,SUMPRODUCT(--ISNUMBER(SEARCH({"http","www.","\",".pdf",".jpg",".jpeg",".png",".heic",".xls",".doc",".msg",".eml"},N21)))&gt;0,AND(SUMPRODUCT(--ISNUMBER(SEARCH({"sharepoint","onedrive","teams","dms","q-pulse","qpulse"},N21)))&gt;0,ISNUMBER(SEARCH("0",T21)))),NOT(SUMPRODUCT((LEN(Y21)-LEN(SUBSTITUTE(Y21," "&amp;L_PendStrict&amp;" "," ")))/(LEN(L_PendStrict)+1))&gt;SUMPRODUCT((LEN(Y21)-LEN(SUBSTITUTE(Y21," "&amp;L_PendNeg&amp;" "," ")))/(LEN(L_PendNeg)+1)))),"ON FILE","OUTSTANDING"),"OUTSTANDING")</f>
        <v>OUTSTANDING</v>
      </c>
      <c r="P21" s="74" t="n">
        <f aca="false">(J21="OUTSTANDING")+(O21="OUTSTANDING")</f>
        <v>2</v>
      </c>
      <c r="Q21" s="57" t="s">
        <v>1496</v>
      </c>
      <c r="R21" s="0" t="str">
        <f aca="false">SUBSTITUTE(SUBSTITUTE(SUBSTITUTE(SUBSTITUTE(SUBSTITUTE(SUBSTITUTE(SUBSTITUTE(SUBSTITUTE(SUBSTITUTE(LOWER(AB21&amp;""),"1","0"),"2","0"),"3","0"),"4","0"),"5","0"),"6","0"),"7","0"),"8","0"),"9","0")</f>
        <v>  </v>
      </c>
      <c r="S21" s="0" t="str">
        <f aca="false">SUBSTITUTE(SUBSTITUTE(SUBSTITUTE(SUBSTITUTE(SUBSTITUTE(SUBSTITUTE(SUBSTITUTE(SUBSTITUTE(SUBSTITUTE(SUBSTITUTE(SUBSTITUTE(SUBSTITUTE(SUBSTITUTE(SUBSTITUTE(SUBSTITUTE(SUBSTITUTE(SUBSTITUTE(SUBSTITUTE(SUBSTITUTE(SUBSTITUTE(SUBSTITUTE(SUBSTITUTE(SUBSTITUTE(SUBSTITUTE(SUBSTITUTE(R21,"b","a"),"c","a"),"d","a"),"e","a"),"f","a"),"g","a"),"h","a"),"i","a"),"j","a"),"k","a"),"l","a"),"m","a"),"n","a"),"o","a"),"p","a"),"q","a"),"r","a"),"s","a"),"t","a"),"u","a"),"v","a"),"w","a"),"x","a"),"y","a"),"z","a")</f>
        <v>  </v>
      </c>
      <c r="T21" s="0" t="str">
        <f aca="false">SUBSTITUTE(SUBSTITUTE(SUBSTITUTE(SUBSTITUTE(SUBSTITUTE(SUBSTITUTE(SUBSTITUTE(SUBSTITUTE(SUBSTITUTE(LOWER(AC21&amp;""),"1","0"),"2","0"),"3","0"),"4","0"),"5","0"),"6","0"),"7","0"),"8","0"),"9","0")</f>
        <v>  </v>
      </c>
      <c r="U21" s="0" t="str">
        <f aca="false">SUBSTITUTE(SUBSTITUTE(SUBSTITUTE(SUBSTITUTE(SUBSTITUTE(SUBSTITUTE(SUBSTITUTE(SUBSTITUTE(SUBSTITUTE(SUBSTITUTE(SUBSTITUTE(SUBSTITUTE(SUBSTITUTE(SUBSTITUTE(SUBSTITUTE(SUBSTITUTE(SUBSTITUTE(SUBSTITUTE(SUBSTITUTE(SUBSTITUTE(SUBSTITUTE(SUBSTITUTE(SUBSTITUTE(SUBSTITUTE(SUBSTITUTE(T21,"b","a"),"c","a"),"d","a"),"e","a"),"f","a"),"g","a"),"h","a"),"i","a"),"j","a"),"k","a"),"l","a"),"m","a"),"n","a"),"o","a"),"p","a"),"q","a"),"r","a"),"s","a"),"t","a"),"u","a"),"v","a"),"w","a"),"x","a"),"y","a"),"z","a")</f>
        <v>  </v>
      </c>
      <c r="V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21," "&amp;LOWER(Flights!$F$21)&amp;" "," ~ ")," mh"," ~")," at "," ~ ")," by "," ~ ")," on "," ~ ")," to "," ~ ")," from "," ~ ")," until "," ~ ")," till "," ~ ")," before "," ~ ")," after "," ~ ")," around "," ~ ")," approx "," ~ ")," about "," ~ ")," since "," ~ ")," hrs "," ~ ")," hr "," ~ ")," hours "," ~ ")," time "," ~ ")," jan "," ~ ")," feb "," ~ ")," mar "," ~ ")," apr "," ~ ")," may "," ~ ")," jun "," ~ ")," jul "," ~ ")," aug "," ~ ")," sep "," ~ ")," sept "," ~ ")," oct "," ~ ")</f>
        <v>  </v>
      </c>
      <c r="W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21," "&amp;LOWER(Flights!$F$21)&amp;" "," ~ ")," mh"," ~")," at "," ~ ")," by "," ~ ")," on "," ~ ")," to "," ~ ")," from "," ~ ")," until "," ~ ")," till "," ~ ")," before "," ~ ")," after "," ~ ")," around "," ~ ")," approx "," ~ ")," about "," ~ ")," since "," ~ ")," hrs "," ~ ")," hr "," ~ ")," hours "," ~ ")," time "," ~ ")," jan "," ~ ")," feb "," ~ ")," mar "," ~ ")," apr "," ~ ")," may "," ~ ")," jun "," ~ ")," jul "," ~ ")," aug "," ~ ")," sep "," ~ ")," sept "," ~ ")," oct "," ~ ")</f>
        <v>  </v>
      </c>
      <c r="X21" s="0" t="str">
        <f aca="false">" "&amp;TRIM(SUBSTITUTE(SUBSTITUTE(SUBSTITUTE(SUBSTITUTE(SUBSTITUTE(SUBSTITUTE(SUBSTITUTE(SUBSTITUTE(SUBSTITUTE(SUBSTITUTE(SUBSTITUTE(SUBSTITUTE(SUBSTITUTE(SUBSTITUTE(SUBSTITUTE(SUBSTITUTE(SUBSTITUTE(SUBSTITUTE(SUBSTITUTE(SUBSTITUTE(SUBSTITUTE(SUBSTITUTE(SUBSTITUTE(SUBSTITUTE(LOWER(I21&amp;""),CHAR(10)," "),CHAR(13)," "),CHAR(9)," "),CHAR(160)," "),"."," "),","," "),"-"," "),"/"," "),"("," "),")"," "),":"," "),";"," "),"_"," "),"–"," "),"?"," "),"!"," "),"*"," "),"["," "),"]"," "),"'"," "),"#"," "),"+"," "),"&amp;"," "),"\"," "))&amp;" "</f>
        <v>  </v>
      </c>
      <c r="Y21" s="0" t="str">
        <f aca="false">" "&amp;TRIM(SUBSTITUTE(SUBSTITUTE(SUBSTITUTE(SUBSTITUTE(SUBSTITUTE(SUBSTITUTE(SUBSTITUTE(SUBSTITUTE(SUBSTITUTE(SUBSTITUTE(SUBSTITUTE(SUBSTITUTE(SUBSTITUTE(SUBSTITUTE(SUBSTITUTE(SUBSTITUTE(SUBSTITUTE(SUBSTITUTE(SUBSTITUTE(SUBSTITUTE(SUBSTITUTE(SUBSTITUTE(SUBSTITUTE(SUBSTITUTE(LOWER(N21&amp;""),CHAR(10)," "),CHAR(13)," "),CHAR(9)," "),CHAR(160)," "),"."," "),","," "),"-"," "),"/"," "),"("," "),")"," "),":"," "),";"," "),"_"," "),"–"," "),"?"," "),"!"," "),"*"," "),"["," "),"]"," "),"'"," "),"#"," "),"+"," "),"&amp;"," "),"\"," "))&amp;" "</f>
        <v>  </v>
      </c>
      <c r="Z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21,"jan","~"),"feb","~"),"mar","~"),"apr","~"),"may","~"),"jun","~"),"jul","~"),"aug","~"),"sep","~"),"oct","~"),"nov","~"),"dec","~")," nov "," ~ ")," dec "," ~ ")," mon "," ~ ")," tue "," ~ ")," wed "," ~ ")," thu "," ~ ")," fri "," ~ ")," sat "," ~ ")," sun "," ~ ")," gate "," ~ ")," bay "," ~ ")," stand "," ~ ")," position "," ~ ")," galley "," ~ ")," flight "," ~ ")," flt "," ~ ")," day "," ~ ")," date "," ~ ")," dated "," ~ ")," the "," ~ ")," and "," ~ ")," of "," ~ ")," in "," ~ ")," for "," ~ ")," with "," ~ ")</f>
        <v>  </v>
      </c>
      <c r="AA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21,"jan","~"),"feb","~"),"mar","~"),"apr","~"),"may","~"),"jun","~"),"jul","~"),"aug","~"),"sep","~"),"oct","~"),"nov","~"),"dec","~")," nov "," ~ ")," dec "," ~ ")," mon "," ~ ")," tue "," ~ ")," wed "," ~ ")," thu "," ~ ")," fri "," ~ ")," sat "," ~ ")," sun "," ~ ")," gate "," ~ ")," bay "," ~ ")," stand "," ~ ")," position "," ~ ")," galley "," ~ ")," flight "," ~ ")," flt "," ~ ")," day "," ~ ")," date "," ~ ")," dated "," ~ ")," the "," ~ ")," and "," ~ ")," of "," ~ ")," in "," ~ ")," for "," ~ ")," with "," ~ ")</f>
        <v>  </v>
      </c>
      <c r="AB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21," pax "," ~ ")," etd "," ~ ")," eta "," ~ ")," std "," ~ ")," sta "," ~ ")," atd "," ~ ")," ata "," ~ ")," lt "," ~ ")," utc "," ~ ")," local "," ~ ")," ok "," ~ ")," done "," ~ ")," seen "," ~ ")," chk "," ~ ")," chkd "," ~ ")," checked "," ~ ")," rcvd "," ~ ")," recd "," ~ ")," dep "," ~ ")," arr "," ~ ")," qty "," ~ ")," all "," ~ ")," ttl "," ~ ")," total "," ~ ")," via "," ~ ")," per "," ~ ")," call "," ~ ")," inbound "," ~ ")," outbound "," ~ ")," approx "," ~ ")</f>
        <v>  </v>
      </c>
      <c r="AC21"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21," pax "," ~ ")," etd "," ~ ")," eta "," ~ ")," std "," ~ ")," sta "," ~ ")," atd "," ~ ")," ata "," ~ ")," lt "," ~ ")," utc "," ~ ")," local "," ~ ")," ok "," ~ ")," done "," ~ ")," seen "," ~ ")," chk "," ~ ")," chkd "," ~ ")," checked "," ~ ")," rcvd "," ~ ")," recd "," ~ ")," dep "," ~ ")," arr "," ~ ")," qty "," ~ ")," all "," ~ ")," ttl "," ~ ")," total "," ~ ")," via "," ~ ")," per "," ~ ")," call "," ~ ")," inbound "," ~ ")," outbound "," ~ ")," approx "," ~ ")</f>
        <v>  </v>
      </c>
    </row>
    <row r="22" customFormat="false" ht="30" hidden="false" customHeight="true" outlineLevel="0" collapsed="false">
      <c r="A22" s="70" t="s">
        <v>293</v>
      </c>
      <c r="B22" s="57" t="str">
        <f aca="false">Flights!F22</f>
        <v>MH0052</v>
      </c>
      <c r="C22" s="71" t="n">
        <f aca="false">Flights!D22</f>
        <v>46322</v>
      </c>
      <c r="D22" s="70" t="str">
        <f aca="false">Flights!G22&amp;"-"&amp;Flights!H22</f>
        <v>KUL-KIX</v>
      </c>
      <c r="E22" s="70" t="str">
        <f aca="false">Flights!L22</f>
        <v>A333</v>
      </c>
      <c r="F22" s="60"/>
      <c r="G22" s="60"/>
      <c r="H22" s="72"/>
      <c r="I22" s="60"/>
      <c r="J22" s="73" t="str">
        <f aca="false">IFERROR(IF(AND(AND(LEN(SUBSTITUTE(SUBSTITUTE(SUBSTITUTE(SUBSTITUTE(SUBSTITUTE(SUBSTITUTE(SUBSTITUTE(SUBSTITUTE(SUBSTITUTE(SUBSTITUTE(SUBSTITUTE(SUBSTITUTE(SUBSTITUTE(SUBSTITUTE(SUBSTITUTE(SUBSTITUTE(LOWER(F22&amp;""),CHAR(10),""),CHAR(13),""),CHAR(9),""),CHAR(160),"")," ",""),".",""),"-",""),"/",""),"?",""),"_",""),",",""),"[",""),"]",""),"(",""),")",""),"*",""))&gt;=3,NOT(ISNUMBER(MATCH(LEFT(SUBSTITUTE(SUBSTITUTE(SUBSTITUTE(SUBSTITUTE(SUBSTITUTE(SUBSTITUTE(SUBSTITUTE(SUBSTITUTE(SUBSTITUTE(SUBSTITUTE(SUBSTITUTE(SUBSTITUTE(SUBSTITUTE(SUBSTITUTE(SUBSTITUTE(SUBSTITUTE(LOWER(F22&amp;""),CHAR(10),""),CHAR(13),""),CHAR(9),""),CHAR(160),"")," ",""),".",""),"-",""),"/",""),"?",""),"_",""),",",""),"[",""),"]",""),"(",""),")",""),"*",""),255),L_Placeholder,0)))),AND(SUMPRODUCT(--ISNUMBER(FIND({"0","1","2","3","4","5","6","7","8","9"},F22)))&gt;0,LOWER(TRIM(F22))&lt;&gt;LOWER(Flights!$F$22),NOT(AND(LEFT(LOWER(TRIM(F22)),2)="mh",ISNUMBER(--MID(TRIM(F22),3,6))))),AND(LEN(SUBSTITUTE(SUBSTITUTE(SUBSTITUTE(SUBSTITUTE(SUBSTITUTE(SUBSTITUTE(SUBSTITUTE(SUBSTITUTE(SUBSTITUTE(SUBSTITUTE(SUBSTITUTE(SUBSTITUTE(SUBSTITUTE(SUBSTITUTE(SUBSTITUTE(SUBSTITUTE(LOWER(G22&amp;""),CHAR(10),""),CHAR(13),""),CHAR(9),""),CHAR(160),"")," ",""),".",""),"-",""),"/",""),"?",""),"_",""),",",""),"[",""),"]",""),"(",""),")",""),"*",""))&gt;=1,NOT(ISNUMBER(MATCH(LEFT(SUBSTITUTE(SUBSTITUTE(SUBSTITUTE(SUBSTITUTE(SUBSTITUTE(SUBSTITUTE(SUBSTITUTE(SUBSTITUTE(SUBSTITUTE(SUBSTITUTE(SUBSTITUTE(SUBSTITUTE(SUBSTITUTE(SUBSTITUTE(SUBSTITUTE(SUBSTITUTE(LOWER(G22&amp;""),CHAR(10),""),CHAR(13),""),CHAR(9),""),CHAR(160),"")," ",""),".",""),"-",""),"/",""),"?",""),"_",""),",",""),"[",""),"]",""),"(",""),")",""),"*",""),255),L_Placeholder,0)))),ISNUMBER(H22),H22&gt;=DATE(2020,1,1),H22&lt;=Flights!$D$22,AND(LEN(SUBSTITUTE(SUBSTITUTE(SUBSTITUTE(SUBSTITUTE(SUBSTITUTE(SUBSTITUTE(SUBSTITUTE(SUBSTITUTE(SUBSTITUTE(SUBSTITUTE(SUBSTITUTE(SUBSTITUTE(SUBSTITUTE(SUBSTITUTE(SUBSTITUTE(SUBSTITUTE(LOWER(I22&amp;""),CHAR(10),""),CHAR(13),""),CHAR(9),""),CHAR(160),"")," ",""),".",""),"-",""),"/",""),"?",""),"_",""),",",""),"[",""),"]",""),"(",""),")",""),"*",""))&gt;=5,NOT(ISNUMBER(MATCH(LEFT(SUBSTITUTE(SUBSTITUTE(SUBSTITUTE(SUBSTITUTE(SUBSTITUTE(SUBSTITUTE(SUBSTITUTE(SUBSTITUTE(SUBSTITUTE(SUBSTITUTE(SUBSTITUTE(SUBSTITUTE(SUBSTITUTE(SUBSTITUTE(SUBSTITUTE(SUBSTITUTE(LOWER(I22&amp;""),CHAR(10),""),CHAR(13),""),CHAR(9),""),CHAR(160),"")," ",""),".",""),"-",""),"/",""),"?",""),"_",""),",",""),"[",""),"]",""),"(",""),")",""),"*",""),255),L_Placeholder,0)))),OR(SUMPRODUCT(--ISNUMBER(SEARCH({"aa000"," aa 000"," aaa 000"," aaaa 000"," a 0000"," a000 000"," aa 00 000"," aaa 00 000"},S22)))&gt;0,SUMPRODUCT(--ISNUMBER(SEARCH({"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22)))&gt;0,SUMPRODUCT(--ISNUMBER(SEARCH({"http","www.","\",".pdf",".jpg",".jpeg",".png",".heic",".xls",".doc",".msg",".eml"},I22)))&gt;0,AND(SUMPRODUCT(--ISNUMBER(SEARCH({"sharepoint","onedrive","teams","dms","q-pulse","qpulse"},I22)))&gt;0,ISNUMBER(SEARCH("0",R22)))),NOT(SUMPRODUCT((LEN(X22)-LEN(SUBSTITUTE(X22," "&amp;L_PendStrict&amp;" "," ")))/(LEN(L_PendStrict)+1))&gt;SUMPRODUCT((LEN(X22)-LEN(SUBSTITUTE(X22," "&amp;L_PendNeg&amp;" "," ")))/(LEN(L_PendNeg)+1)))),"ON FILE","OUTSTANDING"),"OUTSTANDING")</f>
        <v>OUTSTANDING</v>
      </c>
      <c r="K22" s="60"/>
      <c r="L22" s="60"/>
      <c r="M22" s="72"/>
      <c r="N22" s="60"/>
      <c r="O22" s="73" t="str">
        <f aca="false">IFERROR(IF(AND(AND(LEN(SUBSTITUTE(SUBSTITUTE(SUBSTITUTE(SUBSTITUTE(SUBSTITUTE(SUBSTITUTE(SUBSTITUTE(SUBSTITUTE(SUBSTITUTE(SUBSTITUTE(SUBSTITUTE(SUBSTITUTE(SUBSTITUTE(SUBSTITUTE(SUBSTITUTE(SUBSTITUTE(LOWER(K22&amp;""),CHAR(10),""),CHAR(13),""),CHAR(9),""),CHAR(160),"")," ",""),".",""),"-",""),"/",""),"?",""),"_",""),",",""),"[",""),"]",""),"(",""),")",""),"*",""))&gt;=3,NOT(ISNUMBER(MATCH(LEFT(SUBSTITUTE(SUBSTITUTE(SUBSTITUTE(SUBSTITUTE(SUBSTITUTE(SUBSTITUTE(SUBSTITUTE(SUBSTITUTE(SUBSTITUTE(SUBSTITUTE(SUBSTITUTE(SUBSTITUTE(SUBSTITUTE(SUBSTITUTE(SUBSTITUTE(SUBSTITUTE(LOWER(K22&amp;""),CHAR(10),""),CHAR(13),""),CHAR(9),""),CHAR(160),"")," ",""),".",""),"-",""),"/",""),"?",""),"_",""),",",""),"[",""),"]",""),"(",""),")",""),"*",""),255),L_Placeholder,0)))),AND(SUMPRODUCT(--ISNUMBER(FIND({"0","1","2","3","4","5","6","7","8","9"},K22)))&gt;0,LOWER(TRIM(K22))&lt;&gt;LOWER(Flights!$F$22),NOT(AND(LEFT(LOWER(TRIM(K22)),2)="mh",ISNUMBER(--MID(TRIM(K22),3,6))))),AND(LEN(SUBSTITUTE(SUBSTITUTE(SUBSTITUTE(SUBSTITUTE(SUBSTITUTE(SUBSTITUTE(SUBSTITUTE(SUBSTITUTE(SUBSTITUTE(SUBSTITUTE(SUBSTITUTE(SUBSTITUTE(SUBSTITUTE(SUBSTITUTE(SUBSTITUTE(SUBSTITUTE(LOWER(L22&amp;""),CHAR(10),""),CHAR(13),""),CHAR(9),""),CHAR(160),"")," ",""),".",""),"-",""),"/",""),"?",""),"_",""),",",""),"[",""),"]",""),"(",""),")",""),"*",""))&gt;=1,NOT(ISNUMBER(MATCH(LEFT(SUBSTITUTE(SUBSTITUTE(SUBSTITUTE(SUBSTITUTE(SUBSTITUTE(SUBSTITUTE(SUBSTITUTE(SUBSTITUTE(SUBSTITUTE(SUBSTITUTE(SUBSTITUTE(SUBSTITUTE(SUBSTITUTE(SUBSTITUTE(SUBSTITUTE(SUBSTITUTE(LOWER(L22&amp;""),CHAR(10),""),CHAR(13),""),CHAR(9),""),CHAR(160),"")," ",""),".",""),"-",""),"/",""),"?",""),"_",""),",",""),"[",""),"]",""),"(",""),")",""),"*",""),255),L_Placeholder,0)))),ISNUMBER(M22),M22&gt;=DATE(2020,1,1),M22&lt;=Flights!$D$22,AND(LEN(SUBSTITUTE(SUBSTITUTE(SUBSTITUTE(SUBSTITUTE(SUBSTITUTE(SUBSTITUTE(SUBSTITUTE(SUBSTITUTE(SUBSTITUTE(SUBSTITUTE(SUBSTITUTE(SUBSTITUTE(SUBSTITUTE(SUBSTITUTE(SUBSTITUTE(SUBSTITUTE(LOWER(N22&amp;""),CHAR(10),""),CHAR(13),""),CHAR(9),""),CHAR(160),"")," ",""),".",""),"-",""),"/",""),"?",""),"_",""),",",""),"[",""),"]",""),"(",""),")",""),"*",""))&gt;=5,NOT(ISNUMBER(MATCH(LEFT(SUBSTITUTE(SUBSTITUTE(SUBSTITUTE(SUBSTITUTE(SUBSTITUTE(SUBSTITUTE(SUBSTITUTE(SUBSTITUTE(SUBSTITUTE(SUBSTITUTE(SUBSTITUTE(SUBSTITUTE(SUBSTITUTE(SUBSTITUTE(SUBSTITUTE(SUBSTITUTE(LOWER(N22&amp;""),CHAR(10),""),CHAR(13),""),CHAR(9),""),CHAR(160),"")," ",""),".",""),"-",""),"/",""),"?",""),"_",""),",",""),"[",""),"]",""),"(",""),")",""),"*",""),255),L_Placeholder,0)))),OR(SUMPRODUCT(--ISNUMBER(SEARCH({"aa000"," aa 000"," aaa 000"," aaaa 000"," a 0000"," a000 000"," aa 00 000"," aaa 00 000"},U22)))&gt;0,SUMPRODUCT(--ISNUMBER(SEARCH({"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22)))&gt;0,SUMPRODUCT(--ISNUMBER(SEARCH({"http","www.","\",".pdf",".jpg",".jpeg",".png",".heic",".xls",".doc",".msg",".eml"},N22)))&gt;0,AND(SUMPRODUCT(--ISNUMBER(SEARCH({"sharepoint","onedrive","teams","dms","q-pulse","qpulse"},N22)))&gt;0,ISNUMBER(SEARCH("0",T22)))),NOT(SUMPRODUCT((LEN(Y22)-LEN(SUBSTITUTE(Y22," "&amp;L_PendStrict&amp;" "," ")))/(LEN(L_PendStrict)+1))&gt;SUMPRODUCT((LEN(Y22)-LEN(SUBSTITUTE(Y22," "&amp;L_PendNeg&amp;" "," ")))/(LEN(L_PendNeg)+1)))),"ON FILE","OUTSTANDING"),"OUTSTANDING")</f>
        <v>OUTSTANDING</v>
      </c>
      <c r="P22" s="74" t="n">
        <f aca="false">(J22="OUTSTANDING")+(O22="OUTSTANDING")</f>
        <v>2</v>
      </c>
      <c r="Q22" s="57" t="s">
        <v>1496</v>
      </c>
      <c r="R22" s="0" t="str">
        <f aca="false">SUBSTITUTE(SUBSTITUTE(SUBSTITUTE(SUBSTITUTE(SUBSTITUTE(SUBSTITUTE(SUBSTITUTE(SUBSTITUTE(SUBSTITUTE(LOWER(AB22&amp;""),"1","0"),"2","0"),"3","0"),"4","0"),"5","0"),"6","0"),"7","0"),"8","0"),"9","0")</f>
        <v>  </v>
      </c>
      <c r="S22" s="0" t="str">
        <f aca="false">SUBSTITUTE(SUBSTITUTE(SUBSTITUTE(SUBSTITUTE(SUBSTITUTE(SUBSTITUTE(SUBSTITUTE(SUBSTITUTE(SUBSTITUTE(SUBSTITUTE(SUBSTITUTE(SUBSTITUTE(SUBSTITUTE(SUBSTITUTE(SUBSTITUTE(SUBSTITUTE(SUBSTITUTE(SUBSTITUTE(SUBSTITUTE(SUBSTITUTE(SUBSTITUTE(SUBSTITUTE(SUBSTITUTE(SUBSTITUTE(SUBSTITUTE(R22,"b","a"),"c","a"),"d","a"),"e","a"),"f","a"),"g","a"),"h","a"),"i","a"),"j","a"),"k","a"),"l","a"),"m","a"),"n","a"),"o","a"),"p","a"),"q","a"),"r","a"),"s","a"),"t","a"),"u","a"),"v","a"),"w","a"),"x","a"),"y","a"),"z","a")</f>
        <v>  </v>
      </c>
      <c r="T22" s="0" t="str">
        <f aca="false">SUBSTITUTE(SUBSTITUTE(SUBSTITUTE(SUBSTITUTE(SUBSTITUTE(SUBSTITUTE(SUBSTITUTE(SUBSTITUTE(SUBSTITUTE(LOWER(AC22&amp;""),"1","0"),"2","0"),"3","0"),"4","0"),"5","0"),"6","0"),"7","0"),"8","0"),"9","0")</f>
        <v>  </v>
      </c>
      <c r="U22" s="0" t="str">
        <f aca="false">SUBSTITUTE(SUBSTITUTE(SUBSTITUTE(SUBSTITUTE(SUBSTITUTE(SUBSTITUTE(SUBSTITUTE(SUBSTITUTE(SUBSTITUTE(SUBSTITUTE(SUBSTITUTE(SUBSTITUTE(SUBSTITUTE(SUBSTITUTE(SUBSTITUTE(SUBSTITUTE(SUBSTITUTE(SUBSTITUTE(SUBSTITUTE(SUBSTITUTE(SUBSTITUTE(SUBSTITUTE(SUBSTITUTE(SUBSTITUTE(SUBSTITUTE(T22,"b","a"),"c","a"),"d","a"),"e","a"),"f","a"),"g","a"),"h","a"),"i","a"),"j","a"),"k","a"),"l","a"),"m","a"),"n","a"),"o","a"),"p","a"),"q","a"),"r","a"),"s","a"),"t","a"),"u","a"),"v","a"),"w","a"),"x","a"),"y","a"),"z","a")</f>
        <v>  </v>
      </c>
      <c r="V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22," "&amp;LOWER(Flights!$F$22)&amp;" "," ~ ")," mh"," ~")," at "," ~ ")," by "," ~ ")," on "," ~ ")," to "," ~ ")," from "," ~ ")," until "," ~ ")," till "," ~ ")," before "," ~ ")," after "," ~ ")," around "," ~ ")," approx "," ~ ")," about "," ~ ")," since "," ~ ")," hrs "," ~ ")," hr "," ~ ")," hours "," ~ ")," time "," ~ ")," jan "," ~ ")," feb "," ~ ")," mar "," ~ ")," apr "," ~ ")," may "," ~ ")," jun "," ~ ")," jul "," ~ ")," aug "," ~ ")," sep "," ~ ")," sept "," ~ ")," oct "," ~ ")</f>
        <v>  </v>
      </c>
      <c r="W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22," "&amp;LOWER(Flights!$F$22)&amp;" "," ~ ")," mh"," ~")," at "," ~ ")," by "," ~ ")," on "," ~ ")," to "," ~ ")," from "," ~ ")," until "," ~ ")," till "," ~ ")," before "," ~ ")," after "," ~ ")," around "," ~ ")," approx "," ~ ")," about "," ~ ")," since "," ~ ")," hrs "," ~ ")," hr "," ~ ")," hours "," ~ ")," time "," ~ ")," jan "," ~ ")," feb "," ~ ")," mar "," ~ ")," apr "," ~ ")," may "," ~ ")," jun "," ~ ")," jul "," ~ ")," aug "," ~ ")," sep "," ~ ")," sept "," ~ ")," oct "," ~ ")</f>
        <v>  </v>
      </c>
      <c r="X22" s="0" t="str">
        <f aca="false">" "&amp;TRIM(SUBSTITUTE(SUBSTITUTE(SUBSTITUTE(SUBSTITUTE(SUBSTITUTE(SUBSTITUTE(SUBSTITUTE(SUBSTITUTE(SUBSTITUTE(SUBSTITUTE(SUBSTITUTE(SUBSTITUTE(SUBSTITUTE(SUBSTITUTE(SUBSTITUTE(SUBSTITUTE(SUBSTITUTE(SUBSTITUTE(SUBSTITUTE(SUBSTITUTE(SUBSTITUTE(SUBSTITUTE(SUBSTITUTE(SUBSTITUTE(LOWER(I22&amp;""),CHAR(10)," "),CHAR(13)," "),CHAR(9)," "),CHAR(160)," "),"."," "),","," "),"-"," "),"/"," "),"("," "),")"," "),":"," "),";"," "),"_"," "),"–"," "),"?"," "),"!"," "),"*"," "),"["," "),"]"," "),"'"," "),"#"," "),"+"," "),"&amp;"," "),"\"," "))&amp;" "</f>
        <v>  </v>
      </c>
      <c r="Y22" s="0" t="str">
        <f aca="false">" "&amp;TRIM(SUBSTITUTE(SUBSTITUTE(SUBSTITUTE(SUBSTITUTE(SUBSTITUTE(SUBSTITUTE(SUBSTITUTE(SUBSTITUTE(SUBSTITUTE(SUBSTITUTE(SUBSTITUTE(SUBSTITUTE(SUBSTITUTE(SUBSTITUTE(SUBSTITUTE(SUBSTITUTE(SUBSTITUTE(SUBSTITUTE(SUBSTITUTE(SUBSTITUTE(SUBSTITUTE(SUBSTITUTE(SUBSTITUTE(SUBSTITUTE(LOWER(N22&amp;""),CHAR(10)," "),CHAR(13)," "),CHAR(9)," "),CHAR(160)," "),"."," "),","," "),"-"," "),"/"," "),"("," "),")"," "),":"," "),";"," "),"_"," "),"–"," "),"?"," "),"!"," "),"*"," "),"["," "),"]"," "),"'"," "),"#"," "),"+"," "),"&amp;"," "),"\"," "))&amp;" "</f>
        <v>  </v>
      </c>
      <c r="Z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22,"jan","~"),"feb","~"),"mar","~"),"apr","~"),"may","~"),"jun","~"),"jul","~"),"aug","~"),"sep","~"),"oct","~"),"nov","~"),"dec","~")," nov "," ~ ")," dec "," ~ ")," mon "," ~ ")," tue "," ~ ")," wed "," ~ ")," thu "," ~ ")," fri "," ~ ")," sat "," ~ ")," sun "," ~ ")," gate "," ~ ")," bay "," ~ ")," stand "," ~ ")," position "," ~ ")," galley "," ~ ")," flight "," ~ ")," flt "," ~ ")," day "," ~ ")," date "," ~ ")," dated "," ~ ")," the "," ~ ")," and "," ~ ")," of "," ~ ")," in "," ~ ")," for "," ~ ")," with "," ~ ")</f>
        <v>  </v>
      </c>
      <c r="AA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22,"jan","~"),"feb","~"),"mar","~"),"apr","~"),"may","~"),"jun","~"),"jul","~"),"aug","~"),"sep","~"),"oct","~"),"nov","~"),"dec","~")," nov "," ~ ")," dec "," ~ ")," mon "," ~ ")," tue "," ~ ")," wed "," ~ ")," thu "," ~ ")," fri "," ~ ")," sat "," ~ ")," sun "," ~ ")," gate "," ~ ")," bay "," ~ ")," stand "," ~ ")," position "," ~ ")," galley "," ~ ")," flight "," ~ ")," flt "," ~ ")," day "," ~ ")," date "," ~ ")," dated "," ~ ")," the "," ~ ")," and "," ~ ")," of "," ~ ")," in "," ~ ")," for "," ~ ")," with "," ~ ")</f>
        <v>  </v>
      </c>
      <c r="AB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22," pax "," ~ ")," etd "," ~ ")," eta "," ~ ")," std "," ~ ")," sta "," ~ ")," atd "," ~ ")," ata "," ~ ")," lt "," ~ ")," utc "," ~ ")," local "," ~ ")," ok "," ~ ")," done "," ~ ")," seen "," ~ ")," chk "," ~ ")," chkd "," ~ ")," checked "," ~ ")," rcvd "," ~ ")," recd "," ~ ")," dep "," ~ ")," arr "," ~ ")," qty "," ~ ")," all "," ~ ")," ttl "," ~ ")," total "," ~ ")," via "," ~ ")," per "," ~ ")," call "," ~ ")," inbound "," ~ ")," outbound "," ~ ")," approx "," ~ ")</f>
        <v>  </v>
      </c>
      <c r="AC22"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22," pax "," ~ ")," etd "," ~ ")," eta "," ~ ")," std "," ~ ")," sta "," ~ ")," atd "," ~ ")," ata "," ~ ")," lt "," ~ ")," utc "," ~ ")," local "," ~ ")," ok "," ~ ")," done "," ~ ")," seen "," ~ ")," chk "," ~ ")," chkd "," ~ ")," checked "," ~ ")," rcvd "," ~ ")," recd "," ~ ")," dep "," ~ ")," arr "," ~ ")," qty "," ~ ")," all "," ~ ")," ttl "," ~ ")," total "," ~ ")," via "," ~ ")," per "," ~ ")," call "," ~ ")," inbound "," ~ ")," outbound "," ~ ")," approx "," ~ ")</f>
        <v>  </v>
      </c>
    </row>
    <row r="23" customFormat="false" ht="30" hidden="false" customHeight="true" outlineLevel="0" collapsed="false">
      <c r="A23" s="70" t="s">
        <v>301</v>
      </c>
      <c r="B23" s="57" t="str">
        <f aca="false">Flights!F23</f>
        <v>MH0053</v>
      </c>
      <c r="C23" s="71" t="n">
        <f aca="false">Flights!D23</f>
        <v>46324</v>
      </c>
      <c r="D23" s="70" t="str">
        <f aca="false">Flights!G23&amp;"-"&amp;Flights!H23</f>
        <v>KIX-KUL</v>
      </c>
      <c r="E23" s="70" t="str">
        <f aca="false">Flights!L23</f>
        <v>A333</v>
      </c>
      <c r="F23" s="60"/>
      <c r="G23" s="60"/>
      <c r="H23" s="72"/>
      <c r="I23" s="60"/>
      <c r="J23" s="73" t="str">
        <f aca="false">IFERROR(IF(AND(AND(LEN(SUBSTITUTE(SUBSTITUTE(SUBSTITUTE(SUBSTITUTE(SUBSTITUTE(SUBSTITUTE(SUBSTITUTE(SUBSTITUTE(SUBSTITUTE(SUBSTITUTE(SUBSTITUTE(SUBSTITUTE(SUBSTITUTE(SUBSTITUTE(SUBSTITUTE(SUBSTITUTE(LOWER(F23&amp;""),CHAR(10),""),CHAR(13),""),CHAR(9),""),CHAR(160),"")," ",""),".",""),"-",""),"/",""),"?",""),"_",""),",",""),"[",""),"]",""),"(",""),")",""),"*",""))&gt;=3,NOT(ISNUMBER(MATCH(LEFT(SUBSTITUTE(SUBSTITUTE(SUBSTITUTE(SUBSTITUTE(SUBSTITUTE(SUBSTITUTE(SUBSTITUTE(SUBSTITUTE(SUBSTITUTE(SUBSTITUTE(SUBSTITUTE(SUBSTITUTE(SUBSTITUTE(SUBSTITUTE(SUBSTITUTE(SUBSTITUTE(LOWER(F23&amp;""),CHAR(10),""),CHAR(13),""),CHAR(9),""),CHAR(160),"")," ",""),".",""),"-",""),"/",""),"?",""),"_",""),",",""),"[",""),"]",""),"(",""),")",""),"*",""),255),L_Placeholder,0)))),AND(SUMPRODUCT(--ISNUMBER(FIND({"0","1","2","3","4","5","6","7","8","9"},F23)))&gt;0,LOWER(TRIM(F23))&lt;&gt;LOWER(Flights!$F$23),NOT(AND(LEFT(LOWER(TRIM(F23)),2)="mh",ISNUMBER(--MID(TRIM(F23),3,6))))),AND(LEN(SUBSTITUTE(SUBSTITUTE(SUBSTITUTE(SUBSTITUTE(SUBSTITUTE(SUBSTITUTE(SUBSTITUTE(SUBSTITUTE(SUBSTITUTE(SUBSTITUTE(SUBSTITUTE(SUBSTITUTE(SUBSTITUTE(SUBSTITUTE(SUBSTITUTE(SUBSTITUTE(LOWER(G23&amp;""),CHAR(10),""),CHAR(13),""),CHAR(9),""),CHAR(160),"")," ",""),".",""),"-",""),"/",""),"?",""),"_",""),",",""),"[",""),"]",""),"(",""),")",""),"*",""))&gt;=1,NOT(ISNUMBER(MATCH(LEFT(SUBSTITUTE(SUBSTITUTE(SUBSTITUTE(SUBSTITUTE(SUBSTITUTE(SUBSTITUTE(SUBSTITUTE(SUBSTITUTE(SUBSTITUTE(SUBSTITUTE(SUBSTITUTE(SUBSTITUTE(SUBSTITUTE(SUBSTITUTE(SUBSTITUTE(SUBSTITUTE(LOWER(G23&amp;""),CHAR(10),""),CHAR(13),""),CHAR(9),""),CHAR(160),"")," ",""),".",""),"-",""),"/",""),"?",""),"_",""),",",""),"[",""),"]",""),"(",""),")",""),"*",""),255),L_Placeholder,0)))),ISNUMBER(H23),H23&gt;=DATE(2020,1,1),H23&lt;=Flights!$D$23,AND(LEN(SUBSTITUTE(SUBSTITUTE(SUBSTITUTE(SUBSTITUTE(SUBSTITUTE(SUBSTITUTE(SUBSTITUTE(SUBSTITUTE(SUBSTITUTE(SUBSTITUTE(SUBSTITUTE(SUBSTITUTE(SUBSTITUTE(SUBSTITUTE(SUBSTITUTE(SUBSTITUTE(LOWER(I23&amp;""),CHAR(10),""),CHAR(13),""),CHAR(9),""),CHAR(160),"")," ",""),".",""),"-",""),"/",""),"?",""),"_",""),",",""),"[",""),"]",""),"(",""),")",""),"*",""))&gt;=5,NOT(ISNUMBER(MATCH(LEFT(SUBSTITUTE(SUBSTITUTE(SUBSTITUTE(SUBSTITUTE(SUBSTITUTE(SUBSTITUTE(SUBSTITUTE(SUBSTITUTE(SUBSTITUTE(SUBSTITUTE(SUBSTITUTE(SUBSTITUTE(SUBSTITUTE(SUBSTITUTE(SUBSTITUTE(SUBSTITUTE(LOWER(I23&amp;""),CHAR(10),""),CHAR(13),""),CHAR(9),""),CHAR(160),"")," ",""),".",""),"-",""),"/",""),"?",""),"_",""),",",""),"[",""),"]",""),"(",""),")",""),"*",""),255),L_Placeholder,0)))),OR(SUMPRODUCT(--ISNUMBER(SEARCH({"aa000"," aa 000"," aaa 000"," aaaa 000"," a 0000"," a000 000"," aa 00 000"," aaa 00 000"},S23)))&gt;0,SUMPRODUCT(--ISNUMBER(SEARCH({"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23)))&gt;0,SUMPRODUCT(--ISNUMBER(SEARCH({"http","www.","\",".pdf",".jpg",".jpeg",".png",".heic",".xls",".doc",".msg",".eml"},I23)))&gt;0,AND(SUMPRODUCT(--ISNUMBER(SEARCH({"sharepoint","onedrive","teams","dms","q-pulse","qpulse"},I23)))&gt;0,ISNUMBER(SEARCH("0",R23)))),NOT(SUMPRODUCT((LEN(X23)-LEN(SUBSTITUTE(X23," "&amp;L_PendStrict&amp;" "," ")))/(LEN(L_PendStrict)+1))&gt;SUMPRODUCT((LEN(X23)-LEN(SUBSTITUTE(X23," "&amp;L_PendNeg&amp;" "," ")))/(LEN(L_PendNeg)+1)))),"ON FILE","OUTSTANDING"),"OUTSTANDING")</f>
        <v>OUTSTANDING</v>
      </c>
      <c r="K23" s="60"/>
      <c r="L23" s="60"/>
      <c r="M23" s="72"/>
      <c r="N23" s="60"/>
      <c r="O23" s="73" t="str">
        <f aca="false">IFERROR(IF(AND(AND(LEN(SUBSTITUTE(SUBSTITUTE(SUBSTITUTE(SUBSTITUTE(SUBSTITUTE(SUBSTITUTE(SUBSTITUTE(SUBSTITUTE(SUBSTITUTE(SUBSTITUTE(SUBSTITUTE(SUBSTITUTE(SUBSTITUTE(SUBSTITUTE(SUBSTITUTE(SUBSTITUTE(LOWER(K23&amp;""),CHAR(10),""),CHAR(13),""),CHAR(9),""),CHAR(160),"")," ",""),".",""),"-",""),"/",""),"?",""),"_",""),",",""),"[",""),"]",""),"(",""),")",""),"*",""))&gt;=3,NOT(ISNUMBER(MATCH(LEFT(SUBSTITUTE(SUBSTITUTE(SUBSTITUTE(SUBSTITUTE(SUBSTITUTE(SUBSTITUTE(SUBSTITUTE(SUBSTITUTE(SUBSTITUTE(SUBSTITUTE(SUBSTITUTE(SUBSTITUTE(SUBSTITUTE(SUBSTITUTE(SUBSTITUTE(SUBSTITUTE(LOWER(K23&amp;""),CHAR(10),""),CHAR(13),""),CHAR(9),""),CHAR(160),"")," ",""),".",""),"-",""),"/",""),"?",""),"_",""),",",""),"[",""),"]",""),"(",""),")",""),"*",""),255),L_Placeholder,0)))),AND(SUMPRODUCT(--ISNUMBER(FIND({"0","1","2","3","4","5","6","7","8","9"},K23)))&gt;0,LOWER(TRIM(K23))&lt;&gt;LOWER(Flights!$F$23),NOT(AND(LEFT(LOWER(TRIM(K23)),2)="mh",ISNUMBER(--MID(TRIM(K23),3,6))))),AND(LEN(SUBSTITUTE(SUBSTITUTE(SUBSTITUTE(SUBSTITUTE(SUBSTITUTE(SUBSTITUTE(SUBSTITUTE(SUBSTITUTE(SUBSTITUTE(SUBSTITUTE(SUBSTITUTE(SUBSTITUTE(SUBSTITUTE(SUBSTITUTE(SUBSTITUTE(SUBSTITUTE(LOWER(L23&amp;""),CHAR(10),""),CHAR(13),""),CHAR(9),""),CHAR(160),"")," ",""),".",""),"-",""),"/",""),"?",""),"_",""),",",""),"[",""),"]",""),"(",""),")",""),"*",""))&gt;=1,NOT(ISNUMBER(MATCH(LEFT(SUBSTITUTE(SUBSTITUTE(SUBSTITUTE(SUBSTITUTE(SUBSTITUTE(SUBSTITUTE(SUBSTITUTE(SUBSTITUTE(SUBSTITUTE(SUBSTITUTE(SUBSTITUTE(SUBSTITUTE(SUBSTITUTE(SUBSTITUTE(SUBSTITUTE(SUBSTITUTE(LOWER(L23&amp;""),CHAR(10),""),CHAR(13),""),CHAR(9),""),CHAR(160),"")," ",""),".",""),"-",""),"/",""),"?",""),"_",""),",",""),"[",""),"]",""),"(",""),")",""),"*",""),255),L_Placeholder,0)))),ISNUMBER(M23),M23&gt;=DATE(2020,1,1),M23&lt;=Flights!$D$23,AND(LEN(SUBSTITUTE(SUBSTITUTE(SUBSTITUTE(SUBSTITUTE(SUBSTITUTE(SUBSTITUTE(SUBSTITUTE(SUBSTITUTE(SUBSTITUTE(SUBSTITUTE(SUBSTITUTE(SUBSTITUTE(SUBSTITUTE(SUBSTITUTE(SUBSTITUTE(SUBSTITUTE(LOWER(N23&amp;""),CHAR(10),""),CHAR(13),""),CHAR(9),""),CHAR(160),"")," ",""),".",""),"-",""),"/",""),"?",""),"_",""),",",""),"[",""),"]",""),"(",""),")",""),"*",""))&gt;=5,NOT(ISNUMBER(MATCH(LEFT(SUBSTITUTE(SUBSTITUTE(SUBSTITUTE(SUBSTITUTE(SUBSTITUTE(SUBSTITUTE(SUBSTITUTE(SUBSTITUTE(SUBSTITUTE(SUBSTITUTE(SUBSTITUTE(SUBSTITUTE(SUBSTITUTE(SUBSTITUTE(SUBSTITUTE(SUBSTITUTE(LOWER(N23&amp;""),CHAR(10),""),CHAR(13),""),CHAR(9),""),CHAR(160),"")," ",""),".",""),"-",""),"/",""),"?",""),"_",""),",",""),"[",""),"]",""),"(",""),")",""),"*",""),255),L_Placeholder,0)))),OR(SUMPRODUCT(--ISNUMBER(SEARCH({"aa000"," aa 000"," aaa 000"," aaaa 000"," a 0000"," a000 000"," aa 00 000"," aaa 00 000"},U23)))&gt;0,SUMPRODUCT(--ISNUMBER(SEARCH({"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23)))&gt;0,SUMPRODUCT(--ISNUMBER(SEARCH({"http","www.","\",".pdf",".jpg",".jpeg",".png",".heic",".xls",".doc",".msg",".eml"},N23)))&gt;0,AND(SUMPRODUCT(--ISNUMBER(SEARCH({"sharepoint","onedrive","teams","dms","q-pulse","qpulse"},N23)))&gt;0,ISNUMBER(SEARCH("0",T23)))),NOT(SUMPRODUCT((LEN(Y23)-LEN(SUBSTITUTE(Y23," "&amp;L_PendStrict&amp;" "," ")))/(LEN(L_PendStrict)+1))&gt;SUMPRODUCT((LEN(Y23)-LEN(SUBSTITUTE(Y23," "&amp;L_PendNeg&amp;" "," ")))/(LEN(L_PendNeg)+1)))),"ON FILE","OUTSTANDING"),"OUTSTANDING")</f>
        <v>OUTSTANDING</v>
      </c>
      <c r="P23" s="74" t="n">
        <f aca="false">(J23="OUTSTANDING")+(O23="OUTSTANDING")</f>
        <v>2</v>
      </c>
      <c r="Q23" s="57" t="s">
        <v>1496</v>
      </c>
      <c r="R23" s="0" t="str">
        <f aca="false">SUBSTITUTE(SUBSTITUTE(SUBSTITUTE(SUBSTITUTE(SUBSTITUTE(SUBSTITUTE(SUBSTITUTE(SUBSTITUTE(SUBSTITUTE(LOWER(AB23&amp;""),"1","0"),"2","0"),"3","0"),"4","0"),"5","0"),"6","0"),"7","0"),"8","0"),"9","0")</f>
        <v>  </v>
      </c>
      <c r="S23" s="0" t="str">
        <f aca="false">SUBSTITUTE(SUBSTITUTE(SUBSTITUTE(SUBSTITUTE(SUBSTITUTE(SUBSTITUTE(SUBSTITUTE(SUBSTITUTE(SUBSTITUTE(SUBSTITUTE(SUBSTITUTE(SUBSTITUTE(SUBSTITUTE(SUBSTITUTE(SUBSTITUTE(SUBSTITUTE(SUBSTITUTE(SUBSTITUTE(SUBSTITUTE(SUBSTITUTE(SUBSTITUTE(SUBSTITUTE(SUBSTITUTE(SUBSTITUTE(SUBSTITUTE(R23,"b","a"),"c","a"),"d","a"),"e","a"),"f","a"),"g","a"),"h","a"),"i","a"),"j","a"),"k","a"),"l","a"),"m","a"),"n","a"),"o","a"),"p","a"),"q","a"),"r","a"),"s","a"),"t","a"),"u","a"),"v","a"),"w","a"),"x","a"),"y","a"),"z","a")</f>
        <v>  </v>
      </c>
      <c r="T23" s="0" t="str">
        <f aca="false">SUBSTITUTE(SUBSTITUTE(SUBSTITUTE(SUBSTITUTE(SUBSTITUTE(SUBSTITUTE(SUBSTITUTE(SUBSTITUTE(SUBSTITUTE(LOWER(AC23&amp;""),"1","0"),"2","0"),"3","0"),"4","0"),"5","0"),"6","0"),"7","0"),"8","0"),"9","0")</f>
        <v>  </v>
      </c>
      <c r="U23" s="0" t="str">
        <f aca="false">SUBSTITUTE(SUBSTITUTE(SUBSTITUTE(SUBSTITUTE(SUBSTITUTE(SUBSTITUTE(SUBSTITUTE(SUBSTITUTE(SUBSTITUTE(SUBSTITUTE(SUBSTITUTE(SUBSTITUTE(SUBSTITUTE(SUBSTITUTE(SUBSTITUTE(SUBSTITUTE(SUBSTITUTE(SUBSTITUTE(SUBSTITUTE(SUBSTITUTE(SUBSTITUTE(SUBSTITUTE(SUBSTITUTE(SUBSTITUTE(SUBSTITUTE(T23,"b","a"),"c","a"),"d","a"),"e","a"),"f","a"),"g","a"),"h","a"),"i","a"),"j","a"),"k","a"),"l","a"),"m","a"),"n","a"),"o","a"),"p","a"),"q","a"),"r","a"),"s","a"),"t","a"),"u","a"),"v","a"),"w","a"),"x","a"),"y","a"),"z","a")</f>
        <v>  </v>
      </c>
      <c r="V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23," "&amp;LOWER(Flights!$F$23)&amp;" "," ~ ")," mh"," ~")," at "," ~ ")," by "," ~ ")," on "," ~ ")," to "," ~ ")," from "," ~ ")," until "," ~ ")," till "," ~ ")," before "," ~ ")," after "," ~ ")," around "," ~ ")," approx "," ~ ")," about "," ~ ")," since "," ~ ")," hrs "," ~ ")," hr "," ~ ")," hours "," ~ ")," time "," ~ ")," jan "," ~ ")," feb "," ~ ")," mar "," ~ ")," apr "," ~ ")," may "," ~ ")," jun "," ~ ")," jul "," ~ ")," aug "," ~ ")," sep "," ~ ")," sept "," ~ ")," oct "," ~ ")</f>
        <v>  </v>
      </c>
      <c r="W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23," "&amp;LOWER(Flights!$F$23)&amp;" "," ~ ")," mh"," ~")," at "," ~ ")," by "," ~ ")," on "," ~ ")," to "," ~ ")," from "," ~ ")," until "," ~ ")," till "," ~ ")," before "," ~ ")," after "," ~ ")," around "," ~ ")," approx "," ~ ")," about "," ~ ")," since "," ~ ")," hrs "," ~ ")," hr "," ~ ")," hours "," ~ ")," time "," ~ ")," jan "," ~ ")," feb "," ~ ")," mar "," ~ ")," apr "," ~ ")," may "," ~ ")," jun "," ~ ")," jul "," ~ ")," aug "," ~ ")," sep "," ~ ")," sept "," ~ ")," oct "," ~ ")</f>
        <v>  </v>
      </c>
      <c r="X23" s="0" t="str">
        <f aca="false">" "&amp;TRIM(SUBSTITUTE(SUBSTITUTE(SUBSTITUTE(SUBSTITUTE(SUBSTITUTE(SUBSTITUTE(SUBSTITUTE(SUBSTITUTE(SUBSTITUTE(SUBSTITUTE(SUBSTITUTE(SUBSTITUTE(SUBSTITUTE(SUBSTITUTE(SUBSTITUTE(SUBSTITUTE(SUBSTITUTE(SUBSTITUTE(SUBSTITUTE(SUBSTITUTE(SUBSTITUTE(SUBSTITUTE(SUBSTITUTE(SUBSTITUTE(LOWER(I23&amp;""),CHAR(10)," "),CHAR(13)," "),CHAR(9)," "),CHAR(160)," "),"."," "),","," "),"-"," "),"/"," "),"("," "),")"," "),":"," "),";"," "),"_"," "),"–"," "),"?"," "),"!"," "),"*"," "),"["," "),"]"," "),"'"," "),"#"," "),"+"," "),"&amp;"," "),"\"," "))&amp;" "</f>
        <v>  </v>
      </c>
      <c r="Y23" s="0" t="str">
        <f aca="false">" "&amp;TRIM(SUBSTITUTE(SUBSTITUTE(SUBSTITUTE(SUBSTITUTE(SUBSTITUTE(SUBSTITUTE(SUBSTITUTE(SUBSTITUTE(SUBSTITUTE(SUBSTITUTE(SUBSTITUTE(SUBSTITUTE(SUBSTITUTE(SUBSTITUTE(SUBSTITUTE(SUBSTITUTE(SUBSTITUTE(SUBSTITUTE(SUBSTITUTE(SUBSTITUTE(SUBSTITUTE(SUBSTITUTE(SUBSTITUTE(SUBSTITUTE(LOWER(N23&amp;""),CHAR(10)," "),CHAR(13)," "),CHAR(9)," "),CHAR(160)," "),"."," "),","," "),"-"," "),"/"," "),"("," "),")"," "),":"," "),";"," "),"_"," "),"–"," "),"?"," "),"!"," "),"*"," "),"["," "),"]"," "),"'"," "),"#"," "),"+"," "),"&amp;"," "),"\"," "))&amp;" "</f>
        <v>  </v>
      </c>
      <c r="Z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23,"jan","~"),"feb","~"),"mar","~"),"apr","~"),"may","~"),"jun","~"),"jul","~"),"aug","~"),"sep","~"),"oct","~"),"nov","~"),"dec","~")," nov "," ~ ")," dec "," ~ ")," mon "," ~ ")," tue "," ~ ")," wed "," ~ ")," thu "," ~ ")," fri "," ~ ")," sat "," ~ ")," sun "," ~ ")," gate "," ~ ")," bay "," ~ ")," stand "," ~ ")," position "," ~ ")," galley "," ~ ")," flight "," ~ ")," flt "," ~ ")," day "," ~ ")," date "," ~ ")," dated "," ~ ")," the "," ~ ")," and "," ~ ")," of "," ~ ")," in "," ~ ")," for "," ~ ")," with "," ~ ")</f>
        <v>  </v>
      </c>
      <c r="AA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23,"jan","~"),"feb","~"),"mar","~"),"apr","~"),"may","~"),"jun","~"),"jul","~"),"aug","~"),"sep","~"),"oct","~"),"nov","~"),"dec","~")," nov "," ~ ")," dec "," ~ ")," mon "," ~ ")," tue "," ~ ")," wed "," ~ ")," thu "," ~ ")," fri "," ~ ")," sat "," ~ ")," sun "," ~ ")," gate "," ~ ")," bay "," ~ ")," stand "," ~ ")," position "," ~ ")," galley "," ~ ")," flight "," ~ ")," flt "," ~ ")," day "," ~ ")," date "," ~ ")," dated "," ~ ")," the "," ~ ")," and "," ~ ")," of "," ~ ")," in "," ~ ")," for "," ~ ")," with "," ~ ")</f>
        <v>  </v>
      </c>
      <c r="AB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23," pax "," ~ ")," etd "," ~ ")," eta "," ~ ")," std "," ~ ")," sta "," ~ ")," atd "," ~ ")," ata "," ~ ")," lt "," ~ ")," utc "," ~ ")," local "," ~ ")," ok "," ~ ")," done "," ~ ")," seen "," ~ ")," chk "," ~ ")," chkd "," ~ ")," checked "," ~ ")," rcvd "," ~ ")," recd "," ~ ")," dep "," ~ ")," arr "," ~ ")," qty "," ~ ")," all "," ~ ")," ttl "," ~ ")," total "," ~ ")," via "," ~ ")," per "," ~ ")," call "," ~ ")," inbound "," ~ ")," outbound "," ~ ")," approx "," ~ ")</f>
        <v>  </v>
      </c>
      <c r="AC23"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23," pax "," ~ ")," etd "," ~ ")," eta "," ~ ")," std "," ~ ")," sta "," ~ ")," atd "," ~ ")," ata "," ~ ")," lt "," ~ ")," utc "," ~ ")," local "," ~ ")," ok "," ~ ")," done "," ~ ")," seen "," ~ ")," chk "," ~ ")," chkd "," ~ ")," checked "," ~ ")," rcvd "," ~ ")," recd "," ~ ")," dep "," ~ ")," arr "," ~ ")," qty "," ~ ")," all "," ~ ")," ttl "," ~ ")," total "," ~ ")," via "," ~ ")," per "," ~ ")," call "," ~ ")," inbound "," ~ ")," outbound "," ~ ")," approx "," ~ ")</f>
        <v>  </v>
      </c>
    </row>
    <row r="24" customFormat="false" ht="30" hidden="false" customHeight="true" outlineLevel="0" collapsed="false">
      <c r="A24" s="70" t="s">
        <v>304</v>
      </c>
      <c r="B24" s="57" t="str">
        <f aca="false">Flights!F24</f>
        <v>MH1450</v>
      </c>
      <c r="C24" s="71" t="n">
        <f aca="false">Flights!D24</f>
        <v>46324</v>
      </c>
      <c r="D24" s="70" t="str">
        <f aca="false">Flights!G24&amp;"-"&amp;Flights!H24</f>
        <v>KUL-LGK</v>
      </c>
      <c r="E24" s="70" t="str">
        <f aca="false">Flights!L24</f>
        <v>B738MAX</v>
      </c>
      <c r="F24" s="60"/>
      <c r="G24" s="60"/>
      <c r="H24" s="72"/>
      <c r="I24" s="60"/>
      <c r="J24" s="73" t="str">
        <f aca="false">IFERROR(IF(AND(AND(LEN(SUBSTITUTE(SUBSTITUTE(SUBSTITUTE(SUBSTITUTE(SUBSTITUTE(SUBSTITUTE(SUBSTITUTE(SUBSTITUTE(SUBSTITUTE(SUBSTITUTE(SUBSTITUTE(SUBSTITUTE(SUBSTITUTE(SUBSTITUTE(SUBSTITUTE(SUBSTITUTE(LOWER(F24&amp;""),CHAR(10),""),CHAR(13),""),CHAR(9),""),CHAR(160),"")," ",""),".",""),"-",""),"/",""),"?",""),"_",""),",",""),"[",""),"]",""),"(",""),")",""),"*",""))&gt;=3,NOT(ISNUMBER(MATCH(LEFT(SUBSTITUTE(SUBSTITUTE(SUBSTITUTE(SUBSTITUTE(SUBSTITUTE(SUBSTITUTE(SUBSTITUTE(SUBSTITUTE(SUBSTITUTE(SUBSTITUTE(SUBSTITUTE(SUBSTITUTE(SUBSTITUTE(SUBSTITUTE(SUBSTITUTE(SUBSTITUTE(LOWER(F24&amp;""),CHAR(10),""),CHAR(13),""),CHAR(9),""),CHAR(160),"")," ",""),".",""),"-",""),"/",""),"?",""),"_",""),",",""),"[",""),"]",""),"(",""),")",""),"*",""),255),L_Placeholder,0)))),AND(SUMPRODUCT(--ISNUMBER(FIND({"0","1","2","3","4","5","6","7","8","9"},F24)))&gt;0,LOWER(TRIM(F24))&lt;&gt;LOWER(Flights!$F$24),NOT(AND(LEFT(LOWER(TRIM(F24)),2)="mh",ISNUMBER(--MID(TRIM(F24),3,6))))),AND(LEN(SUBSTITUTE(SUBSTITUTE(SUBSTITUTE(SUBSTITUTE(SUBSTITUTE(SUBSTITUTE(SUBSTITUTE(SUBSTITUTE(SUBSTITUTE(SUBSTITUTE(SUBSTITUTE(SUBSTITUTE(SUBSTITUTE(SUBSTITUTE(SUBSTITUTE(SUBSTITUTE(LOWER(G24&amp;""),CHAR(10),""),CHAR(13),""),CHAR(9),""),CHAR(160),"")," ",""),".",""),"-",""),"/",""),"?",""),"_",""),",",""),"[",""),"]",""),"(",""),")",""),"*",""))&gt;=1,NOT(ISNUMBER(MATCH(LEFT(SUBSTITUTE(SUBSTITUTE(SUBSTITUTE(SUBSTITUTE(SUBSTITUTE(SUBSTITUTE(SUBSTITUTE(SUBSTITUTE(SUBSTITUTE(SUBSTITUTE(SUBSTITUTE(SUBSTITUTE(SUBSTITUTE(SUBSTITUTE(SUBSTITUTE(SUBSTITUTE(LOWER(G24&amp;""),CHAR(10),""),CHAR(13),""),CHAR(9),""),CHAR(160),"")," ",""),".",""),"-",""),"/",""),"?",""),"_",""),",",""),"[",""),"]",""),"(",""),")",""),"*",""),255),L_Placeholder,0)))),ISNUMBER(H24),H24&gt;=DATE(2020,1,1),H24&lt;=Flights!$D$24,AND(LEN(SUBSTITUTE(SUBSTITUTE(SUBSTITUTE(SUBSTITUTE(SUBSTITUTE(SUBSTITUTE(SUBSTITUTE(SUBSTITUTE(SUBSTITUTE(SUBSTITUTE(SUBSTITUTE(SUBSTITUTE(SUBSTITUTE(SUBSTITUTE(SUBSTITUTE(SUBSTITUTE(LOWER(I24&amp;""),CHAR(10),""),CHAR(13),""),CHAR(9),""),CHAR(160),"")," ",""),".",""),"-",""),"/",""),"?",""),"_",""),",",""),"[",""),"]",""),"(",""),")",""),"*",""))&gt;=5,NOT(ISNUMBER(MATCH(LEFT(SUBSTITUTE(SUBSTITUTE(SUBSTITUTE(SUBSTITUTE(SUBSTITUTE(SUBSTITUTE(SUBSTITUTE(SUBSTITUTE(SUBSTITUTE(SUBSTITUTE(SUBSTITUTE(SUBSTITUTE(SUBSTITUTE(SUBSTITUTE(SUBSTITUTE(SUBSTITUTE(LOWER(I24&amp;""),CHAR(10),""),CHAR(13),""),CHAR(9),""),CHAR(160),"")," ",""),".",""),"-",""),"/",""),"?",""),"_",""),",",""),"[",""),"]",""),"(",""),")",""),"*",""),255),L_Placeholder,0)))),OR(SUMPRODUCT(--ISNUMBER(SEARCH({"aa000"," aa 000"," aaa 000"," aaaa 000"," a 0000"," a000 000"," aa 00 000"," aaa 00 000"},S24)))&gt;0,SUMPRODUCT(--ISNUMBER(SEARCH({"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24)))&gt;0,SUMPRODUCT(--ISNUMBER(SEARCH({"http","www.","\",".pdf",".jpg",".jpeg",".png",".heic",".xls",".doc",".msg",".eml"},I24)))&gt;0,AND(SUMPRODUCT(--ISNUMBER(SEARCH({"sharepoint","onedrive","teams","dms","q-pulse","qpulse"},I24)))&gt;0,ISNUMBER(SEARCH("0",R24)))),NOT(SUMPRODUCT((LEN(X24)-LEN(SUBSTITUTE(X24," "&amp;L_PendStrict&amp;" "," ")))/(LEN(L_PendStrict)+1))&gt;SUMPRODUCT((LEN(X24)-LEN(SUBSTITUTE(X24," "&amp;L_PendNeg&amp;" "," ")))/(LEN(L_PendNeg)+1)))),"ON FILE","OUTSTANDING"),"OUTSTANDING")</f>
        <v>OUTSTANDING</v>
      </c>
      <c r="K24" s="60"/>
      <c r="L24" s="60"/>
      <c r="M24" s="72"/>
      <c r="N24" s="60"/>
      <c r="O24" s="73" t="str">
        <f aca="false">IFERROR(IF(AND(AND(LEN(SUBSTITUTE(SUBSTITUTE(SUBSTITUTE(SUBSTITUTE(SUBSTITUTE(SUBSTITUTE(SUBSTITUTE(SUBSTITUTE(SUBSTITUTE(SUBSTITUTE(SUBSTITUTE(SUBSTITUTE(SUBSTITUTE(SUBSTITUTE(SUBSTITUTE(SUBSTITUTE(LOWER(K24&amp;""),CHAR(10),""),CHAR(13),""),CHAR(9),""),CHAR(160),"")," ",""),".",""),"-",""),"/",""),"?",""),"_",""),",",""),"[",""),"]",""),"(",""),")",""),"*",""))&gt;=3,NOT(ISNUMBER(MATCH(LEFT(SUBSTITUTE(SUBSTITUTE(SUBSTITUTE(SUBSTITUTE(SUBSTITUTE(SUBSTITUTE(SUBSTITUTE(SUBSTITUTE(SUBSTITUTE(SUBSTITUTE(SUBSTITUTE(SUBSTITUTE(SUBSTITUTE(SUBSTITUTE(SUBSTITUTE(SUBSTITUTE(LOWER(K24&amp;""),CHAR(10),""),CHAR(13),""),CHAR(9),""),CHAR(160),"")," ",""),".",""),"-",""),"/",""),"?",""),"_",""),",",""),"[",""),"]",""),"(",""),")",""),"*",""),255),L_Placeholder,0)))),AND(SUMPRODUCT(--ISNUMBER(FIND({"0","1","2","3","4","5","6","7","8","9"},K24)))&gt;0,LOWER(TRIM(K24))&lt;&gt;LOWER(Flights!$F$24),NOT(AND(LEFT(LOWER(TRIM(K24)),2)="mh",ISNUMBER(--MID(TRIM(K24),3,6))))),AND(LEN(SUBSTITUTE(SUBSTITUTE(SUBSTITUTE(SUBSTITUTE(SUBSTITUTE(SUBSTITUTE(SUBSTITUTE(SUBSTITUTE(SUBSTITUTE(SUBSTITUTE(SUBSTITUTE(SUBSTITUTE(SUBSTITUTE(SUBSTITUTE(SUBSTITUTE(SUBSTITUTE(LOWER(L24&amp;""),CHAR(10),""),CHAR(13),""),CHAR(9),""),CHAR(160),"")," ",""),".",""),"-",""),"/",""),"?",""),"_",""),",",""),"[",""),"]",""),"(",""),")",""),"*",""))&gt;=1,NOT(ISNUMBER(MATCH(LEFT(SUBSTITUTE(SUBSTITUTE(SUBSTITUTE(SUBSTITUTE(SUBSTITUTE(SUBSTITUTE(SUBSTITUTE(SUBSTITUTE(SUBSTITUTE(SUBSTITUTE(SUBSTITUTE(SUBSTITUTE(SUBSTITUTE(SUBSTITUTE(SUBSTITUTE(SUBSTITUTE(LOWER(L24&amp;""),CHAR(10),""),CHAR(13),""),CHAR(9),""),CHAR(160),"")," ",""),".",""),"-",""),"/",""),"?",""),"_",""),",",""),"[",""),"]",""),"(",""),")",""),"*",""),255),L_Placeholder,0)))),ISNUMBER(M24),M24&gt;=DATE(2020,1,1),M24&lt;=Flights!$D$24,AND(LEN(SUBSTITUTE(SUBSTITUTE(SUBSTITUTE(SUBSTITUTE(SUBSTITUTE(SUBSTITUTE(SUBSTITUTE(SUBSTITUTE(SUBSTITUTE(SUBSTITUTE(SUBSTITUTE(SUBSTITUTE(SUBSTITUTE(SUBSTITUTE(SUBSTITUTE(SUBSTITUTE(LOWER(N24&amp;""),CHAR(10),""),CHAR(13),""),CHAR(9),""),CHAR(160),"")," ",""),".",""),"-",""),"/",""),"?",""),"_",""),",",""),"[",""),"]",""),"(",""),")",""),"*",""))&gt;=5,NOT(ISNUMBER(MATCH(LEFT(SUBSTITUTE(SUBSTITUTE(SUBSTITUTE(SUBSTITUTE(SUBSTITUTE(SUBSTITUTE(SUBSTITUTE(SUBSTITUTE(SUBSTITUTE(SUBSTITUTE(SUBSTITUTE(SUBSTITUTE(SUBSTITUTE(SUBSTITUTE(SUBSTITUTE(SUBSTITUTE(LOWER(N24&amp;""),CHAR(10),""),CHAR(13),""),CHAR(9),""),CHAR(160),"")," ",""),".",""),"-",""),"/",""),"?",""),"_",""),",",""),"[",""),"]",""),"(",""),")",""),"*",""),255),L_Placeholder,0)))),OR(SUMPRODUCT(--ISNUMBER(SEARCH({"aa000"," aa 000"," aaa 000"," aaaa 000"," a 0000"," a000 000"," aa 00 000"," aaa 00 000"},U24)))&gt;0,SUMPRODUCT(--ISNUMBER(SEARCH({"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24)))&gt;0,SUMPRODUCT(--ISNUMBER(SEARCH({"http","www.","\",".pdf",".jpg",".jpeg",".png",".heic",".xls",".doc",".msg",".eml"},N24)))&gt;0,AND(SUMPRODUCT(--ISNUMBER(SEARCH({"sharepoint","onedrive","teams","dms","q-pulse","qpulse"},N24)))&gt;0,ISNUMBER(SEARCH("0",T24)))),NOT(SUMPRODUCT((LEN(Y24)-LEN(SUBSTITUTE(Y24," "&amp;L_PendStrict&amp;" "," ")))/(LEN(L_PendStrict)+1))&gt;SUMPRODUCT((LEN(Y24)-LEN(SUBSTITUTE(Y24," "&amp;L_PendNeg&amp;" "," ")))/(LEN(L_PendNeg)+1)))),"ON FILE","OUTSTANDING"),"OUTSTANDING")</f>
        <v>OUTSTANDING</v>
      </c>
      <c r="P24" s="74" t="n">
        <f aca="false">(J24="OUTSTANDING")+(O24="OUTSTANDING")</f>
        <v>2</v>
      </c>
      <c r="Q24" s="57" t="s">
        <v>1496</v>
      </c>
      <c r="R24" s="0" t="str">
        <f aca="false">SUBSTITUTE(SUBSTITUTE(SUBSTITUTE(SUBSTITUTE(SUBSTITUTE(SUBSTITUTE(SUBSTITUTE(SUBSTITUTE(SUBSTITUTE(LOWER(AB24&amp;""),"1","0"),"2","0"),"3","0"),"4","0"),"5","0"),"6","0"),"7","0"),"8","0"),"9","0")</f>
        <v>  </v>
      </c>
      <c r="S24" s="0" t="str">
        <f aca="false">SUBSTITUTE(SUBSTITUTE(SUBSTITUTE(SUBSTITUTE(SUBSTITUTE(SUBSTITUTE(SUBSTITUTE(SUBSTITUTE(SUBSTITUTE(SUBSTITUTE(SUBSTITUTE(SUBSTITUTE(SUBSTITUTE(SUBSTITUTE(SUBSTITUTE(SUBSTITUTE(SUBSTITUTE(SUBSTITUTE(SUBSTITUTE(SUBSTITUTE(SUBSTITUTE(SUBSTITUTE(SUBSTITUTE(SUBSTITUTE(SUBSTITUTE(R24,"b","a"),"c","a"),"d","a"),"e","a"),"f","a"),"g","a"),"h","a"),"i","a"),"j","a"),"k","a"),"l","a"),"m","a"),"n","a"),"o","a"),"p","a"),"q","a"),"r","a"),"s","a"),"t","a"),"u","a"),"v","a"),"w","a"),"x","a"),"y","a"),"z","a")</f>
        <v>  </v>
      </c>
      <c r="T24" s="0" t="str">
        <f aca="false">SUBSTITUTE(SUBSTITUTE(SUBSTITUTE(SUBSTITUTE(SUBSTITUTE(SUBSTITUTE(SUBSTITUTE(SUBSTITUTE(SUBSTITUTE(LOWER(AC24&amp;""),"1","0"),"2","0"),"3","0"),"4","0"),"5","0"),"6","0"),"7","0"),"8","0"),"9","0")</f>
        <v>  </v>
      </c>
      <c r="U24" s="0" t="str">
        <f aca="false">SUBSTITUTE(SUBSTITUTE(SUBSTITUTE(SUBSTITUTE(SUBSTITUTE(SUBSTITUTE(SUBSTITUTE(SUBSTITUTE(SUBSTITUTE(SUBSTITUTE(SUBSTITUTE(SUBSTITUTE(SUBSTITUTE(SUBSTITUTE(SUBSTITUTE(SUBSTITUTE(SUBSTITUTE(SUBSTITUTE(SUBSTITUTE(SUBSTITUTE(SUBSTITUTE(SUBSTITUTE(SUBSTITUTE(SUBSTITUTE(SUBSTITUTE(T24,"b","a"),"c","a"),"d","a"),"e","a"),"f","a"),"g","a"),"h","a"),"i","a"),"j","a"),"k","a"),"l","a"),"m","a"),"n","a"),"o","a"),"p","a"),"q","a"),"r","a"),"s","a"),"t","a"),"u","a"),"v","a"),"w","a"),"x","a"),"y","a"),"z","a")</f>
        <v>  </v>
      </c>
      <c r="V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24," "&amp;LOWER(Flights!$F$24)&amp;" "," ~ ")," mh"," ~")," at "," ~ ")," by "," ~ ")," on "," ~ ")," to "," ~ ")," from "," ~ ")," until "," ~ ")," till "," ~ ")," before "," ~ ")," after "," ~ ")," around "," ~ ")," approx "," ~ ")," about "," ~ ")," since "," ~ ")," hrs "," ~ ")," hr "," ~ ")," hours "," ~ ")," time "," ~ ")," jan "," ~ ")," feb "," ~ ")," mar "," ~ ")," apr "," ~ ")," may "," ~ ")," jun "," ~ ")," jul "," ~ ")," aug "," ~ ")," sep "," ~ ")," sept "," ~ ")," oct "," ~ ")</f>
        <v>  </v>
      </c>
      <c r="W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24," "&amp;LOWER(Flights!$F$24)&amp;" "," ~ ")," mh"," ~")," at "," ~ ")," by "," ~ ")," on "," ~ ")," to "," ~ ")," from "," ~ ")," until "," ~ ")," till "," ~ ")," before "," ~ ")," after "," ~ ")," around "," ~ ")," approx "," ~ ")," about "," ~ ")," since "," ~ ")," hrs "," ~ ")," hr "," ~ ")," hours "," ~ ")," time "," ~ ")," jan "," ~ ")," feb "," ~ ")," mar "," ~ ")," apr "," ~ ")," may "," ~ ")," jun "," ~ ")," jul "," ~ ")," aug "," ~ ")," sep "," ~ ")," sept "," ~ ")," oct "," ~ ")</f>
        <v>  </v>
      </c>
      <c r="X24" s="0" t="str">
        <f aca="false">" "&amp;TRIM(SUBSTITUTE(SUBSTITUTE(SUBSTITUTE(SUBSTITUTE(SUBSTITUTE(SUBSTITUTE(SUBSTITUTE(SUBSTITUTE(SUBSTITUTE(SUBSTITUTE(SUBSTITUTE(SUBSTITUTE(SUBSTITUTE(SUBSTITUTE(SUBSTITUTE(SUBSTITUTE(SUBSTITUTE(SUBSTITUTE(SUBSTITUTE(SUBSTITUTE(SUBSTITUTE(SUBSTITUTE(SUBSTITUTE(SUBSTITUTE(LOWER(I24&amp;""),CHAR(10)," "),CHAR(13)," "),CHAR(9)," "),CHAR(160)," "),"."," "),","," "),"-"," "),"/"," "),"("," "),")"," "),":"," "),";"," "),"_"," "),"–"," "),"?"," "),"!"," "),"*"," "),"["," "),"]"," "),"'"," "),"#"," "),"+"," "),"&amp;"," "),"\"," "))&amp;" "</f>
        <v>  </v>
      </c>
      <c r="Y24" s="0" t="str">
        <f aca="false">" "&amp;TRIM(SUBSTITUTE(SUBSTITUTE(SUBSTITUTE(SUBSTITUTE(SUBSTITUTE(SUBSTITUTE(SUBSTITUTE(SUBSTITUTE(SUBSTITUTE(SUBSTITUTE(SUBSTITUTE(SUBSTITUTE(SUBSTITUTE(SUBSTITUTE(SUBSTITUTE(SUBSTITUTE(SUBSTITUTE(SUBSTITUTE(SUBSTITUTE(SUBSTITUTE(SUBSTITUTE(SUBSTITUTE(SUBSTITUTE(SUBSTITUTE(LOWER(N24&amp;""),CHAR(10)," "),CHAR(13)," "),CHAR(9)," "),CHAR(160)," "),"."," "),","," "),"-"," "),"/"," "),"("," "),")"," "),":"," "),";"," "),"_"," "),"–"," "),"?"," "),"!"," "),"*"," "),"["," "),"]"," "),"'"," "),"#"," "),"+"," "),"&amp;"," "),"\"," "))&amp;" "</f>
        <v>  </v>
      </c>
      <c r="Z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24,"jan","~"),"feb","~"),"mar","~"),"apr","~"),"may","~"),"jun","~"),"jul","~"),"aug","~"),"sep","~"),"oct","~"),"nov","~"),"dec","~")," nov "," ~ ")," dec "," ~ ")," mon "," ~ ")," tue "," ~ ")," wed "," ~ ")," thu "," ~ ")," fri "," ~ ")," sat "," ~ ")," sun "," ~ ")," gate "," ~ ")," bay "," ~ ")," stand "," ~ ")," position "," ~ ")," galley "," ~ ")," flight "," ~ ")," flt "," ~ ")," day "," ~ ")," date "," ~ ")," dated "," ~ ")," the "," ~ ")," and "," ~ ")," of "," ~ ")," in "," ~ ")," for "," ~ ")," with "," ~ ")</f>
        <v>  </v>
      </c>
      <c r="AA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24,"jan","~"),"feb","~"),"mar","~"),"apr","~"),"may","~"),"jun","~"),"jul","~"),"aug","~"),"sep","~"),"oct","~"),"nov","~"),"dec","~")," nov "," ~ ")," dec "," ~ ")," mon "," ~ ")," tue "," ~ ")," wed "," ~ ")," thu "," ~ ")," fri "," ~ ")," sat "," ~ ")," sun "," ~ ")," gate "," ~ ")," bay "," ~ ")," stand "," ~ ")," position "," ~ ")," galley "," ~ ")," flight "," ~ ")," flt "," ~ ")," day "," ~ ")," date "," ~ ")," dated "," ~ ")," the "," ~ ")," and "," ~ ")," of "," ~ ")," in "," ~ ")," for "," ~ ")," with "," ~ ")</f>
        <v>  </v>
      </c>
      <c r="AB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24," pax "," ~ ")," etd "," ~ ")," eta "," ~ ")," std "," ~ ")," sta "," ~ ")," atd "," ~ ")," ata "," ~ ")," lt "," ~ ")," utc "," ~ ")," local "," ~ ")," ok "," ~ ")," done "," ~ ")," seen "," ~ ")," chk "," ~ ")," chkd "," ~ ")," checked "," ~ ")," rcvd "," ~ ")," recd "," ~ ")," dep "," ~ ")," arr "," ~ ")," qty "," ~ ")," all "," ~ ")," ttl "," ~ ")," total "," ~ ")," via "," ~ ")," per "," ~ ")," call "," ~ ")," inbound "," ~ ")," outbound "," ~ ")," approx "," ~ ")</f>
        <v>  </v>
      </c>
      <c r="AC24"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24," pax "," ~ ")," etd "," ~ ")," eta "," ~ ")," std "," ~ ")," sta "," ~ ")," atd "," ~ ")," ata "," ~ ")," lt "," ~ ")," utc "," ~ ")," local "," ~ ")," ok "," ~ ")," done "," ~ ")," seen "," ~ ")," chk "," ~ ")," chkd "," ~ ")," checked "," ~ ")," rcvd "," ~ ")," recd "," ~ ")," dep "," ~ ")," arr "," ~ ")," qty "," ~ ")," all "," ~ ")," ttl "," ~ ")," total "," ~ ")," via "," ~ ")," per "," ~ ")," call "," ~ ")," inbound "," ~ ")," outbound "," ~ ")," approx "," ~ ")</f>
        <v>  </v>
      </c>
    </row>
    <row r="25" customFormat="false" ht="30" hidden="false" customHeight="true" outlineLevel="0" collapsed="false">
      <c r="A25" s="70" t="s">
        <v>310</v>
      </c>
      <c r="B25" s="57" t="str">
        <f aca="false">Flights!F25</f>
        <v>MH1437</v>
      </c>
      <c r="C25" s="71" t="n">
        <f aca="false">Flights!D25</f>
        <v>46325</v>
      </c>
      <c r="D25" s="70" t="str">
        <f aca="false">Flights!G25&amp;"-"&amp;Flights!H25</f>
        <v>LGK-KUL</v>
      </c>
      <c r="E25" s="70" t="str">
        <f aca="false">Flights!L25</f>
        <v>B738MAX</v>
      </c>
      <c r="F25" s="60"/>
      <c r="G25" s="60"/>
      <c r="H25" s="72"/>
      <c r="I25" s="60"/>
      <c r="J25" s="73" t="str">
        <f aca="false">IFERROR(IF(AND(AND(LEN(SUBSTITUTE(SUBSTITUTE(SUBSTITUTE(SUBSTITUTE(SUBSTITUTE(SUBSTITUTE(SUBSTITUTE(SUBSTITUTE(SUBSTITUTE(SUBSTITUTE(SUBSTITUTE(SUBSTITUTE(SUBSTITUTE(SUBSTITUTE(SUBSTITUTE(SUBSTITUTE(LOWER(F25&amp;""),CHAR(10),""),CHAR(13),""),CHAR(9),""),CHAR(160),"")," ",""),".",""),"-",""),"/",""),"?",""),"_",""),",",""),"[",""),"]",""),"(",""),")",""),"*",""))&gt;=3,NOT(ISNUMBER(MATCH(LEFT(SUBSTITUTE(SUBSTITUTE(SUBSTITUTE(SUBSTITUTE(SUBSTITUTE(SUBSTITUTE(SUBSTITUTE(SUBSTITUTE(SUBSTITUTE(SUBSTITUTE(SUBSTITUTE(SUBSTITUTE(SUBSTITUTE(SUBSTITUTE(SUBSTITUTE(SUBSTITUTE(LOWER(F25&amp;""),CHAR(10),""),CHAR(13),""),CHAR(9),""),CHAR(160),"")," ",""),".",""),"-",""),"/",""),"?",""),"_",""),",",""),"[",""),"]",""),"(",""),")",""),"*",""),255),L_Placeholder,0)))),AND(SUMPRODUCT(--ISNUMBER(FIND({"0","1","2","3","4","5","6","7","8","9"},F25)))&gt;0,LOWER(TRIM(F25))&lt;&gt;LOWER(Flights!$F$25),NOT(AND(LEFT(LOWER(TRIM(F25)),2)="mh",ISNUMBER(--MID(TRIM(F25),3,6))))),AND(LEN(SUBSTITUTE(SUBSTITUTE(SUBSTITUTE(SUBSTITUTE(SUBSTITUTE(SUBSTITUTE(SUBSTITUTE(SUBSTITUTE(SUBSTITUTE(SUBSTITUTE(SUBSTITUTE(SUBSTITUTE(SUBSTITUTE(SUBSTITUTE(SUBSTITUTE(SUBSTITUTE(LOWER(G25&amp;""),CHAR(10),""),CHAR(13),""),CHAR(9),""),CHAR(160),"")," ",""),".",""),"-",""),"/",""),"?",""),"_",""),",",""),"[",""),"]",""),"(",""),")",""),"*",""))&gt;=1,NOT(ISNUMBER(MATCH(LEFT(SUBSTITUTE(SUBSTITUTE(SUBSTITUTE(SUBSTITUTE(SUBSTITUTE(SUBSTITUTE(SUBSTITUTE(SUBSTITUTE(SUBSTITUTE(SUBSTITUTE(SUBSTITUTE(SUBSTITUTE(SUBSTITUTE(SUBSTITUTE(SUBSTITUTE(SUBSTITUTE(LOWER(G25&amp;""),CHAR(10),""),CHAR(13),""),CHAR(9),""),CHAR(160),"")," ",""),".",""),"-",""),"/",""),"?",""),"_",""),",",""),"[",""),"]",""),"(",""),")",""),"*",""),255),L_Placeholder,0)))),ISNUMBER(H25),H25&gt;=DATE(2020,1,1),H25&lt;=Flights!$D$25,AND(LEN(SUBSTITUTE(SUBSTITUTE(SUBSTITUTE(SUBSTITUTE(SUBSTITUTE(SUBSTITUTE(SUBSTITUTE(SUBSTITUTE(SUBSTITUTE(SUBSTITUTE(SUBSTITUTE(SUBSTITUTE(SUBSTITUTE(SUBSTITUTE(SUBSTITUTE(SUBSTITUTE(LOWER(I25&amp;""),CHAR(10),""),CHAR(13),""),CHAR(9),""),CHAR(160),"")," ",""),".",""),"-",""),"/",""),"?",""),"_",""),",",""),"[",""),"]",""),"(",""),")",""),"*",""))&gt;=5,NOT(ISNUMBER(MATCH(LEFT(SUBSTITUTE(SUBSTITUTE(SUBSTITUTE(SUBSTITUTE(SUBSTITUTE(SUBSTITUTE(SUBSTITUTE(SUBSTITUTE(SUBSTITUTE(SUBSTITUTE(SUBSTITUTE(SUBSTITUTE(SUBSTITUTE(SUBSTITUTE(SUBSTITUTE(SUBSTITUTE(LOWER(I25&amp;""),CHAR(10),""),CHAR(13),""),CHAR(9),""),CHAR(160),"")," ",""),".",""),"-",""),"/",""),"?",""),"_",""),",",""),"[",""),"]",""),"(",""),")",""),"*",""),255),L_Placeholder,0)))),OR(SUMPRODUCT(--ISNUMBER(SEARCH({"aa000"," aa 000"," aaa 000"," aaaa 000"," a 0000"," a000 000"," aa 00 000"," aaa 00 000"},S25)))&gt;0,SUMPRODUCT(--ISNUMBER(SEARCH({"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25)))&gt;0,SUMPRODUCT(--ISNUMBER(SEARCH({"http","www.","\",".pdf",".jpg",".jpeg",".png",".heic",".xls",".doc",".msg",".eml"},I25)))&gt;0,AND(SUMPRODUCT(--ISNUMBER(SEARCH({"sharepoint","onedrive","teams","dms","q-pulse","qpulse"},I25)))&gt;0,ISNUMBER(SEARCH("0",R25)))),NOT(SUMPRODUCT((LEN(X25)-LEN(SUBSTITUTE(X25," "&amp;L_PendStrict&amp;" "," ")))/(LEN(L_PendStrict)+1))&gt;SUMPRODUCT((LEN(X25)-LEN(SUBSTITUTE(X25," "&amp;L_PendNeg&amp;" "," ")))/(LEN(L_PendNeg)+1)))),"ON FILE","OUTSTANDING"),"OUTSTANDING")</f>
        <v>OUTSTANDING</v>
      </c>
      <c r="K25" s="60"/>
      <c r="L25" s="60"/>
      <c r="M25" s="72"/>
      <c r="N25" s="60"/>
      <c r="O25" s="73" t="str">
        <f aca="false">IFERROR(IF(AND(AND(LEN(SUBSTITUTE(SUBSTITUTE(SUBSTITUTE(SUBSTITUTE(SUBSTITUTE(SUBSTITUTE(SUBSTITUTE(SUBSTITUTE(SUBSTITUTE(SUBSTITUTE(SUBSTITUTE(SUBSTITUTE(SUBSTITUTE(SUBSTITUTE(SUBSTITUTE(SUBSTITUTE(LOWER(K25&amp;""),CHAR(10),""),CHAR(13),""),CHAR(9),""),CHAR(160),"")," ",""),".",""),"-",""),"/",""),"?",""),"_",""),",",""),"[",""),"]",""),"(",""),")",""),"*",""))&gt;=3,NOT(ISNUMBER(MATCH(LEFT(SUBSTITUTE(SUBSTITUTE(SUBSTITUTE(SUBSTITUTE(SUBSTITUTE(SUBSTITUTE(SUBSTITUTE(SUBSTITUTE(SUBSTITUTE(SUBSTITUTE(SUBSTITUTE(SUBSTITUTE(SUBSTITUTE(SUBSTITUTE(SUBSTITUTE(SUBSTITUTE(LOWER(K25&amp;""),CHAR(10),""),CHAR(13),""),CHAR(9),""),CHAR(160),"")," ",""),".",""),"-",""),"/",""),"?",""),"_",""),",",""),"[",""),"]",""),"(",""),")",""),"*",""),255),L_Placeholder,0)))),AND(SUMPRODUCT(--ISNUMBER(FIND({"0","1","2","3","4","5","6","7","8","9"},K25)))&gt;0,LOWER(TRIM(K25))&lt;&gt;LOWER(Flights!$F$25),NOT(AND(LEFT(LOWER(TRIM(K25)),2)="mh",ISNUMBER(--MID(TRIM(K25),3,6))))),AND(LEN(SUBSTITUTE(SUBSTITUTE(SUBSTITUTE(SUBSTITUTE(SUBSTITUTE(SUBSTITUTE(SUBSTITUTE(SUBSTITUTE(SUBSTITUTE(SUBSTITUTE(SUBSTITUTE(SUBSTITUTE(SUBSTITUTE(SUBSTITUTE(SUBSTITUTE(SUBSTITUTE(LOWER(L25&amp;""),CHAR(10),""),CHAR(13),""),CHAR(9),""),CHAR(160),"")," ",""),".",""),"-",""),"/",""),"?",""),"_",""),",",""),"[",""),"]",""),"(",""),")",""),"*",""))&gt;=1,NOT(ISNUMBER(MATCH(LEFT(SUBSTITUTE(SUBSTITUTE(SUBSTITUTE(SUBSTITUTE(SUBSTITUTE(SUBSTITUTE(SUBSTITUTE(SUBSTITUTE(SUBSTITUTE(SUBSTITUTE(SUBSTITUTE(SUBSTITUTE(SUBSTITUTE(SUBSTITUTE(SUBSTITUTE(SUBSTITUTE(LOWER(L25&amp;""),CHAR(10),""),CHAR(13),""),CHAR(9),""),CHAR(160),"")," ",""),".",""),"-",""),"/",""),"?",""),"_",""),",",""),"[",""),"]",""),"(",""),")",""),"*",""),255),L_Placeholder,0)))),ISNUMBER(M25),M25&gt;=DATE(2020,1,1),M25&lt;=Flights!$D$25,AND(LEN(SUBSTITUTE(SUBSTITUTE(SUBSTITUTE(SUBSTITUTE(SUBSTITUTE(SUBSTITUTE(SUBSTITUTE(SUBSTITUTE(SUBSTITUTE(SUBSTITUTE(SUBSTITUTE(SUBSTITUTE(SUBSTITUTE(SUBSTITUTE(SUBSTITUTE(SUBSTITUTE(LOWER(N25&amp;""),CHAR(10),""),CHAR(13),""),CHAR(9),""),CHAR(160),"")," ",""),".",""),"-",""),"/",""),"?",""),"_",""),",",""),"[",""),"]",""),"(",""),")",""),"*",""))&gt;=5,NOT(ISNUMBER(MATCH(LEFT(SUBSTITUTE(SUBSTITUTE(SUBSTITUTE(SUBSTITUTE(SUBSTITUTE(SUBSTITUTE(SUBSTITUTE(SUBSTITUTE(SUBSTITUTE(SUBSTITUTE(SUBSTITUTE(SUBSTITUTE(SUBSTITUTE(SUBSTITUTE(SUBSTITUTE(SUBSTITUTE(LOWER(N25&amp;""),CHAR(10),""),CHAR(13),""),CHAR(9),""),CHAR(160),"")," ",""),".",""),"-",""),"/",""),"?",""),"_",""),",",""),"[",""),"]",""),"(",""),")",""),"*",""),255),L_Placeholder,0)))),OR(SUMPRODUCT(--ISNUMBER(SEARCH({"aa000"," aa 000"," aaa 000"," aaaa 000"," a 0000"," a000 000"," aa 00 000"," aaa 00 000"},U25)))&gt;0,SUMPRODUCT(--ISNUMBER(SEARCH({"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25)))&gt;0,SUMPRODUCT(--ISNUMBER(SEARCH({"http","www.","\",".pdf",".jpg",".jpeg",".png",".heic",".xls",".doc",".msg",".eml"},N25)))&gt;0,AND(SUMPRODUCT(--ISNUMBER(SEARCH({"sharepoint","onedrive","teams","dms","q-pulse","qpulse"},N25)))&gt;0,ISNUMBER(SEARCH("0",T25)))),NOT(SUMPRODUCT((LEN(Y25)-LEN(SUBSTITUTE(Y25," "&amp;L_PendStrict&amp;" "," ")))/(LEN(L_PendStrict)+1))&gt;SUMPRODUCT((LEN(Y25)-LEN(SUBSTITUTE(Y25," "&amp;L_PendNeg&amp;" "," ")))/(LEN(L_PendNeg)+1)))),"ON FILE","OUTSTANDING"),"OUTSTANDING")</f>
        <v>OUTSTANDING</v>
      </c>
      <c r="P25" s="74" t="n">
        <f aca="false">(J25="OUTSTANDING")+(O25="OUTSTANDING")</f>
        <v>2</v>
      </c>
      <c r="Q25" s="57" t="s">
        <v>1497</v>
      </c>
      <c r="R25" s="0" t="str">
        <f aca="false">SUBSTITUTE(SUBSTITUTE(SUBSTITUTE(SUBSTITUTE(SUBSTITUTE(SUBSTITUTE(SUBSTITUTE(SUBSTITUTE(SUBSTITUTE(LOWER(AB25&amp;""),"1","0"),"2","0"),"3","0"),"4","0"),"5","0"),"6","0"),"7","0"),"8","0"),"9","0")</f>
        <v>  </v>
      </c>
      <c r="S25" s="0" t="str">
        <f aca="false">SUBSTITUTE(SUBSTITUTE(SUBSTITUTE(SUBSTITUTE(SUBSTITUTE(SUBSTITUTE(SUBSTITUTE(SUBSTITUTE(SUBSTITUTE(SUBSTITUTE(SUBSTITUTE(SUBSTITUTE(SUBSTITUTE(SUBSTITUTE(SUBSTITUTE(SUBSTITUTE(SUBSTITUTE(SUBSTITUTE(SUBSTITUTE(SUBSTITUTE(SUBSTITUTE(SUBSTITUTE(SUBSTITUTE(SUBSTITUTE(SUBSTITUTE(R25,"b","a"),"c","a"),"d","a"),"e","a"),"f","a"),"g","a"),"h","a"),"i","a"),"j","a"),"k","a"),"l","a"),"m","a"),"n","a"),"o","a"),"p","a"),"q","a"),"r","a"),"s","a"),"t","a"),"u","a"),"v","a"),"w","a"),"x","a"),"y","a"),"z","a")</f>
        <v>  </v>
      </c>
      <c r="T25" s="0" t="str">
        <f aca="false">SUBSTITUTE(SUBSTITUTE(SUBSTITUTE(SUBSTITUTE(SUBSTITUTE(SUBSTITUTE(SUBSTITUTE(SUBSTITUTE(SUBSTITUTE(LOWER(AC25&amp;""),"1","0"),"2","0"),"3","0"),"4","0"),"5","0"),"6","0"),"7","0"),"8","0"),"9","0")</f>
        <v>  </v>
      </c>
      <c r="U25" s="0" t="str">
        <f aca="false">SUBSTITUTE(SUBSTITUTE(SUBSTITUTE(SUBSTITUTE(SUBSTITUTE(SUBSTITUTE(SUBSTITUTE(SUBSTITUTE(SUBSTITUTE(SUBSTITUTE(SUBSTITUTE(SUBSTITUTE(SUBSTITUTE(SUBSTITUTE(SUBSTITUTE(SUBSTITUTE(SUBSTITUTE(SUBSTITUTE(SUBSTITUTE(SUBSTITUTE(SUBSTITUTE(SUBSTITUTE(SUBSTITUTE(SUBSTITUTE(SUBSTITUTE(T25,"b","a"),"c","a"),"d","a"),"e","a"),"f","a"),"g","a"),"h","a"),"i","a"),"j","a"),"k","a"),"l","a"),"m","a"),"n","a"),"o","a"),"p","a"),"q","a"),"r","a"),"s","a"),"t","a"),"u","a"),"v","a"),"w","a"),"x","a"),"y","a"),"z","a")</f>
        <v>  </v>
      </c>
      <c r="V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25," "&amp;LOWER(Flights!$F$25)&amp;" "," ~ ")," mh"," ~")," at "," ~ ")," by "," ~ ")," on "," ~ ")," to "," ~ ")," from "," ~ ")," until "," ~ ")," till "," ~ ")," before "," ~ ")," after "," ~ ")," around "," ~ ")," approx "," ~ ")," about "," ~ ")," since "," ~ ")," hrs "," ~ ")," hr "," ~ ")," hours "," ~ ")," time "," ~ ")," jan "," ~ ")," feb "," ~ ")," mar "," ~ ")," apr "," ~ ")," may "," ~ ")," jun "," ~ ")," jul "," ~ ")," aug "," ~ ")," sep "," ~ ")," sept "," ~ ")," oct "," ~ ")</f>
        <v>  </v>
      </c>
      <c r="W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25," "&amp;LOWER(Flights!$F$25)&amp;" "," ~ ")," mh"," ~")," at "," ~ ")," by "," ~ ")," on "," ~ ")," to "," ~ ")," from "," ~ ")," until "," ~ ")," till "," ~ ")," before "," ~ ")," after "," ~ ")," around "," ~ ")," approx "," ~ ")," about "," ~ ")," since "," ~ ")," hrs "," ~ ")," hr "," ~ ")," hours "," ~ ")," time "," ~ ")," jan "," ~ ")," feb "," ~ ")," mar "," ~ ")," apr "," ~ ")," may "," ~ ")," jun "," ~ ")," jul "," ~ ")," aug "," ~ ")," sep "," ~ ")," sept "," ~ ")," oct "," ~ ")</f>
        <v>  </v>
      </c>
      <c r="X25" s="0" t="str">
        <f aca="false">" "&amp;TRIM(SUBSTITUTE(SUBSTITUTE(SUBSTITUTE(SUBSTITUTE(SUBSTITUTE(SUBSTITUTE(SUBSTITUTE(SUBSTITUTE(SUBSTITUTE(SUBSTITUTE(SUBSTITUTE(SUBSTITUTE(SUBSTITUTE(SUBSTITUTE(SUBSTITUTE(SUBSTITUTE(SUBSTITUTE(SUBSTITUTE(SUBSTITUTE(SUBSTITUTE(SUBSTITUTE(SUBSTITUTE(SUBSTITUTE(SUBSTITUTE(LOWER(I25&amp;""),CHAR(10)," "),CHAR(13)," "),CHAR(9)," "),CHAR(160)," "),"."," "),","," "),"-"," "),"/"," "),"("," "),")"," "),":"," "),";"," "),"_"," "),"–"," "),"?"," "),"!"," "),"*"," "),"["," "),"]"," "),"'"," "),"#"," "),"+"," "),"&amp;"," "),"\"," "))&amp;" "</f>
        <v>  </v>
      </c>
      <c r="Y25" s="0" t="str">
        <f aca="false">" "&amp;TRIM(SUBSTITUTE(SUBSTITUTE(SUBSTITUTE(SUBSTITUTE(SUBSTITUTE(SUBSTITUTE(SUBSTITUTE(SUBSTITUTE(SUBSTITUTE(SUBSTITUTE(SUBSTITUTE(SUBSTITUTE(SUBSTITUTE(SUBSTITUTE(SUBSTITUTE(SUBSTITUTE(SUBSTITUTE(SUBSTITUTE(SUBSTITUTE(SUBSTITUTE(SUBSTITUTE(SUBSTITUTE(SUBSTITUTE(SUBSTITUTE(LOWER(N25&amp;""),CHAR(10)," "),CHAR(13)," "),CHAR(9)," "),CHAR(160)," "),"."," "),","," "),"-"," "),"/"," "),"("," "),")"," "),":"," "),";"," "),"_"," "),"–"," "),"?"," "),"!"," "),"*"," "),"["," "),"]"," "),"'"," "),"#"," "),"+"," "),"&amp;"," "),"\"," "))&amp;" "</f>
        <v>  </v>
      </c>
      <c r="Z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25,"jan","~"),"feb","~"),"mar","~"),"apr","~"),"may","~"),"jun","~"),"jul","~"),"aug","~"),"sep","~"),"oct","~"),"nov","~"),"dec","~")," nov "," ~ ")," dec "," ~ ")," mon "," ~ ")," tue "," ~ ")," wed "," ~ ")," thu "," ~ ")," fri "," ~ ")," sat "," ~ ")," sun "," ~ ")," gate "," ~ ")," bay "," ~ ")," stand "," ~ ")," position "," ~ ")," galley "," ~ ")," flight "," ~ ")," flt "," ~ ")," day "," ~ ")," date "," ~ ")," dated "," ~ ")," the "," ~ ")," and "," ~ ")," of "," ~ ")," in "," ~ ")," for "," ~ ")," with "," ~ ")</f>
        <v>  </v>
      </c>
      <c r="AA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25,"jan","~"),"feb","~"),"mar","~"),"apr","~"),"may","~"),"jun","~"),"jul","~"),"aug","~"),"sep","~"),"oct","~"),"nov","~"),"dec","~")," nov "," ~ ")," dec "," ~ ")," mon "," ~ ")," tue "," ~ ")," wed "," ~ ")," thu "," ~ ")," fri "," ~ ")," sat "," ~ ")," sun "," ~ ")," gate "," ~ ")," bay "," ~ ")," stand "," ~ ")," position "," ~ ")," galley "," ~ ")," flight "," ~ ")," flt "," ~ ")," day "," ~ ")," date "," ~ ")," dated "," ~ ")," the "," ~ ")," and "," ~ ")," of "," ~ ")," in "," ~ ")," for "," ~ ")," with "," ~ ")</f>
        <v>  </v>
      </c>
      <c r="AB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25," pax "," ~ ")," etd "," ~ ")," eta "," ~ ")," std "," ~ ")," sta "," ~ ")," atd "," ~ ")," ata "," ~ ")," lt "," ~ ")," utc "," ~ ")," local "," ~ ")," ok "," ~ ")," done "," ~ ")," seen "," ~ ")," chk "," ~ ")," chkd "," ~ ")," checked "," ~ ")," rcvd "," ~ ")," recd "," ~ ")," dep "," ~ ")," arr "," ~ ")," qty "," ~ ")," all "," ~ ")," ttl "," ~ ")," total "," ~ ")," via "," ~ ")," per "," ~ ")," call "," ~ ")," inbound "," ~ ")," outbound "," ~ ")," approx "," ~ ")</f>
        <v>  </v>
      </c>
      <c r="AC25"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25," pax "," ~ ")," etd "," ~ ")," eta "," ~ ")," std "," ~ ")," sta "," ~ ")," atd "," ~ ")," ata "," ~ ")," lt "," ~ ")," utc "," ~ ")," local "," ~ ")," ok "," ~ ")," done "," ~ ")," seen "," ~ ")," chk "," ~ ")," chkd "," ~ ")," checked "," ~ ")," rcvd "," ~ ")," recd "," ~ ")," dep "," ~ ")," arr "," ~ ")," qty "," ~ ")," all "," ~ ")," ttl "," ~ ")," total "," ~ ")," via "," ~ ")," per "," ~ ")," call "," ~ ")," inbound "," ~ ")," outbound "," ~ ")," approx "," ~ ")</f>
        <v>  </v>
      </c>
    </row>
    <row r="26" customFormat="false" ht="30" hidden="false" customHeight="true" outlineLevel="0" collapsed="false">
      <c r="A26" s="70" t="s">
        <v>312</v>
      </c>
      <c r="B26" s="57" t="str">
        <f aca="false">Flights!F26</f>
        <v>MH0002</v>
      </c>
      <c r="C26" s="71" t="n">
        <f aca="false">Flights!D26</f>
        <v>46325</v>
      </c>
      <c r="D26" s="70" t="str">
        <f aca="false">Flights!G26&amp;"-"&amp;Flights!H26</f>
        <v>KUL-LHR</v>
      </c>
      <c r="E26" s="70" t="str">
        <f aca="false">Flights!L26</f>
        <v>A350</v>
      </c>
      <c r="F26" s="60"/>
      <c r="G26" s="60"/>
      <c r="H26" s="72"/>
      <c r="I26" s="60"/>
      <c r="J26" s="73" t="str">
        <f aca="false">IFERROR(IF(AND(AND(LEN(SUBSTITUTE(SUBSTITUTE(SUBSTITUTE(SUBSTITUTE(SUBSTITUTE(SUBSTITUTE(SUBSTITUTE(SUBSTITUTE(SUBSTITUTE(SUBSTITUTE(SUBSTITUTE(SUBSTITUTE(SUBSTITUTE(SUBSTITUTE(SUBSTITUTE(SUBSTITUTE(LOWER(F26&amp;""),CHAR(10),""),CHAR(13),""),CHAR(9),""),CHAR(160),"")," ",""),".",""),"-",""),"/",""),"?",""),"_",""),",",""),"[",""),"]",""),"(",""),")",""),"*",""))&gt;=3,NOT(ISNUMBER(MATCH(LEFT(SUBSTITUTE(SUBSTITUTE(SUBSTITUTE(SUBSTITUTE(SUBSTITUTE(SUBSTITUTE(SUBSTITUTE(SUBSTITUTE(SUBSTITUTE(SUBSTITUTE(SUBSTITUTE(SUBSTITUTE(SUBSTITUTE(SUBSTITUTE(SUBSTITUTE(SUBSTITUTE(LOWER(F26&amp;""),CHAR(10),""),CHAR(13),""),CHAR(9),""),CHAR(160),"")," ",""),".",""),"-",""),"/",""),"?",""),"_",""),",",""),"[",""),"]",""),"(",""),")",""),"*",""),255),L_Placeholder,0)))),AND(SUMPRODUCT(--ISNUMBER(FIND({"0","1","2","3","4","5","6","7","8","9"},F26)))&gt;0,LOWER(TRIM(F26))&lt;&gt;LOWER(Flights!$F$26),NOT(AND(LEFT(LOWER(TRIM(F26)),2)="mh",ISNUMBER(--MID(TRIM(F26),3,6))))),AND(LEN(SUBSTITUTE(SUBSTITUTE(SUBSTITUTE(SUBSTITUTE(SUBSTITUTE(SUBSTITUTE(SUBSTITUTE(SUBSTITUTE(SUBSTITUTE(SUBSTITUTE(SUBSTITUTE(SUBSTITUTE(SUBSTITUTE(SUBSTITUTE(SUBSTITUTE(SUBSTITUTE(LOWER(G26&amp;""),CHAR(10),""),CHAR(13),""),CHAR(9),""),CHAR(160),"")," ",""),".",""),"-",""),"/",""),"?",""),"_",""),",",""),"[",""),"]",""),"(",""),")",""),"*",""))&gt;=1,NOT(ISNUMBER(MATCH(LEFT(SUBSTITUTE(SUBSTITUTE(SUBSTITUTE(SUBSTITUTE(SUBSTITUTE(SUBSTITUTE(SUBSTITUTE(SUBSTITUTE(SUBSTITUTE(SUBSTITUTE(SUBSTITUTE(SUBSTITUTE(SUBSTITUTE(SUBSTITUTE(SUBSTITUTE(SUBSTITUTE(LOWER(G26&amp;""),CHAR(10),""),CHAR(13),""),CHAR(9),""),CHAR(160),"")," ",""),".",""),"-",""),"/",""),"?",""),"_",""),",",""),"[",""),"]",""),"(",""),")",""),"*",""),255),L_Placeholder,0)))),ISNUMBER(H26),H26&gt;=DATE(2020,1,1),H26&lt;=Flights!$D$26,AND(LEN(SUBSTITUTE(SUBSTITUTE(SUBSTITUTE(SUBSTITUTE(SUBSTITUTE(SUBSTITUTE(SUBSTITUTE(SUBSTITUTE(SUBSTITUTE(SUBSTITUTE(SUBSTITUTE(SUBSTITUTE(SUBSTITUTE(SUBSTITUTE(SUBSTITUTE(SUBSTITUTE(LOWER(I26&amp;""),CHAR(10),""),CHAR(13),""),CHAR(9),""),CHAR(160),"")," ",""),".",""),"-",""),"/",""),"?",""),"_",""),",",""),"[",""),"]",""),"(",""),")",""),"*",""))&gt;=5,NOT(ISNUMBER(MATCH(LEFT(SUBSTITUTE(SUBSTITUTE(SUBSTITUTE(SUBSTITUTE(SUBSTITUTE(SUBSTITUTE(SUBSTITUTE(SUBSTITUTE(SUBSTITUTE(SUBSTITUTE(SUBSTITUTE(SUBSTITUTE(SUBSTITUTE(SUBSTITUTE(SUBSTITUTE(SUBSTITUTE(LOWER(I26&amp;""),CHAR(10),""),CHAR(13),""),CHAR(9),""),CHAR(160),"")," ",""),".",""),"-",""),"/",""),"?",""),"_",""),",",""),"[",""),"]",""),"(",""),")",""),"*",""),255),L_Placeholder,0)))),OR(SUMPRODUCT(--ISNUMBER(SEARCH({"aa000"," aa 000"," aaa 000"," aaaa 000"," a 0000"," a000 000"," aa 00 000"," aaa 00 000"},S26)))&gt;0,SUMPRODUCT(--ISNUMBER(SEARCH({"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R26)))&gt;0,SUMPRODUCT(--ISNUMBER(SEARCH({"http","www.","\",".pdf",".jpg",".jpeg",".png",".heic",".xls",".doc",".msg",".eml"},I26)))&gt;0,AND(SUMPRODUCT(--ISNUMBER(SEARCH({"sharepoint","onedrive","teams","dms","q-pulse","qpulse"},I26)))&gt;0,ISNUMBER(SEARCH("0",R26)))),NOT(SUMPRODUCT((LEN(X26)-LEN(SUBSTITUTE(X26," "&amp;L_PendStrict&amp;" "," ")))/(LEN(L_PendStrict)+1))&gt;SUMPRODUCT((LEN(X26)-LEN(SUBSTITUTE(X26," "&amp;L_PendNeg&amp;" "," ")))/(LEN(L_PendNeg)+1)))),"ON FILE","OUTSTANDING"),"OUTSTANDING")</f>
        <v>OUTSTANDING</v>
      </c>
      <c r="K26" s="60"/>
      <c r="L26" s="60"/>
      <c r="M26" s="72"/>
      <c r="N26" s="60"/>
      <c r="O26" s="73" t="str">
        <f aca="false">IFERROR(IF(AND(AND(LEN(SUBSTITUTE(SUBSTITUTE(SUBSTITUTE(SUBSTITUTE(SUBSTITUTE(SUBSTITUTE(SUBSTITUTE(SUBSTITUTE(SUBSTITUTE(SUBSTITUTE(SUBSTITUTE(SUBSTITUTE(SUBSTITUTE(SUBSTITUTE(SUBSTITUTE(SUBSTITUTE(LOWER(K26&amp;""),CHAR(10),""),CHAR(13),""),CHAR(9),""),CHAR(160),"")," ",""),".",""),"-",""),"/",""),"?",""),"_",""),",",""),"[",""),"]",""),"(",""),")",""),"*",""))&gt;=3,NOT(ISNUMBER(MATCH(LEFT(SUBSTITUTE(SUBSTITUTE(SUBSTITUTE(SUBSTITUTE(SUBSTITUTE(SUBSTITUTE(SUBSTITUTE(SUBSTITUTE(SUBSTITUTE(SUBSTITUTE(SUBSTITUTE(SUBSTITUTE(SUBSTITUTE(SUBSTITUTE(SUBSTITUTE(SUBSTITUTE(LOWER(K26&amp;""),CHAR(10),""),CHAR(13),""),CHAR(9),""),CHAR(160),"")," ",""),".",""),"-",""),"/",""),"?",""),"_",""),",",""),"[",""),"]",""),"(",""),")",""),"*",""),255),L_Placeholder,0)))),AND(SUMPRODUCT(--ISNUMBER(FIND({"0","1","2","3","4","5","6","7","8","9"},K26)))&gt;0,LOWER(TRIM(K26))&lt;&gt;LOWER(Flights!$F$26),NOT(AND(LEFT(LOWER(TRIM(K26)),2)="mh",ISNUMBER(--MID(TRIM(K26),3,6))))),AND(LEN(SUBSTITUTE(SUBSTITUTE(SUBSTITUTE(SUBSTITUTE(SUBSTITUTE(SUBSTITUTE(SUBSTITUTE(SUBSTITUTE(SUBSTITUTE(SUBSTITUTE(SUBSTITUTE(SUBSTITUTE(SUBSTITUTE(SUBSTITUTE(SUBSTITUTE(SUBSTITUTE(LOWER(L26&amp;""),CHAR(10),""),CHAR(13),""),CHAR(9),""),CHAR(160),"")," ",""),".",""),"-",""),"/",""),"?",""),"_",""),",",""),"[",""),"]",""),"(",""),")",""),"*",""))&gt;=1,NOT(ISNUMBER(MATCH(LEFT(SUBSTITUTE(SUBSTITUTE(SUBSTITUTE(SUBSTITUTE(SUBSTITUTE(SUBSTITUTE(SUBSTITUTE(SUBSTITUTE(SUBSTITUTE(SUBSTITUTE(SUBSTITUTE(SUBSTITUTE(SUBSTITUTE(SUBSTITUTE(SUBSTITUTE(SUBSTITUTE(LOWER(L26&amp;""),CHAR(10),""),CHAR(13),""),CHAR(9),""),CHAR(160),"")," ",""),".",""),"-",""),"/",""),"?",""),"_",""),",",""),"[",""),"]",""),"(",""),")",""),"*",""),255),L_Placeholder,0)))),ISNUMBER(M26),M26&gt;=DATE(2020,1,1),M26&lt;=Flights!$D$26,AND(LEN(SUBSTITUTE(SUBSTITUTE(SUBSTITUTE(SUBSTITUTE(SUBSTITUTE(SUBSTITUTE(SUBSTITUTE(SUBSTITUTE(SUBSTITUTE(SUBSTITUTE(SUBSTITUTE(SUBSTITUTE(SUBSTITUTE(SUBSTITUTE(SUBSTITUTE(SUBSTITUTE(LOWER(N26&amp;""),CHAR(10),""),CHAR(13),""),CHAR(9),""),CHAR(160),"")," ",""),".",""),"-",""),"/",""),"?",""),"_",""),",",""),"[",""),"]",""),"(",""),")",""),"*",""))&gt;=5,NOT(ISNUMBER(MATCH(LEFT(SUBSTITUTE(SUBSTITUTE(SUBSTITUTE(SUBSTITUTE(SUBSTITUTE(SUBSTITUTE(SUBSTITUTE(SUBSTITUTE(SUBSTITUTE(SUBSTITUTE(SUBSTITUTE(SUBSTITUTE(SUBSTITUTE(SUBSTITUTE(SUBSTITUTE(SUBSTITUTE(LOWER(N26&amp;""),CHAR(10),""),CHAR(13),""),CHAR(9),""),CHAR(160),"")," ",""),".",""),"-",""),"/",""),"?",""),"_",""),",",""),"[",""),"]",""),"(",""),")",""),"*",""),255),L_Placeholder,0)))),OR(SUMPRODUCT(--ISNUMBER(SEARCH({"aa000"," aa 000"," aaa 000"," aaaa 000"," a 0000"," a000 000"," aa 00 000"," aaa 00 000"},U26)))&gt;0,SUMPRODUCT(--ISNUMBER(SEARCH({" ref 00"," no 00"," nos 00"," # 00"," number 00"," numbers 00"," photo 00"," photos 00"," picture 00"," pictures 00"," pic 00"," image 00"," seal 00"," seals 00"," receipt 00"," note 00"," dn 00"," invoice 00"," po 00"," voucher 00"," checklist 00"," scan 00"," manifest 00"," binder 00"," folder 00"," file 00"," email 00"," memo 00"," form 00"," sheet 00"," log 00"," doc 00"," report 00"," img 00"," ack 00"," batch 00"," lot 00"," job 00"," record 00"," fax 00"," letter 00"," ticket 00"," case 00"," order 00"," id 00"," ref00"," no00"," nos00"," #00"," number00"," numbers00"," photo00"," photos00"," picture00"," pictures00"," pic00"," image00"," seal00"," seals00"," receipt00"," note00"," dn00"," invoice00"," po00"," voucher00"," checklist00"," scan00"," manifest00"," binder00"," folder00"," file00"," email00"," memo00"," form00"," sheet00"," log00"," doc00"," report00"," img00"," ack00"," batch00"," lot00"," job00"," record00"," fax00"," letter00"," ticket00"," case00"," order00"," id00"},T26)))&gt;0,SUMPRODUCT(--ISNUMBER(SEARCH({"http","www.","\",".pdf",".jpg",".jpeg",".png",".heic",".xls",".doc",".msg",".eml"},N26)))&gt;0,AND(SUMPRODUCT(--ISNUMBER(SEARCH({"sharepoint","onedrive","teams","dms","q-pulse","qpulse"},N26)))&gt;0,ISNUMBER(SEARCH("0",T26)))),NOT(SUMPRODUCT((LEN(Y26)-LEN(SUBSTITUTE(Y26," "&amp;L_PendStrict&amp;" "," ")))/(LEN(L_PendStrict)+1))&gt;SUMPRODUCT((LEN(Y26)-LEN(SUBSTITUTE(Y26," "&amp;L_PendNeg&amp;" "," ")))/(LEN(L_PendNeg)+1)))),"ON FILE","OUTSTANDING"),"OUTSTANDING")</f>
        <v>OUTSTANDING</v>
      </c>
      <c r="P26" s="74" t="n">
        <f aca="false">(J26="OUTSTANDING")+(O26="OUTSTANDING")</f>
        <v>2</v>
      </c>
      <c r="Q26" s="57" t="s">
        <v>1496</v>
      </c>
      <c r="R26" s="0" t="str">
        <f aca="false">SUBSTITUTE(SUBSTITUTE(SUBSTITUTE(SUBSTITUTE(SUBSTITUTE(SUBSTITUTE(SUBSTITUTE(SUBSTITUTE(SUBSTITUTE(LOWER(AB26&amp;""),"1","0"),"2","0"),"3","0"),"4","0"),"5","0"),"6","0"),"7","0"),"8","0"),"9","0")</f>
        <v>  </v>
      </c>
      <c r="S26" s="0" t="str">
        <f aca="false">SUBSTITUTE(SUBSTITUTE(SUBSTITUTE(SUBSTITUTE(SUBSTITUTE(SUBSTITUTE(SUBSTITUTE(SUBSTITUTE(SUBSTITUTE(SUBSTITUTE(SUBSTITUTE(SUBSTITUTE(SUBSTITUTE(SUBSTITUTE(SUBSTITUTE(SUBSTITUTE(SUBSTITUTE(SUBSTITUTE(SUBSTITUTE(SUBSTITUTE(SUBSTITUTE(SUBSTITUTE(SUBSTITUTE(SUBSTITUTE(SUBSTITUTE(R26,"b","a"),"c","a"),"d","a"),"e","a"),"f","a"),"g","a"),"h","a"),"i","a"),"j","a"),"k","a"),"l","a"),"m","a"),"n","a"),"o","a"),"p","a"),"q","a"),"r","a"),"s","a"),"t","a"),"u","a"),"v","a"),"w","a"),"x","a"),"y","a"),"z","a")</f>
        <v>  </v>
      </c>
      <c r="T26" s="0" t="str">
        <f aca="false">SUBSTITUTE(SUBSTITUTE(SUBSTITUTE(SUBSTITUTE(SUBSTITUTE(SUBSTITUTE(SUBSTITUTE(SUBSTITUTE(SUBSTITUTE(LOWER(AC26&amp;""),"1","0"),"2","0"),"3","0"),"4","0"),"5","0"),"6","0"),"7","0"),"8","0"),"9","0")</f>
        <v>  </v>
      </c>
      <c r="U26" s="0" t="str">
        <f aca="false">SUBSTITUTE(SUBSTITUTE(SUBSTITUTE(SUBSTITUTE(SUBSTITUTE(SUBSTITUTE(SUBSTITUTE(SUBSTITUTE(SUBSTITUTE(SUBSTITUTE(SUBSTITUTE(SUBSTITUTE(SUBSTITUTE(SUBSTITUTE(SUBSTITUTE(SUBSTITUTE(SUBSTITUTE(SUBSTITUTE(SUBSTITUTE(SUBSTITUTE(SUBSTITUTE(SUBSTITUTE(SUBSTITUTE(SUBSTITUTE(SUBSTITUTE(T26,"b","a"),"c","a"),"d","a"),"e","a"),"f","a"),"g","a"),"h","a"),"i","a"),"j","a"),"k","a"),"l","a"),"m","a"),"n","a"),"o","a"),"p","a"),"q","a"),"r","a"),"s","a"),"t","a"),"u","a"),"v","a"),"w","a"),"x","a"),"y","a"),"z","a")</f>
        <v>  </v>
      </c>
      <c r="V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X26," "&amp;LOWER(Flights!$F$26)&amp;" "," ~ ")," mh"," ~")," at "," ~ ")," by "," ~ ")," on "," ~ ")," to "," ~ ")," from "," ~ ")," until "," ~ ")," till "," ~ ")," before "," ~ ")," after "," ~ ")," around "," ~ ")," approx "," ~ ")," about "," ~ ")," since "," ~ ")," hrs "," ~ ")," hr "," ~ ")," hours "," ~ ")," time "," ~ ")," jan "," ~ ")," feb "," ~ ")," mar "," ~ ")," apr "," ~ ")," may "," ~ ")," jun "," ~ ")," jul "," ~ ")," aug "," ~ ")," sep "," ~ ")," sept "," ~ ")," oct "," ~ ")</f>
        <v>  </v>
      </c>
      <c r="W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Y26," "&amp;LOWER(Flights!$F$26)&amp;" "," ~ ")," mh"," ~")," at "," ~ ")," by "," ~ ")," on "," ~ ")," to "," ~ ")," from "," ~ ")," until "," ~ ")," till "," ~ ")," before "," ~ ")," after "," ~ ")," around "," ~ ")," approx "," ~ ")," about "," ~ ")," since "," ~ ")," hrs "," ~ ")," hr "," ~ ")," hours "," ~ ")," time "," ~ ")," jan "," ~ ")," feb "," ~ ")," mar "," ~ ")," apr "," ~ ")," may "," ~ ")," jun "," ~ ")," jul "," ~ ")," aug "," ~ ")," sep "," ~ ")," sept "," ~ ")," oct "," ~ ")</f>
        <v>  </v>
      </c>
      <c r="X26" s="0" t="str">
        <f aca="false">" "&amp;TRIM(SUBSTITUTE(SUBSTITUTE(SUBSTITUTE(SUBSTITUTE(SUBSTITUTE(SUBSTITUTE(SUBSTITUTE(SUBSTITUTE(SUBSTITUTE(SUBSTITUTE(SUBSTITUTE(SUBSTITUTE(SUBSTITUTE(SUBSTITUTE(SUBSTITUTE(SUBSTITUTE(SUBSTITUTE(SUBSTITUTE(SUBSTITUTE(SUBSTITUTE(SUBSTITUTE(SUBSTITUTE(SUBSTITUTE(SUBSTITUTE(LOWER(I26&amp;""),CHAR(10)," "),CHAR(13)," "),CHAR(9)," "),CHAR(160)," "),"."," "),","," "),"-"," "),"/"," "),"("," "),")"," "),":"," "),";"," "),"_"," "),"–"," "),"?"," "),"!"," "),"*"," "),"["," "),"]"," "),"'"," "),"#"," "),"+"," "),"&amp;"," "),"\"," "))&amp;" "</f>
        <v>  </v>
      </c>
      <c r="Y26" s="0" t="str">
        <f aca="false">" "&amp;TRIM(SUBSTITUTE(SUBSTITUTE(SUBSTITUTE(SUBSTITUTE(SUBSTITUTE(SUBSTITUTE(SUBSTITUTE(SUBSTITUTE(SUBSTITUTE(SUBSTITUTE(SUBSTITUTE(SUBSTITUTE(SUBSTITUTE(SUBSTITUTE(SUBSTITUTE(SUBSTITUTE(SUBSTITUTE(SUBSTITUTE(SUBSTITUTE(SUBSTITUTE(SUBSTITUTE(SUBSTITUTE(SUBSTITUTE(SUBSTITUTE(LOWER(N26&amp;""),CHAR(10)," "),CHAR(13)," "),CHAR(9)," "),CHAR(160)," "),"."," "),","," "),"-"," "),"/"," "),"("," "),")"," "),":"," "),";"," "),"_"," "),"–"," "),"?"," "),"!"," "),"*"," "),"["," "),"]"," "),"'"," "),"#"," "),"+"," "),"&amp;"," "),"\"," "))&amp;" "</f>
        <v>  </v>
      </c>
      <c r="Z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V26,"jan","~"),"feb","~"),"mar","~"),"apr","~"),"may","~"),"jun","~"),"jul","~"),"aug","~"),"sep","~"),"oct","~"),"nov","~"),"dec","~")," nov "," ~ ")," dec "," ~ ")," mon "," ~ ")," tue "," ~ ")," wed "," ~ ")," thu "," ~ ")," fri "," ~ ")," sat "," ~ ")," sun "," ~ ")," gate "," ~ ")," bay "," ~ ")," stand "," ~ ")," position "," ~ ")," galley "," ~ ")," flight "," ~ ")," flt "," ~ ")," day "," ~ ")," date "," ~ ")," dated "," ~ ")," the "," ~ ")," and "," ~ ")," of "," ~ ")," in "," ~ ")," for "," ~ ")," with "," ~ ")</f>
        <v>  </v>
      </c>
      <c r="AA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W26,"jan","~"),"feb","~"),"mar","~"),"apr","~"),"may","~"),"jun","~"),"jul","~"),"aug","~"),"sep","~"),"oct","~"),"nov","~"),"dec","~")," nov "," ~ ")," dec "," ~ ")," mon "," ~ ")," tue "," ~ ")," wed "," ~ ")," thu "," ~ ")," fri "," ~ ")," sat "," ~ ")," sun "," ~ ")," gate "," ~ ")," bay "," ~ ")," stand "," ~ ")," position "," ~ ")," galley "," ~ ")," flight "," ~ ")," flt "," ~ ")," day "," ~ ")," date "," ~ ")," dated "," ~ ")," the "," ~ ")," and "," ~ ")," of "," ~ ")," in "," ~ ")," for "," ~ ")," with "," ~ ")</f>
        <v>  </v>
      </c>
      <c r="AB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Z26," pax "," ~ ")," etd "," ~ ")," eta "," ~ ")," std "," ~ ")," sta "," ~ ")," atd "," ~ ")," ata "," ~ ")," lt "," ~ ")," utc "," ~ ")," local "," ~ ")," ok "," ~ ")," done "," ~ ")," seen "," ~ ")," chk "," ~ ")," chkd "," ~ ")," checked "," ~ ")," rcvd "," ~ ")," recd "," ~ ")," dep "," ~ ")," arr "," ~ ")," qty "," ~ ")," all "," ~ ")," ttl "," ~ ")," total "," ~ ")," via "," ~ ")," per "," ~ ")," call "," ~ ")," inbound "," ~ ")," outbound "," ~ ")," approx "," ~ ")</f>
        <v>  </v>
      </c>
      <c r="AC26" s="0" t="str">
        <f aca="fals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AA26," pax "," ~ ")," etd "," ~ ")," eta "," ~ ")," std "," ~ ")," sta "," ~ ")," atd "," ~ ")," ata "," ~ ")," lt "," ~ ")," utc "," ~ ")," local "," ~ ")," ok "," ~ ")," done "," ~ ")," seen "," ~ ")," chk "," ~ ")," chkd "," ~ ")," checked "," ~ ")," rcvd "," ~ ")," recd "," ~ ")," dep "," ~ ")," arr "," ~ ")," qty "," ~ ")," all "," ~ ")," ttl "," ~ ")," total "," ~ ")," via "," ~ ")," per "," ~ ")," call "," ~ ")," inbound "," ~ ")," outbound "," ~ ")," approx "," ~ ")</f>
        <v>  </v>
      </c>
    </row>
  </sheetData>
  <sheetProtection sheet="true" formatCells="false" formatColumns="false" formatRows="false" autoFilter="false"/>
  <mergeCells count="1">
    <mergeCell ref="C2:I2"/>
  </mergeCells>
  <conditionalFormatting sqref="J5:J26">
    <cfRule type="cellIs" priority="2" operator="equal" aboveAverage="0" equalAverage="0" bottom="0" percent="0" rank="0" text="" dxfId="16">
      <formula>"OUTSTANDING"</formula>
    </cfRule>
    <cfRule type="cellIs" priority="3" operator="equal" aboveAverage="0" equalAverage="0" bottom="0" percent="0" rank="0" text="" dxfId="15">
      <formula>"ON FILE"</formula>
    </cfRule>
  </conditionalFormatting>
  <conditionalFormatting sqref="O5:O26">
    <cfRule type="cellIs" priority="4" operator="equal" aboveAverage="0" equalAverage="0" bottom="0" percent="0" rank="0" text="" dxfId="16">
      <formula>"OUTSTANDING"</formula>
    </cfRule>
    <cfRule type="cellIs" priority="5" operator="equal" aboveAverage="0" equalAverage="0" bottom="0" percent="0" rank="0" text="" dxfId="15">
      <formula>"ON FILE"</formula>
    </cfRule>
  </conditionalFormatting>
  <dataValidations count="1">
    <dataValidation allowBlank="true" error="Enter the revision date (2020–2026)." errorStyle="stop" operator="between" showDropDown="false" showErrorMessage="true" showInputMessage="false" sqref="H5:H26 M5:M26" type="date">
      <formula1>43831</formula1>
      <formula2>46387</formula2>
    </dataValidation>
  </dataValidations>
  <printOptions headings="false" gridLines="false" gridLinesSet="true" horizontalCentered="false" verticalCentered="false"/>
  <pageMargins left="0.3" right="0.3" top="1" bottom="1" header="0.511811023622047" footer="0.5"/>
  <pageSetup paperSize="9" scale="100" fitToWidth="3" fitToHeight="0" pageOrder="downThenOver" orientation="landscape" blackAndWhite="false" draft="false" cellComments="none" horizontalDpi="300" verticalDpi="300" copies="1"/>
  <headerFooter differentFirst="false" differentOddEven="false">
    <oddHeader/>
    <oddFooter>&amp;C&amp;8 &amp;A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9"/>
    <col collapsed="false" customWidth="true" hidden="false" outlineLevel="0" max="4" min="4" style="0" width="11"/>
    <col collapsed="false" customWidth="true" hidden="false" outlineLevel="0" max="5" min="5" style="0" width="30"/>
    <col collapsed="false" customWidth="true" hidden="false" outlineLevel="0" max="7" min="6" style="0" width="14"/>
    <col collapsed="false" customWidth="true" hidden="false" outlineLevel="0" max="8" min="8" style="0" width="16"/>
    <col collapsed="false" customWidth="true" hidden="false" outlineLevel="0" max="9" min="9" style="0" width="20"/>
  </cols>
  <sheetData>
    <row r="1" customFormat="false" ht="24" hidden="false" customHeight="true" outlineLevel="0" collapsed="false">
      <c r="A1" s="54" t="s">
        <v>1498</v>
      </c>
    </row>
    <row r="2" customFormat="false" ht="28.5" hidden="false" customHeight="true" outlineLevel="0" collapsed="false">
      <c r="A2" s="55" t="s">
        <v>1499</v>
      </c>
      <c r="B2" s="55"/>
      <c r="C2" s="55"/>
      <c r="D2" s="55"/>
      <c r="E2" s="55"/>
      <c r="F2" s="55"/>
      <c r="G2" s="55"/>
      <c r="H2" s="55"/>
      <c r="I2" s="55"/>
    </row>
    <row r="4" customFormat="false" ht="31.5" hidden="false" customHeight="true" outlineLevel="0" collapsed="false">
      <c r="A4" s="56" t="s">
        <v>121</v>
      </c>
      <c r="B4" s="56" t="s">
        <v>1500</v>
      </c>
      <c r="C4" s="56" t="s">
        <v>1501</v>
      </c>
      <c r="D4" s="56" t="s">
        <v>1502</v>
      </c>
      <c r="E4" s="56" t="s">
        <v>1503</v>
      </c>
      <c r="F4" s="56" t="s">
        <v>1504</v>
      </c>
      <c r="G4" s="56" t="s">
        <v>1505</v>
      </c>
      <c r="H4" s="56" t="s">
        <v>1506</v>
      </c>
      <c r="I4" s="56" t="s">
        <v>1507</v>
      </c>
    </row>
    <row r="5" customFormat="false" ht="24" hidden="false" customHeight="true" outlineLevel="0" collapsed="false">
      <c r="A5" s="57" t="n">
        <v>1</v>
      </c>
      <c r="B5" s="60"/>
      <c r="C5" s="60"/>
      <c r="D5" s="72"/>
      <c r="E5" s="60"/>
      <c r="F5" s="60"/>
      <c r="G5" s="72"/>
      <c r="H5" s="60"/>
      <c r="I5" s="60"/>
    </row>
    <row r="6" customFormat="false" ht="24" hidden="false" customHeight="true" outlineLevel="0" collapsed="false">
      <c r="A6" s="57" t="n">
        <v>2</v>
      </c>
      <c r="B6" s="60"/>
      <c r="C6" s="60"/>
      <c r="D6" s="72"/>
      <c r="E6" s="60"/>
      <c r="F6" s="60"/>
      <c r="G6" s="72"/>
      <c r="H6" s="60"/>
      <c r="I6" s="60"/>
    </row>
    <row r="7" customFormat="false" ht="24" hidden="false" customHeight="true" outlineLevel="0" collapsed="false">
      <c r="A7" s="57" t="n">
        <v>3</v>
      </c>
      <c r="B7" s="60"/>
      <c r="C7" s="60"/>
      <c r="D7" s="72"/>
      <c r="E7" s="60"/>
      <c r="F7" s="60"/>
      <c r="G7" s="72"/>
      <c r="H7" s="60"/>
      <c r="I7" s="60"/>
    </row>
    <row r="8" customFormat="false" ht="24" hidden="false" customHeight="true" outlineLevel="0" collapsed="false">
      <c r="A8" s="57" t="n">
        <v>4</v>
      </c>
      <c r="B8" s="60"/>
      <c r="C8" s="60"/>
      <c r="D8" s="72"/>
      <c r="E8" s="60"/>
      <c r="F8" s="60"/>
      <c r="G8" s="72"/>
      <c r="H8" s="60"/>
      <c r="I8" s="60"/>
    </row>
    <row r="9" customFormat="false" ht="24" hidden="false" customHeight="true" outlineLevel="0" collapsed="false">
      <c r="A9" s="57" t="n">
        <v>5</v>
      </c>
      <c r="B9" s="60"/>
      <c r="C9" s="60"/>
      <c r="D9" s="72"/>
      <c r="E9" s="60"/>
      <c r="F9" s="60"/>
      <c r="G9" s="72"/>
      <c r="H9" s="60"/>
      <c r="I9" s="60"/>
    </row>
    <row r="10" customFormat="false" ht="24" hidden="false" customHeight="true" outlineLevel="0" collapsed="false">
      <c r="A10" s="57" t="n">
        <v>6</v>
      </c>
      <c r="B10" s="60"/>
      <c r="C10" s="60"/>
      <c r="D10" s="72"/>
      <c r="E10" s="60"/>
      <c r="F10" s="60"/>
      <c r="G10" s="72"/>
      <c r="H10" s="60"/>
      <c r="I10" s="60"/>
    </row>
    <row r="11" customFormat="false" ht="24" hidden="false" customHeight="true" outlineLevel="0" collapsed="false">
      <c r="A11" s="57" t="n">
        <v>7</v>
      </c>
      <c r="B11" s="60"/>
      <c r="C11" s="60"/>
      <c r="D11" s="72"/>
      <c r="E11" s="60"/>
      <c r="F11" s="60"/>
      <c r="G11" s="72"/>
      <c r="H11" s="60"/>
      <c r="I11" s="60"/>
    </row>
    <row r="12" customFormat="false" ht="24" hidden="false" customHeight="true" outlineLevel="0" collapsed="false">
      <c r="A12" s="57" t="n">
        <v>8</v>
      </c>
      <c r="B12" s="60"/>
      <c r="C12" s="60"/>
      <c r="D12" s="72"/>
      <c r="E12" s="60"/>
      <c r="F12" s="60"/>
      <c r="G12" s="72"/>
      <c r="H12" s="60"/>
      <c r="I12" s="60"/>
    </row>
    <row r="13" customFormat="false" ht="24" hidden="false" customHeight="true" outlineLevel="0" collapsed="false">
      <c r="A13" s="57" t="n">
        <v>9</v>
      </c>
      <c r="B13" s="60"/>
      <c r="C13" s="60"/>
      <c r="D13" s="72"/>
      <c r="E13" s="60"/>
      <c r="F13" s="60"/>
      <c r="G13" s="72"/>
      <c r="H13" s="60"/>
      <c r="I13" s="60"/>
    </row>
    <row r="14" customFormat="false" ht="24" hidden="false" customHeight="true" outlineLevel="0" collapsed="false">
      <c r="A14" s="57" t="n">
        <v>10</v>
      </c>
      <c r="B14" s="60"/>
      <c r="C14" s="60"/>
      <c r="D14" s="72"/>
      <c r="E14" s="60"/>
      <c r="F14" s="60"/>
      <c r="G14" s="72"/>
      <c r="H14" s="60"/>
      <c r="I14" s="60"/>
    </row>
    <row r="15" customFormat="false" ht="24" hidden="false" customHeight="true" outlineLevel="0" collapsed="false">
      <c r="A15" s="57" t="n">
        <v>11</v>
      </c>
      <c r="B15" s="60"/>
      <c r="C15" s="60"/>
      <c r="D15" s="72"/>
      <c r="E15" s="60"/>
      <c r="F15" s="60"/>
      <c r="G15" s="72"/>
      <c r="H15" s="60"/>
      <c r="I15" s="60"/>
    </row>
    <row r="16" customFormat="false" ht="24" hidden="false" customHeight="true" outlineLevel="0" collapsed="false">
      <c r="A16" s="57" t="n">
        <v>12</v>
      </c>
      <c r="B16" s="60"/>
      <c r="C16" s="60"/>
      <c r="D16" s="72"/>
      <c r="E16" s="60"/>
      <c r="F16" s="60"/>
      <c r="G16" s="72"/>
      <c r="H16" s="60"/>
      <c r="I16" s="60"/>
    </row>
    <row r="17" customFormat="false" ht="24" hidden="false" customHeight="true" outlineLevel="0" collapsed="false">
      <c r="A17" s="57" t="n">
        <v>13</v>
      </c>
      <c r="B17" s="60"/>
      <c r="C17" s="60"/>
      <c r="D17" s="72"/>
      <c r="E17" s="60"/>
      <c r="F17" s="60"/>
      <c r="G17" s="72"/>
      <c r="H17" s="60"/>
      <c r="I17" s="60"/>
    </row>
    <row r="18" customFormat="false" ht="24" hidden="false" customHeight="true" outlineLevel="0" collapsed="false">
      <c r="A18" s="57" t="n">
        <v>14</v>
      </c>
      <c r="B18" s="60"/>
      <c r="C18" s="60"/>
      <c r="D18" s="72"/>
      <c r="E18" s="60"/>
      <c r="F18" s="60"/>
      <c r="G18" s="72"/>
      <c r="H18" s="60"/>
      <c r="I18" s="60"/>
    </row>
    <row r="19" customFormat="false" ht="24" hidden="false" customHeight="true" outlineLevel="0" collapsed="false">
      <c r="A19" s="57" t="n">
        <v>15</v>
      </c>
      <c r="B19" s="60"/>
      <c r="C19" s="60"/>
      <c r="D19" s="72"/>
      <c r="E19" s="60"/>
      <c r="F19" s="60"/>
      <c r="G19" s="72"/>
      <c r="H19" s="60"/>
      <c r="I19" s="60"/>
    </row>
    <row r="20" customFormat="false" ht="24" hidden="false" customHeight="true" outlineLevel="0" collapsed="false">
      <c r="A20" s="57" t="n">
        <v>16</v>
      </c>
      <c r="B20" s="60"/>
      <c r="C20" s="60"/>
      <c r="D20" s="72"/>
      <c r="E20" s="60"/>
      <c r="F20" s="60"/>
      <c r="G20" s="72"/>
      <c r="H20" s="60"/>
      <c r="I20" s="60"/>
    </row>
    <row r="21" customFormat="false" ht="24" hidden="false" customHeight="true" outlineLevel="0" collapsed="false">
      <c r="A21" s="57" t="n">
        <v>17</v>
      </c>
      <c r="B21" s="60"/>
      <c r="C21" s="60"/>
      <c r="D21" s="72"/>
      <c r="E21" s="60"/>
      <c r="F21" s="60"/>
      <c r="G21" s="72"/>
      <c r="H21" s="60"/>
      <c r="I21" s="60"/>
    </row>
    <row r="22" customFormat="false" ht="24" hidden="false" customHeight="true" outlineLevel="0" collapsed="false">
      <c r="A22" s="57" t="n">
        <v>18</v>
      </c>
      <c r="B22" s="60"/>
      <c r="C22" s="60"/>
      <c r="D22" s="72"/>
      <c r="E22" s="60"/>
      <c r="F22" s="60"/>
      <c r="G22" s="72"/>
      <c r="H22" s="60"/>
      <c r="I22" s="60"/>
    </row>
    <row r="23" customFormat="false" ht="24" hidden="false" customHeight="true" outlineLevel="0" collapsed="false">
      <c r="A23" s="57" t="n">
        <v>19</v>
      </c>
      <c r="B23" s="60"/>
      <c r="C23" s="60"/>
      <c r="D23" s="72"/>
      <c r="E23" s="60"/>
      <c r="F23" s="60"/>
      <c r="G23" s="72"/>
      <c r="H23" s="60"/>
      <c r="I23" s="60"/>
    </row>
    <row r="24" customFormat="false" ht="24" hidden="false" customHeight="true" outlineLevel="0" collapsed="false">
      <c r="A24" s="57" t="n">
        <v>20</v>
      </c>
      <c r="B24" s="60"/>
      <c r="C24" s="60"/>
      <c r="D24" s="72"/>
      <c r="E24" s="60"/>
      <c r="F24" s="60"/>
      <c r="G24" s="72"/>
      <c r="H24" s="60"/>
      <c r="I24" s="60"/>
    </row>
    <row r="25" customFormat="false" ht="24" hidden="false" customHeight="true" outlineLevel="0" collapsed="false">
      <c r="A25" s="57" t="n">
        <v>21</v>
      </c>
      <c r="B25" s="60"/>
      <c r="C25" s="60"/>
      <c r="D25" s="72"/>
      <c r="E25" s="60"/>
      <c r="F25" s="60"/>
      <c r="G25" s="72"/>
      <c r="H25" s="60"/>
      <c r="I25" s="60"/>
    </row>
    <row r="26" customFormat="false" ht="24" hidden="false" customHeight="true" outlineLevel="0" collapsed="false">
      <c r="A26" s="57" t="n">
        <v>22</v>
      </c>
      <c r="B26" s="60"/>
      <c r="C26" s="60"/>
      <c r="D26" s="72"/>
      <c r="E26" s="60"/>
      <c r="F26" s="60"/>
      <c r="G26" s="72"/>
      <c r="H26" s="60"/>
      <c r="I26" s="60"/>
    </row>
    <row r="27" customFormat="false" ht="24" hidden="false" customHeight="true" outlineLevel="0" collapsed="false">
      <c r="A27" s="57" t="n">
        <v>23</v>
      </c>
      <c r="B27" s="60"/>
      <c r="C27" s="60"/>
      <c r="D27" s="72"/>
      <c r="E27" s="60"/>
      <c r="F27" s="60"/>
      <c r="G27" s="72"/>
      <c r="H27" s="60"/>
      <c r="I27" s="60"/>
    </row>
    <row r="28" customFormat="false" ht="24" hidden="false" customHeight="true" outlineLevel="0" collapsed="false">
      <c r="A28" s="57" t="n">
        <v>24</v>
      </c>
      <c r="B28" s="60"/>
      <c r="C28" s="60"/>
      <c r="D28" s="72"/>
      <c r="E28" s="60"/>
      <c r="F28" s="60"/>
      <c r="G28" s="72"/>
      <c r="H28" s="60"/>
      <c r="I28" s="60"/>
    </row>
    <row r="29" customFormat="false" ht="24" hidden="false" customHeight="true" outlineLevel="0" collapsed="false">
      <c r="A29" s="57" t="n">
        <v>25</v>
      </c>
      <c r="B29" s="60"/>
      <c r="C29" s="60"/>
      <c r="D29" s="72"/>
      <c r="E29" s="60"/>
      <c r="F29" s="60"/>
      <c r="G29" s="72"/>
      <c r="H29" s="60"/>
      <c r="I29" s="60"/>
    </row>
    <row r="30" customFormat="false" ht="24" hidden="false" customHeight="true" outlineLevel="0" collapsed="false">
      <c r="A30" s="57" t="n">
        <v>26</v>
      </c>
      <c r="B30" s="60"/>
      <c r="C30" s="60"/>
      <c r="D30" s="72"/>
      <c r="E30" s="60"/>
      <c r="F30" s="60"/>
      <c r="G30" s="72"/>
      <c r="H30" s="60"/>
      <c r="I30" s="60"/>
    </row>
    <row r="31" customFormat="false" ht="24" hidden="false" customHeight="true" outlineLevel="0" collapsed="false">
      <c r="A31" s="57" t="n">
        <v>27</v>
      </c>
      <c r="B31" s="60"/>
      <c r="C31" s="60"/>
      <c r="D31" s="72"/>
      <c r="E31" s="60"/>
      <c r="F31" s="60"/>
      <c r="G31" s="72"/>
      <c r="H31" s="60"/>
      <c r="I31" s="60"/>
    </row>
    <row r="32" customFormat="false" ht="24" hidden="false" customHeight="true" outlineLevel="0" collapsed="false">
      <c r="A32" s="57" t="n">
        <v>28</v>
      </c>
      <c r="B32" s="60"/>
      <c r="C32" s="60"/>
      <c r="D32" s="72"/>
      <c r="E32" s="60"/>
      <c r="F32" s="60"/>
      <c r="G32" s="72"/>
      <c r="H32" s="60"/>
      <c r="I32" s="60"/>
    </row>
    <row r="33" customFormat="false" ht="24" hidden="false" customHeight="true" outlineLevel="0" collapsed="false">
      <c r="A33" s="57" t="n">
        <v>29</v>
      </c>
      <c r="B33" s="60"/>
      <c r="C33" s="60"/>
      <c r="D33" s="72"/>
      <c r="E33" s="60"/>
      <c r="F33" s="60"/>
      <c r="G33" s="72"/>
      <c r="H33" s="60"/>
      <c r="I33" s="60"/>
    </row>
    <row r="34" customFormat="false" ht="24" hidden="false" customHeight="true" outlineLevel="0" collapsed="false">
      <c r="A34" s="57" t="n">
        <v>30</v>
      </c>
      <c r="B34" s="60"/>
      <c r="C34" s="60"/>
      <c r="D34" s="72"/>
      <c r="E34" s="60"/>
      <c r="F34" s="60"/>
      <c r="G34" s="72"/>
      <c r="H34" s="60"/>
      <c r="I34" s="60"/>
    </row>
    <row r="35" customFormat="false" ht="24" hidden="false" customHeight="true" outlineLevel="0" collapsed="false">
      <c r="A35" s="57" t="n">
        <v>31</v>
      </c>
      <c r="B35" s="60"/>
      <c r="C35" s="60"/>
      <c r="D35" s="72"/>
      <c r="E35" s="60"/>
      <c r="F35" s="60"/>
      <c r="G35" s="72"/>
      <c r="H35" s="60"/>
      <c r="I35" s="60"/>
    </row>
    <row r="36" customFormat="false" ht="24" hidden="false" customHeight="true" outlineLevel="0" collapsed="false">
      <c r="A36" s="57" t="n">
        <v>32</v>
      </c>
      <c r="B36" s="60"/>
      <c r="C36" s="60"/>
      <c r="D36" s="72"/>
      <c r="E36" s="60"/>
      <c r="F36" s="60"/>
      <c r="G36" s="72"/>
      <c r="H36" s="60"/>
      <c r="I36" s="60"/>
    </row>
    <row r="37" customFormat="false" ht="24" hidden="false" customHeight="true" outlineLevel="0" collapsed="false">
      <c r="A37" s="57" t="n">
        <v>33</v>
      </c>
      <c r="B37" s="60"/>
      <c r="C37" s="60"/>
      <c r="D37" s="72"/>
      <c r="E37" s="60"/>
      <c r="F37" s="60"/>
      <c r="G37" s="72"/>
      <c r="H37" s="60"/>
      <c r="I37" s="60"/>
    </row>
    <row r="38" customFormat="false" ht="24" hidden="false" customHeight="true" outlineLevel="0" collapsed="false">
      <c r="A38" s="57" t="n">
        <v>34</v>
      </c>
      <c r="B38" s="60"/>
      <c r="C38" s="60"/>
      <c r="D38" s="72"/>
      <c r="E38" s="60"/>
      <c r="F38" s="60"/>
      <c r="G38" s="72"/>
      <c r="H38" s="60"/>
      <c r="I38" s="60"/>
    </row>
    <row r="39" customFormat="false" ht="24" hidden="false" customHeight="true" outlineLevel="0" collapsed="false">
      <c r="A39" s="57" t="n">
        <v>35</v>
      </c>
      <c r="B39" s="60"/>
      <c r="C39" s="60"/>
      <c r="D39" s="72"/>
      <c r="E39" s="60"/>
      <c r="F39" s="60"/>
      <c r="G39" s="72"/>
      <c r="H39" s="60"/>
      <c r="I39" s="60"/>
    </row>
    <row r="40" customFormat="false" ht="24" hidden="false" customHeight="true" outlineLevel="0" collapsed="false">
      <c r="A40" s="57" t="n">
        <v>36</v>
      </c>
      <c r="B40" s="60"/>
      <c r="C40" s="60"/>
      <c r="D40" s="72"/>
      <c r="E40" s="60"/>
      <c r="F40" s="60"/>
      <c r="G40" s="72"/>
      <c r="H40" s="60"/>
      <c r="I40" s="60"/>
    </row>
    <row r="41" customFormat="false" ht="24" hidden="false" customHeight="true" outlineLevel="0" collapsed="false">
      <c r="A41" s="57" t="n">
        <v>37</v>
      </c>
      <c r="B41" s="60"/>
      <c r="C41" s="60"/>
      <c r="D41" s="72"/>
      <c r="E41" s="60"/>
      <c r="F41" s="60"/>
      <c r="G41" s="72"/>
      <c r="H41" s="60"/>
      <c r="I41" s="60"/>
    </row>
    <row r="42" customFormat="false" ht="24" hidden="false" customHeight="true" outlineLevel="0" collapsed="false">
      <c r="A42" s="57" t="n">
        <v>38</v>
      </c>
      <c r="B42" s="60"/>
      <c r="C42" s="60"/>
      <c r="D42" s="72"/>
      <c r="E42" s="60"/>
      <c r="F42" s="60"/>
      <c r="G42" s="72"/>
      <c r="H42" s="60"/>
      <c r="I42" s="60"/>
    </row>
    <row r="43" customFormat="false" ht="24" hidden="false" customHeight="true" outlineLevel="0" collapsed="false">
      <c r="A43" s="57" t="n">
        <v>39</v>
      </c>
      <c r="B43" s="60"/>
      <c r="C43" s="60"/>
      <c r="D43" s="72"/>
      <c r="E43" s="60"/>
      <c r="F43" s="60"/>
      <c r="G43" s="72"/>
      <c r="H43" s="60"/>
      <c r="I43" s="60"/>
    </row>
    <row r="44" customFormat="false" ht="24" hidden="false" customHeight="true" outlineLevel="0" collapsed="false">
      <c r="A44" s="57" t="n">
        <v>40</v>
      </c>
      <c r="B44" s="60"/>
      <c r="C44" s="60"/>
      <c r="D44" s="72"/>
      <c r="E44" s="60"/>
      <c r="F44" s="60"/>
      <c r="G44" s="72"/>
      <c r="H44" s="60"/>
      <c r="I44" s="60"/>
    </row>
  </sheetData>
  <sheetProtection sheet="true" formatCells="false" formatColumns="false" formatRows="false" autoFilter="false"/>
  <mergeCells count="1">
    <mergeCell ref="A2:I2"/>
  </mergeCells>
  <printOptions headings="false" gridLines="false" gridLinesSet="true" horizontalCentered="false" verticalCentered="false"/>
  <pageMargins left="0.3" right="0.3"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&amp;A  |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0"/>
    <col collapsed="false" customWidth="true" hidden="false" outlineLevel="0" max="4" min="4" style="0" width="9"/>
    <col collapsed="false" customWidth="true" hidden="false" outlineLevel="0" max="5" min="5" style="0" width="6"/>
    <col collapsed="false" customWidth="true" hidden="false" outlineLevel="0" max="6" min="6" style="0" width="9"/>
    <col collapsed="false" customWidth="true" hidden="false" outlineLevel="0" max="7" min="7" style="0" width="14"/>
    <col collapsed="false" customWidth="true" hidden="false" outlineLevel="0" max="9" min="8" style="0" width="30"/>
    <col collapsed="false" customWidth="true" hidden="false" outlineLevel="0" max="10" min="10" style="0" width="12"/>
    <col collapsed="false" customWidth="true" hidden="false" outlineLevel="0" max="12" min="11" style="0" width="14"/>
    <col collapsed="false" customWidth="true" hidden="false" outlineLevel="0" max="13" min="13" style="0" width="50"/>
    <col collapsed="false" customWidth="true" hidden="false" outlineLevel="0" max="14" min="14" style="0" width="38"/>
  </cols>
  <sheetData>
    <row r="1" customFormat="false" ht="24" hidden="false" customHeight="true" outlineLevel="0" collapsed="false">
      <c r="A1" s="54" t="s">
        <v>1508</v>
      </c>
    </row>
    <row r="2" customFormat="false" ht="41.25" hidden="false" customHeight="true" outlineLevel="0" collapsed="false">
      <c r="C2" s="55" t="s">
        <v>1509</v>
      </c>
      <c r="D2" s="55"/>
      <c r="E2" s="55"/>
      <c r="F2" s="55"/>
      <c r="G2" s="55"/>
      <c r="H2" s="55"/>
      <c r="I2" s="55"/>
    </row>
    <row r="4" customFormat="false" ht="42" hidden="false" customHeight="true" outlineLevel="0" collapsed="false">
      <c r="A4" s="56" t="s">
        <v>137</v>
      </c>
      <c r="B4" s="56" t="s">
        <v>140</v>
      </c>
      <c r="C4" s="56" t="s">
        <v>108</v>
      </c>
      <c r="D4" s="56" t="s">
        <v>109</v>
      </c>
      <c r="E4" s="56" t="s">
        <v>318</v>
      </c>
      <c r="F4" s="56" t="s">
        <v>111</v>
      </c>
      <c r="G4" s="56" t="s">
        <v>320</v>
      </c>
      <c r="H4" s="56" t="s">
        <v>1510</v>
      </c>
      <c r="I4" s="56" t="s">
        <v>1511</v>
      </c>
      <c r="J4" s="56" t="s">
        <v>1512</v>
      </c>
      <c r="K4" s="56" t="s">
        <v>1513</v>
      </c>
      <c r="L4" s="56" t="s">
        <v>324</v>
      </c>
      <c r="M4" s="56" t="s">
        <v>1514</v>
      </c>
      <c r="N4" s="56" t="s">
        <v>1515</v>
      </c>
    </row>
    <row r="5" customFormat="false" ht="40.5" hidden="false" customHeight="true" outlineLevel="0" collapsed="false">
      <c r="A5" s="57" t="s">
        <v>183</v>
      </c>
      <c r="B5" s="57" t="s">
        <v>185</v>
      </c>
      <c r="C5" s="58" t="n">
        <v>46303</v>
      </c>
      <c r="D5" s="57" t="s">
        <v>1516</v>
      </c>
      <c r="E5" s="57" t="s">
        <v>188</v>
      </c>
      <c r="F5" s="57" t="s">
        <v>189</v>
      </c>
      <c r="G5" s="57" t="s">
        <v>440</v>
      </c>
      <c r="H5" s="57" t="s">
        <v>1517</v>
      </c>
      <c r="I5" s="57" t="s">
        <v>442</v>
      </c>
      <c r="J5" s="57"/>
      <c r="K5" s="57" t="s">
        <v>186</v>
      </c>
      <c r="L5" s="75" t="s">
        <v>444</v>
      </c>
      <c r="M5" s="57" t="s">
        <v>445</v>
      </c>
      <c r="N5" s="57" t="s">
        <v>443</v>
      </c>
    </row>
    <row r="6" customFormat="false" ht="27.75" hidden="false" customHeight="true" outlineLevel="0" collapsed="false">
      <c r="A6" s="57" t="s">
        <v>183</v>
      </c>
      <c r="B6" s="57" t="s">
        <v>185</v>
      </c>
      <c r="C6" s="58" t="n">
        <v>46303</v>
      </c>
      <c r="D6" s="57" t="s">
        <v>1516</v>
      </c>
      <c r="E6" s="57" t="s">
        <v>188</v>
      </c>
      <c r="F6" s="57" t="s">
        <v>189</v>
      </c>
      <c r="G6" s="57" t="s">
        <v>447</v>
      </c>
      <c r="H6" s="57" t="s">
        <v>1518</v>
      </c>
      <c r="I6" s="57" t="s">
        <v>449</v>
      </c>
      <c r="J6" s="57"/>
      <c r="K6" s="57" t="s">
        <v>451</v>
      </c>
      <c r="L6" s="57" t="s">
        <v>383</v>
      </c>
      <c r="M6" s="57"/>
      <c r="N6" s="57" t="s">
        <v>450</v>
      </c>
    </row>
    <row r="7" customFormat="false" ht="52.5" hidden="false" customHeight="true" outlineLevel="0" collapsed="false">
      <c r="A7" s="57" t="s">
        <v>183</v>
      </c>
      <c r="B7" s="57" t="s">
        <v>185</v>
      </c>
      <c r="C7" s="58" t="n">
        <v>46303</v>
      </c>
      <c r="D7" s="57" t="s">
        <v>1516</v>
      </c>
      <c r="E7" s="57" t="s">
        <v>188</v>
      </c>
      <c r="F7" s="57" t="s">
        <v>189</v>
      </c>
      <c r="G7" s="57" t="s">
        <v>447</v>
      </c>
      <c r="H7" s="57" t="s">
        <v>1519</v>
      </c>
      <c r="I7" s="57" t="s">
        <v>449</v>
      </c>
      <c r="J7" s="57" t="s">
        <v>1520</v>
      </c>
      <c r="K7" s="57" t="s">
        <v>451</v>
      </c>
      <c r="L7" s="57" t="s">
        <v>383</v>
      </c>
      <c r="M7" s="57" t="s">
        <v>472</v>
      </c>
      <c r="N7" s="57" t="s">
        <v>456</v>
      </c>
    </row>
    <row r="8" customFormat="false" ht="27.75" hidden="false" customHeight="true" outlineLevel="0" collapsed="false">
      <c r="A8" s="57" t="s">
        <v>198</v>
      </c>
      <c r="B8" s="57" t="s">
        <v>200</v>
      </c>
      <c r="C8" s="58" t="n">
        <v>46304</v>
      </c>
      <c r="D8" s="57" t="s">
        <v>1521</v>
      </c>
      <c r="E8" s="57" t="s">
        <v>202</v>
      </c>
      <c r="F8" s="57" t="s">
        <v>203</v>
      </c>
      <c r="G8" s="57" t="s">
        <v>440</v>
      </c>
      <c r="H8" s="57" t="s">
        <v>1522</v>
      </c>
      <c r="I8" s="57" t="s">
        <v>495</v>
      </c>
      <c r="J8" s="57"/>
      <c r="K8" s="57" t="s">
        <v>451</v>
      </c>
      <c r="L8" s="57" t="s">
        <v>383</v>
      </c>
      <c r="M8" s="57" t="s">
        <v>535</v>
      </c>
      <c r="N8" s="57" t="s">
        <v>496</v>
      </c>
    </row>
    <row r="9" customFormat="false" ht="27.75" hidden="false" customHeight="true" outlineLevel="0" collapsed="false">
      <c r="A9" s="57" t="s">
        <v>198</v>
      </c>
      <c r="B9" s="57" t="s">
        <v>200</v>
      </c>
      <c r="C9" s="58" t="n">
        <v>46304</v>
      </c>
      <c r="D9" s="57" t="s">
        <v>1521</v>
      </c>
      <c r="E9" s="57" t="s">
        <v>202</v>
      </c>
      <c r="F9" s="57" t="s">
        <v>203</v>
      </c>
      <c r="G9" s="57" t="s">
        <v>499</v>
      </c>
      <c r="H9" s="57" t="s">
        <v>1523</v>
      </c>
      <c r="I9" s="57" t="s">
        <v>501</v>
      </c>
      <c r="J9" s="57"/>
      <c r="K9" s="57" t="s">
        <v>451</v>
      </c>
      <c r="L9" s="57" t="s">
        <v>383</v>
      </c>
      <c r="M9" s="57"/>
      <c r="N9" s="57" t="s">
        <v>502</v>
      </c>
    </row>
    <row r="10" customFormat="false" ht="27.75" hidden="false" customHeight="true" outlineLevel="0" collapsed="false">
      <c r="A10" s="57" t="s">
        <v>198</v>
      </c>
      <c r="B10" s="57" t="s">
        <v>200</v>
      </c>
      <c r="C10" s="58" t="n">
        <v>46304</v>
      </c>
      <c r="D10" s="57" t="s">
        <v>1521</v>
      </c>
      <c r="E10" s="57" t="s">
        <v>202</v>
      </c>
      <c r="F10" s="57" t="s">
        <v>203</v>
      </c>
      <c r="G10" s="57" t="s">
        <v>499</v>
      </c>
      <c r="H10" s="57" t="s">
        <v>1524</v>
      </c>
      <c r="I10" s="57" t="s">
        <v>501</v>
      </c>
      <c r="J10" s="57"/>
      <c r="K10" s="57" t="s">
        <v>451</v>
      </c>
      <c r="L10" s="57" t="s">
        <v>383</v>
      </c>
      <c r="M10" s="57"/>
      <c r="N10" s="57" t="s">
        <v>506</v>
      </c>
    </row>
    <row r="11" customFormat="false" ht="27.75" hidden="false" customHeight="true" outlineLevel="0" collapsed="false">
      <c r="A11" s="57" t="s">
        <v>198</v>
      </c>
      <c r="B11" s="57" t="s">
        <v>200</v>
      </c>
      <c r="C11" s="58" t="n">
        <v>46304</v>
      </c>
      <c r="D11" s="57" t="s">
        <v>1521</v>
      </c>
      <c r="E11" s="57" t="s">
        <v>202</v>
      </c>
      <c r="F11" s="57" t="s">
        <v>203</v>
      </c>
      <c r="G11" s="57" t="s">
        <v>499</v>
      </c>
      <c r="H11" s="57" t="s">
        <v>1525</v>
      </c>
      <c r="I11" s="57" t="s">
        <v>501</v>
      </c>
      <c r="J11" s="57"/>
      <c r="K11" s="57" t="s">
        <v>451</v>
      </c>
      <c r="L11" s="57" t="s">
        <v>383</v>
      </c>
      <c r="M11" s="57"/>
      <c r="N11" s="57" t="s">
        <v>509</v>
      </c>
    </row>
    <row r="12" customFormat="false" ht="65.25" hidden="false" customHeight="true" outlineLevel="0" collapsed="false">
      <c r="A12" s="57" t="s">
        <v>198</v>
      </c>
      <c r="B12" s="57" t="s">
        <v>200</v>
      </c>
      <c r="C12" s="58" t="n">
        <v>46304</v>
      </c>
      <c r="D12" s="57" t="s">
        <v>1521</v>
      </c>
      <c r="E12" s="57" t="s">
        <v>202</v>
      </c>
      <c r="F12" s="57" t="s">
        <v>203</v>
      </c>
      <c r="G12" s="57" t="s">
        <v>499</v>
      </c>
      <c r="H12" s="57" t="s">
        <v>1526</v>
      </c>
      <c r="I12" s="57" t="s">
        <v>501</v>
      </c>
      <c r="J12" s="57"/>
      <c r="K12" s="57" t="s">
        <v>451</v>
      </c>
      <c r="L12" s="75" t="s">
        <v>444</v>
      </c>
      <c r="M12" s="57" t="s">
        <v>544</v>
      </c>
      <c r="N12" s="57" t="s">
        <v>512</v>
      </c>
    </row>
    <row r="13" customFormat="false" ht="65.25" hidden="false" customHeight="true" outlineLevel="0" collapsed="false">
      <c r="A13" s="57" t="s">
        <v>198</v>
      </c>
      <c r="B13" s="57" t="s">
        <v>200</v>
      </c>
      <c r="C13" s="58" t="n">
        <v>46304</v>
      </c>
      <c r="D13" s="57" t="s">
        <v>1521</v>
      </c>
      <c r="E13" s="57" t="s">
        <v>202</v>
      </c>
      <c r="F13" s="57" t="s">
        <v>203</v>
      </c>
      <c r="G13" s="57" t="s">
        <v>499</v>
      </c>
      <c r="H13" s="57" t="s">
        <v>1527</v>
      </c>
      <c r="I13" s="57" t="s">
        <v>501</v>
      </c>
      <c r="J13" s="57"/>
      <c r="K13" s="57" t="s">
        <v>451</v>
      </c>
      <c r="L13" s="75" t="s">
        <v>444</v>
      </c>
      <c r="M13" s="57" t="s">
        <v>544</v>
      </c>
      <c r="N13" s="57" t="s">
        <v>516</v>
      </c>
    </row>
    <row r="14" customFormat="false" ht="27.75" hidden="false" customHeight="true" outlineLevel="0" collapsed="false">
      <c r="A14" s="57" t="s">
        <v>198</v>
      </c>
      <c r="B14" s="57" t="s">
        <v>200</v>
      </c>
      <c r="C14" s="58" t="n">
        <v>46304</v>
      </c>
      <c r="D14" s="57" t="s">
        <v>1521</v>
      </c>
      <c r="E14" s="57" t="s">
        <v>202</v>
      </c>
      <c r="F14" s="57" t="s">
        <v>203</v>
      </c>
      <c r="G14" s="57" t="s">
        <v>499</v>
      </c>
      <c r="H14" s="57" t="s">
        <v>1528</v>
      </c>
      <c r="I14" s="57" t="s">
        <v>519</v>
      </c>
      <c r="J14" s="57"/>
      <c r="K14" s="57" t="s">
        <v>451</v>
      </c>
      <c r="L14" s="57" t="s">
        <v>383</v>
      </c>
      <c r="M14" s="57" t="s">
        <v>549</v>
      </c>
      <c r="N14" s="57" t="s">
        <v>520</v>
      </c>
    </row>
    <row r="15" customFormat="false" ht="27.75" hidden="false" customHeight="true" outlineLevel="0" collapsed="false">
      <c r="A15" s="57" t="s">
        <v>198</v>
      </c>
      <c r="B15" s="57" t="s">
        <v>200</v>
      </c>
      <c r="C15" s="58" t="n">
        <v>46304</v>
      </c>
      <c r="D15" s="57" t="s">
        <v>1521</v>
      </c>
      <c r="E15" s="57" t="s">
        <v>202</v>
      </c>
      <c r="F15" s="57" t="s">
        <v>203</v>
      </c>
      <c r="G15" s="57" t="s">
        <v>499</v>
      </c>
      <c r="H15" s="57" t="s">
        <v>1529</v>
      </c>
      <c r="I15" s="57" t="s">
        <v>501</v>
      </c>
      <c r="J15" s="57"/>
      <c r="K15" s="57" t="s">
        <v>451</v>
      </c>
      <c r="L15" s="57" t="s">
        <v>383</v>
      </c>
      <c r="M15" s="57"/>
      <c r="N15" s="57" t="s">
        <v>524</v>
      </c>
    </row>
    <row r="16" customFormat="false" ht="27.75" hidden="false" customHeight="true" outlineLevel="0" collapsed="false">
      <c r="A16" s="57" t="s">
        <v>198</v>
      </c>
      <c r="B16" s="57" t="s">
        <v>200</v>
      </c>
      <c r="C16" s="58" t="n">
        <v>46304</v>
      </c>
      <c r="D16" s="57" t="s">
        <v>1521</v>
      </c>
      <c r="E16" s="57" t="s">
        <v>202</v>
      </c>
      <c r="F16" s="57" t="s">
        <v>203</v>
      </c>
      <c r="G16" s="57" t="s">
        <v>447</v>
      </c>
      <c r="H16" s="57" t="s">
        <v>1530</v>
      </c>
      <c r="I16" s="57" t="s">
        <v>449</v>
      </c>
      <c r="J16" s="57"/>
      <c r="K16" s="57" t="s">
        <v>451</v>
      </c>
      <c r="L16" s="57" t="s">
        <v>383</v>
      </c>
      <c r="M16" s="57"/>
      <c r="N16" s="57" t="s">
        <v>527</v>
      </c>
    </row>
    <row r="17" customFormat="false" ht="27.75" hidden="false" customHeight="true" outlineLevel="0" collapsed="false">
      <c r="A17" s="57" t="s">
        <v>198</v>
      </c>
      <c r="B17" s="57" t="s">
        <v>200</v>
      </c>
      <c r="C17" s="58" t="n">
        <v>46304</v>
      </c>
      <c r="D17" s="57" t="s">
        <v>1521</v>
      </c>
      <c r="E17" s="57" t="s">
        <v>202</v>
      </c>
      <c r="F17" s="57" t="s">
        <v>203</v>
      </c>
      <c r="G17" s="57" t="s">
        <v>447</v>
      </c>
      <c r="H17" s="57" t="s">
        <v>1531</v>
      </c>
      <c r="I17" s="57" t="s">
        <v>449</v>
      </c>
      <c r="J17" s="57"/>
      <c r="K17" s="57" t="s">
        <v>451</v>
      </c>
      <c r="L17" s="57" t="s">
        <v>383</v>
      </c>
      <c r="M17" s="57"/>
      <c r="N17" s="57" t="s">
        <v>530</v>
      </c>
    </row>
    <row r="18" customFormat="false" ht="27.75" hidden="false" customHeight="true" outlineLevel="0" collapsed="false">
      <c r="A18" s="57" t="s">
        <v>212</v>
      </c>
      <c r="B18" s="57" t="s">
        <v>214</v>
      </c>
      <c r="C18" s="58" t="n">
        <v>46305</v>
      </c>
      <c r="D18" s="57" t="s">
        <v>1532</v>
      </c>
      <c r="E18" s="57" t="s">
        <v>188</v>
      </c>
      <c r="F18" s="57" t="s">
        <v>215</v>
      </c>
      <c r="G18" s="57" t="s">
        <v>447</v>
      </c>
      <c r="H18" s="57" t="s">
        <v>1518</v>
      </c>
      <c r="I18" s="57" t="s">
        <v>449</v>
      </c>
      <c r="J18" s="57"/>
      <c r="K18" s="57" t="s">
        <v>451</v>
      </c>
      <c r="L18" s="57" t="s">
        <v>383</v>
      </c>
      <c r="M18" s="57"/>
      <c r="N18" s="57" t="s">
        <v>576</v>
      </c>
    </row>
    <row r="19" customFormat="false" ht="27.75" hidden="false" customHeight="true" outlineLevel="0" collapsed="false">
      <c r="A19" s="57" t="s">
        <v>218</v>
      </c>
      <c r="B19" s="57" t="s">
        <v>219</v>
      </c>
      <c r="C19" s="58" t="n">
        <v>46305</v>
      </c>
      <c r="D19" s="57" t="s">
        <v>1533</v>
      </c>
      <c r="E19" s="57" t="s">
        <v>202</v>
      </c>
      <c r="F19" s="57" t="s">
        <v>189</v>
      </c>
      <c r="G19" s="57" t="s">
        <v>440</v>
      </c>
      <c r="H19" s="57" t="s">
        <v>1517</v>
      </c>
      <c r="I19" s="57" t="s">
        <v>501</v>
      </c>
      <c r="J19" s="57"/>
      <c r="K19" s="57" t="s">
        <v>187</v>
      </c>
      <c r="L19" s="57" t="s">
        <v>383</v>
      </c>
      <c r="M19" s="57"/>
      <c r="N19" s="57" t="s">
        <v>601</v>
      </c>
    </row>
    <row r="20" customFormat="false" ht="27.75" hidden="false" customHeight="true" outlineLevel="0" collapsed="false">
      <c r="A20" s="57" t="s">
        <v>218</v>
      </c>
      <c r="B20" s="57" t="s">
        <v>219</v>
      </c>
      <c r="C20" s="58" t="n">
        <v>46305</v>
      </c>
      <c r="D20" s="57" t="s">
        <v>1533</v>
      </c>
      <c r="E20" s="57" t="s">
        <v>202</v>
      </c>
      <c r="F20" s="57" t="s">
        <v>189</v>
      </c>
      <c r="G20" s="57" t="s">
        <v>440</v>
      </c>
      <c r="H20" s="57" t="s">
        <v>1534</v>
      </c>
      <c r="I20" s="57" t="s">
        <v>501</v>
      </c>
      <c r="J20" s="57"/>
      <c r="K20" s="57" t="s">
        <v>187</v>
      </c>
      <c r="L20" s="57" t="s">
        <v>383</v>
      </c>
      <c r="M20" s="57"/>
      <c r="N20" s="57" t="s">
        <v>604</v>
      </c>
    </row>
    <row r="21" customFormat="false" ht="27.75" hidden="false" customHeight="true" outlineLevel="0" collapsed="false">
      <c r="A21" s="57" t="s">
        <v>218</v>
      </c>
      <c r="B21" s="57" t="s">
        <v>219</v>
      </c>
      <c r="C21" s="58" t="n">
        <v>46305</v>
      </c>
      <c r="D21" s="57" t="s">
        <v>1533</v>
      </c>
      <c r="E21" s="57" t="s">
        <v>202</v>
      </c>
      <c r="F21" s="57" t="s">
        <v>189</v>
      </c>
      <c r="G21" s="57" t="s">
        <v>499</v>
      </c>
      <c r="H21" s="57" t="s">
        <v>1523</v>
      </c>
      <c r="I21" s="57" t="s">
        <v>501</v>
      </c>
      <c r="J21" s="57"/>
      <c r="K21" s="57" t="s">
        <v>451</v>
      </c>
      <c r="L21" s="57" t="s">
        <v>383</v>
      </c>
      <c r="M21" s="57"/>
      <c r="N21" s="57" t="s">
        <v>606</v>
      </c>
    </row>
    <row r="22" customFormat="false" ht="27.75" hidden="false" customHeight="true" outlineLevel="0" collapsed="false">
      <c r="A22" s="57" t="s">
        <v>218</v>
      </c>
      <c r="B22" s="57" t="s">
        <v>219</v>
      </c>
      <c r="C22" s="58" t="n">
        <v>46305</v>
      </c>
      <c r="D22" s="57" t="s">
        <v>1533</v>
      </c>
      <c r="E22" s="57" t="s">
        <v>202</v>
      </c>
      <c r="F22" s="57" t="s">
        <v>189</v>
      </c>
      <c r="G22" s="57" t="s">
        <v>499</v>
      </c>
      <c r="H22" s="57" t="s">
        <v>1524</v>
      </c>
      <c r="I22" s="57" t="s">
        <v>501</v>
      </c>
      <c r="J22" s="57"/>
      <c r="K22" s="57" t="s">
        <v>451</v>
      </c>
      <c r="L22" s="57" t="s">
        <v>383</v>
      </c>
      <c r="M22" s="57"/>
      <c r="N22" s="57" t="s">
        <v>608</v>
      </c>
    </row>
    <row r="23" customFormat="false" ht="27.75" hidden="false" customHeight="true" outlineLevel="0" collapsed="false">
      <c r="A23" s="57" t="s">
        <v>218</v>
      </c>
      <c r="B23" s="57" t="s">
        <v>219</v>
      </c>
      <c r="C23" s="58" t="n">
        <v>46305</v>
      </c>
      <c r="D23" s="57" t="s">
        <v>1533</v>
      </c>
      <c r="E23" s="57" t="s">
        <v>202</v>
      </c>
      <c r="F23" s="57" t="s">
        <v>189</v>
      </c>
      <c r="G23" s="57" t="s">
        <v>499</v>
      </c>
      <c r="H23" s="57" t="s">
        <v>1525</v>
      </c>
      <c r="I23" s="57" t="s">
        <v>501</v>
      </c>
      <c r="J23" s="57"/>
      <c r="K23" s="57" t="s">
        <v>451</v>
      </c>
      <c r="L23" s="57" t="s">
        <v>383</v>
      </c>
      <c r="M23" s="57"/>
      <c r="N23" s="57" t="s">
        <v>610</v>
      </c>
    </row>
    <row r="24" customFormat="false" ht="27.75" hidden="false" customHeight="true" outlineLevel="0" collapsed="false">
      <c r="A24" s="57" t="s">
        <v>218</v>
      </c>
      <c r="B24" s="57" t="s">
        <v>219</v>
      </c>
      <c r="C24" s="58" t="n">
        <v>46305</v>
      </c>
      <c r="D24" s="57" t="s">
        <v>1533</v>
      </c>
      <c r="E24" s="57" t="s">
        <v>202</v>
      </c>
      <c r="F24" s="57" t="s">
        <v>189</v>
      </c>
      <c r="G24" s="57" t="s">
        <v>499</v>
      </c>
      <c r="H24" s="57" t="s">
        <v>1526</v>
      </c>
      <c r="I24" s="57" t="s">
        <v>501</v>
      </c>
      <c r="J24" s="57"/>
      <c r="K24" s="57" t="s">
        <v>451</v>
      </c>
      <c r="L24" s="57" t="s">
        <v>383</v>
      </c>
      <c r="M24" s="57"/>
      <c r="N24" s="57" t="s">
        <v>612</v>
      </c>
    </row>
    <row r="25" customFormat="false" ht="27.75" hidden="false" customHeight="true" outlineLevel="0" collapsed="false">
      <c r="A25" s="57" t="s">
        <v>218</v>
      </c>
      <c r="B25" s="57" t="s">
        <v>219</v>
      </c>
      <c r="C25" s="58" t="n">
        <v>46305</v>
      </c>
      <c r="D25" s="57" t="s">
        <v>1533</v>
      </c>
      <c r="E25" s="57" t="s">
        <v>202</v>
      </c>
      <c r="F25" s="57" t="s">
        <v>189</v>
      </c>
      <c r="G25" s="57" t="s">
        <v>499</v>
      </c>
      <c r="H25" s="57" t="s">
        <v>1527</v>
      </c>
      <c r="I25" s="57" t="s">
        <v>501</v>
      </c>
      <c r="J25" s="57"/>
      <c r="K25" s="57" t="s">
        <v>451</v>
      </c>
      <c r="L25" s="57" t="s">
        <v>383</v>
      </c>
      <c r="M25" s="57"/>
      <c r="N25" s="57" t="s">
        <v>614</v>
      </c>
    </row>
    <row r="26" customFormat="false" ht="27.75" hidden="false" customHeight="true" outlineLevel="0" collapsed="false">
      <c r="A26" s="57" t="s">
        <v>218</v>
      </c>
      <c r="B26" s="57" t="s">
        <v>219</v>
      </c>
      <c r="C26" s="58" t="n">
        <v>46305</v>
      </c>
      <c r="D26" s="57" t="s">
        <v>1533</v>
      </c>
      <c r="E26" s="57" t="s">
        <v>202</v>
      </c>
      <c r="F26" s="57" t="s">
        <v>189</v>
      </c>
      <c r="G26" s="57" t="s">
        <v>499</v>
      </c>
      <c r="H26" s="57" t="s">
        <v>1528</v>
      </c>
      <c r="I26" s="57" t="s">
        <v>616</v>
      </c>
      <c r="J26" s="57"/>
      <c r="K26" s="57" t="s">
        <v>451</v>
      </c>
      <c r="L26" s="57" t="s">
        <v>383</v>
      </c>
      <c r="M26" s="57" t="s">
        <v>549</v>
      </c>
      <c r="N26" s="57" t="s">
        <v>617</v>
      </c>
    </row>
    <row r="27" customFormat="false" ht="27.75" hidden="false" customHeight="true" outlineLevel="0" collapsed="false">
      <c r="A27" s="57" t="s">
        <v>218</v>
      </c>
      <c r="B27" s="57" t="s">
        <v>219</v>
      </c>
      <c r="C27" s="58" t="n">
        <v>46305</v>
      </c>
      <c r="D27" s="57" t="s">
        <v>1533</v>
      </c>
      <c r="E27" s="57" t="s">
        <v>202</v>
      </c>
      <c r="F27" s="57" t="s">
        <v>189</v>
      </c>
      <c r="G27" s="57" t="s">
        <v>499</v>
      </c>
      <c r="H27" s="57" t="s">
        <v>1529</v>
      </c>
      <c r="I27" s="57" t="s">
        <v>501</v>
      </c>
      <c r="J27" s="57"/>
      <c r="K27" s="57" t="s">
        <v>451</v>
      </c>
      <c r="L27" s="57" t="s">
        <v>383</v>
      </c>
      <c r="M27" s="57"/>
      <c r="N27" s="57" t="s">
        <v>619</v>
      </c>
    </row>
    <row r="28" customFormat="false" ht="27.75" hidden="false" customHeight="true" outlineLevel="0" collapsed="false">
      <c r="A28" s="57" t="s">
        <v>218</v>
      </c>
      <c r="B28" s="57" t="s">
        <v>219</v>
      </c>
      <c r="C28" s="58" t="n">
        <v>46305</v>
      </c>
      <c r="D28" s="57" t="s">
        <v>1533</v>
      </c>
      <c r="E28" s="57" t="s">
        <v>202</v>
      </c>
      <c r="F28" s="57" t="s">
        <v>189</v>
      </c>
      <c r="G28" s="57" t="s">
        <v>447</v>
      </c>
      <c r="H28" s="57" t="s">
        <v>1530</v>
      </c>
      <c r="I28" s="57" t="s">
        <v>449</v>
      </c>
      <c r="J28" s="57"/>
      <c r="K28" s="57" t="s">
        <v>451</v>
      </c>
      <c r="L28" s="57" t="s">
        <v>383</v>
      </c>
      <c r="M28" s="57"/>
      <c r="N28" s="57" t="s">
        <v>621</v>
      </c>
    </row>
    <row r="29" customFormat="false" ht="27.75" hidden="false" customHeight="true" outlineLevel="0" collapsed="false">
      <c r="A29" s="57" t="s">
        <v>218</v>
      </c>
      <c r="B29" s="57" t="s">
        <v>219</v>
      </c>
      <c r="C29" s="58" t="n">
        <v>46305</v>
      </c>
      <c r="D29" s="57" t="s">
        <v>1533</v>
      </c>
      <c r="E29" s="57" t="s">
        <v>202</v>
      </c>
      <c r="F29" s="57" t="s">
        <v>189</v>
      </c>
      <c r="G29" s="57" t="s">
        <v>447</v>
      </c>
      <c r="H29" s="57" t="s">
        <v>1535</v>
      </c>
      <c r="I29" s="57" t="s">
        <v>449</v>
      </c>
      <c r="J29" s="57"/>
      <c r="K29" s="57" t="s">
        <v>451</v>
      </c>
      <c r="L29" s="57" t="s">
        <v>383</v>
      </c>
      <c r="M29" s="57"/>
      <c r="N29" s="57" t="s">
        <v>624</v>
      </c>
    </row>
    <row r="30" customFormat="false" ht="27.75" hidden="false" customHeight="true" outlineLevel="0" collapsed="false">
      <c r="A30" s="57" t="s">
        <v>218</v>
      </c>
      <c r="B30" s="57" t="s">
        <v>219</v>
      </c>
      <c r="C30" s="58" t="n">
        <v>46305</v>
      </c>
      <c r="D30" s="57" t="s">
        <v>1533</v>
      </c>
      <c r="E30" s="57" t="s">
        <v>202</v>
      </c>
      <c r="F30" s="57" t="s">
        <v>189</v>
      </c>
      <c r="G30" s="57" t="s">
        <v>447</v>
      </c>
      <c r="H30" s="57" t="s">
        <v>1536</v>
      </c>
      <c r="I30" s="57" t="s">
        <v>449</v>
      </c>
      <c r="J30" s="57"/>
      <c r="K30" s="57" t="s">
        <v>451</v>
      </c>
      <c r="L30" s="57" t="s">
        <v>383</v>
      </c>
      <c r="M30" s="57"/>
      <c r="N30" s="57" t="s">
        <v>627</v>
      </c>
    </row>
    <row r="31" customFormat="false" ht="27.75" hidden="false" customHeight="true" outlineLevel="0" collapsed="false">
      <c r="A31" s="57" t="s">
        <v>218</v>
      </c>
      <c r="B31" s="57" t="s">
        <v>219</v>
      </c>
      <c r="C31" s="58" t="n">
        <v>46305</v>
      </c>
      <c r="D31" s="57" t="s">
        <v>1533</v>
      </c>
      <c r="E31" s="57" t="s">
        <v>202</v>
      </c>
      <c r="F31" s="57" t="s">
        <v>189</v>
      </c>
      <c r="G31" s="57" t="s">
        <v>629</v>
      </c>
      <c r="H31" s="57" t="s">
        <v>1537</v>
      </c>
      <c r="I31" s="57" t="s">
        <v>501</v>
      </c>
      <c r="J31" s="57"/>
      <c r="K31" s="57" t="s">
        <v>187</v>
      </c>
      <c r="L31" s="57" t="s">
        <v>383</v>
      </c>
      <c r="M31" s="57" t="s">
        <v>632</v>
      </c>
      <c r="N31" s="57" t="s">
        <v>631</v>
      </c>
    </row>
    <row r="32" customFormat="false" ht="40.5" hidden="false" customHeight="true" outlineLevel="0" collapsed="false">
      <c r="A32" s="57" t="s">
        <v>218</v>
      </c>
      <c r="B32" s="57" t="s">
        <v>219</v>
      </c>
      <c r="C32" s="58" t="n">
        <v>46305</v>
      </c>
      <c r="D32" s="57" t="s">
        <v>1533</v>
      </c>
      <c r="E32" s="57" t="s">
        <v>202</v>
      </c>
      <c r="F32" s="57" t="s">
        <v>189</v>
      </c>
      <c r="G32" s="57" t="s">
        <v>634</v>
      </c>
      <c r="H32" s="57" t="s">
        <v>1538</v>
      </c>
      <c r="I32" s="57" t="s">
        <v>636</v>
      </c>
      <c r="J32" s="57"/>
      <c r="K32" s="57" t="s">
        <v>451</v>
      </c>
      <c r="L32" s="57" t="s">
        <v>383</v>
      </c>
      <c r="M32" s="57" t="s">
        <v>660</v>
      </c>
      <c r="N32" s="57" t="s">
        <v>637</v>
      </c>
    </row>
    <row r="33" customFormat="false" ht="40.5" hidden="false" customHeight="true" outlineLevel="0" collapsed="false">
      <c r="A33" s="57" t="s">
        <v>228</v>
      </c>
      <c r="B33" s="57" t="s">
        <v>229</v>
      </c>
      <c r="C33" s="58" t="n">
        <v>46310</v>
      </c>
      <c r="D33" s="57" t="s">
        <v>1539</v>
      </c>
      <c r="E33" s="57" t="s">
        <v>188</v>
      </c>
      <c r="F33" s="57" t="s">
        <v>189</v>
      </c>
      <c r="G33" s="57" t="s">
        <v>440</v>
      </c>
      <c r="H33" s="57" t="s">
        <v>1517</v>
      </c>
      <c r="I33" s="57" t="s">
        <v>442</v>
      </c>
      <c r="J33" s="57"/>
      <c r="K33" s="57" t="s">
        <v>187</v>
      </c>
      <c r="L33" s="75" t="s">
        <v>444</v>
      </c>
      <c r="M33" s="57" t="s">
        <v>445</v>
      </c>
      <c r="N33" s="57" t="s">
        <v>601</v>
      </c>
    </row>
    <row r="34" customFormat="false" ht="27.75" hidden="false" customHeight="true" outlineLevel="0" collapsed="false">
      <c r="A34" s="57" t="s">
        <v>228</v>
      </c>
      <c r="B34" s="57" t="s">
        <v>229</v>
      </c>
      <c r="C34" s="58" t="n">
        <v>46310</v>
      </c>
      <c r="D34" s="57" t="s">
        <v>1539</v>
      </c>
      <c r="E34" s="57" t="s">
        <v>188</v>
      </c>
      <c r="F34" s="57" t="s">
        <v>189</v>
      </c>
      <c r="G34" s="57" t="s">
        <v>447</v>
      </c>
      <c r="H34" s="57" t="s">
        <v>1518</v>
      </c>
      <c r="I34" s="57" t="s">
        <v>449</v>
      </c>
      <c r="J34" s="57"/>
      <c r="K34" s="57" t="s">
        <v>451</v>
      </c>
      <c r="L34" s="57" t="s">
        <v>383</v>
      </c>
      <c r="M34" s="57"/>
      <c r="N34" s="57" t="s">
        <v>687</v>
      </c>
    </row>
    <row r="35" customFormat="false" ht="52.5" hidden="false" customHeight="true" outlineLevel="0" collapsed="false">
      <c r="A35" s="57" t="s">
        <v>228</v>
      </c>
      <c r="B35" s="57" t="s">
        <v>229</v>
      </c>
      <c r="C35" s="58" t="n">
        <v>46310</v>
      </c>
      <c r="D35" s="57" t="s">
        <v>1539</v>
      </c>
      <c r="E35" s="57" t="s">
        <v>188</v>
      </c>
      <c r="F35" s="57" t="s">
        <v>189</v>
      </c>
      <c r="G35" s="57" t="s">
        <v>447</v>
      </c>
      <c r="H35" s="57" t="s">
        <v>1519</v>
      </c>
      <c r="I35" s="57" t="s">
        <v>449</v>
      </c>
      <c r="J35" s="57" t="s">
        <v>1520</v>
      </c>
      <c r="K35" s="57" t="s">
        <v>451</v>
      </c>
      <c r="L35" s="57" t="s">
        <v>383</v>
      </c>
      <c r="M35" s="57" t="s">
        <v>704</v>
      </c>
      <c r="N35" s="57" t="s">
        <v>690</v>
      </c>
    </row>
    <row r="36" customFormat="false" ht="52.5" hidden="false" customHeight="true" outlineLevel="0" collapsed="false">
      <c r="A36" s="57" t="s">
        <v>228</v>
      </c>
      <c r="B36" s="57" t="s">
        <v>229</v>
      </c>
      <c r="C36" s="58" t="n">
        <v>46310</v>
      </c>
      <c r="D36" s="57" t="s">
        <v>1539</v>
      </c>
      <c r="E36" s="57" t="s">
        <v>188</v>
      </c>
      <c r="F36" s="57" t="s">
        <v>189</v>
      </c>
      <c r="G36" s="57" t="s">
        <v>634</v>
      </c>
      <c r="H36" s="57" t="s">
        <v>1538</v>
      </c>
      <c r="I36" s="57" t="s">
        <v>636</v>
      </c>
      <c r="J36" s="57"/>
      <c r="K36" s="57" t="s">
        <v>451</v>
      </c>
      <c r="L36" s="75" t="s">
        <v>444</v>
      </c>
      <c r="M36" s="57" t="s">
        <v>706</v>
      </c>
      <c r="N36" s="57" t="s">
        <v>637</v>
      </c>
    </row>
    <row r="37" customFormat="false" ht="78" hidden="false" customHeight="true" outlineLevel="0" collapsed="false">
      <c r="A37" s="57" t="s">
        <v>231</v>
      </c>
      <c r="B37" s="57" t="s">
        <v>232</v>
      </c>
      <c r="C37" s="58" t="n">
        <v>46310</v>
      </c>
      <c r="D37" s="57" t="s">
        <v>1540</v>
      </c>
      <c r="E37" s="57" t="s">
        <v>202</v>
      </c>
      <c r="F37" s="57" t="s">
        <v>189</v>
      </c>
      <c r="G37" s="57" t="s">
        <v>440</v>
      </c>
      <c r="H37" s="57" t="s">
        <v>1517</v>
      </c>
      <c r="I37" s="57" t="s">
        <v>501</v>
      </c>
      <c r="J37" s="57"/>
      <c r="K37" s="57" t="s">
        <v>726</v>
      </c>
      <c r="L37" s="75" t="s">
        <v>444</v>
      </c>
      <c r="M37" s="57" t="s">
        <v>727</v>
      </c>
      <c r="N37" s="57" t="s">
        <v>443</v>
      </c>
    </row>
    <row r="38" customFormat="false" ht="27.75" hidden="false" customHeight="true" outlineLevel="0" collapsed="false">
      <c r="A38" s="57" t="s">
        <v>231</v>
      </c>
      <c r="B38" s="57" t="s">
        <v>232</v>
      </c>
      <c r="C38" s="58" t="n">
        <v>46310</v>
      </c>
      <c r="D38" s="57" t="s">
        <v>1540</v>
      </c>
      <c r="E38" s="57" t="s">
        <v>202</v>
      </c>
      <c r="F38" s="57" t="s">
        <v>189</v>
      </c>
      <c r="G38" s="57" t="s">
        <v>440</v>
      </c>
      <c r="H38" s="57" t="s">
        <v>1541</v>
      </c>
      <c r="I38" s="57" t="s">
        <v>730</v>
      </c>
      <c r="J38" s="57"/>
      <c r="K38" s="57" t="s">
        <v>187</v>
      </c>
      <c r="L38" s="57" t="s">
        <v>383</v>
      </c>
      <c r="M38" s="57" t="s">
        <v>732</v>
      </c>
      <c r="N38" s="57" t="s">
        <v>731</v>
      </c>
    </row>
    <row r="39" customFormat="false" ht="27.75" hidden="false" customHeight="true" outlineLevel="0" collapsed="false">
      <c r="A39" s="57" t="s">
        <v>231</v>
      </c>
      <c r="B39" s="57" t="s">
        <v>232</v>
      </c>
      <c r="C39" s="58" t="n">
        <v>46310</v>
      </c>
      <c r="D39" s="57" t="s">
        <v>1540</v>
      </c>
      <c r="E39" s="57" t="s">
        <v>202</v>
      </c>
      <c r="F39" s="57" t="s">
        <v>189</v>
      </c>
      <c r="G39" s="57" t="s">
        <v>440</v>
      </c>
      <c r="H39" s="57" t="s">
        <v>1534</v>
      </c>
      <c r="I39" s="57" t="s">
        <v>501</v>
      </c>
      <c r="J39" s="57"/>
      <c r="K39" s="57" t="s">
        <v>187</v>
      </c>
      <c r="L39" s="57" t="s">
        <v>383</v>
      </c>
      <c r="M39" s="57"/>
      <c r="N39" s="57" t="s">
        <v>734</v>
      </c>
    </row>
    <row r="40" customFormat="false" ht="27.75" hidden="false" customHeight="true" outlineLevel="0" collapsed="false">
      <c r="A40" s="57" t="s">
        <v>231</v>
      </c>
      <c r="B40" s="57" t="s">
        <v>232</v>
      </c>
      <c r="C40" s="58" t="n">
        <v>46310</v>
      </c>
      <c r="D40" s="57" t="s">
        <v>1540</v>
      </c>
      <c r="E40" s="57" t="s">
        <v>202</v>
      </c>
      <c r="F40" s="57" t="s">
        <v>189</v>
      </c>
      <c r="G40" s="57" t="s">
        <v>499</v>
      </c>
      <c r="H40" s="57" t="s">
        <v>1523</v>
      </c>
      <c r="I40" s="57" t="s">
        <v>501</v>
      </c>
      <c r="J40" s="57"/>
      <c r="K40" s="57" t="s">
        <v>451</v>
      </c>
      <c r="L40" s="57" t="s">
        <v>383</v>
      </c>
      <c r="M40" s="57"/>
      <c r="N40" s="57" t="s">
        <v>736</v>
      </c>
    </row>
    <row r="41" customFormat="false" ht="27.75" hidden="false" customHeight="true" outlineLevel="0" collapsed="false">
      <c r="A41" s="57" t="s">
        <v>231</v>
      </c>
      <c r="B41" s="57" t="s">
        <v>232</v>
      </c>
      <c r="C41" s="58" t="n">
        <v>46310</v>
      </c>
      <c r="D41" s="57" t="s">
        <v>1540</v>
      </c>
      <c r="E41" s="57" t="s">
        <v>202</v>
      </c>
      <c r="F41" s="57" t="s">
        <v>189</v>
      </c>
      <c r="G41" s="57" t="s">
        <v>499</v>
      </c>
      <c r="H41" s="57" t="s">
        <v>1524</v>
      </c>
      <c r="I41" s="57" t="s">
        <v>501</v>
      </c>
      <c r="J41" s="57"/>
      <c r="K41" s="57" t="s">
        <v>451</v>
      </c>
      <c r="L41" s="57" t="s">
        <v>383</v>
      </c>
      <c r="M41" s="57"/>
      <c r="N41" s="57" t="s">
        <v>738</v>
      </c>
    </row>
    <row r="42" customFormat="false" ht="27.75" hidden="false" customHeight="true" outlineLevel="0" collapsed="false">
      <c r="A42" s="57" t="s">
        <v>231</v>
      </c>
      <c r="B42" s="57" t="s">
        <v>232</v>
      </c>
      <c r="C42" s="58" t="n">
        <v>46310</v>
      </c>
      <c r="D42" s="57" t="s">
        <v>1540</v>
      </c>
      <c r="E42" s="57" t="s">
        <v>202</v>
      </c>
      <c r="F42" s="57" t="s">
        <v>189</v>
      </c>
      <c r="G42" s="57" t="s">
        <v>499</v>
      </c>
      <c r="H42" s="57" t="s">
        <v>1525</v>
      </c>
      <c r="I42" s="57" t="s">
        <v>501</v>
      </c>
      <c r="J42" s="57"/>
      <c r="K42" s="57" t="s">
        <v>451</v>
      </c>
      <c r="L42" s="57" t="s">
        <v>383</v>
      </c>
      <c r="M42" s="57"/>
      <c r="N42" s="57" t="s">
        <v>740</v>
      </c>
    </row>
    <row r="43" customFormat="false" ht="27.75" hidden="false" customHeight="true" outlineLevel="0" collapsed="false">
      <c r="A43" s="57" t="s">
        <v>231</v>
      </c>
      <c r="B43" s="57" t="s">
        <v>232</v>
      </c>
      <c r="C43" s="58" t="n">
        <v>46310</v>
      </c>
      <c r="D43" s="57" t="s">
        <v>1540</v>
      </c>
      <c r="E43" s="57" t="s">
        <v>202</v>
      </c>
      <c r="F43" s="57" t="s">
        <v>189</v>
      </c>
      <c r="G43" s="57" t="s">
        <v>499</v>
      </c>
      <c r="H43" s="57" t="s">
        <v>1526</v>
      </c>
      <c r="I43" s="57" t="s">
        <v>501</v>
      </c>
      <c r="J43" s="57"/>
      <c r="K43" s="57" t="s">
        <v>451</v>
      </c>
      <c r="L43" s="57" t="s">
        <v>383</v>
      </c>
      <c r="M43" s="57"/>
      <c r="N43" s="57" t="s">
        <v>742</v>
      </c>
    </row>
    <row r="44" customFormat="false" ht="27.75" hidden="false" customHeight="true" outlineLevel="0" collapsed="false">
      <c r="A44" s="57" t="s">
        <v>231</v>
      </c>
      <c r="B44" s="57" t="s">
        <v>232</v>
      </c>
      <c r="C44" s="58" t="n">
        <v>46310</v>
      </c>
      <c r="D44" s="57" t="s">
        <v>1540</v>
      </c>
      <c r="E44" s="57" t="s">
        <v>202</v>
      </c>
      <c r="F44" s="57" t="s">
        <v>189</v>
      </c>
      <c r="G44" s="57" t="s">
        <v>499</v>
      </c>
      <c r="H44" s="57" t="s">
        <v>1527</v>
      </c>
      <c r="I44" s="57" t="s">
        <v>501</v>
      </c>
      <c r="J44" s="57"/>
      <c r="K44" s="57" t="s">
        <v>451</v>
      </c>
      <c r="L44" s="57" t="s">
        <v>383</v>
      </c>
      <c r="M44" s="57"/>
      <c r="N44" s="57" t="s">
        <v>744</v>
      </c>
    </row>
    <row r="45" customFormat="false" ht="27.75" hidden="false" customHeight="true" outlineLevel="0" collapsed="false">
      <c r="A45" s="57" t="s">
        <v>231</v>
      </c>
      <c r="B45" s="57" t="s">
        <v>232</v>
      </c>
      <c r="C45" s="58" t="n">
        <v>46310</v>
      </c>
      <c r="D45" s="57" t="s">
        <v>1540</v>
      </c>
      <c r="E45" s="57" t="s">
        <v>202</v>
      </c>
      <c r="F45" s="57" t="s">
        <v>189</v>
      </c>
      <c r="G45" s="57" t="s">
        <v>499</v>
      </c>
      <c r="H45" s="57" t="s">
        <v>1528</v>
      </c>
      <c r="I45" s="57" t="s">
        <v>616</v>
      </c>
      <c r="J45" s="57"/>
      <c r="K45" s="57" t="s">
        <v>451</v>
      </c>
      <c r="L45" s="57" t="s">
        <v>383</v>
      </c>
      <c r="M45" s="57" t="s">
        <v>549</v>
      </c>
      <c r="N45" s="57" t="s">
        <v>746</v>
      </c>
    </row>
    <row r="46" customFormat="false" ht="27.75" hidden="false" customHeight="true" outlineLevel="0" collapsed="false">
      <c r="A46" s="57" t="s">
        <v>231</v>
      </c>
      <c r="B46" s="57" t="s">
        <v>232</v>
      </c>
      <c r="C46" s="58" t="n">
        <v>46310</v>
      </c>
      <c r="D46" s="57" t="s">
        <v>1540</v>
      </c>
      <c r="E46" s="57" t="s">
        <v>202</v>
      </c>
      <c r="F46" s="57" t="s">
        <v>189</v>
      </c>
      <c r="G46" s="57" t="s">
        <v>499</v>
      </c>
      <c r="H46" s="57" t="s">
        <v>1529</v>
      </c>
      <c r="I46" s="57" t="s">
        <v>501</v>
      </c>
      <c r="J46" s="57"/>
      <c r="K46" s="57" t="s">
        <v>451</v>
      </c>
      <c r="L46" s="57" t="s">
        <v>383</v>
      </c>
      <c r="M46" s="57"/>
      <c r="N46" s="57" t="s">
        <v>748</v>
      </c>
    </row>
    <row r="47" customFormat="false" ht="27.75" hidden="false" customHeight="true" outlineLevel="0" collapsed="false">
      <c r="A47" s="57" t="s">
        <v>231</v>
      </c>
      <c r="B47" s="57" t="s">
        <v>232</v>
      </c>
      <c r="C47" s="58" t="n">
        <v>46310</v>
      </c>
      <c r="D47" s="57" t="s">
        <v>1540</v>
      </c>
      <c r="E47" s="57" t="s">
        <v>202</v>
      </c>
      <c r="F47" s="57" t="s">
        <v>189</v>
      </c>
      <c r="G47" s="57" t="s">
        <v>447</v>
      </c>
      <c r="H47" s="57" t="s">
        <v>1530</v>
      </c>
      <c r="I47" s="57" t="s">
        <v>449</v>
      </c>
      <c r="J47" s="57"/>
      <c r="K47" s="57" t="s">
        <v>451</v>
      </c>
      <c r="L47" s="57" t="s">
        <v>383</v>
      </c>
      <c r="M47" s="57"/>
      <c r="N47" s="57" t="s">
        <v>750</v>
      </c>
    </row>
    <row r="48" customFormat="false" ht="27.75" hidden="false" customHeight="true" outlineLevel="0" collapsed="false">
      <c r="A48" s="57" t="s">
        <v>231</v>
      </c>
      <c r="B48" s="57" t="s">
        <v>232</v>
      </c>
      <c r="C48" s="58" t="n">
        <v>46310</v>
      </c>
      <c r="D48" s="57" t="s">
        <v>1540</v>
      </c>
      <c r="E48" s="57" t="s">
        <v>202</v>
      </c>
      <c r="F48" s="57" t="s">
        <v>189</v>
      </c>
      <c r="G48" s="57" t="s">
        <v>447</v>
      </c>
      <c r="H48" s="57" t="s">
        <v>1535</v>
      </c>
      <c r="I48" s="57" t="s">
        <v>449</v>
      </c>
      <c r="J48" s="57"/>
      <c r="K48" s="57" t="s">
        <v>451</v>
      </c>
      <c r="L48" s="57" t="s">
        <v>383</v>
      </c>
      <c r="M48" s="57"/>
      <c r="N48" s="57" t="s">
        <v>752</v>
      </c>
    </row>
    <row r="49" customFormat="false" ht="27.75" hidden="false" customHeight="true" outlineLevel="0" collapsed="false">
      <c r="A49" s="57" t="s">
        <v>231</v>
      </c>
      <c r="B49" s="57" t="s">
        <v>232</v>
      </c>
      <c r="C49" s="58" t="n">
        <v>46310</v>
      </c>
      <c r="D49" s="57" t="s">
        <v>1540</v>
      </c>
      <c r="E49" s="57" t="s">
        <v>202</v>
      </c>
      <c r="F49" s="57" t="s">
        <v>189</v>
      </c>
      <c r="G49" s="57" t="s">
        <v>447</v>
      </c>
      <c r="H49" s="57" t="s">
        <v>1536</v>
      </c>
      <c r="I49" s="57" t="s">
        <v>449</v>
      </c>
      <c r="J49" s="57"/>
      <c r="K49" s="57" t="s">
        <v>451</v>
      </c>
      <c r="L49" s="57" t="s">
        <v>383</v>
      </c>
      <c r="M49" s="57"/>
      <c r="N49" s="57" t="s">
        <v>754</v>
      </c>
    </row>
    <row r="50" customFormat="false" ht="27.75" hidden="false" customHeight="true" outlineLevel="0" collapsed="false">
      <c r="A50" s="57" t="s">
        <v>231</v>
      </c>
      <c r="B50" s="57" t="s">
        <v>232</v>
      </c>
      <c r="C50" s="58" t="n">
        <v>46310</v>
      </c>
      <c r="D50" s="57" t="s">
        <v>1540</v>
      </c>
      <c r="E50" s="57" t="s">
        <v>202</v>
      </c>
      <c r="F50" s="57" t="s">
        <v>189</v>
      </c>
      <c r="G50" s="57" t="s">
        <v>629</v>
      </c>
      <c r="H50" s="57" t="s">
        <v>1537</v>
      </c>
      <c r="I50" s="57" t="s">
        <v>501</v>
      </c>
      <c r="J50" s="57"/>
      <c r="K50" s="57" t="s">
        <v>187</v>
      </c>
      <c r="L50" s="57" t="s">
        <v>383</v>
      </c>
      <c r="M50" s="57" t="s">
        <v>632</v>
      </c>
      <c r="N50" s="57" t="s">
        <v>756</v>
      </c>
    </row>
    <row r="51" customFormat="false" ht="27.75" hidden="false" customHeight="true" outlineLevel="0" collapsed="false">
      <c r="A51" s="57" t="s">
        <v>235</v>
      </c>
      <c r="B51" s="57" t="s">
        <v>236</v>
      </c>
      <c r="C51" s="58" t="n">
        <v>46304</v>
      </c>
      <c r="D51" s="57" t="s">
        <v>1516</v>
      </c>
      <c r="E51" s="57" t="s">
        <v>202</v>
      </c>
      <c r="F51" s="57" t="s">
        <v>189</v>
      </c>
      <c r="G51" s="57" t="s">
        <v>440</v>
      </c>
      <c r="H51" s="57" t="s">
        <v>1517</v>
      </c>
      <c r="I51" s="57" t="s">
        <v>501</v>
      </c>
      <c r="J51" s="57"/>
      <c r="K51" s="57" t="s">
        <v>186</v>
      </c>
      <c r="L51" s="57" t="s">
        <v>383</v>
      </c>
      <c r="M51" s="57"/>
      <c r="N51" s="57" t="s">
        <v>443</v>
      </c>
    </row>
    <row r="52" customFormat="false" ht="40.5" hidden="false" customHeight="true" outlineLevel="0" collapsed="false">
      <c r="A52" s="57" t="s">
        <v>235</v>
      </c>
      <c r="B52" s="57" t="s">
        <v>236</v>
      </c>
      <c r="C52" s="58" t="n">
        <v>46304</v>
      </c>
      <c r="D52" s="57" t="s">
        <v>1516</v>
      </c>
      <c r="E52" s="57" t="s">
        <v>202</v>
      </c>
      <c r="F52" s="57" t="s">
        <v>189</v>
      </c>
      <c r="G52" s="57" t="s">
        <v>440</v>
      </c>
      <c r="H52" s="57" t="s">
        <v>1541</v>
      </c>
      <c r="I52" s="57" t="s">
        <v>730</v>
      </c>
      <c r="J52" s="57"/>
      <c r="K52" s="57" t="s">
        <v>187</v>
      </c>
      <c r="L52" s="75" t="s">
        <v>444</v>
      </c>
      <c r="M52" s="57" t="s">
        <v>820</v>
      </c>
      <c r="N52" s="57" t="s">
        <v>731</v>
      </c>
    </row>
    <row r="53" customFormat="false" ht="27.75" hidden="false" customHeight="true" outlineLevel="0" collapsed="false">
      <c r="A53" s="57" t="s">
        <v>235</v>
      </c>
      <c r="B53" s="57" t="s">
        <v>236</v>
      </c>
      <c r="C53" s="58" t="n">
        <v>46304</v>
      </c>
      <c r="D53" s="57" t="s">
        <v>1516</v>
      </c>
      <c r="E53" s="57" t="s">
        <v>202</v>
      </c>
      <c r="F53" s="57" t="s">
        <v>189</v>
      </c>
      <c r="G53" s="57" t="s">
        <v>440</v>
      </c>
      <c r="H53" s="57" t="s">
        <v>1534</v>
      </c>
      <c r="I53" s="57" t="s">
        <v>501</v>
      </c>
      <c r="J53" s="57"/>
      <c r="K53" s="57" t="s">
        <v>187</v>
      </c>
      <c r="L53" s="57" t="s">
        <v>383</v>
      </c>
      <c r="M53" s="57"/>
      <c r="N53" s="57" t="s">
        <v>734</v>
      </c>
    </row>
    <row r="54" customFormat="false" ht="27.75" hidden="false" customHeight="true" outlineLevel="0" collapsed="false">
      <c r="A54" s="57" t="s">
        <v>235</v>
      </c>
      <c r="B54" s="57" t="s">
        <v>236</v>
      </c>
      <c r="C54" s="58" t="n">
        <v>46304</v>
      </c>
      <c r="D54" s="57" t="s">
        <v>1516</v>
      </c>
      <c r="E54" s="57" t="s">
        <v>202</v>
      </c>
      <c r="F54" s="57" t="s">
        <v>189</v>
      </c>
      <c r="G54" s="57" t="s">
        <v>499</v>
      </c>
      <c r="H54" s="57" t="s">
        <v>1523</v>
      </c>
      <c r="I54" s="57" t="s">
        <v>501</v>
      </c>
      <c r="J54" s="57"/>
      <c r="K54" s="57" t="s">
        <v>451</v>
      </c>
      <c r="L54" s="57" t="s">
        <v>383</v>
      </c>
      <c r="M54" s="57"/>
      <c r="N54" s="57" t="s">
        <v>736</v>
      </c>
    </row>
    <row r="55" customFormat="false" ht="27.75" hidden="false" customHeight="true" outlineLevel="0" collapsed="false">
      <c r="A55" s="57" t="s">
        <v>235</v>
      </c>
      <c r="B55" s="57" t="s">
        <v>236</v>
      </c>
      <c r="C55" s="58" t="n">
        <v>46304</v>
      </c>
      <c r="D55" s="57" t="s">
        <v>1516</v>
      </c>
      <c r="E55" s="57" t="s">
        <v>202</v>
      </c>
      <c r="F55" s="57" t="s">
        <v>189</v>
      </c>
      <c r="G55" s="57" t="s">
        <v>499</v>
      </c>
      <c r="H55" s="57" t="s">
        <v>1524</v>
      </c>
      <c r="I55" s="57" t="s">
        <v>501</v>
      </c>
      <c r="J55" s="57"/>
      <c r="K55" s="57" t="s">
        <v>451</v>
      </c>
      <c r="L55" s="57" t="s">
        <v>383</v>
      </c>
      <c r="M55" s="57"/>
      <c r="N55" s="57" t="s">
        <v>738</v>
      </c>
    </row>
    <row r="56" customFormat="false" ht="27.75" hidden="false" customHeight="true" outlineLevel="0" collapsed="false">
      <c r="A56" s="57" t="s">
        <v>235</v>
      </c>
      <c r="B56" s="57" t="s">
        <v>236</v>
      </c>
      <c r="C56" s="58" t="n">
        <v>46304</v>
      </c>
      <c r="D56" s="57" t="s">
        <v>1516</v>
      </c>
      <c r="E56" s="57" t="s">
        <v>202</v>
      </c>
      <c r="F56" s="57" t="s">
        <v>189</v>
      </c>
      <c r="G56" s="57" t="s">
        <v>499</v>
      </c>
      <c r="H56" s="57" t="s">
        <v>1525</v>
      </c>
      <c r="I56" s="57" t="s">
        <v>501</v>
      </c>
      <c r="J56" s="57"/>
      <c r="K56" s="57" t="s">
        <v>451</v>
      </c>
      <c r="L56" s="57" t="s">
        <v>383</v>
      </c>
      <c r="M56" s="57"/>
      <c r="N56" s="57" t="s">
        <v>740</v>
      </c>
    </row>
    <row r="57" customFormat="false" ht="27.75" hidden="false" customHeight="true" outlineLevel="0" collapsed="false">
      <c r="A57" s="57" t="s">
        <v>235</v>
      </c>
      <c r="B57" s="57" t="s">
        <v>236</v>
      </c>
      <c r="C57" s="58" t="n">
        <v>46304</v>
      </c>
      <c r="D57" s="57" t="s">
        <v>1516</v>
      </c>
      <c r="E57" s="57" t="s">
        <v>202</v>
      </c>
      <c r="F57" s="57" t="s">
        <v>189</v>
      </c>
      <c r="G57" s="57" t="s">
        <v>499</v>
      </c>
      <c r="H57" s="57" t="s">
        <v>1526</v>
      </c>
      <c r="I57" s="57" t="s">
        <v>501</v>
      </c>
      <c r="J57" s="57"/>
      <c r="K57" s="57" t="s">
        <v>451</v>
      </c>
      <c r="L57" s="57" t="s">
        <v>383</v>
      </c>
      <c r="M57" s="57"/>
      <c r="N57" s="57" t="s">
        <v>742</v>
      </c>
    </row>
    <row r="58" customFormat="false" ht="27.75" hidden="false" customHeight="true" outlineLevel="0" collapsed="false">
      <c r="A58" s="57" t="s">
        <v>235</v>
      </c>
      <c r="B58" s="57" t="s">
        <v>236</v>
      </c>
      <c r="C58" s="58" t="n">
        <v>46304</v>
      </c>
      <c r="D58" s="57" t="s">
        <v>1516</v>
      </c>
      <c r="E58" s="57" t="s">
        <v>202</v>
      </c>
      <c r="F58" s="57" t="s">
        <v>189</v>
      </c>
      <c r="G58" s="57" t="s">
        <v>499</v>
      </c>
      <c r="H58" s="57" t="s">
        <v>1527</v>
      </c>
      <c r="I58" s="57" t="s">
        <v>501</v>
      </c>
      <c r="J58" s="57"/>
      <c r="K58" s="57" t="s">
        <v>451</v>
      </c>
      <c r="L58" s="57" t="s">
        <v>383</v>
      </c>
      <c r="M58" s="57"/>
      <c r="N58" s="57" t="s">
        <v>744</v>
      </c>
    </row>
    <row r="59" customFormat="false" ht="27.75" hidden="false" customHeight="true" outlineLevel="0" collapsed="false">
      <c r="A59" s="57" t="s">
        <v>235</v>
      </c>
      <c r="B59" s="57" t="s">
        <v>236</v>
      </c>
      <c r="C59" s="58" t="n">
        <v>46304</v>
      </c>
      <c r="D59" s="57" t="s">
        <v>1516</v>
      </c>
      <c r="E59" s="57" t="s">
        <v>202</v>
      </c>
      <c r="F59" s="57" t="s">
        <v>189</v>
      </c>
      <c r="G59" s="57" t="s">
        <v>499</v>
      </c>
      <c r="H59" s="57" t="s">
        <v>1528</v>
      </c>
      <c r="I59" s="57" t="s">
        <v>616</v>
      </c>
      <c r="J59" s="57"/>
      <c r="K59" s="57" t="s">
        <v>451</v>
      </c>
      <c r="L59" s="57" t="s">
        <v>383</v>
      </c>
      <c r="M59" s="57" t="s">
        <v>549</v>
      </c>
      <c r="N59" s="57" t="s">
        <v>746</v>
      </c>
    </row>
    <row r="60" customFormat="false" ht="27.75" hidden="false" customHeight="true" outlineLevel="0" collapsed="false">
      <c r="A60" s="57" t="s">
        <v>235</v>
      </c>
      <c r="B60" s="57" t="s">
        <v>236</v>
      </c>
      <c r="C60" s="58" t="n">
        <v>46304</v>
      </c>
      <c r="D60" s="57" t="s">
        <v>1516</v>
      </c>
      <c r="E60" s="57" t="s">
        <v>202</v>
      </c>
      <c r="F60" s="57" t="s">
        <v>189</v>
      </c>
      <c r="G60" s="57" t="s">
        <v>499</v>
      </c>
      <c r="H60" s="57" t="s">
        <v>1529</v>
      </c>
      <c r="I60" s="57" t="s">
        <v>501</v>
      </c>
      <c r="J60" s="57"/>
      <c r="K60" s="57" t="s">
        <v>451</v>
      </c>
      <c r="L60" s="57" t="s">
        <v>383</v>
      </c>
      <c r="M60" s="57"/>
      <c r="N60" s="57" t="s">
        <v>748</v>
      </c>
    </row>
    <row r="61" customFormat="false" ht="27.75" hidden="false" customHeight="true" outlineLevel="0" collapsed="false">
      <c r="A61" s="57" t="s">
        <v>235</v>
      </c>
      <c r="B61" s="57" t="s">
        <v>236</v>
      </c>
      <c r="C61" s="58" t="n">
        <v>46304</v>
      </c>
      <c r="D61" s="57" t="s">
        <v>1516</v>
      </c>
      <c r="E61" s="57" t="s">
        <v>202</v>
      </c>
      <c r="F61" s="57" t="s">
        <v>189</v>
      </c>
      <c r="G61" s="57" t="s">
        <v>447</v>
      </c>
      <c r="H61" s="57" t="s">
        <v>1530</v>
      </c>
      <c r="I61" s="57" t="s">
        <v>449</v>
      </c>
      <c r="J61" s="57"/>
      <c r="K61" s="57" t="s">
        <v>451</v>
      </c>
      <c r="L61" s="57" t="s">
        <v>383</v>
      </c>
      <c r="M61" s="57"/>
      <c r="N61" s="57" t="s">
        <v>750</v>
      </c>
    </row>
    <row r="62" customFormat="false" ht="27.75" hidden="false" customHeight="true" outlineLevel="0" collapsed="false">
      <c r="A62" s="57" t="s">
        <v>235</v>
      </c>
      <c r="B62" s="57" t="s">
        <v>236</v>
      </c>
      <c r="C62" s="58" t="n">
        <v>46304</v>
      </c>
      <c r="D62" s="57" t="s">
        <v>1516</v>
      </c>
      <c r="E62" s="57" t="s">
        <v>202</v>
      </c>
      <c r="F62" s="57" t="s">
        <v>189</v>
      </c>
      <c r="G62" s="57" t="s">
        <v>447</v>
      </c>
      <c r="H62" s="57" t="s">
        <v>1535</v>
      </c>
      <c r="I62" s="57" t="s">
        <v>449</v>
      </c>
      <c r="J62" s="57"/>
      <c r="K62" s="57" t="s">
        <v>451</v>
      </c>
      <c r="L62" s="57" t="s">
        <v>383</v>
      </c>
      <c r="M62" s="57"/>
      <c r="N62" s="57" t="s">
        <v>752</v>
      </c>
    </row>
    <row r="63" customFormat="false" ht="27.75" hidden="false" customHeight="true" outlineLevel="0" collapsed="false">
      <c r="A63" s="57" t="s">
        <v>235</v>
      </c>
      <c r="B63" s="57" t="s">
        <v>236</v>
      </c>
      <c r="C63" s="58" t="n">
        <v>46304</v>
      </c>
      <c r="D63" s="57" t="s">
        <v>1516</v>
      </c>
      <c r="E63" s="57" t="s">
        <v>202</v>
      </c>
      <c r="F63" s="57" t="s">
        <v>189</v>
      </c>
      <c r="G63" s="57" t="s">
        <v>447</v>
      </c>
      <c r="H63" s="57" t="s">
        <v>1536</v>
      </c>
      <c r="I63" s="57" t="s">
        <v>449</v>
      </c>
      <c r="J63" s="57"/>
      <c r="K63" s="57" t="s">
        <v>451</v>
      </c>
      <c r="L63" s="57" t="s">
        <v>383</v>
      </c>
      <c r="M63" s="57"/>
      <c r="N63" s="57" t="s">
        <v>754</v>
      </c>
    </row>
    <row r="64" customFormat="false" ht="27.75" hidden="false" customHeight="true" outlineLevel="0" collapsed="false">
      <c r="A64" s="57" t="s">
        <v>235</v>
      </c>
      <c r="B64" s="57" t="s">
        <v>236</v>
      </c>
      <c r="C64" s="58" t="n">
        <v>46304</v>
      </c>
      <c r="D64" s="57" t="s">
        <v>1516</v>
      </c>
      <c r="E64" s="57" t="s">
        <v>202</v>
      </c>
      <c r="F64" s="57" t="s">
        <v>189</v>
      </c>
      <c r="G64" s="57" t="s">
        <v>629</v>
      </c>
      <c r="H64" s="57" t="s">
        <v>1537</v>
      </c>
      <c r="I64" s="57" t="s">
        <v>501</v>
      </c>
      <c r="J64" s="57"/>
      <c r="K64" s="57" t="s">
        <v>187</v>
      </c>
      <c r="L64" s="57" t="s">
        <v>383</v>
      </c>
      <c r="M64" s="57" t="s">
        <v>632</v>
      </c>
      <c r="N64" s="57" t="s">
        <v>756</v>
      </c>
    </row>
    <row r="65" customFormat="false" ht="27.75" hidden="false" customHeight="true" outlineLevel="0" collapsed="false">
      <c r="A65" s="57" t="s">
        <v>238</v>
      </c>
      <c r="B65" s="57" t="s">
        <v>239</v>
      </c>
      <c r="C65" s="58" t="n">
        <v>46305</v>
      </c>
      <c r="D65" s="57" t="s">
        <v>1542</v>
      </c>
      <c r="E65" s="57" t="s">
        <v>188</v>
      </c>
      <c r="F65" s="57" t="s">
        <v>203</v>
      </c>
      <c r="G65" s="57" t="s">
        <v>447</v>
      </c>
      <c r="H65" s="57" t="s">
        <v>1518</v>
      </c>
      <c r="I65" s="57" t="s">
        <v>449</v>
      </c>
      <c r="J65" s="57"/>
      <c r="K65" s="57" t="s">
        <v>451</v>
      </c>
      <c r="L65" s="57" t="s">
        <v>383</v>
      </c>
      <c r="M65" s="57"/>
      <c r="N65" s="57" t="s">
        <v>853</v>
      </c>
    </row>
    <row r="66" customFormat="false" ht="27.75" hidden="false" customHeight="true" outlineLevel="0" collapsed="false">
      <c r="A66" s="57" t="s">
        <v>246</v>
      </c>
      <c r="B66" s="57" t="s">
        <v>248</v>
      </c>
      <c r="C66" s="58" t="n">
        <v>46306</v>
      </c>
      <c r="D66" s="57" t="s">
        <v>1543</v>
      </c>
      <c r="E66" s="57" t="s">
        <v>202</v>
      </c>
      <c r="F66" s="57" t="s">
        <v>203</v>
      </c>
      <c r="G66" s="57" t="s">
        <v>440</v>
      </c>
      <c r="H66" s="57" t="s">
        <v>1522</v>
      </c>
      <c r="I66" s="57" t="s">
        <v>495</v>
      </c>
      <c r="J66" s="57"/>
      <c r="K66" s="57" t="s">
        <v>451</v>
      </c>
      <c r="L66" s="57" t="s">
        <v>383</v>
      </c>
      <c r="M66" s="57" t="s">
        <v>535</v>
      </c>
      <c r="N66" s="57" t="s">
        <v>876</v>
      </c>
    </row>
    <row r="67" customFormat="false" ht="27.75" hidden="false" customHeight="true" outlineLevel="0" collapsed="false">
      <c r="A67" s="57" t="s">
        <v>246</v>
      </c>
      <c r="B67" s="57" t="s">
        <v>248</v>
      </c>
      <c r="C67" s="58" t="n">
        <v>46306</v>
      </c>
      <c r="D67" s="57" t="s">
        <v>1543</v>
      </c>
      <c r="E67" s="57" t="s">
        <v>202</v>
      </c>
      <c r="F67" s="57" t="s">
        <v>203</v>
      </c>
      <c r="G67" s="57" t="s">
        <v>499</v>
      </c>
      <c r="H67" s="57" t="s">
        <v>1523</v>
      </c>
      <c r="I67" s="57" t="s">
        <v>501</v>
      </c>
      <c r="J67" s="57"/>
      <c r="K67" s="57" t="s">
        <v>451</v>
      </c>
      <c r="L67" s="57" t="s">
        <v>383</v>
      </c>
      <c r="M67" s="57"/>
      <c r="N67" s="57" t="s">
        <v>879</v>
      </c>
    </row>
    <row r="68" customFormat="false" ht="27.75" hidden="false" customHeight="true" outlineLevel="0" collapsed="false">
      <c r="A68" s="57" t="s">
        <v>246</v>
      </c>
      <c r="B68" s="57" t="s">
        <v>248</v>
      </c>
      <c r="C68" s="58" t="n">
        <v>46306</v>
      </c>
      <c r="D68" s="57" t="s">
        <v>1543</v>
      </c>
      <c r="E68" s="57" t="s">
        <v>202</v>
      </c>
      <c r="F68" s="57" t="s">
        <v>203</v>
      </c>
      <c r="G68" s="57" t="s">
        <v>499</v>
      </c>
      <c r="H68" s="57" t="s">
        <v>1524</v>
      </c>
      <c r="I68" s="57" t="s">
        <v>501</v>
      </c>
      <c r="J68" s="57"/>
      <c r="K68" s="57" t="s">
        <v>451</v>
      </c>
      <c r="L68" s="57" t="s">
        <v>383</v>
      </c>
      <c r="M68" s="57"/>
      <c r="N68" s="57" t="s">
        <v>882</v>
      </c>
    </row>
    <row r="69" customFormat="false" ht="27.75" hidden="false" customHeight="true" outlineLevel="0" collapsed="false">
      <c r="A69" s="57" t="s">
        <v>246</v>
      </c>
      <c r="B69" s="57" t="s">
        <v>248</v>
      </c>
      <c r="C69" s="58" t="n">
        <v>46306</v>
      </c>
      <c r="D69" s="57" t="s">
        <v>1543</v>
      </c>
      <c r="E69" s="57" t="s">
        <v>202</v>
      </c>
      <c r="F69" s="57" t="s">
        <v>203</v>
      </c>
      <c r="G69" s="57" t="s">
        <v>499</v>
      </c>
      <c r="H69" s="57" t="s">
        <v>1525</v>
      </c>
      <c r="I69" s="57" t="s">
        <v>501</v>
      </c>
      <c r="J69" s="57"/>
      <c r="K69" s="57" t="s">
        <v>451</v>
      </c>
      <c r="L69" s="57" t="s">
        <v>383</v>
      </c>
      <c r="M69" s="57"/>
      <c r="N69" s="57" t="s">
        <v>884</v>
      </c>
    </row>
    <row r="70" customFormat="false" ht="65.25" hidden="false" customHeight="true" outlineLevel="0" collapsed="false">
      <c r="A70" s="57" t="s">
        <v>246</v>
      </c>
      <c r="B70" s="57" t="s">
        <v>248</v>
      </c>
      <c r="C70" s="58" t="n">
        <v>46306</v>
      </c>
      <c r="D70" s="57" t="s">
        <v>1543</v>
      </c>
      <c r="E70" s="57" t="s">
        <v>202</v>
      </c>
      <c r="F70" s="57" t="s">
        <v>203</v>
      </c>
      <c r="G70" s="57" t="s">
        <v>499</v>
      </c>
      <c r="H70" s="57" t="s">
        <v>1526</v>
      </c>
      <c r="I70" s="57" t="s">
        <v>501</v>
      </c>
      <c r="J70" s="57"/>
      <c r="K70" s="57" t="s">
        <v>451</v>
      </c>
      <c r="L70" s="75" t="s">
        <v>444</v>
      </c>
      <c r="M70" s="57" t="s">
        <v>544</v>
      </c>
      <c r="N70" s="57" t="s">
        <v>886</v>
      </c>
    </row>
    <row r="71" customFormat="false" ht="65.25" hidden="false" customHeight="true" outlineLevel="0" collapsed="false">
      <c r="A71" s="57" t="s">
        <v>246</v>
      </c>
      <c r="B71" s="57" t="s">
        <v>248</v>
      </c>
      <c r="C71" s="58" t="n">
        <v>46306</v>
      </c>
      <c r="D71" s="57" t="s">
        <v>1543</v>
      </c>
      <c r="E71" s="57" t="s">
        <v>202</v>
      </c>
      <c r="F71" s="57" t="s">
        <v>203</v>
      </c>
      <c r="G71" s="57" t="s">
        <v>499</v>
      </c>
      <c r="H71" s="57" t="s">
        <v>1527</v>
      </c>
      <c r="I71" s="57" t="s">
        <v>501</v>
      </c>
      <c r="J71" s="57"/>
      <c r="K71" s="57" t="s">
        <v>451</v>
      </c>
      <c r="L71" s="75" t="s">
        <v>444</v>
      </c>
      <c r="M71" s="57" t="s">
        <v>544</v>
      </c>
      <c r="N71" s="57" t="s">
        <v>889</v>
      </c>
    </row>
    <row r="72" customFormat="false" ht="27.75" hidden="false" customHeight="true" outlineLevel="0" collapsed="false">
      <c r="A72" s="57" t="s">
        <v>246</v>
      </c>
      <c r="B72" s="57" t="s">
        <v>248</v>
      </c>
      <c r="C72" s="58" t="n">
        <v>46306</v>
      </c>
      <c r="D72" s="57" t="s">
        <v>1543</v>
      </c>
      <c r="E72" s="57" t="s">
        <v>202</v>
      </c>
      <c r="F72" s="57" t="s">
        <v>203</v>
      </c>
      <c r="G72" s="57" t="s">
        <v>499</v>
      </c>
      <c r="H72" s="57" t="s">
        <v>1528</v>
      </c>
      <c r="I72" s="57" t="s">
        <v>519</v>
      </c>
      <c r="J72" s="57"/>
      <c r="K72" s="57" t="s">
        <v>451</v>
      </c>
      <c r="L72" s="57" t="s">
        <v>383</v>
      </c>
      <c r="M72" s="57" t="s">
        <v>549</v>
      </c>
      <c r="N72" s="57" t="s">
        <v>891</v>
      </c>
    </row>
    <row r="73" customFormat="false" ht="27.75" hidden="false" customHeight="true" outlineLevel="0" collapsed="false">
      <c r="A73" s="57" t="s">
        <v>246</v>
      </c>
      <c r="B73" s="57" t="s">
        <v>248</v>
      </c>
      <c r="C73" s="58" t="n">
        <v>46306</v>
      </c>
      <c r="D73" s="57" t="s">
        <v>1543</v>
      </c>
      <c r="E73" s="57" t="s">
        <v>202</v>
      </c>
      <c r="F73" s="57" t="s">
        <v>203</v>
      </c>
      <c r="G73" s="57" t="s">
        <v>499</v>
      </c>
      <c r="H73" s="57" t="s">
        <v>1529</v>
      </c>
      <c r="I73" s="57" t="s">
        <v>501</v>
      </c>
      <c r="J73" s="57"/>
      <c r="K73" s="57" t="s">
        <v>451</v>
      </c>
      <c r="L73" s="57" t="s">
        <v>383</v>
      </c>
      <c r="M73" s="57"/>
      <c r="N73" s="57" t="s">
        <v>894</v>
      </c>
    </row>
    <row r="74" customFormat="false" ht="27.75" hidden="false" customHeight="true" outlineLevel="0" collapsed="false">
      <c r="A74" s="57" t="s">
        <v>246</v>
      </c>
      <c r="B74" s="57" t="s">
        <v>248</v>
      </c>
      <c r="C74" s="58" t="n">
        <v>46306</v>
      </c>
      <c r="D74" s="57" t="s">
        <v>1543</v>
      </c>
      <c r="E74" s="57" t="s">
        <v>202</v>
      </c>
      <c r="F74" s="57" t="s">
        <v>203</v>
      </c>
      <c r="G74" s="57" t="s">
        <v>447</v>
      </c>
      <c r="H74" s="57" t="s">
        <v>1530</v>
      </c>
      <c r="I74" s="57" t="s">
        <v>449</v>
      </c>
      <c r="J74" s="57"/>
      <c r="K74" s="57" t="s">
        <v>451</v>
      </c>
      <c r="L74" s="57" t="s">
        <v>383</v>
      </c>
      <c r="M74" s="57"/>
      <c r="N74" s="57" t="s">
        <v>896</v>
      </c>
    </row>
    <row r="75" customFormat="false" ht="27.75" hidden="false" customHeight="true" outlineLevel="0" collapsed="false">
      <c r="A75" s="57" t="s">
        <v>246</v>
      </c>
      <c r="B75" s="57" t="s">
        <v>248</v>
      </c>
      <c r="C75" s="58" t="n">
        <v>46306</v>
      </c>
      <c r="D75" s="57" t="s">
        <v>1543</v>
      </c>
      <c r="E75" s="57" t="s">
        <v>202</v>
      </c>
      <c r="F75" s="57" t="s">
        <v>203</v>
      </c>
      <c r="G75" s="57" t="s">
        <v>447</v>
      </c>
      <c r="H75" s="57" t="s">
        <v>1531</v>
      </c>
      <c r="I75" s="57" t="s">
        <v>449</v>
      </c>
      <c r="J75" s="57"/>
      <c r="K75" s="57" t="s">
        <v>451</v>
      </c>
      <c r="L75" s="57" t="s">
        <v>383</v>
      </c>
      <c r="M75" s="57"/>
      <c r="N75" s="57" t="s">
        <v>898</v>
      </c>
    </row>
    <row r="76" customFormat="false" ht="27.75" hidden="false" customHeight="true" outlineLevel="0" collapsed="false">
      <c r="A76" s="57" t="s">
        <v>251</v>
      </c>
      <c r="B76" s="57" t="s">
        <v>253</v>
      </c>
      <c r="C76" s="58" t="n">
        <v>46307</v>
      </c>
      <c r="D76" s="57" t="s">
        <v>1544</v>
      </c>
      <c r="E76" s="57" t="s">
        <v>202</v>
      </c>
      <c r="F76" s="57" t="s">
        <v>203</v>
      </c>
      <c r="G76" s="57" t="s">
        <v>440</v>
      </c>
      <c r="H76" s="57" t="s">
        <v>1522</v>
      </c>
      <c r="I76" s="57" t="s">
        <v>495</v>
      </c>
      <c r="J76" s="57"/>
      <c r="K76" s="57" t="s">
        <v>451</v>
      </c>
      <c r="L76" s="57" t="s">
        <v>383</v>
      </c>
      <c r="M76" s="57" t="s">
        <v>535</v>
      </c>
      <c r="N76" s="57" t="s">
        <v>933</v>
      </c>
    </row>
    <row r="77" customFormat="false" ht="27.75" hidden="false" customHeight="true" outlineLevel="0" collapsed="false">
      <c r="A77" s="57" t="s">
        <v>251</v>
      </c>
      <c r="B77" s="57" t="s">
        <v>253</v>
      </c>
      <c r="C77" s="58" t="n">
        <v>46307</v>
      </c>
      <c r="D77" s="57" t="s">
        <v>1544</v>
      </c>
      <c r="E77" s="57" t="s">
        <v>202</v>
      </c>
      <c r="F77" s="57" t="s">
        <v>203</v>
      </c>
      <c r="G77" s="57" t="s">
        <v>499</v>
      </c>
      <c r="H77" s="57" t="s">
        <v>1523</v>
      </c>
      <c r="I77" s="57" t="s">
        <v>501</v>
      </c>
      <c r="J77" s="57"/>
      <c r="K77" s="57" t="s">
        <v>451</v>
      </c>
      <c r="L77" s="57" t="s">
        <v>383</v>
      </c>
      <c r="M77" s="57"/>
      <c r="N77" s="57" t="s">
        <v>935</v>
      </c>
    </row>
    <row r="78" customFormat="false" ht="27.75" hidden="false" customHeight="true" outlineLevel="0" collapsed="false">
      <c r="A78" s="57" t="s">
        <v>251</v>
      </c>
      <c r="B78" s="57" t="s">
        <v>253</v>
      </c>
      <c r="C78" s="58" t="n">
        <v>46307</v>
      </c>
      <c r="D78" s="57" t="s">
        <v>1544</v>
      </c>
      <c r="E78" s="57" t="s">
        <v>202</v>
      </c>
      <c r="F78" s="57" t="s">
        <v>203</v>
      </c>
      <c r="G78" s="57" t="s">
        <v>499</v>
      </c>
      <c r="H78" s="57" t="s">
        <v>1524</v>
      </c>
      <c r="I78" s="57" t="s">
        <v>501</v>
      </c>
      <c r="J78" s="57"/>
      <c r="K78" s="57" t="s">
        <v>451</v>
      </c>
      <c r="L78" s="57" t="s">
        <v>383</v>
      </c>
      <c r="M78" s="57"/>
      <c r="N78" s="57" t="s">
        <v>937</v>
      </c>
    </row>
    <row r="79" customFormat="false" ht="27.75" hidden="false" customHeight="true" outlineLevel="0" collapsed="false">
      <c r="A79" s="57" t="s">
        <v>251</v>
      </c>
      <c r="B79" s="57" t="s">
        <v>253</v>
      </c>
      <c r="C79" s="58" t="n">
        <v>46307</v>
      </c>
      <c r="D79" s="57" t="s">
        <v>1544</v>
      </c>
      <c r="E79" s="57" t="s">
        <v>202</v>
      </c>
      <c r="F79" s="57" t="s">
        <v>203</v>
      </c>
      <c r="G79" s="57" t="s">
        <v>499</v>
      </c>
      <c r="H79" s="57" t="s">
        <v>1525</v>
      </c>
      <c r="I79" s="57" t="s">
        <v>501</v>
      </c>
      <c r="J79" s="57"/>
      <c r="K79" s="57" t="s">
        <v>451</v>
      </c>
      <c r="L79" s="57" t="s">
        <v>383</v>
      </c>
      <c r="M79" s="57"/>
      <c r="N79" s="57" t="s">
        <v>939</v>
      </c>
    </row>
    <row r="80" customFormat="false" ht="27.75" hidden="false" customHeight="true" outlineLevel="0" collapsed="false">
      <c r="A80" s="57" t="s">
        <v>251</v>
      </c>
      <c r="B80" s="57" t="s">
        <v>253</v>
      </c>
      <c r="C80" s="58" t="n">
        <v>46307</v>
      </c>
      <c r="D80" s="57" t="s">
        <v>1544</v>
      </c>
      <c r="E80" s="57" t="s">
        <v>202</v>
      </c>
      <c r="F80" s="57" t="s">
        <v>203</v>
      </c>
      <c r="G80" s="57" t="s">
        <v>499</v>
      </c>
      <c r="H80" s="57" t="s">
        <v>1528</v>
      </c>
      <c r="I80" s="57" t="s">
        <v>519</v>
      </c>
      <c r="J80" s="57"/>
      <c r="K80" s="57" t="s">
        <v>451</v>
      </c>
      <c r="L80" s="57" t="s">
        <v>383</v>
      </c>
      <c r="M80" s="57" t="s">
        <v>549</v>
      </c>
      <c r="N80" s="57" t="s">
        <v>941</v>
      </c>
    </row>
    <row r="81" customFormat="false" ht="27.75" hidden="false" customHeight="true" outlineLevel="0" collapsed="false">
      <c r="A81" s="57" t="s">
        <v>251</v>
      </c>
      <c r="B81" s="57" t="s">
        <v>253</v>
      </c>
      <c r="C81" s="58" t="n">
        <v>46307</v>
      </c>
      <c r="D81" s="57" t="s">
        <v>1544</v>
      </c>
      <c r="E81" s="57" t="s">
        <v>202</v>
      </c>
      <c r="F81" s="57" t="s">
        <v>203</v>
      </c>
      <c r="G81" s="57" t="s">
        <v>499</v>
      </c>
      <c r="H81" s="57" t="s">
        <v>1529</v>
      </c>
      <c r="I81" s="57" t="s">
        <v>501</v>
      </c>
      <c r="J81" s="57"/>
      <c r="K81" s="57" t="s">
        <v>451</v>
      </c>
      <c r="L81" s="57" t="s">
        <v>383</v>
      </c>
      <c r="M81" s="57"/>
      <c r="N81" s="57" t="s">
        <v>943</v>
      </c>
    </row>
    <row r="82" customFormat="false" ht="27.75" hidden="false" customHeight="true" outlineLevel="0" collapsed="false">
      <c r="A82" s="57" t="s">
        <v>251</v>
      </c>
      <c r="B82" s="57" t="s">
        <v>253</v>
      </c>
      <c r="C82" s="58" t="n">
        <v>46307</v>
      </c>
      <c r="D82" s="57" t="s">
        <v>1544</v>
      </c>
      <c r="E82" s="57" t="s">
        <v>202</v>
      </c>
      <c r="F82" s="57" t="s">
        <v>203</v>
      </c>
      <c r="G82" s="57" t="s">
        <v>447</v>
      </c>
      <c r="H82" s="57" t="s">
        <v>1530</v>
      </c>
      <c r="I82" s="57" t="s">
        <v>449</v>
      </c>
      <c r="J82" s="57"/>
      <c r="K82" s="57" t="s">
        <v>451</v>
      </c>
      <c r="L82" s="57" t="s">
        <v>383</v>
      </c>
      <c r="M82" s="57"/>
      <c r="N82" s="57" t="s">
        <v>945</v>
      </c>
    </row>
    <row r="83" customFormat="false" ht="27.75" hidden="false" customHeight="true" outlineLevel="0" collapsed="false">
      <c r="A83" s="57" t="s">
        <v>251</v>
      </c>
      <c r="B83" s="57" t="s">
        <v>253</v>
      </c>
      <c r="C83" s="58" t="n">
        <v>46307</v>
      </c>
      <c r="D83" s="57" t="s">
        <v>1544</v>
      </c>
      <c r="E83" s="57" t="s">
        <v>202</v>
      </c>
      <c r="F83" s="57" t="s">
        <v>203</v>
      </c>
      <c r="G83" s="57" t="s">
        <v>447</v>
      </c>
      <c r="H83" s="57" t="s">
        <v>1531</v>
      </c>
      <c r="I83" s="57" t="s">
        <v>449</v>
      </c>
      <c r="J83" s="57"/>
      <c r="K83" s="57" t="s">
        <v>451</v>
      </c>
      <c r="L83" s="57" t="s">
        <v>383</v>
      </c>
      <c r="M83" s="57"/>
      <c r="N83" s="57" t="s">
        <v>947</v>
      </c>
    </row>
    <row r="84" customFormat="false" ht="27.75" hidden="false" customHeight="true" outlineLevel="0" collapsed="false">
      <c r="A84" s="57" t="s">
        <v>258</v>
      </c>
      <c r="B84" s="57" t="s">
        <v>259</v>
      </c>
      <c r="C84" s="58" t="n">
        <v>46307</v>
      </c>
      <c r="D84" s="57" t="s">
        <v>1545</v>
      </c>
      <c r="E84" s="57" t="s">
        <v>188</v>
      </c>
      <c r="F84" s="57" t="s">
        <v>203</v>
      </c>
      <c r="G84" s="57" t="s">
        <v>447</v>
      </c>
      <c r="H84" s="57" t="s">
        <v>1518</v>
      </c>
      <c r="I84" s="57" t="s">
        <v>449</v>
      </c>
      <c r="J84" s="57"/>
      <c r="K84" s="57" t="s">
        <v>451</v>
      </c>
      <c r="L84" s="57" t="s">
        <v>383</v>
      </c>
      <c r="M84" s="57"/>
      <c r="N84" s="57" t="s">
        <v>983</v>
      </c>
    </row>
    <row r="85" customFormat="false" ht="27.75" hidden="false" customHeight="true" outlineLevel="0" collapsed="false">
      <c r="A85" s="57" t="s">
        <v>261</v>
      </c>
      <c r="B85" s="57" t="s">
        <v>262</v>
      </c>
      <c r="C85" s="58" t="n">
        <v>46307</v>
      </c>
      <c r="D85" s="57" t="s">
        <v>1546</v>
      </c>
      <c r="E85" s="57" t="s">
        <v>202</v>
      </c>
      <c r="F85" s="57" t="s">
        <v>264</v>
      </c>
      <c r="G85" s="57" t="s">
        <v>440</v>
      </c>
      <c r="H85" s="57" t="s">
        <v>1517</v>
      </c>
      <c r="I85" s="57" t="s">
        <v>501</v>
      </c>
      <c r="J85" s="57"/>
      <c r="K85" s="57" t="s">
        <v>187</v>
      </c>
      <c r="L85" s="57" t="s">
        <v>383</v>
      </c>
      <c r="M85" s="57"/>
      <c r="N85" s="57" t="s">
        <v>1014</v>
      </c>
    </row>
    <row r="86" customFormat="false" ht="27.75" hidden="false" customHeight="true" outlineLevel="0" collapsed="false">
      <c r="A86" s="57" t="s">
        <v>261</v>
      </c>
      <c r="B86" s="57" t="s">
        <v>262</v>
      </c>
      <c r="C86" s="58" t="n">
        <v>46307</v>
      </c>
      <c r="D86" s="57" t="s">
        <v>1546</v>
      </c>
      <c r="E86" s="57" t="s">
        <v>202</v>
      </c>
      <c r="F86" s="57" t="s">
        <v>264</v>
      </c>
      <c r="G86" s="57" t="s">
        <v>440</v>
      </c>
      <c r="H86" s="57" t="s">
        <v>1534</v>
      </c>
      <c r="I86" s="57" t="s">
        <v>501</v>
      </c>
      <c r="J86" s="57"/>
      <c r="K86" s="57" t="s">
        <v>187</v>
      </c>
      <c r="L86" s="57" t="s">
        <v>383</v>
      </c>
      <c r="M86" s="57"/>
      <c r="N86" s="57" t="s">
        <v>1016</v>
      </c>
    </row>
    <row r="87" customFormat="false" ht="27.75" hidden="false" customHeight="true" outlineLevel="0" collapsed="false">
      <c r="A87" s="57" t="s">
        <v>261</v>
      </c>
      <c r="B87" s="57" t="s">
        <v>262</v>
      </c>
      <c r="C87" s="58" t="n">
        <v>46307</v>
      </c>
      <c r="D87" s="57" t="s">
        <v>1546</v>
      </c>
      <c r="E87" s="57" t="s">
        <v>202</v>
      </c>
      <c r="F87" s="57" t="s">
        <v>264</v>
      </c>
      <c r="G87" s="57" t="s">
        <v>499</v>
      </c>
      <c r="H87" s="57" t="s">
        <v>1523</v>
      </c>
      <c r="I87" s="57" t="s">
        <v>501</v>
      </c>
      <c r="J87" s="57"/>
      <c r="K87" s="57" t="s">
        <v>451</v>
      </c>
      <c r="L87" s="57" t="s">
        <v>383</v>
      </c>
      <c r="M87" s="57"/>
      <c r="N87" s="57" t="s">
        <v>1018</v>
      </c>
    </row>
    <row r="88" customFormat="false" ht="27.75" hidden="false" customHeight="true" outlineLevel="0" collapsed="false">
      <c r="A88" s="57" t="s">
        <v>261</v>
      </c>
      <c r="B88" s="57" t="s">
        <v>262</v>
      </c>
      <c r="C88" s="58" t="n">
        <v>46307</v>
      </c>
      <c r="D88" s="57" t="s">
        <v>1546</v>
      </c>
      <c r="E88" s="57" t="s">
        <v>202</v>
      </c>
      <c r="F88" s="57" t="s">
        <v>264</v>
      </c>
      <c r="G88" s="57" t="s">
        <v>499</v>
      </c>
      <c r="H88" s="57" t="s">
        <v>1524</v>
      </c>
      <c r="I88" s="57" t="s">
        <v>501</v>
      </c>
      <c r="J88" s="57"/>
      <c r="K88" s="57" t="s">
        <v>451</v>
      </c>
      <c r="L88" s="57" t="s">
        <v>383</v>
      </c>
      <c r="M88" s="57"/>
      <c r="N88" s="57" t="s">
        <v>1020</v>
      </c>
    </row>
    <row r="89" customFormat="false" ht="27.75" hidden="false" customHeight="true" outlineLevel="0" collapsed="false">
      <c r="A89" s="57" t="s">
        <v>261</v>
      </c>
      <c r="B89" s="57" t="s">
        <v>262</v>
      </c>
      <c r="C89" s="58" t="n">
        <v>46307</v>
      </c>
      <c r="D89" s="57" t="s">
        <v>1546</v>
      </c>
      <c r="E89" s="57" t="s">
        <v>202</v>
      </c>
      <c r="F89" s="57" t="s">
        <v>264</v>
      </c>
      <c r="G89" s="57" t="s">
        <v>499</v>
      </c>
      <c r="H89" s="57" t="s">
        <v>1525</v>
      </c>
      <c r="I89" s="57" t="s">
        <v>501</v>
      </c>
      <c r="J89" s="57"/>
      <c r="K89" s="57" t="s">
        <v>451</v>
      </c>
      <c r="L89" s="57" t="s">
        <v>383</v>
      </c>
      <c r="M89" s="57"/>
      <c r="N89" s="57" t="s">
        <v>1022</v>
      </c>
    </row>
    <row r="90" customFormat="false" ht="27.75" hidden="false" customHeight="true" outlineLevel="0" collapsed="false">
      <c r="A90" s="57" t="s">
        <v>261</v>
      </c>
      <c r="B90" s="57" t="s">
        <v>262</v>
      </c>
      <c r="C90" s="58" t="n">
        <v>46307</v>
      </c>
      <c r="D90" s="57" t="s">
        <v>1546</v>
      </c>
      <c r="E90" s="57" t="s">
        <v>202</v>
      </c>
      <c r="F90" s="57" t="s">
        <v>264</v>
      </c>
      <c r="G90" s="57" t="s">
        <v>499</v>
      </c>
      <c r="H90" s="57" t="s">
        <v>1526</v>
      </c>
      <c r="I90" s="57" t="s">
        <v>501</v>
      </c>
      <c r="J90" s="57"/>
      <c r="K90" s="57" t="s">
        <v>451</v>
      </c>
      <c r="L90" s="57" t="s">
        <v>383</v>
      </c>
      <c r="M90" s="57"/>
      <c r="N90" s="57" t="s">
        <v>1024</v>
      </c>
    </row>
    <row r="91" customFormat="false" ht="27.75" hidden="false" customHeight="true" outlineLevel="0" collapsed="false">
      <c r="A91" s="57" t="s">
        <v>261</v>
      </c>
      <c r="B91" s="57" t="s">
        <v>262</v>
      </c>
      <c r="C91" s="58" t="n">
        <v>46307</v>
      </c>
      <c r="D91" s="57" t="s">
        <v>1546</v>
      </c>
      <c r="E91" s="57" t="s">
        <v>202</v>
      </c>
      <c r="F91" s="57" t="s">
        <v>264</v>
      </c>
      <c r="G91" s="57" t="s">
        <v>499</v>
      </c>
      <c r="H91" s="57" t="s">
        <v>1527</v>
      </c>
      <c r="I91" s="57" t="s">
        <v>501</v>
      </c>
      <c r="J91" s="57"/>
      <c r="K91" s="57" t="s">
        <v>451</v>
      </c>
      <c r="L91" s="57" t="s">
        <v>383</v>
      </c>
      <c r="M91" s="57"/>
      <c r="N91" s="57" t="s">
        <v>1026</v>
      </c>
    </row>
    <row r="92" customFormat="false" ht="27.75" hidden="false" customHeight="true" outlineLevel="0" collapsed="false">
      <c r="A92" s="57" t="s">
        <v>261</v>
      </c>
      <c r="B92" s="57" t="s">
        <v>262</v>
      </c>
      <c r="C92" s="58" t="n">
        <v>46307</v>
      </c>
      <c r="D92" s="57" t="s">
        <v>1546</v>
      </c>
      <c r="E92" s="57" t="s">
        <v>202</v>
      </c>
      <c r="F92" s="57" t="s">
        <v>264</v>
      </c>
      <c r="G92" s="57" t="s">
        <v>499</v>
      </c>
      <c r="H92" s="57" t="s">
        <v>1528</v>
      </c>
      <c r="I92" s="57" t="s">
        <v>616</v>
      </c>
      <c r="J92" s="57"/>
      <c r="K92" s="57" t="s">
        <v>451</v>
      </c>
      <c r="L92" s="57" t="s">
        <v>383</v>
      </c>
      <c r="M92" s="57" t="s">
        <v>549</v>
      </c>
      <c r="N92" s="57" t="s">
        <v>1028</v>
      </c>
    </row>
    <row r="93" customFormat="false" ht="27.75" hidden="false" customHeight="true" outlineLevel="0" collapsed="false">
      <c r="A93" s="57" t="s">
        <v>261</v>
      </c>
      <c r="B93" s="57" t="s">
        <v>262</v>
      </c>
      <c r="C93" s="58" t="n">
        <v>46307</v>
      </c>
      <c r="D93" s="57" t="s">
        <v>1546</v>
      </c>
      <c r="E93" s="57" t="s">
        <v>202</v>
      </c>
      <c r="F93" s="57" t="s">
        <v>264</v>
      </c>
      <c r="G93" s="57" t="s">
        <v>499</v>
      </c>
      <c r="H93" s="57" t="s">
        <v>1529</v>
      </c>
      <c r="I93" s="57" t="s">
        <v>501</v>
      </c>
      <c r="J93" s="57"/>
      <c r="K93" s="57" t="s">
        <v>451</v>
      </c>
      <c r="L93" s="57" t="s">
        <v>383</v>
      </c>
      <c r="M93" s="57"/>
      <c r="N93" s="57" t="s">
        <v>1030</v>
      </c>
    </row>
    <row r="94" customFormat="false" ht="27.75" hidden="false" customHeight="true" outlineLevel="0" collapsed="false">
      <c r="A94" s="57" t="s">
        <v>261</v>
      </c>
      <c r="B94" s="57" t="s">
        <v>262</v>
      </c>
      <c r="C94" s="58" t="n">
        <v>46307</v>
      </c>
      <c r="D94" s="57" t="s">
        <v>1546</v>
      </c>
      <c r="E94" s="57" t="s">
        <v>202</v>
      </c>
      <c r="F94" s="57" t="s">
        <v>264</v>
      </c>
      <c r="G94" s="57" t="s">
        <v>447</v>
      </c>
      <c r="H94" s="57" t="s">
        <v>1530</v>
      </c>
      <c r="I94" s="57" t="s">
        <v>449</v>
      </c>
      <c r="J94" s="57"/>
      <c r="K94" s="57" t="s">
        <v>451</v>
      </c>
      <c r="L94" s="57" t="s">
        <v>383</v>
      </c>
      <c r="M94" s="57"/>
      <c r="N94" s="57" t="s">
        <v>1032</v>
      </c>
    </row>
    <row r="95" customFormat="false" ht="27.75" hidden="false" customHeight="true" outlineLevel="0" collapsed="false">
      <c r="A95" s="57" t="s">
        <v>261</v>
      </c>
      <c r="B95" s="57" t="s">
        <v>262</v>
      </c>
      <c r="C95" s="58" t="n">
        <v>46307</v>
      </c>
      <c r="D95" s="57" t="s">
        <v>1546</v>
      </c>
      <c r="E95" s="57" t="s">
        <v>202</v>
      </c>
      <c r="F95" s="57" t="s">
        <v>264</v>
      </c>
      <c r="G95" s="57" t="s">
        <v>447</v>
      </c>
      <c r="H95" s="57" t="s">
        <v>1535</v>
      </c>
      <c r="I95" s="57" t="s">
        <v>449</v>
      </c>
      <c r="J95" s="57"/>
      <c r="K95" s="57" t="s">
        <v>451</v>
      </c>
      <c r="L95" s="57" t="s">
        <v>383</v>
      </c>
      <c r="M95" s="57"/>
      <c r="N95" s="57" t="s">
        <v>1034</v>
      </c>
    </row>
    <row r="96" customFormat="false" ht="27.75" hidden="false" customHeight="true" outlineLevel="0" collapsed="false">
      <c r="A96" s="57" t="s">
        <v>261</v>
      </c>
      <c r="B96" s="57" t="s">
        <v>262</v>
      </c>
      <c r="C96" s="58" t="n">
        <v>46307</v>
      </c>
      <c r="D96" s="57" t="s">
        <v>1546</v>
      </c>
      <c r="E96" s="57" t="s">
        <v>202</v>
      </c>
      <c r="F96" s="57" t="s">
        <v>264</v>
      </c>
      <c r="G96" s="57" t="s">
        <v>447</v>
      </c>
      <c r="H96" s="57" t="s">
        <v>1536</v>
      </c>
      <c r="I96" s="57" t="s">
        <v>449</v>
      </c>
      <c r="J96" s="57"/>
      <c r="K96" s="57" t="s">
        <v>451</v>
      </c>
      <c r="L96" s="57" t="s">
        <v>383</v>
      </c>
      <c r="M96" s="57"/>
      <c r="N96" s="57" t="s">
        <v>1036</v>
      </c>
    </row>
    <row r="97" customFormat="false" ht="27.75" hidden="false" customHeight="true" outlineLevel="0" collapsed="false">
      <c r="A97" s="57" t="s">
        <v>261</v>
      </c>
      <c r="B97" s="57" t="s">
        <v>262</v>
      </c>
      <c r="C97" s="58" t="n">
        <v>46307</v>
      </c>
      <c r="D97" s="57" t="s">
        <v>1546</v>
      </c>
      <c r="E97" s="57" t="s">
        <v>202</v>
      </c>
      <c r="F97" s="57" t="s">
        <v>264</v>
      </c>
      <c r="G97" s="57" t="s">
        <v>629</v>
      </c>
      <c r="H97" s="57" t="s">
        <v>1537</v>
      </c>
      <c r="I97" s="57" t="s">
        <v>501</v>
      </c>
      <c r="J97" s="57"/>
      <c r="K97" s="57" t="s">
        <v>187</v>
      </c>
      <c r="L97" s="57" t="s">
        <v>383</v>
      </c>
      <c r="M97" s="57" t="s">
        <v>632</v>
      </c>
      <c r="N97" s="57" t="s">
        <v>1038</v>
      </c>
    </row>
    <row r="98" customFormat="false" ht="27.75" hidden="false" customHeight="true" outlineLevel="0" collapsed="false">
      <c r="A98" s="57" t="s">
        <v>261</v>
      </c>
      <c r="B98" s="57" t="s">
        <v>262</v>
      </c>
      <c r="C98" s="58" t="n">
        <v>46307</v>
      </c>
      <c r="D98" s="57" t="s">
        <v>1546</v>
      </c>
      <c r="E98" s="57" t="s">
        <v>202</v>
      </c>
      <c r="F98" s="57" t="s">
        <v>264</v>
      </c>
      <c r="G98" s="57" t="s">
        <v>634</v>
      </c>
      <c r="H98" s="57" t="s">
        <v>1538</v>
      </c>
      <c r="I98" s="57" t="s">
        <v>1040</v>
      </c>
      <c r="J98" s="57"/>
      <c r="K98" s="57" t="s">
        <v>451</v>
      </c>
      <c r="L98" s="57" t="s">
        <v>383</v>
      </c>
      <c r="M98" s="57" t="s">
        <v>1059</v>
      </c>
      <c r="N98" s="57" t="s">
        <v>1041</v>
      </c>
    </row>
    <row r="99" customFormat="false" ht="40.5" hidden="false" customHeight="true" outlineLevel="0" collapsed="false">
      <c r="A99" s="57" t="s">
        <v>272</v>
      </c>
      <c r="B99" s="57" t="s">
        <v>274</v>
      </c>
      <c r="C99" s="58" t="n">
        <v>46309</v>
      </c>
      <c r="D99" s="57" t="s">
        <v>1547</v>
      </c>
      <c r="E99" s="57" t="s">
        <v>188</v>
      </c>
      <c r="F99" s="57" t="s">
        <v>264</v>
      </c>
      <c r="G99" s="57" t="s">
        <v>440</v>
      </c>
      <c r="H99" s="57" t="s">
        <v>1517</v>
      </c>
      <c r="I99" s="57" t="s">
        <v>442</v>
      </c>
      <c r="J99" s="57"/>
      <c r="K99" s="57" t="s">
        <v>187</v>
      </c>
      <c r="L99" s="75" t="s">
        <v>444</v>
      </c>
      <c r="M99" s="57" t="s">
        <v>445</v>
      </c>
      <c r="N99" s="57" t="s">
        <v>1014</v>
      </c>
    </row>
    <row r="100" customFormat="false" ht="27.75" hidden="false" customHeight="true" outlineLevel="0" collapsed="false">
      <c r="A100" s="57" t="s">
        <v>272</v>
      </c>
      <c r="B100" s="57" t="s">
        <v>274</v>
      </c>
      <c r="C100" s="58" t="n">
        <v>46309</v>
      </c>
      <c r="D100" s="57" t="s">
        <v>1547</v>
      </c>
      <c r="E100" s="57" t="s">
        <v>188</v>
      </c>
      <c r="F100" s="57" t="s">
        <v>264</v>
      </c>
      <c r="G100" s="57" t="s">
        <v>447</v>
      </c>
      <c r="H100" s="57" t="s">
        <v>1518</v>
      </c>
      <c r="I100" s="57" t="s">
        <v>449</v>
      </c>
      <c r="J100" s="57"/>
      <c r="K100" s="57" t="s">
        <v>451</v>
      </c>
      <c r="L100" s="57" t="s">
        <v>383</v>
      </c>
      <c r="M100" s="57"/>
      <c r="N100" s="57" t="s">
        <v>1085</v>
      </c>
    </row>
    <row r="101" customFormat="false" ht="40.5" hidden="false" customHeight="true" outlineLevel="0" collapsed="false">
      <c r="A101" s="57" t="s">
        <v>272</v>
      </c>
      <c r="B101" s="57" t="s">
        <v>274</v>
      </c>
      <c r="C101" s="58" t="n">
        <v>46309</v>
      </c>
      <c r="D101" s="57" t="s">
        <v>1547</v>
      </c>
      <c r="E101" s="57" t="s">
        <v>188</v>
      </c>
      <c r="F101" s="57" t="s">
        <v>264</v>
      </c>
      <c r="G101" s="57" t="s">
        <v>447</v>
      </c>
      <c r="H101" s="57" t="s">
        <v>1519</v>
      </c>
      <c r="I101" s="57" t="s">
        <v>449</v>
      </c>
      <c r="J101" s="57" t="s">
        <v>1548</v>
      </c>
      <c r="K101" s="57" t="s">
        <v>451</v>
      </c>
      <c r="L101" s="57" t="s">
        <v>383</v>
      </c>
      <c r="M101" s="57" t="s">
        <v>1100</v>
      </c>
      <c r="N101" s="57" t="s">
        <v>1089</v>
      </c>
    </row>
    <row r="102" customFormat="false" ht="52.5" hidden="false" customHeight="true" outlineLevel="0" collapsed="false">
      <c r="A102" s="57" t="s">
        <v>272</v>
      </c>
      <c r="B102" s="57" t="s">
        <v>274</v>
      </c>
      <c r="C102" s="58" t="n">
        <v>46309</v>
      </c>
      <c r="D102" s="57" t="s">
        <v>1547</v>
      </c>
      <c r="E102" s="57" t="s">
        <v>188</v>
      </c>
      <c r="F102" s="57" t="s">
        <v>264</v>
      </c>
      <c r="G102" s="57" t="s">
        <v>634</v>
      </c>
      <c r="H102" s="57" t="s">
        <v>1538</v>
      </c>
      <c r="I102" s="57" t="s">
        <v>1040</v>
      </c>
      <c r="J102" s="57"/>
      <c r="K102" s="57" t="s">
        <v>451</v>
      </c>
      <c r="L102" s="75" t="s">
        <v>444</v>
      </c>
      <c r="M102" s="57" t="s">
        <v>1102</v>
      </c>
      <c r="N102" s="57" t="s">
        <v>1041</v>
      </c>
    </row>
    <row r="103" customFormat="false" ht="102.75" hidden="false" customHeight="true" outlineLevel="0" collapsed="false">
      <c r="A103" s="57" t="s">
        <v>276</v>
      </c>
      <c r="B103" s="57" t="s">
        <v>277</v>
      </c>
      <c r="C103" s="58" t="n">
        <v>46310</v>
      </c>
      <c r="D103" s="57" t="s">
        <v>1540</v>
      </c>
      <c r="E103" s="57" t="s">
        <v>188</v>
      </c>
      <c r="F103" s="57" t="s">
        <v>189</v>
      </c>
      <c r="G103" s="57" t="s">
        <v>440</v>
      </c>
      <c r="H103" s="57" t="s">
        <v>1517</v>
      </c>
      <c r="I103" s="57" t="s">
        <v>501</v>
      </c>
      <c r="J103" s="57"/>
      <c r="K103" s="57" t="s">
        <v>726</v>
      </c>
      <c r="L103" s="75" t="s">
        <v>444</v>
      </c>
      <c r="M103" s="57" t="s">
        <v>1121</v>
      </c>
      <c r="N103" s="57" t="s">
        <v>443</v>
      </c>
    </row>
    <row r="104" customFormat="false" ht="27.75" hidden="false" customHeight="true" outlineLevel="0" collapsed="false">
      <c r="A104" s="57" t="s">
        <v>276</v>
      </c>
      <c r="B104" s="57" t="s">
        <v>277</v>
      </c>
      <c r="C104" s="58" t="n">
        <v>46310</v>
      </c>
      <c r="D104" s="57" t="s">
        <v>1540</v>
      </c>
      <c r="E104" s="57" t="s">
        <v>188</v>
      </c>
      <c r="F104" s="57" t="s">
        <v>189</v>
      </c>
      <c r="G104" s="57" t="s">
        <v>447</v>
      </c>
      <c r="H104" s="57" t="s">
        <v>1518</v>
      </c>
      <c r="I104" s="57" t="s">
        <v>449</v>
      </c>
      <c r="J104" s="57"/>
      <c r="K104" s="57" t="s">
        <v>451</v>
      </c>
      <c r="L104" s="57" t="s">
        <v>383</v>
      </c>
      <c r="M104" s="57"/>
      <c r="N104" s="57" t="s">
        <v>450</v>
      </c>
    </row>
    <row r="105" customFormat="false" ht="52.5" hidden="false" customHeight="true" outlineLevel="0" collapsed="false">
      <c r="A105" s="57" t="s">
        <v>276</v>
      </c>
      <c r="B105" s="57" t="s">
        <v>277</v>
      </c>
      <c r="C105" s="58" t="n">
        <v>46310</v>
      </c>
      <c r="D105" s="57" t="s">
        <v>1540</v>
      </c>
      <c r="E105" s="57" t="s">
        <v>188</v>
      </c>
      <c r="F105" s="57" t="s">
        <v>189</v>
      </c>
      <c r="G105" s="57" t="s">
        <v>447</v>
      </c>
      <c r="H105" s="57" t="s">
        <v>1519</v>
      </c>
      <c r="I105" s="57" t="s">
        <v>449</v>
      </c>
      <c r="J105" s="57" t="s">
        <v>1520</v>
      </c>
      <c r="K105" s="57" t="s">
        <v>451</v>
      </c>
      <c r="L105" s="57" t="s">
        <v>383</v>
      </c>
      <c r="M105" s="57" t="s">
        <v>1130</v>
      </c>
      <c r="N105" s="57" t="s">
        <v>456</v>
      </c>
    </row>
    <row r="106" customFormat="false" ht="40.5" hidden="false" customHeight="true" outlineLevel="0" collapsed="false">
      <c r="A106" s="57" t="s">
        <v>278</v>
      </c>
      <c r="B106" s="57" t="s">
        <v>236</v>
      </c>
      <c r="C106" s="58" t="n">
        <v>46320</v>
      </c>
      <c r="D106" s="57" t="s">
        <v>1516</v>
      </c>
      <c r="E106" s="57" t="s">
        <v>188</v>
      </c>
      <c r="F106" s="57" t="s">
        <v>189</v>
      </c>
      <c r="G106" s="57" t="s">
        <v>440</v>
      </c>
      <c r="H106" s="57" t="s">
        <v>1517</v>
      </c>
      <c r="I106" s="57" t="s">
        <v>442</v>
      </c>
      <c r="J106" s="57"/>
      <c r="K106" s="57" t="s">
        <v>186</v>
      </c>
      <c r="L106" s="75" t="s">
        <v>444</v>
      </c>
      <c r="M106" s="57" t="s">
        <v>445</v>
      </c>
      <c r="N106" s="57" t="s">
        <v>443</v>
      </c>
    </row>
    <row r="107" customFormat="false" ht="27.75" hidden="false" customHeight="true" outlineLevel="0" collapsed="false">
      <c r="A107" s="57" t="s">
        <v>278</v>
      </c>
      <c r="B107" s="57" t="s">
        <v>236</v>
      </c>
      <c r="C107" s="58" t="n">
        <v>46320</v>
      </c>
      <c r="D107" s="57" t="s">
        <v>1516</v>
      </c>
      <c r="E107" s="57" t="s">
        <v>188</v>
      </c>
      <c r="F107" s="57" t="s">
        <v>189</v>
      </c>
      <c r="G107" s="57" t="s">
        <v>447</v>
      </c>
      <c r="H107" s="57" t="s">
        <v>1518</v>
      </c>
      <c r="I107" s="57" t="s">
        <v>449</v>
      </c>
      <c r="J107" s="57"/>
      <c r="K107" s="57" t="s">
        <v>451</v>
      </c>
      <c r="L107" s="57" t="s">
        <v>383</v>
      </c>
      <c r="M107" s="57"/>
      <c r="N107" s="57" t="s">
        <v>450</v>
      </c>
    </row>
    <row r="108" customFormat="false" ht="52.5" hidden="false" customHeight="true" outlineLevel="0" collapsed="false">
      <c r="A108" s="57" t="s">
        <v>278</v>
      </c>
      <c r="B108" s="57" t="s">
        <v>236</v>
      </c>
      <c r="C108" s="58" t="n">
        <v>46320</v>
      </c>
      <c r="D108" s="57" t="s">
        <v>1516</v>
      </c>
      <c r="E108" s="57" t="s">
        <v>188</v>
      </c>
      <c r="F108" s="57" t="s">
        <v>189</v>
      </c>
      <c r="G108" s="57" t="s">
        <v>447</v>
      </c>
      <c r="H108" s="57" t="s">
        <v>1519</v>
      </c>
      <c r="I108" s="57" t="s">
        <v>449</v>
      </c>
      <c r="J108" s="57" t="s">
        <v>1520</v>
      </c>
      <c r="K108" s="57" t="s">
        <v>451</v>
      </c>
      <c r="L108" s="57" t="s">
        <v>383</v>
      </c>
      <c r="M108" s="57" t="s">
        <v>1160</v>
      </c>
      <c r="N108" s="57" t="s">
        <v>456</v>
      </c>
    </row>
    <row r="109" customFormat="false" ht="27.75" hidden="false" customHeight="true" outlineLevel="0" collapsed="false">
      <c r="A109" s="57" t="s">
        <v>280</v>
      </c>
      <c r="B109" s="57" t="s">
        <v>281</v>
      </c>
      <c r="C109" s="58" t="n">
        <v>46321</v>
      </c>
      <c r="D109" s="57" t="s">
        <v>1549</v>
      </c>
      <c r="E109" s="57" t="s">
        <v>188</v>
      </c>
      <c r="F109" s="57" t="s">
        <v>203</v>
      </c>
      <c r="G109" s="57" t="s">
        <v>447</v>
      </c>
      <c r="H109" s="57" t="s">
        <v>1518</v>
      </c>
      <c r="I109" s="57" t="s">
        <v>449</v>
      </c>
      <c r="J109" s="57"/>
      <c r="K109" s="57" t="s">
        <v>451</v>
      </c>
      <c r="L109" s="57" t="s">
        <v>383</v>
      </c>
      <c r="M109" s="57"/>
      <c r="N109" s="57" t="s">
        <v>1181</v>
      </c>
    </row>
    <row r="110" customFormat="false" ht="78" hidden="false" customHeight="true" outlineLevel="0" collapsed="false">
      <c r="A110" s="57" t="s">
        <v>280</v>
      </c>
      <c r="B110" s="57" t="s">
        <v>281</v>
      </c>
      <c r="C110" s="58" t="n">
        <v>46321</v>
      </c>
      <c r="D110" s="57" t="s">
        <v>1549</v>
      </c>
      <c r="E110" s="57" t="s">
        <v>188</v>
      </c>
      <c r="F110" s="57" t="s">
        <v>203</v>
      </c>
      <c r="G110" s="57" t="s">
        <v>447</v>
      </c>
      <c r="H110" s="57" t="s">
        <v>1519</v>
      </c>
      <c r="I110" s="57" t="s">
        <v>449</v>
      </c>
      <c r="J110" s="57"/>
      <c r="K110" s="57" t="s">
        <v>451</v>
      </c>
      <c r="L110" s="75" t="s">
        <v>444</v>
      </c>
      <c r="M110" s="57" t="s">
        <v>1194</v>
      </c>
      <c r="N110" s="57" t="s">
        <v>1183</v>
      </c>
    </row>
    <row r="111" customFormat="false" ht="27.75" hidden="false" customHeight="true" outlineLevel="0" collapsed="false">
      <c r="A111" s="57" t="s">
        <v>280</v>
      </c>
      <c r="B111" s="57" t="s">
        <v>281</v>
      </c>
      <c r="C111" s="58" t="n">
        <v>46321</v>
      </c>
      <c r="D111" s="57" t="s">
        <v>1549</v>
      </c>
      <c r="E111" s="57" t="s">
        <v>188</v>
      </c>
      <c r="F111" s="57" t="s">
        <v>203</v>
      </c>
      <c r="G111" s="57" t="s">
        <v>634</v>
      </c>
      <c r="H111" s="57" t="s">
        <v>1550</v>
      </c>
      <c r="I111" s="57" t="s">
        <v>1187</v>
      </c>
      <c r="J111" s="57"/>
      <c r="K111" s="57" t="s">
        <v>451</v>
      </c>
      <c r="L111" s="57" t="s">
        <v>383</v>
      </c>
      <c r="M111" s="57" t="s">
        <v>1197</v>
      </c>
      <c r="N111" s="57" t="s">
        <v>1188</v>
      </c>
    </row>
    <row r="112" customFormat="false" ht="27.75" hidden="false" customHeight="true" outlineLevel="0" collapsed="false">
      <c r="A112" s="57" t="s">
        <v>290</v>
      </c>
      <c r="B112" s="57" t="s">
        <v>292</v>
      </c>
      <c r="C112" s="58" t="n">
        <v>46322</v>
      </c>
      <c r="D112" s="57" t="s">
        <v>1551</v>
      </c>
      <c r="E112" s="57" t="s">
        <v>202</v>
      </c>
      <c r="F112" s="57" t="s">
        <v>203</v>
      </c>
      <c r="G112" s="57" t="s">
        <v>440</v>
      </c>
      <c r="H112" s="57" t="s">
        <v>1552</v>
      </c>
      <c r="I112" s="57" t="s">
        <v>501</v>
      </c>
      <c r="J112" s="57"/>
      <c r="K112" s="57" t="s">
        <v>187</v>
      </c>
      <c r="L112" s="57" t="s">
        <v>383</v>
      </c>
      <c r="M112" s="57"/>
      <c r="N112" s="57" t="s">
        <v>1222</v>
      </c>
    </row>
    <row r="113" customFormat="false" ht="27.75" hidden="false" customHeight="true" outlineLevel="0" collapsed="false">
      <c r="A113" s="57" t="s">
        <v>290</v>
      </c>
      <c r="B113" s="57" t="s">
        <v>292</v>
      </c>
      <c r="C113" s="58" t="n">
        <v>46322</v>
      </c>
      <c r="D113" s="57" t="s">
        <v>1551</v>
      </c>
      <c r="E113" s="57" t="s">
        <v>202</v>
      </c>
      <c r="F113" s="57" t="s">
        <v>203</v>
      </c>
      <c r="G113" s="57" t="s">
        <v>499</v>
      </c>
      <c r="H113" s="57" t="s">
        <v>1523</v>
      </c>
      <c r="I113" s="57" t="s">
        <v>501</v>
      </c>
      <c r="J113" s="57"/>
      <c r="K113" s="57" t="s">
        <v>451</v>
      </c>
      <c r="L113" s="57" t="s">
        <v>383</v>
      </c>
      <c r="M113" s="57"/>
      <c r="N113" s="57" t="s">
        <v>1225</v>
      </c>
    </row>
    <row r="114" customFormat="false" ht="27.75" hidden="false" customHeight="true" outlineLevel="0" collapsed="false">
      <c r="A114" s="57" t="s">
        <v>290</v>
      </c>
      <c r="B114" s="57" t="s">
        <v>292</v>
      </c>
      <c r="C114" s="58" t="n">
        <v>46322</v>
      </c>
      <c r="D114" s="57" t="s">
        <v>1551</v>
      </c>
      <c r="E114" s="57" t="s">
        <v>202</v>
      </c>
      <c r="F114" s="57" t="s">
        <v>203</v>
      </c>
      <c r="G114" s="57" t="s">
        <v>499</v>
      </c>
      <c r="H114" s="57" t="s">
        <v>1524</v>
      </c>
      <c r="I114" s="57" t="s">
        <v>501</v>
      </c>
      <c r="J114" s="57"/>
      <c r="K114" s="57" t="s">
        <v>451</v>
      </c>
      <c r="L114" s="57" t="s">
        <v>383</v>
      </c>
      <c r="M114" s="57"/>
      <c r="N114" s="57" t="s">
        <v>1228</v>
      </c>
    </row>
    <row r="115" customFormat="false" ht="27.75" hidden="false" customHeight="true" outlineLevel="0" collapsed="false">
      <c r="A115" s="57" t="s">
        <v>290</v>
      </c>
      <c r="B115" s="57" t="s">
        <v>292</v>
      </c>
      <c r="C115" s="58" t="n">
        <v>46322</v>
      </c>
      <c r="D115" s="57" t="s">
        <v>1551</v>
      </c>
      <c r="E115" s="57" t="s">
        <v>202</v>
      </c>
      <c r="F115" s="57" t="s">
        <v>203</v>
      </c>
      <c r="G115" s="57" t="s">
        <v>499</v>
      </c>
      <c r="H115" s="57" t="s">
        <v>1525</v>
      </c>
      <c r="I115" s="57" t="s">
        <v>501</v>
      </c>
      <c r="J115" s="57"/>
      <c r="K115" s="57" t="s">
        <v>451</v>
      </c>
      <c r="L115" s="57" t="s">
        <v>383</v>
      </c>
      <c r="M115" s="57"/>
      <c r="N115" s="57" t="s">
        <v>1230</v>
      </c>
    </row>
    <row r="116" customFormat="false" ht="65.25" hidden="false" customHeight="true" outlineLevel="0" collapsed="false">
      <c r="A116" s="57" t="s">
        <v>290</v>
      </c>
      <c r="B116" s="57" t="s">
        <v>292</v>
      </c>
      <c r="C116" s="58" t="n">
        <v>46322</v>
      </c>
      <c r="D116" s="57" t="s">
        <v>1551</v>
      </c>
      <c r="E116" s="57" t="s">
        <v>202</v>
      </c>
      <c r="F116" s="57" t="s">
        <v>203</v>
      </c>
      <c r="G116" s="57" t="s">
        <v>499</v>
      </c>
      <c r="H116" s="57" t="s">
        <v>1526</v>
      </c>
      <c r="I116" s="57" t="s">
        <v>501</v>
      </c>
      <c r="J116" s="57"/>
      <c r="K116" s="57" t="s">
        <v>451</v>
      </c>
      <c r="L116" s="75" t="s">
        <v>444</v>
      </c>
      <c r="M116" s="57" t="s">
        <v>1258</v>
      </c>
      <c r="N116" s="57" t="s">
        <v>1232</v>
      </c>
    </row>
    <row r="117" customFormat="false" ht="65.25" hidden="false" customHeight="true" outlineLevel="0" collapsed="false">
      <c r="A117" s="57" t="s">
        <v>290</v>
      </c>
      <c r="B117" s="57" t="s">
        <v>292</v>
      </c>
      <c r="C117" s="58" t="n">
        <v>46322</v>
      </c>
      <c r="D117" s="57" t="s">
        <v>1551</v>
      </c>
      <c r="E117" s="57" t="s">
        <v>202</v>
      </c>
      <c r="F117" s="57" t="s">
        <v>203</v>
      </c>
      <c r="G117" s="57" t="s">
        <v>499</v>
      </c>
      <c r="H117" s="57" t="s">
        <v>1527</v>
      </c>
      <c r="I117" s="57" t="s">
        <v>501</v>
      </c>
      <c r="J117" s="57"/>
      <c r="K117" s="57" t="s">
        <v>451</v>
      </c>
      <c r="L117" s="75" t="s">
        <v>444</v>
      </c>
      <c r="M117" s="57" t="s">
        <v>1258</v>
      </c>
      <c r="N117" s="57" t="s">
        <v>1235</v>
      </c>
    </row>
    <row r="118" customFormat="false" ht="27.75" hidden="false" customHeight="true" outlineLevel="0" collapsed="false">
      <c r="A118" s="57" t="s">
        <v>290</v>
      </c>
      <c r="B118" s="57" t="s">
        <v>292</v>
      </c>
      <c r="C118" s="58" t="n">
        <v>46322</v>
      </c>
      <c r="D118" s="57" t="s">
        <v>1551</v>
      </c>
      <c r="E118" s="57" t="s">
        <v>202</v>
      </c>
      <c r="F118" s="57" t="s">
        <v>203</v>
      </c>
      <c r="G118" s="57" t="s">
        <v>499</v>
      </c>
      <c r="H118" s="57" t="s">
        <v>1528</v>
      </c>
      <c r="I118" s="57" t="s">
        <v>519</v>
      </c>
      <c r="J118" s="57"/>
      <c r="K118" s="57" t="s">
        <v>451</v>
      </c>
      <c r="L118" s="57" t="s">
        <v>383</v>
      </c>
      <c r="M118" s="57" t="s">
        <v>549</v>
      </c>
      <c r="N118" s="57" t="s">
        <v>1237</v>
      </c>
    </row>
    <row r="119" customFormat="false" ht="27.75" hidden="false" customHeight="true" outlineLevel="0" collapsed="false">
      <c r="A119" s="57" t="s">
        <v>290</v>
      </c>
      <c r="B119" s="57" t="s">
        <v>292</v>
      </c>
      <c r="C119" s="58" t="n">
        <v>46322</v>
      </c>
      <c r="D119" s="57" t="s">
        <v>1551</v>
      </c>
      <c r="E119" s="57" t="s">
        <v>202</v>
      </c>
      <c r="F119" s="57" t="s">
        <v>203</v>
      </c>
      <c r="G119" s="57" t="s">
        <v>499</v>
      </c>
      <c r="H119" s="57" t="s">
        <v>1529</v>
      </c>
      <c r="I119" s="57" t="s">
        <v>501</v>
      </c>
      <c r="J119" s="57"/>
      <c r="K119" s="57" t="s">
        <v>451</v>
      </c>
      <c r="L119" s="57" t="s">
        <v>383</v>
      </c>
      <c r="M119" s="57"/>
      <c r="N119" s="57" t="s">
        <v>1240</v>
      </c>
    </row>
    <row r="120" customFormat="false" ht="27.75" hidden="false" customHeight="true" outlineLevel="0" collapsed="false">
      <c r="A120" s="57" t="s">
        <v>290</v>
      </c>
      <c r="B120" s="57" t="s">
        <v>292</v>
      </c>
      <c r="C120" s="58" t="n">
        <v>46322</v>
      </c>
      <c r="D120" s="57" t="s">
        <v>1551</v>
      </c>
      <c r="E120" s="57" t="s">
        <v>202</v>
      </c>
      <c r="F120" s="57" t="s">
        <v>203</v>
      </c>
      <c r="G120" s="57" t="s">
        <v>447</v>
      </c>
      <c r="H120" s="57" t="s">
        <v>1530</v>
      </c>
      <c r="I120" s="57" t="s">
        <v>449</v>
      </c>
      <c r="J120" s="57"/>
      <c r="K120" s="57" t="s">
        <v>451</v>
      </c>
      <c r="L120" s="57" t="s">
        <v>383</v>
      </c>
      <c r="M120" s="57"/>
      <c r="N120" s="57" t="s">
        <v>1242</v>
      </c>
    </row>
    <row r="121" customFormat="false" ht="27.75" hidden="false" customHeight="true" outlineLevel="0" collapsed="false">
      <c r="A121" s="57" t="s">
        <v>290</v>
      </c>
      <c r="B121" s="57" t="s">
        <v>292</v>
      </c>
      <c r="C121" s="58" t="n">
        <v>46322</v>
      </c>
      <c r="D121" s="57" t="s">
        <v>1551</v>
      </c>
      <c r="E121" s="57" t="s">
        <v>202</v>
      </c>
      <c r="F121" s="57" t="s">
        <v>203</v>
      </c>
      <c r="G121" s="57" t="s">
        <v>447</v>
      </c>
      <c r="H121" s="57" t="s">
        <v>1531</v>
      </c>
      <c r="I121" s="57" t="s">
        <v>449</v>
      </c>
      <c r="J121" s="57"/>
      <c r="K121" s="57" t="s">
        <v>451</v>
      </c>
      <c r="L121" s="57" t="s">
        <v>383</v>
      </c>
      <c r="M121" s="57"/>
      <c r="N121" s="57" t="s">
        <v>1244</v>
      </c>
    </row>
    <row r="122" customFormat="false" ht="52.5" hidden="false" customHeight="true" outlineLevel="0" collapsed="false">
      <c r="A122" s="57" t="s">
        <v>290</v>
      </c>
      <c r="B122" s="57" t="s">
        <v>292</v>
      </c>
      <c r="C122" s="58" t="n">
        <v>46322</v>
      </c>
      <c r="D122" s="57" t="s">
        <v>1551</v>
      </c>
      <c r="E122" s="57" t="s">
        <v>202</v>
      </c>
      <c r="F122" s="57" t="s">
        <v>203</v>
      </c>
      <c r="G122" s="57" t="s">
        <v>634</v>
      </c>
      <c r="H122" s="57" t="s">
        <v>1550</v>
      </c>
      <c r="I122" s="57" t="s">
        <v>1187</v>
      </c>
      <c r="J122" s="57"/>
      <c r="K122" s="57" t="s">
        <v>451</v>
      </c>
      <c r="L122" s="75" t="s">
        <v>444</v>
      </c>
      <c r="M122" s="57" t="s">
        <v>1265</v>
      </c>
      <c r="N122" s="57" t="s">
        <v>1188</v>
      </c>
    </row>
    <row r="123" customFormat="false" ht="27.75" hidden="false" customHeight="true" outlineLevel="0" collapsed="false">
      <c r="A123" s="57" t="s">
        <v>293</v>
      </c>
      <c r="B123" s="57" t="s">
        <v>294</v>
      </c>
      <c r="C123" s="58" t="n">
        <v>46322</v>
      </c>
      <c r="D123" s="57" t="s">
        <v>1553</v>
      </c>
      <c r="E123" s="57" t="s">
        <v>202</v>
      </c>
      <c r="F123" s="57" t="s">
        <v>215</v>
      </c>
      <c r="G123" s="57" t="s">
        <v>440</v>
      </c>
      <c r="H123" s="57" t="s">
        <v>1534</v>
      </c>
      <c r="I123" s="57" t="s">
        <v>501</v>
      </c>
      <c r="J123" s="57"/>
      <c r="K123" s="57" t="s">
        <v>187</v>
      </c>
      <c r="L123" s="57" t="s">
        <v>383</v>
      </c>
      <c r="M123" s="57"/>
      <c r="N123" s="57" t="s">
        <v>1286</v>
      </c>
    </row>
    <row r="124" customFormat="false" ht="27.75" hidden="false" customHeight="true" outlineLevel="0" collapsed="false">
      <c r="A124" s="57" t="s">
        <v>293</v>
      </c>
      <c r="B124" s="57" t="s">
        <v>294</v>
      </c>
      <c r="C124" s="58" t="n">
        <v>46322</v>
      </c>
      <c r="D124" s="57" t="s">
        <v>1553</v>
      </c>
      <c r="E124" s="57" t="s">
        <v>202</v>
      </c>
      <c r="F124" s="57" t="s">
        <v>215</v>
      </c>
      <c r="G124" s="57" t="s">
        <v>499</v>
      </c>
      <c r="H124" s="57" t="s">
        <v>1523</v>
      </c>
      <c r="I124" s="57" t="s">
        <v>501</v>
      </c>
      <c r="J124" s="57"/>
      <c r="K124" s="57" t="s">
        <v>451</v>
      </c>
      <c r="L124" s="57" t="s">
        <v>383</v>
      </c>
      <c r="M124" s="57"/>
      <c r="N124" s="57" t="s">
        <v>1288</v>
      </c>
    </row>
    <row r="125" customFormat="false" ht="27.75" hidden="false" customHeight="true" outlineLevel="0" collapsed="false">
      <c r="A125" s="57" t="s">
        <v>293</v>
      </c>
      <c r="B125" s="57" t="s">
        <v>294</v>
      </c>
      <c r="C125" s="58" t="n">
        <v>46322</v>
      </c>
      <c r="D125" s="57" t="s">
        <v>1553</v>
      </c>
      <c r="E125" s="57" t="s">
        <v>202</v>
      </c>
      <c r="F125" s="57" t="s">
        <v>215</v>
      </c>
      <c r="G125" s="57" t="s">
        <v>499</v>
      </c>
      <c r="H125" s="57" t="s">
        <v>1524</v>
      </c>
      <c r="I125" s="57" t="s">
        <v>501</v>
      </c>
      <c r="J125" s="57"/>
      <c r="K125" s="57" t="s">
        <v>451</v>
      </c>
      <c r="L125" s="57" t="s">
        <v>383</v>
      </c>
      <c r="M125" s="57"/>
      <c r="N125" s="57" t="s">
        <v>1290</v>
      </c>
    </row>
    <row r="126" customFormat="false" ht="27.75" hidden="false" customHeight="true" outlineLevel="0" collapsed="false">
      <c r="A126" s="57" t="s">
        <v>293</v>
      </c>
      <c r="B126" s="57" t="s">
        <v>294</v>
      </c>
      <c r="C126" s="58" t="n">
        <v>46322</v>
      </c>
      <c r="D126" s="57" t="s">
        <v>1553</v>
      </c>
      <c r="E126" s="57" t="s">
        <v>202</v>
      </c>
      <c r="F126" s="57" t="s">
        <v>215</v>
      </c>
      <c r="G126" s="57" t="s">
        <v>499</v>
      </c>
      <c r="H126" s="57" t="s">
        <v>1525</v>
      </c>
      <c r="I126" s="57" t="s">
        <v>501</v>
      </c>
      <c r="J126" s="57"/>
      <c r="K126" s="57" t="s">
        <v>451</v>
      </c>
      <c r="L126" s="57" t="s">
        <v>383</v>
      </c>
      <c r="M126" s="57"/>
      <c r="N126" s="57" t="s">
        <v>1292</v>
      </c>
    </row>
    <row r="127" customFormat="false" ht="27.75" hidden="false" customHeight="true" outlineLevel="0" collapsed="false">
      <c r="A127" s="57" t="s">
        <v>293</v>
      </c>
      <c r="B127" s="57" t="s">
        <v>294</v>
      </c>
      <c r="C127" s="58" t="n">
        <v>46322</v>
      </c>
      <c r="D127" s="57" t="s">
        <v>1553</v>
      </c>
      <c r="E127" s="57" t="s">
        <v>202</v>
      </c>
      <c r="F127" s="57" t="s">
        <v>215</v>
      </c>
      <c r="G127" s="57" t="s">
        <v>499</v>
      </c>
      <c r="H127" s="57" t="s">
        <v>1526</v>
      </c>
      <c r="I127" s="57" t="s">
        <v>501</v>
      </c>
      <c r="J127" s="57"/>
      <c r="K127" s="57" t="s">
        <v>451</v>
      </c>
      <c r="L127" s="57" t="s">
        <v>383</v>
      </c>
      <c r="M127" s="57"/>
      <c r="N127" s="57" t="s">
        <v>1294</v>
      </c>
    </row>
    <row r="128" customFormat="false" ht="27.75" hidden="false" customHeight="true" outlineLevel="0" collapsed="false">
      <c r="A128" s="57" t="s">
        <v>293</v>
      </c>
      <c r="B128" s="57" t="s">
        <v>294</v>
      </c>
      <c r="C128" s="58" t="n">
        <v>46322</v>
      </c>
      <c r="D128" s="57" t="s">
        <v>1553</v>
      </c>
      <c r="E128" s="57" t="s">
        <v>202</v>
      </c>
      <c r="F128" s="57" t="s">
        <v>215</v>
      </c>
      <c r="G128" s="57" t="s">
        <v>499</v>
      </c>
      <c r="H128" s="57" t="s">
        <v>1527</v>
      </c>
      <c r="I128" s="57" t="s">
        <v>501</v>
      </c>
      <c r="J128" s="57"/>
      <c r="K128" s="57" t="s">
        <v>451</v>
      </c>
      <c r="L128" s="57" t="s">
        <v>383</v>
      </c>
      <c r="M128" s="57"/>
      <c r="N128" s="57" t="s">
        <v>1296</v>
      </c>
    </row>
    <row r="129" customFormat="false" ht="27.75" hidden="false" customHeight="true" outlineLevel="0" collapsed="false">
      <c r="A129" s="57" t="s">
        <v>293</v>
      </c>
      <c r="B129" s="57" t="s">
        <v>294</v>
      </c>
      <c r="C129" s="58" t="n">
        <v>46322</v>
      </c>
      <c r="D129" s="57" t="s">
        <v>1553</v>
      </c>
      <c r="E129" s="57" t="s">
        <v>202</v>
      </c>
      <c r="F129" s="57" t="s">
        <v>215</v>
      </c>
      <c r="G129" s="57" t="s">
        <v>499</v>
      </c>
      <c r="H129" s="57" t="s">
        <v>1528</v>
      </c>
      <c r="I129" s="57" t="s">
        <v>616</v>
      </c>
      <c r="J129" s="57"/>
      <c r="K129" s="57" t="s">
        <v>451</v>
      </c>
      <c r="L129" s="57" t="s">
        <v>383</v>
      </c>
      <c r="M129" s="57" t="s">
        <v>549</v>
      </c>
      <c r="N129" s="57" t="s">
        <v>1298</v>
      </c>
    </row>
    <row r="130" customFormat="false" ht="27.75" hidden="false" customHeight="true" outlineLevel="0" collapsed="false">
      <c r="A130" s="57" t="s">
        <v>293</v>
      </c>
      <c r="B130" s="57" t="s">
        <v>294</v>
      </c>
      <c r="C130" s="58" t="n">
        <v>46322</v>
      </c>
      <c r="D130" s="57" t="s">
        <v>1553</v>
      </c>
      <c r="E130" s="57" t="s">
        <v>202</v>
      </c>
      <c r="F130" s="57" t="s">
        <v>215</v>
      </c>
      <c r="G130" s="57" t="s">
        <v>499</v>
      </c>
      <c r="H130" s="57" t="s">
        <v>1529</v>
      </c>
      <c r="I130" s="57" t="s">
        <v>501</v>
      </c>
      <c r="J130" s="57"/>
      <c r="K130" s="57" t="s">
        <v>451</v>
      </c>
      <c r="L130" s="57" t="s">
        <v>383</v>
      </c>
      <c r="M130" s="57"/>
      <c r="N130" s="57" t="s">
        <v>1300</v>
      </c>
    </row>
    <row r="131" customFormat="false" ht="27.75" hidden="false" customHeight="true" outlineLevel="0" collapsed="false">
      <c r="A131" s="57" t="s">
        <v>293</v>
      </c>
      <c r="B131" s="57" t="s">
        <v>294</v>
      </c>
      <c r="C131" s="58" t="n">
        <v>46322</v>
      </c>
      <c r="D131" s="57" t="s">
        <v>1553</v>
      </c>
      <c r="E131" s="57" t="s">
        <v>202</v>
      </c>
      <c r="F131" s="57" t="s">
        <v>215</v>
      </c>
      <c r="G131" s="57" t="s">
        <v>447</v>
      </c>
      <c r="H131" s="57" t="s">
        <v>1530</v>
      </c>
      <c r="I131" s="57" t="s">
        <v>449</v>
      </c>
      <c r="J131" s="57"/>
      <c r="K131" s="57" t="s">
        <v>451</v>
      </c>
      <c r="L131" s="57" t="s">
        <v>383</v>
      </c>
      <c r="M131" s="57"/>
      <c r="N131" s="57" t="s">
        <v>1302</v>
      </c>
    </row>
    <row r="132" customFormat="false" ht="27.75" hidden="false" customHeight="true" outlineLevel="0" collapsed="false">
      <c r="A132" s="57" t="s">
        <v>293</v>
      </c>
      <c r="B132" s="57" t="s">
        <v>294</v>
      </c>
      <c r="C132" s="58" t="n">
        <v>46322</v>
      </c>
      <c r="D132" s="57" t="s">
        <v>1553</v>
      </c>
      <c r="E132" s="57" t="s">
        <v>202</v>
      </c>
      <c r="F132" s="57" t="s">
        <v>215</v>
      </c>
      <c r="G132" s="57" t="s">
        <v>447</v>
      </c>
      <c r="H132" s="57" t="s">
        <v>1535</v>
      </c>
      <c r="I132" s="57" t="s">
        <v>449</v>
      </c>
      <c r="J132" s="57"/>
      <c r="K132" s="57" t="s">
        <v>451</v>
      </c>
      <c r="L132" s="57" t="s">
        <v>383</v>
      </c>
      <c r="M132" s="57"/>
      <c r="N132" s="57" t="s">
        <v>1304</v>
      </c>
    </row>
    <row r="133" customFormat="false" ht="27.75" hidden="false" customHeight="true" outlineLevel="0" collapsed="false">
      <c r="A133" s="57" t="s">
        <v>293</v>
      </c>
      <c r="B133" s="57" t="s">
        <v>294</v>
      </c>
      <c r="C133" s="58" t="n">
        <v>46322</v>
      </c>
      <c r="D133" s="57" t="s">
        <v>1553</v>
      </c>
      <c r="E133" s="57" t="s">
        <v>202</v>
      </c>
      <c r="F133" s="57" t="s">
        <v>215</v>
      </c>
      <c r="G133" s="57" t="s">
        <v>447</v>
      </c>
      <c r="H133" s="57" t="s">
        <v>1536</v>
      </c>
      <c r="I133" s="57" t="s">
        <v>449</v>
      </c>
      <c r="J133" s="57"/>
      <c r="K133" s="57" t="s">
        <v>451</v>
      </c>
      <c r="L133" s="57" t="s">
        <v>383</v>
      </c>
      <c r="M133" s="57"/>
      <c r="N133" s="57" t="s">
        <v>1306</v>
      </c>
    </row>
    <row r="134" customFormat="false" ht="27.75" hidden="false" customHeight="true" outlineLevel="0" collapsed="false">
      <c r="A134" s="57" t="s">
        <v>293</v>
      </c>
      <c r="B134" s="57" t="s">
        <v>294</v>
      </c>
      <c r="C134" s="58" t="n">
        <v>46322</v>
      </c>
      <c r="D134" s="57" t="s">
        <v>1553</v>
      </c>
      <c r="E134" s="57" t="s">
        <v>202</v>
      </c>
      <c r="F134" s="57" t="s">
        <v>215</v>
      </c>
      <c r="G134" s="57" t="s">
        <v>629</v>
      </c>
      <c r="H134" s="57" t="s">
        <v>1537</v>
      </c>
      <c r="I134" s="57" t="s">
        <v>501</v>
      </c>
      <c r="J134" s="57"/>
      <c r="K134" s="57" t="s">
        <v>187</v>
      </c>
      <c r="L134" s="57" t="s">
        <v>383</v>
      </c>
      <c r="M134" s="57" t="s">
        <v>632</v>
      </c>
      <c r="N134" s="57" t="s">
        <v>1308</v>
      </c>
    </row>
    <row r="135" customFormat="false" ht="27.75" hidden="false" customHeight="true" outlineLevel="0" collapsed="false">
      <c r="A135" s="57" t="s">
        <v>293</v>
      </c>
      <c r="B135" s="57" t="s">
        <v>294</v>
      </c>
      <c r="C135" s="58" t="n">
        <v>46322</v>
      </c>
      <c r="D135" s="57" t="s">
        <v>1553</v>
      </c>
      <c r="E135" s="57" t="s">
        <v>202</v>
      </c>
      <c r="F135" s="57" t="s">
        <v>215</v>
      </c>
      <c r="G135" s="57" t="s">
        <v>634</v>
      </c>
      <c r="H135" s="57" t="s">
        <v>1538</v>
      </c>
      <c r="I135" s="57" t="s">
        <v>1310</v>
      </c>
      <c r="J135" s="57"/>
      <c r="K135" s="57" t="s">
        <v>451</v>
      </c>
      <c r="L135" s="57" t="s">
        <v>383</v>
      </c>
      <c r="M135" s="57" t="s">
        <v>1328</v>
      </c>
      <c r="N135" s="57" t="s">
        <v>1311</v>
      </c>
    </row>
    <row r="136" customFormat="false" ht="27.75" hidden="false" customHeight="true" outlineLevel="0" collapsed="false">
      <c r="A136" s="57" t="s">
        <v>301</v>
      </c>
      <c r="B136" s="57" t="s">
        <v>302</v>
      </c>
      <c r="C136" s="58" t="n">
        <v>46324</v>
      </c>
      <c r="D136" s="57" t="s">
        <v>1554</v>
      </c>
      <c r="E136" s="57" t="s">
        <v>188</v>
      </c>
      <c r="F136" s="57" t="s">
        <v>215</v>
      </c>
      <c r="G136" s="57" t="s">
        <v>447</v>
      </c>
      <c r="H136" s="57" t="s">
        <v>1518</v>
      </c>
      <c r="I136" s="57" t="s">
        <v>449</v>
      </c>
      <c r="J136" s="57"/>
      <c r="K136" s="57" t="s">
        <v>451</v>
      </c>
      <c r="L136" s="57" t="s">
        <v>383</v>
      </c>
      <c r="M136" s="57"/>
      <c r="N136" s="57" t="s">
        <v>1348</v>
      </c>
    </row>
    <row r="137" customFormat="false" ht="40.5" hidden="false" customHeight="true" outlineLevel="0" collapsed="false">
      <c r="A137" s="57" t="s">
        <v>301</v>
      </c>
      <c r="B137" s="57" t="s">
        <v>302</v>
      </c>
      <c r="C137" s="58" t="n">
        <v>46324</v>
      </c>
      <c r="D137" s="57" t="s">
        <v>1554</v>
      </c>
      <c r="E137" s="57" t="s">
        <v>188</v>
      </c>
      <c r="F137" s="57" t="s">
        <v>215</v>
      </c>
      <c r="G137" s="57" t="s">
        <v>447</v>
      </c>
      <c r="H137" s="57" t="s">
        <v>1519</v>
      </c>
      <c r="I137" s="57" t="s">
        <v>449</v>
      </c>
      <c r="J137" s="57" t="s">
        <v>1548</v>
      </c>
      <c r="K137" s="57" t="s">
        <v>451</v>
      </c>
      <c r="L137" s="57" t="s">
        <v>383</v>
      </c>
      <c r="M137" s="57" t="s">
        <v>1359</v>
      </c>
      <c r="N137" s="57" t="s">
        <v>1351</v>
      </c>
    </row>
    <row r="138" customFormat="false" ht="52.5" hidden="false" customHeight="true" outlineLevel="0" collapsed="false">
      <c r="A138" s="57" t="s">
        <v>301</v>
      </c>
      <c r="B138" s="57" t="s">
        <v>302</v>
      </c>
      <c r="C138" s="58" t="n">
        <v>46324</v>
      </c>
      <c r="D138" s="57" t="s">
        <v>1554</v>
      </c>
      <c r="E138" s="57" t="s">
        <v>188</v>
      </c>
      <c r="F138" s="57" t="s">
        <v>215</v>
      </c>
      <c r="G138" s="57" t="s">
        <v>634</v>
      </c>
      <c r="H138" s="57" t="s">
        <v>1538</v>
      </c>
      <c r="I138" s="57" t="s">
        <v>1310</v>
      </c>
      <c r="J138" s="57"/>
      <c r="K138" s="57" t="s">
        <v>451</v>
      </c>
      <c r="L138" s="75" t="s">
        <v>444</v>
      </c>
      <c r="M138" s="57" t="s">
        <v>1361</v>
      </c>
      <c r="N138" s="57" t="s">
        <v>1311</v>
      </c>
    </row>
    <row r="139" customFormat="false" ht="27.75" hidden="false" customHeight="true" outlineLevel="0" collapsed="false">
      <c r="A139" s="57" t="s">
        <v>304</v>
      </c>
      <c r="B139" s="57" t="s">
        <v>305</v>
      </c>
      <c r="C139" s="58" t="n">
        <v>46324</v>
      </c>
      <c r="D139" s="57" t="s">
        <v>1555</v>
      </c>
      <c r="E139" s="57" t="s">
        <v>188</v>
      </c>
      <c r="F139" s="57" t="s">
        <v>203</v>
      </c>
      <c r="G139" s="57" t="s">
        <v>447</v>
      </c>
      <c r="H139" s="57" t="s">
        <v>1518</v>
      </c>
      <c r="I139" s="57" t="s">
        <v>449</v>
      </c>
      <c r="J139" s="57"/>
      <c r="K139" s="57" t="s">
        <v>451</v>
      </c>
      <c r="L139" s="57" t="s">
        <v>383</v>
      </c>
      <c r="M139" s="57"/>
      <c r="N139" s="57" t="s">
        <v>1381</v>
      </c>
    </row>
    <row r="140" customFormat="false" ht="27.75" hidden="false" customHeight="true" outlineLevel="0" collapsed="false">
      <c r="A140" s="57" t="s">
        <v>310</v>
      </c>
      <c r="B140" s="57" t="s">
        <v>311</v>
      </c>
      <c r="C140" s="58" t="n">
        <v>46325</v>
      </c>
      <c r="D140" s="57" t="s">
        <v>1556</v>
      </c>
      <c r="E140" s="57" t="s">
        <v>202</v>
      </c>
      <c r="F140" s="57" t="s">
        <v>203</v>
      </c>
      <c r="G140" s="57" t="s">
        <v>440</v>
      </c>
      <c r="H140" s="57" t="s">
        <v>1522</v>
      </c>
      <c r="I140" s="57" t="s">
        <v>495</v>
      </c>
      <c r="J140" s="57"/>
      <c r="K140" s="57" t="s">
        <v>451</v>
      </c>
      <c r="L140" s="57" t="s">
        <v>383</v>
      </c>
      <c r="M140" s="57" t="s">
        <v>535</v>
      </c>
      <c r="N140" s="57" t="s">
        <v>1406</v>
      </c>
    </row>
    <row r="141" customFormat="false" ht="27.75" hidden="false" customHeight="true" outlineLevel="0" collapsed="false">
      <c r="A141" s="57" t="s">
        <v>310</v>
      </c>
      <c r="B141" s="57" t="s">
        <v>311</v>
      </c>
      <c r="C141" s="58" t="n">
        <v>46325</v>
      </c>
      <c r="D141" s="57" t="s">
        <v>1556</v>
      </c>
      <c r="E141" s="57" t="s">
        <v>202</v>
      </c>
      <c r="F141" s="57" t="s">
        <v>203</v>
      </c>
      <c r="G141" s="57" t="s">
        <v>499</v>
      </c>
      <c r="H141" s="57" t="s">
        <v>1523</v>
      </c>
      <c r="I141" s="57" t="s">
        <v>501</v>
      </c>
      <c r="J141" s="57"/>
      <c r="K141" s="57" t="s">
        <v>451</v>
      </c>
      <c r="L141" s="57" t="s">
        <v>383</v>
      </c>
      <c r="M141" s="57"/>
      <c r="N141" s="57" t="s">
        <v>1409</v>
      </c>
    </row>
    <row r="142" customFormat="false" ht="27.75" hidden="false" customHeight="true" outlineLevel="0" collapsed="false">
      <c r="A142" s="57" t="s">
        <v>310</v>
      </c>
      <c r="B142" s="57" t="s">
        <v>311</v>
      </c>
      <c r="C142" s="58" t="n">
        <v>46325</v>
      </c>
      <c r="D142" s="57" t="s">
        <v>1556</v>
      </c>
      <c r="E142" s="57" t="s">
        <v>202</v>
      </c>
      <c r="F142" s="57" t="s">
        <v>203</v>
      </c>
      <c r="G142" s="57" t="s">
        <v>499</v>
      </c>
      <c r="H142" s="57" t="s">
        <v>1524</v>
      </c>
      <c r="I142" s="57" t="s">
        <v>501</v>
      </c>
      <c r="J142" s="57"/>
      <c r="K142" s="57" t="s">
        <v>451</v>
      </c>
      <c r="L142" s="57" t="s">
        <v>383</v>
      </c>
      <c r="M142" s="57"/>
      <c r="N142" s="57" t="s">
        <v>1411</v>
      </c>
    </row>
    <row r="143" customFormat="false" ht="27.75" hidden="false" customHeight="true" outlineLevel="0" collapsed="false">
      <c r="A143" s="57" t="s">
        <v>310</v>
      </c>
      <c r="B143" s="57" t="s">
        <v>311</v>
      </c>
      <c r="C143" s="58" t="n">
        <v>46325</v>
      </c>
      <c r="D143" s="57" t="s">
        <v>1556</v>
      </c>
      <c r="E143" s="57" t="s">
        <v>202</v>
      </c>
      <c r="F143" s="57" t="s">
        <v>203</v>
      </c>
      <c r="G143" s="57" t="s">
        <v>499</v>
      </c>
      <c r="H143" s="57" t="s">
        <v>1525</v>
      </c>
      <c r="I143" s="57" t="s">
        <v>501</v>
      </c>
      <c r="J143" s="57"/>
      <c r="K143" s="57" t="s">
        <v>451</v>
      </c>
      <c r="L143" s="57" t="s">
        <v>383</v>
      </c>
      <c r="M143" s="57"/>
      <c r="N143" s="57" t="s">
        <v>1413</v>
      </c>
    </row>
    <row r="144" customFormat="false" ht="27.75" hidden="false" customHeight="true" outlineLevel="0" collapsed="false">
      <c r="A144" s="57" t="s">
        <v>310</v>
      </c>
      <c r="B144" s="57" t="s">
        <v>311</v>
      </c>
      <c r="C144" s="58" t="n">
        <v>46325</v>
      </c>
      <c r="D144" s="57" t="s">
        <v>1556</v>
      </c>
      <c r="E144" s="57" t="s">
        <v>202</v>
      </c>
      <c r="F144" s="57" t="s">
        <v>203</v>
      </c>
      <c r="G144" s="57" t="s">
        <v>499</v>
      </c>
      <c r="H144" s="57" t="s">
        <v>1528</v>
      </c>
      <c r="I144" s="57" t="s">
        <v>519</v>
      </c>
      <c r="J144" s="57"/>
      <c r="K144" s="57" t="s">
        <v>451</v>
      </c>
      <c r="L144" s="57" t="s">
        <v>383</v>
      </c>
      <c r="M144" s="57" t="s">
        <v>549</v>
      </c>
      <c r="N144" s="57" t="s">
        <v>1415</v>
      </c>
    </row>
    <row r="145" customFormat="false" ht="27.75" hidden="false" customHeight="true" outlineLevel="0" collapsed="false">
      <c r="A145" s="57" t="s">
        <v>310</v>
      </c>
      <c r="B145" s="57" t="s">
        <v>311</v>
      </c>
      <c r="C145" s="58" t="n">
        <v>46325</v>
      </c>
      <c r="D145" s="57" t="s">
        <v>1556</v>
      </c>
      <c r="E145" s="57" t="s">
        <v>202</v>
      </c>
      <c r="F145" s="57" t="s">
        <v>203</v>
      </c>
      <c r="G145" s="57" t="s">
        <v>499</v>
      </c>
      <c r="H145" s="57" t="s">
        <v>1529</v>
      </c>
      <c r="I145" s="57" t="s">
        <v>501</v>
      </c>
      <c r="J145" s="57"/>
      <c r="K145" s="57" t="s">
        <v>451</v>
      </c>
      <c r="L145" s="57" t="s">
        <v>383</v>
      </c>
      <c r="M145" s="57"/>
      <c r="N145" s="57" t="s">
        <v>1418</v>
      </c>
    </row>
    <row r="146" customFormat="false" ht="27.75" hidden="false" customHeight="true" outlineLevel="0" collapsed="false">
      <c r="A146" s="57" t="s">
        <v>310</v>
      </c>
      <c r="B146" s="57" t="s">
        <v>311</v>
      </c>
      <c r="C146" s="58" t="n">
        <v>46325</v>
      </c>
      <c r="D146" s="57" t="s">
        <v>1556</v>
      </c>
      <c r="E146" s="57" t="s">
        <v>202</v>
      </c>
      <c r="F146" s="57" t="s">
        <v>203</v>
      </c>
      <c r="G146" s="57" t="s">
        <v>447</v>
      </c>
      <c r="H146" s="57" t="s">
        <v>1530</v>
      </c>
      <c r="I146" s="57" t="s">
        <v>449</v>
      </c>
      <c r="J146" s="57"/>
      <c r="K146" s="57" t="s">
        <v>451</v>
      </c>
      <c r="L146" s="57" t="s">
        <v>383</v>
      </c>
      <c r="M146" s="57"/>
      <c r="N146" s="57" t="s">
        <v>1420</v>
      </c>
    </row>
    <row r="147" customFormat="false" ht="27.75" hidden="false" customHeight="true" outlineLevel="0" collapsed="false">
      <c r="A147" s="57" t="s">
        <v>310</v>
      </c>
      <c r="B147" s="57" t="s">
        <v>311</v>
      </c>
      <c r="C147" s="58" t="n">
        <v>46325</v>
      </c>
      <c r="D147" s="57" t="s">
        <v>1556</v>
      </c>
      <c r="E147" s="57" t="s">
        <v>202</v>
      </c>
      <c r="F147" s="57" t="s">
        <v>203</v>
      </c>
      <c r="G147" s="57" t="s">
        <v>447</v>
      </c>
      <c r="H147" s="57" t="s">
        <v>1531</v>
      </c>
      <c r="I147" s="57" t="s">
        <v>449</v>
      </c>
      <c r="J147" s="57"/>
      <c r="K147" s="57" t="s">
        <v>451</v>
      </c>
      <c r="L147" s="57" t="s">
        <v>383</v>
      </c>
      <c r="M147" s="57"/>
      <c r="N147" s="57" t="s">
        <v>1422</v>
      </c>
    </row>
    <row r="148" customFormat="false" ht="78" hidden="false" customHeight="true" outlineLevel="0" collapsed="false">
      <c r="A148" s="57" t="s">
        <v>312</v>
      </c>
      <c r="B148" s="57" t="s">
        <v>232</v>
      </c>
      <c r="C148" s="58" t="n">
        <v>46325</v>
      </c>
      <c r="D148" s="57" t="s">
        <v>1540</v>
      </c>
      <c r="E148" s="57" t="s">
        <v>202</v>
      </c>
      <c r="F148" s="57" t="s">
        <v>189</v>
      </c>
      <c r="G148" s="57" t="s">
        <v>440</v>
      </c>
      <c r="H148" s="57" t="s">
        <v>1517</v>
      </c>
      <c r="I148" s="57" t="s">
        <v>501</v>
      </c>
      <c r="J148" s="57"/>
      <c r="K148" s="57" t="s">
        <v>726</v>
      </c>
      <c r="L148" s="75" t="s">
        <v>444</v>
      </c>
      <c r="M148" s="57" t="s">
        <v>727</v>
      </c>
      <c r="N148" s="57" t="s">
        <v>443</v>
      </c>
    </row>
    <row r="149" customFormat="false" ht="27.75" hidden="false" customHeight="true" outlineLevel="0" collapsed="false">
      <c r="A149" s="57" t="s">
        <v>312</v>
      </c>
      <c r="B149" s="57" t="s">
        <v>232</v>
      </c>
      <c r="C149" s="58" t="n">
        <v>46325</v>
      </c>
      <c r="D149" s="57" t="s">
        <v>1540</v>
      </c>
      <c r="E149" s="57" t="s">
        <v>202</v>
      </c>
      <c r="F149" s="57" t="s">
        <v>189</v>
      </c>
      <c r="G149" s="57" t="s">
        <v>440</v>
      </c>
      <c r="H149" s="57" t="s">
        <v>1541</v>
      </c>
      <c r="I149" s="57" t="s">
        <v>730</v>
      </c>
      <c r="J149" s="57"/>
      <c r="K149" s="57" t="s">
        <v>187</v>
      </c>
      <c r="L149" s="57" t="s">
        <v>383</v>
      </c>
      <c r="M149" s="57" t="s">
        <v>732</v>
      </c>
      <c r="N149" s="57" t="s">
        <v>731</v>
      </c>
    </row>
    <row r="150" customFormat="false" ht="27.75" hidden="false" customHeight="true" outlineLevel="0" collapsed="false">
      <c r="A150" s="57" t="s">
        <v>312</v>
      </c>
      <c r="B150" s="57" t="s">
        <v>232</v>
      </c>
      <c r="C150" s="58" t="n">
        <v>46325</v>
      </c>
      <c r="D150" s="57" t="s">
        <v>1540</v>
      </c>
      <c r="E150" s="57" t="s">
        <v>202</v>
      </c>
      <c r="F150" s="57" t="s">
        <v>189</v>
      </c>
      <c r="G150" s="57" t="s">
        <v>440</v>
      </c>
      <c r="H150" s="57" t="s">
        <v>1534</v>
      </c>
      <c r="I150" s="57" t="s">
        <v>501</v>
      </c>
      <c r="J150" s="57"/>
      <c r="K150" s="57" t="s">
        <v>187</v>
      </c>
      <c r="L150" s="57" t="s">
        <v>383</v>
      </c>
      <c r="M150" s="57"/>
      <c r="N150" s="57" t="s">
        <v>734</v>
      </c>
    </row>
    <row r="151" customFormat="false" ht="27.75" hidden="false" customHeight="true" outlineLevel="0" collapsed="false">
      <c r="A151" s="57" t="s">
        <v>312</v>
      </c>
      <c r="B151" s="57" t="s">
        <v>232</v>
      </c>
      <c r="C151" s="58" t="n">
        <v>46325</v>
      </c>
      <c r="D151" s="57" t="s">
        <v>1540</v>
      </c>
      <c r="E151" s="57" t="s">
        <v>202</v>
      </c>
      <c r="F151" s="57" t="s">
        <v>189</v>
      </c>
      <c r="G151" s="57" t="s">
        <v>499</v>
      </c>
      <c r="H151" s="57" t="s">
        <v>1523</v>
      </c>
      <c r="I151" s="57" t="s">
        <v>501</v>
      </c>
      <c r="J151" s="57"/>
      <c r="K151" s="57" t="s">
        <v>451</v>
      </c>
      <c r="L151" s="57" t="s">
        <v>383</v>
      </c>
      <c r="M151" s="57"/>
      <c r="N151" s="57" t="s">
        <v>736</v>
      </c>
    </row>
    <row r="152" customFormat="false" ht="27.75" hidden="false" customHeight="true" outlineLevel="0" collapsed="false">
      <c r="A152" s="57" t="s">
        <v>312</v>
      </c>
      <c r="B152" s="57" t="s">
        <v>232</v>
      </c>
      <c r="C152" s="58" t="n">
        <v>46325</v>
      </c>
      <c r="D152" s="57" t="s">
        <v>1540</v>
      </c>
      <c r="E152" s="57" t="s">
        <v>202</v>
      </c>
      <c r="F152" s="57" t="s">
        <v>189</v>
      </c>
      <c r="G152" s="57" t="s">
        <v>499</v>
      </c>
      <c r="H152" s="57" t="s">
        <v>1524</v>
      </c>
      <c r="I152" s="57" t="s">
        <v>501</v>
      </c>
      <c r="J152" s="57"/>
      <c r="K152" s="57" t="s">
        <v>451</v>
      </c>
      <c r="L152" s="57" t="s">
        <v>383</v>
      </c>
      <c r="M152" s="57"/>
      <c r="N152" s="57" t="s">
        <v>738</v>
      </c>
    </row>
    <row r="153" customFormat="false" ht="27.75" hidden="false" customHeight="true" outlineLevel="0" collapsed="false">
      <c r="A153" s="57" t="s">
        <v>312</v>
      </c>
      <c r="B153" s="57" t="s">
        <v>232</v>
      </c>
      <c r="C153" s="58" t="n">
        <v>46325</v>
      </c>
      <c r="D153" s="57" t="s">
        <v>1540</v>
      </c>
      <c r="E153" s="57" t="s">
        <v>202</v>
      </c>
      <c r="F153" s="57" t="s">
        <v>189</v>
      </c>
      <c r="G153" s="57" t="s">
        <v>499</v>
      </c>
      <c r="H153" s="57" t="s">
        <v>1525</v>
      </c>
      <c r="I153" s="57" t="s">
        <v>501</v>
      </c>
      <c r="J153" s="57"/>
      <c r="K153" s="57" t="s">
        <v>451</v>
      </c>
      <c r="L153" s="57" t="s">
        <v>383</v>
      </c>
      <c r="M153" s="57"/>
      <c r="N153" s="57" t="s">
        <v>740</v>
      </c>
    </row>
    <row r="154" customFormat="false" ht="27.75" hidden="false" customHeight="true" outlineLevel="0" collapsed="false">
      <c r="A154" s="57" t="s">
        <v>312</v>
      </c>
      <c r="B154" s="57" t="s">
        <v>232</v>
      </c>
      <c r="C154" s="58" t="n">
        <v>46325</v>
      </c>
      <c r="D154" s="57" t="s">
        <v>1540</v>
      </c>
      <c r="E154" s="57" t="s">
        <v>202</v>
      </c>
      <c r="F154" s="57" t="s">
        <v>189</v>
      </c>
      <c r="G154" s="57" t="s">
        <v>499</v>
      </c>
      <c r="H154" s="57" t="s">
        <v>1526</v>
      </c>
      <c r="I154" s="57" t="s">
        <v>501</v>
      </c>
      <c r="J154" s="57"/>
      <c r="K154" s="57" t="s">
        <v>451</v>
      </c>
      <c r="L154" s="57" t="s">
        <v>383</v>
      </c>
      <c r="M154" s="57"/>
      <c r="N154" s="57" t="s">
        <v>742</v>
      </c>
    </row>
    <row r="155" customFormat="false" ht="27.75" hidden="false" customHeight="true" outlineLevel="0" collapsed="false">
      <c r="A155" s="57" t="s">
        <v>312</v>
      </c>
      <c r="B155" s="57" t="s">
        <v>232</v>
      </c>
      <c r="C155" s="58" t="n">
        <v>46325</v>
      </c>
      <c r="D155" s="57" t="s">
        <v>1540</v>
      </c>
      <c r="E155" s="57" t="s">
        <v>202</v>
      </c>
      <c r="F155" s="57" t="s">
        <v>189</v>
      </c>
      <c r="G155" s="57" t="s">
        <v>499</v>
      </c>
      <c r="H155" s="57" t="s">
        <v>1527</v>
      </c>
      <c r="I155" s="57" t="s">
        <v>501</v>
      </c>
      <c r="J155" s="57"/>
      <c r="K155" s="57" t="s">
        <v>451</v>
      </c>
      <c r="L155" s="57" t="s">
        <v>383</v>
      </c>
      <c r="M155" s="57"/>
      <c r="N155" s="57" t="s">
        <v>744</v>
      </c>
    </row>
    <row r="156" customFormat="false" ht="27.75" hidden="false" customHeight="true" outlineLevel="0" collapsed="false">
      <c r="A156" s="57" t="s">
        <v>312</v>
      </c>
      <c r="B156" s="57" t="s">
        <v>232</v>
      </c>
      <c r="C156" s="58" t="n">
        <v>46325</v>
      </c>
      <c r="D156" s="57" t="s">
        <v>1540</v>
      </c>
      <c r="E156" s="57" t="s">
        <v>202</v>
      </c>
      <c r="F156" s="57" t="s">
        <v>189</v>
      </c>
      <c r="G156" s="57" t="s">
        <v>499</v>
      </c>
      <c r="H156" s="57" t="s">
        <v>1528</v>
      </c>
      <c r="I156" s="57" t="s">
        <v>616</v>
      </c>
      <c r="J156" s="57"/>
      <c r="K156" s="57" t="s">
        <v>451</v>
      </c>
      <c r="L156" s="57" t="s">
        <v>383</v>
      </c>
      <c r="M156" s="57" t="s">
        <v>549</v>
      </c>
      <c r="N156" s="57" t="s">
        <v>746</v>
      </c>
    </row>
    <row r="157" customFormat="false" ht="27.75" hidden="false" customHeight="true" outlineLevel="0" collapsed="false">
      <c r="A157" s="57" t="s">
        <v>312</v>
      </c>
      <c r="B157" s="57" t="s">
        <v>232</v>
      </c>
      <c r="C157" s="58" t="n">
        <v>46325</v>
      </c>
      <c r="D157" s="57" t="s">
        <v>1540</v>
      </c>
      <c r="E157" s="57" t="s">
        <v>202</v>
      </c>
      <c r="F157" s="57" t="s">
        <v>189</v>
      </c>
      <c r="G157" s="57" t="s">
        <v>499</v>
      </c>
      <c r="H157" s="57" t="s">
        <v>1529</v>
      </c>
      <c r="I157" s="57" t="s">
        <v>501</v>
      </c>
      <c r="J157" s="57"/>
      <c r="K157" s="57" t="s">
        <v>451</v>
      </c>
      <c r="L157" s="57" t="s">
        <v>383</v>
      </c>
      <c r="M157" s="57"/>
      <c r="N157" s="57" t="s">
        <v>748</v>
      </c>
    </row>
    <row r="158" customFormat="false" ht="27.75" hidden="false" customHeight="true" outlineLevel="0" collapsed="false">
      <c r="A158" s="57" t="s">
        <v>312</v>
      </c>
      <c r="B158" s="57" t="s">
        <v>232</v>
      </c>
      <c r="C158" s="58" t="n">
        <v>46325</v>
      </c>
      <c r="D158" s="57" t="s">
        <v>1540</v>
      </c>
      <c r="E158" s="57" t="s">
        <v>202</v>
      </c>
      <c r="F158" s="57" t="s">
        <v>189</v>
      </c>
      <c r="G158" s="57" t="s">
        <v>447</v>
      </c>
      <c r="H158" s="57" t="s">
        <v>1530</v>
      </c>
      <c r="I158" s="57" t="s">
        <v>449</v>
      </c>
      <c r="J158" s="57"/>
      <c r="K158" s="57" t="s">
        <v>451</v>
      </c>
      <c r="L158" s="57" t="s">
        <v>383</v>
      </c>
      <c r="M158" s="57"/>
      <c r="N158" s="57" t="s">
        <v>750</v>
      </c>
    </row>
    <row r="159" customFormat="false" ht="27.75" hidden="false" customHeight="true" outlineLevel="0" collapsed="false">
      <c r="A159" s="57" t="s">
        <v>312</v>
      </c>
      <c r="B159" s="57" t="s">
        <v>232</v>
      </c>
      <c r="C159" s="58" t="n">
        <v>46325</v>
      </c>
      <c r="D159" s="57" t="s">
        <v>1540</v>
      </c>
      <c r="E159" s="57" t="s">
        <v>202</v>
      </c>
      <c r="F159" s="57" t="s">
        <v>189</v>
      </c>
      <c r="G159" s="57" t="s">
        <v>447</v>
      </c>
      <c r="H159" s="57" t="s">
        <v>1535</v>
      </c>
      <c r="I159" s="57" t="s">
        <v>449</v>
      </c>
      <c r="J159" s="57"/>
      <c r="K159" s="57" t="s">
        <v>451</v>
      </c>
      <c r="L159" s="57" t="s">
        <v>383</v>
      </c>
      <c r="M159" s="57"/>
      <c r="N159" s="57" t="s">
        <v>752</v>
      </c>
    </row>
    <row r="160" customFormat="false" ht="27.75" hidden="false" customHeight="true" outlineLevel="0" collapsed="false">
      <c r="A160" s="57" t="s">
        <v>312</v>
      </c>
      <c r="B160" s="57" t="s">
        <v>232</v>
      </c>
      <c r="C160" s="58" t="n">
        <v>46325</v>
      </c>
      <c r="D160" s="57" t="s">
        <v>1540</v>
      </c>
      <c r="E160" s="57" t="s">
        <v>202</v>
      </c>
      <c r="F160" s="57" t="s">
        <v>189</v>
      </c>
      <c r="G160" s="57" t="s">
        <v>447</v>
      </c>
      <c r="H160" s="57" t="s">
        <v>1536</v>
      </c>
      <c r="I160" s="57" t="s">
        <v>449</v>
      </c>
      <c r="J160" s="57"/>
      <c r="K160" s="57" t="s">
        <v>451</v>
      </c>
      <c r="L160" s="57" t="s">
        <v>383</v>
      </c>
      <c r="M160" s="57"/>
      <c r="N160" s="57" t="s">
        <v>754</v>
      </c>
    </row>
    <row r="161" customFormat="false" ht="27.75" hidden="false" customHeight="true" outlineLevel="0" collapsed="false">
      <c r="A161" s="57" t="s">
        <v>312</v>
      </c>
      <c r="B161" s="57" t="s">
        <v>232</v>
      </c>
      <c r="C161" s="58" t="n">
        <v>46325</v>
      </c>
      <c r="D161" s="57" t="s">
        <v>1540</v>
      </c>
      <c r="E161" s="57" t="s">
        <v>202</v>
      </c>
      <c r="F161" s="57" t="s">
        <v>189</v>
      </c>
      <c r="G161" s="57" t="s">
        <v>629</v>
      </c>
      <c r="H161" s="57" t="s">
        <v>1537</v>
      </c>
      <c r="I161" s="57" t="s">
        <v>501</v>
      </c>
      <c r="J161" s="57"/>
      <c r="K161" s="57" t="s">
        <v>187</v>
      </c>
      <c r="L161" s="57" t="s">
        <v>383</v>
      </c>
      <c r="M161" s="57" t="s">
        <v>632</v>
      </c>
      <c r="N161" s="57" t="s">
        <v>756</v>
      </c>
    </row>
    <row r="163" customFormat="false" ht="15" hidden="false" customHeight="false" outlineLevel="0" collapsed="false">
      <c r="A163" s="76" t="s">
        <v>1557</v>
      </c>
    </row>
    <row r="164" customFormat="false" ht="30" hidden="false" customHeight="true" outlineLevel="0" collapsed="false">
      <c r="A164" s="56" t="s">
        <v>137</v>
      </c>
      <c r="B164" s="56" t="s">
        <v>140</v>
      </c>
      <c r="C164" s="56" t="s">
        <v>108</v>
      </c>
      <c r="D164" s="56" t="s">
        <v>109</v>
      </c>
      <c r="E164" s="56" t="s">
        <v>318</v>
      </c>
      <c r="F164" s="56" t="s">
        <v>111</v>
      </c>
      <c r="G164" s="56" t="s">
        <v>320</v>
      </c>
      <c r="H164" s="56" t="s">
        <v>1510</v>
      </c>
      <c r="I164" s="56" t="s">
        <v>1515</v>
      </c>
    </row>
    <row r="165" customFormat="false" ht="27.75" hidden="false" customHeight="true" outlineLevel="0" collapsed="false">
      <c r="A165" s="77" t="s">
        <v>183</v>
      </c>
      <c r="B165" s="77" t="s">
        <v>185</v>
      </c>
      <c r="C165" s="78" t="n">
        <v>46303</v>
      </c>
      <c r="D165" s="77" t="s">
        <v>1516</v>
      </c>
      <c r="E165" s="77" t="s">
        <v>188</v>
      </c>
      <c r="F165" s="77" t="s">
        <v>189</v>
      </c>
      <c r="G165" s="77" t="s">
        <v>634</v>
      </c>
      <c r="H165" s="77" t="s">
        <v>1558</v>
      </c>
      <c r="I165" s="77" t="s">
        <v>1559</v>
      </c>
    </row>
    <row r="166" customFormat="false" ht="27.75" hidden="false" customHeight="true" outlineLevel="0" collapsed="false">
      <c r="A166" s="77" t="s">
        <v>198</v>
      </c>
      <c r="B166" s="77" t="s">
        <v>200</v>
      </c>
      <c r="C166" s="78" t="n">
        <v>46304</v>
      </c>
      <c r="D166" s="77" t="s">
        <v>1521</v>
      </c>
      <c r="E166" s="77" t="s">
        <v>202</v>
      </c>
      <c r="F166" s="77" t="s">
        <v>203</v>
      </c>
      <c r="G166" s="77" t="s">
        <v>440</v>
      </c>
      <c r="H166" s="77" t="s">
        <v>1517</v>
      </c>
      <c r="I166" s="77" t="s">
        <v>1560</v>
      </c>
    </row>
    <row r="167" customFormat="false" ht="27.75" hidden="false" customHeight="true" outlineLevel="0" collapsed="false">
      <c r="A167" s="77" t="s">
        <v>198</v>
      </c>
      <c r="B167" s="77" t="s">
        <v>200</v>
      </c>
      <c r="C167" s="78" t="n">
        <v>46304</v>
      </c>
      <c r="D167" s="77" t="s">
        <v>1521</v>
      </c>
      <c r="E167" s="77" t="s">
        <v>202</v>
      </c>
      <c r="F167" s="77" t="s">
        <v>203</v>
      </c>
      <c r="G167" s="77" t="s">
        <v>440</v>
      </c>
      <c r="H167" s="77" t="s">
        <v>1561</v>
      </c>
      <c r="I167" s="77" t="s">
        <v>1562</v>
      </c>
    </row>
    <row r="168" customFormat="false" ht="27.75" hidden="false" customHeight="true" outlineLevel="0" collapsed="false">
      <c r="A168" s="77" t="s">
        <v>198</v>
      </c>
      <c r="B168" s="77" t="s">
        <v>200</v>
      </c>
      <c r="C168" s="78" t="n">
        <v>46304</v>
      </c>
      <c r="D168" s="77" t="s">
        <v>1521</v>
      </c>
      <c r="E168" s="77" t="s">
        <v>202</v>
      </c>
      <c r="F168" s="77" t="s">
        <v>203</v>
      </c>
      <c r="G168" s="77" t="s">
        <v>440</v>
      </c>
      <c r="H168" s="77" t="s">
        <v>1534</v>
      </c>
      <c r="I168" s="77" t="s">
        <v>1563</v>
      </c>
    </row>
    <row r="169" customFormat="false" ht="27.75" hidden="false" customHeight="true" outlineLevel="0" collapsed="false">
      <c r="A169" s="77" t="s">
        <v>198</v>
      </c>
      <c r="B169" s="77" t="s">
        <v>200</v>
      </c>
      <c r="C169" s="78" t="n">
        <v>46304</v>
      </c>
      <c r="D169" s="77" t="s">
        <v>1521</v>
      </c>
      <c r="E169" s="77" t="s">
        <v>202</v>
      </c>
      <c r="F169" s="77" t="s">
        <v>203</v>
      </c>
      <c r="G169" s="77" t="s">
        <v>629</v>
      </c>
      <c r="H169" s="77" t="s">
        <v>1564</v>
      </c>
      <c r="I169" s="77" t="s">
        <v>1565</v>
      </c>
    </row>
    <row r="170" customFormat="false" ht="27.75" hidden="false" customHeight="true" outlineLevel="0" collapsed="false">
      <c r="A170" s="77" t="s">
        <v>198</v>
      </c>
      <c r="B170" s="77" t="s">
        <v>200</v>
      </c>
      <c r="C170" s="78" t="n">
        <v>46304</v>
      </c>
      <c r="D170" s="77" t="s">
        <v>1521</v>
      </c>
      <c r="E170" s="77" t="s">
        <v>202</v>
      </c>
      <c r="F170" s="77" t="s">
        <v>203</v>
      </c>
      <c r="G170" s="77" t="s">
        <v>447</v>
      </c>
      <c r="H170" s="77" t="s">
        <v>1566</v>
      </c>
      <c r="I170" s="77" t="s">
        <v>1567</v>
      </c>
    </row>
    <row r="171" customFormat="false" ht="27.75" hidden="false" customHeight="true" outlineLevel="0" collapsed="false">
      <c r="A171" s="77" t="s">
        <v>198</v>
      </c>
      <c r="B171" s="77" t="s">
        <v>200</v>
      </c>
      <c r="C171" s="78" t="n">
        <v>46304</v>
      </c>
      <c r="D171" s="77" t="s">
        <v>1521</v>
      </c>
      <c r="E171" s="77" t="s">
        <v>202</v>
      </c>
      <c r="F171" s="77" t="s">
        <v>203</v>
      </c>
      <c r="G171" s="77" t="s">
        <v>447</v>
      </c>
      <c r="H171" s="77" t="s">
        <v>1568</v>
      </c>
      <c r="I171" s="77" t="s">
        <v>1569</v>
      </c>
    </row>
    <row r="172" customFormat="false" ht="27.75" hidden="false" customHeight="true" outlineLevel="0" collapsed="false">
      <c r="A172" s="77" t="s">
        <v>198</v>
      </c>
      <c r="B172" s="77" t="s">
        <v>200</v>
      </c>
      <c r="C172" s="78" t="n">
        <v>46304</v>
      </c>
      <c r="D172" s="77" t="s">
        <v>1521</v>
      </c>
      <c r="E172" s="77" t="s">
        <v>202</v>
      </c>
      <c r="F172" s="77" t="s">
        <v>203</v>
      </c>
      <c r="G172" s="77" t="s">
        <v>634</v>
      </c>
      <c r="H172" s="77" t="s">
        <v>1570</v>
      </c>
      <c r="I172" s="77" t="s">
        <v>1571</v>
      </c>
    </row>
    <row r="173" customFormat="false" ht="27.75" hidden="false" customHeight="true" outlineLevel="0" collapsed="false">
      <c r="A173" s="77" t="s">
        <v>212</v>
      </c>
      <c r="B173" s="77" t="s">
        <v>214</v>
      </c>
      <c r="C173" s="78" t="n">
        <v>46305</v>
      </c>
      <c r="D173" s="77" t="s">
        <v>1532</v>
      </c>
      <c r="E173" s="77" t="s">
        <v>188</v>
      </c>
      <c r="F173" s="77" t="s">
        <v>215</v>
      </c>
      <c r="G173" s="77" t="s">
        <v>440</v>
      </c>
      <c r="H173" s="77" t="s">
        <v>1517</v>
      </c>
      <c r="I173" s="77" t="s">
        <v>1560</v>
      </c>
    </row>
    <row r="174" customFormat="false" ht="27.75" hidden="false" customHeight="true" outlineLevel="0" collapsed="false">
      <c r="A174" s="77" t="s">
        <v>212</v>
      </c>
      <c r="B174" s="77" t="s">
        <v>214</v>
      </c>
      <c r="C174" s="78" t="n">
        <v>46305</v>
      </c>
      <c r="D174" s="77" t="s">
        <v>1532</v>
      </c>
      <c r="E174" s="77" t="s">
        <v>188</v>
      </c>
      <c r="F174" s="77" t="s">
        <v>215</v>
      </c>
      <c r="G174" s="77" t="s">
        <v>447</v>
      </c>
      <c r="H174" s="77" t="s">
        <v>1519</v>
      </c>
      <c r="I174" s="77" t="s">
        <v>1572</v>
      </c>
    </row>
    <row r="175" customFormat="false" ht="27.75" hidden="false" customHeight="true" outlineLevel="0" collapsed="false">
      <c r="A175" s="77" t="s">
        <v>212</v>
      </c>
      <c r="B175" s="77" t="s">
        <v>214</v>
      </c>
      <c r="C175" s="78" t="n">
        <v>46305</v>
      </c>
      <c r="D175" s="77" t="s">
        <v>1532</v>
      </c>
      <c r="E175" s="77" t="s">
        <v>188</v>
      </c>
      <c r="F175" s="77" t="s">
        <v>215</v>
      </c>
      <c r="G175" s="77" t="s">
        <v>634</v>
      </c>
      <c r="H175" s="77" t="s">
        <v>1570</v>
      </c>
      <c r="I175" s="77" t="s">
        <v>1571</v>
      </c>
    </row>
    <row r="176" customFormat="false" ht="27.75" hidden="false" customHeight="true" outlineLevel="0" collapsed="false">
      <c r="A176" s="77" t="s">
        <v>218</v>
      </c>
      <c r="B176" s="77" t="s">
        <v>219</v>
      </c>
      <c r="C176" s="78" t="n">
        <v>46305</v>
      </c>
      <c r="D176" s="77" t="s">
        <v>1533</v>
      </c>
      <c r="E176" s="77" t="s">
        <v>202</v>
      </c>
      <c r="F176" s="77" t="s">
        <v>189</v>
      </c>
      <c r="G176" s="77" t="s">
        <v>440</v>
      </c>
      <c r="H176" s="77" t="s">
        <v>1561</v>
      </c>
      <c r="I176" s="77" t="s">
        <v>1573</v>
      </c>
    </row>
    <row r="177" customFormat="false" ht="27.75" hidden="false" customHeight="true" outlineLevel="0" collapsed="false">
      <c r="A177" s="77" t="s">
        <v>218</v>
      </c>
      <c r="B177" s="77" t="s">
        <v>219</v>
      </c>
      <c r="C177" s="78" t="n">
        <v>46305</v>
      </c>
      <c r="D177" s="77" t="s">
        <v>1533</v>
      </c>
      <c r="E177" s="77" t="s">
        <v>202</v>
      </c>
      <c r="F177" s="77" t="s">
        <v>189</v>
      </c>
      <c r="G177" s="77" t="s">
        <v>447</v>
      </c>
      <c r="H177" s="77" t="s">
        <v>1574</v>
      </c>
      <c r="I177" s="77" t="s">
        <v>1575</v>
      </c>
    </row>
    <row r="178" customFormat="false" ht="27.75" hidden="false" customHeight="true" outlineLevel="0" collapsed="false">
      <c r="A178" s="77" t="s">
        <v>231</v>
      </c>
      <c r="B178" s="77" t="s">
        <v>232</v>
      </c>
      <c r="C178" s="78" t="n">
        <v>46310</v>
      </c>
      <c r="D178" s="77" t="s">
        <v>1540</v>
      </c>
      <c r="E178" s="77" t="s">
        <v>202</v>
      </c>
      <c r="F178" s="77" t="s">
        <v>189</v>
      </c>
      <c r="G178" s="77" t="s">
        <v>447</v>
      </c>
      <c r="H178" s="77" t="s">
        <v>1574</v>
      </c>
      <c r="I178" s="77" t="s">
        <v>1576</v>
      </c>
    </row>
    <row r="179" customFormat="false" ht="27.75" hidden="false" customHeight="true" outlineLevel="0" collapsed="false">
      <c r="A179" s="77" t="s">
        <v>231</v>
      </c>
      <c r="B179" s="77" t="s">
        <v>232</v>
      </c>
      <c r="C179" s="78" t="n">
        <v>46310</v>
      </c>
      <c r="D179" s="77" t="s">
        <v>1540</v>
      </c>
      <c r="E179" s="77" t="s">
        <v>202</v>
      </c>
      <c r="F179" s="77" t="s">
        <v>189</v>
      </c>
      <c r="G179" s="77" t="s">
        <v>634</v>
      </c>
      <c r="H179" s="77" t="s">
        <v>1558</v>
      </c>
      <c r="I179" s="77" t="s">
        <v>1559</v>
      </c>
    </row>
    <row r="180" customFormat="false" ht="27.75" hidden="false" customHeight="true" outlineLevel="0" collapsed="false">
      <c r="A180" s="77" t="s">
        <v>235</v>
      </c>
      <c r="B180" s="77" t="s">
        <v>236</v>
      </c>
      <c r="C180" s="78" t="n">
        <v>46304</v>
      </c>
      <c r="D180" s="77" t="s">
        <v>1516</v>
      </c>
      <c r="E180" s="77" t="s">
        <v>202</v>
      </c>
      <c r="F180" s="77" t="s">
        <v>189</v>
      </c>
      <c r="G180" s="77" t="s">
        <v>447</v>
      </c>
      <c r="H180" s="77" t="s">
        <v>1574</v>
      </c>
      <c r="I180" s="77" t="s">
        <v>1576</v>
      </c>
    </row>
    <row r="181" customFormat="false" ht="27.75" hidden="false" customHeight="true" outlineLevel="0" collapsed="false">
      <c r="A181" s="77" t="s">
        <v>235</v>
      </c>
      <c r="B181" s="77" t="s">
        <v>236</v>
      </c>
      <c r="C181" s="78" t="n">
        <v>46304</v>
      </c>
      <c r="D181" s="77" t="s">
        <v>1516</v>
      </c>
      <c r="E181" s="77" t="s">
        <v>202</v>
      </c>
      <c r="F181" s="77" t="s">
        <v>189</v>
      </c>
      <c r="G181" s="77" t="s">
        <v>634</v>
      </c>
      <c r="H181" s="77" t="s">
        <v>1558</v>
      </c>
      <c r="I181" s="77" t="s">
        <v>1559</v>
      </c>
    </row>
    <row r="182" customFormat="false" ht="27.75" hidden="false" customHeight="true" outlineLevel="0" collapsed="false">
      <c r="A182" s="77" t="s">
        <v>238</v>
      </c>
      <c r="B182" s="77" t="s">
        <v>239</v>
      </c>
      <c r="C182" s="78" t="n">
        <v>46305</v>
      </c>
      <c r="D182" s="77" t="s">
        <v>1542</v>
      </c>
      <c r="E182" s="77" t="s">
        <v>188</v>
      </c>
      <c r="F182" s="77" t="s">
        <v>203</v>
      </c>
      <c r="G182" s="77" t="s">
        <v>440</v>
      </c>
      <c r="H182" s="77" t="s">
        <v>1517</v>
      </c>
      <c r="I182" s="77" t="s">
        <v>1577</v>
      </c>
    </row>
    <row r="183" customFormat="false" ht="27.75" hidden="false" customHeight="true" outlineLevel="0" collapsed="false">
      <c r="A183" s="77" t="s">
        <v>238</v>
      </c>
      <c r="B183" s="77" t="s">
        <v>239</v>
      </c>
      <c r="C183" s="78" t="n">
        <v>46305</v>
      </c>
      <c r="D183" s="77" t="s">
        <v>1542</v>
      </c>
      <c r="E183" s="77" t="s">
        <v>188</v>
      </c>
      <c r="F183" s="77" t="s">
        <v>203</v>
      </c>
      <c r="G183" s="77" t="s">
        <v>447</v>
      </c>
      <c r="H183" s="77" t="s">
        <v>1519</v>
      </c>
      <c r="I183" s="77" t="s">
        <v>1572</v>
      </c>
    </row>
    <row r="184" customFormat="false" ht="27.75" hidden="false" customHeight="true" outlineLevel="0" collapsed="false">
      <c r="A184" s="77" t="s">
        <v>238</v>
      </c>
      <c r="B184" s="77" t="s">
        <v>239</v>
      </c>
      <c r="C184" s="78" t="n">
        <v>46305</v>
      </c>
      <c r="D184" s="77" t="s">
        <v>1542</v>
      </c>
      <c r="E184" s="77" t="s">
        <v>188</v>
      </c>
      <c r="F184" s="77" t="s">
        <v>203</v>
      </c>
      <c r="G184" s="77" t="s">
        <v>634</v>
      </c>
      <c r="H184" s="77" t="s">
        <v>1570</v>
      </c>
      <c r="I184" s="77" t="s">
        <v>1571</v>
      </c>
    </row>
    <row r="185" customFormat="false" ht="27.75" hidden="false" customHeight="true" outlineLevel="0" collapsed="false">
      <c r="A185" s="77" t="s">
        <v>246</v>
      </c>
      <c r="B185" s="77" t="s">
        <v>248</v>
      </c>
      <c r="C185" s="78" t="n">
        <v>46306</v>
      </c>
      <c r="D185" s="77" t="s">
        <v>1543</v>
      </c>
      <c r="E185" s="77" t="s">
        <v>202</v>
      </c>
      <c r="F185" s="77" t="s">
        <v>203</v>
      </c>
      <c r="G185" s="77" t="s">
        <v>440</v>
      </c>
      <c r="H185" s="77" t="s">
        <v>1517</v>
      </c>
      <c r="I185" s="77" t="s">
        <v>1577</v>
      </c>
    </row>
    <row r="186" customFormat="false" ht="27.75" hidden="false" customHeight="true" outlineLevel="0" collapsed="false">
      <c r="A186" s="77" t="s">
        <v>246</v>
      </c>
      <c r="B186" s="77" t="s">
        <v>248</v>
      </c>
      <c r="C186" s="78" t="n">
        <v>46306</v>
      </c>
      <c r="D186" s="77" t="s">
        <v>1543</v>
      </c>
      <c r="E186" s="77" t="s">
        <v>202</v>
      </c>
      <c r="F186" s="77" t="s">
        <v>203</v>
      </c>
      <c r="G186" s="77" t="s">
        <v>440</v>
      </c>
      <c r="H186" s="77" t="s">
        <v>1561</v>
      </c>
      <c r="I186" s="77" t="s">
        <v>1578</v>
      </c>
    </row>
    <row r="187" customFormat="false" ht="27.75" hidden="false" customHeight="true" outlineLevel="0" collapsed="false">
      <c r="A187" s="77" t="s">
        <v>246</v>
      </c>
      <c r="B187" s="77" t="s">
        <v>248</v>
      </c>
      <c r="C187" s="78" t="n">
        <v>46306</v>
      </c>
      <c r="D187" s="77" t="s">
        <v>1543</v>
      </c>
      <c r="E187" s="77" t="s">
        <v>202</v>
      </c>
      <c r="F187" s="77" t="s">
        <v>203</v>
      </c>
      <c r="G187" s="77" t="s">
        <v>440</v>
      </c>
      <c r="H187" s="77" t="s">
        <v>1534</v>
      </c>
      <c r="I187" s="77" t="s">
        <v>1579</v>
      </c>
    </row>
    <row r="188" customFormat="false" ht="27.75" hidden="false" customHeight="true" outlineLevel="0" collapsed="false">
      <c r="A188" s="77" t="s">
        <v>246</v>
      </c>
      <c r="B188" s="77" t="s">
        <v>248</v>
      </c>
      <c r="C188" s="78" t="n">
        <v>46306</v>
      </c>
      <c r="D188" s="77" t="s">
        <v>1543</v>
      </c>
      <c r="E188" s="77" t="s">
        <v>202</v>
      </c>
      <c r="F188" s="77" t="s">
        <v>203</v>
      </c>
      <c r="G188" s="77" t="s">
        <v>629</v>
      </c>
      <c r="H188" s="77" t="s">
        <v>1564</v>
      </c>
      <c r="I188" s="77" t="s">
        <v>1580</v>
      </c>
    </row>
    <row r="189" customFormat="false" ht="27.75" hidden="false" customHeight="true" outlineLevel="0" collapsed="false">
      <c r="A189" s="77" t="s">
        <v>246</v>
      </c>
      <c r="B189" s="77" t="s">
        <v>248</v>
      </c>
      <c r="C189" s="78" t="n">
        <v>46306</v>
      </c>
      <c r="D189" s="77" t="s">
        <v>1543</v>
      </c>
      <c r="E189" s="77" t="s">
        <v>202</v>
      </c>
      <c r="F189" s="77" t="s">
        <v>203</v>
      </c>
      <c r="G189" s="77" t="s">
        <v>447</v>
      </c>
      <c r="H189" s="77" t="s">
        <v>1566</v>
      </c>
      <c r="I189" s="77" t="s">
        <v>1581</v>
      </c>
    </row>
    <row r="190" customFormat="false" ht="27.75" hidden="false" customHeight="true" outlineLevel="0" collapsed="false">
      <c r="A190" s="77" t="s">
        <v>246</v>
      </c>
      <c r="B190" s="77" t="s">
        <v>248</v>
      </c>
      <c r="C190" s="78" t="n">
        <v>46306</v>
      </c>
      <c r="D190" s="77" t="s">
        <v>1543</v>
      </c>
      <c r="E190" s="77" t="s">
        <v>202</v>
      </c>
      <c r="F190" s="77" t="s">
        <v>203</v>
      </c>
      <c r="G190" s="77" t="s">
        <v>447</v>
      </c>
      <c r="H190" s="77" t="s">
        <v>1568</v>
      </c>
      <c r="I190" s="77" t="s">
        <v>1582</v>
      </c>
    </row>
    <row r="191" customFormat="false" ht="27.75" hidden="false" customHeight="true" outlineLevel="0" collapsed="false">
      <c r="A191" s="77" t="s">
        <v>246</v>
      </c>
      <c r="B191" s="77" t="s">
        <v>248</v>
      </c>
      <c r="C191" s="78" t="n">
        <v>46306</v>
      </c>
      <c r="D191" s="77" t="s">
        <v>1543</v>
      </c>
      <c r="E191" s="77" t="s">
        <v>202</v>
      </c>
      <c r="F191" s="77" t="s">
        <v>203</v>
      </c>
      <c r="G191" s="77" t="s">
        <v>634</v>
      </c>
      <c r="H191" s="77" t="s">
        <v>1570</v>
      </c>
      <c r="I191" s="77" t="s">
        <v>1571</v>
      </c>
    </row>
    <row r="192" customFormat="false" ht="27.75" hidden="false" customHeight="true" outlineLevel="0" collapsed="false">
      <c r="A192" s="77" t="s">
        <v>251</v>
      </c>
      <c r="B192" s="77" t="s">
        <v>253</v>
      </c>
      <c r="C192" s="78" t="n">
        <v>46307</v>
      </c>
      <c r="D192" s="77" t="s">
        <v>1544</v>
      </c>
      <c r="E192" s="77" t="s">
        <v>202</v>
      </c>
      <c r="F192" s="77" t="s">
        <v>203</v>
      </c>
      <c r="G192" s="77" t="s">
        <v>440</v>
      </c>
      <c r="H192" s="77" t="s">
        <v>1517</v>
      </c>
      <c r="I192" s="77" t="s">
        <v>1583</v>
      </c>
    </row>
    <row r="193" customFormat="false" ht="27.75" hidden="false" customHeight="true" outlineLevel="0" collapsed="false">
      <c r="A193" s="77" t="s">
        <v>251</v>
      </c>
      <c r="B193" s="77" t="s">
        <v>253</v>
      </c>
      <c r="C193" s="78" t="n">
        <v>46307</v>
      </c>
      <c r="D193" s="77" t="s">
        <v>1544</v>
      </c>
      <c r="E193" s="77" t="s">
        <v>202</v>
      </c>
      <c r="F193" s="77" t="s">
        <v>203</v>
      </c>
      <c r="G193" s="77" t="s">
        <v>440</v>
      </c>
      <c r="H193" s="77" t="s">
        <v>1561</v>
      </c>
      <c r="I193" s="77" t="s">
        <v>1584</v>
      </c>
    </row>
    <row r="194" customFormat="false" ht="27.75" hidden="false" customHeight="true" outlineLevel="0" collapsed="false">
      <c r="A194" s="77" t="s">
        <v>251</v>
      </c>
      <c r="B194" s="77" t="s">
        <v>253</v>
      </c>
      <c r="C194" s="78" t="n">
        <v>46307</v>
      </c>
      <c r="D194" s="77" t="s">
        <v>1544</v>
      </c>
      <c r="E194" s="77" t="s">
        <v>202</v>
      </c>
      <c r="F194" s="77" t="s">
        <v>203</v>
      </c>
      <c r="G194" s="77" t="s">
        <v>440</v>
      </c>
      <c r="H194" s="77" t="s">
        <v>1534</v>
      </c>
      <c r="I194" s="77" t="s">
        <v>1585</v>
      </c>
    </row>
    <row r="195" customFormat="false" ht="27.75" hidden="false" customHeight="true" outlineLevel="0" collapsed="false">
      <c r="A195" s="77" t="s">
        <v>251</v>
      </c>
      <c r="B195" s="77" t="s">
        <v>253</v>
      </c>
      <c r="C195" s="78" t="n">
        <v>46307</v>
      </c>
      <c r="D195" s="77" t="s">
        <v>1544</v>
      </c>
      <c r="E195" s="77" t="s">
        <v>202</v>
      </c>
      <c r="F195" s="77" t="s">
        <v>203</v>
      </c>
      <c r="G195" s="77" t="s">
        <v>499</v>
      </c>
      <c r="H195" s="77" t="s">
        <v>1526</v>
      </c>
      <c r="I195" s="77" t="s">
        <v>1586</v>
      </c>
    </row>
    <row r="196" customFormat="false" ht="27.75" hidden="false" customHeight="true" outlineLevel="0" collapsed="false">
      <c r="A196" s="77" t="s">
        <v>251</v>
      </c>
      <c r="B196" s="77" t="s">
        <v>253</v>
      </c>
      <c r="C196" s="78" t="n">
        <v>46307</v>
      </c>
      <c r="D196" s="77" t="s">
        <v>1544</v>
      </c>
      <c r="E196" s="77" t="s">
        <v>202</v>
      </c>
      <c r="F196" s="77" t="s">
        <v>203</v>
      </c>
      <c r="G196" s="77" t="s">
        <v>499</v>
      </c>
      <c r="H196" s="77" t="s">
        <v>1587</v>
      </c>
      <c r="I196" s="77" t="s">
        <v>1588</v>
      </c>
    </row>
    <row r="197" customFormat="false" ht="27.75" hidden="false" customHeight="true" outlineLevel="0" collapsed="false">
      <c r="A197" s="77" t="s">
        <v>251</v>
      </c>
      <c r="B197" s="77" t="s">
        <v>253</v>
      </c>
      <c r="C197" s="78" t="n">
        <v>46307</v>
      </c>
      <c r="D197" s="77" t="s">
        <v>1544</v>
      </c>
      <c r="E197" s="77" t="s">
        <v>202</v>
      </c>
      <c r="F197" s="77" t="s">
        <v>203</v>
      </c>
      <c r="G197" s="77" t="s">
        <v>629</v>
      </c>
      <c r="H197" s="77" t="s">
        <v>1564</v>
      </c>
      <c r="I197" s="77" t="s">
        <v>1589</v>
      </c>
    </row>
    <row r="198" customFormat="false" ht="27.75" hidden="false" customHeight="true" outlineLevel="0" collapsed="false">
      <c r="A198" s="77" t="s">
        <v>251</v>
      </c>
      <c r="B198" s="77" t="s">
        <v>253</v>
      </c>
      <c r="C198" s="78" t="n">
        <v>46307</v>
      </c>
      <c r="D198" s="77" t="s">
        <v>1544</v>
      </c>
      <c r="E198" s="77" t="s">
        <v>202</v>
      </c>
      <c r="F198" s="77" t="s">
        <v>203</v>
      </c>
      <c r="G198" s="77" t="s">
        <v>447</v>
      </c>
      <c r="H198" s="77" t="s">
        <v>1566</v>
      </c>
      <c r="I198" s="77" t="s">
        <v>1590</v>
      </c>
    </row>
    <row r="199" customFormat="false" ht="27.75" hidden="false" customHeight="true" outlineLevel="0" collapsed="false">
      <c r="A199" s="77" t="s">
        <v>251</v>
      </c>
      <c r="B199" s="77" t="s">
        <v>253</v>
      </c>
      <c r="C199" s="78" t="n">
        <v>46307</v>
      </c>
      <c r="D199" s="77" t="s">
        <v>1544</v>
      </c>
      <c r="E199" s="77" t="s">
        <v>202</v>
      </c>
      <c r="F199" s="77" t="s">
        <v>203</v>
      </c>
      <c r="G199" s="77" t="s">
        <v>447</v>
      </c>
      <c r="H199" s="77" t="s">
        <v>1568</v>
      </c>
      <c r="I199" s="77" t="s">
        <v>1591</v>
      </c>
    </row>
    <row r="200" customFormat="false" ht="27.75" hidden="false" customHeight="true" outlineLevel="0" collapsed="false">
      <c r="A200" s="77" t="s">
        <v>251</v>
      </c>
      <c r="B200" s="77" t="s">
        <v>253</v>
      </c>
      <c r="C200" s="78" t="n">
        <v>46307</v>
      </c>
      <c r="D200" s="77" t="s">
        <v>1544</v>
      </c>
      <c r="E200" s="77" t="s">
        <v>202</v>
      </c>
      <c r="F200" s="77" t="s">
        <v>203</v>
      </c>
      <c r="G200" s="77" t="s">
        <v>634</v>
      </c>
      <c r="H200" s="77" t="s">
        <v>1570</v>
      </c>
      <c r="I200" s="77" t="s">
        <v>1571</v>
      </c>
    </row>
    <row r="201" customFormat="false" ht="27.75" hidden="false" customHeight="true" outlineLevel="0" collapsed="false">
      <c r="A201" s="77" t="s">
        <v>258</v>
      </c>
      <c r="B201" s="77" t="s">
        <v>259</v>
      </c>
      <c r="C201" s="78" t="n">
        <v>46307</v>
      </c>
      <c r="D201" s="77" t="s">
        <v>1545</v>
      </c>
      <c r="E201" s="77" t="s">
        <v>188</v>
      </c>
      <c r="F201" s="77" t="s">
        <v>203</v>
      </c>
      <c r="G201" s="77" t="s">
        <v>440</v>
      </c>
      <c r="H201" s="77" t="s">
        <v>1517</v>
      </c>
      <c r="I201" s="77" t="s">
        <v>1583</v>
      </c>
    </row>
    <row r="202" customFormat="false" ht="27.75" hidden="false" customHeight="true" outlineLevel="0" collapsed="false">
      <c r="A202" s="77" t="s">
        <v>258</v>
      </c>
      <c r="B202" s="77" t="s">
        <v>259</v>
      </c>
      <c r="C202" s="78" t="n">
        <v>46307</v>
      </c>
      <c r="D202" s="77" t="s">
        <v>1545</v>
      </c>
      <c r="E202" s="77" t="s">
        <v>188</v>
      </c>
      <c r="F202" s="77" t="s">
        <v>203</v>
      </c>
      <c r="G202" s="77" t="s">
        <v>447</v>
      </c>
      <c r="H202" s="77" t="s">
        <v>1519</v>
      </c>
      <c r="I202" s="77" t="s">
        <v>1572</v>
      </c>
    </row>
    <row r="203" customFormat="false" ht="27.75" hidden="false" customHeight="true" outlineLevel="0" collapsed="false">
      <c r="A203" s="77" t="s">
        <v>258</v>
      </c>
      <c r="B203" s="77" t="s">
        <v>259</v>
      </c>
      <c r="C203" s="78" t="n">
        <v>46307</v>
      </c>
      <c r="D203" s="77" t="s">
        <v>1545</v>
      </c>
      <c r="E203" s="77" t="s">
        <v>188</v>
      </c>
      <c r="F203" s="77" t="s">
        <v>203</v>
      </c>
      <c r="G203" s="77" t="s">
        <v>634</v>
      </c>
      <c r="H203" s="77" t="s">
        <v>1570</v>
      </c>
      <c r="I203" s="77" t="s">
        <v>1571</v>
      </c>
    </row>
    <row r="204" customFormat="false" ht="27.75" hidden="false" customHeight="true" outlineLevel="0" collapsed="false">
      <c r="A204" s="77" t="s">
        <v>261</v>
      </c>
      <c r="B204" s="77" t="s">
        <v>262</v>
      </c>
      <c r="C204" s="78" t="n">
        <v>46307</v>
      </c>
      <c r="D204" s="77" t="s">
        <v>1546</v>
      </c>
      <c r="E204" s="77" t="s">
        <v>202</v>
      </c>
      <c r="F204" s="77" t="s">
        <v>264</v>
      </c>
      <c r="G204" s="77" t="s">
        <v>440</v>
      </c>
      <c r="H204" s="77" t="s">
        <v>1561</v>
      </c>
      <c r="I204" s="77" t="s">
        <v>1592</v>
      </c>
    </row>
    <row r="205" customFormat="false" ht="27.75" hidden="false" customHeight="true" outlineLevel="0" collapsed="false">
      <c r="A205" s="77" t="s">
        <v>261</v>
      </c>
      <c r="B205" s="77" t="s">
        <v>262</v>
      </c>
      <c r="C205" s="78" t="n">
        <v>46307</v>
      </c>
      <c r="D205" s="77" t="s">
        <v>1546</v>
      </c>
      <c r="E205" s="77" t="s">
        <v>202</v>
      </c>
      <c r="F205" s="77" t="s">
        <v>264</v>
      </c>
      <c r="G205" s="77" t="s">
        <v>447</v>
      </c>
      <c r="H205" s="77" t="s">
        <v>1574</v>
      </c>
      <c r="I205" s="77" t="s">
        <v>1593</v>
      </c>
    </row>
    <row r="206" customFormat="false" ht="27.75" hidden="false" customHeight="true" outlineLevel="0" collapsed="false">
      <c r="A206" s="77" t="s">
        <v>276</v>
      </c>
      <c r="B206" s="77" t="s">
        <v>277</v>
      </c>
      <c r="C206" s="78" t="n">
        <v>46310</v>
      </c>
      <c r="D206" s="77" t="s">
        <v>1540</v>
      </c>
      <c r="E206" s="77" t="s">
        <v>188</v>
      </c>
      <c r="F206" s="77" t="s">
        <v>189</v>
      </c>
      <c r="G206" s="77" t="s">
        <v>634</v>
      </c>
      <c r="H206" s="77" t="s">
        <v>1558</v>
      </c>
      <c r="I206" s="77" t="s">
        <v>1559</v>
      </c>
    </row>
    <row r="207" customFormat="false" ht="27.75" hidden="false" customHeight="true" outlineLevel="0" collapsed="false">
      <c r="A207" s="77" t="s">
        <v>278</v>
      </c>
      <c r="B207" s="77" t="s">
        <v>236</v>
      </c>
      <c r="C207" s="78" t="n">
        <v>46320</v>
      </c>
      <c r="D207" s="77" t="s">
        <v>1516</v>
      </c>
      <c r="E207" s="77" t="s">
        <v>188</v>
      </c>
      <c r="F207" s="77" t="s">
        <v>189</v>
      </c>
      <c r="G207" s="77" t="s">
        <v>634</v>
      </c>
      <c r="H207" s="77" t="s">
        <v>1558</v>
      </c>
      <c r="I207" s="77" t="s">
        <v>1559</v>
      </c>
    </row>
    <row r="208" customFormat="false" ht="27.75" hidden="false" customHeight="true" outlineLevel="0" collapsed="false">
      <c r="A208" s="77" t="s">
        <v>280</v>
      </c>
      <c r="B208" s="77" t="s">
        <v>281</v>
      </c>
      <c r="C208" s="78" t="n">
        <v>46321</v>
      </c>
      <c r="D208" s="77" t="s">
        <v>1549</v>
      </c>
      <c r="E208" s="77" t="s">
        <v>188</v>
      </c>
      <c r="F208" s="77" t="s">
        <v>203</v>
      </c>
      <c r="G208" s="77" t="s">
        <v>440</v>
      </c>
      <c r="H208" s="77" t="s">
        <v>1517</v>
      </c>
      <c r="I208" s="77" t="s">
        <v>1594</v>
      </c>
    </row>
    <row r="209" customFormat="false" ht="27.75" hidden="false" customHeight="true" outlineLevel="0" collapsed="false">
      <c r="A209" s="77" t="s">
        <v>290</v>
      </c>
      <c r="B209" s="77" t="s">
        <v>292</v>
      </c>
      <c r="C209" s="78" t="n">
        <v>46322</v>
      </c>
      <c r="D209" s="77" t="s">
        <v>1551</v>
      </c>
      <c r="E209" s="77" t="s">
        <v>202</v>
      </c>
      <c r="F209" s="77" t="s">
        <v>203</v>
      </c>
      <c r="G209" s="77" t="s">
        <v>440</v>
      </c>
      <c r="H209" s="77" t="s">
        <v>1517</v>
      </c>
      <c r="I209" s="77" t="s">
        <v>1594</v>
      </c>
    </row>
    <row r="210" customFormat="false" ht="27.75" hidden="false" customHeight="true" outlineLevel="0" collapsed="false">
      <c r="A210" s="77" t="s">
        <v>290</v>
      </c>
      <c r="B210" s="77" t="s">
        <v>292</v>
      </c>
      <c r="C210" s="78" t="n">
        <v>46322</v>
      </c>
      <c r="D210" s="77" t="s">
        <v>1551</v>
      </c>
      <c r="E210" s="77" t="s">
        <v>202</v>
      </c>
      <c r="F210" s="77" t="s">
        <v>203</v>
      </c>
      <c r="G210" s="77" t="s">
        <v>440</v>
      </c>
      <c r="H210" s="77" t="s">
        <v>1561</v>
      </c>
      <c r="I210" s="77" t="s">
        <v>1595</v>
      </c>
    </row>
    <row r="211" customFormat="false" ht="27.75" hidden="false" customHeight="true" outlineLevel="0" collapsed="false">
      <c r="A211" s="77" t="s">
        <v>290</v>
      </c>
      <c r="B211" s="77" t="s">
        <v>292</v>
      </c>
      <c r="C211" s="78" t="n">
        <v>46322</v>
      </c>
      <c r="D211" s="77" t="s">
        <v>1551</v>
      </c>
      <c r="E211" s="77" t="s">
        <v>202</v>
      </c>
      <c r="F211" s="77" t="s">
        <v>203</v>
      </c>
      <c r="G211" s="77" t="s">
        <v>629</v>
      </c>
      <c r="H211" s="77" t="s">
        <v>1564</v>
      </c>
      <c r="I211" s="77" t="s">
        <v>1596</v>
      </c>
    </row>
    <row r="212" customFormat="false" ht="27.75" hidden="false" customHeight="true" outlineLevel="0" collapsed="false">
      <c r="A212" s="77" t="s">
        <v>290</v>
      </c>
      <c r="B212" s="77" t="s">
        <v>292</v>
      </c>
      <c r="C212" s="78" t="n">
        <v>46322</v>
      </c>
      <c r="D212" s="77" t="s">
        <v>1551</v>
      </c>
      <c r="E212" s="77" t="s">
        <v>202</v>
      </c>
      <c r="F212" s="77" t="s">
        <v>203</v>
      </c>
      <c r="G212" s="77" t="s">
        <v>447</v>
      </c>
      <c r="H212" s="77" t="s">
        <v>1566</v>
      </c>
      <c r="I212" s="77" t="s">
        <v>1597</v>
      </c>
    </row>
    <row r="213" customFormat="false" ht="27.75" hidden="false" customHeight="true" outlineLevel="0" collapsed="false">
      <c r="A213" s="77" t="s">
        <v>290</v>
      </c>
      <c r="B213" s="77" t="s">
        <v>292</v>
      </c>
      <c r="C213" s="78" t="n">
        <v>46322</v>
      </c>
      <c r="D213" s="77" t="s">
        <v>1551</v>
      </c>
      <c r="E213" s="77" t="s">
        <v>202</v>
      </c>
      <c r="F213" s="77" t="s">
        <v>203</v>
      </c>
      <c r="G213" s="77" t="s">
        <v>447</v>
      </c>
      <c r="H213" s="77" t="s">
        <v>1568</v>
      </c>
      <c r="I213" s="77" t="s">
        <v>1598</v>
      </c>
    </row>
    <row r="214" customFormat="false" ht="27.75" hidden="false" customHeight="true" outlineLevel="0" collapsed="false">
      <c r="A214" s="77" t="s">
        <v>293</v>
      </c>
      <c r="B214" s="77" t="s">
        <v>294</v>
      </c>
      <c r="C214" s="78" t="n">
        <v>46322</v>
      </c>
      <c r="D214" s="77" t="s">
        <v>1553</v>
      </c>
      <c r="E214" s="77" t="s">
        <v>202</v>
      </c>
      <c r="F214" s="77" t="s">
        <v>215</v>
      </c>
      <c r="G214" s="77" t="s">
        <v>440</v>
      </c>
      <c r="H214" s="77" t="s">
        <v>1517</v>
      </c>
      <c r="I214" s="77" t="s">
        <v>1599</v>
      </c>
    </row>
    <row r="215" customFormat="false" ht="27.75" hidden="false" customHeight="true" outlineLevel="0" collapsed="false">
      <c r="A215" s="77" t="s">
        <v>293</v>
      </c>
      <c r="B215" s="77" t="s">
        <v>294</v>
      </c>
      <c r="C215" s="78" t="n">
        <v>46322</v>
      </c>
      <c r="D215" s="77" t="s">
        <v>1553</v>
      </c>
      <c r="E215" s="77" t="s">
        <v>202</v>
      </c>
      <c r="F215" s="77" t="s">
        <v>215</v>
      </c>
      <c r="G215" s="77" t="s">
        <v>440</v>
      </c>
      <c r="H215" s="77" t="s">
        <v>1561</v>
      </c>
      <c r="I215" s="77" t="s">
        <v>1600</v>
      </c>
    </row>
    <row r="216" customFormat="false" ht="27.75" hidden="false" customHeight="true" outlineLevel="0" collapsed="false">
      <c r="A216" s="77" t="s">
        <v>293</v>
      </c>
      <c r="B216" s="77" t="s">
        <v>294</v>
      </c>
      <c r="C216" s="78" t="n">
        <v>46322</v>
      </c>
      <c r="D216" s="77" t="s">
        <v>1553</v>
      </c>
      <c r="E216" s="77" t="s">
        <v>202</v>
      </c>
      <c r="F216" s="77" t="s">
        <v>215</v>
      </c>
      <c r="G216" s="77" t="s">
        <v>447</v>
      </c>
      <c r="H216" s="77" t="s">
        <v>1574</v>
      </c>
      <c r="I216" s="77" t="s">
        <v>1601</v>
      </c>
    </row>
    <row r="217" customFormat="false" ht="27.75" hidden="false" customHeight="true" outlineLevel="0" collapsed="false">
      <c r="A217" s="77" t="s">
        <v>301</v>
      </c>
      <c r="B217" s="77" t="s">
        <v>302</v>
      </c>
      <c r="C217" s="78" t="n">
        <v>46324</v>
      </c>
      <c r="D217" s="77" t="s">
        <v>1554</v>
      </c>
      <c r="E217" s="77" t="s">
        <v>188</v>
      </c>
      <c r="F217" s="77" t="s">
        <v>215</v>
      </c>
      <c r="G217" s="77" t="s">
        <v>440</v>
      </c>
      <c r="H217" s="77" t="s">
        <v>1517</v>
      </c>
      <c r="I217" s="77" t="s">
        <v>1599</v>
      </c>
    </row>
    <row r="218" customFormat="false" ht="27.75" hidden="false" customHeight="true" outlineLevel="0" collapsed="false">
      <c r="A218" s="77" t="s">
        <v>304</v>
      </c>
      <c r="B218" s="77" t="s">
        <v>305</v>
      </c>
      <c r="C218" s="78" t="n">
        <v>46324</v>
      </c>
      <c r="D218" s="77" t="s">
        <v>1555</v>
      </c>
      <c r="E218" s="77" t="s">
        <v>188</v>
      </c>
      <c r="F218" s="77" t="s">
        <v>203</v>
      </c>
      <c r="G218" s="77" t="s">
        <v>440</v>
      </c>
      <c r="H218" s="77" t="s">
        <v>1517</v>
      </c>
      <c r="I218" s="77" t="s">
        <v>1602</v>
      </c>
    </row>
    <row r="219" customFormat="false" ht="27.75" hidden="false" customHeight="true" outlineLevel="0" collapsed="false">
      <c r="A219" s="77" t="s">
        <v>304</v>
      </c>
      <c r="B219" s="77" t="s">
        <v>305</v>
      </c>
      <c r="C219" s="78" t="n">
        <v>46324</v>
      </c>
      <c r="D219" s="77" t="s">
        <v>1555</v>
      </c>
      <c r="E219" s="77" t="s">
        <v>188</v>
      </c>
      <c r="F219" s="77" t="s">
        <v>203</v>
      </c>
      <c r="G219" s="77" t="s">
        <v>447</v>
      </c>
      <c r="H219" s="77" t="s">
        <v>1519</v>
      </c>
      <c r="I219" s="77" t="s">
        <v>1572</v>
      </c>
    </row>
    <row r="220" customFormat="false" ht="27.75" hidden="false" customHeight="true" outlineLevel="0" collapsed="false">
      <c r="A220" s="77" t="s">
        <v>304</v>
      </c>
      <c r="B220" s="77" t="s">
        <v>305</v>
      </c>
      <c r="C220" s="78" t="n">
        <v>46324</v>
      </c>
      <c r="D220" s="77" t="s">
        <v>1555</v>
      </c>
      <c r="E220" s="77" t="s">
        <v>188</v>
      </c>
      <c r="F220" s="77" t="s">
        <v>203</v>
      </c>
      <c r="G220" s="77" t="s">
        <v>634</v>
      </c>
      <c r="H220" s="77" t="s">
        <v>1570</v>
      </c>
      <c r="I220" s="77" t="s">
        <v>1571</v>
      </c>
    </row>
    <row r="221" customFormat="false" ht="27.75" hidden="false" customHeight="true" outlineLevel="0" collapsed="false">
      <c r="A221" s="77" t="s">
        <v>310</v>
      </c>
      <c r="B221" s="77" t="s">
        <v>311</v>
      </c>
      <c r="C221" s="78" t="n">
        <v>46325</v>
      </c>
      <c r="D221" s="77" t="s">
        <v>1556</v>
      </c>
      <c r="E221" s="77" t="s">
        <v>202</v>
      </c>
      <c r="F221" s="77" t="s">
        <v>203</v>
      </c>
      <c r="G221" s="77" t="s">
        <v>440</v>
      </c>
      <c r="H221" s="77" t="s">
        <v>1517</v>
      </c>
      <c r="I221" s="77" t="s">
        <v>1602</v>
      </c>
    </row>
    <row r="222" customFormat="false" ht="27.75" hidden="false" customHeight="true" outlineLevel="0" collapsed="false">
      <c r="A222" s="77" t="s">
        <v>310</v>
      </c>
      <c r="B222" s="77" t="s">
        <v>311</v>
      </c>
      <c r="C222" s="78" t="n">
        <v>46325</v>
      </c>
      <c r="D222" s="77" t="s">
        <v>1556</v>
      </c>
      <c r="E222" s="77" t="s">
        <v>202</v>
      </c>
      <c r="F222" s="77" t="s">
        <v>203</v>
      </c>
      <c r="G222" s="77" t="s">
        <v>440</v>
      </c>
      <c r="H222" s="77" t="s">
        <v>1561</v>
      </c>
      <c r="I222" s="77" t="s">
        <v>1603</v>
      </c>
    </row>
    <row r="223" customFormat="false" ht="27.75" hidden="false" customHeight="true" outlineLevel="0" collapsed="false">
      <c r="A223" s="77" t="s">
        <v>310</v>
      </c>
      <c r="B223" s="77" t="s">
        <v>311</v>
      </c>
      <c r="C223" s="78" t="n">
        <v>46325</v>
      </c>
      <c r="D223" s="77" t="s">
        <v>1556</v>
      </c>
      <c r="E223" s="77" t="s">
        <v>202</v>
      </c>
      <c r="F223" s="77" t="s">
        <v>203</v>
      </c>
      <c r="G223" s="77" t="s">
        <v>440</v>
      </c>
      <c r="H223" s="77" t="s">
        <v>1534</v>
      </c>
      <c r="I223" s="77" t="s">
        <v>1604</v>
      </c>
    </row>
    <row r="224" customFormat="false" ht="27.75" hidden="false" customHeight="true" outlineLevel="0" collapsed="false">
      <c r="A224" s="77" t="s">
        <v>310</v>
      </c>
      <c r="B224" s="77" t="s">
        <v>311</v>
      </c>
      <c r="C224" s="78" t="n">
        <v>46325</v>
      </c>
      <c r="D224" s="77" t="s">
        <v>1556</v>
      </c>
      <c r="E224" s="77" t="s">
        <v>202</v>
      </c>
      <c r="F224" s="77" t="s">
        <v>203</v>
      </c>
      <c r="G224" s="77" t="s">
        <v>499</v>
      </c>
      <c r="H224" s="77" t="s">
        <v>1526</v>
      </c>
      <c r="I224" s="77" t="s">
        <v>1605</v>
      </c>
    </row>
    <row r="225" customFormat="false" ht="27.75" hidden="false" customHeight="true" outlineLevel="0" collapsed="false">
      <c r="A225" s="77" t="s">
        <v>310</v>
      </c>
      <c r="B225" s="77" t="s">
        <v>311</v>
      </c>
      <c r="C225" s="78" t="n">
        <v>46325</v>
      </c>
      <c r="D225" s="77" t="s">
        <v>1556</v>
      </c>
      <c r="E225" s="77" t="s">
        <v>202</v>
      </c>
      <c r="F225" s="77" t="s">
        <v>203</v>
      </c>
      <c r="G225" s="77" t="s">
        <v>499</v>
      </c>
      <c r="H225" s="77" t="s">
        <v>1587</v>
      </c>
      <c r="I225" s="77" t="s">
        <v>1606</v>
      </c>
    </row>
    <row r="226" customFormat="false" ht="27.75" hidden="false" customHeight="true" outlineLevel="0" collapsed="false">
      <c r="A226" s="77" t="s">
        <v>310</v>
      </c>
      <c r="B226" s="77" t="s">
        <v>311</v>
      </c>
      <c r="C226" s="78" t="n">
        <v>46325</v>
      </c>
      <c r="D226" s="77" t="s">
        <v>1556</v>
      </c>
      <c r="E226" s="77" t="s">
        <v>202</v>
      </c>
      <c r="F226" s="77" t="s">
        <v>203</v>
      </c>
      <c r="G226" s="77" t="s">
        <v>629</v>
      </c>
      <c r="H226" s="77" t="s">
        <v>1564</v>
      </c>
      <c r="I226" s="77" t="s">
        <v>1607</v>
      </c>
    </row>
    <row r="227" customFormat="false" ht="27.75" hidden="false" customHeight="true" outlineLevel="0" collapsed="false">
      <c r="A227" s="77" t="s">
        <v>310</v>
      </c>
      <c r="B227" s="77" t="s">
        <v>311</v>
      </c>
      <c r="C227" s="78" t="n">
        <v>46325</v>
      </c>
      <c r="D227" s="77" t="s">
        <v>1556</v>
      </c>
      <c r="E227" s="77" t="s">
        <v>202</v>
      </c>
      <c r="F227" s="77" t="s">
        <v>203</v>
      </c>
      <c r="G227" s="77" t="s">
        <v>447</v>
      </c>
      <c r="H227" s="77" t="s">
        <v>1566</v>
      </c>
      <c r="I227" s="77" t="s">
        <v>1608</v>
      </c>
    </row>
    <row r="228" customFormat="false" ht="27.75" hidden="false" customHeight="true" outlineLevel="0" collapsed="false">
      <c r="A228" s="77" t="s">
        <v>310</v>
      </c>
      <c r="B228" s="77" t="s">
        <v>311</v>
      </c>
      <c r="C228" s="78" t="n">
        <v>46325</v>
      </c>
      <c r="D228" s="77" t="s">
        <v>1556</v>
      </c>
      <c r="E228" s="77" t="s">
        <v>202</v>
      </c>
      <c r="F228" s="77" t="s">
        <v>203</v>
      </c>
      <c r="G228" s="77" t="s">
        <v>447</v>
      </c>
      <c r="H228" s="77" t="s">
        <v>1568</v>
      </c>
      <c r="I228" s="77" t="s">
        <v>1609</v>
      </c>
    </row>
    <row r="229" customFormat="false" ht="27.75" hidden="false" customHeight="true" outlineLevel="0" collapsed="false">
      <c r="A229" s="77" t="s">
        <v>310</v>
      </c>
      <c r="B229" s="77" t="s">
        <v>311</v>
      </c>
      <c r="C229" s="78" t="n">
        <v>46325</v>
      </c>
      <c r="D229" s="77" t="s">
        <v>1556</v>
      </c>
      <c r="E229" s="77" t="s">
        <v>202</v>
      </c>
      <c r="F229" s="77" t="s">
        <v>203</v>
      </c>
      <c r="G229" s="77" t="s">
        <v>634</v>
      </c>
      <c r="H229" s="77" t="s">
        <v>1570</v>
      </c>
      <c r="I229" s="77" t="s">
        <v>1571</v>
      </c>
    </row>
    <row r="230" customFormat="false" ht="27.75" hidden="false" customHeight="true" outlineLevel="0" collapsed="false">
      <c r="A230" s="77" t="s">
        <v>312</v>
      </c>
      <c r="B230" s="77" t="s">
        <v>232</v>
      </c>
      <c r="C230" s="78" t="n">
        <v>46325</v>
      </c>
      <c r="D230" s="77" t="s">
        <v>1540</v>
      </c>
      <c r="E230" s="77" t="s">
        <v>202</v>
      </c>
      <c r="F230" s="77" t="s">
        <v>189</v>
      </c>
      <c r="G230" s="77" t="s">
        <v>447</v>
      </c>
      <c r="H230" s="77" t="s">
        <v>1574</v>
      </c>
      <c r="I230" s="77" t="s">
        <v>1576</v>
      </c>
    </row>
    <row r="231" customFormat="false" ht="27.75" hidden="false" customHeight="true" outlineLevel="0" collapsed="false">
      <c r="A231" s="77" t="s">
        <v>312</v>
      </c>
      <c r="B231" s="77" t="s">
        <v>232</v>
      </c>
      <c r="C231" s="78" t="n">
        <v>46325</v>
      </c>
      <c r="D231" s="77" t="s">
        <v>1540</v>
      </c>
      <c r="E231" s="77" t="s">
        <v>202</v>
      </c>
      <c r="F231" s="77" t="s">
        <v>189</v>
      </c>
      <c r="G231" s="77" t="s">
        <v>634</v>
      </c>
      <c r="H231" s="77" t="s">
        <v>1558</v>
      </c>
      <c r="I231" s="77" t="s">
        <v>1559</v>
      </c>
    </row>
  </sheetData>
  <sheetProtection sheet="true" formatCells="false" formatColumns="false" formatRows="false" autoFilter="false"/>
  <autoFilter ref="A4:N161"/>
  <mergeCells count="1">
    <mergeCell ref="C2:I2"/>
  </mergeCells>
  <printOptions headings="false" gridLines="false" gridLinesSet="true" horizontalCentered="false" verticalCentered="false"/>
  <pageMargins left="0.3" right="0.3" top="1" bottom="1" header="0.511811023622047" footer="0.5"/>
  <pageSetup paperSize="9" scale="100" fitToWidth="3" fitToHeight="0" pageOrder="downThenOver" orientation="landscape" blackAndWhite="false" draft="false" cellComments="none" horizontalDpi="300" verticalDpi="300" copies="1"/>
  <headerFooter differentFirst="false" differentOddEven="false">
    <oddHeader/>
    <oddFooter>&amp;C&amp;8 &amp;A  |  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24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0"/>
    <col collapsed="false" customWidth="true" hidden="false" outlineLevel="0" max="4" min="3" style="0" width="14"/>
    <col collapsed="false" customWidth="true" hidden="false" outlineLevel="0" max="6" min="5" style="0" width="18"/>
    <col collapsed="false" customWidth="true" hidden="false" outlineLevel="0" max="8" min="8" style="0" width="16"/>
    <col collapsed="false" customWidth="true" hidden="false" outlineLevel="0" max="9" min="9" style="0" width="14"/>
    <col collapsed="false" customWidth="true" hidden="false" outlineLevel="0" max="20" min="11" style="0" width="22"/>
    <col collapsed="false" customWidth="true" hidden="false" outlineLevel="0" max="21" min="21" style="0" width="26"/>
    <col collapsed="false" customWidth="true" hidden="false" outlineLevel="0" max="23" min="22" style="0" width="22"/>
  </cols>
  <sheetData>
    <row r="1" customFormat="false" ht="24" hidden="false" customHeight="true" outlineLevel="0" collapsed="false">
      <c r="A1" s="54" t="s">
        <v>1610</v>
      </c>
    </row>
    <row r="2" customFormat="false" ht="15" hidden="false" customHeight="false" outlineLevel="0" collapsed="false">
      <c r="A2" s="2" t="s">
        <v>1611</v>
      </c>
    </row>
    <row r="3" customFormat="false" ht="48" hidden="false" customHeight="true" outlineLevel="0" collapsed="false">
      <c r="H3" s="79" t="s">
        <v>1612</v>
      </c>
      <c r="I3" s="79" t="s">
        <v>1613</v>
      </c>
      <c r="K3" s="79" t="s">
        <v>1614</v>
      </c>
      <c r="L3" s="80" t="s">
        <v>1615</v>
      </c>
      <c r="M3" s="80" t="s">
        <v>1616</v>
      </c>
      <c r="N3" s="80" t="s">
        <v>1617</v>
      </c>
      <c r="O3" s="80" t="s">
        <v>1618</v>
      </c>
      <c r="P3" s="80" t="s">
        <v>1619</v>
      </c>
      <c r="Q3" s="80" t="s">
        <v>1620</v>
      </c>
      <c r="R3" s="80" t="s">
        <v>1621</v>
      </c>
      <c r="S3" s="80" t="s">
        <v>1622</v>
      </c>
      <c r="T3" s="80" t="s">
        <v>1623</v>
      </c>
      <c r="U3" s="80" t="s">
        <v>1624</v>
      </c>
      <c r="V3" s="80" t="s">
        <v>1625</v>
      </c>
      <c r="W3" s="80" t="s">
        <v>1626</v>
      </c>
    </row>
    <row r="4" customFormat="false" ht="39.75" hidden="false" customHeight="true" outlineLevel="0" collapsed="false">
      <c r="A4" s="81" t="s">
        <v>1627</v>
      </c>
      <c r="B4" s="82"/>
      <c r="H4" s="83" t="s">
        <v>1628</v>
      </c>
      <c r="I4" s="83" t="s">
        <v>77</v>
      </c>
      <c r="K4" s="83" t="s">
        <v>1629</v>
      </c>
      <c r="L4" s="83" t="s">
        <v>1630</v>
      </c>
      <c r="M4" s="83" t="s">
        <v>1631</v>
      </c>
      <c r="N4" s="83" t="s">
        <v>1632</v>
      </c>
      <c r="O4" s="83" t="s">
        <v>1633</v>
      </c>
      <c r="P4" s="83" t="s">
        <v>1634</v>
      </c>
      <c r="Q4" s="83" t="s">
        <v>1633</v>
      </c>
      <c r="R4" s="83" t="s">
        <v>1635</v>
      </c>
      <c r="S4" s="83" t="s">
        <v>1636</v>
      </c>
      <c r="T4" s="83" t="s">
        <v>1637</v>
      </c>
      <c r="U4" s="83" t="s">
        <v>1638</v>
      </c>
      <c r="V4" s="83" t="s">
        <v>1639</v>
      </c>
      <c r="W4" s="83" t="s">
        <v>1640</v>
      </c>
    </row>
    <row r="5" customFormat="false" ht="27.75" hidden="false" customHeight="true" outlineLevel="0" collapsed="false">
      <c r="A5" s="81" t="s">
        <v>1641</v>
      </c>
      <c r="B5" s="84" t="n">
        <v>8</v>
      </c>
      <c r="H5" s="83" t="s">
        <v>1642</v>
      </c>
      <c r="I5" s="83" t="s">
        <v>1643</v>
      </c>
      <c r="K5" s="83" t="s">
        <v>1633</v>
      </c>
      <c r="L5" s="83" t="s">
        <v>1644</v>
      </c>
      <c r="M5" s="83" t="s">
        <v>1645</v>
      </c>
      <c r="N5" s="83" t="s">
        <v>1646</v>
      </c>
      <c r="O5" s="83" t="s">
        <v>1647</v>
      </c>
      <c r="P5" s="83" t="s">
        <v>1648</v>
      </c>
      <c r="Q5" s="83" t="s">
        <v>1647</v>
      </c>
      <c r="R5" s="83" t="s">
        <v>1634</v>
      </c>
      <c r="S5" s="83" t="s">
        <v>1649</v>
      </c>
      <c r="T5" s="83" t="s">
        <v>1650</v>
      </c>
      <c r="U5" s="83" t="s">
        <v>1651</v>
      </c>
      <c r="V5" s="83" t="s">
        <v>1652</v>
      </c>
      <c r="W5" s="83" t="s">
        <v>1653</v>
      </c>
    </row>
    <row r="6" customFormat="false" ht="25.5" hidden="false" customHeight="true" outlineLevel="0" collapsed="false">
      <c r="A6" s="81" t="s">
        <v>1654</v>
      </c>
      <c r="B6" s="85" t="n">
        <f aca="true">IF(ISNUMBER(B4),B4,NOW()-N(B5)/24)</f>
        <v>46294.5373251825</v>
      </c>
      <c r="C6" s="86" t="n">
        <f aca="false">B6+8/24</f>
        <v>46294.8706585158</v>
      </c>
      <c r="D6" s="87" t="s">
        <v>1655</v>
      </c>
      <c r="H6" s="83" t="s">
        <v>1656</v>
      </c>
      <c r="K6" s="83" t="s">
        <v>1657</v>
      </c>
      <c r="L6" s="83" t="s">
        <v>1658</v>
      </c>
      <c r="M6" s="83" t="s">
        <v>1659</v>
      </c>
      <c r="N6" s="83" t="s">
        <v>1660</v>
      </c>
      <c r="O6" s="83" t="s">
        <v>1657</v>
      </c>
      <c r="P6" s="83" t="s">
        <v>1661</v>
      </c>
      <c r="Q6" s="83" t="s">
        <v>1657</v>
      </c>
      <c r="R6" s="83" t="s">
        <v>1662</v>
      </c>
      <c r="S6" s="83" t="s">
        <v>1663</v>
      </c>
      <c r="T6" s="83" t="s">
        <v>1664</v>
      </c>
      <c r="U6" s="83" t="s">
        <v>1665</v>
      </c>
      <c r="V6" s="83" t="s">
        <v>1666</v>
      </c>
      <c r="W6" s="83" t="s">
        <v>1667</v>
      </c>
    </row>
    <row r="7" customFormat="false" ht="51.75" hidden="false" customHeight="true" outlineLevel="0" collapsed="false">
      <c r="A7" s="81" t="s">
        <v>1668</v>
      </c>
      <c r="B7" s="84" t="n">
        <v>6</v>
      </c>
      <c r="C7" s="88" t="n">
        <f aca="false">IF(ISNUMBER(B7),MIN(MAX(B7,1),10),6)</f>
        <v>6</v>
      </c>
      <c r="D7" s="87" t="s">
        <v>1669</v>
      </c>
      <c r="H7" s="83" t="s">
        <v>1670</v>
      </c>
      <c r="K7" s="83" t="s">
        <v>1647</v>
      </c>
      <c r="L7" s="83" t="s">
        <v>1671</v>
      </c>
      <c r="M7" s="83" t="s">
        <v>1672</v>
      </c>
      <c r="N7" s="83" t="s">
        <v>1673</v>
      </c>
      <c r="O7" s="83" t="s">
        <v>1674</v>
      </c>
      <c r="P7" s="83" t="s">
        <v>1675</v>
      </c>
      <c r="Q7" s="83" t="s">
        <v>1674</v>
      </c>
      <c r="R7" s="83" t="s">
        <v>1676</v>
      </c>
      <c r="S7" s="83" t="s">
        <v>1677</v>
      </c>
      <c r="T7" s="83" t="s">
        <v>1678</v>
      </c>
      <c r="U7" s="83" t="s">
        <v>1679</v>
      </c>
      <c r="V7" s="83" t="s">
        <v>1680</v>
      </c>
      <c r="W7" s="83" t="s">
        <v>1681</v>
      </c>
    </row>
    <row r="8" customFormat="false" ht="39.75" hidden="false" customHeight="true" outlineLevel="0" collapsed="false">
      <c r="A8" s="81" t="s">
        <v>1682</v>
      </c>
      <c r="B8" s="84" t="n">
        <v>24</v>
      </c>
      <c r="C8" s="88" t="n">
        <f aca="false">IF(ISNUMBER(B8),MIN(MAX(B8,1),72),24)</f>
        <v>24</v>
      </c>
      <c r="D8" s="87" t="s">
        <v>1683</v>
      </c>
      <c r="H8" s="83" t="s">
        <v>1684</v>
      </c>
      <c r="K8" s="83" t="s">
        <v>1685</v>
      </c>
      <c r="L8" s="83" t="s">
        <v>1686</v>
      </c>
      <c r="M8" s="83" t="s">
        <v>1687</v>
      </c>
      <c r="N8" s="83" t="s">
        <v>1688</v>
      </c>
      <c r="O8" s="83" t="s">
        <v>1689</v>
      </c>
      <c r="P8" s="83" t="s">
        <v>1690</v>
      </c>
      <c r="Q8" s="83" t="s">
        <v>1689</v>
      </c>
      <c r="R8" s="83" t="s">
        <v>1691</v>
      </c>
      <c r="S8" s="83" t="s">
        <v>1692</v>
      </c>
      <c r="T8" s="83" t="s">
        <v>1693</v>
      </c>
      <c r="U8" s="83" t="s">
        <v>1694</v>
      </c>
      <c r="V8" s="83" t="s">
        <v>1695</v>
      </c>
      <c r="W8" s="83" t="s">
        <v>1696</v>
      </c>
    </row>
    <row r="9" customFormat="false" ht="27.75" hidden="false" customHeight="true" outlineLevel="0" collapsed="false">
      <c r="A9" s="81" t="s">
        <v>1697</v>
      </c>
      <c r="B9" s="84" t="n">
        <v>12</v>
      </c>
      <c r="C9" s="88" t="n">
        <f aca="false">IF(ISNUMBER(B9),MIN(MAX(B9,1),48),12)</f>
        <v>12</v>
      </c>
      <c r="D9" s="87" t="s">
        <v>1698</v>
      </c>
      <c r="H9" s="83" t="s">
        <v>94</v>
      </c>
      <c r="K9" s="83" t="s">
        <v>1699</v>
      </c>
      <c r="L9" s="83" t="s">
        <v>1700</v>
      </c>
      <c r="M9" s="83" t="s">
        <v>1701</v>
      </c>
      <c r="N9" s="83" t="s">
        <v>1702</v>
      </c>
      <c r="O9" s="83" t="s">
        <v>1703</v>
      </c>
      <c r="P9" s="83" t="s">
        <v>1704</v>
      </c>
      <c r="Q9" s="83" t="s">
        <v>1703</v>
      </c>
      <c r="R9" s="83" t="s">
        <v>1705</v>
      </c>
      <c r="S9" s="83" t="s">
        <v>1706</v>
      </c>
      <c r="T9" s="83" t="s">
        <v>1707</v>
      </c>
      <c r="U9" s="83" t="s">
        <v>1708</v>
      </c>
      <c r="V9" s="83" t="s">
        <v>1709</v>
      </c>
      <c r="W9" s="83" t="s">
        <v>1710</v>
      </c>
    </row>
    <row r="10" customFormat="false" ht="27.75" hidden="false" customHeight="true" outlineLevel="0" collapsed="false">
      <c r="A10" s="81" t="s">
        <v>1711</v>
      </c>
      <c r="B10" s="84" t="n">
        <v>14</v>
      </c>
      <c r="C10" s="88" t="n">
        <f aca="false">IF(ISNUMBER(B10),MIN(MAX(B10,1),60),14)</f>
        <v>14</v>
      </c>
      <c r="D10" s="87" t="s">
        <v>1712</v>
      </c>
      <c r="K10" s="83" t="s">
        <v>1713</v>
      </c>
      <c r="L10" s="83" t="s">
        <v>1714</v>
      </c>
      <c r="M10" s="83" t="s">
        <v>1715</v>
      </c>
      <c r="N10" s="83" t="s">
        <v>1716</v>
      </c>
      <c r="O10" s="83" t="s">
        <v>1717</v>
      </c>
      <c r="P10" s="83" t="s">
        <v>1718</v>
      </c>
      <c r="Q10" s="83" t="s">
        <v>1717</v>
      </c>
      <c r="R10" s="83" t="s">
        <v>1719</v>
      </c>
      <c r="S10" s="83" t="s">
        <v>1720</v>
      </c>
      <c r="T10" s="83" t="s">
        <v>1721</v>
      </c>
      <c r="U10" s="83" t="s">
        <v>1722</v>
      </c>
      <c r="V10" s="83" t="s">
        <v>1723</v>
      </c>
      <c r="W10" s="83" t="s">
        <v>1724</v>
      </c>
    </row>
    <row r="11" customFormat="false" ht="15" hidden="false" customHeight="false" outlineLevel="0" collapsed="false">
      <c r="A11" s="89" t="s">
        <v>1725</v>
      </c>
      <c r="K11" s="83" t="s">
        <v>1674</v>
      </c>
      <c r="L11" s="83" t="s">
        <v>1726</v>
      </c>
      <c r="M11" s="83" t="s">
        <v>1727</v>
      </c>
      <c r="N11" s="83" t="s">
        <v>1728</v>
      </c>
      <c r="O11" s="83" t="s">
        <v>1729</v>
      </c>
      <c r="P11" s="83" t="s">
        <v>1730</v>
      </c>
      <c r="Q11" s="83" t="s">
        <v>1729</v>
      </c>
      <c r="R11" s="83" t="s">
        <v>1731</v>
      </c>
      <c r="S11" s="83" t="s">
        <v>1732</v>
      </c>
      <c r="T11" s="83" t="s">
        <v>1733</v>
      </c>
      <c r="U11" s="83" t="s">
        <v>1734</v>
      </c>
      <c r="V11" s="83" t="s">
        <v>1735</v>
      </c>
      <c r="W11" s="83" t="s">
        <v>1736</v>
      </c>
    </row>
    <row r="12" customFormat="false" ht="30" hidden="false" customHeight="true" outlineLevel="0" collapsed="false">
      <c r="A12" s="56" t="s">
        <v>1737</v>
      </c>
      <c r="B12" s="56" t="s">
        <v>1738</v>
      </c>
      <c r="C12" s="56" t="s">
        <v>1739</v>
      </c>
      <c r="D12" s="56" t="s">
        <v>1740</v>
      </c>
      <c r="E12" s="56" t="s">
        <v>1741</v>
      </c>
      <c r="F12" s="56" t="s">
        <v>1742</v>
      </c>
      <c r="K12" s="83" t="s">
        <v>1689</v>
      </c>
      <c r="L12" s="83" t="s">
        <v>1743</v>
      </c>
      <c r="M12" s="83" t="s">
        <v>1744</v>
      </c>
      <c r="N12" s="83" t="s">
        <v>1745</v>
      </c>
      <c r="O12" s="83" t="s">
        <v>1746</v>
      </c>
      <c r="P12" s="83" t="s">
        <v>1747</v>
      </c>
      <c r="Q12" s="83" t="s">
        <v>1746</v>
      </c>
      <c r="R12" s="83" t="s">
        <v>1748</v>
      </c>
      <c r="S12" s="83" t="s">
        <v>1749</v>
      </c>
      <c r="T12" s="83" t="s">
        <v>1750</v>
      </c>
      <c r="U12" s="83" t="s">
        <v>1751</v>
      </c>
      <c r="V12" s="83" t="s">
        <v>1752</v>
      </c>
      <c r="W12" s="83" t="s">
        <v>1753</v>
      </c>
    </row>
    <row r="13" customFormat="false" ht="15" hidden="false" customHeight="false" outlineLevel="0" collapsed="false">
      <c r="A13" s="90" t="s">
        <v>187</v>
      </c>
      <c r="B13" s="90" t="s">
        <v>1754</v>
      </c>
      <c r="C13" s="90" t="n">
        <v>8</v>
      </c>
      <c r="D13" s="90"/>
      <c r="E13" s="91"/>
      <c r="F13" s="91"/>
      <c r="K13" s="83" t="s">
        <v>1755</v>
      </c>
      <c r="L13" s="83" t="s">
        <v>1756</v>
      </c>
      <c r="M13" s="83" t="s">
        <v>1757</v>
      </c>
      <c r="N13" s="83" t="s">
        <v>1758</v>
      </c>
      <c r="O13" s="83" t="s">
        <v>1759</v>
      </c>
      <c r="P13" s="83" t="s">
        <v>1760</v>
      </c>
      <c r="Q13" s="83" t="s">
        <v>1759</v>
      </c>
      <c r="R13" s="83" t="s">
        <v>1761</v>
      </c>
      <c r="S13" s="83" t="s">
        <v>1705</v>
      </c>
      <c r="T13" s="83" t="s">
        <v>1762</v>
      </c>
      <c r="U13" s="83" t="s">
        <v>1763</v>
      </c>
      <c r="V13" s="83" t="s">
        <v>1764</v>
      </c>
      <c r="W13" s="83" t="s">
        <v>1765</v>
      </c>
    </row>
    <row r="14" customFormat="false" ht="15" hidden="false" customHeight="false" outlineLevel="0" collapsed="false">
      <c r="A14" s="90" t="s">
        <v>254</v>
      </c>
      <c r="B14" s="90" t="s">
        <v>1754</v>
      </c>
      <c r="C14" s="90" t="n">
        <v>8</v>
      </c>
      <c r="D14" s="90"/>
      <c r="E14" s="91"/>
      <c r="F14" s="91"/>
      <c r="K14" s="83" t="s">
        <v>1766</v>
      </c>
      <c r="L14" s="83" t="s">
        <v>1767</v>
      </c>
      <c r="M14" s="83" t="s">
        <v>1768</v>
      </c>
      <c r="N14" s="83" t="s">
        <v>1769</v>
      </c>
      <c r="O14" s="83" t="s">
        <v>1770</v>
      </c>
      <c r="P14" s="83" t="s">
        <v>1771</v>
      </c>
      <c r="Q14" s="83" t="s">
        <v>1770</v>
      </c>
      <c r="R14" s="83" t="s">
        <v>1772</v>
      </c>
      <c r="S14" s="83" t="s">
        <v>1772</v>
      </c>
      <c r="T14" s="83" t="s">
        <v>1773</v>
      </c>
      <c r="U14" s="83" t="s">
        <v>1774</v>
      </c>
      <c r="V14" s="83" t="s">
        <v>1775</v>
      </c>
      <c r="W14" s="83" t="s">
        <v>1776</v>
      </c>
    </row>
    <row r="15" customFormat="false" ht="15" hidden="false" customHeight="false" outlineLevel="0" collapsed="false">
      <c r="A15" s="90" t="s">
        <v>306</v>
      </c>
      <c r="B15" s="90" t="s">
        <v>1754</v>
      </c>
      <c r="C15" s="90" t="n">
        <v>8</v>
      </c>
      <c r="D15" s="90"/>
      <c r="E15" s="91"/>
      <c r="F15" s="91"/>
      <c r="K15" s="83" t="s">
        <v>1777</v>
      </c>
      <c r="L15" s="83" t="s">
        <v>1778</v>
      </c>
      <c r="M15" s="83" t="s">
        <v>1779</v>
      </c>
      <c r="N15" s="83" t="s">
        <v>1780</v>
      </c>
      <c r="O15" s="83" t="s">
        <v>1781</v>
      </c>
      <c r="P15" s="83" t="s">
        <v>1782</v>
      </c>
      <c r="Q15" s="83" t="s">
        <v>1781</v>
      </c>
      <c r="R15" s="83" t="s">
        <v>1783</v>
      </c>
      <c r="S15" s="83" t="s">
        <v>1784</v>
      </c>
      <c r="T15" s="83" t="s">
        <v>1785</v>
      </c>
      <c r="V15" s="83" t="s">
        <v>1786</v>
      </c>
      <c r="W15" s="83" t="s">
        <v>1787</v>
      </c>
    </row>
    <row r="16" customFormat="false" ht="15" hidden="false" customHeight="false" outlineLevel="0" collapsed="false">
      <c r="A16" s="90" t="s">
        <v>186</v>
      </c>
      <c r="B16" s="90" t="s">
        <v>1788</v>
      </c>
      <c r="C16" s="90" t="n">
        <v>0</v>
      </c>
      <c r="D16" s="90" t="n">
        <v>1</v>
      </c>
      <c r="E16" s="91" t="n">
        <v>46110.0416666667</v>
      </c>
      <c r="F16" s="91" t="n">
        <v>46320.0416666667</v>
      </c>
      <c r="K16" s="83" t="s">
        <v>1789</v>
      </c>
      <c r="L16" s="83" t="s">
        <v>1790</v>
      </c>
      <c r="M16" s="83" t="s">
        <v>1791</v>
      </c>
      <c r="N16" s="83" t="s">
        <v>1792</v>
      </c>
      <c r="O16" s="83" t="s">
        <v>1793</v>
      </c>
      <c r="P16" s="83" t="s">
        <v>1794</v>
      </c>
      <c r="Q16" s="83" t="s">
        <v>1793</v>
      </c>
      <c r="R16" s="83" t="s">
        <v>1795</v>
      </c>
      <c r="S16" s="83" t="s">
        <v>1796</v>
      </c>
      <c r="T16" s="83" t="s">
        <v>1797</v>
      </c>
      <c r="V16" s="83" t="s">
        <v>1798</v>
      </c>
      <c r="W16" s="83" t="s">
        <v>1629</v>
      </c>
    </row>
    <row r="17" customFormat="false" ht="15" hidden="false" customHeight="false" outlineLevel="0" collapsed="false">
      <c r="A17" s="90" t="s">
        <v>201</v>
      </c>
      <c r="B17" s="90" t="s">
        <v>1799</v>
      </c>
      <c r="C17" s="90" t="n">
        <v>7</v>
      </c>
      <c r="D17" s="90"/>
      <c r="E17" s="91"/>
      <c r="F17" s="91"/>
      <c r="K17" s="83" t="s">
        <v>1800</v>
      </c>
      <c r="L17" s="83" t="s">
        <v>1801</v>
      </c>
      <c r="M17" s="83" t="s">
        <v>1802</v>
      </c>
      <c r="N17" s="83" t="s">
        <v>1803</v>
      </c>
      <c r="O17" s="83" t="s">
        <v>1804</v>
      </c>
      <c r="P17" s="83" t="s">
        <v>1805</v>
      </c>
      <c r="Q17" s="83" t="s">
        <v>1804</v>
      </c>
      <c r="R17" s="83" t="s">
        <v>1806</v>
      </c>
      <c r="S17" s="83" t="s">
        <v>1807</v>
      </c>
      <c r="T17" s="83" t="s">
        <v>1808</v>
      </c>
      <c r="V17" s="83" t="s">
        <v>1809</v>
      </c>
      <c r="W17" s="83" t="s">
        <v>1810</v>
      </c>
    </row>
    <row r="18" customFormat="false" ht="15" hidden="false" customHeight="false" outlineLevel="0" collapsed="false">
      <c r="A18" s="90" t="s">
        <v>240</v>
      </c>
      <c r="B18" s="90" t="s">
        <v>1811</v>
      </c>
      <c r="C18" s="90" t="n">
        <v>7</v>
      </c>
      <c r="D18" s="90"/>
      <c r="E18" s="91"/>
      <c r="F18" s="91"/>
      <c r="K18" s="83" t="s">
        <v>1812</v>
      </c>
      <c r="L18" s="83" t="s">
        <v>1813</v>
      </c>
      <c r="M18" s="83" t="s">
        <v>1814</v>
      </c>
      <c r="N18" s="83" t="s">
        <v>1815</v>
      </c>
      <c r="O18" s="83" t="s">
        <v>1816</v>
      </c>
      <c r="P18" s="83" t="s">
        <v>1817</v>
      </c>
      <c r="Q18" s="83" t="s">
        <v>1816</v>
      </c>
      <c r="R18" s="83" t="s">
        <v>1692</v>
      </c>
      <c r="S18" s="83" t="s">
        <v>1818</v>
      </c>
      <c r="T18" s="83" t="s">
        <v>1819</v>
      </c>
      <c r="V18" s="83" t="s">
        <v>1820</v>
      </c>
      <c r="W18" s="83" t="s">
        <v>1821</v>
      </c>
    </row>
    <row r="19" customFormat="false" ht="15" hidden="false" customHeight="false" outlineLevel="0" collapsed="false">
      <c r="A19" s="90" t="s">
        <v>220</v>
      </c>
      <c r="B19" s="90" t="s">
        <v>1822</v>
      </c>
      <c r="C19" s="90" t="n">
        <v>9</v>
      </c>
      <c r="D19" s="90"/>
      <c r="E19" s="91"/>
      <c r="F19" s="91"/>
      <c r="K19" s="83" t="s">
        <v>1823</v>
      </c>
      <c r="L19" s="83" t="s">
        <v>1824</v>
      </c>
      <c r="M19" s="83" t="s">
        <v>1825</v>
      </c>
      <c r="N19" s="83" t="s">
        <v>1826</v>
      </c>
      <c r="O19" s="83" t="s">
        <v>1827</v>
      </c>
      <c r="P19" s="83" t="s">
        <v>1828</v>
      </c>
      <c r="Q19" s="83" t="s">
        <v>1827</v>
      </c>
      <c r="R19" s="83" t="s">
        <v>1706</v>
      </c>
      <c r="S19" s="83" t="s">
        <v>1829</v>
      </c>
      <c r="T19" s="83" t="s">
        <v>1830</v>
      </c>
      <c r="V19" s="83" t="s">
        <v>1831</v>
      </c>
      <c r="W19" s="83" t="s">
        <v>1832</v>
      </c>
    </row>
    <row r="20" customFormat="false" ht="15" hidden="false" customHeight="false" outlineLevel="0" collapsed="false">
      <c r="A20" s="90" t="s">
        <v>295</v>
      </c>
      <c r="B20" s="90" t="s">
        <v>1822</v>
      </c>
      <c r="C20" s="90" t="n">
        <v>9</v>
      </c>
      <c r="D20" s="90"/>
      <c r="E20" s="91"/>
      <c r="F20" s="91"/>
      <c r="K20" s="83" t="s">
        <v>1833</v>
      </c>
      <c r="L20" s="83" t="s">
        <v>1834</v>
      </c>
      <c r="M20" s="83" t="s">
        <v>1835</v>
      </c>
      <c r="N20" s="83" t="s">
        <v>1836</v>
      </c>
      <c r="O20" s="83" t="s">
        <v>1837</v>
      </c>
      <c r="P20" s="83" t="s">
        <v>1838</v>
      </c>
      <c r="Q20" s="83" t="s">
        <v>1837</v>
      </c>
      <c r="R20" s="83" t="s">
        <v>1839</v>
      </c>
      <c r="S20" s="83" t="s">
        <v>1840</v>
      </c>
      <c r="T20" s="83" t="s">
        <v>1841</v>
      </c>
      <c r="V20" s="83" t="s">
        <v>1842</v>
      </c>
      <c r="W20" s="83" t="s">
        <v>1843</v>
      </c>
    </row>
    <row r="21" customFormat="false" ht="15" hidden="false" customHeight="false" outlineLevel="0" collapsed="false">
      <c r="A21" s="90" t="s">
        <v>282</v>
      </c>
      <c r="B21" s="90" t="s">
        <v>1844</v>
      </c>
      <c r="C21" s="90" t="n">
        <v>8</v>
      </c>
      <c r="D21" s="90"/>
      <c r="E21" s="91"/>
      <c r="F21" s="91"/>
      <c r="K21" s="83" t="s">
        <v>1845</v>
      </c>
      <c r="L21" s="83" t="s">
        <v>1846</v>
      </c>
      <c r="M21" s="83" t="s">
        <v>1847</v>
      </c>
      <c r="N21" s="83" t="s">
        <v>1848</v>
      </c>
      <c r="O21" s="83" t="s">
        <v>1849</v>
      </c>
      <c r="P21" s="83" t="s">
        <v>1850</v>
      </c>
      <c r="Q21" s="83" t="s">
        <v>1849</v>
      </c>
      <c r="R21" s="83" t="s">
        <v>1851</v>
      </c>
      <c r="S21" s="83" t="s">
        <v>1852</v>
      </c>
      <c r="T21" s="83" t="s">
        <v>1853</v>
      </c>
      <c r="V21" s="83" t="s">
        <v>1854</v>
      </c>
      <c r="W21" s="83" t="s">
        <v>1855</v>
      </c>
    </row>
    <row r="22" customFormat="false" ht="15" hidden="false" customHeight="false" outlineLevel="0" collapsed="false">
      <c r="A22" s="90" t="s">
        <v>263</v>
      </c>
      <c r="B22" s="90" t="s">
        <v>1856</v>
      </c>
      <c r="C22" s="90" t="n">
        <v>9.5</v>
      </c>
      <c r="D22" s="90" t="n">
        <v>10.5</v>
      </c>
      <c r="E22" s="91" t="n">
        <v>46298.6875</v>
      </c>
      <c r="F22" s="91" t="n">
        <v>46480.6875</v>
      </c>
      <c r="K22" s="83" t="s">
        <v>1857</v>
      </c>
      <c r="L22" s="83" t="s">
        <v>1858</v>
      </c>
      <c r="M22" s="83" t="s">
        <v>1859</v>
      </c>
      <c r="N22" s="83" t="s">
        <v>1860</v>
      </c>
      <c r="O22" s="83" t="s">
        <v>1861</v>
      </c>
      <c r="P22" s="83" t="s">
        <v>1862</v>
      </c>
      <c r="Q22" s="83" t="s">
        <v>1861</v>
      </c>
      <c r="R22" s="83" t="s">
        <v>1863</v>
      </c>
      <c r="S22" s="83" t="s">
        <v>1864</v>
      </c>
      <c r="T22" s="83" t="s">
        <v>1865</v>
      </c>
      <c r="V22" s="83" t="s">
        <v>1866</v>
      </c>
      <c r="W22" s="83" t="s">
        <v>1867</v>
      </c>
    </row>
    <row r="23" customFormat="false" ht="30" hidden="false" customHeight="true" outlineLevel="0" collapsed="false">
      <c r="A23" s="92" t="s">
        <v>1868</v>
      </c>
      <c r="B23" s="92"/>
      <c r="C23" s="92"/>
      <c r="D23" s="92"/>
      <c r="E23" s="92"/>
      <c r="F23" s="92"/>
      <c r="K23" s="83" t="s">
        <v>1869</v>
      </c>
      <c r="L23" s="83" t="s">
        <v>1870</v>
      </c>
      <c r="M23" s="83" t="s">
        <v>1871</v>
      </c>
      <c r="N23" s="83" t="s">
        <v>1872</v>
      </c>
      <c r="O23" s="83" t="s">
        <v>1873</v>
      </c>
      <c r="P23" s="83" t="s">
        <v>1874</v>
      </c>
      <c r="Q23" s="83" t="s">
        <v>1873</v>
      </c>
      <c r="R23" s="83" t="s">
        <v>1875</v>
      </c>
      <c r="S23" s="83" t="s">
        <v>1876</v>
      </c>
      <c r="T23" s="83" t="s">
        <v>1877</v>
      </c>
      <c r="V23" s="83" t="s">
        <v>1878</v>
      </c>
      <c r="W23" s="83" t="s">
        <v>1879</v>
      </c>
    </row>
    <row r="24" customFormat="false" ht="15" hidden="false" customHeight="false" outlineLevel="0" collapsed="false">
      <c r="K24" s="83" t="s">
        <v>1880</v>
      </c>
      <c r="L24" s="83" t="s">
        <v>1881</v>
      </c>
      <c r="M24" s="83" t="s">
        <v>1882</v>
      </c>
      <c r="N24" s="83" t="s">
        <v>1883</v>
      </c>
      <c r="O24" s="83" t="s">
        <v>1884</v>
      </c>
      <c r="P24" s="83" t="s">
        <v>1885</v>
      </c>
      <c r="Q24" s="83" t="s">
        <v>1884</v>
      </c>
      <c r="R24" s="83" t="s">
        <v>1784</v>
      </c>
      <c r="S24" s="83" t="s">
        <v>1886</v>
      </c>
      <c r="T24" s="83" t="s">
        <v>1887</v>
      </c>
      <c r="V24" s="83" t="s">
        <v>1888</v>
      </c>
      <c r="W24" s="83" t="s">
        <v>1889</v>
      </c>
    </row>
    <row r="25" customFormat="false" ht="15" hidden="false" customHeight="false" outlineLevel="0" collapsed="false">
      <c r="K25" s="83" t="s">
        <v>1890</v>
      </c>
      <c r="L25" s="83" t="s">
        <v>1891</v>
      </c>
      <c r="M25" s="83" t="s">
        <v>1892</v>
      </c>
      <c r="N25" s="83" t="s">
        <v>1893</v>
      </c>
      <c r="O25" s="83" t="s">
        <v>1894</v>
      </c>
      <c r="P25" s="83" t="s">
        <v>1895</v>
      </c>
      <c r="Q25" s="83" t="s">
        <v>1894</v>
      </c>
      <c r="R25" s="83" t="s">
        <v>1896</v>
      </c>
      <c r="S25" s="83" t="s">
        <v>1897</v>
      </c>
      <c r="T25" s="83" t="s">
        <v>1898</v>
      </c>
      <c r="V25" s="83" t="s">
        <v>1899</v>
      </c>
      <c r="W25" s="83" t="s">
        <v>1789</v>
      </c>
    </row>
    <row r="26" customFormat="false" ht="15" hidden="false" customHeight="false" outlineLevel="0" collapsed="false">
      <c r="K26" s="83" t="s">
        <v>1900</v>
      </c>
      <c r="L26" s="83" t="s">
        <v>1901</v>
      </c>
      <c r="M26" s="83" t="s">
        <v>1902</v>
      </c>
      <c r="N26" s="83" t="s">
        <v>1903</v>
      </c>
      <c r="O26" s="83" t="s">
        <v>1904</v>
      </c>
      <c r="P26" s="83" t="s">
        <v>1905</v>
      </c>
      <c r="Q26" s="83" t="s">
        <v>1904</v>
      </c>
      <c r="R26" s="83" t="s">
        <v>1796</v>
      </c>
      <c r="S26" s="83" t="s">
        <v>1906</v>
      </c>
      <c r="T26" s="83" t="s">
        <v>1907</v>
      </c>
      <c r="V26" s="83" t="s">
        <v>1908</v>
      </c>
      <c r="W26" s="83" t="s">
        <v>1909</v>
      </c>
    </row>
    <row r="27" customFormat="false" ht="15" hidden="false" customHeight="false" outlineLevel="0" collapsed="false">
      <c r="K27" s="83" t="s">
        <v>1910</v>
      </c>
      <c r="L27" s="83" t="s">
        <v>1911</v>
      </c>
      <c r="M27" s="83" t="s">
        <v>1912</v>
      </c>
      <c r="N27" s="83" t="s">
        <v>1913</v>
      </c>
      <c r="O27" s="83" t="s">
        <v>1914</v>
      </c>
      <c r="P27" s="83" t="s">
        <v>1915</v>
      </c>
      <c r="Q27" s="83" t="s">
        <v>1914</v>
      </c>
      <c r="R27" s="83" t="s">
        <v>1916</v>
      </c>
      <c r="S27" s="83" t="s">
        <v>1917</v>
      </c>
      <c r="T27" s="83" t="s">
        <v>1918</v>
      </c>
      <c r="V27" s="83" t="s">
        <v>1919</v>
      </c>
      <c r="W27" s="83" t="s">
        <v>1920</v>
      </c>
    </row>
    <row r="28" customFormat="false" ht="15" hidden="false" customHeight="false" outlineLevel="0" collapsed="false">
      <c r="K28" s="83" t="s">
        <v>1921</v>
      </c>
      <c r="L28" s="83" t="s">
        <v>1922</v>
      </c>
      <c r="M28" s="83" t="s">
        <v>1923</v>
      </c>
      <c r="N28" s="83" t="s">
        <v>1924</v>
      </c>
      <c r="O28" s="83" t="s">
        <v>1925</v>
      </c>
      <c r="P28" s="83" t="s">
        <v>1926</v>
      </c>
      <c r="Q28" s="83" t="s">
        <v>1925</v>
      </c>
      <c r="R28" s="83" t="s">
        <v>1927</v>
      </c>
      <c r="S28" s="83" t="s">
        <v>1928</v>
      </c>
      <c r="T28" s="83" t="s">
        <v>1929</v>
      </c>
      <c r="V28" s="83" t="s">
        <v>1930</v>
      </c>
      <c r="W28" s="83" t="s">
        <v>1931</v>
      </c>
    </row>
    <row r="29" customFormat="false" ht="15" hidden="false" customHeight="false" outlineLevel="0" collapsed="false">
      <c r="K29" s="83" t="s">
        <v>1932</v>
      </c>
      <c r="L29" s="83" t="s">
        <v>1933</v>
      </c>
      <c r="M29" s="83" t="s">
        <v>1934</v>
      </c>
      <c r="N29" s="83" t="s">
        <v>1935</v>
      </c>
      <c r="O29" s="83" t="s">
        <v>1936</v>
      </c>
      <c r="P29" s="83" t="s">
        <v>1937</v>
      </c>
      <c r="Q29" s="83" t="s">
        <v>1936</v>
      </c>
      <c r="R29" s="83" t="s">
        <v>1938</v>
      </c>
      <c r="S29" s="83" t="s">
        <v>1939</v>
      </c>
      <c r="T29" s="83" t="s">
        <v>1940</v>
      </c>
      <c r="V29" s="83" t="s">
        <v>1941</v>
      </c>
      <c r="W29" s="83" t="s">
        <v>1942</v>
      </c>
    </row>
    <row r="30" customFormat="false" ht="15" hidden="false" customHeight="false" outlineLevel="0" collapsed="false">
      <c r="K30" s="83" t="s">
        <v>1943</v>
      </c>
      <c r="L30" s="83" t="s">
        <v>1944</v>
      </c>
      <c r="M30" s="83" t="s">
        <v>1945</v>
      </c>
      <c r="N30" s="83" t="s">
        <v>1946</v>
      </c>
      <c r="O30" s="83" t="s">
        <v>1947</v>
      </c>
      <c r="P30" s="83" t="s">
        <v>1948</v>
      </c>
      <c r="Q30" s="83" t="s">
        <v>1947</v>
      </c>
      <c r="R30" s="83" t="s">
        <v>1949</v>
      </c>
      <c r="S30" s="83" t="s">
        <v>1950</v>
      </c>
      <c r="T30" s="83" t="s">
        <v>1951</v>
      </c>
      <c r="V30" s="83" t="s">
        <v>1952</v>
      </c>
      <c r="W30" s="83" t="s">
        <v>1953</v>
      </c>
    </row>
    <row r="31" customFormat="false" ht="15" hidden="false" customHeight="false" outlineLevel="0" collapsed="false">
      <c r="K31" s="83" t="s">
        <v>1954</v>
      </c>
      <c r="L31" s="83" t="s">
        <v>1955</v>
      </c>
      <c r="M31" s="83" t="s">
        <v>1956</v>
      </c>
      <c r="N31" s="83" t="s">
        <v>1957</v>
      </c>
      <c r="O31" s="83" t="s">
        <v>1958</v>
      </c>
      <c r="P31" s="83" t="s">
        <v>1959</v>
      </c>
      <c r="Q31" s="83" t="s">
        <v>1958</v>
      </c>
      <c r="R31" s="83" t="s">
        <v>1960</v>
      </c>
      <c r="S31" s="83" t="s">
        <v>1961</v>
      </c>
      <c r="T31" s="83" t="s">
        <v>1962</v>
      </c>
      <c r="V31" s="83" t="s">
        <v>1963</v>
      </c>
      <c r="W31" s="83" t="s">
        <v>1964</v>
      </c>
    </row>
    <row r="32" customFormat="false" ht="15" hidden="false" customHeight="false" outlineLevel="0" collapsed="false">
      <c r="K32" s="83" t="s">
        <v>1965</v>
      </c>
      <c r="L32" s="83" t="s">
        <v>1966</v>
      </c>
      <c r="M32" s="83" t="s">
        <v>1967</v>
      </c>
      <c r="N32" s="83" t="s">
        <v>1968</v>
      </c>
      <c r="O32" s="83" t="s">
        <v>1969</v>
      </c>
      <c r="P32" s="83" t="s">
        <v>1970</v>
      </c>
      <c r="Q32" s="83" t="s">
        <v>1969</v>
      </c>
      <c r="R32" s="83" t="s">
        <v>1971</v>
      </c>
      <c r="S32" s="83" t="s">
        <v>1972</v>
      </c>
      <c r="T32" s="83" t="s">
        <v>1973</v>
      </c>
      <c r="V32" s="83" t="s">
        <v>1974</v>
      </c>
      <c r="W32" s="83" t="s">
        <v>1975</v>
      </c>
    </row>
    <row r="33" customFormat="false" ht="15" hidden="false" customHeight="false" outlineLevel="0" collapsed="false">
      <c r="K33" s="83" t="s">
        <v>1976</v>
      </c>
      <c r="L33" s="83" t="s">
        <v>1977</v>
      </c>
      <c r="M33" s="83" t="s">
        <v>1978</v>
      </c>
      <c r="N33" s="83" t="s">
        <v>1650</v>
      </c>
      <c r="O33" s="83" t="s">
        <v>1979</v>
      </c>
      <c r="P33" s="83" t="s">
        <v>1980</v>
      </c>
      <c r="Q33" s="83" t="s">
        <v>1979</v>
      </c>
      <c r="R33" s="83" t="s">
        <v>1981</v>
      </c>
      <c r="S33" s="83" t="s">
        <v>1982</v>
      </c>
      <c r="T33" s="83" t="s">
        <v>1983</v>
      </c>
      <c r="V33" s="83" t="s">
        <v>1984</v>
      </c>
      <c r="W33" s="83" t="s">
        <v>1985</v>
      </c>
    </row>
    <row r="34" customFormat="false" ht="15" hidden="false" customHeight="false" outlineLevel="0" collapsed="false">
      <c r="K34" s="83" t="s">
        <v>1986</v>
      </c>
      <c r="M34" s="83" t="s">
        <v>1987</v>
      </c>
      <c r="N34" s="83" t="s">
        <v>1988</v>
      </c>
      <c r="P34" s="83" t="s">
        <v>1989</v>
      </c>
      <c r="Q34" s="83" t="s">
        <v>1990</v>
      </c>
      <c r="R34" s="83" t="s">
        <v>1991</v>
      </c>
      <c r="S34" s="83" t="s">
        <v>1992</v>
      </c>
      <c r="T34" s="83" t="s">
        <v>1993</v>
      </c>
      <c r="V34" s="83" t="s">
        <v>1994</v>
      </c>
      <c r="W34" s="83" t="s">
        <v>1995</v>
      </c>
    </row>
    <row r="35" customFormat="false" ht="15" hidden="false" customHeight="false" outlineLevel="0" collapsed="false">
      <c r="K35" s="83" t="s">
        <v>1996</v>
      </c>
      <c r="M35" s="83" t="s">
        <v>1807</v>
      </c>
      <c r="N35" s="83" t="s">
        <v>1664</v>
      </c>
      <c r="P35" s="83" t="s">
        <v>1997</v>
      </c>
      <c r="Q35" s="83" t="s">
        <v>1998</v>
      </c>
      <c r="R35" s="83" t="s">
        <v>1732</v>
      </c>
      <c r="T35" s="83" t="s">
        <v>1999</v>
      </c>
      <c r="V35" s="83" t="s">
        <v>2000</v>
      </c>
      <c r="W35" s="83" t="s">
        <v>1658</v>
      </c>
    </row>
    <row r="36" customFormat="false" ht="15" hidden="false" customHeight="false" outlineLevel="0" collapsed="false">
      <c r="K36" s="83" t="s">
        <v>2001</v>
      </c>
      <c r="M36" s="83" t="s">
        <v>1804</v>
      </c>
      <c r="N36" s="83" t="s">
        <v>2002</v>
      </c>
      <c r="P36" s="83" t="s">
        <v>2003</v>
      </c>
      <c r="Q36" s="83" t="s">
        <v>2004</v>
      </c>
      <c r="R36" s="83" t="s">
        <v>1749</v>
      </c>
      <c r="T36" s="83" t="s">
        <v>2005</v>
      </c>
      <c r="V36" s="83" t="s">
        <v>2006</v>
      </c>
      <c r="W36" s="83" t="s">
        <v>2007</v>
      </c>
    </row>
    <row r="37" customFormat="false" ht="15" hidden="false" customHeight="false" outlineLevel="0" collapsed="false">
      <c r="K37" s="83" t="s">
        <v>2008</v>
      </c>
      <c r="M37" s="83" t="s">
        <v>2009</v>
      </c>
      <c r="N37" s="83" t="s">
        <v>2010</v>
      </c>
      <c r="P37" s="83" t="s">
        <v>2011</v>
      </c>
      <c r="Q37" s="83" t="s">
        <v>2012</v>
      </c>
      <c r="T37" s="83" t="s">
        <v>2013</v>
      </c>
      <c r="V37" s="83" t="s">
        <v>2014</v>
      </c>
      <c r="W37" s="83" t="s">
        <v>2015</v>
      </c>
    </row>
    <row r="38" customFormat="false" ht="15" hidden="false" customHeight="false" outlineLevel="0" collapsed="false">
      <c r="K38" s="83" t="s">
        <v>2016</v>
      </c>
      <c r="M38" s="83" t="s">
        <v>2017</v>
      </c>
      <c r="N38" s="83" t="s">
        <v>2018</v>
      </c>
      <c r="P38" s="83" t="s">
        <v>2019</v>
      </c>
      <c r="Q38" s="83" t="s">
        <v>2020</v>
      </c>
      <c r="T38" s="83" t="s">
        <v>2021</v>
      </c>
      <c r="V38" s="83" t="s">
        <v>2022</v>
      </c>
      <c r="W38" s="83" t="s">
        <v>2023</v>
      </c>
    </row>
    <row r="39" customFormat="false" ht="15" hidden="false" customHeight="false" outlineLevel="0" collapsed="false">
      <c r="K39" s="83" t="s">
        <v>1752</v>
      </c>
      <c r="M39" s="83" t="s">
        <v>2024</v>
      </c>
      <c r="N39" s="83" t="s">
        <v>1678</v>
      </c>
      <c r="P39" s="83" t="s">
        <v>2025</v>
      </c>
      <c r="Q39" s="83" t="s">
        <v>2026</v>
      </c>
      <c r="T39" s="83" t="s">
        <v>2027</v>
      </c>
      <c r="V39" s="83" t="s">
        <v>2028</v>
      </c>
      <c r="W39" s="83" t="s">
        <v>1766</v>
      </c>
    </row>
    <row r="40" customFormat="false" ht="15" hidden="false" customHeight="false" outlineLevel="0" collapsed="false">
      <c r="K40" s="83" t="s">
        <v>2029</v>
      </c>
      <c r="M40" s="83" t="s">
        <v>1636</v>
      </c>
      <c r="N40" s="83" t="s">
        <v>2030</v>
      </c>
      <c r="P40" s="83" t="s">
        <v>2031</v>
      </c>
      <c r="Q40" s="83" t="s">
        <v>2032</v>
      </c>
      <c r="T40" s="83" t="s">
        <v>2033</v>
      </c>
      <c r="V40" s="83" t="s">
        <v>2034</v>
      </c>
      <c r="W40" s="83" t="s">
        <v>1755</v>
      </c>
    </row>
    <row r="41" customFormat="false" ht="15" hidden="false" customHeight="false" outlineLevel="0" collapsed="false">
      <c r="K41" s="83" t="s">
        <v>1735</v>
      </c>
      <c r="M41" s="83" t="s">
        <v>1649</v>
      </c>
      <c r="N41" s="83" t="s">
        <v>2035</v>
      </c>
      <c r="P41" s="83" t="s">
        <v>2036</v>
      </c>
      <c r="Q41" s="83" t="s">
        <v>2037</v>
      </c>
      <c r="T41" s="83" t="s">
        <v>2038</v>
      </c>
      <c r="V41" s="83" t="s">
        <v>2039</v>
      </c>
      <c r="W41" s="83" t="s">
        <v>2040</v>
      </c>
    </row>
    <row r="42" customFormat="false" ht="15" hidden="false" customHeight="false" outlineLevel="0" collapsed="false">
      <c r="K42" s="83" t="s">
        <v>2041</v>
      </c>
      <c r="M42" s="83" t="s">
        <v>2042</v>
      </c>
      <c r="N42" s="83" t="s">
        <v>2043</v>
      </c>
      <c r="P42" s="83" t="s">
        <v>2044</v>
      </c>
      <c r="Q42" s="83" t="s">
        <v>2045</v>
      </c>
      <c r="T42" s="83" t="s">
        <v>2046</v>
      </c>
      <c r="V42" s="83" t="s">
        <v>2047</v>
      </c>
      <c r="W42" s="83" t="s">
        <v>2048</v>
      </c>
    </row>
    <row r="43" customFormat="false" ht="15" hidden="false" customHeight="false" outlineLevel="0" collapsed="false">
      <c r="K43" s="83" t="s">
        <v>2049</v>
      </c>
      <c r="M43" s="83" t="s">
        <v>2050</v>
      </c>
      <c r="N43" s="83" t="s">
        <v>2051</v>
      </c>
      <c r="P43" s="83" t="s">
        <v>2052</v>
      </c>
      <c r="Q43" s="83" t="s">
        <v>2053</v>
      </c>
      <c r="T43" s="83" t="s">
        <v>2054</v>
      </c>
      <c r="V43" s="83" t="s">
        <v>2055</v>
      </c>
      <c r="W43" s="83" t="s">
        <v>2056</v>
      </c>
    </row>
    <row r="44" customFormat="false" ht="15" hidden="false" customHeight="false" outlineLevel="0" collapsed="false">
      <c r="K44" s="83" t="s">
        <v>2057</v>
      </c>
      <c r="M44" s="83" t="s">
        <v>2058</v>
      </c>
      <c r="N44" s="83" t="s">
        <v>2059</v>
      </c>
      <c r="P44" s="83" t="s">
        <v>2060</v>
      </c>
      <c r="Q44" s="83" t="s">
        <v>2061</v>
      </c>
      <c r="T44" s="83" t="s">
        <v>2062</v>
      </c>
      <c r="V44" s="83" t="s">
        <v>2063</v>
      </c>
      <c r="W44" s="83" t="s">
        <v>2064</v>
      </c>
    </row>
    <row r="45" customFormat="false" ht="15" hidden="false" customHeight="false" outlineLevel="0" collapsed="false">
      <c r="K45" s="83" t="s">
        <v>2065</v>
      </c>
      <c r="M45" s="83" t="s">
        <v>2066</v>
      </c>
      <c r="N45" s="83" t="s">
        <v>2067</v>
      </c>
      <c r="P45" s="83" t="s">
        <v>2068</v>
      </c>
      <c r="Q45" s="83" t="s">
        <v>2069</v>
      </c>
      <c r="T45" s="83" t="s">
        <v>2070</v>
      </c>
      <c r="V45" s="83" t="s">
        <v>2071</v>
      </c>
      <c r="W45" s="83" t="s">
        <v>2072</v>
      </c>
    </row>
    <row r="46" customFormat="false" ht="15" hidden="false" customHeight="false" outlineLevel="0" collapsed="false">
      <c r="K46" s="83" t="s">
        <v>2073</v>
      </c>
      <c r="M46" s="83" t="s">
        <v>2074</v>
      </c>
      <c r="N46" s="83" t="s">
        <v>2075</v>
      </c>
      <c r="P46" s="83" t="s">
        <v>2076</v>
      </c>
      <c r="Q46" s="83" t="s">
        <v>2077</v>
      </c>
      <c r="T46" s="83" t="s">
        <v>2078</v>
      </c>
      <c r="V46" s="83" t="s">
        <v>2079</v>
      </c>
      <c r="W46" s="83" t="s">
        <v>2080</v>
      </c>
    </row>
    <row r="47" customFormat="false" ht="15" hidden="false" customHeight="false" outlineLevel="0" collapsed="false">
      <c r="K47" s="83" t="s">
        <v>2081</v>
      </c>
      <c r="M47" s="83" t="s">
        <v>2082</v>
      </c>
      <c r="N47" s="83" t="s">
        <v>2083</v>
      </c>
      <c r="P47" s="83" t="s">
        <v>2084</v>
      </c>
      <c r="Q47" s="83" t="s">
        <v>2085</v>
      </c>
      <c r="T47" s="83" t="s">
        <v>2086</v>
      </c>
      <c r="V47" s="83" t="s">
        <v>2087</v>
      </c>
      <c r="W47" s="83" t="s">
        <v>1823</v>
      </c>
    </row>
    <row r="48" customFormat="false" ht="15" hidden="false" customHeight="false" outlineLevel="0" collapsed="false">
      <c r="K48" s="83" t="s">
        <v>2088</v>
      </c>
      <c r="M48" s="83" t="s">
        <v>2089</v>
      </c>
      <c r="N48" s="83" t="s">
        <v>2090</v>
      </c>
      <c r="P48" s="83" t="s">
        <v>2091</v>
      </c>
      <c r="Q48" s="83" t="s">
        <v>2092</v>
      </c>
      <c r="T48" s="83" t="s">
        <v>2093</v>
      </c>
      <c r="V48" s="83" t="s">
        <v>2094</v>
      </c>
      <c r="W48" s="83" t="s">
        <v>1833</v>
      </c>
    </row>
    <row r="49" customFormat="false" ht="15" hidden="false" customHeight="false" outlineLevel="0" collapsed="false">
      <c r="K49" s="83" t="s">
        <v>2095</v>
      </c>
      <c r="M49" s="83" t="s">
        <v>2096</v>
      </c>
      <c r="N49" s="83" t="s">
        <v>2097</v>
      </c>
      <c r="P49" s="83" t="s">
        <v>2098</v>
      </c>
      <c r="Q49" s="83" t="s">
        <v>2099</v>
      </c>
      <c r="T49" s="83" t="s">
        <v>2100</v>
      </c>
      <c r="V49" s="83" t="s">
        <v>2101</v>
      </c>
      <c r="W49" s="83" t="s">
        <v>1845</v>
      </c>
    </row>
    <row r="50" customFormat="false" ht="15" hidden="false" customHeight="false" outlineLevel="0" collapsed="false">
      <c r="K50" s="83" t="s">
        <v>2102</v>
      </c>
      <c r="M50" s="83" t="s">
        <v>2103</v>
      </c>
      <c r="N50" s="83" t="s">
        <v>2104</v>
      </c>
      <c r="P50" s="83" t="s">
        <v>2105</v>
      </c>
      <c r="Q50" s="83" t="s">
        <v>2106</v>
      </c>
      <c r="T50" s="83" t="s">
        <v>2107</v>
      </c>
      <c r="V50" s="83" t="s">
        <v>2108</v>
      </c>
      <c r="W50" s="83" t="s">
        <v>2109</v>
      </c>
    </row>
    <row r="51" customFormat="false" ht="15" hidden="false" customHeight="false" outlineLevel="0" collapsed="false">
      <c r="K51" s="83" t="s">
        <v>2110</v>
      </c>
      <c r="M51" s="83" t="s">
        <v>2111</v>
      </c>
      <c r="N51" s="83" t="s">
        <v>2112</v>
      </c>
      <c r="P51" s="83" t="s">
        <v>2113</v>
      </c>
      <c r="Q51" s="83" t="s">
        <v>2114</v>
      </c>
      <c r="T51" s="83" t="s">
        <v>2115</v>
      </c>
      <c r="V51" s="83" t="s">
        <v>2116</v>
      </c>
      <c r="W51" s="83" t="s">
        <v>2117</v>
      </c>
    </row>
    <row r="52" customFormat="false" ht="15" hidden="false" customHeight="false" outlineLevel="0" collapsed="false">
      <c r="K52" s="83" t="s">
        <v>2118</v>
      </c>
      <c r="M52" s="83" t="s">
        <v>2119</v>
      </c>
      <c r="N52" s="83" t="s">
        <v>2120</v>
      </c>
      <c r="P52" s="83" t="s">
        <v>2121</v>
      </c>
      <c r="Q52" s="83" t="s">
        <v>2122</v>
      </c>
      <c r="T52" s="83" t="s">
        <v>2123</v>
      </c>
      <c r="V52" s="83" t="s">
        <v>2124</v>
      </c>
      <c r="W52" s="83" t="s">
        <v>2125</v>
      </c>
    </row>
    <row r="53" customFormat="false" ht="15" hidden="false" customHeight="false" outlineLevel="0" collapsed="false">
      <c r="K53" s="83" t="s">
        <v>2126</v>
      </c>
      <c r="M53" s="83" t="s">
        <v>2127</v>
      </c>
      <c r="N53" s="83" t="s">
        <v>2128</v>
      </c>
      <c r="P53" s="83" t="s">
        <v>2129</v>
      </c>
      <c r="Q53" s="83" t="s">
        <v>2130</v>
      </c>
      <c r="T53" s="83" t="s">
        <v>2131</v>
      </c>
      <c r="V53" s="83" t="s">
        <v>2132</v>
      </c>
      <c r="W53" s="83" t="s">
        <v>2133</v>
      </c>
    </row>
    <row r="54" customFormat="false" ht="15" hidden="false" customHeight="false" outlineLevel="0" collapsed="false">
      <c r="K54" s="83" t="s">
        <v>2134</v>
      </c>
      <c r="M54" s="83" t="s">
        <v>2135</v>
      </c>
      <c r="N54" s="83" t="s">
        <v>2136</v>
      </c>
      <c r="P54" s="83" t="s">
        <v>2137</v>
      </c>
      <c r="Q54" s="83" t="s">
        <v>2138</v>
      </c>
      <c r="T54" s="83" t="s">
        <v>2139</v>
      </c>
      <c r="V54" s="83" t="s">
        <v>2140</v>
      </c>
      <c r="W54" s="83" t="s">
        <v>2141</v>
      </c>
    </row>
    <row r="55" customFormat="false" ht="15" hidden="false" customHeight="false" outlineLevel="0" collapsed="false">
      <c r="K55" s="83" t="s">
        <v>2142</v>
      </c>
      <c r="M55" s="83" t="s">
        <v>2143</v>
      </c>
      <c r="N55" s="83" t="s">
        <v>2144</v>
      </c>
      <c r="P55" s="83" t="s">
        <v>2145</v>
      </c>
      <c r="Q55" s="83" t="s">
        <v>2146</v>
      </c>
      <c r="T55" s="83" t="s">
        <v>2147</v>
      </c>
      <c r="V55" s="83" t="s">
        <v>2148</v>
      </c>
      <c r="W55" s="83" t="s">
        <v>2149</v>
      </c>
    </row>
    <row r="56" customFormat="false" ht="15" hidden="false" customHeight="false" outlineLevel="0" collapsed="false">
      <c r="K56" s="83" t="s">
        <v>2150</v>
      </c>
      <c r="M56" s="83" t="s">
        <v>2151</v>
      </c>
      <c r="N56" s="83" t="s">
        <v>2152</v>
      </c>
      <c r="P56" s="83" t="s">
        <v>2153</v>
      </c>
      <c r="Q56" s="83" t="s">
        <v>2154</v>
      </c>
      <c r="T56" s="83" t="s">
        <v>2155</v>
      </c>
      <c r="V56" s="83" t="s">
        <v>2156</v>
      </c>
      <c r="W56" s="83" t="s">
        <v>2157</v>
      </c>
    </row>
    <row r="57" customFormat="false" ht="15" hidden="false" customHeight="false" outlineLevel="0" collapsed="false">
      <c r="K57" s="83" t="s">
        <v>2158</v>
      </c>
      <c r="M57" s="83" t="s">
        <v>2159</v>
      </c>
      <c r="N57" s="83" t="s">
        <v>2160</v>
      </c>
      <c r="P57" s="83" t="s">
        <v>2161</v>
      </c>
      <c r="Q57" s="83" t="s">
        <v>2162</v>
      </c>
      <c r="T57" s="83" t="s">
        <v>2163</v>
      </c>
      <c r="V57" s="83" t="s">
        <v>2164</v>
      </c>
      <c r="W57" s="83" t="s">
        <v>2165</v>
      </c>
    </row>
    <row r="58" customFormat="false" ht="15" hidden="false" customHeight="false" outlineLevel="0" collapsed="false">
      <c r="K58" s="83" t="s">
        <v>2166</v>
      </c>
      <c r="M58" s="83" t="s">
        <v>2167</v>
      </c>
      <c r="N58" s="83" t="s">
        <v>2168</v>
      </c>
      <c r="P58" s="83" t="s">
        <v>2169</v>
      </c>
      <c r="Q58" s="83" t="s">
        <v>2170</v>
      </c>
      <c r="T58" s="83" t="s">
        <v>2171</v>
      </c>
      <c r="V58" s="83" t="s">
        <v>2172</v>
      </c>
      <c r="W58" s="83" t="s">
        <v>2173</v>
      </c>
    </row>
    <row r="59" customFormat="false" ht="15" hidden="false" customHeight="false" outlineLevel="0" collapsed="false">
      <c r="K59" s="83" t="s">
        <v>2174</v>
      </c>
      <c r="M59" s="83" t="s">
        <v>2175</v>
      </c>
      <c r="N59" s="83" t="s">
        <v>2176</v>
      </c>
      <c r="P59" s="83" t="s">
        <v>2177</v>
      </c>
      <c r="Q59" s="83" t="s">
        <v>2178</v>
      </c>
      <c r="T59" s="83" t="s">
        <v>2179</v>
      </c>
      <c r="V59" s="83" t="s">
        <v>2180</v>
      </c>
      <c r="W59" s="83" t="s">
        <v>2095</v>
      </c>
    </row>
    <row r="60" customFormat="false" ht="15" hidden="false" customHeight="false" outlineLevel="0" collapsed="false">
      <c r="K60" s="83" t="s">
        <v>2181</v>
      </c>
      <c r="M60" s="83" t="s">
        <v>2182</v>
      </c>
      <c r="N60" s="83" t="s">
        <v>2183</v>
      </c>
      <c r="P60" s="83" t="s">
        <v>2184</v>
      </c>
      <c r="Q60" s="83" t="s">
        <v>2185</v>
      </c>
      <c r="T60" s="83" t="s">
        <v>2186</v>
      </c>
      <c r="V60" s="83" t="s">
        <v>2187</v>
      </c>
      <c r="W60" s="83" t="s">
        <v>2188</v>
      </c>
    </row>
    <row r="61" customFormat="false" ht="15" hidden="false" customHeight="false" outlineLevel="0" collapsed="false">
      <c r="K61" s="83" t="s">
        <v>2189</v>
      </c>
      <c r="M61" s="83" t="s">
        <v>2190</v>
      </c>
      <c r="N61" s="83" t="s">
        <v>2191</v>
      </c>
      <c r="P61" s="83" t="s">
        <v>2192</v>
      </c>
      <c r="Q61" s="83" t="s">
        <v>2193</v>
      </c>
      <c r="T61" s="83" t="s">
        <v>2194</v>
      </c>
      <c r="V61" s="83" t="s">
        <v>2195</v>
      </c>
    </row>
    <row r="62" customFormat="false" ht="15" hidden="false" customHeight="false" outlineLevel="0" collapsed="false">
      <c r="K62" s="83" t="s">
        <v>2196</v>
      </c>
      <c r="M62" s="83" t="s">
        <v>2197</v>
      </c>
      <c r="N62" s="83" t="s">
        <v>2198</v>
      </c>
      <c r="P62" s="83" t="s">
        <v>2199</v>
      </c>
      <c r="Q62" s="83" t="s">
        <v>2200</v>
      </c>
      <c r="T62" s="83" t="s">
        <v>2201</v>
      </c>
      <c r="V62" s="83" t="s">
        <v>2202</v>
      </c>
    </row>
    <row r="63" customFormat="false" ht="15" hidden="false" customHeight="false" outlineLevel="0" collapsed="false">
      <c r="K63" s="83" t="s">
        <v>2203</v>
      </c>
      <c r="M63" s="83" t="s">
        <v>2204</v>
      </c>
      <c r="N63" s="83" t="s">
        <v>2205</v>
      </c>
      <c r="P63" s="83" t="s">
        <v>2206</v>
      </c>
      <c r="Q63" s="83" t="s">
        <v>2207</v>
      </c>
      <c r="T63" s="83" t="s">
        <v>2208</v>
      </c>
      <c r="V63" s="83" t="s">
        <v>2209</v>
      </c>
    </row>
    <row r="64" customFormat="false" ht="15" hidden="false" customHeight="false" outlineLevel="0" collapsed="false">
      <c r="K64" s="83" t="s">
        <v>2210</v>
      </c>
      <c r="M64" s="83" t="s">
        <v>2211</v>
      </c>
      <c r="N64" s="83" t="s">
        <v>2212</v>
      </c>
      <c r="P64" s="83" t="s">
        <v>2213</v>
      </c>
      <c r="Q64" s="83" t="s">
        <v>2214</v>
      </c>
      <c r="T64" s="83" t="s">
        <v>2215</v>
      </c>
      <c r="V64" s="83" t="s">
        <v>2216</v>
      </c>
    </row>
    <row r="65" customFormat="false" ht="15" hidden="false" customHeight="false" outlineLevel="0" collapsed="false">
      <c r="K65" s="83" t="s">
        <v>2217</v>
      </c>
      <c r="M65" s="83" t="s">
        <v>2218</v>
      </c>
      <c r="N65" s="83" t="s">
        <v>2219</v>
      </c>
      <c r="P65" s="83" t="s">
        <v>2220</v>
      </c>
      <c r="T65" s="83" t="s">
        <v>2221</v>
      </c>
      <c r="V65" s="83" t="s">
        <v>2222</v>
      </c>
    </row>
    <row r="66" customFormat="false" ht="15" hidden="false" customHeight="false" outlineLevel="0" collapsed="false">
      <c r="K66" s="83" t="s">
        <v>1639</v>
      </c>
      <c r="M66" s="83" t="s">
        <v>2223</v>
      </c>
      <c r="N66" s="83" t="s">
        <v>2224</v>
      </c>
      <c r="P66" s="83" t="s">
        <v>2225</v>
      </c>
      <c r="T66" s="83" t="s">
        <v>2226</v>
      </c>
      <c r="V66" s="83" t="s">
        <v>2227</v>
      </c>
    </row>
    <row r="67" customFormat="false" ht="15" hidden="false" customHeight="false" outlineLevel="0" collapsed="false">
      <c r="K67" s="83" t="s">
        <v>1666</v>
      </c>
      <c r="M67" s="83" t="s">
        <v>2228</v>
      </c>
      <c r="N67" s="83" t="s">
        <v>2229</v>
      </c>
      <c r="P67" s="83" t="s">
        <v>2230</v>
      </c>
      <c r="T67" s="83" t="s">
        <v>2231</v>
      </c>
      <c r="V67" s="83" t="s">
        <v>2232</v>
      </c>
    </row>
    <row r="68" customFormat="false" ht="15" hidden="false" customHeight="false" outlineLevel="0" collapsed="false">
      <c r="K68" s="83" t="s">
        <v>1680</v>
      </c>
      <c r="M68" s="83" t="s">
        <v>2233</v>
      </c>
      <c r="N68" s="83" t="s">
        <v>2234</v>
      </c>
      <c r="P68" s="83" t="s">
        <v>2235</v>
      </c>
      <c r="T68" s="83" t="s">
        <v>2236</v>
      </c>
      <c r="V68" s="83" t="s">
        <v>2237</v>
      </c>
    </row>
    <row r="69" customFormat="false" ht="15" hidden="false" customHeight="false" outlineLevel="0" collapsed="false">
      <c r="K69" s="83" t="s">
        <v>2238</v>
      </c>
      <c r="M69" s="83" t="s">
        <v>2239</v>
      </c>
      <c r="N69" s="83" t="s">
        <v>2240</v>
      </c>
      <c r="P69" s="83" t="s">
        <v>2241</v>
      </c>
      <c r="T69" s="83" t="s">
        <v>2242</v>
      </c>
      <c r="V69" s="83" t="s">
        <v>2243</v>
      </c>
    </row>
    <row r="70" customFormat="false" ht="15" hidden="false" customHeight="false" outlineLevel="0" collapsed="false">
      <c r="K70" s="83" t="s">
        <v>1899</v>
      </c>
      <c r="M70" s="83" t="s">
        <v>2244</v>
      </c>
      <c r="N70" s="83" t="s">
        <v>2245</v>
      </c>
      <c r="P70" s="83" t="s">
        <v>2246</v>
      </c>
      <c r="T70" s="83" t="s">
        <v>2247</v>
      </c>
      <c r="V70" s="83" t="s">
        <v>2248</v>
      </c>
    </row>
    <row r="71" customFormat="false" ht="15" hidden="false" customHeight="false" outlineLevel="0" collapsed="false">
      <c r="K71" s="83" t="s">
        <v>1809</v>
      </c>
      <c r="M71" s="83" t="s">
        <v>2249</v>
      </c>
      <c r="N71" s="83" t="s">
        <v>2250</v>
      </c>
      <c r="P71" s="83" t="s">
        <v>2251</v>
      </c>
      <c r="T71" s="83" t="s">
        <v>2252</v>
      </c>
      <c r="V71" s="83" t="s">
        <v>2253</v>
      </c>
    </row>
    <row r="72" customFormat="false" ht="15" hidden="false" customHeight="false" outlineLevel="0" collapsed="false">
      <c r="K72" s="83" t="s">
        <v>1831</v>
      </c>
      <c r="M72" s="83" t="s">
        <v>2254</v>
      </c>
      <c r="N72" s="83" t="s">
        <v>2255</v>
      </c>
      <c r="P72" s="83" t="s">
        <v>2256</v>
      </c>
      <c r="V72" s="83" t="s">
        <v>2257</v>
      </c>
    </row>
    <row r="73" customFormat="false" ht="15" hidden="false" customHeight="false" outlineLevel="0" collapsed="false">
      <c r="K73" s="83" t="s">
        <v>1842</v>
      </c>
      <c r="M73" s="83" t="s">
        <v>2258</v>
      </c>
      <c r="N73" s="83" t="s">
        <v>2259</v>
      </c>
      <c r="P73" s="83" t="s">
        <v>2260</v>
      </c>
      <c r="V73" s="83" t="s">
        <v>2261</v>
      </c>
    </row>
    <row r="74" customFormat="false" ht="15" hidden="false" customHeight="false" outlineLevel="0" collapsed="false">
      <c r="K74" s="83" t="s">
        <v>1786</v>
      </c>
      <c r="M74" s="83" t="s">
        <v>2262</v>
      </c>
      <c r="N74" s="83" t="s">
        <v>2263</v>
      </c>
      <c r="P74" s="83" t="s">
        <v>2264</v>
      </c>
      <c r="V74" s="83" t="s">
        <v>2265</v>
      </c>
    </row>
    <row r="75" customFormat="false" ht="15" hidden="false" customHeight="false" outlineLevel="0" collapsed="false">
      <c r="K75" s="83" t="s">
        <v>1764</v>
      </c>
      <c r="M75" s="83" t="s">
        <v>2266</v>
      </c>
      <c r="N75" s="83" t="s">
        <v>2267</v>
      </c>
      <c r="P75" s="83" t="s">
        <v>2268</v>
      </c>
      <c r="V75" s="83" t="s">
        <v>2269</v>
      </c>
    </row>
    <row r="76" customFormat="false" ht="15" hidden="false" customHeight="false" outlineLevel="0" collapsed="false">
      <c r="K76" s="83" t="s">
        <v>1695</v>
      </c>
      <c r="M76" s="83" t="s">
        <v>2270</v>
      </c>
      <c r="N76" s="83" t="s">
        <v>2271</v>
      </c>
      <c r="P76" s="83" t="s">
        <v>2272</v>
      </c>
      <c r="V76" s="83" t="s">
        <v>2273</v>
      </c>
    </row>
    <row r="77" customFormat="false" ht="15" hidden="false" customHeight="false" outlineLevel="0" collapsed="false">
      <c r="K77" s="83" t="s">
        <v>1709</v>
      </c>
      <c r="M77" s="83" t="s">
        <v>2274</v>
      </c>
      <c r="N77" s="83" t="s">
        <v>2275</v>
      </c>
      <c r="P77" s="83" t="s">
        <v>2276</v>
      </c>
      <c r="V77" s="83" t="s">
        <v>2277</v>
      </c>
    </row>
    <row r="78" customFormat="false" ht="15" hidden="false" customHeight="false" outlineLevel="0" collapsed="false">
      <c r="K78" s="83" t="s">
        <v>1941</v>
      </c>
      <c r="M78" s="83" t="s">
        <v>2278</v>
      </c>
      <c r="N78" s="83" t="s">
        <v>2279</v>
      </c>
      <c r="P78" s="83" t="s">
        <v>2280</v>
      </c>
      <c r="V78" s="83" t="s">
        <v>1736</v>
      </c>
    </row>
    <row r="79" customFormat="false" ht="15" hidden="false" customHeight="false" outlineLevel="0" collapsed="false">
      <c r="K79" s="83" t="s">
        <v>1963</v>
      </c>
      <c r="M79" s="83" t="s">
        <v>2281</v>
      </c>
      <c r="N79" s="83" t="s">
        <v>2282</v>
      </c>
      <c r="P79" s="83" t="s">
        <v>2283</v>
      </c>
      <c r="V79" s="83" t="s">
        <v>2117</v>
      </c>
    </row>
    <row r="80" customFormat="false" ht="15" hidden="false" customHeight="false" outlineLevel="0" collapsed="false">
      <c r="K80" s="83" t="s">
        <v>2284</v>
      </c>
      <c r="M80" s="83" t="s">
        <v>2285</v>
      </c>
      <c r="N80" s="83" t="s">
        <v>2286</v>
      </c>
      <c r="P80" s="83" t="s">
        <v>2287</v>
      </c>
      <c r="V80" s="83" t="s">
        <v>2125</v>
      </c>
    </row>
    <row r="81" customFormat="false" ht="15" hidden="false" customHeight="false" outlineLevel="0" collapsed="false">
      <c r="K81" s="83" t="s">
        <v>2227</v>
      </c>
      <c r="M81" s="83" t="s">
        <v>2288</v>
      </c>
      <c r="N81" s="83" t="s">
        <v>2289</v>
      </c>
      <c r="P81" s="83" t="s">
        <v>2290</v>
      </c>
      <c r="V81" s="83" t="s">
        <v>1889</v>
      </c>
    </row>
    <row r="82" customFormat="false" ht="15" hidden="false" customHeight="false" outlineLevel="0" collapsed="false">
      <c r="K82" s="83" t="s">
        <v>2291</v>
      </c>
      <c r="M82" s="83" t="s">
        <v>2292</v>
      </c>
      <c r="N82" s="83" t="s">
        <v>2293</v>
      </c>
      <c r="P82" s="83" t="s">
        <v>2294</v>
      </c>
      <c r="V82" s="83" t="s">
        <v>2295</v>
      </c>
    </row>
    <row r="83" customFormat="false" ht="15" hidden="false" customHeight="false" outlineLevel="0" collapsed="false">
      <c r="K83" s="83" t="s">
        <v>1775</v>
      </c>
      <c r="M83" s="83" t="s">
        <v>2296</v>
      </c>
      <c r="N83" s="83" t="s">
        <v>2297</v>
      </c>
      <c r="P83" s="83" t="s">
        <v>2298</v>
      </c>
      <c r="V83" s="83" t="s">
        <v>2299</v>
      </c>
    </row>
    <row r="84" customFormat="false" ht="15" hidden="false" customHeight="false" outlineLevel="0" collapsed="false">
      <c r="K84" s="83" t="s">
        <v>2237</v>
      </c>
      <c r="M84" s="83" t="s">
        <v>2300</v>
      </c>
      <c r="N84" s="83" t="s">
        <v>2301</v>
      </c>
      <c r="P84" s="83" t="s">
        <v>2302</v>
      </c>
      <c r="V84" s="83" t="s">
        <v>2303</v>
      </c>
    </row>
    <row r="85" customFormat="false" ht="15" hidden="false" customHeight="false" outlineLevel="0" collapsed="false">
      <c r="K85" s="83" t="s">
        <v>2304</v>
      </c>
      <c r="M85" s="83" t="s">
        <v>2305</v>
      </c>
      <c r="N85" s="83" t="s">
        <v>2306</v>
      </c>
      <c r="P85" s="83" t="s">
        <v>2307</v>
      </c>
      <c r="V85" s="83" t="s">
        <v>2308</v>
      </c>
    </row>
    <row r="86" customFormat="false" ht="15" hidden="false" customHeight="false" outlineLevel="0" collapsed="false">
      <c r="K86" s="83" t="s">
        <v>2309</v>
      </c>
      <c r="M86" s="83" t="s">
        <v>2310</v>
      </c>
      <c r="N86" s="83" t="s">
        <v>2311</v>
      </c>
      <c r="P86" s="83" t="s">
        <v>2312</v>
      </c>
      <c r="V86" s="83" t="s">
        <v>2313</v>
      </c>
    </row>
    <row r="87" customFormat="false" ht="15" hidden="false" customHeight="false" outlineLevel="0" collapsed="false">
      <c r="K87" s="83" t="s">
        <v>2273</v>
      </c>
      <c r="M87" s="83" t="s">
        <v>2314</v>
      </c>
      <c r="N87" s="83" t="s">
        <v>2315</v>
      </c>
      <c r="P87" s="83" t="s">
        <v>2316</v>
      </c>
      <c r="V87" s="83" t="s">
        <v>2317</v>
      </c>
    </row>
    <row r="88" customFormat="false" ht="15" hidden="false" customHeight="false" outlineLevel="0" collapsed="false">
      <c r="K88" s="83" t="s">
        <v>2188</v>
      </c>
      <c r="M88" s="83" t="s">
        <v>2318</v>
      </c>
      <c r="N88" s="83" t="s">
        <v>2319</v>
      </c>
      <c r="P88" s="83" t="s">
        <v>2320</v>
      </c>
      <c r="V88" s="83" t="s">
        <v>2321</v>
      </c>
    </row>
    <row r="89" customFormat="false" ht="15" hidden="false" customHeight="false" outlineLevel="0" collapsed="false">
      <c r="K89" s="83" t="s">
        <v>2322</v>
      </c>
      <c r="M89" s="83" t="s">
        <v>2323</v>
      </c>
      <c r="N89" s="83" t="s">
        <v>2324</v>
      </c>
      <c r="P89" s="83" t="s">
        <v>2325</v>
      </c>
      <c r="V89" s="83" t="s">
        <v>2326</v>
      </c>
    </row>
    <row r="90" customFormat="false" ht="15" hidden="false" customHeight="false" outlineLevel="0" collapsed="false">
      <c r="K90" s="83" t="s">
        <v>2327</v>
      </c>
      <c r="M90" s="83" t="s">
        <v>2328</v>
      </c>
      <c r="N90" s="83" t="s">
        <v>2329</v>
      </c>
      <c r="P90" s="83" t="s">
        <v>2330</v>
      </c>
      <c r="V90" s="83" t="s">
        <v>2331</v>
      </c>
    </row>
    <row r="91" customFormat="false" ht="15" hidden="false" customHeight="false" outlineLevel="0" collapsed="false">
      <c r="K91" s="83" t="s">
        <v>1671</v>
      </c>
      <c r="M91" s="83" t="s">
        <v>2332</v>
      </c>
      <c r="N91" s="83" t="s">
        <v>2333</v>
      </c>
      <c r="P91" s="83" t="s">
        <v>2334</v>
      </c>
      <c r="V91" s="83" t="s">
        <v>2335</v>
      </c>
    </row>
    <row r="92" customFormat="false" ht="15" hidden="false" customHeight="false" outlineLevel="0" collapsed="false">
      <c r="K92" s="83" t="s">
        <v>2336</v>
      </c>
      <c r="M92" s="83" t="s">
        <v>2337</v>
      </c>
      <c r="N92" s="83" t="s">
        <v>2338</v>
      </c>
      <c r="P92" s="83" t="s">
        <v>2339</v>
      </c>
      <c r="V92" s="83" t="s">
        <v>2340</v>
      </c>
    </row>
    <row r="93" customFormat="false" ht="15" hidden="false" customHeight="false" outlineLevel="0" collapsed="false">
      <c r="K93" s="83" t="s">
        <v>2341</v>
      </c>
      <c r="M93" s="83" t="s">
        <v>2342</v>
      </c>
      <c r="N93" s="83" t="s">
        <v>2343</v>
      </c>
      <c r="P93" s="83" t="s">
        <v>2344</v>
      </c>
      <c r="V93" s="83" t="s">
        <v>2345</v>
      </c>
    </row>
    <row r="94" customFormat="false" ht="15" hidden="false" customHeight="false" outlineLevel="0" collapsed="false">
      <c r="K94" s="83" t="s">
        <v>2346</v>
      </c>
      <c r="M94" s="83" t="s">
        <v>2347</v>
      </c>
      <c r="N94" s="83" t="s">
        <v>2348</v>
      </c>
      <c r="P94" s="83" t="s">
        <v>2349</v>
      </c>
      <c r="V94" s="83" t="s">
        <v>2350</v>
      </c>
    </row>
    <row r="95" customFormat="false" ht="15" hidden="false" customHeight="false" outlineLevel="0" collapsed="false">
      <c r="K95" s="83" t="s">
        <v>2351</v>
      </c>
      <c r="M95" s="83" t="s">
        <v>2352</v>
      </c>
      <c r="N95" s="83" t="s">
        <v>2353</v>
      </c>
      <c r="P95" s="83" t="s">
        <v>2354</v>
      </c>
      <c r="V95" s="83" t="s">
        <v>2355</v>
      </c>
    </row>
    <row r="96" customFormat="false" ht="15" hidden="false" customHeight="false" outlineLevel="0" collapsed="false">
      <c r="K96" s="83" t="s">
        <v>2088</v>
      </c>
      <c r="M96" s="83" t="s">
        <v>2356</v>
      </c>
      <c r="N96" s="83" t="s">
        <v>2357</v>
      </c>
      <c r="P96" s="83" t="s">
        <v>2358</v>
      </c>
      <c r="V96" s="83" t="s">
        <v>2359</v>
      </c>
    </row>
    <row r="97" customFormat="false" ht="15" hidden="false" customHeight="false" outlineLevel="0" collapsed="false">
      <c r="M97" s="83" t="s">
        <v>2360</v>
      </c>
      <c r="N97" s="83" t="s">
        <v>2361</v>
      </c>
      <c r="P97" s="83" t="s">
        <v>2362</v>
      </c>
      <c r="V97" s="83" t="s">
        <v>2363</v>
      </c>
    </row>
    <row r="98" customFormat="false" ht="15" hidden="false" customHeight="false" outlineLevel="0" collapsed="false">
      <c r="M98" s="83" t="s">
        <v>2364</v>
      </c>
      <c r="N98" s="83" t="s">
        <v>2365</v>
      </c>
      <c r="P98" s="83" t="s">
        <v>2366</v>
      </c>
      <c r="V98" s="83" t="s">
        <v>2367</v>
      </c>
    </row>
    <row r="99" customFormat="false" ht="15" hidden="false" customHeight="false" outlineLevel="0" collapsed="false">
      <c r="M99" s="83" t="s">
        <v>2368</v>
      </c>
      <c r="N99" s="83" t="s">
        <v>2369</v>
      </c>
      <c r="P99" s="83" t="s">
        <v>2370</v>
      </c>
      <c r="V99" s="83" t="s">
        <v>2371</v>
      </c>
    </row>
    <row r="100" customFormat="false" ht="15" hidden="false" customHeight="false" outlineLevel="0" collapsed="false">
      <c r="M100" s="83" t="s">
        <v>2372</v>
      </c>
      <c r="N100" s="83" t="s">
        <v>2373</v>
      </c>
      <c r="P100" s="83" t="s">
        <v>2374</v>
      </c>
      <c r="V100" s="83" t="s">
        <v>1753</v>
      </c>
    </row>
    <row r="101" customFormat="false" ht="15" hidden="false" customHeight="false" outlineLevel="0" collapsed="false">
      <c r="M101" s="83" t="s">
        <v>2375</v>
      </c>
      <c r="N101" s="83" t="s">
        <v>2376</v>
      </c>
      <c r="P101" s="83" t="s">
        <v>2377</v>
      </c>
      <c r="V101" s="83" t="s">
        <v>2378</v>
      </c>
    </row>
    <row r="102" customFormat="false" ht="15" hidden="false" customHeight="false" outlineLevel="0" collapsed="false">
      <c r="M102" s="83" t="s">
        <v>2379</v>
      </c>
      <c r="N102" s="83" t="s">
        <v>2380</v>
      </c>
      <c r="P102" s="83" t="s">
        <v>2381</v>
      </c>
      <c r="V102" s="83" t="s">
        <v>2382</v>
      </c>
    </row>
    <row r="103" customFormat="false" ht="15" hidden="false" customHeight="false" outlineLevel="0" collapsed="false">
      <c r="M103" s="83" t="s">
        <v>2383</v>
      </c>
      <c r="N103" s="83" t="s">
        <v>2384</v>
      </c>
      <c r="P103" s="83" t="s">
        <v>2385</v>
      </c>
      <c r="V103" s="83" t="s">
        <v>2386</v>
      </c>
    </row>
    <row r="104" customFormat="false" ht="15" hidden="false" customHeight="false" outlineLevel="0" collapsed="false">
      <c r="M104" s="83" t="s">
        <v>2387</v>
      </c>
      <c r="N104" s="83" t="s">
        <v>2388</v>
      </c>
      <c r="P104" s="83" t="s">
        <v>2389</v>
      </c>
      <c r="V104" s="83" t="s">
        <v>2390</v>
      </c>
    </row>
    <row r="105" customFormat="false" ht="15" hidden="false" customHeight="false" outlineLevel="0" collapsed="false">
      <c r="M105" s="83" t="s">
        <v>2391</v>
      </c>
      <c r="N105" s="83" t="s">
        <v>2392</v>
      </c>
      <c r="P105" s="83" t="s">
        <v>2393</v>
      </c>
      <c r="V105" s="83" t="s">
        <v>2394</v>
      </c>
    </row>
    <row r="106" customFormat="false" ht="15" hidden="false" customHeight="false" outlineLevel="0" collapsed="false">
      <c r="M106" s="83" t="s">
        <v>2395</v>
      </c>
      <c r="N106" s="83" t="s">
        <v>2396</v>
      </c>
      <c r="P106" s="83" t="s">
        <v>2397</v>
      </c>
      <c r="V106" s="83" t="s">
        <v>2398</v>
      </c>
    </row>
    <row r="107" customFormat="false" ht="15" hidden="false" customHeight="false" outlineLevel="0" collapsed="false">
      <c r="M107" s="83" t="s">
        <v>2399</v>
      </c>
      <c r="N107" s="83" t="s">
        <v>2400</v>
      </c>
      <c r="P107" s="83" t="s">
        <v>2401</v>
      </c>
      <c r="V107" s="83" t="s">
        <v>2402</v>
      </c>
    </row>
    <row r="108" customFormat="false" ht="15" hidden="false" customHeight="false" outlineLevel="0" collapsed="false">
      <c r="M108" s="83" t="s">
        <v>2403</v>
      </c>
      <c r="N108" s="83" t="s">
        <v>2404</v>
      </c>
      <c r="P108" s="83" t="s">
        <v>2405</v>
      </c>
      <c r="V108" s="83" t="s">
        <v>2406</v>
      </c>
    </row>
    <row r="109" customFormat="false" ht="15" hidden="false" customHeight="false" outlineLevel="0" collapsed="false">
      <c r="M109" s="83" t="s">
        <v>2407</v>
      </c>
      <c r="N109" s="83" t="s">
        <v>2408</v>
      </c>
      <c r="P109" s="83" t="s">
        <v>2409</v>
      </c>
      <c r="V109" s="83" t="s">
        <v>2410</v>
      </c>
    </row>
    <row r="110" customFormat="false" ht="15" hidden="false" customHeight="false" outlineLevel="0" collapsed="false">
      <c r="M110" s="83" t="s">
        <v>2411</v>
      </c>
      <c r="N110" s="83" t="s">
        <v>2412</v>
      </c>
      <c r="P110" s="83" t="s">
        <v>2413</v>
      </c>
      <c r="V110" s="83" t="s">
        <v>2414</v>
      </c>
    </row>
    <row r="111" customFormat="false" ht="15" hidden="false" customHeight="false" outlineLevel="0" collapsed="false">
      <c r="M111" s="83" t="s">
        <v>2415</v>
      </c>
      <c r="N111" s="83" t="s">
        <v>2416</v>
      </c>
      <c r="P111" s="83" t="s">
        <v>2417</v>
      </c>
      <c r="V111" s="83" t="s">
        <v>2418</v>
      </c>
    </row>
    <row r="112" customFormat="false" ht="15" hidden="false" customHeight="false" outlineLevel="0" collapsed="false">
      <c r="M112" s="83" t="s">
        <v>2419</v>
      </c>
      <c r="N112" s="83" t="s">
        <v>2420</v>
      </c>
      <c r="P112" s="83" t="s">
        <v>2421</v>
      </c>
      <c r="V112" s="83" t="s">
        <v>2422</v>
      </c>
    </row>
    <row r="113" customFormat="false" ht="15" hidden="false" customHeight="false" outlineLevel="0" collapsed="false">
      <c r="M113" s="83" t="s">
        <v>2423</v>
      </c>
      <c r="N113" s="83" t="s">
        <v>2424</v>
      </c>
      <c r="P113" s="83" t="s">
        <v>2425</v>
      </c>
      <c r="V113" s="83" t="s">
        <v>2426</v>
      </c>
    </row>
    <row r="114" customFormat="false" ht="15" hidden="false" customHeight="false" outlineLevel="0" collapsed="false">
      <c r="M114" s="83" t="s">
        <v>2427</v>
      </c>
      <c r="N114" s="83" t="s">
        <v>2428</v>
      </c>
      <c r="P114" s="83" t="s">
        <v>2429</v>
      </c>
      <c r="V114" s="83" t="s">
        <v>2430</v>
      </c>
    </row>
    <row r="115" customFormat="false" ht="15" hidden="false" customHeight="false" outlineLevel="0" collapsed="false">
      <c r="M115" s="83" t="s">
        <v>2431</v>
      </c>
      <c r="N115" s="83" t="s">
        <v>2432</v>
      </c>
      <c r="P115" s="83" t="s">
        <v>2433</v>
      </c>
      <c r="V115" s="83" t="s">
        <v>2434</v>
      </c>
    </row>
    <row r="116" customFormat="false" ht="15" hidden="false" customHeight="false" outlineLevel="0" collapsed="false">
      <c r="M116" s="83" t="s">
        <v>2435</v>
      </c>
      <c r="N116" s="83" t="s">
        <v>2436</v>
      </c>
      <c r="P116" s="83" t="s">
        <v>2437</v>
      </c>
      <c r="V116" s="83" t="s">
        <v>2438</v>
      </c>
    </row>
    <row r="117" customFormat="false" ht="15" hidden="false" customHeight="false" outlineLevel="0" collapsed="false">
      <c r="M117" s="83" t="s">
        <v>2439</v>
      </c>
      <c r="N117" s="83" t="s">
        <v>2440</v>
      </c>
      <c r="P117" s="83" t="s">
        <v>2441</v>
      </c>
      <c r="V117" s="83" t="s">
        <v>2442</v>
      </c>
    </row>
    <row r="118" customFormat="false" ht="15" hidden="false" customHeight="false" outlineLevel="0" collapsed="false">
      <c r="M118" s="83" t="s">
        <v>2443</v>
      </c>
      <c r="N118" s="83" t="s">
        <v>2444</v>
      </c>
      <c r="P118" s="83" t="s">
        <v>2445</v>
      </c>
      <c r="V118" s="83" t="s">
        <v>2446</v>
      </c>
    </row>
    <row r="119" customFormat="false" ht="15" hidden="false" customHeight="false" outlineLevel="0" collapsed="false">
      <c r="M119" s="83" t="s">
        <v>2447</v>
      </c>
      <c r="N119" s="83" t="s">
        <v>2448</v>
      </c>
      <c r="P119" s="83" t="s">
        <v>2449</v>
      </c>
      <c r="V119" s="83" t="s">
        <v>2450</v>
      </c>
    </row>
    <row r="120" customFormat="false" ht="15" hidden="false" customHeight="false" outlineLevel="0" collapsed="false">
      <c r="M120" s="83" t="s">
        <v>2451</v>
      </c>
      <c r="N120" s="83" t="s">
        <v>2452</v>
      </c>
      <c r="P120" s="83" t="s">
        <v>2453</v>
      </c>
      <c r="V120" s="83" t="s">
        <v>2454</v>
      </c>
    </row>
    <row r="121" customFormat="false" ht="15" hidden="false" customHeight="false" outlineLevel="0" collapsed="false">
      <c r="M121" s="83" t="s">
        <v>2455</v>
      </c>
      <c r="N121" s="83" t="s">
        <v>2456</v>
      </c>
      <c r="P121" s="83" t="s">
        <v>2457</v>
      </c>
      <c r="V121" s="83" t="s">
        <v>2458</v>
      </c>
    </row>
    <row r="122" customFormat="false" ht="15" hidden="false" customHeight="false" outlineLevel="0" collapsed="false">
      <c r="M122" s="83" t="s">
        <v>2459</v>
      </c>
      <c r="N122" s="83" t="s">
        <v>2460</v>
      </c>
      <c r="P122" s="83" t="s">
        <v>2461</v>
      </c>
      <c r="V122" s="83" t="s">
        <v>2462</v>
      </c>
    </row>
    <row r="123" customFormat="false" ht="15" hidden="false" customHeight="false" outlineLevel="0" collapsed="false">
      <c r="M123" s="83" t="s">
        <v>2463</v>
      </c>
      <c r="N123" s="83" t="s">
        <v>2464</v>
      </c>
      <c r="P123" s="83" t="s">
        <v>2465</v>
      </c>
      <c r="V123" s="83" t="s">
        <v>2466</v>
      </c>
    </row>
    <row r="124" customFormat="false" ht="15" hidden="false" customHeight="false" outlineLevel="0" collapsed="false">
      <c r="M124" s="83" t="s">
        <v>2467</v>
      </c>
      <c r="N124" s="83" t="s">
        <v>2468</v>
      </c>
      <c r="P124" s="83" t="s">
        <v>2469</v>
      </c>
      <c r="V124" s="83" t="s">
        <v>2470</v>
      </c>
    </row>
    <row r="125" customFormat="false" ht="15" hidden="false" customHeight="false" outlineLevel="0" collapsed="false">
      <c r="N125" s="83" t="s">
        <v>2471</v>
      </c>
      <c r="P125" s="83" t="s">
        <v>2472</v>
      </c>
      <c r="V125" s="83" t="s">
        <v>2473</v>
      </c>
    </row>
    <row r="126" customFormat="false" ht="15" hidden="false" customHeight="false" outlineLevel="0" collapsed="false">
      <c r="N126" s="83" t="s">
        <v>2474</v>
      </c>
      <c r="P126" s="83" t="s">
        <v>2475</v>
      </c>
    </row>
    <row r="127" customFormat="false" ht="15" hidden="false" customHeight="false" outlineLevel="0" collapsed="false">
      <c r="N127" s="83" t="s">
        <v>2476</v>
      </c>
      <c r="P127" s="83" t="s">
        <v>2477</v>
      </c>
    </row>
    <row r="128" customFormat="false" ht="15" hidden="false" customHeight="false" outlineLevel="0" collapsed="false">
      <c r="N128" s="83" t="s">
        <v>2478</v>
      </c>
      <c r="P128" s="83" t="s">
        <v>2479</v>
      </c>
    </row>
    <row r="129" customFormat="false" ht="15" hidden="false" customHeight="false" outlineLevel="0" collapsed="false">
      <c r="N129" s="83" t="s">
        <v>2480</v>
      </c>
      <c r="P129" s="83" t="s">
        <v>2481</v>
      </c>
    </row>
    <row r="130" customFormat="false" ht="15" hidden="false" customHeight="false" outlineLevel="0" collapsed="false">
      <c r="N130" s="83" t="s">
        <v>2482</v>
      </c>
      <c r="P130" s="83" t="s">
        <v>2483</v>
      </c>
    </row>
    <row r="131" customFormat="false" ht="15" hidden="false" customHeight="false" outlineLevel="0" collapsed="false">
      <c r="N131" s="83" t="s">
        <v>2484</v>
      </c>
      <c r="P131" s="83" t="s">
        <v>2485</v>
      </c>
    </row>
    <row r="132" customFormat="false" ht="15" hidden="false" customHeight="false" outlineLevel="0" collapsed="false">
      <c r="N132" s="83" t="s">
        <v>2486</v>
      </c>
      <c r="P132" s="83" t="s">
        <v>2487</v>
      </c>
    </row>
    <row r="133" customFormat="false" ht="15" hidden="false" customHeight="false" outlineLevel="0" collapsed="false">
      <c r="N133" s="83" t="s">
        <v>2488</v>
      </c>
      <c r="P133" s="83" t="s">
        <v>2489</v>
      </c>
    </row>
    <row r="134" customFormat="false" ht="15" hidden="false" customHeight="false" outlineLevel="0" collapsed="false">
      <c r="N134" s="83" t="s">
        <v>2490</v>
      </c>
      <c r="P134" s="83" t="s">
        <v>2491</v>
      </c>
    </row>
    <row r="135" customFormat="false" ht="15" hidden="false" customHeight="false" outlineLevel="0" collapsed="false">
      <c r="N135" s="83" t="s">
        <v>2492</v>
      </c>
      <c r="P135" s="83" t="s">
        <v>2493</v>
      </c>
    </row>
    <row r="136" customFormat="false" ht="15" hidden="false" customHeight="false" outlineLevel="0" collapsed="false">
      <c r="N136" s="83" t="s">
        <v>2494</v>
      </c>
      <c r="P136" s="83" t="s">
        <v>2495</v>
      </c>
    </row>
    <row r="137" customFormat="false" ht="15" hidden="false" customHeight="false" outlineLevel="0" collapsed="false">
      <c r="N137" s="83" t="s">
        <v>2496</v>
      </c>
      <c r="P137" s="83" t="s">
        <v>2497</v>
      </c>
    </row>
    <row r="138" customFormat="false" ht="15" hidden="false" customHeight="false" outlineLevel="0" collapsed="false">
      <c r="N138" s="83" t="s">
        <v>2498</v>
      </c>
      <c r="P138" s="83" t="s">
        <v>2499</v>
      </c>
    </row>
    <row r="139" customFormat="false" ht="15" hidden="false" customHeight="false" outlineLevel="0" collapsed="false">
      <c r="N139" s="83" t="s">
        <v>2500</v>
      </c>
      <c r="P139" s="83" t="s">
        <v>2501</v>
      </c>
    </row>
    <row r="140" customFormat="false" ht="15" hidden="false" customHeight="false" outlineLevel="0" collapsed="false">
      <c r="N140" s="83" t="s">
        <v>2502</v>
      </c>
      <c r="P140" s="83" t="s">
        <v>2503</v>
      </c>
    </row>
    <row r="141" customFormat="false" ht="15" hidden="false" customHeight="false" outlineLevel="0" collapsed="false">
      <c r="N141" s="83" t="s">
        <v>2504</v>
      </c>
      <c r="P141" s="83" t="s">
        <v>2505</v>
      </c>
    </row>
    <row r="142" customFormat="false" ht="15" hidden="false" customHeight="false" outlineLevel="0" collapsed="false">
      <c r="N142" s="83" t="s">
        <v>2506</v>
      </c>
      <c r="P142" s="83" t="s">
        <v>2507</v>
      </c>
    </row>
    <row r="143" customFormat="false" ht="15" hidden="false" customHeight="false" outlineLevel="0" collapsed="false">
      <c r="N143" s="83" t="s">
        <v>2508</v>
      </c>
      <c r="P143" s="83" t="s">
        <v>2509</v>
      </c>
    </row>
    <row r="144" customFormat="false" ht="15" hidden="false" customHeight="false" outlineLevel="0" collapsed="false">
      <c r="N144" s="83" t="s">
        <v>2510</v>
      </c>
      <c r="P144" s="83" t="s">
        <v>2511</v>
      </c>
    </row>
    <row r="145" customFormat="false" ht="15" hidden="false" customHeight="false" outlineLevel="0" collapsed="false">
      <c r="N145" s="83" t="s">
        <v>2512</v>
      </c>
      <c r="P145" s="83" t="s">
        <v>2513</v>
      </c>
    </row>
    <row r="146" customFormat="false" ht="15" hidden="false" customHeight="false" outlineLevel="0" collapsed="false">
      <c r="N146" s="83" t="s">
        <v>2514</v>
      </c>
      <c r="P146" s="83" t="s">
        <v>2515</v>
      </c>
    </row>
    <row r="147" customFormat="false" ht="15" hidden="false" customHeight="false" outlineLevel="0" collapsed="false">
      <c r="N147" s="83" t="s">
        <v>2516</v>
      </c>
      <c r="P147" s="83" t="s">
        <v>2517</v>
      </c>
    </row>
    <row r="148" customFormat="false" ht="15" hidden="false" customHeight="false" outlineLevel="0" collapsed="false">
      <c r="N148" s="83" t="s">
        <v>2518</v>
      </c>
      <c r="P148" s="83" t="s">
        <v>2519</v>
      </c>
    </row>
    <row r="149" customFormat="false" ht="15" hidden="false" customHeight="false" outlineLevel="0" collapsed="false">
      <c r="N149" s="83" t="s">
        <v>2520</v>
      </c>
      <c r="P149" s="83" t="s">
        <v>2521</v>
      </c>
    </row>
    <row r="150" customFormat="false" ht="15" hidden="false" customHeight="false" outlineLevel="0" collapsed="false">
      <c r="N150" s="83" t="s">
        <v>2522</v>
      </c>
      <c r="P150" s="83" t="s">
        <v>2523</v>
      </c>
    </row>
    <row r="151" customFormat="false" ht="15" hidden="false" customHeight="false" outlineLevel="0" collapsed="false">
      <c r="N151" s="83" t="s">
        <v>2524</v>
      </c>
      <c r="P151" s="83" t="s">
        <v>2525</v>
      </c>
    </row>
    <row r="152" customFormat="false" ht="15" hidden="false" customHeight="false" outlineLevel="0" collapsed="false">
      <c r="N152" s="83" t="s">
        <v>2526</v>
      </c>
      <c r="P152" s="83" t="s">
        <v>2527</v>
      </c>
    </row>
    <row r="153" customFormat="false" ht="15" hidden="false" customHeight="false" outlineLevel="0" collapsed="false">
      <c r="N153" s="83" t="s">
        <v>2528</v>
      </c>
      <c r="P153" s="83" t="s">
        <v>2529</v>
      </c>
    </row>
    <row r="154" customFormat="false" ht="15" hidden="false" customHeight="false" outlineLevel="0" collapsed="false">
      <c r="N154" s="83" t="s">
        <v>2530</v>
      </c>
      <c r="P154" s="83" t="s">
        <v>2531</v>
      </c>
    </row>
    <row r="155" customFormat="false" ht="15" hidden="false" customHeight="false" outlineLevel="0" collapsed="false">
      <c r="N155" s="83" t="s">
        <v>2532</v>
      </c>
      <c r="P155" s="83" t="s">
        <v>2533</v>
      </c>
    </row>
    <row r="156" customFormat="false" ht="15" hidden="false" customHeight="false" outlineLevel="0" collapsed="false">
      <c r="N156" s="83" t="s">
        <v>2534</v>
      </c>
      <c r="P156" s="83" t="s">
        <v>2535</v>
      </c>
    </row>
    <row r="157" customFormat="false" ht="15" hidden="false" customHeight="false" outlineLevel="0" collapsed="false">
      <c r="N157" s="83" t="s">
        <v>2536</v>
      </c>
      <c r="P157" s="83" t="s">
        <v>2537</v>
      </c>
    </row>
    <row r="158" customFormat="false" ht="15" hidden="false" customHeight="false" outlineLevel="0" collapsed="false">
      <c r="N158" s="83" t="s">
        <v>2538</v>
      </c>
      <c r="P158" s="83" t="s">
        <v>2539</v>
      </c>
    </row>
    <row r="159" customFormat="false" ht="15" hidden="false" customHeight="false" outlineLevel="0" collapsed="false">
      <c r="N159" s="83" t="s">
        <v>2540</v>
      </c>
      <c r="P159" s="83" t="s">
        <v>2541</v>
      </c>
    </row>
    <row r="160" customFormat="false" ht="15" hidden="false" customHeight="false" outlineLevel="0" collapsed="false">
      <c r="N160" s="83" t="s">
        <v>2542</v>
      </c>
      <c r="P160" s="83" t="s">
        <v>2543</v>
      </c>
    </row>
    <row r="161" customFormat="false" ht="15" hidden="false" customHeight="false" outlineLevel="0" collapsed="false">
      <c r="N161" s="83" t="s">
        <v>2544</v>
      </c>
      <c r="P161" s="83" t="s">
        <v>2545</v>
      </c>
    </row>
    <row r="162" customFormat="false" ht="15" hidden="false" customHeight="false" outlineLevel="0" collapsed="false">
      <c r="N162" s="83" t="s">
        <v>2546</v>
      </c>
      <c r="P162" s="83" t="s">
        <v>2547</v>
      </c>
    </row>
    <row r="163" customFormat="false" ht="15" hidden="false" customHeight="false" outlineLevel="0" collapsed="false">
      <c r="N163" s="83" t="s">
        <v>2548</v>
      </c>
      <c r="P163" s="83" t="s">
        <v>2549</v>
      </c>
    </row>
    <row r="164" customFormat="false" ht="15" hidden="false" customHeight="false" outlineLevel="0" collapsed="false">
      <c r="N164" s="83" t="s">
        <v>2550</v>
      </c>
      <c r="P164" s="83" t="s">
        <v>2551</v>
      </c>
    </row>
    <row r="165" customFormat="false" ht="15" hidden="false" customHeight="false" outlineLevel="0" collapsed="false">
      <c r="N165" s="83" t="s">
        <v>2552</v>
      </c>
      <c r="P165" s="83" t="s">
        <v>2553</v>
      </c>
    </row>
    <row r="166" customFormat="false" ht="15" hidden="false" customHeight="false" outlineLevel="0" collapsed="false">
      <c r="N166" s="83" t="s">
        <v>2554</v>
      </c>
      <c r="P166" s="83" t="s">
        <v>2555</v>
      </c>
    </row>
    <row r="167" customFormat="false" ht="15" hidden="false" customHeight="false" outlineLevel="0" collapsed="false">
      <c r="N167" s="83" t="s">
        <v>2556</v>
      </c>
      <c r="P167" s="83" t="s">
        <v>2557</v>
      </c>
    </row>
    <row r="168" customFormat="false" ht="15" hidden="false" customHeight="false" outlineLevel="0" collapsed="false">
      <c r="N168" s="83" t="s">
        <v>2558</v>
      </c>
      <c r="P168" s="83" t="s">
        <v>2559</v>
      </c>
    </row>
    <row r="169" customFormat="false" ht="15" hidden="false" customHeight="false" outlineLevel="0" collapsed="false">
      <c r="N169" s="83" t="s">
        <v>2560</v>
      </c>
      <c r="P169" s="83" t="s">
        <v>2561</v>
      </c>
    </row>
    <row r="170" customFormat="false" ht="15" hidden="false" customHeight="false" outlineLevel="0" collapsed="false">
      <c r="N170" s="83" t="s">
        <v>2562</v>
      </c>
      <c r="P170" s="83" t="s">
        <v>2563</v>
      </c>
    </row>
    <row r="171" customFormat="false" ht="15" hidden="false" customHeight="false" outlineLevel="0" collapsed="false">
      <c r="N171" s="83" t="s">
        <v>2564</v>
      </c>
      <c r="P171" s="83" t="s">
        <v>2565</v>
      </c>
    </row>
    <row r="172" customFormat="false" ht="15" hidden="false" customHeight="false" outlineLevel="0" collapsed="false">
      <c r="N172" s="83" t="s">
        <v>2566</v>
      </c>
      <c r="P172" s="83" t="s">
        <v>2567</v>
      </c>
    </row>
    <row r="173" customFormat="false" ht="15" hidden="false" customHeight="false" outlineLevel="0" collapsed="false">
      <c r="N173" s="83" t="s">
        <v>2568</v>
      </c>
      <c r="P173" s="83" t="s">
        <v>2569</v>
      </c>
    </row>
    <row r="174" customFormat="false" ht="15" hidden="false" customHeight="false" outlineLevel="0" collapsed="false">
      <c r="N174" s="83" t="s">
        <v>2570</v>
      </c>
      <c r="P174" s="83" t="s">
        <v>2571</v>
      </c>
    </row>
    <row r="175" customFormat="false" ht="15" hidden="false" customHeight="false" outlineLevel="0" collapsed="false">
      <c r="N175" s="83" t="s">
        <v>2572</v>
      </c>
      <c r="P175" s="83" t="s">
        <v>2573</v>
      </c>
    </row>
    <row r="176" customFormat="false" ht="15" hidden="false" customHeight="false" outlineLevel="0" collapsed="false">
      <c r="N176" s="83" t="s">
        <v>2574</v>
      </c>
      <c r="P176" s="83" t="s">
        <v>2575</v>
      </c>
    </row>
    <row r="177" customFormat="false" ht="15" hidden="false" customHeight="false" outlineLevel="0" collapsed="false">
      <c r="N177" s="83" t="s">
        <v>2576</v>
      </c>
    </row>
    <row r="178" customFormat="false" ht="15" hidden="false" customHeight="false" outlineLevel="0" collapsed="false">
      <c r="N178" s="83" t="s">
        <v>2577</v>
      </c>
    </row>
    <row r="179" customFormat="false" ht="15" hidden="false" customHeight="false" outlineLevel="0" collapsed="false">
      <c r="N179" s="83" t="s">
        <v>2578</v>
      </c>
    </row>
    <row r="180" customFormat="false" ht="15" hidden="false" customHeight="false" outlineLevel="0" collapsed="false">
      <c r="N180" s="83" t="s">
        <v>2579</v>
      </c>
    </row>
    <row r="181" customFormat="false" ht="15" hidden="false" customHeight="false" outlineLevel="0" collapsed="false">
      <c r="N181" s="83" t="s">
        <v>2580</v>
      </c>
    </row>
    <row r="182" customFormat="false" ht="15" hidden="false" customHeight="false" outlineLevel="0" collapsed="false">
      <c r="N182" s="83" t="s">
        <v>2581</v>
      </c>
    </row>
    <row r="183" customFormat="false" ht="15" hidden="false" customHeight="false" outlineLevel="0" collapsed="false">
      <c r="N183" s="83" t="s">
        <v>2582</v>
      </c>
    </row>
    <row r="184" customFormat="false" ht="15" hidden="false" customHeight="false" outlineLevel="0" collapsed="false">
      <c r="N184" s="83" t="s">
        <v>2583</v>
      </c>
    </row>
    <row r="185" customFormat="false" ht="15" hidden="false" customHeight="false" outlineLevel="0" collapsed="false">
      <c r="N185" s="83" t="s">
        <v>2584</v>
      </c>
    </row>
    <row r="186" customFormat="false" ht="15" hidden="false" customHeight="false" outlineLevel="0" collapsed="false">
      <c r="N186" s="83" t="s">
        <v>2585</v>
      </c>
    </row>
    <row r="187" customFormat="false" ht="15" hidden="false" customHeight="false" outlineLevel="0" collapsed="false">
      <c r="N187" s="83" t="s">
        <v>2586</v>
      </c>
    </row>
    <row r="188" customFormat="false" ht="15" hidden="false" customHeight="false" outlineLevel="0" collapsed="false">
      <c r="N188" s="83" t="s">
        <v>2587</v>
      </c>
    </row>
    <row r="189" customFormat="false" ht="15" hidden="false" customHeight="false" outlineLevel="0" collapsed="false">
      <c r="N189" s="83" t="s">
        <v>2588</v>
      </c>
    </row>
    <row r="190" customFormat="false" ht="15" hidden="false" customHeight="false" outlineLevel="0" collapsed="false">
      <c r="N190" s="83" t="s">
        <v>2589</v>
      </c>
    </row>
    <row r="191" customFormat="false" ht="15" hidden="false" customHeight="false" outlineLevel="0" collapsed="false">
      <c r="N191" s="83" t="s">
        <v>2590</v>
      </c>
    </row>
    <row r="192" customFormat="false" ht="15" hidden="false" customHeight="false" outlineLevel="0" collapsed="false">
      <c r="N192" s="83" t="s">
        <v>2591</v>
      </c>
    </row>
    <row r="193" customFormat="false" ht="15" hidden="false" customHeight="false" outlineLevel="0" collapsed="false">
      <c r="N193" s="83" t="s">
        <v>2592</v>
      </c>
    </row>
    <row r="194" customFormat="false" ht="15" hidden="false" customHeight="false" outlineLevel="0" collapsed="false">
      <c r="N194" s="83" t="s">
        <v>2593</v>
      </c>
    </row>
    <row r="195" customFormat="false" ht="15" hidden="false" customHeight="false" outlineLevel="0" collapsed="false">
      <c r="N195" s="83" t="s">
        <v>2594</v>
      </c>
    </row>
    <row r="196" customFormat="false" ht="15" hidden="false" customHeight="false" outlineLevel="0" collapsed="false">
      <c r="N196" s="83" t="s">
        <v>2595</v>
      </c>
    </row>
    <row r="197" customFormat="false" ht="15" hidden="false" customHeight="false" outlineLevel="0" collapsed="false">
      <c r="N197" s="83" t="s">
        <v>2596</v>
      </c>
    </row>
    <row r="198" customFormat="false" ht="15" hidden="false" customHeight="false" outlineLevel="0" collapsed="false">
      <c r="N198" s="83" t="s">
        <v>2597</v>
      </c>
    </row>
    <row r="199" customFormat="false" ht="15" hidden="false" customHeight="false" outlineLevel="0" collapsed="false">
      <c r="N199" s="83" t="s">
        <v>2598</v>
      </c>
    </row>
    <row r="200" customFormat="false" ht="15" hidden="false" customHeight="false" outlineLevel="0" collapsed="false">
      <c r="N200" s="83" t="s">
        <v>2599</v>
      </c>
    </row>
    <row r="201" customFormat="false" ht="15" hidden="false" customHeight="false" outlineLevel="0" collapsed="false">
      <c r="N201" s="83" t="s">
        <v>2600</v>
      </c>
    </row>
    <row r="202" customFormat="false" ht="15" hidden="false" customHeight="false" outlineLevel="0" collapsed="false">
      <c r="N202" s="83" t="s">
        <v>2601</v>
      </c>
    </row>
    <row r="203" customFormat="false" ht="15" hidden="false" customHeight="false" outlineLevel="0" collapsed="false">
      <c r="N203" s="83" t="s">
        <v>2602</v>
      </c>
    </row>
    <row r="204" customFormat="false" ht="15" hidden="false" customHeight="false" outlineLevel="0" collapsed="false">
      <c r="N204" s="83" t="s">
        <v>2603</v>
      </c>
    </row>
    <row r="205" customFormat="false" ht="15" hidden="false" customHeight="false" outlineLevel="0" collapsed="false">
      <c r="N205" s="83" t="s">
        <v>2604</v>
      </c>
    </row>
    <row r="206" customFormat="false" ht="15" hidden="false" customHeight="false" outlineLevel="0" collapsed="false">
      <c r="N206" s="83" t="s">
        <v>2605</v>
      </c>
    </row>
    <row r="207" customFormat="false" ht="15" hidden="false" customHeight="false" outlineLevel="0" collapsed="false">
      <c r="N207" s="83" t="s">
        <v>2606</v>
      </c>
    </row>
    <row r="208" customFormat="false" ht="15" hidden="false" customHeight="false" outlineLevel="0" collapsed="false">
      <c r="N208" s="83" t="s">
        <v>2607</v>
      </c>
    </row>
    <row r="209" customFormat="false" ht="15" hidden="false" customHeight="false" outlineLevel="0" collapsed="false">
      <c r="N209" s="83" t="s">
        <v>2608</v>
      </c>
    </row>
    <row r="210" customFormat="false" ht="15" hidden="false" customHeight="false" outlineLevel="0" collapsed="false">
      <c r="N210" s="83" t="s">
        <v>2609</v>
      </c>
    </row>
    <row r="211" customFormat="false" ht="15" hidden="false" customHeight="false" outlineLevel="0" collapsed="false">
      <c r="N211" s="83" t="s">
        <v>2610</v>
      </c>
    </row>
    <row r="212" customFormat="false" ht="15" hidden="false" customHeight="false" outlineLevel="0" collapsed="false">
      <c r="N212" s="83" t="s">
        <v>2611</v>
      </c>
    </row>
    <row r="213" customFormat="false" ht="15" hidden="false" customHeight="false" outlineLevel="0" collapsed="false">
      <c r="N213" s="83" t="s">
        <v>2612</v>
      </c>
    </row>
    <row r="214" customFormat="false" ht="15" hidden="false" customHeight="false" outlineLevel="0" collapsed="false">
      <c r="N214" s="83" t="s">
        <v>2613</v>
      </c>
    </row>
    <row r="215" customFormat="false" ht="15" hidden="false" customHeight="false" outlineLevel="0" collapsed="false">
      <c r="N215" s="83" t="s">
        <v>2614</v>
      </c>
    </row>
    <row r="216" customFormat="false" ht="15" hidden="false" customHeight="false" outlineLevel="0" collapsed="false">
      <c r="N216" s="83" t="s">
        <v>2615</v>
      </c>
    </row>
    <row r="217" customFormat="false" ht="15" hidden="false" customHeight="false" outlineLevel="0" collapsed="false">
      <c r="N217" s="83" t="s">
        <v>2616</v>
      </c>
    </row>
    <row r="218" customFormat="false" ht="15" hidden="false" customHeight="false" outlineLevel="0" collapsed="false">
      <c r="N218" s="83" t="s">
        <v>2617</v>
      </c>
    </row>
    <row r="219" customFormat="false" ht="15" hidden="false" customHeight="false" outlineLevel="0" collapsed="false">
      <c r="N219" s="83" t="s">
        <v>2618</v>
      </c>
    </row>
    <row r="220" customFormat="false" ht="15" hidden="false" customHeight="false" outlineLevel="0" collapsed="false">
      <c r="N220" s="83" t="s">
        <v>2619</v>
      </c>
    </row>
    <row r="221" customFormat="false" ht="15" hidden="false" customHeight="false" outlineLevel="0" collapsed="false">
      <c r="N221" s="83" t="s">
        <v>2620</v>
      </c>
    </row>
    <row r="222" customFormat="false" ht="15" hidden="false" customHeight="false" outlineLevel="0" collapsed="false">
      <c r="N222" s="83" t="s">
        <v>2621</v>
      </c>
    </row>
    <row r="223" customFormat="false" ht="15" hidden="false" customHeight="false" outlineLevel="0" collapsed="false">
      <c r="N223" s="83" t="s">
        <v>2622</v>
      </c>
    </row>
    <row r="224" customFormat="false" ht="15" hidden="false" customHeight="false" outlineLevel="0" collapsed="false">
      <c r="N224" s="83" t="s">
        <v>2623</v>
      </c>
    </row>
    <row r="225" customFormat="false" ht="15" hidden="false" customHeight="false" outlineLevel="0" collapsed="false">
      <c r="N225" s="83" t="s">
        <v>2624</v>
      </c>
    </row>
    <row r="226" customFormat="false" ht="15" hidden="false" customHeight="false" outlineLevel="0" collapsed="false">
      <c r="N226" s="83" t="s">
        <v>2625</v>
      </c>
    </row>
    <row r="227" customFormat="false" ht="15" hidden="false" customHeight="false" outlineLevel="0" collapsed="false">
      <c r="N227" s="83" t="s">
        <v>2626</v>
      </c>
    </row>
    <row r="228" customFormat="false" ht="15" hidden="false" customHeight="false" outlineLevel="0" collapsed="false">
      <c r="N228" s="83" t="s">
        <v>2627</v>
      </c>
    </row>
    <row r="229" customFormat="false" ht="15" hidden="false" customHeight="false" outlineLevel="0" collapsed="false">
      <c r="N229" s="83" t="s">
        <v>2628</v>
      </c>
    </row>
    <row r="230" customFormat="false" ht="15" hidden="false" customHeight="false" outlineLevel="0" collapsed="false">
      <c r="N230" s="83" t="s">
        <v>2629</v>
      </c>
    </row>
    <row r="231" customFormat="false" ht="15" hidden="false" customHeight="false" outlineLevel="0" collapsed="false">
      <c r="N231" s="83" t="s">
        <v>2630</v>
      </c>
    </row>
    <row r="232" customFormat="false" ht="15" hidden="false" customHeight="false" outlineLevel="0" collapsed="false">
      <c r="N232" s="83" t="s">
        <v>2631</v>
      </c>
    </row>
    <row r="233" customFormat="false" ht="15" hidden="false" customHeight="false" outlineLevel="0" collapsed="false">
      <c r="N233" s="83" t="s">
        <v>2632</v>
      </c>
    </row>
    <row r="234" customFormat="false" ht="15" hidden="false" customHeight="false" outlineLevel="0" collapsed="false">
      <c r="N234" s="83" t="s">
        <v>2633</v>
      </c>
    </row>
    <row r="235" customFormat="false" ht="15" hidden="false" customHeight="false" outlineLevel="0" collapsed="false">
      <c r="N235" s="83" t="s">
        <v>2634</v>
      </c>
    </row>
    <row r="236" customFormat="false" ht="15" hidden="false" customHeight="false" outlineLevel="0" collapsed="false">
      <c r="N236" s="83" t="s">
        <v>2635</v>
      </c>
    </row>
    <row r="237" customFormat="false" ht="15" hidden="false" customHeight="false" outlineLevel="0" collapsed="false">
      <c r="N237" s="83" t="s">
        <v>2636</v>
      </c>
    </row>
    <row r="238" customFormat="false" ht="15" hidden="false" customHeight="false" outlineLevel="0" collapsed="false">
      <c r="N238" s="83" t="s">
        <v>2637</v>
      </c>
    </row>
    <row r="239" customFormat="false" ht="15" hidden="false" customHeight="false" outlineLevel="0" collapsed="false">
      <c r="N239" s="83" t="s">
        <v>2638</v>
      </c>
    </row>
    <row r="240" customFormat="false" ht="15" hidden="false" customHeight="false" outlineLevel="0" collapsed="false">
      <c r="N240" s="83" t="s">
        <v>2639</v>
      </c>
    </row>
    <row r="241" customFormat="false" ht="15" hidden="false" customHeight="false" outlineLevel="0" collapsed="false">
      <c r="N241" s="83" t="s">
        <v>2640</v>
      </c>
    </row>
    <row r="242" customFormat="false" ht="15" hidden="false" customHeight="false" outlineLevel="0" collapsed="false">
      <c r="N242" s="83" t="s">
        <v>2641</v>
      </c>
    </row>
    <row r="243" customFormat="false" ht="15" hidden="false" customHeight="false" outlineLevel="0" collapsed="false">
      <c r="N243" s="83" t="s">
        <v>2642</v>
      </c>
    </row>
    <row r="244" customFormat="false" ht="15" hidden="false" customHeight="false" outlineLevel="0" collapsed="false">
      <c r="N244" s="83" t="s">
        <v>2643</v>
      </c>
    </row>
    <row r="245" customFormat="false" ht="15" hidden="false" customHeight="false" outlineLevel="0" collapsed="false">
      <c r="N245" s="83" t="s">
        <v>2644</v>
      </c>
    </row>
    <row r="246" customFormat="false" ht="15" hidden="false" customHeight="false" outlineLevel="0" collapsed="false">
      <c r="N246" s="83" t="s">
        <v>2645</v>
      </c>
    </row>
    <row r="247" customFormat="false" ht="15" hidden="false" customHeight="false" outlineLevel="0" collapsed="false">
      <c r="N247" s="83" t="s">
        <v>2646</v>
      </c>
    </row>
    <row r="248" customFormat="false" ht="15" hidden="false" customHeight="false" outlineLevel="0" collapsed="false">
      <c r="N248" s="83" t="s">
        <v>2647</v>
      </c>
    </row>
    <row r="249" customFormat="false" ht="15" hidden="false" customHeight="false" outlineLevel="0" collapsed="false">
      <c r="N249" s="83" t="s">
        <v>2648</v>
      </c>
    </row>
    <row r="250" customFormat="false" ht="15" hidden="false" customHeight="false" outlineLevel="0" collapsed="false">
      <c r="N250" s="83" t="s">
        <v>2649</v>
      </c>
    </row>
    <row r="251" customFormat="false" ht="15" hidden="false" customHeight="false" outlineLevel="0" collapsed="false">
      <c r="N251" s="83" t="s">
        <v>2650</v>
      </c>
    </row>
    <row r="252" customFormat="false" ht="15" hidden="false" customHeight="false" outlineLevel="0" collapsed="false">
      <c r="N252" s="83" t="s">
        <v>2651</v>
      </c>
    </row>
    <row r="253" customFormat="false" ht="15" hidden="false" customHeight="false" outlineLevel="0" collapsed="false">
      <c r="N253" s="83" t="s">
        <v>2652</v>
      </c>
    </row>
    <row r="254" customFormat="false" ht="15" hidden="false" customHeight="false" outlineLevel="0" collapsed="false">
      <c r="N254" s="83" t="s">
        <v>2653</v>
      </c>
    </row>
    <row r="255" customFormat="false" ht="15" hidden="false" customHeight="false" outlineLevel="0" collapsed="false">
      <c r="N255" s="83" t="s">
        <v>2654</v>
      </c>
    </row>
    <row r="256" customFormat="false" ht="15" hidden="false" customHeight="false" outlineLevel="0" collapsed="false">
      <c r="N256" s="83" t="s">
        <v>2655</v>
      </c>
    </row>
    <row r="257" customFormat="false" ht="15" hidden="false" customHeight="false" outlineLevel="0" collapsed="false">
      <c r="N257" s="83" t="s">
        <v>2656</v>
      </c>
    </row>
    <row r="258" customFormat="false" ht="15" hidden="false" customHeight="false" outlineLevel="0" collapsed="false">
      <c r="N258" s="83" t="s">
        <v>2657</v>
      </c>
    </row>
    <row r="259" customFormat="false" ht="15" hidden="false" customHeight="false" outlineLevel="0" collapsed="false">
      <c r="N259" s="83" t="s">
        <v>2658</v>
      </c>
    </row>
    <row r="260" customFormat="false" ht="15" hidden="false" customHeight="false" outlineLevel="0" collapsed="false">
      <c r="N260" s="83" t="s">
        <v>2659</v>
      </c>
    </row>
    <row r="261" customFormat="false" ht="15" hidden="false" customHeight="false" outlineLevel="0" collapsed="false">
      <c r="N261" s="83" t="s">
        <v>2660</v>
      </c>
    </row>
    <row r="262" customFormat="false" ht="15" hidden="false" customHeight="false" outlineLevel="0" collapsed="false">
      <c r="N262" s="83" t="s">
        <v>2661</v>
      </c>
    </row>
    <row r="263" customFormat="false" ht="15" hidden="false" customHeight="false" outlineLevel="0" collapsed="false">
      <c r="N263" s="83" t="s">
        <v>2662</v>
      </c>
    </row>
    <row r="264" customFormat="false" ht="15" hidden="false" customHeight="false" outlineLevel="0" collapsed="false">
      <c r="N264" s="83" t="s">
        <v>2663</v>
      </c>
    </row>
    <row r="265" customFormat="false" ht="15" hidden="false" customHeight="false" outlineLevel="0" collapsed="false">
      <c r="N265" s="83" t="s">
        <v>2664</v>
      </c>
    </row>
    <row r="266" customFormat="false" ht="15" hidden="false" customHeight="false" outlineLevel="0" collapsed="false">
      <c r="N266" s="83" t="s">
        <v>2665</v>
      </c>
    </row>
    <row r="267" customFormat="false" ht="15" hidden="false" customHeight="false" outlineLevel="0" collapsed="false">
      <c r="N267" s="83" t="s">
        <v>2666</v>
      </c>
    </row>
    <row r="268" customFormat="false" ht="15" hidden="false" customHeight="false" outlineLevel="0" collapsed="false">
      <c r="N268" s="83" t="s">
        <v>2667</v>
      </c>
    </row>
    <row r="269" customFormat="false" ht="15" hidden="false" customHeight="false" outlineLevel="0" collapsed="false">
      <c r="N269" s="83" t="s">
        <v>2668</v>
      </c>
    </row>
    <row r="270" customFormat="false" ht="15" hidden="false" customHeight="false" outlineLevel="0" collapsed="false">
      <c r="N270" s="83" t="s">
        <v>2669</v>
      </c>
    </row>
    <row r="271" customFormat="false" ht="15" hidden="false" customHeight="false" outlineLevel="0" collapsed="false">
      <c r="N271" s="83" t="s">
        <v>2670</v>
      </c>
    </row>
    <row r="272" customFormat="false" ht="15" hidden="false" customHeight="false" outlineLevel="0" collapsed="false">
      <c r="N272" s="83" t="s">
        <v>2671</v>
      </c>
    </row>
    <row r="273" customFormat="false" ht="15" hidden="false" customHeight="false" outlineLevel="0" collapsed="false">
      <c r="N273" s="83" t="s">
        <v>2672</v>
      </c>
    </row>
    <row r="274" customFormat="false" ht="15" hidden="false" customHeight="false" outlineLevel="0" collapsed="false">
      <c r="N274" s="83" t="s">
        <v>2673</v>
      </c>
    </row>
    <row r="275" customFormat="false" ht="15" hidden="false" customHeight="false" outlineLevel="0" collapsed="false">
      <c r="N275" s="83" t="s">
        <v>2674</v>
      </c>
    </row>
    <row r="276" customFormat="false" ht="15" hidden="false" customHeight="false" outlineLevel="0" collapsed="false">
      <c r="N276" s="83" t="s">
        <v>2675</v>
      </c>
    </row>
    <row r="277" customFormat="false" ht="15" hidden="false" customHeight="false" outlineLevel="0" collapsed="false">
      <c r="N277" s="83" t="s">
        <v>2676</v>
      </c>
    </row>
    <row r="278" customFormat="false" ht="15" hidden="false" customHeight="false" outlineLevel="0" collapsed="false">
      <c r="N278" s="83" t="s">
        <v>2677</v>
      </c>
    </row>
    <row r="279" customFormat="false" ht="15" hidden="false" customHeight="false" outlineLevel="0" collapsed="false">
      <c r="N279" s="83" t="s">
        <v>2678</v>
      </c>
    </row>
    <row r="280" customFormat="false" ht="15" hidden="false" customHeight="false" outlineLevel="0" collapsed="false">
      <c r="N280" s="83" t="s">
        <v>2679</v>
      </c>
    </row>
    <row r="281" customFormat="false" ht="15" hidden="false" customHeight="false" outlineLevel="0" collapsed="false">
      <c r="N281" s="83" t="s">
        <v>2680</v>
      </c>
    </row>
    <row r="282" customFormat="false" ht="15" hidden="false" customHeight="false" outlineLevel="0" collapsed="false">
      <c r="N282" s="83" t="s">
        <v>2681</v>
      </c>
    </row>
    <row r="283" customFormat="false" ht="15" hidden="false" customHeight="false" outlineLevel="0" collapsed="false">
      <c r="N283" s="83" t="s">
        <v>2682</v>
      </c>
    </row>
    <row r="284" customFormat="false" ht="15" hidden="false" customHeight="false" outlineLevel="0" collapsed="false">
      <c r="N284" s="83" t="s">
        <v>2683</v>
      </c>
    </row>
    <row r="285" customFormat="false" ht="15" hidden="false" customHeight="false" outlineLevel="0" collapsed="false">
      <c r="N285" s="83" t="s">
        <v>2684</v>
      </c>
    </row>
    <row r="286" customFormat="false" ht="15" hidden="false" customHeight="false" outlineLevel="0" collapsed="false">
      <c r="N286" s="83" t="s">
        <v>2685</v>
      </c>
    </row>
    <row r="287" customFormat="false" ht="15" hidden="false" customHeight="false" outlineLevel="0" collapsed="false">
      <c r="N287" s="83" t="s">
        <v>2686</v>
      </c>
    </row>
    <row r="288" customFormat="false" ht="15" hidden="false" customHeight="false" outlineLevel="0" collapsed="false">
      <c r="N288" s="83" t="s">
        <v>2687</v>
      </c>
    </row>
    <row r="289" customFormat="false" ht="15" hidden="false" customHeight="false" outlineLevel="0" collapsed="false">
      <c r="N289" s="83" t="s">
        <v>2688</v>
      </c>
    </row>
    <row r="290" customFormat="false" ht="15" hidden="false" customHeight="false" outlineLevel="0" collapsed="false">
      <c r="N290" s="83" t="s">
        <v>2689</v>
      </c>
    </row>
    <row r="291" customFormat="false" ht="15" hidden="false" customHeight="false" outlineLevel="0" collapsed="false">
      <c r="N291" s="83" t="s">
        <v>2690</v>
      </c>
    </row>
    <row r="292" customFormat="false" ht="15" hidden="false" customHeight="false" outlineLevel="0" collapsed="false">
      <c r="N292" s="83" t="s">
        <v>2691</v>
      </c>
    </row>
    <row r="293" customFormat="false" ht="15" hidden="false" customHeight="false" outlineLevel="0" collapsed="false">
      <c r="N293" s="83" t="s">
        <v>2692</v>
      </c>
    </row>
    <row r="294" customFormat="false" ht="15" hidden="false" customHeight="false" outlineLevel="0" collapsed="false">
      <c r="N294" s="83" t="s">
        <v>2693</v>
      </c>
    </row>
    <row r="295" customFormat="false" ht="15" hidden="false" customHeight="false" outlineLevel="0" collapsed="false">
      <c r="N295" s="83" t="s">
        <v>2694</v>
      </c>
    </row>
    <row r="296" customFormat="false" ht="15" hidden="false" customHeight="false" outlineLevel="0" collapsed="false">
      <c r="N296" s="83" t="s">
        <v>2695</v>
      </c>
    </row>
    <row r="297" customFormat="false" ht="15" hidden="false" customHeight="false" outlineLevel="0" collapsed="false">
      <c r="N297" s="83" t="s">
        <v>2696</v>
      </c>
    </row>
    <row r="298" customFormat="false" ht="15" hidden="false" customHeight="false" outlineLevel="0" collapsed="false">
      <c r="N298" s="83" t="s">
        <v>2697</v>
      </c>
    </row>
    <row r="299" customFormat="false" ht="15" hidden="false" customHeight="false" outlineLevel="0" collapsed="false">
      <c r="N299" s="83" t="s">
        <v>2698</v>
      </c>
    </row>
    <row r="300" customFormat="false" ht="15" hidden="false" customHeight="false" outlineLevel="0" collapsed="false">
      <c r="N300" s="83" t="s">
        <v>2699</v>
      </c>
    </row>
    <row r="301" customFormat="false" ht="15" hidden="false" customHeight="false" outlineLevel="0" collapsed="false">
      <c r="N301" s="83" t="s">
        <v>2700</v>
      </c>
    </row>
    <row r="302" customFormat="false" ht="15" hidden="false" customHeight="false" outlineLevel="0" collapsed="false">
      <c r="N302" s="83" t="s">
        <v>2701</v>
      </c>
    </row>
    <row r="303" customFormat="false" ht="15" hidden="false" customHeight="false" outlineLevel="0" collapsed="false">
      <c r="N303" s="83" t="s">
        <v>2702</v>
      </c>
    </row>
    <row r="304" customFormat="false" ht="15" hidden="false" customHeight="false" outlineLevel="0" collapsed="false">
      <c r="N304" s="83" t="s">
        <v>2703</v>
      </c>
    </row>
    <row r="305" customFormat="false" ht="15" hidden="false" customHeight="false" outlineLevel="0" collapsed="false">
      <c r="N305" s="83" t="s">
        <v>2704</v>
      </c>
    </row>
    <row r="306" customFormat="false" ht="15" hidden="false" customHeight="false" outlineLevel="0" collapsed="false">
      <c r="N306" s="83" t="s">
        <v>2705</v>
      </c>
    </row>
    <row r="307" customFormat="false" ht="15" hidden="false" customHeight="false" outlineLevel="0" collapsed="false">
      <c r="N307" s="83" t="s">
        <v>2706</v>
      </c>
    </row>
    <row r="308" customFormat="false" ht="15" hidden="false" customHeight="false" outlineLevel="0" collapsed="false">
      <c r="N308" s="83" t="s">
        <v>2707</v>
      </c>
    </row>
    <row r="309" customFormat="false" ht="15" hidden="false" customHeight="false" outlineLevel="0" collapsed="false">
      <c r="N309" s="83" t="s">
        <v>2708</v>
      </c>
    </row>
    <row r="310" customFormat="false" ht="15" hidden="false" customHeight="false" outlineLevel="0" collapsed="false">
      <c r="N310" s="83" t="s">
        <v>2709</v>
      </c>
    </row>
    <row r="311" customFormat="false" ht="15" hidden="false" customHeight="false" outlineLevel="0" collapsed="false">
      <c r="N311" s="83" t="s">
        <v>2710</v>
      </c>
    </row>
    <row r="312" customFormat="false" ht="15" hidden="false" customHeight="false" outlineLevel="0" collapsed="false">
      <c r="N312" s="83" t="s">
        <v>2711</v>
      </c>
    </row>
    <row r="313" customFormat="false" ht="15" hidden="false" customHeight="false" outlineLevel="0" collapsed="false">
      <c r="N313" s="83" t="s">
        <v>2712</v>
      </c>
    </row>
    <row r="314" customFormat="false" ht="15" hidden="false" customHeight="false" outlineLevel="0" collapsed="false">
      <c r="N314" s="83" t="s">
        <v>2713</v>
      </c>
    </row>
    <row r="315" customFormat="false" ht="15" hidden="false" customHeight="false" outlineLevel="0" collapsed="false">
      <c r="N315" s="83" t="s">
        <v>2714</v>
      </c>
    </row>
    <row r="316" customFormat="false" ht="15" hidden="false" customHeight="false" outlineLevel="0" collapsed="false">
      <c r="N316" s="83" t="s">
        <v>2715</v>
      </c>
    </row>
    <row r="317" customFormat="false" ht="15" hidden="false" customHeight="false" outlineLevel="0" collapsed="false">
      <c r="N317" s="83" t="s">
        <v>2716</v>
      </c>
    </row>
    <row r="318" customFormat="false" ht="15" hidden="false" customHeight="false" outlineLevel="0" collapsed="false">
      <c r="N318" s="83" t="s">
        <v>2717</v>
      </c>
    </row>
    <row r="319" customFormat="false" ht="15" hidden="false" customHeight="false" outlineLevel="0" collapsed="false">
      <c r="N319" s="83" t="s">
        <v>2718</v>
      </c>
    </row>
    <row r="320" customFormat="false" ht="15" hidden="false" customHeight="false" outlineLevel="0" collapsed="false">
      <c r="N320" s="83" t="s">
        <v>2719</v>
      </c>
    </row>
    <row r="321" customFormat="false" ht="15" hidden="false" customHeight="false" outlineLevel="0" collapsed="false">
      <c r="N321" s="83" t="s">
        <v>2720</v>
      </c>
    </row>
    <row r="322" customFormat="false" ht="15" hidden="false" customHeight="false" outlineLevel="0" collapsed="false">
      <c r="N322" s="83" t="s">
        <v>2721</v>
      </c>
    </row>
    <row r="323" customFormat="false" ht="15" hidden="false" customHeight="false" outlineLevel="0" collapsed="false">
      <c r="N323" s="83" t="s">
        <v>2722</v>
      </c>
    </row>
    <row r="324" customFormat="false" ht="15" hidden="false" customHeight="false" outlineLevel="0" collapsed="false">
      <c r="N324" s="83" t="s">
        <v>2723</v>
      </c>
    </row>
    <row r="325" customFormat="false" ht="15" hidden="false" customHeight="false" outlineLevel="0" collapsed="false">
      <c r="N325" s="83" t="s">
        <v>2724</v>
      </c>
    </row>
    <row r="326" customFormat="false" ht="15" hidden="false" customHeight="false" outlineLevel="0" collapsed="false">
      <c r="N326" s="83" t="s">
        <v>2725</v>
      </c>
    </row>
    <row r="327" customFormat="false" ht="15" hidden="false" customHeight="false" outlineLevel="0" collapsed="false">
      <c r="N327" s="83" t="s">
        <v>2726</v>
      </c>
    </row>
    <row r="328" customFormat="false" ht="15" hidden="false" customHeight="false" outlineLevel="0" collapsed="false">
      <c r="N328" s="83" t="s">
        <v>2727</v>
      </c>
    </row>
    <row r="329" customFormat="false" ht="15" hidden="false" customHeight="false" outlineLevel="0" collapsed="false">
      <c r="N329" s="83" t="s">
        <v>2728</v>
      </c>
    </row>
    <row r="330" customFormat="false" ht="15" hidden="false" customHeight="false" outlineLevel="0" collapsed="false">
      <c r="N330" s="83" t="s">
        <v>2729</v>
      </c>
    </row>
    <row r="331" customFormat="false" ht="15" hidden="false" customHeight="false" outlineLevel="0" collapsed="false">
      <c r="N331" s="83" t="s">
        <v>2730</v>
      </c>
    </row>
    <row r="332" customFormat="false" ht="15" hidden="false" customHeight="false" outlineLevel="0" collapsed="false">
      <c r="N332" s="83" t="s">
        <v>2731</v>
      </c>
    </row>
    <row r="333" customFormat="false" ht="15" hidden="false" customHeight="false" outlineLevel="0" collapsed="false">
      <c r="N333" s="83" t="s">
        <v>2732</v>
      </c>
    </row>
    <row r="334" customFormat="false" ht="15" hidden="false" customHeight="false" outlineLevel="0" collapsed="false">
      <c r="N334" s="83" t="s">
        <v>2733</v>
      </c>
    </row>
    <row r="335" customFormat="false" ht="15" hidden="false" customHeight="false" outlineLevel="0" collapsed="false">
      <c r="N335" s="83" t="s">
        <v>2734</v>
      </c>
    </row>
    <row r="336" customFormat="false" ht="15" hidden="false" customHeight="false" outlineLevel="0" collapsed="false">
      <c r="N336" s="83" t="s">
        <v>2735</v>
      </c>
    </row>
    <row r="337" customFormat="false" ht="15" hidden="false" customHeight="false" outlineLevel="0" collapsed="false">
      <c r="N337" s="83" t="s">
        <v>2736</v>
      </c>
    </row>
    <row r="338" customFormat="false" ht="15" hidden="false" customHeight="false" outlineLevel="0" collapsed="false">
      <c r="N338" s="83" t="s">
        <v>2737</v>
      </c>
    </row>
    <row r="339" customFormat="false" ht="15" hidden="false" customHeight="false" outlineLevel="0" collapsed="false">
      <c r="N339" s="83" t="s">
        <v>2738</v>
      </c>
    </row>
    <row r="340" customFormat="false" ht="15" hidden="false" customHeight="false" outlineLevel="0" collapsed="false">
      <c r="N340" s="83" t="s">
        <v>2739</v>
      </c>
    </row>
    <row r="341" customFormat="false" ht="15" hidden="false" customHeight="false" outlineLevel="0" collapsed="false">
      <c r="N341" s="83" t="s">
        <v>2740</v>
      </c>
    </row>
    <row r="342" customFormat="false" ht="15" hidden="false" customHeight="false" outlineLevel="0" collapsed="false">
      <c r="N342" s="83" t="s">
        <v>2741</v>
      </c>
    </row>
    <row r="343" customFormat="false" ht="15" hidden="false" customHeight="false" outlineLevel="0" collapsed="false">
      <c r="N343" s="83" t="s">
        <v>2742</v>
      </c>
    </row>
    <row r="344" customFormat="false" ht="15" hidden="false" customHeight="false" outlineLevel="0" collapsed="false">
      <c r="N344" s="83" t="s">
        <v>2743</v>
      </c>
    </row>
    <row r="345" customFormat="false" ht="15" hidden="false" customHeight="false" outlineLevel="0" collapsed="false">
      <c r="N345" s="83" t="s">
        <v>2744</v>
      </c>
    </row>
    <row r="346" customFormat="false" ht="15" hidden="false" customHeight="false" outlineLevel="0" collapsed="false">
      <c r="N346" s="83" t="s">
        <v>2745</v>
      </c>
    </row>
    <row r="347" customFormat="false" ht="15" hidden="false" customHeight="false" outlineLevel="0" collapsed="false">
      <c r="N347" s="83" t="s">
        <v>2746</v>
      </c>
    </row>
    <row r="348" customFormat="false" ht="15" hidden="false" customHeight="false" outlineLevel="0" collapsed="false">
      <c r="N348" s="83" t="s">
        <v>2747</v>
      </c>
    </row>
    <row r="349" customFormat="false" ht="15" hidden="false" customHeight="false" outlineLevel="0" collapsed="false">
      <c r="N349" s="83" t="s">
        <v>2748</v>
      </c>
    </row>
    <row r="350" customFormat="false" ht="15" hidden="false" customHeight="false" outlineLevel="0" collapsed="false">
      <c r="N350" s="83" t="s">
        <v>2749</v>
      </c>
    </row>
    <row r="351" customFormat="false" ht="15" hidden="false" customHeight="false" outlineLevel="0" collapsed="false">
      <c r="N351" s="83" t="s">
        <v>2750</v>
      </c>
    </row>
    <row r="352" customFormat="false" ht="15" hidden="false" customHeight="false" outlineLevel="0" collapsed="false">
      <c r="N352" s="83" t="s">
        <v>2751</v>
      </c>
    </row>
    <row r="353" customFormat="false" ht="15" hidden="false" customHeight="false" outlineLevel="0" collapsed="false">
      <c r="N353" s="83" t="s">
        <v>2752</v>
      </c>
    </row>
    <row r="354" customFormat="false" ht="15" hidden="false" customHeight="false" outlineLevel="0" collapsed="false">
      <c r="N354" s="83" t="s">
        <v>2753</v>
      </c>
    </row>
    <row r="355" customFormat="false" ht="15" hidden="false" customHeight="false" outlineLevel="0" collapsed="false">
      <c r="N355" s="83" t="s">
        <v>2754</v>
      </c>
    </row>
    <row r="356" customFormat="false" ht="15" hidden="false" customHeight="false" outlineLevel="0" collapsed="false">
      <c r="N356" s="83" t="s">
        <v>2755</v>
      </c>
    </row>
    <row r="357" customFormat="false" ht="15" hidden="false" customHeight="false" outlineLevel="0" collapsed="false">
      <c r="N357" s="83" t="s">
        <v>2756</v>
      </c>
    </row>
    <row r="358" customFormat="false" ht="15" hidden="false" customHeight="false" outlineLevel="0" collapsed="false">
      <c r="N358" s="83" t="s">
        <v>2757</v>
      </c>
    </row>
    <row r="359" customFormat="false" ht="15" hidden="false" customHeight="false" outlineLevel="0" collapsed="false">
      <c r="N359" s="83" t="s">
        <v>2758</v>
      </c>
    </row>
    <row r="360" customFormat="false" ht="15" hidden="false" customHeight="false" outlineLevel="0" collapsed="false">
      <c r="N360" s="83" t="s">
        <v>2759</v>
      </c>
    </row>
    <row r="361" customFormat="false" ht="15" hidden="false" customHeight="false" outlineLevel="0" collapsed="false">
      <c r="N361" s="83" t="s">
        <v>2760</v>
      </c>
    </row>
    <row r="362" customFormat="false" ht="15" hidden="false" customHeight="false" outlineLevel="0" collapsed="false">
      <c r="N362" s="83" t="s">
        <v>2761</v>
      </c>
    </row>
    <row r="363" customFormat="false" ht="15" hidden="false" customHeight="false" outlineLevel="0" collapsed="false">
      <c r="N363" s="83" t="s">
        <v>2762</v>
      </c>
    </row>
    <row r="364" customFormat="false" ht="15" hidden="false" customHeight="false" outlineLevel="0" collapsed="false">
      <c r="N364" s="83" t="s">
        <v>2763</v>
      </c>
    </row>
    <row r="365" customFormat="false" ht="15" hidden="false" customHeight="false" outlineLevel="0" collapsed="false">
      <c r="N365" s="83" t="s">
        <v>2764</v>
      </c>
    </row>
    <row r="366" customFormat="false" ht="15" hidden="false" customHeight="false" outlineLevel="0" collapsed="false">
      <c r="N366" s="83" t="s">
        <v>2765</v>
      </c>
    </row>
    <row r="367" customFormat="false" ht="15" hidden="false" customHeight="false" outlineLevel="0" collapsed="false">
      <c r="N367" s="83" t="s">
        <v>2766</v>
      </c>
    </row>
    <row r="368" customFormat="false" ht="15" hidden="false" customHeight="false" outlineLevel="0" collapsed="false">
      <c r="N368" s="83" t="s">
        <v>2767</v>
      </c>
    </row>
    <row r="369" customFormat="false" ht="15" hidden="false" customHeight="false" outlineLevel="0" collapsed="false">
      <c r="N369" s="83" t="s">
        <v>2768</v>
      </c>
    </row>
    <row r="370" customFormat="false" ht="15" hidden="false" customHeight="false" outlineLevel="0" collapsed="false">
      <c r="N370" s="83" t="s">
        <v>2769</v>
      </c>
    </row>
    <row r="371" customFormat="false" ht="15" hidden="false" customHeight="false" outlineLevel="0" collapsed="false">
      <c r="N371" s="83" t="s">
        <v>2770</v>
      </c>
    </row>
    <row r="372" customFormat="false" ht="15" hidden="false" customHeight="false" outlineLevel="0" collapsed="false">
      <c r="N372" s="83" t="s">
        <v>2771</v>
      </c>
    </row>
    <row r="373" customFormat="false" ht="15" hidden="false" customHeight="false" outlineLevel="0" collapsed="false">
      <c r="N373" s="83" t="s">
        <v>2772</v>
      </c>
    </row>
    <row r="374" customFormat="false" ht="15" hidden="false" customHeight="false" outlineLevel="0" collapsed="false">
      <c r="N374" s="83" t="s">
        <v>2773</v>
      </c>
    </row>
    <row r="375" customFormat="false" ht="15" hidden="false" customHeight="false" outlineLevel="0" collapsed="false">
      <c r="N375" s="83" t="s">
        <v>2774</v>
      </c>
    </row>
    <row r="376" customFormat="false" ht="15" hidden="false" customHeight="false" outlineLevel="0" collapsed="false">
      <c r="N376" s="83" t="s">
        <v>2775</v>
      </c>
    </row>
    <row r="377" customFormat="false" ht="15" hidden="false" customHeight="false" outlineLevel="0" collapsed="false">
      <c r="N377" s="83" t="s">
        <v>2776</v>
      </c>
    </row>
    <row r="378" customFormat="false" ht="15" hidden="false" customHeight="false" outlineLevel="0" collapsed="false">
      <c r="N378" s="83" t="s">
        <v>2777</v>
      </c>
    </row>
    <row r="379" customFormat="false" ht="15" hidden="false" customHeight="false" outlineLevel="0" collapsed="false">
      <c r="N379" s="83" t="s">
        <v>2778</v>
      </c>
    </row>
    <row r="380" customFormat="false" ht="15" hidden="false" customHeight="false" outlineLevel="0" collapsed="false">
      <c r="N380" s="83" t="s">
        <v>2779</v>
      </c>
    </row>
    <row r="381" customFormat="false" ht="15" hidden="false" customHeight="false" outlineLevel="0" collapsed="false">
      <c r="N381" s="83" t="s">
        <v>2780</v>
      </c>
    </row>
    <row r="382" customFormat="false" ht="15" hidden="false" customHeight="false" outlineLevel="0" collapsed="false">
      <c r="N382" s="83" t="s">
        <v>2781</v>
      </c>
    </row>
    <row r="383" customFormat="false" ht="15" hidden="false" customHeight="false" outlineLevel="0" collapsed="false">
      <c r="N383" s="83" t="s">
        <v>2782</v>
      </c>
    </row>
    <row r="384" customFormat="false" ht="15" hidden="false" customHeight="false" outlineLevel="0" collapsed="false">
      <c r="N384" s="83" t="s">
        <v>2783</v>
      </c>
    </row>
    <row r="385" customFormat="false" ht="15" hidden="false" customHeight="false" outlineLevel="0" collapsed="false">
      <c r="N385" s="83" t="s">
        <v>2784</v>
      </c>
    </row>
    <row r="386" customFormat="false" ht="15" hidden="false" customHeight="false" outlineLevel="0" collapsed="false">
      <c r="N386" s="83" t="s">
        <v>2785</v>
      </c>
    </row>
    <row r="387" customFormat="false" ht="15" hidden="false" customHeight="false" outlineLevel="0" collapsed="false">
      <c r="N387" s="83" t="s">
        <v>2786</v>
      </c>
    </row>
    <row r="388" customFormat="false" ht="15" hidden="false" customHeight="false" outlineLevel="0" collapsed="false">
      <c r="N388" s="83" t="s">
        <v>2787</v>
      </c>
    </row>
    <row r="389" customFormat="false" ht="15" hidden="false" customHeight="false" outlineLevel="0" collapsed="false">
      <c r="N389" s="83" t="s">
        <v>2788</v>
      </c>
    </row>
    <row r="390" customFormat="false" ht="15" hidden="false" customHeight="false" outlineLevel="0" collapsed="false">
      <c r="N390" s="83" t="s">
        <v>2789</v>
      </c>
    </row>
    <row r="391" customFormat="false" ht="15" hidden="false" customHeight="false" outlineLevel="0" collapsed="false">
      <c r="N391" s="83" t="s">
        <v>2790</v>
      </c>
    </row>
    <row r="392" customFormat="false" ht="15" hidden="false" customHeight="false" outlineLevel="0" collapsed="false">
      <c r="N392" s="83" t="s">
        <v>2791</v>
      </c>
    </row>
    <row r="393" customFormat="false" ht="15" hidden="false" customHeight="false" outlineLevel="0" collapsed="false">
      <c r="N393" s="83" t="s">
        <v>2792</v>
      </c>
    </row>
    <row r="394" customFormat="false" ht="15" hidden="false" customHeight="false" outlineLevel="0" collapsed="false">
      <c r="N394" s="83" t="s">
        <v>2793</v>
      </c>
    </row>
    <row r="395" customFormat="false" ht="15" hidden="false" customHeight="false" outlineLevel="0" collapsed="false">
      <c r="N395" s="83" t="s">
        <v>2794</v>
      </c>
    </row>
    <row r="396" customFormat="false" ht="15" hidden="false" customHeight="false" outlineLevel="0" collapsed="false">
      <c r="N396" s="83" t="s">
        <v>2795</v>
      </c>
    </row>
    <row r="397" customFormat="false" ht="15" hidden="false" customHeight="false" outlineLevel="0" collapsed="false">
      <c r="N397" s="83" t="s">
        <v>2796</v>
      </c>
    </row>
    <row r="398" customFormat="false" ht="15" hidden="false" customHeight="false" outlineLevel="0" collapsed="false">
      <c r="N398" s="83" t="s">
        <v>2797</v>
      </c>
    </row>
    <row r="399" customFormat="false" ht="15" hidden="false" customHeight="false" outlineLevel="0" collapsed="false">
      <c r="N399" s="83" t="s">
        <v>2798</v>
      </c>
    </row>
    <row r="400" customFormat="false" ht="15" hidden="false" customHeight="false" outlineLevel="0" collapsed="false">
      <c r="N400" s="83" t="s">
        <v>2799</v>
      </c>
    </row>
    <row r="401" customFormat="false" ht="15" hidden="false" customHeight="false" outlineLevel="0" collapsed="false">
      <c r="N401" s="83" t="s">
        <v>2800</v>
      </c>
    </row>
    <row r="402" customFormat="false" ht="15" hidden="false" customHeight="false" outlineLevel="0" collapsed="false">
      <c r="N402" s="83" t="s">
        <v>2801</v>
      </c>
    </row>
    <row r="403" customFormat="false" ht="15" hidden="false" customHeight="false" outlineLevel="0" collapsed="false">
      <c r="N403" s="83" t="s">
        <v>2802</v>
      </c>
    </row>
    <row r="404" customFormat="false" ht="15" hidden="false" customHeight="false" outlineLevel="0" collapsed="false">
      <c r="N404" s="83" t="s">
        <v>2803</v>
      </c>
    </row>
    <row r="405" customFormat="false" ht="15" hidden="false" customHeight="false" outlineLevel="0" collapsed="false">
      <c r="N405" s="83" t="s">
        <v>2804</v>
      </c>
    </row>
    <row r="406" customFormat="false" ht="15" hidden="false" customHeight="false" outlineLevel="0" collapsed="false">
      <c r="N406" s="83" t="s">
        <v>2805</v>
      </c>
    </row>
    <row r="407" customFormat="false" ht="15" hidden="false" customHeight="false" outlineLevel="0" collapsed="false">
      <c r="N407" s="83" t="s">
        <v>2806</v>
      </c>
    </row>
    <row r="408" customFormat="false" ht="15" hidden="false" customHeight="false" outlineLevel="0" collapsed="false">
      <c r="N408" s="83" t="s">
        <v>2807</v>
      </c>
    </row>
    <row r="409" customFormat="false" ht="15" hidden="false" customHeight="false" outlineLevel="0" collapsed="false">
      <c r="N409" s="83" t="s">
        <v>2808</v>
      </c>
    </row>
    <row r="410" customFormat="false" ht="15" hidden="false" customHeight="false" outlineLevel="0" collapsed="false">
      <c r="N410" s="83" t="s">
        <v>2809</v>
      </c>
    </row>
    <row r="411" customFormat="false" ht="15" hidden="false" customHeight="false" outlineLevel="0" collapsed="false">
      <c r="N411" s="83" t="s">
        <v>2810</v>
      </c>
    </row>
    <row r="412" customFormat="false" ht="15" hidden="false" customHeight="false" outlineLevel="0" collapsed="false">
      <c r="N412" s="83" t="s">
        <v>2811</v>
      </c>
    </row>
    <row r="413" customFormat="false" ht="15" hidden="false" customHeight="false" outlineLevel="0" collapsed="false">
      <c r="N413" s="83" t="s">
        <v>2812</v>
      </c>
    </row>
    <row r="414" customFormat="false" ht="15" hidden="false" customHeight="false" outlineLevel="0" collapsed="false">
      <c r="N414" s="83" t="s">
        <v>2813</v>
      </c>
    </row>
    <row r="415" customFormat="false" ht="15" hidden="false" customHeight="false" outlineLevel="0" collapsed="false">
      <c r="N415" s="83" t="s">
        <v>2814</v>
      </c>
    </row>
    <row r="416" customFormat="false" ht="15" hidden="false" customHeight="false" outlineLevel="0" collapsed="false">
      <c r="N416" s="83" t="s">
        <v>2815</v>
      </c>
    </row>
    <row r="417" customFormat="false" ht="15" hidden="false" customHeight="false" outlineLevel="0" collapsed="false">
      <c r="N417" s="83" t="s">
        <v>2816</v>
      </c>
    </row>
    <row r="418" customFormat="false" ht="15" hidden="false" customHeight="false" outlineLevel="0" collapsed="false">
      <c r="N418" s="83" t="s">
        <v>2817</v>
      </c>
    </row>
    <row r="419" customFormat="false" ht="15" hidden="false" customHeight="false" outlineLevel="0" collapsed="false">
      <c r="N419" s="83" t="s">
        <v>2818</v>
      </c>
    </row>
    <row r="420" customFormat="false" ht="15" hidden="false" customHeight="false" outlineLevel="0" collapsed="false">
      <c r="N420" s="83" t="s">
        <v>2819</v>
      </c>
    </row>
    <row r="421" customFormat="false" ht="15" hidden="false" customHeight="false" outlineLevel="0" collapsed="false">
      <c r="N421" s="83" t="s">
        <v>2820</v>
      </c>
    </row>
    <row r="422" customFormat="false" ht="15" hidden="false" customHeight="false" outlineLevel="0" collapsed="false">
      <c r="N422" s="83" t="s">
        <v>2821</v>
      </c>
    </row>
    <row r="423" customFormat="false" ht="15" hidden="false" customHeight="false" outlineLevel="0" collapsed="false">
      <c r="N423" s="83" t="s">
        <v>2822</v>
      </c>
    </row>
    <row r="424" customFormat="false" ht="15" hidden="false" customHeight="false" outlineLevel="0" collapsed="false">
      <c r="N424" s="83" t="s">
        <v>2823</v>
      </c>
    </row>
    <row r="425" customFormat="false" ht="15" hidden="false" customHeight="false" outlineLevel="0" collapsed="false">
      <c r="N425" s="83" t="s">
        <v>2824</v>
      </c>
    </row>
    <row r="426" customFormat="false" ht="15" hidden="false" customHeight="false" outlineLevel="0" collapsed="false">
      <c r="N426" s="83" t="s">
        <v>2825</v>
      </c>
    </row>
    <row r="427" customFormat="false" ht="15" hidden="false" customHeight="false" outlineLevel="0" collapsed="false">
      <c r="N427" s="83" t="s">
        <v>2826</v>
      </c>
    </row>
    <row r="428" customFormat="false" ht="15" hidden="false" customHeight="false" outlineLevel="0" collapsed="false">
      <c r="N428" s="83" t="s">
        <v>2827</v>
      </c>
    </row>
    <row r="429" customFormat="false" ht="15" hidden="false" customHeight="false" outlineLevel="0" collapsed="false">
      <c r="N429" s="83" t="s">
        <v>2828</v>
      </c>
    </row>
    <row r="430" customFormat="false" ht="15" hidden="false" customHeight="false" outlineLevel="0" collapsed="false">
      <c r="N430" s="83" t="s">
        <v>2829</v>
      </c>
    </row>
    <row r="431" customFormat="false" ht="15" hidden="false" customHeight="false" outlineLevel="0" collapsed="false">
      <c r="N431" s="83" t="s">
        <v>2830</v>
      </c>
    </row>
    <row r="432" customFormat="false" ht="15" hidden="false" customHeight="false" outlineLevel="0" collapsed="false">
      <c r="N432" s="83" t="s">
        <v>2831</v>
      </c>
    </row>
    <row r="433" customFormat="false" ht="15" hidden="false" customHeight="false" outlineLevel="0" collapsed="false">
      <c r="N433" s="83" t="s">
        <v>2832</v>
      </c>
    </row>
    <row r="434" customFormat="false" ht="15" hidden="false" customHeight="false" outlineLevel="0" collapsed="false">
      <c r="N434" s="83" t="s">
        <v>2833</v>
      </c>
    </row>
    <row r="435" customFormat="false" ht="15" hidden="false" customHeight="false" outlineLevel="0" collapsed="false">
      <c r="N435" s="83" t="s">
        <v>2834</v>
      </c>
    </row>
    <row r="436" customFormat="false" ht="15" hidden="false" customHeight="false" outlineLevel="0" collapsed="false">
      <c r="N436" s="83" t="s">
        <v>2835</v>
      </c>
    </row>
    <row r="437" customFormat="false" ht="15" hidden="false" customHeight="false" outlineLevel="0" collapsed="false">
      <c r="N437" s="83" t="s">
        <v>2836</v>
      </c>
    </row>
    <row r="438" customFormat="false" ht="15" hidden="false" customHeight="false" outlineLevel="0" collapsed="false">
      <c r="N438" s="83" t="s">
        <v>2837</v>
      </c>
    </row>
    <row r="439" customFormat="false" ht="15" hidden="false" customHeight="false" outlineLevel="0" collapsed="false">
      <c r="N439" s="83" t="s">
        <v>2838</v>
      </c>
    </row>
    <row r="440" customFormat="false" ht="15" hidden="false" customHeight="false" outlineLevel="0" collapsed="false">
      <c r="N440" s="83" t="s">
        <v>2839</v>
      </c>
    </row>
    <row r="441" customFormat="false" ht="15" hidden="false" customHeight="false" outlineLevel="0" collapsed="false">
      <c r="N441" s="83" t="s">
        <v>2840</v>
      </c>
    </row>
    <row r="442" customFormat="false" ht="15" hidden="false" customHeight="false" outlineLevel="0" collapsed="false">
      <c r="N442" s="83" t="s">
        <v>2841</v>
      </c>
    </row>
    <row r="443" customFormat="false" ht="15" hidden="false" customHeight="false" outlineLevel="0" collapsed="false">
      <c r="N443" s="83" t="s">
        <v>2842</v>
      </c>
    </row>
    <row r="444" customFormat="false" ht="15" hidden="false" customHeight="false" outlineLevel="0" collapsed="false">
      <c r="N444" s="83" t="s">
        <v>2843</v>
      </c>
    </row>
    <row r="445" customFormat="false" ht="15" hidden="false" customHeight="false" outlineLevel="0" collapsed="false">
      <c r="N445" s="83" t="s">
        <v>2844</v>
      </c>
    </row>
    <row r="446" customFormat="false" ht="15" hidden="false" customHeight="false" outlineLevel="0" collapsed="false">
      <c r="N446" s="83" t="s">
        <v>2845</v>
      </c>
    </row>
    <row r="447" customFormat="false" ht="15" hidden="false" customHeight="false" outlineLevel="0" collapsed="false">
      <c r="N447" s="83" t="s">
        <v>2846</v>
      </c>
    </row>
    <row r="448" customFormat="false" ht="15" hidden="false" customHeight="false" outlineLevel="0" collapsed="false">
      <c r="N448" s="83" t="s">
        <v>2847</v>
      </c>
    </row>
    <row r="449" customFormat="false" ht="15" hidden="false" customHeight="false" outlineLevel="0" collapsed="false">
      <c r="N449" s="83" t="s">
        <v>2848</v>
      </c>
    </row>
    <row r="450" customFormat="false" ht="15" hidden="false" customHeight="false" outlineLevel="0" collapsed="false">
      <c r="N450" s="83" t="s">
        <v>2849</v>
      </c>
    </row>
    <row r="451" customFormat="false" ht="15" hidden="false" customHeight="false" outlineLevel="0" collapsed="false">
      <c r="N451" s="83" t="s">
        <v>2850</v>
      </c>
    </row>
    <row r="452" customFormat="false" ht="15" hidden="false" customHeight="false" outlineLevel="0" collapsed="false">
      <c r="N452" s="83" t="s">
        <v>2851</v>
      </c>
    </row>
    <row r="453" customFormat="false" ht="15" hidden="false" customHeight="false" outlineLevel="0" collapsed="false">
      <c r="N453" s="83" t="s">
        <v>2852</v>
      </c>
    </row>
    <row r="454" customFormat="false" ht="15" hidden="false" customHeight="false" outlineLevel="0" collapsed="false">
      <c r="N454" s="83" t="s">
        <v>2853</v>
      </c>
    </row>
    <row r="455" customFormat="false" ht="15" hidden="false" customHeight="false" outlineLevel="0" collapsed="false">
      <c r="N455" s="83" t="s">
        <v>2854</v>
      </c>
    </row>
    <row r="456" customFormat="false" ht="15" hidden="false" customHeight="false" outlineLevel="0" collapsed="false">
      <c r="N456" s="83" t="s">
        <v>2855</v>
      </c>
    </row>
    <row r="457" customFormat="false" ht="15" hidden="false" customHeight="false" outlineLevel="0" collapsed="false">
      <c r="N457" s="83" t="s">
        <v>2856</v>
      </c>
    </row>
    <row r="458" customFormat="false" ht="15" hidden="false" customHeight="false" outlineLevel="0" collapsed="false">
      <c r="N458" s="83" t="s">
        <v>2857</v>
      </c>
    </row>
    <row r="459" customFormat="false" ht="15" hidden="false" customHeight="false" outlineLevel="0" collapsed="false">
      <c r="N459" s="83" t="s">
        <v>2858</v>
      </c>
    </row>
    <row r="460" customFormat="false" ht="15" hidden="false" customHeight="false" outlineLevel="0" collapsed="false">
      <c r="N460" s="83" t="s">
        <v>2859</v>
      </c>
    </row>
    <row r="461" customFormat="false" ht="15" hidden="false" customHeight="false" outlineLevel="0" collapsed="false">
      <c r="N461" s="83" t="s">
        <v>2860</v>
      </c>
    </row>
    <row r="462" customFormat="false" ht="15" hidden="false" customHeight="false" outlineLevel="0" collapsed="false">
      <c r="N462" s="83" t="s">
        <v>2861</v>
      </c>
    </row>
    <row r="463" customFormat="false" ht="15" hidden="false" customHeight="false" outlineLevel="0" collapsed="false">
      <c r="N463" s="83" t="s">
        <v>2862</v>
      </c>
    </row>
    <row r="464" customFormat="false" ht="15" hidden="false" customHeight="false" outlineLevel="0" collapsed="false">
      <c r="N464" s="83" t="s">
        <v>2863</v>
      </c>
    </row>
    <row r="465" customFormat="false" ht="15" hidden="false" customHeight="false" outlineLevel="0" collapsed="false">
      <c r="N465" s="83" t="s">
        <v>2864</v>
      </c>
    </row>
    <row r="466" customFormat="false" ht="15" hidden="false" customHeight="false" outlineLevel="0" collapsed="false">
      <c r="N466" s="83" t="s">
        <v>2865</v>
      </c>
    </row>
    <row r="467" customFormat="false" ht="15" hidden="false" customHeight="false" outlineLevel="0" collapsed="false">
      <c r="N467" s="83" t="s">
        <v>2866</v>
      </c>
    </row>
    <row r="468" customFormat="false" ht="15" hidden="false" customHeight="false" outlineLevel="0" collapsed="false">
      <c r="N468" s="83" t="s">
        <v>2867</v>
      </c>
    </row>
    <row r="469" customFormat="false" ht="15" hidden="false" customHeight="false" outlineLevel="0" collapsed="false">
      <c r="N469" s="83" t="s">
        <v>2868</v>
      </c>
    </row>
    <row r="470" customFormat="false" ht="15" hidden="false" customHeight="false" outlineLevel="0" collapsed="false">
      <c r="N470" s="83" t="s">
        <v>2869</v>
      </c>
    </row>
    <row r="471" customFormat="false" ht="15" hidden="false" customHeight="false" outlineLevel="0" collapsed="false">
      <c r="N471" s="83" t="s">
        <v>2870</v>
      </c>
    </row>
    <row r="472" customFormat="false" ht="15" hidden="false" customHeight="false" outlineLevel="0" collapsed="false">
      <c r="N472" s="83" t="s">
        <v>2871</v>
      </c>
    </row>
    <row r="473" customFormat="false" ht="15" hidden="false" customHeight="false" outlineLevel="0" collapsed="false">
      <c r="N473" s="83" t="s">
        <v>2872</v>
      </c>
    </row>
    <row r="474" customFormat="false" ht="15" hidden="false" customHeight="false" outlineLevel="0" collapsed="false">
      <c r="N474" s="83" t="s">
        <v>2873</v>
      </c>
    </row>
    <row r="475" customFormat="false" ht="15" hidden="false" customHeight="false" outlineLevel="0" collapsed="false">
      <c r="N475" s="83" t="s">
        <v>2874</v>
      </c>
    </row>
    <row r="476" customFormat="false" ht="15" hidden="false" customHeight="false" outlineLevel="0" collapsed="false">
      <c r="N476" s="83" t="s">
        <v>2875</v>
      </c>
    </row>
    <row r="477" customFormat="false" ht="15" hidden="false" customHeight="false" outlineLevel="0" collapsed="false">
      <c r="N477" s="83" t="s">
        <v>2876</v>
      </c>
    </row>
    <row r="478" customFormat="false" ht="15" hidden="false" customHeight="false" outlineLevel="0" collapsed="false">
      <c r="N478" s="83" t="s">
        <v>2877</v>
      </c>
    </row>
    <row r="479" customFormat="false" ht="15" hidden="false" customHeight="false" outlineLevel="0" collapsed="false">
      <c r="N479" s="83" t="s">
        <v>2878</v>
      </c>
    </row>
    <row r="480" customFormat="false" ht="15" hidden="false" customHeight="false" outlineLevel="0" collapsed="false">
      <c r="N480" s="83" t="s">
        <v>2879</v>
      </c>
    </row>
    <row r="481" customFormat="false" ht="15" hidden="false" customHeight="false" outlineLevel="0" collapsed="false">
      <c r="N481" s="83" t="s">
        <v>2880</v>
      </c>
    </row>
    <row r="482" customFormat="false" ht="15" hidden="false" customHeight="false" outlineLevel="0" collapsed="false">
      <c r="N482" s="83" t="s">
        <v>2881</v>
      </c>
    </row>
    <row r="483" customFormat="false" ht="15" hidden="false" customHeight="false" outlineLevel="0" collapsed="false">
      <c r="N483" s="83" t="s">
        <v>2882</v>
      </c>
    </row>
    <row r="484" customFormat="false" ht="15" hidden="false" customHeight="false" outlineLevel="0" collapsed="false">
      <c r="N484" s="83" t="s">
        <v>2883</v>
      </c>
    </row>
    <row r="485" customFormat="false" ht="15" hidden="false" customHeight="false" outlineLevel="0" collapsed="false">
      <c r="N485" s="83" t="s">
        <v>2884</v>
      </c>
    </row>
    <row r="486" customFormat="false" ht="15" hidden="false" customHeight="false" outlineLevel="0" collapsed="false">
      <c r="N486" s="83" t="s">
        <v>2885</v>
      </c>
    </row>
    <row r="487" customFormat="false" ht="15" hidden="false" customHeight="false" outlineLevel="0" collapsed="false">
      <c r="N487" s="83" t="s">
        <v>2886</v>
      </c>
    </row>
    <row r="488" customFormat="false" ht="15" hidden="false" customHeight="false" outlineLevel="0" collapsed="false">
      <c r="N488" s="83" t="s">
        <v>2887</v>
      </c>
    </row>
    <row r="489" customFormat="false" ht="15" hidden="false" customHeight="false" outlineLevel="0" collapsed="false">
      <c r="N489" s="83" t="s">
        <v>2888</v>
      </c>
    </row>
    <row r="490" customFormat="false" ht="15" hidden="false" customHeight="false" outlineLevel="0" collapsed="false">
      <c r="N490" s="83" t="s">
        <v>2889</v>
      </c>
    </row>
    <row r="491" customFormat="false" ht="15" hidden="false" customHeight="false" outlineLevel="0" collapsed="false">
      <c r="N491" s="83" t="s">
        <v>2890</v>
      </c>
    </row>
    <row r="492" customFormat="false" ht="15" hidden="false" customHeight="false" outlineLevel="0" collapsed="false">
      <c r="N492" s="83" t="s">
        <v>2891</v>
      </c>
    </row>
    <row r="493" customFormat="false" ht="15" hidden="false" customHeight="false" outlineLevel="0" collapsed="false">
      <c r="N493" s="83" t="s">
        <v>2892</v>
      </c>
    </row>
    <row r="494" customFormat="false" ht="15" hidden="false" customHeight="false" outlineLevel="0" collapsed="false">
      <c r="N494" s="83" t="s">
        <v>2893</v>
      </c>
    </row>
    <row r="495" customFormat="false" ht="15" hidden="false" customHeight="false" outlineLevel="0" collapsed="false">
      <c r="N495" s="83" t="s">
        <v>2894</v>
      </c>
    </row>
    <row r="496" customFormat="false" ht="15" hidden="false" customHeight="false" outlineLevel="0" collapsed="false">
      <c r="N496" s="83" t="s">
        <v>2895</v>
      </c>
    </row>
    <row r="497" customFormat="false" ht="15" hidden="false" customHeight="false" outlineLevel="0" collapsed="false">
      <c r="N497" s="83" t="s">
        <v>2896</v>
      </c>
    </row>
    <row r="498" customFormat="false" ht="15" hidden="false" customHeight="false" outlineLevel="0" collapsed="false">
      <c r="N498" s="83" t="s">
        <v>2897</v>
      </c>
    </row>
    <row r="499" customFormat="false" ht="15" hidden="false" customHeight="false" outlineLevel="0" collapsed="false">
      <c r="N499" s="83" t="s">
        <v>2898</v>
      </c>
    </row>
    <row r="500" customFormat="false" ht="15" hidden="false" customHeight="false" outlineLevel="0" collapsed="false">
      <c r="N500" s="83" t="s">
        <v>2899</v>
      </c>
    </row>
    <row r="501" customFormat="false" ht="15" hidden="false" customHeight="false" outlineLevel="0" collapsed="false">
      <c r="N501" s="83" t="s">
        <v>2900</v>
      </c>
    </row>
    <row r="502" customFormat="false" ht="15" hidden="false" customHeight="false" outlineLevel="0" collapsed="false">
      <c r="N502" s="83" t="s">
        <v>2901</v>
      </c>
    </row>
    <row r="503" customFormat="false" ht="15" hidden="false" customHeight="false" outlineLevel="0" collapsed="false">
      <c r="N503" s="83" t="s">
        <v>2902</v>
      </c>
    </row>
    <row r="504" customFormat="false" ht="15" hidden="false" customHeight="false" outlineLevel="0" collapsed="false">
      <c r="N504" s="83" t="s">
        <v>2903</v>
      </c>
    </row>
    <row r="505" customFormat="false" ht="15" hidden="false" customHeight="false" outlineLevel="0" collapsed="false">
      <c r="N505" s="83" t="s">
        <v>2904</v>
      </c>
    </row>
    <row r="506" customFormat="false" ht="15" hidden="false" customHeight="false" outlineLevel="0" collapsed="false">
      <c r="N506" s="83" t="s">
        <v>2905</v>
      </c>
    </row>
    <row r="507" customFormat="false" ht="15" hidden="false" customHeight="false" outlineLevel="0" collapsed="false">
      <c r="N507" s="83" t="s">
        <v>2906</v>
      </c>
    </row>
    <row r="508" customFormat="false" ht="15" hidden="false" customHeight="false" outlineLevel="0" collapsed="false">
      <c r="N508" s="83" t="s">
        <v>2907</v>
      </c>
    </row>
    <row r="509" customFormat="false" ht="15" hidden="false" customHeight="false" outlineLevel="0" collapsed="false">
      <c r="N509" s="83" t="s">
        <v>2908</v>
      </c>
    </row>
    <row r="510" customFormat="false" ht="15" hidden="false" customHeight="false" outlineLevel="0" collapsed="false">
      <c r="N510" s="83" t="s">
        <v>2909</v>
      </c>
    </row>
    <row r="511" customFormat="false" ht="15" hidden="false" customHeight="false" outlineLevel="0" collapsed="false">
      <c r="N511" s="83" t="s">
        <v>2910</v>
      </c>
    </row>
    <row r="512" customFormat="false" ht="15" hidden="false" customHeight="false" outlineLevel="0" collapsed="false">
      <c r="N512" s="83" t="s">
        <v>2911</v>
      </c>
    </row>
    <row r="513" customFormat="false" ht="15" hidden="false" customHeight="false" outlineLevel="0" collapsed="false">
      <c r="N513" s="83" t="s">
        <v>2912</v>
      </c>
    </row>
    <row r="514" customFormat="false" ht="15" hidden="false" customHeight="false" outlineLevel="0" collapsed="false">
      <c r="N514" s="83" t="s">
        <v>2913</v>
      </c>
    </row>
    <row r="515" customFormat="false" ht="15" hidden="false" customHeight="false" outlineLevel="0" collapsed="false">
      <c r="N515" s="83" t="s">
        <v>2914</v>
      </c>
    </row>
    <row r="516" customFormat="false" ht="15" hidden="false" customHeight="false" outlineLevel="0" collapsed="false">
      <c r="N516" s="83" t="s">
        <v>2915</v>
      </c>
    </row>
    <row r="517" customFormat="false" ht="15" hidden="false" customHeight="false" outlineLevel="0" collapsed="false">
      <c r="N517" s="83" t="s">
        <v>2916</v>
      </c>
    </row>
    <row r="518" customFormat="false" ht="15" hidden="false" customHeight="false" outlineLevel="0" collapsed="false">
      <c r="N518" s="83" t="s">
        <v>2917</v>
      </c>
    </row>
    <row r="519" customFormat="false" ht="15" hidden="false" customHeight="false" outlineLevel="0" collapsed="false">
      <c r="N519" s="83" t="s">
        <v>2918</v>
      </c>
    </row>
    <row r="520" customFormat="false" ht="15" hidden="false" customHeight="false" outlineLevel="0" collapsed="false">
      <c r="N520" s="83" t="s">
        <v>2919</v>
      </c>
    </row>
    <row r="521" customFormat="false" ht="15" hidden="false" customHeight="false" outlineLevel="0" collapsed="false">
      <c r="N521" s="83" t="s">
        <v>2920</v>
      </c>
    </row>
    <row r="522" customFormat="false" ht="15" hidden="false" customHeight="false" outlineLevel="0" collapsed="false">
      <c r="N522" s="83" t="s">
        <v>2921</v>
      </c>
    </row>
    <row r="523" customFormat="false" ht="15" hidden="false" customHeight="false" outlineLevel="0" collapsed="false">
      <c r="N523" s="83" t="s">
        <v>2922</v>
      </c>
    </row>
    <row r="524" customFormat="false" ht="15" hidden="false" customHeight="false" outlineLevel="0" collapsed="false">
      <c r="N524" s="83" t="s">
        <v>2923</v>
      </c>
    </row>
    <row r="525" customFormat="false" ht="15" hidden="false" customHeight="false" outlineLevel="0" collapsed="false">
      <c r="N525" s="83" t="s">
        <v>2924</v>
      </c>
    </row>
    <row r="526" customFormat="false" ht="15" hidden="false" customHeight="false" outlineLevel="0" collapsed="false">
      <c r="N526" s="83" t="s">
        <v>2925</v>
      </c>
    </row>
    <row r="527" customFormat="false" ht="15" hidden="false" customHeight="false" outlineLevel="0" collapsed="false">
      <c r="N527" s="83" t="s">
        <v>2926</v>
      </c>
    </row>
    <row r="528" customFormat="false" ht="15" hidden="false" customHeight="false" outlineLevel="0" collapsed="false">
      <c r="N528" s="83" t="s">
        <v>2927</v>
      </c>
    </row>
    <row r="529" customFormat="false" ht="15" hidden="false" customHeight="false" outlineLevel="0" collapsed="false">
      <c r="N529" s="83" t="s">
        <v>2928</v>
      </c>
    </row>
    <row r="530" customFormat="false" ht="15" hidden="false" customHeight="false" outlineLevel="0" collapsed="false">
      <c r="N530" s="83" t="s">
        <v>2929</v>
      </c>
    </row>
    <row r="531" customFormat="false" ht="15" hidden="false" customHeight="false" outlineLevel="0" collapsed="false">
      <c r="N531" s="83" t="s">
        <v>2930</v>
      </c>
    </row>
    <row r="532" customFormat="false" ht="15" hidden="false" customHeight="false" outlineLevel="0" collapsed="false">
      <c r="N532" s="83" t="s">
        <v>2931</v>
      </c>
    </row>
    <row r="533" customFormat="false" ht="15" hidden="false" customHeight="false" outlineLevel="0" collapsed="false">
      <c r="N533" s="83" t="s">
        <v>2932</v>
      </c>
    </row>
    <row r="534" customFormat="false" ht="15" hidden="false" customHeight="false" outlineLevel="0" collapsed="false">
      <c r="N534" s="83" t="s">
        <v>2933</v>
      </c>
    </row>
    <row r="535" customFormat="false" ht="15" hidden="false" customHeight="false" outlineLevel="0" collapsed="false">
      <c r="N535" s="83" t="s">
        <v>2934</v>
      </c>
    </row>
    <row r="536" customFormat="false" ht="15" hidden="false" customHeight="false" outlineLevel="0" collapsed="false">
      <c r="N536" s="83" t="s">
        <v>2935</v>
      </c>
    </row>
    <row r="537" customFormat="false" ht="15" hidden="false" customHeight="false" outlineLevel="0" collapsed="false">
      <c r="N537" s="83" t="s">
        <v>2936</v>
      </c>
    </row>
    <row r="538" customFormat="false" ht="15" hidden="false" customHeight="false" outlineLevel="0" collapsed="false">
      <c r="N538" s="83" t="s">
        <v>2937</v>
      </c>
    </row>
    <row r="539" customFormat="false" ht="15" hidden="false" customHeight="false" outlineLevel="0" collapsed="false">
      <c r="N539" s="83" t="s">
        <v>1785</v>
      </c>
    </row>
    <row r="540" customFormat="false" ht="15" hidden="false" customHeight="false" outlineLevel="0" collapsed="false">
      <c r="N540" s="83" t="s">
        <v>2938</v>
      </c>
    </row>
    <row r="541" customFormat="false" ht="15" hidden="false" customHeight="false" outlineLevel="0" collapsed="false">
      <c r="N541" s="83" t="s">
        <v>1797</v>
      </c>
    </row>
    <row r="542" customFormat="false" ht="15" hidden="false" customHeight="false" outlineLevel="0" collapsed="false">
      <c r="N542" s="83" t="s">
        <v>2939</v>
      </c>
    </row>
    <row r="543" customFormat="false" ht="15" hidden="false" customHeight="false" outlineLevel="0" collapsed="false">
      <c r="N543" s="83" t="s">
        <v>2940</v>
      </c>
    </row>
    <row r="544" customFormat="false" ht="15" hidden="false" customHeight="false" outlineLevel="0" collapsed="false">
      <c r="N544" s="83" t="s">
        <v>2941</v>
      </c>
    </row>
    <row r="545" customFormat="false" ht="15" hidden="false" customHeight="false" outlineLevel="0" collapsed="false">
      <c r="N545" s="83" t="s">
        <v>1808</v>
      </c>
    </row>
    <row r="546" customFormat="false" ht="15" hidden="false" customHeight="false" outlineLevel="0" collapsed="false">
      <c r="N546" s="83" t="s">
        <v>2942</v>
      </c>
    </row>
    <row r="547" customFormat="false" ht="15" hidden="false" customHeight="false" outlineLevel="0" collapsed="false">
      <c r="N547" s="83" t="s">
        <v>2943</v>
      </c>
    </row>
    <row r="548" customFormat="false" ht="15" hidden="false" customHeight="false" outlineLevel="0" collapsed="false">
      <c r="N548" s="83" t="s">
        <v>2944</v>
      </c>
    </row>
    <row r="549" customFormat="false" ht="15" hidden="false" customHeight="false" outlineLevel="0" collapsed="false">
      <c r="N549" s="83" t="s">
        <v>2945</v>
      </c>
    </row>
    <row r="550" customFormat="false" ht="15" hidden="false" customHeight="false" outlineLevel="0" collapsed="false">
      <c r="N550" s="83" t="s">
        <v>2946</v>
      </c>
    </row>
    <row r="551" customFormat="false" ht="15" hidden="false" customHeight="false" outlineLevel="0" collapsed="false">
      <c r="N551" s="83" t="s">
        <v>2947</v>
      </c>
    </row>
    <row r="552" customFormat="false" ht="15" hidden="false" customHeight="false" outlineLevel="0" collapsed="false">
      <c r="N552" s="83" t="s">
        <v>2948</v>
      </c>
    </row>
    <row r="553" customFormat="false" ht="15" hidden="false" customHeight="false" outlineLevel="0" collapsed="false">
      <c r="N553" s="83" t="s">
        <v>2949</v>
      </c>
    </row>
    <row r="554" customFormat="false" ht="15" hidden="false" customHeight="false" outlineLevel="0" collapsed="false">
      <c r="N554" s="83" t="s">
        <v>2950</v>
      </c>
    </row>
    <row r="555" customFormat="false" ht="15" hidden="false" customHeight="false" outlineLevel="0" collapsed="false">
      <c r="N555" s="83" t="s">
        <v>2951</v>
      </c>
    </row>
    <row r="556" customFormat="false" ht="15" hidden="false" customHeight="false" outlineLevel="0" collapsed="false">
      <c r="N556" s="83" t="s">
        <v>2952</v>
      </c>
    </row>
    <row r="557" customFormat="false" ht="15" hidden="false" customHeight="false" outlineLevel="0" collapsed="false">
      <c r="N557" s="83" t="s">
        <v>2953</v>
      </c>
    </row>
    <row r="558" customFormat="false" ht="15" hidden="false" customHeight="false" outlineLevel="0" collapsed="false">
      <c r="N558" s="83" t="s">
        <v>2954</v>
      </c>
    </row>
    <row r="559" customFormat="false" ht="15" hidden="false" customHeight="false" outlineLevel="0" collapsed="false">
      <c r="N559" s="83" t="s">
        <v>2955</v>
      </c>
    </row>
    <row r="560" customFormat="false" ht="15" hidden="false" customHeight="false" outlineLevel="0" collapsed="false">
      <c r="N560" s="83" t="s">
        <v>2956</v>
      </c>
    </row>
    <row r="561" customFormat="false" ht="15" hidden="false" customHeight="false" outlineLevel="0" collapsed="false">
      <c r="N561" s="83" t="s">
        <v>2957</v>
      </c>
    </row>
    <row r="562" customFormat="false" ht="15" hidden="false" customHeight="false" outlineLevel="0" collapsed="false">
      <c r="N562" s="83" t="s">
        <v>2958</v>
      </c>
    </row>
    <row r="563" customFormat="false" ht="15" hidden="false" customHeight="false" outlineLevel="0" collapsed="false">
      <c r="N563" s="83" t="s">
        <v>2959</v>
      </c>
    </row>
    <row r="564" customFormat="false" ht="15" hidden="false" customHeight="false" outlineLevel="0" collapsed="false">
      <c r="N564" s="83" t="s">
        <v>2960</v>
      </c>
    </row>
    <row r="565" customFormat="false" ht="15" hidden="false" customHeight="false" outlineLevel="0" collapsed="false">
      <c r="N565" s="83" t="s">
        <v>2961</v>
      </c>
    </row>
    <row r="566" customFormat="false" ht="15" hidden="false" customHeight="false" outlineLevel="0" collapsed="false">
      <c r="N566" s="83" t="s">
        <v>2962</v>
      </c>
    </row>
    <row r="567" customFormat="false" ht="15" hidden="false" customHeight="false" outlineLevel="0" collapsed="false">
      <c r="N567" s="83" t="s">
        <v>2963</v>
      </c>
    </row>
    <row r="568" customFormat="false" ht="15" hidden="false" customHeight="false" outlineLevel="0" collapsed="false">
      <c r="N568" s="83" t="s">
        <v>2964</v>
      </c>
    </row>
    <row r="569" customFormat="false" ht="15" hidden="false" customHeight="false" outlineLevel="0" collapsed="false">
      <c r="N569" s="83" t="s">
        <v>2965</v>
      </c>
    </row>
    <row r="570" customFormat="false" ht="15" hidden="false" customHeight="false" outlineLevel="0" collapsed="false">
      <c r="N570" s="83" t="s">
        <v>2966</v>
      </c>
    </row>
    <row r="571" customFormat="false" ht="15" hidden="false" customHeight="false" outlineLevel="0" collapsed="false">
      <c r="N571" s="83" t="s">
        <v>2967</v>
      </c>
    </row>
    <row r="572" customFormat="false" ht="15" hidden="false" customHeight="false" outlineLevel="0" collapsed="false">
      <c r="N572" s="83" t="s">
        <v>2968</v>
      </c>
    </row>
    <row r="573" customFormat="false" ht="15" hidden="false" customHeight="false" outlineLevel="0" collapsed="false">
      <c r="N573" s="83" t="s">
        <v>2969</v>
      </c>
    </row>
    <row r="574" customFormat="false" ht="15" hidden="false" customHeight="false" outlineLevel="0" collapsed="false">
      <c r="N574" s="83" t="s">
        <v>2970</v>
      </c>
    </row>
    <row r="575" customFormat="false" ht="15" hidden="false" customHeight="false" outlineLevel="0" collapsed="false">
      <c r="N575" s="83" t="s">
        <v>2971</v>
      </c>
    </row>
    <row r="576" customFormat="false" ht="15" hidden="false" customHeight="false" outlineLevel="0" collapsed="false">
      <c r="N576" s="83" t="s">
        <v>2972</v>
      </c>
    </row>
    <row r="577" customFormat="false" ht="15" hidden="false" customHeight="false" outlineLevel="0" collapsed="false">
      <c r="N577" s="83" t="s">
        <v>2973</v>
      </c>
    </row>
    <row r="578" customFormat="false" ht="15" hidden="false" customHeight="false" outlineLevel="0" collapsed="false">
      <c r="N578" s="83" t="s">
        <v>2974</v>
      </c>
    </row>
    <row r="579" customFormat="false" ht="15" hidden="false" customHeight="false" outlineLevel="0" collapsed="false">
      <c r="N579" s="83" t="s">
        <v>2975</v>
      </c>
    </row>
    <row r="580" customFormat="false" ht="15" hidden="false" customHeight="false" outlineLevel="0" collapsed="false">
      <c r="N580" s="83" t="s">
        <v>2976</v>
      </c>
    </row>
    <row r="581" customFormat="false" ht="15" hidden="false" customHeight="false" outlineLevel="0" collapsed="false">
      <c r="N581" s="83" t="s">
        <v>2977</v>
      </c>
    </row>
    <row r="582" customFormat="false" ht="15" hidden="false" customHeight="false" outlineLevel="0" collapsed="false">
      <c r="N582" s="83" t="s">
        <v>2978</v>
      </c>
    </row>
    <row r="583" customFormat="false" ht="15" hidden="false" customHeight="false" outlineLevel="0" collapsed="false">
      <c r="N583" s="83" t="s">
        <v>2979</v>
      </c>
    </row>
    <row r="584" customFormat="false" ht="15" hidden="false" customHeight="false" outlineLevel="0" collapsed="false">
      <c r="N584" s="83" t="s">
        <v>2980</v>
      </c>
    </row>
    <row r="585" customFormat="false" ht="15" hidden="false" customHeight="false" outlineLevel="0" collapsed="false">
      <c r="N585" s="83" t="s">
        <v>2981</v>
      </c>
    </row>
    <row r="586" customFormat="false" ht="15" hidden="false" customHeight="false" outlineLevel="0" collapsed="false">
      <c r="N586" s="83" t="s">
        <v>2982</v>
      </c>
    </row>
    <row r="587" customFormat="false" ht="15" hidden="false" customHeight="false" outlineLevel="0" collapsed="false">
      <c r="N587" s="83" t="s">
        <v>2983</v>
      </c>
    </row>
    <row r="588" customFormat="false" ht="15" hidden="false" customHeight="false" outlineLevel="0" collapsed="false">
      <c r="N588" s="83" t="s">
        <v>2984</v>
      </c>
    </row>
    <row r="589" customFormat="false" ht="15" hidden="false" customHeight="false" outlineLevel="0" collapsed="false">
      <c r="N589" s="83" t="s">
        <v>2985</v>
      </c>
    </row>
    <row r="590" customFormat="false" ht="15" hidden="false" customHeight="false" outlineLevel="0" collapsed="false">
      <c r="N590" s="83" t="s">
        <v>2986</v>
      </c>
    </row>
    <row r="591" customFormat="false" ht="15" hidden="false" customHeight="false" outlineLevel="0" collapsed="false">
      <c r="N591" s="83" t="s">
        <v>2987</v>
      </c>
    </row>
    <row r="592" customFormat="false" ht="15" hidden="false" customHeight="false" outlineLevel="0" collapsed="false">
      <c r="N592" s="83" t="s">
        <v>2988</v>
      </c>
    </row>
    <row r="593" customFormat="false" ht="15" hidden="false" customHeight="false" outlineLevel="0" collapsed="false">
      <c r="N593" s="83" t="s">
        <v>2989</v>
      </c>
    </row>
    <row r="594" customFormat="false" ht="15" hidden="false" customHeight="false" outlineLevel="0" collapsed="false">
      <c r="N594" s="83" t="s">
        <v>2990</v>
      </c>
    </row>
    <row r="595" customFormat="false" ht="15" hidden="false" customHeight="false" outlineLevel="0" collapsed="false">
      <c r="N595" s="83" t="s">
        <v>2991</v>
      </c>
    </row>
    <row r="596" customFormat="false" ht="15" hidden="false" customHeight="false" outlineLevel="0" collapsed="false">
      <c r="N596" s="83" t="s">
        <v>2992</v>
      </c>
    </row>
    <row r="597" customFormat="false" ht="15" hidden="false" customHeight="false" outlineLevel="0" collapsed="false">
      <c r="N597" s="83" t="s">
        <v>2993</v>
      </c>
    </row>
    <row r="598" customFormat="false" ht="15" hidden="false" customHeight="false" outlineLevel="0" collapsed="false">
      <c r="N598" s="83" t="s">
        <v>2994</v>
      </c>
    </row>
    <row r="599" customFormat="false" ht="15" hidden="false" customHeight="false" outlineLevel="0" collapsed="false">
      <c r="N599" s="83" t="s">
        <v>2995</v>
      </c>
    </row>
    <row r="600" customFormat="false" ht="15" hidden="false" customHeight="false" outlineLevel="0" collapsed="false">
      <c r="N600" s="83" t="s">
        <v>2996</v>
      </c>
    </row>
    <row r="601" customFormat="false" ht="15" hidden="false" customHeight="false" outlineLevel="0" collapsed="false">
      <c r="N601" s="83" t="s">
        <v>2997</v>
      </c>
    </row>
    <row r="602" customFormat="false" ht="15" hidden="false" customHeight="false" outlineLevel="0" collapsed="false">
      <c r="N602" s="83" t="s">
        <v>2998</v>
      </c>
    </row>
    <row r="603" customFormat="false" ht="15" hidden="false" customHeight="false" outlineLevel="0" collapsed="false">
      <c r="N603" s="83" t="s">
        <v>2999</v>
      </c>
    </row>
    <row r="604" customFormat="false" ht="15" hidden="false" customHeight="false" outlineLevel="0" collapsed="false">
      <c r="N604" s="83" t="s">
        <v>3000</v>
      </c>
    </row>
    <row r="605" customFormat="false" ht="15" hidden="false" customHeight="false" outlineLevel="0" collapsed="false">
      <c r="N605" s="83" t="s">
        <v>3001</v>
      </c>
    </row>
    <row r="606" customFormat="false" ht="15" hidden="false" customHeight="false" outlineLevel="0" collapsed="false">
      <c r="N606" s="83" t="s">
        <v>3002</v>
      </c>
    </row>
    <row r="607" customFormat="false" ht="15" hidden="false" customHeight="false" outlineLevel="0" collapsed="false">
      <c r="N607" s="83" t="s">
        <v>3003</v>
      </c>
    </row>
    <row r="608" customFormat="false" ht="15" hidden="false" customHeight="false" outlineLevel="0" collapsed="false">
      <c r="N608" s="83" t="s">
        <v>3004</v>
      </c>
    </row>
    <row r="609" customFormat="false" ht="15" hidden="false" customHeight="false" outlineLevel="0" collapsed="false">
      <c r="N609" s="83" t="s">
        <v>3005</v>
      </c>
    </row>
    <row r="610" customFormat="false" ht="15" hidden="false" customHeight="false" outlineLevel="0" collapsed="false">
      <c r="N610" s="83" t="s">
        <v>3006</v>
      </c>
    </row>
    <row r="611" customFormat="false" ht="15" hidden="false" customHeight="false" outlineLevel="0" collapsed="false">
      <c r="N611" s="83" t="s">
        <v>3007</v>
      </c>
    </row>
    <row r="612" customFormat="false" ht="15" hidden="false" customHeight="false" outlineLevel="0" collapsed="false">
      <c r="N612" s="83" t="s">
        <v>3008</v>
      </c>
    </row>
    <row r="613" customFormat="false" ht="15" hidden="false" customHeight="false" outlineLevel="0" collapsed="false">
      <c r="N613" s="83" t="s">
        <v>3009</v>
      </c>
    </row>
    <row r="614" customFormat="false" ht="15" hidden="false" customHeight="false" outlineLevel="0" collapsed="false">
      <c r="N614" s="83" t="s">
        <v>3010</v>
      </c>
    </row>
    <row r="615" customFormat="false" ht="15" hidden="false" customHeight="false" outlineLevel="0" collapsed="false">
      <c r="N615" s="83" t="s">
        <v>3011</v>
      </c>
    </row>
    <row r="616" customFormat="false" ht="15" hidden="false" customHeight="false" outlineLevel="0" collapsed="false">
      <c r="N616" s="83" t="s">
        <v>3012</v>
      </c>
    </row>
    <row r="617" customFormat="false" ht="15" hidden="false" customHeight="false" outlineLevel="0" collapsed="false">
      <c r="N617" s="83" t="s">
        <v>3013</v>
      </c>
    </row>
    <row r="618" customFormat="false" ht="15" hidden="false" customHeight="false" outlineLevel="0" collapsed="false">
      <c r="N618" s="83" t="s">
        <v>3014</v>
      </c>
    </row>
    <row r="619" customFormat="false" ht="15" hidden="false" customHeight="false" outlineLevel="0" collapsed="false">
      <c r="N619" s="83" t="s">
        <v>3015</v>
      </c>
    </row>
    <row r="620" customFormat="false" ht="15" hidden="false" customHeight="false" outlineLevel="0" collapsed="false">
      <c r="N620" s="83" t="s">
        <v>3016</v>
      </c>
    </row>
    <row r="621" customFormat="false" ht="15" hidden="false" customHeight="false" outlineLevel="0" collapsed="false">
      <c r="N621" s="83" t="s">
        <v>3017</v>
      </c>
    </row>
    <row r="622" customFormat="false" ht="15" hidden="false" customHeight="false" outlineLevel="0" collapsed="false">
      <c r="N622" s="83" t="s">
        <v>3018</v>
      </c>
    </row>
    <row r="623" customFormat="false" ht="15" hidden="false" customHeight="false" outlineLevel="0" collapsed="false">
      <c r="N623" s="83" t="s">
        <v>3019</v>
      </c>
    </row>
    <row r="624" customFormat="false" ht="15" hidden="false" customHeight="false" outlineLevel="0" collapsed="false">
      <c r="N624" s="83" t="s">
        <v>3020</v>
      </c>
    </row>
    <row r="625" customFormat="false" ht="15" hidden="false" customHeight="false" outlineLevel="0" collapsed="false">
      <c r="N625" s="83" t="s">
        <v>3021</v>
      </c>
    </row>
    <row r="626" customFormat="false" ht="15" hidden="false" customHeight="false" outlineLevel="0" collapsed="false">
      <c r="N626" s="83" t="s">
        <v>3022</v>
      </c>
    </row>
    <row r="627" customFormat="false" ht="15" hidden="false" customHeight="false" outlineLevel="0" collapsed="false">
      <c r="N627" s="83" t="s">
        <v>3023</v>
      </c>
    </row>
    <row r="628" customFormat="false" ht="15" hidden="false" customHeight="false" outlineLevel="0" collapsed="false">
      <c r="N628" s="83" t="s">
        <v>3024</v>
      </c>
    </row>
    <row r="629" customFormat="false" ht="15" hidden="false" customHeight="false" outlineLevel="0" collapsed="false">
      <c r="N629" s="83" t="s">
        <v>3025</v>
      </c>
    </row>
    <row r="630" customFormat="false" ht="15" hidden="false" customHeight="false" outlineLevel="0" collapsed="false">
      <c r="N630" s="83" t="s">
        <v>3026</v>
      </c>
    </row>
    <row r="631" customFormat="false" ht="15" hidden="false" customHeight="false" outlineLevel="0" collapsed="false">
      <c r="N631" s="83" t="s">
        <v>3027</v>
      </c>
    </row>
    <row r="632" customFormat="false" ht="15" hidden="false" customHeight="false" outlineLevel="0" collapsed="false">
      <c r="N632" s="83" t="s">
        <v>3028</v>
      </c>
    </row>
    <row r="633" customFormat="false" ht="15" hidden="false" customHeight="false" outlineLevel="0" collapsed="false">
      <c r="N633" s="83" t="s">
        <v>3029</v>
      </c>
    </row>
    <row r="634" customFormat="false" ht="15" hidden="false" customHeight="false" outlineLevel="0" collapsed="false">
      <c r="N634" s="83" t="s">
        <v>3030</v>
      </c>
    </row>
    <row r="635" customFormat="false" ht="15" hidden="false" customHeight="false" outlineLevel="0" collapsed="false">
      <c r="N635" s="83" t="s">
        <v>3031</v>
      </c>
    </row>
    <row r="636" customFormat="false" ht="15" hidden="false" customHeight="false" outlineLevel="0" collapsed="false">
      <c r="N636" s="83" t="s">
        <v>3032</v>
      </c>
    </row>
    <row r="637" customFormat="false" ht="15" hidden="false" customHeight="false" outlineLevel="0" collapsed="false">
      <c r="N637" s="83" t="s">
        <v>3033</v>
      </c>
    </row>
    <row r="638" customFormat="false" ht="15" hidden="false" customHeight="false" outlineLevel="0" collapsed="false">
      <c r="N638" s="83" t="s">
        <v>3034</v>
      </c>
    </row>
    <row r="639" customFormat="false" ht="15" hidden="false" customHeight="false" outlineLevel="0" collapsed="false">
      <c r="N639" s="83" t="s">
        <v>3035</v>
      </c>
    </row>
    <row r="640" customFormat="false" ht="15" hidden="false" customHeight="false" outlineLevel="0" collapsed="false">
      <c r="N640" s="83" t="s">
        <v>3036</v>
      </c>
    </row>
    <row r="641" customFormat="false" ht="15" hidden="false" customHeight="false" outlineLevel="0" collapsed="false">
      <c r="N641" s="83" t="s">
        <v>3037</v>
      </c>
    </row>
    <row r="642" customFormat="false" ht="15" hidden="false" customHeight="false" outlineLevel="0" collapsed="false">
      <c r="N642" s="83" t="s">
        <v>3038</v>
      </c>
    </row>
    <row r="643" customFormat="false" ht="15" hidden="false" customHeight="false" outlineLevel="0" collapsed="false">
      <c r="N643" s="83" t="s">
        <v>3039</v>
      </c>
    </row>
    <row r="644" customFormat="false" ht="15" hidden="false" customHeight="false" outlineLevel="0" collapsed="false">
      <c r="N644" s="83" t="s">
        <v>3040</v>
      </c>
    </row>
    <row r="645" customFormat="false" ht="15" hidden="false" customHeight="false" outlineLevel="0" collapsed="false">
      <c r="N645" s="83" t="s">
        <v>3041</v>
      </c>
    </row>
    <row r="646" customFormat="false" ht="15" hidden="false" customHeight="false" outlineLevel="0" collapsed="false">
      <c r="N646" s="83" t="s">
        <v>3042</v>
      </c>
    </row>
    <row r="647" customFormat="false" ht="15" hidden="false" customHeight="false" outlineLevel="0" collapsed="false">
      <c r="N647" s="83" t="s">
        <v>3043</v>
      </c>
    </row>
    <row r="648" customFormat="false" ht="15" hidden="false" customHeight="false" outlineLevel="0" collapsed="false">
      <c r="N648" s="83" t="s">
        <v>3044</v>
      </c>
    </row>
    <row r="649" customFormat="false" ht="15" hidden="false" customHeight="false" outlineLevel="0" collapsed="false">
      <c r="N649" s="83" t="s">
        <v>3045</v>
      </c>
    </row>
    <row r="650" customFormat="false" ht="15" hidden="false" customHeight="false" outlineLevel="0" collapsed="false">
      <c r="N650" s="83" t="s">
        <v>3046</v>
      </c>
    </row>
    <row r="651" customFormat="false" ht="15" hidden="false" customHeight="false" outlineLevel="0" collapsed="false">
      <c r="N651" s="83" t="s">
        <v>3047</v>
      </c>
    </row>
    <row r="652" customFormat="false" ht="15" hidden="false" customHeight="false" outlineLevel="0" collapsed="false">
      <c r="N652" s="83" t="s">
        <v>3048</v>
      </c>
    </row>
    <row r="653" customFormat="false" ht="15" hidden="false" customHeight="false" outlineLevel="0" collapsed="false">
      <c r="N653" s="83" t="s">
        <v>3049</v>
      </c>
    </row>
    <row r="654" customFormat="false" ht="15" hidden="false" customHeight="false" outlineLevel="0" collapsed="false">
      <c r="N654" s="83" t="s">
        <v>3050</v>
      </c>
    </row>
    <row r="655" customFormat="false" ht="15" hidden="false" customHeight="false" outlineLevel="0" collapsed="false">
      <c r="N655" s="83" t="s">
        <v>3051</v>
      </c>
    </row>
    <row r="656" customFormat="false" ht="15" hidden="false" customHeight="false" outlineLevel="0" collapsed="false">
      <c r="N656" s="83" t="s">
        <v>3052</v>
      </c>
    </row>
    <row r="657" customFormat="false" ht="15" hidden="false" customHeight="false" outlineLevel="0" collapsed="false">
      <c r="N657" s="83" t="s">
        <v>3053</v>
      </c>
    </row>
    <row r="658" customFormat="false" ht="15" hidden="false" customHeight="false" outlineLevel="0" collapsed="false">
      <c r="N658" s="83" t="s">
        <v>3054</v>
      </c>
    </row>
    <row r="659" customFormat="false" ht="15" hidden="false" customHeight="false" outlineLevel="0" collapsed="false">
      <c r="N659" s="83" t="s">
        <v>3055</v>
      </c>
    </row>
    <row r="660" customFormat="false" ht="15" hidden="false" customHeight="false" outlineLevel="0" collapsed="false">
      <c r="N660" s="83" t="s">
        <v>3056</v>
      </c>
    </row>
    <row r="661" customFormat="false" ht="15" hidden="false" customHeight="false" outlineLevel="0" collapsed="false">
      <c r="N661" s="83" t="s">
        <v>3057</v>
      </c>
    </row>
    <row r="662" customFormat="false" ht="15" hidden="false" customHeight="false" outlineLevel="0" collapsed="false">
      <c r="N662" s="83" t="s">
        <v>3058</v>
      </c>
    </row>
    <row r="663" customFormat="false" ht="15" hidden="false" customHeight="false" outlineLevel="0" collapsed="false">
      <c r="N663" s="83" t="s">
        <v>3059</v>
      </c>
    </row>
    <row r="664" customFormat="false" ht="15" hidden="false" customHeight="false" outlineLevel="0" collapsed="false">
      <c r="N664" s="83" t="s">
        <v>3060</v>
      </c>
    </row>
    <row r="665" customFormat="false" ht="15" hidden="false" customHeight="false" outlineLevel="0" collapsed="false">
      <c r="N665" s="83" t="s">
        <v>3061</v>
      </c>
    </row>
    <row r="666" customFormat="false" ht="15" hidden="false" customHeight="false" outlineLevel="0" collapsed="false">
      <c r="N666" s="83" t="s">
        <v>3062</v>
      </c>
    </row>
    <row r="667" customFormat="false" ht="15" hidden="false" customHeight="false" outlineLevel="0" collapsed="false">
      <c r="N667" s="83" t="s">
        <v>3063</v>
      </c>
    </row>
    <row r="668" customFormat="false" ht="15" hidden="false" customHeight="false" outlineLevel="0" collapsed="false">
      <c r="N668" s="83" t="s">
        <v>3064</v>
      </c>
    </row>
    <row r="669" customFormat="false" ht="15" hidden="false" customHeight="false" outlineLevel="0" collapsed="false">
      <c r="N669" s="83" t="s">
        <v>3065</v>
      </c>
    </row>
    <row r="670" customFormat="false" ht="15" hidden="false" customHeight="false" outlineLevel="0" collapsed="false">
      <c r="N670" s="83" t="s">
        <v>3066</v>
      </c>
    </row>
    <row r="671" customFormat="false" ht="15" hidden="false" customHeight="false" outlineLevel="0" collapsed="false">
      <c r="N671" s="83" t="s">
        <v>3067</v>
      </c>
    </row>
    <row r="672" customFormat="false" ht="15" hidden="false" customHeight="false" outlineLevel="0" collapsed="false">
      <c r="N672" s="83" t="s">
        <v>3068</v>
      </c>
    </row>
    <row r="673" customFormat="false" ht="15" hidden="false" customHeight="false" outlineLevel="0" collapsed="false">
      <c r="N673" s="83" t="s">
        <v>3069</v>
      </c>
    </row>
    <row r="674" customFormat="false" ht="15" hidden="false" customHeight="false" outlineLevel="0" collapsed="false">
      <c r="N674" s="83" t="s">
        <v>3070</v>
      </c>
    </row>
    <row r="675" customFormat="false" ht="15" hidden="false" customHeight="false" outlineLevel="0" collapsed="false">
      <c r="N675" s="83" t="s">
        <v>3071</v>
      </c>
    </row>
    <row r="676" customFormat="false" ht="15" hidden="false" customHeight="false" outlineLevel="0" collapsed="false">
      <c r="N676" s="83" t="s">
        <v>3072</v>
      </c>
    </row>
    <row r="677" customFormat="false" ht="15" hidden="false" customHeight="false" outlineLevel="0" collapsed="false">
      <c r="N677" s="83" t="s">
        <v>3073</v>
      </c>
    </row>
    <row r="678" customFormat="false" ht="15" hidden="false" customHeight="false" outlineLevel="0" collapsed="false">
      <c r="N678" s="83" t="s">
        <v>3074</v>
      </c>
    </row>
    <row r="679" customFormat="false" ht="15" hidden="false" customHeight="false" outlineLevel="0" collapsed="false">
      <c r="N679" s="83" t="s">
        <v>3075</v>
      </c>
    </row>
    <row r="680" customFormat="false" ht="15" hidden="false" customHeight="false" outlineLevel="0" collapsed="false">
      <c r="N680" s="83" t="s">
        <v>3076</v>
      </c>
    </row>
    <row r="681" customFormat="false" ht="15" hidden="false" customHeight="false" outlineLevel="0" collapsed="false">
      <c r="N681" s="83" t="s">
        <v>3077</v>
      </c>
    </row>
    <row r="682" customFormat="false" ht="15" hidden="false" customHeight="false" outlineLevel="0" collapsed="false">
      <c r="N682" s="83" t="s">
        <v>3078</v>
      </c>
    </row>
    <row r="683" customFormat="false" ht="15" hidden="false" customHeight="false" outlineLevel="0" collapsed="false">
      <c r="N683" s="83" t="s">
        <v>3079</v>
      </c>
    </row>
    <row r="684" customFormat="false" ht="15" hidden="false" customHeight="false" outlineLevel="0" collapsed="false">
      <c r="N684" s="83" t="s">
        <v>3080</v>
      </c>
    </row>
    <row r="685" customFormat="false" ht="15" hidden="false" customHeight="false" outlineLevel="0" collapsed="false">
      <c r="N685" s="83" t="s">
        <v>3081</v>
      </c>
    </row>
    <row r="686" customFormat="false" ht="15" hidden="false" customHeight="false" outlineLevel="0" collapsed="false">
      <c r="N686" s="83" t="s">
        <v>3082</v>
      </c>
    </row>
    <row r="687" customFormat="false" ht="15" hidden="false" customHeight="false" outlineLevel="0" collapsed="false">
      <c r="N687" s="83" t="s">
        <v>3083</v>
      </c>
    </row>
    <row r="688" customFormat="false" ht="15" hidden="false" customHeight="false" outlineLevel="0" collapsed="false">
      <c r="N688" s="83" t="s">
        <v>3084</v>
      </c>
    </row>
    <row r="689" customFormat="false" ht="15" hidden="false" customHeight="false" outlineLevel="0" collapsed="false">
      <c r="N689" s="83" t="s">
        <v>3085</v>
      </c>
    </row>
    <row r="690" customFormat="false" ht="15" hidden="false" customHeight="false" outlineLevel="0" collapsed="false">
      <c r="N690" s="83" t="s">
        <v>3086</v>
      </c>
    </row>
    <row r="691" customFormat="false" ht="15" hidden="false" customHeight="false" outlineLevel="0" collapsed="false">
      <c r="N691" s="83" t="s">
        <v>3087</v>
      </c>
    </row>
    <row r="692" customFormat="false" ht="15" hidden="false" customHeight="false" outlineLevel="0" collapsed="false">
      <c r="N692" s="83" t="s">
        <v>3088</v>
      </c>
    </row>
    <row r="693" customFormat="false" ht="15" hidden="false" customHeight="false" outlineLevel="0" collapsed="false">
      <c r="N693" s="83" t="s">
        <v>3089</v>
      </c>
    </row>
    <row r="694" customFormat="false" ht="15" hidden="false" customHeight="false" outlineLevel="0" collapsed="false">
      <c r="N694" s="83" t="s">
        <v>3090</v>
      </c>
    </row>
    <row r="695" customFormat="false" ht="15" hidden="false" customHeight="false" outlineLevel="0" collapsed="false">
      <c r="N695" s="83" t="s">
        <v>3091</v>
      </c>
    </row>
    <row r="696" customFormat="false" ht="15" hidden="false" customHeight="false" outlineLevel="0" collapsed="false">
      <c r="N696" s="83" t="s">
        <v>3092</v>
      </c>
    </row>
    <row r="697" customFormat="false" ht="15" hidden="false" customHeight="false" outlineLevel="0" collapsed="false">
      <c r="N697" s="83" t="s">
        <v>3093</v>
      </c>
    </row>
    <row r="698" customFormat="false" ht="15" hidden="false" customHeight="false" outlineLevel="0" collapsed="false">
      <c r="N698" s="83" t="s">
        <v>3094</v>
      </c>
    </row>
    <row r="699" customFormat="false" ht="15" hidden="false" customHeight="false" outlineLevel="0" collapsed="false">
      <c r="N699" s="83" t="s">
        <v>3095</v>
      </c>
    </row>
    <row r="700" customFormat="false" ht="15" hidden="false" customHeight="false" outlineLevel="0" collapsed="false">
      <c r="N700" s="83" t="s">
        <v>3096</v>
      </c>
    </row>
    <row r="701" customFormat="false" ht="15" hidden="false" customHeight="false" outlineLevel="0" collapsed="false">
      <c r="N701" s="83" t="s">
        <v>3097</v>
      </c>
    </row>
    <row r="702" customFormat="false" ht="15" hidden="false" customHeight="false" outlineLevel="0" collapsed="false">
      <c r="N702" s="83" t="s">
        <v>3098</v>
      </c>
    </row>
    <row r="703" customFormat="false" ht="15" hidden="false" customHeight="false" outlineLevel="0" collapsed="false">
      <c r="N703" s="83" t="s">
        <v>3099</v>
      </c>
    </row>
    <row r="704" customFormat="false" ht="15" hidden="false" customHeight="false" outlineLevel="0" collapsed="false">
      <c r="N704" s="83" t="s">
        <v>3100</v>
      </c>
    </row>
    <row r="705" customFormat="false" ht="15" hidden="false" customHeight="false" outlineLevel="0" collapsed="false">
      <c r="N705" s="83" t="s">
        <v>3101</v>
      </c>
    </row>
    <row r="706" customFormat="false" ht="15" hidden="false" customHeight="false" outlineLevel="0" collapsed="false">
      <c r="N706" s="83" t="s">
        <v>3102</v>
      </c>
    </row>
    <row r="707" customFormat="false" ht="15" hidden="false" customHeight="false" outlineLevel="0" collapsed="false">
      <c r="N707" s="83" t="s">
        <v>3103</v>
      </c>
    </row>
    <row r="708" customFormat="false" ht="15" hidden="false" customHeight="false" outlineLevel="0" collapsed="false">
      <c r="N708" s="83" t="s">
        <v>3104</v>
      </c>
    </row>
    <row r="709" customFormat="false" ht="15" hidden="false" customHeight="false" outlineLevel="0" collapsed="false">
      <c r="N709" s="83" t="s">
        <v>3105</v>
      </c>
    </row>
    <row r="710" customFormat="false" ht="15" hidden="false" customHeight="false" outlineLevel="0" collapsed="false">
      <c r="N710" s="83" t="s">
        <v>3106</v>
      </c>
    </row>
    <row r="711" customFormat="false" ht="15" hidden="false" customHeight="false" outlineLevel="0" collapsed="false">
      <c r="N711" s="83" t="s">
        <v>3107</v>
      </c>
    </row>
    <row r="712" customFormat="false" ht="15" hidden="false" customHeight="false" outlineLevel="0" collapsed="false">
      <c r="N712" s="83" t="s">
        <v>3108</v>
      </c>
    </row>
    <row r="713" customFormat="false" ht="15" hidden="false" customHeight="false" outlineLevel="0" collapsed="false">
      <c r="N713" s="83" t="s">
        <v>3109</v>
      </c>
    </row>
    <row r="714" customFormat="false" ht="15" hidden="false" customHeight="false" outlineLevel="0" collapsed="false">
      <c r="N714" s="83" t="s">
        <v>3110</v>
      </c>
    </row>
    <row r="715" customFormat="false" ht="15" hidden="false" customHeight="false" outlineLevel="0" collapsed="false">
      <c r="N715" s="83" t="s">
        <v>3111</v>
      </c>
    </row>
    <row r="716" customFormat="false" ht="15" hidden="false" customHeight="false" outlineLevel="0" collapsed="false">
      <c r="N716" s="83" t="s">
        <v>3112</v>
      </c>
    </row>
    <row r="717" customFormat="false" ht="15" hidden="false" customHeight="false" outlineLevel="0" collapsed="false">
      <c r="N717" s="83" t="s">
        <v>3113</v>
      </c>
    </row>
    <row r="718" customFormat="false" ht="15" hidden="false" customHeight="false" outlineLevel="0" collapsed="false">
      <c r="N718" s="83" t="s">
        <v>3114</v>
      </c>
    </row>
    <row r="719" customFormat="false" ht="15" hidden="false" customHeight="false" outlineLevel="0" collapsed="false">
      <c r="N719" s="83" t="s">
        <v>3115</v>
      </c>
    </row>
    <row r="720" customFormat="false" ht="15" hidden="false" customHeight="false" outlineLevel="0" collapsed="false">
      <c r="N720" s="83" t="s">
        <v>3116</v>
      </c>
    </row>
    <row r="721" customFormat="false" ht="15" hidden="false" customHeight="false" outlineLevel="0" collapsed="false">
      <c r="N721" s="83" t="s">
        <v>3117</v>
      </c>
    </row>
    <row r="722" customFormat="false" ht="15" hidden="false" customHeight="false" outlineLevel="0" collapsed="false">
      <c r="N722" s="83" t="s">
        <v>3118</v>
      </c>
    </row>
    <row r="723" customFormat="false" ht="15" hidden="false" customHeight="false" outlineLevel="0" collapsed="false">
      <c r="N723" s="83" t="s">
        <v>3119</v>
      </c>
    </row>
    <row r="724" customFormat="false" ht="15" hidden="false" customHeight="false" outlineLevel="0" collapsed="false">
      <c r="N724" s="83" t="s">
        <v>3120</v>
      </c>
    </row>
    <row r="725" customFormat="false" ht="15" hidden="false" customHeight="false" outlineLevel="0" collapsed="false">
      <c r="N725" s="83" t="s">
        <v>3121</v>
      </c>
    </row>
    <row r="726" customFormat="false" ht="15" hidden="false" customHeight="false" outlineLevel="0" collapsed="false">
      <c r="N726" s="83" t="s">
        <v>3122</v>
      </c>
    </row>
    <row r="727" customFormat="false" ht="15" hidden="false" customHeight="false" outlineLevel="0" collapsed="false">
      <c r="N727" s="83" t="s">
        <v>3123</v>
      </c>
    </row>
    <row r="728" customFormat="false" ht="15" hidden="false" customHeight="false" outlineLevel="0" collapsed="false">
      <c r="N728" s="83" t="s">
        <v>3124</v>
      </c>
    </row>
    <row r="729" customFormat="false" ht="15" hidden="false" customHeight="false" outlineLevel="0" collapsed="false">
      <c r="N729" s="83" t="s">
        <v>3125</v>
      </c>
    </row>
    <row r="730" customFormat="false" ht="15" hidden="false" customHeight="false" outlineLevel="0" collapsed="false">
      <c r="N730" s="83" t="s">
        <v>3126</v>
      </c>
    </row>
    <row r="731" customFormat="false" ht="15" hidden="false" customHeight="false" outlineLevel="0" collapsed="false">
      <c r="N731" s="83" t="s">
        <v>3127</v>
      </c>
    </row>
    <row r="732" customFormat="false" ht="15" hidden="false" customHeight="false" outlineLevel="0" collapsed="false">
      <c r="N732" s="83" t="s">
        <v>3128</v>
      </c>
    </row>
    <row r="733" customFormat="false" ht="15" hidden="false" customHeight="false" outlineLevel="0" collapsed="false">
      <c r="N733" s="83" t="s">
        <v>3129</v>
      </c>
    </row>
    <row r="734" customFormat="false" ht="15" hidden="false" customHeight="false" outlineLevel="0" collapsed="false">
      <c r="N734" s="83" t="s">
        <v>3130</v>
      </c>
    </row>
    <row r="735" customFormat="false" ht="15" hidden="false" customHeight="false" outlineLevel="0" collapsed="false">
      <c r="N735" s="83" t="s">
        <v>3131</v>
      </c>
    </row>
    <row r="736" customFormat="false" ht="15" hidden="false" customHeight="false" outlineLevel="0" collapsed="false">
      <c r="N736" s="83" t="s">
        <v>3132</v>
      </c>
    </row>
    <row r="737" customFormat="false" ht="15" hidden="false" customHeight="false" outlineLevel="0" collapsed="false">
      <c r="N737" s="83" t="s">
        <v>3133</v>
      </c>
    </row>
    <row r="738" customFormat="false" ht="15" hidden="false" customHeight="false" outlineLevel="0" collapsed="false">
      <c r="N738" s="83" t="s">
        <v>3134</v>
      </c>
    </row>
    <row r="739" customFormat="false" ht="15" hidden="false" customHeight="false" outlineLevel="0" collapsed="false">
      <c r="N739" s="83" t="s">
        <v>3135</v>
      </c>
    </row>
    <row r="740" customFormat="false" ht="15" hidden="false" customHeight="false" outlineLevel="0" collapsed="false">
      <c r="N740" s="83" t="s">
        <v>3136</v>
      </c>
    </row>
    <row r="741" customFormat="false" ht="15" hidden="false" customHeight="false" outlineLevel="0" collapsed="false">
      <c r="N741" s="83" t="s">
        <v>3137</v>
      </c>
    </row>
    <row r="742" customFormat="false" ht="15" hidden="false" customHeight="false" outlineLevel="0" collapsed="false">
      <c r="N742" s="83" t="s">
        <v>3138</v>
      </c>
    </row>
    <row r="743" customFormat="false" ht="15" hidden="false" customHeight="false" outlineLevel="0" collapsed="false">
      <c r="N743" s="83" t="s">
        <v>3139</v>
      </c>
    </row>
    <row r="744" customFormat="false" ht="15" hidden="false" customHeight="false" outlineLevel="0" collapsed="false">
      <c r="N744" s="83" t="s">
        <v>3140</v>
      </c>
    </row>
    <row r="745" customFormat="false" ht="15" hidden="false" customHeight="false" outlineLevel="0" collapsed="false">
      <c r="N745" s="83" t="s">
        <v>3141</v>
      </c>
    </row>
    <row r="746" customFormat="false" ht="15" hidden="false" customHeight="false" outlineLevel="0" collapsed="false">
      <c r="N746" s="83" t="s">
        <v>3142</v>
      </c>
    </row>
    <row r="747" customFormat="false" ht="15" hidden="false" customHeight="false" outlineLevel="0" collapsed="false">
      <c r="N747" s="83" t="s">
        <v>3143</v>
      </c>
    </row>
    <row r="748" customFormat="false" ht="15" hidden="false" customHeight="false" outlineLevel="0" collapsed="false">
      <c r="N748" s="83" t="s">
        <v>3144</v>
      </c>
    </row>
    <row r="749" customFormat="false" ht="15" hidden="false" customHeight="false" outlineLevel="0" collapsed="false">
      <c r="N749" s="83" t="s">
        <v>3145</v>
      </c>
    </row>
    <row r="750" customFormat="false" ht="15" hidden="false" customHeight="false" outlineLevel="0" collapsed="false">
      <c r="N750" s="83" t="s">
        <v>3146</v>
      </c>
    </row>
    <row r="751" customFormat="false" ht="15" hidden="false" customHeight="false" outlineLevel="0" collapsed="false">
      <c r="N751" s="83" t="s">
        <v>3147</v>
      </c>
    </row>
    <row r="752" customFormat="false" ht="15" hidden="false" customHeight="false" outlineLevel="0" collapsed="false">
      <c r="N752" s="83" t="s">
        <v>3148</v>
      </c>
    </row>
    <row r="753" customFormat="false" ht="15" hidden="false" customHeight="false" outlineLevel="0" collapsed="false">
      <c r="N753" s="83" t="s">
        <v>3149</v>
      </c>
    </row>
    <row r="754" customFormat="false" ht="15" hidden="false" customHeight="false" outlineLevel="0" collapsed="false">
      <c r="N754" s="83" t="s">
        <v>3150</v>
      </c>
    </row>
    <row r="755" customFormat="false" ht="15" hidden="false" customHeight="false" outlineLevel="0" collapsed="false">
      <c r="N755" s="83" t="s">
        <v>3151</v>
      </c>
    </row>
    <row r="756" customFormat="false" ht="15" hidden="false" customHeight="false" outlineLevel="0" collapsed="false">
      <c r="N756" s="83" t="s">
        <v>3152</v>
      </c>
    </row>
    <row r="757" customFormat="false" ht="15" hidden="false" customHeight="false" outlineLevel="0" collapsed="false">
      <c r="N757" s="83" t="s">
        <v>3153</v>
      </c>
    </row>
    <row r="758" customFormat="false" ht="15" hidden="false" customHeight="false" outlineLevel="0" collapsed="false">
      <c r="N758" s="83" t="s">
        <v>3154</v>
      </c>
    </row>
    <row r="759" customFormat="false" ht="15" hidden="false" customHeight="false" outlineLevel="0" collapsed="false">
      <c r="N759" s="83" t="s">
        <v>3155</v>
      </c>
    </row>
    <row r="760" customFormat="false" ht="15" hidden="false" customHeight="false" outlineLevel="0" collapsed="false">
      <c r="N760" s="83" t="s">
        <v>3156</v>
      </c>
    </row>
    <row r="761" customFormat="false" ht="15" hidden="false" customHeight="false" outlineLevel="0" collapsed="false">
      <c r="N761" s="83" t="s">
        <v>3157</v>
      </c>
    </row>
    <row r="762" customFormat="false" ht="15" hidden="false" customHeight="false" outlineLevel="0" collapsed="false">
      <c r="N762" s="83" t="s">
        <v>3158</v>
      </c>
    </row>
    <row r="763" customFormat="false" ht="15" hidden="false" customHeight="false" outlineLevel="0" collapsed="false">
      <c r="N763" s="83" t="s">
        <v>3159</v>
      </c>
    </row>
    <row r="764" customFormat="false" ht="15" hidden="false" customHeight="false" outlineLevel="0" collapsed="false">
      <c r="N764" s="83" t="s">
        <v>3160</v>
      </c>
    </row>
    <row r="765" customFormat="false" ht="15" hidden="false" customHeight="false" outlineLevel="0" collapsed="false">
      <c r="N765" s="83" t="s">
        <v>3161</v>
      </c>
    </row>
    <row r="766" customFormat="false" ht="15" hidden="false" customHeight="false" outlineLevel="0" collapsed="false">
      <c r="N766" s="83" t="s">
        <v>3162</v>
      </c>
    </row>
    <row r="767" customFormat="false" ht="15" hidden="false" customHeight="false" outlineLevel="0" collapsed="false">
      <c r="N767" s="83" t="s">
        <v>3163</v>
      </c>
    </row>
    <row r="768" customFormat="false" ht="15" hidden="false" customHeight="false" outlineLevel="0" collapsed="false">
      <c r="N768" s="83" t="s">
        <v>3164</v>
      </c>
    </row>
    <row r="769" customFormat="false" ht="15" hidden="false" customHeight="false" outlineLevel="0" collapsed="false">
      <c r="N769" s="83" t="s">
        <v>3165</v>
      </c>
    </row>
    <row r="770" customFormat="false" ht="15" hidden="false" customHeight="false" outlineLevel="0" collapsed="false">
      <c r="N770" s="83" t="s">
        <v>3166</v>
      </c>
    </row>
    <row r="771" customFormat="false" ht="15" hidden="false" customHeight="false" outlineLevel="0" collapsed="false">
      <c r="N771" s="83" t="s">
        <v>3167</v>
      </c>
    </row>
    <row r="772" customFormat="false" ht="15" hidden="false" customHeight="false" outlineLevel="0" collapsed="false">
      <c r="N772" s="83" t="s">
        <v>3168</v>
      </c>
    </row>
    <row r="773" customFormat="false" ht="15" hidden="false" customHeight="false" outlineLevel="0" collapsed="false">
      <c r="N773" s="83" t="s">
        <v>3169</v>
      </c>
    </row>
    <row r="774" customFormat="false" ht="15" hidden="false" customHeight="false" outlineLevel="0" collapsed="false">
      <c r="N774" s="83" t="s">
        <v>3170</v>
      </c>
    </row>
    <row r="775" customFormat="false" ht="15" hidden="false" customHeight="false" outlineLevel="0" collapsed="false">
      <c r="N775" s="83" t="s">
        <v>3171</v>
      </c>
    </row>
    <row r="776" customFormat="false" ht="15" hidden="false" customHeight="false" outlineLevel="0" collapsed="false">
      <c r="N776" s="83" t="s">
        <v>3172</v>
      </c>
    </row>
    <row r="777" customFormat="false" ht="15" hidden="false" customHeight="false" outlineLevel="0" collapsed="false">
      <c r="N777" s="83" t="s">
        <v>3173</v>
      </c>
    </row>
    <row r="778" customFormat="false" ht="15" hidden="false" customHeight="false" outlineLevel="0" collapsed="false">
      <c r="N778" s="83" t="s">
        <v>3174</v>
      </c>
    </row>
    <row r="779" customFormat="false" ht="15" hidden="false" customHeight="false" outlineLevel="0" collapsed="false">
      <c r="N779" s="83" t="s">
        <v>3175</v>
      </c>
    </row>
    <row r="780" customFormat="false" ht="15" hidden="false" customHeight="false" outlineLevel="0" collapsed="false">
      <c r="N780" s="83" t="s">
        <v>3176</v>
      </c>
    </row>
    <row r="781" customFormat="false" ht="15" hidden="false" customHeight="false" outlineLevel="0" collapsed="false">
      <c r="N781" s="83" t="s">
        <v>3177</v>
      </c>
    </row>
    <row r="782" customFormat="false" ht="15" hidden="false" customHeight="false" outlineLevel="0" collapsed="false">
      <c r="N782" s="83" t="s">
        <v>3178</v>
      </c>
    </row>
    <row r="783" customFormat="false" ht="15" hidden="false" customHeight="false" outlineLevel="0" collapsed="false">
      <c r="N783" s="83" t="s">
        <v>3179</v>
      </c>
    </row>
    <row r="784" customFormat="false" ht="15" hidden="false" customHeight="false" outlineLevel="0" collapsed="false">
      <c r="N784" s="83" t="s">
        <v>3180</v>
      </c>
    </row>
    <row r="785" customFormat="false" ht="15" hidden="false" customHeight="false" outlineLevel="0" collapsed="false">
      <c r="N785" s="83" t="s">
        <v>3181</v>
      </c>
    </row>
    <row r="786" customFormat="false" ht="15" hidden="false" customHeight="false" outlineLevel="0" collapsed="false">
      <c r="N786" s="83" t="s">
        <v>3182</v>
      </c>
    </row>
    <row r="787" customFormat="false" ht="15" hidden="false" customHeight="false" outlineLevel="0" collapsed="false">
      <c r="N787" s="83" t="s">
        <v>3183</v>
      </c>
    </row>
    <row r="788" customFormat="false" ht="15" hidden="false" customHeight="false" outlineLevel="0" collapsed="false">
      <c r="N788" s="83" t="s">
        <v>3184</v>
      </c>
    </row>
    <row r="789" customFormat="false" ht="15" hidden="false" customHeight="false" outlineLevel="0" collapsed="false">
      <c r="N789" s="83" t="s">
        <v>3185</v>
      </c>
    </row>
    <row r="790" customFormat="false" ht="15" hidden="false" customHeight="false" outlineLevel="0" collapsed="false">
      <c r="N790" s="83" t="s">
        <v>3186</v>
      </c>
    </row>
    <row r="791" customFormat="false" ht="15" hidden="false" customHeight="false" outlineLevel="0" collapsed="false">
      <c r="N791" s="83" t="s">
        <v>3187</v>
      </c>
    </row>
    <row r="792" customFormat="false" ht="15" hidden="false" customHeight="false" outlineLevel="0" collapsed="false">
      <c r="N792" s="83" t="s">
        <v>3188</v>
      </c>
    </row>
    <row r="793" customFormat="false" ht="15" hidden="false" customHeight="false" outlineLevel="0" collapsed="false">
      <c r="N793" s="83" t="s">
        <v>3189</v>
      </c>
    </row>
    <row r="794" customFormat="false" ht="15" hidden="false" customHeight="false" outlineLevel="0" collapsed="false">
      <c r="N794" s="83" t="s">
        <v>3190</v>
      </c>
    </row>
    <row r="795" customFormat="false" ht="15" hidden="false" customHeight="false" outlineLevel="0" collapsed="false">
      <c r="N795" s="83" t="s">
        <v>3191</v>
      </c>
    </row>
    <row r="796" customFormat="false" ht="15" hidden="false" customHeight="false" outlineLevel="0" collapsed="false">
      <c r="N796" s="83" t="s">
        <v>3192</v>
      </c>
    </row>
    <row r="797" customFormat="false" ht="15" hidden="false" customHeight="false" outlineLevel="0" collapsed="false">
      <c r="N797" s="83" t="s">
        <v>1865</v>
      </c>
    </row>
    <row r="798" customFormat="false" ht="15" hidden="false" customHeight="false" outlineLevel="0" collapsed="false">
      <c r="N798" s="83" t="s">
        <v>3193</v>
      </c>
    </row>
    <row r="799" customFormat="false" ht="15" hidden="false" customHeight="false" outlineLevel="0" collapsed="false">
      <c r="N799" s="83" t="s">
        <v>1877</v>
      </c>
    </row>
    <row r="800" customFormat="false" ht="15" hidden="false" customHeight="false" outlineLevel="0" collapsed="false">
      <c r="N800" s="83" t="s">
        <v>3194</v>
      </c>
    </row>
    <row r="801" customFormat="false" ht="15" hidden="false" customHeight="false" outlineLevel="0" collapsed="false">
      <c r="N801" s="83" t="s">
        <v>3195</v>
      </c>
    </row>
    <row r="802" customFormat="false" ht="15" hidden="false" customHeight="false" outlineLevel="0" collapsed="false">
      <c r="N802" s="83" t="s">
        <v>3196</v>
      </c>
    </row>
    <row r="803" customFormat="false" ht="15" hidden="false" customHeight="false" outlineLevel="0" collapsed="false">
      <c r="N803" s="83" t="s">
        <v>1887</v>
      </c>
    </row>
    <row r="804" customFormat="false" ht="15" hidden="false" customHeight="false" outlineLevel="0" collapsed="false">
      <c r="N804" s="83" t="s">
        <v>3197</v>
      </c>
    </row>
    <row r="805" customFormat="false" ht="15" hidden="false" customHeight="false" outlineLevel="0" collapsed="false">
      <c r="N805" s="83" t="s">
        <v>3198</v>
      </c>
    </row>
    <row r="806" customFormat="false" ht="15" hidden="false" customHeight="false" outlineLevel="0" collapsed="false">
      <c r="N806" s="83" t="s">
        <v>3199</v>
      </c>
    </row>
    <row r="807" customFormat="false" ht="15" hidden="false" customHeight="false" outlineLevel="0" collapsed="false">
      <c r="N807" s="83" t="s">
        <v>3200</v>
      </c>
    </row>
    <row r="808" customFormat="false" ht="15" hidden="false" customHeight="false" outlineLevel="0" collapsed="false">
      <c r="N808" s="83" t="s">
        <v>3201</v>
      </c>
    </row>
    <row r="809" customFormat="false" ht="15" hidden="false" customHeight="false" outlineLevel="0" collapsed="false">
      <c r="N809" s="83" t="s">
        <v>3202</v>
      </c>
    </row>
    <row r="810" customFormat="false" ht="15" hidden="false" customHeight="false" outlineLevel="0" collapsed="false">
      <c r="N810" s="83" t="s">
        <v>3203</v>
      </c>
    </row>
    <row r="811" customFormat="false" ht="15" hidden="false" customHeight="false" outlineLevel="0" collapsed="false">
      <c r="N811" s="83" t="s">
        <v>3204</v>
      </c>
    </row>
    <row r="812" customFormat="false" ht="15" hidden="false" customHeight="false" outlineLevel="0" collapsed="false">
      <c r="N812" s="83" t="s">
        <v>3205</v>
      </c>
    </row>
    <row r="813" customFormat="false" ht="15" hidden="false" customHeight="false" outlineLevel="0" collapsed="false">
      <c r="N813" s="83" t="s">
        <v>3206</v>
      </c>
    </row>
    <row r="814" customFormat="false" ht="15" hidden="false" customHeight="false" outlineLevel="0" collapsed="false">
      <c r="N814" s="83" t="s">
        <v>3207</v>
      </c>
    </row>
    <row r="815" customFormat="false" ht="15" hidden="false" customHeight="false" outlineLevel="0" collapsed="false">
      <c r="N815" s="83" t="s">
        <v>3208</v>
      </c>
    </row>
    <row r="816" customFormat="false" ht="15" hidden="false" customHeight="false" outlineLevel="0" collapsed="false">
      <c r="N816" s="83" t="s">
        <v>3209</v>
      </c>
    </row>
    <row r="817" customFormat="false" ht="15" hidden="false" customHeight="false" outlineLevel="0" collapsed="false">
      <c r="N817" s="83" t="s">
        <v>3210</v>
      </c>
    </row>
    <row r="818" customFormat="false" ht="15" hidden="false" customHeight="false" outlineLevel="0" collapsed="false">
      <c r="N818" s="83" t="s">
        <v>3211</v>
      </c>
    </row>
    <row r="819" customFormat="false" ht="15" hidden="false" customHeight="false" outlineLevel="0" collapsed="false">
      <c r="N819" s="83" t="s">
        <v>3212</v>
      </c>
    </row>
    <row r="820" customFormat="false" ht="15" hidden="false" customHeight="false" outlineLevel="0" collapsed="false">
      <c r="N820" s="83" t="s">
        <v>3213</v>
      </c>
    </row>
    <row r="821" customFormat="false" ht="15" hidden="false" customHeight="false" outlineLevel="0" collapsed="false">
      <c r="N821" s="83" t="s">
        <v>3214</v>
      </c>
    </row>
    <row r="822" customFormat="false" ht="15" hidden="false" customHeight="false" outlineLevel="0" collapsed="false">
      <c r="N822" s="83" t="s">
        <v>3215</v>
      </c>
    </row>
    <row r="823" customFormat="false" ht="15" hidden="false" customHeight="false" outlineLevel="0" collapsed="false">
      <c r="N823" s="83" t="s">
        <v>3216</v>
      </c>
    </row>
    <row r="824" customFormat="false" ht="15" hidden="false" customHeight="false" outlineLevel="0" collapsed="false">
      <c r="N824" s="83" t="s">
        <v>3217</v>
      </c>
    </row>
    <row r="825" customFormat="false" ht="15" hidden="false" customHeight="false" outlineLevel="0" collapsed="false">
      <c r="N825" s="83" t="s">
        <v>3218</v>
      </c>
    </row>
    <row r="826" customFormat="false" ht="15" hidden="false" customHeight="false" outlineLevel="0" collapsed="false">
      <c r="N826" s="83" t="s">
        <v>3219</v>
      </c>
    </row>
    <row r="827" customFormat="false" ht="15" hidden="false" customHeight="false" outlineLevel="0" collapsed="false">
      <c r="N827" s="83" t="s">
        <v>3220</v>
      </c>
    </row>
    <row r="828" customFormat="false" ht="15" hidden="false" customHeight="false" outlineLevel="0" collapsed="false">
      <c r="N828" s="83" t="s">
        <v>3221</v>
      </c>
    </row>
    <row r="829" customFormat="false" ht="15" hidden="false" customHeight="false" outlineLevel="0" collapsed="false">
      <c r="N829" s="83" t="s">
        <v>3222</v>
      </c>
    </row>
    <row r="830" customFormat="false" ht="15" hidden="false" customHeight="false" outlineLevel="0" collapsed="false">
      <c r="N830" s="83" t="s">
        <v>3223</v>
      </c>
    </row>
    <row r="831" customFormat="false" ht="15" hidden="false" customHeight="false" outlineLevel="0" collapsed="false">
      <c r="N831" s="83" t="s">
        <v>3224</v>
      </c>
    </row>
    <row r="832" customFormat="false" ht="15" hidden="false" customHeight="false" outlineLevel="0" collapsed="false">
      <c r="N832" s="83" t="s">
        <v>3225</v>
      </c>
    </row>
    <row r="833" customFormat="false" ht="15" hidden="false" customHeight="false" outlineLevel="0" collapsed="false">
      <c r="N833" s="83" t="s">
        <v>3226</v>
      </c>
    </row>
    <row r="834" customFormat="false" ht="15" hidden="false" customHeight="false" outlineLevel="0" collapsed="false">
      <c r="N834" s="83" t="s">
        <v>3227</v>
      </c>
    </row>
    <row r="835" customFormat="false" ht="15" hidden="false" customHeight="false" outlineLevel="0" collapsed="false">
      <c r="N835" s="83" t="s">
        <v>3228</v>
      </c>
    </row>
    <row r="836" customFormat="false" ht="15" hidden="false" customHeight="false" outlineLevel="0" collapsed="false">
      <c r="N836" s="83" t="s">
        <v>3229</v>
      </c>
    </row>
    <row r="837" customFormat="false" ht="15" hidden="false" customHeight="false" outlineLevel="0" collapsed="false">
      <c r="N837" s="83" t="s">
        <v>3230</v>
      </c>
    </row>
    <row r="838" customFormat="false" ht="15" hidden="false" customHeight="false" outlineLevel="0" collapsed="false">
      <c r="N838" s="83" t="s">
        <v>3231</v>
      </c>
    </row>
    <row r="839" customFormat="false" ht="15" hidden="false" customHeight="false" outlineLevel="0" collapsed="false">
      <c r="N839" s="83" t="s">
        <v>3232</v>
      </c>
    </row>
    <row r="840" customFormat="false" ht="15" hidden="false" customHeight="false" outlineLevel="0" collapsed="false">
      <c r="N840" s="83" t="s">
        <v>3233</v>
      </c>
    </row>
    <row r="841" customFormat="false" ht="15" hidden="false" customHeight="false" outlineLevel="0" collapsed="false">
      <c r="N841" s="83" t="s">
        <v>3234</v>
      </c>
    </row>
    <row r="842" customFormat="false" ht="15" hidden="false" customHeight="false" outlineLevel="0" collapsed="false">
      <c r="N842" s="83" t="s">
        <v>3235</v>
      </c>
    </row>
    <row r="843" customFormat="false" ht="15" hidden="false" customHeight="false" outlineLevel="0" collapsed="false">
      <c r="N843" s="83" t="s">
        <v>3236</v>
      </c>
    </row>
    <row r="844" customFormat="false" ht="15" hidden="false" customHeight="false" outlineLevel="0" collapsed="false">
      <c r="N844" s="83" t="s">
        <v>3237</v>
      </c>
    </row>
    <row r="845" customFormat="false" ht="15" hidden="false" customHeight="false" outlineLevel="0" collapsed="false">
      <c r="N845" s="83" t="s">
        <v>3238</v>
      </c>
    </row>
    <row r="846" customFormat="false" ht="15" hidden="false" customHeight="false" outlineLevel="0" collapsed="false">
      <c r="N846" s="83" t="s">
        <v>3239</v>
      </c>
    </row>
    <row r="847" customFormat="false" ht="15" hidden="false" customHeight="false" outlineLevel="0" collapsed="false">
      <c r="N847" s="83" t="s">
        <v>3240</v>
      </c>
    </row>
    <row r="848" customFormat="false" ht="15" hidden="false" customHeight="false" outlineLevel="0" collapsed="false">
      <c r="N848" s="83" t="s">
        <v>3241</v>
      </c>
    </row>
    <row r="849" customFormat="false" ht="15" hidden="false" customHeight="false" outlineLevel="0" collapsed="false">
      <c r="N849" s="83" t="s">
        <v>3242</v>
      </c>
    </row>
    <row r="850" customFormat="false" ht="15" hidden="false" customHeight="false" outlineLevel="0" collapsed="false">
      <c r="N850" s="83" t="s">
        <v>3243</v>
      </c>
    </row>
    <row r="851" customFormat="false" ht="15" hidden="false" customHeight="false" outlineLevel="0" collapsed="false">
      <c r="N851" s="83" t="s">
        <v>3244</v>
      </c>
    </row>
    <row r="852" customFormat="false" ht="15" hidden="false" customHeight="false" outlineLevel="0" collapsed="false">
      <c r="N852" s="83" t="s">
        <v>3245</v>
      </c>
    </row>
    <row r="853" customFormat="false" ht="15" hidden="false" customHeight="false" outlineLevel="0" collapsed="false">
      <c r="N853" s="83" t="s">
        <v>3246</v>
      </c>
    </row>
    <row r="854" customFormat="false" ht="15" hidden="false" customHeight="false" outlineLevel="0" collapsed="false">
      <c r="N854" s="83" t="s">
        <v>3247</v>
      </c>
    </row>
    <row r="855" customFormat="false" ht="15" hidden="false" customHeight="false" outlineLevel="0" collapsed="false">
      <c r="N855" s="83" t="s">
        <v>3248</v>
      </c>
    </row>
    <row r="856" customFormat="false" ht="15" hidden="false" customHeight="false" outlineLevel="0" collapsed="false">
      <c r="N856" s="83" t="s">
        <v>3249</v>
      </c>
    </row>
    <row r="857" customFormat="false" ht="15" hidden="false" customHeight="false" outlineLevel="0" collapsed="false">
      <c r="N857" s="83" t="s">
        <v>3250</v>
      </c>
    </row>
    <row r="858" customFormat="false" ht="15" hidden="false" customHeight="false" outlineLevel="0" collapsed="false">
      <c r="N858" s="83" t="s">
        <v>3251</v>
      </c>
    </row>
    <row r="859" customFormat="false" ht="15" hidden="false" customHeight="false" outlineLevel="0" collapsed="false">
      <c r="N859" s="83" t="s">
        <v>3252</v>
      </c>
    </row>
    <row r="860" customFormat="false" ht="15" hidden="false" customHeight="false" outlineLevel="0" collapsed="false">
      <c r="N860" s="83" t="s">
        <v>3253</v>
      </c>
    </row>
    <row r="861" customFormat="false" ht="15" hidden="false" customHeight="false" outlineLevel="0" collapsed="false">
      <c r="N861" s="83" t="s">
        <v>3254</v>
      </c>
    </row>
    <row r="862" customFormat="false" ht="15" hidden="false" customHeight="false" outlineLevel="0" collapsed="false">
      <c r="N862" s="83" t="s">
        <v>3255</v>
      </c>
    </row>
    <row r="863" customFormat="false" ht="15" hidden="false" customHeight="false" outlineLevel="0" collapsed="false">
      <c r="N863" s="83" t="s">
        <v>3256</v>
      </c>
    </row>
    <row r="864" customFormat="false" ht="15" hidden="false" customHeight="false" outlineLevel="0" collapsed="false">
      <c r="N864" s="83" t="s">
        <v>3257</v>
      </c>
    </row>
    <row r="865" customFormat="false" ht="15" hidden="false" customHeight="false" outlineLevel="0" collapsed="false">
      <c r="N865" s="83" t="s">
        <v>3258</v>
      </c>
    </row>
    <row r="866" customFormat="false" ht="15" hidden="false" customHeight="false" outlineLevel="0" collapsed="false">
      <c r="N866" s="83" t="s">
        <v>3259</v>
      </c>
    </row>
    <row r="867" customFormat="false" ht="15" hidden="false" customHeight="false" outlineLevel="0" collapsed="false">
      <c r="N867" s="83" t="s">
        <v>3260</v>
      </c>
    </row>
    <row r="868" customFormat="false" ht="15" hidden="false" customHeight="false" outlineLevel="0" collapsed="false">
      <c r="N868" s="83" t="s">
        <v>3261</v>
      </c>
    </row>
    <row r="869" customFormat="false" ht="15" hidden="false" customHeight="false" outlineLevel="0" collapsed="false">
      <c r="N869" s="83" t="s">
        <v>3262</v>
      </c>
    </row>
    <row r="870" customFormat="false" ht="15" hidden="false" customHeight="false" outlineLevel="0" collapsed="false">
      <c r="N870" s="83" t="s">
        <v>3263</v>
      </c>
    </row>
    <row r="871" customFormat="false" ht="15" hidden="false" customHeight="false" outlineLevel="0" collapsed="false">
      <c r="N871" s="83" t="s">
        <v>3264</v>
      </c>
    </row>
    <row r="872" customFormat="false" ht="15" hidden="false" customHeight="false" outlineLevel="0" collapsed="false">
      <c r="N872" s="83" t="s">
        <v>3265</v>
      </c>
    </row>
    <row r="873" customFormat="false" ht="15" hidden="false" customHeight="false" outlineLevel="0" collapsed="false">
      <c r="N873" s="83" t="s">
        <v>3266</v>
      </c>
    </row>
    <row r="874" customFormat="false" ht="15" hidden="false" customHeight="false" outlineLevel="0" collapsed="false">
      <c r="N874" s="83" t="s">
        <v>3267</v>
      </c>
    </row>
    <row r="875" customFormat="false" ht="15" hidden="false" customHeight="false" outlineLevel="0" collapsed="false">
      <c r="N875" s="83" t="s">
        <v>3268</v>
      </c>
    </row>
    <row r="876" customFormat="false" ht="15" hidden="false" customHeight="false" outlineLevel="0" collapsed="false">
      <c r="N876" s="83" t="s">
        <v>3269</v>
      </c>
    </row>
    <row r="877" customFormat="false" ht="15" hidden="false" customHeight="false" outlineLevel="0" collapsed="false">
      <c r="N877" s="83" t="s">
        <v>3270</v>
      </c>
    </row>
    <row r="878" customFormat="false" ht="15" hidden="false" customHeight="false" outlineLevel="0" collapsed="false">
      <c r="N878" s="83" t="s">
        <v>3271</v>
      </c>
    </row>
    <row r="879" customFormat="false" ht="15" hidden="false" customHeight="false" outlineLevel="0" collapsed="false">
      <c r="N879" s="83" t="s">
        <v>3272</v>
      </c>
    </row>
    <row r="880" customFormat="false" ht="15" hidden="false" customHeight="false" outlineLevel="0" collapsed="false">
      <c r="N880" s="83" t="s">
        <v>3273</v>
      </c>
    </row>
    <row r="881" customFormat="false" ht="15" hidden="false" customHeight="false" outlineLevel="0" collapsed="false">
      <c r="N881" s="83" t="s">
        <v>3274</v>
      </c>
    </row>
    <row r="882" customFormat="false" ht="15" hidden="false" customHeight="false" outlineLevel="0" collapsed="false">
      <c r="N882" s="83" t="s">
        <v>3275</v>
      </c>
    </row>
    <row r="883" customFormat="false" ht="15" hidden="false" customHeight="false" outlineLevel="0" collapsed="false">
      <c r="N883" s="83" t="s">
        <v>3276</v>
      </c>
    </row>
    <row r="884" customFormat="false" ht="15" hidden="false" customHeight="false" outlineLevel="0" collapsed="false">
      <c r="N884" s="83" t="s">
        <v>3277</v>
      </c>
    </row>
    <row r="885" customFormat="false" ht="15" hidden="false" customHeight="false" outlineLevel="0" collapsed="false">
      <c r="N885" s="83" t="s">
        <v>3278</v>
      </c>
    </row>
    <row r="886" customFormat="false" ht="15" hidden="false" customHeight="false" outlineLevel="0" collapsed="false">
      <c r="N886" s="83" t="s">
        <v>3279</v>
      </c>
    </row>
    <row r="887" customFormat="false" ht="15" hidden="false" customHeight="false" outlineLevel="0" collapsed="false">
      <c r="N887" s="83" t="s">
        <v>3280</v>
      </c>
    </row>
    <row r="888" customFormat="false" ht="15" hidden="false" customHeight="false" outlineLevel="0" collapsed="false">
      <c r="N888" s="83" t="s">
        <v>3281</v>
      </c>
    </row>
    <row r="889" customFormat="false" ht="15" hidden="false" customHeight="false" outlineLevel="0" collapsed="false">
      <c r="N889" s="83" t="s">
        <v>3282</v>
      </c>
    </row>
    <row r="890" customFormat="false" ht="15" hidden="false" customHeight="false" outlineLevel="0" collapsed="false">
      <c r="N890" s="83" t="s">
        <v>3283</v>
      </c>
    </row>
    <row r="891" customFormat="false" ht="15" hidden="false" customHeight="false" outlineLevel="0" collapsed="false">
      <c r="N891" s="83" t="s">
        <v>3284</v>
      </c>
    </row>
    <row r="892" customFormat="false" ht="15" hidden="false" customHeight="false" outlineLevel="0" collapsed="false">
      <c r="N892" s="83" t="s">
        <v>3285</v>
      </c>
    </row>
    <row r="893" customFormat="false" ht="15" hidden="false" customHeight="false" outlineLevel="0" collapsed="false">
      <c r="N893" s="83" t="s">
        <v>3286</v>
      </c>
    </row>
    <row r="894" customFormat="false" ht="15" hidden="false" customHeight="false" outlineLevel="0" collapsed="false">
      <c r="N894" s="83" t="s">
        <v>3287</v>
      </c>
    </row>
    <row r="895" customFormat="false" ht="15" hidden="false" customHeight="false" outlineLevel="0" collapsed="false">
      <c r="N895" s="83" t="s">
        <v>3288</v>
      </c>
    </row>
    <row r="896" customFormat="false" ht="15" hidden="false" customHeight="false" outlineLevel="0" collapsed="false">
      <c r="N896" s="83" t="s">
        <v>3289</v>
      </c>
    </row>
    <row r="897" customFormat="false" ht="15" hidden="false" customHeight="false" outlineLevel="0" collapsed="false">
      <c r="N897" s="83" t="s">
        <v>3290</v>
      </c>
    </row>
    <row r="898" customFormat="false" ht="15" hidden="false" customHeight="false" outlineLevel="0" collapsed="false">
      <c r="N898" s="83" t="s">
        <v>3291</v>
      </c>
    </row>
    <row r="899" customFormat="false" ht="15" hidden="false" customHeight="false" outlineLevel="0" collapsed="false">
      <c r="N899" s="83" t="s">
        <v>3292</v>
      </c>
    </row>
    <row r="900" customFormat="false" ht="15" hidden="false" customHeight="false" outlineLevel="0" collapsed="false">
      <c r="N900" s="83" t="s">
        <v>3293</v>
      </c>
    </row>
    <row r="901" customFormat="false" ht="15" hidden="false" customHeight="false" outlineLevel="0" collapsed="false">
      <c r="N901" s="83" t="s">
        <v>3294</v>
      </c>
    </row>
    <row r="902" customFormat="false" ht="15" hidden="false" customHeight="false" outlineLevel="0" collapsed="false">
      <c r="N902" s="83" t="s">
        <v>3295</v>
      </c>
    </row>
    <row r="903" customFormat="false" ht="15" hidden="false" customHeight="false" outlineLevel="0" collapsed="false">
      <c r="N903" s="83" t="s">
        <v>3296</v>
      </c>
    </row>
    <row r="904" customFormat="false" ht="15" hidden="false" customHeight="false" outlineLevel="0" collapsed="false">
      <c r="N904" s="83" t="s">
        <v>3297</v>
      </c>
    </row>
    <row r="905" customFormat="false" ht="15" hidden="false" customHeight="false" outlineLevel="0" collapsed="false">
      <c r="N905" s="83" t="s">
        <v>3298</v>
      </c>
    </row>
    <row r="906" customFormat="false" ht="15" hidden="false" customHeight="false" outlineLevel="0" collapsed="false">
      <c r="N906" s="83" t="s">
        <v>3299</v>
      </c>
    </row>
    <row r="907" customFormat="false" ht="15" hidden="false" customHeight="false" outlineLevel="0" collapsed="false">
      <c r="N907" s="83" t="s">
        <v>3300</v>
      </c>
    </row>
    <row r="908" customFormat="false" ht="15" hidden="false" customHeight="false" outlineLevel="0" collapsed="false">
      <c r="N908" s="83" t="s">
        <v>3301</v>
      </c>
    </row>
    <row r="909" customFormat="false" ht="15" hidden="false" customHeight="false" outlineLevel="0" collapsed="false">
      <c r="N909" s="83" t="s">
        <v>3302</v>
      </c>
    </row>
    <row r="910" customFormat="false" ht="15" hidden="false" customHeight="false" outlineLevel="0" collapsed="false">
      <c r="N910" s="83" t="s">
        <v>3303</v>
      </c>
    </row>
    <row r="911" customFormat="false" ht="15" hidden="false" customHeight="false" outlineLevel="0" collapsed="false">
      <c r="N911" s="83" t="s">
        <v>3304</v>
      </c>
    </row>
    <row r="912" customFormat="false" ht="15" hidden="false" customHeight="false" outlineLevel="0" collapsed="false">
      <c r="N912" s="83" t="s">
        <v>3305</v>
      </c>
    </row>
    <row r="913" customFormat="false" ht="15" hidden="false" customHeight="false" outlineLevel="0" collapsed="false">
      <c r="N913" s="83" t="s">
        <v>3306</v>
      </c>
    </row>
    <row r="914" customFormat="false" ht="15" hidden="false" customHeight="false" outlineLevel="0" collapsed="false">
      <c r="N914" s="83" t="s">
        <v>3307</v>
      </c>
    </row>
    <row r="915" customFormat="false" ht="15" hidden="false" customHeight="false" outlineLevel="0" collapsed="false">
      <c r="N915" s="83" t="s">
        <v>3308</v>
      </c>
    </row>
    <row r="916" customFormat="false" ht="15" hidden="false" customHeight="false" outlineLevel="0" collapsed="false">
      <c r="N916" s="83" t="s">
        <v>3309</v>
      </c>
    </row>
    <row r="917" customFormat="false" ht="15" hidden="false" customHeight="false" outlineLevel="0" collapsed="false">
      <c r="N917" s="83" t="s">
        <v>3310</v>
      </c>
    </row>
    <row r="918" customFormat="false" ht="15" hidden="false" customHeight="false" outlineLevel="0" collapsed="false">
      <c r="N918" s="83" t="s">
        <v>3311</v>
      </c>
    </row>
    <row r="919" customFormat="false" ht="15" hidden="false" customHeight="false" outlineLevel="0" collapsed="false">
      <c r="N919" s="83" t="s">
        <v>3312</v>
      </c>
    </row>
    <row r="920" customFormat="false" ht="15" hidden="false" customHeight="false" outlineLevel="0" collapsed="false">
      <c r="N920" s="83" t="s">
        <v>3313</v>
      </c>
    </row>
    <row r="921" customFormat="false" ht="15" hidden="false" customHeight="false" outlineLevel="0" collapsed="false">
      <c r="N921" s="83" t="s">
        <v>3314</v>
      </c>
    </row>
    <row r="922" customFormat="false" ht="15" hidden="false" customHeight="false" outlineLevel="0" collapsed="false">
      <c r="N922" s="83" t="s">
        <v>3315</v>
      </c>
    </row>
    <row r="923" customFormat="false" ht="15" hidden="false" customHeight="false" outlineLevel="0" collapsed="false">
      <c r="N923" s="83" t="s">
        <v>3316</v>
      </c>
    </row>
    <row r="924" customFormat="false" ht="15" hidden="false" customHeight="false" outlineLevel="0" collapsed="false">
      <c r="N924" s="83" t="s">
        <v>3317</v>
      </c>
    </row>
    <row r="925" customFormat="false" ht="15" hidden="false" customHeight="false" outlineLevel="0" collapsed="false">
      <c r="N925" s="83" t="s">
        <v>3318</v>
      </c>
    </row>
    <row r="926" customFormat="false" ht="15" hidden="false" customHeight="false" outlineLevel="0" collapsed="false">
      <c r="N926" s="83" t="s">
        <v>3319</v>
      </c>
    </row>
    <row r="927" customFormat="false" ht="15" hidden="false" customHeight="false" outlineLevel="0" collapsed="false">
      <c r="N927" s="83" t="s">
        <v>3320</v>
      </c>
    </row>
    <row r="928" customFormat="false" ht="15" hidden="false" customHeight="false" outlineLevel="0" collapsed="false">
      <c r="N928" s="83" t="s">
        <v>3321</v>
      </c>
    </row>
    <row r="929" customFormat="false" ht="15" hidden="false" customHeight="false" outlineLevel="0" collapsed="false">
      <c r="N929" s="83" t="s">
        <v>3322</v>
      </c>
    </row>
    <row r="930" customFormat="false" ht="15" hidden="false" customHeight="false" outlineLevel="0" collapsed="false">
      <c r="N930" s="83" t="s">
        <v>3323</v>
      </c>
    </row>
    <row r="931" customFormat="false" ht="15" hidden="false" customHeight="false" outlineLevel="0" collapsed="false">
      <c r="N931" s="83" t="s">
        <v>3324</v>
      </c>
    </row>
    <row r="932" customFormat="false" ht="15" hidden="false" customHeight="false" outlineLevel="0" collapsed="false">
      <c r="N932" s="83" t="s">
        <v>3325</v>
      </c>
    </row>
    <row r="933" customFormat="false" ht="15" hidden="false" customHeight="false" outlineLevel="0" collapsed="false">
      <c r="N933" s="83" t="s">
        <v>3326</v>
      </c>
    </row>
    <row r="934" customFormat="false" ht="15" hidden="false" customHeight="false" outlineLevel="0" collapsed="false">
      <c r="N934" s="83" t="s">
        <v>3327</v>
      </c>
    </row>
    <row r="935" customFormat="false" ht="15" hidden="false" customHeight="false" outlineLevel="0" collapsed="false">
      <c r="N935" s="83" t="s">
        <v>3328</v>
      </c>
    </row>
    <row r="936" customFormat="false" ht="15" hidden="false" customHeight="false" outlineLevel="0" collapsed="false">
      <c r="N936" s="83" t="s">
        <v>3329</v>
      </c>
    </row>
    <row r="937" customFormat="false" ht="15" hidden="false" customHeight="false" outlineLevel="0" collapsed="false">
      <c r="N937" s="83" t="s">
        <v>3330</v>
      </c>
    </row>
    <row r="938" customFormat="false" ht="15" hidden="false" customHeight="false" outlineLevel="0" collapsed="false">
      <c r="N938" s="83" t="s">
        <v>3331</v>
      </c>
    </row>
    <row r="939" customFormat="false" ht="15" hidden="false" customHeight="false" outlineLevel="0" collapsed="false">
      <c r="N939" s="83" t="s">
        <v>3332</v>
      </c>
    </row>
    <row r="940" customFormat="false" ht="15" hidden="false" customHeight="false" outlineLevel="0" collapsed="false">
      <c r="N940" s="83" t="s">
        <v>3333</v>
      </c>
    </row>
    <row r="941" customFormat="false" ht="15" hidden="false" customHeight="false" outlineLevel="0" collapsed="false">
      <c r="N941" s="83" t="s">
        <v>3334</v>
      </c>
    </row>
    <row r="942" customFormat="false" ht="15" hidden="false" customHeight="false" outlineLevel="0" collapsed="false">
      <c r="N942" s="83" t="s">
        <v>3335</v>
      </c>
    </row>
    <row r="943" customFormat="false" ht="15" hidden="false" customHeight="false" outlineLevel="0" collapsed="false">
      <c r="N943" s="83" t="s">
        <v>3336</v>
      </c>
    </row>
    <row r="944" customFormat="false" ht="15" hidden="false" customHeight="false" outlineLevel="0" collapsed="false">
      <c r="N944" s="83" t="s">
        <v>3337</v>
      </c>
    </row>
    <row r="945" customFormat="false" ht="15" hidden="false" customHeight="false" outlineLevel="0" collapsed="false">
      <c r="N945" s="83" t="s">
        <v>3338</v>
      </c>
    </row>
    <row r="946" customFormat="false" ht="15" hidden="false" customHeight="false" outlineLevel="0" collapsed="false">
      <c r="N946" s="83" t="s">
        <v>3339</v>
      </c>
    </row>
    <row r="947" customFormat="false" ht="15" hidden="false" customHeight="false" outlineLevel="0" collapsed="false">
      <c r="N947" s="83" t="s">
        <v>3340</v>
      </c>
    </row>
    <row r="948" customFormat="false" ht="15" hidden="false" customHeight="false" outlineLevel="0" collapsed="false">
      <c r="N948" s="83" t="s">
        <v>3341</v>
      </c>
    </row>
    <row r="949" customFormat="false" ht="15" hidden="false" customHeight="false" outlineLevel="0" collapsed="false">
      <c r="N949" s="83" t="s">
        <v>3342</v>
      </c>
    </row>
    <row r="950" customFormat="false" ht="15" hidden="false" customHeight="false" outlineLevel="0" collapsed="false">
      <c r="N950" s="83" t="s">
        <v>3343</v>
      </c>
    </row>
    <row r="951" customFormat="false" ht="15" hidden="false" customHeight="false" outlineLevel="0" collapsed="false">
      <c r="N951" s="83" t="s">
        <v>3344</v>
      </c>
    </row>
    <row r="952" customFormat="false" ht="15" hidden="false" customHeight="false" outlineLevel="0" collapsed="false">
      <c r="N952" s="83" t="s">
        <v>3345</v>
      </c>
    </row>
    <row r="953" customFormat="false" ht="15" hidden="false" customHeight="false" outlineLevel="0" collapsed="false">
      <c r="N953" s="83" t="s">
        <v>3346</v>
      </c>
    </row>
    <row r="954" customFormat="false" ht="15" hidden="false" customHeight="false" outlineLevel="0" collapsed="false">
      <c r="N954" s="83" t="s">
        <v>3347</v>
      </c>
    </row>
    <row r="955" customFormat="false" ht="15" hidden="false" customHeight="false" outlineLevel="0" collapsed="false">
      <c r="N955" s="83" t="s">
        <v>3348</v>
      </c>
    </row>
    <row r="956" customFormat="false" ht="15" hidden="false" customHeight="false" outlineLevel="0" collapsed="false">
      <c r="N956" s="83" t="s">
        <v>3349</v>
      </c>
    </row>
    <row r="957" customFormat="false" ht="15" hidden="false" customHeight="false" outlineLevel="0" collapsed="false">
      <c r="N957" s="83" t="s">
        <v>3350</v>
      </c>
    </row>
    <row r="958" customFormat="false" ht="15" hidden="false" customHeight="false" outlineLevel="0" collapsed="false">
      <c r="N958" s="83" t="s">
        <v>3351</v>
      </c>
    </row>
    <row r="959" customFormat="false" ht="15" hidden="false" customHeight="false" outlineLevel="0" collapsed="false">
      <c r="N959" s="83" t="s">
        <v>3352</v>
      </c>
    </row>
    <row r="960" customFormat="false" ht="15" hidden="false" customHeight="false" outlineLevel="0" collapsed="false">
      <c r="N960" s="83" t="s">
        <v>3353</v>
      </c>
    </row>
    <row r="961" customFormat="false" ht="15" hidden="false" customHeight="false" outlineLevel="0" collapsed="false">
      <c r="N961" s="83" t="s">
        <v>3354</v>
      </c>
    </row>
    <row r="962" customFormat="false" ht="15" hidden="false" customHeight="false" outlineLevel="0" collapsed="false">
      <c r="N962" s="83" t="s">
        <v>3355</v>
      </c>
    </row>
    <row r="963" customFormat="false" ht="15" hidden="false" customHeight="false" outlineLevel="0" collapsed="false">
      <c r="N963" s="83" t="s">
        <v>3356</v>
      </c>
    </row>
    <row r="964" customFormat="false" ht="15" hidden="false" customHeight="false" outlineLevel="0" collapsed="false">
      <c r="N964" s="83" t="s">
        <v>3357</v>
      </c>
    </row>
    <row r="965" customFormat="false" ht="15" hidden="false" customHeight="false" outlineLevel="0" collapsed="false">
      <c r="N965" s="83" t="s">
        <v>3358</v>
      </c>
    </row>
    <row r="966" customFormat="false" ht="15" hidden="false" customHeight="false" outlineLevel="0" collapsed="false">
      <c r="N966" s="83" t="s">
        <v>3359</v>
      </c>
    </row>
    <row r="967" customFormat="false" ht="15" hidden="false" customHeight="false" outlineLevel="0" collapsed="false">
      <c r="N967" s="83" t="s">
        <v>3360</v>
      </c>
    </row>
    <row r="968" customFormat="false" ht="15" hidden="false" customHeight="false" outlineLevel="0" collapsed="false">
      <c r="N968" s="83" t="s">
        <v>3361</v>
      </c>
    </row>
    <row r="969" customFormat="false" ht="15" hidden="false" customHeight="false" outlineLevel="0" collapsed="false">
      <c r="N969" s="83" t="s">
        <v>3362</v>
      </c>
    </row>
    <row r="970" customFormat="false" ht="15" hidden="false" customHeight="false" outlineLevel="0" collapsed="false">
      <c r="N970" s="83" t="s">
        <v>3363</v>
      </c>
    </row>
    <row r="971" customFormat="false" ht="15" hidden="false" customHeight="false" outlineLevel="0" collapsed="false">
      <c r="N971" s="83" t="s">
        <v>3364</v>
      </c>
    </row>
    <row r="972" customFormat="false" ht="15" hidden="false" customHeight="false" outlineLevel="0" collapsed="false">
      <c r="N972" s="83" t="s">
        <v>3365</v>
      </c>
    </row>
    <row r="973" customFormat="false" ht="15" hidden="false" customHeight="false" outlineLevel="0" collapsed="false">
      <c r="N973" s="83" t="s">
        <v>3366</v>
      </c>
    </row>
    <row r="974" customFormat="false" ht="15" hidden="false" customHeight="false" outlineLevel="0" collapsed="false">
      <c r="N974" s="83" t="s">
        <v>3367</v>
      </c>
    </row>
    <row r="975" customFormat="false" ht="15" hidden="false" customHeight="false" outlineLevel="0" collapsed="false">
      <c r="N975" s="83" t="s">
        <v>3368</v>
      </c>
    </row>
    <row r="976" customFormat="false" ht="15" hidden="false" customHeight="false" outlineLevel="0" collapsed="false">
      <c r="N976" s="83" t="s">
        <v>3369</v>
      </c>
    </row>
    <row r="977" customFormat="false" ht="15" hidden="false" customHeight="false" outlineLevel="0" collapsed="false">
      <c r="N977" s="83" t="s">
        <v>3370</v>
      </c>
    </row>
    <row r="978" customFormat="false" ht="15" hidden="false" customHeight="false" outlineLevel="0" collapsed="false">
      <c r="N978" s="83" t="s">
        <v>3371</v>
      </c>
    </row>
    <row r="979" customFormat="false" ht="15" hidden="false" customHeight="false" outlineLevel="0" collapsed="false">
      <c r="N979" s="83" t="s">
        <v>1951</v>
      </c>
    </row>
    <row r="980" customFormat="false" ht="15" hidden="false" customHeight="false" outlineLevel="0" collapsed="false">
      <c r="N980" s="83" t="s">
        <v>3372</v>
      </c>
    </row>
    <row r="981" customFormat="false" ht="15" hidden="false" customHeight="false" outlineLevel="0" collapsed="false">
      <c r="N981" s="83" t="s">
        <v>1962</v>
      </c>
    </row>
    <row r="982" customFormat="false" ht="15" hidden="false" customHeight="false" outlineLevel="0" collapsed="false">
      <c r="N982" s="83" t="s">
        <v>3373</v>
      </c>
    </row>
    <row r="983" customFormat="false" ht="15" hidden="false" customHeight="false" outlineLevel="0" collapsed="false">
      <c r="N983" s="83" t="s">
        <v>3374</v>
      </c>
    </row>
    <row r="984" customFormat="false" ht="15" hidden="false" customHeight="false" outlineLevel="0" collapsed="false">
      <c r="N984" s="83" t="s">
        <v>3375</v>
      </c>
    </row>
    <row r="985" customFormat="false" ht="15" hidden="false" customHeight="false" outlineLevel="0" collapsed="false">
      <c r="N985" s="83" t="s">
        <v>1973</v>
      </c>
    </row>
    <row r="986" customFormat="false" ht="15" hidden="false" customHeight="false" outlineLevel="0" collapsed="false">
      <c r="N986" s="83" t="s">
        <v>3376</v>
      </c>
    </row>
    <row r="987" customFormat="false" ht="15" hidden="false" customHeight="false" outlineLevel="0" collapsed="false">
      <c r="N987" s="83" t="s">
        <v>3377</v>
      </c>
    </row>
    <row r="988" customFormat="false" ht="15" hidden="false" customHeight="false" outlineLevel="0" collapsed="false">
      <c r="N988" s="83" t="s">
        <v>3378</v>
      </c>
    </row>
    <row r="989" customFormat="false" ht="15" hidden="false" customHeight="false" outlineLevel="0" collapsed="false">
      <c r="N989" s="83" t="s">
        <v>3379</v>
      </c>
    </row>
    <row r="990" customFormat="false" ht="15" hidden="false" customHeight="false" outlineLevel="0" collapsed="false">
      <c r="N990" s="83" t="s">
        <v>3380</v>
      </c>
    </row>
    <row r="991" customFormat="false" ht="15" hidden="false" customHeight="false" outlineLevel="0" collapsed="false">
      <c r="N991" s="83" t="s">
        <v>3381</v>
      </c>
    </row>
    <row r="992" customFormat="false" ht="15" hidden="false" customHeight="false" outlineLevel="0" collapsed="false">
      <c r="N992" s="83" t="s">
        <v>3382</v>
      </c>
    </row>
    <row r="993" customFormat="false" ht="15" hidden="false" customHeight="false" outlineLevel="0" collapsed="false">
      <c r="N993" s="83" t="s">
        <v>3383</v>
      </c>
    </row>
    <row r="994" customFormat="false" ht="15" hidden="false" customHeight="false" outlineLevel="0" collapsed="false">
      <c r="N994" s="83" t="s">
        <v>3384</v>
      </c>
    </row>
    <row r="995" customFormat="false" ht="15" hidden="false" customHeight="false" outlineLevel="0" collapsed="false">
      <c r="N995" s="83" t="s">
        <v>3385</v>
      </c>
    </row>
    <row r="996" customFormat="false" ht="15" hidden="false" customHeight="false" outlineLevel="0" collapsed="false">
      <c r="N996" s="83" t="s">
        <v>3386</v>
      </c>
    </row>
    <row r="997" customFormat="false" ht="15" hidden="false" customHeight="false" outlineLevel="0" collapsed="false">
      <c r="N997" s="83" t="s">
        <v>3387</v>
      </c>
    </row>
    <row r="998" customFormat="false" ht="15" hidden="false" customHeight="false" outlineLevel="0" collapsed="false">
      <c r="N998" s="83" t="s">
        <v>3388</v>
      </c>
    </row>
    <row r="999" customFormat="false" ht="15" hidden="false" customHeight="false" outlineLevel="0" collapsed="false">
      <c r="N999" s="83" t="s">
        <v>3389</v>
      </c>
    </row>
    <row r="1000" customFormat="false" ht="15" hidden="false" customHeight="false" outlineLevel="0" collapsed="false">
      <c r="N1000" s="83" t="s">
        <v>3390</v>
      </c>
    </row>
    <row r="1001" customFormat="false" ht="15" hidden="false" customHeight="false" outlineLevel="0" collapsed="false">
      <c r="N1001" s="83" t="s">
        <v>3391</v>
      </c>
    </row>
    <row r="1002" customFormat="false" ht="15" hidden="false" customHeight="false" outlineLevel="0" collapsed="false">
      <c r="N1002" s="83" t="s">
        <v>3392</v>
      </c>
    </row>
    <row r="1003" customFormat="false" ht="15" hidden="false" customHeight="false" outlineLevel="0" collapsed="false">
      <c r="N1003" s="83" t="s">
        <v>3393</v>
      </c>
    </row>
    <row r="1004" customFormat="false" ht="15" hidden="false" customHeight="false" outlineLevel="0" collapsed="false">
      <c r="N1004" s="83" t="s">
        <v>3394</v>
      </c>
    </row>
    <row r="1005" customFormat="false" ht="15" hidden="false" customHeight="false" outlineLevel="0" collapsed="false">
      <c r="N1005" s="83" t="s">
        <v>3395</v>
      </c>
    </row>
    <row r="1006" customFormat="false" ht="15" hidden="false" customHeight="false" outlineLevel="0" collapsed="false">
      <c r="N1006" s="83" t="s">
        <v>3396</v>
      </c>
    </row>
    <row r="1007" customFormat="false" ht="15" hidden="false" customHeight="false" outlineLevel="0" collapsed="false">
      <c r="N1007" s="83" t="s">
        <v>3397</v>
      </c>
    </row>
    <row r="1008" customFormat="false" ht="15" hidden="false" customHeight="false" outlineLevel="0" collapsed="false">
      <c r="N1008" s="83" t="s">
        <v>3398</v>
      </c>
    </row>
    <row r="1009" customFormat="false" ht="15" hidden="false" customHeight="false" outlineLevel="0" collapsed="false">
      <c r="N1009" s="83" t="s">
        <v>3399</v>
      </c>
    </row>
    <row r="1010" customFormat="false" ht="15" hidden="false" customHeight="false" outlineLevel="0" collapsed="false">
      <c r="N1010" s="83" t="s">
        <v>3400</v>
      </c>
    </row>
    <row r="1011" customFormat="false" ht="15" hidden="false" customHeight="false" outlineLevel="0" collapsed="false">
      <c r="N1011" s="83" t="s">
        <v>3401</v>
      </c>
    </row>
    <row r="1012" customFormat="false" ht="15" hidden="false" customHeight="false" outlineLevel="0" collapsed="false">
      <c r="N1012" s="83" t="s">
        <v>3402</v>
      </c>
    </row>
    <row r="1013" customFormat="false" ht="15" hidden="false" customHeight="false" outlineLevel="0" collapsed="false">
      <c r="N1013" s="83" t="s">
        <v>3403</v>
      </c>
    </row>
    <row r="1014" customFormat="false" ht="15" hidden="false" customHeight="false" outlineLevel="0" collapsed="false">
      <c r="N1014" s="83" t="s">
        <v>3404</v>
      </c>
    </row>
    <row r="1015" customFormat="false" ht="15" hidden="false" customHeight="false" outlineLevel="0" collapsed="false">
      <c r="N1015" s="83" t="s">
        <v>3405</v>
      </c>
    </row>
    <row r="1016" customFormat="false" ht="15" hidden="false" customHeight="false" outlineLevel="0" collapsed="false">
      <c r="N1016" s="83" t="s">
        <v>3406</v>
      </c>
    </row>
    <row r="1017" customFormat="false" ht="15" hidden="false" customHeight="false" outlineLevel="0" collapsed="false">
      <c r="N1017" s="83" t="s">
        <v>3407</v>
      </c>
    </row>
    <row r="1018" customFormat="false" ht="15" hidden="false" customHeight="false" outlineLevel="0" collapsed="false">
      <c r="N1018" s="83" t="s">
        <v>3408</v>
      </c>
    </row>
    <row r="1019" customFormat="false" ht="15" hidden="false" customHeight="false" outlineLevel="0" collapsed="false">
      <c r="N1019" s="83" t="s">
        <v>2005</v>
      </c>
    </row>
    <row r="1020" customFormat="false" ht="15" hidden="false" customHeight="false" outlineLevel="0" collapsed="false">
      <c r="N1020" s="83" t="s">
        <v>3409</v>
      </c>
    </row>
    <row r="1021" customFormat="false" ht="15" hidden="false" customHeight="false" outlineLevel="0" collapsed="false">
      <c r="N1021" s="83" t="s">
        <v>2013</v>
      </c>
    </row>
    <row r="1022" customFormat="false" ht="15" hidden="false" customHeight="false" outlineLevel="0" collapsed="false">
      <c r="N1022" s="83" t="s">
        <v>3410</v>
      </c>
    </row>
    <row r="1023" customFormat="false" ht="15" hidden="false" customHeight="false" outlineLevel="0" collapsed="false">
      <c r="N1023" s="83" t="s">
        <v>3411</v>
      </c>
    </row>
    <row r="1024" customFormat="false" ht="15" hidden="false" customHeight="false" outlineLevel="0" collapsed="false">
      <c r="N1024" s="83" t="s">
        <v>3412</v>
      </c>
    </row>
    <row r="1025" customFormat="false" ht="15" hidden="false" customHeight="false" outlineLevel="0" collapsed="false">
      <c r="N1025" s="83" t="s">
        <v>2021</v>
      </c>
    </row>
    <row r="1026" customFormat="false" ht="15" hidden="false" customHeight="false" outlineLevel="0" collapsed="false">
      <c r="N1026" s="83" t="s">
        <v>3413</v>
      </c>
    </row>
    <row r="1027" customFormat="false" ht="15" hidden="false" customHeight="false" outlineLevel="0" collapsed="false">
      <c r="N1027" s="83" t="s">
        <v>3414</v>
      </c>
    </row>
    <row r="1028" customFormat="false" ht="15" hidden="false" customHeight="false" outlineLevel="0" collapsed="false">
      <c r="N1028" s="83" t="s">
        <v>3415</v>
      </c>
    </row>
    <row r="1029" customFormat="false" ht="15" hidden="false" customHeight="false" outlineLevel="0" collapsed="false">
      <c r="N1029" s="83" t="s">
        <v>3416</v>
      </c>
    </row>
    <row r="1030" customFormat="false" ht="15" hidden="false" customHeight="false" outlineLevel="0" collapsed="false">
      <c r="N1030" s="83" t="s">
        <v>3417</v>
      </c>
    </row>
    <row r="1031" customFormat="false" ht="15" hidden="false" customHeight="false" outlineLevel="0" collapsed="false">
      <c r="N1031" s="83" t="s">
        <v>3418</v>
      </c>
    </row>
    <row r="1032" customFormat="false" ht="15" hidden="false" customHeight="false" outlineLevel="0" collapsed="false">
      <c r="N1032" s="83" t="s">
        <v>3419</v>
      </c>
    </row>
    <row r="1033" customFormat="false" ht="15" hidden="false" customHeight="false" outlineLevel="0" collapsed="false">
      <c r="N1033" s="83" t="s">
        <v>3420</v>
      </c>
    </row>
    <row r="1034" customFormat="false" ht="15" hidden="false" customHeight="false" outlineLevel="0" collapsed="false">
      <c r="N1034" s="83" t="s">
        <v>3421</v>
      </c>
    </row>
    <row r="1035" customFormat="false" ht="15" hidden="false" customHeight="false" outlineLevel="0" collapsed="false">
      <c r="N1035" s="83" t="s">
        <v>3422</v>
      </c>
    </row>
    <row r="1036" customFormat="false" ht="15" hidden="false" customHeight="false" outlineLevel="0" collapsed="false">
      <c r="N1036" s="83" t="s">
        <v>3423</v>
      </c>
    </row>
    <row r="1037" customFormat="false" ht="15" hidden="false" customHeight="false" outlineLevel="0" collapsed="false">
      <c r="N1037" s="83" t="s">
        <v>3424</v>
      </c>
    </row>
    <row r="1038" customFormat="false" ht="15" hidden="false" customHeight="false" outlineLevel="0" collapsed="false">
      <c r="N1038" s="83" t="s">
        <v>3425</v>
      </c>
    </row>
    <row r="1039" customFormat="false" ht="15" hidden="false" customHeight="false" outlineLevel="0" collapsed="false">
      <c r="N1039" s="83" t="s">
        <v>3426</v>
      </c>
    </row>
    <row r="1040" customFormat="false" ht="15" hidden="false" customHeight="false" outlineLevel="0" collapsed="false">
      <c r="N1040" s="83" t="s">
        <v>3427</v>
      </c>
    </row>
    <row r="1041" customFormat="false" ht="15" hidden="false" customHeight="false" outlineLevel="0" collapsed="false">
      <c r="N1041" s="83" t="s">
        <v>3428</v>
      </c>
    </row>
    <row r="1042" customFormat="false" ht="15" hidden="false" customHeight="false" outlineLevel="0" collapsed="false">
      <c r="N1042" s="83" t="s">
        <v>3429</v>
      </c>
    </row>
    <row r="1043" customFormat="false" ht="15" hidden="false" customHeight="false" outlineLevel="0" collapsed="false">
      <c r="N1043" s="83" t="s">
        <v>3430</v>
      </c>
    </row>
    <row r="1044" customFormat="false" ht="15" hidden="false" customHeight="false" outlineLevel="0" collapsed="false">
      <c r="N1044" s="83" t="s">
        <v>3431</v>
      </c>
    </row>
    <row r="1045" customFormat="false" ht="15" hidden="false" customHeight="false" outlineLevel="0" collapsed="false">
      <c r="N1045" s="83" t="s">
        <v>3432</v>
      </c>
    </row>
    <row r="1046" customFormat="false" ht="15" hidden="false" customHeight="false" outlineLevel="0" collapsed="false">
      <c r="N1046" s="83" t="s">
        <v>3433</v>
      </c>
    </row>
    <row r="1047" customFormat="false" ht="15" hidden="false" customHeight="false" outlineLevel="0" collapsed="false">
      <c r="N1047" s="83" t="s">
        <v>3434</v>
      </c>
    </row>
    <row r="1048" customFormat="false" ht="15" hidden="false" customHeight="false" outlineLevel="0" collapsed="false">
      <c r="N1048" s="83" t="s">
        <v>3435</v>
      </c>
    </row>
    <row r="1049" customFormat="false" ht="15" hidden="false" customHeight="false" outlineLevel="0" collapsed="false">
      <c r="N1049" s="83" t="s">
        <v>3436</v>
      </c>
    </row>
    <row r="1050" customFormat="false" ht="15" hidden="false" customHeight="false" outlineLevel="0" collapsed="false">
      <c r="N1050" s="83" t="s">
        <v>3437</v>
      </c>
    </row>
    <row r="1051" customFormat="false" ht="15" hidden="false" customHeight="false" outlineLevel="0" collapsed="false">
      <c r="N1051" s="83" t="s">
        <v>3438</v>
      </c>
    </row>
    <row r="1052" customFormat="false" ht="15" hidden="false" customHeight="false" outlineLevel="0" collapsed="false">
      <c r="N1052" s="83" t="s">
        <v>3439</v>
      </c>
    </row>
    <row r="1053" customFormat="false" ht="15" hidden="false" customHeight="false" outlineLevel="0" collapsed="false">
      <c r="N1053" s="83" t="s">
        <v>3440</v>
      </c>
    </row>
    <row r="1054" customFormat="false" ht="15" hidden="false" customHeight="false" outlineLevel="0" collapsed="false">
      <c r="N1054" s="83" t="s">
        <v>3441</v>
      </c>
    </row>
    <row r="1055" customFormat="false" ht="15" hidden="false" customHeight="false" outlineLevel="0" collapsed="false">
      <c r="N1055" s="83" t="s">
        <v>3442</v>
      </c>
    </row>
    <row r="1056" customFormat="false" ht="15" hidden="false" customHeight="false" outlineLevel="0" collapsed="false">
      <c r="N1056" s="83" t="s">
        <v>3443</v>
      </c>
    </row>
    <row r="1057" customFormat="false" ht="15" hidden="false" customHeight="false" outlineLevel="0" collapsed="false">
      <c r="N1057" s="83" t="s">
        <v>3444</v>
      </c>
    </row>
    <row r="1058" customFormat="false" ht="15" hidden="false" customHeight="false" outlineLevel="0" collapsed="false">
      <c r="N1058" s="83" t="s">
        <v>3445</v>
      </c>
    </row>
    <row r="1059" customFormat="false" ht="15" hidden="false" customHeight="false" outlineLevel="0" collapsed="false">
      <c r="N1059" s="83" t="s">
        <v>3446</v>
      </c>
    </row>
    <row r="1060" customFormat="false" ht="15" hidden="false" customHeight="false" outlineLevel="0" collapsed="false">
      <c r="N1060" s="83" t="s">
        <v>3447</v>
      </c>
    </row>
    <row r="1061" customFormat="false" ht="15" hidden="false" customHeight="false" outlineLevel="0" collapsed="false">
      <c r="N1061" s="83" t="s">
        <v>3448</v>
      </c>
    </row>
    <row r="1062" customFormat="false" ht="15" hidden="false" customHeight="false" outlineLevel="0" collapsed="false">
      <c r="N1062" s="83" t="s">
        <v>3449</v>
      </c>
    </row>
    <row r="1063" customFormat="false" ht="15" hidden="false" customHeight="false" outlineLevel="0" collapsed="false">
      <c r="N1063" s="83" t="s">
        <v>3450</v>
      </c>
    </row>
    <row r="1064" customFormat="false" ht="15" hidden="false" customHeight="false" outlineLevel="0" collapsed="false">
      <c r="N1064" s="83" t="s">
        <v>3451</v>
      </c>
    </row>
    <row r="1065" customFormat="false" ht="15" hidden="false" customHeight="false" outlineLevel="0" collapsed="false">
      <c r="N1065" s="83" t="s">
        <v>3452</v>
      </c>
    </row>
    <row r="1066" customFormat="false" ht="15" hidden="false" customHeight="false" outlineLevel="0" collapsed="false">
      <c r="N1066" s="83" t="s">
        <v>3453</v>
      </c>
    </row>
    <row r="1067" customFormat="false" ht="15" hidden="false" customHeight="false" outlineLevel="0" collapsed="false">
      <c r="N1067" s="83" t="s">
        <v>3454</v>
      </c>
    </row>
    <row r="1068" customFormat="false" ht="15" hidden="false" customHeight="false" outlineLevel="0" collapsed="false">
      <c r="N1068" s="83" t="s">
        <v>3455</v>
      </c>
    </row>
    <row r="1069" customFormat="false" ht="15" hidden="false" customHeight="false" outlineLevel="0" collapsed="false">
      <c r="N1069" s="83" t="s">
        <v>3456</v>
      </c>
    </row>
    <row r="1070" customFormat="false" ht="15" hidden="false" customHeight="false" outlineLevel="0" collapsed="false">
      <c r="N1070" s="83" t="s">
        <v>3457</v>
      </c>
    </row>
    <row r="1071" customFormat="false" ht="15" hidden="false" customHeight="false" outlineLevel="0" collapsed="false">
      <c r="N1071" s="83" t="s">
        <v>3458</v>
      </c>
    </row>
    <row r="1072" customFormat="false" ht="15" hidden="false" customHeight="false" outlineLevel="0" collapsed="false">
      <c r="N1072" s="83" t="s">
        <v>3459</v>
      </c>
    </row>
    <row r="1073" customFormat="false" ht="15" hidden="false" customHeight="false" outlineLevel="0" collapsed="false">
      <c r="N1073" s="83" t="s">
        <v>3460</v>
      </c>
    </row>
    <row r="1074" customFormat="false" ht="15" hidden="false" customHeight="false" outlineLevel="0" collapsed="false">
      <c r="N1074" s="83" t="s">
        <v>3461</v>
      </c>
    </row>
    <row r="1075" customFormat="false" ht="15" hidden="false" customHeight="false" outlineLevel="0" collapsed="false">
      <c r="N1075" s="83" t="s">
        <v>3462</v>
      </c>
    </row>
    <row r="1076" customFormat="false" ht="15" hidden="false" customHeight="false" outlineLevel="0" collapsed="false">
      <c r="N1076" s="83" t="s">
        <v>3463</v>
      </c>
    </row>
    <row r="1077" customFormat="false" ht="15" hidden="false" customHeight="false" outlineLevel="0" collapsed="false">
      <c r="N1077" s="83" t="s">
        <v>3464</v>
      </c>
    </row>
    <row r="1078" customFormat="false" ht="15" hidden="false" customHeight="false" outlineLevel="0" collapsed="false">
      <c r="N1078" s="83" t="s">
        <v>3465</v>
      </c>
    </row>
    <row r="1079" customFormat="false" ht="15" hidden="false" customHeight="false" outlineLevel="0" collapsed="false">
      <c r="N1079" s="83" t="s">
        <v>3466</v>
      </c>
    </row>
    <row r="1080" customFormat="false" ht="15" hidden="false" customHeight="false" outlineLevel="0" collapsed="false">
      <c r="N1080" s="83" t="s">
        <v>3467</v>
      </c>
    </row>
    <row r="1081" customFormat="false" ht="15" hidden="false" customHeight="false" outlineLevel="0" collapsed="false">
      <c r="N1081" s="83" t="s">
        <v>3468</v>
      </c>
    </row>
    <row r="1082" customFormat="false" ht="15" hidden="false" customHeight="false" outlineLevel="0" collapsed="false">
      <c r="N1082" s="83" t="s">
        <v>3469</v>
      </c>
    </row>
    <row r="1083" customFormat="false" ht="15" hidden="false" customHeight="false" outlineLevel="0" collapsed="false">
      <c r="N1083" s="83" t="s">
        <v>3470</v>
      </c>
    </row>
    <row r="1084" customFormat="false" ht="15" hidden="false" customHeight="false" outlineLevel="0" collapsed="false">
      <c r="N1084" s="83" t="s">
        <v>3471</v>
      </c>
    </row>
    <row r="1085" customFormat="false" ht="15" hidden="false" customHeight="false" outlineLevel="0" collapsed="false">
      <c r="N1085" s="83" t="s">
        <v>3472</v>
      </c>
    </row>
    <row r="1086" customFormat="false" ht="15" hidden="false" customHeight="false" outlineLevel="0" collapsed="false">
      <c r="N1086" s="83" t="s">
        <v>3473</v>
      </c>
    </row>
    <row r="1087" customFormat="false" ht="15" hidden="false" customHeight="false" outlineLevel="0" collapsed="false">
      <c r="N1087" s="83" t="s">
        <v>3474</v>
      </c>
    </row>
    <row r="1088" customFormat="false" ht="15" hidden="false" customHeight="false" outlineLevel="0" collapsed="false">
      <c r="N1088" s="83" t="s">
        <v>3475</v>
      </c>
    </row>
    <row r="1089" customFormat="false" ht="15" hidden="false" customHeight="false" outlineLevel="0" collapsed="false">
      <c r="N1089" s="83" t="s">
        <v>3476</v>
      </c>
    </row>
    <row r="1090" customFormat="false" ht="15" hidden="false" customHeight="false" outlineLevel="0" collapsed="false">
      <c r="N1090" s="83" t="s">
        <v>3477</v>
      </c>
    </row>
    <row r="1091" customFormat="false" ht="15" hidden="false" customHeight="false" outlineLevel="0" collapsed="false">
      <c r="N1091" s="83" t="s">
        <v>3478</v>
      </c>
    </row>
    <row r="1092" customFormat="false" ht="15" hidden="false" customHeight="false" outlineLevel="0" collapsed="false">
      <c r="N1092" s="83" t="s">
        <v>3479</v>
      </c>
    </row>
    <row r="1093" customFormat="false" ht="15" hidden="false" customHeight="false" outlineLevel="0" collapsed="false">
      <c r="N1093" s="83" t="s">
        <v>3480</v>
      </c>
    </row>
    <row r="1094" customFormat="false" ht="15" hidden="false" customHeight="false" outlineLevel="0" collapsed="false">
      <c r="N1094" s="83" t="s">
        <v>3481</v>
      </c>
    </row>
    <row r="1095" customFormat="false" ht="15" hidden="false" customHeight="false" outlineLevel="0" collapsed="false">
      <c r="N1095" s="83" t="s">
        <v>3482</v>
      </c>
    </row>
    <row r="1096" customFormat="false" ht="15" hidden="false" customHeight="false" outlineLevel="0" collapsed="false">
      <c r="N1096" s="83" t="s">
        <v>3483</v>
      </c>
    </row>
    <row r="1097" customFormat="false" ht="15" hidden="false" customHeight="false" outlineLevel="0" collapsed="false">
      <c r="N1097" s="83" t="s">
        <v>3484</v>
      </c>
    </row>
    <row r="1098" customFormat="false" ht="15" hidden="false" customHeight="false" outlineLevel="0" collapsed="false">
      <c r="N1098" s="83" t="s">
        <v>3485</v>
      </c>
    </row>
    <row r="1099" customFormat="false" ht="15" hidden="false" customHeight="false" outlineLevel="0" collapsed="false">
      <c r="N1099" s="83" t="s">
        <v>3486</v>
      </c>
    </row>
    <row r="1100" customFormat="false" ht="15" hidden="false" customHeight="false" outlineLevel="0" collapsed="false">
      <c r="N1100" s="83" t="s">
        <v>3487</v>
      </c>
    </row>
    <row r="1101" customFormat="false" ht="15" hidden="false" customHeight="false" outlineLevel="0" collapsed="false">
      <c r="N1101" s="83" t="s">
        <v>3488</v>
      </c>
    </row>
    <row r="1102" customFormat="false" ht="15" hidden="false" customHeight="false" outlineLevel="0" collapsed="false">
      <c r="N1102" s="83" t="s">
        <v>3489</v>
      </c>
    </row>
    <row r="1103" customFormat="false" ht="15" hidden="false" customHeight="false" outlineLevel="0" collapsed="false">
      <c r="N1103" s="83" t="s">
        <v>3490</v>
      </c>
    </row>
    <row r="1104" customFormat="false" ht="15" hidden="false" customHeight="false" outlineLevel="0" collapsed="false">
      <c r="N1104" s="83" t="s">
        <v>3491</v>
      </c>
    </row>
    <row r="1105" customFormat="false" ht="15" hidden="false" customHeight="false" outlineLevel="0" collapsed="false">
      <c r="N1105" s="83" t="s">
        <v>3492</v>
      </c>
    </row>
    <row r="1106" customFormat="false" ht="15" hidden="false" customHeight="false" outlineLevel="0" collapsed="false">
      <c r="N1106" s="83" t="s">
        <v>3493</v>
      </c>
    </row>
    <row r="1107" customFormat="false" ht="15" hidden="false" customHeight="false" outlineLevel="0" collapsed="false">
      <c r="N1107" s="83" t="s">
        <v>3494</v>
      </c>
    </row>
    <row r="1108" customFormat="false" ht="15" hidden="false" customHeight="false" outlineLevel="0" collapsed="false">
      <c r="N1108" s="83" t="s">
        <v>3495</v>
      </c>
    </row>
    <row r="1109" customFormat="false" ht="15" hidden="false" customHeight="false" outlineLevel="0" collapsed="false">
      <c r="N1109" s="83" t="s">
        <v>3496</v>
      </c>
    </row>
    <row r="1110" customFormat="false" ht="15" hidden="false" customHeight="false" outlineLevel="0" collapsed="false">
      <c r="N1110" s="83" t="s">
        <v>3497</v>
      </c>
    </row>
    <row r="1111" customFormat="false" ht="15" hidden="false" customHeight="false" outlineLevel="0" collapsed="false">
      <c r="N1111" s="83" t="s">
        <v>3498</v>
      </c>
    </row>
    <row r="1112" customFormat="false" ht="15" hidden="false" customHeight="false" outlineLevel="0" collapsed="false">
      <c r="N1112" s="83" t="s">
        <v>3499</v>
      </c>
    </row>
    <row r="1113" customFormat="false" ht="15" hidden="false" customHeight="false" outlineLevel="0" collapsed="false">
      <c r="N1113" s="83" t="s">
        <v>3500</v>
      </c>
    </row>
    <row r="1114" customFormat="false" ht="15" hidden="false" customHeight="false" outlineLevel="0" collapsed="false">
      <c r="N1114" s="83" t="s">
        <v>3501</v>
      </c>
    </row>
    <row r="1115" customFormat="false" ht="15" hidden="false" customHeight="false" outlineLevel="0" collapsed="false">
      <c r="N1115" s="83" t="s">
        <v>3502</v>
      </c>
    </row>
    <row r="1116" customFormat="false" ht="15" hidden="false" customHeight="false" outlineLevel="0" collapsed="false">
      <c r="N1116" s="83" t="s">
        <v>3503</v>
      </c>
    </row>
    <row r="1117" customFormat="false" ht="15" hidden="false" customHeight="false" outlineLevel="0" collapsed="false">
      <c r="N1117" s="83" t="s">
        <v>3504</v>
      </c>
    </row>
    <row r="1118" customFormat="false" ht="15" hidden="false" customHeight="false" outlineLevel="0" collapsed="false">
      <c r="N1118" s="83" t="s">
        <v>3505</v>
      </c>
    </row>
    <row r="1119" customFormat="false" ht="15" hidden="false" customHeight="false" outlineLevel="0" collapsed="false">
      <c r="N1119" s="83" t="s">
        <v>3506</v>
      </c>
    </row>
    <row r="1120" customFormat="false" ht="15" hidden="false" customHeight="false" outlineLevel="0" collapsed="false">
      <c r="N1120" s="83" t="s">
        <v>3507</v>
      </c>
    </row>
    <row r="1121" customFormat="false" ht="15" hidden="false" customHeight="false" outlineLevel="0" collapsed="false">
      <c r="N1121" s="83" t="s">
        <v>3508</v>
      </c>
    </row>
    <row r="1122" customFormat="false" ht="15" hidden="false" customHeight="false" outlineLevel="0" collapsed="false">
      <c r="N1122" s="83" t="s">
        <v>3509</v>
      </c>
    </row>
    <row r="1123" customFormat="false" ht="15" hidden="false" customHeight="false" outlineLevel="0" collapsed="false">
      <c r="N1123" s="83" t="s">
        <v>3510</v>
      </c>
    </row>
    <row r="1124" customFormat="false" ht="15" hidden="false" customHeight="false" outlineLevel="0" collapsed="false">
      <c r="N1124" s="83" t="s">
        <v>3511</v>
      </c>
    </row>
    <row r="1125" customFormat="false" ht="15" hidden="false" customHeight="false" outlineLevel="0" collapsed="false">
      <c r="N1125" s="83" t="s">
        <v>3512</v>
      </c>
    </row>
    <row r="1126" customFormat="false" ht="15" hidden="false" customHeight="false" outlineLevel="0" collapsed="false">
      <c r="N1126" s="83" t="s">
        <v>3513</v>
      </c>
    </row>
    <row r="1127" customFormat="false" ht="15" hidden="false" customHeight="false" outlineLevel="0" collapsed="false">
      <c r="N1127" s="83" t="s">
        <v>3514</v>
      </c>
    </row>
    <row r="1128" customFormat="false" ht="15" hidden="false" customHeight="false" outlineLevel="0" collapsed="false">
      <c r="N1128" s="83" t="s">
        <v>3515</v>
      </c>
    </row>
    <row r="1129" customFormat="false" ht="15" hidden="false" customHeight="false" outlineLevel="0" collapsed="false">
      <c r="N1129" s="83" t="s">
        <v>3516</v>
      </c>
    </row>
    <row r="1130" customFormat="false" ht="15" hidden="false" customHeight="false" outlineLevel="0" collapsed="false">
      <c r="N1130" s="83" t="s">
        <v>3517</v>
      </c>
    </row>
    <row r="1131" customFormat="false" ht="15" hidden="false" customHeight="false" outlineLevel="0" collapsed="false">
      <c r="N1131" s="83" t="s">
        <v>3518</v>
      </c>
    </row>
    <row r="1132" customFormat="false" ht="15" hidden="false" customHeight="false" outlineLevel="0" collapsed="false">
      <c r="N1132" s="83" t="s">
        <v>3519</v>
      </c>
    </row>
    <row r="1133" customFormat="false" ht="15" hidden="false" customHeight="false" outlineLevel="0" collapsed="false">
      <c r="N1133" s="83" t="s">
        <v>3520</v>
      </c>
    </row>
    <row r="1134" customFormat="false" ht="15" hidden="false" customHeight="false" outlineLevel="0" collapsed="false">
      <c r="N1134" s="83" t="s">
        <v>3521</v>
      </c>
    </row>
    <row r="1135" customFormat="false" ht="15" hidden="false" customHeight="false" outlineLevel="0" collapsed="false">
      <c r="N1135" s="83" t="s">
        <v>3522</v>
      </c>
    </row>
    <row r="1136" customFormat="false" ht="15" hidden="false" customHeight="false" outlineLevel="0" collapsed="false">
      <c r="N1136" s="83" t="s">
        <v>3523</v>
      </c>
    </row>
    <row r="1137" customFormat="false" ht="15" hidden="false" customHeight="false" outlineLevel="0" collapsed="false">
      <c r="N1137" s="83" t="s">
        <v>3524</v>
      </c>
    </row>
    <row r="1138" customFormat="false" ht="15" hidden="false" customHeight="false" outlineLevel="0" collapsed="false">
      <c r="N1138" s="83" t="s">
        <v>3525</v>
      </c>
    </row>
    <row r="1139" customFormat="false" ht="15" hidden="false" customHeight="false" outlineLevel="0" collapsed="false">
      <c r="N1139" s="83" t="s">
        <v>3526</v>
      </c>
    </row>
    <row r="1140" customFormat="false" ht="15" hidden="false" customHeight="false" outlineLevel="0" collapsed="false">
      <c r="N1140" s="83" t="s">
        <v>3527</v>
      </c>
    </row>
    <row r="1141" customFormat="false" ht="15" hidden="false" customHeight="false" outlineLevel="0" collapsed="false">
      <c r="N1141" s="83" t="s">
        <v>3528</v>
      </c>
    </row>
    <row r="1142" customFormat="false" ht="15" hidden="false" customHeight="false" outlineLevel="0" collapsed="false">
      <c r="N1142" s="83" t="s">
        <v>3529</v>
      </c>
    </row>
    <row r="1143" customFormat="false" ht="15" hidden="false" customHeight="false" outlineLevel="0" collapsed="false">
      <c r="N1143" s="83" t="s">
        <v>3530</v>
      </c>
    </row>
    <row r="1144" customFormat="false" ht="15" hidden="false" customHeight="false" outlineLevel="0" collapsed="false">
      <c r="N1144" s="83" t="s">
        <v>3531</v>
      </c>
    </row>
    <row r="1145" customFormat="false" ht="15" hidden="false" customHeight="false" outlineLevel="0" collapsed="false">
      <c r="N1145" s="83" t="s">
        <v>3532</v>
      </c>
    </row>
    <row r="1146" customFormat="false" ht="15" hidden="false" customHeight="false" outlineLevel="0" collapsed="false">
      <c r="N1146" s="83" t="s">
        <v>3533</v>
      </c>
    </row>
    <row r="1147" customFormat="false" ht="15" hidden="false" customHeight="false" outlineLevel="0" collapsed="false">
      <c r="N1147" s="83" t="s">
        <v>3534</v>
      </c>
    </row>
    <row r="1148" customFormat="false" ht="15" hidden="false" customHeight="false" outlineLevel="0" collapsed="false">
      <c r="N1148" s="83" t="s">
        <v>3535</v>
      </c>
    </row>
    <row r="1149" customFormat="false" ht="15" hidden="false" customHeight="false" outlineLevel="0" collapsed="false">
      <c r="N1149" s="83" t="s">
        <v>3536</v>
      </c>
    </row>
    <row r="1150" customFormat="false" ht="15" hidden="false" customHeight="false" outlineLevel="0" collapsed="false">
      <c r="N1150" s="83" t="s">
        <v>3537</v>
      </c>
    </row>
    <row r="1151" customFormat="false" ht="15" hidden="false" customHeight="false" outlineLevel="0" collapsed="false">
      <c r="N1151" s="83" t="s">
        <v>3538</v>
      </c>
    </row>
    <row r="1152" customFormat="false" ht="15" hidden="false" customHeight="false" outlineLevel="0" collapsed="false">
      <c r="N1152" s="83" t="s">
        <v>3539</v>
      </c>
    </row>
    <row r="1153" customFormat="false" ht="15" hidden="false" customHeight="false" outlineLevel="0" collapsed="false">
      <c r="N1153" s="83" t="s">
        <v>3540</v>
      </c>
    </row>
    <row r="1154" customFormat="false" ht="15" hidden="false" customHeight="false" outlineLevel="0" collapsed="false">
      <c r="N1154" s="83" t="s">
        <v>3541</v>
      </c>
    </row>
    <row r="1155" customFormat="false" ht="15" hidden="false" customHeight="false" outlineLevel="0" collapsed="false">
      <c r="N1155" s="83" t="s">
        <v>3542</v>
      </c>
    </row>
    <row r="1156" customFormat="false" ht="15" hidden="false" customHeight="false" outlineLevel="0" collapsed="false">
      <c r="N1156" s="83" t="s">
        <v>3543</v>
      </c>
    </row>
    <row r="1157" customFormat="false" ht="15" hidden="false" customHeight="false" outlineLevel="0" collapsed="false">
      <c r="N1157" s="83" t="s">
        <v>3544</v>
      </c>
    </row>
    <row r="1158" customFormat="false" ht="15" hidden="false" customHeight="false" outlineLevel="0" collapsed="false">
      <c r="N1158" s="83" t="s">
        <v>3545</v>
      </c>
    </row>
    <row r="1159" customFormat="false" ht="15" hidden="false" customHeight="false" outlineLevel="0" collapsed="false">
      <c r="N1159" s="83" t="s">
        <v>3546</v>
      </c>
    </row>
    <row r="1160" customFormat="false" ht="15" hidden="false" customHeight="false" outlineLevel="0" collapsed="false">
      <c r="N1160" s="83" t="s">
        <v>3547</v>
      </c>
    </row>
    <row r="1161" customFormat="false" ht="15" hidden="false" customHeight="false" outlineLevel="0" collapsed="false">
      <c r="N1161" s="83" t="s">
        <v>3548</v>
      </c>
    </row>
    <row r="1162" customFormat="false" ht="15" hidden="false" customHeight="false" outlineLevel="0" collapsed="false">
      <c r="N1162" s="83" t="s">
        <v>3549</v>
      </c>
    </row>
    <row r="1163" customFormat="false" ht="15" hidden="false" customHeight="false" outlineLevel="0" collapsed="false">
      <c r="N1163" s="83" t="s">
        <v>3550</v>
      </c>
    </row>
    <row r="1164" customFormat="false" ht="15" hidden="false" customHeight="false" outlineLevel="0" collapsed="false">
      <c r="N1164" s="83" t="s">
        <v>3551</v>
      </c>
    </row>
    <row r="1165" customFormat="false" ht="15" hidden="false" customHeight="false" outlineLevel="0" collapsed="false">
      <c r="N1165" s="83" t="s">
        <v>3552</v>
      </c>
    </row>
    <row r="1166" customFormat="false" ht="15" hidden="false" customHeight="false" outlineLevel="0" collapsed="false">
      <c r="N1166" s="83" t="s">
        <v>3553</v>
      </c>
    </row>
    <row r="1167" customFormat="false" ht="15" hidden="false" customHeight="false" outlineLevel="0" collapsed="false">
      <c r="N1167" s="83" t="s">
        <v>3554</v>
      </c>
    </row>
    <row r="1168" customFormat="false" ht="15" hidden="false" customHeight="false" outlineLevel="0" collapsed="false">
      <c r="N1168" s="83" t="s">
        <v>3555</v>
      </c>
    </row>
    <row r="1169" customFormat="false" ht="15" hidden="false" customHeight="false" outlineLevel="0" collapsed="false">
      <c r="N1169" s="83" t="s">
        <v>3556</v>
      </c>
    </row>
    <row r="1170" customFormat="false" ht="15" hidden="false" customHeight="false" outlineLevel="0" collapsed="false">
      <c r="N1170" s="83" t="s">
        <v>3557</v>
      </c>
    </row>
    <row r="1171" customFormat="false" ht="15" hidden="false" customHeight="false" outlineLevel="0" collapsed="false">
      <c r="N1171" s="83" t="s">
        <v>3558</v>
      </c>
    </row>
    <row r="1172" customFormat="false" ht="15" hidden="false" customHeight="false" outlineLevel="0" collapsed="false">
      <c r="N1172" s="83" t="s">
        <v>3559</v>
      </c>
    </row>
    <row r="1173" customFormat="false" ht="15" hidden="false" customHeight="false" outlineLevel="0" collapsed="false">
      <c r="N1173" s="83" t="s">
        <v>3560</v>
      </c>
    </row>
    <row r="1174" customFormat="false" ht="15" hidden="false" customHeight="false" outlineLevel="0" collapsed="false">
      <c r="N1174" s="83" t="s">
        <v>3561</v>
      </c>
    </row>
    <row r="1175" customFormat="false" ht="15" hidden="false" customHeight="false" outlineLevel="0" collapsed="false">
      <c r="N1175" s="83" t="s">
        <v>3562</v>
      </c>
    </row>
    <row r="1176" customFormat="false" ht="15" hidden="false" customHeight="false" outlineLevel="0" collapsed="false">
      <c r="N1176" s="83" t="s">
        <v>3563</v>
      </c>
    </row>
    <row r="1177" customFormat="false" ht="15" hidden="false" customHeight="false" outlineLevel="0" collapsed="false">
      <c r="N1177" s="83" t="s">
        <v>3564</v>
      </c>
    </row>
    <row r="1178" customFormat="false" ht="15" hidden="false" customHeight="false" outlineLevel="0" collapsed="false">
      <c r="N1178" s="83" t="s">
        <v>3565</v>
      </c>
    </row>
    <row r="1179" customFormat="false" ht="15" hidden="false" customHeight="false" outlineLevel="0" collapsed="false">
      <c r="N1179" s="83" t="s">
        <v>3566</v>
      </c>
    </row>
    <row r="1180" customFormat="false" ht="15" hidden="false" customHeight="false" outlineLevel="0" collapsed="false">
      <c r="N1180" s="83" t="s">
        <v>3567</v>
      </c>
    </row>
    <row r="1181" customFormat="false" ht="15" hidden="false" customHeight="false" outlineLevel="0" collapsed="false">
      <c r="N1181" s="83" t="s">
        <v>3568</v>
      </c>
    </row>
    <row r="1182" customFormat="false" ht="15" hidden="false" customHeight="false" outlineLevel="0" collapsed="false">
      <c r="N1182" s="83" t="s">
        <v>3569</v>
      </c>
    </row>
    <row r="1183" customFormat="false" ht="15" hidden="false" customHeight="false" outlineLevel="0" collapsed="false">
      <c r="N1183" s="83" t="s">
        <v>3570</v>
      </c>
    </row>
    <row r="1184" customFormat="false" ht="15" hidden="false" customHeight="false" outlineLevel="0" collapsed="false">
      <c r="N1184" s="83" t="s">
        <v>3571</v>
      </c>
    </row>
    <row r="1185" customFormat="false" ht="15" hidden="false" customHeight="false" outlineLevel="0" collapsed="false">
      <c r="N1185" s="83" t="s">
        <v>3572</v>
      </c>
    </row>
    <row r="1186" customFormat="false" ht="15" hidden="false" customHeight="false" outlineLevel="0" collapsed="false">
      <c r="N1186" s="83" t="s">
        <v>3573</v>
      </c>
    </row>
    <row r="1187" customFormat="false" ht="15" hidden="false" customHeight="false" outlineLevel="0" collapsed="false">
      <c r="N1187" s="83" t="s">
        <v>3574</v>
      </c>
    </row>
    <row r="1188" customFormat="false" ht="15" hidden="false" customHeight="false" outlineLevel="0" collapsed="false">
      <c r="N1188" s="83" t="s">
        <v>3575</v>
      </c>
    </row>
    <row r="1189" customFormat="false" ht="15" hidden="false" customHeight="false" outlineLevel="0" collapsed="false">
      <c r="N1189" s="83" t="s">
        <v>3576</v>
      </c>
    </row>
    <row r="1190" customFormat="false" ht="15" hidden="false" customHeight="false" outlineLevel="0" collapsed="false">
      <c r="N1190" s="83" t="s">
        <v>3577</v>
      </c>
    </row>
    <row r="1191" customFormat="false" ht="15" hidden="false" customHeight="false" outlineLevel="0" collapsed="false">
      <c r="N1191" s="83" t="s">
        <v>3578</v>
      </c>
    </row>
    <row r="1192" customFormat="false" ht="15" hidden="false" customHeight="false" outlineLevel="0" collapsed="false">
      <c r="N1192" s="83" t="s">
        <v>3579</v>
      </c>
    </row>
    <row r="1193" customFormat="false" ht="15" hidden="false" customHeight="false" outlineLevel="0" collapsed="false">
      <c r="N1193" s="83" t="s">
        <v>3580</v>
      </c>
    </row>
    <row r="1194" customFormat="false" ht="15" hidden="false" customHeight="false" outlineLevel="0" collapsed="false">
      <c r="N1194" s="83" t="s">
        <v>3581</v>
      </c>
    </row>
    <row r="1195" customFormat="false" ht="15" hidden="false" customHeight="false" outlineLevel="0" collapsed="false">
      <c r="N1195" s="83" t="s">
        <v>3582</v>
      </c>
    </row>
    <row r="1196" customFormat="false" ht="15" hidden="false" customHeight="false" outlineLevel="0" collapsed="false">
      <c r="N1196" s="83" t="s">
        <v>3583</v>
      </c>
    </row>
    <row r="1197" customFormat="false" ht="15" hidden="false" customHeight="false" outlineLevel="0" collapsed="false">
      <c r="N1197" s="83" t="s">
        <v>3584</v>
      </c>
    </row>
    <row r="1198" customFormat="false" ht="15" hidden="false" customHeight="false" outlineLevel="0" collapsed="false">
      <c r="N1198" s="83" t="s">
        <v>3585</v>
      </c>
    </row>
    <row r="1199" customFormat="false" ht="15" hidden="false" customHeight="false" outlineLevel="0" collapsed="false">
      <c r="N1199" s="83" t="s">
        <v>3586</v>
      </c>
    </row>
    <row r="1200" customFormat="false" ht="15" hidden="false" customHeight="false" outlineLevel="0" collapsed="false">
      <c r="N1200" s="83" t="s">
        <v>3587</v>
      </c>
    </row>
    <row r="1201" customFormat="false" ht="15" hidden="false" customHeight="false" outlineLevel="0" collapsed="false">
      <c r="N1201" s="83" t="s">
        <v>3588</v>
      </c>
    </row>
    <row r="1202" customFormat="false" ht="15" hidden="false" customHeight="false" outlineLevel="0" collapsed="false">
      <c r="N1202" s="83" t="s">
        <v>3589</v>
      </c>
    </row>
    <row r="1203" customFormat="false" ht="15" hidden="false" customHeight="false" outlineLevel="0" collapsed="false">
      <c r="N1203" s="83" t="s">
        <v>3590</v>
      </c>
    </row>
    <row r="1204" customFormat="false" ht="15" hidden="false" customHeight="false" outlineLevel="0" collapsed="false">
      <c r="N1204" s="83" t="s">
        <v>3591</v>
      </c>
    </row>
    <row r="1205" customFormat="false" ht="15" hidden="false" customHeight="false" outlineLevel="0" collapsed="false">
      <c r="N1205" s="83" t="s">
        <v>3592</v>
      </c>
    </row>
    <row r="1206" customFormat="false" ht="15" hidden="false" customHeight="false" outlineLevel="0" collapsed="false">
      <c r="N1206" s="83" t="s">
        <v>3593</v>
      </c>
    </row>
    <row r="1207" customFormat="false" ht="15" hidden="false" customHeight="false" outlineLevel="0" collapsed="false">
      <c r="N1207" s="83" t="s">
        <v>3594</v>
      </c>
    </row>
    <row r="1208" customFormat="false" ht="15" hidden="false" customHeight="false" outlineLevel="0" collapsed="false">
      <c r="N1208" s="83" t="s">
        <v>3595</v>
      </c>
    </row>
    <row r="1209" customFormat="false" ht="15" hidden="false" customHeight="false" outlineLevel="0" collapsed="false">
      <c r="N1209" s="83" t="s">
        <v>3596</v>
      </c>
    </row>
    <row r="1210" customFormat="false" ht="15" hidden="false" customHeight="false" outlineLevel="0" collapsed="false">
      <c r="N1210" s="83" t="s">
        <v>3597</v>
      </c>
    </row>
    <row r="1211" customFormat="false" ht="15" hidden="false" customHeight="false" outlineLevel="0" collapsed="false">
      <c r="N1211" s="83" t="s">
        <v>3598</v>
      </c>
    </row>
    <row r="1212" customFormat="false" ht="15" hidden="false" customHeight="false" outlineLevel="0" collapsed="false">
      <c r="N1212" s="83" t="s">
        <v>3599</v>
      </c>
    </row>
    <row r="1213" customFormat="false" ht="15" hidden="false" customHeight="false" outlineLevel="0" collapsed="false">
      <c r="N1213" s="83" t="s">
        <v>3600</v>
      </c>
    </row>
    <row r="1214" customFormat="false" ht="15" hidden="false" customHeight="false" outlineLevel="0" collapsed="false">
      <c r="N1214" s="83" t="s">
        <v>3601</v>
      </c>
    </row>
    <row r="1215" customFormat="false" ht="15" hidden="false" customHeight="false" outlineLevel="0" collapsed="false">
      <c r="N1215" s="83" t="s">
        <v>3602</v>
      </c>
    </row>
    <row r="1216" customFormat="false" ht="15" hidden="false" customHeight="false" outlineLevel="0" collapsed="false">
      <c r="N1216" s="83" t="s">
        <v>3603</v>
      </c>
    </row>
    <row r="1217" customFormat="false" ht="15" hidden="false" customHeight="false" outlineLevel="0" collapsed="false">
      <c r="N1217" s="83" t="s">
        <v>3604</v>
      </c>
    </row>
    <row r="1218" customFormat="false" ht="15" hidden="false" customHeight="false" outlineLevel="0" collapsed="false">
      <c r="N1218" s="83" t="s">
        <v>3605</v>
      </c>
    </row>
    <row r="1219" customFormat="false" ht="15" hidden="false" customHeight="false" outlineLevel="0" collapsed="false">
      <c r="N1219" s="83" t="s">
        <v>3606</v>
      </c>
    </row>
    <row r="1220" customFormat="false" ht="15" hidden="false" customHeight="false" outlineLevel="0" collapsed="false">
      <c r="N1220" s="83" t="s">
        <v>3607</v>
      </c>
    </row>
    <row r="1221" customFormat="false" ht="15" hidden="false" customHeight="false" outlineLevel="0" collapsed="false">
      <c r="N1221" s="83" t="s">
        <v>3608</v>
      </c>
    </row>
    <row r="1222" customFormat="false" ht="15" hidden="false" customHeight="false" outlineLevel="0" collapsed="false">
      <c r="N1222" s="83" t="s">
        <v>3609</v>
      </c>
    </row>
    <row r="1223" customFormat="false" ht="15" hidden="false" customHeight="false" outlineLevel="0" collapsed="false">
      <c r="N1223" s="83" t="s">
        <v>3610</v>
      </c>
    </row>
    <row r="1224" customFormat="false" ht="15" hidden="false" customHeight="false" outlineLevel="0" collapsed="false">
      <c r="N1224" s="83" t="s">
        <v>3611</v>
      </c>
    </row>
    <row r="1225" customFormat="false" ht="15" hidden="false" customHeight="false" outlineLevel="0" collapsed="false">
      <c r="N1225" s="83" t="s">
        <v>3612</v>
      </c>
    </row>
    <row r="1226" customFormat="false" ht="15" hidden="false" customHeight="false" outlineLevel="0" collapsed="false">
      <c r="N1226" s="83" t="s">
        <v>3613</v>
      </c>
    </row>
    <row r="1227" customFormat="false" ht="15" hidden="false" customHeight="false" outlineLevel="0" collapsed="false">
      <c r="N1227" s="83" t="s">
        <v>3614</v>
      </c>
    </row>
    <row r="1228" customFormat="false" ht="15" hidden="false" customHeight="false" outlineLevel="0" collapsed="false">
      <c r="N1228" s="83" t="s">
        <v>3615</v>
      </c>
    </row>
    <row r="1229" customFormat="false" ht="15" hidden="false" customHeight="false" outlineLevel="0" collapsed="false">
      <c r="N1229" s="83" t="s">
        <v>3616</v>
      </c>
    </row>
    <row r="1230" customFormat="false" ht="15" hidden="false" customHeight="false" outlineLevel="0" collapsed="false">
      <c r="N1230" s="83" t="s">
        <v>3617</v>
      </c>
    </row>
    <row r="1231" customFormat="false" ht="15" hidden="false" customHeight="false" outlineLevel="0" collapsed="false">
      <c r="N1231" s="83" t="s">
        <v>3618</v>
      </c>
    </row>
    <row r="1232" customFormat="false" ht="15" hidden="false" customHeight="false" outlineLevel="0" collapsed="false">
      <c r="N1232" s="83" t="s">
        <v>3619</v>
      </c>
    </row>
    <row r="1233" customFormat="false" ht="15" hidden="false" customHeight="false" outlineLevel="0" collapsed="false">
      <c r="N1233" s="83" t="s">
        <v>3620</v>
      </c>
    </row>
    <row r="1234" customFormat="false" ht="15" hidden="false" customHeight="false" outlineLevel="0" collapsed="false">
      <c r="N1234" s="83" t="s">
        <v>3621</v>
      </c>
    </row>
    <row r="1235" customFormat="false" ht="15" hidden="false" customHeight="false" outlineLevel="0" collapsed="false">
      <c r="N1235" s="83" t="s">
        <v>3622</v>
      </c>
    </row>
    <row r="1236" customFormat="false" ht="15" hidden="false" customHeight="false" outlineLevel="0" collapsed="false">
      <c r="N1236" s="83" t="s">
        <v>3623</v>
      </c>
    </row>
    <row r="1237" customFormat="false" ht="15" hidden="false" customHeight="false" outlineLevel="0" collapsed="false">
      <c r="N1237" s="83" t="s">
        <v>3624</v>
      </c>
    </row>
    <row r="1238" customFormat="false" ht="15" hidden="false" customHeight="false" outlineLevel="0" collapsed="false">
      <c r="N1238" s="83" t="s">
        <v>3625</v>
      </c>
    </row>
    <row r="1239" customFormat="false" ht="15" hidden="false" customHeight="false" outlineLevel="0" collapsed="false">
      <c r="N1239" s="83" t="s">
        <v>3626</v>
      </c>
    </row>
    <row r="1240" customFormat="false" ht="15" hidden="false" customHeight="false" outlineLevel="0" collapsed="false">
      <c r="N1240" s="83" t="s">
        <v>3627</v>
      </c>
    </row>
    <row r="1241" customFormat="false" ht="15" hidden="false" customHeight="false" outlineLevel="0" collapsed="false">
      <c r="N1241" s="83" t="s">
        <v>3628</v>
      </c>
    </row>
    <row r="1242" customFormat="false" ht="15" hidden="false" customHeight="false" outlineLevel="0" collapsed="false">
      <c r="N1242" s="83" t="s">
        <v>3629</v>
      </c>
    </row>
    <row r="1243" customFormat="false" ht="15" hidden="false" customHeight="false" outlineLevel="0" collapsed="false">
      <c r="N1243" s="83" t="s">
        <v>3630</v>
      </c>
    </row>
    <row r="1244" customFormat="false" ht="15" hidden="false" customHeight="false" outlineLevel="0" collapsed="false">
      <c r="N1244" s="83" t="s">
        <v>3631</v>
      </c>
    </row>
    <row r="1245" customFormat="false" ht="15" hidden="false" customHeight="false" outlineLevel="0" collapsed="false">
      <c r="N1245" s="83" t="s">
        <v>3632</v>
      </c>
    </row>
    <row r="1246" customFormat="false" ht="15" hidden="false" customHeight="false" outlineLevel="0" collapsed="false">
      <c r="N1246" s="83" t="s">
        <v>3633</v>
      </c>
    </row>
    <row r="1247" customFormat="false" ht="15" hidden="false" customHeight="false" outlineLevel="0" collapsed="false">
      <c r="N1247" s="83" t="s">
        <v>3634</v>
      </c>
    </row>
    <row r="1248" customFormat="false" ht="15" hidden="false" customHeight="false" outlineLevel="0" collapsed="false">
      <c r="N1248" s="83" t="s">
        <v>3635</v>
      </c>
    </row>
    <row r="1249" customFormat="false" ht="15" hidden="false" customHeight="false" outlineLevel="0" collapsed="false">
      <c r="N1249" s="83" t="s">
        <v>3636</v>
      </c>
    </row>
    <row r="1250" customFormat="false" ht="15" hidden="false" customHeight="false" outlineLevel="0" collapsed="false">
      <c r="N1250" s="83" t="s">
        <v>3637</v>
      </c>
    </row>
    <row r="1251" customFormat="false" ht="15" hidden="false" customHeight="false" outlineLevel="0" collapsed="false">
      <c r="N1251" s="83" t="s">
        <v>3638</v>
      </c>
    </row>
    <row r="1252" customFormat="false" ht="15" hidden="false" customHeight="false" outlineLevel="0" collapsed="false">
      <c r="N1252" s="83" t="s">
        <v>3639</v>
      </c>
    </row>
    <row r="1253" customFormat="false" ht="15" hidden="false" customHeight="false" outlineLevel="0" collapsed="false">
      <c r="N1253" s="83" t="s">
        <v>3640</v>
      </c>
    </row>
    <row r="1254" customFormat="false" ht="15" hidden="false" customHeight="false" outlineLevel="0" collapsed="false">
      <c r="N1254" s="83" t="s">
        <v>3641</v>
      </c>
    </row>
    <row r="1255" customFormat="false" ht="15" hidden="false" customHeight="false" outlineLevel="0" collapsed="false">
      <c r="N1255" s="83" t="s">
        <v>3642</v>
      </c>
    </row>
    <row r="1256" customFormat="false" ht="15" hidden="false" customHeight="false" outlineLevel="0" collapsed="false">
      <c r="N1256" s="83" t="s">
        <v>3643</v>
      </c>
    </row>
    <row r="1257" customFormat="false" ht="15" hidden="false" customHeight="false" outlineLevel="0" collapsed="false">
      <c r="N1257" s="83" t="s">
        <v>3644</v>
      </c>
    </row>
    <row r="1258" customFormat="false" ht="15" hidden="false" customHeight="false" outlineLevel="0" collapsed="false">
      <c r="N1258" s="83" t="s">
        <v>3645</v>
      </c>
    </row>
    <row r="1259" customFormat="false" ht="15" hidden="false" customHeight="false" outlineLevel="0" collapsed="false">
      <c r="N1259" s="83" t="s">
        <v>3646</v>
      </c>
    </row>
    <row r="1260" customFormat="false" ht="15" hidden="false" customHeight="false" outlineLevel="0" collapsed="false">
      <c r="N1260" s="83" t="s">
        <v>3647</v>
      </c>
    </row>
    <row r="1261" customFormat="false" ht="15" hidden="false" customHeight="false" outlineLevel="0" collapsed="false">
      <c r="N1261" s="83" t="s">
        <v>3648</v>
      </c>
    </row>
    <row r="1262" customFormat="false" ht="15" hidden="false" customHeight="false" outlineLevel="0" collapsed="false">
      <c r="N1262" s="83" t="s">
        <v>3649</v>
      </c>
    </row>
    <row r="1263" customFormat="false" ht="15" hidden="false" customHeight="false" outlineLevel="0" collapsed="false">
      <c r="N1263" s="83" t="s">
        <v>3650</v>
      </c>
    </row>
    <row r="1264" customFormat="false" ht="15" hidden="false" customHeight="false" outlineLevel="0" collapsed="false">
      <c r="N1264" s="83" t="s">
        <v>3651</v>
      </c>
    </row>
    <row r="1265" customFormat="false" ht="15" hidden="false" customHeight="false" outlineLevel="0" collapsed="false">
      <c r="N1265" s="83" t="s">
        <v>3652</v>
      </c>
    </row>
    <row r="1266" customFormat="false" ht="15" hidden="false" customHeight="false" outlineLevel="0" collapsed="false">
      <c r="N1266" s="83" t="s">
        <v>3653</v>
      </c>
    </row>
    <row r="1267" customFormat="false" ht="15" hidden="false" customHeight="false" outlineLevel="0" collapsed="false">
      <c r="N1267" s="83" t="s">
        <v>3654</v>
      </c>
    </row>
    <row r="1268" customFormat="false" ht="15" hidden="false" customHeight="false" outlineLevel="0" collapsed="false">
      <c r="N1268" s="83" t="s">
        <v>3655</v>
      </c>
    </row>
    <row r="1269" customFormat="false" ht="15" hidden="false" customHeight="false" outlineLevel="0" collapsed="false">
      <c r="N1269" s="83" t="s">
        <v>3656</v>
      </c>
    </row>
    <row r="1270" customFormat="false" ht="15" hidden="false" customHeight="false" outlineLevel="0" collapsed="false">
      <c r="N1270" s="83" t="s">
        <v>3657</v>
      </c>
    </row>
    <row r="1271" customFormat="false" ht="15" hidden="false" customHeight="false" outlineLevel="0" collapsed="false">
      <c r="N1271" s="83" t="s">
        <v>3658</v>
      </c>
    </row>
    <row r="1272" customFormat="false" ht="15" hidden="false" customHeight="false" outlineLevel="0" collapsed="false">
      <c r="N1272" s="83" t="s">
        <v>3659</v>
      </c>
    </row>
    <row r="1273" customFormat="false" ht="15" hidden="false" customHeight="false" outlineLevel="0" collapsed="false">
      <c r="N1273" s="83" t="s">
        <v>3660</v>
      </c>
    </row>
    <row r="1274" customFormat="false" ht="15" hidden="false" customHeight="false" outlineLevel="0" collapsed="false">
      <c r="N1274" s="83" t="s">
        <v>3661</v>
      </c>
    </row>
    <row r="1275" customFormat="false" ht="15" hidden="false" customHeight="false" outlineLevel="0" collapsed="false">
      <c r="N1275" s="83" t="s">
        <v>3662</v>
      </c>
    </row>
    <row r="1276" customFormat="false" ht="15" hidden="false" customHeight="false" outlineLevel="0" collapsed="false">
      <c r="N1276" s="83" t="s">
        <v>3663</v>
      </c>
    </row>
    <row r="1277" customFormat="false" ht="15" hidden="false" customHeight="false" outlineLevel="0" collapsed="false">
      <c r="N1277" s="83" t="s">
        <v>3664</v>
      </c>
    </row>
    <row r="1278" customFormat="false" ht="15" hidden="false" customHeight="false" outlineLevel="0" collapsed="false">
      <c r="N1278" s="83" t="s">
        <v>3665</v>
      </c>
    </row>
    <row r="1279" customFormat="false" ht="15" hidden="false" customHeight="false" outlineLevel="0" collapsed="false">
      <c r="N1279" s="83" t="s">
        <v>3666</v>
      </c>
    </row>
    <row r="1280" customFormat="false" ht="15" hidden="false" customHeight="false" outlineLevel="0" collapsed="false">
      <c r="N1280" s="83" t="s">
        <v>3667</v>
      </c>
    </row>
    <row r="1281" customFormat="false" ht="15" hidden="false" customHeight="false" outlineLevel="0" collapsed="false">
      <c r="N1281" s="83" t="s">
        <v>3668</v>
      </c>
    </row>
    <row r="1282" customFormat="false" ht="15" hidden="false" customHeight="false" outlineLevel="0" collapsed="false">
      <c r="N1282" s="83" t="s">
        <v>3669</v>
      </c>
    </row>
    <row r="1283" customFormat="false" ht="15" hidden="false" customHeight="false" outlineLevel="0" collapsed="false">
      <c r="N1283" s="83" t="s">
        <v>3670</v>
      </c>
    </row>
    <row r="1284" customFormat="false" ht="15" hidden="false" customHeight="false" outlineLevel="0" collapsed="false">
      <c r="N1284" s="83" t="s">
        <v>3671</v>
      </c>
    </row>
    <row r="1285" customFormat="false" ht="15" hidden="false" customHeight="false" outlineLevel="0" collapsed="false">
      <c r="N1285" s="83" t="s">
        <v>3672</v>
      </c>
    </row>
    <row r="1286" customFormat="false" ht="15" hidden="false" customHeight="false" outlineLevel="0" collapsed="false">
      <c r="N1286" s="83" t="s">
        <v>3673</v>
      </c>
    </row>
    <row r="1287" customFormat="false" ht="15" hidden="false" customHeight="false" outlineLevel="0" collapsed="false">
      <c r="N1287" s="83" t="s">
        <v>3674</v>
      </c>
    </row>
    <row r="1288" customFormat="false" ht="15" hidden="false" customHeight="false" outlineLevel="0" collapsed="false">
      <c r="N1288" s="83" t="s">
        <v>3675</v>
      </c>
    </row>
    <row r="1289" customFormat="false" ht="15" hidden="false" customHeight="false" outlineLevel="0" collapsed="false">
      <c r="N1289" s="83" t="s">
        <v>3676</v>
      </c>
    </row>
    <row r="1290" customFormat="false" ht="15" hidden="false" customHeight="false" outlineLevel="0" collapsed="false">
      <c r="N1290" s="83" t="s">
        <v>3677</v>
      </c>
    </row>
    <row r="1291" customFormat="false" ht="15" hidden="false" customHeight="false" outlineLevel="0" collapsed="false">
      <c r="N1291" s="83" t="s">
        <v>3678</v>
      </c>
    </row>
    <row r="1292" customFormat="false" ht="15" hidden="false" customHeight="false" outlineLevel="0" collapsed="false">
      <c r="N1292" s="83" t="s">
        <v>3679</v>
      </c>
    </row>
    <row r="1293" customFormat="false" ht="15" hidden="false" customHeight="false" outlineLevel="0" collapsed="false">
      <c r="N1293" s="83" t="s">
        <v>3680</v>
      </c>
    </row>
    <row r="1294" customFormat="false" ht="15" hidden="false" customHeight="false" outlineLevel="0" collapsed="false">
      <c r="N1294" s="83" t="s">
        <v>3681</v>
      </c>
    </row>
    <row r="1295" customFormat="false" ht="15" hidden="false" customHeight="false" outlineLevel="0" collapsed="false">
      <c r="N1295" s="83" t="s">
        <v>3682</v>
      </c>
    </row>
    <row r="1296" customFormat="false" ht="15" hidden="false" customHeight="false" outlineLevel="0" collapsed="false">
      <c r="N1296" s="83" t="s">
        <v>3683</v>
      </c>
    </row>
    <row r="1297" customFormat="false" ht="15" hidden="false" customHeight="false" outlineLevel="0" collapsed="false">
      <c r="N1297" s="83" t="s">
        <v>3684</v>
      </c>
    </row>
    <row r="1298" customFormat="false" ht="15" hidden="false" customHeight="false" outlineLevel="0" collapsed="false">
      <c r="N1298" s="83" t="s">
        <v>3685</v>
      </c>
    </row>
    <row r="1299" customFormat="false" ht="15" hidden="false" customHeight="false" outlineLevel="0" collapsed="false">
      <c r="N1299" s="83" t="s">
        <v>3686</v>
      </c>
    </row>
    <row r="1300" customFormat="false" ht="15" hidden="false" customHeight="false" outlineLevel="0" collapsed="false">
      <c r="N1300" s="83" t="s">
        <v>3687</v>
      </c>
    </row>
    <row r="1301" customFormat="false" ht="15" hidden="false" customHeight="false" outlineLevel="0" collapsed="false">
      <c r="N1301" s="83" t="s">
        <v>3688</v>
      </c>
    </row>
    <row r="1302" customFormat="false" ht="15" hidden="false" customHeight="false" outlineLevel="0" collapsed="false">
      <c r="N1302" s="83" t="s">
        <v>3689</v>
      </c>
    </row>
    <row r="1303" customFormat="false" ht="15" hidden="false" customHeight="false" outlineLevel="0" collapsed="false">
      <c r="N1303" s="83" t="s">
        <v>3690</v>
      </c>
    </row>
    <row r="1304" customFormat="false" ht="15" hidden="false" customHeight="false" outlineLevel="0" collapsed="false">
      <c r="N1304" s="83" t="s">
        <v>3691</v>
      </c>
    </row>
    <row r="1305" customFormat="false" ht="15" hidden="false" customHeight="false" outlineLevel="0" collapsed="false">
      <c r="N1305" s="83" t="s">
        <v>3692</v>
      </c>
    </row>
    <row r="1306" customFormat="false" ht="15" hidden="false" customHeight="false" outlineLevel="0" collapsed="false">
      <c r="N1306" s="83" t="s">
        <v>3693</v>
      </c>
    </row>
    <row r="1307" customFormat="false" ht="15" hidden="false" customHeight="false" outlineLevel="0" collapsed="false">
      <c r="N1307" s="83" t="s">
        <v>3694</v>
      </c>
    </row>
    <row r="1308" customFormat="false" ht="15" hidden="false" customHeight="false" outlineLevel="0" collapsed="false">
      <c r="N1308" s="83" t="s">
        <v>3695</v>
      </c>
    </row>
    <row r="1309" customFormat="false" ht="15" hidden="false" customHeight="false" outlineLevel="0" collapsed="false">
      <c r="N1309" s="83" t="s">
        <v>3696</v>
      </c>
    </row>
    <row r="1310" customFormat="false" ht="15" hidden="false" customHeight="false" outlineLevel="0" collapsed="false">
      <c r="N1310" s="83" t="s">
        <v>3697</v>
      </c>
    </row>
    <row r="1311" customFormat="false" ht="15" hidden="false" customHeight="false" outlineLevel="0" collapsed="false">
      <c r="N1311" s="83" t="s">
        <v>3698</v>
      </c>
    </row>
    <row r="1312" customFormat="false" ht="15" hidden="false" customHeight="false" outlineLevel="0" collapsed="false">
      <c r="N1312" s="83" t="s">
        <v>3699</v>
      </c>
    </row>
    <row r="1313" customFormat="false" ht="15" hidden="false" customHeight="false" outlineLevel="0" collapsed="false">
      <c r="N1313" s="83" t="s">
        <v>3700</v>
      </c>
    </row>
    <row r="1314" customFormat="false" ht="15" hidden="false" customHeight="false" outlineLevel="0" collapsed="false">
      <c r="N1314" s="83" t="s">
        <v>3701</v>
      </c>
    </row>
    <row r="1315" customFormat="false" ht="15" hidden="false" customHeight="false" outlineLevel="0" collapsed="false">
      <c r="N1315" s="83" t="s">
        <v>3702</v>
      </c>
    </row>
    <row r="1316" customFormat="false" ht="15" hidden="false" customHeight="false" outlineLevel="0" collapsed="false">
      <c r="N1316" s="83" t="s">
        <v>3703</v>
      </c>
    </row>
    <row r="1317" customFormat="false" ht="15" hidden="false" customHeight="false" outlineLevel="0" collapsed="false">
      <c r="N1317" s="83" t="s">
        <v>3704</v>
      </c>
    </row>
    <row r="1318" customFormat="false" ht="15" hidden="false" customHeight="false" outlineLevel="0" collapsed="false">
      <c r="N1318" s="83" t="s">
        <v>3705</v>
      </c>
    </row>
    <row r="1319" customFormat="false" ht="15" hidden="false" customHeight="false" outlineLevel="0" collapsed="false">
      <c r="N1319" s="83" t="s">
        <v>3706</v>
      </c>
    </row>
    <row r="1320" customFormat="false" ht="15" hidden="false" customHeight="false" outlineLevel="0" collapsed="false">
      <c r="N1320" s="83" t="s">
        <v>3707</v>
      </c>
    </row>
    <row r="1321" customFormat="false" ht="15" hidden="false" customHeight="false" outlineLevel="0" collapsed="false">
      <c r="N1321" s="83" t="s">
        <v>3708</v>
      </c>
    </row>
    <row r="1322" customFormat="false" ht="15" hidden="false" customHeight="false" outlineLevel="0" collapsed="false">
      <c r="N1322" s="83" t="s">
        <v>3709</v>
      </c>
    </row>
    <row r="1323" customFormat="false" ht="15" hidden="false" customHeight="false" outlineLevel="0" collapsed="false">
      <c r="N1323" s="83" t="s">
        <v>3710</v>
      </c>
    </row>
    <row r="1324" customFormat="false" ht="15" hidden="false" customHeight="false" outlineLevel="0" collapsed="false">
      <c r="N1324" s="83" t="s">
        <v>3711</v>
      </c>
    </row>
    <row r="1325" customFormat="false" ht="15" hidden="false" customHeight="false" outlineLevel="0" collapsed="false">
      <c r="N1325" s="83" t="s">
        <v>3712</v>
      </c>
    </row>
    <row r="1326" customFormat="false" ht="15" hidden="false" customHeight="false" outlineLevel="0" collapsed="false">
      <c r="N1326" s="83" t="s">
        <v>3713</v>
      </c>
    </row>
    <row r="1327" customFormat="false" ht="15" hidden="false" customHeight="false" outlineLevel="0" collapsed="false">
      <c r="N1327" s="83" t="s">
        <v>3714</v>
      </c>
    </row>
    <row r="1328" customFormat="false" ht="15" hidden="false" customHeight="false" outlineLevel="0" collapsed="false">
      <c r="N1328" s="83" t="s">
        <v>3715</v>
      </c>
    </row>
    <row r="1329" customFormat="false" ht="15" hidden="false" customHeight="false" outlineLevel="0" collapsed="false">
      <c r="N1329" s="83" t="s">
        <v>3716</v>
      </c>
    </row>
    <row r="1330" customFormat="false" ht="15" hidden="false" customHeight="false" outlineLevel="0" collapsed="false">
      <c r="N1330" s="83" t="s">
        <v>3717</v>
      </c>
    </row>
    <row r="1331" customFormat="false" ht="15" hidden="false" customHeight="false" outlineLevel="0" collapsed="false">
      <c r="N1331" s="83" t="s">
        <v>3718</v>
      </c>
    </row>
    <row r="1332" customFormat="false" ht="15" hidden="false" customHeight="false" outlineLevel="0" collapsed="false">
      <c r="N1332" s="83" t="s">
        <v>3719</v>
      </c>
    </row>
    <row r="1333" customFormat="false" ht="15" hidden="false" customHeight="false" outlineLevel="0" collapsed="false">
      <c r="N1333" s="83" t="s">
        <v>3720</v>
      </c>
    </row>
    <row r="1334" customFormat="false" ht="15" hidden="false" customHeight="false" outlineLevel="0" collapsed="false">
      <c r="N1334" s="83" t="s">
        <v>3721</v>
      </c>
    </row>
    <row r="1335" customFormat="false" ht="15" hidden="false" customHeight="false" outlineLevel="0" collapsed="false">
      <c r="N1335" s="83" t="s">
        <v>3722</v>
      </c>
    </row>
    <row r="1336" customFormat="false" ht="15" hidden="false" customHeight="false" outlineLevel="0" collapsed="false">
      <c r="N1336" s="83" t="s">
        <v>3723</v>
      </c>
    </row>
    <row r="1337" customFormat="false" ht="15" hidden="false" customHeight="false" outlineLevel="0" collapsed="false">
      <c r="N1337" s="83" t="s">
        <v>3724</v>
      </c>
    </row>
    <row r="1338" customFormat="false" ht="15" hidden="false" customHeight="false" outlineLevel="0" collapsed="false">
      <c r="N1338" s="83" t="s">
        <v>3725</v>
      </c>
    </row>
    <row r="1339" customFormat="false" ht="15" hidden="false" customHeight="false" outlineLevel="0" collapsed="false">
      <c r="N1339" s="83" t="s">
        <v>3726</v>
      </c>
    </row>
    <row r="1340" customFormat="false" ht="15" hidden="false" customHeight="false" outlineLevel="0" collapsed="false">
      <c r="N1340" s="83" t="s">
        <v>3727</v>
      </c>
    </row>
    <row r="1341" customFormat="false" ht="15" hidden="false" customHeight="false" outlineLevel="0" collapsed="false">
      <c r="N1341" s="83" t="s">
        <v>3728</v>
      </c>
    </row>
    <row r="1342" customFormat="false" ht="15" hidden="false" customHeight="false" outlineLevel="0" collapsed="false">
      <c r="N1342" s="83" t="s">
        <v>3729</v>
      </c>
    </row>
    <row r="1343" customFormat="false" ht="15" hidden="false" customHeight="false" outlineLevel="0" collapsed="false">
      <c r="N1343" s="83" t="s">
        <v>3730</v>
      </c>
    </row>
    <row r="1344" customFormat="false" ht="15" hidden="false" customHeight="false" outlineLevel="0" collapsed="false">
      <c r="N1344" s="83" t="s">
        <v>3731</v>
      </c>
    </row>
    <row r="1345" customFormat="false" ht="15" hidden="false" customHeight="false" outlineLevel="0" collapsed="false">
      <c r="N1345" s="83" t="s">
        <v>3732</v>
      </c>
    </row>
    <row r="1346" customFormat="false" ht="15" hidden="false" customHeight="false" outlineLevel="0" collapsed="false">
      <c r="N1346" s="83" t="s">
        <v>3733</v>
      </c>
    </row>
    <row r="1347" customFormat="false" ht="15" hidden="false" customHeight="false" outlineLevel="0" collapsed="false">
      <c r="N1347" s="83" t="s">
        <v>3734</v>
      </c>
    </row>
    <row r="1348" customFormat="false" ht="15" hidden="false" customHeight="false" outlineLevel="0" collapsed="false">
      <c r="N1348" s="83" t="s">
        <v>3735</v>
      </c>
    </row>
    <row r="1349" customFormat="false" ht="15" hidden="false" customHeight="false" outlineLevel="0" collapsed="false">
      <c r="N1349" s="83" t="s">
        <v>3736</v>
      </c>
    </row>
    <row r="1350" customFormat="false" ht="15" hidden="false" customHeight="false" outlineLevel="0" collapsed="false">
      <c r="N1350" s="83" t="s">
        <v>3737</v>
      </c>
    </row>
    <row r="1351" customFormat="false" ht="15" hidden="false" customHeight="false" outlineLevel="0" collapsed="false">
      <c r="N1351" s="83" t="s">
        <v>3738</v>
      </c>
    </row>
    <row r="1352" customFormat="false" ht="15" hidden="false" customHeight="false" outlineLevel="0" collapsed="false">
      <c r="N1352" s="83" t="s">
        <v>3739</v>
      </c>
    </row>
    <row r="1353" customFormat="false" ht="15" hidden="false" customHeight="false" outlineLevel="0" collapsed="false">
      <c r="N1353" s="83" t="s">
        <v>3740</v>
      </c>
    </row>
    <row r="1354" customFormat="false" ht="15" hidden="false" customHeight="false" outlineLevel="0" collapsed="false">
      <c r="N1354" s="83" t="s">
        <v>3741</v>
      </c>
    </row>
    <row r="1355" customFormat="false" ht="15" hidden="false" customHeight="false" outlineLevel="0" collapsed="false">
      <c r="N1355" s="83" t="s">
        <v>3742</v>
      </c>
    </row>
    <row r="1356" customFormat="false" ht="15" hidden="false" customHeight="false" outlineLevel="0" collapsed="false">
      <c r="N1356" s="83" t="s">
        <v>3743</v>
      </c>
    </row>
    <row r="1357" customFormat="false" ht="15" hidden="false" customHeight="false" outlineLevel="0" collapsed="false">
      <c r="N1357" s="83" t="s">
        <v>3744</v>
      </c>
    </row>
    <row r="1358" customFormat="false" ht="15" hidden="false" customHeight="false" outlineLevel="0" collapsed="false">
      <c r="N1358" s="83" t="s">
        <v>3745</v>
      </c>
    </row>
    <row r="1359" customFormat="false" ht="15" hidden="false" customHeight="false" outlineLevel="0" collapsed="false">
      <c r="N1359" s="83" t="s">
        <v>3746</v>
      </c>
    </row>
    <row r="1360" customFormat="false" ht="15" hidden="false" customHeight="false" outlineLevel="0" collapsed="false">
      <c r="N1360" s="83" t="s">
        <v>3747</v>
      </c>
    </row>
    <row r="1361" customFormat="false" ht="15" hidden="false" customHeight="false" outlineLevel="0" collapsed="false">
      <c r="N1361" s="83" t="s">
        <v>3748</v>
      </c>
    </row>
    <row r="1362" customFormat="false" ht="15" hidden="false" customHeight="false" outlineLevel="0" collapsed="false">
      <c r="N1362" s="83" t="s">
        <v>3749</v>
      </c>
    </row>
    <row r="1363" customFormat="false" ht="15" hidden="false" customHeight="false" outlineLevel="0" collapsed="false">
      <c r="N1363" s="83" t="s">
        <v>3750</v>
      </c>
    </row>
    <row r="1364" customFormat="false" ht="15" hidden="false" customHeight="false" outlineLevel="0" collapsed="false">
      <c r="N1364" s="83" t="s">
        <v>3751</v>
      </c>
    </row>
    <row r="1365" customFormat="false" ht="15" hidden="false" customHeight="false" outlineLevel="0" collapsed="false">
      <c r="N1365" s="83" t="s">
        <v>3752</v>
      </c>
    </row>
    <row r="1366" customFormat="false" ht="15" hidden="false" customHeight="false" outlineLevel="0" collapsed="false">
      <c r="N1366" s="83" t="s">
        <v>3753</v>
      </c>
    </row>
    <row r="1367" customFormat="false" ht="15" hidden="false" customHeight="false" outlineLevel="0" collapsed="false">
      <c r="N1367" s="83" t="s">
        <v>3754</v>
      </c>
    </row>
    <row r="1368" customFormat="false" ht="15" hidden="false" customHeight="false" outlineLevel="0" collapsed="false">
      <c r="N1368" s="83" t="s">
        <v>3755</v>
      </c>
    </row>
    <row r="1369" customFormat="false" ht="15" hidden="false" customHeight="false" outlineLevel="0" collapsed="false">
      <c r="N1369" s="83" t="s">
        <v>3756</v>
      </c>
    </row>
    <row r="1370" customFormat="false" ht="15" hidden="false" customHeight="false" outlineLevel="0" collapsed="false">
      <c r="N1370" s="83" t="s">
        <v>3757</v>
      </c>
    </row>
    <row r="1371" customFormat="false" ht="15" hidden="false" customHeight="false" outlineLevel="0" collapsed="false">
      <c r="N1371" s="83" t="s">
        <v>3758</v>
      </c>
    </row>
    <row r="1372" customFormat="false" ht="15" hidden="false" customHeight="false" outlineLevel="0" collapsed="false">
      <c r="N1372" s="83" t="s">
        <v>3759</v>
      </c>
    </row>
    <row r="1373" customFormat="false" ht="15" hidden="false" customHeight="false" outlineLevel="0" collapsed="false">
      <c r="N1373" s="83" t="s">
        <v>3760</v>
      </c>
    </row>
    <row r="1374" customFormat="false" ht="15" hidden="false" customHeight="false" outlineLevel="0" collapsed="false">
      <c r="N1374" s="83" t="s">
        <v>3761</v>
      </c>
    </row>
    <row r="1375" customFormat="false" ht="15" hidden="false" customHeight="false" outlineLevel="0" collapsed="false">
      <c r="N1375" s="83" t="s">
        <v>3762</v>
      </c>
    </row>
    <row r="1376" customFormat="false" ht="15" hidden="false" customHeight="false" outlineLevel="0" collapsed="false">
      <c r="N1376" s="83" t="s">
        <v>3763</v>
      </c>
    </row>
    <row r="1377" customFormat="false" ht="15" hidden="false" customHeight="false" outlineLevel="0" collapsed="false">
      <c r="N1377" s="83" t="s">
        <v>3764</v>
      </c>
    </row>
    <row r="1378" customFormat="false" ht="15" hidden="false" customHeight="false" outlineLevel="0" collapsed="false">
      <c r="N1378" s="83" t="s">
        <v>3765</v>
      </c>
    </row>
    <row r="1379" customFormat="false" ht="15" hidden="false" customHeight="false" outlineLevel="0" collapsed="false">
      <c r="N1379" s="83" t="s">
        <v>3766</v>
      </c>
    </row>
    <row r="1380" customFormat="false" ht="15" hidden="false" customHeight="false" outlineLevel="0" collapsed="false">
      <c r="N1380" s="83" t="s">
        <v>3767</v>
      </c>
    </row>
    <row r="1381" customFormat="false" ht="15" hidden="false" customHeight="false" outlineLevel="0" collapsed="false">
      <c r="N1381" s="83" t="s">
        <v>3768</v>
      </c>
    </row>
    <row r="1382" customFormat="false" ht="15" hidden="false" customHeight="false" outlineLevel="0" collapsed="false">
      <c r="N1382" s="83" t="s">
        <v>3769</v>
      </c>
    </row>
    <row r="1383" customFormat="false" ht="15" hidden="false" customHeight="false" outlineLevel="0" collapsed="false">
      <c r="N1383" s="83" t="s">
        <v>3770</v>
      </c>
    </row>
    <row r="1384" customFormat="false" ht="15" hidden="false" customHeight="false" outlineLevel="0" collapsed="false">
      <c r="N1384" s="83" t="s">
        <v>3771</v>
      </c>
    </row>
    <row r="1385" customFormat="false" ht="15" hidden="false" customHeight="false" outlineLevel="0" collapsed="false">
      <c r="N1385" s="83" t="s">
        <v>3772</v>
      </c>
    </row>
    <row r="1386" customFormat="false" ht="15" hidden="false" customHeight="false" outlineLevel="0" collapsed="false">
      <c r="N1386" s="83" t="s">
        <v>3773</v>
      </c>
    </row>
    <row r="1387" customFormat="false" ht="15" hidden="false" customHeight="false" outlineLevel="0" collapsed="false">
      <c r="N1387" s="83" t="s">
        <v>3774</v>
      </c>
    </row>
    <row r="1388" customFormat="false" ht="15" hidden="false" customHeight="false" outlineLevel="0" collapsed="false">
      <c r="N1388" s="83" t="s">
        <v>3775</v>
      </c>
    </row>
    <row r="1389" customFormat="false" ht="15" hidden="false" customHeight="false" outlineLevel="0" collapsed="false">
      <c r="N1389" s="83" t="s">
        <v>3776</v>
      </c>
    </row>
    <row r="1390" customFormat="false" ht="15" hidden="false" customHeight="false" outlineLevel="0" collapsed="false">
      <c r="N1390" s="83" t="s">
        <v>3777</v>
      </c>
    </row>
    <row r="1391" customFormat="false" ht="15" hidden="false" customHeight="false" outlineLevel="0" collapsed="false">
      <c r="N1391" s="83" t="s">
        <v>3778</v>
      </c>
    </row>
    <row r="1392" customFormat="false" ht="15" hidden="false" customHeight="false" outlineLevel="0" collapsed="false">
      <c r="N1392" s="83" t="s">
        <v>3779</v>
      </c>
    </row>
    <row r="1393" customFormat="false" ht="15" hidden="false" customHeight="false" outlineLevel="0" collapsed="false">
      <c r="N1393" s="83" t="s">
        <v>3780</v>
      </c>
    </row>
    <row r="1394" customFormat="false" ht="15" hidden="false" customHeight="false" outlineLevel="0" collapsed="false">
      <c r="N1394" s="83" t="s">
        <v>3781</v>
      </c>
    </row>
    <row r="1395" customFormat="false" ht="15" hidden="false" customHeight="false" outlineLevel="0" collapsed="false">
      <c r="N1395" s="83" t="s">
        <v>3782</v>
      </c>
    </row>
    <row r="1396" customFormat="false" ht="15" hidden="false" customHeight="false" outlineLevel="0" collapsed="false">
      <c r="N1396" s="83" t="s">
        <v>3783</v>
      </c>
    </row>
    <row r="1397" customFormat="false" ht="15" hidden="false" customHeight="false" outlineLevel="0" collapsed="false">
      <c r="N1397" s="83" t="s">
        <v>3784</v>
      </c>
    </row>
    <row r="1398" customFormat="false" ht="15" hidden="false" customHeight="false" outlineLevel="0" collapsed="false">
      <c r="N1398" s="83" t="s">
        <v>3785</v>
      </c>
    </row>
    <row r="1399" customFormat="false" ht="15" hidden="false" customHeight="false" outlineLevel="0" collapsed="false">
      <c r="N1399" s="83" t="s">
        <v>3786</v>
      </c>
    </row>
    <row r="1400" customFormat="false" ht="15" hidden="false" customHeight="false" outlineLevel="0" collapsed="false">
      <c r="N1400" s="83" t="s">
        <v>3787</v>
      </c>
    </row>
    <row r="1401" customFormat="false" ht="15" hidden="false" customHeight="false" outlineLevel="0" collapsed="false">
      <c r="N1401" s="83" t="s">
        <v>3788</v>
      </c>
    </row>
    <row r="1402" customFormat="false" ht="15" hidden="false" customHeight="false" outlineLevel="0" collapsed="false">
      <c r="N1402" s="83" t="s">
        <v>3789</v>
      </c>
    </row>
    <row r="1403" customFormat="false" ht="15" hidden="false" customHeight="false" outlineLevel="0" collapsed="false">
      <c r="N1403" s="83" t="s">
        <v>3790</v>
      </c>
    </row>
    <row r="1404" customFormat="false" ht="15" hidden="false" customHeight="false" outlineLevel="0" collapsed="false">
      <c r="N1404" s="83" t="s">
        <v>3791</v>
      </c>
    </row>
    <row r="1405" customFormat="false" ht="15" hidden="false" customHeight="false" outlineLevel="0" collapsed="false">
      <c r="N1405" s="83" t="s">
        <v>3792</v>
      </c>
    </row>
    <row r="1406" customFormat="false" ht="15" hidden="false" customHeight="false" outlineLevel="0" collapsed="false">
      <c r="N1406" s="83" t="s">
        <v>3793</v>
      </c>
    </row>
    <row r="1407" customFormat="false" ht="15" hidden="false" customHeight="false" outlineLevel="0" collapsed="false">
      <c r="N1407" s="83" t="s">
        <v>3794</v>
      </c>
    </row>
    <row r="1408" customFormat="false" ht="15" hidden="false" customHeight="false" outlineLevel="0" collapsed="false">
      <c r="N1408" s="83" t="s">
        <v>3795</v>
      </c>
    </row>
    <row r="1409" customFormat="false" ht="15" hidden="false" customHeight="false" outlineLevel="0" collapsed="false">
      <c r="N1409" s="83" t="s">
        <v>3796</v>
      </c>
    </row>
    <row r="1410" customFormat="false" ht="15" hidden="false" customHeight="false" outlineLevel="0" collapsed="false">
      <c r="N1410" s="83" t="s">
        <v>3797</v>
      </c>
    </row>
    <row r="1411" customFormat="false" ht="15" hidden="false" customHeight="false" outlineLevel="0" collapsed="false">
      <c r="N1411" s="83" t="s">
        <v>3798</v>
      </c>
    </row>
    <row r="1412" customFormat="false" ht="15" hidden="false" customHeight="false" outlineLevel="0" collapsed="false">
      <c r="N1412" s="83" t="s">
        <v>3799</v>
      </c>
    </row>
    <row r="1413" customFormat="false" ht="15" hidden="false" customHeight="false" outlineLevel="0" collapsed="false">
      <c r="N1413" s="83" t="s">
        <v>3800</v>
      </c>
    </row>
    <row r="1414" customFormat="false" ht="15" hidden="false" customHeight="false" outlineLevel="0" collapsed="false">
      <c r="N1414" s="83" t="s">
        <v>3801</v>
      </c>
    </row>
    <row r="1415" customFormat="false" ht="15" hidden="false" customHeight="false" outlineLevel="0" collapsed="false">
      <c r="N1415" s="83" t="s">
        <v>3802</v>
      </c>
    </row>
    <row r="1416" customFormat="false" ht="15" hidden="false" customHeight="false" outlineLevel="0" collapsed="false">
      <c r="N1416" s="83" t="s">
        <v>3803</v>
      </c>
    </row>
    <row r="1417" customFormat="false" ht="15" hidden="false" customHeight="false" outlineLevel="0" collapsed="false">
      <c r="N1417" s="83" t="s">
        <v>3804</v>
      </c>
    </row>
    <row r="1418" customFormat="false" ht="15" hidden="false" customHeight="false" outlineLevel="0" collapsed="false">
      <c r="N1418" s="83" t="s">
        <v>3805</v>
      </c>
    </row>
    <row r="1419" customFormat="false" ht="15" hidden="false" customHeight="false" outlineLevel="0" collapsed="false">
      <c r="N1419" s="83" t="s">
        <v>3806</v>
      </c>
    </row>
    <row r="1420" customFormat="false" ht="15" hidden="false" customHeight="false" outlineLevel="0" collapsed="false">
      <c r="N1420" s="83" t="s">
        <v>3807</v>
      </c>
    </row>
    <row r="1421" customFormat="false" ht="15" hidden="false" customHeight="false" outlineLevel="0" collapsed="false">
      <c r="N1421" s="83" t="s">
        <v>3808</v>
      </c>
    </row>
    <row r="1422" customFormat="false" ht="15" hidden="false" customHeight="false" outlineLevel="0" collapsed="false">
      <c r="N1422" s="83" t="s">
        <v>3809</v>
      </c>
    </row>
    <row r="1423" customFormat="false" ht="15" hidden="false" customHeight="false" outlineLevel="0" collapsed="false">
      <c r="N1423" s="83" t="s">
        <v>3810</v>
      </c>
    </row>
    <row r="1424" customFormat="false" ht="15" hidden="false" customHeight="false" outlineLevel="0" collapsed="false">
      <c r="N1424" s="83" t="s">
        <v>3811</v>
      </c>
    </row>
    <row r="1425" customFormat="false" ht="15" hidden="false" customHeight="false" outlineLevel="0" collapsed="false">
      <c r="N1425" s="83" t="s">
        <v>3812</v>
      </c>
    </row>
    <row r="1426" customFormat="false" ht="15" hidden="false" customHeight="false" outlineLevel="0" collapsed="false">
      <c r="N1426" s="83" t="s">
        <v>3813</v>
      </c>
    </row>
    <row r="1427" customFormat="false" ht="15" hidden="false" customHeight="false" outlineLevel="0" collapsed="false">
      <c r="N1427" s="83" t="s">
        <v>3814</v>
      </c>
    </row>
    <row r="1428" customFormat="false" ht="15" hidden="false" customHeight="false" outlineLevel="0" collapsed="false">
      <c r="N1428" s="83" t="s">
        <v>3815</v>
      </c>
    </row>
    <row r="1429" customFormat="false" ht="15" hidden="false" customHeight="false" outlineLevel="0" collapsed="false">
      <c r="N1429" s="83" t="s">
        <v>3816</v>
      </c>
    </row>
    <row r="1430" customFormat="false" ht="15" hidden="false" customHeight="false" outlineLevel="0" collapsed="false">
      <c r="N1430" s="83" t="s">
        <v>3817</v>
      </c>
    </row>
    <row r="1431" customFormat="false" ht="15" hidden="false" customHeight="false" outlineLevel="0" collapsed="false">
      <c r="N1431" s="83" t="s">
        <v>3818</v>
      </c>
    </row>
    <row r="1432" customFormat="false" ht="15" hidden="false" customHeight="false" outlineLevel="0" collapsed="false">
      <c r="N1432" s="83" t="s">
        <v>3819</v>
      </c>
    </row>
    <row r="1433" customFormat="false" ht="15" hidden="false" customHeight="false" outlineLevel="0" collapsed="false">
      <c r="N1433" s="83" t="s">
        <v>3820</v>
      </c>
    </row>
    <row r="1434" customFormat="false" ht="15" hidden="false" customHeight="false" outlineLevel="0" collapsed="false">
      <c r="N1434" s="83" t="s">
        <v>3821</v>
      </c>
    </row>
    <row r="1435" customFormat="false" ht="15" hidden="false" customHeight="false" outlineLevel="0" collapsed="false">
      <c r="N1435" s="83" t="s">
        <v>3822</v>
      </c>
    </row>
    <row r="1436" customFormat="false" ht="15" hidden="false" customHeight="false" outlineLevel="0" collapsed="false">
      <c r="N1436" s="83" t="s">
        <v>3823</v>
      </c>
    </row>
    <row r="1437" customFormat="false" ht="15" hidden="false" customHeight="false" outlineLevel="0" collapsed="false">
      <c r="N1437" s="83" t="s">
        <v>3824</v>
      </c>
    </row>
    <row r="1438" customFormat="false" ht="15" hidden="false" customHeight="false" outlineLevel="0" collapsed="false">
      <c r="N1438" s="83" t="s">
        <v>3825</v>
      </c>
    </row>
    <row r="1439" customFormat="false" ht="15" hidden="false" customHeight="false" outlineLevel="0" collapsed="false">
      <c r="N1439" s="83" t="s">
        <v>3826</v>
      </c>
    </row>
    <row r="1440" customFormat="false" ht="15" hidden="false" customHeight="false" outlineLevel="0" collapsed="false">
      <c r="N1440" s="83" t="s">
        <v>3827</v>
      </c>
    </row>
    <row r="1441" customFormat="false" ht="15" hidden="false" customHeight="false" outlineLevel="0" collapsed="false">
      <c r="N1441" s="83" t="s">
        <v>3828</v>
      </c>
    </row>
    <row r="1442" customFormat="false" ht="15" hidden="false" customHeight="false" outlineLevel="0" collapsed="false">
      <c r="N1442" s="83" t="s">
        <v>3829</v>
      </c>
    </row>
    <row r="1443" customFormat="false" ht="15" hidden="false" customHeight="false" outlineLevel="0" collapsed="false">
      <c r="N1443" s="83" t="s">
        <v>3830</v>
      </c>
    </row>
    <row r="1444" customFormat="false" ht="15" hidden="false" customHeight="false" outlineLevel="0" collapsed="false">
      <c r="N1444" s="83" t="s">
        <v>3831</v>
      </c>
    </row>
    <row r="1445" customFormat="false" ht="15" hidden="false" customHeight="false" outlineLevel="0" collapsed="false">
      <c r="N1445" s="83" t="s">
        <v>3832</v>
      </c>
    </row>
    <row r="1446" customFormat="false" ht="15" hidden="false" customHeight="false" outlineLevel="0" collapsed="false">
      <c r="N1446" s="83" t="s">
        <v>3833</v>
      </c>
    </row>
    <row r="1447" customFormat="false" ht="15" hidden="false" customHeight="false" outlineLevel="0" collapsed="false">
      <c r="N1447" s="83" t="s">
        <v>3834</v>
      </c>
    </row>
    <row r="1448" customFormat="false" ht="15" hidden="false" customHeight="false" outlineLevel="0" collapsed="false">
      <c r="N1448" s="83" t="s">
        <v>3835</v>
      </c>
    </row>
    <row r="1449" customFormat="false" ht="15" hidden="false" customHeight="false" outlineLevel="0" collapsed="false">
      <c r="N1449" s="83" t="s">
        <v>3836</v>
      </c>
    </row>
    <row r="1450" customFormat="false" ht="15" hidden="false" customHeight="false" outlineLevel="0" collapsed="false">
      <c r="N1450" s="83" t="s">
        <v>3837</v>
      </c>
    </row>
    <row r="1451" customFormat="false" ht="15" hidden="false" customHeight="false" outlineLevel="0" collapsed="false">
      <c r="N1451" s="83" t="s">
        <v>3838</v>
      </c>
    </row>
    <row r="1452" customFormat="false" ht="15" hidden="false" customHeight="false" outlineLevel="0" collapsed="false">
      <c r="N1452" s="83" t="s">
        <v>3839</v>
      </c>
    </row>
    <row r="1453" customFormat="false" ht="15" hidden="false" customHeight="false" outlineLevel="0" collapsed="false">
      <c r="N1453" s="83" t="s">
        <v>3840</v>
      </c>
    </row>
    <row r="1454" customFormat="false" ht="15" hidden="false" customHeight="false" outlineLevel="0" collapsed="false">
      <c r="N1454" s="83" t="s">
        <v>3841</v>
      </c>
    </row>
    <row r="1455" customFormat="false" ht="15" hidden="false" customHeight="false" outlineLevel="0" collapsed="false">
      <c r="N1455" s="83" t="s">
        <v>3842</v>
      </c>
    </row>
    <row r="1456" customFormat="false" ht="15" hidden="false" customHeight="false" outlineLevel="0" collapsed="false">
      <c r="N1456" s="83" t="s">
        <v>3843</v>
      </c>
    </row>
    <row r="1457" customFormat="false" ht="15" hidden="false" customHeight="false" outlineLevel="0" collapsed="false">
      <c r="N1457" s="83" t="s">
        <v>3844</v>
      </c>
    </row>
    <row r="1458" customFormat="false" ht="15" hidden="false" customHeight="false" outlineLevel="0" collapsed="false">
      <c r="N1458" s="83" t="s">
        <v>3845</v>
      </c>
    </row>
    <row r="1459" customFormat="false" ht="15" hidden="false" customHeight="false" outlineLevel="0" collapsed="false">
      <c r="N1459" s="83" t="s">
        <v>3846</v>
      </c>
    </row>
    <row r="1460" customFormat="false" ht="15" hidden="false" customHeight="false" outlineLevel="0" collapsed="false">
      <c r="N1460" s="83" t="s">
        <v>3847</v>
      </c>
    </row>
    <row r="1461" customFormat="false" ht="15" hidden="false" customHeight="false" outlineLevel="0" collapsed="false">
      <c r="N1461" s="83" t="s">
        <v>3848</v>
      </c>
    </row>
    <row r="1462" customFormat="false" ht="15" hidden="false" customHeight="false" outlineLevel="0" collapsed="false">
      <c r="N1462" s="83" t="s">
        <v>3849</v>
      </c>
    </row>
    <row r="1463" customFormat="false" ht="15" hidden="false" customHeight="false" outlineLevel="0" collapsed="false">
      <c r="N1463" s="83" t="s">
        <v>3850</v>
      </c>
    </row>
    <row r="1464" customFormat="false" ht="15" hidden="false" customHeight="false" outlineLevel="0" collapsed="false">
      <c r="N1464" s="83" t="s">
        <v>3851</v>
      </c>
    </row>
    <row r="1465" customFormat="false" ht="15" hidden="false" customHeight="false" outlineLevel="0" collapsed="false">
      <c r="N1465" s="83" t="s">
        <v>3852</v>
      </c>
    </row>
    <row r="1466" customFormat="false" ht="15" hidden="false" customHeight="false" outlineLevel="0" collapsed="false">
      <c r="N1466" s="83" t="s">
        <v>3853</v>
      </c>
    </row>
    <row r="1467" customFormat="false" ht="15" hidden="false" customHeight="false" outlineLevel="0" collapsed="false">
      <c r="N1467" s="83" t="s">
        <v>3854</v>
      </c>
    </row>
    <row r="1468" customFormat="false" ht="15" hidden="false" customHeight="false" outlineLevel="0" collapsed="false">
      <c r="N1468" s="83" t="s">
        <v>3855</v>
      </c>
    </row>
    <row r="1469" customFormat="false" ht="15" hidden="false" customHeight="false" outlineLevel="0" collapsed="false">
      <c r="N1469" s="83" t="s">
        <v>3856</v>
      </c>
    </row>
    <row r="1470" customFormat="false" ht="15" hidden="false" customHeight="false" outlineLevel="0" collapsed="false">
      <c r="N1470" s="83" t="s">
        <v>3857</v>
      </c>
    </row>
    <row r="1471" customFormat="false" ht="15" hidden="false" customHeight="false" outlineLevel="0" collapsed="false">
      <c r="N1471" s="83" t="s">
        <v>3858</v>
      </c>
    </row>
    <row r="1472" customFormat="false" ht="15" hidden="false" customHeight="false" outlineLevel="0" collapsed="false">
      <c r="N1472" s="83" t="s">
        <v>3859</v>
      </c>
    </row>
    <row r="1473" customFormat="false" ht="15" hidden="false" customHeight="false" outlineLevel="0" collapsed="false">
      <c r="N1473" s="83" t="s">
        <v>3860</v>
      </c>
    </row>
    <row r="1474" customFormat="false" ht="15" hidden="false" customHeight="false" outlineLevel="0" collapsed="false">
      <c r="N1474" s="83" t="s">
        <v>3861</v>
      </c>
    </row>
    <row r="1475" customFormat="false" ht="15" hidden="false" customHeight="false" outlineLevel="0" collapsed="false">
      <c r="N1475" s="83" t="s">
        <v>3862</v>
      </c>
    </row>
    <row r="1476" customFormat="false" ht="15" hidden="false" customHeight="false" outlineLevel="0" collapsed="false">
      <c r="N1476" s="83" t="s">
        <v>3863</v>
      </c>
    </row>
    <row r="1477" customFormat="false" ht="15" hidden="false" customHeight="false" outlineLevel="0" collapsed="false">
      <c r="N1477" s="83" t="s">
        <v>3864</v>
      </c>
    </row>
    <row r="1478" customFormat="false" ht="15" hidden="false" customHeight="false" outlineLevel="0" collapsed="false">
      <c r="N1478" s="83" t="s">
        <v>3865</v>
      </c>
    </row>
    <row r="1479" customFormat="false" ht="15" hidden="false" customHeight="false" outlineLevel="0" collapsed="false">
      <c r="N1479" s="83" t="s">
        <v>3866</v>
      </c>
    </row>
    <row r="1480" customFormat="false" ht="15" hidden="false" customHeight="false" outlineLevel="0" collapsed="false">
      <c r="N1480" s="83" t="s">
        <v>3867</v>
      </c>
    </row>
    <row r="1481" customFormat="false" ht="15" hidden="false" customHeight="false" outlineLevel="0" collapsed="false">
      <c r="N1481" s="83" t="s">
        <v>3868</v>
      </c>
    </row>
    <row r="1482" customFormat="false" ht="15" hidden="false" customHeight="false" outlineLevel="0" collapsed="false">
      <c r="N1482" s="83" t="s">
        <v>3869</v>
      </c>
    </row>
    <row r="1483" customFormat="false" ht="15" hidden="false" customHeight="false" outlineLevel="0" collapsed="false">
      <c r="N1483" s="83" t="s">
        <v>3870</v>
      </c>
    </row>
    <row r="1484" customFormat="false" ht="15" hidden="false" customHeight="false" outlineLevel="0" collapsed="false">
      <c r="N1484" s="83" t="s">
        <v>3871</v>
      </c>
    </row>
    <row r="1485" customFormat="false" ht="15" hidden="false" customHeight="false" outlineLevel="0" collapsed="false">
      <c r="N1485" s="83" t="s">
        <v>3872</v>
      </c>
    </row>
    <row r="1486" customFormat="false" ht="15" hidden="false" customHeight="false" outlineLevel="0" collapsed="false">
      <c r="N1486" s="83" t="s">
        <v>3873</v>
      </c>
    </row>
    <row r="1487" customFormat="false" ht="15" hidden="false" customHeight="false" outlineLevel="0" collapsed="false">
      <c r="N1487" s="83" t="s">
        <v>3874</v>
      </c>
    </row>
    <row r="1488" customFormat="false" ht="15" hidden="false" customHeight="false" outlineLevel="0" collapsed="false">
      <c r="N1488" s="83" t="s">
        <v>3875</v>
      </c>
    </row>
    <row r="1489" customFormat="false" ht="15" hidden="false" customHeight="false" outlineLevel="0" collapsed="false">
      <c r="N1489" s="83" t="s">
        <v>3876</v>
      </c>
    </row>
    <row r="1490" customFormat="false" ht="15" hidden="false" customHeight="false" outlineLevel="0" collapsed="false">
      <c r="N1490" s="83" t="s">
        <v>3877</v>
      </c>
    </row>
    <row r="1491" customFormat="false" ht="15" hidden="false" customHeight="false" outlineLevel="0" collapsed="false">
      <c r="N1491" s="83" t="s">
        <v>3878</v>
      </c>
    </row>
    <row r="1492" customFormat="false" ht="15" hidden="false" customHeight="false" outlineLevel="0" collapsed="false">
      <c r="N1492" s="83" t="s">
        <v>3879</v>
      </c>
    </row>
    <row r="1493" customFormat="false" ht="15" hidden="false" customHeight="false" outlineLevel="0" collapsed="false">
      <c r="N1493" s="83" t="s">
        <v>3880</v>
      </c>
    </row>
    <row r="1494" customFormat="false" ht="15" hidden="false" customHeight="false" outlineLevel="0" collapsed="false">
      <c r="N1494" s="83" t="s">
        <v>3881</v>
      </c>
    </row>
    <row r="1495" customFormat="false" ht="15" hidden="false" customHeight="false" outlineLevel="0" collapsed="false">
      <c r="N1495" s="83" t="s">
        <v>3882</v>
      </c>
    </row>
    <row r="1496" customFormat="false" ht="15" hidden="false" customHeight="false" outlineLevel="0" collapsed="false">
      <c r="N1496" s="83" t="s">
        <v>3883</v>
      </c>
    </row>
    <row r="1497" customFormat="false" ht="15" hidden="false" customHeight="false" outlineLevel="0" collapsed="false">
      <c r="N1497" s="83" t="s">
        <v>3884</v>
      </c>
    </row>
    <row r="1498" customFormat="false" ht="15" hidden="false" customHeight="false" outlineLevel="0" collapsed="false">
      <c r="N1498" s="83" t="s">
        <v>3885</v>
      </c>
    </row>
    <row r="1499" customFormat="false" ht="15" hidden="false" customHeight="false" outlineLevel="0" collapsed="false">
      <c r="N1499" s="83" t="s">
        <v>3886</v>
      </c>
    </row>
    <row r="1500" customFormat="false" ht="15" hidden="false" customHeight="false" outlineLevel="0" collapsed="false">
      <c r="N1500" s="83" t="s">
        <v>3887</v>
      </c>
    </row>
    <row r="1501" customFormat="false" ht="15" hidden="false" customHeight="false" outlineLevel="0" collapsed="false">
      <c r="N1501" s="83" t="s">
        <v>3888</v>
      </c>
    </row>
    <row r="1502" customFormat="false" ht="15" hidden="false" customHeight="false" outlineLevel="0" collapsed="false">
      <c r="N1502" s="83" t="s">
        <v>3889</v>
      </c>
    </row>
    <row r="1503" customFormat="false" ht="15" hidden="false" customHeight="false" outlineLevel="0" collapsed="false">
      <c r="N1503" s="83" t="s">
        <v>3890</v>
      </c>
    </row>
    <row r="1504" customFormat="false" ht="15" hidden="false" customHeight="false" outlineLevel="0" collapsed="false">
      <c r="N1504" s="83" t="s">
        <v>3891</v>
      </c>
    </row>
    <row r="1505" customFormat="false" ht="15" hidden="false" customHeight="false" outlineLevel="0" collapsed="false">
      <c r="N1505" s="83" t="s">
        <v>3892</v>
      </c>
    </row>
    <row r="1506" customFormat="false" ht="15" hidden="false" customHeight="false" outlineLevel="0" collapsed="false">
      <c r="N1506" s="83" t="s">
        <v>3893</v>
      </c>
    </row>
    <row r="1507" customFormat="false" ht="15" hidden="false" customHeight="false" outlineLevel="0" collapsed="false">
      <c r="N1507" s="83" t="s">
        <v>3894</v>
      </c>
    </row>
    <row r="1508" customFormat="false" ht="15" hidden="false" customHeight="false" outlineLevel="0" collapsed="false">
      <c r="N1508" s="83" t="s">
        <v>3895</v>
      </c>
    </row>
    <row r="1509" customFormat="false" ht="15" hidden="false" customHeight="false" outlineLevel="0" collapsed="false">
      <c r="N1509" s="83" t="s">
        <v>3896</v>
      </c>
    </row>
    <row r="1510" customFormat="false" ht="15" hidden="false" customHeight="false" outlineLevel="0" collapsed="false">
      <c r="N1510" s="83" t="s">
        <v>3897</v>
      </c>
    </row>
    <row r="1511" customFormat="false" ht="15" hidden="false" customHeight="false" outlineLevel="0" collapsed="false">
      <c r="N1511" s="83" t="s">
        <v>3898</v>
      </c>
    </row>
    <row r="1512" customFormat="false" ht="15" hidden="false" customHeight="false" outlineLevel="0" collapsed="false">
      <c r="N1512" s="83" t="s">
        <v>3899</v>
      </c>
    </row>
    <row r="1513" customFormat="false" ht="15" hidden="false" customHeight="false" outlineLevel="0" collapsed="false">
      <c r="N1513" s="83" t="s">
        <v>3900</v>
      </c>
    </row>
    <row r="1514" customFormat="false" ht="15" hidden="false" customHeight="false" outlineLevel="0" collapsed="false">
      <c r="N1514" s="83" t="s">
        <v>3901</v>
      </c>
    </row>
    <row r="1515" customFormat="false" ht="15" hidden="false" customHeight="false" outlineLevel="0" collapsed="false">
      <c r="N1515" s="83" t="s">
        <v>3902</v>
      </c>
    </row>
    <row r="1516" customFormat="false" ht="15" hidden="false" customHeight="false" outlineLevel="0" collapsed="false">
      <c r="N1516" s="83" t="s">
        <v>3903</v>
      </c>
    </row>
    <row r="1517" customFormat="false" ht="15" hidden="false" customHeight="false" outlineLevel="0" collapsed="false">
      <c r="N1517" s="83" t="s">
        <v>3904</v>
      </c>
    </row>
    <row r="1518" customFormat="false" ht="15" hidden="false" customHeight="false" outlineLevel="0" collapsed="false">
      <c r="N1518" s="83" t="s">
        <v>3905</v>
      </c>
    </row>
    <row r="1519" customFormat="false" ht="15" hidden="false" customHeight="false" outlineLevel="0" collapsed="false">
      <c r="N1519" s="83" t="s">
        <v>3906</v>
      </c>
    </row>
    <row r="1520" customFormat="false" ht="15" hidden="false" customHeight="false" outlineLevel="0" collapsed="false">
      <c r="N1520" s="83" t="s">
        <v>3907</v>
      </c>
    </row>
    <row r="1521" customFormat="false" ht="15" hidden="false" customHeight="false" outlineLevel="0" collapsed="false">
      <c r="N1521" s="83" t="s">
        <v>3908</v>
      </c>
    </row>
    <row r="1522" customFormat="false" ht="15" hidden="false" customHeight="false" outlineLevel="0" collapsed="false">
      <c r="N1522" s="83" t="s">
        <v>3909</v>
      </c>
    </row>
    <row r="1523" customFormat="false" ht="15" hidden="false" customHeight="false" outlineLevel="0" collapsed="false">
      <c r="N1523" s="83" t="s">
        <v>3910</v>
      </c>
    </row>
    <row r="1524" customFormat="false" ht="15" hidden="false" customHeight="false" outlineLevel="0" collapsed="false">
      <c r="N1524" s="83" t="s">
        <v>3911</v>
      </c>
    </row>
    <row r="1525" customFormat="false" ht="15" hidden="false" customHeight="false" outlineLevel="0" collapsed="false">
      <c r="N1525" s="83" t="s">
        <v>3912</v>
      </c>
    </row>
    <row r="1526" customFormat="false" ht="15" hidden="false" customHeight="false" outlineLevel="0" collapsed="false">
      <c r="N1526" s="83" t="s">
        <v>3913</v>
      </c>
    </row>
    <row r="1527" customFormat="false" ht="15" hidden="false" customHeight="false" outlineLevel="0" collapsed="false">
      <c r="N1527" s="83" t="s">
        <v>3914</v>
      </c>
    </row>
    <row r="1528" customFormat="false" ht="15" hidden="false" customHeight="false" outlineLevel="0" collapsed="false">
      <c r="N1528" s="83" t="s">
        <v>3915</v>
      </c>
    </row>
    <row r="1529" customFormat="false" ht="15" hidden="false" customHeight="false" outlineLevel="0" collapsed="false">
      <c r="N1529" s="83" t="s">
        <v>3916</v>
      </c>
    </row>
    <row r="1530" customFormat="false" ht="15" hidden="false" customHeight="false" outlineLevel="0" collapsed="false">
      <c r="N1530" s="83" t="s">
        <v>3917</v>
      </c>
    </row>
    <row r="1531" customFormat="false" ht="15" hidden="false" customHeight="false" outlineLevel="0" collapsed="false">
      <c r="N1531" s="83" t="s">
        <v>3918</v>
      </c>
    </row>
    <row r="1532" customFormat="false" ht="15" hidden="false" customHeight="false" outlineLevel="0" collapsed="false">
      <c r="N1532" s="83" t="s">
        <v>3919</v>
      </c>
    </row>
    <row r="1533" customFormat="false" ht="15" hidden="false" customHeight="false" outlineLevel="0" collapsed="false">
      <c r="N1533" s="83" t="s">
        <v>3920</v>
      </c>
    </row>
    <row r="1534" customFormat="false" ht="15" hidden="false" customHeight="false" outlineLevel="0" collapsed="false">
      <c r="N1534" s="83" t="s">
        <v>3921</v>
      </c>
    </row>
    <row r="1535" customFormat="false" ht="15" hidden="false" customHeight="false" outlineLevel="0" collapsed="false">
      <c r="N1535" s="83" t="s">
        <v>3922</v>
      </c>
    </row>
    <row r="1536" customFormat="false" ht="15" hidden="false" customHeight="false" outlineLevel="0" collapsed="false">
      <c r="N1536" s="83" t="s">
        <v>3923</v>
      </c>
    </row>
    <row r="1537" customFormat="false" ht="15" hidden="false" customHeight="false" outlineLevel="0" collapsed="false">
      <c r="N1537" s="83" t="s">
        <v>3924</v>
      </c>
    </row>
    <row r="1538" customFormat="false" ht="15" hidden="false" customHeight="false" outlineLevel="0" collapsed="false">
      <c r="N1538" s="83" t="s">
        <v>3925</v>
      </c>
    </row>
    <row r="1539" customFormat="false" ht="15" hidden="false" customHeight="false" outlineLevel="0" collapsed="false">
      <c r="N1539" s="83" t="s">
        <v>3926</v>
      </c>
    </row>
    <row r="1540" customFormat="false" ht="15" hidden="false" customHeight="false" outlineLevel="0" collapsed="false">
      <c r="N1540" s="83" t="s">
        <v>3927</v>
      </c>
    </row>
    <row r="1541" customFormat="false" ht="15" hidden="false" customHeight="false" outlineLevel="0" collapsed="false">
      <c r="N1541" s="83" t="s">
        <v>3928</v>
      </c>
    </row>
    <row r="1542" customFormat="false" ht="15" hidden="false" customHeight="false" outlineLevel="0" collapsed="false">
      <c r="N1542" s="83" t="s">
        <v>3929</v>
      </c>
    </row>
    <row r="1543" customFormat="false" ht="15" hidden="false" customHeight="false" outlineLevel="0" collapsed="false">
      <c r="N1543" s="83" t="s">
        <v>3930</v>
      </c>
    </row>
    <row r="1544" customFormat="false" ht="15" hidden="false" customHeight="false" outlineLevel="0" collapsed="false">
      <c r="N1544" s="83" t="s">
        <v>3931</v>
      </c>
    </row>
    <row r="1545" customFormat="false" ht="15" hidden="false" customHeight="false" outlineLevel="0" collapsed="false">
      <c r="N1545" s="83" t="s">
        <v>3932</v>
      </c>
    </row>
    <row r="1546" customFormat="false" ht="15" hidden="false" customHeight="false" outlineLevel="0" collapsed="false">
      <c r="N1546" s="83" t="s">
        <v>3933</v>
      </c>
    </row>
    <row r="1547" customFormat="false" ht="15" hidden="false" customHeight="false" outlineLevel="0" collapsed="false">
      <c r="N1547" s="83" t="s">
        <v>3934</v>
      </c>
    </row>
    <row r="1548" customFormat="false" ht="15" hidden="false" customHeight="false" outlineLevel="0" collapsed="false">
      <c r="N1548" s="83" t="s">
        <v>3935</v>
      </c>
    </row>
    <row r="1549" customFormat="false" ht="15" hidden="false" customHeight="false" outlineLevel="0" collapsed="false">
      <c r="N1549" s="83" t="s">
        <v>3936</v>
      </c>
    </row>
    <row r="1550" customFormat="false" ht="15" hidden="false" customHeight="false" outlineLevel="0" collapsed="false">
      <c r="N1550" s="83" t="s">
        <v>3937</v>
      </c>
    </row>
    <row r="1551" customFormat="false" ht="15" hidden="false" customHeight="false" outlineLevel="0" collapsed="false">
      <c r="N1551" s="83" t="s">
        <v>3938</v>
      </c>
    </row>
    <row r="1552" customFormat="false" ht="15" hidden="false" customHeight="false" outlineLevel="0" collapsed="false">
      <c r="N1552" s="83" t="s">
        <v>3939</v>
      </c>
    </row>
    <row r="1553" customFormat="false" ht="15" hidden="false" customHeight="false" outlineLevel="0" collapsed="false">
      <c r="N1553" s="83" t="s">
        <v>3940</v>
      </c>
    </row>
    <row r="1554" customFormat="false" ht="15" hidden="false" customHeight="false" outlineLevel="0" collapsed="false">
      <c r="N1554" s="83" t="s">
        <v>3941</v>
      </c>
    </row>
    <row r="1555" customFormat="false" ht="15" hidden="false" customHeight="false" outlineLevel="0" collapsed="false">
      <c r="N1555" s="83" t="s">
        <v>3942</v>
      </c>
    </row>
    <row r="1556" customFormat="false" ht="15" hidden="false" customHeight="false" outlineLevel="0" collapsed="false">
      <c r="N1556" s="83" t="s">
        <v>3943</v>
      </c>
    </row>
    <row r="1557" customFormat="false" ht="15" hidden="false" customHeight="false" outlineLevel="0" collapsed="false">
      <c r="N1557" s="83" t="s">
        <v>3944</v>
      </c>
    </row>
    <row r="1558" customFormat="false" ht="15" hidden="false" customHeight="false" outlineLevel="0" collapsed="false">
      <c r="N1558" s="83" t="s">
        <v>3945</v>
      </c>
    </row>
    <row r="1559" customFormat="false" ht="15" hidden="false" customHeight="false" outlineLevel="0" collapsed="false">
      <c r="N1559" s="83" t="s">
        <v>3946</v>
      </c>
    </row>
    <row r="1560" customFormat="false" ht="15" hidden="false" customHeight="false" outlineLevel="0" collapsed="false">
      <c r="N1560" s="83" t="s">
        <v>3947</v>
      </c>
    </row>
    <row r="1561" customFormat="false" ht="15" hidden="false" customHeight="false" outlineLevel="0" collapsed="false">
      <c r="N1561" s="83" t="s">
        <v>3948</v>
      </c>
    </row>
    <row r="1562" customFormat="false" ht="15" hidden="false" customHeight="false" outlineLevel="0" collapsed="false">
      <c r="N1562" s="83" t="s">
        <v>3949</v>
      </c>
    </row>
    <row r="1563" customFormat="false" ht="15" hidden="false" customHeight="false" outlineLevel="0" collapsed="false">
      <c r="N1563" s="83" t="s">
        <v>3950</v>
      </c>
    </row>
    <row r="1564" customFormat="false" ht="15" hidden="false" customHeight="false" outlineLevel="0" collapsed="false">
      <c r="N1564" s="83" t="s">
        <v>3951</v>
      </c>
    </row>
    <row r="1565" customFormat="false" ht="15" hidden="false" customHeight="false" outlineLevel="0" collapsed="false">
      <c r="N1565" s="83" t="s">
        <v>3952</v>
      </c>
    </row>
    <row r="1566" customFormat="false" ht="15" hidden="false" customHeight="false" outlineLevel="0" collapsed="false">
      <c r="N1566" s="83" t="s">
        <v>3953</v>
      </c>
    </row>
    <row r="1567" customFormat="false" ht="15" hidden="false" customHeight="false" outlineLevel="0" collapsed="false">
      <c r="N1567" s="83" t="s">
        <v>3954</v>
      </c>
    </row>
    <row r="1568" customFormat="false" ht="15" hidden="false" customHeight="false" outlineLevel="0" collapsed="false">
      <c r="N1568" s="83" t="s">
        <v>3955</v>
      </c>
    </row>
    <row r="1569" customFormat="false" ht="15" hidden="false" customHeight="false" outlineLevel="0" collapsed="false">
      <c r="N1569" s="83" t="s">
        <v>3956</v>
      </c>
    </row>
    <row r="1570" customFormat="false" ht="15" hidden="false" customHeight="false" outlineLevel="0" collapsed="false">
      <c r="N1570" s="83" t="s">
        <v>3957</v>
      </c>
    </row>
    <row r="1571" customFormat="false" ht="15" hidden="false" customHeight="false" outlineLevel="0" collapsed="false">
      <c r="N1571" s="83" t="s">
        <v>3958</v>
      </c>
    </row>
    <row r="1572" customFormat="false" ht="15" hidden="false" customHeight="false" outlineLevel="0" collapsed="false">
      <c r="N1572" s="83" t="s">
        <v>3959</v>
      </c>
    </row>
    <row r="1573" customFormat="false" ht="15" hidden="false" customHeight="false" outlineLevel="0" collapsed="false">
      <c r="N1573" s="83" t="s">
        <v>3960</v>
      </c>
    </row>
    <row r="1574" customFormat="false" ht="15" hidden="false" customHeight="false" outlineLevel="0" collapsed="false">
      <c r="N1574" s="83" t="s">
        <v>3961</v>
      </c>
    </row>
    <row r="1575" customFormat="false" ht="15" hidden="false" customHeight="false" outlineLevel="0" collapsed="false">
      <c r="N1575" s="83" t="s">
        <v>3962</v>
      </c>
    </row>
    <row r="1576" customFormat="false" ht="15" hidden="false" customHeight="false" outlineLevel="0" collapsed="false">
      <c r="N1576" s="83" t="s">
        <v>3963</v>
      </c>
    </row>
    <row r="1577" customFormat="false" ht="15" hidden="false" customHeight="false" outlineLevel="0" collapsed="false">
      <c r="N1577" s="83" t="s">
        <v>3964</v>
      </c>
    </row>
    <row r="1578" customFormat="false" ht="15" hidden="false" customHeight="false" outlineLevel="0" collapsed="false">
      <c r="N1578" s="83" t="s">
        <v>3965</v>
      </c>
    </row>
    <row r="1579" customFormat="false" ht="15" hidden="false" customHeight="false" outlineLevel="0" collapsed="false">
      <c r="N1579" s="83" t="s">
        <v>3966</v>
      </c>
    </row>
    <row r="1580" customFormat="false" ht="15" hidden="false" customHeight="false" outlineLevel="0" collapsed="false">
      <c r="N1580" s="83" t="s">
        <v>3967</v>
      </c>
    </row>
    <row r="1581" customFormat="false" ht="15" hidden="false" customHeight="false" outlineLevel="0" collapsed="false">
      <c r="N1581" s="83" t="s">
        <v>3968</v>
      </c>
    </row>
    <row r="1582" customFormat="false" ht="15" hidden="false" customHeight="false" outlineLevel="0" collapsed="false">
      <c r="N1582" s="83" t="s">
        <v>3969</v>
      </c>
    </row>
    <row r="1583" customFormat="false" ht="15" hidden="false" customHeight="false" outlineLevel="0" collapsed="false">
      <c r="N1583" s="83" t="s">
        <v>3970</v>
      </c>
    </row>
    <row r="1584" customFormat="false" ht="15" hidden="false" customHeight="false" outlineLevel="0" collapsed="false">
      <c r="N1584" s="83" t="s">
        <v>3971</v>
      </c>
    </row>
    <row r="1585" customFormat="false" ht="15" hidden="false" customHeight="false" outlineLevel="0" collapsed="false">
      <c r="N1585" s="83" t="s">
        <v>3972</v>
      </c>
    </row>
    <row r="1586" customFormat="false" ht="15" hidden="false" customHeight="false" outlineLevel="0" collapsed="false">
      <c r="N1586" s="83" t="s">
        <v>3973</v>
      </c>
    </row>
    <row r="1587" customFormat="false" ht="15" hidden="false" customHeight="false" outlineLevel="0" collapsed="false">
      <c r="N1587" s="83" t="s">
        <v>3974</v>
      </c>
    </row>
    <row r="1588" customFormat="false" ht="15" hidden="false" customHeight="false" outlineLevel="0" collapsed="false">
      <c r="N1588" s="83" t="s">
        <v>3975</v>
      </c>
    </row>
    <row r="1589" customFormat="false" ht="15" hidden="false" customHeight="false" outlineLevel="0" collapsed="false">
      <c r="N1589" s="83" t="s">
        <v>3976</v>
      </c>
    </row>
    <row r="1590" customFormat="false" ht="15" hidden="false" customHeight="false" outlineLevel="0" collapsed="false">
      <c r="N1590" s="83" t="s">
        <v>3977</v>
      </c>
    </row>
    <row r="1591" customFormat="false" ht="15" hidden="false" customHeight="false" outlineLevel="0" collapsed="false">
      <c r="N1591" s="83" t="s">
        <v>3978</v>
      </c>
    </row>
    <row r="1592" customFormat="false" ht="15" hidden="false" customHeight="false" outlineLevel="0" collapsed="false">
      <c r="N1592" s="83" t="s">
        <v>3979</v>
      </c>
    </row>
    <row r="1593" customFormat="false" ht="15" hidden="false" customHeight="false" outlineLevel="0" collapsed="false">
      <c r="N1593" s="83" t="s">
        <v>3980</v>
      </c>
    </row>
    <row r="1594" customFormat="false" ht="15" hidden="false" customHeight="false" outlineLevel="0" collapsed="false">
      <c r="N1594" s="83" t="s">
        <v>3981</v>
      </c>
    </row>
    <row r="1595" customFormat="false" ht="15" hidden="false" customHeight="false" outlineLevel="0" collapsed="false">
      <c r="N1595" s="83" t="s">
        <v>3982</v>
      </c>
    </row>
    <row r="1596" customFormat="false" ht="15" hidden="false" customHeight="false" outlineLevel="0" collapsed="false">
      <c r="N1596" s="83" t="s">
        <v>3983</v>
      </c>
    </row>
    <row r="1597" customFormat="false" ht="15" hidden="false" customHeight="false" outlineLevel="0" collapsed="false">
      <c r="N1597" s="83" t="s">
        <v>3984</v>
      </c>
    </row>
    <row r="1598" customFormat="false" ht="15" hidden="false" customHeight="false" outlineLevel="0" collapsed="false">
      <c r="N1598" s="83" t="s">
        <v>3985</v>
      </c>
    </row>
    <row r="1599" customFormat="false" ht="15" hidden="false" customHeight="false" outlineLevel="0" collapsed="false">
      <c r="N1599" s="83" t="s">
        <v>3986</v>
      </c>
    </row>
    <row r="1600" customFormat="false" ht="15" hidden="false" customHeight="false" outlineLevel="0" collapsed="false">
      <c r="N1600" s="83" t="s">
        <v>3987</v>
      </c>
    </row>
    <row r="1601" customFormat="false" ht="15" hidden="false" customHeight="false" outlineLevel="0" collapsed="false">
      <c r="N1601" s="83" t="s">
        <v>3988</v>
      </c>
    </row>
    <row r="1602" customFormat="false" ht="15" hidden="false" customHeight="false" outlineLevel="0" collapsed="false">
      <c r="N1602" s="83" t="s">
        <v>3989</v>
      </c>
    </row>
    <row r="1603" customFormat="false" ht="15" hidden="false" customHeight="false" outlineLevel="0" collapsed="false">
      <c r="N1603" s="83" t="s">
        <v>3990</v>
      </c>
    </row>
    <row r="1604" customFormat="false" ht="15" hidden="false" customHeight="false" outlineLevel="0" collapsed="false">
      <c r="N1604" s="83" t="s">
        <v>3991</v>
      </c>
    </row>
    <row r="1605" customFormat="false" ht="15" hidden="false" customHeight="false" outlineLevel="0" collapsed="false">
      <c r="N1605" s="83" t="s">
        <v>3992</v>
      </c>
    </row>
    <row r="1606" customFormat="false" ht="15" hidden="false" customHeight="false" outlineLevel="0" collapsed="false">
      <c r="N1606" s="83" t="s">
        <v>3993</v>
      </c>
    </row>
    <row r="1607" customFormat="false" ht="15" hidden="false" customHeight="false" outlineLevel="0" collapsed="false">
      <c r="N1607" s="83" t="s">
        <v>3994</v>
      </c>
    </row>
    <row r="1608" customFormat="false" ht="15" hidden="false" customHeight="false" outlineLevel="0" collapsed="false">
      <c r="N1608" s="83" t="s">
        <v>3995</v>
      </c>
    </row>
    <row r="1609" customFormat="false" ht="15" hidden="false" customHeight="false" outlineLevel="0" collapsed="false">
      <c r="N1609" s="83" t="s">
        <v>3996</v>
      </c>
    </row>
    <row r="1610" customFormat="false" ht="15" hidden="false" customHeight="false" outlineLevel="0" collapsed="false">
      <c r="N1610" s="83" t="s">
        <v>3997</v>
      </c>
    </row>
    <row r="1611" customFormat="false" ht="15" hidden="false" customHeight="false" outlineLevel="0" collapsed="false">
      <c r="N1611" s="83" t="s">
        <v>3998</v>
      </c>
    </row>
    <row r="1612" customFormat="false" ht="15" hidden="false" customHeight="false" outlineLevel="0" collapsed="false">
      <c r="N1612" s="83" t="s">
        <v>3999</v>
      </c>
    </row>
    <row r="1613" customFormat="false" ht="15" hidden="false" customHeight="false" outlineLevel="0" collapsed="false">
      <c r="N1613" s="83" t="s">
        <v>4000</v>
      </c>
    </row>
    <row r="1614" customFormat="false" ht="15" hidden="false" customHeight="false" outlineLevel="0" collapsed="false">
      <c r="N1614" s="83" t="s">
        <v>4001</v>
      </c>
    </row>
    <row r="1615" customFormat="false" ht="15" hidden="false" customHeight="false" outlineLevel="0" collapsed="false">
      <c r="N1615" s="83" t="s">
        <v>4002</v>
      </c>
    </row>
    <row r="1616" customFormat="false" ht="15" hidden="false" customHeight="false" outlineLevel="0" collapsed="false">
      <c r="N1616" s="83" t="s">
        <v>4003</v>
      </c>
    </row>
    <row r="1617" customFormat="false" ht="15" hidden="false" customHeight="false" outlineLevel="0" collapsed="false">
      <c r="N1617" s="83" t="s">
        <v>4004</v>
      </c>
    </row>
    <row r="1618" customFormat="false" ht="15" hidden="false" customHeight="false" outlineLevel="0" collapsed="false">
      <c r="N1618" s="83" t="s">
        <v>4005</v>
      </c>
    </row>
    <row r="1619" customFormat="false" ht="15" hidden="false" customHeight="false" outlineLevel="0" collapsed="false">
      <c r="N1619" s="83" t="s">
        <v>4006</v>
      </c>
    </row>
    <row r="1620" customFormat="false" ht="15" hidden="false" customHeight="false" outlineLevel="0" collapsed="false">
      <c r="N1620" s="83" t="s">
        <v>4007</v>
      </c>
    </row>
    <row r="1621" customFormat="false" ht="15" hidden="false" customHeight="false" outlineLevel="0" collapsed="false">
      <c r="N1621" s="83" t="s">
        <v>4008</v>
      </c>
    </row>
    <row r="1622" customFormat="false" ht="15" hidden="false" customHeight="false" outlineLevel="0" collapsed="false">
      <c r="N1622" s="83" t="s">
        <v>4009</v>
      </c>
    </row>
    <row r="1623" customFormat="false" ht="15" hidden="false" customHeight="false" outlineLevel="0" collapsed="false">
      <c r="N1623" s="83" t="s">
        <v>4010</v>
      </c>
    </row>
    <row r="1624" customFormat="false" ht="15" hidden="false" customHeight="false" outlineLevel="0" collapsed="false">
      <c r="N1624" s="83" t="s">
        <v>4011</v>
      </c>
    </row>
    <row r="1625" customFormat="false" ht="15" hidden="false" customHeight="false" outlineLevel="0" collapsed="false">
      <c r="N1625" s="83" t="s">
        <v>4012</v>
      </c>
    </row>
    <row r="1626" customFormat="false" ht="15" hidden="false" customHeight="false" outlineLevel="0" collapsed="false">
      <c r="N1626" s="83" t="s">
        <v>4013</v>
      </c>
    </row>
    <row r="1627" customFormat="false" ht="15" hidden="false" customHeight="false" outlineLevel="0" collapsed="false">
      <c r="N1627" s="83" t="s">
        <v>4014</v>
      </c>
    </row>
    <row r="1628" customFormat="false" ht="15" hidden="false" customHeight="false" outlineLevel="0" collapsed="false">
      <c r="N1628" s="83" t="s">
        <v>4015</v>
      </c>
    </row>
    <row r="1629" customFormat="false" ht="15" hidden="false" customHeight="false" outlineLevel="0" collapsed="false">
      <c r="N1629" s="83" t="s">
        <v>4016</v>
      </c>
    </row>
    <row r="1630" customFormat="false" ht="15" hidden="false" customHeight="false" outlineLevel="0" collapsed="false">
      <c r="N1630" s="83" t="s">
        <v>4017</v>
      </c>
    </row>
    <row r="1631" customFormat="false" ht="15" hidden="false" customHeight="false" outlineLevel="0" collapsed="false">
      <c r="N1631" s="83" t="s">
        <v>4018</v>
      </c>
    </row>
    <row r="1632" customFormat="false" ht="15" hidden="false" customHeight="false" outlineLevel="0" collapsed="false">
      <c r="N1632" s="83" t="s">
        <v>4019</v>
      </c>
    </row>
    <row r="1633" customFormat="false" ht="15" hidden="false" customHeight="false" outlineLevel="0" collapsed="false">
      <c r="N1633" s="83" t="s">
        <v>4020</v>
      </c>
    </row>
    <row r="1634" customFormat="false" ht="15" hidden="false" customHeight="false" outlineLevel="0" collapsed="false">
      <c r="N1634" s="83" t="s">
        <v>4021</v>
      </c>
    </row>
    <row r="1635" customFormat="false" ht="15" hidden="false" customHeight="false" outlineLevel="0" collapsed="false">
      <c r="N1635" s="83" t="s">
        <v>4022</v>
      </c>
    </row>
    <row r="1636" customFormat="false" ht="15" hidden="false" customHeight="false" outlineLevel="0" collapsed="false">
      <c r="N1636" s="83" t="s">
        <v>4023</v>
      </c>
    </row>
    <row r="1637" customFormat="false" ht="15" hidden="false" customHeight="false" outlineLevel="0" collapsed="false">
      <c r="N1637" s="83" t="s">
        <v>4024</v>
      </c>
    </row>
    <row r="1638" customFormat="false" ht="15" hidden="false" customHeight="false" outlineLevel="0" collapsed="false">
      <c r="N1638" s="83" t="s">
        <v>4025</v>
      </c>
    </row>
    <row r="1639" customFormat="false" ht="15" hidden="false" customHeight="false" outlineLevel="0" collapsed="false">
      <c r="N1639" s="83" t="s">
        <v>4026</v>
      </c>
    </row>
    <row r="1640" customFormat="false" ht="15" hidden="false" customHeight="false" outlineLevel="0" collapsed="false">
      <c r="N1640" s="83" t="s">
        <v>4027</v>
      </c>
    </row>
    <row r="1641" customFormat="false" ht="15" hidden="false" customHeight="false" outlineLevel="0" collapsed="false">
      <c r="N1641" s="83" t="s">
        <v>4028</v>
      </c>
    </row>
    <row r="1642" customFormat="false" ht="15" hidden="false" customHeight="false" outlineLevel="0" collapsed="false">
      <c r="N1642" s="83" t="s">
        <v>4029</v>
      </c>
    </row>
    <row r="1643" customFormat="false" ht="15" hidden="false" customHeight="false" outlineLevel="0" collapsed="false">
      <c r="N1643" s="83" t="s">
        <v>4030</v>
      </c>
    </row>
    <row r="1644" customFormat="false" ht="15" hidden="false" customHeight="false" outlineLevel="0" collapsed="false">
      <c r="N1644" s="83" t="s">
        <v>4031</v>
      </c>
    </row>
    <row r="1645" customFormat="false" ht="15" hidden="false" customHeight="false" outlineLevel="0" collapsed="false">
      <c r="N1645" s="83" t="s">
        <v>4032</v>
      </c>
    </row>
    <row r="1646" customFormat="false" ht="15" hidden="false" customHeight="false" outlineLevel="0" collapsed="false">
      <c r="N1646" s="83" t="s">
        <v>4033</v>
      </c>
    </row>
    <row r="1647" customFormat="false" ht="15" hidden="false" customHeight="false" outlineLevel="0" collapsed="false">
      <c r="N1647" s="83" t="s">
        <v>4034</v>
      </c>
    </row>
    <row r="1648" customFormat="false" ht="15" hidden="false" customHeight="false" outlineLevel="0" collapsed="false">
      <c r="N1648" s="83" t="s">
        <v>4035</v>
      </c>
    </row>
    <row r="1649" customFormat="false" ht="15" hidden="false" customHeight="false" outlineLevel="0" collapsed="false">
      <c r="N1649" s="83" t="s">
        <v>4036</v>
      </c>
    </row>
    <row r="1650" customFormat="false" ht="15" hidden="false" customHeight="false" outlineLevel="0" collapsed="false">
      <c r="N1650" s="83" t="s">
        <v>4037</v>
      </c>
    </row>
    <row r="1651" customFormat="false" ht="15" hidden="false" customHeight="false" outlineLevel="0" collapsed="false">
      <c r="N1651" s="83" t="s">
        <v>4038</v>
      </c>
    </row>
    <row r="1652" customFormat="false" ht="15" hidden="false" customHeight="false" outlineLevel="0" collapsed="false">
      <c r="N1652" s="83" t="s">
        <v>2054</v>
      </c>
    </row>
    <row r="1653" customFormat="false" ht="15" hidden="false" customHeight="false" outlineLevel="0" collapsed="false">
      <c r="N1653" s="83" t="s">
        <v>4039</v>
      </c>
    </row>
    <row r="1654" customFormat="false" ht="15" hidden="false" customHeight="false" outlineLevel="0" collapsed="false">
      <c r="N1654" s="83" t="s">
        <v>2062</v>
      </c>
    </row>
    <row r="1655" customFormat="false" ht="15" hidden="false" customHeight="false" outlineLevel="0" collapsed="false">
      <c r="N1655" s="83" t="s">
        <v>4040</v>
      </c>
    </row>
    <row r="1656" customFormat="false" ht="15" hidden="false" customHeight="false" outlineLevel="0" collapsed="false">
      <c r="N1656" s="83" t="s">
        <v>4041</v>
      </c>
    </row>
    <row r="1657" customFormat="false" ht="15" hidden="false" customHeight="false" outlineLevel="0" collapsed="false">
      <c r="N1657" s="83" t="s">
        <v>4042</v>
      </c>
    </row>
    <row r="1658" customFormat="false" ht="15" hidden="false" customHeight="false" outlineLevel="0" collapsed="false">
      <c r="N1658" s="83" t="s">
        <v>2070</v>
      </c>
    </row>
    <row r="1659" customFormat="false" ht="15" hidden="false" customHeight="false" outlineLevel="0" collapsed="false">
      <c r="N1659" s="83" t="s">
        <v>4043</v>
      </c>
    </row>
    <row r="1660" customFormat="false" ht="15" hidden="false" customHeight="false" outlineLevel="0" collapsed="false">
      <c r="N1660" s="83" t="s">
        <v>4044</v>
      </c>
    </row>
    <row r="1661" customFormat="false" ht="15" hidden="false" customHeight="false" outlineLevel="0" collapsed="false">
      <c r="N1661" s="83" t="s">
        <v>4045</v>
      </c>
    </row>
    <row r="1662" customFormat="false" ht="15" hidden="false" customHeight="false" outlineLevel="0" collapsed="false">
      <c r="N1662" s="83" t="s">
        <v>4046</v>
      </c>
    </row>
    <row r="1663" customFormat="false" ht="15" hidden="false" customHeight="false" outlineLevel="0" collapsed="false">
      <c r="N1663" s="83" t="s">
        <v>4047</v>
      </c>
    </row>
    <row r="1664" customFormat="false" ht="15" hidden="false" customHeight="false" outlineLevel="0" collapsed="false">
      <c r="N1664" s="83" t="s">
        <v>4048</v>
      </c>
    </row>
    <row r="1665" customFormat="false" ht="15" hidden="false" customHeight="false" outlineLevel="0" collapsed="false">
      <c r="N1665" s="83" t="s">
        <v>4049</v>
      </c>
    </row>
    <row r="1666" customFormat="false" ht="15" hidden="false" customHeight="false" outlineLevel="0" collapsed="false">
      <c r="N1666" s="83" t="s">
        <v>4050</v>
      </c>
    </row>
    <row r="1667" customFormat="false" ht="15" hidden="false" customHeight="false" outlineLevel="0" collapsed="false">
      <c r="N1667" s="83" t="s">
        <v>4051</v>
      </c>
    </row>
    <row r="1668" customFormat="false" ht="15" hidden="false" customHeight="false" outlineLevel="0" collapsed="false">
      <c r="N1668" s="83" t="s">
        <v>4052</v>
      </c>
    </row>
    <row r="1669" customFormat="false" ht="15" hidden="false" customHeight="false" outlineLevel="0" collapsed="false">
      <c r="N1669" s="83" t="s">
        <v>4053</v>
      </c>
    </row>
    <row r="1670" customFormat="false" ht="15" hidden="false" customHeight="false" outlineLevel="0" collapsed="false">
      <c r="N1670" s="83" t="s">
        <v>4054</v>
      </c>
    </row>
    <row r="1671" customFormat="false" ht="15" hidden="false" customHeight="false" outlineLevel="0" collapsed="false">
      <c r="N1671" s="83" t="s">
        <v>4055</v>
      </c>
    </row>
    <row r="1672" customFormat="false" ht="15" hidden="false" customHeight="false" outlineLevel="0" collapsed="false">
      <c r="N1672" s="83" t="s">
        <v>4056</v>
      </c>
    </row>
    <row r="1673" customFormat="false" ht="15" hidden="false" customHeight="false" outlineLevel="0" collapsed="false">
      <c r="N1673" s="83" t="s">
        <v>4057</v>
      </c>
    </row>
    <row r="1674" customFormat="false" ht="15" hidden="false" customHeight="false" outlineLevel="0" collapsed="false">
      <c r="N1674" s="83" t="s">
        <v>4058</v>
      </c>
    </row>
    <row r="1675" customFormat="false" ht="15" hidden="false" customHeight="false" outlineLevel="0" collapsed="false">
      <c r="N1675" s="83" t="s">
        <v>4059</v>
      </c>
    </row>
    <row r="1676" customFormat="false" ht="15" hidden="false" customHeight="false" outlineLevel="0" collapsed="false">
      <c r="N1676" s="83" t="s">
        <v>4060</v>
      </c>
    </row>
    <row r="1677" customFormat="false" ht="15" hidden="false" customHeight="false" outlineLevel="0" collapsed="false">
      <c r="N1677" s="83" t="s">
        <v>4061</v>
      </c>
    </row>
    <row r="1678" customFormat="false" ht="15" hidden="false" customHeight="false" outlineLevel="0" collapsed="false">
      <c r="N1678" s="83" t="s">
        <v>4062</v>
      </c>
    </row>
    <row r="1679" customFormat="false" ht="15" hidden="false" customHeight="false" outlineLevel="0" collapsed="false">
      <c r="N1679" s="83" t="s">
        <v>4063</v>
      </c>
    </row>
    <row r="1680" customFormat="false" ht="15" hidden="false" customHeight="false" outlineLevel="0" collapsed="false">
      <c r="N1680" s="83" t="s">
        <v>4064</v>
      </c>
    </row>
    <row r="1681" customFormat="false" ht="15" hidden="false" customHeight="false" outlineLevel="0" collapsed="false">
      <c r="N1681" s="83" t="s">
        <v>4065</v>
      </c>
    </row>
    <row r="1682" customFormat="false" ht="15" hidden="false" customHeight="false" outlineLevel="0" collapsed="false">
      <c r="N1682" s="83" t="s">
        <v>4066</v>
      </c>
    </row>
    <row r="1683" customFormat="false" ht="15" hidden="false" customHeight="false" outlineLevel="0" collapsed="false">
      <c r="N1683" s="83" t="s">
        <v>4067</v>
      </c>
    </row>
    <row r="1684" customFormat="false" ht="15" hidden="false" customHeight="false" outlineLevel="0" collapsed="false">
      <c r="N1684" s="83" t="s">
        <v>4068</v>
      </c>
    </row>
    <row r="1685" customFormat="false" ht="15" hidden="false" customHeight="false" outlineLevel="0" collapsed="false">
      <c r="N1685" s="83" t="s">
        <v>4069</v>
      </c>
    </row>
    <row r="1686" customFormat="false" ht="15" hidden="false" customHeight="false" outlineLevel="0" collapsed="false">
      <c r="N1686" s="83" t="s">
        <v>4070</v>
      </c>
    </row>
    <row r="1687" customFormat="false" ht="15" hidden="false" customHeight="false" outlineLevel="0" collapsed="false">
      <c r="N1687" s="83" t="s">
        <v>4071</v>
      </c>
    </row>
    <row r="1688" customFormat="false" ht="15" hidden="false" customHeight="false" outlineLevel="0" collapsed="false">
      <c r="N1688" s="83" t="s">
        <v>4072</v>
      </c>
    </row>
    <row r="1689" customFormat="false" ht="15" hidden="false" customHeight="false" outlineLevel="0" collapsed="false">
      <c r="N1689" s="83" t="s">
        <v>4073</v>
      </c>
    </row>
    <row r="1690" customFormat="false" ht="15" hidden="false" customHeight="false" outlineLevel="0" collapsed="false">
      <c r="N1690" s="83" t="s">
        <v>4074</v>
      </c>
    </row>
    <row r="1691" customFormat="false" ht="15" hidden="false" customHeight="false" outlineLevel="0" collapsed="false">
      <c r="N1691" s="83" t="s">
        <v>4075</v>
      </c>
    </row>
    <row r="1692" customFormat="false" ht="15" hidden="false" customHeight="false" outlineLevel="0" collapsed="false">
      <c r="N1692" s="83" t="s">
        <v>4076</v>
      </c>
    </row>
    <row r="1693" customFormat="false" ht="15" hidden="false" customHeight="false" outlineLevel="0" collapsed="false">
      <c r="N1693" s="83" t="s">
        <v>4077</v>
      </c>
    </row>
    <row r="1694" customFormat="false" ht="15" hidden="false" customHeight="false" outlineLevel="0" collapsed="false">
      <c r="N1694" s="83" t="s">
        <v>4078</v>
      </c>
    </row>
    <row r="1695" customFormat="false" ht="15" hidden="false" customHeight="false" outlineLevel="0" collapsed="false">
      <c r="N1695" s="83" t="s">
        <v>4079</v>
      </c>
    </row>
    <row r="1696" customFormat="false" ht="15" hidden="false" customHeight="false" outlineLevel="0" collapsed="false">
      <c r="N1696" s="83" t="s">
        <v>4080</v>
      </c>
    </row>
    <row r="1697" customFormat="false" ht="15" hidden="false" customHeight="false" outlineLevel="0" collapsed="false">
      <c r="N1697" s="83" t="s">
        <v>4081</v>
      </c>
    </row>
    <row r="1698" customFormat="false" ht="15" hidden="false" customHeight="false" outlineLevel="0" collapsed="false">
      <c r="N1698" s="83" t="s">
        <v>4082</v>
      </c>
    </row>
    <row r="1699" customFormat="false" ht="15" hidden="false" customHeight="false" outlineLevel="0" collapsed="false">
      <c r="N1699" s="83" t="s">
        <v>4083</v>
      </c>
    </row>
    <row r="1700" customFormat="false" ht="15" hidden="false" customHeight="false" outlineLevel="0" collapsed="false">
      <c r="N1700" s="83" t="s">
        <v>4084</v>
      </c>
    </row>
    <row r="1701" customFormat="false" ht="15" hidden="false" customHeight="false" outlineLevel="0" collapsed="false">
      <c r="N1701" s="83" t="s">
        <v>4085</v>
      </c>
    </row>
    <row r="1702" customFormat="false" ht="15" hidden="false" customHeight="false" outlineLevel="0" collapsed="false">
      <c r="N1702" s="83" t="s">
        <v>4086</v>
      </c>
    </row>
    <row r="1703" customFormat="false" ht="15" hidden="false" customHeight="false" outlineLevel="0" collapsed="false">
      <c r="N1703" s="83" t="s">
        <v>4087</v>
      </c>
    </row>
    <row r="1704" customFormat="false" ht="15" hidden="false" customHeight="false" outlineLevel="0" collapsed="false">
      <c r="N1704" s="83" t="s">
        <v>4088</v>
      </c>
    </row>
    <row r="1705" customFormat="false" ht="15" hidden="false" customHeight="false" outlineLevel="0" collapsed="false">
      <c r="N1705" s="83" t="s">
        <v>4089</v>
      </c>
    </row>
    <row r="1706" customFormat="false" ht="15" hidden="false" customHeight="false" outlineLevel="0" collapsed="false">
      <c r="N1706" s="83" t="s">
        <v>4090</v>
      </c>
    </row>
    <row r="1707" customFormat="false" ht="15" hidden="false" customHeight="false" outlineLevel="0" collapsed="false">
      <c r="N1707" s="83" t="s">
        <v>4091</v>
      </c>
    </row>
    <row r="1708" customFormat="false" ht="15" hidden="false" customHeight="false" outlineLevel="0" collapsed="false">
      <c r="N1708" s="83" t="s">
        <v>4092</v>
      </c>
    </row>
    <row r="1709" customFormat="false" ht="15" hidden="false" customHeight="false" outlineLevel="0" collapsed="false">
      <c r="N1709" s="83" t="s">
        <v>4093</v>
      </c>
    </row>
    <row r="1710" customFormat="false" ht="15" hidden="false" customHeight="false" outlineLevel="0" collapsed="false">
      <c r="N1710" s="83" t="s">
        <v>4094</v>
      </c>
    </row>
    <row r="1711" customFormat="false" ht="15" hidden="false" customHeight="false" outlineLevel="0" collapsed="false">
      <c r="N1711" s="83" t="s">
        <v>4095</v>
      </c>
    </row>
    <row r="1712" customFormat="false" ht="15" hidden="false" customHeight="false" outlineLevel="0" collapsed="false">
      <c r="N1712" s="83" t="s">
        <v>4096</v>
      </c>
    </row>
    <row r="1713" customFormat="false" ht="15" hidden="false" customHeight="false" outlineLevel="0" collapsed="false">
      <c r="N1713" s="83" t="s">
        <v>4097</v>
      </c>
    </row>
    <row r="1714" customFormat="false" ht="15" hidden="false" customHeight="false" outlineLevel="0" collapsed="false">
      <c r="N1714" s="83" t="s">
        <v>4098</v>
      </c>
    </row>
    <row r="1715" customFormat="false" ht="15" hidden="false" customHeight="false" outlineLevel="0" collapsed="false">
      <c r="N1715" s="83" t="s">
        <v>4099</v>
      </c>
    </row>
    <row r="1716" customFormat="false" ht="15" hidden="false" customHeight="false" outlineLevel="0" collapsed="false">
      <c r="N1716" s="83" t="s">
        <v>4100</v>
      </c>
    </row>
    <row r="1717" customFormat="false" ht="15" hidden="false" customHeight="false" outlineLevel="0" collapsed="false">
      <c r="N1717" s="83" t="s">
        <v>4101</v>
      </c>
    </row>
    <row r="1718" customFormat="false" ht="15" hidden="false" customHeight="false" outlineLevel="0" collapsed="false">
      <c r="N1718" s="83" t="s">
        <v>4102</v>
      </c>
    </row>
    <row r="1719" customFormat="false" ht="15" hidden="false" customHeight="false" outlineLevel="0" collapsed="false">
      <c r="N1719" s="83" t="s">
        <v>4103</v>
      </c>
    </row>
    <row r="1720" customFormat="false" ht="15" hidden="false" customHeight="false" outlineLevel="0" collapsed="false">
      <c r="N1720" s="83" t="s">
        <v>4104</v>
      </c>
    </row>
    <row r="1721" customFormat="false" ht="15" hidden="false" customHeight="false" outlineLevel="0" collapsed="false">
      <c r="N1721" s="83" t="s">
        <v>4105</v>
      </c>
    </row>
    <row r="1722" customFormat="false" ht="15" hidden="false" customHeight="false" outlineLevel="0" collapsed="false">
      <c r="N1722" s="83" t="s">
        <v>4106</v>
      </c>
    </row>
    <row r="1723" customFormat="false" ht="15" hidden="false" customHeight="false" outlineLevel="0" collapsed="false">
      <c r="N1723" s="83" t="s">
        <v>4107</v>
      </c>
    </row>
    <row r="1724" customFormat="false" ht="15" hidden="false" customHeight="false" outlineLevel="0" collapsed="false">
      <c r="N1724" s="83" t="s">
        <v>4108</v>
      </c>
    </row>
    <row r="1725" customFormat="false" ht="15" hidden="false" customHeight="false" outlineLevel="0" collapsed="false">
      <c r="N1725" s="83" t="s">
        <v>4109</v>
      </c>
    </row>
    <row r="1726" customFormat="false" ht="15" hidden="false" customHeight="false" outlineLevel="0" collapsed="false">
      <c r="N1726" s="83" t="s">
        <v>4110</v>
      </c>
    </row>
    <row r="1727" customFormat="false" ht="15" hidden="false" customHeight="false" outlineLevel="0" collapsed="false">
      <c r="N1727" s="83" t="s">
        <v>4111</v>
      </c>
    </row>
    <row r="1728" customFormat="false" ht="15" hidden="false" customHeight="false" outlineLevel="0" collapsed="false">
      <c r="N1728" s="83" t="s">
        <v>4112</v>
      </c>
    </row>
    <row r="1729" customFormat="false" ht="15" hidden="false" customHeight="false" outlineLevel="0" collapsed="false">
      <c r="N1729" s="83" t="s">
        <v>4113</v>
      </c>
    </row>
    <row r="1730" customFormat="false" ht="15" hidden="false" customHeight="false" outlineLevel="0" collapsed="false">
      <c r="N1730" s="83" t="s">
        <v>4114</v>
      </c>
    </row>
    <row r="1731" customFormat="false" ht="15" hidden="false" customHeight="false" outlineLevel="0" collapsed="false">
      <c r="N1731" s="83" t="s">
        <v>4115</v>
      </c>
    </row>
    <row r="1732" customFormat="false" ht="15" hidden="false" customHeight="false" outlineLevel="0" collapsed="false">
      <c r="N1732" s="83" t="s">
        <v>4116</v>
      </c>
    </row>
    <row r="1733" customFormat="false" ht="15" hidden="false" customHeight="false" outlineLevel="0" collapsed="false">
      <c r="N1733" s="83" t="s">
        <v>4117</v>
      </c>
    </row>
    <row r="1734" customFormat="false" ht="15" hidden="false" customHeight="false" outlineLevel="0" collapsed="false">
      <c r="N1734" s="83" t="s">
        <v>4118</v>
      </c>
    </row>
    <row r="1735" customFormat="false" ht="15" hidden="false" customHeight="false" outlineLevel="0" collapsed="false">
      <c r="N1735" s="83" t="s">
        <v>4119</v>
      </c>
    </row>
    <row r="1736" customFormat="false" ht="15" hidden="false" customHeight="false" outlineLevel="0" collapsed="false">
      <c r="N1736" s="83" t="s">
        <v>4120</v>
      </c>
    </row>
    <row r="1737" customFormat="false" ht="15" hidden="false" customHeight="false" outlineLevel="0" collapsed="false">
      <c r="N1737" s="83" t="s">
        <v>4121</v>
      </c>
    </row>
    <row r="1738" customFormat="false" ht="15" hidden="false" customHeight="false" outlineLevel="0" collapsed="false">
      <c r="N1738" s="83" t="s">
        <v>4122</v>
      </c>
    </row>
    <row r="1739" customFormat="false" ht="15" hidden="false" customHeight="false" outlineLevel="0" collapsed="false">
      <c r="N1739" s="83" t="s">
        <v>4123</v>
      </c>
    </row>
    <row r="1740" customFormat="false" ht="15" hidden="false" customHeight="false" outlineLevel="0" collapsed="false">
      <c r="N1740" s="83" t="s">
        <v>4124</v>
      </c>
    </row>
    <row r="1741" customFormat="false" ht="15" hidden="false" customHeight="false" outlineLevel="0" collapsed="false">
      <c r="N1741" s="83" t="s">
        <v>4125</v>
      </c>
    </row>
    <row r="1742" customFormat="false" ht="15" hidden="false" customHeight="false" outlineLevel="0" collapsed="false">
      <c r="N1742" s="83" t="s">
        <v>4126</v>
      </c>
    </row>
    <row r="1743" customFormat="false" ht="15" hidden="false" customHeight="false" outlineLevel="0" collapsed="false">
      <c r="N1743" s="83" t="s">
        <v>4127</v>
      </c>
    </row>
    <row r="1744" customFormat="false" ht="15" hidden="false" customHeight="false" outlineLevel="0" collapsed="false">
      <c r="N1744" s="83" t="s">
        <v>4128</v>
      </c>
    </row>
    <row r="1745" customFormat="false" ht="15" hidden="false" customHeight="false" outlineLevel="0" collapsed="false">
      <c r="N1745" s="83" t="s">
        <v>4129</v>
      </c>
    </row>
    <row r="1746" customFormat="false" ht="15" hidden="false" customHeight="false" outlineLevel="0" collapsed="false">
      <c r="N1746" s="83" t="s">
        <v>4130</v>
      </c>
    </row>
    <row r="1747" customFormat="false" ht="15" hidden="false" customHeight="false" outlineLevel="0" collapsed="false">
      <c r="N1747" s="83" t="s">
        <v>4131</v>
      </c>
    </row>
    <row r="1748" customFormat="false" ht="15" hidden="false" customHeight="false" outlineLevel="0" collapsed="false">
      <c r="N1748" s="83" t="s">
        <v>4132</v>
      </c>
    </row>
    <row r="1749" customFormat="false" ht="15" hidden="false" customHeight="false" outlineLevel="0" collapsed="false">
      <c r="N1749" s="83" t="s">
        <v>4133</v>
      </c>
    </row>
    <row r="1750" customFormat="false" ht="15" hidden="false" customHeight="false" outlineLevel="0" collapsed="false">
      <c r="N1750" s="83" t="s">
        <v>4134</v>
      </c>
    </row>
    <row r="1751" customFormat="false" ht="15" hidden="false" customHeight="false" outlineLevel="0" collapsed="false">
      <c r="N1751" s="83" t="s">
        <v>4135</v>
      </c>
    </row>
    <row r="1752" customFormat="false" ht="15" hidden="false" customHeight="false" outlineLevel="0" collapsed="false">
      <c r="N1752" s="83" t="s">
        <v>4136</v>
      </c>
    </row>
    <row r="1753" customFormat="false" ht="15" hidden="false" customHeight="false" outlineLevel="0" collapsed="false">
      <c r="N1753" s="83" t="s">
        <v>4137</v>
      </c>
    </row>
    <row r="1754" customFormat="false" ht="15" hidden="false" customHeight="false" outlineLevel="0" collapsed="false">
      <c r="N1754" s="83" t="s">
        <v>4138</v>
      </c>
    </row>
    <row r="1755" customFormat="false" ht="15" hidden="false" customHeight="false" outlineLevel="0" collapsed="false">
      <c r="N1755" s="83" t="s">
        <v>4139</v>
      </c>
    </row>
    <row r="1756" customFormat="false" ht="15" hidden="false" customHeight="false" outlineLevel="0" collapsed="false">
      <c r="N1756" s="83" t="s">
        <v>4140</v>
      </c>
    </row>
    <row r="1757" customFormat="false" ht="15" hidden="false" customHeight="false" outlineLevel="0" collapsed="false">
      <c r="N1757" s="83" t="s">
        <v>4141</v>
      </c>
    </row>
    <row r="1758" customFormat="false" ht="15" hidden="false" customHeight="false" outlineLevel="0" collapsed="false">
      <c r="N1758" s="83" t="s">
        <v>4142</v>
      </c>
    </row>
    <row r="1759" customFormat="false" ht="15" hidden="false" customHeight="false" outlineLevel="0" collapsed="false">
      <c r="N1759" s="83" t="s">
        <v>4143</v>
      </c>
    </row>
    <row r="1760" customFormat="false" ht="15" hidden="false" customHeight="false" outlineLevel="0" collapsed="false">
      <c r="N1760" s="83" t="s">
        <v>4144</v>
      </c>
    </row>
    <row r="1761" customFormat="false" ht="15" hidden="false" customHeight="false" outlineLevel="0" collapsed="false">
      <c r="N1761" s="83" t="s">
        <v>4145</v>
      </c>
    </row>
    <row r="1762" customFormat="false" ht="15" hidden="false" customHeight="false" outlineLevel="0" collapsed="false">
      <c r="N1762" s="83" t="s">
        <v>4146</v>
      </c>
    </row>
    <row r="1763" customFormat="false" ht="15" hidden="false" customHeight="false" outlineLevel="0" collapsed="false">
      <c r="N1763" s="83" t="s">
        <v>4147</v>
      </c>
    </row>
    <row r="1764" customFormat="false" ht="15" hidden="false" customHeight="false" outlineLevel="0" collapsed="false">
      <c r="N1764" s="83" t="s">
        <v>4148</v>
      </c>
    </row>
    <row r="1765" customFormat="false" ht="15" hidden="false" customHeight="false" outlineLevel="0" collapsed="false">
      <c r="N1765" s="83" t="s">
        <v>4149</v>
      </c>
    </row>
    <row r="1766" customFormat="false" ht="15" hidden="false" customHeight="false" outlineLevel="0" collapsed="false">
      <c r="N1766" s="83" t="s">
        <v>4150</v>
      </c>
    </row>
    <row r="1767" customFormat="false" ht="15" hidden="false" customHeight="false" outlineLevel="0" collapsed="false">
      <c r="N1767" s="83" t="s">
        <v>4151</v>
      </c>
    </row>
    <row r="1768" customFormat="false" ht="15" hidden="false" customHeight="false" outlineLevel="0" collapsed="false">
      <c r="N1768" s="83" t="s">
        <v>4152</v>
      </c>
    </row>
    <row r="1769" customFormat="false" ht="15" hidden="false" customHeight="false" outlineLevel="0" collapsed="false">
      <c r="N1769" s="83" t="s">
        <v>4153</v>
      </c>
    </row>
    <row r="1770" customFormat="false" ht="15" hidden="false" customHeight="false" outlineLevel="0" collapsed="false">
      <c r="N1770" s="83" t="s">
        <v>4154</v>
      </c>
    </row>
    <row r="1771" customFormat="false" ht="15" hidden="false" customHeight="false" outlineLevel="0" collapsed="false">
      <c r="N1771" s="83" t="s">
        <v>4155</v>
      </c>
    </row>
    <row r="1772" customFormat="false" ht="15" hidden="false" customHeight="false" outlineLevel="0" collapsed="false">
      <c r="N1772" s="83" t="s">
        <v>4156</v>
      </c>
    </row>
    <row r="1773" customFormat="false" ht="15" hidden="false" customHeight="false" outlineLevel="0" collapsed="false">
      <c r="N1773" s="83" t="s">
        <v>4157</v>
      </c>
    </row>
    <row r="1774" customFormat="false" ht="15" hidden="false" customHeight="false" outlineLevel="0" collapsed="false">
      <c r="N1774" s="83" t="s">
        <v>4158</v>
      </c>
    </row>
    <row r="1775" customFormat="false" ht="15" hidden="false" customHeight="false" outlineLevel="0" collapsed="false">
      <c r="N1775" s="83" t="s">
        <v>4159</v>
      </c>
    </row>
    <row r="1776" customFormat="false" ht="15" hidden="false" customHeight="false" outlineLevel="0" collapsed="false">
      <c r="N1776" s="83" t="s">
        <v>4160</v>
      </c>
    </row>
    <row r="1777" customFormat="false" ht="15" hidden="false" customHeight="false" outlineLevel="0" collapsed="false">
      <c r="N1777" s="83" t="s">
        <v>4161</v>
      </c>
    </row>
    <row r="1778" customFormat="false" ht="15" hidden="false" customHeight="false" outlineLevel="0" collapsed="false">
      <c r="N1778" s="83" t="s">
        <v>4162</v>
      </c>
    </row>
    <row r="1779" customFormat="false" ht="15" hidden="false" customHeight="false" outlineLevel="0" collapsed="false">
      <c r="N1779" s="83" t="s">
        <v>4163</v>
      </c>
    </row>
    <row r="1780" customFormat="false" ht="15" hidden="false" customHeight="false" outlineLevel="0" collapsed="false">
      <c r="N1780" s="83" t="s">
        <v>4164</v>
      </c>
    </row>
    <row r="1781" customFormat="false" ht="15" hidden="false" customHeight="false" outlineLevel="0" collapsed="false">
      <c r="N1781" s="83" t="s">
        <v>4165</v>
      </c>
    </row>
    <row r="1782" customFormat="false" ht="15" hidden="false" customHeight="false" outlineLevel="0" collapsed="false">
      <c r="N1782" s="83" t="s">
        <v>4166</v>
      </c>
    </row>
    <row r="1783" customFormat="false" ht="15" hidden="false" customHeight="false" outlineLevel="0" collapsed="false">
      <c r="N1783" s="83" t="s">
        <v>4167</v>
      </c>
    </row>
    <row r="1784" customFormat="false" ht="15" hidden="false" customHeight="false" outlineLevel="0" collapsed="false">
      <c r="N1784" s="83" t="s">
        <v>4168</v>
      </c>
    </row>
    <row r="1785" customFormat="false" ht="15" hidden="false" customHeight="false" outlineLevel="0" collapsed="false">
      <c r="N1785" s="83" t="s">
        <v>4169</v>
      </c>
    </row>
    <row r="1786" customFormat="false" ht="15" hidden="false" customHeight="false" outlineLevel="0" collapsed="false">
      <c r="N1786" s="83" t="s">
        <v>4170</v>
      </c>
    </row>
    <row r="1787" customFormat="false" ht="15" hidden="false" customHeight="false" outlineLevel="0" collapsed="false">
      <c r="N1787" s="83" t="s">
        <v>4171</v>
      </c>
    </row>
    <row r="1788" customFormat="false" ht="15" hidden="false" customHeight="false" outlineLevel="0" collapsed="false">
      <c r="N1788" s="83" t="s">
        <v>4172</v>
      </c>
    </row>
    <row r="1789" customFormat="false" ht="15" hidden="false" customHeight="false" outlineLevel="0" collapsed="false">
      <c r="N1789" s="83" t="s">
        <v>4173</v>
      </c>
    </row>
    <row r="1790" customFormat="false" ht="15" hidden="false" customHeight="false" outlineLevel="0" collapsed="false">
      <c r="N1790" s="83" t="s">
        <v>4174</v>
      </c>
    </row>
    <row r="1791" customFormat="false" ht="15" hidden="false" customHeight="false" outlineLevel="0" collapsed="false">
      <c r="N1791" s="83" t="s">
        <v>4175</v>
      </c>
    </row>
    <row r="1792" customFormat="false" ht="15" hidden="false" customHeight="false" outlineLevel="0" collapsed="false">
      <c r="N1792" s="83" t="s">
        <v>4176</v>
      </c>
    </row>
    <row r="1793" customFormat="false" ht="15" hidden="false" customHeight="false" outlineLevel="0" collapsed="false">
      <c r="N1793" s="83" t="s">
        <v>4177</v>
      </c>
    </row>
    <row r="1794" customFormat="false" ht="15" hidden="false" customHeight="false" outlineLevel="0" collapsed="false">
      <c r="N1794" s="83" t="s">
        <v>4178</v>
      </c>
    </row>
    <row r="1795" customFormat="false" ht="15" hidden="false" customHeight="false" outlineLevel="0" collapsed="false">
      <c r="N1795" s="83" t="s">
        <v>4179</v>
      </c>
    </row>
    <row r="1796" customFormat="false" ht="15" hidden="false" customHeight="false" outlineLevel="0" collapsed="false">
      <c r="N1796" s="83" t="s">
        <v>4180</v>
      </c>
    </row>
    <row r="1797" customFormat="false" ht="15" hidden="false" customHeight="false" outlineLevel="0" collapsed="false">
      <c r="N1797" s="83" t="s">
        <v>4181</v>
      </c>
    </row>
    <row r="1798" customFormat="false" ht="15" hidden="false" customHeight="false" outlineLevel="0" collapsed="false">
      <c r="N1798" s="83" t="s">
        <v>4182</v>
      </c>
    </row>
    <row r="1799" customFormat="false" ht="15" hidden="false" customHeight="false" outlineLevel="0" collapsed="false">
      <c r="N1799" s="83" t="s">
        <v>4183</v>
      </c>
    </row>
    <row r="1800" customFormat="false" ht="15" hidden="false" customHeight="false" outlineLevel="0" collapsed="false">
      <c r="N1800" s="83" t="s">
        <v>4184</v>
      </c>
    </row>
    <row r="1801" customFormat="false" ht="15" hidden="false" customHeight="false" outlineLevel="0" collapsed="false">
      <c r="N1801" s="83" t="s">
        <v>4185</v>
      </c>
    </row>
    <row r="1802" customFormat="false" ht="15" hidden="false" customHeight="false" outlineLevel="0" collapsed="false">
      <c r="N1802" s="83" t="s">
        <v>4186</v>
      </c>
    </row>
    <row r="1803" customFormat="false" ht="15" hidden="false" customHeight="false" outlineLevel="0" collapsed="false">
      <c r="N1803" s="83" t="s">
        <v>4187</v>
      </c>
    </row>
    <row r="1804" customFormat="false" ht="15" hidden="false" customHeight="false" outlineLevel="0" collapsed="false">
      <c r="N1804" s="83" t="s">
        <v>4188</v>
      </c>
    </row>
    <row r="1805" customFormat="false" ht="15" hidden="false" customHeight="false" outlineLevel="0" collapsed="false">
      <c r="N1805" s="83" t="s">
        <v>4189</v>
      </c>
    </row>
    <row r="1806" customFormat="false" ht="15" hidden="false" customHeight="false" outlineLevel="0" collapsed="false">
      <c r="N1806" s="83" t="s">
        <v>4190</v>
      </c>
    </row>
    <row r="1807" customFormat="false" ht="15" hidden="false" customHeight="false" outlineLevel="0" collapsed="false">
      <c r="N1807" s="83" t="s">
        <v>2100</v>
      </c>
    </row>
    <row r="1808" customFormat="false" ht="15" hidden="false" customHeight="false" outlineLevel="0" collapsed="false">
      <c r="N1808" s="83" t="s">
        <v>4191</v>
      </c>
    </row>
    <row r="1809" customFormat="false" ht="15" hidden="false" customHeight="false" outlineLevel="0" collapsed="false">
      <c r="N1809" s="83" t="s">
        <v>4192</v>
      </c>
    </row>
    <row r="1810" customFormat="false" ht="15" hidden="false" customHeight="false" outlineLevel="0" collapsed="false">
      <c r="N1810" s="83" t="s">
        <v>4193</v>
      </c>
    </row>
    <row r="1811" customFormat="false" ht="15" hidden="false" customHeight="false" outlineLevel="0" collapsed="false">
      <c r="N1811" s="83" t="s">
        <v>4194</v>
      </c>
    </row>
    <row r="1812" customFormat="false" ht="15" hidden="false" customHeight="false" outlineLevel="0" collapsed="false">
      <c r="N1812" s="83" t="s">
        <v>2107</v>
      </c>
    </row>
    <row r="1813" customFormat="false" ht="15" hidden="false" customHeight="false" outlineLevel="0" collapsed="false">
      <c r="N1813" s="83" t="s">
        <v>2115</v>
      </c>
    </row>
    <row r="1814" customFormat="false" ht="15" hidden="false" customHeight="false" outlineLevel="0" collapsed="false">
      <c r="N1814" s="83" t="s">
        <v>4195</v>
      </c>
    </row>
    <row r="1815" customFormat="false" ht="15" hidden="false" customHeight="false" outlineLevel="0" collapsed="false">
      <c r="N1815" s="83" t="s">
        <v>4196</v>
      </c>
    </row>
    <row r="1816" customFormat="false" ht="15" hidden="false" customHeight="false" outlineLevel="0" collapsed="false">
      <c r="N1816" s="83" t="s">
        <v>4197</v>
      </c>
    </row>
    <row r="1817" customFormat="false" ht="15" hidden="false" customHeight="false" outlineLevel="0" collapsed="false">
      <c r="N1817" s="83" t="s">
        <v>4198</v>
      </c>
    </row>
    <row r="1818" customFormat="false" ht="15" hidden="false" customHeight="false" outlineLevel="0" collapsed="false">
      <c r="N1818" s="83" t="s">
        <v>4199</v>
      </c>
    </row>
    <row r="1819" customFormat="false" ht="15" hidden="false" customHeight="false" outlineLevel="0" collapsed="false">
      <c r="N1819" s="83" t="s">
        <v>4200</v>
      </c>
    </row>
    <row r="1820" customFormat="false" ht="15" hidden="false" customHeight="false" outlineLevel="0" collapsed="false">
      <c r="N1820" s="83" t="s">
        <v>4201</v>
      </c>
    </row>
    <row r="1821" customFormat="false" ht="15" hidden="false" customHeight="false" outlineLevel="0" collapsed="false">
      <c r="N1821" s="83" t="s">
        <v>4202</v>
      </c>
    </row>
    <row r="1822" customFormat="false" ht="15" hidden="false" customHeight="false" outlineLevel="0" collapsed="false">
      <c r="N1822" s="83" t="s">
        <v>4203</v>
      </c>
    </row>
    <row r="1823" customFormat="false" ht="15" hidden="false" customHeight="false" outlineLevel="0" collapsed="false">
      <c r="N1823" s="83" t="s">
        <v>4204</v>
      </c>
    </row>
    <row r="1824" customFormat="false" ht="15" hidden="false" customHeight="false" outlineLevel="0" collapsed="false">
      <c r="N1824" s="83" t="s">
        <v>4205</v>
      </c>
    </row>
    <row r="1825" customFormat="false" ht="15" hidden="false" customHeight="false" outlineLevel="0" collapsed="false">
      <c r="N1825" s="83" t="s">
        <v>4206</v>
      </c>
    </row>
    <row r="1826" customFormat="false" ht="15" hidden="false" customHeight="false" outlineLevel="0" collapsed="false">
      <c r="N1826" s="83" t="s">
        <v>4207</v>
      </c>
    </row>
    <row r="1827" customFormat="false" ht="15" hidden="false" customHeight="false" outlineLevel="0" collapsed="false">
      <c r="N1827" s="83" t="s">
        <v>4208</v>
      </c>
    </row>
    <row r="1828" customFormat="false" ht="15" hidden="false" customHeight="false" outlineLevel="0" collapsed="false">
      <c r="N1828" s="83" t="s">
        <v>4209</v>
      </c>
    </row>
    <row r="1829" customFormat="false" ht="15" hidden="false" customHeight="false" outlineLevel="0" collapsed="false">
      <c r="N1829" s="83" t="s">
        <v>4210</v>
      </c>
    </row>
    <row r="1830" customFormat="false" ht="15" hidden="false" customHeight="false" outlineLevel="0" collapsed="false">
      <c r="N1830" s="83" t="s">
        <v>4211</v>
      </c>
    </row>
    <row r="1831" customFormat="false" ht="15" hidden="false" customHeight="false" outlineLevel="0" collapsed="false">
      <c r="N1831" s="83" t="s">
        <v>4212</v>
      </c>
    </row>
    <row r="1832" customFormat="false" ht="15" hidden="false" customHeight="false" outlineLevel="0" collapsed="false">
      <c r="N1832" s="83" t="s">
        <v>4213</v>
      </c>
    </row>
    <row r="1833" customFormat="false" ht="15" hidden="false" customHeight="false" outlineLevel="0" collapsed="false">
      <c r="N1833" s="83" t="s">
        <v>4214</v>
      </c>
    </row>
    <row r="1834" customFormat="false" ht="15" hidden="false" customHeight="false" outlineLevel="0" collapsed="false">
      <c r="N1834" s="83" t="s">
        <v>4215</v>
      </c>
    </row>
    <row r="1835" customFormat="false" ht="15" hidden="false" customHeight="false" outlineLevel="0" collapsed="false">
      <c r="N1835" s="83" t="s">
        <v>4216</v>
      </c>
    </row>
    <row r="1836" customFormat="false" ht="15" hidden="false" customHeight="false" outlineLevel="0" collapsed="false">
      <c r="N1836" s="83" t="s">
        <v>4217</v>
      </c>
    </row>
    <row r="1837" customFormat="false" ht="15" hidden="false" customHeight="false" outlineLevel="0" collapsed="false">
      <c r="N1837" s="83" t="s">
        <v>4218</v>
      </c>
    </row>
    <row r="1838" customFormat="false" ht="15" hidden="false" customHeight="false" outlineLevel="0" collapsed="false">
      <c r="N1838" s="83" t="s">
        <v>4219</v>
      </c>
    </row>
    <row r="1839" customFormat="false" ht="15" hidden="false" customHeight="false" outlineLevel="0" collapsed="false">
      <c r="N1839" s="83" t="s">
        <v>4220</v>
      </c>
    </row>
    <row r="1840" customFormat="false" ht="15" hidden="false" customHeight="false" outlineLevel="0" collapsed="false">
      <c r="N1840" s="83" t="s">
        <v>4221</v>
      </c>
    </row>
    <row r="1841" customFormat="false" ht="15" hidden="false" customHeight="false" outlineLevel="0" collapsed="false">
      <c r="N1841" s="83" t="s">
        <v>4222</v>
      </c>
    </row>
    <row r="1842" customFormat="false" ht="15" hidden="false" customHeight="false" outlineLevel="0" collapsed="false">
      <c r="N1842" s="83" t="s">
        <v>4223</v>
      </c>
    </row>
    <row r="1843" customFormat="false" ht="15" hidden="false" customHeight="false" outlineLevel="0" collapsed="false">
      <c r="N1843" s="83" t="s">
        <v>4224</v>
      </c>
    </row>
    <row r="1844" customFormat="false" ht="15" hidden="false" customHeight="false" outlineLevel="0" collapsed="false">
      <c r="N1844" s="83" t="s">
        <v>4225</v>
      </c>
    </row>
    <row r="1845" customFormat="false" ht="15" hidden="false" customHeight="false" outlineLevel="0" collapsed="false">
      <c r="N1845" s="83" t="s">
        <v>4226</v>
      </c>
    </row>
    <row r="1846" customFormat="false" ht="15" hidden="false" customHeight="false" outlineLevel="0" collapsed="false">
      <c r="N1846" s="83" t="s">
        <v>4227</v>
      </c>
    </row>
    <row r="1847" customFormat="false" ht="15" hidden="false" customHeight="false" outlineLevel="0" collapsed="false">
      <c r="N1847" s="83" t="s">
        <v>4228</v>
      </c>
    </row>
    <row r="1848" customFormat="false" ht="15" hidden="false" customHeight="false" outlineLevel="0" collapsed="false">
      <c r="N1848" s="83" t="s">
        <v>4229</v>
      </c>
    </row>
    <row r="1849" customFormat="false" ht="15" hidden="false" customHeight="false" outlineLevel="0" collapsed="false">
      <c r="N1849" s="83" t="s">
        <v>4230</v>
      </c>
    </row>
    <row r="1850" customFormat="false" ht="15" hidden="false" customHeight="false" outlineLevel="0" collapsed="false">
      <c r="N1850" s="83" t="s">
        <v>4231</v>
      </c>
    </row>
    <row r="1851" customFormat="false" ht="15" hidden="false" customHeight="false" outlineLevel="0" collapsed="false">
      <c r="N1851" s="83" t="s">
        <v>4232</v>
      </c>
    </row>
    <row r="1852" customFormat="false" ht="15" hidden="false" customHeight="false" outlineLevel="0" collapsed="false">
      <c r="N1852" s="83" t="s">
        <v>4233</v>
      </c>
    </row>
    <row r="1853" customFormat="false" ht="15" hidden="false" customHeight="false" outlineLevel="0" collapsed="false">
      <c r="N1853" s="83" t="s">
        <v>4234</v>
      </c>
    </row>
    <row r="1854" customFormat="false" ht="15" hidden="false" customHeight="false" outlineLevel="0" collapsed="false">
      <c r="N1854" s="83" t="s">
        <v>4235</v>
      </c>
    </row>
    <row r="1855" customFormat="false" ht="15" hidden="false" customHeight="false" outlineLevel="0" collapsed="false">
      <c r="N1855" s="83" t="s">
        <v>4236</v>
      </c>
    </row>
    <row r="1856" customFormat="false" ht="15" hidden="false" customHeight="false" outlineLevel="0" collapsed="false">
      <c r="N1856" s="83" t="s">
        <v>4237</v>
      </c>
    </row>
    <row r="1857" customFormat="false" ht="15" hidden="false" customHeight="false" outlineLevel="0" collapsed="false">
      <c r="N1857" s="83" t="s">
        <v>4238</v>
      </c>
    </row>
    <row r="1858" customFormat="false" ht="15" hidden="false" customHeight="false" outlineLevel="0" collapsed="false">
      <c r="N1858" s="83" t="s">
        <v>4239</v>
      </c>
    </row>
    <row r="1859" customFormat="false" ht="15" hidden="false" customHeight="false" outlineLevel="0" collapsed="false">
      <c r="N1859" s="83" t="s">
        <v>4240</v>
      </c>
    </row>
    <row r="1860" customFormat="false" ht="15" hidden="false" customHeight="false" outlineLevel="0" collapsed="false">
      <c r="N1860" s="83" t="s">
        <v>4241</v>
      </c>
    </row>
    <row r="1861" customFormat="false" ht="15" hidden="false" customHeight="false" outlineLevel="0" collapsed="false">
      <c r="N1861" s="83" t="s">
        <v>4242</v>
      </c>
    </row>
    <row r="1862" customFormat="false" ht="15" hidden="false" customHeight="false" outlineLevel="0" collapsed="false">
      <c r="N1862" s="83" t="s">
        <v>4243</v>
      </c>
    </row>
    <row r="1863" customFormat="false" ht="15" hidden="false" customHeight="false" outlineLevel="0" collapsed="false">
      <c r="N1863" s="83" t="s">
        <v>4244</v>
      </c>
    </row>
    <row r="1864" customFormat="false" ht="15" hidden="false" customHeight="false" outlineLevel="0" collapsed="false">
      <c r="N1864" s="83" t="s">
        <v>4245</v>
      </c>
    </row>
    <row r="1865" customFormat="false" ht="15" hidden="false" customHeight="false" outlineLevel="0" collapsed="false">
      <c r="N1865" s="83" t="s">
        <v>4246</v>
      </c>
    </row>
    <row r="1866" customFormat="false" ht="15" hidden="false" customHeight="false" outlineLevel="0" collapsed="false">
      <c r="N1866" s="83" t="s">
        <v>4247</v>
      </c>
    </row>
    <row r="1867" customFormat="false" ht="15" hidden="false" customHeight="false" outlineLevel="0" collapsed="false">
      <c r="N1867" s="83" t="s">
        <v>4248</v>
      </c>
    </row>
    <row r="1868" customFormat="false" ht="15" hidden="false" customHeight="false" outlineLevel="0" collapsed="false">
      <c r="N1868" s="83" t="s">
        <v>4249</v>
      </c>
    </row>
    <row r="1869" customFormat="false" ht="15" hidden="false" customHeight="false" outlineLevel="0" collapsed="false">
      <c r="N1869" s="83" t="s">
        <v>4250</v>
      </c>
    </row>
    <row r="1870" customFormat="false" ht="15" hidden="false" customHeight="false" outlineLevel="0" collapsed="false">
      <c r="N1870" s="83" t="s">
        <v>4251</v>
      </c>
    </row>
    <row r="1871" customFormat="false" ht="15" hidden="false" customHeight="false" outlineLevel="0" collapsed="false">
      <c r="N1871" s="83" t="s">
        <v>4252</v>
      </c>
    </row>
    <row r="1872" customFormat="false" ht="15" hidden="false" customHeight="false" outlineLevel="0" collapsed="false">
      <c r="N1872" s="83" t="s">
        <v>2123</v>
      </c>
    </row>
    <row r="1873" customFormat="false" ht="15" hidden="false" customHeight="false" outlineLevel="0" collapsed="false">
      <c r="N1873" s="83" t="s">
        <v>4253</v>
      </c>
    </row>
    <row r="1874" customFormat="false" ht="15" hidden="false" customHeight="false" outlineLevel="0" collapsed="false">
      <c r="N1874" s="83" t="s">
        <v>4254</v>
      </c>
    </row>
    <row r="1875" customFormat="false" ht="15" hidden="false" customHeight="false" outlineLevel="0" collapsed="false">
      <c r="N1875" s="83" t="s">
        <v>4255</v>
      </c>
    </row>
    <row r="1876" customFormat="false" ht="15" hidden="false" customHeight="false" outlineLevel="0" collapsed="false">
      <c r="N1876" s="83" t="s">
        <v>4256</v>
      </c>
    </row>
    <row r="1877" customFormat="false" ht="15" hidden="false" customHeight="false" outlineLevel="0" collapsed="false">
      <c r="N1877" s="83" t="s">
        <v>2131</v>
      </c>
    </row>
    <row r="1878" customFormat="false" ht="15" hidden="false" customHeight="false" outlineLevel="0" collapsed="false">
      <c r="N1878" s="83" t="s">
        <v>2139</v>
      </c>
    </row>
    <row r="1879" customFormat="false" ht="15" hidden="false" customHeight="false" outlineLevel="0" collapsed="false">
      <c r="N1879" s="83" t="s">
        <v>4257</v>
      </c>
    </row>
    <row r="1880" customFormat="false" ht="15" hidden="false" customHeight="false" outlineLevel="0" collapsed="false">
      <c r="N1880" s="83" t="s">
        <v>4258</v>
      </c>
    </row>
    <row r="1881" customFormat="false" ht="15" hidden="false" customHeight="false" outlineLevel="0" collapsed="false">
      <c r="N1881" s="83" t="s">
        <v>4259</v>
      </c>
    </row>
    <row r="1882" customFormat="false" ht="15" hidden="false" customHeight="false" outlineLevel="0" collapsed="false">
      <c r="N1882" s="83" t="s">
        <v>4260</v>
      </c>
    </row>
    <row r="1883" customFormat="false" ht="15" hidden="false" customHeight="false" outlineLevel="0" collapsed="false">
      <c r="N1883" s="83" t="s">
        <v>4261</v>
      </c>
    </row>
    <row r="1884" customFormat="false" ht="15" hidden="false" customHeight="false" outlineLevel="0" collapsed="false">
      <c r="N1884" s="83" t="s">
        <v>4262</v>
      </c>
    </row>
    <row r="1885" customFormat="false" ht="15" hidden="false" customHeight="false" outlineLevel="0" collapsed="false">
      <c r="N1885" s="83" t="s">
        <v>4263</v>
      </c>
    </row>
    <row r="1886" customFormat="false" ht="15" hidden="false" customHeight="false" outlineLevel="0" collapsed="false">
      <c r="N1886" s="83" t="s">
        <v>4264</v>
      </c>
    </row>
    <row r="1887" customFormat="false" ht="15" hidden="false" customHeight="false" outlineLevel="0" collapsed="false">
      <c r="N1887" s="83" t="s">
        <v>4265</v>
      </c>
    </row>
    <row r="1888" customFormat="false" ht="15" hidden="false" customHeight="false" outlineLevel="0" collapsed="false">
      <c r="N1888" s="83" t="s">
        <v>4266</v>
      </c>
    </row>
    <row r="1889" customFormat="false" ht="15" hidden="false" customHeight="false" outlineLevel="0" collapsed="false">
      <c r="N1889" s="83" t="s">
        <v>4267</v>
      </c>
    </row>
    <row r="1890" customFormat="false" ht="15" hidden="false" customHeight="false" outlineLevel="0" collapsed="false">
      <c r="N1890" s="83" t="s">
        <v>4268</v>
      </c>
    </row>
    <row r="1891" customFormat="false" ht="15" hidden="false" customHeight="false" outlineLevel="0" collapsed="false">
      <c r="N1891" s="83" t="s">
        <v>4269</v>
      </c>
    </row>
    <row r="1892" customFormat="false" ht="15" hidden="false" customHeight="false" outlineLevel="0" collapsed="false">
      <c r="N1892" s="83" t="s">
        <v>4270</v>
      </c>
    </row>
    <row r="1893" customFormat="false" ht="15" hidden="false" customHeight="false" outlineLevel="0" collapsed="false">
      <c r="N1893" s="83" t="s">
        <v>4271</v>
      </c>
    </row>
    <row r="1894" customFormat="false" ht="15" hidden="false" customHeight="false" outlineLevel="0" collapsed="false">
      <c r="N1894" s="83" t="s">
        <v>4272</v>
      </c>
    </row>
    <row r="1895" customFormat="false" ht="15" hidden="false" customHeight="false" outlineLevel="0" collapsed="false">
      <c r="N1895" s="83" t="s">
        <v>4273</v>
      </c>
    </row>
    <row r="1896" customFormat="false" ht="15" hidden="false" customHeight="false" outlineLevel="0" collapsed="false">
      <c r="N1896" s="83" t="s">
        <v>4274</v>
      </c>
    </row>
    <row r="1897" customFormat="false" ht="15" hidden="false" customHeight="false" outlineLevel="0" collapsed="false">
      <c r="N1897" s="83" t="s">
        <v>4275</v>
      </c>
    </row>
    <row r="1898" customFormat="false" ht="15" hidden="false" customHeight="false" outlineLevel="0" collapsed="false">
      <c r="N1898" s="83" t="s">
        <v>4276</v>
      </c>
    </row>
    <row r="1899" customFormat="false" ht="15" hidden="false" customHeight="false" outlineLevel="0" collapsed="false">
      <c r="N1899" s="83" t="s">
        <v>4277</v>
      </c>
    </row>
    <row r="1900" customFormat="false" ht="15" hidden="false" customHeight="false" outlineLevel="0" collapsed="false">
      <c r="N1900" s="83" t="s">
        <v>4278</v>
      </c>
    </row>
    <row r="1901" customFormat="false" ht="15" hidden="false" customHeight="false" outlineLevel="0" collapsed="false">
      <c r="N1901" s="83" t="s">
        <v>4279</v>
      </c>
    </row>
    <row r="1902" customFormat="false" ht="15" hidden="false" customHeight="false" outlineLevel="0" collapsed="false">
      <c r="N1902" s="83" t="s">
        <v>4280</v>
      </c>
    </row>
    <row r="1903" customFormat="false" ht="15" hidden="false" customHeight="false" outlineLevel="0" collapsed="false">
      <c r="N1903" s="83" t="s">
        <v>4281</v>
      </c>
    </row>
    <row r="1904" customFormat="false" ht="15" hidden="false" customHeight="false" outlineLevel="0" collapsed="false">
      <c r="N1904" s="83" t="s">
        <v>4282</v>
      </c>
    </row>
    <row r="1905" customFormat="false" ht="15" hidden="false" customHeight="false" outlineLevel="0" collapsed="false">
      <c r="N1905" s="83" t="s">
        <v>4283</v>
      </c>
    </row>
    <row r="1906" customFormat="false" ht="15" hidden="false" customHeight="false" outlineLevel="0" collapsed="false">
      <c r="N1906" s="83" t="s">
        <v>4284</v>
      </c>
    </row>
    <row r="1907" customFormat="false" ht="15" hidden="false" customHeight="false" outlineLevel="0" collapsed="false">
      <c r="N1907" s="83" t="s">
        <v>4285</v>
      </c>
    </row>
    <row r="1908" customFormat="false" ht="15" hidden="false" customHeight="false" outlineLevel="0" collapsed="false">
      <c r="N1908" s="83" t="s">
        <v>4286</v>
      </c>
    </row>
    <row r="1909" customFormat="false" ht="15" hidden="false" customHeight="false" outlineLevel="0" collapsed="false">
      <c r="N1909" s="83" t="s">
        <v>4287</v>
      </c>
    </row>
    <row r="1910" customFormat="false" ht="15" hidden="false" customHeight="false" outlineLevel="0" collapsed="false">
      <c r="N1910" s="83" t="s">
        <v>4288</v>
      </c>
    </row>
    <row r="1911" customFormat="false" ht="15" hidden="false" customHeight="false" outlineLevel="0" collapsed="false">
      <c r="N1911" s="83" t="s">
        <v>4289</v>
      </c>
    </row>
    <row r="1912" customFormat="false" ht="15" hidden="false" customHeight="false" outlineLevel="0" collapsed="false">
      <c r="N1912" s="83" t="s">
        <v>4290</v>
      </c>
    </row>
    <row r="1913" customFormat="false" ht="15" hidden="false" customHeight="false" outlineLevel="0" collapsed="false">
      <c r="N1913" s="83" t="s">
        <v>4291</v>
      </c>
    </row>
    <row r="1914" customFormat="false" ht="15" hidden="false" customHeight="false" outlineLevel="0" collapsed="false">
      <c r="N1914" s="83" t="s">
        <v>4292</v>
      </c>
    </row>
    <row r="1915" customFormat="false" ht="15" hidden="false" customHeight="false" outlineLevel="0" collapsed="false">
      <c r="N1915" s="83" t="s">
        <v>4293</v>
      </c>
    </row>
    <row r="1916" customFormat="false" ht="15" hidden="false" customHeight="false" outlineLevel="0" collapsed="false">
      <c r="N1916" s="83" t="s">
        <v>4294</v>
      </c>
    </row>
    <row r="1917" customFormat="false" ht="15" hidden="false" customHeight="false" outlineLevel="0" collapsed="false">
      <c r="N1917" s="83" t="s">
        <v>4295</v>
      </c>
    </row>
    <row r="1918" customFormat="false" ht="15" hidden="false" customHeight="false" outlineLevel="0" collapsed="false">
      <c r="N1918" s="83" t="s">
        <v>4296</v>
      </c>
    </row>
    <row r="1919" customFormat="false" ht="15" hidden="false" customHeight="false" outlineLevel="0" collapsed="false">
      <c r="N1919" s="83" t="s">
        <v>4297</v>
      </c>
    </row>
    <row r="1920" customFormat="false" ht="15" hidden="false" customHeight="false" outlineLevel="0" collapsed="false">
      <c r="N1920" s="83" t="s">
        <v>4298</v>
      </c>
    </row>
    <row r="1921" customFormat="false" ht="15" hidden="false" customHeight="false" outlineLevel="0" collapsed="false">
      <c r="N1921" s="83" t="s">
        <v>4299</v>
      </c>
    </row>
    <row r="1922" customFormat="false" ht="15" hidden="false" customHeight="false" outlineLevel="0" collapsed="false">
      <c r="N1922" s="83" t="s">
        <v>4300</v>
      </c>
    </row>
    <row r="1923" customFormat="false" ht="15" hidden="false" customHeight="false" outlineLevel="0" collapsed="false">
      <c r="N1923" s="83" t="s">
        <v>4301</v>
      </c>
    </row>
    <row r="1924" customFormat="false" ht="15" hidden="false" customHeight="false" outlineLevel="0" collapsed="false">
      <c r="N1924" s="83" t="s">
        <v>4302</v>
      </c>
    </row>
    <row r="1925" customFormat="false" ht="15" hidden="false" customHeight="false" outlineLevel="0" collapsed="false">
      <c r="N1925" s="83" t="s">
        <v>4303</v>
      </c>
    </row>
    <row r="1926" customFormat="false" ht="15" hidden="false" customHeight="false" outlineLevel="0" collapsed="false">
      <c r="N1926" s="83" t="s">
        <v>4304</v>
      </c>
    </row>
    <row r="1927" customFormat="false" ht="15" hidden="false" customHeight="false" outlineLevel="0" collapsed="false">
      <c r="N1927" s="83" t="s">
        <v>4305</v>
      </c>
    </row>
    <row r="1928" customFormat="false" ht="15" hidden="false" customHeight="false" outlineLevel="0" collapsed="false">
      <c r="N1928" s="83" t="s">
        <v>4306</v>
      </c>
    </row>
    <row r="1929" customFormat="false" ht="15" hidden="false" customHeight="false" outlineLevel="0" collapsed="false">
      <c r="N1929" s="83" t="s">
        <v>4307</v>
      </c>
    </row>
    <row r="1930" customFormat="false" ht="15" hidden="false" customHeight="false" outlineLevel="0" collapsed="false">
      <c r="N1930" s="83" t="s">
        <v>4308</v>
      </c>
    </row>
    <row r="1931" customFormat="false" ht="15" hidden="false" customHeight="false" outlineLevel="0" collapsed="false">
      <c r="N1931" s="83" t="s">
        <v>4309</v>
      </c>
    </row>
    <row r="1932" customFormat="false" ht="15" hidden="false" customHeight="false" outlineLevel="0" collapsed="false">
      <c r="N1932" s="83" t="s">
        <v>4310</v>
      </c>
    </row>
    <row r="1933" customFormat="false" ht="15" hidden="false" customHeight="false" outlineLevel="0" collapsed="false">
      <c r="N1933" s="83" t="s">
        <v>4311</v>
      </c>
    </row>
    <row r="1934" customFormat="false" ht="15" hidden="false" customHeight="false" outlineLevel="0" collapsed="false">
      <c r="N1934" s="83" t="s">
        <v>4312</v>
      </c>
    </row>
    <row r="1935" customFormat="false" ht="15" hidden="false" customHeight="false" outlineLevel="0" collapsed="false">
      <c r="N1935" s="83" t="s">
        <v>4313</v>
      </c>
    </row>
    <row r="1936" customFormat="false" ht="15" hidden="false" customHeight="false" outlineLevel="0" collapsed="false">
      <c r="N1936" s="83" t="s">
        <v>4314</v>
      </c>
    </row>
    <row r="1937" customFormat="false" ht="15" hidden="false" customHeight="false" outlineLevel="0" collapsed="false">
      <c r="N1937" s="83" t="s">
        <v>4315</v>
      </c>
    </row>
    <row r="1938" customFormat="false" ht="15" hidden="false" customHeight="false" outlineLevel="0" collapsed="false">
      <c r="N1938" s="83" t="s">
        <v>4316</v>
      </c>
    </row>
    <row r="1939" customFormat="false" ht="15" hidden="false" customHeight="false" outlineLevel="0" collapsed="false">
      <c r="N1939" s="83" t="s">
        <v>4317</v>
      </c>
    </row>
    <row r="1940" customFormat="false" ht="15" hidden="false" customHeight="false" outlineLevel="0" collapsed="false">
      <c r="N1940" s="83" t="s">
        <v>4318</v>
      </c>
    </row>
    <row r="1941" customFormat="false" ht="15" hidden="false" customHeight="false" outlineLevel="0" collapsed="false">
      <c r="N1941" s="83" t="s">
        <v>4319</v>
      </c>
    </row>
    <row r="1942" customFormat="false" ht="15" hidden="false" customHeight="false" outlineLevel="0" collapsed="false">
      <c r="N1942" s="83" t="s">
        <v>4320</v>
      </c>
    </row>
    <row r="1943" customFormat="false" ht="15" hidden="false" customHeight="false" outlineLevel="0" collapsed="false">
      <c r="N1943" s="83" t="s">
        <v>4321</v>
      </c>
    </row>
    <row r="1944" customFormat="false" ht="15" hidden="false" customHeight="false" outlineLevel="0" collapsed="false">
      <c r="N1944" s="83" t="s">
        <v>4322</v>
      </c>
    </row>
    <row r="1945" customFormat="false" ht="15" hidden="false" customHeight="false" outlineLevel="0" collapsed="false">
      <c r="N1945" s="83" t="s">
        <v>4323</v>
      </c>
    </row>
    <row r="1946" customFormat="false" ht="15" hidden="false" customHeight="false" outlineLevel="0" collapsed="false">
      <c r="N1946" s="83" t="s">
        <v>4324</v>
      </c>
    </row>
    <row r="1947" customFormat="false" ht="15" hidden="false" customHeight="false" outlineLevel="0" collapsed="false">
      <c r="N1947" s="83" t="s">
        <v>4325</v>
      </c>
    </row>
    <row r="1948" customFormat="false" ht="15" hidden="false" customHeight="false" outlineLevel="0" collapsed="false">
      <c r="N1948" s="83" t="s">
        <v>4326</v>
      </c>
    </row>
    <row r="1949" customFormat="false" ht="15" hidden="false" customHeight="false" outlineLevel="0" collapsed="false">
      <c r="N1949" s="83" t="s">
        <v>4327</v>
      </c>
    </row>
    <row r="1950" customFormat="false" ht="15" hidden="false" customHeight="false" outlineLevel="0" collapsed="false">
      <c r="N1950" s="83" t="s">
        <v>4328</v>
      </c>
    </row>
    <row r="1951" customFormat="false" ht="15" hidden="false" customHeight="false" outlineLevel="0" collapsed="false">
      <c r="N1951" s="83" t="s">
        <v>4329</v>
      </c>
    </row>
    <row r="1952" customFormat="false" ht="15" hidden="false" customHeight="false" outlineLevel="0" collapsed="false">
      <c r="N1952" s="83" t="s">
        <v>4330</v>
      </c>
    </row>
    <row r="1953" customFormat="false" ht="15" hidden="false" customHeight="false" outlineLevel="0" collapsed="false">
      <c r="N1953" s="83" t="s">
        <v>4331</v>
      </c>
    </row>
    <row r="1954" customFormat="false" ht="15" hidden="false" customHeight="false" outlineLevel="0" collapsed="false">
      <c r="N1954" s="83" t="s">
        <v>4332</v>
      </c>
    </row>
    <row r="1955" customFormat="false" ht="15" hidden="false" customHeight="false" outlineLevel="0" collapsed="false">
      <c r="N1955" s="83" t="s">
        <v>4333</v>
      </c>
    </row>
    <row r="1956" customFormat="false" ht="15" hidden="false" customHeight="false" outlineLevel="0" collapsed="false">
      <c r="N1956" s="83" t="s">
        <v>4334</v>
      </c>
    </row>
    <row r="1957" customFormat="false" ht="15" hidden="false" customHeight="false" outlineLevel="0" collapsed="false">
      <c r="N1957" s="83" t="s">
        <v>4335</v>
      </c>
    </row>
    <row r="1958" customFormat="false" ht="15" hidden="false" customHeight="false" outlineLevel="0" collapsed="false">
      <c r="N1958" s="83" t="s">
        <v>4336</v>
      </c>
    </row>
    <row r="1959" customFormat="false" ht="15" hidden="false" customHeight="false" outlineLevel="0" collapsed="false">
      <c r="N1959" s="83" t="s">
        <v>4337</v>
      </c>
    </row>
    <row r="1960" customFormat="false" ht="15" hidden="false" customHeight="false" outlineLevel="0" collapsed="false">
      <c r="N1960" s="83" t="s">
        <v>4338</v>
      </c>
    </row>
    <row r="1961" customFormat="false" ht="15" hidden="false" customHeight="false" outlineLevel="0" collapsed="false">
      <c r="N1961" s="83" t="s">
        <v>4339</v>
      </c>
    </row>
    <row r="1962" customFormat="false" ht="15" hidden="false" customHeight="false" outlineLevel="0" collapsed="false">
      <c r="N1962" s="83" t="s">
        <v>4340</v>
      </c>
    </row>
    <row r="1963" customFormat="false" ht="15" hidden="false" customHeight="false" outlineLevel="0" collapsed="false">
      <c r="N1963" s="83" t="s">
        <v>4341</v>
      </c>
    </row>
    <row r="1964" customFormat="false" ht="15" hidden="false" customHeight="false" outlineLevel="0" collapsed="false">
      <c r="N1964" s="83" t="s">
        <v>4342</v>
      </c>
    </row>
    <row r="1965" customFormat="false" ht="15" hidden="false" customHeight="false" outlineLevel="0" collapsed="false">
      <c r="N1965" s="83" t="s">
        <v>4343</v>
      </c>
    </row>
    <row r="1966" customFormat="false" ht="15" hidden="false" customHeight="false" outlineLevel="0" collapsed="false">
      <c r="N1966" s="83" t="s">
        <v>4344</v>
      </c>
    </row>
    <row r="1967" customFormat="false" ht="15" hidden="false" customHeight="false" outlineLevel="0" collapsed="false">
      <c r="N1967" s="83" t="s">
        <v>4345</v>
      </c>
    </row>
    <row r="1968" customFormat="false" ht="15" hidden="false" customHeight="false" outlineLevel="0" collapsed="false">
      <c r="N1968" s="83" t="s">
        <v>4346</v>
      </c>
    </row>
    <row r="1969" customFormat="false" ht="15" hidden="false" customHeight="false" outlineLevel="0" collapsed="false">
      <c r="N1969" s="83" t="s">
        <v>4347</v>
      </c>
    </row>
    <row r="1970" customFormat="false" ht="15" hidden="false" customHeight="false" outlineLevel="0" collapsed="false">
      <c r="N1970" s="83" t="s">
        <v>4348</v>
      </c>
    </row>
    <row r="1971" customFormat="false" ht="15" hidden="false" customHeight="false" outlineLevel="0" collapsed="false">
      <c r="N1971" s="83" t="s">
        <v>4349</v>
      </c>
    </row>
    <row r="1972" customFormat="false" ht="15" hidden="false" customHeight="false" outlineLevel="0" collapsed="false">
      <c r="N1972" s="83" t="s">
        <v>4350</v>
      </c>
    </row>
    <row r="1973" customFormat="false" ht="15" hidden="false" customHeight="false" outlineLevel="0" collapsed="false">
      <c r="N1973" s="83" t="s">
        <v>4351</v>
      </c>
    </row>
    <row r="1974" customFormat="false" ht="15" hidden="false" customHeight="false" outlineLevel="0" collapsed="false">
      <c r="N1974" s="83" t="s">
        <v>4352</v>
      </c>
    </row>
    <row r="1975" customFormat="false" ht="15" hidden="false" customHeight="false" outlineLevel="0" collapsed="false">
      <c r="N1975" s="83" t="s">
        <v>4353</v>
      </c>
    </row>
    <row r="1976" customFormat="false" ht="15" hidden="false" customHeight="false" outlineLevel="0" collapsed="false">
      <c r="N1976" s="83" t="s">
        <v>4354</v>
      </c>
    </row>
    <row r="1977" customFormat="false" ht="15" hidden="false" customHeight="false" outlineLevel="0" collapsed="false">
      <c r="N1977" s="83" t="s">
        <v>4355</v>
      </c>
    </row>
    <row r="1978" customFormat="false" ht="15" hidden="false" customHeight="false" outlineLevel="0" collapsed="false">
      <c r="N1978" s="83" t="s">
        <v>4356</v>
      </c>
    </row>
    <row r="1979" customFormat="false" ht="15" hidden="false" customHeight="false" outlineLevel="0" collapsed="false">
      <c r="N1979" s="83" t="s">
        <v>4357</v>
      </c>
    </row>
    <row r="1980" customFormat="false" ht="15" hidden="false" customHeight="false" outlineLevel="0" collapsed="false">
      <c r="N1980" s="83" t="s">
        <v>4358</v>
      </c>
    </row>
    <row r="1981" customFormat="false" ht="15" hidden="false" customHeight="false" outlineLevel="0" collapsed="false">
      <c r="N1981" s="83" t="s">
        <v>4359</v>
      </c>
    </row>
    <row r="1982" customFormat="false" ht="15" hidden="false" customHeight="false" outlineLevel="0" collapsed="false">
      <c r="N1982" s="83" t="s">
        <v>4360</v>
      </c>
    </row>
    <row r="1983" customFormat="false" ht="15" hidden="false" customHeight="false" outlineLevel="0" collapsed="false">
      <c r="N1983" s="83" t="s">
        <v>4361</v>
      </c>
    </row>
    <row r="1984" customFormat="false" ht="15" hidden="false" customHeight="false" outlineLevel="0" collapsed="false">
      <c r="N1984" s="83" t="s">
        <v>4362</v>
      </c>
    </row>
    <row r="1985" customFormat="false" ht="15" hidden="false" customHeight="false" outlineLevel="0" collapsed="false">
      <c r="N1985" s="83" t="s">
        <v>4363</v>
      </c>
    </row>
    <row r="1986" customFormat="false" ht="15" hidden="false" customHeight="false" outlineLevel="0" collapsed="false">
      <c r="N1986" s="83" t="s">
        <v>2155</v>
      </c>
    </row>
    <row r="1987" customFormat="false" ht="15" hidden="false" customHeight="false" outlineLevel="0" collapsed="false">
      <c r="N1987" s="83" t="s">
        <v>4364</v>
      </c>
    </row>
    <row r="1988" customFormat="false" ht="15" hidden="false" customHeight="false" outlineLevel="0" collapsed="false">
      <c r="N1988" s="83" t="s">
        <v>2163</v>
      </c>
    </row>
    <row r="1989" customFormat="false" ht="15" hidden="false" customHeight="false" outlineLevel="0" collapsed="false">
      <c r="N1989" s="83" t="s">
        <v>4365</v>
      </c>
    </row>
    <row r="1990" customFormat="false" ht="15" hidden="false" customHeight="false" outlineLevel="0" collapsed="false">
      <c r="N1990" s="83" t="s">
        <v>4366</v>
      </c>
    </row>
    <row r="1991" customFormat="false" ht="15" hidden="false" customHeight="false" outlineLevel="0" collapsed="false">
      <c r="N1991" s="83" t="s">
        <v>4367</v>
      </c>
    </row>
    <row r="1992" customFormat="false" ht="15" hidden="false" customHeight="false" outlineLevel="0" collapsed="false">
      <c r="N1992" s="83" t="s">
        <v>2171</v>
      </c>
    </row>
    <row r="1993" customFormat="false" ht="15" hidden="false" customHeight="false" outlineLevel="0" collapsed="false">
      <c r="N1993" s="83" t="s">
        <v>4368</v>
      </c>
    </row>
    <row r="1994" customFormat="false" ht="15" hidden="false" customHeight="false" outlineLevel="0" collapsed="false">
      <c r="N1994" s="83" t="s">
        <v>4369</v>
      </c>
    </row>
    <row r="1995" customFormat="false" ht="15" hidden="false" customHeight="false" outlineLevel="0" collapsed="false">
      <c r="N1995" s="83" t="s">
        <v>4370</v>
      </c>
    </row>
    <row r="1996" customFormat="false" ht="15" hidden="false" customHeight="false" outlineLevel="0" collapsed="false">
      <c r="N1996" s="83" t="s">
        <v>4371</v>
      </c>
    </row>
    <row r="1997" customFormat="false" ht="15" hidden="false" customHeight="false" outlineLevel="0" collapsed="false">
      <c r="N1997" s="83" t="s">
        <v>4372</v>
      </c>
    </row>
    <row r="1998" customFormat="false" ht="15" hidden="false" customHeight="false" outlineLevel="0" collapsed="false">
      <c r="N1998" s="83" t="s">
        <v>4373</v>
      </c>
    </row>
    <row r="1999" customFormat="false" ht="15" hidden="false" customHeight="false" outlineLevel="0" collapsed="false">
      <c r="N1999" s="83" t="s">
        <v>4374</v>
      </c>
    </row>
    <row r="2000" customFormat="false" ht="15" hidden="false" customHeight="false" outlineLevel="0" collapsed="false">
      <c r="N2000" s="83" t="s">
        <v>4375</v>
      </c>
    </row>
    <row r="2001" customFormat="false" ht="15" hidden="false" customHeight="false" outlineLevel="0" collapsed="false">
      <c r="N2001" s="83" t="s">
        <v>4376</v>
      </c>
    </row>
    <row r="2002" customFormat="false" ht="15" hidden="false" customHeight="false" outlineLevel="0" collapsed="false">
      <c r="N2002" s="83" t="s">
        <v>4377</v>
      </c>
    </row>
    <row r="2003" customFormat="false" ht="15" hidden="false" customHeight="false" outlineLevel="0" collapsed="false">
      <c r="N2003" s="83" t="s">
        <v>4378</v>
      </c>
    </row>
    <row r="2004" customFormat="false" ht="15" hidden="false" customHeight="false" outlineLevel="0" collapsed="false">
      <c r="N2004" s="83" t="s">
        <v>4379</v>
      </c>
    </row>
    <row r="2005" customFormat="false" ht="15" hidden="false" customHeight="false" outlineLevel="0" collapsed="false">
      <c r="N2005" s="83" t="s">
        <v>4380</v>
      </c>
    </row>
    <row r="2006" customFormat="false" ht="15" hidden="false" customHeight="false" outlineLevel="0" collapsed="false">
      <c r="N2006" s="83" t="s">
        <v>4381</v>
      </c>
    </row>
    <row r="2007" customFormat="false" ht="15" hidden="false" customHeight="false" outlineLevel="0" collapsed="false">
      <c r="N2007" s="83" t="s">
        <v>4382</v>
      </c>
    </row>
    <row r="2008" customFormat="false" ht="15" hidden="false" customHeight="false" outlineLevel="0" collapsed="false">
      <c r="N2008" s="83" t="s">
        <v>4383</v>
      </c>
    </row>
    <row r="2009" customFormat="false" ht="15" hidden="false" customHeight="false" outlineLevel="0" collapsed="false">
      <c r="N2009" s="83" t="s">
        <v>4384</v>
      </c>
    </row>
    <row r="2010" customFormat="false" ht="15" hidden="false" customHeight="false" outlineLevel="0" collapsed="false">
      <c r="N2010" s="83" t="s">
        <v>4385</v>
      </c>
    </row>
    <row r="2011" customFormat="false" ht="15" hidden="false" customHeight="false" outlineLevel="0" collapsed="false">
      <c r="N2011" s="83" t="s">
        <v>4386</v>
      </c>
    </row>
    <row r="2012" customFormat="false" ht="15" hidden="false" customHeight="false" outlineLevel="0" collapsed="false">
      <c r="N2012" s="83" t="s">
        <v>4387</v>
      </c>
    </row>
    <row r="2013" customFormat="false" ht="15" hidden="false" customHeight="false" outlineLevel="0" collapsed="false">
      <c r="N2013" s="83" t="s">
        <v>4388</v>
      </c>
    </row>
    <row r="2014" customFormat="false" ht="15" hidden="false" customHeight="false" outlineLevel="0" collapsed="false">
      <c r="N2014" s="83" t="s">
        <v>4389</v>
      </c>
    </row>
    <row r="2015" customFormat="false" ht="15" hidden="false" customHeight="false" outlineLevel="0" collapsed="false">
      <c r="N2015" s="83" t="s">
        <v>4390</v>
      </c>
    </row>
    <row r="2016" customFormat="false" ht="15" hidden="false" customHeight="false" outlineLevel="0" collapsed="false">
      <c r="N2016" s="83" t="s">
        <v>4391</v>
      </c>
    </row>
    <row r="2017" customFormat="false" ht="15" hidden="false" customHeight="false" outlineLevel="0" collapsed="false">
      <c r="N2017" s="83" t="s">
        <v>4392</v>
      </c>
    </row>
    <row r="2018" customFormat="false" ht="15" hidden="false" customHeight="false" outlineLevel="0" collapsed="false">
      <c r="N2018" s="83" t="s">
        <v>4393</v>
      </c>
    </row>
    <row r="2019" customFormat="false" ht="15" hidden="false" customHeight="false" outlineLevel="0" collapsed="false">
      <c r="N2019" s="83" t="s">
        <v>4394</v>
      </c>
    </row>
    <row r="2020" customFormat="false" ht="15" hidden="false" customHeight="false" outlineLevel="0" collapsed="false">
      <c r="N2020" s="83" t="s">
        <v>4395</v>
      </c>
    </row>
    <row r="2021" customFormat="false" ht="15" hidden="false" customHeight="false" outlineLevel="0" collapsed="false">
      <c r="N2021" s="83" t="s">
        <v>4396</v>
      </c>
    </row>
    <row r="2022" customFormat="false" ht="15" hidden="false" customHeight="false" outlineLevel="0" collapsed="false">
      <c r="N2022" s="83" t="s">
        <v>4397</v>
      </c>
    </row>
    <row r="2023" customFormat="false" ht="15" hidden="false" customHeight="false" outlineLevel="0" collapsed="false">
      <c r="N2023" s="83" t="s">
        <v>4398</v>
      </c>
    </row>
    <row r="2024" customFormat="false" ht="15" hidden="false" customHeight="false" outlineLevel="0" collapsed="false">
      <c r="N2024" s="83" t="s">
        <v>4399</v>
      </c>
    </row>
    <row r="2025" customFormat="false" ht="15" hidden="false" customHeight="false" outlineLevel="0" collapsed="false">
      <c r="N2025" s="83" t="s">
        <v>4400</v>
      </c>
    </row>
    <row r="2026" customFormat="false" ht="15" hidden="false" customHeight="false" outlineLevel="0" collapsed="false">
      <c r="N2026" s="83" t="s">
        <v>4401</v>
      </c>
    </row>
    <row r="2027" customFormat="false" ht="15" hidden="false" customHeight="false" outlineLevel="0" collapsed="false">
      <c r="N2027" s="83" t="s">
        <v>4402</v>
      </c>
    </row>
    <row r="2028" customFormat="false" ht="15" hidden="false" customHeight="false" outlineLevel="0" collapsed="false">
      <c r="N2028" s="83" t="s">
        <v>4403</v>
      </c>
    </row>
    <row r="2029" customFormat="false" ht="15" hidden="false" customHeight="false" outlineLevel="0" collapsed="false">
      <c r="N2029" s="83" t="s">
        <v>4404</v>
      </c>
    </row>
    <row r="2030" customFormat="false" ht="15" hidden="false" customHeight="false" outlineLevel="0" collapsed="false">
      <c r="N2030" s="83" t="s">
        <v>4405</v>
      </c>
    </row>
    <row r="2031" customFormat="false" ht="15" hidden="false" customHeight="false" outlineLevel="0" collapsed="false">
      <c r="N2031" s="83" t="s">
        <v>4406</v>
      </c>
    </row>
    <row r="2032" customFormat="false" ht="15" hidden="false" customHeight="false" outlineLevel="0" collapsed="false">
      <c r="N2032" s="83" t="s">
        <v>4407</v>
      </c>
    </row>
    <row r="2033" customFormat="false" ht="15" hidden="false" customHeight="false" outlineLevel="0" collapsed="false">
      <c r="N2033" s="83" t="s">
        <v>4408</v>
      </c>
    </row>
    <row r="2034" customFormat="false" ht="15" hidden="false" customHeight="false" outlineLevel="0" collapsed="false">
      <c r="N2034" s="83" t="s">
        <v>4409</v>
      </c>
    </row>
    <row r="2035" customFormat="false" ht="15" hidden="false" customHeight="false" outlineLevel="0" collapsed="false">
      <c r="N2035" s="83" t="s">
        <v>4410</v>
      </c>
    </row>
    <row r="2036" customFormat="false" ht="15" hidden="false" customHeight="false" outlineLevel="0" collapsed="false">
      <c r="N2036" s="83" t="s">
        <v>4411</v>
      </c>
    </row>
    <row r="2037" customFormat="false" ht="15" hidden="false" customHeight="false" outlineLevel="0" collapsed="false">
      <c r="N2037" s="83" t="s">
        <v>4412</v>
      </c>
    </row>
    <row r="2038" customFormat="false" ht="15" hidden="false" customHeight="false" outlineLevel="0" collapsed="false">
      <c r="N2038" s="83" t="s">
        <v>4413</v>
      </c>
    </row>
    <row r="2039" customFormat="false" ht="15" hidden="false" customHeight="false" outlineLevel="0" collapsed="false">
      <c r="N2039" s="83" t="s">
        <v>4414</v>
      </c>
    </row>
    <row r="2040" customFormat="false" ht="15" hidden="false" customHeight="false" outlineLevel="0" collapsed="false">
      <c r="N2040" s="83" t="s">
        <v>4415</v>
      </c>
    </row>
    <row r="2041" customFormat="false" ht="15" hidden="false" customHeight="false" outlineLevel="0" collapsed="false">
      <c r="N2041" s="83" t="s">
        <v>4416</v>
      </c>
    </row>
    <row r="2042" customFormat="false" ht="15" hidden="false" customHeight="false" outlineLevel="0" collapsed="false">
      <c r="N2042" s="83" t="s">
        <v>4417</v>
      </c>
    </row>
    <row r="2043" customFormat="false" ht="15" hidden="false" customHeight="false" outlineLevel="0" collapsed="false">
      <c r="N2043" s="83" t="s">
        <v>4418</v>
      </c>
    </row>
    <row r="2044" customFormat="false" ht="15" hidden="false" customHeight="false" outlineLevel="0" collapsed="false">
      <c r="N2044" s="83" t="s">
        <v>4419</v>
      </c>
    </row>
    <row r="2045" customFormat="false" ht="15" hidden="false" customHeight="false" outlineLevel="0" collapsed="false">
      <c r="N2045" s="83" t="s">
        <v>4420</v>
      </c>
    </row>
    <row r="2046" customFormat="false" ht="15" hidden="false" customHeight="false" outlineLevel="0" collapsed="false">
      <c r="N2046" s="83" t="s">
        <v>4421</v>
      </c>
    </row>
    <row r="2047" customFormat="false" ht="15" hidden="false" customHeight="false" outlineLevel="0" collapsed="false">
      <c r="N2047" s="83" t="s">
        <v>4422</v>
      </c>
    </row>
    <row r="2048" customFormat="false" ht="15" hidden="false" customHeight="false" outlineLevel="0" collapsed="false">
      <c r="N2048" s="83" t="s">
        <v>4423</v>
      </c>
    </row>
    <row r="2049" customFormat="false" ht="15" hidden="false" customHeight="false" outlineLevel="0" collapsed="false">
      <c r="N2049" s="83" t="s">
        <v>4424</v>
      </c>
    </row>
    <row r="2050" customFormat="false" ht="15" hidden="false" customHeight="false" outlineLevel="0" collapsed="false">
      <c r="N2050" s="83" t="s">
        <v>4425</v>
      </c>
    </row>
    <row r="2051" customFormat="false" ht="15" hidden="false" customHeight="false" outlineLevel="0" collapsed="false">
      <c r="N2051" s="83" t="s">
        <v>4426</v>
      </c>
    </row>
    <row r="2052" customFormat="false" ht="15" hidden="false" customHeight="false" outlineLevel="0" collapsed="false">
      <c r="N2052" s="83" t="s">
        <v>4427</v>
      </c>
    </row>
    <row r="2053" customFormat="false" ht="15" hidden="false" customHeight="false" outlineLevel="0" collapsed="false">
      <c r="N2053" s="83" t="s">
        <v>4428</v>
      </c>
    </row>
    <row r="2054" customFormat="false" ht="15" hidden="false" customHeight="false" outlineLevel="0" collapsed="false">
      <c r="N2054" s="83" t="s">
        <v>4429</v>
      </c>
    </row>
    <row r="2055" customFormat="false" ht="15" hidden="false" customHeight="false" outlineLevel="0" collapsed="false">
      <c r="N2055" s="83" t="s">
        <v>4430</v>
      </c>
    </row>
    <row r="2056" customFormat="false" ht="15" hidden="false" customHeight="false" outlineLevel="0" collapsed="false">
      <c r="N2056" s="83" t="s">
        <v>4431</v>
      </c>
    </row>
    <row r="2057" customFormat="false" ht="15" hidden="false" customHeight="false" outlineLevel="0" collapsed="false">
      <c r="N2057" s="83" t="s">
        <v>4432</v>
      </c>
    </row>
    <row r="2058" customFormat="false" ht="15" hidden="false" customHeight="false" outlineLevel="0" collapsed="false">
      <c r="N2058" s="83" t="s">
        <v>4433</v>
      </c>
    </row>
    <row r="2059" customFormat="false" ht="15" hidden="false" customHeight="false" outlineLevel="0" collapsed="false">
      <c r="N2059" s="83" t="s">
        <v>4434</v>
      </c>
    </row>
    <row r="2060" customFormat="false" ht="15" hidden="false" customHeight="false" outlineLevel="0" collapsed="false">
      <c r="N2060" s="83" t="s">
        <v>4435</v>
      </c>
    </row>
    <row r="2061" customFormat="false" ht="15" hidden="false" customHeight="false" outlineLevel="0" collapsed="false">
      <c r="N2061" s="83" t="s">
        <v>4436</v>
      </c>
    </row>
    <row r="2062" customFormat="false" ht="15" hidden="false" customHeight="false" outlineLevel="0" collapsed="false">
      <c r="N2062" s="83" t="s">
        <v>4437</v>
      </c>
    </row>
    <row r="2063" customFormat="false" ht="15" hidden="false" customHeight="false" outlineLevel="0" collapsed="false">
      <c r="N2063" s="83" t="s">
        <v>4438</v>
      </c>
    </row>
    <row r="2064" customFormat="false" ht="15" hidden="false" customHeight="false" outlineLevel="0" collapsed="false">
      <c r="N2064" s="83" t="s">
        <v>4439</v>
      </c>
    </row>
    <row r="2065" customFormat="false" ht="15" hidden="false" customHeight="false" outlineLevel="0" collapsed="false">
      <c r="N2065" s="83" t="s">
        <v>4440</v>
      </c>
    </row>
    <row r="2066" customFormat="false" ht="15" hidden="false" customHeight="false" outlineLevel="0" collapsed="false">
      <c r="N2066" s="83" t="s">
        <v>4441</v>
      </c>
    </row>
    <row r="2067" customFormat="false" ht="15" hidden="false" customHeight="false" outlineLevel="0" collapsed="false">
      <c r="N2067" s="83" t="s">
        <v>4442</v>
      </c>
    </row>
    <row r="2068" customFormat="false" ht="15" hidden="false" customHeight="false" outlineLevel="0" collapsed="false">
      <c r="N2068" s="83" t="s">
        <v>4443</v>
      </c>
    </row>
    <row r="2069" customFormat="false" ht="15" hidden="false" customHeight="false" outlineLevel="0" collapsed="false">
      <c r="N2069" s="83" t="s">
        <v>4444</v>
      </c>
    </row>
    <row r="2070" customFormat="false" ht="15" hidden="false" customHeight="false" outlineLevel="0" collapsed="false">
      <c r="N2070" s="83" t="s">
        <v>4445</v>
      </c>
    </row>
    <row r="2071" customFormat="false" ht="15" hidden="false" customHeight="false" outlineLevel="0" collapsed="false">
      <c r="N2071" s="83" t="s">
        <v>4446</v>
      </c>
    </row>
    <row r="2072" customFormat="false" ht="15" hidden="false" customHeight="false" outlineLevel="0" collapsed="false">
      <c r="N2072" s="83" t="s">
        <v>4447</v>
      </c>
    </row>
    <row r="2073" customFormat="false" ht="15" hidden="false" customHeight="false" outlineLevel="0" collapsed="false">
      <c r="N2073" s="83" t="s">
        <v>4448</v>
      </c>
    </row>
    <row r="2074" customFormat="false" ht="15" hidden="false" customHeight="false" outlineLevel="0" collapsed="false">
      <c r="N2074" s="83" t="s">
        <v>4449</v>
      </c>
    </row>
    <row r="2075" customFormat="false" ht="15" hidden="false" customHeight="false" outlineLevel="0" collapsed="false">
      <c r="N2075" s="83" t="s">
        <v>4450</v>
      </c>
    </row>
    <row r="2076" customFormat="false" ht="15" hidden="false" customHeight="false" outlineLevel="0" collapsed="false">
      <c r="N2076" s="83" t="s">
        <v>4451</v>
      </c>
    </row>
    <row r="2077" customFormat="false" ht="15" hidden="false" customHeight="false" outlineLevel="0" collapsed="false">
      <c r="N2077" s="83" t="s">
        <v>4452</v>
      </c>
    </row>
    <row r="2078" customFormat="false" ht="15" hidden="false" customHeight="false" outlineLevel="0" collapsed="false">
      <c r="N2078" s="83" t="s">
        <v>4453</v>
      </c>
    </row>
    <row r="2079" customFormat="false" ht="15" hidden="false" customHeight="false" outlineLevel="0" collapsed="false">
      <c r="N2079" s="83" t="s">
        <v>4454</v>
      </c>
    </row>
    <row r="2080" customFormat="false" ht="15" hidden="false" customHeight="false" outlineLevel="0" collapsed="false">
      <c r="N2080" s="83" t="s">
        <v>4455</v>
      </c>
    </row>
    <row r="2081" customFormat="false" ht="15" hidden="false" customHeight="false" outlineLevel="0" collapsed="false">
      <c r="N2081" s="83" t="s">
        <v>4456</v>
      </c>
    </row>
    <row r="2082" customFormat="false" ht="15" hidden="false" customHeight="false" outlineLevel="0" collapsed="false">
      <c r="N2082" s="83" t="s">
        <v>4457</v>
      </c>
    </row>
    <row r="2083" customFormat="false" ht="15" hidden="false" customHeight="false" outlineLevel="0" collapsed="false">
      <c r="N2083" s="83" t="s">
        <v>4458</v>
      </c>
    </row>
    <row r="2084" customFormat="false" ht="15" hidden="false" customHeight="false" outlineLevel="0" collapsed="false">
      <c r="N2084" s="83" t="s">
        <v>4459</v>
      </c>
    </row>
    <row r="2085" customFormat="false" ht="15" hidden="false" customHeight="false" outlineLevel="0" collapsed="false">
      <c r="N2085" s="83" t="s">
        <v>4460</v>
      </c>
    </row>
    <row r="2086" customFormat="false" ht="15" hidden="false" customHeight="false" outlineLevel="0" collapsed="false">
      <c r="N2086" s="83" t="s">
        <v>4461</v>
      </c>
    </row>
    <row r="2087" customFormat="false" ht="15" hidden="false" customHeight="false" outlineLevel="0" collapsed="false">
      <c r="N2087" s="83" t="s">
        <v>4462</v>
      </c>
    </row>
    <row r="2088" customFormat="false" ht="15" hidden="false" customHeight="false" outlineLevel="0" collapsed="false">
      <c r="N2088" s="83" t="s">
        <v>4463</v>
      </c>
    </row>
    <row r="2089" customFormat="false" ht="15" hidden="false" customHeight="false" outlineLevel="0" collapsed="false">
      <c r="N2089" s="83" t="s">
        <v>4464</v>
      </c>
    </row>
    <row r="2090" customFormat="false" ht="15" hidden="false" customHeight="false" outlineLevel="0" collapsed="false">
      <c r="N2090" s="83" t="s">
        <v>4465</v>
      </c>
    </row>
    <row r="2091" customFormat="false" ht="15" hidden="false" customHeight="false" outlineLevel="0" collapsed="false">
      <c r="N2091" s="83" t="s">
        <v>4466</v>
      </c>
    </row>
    <row r="2092" customFormat="false" ht="15" hidden="false" customHeight="false" outlineLevel="0" collapsed="false">
      <c r="N2092" s="83" t="s">
        <v>4467</v>
      </c>
    </row>
    <row r="2093" customFormat="false" ht="15" hidden="false" customHeight="false" outlineLevel="0" collapsed="false">
      <c r="N2093" s="83" t="s">
        <v>4468</v>
      </c>
    </row>
    <row r="2094" customFormat="false" ht="15" hidden="false" customHeight="false" outlineLevel="0" collapsed="false">
      <c r="N2094" s="83" t="s">
        <v>4469</v>
      </c>
    </row>
    <row r="2095" customFormat="false" ht="15" hidden="false" customHeight="false" outlineLevel="0" collapsed="false">
      <c r="N2095" s="83" t="s">
        <v>4470</v>
      </c>
    </row>
    <row r="2096" customFormat="false" ht="15" hidden="false" customHeight="false" outlineLevel="0" collapsed="false">
      <c r="N2096" s="83" t="s">
        <v>4471</v>
      </c>
    </row>
    <row r="2097" customFormat="false" ht="15" hidden="false" customHeight="false" outlineLevel="0" collapsed="false">
      <c r="N2097" s="83" t="s">
        <v>4472</v>
      </c>
    </row>
    <row r="2098" customFormat="false" ht="15" hidden="false" customHeight="false" outlineLevel="0" collapsed="false">
      <c r="N2098" s="83" t="s">
        <v>4473</v>
      </c>
    </row>
    <row r="2099" customFormat="false" ht="15" hidden="false" customHeight="false" outlineLevel="0" collapsed="false">
      <c r="N2099" s="83" t="s">
        <v>4474</v>
      </c>
    </row>
    <row r="2100" customFormat="false" ht="15" hidden="false" customHeight="false" outlineLevel="0" collapsed="false">
      <c r="N2100" s="83" t="s">
        <v>4475</v>
      </c>
    </row>
    <row r="2101" customFormat="false" ht="15" hidden="false" customHeight="false" outlineLevel="0" collapsed="false">
      <c r="N2101" s="83" t="s">
        <v>4476</v>
      </c>
    </row>
    <row r="2102" customFormat="false" ht="15" hidden="false" customHeight="false" outlineLevel="0" collapsed="false">
      <c r="N2102" s="83" t="s">
        <v>4477</v>
      </c>
    </row>
    <row r="2103" customFormat="false" ht="15" hidden="false" customHeight="false" outlineLevel="0" collapsed="false">
      <c r="N2103" s="83" t="s">
        <v>4478</v>
      </c>
    </row>
    <row r="2104" customFormat="false" ht="15" hidden="false" customHeight="false" outlineLevel="0" collapsed="false">
      <c r="N2104" s="83" t="s">
        <v>4479</v>
      </c>
    </row>
    <row r="2105" customFormat="false" ht="15" hidden="false" customHeight="false" outlineLevel="0" collapsed="false">
      <c r="N2105" s="83" t="s">
        <v>4480</v>
      </c>
    </row>
    <row r="2106" customFormat="false" ht="15" hidden="false" customHeight="false" outlineLevel="0" collapsed="false">
      <c r="N2106" s="83" t="s">
        <v>4481</v>
      </c>
    </row>
    <row r="2107" customFormat="false" ht="15" hidden="false" customHeight="false" outlineLevel="0" collapsed="false">
      <c r="N2107" s="83" t="s">
        <v>4482</v>
      </c>
    </row>
    <row r="2108" customFormat="false" ht="15" hidden="false" customHeight="false" outlineLevel="0" collapsed="false">
      <c r="N2108" s="83" t="s">
        <v>4483</v>
      </c>
    </row>
    <row r="2109" customFormat="false" ht="15" hidden="false" customHeight="false" outlineLevel="0" collapsed="false">
      <c r="N2109" s="83" t="s">
        <v>4484</v>
      </c>
    </row>
    <row r="2110" customFormat="false" ht="15" hidden="false" customHeight="false" outlineLevel="0" collapsed="false">
      <c r="N2110" s="83" t="s">
        <v>4485</v>
      </c>
    </row>
    <row r="2111" customFormat="false" ht="15" hidden="false" customHeight="false" outlineLevel="0" collapsed="false">
      <c r="N2111" s="83" t="s">
        <v>4486</v>
      </c>
    </row>
    <row r="2112" customFormat="false" ht="15" hidden="false" customHeight="false" outlineLevel="0" collapsed="false">
      <c r="N2112" s="83" t="s">
        <v>4487</v>
      </c>
    </row>
    <row r="2113" customFormat="false" ht="15" hidden="false" customHeight="false" outlineLevel="0" collapsed="false">
      <c r="N2113" s="83" t="s">
        <v>4488</v>
      </c>
    </row>
    <row r="2114" customFormat="false" ht="15" hidden="false" customHeight="false" outlineLevel="0" collapsed="false">
      <c r="N2114" s="83" t="s">
        <v>4489</v>
      </c>
    </row>
    <row r="2115" customFormat="false" ht="15" hidden="false" customHeight="false" outlineLevel="0" collapsed="false">
      <c r="N2115" s="83" t="s">
        <v>4490</v>
      </c>
    </row>
    <row r="2116" customFormat="false" ht="15" hidden="false" customHeight="false" outlineLevel="0" collapsed="false">
      <c r="N2116" s="83" t="s">
        <v>4491</v>
      </c>
    </row>
    <row r="2117" customFormat="false" ht="15" hidden="false" customHeight="false" outlineLevel="0" collapsed="false">
      <c r="N2117" s="83" t="s">
        <v>4492</v>
      </c>
    </row>
    <row r="2118" customFormat="false" ht="15" hidden="false" customHeight="false" outlineLevel="0" collapsed="false">
      <c r="N2118" s="83" t="s">
        <v>4493</v>
      </c>
    </row>
    <row r="2119" customFormat="false" ht="15" hidden="false" customHeight="false" outlineLevel="0" collapsed="false">
      <c r="N2119" s="83" t="s">
        <v>4494</v>
      </c>
    </row>
    <row r="2120" customFormat="false" ht="15" hidden="false" customHeight="false" outlineLevel="0" collapsed="false">
      <c r="N2120" s="83" t="s">
        <v>4495</v>
      </c>
    </row>
    <row r="2121" customFormat="false" ht="15" hidden="false" customHeight="false" outlineLevel="0" collapsed="false">
      <c r="N2121" s="83" t="s">
        <v>4496</v>
      </c>
    </row>
    <row r="2122" customFormat="false" ht="15" hidden="false" customHeight="false" outlineLevel="0" collapsed="false">
      <c r="N2122" s="83" t="s">
        <v>4497</v>
      </c>
    </row>
    <row r="2123" customFormat="false" ht="15" hidden="false" customHeight="false" outlineLevel="0" collapsed="false">
      <c r="N2123" s="83" t="s">
        <v>4498</v>
      </c>
    </row>
    <row r="2124" customFormat="false" ht="15" hidden="false" customHeight="false" outlineLevel="0" collapsed="false">
      <c r="N2124" s="83" t="s">
        <v>4499</v>
      </c>
    </row>
    <row r="2125" customFormat="false" ht="15" hidden="false" customHeight="false" outlineLevel="0" collapsed="false">
      <c r="N2125" s="83" t="s">
        <v>4500</v>
      </c>
    </row>
    <row r="2126" customFormat="false" ht="15" hidden="false" customHeight="false" outlineLevel="0" collapsed="false">
      <c r="N2126" s="83" t="s">
        <v>4501</v>
      </c>
    </row>
    <row r="2127" customFormat="false" ht="15" hidden="false" customHeight="false" outlineLevel="0" collapsed="false">
      <c r="N2127" s="83" t="s">
        <v>4502</v>
      </c>
    </row>
    <row r="2128" customFormat="false" ht="15" hidden="false" customHeight="false" outlineLevel="0" collapsed="false">
      <c r="N2128" s="83" t="s">
        <v>4503</v>
      </c>
    </row>
    <row r="2129" customFormat="false" ht="15" hidden="false" customHeight="false" outlineLevel="0" collapsed="false">
      <c r="N2129" s="83" t="s">
        <v>4504</v>
      </c>
    </row>
    <row r="2130" customFormat="false" ht="15" hidden="false" customHeight="false" outlineLevel="0" collapsed="false">
      <c r="N2130" s="83" t="s">
        <v>4505</v>
      </c>
    </row>
    <row r="2131" customFormat="false" ht="15" hidden="false" customHeight="false" outlineLevel="0" collapsed="false">
      <c r="N2131" s="83" t="s">
        <v>4506</v>
      </c>
    </row>
    <row r="2132" customFormat="false" ht="15" hidden="false" customHeight="false" outlineLevel="0" collapsed="false">
      <c r="N2132" s="83" t="s">
        <v>4507</v>
      </c>
    </row>
    <row r="2133" customFormat="false" ht="15" hidden="false" customHeight="false" outlineLevel="0" collapsed="false">
      <c r="N2133" s="83" t="s">
        <v>4508</v>
      </c>
    </row>
    <row r="2134" customFormat="false" ht="15" hidden="false" customHeight="false" outlineLevel="0" collapsed="false">
      <c r="N2134" s="83" t="s">
        <v>4509</v>
      </c>
    </row>
    <row r="2135" customFormat="false" ht="15" hidden="false" customHeight="false" outlineLevel="0" collapsed="false">
      <c r="N2135" s="83" t="s">
        <v>4510</v>
      </c>
    </row>
    <row r="2136" customFormat="false" ht="15" hidden="false" customHeight="false" outlineLevel="0" collapsed="false">
      <c r="N2136" s="83" t="s">
        <v>4511</v>
      </c>
    </row>
    <row r="2137" customFormat="false" ht="15" hidden="false" customHeight="false" outlineLevel="0" collapsed="false">
      <c r="N2137" s="83" t="s">
        <v>4512</v>
      </c>
    </row>
    <row r="2138" customFormat="false" ht="15" hidden="false" customHeight="false" outlineLevel="0" collapsed="false">
      <c r="N2138" s="83" t="s">
        <v>4513</v>
      </c>
    </row>
    <row r="2139" customFormat="false" ht="15" hidden="false" customHeight="false" outlineLevel="0" collapsed="false">
      <c r="N2139" s="83" t="s">
        <v>4514</v>
      </c>
    </row>
    <row r="2140" customFormat="false" ht="15" hidden="false" customHeight="false" outlineLevel="0" collapsed="false">
      <c r="N2140" s="83" t="s">
        <v>4515</v>
      </c>
    </row>
    <row r="2141" customFormat="false" ht="15" hidden="false" customHeight="false" outlineLevel="0" collapsed="false">
      <c r="N2141" s="83" t="s">
        <v>4516</v>
      </c>
    </row>
    <row r="2142" customFormat="false" ht="15" hidden="false" customHeight="false" outlineLevel="0" collapsed="false">
      <c r="N2142" s="83" t="s">
        <v>4517</v>
      </c>
    </row>
    <row r="2143" customFormat="false" ht="15" hidden="false" customHeight="false" outlineLevel="0" collapsed="false">
      <c r="N2143" s="83" t="s">
        <v>4518</v>
      </c>
    </row>
    <row r="2144" customFormat="false" ht="15" hidden="false" customHeight="false" outlineLevel="0" collapsed="false">
      <c r="N2144" s="83" t="s">
        <v>4519</v>
      </c>
    </row>
    <row r="2145" customFormat="false" ht="15" hidden="false" customHeight="false" outlineLevel="0" collapsed="false">
      <c r="N2145" s="83" t="s">
        <v>4520</v>
      </c>
    </row>
    <row r="2146" customFormat="false" ht="15" hidden="false" customHeight="false" outlineLevel="0" collapsed="false">
      <c r="N2146" s="83" t="s">
        <v>4521</v>
      </c>
    </row>
    <row r="2147" customFormat="false" ht="15" hidden="false" customHeight="false" outlineLevel="0" collapsed="false">
      <c r="N2147" s="83" t="s">
        <v>4522</v>
      </c>
    </row>
    <row r="2148" customFormat="false" ht="15" hidden="false" customHeight="false" outlineLevel="0" collapsed="false">
      <c r="N2148" s="83" t="s">
        <v>4523</v>
      </c>
    </row>
    <row r="2149" customFormat="false" ht="15" hidden="false" customHeight="false" outlineLevel="0" collapsed="false">
      <c r="N2149" s="83" t="s">
        <v>4524</v>
      </c>
    </row>
    <row r="2150" customFormat="false" ht="15" hidden="false" customHeight="false" outlineLevel="0" collapsed="false">
      <c r="N2150" s="83" t="s">
        <v>4525</v>
      </c>
    </row>
    <row r="2151" customFormat="false" ht="15" hidden="false" customHeight="false" outlineLevel="0" collapsed="false">
      <c r="N2151" s="83" t="s">
        <v>4526</v>
      </c>
    </row>
    <row r="2152" customFormat="false" ht="15" hidden="false" customHeight="false" outlineLevel="0" collapsed="false">
      <c r="N2152" s="83" t="s">
        <v>4527</v>
      </c>
    </row>
    <row r="2153" customFormat="false" ht="15" hidden="false" customHeight="false" outlineLevel="0" collapsed="false">
      <c r="N2153" s="83" t="s">
        <v>4528</v>
      </c>
    </row>
    <row r="2154" customFormat="false" ht="15" hidden="false" customHeight="false" outlineLevel="0" collapsed="false">
      <c r="N2154" s="83" t="s">
        <v>4529</v>
      </c>
    </row>
    <row r="2155" customFormat="false" ht="15" hidden="false" customHeight="false" outlineLevel="0" collapsed="false">
      <c r="N2155" s="83" t="s">
        <v>4530</v>
      </c>
    </row>
    <row r="2156" customFormat="false" ht="15" hidden="false" customHeight="false" outlineLevel="0" collapsed="false">
      <c r="N2156" s="83" t="s">
        <v>4531</v>
      </c>
    </row>
    <row r="2157" customFormat="false" ht="15" hidden="false" customHeight="false" outlineLevel="0" collapsed="false">
      <c r="N2157" s="83" t="s">
        <v>4532</v>
      </c>
    </row>
    <row r="2158" customFormat="false" ht="15" hidden="false" customHeight="false" outlineLevel="0" collapsed="false">
      <c r="N2158" s="83" t="s">
        <v>4533</v>
      </c>
    </row>
    <row r="2159" customFormat="false" ht="15" hidden="false" customHeight="false" outlineLevel="0" collapsed="false">
      <c r="N2159" s="83" t="s">
        <v>4534</v>
      </c>
    </row>
    <row r="2160" customFormat="false" ht="15" hidden="false" customHeight="false" outlineLevel="0" collapsed="false">
      <c r="N2160" s="83" t="s">
        <v>4535</v>
      </c>
    </row>
    <row r="2161" customFormat="false" ht="15" hidden="false" customHeight="false" outlineLevel="0" collapsed="false">
      <c r="N2161" s="83" t="s">
        <v>4536</v>
      </c>
    </row>
    <row r="2162" customFormat="false" ht="15" hidden="false" customHeight="false" outlineLevel="0" collapsed="false">
      <c r="N2162" s="83" t="s">
        <v>4537</v>
      </c>
    </row>
    <row r="2163" customFormat="false" ht="15" hidden="false" customHeight="false" outlineLevel="0" collapsed="false">
      <c r="N2163" s="83" t="s">
        <v>4538</v>
      </c>
    </row>
    <row r="2164" customFormat="false" ht="15" hidden="false" customHeight="false" outlineLevel="0" collapsed="false">
      <c r="N2164" s="83" t="s">
        <v>4539</v>
      </c>
    </row>
    <row r="2165" customFormat="false" ht="15" hidden="false" customHeight="false" outlineLevel="0" collapsed="false">
      <c r="N2165" s="83" t="s">
        <v>4540</v>
      </c>
    </row>
    <row r="2166" customFormat="false" ht="15" hidden="false" customHeight="false" outlineLevel="0" collapsed="false">
      <c r="N2166" s="83" t="s">
        <v>4541</v>
      </c>
    </row>
    <row r="2167" customFormat="false" ht="15" hidden="false" customHeight="false" outlineLevel="0" collapsed="false">
      <c r="N2167" s="83" t="s">
        <v>4542</v>
      </c>
    </row>
    <row r="2168" customFormat="false" ht="15" hidden="false" customHeight="false" outlineLevel="0" collapsed="false">
      <c r="N2168" s="83" t="s">
        <v>4543</v>
      </c>
    </row>
    <row r="2169" customFormat="false" ht="15" hidden="false" customHeight="false" outlineLevel="0" collapsed="false">
      <c r="N2169" s="83" t="s">
        <v>4544</v>
      </c>
    </row>
    <row r="2170" customFormat="false" ht="15" hidden="false" customHeight="false" outlineLevel="0" collapsed="false">
      <c r="N2170" s="83" t="s">
        <v>4545</v>
      </c>
    </row>
    <row r="2171" customFormat="false" ht="15" hidden="false" customHeight="false" outlineLevel="0" collapsed="false">
      <c r="N2171" s="83" t="s">
        <v>4546</v>
      </c>
    </row>
    <row r="2172" customFormat="false" ht="15" hidden="false" customHeight="false" outlineLevel="0" collapsed="false">
      <c r="N2172" s="83" t="s">
        <v>4547</v>
      </c>
    </row>
    <row r="2173" customFormat="false" ht="15" hidden="false" customHeight="false" outlineLevel="0" collapsed="false">
      <c r="N2173" s="83" t="s">
        <v>4548</v>
      </c>
    </row>
    <row r="2174" customFormat="false" ht="15" hidden="false" customHeight="false" outlineLevel="0" collapsed="false">
      <c r="N2174" s="83" t="s">
        <v>4549</v>
      </c>
    </row>
    <row r="2175" customFormat="false" ht="15" hidden="false" customHeight="false" outlineLevel="0" collapsed="false">
      <c r="N2175" s="83" t="s">
        <v>4550</v>
      </c>
    </row>
    <row r="2176" customFormat="false" ht="15" hidden="false" customHeight="false" outlineLevel="0" collapsed="false">
      <c r="N2176" s="83" t="s">
        <v>4551</v>
      </c>
    </row>
    <row r="2177" customFormat="false" ht="15" hidden="false" customHeight="false" outlineLevel="0" collapsed="false">
      <c r="N2177" s="83" t="s">
        <v>4552</v>
      </c>
    </row>
    <row r="2178" customFormat="false" ht="15" hidden="false" customHeight="false" outlineLevel="0" collapsed="false">
      <c r="N2178" s="83" t="s">
        <v>4553</v>
      </c>
    </row>
    <row r="2179" customFormat="false" ht="15" hidden="false" customHeight="false" outlineLevel="0" collapsed="false">
      <c r="N2179" s="83" t="s">
        <v>4554</v>
      </c>
    </row>
    <row r="2180" customFormat="false" ht="15" hidden="false" customHeight="false" outlineLevel="0" collapsed="false">
      <c r="N2180" s="83" t="s">
        <v>4555</v>
      </c>
    </row>
    <row r="2181" customFormat="false" ht="15" hidden="false" customHeight="false" outlineLevel="0" collapsed="false">
      <c r="N2181" s="83" t="s">
        <v>4556</v>
      </c>
    </row>
    <row r="2182" customFormat="false" ht="15" hidden="false" customHeight="false" outlineLevel="0" collapsed="false">
      <c r="N2182" s="83" t="s">
        <v>4557</v>
      </c>
    </row>
    <row r="2183" customFormat="false" ht="15" hidden="false" customHeight="false" outlineLevel="0" collapsed="false">
      <c r="N2183" s="83" t="s">
        <v>4558</v>
      </c>
    </row>
    <row r="2184" customFormat="false" ht="15" hidden="false" customHeight="false" outlineLevel="0" collapsed="false">
      <c r="N2184" s="83" t="s">
        <v>4559</v>
      </c>
    </row>
    <row r="2185" customFormat="false" ht="15" hidden="false" customHeight="false" outlineLevel="0" collapsed="false">
      <c r="N2185" s="83" t="s">
        <v>4560</v>
      </c>
    </row>
    <row r="2186" customFormat="false" ht="15" hidden="false" customHeight="false" outlineLevel="0" collapsed="false">
      <c r="N2186" s="83" t="s">
        <v>4561</v>
      </c>
    </row>
    <row r="2187" customFormat="false" ht="15" hidden="false" customHeight="false" outlineLevel="0" collapsed="false">
      <c r="N2187" s="83" t="s">
        <v>4562</v>
      </c>
    </row>
    <row r="2188" customFormat="false" ht="15" hidden="false" customHeight="false" outlineLevel="0" collapsed="false">
      <c r="N2188" s="83" t="s">
        <v>4563</v>
      </c>
    </row>
    <row r="2189" customFormat="false" ht="15" hidden="false" customHeight="false" outlineLevel="0" collapsed="false">
      <c r="N2189" s="83" t="s">
        <v>4564</v>
      </c>
    </row>
    <row r="2190" customFormat="false" ht="15" hidden="false" customHeight="false" outlineLevel="0" collapsed="false">
      <c r="N2190" s="83" t="s">
        <v>4565</v>
      </c>
    </row>
    <row r="2191" customFormat="false" ht="15" hidden="false" customHeight="false" outlineLevel="0" collapsed="false">
      <c r="N2191" s="83" t="s">
        <v>4566</v>
      </c>
    </row>
    <row r="2192" customFormat="false" ht="15" hidden="false" customHeight="false" outlineLevel="0" collapsed="false">
      <c r="N2192" s="83" t="s">
        <v>4567</v>
      </c>
    </row>
    <row r="2193" customFormat="false" ht="15" hidden="false" customHeight="false" outlineLevel="0" collapsed="false">
      <c r="N2193" s="83" t="s">
        <v>4568</v>
      </c>
    </row>
    <row r="2194" customFormat="false" ht="15" hidden="false" customHeight="false" outlineLevel="0" collapsed="false">
      <c r="N2194" s="83" t="s">
        <v>4569</v>
      </c>
    </row>
    <row r="2195" customFormat="false" ht="15" hidden="false" customHeight="false" outlineLevel="0" collapsed="false">
      <c r="N2195" s="83" t="s">
        <v>4570</v>
      </c>
    </row>
    <row r="2196" customFormat="false" ht="15" hidden="false" customHeight="false" outlineLevel="0" collapsed="false">
      <c r="N2196" s="83" t="s">
        <v>4571</v>
      </c>
    </row>
    <row r="2197" customFormat="false" ht="15" hidden="false" customHeight="false" outlineLevel="0" collapsed="false">
      <c r="N2197" s="83" t="s">
        <v>4572</v>
      </c>
    </row>
    <row r="2198" customFormat="false" ht="15" hidden="false" customHeight="false" outlineLevel="0" collapsed="false">
      <c r="N2198" s="83" t="s">
        <v>4573</v>
      </c>
    </row>
    <row r="2199" customFormat="false" ht="15" hidden="false" customHeight="false" outlineLevel="0" collapsed="false">
      <c r="N2199" s="83" t="s">
        <v>4574</v>
      </c>
    </row>
    <row r="2200" customFormat="false" ht="15" hidden="false" customHeight="false" outlineLevel="0" collapsed="false">
      <c r="N2200" s="83" t="s">
        <v>4575</v>
      </c>
    </row>
    <row r="2201" customFormat="false" ht="15" hidden="false" customHeight="false" outlineLevel="0" collapsed="false">
      <c r="N2201" s="83" t="s">
        <v>4576</v>
      </c>
    </row>
    <row r="2202" customFormat="false" ht="15" hidden="false" customHeight="false" outlineLevel="0" collapsed="false">
      <c r="N2202" s="83" t="s">
        <v>4577</v>
      </c>
    </row>
    <row r="2203" customFormat="false" ht="15" hidden="false" customHeight="false" outlineLevel="0" collapsed="false">
      <c r="N2203" s="83" t="s">
        <v>4578</v>
      </c>
    </row>
    <row r="2204" customFormat="false" ht="15" hidden="false" customHeight="false" outlineLevel="0" collapsed="false">
      <c r="N2204" s="83" t="s">
        <v>4579</v>
      </c>
    </row>
    <row r="2205" customFormat="false" ht="15" hidden="false" customHeight="false" outlineLevel="0" collapsed="false">
      <c r="N2205" s="83" t="s">
        <v>4580</v>
      </c>
    </row>
    <row r="2206" customFormat="false" ht="15" hidden="false" customHeight="false" outlineLevel="0" collapsed="false">
      <c r="N2206" s="83" t="s">
        <v>4581</v>
      </c>
    </row>
    <row r="2207" customFormat="false" ht="15" hidden="false" customHeight="false" outlineLevel="0" collapsed="false">
      <c r="N2207" s="83" t="s">
        <v>4582</v>
      </c>
    </row>
    <row r="2208" customFormat="false" ht="15" hidden="false" customHeight="false" outlineLevel="0" collapsed="false">
      <c r="N2208" s="83" t="s">
        <v>4583</v>
      </c>
    </row>
    <row r="2209" customFormat="false" ht="15" hidden="false" customHeight="false" outlineLevel="0" collapsed="false">
      <c r="N2209" s="83" t="s">
        <v>4584</v>
      </c>
    </row>
    <row r="2210" customFormat="false" ht="15" hidden="false" customHeight="false" outlineLevel="0" collapsed="false">
      <c r="N2210" s="83" t="s">
        <v>4585</v>
      </c>
    </row>
    <row r="2211" customFormat="false" ht="15" hidden="false" customHeight="false" outlineLevel="0" collapsed="false">
      <c r="N2211" s="83" t="s">
        <v>4586</v>
      </c>
    </row>
    <row r="2212" customFormat="false" ht="15" hidden="false" customHeight="false" outlineLevel="0" collapsed="false">
      <c r="N2212" s="83" t="s">
        <v>4587</v>
      </c>
    </row>
    <row r="2213" customFormat="false" ht="15" hidden="false" customHeight="false" outlineLevel="0" collapsed="false">
      <c r="N2213" s="83" t="s">
        <v>4588</v>
      </c>
    </row>
    <row r="2214" customFormat="false" ht="15" hidden="false" customHeight="false" outlineLevel="0" collapsed="false">
      <c r="N2214" s="83" t="s">
        <v>4589</v>
      </c>
    </row>
    <row r="2215" customFormat="false" ht="15" hidden="false" customHeight="false" outlineLevel="0" collapsed="false">
      <c r="N2215" s="83" t="s">
        <v>4590</v>
      </c>
    </row>
    <row r="2216" customFormat="false" ht="15" hidden="false" customHeight="false" outlineLevel="0" collapsed="false">
      <c r="N2216" s="83" t="s">
        <v>4591</v>
      </c>
    </row>
    <row r="2217" customFormat="false" ht="15" hidden="false" customHeight="false" outlineLevel="0" collapsed="false">
      <c r="N2217" s="83" t="s">
        <v>4592</v>
      </c>
    </row>
    <row r="2218" customFormat="false" ht="15" hidden="false" customHeight="false" outlineLevel="0" collapsed="false">
      <c r="N2218" s="83" t="s">
        <v>4593</v>
      </c>
    </row>
    <row r="2219" customFormat="false" ht="15" hidden="false" customHeight="false" outlineLevel="0" collapsed="false">
      <c r="N2219" s="83" t="s">
        <v>4594</v>
      </c>
    </row>
    <row r="2220" customFormat="false" ht="15" hidden="false" customHeight="false" outlineLevel="0" collapsed="false">
      <c r="N2220" s="83" t="s">
        <v>4595</v>
      </c>
    </row>
    <row r="2221" customFormat="false" ht="15" hidden="false" customHeight="false" outlineLevel="0" collapsed="false">
      <c r="N2221" s="83" t="s">
        <v>4596</v>
      </c>
    </row>
    <row r="2222" customFormat="false" ht="15" hidden="false" customHeight="false" outlineLevel="0" collapsed="false">
      <c r="N2222" s="83" t="s">
        <v>4597</v>
      </c>
    </row>
    <row r="2223" customFormat="false" ht="15" hidden="false" customHeight="false" outlineLevel="0" collapsed="false">
      <c r="N2223" s="83" t="s">
        <v>4598</v>
      </c>
    </row>
    <row r="2224" customFormat="false" ht="15" hidden="false" customHeight="false" outlineLevel="0" collapsed="false">
      <c r="N2224" s="83" t="s">
        <v>4599</v>
      </c>
    </row>
    <row r="2225" customFormat="false" ht="15" hidden="false" customHeight="false" outlineLevel="0" collapsed="false">
      <c r="N2225" s="83" t="s">
        <v>4600</v>
      </c>
    </row>
    <row r="2226" customFormat="false" ht="15" hidden="false" customHeight="false" outlineLevel="0" collapsed="false">
      <c r="N2226" s="83" t="s">
        <v>4601</v>
      </c>
    </row>
    <row r="2227" customFormat="false" ht="15" hidden="false" customHeight="false" outlineLevel="0" collapsed="false">
      <c r="N2227" s="83" t="s">
        <v>4602</v>
      </c>
    </row>
    <row r="2228" customFormat="false" ht="15" hidden="false" customHeight="false" outlineLevel="0" collapsed="false">
      <c r="N2228" s="83" t="s">
        <v>4603</v>
      </c>
    </row>
    <row r="2229" customFormat="false" ht="15" hidden="false" customHeight="false" outlineLevel="0" collapsed="false">
      <c r="N2229" s="83" t="s">
        <v>4604</v>
      </c>
    </row>
    <row r="2230" customFormat="false" ht="15" hidden="false" customHeight="false" outlineLevel="0" collapsed="false">
      <c r="N2230" s="83" t="s">
        <v>4605</v>
      </c>
    </row>
    <row r="2231" customFormat="false" ht="15" hidden="false" customHeight="false" outlineLevel="0" collapsed="false">
      <c r="N2231" s="83" t="s">
        <v>4606</v>
      </c>
    </row>
    <row r="2232" customFormat="false" ht="15" hidden="false" customHeight="false" outlineLevel="0" collapsed="false">
      <c r="N2232" s="83" t="s">
        <v>4607</v>
      </c>
    </row>
    <row r="2233" customFormat="false" ht="15" hidden="false" customHeight="false" outlineLevel="0" collapsed="false">
      <c r="N2233" s="83" t="s">
        <v>4608</v>
      </c>
    </row>
    <row r="2234" customFormat="false" ht="15" hidden="false" customHeight="false" outlineLevel="0" collapsed="false">
      <c r="N2234" s="83" t="s">
        <v>4609</v>
      </c>
    </row>
    <row r="2235" customFormat="false" ht="15" hidden="false" customHeight="false" outlineLevel="0" collapsed="false">
      <c r="N2235" s="83" t="s">
        <v>4610</v>
      </c>
    </row>
    <row r="2236" customFormat="false" ht="15" hidden="false" customHeight="false" outlineLevel="0" collapsed="false">
      <c r="N2236" s="83" t="s">
        <v>4611</v>
      </c>
    </row>
    <row r="2237" customFormat="false" ht="15" hidden="false" customHeight="false" outlineLevel="0" collapsed="false">
      <c r="N2237" s="83" t="s">
        <v>4612</v>
      </c>
    </row>
    <row r="2238" customFormat="false" ht="15" hidden="false" customHeight="false" outlineLevel="0" collapsed="false">
      <c r="N2238" s="83" t="s">
        <v>4613</v>
      </c>
    </row>
    <row r="2239" customFormat="false" ht="15" hidden="false" customHeight="false" outlineLevel="0" collapsed="false">
      <c r="N2239" s="83" t="s">
        <v>4614</v>
      </c>
    </row>
    <row r="2240" customFormat="false" ht="15" hidden="false" customHeight="false" outlineLevel="0" collapsed="false">
      <c r="N2240" s="83" t="s">
        <v>4615</v>
      </c>
    </row>
    <row r="2241" customFormat="false" ht="15" hidden="false" customHeight="false" outlineLevel="0" collapsed="false">
      <c r="N2241" s="83" t="s">
        <v>4616</v>
      </c>
    </row>
    <row r="2242" customFormat="false" ht="15" hidden="false" customHeight="false" outlineLevel="0" collapsed="false">
      <c r="N2242" s="83" t="s">
        <v>4617</v>
      </c>
    </row>
    <row r="2243" customFormat="false" ht="15" hidden="false" customHeight="false" outlineLevel="0" collapsed="false">
      <c r="N2243" s="83" t="s">
        <v>4618</v>
      </c>
    </row>
    <row r="2244" customFormat="false" ht="15" hidden="false" customHeight="false" outlineLevel="0" collapsed="false">
      <c r="N2244" s="83" t="s">
        <v>4619</v>
      </c>
    </row>
    <row r="2245" customFormat="false" ht="15" hidden="false" customHeight="false" outlineLevel="0" collapsed="false">
      <c r="N2245" s="83" t="s">
        <v>4620</v>
      </c>
    </row>
    <row r="2246" customFormat="false" ht="15" hidden="false" customHeight="false" outlineLevel="0" collapsed="false">
      <c r="N2246" s="83" t="s">
        <v>4621</v>
      </c>
    </row>
    <row r="2247" customFormat="false" ht="15" hidden="false" customHeight="false" outlineLevel="0" collapsed="false">
      <c r="N2247" s="83" t="s">
        <v>4622</v>
      </c>
    </row>
    <row r="2248" customFormat="false" ht="15" hidden="false" customHeight="false" outlineLevel="0" collapsed="false">
      <c r="N2248" s="83" t="s">
        <v>4623</v>
      </c>
    </row>
    <row r="2249" customFormat="false" ht="15" hidden="false" customHeight="false" outlineLevel="0" collapsed="false">
      <c r="N2249" s="83" t="s">
        <v>4624</v>
      </c>
    </row>
    <row r="2250" customFormat="false" ht="15" hidden="false" customHeight="false" outlineLevel="0" collapsed="false">
      <c r="N2250" s="83" t="s">
        <v>4625</v>
      </c>
    </row>
    <row r="2251" customFormat="false" ht="15" hidden="false" customHeight="false" outlineLevel="0" collapsed="false">
      <c r="N2251" s="83" t="s">
        <v>4626</v>
      </c>
    </row>
    <row r="2252" customFormat="false" ht="15" hidden="false" customHeight="false" outlineLevel="0" collapsed="false">
      <c r="N2252" s="83" t="s">
        <v>4627</v>
      </c>
    </row>
    <row r="2253" customFormat="false" ht="15" hidden="false" customHeight="false" outlineLevel="0" collapsed="false">
      <c r="N2253" s="83" t="s">
        <v>4628</v>
      </c>
    </row>
    <row r="2254" customFormat="false" ht="15" hidden="false" customHeight="false" outlineLevel="0" collapsed="false">
      <c r="N2254" s="83" t="s">
        <v>4629</v>
      </c>
    </row>
    <row r="2255" customFormat="false" ht="15" hidden="false" customHeight="false" outlineLevel="0" collapsed="false">
      <c r="N2255" s="83" t="s">
        <v>4630</v>
      </c>
    </row>
    <row r="2256" customFormat="false" ht="15" hidden="false" customHeight="false" outlineLevel="0" collapsed="false">
      <c r="N2256" s="83" t="s">
        <v>4631</v>
      </c>
    </row>
    <row r="2257" customFormat="false" ht="15" hidden="false" customHeight="false" outlineLevel="0" collapsed="false">
      <c r="N2257" s="83" t="s">
        <v>4632</v>
      </c>
    </row>
    <row r="2258" customFormat="false" ht="15" hidden="false" customHeight="false" outlineLevel="0" collapsed="false">
      <c r="N2258" s="83" t="s">
        <v>4633</v>
      </c>
    </row>
    <row r="2259" customFormat="false" ht="15" hidden="false" customHeight="false" outlineLevel="0" collapsed="false">
      <c r="N2259" s="83" t="s">
        <v>4634</v>
      </c>
    </row>
    <row r="2260" customFormat="false" ht="15" hidden="false" customHeight="false" outlineLevel="0" collapsed="false">
      <c r="N2260" s="83" t="s">
        <v>4635</v>
      </c>
    </row>
    <row r="2261" customFormat="false" ht="15" hidden="false" customHeight="false" outlineLevel="0" collapsed="false">
      <c r="N2261" s="83" t="s">
        <v>4636</v>
      </c>
    </row>
    <row r="2262" customFormat="false" ht="15" hidden="false" customHeight="false" outlineLevel="0" collapsed="false">
      <c r="N2262" s="83" t="s">
        <v>4637</v>
      </c>
    </row>
    <row r="2263" customFormat="false" ht="15" hidden="false" customHeight="false" outlineLevel="0" collapsed="false">
      <c r="N2263" s="83" t="s">
        <v>4638</v>
      </c>
    </row>
    <row r="2264" customFormat="false" ht="15" hidden="false" customHeight="false" outlineLevel="0" collapsed="false">
      <c r="N2264" s="83" t="s">
        <v>4639</v>
      </c>
    </row>
    <row r="2265" customFormat="false" ht="15" hidden="false" customHeight="false" outlineLevel="0" collapsed="false">
      <c r="N2265" s="83" t="s">
        <v>4640</v>
      </c>
    </row>
    <row r="2266" customFormat="false" ht="15" hidden="false" customHeight="false" outlineLevel="0" collapsed="false">
      <c r="N2266" s="83" t="s">
        <v>4641</v>
      </c>
    </row>
    <row r="2267" customFormat="false" ht="15" hidden="false" customHeight="false" outlineLevel="0" collapsed="false">
      <c r="N2267" s="83" t="s">
        <v>4642</v>
      </c>
    </row>
    <row r="2268" customFormat="false" ht="15" hidden="false" customHeight="false" outlineLevel="0" collapsed="false">
      <c r="N2268" s="83" t="s">
        <v>4643</v>
      </c>
    </row>
    <row r="2269" customFormat="false" ht="15" hidden="false" customHeight="false" outlineLevel="0" collapsed="false">
      <c r="N2269" s="83" t="s">
        <v>4644</v>
      </c>
    </row>
    <row r="2270" customFormat="false" ht="15" hidden="false" customHeight="false" outlineLevel="0" collapsed="false">
      <c r="N2270" s="83" t="s">
        <v>4645</v>
      </c>
    </row>
    <row r="2271" customFormat="false" ht="15" hidden="false" customHeight="false" outlineLevel="0" collapsed="false">
      <c r="N2271" s="83" t="s">
        <v>4646</v>
      </c>
    </row>
    <row r="2272" customFormat="false" ht="15" hidden="false" customHeight="false" outlineLevel="0" collapsed="false">
      <c r="N2272" s="83" t="s">
        <v>4647</v>
      </c>
    </row>
    <row r="2273" customFormat="false" ht="15" hidden="false" customHeight="false" outlineLevel="0" collapsed="false">
      <c r="N2273" s="83" t="s">
        <v>4648</v>
      </c>
    </row>
    <row r="2274" customFormat="false" ht="15" hidden="false" customHeight="false" outlineLevel="0" collapsed="false">
      <c r="N2274" s="83" t="s">
        <v>4649</v>
      </c>
    </row>
    <row r="2275" customFormat="false" ht="15" hidden="false" customHeight="false" outlineLevel="0" collapsed="false">
      <c r="N2275" s="83" t="s">
        <v>4650</v>
      </c>
    </row>
    <row r="2276" customFormat="false" ht="15" hidden="false" customHeight="false" outlineLevel="0" collapsed="false">
      <c r="N2276" s="83" t="s">
        <v>4651</v>
      </c>
    </row>
    <row r="2277" customFormat="false" ht="15" hidden="false" customHeight="false" outlineLevel="0" collapsed="false">
      <c r="N2277" s="83" t="s">
        <v>4652</v>
      </c>
    </row>
    <row r="2278" customFormat="false" ht="15" hidden="false" customHeight="false" outlineLevel="0" collapsed="false">
      <c r="N2278" s="83" t="s">
        <v>4653</v>
      </c>
    </row>
    <row r="2279" customFormat="false" ht="15" hidden="false" customHeight="false" outlineLevel="0" collapsed="false">
      <c r="N2279" s="83" t="s">
        <v>4654</v>
      </c>
    </row>
    <row r="2280" customFormat="false" ht="15" hidden="false" customHeight="false" outlineLevel="0" collapsed="false">
      <c r="N2280" s="83" t="s">
        <v>4655</v>
      </c>
    </row>
    <row r="2281" customFormat="false" ht="15" hidden="false" customHeight="false" outlineLevel="0" collapsed="false">
      <c r="N2281" s="83" t="s">
        <v>4656</v>
      </c>
    </row>
    <row r="2282" customFormat="false" ht="15" hidden="false" customHeight="false" outlineLevel="0" collapsed="false">
      <c r="N2282" s="83" t="s">
        <v>4657</v>
      </c>
    </row>
    <row r="2283" customFormat="false" ht="15" hidden="false" customHeight="false" outlineLevel="0" collapsed="false">
      <c r="N2283" s="83" t="s">
        <v>4658</v>
      </c>
    </row>
    <row r="2284" customFormat="false" ht="15" hidden="false" customHeight="false" outlineLevel="0" collapsed="false">
      <c r="N2284" s="83" t="s">
        <v>4659</v>
      </c>
    </row>
    <row r="2285" customFormat="false" ht="15" hidden="false" customHeight="false" outlineLevel="0" collapsed="false">
      <c r="N2285" s="83" t="s">
        <v>4660</v>
      </c>
    </row>
    <row r="2286" customFormat="false" ht="15" hidden="false" customHeight="false" outlineLevel="0" collapsed="false">
      <c r="N2286" s="83" t="s">
        <v>4661</v>
      </c>
    </row>
    <row r="2287" customFormat="false" ht="15" hidden="false" customHeight="false" outlineLevel="0" collapsed="false">
      <c r="N2287" s="83" t="s">
        <v>4662</v>
      </c>
    </row>
    <row r="2288" customFormat="false" ht="15" hidden="false" customHeight="false" outlineLevel="0" collapsed="false">
      <c r="N2288" s="83" t="s">
        <v>4663</v>
      </c>
    </row>
    <row r="2289" customFormat="false" ht="15" hidden="false" customHeight="false" outlineLevel="0" collapsed="false">
      <c r="N2289" s="83" t="s">
        <v>4664</v>
      </c>
    </row>
    <row r="2290" customFormat="false" ht="15" hidden="false" customHeight="false" outlineLevel="0" collapsed="false">
      <c r="N2290" s="83" t="s">
        <v>4665</v>
      </c>
    </row>
    <row r="2291" customFormat="false" ht="15" hidden="false" customHeight="false" outlineLevel="0" collapsed="false">
      <c r="N2291" s="83" t="s">
        <v>4666</v>
      </c>
    </row>
    <row r="2292" customFormat="false" ht="15" hidden="false" customHeight="false" outlineLevel="0" collapsed="false">
      <c r="N2292" s="83" t="s">
        <v>4667</v>
      </c>
    </row>
    <row r="2293" customFormat="false" ht="15" hidden="false" customHeight="false" outlineLevel="0" collapsed="false">
      <c r="N2293" s="83" t="s">
        <v>4668</v>
      </c>
    </row>
    <row r="2294" customFormat="false" ht="15" hidden="false" customHeight="false" outlineLevel="0" collapsed="false">
      <c r="N2294" s="83" t="s">
        <v>4669</v>
      </c>
    </row>
    <row r="2295" customFormat="false" ht="15" hidden="false" customHeight="false" outlineLevel="0" collapsed="false">
      <c r="N2295" s="83" t="s">
        <v>4670</v>
      </c>
    </row>
    <row r="2296" customFormat="false" ht="15" hidden="false" customHeight="false" outlineLevel="0" collapsed="false">
      <c r="N2296" s="83" t="s">
        <v>4671</v>
      </c>
    </row>
    <row r="2297" customFormat="false" ht="15" hidden="false" customHeight="false" outlineLevel="0" collapsed="false">
      <c r="N2297" s="83" t="s">
        <v>4672</v>
      </c>
    </row>
    <row r="2298" customFormat="false" ht="15" hidden="false" customHeight="false" outlineLevel="0" collapsed="false">
      <c r="N2298" s="83" t="s">
        <v>4673</v>
      </c>
    </row>
    <row r="2299" customFormat="false" ht="15" hidden="false" customHeight="false" outlineLevel="0" collapsed="false">
      <c r="N2299" s="83" t="s">
        <v>4674</v>
      </c>
    </row>
    <row r="2300" customFormat="false" ht="15" hidden="false" customHeight="false" outlineLevel="0" collapsed="false">
      <c r="N2300" s="83" t="s">
        <v>4675</v>
      </c>
    </row>
    <row r="2301" customFormat="false" ht="15" hidden="false" customHeight="false" outlineLevel="0" collapsed="false">
      <c r="N2301" s="83" t="s">
        <v>4676</v>
      </c>
    </row>
    <row r="2302" customFormat="false" ht="15" hidden="false" customHeight="false" outlineLevel="0" collapsed="false">
      <c r="N2302" s="83" t="s">
        <v>4677</v>
      </c>
    </row>
    <row r="2303" customFormat="false" ht="15" hidden="false" customHeight="false" outlineLevel="0" collapsed="false">
      <c r="N2303" s="83" t="s">
        <v>4678</v>
      </c>
    </row>
    <row r="2304" customFormat="false" ht="15" hidden="false" customHeight="false" outlineLevel="0" collapsed="false">
      <c r="N2304" s="83" t="s">
        <v>4679</v>
      </c>
    </row>
    <row r="2305" customFormat="false" ht="15" hidden="false" customHeight="false" outlineLevel="0" collapsed="false">
      <c r="N2305" s="83" t="s">
        <v>4680</v>
      </c>
    </row>
    <row r="2306" customFormat="false" ht="15" hidden="false" customHeight="false" outlineLevel="0" collapsed="false">
      <c r="N2306" s="83" t="s">
        <v>4681</v>
      </c>
    </row>
    <row r="2307" customFormat="false" ht="15" hidden="false" customHeight="false" outlineLevel="0" collapsed="false">
      <c r="N2307" s="83" t="s">
        <v>4682</v>
      </c>
    </row>
    <row r="2308" customFormat="false" ht="15" hidden="false" customHeight="false" outlineLevel="0" collapsed="false">
      <c r="N2308" s="83" t="s">
        <v>4683</v>
      </c>
    </row>
    <row r="2309" customFormat="false" ht="15" hidden="false" customHeight="false" outlineLevel="0" collapsed="false">
      <c r="N2309" s="83" t="s">
        <v>4684</v>
      </c>
    </row>
    <row r="2310" customFormat="false" ht="15" hidden="false" customHeight="false" outlineLevel="0" collapsed="false">
      <c r="N2310" s="83" t="s">
        <v>4685</v>
      </c>
    </row>
    <row r="2311" customFormat="false" ht="15" hidden="false" customHeight="false" outlineLevel="0" collapsed="false">
      <c r="N2311" s="83" t="s">
        <v>4686</v>
      </c>
    </row>
    <row r="2312" customFormat="false" ht="15" hidden="false" customHeight="false" outlineLevel="0" collapsed="false">
      <c r="N2312" s="83" t="s">
        <v>4687</v>
      </c>
    </row>
    <row r="2313" customFormat="false" ht="15" hidden="false" customHeight="false" outlineLevel="0" collapsed="false">
      <c r="N2313" s="83" t="s">
        <v>4688</v>
      </c>
    </row>
    <row r="2314" customFormat="false" ht="15" hidden="false" customHeight="false" outlineLevel="0" collapsed="false">
      <c r="N2314" s="83" t="s">
        <v>4689</v>
      </c>
    </row>
    <row r="2315" customFormat="false" ht="15" hidden="false" customHeight="false" outlineLevel="0" collapsed="false">
      <c r="N2315" s="83" t="s">
        <v>4690</v>
      </c>
    </row>
    <row r="2316" customFormat="false" ht="15" hidden="false" customHeight="false" outlineLevel="0" collapsed="false">
      <c r="N2316" s="83" t="s">
        <v>4691</v>
      </c>
    </row>
    <row r="2317" customFormat="false" ht="15" hidden="false" customHeight="false" outlineLevel="0" collapsed="false">
      <c r="N2317" s="83" t="s">
        <v>4692</v>
      </c>
    </row>
    <row r="2318" customFormat="false" ht="15" hidden="false" customHeight="false" outlineLevel="0" collapsed="false">
      <c r="N2318" s="83" t="s">
        <v>4693</v>
      </c>
    </row>
    <row r="2319" customFormat="false" ht="15" hidden="false" customHeight="false" outlineLevel="0" collapsed="false">
      <c r="N2319" s="83" t="s">
        <v>4694</v>
      </c>
    </row>
    <row r="2320" customFormat="false" ht="15" hidden="false" customHeight="false" outlineLevel="0" collapsed="false">
      <c r="N2320" s="83" t="s">
        <v>4695</v>
      </c>
    </row>
    <row r="2321" customFormat="false" ht="15" hidden="false" customHeight="false" outlineLevel="0" collapsed="false">
      <c r="N2321" s="83" t="s">
        <v>4696</v>
      </c>
    </row>
    <row r="2322" customFormat="false" ht="15" hidden="false" customHeight="false" outlineLevel="0" collapsed="false">
      <c r="N2322" s="83" t="s">
        <v>4697</v>
      </c>
    </row>
    <row r="2323" customFormat="false" ht="15" hidden="false" customHeight="false" outlineLevel="0" collapsed="false">
      <c r="N2323" s="83" t="s">
        <v>4698</v>
      </c>
    </row>
    <row r="2324" customFormat="false" ht="15" hidden="false" customHeight="false" outlineLevel="0" collapsed="false">
      <c r="N2324" s="83" t="s">
        <v>4699</v>
      </c>
    </row>
    <row r="2325" customFormat="false" ht="15" hidden="false" customHeight="false" outlineLevel="0" collapsed="false">
      <c r="N2325" s="83" t="s">
        <v>4700</v>
      </c>
    </row>
    <row r="2326" customFormat="false" ht="15" hidden="false" customHeight="false" outlineLevel="0" collapsed="false">
      <c r="N2326" s="83" t="s">
        <v>4701</v>
      </c>
    </row>
    <row r="2327" customFormat="false" ht="15" hidden="false" customHeight="false" outlineLevel="0" collapsed="false">
      <c r="N2327" s="83" t="s">
        <v>4702</v>
      </c>
    </row>
    <row r="2328" customFormat="false" ht="15" hidden="false" customHeight="false" outlineLevel="0" collapsed="false">
      <c r="N2328" s="83" t="s">
        <v>4703</v>
      </c>
    </row>
    <row r="2329" customFormat="false" ht="15" hidden="false" customHeight="false" outlineLevel="0" collapsed="false">
      <c r="N2329" s="83" t="s">
        <v>4704</v>
      </c>
    </row>
    <row r="2330" customFormat="false" ht="15" hidden="false" customHeight="false" outlineLevel="0" collapsed="false">
      <c r="N2330" s="83" t="s">
        <v>4705</v>
      </c>
    </row>
    <row r="2331" customFormat="false" ht="15" hidden="false" customHeight="false" outlineLevel="0" collapsed="false">
      <c r="N2331" s="83" t="s">
        <v>4706</v>
      </c>
    </row>
    <row r="2332" customFormat="false" ht="15" hidden="false" customHeight="false" outlineLevel="0" collapsed="false">
      <c r="N2332" s="83" t="s">
        <v>4707</v>
      </c>
    </row>
    <row r="2333" customFormat="false" ht="15" hidden="false" customHeight="false" outlineLevel="0" collapsed="false">
      <c r="N2333" s="83" t="s">
        <v>4708</v>
      </c>
    </row>
    <row r="2334" customFormat="false" ht="15" hidden="false" customHeight="false" outlineLevel="0" collapsed="false">
      <c r="N2334" s="83" t="s">
        <v>4709</v>
      </c>
    </row>
    <row r="2335" customFormat="false" ht="15" hidden="false" customHeight="false" outlineLevel="0" collapsed="false">
      <c r="N2335" s="83" t="s">
        <v>4710</v>
      </c>
    </row>
    <row r="2336" customFormat="false" ht="15" hidden="false" customHeight="false" outlineLevel="0" collapsed="false">
      <c r="N2336" s="83" t="s">
        <v>4711</v>
      </c>
    </row>
    <row r="2337" customFormat="false" ht="15" hidden="false" customHeight="false" outlineLevel="0" collapsed="false">
      <c r="N2337" s="83" t="s">
        <v>4712</v>
      </c>
    </row>
    <row r="2338" customFormat="false" ht="15" hidden="false" customHeight="false" outlineLevel="0" collapsed="false">
      <c r="N2338" s="83" t="s">
        <v>4713</v>
      </c>
    </row>
    <row r="2339" customFormat="false" ht="15" hidden="false" customHeight="false" outlineLevel="0" collapsed="false">
      <c r="N2339" s="83" t="s">
        <v>4714</v>
      </c>
    </row>
    <row r="2340" customFormat="false" ht="15" hidden="false" customHeight="false" outlineLevel="0" collapsed="false">
      <c r="N2340" s="83" t="s">
        <v>4715</v>
      </c>
    </row>
    <row r="2341" customFormat="false" ht="15" hidden="false" customHeight="false" outlineLevel="0" collapsed="false">
      <c r="N2341" s="83" t="s">
        <v>4716</v>
      </c>
    </row>
    <row r="2342" customFormat="false" ht="15" hidden="false" customHeight="false" outlineLevel="0" collapsed="false">
      <c r="N2342" s="83" t="s">
        <v>4717</v>
      </c>
    </row>
    <row r="2343" customFormat="false" ht="15" hidden="false" customHeight="false" outlineLevel="0" collapsed="false">
      <c r="N2343" s="83" t="s">
        <v>4718</v>
      </c>
    </row>
    <row r="2344" customFormat="false" ht="15" hidden="false" customHeight="false" outlineLevel="0" collapsed="false">
      <c r="N2344" s="83" t="s">
        <v>4719</v>
      </c>
    </row>
    <row r="2345" customFormat="false" ht="15" hidden="false" customHeight="false" outlineLevel="0" collapsed="false">
      <c r="N2345" s="83" t="s">
        <v>4720</v>
      </c>
    </row>
    <row r="2346" customFormat="false" ht="15" hidden="false" customHeight="false" outlineLevel="0" collapsed="false">
      <c r="N2346" s="83" t="s">
        <v>4721</v>
      </c>
    </row>
    <row r="2347" customFormat="false" ht="15" hidden="false" customHeight="false" outlineLevel="0" collapsed="false">
      <c r="N2347" s="83" t="s">
        <v>4722</v>
      </c>
    </row>
    <row r="2348" customFormat="false" ht="15" hidden="false" customHeight="false" outlineLevel="0" collapsed="false">
      <c r="N2348" s="83" t="s">
        <v>4723</v>
      </c>
    </row>
    <row r="2349" customFormat="false" ht="15" hidden="false" customHeight="false" outlineLevel="0" collapsed="false">
      <c r="N2349" s="83" t="s">
        <v>4724</v>
      </c>
    </row>
    <row r="2350" customFormat="false" ht="15" hidden="false" customHeight="false" outlineLevel="0" collapsed="false">
      <c r="N2350" s="83" t="s">
        <v>4725</v>
      </c>
    </row>
    <row r="2351" customFormat="false" ht="15" hidden="false" customHeight="false" outlineLevel="0" collapsed="false">
      <c r="N2351" s="83" t="s">
        <v>4726</v>
      </c>
    </row>
    <row r="2352" customFormat="false" ht="15" hidden="false" customHeight="false" outlineLevel="0" collapsed="false">
      <c r="N2352" s="83" t="s">
        <v>4727</v>
      </c>
    </row>
    <row r="2353" customFormat="false" ht="15" hidden="false" customHeight="false" outlineLevel="0" collapsed="false">
      <c r="N2353" s="83" t="s">
        <v>4728</v>
      </c>
    </row>
    <row r="2354" customFormat="false" ht="15" hidden="false" customHeight="false" outlineLevel="0" collapsed="false">
      <c r="N2354" s="83" t="s">
        <v>4729</v>
      </c>
    </row>
    <row r="2355" customFormat="false" ht="15" hidden="false" customHeight="false" outlineLevel="0" collapsed="false">
      <c r="N2355" s="83" t="s">
        <v>4730</v>
      </c>
    </row>
    <row r="2356" customFormat="false" ht="15" hidden="false" customHeight="false" outlineLevel="0" collapsed="false">
      <c r="N2356" s="83" t="s">
        <v>4731</v>
      </c>
    </row>
    <row r="2357" customFormat="false" ht="15" hidden="false" customHeight="false" outlineLevel="0" collapsed="false">
      <c r="N2357" s="83" t="s">
        <v>4732</v>
      </c>
    </row>
    <row r="2358" customFormat="false" ht="15" hidden="false" customHeight="false" outlineLevel="0" collapsed="false">
      <c r="N2358" s="83" t="s">
        <v>4733</v>
      </c>
    </row>
    <row r="2359" customFormat="false" ht="15" hidden="false" customHeight="false" outlineLevel="0" collapsed="false">
      <c r="N2359" s="83" t="s">
        <v>4734</v>
      </c>
    </row>
    <row r="2360" customFormat="false" ht="15" hidden="false" customHeight="false" outlineLevel="0" collapsed="false">
      <c r="N2360" s="83" t="s">
        <v>4735</v>
      </c>
    </row>
    <row r="2361" customFormat="false" ht="15" hidden="false" customHeight="false" outlineLevel="0" collapsed="false">
      <c r="N2361" s="83" t="s">
        <v>4736</v>
      </c>
    </row>
    <row r="2362" customFormat="false" ht="15" hidden="false" customHeight="false" outlineLevel="0" collapsed="false">
      <c r="N2362" s="83" t="s">
        <v>4737</v>
      </c>
    </row>
    <row r="2363" customFormat="false" ht="15" hidden="false" customHeight="false" outlineLevel="0" collapsed="false">
      <c r="N2363" s="83" t="s">
        <v>4738</v>
      </c>
    </row>
    <row r="2364" customFormat="false" ht="15" hidden="false" customHeight="false" outlineLevel="0" collapsed="false">
      <c r="N2364" s="83" t="s">
        <v>4739</v>
      </c>
    </row>
    <row r="2365" customFormat="false" ht="15" hidden="false" customHeight="false" outlineLevel="0" collapsed="false">
      <c r="N2365" s="83" t="s">
        <v>4740</v>
      </c>
    </row>
    <row r="2366" customFormat="false" ht="15" hidden="false" customHeight="false" outlineLevel="0" collapsed="false">
      <c r="N2366" s="83" t="s">
        <v>4741</v>
      </c>
    </row>
    <row r="2367" customFormat="false" ht="15" hidden="false" customHeight="false" outlineLevel="0" collapsed="false">
      <c r="N2367" s="83" t="s">
        <v>4742</v>
      </c>
    </row>
    <row r="2368" customFormat="false" ht="15" hidden="false" customHeight="false" outlineLevel="0" collapsed="false">
      <c r="N2368" s="83" t="s">
        <v>4743</v>
      </c>
    </row>
    <row r="2369" customFormat="false" ht="15" hidden="false" customHeight="false" outlineLevel="0" collapsed="false">
      <c r="N2369" s="83" t="s">
        <v>4744</v>
      </c>
    </row>
    <row r="2370" customFormat="false" ht="15" hidden="false" customHeight="false" outlineLevel="0" collapsed="false">
      <c r="N2370" s="83" t="s">
        <v>4745</v>
      </c>
    </row>
    <row r="2371" customFormat="false" ht="15" hidden="false" customHeight="false" outlineLevel="0" collapsed="false">
      <c r="N2371" s="83" t="s">
        <v>4746</v>
      </c>
    </row>
    <row r="2372" customFormat="false" ht="15" hidden="false" customHeight="false" outlineLevel="0" collapsed="false">
      <c r="N2372" s="83" t="s">
        <v>4747</v>
      </c>
    </row>
    <row r="2373" customFormat="false" ht="15" hidden="false" customHeight="false" outlineLevel="0" collapsed="false">
      <c r="N2373" s="83" t="s">
        <v>4748</v>
      </c>
    </row>
    <row r="2374" customFormat="false" ht="15" hidden="false" customHeight="false" outlineLevel="0" collapsed="false">
      <c r="N2374" s="83" t="s">
        <v>4749</v>
      </c>
    </row>
    <row r="2375" customFormat="false" ht="15" hidden="false" customHeight="false" outlineLevel="0" collapsed="false">
      <c r="N2375" s="83" t="s">
        <v>4750</v>
      </c>
    </row>
    <row r="2376" customFormat="false" ht="15" hidden="false" customHeight="false" outlineLevel="0" collapsed="false">
      <c r="N2376" s="83" t="s">
        <v>4751</v>
      </c>
    </row>
    <row r="2377" customFormat="false" ht="15" hidden="false" customHeight="false" outlineLevel="0" collapsed="false">
      <c r="N2377" s="83" t="s">
        <v>4752</v>
      </c>
    </row>
    <row r="2378" customFormat="false" ht="15" hidden="false" customHeight="false" outlineLevel="0" collapsed="false">
      <c r="N2378" s="83" t="s">
        <v>4753</v>
      </c>
    </row>
    <row r="2379" customFormat="false" ht="15" hidden="false" customHeight="false" outlineLevel="0" collapsed="false">
      <c r="N2379" s="83" t="s">
        <v>4754</v>
      </c>
    </row>
    <row r="2380" customFormat="false" ht="15" hidden="false" customHeight="false" outlineLevel="0" collapsed="false">
      <c r="N2380" s="83" t="s">
        <v>4755</v>
      </c>
    </row>
    <row r="2381" customFormat="false" ht="15" hidden="false" customHeight="false" outlineLevel="0" collapsed="false">
      <c r="N2381" s="83" t="s">
        <v>4756</v>
      </c>
    </row>
    <row r="2382" customFormat="false" ht="15" hidden="false" customHeight="false" outlineLevel="0" collapsed="false">
      <c r="N2382" s="83" t="s">
        <v>4757</v>
      </c>
    </row>
    <row r="2383" customFormat="false" ht="15" hidden="false" customHeight="false" outlineLevel="0" collapsed="false">
      <c r="N2383" s="83" t="s">
        <v>4758</v>
      </c>
    </row>
    <row r="2384" customFormat="false" ht="15" hidden="false" customHeight="false" outlineLevel="0" collapsed="false">
      <c r="N2384" s="83" t="s">
        <v>4759</v>
      </c>
    </row>
    <row r="2385" customFormat="false" ht="15" hidden="false" customHeight="false" outlineLevel="0" collapsed="false">
      <c r="N2385" s="83" t="s">
        <v>2226</v>
      </c>
    </row>
    <row r="2386" customFormat="false" ht="15" hidden="false" customHeight="false" outlineLevel="0" collapsed="false">
      <c r="N2386" s="83" t="s">
        <v>4760</v>
      </c>
    </row>
    <row r="2387" customFormat="false" ht="15" hidden="false" customHeight="false" outlineLevel="0" collapsed="false">
      <c r="N2387" s="83" t="s">
        <v>2231</v>
      </c>
    </row>
    <row r="2388" customFormat="false" ht="15" hidden="false" customHeight="false" outlineLevel="0" collapsed="false">
      <c r="N2388" s="83" t="s">
        <v>4761</v>
      </c>
    </row>
    <row r="2389" customFormat="false" ht="15" hidden="false" customHeight="false" outlineLevel="0" collapsed="false">
      <c r="N2389" s="83" t="s">
        <v>4762</v>
      </c>
    </row>
    <row r="2390" customFormat="false" ht="15" hidden="false" customHeight="false" outlineLevel="0" collapsed="false">
      <c r="N2390" s="83" t="s">
        <v>4763</v>
      </c>
    </row>
    <row r="2391" customFormat="false" ht="15" hidden="false" customHeight="false" outlineLevel="0" collapsed="false">
      <c r="N2391" s="83" t="s">
        <v>2236</v>
      </c>
    </row>
    <row r="2392" customFormat="false" ht="15" hidden="false" customHeight="false" outlineLevel="0" collapsed="false">
      <c r="N2392" s="83" t="s">
        <v>4764</v>
      </c>
    </row>
    <row r="2393" customFormat="false" ht="15" hidden="false" customHeight="false" outlineLevel="0" collapsed="false">
      <c r="N2393" s="83" t="s">
        <v>4765</v>
      </c>
    </row>
    <row r="2394" customFormat="false" ht="15" hidden="false" customHeight="false" outlineLevel="0" collapsed="false">
      <c r="N2394" s="83" t="s">
        <v>4766</v>
      </c>
    </row>
    <row r="2395" customFormat="false" ht="15" hidden="false" customHeight="false" outlineLevel="0" collapsed="false">
      <c r="N2395" s="83" t="s">
        <v>4767</v>
      </c>
    </row>
    <row r="2396" customFormat="false" ht="15" hidden="false" customHeight="false" outlineLevel="0" collapsed="false">
      <c r="N2396" s="83" t="s">
        <v>4768</v>
      </c>
    </row>
    <row r="2397" customFormat="false" ht="15" hidden="false" customHeight="false" outlineLevel="0" collapsed="false">
      <c r="N2397" s="83" t="s">
        <v>4769</v>
      </c>
    </row>
    <row r="2398" customFormat="false" ht="15" hidden="false" customHeight="false" outlineLevel="0" collapsed="false">
      <c r="N2398" s="83" t="s">
        <v>4770</v>
      </c>
    </row>
    <row r="2399" customFormat="false" ht="15" hidden="false" customHeight="false" outlineLevel="0" collapsed="false">
      <c r="N2399" s="83" t="s">
        <v>4771</v>
      </c>
    </row>
    <row r="2400" customFormat="false" ht="15" hidden="false" customHeight="false" outlineLevel="0" collapsed="false">
      <c r="N2400" s="83" t="s">
        <v>4772</v>
      </c>
    </row>
    <row r="2401" customFormat="false" ht="15" hidden="false" customHeight="false" outlineLevel="0" collapsed="false">
      <c r="N2401" s="83" t="s">
        <v>4773</v>
      </c>
    </row>
    <row r="2402" customFormat="false" ht="15" hidden="false" customHeight="false" outlineLevel="0" collapsed="false">
      <c r="N2402" s="83" t="s">
        <v>4774</v>
      </c>
    </row>
    <row r="2403" customFormat="false" ht="15" hidden="false" customHeight="false" outlineLevel="0" collapsed="false">
      <c r="N2403" s="83" t="s">
        <v>4775</v>
      </c>
    </row>
    <row r="2404" customFormat="false" ht="15" hidden="false" customHeight="false" outlineLevel="0" collapsed="false">
      <c r="N2404" s="83" t="s">
        <v>4776</v>
      </c>
    </row>
    <row r="2405" customFormat="false" ht="15" hidden="false" customHeight="false" outlineLevel="0" collapsed="false">
      <c r="N2405" s="83" t="s">
        <v>4777</v>
      </c>
    </row>
    <row r="2406" customFormat="false" ht="15" hidden="false" customHeight="false" outlineLevel="0" collapsed="false">
      <c r="N2406" s="83" t="s">
        <v>4778</v>
      </c>
    </row>
    <row r="2407" customFormat="false" ht="15" hidden="false" customHeight="false" outlineLevel="0" collapsed="false">
      <c r="N2407" s="83" t="s">
        <v>4779</v>
      </c>
    </row>
    <row r="2408" customFormat="false" ht="15" hidden="false" customHeight="false" outlineLevel="0" collapsed="false">
      <c r="N2408" s="83" t="s">
        <v>4780</v>
      </c>
    </row>
    <row r="2409" customFormat="false" ht="15" hidden="false" customHeight="false" outlineLevel="0" collapsed="false">
      <c r="N2409" s="83" t="s">
        <v>4781</v>
      </c>
    </row>
    <row r="2410" customFormat="false" ht="15" hidden="false" customHeight="false" outlineLevel="0" collapsed="false">
      <c r="N2410" s="83" t="s">
        <v>4782</v>
      </c>
    </row>
    <row r="2411" customFormat="false" ht="15" hidden="false" customHeight="false" outlineLevel="0" collapsed="false">
      <c r="N2411" s="83" t="s">
        <v>4783</v>
      </c>
    </row>
    <row r="2412" customFormat="false" ht="15" hidden="false" customHeight="false" outlineLevel="0" collapsed="false">
      <c r="N2412" s="83" t="s">
        <v>4784</v>
      </c>
    </row>
    <row r="2413" customFormat="false" ht="15" hidden="false" customHeight="false" outlineLevel="0" collapsed="false">
      <c r="N2413" s="83" t="s">
        <v>4785</v>
      </c>
    </row>
    <row r="2414" customFormat="false" ht="15" hidden="false" customHeight="false" outlineLevel="0" collapsed="false">
      <c r="N2414" s="83" t="s">
        <v>4786</v>
      </c>
    </row>
    <row r="2415" customFormat="false" ht="15" hidden="false" customHeight="false" outlineLevel="0" collapsed="false">
      <c r="N2415" s="83" t="s">
        <v>4787</v>
      </c>
    </row>
  </sheetData>
  <sheetProtection sheet="true" formatCells="false" formatColumns="false" formatRows="false" autoFilter="false"/>
  <mergeCells count="1">
    <mergeCell ref="A23:F23"/>
  </mergeCells>
  <dataValidations count="6">
    <dataValidation allowBlank="false" error="UTC offset in hours, -12 to 14" errorStyle="stop" errorTitle="Invalid setting" operator="between" showDropDown="false" showErrorMessage="true" showInputMessage="false" sqref="B5" type="decimal">
      <formula1>-12</formula1>
      <formula2>14</formula2>
    </dataValidation>
    <dataValidation allowBlank="false" error="Hours, 1 to 10 (must stay below the 12 h preparation check)" errorStyle="stop" errorTitle="Invalid setting" operator="between" showDropDown="false" showErrorMessage="true" showInputMessage="false" sqref="B7" type="decimal">
      <formula1>1</formula1>
      <formula2>10</formula2>
    </dataValidation>
    <dataValidation allowBlank="false" error="Hours, 1 to 72" errorStyle="stop" errorTitle="Invalid setting" operator="between" showDropDown="false" showErrorMessage="true" showInputMessage="false" sqref="B8" type="decimal">
      <formula1>1</formula1>
      <formula2>72</formula2>
    </dataValidation>
    <dataValidation allowBlank="false" error="Hours, 1 to 48" errorStyle="stop" errorTitle="Invalid setting" operator="between" showDropDown="false" showErrorMessage="true" showInputMessage="false" sqref="B9" type="decimal">
      <formula1>1</formula1>
      <formula2>48</formula2>
    </dataValidation>
    <dataValidation allowBlank="false" error="Days, 1 to 60" errorStyle="stop" errorTitle="Invalid setting" operator="between" showDropDown="false" showErrorMessage="true" showInputMessage="false" sqref="B10" type="decimal">
      <formula1>1</formula1>
      <formula2>60</formula2>
    </dataValidation>
    <dataValidation allowBlank="true" error="Enter a UTC date-time in 2026-2027, or leave blank for the live clock." errorStyle="stop" errorTitle="Date-time required" operator="between" showDropDown="false" showErrorMessage="true" showInputMessage="false" sqref="B4" type="decimal">
      <formula1>46023</formula1>
      <formula2>46752</formula2>
    </dataValidation>
  </dataValidations>
  <printOptions headings="false" gridLines="false" gridLinesSet="true" horizontalCentered="false" verticalCentered="false"/>
  <pageMargins left="0.3" right="0.3"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&amp;A  |  Page &amp;P of &amp;N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F01  "&amp;Flights!$F$5&amp;"  "&amp;TEXT(Flights!$D$5,"DD-MMM-YY")&amp;" ("&amp;Flights!$E$5&amp;")  "&amp;Flights!$G$5&amp;" → "&amp;Flights!$H$5&amp;"  |  Class "&amp;Flights!$K$5</f>
        <v>SKYTRAX 2026 CATERING READINESS CHECKLIST  |  F01  MH0001  08-Oct-26 (THU)  LHR → KUL  |  Class EY</v>
      </c>
      <c r="B1" s="93"/>
      <c r="C1" s="93"/>
      <c r="D1" s="93"/>
      <c r="E1" s="93"/>
      <c r="F1" s="93"/>
      <c r="G1" s="93"/>
      <c r="H1" s="93"/>
    </row>
    <row r="2" customFormat="false" ht="12.75" hidden="false" customHeight="true" outlineLevel="0" collapsed="false">
      <c r="A2" s="94" t="s">
        <v>4788</v>
      </c>
      <c r="B2" s="95" t="str">
        <f aca="false">Flights!$F$5&amp;"   "&amp;TEXT(Flights!$D$5,"DD-MMM-YY")&amp;" ("&amp;Flights!$E$5&amp;")"</f>
        <v>MH0001   08-Oct-26 (THU)</v>
      </c>
      <c r="C2" s="95"/>
      <c r="D2" s="95"/>
      <c r="E2" s="96" t="s">
        <v>4789</v>
      </c>
      <c r="F2" s="97" t="str">
        <f aca="false">Flights!$AT$5</f>
        <v>NOT READY – DOCUMENTS</v>
      </c>
      <c r="G2" s="97"/>
      <c r="H2" s="97"/>
    </row>
    <row r="3" customFormat="false" ht="24" hidden="false" customHeight="true" outlineLevel="0" collapsed="false">
      <c r="A3" s="94" t="s">
        <v>4790</v>
      </c>
      <c r="B3" s="95" t="str">
        <f aca="false">Flights!$G$5&amp;" → "&amp;Flights!$H$5&amp;"   Class "&amp;Flights!$K$5&amp;"   Seat "&amp;Flights!$O$5</f>
        <v>LHR → KUL   Class EY   Seat 14C</v>
      </c>
      <c r="C3" s="95"/>
      <c r="D3" s="95"/>
      <c r="E3" s="96" t="s">
        <v>73</v>
      </c>
      <c r="F3" s="96" t="s">
        <v>4791</v>
      </c>
      <c r="G3" s="96" t="s">
        <v>4792</v>
      </c>
      <c r="H3" s="96"/>
    </row>
    <row r="4" customFormat="false" ht="24" hidden="false" customHeight="true" outlineLevel="0" collapsed="false">
      <c r="A4" s="94" t="s">
        <v>4793</v>
      </c>
      <c r="B4" s="95" t="str">
        <f aca="false">IF(ISNUMBER(Flights!$I$5),TEXT(Flights!$I$5,"DD-MMM-YY HH:MM"),"")&amp;" "&amp;Flights!$G$5&amp;"  →  "&amp;IF(ISNUMBER(Flights!$J$5),TEXT(Flights!$J$5,"DD-MMM-YY HH:MM"),"")&amp;" "&amp;Flights!$H$5</f>
        <v>08-Oct-26 21:35 LHR  →  09-Oct-26 17:50 KUL</v>
      </c>
      <c r="C4" s="95"/>
      <c r="D4" s="95"/>
      <c r="E4" s="94" t="s">
        <v>4794</v>
      </c>
      <c r="F4" s="98" t="str">
        <f aca="false">IF(ISNUMBER(Flights!$AG$5),TEXT(Flights!$AG$5,"DD-MMM-YY HH:MM"),"")&amp;" "&amp;Flights!$V$5</f>
        <v>01-Oct-26 21:35 LHR</v>
      </c>
      <c r="G4" s="99" t="n">
        <f aca="false">Flights!$AJ$5</f>
        <v>0</v>
      </c>
      <c r="H4" s="99"/>
    </row>
    <row r="5" customFormat="false" ht="24" hidden="false" customHeight="true" outlineLevel="0" collapsed="false">
      <c r="A5" s="94" t="s">
        <v>4795</v>
      </c>
      <c r="B5" s="95" t="str">
        <f aca="false">Flights!$L$5&amp;" – "&amp;Flights!$M$5</f>
        <v>A350 – A350-900: A359 (9M-MAB..MAG) or A350 (9M-MAH) - tail to confirm</v>
      </c>
      <c r="C5" s="95"/>
      <c r="D5" s="95"/>
      <c r="E5" s="94" t="s">
        <v>4796</v>
      </c>
      <c r="F5" s="98" t="str">
        <f aca="false">IF(ISNUMBER(Flights!$AH$5),TEXT(Flights!$AH$5,"DD-MMM-YY HH:MM"),"")&amp;" "&amp;Flights!$V$5</f>
        <v>07-Oct-26 21:35 LHR</v>
      </c>
      <c r="G5" s="99" t="n">
        <f aca="false">Flights!$AK$5</f>
        <v>0</v>
      </c>
      <c r="H5" s="99"/>
    </row>
    <row r="6" customFormat="false" ht="24" hidden="false" customHeight="true" outlineLevel="0" collapsed="false">
      <c r="A6" s="94" t="s">
        <v>4797</v>
      </c>
      <c r="B6" s="95" t="str">
        <f aca="false">IF(TRIM(Flights!$N$5)="","__________________",Flights!$N$5)</f>
        <v>__________________</v>
      </c>
      <c r="C6" s="95"/>
      <c r="D6" s="95"/>
      <c r="E6" s="94" t="s">
        <v>4798</v>
      </c>
      <c r="F6" s="98" t="str">
        <f aca="false">IF(ISNUMBER(Flights!$AI$5),TEXT(Flights!$AI$5,"DD-MMM-YY HH:MM"),"")&amp;" "&amp;Flights!$V$5&amp;IF(Flights!$AI$5=Flights!$AH$5,"  (= T-24H due)","")</f>
        <v>08-Oct-26 09:35 LHR</v>
      </c>
      <c r="G6" s="99" t="n">
        <f aca="false">Flights!$AL$5</f>
        <v>0</v>
      </c>
      <c r="H6" s="99"/>
    </row>
    <row r="7" customFormat="false" ht="24" hidden="false" customHeight="true" outlineLevel="0" collapsed="false">
      <c r="A7" s="94" t="s">
        <v>4799</v>
      </c>
      <c r="B7" s="95" t="str">
        <f aca="false">Flights!$T$5</f>
        <v>2.5 Meal (Meal)</v>
      </c>
      <c r="C7" s="95"/>
      <c r="D7" s="95"/>
      <c r="E7" s="94" t="s">
        <v>4800</v>
      </c>
      <c r="F7" s="98" t="str">
        <f aca="false">"STD "&amp;IF(ISNUMBER(Flights!$I$5),TEXT(Flights!$I$5,"DD-MMM-YY HH:MM"),"")&amp;" "&amp;Flights!$G$5&amp;" (dep stn)"</f>
        <v>STD 08-Oct-26 21:35 LHR (dep stn)</v>
      </c>
      <c r="G7" s="99" t="n">
        <f aca="false">Flights!$AM$5</f>
        <v>0</v>
      </c>
      <c r="H7" s="99"/>
    </row>
    <row r="8" customFormat="false" ht="12.75" hidden="false" customHeight="true" outlineLevel="0" collapsed="false">
      <c r="A8" s="94" t="s">
        <v>155</v>
      </c>
      <c r="B8" s="95" t="str">
        <f aca="false">Flights!$V$5&amp;"   (reference uplift stns: "&amp;Flights!$U$5&amp;")"</f>
        <v>LHR   (reference uplift stns: KUL/LHR)</v>
      </c>
      <c r="C8" s="95"/>
      <c r="D8" s="95"/>
      <c r="E8" s="94" t="s">
        <v>4801</v>
      </c>
      <c r="F8" s="100" t="s">
        <v>4802</v>
      </c>
      <c r="G8" s="99" t="n">
        <f aca="false">Flights!$AN$5</f>
        <v>0</v>
      </c>
      <c r="H8" s="99"/>
    </row>
    <row r="9" customFormat="false" ht="12.75" hidden="false" customHeight="true" outlineLevel="0" collapsed="false">
      <c r="A9" s="94" t="s">
        <v>4803</v>
      </c>
      <c r="B9" s="95" t="str">
        <f aca="false">TRIM(Flights!$P$5&amp;"  "&amp;Flights!$Q$5)</f>
        <v>-</v>
      </c>
      <c r="C9" s="95"/>
      <c r="D9" s="95"/>
      <c r="E9" s="94" t="s">
        <v>4804</v>
      </c>
      <c r="F9" s="101" t="n">
        <f aca="false">Flights!$AP$5</f>
        <v>0</v>
      </c>
      <c r="G9" s="102" t="n">
        <f aca="false">Flights!$AQ$5</f>
        <v>0</v>
      </c>
      <c r="H9" s="103" t="n">
        <f aca="false">Flights!$AU$5</f>
        <v>0</v>
      </c>
    </row>
    <row r="10" customFormat="false" ht="24" hidden="false" customHeight="true" outlineLevel="0" collapsed="false">
      <c r="A10" s="94" t="s">
        <v>4805</v>
      </c>
      <c r="B10" s="95" t="str">
        <f aca="false">IF(TRIM(Flights!$X$5)="","__________________",Flights!$X$5)</f>
        <v>__________________</v>
      </c>
      <c r="C10" s="95"/>
      <c r="D10" s="95"/>
      <c r="E10" s="94" t="s">
        <v>4806</v>
      </c>
      <c r="F10" s="104" t="n">
        <f aca="false">Flights!$AO$5</f>
        <v>24</v>
      </c>
      <c r="G10" s="105" t="n">
        <f aca="false">Flights!$AS$5</f>
        <v>2</v>
      </c>
      <c r="H10" s="106" t="n">
        <f aca="false">Flights!$AR$5</f>
        <v>2</v>
      </c>
    </row>
    <row r="11" customFormat="false" ht="21" hidden="false" customHeight="true" outlineLevel="0" collapsed="false">
      <c r="A11" s="94" t="s">
        <v>4807</v>
      </c>
      <c r="B11" s="95" t="str">
        <f aca="false">IF(TRIM(Flights!$Y$5)="","__________________",Flights!$Y$5)</f>
        <v>__________________</v>
      </c>
      <c r="C11" s="95"/>
      <c r="D11" s="95"/>
      <c r="E11" s="94" t="s">
        <v>4808</v>
      </c>
      <c r="F11" s="97" t="str">
        <f aca="false">Flights!$AV$5&amp;" / "&amp;Flights!$AW$5</f>
        <v>0 / 24</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IF(Documents!$F$5="","",Documents!$F$5)</f>
        <v/>
      </c>
      <c r="C15" s="100" t="str">
        <f aca="false">IF(Documents!$G$5="","",Documents!$G$5)&amp;IF(ISNUMBER(Documents!$H$5),"  "&amp;TEXT(Documents!$H$5,"DD-MMM-YY"),"")</f>
        <v/>
      </c>
      <c r="D15" s="100"/>
      <c r="E15" s="114" t="str">
        <f aca="false">IF(Documents!$J$5="OUTSTANDING","OUTSTANDING – attach before T-7D (due "&amp;IF(ISNUMBER(Flights!$AG$5),TEXT(Flights!$AG$5,"DD-MMM-YY HH:MM"),"")&amp;" "&amp;Flights!$V$5&amp;")",IF(Documents!$J$5="","Status not recorded",Documents!$J$5))</f>
        <v>OUTSTANDING – attach before T-7D (due 01-Oct-26 21:35 LHR)</v>
      </c>
      <c r="F15" s="115" t="str">
        <f aca="false">"Staple behind this sheet as page A1."&amp;IF(Documents!$I$5="",""," Location: "&amp;Documents!$I$5)</f>
        <v>Staple behind this sheet as page A1.</v>
      </c>
      <c r="G15" s="115"/>
      <c r="H15" s="115"/>
    </row>
    <row r="16" customFormat="false" ht="36" hidden="false" customHeight="true" outlineLevel="0" collapsed="false">
      <c r="A16" s="94" t="s">
        <v>4819</v>
      </c>
      <c r="B16" s="95" t="str">
        <f aca="false">IF(Documents!$K$5="","",Documents!$K$5)</f>
        <v/>
      </c>
      <c r="C16" s="100" t="str">
        <f aca="false">IF(Documents!$L$5="","",Documents!$L$5)&amp;IF(ISNUMBER(Documents!$M$5),"  "&amp;TEXT(Documents!$M$5,"DD-MMM-YY"),"")</f>
        <v/>
      </c>
      <c r="D16" s="100"/>
      <c r="E16" s="114" t="str">
        <f aca="false">IF(Documents!$O$5="OUTSTANDING","OUTSTANDING – attach before T-7D (due "&amp;IF(ISNUMBER(Flights!$AG$5),TEXT(Flights!$AG$5,"DD-MMM-YY HH:MM"),"")&amp;" "&amp;Flights!$V$5&amp;")",IF(Documents!$O$5="","Status not recorded",Documents!$O$5))</f>
        <v>OUTSTANDING – attach before T-7D (due 01-Oct-26 21:35 LHR)</v>
      </c>
      <c r="F16" s="115" t="str">
        <f aca="false">"Staple behind this sheet as page A2."&amp;IF(Documents!$N$5="",""," Location: "&amp;Documents!$N$5)</f>
        <v>Staple behind this sheet as page A2.</v>
      </c>
      <c r="G16" s="115"/>
      <c r="H16" s="115"/>
    </row>
    <row r="17" customFormat="false" ht="22.5" hidden="false" customHeight="true" outlineLevel="0" collapsed="false">
      <c r="A17" s="94" t="s">
        <v>4820</v>
      </c>
      <c r="B17" s="116" t="str">
        <f aca="false">IF(Documents!$Q$5="","",Documents!$Q$5)</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"&amp;IF(TRIM(Flights!$Y$5)="","__________________",Flights!$Y$5)</f>
        <v>Name: __________________</v>
      </c>
      <c r="B19" s="95"/>
      <c r="C19" s="95" t="str">
        <f aca="false">"Name: __________________"</f>
        <v>Name: __________________</v>
      </c>
      <c r="D19" s="95"/>
      <c r="E19" s="95"/>
      <c r="F19" s="95" t="str">
        <f aca="false">"Name: __________________"&amp;"   Station: "&amp;Flights!$V$5</f>
        <v>Name: __________________   Station: LHR</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"&amp;IF(ISNUMBER(Flights!$AG$5),TEXT(Flights!$AG$5,"DD-MMM-YY HH:MM"),"")&amp;" "&amp;Flights!$V$5&amp;" (meal uplift stn)"&amp;" (rows with another due show their own)  |  Complete "&amp;IF(ISNUMBER(Flights!$AJ$5),TEXT(Flights!$AJ$5,"0%"),Flights!$AJ$5)&amp;"  |  9 lines"</f>
        <v>T-7D — 7 days before departure  |  Due 01-Oct-26 21:35 LHR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Checks!$A$5&amp;CHAR(10)&amp;IF(Checks!$I$5="","",Checks!$I$5&amp;": ")&amp;Checks!$J$5</f>
        <v>F01-T7-01
Meal: Meal sensory testing completed for this flight's menu cycle (assessed class)</v>
      </c>
      <c r="B23" s="120" t="str">
        <f aca="false">Checks!$K$5&amp;IF(Checks!$O$5="","",IF(Checks!$K$5="","",CHAR(10))&amp;"Note: "&amp;Checks!$O$5)</f>
        <v>Record panel result / score in Result</v>
      </c>
      <c r="C23" s="120" t="str">
        <f aca="false">Checks!$N$5&amp;CHAR(10)&amp;IF(ISNUMBER(Checks!$R$5),TEXT(Checks!$R$5,"DD-MMM-YY HH:MM"),"")&amp;" "&amp;Checks!$P$5</f>
        <v>Required
01-Oct-26 21:35 LHR</v>
      </c>
      <c r="D23" s="120" t="str">
        <f aca="false">IF(TRIM(Checks!$U$5)&lt;&gt;"",Checks!$U$5&amp;IF(Checks!$AB$5="","",CHAR(10)&amp;"CA: "&amp;Checks!$AB$5),IF(LEFT(Checks!$AH$5,10)="N/A – RULE","","[ ] Pass"&amp;CHAR(10)&amp;"[ ] Pass after CA"&amp;CHAR(10)&amp;"[ ] Fail"&amp;IF(Checks!$AT$5=1,CHAR(10)&amp;"[ ] N/A","")&amp;CHAR(10)&amp;"CA: Open / Closed"))</f>
        <v>[ ] Pass
[ ] Pass after CA
[ ] Fail
CA: Open / Closed</v>
      </c>
      <c r="E23" s="120" t="str">
        <f aca="false">IF(Checks!$V$5="","",Checks!$V$5)&amp;IF(Checks!$AC$5="","",IF(Checks!$V$5="","",CHAR(10))&amp;"N/A just.: "&amp;Checks!$AC$5)&amp;IF(OR(Checks!$W$5&lt;&gt;"",AND(Checks!$AQ$5=1,NOT(LEFT(Checks!$AH$5,10)="N/A – RULE"))),CHAR(10)&amp;"Batch: "&amp;IF(Checks!$W$5="","____________",Checks!$W$5),"")&amp;IF(OR(Checks!$X$5&lt;&gt;"",Checks!$Y$5&lt;&gt;"",AND(Checks!$AR$5=1,NOT(LEFT(Checks!$AH$5,10)="N/A – RULE"))),CHAR(10)&amp;"Exp: "&amp;IF(Checks!$X$5="","______",Checks!$X$5)&amp;"  /  Act: "&amp;IF(Checks!$Y$5="","______",Checks!$Y$5),"")</f>
        <v/>
      </c>
      <c r="F23" s="120" t="str">
        <f aca="false">IF(AND(LEFT(Checks!$AH$5,10)="N/A – RULE",TRIM(Checks!$S$5&amp;Checks!$Z$5)=""),"","Type: "&amp;IF(TRIM(Checks!$S$5)="","______________ (see cover list)",Checks!$S$5)&amp;CHAR(10)&amp;"ID: "&amp;IF(TRIM(Checks!$Z$5)="","______________ (record's own no.)",Checks!$Z$5))&amp;IF(Checks!$AA$5="","",CHAR(10)&amp;"CA: "&amp;Checks!$AA$5)</f>
        <v>Type: ______________ (see cover list)
ID: ______________ (record's own no.)</v>
      </c>
      <c r="G23" s="120" t="str">
        <f aca="false">IF(AND(LEFT(Checks!$AH$5,10)="N/A – RULE",NOT(ISNUMBER(Checks!$AD$5)),Checks!$AE$5="",Checks!$T$5=""),"","Done: "&amp;IF(ISNUMBER(Checks!$AD$5),TEXT(Checks!$AD$5,"DD-MMM-YY HH:MM"),"____________")&amp;" "&amp;Checks!$P$5&amp;CHAR(10)&amp;"Verifier: "&amp;IF(Checks!$AE$5="","____________",Checks!$AE$5)&amp;CHAR(10)&amp;"PIC: "&amp;IF(Checks!$T$5="","____________",Checks!$T$5))</f>
        <v>Done: ____________ LHR
Verifier: ____________
PIC: ____________</v>
      </c>
      <c r="H23" s="121" t="str">
        <f aca="false">IF(Checks!$AH$5="","",Checks!$AH$5)</f>
        <v>OPEN</v>
      </c>
    </row>
    <row r="24" customFormat="false" ht="114" hidden="false" customHeight="true" outlineLevel="0" collapsed="false">
      <c r="A24" s="120" t="str">
        <f aca="false">Checks!$A$6&amp;CHAR(10)&amp;IF(Checks!$I$6="","",Checks!$I$6&amp;": ")&amp;Checks!$J$6</f>
        <v>F01-T7-02
Menu: Printed menu cards confirmed (content, cycle, language, quantity)</v>
      </c>
      <c r="B24" s="120" t="str">
        <f aca="false">Checks!$K$6&amp;IF(Checks!$O$6="","",IF(Checks!$K$6="","",CHAR(10))&amp;"Note: "&amp;Checks!$O$6)</f>
        <v>Menu card matches approved menu for this flight</v>
      </c>
      <c r="C24" s="120" t="str">
        <f aca="false">Checks!$N$6&amp;CHAR(10)&amp;IF(ISNUMBER(Checks!$R$6),TEXT(Checks!$R$6,"DD-MMM-YY HH:MM"),"")&amp;" "&amp;Checks!$P$6</f>
        <v>Required
01-Oct-26 21:35 LHR</v>
      </c>
      <c r="D24" s="120" t="str">
        <f aca="false">IF(TRIM(Checks!$U$6)&lt;&gt;"",Checks!$U$6&amp;IF(Checks!$AB$6="","",CHAR(10)&amp;"CA: "&amp;Checks!$AB$6),IF(LEFT(Checks!$AH$6,10)="N/A – RULE","","[ ] Pass"&amp;CHAR(10)&amp;"[ ] Pass after CA"&amp;CHAR(10)&amp;"[ ] Fail"&amp;IF(Checks!$AT$6=1,CHAR(10)&amp;"[ ] N/A","")&amp;CHAR(10)&amp;"CA: Open / Closed"))</f>
        <v>[ ] Pass
[ ] Pass after CA
[ ] Fail
CA: Open / Closed</v>
      </c>
      <c r="E24" s="120" t="str">
        <f aca="false">IF(Checks!$V$6="","",Checks!$V$6)&amp;IF(Checks!$AC$6="","",IF(Checks!$V$6="","",CHAR(10))&amp;"N/A just.: "&amp;Checks!$AC$6)&amp;IF(OR(Checks!$W$6&lt;&gt;"",AND(Checks!$AQ$6=1,NOT(LEFT(Checks!$AH$6,10)="N/A – RULE"))),CHAR(10)&amp;"Batch: "&amp;IF(Checks!$W$6="","____________",Checks!$W$6),"")&amp;IF(OR(Checks!$X$6&lt;&gt;"",Checks!$Y$6&lt;&gt;"",AND(Checks!$AR$6=1,NOT(LEFT(Checks!$AH$6,10)="N/A – RULE"))),CHAR(10)&amp;"Exp: "&amp;IF(Checks!$X$6="","______",Checks!$X$6)&amp;"  /  Act: "&amp;IF(Checks!$Y$6="","______",Checks!$Y$6),"")</f>
        <v/>
      </c>
      <c r="F24" s="120" t="str">
        <f aca="false">IF(AND(LEFT(Checks!$AH$6,10)="N/A – RULE",TRIM(Checks!$S$6&amp;Checks!$Z$6)=""),"","Type: "&amp;IF(TRIM(Checks!$S$6)="","______________ (see cover list)",Checks!$S$6)&amp;CHAR(10)&amp;"ID: "&amp;IF(TRIM(Checks!$Z$6)="","______________ (record's own no.)",Checks!$Z$6))&amp;IF(Checks!$AA$6="","",CHAR(10)&amp;"CA: "&amp;Checks!$AA$6)</f>
        <v>Type: ______________ (see cover list)
ID: ______________ (record's own no.)</v>
      </c>
      <c r="G24" s="120" t="str">
        <f aca="false">IF(AND(LEFT(Checks!$AH$6,10)="N/A – RULE",NOT(ISNUMBER(Checks!$AD$6)),Checks!$AE$6="",Checks!$T$6=""),"","Done: "&amp;IF(ISNUMBER(Checks!$AD$6),TEXT(Checks!$AD$6,"DD-MMM-YY HH:MM"),"____________")&amp;" "&amp;Checks!$P$6&amp;CHAR(10)&amp;"Verifier: "&amp;IF(Checks!$AE$6="","____________",Checks!$AE$6)&amp;CHAR(10)&amp;"PIC: "&amp;IF(Checks!$T$6="","____________",Checks!$T$6))</f>
        <v>Done: ____________ LHR
Verifier: ____________
PIC: ____________</v>
      </c>
      <c r="H24" s="121" t="str">
        <f aca="false">IF(Checks!$AH$6="","",Checks!$AH$6)</f>
        <v>OPEN</v>
      </c>
    </row>
    <row r="25" customFormat="false" ht="114" hidden="false" customHeight="true" outlineLevel="0" collapsed="false">
      <c r="A25" s="120" t="str">
        <f aca="false">Checks!$A$7&amp;CHAR(10)&amp;IF(Checks!$I$7="","",Checks!$I$7&amp;": ")&amp;Checks!$J$7</f>
        <v>F01-T7-03
IFE: Digital menu in IFE confirmed (A339 only)</v>
      </c>
      <c r="B25" s="120" t="str">
        <f aca="false">Checks!$K$7&amp;IF(Checks!$O$7="","",IF(Checks!$K$7="","",CHAR(10))&amp;"Note: "&amp;Checks!$O$7)</f>
        <v>Applies when fleet = A339
Note: Digital IFE menu applies to A339 only (user brief). Applicability follows the Fleet cell on Flights.</v>
      </c>
      <c r="C25" s="120" t="str">
        <f aca="false">Checks!$N$7&amp;CHAR(10)&amp;IF(ISNUMBER(Checks!$R$7),TEXT(Checks!$R$7,"DD-MMM-YY HH:MM"),"")&amp;" "&amp;Checks!$P$7</f>
        <v>N/A – rule
01-Oct-26 21:35 LHR</v>
      </c>
      <c r="D25" s="120" t="str">
        <f aca="false">IF(TRIM(Checks!$U$7)&lt;&gt;"",Checks!$U$7&amp;IF(Checks!$AB$7="","",CHAR(10)&amp;"CA: "&amp;Checks!$AB$7),IF(LEFT(Checks!$AH$7,10)="N/A – RULE","","[ ] Pass"&amp;CHAR(10)&amp;"[ ] Pass after CA"&amp;CHAR(10)&amp;"[ ] Fail"&amp;IF(Checks!$AT$7=1,CHAR(10)&amp;"[ ] N/A","")&amp;CHAR(10)&amp;"CA: Open / Closed"))</f>
        <v/>
      </c>
      <c r="E25" s="120" t="str">
        <f aca="false">IF(Checks!$V$7="","",Checks!$V$7)&amp;IF(Checks!$AC$7="","",IF(Checks!$V$7="","",CHAR(10))&amp;"N/A just.: "&amp;Checks!$AC$7)&amp;IF(OR(Checks!$W$7&lt;&gt;"",AND(Checks!$AQ$7=1,NOT(LEFT(Checks!$AH$7,10)="N/A – RULE"))),CHAR(10)&amp;"Batch: "&amp;IF(Checks!$W$7="","____________",Checks!$W$7),"")&amp;IF(OR(Checks!$X$7&lt;&gt;"",Checks!$Y$7&lt;&gt;"",AND(Checks!$AR$7=1,NOT(LEFT(Checks!$AH$7,10)="N/A – RULE"))),CHAR(10)&amp;"Exp: "&amp;IF(Checks!$X$7="","______",Checks!$X$7)&amp;"  /  Act: "&amp;IF(Checks!$Y$7="","______",Checks!$Y$7),"")</f>
        <v/>
      </c>
      <c r="F25" s="120" t="str">
        <f aca="false">IF(AND(LEFT(Checks!$AH$7,10)="N/A – RULE",TRIM(Checks!$S$7&amp;Checks!$Z$7)=""),"","Type: "&amp;IF(TRIM(Checks!$S$7)="","______________ (see cover list)",Checks!$S$7)&amp;CHAR(10)&amp;"ID: "&amp;IF(TRIM(Checks!$Z$7)="","______________ (record's own no.)",Checks!$Z$7))&amp;IF(Checks!$AA$7="","",CHAR(10)&amp;"CA: "&amp;Checks!$AA$7)</f>
        <v/>
      </c>
      <c r="G25" s="120" t="str">
        <f aca="false">IF(AND(LEFT(Checks!$AH$7,10)="N/A – RULE",NOT(ISNUMBER(Checks!$AD$7)),Checks!$AE$7="",Checks!$T$7=""),"","Done: "&amp;IF(ISNUMBER(Checks!$AD$7),TEXT(Checks!$AD$7,"DD-MMM-YY HH:MM"),"____________")&amp;" "&amp;Checks!$P$7&amp;CHAR(10)&amp;"Verifier: "&amp;IF(Checks!$AE$7="","____________",Checks!$AE$7)&amp;CHAR(10)&amp;"PIC: "&amp;IF(Checks!$T$7="","____________",Checks!$T$7))</f>
        <v/>
      </c>
      <c r="H25" s="121" t="str">
        <f aca="false">IF(Checks!$AH$7="","",Checks!$AH$7)</f>
        <v>N/A – RULE</v>
      </c>
    </row>
    <row r="26" customFormat="false" ht="114" hidden="false" customHeight="true" outlineLevel="0" collapsed="false">
      <c r="A26" s="120" t="str">
        <f aca="false">Checks!$A$8&amp;CHAR(10)&amp;IF(Checks!$I$8="","",Checks!$I$8&amp;": ")&amp;Checks!$J$8</f>
        <v>F01-T7-04
Staffing: Experienced catering officer assigned to this flight</v>
      </c>
      <c r="B26" s="120" t="str">
        <f aca="false">Checks!$K$8&amp;IF(Checks!$O$8="","",IF(Checks!$K$8="","",CHAR(10))&amp;"Note: "&amp;Checks!$O$8)</f>
        <v>Record officer name in Result</v>
      </c>
      <c r="C26" s="120" t="str">
        <f aca="false">Checks!$N$8&amp;CHAR(10)&amp;IF(ISNUMBER(Checks!$R$8),TEXT(Checks!$R$8,"DD-MMM-YY HH:MM"),"")&amp;" "&amp;Checks!$P$8</f>
        <v>Required
01-Oct-26 21:35 LHR</v>
      </c>
      <c r="D26" s="120" t="str">
        <f aca="false">IF(TRIM(Checks!$U$8)&lt;&gt;"",Checks!$U$8&amp;IF(Checks!$AB$8="","",CHAR(10)&amp;"CA: "&amp;Checks!$AB$8),IF(LEFT(Checks!$AH$8,10)="N/A – RULE","","[ ] Pass"&amp;CHAR(10)&amp;"[ ] Pass after CA"&amp;CHAR(10)&amp;"[ ] Fail"&amp;IF(Checks!$AT$8=1,CHAR(10)&amp;"[ ] N/A","")&amp;CHAR(10)&amp;"CA: Open / Closed"))</f>
        <v>[ ] Pass
[ ] Pass after CA
[ ] Fail
CA: Open / Closed</v>
      </c>
      <c r="E26" s="120" t="str">
        <f aca="false">IF(Checks!$V$8="","",Checks!$V$8)&amp;IF(Checks!$AC$8="","",IF(Checks!$V$8="","",CHAR(10))&amp;"N/A just.: "&amp;Checks!$AC$8)&amp;IF(OR(Checks!$W$8&lt;&gt;"",AND(Checks!$AQ$8=1,NOT(LEFT(Checks!$AH$8,10)="N/A – RULE"))),CHAR(10)&amp;"Batch: "&amp;IF(Checks!$W$8="","____________",Checks!$W$8),"")&amp;IF(OR(Checks!$X$8&lt;&gt;"",Checks!$Y$8&lt;&gt;"",AND(Checks!$AR$8=1,NOT(LEFT(Checks!$AH$8,10)="N/A – RULE"))),CHAR(10)&amp;"Exp: "&amp;IF(Checks!$X$8="","______",Checks!$X$8)&amp;"  /  Act: "&amp;IF(Checks!$Y$8="","______",Checks!$Y$8),"")</f>
        <v/>
      </c>
      <c r="F26" s="120" t="str">
        <f aca="false">IF(AND(LEFT(Checks!$AH$8,10)="N/A – RULE",TRIM(Checks!$S$8&amp;Checks!$Z$8)=""),"","Type: "&amp;IF(TRIM(Checks!$S$8)="","______________ (see cover list)",Checks!$S$8)&amp;CHAR(10)&amp;"ID: "&amp;IF(TRIM(Checks!$Z$8)="","______________ (record's own no.)",Checks!$Z$8))&amp;IF(Checks!$AA$8="","",CHAR(10)&amp;"CA: "&amp;Checks!$AA$8)</f>
        <v>Type: ______________ (see cover list)
ID: ______________ (record's own no.)</v>
      </c>
      <c r="G26" s="120" t="str">
        <f aca="false">IF(AND(LEFT(Checks!$AH$8,10)="N/A – RULE",NOT(ISNUMBER(Checks!$AD$8)),Checks!$AE$8="",Checks!$T$8=""),"","Done: "&amp;IF(ISNUMBER(Checks!$AD$8),TEXT(Checks!$AD$8,"DD-MMM-YY HH:MM"),"____________")&amp;" "&amp;Checks!$P$8&amp;CHAR(10)&amp;"Verifier: "&amp;IF(Checks!$AE$8="","____________",Checks!$AE$8)&amp;CHAR(10)&amp;"PIC: "&amp;IF(Checks!$T$8="","____________",Checks!$T$8))</f>
        <v>Done: ____________ LHR
Verifier: ____________
PIC: ____________</v>
      </c>
      <c r="H26" s="121" t="str">
        <f aca="false">IF(Checks!$AH$8="","",Checks!$AH$8)</f>
        <v>OPEN</v>
      </c>
    </row>
    <row r="27" customFormat="false" ht="114" hidden="false" customHeight="true" outlineLevel="0" collapsed="false">
      <c r="A27" s="120" t="str">
        <f aca="false">Checks!$A$9&amp;CHAR(10)&amp;IF(Checks!$I$9="","",Checks!$I$9&amp;": ")&amp;Checks!$J$9</f>
        <v>F01-T7-05
ISOP: All latest applicable ISOP revisions communicated to caterer</v>
      </c>
      <c r="B27" s="120" t="str">
        <f aca="false">Checks!$K$9&amp;IF(Checks!$O$9="","",IF(Checks!$K$9="","",CHAR(10))&amp;"Note: "&amp;Checks!$O$9)</f>
        <v>List revision numbers in Result (see ISOP register)</v>
      </c>
      <c r="C27" s="120" t="str">
        <f aca="false">Checks!$N$9&amp;CHAR(10)&amp;IF(ISNUMBER(Checks!$R$9),TEXT(Checks!$R$9,"DD-MMM-YY HH:MM"),"")&amp;" "&amp;Checks!$P$9</f>
        <v>Required
01-Oct-26 21:35 LHR</v>
      </c>
      <c r="D27" s="120" t="str">
        <f aca="false">IF(TRIM(Checks!$U$9)&lt;&gt;"",Checks!$U$9&amp;IF(Checks!$AB$9="","",CHAR(10)&amp;"CA: "&amp;Checks!$AB$9),IF(LEFT(Checks!$AH$9,10)="N/A – RULE","","[ ] Pass"&amp;CHAR(10)&amp;"[ ] Pass after CA"&amp;CHAR(10)&amp;"[ ] Fail"&amp;IF(Checks!$AT$9=1,CHAR(10)&amp;"[ ] N/A","")&amp;CHAR(10)&amp;"CA: Open / Closed"))</f>
        <v>[ ] Pass
[ ] Pass after CA
[ ] Fail
CA: Open / Closed</v>
      </c>
      <c r="E27" s="120" t="str">
        <f aca="false">IF(Checks!$V$9="","",Checks!$V$9)&amp;IF(Checks!$AC$9="","",IF(Checks!$V$9="","",CHAR(10))&amp;"N/A just.: "&amp;Checks!$AC$9)&amp;IF(OR(Checks!$W$9&lt;&gt;"",AND(Checks!$AQ$9=1,NOT(LEFT(Checks!$AH$9,10)="N/A – RULE"))),CHAR(10)&amp;"Batch: "&amp;IF(Checks!$W$9="","____________",Checks!$W$9),"")&amp;IF(OR(Checks!$X$9&lt;&gt;"",Checks!$Y$9&lt;&gt;"",AND(Checks!$AR$9=1,NOT(LEFT(Checks!$AH$9,10)="N/A – RULE"))),CHAR(10)&amp;"Exp: "&amp;IF(Checks!$X$9="","______",Checks!$X$9)&amp;"  /  Act: "&amp;IF(Checks!$Y$9="","______",Checks!$Y$9),"")</f>
        <v/>
      </c>
      <c r="F27" s="120" t="str">
        <f aca="false">IF(AND(LEFT(Checks!$AH$9,10)="N/A – RULE",TRIM(Checks!$S$9&amp;Checks!$Z$9)=""),"","Type: "&amp;IF(TRIM(Checks!$S$9)="","______________ (see cover list)",Checks!$S$9)&amp;CHAR(10)&amp;"ID: "&amp;IF(TRIM(Checks!$Z$9)="","______________ (record's own no.)",Checks!$Z$9))&amp;IF(Checks!$AA$9="","",CHAR(10)&amp;"CA: "&amp;Checks!$AA$9)</f>
        <v>Type: ______________ (see cover list)
ID: ______________ (record's own no.)</v>
      </c>
      <c r="G27" s="120" t="str">
        <f aca="false">IF(AND(LEFT(Checks!$AH$9,10)="N/A – RULE",NOT(ISNUMBER(Checks!$AD$9)),Checks!$AE$9="",Checks!$T$9=""),"","Done: "&amp;IF(ISNUMBER(Checks!$AD$9),TEXT(Checks!$AD$9,"DD-MMM-YY HH:MM"),"____________")&amp;" "&amp;Checks!$P$9&amp;CHAR(10)&amp;"Verifier: "&amp;IF(Checks!$AE$9="","____________",Checks!$AE$9)&amp;CHAR(10)&amp;"PIC: "&amp;IF(Checks!$T$9="","____________",Checks!$T$9))</f>
        <v>Done: ____________ LHR
Verifier: ____________
PIC: ____________</v>
      </c>
      <c r="H27" s="121" t="str">
        <f aca="false">IF(Checks!$AH$9="","",Checks!$AH$9)</f>
        <v>OPEN</v>
      </c>
    </row>
    <row r="28" customFormat="false" ht="114" hidden="false" customHeight="true" outlineLevel="0" collapsed="false">
      <c r="A28" s="120" t="str">
        <f aca="false">Checks!$A$10&amp;CHAR(10)&amp;IF(Checks!$I$10="","",Checks!$I$10&amp;": ")&amp;Checks!$J$10</f>
        <v>F01-T7-06
ISOP: Caterer acknowledgement of ISOP revisions recorded</v>
      </c>
      <c r="B28" s="120" t="str">
        <f aca="false">Checks!$K$10&amp;IF(Checks!$O$10="","",IF(Checks!$K$10="","",CHAR(10))&amp;"Note: "&amp;Checks!$O$10)</f>
        <v>Record acknowledgement ref in Evidence</v>
      </c>
      <c r="C28" s="120" t="str">
        <f aca="false">Checks!$N$10&amp;CHAR(10)&amp;IF(ISNUMBER(Checks!$R$10),TEXT(Checks!$R$10,"DD-MMM-YY HH:MM"),"")&amp;" "&amp;Checks!$P$10</f>
        <v>Required
01-Oct-26 21:35 LHR</v>
      </c>
      <c r="D28" s="120" t="str">
        <f aca="false">IF(TRIM(Checks!$U$10)&lt;&gt;"",Checks!$U$10&amp;IF(Checks!$AB$10="","",CHAR(10)&amp;"CA: "&amp;Checks!$AB$10),IF(LEFT(Checks!$AH$10,10)="N/A – RULE","","[ ] Pass"&amp;CHAR(10)&amp;"[ ] Pass after CA"&amp;CHAR(10)&amp;"[ ] Fail"&amp;IF(Checks!$AT$10=1,CHAR(10)&amp;"[ ] N/A","")&amp;CHAR(10)&amp;"CA: Open / Closed"))</f>
        <v>[ ] Pass
[ ] Pass after CA
[ ] Fail
CA: Open / Closed</v>
      </c>
      <c r="E28" s="120" t="str">
        <f aca="false">IF(Checks!$V$10="","",Checks!$V$10)&amp;IF(Checks!$AC$10="","",IF(Checks!$V$10="","",CHAR(10))&amp;"N/A just.: "&amp;Checks!$AC$10)&amp;IF(OR(Checks!$W$10&lt;&gt;"",AND(Checks!$AQ$10=1,NOT(LEFT(Checks!$AH$10,10)="N/A – RULE"))),CHAR(10)&amp;"Batch: "&amp;IF(Checks!$W$10="","____________",Checks!$W$10),"")&amp;IF(OR(Checks!$X$10&lt;&gt;"",Checks!$Y$10&lt;&gt;"",AND(Checks!$AR$10=1,NOT(LEFT(Checks!$AH$10,10)="N/A – RULE"))),CHAR(10)&amp;"Exp: "&amp;IF(Checks!$X$10="","______",Checks!$X$10)&amp;"  /  Act: "&amp;IF(Checks!$Y$10="","______",Checks!$Y$10),"")</f>
        <v/>
      </c>
      <c r="F28" s="120" t="str">
        <f aca="false">IF(AND(LEFT(Checks!$AH$10,10)="N/A – RULE",TRIM(Checks!$S$10&amp;Checks!$Z$10)=""),"","Type: "&amp;IF(TRIM(Checks!$S$10)="","______________ (see cover list)",Checks!$S$10)&amp;CHAR(10)&amp;"ID: "&amp;IF(TRIM(Checks!$Z$10)="","______________ (record's own no.)",Checks!$Z$10))&amp;IF(Checks!$AA$10="","",CHAR(10)&amp;"CA: "&amp;Checks!$AA$10)</f>
        <v>Type: ______________ (see cover list)
ID: ______________ (record's own no.)</v>
      </c>
      <c r="G28" s="120" t="str">
        <f aca="false">IF(AND(LEFT(Checks!$AH$10,10)="N/A – RULE",NOT(ISNUMBER(Checks!$AD$10)),Checks!$AE$10="",Checks!$T$10=""),"","Done: "&amp;IF(ISNUMBER(Checks!$AD$10),TEXT(Checks!$AD$10,"DD-MMM-YY HH:MM"),"____________")&amp;" "&amp;Checks!$P$10&amp;CHAR(10)&amp;"Verifier: "&amp;IF(Checks!$AE$10="","____________",Checks!$AE$10)&amp;CHAR(10)&amp;"PIC: "&amp;IF(Checks!$T$10="","____________",Checks!$T$10))</f>
        <v>Done: ____________ LHR
Verifier: ____________
PIC: ____________</v>
      </c>
      <c r="H28" s="121" t="str">
        <f aca="false">IF(Checks!$AH$10="","",Checks!$AH$10)</f>
        <v>OPEN</v>
      </c>
    </row>
    <row r="29" customFormat="false" ht="114" hidden="false" customHeight="true" outlineLevel="0" collapsed="false">
      <c r="A29" s="120" t="str">
        <f aca="false">Checks!$A$11&amp;CHAR(10)&amp;IF(Checks!$I$11="","",Checks!$I$11&amp;": ")&amp;Checks!$J$11</f>
        <v>F01-T7-07
Documents: Galley loading diagram (GLD) received, revision recorded &amp; attached</v>
      </c>
      <c r="B29" s="120" t="str">
        <f aca="false">SUBSTITUTE(Checks!$K$11&amp;IF(Checks!$O$11="","",IF(Checks!$K$11="","",CHAR(10))&amp;"Note: "&amp;Checks!$O$11),"Documents sheet row complete","Recorded on the Documents sheet; copy stapled as A1 / A2")</f>
        <v>Recorded on the Documents sheet; copy stapled as A1 / A2</v>
      </c>
      <c r="C29" s="120" t="str">
        <f aca="false">Checks!$N$11&amp;CHAR(10)&amp;IF(ISNUMBER(Checks!$R$11),TEXT(Checks!$R$11,"DD-MMM-YY HH:MM"),"")&amp;" "&amp;Checks!$P$11</f>
        <v>Required
01-Oct-26 21:35 LHR</v>
      </c>
      <c r="D29" s="120" t="str">
        <f aca="false">IF(TRIM(Checks!$U$11)&lt;&gt;"",Checks!$U$11&amp;IF(Checks!$AB$11="","",CHAR(10)&amp;"CA: "&amp;Checks!$AB$11),IF(LEFT(Checks!$AH$11,10)="N/A – RULE","","[ ] Pass"&amp;CHAR(10)&amp;"[ ] Pass after CA"&amp;CHAR(10)&amp;"[ ] Fail"&amp;IF(Checks!$AT$11=1,CHAR(10)&amp;"[ ] N/A","")&amp;CHAR(10)&amp;"CA: Open / Closed"))</f>
        <v>[ ] Pass
[ ] Pass after CA
[ ] Fail
CA: Open / Closed</v>
      </c>
      <c r="E29" s="120" t="str">
        <f aca="false">IF(Checks!$V$11="","",Checks!$V$11)&amp;IF(Checks!$AC$11="","",IF(Checks!$V$11="","",CHAR(10))&amp;"N/A just.: "&amp;Checks!$AC$11)&amp;IF(OR(Checks!$W$11&lt;&gt;"",AND(Checks!$AQ$11=1,NOT(LEFT(Checks!$AH$11,10)="N/A – RULE"))),CHAR(10)&amp;"Batch: "&amp;IF(Checks!$W$11="","____________",Checks!$W$11),"")&amp;IF(OR(Checks!$X$11&lt;&gt;"",Checks!$Y$11&lt;&gt;"",AND(Checks!$AR$11=1,NOT(LEFT(Checks!$AH$11,10)="N/A – RULE"))),CHAR(10)&amp;"Exp: "&amp;IF(Checks!$X$11="","______",Checks!$X$11)&amp;"  /  Act: "&amp;IF(Checks!$Y$11="","______",Checks!$Y$11),"")</f>
        <v/>
      </c>
      <c r="F29" s="120" t="str">
        <f aca="false">IF(AND(LEFT(Checks!$AH$11,10)="N/A – RULE",TRIM(Checks!$S$11&amp;Checks!$Z$11)=""),"","Type: "&amp;IF(TRIM(Checks!$S$11)="","______________ (see cover list)",Checks!$S$11)&amp;CHAR(10)&amp;"ID: "&amp;IF(TRIM(Checks!$Z$11)="","______________ (record's own no.)",Checks!$Z$11))&amp;IF(Checks!$AA$11="","",CHAR(10)&amp;"CA: "&amp;Checks!$AA$11)</f>
        <v>Type: ______________ (see cover list)
ID: ______________ (record's own no.)</v>
      </c>
      <c r="G29" s="120" t="str">
        <f aca="false">IF(AND(LEFT(Checks!$AH$11,10)="N/A – RULE",NOT(ISNUMBER(Checks!$AD$11)),Checks!$AE$11="",Checks!$T$11=""),"","Done: "&amp;IF(ISNUMBER(Checks!$AD$11),TEXT(Checks!$AD$11,"DD-MMM-YY HH:MM"),"____________")&amp;" "&amp;Checks!$P$11&amp;CHAR(10)&amp;"Verifier: "&amp;IF(Checks!$AE$11="","____________",Checks!$AE$11)&amp;CHAR(10)&amp;"PIC: "&amp;IF(Checks!$T$11="","____________",Checks!$T$11))</f>
        <v>Done: ____________ LHR
Verifier: ____________
PIC: ____________</v>
      </c>
      <c r="H29" s="121" t="str">
        <f aca="false">IF(Checks!$AH$11="","",Checks!$AH$11)</f>
        <v>OPEN</v>
      </c>
    </row>
    <row r="30" customFormat="false" ht="114" hidden="false" customHeight="true" outlineLevel="0" collapsed="false">
      <c r="A30" s="120" t="str">
        <f aca="false">Checks!$A$12&amp;CHAR(10)&amp;IF(Checks!$I$12="","",Checks!$I$12&amp;": ")&amp;Checks!$J$12</f>
        <v>F01-T7-08
Documents: Menu checklist received, revision recorded &amp; attached</v>
      </c>
      <c r="B30" s="120" t="str">
        <f aca="false">SUBSTITUTE(Checks!$K$12&amp;IF(Checks!$O$12="","",IF(Checks!$K$12="","",CHAR(10))&amp;"Note: "&amp;Checks!$O$12),"Documents sheet row complete","Recorded on the Documents sheet; copy stapled as A1 / A2")</f>
        <v>Recorded on the Documents sheet; copy stapled as A1 / A2</v>
      </c>
      <c r="C30" s="120" t="str">
        <f aca="false">Checks!$N$12&amp;CHAR(10)&amp;IF(ISNUMBER(Checks!$R$12),TEXT(Checks!$R$12,"DD-MMM-YY HH:MM"),"")&amp;" "&amp;Checks!$P$12</f>
        <v>Required
01-Oct-26 21:35 LHR</v>
      </c>
      <c r="D30" s="120" t="str">
        <f aca="false">IF(TRIM(Checks!$U$12)&lt;&gt;"",Checks!$U$12&amp;IF(Checks!$AB$12="","",CHAR(10)&amp;"CA: "&amp;Checks!$AB$12),IF(LEFT(Checks!$AH$12,10)="N/A – RULE","","[ ] Pass"&amp;CHAR(10)&amp;"[ ] Pass after CA"&amp;CHAR(10)&amp;"[ ] Fail"&amp;IF(Checks!$AT$12=1,CHAR(10)&amp;"[ ] N/A","")&amp;CHAR(10)&amp;"CA: Open / Closed"))</f>
        <v>[ ] Pass
[ ] Pass after CA
[ ] Fail
CA: Open / Closed</v>
      </c>
      <c r="E30" s="120" t="str">
        <f aca="false">IF(Checks!$V$12="","",Checks!$V$12)&amp;IF(Checks!$AC$12="","",IF(Checks!$V$12="","",CHAR(10))&amp;"N/A just.: "&amp;Checks!$AC$12)&amp;IF(OR(Checks!$W$12&lt;&gt;"",AND(Checks!$AQ$12=1,NOT(LEFT(Checks!$AH$12,10)="N/A – RULE"))),CHAR(10)&amp;"Batch: "&amp;IF(Checks!$W$12="","____________",Checks!$W$12),"")&amp;IF(OR(Checks!$X$12&lt;&gt;"",Checks!$Y$12&lt;&gt;"",AND(Checks!$AR$12=1,NOT(LEFT(Checks!$AH$12,10)="N/A – RULE"))),CHAR(10)&amp;"Exp: "&amp;IF(Checks!$X$12="","______",Checks!$X$12)&amp;"  /  Act: "&amp;IF(Checks!$Y$12="","______",Checks!$Y$12),"")</f>
        <v/>
      </c>
      <c r="F30" s="120" t="str">
        <f aca="false">IF(AND(LEFT(Checks!$AH$12,10)="N/A – RULE",TRIM(Checks!$S$12&amp;Checks!$Z$12)=""),"","Type: "&amp;IF(TRIM(Checks!$S$12)="","______________ (see cover list)",Checks!$S$12)&amp;CHAR(10)&amp;"ID: "&amp;IF(TRIM(Checks!$Z$12)="","______________ (record's own no.)",Checks!$Z$12))&amp;IF(Checks!$AA$12="","",CHAR(10)&amp;"CA: "&amp;Checks!$AA$12)</f>
        <v>Type: ______________ (see cover list)
ID: ______________ (record's own no.)</v>
      </c>
      <c r="G30" s="120" t="str">
        <f aca="false">IF(AND(LEFT(Checks!$AH$12,10)="N/A – RULE",NOT(ISNUMBER(Checks!$AD$12)),Checks!$AE$12="",Checks!$T$12=""),"","Done: "&amp;IF(ISNUMBER(Checks!$AD$12),TEXT(Checks!$AD$12,"DD-MMM-YY HH:MM"),"____________")&amp;" "&amp;Checks!$P$12&amp;CHAR(10)&amp;"Verifier: "&amp;IF(Checks!$AE$12="","____________",Checks!$AE$12)&amp;CHAR(10)&amp;"PIC: "&amp;IF(Checks!$T$12="","____________",Checks!$T$12))</f>
        <v>Done: ____________ LHR
Verifier: ____________
PIC: ____________</v>
      </c>
      <c r="H30" s="121" t="str">
        <f aca="false">IF(Checks!$AH$12="","",Checks!$AH$12)</f>
        <v>OPEN</v>
      </c>
    </row>
    <row r="31" customFormat="false" ht="114" hidden="false" customHeight="true" outlineLevel="0" collapsed="false">
      <c r="A31" s="120" t="str">
        <f aca="false">Checks!$A$13&amp;CHAR(10)&amp;IF(Checks!$I$13="","",Checks!$I$13&amp;": ")&amp;Checks!$J$13</f>
        <v>F01-T7-09
Uplift plan: Uplift plan confirmed with caterer vs STD Uplift Information</v>
      </c>
      <c r="B31" s="120" t="str">
        <f aca="false">Checks!$K$13&amp;IF(Checks!$O$13="","",IF(Checks!$K$13="","",CHAR(10))&amp;"Note: "&amp;Checks!$O$13)</f>
        <v>Service: 2.5 Meal (Meal); meal uplift stn LHR (ref lists KUL/LHR)</v>
      </c>
      <c r="C31" s="120" t="str">
        <f aca="false">Checks!$N$13&amp;CHAR(10)&amp;IF(ISNUMBER(Checks!$R$13),TEXT(Checks!$R$13,"DD-MMM-YY HH:MM"),"")&amp;" "&amp;Checks!$P$13</f>
        <v>Required
01-Oct-26 21:35 LHR</v>
      </c>
      <c r="D31" s="120" t="str">
        <f aca="false">IF(TRIM(Checks!$U$13)&lt;&gt;"",Checks!$U$13&amp;IF(Checks!$AB$13="","",CHAR(10)&amp;"CA: "&amp;Checks!$AB$13),IF(LEFT(Checks!$AH$13,10)="N/A – RULE","","[ ] Pass"&amp;CHAR(10)&amp;"[ ] Pass after CA"&amp;CHAR(10)&amp;"[ ] Fail"&amp;IF(Checks!$AT$13=1,CHAR(10)&amp;"[ ] N/A","")&amp;CHAR(10)&amp;"CA: Open / Closed"))</f>
        <v>[ ] Pass
[ ] Pass after CA
[ ] Fail
CA: Open / Closed</v>
      </c>
      <c r="E31" s="120" t="str">
        <f aca="false">IF(Checks!$V$13="","",Checks!$V$13)&amp;IF(Checks!$AC$13="","",IF(Checks!$V$13="","",CHAR(10))&amp;"N/A just.: "&amp;Checks!$AC$13)&amp;IF(OR(Checks!$W$13&lt;&gt;"",AND(Checks!$AQ$13=1,NOT(LEFT(Checks!$AH$13,10)="N/A – RULE"))),CHAR(10)&amp;"Batch: "&amp;IF(Checks!$W$13="","____________",Checks!$W$13),"")&amp;IF(OR(Checks!$X$13&lt;&gt;"",Checks!$Y$13&lt;&gt;"",AND(Checks!$AR$13=1,NOT(LEFT(Checks!$AH$13,10)="N/A – RULE"))),CHAR(10)&amp;"Exp: "&amp;IF(Checks!$X$13="","______",Checks!$X$13)&amp;"  /  Act: "&amp;IF(Checks!$Y$13="","______",Checks!$Y$13),"")</f>
        <v/>
      </c>
      <c r="F31" s="120" t="str">
        <f aca="false">IF(AND(LEFT(Checks!$AH$13,10)="N/A – RULE",TRIM(Checks!$S$13&amp;Checks!$Z$13)=""),"","Type: "&amp;IF(TRIM(Checks!$S$13)="","______________ (see cover list)",Checks!$S$13)&amp;CHAR(10)&amp;"ID: "&amp;IF(TRIM(Checks!$Z$13)="","______________ (record's own no.)",Checks!$Z$13))&amp;IF(Checks!$AA$13="","",CHAR(10)&amp;"CA: "&amp;Checks!$AA$13)</f>
        <v>Type: ______________ (see cover list)
ID: ______________ (record's own no.)</v>
      </c>
      <c r="G31" s="120" t="str">
        <f aca="false">IF(AND(LEFT(Checks!$AH$13,10)="N/A – RULE",NOT(ISNUMBER(Checks!$AD$13)),Checks!$AE$13="",Checks!$T$13=""),"","Done: "&amp;IF(ISNUMBER(Checks!$AD$13),TEXT(Checks!$AD$13,"DD-MMM-YY HH:MM"),"____________")&amp;" "&amp;Checks!$P$13&amp;CHAR(10)&amp;"Verifier: "&amp;IF(Checks!$AE$13="","____________",Checks!$AE$13)&amp;CHAR(10)&amp;"PIC: "&amp;IF(Checks!$T$13="","____________",Checks!$T$13))</f>
        <v>Done: ____________ LHR
Verifier: ____________
PIC: ____________</v>
      </c>
      <c r="H31" s="121" t="str">
        <f aca="false">IF(Checks!$AH$13="","",Checks!$AH$13)</f>
        <v>OPEN</v>
      </c>
    </row>
    <row r="32" customFormat="false" ht="25.5" hidden="false" customHeight="true" outlineLevel="0" collapsed="false">
      <c r="A32" s="119" t="str">
        <f aca="false">"T-24H — Production batch sensory  |  Due "&amp;IF(ISNUMBER(Flights!$AH$5),TEXT(Flights!$AH$5,"DD-MMM-YY HH:MM"),"")&amp;" "&amp;Flights!$V$5&amp;" (meal uplift stn)"&amp;" (rows with another due show their own)  |  Complete "&amp;IF(ISNUMBER(Flights!$AK$5),TEXT(Flights!$AK$5,"0%"),Flights!$AK$5)&amp;"  |  1 lines"</f>
        <v>T-24H — Production batch sensory  |  Due 07-Oct-26 21:35 LHR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Checks!$A$14&amp;CHAR(10)&amp;IF(Checks!$I$14="","",Checks!$I$14&amp;": ")&amp;Checks!$J$14</f>
        <v>F01-T24-01
Meal: Sensory test repeated on ACTUAL production batch for this flight</v>
      </c>
      <c r="B33" s="120" t="str">
        <f aca="false">Checks!$K$14&amp;IF(Checks!$O$14="","",IF(Checks!$K$14="","",CHAR(10))&amp;"Note: "&amp;Checks!$O$14)</f>
        <v>Batch ID, result, CA and acceptance mandatory</v>
      </c>
      <c r="C33" s="120" t="str">
        <f aca="false">Checks!$N$14&amp;CHAR(10)&amp;IF(ISNUMBER(Checks!$R$14),TEXT(Checks!$R$14,"DD-MMM-YY HH:MM"),"")&amp;" "&amp;Checks!$P$14</f>
        <v>Required
07-Oct-26 21:35 LHR</v>
      </c>
      <c r="D33" s="120" t="str">
        <f aca="false">IF(TRIM(Checks!$U$14)&lt;&gt;"",Checks!$U$14&amp;IF(Checks!$AB$14="","",CHAR(10)&amp;"CA: "&amp;Checks!$AB$14),IF(LEFT(Checks!$AH$14,10)="N/A – RULE","","[ ] Pass"&amp;CHAR(10)&amp;"[ ] Pass after CA"&amp;CHAR(10)&amp;"[ ] Fail"&amp;IF(Checks!$AT$14=1,CHAR(10)&amp;"[ ] N/A","")&amp;CHAR(10)&amp;"CA: Open / Closed"))</f>
        <v>[ ] Pass
[ ] Pass after CA
[ ] Fail
CA: Open / Closed</v>
      </c>
      <c r="E33" s="120" t="str">
        <f aca="false">IF(Checks!$V$14="","",Checks!$V$14)&amp;IF(Checks!$AC$14="","",IF(Checks!$V$14="","",CHAR(10))&amp;"N/A just.: "&amp;Checks!$AC$14)&amp;IF(OR(Checks!$W$14&lt;&gt;"",AND(Checks!$AQ$14=1,NOT(LEFT(Checks!$AH$14,10)="N/A – RULE"))),CHAR(10)&amp;"Batch: "&amp;IF(Checks!$W$14="","____________",Checks!$W$14),"")&amp;IF(OR(Checks!$X$14&lt;&gt;"",Checks!$Y$14&lt;&gt;"",AND(Checks!$AR$14=1,NOT(LEFT(Checks!$AH$14,10)="N/A – RULE"))),CHAR(10)&amp;"Exp: "&amp;IF(Checks!$X$14="","______",Checks!$X$14)&amp;"  /  Act: "&amp;IF(Checks!$Y$14="","______",Checks!$Y$14),"")</f>
        <v>
Batch: ____________</v>
      </c>
      <c r="F33" s="120" t="str">
        <f aca="false">IF(AND(LEFT(Checks!$AH$14,10)="N/A – RULE",TRIM(Checks!$S$14&amp;Checks!$Z$14)=""),"","Type: "&amp;IF(TRIM(Checks!$S$14)="","______________ (see cover list)",Checks!$S$14)&amp;CHAR(10)&amp;"ID: "&amp;IF(TRIM(Checks!$Z$14)="","______________ (record's own no.)",Checks!$Z$14))&amp;IF(Checks!$AA$14="","",CHAR(10)&amp;"CA: "&amp;Checks!$AA$14)</f>
        <v>Type: ______________ (see cover list)
ID: ______________ (record's own no.)</v>
      </c>
      <c r="G33" s="120" t="str">
        <f aca="false">IF(AND(LEFT(Checks!$AH$14,10)="N/A – RULE",NOT(ISNUMBER(Checks!$AD$14)),Checks!$AE$14="",Checks!$T$14=""),"","Done: "&amp;IF(ISNUMBER(Checks!$AD$14),TEXT(Checks!$AD$14,"DD-MMM-YY HH:MM"),"____________")&amp;" "&amp;Checks!$P$14&amp;CHAR(10)&amp;"Verifier: "&amp;IF(Checks!$AE$14="","____________",Checks!$AE$14)&amp;CHAR(10)&amp;"PIC: "&amp;IF(Checks!$T$14="","____________",Checks!$T$14))</f>
        <v>Done: ____________ LHR
Verifier: ____________
PIC: ____________</v>
      </c>
      <c r="H33" s="121" t="str">
        <f aca="false">IF(Checks!$AH$14="","",Checks!$AH$14)</f>
        <v>OPEN</v>
      </c>
    </row>
    <row r="34" customFormat="false" ht="25.5" hidden="false" customHeight="true" outlineLevel="0" collapsed="false">
      <c r="A34" s="119" t="str">
        <f aca="false">"T-12H PREP — Preparation check at caterer (does NOT confirm loading)  |  Due "&amp;IF(ISNUMBER(Flights!$AI$5),TEXT(Flights!$AI$5,"DD-MMM-YY HH:MM"),"")&amp;" "&amp;Flights!$V$5&amp;" (meal uplift stn)"&amp;" (rows with another due show their own)  |  Complete "&amp;IF(ISNUMBER(Flights!$AL$5),TEXT(Flights!$AL$5,"0%"),Flights!$AL$5)&amp;"  |  10 lines"</f>
        <v>T-12H PREP — Preparation check at caterer (does NOT confirm loading)  |  Due 08-Oct-26 09:35 LHR (meal uplift stn) (rows with another due show their own)  |  Complete 0%  |  10 lines</v>
      </c>
      <c r="B34" s="119"/>
      <c r="C34" s="119"/>
      <c r="D34" s="119"/>
      <c r="E34" s="119"/>
      <c r="F34" s="119"/>
      <c r="G34" s="119"/>
      <c r="H34" s="119"/>
    </row>
    <row r="35" customFormat="false" ht="114" hidden="false" customHeight="true" outlineLevel="0" collapsed="false">
      <c r="A35" s="120" t="str">
        <f aca="false">Checks!$A$15&amp;CHAR(10)&amp;IF(Checks!$I$15="","",Checks!$I$15&amp;": ")&amp;Checks!$J$15</f>
        <v>F01-T12-01
Meal: Meal quality vs menu checklist</v>
      </c>
      <c r="B35" s="120" t="str">
        <f aca="false">Checks!$K$15&amp;IF(Checks!$O$15="","",IF(Checks!$K$15="","",CHAR(10))&amp;"Note: "&amp;Checks!$O$15)</f>
        <v>Note: Preparation check at caterer - does NOT confirm loading.</v>
      </c>
      <c r="C35" s="120" t="str">
        <f aca="false">Checks!$N$15&amp;CHAR(10)&amp;IF(ISNUMBER(Checks!$R$15),TEXT(Checks!$R$15,"DD-MMM-YY HH:MM"),"")&amp;" "&amp;Checks!$P$15</f>
        <v>Required
08-Oct-26 09:35 LHR</v>
      </c>
      <c r="D35" s="120" t="str">
        <f aca="false">IF(TRIM(Checks!$U$15)&lt;&gt;"",Checks!$U$15&amp;IF(Checks!$AB$15="","",CHAR(10)&amp;"CA: "&amp;Checks!$AB$15),IF(LEFT(Checks!$AH$15,10)="N/A – RULE","","[ ] Pass"&amp;CHAR(10)&amp;"[ ] Pass after CA"&amp;CHAR(10)&amp;"[ ] Fail"&amp;IF(Checks!$AT$15=1,CHAR(10)&amp;"[ ] N/A","")&amp;CHAR(10)&amp;"CA: Open / Closed"))</f>
        <v>[ ] Pass
[ ] Pass after CA
[ ] Fail
CA: Open / Closed</v>
      </c>
      <c r="E35" s="120" t="str">
        <f aca="false">IF(Checks!$V$15="","",Checks!$V$15)&amp;IF(Checks!$AC$15="","",IF(Checks!$V$15="","",CHAR(10))&amp;"N/A just.: "&amp;Checks!$AC$15)&amp;IF(OR(Checks!$W$15&lt;&gt;"",AND(Checks!$AQ$15=1,NOT(LEFT(Checks!$AH$15,10)="N/A – RULE"))),CHAR(10)&amp;"Batch: "&amp;IF(Checks!$W$15="","____________",Checks!$W$15),"")&amp;IF(OR(Checks!$X$15&lt;&gt;"",Checks!$Y$15&lt;&gt;"",AND(Checks!$AR$15=1,NOT(LEFT(Checks!$AH$15,10)="N/A – RULE"))),CHAR(10)&amp;"Exp: "&amp;IF(Checks!$X$15="","______",Checks!$X$15)&amp;"  /  Act: "&amp;IF(Checks!$Y$15="","______",Checks!$Y$15),"")</f>
        <v/>
      </c>
      <c r="F35" s="120" t="str">
        <f aca="false">IF(AND(LEFT(Checks!$AH$15,10)="N/A – RULE",TRIM(Checks!$S$15&amp;Checks!$Z$15)=""),"","Type: "&amp;IF(TRIM(Checks!$S$15)="","______________ (see cover list)",Checks!$S$15)&amp;CHAR(10)&amp;"ID: "&amp;IF(TRIM(Checks!$Z$15)="","______________ (record's own no.)",Checks!$Z$15))&amp;IF(Checks!$AA$15="","",CHAR(10)&amp;"CA: "&amp;Checks!$AA$15)</f>
        <v>Type: ______________ (see cover list)
ID: ______________ (record's own no.)</v>
      </c>
      <c r="G35" s="120" t="str">
        <f aca="false">IF(AND(LEFT(Checks!$AH$15,10)="N/A – RULE",NOT(ISNUMBER(Checks!$AD$15)),Checks!$AE$15="",Checks!$T$15=""),"","Done: "&amp;IF(ISNUMBER(Checks!$AD$15),TEXT(Checks!$AD$15,"DD-MMM-YY HH:MM"),"____________")&amp;" "&amp;Checks!$P$15&amp;CHAR(10)&amp;"Verifier: "&amp;IF(Checks!$AE$15="","____________",Checks!$AE$15)&amp;CHAR(10)&amp;"PIC: "&amp;IF(Checks!$T$15="","____________",Checks!$T$15))</f>
        <v>Done: ____________ LHR
Verifier: ____________
PIC: ____________</v>
      </c>
      <c r="H35" s="121" t="str">
        <f aca="false">IF(Checks!$AH$15="","",Checks!$AH$15)</f>
        <v>OPEN</v>
      </c>
    </row>
    <row r="36" customFormat="false" ht="114" hidden="false" customHeight="true" outlineLevel="0" collapsed="false">
      <c r="A36" s="120" t="str">
        <f aca="false">Checks!$A$16&amp;CHAR(10)&amp;IF(Checks!$I$16="","",Checks!$I$16&amp;": ")&amp;Checks!$J$16</f>
        <v>F01-T12-02
Meal: Meal quantities vs menu checklist</v>
      </c>
      <c r="B36" s="120" t="str">
        <f aca="false">Checks!$K$16&amp;IF(Checks!$O$16="","",IF(Checks!$K$16="","",CHAR(10))&amp;"Note: "&amp;Checks!$O$16)</f>
        <v>Enter expected &amp; actual
Note: Preparation check at caterer - does NOT confirm loading.</v>
      </c>
      <c r="C36" s="120" t="str">
        <f aca="false">Checks!$N$16&amp;CHAR(10)&amp;IF(ISNUMBER(Checks!$R$16),TEXT(Checks!$R$16,"DD-MMM-YY HH:MM"),"")&amp;" "&amp;Checks!$P$16</f>
        <v>Required
08-Oct-26 09:35 LHR</v>
      </c>
      <c r="D36" s="120" t="str">
        <f aca="false">IF(TRIM(Checks!$U$16)&lt;&gt;"",Checks!$U$16&amp;IF(Checks!$AB$16="","",CHAR(10)&amp;"CA: "&amp;Checks!$AB$16),IF(LEFT(Checks!$AH$16,10)="N/A – RULE","","[ ] Pass"&amp;CHAR(10)&amp;"[ ] Pass after CA"&amp;CHAR(10)&amp;"[ ] Fail"&amp;IF(Checks!$AT$16=1,CHAR(10)&amp;"[ ] N/A","")&amp;CHAR(10)&amp;"CA: Open / Closed"))</f>
        <v>[ ] Pass
[ ] Pass after CA
[ ] Fail
CA: Open / Closed</v>
      </c>
      <c r="E36" s="120" t="str">
        <f aca="false">IF(Checks!$V$16="","",Checks!$V$16)&amp;IF(Checks!$AC$16="","",IF(Checks!$V$16="","",CHAR(10))&amp;"N/A just.: "&amp;Checks!$AC$16)&amp;IF(OR(Checks!$W$16&lt;&gt;"",AND(Checks!$AQ$16=1,NOT(LEFT(Checks!$AH$16,10)="N/A – RULE"))),CHAR(10)&amp;"Batch: "&amp;IF(Checks!$W$16="","____________",Checks!$W$16),"")&amp;IF(OR(Checks!$X$16&lt;&gt;"",Checks!$Y$16&lt;&gt;"",AND(Checks!$AR$16=1,NOT(LEFT(Checks!$AH$16,10)="N/A – RULE"))),CHAR(10)&amp;"Exp: "&amp;IF(Checks!$X$16="","______",Checks!$X$16)&amp;"  /  Act: "&amp;IF(Checks!$Y$16="","______",Checks!$Y$16),"")</f>
        <v>
Exp: ______  /  Act: ______</v>
      </c>
      <c r="F36" s="120" t="str">
        <f aca="false">IF(AND(LEFT(Checks!$AH$16,10)="N/A – RULE",TRIM(Checks!$S$16&amp;Checks!$Z$16)=""),"","Type: "&amp;IF(TRIM(Checks!$S$16)="","______________ (see cover list)",Checks!$S$16)&amp;CHAR(10)&amp;"ID: "&amp;IF(TRIM(Checks!$Z$16)="","______________ (record's own no.)",Checks!$Z$16))&amp;IF(Checks!$AA$16="","",CHAR(10)&amp;"CA: "&amp;Checks!$AA$16)</f>
        <v>Type: ______________ (see cover list)
ID: ______________ (record's own no.)</v>
      </c>
      <c r="G36" s="120" t="str">
        <f aca="false">IF(AND(LEFT(Checks!$AH$16,10)="N/A – RULE",NOT(ISNUMBER(Checks!$AD$16)),Checks!$AE$16="",Checks!$T$16=""),"","Done: "&amp;IF(ISNUMBER(Checks!$AD$16),TEXT(Checks!$AD$16,"DD-MMM-YY HH:MM"),"____________")&amp;" "&amp;Checks!$P$16&amp;CHAR(10)&amp;"Verifier: "&amp;IF(Checks!$AE$16="","____________",Checks!$AE$16)&amp;CHAR(10)&amp;"PIC: "&amp;IF(Checks!$T$16="","____________",Checks!$T$16))</f>
        <v>Done: ____________ LHR
Verifier: ____________
PIC: ____________</v>
      </c>
      <c r="H36" s="121" t="str">
        <f aca="false">IF(Checks!$AH$16="","",Checks!$AH$16)</f>
        <v>OPEN</v>
      </c>
    </row>
    <row r="37" customFormat="false" ht="114" hidden="false" customHeight="true" outlineLevel="0" collapsed="false">
      <c r="A37" s="120" t="str">
        <f aca="false">Checks!$A$17&amp;CHAR(10)&amp;IF(Checks!$I$17="","",Checks!$I$17&amp;": ")&amp;Checks!$J$17</f>
        <v>F01-T12-03
Equipment: Equipment cleanliness vs GLD</v>
      </c>
      <c r="B37" s="120" t="str">
        <f aca="false">Checks!$K$17&amp;IF(Checks!$O$17="","",IF(Checks!$K$17="","",CHAR(10))&amp;"Note: "&amp;Checks!$O$17)</f>
        <v>Note: Preparation check at caterer - does NOT confirm loading.</v>
      </c>
      <c r="C37" s="120" t="str">
        <f aca="false">Checks!$N$17&amp;CHAR(10)&amp;IF(ISNUMBER(Checks!$R$17),TEXT(Checks!$R$17,"DD-MMM-YY HH:MM"),"")&amp;" "&amp;Checks!$P$17</f>
        <v>Required
08-Oct-26 09:35 LHR</v>
      </c>
      <c r="D37" s="120" t="str">
        <f aca="false">IF(TRIM(Checks!$U$17)&lt;&gt;"",Checks!$U$17&amp;IF(Checks!$AB$17="","",CHAR(10)&amp;"CA: "&amp;Checks!$AB$17),IF(LEFT(Checks!$AH$17,10)="N/A – RULE","","[ ] Pass"&amp;CHAR(10)&amp;"[ ] Pass after CA"&amp;CHAR(10)&amp;"[ ] Fail"&amp;IF(Checks!$AT$17=1,CHAR(10)&amp;"[ ] N/A","")&amp;CHAR(10)&amp;"CA: Open / Closed"))</f>
        <v>[ ] Pass
[ ] Pass after CA
[ ] Fail
CA: Open / Closed</v>
      </c>
      <c r="E37" s="120" t="str">
        <f aca="false">IF(Checks!$V$17="","",Checks!$V$17)&amp;IF(Checks!$AC$17="","",IF(Checks!$V$17="","",CHAR(10))&amp;"N/A just.: "&amp;Checks!$AC$17)&amp;IF(OR(Checks!$W$17&lt;&gt;"",AND(Checks!$AQ$17=1,NOT(LEFT(Checks!$AH$17,10)="N/A – RULE"))),CHAR(10)&amp;"Batch: "&amp;IF(Checks!$W$17="","____________",Checks!$W$17),"")&amp;IF(OR(Checks!$X$17&lt;&gt;"",Checks!$Y$17&lt;&gt;"",AND(Checks!$AR$17=1,NOT(LEFT(Checks!$AH$17,10)="N/A – RULE"))),CHAR(10)&amp;"Exp: "&amp;IF(Checks!$X$17="","______",Checks!$X$17)&amp;"  /  Act: "&amp;IF(Checks!$Y$17="","______",Checks!$Y$17),"")</f>
        <v/>
      </c>
      <c r="F37" s="120" t="str">
        <f aca="false">IF(AND(LEFT(Checks!$AH$17,10)="N/A – RULE",TRIM(Checks!$S$17&amp;Checks!$Z$17)=""),"","Type: "&amp;IF(TRIM(Checks!$S$17)="","______________ (see cover list)",Checks!$S$17)&amp;CHAR(10)&amp;"ID: "&amp;IF(TRIM(Checks!$Z$17)="","______________ (record's own no.)",Checks!$Z$17))&amp;IF(Checks!$AA$17="","",CHAR(10)&amp;"CA: "&amp;Checks!$AA$17)</f>
        <v>Type: ______________ (see cover list)
ID: ______________ (record's own no.)</v>
      </c>
      <c r="G37" s="120" t="str">
        <f aca="false">IF(AND(LEFT(Checks!$AH$17,10)="N/A – RULE",NOT(ISNUMBER(Checks!$AD$17)),Checks!$AE$17="",Checks!$T$17=""),"","Done: "&amp;IF(ISNUMBER(Checks!$AD$17),TEXT(Checks!$AD$17,"DD-MMM-YY HH:MM"),"____________")&amp;" "&amp;Checks!$P$17&amp;CHAR(10)&amp;"Verifier: "&amp;IF(Checks!$AE$17="","____________",Checks!$AE$17)&amp;CHAR(10)&amp;"PIC: "&amp;IF(Checks!$T$17="","____________",Checks!$T$17))</f>
        <v>Done: ____________ LHR
Verifier: ____________
PIC: ____________</v>
      </c>
      <c r="H37" s="121" t="str">
        <f aca="false">IF(Checks!$AH$17="","",Checks!$AH$17)</f>
        <v>OPEN</v>
      </c>
    </row>
    <row r="38" customFormat="false" ht="114" hidden="false" customHeight="true" outlineLevel="0" collapsed="false">
      <c r="A38" s="120" t="str">
        <f aca="false">Checks!$A$18&amp;CHAR(10)&amp;IF(Checks!$I$18="","",Checks!$I$18&amp;": ")&amp;Checks!$J$18</f>
        <v>F01-T12-04
Equipment: Equipment presentation vs GLD</v>
      </c>
      <c r="B38" s="120" t="str">
        <f aca="false">Checks!$K$18&amp;IF(Checks!$O$18="","",IF(Checks!$K$18="","",CHAR(10))&amp;"Note: "&amp;Checks!$O$18)</f>
        <v>Note: Preparation check at caterer - does NOT confirm loading.</v>
      </c>
      <c r="C38" s="120" t="str">
        <f aca="false">Checks!$N$18&amp;CHAR(10)&amp;IF(ISNUMBER(Checks!$R$18),TEXT(Checks!$R$18,"DD-MMM-YY HH:MM"),"")&amp;" "&amp;Checks!$P$18</f>
        <v>Required
08-Oct-26 09:35 LHR</v>
      </c>
      <c r="D38" s="120" t="str">
        <f aca="false">IF(TRIM(Checks!$U$18)&lt;&gt;"",Checks!$U$18&amp;IF(Checks!$AB$18="","",CHAR(10)&amp;"CA: "&amp;Checks!$AB$18),IF(LEFT(Checks!$AH$18,10)="N/A – RULE","","[ ] Pass"&amp;CHAR(10)&amp;"[ ] Pass after CA"&amp;CHAR(10)&amp;"[ ] Fail"&amp;IF(Checks!$AT$18=1,CHAR(10)&amp;"[ ] N/A","")&amp;CHAR(10)&amp;"CA: Open / Closed"))</f>
        <v>[ ] Pass
[ ] Pass after CA
[ ] Fail
CA: Open / Closed</v>
      </c>
      <c r="E38" s="120" t="str">
        <f aca="false">IF(Checks!$V$18="","",Checks!$V$18)&amp;IF(Checks!$AC$18="","",IF(Checks!$V$18="","",CHAR(10))&amp;"N/A just.: "&amp;Checks!$AC$18)&amp;IF(OR(Checks!$W$18&lt;&gt;"",AND(Checks!$AQ$18=1,NOT(LEFT(Checks!$AH$18,10)="N/A – RULE"))),CHAR(10)&amp;"Batch: "&amp;IF(Checks!$W$18="","____________",Checks!$W$18),"")&amp;IF(OR(Checks!$X$18&lt;&gt;"",Checks!$Y$18&lt;&gt;"",AND(Checks!$AR$18=1,NOT(LEFT(Checks!$AH$18,10)="N/A – RULE"))),CHAR(10)&amp;"Exp: "&amp;IF(Checks!$X$18="","______",Checks!$X$18)&amp;"  /  Act: "&amp;IF(Checks!$Y$18="","______",Checks!$Y$18),"")</f>
        <v/>
      </c>
      <c r="F38" s="120" t="str">
        <f aca="false">IF(AND(LEFT(Checks!$AH$18,10)="N/A – RULE",TRIM(Checks!$S$18&amp;Checks!$Z$18)=""),"","Type: "&amp;IF(TRIM(Checks!$S$18)="","______________ (see cover list)",Checks!$S$18)&amp;CHAR(10)&amp;"ID: "&amp;IF(TRIM(Checks!$Z$18)="","______________ (record's own no.)",Checks!$Z$18))&amp;IF(Checks!$AA$18="","",CHAR(10)&amp;"CA: "&amp;Checks!$AA$18)</f>
        <v>Type: ______________ (see cover list)
ID: ______________ (record's own no.)</v>
      </c>
      <c r="G38" s="120" t="str">
        <f aca="false">IF(AND(LEFT(Checks!$AH$18,10)="N/A – RULE",NOT(ISNUMBER(Checks!$AD$18)),Checks!$AE$18="",Checks!$T$18=""),"","Done: "&amp;IF(ISNUMBER(Checks!$AD$18),TEXT(Checks!$AD$18,"DD-MMM-YY HH:MM"),"____________")&amp;" "&amp;Checks!$P$18&amp;CHAR(10)&amp;"Verifier: "&amp;IF(Checks!$AE$18="","____________",Checks!$AE$18)&amp;CHAR(10)&amp;"PIC: "&amp;IF(Checks!$T$18="","____________",Checks!$T$18))</f>
        <v>Done: ____________ LHR
Verifier: ____________
PIC: ____________</v>
      </c>
      <c r="H38" s="121" t="str">
        <f aca="false">IF(Checks!$AH$18="","",Checks!$AH$18)</f>
        <v>OPEN</v>
      </c>
    </row>
    <row r="39" customFormat="false" ht="114" hidden="false" customHeight="true" outlineLevel="0" collapsed="false">
      <c r="A39" s="120" t="str">
        <f aca="false">Checks!$A$19&amp;CHAR(10)&amp;IF(Checks!$I$19="","",Checks!$I$19&amp;": ")&amp;Checks!$J$19</f>
        <v>F01-T12-05
Equipment: Equipment serviceability vs GLD</v>
      </c>
      <c r="B39" s="120" t="str">
        <f aca="false">Checks!$K$19&amp;IF(Checks!$O$19="","",IF(Checks!$K$19="","",CHAR(10))&amp;"Note: "&amp;Checks!$O$19)</f>
        <v>Note: Preparation check at caterer - does NOT confirm loading.</v>
      </c>
      <c r="C39" s="120" t="str">
        <f aca="false">Checks!$N$19&amp;CHAR(10)&amp;IF(ISNUMBER(Checks!$R$19),TEXT(Checks!$R$19,"DD-MMM-YY HH:MM"),"")&amp;" "&amp;Checks!$P$19</f>
        <v>Required
08-Oct-26 09:35 LHR</v>
      </c>
      <c r="D39" s="120" t="str">
        <f aca="false">IF(TRIM(Checks!$U$19)&lt;&gt;"",Checks!$U$19&amp;IF(Checks!$AB$19="","",CHAR(10)&amp;"CA: "&amp;Checks!$AB$19),IF(LEFT(Checks!$AH$19,10)="N/A – RULE","","[ ] Pass"&amp;CHAR(10)&amp;"[ ] Pass after CA"&amp;CHAR(10)&amp;"[ ] Fail"&amp;IF(Checks!$AT$19=1,CHAR(10)&amp;"[ ] N/A","")&amp;CHAR(10)&amp;"CA: Open / Closed"))</f>
        <v>[ ] Pass
[ ] Pass after CA
[ ] Fail
CA: Open / Closed</v>
      </c>
      <c r="E39" s="120" t="str">
        <f aca="false">IF(Checks!$V$19="","",Checks!$V$19)&amp;IF(Checks!$AC$19="","",IF(Checks!$V$19="","",CHAR(10))&amp;"N/A just.: "&amp;Checks!$AC$19)&amp;IF(OR(Checks!$W$19&lt;&gt;"",AND(Checks!$AQ$19=1,NOT(LEFT(Checks!$AH$19,10)="N/A – RULE"))),CHAR(10)&amp;"Batch: "&amp;IF(Checks!$W$19="","____________",Checks!$W$19),"")&amp;IF(OR(Checks!$X$19&lt;&gt;"",Checks!$Y$19&lt;&gt;"",AND(Checks!$AR$19=1,NOT(LEFT(Checks!$AH$19,10)="N/A – RULE"))),CHAR(10)&amp;"Exp: "&amp;IF(Checks!$X$19="","______",Checks!$X$19)&amp;"  /  Act: "&amp;IF(Checks!$Y$19="","______",Checks!$Y$19),"")</f>
        <v/>
      </c>
      <c r="F39" s="120" t="str">
        <f aca="false">IF(AND(LEFT(Checks!$AH$19,10)="N/A – RULE",TRIM(Checks!$S$19&amp;Checks!$Z$19)=""),"","Type: "&amp;IF(TRIM(Checks!$S$19)="","______________ (see cover list)",Checks!$S$19)&amp;CHAR(10)&amp;"ID: "&amp;IF(TRIM(Checks!$Z$19)="","______________ (record's own no.)",Checks!$Z$19))&amp;IF(Checks!$AA$19="","",CHAR(10)&amp;"CA: "&amp;Checks!$AA$19)</f>
        <v>Type: ______________ (see cover list)
ID: ______________ (record's own no.)</v>
      </c>
      <c r="G39" s="120" t="str">
        <f aca="false">IF(AND(LEFT(Checks!$AH$19,10)="N/A – RULE",NOT(ISNUMBER(Checks!$AD$19)),Checks!$AE$19="",Checks!$T$19=""),"","Done: "&amp;IF(ISNUMBER(Checks!$AD$19),TEXT(Checks!$AD$19,"DD-MMM-YY HH:MM"),"____________")&amp;" "&amp;Checks!$P$19&amp;CHAR(10)&amp;"Verifier: "&amp;IF(Checks!$AE$19="","____________",Checks!$AE$19)&amp;CHAR(10)&amp;"PIC: "&amp;IF(Checks!$T$19="","____________",Checks!$T$19))</f>
        <v>Done: ____________ LHR
Verifier: ____________
PIC: ____________</v>
      </c>
      <c r="H39" s="121" t="str">
        <f aca="false">IF(Checks!$AH$19="","",Checks!$AH$19)</f>
        <v>OPEN</v>
      </c>
    </row>
    <row r="40" customFormat="false" ht="289.5" hidden="false" customHeight="true" outlineLevel="0" collapsed="false">
      <c r="A40" s="120" t="str">
        <f aca="false">Checks!$A$20&amp;CHAR(10)&amp;IF(Checks!$I$20="","",Checks!$I$20&amp;": ")&amp;Checks!$J$20</f>
        <v>F01-T12-06
Equipment: Equipment quantities vs GLD</v>
      </c>
      <c r="B40" s="120" t="str">
        <f aca="false">SUBSTITUTE(SUBSTITUTE(SUBSTITUTE(Checks!$K$20&amp;IF(Checks!$O$20="","",IF(Checks!$K$20="","",CHAR(10))&amp;"Note: "&amp;Checks!$O$20),"makers -,","makers n/a,")," (AIRCRAFT TYPE!C6:R6)","")," (AIRCRAFT TYPE!C7:R7)","")</f>
        <v>Enter expected &amp; actual. Aircraft galley data: A350-900 (A359): carts 50.5, SU 70, ovens 14, warming ovens 3, fridges 3, water heaters 7, beverage makers n/a, espresso 2, folding trolleys 4, headsets BC &amp; EY: Dual Pin | A350-900 (A350): carts 41.5, SU 52, ovens 14, warming ovens 0, fridges 1, water heaters 11, beverage makers n/a, espresso 1, folding trolleys 3, headsets BC: Dual Pin/ EY: Single Pin
Note: Preparation check at caterer - does NOT confirm loading.</v>
      </c>
      <c r="C40" s="120" t="str">
        <f aca="false">Checks!$N$20&amp;CHAR(10)&amp;IF(ISNUMBER(Checks!$R$20),TEXT(Checks!$R$20,"DD-MMM-YY HH:MM"),"")&amp;" "&amp;Checks!$P$20</f>
        <v>Required
08-Oct-26 09:35 LHR</v>
      </c>
      <c r="D40" s="120" t="str">
        <f aca="false">IF(TRIM(Checks!$U$20)&lt;&gt;"",Checks!$U$20&amp;IF(Checks!$AB$20="","",CHAR(10)&amp;"CA: "&amp;Checks!$AB$20),IF(LEFT(Checks!$AH$20,10)="N/A – RULE","","[ ] Pass"&amp;CHAR(10)&amp;"[ ] Pass after CA"&amp;CHAR(10)&amp;"[ ] Fail"&amp;IF(Checks!$AT$20=1,CHAR(10)&amp;"[ ] N/A","")&amp;CHAR(10)&amp;"CA: Open / Closed"))</f>
        <v>[ ] Pass
[ ] Pass after CA
[ ] Fail
CA: Open / Closed</v>
      </c>
      <c r="E40" s="120" t="str">
        <f aca="false">IF(Checks!$V$20="","",Checks!$V$20)&amp;IF(Checks!$AC$20="","",IF(Checks!$V$20="","",CHAR(10))&amp;"N/A just.: "&amp;Checks!$AC$20)&amp;IF(OR(Checks!$W$20&lt;&gt;"",AND(Checks!$AQ$20=1,NOT(LEFT(Checks!$AH$20,10)="N/A – RULE"))),CHAR(10)&amp;"Batch: "&amp;IF(Checks!$W$20="","____________",Checks!$W$20),"")&amp;IF(OR(Checks!$X$20&lt;&gt;"",Checks!$Y$20&lt;&gt;"",AND(Checks!$AR$20=1,NOT(LEFT(Checks!$AH$20,10)="N/A – RULE"))),CHAR(10)&amp;"Exp: "&amp;IF(Checks!$X$20="","______",Checks!$X$20)&amp;"  /  Act: "&amp;IF(Checks!$Y$20="","______",Checks!$Y$20),"")</f>
        <v>
Exp: ______  /  Act: ______</v>
      </c>
      <c r="F40" s="120" t="str">
        <f aca="false">IF(AND(LEFT(Checks!$AH$20,10)="N/A – RULE",TRIM(Checks!$S$20&amp;Checks!$Z$20)=""),"","Type: "&amp;IF(TRIM(Checks!$S$20)="","______________ (see cover list)",Checks!$S$20)&amp;CHAR(10)&amp;"ID: "&amp;IF(TRIM(Checks!$Z$20)="","______________ (record's own no.)",Checks!$Z$20))&amp;IF(Checks!$AA$20="","",CHAR(10)&amp;"CA: "&amp;Checks!$AA$20)</f>
        <v>Type: ______________ (see cover list)
ID: ______________ (record's own no.)</v>
      </c>
      <c r="G40" s="120" t="str">
        <f aca="false">IF(AND(LEFT(Checks!$AH$20,10)="N/A – RULE",NOT(ISNUMBER(Checks!$AD$20)),Checks!$AE$20="",Checks!$T$20=""),"","Done: "&amp;IF(ISNUMBER(Checks!$AD$20),TEXT(Checks!$AD$20,"DD-MMM-YY HH:MM"),"____________")&amp;" "&amp;Checks!$P$20&amp;CHAR(10)&amp;"Verifier: "&amp;IF(Checks!$AE$20="","____________",Checks!$AE$20)&amp;CHAR(10)&amp;"PIC: "&amp;IF(Checks!$T$20="","____________",Checks!$T$20))</f>
        <v>Done: ____________ LHR
Verifier: ____________
PIC: ____________</v>
      </c>
      <c r="H40" s="121" t="str">
        <f aca="false">IF(Checks!$AH$20="","",Checks!$AH$20)</f>
        <v>OPEN</v>
      </c>
    </row>
    <row r="41" customFormat="false" ht="114" hidden="false" customHeight="true" outlineLevel="0" collapsed="false">
      <c r="A41" s="120" t="str">
        <f aca="false">Checks!$A$21&amp;CHAR(10)&amp;IF(Checks!$I$21="","",Checks!$I$21&amp;": ")&amp;Checks!$J$21</f>
        <v>F01-T12-07
Equipment: Loading positions planned vs GLD</v>
      </c>
      <c r="B41" s="120" t="str">
        <f aca="false">Checks!$K$21&amp;IF(Checks!$O$21="","",IF(Checks!$K$21="","",CHAR(10))&amp;"Note: "&amp;Checks!$O$21)</f>
        <v>Note: Preparation check at caterer - does NOT confirm loading.</v>
      </c>
      <c r="C41" s="120" t="str">
        <f aca="false">Checks!$N$21&amp;CHAR(10)&amp;IF(ISNUMBER(Checks!$R$21),TEXT(Checks!$R$21,"DD-MMM-YY HH:MM"),"")&amp;" "&amp;Checks!$P$21</f>
        <v>Required
08-Oct-26 09:35 LHR</v>
      </c>
      <c r="D41" s="120" t="str">
        <f aca="false">IF(TRIM(Checks!$U$21)&lt;&gt;"",Checks!$U$21&amp;IF(Checks!$AB$21="","",CHAR(10)&amp;"CA: "&amp;Checks!$AB$21),IF(LEFT(Checks!$AH$21,10)="N/A – RULE","","[ ] Pass"&amp;CHAR(10)&amp;"[ ] Pass after CA"&amp;CHAR(10)&amp;"[ ] Fail"&amp;IF(Checks!$AT$21=1,CHAR(10)&amp;"[ ] N/A","")&amp;CHAR(10)&amp;"CA: Open / Closed"))</f>
        <v>[ ] Pass
[ ] Pass after CA
[ ] Fail
CA: Open / Closed</v>
      </c>
      <c r="E41" s="120" t="str">
        <f aca="false">IF(Checks!$V$21="","",Checks!$V$21)&amp;IF(Checks!$AC$21="","",IF(Checks!$V$21="","",CHAR(10))&amp;"N/A just.: "&amp;Checks!$AC$21)&amp;IF(OR(Checks!$W$21&lt;&gt;"",AND(Checks!$AQ$21=1,NOT(LEFT(Checks!$AH$21,10)="N/A – RULE"))),CHAR(10)&amp;"Batch: "&amp;IF(Checks!$W$21="","____________",Checks!$W$21),"")&amp;IF(OR(Checks!$X$21&lt;&gt;"",Checks!$Y$21&lt;&gt;"",AND(Checks!$AR$21=1,NOT(LEFT(Checks!$AH$21,10)="N/A – RULE"))),CHAR(10)&amp;"Exp: "&amp;IF(Checks!$X$21="","______",Checks!$X$21)&amp;"  /  Act: "&amp;IF(Checks!$Y$21="","______",Checks!$Y$21),"")</f>
        <v/>
      </c>
      <c r="F41" s="120" t="str">
        <f aca="false">IF(AND(LEFT(Checks!$AH$21,10)="N/A – RULE",TRIM(Checks!$S$21&amp;Checks!$Z$21)=""),"","Type: "&amp;IF(TRIM(Checks!$S$21)="","______________ (see cover list)",Checks!$S$21)&amp;CHAR(10)&amp;"ID: "&amp;IF(TRIM(Checks!$Z$21)="","______________ (record's own no.)",Checks!$Z$21))&amp;IF(Checks!$AA$21="","",CHAR(10)&amp;"CA: "&amp;Checks!$AA$21)</f>
        <v>Type: ______________ (see cover list)
ID: ______________ (record's own no.)</v>
      </c>
      <c r="G41" s="120" t="str">
        <f aca="false">IF(AND(LEFT(Checks!$AH$21,10)="N/A – RULE",NOT(ISNUMBER(Checks!$AD$21)),Checks!$AE$21="",Checks!$T$21=""),"","Done: "&amp;IF(ISNUMBER(Checks!$AD$21),TEXT(Checks!$AD$21,"DD-MMM-YY HH:MM"),"____________")&amp;" "&amp;Checks!$P$21&amp;CHAR(10)&amp;"Verifier: "&amp;IF(Checks!$AE$21="","____________",Checks!$AE$21)&amp;CHAR(10)&amp;"PIC: "&amp;IF(Checks!$T$21="","____________",Checks!$T$21))</f>
        <v>Done: ____________ LHR
Verifier: ____________
PIC: ____________</v>
      </c>
      <c r="H41" s="121" t="str">
        <f aca="false">IF(Checks!$AH$21="","",Checks!$AH$21)</f>
        <v>OPEN</v>
      </c>
    </row>
    <row r="42" customFormat="false" ht="135.75" hidden="false" customHeight="true" outlineLevel="0" collapsed="false">
      <c r="A42" s="120" t="str">
        <f aca="false">Checks!$A$22&amp;CHAR(10)&amp;IF(Checks!$I$22="","",Checks!$I$22&amp;": ")&amp;Checks!$J$22</f>
        <v>F01-T12-08
Amenities: Toiletry kits - prepared</v>
      </c>
      <c r="B42" s="120" t="str">
        <f aca="false">Checks!$K$22&amp;IF(Checks!$O$22="","",IF(Checks!$K$22="","",CHAR(10))&amp;"Note: "&amp;Checks!$O$22)</f>
        <v>Available for sector (ticked in reference)
Note: Reference does not state the cabin class for toiletry kits. Confirm whether EY receives them; if not, mark N/A with the confirmation as justification.</v>
      </c>
      <c r="C42" s="120" t="str">
        <f aca="false">Checks!$N$22&amp;CHAR(10)&amp;IF(ISNUMBER(Checks!$R$22),TEXT(Checks!$R$22,"DD-MMM-YY HH:MM"),"")&amp;" "&amp;Checks!$P$22</f>
        <v>Clarification required
08-Oct-26 09:35 LHR</v>
      </c>
      <c r="D42" s="120" t="str">
        <f aca="false">IF(TRIM(Checks!$U$22)&lt;&gt;"",Checks!$U$22&amp;IF(Checks!$AB$22="","",CHAR(10)&amp;"CA: "&amp;Checks!$AB$22),IF(LEFT(Checks!$AH$22,10)="N/A – RULE","","[ ] Pass"&amp;CHAR(10)&amp;"[ ] Pass after CA"&amp;CHAR(10)&amp;"[ ] Fail"&amp;IF(Checks!$AT$22=1,CHAR(10)&amp;"[ ] N/A","")&amp;CHAR(10)&amp;"CA: Open / Closed"))</f>
        <v>[ ] Pass
[ ] Pass after CA
[ ] Fail
[ ] N/A
CA: Open / Closed</v>
      </c>
      <c r="E42" s="120" t="str">
        <f aca="false">IF(Checks!$V$22="","",Checks!$V$22)&amp;IF(Checks!$AC$22="","",IF(Checks!$V$22="","",CHAR(10))&amp;"N/A just.: "&amp;Checks!$AC$22)&amp;IF(OR(Checks!$W$22&lt;&gt;"",AND(Checks!$AQ$22=1,NOT(LEFT(Checks!$AH$22,10)="N/A – RULE"))),CHAR(10)&amp;"Batch: "&amp;IF(Checks!$W$22="","____________",Checks!$W$22),"")&amp;IF(OR(Checks!$X$22&lt;&gt;"",Checks!$Y$22&lt;&gt;"",AND(Checks!$AR$22=1,NOT(LEFT(Checks!$AH$22,10)="N/A – RULE"))),CHAR(10)&amp;"Exp: "&amp;IF(Checks!$X$22="","______",Checks!$X$22)&amp;"  /  Act: "&amp;IF(Checks!$Y$22="","______",Checks!$Y$22),"")</f>
        <v/>
      </c>
      <c r="F42" s="120" t="str">
        <f aca="false">IF(AND(LEFT(Checks!$AH$22,10)="N/A – RULE",TRIM(Checks!$S$22&amp;Checks!$Z$22)=""),"","Type: "&amp;IF(TRIM(Checks!$S$22)="","______________ (see cover list)",Checks!$S$22)&amp;CHAR(10)&amp;"ID: "&amp;IF(TRIM(Checks!$Z$22)="","______________ (record's own no.)",Checks!$Z$22))&amp;IF(Checks!$AA$22="","",CHAR(10)&amp;"CA: "&amp;Checks!$AA$22)</f>
        <v>Type: ______________ (see cover list)
ID: ______________ (record's own no.)</v>
      </c>
      <c r="G42" s="120" t="str">
        <f aca="false">IF(AND(LEFT(Checks!$AH$22,10)="N/A – RULE",NOT(ISNUMBER(Checks!$AD$22)),Checks!$AE$22="",Checks!$T$22=""),"","Done: "&amp;IF(ISNUMBER(Checks!$AD$22),TEXT(Checks!$AD$22,"DD-MMM-YY HH:MM"),"____________")&amp;" "&amp;Checks!$P$22&amp;CHAR(10)&amp;"Verifier: "&amp;IF(Checks!$AE$22="","____________",Checks!$AE$22)&amp;CHAR(10)&amp;"PIC: "&amp;IF(Checks!$T$22="","____________",Checks!$T$22))</f>
        <v>Done: ____________ LHR
Verifier: ____________
PIC: ____________</v>
      </c>
      <c r="H42" s="121" t="str">
        <f aca="false">IF(Checks!$AH$22="","",Checks!$AH$22)</f>
        <v>OPEN – CLARIFICATION</v>
      </c>
    </row>
    <row r="43" customFormat="false" ht="114" hidden="false" customHeight="true" outlineLevel="0" collapsed="false">
      <c r="A43" s="120" t="str">
        <f aca="false">Checks!$A$23&amp;CHAR(10)&amp;IF(Checks!$I$23="","",Checks!$I$23&amp;": ")&amp;Checks!$J$23</f>
        <v>F01-T12-09
Seat Linen: Seat pillow (EY) - prepared</v>
      </c>
      <c r="B43" s="120" t="str">
        <f aca="false">Checks!$K$23&amp;IF(Checks!$O$23="","",IF(Checks!$K$23="","",CHAR(10))&amp;"Note: "&amp;Checks!$O$23)</f>
        <v>Available 100% (ticked in reference)
Note: Reference gives no uplift stn for this item: preparation checked at the meal uplift stn (LHR) - confirm with caterer.</v>
      </c>
      <c r="C43" s="120" t="str">
        <f aca="false">Checks!$N$23&amp;CHAR(10)&amp;IF(ISNUMBER(Checks!$R$23),TEXT(Checks!$R$23,"DD-MMM-YY HH:MM"),"")&amp;" "&amp;Checks!$P$23</f>
        <v>Required
08-Oct-26 09:35 LHR</v>
      </c>
      <c r="D43" s="120" t="str">
        <f aca="false">IF(TRIM(Checks!$U$23)&lt;&gt;"",Checks!$U$23&amp;IF(Checks!$AB$23="","",CHAR(10)&amp;"CA: "&amp;Checks!$AB$23),IF(LEFT(Checks!$AH$23,10)="N/A – RULE","","[ ] Pass"&amp;CHAR(10)&amp;"[ ] Pass after CA"&amp;CHAR(10)&amp;"[ ] Fail"&amp;IF(Checks!$AT$23=1,CHAR(10)&amp;"[ ] N/A","")&amp;CHAR(10)&amp;"CA: Open / Closed"))</f>
        <v>[ ] Pass
[ ] Pass after CA
[ ] Fail
CA: Open / Closed</v>
      </c>
      <c r="E43" s="120" t="str">
        <f aca="false">IF(Checks!$V$23="","",Checks!$V$23)&amp;IF(Checks!$AC$23="","",IF(Checks!$V$23="","",CHAR(10))&amp;"N/A just.: "&amp;Checks!$AC$23)&amp;IF(OR(Checks!$W$23&lt;&gt;"",AND(Checks!$AQ$23=1,NOT(LEFT(Checks!$AH$23,10)="N/A – RULE"))),CHAR(10)&amp;"Batch: "&amp;IF(Checks!$W$23="","____________",Checks!$W$23),"")&amp;IF(OR(Checks!$X$23&lt;&gt;"",Checks!$Y$23&lt;&gt;"",AND(Checks!$AR$23=1,NOT(LEFT(Checks!$AH$23,10)="N/A – RULE"))),CHAR(10)&amp;"Exp: "&amp;IF(Checks!$X$23="","______",Checks!$X$23)&amp;"  /  Act: "&amp;IF(Checks!$Y$23="","______",Checks!$Y$23),"")</f>
        <v/>
      </c>
      <c r="F43" s="120" t="str">
        <f aca="false">IF(AND(LEFT(Checks!$AH$23,10)="N/A – RULE",TRIM(Checks!$S$23&amp;Checks!$Z$23)=""),"","Type: "&amp;IF(TRIM(Checks!$S$23)="","______________ (see cover list)",Checks!$S$23)&amp;CHAR(10)&amp;"ID: "&amp;IF(TRIM(Checks!$Z$23)="","______________ (record's own no.)",Checks!$Z$23))&amp;IF(Checks!$AA$23="","",CHAR(10)&amp;"CA: "&amp;Checks!$AA$23)</f>
        <v>Type: ______________ (see cover list)
ID: ______________ (record's own no.)</v>
      </c>
      <c r="G43" s="120" t="str">
        <f aca="false">IF(AND(LEFT(Checks!$AH$23,10)="N/A – RULE",NOT(ISNUMBER(Checks!$AD$23)),Checks!$AE$23="",Checks!$T$23=""),"","Done: "&amp;IF(ISNUMBER(Checks!$AD$23),TEXT(Checks!$AD$23,"DD-MMM-YY HH:MM"),"____________")&amp;" "&amp;Checks!$P$23&amp;CHAR(10)&amp;"Verifier: "&amp;IF(Checks!$AE$23="","____________",Checks!$AE$23)&amp;CHAR(10)&amp;"PIC: "&amp;IF(Checks!$T$23="","____________",Checks!$T$23))</f>
        <v>Done: ____________ LHR
Verifier: ____________
PIC: ____________</v>
      </c>
      <c r="H43" s="121" t="str">
        <f aca="false">IF(Checks!$AH$23="","",Checks!$AH$23)</f>
        <v>OPEN</v>
      </c>
    </row>
    <row r="44" customFormat="false" ht="201.75" hidden="false" customHeight="true" outlineLevel="0" collapsed="false">
      <c r="A44" s="120" t="str">
        <f aca="false">Checks!$A$24&amp;CHAR(10)&amp;IF(Checks!$I$24="","",Checks!$I$24&amp;": ")&amp;Checks!$J$24</f>
        <v>F01-T12-10
Seat Linen: Blanket (EY) - prepared</v>
      </c>
      <c r="B44" s="120" t="str">
        <f aca="false">SUBSTITUTE(SUBSTITUTE(SUBSTITUTE(Checks!$K$24&amp;IF(Checks!$O$24="","",IF(Checks!$K$24="","",CHAR(10))&amp;"Note: "&amp;Checks!$O$24)," (SEAT LINEN!B74:C74)","")," (SEAT LINEN!B76:C76)","")," (SEAT LINEN!B77:C77)","")</f>
        <v>Available 100% (ticked in reference); qty 280 (A350 9M-MAH) / 260 (A359) - per tail
Note: EY blanket: flight above 3 hours excl. Regional; block 13.25 h. Qty per tail: A350 280 pcs, A359 260 pcs. Reference gives no uplift stn for this item: preparation checked at the meal uplift stn (LHR) - confirm with caterer.</v>
      </c>
      <c r="C44" s="120" t="str">
        <f aca="false">Checks!$N$24&amp;CHAR(10)&amp;IF(ISNUMBER(Checks!$R$24),TEXT(Checks!$R$24,"DD-MMM-YY HH:MM"),"")&amp;" "&amp;Checks!$P$24</f>
        <v>Required
08-Oct-26 09:35 LHR</v>
      </c>
      <c r="D44" s="120" t="str">
        <f aca="false">IF(TRIM(Checks!$U$24)&lt;&gt;"",Checks!$U$24&amp;IF(Checks!$AB$24="","",CHAR(10)&amp;"CA: "&amp;Checks!$AB$24),IF(LEFT(Checks!$AH$24,10)="N/A – RULE","","[ ] Pass"&amp;CHAR(10)&amp;"[ ] Pass after CA"&amp;CHAR(10)&amp;"[ ] Fail"&amp;IF(Checks!$AT$24=1,CHAR(10)&amp;"[ ] N/A","")&amp;CHAR(10)&amp;"CA: Open / Closed"))</f>
        <v>[ ] Pass
[ ] Pass after CA
[ ] Fail
CA: Open / Closed</v>
      </c>
      <c r="E44" s="120" t="str">
        <f aca="false">IF(Checks!$V$24="","",Checks!$V$24)&amp;IF(Checks!$AC$24="","",IF(Checks!$V$24="","",CHAR(10))&amp;"N/A just.: "&amp;Checks!$AC$24)&amp;IF(OR(Checks!$W$24&lt;&gt;"",AND(Checks!$AQ$24=1,NOT(LEFT(Checks!$AH$24,10)="N/A – RULE"))),CHAR(10)&amp;"Batch: "&amp;IF(Checks!$W$24="","____________",Checks!$W$24),"")&amp;IF(OR(Checks!$X$24&lt;&gt;"",Checks!$Y$24&lt;&gt;"",AND(Checks!$AR$24=1,NOT(LEFT(Checks!$AH$24,10)="N/A – RULE"))),CHAR(10)&amp;"Exp: "&amp;IF(Checks!$X$24="","______",Checks!$X$24)&amp;"  /  Act: "&amp;IF(Checks!$Y$24="","______",Checks!$Y$24),"")</f>
        <v>
Exp: ______  /  Act: ______</v>
      </c>
      <c r="F44" s="120" t="str">
        <f aca="false">IF(AND(LEFT(Checks!$AH$24,10)="N/A – RULE",TRIM(Checks!$S$24&amp;Checks!$Z$24)=""),"","Type: "&amp;IF(TRIM(Checks!$S$24)="","______________ (see cover list)",Checks!$S$24)&amp;CHAR(10)&amp;"ID: "&amp;IF(TRIM(Checks!$Z$24)="","______________ (record's own no.)",Checks!$Z$24))&amp;IF(Checks!$AA$24="","",CHAR(10)&amp;"CA: "&amp;Checks!$AA$24)</f>
        <v>Type: ______________ (see cover list)
ID: ______________ (record's own no.)</v>
      </c>
      <c r="G44" s="120" t="str">
        <f aca="false">IF(AND(LEFT(Checks!$AH$24,10)="N/A – RULE",NOT(ISNUMBER(Checks!$AD$24)),Checks!$AE$24="",Checks!$T$24=""),"","Done: "&amp;IF(ISNUMBER(Checks!$AD$24),TEXT(Checks!$AD$24,"DD-MMM-YY HH:MM"),"____________")&amp;" "&amp;Checks!$P$24&amp;CHAR(10)&amp;"Verifier: "&amp;IF(Checks!$AE$24="","____________",Checks!$AE$24)&amp;CHAR(10)&amp;"PIC: "&amp;IF(Checks!$T$24="","____________",Checks!$T$24))</f>
        <v>Done: ____________ LHR
Verifier: ____________
PIC: ____________</v>
      </c>
      <c r="H44" s="121" t="str">
        <f aca="false">IF(Checks!$AH$24="","",Checks!$AH$24)</f>
        <v>OPEN</v>
      </c>
    </row>
    <row r="45" customFormat="false" ht="25.5" hidden="false" customHeight="true" outlineLevel="0" collapsed="false">
      <c r="A45" s="119" t="str">
        <f aca="false">"UPLIFT — Physical uplift – on-board confirmation before departure  |  Due "&amp;"STD "&amp;IF(ISNUMBER(Flights!$I$5),TEXT(Flights!$I$5,"DD-MMM-YY HH:MM"),"")&amp;" "&amp;Flights!$G$5&amp;" (departure stn)"&amp;" (rows with another due show their own)  |  Complete "&amp;IF(ISNUMBER(Flights!$AM$5),TEXT(Flights!$AM$5,"0%"),Flights!$AM$5)&amp;"  |  5 lines"</f>
        <v>UPLIFT — Physical uplift – on-board confirmation before departure  |  Due STD 08-Oct-26 21:35 LHR (departure stn) (rows with another due show their own)  |  Complete 0%  |  5 lines</v>
      </c>
      <c r="B45" s="119"/>
      <c r="C45" s="119"/>
      <c r="D45" s="119"/>
      <c r="E45" s="119"/>
      <c r="F45" s="119"/>
      <c r="G45" s="119"/>
      <c r="H45" s="119"/>
    </row>
    <row r="46" customFormat="false" ht="114" hidden="false" customHeight="true" outlineLevel="0" collapsed="false">
      <c r="A46" s="120" t="str">
        <f aca="false">Checks!$A$25&amp;CHAR(10)&amp;IF(Checks!$I$25="","",Checks!$I$25&amp;": ")&amp;Checks!$J$25</f>
        <v>F01-UPL-01
Meal: Meals physically uplifted on board - quantity vs menu checklist</v>
      </c>
      <c r="B46" s="120" t="str">
        <f aca="false">Checks!$K$25&amp;IF(Checks!$O$25="","",IF(Checks!$K$25="","",CHAR(10))&amp;"Note: "&amp;Checks!$O$25)</f>
        <v>Enter expected &amp; actual
Note: Confirm on board before departure; completion time must fall inside the uplift window.</v>
      </c>
      <c r="C46" s="120" t="str">
        <f aca="false">Checks!$N$25&amp;CHAR(10)&amp;IF(ISNUMBER(Checks!$R$25),TEXT(Checks!$R$25,"DD-MMM-YY HH:MM"),"")&amp;" "&amp;Checks!$P$25</f>
        <v>Required
08-Oct-26 21:35 LHR</v>
      </c>
      <c r="D46" s="120" t="str">
        <f aca="false">IF(TRIM(Checks!$U$25)&lt;&gt;"",Checks!$U$25&amp;IF(Checks!$AB$25="","",CHAR(10)&amp;"CA: "&amp;Checks!$AB$25),IF(LEFT(Checks!$AH$25,10)="N/A – RULE","","[ ] Pass"&amp;CHAR(10)&amp;"[ ] Pass after CA"&amp;CHAR(10)&amp;"[ ] Fail"&amp;IF(Checks!$AT$25=1,CHAR(10)&amp;"[ ] N/A","")&amp;CHAR(10)&amp;"CA: Open / Closed"))</f>
        <v>[ ] Pass
[ ] Pass after CA
[ ] Fail
CA: Open / Closed</v>
      </c>
      <c r="E46" s="120" t="str">
        <f aca="false">IF(Checks!$V$25="","",Checks!$V$25)&amp;IF(Checks!$AC$25="","",IF(Checks!$V$25="","",CHAR(10))&amp;"N/A just.: "&amp;Checks!$AC$25)&amp;IF(OR(Checks!$W$25&lt;&gt;"",AND(Checks!$AQ$25=1,NOT(LEFT(Checks!$AH$25,10)="N/A – RULE"))),CHAR(10)&amp;"Batch: "&amp;IF(Checks!$W$25="","____________",Checks!$W$25),"")&amp;IF(OR(Checks!$X$25&lt;&gt;"",Checks!$Y$25&lt;&gt;"",AND(Checks!$AR$25=1,NOT(LEFT(Checks!$AH$25,10)="N/A – RULE"))),CHAR(10)&amp;"Exp: "&amp;IF(Checks!$X$25="","______",Checks!$X$25)&amp;"  /  Act: "&amp;IF(Checks!$Y$25="","______",Checks!$Y$25),"")</f>
        <v>
Exp: ______  /  Act: ______</v>
      </c>
      <c r="F46" s="120" t="str">
        <f aca="false">IF(AND(LEFT(Checks!$AH$25,10)="N/A – RULE",TRIM(Checks!$S$25&amp;Checks!$Z$25)=""),"","Type: "&amp;IF(TRIM(Checks!$S$25)="","______________ (see cover list)",Checks!$S$25)&amp;CHAR(10)&amp;"ID: "&amp;IF(TRIM(Checks!$Z$25)="","______________ (record's own no.)",Checks!$Z$25))&amp;IF(Checks!$AA$25="","",CHAR(10)&amp;"CA: "&amp;Checks!$AA$25)</f>
        <v>Type: ______________ (see cover list)
ID: ______________ (record's own no.)</v>
      </c>
      <c r="G46" s="120" t="str">
        <f aca="false">IF(AND(LEFT(Checks!$AH$25,10)="N/A – RULE",NOT(ISNUMBER(Checks!$AD$25)),Checks!$AE$25="",Checks!$T$25=""),"","Done: "&amp;IF(ISNUMBER(Checks!$AD$25),TEXT(Checks!$AD$25,"DD-MMM-YY HH:MM"),"____________")&amp;" "&amp;Checks!$P$25&amp;CHAR(10)&amp;"Verifier: "&amp;IF(Checks!$AE$25="","____________",Checks!$AE$25)&amp;CHAR(10)&amp;"PIC: "&amp;IF(Checks!$T$25="","____________",Checks!$T$25))</f>
        <v>Done: ____________ LHR
Verifier: ____________
PIC: ____________</v>
      </c>
      <c r="H46" s="121" t="str">
        <f aca="false">IF(Checks!$AH$25="","",Checks!$AH$25)</f>
        <v>OPEN</v>
      </c>
    </row>
    <row r="47" customFormat="false" ht="114" hidden="false" customHeight="true" outlineLevel="0" collapsed="false">
      <c r="A47" s="120" t="str">
        <f aca="false">Checks!$A$26&amp;CHAR(10)&amp;IF(Checks!$I$26="","",Checks!$I$26&amp;": ")&amp;Checks!$J$26</f>
        <v>F01-UPL-02
Equipment: Equipment physically loaded at GLD positions - quantity &amp; positions</v>
      </c>
      <c r="B47" s="120" t="str">
        <f aca="false">Checks!$K$26&amp;IF(Checks!$O$26="","",IF(Checks!$K$26="","",CHAR(10))&amp;"Note: "&amp;Checks!$O$26)</f>
        <v>Enter expected &amp; actual
Note: Confirm on board before departure; completion time must fall inside the uplift window.</v>
      </c>
      <c r="C47" s="120" t="str">
        <f aca="false">Checks!$N$26&amp;CHAR(10)&amp;IF(ISNUMBER(Checks!$R$26),TEXT(Checks!$R$26,"DD-MMM-YY HH:MM"),"")&amp;" "&amp;Checks!$P$26</f>
        <v>Required
08-Oct-26 21:35 LHR</v>
      </c>
      <c r="D47" s="120" t="str">
        <f aca="false">IF(TRIM(Checks!$U$26)&lt;&gt;"",Checks!$U$26&amp;IF(Checks!$AB$26="","",CHAR(10)&amp;"CA: "&amp;Checks!$AB$26),IF(LEFT(Checks!$AH$26,10)="N/A – RULE","","[ ] Pass"&amp;CHAR(10)&amp;"[ ] Pass after CA"&amp;CHAR(10)&amp;"[ ] Fail"&amp;IF(Checks!$AT$26=1,CHAR(10)&amp;"[ ] N/A","")&amp;CHAR(10)&amp;"CA: Open / Closed"))</f>
        <v>[ ] Pass
[ ] Pass after CA
[ ] Fail
CA: Open / Closed</v>
      </c>
      <c r="E47" s="120" t="str">
        <f aca="false">IF(Checks!$V$26="","",Checks!$V$26)&amp;IF(Checks!$AC$26="","",IF(Checks!$V$26="","",CHAR(10))&amp;"N/A just.: "&amp;Checks!$AC$26)&amp;IF(OR(Checks!$W$26&lt;&gt;"",AND(Checks!$AQ$26=1,NOT(LEFT(Checks!$AH$26,10)="N/A – RULE"))),CHAR(10)&amp;"Batch: "&amp;IF(Checks!$W$26="","____________",Checks!$W$26),"")&amp;IF(OR(Checks!$X$26&lt;&gt;"",Checks!$Y$26&lt;&gt;"",AND(Checks!$AR$26=1,NOT(LEFT(Checks!$AH$26,10)="N/A – RULE"))),CHAR(10)&amp;"Exp: "&amp;IF(Checks!$X$26="","______",Checks!$X$26)&amp;"  /  Act: "&amp;IF(Checks!$Y$26="","______",Checks!$Y$26),"")</f>
        <v>
Exp: ______  /  Act: ______</v>
      </c>
      <c r="F47" s="120" t="str">
        <f aca="false">IF(AND(LEFT(Checks!$AH$26,10)="N/A – RULE",TRIM(Checks!$S$26&amp;Checks!$Z$26)=""),"","Type: "&amp;IF(TRIM(Checks!$S$26)="","______________ (see cover list)",Checks!$S$26)&amp;CHAR(10)&amp;"ID: "&amp;IF(TRIM(Checks!$Z$26)="","______________ (record's own no.)",Checks!$Z$26))&amp;IF(Checks!$AA$26="","",CHAR(10)&amp;"CA: "&amp;Checks!$AA$26)</f>
        <v>Type: ______________ (see cover list)
ID: ______________ (record's own no.)</v>
      </c>
      <c r="G47" s="120" t="str">
        <f aca="false">IF(AND(LEFT(Checks!$AH$26,10)="N/A – RULE",NOT(ISNUMBER(Checks!$AD$26)),Checks!$AE$26="",Checks!$T$26=""),"","Done: "&amp;IF(ISNUMBER(Checks!$AD$26),TEXT(Checks!$AD$26,"DD-MMM-YY HH:MM"),"____________")&amp;" "&amp;Checks!$P$26&amp;CHAR(10)&amp;"Verifier: "&amp;IF(Checks!$AE$26="","____________",Checks!$AE$26)&amp;CHAR(10)&amp;"PIC: "&amp;IF(Checks!$T$26="","____________",Checks!$T$26))</f>
        <v>Done: ____________ LHR
Verifier: ____________
PIC: ____________</v>
      </c>
      <c r="H47" s="121" t="str">
        <f aca="false">IF(Checks!$AH$26="","",Checks!$AH$26)</f>
        <v>OPEN</v>
      </c>
    </row>
    <row r="48" customFormat="false" ht="135.75" hidden="false" customHeight="true" outlineLevel="0" collapsed="false">
      <c r="A48" s="120" t="str">
        <f aca="false">Checks!$A$27&amp;CHAR(10)&amp;IF(Checks!$I$27="","",Checks!$I$27&amp;": ")&amp;Checks!$J$27</f>
        <v>F01-UPL-03
Amenities: Toiletry kits - on board</v>
      </c>
      <c r="B48" s="120" t="str">
        <f aca="false">Checks!$K$27&amp;IF(Checks!$O$27="","",IF(Checks!$K$27="","",CHAR(10))&amp;"Note: "&amp;Checks!$O$27)</f>
        <v>Available for sector (ticked in reference)
Note: Reference does not state the cabin class for toiletry kits. Confirm whether EY receives them; if not, mark N/A with the confirmation as justification.</v>
      </c>
      <c r="C48" s="120" t="str">
        <f aca="false">Checks!$N$27&amp;CHAR(10)&amp;IF(ISNUMBER(Checks!$R$27),TEXT(Checks!$R$27,"DD-MMM-YY HH:MM"),"")&amp;" "&amp;Checks!$P$27</f>
        <v>Clarification required
08-Oct-26 21:35 LHR</v>
      </c>
      <c r="D48" s="120" t="str">
        <f aca="false">IF(TRIM(Checks!$U$27)&lt;&gt;"",Checks!$U$27&amp;IF(Checks!$AB$27="","",CHAR(10)&amp;"CA: "&amp;Checks!$AB$27),IF(LEFT(Checks!$AH$27,10)="N/A – RULE","","[ ] Pass"&amp;CHAR(10)&amp;"[ ] Pass after CA"&amp;CHAR(10)&amp;"[ ] Fail"&amp;IF(Checks!$AT$27=1,CHAR(10)&amp;"[ ] N/A","")&amp;CHAR(10)&amp;"CA: Open / Closed"))</f>
        <v>[ ] Pass
[ ] Pass after CA
[ ] Fail
[ ] N/A
CA: Open / Closed</v>
      </c>
      <c r="E48" s="120" t="str">
        <f aca="false">IF(Checks!$V$27="","",Checks!$V$27)&amp;IF(Checks!$AC$27="","",IF(Checks!$V$27="","",CHAR(10))&amp;"N/A just.: "&amp;Checks!$AC$27)&amp;IF(OR(Checks!$W$27&lt;&gt;"",AND(Checks!$AQ$27=1,NOT(LEFT(Checks!$AH$27,10)="N/A – RULE"))),CHAR(10)&amp;"Batch: "&amp;IF(Checks!$W$27="","____________",Checks!$W$27),"")&amp;IF(OR(Checks!$X$27&lt;&gt;"",Checks!$Y$27&lt;&gt;"",AND(Checks!$AR$27=1,NOT(LEFT(Checks!$AH$27,10)="N/A – RULE"))),CHAR(10)&amp;"Exp: "&amp;IF(Checks!$X$27="","______",Checks!$X$27)&amp;"  /  Act: "&amp;IF(Checks!$Y$27="","______",Checks!$Y$27),"")</f>
        <v/>
      </c>
      <c r="F48" s="120" t="str">
        <f aca="false">IF(AND(LEFT(Checks!$AH$27,10)="N/A – RULE",TRIM(Checks!$S$27&amp;Checks!$Z$27)=""),"","Type: "&amp;IF(TRIM(Checks!$S$27)="","______________ (see cover list)",Checks!$S$27)&amp;CHAR(10)&amp;"ID: "&amp;IF(TRIM(Checks!$Z$27)="","______________ (record's own no.)",Checks!$Z$27))&amp;IF(Checks!$AA$27="","",CHAR(10)&amp;"CA: "&amp;Checks!$AA$27)</f>
        <v>Type: ______________ (see cover list)
ID: ______________ (record's own no.)</v>
      </c>
      <c r="G48" s="120" t="str">
        <f aca="false">IF(AND(LEFT(Checks!$AH$27,10)="N/A – RULE",NOT(ISNUMBER(Checks!$AD$27)),Checks!$AE$27="",Checks!$T$27=""),"","Done: "&amp;IF(ISNUMBER(Checks!$AD$27),TEXT(Checks!$AD$27,"DD-MMM-YY HH:MM"),"____________")&amp;" "&amp;Checks!$P$27&amp;CHAR(10)&amp;"Verifier: "&amp;IF(Checks!$AE$27="","____________",Checks!$AE$27)&amp;CHAR(10)&amp;"PIC: "&amp;IF(Checks!$T$27="","____________",Checks!$T$27))</f>
        <v>Done: ____________ LHR
Verifier: ____________
PIC: ____________</v>
      </c>
      <c r="H48" s="121" t="str">
        <f aca="false">IF(Checks!$AH$27="","",Checks!$AH$27)</f>
        <v>OPEN – CLARIFICATION</v>
      </c>
    </row>
    <row r="49" customFormat="false" ht="114" hidden="false" customHeight="true" outlineLevel="0" collapsed="false">
      <c r="A49" s="120" t="str">
        <f aca="false">Checks!$A$28&amp;CHAR(10)&amp;IF(Checks!$I$28="","",Checks!$I$28&amp;": ")&amp;Checks!$J$28</f>
        <v>F01-UPL-04
Seat Linen: Seat pillow (EY) - on board</v>
      </c>
      <c r="B49" s="120" t="str">
        <f aca="false">Checks!$K$28&amp;IF(Checks!$O$28="","",IF(Checks!$K$28="","",CHAR(10))&amp;"Note: "&amp;Checks!$O$28)</f>
        <v>Available 100% (ticked in reference)</v>
      </c>
      <c r="C49" s="120" t="str">
        <f aca="false">Checks!$N$28&amp;CHAR(10)&amp;IF(ISNUMBER(Checks!$R$28),TEXT(Checks!$R$28,"DD-MMM-YY HH:MM"),"")&amp;" "&amp;Checks!$P$28</f>
        <v>Required
08-Oct-26 21:35 LHR</v>
      </c>
      <c r="D49" s="120" t="str">
        <f aca="false">IF(TRIM(Checks!$U$28)&lt;&gt;"",Checks!$U$28&amp;IF(Checks!$AB$28="","",CHAR(10)&amp;"CA: "&amp;Checks!$AB$28),IF(LEFT(Checks!$AH$28,10)="N/A – RULE","","[ ] Pass"&amp;CHAR(10)&amp;"[ ] Pass after CA"&amp;CHAR(10)&amp;"[ ] Fail"&amp;IF(Checks!$AT$28=1,CHAR(10)&amp;"[ ] N/A","")&amp;CHAR(10)&amp;"CA: Open / Closed"))</f>
        <v>[ ] Pass
[ ] Pass after CA
[ ] Fail
CA: Open / Closed</v>
      </c>
      <c r="E49" s="120" t="str">
        <f aca="false">IF(Checks!$V$28="","",Checks!$V$28)&amp;IF(Checks!$AC$28="","",IF(Checks!$V$28="","",CHAR(10))&amp;"N/A just.: "&amp;Checks!$AC$28)&amp;IF(OR(Checks!$W$28&lt;&gt;"",AND(Checks!$AQ$28=1,NOT(LEFT(Checks!$AH$28,10)="N/A – RULE"))),CHAR(10)&amp;"Batch: "&amp;IF(Checks!$W$28="","____________",Checks!$W$28),"")&amp;IF(OR(Checks!$X$28&lt;&gt;"",Checks!$Y$28&lt;&gt;"",AND(Checks!$AR$28=1,NOT(LEFT(Checks!$AH$28,10)="N/A – RULE"))),CHAR(10)&amp;"Exp: "&amp;IF(Checks!$X$28="","______",Checks!$X$28)&amp;"  /  Act: "&amp;IF(Checks!$Y$28="","______",Checks!$Y$28),"")</f>
        <v/>
      </c>
      <c r="F49" s="120" t="str">
        <f aca="false">IF(AND(LEFT(Checks!$AH$28,10)="N/A – RULE",TRIM(Checks!$S$28&amp;Checks!$Z$28)=""),"","Type: "&amp;IF(TRIM(Checks!$S$28)="","______________ (see cover list)",Checks!$S$28)&amp;CHAR(10)&amp;"ID: "&amp;IF(TRIM(Checks!$Z$28)="","______________ (record's own no.)",Checks!$Z$28))&amp;IF(Checks!$AA$28="","",CHAR(10)&amp;"CA: "&amp;Checks!$AA$28)</f>
        <v>Type: ______________ (see cover list)
ID: ______________ (record's own no.)</v>
      </c>
      <c r="G49" s="120" t="str">
        <f aca="false">IF(AND(LEFT(Checks!$AH$28,10)="N/A – RULE",NOT(ISNUMBER(Checks!$AD$28)),Checks!$AE$28="",Checks!$T$28=""),"","Done: "&amp;IF(ISNUMBER(Checks!$AD$28),TEXT(Checks!$AD$28,"DD-MMM-YY HH:MM"),"____________")&amp;" "&amp;Checks!$P$28&amp;CHAR(10)&amp;"Verifier: "&amp;IF(Checks!$AE$28="","____________",Checks!$AE$28)&amp;CHAR(10)&amp;"PIC: "&amp;IF(Checks!$T$28="","____________",Checks!$T$28))</f>
        <v>Done: ____________ LHR
Verifier: ____________
PIC: ____________</v>
      </c>
      <c r="H49" s="121" t="str">
        <f aca="false">IF(Checks!$AH$28="","",Checks!$AH$28)</f>
        <v>OPEN</v>
      </c>
    </row>
    <row r="50" customFormat="false" ht="124.5" hidden="false" customHeight="true" outlineLevel="0" collapsed="false">
      <c r="A50" s="120" t="str">
        <f aca="false">Checks!$A$29&amp;CHAR(10)&amp;IF(Checks!$I$29="","",Checks!$I$29&amp;": ")&amp;Checks!$J$29</f>
        <v>F01-UPL-05
Seat Linen: Blanket (EY) - on board</v>
      </c>
      <c r="B50" s="120" t="str">
        <f aca="false">SUBSTITUTE(SUBSTITUTE(SUBSTITUTE(Checks!$K$29&amp;IF(Checks!$O$29="","",IF(Checks!$K$29="","",CHAR(10))&amp;"Note: "&amp;Checks!$O$29)," (SEAT LINEN!B74:C74)","")," (SEAT LINEN!B76:C76)","")," (SEAT LINEN!B77:C77)","")</f>
        <v>Available 100% (ticked in reference); qty 280 (A350 9M-MAH) / 260 (A359) - per tail
Note: EY blanket: flight above 3 hours excl. Regional; block 13.25 h. Qty per tail: A350 280 pcs, A359 260 pcs.</v>
      </c>
      <c r="C50" s="120" t="str">
        <f aca="false">Checks!$N$29&amp;CHAR(10)&amp;IF(ISNUMBER(Checks!$R$29),TEXT(Checks!$R$29,"DD-MMM-YY HH:MM"),"")&amp;" "&amp;Checks!$P$29</f>
        <v>Required
08-Oct-26 21:35 LHR</v>
      </c>
      <c r="D50" s="120" t="str">
        <f aca="false">IF(TRIM(Checks!$U$29)&lt;&gt;"",Checks!$U$29&amp;IF(Checks!$AB$29="","",CHAR(10)&amp;"CA: "&amp;Checks!$AB$29),IF(LEFT(Checks!$AH$29,10)="N/A – RULE","","[ ] Pass"&amp;CHAR(10)&amp;"[ ] Pass after CA"&amp;CHAR(10)&amp;"[ ] Fail"&amp;IF(Checks!$AT$29=1,CHAR(10)&amp;"[ ] N/A","")&amp;CHAR(10)&amp;"CA: Open / Closed"))</f>
        <v>[ ] Pass
[ ] Pass after CA
[ ] Fail
CA: Open / Closed</v>
      </c>
      <c r="E50" s="120" t="str">
        <f aca="false">IF(Checks!$V$29="","",Checks!$V$29)&amp;IF(Checks!$AC$29="","",IF(Checks!$V$29="","",CHAR(10))&amp;"N/A just.: "&amp;Checks!$AC$29)&amp;IF(OR(Checks!$W$29&lt;&gt;"",AND(Checks!$AQ$29=1,NOT(LEFT(Checks!$AH$29,10)="N/A – RULE"))),CHAR(10)&amp;"Batch: "&amp;IF(Checks!$W$29="","____________",Checks!$W$29),"")&amp;IF(OR(Checks!$X$29&lt;&gt;"",Checks!$Y$29&lt;&gt;"",AND(Checks!$AR$29=1,NOT(LEFT(Checks!$AH$29,10)="N/A – RULE"))),CHAR(10)&amp;"Exp: "&amp;IF(Checks!$X$29="","______",Checks!$X$29)&amp;"  /  Act: "&amp;IF(Checks!$Y$29="","______",Checks!$Y$29),"")</f>
        <v>
Exp: ______  /  Act: ______</v>
      </c>
      <c r="F50" s="120" t="str">
        <f aca="false">IF(AND(LEFT(Checks!$AH$29,10)="N/A – RULE",TRIM(Checks!$S$29&amp;Checks!$Z$29)=""),"","Type: "&amp;IF(TRIM(Checks!$S$29)="","______________ (see cover list)",Checks!$S$29)&amp;CHAR(10)&amp;"ID: "&amp;IF(TRIM(Checks!$Z$29)="","______________ (record's own no.)",Checks!$Z$29))&amp;IF(Checks!$AA$29="","",CHAR(10)&amp;"CA: "&amp;Checks!$AA$29)</f>
        <v>Type: ______________ (see cover list)
ID: ______________ (record's own no.)</v>
      </c>
      <c r="G50" s="120" t="str">
        <f aca="false">IF(AND(LEFT(Checks!$AH$29,10)="N/A – RULE",NOT(ISNUMBER(Checks!$AD$29)),Checks!$AE$29="",Checks!$T$29=""),"","Done: "&amp;IF(ISNUMBER(Checks!$AD$29),TEXT(Checks!$AD$29,"DD-MMM-YY HH:MM"),"____________")&amp;" "&amp;Checks!$P$29&amp;CHAR(10)&amp;"Verifier: "&amp;IF(Checks!$AE$29="","____________",Checks!$AE$29)&amp;CHAR(10)&amp;"PIC: "&amp;IF(Checks!$T$29="","____________",Checks!$T$29))</f>
        <v>Done: ____________ LHR
Verifier: ____________
PIC: ____________</v>
      </c>
      <c r="H50" s="121" t="str">
        <f aca="false">IF(Checks!$AH$29="","",Checks!$AH$29)</f>
        <v>OPEN</v>
      </c>
    </row>
    <row r="52" customFormat="false" ht="24" hidden="false" customHeight="true" outlineLevel="0" collapsed="false">
      <c r="A52" s="122" t="s">
        <v>4832</v>
      </c>
      <c r="B52" s="122"/>
      <c r="C52" s="122"/>
      <c r="D52" s="122"/>
      <c r="E52" s="122" t="s">
        <v>4833</v>
      </c>
      <c r="F52" s="122"/>
      <c r="G52" s="122"/>
      <c r="H52" s="122"/>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row r="59" customFormat="false" ht="21.75" hidden="false" customHeight="true" outlineLevel="0" collapsed="false">
      <c r="A59" s="123"/>
      <c r="B59" s="123"/>
      <c r="C59" s="123"/>
      <c r="D59" s="123"/>
      <c r="E59" s="123"/>
      <c r="F59" s="123"/>
      <c r="G59" s="123"/>
      <c r="H59" s="123"/>
    </row>
    <row r="60" customFormat="false" ht="21.75" hidden="false" customHeight="true" outlineLevel="0" collapsed="false">
      <c r="A60" s="123"/>
      <c r="B60" s="123"/>
      <c r="C60" s="123"/>
      <c r="D60" s="123"/>
      <c r="E60" s="123"/>
      <c r="F60" s="123"/>
      <c r="G60" s="123"/>
      <c r="H60" s="123"/>
    </row>
    <row r="61" customFormat="false" ht="21.75" hidden="false" customHeight="true" outlineLevel="0" collapsed="false">
      <c r="A61" s="123"/>
      <c r="B61" s="123"/>
      <c r="C61" s="123"/>
      <c r="D61" s="123"/>
      <c r="E61" s="123"/>
      <c r="F61" s="123"/>
      <c r="G61" s="123"/>
      <c r="H61" s="123"/>
    </row>
    <row r="62" customFormat="false" ht="21.75" hidden="false" customHeight="true" outlineLevel="0" collapsed="false">
      <c r="A62" s="123"/>
      <c r="B62" s="123"/>
      <c r="C62" s="123"/>
      <c r="D62" s="123"/>
      <c r="E62" s="123"/>
      <c r="F62" s="123"/>
      <c r="G62" s="123"/>
      <c r="H62"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45:H45"/>
    <mergeCell ref="A52:D52"/>
    <mergeCell ref="E52:H52"/>
    <mergeCell ref="A53:D62"/>
    <mergeCell ref="E53:H62"/>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50">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50">
    <cfRule type="expression" priority="18" aboveAverage="0" equalAverage="0" bottom="0" percent="0" rank="0" text="" dxfId="35">
      <formula>LEFT($H23,3)="N/A"</formula>
    </cfRule>
  </conditionalFormatting>
  <conditionalFormatting sqref="D23:D50">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F01 MH0001 08-Oct-26 LHR-KUL Class EY</oddHeader>
    <oddFooter>&amp;L&amp;"Arial,Bold"&amp;8 F01 MH0001 08-Oct-26 LHR-KUL Class EY&amp;C&amp;"Arial,Regular"&amp;8 Printed: ____________________&amp;R&amp;"Arial,Regular"&amp;8 F01  Page &amp;P of &amp;N</oddFooter>
  </headerFooter>
  <rowBreaks count="8" manualBreakCount="8">
    <brk id="20" man="true" max="16383" min="0"/>
    <brk id="26" man="true" max="16383" min="0"/>
    <brk id="30" man="true" max="16383" min="0"/>
    <brk id="35" man="true" max="16383" min="0"/>
    <brk id="39" man="true" max="16383" min="0"/>
    <brk id="41" man="true" max="16383" min="0"/>
    <brk id="44" man="true" max="16383" min="0"/>
    <brk id="48" man="true" max="16383" min="0"/>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F02  "&amp;Flights!$F$6&amp;"  "&amp;TEXT(Flights!$D$6,"DD-MMM-YY")&amp;" ("&amp;Flights!$E$6&amp;")  "&amp;Flights!$G$6&amp;" → "&amp;Flights!$H$6&amp;"  |  Class "&amp;Flights!$K$6</f>
        <v>SKYTRAX 2026 CATERING READINESS CHECKLIST  |  F02  MH0727  09-Oct-26 (FRI)  KUL → CGK  |  Class BC</v>
      </c>
      <c r="B1" s="93"/>
      <c r="C1" s="93"/>
      <c r="D1" s="93"/>
      <c r="E1" s="93"/>
      <c r="F1" s="93"/>
      <c r="G1" s="93"/>
      <c r="H1" s="93"/>
    </row>
    <row r="2" customFormat="false" ht="12.75" hidden="false" customHeight="true" outlineLevel="0" collapsed="false">
      <c r="A2" s="94" t="s">
        <v>4788</v>
      </c>
      <c r="B2" s="95" t="str">
        <f aca="false">Flights!$F$6&amp;"   "&amp;TEXT(Flights!$D$6,"DD-MMM-YY")&amp;" ("&amp;Flights!$E$6&amp;")"</f>
        <v>MH0727   09-Oct-26 (FRI)</v>
      </c>
      <c r="C2" s="95"/>
      <c r="D2" s="95"/>
      <c r="E2" s="96" t="s">
        <v>4789</v>
      </c>
      <c r="F2" s="97" t="str">
        <f aca="false">Flights!$AT$6</f>
        <v>NOT READY – DOCUMENTS</v>
      </c>
      <c r="G2" s="97"/>
      <c r="H2" s="97"/>
    </row>
    <row r="3" customFormat="false" ht="24" hidden="false" customHeight="true" outlineLevel="0" collapsed="false">
      <c r="A3" s="94" t="s">
        <v>4790</v>
      </c>
      <c r="B3" s="95" t="str">
        <f aca="false">Flights!$G$6&amp;" → "&amp;Flights!$H$6&amp;"   Class "&amp;Flights!$K$6&amp;"   Seat "&amp;Flights!$O$6</f>
        <v>KUL → CGK   Class BC   Seat 1C</v>
      </c>
      <c r="C3" s="95"/>
      <c r="D3" s="95"/>
      <c r="E3" s="96" t="s">
        <v>73</v>
      </c>
      <c r="F3" s="96" t="s">
        <v>4791</v>
      </c>
      <c r="G3" s="96" t="s">
        <v>4792</v>
      </c>
      <c r="H3" s="96"/>
    </row>
    <row r="4" customFormat="false" ht="24" hidden="false" customHeight="true" outlineLevel="0" collapsed="false">
      <c r="A4" s="94" t="s">
        <v>4793</v>
      </c>
      <c r="B4" s="95" t="str">
        <f aca="false">IF(ISNUMBER(Flights!$I$6),TEXT(Flights!$I$6,"DD-MMM-YY HH:MM"),"")&amp;" "&amp;Flights!$G$6&amp;"  →  "&amp;IF(ISNUMBER(Flights!$J$6),TEXT(Flights!$J$6,"DD-MMM-YY HH:MM"),"")&amp;" "&amp;Flights!$H$6</f>
        <v>09-Oct-26 21:50 KUL  →  09-Oct-26 23:05 CGK</v>
      </c>
      <c r="C4" s="95"/>
      <c r="D4" s="95"/>
      <c r="E4" s="94" t="s">
        <v>4794</v>
      </c>
      <c r="F4" s="98" t="str">
        <f aca="false">IF(ISNUMBER(Flights!$AG$6),TEXT(Flights!$AG$6,"DD-MMM-YY HH:MM"),"")&amp;" "&amp;Flights!$V$6</f>
        <v>02-Oct-26 21:50 KUL</v>
      </c>
      <c r="G4" s="99" t="n">
        <f aca="false">Flights!$AJ$6</f>
        <v>0</v>
      </c>
      <c r="H4" s="99"/>
    </row>
    <row r="5" customFormat="false" ht="24" hidden="false" customHeight="true" outlineLevel="0" collapsed="false">
      <c r="A5" s="94" t="s">
        <v>4795</v>
      </c>
      <c r="B5" s="95" t="str">
        <f aca="false">Flights!$L$6&amp;" – "&amp;Flights!$M$6</f>
        <v>B738MAX – B737-8 (B7M8)</v>
      </c>
      <c r="C5" s="95"/>
      <c r="D5" s="95"/>
      <c r="E5" s="94" t="s">
        <v>4796</v>
      </c>
      <c r="F5" s="98" t="str">
        <f aca="false">IF(ISNUMBER(Flights!$AH$6),TEXT(Flights!$AH$6,"DD-MMM-YY HH:MM"),"")&amp;" "&amp;Flights!$V$6</f>
        <v>08-Oct-26 21:50 KUL</v>
      </c>
      <c r="G5" s="99" t="n">
        <f aca="false">Flights!$AK$6</f>
        <v>0</v>
      </c>
      <c r="H5" s="99"/>
    </row>
    <row r="6" customFormat="false" ht="24" hidden="false" customHeight="true" outlineLevel="0" collapsed="false">
      <c r="A6" s="94" t="s">
        <v>4797</v>
      </c>
      <c r="B6" s="95" t="str">
        <f aca="false">IF(TRIM(Flights!$N$6)="","__________________",Flights!$N$6)</f>
        <v>__________________</v>
      </c>
      <c r="C6" s="95"/>
      <c r="D6" s="95"/>
      <c r="E6" s="94" t="s">
        <v>4798</v>
      </c>
      <c r="F6" s="98" t="str">
        <f aca="false">IF(ISNUMBER(Flights!$AI$6),TEXT(Flights!$AI$6,"DD-MMM-YY HH:MM"),"")&amp;" "&amp;Flights!$V$6&amp;IF(Flights!$AI$6=Flights!$AH$6,"  (= T-24H due)","")</f>
        <v>09-Oct-26 09:50 KUL</v>
      </c>
      <c r="G6" s="99" t="n">
        <f aca="false">Flights!$AL$6</f>
        <v>0</v>
      </c>
      <c r="H6" s="99"/>
    </row>
    <row r="7" customFormat="false" ht="24" hidden="false" customHeight="true" outlineLevel="0" collapsed="false">
      <c r="A7" s="94" t="s">
        <v>4799</v>
      </c>
      <c r="B7" s="95" t="str">
        <f aca="false">Flights!$T$6</f>
        <v>1 Meal (Meal)</v>
      </c>
      <c r="C7" s="95"/>
      <c r="D7" s="95"/>
      <c r="E7" s="94" t="s">
        <v>4800</v>
      </c>
      <c r="F7" s="98" t="str">
        <f aca="false">"STD "&amp;IF(ISNUMBER(Flights!$I$6),TEXT(Flights!$I$6,"DD-MMM-YY HH:MM"),"")&amp;" "&amp;Flights!$G$6&amp;" (dep stn)"</f>
        <v>STD 09-Oct-26 21:50 KUL (dep stn)</v>
      </c>
      <c r="G7" s="99" t="n">
        <f aca="false">Flights!$AM$6</f>
        <v>0</v>
      </c>
      <c r="H7" s="99"/>
    </row>
    <row r="8" customFormat="false" ht="12.75" hidden="false" customHeight="true" outlineLevel="0" collapsed="false">
      <c r="A8" s="94" t="s">
        <v>155</v>
      </c>
      <c r="B8" s="95" t="str">
        <f aca="false">Flights!$V$6&amp;"   (reference uplift stns: "&amp;Flights!$U$6&amp;")"</f>
        <v>KUL   (reference uplift stns: KUL/CGK)</v>
      </c>
      <c r="C8" s="95"/>
      <c r="D8" s="95"/>
      <c r="E8" s="94" t="s">
        <v>4801</v>
      </c>
      <c r="F8" s="100" t="s">
        <v>4802</v>
      </c>
      <c r="G8" s="99" t="n">
        <f aca="false">Flights!$AN$6</f>
        <v>0</v>
      </c>
      <c r="H8" s="99"/>
    </row>
    <row r="9" customFormat="false" ht="12.75" hidden="false" customHeight="true" outlineLevel="0" collapsed="false">
      <c r="A9" s="94" t="s">
        <v>4803</v>
      </c>
      <c r="B9" s="95" t="str">
        <f aca="false">TRIM(Flights!$P$6&amp;"  "&amp;Flights!$Q$6)</f>
        <v>4H 00M Overnight CGK</v>
      </c>
      <c r="C9" s="95"/>
      <c r="D9" s="95"/>
      <c r="E9" s="94" t="s">
        <v>4804</v>
      </c>
      <c r="F9" s="101" t="n">
        <f aca="false">Flights!$AP$6</f>
        <v>0</v>
      </c>
      <c r="G9" s="102" t="n">
        <f aca="false">Flights!$AQ$6</f>
        <v>0</v>
      </c>
      <c r="H9" s="103" t="n">
        <f aca="false">Flights!$AU$6</f>
        <v>0</v>
      </c>
    </row>
    <row r="10" customFormat="false" ht="24" hidden="false" customHeight="true" outlineLevel="0" collapsed="false">
      <c r="A10" s="94" t="s">
        <v>4805</v>
      </c>
      <c r="B10" s="95" t="str">
        <f aca="false">IF(TRIM(Flights!$X$6)="","__________________",Flights!$X$6)</f>
        <v>__________________</v>
      </c>
      <c r="C10" s="95"/>
      <c r="D10" s="95"/>
      <c r="E10" s="94" t="s">
        <v>4806</v>
      </c>
      <c r="F10" s="104" t="n">
        <f aca="false">Flights!$AO$6</f>
        <v>38</v>
      </c>
      <c r="G10" s="105" t="n">
        <f aca="false">Flights!$AS$6</f>
        <v>2</v>
      </c>
      <c r="H10" s="106" t="n">
        <f aca="false">Flights!$AR$6</f>
        <v>2</v>
      </c>
    </row>
    <row r="11" customFormat="false" ht="21" hidden="false" customHeight="true" outlineLevel="0" collapsed="false">
      <c r="A11" s="94" t="s">
        <v>4807</v>
      </c>
      <c r="B11" s="95" t="str">
        <f aca="false">IF(TRIM(Flights!$Y$6)="","__________________",Flights!$Y$6)</f>
        <v>__________________</v>
      </c>
      <c r="C11" s="95"/>
      <c r="D11" s="95"/>
      <c r="E11" s="94" t="s">
        <v>4808</v>
      </c>
      <c r="F11" s="97" t="str">
        <f aca="false">Flights!$AV$6&amp;" / "&amp;Flights!$AW$6</f>
        <v>0 / 38</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IF(Documents!$F$6="","",Documents!$F$6)</f>
        <v/>
      </c>
      <c r="C15" s="100" t="str">
        <f aca="false">IF(Documents!$G$6="","",Documents!$G$6)&amp;IF(ISNUMBER(Documents!$H$6),"  "&amp;TEXT(Documents!$H$6,"DD-MMM-YY"),"")</f>
        <v/>
      </c>
      <c r="D15" s="100"/>
      <c r="E15" s="114" t="str">
        <f aca="false">IF(Documents!$J$6="OUTSTANDING","OUTSTANDING – attach before T-7D (due "&amp;IF(ISNUMBER(Flights!$AG$6),TEXT(Flights!$AG$6,"DD-MMM-YY HH:MM"),"")&amp;" "&amp;Flights!$V$6&amp;")",IF(Documents!$J$6="","Status not recorded",Documents!$J$6))</f>
        <v>OUTSTANDING – attach before T-7D (due 02-Oct-26 21:50 KUL)</v>
      </c>
      <c r="F15" s="115" t="str">
        <f aca="false">"Staple behind this sheet as page A1."&amp;IF(Documents!$I$6="",""," Location: "&amp;Documents!$I$6)</f>
        <v>Staple behind this sheet as page A1.</v>
      </c>
      <c r="G15" s="115"/>
      <c r="H15" s="115"/>
    </row>
    <row r="16" customFormat="false" ht="36" hidden="false" customHeight="true" outlineLevel="0" collapsed="false">
      <c r="A16" s="94" t="s">
        <v>4819</v>
      </c>
      <c r="B16" s="95" t="str">
        <f aca="false">IF(Documents!$K$6="","",Documents!$K$6)</f>
        <v/>
      </c>
      <c r="C16" s="100" t="str">
        <f aca="false">IF(Documents!$L$6="","",Documents!$L$6)&amp;IF(ISNUMBER(Documents!$M$6),"  "&amp;TEXT(Documents!$M$6,"DD-MMM-YY"),"")</f>
        <v/>
      </c>
      <c r="D16" s="100"/>
      <c r="E16" s="114" t="str">
        <f aca="false">IF(Documents!$O$6="OUTSTANDING","OUTSTANDING – attach before T-7D (due "&amp;IF(ISNUMBER(Flights!$AG$6),TEXT(Flights!$AG$6,"DD-MMM-YY HH:MM"),"")&amp;" "&amp;Flights!$V$6&amp;")",IF(Documents!$O$6="","Status not recorded",Documents!$O$6))</f>
        <v>OUTSTANDING – attach before T-7D (due 02-Oct-26 21:50 KUL)</v>
      </c>
      <c r="F16" s="115" t="str">
        <f aca="false">"Staple behind this sheet as page A2."&amp;IF(Documents!$N$6="",""," Location: "&amp;Documents!$N$6)</f>
        <v>Staple behind this sheet as page A2.</v>
      </c>
      <c r="G16" s="115"/>
      <c r="H16" s="115"/>
    </row>
    <row r="17" customFormat="false" ht="22.5" hidden="false" customHeight="true" outlineLevel="0" collapsed="false">
      <c r="A17" s="94" t="s">
        <v>4820</v>
      </c>
      <c r="B17" s="116" t="str">
        <f aca="false">IF(Documents!$Q$6="","",Documents!$Q$6)</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"&amp;IF(TRIM(Flights!$Y$6)="","__________________",Flights!$Y$6)</f>
        <v>Name: __________________</v>
      </c>
      <c r="B19" s="95"/>
      <c r="C19" s="95" t="str">
        <f aca="false">"Name: __________________"</f>
        <v>Name: __________________</v>
      </c>
      <c r="D19" s="95"/>
      <c r="E19" s="95"/>
      <c r="F19" s="95" t="str">
        <f aca="false">"Name: __________________"&amp;"   Station: "&amp;Flights!$V$6</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"&amp;IF(ISNUMBER(Flights!$AG$6),TEXT(Flights!$AG$6,"DD-MMM-YY HH:MM"),"")&amp;" "&amp;Flights!$V$6&amp;" (meal uplift stn)"&amp;" (rows with another due show their own)  |  Complete "&amp;IF(ISNUMBER(Flights!$AJ$6),TEXT(Flights!$AJ$6,"0%"),Flights!$AJ$6)&amp;"  |  9 lines"</f>
        <v>T-7D — 7 days before departure  |  Due 02-Oct-26 21:50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Checks!$A$30&amp;CHAR(10)&amp;IF(Checks!$I$30="","",Checks!$I$30&amp;": ")&amp;Checks!$J$30</f>
        <v>F02-T7-01
Meal: Meal sensory testing completed for this flight's menu cycle (assessed class)</v>
      </c>
      <c r="B23" s="120" t="str">
        <f aca="false">Checks!$K$30&amp;IF(Checks!$O$30="","",IF(Checks!$K$30="","",CHAR(10))&amp;"Note: "&amp;Checks!$O$30)</f>
        <v>Record panel result / score in Result</v>
      </c>
      <c r="C23" s="120" t="str">
        <f aca="false">Checks!$N$30&amp;CHAR(10)&amp;IF(ISNUMBER(Checks!$R$30),TEXT(Checks!$R$30,"DD-MMM-YY HH:MM"),"")&amp;" "&amp;Checks!$P$30</f>
        <v>Required
02-Oct-26 21:50 KUL</v>
      </c>
      <c r="D23" s="120" t="str">
        <f aca="false">IF(TRIM(Checks!$U$30)&lt;&gt;"",Checks!$U$30&amp;IF(Checks!$AB$30="","",CHAR(10)&amp;"CA: "&amp;Checks!$AB$30),IF(LEFT(Checks!$AH$30,10)="N/A – RULE","","[ ] Pass"&amp;CHAR(10)&amp;"[ ] Pass after CA"&amp;CHAR(10)&amp;"[ ] Fail"&amp;IF(Checks!$AT$30=1,CHAR(10)&amp;"[ ] N/A","")&amp;CHAR(10)&amp;"CA: Open / Closed"))</f>
        <v>[ ] Pass
[ ] Pass after CA
[ ] Fail
CA: Open / Closed</v>
      </c>
      <c r="E23" s="120" t="str">
        <f aca="false">IF(Checks!$V$30="","",Checks!$V$30)&amp;IF(Checks!$AC$30="","",IF(Checks!$V$30="","",CHAR(10))&amp;"N/A just.: "&amp;Checks!$AC$30)&amp;IF(OR(Checks!$W$30&lt;&gt;"",AND(Checks!$AQ$30=1,NOT(LEFT(Checks!$AH$30,10)="N/A – RULE"))),CHAR(10)&amp;"Batch: "&amp;IF(Checks!$W$30="","____________",Checks!$W$30),"")&amp;IF(OR(Checks!$X$30&lt;&gt;"",Checks!$Y$30&lt;&gt;"",AND(Checks!$AR$30=1,NOT(LEFT(Checks!$AH$30,10)="N/A – RULE"))),CHAR(10)&amp;"Exp: "&amp;IF(Checks!$X$30="","______",Checks!$X$30)&amp;"  /  Act: "&amp;IF(Checks!$Y$30="","______",Checks!$Y$30),"")</f>
        <v/>
      </c>
      <c r="F23" s="120" t="str">
        <f aca="false">IF(AND(LEFT(Checks!$AH$30,10)="N/A – RULE",TRIM(Checks!$S$30&amp;Checks!$Z$30)=""),"","Type: "&amp;IF(TRIM(Checks!$S$30)="","______________ (see cover list)",Checks!$S$30)&amp;CHAR(10)&amp;"ID: "&amp;IF(TRIM(Checks!$Z$30)="","______________ (record's own no.)",Checks!$Z$30))&amp;IF(Checks!$AA$30="","",CHAR(10)&amp;"CA: "&amp;Checks!$AA$30)</f>
        <v>Type: ______________ (see cover list)
ID: ______________ (record's own no.)</v>
      </c>
      <c r="G23" s="120" t="str">
        <f aca="false">IF(AND(LEFT(Checks!$AH$30,10)="N/A – RULE",NOT(ISNUMBER(Checks!$AD$30)),Checks!$AE$30="",Checks!$T$30=""),"","Done: "&amp;IF(ISNUMBER(Checks!$AD$30),TEXT(Checks!$AD$30,"DD-MMM-YY HH:MM"),"____________")&amp;" "&amp;Checks!$P$30&amp;CHAR(10)&amp;"Verifier: "&amp;IF(Checks!$AE$30="","____________",Checks!$AE$30)&amp;CHAR(10)&amp;"PIC: "&amp;IF(Checks!$T$30="","____________",Checks!$T$30))</f>
        <v>Done: ____________ KUL
Verifier: ____________
PIC: ____________</v>
      </c>
      <c r="H23" s="121" t="str">
        <f aca="false">IF(Checks!$AH$30="","",Checks!$AH$30)</f>
        <v>OPEN</v>
      </c>
    </row>
    <row r="24" customFormat="false" ht="114" hidden="false" customHeight="true" outlineLevel="0" collapsed="false">
      <c r="A24" s="120" t="str">
        <f aca="false">Checks!$A$31&amp;CHAR(10)&amp;IF(Checks!$I$31="","",Checks!$I$31&amp;": ")&amp;Checks!$J$31</f>
        <v>F02-T7-02
Menu: Printed menu cards confirmed (content, cycle, language, quantity)</v>
      </c>
      <c r="B24" s="120" t="str">
        <f aca="false">Checks!$K$31&amp;IF(Checks!$O$31="","",IF(Checks!$K$31="","",CHAR(10))&amp;"Note: "&amp;Checks!$O$31)</f>
        <v>Menu card matches approved menu for this flight</v>
      </c>
      <c r="C24" s="120" t="str">
        <f aca="false">Checks!$N$31&amp;CHAR(10)&amp;IF(ISNUMBER(Checks!$R$31),TEXT(Checks!$R$31,"DD-MMM-YY HH:MM"),"")&amp;" "&amp;Checks!$P$31</f>
        <v>Required
02-Oct-26 21:50 KUL</v>
      </c>
      <c r="D24" s="120" t="str">
        <f aca="false">IF(TRIM(Checks!$U$31)&lt;&gt;"",Checks!$U$31&amp;IF(Checks!$AB$31="","",CHAR(10)&amp;"CA: "&amp;Checks!$AB$31),IF(LEFT(Checks!$AH$31,10)="N/A – RULE","","[ ] Pass"&amp;CHAR(10)&amp;"[ ] Pass after CA"&amp;CHAR(10)&amp;"[ ] Fail"&amp;IF(Checks!$AT$31=1,CHAR(10)&amp;"[ ] N/A","")&amp;CHAR(10)&amp;"CA: Open / Closed"))</f>
        <v>[ ] Pass
[ ] Pass after CA
[ ] Fail
CA: Open / Closed</v>
      </c>
      <c r="E24" s="120" t="str">
        <f aca="false">IF(Checks!$V$31="","",Checks!$V$31)&amp;IF(Checks!$AC$31="","",IF(Checks!$V$31="","",CHAR(10))&amp;"N/A just.: "&amp;Checks!$AC$31)&amp;IF(OR(Checks!$W$31&lt;&gt;"",AND(Checks!$AQ$31=1,NOT(LEFT(Checks!$AH$31,10)="N/A – RULE"))),CHAR(10)&amp;"Batch: "&amp;IF(Checks!$W$31="","____________",Checks!$W$31),"")&amp;IF(OR(Checks!$X$31&lt;&gt;"",Checks!$Y$31&lt;&gt;"",AND(Checks!$AR$31=1,NOT(LEFT(Checks!$AH$31,10)="N/A – RULE"))),CHAR(10)&amp;"Exp: "&amp;IF(Checks!$X$31="","______",Checks!$X$31)&amp;"  /  Act: "&amp;IF(Checks!$Y$31="","______",Checks!$Y$31),"")</f>
        <v/>
      </c>
      <c r="F24" s="120" t="str">
        <f aca="false">IF(AND(LEFT(Checks!$AH$31,10)="N/A – RULE",TRIM(Checks!$S$31&amp;Checks!$Z$31)=""),"","Type: "&amp;IF(TRIM(Checks!$S$31)="","______________ (see cover list)",Checks!$S$31)&amp;CHAR(10)&amp;"ID: "&amp;IF(TRIM(Checks!$Z$31)="","______________ (record's own no.)",Checks!$Z$31))&amp;IF(Checks!$AA$31="","",CHAR(10)&amp;"CA: "&amp;Checks!$AA$31)</f>
        <v>Type: ______________ (see cover list)
ID: ______________ (record's own no.)</v>
      </c>
      <c r="G24" s="120" t="str">
        <f aca="false">IF(AND(LEFT(Checks!$AH$31,10)="N/A – RULE",NOT(ISNUMBER(Checks!$AD$31)),Checks!$AE$31="",Checks!$T$31=""),"","Done: "&amp;IF(ISNUMBER(Checks!$AD$31),TEXT(Checks!$AD$31,"DD-MMM-YY HH:MM"),"____________")&amp;" "&amp;Checks!$P$31&amp;CHAR(10)&amp;"Verifier: "&amp;IF(Checks!$AE$31="","____________",Checks!$AE$31)&amp;CHAR(10)&amp;"PIC: "&amp;IF(Checks!$T$31="","____________",Checks!$T$31))</f>
        <v>Done: ____________ KUL
Verifier: ____________
PIC: ____________</v>
      </c>
      <c r="H24" s="121" t="str">
        <f aca="false">IF(Checks!$AH$31="","",Checks!$AH$31)</f>
        <v>OPEN</v>
      </c>
    </row>
    <row r="25" customFormat="false" ht="114" hidden="false" customHeight="true" outlineLevel="0" collapsed="false">
      <c r="A25" s="120" t="str">
        <f aca="false">Checks!$A$32&amp;CHAR(10)&amp;IF(Checks!$I$32="","",Checks!$I$32&amp;": ")&amp;Checks!$J$32</f>
        <v>F02-T7-03
IFE: Digital menu in IFE confirmed (A339 only)</v>
      </c>
      <c r="B25" s="120" t="str">
        <f aca="false">Checks!$K$32&amp;IF(Checks!$O$32="","",IF(Checks!$K$32="","",CHAR(10))&amp;"Note: "&amp;Checks!$O$32)</f>
        <v>Applies when fleet = A339
Note: Digital IFE menu applies to A339 only (user brief). Applicability follows the Fleet cell on Flights.</v>
      </c>
      <c r="C25" s="120" t="str">
        <f aca="false">Checks!$N$32&amp;CHAR(10)&amp;IF(ISNUMBER(Checks!$R$32),TEXT(Checks!$R$32,"DD-MMM-YY HH:MM"),"")&amp;" "&amp;Checks!$P$32</f>
        <v>N/A – rule
02-Oct-26 21:50 KUL</v>
      </c>
      <c r="D25" s="120" t="str">
        <f aca="false">IF(TRIM(Checks!$U$32)&lt;&gt;"",Checks!$U$32&amp;IF(Checks!$AB$32="","",CHAR(10)&amp;"CA: "&amp;Checks!$AB$32),IF(LEFT(Checks!$AH$32,10)="N/A – RULE","","[ ] Pass"&amp;CHAR(10)&amp;"[ ] Pass after CA"&amp;CHAR(10)&amp;"[ ] Fail"&amp;IF(Checks!$AT$32=1,CHAR(10)&amp;"[ ] N/A","")&amp;CHAR(10)&amp;"CA: Open / Closed"))</f>
        <v/>
      </c>
      <c r="E25" s="120" t="str">
        <f aca="false">IF(Checks!$V$32="","",Checks!$V$32)&amp;IF(Checks!$AC$32="","",IF(Checks!$V$32="","",CHAR(10))&amp;"N/A just.: "&amp;Checks!$AC$32)&amp;IF(OR(Checks!$W$32&lt;&gt;"",AND(Checks!$AQ$32=1,NOT(LEFT(Checks!$AH$32,10)="N/A – RULE"))),CHAR(10)&amp;"Batch: "&amp;IF(Checks!$W$32="","____________",Checks!$W$32),"")&amp;IF(OR(Checks!$X$32&lt;&gt;"",Checks!$Y$32&lt;&gt;"",AND(Checks!$AR$32=1,NOT(LEFT(Checks!$AH$32,10)="N/A – RULE"))),CHAR(10)&amp;"Exp: "&amp;IF(Checks!$X$32="","______",Checks!$X$32)&amp;"  /  Act: "&amp;IF(Checks!$Y$32="","______",Checks!$Y$32),"")</f>
        <v/>
      </c>
      <c r="F25" s="120" t="str">
        <f aca="false">IF(AND(LEFT(Checks!$AH$32,10)="N/A – RULE",TRIM(Checks!$S$32&amp;Checks!$Z$32)=""),"","Type: "&amp;IF(TRIM(Checks!$S$32)="","______________ (see cover list)",Checks!$S$32)&amp;CHAR(10)&amp;"ID: "&amp;IF(TRIM(Checks!$Z$32)="","______________ (record's own no.)",Checks!$Z$32))&amp;IF(Checks!$AA$32="","",CHAR(10)&amp;"CA: "&amp;Checks!$AA$32)</f>
        <v/>
      </c>
      <c r="G25" s="120" t="str">
        <f aca="false">IF(AND(LEFT(Checks!$AH$32,10)="N/A – RULE",NOT(ISNUMBER(Checks!$AD$32)),Checks!$AE$32="",Checks!$T$32=""),"","Done: "&amp;IF(ISNUMBER(Checks!$AD$32),TEXT(Checks!$AD$32,"DD-MMM-YY HH:MM"),"____________")&amp;" "&amp;Checks!$P$32&amp;CHAR(10)&amp;"Verifier: "&amp;IF(Checks!$AE$32="","____________",Checks!$AE$32)&amp;CHAR(10)&amp;"PIC: "&amp;IF(Checks!$T$32="","____________",Checks!$T$32))</f>
        <v/>
      </c>
      <c r="H25" s="121" t="str">
        <f aca="false">IF(Checks!$AH$32="","",Checks!$AH$32)</f>
        <v>N/A – RULE</v>
      </c>
    </row>
    <row r="26" customFormat="false" ht="114" hidden="false" customHeight="true" outlineLevel="0" collapsed="false">
      <c r="A26" s="120" t="str">
        <f aca="false">Checks!$A$33&amp;CHAR(10)&amp;IF(Checks!$I$33="","",Checks!$I$33&amp;": ")&amp;Checks!$J$33</f>
        <v>F02-T7-04
Staffing: Experienced catering officer assigned to this flight</v>
      </c>
      <c r="B26" s="120" t="str">
        <f aca="false">Checks!$K$33&amp;IF(Checks!$O$33="","",IF(Checks!$K$33="","",CHAR(10))&amp;"Note: "&amp;Checks!$O$33)</f>
        <v>Record officer name in Result</v>
      </c>
      <c r="C26" s="120" t="str">
        <f aca="false">Checks!$N$33&amp;CHAR(10)&amp;IF(ISNUMBER(Checks!$R$33),TEXT(Checks!$R$33,"DD-MMM-YY HH:MM"),"")&amp;" "&amp;Checks!$P$33</f>
        <v>Required
02-Oct-26 21:50 KUL</v>
      </c>
      <c r="D26" s="120" t="str">
        <f aca="false">IF(TRIM(Checks!$U$33)&lt;&gt;"",Checks!$U$33&amp;IF(Checks!$AB$33="","",CHAR(10)&amp;"CA: "&amp;Checks!$AB$33),IF(LEFT(Checks!$AH$33,10)="N/A – RULE","","[ ] Pass"&amp;CHAR(10)&amp;"[ ] Pass after CA"&amp;CHAR(10)&amp;"[ ] Fail"&amp;IF(Checks!$AT$33=1,CHAR(10)&amp;"[ ] N/A","")&amp;CHAR(10)&amp;"CA: Open / Closed"))</f>
        <v>[ ] Pass
[ ] Pass after CA
[ ] Fail
CA: Open / Closed</v>
      </c>
      <c r="E26" s="120" t="str">
        <f aca="false">IF(Checks!$V$33="","",Checks!$V$33)&amp;IF(Checks!$AC$33="","",IF(Checks!$V$33="","",CHAR(10))&amp;"N/A just.: "&amp;Checks!$AC$33)&amp;IF(OR(Checks!$W$33&lt;&gt;"",AND(Checks!$AQ$33=1,NOT(LEFT(Checks!$AH$33,10)="N/A – RULE"))),CHAR(10)&amp;"Batch: "&amp;IF(Checks!$W$33="","____________",Checks!$W$33),"")&amp;IF(OR(Checks!$X$33&lt;&gt;"",Checks!$Y$33&lt;&gt;"",AND(Checks!$AR$33=1,NOT(LEFT(Checks!$AH$33,10)="N/A – RULE"))),CHAR(10)&amp;"Exp: "&amp;IF(Checks!$X$33="","______",Checks!$X$33)&amp;"  /  Act: "&amp;IF(Checks!$Y$33="","______",Checks!$Y$33),"")</f>
        <v/>
      </c>
      <c r="F26" s="120" t="str">
        <f aca="false">IF(AND(LEFT(Checks!$AH$33,10)="N/A – RULE",TRIM(Checks!$S$33&amp;Checks!$Z$33)=""),"","Type: "&amp;IF(TRIM(Checks!$S$33)="","______________ (see cover list)",Checks!$S$33)&amp;CHAR(10)&amp;"ID: "&amp;IF(TRIM(Checks!$Z$33)="","______________ (record's own no.)",Checks!$Z$33))&amp;IF(Checks!$AA$33="","",CHAR(10)&amp;"CA: "&amp;Checks!$AA$33)</f>
        <v>Type: ______________ (see cover list)
ID: ______________ (record's own no.)</v>
      </c>
      <c r="G26" s="120" t="str">
        <f aca="false">IF(AND(LEFT(Checks!$AH$33,10)="N/A – RULE",NOT(ISNUMBER(Checks!$AD$33)),Checks!$AE$33="",Checks!$T$33=""),"","Done: "&amp;IF(ISNUMBER(Checks!$AD$33),TEXT(Checks!$AD$33,"DD-MMM-YY HH:MM"),"____________")&amp;" "&amp;Checks!$P$33&amp;CHAR(10)&amp;"Verifier: "&amp;IF(Checks!$AE$33="","____________",Checks!$AE$33)&amp;CHAR(10)&amp;"PIC: "&amp;IF(Checks!$T$33="","____________",Checks!$T$33))</f>
        <v>Done: ____________ KUL
Verifier: ____________
PIC: ____________</v>
      </c>
      <c r="H26" s="121" t="str">
        <f aca="false">IF(Checks!$AH$33="","",Checks!$AH$33)</f>
        <v>OPEN</v>
      </c>
    </row>
    <row r="27" customFormat="false" ht="114" hidden="false" customHeight="true" outlineLevel="0" collapsed="false">
      <c r="A27" s="120" t="str">
        <f aca="false">Checks!$A$34&amp;CHAR(10)&amp;IF(Checks!$I$34="","",Checks!$I$34&amp;": ")&amp;Checks!$J$34</f>
        <v>F02-T7-05
ISOP: All latest applicable ISOP revisions communicated to caterer</v>
      </c>
      <c r="B27" s="120" t="str">
        <f aca="false">Checks!$K$34&amp;IF(Checks!$O$34="","",IF(Checks!$K$34="","",CHAR(10))&amp;"Note: "&amp;Checks!$O$34)</f>
        <v>List revision numbers in Result (see ISOP register)</v>
      </c>
      <c r="C27" s="120" t="str">
        <f aca="false">Checks!$N$34&amp;CHAR(10)&amp;IF(ISNUMBER(Checks!$R$34),TEXT(Checks!$R$34,"DD-MMM-YY HH:MM"),"")&amp;" "&amp;Checks!$P$34</f>
        <v>Required
02-Oct-26 21:50 KUL</v>
      </c>
      <c r="D27" s="120" t="str">
        <f aca="false">IF(TRIM(Checks!$U$34)&lt;&gt;"",Checks!$U$34&amp;IF(Checks!$AB$34="","",CHAR(10)&amp;"CA: "&amp;Checks!$AB$34),IF(LEFT(Checks!$AH$34,10)="N/A – RULE","","[ ] Pass"&amp;CHAR(10)&amp;"[ ] Pass after CA"&amp;CHAR(10)&amp;"[ ] Fail"&amp;IF(Checks!$AT$34=1,CHAR(10)&amp;"[ ] N/A","")&amp;CHAR(10)&amp;"CA: Open / Closed"))</f>
        <v>[ ] Pass
[ ] Pass after CA
[ ] Fail
CA: Open / Closed</v>
      </c>
      <c r="E27" s="120" t="str">
        <f aca="false">IF(Checks!$V$34="","",Checks!$V$34)&amp;IF(Checks!$AC$34="","",IF(Checks!$V$34="","",CHAR(10))&amp;"N/A just.: "&amp;Checks!$AC$34)&amp;IF(OR(Checks!$W$34&lt;&gt;"",AND(Checks!$AQ$34=1,NOT(LEFT(Checks!$AH$34,10)="N/A – RULE"))),CHAR(10)&amp;"Batch: "&amp;IF(Checks!$W$34="","____________",Checks!$W$34),"")&amp;IF(OR(Checks!$X$34&lt;&gt;"",Checks!$Y$34&lt;&gt;"",AND(Checks!$AR$34=1,NOT(LEFT(Checks!$AH$34,10)="N/A – RULE"))),CHAR(10)&amp;"Exp: "&amp;IF(Checks!$X$34="","______",Checks!$X$34)&amp;"  /  Act: "&amp;IF(Checks!$Y$34="","______",Checks!$Y$34),"")</f>
        <v/>
      </c>
      <c r="F27" s="120" t="str">
        <f aca="false">IF(AND(LEFT(Checks!$AH$34,10)="N/A – RULE",TRIM(Checks!$S$34&amp;Checks!$Z$34)=""),"","Type: "&amp;IF(TRIM(Checks!$S$34)="","______________ (see cover list)",Checks!$S$34)&amp;CHAR(10)&amp;"ID: "&amp;IF(TRIM(Checks!$Z$34)="","______________ (record's own no.)",Checks!$Z$34))&amp;IF(Checks!$AA$34="","",CHAR(10)&amp;"CA: "&amp;Checks!$AA$34)</f>
        <v>Type: ______________ (see cover list)
ID: ______________ (record's own no.)</v>
      </c>
      <c r="G27" s="120" t="str">
        <f aca="false">IF(AND(LEFT(Checks!$AH$34,10)="N/A – RULE",NOT(ISNUMBER(Checks!$AD$34)),Checks!$AE$34="",Checks!$T$34=""),"","Done: "&amp;IF(ISNUMBER(Checks!$AD$34),TEXT(Checks!$AD$34,"DD-MMM-YY HH:MM"),"____________")&amp;" "&amp;Checks!$P$34&amp;CHAR(10)&amp;"Verifier: "&amp;IF(Checks!$AE$34="","____________",Checks!$AE$34)&amp;CHAR(10)&amp;"PIC: "&amp;IF(Checks!$T$34="","____________",Checks!$T$34))</f>
        <v>Done: ____________ KUL
Verifier: ____________
PIC: ____________</v>
      </c>
      <c r="H27" s="121" t="str">
        <f aca="false">IF(Checks!$AH$34="","",Checks!$AH$34)</f>
        <v>OPEN</v>
      </c>
    </row>
    <row r="28" customFormat="false" ht="114" hidden="false" customHeight="true" outlineLevel="0" collapsed="false">
      <c r="A28" s="120" t="str">
        <f aca="false">Checks!$A$35&amp;CHAR(10)&amp;IF(Checks!$I$35="","",Checks!$I$35&amp;": ")&amp;Checks!$J$35</f>
        <v>F02-T7-06
ISOP: Caterer acknowledgement of ISOP revisions recorded</v>
      </c>
      <c r="B28" s="120" t="str">
        <f aca="false">Checks!$K$35&amp;IF(Checks!$O$35="","",IF(Checks!$K$35="","",CHAR(10))&amp;"Note: "&amp;Checks!$O$35)</f>
        <v>Record acknowledgement ref in Evidence</v>
      </c>
      <c r="C28" s="120" t="str">
        <f aca="false">Checks!$N$35&amp;CHAR(10)&amp;IF(ISNUMBER(Checks!$R$35),TEXT(Checks!$R$35,"DD-MMM-YY HH:MM"),"")&amp;" "&amp;Checks!$P$35</f>
        <v>Required
02-Oct-26 21:50 KUL</v>
      </c>
      <c r="D28" s="120" t="str">
        <f aca="false">IF(TRIM(Checks!$U$35)&lt;&gt;"",Checks!$U$35&amp;IF(Checks!$AB$35="","",CHAR(10)&amp;"CA: "&amp;Checks!$AB$35),IF(LEFT(Checks!$AH$35,10)="N/A – RULE","","[ ] Pass"&amp;CHAR(10)&amp;"[ ] Pass after CA"&amp;CHAR(10)&amp;"[ ] Fail"&amp;IF(Checks!$AT$35=1,CHAR(10)&amp;"[ ] N/A","")&amp;CHAR(10)&amp;"CA: Open / Closed"))</f>
        <v>[ ] Pass
[ ] Pass after CA
[ ] Fail
CA: Open / Closed</v>
      </c>
      <c r="E28" s="120" t="str">
        <f aca="false">IF(Checks!$V$35="","",Checks!$V$35)&amp;IF(Checks!$AC$35="","",IF(Checks!$V$35="","",CHAR(10))&amp;"N/A just.: "&amp;Checks!$AC$35)&amp;IF(OR(Checks!$W$35&lt;&gt;"",AND(Checks!$AQ$35=1,NOT(LEFT(Checks!$AH$35,10)="N/A – RULE"))),CHAR(10)&amp;"Batch: "&amp;IF(Checks!$W$35="","____________",Checks!$W$35),"")&amp;IF(OR(Checks!$X$35&lt;&gt;"",Checks!$Y$35&lt;&gt;"",AND(Checks!$AR$35=1,NOT(LEFT(Checks!$AH$35,10)="N/A – RULE"))),CHAR(10)&amp;"Exp: "&amp;IF(Checks!$X$35="","______",Checks!$X$35)&amp;"  /  Act: "&amp;IF(Checks!$Y$35="","______",Checks!$Y$35),"")</f>
        <v/>
      </c>
      <c r="F28" s="120" t="str">
        <f aca="false">IF(AND(LEFT(Checks!$AH$35,10)="N/A – RULE",TRIM(Checks!$S$35&amp;Checks!$Z$35)=""),"","Type: "&amp;IF(TRIM(Checks!$S$35)="","______________ (see cover list)",Checks!$S$35)&amp;CHAR(10)&amp;"ID: "&amp;IF(TRIM(Checks!$Z$35)="","______________ (record's own no.)",Checks!$Z$35))&amp;IF(Checks!$AA$35="","",CHAR(10)&amp;"CA: "&amp;Checks!$AA$35)</f>
        <v>Type: ______________ (see cover list)
ID: ______________ (record's own no.)</v>
      </c>
      <c r="G28" s="120" t="str">
        <f aca="false">IF(AND(LEFT(Checks!$AH$35,10)="N/A – RULE",NOT(ISNUMBER(Checks!$AD$35)),Checks!$AE$35="",Checks!$T$35=""),"","Done: "&amp;IF(ISNUMBER(Checks!$AD$35),TEXT(Checks!$AD$35,"DD-MMM-YY HH:MM"),"____________")&amp;" "&amp;Checks!$P$35&amp;CHAR(10)&amp;"Verifier: "&amp;IF(Checks!$AE$35="","____________",Checks!$AE$35)&amp;CHAR(10)&amp;"PIC: "&amp;IF(Checks!$T$35="","____________",Checks!$T$35))</f>
        <v>Done: ____________ KUL
Verifier: ____________
PIC: ____________</v>
      </c>
      <c r="H28" s="121" t="str">
        <f aca="false">IF(Checks!$AH$35="","",Checks!$AH$35)</f>
        <v>OPEN</v>
      </c>
    </row>
    <row r="29" customFormat="false" ht="114" hidden="false" customHeight="true" outlineLevel="0" collapsed="false">
      <c r="A29" s="120" t="str">
        <f aca="false">Checks!$A$36&amp;CHAR(10)&amp;IF(Checks!$I$36="","",Checks!$I$36&amp;": ")&amp;Checks!$J$36</f>
        <v>F02-T7-07
Documents: Galley loading diagram (GLD) received, revision recorded &amp; attached</v>
      </c>
      <c r="B29" s="120" t="str">
        <f aca="false">SUBSTITUTE(Checks!$K$36&amp;IF(Checks!$O$36="","",IF(Checks!$K$36="","",CHAR(10))&amp;"Note: "&amp;Checks!$O$36),"Documents sheet row complete","Recorded on the Documents sheet; copy stapled as A1 / A2")</f>
        <v>Recorded on the Documents sheet; copy stapled as A1 / A2</v>
      </c>
      <c r="C29" s="120" t="str">
        <f aca="false">Checks!$N$36&amp;CHAR(10)&amp;IF(ISNUMBER(Checks!$R$36),TEXT(Checks!$R$36,"DD-MMM-YY HH:MM"),"")&amp;" "&amp;Checks!$P$36</f>
        <v>Required
02-Oct-26 21:50 KUL</v>
      </c>
      <c r="D29" s="120" t="str">
        <f aca="false">IF(TRIM(Checks!$U$36)&lt;&gt;"",Checks!$U$36&amp;IF(Checks!$AB$36="","",CHAR(10)&amp;"CA: "&amp;Checks!$AB$36),IF(LEFT(Checks!$AH$36,10)="N/A – RULE","","[ ] Pass"&amp;CHAR(10)&amp;"[ ] Pass after CA"&amp;CHAR(10)&amp;"[ ] Fail"&amp;IF(Checks!$AT$36=1,CHAR(10)&amp;"[ ] N/A","")&amp;CHAR(10)&amp;"CA: Open / Closed"))</f>
        <v>[ ] Pass
[ ] Pass after CA
[ ] Fail
CA: Open / Closed</v>
      </c>
      <c r="E29" s="120" t="str">
        <f aca="false">IF(Checks!$V$36="","",Checks!$V$36)&amp;IF(Checks!$AC$36="","",IF(Checks!$V$36="","",CHAR(10))&amp;"N/A just.: "&amp;Checks!$AC$36)&amp;IF(OR(Checks!$W$36&lt;&gt;"",AND(Checks!$AQ$36=1,NOT(LEFT(Checks!$AH$36,10)="N/A – RULE"))),CHAR(10)&amp;"Batch: "&amp;IF(Checks!$W$36="","____________",Checks!$W$36),"")&amp;IF(OR(Checks!$X$36&lt;&gt;"",Checks!$Y$36&lt;&gt;"",AND(Checks!$AR$36=1,NOT(LEFT(Checks!$AH$36,10)="N/A – RULE"))),CHAR(10)&amp;"Exp: "&amp;IF(Checks!$X$36="","______",Checks!$X$36)&amp;"  /  Act: "&amp;IF(Checks!$Y$36="","______",Checks!$Y$36),"")</f>
        <v/>
      </c>
      <c r="F29" s="120" t="str">
        <f aca="false">IF(AND(LEFT(Checks!$AH$36,10)="N/A – RULE",TRIM(Checks!$S$36&amp;Checks!$Z$36)=""),"","Type: "&amp;IF(TRIM(Checks!$S$36)="","______________ (see cover list)",Checks!$S$36)&amp;CHAR(10)&amp;"ID: "&amp;IF(TRIM(Checks!$Z$36)="","______________ (record's own no.)",Checks!$Z$36))&amp;IF(Checks!$AA$36="","",CHAR(10)&amp;"CA: "&amp;Checks!$AA$36)</f>
        <v>Type: ______________ (see cover list)
ID: ______________ (record's own no.)</v>
      </c>
      <c r="G29" s="120" t="str">
        <f aca="false">IF(AND(LEFT(Checks!$AH$36,10)="N/A – RULE",NOT(ISNUMBER(Checks!$AD$36)),Checks!$AE$36="",Checks!$T$36=""),"","Done: "&amp;IF(ISNUMBER(Checks!$AD$36),TEXT(Checks!$AD$36,"DD-MMM-YY HH:MM"),"____________")&amp;" "&amp;Checks!$P$36&amp;CHAR(10)&amp;"Verifier: "&amp;IF(Checks!$AE$36="","____________",Checks!$AE$36)&amp;CHAR(10)&amp;"PIC: "&amp;IF(Checks!$T$36="","____________",Checks!$T$36))</f>
        <v>Done: ____________ KUL
Verifier: ____________
PIC: ____________</v>
      </c>
      <c r="H29" s="121" t="str">
        <f aca="false">IF(Checks!$AH$36="","",Checks!$AH$36)</f>
        <v>OPEN</v>
      </c>
    </row>
    <row r="30" customFormat="false" ht="114" hidden="false" customHeight="true" outlineLevel="0" collapsed="false">
      <c r="A30" s="120" t="str">
        <f aca="false">Checks!$A$37&amp;CHAR(10)&amp;IF(Checks!$I$37="","",Checks!$I$37&amp;": ")&amp;Checks!$J$37</f>
        <v>F02-T7-08
Documents: Menu checklist received, revision recorded &amp; attached</v>
      </c>
      <c r="B30" s="120" t="str">
        <f aca="false">SUBSTITUTE(Checks!$K$37&amp;IF(Checks!$O$37="","",IF(Checks!$K$37="","",CHAR(10))&amp;"Note: "&amp;Checks!$O$37),"Documents sheet row complete","Recorded on the Documents sheet; copy stapled as A1 / A2")</f>
        <v>Recorded on the Documents sheet; copy stapled as A1 / A2</v>
      </c>
      <c r="C30" s="120" t="str">
        <f aca="false">Checks!$N$37&amp;CHAR(10)&amp;IF(ISNUMBER(Checks!$R$37),TEXT(Checks!$R$37,"DD-MMM-YY HH:MM"),"")&amp;" "&amp;Checks!$P$37</f>
        <v>Required
02-Oct-26 21:50 KUL</v>
      </c>
      <c r="D30" s="120" t="str">
        <f aca="false">IF(TRIM(Checks!$U$37)&lt;&gt;"",Checks!$U$37&amp;IF(Checks!$AB$37="","",CHAR(10)&amp;"CA: "&amp;Checks!$AB$37),IF(LEFT(Checks!$AH$37,10)="N/A – RULE","","[ ] Pass"&amp;CHAR(10)&amp;"[ ] Pass after CA"&amp;CHAR(10)&amp;"[ ] Fail"&amp;IF(Checks!$AT$37=1,CHAR(10)&amp;"[ ] N/A","")&amp;CHAR(10)&amp;"CA: Open / Closed"))</f>
        <v>[ ] Pass
[ ] Pass after CA
[ ] Fail
CA: Open / Closed</v>
      </c>
      <c r="E30" s="120" t="str">
        <f aca="false">IF(Checks!$V$37="","",Checks!$V$37)&amp;IF(Checks!$AC$37="","",IF(Checks!$V$37="","",CHAR(10))&amp;"N/A just.: "&amp;Checks!$AC$37)&amp;IF(OR(Checks!$W$37&lt;&gt;"",AND(Checks!$AQ$37=1,NOT(LEFT(Checks!$AH$37,10)="N/A – RULE"))),CHAR(10)&amp;"Batch: "&amp;IF(Checks!$W$37="","____________",Checks!$W$37),"")&amp;IF(OR(Checks!$X$37&lt;&gt;"",Checks!$Y$37&lt;&gt;"",AND(Checks!$AR$37=1,NOT(LEFT(Checks!$AH$37,10)="N/A – RULE"))),CHAR(10)&amp;"Exp: "&amp;IF(Checks!$X$37="","______",Checks!$X$37)&amp;"  /  Act: "&amp;IF(Checks!$Y$37="","______",Checks!$Y$37),"")</f>
        <v/>
      </c>
      <c r="F30" s="120" t="str">
        <f aca="false">IF(AND(LEFT(Checks!$AH$37,10)="N/A – RULE",TRIM(Checks!$S$37&amp;Checks!$Z$37)=""),"","Type: "&amp;IF(TRIM(Checks!$S$37)="","______________ (see cover list)",Checks!$S$37)&amp;CHAR(10)&amp;"ID: "&amp;IF(TRIM(Checks!$Z$37)="","______________ (record's own no.)",Checks!$Z$37))&amp;IF(Checks!$AA$37="","",CHAR(10)&amp;"CA: "&amp;Checks!$AA$37)</f>
        <v>Type: ______________ (see cover list)
ID: ______________ (record's own no.)</v>
      </c>
      <c r="G30" s="120" t="str">
        <f aca="false">IF(AND(LEFT(Checks!$AH$37,10)="N/A – RULE",NOT(ISNUMBER(Checks!$AD$37)),Checks!$AE$37="",Checks!$T$37=""),"","Done: "&amp;IF(ISNUMBER(Checks!$AD$37),TEXT(Checks!$AD$37,"DD-MMM-YY HH:MM"),"____________")&amp;" "&amp;Checks!$P$37&amp;CHAR(10)&amp;"Verifier: "&amp;IF(Checks!$AE$37="","____________",Checks!$AE$37)&amp;CHAR(10)&amp;"PIC: "&amp;IF(Checks!$T$37="","____________",Checks!$T$37))</f>
        <v>Done: ____________ KUL
Verifier: ____________
PIC: ____________</v>
      </c>
      <c r="H30" s="121" t="str">
        <f aca="false">IF(Checks!$AH$37="","",Checks!$AH$37)</f>
        <v>OPEN</v>
      </c>
    </row>
    <row r="31" customFormat="false" ht="114" hidden="false" customHeight="true" outlineLevel="0" collapsed="false">
      <c r="A31" s="120" t="str">
        <f aca="false">Checks!$A$38&amp;CHAR(10)&amp;IF(Checks!$I$38="","",Checks!$I$38&amp;": ")&amp;Checks!$J$38</f>
        <v>F02-T7-09
Uplift plan: Uplift plan confirmed with caterer vs STD Uplift Information</v>
      </c>
      <c r="B31" s="120" t="str">
        <f aca="false">Checks!$K$38&amp;IF(Checks!$O$38="","",IF(Checks!$K$38="","",CHAR(10))&amp;"Note: "&amp;Checks!$O$38)</f>
        <v>Service: 1 Meal (Meal); meal uplift stn KUL (ref lists KUL/CGK)</v>
      </c>
      <c r="C31" s="120" t="str">
        <f aca="false">Checks!$N$38&amp;CHAR(10)&amp;IF(ISNUMBER(Checks!$R$38),TEXT(Checks!$R$38,"DD-MMM-YY HH:MM"),"")&amp;" "&amp;Checks!$P$38</f>
        <v>Required
02-Oct-26 21:50 KUL</v>
      </c>
      <c r="D31" s="120" t="str">
        <f aca="false">IF(TRIM(Checks!$U$38)&lt;&gt;"",Checks!$U$38&amp;IF(Checks!$AB$38="","",CHAR(10)&amp;"CA: "&amp;Checks!$AB$38),IF(LEFT(Checks!$AH$38,10)="N/A – RULE","","[ ] Pass"&amp;CHAR(10)&amp;"[ ] Pass after CA"&amp;CHAR(10)&amp;"[ ] Fail"&amp;IF(Checks!$AT$38=1,CHAR(10)&amp;"[ ] N/A","")&amp;CHAR(10)&amp;"CA: Open / Closed"))</f>
        <v>[ ] Pass
[ ] Pass after CA
[ ] Fail
CA: Open / Closed</v>
      </c>
      <c r="E31" s="120" t="str">
        <f aca="false">IF(Checks!$V$38="","",Checks!$V$38)&amp;IF(Checks!$AC$38="","",IF(Checks!$V$38="","",CHAR(10))&amp;"N/A just.: "&amp;Checks!$AC$38)&amp;IF(OR(Checks!$W$38&lt;&gt;"",AND(Checks!$AQ$38=1,NOT(LEFT(Checks!$AH$38,10)="N/A – RULE"))),CHAR(10)&amp;"Batch: "&amp;IF(Checks!$W$38="","____________",Checks!$W$38),"")&amp;IF(OR(Checks!$X$38&lt;&gt;"",Checks!$Y$38&lt;&gt;"",AND(Checks!$AR$38=1,NOT(LEFT(Checks!$AH$38,10)="N/A – RULE"))),CHAR(10)&amp;"Exp: "&amp;IF(Checks!$X$38="","______",Checks!$X$38)&amp;"  /  Act: "&amp;IF(Checks!$Y$38="","______",Checks!$Y$38),"")</f>
        <v/>
      </c>
      <c r="F31" s="120" t="str">
        <f aca="false">IF(AND(LEFT(Checks!$AH$38,10)="N/A – RULE",TRIM(Checks!$S$38&amp;Checks!$Z$38)=""),"","Type: "&amp;IF(TRIM(Checks!$S$38)="","______________ (see cover list)",Checks!$S$38)&amp;CHAR(10)&amp;"ID: "&amp;IF(TRIM(Checks!$Z$38)="","______________ (record's own no.)",Checks!$Z$38))&amp;IF(Checks!$AA$38="","",CHAR(10)&amp;"CA: "&amp;Checks!$AA$38)</f>
        <v>Type: ______________ (see cover list)
ID: ______________ (record's own no.)</v>
      </c>
      <c r="G31" s="120" t="str">
        <f aca="false">IF(AND(LEFT(Checks!$AH$38,10)="N/A – RULE",NOT(ISNUMBER(Checks!$AD$38)),Checks!$AE$38="",Checks!$T$38=""),"","Done: "&amp;IF(ISNUMBER(Checks!$AD$38),TEXT(Checks!$AD$38,"DD-MMM-YY HH:MM"),"____________")&amp;" "&amp;Checks!$P$38&amp;CHAR(10)&amp;"Verifier: "&amp;IF(Checks!$AE$38="","____________",Checks!$AE$38)&amp;CHAR(10)&amp;"PIC: "&amp;IF(Checks!$T$38="","____________",Checks!$T$38))</f>
        <v>Done: ____________ KUL
Verifier: ____________
PIC: ____________</v>
      </c>
      <c r="H31" s="121" t="str">
        <f aca="false">IF(Checks!$AH$38="","",Checks!$AH$38)</f>
        <v>OPEN</v>
      </c>
    </row>
    <row r="32" customFormat="false" ht="25.5" hidden="false" customHeight="true" outlineLevel="0" collapsed="false">
      <c r="A32" s="119" t="str">
        <f aca="false">"T-24H — Production batch sensory  |  Due "&amp;IF(ISNUMBER(Flights!$AH$6),TEXT(Flights!$AH$6,"DD-MMM-YY HH:MM"),"")&amp;" "&amp;Flights!$V$6&amp;" (meal uplift stn)"&amp;" (rows with another due show their own)  |  Complete "&amp;IF(ISNUMBER(Flights!$AK$6),TEXT(Flights!$AK$6,"0%"),Flights!$AK$6)&amp;"  |  1 lines"</f>
        <v>T-24H — Production batch sensory  |  Due 08-Oct-26 21:50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Checks!$A$39&amp;CHAR(10)&amp;IF(Checks!$I$39="","",Checks!$I$39&amp;": ")&amp;Checks!$J$39</f>
        <v>F02-T24-01
Meal: Sensory test repeated on ACTUAL production batch for this flight</v>
      </c>
      <c r="B33" s="120" t="str">
        <f aca="false">Checks!$K$39&amp;IF(Checks!$O$39="","",IF(Checks!$K$39="","",CHAR(10))&amp;"Note: "&amp;Checks!$O$39)</f>
        <v>Batch ID, result, CA and acceptance mandatory</v>
      </c>
      <c r="C33" s="120" t="str">
        <f aca="false">Checks!$N$39&amp;CHAR(10)&amp;IF(ISNUMBER(Checks!$R$39),TEXT(Checks!$R$39,"DD-MMM-YY HH:MM"),"")&amp;" "&amp;Checks!$P$39</f>
        <v>Required
08-Oct-26 21:50 KUL</v>
      </c>
      <c r="D33" s="120" t="str">
        <f aca="false">IF(TRIM(Checks!$U$39)&lt;&gt;"",Checks!$U$39&amp;IF(Checks!$AB$39="","",CHAR(10)&amp;"CA: "&amp;Checks!$AB$39),IF(LEFT(Checks!$AH$39,10)="N/A – RULE","","[ ] Pass"&amp;CHAR(10)&amp;"[ ] Pass after CA"&amp;CHAR(10)&amp;"[ ] Fail"&amp;IF(Checks!$AT$39=1,CHAR(10)&amp;"[ ] N/A","")&amp;CHAR(10)&amp;"CA: Open / Closed"))</f>
        <v>[ ] Pass
[ ] Pass after CA
[ ] Fail
CA: Open / Closed</v>
      </c>
      <c r="E33" s="120" t="str">
        <f aca="false">IF(Checks!$V$39="","",Checks!$V$39)&amp;IF(Checks!$AC$39="","",IF(Checks!$V$39="","",CHAR(10))&amp;"N/A just.: "&amp;Checks!$AC$39)&amp;IF(OR(Checks!$W$39&lt;&gt;"",AND(Checks!$AQ$39=1,NOT(LEFT(Checks!$AH$39,10)="N/A – RULE"))),CHAR(10)&amp;"Batch: "&amp;IF(Checks!$W$39="","____________",Checks!$W$39),"")&amp;IF(OR(Checks!$X$39&lt;&gt;"",Checks!$Y$39&lt;&gt;"",AND(Checks!$AR$39=1,NOT(LEFT(Checks!$AH$39,10)="N/A – RULE"))),CHAR(10)&amp;"Exp: "&amp;IF(Checks!$X$39="","______",Checks!$X$39)&amp;"  /  Act: "&amp;IF(Checks!$Y$39="","______",Checks!$Y$39),"")</f>
        <v>
Batch: ____________</v>
      </c>
      <c r="F33" s="120" t="str">
        <f aca="false">IF(AND(LEFT(Checks!$AH$39,10)="N/A – RULE",TRIM(Checks!$S$39&amp;Checks!$Z$39)=""),"","Type: "&amp;IF(TRIM(Checks!$S$39)="","______________ (see cover list)",Checks!$S$39)&amp;CHAR(10)&amp;"ID: "&amp;IF(TRIM(Checks!$Z$39)="","______________ (record's own no.)",Checks!$Z$39))&amp;IF(Checks!$AA$39="","",CHAR(10)&amp;"CA: "&amp;Checks!$AA$39)</f>
        <v>Type: ______________ (see cover list)
ID: ______________ (record's own no.)</v>
      </c>
      <c r="G33" s="120" t="str">
        <f aca="false">IF(AND(LEFT(Checks!$AH$39,10)="N/A – RULE",NOT(ISNUMBER(Checks!$AD$39)),Checks!$AE$39="",Checks!$T$39=""),"","Done: "&amp;IF(ISNUMBER(Checks!$AD$39),TEXT(Checks!$AD$39,"DD-MMM-YY HH:MM"),"____________")&amp;" "&amp;Checks!$P$39&amp;CHAR(10)&amp;"Verifier: "&amp;IF(Checks!$AE$39="","____________",Checks!$AE$39)&amp;CHAR(10)&amp;"PIC: "&amp;IF(Checks!$T$39="","____________",Checks!$T$39))</f>
        <v>Done: ____________ KUL
Verifier: ____________
PIC: ____________</v>
      </c>
      <c r="H33" s="121" t="str">
        <f aca="false">IF(Checks!$AH$39="","",Checks!$AH$39)</f>
        <v>OPEN</v>
      </c>
    </row>
    <row r="34" customFormat="false" ht="25.5" hidden="false" customHeight="true" outlineLevel="0" collapsed="false">
      <c r="A34" s="119" t="str">
        <f aca="false">"T-12H PREP — Preparation check at caterer (does NOT confirm loading)  |  Due "&amp;IF(ISNUMBER(Flights!$AI$6),TEXT(Flights!$AI$6,"DD-MMM-YY HH:MM"),"")&amp;" "&amp;Flights!$V$6&amp;" (meal uplift stn)"&amp;" (rows with another due show their own)  |  Complete "&amp;IF(ISNUMBER(Flights!$AL$6),TEXT(Flights!$AL$6,"0%"),Flights!$AL$6)&amp;"  |  17 lines"</f>
        <v>T-12H PREP — Preparation check at caterer (does NOT confirm loading)  |  Due 09-Oct-26 09:50 KUL (meal uplift stn) (rows with another due show their own)  |  Complete 0%  |  17 lines</v>
      </c>
      <c r="B34" s="119"/>
      <c r="C34" s="119"/>
      <c r="D34" s="119"/>
      <c r="E34" s="119"/>
      <c r="F34" s="119"/>
      <c r="G34" s="119"/>
      <c r="H34" s="119"/>
    </row>
    <row r="35" customFormat="false" ht="114" hidden="false" customHeight="true" outlineLevel="0" collapsed="false">
      <c r="A35" s="120" t="str">
        <f aca="false">Checks!$A$40&amp;CHAR(10)&amp;IF(Checks!$I$40="","",Checks!$I$40&amp;": ")&amp;Checks!$J$40</f>
        <v>F02-T12-01
Meal: Meal quality vs menu checklist</v>
      </c>
      <c r="B35" s="120" t="str">
        <f aca="false">Checks!$K$40&amp;IF(Checks!$O$40="","",IF(Checks!$K$40="","",CHAR(10))&amp;"Note: "&amp;Checks!$O$40)</f>
        <v>Note: Preparation check at caterer - does NOT confirm loading.</v>
      </c>
      <c r="C35" s="120" t="str">
        <f aca="false">Checks!$N$40&amp;CHAR(10)&amp;IF(ISNUMBER(Checks!$R$40),TEXT(Checks!$R$40,"DD-MMM-YY HH:MM"),"")&amp;" "&amp;Checks!$P$40</f>
        <v>Required
09-Oct-26 09:50 KUL</v>
      </c>
      <c r="D35" s="120" t="str">
        <f aca="false">IF(TRIM(Checks!$U$40)&lt;&gt;"",Checks!$U$40&amp;IF(Checks!$AB$40="","",CHAR(10)&amp;"CA: "&amp;Checks!$AB$40),IF(LEFT(Checks!$AH$40,10)="N/A – RULE","","[ ] Pass"&amp;CHAR(10)&amp;"[ ] Pass after CA"&amp;CHAR(10)&amp;"[ ] Fail"&amp;IF(Checks!$AT$40=1,CHAR(10)&amp;"[ ] N/A","")&amp;CHAR(10)&amp;"CA: Open / Closed"))</f>
        <v>[ ] Pass
[ ] Pass after CA
[ ] Fail
CA: Open / Closed</v>
      </c>
      <c r="E35" s="120" t="str">
        <f aca="false">IF(Checks!$V$40="","",Checks!$V$40)&amp;IF(Checks!$AC$40="","",IF(Checks!$V$40="","",CHAR(10))&amp;"N/A just.: "&amp;Checks!$AC$40)&amp;IF(OR(Checks!$W$40&lt;&gt;"",AND(Checks!$AQ$40=1,NOT(LEFT(Checks!$AH$40,10)="N/A – RULE"))),CHAR(10)&amp;"Batch: "&amp;IF(Checks!$W$40="","____________",Checks!$W$40),"")&amp;IF(OR(Checks!$X$40&lt;&gt;"",Checks!$Y$40&lt;&gt;"",AND(Checks!$AR$40=1,NOT(LEFT(Checks!$AH$40,10)="N/A – RULE"))),CHAR(10)&amp;"Exp: "&amp;IF(Checks!$X$40="","______",Checks!$X$40)&amp;"  /  Act: "&amp;IF(Checks!$Y$40="","______",Checks!$Y$40),"")</f>
        <v/>
      </c>
      <c r="F35" s="120" t="str">
        <f aca="false">IF(AND(LEFT(Checks!$AH$40,10)="N/A – RULE",TRIM(Checks!$S$40&amp;Checks!$Z$40)=""),"","Type: "&amp;IF(TRIM(Checks!$S$40)="","______________ (see cover list)",Checks!$S$40)&amp;CHAR(10)&amp;"ID: "&amp;IF(TRIM(Checks!$Z$40)="","______________ (record's own no.)",Checks!$Z$40))&amp;IF(Checks!$AA$40="","",CHAR(10)&amp;"CA: "&amp;Checks!$AA$40)</f>
        <v>Type: ______________ (see cover list)
ID: ______________ (record's own no.)</v>
      </c>
      <c r="G35" s="120" t="str">
        <f aca="false">IF(AND(LEFT(Checks!$AH$40,10)="N/A – RULE",NOT(ISNUMBER(Checks!$AD$40)),Checks!$AE$40="",Checks!$T$40=""),"","Done: "&amp;IF(ISNUMBER(Checks!$AD$40),TEXT(Checks!$AD$40,"DD-MMM-YY HH:MM"),"____________")&amp;" "&amp;Checks!$P$40&amp;CHAR(10)&amp;"Verifier: "&amp;IF(Checks!$AE$40="","____________",Checks!$AE$40)&amp;CHAR(10)&amp;"PIC: "&amp;IF(Checks!$T$40="","____________",Checks!$T$40))</f>
        <v>Done: ____________ KUL
Verifier: ____________
PIC: ____________</v>
      </c>
      <c r="H35" s="121" t="str">
        <f aca="false">IF(Checks!$AH$40="","",Checks!$AH$40)</f>
        <v>OPEN</v>
      </c>
    </row>
    <row r="36" customFormat="false" ht="114" hidden="false" customHeight="true" outlineLevel="0" collapsed="false">
      <c r="A36" s="120" t="str">
        <f aca="false">Checks!$A$41&amp;CHAR(10)&amp;IF(Checks!$I$41="","",Checks!$I$41&amp;": ")&amp;Checks!$J$41</f>
        <v>F02-T12-02
Meal: Meal quantities vs menu checklist</v>
      </c>
      <c r="B36" s="120" t="str">
        <f aca="false">Checks!$K$41&amp;IF(Checks!$O$41="","",IF(Checks!$K$41="","",CHAR(10))&amp;"Note: "&amp;Checks!$O$41)</f>
        <v>Enter expected &amp; actual
Note: Preparation check at caterer - does NOT confirm loading.</v>
      </c>
      <c r="C36" s="120" t="str">
        <f aca="false">Checks!$N$41&amp;CHAR(10)&amp;IF(ISNUMBER(Checks!$R$41),TEXT(Checks!$R$41,"DD-MMM-YY HH:MM"),"")&amp;" "&amp;Checks!$P$41</f>
        <v>Required
09-Oct-26 09:50 KUL</v>
      </c>
      <c r="D36" s="120" t="str">
        <f aca="false">IF(TRIM(Checks!$U$41)&lt;&gt;"",Checks!$U$41&amp;IF(Checks!$AB$41="","",CHAR(10)&amp;"CA: "&amp;Checks!$AB$41),IF(LEFT(Checks!$AH$41,10)="N/A – RULE","","[ ] Pass"&amp;CHAR(10)&amp;"[ ] Pass after CA"&amp;CHAR(10)&amp;"[ ] Fail"&amp;IF(Checks!$AT$41=1,CHAR(10)&amp;"[ ] N/A","")&amp;CHAR(10)&amp;"CA: Open / Closed"))</f>
        <v>[ ] Pass
[ ] Pass after CA
[ ] Fail
CA: Open / Closed</v>
      </c>
      <c r="E36" s="120" t="str">
        <f aca="false">IF(Checks!$V$41="","",Checks!$V$41)&amp;IF(Checks!$AC$41="","",IF(Checks!$V$41="","",CHAR(10))&amp;"N/A just.: "&amp;Checks!$AC$41)&amp;IF(OR(Checks!$W$41&lt;&gt;"",AND(Checks!$AQ$41=1,NOT(LEFT(Checks!$AH$41,10)="N/A – RULE"))),CHAR(10)&amp;"Batch: "&amp;IF(Checks!$W$41="","____________",Checks!$W$41),"")&amp;IF(OR(Checks!$X$41&lt;&gt;"",Checks!$Y$41&lt;&gt;"",AND(Checks!$AR$41=1,NOT(LEFT(Checks!$AH$41,10)="N/A – RULE"))),CHAR(10)&amp;"Exp: "&amp;IF(Checks!$X$41="","______",Checks!$X$41)&amp;"  /  Act: "&amp;IF(Checks!$Y$41="","______",Checks!$Y$41),"")</f>
        <v>
Exp: ______  /  Act: ______</v>
      </c>
      <c r="F36" s="120" t="str">
        <f aca="false">IF(AND(LEFT(Checks!$AH$41,10)="N/A – RULE",TRIM(Checks!$S$41&amp;Checks!$Z$41)=""),"","Type: "&amp;IF(TRIM(Checks!$S$41)="","______________ (see cover list)",Checks!$S$41)&amp;CHAR(10)&amp;"ID: "&amp;IF(TRIM(Checks!$Z$41)="","______________ (record's own no.)",Checks!$Z$41))&amp;IF(Checks!$AA$41="","",CHAR(10)&amp;"CA: "&amp;Checks!$AA$41)</f>
        <v>Type: ______________ (see cover list)
ID: ______________ (record's own no.)</v>
      </c>
      <c r="G36" s="120" t="str">
        <f aca="false">IF(AND(LEFT(Checks!$AH$41,10)="N/A – RULE",NOT(ISNUMBER(Checks!$AD$41)),Checks!$AE$41="",Checks!$T$41=""),"","Done: "&amp;IF(ISNUMBER(Checks!$AD$41),TEXT(Checks!$AD$41,"DD-MMM-YY HH:MM"),"____________")&amp;" "&amp;Checks!$P$41&amp;CHAR(10)&amp;"Verifier: "&amp;IF(Checks!$AE$41="","____________",Checks!$AE$41)&amp;CHAR(10)&amp;"PIC: "&amp;IF(Checks!$T$41="","____________",Checks!$T$41))</f>
        <v>Done: ____________ KUL
Verifier: ____________
PIC: ____________</v>
      </c>
      <c r="H36" s="121" t="str">
        <f aca="false">IF(Checks!$AH$41="","",Checks!$AH$41)</f>
        <v>OPEN</v>
      </c>
    </row>
    <row r="37" customFormat="false" ht="114" hidden="false" customHeight="true" outlineLevel="0" collapsed="false">
      <c r="A37" s="120" t="str">
        <f aca="false">Checks!$A$42&amp;CHAR(10)&amp;IF(Checks!$I$42="","",Checks!$I$42&amp;": ")&amp;Checks!$J$42</f>
        <v>F02-T12-03
Equipment: Equipment cleanliness vs GLD</v>
      </c>
      <c r="B37" s="120" t="str">
        <f aca="false">Checks!$K$42&amp;IF(Checks!$O$42="","",IF(Checks!$K$42="","",CHAR(10))&amp;"Note: "&amp;Checks!$O$42)</f>
        <v>Note: Preparation check at caterer - does NOT confirm loading.</v>
      </c>
      <c r="C37" s="120" t="str">
        <f aca="false">Checks!$N$42&amp;CHAR(10)&amp;IF(ISNUMBER(Checks!$R$42),TEXT(Checks!$R$42,"DD-MMM-YY HH:MM"),"")&amp;" "&amp;Checks!$P$42</f>
        <v>Required
09-Oct-26 09:50 KUL</v>
      </c>
      <c r="D37" s="120" t="str">
        <f aca="false">IF(TRIM(Checks!$U$42)&lt;&gt;"",Checks!$U$42&amp;IF(Checks!$AB$42="","",CHAR(10)&amp;"CA: "&amp;Checks!$AB$42),IF(LEFT(Checks!$AH$42,10)="N/A – RULE","","[ ] Pass"&amp;CHAR(10)&amp;"[ ] Pass after CA"&amp;CHAR(10)&amp;"[ ] Fail"&amp;IF(Checks!$AT$42=1,CHAR(10)&amp;"[ ] N/A","")&amp;CHAR(10)&amp;"CA: Open / Closed"))</f>
        <v>[ ] Pass
[ ] Pass after CA
[ ] Fail
CA: Open / Closed</v>
      </c>
      <c r="E37" s="120" t="str">
        <f aca="false">IF(Checks!$V$42="","",Checks!$V$42)&amp;IF(Checks!$AC$42="","",IF(Checks!$V$42="","",CHAR(10))&amp;"N/A just.: "&amp;Checks!$AC$42)&amp;IF(OR(Checks!$W$42&lt;&gt;"",AND(Checks!$AQ$42=1,NOT(LEFT(Checks!$AH$42,10)="N/A – RULE"))),CHAR(10)&amp;"Batch: "&amp;IF(Checks!$W$42="","____________",Checks!$W$42),"")&amp;IF(OR(Checks!$X$42&lt;&gt;"",Checks!$Y$42&lt;&gt;"",AND(Checks!$AR$42=1,NOT(LEFT(Checks!$AH$42,10)="N/A – RULE"))),CHAR(10)&amp;"Exp: "&amp;IF(Checks!$X$42="","______",Checks!$X$42)&amp;"  /  Act: "&amp;IF(Checks!$Y$42="","______",Checks!$Y$42),"")</f>
        <v/>
      </c>
      <c r="F37" s="120" t="str">
        <f aca="false">IF(AND(LEFT(Checks!$AH$42,10)="N/A – RULE",TRIM(Checks!$S$42&amp;Checks!$Z$42)=""),"","Type: "&amp;IF(TRIM(Checks!$S$42)="","______________ (see cover list)",Checks!$S$42)&amp;CHAR(10)&amp;"ID: "&amp;IF(TRIM(Checks!$Z$42)="","______________ (record's own no.)",Checks!$Z$42))&amp;IF(Checks!$AA$42="","",CHAR(10)&amp;"CA: "&amp;Checks!$AA$42)</f>
        <v>Type: ______________ (see cover list)
ID: ______________ (record's own no.)</v>
      </c>
      <c r="G37" s="120" t="str">
        <f aca="false">IF(AND(LEFT(Checks!$AH$42,10)="N/A – RULE",NOT(ISNUMBER(Checks!$AD$42)),Checks!$AE$42="",Checks!$T$42=""),"","Done: "&amp;IF(ISNUMBER(Checks!$AD$42),TEXT(Checks!$AD$42,"DD-MMM-YY HH:MM"),"____________")&amp;" "&amp;Checks!$P$42&amp;CHAR(10)&amp;"Verifier: "&amp;IF(Checks!$AE$42="","____________",Checks!$AE$42)&amp;CHAR(10)&amp;"PIC: "&amp;IF(Checks!$T$42="","____________",Checks!$T$42))</f>
        <v>Done: ____________ KUL
Verifier: ____________
PIC: ____________</v>
      </c>
      <c r="H37" s="121" t="str">
        <f aca="false">IF(Checks!$AH$42="","",Checks!$AH$42)</f>
        <v>OPEN</v>
      </c>
    </row>
    <row r="38" customFormat="false" ht="114" hidden="false" customHeight="true" outlineLevel="0" collapsed="false">
      <c r="A38" s="120" t="str">
        <f aca="false">Checks!$A$43&amp;CHAR(10)&amp;IF(Checks!$I$43="","",Checks!$I$43&amp;": ")&amp;Checks!$J$43</f>
        <v>F02-T12-04
Equipment: Equipment presentation vs GLD</v>
      </c>
      <c r="B38" s="120" t="str">
        <f aca="false">Checks!$K$43&amp;IF(Checks!$O$43="","",IF(Checks!$K$43="","",CHAR(10))&amp;"Note: "&amp;Checks!$O$43)</f>
        <v>Note: Preparation check at caterer - does NOT confirm loading.</v>
      </c>
      <c r="C38" s="120" t="str">
        <f aca="false">Checks!$N$43&amp;CHAR(10)&amp;IF(ISNUMBER(Checks!$R$43),TEXT(Checks!$R$43,"DD-MMM-YY HH:MM"),"")&amp;" "&amp;Checks!$P$43</f>
        <v>Required
09-Oct-26 09:50 KUL</v>
      </c>
      <c r="D38" s="120" t="str">
        <f aca="false">IF(TRIM(Checks!$U$43)&lt;&gt;"",Checks!$U$43&amp;IF(Checks!$AB$43="","",CHAR(10)&amp;"CA: "&amp;Checks!$AB$43),IF(LEFT(Checks!$AH$43,10)="N/A – RULE","","[ ] Pass"&amp;CHAR(10)&amp;"[ ] Pass after CA"&amp;CHAR(10)&amp;"[ ] Fail"&amp;IF(Checks!$AT$43=1,CHAR(10)&amp;"[ ] N/A","")&amp;CHAR(10)&amp;"CA: Open / Closed"))</f>
        <v>[ ] Pass
[ ] Pass after CA
[ ] Fail
CA: Open / Closed</v>
      </c>
      <c r="E38" s="120" t="str">
        <f aca="false">IF(Checks!$V$43="","",Checks!$V$43)&amp;IF(Checks!$AC$43="","",IF(Checks!$V$43="","",CHAR(10))&amp;"N/A just.: "&amp;Checks!$AC$43)&amp;IF(OR(Checks!$W$43&lt;&gt;"",AND(Checks!$AQ$43=1,NOT(LEFT(Checks!$AH$43,10)="N/A – RULE"))),CHAR(10)&amp;"Batch: "&amp;IF(Checks!$W$43="","____________",Checks!$W$43),"")&amp;IF(OR(Checks!$X$43&lt;&gt;"",Checks!$Y$43&lt;&gt;"",AND(Checks!$AR$43=1,NOT(LEFT(Checks!$AH$43,10)="N/A – RULE"))),CHAR(10)&amp;"Exp: "&amp;IF(Checks!$X$43="","______",Checks!$X$43)&amp;"  /  Act: "&amp;IF(Checks!$Y$43="","______",Checks!$Y$43),"")</f>
        <v/>
      </c>
      <c r="F38" s="120" t="str">
        <f aca="false">IF(AND(LEFT(Checks!$AH$43,10)="N/A – RULE",TRIM(Checks!$S$43&amp;Checks!$Z$43)=""),"","Type: "&amp;IF(TRIM(Checks!$S$43)="","______________ (see cover list)",Checks!$S$43)&amp;CHAR(10)&amp;"ID: "&amp;IF(TRIM(Checks!$Z$43)="","______________ (record's own no.)",Checks!$Z$43))&amp;IF(Checks!$AA$43="","",CHAR(10)&amp;"CA: "&amp;Checks!$AA$43)</f>
        <v>Type: ______________ (see cover list)
ID: ______________ (record's own no.)</v>
      </c>
      <c r="G38" s="120" t="str">
        <f aca="false">IF(AND(LEFT(Checks!$AH$43,10)="N/A – RULE",NOT(ISNUMBER(Checks!$AD$43)),Checks!$AE$43="",Checks!$T$43=""),"","Done: "&amp;IF(ISNUMBER(Checks!$AD$43),TEXT(Checks!$AD$43,"DD-MMM-YY HH:MM"),"____________")&amp;" "&amp;Checks!$P$43&amp;CHAR(10)&amp;"Verifier: "&amp;IF(Checks!$AE$43="","____________",Checks!$AE$43)&amp;CHAR(10)&amp;"PIC: "&amp;IF(Checks!$T$43="","____________",Checks!$T$43))</f>
        <v>Done: ____________ KUL
Verifier: ____________
PIC: ____________</v>
      </c>
      <c r="H38" s="121" t="str">
        <f aca="false">IF(Checks!$AH$43="","",Checks!$AH$43)</f>
        <v>OPEN</v>
      </c>
    </row>
    <row r="39" customFormat="false" ht="114" hidden="false" customHeight="true" outlineLevel="0" collapsed="false">
      <c r="A39" s="120" t="str">
        <f aca="false">Checks!$A$44&amp;CHAR(10)&amp;IF(Checks!$I$44="","",Checks!$I$44&amp;": ")&amp;Checks!$J$44</f>
        <v>F02-T12-05
Equipment: Equipment serviceability vs GLD</v>
      </c>
      <c r="B39" s="120" t="str">
        <f aca="false">Checks!$K$44&amp;IF(Checks!$O$44="","",IF(Checks!$K$44="","",CHAR(10))&amp;"Note: "&amp;Checks!$O$44)</f>
        <v>Note: Preparation check at caterer - does NOT confirm loading.</v>
      </c>
      <c r="C39" s="120" t="str">
        <f aca="false">Checks!$N$44&amp;CHAR(10)&amp;IF(ISNUMBER(Checks!$R$44),TEXT(Checks!$R$44,"DD-MMM-YY HH:MM"),"")&amp;" "&amp;Checks!$P$44</f>
        <v>Required
09-Oct-26 09:50 KUL</v>
      </c>
      <c r="D39" s="120" t="str">
        <f aca="false">IF(TRIM(Checks!$U$44)&lt;&gt;"",Checks!$U$44&amp;IF(Checks!$AB$44="","",CHAR(10)&amp;"CA: "&amp;Checks!$AB$44),IF(LEFT(Checks!$AH$44,10)="N/A – RULE","","[ ] Pass"&amp;CHAR(10)&amp;"[ ] Pass after CA"&amp;CHAR(10)&amp;"[ ] Fail"&amp;IF(Checks!$AT$44=1,CHAR(10)&amp;"[ ] N/A","")&amp;CHAR(10)&amp;"CA: Open / Closed"))</f>
        <v>[ ] Pass
[ ] Pass after CA
[ ] Fail
CA: Open / Closed</v>
      </c>
      <c r="E39" s="120" t="str">
        <f aca="false">IF(Checks!$V$44="","",Checks!$V$44)&amp;IF(Checks!$AC$44="","",IF(Checks!$V$44="","",CHAR(10))&amp;"N/A just.: "&amp;Checks!$AC$44)&amp;IF(OR(Checks!$W$44&lt;&gt;"",AND(Checks!$AQ$44=1,NOT(LEFT(Checks!$AH$44,10)="N/A – RULE"))),CHAR(10)&amp;"Batch: "&amp;IF(Checks!$W$44="","____________",Checks!$W$44),"")&amp;IF(OR(Checks!$X$44&lt;&gt;"",Checks!$Y$44&lt;&gt;"",AND(Checks!$AR$44=1,NOT(LEFT(Checks!$AH$44,10)="N/A – RULE"))),CHAR(10)&amp;"Exp: "&amp;IF(Checks!$X$44="","______",Checks!$X$44)&amp;"  /  Act: "&amp;IF(Checks!$Y$44="","______",Checks!$Y$44),"")</f>
        <v/>
      </c>
      <c r="F39" s="120" t="str">
        <f aca="false">IF(AND(LEFT(Checks!$AH$44,10)="N/A – RULE",TRIM(Checks!$S$44&amp;Checks!$Z$44)=""),"","Type: "&amp;IF(TRIM(Checks!$S$44)="","______________ (see cover list)",Checks!$S$44)&amp;CHAR(10)&amp;"ID: "&amp;IF(TRIM(Checks!$Z$44)="","______________ (record's own no.)",Checks!$Z$44))&amp;IF(Checks!$AA$44="","",CHAR(10)&amp;"CA: "&amp;Checks!$AA$44)</f>
        <v>Type: ______________ (see cover list)
ID: ______________ (record's own no.)</v>
      </c>
      <c r="G39" s="120" t="str">
        <f aca="false">IF(AND(LEFT(Checks!$AH$44,10)="N/A – RULE",NOT(ISNUMBER(Checks!$AD$44)),Checks!$AE$44="",Checks!$T$44=""),"","Done: "&amp;IF(ISNUMBER(Checks!$AD$44),TEXT(Checks!$AD$44,"DD-MMM-YY HH:MM"),"____________")&amp;" "&amp;Checks!$P$44&amp;CHAR(10)&amp;"Verifier: "&amp;IF(Checks!$AE$44="","____________",Checks!$AE$44)&amp;CHAR(10)&amp;"PIC: "&amp;IF(Checks!$T$44="","____________",Checks!$T$44))</f>
        <v>Done: ____________ KUL
Verifier: ____________
PIC: ____________</v>
      </c>
      <c r="H39" s="121" t="str">
        <f aca="false">IF(Checks!$AH$44="","",Checks!$AH$44)</f>
        <v>OPEN</v>
      </c>
    </row>
    <row r="40" customFormat="false" ht="180" hidden="false" customHeight="true" outlineLevel="0" collapsed="false">
      <c r="A40" s="120" t="str">
        <f aca="false">Checks!$A$45&amp;CHAR(10)&amp;IF(Checks!$I$45="","",Checks!$I$45&amp;": ")&amp;Checks!$J$45</f>
        <v>F02-T12-06
Equipment: Equipment quantities vs GLD</v>
      </c>
      <c r="B40" s="120" t="str">
        <f aca="false">SUBSTITUTE(SUBSTITUTE(SUBSTITUTE(SUBSTITUTE(SUBSTITUTE(SUBSTITUTE(SUBSTITUTE(Checks!$K$45&amp;IF(Checks!$O$45="","",IF(Checks!$K$45="","",CHAR(10))&amp;"Note: "&amp;Checks!$O$45),"ovens -,","ovens n/a,"),"fridges -,","fridges n/a,"),"makers -,","makers n/a,"),"espresso -,","espresso n/a,"),"trolleys -,","trolleys n/a,"),"headsets - (","headsets n/a (")," (AIRCRAFT TYPE!C16:R16)","")</f>
        <v>Enter expected &amp; actual. Aircraft galley data: B737-8 (B7M8): carts 10.5, SU 25, ovens 6, warming ovens n/a, fridges n/a, water heaters 3, beverage makers n/a, espresso n/a, folding trolleys n/a, headsets n/a
Note: Preparation check at caterer - does NOT confirm loading.</v>
      </c>
      <c r="C40" s="120" t="str">
        <f aca="false">Checks!$N$45&amp;CHAR(10)&amp;IF(ISNUMBER(Checks!$R$45),TEXT(Checks!$R$45,"DD-MMM-YY HH:MM"),"")&amp;" "&amp;Checks!$P$45</f>
        <v>Required
09-Oct-26 09:50 KUL</v>
      </c>
      <c r="D40" s="120" t="str">
        <f aca="false">IF(TRIM(Checks!$U$45)&lt;&gt;"",Checks!$U$45&amp;IF(Checks!$AB$45="","",CHAR(10)&amp;"CA: "&amp;Checks!$AB$45),IF(LEFT(Checks!$AH$45,10)="N/A – RULE","","[ ] Pass"&amp;CHAR(10)&amp;"[ ] Pass after CA"&amp;CHAR(10)&amp;"[ ] Fail"&amp;IF(Checks!$AT$45=1,CHAR(10)&amp;"[ ] N/A","")&amp;CHAR(10)&amp;"CA: Open / Closed"))</f>
        <v>[ ] Pass
[ ] Pass after CA
[ ] Fail
CA: Open / Closed</v>
      </c>
      <c r="E40" s="120" t="str">
        <f aca="false">IF(Checks!$V$45="","",Checks!$V$45)&amp;IF(Checks!$AC$45="","",IF(Checks!$V$45="","",CHAR(10))&amp;"N/A just.: "&amp;Checks!$AC$45)&amp;IF(OR(Checks!$W$45&lt;&gt;"",AND(Checks!$AQ$45=1,NOT(LEFT(Checks!$AH$45,10)="N/A – RULE"))),CHAR(10)&amp;"Batch: "&amp;IF(Checks!$W$45="","____________",Checks!$W$45),"")&amp;IF(OR(Checks!$X$45&lt;&gt;"",Checks!$Y$45&lt;&gt;"",AND(Checks!$AR$45=1,NOT(LEFT(Checks!$AH$45,10)="N/A – RULE"))),CHAR(10)&amp;"Exp: "&amp;IF(Checks!$X$45="","______",Checks!$X$45)&amp;"  /  Act: "&amp;IF(Checks!$Y$45="","______",Checks!$Y$45),"")</f>
        <v>
Exp: ______  /  Act: ______</v>
      </c>
      <c r="F40" s="120" t="str">
        <f aca="false">IF(AND(LEFT(Checks!$AH$45,10)="N/A – RULE",TRIM(Checks!$S$45&amp;Checks!$Z$45)=""),"","Type: "&amp;IF(TRIM(Checks!$S$45)="","______________ (see cover list)",Checks!$S$45)&amp;CHAR(10)&amp;"ID: "&amp;IF(TRIM(Checks!$Z$45)="","______________ (record's own no.)",Checks!$Z$45))&amp;IF(Checks!$AA$45="","",CHAR(10)&amp;"CA: "&amp;Checks!$AA$45)</f>
        <v>Type: ______________ (see cover list)
ID: ______________ (record's own no.)</v>
      </c>
      <c r="G40" s="120" t="str">
        <f aca="false">IF(AND(LEFT(Checks!$AH$45,10)="N/A – RULE",NOT(ISNUMBER(Checks!$AD$45)),Checks!$AE$45="",Checks!$T$45=""),"","Done: "&amp;IF(ISNUMBER(Checks!$AD$45),TEXT(Checks!$AD$45,"DD-MMM-YY HH:MM"),"____________")&amp;" "&amp;Checks!$P$45&amp;CHAR(10)&amp;"Verifier: "&amp;IF(Checks!$AE$45="","____________",Checks!$AE$45)&amp;CHAR(10)&amp;"PIC: "&amp;IF(Checks!$T$45="","____________",Checks!$T$45))</f>
        <v>Done: ____________ KUL
Verifier: ____________
PIC: ____________</v>
      </c>
      <c r="H40" s="121" t="str">
        <f aca="false">IF(Checks!$AH$45="","",Checks!$AH$45)</f>
        <v>OPEN</v>
      </c>
    </row>
    <row r="41" customFormat="false" ht="114" hidden="false" customHeight="true" outlineLevel="0" collapsed="false">
      <c r="A41" s="120" t="str">
        <f aca="false">Checks!$A$46&amp;CHAR(10)&amp;IF(Checks!$I$46="","",Checks!$I$46&amp;": ")&amp;Checks!$J$46</f>
        <v>F02-T12-07
Equipment: Loading positions planned vs GLD</v>
      </c>
      <c r="B41" s="120" t="str">
        <f aca="false">Checks!$K$46&amp;IF(Checks!$O$46="","",IF(Checks!$K$46="","",CHAR(10))&amp;"Note: "&amp;Checks!$O$46)</f>
        <v>Note: Preparation check at caterer - does NOT confirm loading.</v>
      </c>
      <c r="C41" s="120" t="str">
        <f aca="false">Checks!$N$46&amp;CHAR(10)&amp;IF(ISNUMBER(Checks!$R$46),TEXT(Checks!$R$46,"DD-MMM-YY HH:MM"),"")&amp;" "&amp;Checks!$P$46</f>
        <v>Required
09-Oct-26 09:50 KUL</v>
      </c>
      <c r="D41" s="120" t="str">
        <f aca="false">IF(TRIM(Checks!$U$46)&lt;&gt;"",Checks!$U$46&amp;IF(Checks!$AB$46="","",CHAR(10)&amp;"CA: "&amp;Checks!$AB$46),IF(LEFT(Checks!$AH$46,10)="N/A – RULE","","[ ] Pass"&amp;CHAR(10)&amp;"[ ] Pass after CA"&amp;CHAR(10)&amp;"[ ] Fail"&amp;IF(Checks!$AT$46=1,CHAR(10)&amp;"[ ] N/A","")&amp;CHAR(10)&amp;"CA: Open / Closed"))</f>
        <v>[ ] Pass
[ ] Pass after CA
[ ] Fail
CA: Open / Closed</v>
      </c>
      <c r="E41" s="120" t="str">
        <f aca="false">IF(Checks!$V$46="","",Checks!$V$46)&amp;IF(Checks!$AC$46="","",IF(Checks!$V$46="","",CHAR(10))&amp;"N/A just.: "&amp;Checks!$AC$46)&amp;IF(OR(Checks!$W$46&lt;&gt;"",AND(Checks!$AQ$46=1,NOT(LEFT(Checks!$AH$46,10)="N/A – RULE"))),CHAR(10)&amp;"Batch: "&amp;IF(Checks!$W$46="","____________",Checks!$W$46),"")&amp;IF(OR(Checks!$X$46&lt;&gt;"",Checks!$Y$46&lt;&gt;"",AND(Checks!$AR$46=1,NOT(LEFT(Checks!$AH$46,10)="N/A – RULE"))),CHAR(10)&amp;"Exp: "&amp;IF(Checks!$X$46="","______",Checks!$X$46)&amp;"  /  Act: "&amp;IF(Checks!$Y$46="","______",Checks!$Y$46),"")</f>
        <v/>
      </c>
      <c r="F41" s="120" t="str">
        <f aca="false">IF(AND(LEFT(Checks!$AH$46,10)="N/A – RULE",TRIM(Checks!$S$46&amp;Checks!$Z$46)=""),"","Type: "&amp;IF(TRIM(Checks!$S$46)="","______________ (see cover list)",Checks!$S$46)&amp;CHAR(10)&amp;"ID: "&amp;IF(TRIM(Checks!$Z$46)="","______________ (record's own no.)",Checks!$Z$46))&amp;IF(Checks!$AA$46="","",CHAR(10)&amp;"CA: "&amp;Checks!$AA$46)</f>
        <v>Type: ______________ (see cover list)
ID: ______________ (record's own no.)</v>
      </c>
      <c r="G41" s="120" t="str">
        <f aca="false">IF(AND(LEFT(Checks!$AH$46,10)="N/A – RULE",NOT(ISNUMBER(Checks!$AD$46)),Checks!$AE$46="",Checks!$T$46=""),"","Done: "&amp;IF(ISNUMBER(Checks!$AD$46),TEXT(Checks!$AD$46,"DD-MMM-YY HH:MM"),"____________")&amp;" "&amp;Checks!$P$46&amp;CHAR(10)&amp;"Verifier: "&amp;IF(Checks!$AE$46="","____________",Checks!$AE$46)&amp;CHAR(10)&amp;"PIC: "&amp;IF(Checks!$T$46="","____________",Checks!$T$46))</f>
        <v>Done: ____________ KUL
Verifier: ____________
PIC: ____________</v>
      </c>
      <c r="H41" s="121" t="str">
        <f aca="false">IF(Checks!$AH$46="","",Checks!$AH$46)</f>
        <v>OPEN</v>
      </c>
    </row>
    <row r="42" customFormat="false" ht="180" hidden="false" customHeight="true" outlineLevel="0" collapsed="false">
      <c r="A42" s="120" t="str">
        <f aca="false">Checks!$A$47&amp;CHAR(10)&amp;IF(Checks!$I$47="","",Checks!$I$47&amp;": ")&amp;Checks!$J$47</f>
        <v>F02-T12-08
Amenities: Disposable slippers in DAM cart (BC, on request) - prepared</v>
      </c>
      <c r="B42" s="120" t="str">
        <f aca="false">SUBSTITUTE(Checks!$K$47&amp;IF(Checks!$O$47="","",IF(Checks!$K$47="","",CHAR(10))&amp;"Note: "&amp;Checks!$O$47),"note C83: ","reference note: ")</f>
        <v>Available in DAM cart on request basis
Note: Sector has no BC slippers; reference note: disposable slipper available in DAM cart (on request basis). Reference gives no uplift stn for this item: preparation checked at the meal uplift stn (KUL) - confirm with caterer.</v>
      </c>
      <c r="C42" s="120" t="str">
        <f aca="false">Checks!$N$47&amp;CHAR(10)&amp;IF(ISNUMBER(Checks!$R$47),TEXT(Checks!$R$47,"DD-MMM-YY HH:MM"),"")&amp;" "&amp;Checks!$P$47</f>
        <v>Required
09-Oct-26 09:50 KUL</v>
      </c>
      <c r="D42" s="120" t="str">
        <f aca="false">IF(TRIM(Checks!$U$47)&lt;&gt;"",Checks!$U$47&amp;IF(Checks!$AB$47="","",CHAR(10)&amp;"CA: "&amp;Checks!$AB$47),IF(LEFT(Checks!$AH$47,10)="N/A – RULE","","[ ] Pass"&amp;CHAR(10)&amp;"[ ] Pass after CA"&amp;CHAR(10)&amp;"[ ] Fail"&amp;IF(Checks!$AT$47=1,CHAR(10)&amp;"[ ] N/A","")&amp;CHAR(10)&amp;"CA: Open / Closed"))</f>
        <v>[ ] Pass
[ ] Pass after CA
[ ] Fail
CA: Open / Closed</v>
      </c>
      <c r="E42" s="120" t="str">
        <f aca="false">IF(Checks!$V$47="","",Checks!$V$47)&amp;IF(Checks!$AC$47="","",IF(Checks!$V$47="","",CHAR(10))&amp;"N/A just.: "&amp;Checks!$AC$47)&amp;IF(OR(Checks!$W$47&lt;&gt;"",AND(Checks!$AQ$47=1,NOT(LEFT(Checks!$AH$47,10)="N/A – RULE"))),CHAR(10)&amp;"Batch: "&amp;IF(Checks!$W$47="","____________",Checks!$W$47),"")&amp;IF(OR(Checks!$X$47&lt;&gt;"",Checks!$Y$47&lt;&gt;"",AND(Checks!$AR$47=1,NOT(LEFT(Checks!$AH$47,10)="N/A – RULE"))),CHAR(10)&amp;"Exp: "&amp;IF(Checks!$X$47="","______",Checks!$X$47)&amp;"  /  Act: "&amp;IF(Checks!$Y$47="","______",Checks!$Y$47),"")</f>
        <v/>
      </c>
      <c r="F42" s="120" t="str">
        <f aca="false">IF(AND(LEFT(Checks!$AH$47,10)="N/A – RULE",TRIM(Checks!$S$47&amp;Checks!$Z$47)=""),"","Type: "&amp;IF(TRIM(Checks!$S$47)="","______________ (see cover list)",Checks!$S$47)&amp;CHAR(10)&amp;"ID: "&amp;IF(TRIM(Checks!$Z$47)="","______________ (record's own no.)",Checks!$Z$47))&amp;IF(Checks!$AA$47="","",CHAR(10)&amp;"CA: "&amp;Checks!$AA$47)</f>
        <v>Type: ______________ (see cover list)
ID: ______________ (record's own no.)</v>
      </c>
      <c r="G42" s="120" t="str">
        <f aca="false">IF(AND(LEFT(Checks!$AH$47,10)="N/A – RULE",NOT(ISNUMBER(Checks!$AD$47)),Checks!$AE$47="",Checks!$T$47=""),"","Done: "&amp;IF(ISNUMBER(Checks!$AD$47),TEXT(Checks!$AD$47,"DD-MMM-YY HH:MM"),"____________")&amp;" "&amp;Checks!$P$47&amp;CHAR(10)&amp;"Verifier: "&amp;IF(Checks!$AE$47="","____________",Checks!$AE$47)&amp;CHAR(10)&amp;"PIC: "&amp;IF(Checks!$T$47="","____________",Checks!$T$47))</f>
        <v>Done: ____________ KUL
Verifier: ____________
PIC: ____________</v>
      </c>
      <c r="H42" s="121" t="str">
        <f aca="false">IF(Checks!$AH$47="","",Checks!$AH$47)</f>
        <v>OPEN</v>
      </c>
    </row>
    <row r="43" customFormat="false" ht="114" hidden="false" customHeight="true" outlineLevel="0" collapsed="false">
      <c r="A43" s="120" t="str">
        <f aca="false">Checks!$A$48&amp;CHAR(10)&amp;IF(Checks!$I$48="","",Checks!$I$48&amp;": ")&amp;Checks!$J$48</f>
        <v>F02-T12-09
F&amp;B Linen: Towel - prepared</v>
      </c>
      <c r="B43" s="120" t="str">
        <f aca="false">Checks!$K$48&amp;IF(Checks!$O$48="","",IF(Checks!$K$48="","",CHAR(10))&amp;"Note: "&amp;Checks!$O$48)</f>
        <v>Available (ticked in reference)
Note: Reference gives no uplift stn for this item: preparation checked at the meal uplift stn (KUL) - confirm with caterer.</v>
      </c>
      <c r="C43" s="120" t="str">
        <f aca="false">Checks!$N$48&amp;CHAR(10)&amp;IF(ISNUMBER(Checks!$R$48),TEXT(Checks!$R$48,"DD-MMM-YY HH:MM"),"")&amp;" "&amp;Checks!$P$48</f>
        <v>Required
09-Oct-26 09:50 KUL</v>
      </c>
      <c r="D43" s="120" t="str">
        <f aca="false">IF(TRIM(Checks!$U$48)&lt;&gt;"",Checks!$U$48&amp;IF(Checks!$AB$48="","",CHAR(10)&amp;"CA: "&amp;Checks!$AB$48),IF(LEFT(Checks!$AH$48,10)="N/A – RULE","","[ ] Pass"&amp;CHAR(10)&amp;"[ ] Pass after CA"&amp;CHAR(10)&amp;"[ ] Fail"&amp;IF(Checks!$AT$48=1,CHAR(10)&amp;"[ ] N/A","")&amp;CHAR(10)&amp;"CA: Open / Closed"))</f>
        <v>[ ] Pass
[ ] Pass after CA
[ ] Fail
CA: Open / Closed</v>
      </c>
      <c r="E43" s="120" t="str">
        <f aca="false">IF(Checks!$V$48="","",Checks!$V$48)&amp;IF(Checks!$AC$48="","",IF(Checks!$V$48="","",CHAR(10))&amp;"N/A just.: "&amp;Checks!$AC$48)&amp;IF(OR(Checks!$W$48&lt;&gt;"",AND(Checks!$AQ$48=1,NOT(LEFT(Checks!$AH$48,10)="N/A – RULE"))),CHAR(10)&amp;"Batch: "&amp;IF(Checks!$W$48="","____________",Checks!$W$48),"")&amp;IF(OR(Checks!$X$48&lt;&gt;"",Checks!$Y$48&lt;&gt;"",AND(Checks!$AR$48=1,NOT(LEFT(Checks!$AH$48,10)="N/A – RULE"))),CHAR(10)&amp;"Exp: "&amp;IF(Checks!$X$48="","______",Checks!$X$48)&amp;"  /  Act: "&amp;IF(Checks!$Y$48="","______",Checks!$Y$48),"")</f>
        <v/>
      </c>
      <c r="F43" s="120" t="str">
        <f aca="false">IF(AND(LEFT(Checks!$AH$48,10)="N/A – RULE",TRIM(Checks!$S$48&amp;Checks!$Z$48)=""),"","Type: "&amp;IF(TRIM(Checks!$S$48)="","______________ (see cover list)",Checks!$S$48)&amp;CHAR(10)&amp;"ID: "&amp;IF(TRIM(Checks!$Z$48)="","______________ (record's own no.)",Checks!$Z$48))&amp;IF(Checks!$AA$48="","",CHAR(10)&amp;"CA: "&amp;Checks!$AA$48)</f>
        <v>Type: ______________ (see cover list)
ID: ______________ (record's own no.)</v>
      </c>
      <c r="G43" s="120" t="str">
        <f aca="false">IF(AND(LEFT(Checks!$AH$48,10)="N/A – RULE",NOT(ISNUMBER(Checks!$AD$48)),Checks!$AE$48="",Checks!$T$48=""),"","Done: "&amp;IF(ISNUMBER(Checks!$AD$48),TEXT(Checks!$AD$48,"DD-MMM-YY HH:MM"),"____________")&amp;" "&amp;Checks!$P$48&amp;CHAR(10)&amp;"Verifier: "&amp;IF(Checks!$AE$48="","____________",Checks!$AE$48)&amp;CHAR(10)&amp;"PIC: "&amp;IF(Checks!$T$48="","____________",Checks!$T$48))</f>
        <v>Done: ____________ KUL
Verifier: ____________
PIC: ____________</v>
      </c>
      <c r="H43" s="121" t="str">
        <f aca="false">IF(Checks!$AH$48="","",Checks!$AH$48)</f>
        <v>OPEN</v>
      </c>
    </row>
    <row r="44" customFormat="false" ht="114" hidden="false" customHeight="true" outlineLevel="0" collapsed="false">
      <c r="A44" s="120" t="str">
        <f aca="false">Checks!$A$49&amp;CHAR(10)&amp;IF(Checks!$I$49="","",Checks!$I$49&amp;": ")&amp;Checks!$J$49</f>
        <v>F02-T12-10
F&amp;B Linen: Tray cloth - prepared</v>
      </c>
      <c r="B44" s="120" t="str">
        <f aca="false">Checks!$K$49&amp;IF(Checks!$O$49="","",IF(Checks!$K$49="","",CHAR(10))&amp;"Note: "&amp;Checks!$O$49)</f>
        <v>Available (ticked in reference)
Note: Reference gives no uplift stn for this item: preparation checked at the meal uplift stn (KUL) - confirm with caterer.</v>
      </c>
      <c r="C44" s="120" t="str">
        <f aca="false">Checks!$N$49&amp;CHAR(10)&amp;IF(ISNUMBER(Checks!$R$49),TEXT(Checks!$R$49,"DD-MMM-YY HH:MM"),"")&amp;" "&amp;Checks!$P$49</f>
        <v>Required
09-Oct-26 09:50 KUL</v>
      </c>
      <c r="D44" s="120" t="str">
        <f aca="false">IF(TRIM(Checks!$U$49)&lt;&gt;"",Checks!$U$49&amp;IF(Checks!$AB$49="","",CHAR(10)&amp;"CA: "&amp;Checks!$AB$49),IF(LEFT(Checks!$AH$49,10)="N/A – RULE","","[ ] Pass"&amp;CHAR(10)&amp;"[ ] Pass after CA"&amp;CHAR(10)&amp;"[ ] Fail"&amp;IF(Checks!$AT$49=1,CHAR(10)&amp;"[ ] N/A","")&amp;CHAR(10)&amp;"CA: Open / Closed"))</f>
        <v>[ ] Pass
[ ] Pass after CA
[ ] Fail
CA: Open / Closed</v>
      </c>
      <c r="E44" s="120" t="str">
        <f aca="false">IF(Checks!$V$49="","",Checks!$V$49)&amp;IF(Checks!$AC$49="","",IF(Checks!$V$49="","",CHAR(10))&amp;"N/A just.: "&amp;Checks!$AC$49)&amp;IF(OR(Checks!$W$49&lt;&gt;"",AND(Checks!$AQ$49=1,NOT(LEFT(Checks!$AH$49,10)="N/A – RULE"))),CHAR(10)&amp;"Batch: "&amp;IF(Checks!$W$49="","____________",Checks!$W$49),"")&amp;IF(OR(Checks!$X$49&lt;&gt;"",Checks!$Y$49&lt;&gt;"",AND(Checks!$AR$49=1,NOT(LEFT(Checks!$AH$49,10)="N/A – RULE"))),CHAR(10)&amp;"Exp: "&amp;IF(Checks!$X$49="","______",Checks!$X$49)&amp;"  /  Act: "&amp;IF(Checks!$Y$49="","______",Checks!$Y$49),"")</f>
        <v/>
      </c>
      <c r="F44" s="120" t="str">
        <f aca="false">IF(AND(LEFT(Checks!$AH$49,10)="N/A – RULE",TRIM(Checks!$S$49&amp;Checks!$Z$49)=""),"","Type: "&amp;IF(TRIM(Checks!$S$49)="","______________ (see cover list)",Checks!$S$49)&amp;CHAR(10)&amp;"ID: "&amp;IF(TRIM(Checks!$Z$49)="","______________ (record's own no.)",Checks!$Z$49))&amp;IF(Checks!$AA$49="","",CHAR(10)&amp;"CA: "&amp;Checks!$AA$49)</f>
        <v>Type: ______________ (see cover list)
ID: ______________ (record's own no.)</v>
      </c>
      <c r="G44" s="120" t="str">
        <f aca="false">IF(AND(LEFT(Checks!$AH$49,10)="N/A – RULE",NOT(ISNUMBER(Checks!$AD$49)),Checks!$AE$49="",Checks!$T$49=""),"","Done: "&amp;IF(ISNUMBER(Checks!$AD$49),TEXT(Checks!$AD$49,"DD-MMM-YY HH:MM"),"____________")&amp;" "&amp;Checks!$P$49&amp;CHAR(10)&amp;"Verifier: "&amp;IF(Checks!$AE$49="","____________",Checks!$AE$49)&amp;CHAR(10)&amp;"PIC: "&amp;IF(Checks!$T$49="","____________",Checks!$T$49))</f>
        <v>Done: ____________ KUL
Verifier: ____________
PIC: ____________</v>
      </c>
      <c r="H44" s="121" t="str">
        <f aca="false">IF(Checks!$AH$49="","",Checks!$AH$49)</f>
        <v>OPEN</v>
      </c>
    </row>
    <row r="45" customFormat="false" ht="114" hidden="false" customHeight="true" outlineLevel="0" collapsed="false">
      <c r="A45" s="120" t="str">
        <f aca="false">Checks!$A$50&amp;CHAR(10)&amp;IF(Checks!$I$50="","",Checks!$I$50&amp;": ")&amp;Checks!$J$50</f>
        <v>F02-T12-11
F&amp;B Linen: Napkin - prepared</v>
      </c>
      <c r="B45" s="120" t="str">
        <f aca="false">Checks!$K$50&amp;IF(Checks!$O$50="","",IF(Checks!$K$50="","",CHAR(10))&amp;"Note: "&amp;Checks!$O$50)</f>
        <v>Available (ticked in reference)
Note: Reference gives no uplift stn for this item: preparation checked at the meal uplift stn (KUL) - confirm with caterer.</v>
      </c>
      <c r="C45" s="120" t="str">
        <f aca="false">Checks!$N$50&amp;CHAR(10)&amp;IF(ISNUMBER(Checks!$R$50),TEXT(Checks!$R$50,"DD-MMM-YY HH:MM"),"")&amp;" "&amp;Checks!$P$50</f>
        <v>Required
09-Oct-26 09:50 KUL</v>
      </c>
      <c r="D45" s="120" t="str">
        <f aca="false">IF(TRIM(Checks!$U$50)&lt;&gt;"",Checks!$U$50&amp;IF(Checks!$AB$50="","",CHAR(10)&amp;"CA: "&amp;Checks!$AB$50),IF(LEFT(Checks!$AH$50,10)="N/A – RULE","","[ ] Pass"&amp;CHAR(10)&amp;"[ ] Pass after CA"&amp;CHAR(10)&amp;"[ ] Fail"&amp;IF(Checks!$AT$50=1,CHAR(10)&amp;"[ ] N/A","")&amp;CHAR(10)&amp;"CA: Open / Closed"))</f>
        <v>[ ] Pass
[ ] Pass after CA
[ ] Fail
CA: Open / Closed</v>
      </c>
      <c r="E45" s="120" t="str">
        <f aca="false">IF(Checks!$V$50="","",Checks!$V$50)&amp;IF(Checks!$AC$50="","",IF(Checks!$V$50="","",CHAR(10))&amp;"N/A just.: "&amp;Checks!$AC$50)&amp;IF(OR(Checks!$W$50&lt;&gt;"",AND(Checks!$AQ$50=1,NOT(LEFT(Checks!$AH$50,10)="N/A – RULE"))),CHAR(10)&amp;"Batch: "&amp;IF(Checks!$W$50="","____________",Checks!$W$50),"")&amp;IF(OR(Checks!$X$50&lt;&gt;"",Checks!$Y$50&lt;&gt;"",AND(Checks!$AR$50=1,NOT(LEFT(Checks!$AH$50,10)="N/A – RULE"))),CHAR(10)&amp;"Exp: "&amp;IF(Checks!$X$50="","______",Checks!$X$50)&amp;"  /  Act: "&amp;IF(Checks!$Y$50="","______",Checks!$Y$50),"")</f>
        <v/>
      </c>
      <c r="F45" s="120" t="str">
        <f aca="false">IF(AND(LEFT(Checks!$AH$50,10)="N/A – RULE",TRIM(Checks!$S$50&amp;Checks!$Z$50)=""),"","Type: "&amp;IF(TRIM(Checks!$S$50)="","______________ (see cover list)",Checks!$S$50)&amp;CHAR(10)&amp;"ID: "&amp;IF(TRIM(Checks!$Z$50)="","______________ (record's own no.)",Checks!$Z$50))&amp;IF(Checks!$AA$50="","",CHAR(10)&amp;"CA: "&amp;Checks!$AA$50)</f>
        <v>Type: ______________ (see cover list)
ID: ______________ (record's own no.)</v>
      </c>
      <c r="G45" s="120" t="str">
        <f aca="false">IF(AND(LEFT(Checks!$AH$50,10)="N/A – RULE",NOT(ISNUMBER(Checks!$AD$50)),Checks!$AE$50="",Checks!$T$50=""),"","Done: "&amp;IF(ISNUMBER(Checks!$AD$50),TEXT(Checks!$AD$50,"DD-MMM-YY HH:MM"),"____________")&amp;" "&amp;Checks!$P$50&amp;CHAR(10)&amp;"Verifier: "&amp;IF(Checks!$AE$50="","____________",Checks!$AE$50)&amp;CHAR(10)&amp;"PIC: "&amp;IF(Checks!$T$50="","____________",Checks!$T$50))</f>
        <v>Done: ____________ KUL
Verifier: ____________
PIC: ____________</v>
      </c>
      <c r="H45" s="121" t="str">
        <f aca="false">IF(Checks!$AH$50="","",Checks!$AH$50)</f>
        <v>OPEN</v>
      </c>
    </row>
    <row r="46" customFormat="false" ht="279" hidden="false" customHeight="true" outlineLevel="0" collapsed="false">
      <c r="A46" s="120" t="str">
        <f aca="false">Checks!$A$51&amp;CHAR(10)&amp;IF(Checks!$I$51="","",Checks!$I$51&amp;": ")&amp;Checks!$J$51</f>
        <v>F02-T12-12
F&amp;B Linen: Table cloth - prepared</v>
      </c>
      <c r="B46" s="120" t="str">
        <f aca="false">SUBSTITUTE(Checks!$K$51&amp;IF(Checks!$O$51="","",IF(Checks!$K$51="","",CHAR(10))&amp;"Note: "&amp;Checks!$O$51),"note F&amp;B LINEN!B78:C78","the F&amp;B LINEN reference note")</f>
        <v>Available (ticked in reference)
Note: Reference contradicts itself: matrix shows a tick for this sector but the F&amp;B LINEN reference note says table cloth is 'Not Applicable for Domestic/Asean &amp; Regional' (ASEAN). Confirm before loading; if not carried, mark N/A with the confirmation as justification. Reference gives no uplift stn for this item: preparation checked at the meal uplift stn (KUL) - confirm with caterer.</v>
      </c>
      <c r="C46" s="120" t="str">
        <f aca="false">Checks!$N$51&amp;CHAR(10)&amp;IF(ISNUMBER(Checks!$R$51),TEXT(Checks!$R$51,"DD-MMM-YY HH:MM"),"")&amp;" "&amp;Checks!$P$51</f>
        <v>Clarification required
09-Oct-26 09:50 KUL</v>
      </c>
      <c r="D46" s="120" t="str">
        <f aca="false">IF(TRIM(Checks!$U$51)&lt;&gt;"",Checks!$U$51&amp;IF(Checks!$AB$51="","",CHAR(10)&amp;"CA: "&amp;Checks!$AB$51),IF(LEFT(Checks!$AH$51,10)="N/A – RULE","","[ ] Pass"&amp;CHAR(10)&amp;"[ ] Pass after CA"&amp;CHAR(10)&amp;"[ ] Fail"&amp;IF(Checks!$AT$51=1,CHAR(10)&amp;"[ ] N/A","")&amp;CHAR(10)&amp;"CA: Open / Closed"))</f>
        <v>[ ] Pass
[ ] Pass after CA
[ ] Fail
[ ] N/A
CA: Open / Closed</v>
      </c>
      <c r="E46" s="120" t="str">
        <f aca="false">IF(Checks!$V$51="","",Checks!$V$51)&amp;IF(Checks!$AC$51="","",IF(Checks!$V$51="","",CHAR(10))&amp;"N/A just.: "&amp;Checks!$AC$51)&amp;IF(OR(Checks!$W$51&lt;&gt;"",AND(Checks!$AQ$51=1,NOT(LEFT(Checks!$AH$51,10)="N/A – RULE"))),CHAR(10)&amp;"Batch: "&amp;IF(Checks!$W$51="","____________",Checks!$W$51),"")&amp;IF(OR(Checks!$X$51&lt;&gt;"",Checks!$Y$51&lt;&gt;"",AND(Checks!$AR$51=1,NOT(LEFT(Checks!$AH$51,10)="N/A – RULE"))),CHAR(10)&amp;"Exp: "&amp;IF(Checks!$X$51="","______",Checks!$X$51)&amp;"  /  Act: "&amp;IF(Checks!$Y$51="","______",Checks!$Y$51),"")</f>
        <v/>
      </c>
      <c r="F46" s="120" t="str">
        <f aca="false">IF(AND(LEFT(Checks!$AH$51,10)="N/A – RULE",TRIM(Checks!$S$51&amp;Checks!$Z$51)=""),"","Type: "&amp;IF(TRIM(Checks!$S$51)="","______________ (see cover list)",Checks!$S$51)&amp;CHAR(10)&amp;"ID: "&amp;IF(TRIM(Checks!$Z$51)="","______________ (record's own no.)",Checks!$Z$51))&amp;IF(Checks!$AA$51="","",CHAR(10)&amp;"CA: "&amp;Checks!$AA$51)</f>
        <v>Type: ______________ (see cover list)
ID: ______________ (record's own no.)</v>
      </c>
      <c r="G46" s="120" t="str">
        <f aca="false">IF(AND(LEFT(Checks!$AH$51,10)="N/A – RULE",NOT(ISNUMBER(Checks!$AD$51)),Checks!$AE$51="",Checks!$T$51=""),"","Done: "&amp;IF(ISNUMBER(Checks!$AD$51),TEXT(Checks!$AD$51,"DD-MMM-YY HH:MM"),"____________")&amp;" "&amp;Checks!$P$51&amp;CHAR(10)&amp;"Verifier: "&amp;IF(Checks!$AE$51="","____________",Checks!$AE$51)&amp;CHAR(10)&amp;"PIC: "&amp;IF(Checks!$T$51="","____________",Checks!$T$51))</f>
        <v>Done: ____________ KUL
Verifier: ____________
PIC: ____________</v>
      </c>
      <c r="H46" s="121" t="str">
        <f aca="false">IF(Checks!$AH$51="","",Checks!$AH$51)</f>
        <v>OPEN – CLARIFICATION</v>
      </c>
    </row>
    <row r="47" customFormat="false" ht="279" hidden="false" customHeight="true" outlineLevel="0" collapsed="false">
      <c r="A47" s="120" t="str">
        <f aca="false">Checks!$A$52&amp;CHAR(10)&amp;IF(Checks!$I$52="","",Checks!$I$52&amp;": ")&amp;Checks!$J$52</f>
        <v>F02-T12-13
F&amp;B Linen: Bread linen (using table cloth) - prepared</v>
      </c>
      <c r="B47" s="120" t="str">
        <f aca="false">SUBSTITUTE(Checks!$K$52&amp;IF(Checks!$O$52="","",IF(Checks!$K$52="","",CHAR(10))&amp;"Note: "&amp;Checks!$O$52),"note F&amp;B LINEN!B78:C78","the F&amp;B LINEN reference note")</f>
        <v>Available (ticked in reference)
Note: Reference contradicts itself: matrix shows a tick for this sector but the F&amp;B LINEN reference note says table cloth is 'Not Applicable for Domestic/Asean &amp; Regional' (ASEAN). Confirm before loading; if not carried, mark N/A with the confirmation as justification. Reference gives no uplift stn for this item: preparation checked at the meal uplift stn (KUL) - confirm with caterer.</v>
      </c>
      <c r="C47" s="120" t="str">
        <f aca="false">Checks!$N$52&amp;CHAR(10)&amp;IF(ISNUMBER(Checks!$R$52),TEXT(Checks!$R$52,"DD-MMM-YY HH:MM"),"")&amp;" "&amp;Checks!$P$52</f>
        <v>Clarification required
09-Oct-26 09:50 KUL</v>
      </c>
      <c r="D47" s="120" t="str">
        <f aca="false">IF(TRIM(Checks!$U$52)&lt;&gt;"",Checks!$U$52&amp;IF(Checks!$AB$52="","",CHAR(10)&amp;"CA: "&amp;Checks!$AB$52),IF(LEFT(Checks!$AH$52,10)="N/A – RULE","","[ ] Pass"&amp;CHAR(10)&amp;"[ ] Pass after CA"&amp;CHAR(10)&amp;"[ ] Fail"&amp;IF(Checks!$AT$52=1,CHAR(10)&amp;"[ ] N/A","")&amp;CHAR(10)&amp;"CA: Open / Closed"))</f>
        <v>[ ] Pass
[ ] Pass after CA
[ ] Fail
[ ] N/A
CA: Open / Closed</v>
      </c>
      <c r="E47" s="120" t="str">
        <f aca="false">IF(Checks!$V$52="","",Checks!$V$52)&amp;IF(Checks!$AC$52="","",IF(Checks!$V$52="","",CHAR(10))&amp;"N/A just.: "&amp;Checks!$AC$52)&amp;IF(OR(Checks!$W$52&lt;&gt;"",AND(Checks!$AQ$52=1,NOT(LEFT(Checks!$AH$52,10)="N/A – RULE"))),CHAR(10)&amp;"Batch: "&amp;IF(Checks!$W$52="","____________",Checks!$W$52),"")&amp;IF(OR(Checks!$X$52&lt;&gt;"",Checks!$Y$52&lt;&gt;"",AND(Checks!$AR$52=1,NOT(LEFT(Checks!$AH$52,10)="N/A – RULE"))),CHAR(10)&amp;"Exp: "&amp;IF(Checks!$X$52="","______",Checks!$X$52)&amp;"  /  Act: "&amp;IF(Checks!$Y$52="","______",Checks!$Y$52),"")</f>
        <v/>
      </c>
      <c r="F47" s="120" t="str">
        <f aca="false">IF(AND(LEFT(Checks!$AH$52,10)="N/A – RULE",TRIM(Checks!$S$52&amp;Checks!$Z$52)=""),"","Type: "&amp;IF(TRIM(Checks!$S$52)="","______________ (see cover list)",Checks!$S$52)&amp;CHAR(10)&amp;"ID: "&amp;IF(TRIM(Checks!$Z$52)="","______________ (record's own no.)",Checks!$Z$52))&amp;IF(Checks!$AA$52="","",CHAR(10)&amp;"CA: "&amp;Checks!$AA$52)</f>
        <v>Type: ______________ (see cover list)
ID: ______________ (record's own no.)</v>
      </c>
      <c r="G47" s="120" t="str">
        <f aca="false">IF(AND(LEFT(Checks!$AH$52,10)="N/A – RULE",NOT(ISNUMBER(Checks!$AD$52)),Checks!$AE$52="",Checks!$T$52=""),"","Done: "&amp;IF(ISNUMBER(Checks!$AD$52),TEXT(Checks!$AD$52,"DD-MMM-YY HH:MM"),"____________")&amp;" "&amp;Checks!$P$52&amp;CHAR(10)&amp;"Verifier: "&amp;IF(Checks!$AE$52="","____________",Checks!$AE$52)&amp;CHAR(10)&amp;"PIC: "&amp;IF(Checks!$T$52="","____________",Checks!$T$52))</f>
        <v>Done: ____________ KUL
Verifier: ____________
PIC: ____________</v>
      </c>
      <c r="H47" s="121" t="str">
        <f aca="false">IF(Checks!$AH$52="","",Checks!$AH$52)</f>
        <v>OPEN – CLARIFICATION</v>
      </c>
    </row>
    <row r="48" customFormat="false" ht="124.5" hidden="false" customHeight="true" outlineLevel="0" collapsed="false">
      <c r="A48" s="120" t="str">
        <f aca="false">Checks!$A$53&amp;CHAR(10)&amp;IF(Checks!$I$53="","",Checks!$I$53&amp;": ")&amp;Checks!$J$53</f>
        <v>F02-T12-14
F&amp;B Linen: Trolley cloth - prepared</v>
      </c>
      <c r="B48" s="120" t="str">
        <f aca="false">SUBSTITUTE(SUBSTITUTE(Checks!$K$53&amp;IF(Checks!$O$53="","",IF(Checks!$K$53="","",CHAR(10))&amp;"Note: "&amp;Checks!$O$53),"Per note F&amp;B LINEN!B79:C80.","Per the F&amp;B LINEN reference note."),"note F&amp;B LINEN!B79:C80","the F&amp;B LINEN reference note")</f>
        <v>Narrow body: Top only
Note: Per the F&amp;B LINEN reference note. Reference gives no uplift stn for this item: preparation checked at the meal uplift stn (KUL) - confirm with caterer.</v>
      </c>
      <c r="C48" s="120" t="str">
        <f aca="false">Checks!$N$53&amp;CHAR(10)&amp;IF(ISNUMBER(Checks!$R$53),TEXT(Checks!$R$53,"DD-MMM-YY HH:MM"),"")&amp;" "&amp;Checks!$P$53</f>
        <v>Required
09-Oct-26 09:50 KUL</v>
      </c>
      <c r="D48" s="120" t="str">
        <f aca="false">IF(TRIM(Checks!$U$53)&lt;&gt;"",Checks!$U$53&amp;IF(Checks!$AB$53="","",CHAR(10)&amp;"CA: "&amp;Checks!$AB$53),IF(LEFT(Checks!$AH$53,10)="N/A – RULE","","[ ] Pass"&amp;CHAR(10)&amp;"[ ] Pass after CA"&amp;CHAR(10)&amp;"[ ] Fail"&amp;IF(Checks!$AT$53=1,CHAR(10)&amp;"[ ] N/A","")&amp;CHAR(10)&amp;"CA: Open / Closed"))</f>
        <v>[ ] Pass
[ ] Pass after CA
[ ] Fail
CA: Open / Closed</v>
      </c>
      <c r="E48" s="120" t="str">
        <f aca="false">IF(Checks!$V$53="","",Checks!$V$53)&amp;IF(Checks!$AC$53="","",IF(Checks!$V$53="","",CHAR(10))&amp;"N/A just.: "&amp;Checks!$AC$53)&amp;IF(OR(Checks!$W$53&lt;&gt;"",AND(Checks!$AQ$53=1,NOT(LEFT(Checks!$AH$53,10)="N/A – RULE"))),CHAR(10)&amp;"Batch: "&amp;IF(Checks!$W$53="","____________",Checks!$W$53),"")&amp;IF(OR(Checks!$X$53&lt;&gt;"",Checks!$Y$53&lt;&gt;"",AND(Checks!$AR$53=1,NOT(LEFT(Checks!$AH$53,10)="N/A – RULE"))),CHAR(10)&amp;"Exp: "&amp;IF(Checks!$X$53="","______",Checks!$X$53)&amp;"  /  Act: "&amp;IF(Checks!$Y$53="","______",Checks!$Y$53),"")</f>
        <v/>
      </c>
      <c r="F48" s="120" t="str">
        <f aca="false">IF(AND(LEFT(Checks!$AH$53,10)="N/A – RULE",TRIM(Checks!$S$53&amp;Checks!$Z$53)=""),"","Type: "&amp;IF(TRIM(Checks!$S$53)="","______________ (see cover list)",Checks!$S$53)&amp;CHAR(10)&amp;"ID: "&amp;IF(TRIM(Checks!$Z$53)="","______________ (record's own no.)",Checks!$Z$53))&amp;IF(Checks!$AA$53="","",CHAR(10)&amp;"CA: "&amp;Checks!$AA$53)</f>
        <v>Type: ______________ (see cover list)
ID: ______________ (record's own no.)</v>
      </c>
      <c r="G48" s="120" t="str">
        <f aca="false">IF(AND(LEFT(Checks!$AH$53,10)="N/A – RULE",NOT(ISNUMBER(Checks!$AD$53)),Checks!$AE$53="",Checks!$T$53=""),"","Done: "&amp;IF(ISNUMBER(Checks!$AD$53),TEXT(Checks!$AD$53,"DD-MMM-YY HH:MM"),"____________")&amp;" "&amp;Checks!$P$53&amp;CHAR(10)&amp;"Verifier: "&amp;IF(Checks!$AE$53="","____________",Checks!$AE$53)&amp;CHAR(10)&amp;"PIC: "&amp;IF(Checks!$T$53="","____________",Checks!$T$53))</f>
        <v>Done: ____________ KUL
Verifier: ____________
PIC: ____________</v>
      </c>
      <c r="H48" s="121" t="str">
        <f aca="false">IF(Checks!$AH$53="","",Checks!$AH$53)</f>
        <v>OPEN</v>
      </c>
    </row>
    <row r="49" customFormat="false" ht="114" hidden="false" customHeight="true" outlineLevel="0" collapsed="false">
      <c r="A49" s="120" t="str">
        <f aca="false">Checks!$A$54&amp;CHAR(10)&amp;IF(Checks!$I$54="","",Checks!$I$54&amp;": ")&amp;Checks!$J$54</f>
        <v>F02-T12-15
F&amp;B Linen: Linen bag - prepared</v>
      </c>
      <c r="B49" s="120" t="str">
        <f aca="false">Checks!$K$54&amp;IF(Checks!$O$54="","",IF(Checks!$K$54="","",CHAR(10))&amp;"Note: "&amp;Checks!$O$54)</f>
        <v>Available (ticked in reference)
Note: Reference gives no uplift stn for this item: preparation checked at the meal uplift stn (KUL) - confirm with caterer.</v>
      </c>
      <c r="C49" s="120" t="str">
        <f aca="false">Checks!$N$54&amp;CHAR(10)&amp;IF(ISNUMBER(Checks!$R$54),TEXT(Checks!$R$54,"DD-MMM-YY HH:MM"),"")&amp;" "&amp;Checks!$P$54</f>
        <v>Required
09-Oct-26 09:50 KUL</v>
      </c>
      <c r="D49" s="120" t="str">
        <f aca="false">IF(TRIM(Checks!$U$54)&lt;&gt;"",Checks!$U$54&amp;IF(Checks!$AB$54="","",CHAR(10)&amp;"CA: "&amp;Checks!$AB$54),IF(LEFT(Checks!$AH$54,10)="N/A – RULE","","[ ] Pass"&amp;CHAR(10)&amp;"[ ] Pass after CA"&amp;CHAR(10)&amp;"[ ] Fail"&amp;IF(Checks!$AT$54=1,CHAR(10)&amp;"[ ] N/A","")&amp;CHAR(10)&amp;"CA: Open / Closed"))</f>
        <v>[ ] Pass
[ ] Pass after CA
[ ] Fail
CA: Open / Closed</v>
      </c>
      <c r="E49" s="120" t="str">
        <f aca="false">IF(Checks!$V$54="","",Checks!$V$54)&amp;IF(Checks!$AC$54="","",IF(Checks!$V$54="","",CHAR(10))&amp;"N/A just.: "&amp;Checks!$AC$54)&amp;IF(OR(Checks!$W$54&lt;&gt;"",AND(Checks!$AQ$54=1,NOT(LEFT(Checks!$AH$54,10)="N/A – RULE"))),CHAR(10)&amp;"Batch: "&amp;IF(Checks!$W$54="","____________",Checks!$W$54),"")&amp;IF(OR(Checks!$X$54&lt;&gt;"",Checks!$Y$54&lt;&gt;"",AND(Checks!$AR$54=1,NOT(LEFT(Checks!$AH$54,10)="N/A – RULE"))),CHAR(10)&amp;"Exp: "&amp;IF(Checks!$X$54="","______",Checks!$X$54)&amp;"  /  Act: "&amp;IF(Checks!$Y$54="","______",Checks!$Y$54),"")</f>
        <v/>
      </c>
      <c r="F49" s="120" t="str">
        <f aca="false">IF(AND(LEFT(Checks!$AH$54,10)="N/A – RULE",TRIM(Checks!$S$54&amp;Checks!$Z$54)=""),"","Type: "&amp;IF(TRIM(Checks!$S$54)="","______________ (see cover list)",Checks!$S$54)&amp;CHAR(10)&amp;"ID: "&amp;IF(TRIM(Checks!$Z$54)="","______________ (record's own no.)",Checks!$Z$54))&amp;IF(Checks!$AA$54="","",CHAR(10)&amp;"CA: "&amp;Checks!$AA$54)</f>
        <v>Type: ______________ (see cover list)
ID: ______________ (record's own no.)</v>
      </c>
      <c r="G49" s="120" t="str">
        <f aca="false">IF(AND(LEFT(Checks!$AH$54,10)="N/A – RULE",NOT(ISNUMBER(Checks!$AD$54)),Checks!$AE$54="",Checks!$T$54=""),"","Done: "&amp;IF(ISNUMBER(Checks!$AD$54),TEXT(Checks!$AD$54,"DD-MMM-YY HH:MM"),"____________")&amp;" "&amp;Checks!$P$54&amp;CHAR(10)&amp;"Verifier: "&amp;IF(Checks!$AE$54="","____________",Checks!$AE$54)&amp;CHAR(10)&amp;"PIC: "&amp;IF(Checks!$T$54="","____________",Checks!$T$54))</f>
        <v>Done: ____________ KUL
Verifier: ____________
PIC: ____________</v>
      </c>
      <c r="H49" s="121" t="str">
        <f aca="false">IF(Checks!$AH$54="","",Checks!$AH$54)</f>
        <v>OPEN</v>
      </c>
    </row>
    <row r="50" customFormat="false" ht="114" hidden="false" customHeight="true" outlineLevel="0" collapsed="false">
      <c r="A50" s="120" t="str">
        <f aca="false">Checks!$A$55&amp;CHAR(10)&amp;IF(Checks!$I$55="","",Checks!$I$55&amp;": ")&amp;Checks!$J$55</f>
        <v>F02-T12-16
Seat Linen: Seat pillow (BS &amp; BC) - prepared</v>
      </c>
      <c r="B50" s="120" t="str">
        <f aca="false">Checks!$K$55&amp;IF(Checks!$O$55="","",IF(Checks!$K$55="","",CHAR(10))&amp;"Note: "&amp;Checks!$O$55)</f>
        <v>Available 100% (ticked in reference)
Note: Reference gives no uplift stn for this item: preparation checked at the meal uplift stn (KUL) - confirm with caterer.</v>
      </c>
      <c r="C50" s="120" t="str">
        <f aca="false">Checks!$N$55&amp;CHAR(10)&amp;IF(ISNUMBER(Checks!$R$55),TEXT(Checks!$R$55,"DD-MMM-YY HH:MM"),"")&amp;" "&amp;Checks!$P$55</f>
        <v>Required
09-Oct-26 09:50 KUL</v>
      </c>
      <c r="D50" s="120" t="str">
        <f aca="false">IF(TRIM(Checks!$U$55)&lt;&gt;"",Checks!$U$55&amp;IF(Checks!$AB$55="","",CHAR(10)&amp;"CA: "&amp;Checks!$AB$55),IF(LEFT(Checks!$AH$55,10)="N/A – RULE","","[ ] Pass"&amp;CHAR(10)&amp;"[ ] Pass after CA"&amp;CHAR(10)&amp;"[ ] Fail"&amp;IF(Checks!$AT$55=1,CHAR(10)&amp;"[ ] N/A","")&amp;CHAR(10)&amp;"CA: Open / Closed"))</f>
        <v>[ ] Pass
[ ] Pass after CA
[ ] Fail
CA: Open / Closed</v>
      </c>
      <c r="E50" s="120" t="str">
        <f aca="false">IF(Checks!$V$55="","",Checks!$V$55)&amp;IF(Checks!$AC$55="","",IF(Checks!$V$55="","",CHAR(10))&amp;"N/A just.: "&amp;Checks!$AC$55)&amp;IF(OR(Checks!$W$55&lt;&gt;"",AND(Checks!$AQ$55=1,NOT(LEFT(Checks!$AH$55,10)="N/A – RULE"))),CHAR(10)&amp;"Batch: "&amp;IF(Checks!$W$55="","____________",Checks!$W$55),"")&amp;IF(OR(Checks!$X$55&lt;&gt;"",Checks!$Y$55&lt;&gt;"",AND(Checks!$AR$55=1,NOT(LEFT(Checks!$AH$55,10)="N/A – RULE"))),CHAR(10)&amp;"Exp: "&amp;IF(Checks!$X$55="","______",Checks!$X$55)&amp;"  /  Act: "&amp;IF(Checks!$Y$55="","______",Checks!$Y$55),"")</f>
        <v/>
      </c>
      <c r="F50" s="120" t="str">
        <f aca="false">IF(AND(LEFT(Checks!$AH$55,10)="N/A – RULE",TRIM(Checks!$S$55&amp;Checks!$Z$55)=""),"","Type: "&amp;IF(TRIM(Checks!$S$55)="","______________ (see cover list)",Checks!$S$55)&amp;CHAR(10)&amp;"ID: "&amp;IF(TRIM(Checks!$Z$55)="","______________ (record's own no.)",Checks!$Z$55))&amp;IF(Checks!$AA$55="","",CHAR(10)&amp;"CA: "&amp;Checks!$AA$55)</f>
        <v>Type: ______________ (see cover list)
ID: ______________ (record's own no.)</v>
      </c>
      <c r="G50" s="120" t="str">
        <f aca="false">IF(AND(LEFT(Checks!$AH$55,10)="N/A – RULE",NOT(ISNUMBER(Checks!$AD$55)),Checks!$AE$55="",Checks!$T$55=""),"","Done: "&amp;IF(ISNUMBER(Checks!$AD$55),TEXT(Checks!$AD$55,"DD-MMM-YY HH:MM"),"____________")&amp;" "&amp;Checks!$P$55&amp;CHAR(10)&amp;"Verifier: "&amp;IF(Checks!$AE$55="","____________",Checks!$AE$55)&amp;CHAR(10)&amp;"PIC: "&amp;IF(Checks!$T$55="","____________",Checks!$T$55))</f>
        <v>Done: ____________ KUL
Verifier: ____________
PIC: ____________</v>
      </c>
      <c r="H50" s="121" t="str">
        <f aca="false">IF(Checks!$AH$55="","",Checks!$AH$55)</f>
        <v>OPEN</v>
      </c>
    </row>
    <row r="51" customFormat="false" ht="114" hidden="false" customHeight="true" outlineLevel="0" collapsed="false">
      <c r="A51" s="120" t="str">
        <f aca="false">Checks!$A$56&amp;CHAR(10)&amp;IF(Checks!$I$56="","",Checks!$I$56&amp;": ")&amp;Checks!$J$56</f>
        <v>F02-T12-17
Seat Linen: Blanket (BS &amp; BC) - prepared</v>
      </c>
      <c r="B51" s="120" t="str">
        <f aca="false">Checks!$K$56&amp;IF(Checks!$O$56="","",IF(Checks!$K$56="","",CHAR(10))&amp;"Note: "&amp;Checks!$O$56)</f>
        <v>Available 100% (ticked in reference)
Note: Reference gives no uplift stn for this item: preparation checked at the meal uplift stn (KUL) - confirm with caterer.</v>
      </c>
      <c r="C51" s="120" t="str">
        <f aca="false">Checks!$N$56&amp;CHAR(10)&amp;IF(ISNUMBER(Checks!$R$56),TEXT(Checks!$R$56,"DD-MMM-YY HH:MM"),"")&amp;" "&amp;Checks!$P$56</f>
        <v>Required
09-Oct-26 09:50 KUL</v>
      </c>
      <c r="D51" s="120" t="str">
        <f aca="false">IF(TRIM(Checks!$U$56)&lt;&gt;"",Checks!$U$56&amp;IF(Checks!$AB$56="","",CHAR(10)&amp;"CA: "&amp;Checks!$AB$56),IF(LEFT(Checks!$AH$56,10)="N/A – RULE","","[ ] Pass"&amp;CHAR(10)&amp;"[ ] Pass after CA"&amp;CHAR(10)&amp;"[ ] Fail"&amp;IF(Checks!$AT$56=1,CHAR(10)&amp;"[ ] N/A","")&amp;CHAR(10)&amp;"CA: Open / Closed"))</f>
        <v>[ ] Pass
[ ] Pass after CA
[ ] Fail
CA: Open / Closed</v>
      </c>
      <c r="E51" s="120" t="str">
        <f aca="false">IF(Checks!$V$56="","",Checks!$V$56)&amp;IF(Checks!$AC$56="","",IF(Checks!$V$56="","",CHAR(10))&amp;"N/A just.: "&amp;Checks!$AC$56)&amp;IF(OR(Checks!$W$56&lt;&gt;"",AND(Checks!$AQ$56=1,NOT(LEFT(Checks!$AH$56,10)="N/A – RULE"))),CHAR(10)&amp;"Batch: "&amp;IF(Checks!$W$56="","____________",Checks!$W$56),"")&amp;IF(OR(Checks!$X$56&lt;&gt;"",Checks!$Y$56&lt;&gt;"",AND(Checks!$AR$56=1,NOT(LEFT(Checks!$AH$56,10)="N/A – RULE"))),CHAR(10)&amp;"Exp: "&amp;IF(Checks!$X$56="","______",Checks!$X$56)&amp;"  /  Act: "&amp;IF(Checks!$Y$56="","______",Checks!$Y$56),"")</f>
        <v/>
      </c>
      <c r="F51" s="120" t="str">
        <f aca="false">IF(AND(LEFT(Checks!$AH$56,10)="N/A – RULE",TRIM(Checks!$S$56&amp;Checks!$Z$56)=""),"","Type: "&amp;IF(TRIM(Checks!$S$56)="","______________ (see cover list)",Checks!$S$56)&amp;CHAR(10)&amp;"ID: "&amp;IF(TRIM(Checks!$Z$56)="","______________ (record's own no.)",Checks!$Z$56))&amp;IF(Checks!$AA$56="","",CHAR(10)&amp;"CA: "&amp;Checks!$AA$56)</f>
        <v>Type: ______________ (see cover list)
ID: ______________ (record's own no.)</v>
      </c>
      <c r="G51" s="120" t="str">
        <f aca="false">IF(AND(LEFT(Checks!$AH$56,10)="N/A – RULE",NOT(ISNUMBER(Checks!$AD$56)),Checks!$AE$56="",Checks!$T$56=""),"","Done: "&amp;IF(ISNUMBER(Checks!$AD$56),TEXT(Checks!$AD$56,"DD-MMM-YY HH:MM"),"____________")&amp;" "&amp;Checks!$P$56&amp;CHAR(10)&amp;"Verifier: "&amp;IF(Checks!$AE$56="","____________",Checks!$AE$56)&amp;CHAR(10)&amp;"PIC: "&amp;IF(Checks!$T$56="","____________",Checks!$T$56))</f>
        <v>Done: ____________ KUL
Verifier: ____________
PIC: ____________</v>
      </c>
      <c r="H51" s="121" t="str">
        <f aca="false">IF(Checks!$AH$56="","",Checks!$AH$56)</f>
        <v>OPEN</v>
      </c>
    </row>
    <row r="52" customFormat="false" ht="25.5" hidden="false" customHeight="true" outlineLevel="0" collapsed="false">
      <c r="A52" s="119" t="str">
        <f aca="false">"UPLIFT — Physical uplift – on-board confirmation before departure  |  Due "&amp;"STD "&amp;IF(ISNUMBER(Flights!$I$6),TEXT(Flights!$I$6,"DD-MMM-YY HH:MM"),"")&amp;" "&amp;Flights!$G$6&amp;" (departure stn)"&amp;" (rows with another due show their own)  |  Complete "&amp;IF(ISNUMBER(Flights!$AM$6),TEXT(Flights!$AM$6,"0%"),Flights!$AM$6)&amp;"  |  12 lines"</f>
        <v>UPLIFT — Physical uplift – on-board confirmation before departure  |  Due STD 09-Oct-26 21:50 KUL (departure stn) (rows with another due show their own)  |  Complete 0%  |  12 lines</v>
      </c>
      <c r="B52" s="119"/>
      <c r="C52" s="119"/>
      <c r="D52" s="119"/>
      <c r="E52" s="119"/>
      <c r="F52" s="119"/>
      <c r="G52" s="119"/>
      <c r="H52" s="119"/>
    </row>
    <row r="53" customFormat="false" ht="114" hidden="false" customHeight="true" outlineLevel="0" collapsed="false">
      <c r="A53" s="120" t="str">
        <f aca="false">Checks!$A$57&amp;CHAR(10)&amp;IF(Checks!$I$57="","",Checks!$I$57&amp;": ")&amp;Checks!$J$57</f>
        <v>F02-UPL-01
Meal: Meals physically uplifted on board - quantity vs menu checklist</v>
      </c>
      <c r="B53" s="120" t="str">
        <f aca="false">Checks!$K$57&amp;IF(Checks!$O$57="","",IF(Checks!$K$57="","",CHAR(10))&amp;"Note: "&amp;Checks!$O$57)</f>
        <v>Enter expected &amp; actual
Note: Confirm on board before departure; completion time must fall inside the uplift window.</v>
      </c>
      <c r="C53" s="120" t="str">
        <f aca="false">Checks!$N$57&amp;CHAR(10)&amp;IF(ISNUMBER(Checks!$R$57),TEXT(Checks!$R$57,"DD-MMM-YY HH:MM"),"")&amp;" "&amp;Checks!$P$57</f>
        <v>Required
09-Oct-26 21:50 KUL</v>
      </c>
      <c r="D53" s="120" t="str">
        <f aca="false">IF(TRIM(Checks!$U$57)&lt;&gt;"",Checks!$U$57&amp;IF(Checks!$AB$57="","",CHAR(10)&amp;"CA: "&amp;Checks!$AB$57),IF(LEFT(Checks!$AH$57,10)="N/A – RULE","","[ ] Pass"&amp;CHAR(10)&amp;"[ ] Pass after CA"&amp;CHAR(10)&amp;"[ ] Fail"&amp;IF(Checks!$AT$57=1,CHAR(10)&amp;"[ ] N/A","")&amp;CHAR(10)&amp;"CA: Open / Closed"))</f>
        <v>[ ] Pass
[ ] Pass after CA
[ ] Fail
CA: Open / Closed</v>
      </c>
      <c r="E53" s="120" t="str">
        <f aca="false">IF(Checks!$V$57="","",Checks!$V$57)&amp;IF(Checks!$AC$57="","",IF(Checks!$V$57="","",CHAR(10))&amp;"N/A just.: "&amp;Checks!$AC$57)&amp;IF(OR(Checks!$W$57&lt;&gt;"",AND(Checks!$AQ$57=1,NOT(LEFT(Checks!$AH$57,10)="N/A – RULE"))),CHAR(10)&amp;"Batch: "&amp;IF(Checks!$W$57="","____________",Checks!$W$57),"")&amp;IF(OR(Checks!$X$57&lt;&gt;"",Checks!$Y$57&lt;&gt;"",AND(Checks!$AR$57=1,NOT(LEFT(Checks!$AH$57,10)="N/A – RULE"))),CHAR(10)&amp;"Exp: "&amp;IF(Checks!$X$57="","______",Checks!$X$57)&amp;"  /  Act: "&amp;IF(Checks!$Y$57="","______",Checks!$Y$57),"")</f>
        <v>
Exp: ______  /  Act: ______</v>
      </c>
      <c r="F53" s="120" t="str">
        <f aca="false">IF(AND(LEFT(Checks!$AH$57,10)="N/A – RULE",TRIM(Checks!$S$57&amp;Checks!$Z$57)=""),"","Type: "&amp;IF(TRIM(Checks!$S$57)="","______________ (see cover list)",Checks!$S$57)&amp;CHAR(10)&amp;"ID: "&amp;IF(TRIM(Checks!$Z$57)="","______________ (record's own no.)",Checks!$Z$57))&amp;IF(Checks!$AA$57="","",CHAR(10)&amp;"CA: "&amp;Checks!$AA$57)</f>
        <v>Type: ______________ (see cover list)
ID: ______________ (record's own no.)</v>
      </c>
      <c r="G53" s="120" t="str">
        <f aca="false">IF(AND(LEFT(Checks!$AH$57,10)="N/A – RULE",NOT(ISNUMBER(Checks!$AD$57)),Checks!$AE$57="",Checks!$T$57=""),"","Done: "&amp;IF(ISNUMBER(Checks!$AD$57),TEXT(Checks!$AD$57,"DD-MMM-YY HH:MM"),"____________")&amp;" "&amp;Checks!$P$57&amp;CHAR(10)&amp;"Verifier: "&amp;IF(Checks!$AE$57="","____________",Checks!$AE$57)&amp;CHAR(10)&amp;"PIC: "&amp;IF(Checks!$T$57="","____________",Checks!$T$57))</f>
        <v>Done: ____________ KUL
Verifier: ____________
PIC: ____________</v>
      </c>
      <c r="H53" s="121" t="str">
        <f aca="false">IF(Checks!$AH$57="","",Checks!$AH$57)</f>
        <v>OPEN</v>
      </c>
    </row>
    <row r="54" customFormat="false" ht="114" hidden="false" customHeight="true" outlineLevel="0" collapsed="false">
      <c r="A54" s="120" t="str">
        <f aca="false">Checks!$A$58&amp;CHAR(10)&amp;IF(Checks!$I$58="","",Checks!$I$58&amp;": ")&amp;Checks!$J$58</f>
        <v>F02-UPL-02
Equipment: Equipment physically loaded at GLD positions - quantity &amp; positions</v>
      </c>
      <c r="B54" s="120" t="str">
        <f aca="false">Checks!$K$58&amp;IF(Checks!$O$58="","",IF(Checks!$K$58="","",CHAR(10))&amp;"Note: "&amp;Checks!$O$58)</f>
        <v>Enter expected &amp; actual
Note: Confirm on board before departure; completion time must fall inside the uplift window.</v>
      </c>
      <c r="C54" s="120" t="str">
        <f aca="false">Checks!$N$58&amp;CHAR(10)&amp;IF(ISNUMBER(Checks!$R$58),TEXT(Checks!$R$58,"DD-MMM-YY HH:MM"),"")&amp;" "&amp;Checks!$P$58</f>
        <v>Required
09-Oct-26 21:50 KUL</v>
      </c>
      <c r="D54" s="120" t="str">
        <f aca="false">IF(TRIM(Checks!$U$58)&lt;&gt;"",Checks!$U$58&amp;IF(Checks!$AB$58="","",CHAR(10)&amp;"CA: "&amp;Checks!$AB$58),IF(LEFT(Checks!$AH$58,10)="N/A – RULE","","[ ] Pass"&amp;CHAR(10)&amp;"[ ] Pass after CA"&amp;CHAR(10)&amp;"[ ] Fail"&amp;IF(Checks!$AT$58=1,CHAR(10)&amp;"[ ] N/A","")&amp;CHAR(10)&amp;"CA: Open / Closed"))</f>
        <v>[ ] Pass
[ ] Pass after CA
[ ] Fail
CA: Open / Closed</v>
      </c>
      <c r="E54" s="120" t="str">
        <f aca="false">IF(Checks!$V$58="","",Checks!$V$58)&amp;IF(Checks!$AC$58="","",IF(Checks!$V$58="","",CHAR(10))&amp;"N/A just.: "&amp;Checks!$AC$58)&amp;IF(OR(Checks!$W$58&lt;&gt;"",AND(Checks!$AQ$58=1,NOT(LEFT(Checks!$AH$58,10)="N/A – RULE"))),CHAR(10)&amp;"Batch: "&amp;IF(Checks!$W$58="","____________",Checks!$W$58),"")&amp;IF(OR(Checks!$X$58&lt;&gt;"",Checks!$Y$58&lt;&gt;"",AND(Checks!$AR$58=1,NOT(LEFT(Checks!$AH$58,10)="N/A – RULE"))),CHAR(10)&amp;"Exp: "&amp;IF(Checks!$X$58="","______",Checks!$X$58)&amp;"  /  Act: "&amp;IF(Checks!$Y$58="","______",Checks!$Y$58),"")</f>
        <v>
Exp: ______  /  Act: ______</v>
      </c>
      <c r="F54" s="120" t="str">
        <f aca="false">IF(AND(LEFT(Checks!$AH$58,10)="N/A – RULE",TRIM(Checks!$S$58&amp;Checks!$Z$58)=""),"","Type: "&amp;IF(TRIM(Checks!$S$58)="","______________ (see cover list)",Checks!$S$58)&amp;CHAR(10)&amp;"ID: "&amp;IF(TRIM(Checks!$Z$58)="","______________ (record's own no.)",Checks!$Z$58))&amp;IF(Checks!$AA$58="","",CHAR(10)&amp;"CA: "&amp;Checks!$AA$58)</f>
        <v>Type: ______________ (see cover list)
ID: ______________ (record's own no.)</v>
      </c>
      <c r="G54" s="120" t="str">
        <f aca="false">IF(AND(LEFT(Checks!$AH$58,10)="N/A – RULE",NOT(ISNUMBER(Checks!$AD$58)),Checks!$AE$58="",Checks!$T$58=""),"","Done: "&amp;IF(ISNUMBER(Checks!$AD$58),TEXT(Checks!$AD$58,"DD-MMM-YY HH:MM"),"____________")&amp;" "&amp;Checks!$P$58&amp;CHAR(10)&amp;"Verifier: "&amp;IF(Checks!$AE$58="","____________",Checks!$AE$58)&amp;CHAR(10)&amp;"PIC: "&amp;IF(Checks!$T$58="","____________",Checks!$T$58))</f>
        <v>Done: ____________ KUL
Verifier: ____________
PIC: ____________</v>
      </c>
      <c r="H54" s="121" t="str">
        <f aca="false">IF(Checks!$AH$58="","",Checks!$AH$58)</f>
        <v>OPEN</v>
      </c>
    </row>
    <row r="55" customFormat="false" ht="114" hidden="false" customHeight="true" outlineLevel="0" collapsed="false">
      <c r="A55" s="120" t="str">
        <f aca="false">Checks!$A$59&amp;CHAR(10)&amp;IF(Checks!$I$59="","",Checks!$I$59&amp;": ")&amp;Checks!$J$59</f>
        <v>F02-UPL-03
Amenities: Disposable slippers in DAM cart (BC, on request) - on board</v>
      </c>
      <c r="B55" s="120" t="str">
        <f aca="false">SUBSTITUTE(Checks!$K$59&amp;IF(Checks!$O$59="","",IF(Checks!$K$59="","",CHAR(10))&amp;"Note: "&amp;Checks!$O$59),"note C83: ","reference note: ")</f>
        <v>Available in DAM cart on request basis
Note: Sector has no BC slippers; reference note: disposable slipper available in DAM cart (on request basis).</v>
      </c>
      <c r="C55" s="120" t="str">
        <f aca="false">Checks!$N$59&amp;CHAR(10)&amp;IF(ISNUMBER(Checks!$R$59),TEXT(Checks!$R$59,"DD-MMM-YY HH:MM"),"")&amp;" "&amp;Checks!$P$59</f>
        <v>Required
09-Oct-26 21:50 KUL</v>
      </c>
      <c r="D55" s="120" t="str">
        <f aca="false">IF(TRIM(Checks!$U$59)&lt;&gt;"",Checks!$U$59&amp;IF(Checks!$AB$59="","",CHAR(10)&amp;"CA: "&amp;Checks!$AB$59),IF(LEFT(Checks!$AH$59,10)="N/A – RULE","","[ ] Pass"&amp;CHAR(10)&amp;"[ ] Pass after CA"&amp;CHAR(10)&amp;"[ ] Fail"&amp;IF(Checks!$AT$59=1,CHAR(10)&amp;"[ ] N/A","")&amp;CHAR(10)&amp;"CA: Open / Closed"))</f>
        <v>[ ] Pass
[ ] Pass after CA
[ ] Fail
CA: Open / Closed</v>
      </c>
      <c r="E55" s="120" t="str">
        <f aca="false">IF(Checks!$V$59="","",Checks!$V$59)&amp;IF(Checks!$AC$59="","",IF(Checks!$V$59="","",CHAR(10))&amp;"N/A just.: "&amp;Checks!$AC$59)&amp;IF(OR(Checks!$W$59&lt;&gt;"",AND(Checks!$AQ$59=1,NOT(LEFT(Checks!$AH$59,10)="N/A – RULE"))),CHAR(10)&amp;"Batch: "&amp;IF(Checks!$W$59="","____________",Checks!$W$59),"")&amp;IF(OR(Checks!$X$59&lt;&gt;"",Checks!$Y$59&lt;&gt;"",AND(Checks!$AR$59=1,NOT(LEFT(Checks!$AH$59,10)="N/A – RULE"))),CHAR(10)&amp;"Exp: "&amp;IF(Checks!$X$59="","______",Checks!$X$59)&amp;"  /  Act: "&amp;IF(Checks!$Y$59="","______",Checks!$Y$59),"")</f>
        <v/>
      </c>
      <c r="F55" s="120" t="str">
        <f aca="false">IF(AND(LEFT(Checks!$AH$59,10)="N/A – RULE",TRIM(Checks!$S$59&amp;Checks!$Z$59)=""),"","Type: "&amp;IF(TRIM(Checks!$S$59)="","______________ (see cover list)",Checks!$S$59)&amp;CHAR(10)&amp;"ID: "&amp;IF(TRIM(Checks!$Z$59)="","______________ (record's own no.)",Checks!$Z$59))&amp;IF(Checks!$AA$59="","",CHAR(10)&amp;"CA: "&amp;Checks!$AA$59)</f>
        <v>Type: ______________ (see cover list)
ID: ______________ (record's own no.)</v>
      </c>
      <c r="G55" s="120" t="str">
        <f aca="false">IF(AND(LEFT(Checks!$AH$59,10)="N/A – RULE",NOT(ISNUMBER(Checks!$AD$59)),Checks!$AE$59="",Checks!$T$59=""),"","Done: "&amp;IF(ISNUMBER(Checks!$AD$59),TEXT(Checks!$AD$59,"DD-MMM-YY HH:MM"),"____________")&amp;" "&amp;Checks!$P$59&amp;CHAR(10)&amp;"Verifier: "&amp;IF(Checks!$AE$59="","____________",Checks!$AE$59)&amp;CHAR(10)&amp;"PIC: "&amp;IF(Checks!$T$59="","____________",Checks!$T$59))</f>
        <v>Done: ____________ KUL
Verifier: ____________
PIC: ____________</v>
      </c>
      <c r="H55" s="121" t="str">
        <f aca="false">IF(Checks!$AH$59="","",Checks!$AH$59)</f>
        <v>OPEN</v>
      </c>
    </row>
    <row r="56" customFormat="false" ht="114" hidden="false" customHeight="true" outlineLevel="0" collapsed="false">
      <c r="A56" s="120" t="str">
        <f aca="false">Checks!$A$60&amp;CHAR(10)&amp;IF(Checks!$I$60="","",Checks!$I$60&amp;": ")&amp;Checks!$J$60</f>
        <v>F02-UPL-04
F&amp;B Linen: Towel - on board</v>
      </c>
      <c r="B56" s="120" t="str">
        <f aca="false">Checks!$K$60&amp;IF(Checks!$O$60="","",IF(Checks!$K$60="","",CHAR(10))&amp;"Note: "&amp;Checks!$O$60)</f>
        <v>Available (ticked in reference)</v>
      </c>
      <c r="C56" s="120" t="str">
        <f aca="false">Checks!$N$60&amp;CHAR(10)&amp;IF(ISNUMBER(Checks!$R$60),TEXT(Checks!$R$60,"DD-MMM-YY HH:MM"),"")&amp;" "&amp;Checks!$P$60</f>
        <v>Required
09-Oct-26 21:50 KUL</v>
      </c>
      <c r="D56" s="120" t="str">
        <f aca="false">IF(TRIM(Checks!$U$60)&lt;&gt;"",Checks!$U$60&amp;IF(Checks!$AB$60="","",CHAR(10)&amp;"CA: "&amp;Checks!$AB$60),IF(LEFT(Checks!$AH$60,10)="N/A – RULE","","[ ] Pass"&amp;CHAR(10)&amp;"[ ] Pass after CA"&amp;CHAR(10)&amp;"[ ] Fail"&amp;IF(Checks!$AT$60=1,CHAR(10)&amp;"[ ] N/A","")&amp;CHAR(10)&amp;"CA: Open / Closed"))</f>
        <v>[ ] Pass
[ ] Pass after CA
[ ] Fail
CA: Open / Closed</v>
      </c>
      <c r="E56" s="120" t="str">
        <f aca="false">IF(Checks!$V$60="","",Checks!$V$60)&amp;IF(Checks!$AC$60="","",IF(Checks!$V$60="","",CHAR(10))&amp;"N/A just.: "&amp;Checks!$AC$60)&amp;IF(OR(Checks!$W$60&lt;&gt;"",AND(Checks!$AQ$60=1,NOT(LEFT(Checks!$AH$60,10)="N/A – RULE"))),CHAR(10)&amp;"Batch: "&amp;IF(Checks!$W$60="","____________",Checks!$W$60),"")&amp;IF(OR(Checks!$X$60&lt;&gt;"",Checks!$Y$60&lt;&gt;"",AND(Checks!$AR$60=1,NOT(LEFT(Checks!$AH$60,10)="N/A – RULE"))),CHAR(10)&amp;"Exp: "&amp;IF(Checks!$X$60="","______",Checks!$X$60)&amp;"  /  Act: "&amp;IF(Checks!$Y$60="","______",Checks!$Y$60),"")</f>
        <v/>
      </c>
      <c r="F56" s="120" t="str">
        <f aca="false">IF(AND(LEFT(Checks!$AH$60,10)="N/A – RULE",TRIM(Checks!$S$60&amp;Checks!$Z$60)=""),"","Type: "&amp;IF(TRIM(Checks!$S$60)="","______________ (see cover list)",Checks!$S$60)&amp;CHAR(10)&amp;"ID: "&amp;IF(TRIM(Checks!$Z$60)="","______________ (record's own no.)",Checks!$Z$60))&amp;IF(Checks!$AA$60="","",CHAR(10)&amp;"CA: "&amp;Checks!$AA$60)</f>
        <v>Type: ______________ (see cover list)
ID: ______________ (record's own no.)</v>
      </c>
      <c r="G56" s="120" t="str">
        <f aca="false">IF(AND(LEFT(Checks!$AH$60,10)="N/A – RULE",NOT(ISNUMBER(Checks!$AD$60)),Checks!$AE$60="",Checks!$T$60=""),"","Done: "&amp;IF(ISNUMBER(Checks!$AD$60),TEXT(Checks!$AD$60,"DD-MMM-YY HH:MM"),"____________")&amp;" "&amp;Checks!$P$60&amp;CHAR(10)&amp;"Verifier: "&amp;IF(Checks!$AE$60="","____________",Checks!$AE$60)&amp;CHAR(10)&amp;"PIC: "&amp;IF(Checks!$T$60="","____________",Checks!$T$60))</f>
        <v>Done: ____________ KUL
Verifier: ____________
PIC: ____________</v>
      </c>
      <c r="H56" s="121" t="str">
        <f aca="false">IF(Checks!$AH$60="","",Checks!$AH$60)</f>
        <v>OPEN</v>
      </c>
    </row>
    <row r="57" customFormat="false" ht="114" hidden="false" customHeight="true" outlineLevel="0" collapsed="false">
      <c r="A57" s="120" t="str">
        <f aca="false">Checks!$A$61&amp;CHAR(10)&amp;IF(Checks!$I$61="","",Checks!$I$61&amp;": ")&amp;Checks!$J$61</f>
        <v>F02-UPL-05
F&amp;B Linen: Tray cloth - on board</v>
      </c>
      <c r="B57" s="120" t="str">
        <f aca="false">Checks!$K$61&amp;IF(Checks!$O$61="","",IF(Checks!$K$61="","",CHAR(10))&amp;"Note: "&amp;Checks!$O$61)</f>
        <v>Available (ticked in reference)</v>
      </c>
      <c r="C57" s="120" t="str">
        <f aca="false">Checks!$N$61&amp;CHAR(10)&amp;IF(ISNUMBER(Checks!$R$61),TEXT(Checks!$R$61,"DD-MMM-YY HH:MM"),"")&amp;" "&amp;Checks!$P$61</f>
        <v>Required
09-Oct-26 21:50 KUL</v>
      </c>
      <c r="D57" s="120" t="str">
        <f aca="false">IF(TRIM(Checks!$U$61)&lt;&gt;"",Checks!$U$61&amp;IF(Checks!$AB$61="","",CHAR(10)&amp;"CA: "&amp;Checks!$AB$61),IF(LEFT(Checks!$AH$61,10)="N/A – RULE","","[ ] Pass"&amp;CHAR(10)&amp;"[ ] Pass after CA"&amp;CHAR(10)&amp;"[ ] Fail"&amp;IF(Checks!$AT$61=1,CHAR(10)&amp;"[ ] N/A","")&amp;CHAR(10)&amp;"CA: Open / Closed"))</f>
        <v>[ ] Pass
[ ] Pass after CA
[ ] Fail
CA: Open / Closed</v>
      </c>
      <c r="E57" s="120" t="str">
        <f aca="false">IF(Checks!$V$61="","",Checks!$V$61)&amp;IF(Checks!$AC$61="","",IF(Checks!$V$61="","",CHAR(10))&amp;"N/A just.: "&amp;Checks!$AC$61)&amp;IF(OR(Checks!$W$61&lt;&gt;"",AND(Checks!$AQ$61=1,NOT(LEFT(Checks!$AH$61,10)="N/A – RULE"))),CHAR(10)&amp;"Batch: "&amp;IF(Checks!$W$61="","____________",Checks!$W$61),"")&amp;IF(OR(Checks!$X$61&lt;&gt;"",Checks!$Y$61&lt;&gt;"",AND(Checks!$AR$61=1,NOT(LEFT(Checks!$AH$61,10)="N/A – RULE"))),CHAR(10)&amp;"Exp: "&amp;IF(Checks!$X$61="","______",Checks!$X$61)&amp;"  /  Act: "&amp;IF(Checks!$Y$61="","______",Checks!$Y$61),"")</f>
        <v/>
      </c>
      <c r="F57" s="120" t="str">
        <f aca="false">IF(AND(LEFT(Checks!$AH$61,10)="N/A – RULE",TRIM(Checks!$S$61&amp;Checks!$Z$61)=""),"","Type: "&amp;IF(TRIM(Checks!$S$61)="","______________ (see cover list)",Checks!$S$61)&amp;CHAR(10)&amp;"ID: "&amp;IF(TRIM(Checks!$Z$61)="","______________ (record's own no.)",Checks!$Z$61))&amp;IF(Checks!$AA$61="","",CHAR(10)&amp;"CA: "&amp;Checks!$AA$61)</f>
        <v>Type: ______________ (see cover list)
ID: ______________ (record's own no.)</v>
      </c>
      <c r="G57" s="120" t="str">
        <f aca="false">IF(AND(LEFT(Checks!$AH$61,10)="N/A – RULE",NOT(ISNUMBER(Checks!$AD$61)),Checks!$AE$61="",Checks!$T$61=""),"","Done: "&amp;IF(ISNUMBER(Checks!$AD$61),TEXT(Checks!$AD$61,"DD-MMM-YY HH:MM"),"____________")&amp;" "&amp;Checks!$P$61&amp;CHAR(10)&amp;"Verifier: "&amp;IF(Checks!$AE$61="","____________",Checks!$AE$61)&amp;CHAR(10)&amp;"PIC: "&amp;IF(Checks!$T$61="","____________",Checks!$T$61))</f>
        <v>Done: ____________ KUL
Verifier: ____________
PIC: ____________</v>
      </c>
      <c r="H57" s="121" t="str">
        <f aca="false">IF(Checks!$AH$61="","",Checks!$AH$61)</f>
        <v>OPEN</v>
      </c>
    </row>
    <row r="58" customFormat="false" ht="114" hidden="false" customHeight="true" outlineLevel="0" collapsed="false">
      <c r="A58" s="120" t="str">
        <f aca="false">Checks!$A$62&amp;CHAR(10)&amp;IF(Checks!$I$62="","",Checks!$I$62&amp;": ")&amp;Checks!$J$62</f>
        <v>F02-UPL-06
F&amp;B Linen: Napkin - on board</v>
      </c>
      <c r="B58" s="120" t="str">
        <f aca="false">Checks!$K$62&amp;IF(Checks!$O$62="","",IF(Checks!$K$62="","",CHAR(10))&amp;"Note: "&amp;Checks!$O$62)</f>
        <v>Available (ticked in reference)</v>
      </c>
      <c r="C58" s="120" t="str">
        <f aca="false">Checks!$N$62&amp;CHAR(10)&amp;IF(ISNUMBER(Checks!$R$62),TEXT(Checks!$R$62,"DD-MMM-YY HH:MM"),"")&amp;" "&amp;Checks!$P$62</f>
        <v>Required
09-Oct-26 21:50 KUL</v>
      </c>
      <c r="D58" s="120" t="str">
        <f aca="false">IF(TRIM(Checks!$U$62)&lt;&gt;"",Checks!$U$62&amp;IF(Checks!$AB$62="","",CHAR(10)&amp;"CA: "&amp;Checks!$AB$62),IF(LEFT(Checks!$AH$62,10)="N/A – RULE","","[ ] Pass"&amp;CHAR(10)&amp;"[ ] Pass after CA"&amp;CHAR(10)&amp;"[ ] Fail"&amp;IF(Checks!$AT$62=1,CHAR(10)&amp;"[ ] N/A","")&amp;CHAR(10)&amp;"CA: Open / Closed"))</f>
        <v>[ ] Pass
[ ] Pass after CA
[ ] Fail
CA: Open / Closed</v>
      </c>
      <c r="E58" s="120" t="str">
        <f aca="false">IF(Checks!$V$62="","",Checks!$V$62)&amp;IF(Checks!$AC$62="","",IF(Checks!$V$62="","",CHAR(10))&amp;"N/A just.: "&amp;Checks!$AC$62)&amp;IF(OR(Checks!$W$62&lt;&gt;"",AND(Checks!$AQ$62=1,NOT(LEFT(Checks!$AH$62,10)="N/A – RULE"))),CHAR(10)&amp;"Batch: "&amp;IF(Checks!$W$62="","____________",Checks!$W$62),"")&amp;IF(OR(Checks!$X$62&lt;&gt;"",Checks!$Y$62&lt;&gt;"",AND(Checks!$AR$62=1,NOT(LEFT(Checks!$AH$62,10)="N/A – RULE"))),CHAR(10)&amp;"Exp: "&amp;IF(Checks!$X$62="","______",Checks!$X$62)&amp;"  /  Act: "&amp;IF(Checks!$Y$62="","______",Checks!$Y$62),"")</f>
        <v/>
      </c>
      <c r="F58" s="120" t="str">
        <f aca="false">IF(AND(LEFT(Checks!$AH$62,10)="N/A – RULE",TRIM(Checks!$S$62&amp;Checks!$Z$62)=""),"","Type: "&amp;IF(TRIM(Checks!$S$62)="","______________ (see cover list)",Checks!$S$62)&amp;CHAR(10)&amp;"ID: "&amp;IF(TRIM(Checks!$Z$62)="","______________ (record's own no.)",Checks!$Z$62))&amp;IF(Checks!$AA$62="","",CHAR(10)&amp;"CA: "&amp;Checks!$AA$62)</f>
        <v>Type: ______________ (see cover list)
ID: ______________ (record's own no.)</v>
      </c>
      <c r="G58" s="120" t="str">
        <f aca="false">IF(AND(LEFT(Checks!$AH$62,10)="N/A – RULE",NOT(ISNUMBER(Checks!$AD$62)),Checks!$AE$62="",Checks!$T$62=""),"","Done: "&amp;IF(ISNUMBER(Checks!$AD$62),TEXT(Checks!$AD$62,"DD-MMM-YY HH:MM"),"____________")&amp;" "&amp;Checks!$P$62&amp;CHAR(10)&amp;"Verifier: "&amp;IF(Checks!$AE$62="","____________",Checks!$AE$62)&amp;CHAR(10)&amp;"PIC: "&amp;IF(Checks!$T$62="","____________",Checks!$T$62))</f>
        <v>Done: ____________ KUL
Verifier: ____________
PIC: ____________</v>
      </c>
      <c r="H58" s="121" t="str">
        <f aca="false">IF(Checks!$AH$62="","",Checks!$AH$62)</f>
        <v>OPEN</v>
      </c>
    </row>
    <row r="59" customFormat="false" ht="201.75" hidden="false" customHeight="true" outlineLevel="0" collapsed="false">
      <c r="A59" s="120" t="str">
        <f aca="false">Checks!$A$63&amp;CHAR(10)&amp;IF(Checks!$I$63="","",Checks!$I$63&amp;": ")&amp;Checks!$J$63</f>
        <v>F02-UPL-07
F&amp;B Linen: Table cloth - on board</v>
      </c>
      <c r="B59" s="120" t="str">
        <f aca="false">SUBSTITUTE(Checks!$K$63&amp;IF(Checks!$O$63="","",IF(Checks!$K$63="","",CHAR(10))&amp;"Note: "&amp;Checks!$O$63),"note F&amp;B LINEN!B78:C78","the F&amp;B LINEN reference note")</f>
        <v>Available (ticked in reference)
Note: Reference contradicts itself: matrix shows a tick for this sector but the F&amp;B LINEN reference note says table cloth is 'Not Applicable for Domestic/Asean &amp; Regional' (ASEAN). Confirm before loading; if not carried, mark N/A with the confirmation as justification.</v>
      </c>
      <c r="C59" s="120" t="str">
        <f aca="false">Checks!$N$63&amp;CHAR(10)&amp;IF(ISNUMBER(Checks!$R$63),TEXT(Checks!$R$63,"DD-MMM-YY HH:MM"),"")&amp;" "&amp;Checks!$P$63</f>
        <v>Clarification required
09-Oct-26 21:50 KUL</v>
      </c>
      <c r="D59" s="120" t="str">
        <f aca="false">IF(TRIM(Checks!$U$63)&lt;&gt;"",Checks!$U$63&amp;IF(Checks!$AB$63="","",CHAR(10)&amp;"CA: "&amp;Checks!$AB$63),IF(LEFT(Checks!$AH$63,10)="N/A – RULE","","[ ] Pass"&amp;CHAR(10)&amp;"[ ] Pass after CA"&amp;CHAR(10)&amp;"[ ] Fail"&amp;IF(Checks!$AT$63=1,CHAR(10)&amp;"[ ] N/A","")&amp;CHAR(10)&amp;"CA: Open / Closed"))</f>
        <v>[ ] Pass
[ ] Pass after CA
[ ] Fail
[ ] N/A
CA: Open / Closed</v>
      </c>
      <c r="E59" s="120" t="str">
        <f aca="false">IF(Checks!$V$63="","",Checks!$V$63)&amp;IF(Checks!$AC$63="","",IF(Checks!$V$63="","",CHAR(10))&amp;"N/A just.: "&amp;Checks!$AC$63)&amp;IF(OR(Checks!$W$63&lt;&gt;"",AND(Checks!$AQ$63=1,NOT(LEFT(Checks!$AH$63,10)="N/A – RULE"))),CHAR(10)&amp;"Batch: "&amp;IF(Checks!$W$63="","____________",Checks!$W$63),"")&amp;IF(OR(Checks!$X$63&lt;&gt;"",Checks!$Y$63&lt;&gt;"",AND(Checks!$AR$63=1,NOT(LEFT(Checks!$AH$63,10)="N/A – RULE"))),CHAR(10)&amp;"Exp: "&amp;IF(Checks!$X$63="","______",Checks!$X$63)&amp;"  /  Act: "&amp;IF(Checks!$Y$63="","______",Checks!$Y$63),"")</f>
        <v/>
      </c>
      <c r="F59" s="120" t="str">
        <f aca="false">IF(AND(LEFT(Checks!$AH$63,10)="N/A – RULE",TRIM(Checks!$S$63&amp;Checks!$Z$63)=""),"","Type: "&amp;IF(TRIM(Checks!$S$63)="","______________ (see cover list)",Checks!$S$63)&amp;CHAR(10)&amp;"ID: "&amp;IF(TRIM(Checks!$Z$63)="","______________ (record's own no.)",Checks!$Z$63))&amp;IF(Checks!$AA$63="","",CHAR(10)&amp;"CA: "&amp;Checks!$AA$63)</f>
        <v>Type: ______________ (see cover list)
ID: ______________ (record's own no.)</v>
      </c>
      <c r="G59" s="120" t="str">
        <f aca="false">IF(AND(LEFT(Checks!$AH$63,10)="N/A – RULE",NOT(ISNUMBER(Checks!$AD$63)),Checks!$AE$63="",Checks!$T$63=""),"","Done: "&amp;IF(ISNUMBER(Checks!$AD$63),TEXT(Checks!$AD$63,"DD-MMM-YY HH:MM"),"____________")&amp;" "&amp;Checks!$P$63&amp;CHAR(10)&amp;"Verifier: "&amp;IF(Checks!$AE$63="","____________",Checks!$AE$63)&amp;CHAR(10)&amp;"PIC: "&amp;IF(Checks!$T$63="","____________",Checks!$T$63))</f>
        <v>Done: ____________ KUL
Verifier: ____________
PIC: ____________</v>
      </c>
      <c r="H59" s="121" t="str">
        <f aca="false">IF(Checks!$AH$63="","",Checks!$AH$63)</f>
        <v>OPEN – CLARIFICATION</v>
      </c>
    </row>
    <row r="60" customFormat="false" ht="201.75" hidden="false" customHeight="true" outlineLevel="0" collapsed="false">
      <c r="A60" s="120" t="str">
        <f aca="false">Checks!$A$64&amp;CHAR(10)&amp;IF(Checks!$I$64="","",Checks!$I$64&amp;": ")&amp;Checks!$J$64</f>
        <v>F02-UPL-08
F&amp;B Linen: Bread linen (using table cloth) - on board</v>
      </c>
      <c r="B60" s="120" t="str">
        <f aca="false">SUBSTITUTE(Checks!$K$64&amp;IF(Checks!$O$64="","",IF(Checks!$K$64="","",CHAR(10))&amp;"Note: "&amp;Checks!$O$64),"note F&amp;B LINEN!B78:C78","the F&amp;B LINEN reference note")</f>
        <v>Available (ticked in reference)
Note: Reference contradicts itself: matrix shows a tick for this sector but the F&amp;B LINEN reference note says table cloth is 'Not Applicable for Domestic/Asean &amp; Regional' (ASEAN). Confirm before loading; if not carried, mark N/A with the confirmation as justification.</v>
      </c>
      <c r="C60" s="120" t="str">
        <f aca="false">Checks!$N$64&amp;CHAR(10)&amp;IF(ISNUMBER(Checks!$R$64),TEXT(Checks!$R$64,"DD-MMM-YY HH:MM"),"")&amp;" "&amp;Checks!$P$64</f>
        <v>Clarification required
09-Oct-26 21:50 KUL</v>
      </c>
      <c r="D60" s="120" t="str">
        <f aca="false">IF(TRIM(Checks!$U$64)&lt;&gt;"",Checks!$U$64&amp;IF(Checks!$AB$64="","",CHAR(10)&amp;"CA: "&amp;Checks!$AB$64),IF(LEFT(Checks!$AH$64,10)="N/A – RULE","","[ ] Pass"&amp;CHAR(10)&amp;"[ ] Pass after CA"&amp;CHAR(10)&amp;"[ ] Fail"&amp;IF(Checks!$AT$64=1,CHAR(10)&amp;"[ ] N/A","")&amp;CHAR(10)&amp;"CA: Open / Closed"))</f>
        <v>[ ] Pass
[ ] Pass after CA
[ ] Fail
[ ] N/A
CA: Open / Closed</v>
      </c>
      <c r="E60" s="120" t="str">
        <f aca="false">IF(Checks!$V$64="","",Checks!$V$64)&amp;IF(Checks!$AC$64="","",IF(Checks!$V$64="","",CHAR(10))&amp;"N/A just.: "&amp;Checks!$AC$64)&amp;IF(OR(Checks!$W$64&lt;&gt;"",AND(Checks!$AQ$64=1,NOT(LEFT(Checks!$AH$64,10)="N/A – RULE"))),CHAR(10)&amp;"Batch: "&amp;IF(Checks!$W$64="","____________",Checks!$W$64),"")&amp;IF(OR(Checks!$X$64&lt;&gt;"",Checks!$Y$64&lt;&gt;"",AND(Checks!$AR$64=1,NOT(LEFT(Checks!$AH$64,10)="N/A – RULE"))),CHAR(10)&amp;"Exp: "&amp;IF(Checks!$X$64="","______",Checks!$X$64)&amp;"  /  Act: "&amp;IF(Checks!$Y$64="","______",Checks!$Y$64),"")</f>
        <v/>
      </c>
      <c r="F60" s="120" t="str">
        <f aca="false">IF(AND(LEFT(Checks!$AH$64,10)="N/A – RULE",TRIM(Checks!$S$64&amp;Checks!$Z$64)=""),"","Type: "&amp;IF(TRIM(Checks!$S$64)="","______________ (see cover list)",Checks!$S$64)&amp;CHAR(10)&amp;"ID: "&amp;IF(TRIM(Checks!$Z$64)="","______________ (record's own no.)",Checks!$Z$64))&amp;IF(Checks!$AA$64="","",CHAR(10)&amp;"CA: "&amp;Checks!$AA$64)</f>
        <v>Type: ______________ (see cover list)
ID: ______________ (record's own no.)</v>
      </c>
      <c r="G60" s="120" t="str">
        <f aca="false">IF(AND(LEFT(Checks!$AH$64,10)="N/A – RULE",NOT(ISNUMBER(Checks!$AD$64)),Checks!$AE$64="",Checks!$T$64=""),"","Done: "&amp;IF(ISNUMBER(Checks!$AD$64),TEXT(Checks!$AD$64,"DD-MMM-YY HH:MM"),"____________")&amp;" "&amp;Checks!$P$64&amp;CHAR(10)&amp;"Verifier: "&amp;IF(Checks!$AE$64="","____________",Checks!$AE$64)&amp;CHAR(10)&amp;"PIC: "&amp;IF(Checks!$T$64="","____________",Checks!$T$64))</f>
        <v>Done: ____________ KUL
Verifier: ____________
PIC: ____________</v>
      </c>
      <c r="H60" s="121" t="str">
        <f aca="false">IF(Checks!$AH$64="","",Checks!$AH$64)</f>
        <v>OPEN – CLARIFICATION</v>
      </c>
    </row>
    <row r="61" customFormat="false" ht="114" hidden="false" customHeight="true" outlineLevel="0" collapsed="false">
      <c r="A61" s="120" t="str">
        <f aca="false">Checks!$A$65&amp;CHAR(10)&amp;IF(Checks!$I$65="","",Checks!$I$65&amp;": ")&amp;Checks!$J$65</f>
        <v>F02-UPL-09
F&amp;B Linen: Trolley cloth - on board</v>
      </c>
      <c r="B61" s="120" t="str">
        <f aca="false">SUBSTITUTE(SUBSTITUTE(Checks!$K$65&amp;IF(Checks!$O$65="","",IF(Checks!$K$65="","",CHAR(10))&amp;"Note: "&amp;Checks!$O$65),"Per note F&amp;B LINEN!B79:C80.","Per the F&amp;B LINEN reference note."),"note F&amp;B LINEN!B79:C80","the F&amp;B LINEN reference note")</f>
        <v>Narrow body: Top only
Note: Per the F&amp;B LINEN reference note.</v>
      </c>
      <c r="C61" s="120" t="str">
        <f aca="false">Checks!$N$65&amp;CHAR(10)&amp;IF(ISNUMBER(Checks!$R$65),TEXT(Checks!$R$65,"DD-MMM-YY HH:MM"),"")&amp;" "&amp;Checks!$P$65</f>
        <v>Required
09-Oct-26 21:50 KUL</v>
      </c>
      <c r="D61" s="120" t="str">
        <f aca="false">IF(TRIM(Checks!$U$65)&lt;&gt;"",Checks!$U$65&amp;IF(Checks!$AB$65="","",CHAR(10)&amp;"CA: "&amp;Checks!$AB$65),IF(LEFT(Checks!$AH$65,10)="N/A – RULE","","[ ] Pass"&amp;CHAR(10)&amp;"[ ] Pass after CA"&amp;CHAR(10)&amp;"[ ] Fail"&amp;IF(Checks!$AT$65=1,CHAR(10)&amp;"[ ] N/A","")&amp;CHAR(10)&amp;"CA: Open / Closed"))</f>
        <v>[ ] Pass
[ ] Pass after CA
[ ] Fail
CA: Open / Closed</v>
      </c>
      <c r="E61" s="120" t="str">
        <f aca="false">IF(Checks!$V$65="","",Checks!$V$65)&amp;IF(Checks!$AC$65="","",IF(Checks!$V$65="","",CHAR(10))&amp;"N/A just.: "&amp;Checks!$AC$65)&amp;IF(OR(Checks!$W$65&lt;&gt;"",AND(Checks!$AQ$65=1,NOT(LEFT(Checks!$AH$65,10)="N/A – RULE"))),CHAR(10)&amp;"Batch: "&amp;IF(Checks!$W$65="","____________",Checks!$W$65),"")&amp;IF(OR(Checks!$X$65&lt;&gt;"",Checks!$Y$65&lt;&gt;"",AND(Checks!$AR$65=1,NOT(LEFT(Checks!$AH$65,10)="N/A – RULE"))),CHAR(10)&amp;"Exp: "&amp;IF(Checks!$X$65="","______",Checks!$X$65)&amp;"  /  Act: "&amp;IF(Checks!$Y$65="","______",Checks!$Y$65),"")</f>
        <v/>
      </c>
      <c r="F61" s="120" t="str">
        <f aca="false">IF(AND(LEFT(Checks!$AH$65,10)="N/A – RULE",TRIM(Checks!$S$65&amp;Checks!$Z$65)=""),"","Type: "&amp;IF(TRIM(Checks!$S$65)="","______________ (see cover list)",Checks!$S$65)&amp;CHAR(10)&amp;"ID: "&amp;IF(TRIM(Checks!$Z$65)="","______________ (record's own no.)",Checks!$Z$65))&amp;IF(Checks!$AA$65="","",CHAR(10)&amp;"CA: "&amp;Checks!$AA$65)</f>
        <v>Type: ______________ (see cover list)
ID: ______________ (record's own no.)</v>
      </c>
      <c r="G61" s="120" t="str">
        <f aca="false">IF(AND(LEFT(Checks!$AH$65,10)="N/A – RULE",NOT(ISNUMBER(Checks!$AD$65)),Checks!$AE$65="",Checks!$T$65=""),"","Done: "&amp;IF(ISNUMBER(Checks!$AD$65),TEXT(Checks!$AD$65,"DD-MMM-YY HH:MM"),"____________")&amp;" "&amp;Checks!$P$65&amp;CHAR(10)&amp;"Verifier: "&amp;IF(Checks!$AE$65="","____________",Checks!$AE$65)&amp;CHAR(10)&amp;"PIC: "&amp;IF(Checks!$T$65="","____________",Checks!$T$65))</f>
        <v>Done: ____________ KUL
Verifier: ____________
PIC: ____________</v>
      </c>
      <c r="H61" s="121" t="str">
        <f aca="false">IF(Checks!$AH$65="","",Checks!$AH$65)</f>
        <v>OPEN</v>
      </c>
    </row>
    <row r="62" customFormat="false" ht="114" hidden="false" customHeight="true" outlineLevel="0" collapsed="false">
      <c r="A62" s="120" t="str">
        <f aca="false">Checks!$A$66&amp;CHAR(10)&amp;IF(Checks!$I$66="","",Checks!$I$66&amp;": ")&amp;Checks!$J$66</f>
        <v>F02-UPL-10
F&amp;B Linen: Linen bag - on board</v>
      </c>
      <c r="B62" s="120" t="str">
        <f aca="false">Checks!$K$66&amp;IF(Checks!$O$66="","",IF(Checks!$K$66="","",CHAR(10))&amp;"Note: "&amp;Checks!$O$66)</f>
        <v>Available (ticked in reference)</v>
      </c>
      <c r="C62" s="120" t="str">
        <f aca="false">Checks!$N$66&amp;CHAR(10)&amp;IF(ISNUMBER(Checks!$R$66),TEXT(Checks!$R$66,"DD-MMM-YY HH:MM"),"")&amp;" "&amp;Checks!$P$66</f>
        <v>Required
09-Oct-26 21:50 KUL</v>
      </c>
      <c r="D62" s="120" t="str">
        <f aca="false">IF(TRIM(Checks!$U$66)&lt;&gt;"",Checks!$U$66&amp;IF(Checks!$AB$66="","",CHAR(10)&amp;"CA: "&amp;Checks!$AB$66),IF(LEFT(Checks!$AH$66,10)="N/A – RULE","","[ ] Pass"&amp;CHAR(10)&amp;"[ ] Pass after CA"&amp;CHAR(10)&amp;"[ ] Fail"&amp;IF(Checks!$AT$66=1,CHAR(10)&amp;"[ ] N/A","")&amp;CHAR(10)&amp;"CA: Open / Closed"))</f>
        <v>[ ] Pass
[ ] Pass after CA
[ ] Fail
CA: Open / Closed</v>
      </c>
      <c r="E62" s="120" t="str">
        <f aca="false">IF(Checks!$V$66="","",Checks!$V$66)&amp;IF(Checks!$AC$66="","",IF(Checks!$V$66="","",CHAR(10))&amp;"N/A just.: "&amp;Checks!$AC$66)&amp;IF(OR(Checks!$W$66&lt;&gt;"",AND(Checks!$AQ$66=1,NOT(LEFT(Checks!$AH$66,10)="N/A – RULE"))),CHAR(10)&amp;"Batch: "&amp;IF(Checks!$W$66="","____________",Checks!$W$66),"")&amp;IF(OR(Checks!$X$66&lt;&gt;"",Checks!$Y$66&lt;&gt;"",AND(Checks!$AR$66=1,NOT(LEFT(Checks!$AH$66,10)="N/A – RULE"))),CHAR(10)&amp;"Exp: "&amp;IF(Checks!$X$66="","______",Checks!$X$66)&amp;"  /  Act: "&amp;IF(Checks!$Y$66="","______",Checks!$Y$66),"")</f>
        <v/>
      </c>
      <c r="F62" s="120" t="str">
        <f aca="false">IF(AND(LEFT(Checks!$AH$66,10)="N/A – RULE",TRIM(Checks!$S$66&amp;Checks!$Z$66)=""),"","Type: "&amp;IF(TRIM(Checks!$S$66)="","______________ (see cover list)",Checks!$S$66)&amp;CHAR(10)&amp;"ID: "&amp;IF(TRIM(Checks!$Z$66)="","______________ (record's own no.)",Checks!$Z$66))&amp;IF(Checks!$AA$66="","",CHAR(10)&amp;"CA: "&amp;Checks!$AA$66)</f>
        <v>Type: ______________ (see cover list)
ID: ______________ (record's own no.)</v>
      </c>
      <c r="G62" s="120" t="str">
        <f aca="false">IF(AND(LEFT(Checks!$AH$66,10)="N/A – RULE",NOT(ISNUMBER(Checks!$AD$66)),Checks!$AE$66="",Checks!$T$66=""),"","Done: "&amp;IF(ISNUMBER(Checks!$AD$66),TEXT(Checks!$AD$66,"DD-MMM-YY HH:MM"),"____________")&amp;" "&amp;Checks!$P$66&amp;CHAR(10)&amp;"Verifier: "&amp;IF(Checks!$AE$66="","____________",Checks!$AE$66)&amp;CHAR(10)&amp;"PIC: "&amp;IF(Checks!$T$66="","____________",Checks!$T$66))</f>
        <v>Done: ____________ KUL
Verifier: ____________
PIC: ____________</v>
      </c>
      <c r="H62" s="121" t="str">
        <f aca="false">IF(Checks!$AH$66="","",Checks!$AH$66)</f>
        <v>OPEN</v>
      </c>
    </row>
    <row r="63" customFormat="false" ht="114" hidden="false" customHeight="true" outlineLevel="0" collapsed="false">
      <c r="A63" s="120" t="str">
        <f aca="false">Checks!$A$67&amp;CHAR(10)&amp;IF(Checks!$I$67="","",Checks!$I$67&amp;": ")&amp;Checks!$J$67</f>
        <v>F02-UPL-11
Seat Linen: Seat pillow (BS &amp; BC) - on board</v>
      </c>
      <c r="B63" s="120" t="str">
        <f aca="false">Checks!$K$67&amp;IF(Checks!$O$67="","",IF(Checks!$K$67="","",CHAR(10))&amp;"Note: "&amp;Checks!$O$67)</f>
        <v>Available 100% (ticked in reference)</v>
      </c>
      <c r="C63" s="120" t="str">
        <f aca="false">Checks!$N$67&amp;CHAR(10)&amp;IF(ISNUMBER(Checks!$R$67),TEXT(Checks!$R$67,"DD-MMM-YY HH:MM"),"")&amp;" "&amp;Checks!$P$67</f>
        <v>Required
09-Oct-26 21:50 KUL</v>
      </c>
      <c r="D63" s="120" t="str">
        <f aca="false">IF(TRIM(Checks!$U$67)&lt;&gt;"",Checks!$U$67&amp;IF(Checks!$AB$67="","",CHAR(10)&amp;"CA: "&amp;Checks!$AB$67),IF(LEFT(Checks!$AH$67,10)="N/A – RULE","","[ ] Pass"&amp;CHAR(10)&amp;"[ ] Pass after CA"&amp;CHAR(10)&amp;"[ ] Fail"&amp;IF(Checks!$AT$67=1,CHAR(10)&amp;"[ ] N/A","")&amp;CHAR(10)&amp;"CA: Open / Closed"))</f>
        <v>[ ] Pass
[ ] Pass after CA
[ ] Fail
CA: Open / Closed</v>
      </c>
      <c r="E63" s="120" t="str">
        <f aca="false">IF(Checks!$V$67="","",Checks!$V$67)&amp;IF(Checks!$AC$67="","",IF(Checks!$V$67="","",CHAR(10))&amp;"N/A just.: "&amp;Checks!$AC$67)&amp;IF(OR(Checks!$W$67&lt;&gt;"",AND(Checks!$AQ$67=1,NOT(LEFT(Checks!$AH$67,10)="N/A – RULE"))),CHAR(10)&amp;"Batch: "&amp;IF(Checks!$W$67="","____________",Checks!$W$67),"")&amp;IF(OR(Checks!$X$67&lt;&gt;"",Checks!$Y$67&lt;&gt;"",AND(Checks!$AR$67=1,NOT(LEFT(Checks!$AH$67,10)="N/A – RULE"))),CHAR(10)&amp;"Exp: "&amp;IF(Checks!$X$67="","______",Checks!$X$67)&amp;"  /  Act: "&amp;IF(Checks!$Y$67="","______",Checks!$Y$67),"")</f>
        <v/>
      </c>
      <c r="F63" s="120" t="str">
        <f aca="false">IF(AND(LEFT(Checks!$AH$67,10)="N/A – RULE",TRIM(Checks!$S$67&amp;Checks!$Z$67)=""),"","Type: "&amp;IF(TRIM(Checks!$S$67)="","______________ (see cover list)",Checks!$S$67)&amp;CHAR(10)&amp;"ID: "&amp;IF(TRIM(Checks!$Z$67)="","______________ (record's own no.)",Checks!$Z$67))&amp;IF(Checks!$AA$67="","",CHAR(10)&amp;"CA: "&amp;Checks!$AA$67)</f>
        <v>Type: ______________ (see cover list)
ID: ______________ (record's own no.)</v>
      </c>
      <c r="G63" s="120" t="str">
        <f aca="false">IF(AND(LEFT(Checks!$AH$67,10)="N/A – RULE",NOT(ISNUMBER(Checks!$AD$67)),Checks!$AE$67="",Checks!$T$67=""),"","Done: "&amp;IF(ISNUMBER(Checks!$AD$67),TEXT(Checks!$AD$67,"DD-MMM-YY HH:MM"),"____________")&amp;" "&amp;Checks!$P$67&amp;CHAR(10)&amp;"Verifier: "&amp;IF(Checks!$AE$67="","____________",Checks!$AE$67)&amp;CHAR(10)&amp;"PIC: "&amp;IF(Checks!$T$67="","____________",Checks!$T$67))</f>
        <v>Done: ____________ KUL
Verifier: ____________
PIC: ____________</v>
      </c>
      <c r="H63" s="121" t="str">
        <f aca="false">IF(Checks!$AH$67="","",Checks!$AH$67)</f>
        <v>OPEN</v>
      </c>
    </row>
    <row r="64" customFormat="false" ht="114" hidden="false" customHeight="true" outlineLevel="0" collapsed="false">
      <c r="A64" s="120" t="str">
        <f aca="false">Checks!$A$68&amp;CHAR(10)&amp;IF(Checks!$I$68="","",Checks!$I$68&amp;": ")&amp;Checks!$J$68</f>
        <v>F02-UPL-12
Seat Linen: Blanket (BS &amp; BC) - on board</v>
      </c>
      <c r="B64" s="120" t="str">
        <f aca="false">Checks!$K$68&amp;IF(Checks!$O$68="","",IF(Checks!$K$68="","",CHAR(10))&amp;"Note: "&amp;Checks!$O$68)</f>
        <v>Available 100% (ticked in reference)</v>
      </c>
      <c r="C64" s="120" t="str">
        <f aca="false">Checks!$N$68&amp;CHAR(10)&amp;IF(ISNUMBER(Checks!$R$68),TEXT(Checks!$R$68,"DD-MMM-YY HH:MM"),"")&amp;" "&amp;Checks!$P$68</f>
        <v>Required
09-Oct-26 21:50 KUL</v>
      </c>
      <c r="D64" s="120" t="str">
        <f aca="false">IF(TRIM(Checks!$U$68)&lt;&gt;"",Checks!$U$68&amp;IF(Checks!$AB$68="","",CHAR(10)&amp;"CA: "&amp;Checks!$AB$68),IF(LEFT(Checks!$AH$68,10)="N/A – RULE","","[ ] Pass"&amp;CHAR(10)&amp;"[ ] Pass after CA"&amp;CHAR(10)&amp;"[ ] Fail"&amp;IF(Checks!$AT$68=1,CHAR(10)&amp;"[ ] N/A","")&amp;CHAR(10)&amp;"CA: Open / Closed"))</f>
        <v>[ ] Pass
[ ] Pass after CA
[ ] Fail
CA: Open / Closed</v>
      </c>
      <c r="E64" s="120" t="str">
        <f aca="false">IF(Checks!$V$68="","",Checks!$V$68)&amp;IF(Checks!$AC$68="","",IF(Checks!$V$68="","",CHAR(10))&amp;"N/A just.: "&amp;Checks!$AC$68)&amp;IF(OR(Checks!$W$68&lt;&gt;"",AND(Checks!$AQ$68=1,NOT(LEFT(Checks!$AH$68,10)="N/A – RULE"))),CHAR(10)&amp;"Batch: "&amp;IF(Checks!$W$68="","____________",Checks!$W$68),"")&amp;IF(OR(Checks!$X$68&lt;&gt;"",Checks!$Y$68&lt;&gt;"",AND(Checks!$AR$68=1,NOT(LEFT(Checks!$AH$68,10)="N/A – RULE"))),CHAR(10)&amp;"Exp: "&amp;IF(Checks!$X$68="","______",Checks!$X$68)&amp;"  /  Act: "&amp;IF(Checks!$Y$68="","______",Checks!$Y$68),"")</f>
        <v/>
      </c>
      <c r="F64" s="120" t="str">
        <f aca="false">IF(AND(LEFT(Checks!$AH$68,10)="N/A – RULE",TRIM(Checks!$S$68&amp;Checks!$Z$68)=""),"","Type: "&amp;IF(TRIM(Checks!$S$68)="","______________ (see cover list)",Checks!$S$68)&amp;CHAR(10)&amp;"ID: "&amp;IF(TRIM(Checks!$Z$68)="","______________ (record's own no.)",Checks!$Z$68))&amp;IF(Checks!$AA$68="","",CHAR(10)&amp;"CA: "&amp;Checks!$AA$68)</f>
        <v>Type: ______________ (see cover list)
ID: ______________ (record's own no.)</v>
      </c>
      <c r="G64" s="120" t="str">
        <f aca="false">IF(AND(LEFT(Checks!$AH$68,10)="N/A – RULE",NOT(ISNUMBER(Checks!$AD$68)),Checks!$AE$68="",Checks!$T$68=""),"","Done: "&amp;IF(ISNUMBER(Checks!$AD$68),TEXT(Checks!$AD$68,"DD-MMM-YY HH:MM"),"____________")&amp;" "&amp;Checks!$P$68&amp;CHAR(10)&amp;"Verifier: "&amp;IF(Checks!$AE$68="","____________",Checks!$AE$68)&amp;CHAR(10)&amp;"PIC: "&amp;IF(Checks!$T$68="","____________",Checks!$T$68))</f>
        <v>Done: ____________ KUL
Verifier: ____________
PIC: ____________</v>
      </c>
      <c r="H64" s="121" t="str">
        <f aca="false">IF(Checks!$AH$68="","",Checks!$AH$68)</f>
        <v>OPEN</v>
      </c>
    </row>
    <row r="66" customFormat="false" ht="24" hidden="false" customHeight="true" outlineLevel="0" collapsed="false">
      <c r="A66" s="122" t="s">
        <v>4832</v>
      </c>
      <c r="B66" s="122"/>
      <c r="C66" s="122"/>
      <c r="D66" s="122"/>
      <c r="E66" s="122" t="s">
        <v>4833</v>
      </c>
      <c r="F66" s="122"/>
      <c r="G66" s="122"/>
      <c r="H66" s="122"/>
    </row>
    <row r="67" customFormat="false" ht="21.75" hidden="false" customHeight="true" outlineLevel="0" collapsed="false">
      <c r="A67" s="123"/>
      <c r="B67" s="123"/>
      <c r="C67" s="123"/>
      <c r="D67" s="123"/>
      <c r="E67" s="123"/>
      <c r="F67" s="123"/>
      <c r="G67" s="123"/>
      <c r="H67" s="123"/>
    </row>
    <row r="68" customFormat="false" ht="21.75" hidden="false" customHeight="true" outlineLevel="0" collapsed="false">
      <c r="A68" s="123"/>
      <c r="B68" s="123"/>
      <c r="C68" s="123"/>
      <c r="D68" s="123"/>
      <c r="E68" s="123"/>
      <c r="F68" s="123"/>
      <c r="G68" s="123"/>
      <c r="H68" s="123"/>
    </row>
    <row r="69" customFormat="false" ht="21.75" hidden="false" customHeight="true" outlineLevel="0" collapsed="false">
      <c r="A69" s="123"/>
      <c r="B69" s="123"/>
      <c r="C69" s="123"/>
      <c r="D69" s="123"/>
      <c r="E69" s="123"/>
      <c r="F69" s="123"/>
      <c r="G69" s="123"/>
      <c r="H69" s="123"/>
    </row>
    <row r="70" customFormat="false" ht="21.75" hidden="false" customHeight="true" outlineLevel="0" collapsed="false">
      <c r="A70" s="123"/>
      <c r="B70" s="123"/>
      <c r="C70" s="123"/>
      <c r="D70" s="123"/>
      <c r="E70" s="123"/>
      <c r="F70" s="123"/>
      <c r="G70" s="123"/>
      <c r="H70" s="123"/>
    </row>
    <row r="71" customFormat="false" ht="21.75" hidden="false" customHeight="true" outlineLevel="0" collapsed="false">
      <c r="A71" s="123"/>
      <c r="B71" s="123"/>
      <c r="C71" s="123"/>
      <c r="D71" s="123"/>
      <c r="E71" s="123"/>
      <c r="F71" s="123"/>
      <c r="G71" s="123"/>
      <c r="H71" s="123"/>
    </row>
    <row r="72" customFormat="false" ht="21.75" hidden="false" customHeight="true" outlineLevel="0" collapsed="false">
      <c r="A72" s="123"/>
      <c r="B72" s="123"/>
      <c r="C72" s="123"/>
      <c r="D72" s="123"/>
      <c r="E72" s="123"/>
      <c r="F72" s="123"/>
      <c r="G72" s="123"/>
      <c r="H72" s="123"/>
    </row>
    <row r="73" customFormat="false" ht="21.75" hidden="false" customHeight="true" outlineLevel="0" collapsed="false">
      <c r="A73" s="123"/>
      <c r="B73" s="123"/>
      <c r="C73" s="123"/>
      <c r="D73" s="123"/>
      <c r="E73" s="123"/>
      <c r="F73" s="123"/>
      <c r="G73" s="123"/>
      <c r="H73" s="123"/>
    </row>
    <row r="74" customFormat="false" ht="21.75" hidden="false" customHeight="true" outlineLevel="0" collapsed="false">
      <c r="A74" s="123"/>
      <c r="B74" s="123"/>
      <c r="C74" s="123"/>
      <c r="D74" s="123"/>
      <c r="E74" s="123"/>
      <c r="F74" s="123"/>
      <c r="G74" s="123"/>
      <c r="H74" s="123"/>
    </row>
    <row r="75" customFormat="false" ht="21.75" hidden="false" customHeight="true" outlineLevel="0" collapsed="false">
      <c r="A75" s="123"/>
      <c r="B75" s="123"/>
      <c r="C75" s="123"/>
      <c r="D75" s="123"/>
      <c r="E75" s="123"/>
      <c r="F75" s="123"/>
      <c r="G75" s="123"/>
      <c r="H75" s="123"/>
    </row>
    <row r="76" customFormat="false" ht="21.75" hidden="false" customHeight="true" outlineLevel="0" collapsed="false">
      <c r="A76" s="123"/>
      <c r="B76" s="123"/>
      <c r="C76" s="123"/>
      <c r="D76" s="123"/>
      <c r="E76" s="123"/>
      <c r="F76" s="123"/>
      <c r="G76" s="123"/>
      <c r="H76"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52:H52"/>
    <mergeCell ref="A66:D66"/>
    <mergeCell ref="E66:H66"/>
    <mergeCell ref="A67:D76"/>
    <mergeCell ref="E67:H76"/>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64">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64">
    <cfRule type="expression" priority="18" aboveAverage="0" equalAverage="0" bottom="0" percent="0" rank="0" text="" dxfId="35">
      <formula>LEFT($H23,3)="N/A"</formula>
    </cfRule>
  </conditionalFormatting>
  <conditionalFormatting sqref="D23:D64">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F02 MH0727 09-Oct-26 KUL-CGK Class BC</oddHeader>
    <oddFooter>&amp;L&amp;"Arial,Bold"&amp;8 F02 MH0727 09-Oct-26 KUL-CGK Class BC&amp;C&amp;"Arial,Regular"&amp;8 Printed: ____________________&amp;R&amp;"Arial,Regular"&amp;8 F02  Page &amp;P of &amp;N</oddFooter>
  </headerFooter>
  <rowBreaks count="13" manualBreakCount="13">
    <brk id="20" man="true" max="16383" min="0"/>
    <brk id="26" man="true" max="16383" min="0"/>
    <brk id="30" man="true" max="16383" min="0"/>
    <brk id="35" man="true" max="16383" min="0"/>
    <brk id="39" man="true" max="16383" min="0"/>
    <brk id="42" man="true" max="16383" min="0"/>
    <brk id="45" man="true" max="16383" min="0"/>
    <brk id="46" man="true" max="16383" min="0"/>
    <brk id="48" man="true" max="16383" min="0"/>
    <brk id="53" man="true" max="16383" min="0"/>
    <brk id="57" man="true" max="16383" min="0"/>
    <brk id="59" man="true" max="16383" min="0"/>
    <brk id="62" man="true" max="16383" min="0"/>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F03  "&amp;Flights!$F$7&amp;"  "&amp;TEXT(Flights!$D$7,"DD-MMM-YY")&amp;" ("&amp;Flights!$E$7&amp;")  "&amp;Flights!$G$7&amp;" → "&amp;Flights!$H$7&amp;"  |  Class "&amp;Flights!$K$7</f>
        <v>SKYTRAX 2026 CATERING READINESS CHECKLIST  |  F03  MH0720  10-Oct-26 (SAT)  CGK → KUL  |  Class EY</v>
      </c>
      <c r="B1" s="93"/>
      <c r="C1" s="93"/>
      <c r="D1" s="93"/>
      <c r="E1" s="93"/>
      <c r="F1" s="93"/>
      <c r="G1" s="93"/>
      <c r="H1" s="93"/>
    </row>
    <row r="2" customFormat="false" ht="12.75" hidden="false" customHeight="true" outlineLevel="0" collapsed="false">
      <c r="A2" s="94" t="s">
        <v>4788</v>
      </c>
      <c r="B2" s="95" t="str">
        <f aca="false">Flights!$F$7&amp;"   "&amp;TEXT(Flights!$D$7,"DD-MMM-YY")&amp;" ("&amp;Flights!$E$7&amp;")"</f>
        <v>MH0720   10-Oct-26 (SAT)</v>
      </c>
      <c r="C2" s="95"/>
      <c r="D2" s="95"/>
      <c r="E2" s="96" t="s">
        <v>4789</v>
      </c>
      <c r="F2" s="97" t="str">
        <f aca="false">Flights!$AT$7</f>
        <v>NOT READY – DOCUMENTS</v>
      </c>
      <c r="G2" s="97"/>
      <c r="H2" s="97"/>
    </row>
    <row r="3" customFormat="false" ht="24" hidden="false" customHeight="true" outlineLevel="0" collapsed="false">
      <c r="A3" s="94" t="s">
        <v>4790</v>
      </c>
      <c r="B3" s="95" t="str">
        <f aca="false">Flights!$G$7&amp;" → "&amp;Flights!$H$7&amp;"   Class "&amp;Flights!$K$7&amp;"   Seat "&amp;Flights!$O$7</f>
        <v>CGK → KUL   Class EY   Seat 11C</v>
      </c>
      <c r="C3" s="95"/>
      <c r="D3" s="95"/>
      <c r="E3" s="96" t="s">
        <v>73</v>
      </c>
      <c r="F3" s="96" t="s">
        <v>4791</v>
      </c>
      <c r="G3" s="96" t="s">
        <v>4792</v>
      </c>
      <c r="H3" s="96"/>
    </row>
    <row r="4" customFormat="false" ht="24" hidden="false" customHeight="true" outlineLevel="0" collapsed="false">
      <c r="A4" s="94" t="s">
        <v>4793</v>
      </c>
      <c r="B4" s="95" t="str">
        <f aca="false">IF(ISNUMBER(Flights!$I$7),TEXT(Flights!$I$7,"DD-MMM-YY HH:MM"),"")&amp;" "&amp;Flights!$G$7&amp;"  →  "&amp;IF(ISNUMBER(Flights!$J$7),TEXT(Flights!$J$7,"DD-MMM-YY HH:MM"),"")&amp;" "&amp;Flights!$H$7</f>
        <v>10-Oct-26 16:05 CGK  →  10-Oct-26 19:25 KUL</v>
      </c>
      <c r="C4" s="95"/>
      <c r="D4" s="95"/>
      <c r="E4" s="94" t="s">
        <v>4794</v>
      </c>
      <c r="F4" s="98" t="str">
        <f aca="false">IF(ISNUMBER(Flights!$AG$7),TEXT(Flights!$AG$7,"DD-MMM-YY HH:MM"),"")&amp;" "&amp;Flights!$V$7</f>
        <v>03-Oct-26 16:05 CGK</v>
      </c>
      <c r="G4" s="99" t="n">
        <f aca="false">Flights!$AJ$7</f>
        <v>0</v>
      </c>
      <c r="H4" s="99"/>
    </row>
    <row r="5" customFormat="false" ht="24" hidden="false" customHeight="true" outlineLevel="0" collapsed="false">
      <c r="A5" s="94" t="s">
        <v>4795</v>
      </c>
      <c r="B5" s="95" t="str">
        <f aca="false">Flights!$L$7&amp;" – "&amp;Flights!$M$7</f>
        <v>A333 – A330-300 (A333)</v>
      </c>
      <c r="C5" s="95"/>
      <c r="D5" s="95"/>
      <c r="E5" s="94" t="s">
        <v>4796</v>
      </c>
      <c r="F5" s="98" t="str">
        <f aca="false">IF(ISNUMBER(Flights!$AH$7),TEXT(Flights!$AH$7,"DD-MMM-YY HH:MM"),"")&amp;" "&amp;Flights!$V$7</f>
        <v>09-Oct-26 16:05 CGK</v>
      </c>
      <c r="G5" s="99" t="n">
        <f aca="false">Flights!$AK$7</f>
        <v>0</v>
      </c>
      <c r="H5" s="99"/>
    </row>
    <row r="6" customFormat="false" ht="24" hidden="false" customHeight="true" outlineLevel="0" collapsed="false">
      <c r="A6" s="94" t="s">
        <v>4797</v>
      </c>
      <c r="B6" s="95" t="str">
        <f aca="false">IF(TRIM(Flights!$N$7)="","__________________",Flights!$N$7)</f>
        <v>__________________</v>
      </c>
      <c r="C6" s="95"/>
      <c r="D6" s="95"/>
      <c r="E6" s="94" t="s">
        <v>4798</v>
      </c>
      <c r="F6" s="98" t="str">
        <f aca="false">IF(ISNUMBER(Flights!$AI$7),TEXT(Flights!$AI$7,"DD-MMM-YY HH:MM"),"")&amp;" "&amp;Flights!$V$7&amp;IF(Flights!$AI$7=Flights!$AH$7,"  (= T-24H due)","")</f>
        <v>10-Oct-26 04:05 CGK</v>
      </c>
      <c r="G6" s="99" t="n">
        <f aca="false">Flights!$AL$7</f>
        <v>0</v>
      </c>
      <c r="H6" s="99"/>
    </row>
    <row r="7" customFormat="false" ht="24" hidden="false" customHeight="true" outlineLevel="0" collapsed="false">
      <c r="A7" s="94" t="s">
        <v>4799</v>
      </c>
      <c r="B7" s="95" t="str">
        <f aca="false">Flights!$T$7</f>
        <v>1 Meal (Meal)</v>
      </c>
      <c r="C7" s="95"/>
      <c r="D7" s="95"/>
      <c r="E7" s="94" t="s">
        <v>4800</v>
      </c>
      <c r="F7" s="98" t="str">
        <f aca="false">"STD "&amp;IF(ISNUMBER(Flights!$I$7),TEXT(Flights!$I$7,"DD-MMM-YY HH:MM"),"")&amp;" "&amp;Flights!$G$7&amp;" (dep stn)"</f>
        <v>STD 10-Oct-26 16:05 CGK (dep stn)</v>
      </c>
      <c r="G7" s="99" t="n">
        <f aca="false">Flights!$AM$7</f>
        <v>0</v>
      </c>
      <c r="H7" s="99"/>
    </row>
    <row r="8" customFormat="false" ht="12.75" hidden="false" customHeight="true" outlineLevel="0" collapsed="false">
      <c r="A8" s="94" t="s">
        <v>155</v>
      </c>
      <c r="B8" s="95" t="str">
        <f aca="false">Flights!$V$7&amp;"   (reference uplift stns: "&amp;Flights!$U$7&amp;")"</f>
        <v>CGK   (reference uplift stns: KUL/CGK)</v>
      </c>
      <c r="C8" s="95"/>
      <c r="D8" s="95"/>
      <c r="E8" s="94" t="s">
        <v>4801</v>
      </c>
      <c r="F8" s="100" t="s">
        <v>4802</v>
      </c>
      <c r="G8" s="99" t="n">
        <f aca="false">Flights!$AN$7</f>
        <v>0</v>
      </c>
      <c r="H8" s="99"/>
    </row>
    <row r="9" customFormat="false" ht="12.75" hidden="false" customHeight="true" outlineLevel="0" collapsed="false">
      <c r="A9" s="94" t="s">
        <v>4803</v>
      </c>
      <c r="B9" s="95" t="str">
        <f aca="false">TRIM(Flights!$P$7&amp;"  "&amp;Flights!$Q$7)</f>
        <v>-</v>
      </c>
      <c r="C9" s="95"/>
      <c r="D9" s="95"/>
      <c r="E9" s="94" t="s">
        <v>4804</v>
      </c>
      <c r="F9" s="101" t="n">
        <f aca="false">Flights!$AP$7</f>
        <v>0</v>
      </c>
      <c r="G9" s="102" t="n">
        <f aca="false">Flights!$AQ$7</f>
        <v>0</v>
      </c>
      <c r="H9" s="103" t="n">
        <f aca="false">Flights!$AU$7</f>
        <v>0</v>
      </c>
    </row>
    <row r="10" customFormat="false" ht="24" hidden="false" customHeight="true" outlineLevel="0" collapsed="false">
      <c r="A10" s="94" t="s">
        <v>4805</v>
      </c>
      <c r="B10" s="95" t="str">
        <f aca="false">IF(TRIM(Flights!$X$7)="","__________________",Flights!$X$7)</f>
        <v>__________________</v>
      </c>
      <c r="C10" s="95"/>
      <c r="D10" s="95"/>
      <c r="E10" s="94" t="s">
        <v>4806</v>
      </c>
      <c r="F10" s="104" t="n">
        <f aca="false">Flights!$AO$7</f>
        <v>20</v>
      </c>
      <c r="G10" s="105" t="n">
        <f aca="false">Flights!$AS$7</f>
        <v>0</v>
      </c>
      <c r="H10" s="106" t="n">
        <f aca="false">Flights!$AR$7</f>
        <v>2</v>
      </c>
    </row>
    <row r="11" customFormat="false" ht="21" hidden="false" customHeight="true" outlineLevel="0" collapsed="false">
      <c r="A11" s="94" t="s">
        <v>4807</v>
      </c>
      <c r="B11" s="95" t="str">
        <f aca="false">IF(TRIM(Flights!$Y$7)="","__________________",Flights!$Y$7)</f>
        <v>__________________</v>
      </c>
      <c r="C11" s="95"/>
      <c r="D11" s="95"/>
      <c r="E11" s="94" t="s">
        <v>4808</v>
      </c>
      <c r="F11" s="97" t="str">
        <f aca="false">Flights!$AV$7&amp;" / "&amp;Flights!$AW$7</f>
        <v>0 / 20</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IF(Documents!$F$7="","",Documents!$F$7)</f>
        <v/>
      </c>
      <c r="C15" s="100" t="str">
        <f aca="false">IF(Documents!$G$7="","",Documents!$G$7)&amp;IF(ISNUMBER(Documents!$H$7),"  "&amp;TEXT(Documents!$H$7,"DD-MMM-YY"),"")</f>
        <v/>
      </c>
      <c r="D15" s="100"/>
      <c r="E15" s="114" t="str">
        <f aca="false">IF(Documents!$J$7="OUTSTANDING","OUTSTANDING – attach before T-7D (due "&amp;IF(ISNUMBER(Flights!$AG$7),TEXT(Flights!$AG$7,"DD-MMM-YY HH:MM"),"")&amp;" "&amp;Flights!$V$7&amp;")",IF(Documents!$J$7="","Status not recorded",Documents!$J$7))</f>
        <v>OUTSTANDING – attach before T-7D (due 03-Oct-26 16:05 CGK)</v>
      </c>
      <c r="F15" s="115" t="str">
        <f aca="false">"Staple behind this sheet as page A1."&amp;IF(Documents!$I$7="",""," Location: "&amp;Documents!$I$7)</f>
        <v>Staple behind this sheet as page A1.</v>
      </c>
      <c r="G15" s="115"/>
      <c r="H15" s="115"/>
    </row>
    <row r="16" customFormat="false" ht="36" hidden="false" customHeight="true" outlineLevel="0" collapsed="false">
      <c r="A16" s="94" t="s">
        <v>4819</v>
      </c>
      <c r="B16" s="95" t="str">
        <f aca="false">IF(Documents!$K$7="","",Documents!$K$7)</f>
        <v/>
      </c>
      <c r="C16" s="100" t="str">
        <f aca="false">IF(Documents!$L$7="","",Documents!$L$7)&amp;IF(ISNUMBER(Documents!$M$7),"  "&amp;TEXT(Documents!$M$7,"DD-MMM-YY"),"")</f>
        <v/>
      </c>
      <c r="D16" s="100"/>
      <c r="E16" s="114" t="str">
        <f aca="false">IF(Documents!$O$7="OUTSTANDING","OUTSTANDING – attach before T-7D (due "&amp;IF(ISNUMBER(Flights!$AG$7),TEXT(Flights!$AG$7,"DD-MMM-YY HH:MM"),"")&amp;" "&amp;Flights!$V$7&amp;")",IF(Documents!$O$7="","Status not recorded",Documents!$O$7))</f>
        <v>OUTSTANDING – attach before T-7D (due 03-Oct-26 16:05 CGK)</v>
      </c>
      <c r="F16" s="115" t="str">
        <f aca="false">"Staple behind this sheet as page A2."&amp;IF(Documents!$N$7="",""," Location: "&amp;Documents!$N$7)</f>
        <v>Staple behind this sheet as page A2.</v>
      </c>
      <c r="G16" s="115"/>
      <c r="H16" s="115"/>
    </row>
    <row r="17" customFormat="false" ht="22.5" hidden="false" customHeight="true" outlineLevel="0" collapsed="false">
      <c r="A17" s="94" t="s">
        <v>4820</v>
      </c>
      <c r="B17" s="116" t="str">
        <f aca="false">IF(Documents!$Q$7="","",Documents!$Q$7)</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"&amp;IF(TRIM(Flights!$Y$7)="","__________________",Flights!$Y$7)</f>
        <v>Name: __________________</v>
      </c>
      <c r="B19" s="95"/>
      <c r="C19" s="95" t="str">
        <f aca="false">"Name: __________________"</f>
        <v>Name: __________________</v>
      </c>
      <c r="D19" s="95"/>
      <c r="E19" s="95"/>
      <c r="F19" s="95" t="str">
        <f aca="false">"Name: __________________"&amp;"   Station: "&amp;Flights!$V$7</f>
        <v>Name: __________________   Station: CGK</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"&amp;IF(ISNUMBER(Flights!$AG$7),TEXT(Flights!$AG$7,"DD-MMM-YY HH:MM"),"")&amp;" "&amp;Flights!$V$7&amp;" (meal uplift stn)"&amp;" (rows with another due show their own)  |  Complete "&amp;IF(ISNUMBER(Flights!$AJ$7),TEXT(Flights!$AJ$7,"0%"),Flights!$AJ$7)&amp;"  |  9 lines"</f>
        <v>T-7D — 7 days before departure  |  Due 03-Oct-26 16:05 CGK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Checks!$A$69&amp;CHAR(10)&amp;IF(Checks!$I$69="","",Checks!$I$69&amp;": ")&amp;Checks!$J$69</f>
        <v>F03-T7-01
Meal: Meal sensory testing completed for this flight's menu cycle (assessed class)</v>
      </c>
      <c r="B23" s="120" t="str">
        <f aca="false">Checks!$K$69&amp;IF(Checks!$O$69="","",IF(Checks!$K$69="","",CHAR(10))&amp;"Note: "&amp;Checks!$O$69)</f>
        <v>Record panel result / score in Result</v>
      </c>
      <c r="C23" s="120" t="str">
        <f aca="false">Checks!$N$69&amp;CHAR(10)&amp;IF(ISNUMBER(Checks!$R$69),TEXT(Checks!$R$69,"DD-MMM-YY HH:MM"),"")&amp;" "&amp;Checks!$P$69</f>
        <v>Required
03-Oct-26 16:05 CGK</v>
      </c>
      <c r="D23" s="120" t="str">
        <f aca="false">IF(TRIM(Checks!$U$69)&lt;&gt;"",Checks!$U$69&amp;IF(Checks!$AB$69="","",CHAR(10)&amp;"CA: "&amp;Checks!$AB$69),IF(LEFT(Checks!$AH$69,10)="N/A – RULE","","[ ] Pass"&amp;CHAR(10)&amp;"[ ] Pass after CA"&amp;CHAR(10)&amp;"[ ] Fail"&amp;IF(Checks!$AT$69=1,CHAR(10)&amp;"[ ] N/A","")&amp;CHAR(10)&amp;"CA: Open / Closed"))</f>
        <v>[ ] Pass
[ ] Pass after CA
[ ] Fail
CA: Open / Closed</v>
      </c>
      <c r="E23" s="120" t="str">
        <f aca="false">IF(Checks!$V$69="","",Checks!$V$69)&amp;IF(Checks!$AC$69="","",IF(Checks!$V$69="","",CHAR(10))&amp;"N/A just.: "&amp;Checks!$AC$69)&amp;IF(OR(Checks!$W$69&lt;&gt;"",AND(Checks!$AQ$69=1,NOT(LEFT(Checks!$AH$69,10)="N/A – RULE"))),CHAR(10)&amp;"Batch: "&amp;IF(Checks!$W$69="","____________",Checks!$W$69),"")&amp;IF(OR(Checks!$X$69&lt;&gt;"",Checks!$Y$69&lt;&gt;"",AND(Checks!$AR$69=1,NOT(LEFT(Checks!$AH$69,10)="N/A – RULE"))),CHAR(10)&amp;"Exp: "&amp;IF(Checks!$X$69="","______",Checks!$X$69)&amp;"  /  Act: "&amp;IF(Checks!$Y$69="","______",Checks!$Y$69),"")</f>
        <v/>
      </c>
      <c r="F23" s="120" t="str">
        <f aca="false">IF(AND(LEFT(Checks!$AH$69,10)="N/A – RULE",TRIM(Checks!$S$69&amp;Checks!$Z$69)=""),"","Type: "&amp;IF(TRIM(Checks!$S$69)="","______________ (see cover list)",Checks!$S$69)&amp;CHAR(10)&amp;"ID: "&amp;IF(TRIM(Checks!$Z$69)="","______________ (record's own no.)",Checks!$Z$69))&amp;IF(Checks!$AA$69="","",CHAR(10)&amp;"CA: "&amp;Checks!$AA$69)</f>
        <v>Type: ______________ (see cover list)
ID: ______________ (record's own no.)</v>
      </c>
      <c r="G23" s="120" t="str">
        <f aca="false">IF(AND(LEFT(Checks!$AH$69,10)="N/A – RULE",NOT(ISNUMBER(Checks!$AD$69)),Checks!$AE$69="",Checks!$T$69=""),"","Done: "&amp;IF(ISNUMBER(Checks!$AD$69),TEXT(Checks!$AD$69,"DD-MMM-YY HH:MM"),"____________")&amp;" "&amp;Checks!$P$69&amp;CHAR(10)&amp;"Verifier: "&amp;IF(Checks!$AE$69="","____________",Checks!$AE$69)&amp;CHAR(10)&amp;"PIC: "&amp;IF(Checks!$T$69="","____________",Checks!$T$69))</f>
        <v>Done: ____________ CGK
Verifier: ____________
PIC: ____________</v>
      </c>
      <c r="H23" s="121" t="str">
        <f aca="false">IF(Checks!$AH$69="","",Checks!$AH$69)</f>
        <v>OPEN</v>
      </c>
    </row>
    <row r="24" customFormat="false" ht="114" hidden="false" customHeight="true" outlineLevel="0" collapsed="false">
      <c r="A24" s="120" t="str">
        <f aca="false">Checks!$A$70&amp;CHAR(10)&amp;IF(Checks!$I$70="","",Checks!$I$70&amp;": ")&amp;Checks!$J$70</f>
        <v>F03-T7-02
Menu: Printed menu cards confirmed (content, cycle, language, quantity)</v>
      </c>
      <c r="B24" s="120" t="str">
        <f aca="false">Checks!$K$70&amp;IF(Checks!$O$70="","",IF(Checks!$K$70="","",CHAR(10))&amp;"Note: "&amp;Checks!$O$70)</f>
        <v>Menu card matches approved menu for this flight</v>
      </c>
      <c r="C24" s="120" t="str">
        <f aca="false">Checks!$N$70&amp;CHAR(10)&amp;IF(ISNUMBER(Checks!$R$70),TEXT(Checks!$R$70,"DD-MMM-YY HH:MM"),"")&amp;" "&amp;Checks!$P$70</f>
        <v>Required
03-Oct-26 16:05 CGK</v>
      </c>
      <c r="D24" s="120" t="str">
        <f aca="false">IF(TRIM(Checks!$U$70)&lt;&gt;"",Checks!$U$70&amp;IF(Checks!$AB$70="","",CHAR(10)&amp;"CA: "&amp;Checks!$AB$70),IF(LEFT(Checks!$AH$70,10)="N/A – RULE","","[ ] Pass"&amp;CHAR(10)&amp;"[ ] Pass after CA"&amp;CHAR(10)&amp;"[ ] Fail"&amp;IF(Checks!$AT$70=1,CHAR(10)&amp;"[ ] N/A","")&amp;CHAR(10)&amp;"CA: Open / Closed"))</f>
        <v>[ ] Pass
[ ] Pass after CA
[ ] Fail
CA: Open / Closed</v>
      </c>
      <c r="E24" s="120" t="str">
        <f aca="false">IF(Checks!$V$70="","",Checks!$V$70)&amp;IF(Checks!$AC$70="","",IF(Checks!$V$70="","",CHAR(10))&amp;"N/A just.: "&amp;Checks!$AC$70)&amp;IF(OR(Checks!$W$70&lt;&gt;"",AND(Checks!$AQ$70=1,NOT(LEFT(Checks!$AH$70,10)="N/A – RULE"))),CHAR(10)&amp;"Batch: "&amp;IF(Checks!$W$70="","____________",Checks!$W$70),"")&amp;IF(OR(Checks!$X$70&lt;&gt;"",Checks!$Y$70&lt;&gt;"",AND(Checks!$AR$70=1,NOT(LEFT(Checks!$AH$70,10)="N/A – RULE"))),CHAR(10)&amp;"Exp: "&amp;IF(Checks!$X$70="","______",Checks!$X$70)&amp;"  /  Act: "&amp;IF(Checks!$Y$70="","______",Checks!$Y$70),"")</f>
        <v/>
      </c>
      <c r="F24" s="120" t="str">
        <f aca="false">IF(AND(LEFT(Checks!$AH$70,10)="N/A – RULE",TRIM(Checks!$S$70&amp;Checks!$Z$70)=""),"","Type: "&amp;IF(TRIM(Checks!$S$70)="","______________ (see cover list)",Checks!$S$70)&amp;CHAR(10)&amp;"ID: "&amp;IF(TRIM(Checks!$Z$70)="","______________ (record's own no.)",Checks!$Z$70))&amp;IF(Checks!$AA$70="","",CHAR(10)&amp;"CA: "&amp;Checks!$AA$70)</f>
        <v>Type: ______________ (see cover list)
ID: ______________ (record's own no.)</v>
      </c>
      <c r="G24" s="120" t="str">
        <f aca="false">IF(AND(LEFT(Checks!$AH$70,10)="N/A – RULE",NOT(ISNUMBER(Checks!$AD$70)),Checks!$AE$70="",Checks!$T$70=""),"","Done: "&amp;IF(ISNUMBER(Checks!$AD$70),TEXT(Checks!$AD$70,"DD-MMM-YY HH:MM"),"____________")&amp;" "&amp;Checks!$P$70&amp;CHAR(10)&amp;"Verifier: "&amp;IF(Checks!$AE$70="","____________",Checks!$AE$70)&amp;CHAR(10)&amp;"PIC: "&amp;IF(Checks!$T$70="","____________",Checks!$T$70))</f>
        <v>Done: ____________ CGK
Verifier: ____________
PIC: ____________</v>
      </c>
      <c r="H24" s="121" t="str">
        <f aca="false">IF(Checks!$AH$70="","",Checks!$AH$70)</f>
        <v>OPEN</v>
      </c>
    </row>
    <row r="25" customFormat="false" ht="114" hidden="false" customHeight="true" outlineLevel="0" collapsed="false">
      <c r="A25" s="120" t="str">
        <f aca="false">Checks!$A$71&amp;CHAR(10)&amp;IF(Checks!$I$71="","",Checks!$I$71&amp;": ")&amp;Checks!$J$71</f>
        <v>F03-T7-03
IFE: Digital menu in IFE confirmed (A339 only)</v>
      </c>
      <c r="B25" s="120" t="str">
        <f aca="false">Checks!$K$71&amp;IF(Checks!$O$71="","",IF(Checks!$K$71="","",CHAR(10))&amp;"Note: "&amp;Checks!$O$71)</f>
        <v>Applies when fleet = A339
Note: Digital IFE menu applies to A339 only (user brief). Applicability follows the Fleet cell on Flights.</v>
      </c>
      <c r="C25" s="120" t="str">
        <f aca="false">Checks!$N$71&amp;CHAR(10)&amp;IF(ISNUMBER(Checks!$R$71),TEXT(Checks!$R$71,"DD-MMM-YY HH:MM"),"")&amp;" "&amp;Checks!$P$71</f>
        <v>N/A – rule
03-Oct-26 16:05 CGK</v>
      </c>
      <c r="D25" s="120" t="str">
        <f aca="false">IF(TRIM(Checks!$U$71)&lt;&gt;"",Checks!$U$71&amp;IF(Checks!$AB$71="","",CHAR(10)&amp;"CA: "&amp;Checks!$AB$71),IF(LEFT(Checks!$AH$71,10)="N/A – RULE","","[ ] Pass"&amp;CHAR(10)&amp;"[ ] Pass after CA"&amp;CHAR(10)&amp;"[ ] Fail"&amp;IF(Checks!$AT$71=1,CHAR(10)&amp;"[ ] N/A","")&amp;CHAR(10)&amp;"CA: Open / Closed"))</f>
        <v/>
      </c>
      <c r="E25" s="120" t="str">
        <f aca="false">IF(Checks!$V$71="","",Checks!$V$71)&amp;IF(Checks!$AC$71="","",IF(Checks!$V$71="","",CHAR(10))&amp;"N/A just.: "&amp;Checks!$AC$71)&amp;IF(OR(Checks!$W$71&lt;&gt;"",AND(Checks!$AQ$71=1,NOT(LEFT(Checks!$AH$71,10)="N/A – RULE"))),CHAR(10)&amp;"Batch: "&amp;IF(Checks!$W$71="","____________",Checks!$W$71),"")&amp;IF(OR(Checks!$X$71&lt;&gt;"",Checks!$Y$71&lt;&gt;"",AND(Checks!$AR$71=1,NOT(LEFT(Checks!$AH$71,10)="N/A – RULE"))),CHAR(10)&amp;"Exp: "&amp;IF(Checks!$X$71="","______",Checks!$X$71)&amp;"  /  Act: "&amp;IF(Checks!$Y$71="","______",Checks!$Y$71),"")</f>
        <v/>
      </c>
      <c r="F25" s="120" t="str">
        <f aca="false">IF(AND(LEFT(Checks!$AH$71,10)="N/A – RULE",TRIM(Checks!$S$71&amp;Checks!$Z$71)=""),"","Type: "&amp;IF(TRIM(Checks!$S$71)="","______________ (see cover list)",Checks!$S$71)&amp;CHAR(10)&amp;"ID: "&amp;IF(TRIM(Checks!$Z$71)="","______________ (record's own no.)",Checks!$Z$71))&amp;IF(Checks!$AA$71="","",CHAR(10)&amp;"CA: "&amp;Checks!$AA$71)</f>
        <v/>
      </c>
      <c r="G25" s="120" t="str">
        <f aca="false">IF(AND(LEFT(Checks!$AH$71,10)="N/A – RULE",NOT(ISNUMBER(Checks!$AD$71)),Checks!$AE$71="",Checks!$T$71=""),"","Done: "&amp;IF(ISNUMBER(Checks!$AD$71),TEXT(Checks!$AD$71,"DD-MMM-YY HH:MM"),"____________")&amp;" "&amp;Checks!$P$71&amp;CHAR(10)&amp;"Verifier: "&amp;IF(Checks!$AE$71="","____________",Checks!$AE$71)&amp;CHAR(10)&amp;"PIC: "&amp;IF(Checks!$T$71="","____________",Checks!$T$71))</f>
        <v/>
      </c>
      <c r="H25" s="121" t="str">
        <f aca="false">IF(Checks!$AH$71="","",Checks!$AH$71)</f>
        <v>N/A – RULE</v>
      </c>
    </row>
    <row r="26" customFormat="false" ht="114" hidden="false" customHeight="true" outlineLevel="0" collapsed="false">
      <c r="A26" s="120" t="str">
        <f aca="false">Checks!$A$72&amp;CHAR(10)&amp;IF(Checks!$I$72="","",Checks!$I$72&amp;": ")&amp;Checks!$J$72</f>
        <v>F03-T7-04
Staffing: Experienced catering officer assigned to this flight</v>
      </c>
      <c r="B26" s="120" t="str">
        <f aca="false">Checks!$K$72&amp;IF(Checks!$O$72="","",IF(Checks!$K$72="","",CHAR(10))&amp;"Note: "&amp;Checks!$O$72)</f>
        <v>Record officer name in Result</v>
      </c>
      <c r="C26" s="120" t="str">
        <f aca="false">Checks!$N$72&amp;CHAR(10)&amp;IF(ISNUMBER(Checks!$R$72),TEXT(Checks!$R$72,"DD-MMM-YY HH:MM"),"")&amp;" "&amp;Checks!$P$72</f>
        <v>Required
03-Oct-26 16:05 CGK</v>
      </c>
      <c r="D26" s="120" t="str">
        <f aca="false">IF(TRIM(Checks!$U$72)&lt;&gt;"",Checks!$U$72&amp;IF(Checks!$AB$72="","",CHAR(10)&amp;"CA: "&amp;Checks!$AB$72),IF(LEFT(Checks!$AH$72,10)="N/A – RULE","","[ ] Pass"&amp;CHAR(10)&amp;"[ ] Pass after CA"&amp;CHAR(10)&amp;"[ ] Fail"&amp;IF(Checks!$AT$72=1,CHAR(10)&amp;"[ ] N/A","")&amp;CHAR(10)&amp;"CA: Open / Closed"))</f>
        <v>[ ] Pass
[ ] Pass after CA
[ ] Fail
CA: Open / Closed</v>
      </c>
      <c r="E26" s="120" t="str">
        <f aca="false">IF(Checks!$V$72="","",Checks!$V$72)&amp;IF(Checks!$AC$72="","",IF(Checks!$V$72="","",CHAR(10))&amp;"N/A just.: "&amp;Checks!$AC$72)&amp;IF(OR(Checks!$W$72&lt;&gt;"",AND(Checks!$AQ$72=1,NOT(LEFT(Checks!$AH$72,10)="N/A – RULE"))),CHAR(10)&amp;"Batch: "&amp;IF(Checks!$W$72="","____________",Checks!$W$72),"")&amp;IF(OR(Checks!$X$72&lt;&gt;"",Checks!$Y$72&lt;&gt;"",AND(Checks!$AR$72=1,NOT(LEFT(Checks!$AH$72,10)="N/A – RULE"))),CHAR(10)&amp;"Exp: "&amp;IF(Checks!$X$72="","______",Checks!$X$72)&amp;"  /  Act: "&amp;IF(Checks!$Y$72="","______",Checks!$Y$72),"")</f>
        <v/>
      </c>
      <c r="F26" s="120" t="str">
        <f aca="false">IF(AND(LEFT(Checks!$AH$72,10)="N/A – RULE",TRIM(Checks!$S$72&amp;Checks!$Z$72)=""),"","Type: "&amp;IF(TRIM(Checks!$S$72)="","______________ (see cover list)",Checks!$S$72)&amp;CHAR(10)&amp;"ID: "&amp;IF(TRIM(Checks!$Z$72)="","______________ (record's own no.)",Checks!$Z$72))&amp;IF(Checks!$AA$72="","",CHAR(10)&amp;"CA: "&amp;Checks!$AA$72)</f>
        <v>Type: ______________ (see cover list)
ID: ______________ (record's own no.)</v>
      </c>
      <c r="G26" s="120" t="str">
        <f aca="false">IF(AND(LEFT(Checks!$AH$72,10)="N/A – RULE",NOT(ISNUMBER(Checks!$AD$72)),Checks!$AE$72="",Checks!$T$72=""),"","Done: "&amp;IF(ISNUMBER(Checks!$AD$72),TEXT(Checks!$AD$72,"DD-MMM-YY HH:MM"),"____________")&amp;" "&amp;Checks!$P$72&amp;CHAR(10)&amp;"Verifier: "&amp;IF(Checks!$AE$72="","____________",Checks!$AE$72)&amp;CHAR(10)&amp;"PIC: "&amp;IF(Checks!$T$72="","____________",Checks!$T$72))</f>
        <v>Done: ____________ CGK
Verifier: ____________
PIC: ____________</v>
      </c>
      <c r="H26" s="121" t="str">
        <f aca="false">IF(Checks!$AH$72="","",Checks!$AH$72)</f>
        <v>OPEN</v>
      </c>
    </row>
    <row r="27" customFormat="false" ht="114" hidden="false" customHeight="true" outlineLevel="0" collapsed="false">
      <c r="A27" s="120" t="str">
        <f aca="false">Checks!$A$73&amp;CHAR(10)&amp;IF(Checks!$I$73="","",Checks!$I$73&amp;": ")&amp;Checks!$J$73</f>
        <v>F03-T7-05
ISOP: All latest applicable ISOP revisions communicated to caterer</v>
      </c>
      <c r="B27" s="120" t="str">
        <f aca="false">Checks!$K$73&amp;IF(Checks!$O$73="","",IF(Checks!$K$73="","",CHAR(10))&amp;"Note: "&amp;Checks!$O$73)</f>
        <v>List revision numbers in Result (see ISOP register)</v>
      </c>
      <c r="C27" s="120" t="str">
        <f aca="false">Checks!$N$73&amp;CHAR(10)&amp;IF(ISNUMBER(Checks!$R$73),TEXT(Checks!$R$73,"DD-MMM-YY HH:MM"),"")&amp;" "&amp;Checks!$P$73</f>
        <v>Required
03-Oct-26 16:05 CGK</v>
      </c>
      <c r="D27" s="120" t="str">
        <f aca="false">IF(TRIM(Checks!$U$73)&lt;&gt;"",Checks!$U$73&amp;IF(Checks!$AB$73="","",CHAR(10)&amp;"CA: "&amp;Checks!$AB$73),IF(LEFT(Checks!$AH$73,10)="N/A – RULE","","[ ] Pass"&amp;CHAR(10)&amp;"[ ] Pass after CA"&amp;CHAR(10)&amp;"[ ] Fail"&amp;IF(Checks!$AT$73=1,CHAR(10)&amp;"[ ] N/A","")&amp;CHAR(10)&amp;"CA: Open / Closed"))</f>
        <v>[ ] Pass
[ ] Pass after CA
[ ] Fail
CA: Open / Closed</v>
      </c>
      <c r="E27" s="120" t="str">
        <f aca="false">IF(Checks!$V$73="","",Checks!$V$73)&amp;IF(Checks!$AC$73="","",IF(Checks!$V$73="","",CHAR(10))&amp;"N/A just.: "&amp;Checks!$AC$73)&amp;IF(OR(Checks!$W$73&lt;&gt;"",AND(Checks!$AQ$73=1,NOT(LEFT(Checks!$AH$73,10)="N/A – RULE"))),CHAR(10)&amp;"Batch: "&amp;IF(Checks!$W$73="","____________",Checks!$W$73),"")&amp;IF(OR(Checks!$X$73&lt;&gt;"",Checks!$Y$73&lt;&gt;"",AND(Checks!$AR$73=1,NOT(LEFT(Checks!$AH$73,10)="N/A – RULE"))),CHAR(10)&amp;"Exp: "&amp;IF(Checks!$X$73="","______",Checks!$X$73)&amp;"  /  Act: "&amp;IF(Checks!$Y$73="","______",Checks!$Y$73),"")</f>
        <v/>
      </c>
      <c r="F27" s="120" t="str">
        <f aca="false">IF(AND(LEFT(Checks!$AH$73,10)="N/A – RULE",TRIM(Checks!$S$73&amp;Checks!$Z$73)=""),"","Type: "&amp;IF(TRIM(Checks!$S$73)="","______________ (see cover list)",Checks!$S$73)&amp;CHAR(10)&amp;"ID: "&amp;IF(TRIM(Checks!$Z$73)="","______________ (record's own no.)",Checks!$Z$73))&amp;IF(Checks!$AA$73="","",CHAR(10)&amp;"CA: "&amp;Checks!$AA$73)</f>
        <v>Type: ______________ (see cover list)
ID: ______________ (record's own no.)</v>
      </c>
      <c r="G27" s="120" t="str">
        <f aca="false">IF(AND(LEFT(Checks!$AH$73,10)="N/A – RULE",NOT(ISNUMBER(Checks!$AD$73)),Checks!$AE$73="",Checks!$T$73=""),"","Done: "&amp;IF(ISNUMBER(Checks!$AD$73),TEXT(Checks!$AD$73,"DD-MMM-YY HH:MM"),"____________")&amp;" "&amp;Checks!$P$73&amp;CHAR(10)&amp;"Verifier: "&amp;IF(Checks!$AE$73="","____________",Checks!$AE$73)&amp;CHAR(10)&amp;"PIC: "&amp;IF(Checks!$T$73="","____________",Checks!$T$73))</f>
        <v>Done: ____________ CGK
Verifier: ____________
PIC: ____________</v>
      </c>
      <c r="H27" s="121" t="str">
        <f aca="false">IF(Checks!$AH$73="","",Checks!$AH$73)</f>
        <v>OPEN</v>
      </c>
    </row>
    <row r="28" customFormat="false" ht="114" hidden="false" customHeight="true" outlineLevel="0" collapsed="false">
      <c r="A28" s="120" t="str">
        <f aca="false">Checks!$A$74&amp;CHAR(10)&amp;IF(Checks!$I$74="","",Checks!$I$74&amp;": ")&amp;Checks!$J$74</f>
        <v>F03-T7-06
ISOP: Caterer acknowledgement of ISOP revisions recorded</v>
      </c>
      <c r="B28" s="120" t="str">
        <f aca="false">Checks!$K$74&amp;IF(Checks!$O$74="","",IF(Checks!$K$74="","",CHAR(10))&amp;"Note: "&amp;Checks!$O$74)</f>
        <v>Record acknowledgement ref in Evidence</v>
      </c>
      <c r="C28" s="120" t="str">
        <f aca="false">Checks!$N$74&amp;CHAR(10)&amp;IF(ISNUMBER(Checks!$R$74),TEXT(Checks!$R$74,"DD-MMM-YY HH:MM"),"")&amp;" "&amp;Checks!$P$74</f>
        <v>Required
03-Oct-26 16:05 CGK</v>
      </c>
      <c r="D28" s="120" t="str">
        <f aca="false">IF(TRIM(Checks!$U$74)&lt;&gt;"",Checks!$U$74&amp;IF(Checks!$AB$74="","",CHAR(10)&amp;"CA: "&amp;Checks!$AB$74),IF(LEFT(Checks!$AH$74,10)="N/A – RULE","","[ ] Pass"&amp;CHAR(10)&amp;"[ ] Pass after CA"&amp;CHAR(10)&amp;"[ ] Fail"&amp;IF(Checks!$AT$74=1,CHAR(10)&amp;"[ ] N/A","")&amp;CHAR(10)&amp;"CA: Open / Closed"))</f>
        <v>[ ] Pass
[ ] Pass after CA
[ ] Fail
CA: Open / Closed</v>
      </c>
      <c r="E28" s="120" t="str">
        <f aca="false">IF(Checks!$V$74="","",Checks!$V$74)&amp;IF(Checks!$AC$74="","",IF(Checks!$V$74="","",CHAR(10))&amp;"N/A just.: "&amp;Checks!$AC$74)&amp;IF(OR(Checks!$W$74&lt;&gt;"",AND(Checks!$AQ$74=1,NOT(LEFT(Checks!$AH$74,10)="N/A – RULE"))),CHAR(10)&amp;"Batch: "&amp;IF(Checks!$W$74="","____________",Checks!$W$74),"")&amp;IF(OR(Checks!$X$74&lt;&gt;"",Checks!$Y$74&lt;&gt;"",AND(Checks!$AR$74=1,NOT(LEFT(Checks!$AH$74,10)="N/A – RULE"))),CHAR(10)&amp;"Exp: "&amp;IF(Checks!$X$74="","______",Checks!$X$74)&amp;"  /  Act: "&amp;IF(Checks!$Y$74="","______",Checks!$Y$74),"")</f>
        <v/>
      </c>
      <c r="F28" s="120" t="str">
        <f aca="false">IF(AND(LEFT(Checks!$AH$74,10)="N/A – RULE",TRIM(Checks!$S$74&amp;Checks!$Z$74)=""),"","Type: "&amp;IF(TRIM(Checks!$S$74)="","______________ (see cover list)",Checks!$S$74)&amp;CHAR(10)&amp;"ID: "&amp;IF(TRIM(Checks!$Z$74)="","______________ (record's own no.)",Checks!$Z$74))&amp;IF(Checks!$AA$74="","",CHAR(10)&amp;"CA: "&amp;Checks!$AA$74)</f>
        <v>Type: ______________ (see cover list)
ID: ______________ (record's own no.)</v>
      </c>
      <c r="G28" s="120" t="str">
        <f aca="false">IF(AND(LEFT(Checks!$AH$74,10)="N/A – RULE",NOT(ISNUMBER(Checks!$AD$74)),Checks!$AE$74="",Checks!$T$74=""),"","Done: "&amp;IF(ISNUMBER(Checks!$AD$74),TEXT(Checks!$AD$74,"DD-MMM-YY HH:MM"),"____________")&amp;" "&amp;Checks!$P$74&amp;CHAR(10)&amp;"Verifier: "&amp;IF(Checks!$AE$74="","____________",Checks!$AE$74)&amp;CHAR(10)&amp;"PIC: "&amp;IF(Checks!$T$74="","____________",Checks!$T$74))</f>
        <v>Done: ____________ CGK
Verifier: ____________
PIC: ____________</v>
      </c>
      <c r="H28" s="121" t="str">
        <f aca="false">IF(Checks!$AH$74="","",Checks!$AH$74)</f>
        <v>OPEN</v>
      </c>
    </row>
    <row r="29" customFormat="false" ht="114" hidden="false" customHeight="true" outlineLevel="0" collapsed="false">
      <c r="A29" s="120" t="str">
        <f aca="false">Checks!$A$75&amp;CHAR(10)&amp;IF(Checks!$I$75="","",Checks!$I$75&amp;": ")&amp;Checks!$J$75</f>
        <v>F03-T7-07
Documents: Galley loading diagram (GLD) received, revision recorded &amp; attached</v>
      </c>
      <c r="B29" s="120" t="str">
        <f aca="false">SUBSTITUTE(Checks!$K$75&amp;IF(Checks!$O$75="","",IF(Checks!$K$75="","",CHAR(10))&amp;"Note: "&amp;Checks!$O$75),"Documents sheet row complete","Recorded on the Documents sheet; copy stapled as A1 / A2")</f>
        <v>Recorded on the Documents sheet; copy stapled as A1 / A2</v>
      </c>
      <c r="C29" s="120" t="str">
        <f aca="false">Checks!$N$75&amp;CHAR(10)&amp;IF(ISNUMBER(Checks!$R$75),TEXT(Checks!$R$75,"DD-MMM-YY HH:MM"),"")&amp;" "&amp;Checks!$P$75</f>
        <v>Required
03-Oct-26 16:05 CGK</v>
      </c>
      <c r="D29" s="120" t="str">
        <f aca="false">IF(TRIM(Checks!$U$75)&lt;&gt;"",Checks!$U$75&amp;IF(Checks!$AB$75="","",CHAR(10)&amp;"CA: "&amp;Checks!$AB$75),IF(LEFT(Checks!$AH$75,10)="N/A – RULE","","[ ] Pass"&amp;CHAR(10)&amp;"[ ] Pass after CA"&amp;CHAR(10)&amp;"[ ] Fail"&amp;IF(Checks!$AT$75=1,CHAR(10)&amp;"[ ] N/A","")&amp;CHAR(10)&amp;"CA: Open / Closed"))</f>
        <v>[ ] Pass
[ ] Pass after CA
[ ] Fail
CA: Open / Closed</v>
      </c>
      <c r="E29" s="120" t="str">
        <f aca="false">IF(Checks!$V$75="","",Checks!$V$75)&amp;IF(Checks!$AC$75="","",IF(Checks!$V$75="","",CHAR(10))&amp;"N/A just.: "&amp;Checks!$AC$75)&amp;IF(OR(Checks!$W$75&lt;&gt;"",AND(Checks!$AQ$75=1,NOT(LEFT(Checks!$AH$75,10)="N/A – RULE"))),CHAR(10)&amp;"Batch: "&amp;IF(Checks!$W$75="","____________",Checks!$W$75),"")&amp;IF(OR(Checks!$X$75&lt;&gt;"",Checks!$Y$75&lt;&gt;"",AND(Checks!$AR$75=1,NOT(LEFT(Checks!$AH$75,10)="N/A – RULE"))),CHAR(10)&amp;"Exp: "&amp;IF(Checks!$X$75="","______",Checks!$X$75)&amp;"  /  Act: "&amp;IF(Checks!$Y$75="","______",Checks!$Y$75),"")</f>
        <v/>
      </c>
      <c r="F29" s="120" t="str">
        <f aca="false">IF(AND(LEFT(Checks!$AH$75,10)="N/A – RULE",TRIM(Checks!$S$75&amp;Checks!$Z$75)=""),"","Type: "&amp;IF(TRIM(Checks!$S$75)="","______________ (see cover list)",Checks!$S$75)&amp;CHAR(10)&amp;"ID: "&amp;IF(TRIM(Checks!$Z$75)="","______________ (record's own no.)",Checks!$Z$75))&amp;IF(Checks!$AA$75="","",CHAR(10)&amp;"CA: "&amp;Checks!$AA$75)</f>
        <v>Type: ______________ (see cover list)
ID: ______________ (record's own no.)</v>
      </c>
      <c r="G29" s="120" t="str">
        <f aca="false">IF(AND(LEFT(Checks!$AH$75,10)="N/A – RULE",NOT(ISNUMBER(Checks!$AD$75)),Checks!$AE$75="",Checks!$T$75=""),"","Done: "&amp;IF(ISNUMBER(Checks!$AD$75),TEXT(Checks!$AD$75,"DD-MMM-YY HH:MM"),"____________")&amp;" "&amp;Checks!$P$75&amp;CHAR(10)&amp;"Verifier: "&amp;IF(Checks!$AE$75="","____________",Checks!$AE$75)&amp;CHAR(10)&amp;"PIC: "&amp;IF(Checks!$T$75="","____________",Checks!$T$75))</f>
        <v>Done: ____________ CGK
Verifier: ____________
PIC: ____________</v>
      </c>
      <c r="H29" s="121" t="str">
        <f aca="false">IF(Checks!$AH$75="","",Checks!$AH$75)</f>
        <v>OPEN</v>
      </c>
    </row>
    <row r="30" customFormat="false" ht="114" hidden="false" customHeight="true" outlineLevel="0" collapsed="false">
      <c r="A30" s="120" t="str">
        <f aca="false">Checks!$A$76&amp;CHAR(10)&amp;IF(Checks!$I$76="","",Checks!$I$76&amp;": ")&amp;Checks!$J$76</f>
        <v>F03-T7-08
Documents: Menu checklist received, revision recorded &amp; attached</v>
      </c>
      <c r="B30" s="120" t="str">
        <f aca="false">SUBSTITUTE(Checks!$K$76&amp;IF(Checks!$O$76="","",IF(Checks!$K$76="","",CHAR(10))&amp;"Note: "&amp;Checks!$O$76),"Documents sheet row complete","Recorded on the Documents sheet; copy stapled as A1 / A2")</f>
        <v>Recorded on the Documents sheet; copy stapled as A1 / A2</v>
      </c>
      <c r="C30" s="120" t="str">
        <f aca="false">Checks!$N$76&amp;CHAR(10)&amp;IF(ISNUMBER(Checks!$R$76),TEXT(Checks!$R$76,"DD-MMM-YY HH:MM"),"")&amp;" "&amp;Checks!$P$76</f>
        <v>Required
03-Oct-26 16:05 CGK</v>
      </c>
      <c r="D30" s="120" t="str">
        <f aca="false">IF(TRIM(Checks!$U$76)&lt;&gt;"",Checks!$U$76&amp;IF(Checks!$AB$76="","",CHAR(10)&amp;"CA: "&amp;Checks!$AB$76),IF(LEFT(Checks!$AH$76,10)="N/A – RULE","","[ ] Pass"&amp;CHAR(10)&amp;"[ ] Pass after CA"&amp;CHAR(10)&amp;"[ ] Fail"&amp;IF(Checks!$AT$76=1,CHAR(10)&amp;"[ ] N/A","")&amp;CHAR(10)&amp;"CA: Open / Closed"))</f>
        <v>[ ] Pass
[ ] Pass after CA
[ ] Fail
CA: Open / Closed</v>
      </c>
      <c r="E30" s="120" t="str">
        <f aca="false">IF(Checks!$V$76="","",Checks!$V$76)&amp;IF(Checks!$AC$76="","",IF(Checks!$V$76="","",CHAR(10))&amp;"N/A just.: "&amp;Checks!$AC$76)&amp;IF(OR(Checks!$W$76&lt;&gt;"",AND(Checks!$AQ$76=1,NOT(LEFT(Checks!$AH$76,10)="N/A – RULE"))),CHAR(10)&amp;"Batch: "&amp;IF(Checks!$W$76="","____________",Checks!$W$76),"")&amp;IF(OR(Checks!$X$76&lt;&gt;"",Checks!$Y$76&lt;&gt;"",AND(Checks!$AR$76=1,NOT(LEFT(Checks!$AH$76,10)="N/A – RULE"))),CHAR(10)&amp;"Exp: "&amp;IF(Checks!$X$76="","______",Checks!$X$76)&amp;"  /  Act: "&amp;IF(Checks!$Y$76="","______",Checks!$Y$76),"")</f>
        <v/>
      </c>
      <c r="F30" s="120" t="str">
        <f aca="false">IF(AND(LEFT(Checks!$AH$76,10)="N/A – RULE",TRIM(Checks!$S$76&amp;Checks!$Z$76)=""),"","Type: "&amp;IF(TRIM(Checks!$S$76)="","______________ (see cover list)",Checks!$S$76)&amp;CHAR(10)&amp;"ID: "&amp;IF(TRIM(Checks!$Z$76)="","______________ (record's own no.)",Checks!$Z$76))&amp;IF(Checks!$AA$76="","",CHAR(10)&amp;"CA: "&amp;Checks!$AA$76)</f>
        <v>Type: ______________ (see cover list)
ID: ______________ (record's own no.)</v>
      </c>
      <c r="G30" s="120" t="str">
        <f aca="false">IF(AND(LEFT(Checks!$AH$76,10)="N/A – RULE",NOT(ISNUMBER(Checks!$AD$76)),Checks!$AE$76="",Checks!$T$76=""),"","Done: "&amp;IF(ISNUMBER(Checks!$AD$76),TEXT(Checks!$AD$76,"DD-MMM-YY HH:MM"),"____________")&amp;" "&amp;Checks!$P$76&amp;CHAR(10)&amp;"Verifier: "&amp;IF(Checks!$AE$76="","____________",Checks!$AE$76)&amp;CHAR(10)&amp;"PIC: "&amp;IF(Checks!$T$76="","____________",Checks!$T$76))</f>
        <v>Done: ____________ CGK
Verifier: ____________
PIC: ____________</v>
      </c>
      <c r="H30" s="121" t="str">
        <f aca="false">IF(Checks!$AH$76="","",Checks!$AH$76)</f>
        <v>OPEN</v>
      </c>
    </row>
    <row r="31" customFormat="false" ht="114" hidden="false" customHeight="true" outlineLevel="0" collapsed="false">
      <c r="A31" s="120" t="str">
        <f aca="false">Checks!$A$77&amp;CHAR(10)&amp;IF(Checks!$I$77="","",Checks!$I$77&amp;": ")&amp;Checks!$J$77</f>
        <v>F03-T7-09
Uplift plan: Uplift plan confirmed with caterer vs STD Uplift Information</v>
      </c>
      <c r="B31" s="120" t="str">
        <f aca="false">Checks!$K$77&amp;IF(Checks!$O$77="","",IF(Checks!$K$77="","",CHAR(10))&amp;"Note: "&amp;Checks!$O$77)</f>
        <v>Service: 1 Meal (Meal); meal uplift stn CGK (ref lists KUL/CGK)</v>
      </c>
      <c r="C31" s="120" t="str">
        <f aca="false">Checks!$N$77&amp;CHAR(10)&amp;IF(ISNUMBER(Checks!$R$77),TEXT(Checks!$R$77,"DD-MMM-YY HH:MM"),"")&amp;" "&amp;Checks!$P$77</f>
        <v>Required
03-Oct-26 16:05 CGK</v>
      </c>
      <c r="D31" s="120" t="str">
        <f aca="false">IF(TRIM(Checks!$U$77)&lt;&gt;"",Checks!$U$77&amp;IF(Checks!$AB$77="","",CHAR(10)&amp;"CA: "&amp;Checks!$AB$77),IF(LEFT(Checks!$AH$77,10)="N/A – RULE","","[ ] Pass"&amp;CHAR(10)&amp;"[ ] Pass after CA"&amp;CHAR(10)&amp;"[ ] Fail"&amp;IF(Checks!$AT$77=1,CHAR(10)&amp;"[ ] N/A","")&amp;CHAR(10)&amp;"CA: Open / Closed"))</f>
        <v>[ ] Pass
[ ] Pass after CA
[ ] Fail
CA: Open / Closed</v>
      </c>
      <c r="E31" s="120" t="str">
        <f aca="false">IF(Checks!$V$77="","",Checks!$V$77)&amp;IF(Checks!$AC$77="","",IF(Checks!$V$77="","",CHAR(10))&amp;"N/A just.: "&amp;Checks!$AC$77)&amp;IF(OR(Checks!$W$77&lt;&gt;"",AND(Checks!$AQ$77=1,NOT(LEFT(Checks!$AH$77,10)="N/A – RULE"))),CHAR(10)&amp;"Batch: "&amp;IF(Checks!$W$77="","____________",Checks!$W$77),"")&amp;IF(OR(Checks!$X$77&lt;&gt;"",Checks!$Y$77&lt;&gt;"",AND(Checks!$AR$77=1,NOT(LEFT(Checks!$AH$77,10)="N/A – RULE"))),CHAR(10)&amp;"Exp: "&amp;IF(Checks!$X$77="","______",Checks!$X$77)&amp;"  /  Act: "&amp;IF(Checks!$Y$77="","______",Checks!$Y$77),"")</f>
        <v/>
      </c>
      <c r="F31" s="120" t="str">
        <f aca="false">IF(AND(LEFT(Checks!$AH$77,10)="N/A – RULE",TRIM(Checks!$S$77&amp;Checks!$Z$77)=""),"","Type: "&amp;IF(TRIM(Checks!$S$77)="","______________ (see cover list)",Checks!$S$77)&amp;CHAR(10)&amp;"ID: "&amp;IF(TRIM(Checks!$Z$77)="","______________ (record's own no.)",Checks!$Z$77))&amp;IF(Checks!$AA$77="","",CHAR(10)&amp;"CA: "&amp;Checks!$AA$77)</f>
        <v>Type: ______________ (see cover list)
ID: ______________ (record's own no.)</v>
      </c>
      <c r="G31" s="120" t="str">
        <f aca="false">IF(AND(LEFT(Checks!$AH$77,10)="N/A – RULE",NOT(ISNUMBER(Checks!$AD$77)),Checks!$AE$77="",Checks!$T$77=""),"","Done: "&amp;IF(ISNUMBER(Checks!$AD$77),TEXT(Checks!$AD$77,"DD-MMM-YY HH:MM"),"____________")&amp;" "&amp;Checks!$P$77&amp;CHAR(10)&amp;"Verifier: "&amp;IF(Checks!$AE$77="","____________",Checks!$AE$77)&amp;CHAR(10)&amp;"PIC: "&amp;IF(Checks!$T$77="","____________",Checks!$T$77))</f>
        <v>Done: ____________ CGK
Verifier: ____________
PIC: ____________</v>
      </c>
      <c r="H31" s="121" t="str">
        <f aca="false">IF(Checks!$AH$77="","",Checks!$AH$77)</f>
        <v>OPEN</v>
      </c>
    </row>
    <row r="32" customFormat="false" ht="25.5" hidden="false" customHeight="true" outlineLevel="0" collapsed="false">
      <c r="A32" s="119" t="str">
        <f aca="false">"T-24H — Production batch sensory  |  Due "&amp;IF(ISNUMBER(Flights!$AH$7),TEXT(Flights!$AH$7,"DD-MMM-YY HH:MM"),"")&amp;" "&amp;Flights!$V$7&amp;" (meal uplift stn)"&amp;" (rows with another due show their own)  |  Complete "&amp;IF(ISNUMBER(Flights!$AK$7),TEXT(Flights!$AK$7,"0%"),Flights!$AK$7)&amp;"  |  1 lines"</f>
        <v>T-24H — Production batch sensory  |  Due 09-Oct-26 16:05 CGK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Checks!$A$78&amp;CHAR(10)&amp;IF(Checks!$I$78="","",Checks!$I$78&amp;": ")&amp;Checks!$J$78</f>
        <v>F03-T24-01
Meal: Sensory test repeated on ACTUAL production batch for this flight</v>
      </c>
      <c r="B33" s="120" t="str">
        <f aca="false">Checks!$K$78&amp;IF(Checks!$O$78="","",IF(Checks!$K$78="","",CHAR(10))&amp;"Note: "&amp;Checks!$O$78)</f>
        <v>Batch ID, result, CA and acceptance mandatory</v>
      </c>
      <c r="C33" s="120" t="str">
        <f aca="false">Checks!$N$78&amp;CHAR(10)&amp;IF(ISNUMBER(Checks!$R$78),TEXT(Checks!$R$78,"DD-MMM-YY HH:MM"),"")&amp;" "&amp;Checks!$P$78</f>
        <v>Required
09-Oct-26 16:05 CGK</v>
      </c>
      <c r="D33" s="120" t="str">
        <f aca="false">IF(TRIM(Checks!$U$78)&lt;&gt;"",Checks!$U$78&amp;IF(Checks!$AB$78="","",CHAR(10)&amp;"CA: "&amp;Checks!$AB$78),IF(LEFT(Checks!$AH$78,10)="N/A – RULE","","[ ] Pass"&amp;CHAR(10)&amp;"[ ] Pass after CA"&amp;CHAR(10)&amp;"[ ] Fail"&amp;IF(Checks!$AT$78=1,CHAR(10)&amp;"[ ] N/A","")&amp;CHAR(10)&amp;"CA: Open / Closed"))</f>
        <v>[ ] Pass
[ ] Pass after CA
[ ] Fail
CA: Open / Closed</v>
      </c>
      <c r="E33" s="120" t="str">
        <f aca="false">IF(Checks!$V$78="","",Checks!$V$78)&amp;IF(Checks!$AC$78="","",IF(Checks!$V$78="","",CHAR(10))&amp;"N/A just.: "&amp;Checks!$AC$78)&amp;IF(OR(Checks!$W$78&lt;&gt;"",AND(Checks!$AQ$78=1,NOT(LEFT(Checks!$AH$78,10)="N/A – RULE"))),CHAR(10)&amp;"Batch: "&amp;IF(Checks!$W$78="","____________",Checks!$W$78),"")&amp;IF(OR(Checks!$X$78&lt;&gt;"",Checks!$Y$78&lt;&gt;"",AND(Checks!$AR$78=1,NOT(LEFT(Checks!$AH$78,10)="N/A – RULE"))),CHAR(10)&amp;"Exp: "&amp;IF(Checks!$X$78="","______",Checks!$X$78)&amp;"  /  Act: "&amp;IF(Checks!$Y$78="","______",Checks!$Y$78),"")</f>
        <v>
Batch: ____________</v>
      </c>
      <c r="F33" s="120" t="str">
        <f aca="false">IF(AND(LEFT(Checks!$AH$78,10)="N/A – RULE",TRIM(Checks!$S$78&amp;Checks!$Z$78)=""),"","Type: "&amp;IF(TRIM(Checks!$S$78)="","______________ (see cover list)",Checks!$S$78)&amp;CHAR(10)&amp;"ID: "&amp;IF(TRIM(Checks!$Z$78)="","______________ (record's own no.)",Checks!$Z$78))&amp;IF(Checks!$AA$78="","",CHAR(10)&amp;"CA: "&amp;Checks!$AA$78)</f>
        <v>Type: ______________ (see cover list)
ID: ______________ (record's own no.)</v>
      </c>
      <c r="G33" s="120" t="str">
        <f aca="false">IF(AND(LEFT(Checks!$AH$78,10)="N/A – RULE",NOT(ISNUMBER(Checks!$AD$78)),Checks!$AE$78="",Checks!$T$78=""),"","Done: "&amp;IF(ISNUMBER(Checks!$AD$78),TEXT(Checks!$AD$78,"DD-MMM-YY HH:MM"),"____________")&amp;" "&amp;Checks!$P$78&amp;CHAR(10)&amp;"Verifier: "&amp;IF(Checks!$AE$78="","____________",Checks!$AE$78)&amp;CHAR(10)&amp;"PIC: "&amp;IF(Checks!$T$78="","____________",Checks!$T$78))</f>
        <v>Done: ____________ CGK
Verifier: ____________
PIC: ____________</v>
      </c>
      <c r="H33" s="121" t="str">
        <f aca="false">IF(Checks!$AH$78="","",Checks!$AH$78)</f>
        <v>OPEN</v>
      </c>
    </row>
    <row r="34" customFormat="false" ht="25.5" hidden="false" customHeight="true" outlineLevel="0" collapsed="false">
      <c r="A34" s="119" t="str">
        <f aca="false">"T-12H PREP — Preparation check at caterer (does NOT confirm loading)  |  Due "&amp;IF(ISNUMBER(Flights!$AI$7),TEXT(Flights!$AI$7,"DD-MMM-YY HH:MM"),"")&amp;" "&amp;Flights!$V$7&amp;" (meal uplift stn)"&amp;" (rows with another due show their own)  |  Complete "&amp;IF(ISNUMBER(Flights!$AL$7),TEXT(Flights!$AL$7,"0%"),Flights!$AL$7)&amp;"  |  8 lines"</f>
        <v>T-12H PREP — Preparation check at caterer (does NOT confirm loading)  |  Due 10-Oct-26 04:05 CGK (meal uplift stn) (rows with another due show their own)  |  Complete 0%  |  8 lines</v>
      </c>
      <c r="B34" s="119"/>
      <c r="C34" s="119"/>
      <c r="D34" s="119"/>
      <c r="E34" s="119"/>
      <c r="F34" s="119"/>
      <c r="G34" s="119"/>
      <c r="H34" s="119"/>
    </row>
    <row r="35" customFormat="false" ht="114" hidden="false" customHeight="true" outlineLevel="0" collapsed="false">
      <c r="A35" s="120" t="str">
        <f aca="false">Checks!$A$79&amp;CHAR(10)&amp;IF(Checks!$I$79="","",Checks!$I$79&amp;": ")&amp;Checks!$J$79</f>
        <v>F03-T12-01
Meal: Meal quality vs menu checklist</v>
      </c>
      <c r="B35" s="120" t="str">
        <f aca="false">Checks!$K$79&amp;IF(Checks!$O$79="","",IF(Checks!$K$79="","",CHAR(10))&amp;"Note: "&amp;Checks!$O$79)</f>
        <v>Note: Preparation check at caterer - does NOT confirm loading.</v>
      </c>
      <c r="C35" s="120" t="str">
        <f aca="false">Checks!$N$79&amp;CHAR(10)&amp;IF(ISNUMBER(Checks!$R$79),TEXT(Checks!$R$79,"DD-MMM-YY HH:MM"),"")&amp;" "&amp;Checks!$P$79</f>
        <v>Required
10-Oct-26 04:05 CGK</v>
      </c>
      <c r="D35" s="120" t="str">
        <f aca="false">IF(TRIM(Checks!$U$79)&lt;&gt;"",Checks!$U$79&amp;IF(Checks!$AB$79="","",CHAR(10)&amp;"CA: "&amp;Checks!$AB$79),IF(LEFT(Checks!$AH$79,10)="N/A – RULE","","[ ] Pass"&amp;CHAR(10)&amp;"[ ] Pass after CA"&amp;CHAR(10)&amp;"[ ] Fail"&amp;IF(Checks!$AT$79=1,CHAR(10)&amp;"[ ] N/A","")&amp;CHAR(10)&amp;"CA: Open / Closed"))</f>
        <v>[ ] Pass
[ ] Pass after CA
[ ] Fail
CA: Open / Closed</v>
      </c>
      <c r="E35" s="120" t="str">
        <f aca="false">IF(Checks!$V$79="","",Checks!$V$79)&amp;IF(Checks!$AC$79="","",IF(Checks!$V$79="","",CHAR(10))&amp;"N/A just.: "&amp;Checks!$AC$79)&amp;IF(OR(Checks!$W$79&lt;&gt;"",AND(Checks!$AQ$79=1,NOT(LEFT(Checks!$AH$79,10)="N/A – RULE"))),CHAR(10)&amp;"Batch: "&amp;IF(Checks!$W$79="","____________",Checks!$W$79),"")&amp;IF(OR(Checks!$X$79&lt;&gt;"",Checks!$Y$79&lt;&gt;"",AND(Checks!$AR$79=1,NOT(LEFT(Checks!$AH$79,10)="N/A – RULE"))),CHAR(10)&amp;"Exp: "&amp;IF(Checks!$X$79="","______",Checks!$X$79)&amp;"  /  Act: "&amp;IF(Checks!$Y$79="","______",Checks!$Y$79),"")</f>
        <v/>
      </c>
      <c r="F35" s="120" t="str">
        <f aca="false">IF(AND(LEFT(Checks!$AH$79,10)="N/A – RULE",TRIM(Checks!$S$79&amp;Checks!$Z$79)=""),"","Type: "&amp;IF(TRIM(Checks!$S$79)="","______________ (see cover list)",Checks!$S$79)&amp;CHAR(10)&amp;"ID: "&amp;IF(TRIM(Checks!$Z$79)="","______________ (record's own no.)",Checks!$Z$79))&amp;IF(Checks!$AA$79="","",CHAR(10)&amp;"CA: "&amp;Checks!$AA$79)</f>
        <v>Type: ______________ (see cover list)
ID: ______________ (record's own no.)</v>
      </c>
      <c r="G35" s="120" t="str">
        <f aca="false">IF(AND(LEFT(Checks!$AH$79,10)="N/A – RULE",NOT(ISNUMBER(Checks!$AD$79)),Checks!$AE$79="",Checks!$T$79=""),"","Done: "&amp;IF(ISNUMBER(Checks!$AD$79),TEXT(Checks!$AD$79,"DD-MMM-YY HH:MM"),"____________")&amp;" "&amp;Checks!$P$79&amp;CHAR(10)&amp;"Verifier: "&amp;IF(Checks!$AE$79="","____________",Checks!$AE$79)&amp;CHAR(10)&amp;"PIC: "&amp;IF(Checks!$T$79="","____________",Checks!$T$79))</f>
        <v>Done: ____________ CGK
Verifier: ____________
PIC: ____________</v>
      </c>
      <c r="H35" s="121" t="str">
        <f aca="false">IF(Checks!$AH$79="","",Checks!$AH$79)</f>
        <v>OPEN</v>
      </c>
    </row>
    <row r="36" customFormat="false" ht="114" hidden="false" customHeight="true" outlineLevel="0" collapsed="false">
      <c r="A36" s="120" t="str">
        <f aca="false">Checks!$A$80&amp;CHAR(10)&amp;IF(Checks!$I$80="","",Checks!$I$80&amp;": ")&amp;Checks!$J$80</f>
        <v>F03-T12-02
Meal: Meal quantities vs menu checklist</v>
      </c>
      <c r="B36" s="120" t="str">
        <f aca="false">Checks!$K$80&amp;IF(Checks!$O$80="","",IF(Checks!$K$80="","",CHAR(10))&amp;"Note: "&amp;Checks!$O$80)</f>
        <v>Enter expected &amp; actual
Note: Preparation check at caterer - does NOT confirm loading.</v>
      </c>
      <c r="C36" s="120" t="str">
        <f aca="false">Checks!$N$80&amp;CHAR(10)&amp;IF(ISNUMBER(Checks!$R$80),TEXT(Checks!$R$80,"DD-MMM-YY HH:MM"),"")&amp;" "&amp;Checks!$P$80</f>
        <v>Required
10-Oct-26 04:05 CGK</v>
      </c>
      <c r="D36" s="120" t="str">
        <f aca="false">IF(TRIM(Checks!$U$80)&lt;&gt;"",Checks!$U$80&amp;IF(Checks!$AB$80="","",CHAR(10)&amp;"CA: "&amp;Checks!$AB$80),IF(LEFT(Checks!$AH$80,10)="N/A – RULE","","[ ] Pass"&amp;CHAR(10)&amp;"[ ] Pass after CA"&amp;CHAR(10)&amp;"[ ] Fail"&amp;IF(Checks!$AT$80=1,CHAR(10)&amp;"[ ] N/A","")&amp;CHAR(10)&amp;"CA: Open / Closed"))</f>
        <v>[ ] Pass
[ ] Pass after CA
[ ] Fail
CA: Open / Closed</v>
      </c>
      <c r="E36" s="120" t="str">
        <f aca="false">IF(Checks!$V$80="","",Checks!$V$80)&amp;IF(Checks!$AC$80="","",IF(Checks!$V$80="","",CHAR(10))&amp;"N/A just.: "&amp;Checks!$AC$80)&amp;IF(OR(Checks!$W$80&lt;&gt;"",AND(Checks!$AQ$80=1,NOT(LEFT(Checks!$AH$80,10)="N/A – RULE"))),CHAR(10)&amp;"Batch: "&amp;IF(Checks!$W$80="","____________",Checks!$W$80),"")&amp;IF(OR(Checks!$X$80&lt;&gt;"",Checks!$Y$80&lt;&gt;"",AND(Checks!$AR$80=1,NOT(LEFT(Checks!$AH$80,10)="N/A – RULE"))),CHAR(10)&amp;"Exp: "&amp;IF(Checks!$X$80="","______",Checks!$X$80)&amp;"  /  Act: "&amp;IF(Checks!$Y$80="","______",Checks!$Y$80),"")</f>
        <v>
Exp: ______  /  Act: ______</v>
      </c>
      <c r="F36" s="120" t="str">
        <f aca="false">IF(AND(LEFT(Checks!$AH$80,10)="N/A – RULE",TRIM(Checks!$S$80&amp;Checks!$Z$80)=""),"","Type: "&amp;IF(TRIM(Checks!$S$80)="","______________ (see cover list)",Checks!$S$80)&amp;CHAR(10)&amp;"ID: "&amp;IF(TRIM(Checks!$Z$80)="","______________ (record's own no.)",Checks!$Z$80))&amp;IF(Checks!$AA$80="","",CHAR(10)&amp;"CA: "&amp;Checks!$AA$80)</f>
        <v>Type: ______________ (see cover list)
ID: ______________ (record's own no.)</v>
      </c>
      <c r="G36" s="120" t="str">
        <f aca="false">IF(AND(LEFT(Checks!$AH$80,10)="N/A – RULE",NOT(ISNUMBER(Checks!$AD$80)),Checks!$AE$80="",Checks!$T$80=""),"","Done: "&amp;IF(ISNUMBER(Checks!$AD$80),TEXT(Checks!$AD$80,"DD-MMM-YY HH:MM"),"____________")&amp;" "&amp;Checks!$P$80&amp;CHAR(10)&amp;"Verifier: "&amp;IF(Checks!$AE$80="","____________",Checks!$AE$80)&amp;CHAR(10)&amp;"PIC: "&amp;IF(Checks!$T$80="","____________",Checks!$T$80))</f>
        <v>Done: ____________ CGK
Verifier: ____________
PIC: ____________</v>
      </c>
      <c r="H36" s="121" t="str">
        <f aca="false">IF(Checks!$AH$80="","",Checks!$AH$80)</f>
        <v>OPEN</v>
      </c>
    </row>
    <row r="37" customFormat="false" ht="114" hidden="false" customHeight="true" outlineLevel="0" collapsed="false">
      <c r="A37" s="120" t="str">
        <f aca="false">Checks!$A$81&amp;CHAR(10)&amp;IF(Checks!$I$81="","",Checks!$I$81&amp;": ")&amp;Checks!$J$81</f>
        <v>F03-T12-03
Equipment: Equipment cleanliness vs GLD</v>
      </c>
      <c r="B37" s="120" t="str">
        <f aca="false">Checks!$K$81&amp;IF(Checks!$O$81="","",IF(Checks!$K$81="","",CHAR(10))&amp;"Note: "&amp;Checks!$O$81)</f>
        <v>Note: Preparation check at caterer - does NOT confirm loading.</v>
      </c>
      <c r="C37" s="120" t="str">
        <f aca="false">Checks!$N$81&amp;CHAR(10)&amp;IF(ISNUMBER(Checks!$R$81),TEXT(Checks!$R$81,"DD-MMM-YY HH:MM"),"")&amp;" "&amp;Checks!$P$81</f>
        <v>Required
10-Oct-26 04:05 CGK</v>
      </c>
      <c r="D37" s="120" t="str">
        <f aca="false">IF(TRIM(Checks!$U$81)&lt;&gt;"",Checks!$U$81&amp;IF(Checks!$AB$81="","",CHAR(10)&amp;"CA: "&amp;Checks!$AB$81),IF(LEFT(Checks!$AH$81,10)="N/A – RULE","","[ ] Pass"&amp;CHAR(10)&amp;"[ ] Pass after CA"&amp;CHAR(10)&amp;"[ ] Fail"&amp;IF(Checks!$AT$81=1,CHAR(10)&amp;"[ ] N/A","")&amp;CHAR(10)&amp;"CA: Open / Closed"))</f>
        <v>[ ] Pass
[ ] Pass after CA
[ ] Fail
CA: Open / Closed</v>
      </c>
      <c r="E37" s="120" t="str">
        <f aca="false">IF(Checks!$V$81="","",Checks!$V$81)&amp;IF(Checks!$AC$81="","",IF(Checks!$V$81="","",CHAR(10))&amp;"N/A just.: "&amp;Checks!$AC$81)&amp;IF(OR(Checks!$W$81&lt;&gt;"",AND(Checks!$AQ$81=1,NOT(LEFT(Checks!$AH$81,10)="N/A – RULE"))),CHAR(10)&amp;"Batch: "&amp;IF(Checks!$W$81="","____________",Checks!$W$81),"")&amp;IF(OR(Checks!$X$81&lt;&gt;"",Checks!$Y$81&lt;&gt;"",AND(Checks!$AR$81=1,NOT(LEFT(Checks!$AH$81,10)="N/A – RULE"))),CHAR(10)&amp;"Exp: "&amp;IF(Checks!$X$81="","______",Checks!$X$81)&amp;"  /  Act: "&amp;IF(Checks!$Y$81="","______",Checks!$Y$81),"")</f>
        <v/>
      </c>
      <c r="F37" s="120" t="str">
        <f aca="false">IF(AND(LEFT(Checks!$AH$81,10)="N/A – RULE",TRIM(Checks!$S$81&amp;Checks!$Z$81)=""),"","Type: "&amp;IF(TRIM(Checks!$S$81)="","______________ (see cover list)",Checks!$S$81)&amp;CHAR(10)&amp;"ID: "&amp;IF(TRIM(Checks!$Z$81)="","______________ (record's own no.)",Checks!$Z$81))&amp;IF(Checks!$AA$81="","",CHAR(10)&amp;"CA: "&amp;Checks!$AA$81)</f>
        <v>Type: ______________ (see cover list)
ID: ______________ (record's own no.)</v>
      </c>
      <c r="G37" s="120" t="str">
        <f aca="false">IF(AND(LEFT(Checks!$AH$81,10)="N/A – RULE",NOT(ISNUMBER(Checks!$AD$81)),Checks!$AE$81="",Checks!$T$81=""),"","Done: "&amp;IF(ISNUMBER(Checks!$AD$81),TEXT(Checks!$AD$81,"DD-MMM-YY HH:MM"),"____________")&amp;" "&amp;Checks!$P$81&amp;CHAR(10)&amp;"Verifier: "&amp;IF(Checks!$AE$81="","____________",Checks!$AE$81)&amp;CHAR(10)&amp;"PIC: "&amp;IF(Checks!$T$81="","____________",Checks!$T$81))</f>
        <v>Done: ____________ CGK
Verifier: ____________
PIC: ____________</v>
      </c>
      <c r="H37" s="121" t="str">
        <f aca="false">IF(Checks!$AH$81="","",Checks!$AH$81)</f>
        <v>OPEN</v>
      </c>
    </row>
    <row r="38" customFormat="false" ht="114" hidden="false" customHeight="true" outlineLevel="0" collapsed="false">
      <c r="A38" s="120" t="str">
        <f aca="false">Checks!$A$82&amp;CHAR(10)&amp;IF(Checks!$I$82="","",Checks!$I$82&amp;": ")&amp;Checks!$J$82</f>
        <v>F03-T12-04
Equipment: Equipment presentation vs GLD</v>
      </c>
      <c r="B38" s="120" t="str">
        <f aca="false">Checks!$K$82&amp;IF(Checks!$O$82="","",IF(Checks!$K$82="","",CHAR(10))&amp;"Note: "&amp;Checks!$O$82)</f>
        <v>Note: Preparation check at caterer - does NOT confirm loading.</v>
      </c>
      <c r="C38" s="120" t="str">
        <f aca="false">Checks!$N$82&amp;CHAR(10)&amp;IF(ISNUMBER(Checks!$R$82),TEXT(Checks!$R$82,"DD-MMM-YY HH:MM"),"")&amp;" "&amp;Checks!$P$82</f>
        <v>Required
10-Oct-26 04:05 CGK</v>
      </c>
      <c r="D38" s="120" t="str">
        <f aca="false">IF(TRIM(Checks!$U$82)&lt;&gt;"",Checks!$U$82&amp;IF(Checks!$AB$82="","",CHAR(10)&amp;"CA: "&amp;Checks!$AB$82),IF(LEFT(Checks!$AH$82,10)="N/A – RULE","","[ ] Pass"&amp;CHAR(10)&amp;"[ ] Pass after CA"&amp;CHAR(10)&amp;"[ ] Fail"&amp;IF(Checks!$AT$82=1,CHAR(10)&amp;"[ ] N/A","")&amp;CHAR(10)&amp;"CA: Open / Closed"))</f>
        <v>[ ] Pass
[ ] Pass after CA
[ ] Fail
CA: Open / Closed</v>
      </c>
      <c r="E38" s="120" t="str">
        <f aca="false">IF(Checks!$V$82="","",Checks!$V$82)&amp;IF(Checks!$AC$82="","",IF(Checks!$V$82="","",CHAR(10))&amp;"N/A just.: "&amp;Checks!$AC$82)&amp;IF(OR(Checks!$W$82&lt;&gt;"",AND(Checks!$AQ$82=1,NOT(LEFT(Checks!$AH$82,10)="N/A – RULE"))),CHAR(10)&amp;"Batch: "&amp;IF(Checks!$W$82="","____________",Checks!$W$82),"")&amp;IF(OR(Checks!$X$82&lt;&gt;"",Checks!$Y$82&lt;&gt;"",AND(Checks!$AR$82=1,NOT(LEFT(Checks!$AH$82,10)="N/A – RULE"))),CHAR(10)&amp;"Exp: "&amp;IF(Checks!$X$82="","______",Checks!$X$82)&amp;"  /  Act: "&amp;IF(Checks!$Y$82="","______",Checks!$Y$82),"")</f>
        <v/>
      </c>
      <c r="F38" s="120" t="str">
        <f aca="false">IF(AND(LEFT(Checks!$AH$82,10)="N/A – RULE",TRIM(Checks!$S$82&amp;Checks!$Z$82)=""),"","Type: "&amp;IF(TRIM(Checks!$S$82)="","______________ (see cover list)",Checks!$S$82)&amp;CHAR(10)&amp;"ID: "&amp;IF(TRIM(Checks!$Z$82)="","______________ (record's own no.)",Checks!$Z$82))&amp;IF(Checks!$AA$82="","",CHAR(10)&amp;"CA: "&amp;Checks!$AA$82)</f>
        <v>Type: ______________ (see cover list)
ID: ______________ (record's own no.)</v>
      </c>
      <c r="G38" s="120" t="str">
        <f aca="false">IF(AND(LEFT(Checks!$AH$82,10)="N/A – RULE",NOT(ISNUMBER(Checks!$AD$82)),Checks!$AE$82="",Checks!$T$82=""),"","Done: "&amp;IF(ISNUMBER(Checks!$AD$82),TEXT(Checks!$AD$82,"DD-MMM-YY HH:MM"),"____________")&amp;" "&amp;Checks!$P$82&amp;CHAR(10)&amp;"Verifier: "&amp;IF(Checks!$AE$82="","____________",Checks!$AE$82)&amp;CHAR(10)&amp;"PIC: "&amp;IF(Checks!$T$82="","____________",Checks!$T$82))</f>
        <v>Done: ____________ CGK
Verifier: ____________
PIC: ____________</v>
      </c>
      <c r="H38" s="121" t="str">
        <f aca="false">IF(Checks!$AH$82="","",Checks!$AH$82)</f>
        <v>OPEN</v>
      </c>
    </row>
    <row r="39" customFormat="false" ht="114" hidden="false" customHeight="true" outlineLevel="0" collapsed="false">
      <c r="A39" s="120" t="str">
        <f aca="false">Checks!$A$83&amp;CHAR(10)&amp;IF(Checks!$I$83="","",Checks!$I$83&amp;": ")&amp;Checks!$J$83</f>
        <v>F03-T12-05
Equipment: Equipment serviceability vs GLD</v>
      </c>
      <c r="B39" s="120" t="str">
        <f aca="false">Checks!$K$83&amp;IF(Checks!$O$83="","",IF(Checks!$K$83="","",CHAR(10))&amp;"Note: "&amp;Checks!$O$83)</f>
        <v>Note: Preparation check at caterer - does NOT confirm loading.</v>
      </c>
      <c r="C39" s="120" t="str">
        <f aca="false">Checks!$N$83&amp;CHAR(10)&amp;IF(ISNUMBER(Checks!$R$83),TEXT(Checks!$R$83,"DD-MMM-YY HH:MM"),"")&amp;" "&amp;Checks!$P$83</f>
        <v>Required
10-Oct-26 04:05 CGK</v>
      </c>
      <c r="D39" s="120" t="str">
        <f aca="false">IF(TRIM(Checks!$U$83)&lt;&gt;"",Checks!$U$83&amp;IF(Checks!$AB$83="","",CHAR(10)&amp;"CA: "&amp;Checks!$AB$83),IF(LEFT(Checks!$AH$83,10)="N/A – RULE","","[ ] Pass"&amp;CHAR(10)&amp;"[ ] Pass after CA"&amp;CHAR(10)&amp;"[ ] Fail"&amp;IF(Checks!$AT$83=1,CHAR(10)&amp;"[ ] N/A","")&amp;CHAR(10)&amp;"CA: Open / Closed"))</f>
        <v>[ ] Pass
[ ] Pass after CA
[ ] Fail
CA: Open / Closed</v>
      </c>
      <c r="E39" s="120" t="str">
        <f aca="false">IF(Checks!$V$83="","",Checks!$V$83)&amp;IF(Checks!$AC$83="","",IF(Checks!$V$83="","",CHAR(10))&amp;"N/A just.: "&amp;Checks!$AC$83)&amp;IF(OR(Checks!$W$83&lt;&gt;"",AND(Checks!$AQ$83=1,NOT(LEFT(Checks!$AH$83,10)="N/A – RULE"))),CHAR(10)&amp;"Batch: "&amp;IF(Checks!$W$83="","____________",Checks!$W$83),"")&amp;IF(OR(Checks!$X$83&lt;&gt;"",Checks!$Y$83&lt;&gt;"",AND(Checks!$AR$83=1,NOT(LEFT(Checks!$AH$83,10)="N/A – RULE"))),CHAR(10)&amp;"Exp: "&amp;IF(Checks!$X$83="","______",Checks!$X$83)&amp;"  /  Act: "&amp;IF(Checks!$Y$83="","______",Checks!$Y$83),"")</f>
        <v/>
      </c>
      <c r="F39" s="120" t="str">
        <f aca="false">IF(AND(LEFT(Checks!$AH$83,10)="N/A – RULE",TRIM(Checks!$S$83&amp;Checks!$Z$83)=""),"","Type: "&amp;IF(TRIM(Checks!$S$83)="","______________ (see cover list)",Checks!$S$83)&amp;CHAR(10)&amp;"ID: "&amp;IF(TRIM(Checks!$Z$83)="","______________ (record's own no.)",Checks!$Z$83))&amp;IF(Checks!$AA$83="","",CHAR(10)&amp;"CA: "&amp;Checks!$AA$83)</f>
        <v>Type: ______________ (see cover list)
ID: ______________ (record's own no.)</v>
      </c>
      <c r="G39" s="120" t="str">
        <f aca="false">IF(AND(LEFT(Checks!$AH$83,10)="N/A – RULE",NOT(ISNUMBER(Checks!$AD$83)),Checks!$AE$83="",Checks!$T$83=""),"","Done: "&amp;IF(ISNUMBER(Checks!$AD$83),TEXT(Checks!$AD$83,"DD-MMM-YY HH:MM"),"____________")&amp;" "&amp;Checks!$P$83&amp;CHAR(10)&amp;"Verifier: "&amp;IF(Checks!$AE$83="","____________",Checks!$AE$83)&amp;CHAR(10)&amp;"PIC: "&amp;IF(Checks!$T$83="","____________",Checks!$T$83))</f>
        <v>Done: ____________ CGK
Verifier: ____________
PIC: ____________</v>
      </c>
      <c r="H39" s="121" t="str">
        <f aca="false">IF(Checks!$AH$83="","",Checks!$AH$83)</f>
        <v>OPEN</v>
      </c>
    </row>
    <row r="40" customFormat="false" ht="190.5" hidden="false" customHeight="true" outlineLevel="0" collapsed="false">
      <c r="A40" s="120" t="str">
        <f aca="false">Checks!$A$84&amp;CHAR(10)&amp;IF(Checks!$I$84="","",Checks!$I$84&amp;": ")&amp;Checks!$J$84</f>
        <v>F03-T12-06
Equipment: Equipment quantities vs GLD</v>
      </c>
      <c r="B40" s="120" t="str">
        <f aca="false">SUBSTITUTE(SUBSTITUTE(SUBSTITUTE(Checks!$K$84&amp;IF(Checks!$O$84="","",IF(Checks!$K$84="","",CHAR(10))&amp;"Note: "&amp;Checks!$O$84),"makers -,","makers n/a,"),"espresso -,","espresso n/a,")," (AIRCRAFT TYPE!C9:R9)","")</f>
        <v>Enter expected &amp; actual. Aircraft galley data: A330-300 (A333): carts 42.5, SU 100, ovens 12, warming ovens 4, fridges 4, water heaters 6, beverage makers n/a, espresso n/a, folding trolleys 4, headsets BC &amp; EY: Dual Pin
Note: Preparation check at caterer - does NOT confirm loading.</v>
      </c>
      <c r="C40" s="120" t="str">
        <f aca="false">Checks!$N$84&amp;CHAR(10)&amp;IF(ISNUMBER(Checks!$R$84),TEXT(Checks!$R$84,"DD-MMM-YY HH:MM"),"")&amp;" "&amp;Checks!$P$84</f>
        <v>Required
10-Oct-26 04:05 CGK</v>
      </c>
      <c r="D40" s="120" t="str">
        <f aca="false">IF(TRIM(Checks!$U$84)&lt;&gt;"",Checks!$U$84&amp;IF(Checks!$AB$84="","",CHAR(10)&amp;"CA: "&amp;Checks!$AB$84),IF(LEFT(Checks!$AH$84,10)="N/A – RULE","","[ ] Pass"&amp;CHAR(10)&amp;"[ ] Pass after CA"&amp;CHAR(10)&amp;"[ ] Fail"&amp;IF(Checks!$AT$84=1,CHAR(10)&amp;"[ ] N/A","")&amp;CHAR(10)&amp;"CA: Open / Closed"))</f>
        <v>[ ] Pass
[ ] Pass after CA
[ ] Fail
CA: Open / Closed</v>
      </c>
      <c r="E40" s="120" t="str">
        <f aca="false">IF(Checks!$V$84="","",Checks!$V$84)&amp;IF(Checks!$AC$84="","",IF(Checks!$V$84="","",CHAR(10))&amp;"N/A just.: "&amp;Checks!$AC$84)&amp;IF(OR(Checks!$W$84&lt;&gt;"",AND(Checks!$AQ$84=1,NOT(LEFT(Checks!$AH$84,10)="N/A – RULE"))),CHAR(10)&amp;"Batch: "&amp;IF(Checks!$W$84="","____________",Checks!$W$84),"")&amp;IF(OR(Checks!$X$84&lt;&gt;"",Checks!$Y$84&lt;&gt;"",AND(Checks!$AR$84=1,NOT(LEFT(Checks!$AH$84,10)="N/A – RULE"))),CHAR(10)&amp;"Exp: "&amp;IF(Checks!$X$84="","______",Checks!$X$84)&amp;"  /  Act: "&amp;IF(Checks!$Y$84="","______",Checks!$Y$84),"")</f>
        <v>
Exp: ______  /  Act: ______</v>
      </c>
      <c r="F40" s="120" t="str">
        <f aca="false">IF(AND(LEFT(Checks!$AH$84,10)="N/A – RULE",TRIM(Checks!$S$84&amp;Checks!$Z$84)=""),"","Type: "&amp;IF(TRIM(Checks!$S$84)="","______________ (see cover list)",Checks!$S$84)&amp;CHAR(10)&amp;"ID: "&amp;IF(TRIM(Checks!$Z$84)="","______________ (record's own no.)",Checks!$Z$84))&amp;IF(Checks!$AA$84="","",CHAR(10)&amp;"CA: "&amp;Checks!$AA$84)</f>
        <v>Type: ______________ (see cover list)
ID: ______________ (record's own no.)</v>
      </c>
      <c r="G40" s="120" t="str">
        <f aca="false">IF(AND(LEFT(Checks!$AH$84,10)="N/A – RULE",NOT(ISNUMBER(Checks!$AD$84)),Checks!$AE$84="",Checks!$T$84=""),"","Done: "&amp;IF(ISNUMBER(Checks!$AD$84),TEXT(Checks!$AD$84,"DD-MMM-YY HH:MM"),"____________")&amp;" "&amp;Checks!$P$84&amp;CHAR(10)&amp;"Verifier: "&amp;IF(Checks!$AE$84="","____________",Checks!$AE$84)&amp;CHAR(10)&amp;"PIC: "&amp;IF(Checks!$T$84="","____________",Checks!$T$84))</f>
        <v>Done: ____________ CGK
Verifier: ____________
PIC: ____________</v>
      </c>
      <c r="H40" s="121" t="str">
        <f aca="false">IF(Checks!$AH$84="","",Checks!$AH$84)</f>
        <v>OPEN</v>
      </c>
    </row>
    <row r="41" customFormat="false" ht="114" hidden="false" customHeight="true" outlineLevel="0" collapsed="false">
      <c r="A41" s="120" t="str">
        <f aca="false">Checks!$A$85&amp;CHAR(10)&amp;IF(Checks!$I$85="","",Checks!$I$85&amp;": ")&amp;Checks!$J$85</f>
        <v>F03-T12-07
Equipment: Loading positions planned vs GLD</v>
      </c>
      <c r="B41" s="120" t="str">
        <f aca="false">Checks!$K$85&amp;IF(Checks!$O$85="","",IF(Checks!$K$85="","",CHAR(10))&amp;"Note: "&amp;Checks!$O$85)</f>
        <v>Note: Preparation check at caterer - does NOT confirm loading.</v>
      </c>
      <c r="C41" s="120" t="str">
        <f aca="false">Checks!$N$85&amp;CHAR(10)&amp;IF(ISNUMBER(Checks!$R$85),TEXT(Checks!$R$85,"DD-MMM-YY HH:MM"),"")&amp;" "&amp;Checks!$P$85</f>
        <v>Required
10-Oct-26 04:05 CGK</v>
      </c>
      <c r="D41" s="120" t="str">
        <f aca="false">IF(TRIM(Checks!$U$85)&lt;&gt;"",Checks!$U$85&amp;IF(Checks!$AB$85="","",CHAR(10)&amp;"CA: "&amp;Checks!$AB$85),IF(LEFT(Checks!$AH$85,10)="N/A – RULE","","[ ] Pass"&amp;CHAR(10)&amp;"[ ] Pass after CA"&amp;CHAR(10)&amp;"[ ] Fail"&amp;IF(Checks!$AT$85=1,CHAR(10)&amp;"[ ] N/A","")&amp;CHAR(10)&amp;"CA: Open / Closed"))</f>
        <v>[ ] Pass
[ ] Pass after CA
[ ] Fail
CA: Open / Closed</v>
      </c>
      <c r="E41" s="120" t="str">
        <f aca="false">IF(Checks!$V$85="","",Checks!$V$85)&amp;IF(Checks!$AC$85="","",IF(Checks!$V$85="","",CHAR(10))&amp;"N/A just.: "&amp;Checks!$AC$85)&amp;IF(OR(Checks!$W$85&lt;&gt;"",AND(Checks!$AQ$85=1,NOT(LEFT(Checks!$AH$85,10)="N/A – RULE"))),CHAR(10)&amp;"Batch: "&amp;IF(Checks!$W$85="","____________",Checks!$W$85),"")&amp;IF(OR(Checks!$X$85&lt;&gt;"",Checks!$Y$85&lt;&gt;"",AND(Checks!$AR$85=1,NOT(LEFT(Checks!$AH$85,10)="N/A – RULE"))),CHAR(10)&amp;"Exp: "&amp;IF(Checks!$X$85="","______",Checks!$X$85)&amp;"  /  Act: "&amp;IF(Checks!$Y$85="","______",Checks!$Y$85),"")</f>
        <v/>
      </c>
      <c r="F41" s="120" t="str">
        <f aca="false">IF(AND(LEFT(Checks!$AH$85,10)="N/A – RULE",TRIM(Checks!$S$85&amp;Checks!$Z$85)=""),"","Type: "&amp;IF(TRIM(Checks!$S$85)="","______________ (see cover list)",Checks!$S$85)&amp;CHAR(10)&amp;"ID: "&amp;IF(TRIM(Checks!$Z$85)="","______________ (record's own no.)",Checks!$Z$85))&amp;IF(Checks!$AA$85="","",CHAR(10)&amp;"CA: "&amp;Checks!$AA$85)</f>
        <v>Type: ______________ (see cover list)
ID: ______________ (record's own no.)</v>
      </c>
      <c r="G41" s="120" t="str">
        <f aca="false">IF(AND(LEFT(Checks!$AH$85,10)="N/A – RULE",NOT(ISNUMBER(Checks!$AD$85)),Checks!$AE$85="",Checks!$T$85=""),"","Done: "&amp;IF(ISNUMBER(Checks!$AD$85),TEXT(Checks!$AD$85,"DD-MMM-YY HH:MM"),"____________")&amp;" "&amp;Checks!$P$85&amp;CHAR(10)&amp;"Verifier: "&amp;IF(Checks!$AE$85="","____________",Checks!$AE$85)&amp;CHAR(10)&amp;"PIC: "&amp;IF(Checks!$T$85="","____________",Checks!$T$85))</f>
        <v>Done: ____________ CGK
Verifier: ____________
PIC: ____________</v>
      </c>
      <c r="H41" s="121" t="str">
        <f aca="false">IF(Checks!$AH$85="","",Checks!$AH$85)</f>
        <v>OPEN</v>
      </c>
    </row>
    <row r="42" customFormat="false" ht="114" hidden="false" customHeight="true" outlineLevel="0" collapsed="false">
      <c r="A42" s="120" t="str">
        <f aca="false">Checks!$A$86&amp;CHAR(10)&amp;IF(Checks!$I$86="","",Checks!$I$86&amp;": ")&amp;Checks!$J$86</f>
        <v>F03-T12-08
Seat Linen: Seat pillow (EY) - prepared</v>
      </c>
      <c r="B42" s="120" t="str">
        <f aca="false">Checks!$K$86&amp;IF(Checks!$O$86="","",IF(Checks!$K$86="","",CHAR(10))&amp;"Note: "&amp;Checks!$O$86)</f>
        <v>Available 100% (ticked in reference)
Note: Reference gives no uplift stn for this item: preparation checked at the meal uplift stn (CGK) - confirm with caterer.</v>
      </c>
      <c r="C42" s="120" t="str">
        <f aca="false">Checks!$N$86&amp;CHAR(10)&amp;IF(ISNUMBER(Checks!$R$86),TEXT(Checks!$R$86,"DD-MMM-YY HH:MM"),"")&amp;" "&amp;Checks!$P$86</f>
        <v>Required
10-Oct-26 04:05 CGK</v>
      </c>
      <c r="D42" s="120" t="str">
        <f aca="false">IF(TRIM(Checks!$U$86)&lt;&gt;"",Checks!$U$86&amp;IF(Checks!$AB$86="","",CHAR(10)&amp;"CA: "&amp;Checks!$AB$86),IF(LEFT(Checks!$AH$86,10)="N/A – RULE","","[ ] Pass"&amp;CHAR(10)&amp;"[ ] Pass after CA"&amp;CHAR(10)&amp;"[ ] Fail"&amp;IF(Checks!$AT$86=1,CHAR(10)&amp;"[ ] N/A","")&amp;CHAR(10)&amp;"CA: Open / Closed"))</f>
        <v>[ ] Pass
[ ] Pass after CA
[ ] Fail
CA: Open / Closed</v>
      </c>
      <c r="E42" s="120" t="str">
        <f aca="false">IF(Checks!$V$86="","",Checks!$V$86)&amp;IF(Checks!$AC$86="","",IF(Checks!$V$86="","",CHAR(10))&amp;"N/A just.: "&amp;Checks!$AC$86)&amp;IF(OR(Checks!$W$86&lt;&gt;"",AND(Checks!$AQ$86=1,NOT(LEFT(Checks!$AH$86,10)="N/A – RULE"))),CHAR(10)&amp;"Batch: "&amp;IF(Checks!$W$86="","____________",Checks!$W$86),"")&amp;IF(OR(Checks!$X$86&lt;&gt;"",Checks!$Y$86&lt;&gt;"",AND(Checks!$AR$86=1,NOT(LEFT(Checks!$AH$86,10)="N/A – RULE"))),CHAR(10)&amp;"Exp: "&amp;IF(Checks!$X$86="","______",Checks!$X$86)&amp;"  /  Act: "&amp;IF(Checks!$Y$86="","______",Checks!$Y$86),"")</f>
        <v/>
      </c>
      <c r="F42" s="120" t="str">
        <f aca="false">IF(AND(LEFT(Checks!$AH$86,10)="N/A – RULE",TRIM(Checks!$S$86&amp;Checks!$Z$86)=""),"","Type: "&amp;IF(TRIM(Checks!$S$86)="","______________ (see cover list)",Checks!$S$86)&amp;CHAR(10)&amp;"ID: "&amp;IF(TRIM(Checks!$Z$86)="","______________ (record's own no.)",Checks!$Z$86))&amp;IF(Checks!$AA$86="","",CHAR(10)&amp;"CA: "&amp;Checks!$AA$86)</f>
        <v>Type: ______________ (see cover list)
ID: ______________ (record's own no.)</v>
      </c>
      <c r="G42" s="120" t="str">
        <f aca="false">IF(AND(LEFT(Checks!$AH$86,10)="N/A – RULE",NOT(ISNUMBER(Checks!$AD$86)),Checks!$AE$86="",Checks!$T$86=""),"","Done: "&amp;IF(ISNUMBER(Checks!$AD$86),TEXT(Checks!$AD$86,"DD-MMM-YY HH:MM"),"____________")&amp;" "&amp;Checks!$P$86&amp;CHAR(10)&amp;"Verifier: "&amp;IF(Checks!$AE$86="","____________",Checks!$AE$86)&amp;CHAR(10)&amp;"PIC: "&amp;IF(Checks!$T$86="","____________",Checks!$T$86))</f>
        <v>Done: ____________ CGK
Verifier: ____________
PIC: ____________</v>
      </c>
      <c r="H42" s="121" t="str">
        <f aca="false">IF(Checks!$AH$86="","",Checks!$AH$86)</f>
        <v>OPEN</v>
      </c>
    </row>
    <row r="43" customFormat="false" ht="25.5" hidden="false" customHeight="true" outlineLevel="0" collapsed="false">
      <c r="A43" s="119" t="str">
        <f aca="false">"UPLIFT — Physical uplift – on-board confirmation before departure  |  Due "&amp;"STD "&amp;IF(ISNUMBER(Flights!$I$7),TEXT(Flights!$I$7,"DD-MMM-YY HH:MM"),"")&amp;" "&amp;Flights!$G$7&amp;" (departure stn)"&amp;" (rows with another due show their own)  |  Complete "&amp;IF(ISNUMBER(Flights!$AM$7),TEXT(Flights!$AM$7,"0%"),Flights!$AM$7)&amp;"  |  3 lines"</f>
        <v>UPLIFT — Physical uplift – on-board confirmation before departure  |  Due STD 10-Oct-26 16:05 CGK (departure stn) (rows with another due show their own)  |  Complete 0%  |  3 lines</v>
      </c>
      <c r="B43" s="119"/>
      <c r="C43" s="119"/>
      <c r="D43" s="119"/>
      <c r="E43" s="119"/>
      <c r="F43" s="119"/>
      <c r="G43" s="119"/>
      <c r="H43" s="119"/>
    </row>
    <row r="44" customFormat="false" ht="114" hidden="false" customHeight="true" outlineLevel="0" collapsed="false">
      <c r="A44" s="120" t="str">
        <f aca="false">Checks!$A$87&amp;CHAR(10)&amp;IF(Checks!$I$87="","",Checks!$I$87&amp;": ")&amp;Checks!$J$87</f>
        <v>F03-UPL-01
Meal: Meals physically uplifted on board - quantity vs menu checklist</v>
      </c>
      <c r="B44" s="120" t="str">
        <f aca="false">Checks!$K$87&amp;IF(Checks!$O$87="","",IF(Checks!$K$87="","",CHAR(10))&amp;"Note: "&amp;Checks!$O$87)</f>
        <v>Enter expected &amp; actual
Note: Confirm on board before departure; completion time must fall inside the uplift window.</v>
      </c>
      <c r="C44" s="120" t="str">
        <f aca="false">Checks!$N$87&amp;CHAR(10)&amp;IF(ISNUMBER(Checks!$R$87),TEXT(Checks!$R$87,"DD-MMM-YY HH:MM"),"")&amp;" "&amp;Checks!$P$87</f>
        <v>Required
10-Oct-26 16:05 CGK</v>
      </c>
      <c r="D44" s="120" t="str">
        <f aca="false">IF(TRIM(Checks!$U$87)&lt;&gt;"",Checks!$U$87&amp;IF(Checks!$AB$87="","",CHAR(10)&amp;"CA: "&amp;Checks!$AB$87),IF(LEFT(Checks!$AH$87,10)="N/A – RULE","","[ ] Pass"&amp;CHAR(10)&amp;"[ ] Pass after CA"&amp;CHAR(10)&amp;"[ ] Fail"&amp;IF(Checks!$AT$87=1,CHAR(10)&amp;"[ ] N/A","")&amp;CHAR(10)&amp;"CA: Open / Closed"))</f>
        <v>[ ] Pass
[ ] Pass after CA
[ ] Fail
CA: Open / Closed</v>
      </c>
      <c r="E44" s="120" t="str">
        <f aca="false">IF(Checks!$V$87="","",Checks!$V$87)&amp;IF(Checks!$AC$87="","",IF(Checks!$V$87="","",CHAR(10))&amp;"N/A just.: "&amp;Checks!$AC$87)&amp;IF(OR(Checks!$W$87&lt;&gt;"",AND(Checks!$AQ$87=1,NOT(LEFT(Checks!$AH$87,10)="N/A – RULE"))),CHAR(10)&amp;"Batch: "&amp;IF(Checks!$W$87="","____________",Checks!$W$87),"")&amp;IF(OR(Checks!$X$87&lt;&gt;"",Checks!$Y$87&lt;&gt;"",AND(Checks!$AR$87=1,NOT(LEFT(Checks!$AH$87,10)="N/A – RULE"))),CHAR(10)&amp;"Exp: "&amp;IF(Checks!$X$87="","______",Checks!$X$87)&amp;"  /  Act: "&amp;IF(Checks!$Y$87="","______",Checks!$Y$87),"")</f>
        <v>
Exp: ______  /  Act: ______</v>
      </c>
      <c r="F44" s="120" t="str">
        <f aca="false">IF(AND(LEFT(Checks!$AH$87,10)="N/A – RULE",TRIM(Checks!$S$87&amp;Checks!$Z$87)=""),"","Type: "&amp;IF(TRIM(Checks!$S$87)="","______________ (see cover list)",Checks!$S$87)&amp;CHAR(10)&amp;"ID: "&amp;IF(TRIM(Checks!$Z$87)="","______________ (record's own no.)",Checks!$Z$87))&amp;IF(Checks!$AA$87="","",CHAR(10)&amp;"CA: "&amp;Checks!$AA$87)</f>
        <v>Type: ______________ (see cover list)
ID: ______________ (record's own no.)</v>
      </c>
      <c r="G44" s="120" t="str">
        <f aca="false">IF(AND(LEFT(Checks!$AH$87,10)="N/A – RULE",NOT(ISNUMBER(Checks!$AD$87)),Checks!$AE$87="",Checks!$T$87=""),"","Done: "&amp;IF(ISNUMBER(Checks!$AD$87),TEXT(Checks!$AD$87,"DD-MMM-YY HH:MM"),"____________")&amp;" "&amp;Checks!$P$87&amp;CHAR(10)&amp;"Verifier: "&amp;IF(Checks!$AE$87="","____________",Checks!$AE$87)&amp;CHAR(10)&amp;"PIC: "&amp;IF(Checks!$T$87="","____________",Checks!$T$87))</f>
        <v>Done: ____________ CGK
Verifier: ____________
PIC: ____________</v>
      </c>
      <c r="H44" s="121" t="str">
        <f aca="false">IF(Checks!$AH$87="","",Checks!$AH$87)</f>
        <v>OPEN</v>
      </c>
    </row>
    <row r="45" customFormat="false" ht="114" hidden="false" customHeight="true" outlineLevel="0" collapsed="false">
      <c r="A45" s="120" t="str">
        <f aca="false">Checks!$A$88&amp;CHAR(10)&amp;IF(Checks!$I$88="","",Checks!$I$88&amp;": ")&amp;Checks!$J$88</f>
        <v>F03-UPL-02
Equipment: Equipment physically loaded at GLD positions - quantity &amp; positions</v>
      </c>
      <c r="B45" s="120" t="str">
        <f aca="false">Checks!$K$88&amp;IF(Checks!$O$88="","",IF(Checks!$K$88="","",CHAR(10))&amp;"Note: "&amp;Checks!$O$88)</f>
        <v>Enter expected &amp; actual
Note: Confirm on board before departure; completion time must fall inside the uplift window.</v>
      </c>
      <c r="C45" s="120" t="str">
        <f aca="false">Checks!$N$88&amp;CHAR(10)&amp;IF(ISNUMBER(Checks!$R$88),TEXT(Checks!$R$88,"DD-MMM-YY HH:MM"),"")&amp;" "&amp;Checks!$P$88</f>
        <v>Required
10-Oct-26 16:05 CGK</v>
      </c>
      <c r="D45" s="120" t="str">
        <f aca="false">IF(TRIM(Checks!$U$88)&lt;&gt;"",Checks!$U$88&amp;IF(Checks!$AB$88="","",CHAR(10)&amp;"CA: "&amp;Checks!$AB$88),IF(LEFT(Checks!$AH$88,10)="N/A – RULE","","[ ] Pass"&amp;CHAR(10)&amp;"[ ] Pass after CA"&amp;CHAR(10)&amp;"[ ] Fail"&amp;IF(Checks!$AT$88=1,CHAR(10)&amp;"[ ] N/A","")&amp;CHAR(10)&amp;"CA: Open / Closed"))</f>
        <v>[ ] Pass
[ ] Pass after CA
[ ] Fail
CA: Open / Closed</v>
      </c>
      <c r="E45" s="120" t="str">
        <f aca="false">IF(Checks!$V$88="","",Checks!$V$88)&amp;IF(Checks!$AC$88="","",IF(Checks!$V$88="","",CHAR(10))&amp;"N/A just.: "&amp;Checks!$AC$88)&amp;IF(OR(Checks!$W$88&lt;&gt;"",AND(Checks!$AQ$88=1,NOT(LEFT(Checks!$AH$88,10)="N/A – RULE"))),CHAR(10)&amp;"Batch: "&amp;IF(Checks!$W$88="","____________",Checks!$W$88),"")&amp;IF(OR(Checks!$X$88&lt;&gt;"",Checks!$Y$88&lt;&gt;"",AND(Checks!$AR$88=1,NOT(LEFT(Checks!$AH$88,10)="N/A – RULE"))),CHAR(10)&amp;"Exp: "&amp;IF(Checks!$X$88="","______",Checks!$X$88)&amp;"  /  Act: "&amp;IF(Checks!$Y$88="","______",Checks!$Y$88),"")</f>
        <v>
Exp: ______  /  Act: ______</v>
      </c>
      <c r="F45" s="120" t="str">
        <f aca="false">IF(AND(LEFT(Checks!$AH$88,10)="N/A – RULE",TRIM(Checks!$S$88&amp;Checks!$Z$88)=""),"","Type: "&amp;IF(TRIM(Checks!$S$88)="","______________ (see cover list)",Checks!$S$88)&amp;CHAR(10)&amp;"ID: "&amp;IF(TRIM(Checks!$Z$88)="","______________ (record's own no.)",Checks!$Z$88))&amp;IF(Checks!$AA$88="","",CHAR(10)&amp;"CA: "&amp;Checks!$AA$88)</f>
        <v>Type: ______________ (see cover list)
ID: ______________ (record's own no.)</v>
      </c>
      <c r="G45" s="120" t="str">
        <f aca="false">IF(AND(LEFT(Checks!$AH$88,10)="N/A – RULE",NOT(ISNUMBER(Checks!$AD$88)),Checks!$AE$88="",Checks!$T$88=""),"","Done: "&amp;IF(ISNUMBER(Checks!$AD$88),TEXT(Checks!$AD$88,"DD-MMM-YY HH:MM"),"____________")&amp;" "&amp;Checks!$P$88&amp;CHAR(10)&amp;"Verifier: "&amp;IF(Checks!$AE$88="","____________",Checks!$AE$88)&amp;CHAR(10)&amp;"PIC: "&amp;IF(Checks!$T$88="","____________",Checks!$T$88))</f>
        <v>Done: ____________ CGK
Verifier: ____________
PIC: ____________</v>
      </c>
      <c r="H45" s="121" t="str">
        <f aca="false">IF(Checks!$AH$88="","",Checks!$AH$88)</f>
        <v>OPEN</v>
      </c>
    </row>
    <row r="46" customFormat="false" ht="114" hidden="false" customHeight="true" outlineLevel="0" collapsed="false">
      <c r="A46" s="120" t="str">
        <f aca="false">Checks!$A$89&amp;CHAR(10)&amp;IF(Checks!$I$89="","",Checks!$I$89&amp;": ")&amp;Checks!$J$89</f>
        <v>F03-UPL-03
Seat Linen: Seat pillow (EY) - on board</v>
      </c>
      <c r="B46" s="120" t="str">
        <f aca="false">Checks!$K$89&amp;IF(Checks!$O$89="","",IF(Checks!$K$89="","",CHAR(10))&amp;"Note: "&amp;Checks!$O$89)</f>
        <v>Available 100% (ticked in reference)</v>
      </c>
      <c r="C46" s="120" t="str">
        <f aca="false">Checks!$N$89&amp;CHAR(10)&amp;IF(ISNUMBER(Checks!$R$89),TEXT(Checks!$R$89,"DD-MMM-YY HH:MM"),"")&amp;" "&amp;Checks!$P$89</f>
        <v>Required
10-Oct-26 16:05 CGK</v>
      </c>
      <c r="D46" s="120" t="str">
        <f aca="false">IF(TRIM(Checks!$U$89)&lt;&gt;"",Checks!$U$89&amp;IF(Checks!$AB$89="","",CHAR(10)&amp;"CA: "&amp;Checks!$AB$89),IF(LEFT(Checks!$AH$89,10)="N/A – RULE","","[ ] Pass"&amp;CHAR(10)&amp;"[ ] Pass after CA"&amp;CHAR(10)&amp;"[ ] Fail"&amp;IF(Checks!$AT$89=1,CHAR(10)&amp;"[ ] N/A","")&amp;CHAR(10)&amp;"CA: Open / Closed"))</f>
        <v>[ ] Pass
[ ] Pass after CA
[ ] Fail
CA: Open / Closed</v>
      </c>
      <c r="E46" s="120" t="str">
        <f aca="false">IF(Checks!$V$89="","",Checks!$V$89)&amp;IF(Checks!$AC$89="","",IF(Checks!$V$89="","",CHAR(10))&amp;"N/A just.: "&amp;Checks!$AC$89)&amp;IF(OR(Checks!$W$89&lt;&gt;"",AND(Checks!$AQ$89=1,NOT(LEFT(Checks!$AH$89,10)="N/A – RULE"))),CHAR(10)&amp;"Batch: "&amp;IF(Checks!$W$89="","____________",Checks!$W$89),"")&amp;IF(OR(Checks!$X$89&lt;&gt;"",Checks!$Y$89&lt;&gt;"",AND(Checks!$AR$89=1,NOT(LEFT(Checks!$AH$89,10)="N/A – RULE"))),CHAR(10)&amp;"Exp: "&amp;IF(Checks!$X$89="","______",Checks!$X$89)&amp;"  /  Act: "&amp;IF(Checks!$Y$89="","______",Checks!$Y$89),"")</f>
        <v/>
      </c>
      <c r="F46" s="120" t="str">
        <f aca="false">IF(AND(LEFT(Checks!$AH$89,10)="N/A – RULE",TRIM(Checks!$S$89&amp;Checks!$Z$89)=""),"","Type: "&amp;IF(TRIM(Checks!$S$89)="","______________ (see cover list)",Checks!$S$89)&amp;CHAR(10)&amp;"ID: "&amp;IF(TRIM(Checks!$Z$89)="","______________ (record's own no.)",Checks!$Z$89))&amp;IF(Checks!$AA$89="","",CHAR(10)&amp;"CA: "&amp;Checks!$AA$89)</f>
        <v>Type: ______________ (see cover list)
ID: ______________ (record's own no.)</v>
      </c>
      <c r="G46" s="120" t="str">
        <f aca="false">IF(AND(LEFT(Checks!$AH$89,10)="N/A – RULE",NOT(ISNUMBER(Checks!$AD$89)),Checks!$AE$89="",Checks!$T$89=""),"","Done: "&amp;IF(ISNUMBER(Checks!$AD$89),TEXT(Checks!$AD$89,"DD-MMM-YY HH:MM"),"____________")&amp;" "&amp;Checks!$P$89&amp;CHAR(10)&amp;"Verifier: "&amp;IF(Checks!$AE$89="","____________",Checks!$AE$89)&amp;CHAR(10)&amp;"PIC: "&amp;IF(Checks!$T$89="","____________",Checks!$T$89))</f>
        <v>Done: ____________ CGK
Verifier: ____________
PIC: ____________</v>
      </c>
      <c r="H46" s="121" t="str">
        <f aca="false">IF(Checks!$AH$89="","",Checks!$AH$89)</f>
        <v>OPEN</v>
      </c>
    </row>
    <row r="48" customFormat="false" ht="24" hidden="false" customHeight="true" outlineLevel="0" collapsed="false">
      <c r="A48" s="122" t="s">
        <v>4832</v>
      </c>
      <c r="B48" s="122"/>
      <c r="C48" s="122"/>
      <c r="D48" s="122"/>
      <c r="E48" s="122" t="s">
        <v>4833</v>
      </c>
      <c r="F48" s="122"/>
      <c r="G48" s="122"/>
      <c r="H48" s="122"/>
    </row>
    <row r="49" customFormat="false" ht="21.75" hidden="false" customHeight="true" outlineLevel="0" collapsed="false">
      <c r="A49" s="123"/>
      <c r="B49" s="123"/>
      <c r="C49" s="123"/>
      <c r="D49" s="123"/>
      <c r="E49" s="123"/>
      <c r="F49" s="123"/>
      <c r="G49" s="123"/>
      <c r="H49" s="123"/>
    </row>
    <row r="50" customFormat="false" ht="21.75" hidden="false" customHeight="true" outlineLevel="0" collapsed="false">
      <c r="A50" s="123"/>
      <c r="B50" s="123"/>
      <c r="C50" s="123"/>
      <c r="D50" s="123"/>
      <c r="E50" s="123"/>
      <c r="F50" s="123"/>
      <c r="G50" s="123"/>
      <c r="H50" s="123"/>
    </row>
    <row r="51" customFormat="false" ht="21.75" hidden="false" customHeight="true" outlineLevel="0" collapsed="false">
      <c r="A51" s="123"/>
      <c r="B51" s="123"/>
      <c r="C51" s="123"/>
      <c r="D51" s="123"/>
      <c r="E51" s="123"/>
      <c r="F51" s="123"/>
      <c r="G51" s="123"/>
      <c r="H51" s="123"/>
    </row>
    <row r="52" customFormat="false" ht="21.75" hidden="false" customHeight="true" outlineLevel="0" collapsed="false">
      <c r="A52" s="123"/>
      <c r="B52" s="123"/>
      <c r="C52" s="123"/>
      <c r="D52" s="123"/>
      <c r="E52" s="123"/>
      <c r="F52" s="123"/>
      <c r="G52" s="123"/>
      <c r="H52" s="123"/>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43:H43"/>
    <mergeCell ref="A48:D48"/>
    <mergeCell ref="E48:H48"/>
    <mergeCell ref="A49:D58"/>
    <mergeCell ref="E49:H58"/>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46">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46">
    <cfRule type="expression" priority="18" aboveAverage="0" equalAverage="0" bottom="0" percent="0" rank="0" text="" dxfId="35">
      <formula>LEFT($H23,3)="N/A"</formula>
    </cfRule>
  </conditionalFormatting>
  <conditionalFormatting sqref="D23:D46">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F03 MH0720 10-Oct-26 CGK-KUL Class EY</oddHeader>
    <oddFooter>&amp;L&amp;"Arial,Bold"&amp;8 F03 MH0720 10-Oct-26 CGK-KUL Class EY&amp;C&amp;"Arial,Regular"&amp;8 Printed: ____________________&amp;R&amp;"Arial,Regular"&amp;8 F03  Page &amp;P of &amp;N</oddFooter>
  </headerFooter>
  <rowBreaks count="6" manualBreakCount="6">
    <brk id="20" man="true" max="16383" min="0"/>
    <brk id="26" man="true" max="16383" min="0"/>
    <brk id="30" man="true" max="16383" min="0"/>
    <brk id="35" man="true" max="16383" min="0"/>
    <brk id="39" man="true" max="16383" min="0"/>
    <brk id="42" man="true" max="16383" min="0"/>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F04  "&amp;Flights!$F$8&amp;"  "&amp;TEXT(Flights!$D$8,"DD-MMM-YY")&amp;" ("&amp;Flights!$E$8&amp;")  "&amp;Flights!$G$8&amp;" → "&amp;Flights!$H$8&amp;"  |  Class "&amp;Flights!$K$8</f>
        <v>SKYTRAX 2026 CATERING READINESS CHECKLIST  |  F04  MH0088  10-Oct-26 (SAT)  KUL → NRT  |  Class BC</v>
      </c>
      <c r="B1" s="93"/>
      <c r="C1" s="93"/>
      <c r="D1" s="93"/>
      <c r="E1" s="93"/>
      <c r="F1" s="93"/>
      <c r="G1" s="93"/>
      <c r="H1" s="93"/>
    </row>
    <row r="2" customFormat="false" ht="12.75" hidden="false" customHeight="true" outlineLevel="0" collapsed="false">
      <c r="A2" s="94" t="s">
        <v>4788</v>
      </c>
      <c r="B2" s="95" t="str">
        <f aca="false">Flights!$F$8&amp;"   "&amp;TEXT(Flights!$D$8,"DD-MMM-YY")&amp;" ("&amp;Flights!$E$8&amp;")"</f>
        <v>MH0088   10-Oct-26 (SAT)</v>
      </c>
      <c r="C2" s="95"/>
      <c r="D2" s="95"/>
      <c r="E2" s="96" t="s">
        <v>4789</v>
      </c>
      <c r="F2" s="97" t="str">
        <f aca="false">Flights!$AT$8</f>
        <v>NOT READY – DOCUMENTS</v>
      </c>
      <c r="G2" s="97"/>
      <c r="H2" s="97"/>
    </row>
    <row r="3" customFormat="false" ht="24" hidden="false" customHeight="true" outlineLevel="0" collapsed="false">
      <c r="A3" s="94" t="s">
        <v>4790</v>
      </c>
      <c r="B3" s="95" t="str">
        <f aca="false">Flights!$G$8&amp;" → "&amp;Flights!$H$8&amp;"   Class "&amp;Flights!$K$8&amp;"   Seat "&amp;Flights!$O$8</f>
        <v>KUL → NRT   Class BC   Seat 1A</v>
      </c>
      <c r="C3" s="95"/>
      <c r="D3" s="95"/>
      <c r="E3" s="96" t="s">
        <v>73</v>
      </c>
      <c r="F3" s="96" t="s">
        <v>4791</v>
      </c>
      <c r="G3" s="96" t="s">
        <v>4792</v>
      </c>
      <c r="H3" s="96"/>
    </row>
    <row r="4" customFormat="false" ht="24" hidden="false" customHeight="true" outlineLevel="0" collapsed="false">
      <c r="A4" s="94" t="s">
        <v>4793</v>
      </c>
      <c r="B4" s="95" t="str">
        <f aca="false">IF(ISNUMBER(Flights!$I$8),TEXT(Flights!$I$8,"DD-MMM-YY HH:MM"),"")&amp;" "&amp;Flights!$G$8&amp;"  →  "&amp;IF(ISNUMBER(Flights!$J$8),TEXT(Flights!$J$8,"DD-MMM-YY HH:MM"),"")&amp;" "&amp;Flights!$H$8</f>
        <v>10-Oct-26 23:30 KUL  →  11-Oct-26 07:40 NRT</v>
      </c>
      <c r="C4" s="95"/>
      <c r="D4" s="95"/>
      <c r="E4" s="94" t="s">
        <v>4794</v>
      </c>
      <c r="F4" s="98" t="str">
        <f aca="false">IF(ISNUMBER(Flights!$AG$8),TEXT(Flights!$AG$8,"DD-MMM-YY HH:MM"),"")&amp;" "&amp;Flights!$V$8</f>
        <v>03-Oct-26 23:30 KUL</v>
      </c>
      <c r="G4" s="99" t="n">
        <f aca="false">Flights!$AJ$8</f>
        <v>0</v>
      </c>
      <c r="H4" s="99"/>
    </row>
    <row r="5" customFormat="false" ht="24" hidden="false" customHeight="true" outlineLevel="0" collapsed="false">
      <c r="A5" s="94" t="s">
        <v>4795</v>
      </c>
      <c r="B5" s="95" t="str">
        <f aca="false">Flights!$L$8&amp;" – "&amp;Flights!$M$8</f>
        <v>A350 – A350-900: A359 (9M-MAB..MAG) or A350 (9M-MAH) - tail to confirm</v>
      </c>
      <c r="C5" s="95"/>
      <c r="D5" s="95"/>
      <c r="E5" s="94" t="s">
        <v>4796</v>
      </c>
      <c r="F5" s="98" t="str">
        <f aca="false">IF(ISNUMBER(Flights!$AH$8),TEXT(Flights!$AH$8,"DD-MMM-YY HH:MM"),"")&amp;" "&amp;Flights!$V$8</f>
        <v>09-Oct-26 23:30 KUL</v>
      </c>
      <c r="G5" s="99" t="n">
        <f aca="false">Flights!$AK$8</f>
        <v>0</v>
      </c>
      <c r="H5" s="99"/>
    </row>
    <row r="6" customFormat="false" ht="24" hidden="false" customHeight="true" outlineLevel="0" collapsed="false">
      <c r="A6" s="94" t="s">
        <v>4797</v>
      </c>
      <c r="B6" s="95" t="str">
        <f aca="false">IF(TRIM(Flights!$N$8)="","__________________",Flights!$N$8)</f>
        <v>__________________</v>
      </c>
      <c r="C6" s="95"/>
      <c r="D6" s="95"/>
      <c r="E6" s="94" t="s">
        <v>4798</v>
      </c>
      <c r="F6" s="98" t="str">
        <f aca="false">IF(ISNUMBER(Flights!$AI$8),TEXT(Flights!$AI$8,"DD-MMM-YY HH:MM"),"")&amp;" "&amp;Flights!$V$8&amp;IF(Flights!$AI$8=Flights!$AH$8,"  (= T-24H due)","")</f>
        <v>10-Oct-26 11:30 KUL</v>
      </c>
      <c r="G6" s="99" t="n">
        <f aca="false">Flights!$AL$8</f>
        <v>0</v>
      </c>
      <c r="H6" s="99"/>
    </row>
    <row r="7" customFormat="false" ht="24" hidden="false" customHeight="true" outlineLevel="0" collapsed="false">
      <c r="A7" s="94" t="s">
        <v>4799</v>
      </c>
      <c r="B7" s="95" t="str">
        <f aca="false">Flights!$T$8</f>
        <v>1.5 Meal (Meal)</v>
      </c>
      <c r="C7" s="95"/>
      <c r="D7" s="95"/>
      <c r="E7" s="94" t="s">
        <v>4800</v>
      </c>
      <c r="F7" s="98" t="str">
        <f aca="false">"STD "&amp;IF(ISNUMBER(Flights!$I$8),TEXT(Flights!$I$8,"DD-MMM-YY HH:MM"),"")&amp;" "&amp;Flights!$G$8&amp;" (dep stn)"</f>
        <v>STD 10-Oct-26 23:30 KUL (dep stn)</v>
      </c>
      <c r="G7" s="99" t="n">
        <f aca="false">Flights!$AM$8</f>
        <v>0</v>
      </c>
      <c r="H7" s="99"/>
    </row>
    <row r="8" customFormat="false" ht="12.75" hidden="false" customHeight="true" outlineLevel="0" collapsed="false">
      <c r="A8" s="94" t="s">
        <v>155</v>
      </c>
      <c r="B8" s="95" t="str">
        <f aca="false">Flights!$V$8&amp;"   (reference uplift stns: "&amp;Flights!$U$8&amp;")"</f>
        <v>KUL   (reference uplift stns: KUL/NRT)</v>
      </c>
      <c r="C8" s="95"/>
      <c r="D8" s="95"/>
      <c r="E8" s="94" t="s">
        <v>4801</v>
      </c>
      <c r="F8" s="100" t="s">
        <v>4802</v>
      </c>
      <c r="G8" s="99" t="n">
        <f aca="false">Flights!$AN$8</f>
        <v>0</v>
      </c>
      <c r="H8" s="99"/>
    </row>
    <row r="9" customFormat="false" ht="12.75" hidden="false" customHeight="true" outlineLevel="0" collapsed="false">
      <c r="A9" s="94" t="s">
        <v>4803</v>
      </c>
      <c r="B9" s="95" t="str">
        <f aca="false">TRIM(Flights!$P$8&amp;"  "&amp;Flights!$Q$8)</f>
        <v>4H 05M Overnight NRT</v>
      </c>
      <c r="C9" s="95"/>
      <c r="D9" s="95"/>
      <c r="E9" s="94" t="s">
        <v>4804</v>
      </c>
      <c r="F9" s="101" t="n">
        <f aca="false">Flights!$AP$8</f>
        <v>0</v>
      </c>
      <c r="G9" s="102" t="n">
        <f aca="false">Flights!$AQ$8</f>
        <v>0</v>
      </c>
      <c r="H9" s="103" t="n">
        <f aca="false">Flights!$AU$8</f>
        <v>0</v>
      </c>
    </row>
    <row r="10" customFormat="false" ht="24" hidden="false" customHeight="true" outlineLevel="0" collapsed="false">
      <c r="A10" s="94" t="s">
        <v>4805</v>
      </c>
      <c r="B10" s="95" t="str">
        <f aca="false">IF(TRIM(Flights!$X$8)="","__________________",Flights!$X$8)</f>
        <v>__________________</v>
      </c>
      <c r="C10" s="95"/>
      <c r="D10" s="95"/>
      <c r="E10" s="94" t="s">
        <v>4806</v>
      </c>
      <c r="F10" s="104" t="n">
        <f aca="false">Flights!$AO$8</f>
        <v>46</v>
      </c>
      <c r="G10" s="105" t="n">
        <f aca="false">Flights!$AS$8</f>
        <v>1</v>
      </c>
      <c r="H10" s="106" t="n">
        <f aca="false">Flights!$AR$8</f>
        <v>2</v>
      </c>
    </row>
    <row r="11" customFormat="false" ht="21" hidden="false" customHeight="true" outlineLevel="0" collapsed="false">
      <c r="A11" s="94" t="s">
        <v>4807</v>
      </c>
      <c r="B11" s="95" t="str">
        <f aca="false">IF(TRIM(Flights!$Y$8)="","__________________",Flights!$Y$8)</f>
        <v>__________________</v>
      </c>
      <c r="C11" s="95"/>
      <c r="D11" s="95"/>
      <c r="E11" s="94" t="s">
        <v>4808</v>
      </c>
      <c r="F11" s="97" t="str">
        <f aca="false">Flights!$AV$8&amp;" / "&amp;Flights!$AW$8</f>
        <v>0 / 46</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IF(Documents!$F$8="","",Documents!$F$8)</f>
        <v/>
      </c>
      <c r="C15" s="100" t="str">
        <f aca="false">IF(Documents!$G$8="","",Documents!$G$8)&amp;IF(ISNUMBER(Documents!$H$8),"  "&amp;TEXT(Documents!$H$8,"DD-MMM-YY"),"")</f>
        <v/>
      </c>
      <c r="D15" s="100"/>
      <c r="E15" s="114" t="str">
        <f aca="false">IF(Documents!$J$8="OUTSTANDING","OUTSTANDING – attach before T-7D (due "&amp;IF(ISNUMBER(Flights!$AG$8),TEXT(Flights!$AG$8,"DD-MMM-YY HH:MM"),"")&amp;" "&amp;Flights!$V$8&amp;")",IF(Documents!$J$8="","Status not recorded",Documents!$J$8))</f>
        <v>OUTSTANDING – attach before T-7D (due 03-Oct-26 23:30 KUL)</v>
      </c>
      <c r="F15" s="115" t="str">
        <f aca="false">"Staple behind this sheet as page A1."&amp;IF(Documents!$I$8="",""," Location: "&amp;Documents!$I$8)</f>
        <v>Staple behind this sheet as page A1.</v>
      </c>
      <c r="G15" s="115"/>
      <c r="H15" s="115"/>
    </row>
    <row r="16" customFormat="false" ht="36" hidden="false" customHeight="true" outlineLevel="0" collapsed="false">
      <c r="A16" s="94" t="s">
        <v>4819</v>
      </c>
      <c r="B16" s="95" t="str">
        <f aca="false">IF(Documents!$K$8="","",Documents!$K$8)</f>
        <v/>
      </c>
      <c r="C16" s="100" t="str">
        <f aca="false">IF(Documents!$L$8="","",Documents!$L$8)&amp;IF(ISNUMBER(Documents!$M$8),"  "&amp;TEXT(Documents!$M$8,"DD-MMM-YY"),"")</f>
        <v/>
      </c>
      <c r="D16" s="100"/>
      <c r="E16" s="114" t="str">
        <f aca="false">IF(Documents!$O$8="OUTSTANDING","OUTSTANDING – attach before T-7D (due "&amp;IF(ISNUMBER(Flights!$AG$8),TEXT(Flights!$AG$8,"DD-MMM-YY HH:MM"),"")&amp;" "&amp;Flights!$V$8&amp;")",IF(Documents!$O$8="","Status not recorded",Documents!$O$8))</f>
        <v>OUTSTANDING – attach before T-7D (due 03-Oct-26 23:30 KUL)</v>
      </c>
      <c r="F16" s="115" t="str">
        <f aca="false">"Staple behind this sheet as page A2."&amp;IF(Documents!$N$8="",""," Location: "&amp;Documents!$N$8)</f>
        <v>Staple behind this sheet as page A2.</v>
      </c>
      <c r="G16" s="115"/>
      <c r="H16" s="115"/>
    </row>
    <row r="17" customFormat="false" ht="22.5" hidden="false" customHeight="true" outlineLevel="0" collapsed="false">
      <c r="A17" s="94" t="s">
        <v>4820</v>
      </c>
      <c r="B17" s="116" t="str">
        <f aca="false">IF(Documents!$Q$8="","",Documents!$Q$8)</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"&amp;IF(TRIM(Flights!$Y$8)="","__________________",Flights!$Y$8)</f>
        <v>Name: __________________</v>
      </c>
      <c r="B19" s="95"/>
      <c r="C19" s="95" t="str">
        <f aca="false">"Name: __________________"</f>
        <v>Name: __________________</v>
      </c>
      <c r="D19" s="95"/>
      <c r="E19" s="95"/>
      <c r="F19" s="95" t="str">
        <f aca="false">"Name: __________________"&amp;"   Station: "&amp;Flights!$V$8</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"&amp;IF(ISNUMBER(Flights!$AG$8),TEXT(Flights!$AG$8,"DD-MMM-YY HH:MM"),"")&amp;" "&amp;Flights!$V$8&amp;" (meal uplift stn)"&amp;" (rows with another due show their own)  |  Complete "&amp;IF(ISNUMBER(Flights!$AJ$8),TEXT(Flights!$AJ$8,"0%"),Flights!$AJ$8)&amp;"  |  9 lines"</f>
        <v>T-7D — 7 days before departure  |  Due 03-Oct-26 23:30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Checks!$A$90&amp;CHAR(10)&amp;IF(Checks!$I$90="","",Checks!$I$90&amp;": ")&amp;Checks!$J$90</f>
        <v>F04-T7-01
Meal: Meal sensory testing completed for this flight's menu cycle (assessed class)</v>
      </c>
      <c r="B23" s="120" t="str">
        <f aca="false">Checks!$K$90&amp;IF(Checks!$O$90="","",IF(Checks!$K$90="","",CHAR(10))&amp;"Note: "&amp;Checks!$O$90)</f>
        <v>Record panel result / score in Result</v>
      </c>
      <c r="C23" s="120" t="str">
        <f aca="false">Checks!$N$90&amp;CHAR(10)&amp;IF(ISNUMBER(Checks!$R$90),TEXT(Checks!$R$90,"DD-MMM-YY HH:MM"),"")&amp;" "&amp;Checks!$P$90</f>
        <v>Required
03-Oct-26 23:30 KUL</v>
      </c>
      <c r="D23" s="120" t="str">
        <f aca="false">IF(TRIM(Checks!$U$90)&lt;&gt;"",Checks!$U$90&amp;IF(Checks!$AB$90="","",CHAR(10)&amp;"CA: "&amp;Checks!$AB$90),IF(LEFT(Checks!$AH$90,10)="N/A – RULE","","[ ] Pass"&amp;CHAR(10)&amp;"[ ] Pass after CA"&amp;CHAR(10)&amp;"[ ] Fail"&amp;IF(Checks!$AT$90=1,CHAR(10)&amp;"[ ] N/A","")&amp;CHAR(10)&amp;"CA: Open / Closed"))</f>
        <v>[ ] Pass
[ ] Pass after CA
[ ] Fail
CA: Open / Closed</v>
      </c>
      <c r="E23" s="120" t="str">
        <f aca="false">IF(Checks!$V$90="","",Checks!$V$90)&amp;IF(Checks!$AC$90="","",IF(Checks!$V$90="","",CHAR(10))&amp;"N/A just.: "&amp;Checks!$AC$90)&amp;IF(OR(Checks!$W$90&lt;&gt;"",AND(Checks!$AQ$90=1,NOT(LEFT(Checks!$AH$90,10)="N/A – RULE"))),CHAR(10)&amp;"Batch: "&amp;IF(Checks!$W$90="","____________",Checks!$W$90),"")&amp;IF(OR(Checks!$X$90&lt;&gt;"",Checks!$Y$90&lt;&gt;"",AND(Checks!$AR$90=1,NOT(LEFT(Checks!$AH$90,10)="N/A – RULE"))),CHAR(10)&amp;"Exp: "&amp;IF(Checks!$X$90="","______",Checks!$X$90)&amp;"  /  Act: "&amp;IF(Checks!$Y$90="","______",Checks!$Y$90),"")</f>
        <v/>
      </c>
      <c r="F23" s="120" t="str">
        <f aca="false">IF(AND(LEFT(Checks!$AH$90,10)="N/A – RULE",TRIM(Checks!$S$90&amp;Checks!$Z$90)=""),"","Type: "&amp;IF(TRIM(Checks!$S$90)="","______________ (see cover list)",Checks!$S$90)&amp;CHAR(10)&amp;"ID: "&amp;IF(TRIM(Checks!$Z$90)="","______________ (record's own no.)",Checks!$Z$90))&amp;IF(Checks!$AA$90="","",CHAR(10)&amp;"CA: "&amp;Checks!$AA$90)</f>
        <v>Type: ______________ (see cover list)
ID: ______________ (record's own no.)</v>
      </c>
      <c r="G23" s="120" t="str">
        <f aca="false">IF(AND(LEFT(Checks!$AH$90,10)="N/A – RULE",NOT(ISNUMBER(Checks!$AD$90)),Checks!$AE$90="",Checks!$T$90=""),"","Done: "&amp;IF(ISNUMBER(Checks!$AD$90),TEXT(Checks!$AD$90,"DD-MMM-YY HH:MM"),"____________")&amp;" "&amp;Checks!$P$90&amp;CHAR(10)&amp;"Verifier: "&amp;IF(Checks!$AE$90="","____________",Checks!$AE$90)&amp;CHAR(10)&amp;"PIC: "&amp;IF(Checks!$T$90="","____________",Checks!$T$90))</f>
        <v>Done: ____________ KUL
Verifier: ____________
PIC: ____________</v>
      </c>
      <c r="H23" s="121" t="str">
        <f aca="false">IF(Checks!$AH$90="","",Checks!$AH$90)</f>
        <v>OPEN</v>
      </c>
    </row>
    <row r="24" customFormat="false" ht="114" hidden="false" customHeight="true" outlineLevel="0" collapsed="false">
      <c r="A24" s="120" t="str">
        <f aca="false">Checks!$A$91&amp;CHAR(10)&amp;IF(Checks!$I$91="","",Checks!$I$91&amp;": ")&amp;Checks!$J$91</f>
        <v>F04-T7-02
Menu: Printed menu cards confirmed (content, cycle, language, quantity)</v>
      </c>
      <c r="B24" s="120" t="str">
        <f aca="false">Checks!$K$91&amp;IF(Checks!$O$91="","",IF(Checks!$K$91="","",CHAR(10))&amp;"Note: "&amp;Checks!$O$91)</f>
        <v>Menu card matches approved menu for this flight</v>
      </c>
      <c r="C24" s="120" t="str">
        <f aca="false">Checks!$N$91&amp;CHAR(10)&amp;IF(ISNUMBER(Checks!$R$91),TEXT(Checks!$R$91,"DD-MMM-YY HH:MM"),"")&amp;" "&amp;Checks!$P$91</f>
        <v>Required
03-Oct-26 23:30 KUL</v>
      </c>
      <c r="D24" s="120" t="str">
        <f aca="false">IF(TRIM(Checks!$U$91)&lt;&gt;"",Checks!$U$91&amp;IF(Checks!$AB$91="","",CHAR(10)&amp;"CA: "&amp;Checks!$AB$91),IF(LEFT(Checks!$AH$91,10)="N/A – RULE","","[ ] Pass"&amp;CHAR(10)&amp;"[ ] Pass after CA"&amp;CHAR(10)&amp;"[ ] Fail"&amp;IF(Checks!$AT$91=1,CHAR(10)&amp;"[ ] N/A","")&amp;CHAR(10)&amp;"CA: Open / Closed"))</f>
        <v>[ ] Pass
[ ] Pass after CA
[ ] Fail
CA: Open / Closed</v>
      </c>
      <c r="E24" s="120" t="str">
        <f aca="false">IF(Checks!$V$91="","",Checks!$V$91)&amp;IF(Checks!$AC$91="","",IF(Checks!$V$91="","",CHAR(10))&amp;"N/A just.: "&amp;Checks!$AC$91)&amp;IF(OR(Checks!$W$91&lt;&gt;"",AND(Checks!$AQ$91=1,NOT(LEFT(Checks!$AH$91,10)="N/A – RULE"))),CHAR(10)&amp;"Batch: "&amp;IF(Checks!$W$91="","____________",Checks!$W$91),"")&amp;IF(OR(Checks!$X$91&lt;&gt;"",Checks!$Y$91&lt;&gt;"",AND(Checks!$AR$91=1,NOT(LEFT(Checks!$AH$91,10)="N/A – RULE"))),CHAR(10)&amp;"Exp: "&amp;IF(Checks!$X$91="","______",Checks!$X$91)&amp;"  /  Act: "&amp;IF(Checks!$Y$91="","______",Checks!$Y$91),"")</f>
        <v/>
      </c>
      <c r="F24" s="120" t="str">
        <f aca="false">IF(AND(LEFT(Checks!$AH$91,10)="N/A – RULE",TRIM(Checks!$S$91&amp;Checks!$Z$91)=""),"","Type: "&amp;IF(TRIM(Checks!$S$91)="","______________ (see cover list)",Checks!$S$91)&amp;CHAR(10)&amp;"ID: "&amp;IF(TRIM(Checks!$Z$91)="","______________ (record's own no.)",Checks!$Z$91))&amp;IF(Checks!$AA$91="","",CHAR(10)&amp;"CA: "&amp;Checks!$AA$91)</f>
        <v>Type: ______________ (see cover list)
ID: ______________ (record's own no.)</v>
      </c>
      <c r="G24" s="120" t="str">
        <f aca="false">IF(AND(LEFT(Checks!$AH$91,10)="N/A – RULE",NOT(ISNUMBER(Checks!$AD$91)),Checks!$AE$91="",Checks!$T$91=""),"","Done: "&amp;IF(ISNUMBER(Checks!$AD$91),TEXT(Checks!$AD$91,"DD-MMM-YY HH:MM"),"____________")&amp;" "&amp;Checks!$P$91&amp;CHAR(10)&amp;"Verifier: "&amp;IF(Checks!$AE$91="","____________",Checks!$AE$91)&amp;CHAR(10)&amp;"PIC: "&amp;IF(Checks!$T$91="","____________",Checks!$T$91))</f>
        <v>Done: ____________ KUL
Verifier: ____________
PIC: ____________</v>
      </c>
      <c r="H24" s="121" t="str">
        <f aca="false">IF(Checks!$AH$91="","",Checks!$AH$91)</f>
        <v>OPEN</v>
      </c>
    </row>
    <row r="25" customFormat="false" ht="114" hidden="false" customHeight="true" outlineLevel="0" collapsed="false">
      <c r="A25" s="120" t="str">
        <f aca="false">Checks!$A$92&amp;CHAR(10)&amp;IF(Checks!$I$92="","",Checks!$I$92&amp;": ")&amp;Checks!$J$92</f>
        <v>F04-T7-03
IFE: Digital menu in IFE confirmed (A339 only)</v>
      </c>
      <c r="B25" s="120" t="str">
        <f aca="false">Checks!$K$92&amp;IF(Checks!$O$92="","",IF(Checks!$K$92="","",CHAR(10))&amp;"Note: "&amp;Checks!$O$92)</f>
        <v>Applies when fleet = A339
Note: Digital IFE menu applies to A339 only (user brief). Applicability follows the Fleet cell on Flights.</v>
      </c>
      <c r="C25" s="120" t="str">
        <f aca="false">Checks!$N$92&amp;CHAR(10)&amp;IF(ISNUMBER(Checks!$R$92),TEXT(Checks!$R$92,"DD-MMM-YY HH:MM"),"")&amp;" "&amp;Checks!$P$92</f>
        <v>N/A – rule
03-Oct-26 23:30 KUL</v>
      </c>
      <c r="D25" s="120" t="str">
        <f aca="false">IF(TRIM(Checks!$U$92)&lt;&gt;"",Checks!$U$92&amp;IF(Checks!$AB$92="","",CHAR(10)&amp;"CA: "&amp;Checks!$AB$92),IF(LEFT(Checks!$AH$92,10)="N/A – RULE","","[ ] Pass"&amp;CHAR(10)&amp;"[ ] Pass after CA"&amp;CHAR(10)&amp;"[ ] Fail"&amp;IF(Checks!$AT$92=1,CHAR(10)&amp;"[ ] N/A","")&amp;CHAR(10)&amp;"CA: Open / Closed"))</f>
        <v/>
      </c>
      <c r="E25" s="120" t="str">
        <f aca="false">IF(Checks!$V$92="","",Checks!$V$92)&amp;IF(Checks!$AC$92="","",IF(Checks!$V$92="","",CHAR(10))&amp;"N/A just.: "&amp;Checks!$AC$92)&amp;IF(OR(Checks!$W$92&lt;&gt;"",AND(Checks!$AQ$92=1,NOT(LEFT(Checks!$AH$92,10)="N/A – RULE"))),CHAR(10)&amp;"Batch: "&amp;IF(Checks!$W$92="","____________",Checks!$W$92),"")&amp;IF(OR(Checks!$X$92&lt;&gt;"",Checks!$Y$92&lt;&gt;"",AND(Checks!$AR$92=1,NOT(LEFT(Checks!$AH$92,10)="N/A – RULE"))),CHAR(10)&amp;"Exp: "&amp;IF(Checks!$X$92="","______",Checks!$X$92)&amp;"  /  Act: "&amp;IF(Checks!$Y$92="","______",Checks!$Y$92),"")</f>
        <v/>
      </c>
      <c r="F25" s="120" t="str">
        <f aca="false">IF(AND(LEFT(Checks!$AH$92,10)="N/A – RULE",TRIM(Checks!$S$92&amp;Checks!$Z$92)=""),"","Type: "&amp;IF(TRIM(Checks!$S$92)="","______________ (see cover list)",Checks!$S$92)&amp;CHAR(10)&amp;"ID: "&amp;IF(TRIM(Checks!$Z$92)="","______________ (record's own no.)",Checks!$Z$92))&amp;IF(Checks!$AA$92="","",CHAR(10)&amp;"CA: "&amp;Checks!$AA$92)</f>
        <v/>
      </c>
      <c r="G25" s="120" t="str">
        <f aca="false">IF(AND(LEFT(Checks!$AH$92,10)="N/A – RULE",NOT(ISNUMBER(Checks!$AD$92)),Checks!$AE$92="",Checks!$T$92=""),"","Done: "&amp;IF(ISNUMBER(Checks!$AD$92),TEXT(Checks!$AD$92,"DD-MMM-YY HH:MM"),"____________")&amp;" "&amp;Checks!$P$92&amp;CHAR(10)&amp;"Verifier: "&amp;IF(Checks!$AE$92="","____________",Checks!$AE$92)&amp;CHAR(10)&amp;"PIC: "&amp;IF(Checks!$T$92="","____________",Checks!$T$92))</f>
        <v/>
      </c>
      <c r="H25" s="121" t="str">
        <f aca="false">IF(Checks!$AH$92="","",Checks!$AH$92)</f>
        <v>N/A – RULE</v>
      </c>
    </row>
    <row r="26" customFormat="false" ht="114" hidden="false" customHeight="true" outlineLevel="0" collapsed="false">
      <c r="A26" s="120" t="str">
        <f aca="false">Checks!$A$93&amp;CHAR(10)&amp;IF(Checks!$I$93="","",Checks!$I$93&amp;": ")&amp;Checks!$J$93</f>
        <v>F04-T7-04
Staffing: Experienced catering officer assigned to this flight</v>
      </c>
      <c r="B26" s="120" t="str">
        <f aca="false">Checks!$K$93&amp;IF(Checks!$O$93="","",IF(Checks!$K$93="","",CHAR(10))&amp;"Note: "&amp;Checks!$O$93)</f>
        <v>Record officer name in Result</v>
      </c>
      <c r="C26" s="120" t="str">
        <f aca="false">Checks!$N$93&amp;CHAR(10)&amp;IF(ISNUMBER(Checks!$R$93),TEXT(Checks!$R$93,"DD-MMM-YY HH:MM"),"")&amp;" "&amp;Checks!$P$93</f>
        <v>Required
03-Oct-26 23:30 KUL</v>
      </c>
      <c r="D26" s="120" t="str">
        <f aca="false">IF(TRIM(Checks!$U$93)&lt;&gt;"",Checks!$U$93&amp;IF(Checks!$AB$93="","",CHAR(10)&amp;"CA: "&amp;Checks!$AB$93),IF(LEFT(Checks!$AH$93,10)="N/A – RULE","","[ ] Pass"&amp;CHAR(10)&amp;"[ ] Pass after CA"&amp;CHAR(10)&amp;"[ ] Fail"&amp;IF(Checks!$AT$93=1,CHAR(10)&amp;"[ ] N/A","")&amp;CHAR(10)&amp;"CA: Open / Closed"))</f>
        <v>[ ] Pass
[ ] Pass after CA
[ ] Fail
CA: Open / Closed</v>
      </c>
      <c r="E26" s="120" t="str">
        <f aca="false">IF(Checks!$V$93="","",Checks!$V$93)&amp;IF(Checks!$AC$93="","",IF(Checks!$V$93="","",CHAR(10))&amp;"N/A just.: "&amp;Checks!$AC$93)&amp;IF(OR(Checks!$W$93&lt;&gt;"",AND(Checks!$AQ$93=1,NOT(LEFT(Checks!$AH$93,10)="N/A – RULE"))),CHAR(10)&amp;"Batch: "&amp;IF(Checks!$W$93="","____________",Checks!$W$93),"")&amp;IF(OR(Checks!$X$93&lt;&gt;"",Checks!$Y$93&lt;&gt;"",AND(Checks!$AR$93=1,NOT(LEFT(Checks!$AH$93,10)="N/A – RULE"))),CHAR(10)&amp;"Exp: "&amp;IF(Checks!$X$93="","______",Checks!$X$93)&amp;"  /  Act: "&amp;IF(Checks!$Y$93="","______",Checks!$Y$93),"")</f>
        <v/>
      </c>
      <c r="F26" s="120" t="str">
        <f aca="false">IF(AND(LEFT(Checks!$AH$93,10)="N/A – RULE",TRIM(Checks!$S$93&amp;Checks!$Z$93)=""),"","Type: "&amp;IF(TRIM(Checks!$S$93)="","______________ (see cover list)",Checks!$S$93)&amp;CHAR(10)&amp;"ID: "&amp;IF(TRIM(Checks!$Z$93)="","______________ (record's own no.)",Checks!$Z$93))&amp;IF(Checks!$AA$93="","",CHAR(10)&amp;"CA: "&amp;Checks!$AA$93)</f>
        <v>Type: ______________ (see cover list)
ID: ______________ (record's own no.)</v>
      </c>
      <c r="G26" s="120" t="str">
        <f aca="false">IF(AND(LEFT(Checks!$AH$93,10)="N/A – RULE",NOT(ISNUMBER(Checks!$AD$93)),Checks!$AE$93="",Checks!$T$93=""),"","Done: "&amp;IF(ISNUMBER(Checks!$AD$93),TEXT(Checks!$AD$93,"DD-MMM-YY HH:MM"),"____________")&amp;" "&amp;Checks!$P$93&amp;CHAR(10)&amp;"Verifier: "&amp;IF(Checks!$AE$93="","____________",Checks!$AE$93)&amp;CHAR(10)&amp;"PIC: "&amp;IF(Checks!$T$93="","____________",Checks!$T$93))</f>
        <v>Done: ____________ KUL
Verifier: ____________
PIC: ____________</v>
      </c>
      <c r="H26" s="121" t="str">
        <f aca="false">IF(Checks!$AH$93="","",Checks!$AH$93)</f>
        <v>OPEN</v>
      </c>
    </row>
    <row r="27" customFormat="false" ht="114" hidden="false" customHeight="true" outlineLevel="0" collapsed="false">
      <c r="A27" s="120" t="str">
        <f aca="false">Checks!$A$94&amp;CHAR(10)&amp;IF(Checks!$I$94="","",Checks!$I$94&amp;": ")&amp;Checks!$J$94</f>
        <v>F04-T7-05
ISOP: All latest applicable ISOP revisions communicated to caterer</v>
      </c>
      <c r="B27" s="120" t="str">
        <f aca="false">Checks!$K$94&amp;IF(Checks!$O$94="","",IF(Checks!$K$94="","",CHAR(10))&amp;"Note: "&amp;Checks!$O$94)</f>
        <v>List revision numbers in Result (see ISOP register)</v>
      </c>
      <c r="C27" s="120" t="str">
        <f aca="false">Checks!$N$94&amp;CHAR(10)&amp;IF(ISNUMBER(Checks!$R$94),TEXT(Checks!$R$94,"DD-MMM-YY HH:MM"),"")&amp;" "&amp;Checks!$P$94</f>
        <v>Required
03-Oct-26 23:30 KUL</v>
      </c>
      <c r="D27" s="120" t="str">
        <f aca="false">IF(TRIM(Checks!$U$94)&lt;&gt;"",Checks!$U$94&amp;IF(Checks!$AB$94="","",CHAR(10)&amp;"CA: "&amp;Checks!$AB$94),IF(LEFT(Checks!$AH$94,10)="N/A – RULE","","[ ] Pass"&amp;CHAR(10)&amp;"[ ] Pass after CA"&amp;CHAR(10)&amp;"[ ] Fail"&amp;IF(Checks!$AT$94=1,CHAR(10)&amp;"[ ] N/A","")&amp;CHAR(10)&amp;"CA: Open / Closed"))</f>
        <v>[ ] Pass
[ ] Pass after CA
[ ] Fail
CA: Open / Closed</v>
      </c>
      <c r="E27" s="120" t="str">
        <f aca="false">IF(Checks!$V$94="","",Checks!$V$94)&amp;IF(Checks!$AC$94="","",IF(Checks!$V$94="","",CHAR(10))&amp;"N/A just.: "&amp;Checks!$AC$94)&amp;IF(OR(Checks!$W$94&lt;&gt;"",AND(Checks!$AQ$94=1,NOT(LEFT(Checks!$AH$94,10)="N/A – RULE"))),CHAR(10)&amp;"Batch: "&amp;IF(Checks!$W$94="","____________",Checks!$W$94),"")&amp;IF(OR(Checks!$X$94&lt;&gt;"",Checks!$Y$94&lt;&gt;"",AND(Checks!$AR$94=1,NOT(LEFT(Checks!$AH$94,10)="N/A – RULE"))),CHAR(10)&amp;"Exp: "&amp;IF(Checks!$X$94="","______",Checks!$X$94)&amp;"  /  Act: "&amp;IF(Checks!$Y$94="","______",Checks!$Y$94),"")</f>
        <v/>
      </c>
      <c r="F27" s="120" t="str">
        <f aca="false">IF(AND(LEFT(Checks!$AH$94,10)="N/A – RULE",TRIM(Checks!$S$94&amp;Checks!$Z$94)=""),"","Type: "&amp;IF(TRIM(Checks!$S$94)="","______________ (see cover list)",Checks!$S$94)&amp;CHAR(10)&amp;"ID: "&amp;IF(TRIM(Checks!$Z$94)="","______________ (record's own no.)",Checks!$Z$94))&amp;IF(Checks!$AA$94="","",CHAR(10)&amp;"CA: "&amp;Checks!$AA$94)</f>
        <v>Type: ______________ (see cover list)
ID: ______________ (record's own no.)</v>
      </c>
      <c r="G27" s="120" t="str">
        <f aca="false">IF(AND(LEFT(Checks!$AH$94,10)="N/A – RULE",NOT(ISNUMBER(Checks!$AD$94)),Checks!$AE$94="",Checks!$T$94=""),"","Done: "&amp;IF(ISNUMBER(Checks!$AD$94),TEXT(Checks!$AD$94,"DD-MMM-YY HH:MM"),"____________")&amp;" "&amp;Checks!$P$94&amp;CHAR(10)&amp;"Verifier: "&amp;IF(Checks!$AE$94="","____________",Checks!$AE$94)&amp;CHAR(10)&amp;"PIC: "&amp;IF(Checks!$T$94="","____________",Checks!$T$94))</f>
        <v>Done: ____________ KUL
Verifier: ____________
PIC: ____________</v>
      </c>
      <c r="H27" s="121" t="str">
        <f aca="false">IF(Checks!$AH$94="","",Checks!$AH$94)</f>
        <v>OPEN</v>
      </c>
    </row>
    <row r="28" customFormat="false" ht="114" hidden="false" customHeight="true" outlineLevel="0" collapsed="false">
      <c r="A28" s="120" t="str">
        <f aca="false">Checks!$A$95&amp;CHAR(10)&amp;IF(Checks!$I$95="","",Checks!$I$95&amp;": ")&amp;Checks!$J$95</f>
        <v>F04-T7-06
ISOP: Caterer acknowledgement of ISOP revisions recorded</v>
      </c>
      <c r="B28" s="120" t="str">
        <f aca="false">Checks!$K$95&amp;IF(Checks!$O$95="","",IF(Checks!$K$95="","",CHAR(10))&amp;"Note: "&amp;Checks!$O$95)</f>
        <v>Record acknowledgement ref in Evidence</v>
      </c>
      <c r="C28" s="120" t="str">
        <f aca="false">Checks!$N$95&amp;CHAR(10)&amp;IF(ISNUMBER(Checks!$R$95),TEXT(Checks!$R$95,"DD-MMM-YY HH:MM"),"")&amp;" "&amp;Checks!$P$95</f>
        <v>Required
03-Oct-26 23:30 KUL</v>
      </c>
      <c r="D28" s="120" t="str">
        <f aca="false">IF(TRIM(Checks!$U$95)&lt;&gt;"",Checks!$U$95&amp;IF(Checks!$AB$95="","",CHAR(10)&amp;"CA: "&amp;Checks!$AB$95),IF(LEFT(Checks!$AH$95,10)="N/A – RULE","","[ ] Pass"&amp;CHAR(10)&amp;"[ ] Pass after CA"&amp;CHAR(10)&amp;"[ ] Fail"&amp;IF(Checks!$AT$95=1,CHAR(10)&amp;"[ ] N/A","")&amp;CHAR(10)&amp;"CA: Open / Closed"))</f>
        <v>[ ] Pass
[ ] Pass after CA
[ ] Fail
CA: Open / Closed</v>
      </c>
      <c r="E28" s="120" t="str">
        <f aca="false">IF(Checks!$V$95="","",Checks!$V$95)&amp;IF(Checks!$AC$95="","",IF(Checks!$V$95="","",CHAR(10))&amp;"N/A just.: "&amp;Checks!$AC$95)&amp;IF(OR(Checks!$W$95&lt;&gt;"",AND(Checks!$AQ$95=1,NOT(LEFT(Checks!$AH$95,10)="N/A – RULE"))),CHAR(10)&amp;"Batch: "&amp;IF(Checks!$W$95="","____________",Checks!$W$95),"")&amp;IF(OR(Checks!$X$95&lt;&gt;"",Checks!$Y$95&lt;&gt;"",AND(Checks!$AR$95=1,NOT(LEFT(Checks!$AH$95,10)="N/A – RULE"))),CHAR(10)&amp;"Exp: "&amp;IF(Checks!$X$95="","______",Checks!$X$95)&amp;"  /  Act: "&amp;IF(Checks!$Y$95="","______",Checks!$Y$95),"")</f>
        <v/>
      </c>
      <c r="F28" s="120" t="str">
        <f aca="false">IF(AND(LEFT(Checks!$AH$95,10)="N/A – RULE",TRIM(Checks!$S$95&amp;Checks!$Z$95)=""),"","Type: "&amp;IF(TRIM(Checks!$S$95)="","______________ (see cover list)",Checks!$S$95)&amp;CHAR(10)&amp;"ID: "&amp;IF(TRIM(Checks!$Z$95)="","______________ (record's own no.)",Checks!$Z$95))&amp;IF(Checks!$AA$95="","",CHAR(10)&amp;"CA: "&amp;Checks!$AA$95)</f>
        <v>Type: ______________ (see cover list)
ID: ______________ (record's own no.)</v>
      </c>
      <c r="G28" s="120" t="str">
        <f aca="false">IF(AND(LEFT(Checks!$AH$95,10)="N/A – RULE",NOT(ISNUMBER(Checks!$AD$95)),Checks!$AE$95="",Checks!$T$95=""),"","Done: "&amp;IF(ISNUMBER(Checks!$AD$95),TEXT(Checks!$AD$95,"DD-MMM-YY HH:MM"),"____________")&amp;" "&amp;Checks!$P$95&amp;CHAR(10)&amp;"Verifier: "&amp;IF(Checks!$AE$95="","____________",Checks!$AE$95)&amp;CHAR(10)&amp;"PIC: "&amp;IF(Checks!$T$95="","____________",Checks!$T$95))</f>
        <v>Done: ____________ KUL
Verifier: ____________
PIC: ____________</v>
      </c>
      <c r="H28" s="121" t="str">
        <f aca="false">IF(Checks!$AH$95="","",Checks!$AH$95)</f>
        <v>OPEN</v>
      </c>
    </row>
    <row r="29" customFormat="false" ht="114" hidden="false" customHeight="true" outlineLevel="0" collapsed="false">
      <c r="A29" s="120" t="str">
        <f aca="false">Checks!$A$96&amp;CHAR(10)&amp;IF(Checks!$I$96="","",Checks!$I$96&amp;": ")&amp;Checks!$J$96</f>
        <v>F04-T7-07
Documents: Galley loading diagram (GLD) received, revision recorded &amp; attached</v>
      </c>
      <c r="B29" s="120" t="str">
        <f aca="false">SUBSTITUTE(Checks!$K$96&amp;IF(Checks!$O$96="","",IF(Checks!$K$96="","",CHAR(10))&amp;"Note: "&amp;Checks!$O$96),"Documents sheet row complete","Recorded on the Documents sheet; copy stapled as A1 / A2")</f>
        <v>Recorded on the Documents sheet; copy stapled as A1 / A2</v>
      </c>
      <c r="C29" s="120" t="str">
        <f aca="false">Checks!$N$96&amp;CHAR(10)&amp;IF(ISNUMBER(Checks!$R$96),TEXT(Checks!$R$96,"DD-MMM-YY HH:MM"),"")&amp;" "&amp;Checks!$P$96</f>
        <v>Required
03-Oct-26 23:30 KUL</v>
      </c>
      <c r="D29" s="120" t="str">
        <f aca="false">IF(TRIM(Checks!$U$96)&lt;&gt;"",Checks!$U$96&amp;IF(Checks!$AB$96="","",CHAR(10)&amp;"CA: "&amp;Checks!$AB$96),IF(LEFT(Checks!$AH$96,10)="N/A – RULE","","[ ] Pass"&amp;CHAR(10)&amp;"[ ] Pass after CA"&amp;CHAR(10)&amp;"[ ] Fail"&amp;IF(Checks!$AT$96=1,CHAR(10)&amp;"[ ] N/A","")&amp;CHAR(10)&amp;"CA: Open / Closed"))</f>
        <v>[ ] Pass
[ ] Pass after CA
[ ] Fail
CA: Open / Closed</v>
      </c>
      <c r="E29" s="120" t="str">
        <f aca="false">IF(Checks!$V$96="","",Checks!$V$96)&amp;IF(Checks!$AC$96="","",IF(Checks!$V$96="","",CHAR(10))&amp;"N/A just.: "&amp;Checks!$AC$96)&amp;IF(OR(Checks!$W$96&lt;&gt;"",AND(Checks!$AQ$96=1,NOT(LEFT(Checks!$AH$96,10)="N/A – RULE"))),CHAR(10)&amp;"Batch: "&amp;IF(Checks!$W$96="","____________",Checks!$W$96),"")&amp;IF(OR(Checks!$X$96&lt;&gt;"",Checks!$Y$96&lt;&gt;"",AND(Checks!$AR$96=1,NOT(LEFT(Checks!$AH$96,10)="N/A – RULE"))),CHAR(10)&amp;"Exp: "&amp;IF(Checks!$X$96="","______",Checks!$X$96)&amp;"  /  Act: "&amp;IF(Checks!$Y$96="","______",Checks!$Y$96),"")</f>
        <v/>
      </c>
      <c r="F29" s="120" t="str">
        <f aca="false">IF(AND(LEFT(Checks!$AH$96,10)="N/A – RULE",TRIM(Checks!$S$96&amp;Checks!$Z$96)=""),"","Type: "&amp;IF(TRIM(Checks!$S$96)="","______________ (see cover list)",Checks!$S$96)&amp;CHAR(10)&amp;"ID: "&amp;IF(TRIM(Checks!$Z$96)="","______________ (record's own no.)",Checks!$Z$96))&amp;IF(Checks!$AA$96="","",CHAR(10)&amp;"CA: "&amp;Checks!$AA$96)</f>
        <v>Type: ______________ (see cover list)
ID: ______________ (record's own no.)</v>
      </c>
      <c r="G29" s="120" t="str">
        <f aca="false">IF(AND(LEFT(Checks!$AH$96,10)="N/A – RULE",NOT(ISNUMBER(Checks!$AD$96)),Checks!$AE$96="",Checks!$T$96=""),"","Done: "&amp;IF(ISNUMBER(Checks!$AD$96),TEXT(Checks!$AD$96,"DD-MMM-YY HH:MM"),"____________")&amp;" "&amp;Checks!$P$96&amp;CHAR(10)&amp;"Verifier: "&amp;IF(Checks!$AE$96="","____________",Checks!$AE$96)&amp;CHAR(10)&amp;"PIC: "&amp;IF(Checks!$T$96="","____________",Checks!$T$96))</f>
        <v>Done: ____________ KUL
Verifier: ____________
PIC: ____________</v>
      </c>
      <c r="H29" s="121" t="str">
        <f aca="false">IF(Checks!$AH$96="","",Checks!$AH$96)</f>
        <v>OPEN</v>
      </c>
    </row>
    <row r="30" customFormat="false" ht="114" hidden="false" customHeight="true" outlineLevel="0" collapsed="false">
      <c r="A30" s="120" t="str">
        <f aca="false">Checks!$A$97&amp;CHAR(10)&amp;IF(Checks!$I$97="","",Checks!$I$97&amp;": ")&amp;Checks!$J$97</f>
        <v>F04-T7-08
Documents: Menu checklist received, revision recorded &amp; attached</v>
      </c>
      <c r="B30" s="120" t="str">
        <f aca="false">SUBSTITUTE(Checks!$K$97&amp;IF(Checks!$O$97="","",IF(Checks!$K$97="","",CHAR(10))&amp;"Note: "&amp;Checks!$O$97),"Documents sheet row complete","Recorded on the Documents sheet; copy stapled as A1 / A2")</f>
        <v>Recorded on the Documents sheet; copy stapled as A1 / A2</v>
      </c>
      <c r="C30" s="120" t="str">
        <f aca="false">Checks!$N$97&amp;CHAR(10)&amp;IF(ISNUMBER(Checks!$R$97),TEXT(Checks!$R$97,"DD-MMM-YY HH:MM"),"")&amp;" "&amp;Checks!$P$97</f>
        <v>Required
03-Oct-26 23:30 KUL</v>
      </c>
      <c r="D30" s="120" t="str">
        <f aca="false">IF(TRIM(Checks!$U$97)&lt;&gt;"",Checks!$U$97&amp;IF(Checks!$AB$97="","",CHAR(10)&amp;"CA: "&amp;Checks!$AB$97),IF(LEFT(Checks!$AH$97,10)="N/A – RULE","","[ ] Pass"&amp;CHAR(10)&amp;"[ ] Pass after CA"&amp;CHAR(10)&amp;"[ ] Fail"&amp;IF(Checks!$AT$97=1,CHAR(10)&amp;"[ ] N/A","")&amp;CHAR(10)&amp;"CA: Open / Closed"))</f>
        <v>[ ] Pass
[ ] Pass after CA
[ ] Fail
CA: Open / Closed</v>
      </c>
      <c r="E30" s="120" t="str">
        <f aca="false">IF(Checks!$V$97="","",Checks!$V$97)&amp;IF(Checks!$AC$97="","",IF(Checks!$V$97="","",CHAR(10))&amp;"N/A just.: "&amp;Checks!$AC$97)&amp;IF(OR(Checks!$W$97&lt;&gt;"",AND(Checks!$AQ$97=1,NOT(LEFT(Checks!$AH$97,10)="N/A – RULE"))),CHAR(10)&amp;"Batch: "&amp;IF(Checks!$W$97="","____________",Checks!$W$97),"")&amp;IF(OR(Checks!$X$97&lt;&gt;"",Checks!$Y$97&lt;&gt;"",AND(Checks!$AR$97=1,NOT(LEFT(Checks!$AH$97,10)="N/A – RULE"))),CHAR(10)&amp;"Exp: "&amp;IF(Checks!$X$97="","______",Checks!$X$97)&amp;"  /  Act: "&amp;IF(Checks!$Y$97="","______",Checks!$Y$97),"")</f>
        <v/>
      </c>
      <c r="F30" s="120" t="str">
        <f aca="false">IF(AND(LEFT(Checks!$AH$97,10)="N/A – RULE",TRIM(Checks!$S$97&amp;Checks!$Z$97)=""),"","Type: "&amp;IF(TRIM(Checks!$S$97)="","______________ (see cover list)",Checks!$S$97)&amp;CHAR(10)&amp;"ID: "&amp;IF(TRIM(Checks!$Z$97)="","______________ (record's own no.)",Checks!$Z$97))&amp;IF(Checks!$AA$97="","",CHAR(10)&amp;"CA: "&amp;Checks!$AA$97)</f>
        <v>Type: ______________ (see cover list)
ID: ______________ (record's own no.)</v>
      </c>
      <c r="G30" s="120" t="str">
        <f aca="false">IF(AND(LEFT(Checks!$AH$97,10)="N/A – RULE",NOT(ISNUMBER(Checks!$AD$97)),Checks!$AE$97="",Checks!$T$97=""),"","Done: "&amp;IF(ISNUMBER(Checks!$AD$97),TEXT(Checks!$AD$97,"DD-MMM-YY HH:MM"),"____________")&amp;" "&amp;Checks!$P$97&amp;CHAR(10)&amp;"Verifier: "&amp;IF(Checks!$AE$97="","____________",Checks!$AE$97)&amp;CHAR(10)&amp;"PIC: "&amp;IF(Checks!$T$97="","____________",Checks!$T$97))</f>
        <v>Done: ____________ KUL
Verifier: ____________
PIC: ____________</v>
      </c>
      <c r="H30" s="121" t="str">
        <f aca="false">IF(Checks!$AH$97="","",Checks!$AH$97)</f>
        <v>OPEN</v>
      </c>
    </row>
    <row r="31" customFormat="false" ht="114" hidden="false" customHeight="true" outlineLevel="0" collapsed="false">
      <c r="A31" s="120" t="str">
        <f aca="false">Checks!$A$98&amp;CHAR(10)&amp;IF(Checks!$I$98="","",Checks!$I$98&amp;": ")&amp;Checks!$J$98</f>
        <v>F04-T7-09
Uplift plan: Uplift plan confirmed with caterer vs STD Uplift Information</v>
      </c>
      <c r="B31" s="120" t="str">
        <f aca="false">Checks!$K$98&amp;IF(Checks!$O$98="","",IF(Checks!$K$98="","",CHAR(10))&amp;"Note: "&amp;Checks!$O$98)</f>
        <v>Service: 1.5 Meal (Meal); meal uplift stn KUL (ref lists KUL/NRT)</v>
      </c>
      <c r="C31" s="120" t="str">
        <f aca="false">Checks!$N$98&amp;CHAR(10)&amp;IF(ISNUMBER(Checks!$R$98),TEXT(Checks!$R$98,"DD-MMM-YY HH:MM"),"")&amp;" "&amp;Checks!$P$98</f>
        <v>Required
03-Oct-26 23:30 KUL</v>
      </c>
      <c r="D31" s="120" t="str">
        <f aca="false">IF(TRIM(Checks!$U$98)&lt;&gt;"",Checks!$U$98&amp;IF(Checks!$AB$98="","",CHAR(10)&amp;"CA: "&amp;Checks!$AB$98),IF(LEFT(Checks!$AH$98,10)="N/A – RULE","","[ ] Pass"&amp;CHAR(10)&amp;"[ ] Pass after CA"&amp;CHAR(10)&amp;"[ ] Fail"&amp;IF(Checks!$AT$98=1,CHAR(10)&amp;"[ ] N/A","")&amp;CHAR(10)&amp;"CA: Open / Closed"))</f>
        <v>[ ] Pass
[ ] Pass after CA
[ ] Fail
CA: Open / Closed</v>
      </c>
      <c r="E31" s="120" t="str">
        <f aca="false">IF(Checks!$V$98="","",Checks!$V$98)&amp;IF(Checks!$AC$98="","",IF(Checks!$V$98="","",CHAR(10))&amp;"N/A just.: "&amp;Checks!$AC$98)&amp;IF(OR(Checks!$W$98&lt;&gt;"",AND(Checks!$AQ$98=1,NOT(LEFT(Checks!$AH$98,10)="N/A – RULE"))),CHAR(10)&amp;"Batch: "&amp;IF(Checks!$W$98="","____________",Checks!$W$98),"")&amp;IF(OR(Checks!$X$98&lt;&gt;"",Checks!$Y$98&lt;&gt;"",AND(Checks!$AR$98=1,NOT(LEFT(Checks!$AH$98,10)="N/A – RULE"))),CHAR(10)&amp;"Exp: "&amp;IF(Checks!$X$98="","______",Checks!$X$98)&amp;"  /  Act: "&amp;IF(Checks!$Y$98="","______",Checks!$Y$98),"")</f>
        <v/>
      </c>
      <c r="F31" s="120" t="str">
        <f aca="false">IF(AND(LEFT(Checks!$AH$98,10)="N/A – RULE",TRIM(Checks!$S$98&amp;Checks!$Z$98)=""),"","Type: "&amp;IF(TRIM(Checks!$S$98)="","______________ (see cover list)",Checks!$S$98)&amp;CHAR(10)&amp;"ID: "&amp;IF(TRIM(Checks!$Z$98)="","______________ (record's own no.)",Checks!$Z$98))&amp;IF(Checks!$AA$98="","",CHAR(10)&amp;"CA: "&amp;Checks!$AA$98)</f>
        <v>Type: ______________ (see cover list)
ID: ______________ (record's own no.)</v>
      </c>
      <c r="G31" s="120" t="str">
        <f aca="false">IF(AND(LEFT(Checks!$AH$98,10)="N/A – RULE",NOT(ISNUMBER(Checks!$AD$98)),Checks!$AE$98="",Checks!$T$98=""),"","Done: "&amp;IF(ISNUMBER(Checks!$AD$98),TEXT(Checks!$AD$98,"DD-MMM-YY HH:MM"),"____________")&amp;" "&amp;Checks!$P$98&amp;CHAR(10)&amp;"Verifier: "&amp;IF(Checks!$AE$98="","____________",Checks!$AE$98)&amp;CHAR(10)&amp;"PIC: "&amp;IF(Checks!$T$98="","____________",Checks!$T$98))</f>
        <v>Done: ____________ KUL
Verifier: ____________
PIC: ____________</v>
      </c>
      <c r="H31" s="121" t="str">
        <f aca="false">IF(Checks!$AH$98="","",Checks!$AH$98)</f>
        <v>OPEN</v>
      </c>
    </row>
    <row r="32" customFormat="false" ht="25.5" hidden="false" customHeight="true" outlineLevel="0" collapsed="false">
      <c r="A32" s="119" t="str">
        <f aca="false">"T-24H — Production batch sensory  |  Due "&amp;IF(ISNUMBER(Flights!$AH$8),TEXT(Flights!$AH$8,"DD-MMM-YY HH:MM"),"")&amp;" "&amp;Flights!$V$8&amp;" (meal uplift stn)"&amp;" (rows with another due show their own)  |  Complete "&amp;IF(ISNUMBER(Flights!$AK$8),TEXT(Flights!$AK$8,"0%"),Flights!$AK$8)&amp;"  |  1 lines"</f>
        <v>T-24H — Production batch sensory  |  Due 09-Oct-26 23:30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Checks!$A$99&amp;CHAR(10)&amp;IF(Checks!$I$99="","",Checks!$I$99&amp;": ")&amp;Checks!$J$99</f>
        <v>F04-T24-01
Meal: Sensory test repeated on ACTUAL production batch for this flight</v>
      </c>
      <c r="B33" s="120" t="str">
        <f aca="false">Checks!$K$99&amp;IF(Checks!$O$99="","",IF(Checks!$K$99="","",CHAR(10))&amp;"Note: "&amp;Checks!$O$99)</f>
        <v>Batch ID, result, CA and acceptance mandatory</v>
      </c>
      <c r="C33" s="120" t="str">
        <f aca="false">Checks!$N$99&amp;CHAR(10)&amp;IF(ISNUMBER(Checks!$R$99),TEXT(Checks!$R$99,"DD-MMM-YY HH:MM"),"")&amp;" "&amp;Checks!$P$99</f>
        <v>Required
09-Oct-26 23:30 KUL</v>
      </c>
      <c r="D33" s="120" t="str">
        <f aca="false">IF(TRIM(Checks!$U$99)&lt;&gt;"",Checks!$U$99&amp;IF(Checks!$AB$99="","",CHAR(10)&amp;"CA: "&amp;Checks!$AB$99),IF(LEFT(Checks!$AH$99,10)="N/A – RULE","","[ ] Pass"&amp;CHAR(10)&amp;"[ ] Pass after CA"&amp;CHAR(10)&amp;"[ ] Fail"&amp;IF(Checks!$AT$99=1,CHAR(10)&amp;"[ ] N/A","")&amp;CHAR(10)&amp;"CA: Open / Closed"))</f>
        <v>[ ] Pass
[ ] Pass after CA
[ ] Fail
CA: Open / Closed</v>
      </c>
      <c r="E33" s="120" t="str">
        <f aca="false">IF(Checks!$V$99="","",Checks!$V$99)&amp;IF(Checks!$AC$99="","",IF(Checks!$V$99="","",CHAR(10))&amp;"N/A just.: "&amp;Checks!$AC$99)&amp;IF(OR(Checks!$W$99&lt;&gt;"",AND(Checks!$AQ$99=1,NOT(LEFT(Checks!$AH$99,10)="N/A – RULE"))),CHAR(10)&amp;"Batch: "&amp;IF(Checks!$W$99="","____________",Checks!$W$99),"")&amp;IF(OR(Checks!$X$99&lt;&gt;"",Checks!$Y$99&lt;&gt;"",AND(Checks!$AR$99=1,NOT(LEFT(Checks!$AH$99,10)="N/A – RULE"))),CHAR(10)&amp;"Exp: "&amp;IF(Checks!$X$99="","______",Checks!$X$99)&amp;"  /  Act: "&amp;IF(Checks!$Y$99="","______",Checks!$Y$99),"")</f>
        <v>
Batch: ____________</v>
      </c>
      <c r="F33" s="120" t="str">
        <f aca="false">IF(AND(LEFT(Checks!$AH$99,10)="N/A – RULE",TRIM(Checks!$S$99&amp;Checks!$Z$99)=""),"","Type: "&amp;IF(TRIM(Checks!$S$99)="","______________ (see cover list)",Checks!$S$99)&amp;CHAR(10)&amp;"ID: "&amp;IF(TRIM(Checks!$Z$99)="","______________ (record's own no.)",Checks!$Z$99))&amp;IF(Checks!$AA$99="","",CHAR(10)&amp;"CA: "&amp;Checks!$AA$99)</f>
        <v>Type: ______________ (see cover list)
ID: ______________ (record's own no.)</v>
      </c>
      <c r="G33" s="120" t="str">
        <f aca="false">IF(AND(LEFT(Checks!$AH$99,10)="N/A – RULE",NOT(ISNUMBER(Checks!$AD$99)),Checks!$AE$99="",Checks!$T$99=""),"","Done: "&amp;IF(ISNUMBER(Checks!$AD$99),TEXT(Checks!$AD$99,"DD-MMM-YY HH:MM"),"____________")&amp;" "&amp;Checks!$P$99&amp;CHAR(10)&amp;"Verifier: "&amp;IF(Checks!$AE$99="","____________",Checks!$AE$99)&amp;CHAR(10)&amp;"PIC: "&amp;IF(Checks!$T$99="","____________",Checks!$T$99))</f>
        <v>Done: ____________ KUL
Verifier: ____________
PIC: ____________</v>
      </c>
      <c r="H33" s="121" t="str">
        <f aca="false">IF(Checks!$AH$99="","",Checks!$AH$99)</f>
        <v>OPEN</v>
      </c>
    </row>
    <row r="34" customFormat="false" ht="25.5" hidden="false" customHeight="true" outlineLevel="0" collapsed="false">
      <c r="A34" s="119" t="str">
        <f aca="false">"T-12H PREP — Preparation check at caterer (does NOT confirm loading)  |  Due "&amp;IF(ISNUMBER(Flights!$AI$8),TEXT(Flights!$AI$8,"DD-MMM-YY HH:MM"),"")&amp;" "&amp;Flights!$V$8&amp;" (meal uplift stn)"&amp;" (rows with another due show their own)  |  Complete "&amp;IF(ISNUMBER(Flights!$AL$8),TEXT(Flights!$AL$8,"0%"),Flights!$AL$8)&amp;"  |  21 lines"</f>
        <v>T-12H PREP — Preparation check at caterer (does NOT confirm loading)  |  Due 10-Oct-26 11:30 KUL (meal uplift stn) (rows with another due show their own)  |  Complete 0%  |  21 lines</v>
      </c>
      <c r="B34" s="119"/>
      <c r="C34" s="119"/>
      <c r="D34" s="119"/>
      <c r="E34" s="119"/>
      <c r="F34" s="119"/>
      <c r="G34" s="119"/>
      <c r="H34" s="119"/>
    </row>
    <row r="35" customFormat="false" ht="114" hidden="false" customHeight="true" outlineLevel="0" collapsed="false">
      <c r="A35" s="120" t="str">
        <f aca="false">Checks!$A$100&amp;CHAR(10)&amp;IF(Checks!$I$100="","",Checks!$I$100&amp;": ")&amp;Checks!$J$100</f>
        <v>F04-T12-01
Meal: Meal quality vs menu checklist</v>
      </c>
      <c r="B35" s="120" t="str">
        <f aca="false">Checks!$K$100&amp;IF(Checks!$O$100="","",IF(Checks!$K$100="","",CHAR(10))&amp;"Note: "&amp;Checks!$O$100)</f>
        <v>Note: Preparation check at caterer - does NOT confirm loading.</v>
      </c>
      <c r="C35" s="120" t="str">
        <f aca="false">Checks!$N$100&amp;CHAR(10)&amp;IF(ISNUMBER(Checks!$R$100),TEXT(Checks!$R$100,"DD-MMM-YY HH:MM"),"")&amp;" "&amp;Checks!$P$100</f>
        <v>Required
10-Oct-26 11:30 KUL</v>
      </c>
      <c r="D35" s="120" t="str">
        <f aca="false">IF(TRIM(Checks!$U$100)&lt;&gt;"",Checks!$U$100&amp;IF(Checks!$AB$100="","",CHAR(10)&amp;"CA: "&amp;Checks!$AB$100),IF(LEFT(Checks!$AH$100,10)="N/A – RULE","","[ ] Pass"&amp;CHAR(10)&amp;"[ ] Pass after CA"&amp;CHAR(10)&amp;"[ ] Fail"&amp;IF(Checks!$AT$100=1,CHAR(10)&amp;"[ ] N/A","")&amp;CHAR(10)&amp;"CA: Open / Closed"))</f>
        <v>[ ] Pass
[ ] Pass after CA
[ ] Fail
CA: Open / Closed</v>
      </c>
      <c r="E35" s="120" t="str">
        <f aca="false">IF(Checks!$V$100="","",Checks!$V$100)&amp;IF(Checks!$AC$100="","",IF(Checks!$V$100="","",CHAR(10))&amp;"N/A just.: "&amp;Checks!$AC$100)&amp;IF(OR(Checks!$W$100&lt;&gt;"",AND(Checks!$AQ$100=1,NOT(LEFT(Checks!$AH$100,10)="N/A – RULE"))),CHAR(10)&amp;"Batch: "&amp;IF(Checks!$W$100="","____________",Checks!$W$100),"")&amp;IF(OR(Checks!$X$100&lt;&gt;"",Checks!$Y$100&lt;&gt;"",AND(Checks!$AR$100=1,NOT(LEFT(Checks!$AH$100,10)="N/A – RULE"))),CHAR(10)&amp;"Exp: "&amp;IF(Checks!$X$100="","______",Checks!$X$100)&amp;"  /  Act: "&amp;IF(Checks!$Y$100="","______",Checks!$Y$100),"")</f>
        <v/>
      </c>
      <c r="F35" s="120" t="str">
        <f aca="false">IF(AND(LEFT(Checks!$AH$100,10)="N/A – RULE",TRIM(Checks!$S$100&amp;Checks!$Z$100)=""),"","Type: "&amp;IF(TRIM(Checks!$S$100)="","______________ (see cover list)",Checks!$S$100)&amp;CHAR(10)&amp;"ID: "&amp;IF(TRIM(Checks!$Z$100)="","______________ (record's own no.)",Checks!$Z$100))&amp;IF(Checks!$AA$100="","",CHAR(10)&amp;"CA: "&amp;Checks!$AA$100)</f>
        <v>Type: ______________ (see cover list)
ID: ______________ (record's own no.)</v>
      </c>
      <c r="G35" s="120" t="str">
        <f aca="false">IF(AND(LEFT(Checks!$AH$100,10)="N/A – RULE",NOT(ISNUMBER(Checks!$AD$100)),Checks!$AE$100="",Checks!$T$100=""),"","Done: "&amp;IF(ISNUMBER(Checks!$AD$100),TEXT(Checks!$AD$100,"DD-MMM-YY HH:MM"),"____________")&amp;" "&amp;Checks!$P$100&amp;CHAR(10)&amp;"Verifier: "&amp;IF(Checks!$AE$100="","____________",Checks!$AE$100)&amp;CHAR(10)&amp;"PIC: "&amp;IF(Checks!$T$100="","____________",Checks!$T$100))</f>
        <v>Done: ____________ KUL
Verifier: ____________
PIC: ____________</v>
      </c>
      <c r="H35" s="121" t="str">
        <f aca="false">IF(Checks!$AH$100="","",Checks!$AH$100)</f>
        <v>OPEN</v>
      </c>
    </row>
    <row r="36" customFormat="false" ht="114" hidden="false" customHeight="true" outlineLevel="0" collapsed="false">
      <c r="A36" s="120" t="str">
        <f aca="false">Checks!$A$101&amp;CHAR(10)&amp;IF(Checks!$I$101="","",Checks!$I$101&amp;": ")&amp;Checks!$J$101</f>
        <v>F04-T12-02
Meal: Meal quantities vs menu checklist</v>
      </c>
      <c r="B36" s="120" t="str">
        <f aca="false">Checks!$K$101&amp;IF(Checks!$O$101="","",IF(Checks!$K$101="","",CHAR(10))&amp;"Note: "&amp;Checks!$O$101)</f>
        <v>Enter expected &amp; actual
Note: Preparation check at caterer - does NOT confirm loading.</v>
      </c>
      <c r="C36" s="120" t="str">
        <f aca="false">Checks!$N$101&amp;CHAR(10)&amp;IF(ISNUMBER(Checks!$R$101),TEXT(Checks!$R$101,"DD-MMM-YY HH:MM"),"")&amp;" "&amp;Checks!$P$101</f>
        <v>Required
10-Oct-26 11:30 KUL</v>
      </c>
      <c r="D36" s="120" t="str">
        <f aca="false">IF(TRIM(Checks!$U$101)&lt;&gt;"",Checks!$U$101&amp;IF(Checks!$AB$101="","",CHAR(10)&amp;"CA: "&amp;Checks!$AB$101),IF(LEFT(Checks!$AH$101,10)="N/A – RULE","","[ ] Pass"&amp;CHAR(10)&amp;"[ ] Pass after CA"&amp;CHAR(10)&amp;"[ ] Fail"&amp;IF(Checks!$AT$101=1,CHAR(10)&amp;"[ ] N/A","")&amp;CHAR(10)&amp;"CA: Open / Closed"))</f>
        <v>[ ] Pass
[ ] Pass after CA
[ ] Fail
CA: Open / Closed</v>
      </c>
      <c r="E36" s="120" t="str">
        <f aca="false">IF(Checks!$V$101="","",Checks!$V$101)&amp;IF(Checks!$AC$101="","",IF(Checks!$V$101="","",CHAR(10))&amp;"N/A just.: "&amp;Checks!$AC$101)&amp;IF(OR(Checks!$W$101&lt;&gt;"",AND(Checks!$AQ$101=1,NOT(LEFT(Checks!$AH$101,10)="N/A – RULE"))),CHAR(10)&amp;"Batch: "&amp;IF(Checks!$W$101="","____________",Checks!$W$101),"")&amp;IF(OR(Checks!$X$101&lt;&gt;"",Checks!$Y$101&lt;&gt;"",AND(Checks!$AR$101=1,NOT(LEFT(Checks!$AH$101,10)="N/A – RULE"))),CHAR(10)&amp;"Exp: "&amp;IF(Checks!$X$101="","______",Checks!$X$101)&amp;"  /  Act: "&amp;IF(Checks!$Y$101="","______",Checks!$Y$101),"")</f>
        <v>
Exp: ______  /  Act: ______</v>
      </c>
      <c r="F36" s="120" t="str">
        <f aca="false">IF(AND(LEFT(Checks!$AH$101,10)="N/A – RULE",TRIM(Checks!$S$101&amp;Checks!$Z$101)=""),"","Type: "&amp;IF(TRIM(Checks!$S$101)="","______________ (see cover list)",Checks!$S$101)&amp;CHAR(10)&amp;"ID: "&amp;IF(TRIM(Checks!$Z$101)="","______________ (record's own no.)",Checks!$Z$101))&amp;IF(Checks!$AA$101="","",CHAR(10)&amp;"CA: "&amp;Checks!$AA$101)</f>
        <v>Type: ______________ (see cover list)
ID: ______________ (record's own no.)</v>
      </c>
      <c r="G36" s="120" t="str">
        <f aca="false">IF(AND(LEFT(Checks!$AH$101,10)="N/A – RULE",NOT(ISNUMBER(Checks!$AD$101)),Checks!$AE$101="",Checks!$T$101=""),"","Done: "&amp;IF(ISNUMBER(Checks!$AD$101),TEXT(Checks!$AD$101,"DD-MMM-YY HH:MM"),"____________")&amp;" "&amp;Checks!$P$101&amp;CHAR(10)&amp;"Verifier: "&amp;IF(Checks!$AE$101="","____________",Checks!$AE$101)&amp;CHAR(10)&amp;"PIC: "&amp;IF(Checks!$T$101="","____________",Checks!$T$101))</f>
        <v>Done: ____________ KUL
Verifier: ____________
PIC: ____________</v>
      </c>
      <c r="H36" s="121" t="str">
        <f aca="false">IF(Checks!$AH$101="","",Checks!$AH$101)</f>
        <v>OPEN</v>
      </c>
    </row>
    <row r="37" customFormat="false" ht="114" hidden="false" customHeight="true" outlineLevel="0" collapsed="false">
      <c r="A37" s="120" t="str">
        <f aca="false">Checks!$A$102&amp;CHAR(10)&amp;IF(Checks!$I$102="","",Checks!$I$102&amp;": ")&amp;Checks!$J$102</f>
        <v>F04-T12-03
Equipment: Equipment cleanliness vs GLD</v>
      </c>
      <c r="B37" s="120" t="str">
        <f aca="false">Checks!$K$102&amp;IF(Checks!$O$102="","",IF(Checks!$K$102="","",CHAR(10))&amp;"Note: "&amp;Checks!$O$102)</f>
        <v>Note: Preparation check at caterer - does NOT confirm loading.</v>
      </c>
      <c r="C37" s="120" t="str">
        <f aca="false">Checks!$N$102&amp;CHAR(10)&amp;IF(ISNUMBER(Checks!$R$102),TEXT(Checks!$R$102,"DD-MMM-YY HH:MM"),"")&amp;" "&amp;Checks!$P$102</f>
        <v>Required
10-Oct-26 11:30 KUL</v>
      </c>
      <c r="D37" s="120" t="str">
        <f aca="false">IF(TRIM(Checks!$U$102)&lt;&gt;"",Checks!$U$102&amp;IF(Checks!$AB$102="","",CHAR(10)&amp;"CA: "&amp;Checks!$AB$102),IF(LEFT(Checks!$AH$102,10)="N/A – RULE","","[ ] Pass"&amp;CHAR(10)&amp;"[ ] Pass after CA"&amp;CHAR(10)&amp;"[ ] Fail"&amp;IF(Checks!$AT$102=1,CHAR(10)&amp;"[ ] N/A","")&amp;CHAR(10)&amp;"CA: Open / Closed"))</f>
        <v>[ ] Pass
[ ] Pass after CA
[ ] Fail
CA: Open / Closed</v>
      </c>
      <c r="E37" s="120" t="str">
        <f aca="false">IF(Checks!$V$102="","",Checks!$V$102)&amp;IF(Checks!$AC$102="","",IF(Checks!$V$102="","",CHAR(10))&amp;"N/A just.: "&amp;Checks!$AC$102)&amp;IF(OR(Checks!$W$102&lt;&gt;"",AND(Checks!$AQ$102=1,NOT(LEFT(Checks!$AH$102,10)="N/A – RULE"))),CHAR(10)&amp;"Batch: "&amp;IF(Checks!$W$102="","____________",Checks!$W$102),"")&amp;IF(OR(Checks!$X$102&lt;&gt;"",Checks!$Y$102&lt;&gt;"",AND(Checks!$AR$102=1,NOT(LEFT(Checks!$AH$102,10)="N/A – RULE"))),CHAR(10)&amp;"Exp: "&amp;IF(Checks!$X$102="","______",Checks!$X$102)&amp;"  /  Act: "&amp;IF(Checks!$Y$102="","______",Checks!$Y$102),"")</f>
        <v/>
      </c>
      <c r="F37" s="120" t="str">
        <f aca="false">IF(AND(LEFT(Checks!$AH$102,10)="N/A – RULE",TRIM(Checks!$S$102&amp;Checks!$Z$102)=""),"","Type: "&amp;IF(TRIM(Checks!$S$102)="","______________ (see cover list)",Checks!$S$102)&amp;CHAR(10)&amp;"ID: "&amp;IF(TRIM(Checks!$Z$102)="","______________ (record's own no.)",Checks!$Z$102))&amp;IF(Checks!$AA$102="","",CHAR(10)&amp;"CA: "&amp;Checks!$AA$102)</f>
        <v>Type: ______________ (see cover list)
ID: ______________ (record's own no.)</v>
      </c>
      <c r="G37" s="120" t="str">
        <f aca="false">IF(AND(LEFT(Checks!$AH$102,10)="N/A – RULE",NOT(ISNUMBER(Checks!$AD$102)),Checks!$AE$102="",Checks!$T$102=""),"","Done: "&amp;IF(ISNUMBER(Checks!$AD$102),TEXT(Checks!$AD$102,"DD-MMM-YY HH:MM"),"____________")&amp;" "&amp;Checks!$P$102&amp;CHAR(10)&amp;"Verifier: "&amp;IF(Checks!$AE$102="","____________",Checks!$AE$102)&amp;CHAR(10)&amp;"PIC: "&amp;IF(Checks!$T$102="","____________",Checks!$T$102))</f>
        <v>Done: ____________ KUL
Verifier: ____________
PIC: ____________</v>
      </c>
      <c r="H37" s="121" t="str">
        <f aca="false">IF(Checks!$AH$102="","",Checks!$AH$102)</f>
        <v>OPEN</v>
      </c>
    </row>
    <row r="38" customFormat="false" ht="114" hidden="false" customHeight="true" outlineLevel="0" collapsed="false">
      <c r="A38" s="120" t="str">
        <f aca="false">Checks!$A$103&amp;CHAR(10)&amp;IF(Checks!$I$103="","",Checks!$I$103&amp;": ")&amp;Checks!$J$103</f>
        <v>F04-T12-04
Equipment: Equipment presentation vs GLD</v>
      </c>
      <c r="B38" s="120" t="str">
        <f aca="false">Checks!$K$103&amp;IF(Checks!$O$103="","",IF(Checks!$K$103="","",CHAR(10))&amp;"Note: "&amp;Checks!$O$103)</f>
        <v>Note: Preparation check at caterer - does NOT confirm loading.</v>
      </c>
      <c r="C38" s="120" t="str">
        <f aca="false">Checks!$N$103&amp;CHAR(10)&amp;IF(ISNUMBER(Checks!$R$103),TEXT(Checks!$R$103,"DD-MMM-YY HH:MM"),"")&amp;" "&amp;Checks!$P$103</f>
        <v>Required
10-Oct-26 11:30 KUL</v>
      </c>
      <c r="D38" s="120" t="str">
        <f aca="false">IF(TRIM(Checks!$U$103)&lt;&gt;"",Checks!$U$103&amp;IF(Checks!$AB$103="","",CHAR(10)&amp;"CA: "&amp;Checks!$AB$103),IF(LEFT(Checks!$AH$103,10)="N/A – RULE","","[ ] Pass"&amp;CHAR(10)&amp;"[ ] Pass after CA"&amp;CHAR(10)&amp;"[ ] Fail"&amp;IF(Checks!$AT$103=1,CHAR(10)&amp;"[ ] N/A","")&amp;CHAR(10)&amp;"CA: Open / Closed"))</f>
        <v>[ ] Pass
[ ] Pass after CA
[ ] Fail
CA: Open / Closed</v>
      </c>
      <c r="E38" s="120" t="str">
        <f aca="false">IF(Checks!$V$103="","",Checks!$V$103)&amp;IF(Checks!$AC$103="","",IF(Checks!$V$103="","",CHAR(10))&amp;"N/A just.: "&amp;Checks!$AC$103)&amp;IF(OR(Checks!$W$103&lt;&gt;"",AND(Checks!$AQ$103=1,NOT(LEFT(Checks!$AH$103,10)="N/A – RULE"))),CHAR(10)&amp;"Batch: "&amp;IF(Checks!$W$103="","____________",Checks!$W$103),"")&amp;IF(OR(Checks!$X$103&lt;&gt;"",Checks!$Y$103&lt;&gt;"",AND(Checks!$AR$103=1,NOT(LEFT(Checks!$AH$103,10)="N/A – RULE"))),CHAR(10)&amp;"Exp: "&amp;IF(Checks!$X$103="","______",Checks!$X$103)&amp;"  /  Act: "&amp;IF(Checks!$Y$103="","______",Checks!$Y$103),"")</f>
        <v/>
      </c>
      <c r="F38" s="120" t="str">
        <f aca="false">IF(AND(LEFT(Checks!$AH$103,10)="N/A – RULE",TRIM(Checks!$S$103&amp;Checks!$Z$103)=""),"","Type: "&amp;IF(TRIM(Checks!$S$103)="","______________ (see cover list)",Checks!$S$103)&amp;CHAR(10)&amp;"ID: "&amp;IF(TRIM(Checks!$Z$103)="","______________ (record's own no.)",Checks!$Z$103))&amp;IF(Checks!$AA$103="","",CHAR(10)&amp;"CA: "&amp;Checks!$AA$103)</f>
        <v>Type: ______________ (see cover list)
ID: ______________ (record's own no.)</v>
      </c>
      <c r="G38" s="120" t="str">
        <f aca="false">IF(AND(LEFT(Checks!$AH$103,10)="N/A – RULE",NOT(ISNUMBER(Checks!$AD$103)),Checks!$AE$103="",Checks!$T$103=""),"","Done: "&amp;IF(ISNUMBER(Checks!$AD$103),TEXT(Checks!$AD$103,"DD-MMM-YY HH:MM"),"____________")&amp;" "&amp;Checks!$P$103&amp;CHAR(10)&amp;"Verifier: "&amp;IF(Checks!$AE$103="","____________",Checks!$AE$103)&amp;CHAR(10)&amp;"PIC: "&amp;IF(Checks!$T$103="","____________",Checks!$T$103))</f>
        <v>Done: ____________ KUL
Verifier: ____________
PIC: ____________</v>
      </c>
      <c r="H38" s="121" t="str">
        <f aca="false">IF(Checks!$AH$103="","",Checks!$AH$103)</f>
        <v>OPEN</v>
      </c>
    </row>
    <row r="39" customFormat="false" ht="114" hidden="false" customHeight="true" outlineLevel="0" collapsed="false">
      <c r="A39" s="120" t="str">
        <f aca="false">Checks!$A$104&amp;CHAR(10)&amp;IF(Checks!$I$104="","",Checks!$I$104&amp;": ")&amp;Checks!$J$104</f>
        <v>F04-T12-05
Equipment: Equipment serviceability vs GLD</v>
      </c>
      <c r="B39" s="120" t="str">
        <f aca="false">Checks!$K$104&amp;IF(Checks!$O$104="","",IF(Checks!$K$104="","",CHAR(10))&amp;"Note: "&amp;Checks!$O$104)</f>
        <v>Note: Preparation check at caterer - does NOT confirm loading.</v>
      </c>
      <c r="C39" s="120" t="str">
        <f aca="false">Checks!$N$104&amp;CHAR(10)&amp;IF(ISNUMBER(Checks!$R$104),TEXT(Checks!$R$104,"DD-MMM-YY HH:MM"),"")&amp;" "&amp;Checks!$P$104</f>
        <v>Required
10-Oct-26 11:30 KUL</v>
      </c>
      <c r="D39" s="120" t="str">
        <f aca="false">IF(TRIM(Checks!$U$104)&lt;&gt;"",Checks!$U$104&amp;IF(Checks!$AB$104="","",CHAR(10)&amp;"CA: "&amp;Checks!$AB$104),IF(LEFT(Checks!$AH$104,10)="N/A – RULE","","[ ] Pass"&amp;CHAR(10)&amp;"[ ] Pass after CA"&amp;CHAR(10)&amp;"[ ] Fail"&amp;IF(Checks!$AT$104=1,CHAR(10)&amp;"[ ] N/A","")&amp;CHAR(10)&amp;"CA: Open / Closed"))</f>
        <v>[ ] Pass
[ ] Pass after CA
[ ] Fail
CA: Open / Closed</v>
      </c>
      <c r="E39" s="120" t="str">
        <f aca="false">IF(Checks!$V$104="","",Checks!$V$104)&amp;IF(Checks!$AC$104="","",IF(Checks!$V$104="","",CHAR(10))&amp;"N/A just.: "&amp;Checks!$AC$104)&amp;IF(OR(Checks!$W$104&lt;&gt;"",AND(Checks!$AQ$104=1,NOT(LEFT(Checks!$AH$104,10)="N/A – RULE"))),CHAR(10)&amp;"Batch: "&amp;IF(Checks!$W$104="","____________",Checks!$W$104),"")&amp;IF(OR(Checks!$X$104&lt;&gt;"",Checks!$Y$104&lt;&gt;"",AND(Checks!$AR$104=1,NOT(LEFT(Checks!$AH$104,10)="N/A – RULE"))),CHAR(10)&amp;"Exp: "&amp;IF(Checks!$X$104="","______",Checks!$X$104)&amp;"  /  Act: "&amp;IF(Checks!$Y$104="","______",Checks!$Y$104),"")</f>
        <v/>
      </c>
      <c r="F39" s="120" t="str">
        <f aca="false">IF(AND(LEFT(Checks!$AH$104,10)="N/A – RULE",TRIM(Checks!$S$104&amp;Checks!$Z$104)=""),"","Type: "&amp;IF(TRIM(Checks!$S$104)="","______________ (see cover list)",Checks!$S$104)&amp;CHAR(10)&amp;"ID: "&amp;IF(TRIM(Checks!$Z$104)="","______________ (record's own no.)",Checks!$Z$104))&amp;IF(Checks!$AA$104="","",CHAR(10)&amp;"CA: "&amp;Checks!$AA$104)</f>
        <v>Type: ______________ (see cover list)
ID: ______________ (record's own no.)</v>
      </c>
      <c r="G39" s="120" t="str">
        <f aca="false">IF(AND(LEFT(Checks!$AH$104,10)="N/A – RULE",NOT(ISNUMBER(Checks!$AD$104)),Checks!$AE$104="",Checks!$T$104=""),"","Done: "&amp;IF(ISNUMBER(Checks!$AD$104),TEXT(Checks!$AD$104,"DD-MMM-YY HH:MM"),"____________")&amp;" "&amp;Checks!$P$104&amp;CHAR(10)&amp;"Verifier: "&amp;IF(Checks!$AE$104="","____________",Checks!$AE$104)&amp;CHAR(10)&amp;"PIC: "&amp;IF(Checks!$T$104="","____________",Checks!$T$104))</f>
        <v>Done: ____________ KUL
Verifier: ____________
PIC: ____________</v>
      </c>
      <c r="H39" s="121" t="str">
        <f aca="false">IF(Checks!$AH$104="","",Checks!$AH$104)</f>
        <v>OPEN</v>
      </c>
    </row>
    <row r="40" customFormat="false" ht="289.5" hidden="false" customHeight="true" outlineLevel="0" collapsed="false">
      <c r="A40" s="120" t="str">
        <f aca="false">Checks!$A$105&amp;CHAR(10)&amp;IF(Checks!$I$105="","",Checks!$I$105&amp;": ")&amp;Checks!$J$105</f>
        <v>F04-T12-06
Equipment: Equipment quantities vs GLD</v>
      </c>
      <c r="B40" s="120" t="str">
        <f aca="false">SUBSTITUTE(SUBSTITUTE(SUBSTITUTE(Checks!$K$105&amp;IF(Checks!$O$105="","",IF(Checks!$K$105="","",CHAR(10))&amp;"Note: "&amp;Checks!$O$105),"makers -,","makers n/a,")," (AIRCRAFT TYPE!C6:R6)","")," (AIRCRAFT TYPE!C7:R7)","")</f>
        <v>Enter expected &amp; actual. Aircraft galley data: A350-900 (A359): carts 50.5, SU 70, ovens 14, warming ovens 3, fridges 3, water heaters 7, beverage makers n/a, espresso 2, folding trolleys 4, headsets BC &amp; EY: Dual Pin | A350-900 (A350): carts 41.5, SU 52, ovens 14, warming ovens 0, fridges 1, water heaters 11, beverage makers n/a, espresso 1, folding trolleys 3, headsets BC: Dual Pin/ EY: Single Pin
Note: Preparation check at caterer - does NOT confirm loading.</v>
      </c>
      <c r="C40" s="120" t="str">
        <f aca="false">Checks!$N$105&amp;CHAR(10)&amp;IF(ISNUMBER(Checks!$R$105),TEXT(Checks!$R$105,"DD-MMM-YY HH:MM"),"")&amp;" "&amp;Checks!$P$105</f>
        <v>Required
10-Oct-26 11:30 KUL</v>
      </c>
      <c r="D40" s="120" t="str">
        <f aca="false">IF(TRIM(Checks!$U$105)&lt;&gt;"",Checks!$U$105&amp;IF(Checks!$AB$105="","",CHAR(10)&amp;"CA: "&amp;Checks!$AB$105),IF(LEFT(Checks!$AH$105,10)="N/A – RULE","","[ ] Pass"&amp;CHAR(10)&amp;"[ ] Pass after CA"&amp;CHAR(10)&amp;"[ ] Fail"&amp;IF(Checks!$AT$105=1,CHAR(10)&amp;"[ ] N/A","")&amp;CHAR(10)&amp;"CA: Open / Closed"))</f>
        <v>[ ] Pass
[ ] Pass after CA
[ ] Fail
CA: Open / Closed</v>
      </c>
      <c r="E40" s="120" t="str">
        <f aca="false">IF(Checks!$V$105="","",Checks!$V$105)&amp;IF(Checks!$AC$105="","",IF(Checks!$V$105="","",CHAR(10))&amp;"N/A just.: "&amp;Checks!$AC$105)&amp;IF(OR(Checks!$W$105&lt;&gt;"",AND(Checks!$AQ$105=1,NOT(LEFT(Checks!$AH$105,10)="N/A – RULE"))),CHAR(10)&amp;"Batch: "&amp;IF(Checks!$W$105="","____________",Checks!$W$105),"")&amp;IF(OR(Checks!$X$105&lt;&gt;"",Checks!$Y$105&lt;&gt;"",AND(Checks!$AR$105=1,NOT(LEFT(Checks!$AH$105,10)="N/A – RULE"))),CHAR(10)&amp;"Exp: "&amp;IF(Checks!$X$105="","______",Checks!$X$105)&amp;"  /  Act: "&amp;IF(Checks!$Y$105="","______",Checks!$Y$105),"")</f>
        <v>
Exp: ______  /  Act: ______</v>
      </c>
      <c r="F40" s="120" t="str">
        <f aca="false">IF(AND(LEFT(Checks!$AH$105,10)="N/A – RULE",TRIM(Checks!$S$105&amp;Checks!$Z$105)=""),"","Type: "&amp;IF(TRIM(Checks!$S$105)="","______________ (see cover list)",Checks!$S$105)&amp;CHAR(10)&amp;"ID: "&amp;IF(TRIM(Checks!$Z$105)="","______________ (record's own no.)",Checks!$Z$105))&amp;IF(Checks!$AA$105="","",CHAR(10)&amp;"CA: "&amp;Checks!$AA$105)</f>
        <v>Type: ______________ (see cover list)
ID: ______________ (record's own no.)</v>
      </c>
      <c r="G40" s="120" t="str">
        <f aca="false">IF(AND(LEFT(Checks!$AH$105,10)="N/A – RULE",NOT(ISNUMBER(Checks!$AD$105)),Checks!$AE$105="",Checks!$T$105=""),"","Done: "&amp;IF(ISNUMBER(Checks!$AD$105),TEXT(Checks!$AD$105,"DD-MMM-YY HH:MM"),"____________")&amp;" "&amp;Checks!$P$105&amp;CHAR(10)&amp;"Verifier: "&amp;IF(Checks!$AE$105="","____________",Checks!$AE$105)&amp;CHAR(10)&amp;"PIC: "&amp;IF(Checks!$T$105="","____________",Checks!$T$105))</f>
        <v>Done: ____________ KUL
Verifier: ____________
PIC: ____________</v>
      </c>
      <c r="H40" s="121" t="str">
        <f aca="false">IF(Checks!$AH$105="","",Checks!$AH$105)</f>
        <v>OPEN</v>
      </c>
    </row>
    <row r="41" customFormat="false" ht="114" hidden="false" customHeight="true" outlineLevel="0" collapsed="false">
      <c r="A41" s="120" t="str">
        <f aca="false">Checks!$A$106&amp;CHAR(10)&amp;IF(Checks!$I$106="","",Checks!$I$106&amp;": ")&amp;Checks!$J$106</f>
        <v>F04-T12-07
Equipment: Loading positions planned vs GLD</v>
      </c>
      <c r="B41" s="120" t="str">
        <f aca="false">Checks!$K$106&amp;IF(Checks!$O$106="","",IF(Checks!$K$106="","",CHAR(10))&amp;"Note: "&amp;Checks!$O$106)</f>
        <v>Note: Preparation check at caterer - does NOT confirm loading.</v>
      </c>
      <c r="C41" s="120" t="str">
        <f aca="false">Checks!$N$106&amp;CHAR(10)&amp;IF(ISNUMBER(Checks!$R$106),TEXT(Checks!$R$106,"DD-MMM-YY HH:MM"),"")&amp;" "&amp;Checks!$P$106</f>
        <v>Required
10-Oct-26 11:30 KUL</v>
      </c>
      <c r="D41" s="120" t="str">
        <f aca="false">IF(TRIM(Checks!$U$106)&lt;&gt;"",Checks!$U$106&amp;IF(Checks!$AB$106="","",CHAR(10)&amp;"CA: "&amp;Checks!$AB$106),IF(LEFT(Checks!$AH$106,10)="N/A – RULE","","[ ] Pass"&amp;CHAR(10)&amp;"[ ] Pass after CA"&amp;CHAR(10)&amp;"[ ] Fail"&amp;IF(Checks!$AT$106=1,CHAR(10)&amp;"[ ] N/A","")&amp;CHAR(10)&amp;"CA: Open / Closed"))</f>
        <v>[ ] Pass
[ ] Pass after CA
[ ] Fail
CA: Open / Closed</v>
      </c>
      <c r="E41" s="120" t="str">
        <f aca="false">IF(Checks!$V$106="","",Checks!$V$106)&amp;IF(Checks!$AC$106="","",IF(Checks!$V$106="","",CHAR(10))&amp;"N/A just.: "&amp;Checks!$AC$106)&amp;IF(OR(Checks!$W$106&lt;&gt;"",AND(Checks!$AQ$106=1,NOT(LEFT(Checks!$AH$106,10)="N/A – RULE"))),CHAR(10)&amp;"Batch: "&amp;IF(Checks!$W$106="","____________",Checks!$W$106),"")&amp;IF(OR(Checks!$X$106&lt;&gt;"",Checks!$Y$106&lt;&gt;"",AND(Checks!$AR$106=1,NOT(LEFT(Checks!$AH$106,10)="N/A – RULE"))),CHAR(10)&amp;"Exp: "&amp;IF(Checks!$X$106="","______",Checks!$X$106)&amp;"  /  Act: "&amp;IF(Checks!$Y$106="","______",Checks!$Y$106),"")</f>
        <v/>
      </c>
      <c r="F41" s="120" t="str">
        <f aca="false">IF(AND(LEFT(Checks!$AH$106,10)="N/A – RULE",TRIM(Checks!$S$106&amp;Checks!$Z$106)=""),"","Type: "&amp;IF(TRIM(Checks!$S$106)="","______________ (see cover list)",Checks!$S$106)&amp;CHAR(10)&amp;"ID: "&amp;IF(TRIM(Checks!$Z$106)="","______________ (record's own no.)",Checks!$Z$106))&amp;IF(Checks!$AA$106="","",CHAR(10)&amp;"CA: "&amp;Checks!$AA$106)</f>
        <v>Type: ______________ (see cover list)
ID: ______________ (record's own no.)</v>
      </c>
      <c r="G41" s="120" t="str">
        <f aca="false">IF(AND(LEFT(Checks!$AH$106,10)="N/A – RULE",NOT(ISNUMBER(Checks!$AD$106)),Checks!$AE$106="",Checks!$T$106=""),"","Done: "&amp;IF(ISNUMBER(Checks!$AD$106),TEXT(Checks!$AD$106,"DD-MMM-YY HH:MM"),"____________")&amp;" "&amp;Checks!$P$106&amp;CHAR(10)&amp;"Verifier: "&amp;IF(Checks!$AE$106="","____________",Checks!$AE$106)&amp;CHAR(10)&amp;"PIC: "&amp;IF(Checks!$T$106="","____________",Checks!$T$106))</f>
        <v>Done: ____________ KUL
Verifier: ____________
PIC: ____________</v>
      </c>
      <c r="H41" s="121" t="str">
        <f aca="false">IF(Checks!$AH$106="","",Checks!$AH$106)</f>
        <v>OPEN</v>
      </c>
    </row>
    <row r="42" customFormat="false" ht="114" hidden="false" customHeight="true" outlineLevel="0" collapsed="false">
      <c r="A42" s="120" t="str">
        <f aca="false">Checks!$A$107&amp;CHAR(10)&amp;IF(Checks!$I$107="","",Checks!$I$107&amp;": ")&amp;Checks!$J$107</f>
        <v>F04-T12-08
Amenities: Toiletry kits - prepared</v>
      </c>
      <c r="B42" s="120" t="str">
        <f aca="false">Checks!$K$107&amp;IF(Checks!$O$107="","",IF(Checks!$K$107="","",CHAR(10))&amp;"Note: "&amp;Checks!$O$107)</f>
        <v>Available (ticked in reference)</v>
      </c>
      <c r="C42" s="120" t="str">
        <f aca="false">Checks!$N$107&amp;CHAR(10)&amp;IF(ISNUMBER(Checks!$R$107),TEXT(Checks!$R$107,"DD-MMM-YY HH:MM"),"")&amp;" "&amp;Checks!$P$107</f>
        <v>Required
10-Oct-26 11:30 KUL</v>
      </c>
      <c r="D42" s="120" t="str">
        <f aca="false">IF(TRIM(Checks!$U$107)&lt;&gt;"",Checks!$U$107&amp;IF(Checks!$AB$107="","",CHAR(10)&amp;"CA: "&amp;Checks!$AB$107),IF(LEFT(Checks!$AH$107,10)="N/A – RULE","","[ ] Pass"&amp;CHAR(10)&amp;"[ ] Pass after CA"&amp;CHAR(10)&amp;"[ ] Fail"&amp;IF(Checks!$AT$107=1,CHAR(10)&amp;"[ ] N/A","")&amp;CHAR(10)&amp;"CA: Open / Closed"))</f>
        <v>[ ] Pass
[ ] Pass after CA
[ ] Fail
CA: Open / Closed</v>
      </c>
      <c r="E42" s="120" t="str">
        <f aca="false">IF(Checks!$V$107="","",Checks!$V$107)&amp;IF(Checks!$AC$107="","",IF(Checks!$V$107="","",CHAR(10))&amp;"N/A just.: "&amp;Checks!$AC$107)&amp;IF(OR(Checks!$W$107&lt;&gt;"",AND(Checks!$AQ$107=1,NOT(LEFT(Checks!$AH$107,10)="N/A – RULE"))),CHAR(10)&amp;"Batch: "&amp;IF(Checks!$W$107="","____________",Checks!$W$107),"")&amp;IF(OR(Checks!$X$107&lt;&gt;"",Checks!$Y$107&lt;&gt;"",AND(Checks!$AR$107=1,NOT(LEFT(Checks!$AH$107,10)="N/A – RULE"))),CHAR(10)&amp;"Exp: "&amp;IF(Checks!$X$107="","______",Checks!$X$107)&amp;"  /  Act: "&amp;IF(Checks!$Y$107="","______",Checks!$Y$107),"")</f>
        <v/>
      </c>
      <c r="F42" s="120" t="str">
        <f aca="false">IF(AND(LEFT(Checks!$AH$107,10)="N/A – RULE",TRIM(Checks!$S$107&amp;Checks!$Z$107)=""),"","Type: "&amp;IF(TRIM(Checks!$S$107)="","______________ (see cover list)",Checks!$S$107)&amp;CHAR(10)&amp;"ID: "&amp;IF(TRIM(Checks!$Z$107)="","______________ (record's own no.)",Checks!$Z$107))&amp;IF(Checks!$AA$107="","",CHAR(10)&amp;"CA: "&amp;Checks!$AA$107)</f>
        <v>Type: ______________ (see cover list)
ID: ______________ (record's own no.)</v>
      </c>
      <c r="G42" s="120" t="str">
        <f aca="false">IF(AND(LEFT(Checks!$AH$107,10)="N/A – RULE",NOT(ISNUMBER(Checks!$AD$107)),Checks!$AE$107="",Checks!$T$107=""),"","Done: "&amp;IF(ISNUMBER(Checks!$AD$107),TEXT(Checks!$AD$107,"DD-MMM-YY HH:MM"),"____________")&amp;" "&amp;Checks!$P$107&amp;CHAR(10)&amp;"Verifier: "&amp;IF(Checks!$AE$107="","____________",Checks!$AE$107)&amp;CHAR(10)&amp;"PIC: "&amp;IF(Checks!$T$107="","____________",Checks!$T$107))</f>
        <v>Done: ____________ KUL
Verifier: ____________
PIC: ____________</v>
      </c>
      <c r="H42" s="121" t="str">
        <f aca="false">IF(Checks!$AH$107="","",Checks!$AH$107)</f>
        <v>OPEN</v>
      </c>
    </row>
    <row r="43" customFormat="false" ht="114" hidden="false" customHeight="true" outlineLevel="0" collapsed="false">
      <c r="A43" s="120" t="str">
        <f aca="false">Checks!$A$108&amp;CHAR(10)&amp;IF(Checks!$I$108="","",Checks!$I$108&amp;": ")&amp;Checks!$J$108</f>
        <v>F04-T12-09
Amenities: Slippers (BS/BC) - prepared</v>
      </c>
      <c r="B43" s="120" t="str">
        <f aca="false">Checks!$K$108&amp;IF(Checks!$O$108="","",IF(Checks!$K$108="","",CHAR(10))&amp;"Note: "&amp;Checks!$O$108)</f>
        <v>Available (ticked in reference)</v>
      </c>
      <c r="C43" s="120" t="str">
        <f aca="false">Checks!$N$108&amp;CHAR(10)&amp;IF(ISNUMBER(Checks!$R$108),TEXT(Checks!$R$108,"DD-MMM-YY HH:MM"),"")&amp;" "&amp;Checks!$P$108</f>
        <v>Required
10-Oct-26 11:30 KUL</v>
      </c>
      <c r="D43" s="120" t="str">
        <f aca="false">IF(TRIM(Checks!$U$108)&lt;&gt;"",Checks!$U$108&amp;IF(Checks!$AB$108="","",CHAR(10)&amp;"CA: "&amp;Checks!$AB$108),IF(LEFT(Checks!$AH$108,10)="N/A – RULE","","[ ] Pass"&amp;CHAR(10)&amp;"[ ] Pass after CA"&amp;CHAR(10)&amp;"[ ] Fail"&amp;IF(Checks!$AT$108=1,CHAR(10)&amp;"[ ] N/A","")&amp;CHAR(10)&amp;"CA: Open / Closed"))</f>
        <v>[ ] Pass
[ ] Pass after CA
[ ] Fail
CA: Open / Closed</v>
      </c>
      <c r="E43" s="120" t="str">
        <f aca="false">IF(Checks!$V$108="","",Checks!$V$108)&amp;IF(Checks!$AC$108="","",IF(Checks!$V$108="","",CHAR(10))&amp;"N/A just.: "&amp;Checks!$AC$108)&amp;IF(OR(Checks!$W$108&lt;&gt;"",AND(Checks!$AQ$108=1,NOT(LEFT(Checks!$AH$108,10)="N/A – RULE"))),CHAR(10)&amp;"Batch: "&amp;IF(Checks!$W$108="","____________",Checks!$W$108),"")&amp;IF(OR(Checks!$X$108&lt;&gt;"",Checks!$Y$108&lt;&gt;"",AND(Checks!$AR$108=1,NOT(LEFT(Checks!$AH$108,10)="N/A – RULE"))),CHAR(10)&amp;"Exp: "&amp;IF(Checks!$X$108="","______",Checks!$X$108)&amp;"  /  Act: "&amp;IF(Checks!$Y$108="","______",Checks!$Y$108),"")</f>
        <v/>
      </c>
      <c r="F43" s="120" t="str">
        <f aca="false">IF(AND(LEFT(Checks!$AH$108,10)="N/A – RULE",TRIM(Checks!$S$108&amp;Checks!$Z$108)=""),"","Type: "&amp;IF(TRIM(Checks!$S$108)="","______________ (see cover list)",Checks!$S$108)&amp;CHAR(10)&amp;"ID: "&amp;IF(TRIM(Checks!$Z$108)="","______________ (record's own no.)",Checks!$Z$108))&amp;IF(Checks!$AA$108="","",CHAR(10)&amp;"CA: "&amp;Checks!$AA$108)</f>
        <v>Type: ______________ (see cover list)
ID: ______________ (record's own no.)</v>
      </c>
      <c r="G43" s="120" t="str">
        <f aca="false">IF(AND(LEFT(Checks!$AH$108,10)="N/A – RULE",NOT(ISNUMBER(Checks!$AD$108)),Checks!$AE$108="",Checks!$T$108=""),"","Done: "&amp;IF(ISNUMBER(Checks!$AD$108),TEXT(Checks!$AD$108,"DD-MMM-YY HH:MM"),"____________")&amp;" "&amp;Checks!$P$108&amp;CHAR(10)&amp;"Verifier: "&amp;IF(Checks!$AE$108="","____________",Checks!$AE$108)&amp;CHAR(10)&amp;"PIC: "&amp;IF(Checks!$T$108="","____________",Checks!$T$108))</f>
        <v>Done: ____________ KUL
Verifier: ____________
PIC: ____________</v>
      </c>
      <c r="H43" s="121" t="str">
        <f aca="false">IF(Checks!$AH$108="","",Checks!$AH$108)</f>
        <v>OPEN</v>
      </c>
    </row>
    <row r="44" customFormat="false" ht="114" hidden="false" customHeight="true" outlineLevel="0" collapsed="false">
      <c r="A44" s="120" t="str">
        <f aca="false">Checks!$A$109&amp;CHAR(10)&amp;IF(Checks!$I$109="","",Checks!$I$109&amp;": ")&amp;Checks!$J$109</f>
        <v>F04-T12-10
F&amp;B Linen: Towel - prepared</v>
      </c>
      <c r="B44" s="120" t="str">
        <f aca="false">Checks!$K$109&amp;IF(Checks!$O$109="","",IF(Checks!$K$109="","",CHAR(10))&amp;"Note: "&amp;Checks!$O$109)</f>
        <v>Available (ticked in reference)
Note: Reference gives no uplift stn for this item: preparation checked at the meal uplift stn (KUL) - confirm with caterer.</v>
      </c>
      <c r="C44" s="120" t="str">
        <f aca="false">Checks!$N$109&amp;CHAR(10)&amp;IF(ISNUMBER(Checks!$R$109),TEXT(Checks!$R$109,"DD-MMM-YY HH:MM"),"")&amp;" "&amp;Checks!$P$109</f>
        <v>Required
10-Oct-26 11:30 KUL</v>
      </c>
      <c r="D44" s="120" t="str">
        <f aca="false">IF(TRIM(Checks!$U$109)&lt;&gt;"",Checks!$U$109&amp;IF(Checks!$AB$109="","",CHAR(10)&amp;"CA: "&amp;Checks!$AB$109),IF(LEFT(Checks!$AH$109,10)="N/A – RULE","","[ ] Pass"&amp;CHAR(10)&amp;"[ ] Pass after CA"&amp;CHAR(10)&amp;"[ ] Fail"&amp;IF(Checks!$AT$109=1,CHAR(10)&amp;"[ ] N/A","")&amp;CHAR(10)&amp;"CA: Open / Closed"))</f>
        <v>[ ] Pass
[ ] Pass after CA
[ ] Fail
CA: Open / Closed</v>
      </c>
      <c r="E44" s="120" t="str">
        <f aca="false">IF(Checks!$V$109="","",Checks!$V$109)&amp;IF(Checks!$AC$109="","",IF(Checks!$V$109="","",CHAR(10))&amp;"N/A just.: "&amp;Checks!$AC$109)&amp;IF(OR(Checks!$W$109&lt;&gt;"",AND(Checks!$AQ$109=1,NOT(LEFT(Checks!$AH$109,10)="N/A – RULE"))),CHAR(10)&amp;"Batch: "&amp;IF(Checks!$W$109="","____________",Checks!$W$109),"")&amp;IF(OR(Checks!$X$109&lt;&gt;"",Checks!$Y$109&lt;&gt;"",AND(Checks!$AR$109=1,NOT(LEFT(Checks!$AH$109,10)="N/A – RULE"))),CHAR(10)&amp;"Exp: "&amp;IF(Checks!$X$109="","______",Checks!$X$109)&amp;"  /  Act: "&amp;IF(Checks!$Y$109="","______",Checks!$Y$109),"")</f>
        <v/>
      </c>
      <c r="F44" s="120" t="str">
        <f aca="false">IF(AND(LEFT(Checks!$AH$109,10)="N/A – RULE",TRIM(Checks!$S$109&amp;Checks!$Z$109)=""),"","Type: "&amp;IF(TRIM(Checks!$S$109)="","______________ (see cover list)",Checks!$S$109)&amp;CHAR(10)&amp;"ID: "&amp;IF(TRIM(Checks!$Z$109)="","______________ (record's own no.)",Checks!$Z$109))&amp;IF(Checks!$AA$109="","",CHAR(10)&amp;"CA: "&amp;Checks!$AA$109)</f>
        <v>Type: ______________ (see cover list)
ID: ______________ (record's own no.)</v>
      </c>
      <c r="G44" s="120" t="str">
        <f aca="false">IF(AND(LEFT(Checks!$AH$109,10)="N/A – RULE",NOT(ISNUMBER(Checks!$AD$109)),Checks!$AE$109="",Checks!$T$109=""),"","Done: "&amp;IF(ISNUMBER(Checks!$AD$109),TEXT(Checks!$AD$109,"DD-MMM-YY HH:MM"),"____________")&amp;" "&amp;Checks!$P$109&amp;CHAR(10)&amp;"Verifier: "&amp;IF(Checks!$AE$109="","____________",Checks!$AE$109)&amp;CHAR(10)&amp;"PIC: "&amp;IF(Checks!$T$109="","____________",Checks!$T$109))</f>
        <v>Done: ____________ KUL
Verifier: ____________
PIC: ____________</v>
      </c>
      <c r="H44" s="121" t="str">
        <f aca="false">IF(Checks!$AH$109="","",Checks!$AH$109)</f>
        <v>OPEN</v>
      </c>
    </row>
    <row r="45" customFormat="false" ht="114" hidden="false" customHeight="true" outlineLevel="0" collapsed="false">
      <c r="A45" s="120" t="str">
        <f aca="false">Checks!$A$110&amp;CHAR(10)&amp;IF(Checks!$I$110="","",Checks!$I$110&amp;": ")&amp;Checks!$J$110</f>
        <v>F04-T12-11
F&amp;B Linen: Tray cloth - prepared</v>
      </c>
      <c r="B45" s="120" t="str">
        <f aca="false">Checks!$K$110&amp;IF(Checks!$O$110="","",IF(Checks!$K$110="","",CHAR(10))&amp;"Note: "&amp;Checks!$O$110)</f>
        <v>Available (ticked in reference)
Note: Reference gives no uplift stn for this item: preparation checked at the meal uplift stn (KUL) - confirm with caterer.</v>
      </c>
      <c r="C45" s="120" t="str">
        <f aca="false">Checks!$N$110&amp;CHAR(10)&amp;IF(ISNUMBER(Checks!$R$110),TEXT(Checks!$R$110,"DD-MMM-YY HH:MM"),"")&amp;" "&amp;Checks!$P$110</f>
        <v>Required
10-Oct-26 11:30 KUL</v>
      </c>
      <c r="D45" s="120" t="str">
        <f aca="false">IF(TRIM(Checks!$U$110)&lt;&gt;"",Checks!$U$110&amp;IF(Checks!$AB$110="","",CHAR(10)&amp;"CA: "&amp;Checks!$AB$110),IF(LEFT(Checks!$AH$110,10)="N/A – RULE","","[ ] Pass"&amp;CHAR(10)&amp;"[ ] Pass after CA"&amp;CHAR(10)&amp;"[ ] Fail"&amp;IF(Checks!$AT$110=1,CHAR(10)&amp;"[ ] N/A","")&amp;CHAR(10)&amp;"CA: Open / Closed"))</f>
        <v>[ ] Pass
[ ] Pass after CA
[ ] Fail
CA: Open / Closed</v>
      </c>
      <c r="E45" s="120" t="str">
        <f aca="false">IF(Checks!$V$110="","",Checks!$V$110)&amp;IF(Checks!$AC$110="","",IF(Checks!$V$110="","",CHAR(10))&amp;"N/A just.: "&amp;Checks!$AC$110)&amp;IF(OR(Checks!$W$110&lt;&gt;"",AND(Checks!$AQ$110=1,NOT(LEFT(Checks!$AH$110,10)="N/A – RULE"))),CHAR(10)&amp;"Batch: "&amp;IF(Checks!$W$110="","____________",Checks!$W$110),"")&amp;IF(OR(Checks!$X$110&lt;&gt;"",Checks!$Y$110&lt;&gt;"",AND(Checks!$AR$110=1,NOT(LEFT(Checks!$AH$110,10)="N/A – RULE"))),CHAR(10)&amp;"Exp: "&amp;IF(Checks!$X$110="","______",Checks!$X$110)&amp;"  /  Act: "&amp;IF(Checks!$Y$110="","______",Checks!$Y$110),"")</f>
        <v/>
      </c>
      <c r="F45" s="120" t="str">
        <f aca="false">IF(AND(LEFT(Checks!$AH$110,10)="N/A – RULE",TRIM(Checks!$S$110&amp;Checks!$Z$110)=""),"","Type: "&amp;IF(TRIM(Checks!$S$110)="","______________ (see cover list)",Checks!$S$110)&amp;CHAR(10)&amp;"ID: "&amp;IF(TRIM(Checks!$Z$110)="","______________ (record's own no.)",Checks!$Z$110))&amp;IF(Checks!$AA$110="","",CHAR(10)&amp;"CA: "&amp;Checks!$AA$110)</f>
        <v>Type: ______________ (see cover list)
ID: ______________ (record's own no.)</v>
      </c>
      <c r="G45" s="120" t="str">
        <f aca="false">IF(AND(LEFT(Checks!$AH$110,10)="N/A – RULE",NOT(ISNUMBER(Checks!$AD$110)),Checks!$AE$110="",Checks!$T$110=""),"","Done: "&amp;IF(ISNUMBER(Checks!$AD$110),TEXT(Checks!$AD$110,"DD-MMM-YY HH:MM"),"____________")&amp;" "&amp;Checks!$P$110&amp;CHAR(10)&amp;"Verifier: "&amp;IF(Checks!$AE$110="","____________",Checks!$AE$110)&amp;CHAR(10)&amp;"PIC: "&amp;IF(Checks!$T$110="","____________",Checks!$T$110))</f>
        <v>Done: ____________ KUL
Verifier: ____________
PIC: ____________</v>
      </c>
      <c r="H45" s="121" t="str">
        <f aca="false">IF(Checks!$AH$110="","",Checks!$AH$110)</f>
        <v>OPEN</v>
      </c>
    </row>
    <row r="46" customFormat="false" ht="114" hidden="false" customHeight="true" outlineLevel="0" collapsed="false">
      <c r="A46" s="120" t="str">
        <f aca="false">Checks!$A$111&amp;CHAR(10)&amp;IF(Checks!$I$111="","",Checks!$I$111&amp;": ")&amp;Checks!$J$111</f>
        <v>F04-T12-12
F&amp;B Linen: Napkin - prepared</v>
      </c>
      <c r="B46" s="120" t="str">
        <f aca="false">Checks!$K$111&amp;IF(Checks!$O$111="","",IF(Checks!$K$111="","",CHAR(10))&amp;"Note: "&amp;Checks!$O$111)</f>
        <v>Available (ticked in reference)
Note: Reference gives no uplift stn for this item: preparation checked at the meal uplift stn (KUL) - confirm with caterer.</v>
      </c>
      <c r="C46" s="120" t="str">
        <f aca="false">Checks!$N$111&amp;CHAR(10)&amp;IF(ISNUMBER(Checks!$R$111),TEXT(Checks!$R$111,"DD-MMM-YY HH:MM"),"")&amp;" "&amp;Checks!$P$111</f>
        <v>Required
10-Oct-26 11:30 KUL</v>
      </c>
      <c r="D46" s="120" t="str">
        <f aca="false">IF(TRIM(Checks!$U$111)&lt;&gt;"",Checks!$U$111&amp;IF(Checks!$AB$111="","",CHAR(10)&amp;"CA: "&amp;Checks!$AB$111),IF(LEFT(Checks!$AH$111,10)="N/A – RULE","","[ ] Pass"&amp;CHAR(10)&amp;"[ ] Pass after CA"&amp;CHAR(10)&amp;"[ ] Fail"&amp;IF(Checks!$AT$111=1,CHAR(10)&amp;"[ ] N/A","")&amp;CHAR(10)&amp;"CA: Open / Closed"))</f>
        <v>[ ] Pass
[ ] Pass after CA
[ ] Fail
CA: Open / Closed</v>
      </c>
      <c r="E46" s="120" t="str">
        <f aca="false">IF(Checks!$V$111="","",Checks!$V$111)&amp;IF(Checks!$AC$111="","",IF(Checks!$V$111="","",CHAR(10))&amp;"N/A just.: "&amp;Checks!$AC$111)&amp;IF(OR(Checks!$W$111&lt;&gt;"",AND(Checks!$AQ$111=1,NOT(LEFT(Checks!$AH$111,10)="N/A – RULE"))),CHAR(10)&amp;"Batch: "&amp;IF(Checks!$W$111="","____________",Checks!$W$111),"")&amp;IF(OR(Checks!$X$111&lt;&gt;"",Checks!$Y$111&lt;&gt;"",AND(Checks!$AR$111=1,NOT(LEFT(Checks!$AH$111,10)="N/A – RULE"))),CHAR(10)&amp;"Exp: "&amp;IF(Checks!$X$111="","______",Checks!$X$111)&amp;"  /  Act: "&amp;IF(Checks!$Y$111="","______",Checks!$Y$111),"")</f>
        <v/>
      </c>
      <c r="F46" s="120" t="str">
        <f aca="false">IF(AND(LEFT(Checks!$AH$111,10)="N/A – RULE",TRIM(Checks!$S$111&amp;Checks!$Z$111)=""),"","Type: "&amp;IF(TRIM(Checks!$S$111)="","______________ (see cover list)",Checks!$S$111)&amp;CHAR(10)&amp;"ID: "&amp;IF(TRIM(Checks!$Z$111)="","______________ (record's own no.)",Checks!$Z$111))&amp;IF(Checks!$AA$111="","",CHAR(10)&amp;"CA: "&amp;Checks!$AA$111)</f>
        <v>Type: ______________ (see cover list)
ID: ______________ (record's own no.)</v>
      </c>
      <c r="G46" s="120" t="str">
        <f aca="false">IF(AND(LEFT(Checks!$AH$111,10)="N/A – RULE",NOT(ISNUMBER(Checks!$AD$111)),Checks!$AE$111="",Checks!$T$111=""),"","Done: "&amp;IF(ISNUMBER(Checks!$AD$111),TEXT(Checks!$AD$111,"DD-MMM-YY HH:MM"),"____________")&amp;" "&amp;Checks!$P$111&amp;CHAR(10)&amp;"Verifier: "&amp;IF(Checks!$AE$111="","____________",Checks!$AE$111)&amp;CHAR(10)&amp;"PIC: "&amp;IF(Checks!$T$111="","____________",Checks!$T$111))</f>
        <v>Done: ____________ KUL
Verifier: ____________
PIC: ____________</v>
      </c>
      <c r="H46" s="121" t="str">
        <f aca="false">IF(Checks!$AH$111="","",Checks!$AH$111)</f>
        <v>OPEN</v>
      </c>
    </row>
    <row r="47" customFormat="false" ht="114" hidden="false" customHeight="true" outlineLevel="0" collapsed="false">
      <c r="A47" s="120" t="str">
        <f aca="false">Checks!$A$112&amp;CHAR(10)&amp;IF(Checks!$I$112="","",Checks!$I$112&amp;": ")&amp;Checks!$J$112</f>
        <v>F04-T12-13
F&amp;B Linen: Table cloth - prepared</v>
      </c>
      <c r="B47" s="120" t="str">
        <f aca="false">Checks!$K$112&amp;IF(Checks!$O$112="","",IF(Checks!$K$112="","",CHAR(10))&amp;"Note: "&amp;Checks!$O$112)</f>
        <v>Available (ticked in reference)
Note: Reference gives no uplift stn for this item: preparation checked at the meal uplift stn (KUL) - confirm with caterer.</v>
      </c>
      <c r="C47" s="120" t="str">
        <f aca="false">Checks!$N$112&amp;CHAR(10)&amp;IF(ISNUMBER(Checks!$R$112),TEXT(Checks!$R$112,"DD-MMM-YY HH:MM"),"")&amp;" "&amp;Checks!$P$112</f>
        <v>Required
10-Oct-26 11:30 KUL</v>
      </c>
      <c r="D47" s="120" t="str">
        <f aca="false">IF(TRIM(Checks!$U$112)&lt;&gt;"",Checks!$U$112&amp;IF(Checks!$AB$112="","",CHAR(10)&amp;"CA: "&amp;Checks!$AB$112),IF(LEFT(Checks!$AH$112,10)="N/A – RULE","","[ ] Pass"&amp;CHAR(10)&amp;"[ ] Pass after CA"&amp;CHAR(10)&amp;"[ ] Fail"&amp;IF(Checks!$AT$112=1,CHAR(10)&amp;"[ ] N/A","")&amp;CHAR(10)&amp;"CA: Open / Closed"))</f>
        <v>[ ] Pass
[ ] Pass after CA
[ ] Fail
CA: Open / Closed</v>
      </c>
      <c r="E47" s="120" t="str">
        <f aca="false">IF(Checks!$V$112="","",Checks!$V$112)&amp;IF(Checks!$AC$112="","",IF(Checks!$V$112="","",CHAR(10))&amp;"N/A just.: "&amp;Checks!$AC$112)&amp;IF(OR(Checks!$W$112&lt;&gt;"",AND(Checks!$AQ$112=1,NOT(LEFT(Checks!$AH$112,10)="N/A – RULE"))),CHAR(10)&amp;"Batch: "&amp;IF(Checks!$W$112="","____________",Checks!$W$112),"")&amp;IF(OR(Checks!$X$112&lt;&gt;"",Checks!$Y$112&lt;&gt;"",AND(Checks!$AR$112=1,NOT(LEFT(Checks!$AH$112,10)="N/A – RULE"))),CHAR(10)&amp;"Exp: "&amp;IF(Checks!$X$112="","______",Checks!$X$112)&amp;"  /  Act: "&amp;IF(Checks!$Y$112="","______",Checks!$Y$112),"")</f>
        <v/>
      </c>
      <c r="F47" s="120" t="str">
        <f aca="false">IF(AND(LEFT(Checks!$AH$112,10)="N/A – RULE",TRIM(Checks!$S$112&amp;Checks!$Z$112)=""),"","Type: "&amp;IF(TRIM(Checks!$S$112)="","______________ (see cover list)",Checks!$S$112)&amp;CHAR(10)&amp;"ID: "&amp;IF(TRIM(Checks!$Z$112)="","______________ (record's own no.)",Checks!$Z$112))&amp;IF(Checks!$AA$112="","",CHAR(10)&amp;"CA: "&amp;Checks!$AA$112)</f>
        <v>Type: ______________ (see cover list)
ID: ______________ (record's own no.)</v>
      </c>
      <c r="G47" s="120" t="str">
        <f aca="false">IF(AND(LEFT(Checks!$AH$112,10)="N/A – RULE",NOT(ISNUMBER(Checks!$AD$112)),Checks!$AE$112="",Checks!$T$112=""),"","Done: "&amp;IF(ISNUMBER(Checks!$AD$112),TEXT(Checks!$AD$112,"DD-MMM-YY HH:MM"),"____________")&amp;" "&amp;Checks!$P$112&amp;CHAR(10)&amp;"Verifier: "&amp;IF(Checks!$AE$112="","____________",Checks!$AE$112)&amp;CHAR(10)&amp;"PIC: "&amp;IF(Checks!$T$112="","____________",Checks!$T$112))</f>
        <v>Done: ____________ KUL
Verifier: ____________
PIC: ____________</v>
      </c>
      <c r="H47" s="121" t="str">
        <f aca="false">IF(Checks!$AH$112="","",Checks!$AH$112)</f>
        <v>OPEN</v>
      </c>
    </row>
    <row r="48" customFormat="false" ht="114" hidden="false" customHeight="true" outlineLevel="0" collapsed="false">
      <c r="A48" s="120" t="str">
        <f aca="false">Checks!$A$113&amp;CHAR(10)&amp;IF(Checks!$I$113="","",Checks!$I$113&amp;": ")&amp;Checks!$J$113</f>
        <v>F04-T12-14
F&amp;B Linen: Bread linen (using table cloth) - prepared</v>
      </c>
      <c r="B48" s="120" t="str">
        <f aca="false">Checks!$K$113&amp;IF(Checks!$O$113="","",IF(Checks!$K$113="","",CHAR(10))&amp;"Note: "&amp;Checks!$O$113)</f>
        <v>Available (ticked in reference)
Note: Reference gives no uplift stn for this item: preparation checked at the meal uplift stn (KUL) - confirm with caterer.</v>
      </c>
      <c r="C48" s="120" t="str">
        <f aca="false">Checks!$N$113&amp;CHAR(10)&amp;IF(ISNUMBER(Checks!$R$113),TEXT(Checks!$R$113,"DD-MMM-YY HH:MM"),"")&amp;" "&amp;Checks!$P$113</f>
        <v>Required
10-Oct-26 11:30 KUL</v>
      </c>
      <c r="D48" s="120" t="str">
        <f aca="false">IF(TRIM(Checks!$U$113)&lt;&gt;"",Checks!$U$113&amp;IF(Checks!$AB$113="","",CHAR(10)&amp;"CA: "&amp;Checks!$AB$113),IF(LEFT(Checks!$AH$113,10)="N/A – RULE","","[ ] Pass"&amp;CHAR(10)&amp;"[ ] Pass after CA"&amp;CHAR(10)&amp;"[ ] Fail"&amp;IF(Checks!$AT$113=1,CHAR(10)&amp;"[ ] N/A","")&amp;CHAR(10)&amp;"CA: Open / Closed"))</f>
        <v>[ ] Pass
[ ] Pass after CA
[ ] Fail
CA: Open / Closed</v>
      </c>
      <c r="E48" s="120" t="str">
        <f aca="false">IF(Checks!$V$113="","",Checks!$V$113)&amp;IF(Checks!$AC$113="","",IF(Checks!$V$113="","",CHAR(10))&amp;"N/A just.: "&amp;Checks!$AC$113)&amp;IF(OR(Checks!$W$113&lt;&gt;"",AND(Checks!$AQ$113=1,NOT(LEFT(Checks!$AH$113,10)="N/A – RULE"))),CHAR(10)&amp;"Batch: "&amp;IF(Checks!$W$113="","____________",Checks!$W$113),"")&amp;IF(OR(Checks!$X$113&lt;&gt;"",Checks!$Y$113&lt;&gt;"",AND(Checks!$AR$113=1,NOT(LEFT(Checks!$AH$113,10)="N/A – RULE"))),CHAR(10)&amp;"Exp: "&amp;IF(Checks!$X$113="","______",Checks!$X$113)&amp;"  /  Act: "&amp;IF(Checks!$Y$113="","______",Checks!$Y$113),"")</f>
        <v/>
      </c>
      <c r="F48" s="120" t="str">
        <f aca="false">IF(AND(LEFT(Checks!$AH$113,10)="N/A – RULE",TRIM(Checks!$S$113&amp;Checks!$Z$113)=""),"","Type: "&amp;IF(TRIM(Checks!$S$113)="","______________ (see cover list)",Checks!$S$113)&amp;CHAR(10)&amp;"ID: "&amp;IF(TRIM(Checks!$Z$113)="","______________ (record's own no.)",Checks!$Z$113))&amp;IF(Checks!$AA$113="","",CHAR(10)&amp;"CA: "&amp;Checks!$AA$113)</f>
        <v>Type: ______________ (see cover list)
ID: ______________ (record's own no.)</v>
      </c>
      <c r="G48" s="120" t="str">
        <f aca="false">IF(AND(LEFT(Checks!$AH$113,10)="N/A – RULE",NOT(ISNUMBER(Checks!$AD$113)),Checks!$AE$113="",Checks!$T$113=""),"","Done: "&amp;IF(ISNUMBER(Checks!$AD$113),TEXT(Checks!$AD$113,"DD-MMM-YY HH:MM"),"____________")&amp;" "&amp;Checks!$P$113&amp;CHAR(10)&amp;"Verifier: "&amp;IF(Checks!$AE$113="","____________",Checks!$AE$113)&amp;CHAR(10)&amp;"PIC: "&amp;IF(Checks!$T$113="","____________",Checks!$T$113))</f>
        <v>Done: ____________ KUL
Verifier: ____________
PIC: ____________</v>
      </c>
      <c r="H48" s="121" t="str">
        <f aca="false">IF(Checks!$AH$113="","",Checks!$AH$113)</f>
        <v>OPEN</v>
      </c>
    </row>
    <row r="49" customFormat="false" ht="124.5" hidden="false" customHeight="true" outlineLevel="0" collapsed="false">
      <c r="A49" s="120" t="str">
        <f aca="false">Checks!$A$114&amp;CHAR(10)&amp;IF(Checks!$I$114="","",Checks!$I$114&amp;": ")&amp;Checks!$J$114</f>
        <v>F04-T12-15
F&amp;B Linen: Trolley cloth - prepared</v>
      </c>
      <c r="B49" s="120" t="str">
        <f aca="false">SUBSTITUTE(SUBSTITUTE(Checks!$K$114&amp;IF(Checks!$O$114="","",IF(Checks!$K$114="","",CHAR(10))&amp;"Note: "&amp;Checks!$O$114),"Per note F&amp;B LINEN!B79:C80.","Per the F&amp;B LINEN reference note."),"note F&amp;B LINEN!B79:C80","the F&amp;B LINEN reference note")</f>
        <v>Wide body: Top/Middle &amp; Bottom
Note: Per the F&amp;B LINEN reference note. Reference gives no uplift stn for this item: preparation checked at the meal uplift stn (KUL) - confirm with caterer.</v>
      </c>
      <c r="C49" s="120" t="str">
        <f aca="false">Checks!$N$114&amp;CHAR(10)&amp;IF(ISNUMBER(Checks!$R$114),TEXT(Checks!$R$114,"DD-MMM-YY HH:MM"),"")&amp;" "&amp;Checks!$P$114</f>
        <v>Required
10-Oct-26 11:30 KUL</v>
      </c>
      <c r="D49" s="120" t="str">
        <f aca="false">IF(TRIM(Checks!$U$114)&lt;&gt;"",Checks!$U$114&amp;IF(Checks!$AB$114="","",CHAR(10)&amp;"CA: "&amp;Checks!$AB$114),IF(LEFT(Checks!$AH$114,10)="N/A – RULE","","[ ] Pass"&amp;CHAR(10)&amp;"[ ] Pass after CA"&amp;CHAR(10)&amp;"[ ] Fail"&amp;IF(Checks!$AT$114=1,CHAR(10)&amp;"[ ] N/A","")&amp;CHAR(10)&amp;"CA: Open / Closed"))</f>
        <v>[ ] Pass
[ ] Pass after CA
[ ] Fail
CA: Open / Closed</v>
      </c>
      <c r="E49" s="120" t="str">
        <f aca="false">IF(Checks!$V$114="","",Checks!$V$114)&amp;IF(Checks!$AC$114="","",IF(Checks!$V$114="","",CHAR(10))&amp;"N/A just.: "&amp;Checks!$AC$114)&amp;IF(OR(Checks!$W$114&lt;&gt;"",AND(Checks!$AQ$114=1,NOT(LEFT(Checks!$AH$114,10)="N/A – RULE"))),CHAR(10)&amp;"Batch: "&amp;IF(Checks!$W$114="","____________",Checks!$W$114),"")&amp;IF(OR(Checks!$X$114&lt;&gt;"",Checks!$Y$114&lt;&gt;"",AND(Checks!$AR$114=1,NOT(LEFT(Checks!$AH$114,10)="N/A – RULE"))),CHAR(10)&amp;"Exp: "&amp;IF(Checks!$X$114="","______",Checks!$X$114)&amp;"  /  Act: "&amp;IF(Checks!$Y$114="","______",Checks!$Y$114),"")</f>
        <v/>
      </c>
      <c r="F49" s="120" t="str">
        <f aca="false">IF(AND(LEFT(Checks!$AH$114,10)="N/A – RULE",TRIM(Checks!$S$114&amp;Checks!$Z$114)=""),"","Type: "&amp;IF(TRIM(Checks!$S$114)="","______________ (see cover list)",Checks!$S$114)&amp;CHAR(10)&amp;"ID: "&amp;IF(TRIM(Checks!$Z$114)="","______________ (record's own no.)",Checks!$Z$114))&amp;IF(Checks!$AA$114="","",CHAR(10)&amp;"CA: "&amp;Checks!$AA$114)</f>
        <v>Type: ______________ (see cover list)
ID: ______________ (record's own no.)</v>
      </c>
      <c r="G49" s="120" t="str">
        <f aca="false">IF(AND(LEFT(Checks!$AH$114,10)="N/A – RULE",NOT(ISNUMBER(Checks!$AD$114)),Checks!$AE$114="",Checks!$T$114=""),"","Done: "&amp;IF(ISNUMBER(Checks!$AD$114),TEXT(Checks!$AD$114,"DD-MMM-YY HH:MM"),"____________")&amp;" "&amp;Checks!$P$114&amp;CHAR(10)&amp;"Verifier: "&amp;IF(Checks!$AE$114="","____________",Checks!$AE$114)&amp;CHAR(10)&amp;"PIC: "&amp;IF(Checks!$T$114="","____________",Checks!$T$114))</f>
        <v>Done: ____________ KUL
Verifier: ____________
PIC: ____________</v>
      </c>
      <c r="H49" s="121" t="str">
        <f aca="false">IF(Checks!$AH$114="","",Checks!$AH$114)</f>
        <v>OPEN</v>
      </c>
    </row>
    <row r="50" customFormat="false" ht="114" hidden="false" customHeight="true" outlineLevel="0" collapsed="false">
      <c r="A50" s="120" t="str">
        <f aca="false">Checks!$A$115&amp;CHAR(10)&amp;IF(Checks!$I$115="","",Checks!$I$115&amp;": ")&amp;Checks!$J$115</f>
        <v>F04-T12-16
F&amp;B Linen: Linen bag - prepared</v>
      </c>
      <c r="B50" s="120" t="str">
        <f aca="false">Checks!$K$115&amp;IF(Checks!$O$115="","",IF(Checks!$K$115="","",CHAR(10))&amp;"Note: "&amp;Checks!$O$115)</f>
        <v>Available (ticked in reference)
Note: Reference gives no uplift stn for this item: preparation checked at the meal uplift stn (KUL) - confirm with caterer.</v>
      </c>
      <c r="C50" s="120" t="str">
        <f aca="false">Checks!$N$115&amp;CHAR(10)&amp;IF(ISNUMBER(Checks!$R$115),TEXT(Checks!$R$115,"DD-MMM-YY HH:MM"),"")&amp;" "&amp;Checks!$P$115</f>
        <v>Required
10-Oct-26 11:30 KUL</v>
      </c>
      <c r="D50" s="120" t="str">
        <f aca="false">IF(TRIM(Checks!$U$115)&lt;&gt;"",Checks!$U$115&amp;IF(Checks!$AB$115="","",CHAR(10)&amp;"CA: "&amp;Checks!$AB$115),IF(LEFT(Checks!$AH$115,10)="N/A – RULE","","[ ] Pass"&amp;CHAR(10)&amp;"[ ] Pass after CA"&amp;CHAR(10)&amp;"[ ] Fail"&amp;IF(Checks!$AT$115=1,CHAR(10)&amp;"[ ] N/A","")&amp;CHAR(10)&amp;"CA: Open / Closed"))</f>
        <v>[ ] Pass
[ ] Pass after CA
[ ] Fail
CA: Open / Closed</v>
      </c>
      <c r="E50" s="120" t="str">
        <f aca="false">IF(Checks!$V$115="","",Checks!$V$115)&amp;IF(Checks!$AC$115="","",IF(Checks!$V$115="","",CHAR(10))&amp;"N/A just.: "&amp;Checks!$AC$115)&amp;IF(OR(Checks!$W$115&lt;&gt;"",AND(Checks!$AQ$115=1,NOT(LEFT(Checks!$AH$115,10)="N/A – RULE"))),CHAR(10)&amp;"Batch: "&amp;IF(Checks!$W$115="","____________",Checks!$W$115),"")&amp;IF(OR(Checks!$X$115&lt;&gt;"",Checks!$Y$115&lt;&gt;"",AND(Checks!$AR$115=1,NOT(LEFT(Checks!$AH$115,10)="N/A – RULE"))),CHAR(10)&amp;"Exp: "&amp;IF(Checks!$X$115="","______",Checks!$X$115)&amp;"  /  Act: "&amp;IF(Checks!$Y$115="","______",Checks!$Y$115),"")</f>
        <v/>
      </c>
      <c r="F50" s="120" t="str">
        <f aca="false">IF(AND(LEFT(Checks!$AH$115,10)="N/A – RULE",TRIM(Checks!$S$115&amp;Checks!$Z$115)=""),"","Type: "&amp;IF(TRIM(Checks!$S$115)="","______________ (see cover list)",Checks!$S$115)&amp;CHAR(10)&amp;"ID: "&amp;IF(TRIM(Checks!$Z$115)="","______________ (record's own no.)",Checks!$Z$115))&amp;IF(Checks!$AA$115="","",CHAR(10)&amp;"CA: "&amp;Checks!$AA$115)</f>
        <v>Type: ______________ (see cover list)
ID: ______________ (record's own no.)</v>
      </c>
      <c r="G50" s="120" t="str">
        <f aca="false">IF(AND(LEFT(Checks!$AH$115,10)="N/A – RULE",NOT(ISNUMBER(Checks!$AD$115)),Checks!$AE$115="",Checks!$T$115=""),"","Done: "&amp;IF(ISNUMBER(Checks!$AD$115),TEXT(Checks!$AD$115,"DD-MMM-YY HH:MM"),"____________")&amp;" "&amp;Checks!$P$115&amp;CHAR(10)&amp;"Verifier: "&amp;IF(Checks!$AE$115="","____________",Checks!$AE$115)&amp;CHAR(10)&amp;"PIC: "&amp;IF(Checks!$T$115="","____________",Checks!$T$115))</f>
        <v>Done: ____________ KUL
Verifier: ____________
PIC: ____________</v>
      </c>
      <c r="H50" s="121" t="str">
        <f aca="false">IF(Checks!$AH$115="","",Checks!$AH$115)</f>
        <v>OPEN</v>
      </c>
    </row>
    <row r="51" customFormat="false" ht="114" hidden="false" customHeight="true" outlineLevel="0" collapsed="false">
      <c r="A51" s="120" t="str">
        <f aca="false">Checks!$A$116&amp;CHAR(10)&amp;IF(Checks!$I$116="","",Checks!$I$116&amp;": ")&amp;Checks!$J$116</f>
        <v>F04-T12-17
Seat Linen: Seat pillow (BS &amp; BC) - prepared</v>
      </c>
      <c r="B51" s="120" t="str">
        <f aca="false">Checks!$K$116&amp;IF(Checks!$O$116="","",IF(Checks!$K$116="","",CHAR(10))&amp;"Note: "&amp;Checks!$O$116)</f>
        <v>Available 100% (ticked in reference)
Note: Reference gives no uplift stn for this item: preparation checked at the meal uplift stn (KUL) - confirm with caterer.</v>
      </c>
      <c r="C51" s="120" t="str">
        <f aca="false">Checks!$N$116&amp;CHAR(10)&amp;IF(ISNUMBER(Checks!$R$116),TEXT(Checks!$R$116,"DD-MMM-YY HH:MM"),"")&amp;" "&amp;Checks!$P$116</f>
        <v>Required
10-Oct-26 11:30 KUL</v>
      </c>
      <c r="D51" s="120" t="str">
        <f aca="false">IF(TRIM(Checks!$U$116)&lt;&gt;"",Checks!$U$116&amp;IF(Checks!$AB$116="","",CHAR(10)&amp;"CA: "&amp;Checks!$AB$116),IF(LEFT(Checks!$AH$116,10)="N/A – RULE","","[ ] Pass"&amp;CHAR(10)&amp;"[ ] Pass after CA"&amp;CHAR(10)&amp;"[ ] Fail"&amp;IF(Checks!$AT$116=1,CHAR(10)&amp;"[ ] N/A","")&amp;CHAR(10)&amp;"CA: Open / Closed"))</f>
        <v>[ ] Pass
[ ] Pass after CA
[ ] Fail
CA: Open / Closed</v>
      </c>
      <c r="E51" s="120" t="str">
        <f aca="false">IF(Checks!$V$116="","",Checks!$V$116)&amp;IF(Checks!$AC$116="","",IF(Checks!$V$116="","",CHAR(10))&amp;"N/A just.: "&amp;Checks!$AC$116)&amp;IF(OR(Checks!$W$116&lt;&gt;"",AND(Checks!$AQ$116=1,NOT(LEFT(Checks!$AH$116,10)="N/A – RULE"))),CHAR(10)&amp;"Batch: "&amp;IF(Checks!$W$116="","____________",Checks!$W$116),"")&amp;IF(OR(Checks!$X$116&lt;&gt;"",Checks!$Y$116&lt;&gt;"",AND(Checks!$AR$116=1,NOT(LEFT(Checks!$AH$116,10)="N/A – RULE"))),CHAR(10)&amp;"Exp: "&amp;IF(Checks!$X$116="","______",Checks!$X$116)&amp;"  /  Act: "&amp;IF(Checks!$Y$116="","______",Checks!$Y$116),"")</f>
        <v/>
      </c>
      <c r="F51" s="120" t="str">
        <f aca="false">IF(AND(LEFT(Checks!$AH$116,10)="N/A – RULE",TRIM(Checks!$S$116&amp;Checks!$Z$116)=""),"","Type: "&amp;IF(TRIM(Checks!$S$116)="","______________ (see cover list)",Checks!$S$116)&amp;CHAR(10)&amp;"ID: "&amp;IF(TRIM(Checks!$Z$116)="","______________ (record's own no.)",Checks!$Z$116))&amp;IF(Checks!$AA$116="","",CHAR(10)&amp;"CA: "&amp;Checks!$AA$116)</f>
        <v>Type: ______________ (see cover list)
ID: ______________ (record's own no.)</v>
      </c>
      <c r="G51" s="120" t="str">
        <f aca="false">IF(AND(LEFT(Checks!$AH$116,10)="N/A – RULE",NOT(ISNUMBER(Checks!$AD$116)),Checks!$AE$116="",Checks!$T$116=""),"","Done: "&amp;IF(ISNUMBER(Checks!$AD$116),TEXT(Checks!$AD$116,"DD-MMM-YY HH:MM"),"____________")&amp;" "&amp;Checks!$P$116&amp;CHAR(10)&amp;"Verifier: "&amp;IF(Checks!$AE$116="","____________",Checks!$AE$116)&amp;CHAR(10)&amp;"PIC: "&amp;IF(Checks!$T$116="","____________",Checks!$T$116))</f>
        <v>Done: ____________ KUL
Verifier: ____________
PIC: ____________</v>
      </c>
      <c r="H51" s="121" t="str">
        <f aca="false">IF(Checks!$AH$116="","",Checks!$AH$116)</f>
        <v>OPEN</v>
      </c>
    </row>
    <row r="52" customFormat="false" ht="114" hidden="false" customHeight="true" outlineLevel="0" collapsed="false">
      <c r="A52" s="120" t="str">
        <f aca="false">Checks!$A$117&amp;CHAR(10)&amp;IF(Checks!$I$117="","",Checks!$I$117&amp;": ")&amp;Checks!$J$117</f>
        <v>F04-T12-18
Seat Linen: Duvet (BS &amp; BC) - prepared</v>
      </c>
      <c r="B52" s="120" t="str">
        <f aca="false">Checks!$K$117&amp;IF(Checks!$O$117="","",IF(Checks!$K$117="","",CHAR(10))&amp;"Note: "&amp;Checks!$O$117)</f>
        <v>Available 100% (ticked in reference)
Note: Reference gives no uplift stn for this item: preparation checked at the meal uplift stn (KUL) - confirm with caterer.</v>
      </c>
      <c r="C52" s="120" t="str">
        <f aca="false">Checks!$N$117&amp;CHAR(10)&amp;IF(ISNUMBER(Checks!$R$117),TEXT(Checks!$R$117,"DD-MMM-YY HH:MM"),"")&amp;" "&amp;Checks!$P$117</f>
        <v>Required
10-Oct-26 11:30 KUL</v>
      </c>
      <c r="D52" s="120" t="str">
        <f aca="false">IF(TRIM(Checks!$U$117)&lt;&gt;"",Checks!$U$117&amp;IF(Checks!$AB$117="","",CHAR(10)&amp;"CA: "&amp;Checks!$AB$117),IF(LEFT(Checks!$AH$117,10)="N/A – RULE","","[ ] Pass"&amp;CHAR(10)&amp;"[ ] Pass after CA"&amp;CHAR(10)&amp;"[ ] Fail"&amp;IF(Checks!$AT$117=1,CHAR(10)&amp;"[ ] N/A","")&amp;CHAR(10)&amp;"CA: Open / Closed"))</f>
        <v>[ ] Pass
[ ] Pass after CA
[ ] Fail
CA: Open / Closed</v>
      </c>
      <c r="E52" s="120" t="str">
        <f aca="false">IF(Checks!$V$117="","",Checks!$V$117)&amp;IF(Checks!$AC$117="","",IF(Checks!$V$117="","",CHAR(10))&amp;"N/A just.: "&amp;Checks!$AC$117)&amp;IF(OR(Checks!$W$117&lt;&gt;"",AND(Checks!$AQ$117=1,NOT(LEFT(Checks!$AH$117,10)="N/A – RULE"))),CHAR(10)&amp;"Batch: "&amp;IF(Checks!$W$117="","____________",Checks!$W$117),"")&amp;IF(OR(Checks!$X$117&lt;&gt;"",Checks!$Y$117&lt;&gt;"",AND(Checks!$AR$117=1,NOT(LEFT(Checks!$AH$117,10)="N/A – RULE"))),CHAR(10)&amp;"Exp: "&amp;IF(Checks!$X$117="","______",Checks!$X$117)&amp;"  /  Act: "&amp;IF(Checks!$Y$117="","______",Checks!$Y$117),"")</f>
        <v/>
      </c>
      <c r="F52" s="120" t="str">
        <f aca="false">IF(AND(LEFT(Checks!$AH$117,10)="N/A – RULE",TRIM(Checks!$S$117&amp;Checks!$Z$117)=""),"","Type: "&amp;IF(TRIM(Checks!$S$117)="","______________ (see cover list)",Checks!$S$117)&amp;CHAR(10)&amp;"ID: "&amp;IF(TRIM(Checks!$Z$117)="","______________ (record's own no.)",Checks!$Z$117))&amp;IF(Checks!$AA$117="","",CHAR(10)&amp;"CA: "&amp;Checks!$AA$117)</f>
        <v>Type: ______________ (see cover list)
ID: ______________ (record's own no.)</v>
      </c>
      <c r="G52" s="120" t="str">
        <f aca="false">IF(AND(LEFT(Checks!$AH$117,10)="N/A – RULE",NOT(ISNUMBER(Checks!$AD$117)),Checks!$AE$117="",Checks!$T$117=""),"","Done: "&amp;IF(ISNUMBER(Checks!$AD$117),TEXT(Checks!$AD$117,"DD-MMM-YY HH:MM"),"____________")&amp;" "&amp;Checks!$P$117&amp;CHAR(10)&amp;"Verifier: "&amp;IF(Checks!$AE$117="","____________",Checks!$AE$117)&amp;CHAR(10)&amp;"PIC: "&amp;IF(Checks!$T$117="","____________",Checks!$T$117))</f>
        <v>Done: ____________ KUL
Verifier: ____________
PIC: ____________</v>
      </c>
      <c r="H52" s="121" t="str">
        <f aca="false">IF(Checks!$AH$117="","",Checks!$AH$117)</f>
        <v>OPEN</v>
      </c>
    </row>
    <row r="53" customFormat="false" ht="114" hidden="false" customHeight="true" outlineLevel="0" collapsed="false">
      <c r="A53" s="120" t="str">
        <f aca="false">Checks!$A$118&amp;CHAR(10)&amp;IF(Checks!$I$118="","",Checks!$I$118&amp;": ")&amp;Checks!$J$118</f>
        <v>F04-T12-19
Seat Linen: Mattress (BS &amp; BC) - prepared</v>
      </c>
      <c r="B53" s="120" t="str">
        <f aca="false">Checks!$K$118&amp;IF(Checks!$O$118="","",IF(Checks!$K$118="","",CHAR(10))&amp;"Note: "&amp;Checks!$O$118)</f>
        <v>Available 100% (ticked in reference)
Note: Reference gives no uplift stn for this item: preparation checked at the meal uplift stn (KUL) - confirm with caterer.</v>
      </c>
      <c r="C53" s="120" t="str">
        <f aca="false">Checks!$N$118&amp;CHAR(10)&amp;IF(ISNUMBER(Checks!$R$118),TEXT(Checks!$R$118,"DD-MMM-YY HH:MM"),"")&amp;" "&amp;Checks!$P$118</f>
        <v>Required
10-Oct-26 11:30 KUL</v>
      </c>
      <c r="D53" s="120" t="str">
        <f aca="false">IF(TRIM(Checks!$U$118)&lt;&gt;"",Checks!$U$118&amp;IF(Checks!$AB$118="","",CHAR(10)&amp;"CA: "&amp;Checks!$AB$118),IF(LEFT(Checks!$AH$118,10)="N/A – RULE","","[ ] Pass"&amp;CHAR(10)&amp;"[ ] Pass after CA"&amp;CHAR(10)&amp;"[ ] Fail"&amp;IF(Checks!$AT$118=1,CHAR(10)&amp;"[ ] N/A","")&amp;CHAR(10)&amp;"CA: Open / Closed"))</f>
        <v>[ ] Pass
[ ] Pass after CA
[ ] Fail
CA: Open / Closed</v>
      </c>
      <c r="E53" s="120" t="str">
        <f aca="false">IF(Checks!$V$118="","",Checks!$V$118)&amp;IF(Checks!$AC$118="","",IF(Checks!$V$118="","",CHAR(10))&amp;"N/A just.: "&amp;Checks!$AC$118)&amp;IF(OR(Checks!$W$118&lt;&gt;"",AND(Checks!$AQ$118=1,NOT(LEFT(Checks!$AH$118,10)="N/A – RULE"))),CHAR(10)&amp;"Batch: "&amp;IF(Checks!$W$118="","____________",Checks!$W$118),"")&amp;IF(OR(Checks!$X$118&lt;&gt;"",Checks!$Y$118&lt;&gt;"",AND(Checks!$AR$118=1,NOT(LEFT(Checks!$AH$118,10)="N/A – RULE"))),CHAR(10)&amp;"Exp: "&amp;IF(Checks!$X$118="","______",Checks!$X$118)&amp;"  /  Act: "&amp;IF(Checks!$Y$118="","______",Checks!$Y$118),"")</f>
        <v/>
      </c>
      <c r="F53" s="120" t="str">
        <f aca="false">IF(AND(LEFT(Checks!$AH$118,10)="N/A – RULE",TRIM(Checks!$S$118&amp;Checks!$Z$118)=""),"","Type: "&amp;IF(TRIM(Checks!$S$118)="","______________ (see cover list)",Checks!$S$118)&amp;CHAR(10)&amp;"ID: "&amp;IF(TRIM(Checks!$Z$118)="","______________ (record's own no.)",Checks!$Z$118))&amp;IF(Checks!$AA$118="","",CHAR(10)&amp;"CA: "&amp;Checks!$AA$118)</f>
        <v>Type: ______________ (see cover list)
ID: ______________ (record's own no.)</v>
      </c>
      <c r="G53" s="120" t="str">
        <f aca="false">IF(AND(LEFT(Checks!$AH$118,10)="N/A – RULE",NOT(ISNUMBER(Checks!$AD$118)),Checks!$AE$118="",Checks!$T$118=""),"","Done: "&amp;IF(ISNUMBER(Checks!$AD$118),TEXT(Checks!$AD$118,"DD-MMM-YY HH:MM"),"____________")&amp;" "&amp;Checks!$P$118&amp;CHAR(10)&amp;"Verifier: "&amp;IF(Checks!$AE$118="","____________",Checks!$AE$118)&amp;CHAR(10)&amp;"PIC: "&amp;IF(Checks!$T$118="","____________",Checks!$T$118))</f>
        <v>Done: ____________ KUL
Verifier: ____________
PIC: ____________</v>
      </c>
      <c r="H53" s="121" t="str">
        <f aca="false">IF(Checks!$AH$118="","",Checks!$AH$118)</f>
        <v>OPEN</v>
      </c>
    </row>
    <row r="54" customFormat="false" ht="114" hidden="false" customHeight="true" outlineLevel="0" collapsed="false">
      <c r="A54" s="120" t="str">
        <f aca="false">Checks!$A$119&amp;CHAR(10)&amp;IF(Checks!$I$119="","",Checks!$I$119&amp;": ")&amp;Checks!$J$119</f>
        <v>F04-T12-20
Signature Drinks: Signature drink &amp; garnish (BC) - prepared</v>
      </c>
      <c r="B54" s="120" t="str">
        <f aca="false">SUBSTITUTE(Checks!$K$119&amp;IF(Checks!$O$119="","",IF(Checks!$K$119="","",CHAR(10))&amp;"Note: "&amp;Checks!$O$119)," (note D79)","")</f>
        <v>Available (ticked in reference)
Note: Signature drinks &amp; garnish uplifted from KUL.</v>
      </c>
      <c r="C54" s="120" t="str">
        <f aca="false">Checks!$N$119&amp;CHAR(10)&amp;IF(ISNUMBER(Checks!$R$119),TEXT(Checks!$R$119,"DD-MMM-YY HH:MM"),"")&amp;" "&amp;Checks!$P$119</f>
        <v>Required
10-Oct-26 11:30 KUL</v>
      </c>
      <c r="D54" s="120" t="str">
        <f aca="false">IF(TRIM(Checks!$U$119)&lt;&gt;"",Checks!$U$119&amp;IF(Checks!$AB$119="","",CHAR(10)&amp;"CA: "&amp;Checks!$AB$119),IF(LEFT(Checks!$AH$119,10)="N/A – RULE","","[ ] Pass"&amp;CHAR(10)&amp;"[ ] Pass after CA"&amp;CHAR(10)&amp;"[ ] Fail"&amp;IF(Checks!$AT$119=1,CHAR(10)&amp;"[ ] N/A","")&amp;CHAR(10)&amp;"CA: Open / Closed"))</f>
        <v>[ ] Pass
[ ] Pass after CA
[ ] Fail
CA: Open / Closed</v>
      </c>
      <c r="E54" s="120" t="str">
        <f aca="false">IF(Checks!$V$119="","",Checks!$V$119)&amp;IF(Checks!$AC$119="","",IF(Checks!$V$119="","",CHAR(10))&amp;"N/A just.: "&amp;Checks!$AC$119)&amp;IF(OR(Checks!$W$119&lt;&gt;"",AND(Checks!$AQ$119=1,NOT(LEFT(Checks!$AH$119,10)="N/A – RULE"))),CHAR(10)&amp;"Batch: "&amp;IF(Checks!$W$119="","____________",Checks!$W$119),"")&amp;IF(OR(Checks!$X$119&lt;&gt;"",Checks!$Y$119&lt;&gt;"",AND(Checks!$AR$119=1,NOT(LEFT(Checks!$AH$119,10)="N/A – RULE"))),CHAR(10)&amp;"Exp: "&amp;IF(Checks!$X$119="","______",Checks!$X$119)&amp;"  /  Act: "&amp;IF(Checks!$Y$119="","______",Checks!$Y$119),"")</f>
        <v/>
      </c>
      <c r="F54" s="120" t="str">
        <f aca="false">IF(AND(LEFT(Checks!$AH$119,10)="N/A – RULE",TRIM(Checks!$S$119&amp;Checks!$Z$119)=""),"","Type: "&amp;IF(TRIM(Checks!$S$119)="","______________ (see cover list)",Checks!$S$119)&amp;CHAR(10)&amp;"ID: "&amp;IF(TRIM(Checks!$Z$119)="","______________ (record's own no.)",Checks!$Z$119))&amp;IF(Checks!$AA$119="","",CHAR(10)&amp;"CA: "&amp;Checks!$AA$119)</f>
        <v>Type: ______________ (see cover list)
ID: ______________ (record's own no.)</v>
      </c>
      <c r="G54" s="120" t="str">
        <f aca="false">IF(AND(LEFT(Checks!$AH$119,10)="N/A – RULE",NOT(ISNUMBER(Checks!$AD$119)),Checks!$AE$119="",Checks!$T$119=""),"","Done: "&amp;IF(ISNUMBER(Checks!$AD$119),TEXT(Checks!$AD$119,"DD-MMM-YY HH:MM"),"____________")&amp;" "&amp;Checks!$P$119&amp;CHAR(10)&amp;"Verifier: "&amp;IF(Checks!$AE$119="","____________",Checks!$AE$119)&amp;CHAR(10)&amp;"PIC: "&amp;IF(Checks!$T$119="","____________",Checks!$T$119))</f>
        <v>Done: ____________ KUL
Verifier: ____________
PIC: ____________</v>
      </c>
      <c r="H54" s="121" t="str">
        <f aca="false">IF(Checks!$AH$119="","",Checks!$AH$119)</f>
        <v>OPEN</v>
      </c>
    </row>
    <row r="55" customFormat="false" ht="168.75" hidden="false" customHeight="true" outlineLevel="0" collapsed="false">
      <c r="A55" s="120" t="str">
        <f aca="false">Checks!$A$120&amp;CHAR(10)&amp;IF(Checks!$I$120="","",Checks!$I$120&amp;": ")&amp;Checks!$J$120</f>
        <v>F04-T12-21
Sales Cart: Sales cart (caterer PASB) - prepared</v>
      </c>
      <c r="B55" s="120" t="str">
        <f aca="false">Checks!$K$120&amp;IF(Checks!$O$120="","",IF(Checks!$K$120="","",CHAR(10))&amp;"Note: "&amp;Checks!$O$120)</f>
        <v>A359: 5R41A &amp; 5R42A (not applicable for LHR) (full cart); 9M-MAH: G4F13A (half cart) - per tail
Note: Block 7.17 h &gt;= 4 h. Location depends on tail. Reference gives no uplift stn for this item: preparation checked at the meal uplift stn (KUL) - confirm with caterer.</v>
      </c>
      <c r="C55" s="120" t="str">
        <f aca="false">Checks!$N$120&amp;CHAR(10)&amp;IF(ISNUMBER(Checks!$R$120),TEXT(Checks!$R$120,"DD-MMM-YY HH:MM"),"")&amp;" "&amp;Checks!$P$120</f>
        <v>Required
10-Oct-26 11:30 KUL</v>
      </c>
      <c r="D55" s="120" t="str">
        <f aca="false">IF(TRIM(Checks!$U$120)&lt;&gt;"",Checks!$U$120&amp;IF(Checks!$AB$120="","",CHAR(10)&amp;"CA: "&amp;Checks!$AB$120),IF(LEFT(Checks!$AH$120,10)="N/A – RULE","","[ ] Pass"&amp;CHAR(10)&amp;"[ ] Pass after CA"&amp;CHAR(10)&amp;"[ ] Fail"&amp;IF(Checks!$AT$120=1,CHAR(10)&amp;"[ ] N/A","")&amp;CHAR(10)&amp;"CA: Open / Closed"))</f>
        <v>[ ] Pass
[ ] Pass after CA
[ ] Fail
CA: Open / Closed</v>
      </c>
      <c r="E55" s="120" t="str">
        <f aca="false">IF(Checks!$V$120="","",Checks!$V$120)&amp;IF(Checks!$AC$120="","",IF(Checks!$V$120="","",CHAR(10))&amp;"N/A just.: "&amp;Checks!$AC$120)&amp;IF(OR(Checks!$W$120&lt;&gt;"",AND(Checks!$AQ$120=1,NOT(LEFT(Checks!$AH$120,10)="N/A – RULE"))),CHAR(10)&amp;"Batch: "&amp;IF(Checks!$W$120="","____________",Checks!$W$120),"")&amp;IF(OR(Checks!$X$120&lt;&gt;"",Checks!$Y$120&lt;&gt;"",AND(Checks!$AR$120=1,NOT(LEFT(Checks!$AH$120,10)="N/A – RULE"))),CHAR(10)&amp;"Exp: "&amp;IF(Checks!$X$120="","______",Checks!$X$120)&amp;"  /  Act: "&amp;IF(Checks!$Y$120="","______",Checks!$Y$120),"")</f>
        <v/>
      </c>
      <c r="F55" s="120" t="str">
        <f aca="false">IF(AND(LEFT(Checks!$AH$120,10)="N/A – RULE",TRIM(Checks!$S$120&amp;Checks!$Z$120)=""),"","Type: "&amp;IF(TRIM(Checks!$S$120)="","______________ (see cover list)",Checks!$S$120)&amp;CHAR(10)&amp;"ID: "&amp;IF(TRIM(Checks!$Z$120)="","______________ (record's own no.)",Checks!$Z$120))&amp;IF(Checks!$AA$120="","",CHAR(10)&amp;"CA: "&amp;Checks!$AA$120)</f>
        <v>Type: ______________ (see cover list)
ID: ______________ (record's own no.)</v>
      </c>
      <c r="G55" s="120" t="str">
        <f aca="false">IF(AND(LEFT(Checks!$AH$120,10)="N/A – RULE",NOT(ISNUMBER(Checks!$AD$120)),Checks!$AE$120="",Checks!$T$120=""),"","Done: "&amp;IF(ISNUMBER(Checks!$AD$120),TEXT(Checks!$AD$120,"DD-MMM-YY HH:MM"),"____________")&amp;" "&amp;Checks!$P$120&amp;CHAR(10)&amp;"Verifier: "&amp;IF(Checks!$AE$120="","____________",Checks!$AE$120)&amp;CHAR(10)&amp;"PIC: "&amp;IF(Checks!$T$120="","____________",Checks!$T$120))</f>
        <v>Done: ____________ KUL
Verifier: ____________
PIC: ____________</v>
      </c>
      <c r="H55" s="121" t="str">
        <f aca="false">IF(Checks!$AH$120="","",Checks!$AH$120)</f>
        <v>OPEN</v>
      </c>
    </row>
    <row r="56" customFormat="false" ht="25.5" hidden="false" customHeight="true" outlineLevel="0" collapsed="false">
      <c r="A56" s="119" t="str">
        <f aca="false">"UPLIFT — Physical uplift – on-board confirmation before departure  |  Due "&amp;"STD "&amp;IF(ISNUMBER(Flights!$I$8),TEXT(Flights!$I$8,"DD-MMM-YY HH:MM"),"")&amp;" "&amp;Flights!$G$8&amp;" (departure stn)"&amp;" (rows with another due show their own)  |  Complete "&amp;IF(ISNUMBER(Flights!$AM$8),TEXT(Flights!$AM$8,"0%"),Flights!$AM$8)&amp;"  |  16 lines"</f>
        <v>UPLIFT — Physical uplift – on-board confirmation before departure  |  Due STD 10-Oct-26 23:30 KUL (departure stn) (rows with another due show their own)  |  Complete 0%  |  16 lines</v>
      </c>
      <c r="B56" s="119"/>
      <c r="C56" s="119"/>
      <c r="D56" s="119"/>
      <c r="E56" s="119"/>
      <c r="F56" s="119"/>
      <c r="G56" s="119"/>
      <c r="H56" s="119"/>
    </row>
    <row r="57" customFormat="false" ht="114" hidden="false" customHeight="true" outlineLevel="0" collapsed="false">
      <c r="A57" s="120" t="str">
        <f aca="false">Checks!$A$121&amp;CHAR(10)&amp;IF(Checks!$I$121="","",Checks!$I$121&amp;": ")&amp;Checks!$J$121</f>
        <v>F04-UPL-01
Meal: Meals physically uplifted on board - quantity vs menu checklist</v>
      </c>
      <c r="B57" s="120" t="str">
        <f aca="false">Checks!$K$121&amp;IF(Checks!$O$121="","",IF(Checks!$K$121="","",CHAR(10))&amp;"Note: "&amp;Checks!$O$121)</f>
        <v>Enter expected &amp; actual
Note: Confirm on board before departure; completion time must fall inside the uplift window.</v>
      </c>
      <c r="C57" s="120" t="str">
        <f aca="false">Checks!$N$121&amp;CHAR(10)&amp;IF(ISNUMBER(Checks!$R$121),TEXT(Checks!$R$121,"DD-MMM-YY HH:MM"),"")&amp;" "&amp;Checks!$P$121</f>
        <v>Required
10-Oct-26 23:30 KUL</v>
      </c>
      <c r="D57" s="120" t="str">
        <f aca="false">IF(TRIM(Checks!$U$121)&lt;&gt;"",Checks!$U$121&amp;IF(Checks!$AB$121="","",CHAR(10)&amp;"CA: "&amp;Checks!$AB$121),IF(LEFT(Checks!$AH$121,10)="N/A – RULE","","[ ] Pass"&amp;CHAR(10)&amp;"[ ] Pass after CA"&amp;CHAR(10)&amp;"[ ] Fail"&amp;IF(Checks!$AT$121=1,CHAR(10)&amp;"[ ] N/A","")&amp;CHAR(10)&amp;"CA: Open / Closed"))</f>
        <v>[ ] Pass
[ ] Pass after CA
[ ] Fail
CA: Open / Closed</v>
      </c>
      <c r="E57" s="120" t="str">
        <f aca="false">IF(Checks!$V$121="","",Checks!$V$121)&amp;IF(Checks!$AC$121="","",IF(Checks!$V$121="","",CHAR(10))&amp;"N/A just.: "&amp;Checks!$AC$121)&amp;IF(OR(Checks!$W$121&lt;&gt;"",AND(Checks!$AQ$121=1,NOT(LEFT(Checks!$AH$121,10)="N/A – RULE"))),CHAR(10)&amp;"Batch: "&amp;IF(Checks!$W$121="","____________",Checks!$W$121),"")&amp;IF(OR(Checks!$X$121&lt;&gt;"",Checks!$Y$121&lt;&gt;"",AND(Checks!$AR$121=1,NOT(LEFT(Checks!$AH$121,10)="N/A – RULE"))),CHAR(10)&amp;"Exp: "&amp;IF(Checks!$X$121="","______",Checks!$X$121)&amp;"  /  Act: "&amp;IF(Checks!$Y$121="","______",Checks!$Y$121),"")</f>
        <v>
Exp: ______  /  Act: ______</v>
      </c>
      <c r="F57" s="120" t="str">
        <f aca="false">IF(AND(LEFT(Checks!$AH$121,10)="N/A – RULE",TRIM(Checks!$S$121&amp;Checks!$Z$121)=""),"","Type: "&amp;IF(TRIM(Checks!$S$121)="","______________ (see cover list)",Checks!$S$121)&amp;CHAR(10)&amp;"ID: "&amp;IF(TRIM(Checks!$Z$121)="","______________ (record's own no.)",Checks!$Z$121))&amp;IF(Checks!$AA$121="","",CHAR(10)&amp;"CA: "&amp;Checks!$AA$121)</f>
        <v>Type: ______________ (see cover list)
ID: ______________ (record's own no.)</v>
      </c>
      <c r="G57" s="120" t="str">
        <f aca="false">IF(AND(LEFT(Checks!$AH$121,10)="N/A – RULE",NOT(ISNUMBER(Checks!$AD$121)),Checks!$AE$121="",Checks!$T$121=""),"","Done: "&amp;IF(ISNUMBER(Checks!$AD$121),TEXT(Checks!$AD$121,"DD-MMM-YY HH:MM"),"____________")&amp;" "&amp;Checks!$P$121&amp;CHAR(10)&amp;"Verifier: "&amp;IF(Checks!$AE$121="","____________",Checks!$AE$121)&amp;CHAR(10)&amp;"PIC: "&amp;IF(Checks!$T$121="","____________",Checks!$T$121))</f>
        <v>Done: ____________ KUL
Verifier: ____________
PIC: ____________</v>
      </c>
      <c r="H57" s="121" t="str">
        <f aca="false">IF(Checks!$AH$121="","",Checks!$AH$121)</f>
        <v>OPEN</v>
      </c>
    </row>
    <row r="58" customFormat="false" ht="114" hidden="false" customHeight="true" outlineLevel="0" collapsed="false">
      <c r="A58" s="120" t="str">
        <f aca="false">Checks!$A$122&amp;CHAR(10)&amp;IF(Checks!$I$122="","",Checks!$I$122&amp;": ")&amp;Checks!$J$122</f>
        <v>F04-UPL-02
Equipment: Equipment physically loaded at GLD positions - quantity &amp; positions</v>
      </c>
      <c r="B58" s="120" t="str">
        <f aca="false">Checks!$K$122&amp;IF(Checks!$O$122="","",IF(Checks!$K$122="","",CHAR(10))&amp;"Note: "&amp;Checks!$O$122)</f>
        <v>Enter expected &amp; actual
Note: Confirm on board before departure; completion time must fall inside the uplift window.</v>
      </c>
      <c r="C58" s="120" t="str">
        <f aca="false">Checks!$N$122&amp;CHAR(10)&amp;IF(ISNUMBER(Checks!$R$122),TEXT(Checks!$R$122,"DD-MMM-YY HH:MM"),"")&amp;" "&amp;Checks!$P$122</f>
        <v>Required
10-Oct-26 23:30 KUL</v>
      </c>
      <c r="D58" s="120" t="str">
        <f aca="false">IF(TRIM(Checks!$U$122)&lt;&gt;"",Checks!$U$122&amp;IF(Checks!$AB$122="","",CHAR(10)&amp;"CA: "&amp;Checks!$AB$122),IF(LEFT(Checks!$AH$122,10)="N/A – RULE","","[ ] Pass"&amp;CHAR(10)&amp;"[ ] Pass after CA"&amp;CHAR(10)&amp;"[ ] Fail"&amp;IF(Checks!$AT$122=1,CHAR(10)&amp;"[ ] N/A","")&amp;CHAR(10)&amp;"CA: Open / Closed"))</f>
        <v>[ ] Pass
[ ] Pass after CA
[ ] Fail
CA: Open / Closed</v>
      </c>
      <c r="E58" s="120" t="str">
        <f aca="false">IF(Checks!$V$122="","",Checks!$V$122)&amp;IF(Checks!$AC$122="","",IF(Checks!$V$122="","",CHAR(10))&amp;"N/A just.: "&amp;Checks!$AC$122)&amp;IF(OR(Checks!$W$122&lt;&gt;"",AND(Checks!$AQ$122=1,NOT(LEFT(Checks!$AH$122,10)="N/A – RULE"))),CHAR(10)&amp;"Batch: "&amp;IF(Checks!$W$122="","____________",Checks!$W$122),"")&amp;IF(OR(Checks!$X$122&lt;&gt;"",Checks!$Y$122&lt;&gt;"",AND(Checks!$AR$122=1,NOT(LEFT(Checks!$AH$122,10)="N/A – RULE"))),CHAR(10)&amp;"Exp: "&amp;IF(Checks!$X$122="","______",Checks!$X$122)&amp;"  /  Act: "&amp;IF(Checks!$Y$122="","______",Checks!$Y$122),"")</f>
        <v>
Exp: ______  /  Act: ______</v>
      </c>
      <c r="F58" s="120" t="str">
        <f aca="false">IF(AND(LEFT(Checks!$AH$122,10)="N/A – RULE",TRIM(Checks!$S$122&amp;Checks!$Z$122)=""),"","Type: "&amp;IF(TRIM(Checks!$S$122)="","______________ (see cover list)",Checks!$S$122)&amp;CHAR(10)&amp;"ID: "&amp;IF(TRIM(Checks!$Z$122)="","______________ (record's own no.)",Checks!$Z$122))&amp;IF(Checks!$AA$122="","",CHAR(10)&amp;"CA: "&amp;Checks!$AA$122)</f>
        <v>Type: ______________ (see cover list)
ID: ______________ (record's own no.)</v>
      </c>
      <c r="G58" s="120" t="str">
        <f aca="false">IF(AND(LEFT(Checks!$AH$122,10)="N/A – RULE",NOT(ISNUMBER(Checks!$AD$122)),Checks!$AE$122="",Checks!$T$122=""),"","Done: "&amp;IF(ISNUMBER(Checks!$AD$122),TEXT(Checks!$AD$122,"DD-MMM-YY HH:MM"),"____________")&amp;" "&amp;Checks!$P$122&amp;CHAR(10)&amp;"Verifier: "&amp;IF(Checks!$AE$122="","____________",Checks!$AE$122)&amp;CHAR(10)&amp;"PIC: "&amp;IF(Checks!$T$122="","____________",Checks!$T$122))</f>
        <v>Done: ____________ KUL
Verifier: ____________
PIC: ____________</v>
      </c>
      <c r="H58" s="121" t="str">
        <f aca="false">IF(Checks!$AH$122="","",Checks!$AH$122)</f>
        <v>OPEN</v>
      </c>
    </row>
    <row r="59" customFormat="false" ht="114" hidden="false" customHeight="true" outlineLevel="0" collapsed="false">
      <c r="A59" s="120" t="str">
        <f aca="false">Checks!$A$123&amp;CHAR(10)&amp;IF(Checks!$I$123="","",Checks!$I$123&amp;": ")&amp;Checks!$J$123</f>
        <v>F04-UPL-03
Amenities: Toiletry kits - on board</v>
      </c>
      <c r="B59" s="120" t="str">
        <f aca="false">Checks!$K$123&amp;IF(Checks!$O$123="","",IF(Checks!$K$123="","",CHAR(10))&amp;"Note: "&amp;Checks!$O$123)</f>
        <v>Available (ticked in reference)</v>
      </c>
      <c r="C59" s="120" t="str">
        <f aca="false">Checks!$N$123&amp;CHAR(10)&amp;IF(ISNUMBER(Checks!$R$123),TEXT(Checks!$R$123,"DD-MMM-YY HH:MM"),"")&amp;" "&amp;Checks!$P$123</f>
        <v>Required
10-Oct-26 23:30 KUL</v>
      </c>
      <c r="D59" s="120" t="str">
        <f aca="false">IF(TRIM(Checks!$U$123)&lt;&gt;"",Checks!$U$123&amp;IF(Checks!$AB$123="","",CHAR(10)&amp;"CA: "&amp;Checks!$AB$123),IF(LEFT(Checks!$AH$123,10)="N/A – RULE","","[ ] Pass"&amp;CHAR(10)&amp;"[ ] Pass after CA"&amp;CHAR(10)&amp;"[ ] Fail"&amp;IF(Checks!$AT$123=1,CHAR(10)&amp;"[ ] N/A","")&amp;CHAR(10)&amp;"CA: Open / Closed"))</f>
        <v>[ ] Pass
[ ] Pass after CA
[ ] Fail
CA: Open / Closed</v>
      </c>
      <c r="E59" s="120" t="str">
        <f aca="false">IF(Checks!$V$123="","",Checks!$V$123)&amp;IF(Checks!$AC$123="","",IF(Checks!$V$123="","",CHAR(10))&amp;"N/A just.: "&amp;Checks!$AC$123)&amp;IF(OR(Checks!$W$123&lt;&gt;"",AND(Checks!$AQ$123=1,NOT(LEFT(Checks!$AH$123,10)="N/A – RULE"))),CHAR(10)&amp;"Batch: "&amp;IF(Checks!$W$123="","____________",Checks!$W$123),"")&amp;IF(OR(Checks!$X$123&lt;&gt;"",Checks!$Y$123&lt;&gt;"",AND(Checks!$AR$123=1,NOT(LEFT(Checks!$AH$123,10)="N/A – RULE"))),CHAR(10)&amp;"Exp: "&amp;IF(Checks!$X$123="","______",Checks!$X$123)&amp;"  /  Act: "&amp;IF(Checks!$Y$123="","______",Checks!$Y$123),"")</f>
        <v/>
      </c>
      <c r="F59" s="120" t="str">
        <f aca="false">IF(AND(LEFT(Checks!$AH$123,10)="N/A – RULE",TRIM(Checks!$S$123&amp;Checks!$Z$123)=""),"","Type: "&amp;IF(TRIM(Checks!$S$123)="","______________ (see cover list)",Checks!$S$123)&amp;CHAR(10)&amp;"ID: "&amp;IF(TRIM(Checks!$Z$123)="","______________ (record's own no.)",Checks!$Z$123))&amp;IF(Checks!$AA$123="","",CHAR(10)&amp;"CA: "&amp;Checks!$AA$123)</f>
        <v>Type: ______________ (see cover list)
ID: ______________ (record's own no.)</v>
      </c>
      <c r="G59" s="120" t="str">
        <f aca="false">IF(AND(LEFT(Checks!$AH$123,10)="N/A – RULE",NOT(ISNUMBER(Checks!$AD$123)),Checks!$AE$123="",Checks!$T$123=""),"","Done: "&amp;IF(ISNUMBER(Checks!$AD$123),TEXT(Checks!$AD$123,"DD-MMM-YY HH:MM"),"____________")&amp;" "&amp;Checks!$P$123&amp;CHAR(10)&amp;"Verifier: "&amp;IF(Checks!$AE$123="","____________",Checks!$AE$123)&amp;CHAR(10)&amp;"PIC: "&amp;IF(Checks!$T$123="","____________",Checks!$T$123))</f>
        <v>Done: ____________ KUL
Verifier: ____________
PIC: ____________</v>
      </c>
      <c r="H59" s="121" t="str">
        <f aca="false">IF(Checks!$AH$123="","",Checks!$AH$123)</f>
        <v>OPEN</v>
      </c>
    </row>
    <row r="60" customFormat="false" ht="114" hidden="false" customHeight="true" outlineLevel="0" collapsed="false">
      <c r="A60" s="120" t="str">
        <f aca="false">Checks!$A$124&amp;CHAR(10)&amp;IF(Checks!$I$124="","",Checks!$I$124&amp;": ")&amp;Checks!$J$124</f>
        <v>F04-UPL-04
Amenities: Slippers (BS/BC) - on board</v>
      </c>
      <c r="B60" s="120" t="str">
        <f aca="false">Checks!$K$124&amp;IF(Checks!$O$124="","",IF(Checks!$K$124="","",CHAR(10))&amp;"Note: "&amp;Checks!$O$124)</f>
        <v>Available (ticked in reference)</v>
      </c>
      <c r="C60" s="120" t="str">
        <f aca="false">Checks!$N$124&amp;CHAR(10)&amp;IF(ISNUMBER(Checks!$R$124),TEXT(Checks!$R$124,"DD-MMM-YY HH:MM"),"")&amp;" "&amp;Checks!$P$124</f>
        <v>Required
10-Oct-26 23:30 KUL</v>
      </c>
      <c r="D60" s="120" t="str">
        <f aca="false">IF(TRIM(Checks!$U$124)&lt;&gt;"",Checks!$U$124&amp;IF(Checks!$AB$124="","",CHAR(10)&amp;"CA: "&amp;Checks!$AB$124),IF(LEFT(Checks!$AH$124,10)="N/A – RULE","","[ ] Pass"&amp;CHAR(10)&amp;"[ ] Pass after CA"&amp;CHAR(10)&amp;"[ ] Fail"&amp;IF(Checks!$AT$124=1,CHAR(10)&amp;"[ ] N/A","")&amp;CHAR(10)&amp;"CA: Open / Closed"))</f>
        <v>[ ] Pass
[ ] Pass after CA
[ ] Fail
CA: Open / Closed</v>
      </c>
      <c r="E60" s="120" t="str">
        <f aca="false">IF(Checks!$V$124="","",Checks!$V$124)&amp;IF(Checks!$AC$124="","",IF(Checks!$V$124="","",CHAR(10))&amp;"N/A just.: "&amp;Checks!$AC$124)&amp;IF(OR(Checks!$W$124&lt;&gt;"",AND(Checks!$AQ$124=1,NOT(LEFT(Checks!$AH$124,10)="N/A – RULE"))),CHAR(10)&amp;"Batch: "&amp;IF(Checks!$W$124="","____________",Checks!$W$124),"")&amp;IF(OR(Checks!$X$124&lt;&gt;"",Checks!$Y$124&lt;&gt;"",AND(Checks!$AR$124=1,NOT(LEFT(Checks!$AH$124,10)="N/A – RULE"))),CHAR(10)&amp;"Exp: "&amp;IF(Checks!$X$124="","______",Checks!$X$124)&amp;"  /  Act: "&amp;IF(Checks!$Y$124="","______",Checks!$Y$124),"")</f>
        <v/>
      </c>
      <c r="F60" s="120" t="str">
        <f aca="false">IF(AND(LEFT(Checks!$AH$124,10)="N/A – RULE",TRIM(Checks!$S$124&amp;Checks!$Z$124)=""),"","Type: "&amp;IF(TRIM(Checks!$S$124)="","______________ (see cover list)",Checks!$S$124)&amp;CHAR(10)&amp;"ID: "&amp;IF(TRIM(Checks!$Z$124)="","______________ (record's own no.)",Checks!$Z$124))&amp;IF(Checks!$AA$124="","",CHAR(10)&amp;"CA: "&amp;Checks!$AA$124)</f>
        <v>Type: ______________ (see cover list)
ID: ______________ (record's own no.)</v>
      </c>
      <c r="G60" s="120" t="str">
        <f aca="false">IF(AND(LEFT(Checks!$AH$124,10)="N/A – RULE",NOT(ISNUMBER(Checks!$AD$124)),Checks!$AE$124="",Checks!$T$124=""),"","Done: "&amp;IF(ISNUMBER(Checks!$AD$124),TEXT(Checks!$AD$124,"DD-MMM-YY HH:MM"),"____________")&amp;" "&amp;Checks!$P$124&amp;CHAR(10)&amp;"Verifier: "&amp;IF(Checks!$AE$124="","____________",Checks!$AE$124)&amp;CHAR(10)&amp;"PIC: "&amp;IF(Checks!$T$124="","____________",Checks!$T$124))</f>
        <v>Done: ____________ KUL
Verifier: ____________
PIC: ____________</v>
      </c>
      <c r="H60" s="121" t="str">
        <f aca="false">IF(Checks!$AH$124="","",Checks!$AH$124)</f>
        <v>OPEN</v>
      </c>
    </row>
    <row r="61" customFormat="false" ht="114" hidden="false" customHeight="true" outlineLevel="0" collapsed="false">
      <c r="A61" s="120" t="str">
        <f aca="false">Checks!$A$125&amp;CHAR(10)&amp;IF(Checks!$I$125="","",Checks!$I$125&amp;": ")&amp;Checks!$J$125</f>
        <v>F04-UPL-05
F&amp;B Linen: Towel - on board</v>
      </c>
      <c r="B61" s="120" t="str">
        <f aca="false">Checks!$K$125&amp;IF(Checks!$O$125="","",IF(Checks!$K$125="","",CHAR(10))&amp;"Note: "&amp;Checks!$O$125)</f>
        <v>Available (ticked in reference)</v>
      </c>
      <c r="C61" s="120" t="str">
        <f aca="false">Checks!$N$125&amp;CHAR(10)&amp;IF(ISNUMBER(Checks!$R$125),TEXT(Checks!$R$125,"DD-MMM-YY HH:MM"),"")&amp;" "&amp;Checks!$P$125</f>
        <v>Required
10-Oct-26 23:30 KUL</v>
      </c>
      <c r="D61" s="120" t="str">
        <f aca="false">IF(TRIM(Checks!$U$125)&lt;&gt;"",Checks!$U$125&amp;IF(Checks!$AB$125="","",CHAR(10)&amp;"CA: "&amp;Checks!$AB$125),IF(LEFT(Checks!$AH$125,10)="N/A – RULE","","[ ] Pass"&amp;CHAR(10)&amp;"[ ] Pass after CA"&amp;CHAR(10)&amp;"[ ] Fail"&amp;IF(Checks!$AT$125=1,CHAR(10)&amp;"[ ] N/A","")&amp;CHAR(10)&amp;"CA: Open / Closed"))</f>
        <v>[ ] Pass
[ ] Pass after CA
[ ] Fail
CA: Open / Closed</v>
      </c>
      <c r="E61" s="120" t="str">
        <f aca="false">IF(Checks!$V$125="","",Checks!$V$125)&amp;IF(Checks!$AC$125="","",IF(Checks!$V$125="","",CHAR(10))&amp;"N/A just.: "&amp;Checks!$AC$125)&amp;IF(OR(Checks!$W$125&lt;&gt;"",AND(Checks!$AQ$125=1,NOT(LEFT(Checks!$AH$125,10)="N/A – RULE"))),CHAR(10)&amp;"Batch: "&amp;IF(Checks!$W$125="","____________",Checks!$W$125),"")&amp;IF(OR(Checks!$X$125&lt;&gt;"",Checks!$Y$125&lt;&gt;"",AND(Checks!$AR$125=1,NOT(LEFT(Checks!$AH$125,10)="N/A – RULE"))),CHAR(10)&amp;"Exp: "&amp;IF(Checks!$X$125="","______",Checks!$X$125)&amp;"  /  Act: "&amp;IF(Checks!$Y$125="","______",Checks!$Y$125),"")</f>
        <v/>
      </c>
      <c r="F61" s="120" t="str">
        <f aca="false">IF(AND(LEFT(Checks!$AH$125,10)="N/A – RULE",TRIM(Checks!$S$125&amp;Checks!$Z$125)=""),"","Type: "&amp;IF(TRIM(Checks!$S$125)="","______________ (see cover list)",Checks!$S$125)&amp;CHAR(10)&amp;"ID: "&amp;IF(TRIM(Checks!$Z$125)="","______________ (record's own no.)",Checks!$Z$125))&amp;IF(Checks!$AA$125="","",CHAR(10)&amp;"CA: "&amp;Checks!$AA$125)</f>
        <v>Type: ______________ (see cover list)
ID: ______________ (record's own no.)</v>
      </c>
      <c r="G61" s="120" t="str">
        <f aca="false">IF(AND(LEFT(Checks!$AH$125,10)="N/A – RULE",NOT(ISNUMBER(Checks!$AD$125)),Checks!$AE$125="",Checks!$T$125=""),"","Done: "&amp;IF(ISNUMBER(Checks!$AD$125),TEXT(Checks!$AD$125,"DD-MMM-YY HH:MM"),"____________")&amp;" "&amp;Checks!$P$125&amp;CHAR(10)&amp;"Verifier: "&amp;IF(Checks!$AE$125="","____________",Checks!$AE$125)&amp;CHAR(10)&amp;"PIC: "&amp;IF(Checks!$T$125="","____________",Checks!$T$125))</f>
        <v>Done: ____________ KUL
Verifier: ____________
PIC: ____________</v>
      </c>
      <c r="H61" s="121" t="str">
        <f aca="false">IF(Checks!$AH$125="","",Checks!$AH$125)</f>
        <v>OPEN</v>
      </c>
    </row>
    <row r="62" customFormat="false" ht="114" hidden="false" customHeight="true" outlineLevel="0" collapsed="false">
      <c r="A62" s="120" t="str">
        <f aca="false">Checks!$A$126&amp;CHAR(10)&amp;IF(Checks!$I$126="","",Checks!$I$126&amp;": ")&amp;Checks!$J$126</f>
        <v>F04-UPL-06
F&amp;B Linen: Tray cloth - on board</v>
      </c>
      <c r="B62" s="120" t="str">
        <f aca="false">Checks!$K$126&amp;IF(Checks!$O$126="","",IF(Checks!$K$126="","",CHAR(10))&amp;"Note: "&amp;Checks!$O$126)</f>
        <v>Available (ticked in reference)</v>
      </c>
      <c r="C62" s="120" t="str">
        <f aca="false">Checks!$N$126&amp;CHAR(10)&amp;IF(ISNUMBER(Checks!$R$126),TEXT(Checks!$R$126,"DD-MMM-YY HH:MM"),"")&amp;" "&amp;Checks!$P$126</f>
        <v>Required
10-Oct-26 23:30 KUL</v>
      </c>
      <c r="D62" s="120" t="str">
        <f aca="false">IF(TRIM(Checks!$U$126)&lt;&gt;"",Checks!$U$126&amp;IF(Checks!$AB$126="","",CHAR(10)&amp;"CA: "&amp;Checks!$AB$126),IF(LEFT(Checks!$AH$126,10)="N/A – RULE","","[ ] Pass"&amp;CHAR(10)&amp;"[ ] Pass after CA"&amp;CHAR(10)&amp;"[ ] Fail"&amp;IF(Checks!$AT$126=1,CHAR(10)&amp;"[ ] N/A","")&amp;CHAR(10)&amp;"CA: Open / Closed"))</f>
        <v>[ ] Pass
[ ] Pass after CA
[ ] Fail
CA: Open / Closed</v>
      </c>
      <c r="E62" s="120" t="str">
        <f aca="false">IF(Checks!$V$126="","",Checks!$V$126)&amp;IF(Checks!$AC$126="","",IF(Checks!$V$126="","",CHAR(10))&amp;"N/A just.: "&amp;Checks!$AC$126)&amp;IF(OR(Checks!$W$126&lt;&gt;"",AND(Checks!$AQ$126=1,NOT(LEFT(Checks!$AH$126,10)="N/A – RULE"))),CHAR(10)&amp;"Batch: "&amp;IF(Checks!$W$126="","____________",Checks!$W$126),"")&amp;IF(OR(Checks!$X$126&lt;&gt;"",Checks!$Y$126&lt;&gt;"",AND(Checks!$AR$126=1,NOT(LEFT(Checks!$AH$126,10)="N/A – RULE"))),CHAR(10)&amp;"Exp: "&amp;IF(Checks!$X$126="","______",Checks!$X$126)&amp;"  /  Act: "&amp;IF(Checks!$Y$126="","______",Checks!$Y$126),"")</f>
        <v/>
      </c>
      <c r="F62" s="120" t="str">
        <f aca="false">IF(AND(LEFT(Checks!$AH$126,10)="N/A – RULE",TRIM(Checks!$S$126&amp;Checks!$Z$126)=""),"","Type: "&amp;IF(TRIM(Checks!$S$126)="","______________ (see cover list)",Checks!$S$126)&amp;CHAR(10)&amp;"ID: "&amp;IF(TRIM(Checks!$Z$126)="","______________ (record's own no.)",Checks!$Z$126))&amp;IF(Checks!$AA$126="","",CHAR(10)&amp;"CA: "&amp;Checks!$AA$126)</f>
        <v>Type: ______________ (see cover list)
ID: ______________ (record's own no.)</v>
      </c>
      <c r="G62" s="120" t="str">
        <f aca="false">IF(AND(LEFT(Checks!$AH$126,10)="N/A – RULE",NOT(ISNUMBER(Checks!$AD$126)),Checks!$AE$126="",Checks!$T$126=""),"","Done: "&amp;IF(ISNUMBER(Checks!$AD$126),TEXT(Checks!$AD$126,"DD-MMM-YY HH:MM"),"____________")&amp;" "&amp;Checks!$P$126&amp;CHAR(10)&amp;"Verifier: "&amp;IF(Checks!$AE$126="","____________",Checks!$AE$126)&amp;CHAR(10)&amp;"PIC: "&amp;IF(Checks!$T$126="","____________",Checks!$T$126))</f>
        <v>Done: ____________ KUL
Verifier: ____________
PIC: ____________</v>
      </c>
      <c r="H62" s="121" t="str">
        <f aca="false">IF(Checks!$AH$126="","",Checks!$AH$126)</f>
        <v>OPEN</v>
      </c>
    </row>
    <row r="63" customFormat="false" ht="114" hidden="false" customHeight="true" outlineLevel="0" collapsed="false">
      <c r="A63" s="120" t="str">
        <f aca="false">Checks!$A$127&amp;CHAR(10)&amp;IF(Checks!$I$127="","",Checks!$I$127&amp;": ")&amp;Checks!$J$127</f>
        <v>F04-UPL-07
F&amp;B Linen: Napkin - on board</v>
      </c>
      <c r="B63" s="120" t="str">
        <f aca="false">Checks!$K$127&amp;IF(Checks!$O$127="","",IF(Checks!$K$127="","",CHAR(10))&amp;"Note: "&amp;Checks!$O$127)</f>
        <v>Available (ticked in reference)</v>
      </c>
      <c r="C63" s="120" t="str">
        <f aca="false">Checks!$N$127&amp;CHAR(10)&amp;IF(ISNUMBER(Checks!$R$127),TEXT(Checks!$R$127,"DD-MMM-YY HH:MM"),"")&amp;" "&amp;Checks!$P$127</f>
        <v>Required
10-Oct-26 23:30 KUL</v>
      </c>
      <c r="D63" s="120" t="str">
        <f aca="false">IF(TRIM(Checks!$U$127)&lt;&gt;"",Checks!$U$127&amp;IF(Checks!$AB$127="","",CHAR(10)&amp;"CA: "&amp;Checks!$AB$127),IF(LEFT(Checks!$AH$127,10)="N/A – RULE","","[ ] Pass"&amp;CHAR(10)&amp;"[ ] Pass after CA"&amp;CHAR(10)&amp;"[ ] Fail"&amp;IF(Checks!$AT$127=1,CHAR(10)&amp;"[ ] N/A","")&amp;CHAR(10)&amp;"CA: Open / Closed"))</f>
        <v>[ ] Pass
[ ] Pass after CA
[ ] Fail
CA: Open / Closed</v>
      </c>
      <c r="E63" s="120" t="str">
        <f aca="false">IF(Checks!$V$127="","",Checks!$V$127)&amp;IF(Checks!$AC$127="","",IF(Checks!$V$127="","",CHAR(10))&amp;"N/A just.: "&amp;Checks!$AC$127)&amp;IF(OR(Checks!$W$127&lt;&gt;"",AND(Checks!$AQ$127=1,NOT(LEFT(Checks!$AH$127,10)="N/A – RULE"))),CHAR(10)&amp;"Batch: "&amp;IF(Checks!$W$127="","____________",Checks!$W$127),"")&amp;IF(OR(Checks!$X$127&lt;&gt;"",Checks!$Y$127&lt;&gt;"",AND(Checks!$AR$127=1,NOT(LEFT(Checks!$AH$127,10)="N/A – RULE"))),CHAR(10)&amp;"Exp: "&amp;IF(Checks!$X$127="","______",Checks!$X$127)&amp;"  /  Act: "&amp;IF(Checks!$Y$127="","______",Checks!$Y$127),"")</f>
        <v/>
      </c>
      <c r="F63" s="120" t="str">
        <f aca="false">IF(AND(LEFT(Checks!$AH$127,10)="N/A – RULE",TRIM(Checks!$S$127&amp;Checks!$Z$127)=""),"","Type: "&amp;IF(TRIM(Checks!$S$127)="","______________ (see cover list)",Checks!$S$127)&amp;CHAR(10)&amp;"ID: "&amp;IF(TRIM(Checks!$Z$127)="","______________ (record's own no.)",Checks!$Z$127))&amp;IF(Checks!$AA$127="","",CHAR(10)&amp;"CA: "&amp;Checks!$AA$127)</f>
        <v>Type: ______________ (see cover list)
ID: ______________ (record's own no.)</v>
      </c>
      <c r="G63" s="120" t="str">
        <f aca="false">IF(AND(LEFT(Checks!$AH$127,10)="N/A – RULE",NOT(ISNUMBER(Checks!$AD$127)),Checks!$AE$127="",Checks!$T$127=""),"","Done: "&amp;IF(ISNUMBER(Checks!$AD$127),TEXT(Checks!$AD$127,"DD-MMM-YY HH:MM"),"____________")&amp;" "&amp;Checks!$P$127&amp;CHAR(10)&amp;"Verifier: "&amp;IF(Checks!$AE$127="","____________",Checks!$AE$127)&amp;CHAR(10)&amp;"PIC: "&amp;IF(Checks!$T$127="","____________",Checks!$T$127))</f>
        <v>Done: ____________ KUL
Verifier: ____________
PIC: ____________</v>
      </c>
      <c r="H63" s="121" t="str">
        <f aca="false">IF(Checks!$AH$127="","",Checks!$AH$127)</f>
        <v>OPEN</v>
      </c>
    </row>
    <row r="64" customFormat="false" ht="114" hidden="false" customHeight="true" outlineLevel="0" collapsed="false">
      <c r="A64" s="120" t="str">
        <f aca="false">Checks!$A$128&amp;CHAR(10)&amp;IF(Checks!$I$128="","",Checks!$I$128&amp;": ")&amp;Checks!$J$128</f>
        <v>F04-UPL-08
F&amp;B Linen: Table cloth - on board</v>
      </c>
      <c r="B64" s="120" t="str">
        <f aca="false">Checks!$K$128&amp;IF(Checks!$O$128="","",IF(Checks!$K$128="","",CHAR(10))&amp;"Note: "&amp;Checks!$O$128)</f>
        <v>Available (ticked in reference)</v>
      </c>
      <c r="C64" s="120" t="str">
        <f aca="false">Checks!$N$128&amp;CHAR(10)&amp;IF(ISNUMBER(Checks!$R$128),TEXT(Checks!$R$128,"DD-MMM-YY HH:MM"),"")&amp;" "&amp;Checks!$P$128</f>
        <v>Required
10-Oct-26 23:30 KUL</v>
      </c>
      <c r="D64" s="120" t="str">
        <f aca="false">IF(TRIM(Checks!$U$128)&lt;&gt;"",Checks!$U$128&amp;IF(Checks!$AB$128="","",CHAR(10)&amp;"CA: "&amp;Checks!$AB$128),IF(LEFT(Checks!$AH$128,10)="N/A – RULE","","[ ] Pass"&amp;CHAR(10)&amp;"[ ] Pass after CA"&amp;CHAR(10)&amp;"[ ] Fail"&amp;IF(Checks!$AT$128=1,CHAR(10)&amp;"[ ] N/A","")&amp;CHAR(10)&amp;"CA: Open / Closed"))</f>
        <v>[ ] Pass
[ ] Pass after CA
[ ] Fail
CA: Open / Closed</v>
      </c>
      <c r="E64" s="120" t="str">
        <f aca="false">IF(Checks!$V$128="","",Checks!$V$128)&amp;IF(Checks!$AC$128="","",IF(Checks!$V$128="","",CHAR(10))&amp;"N/A just.: "&amp;Checks!$AC$128)&amp;IF(OR(Checks!$W$128&lt;&gt;"",AND(Checks!$AQ$128=1,NOT(LEFT(Checks!$AH$128,10)="N/A – RULE"))),CHAR(10)&amp;"Batch: "&amp;IF(Checks!$W$128="","____________",Checks!$W$128),"")&amp;IF(OR(Checks!$X$128&lt;&gt;"",Checks!$Y$128&lt;&gt;"",AND(Checks!$AR$128=1,NOT(LEFT(Checks!$AH$128,10)="N/A – RULE"))),CHAR(10)&amp;"Exp: "&amp;IF(Checks!$X$128="","______",Checks!$X$128)&amp;"  /  Act: "&amp;IF(Checks!$Y$128="","______",Checks!$Y$128),"")</f>
        <v/>
      </c>
      <c r="F64" s="120" t="str">
        <f aca="false">IF(AND(LEFT(Checks!$AH$128,10)="N/A – RULE",TRIM(Checks!$S$128&amp;Checks!$Z$128)=""),"","Type: "&amp;IF(TRIM(Checks!$S$128)="","______________ (see cover list)",Checks!$S$128)&amp;CHAR(10)&amp;"ID: "&amp;IF(TRIM(Checks!$Z$128)="","______________ (record's own no.)",Checks!$Z$128))&amp;IF(Checks!$AA$128="","",CHAR(10)&amp;"CA: "&amp;Checks!$AA$128)</f>
        <v>Type: ______________ (see cover list)
ID: ______________ (record's own no.)</v>
      </c>
      <c r="G64" s="120" t="str">
        <f aca="false">IF(AND(LEFT(Checks!$AH$128,10)="N/A – RULE",NOT(ISNUMBER(Checks!$AD$128)),Checks!$AE$128="",Checks!$T$128=""),"","Done: "&amp;IF(ISNUMBER(Checks!$AD$128),TEXT(Checks!$AD$128,"DD-MMM-YY HH:MM"),"____________")&amp;" "&amp;Checks!$P$128&amp;CHAR(10)&amp;"Verifier: "&amp;IF(Checks!$AE$128="","____________",Checks!$AE$128)&amp;CHAR(10)&amp;"PIC: "&amp;IF(Checks!$T$128="","____________",Checks!$T$128))</f>
        <v>Done: ____________ KUL
Verifier: ____________
PIC: ____________</v>
      </c>
      <c r="H64" s="121" t="str">
        <f aca="false">IF(Checks!$AH$128="","",Checks!$AH$128)</f>
        <v>OPEN</v>
      </c>
    </row>
    <row r="65" customFormat="false" ht="114" hidden="false" customHeight="true" outlineLevel="0" collapsed="false">
      <c r="A65" s="120" t="str">
        <f aca="false">Checks!$A$129&amp;CHAR(10)&amp;IF(Checks!$I$129="","",Checks!$I$129&amp;": ")&amp;Checks!$J$129</f>
        <v>F04-UPL-09
F&amp;B Linen: Bread linen (using table cloth) - on board</v>
      </c>
      <c r="B65" s="120" t="str">
        <f aca="false">Checks!$K$129&amp;IF(Checks!$O$129="","",IF(Checks!$K$129="","",CHAR(10))&amp;"Note: "&amp;Checks!$O$129)</f>
        <v>Available (ticked in reference)</v>
      </c>
      <c r="C65" s="120" t="str">
        <f aca="false">Checks!$N$129&amp;CHAR(10)&amp;IF(ISNUMBER(Checks!$R$129),TEXT(Checks!$R$129,"DD-MMM-YY HH:MM"),"")&amp;" "&amp;Checks!$P$129</f>
        <v>Required
10-Oct-26 23:30 KUL</v>
      </c>
      <c r="D65" s="120" t="str">
        <f aca="false">IF(TRIM(Checks!$U$129)&lt;&gt;"",Checks!$U$129&amp;IF(Checks!$AB$129="","",CHAR(10)&amp;"CA: "&amp;Checks!$AB$129),IF(LEFT(Checks!$AH$129,10)="N/A – RULE","","[ ] Pass"&amp;CHAR(10)&amp;"[ ] Pass after CA"&amp;CHAR(10)&amp;"[ ] Fail"&amp;IF(Checks!$AT$129=1,CHAR(10)&amp;"[ ] N/A","")&amp;CHAR(10)&amp;"CA: Open / Closed"))</f>
        <v>[ ] Pass
[ ] Pass after CA
[ ] Fail
CA: Open / Closed</v>
      </c>
      <c r="E65" s="120" t="str">
        <f aca="false">IF(Checks!$V$129="","",Checks!$V$129)&amp;IF(Checks!$AC$129="","",IF(Checks!$V$129="","",CHAR(10))&amp;"N/A just.: "&amp;Checks!$AC$129)&amp;IF(OR(Checks!$W$129&lt;&gt;"",AND(Checks!$AQ$129=1,NOT(LEFT(Checks!$AH$129,10)="N/A – RULE"))),CHAR(10)&amp;"Batch: "&amp;IF(Checks!$W$129="","____________",Checks!$W$129),"")&amp;IF(OR(Checks!$X$129&lt;&gt;"",Checks!$Y$129&lt;&gt;"",AND(Checks!$AR$129=1,NOT(LEFT(Checks!$AH$129,10)="N/A – RULE"))),CHAR(10)&amp;"Exp: "&amp;IF(Checks!$X$129="","______",Checks!$X$129)&amp;"  /  Act: "&amp;IF(Checks!$Y$129="","______",Checks!$Y$129),"")</f>
        <v/>
      </c>
      <c r="F65" s="120" t="str">
        <f aca="false">IF(AND(LEFT(Checks!$AH$129,10)="N/A – RULE",TRIM(Checks!$S$129&amp;Checks!$Z$129)=""),"","Type: "&amp;IF(TRIM(Checks!$S$129)="","______________ (see cover list)",Checks!$S$129)&amp;CHAR(10)&amp;"ID: "&amp;IF(TRIM(Checks!$Z$129)="","______________ (record's own no.)",Checks!$Z$129))&amp;IF(Checks!$AA$129="","",CHAR(10)&amp;"CA: "&amp;Checks!$AA$129)</f>
        <v>Type: ______________ (see cover list)
ID: ______________ (record's own no.)</v>
      </c>
      <c r="G65" s="120" t="str">
        <f aca="false">IF(AND(LEFT(Checks!$AH$129,10)="N/A – RULE",NOT(ISNUMBER(Checks!$AD$129)),Checks!$AE$129="",Checks!$T$129=""),"","Done: "&amp;IF(ISNUMBER(Checks!$AD$129),TEXT(Checks!$AD$129,"DD-MMM-YY HH:MM"),"____________")&amp;" "&amp;Checks!$P$129&amp;CHAR(10)&amp;"Verifier: "&amp;IF(Checks!$AE$129="","____________",Checks!$AE$129)&amp;CHAR(10)&amp;"PIC: "&amp;IF(Checks!$T$129="","____________",Checks!$T$129))</f>
        <v>Done: ____________ KUL
Verifier: ____________
PIC: ____________</v>
      </c>
      <c r="H65" s="121" t="str">
        <f aca="false">IF(Checks!$AH$129="","",Checks!$AH$129)</f>
        <v>OPEN</v>
      </c>
    </row>
    <row r="66" customFormat="false" ht="114" hidden="false" customHeight="true" outlineLevel="0" collapsed="false">
      <c r="A66" s="120" t="str">
        <f aca="false">Checks!$A$130&amp;CHAR(10)&amp;IF(Checks!$I$130="","",Checks!$I$130&amp;": ")&amp;Checks!$J$130</f>
        <v>F04-UPL-10
F&amp;B Linen: Trolley cloth - on board</v>
      </c>
      <c r="B66" s="120" t="str">
        <f aca="false">SUBSTITUTE(SUBSTITUTE(Checks!$K$130&amp;IF(Checks!$O$130="","",IF(Checks!$K$130="","",CHAR(10))&amp;"Note: "&amp;Checks!$O$130),"Per note F&amp;B LINEN!B79:C80.","Per the F&amp;B LINEN reference note."),"note F&amp;B LINEN!B79:C80","the F&amp;B LINEN reference note")</f>
        <v>Wide body: Top/Middle &amp; Bottom
Note: Per the F&amp;B LINEN reference note.</v>
      </c>
      <c r="C66" s="120" t="str">
        <f aca="false">Checks!$N$130&amp;CHAR(10)&amp;IF(ISNUMBER(Checks!$R$130),TEXT(Checks!$R$130,"DD-MMM-YY HH:MM"),"")&amp;" "&amp;Checks!$P$130</f>
        <v>Required
10-Oct-26 23:30 KUL</v>
      </c>
      <c r="D66" s="120" t="str">
        <f aca="false">IF(TRIM(Checks!$U$130)&lt;&gt;"",Checks!$U$130&amp;IF(Checks!$AB$130="","",CHAR(10)&amp;"CA: "&amp;Checks!$AB$130),IF(LEFT(Checks!$AH$130,10)="N/A – RULE","","[ ] Pass"&amp;CHAR(10)&amp;"[ ] Pass after CA"&amp;CHAR(10)&amp;"[ ] Fail"&amp;IF(Checks!$AT$130=1,CHAR(10)&amp;"[ ] N/A","")&amp;CHAR(10)&amp;"CA: Open / Closed"))</f>
        <v>[ ] Pass
[ ] Pass after CA
[ ] Fail
CA: Open / Closed</v>
      </c>
      <c r="E66" s="120" t="str">
        <f aca="false">IF(Checks!$V$130="","",Checks!$V$130)&amp;IF(Checks!$AC$130="","",IF(Checks!$V$130="","",CHAR(10))&amp;"N/A just.: "&amp;Checks!$AC$130)&amp;IF(OR(Checks!$W$130&lt;&gt;"",AND(Checks!$AQ$130=1,NOT(LEFT(Checks!$AH$130,10)="N/A – RULE"))),CHAR(10)&amp;"Batch: "&amp;IF(Checks!$W$130="","____________",Checks!$W$130),"")&amp;IF(OR(Checks!$X$130&lt;&gt;"",Checks!$Y$130&lt;&gt;"",AND(Checks!$AR$130=1,NOT(LEFT(Checks!$AH$130,10)="N/A – RULE"))),CHAR(10)&amp;"Exp: "&amp;IF(Checks!$X$130="","______",Checks!$X$130)&amp;"  /  Act: "&amp;IF(Checks!$Y$130="","______",Checks!$Y$130),"")</f>
        <v/>
      </c>
      <c r="F66" s="120" t="str">
        <f aca="false">IF(AND(LEFT(Checks!$AH$130,10)="N/A – RULE",TRIM(Checks!$S$130&amp;Checks!$Z$130)=""),"","Type: "&amp;IF(TRIM(Checks!$S$130)="","______________ (see cover list)",Checks!$S$130)&amp;CHAR(10)&amp;"ID: "&amp;IF(TRIM(Checks!$Z$130)="","______________ (record's own no.)",Checks!$Z$130))&amp;IF(Checks!$AA$130="","",CHAR(10)&amp;"CA: "&amp;Checks!$AA$130)</f>
        <v>Type: ______________ (see cover list)
ID: ______________ (record's own no.)</v>
      </c>
      <c r="G66" s="120" t="str">
        <f aca="false">IF(AND(LEFT(Checks!$AH$130,10)="N/A – RULE",NOT(ISNUMBER(Checks!$AD$130)),Checks!$AE$130="",Checks!$T$130=""),"","Done: "&amp;IF(ISNUMBER(Checks!$AD$130),TEXT(Checks!$AD$130,"DD-MMM-YY HH:MM"),"____________")&amp;" "&amp;Checks!$P$130&amp;CHAR(10)&amp;"Verifier: "&amp;IF(Checks!$AE$130="","____________",Checks!$AE$130)&amp;CHAR(10)&amp;"PIC: "&amp;IF(Checks!$T$130="","____________",Checks!$T$130))</f>
        <v>Done: ____________ KUL
Verifier: ____________
PIC: ____________</v>
      </c>
      <c r="H66" s="121" t="str">
        <f aca="false">IF(Checks!$AH$130="","",Checks!$AH$130)</f>
        <v>OPEN</v>
      </c>
    </row>
    <row r="67" customFormat="false" ht="114" hidden="false" customHeight="true" outlineLevel="0" collapsed="false">
      <c r="A67" s="120" t="str">
        <f aca="false">Checks!$A$131&amp;CHAR(10)&amp;IF(Checks!$I$131="","",Checks!$I$131&amp;": ")&amp;Checks!$J$131</f>
        <v>F04-UPL-11
F&amp;B Linen: Linen bag - on board</v>
      </c>
      <c r="B67" s="120" t="str">
        <f aca="false">Checks!$K$131&amp;IF(Checks!$O$131="","",IF(Checks!$K$131="","",CHAR(10))&amp;"Note: "&amp;Checks!$O$131)</f>
        <v>Available (ticked in reference)</v>
      </c>
      <c r="C67" s="120" t="str">
        <f aca="false">Checks!$N$131&amp;CHAR(10)&amp;IF(ISNUMBER(Checks!$R$131),TEXT(Checks!$R$131,"DD-MMM-YY HH:MM"),"")&amp;" "&amp;Checks!$P$131</f>
        <v>Required
10-Oct-26 23:30 KUL</v>
      </c>
      <c r="D67" s="120" t="str">
        <f aca="false">IF(TRIM(Checks!$U$131)&lt;&gt;"",Checks!$U$131&amp;IF(Checks!$AB$131="","",CHAR(10)&amp;"CA: "&amp;Checks!$AB$131),IF(LEFT(Checks!$AH$131,10)="N/A – RULE","","[ ] Pass"&amp;CHAR(10)&amp;"[ ] Pass after CA"&amp;CHAR(10)&amp;"[ ] Fail"&amp;IF(Checks!$AT$131=1,CHAR(10)&amp;"[ ] N/A","")&amp;CHAR(10)&amp;"CA: Open / Closed"))</f>
        <v>[ ] Pass
[ ] Pass after CA
[ ] Fail
CA: Open / Closed</v>
      </c>
      <c r="E67" s="120" t="str">
        <f aca="false">IF(Checks!$V$131="","",Checks!$V$131)&amp;IF(Checks!$AC$131="","",IF(Checks!$V$131="","",CHAR(10))&amp;"N/A just.: "&amp;Checks!$AC$131)&amp;IF(OR(Checks!$W$131&lt;&gt;"",AND(Checks!$AQ$131=1,NOT(LEFT(Checks!$AH$131,10)="N/A – RULE"))),CHAR(10)&amp;"Batch: "&amp;IF(Checks!$W$131="","____________",Checks!$W$131),"")&amp;IF(OR(Checks!$X$131&lt;&gt;"",Checks!$Y$131&lt;&gt;"",AND(Checks!$AR$131=1,NOT(LEFT(Checks!$AH$131,10)="N/A – RULE"))),CHAR(10)&amp;"Exp: "&amp;IF(Checks!$X$131="","______",Checks!$X$131)&amp;"  /  Act: "&amp;IF(Checks!$Y$131="","______",Checks!$Y$131),"")</f>
        <v/>
      </c>
      <c r="F67" s="120" t="str">
        <f aca="false">IF(AND(LEFT(Checks!$AH$131,10)="N/A – RULE",TRIM(Checks!$S$131&amp;Checks!$Z$131)=""),"","Type: "&amp;IF(TRIM(Checks!$S$131)="","______________ (see cover list)",Checks!$S$131)&amp;CHAR(10)&amp;"ID: "&amp;IF(TRIM(Checks!$Z$131)="","______________ (record's own no.)",Checks!$Z$131))&amp;IF(Checks!$AA$131="","",CHAR(10)&amp;"CA: "&amp;Checks!$AA$131)</f>
        <v>Type: ______________ (see cover list)
ID: ______________ (record's own no.)</v>
      </c>
      <c r="G67" s="120" t="str">
        <f aca="false">IF(AND(LEFT(Checks!$AH$131,10)="N/A – RULE",NOT(ISNUMBER(Checks!$AD$131)),Checks!$AE$131="",Checks!$T$131=""),"","Done: "&amp;IF(ISNUMBER(Checks!$AD$131),TEXT(Checks!$AD$131,"DD-MMM-YY HH:MM"),"____________")&amp;" "&amp;Checks!$P$131&amp;CHAR(10)&amp;"Verifier: "&amp;IF(Checks!$AE$131="","____________",Checks!$AE$131)&amp;CHAR(10)&amp;"PIC: "&amp;IF(Checks!$T$131="","____________",Checks!$T$131))</f>
        <v>Done: ____________ KUL
Verifier: ____________
PIC: ____________</v>
      </c>
      <c r="H67" s="121" t="str">
        <f aca="false">IF(Checks!$AH$131="","",Checks!$AH$131)</f>
        <v>OPEN</v>
      </c>
    </row>
    <row r="68" customFormat="false" ht="114" hidden="false" customHeight="true" outlineLevel="0" collapsed="false">
      <c r="A68" s="120" t="str">
        <f aca="false">Checks!$A$132&amp;CHAR(10)&amp;IF(Checks!$I$132="","",Checks!$I$132&amp;": ")&amp;Checks!$J$132</f>
        <v>F04-UPL-12
Seat Linen: Seat pillow (BS &amp; BC) - on board</v>
      </c>
      <c r="B68" s="120" t="str">
        <f aca="false">Checks!$K$132&amp;IF(Checks!$O$132="","",IF(Checks!$K$132="","",CHAR(10))&amp;"Note: "&amp;Checks!$O$132)</f>
        <v>Available 100% (ticked in reference)</v>
      </c>
      <c r="C68" s="120" t="str">
        <f aca="false">Checks!$N$132&amp;CHAR(10)&amp;IF(ISNUMBER(Checks!$R$132),TEXT(Checks!$R$132,"DD-MMM-YY HH:MM"),"")&amp;" "&amp;Checks!$P$132</f>
        <v>Required
10-Oct-26 23:30 KUL</v>
      </c>
      <c r="D68" s="120" t="str">
        <f aca="false">IF(TRIM(Checks!$U$132)&lt;&gt;"",Checks!$U$132&amp;IF(Checks!$AB$132="","",CHAR(10)&amp;"CA: "&amp;Checks!$AB$132),IF(LEFT(Checks!$AH$132,10)="N/A – RULE","","[ ] Pass"&amp;CHAR(10)&amp;"[ ] Pass after CA"&amp;CHAR(10)&amp;"[ ] Fail"&amp;IF(Checks!$AT$132=1,CHAR(10)&amp;"[ ] N/A","")&amp;CHAR(10)&amp;"CA: Open / Closed"))</f>
        <v>[ ] Pass
[ ] Pass after CA
[ ] Fail
CA: Open / Closed</v>
      </c>
      <c r="E68" s="120" t="str">
        <f aca="false">IF(Checks!$V$132="","",Checks!$V$132)&amp;IF(Checks!$AC$132="","",IF(Checks!$V$132="","",CHAR(10))&amp;"N/A just.: "&amp;Checks!$AC$132)&amp;IF(OR(Checks!$W$132&lt;&gt;"",AND(Checks!$AQ$132=1,NOT(LEFT(Checks!$AH$132,10)="N/A – RULE"))),CHAR(10)&amp;"Batch: "&amp;IF(Checks!$W$132="","____________",Checks!$W$132),"")&amp;IF(OR(Checks!$X$132&lt;&gt;"",Checks!$Y$132&lt;&gt;"",AND(Checks!$AR$132=1,NOT(LEFT(Checks!$AH$132,10)="N/A – RULE"))),CHAR(10)&amp;"Exp: "&amp;IF(Checks!$X$132="","______",Checks!$X$132)&amp;"  /  Act: "&amp;IF(Checks!$Y$132="","______",Checks!$Y$132),"")</f>
        <v/>
      </c>
      <c r="F68" s="120" t="str">
        <f aca="false">IF(AND(LEFT(Checks!$AH$132,10)="N/A – RULE",TRIM(Checks!$S$132&amp;Checks!$Z$132)=""),"","Type: "&amp;IF(TRIM(Checks!$S$132)="","______________ (see cover list)",Checks!$S$132)&amp;CHAR(10)&amp;"ID: "&amp;IF(TRIM(Checks!$Z$132)="","______________ (record's own no.)",Checks!$Z$132))&amp;IF(Checks!$AA$132="","",CHAR(10)&amp;"CA: "&amp;Checks!$AA$132)</f>
        <v>Type: ______________ (see cover list)
ID: ______________ (record's own no.)</v>
      </c>
      <c r="G68" s="120" t="str">
        <f aca="false">IF(AND(LEFT(Checks!$AH$132,10)="N/A – RULE",NOT(ISNUMBER(Checks!$AD$132)),Checks!$AE$132="",Checks!$T$132=""),"","Done: "&amp;IF(ISNUMBER(Checks!$AD$132),TEXT(Checks!$AD$132,"DD-MMM-YY HH:MM"),"____________")&amp;" "&amp;Checks!$P$132&amp;CHAR(10)&amp;"Verifier: "&amp;IF(Checks!$AE$132="","____________",Checks!$AE$132)&amp;CHAR(10)&amp;"PIC: "&amp;IF(Checks!$T$132="","____________",Checks!$T$132))</f>
        <v>Done: ____________ KUL
Verifier: ____________
PIC: ____________</v>
      </c>
      <c r="H68" s="121" t="str">
        <f aca="false">IF(Checks!$AH$132="","",Checks!$AH$132)</f>
        <v>OPEN</v>
      </c>
    </row>
    <row r="69" customFormat="false" ht="114" hidden="false" customHeight="true" outlineLevel="0" collapsed="false">
      <c r="A69" s="120" t="str">
        <f aca="false">Checks!$A$133&amp;CHAR(10)&amp;IF(Checks!$I$133="","",Checks!$I$133&amp;": ")&amp;Checks!$J$133</f>
        <v>F04-UPL-13
Seat Linen: Duvet (BS &amp; BC) - on board</v>
      </c>
      <c r="B69" s="120" t="str">
        <f aca="false">Checks!$K$133&amp;IF(Checks!$O$133="","",IF(Checks!$K$133="","",CHAR(10))&amp;"Note: "&amp;Checks!$O$133)</f>
        <v>Available 100% (ticked in reference)</v>
      </c>
      <c r="C69" s="120" t="str">
        <f aca="false">Checks!$N$133&amp;CHAR(10)&amp;IF(ISNUMBER(Checks!$R$133),TEXT(Checks!$R$133,"DD-MMM-YY HH:MM"),"")&amp;" "&amp;Checks!$P$133</f>
        <v>Required
10-Oct-26 23:30 KUL</v>
      </c>
      <c r="D69" s="120" t="str">
        <f aca="false">IF(TRIM(Checks!$U$133)&lt;&gt;"",Checks!$U$133&amp;IF(Checks!$AB$133="","",CHAR(10)&amp;"CA: "&amp;Checks!$AB$133),IF(LEFT(Checks!$AH$133,10)="N/A – RULE","","[ ] Pass"&amp;CHAR(10)&amp;"[ ] Pass after CA"&amp;CHAR(10)&amp;"[ ] Fail"&amp;IF(Checks!$AT$133=1,CHAR(10)&amp;"[ ] N/A","")&amp;CHAR(10)&amp;"CA: Open / Closed"))</f>
        <v>[ ] Pass
[ ] Pass after CA
[ ] Fail
CA: Open / Closed</v>
      </c>
      <c r="E69" s="120" t="str">
        <f aca="false">IF(Checks!$V$133="","",Checks!$V$133)&amp;IF(Checks!$AC$133="","",IF(Checks!$V$133="","",CHAR(10))&amp;"N/A just.: "&amp;Checks!$AC$133)&amp;IF(OR(Checks!$W$133&lt;&gt;"",AND(Checks!$AQ$133=1,NOT(LEFT(Checks!$AH$133,10)="N/A – RULE"))),CHAR(10)&amp;"Batch: "&amp;IF(Checks!$W$133="","____________",Checks!$W$133),"")&amp;IF(OR(Checks!$X$133&lt;&gt;"",Checks!$Y$133&lt;&gt;"",AND(Checks!$AR$133=1,NOT(LEFT(Checks!$AH$133,10)="N/A – RULE"))),CHAR(10)&amp;"Exp: "&amp;IF(Checks!$X$133="","______",Checks!$X$133)&amp;"  /  Act: "&amp;IF(Checks!$Y$133="","______",Checks!$Y$133),"")</f>
        <v/>
      </c>
      <c r="F69" s="120" t="str">
        <f aca="false">IF(AND(LEFT(Checks!$AH$133,10)="N/A – RULE",TRIM(Checks!$S$133&amp;Checks!$Z$133)=""),"","Type: "&amp;IF(TRIM(Checks!$S$133)="","______________ (see cover list)",Checks!$S$133)&amp;CHAR(10)&amp;"ID: "&amp;IF(TRIM(Checks!$Z$133)="","______________ (record's own no.)",Checks!$Z$133))&amp;IF(Checks!$AA$133="","",CHAR(10)&amp;"CA: "&amp;Checks!$AA$133)</f>
        <v>Type: ______________ (see cover list)
ID: ______________ (record's own no.)</v>
      </c>
      <c r="G69" s="120" t="str">
        <f aca="false">IF(AND(LEFT(Checks!$AH$133,10)="N/A – RULE",NOT(ISNUMBER(Checks!$AD$133)),Checks!$AE$133="",Checks!$T$133=""),"","Done: "&amp;IF(ISNUMBER(Checks!$AD$133),TEXT(Checks!$AD$133,"DD-MMM-YY HH:MM"),"____________")&amp;" "&amp;Checks!$P$133&amp;CHAR(10)&amp;"Verifier: "&amp;IF(Checks!$AE$133="","____________",Checks!$AE$133)&amp;CHAR(10)&amp;"PIC: "&amp;IF(Checks!$T$133="","____________",Checks!$T$133))</f>
        <v>Done: ____________ KUL
Verifier: ____________
PIC: ____________</v>
      </c>
      <c r="H69" s="121" t="str">
        <f aca="false">IF(Checks!$AH$133="","",Checks!$AH$133)</f>
        <v>OPEN</v>
      </c>
    </row>
    <row r="70" customFormat="false" ht="114" hidden="false" customHeight="true" outlineLevel="0" collapsed="false">
      <c r="A70" s="120" t="str">
        <f aca="false">Checks!$A$134&amp;CHAR(10)&amp;IF(Checks!$I$134="","",Checks!$I$134&amp;": ")&amp;Checks!$J$134</f>
        <v>F04-UPL-14
Seat Linen: Mattress (BS &amp; BC) - on board</v>
      </c>
      <c r="B70" s="120" t="str">
        <f aca="false">Checks!$K$134&amp;IF(Checks!$O$134="","",IF(Checks!$K$134="","",CHAR(10))&amp;"Note: "&amp;Checks!$O$134)</f>
        <v>Available 100% (ticked in reference)</v>
      </c>
      <c r="C70" s="120" t="str">
        <f aca="false">Checks!$N$134&amp;CHAR(10)&amp;IF(ISNUMBER(Checks!$R$134),TEXT(Checks!$R$134,"DD-MMM-YY HH:MM"),"")&amp;" "&amp;Checks!$P$134</f>
        <v>Required
10-Oct-26 23:30 KUL</v>
      </c>
      <c r="D70" s="120" t="str">
        <f aca="false">IF(TRIM(Checks!$U$134)&lt;&gt;"",Checks!$U$134&amp;IF(Checks!$AB$134="","",CHAR(10)&amp;"CA: "&amp;Checks!$AB$134),IF(LEFT(Checks!$AH$134,10)="N/A – RULE","","[ ] Pass"&amp;CHAR(10)&amp;"[ ] Pass after CA"&amp;CHAR(10)&amp;"[ ] Fail"&amp;IF(Checks!$AT$134=1,CHAR(10)&amp;"[ ] N/A","")&amp;CHAR(10)&amp;"CA: Open / Closed"))</f>
        <v>[ ] Pass
[ ] Pass after CA
[ ] Fail
CA: Open / Closed</v>
      </c>
      <c r="E70" s="120" t="str">
        <f aca="false">IF(Checks!$V$134="","",Checks!$V$134)&amp;IF(Checks!$AC$134="","",IF(Checks!$V$134="","",CHAR(10))&amp;"N/A just.: "&amp;Checks!$AC$134)&amp;IF(OR(Checks!$W$134&lt;&gt;"",AND(Checks!$AQ$134=1,NOT(LEFT(Checks!$AH$134,10)="N/A – RULE"))),CHAR(10)&amp;"Batch: "&amp;IF(Checks!$W$134="","____________",Checks!$W$134),"")&amp;IF(OR(Checks!$X$134&lt;&gt;"",Checks!$Y$134&lt;&gt;"",AND(Checks!$AR$134=1,NOT(LEFT(Checks!$AH$134,10)="N/A – RULE"))),CHAR(10)&amp;"Exp: "&amp;IF(Checks!$X$134="","______",Checks!$X$134)&amp;"  /  Act: "&amp;IF(Checks!$Y$134="","______",Checks!$Y$134),"")</f>
        <v/>
      </c>
      <c r="F70" s="120" t="str">
        <f aca="false">IF(AND(LEFT(Checks!$AH$134,10)="N/A – RULE",TRIM(Checks!$S$134&amp;Checks!$Z$134)=""),"","Type: "&amp;IF(TRIM(Checks!$S$134)="","______________ (see cover list)",Checks!$S$134)&amp;CHAR(10)&amp;"ID: "&amp;IF(TRIM(Checks!$Z$134)="","______________ (record's own no.)",Checks!$Z$134))&amp;IF(Checks!$AA$134="","",CHAR(10)&amp;"CA: "&amp;Checks!$AA$134)</f>
        <v>Type: ______________ (see cover list)
ID: ______________ (record's own no.)</v>
      </c>
      <c r="G70" s="120" t="str">
        <f aca="false">IF(AND(LEFT(Checks!$AH$134,10)="N/A – RULE",NOT(ISNUMBER(Checks!$AD$134)),Checks!$AE$134="",Checks!$T$134=""),"","Done: "&amp;IF(ISNUMBER(Checks!$AD$134),TEXT(Checks!$AD$134,"DD-MMM-YY HH:MM"),"____________")&amp;" "&amp;Checks!$P$134&amp;CHAR(10)&amp;"Verifier: "&amp;IF(Checks!$AE$134="","____________",Checks!$AE$134)&amp;CHAR(10)&amp;"PIC: "&amp;IF(Checks!$T$134="","____________",Checks!$T$134))</f>
        <v>Done: ____________ KUL
Verifier: ____________
PIC: ____________</v>
      </c>
      <c r="H70" s="121" t="str">
        <f aca="false">IF(Checks!$AH$134="","",Checks!$AH$134)</f>
        <v>OPEN</v>
      </c>
    </row>
    <row r="71" customFormat="false" ht="114" hidden="false" customHeight="true" outlineLevel="0" collapsed="false">
      <c r="A71" s="120" t="str">
        <f aca="false">Checks!$A$135&amp;CHAR(10)&amp;IF(Checks!$I$135="","",Checks!$I$135&amp;": ")&amp;Checks!$J$135</f>
        <v>F04-UPL-15
Signature Drinks: Signature drink &amp; garnish (BC) - on board</v>
      </c>
      <c r="B71" s="120" t="str">
        <f aca="false">SUBSTITUTE(Checks!$K$135&amp;IF(Checks!$O$135="","",IF(Checks!$K$135="","",CHAR(10))&amp;"Note: "&amp;Checks!$O$135)," (note D79)","")</f>
        <v>Available (ticked in reference)
Note: Signature drinks &amp; garnish uplifted from KUL.</v>
      </c>
      <c r="C71" s="120" t="str">
        <f aca="false">Checks!$N$135&amp;CHAR(10)&amp;IF(ISNUMBER(Checks!$R$135),TEXT(Checks!$R$135,"DD-MMM-YY HH:MM"),"")&amp;" "&amp;Checks!$P$135</f>
        <v>Required
10-Oct-26 23:30 KUL</v>
      </c>
      <c r="D71" s="120" t="str">
        <f aca="false">IF(TRIM(Checks!$U$135)&lt;&gt;"",Checks!$U$135&amp;IF(Checks!$AB$135="","",CHAR(10)&amp;"CA: "&amp;Checks!$AB$135),IF(LEFT(Checks!$AH$135,10)="N/A – RULE","","[ ] Pass"&amp;CHAR(10)&amp;"[ ] Pass after CA"&amp;CHAR(10)&amp;"[ ] Fail"&amp;IF(Checks!$AT$135=1,CHAR(10)&amp;"[ ] N/A","")&amp;CHAR(10)&amp;"CA: Open / Closed"))</f>
        <v>[ ] Pass
[ ] Pass after CA
[ ] Fail
CA: Open / Closed</v>
      </c>
      <c r="E71" s="120" t="str">
        <f aca="false">IF(Checks!$V$135="","",Checks!$V$135)&amp;IF(Checks!$AC$135="","",IF(Checks!$V$135="","",CHAR(10))&amp;"N/A just.: "&amp;Checks!$AC$135)&amp;IF(OR(Checks!$W$135&lt;&gt;"",AND(Checks!$AQ$135=1,NOT(LEFT(Checks!$AH$135,10)="N/A – RULE"))),CHAR(10)&amp;"Batch: "&amp;IF(Checks!$W$135="","____________",Checks!$W$135),"")&amp;IF(OR(Checks!$X$135&lt;&gt;"",Checks!$Y$135&lt;&gt;"",AND(Checks!$AR$135=1,NOT(LEFT(Checks!$AH$135,10)="N/A – RULE"))),CHAR(10)&amp;"Exp: "&amp;IF(Checks!$X$135="","______",Checks!$X$135)&amp;"  /  Act: "&amp;IF(Checks!$Y$135="","______",Checks!$Y$135),"")</f>
        <v/>
      </c>
      <c r="F71" s="120" t="str">
        <f aca="false">IF(AND(LEFT(Checks!$AH$135,10)="N/A – RULE",TRIM(Checks!$S$135&amp;Checks!$Z$135)=""),"","Type: "&amp;IF(TRIM(Checks!$S$135)="","______________ (see cover list)",Checks!$S$135)&amp;CHAR(10)&amp;"ID: "&amp;IF(TRIM(Checks!$Z$135)="","______________ (record's own no.)",Checks!$Z$135))&amp;IF(Checks!$AA$135="","",CHAR(10)&amp;"CA: "&amp;Checks!$AA$135)</f>
        <v>Type: ______________ (see cover list)
ID: ______________ (record's own no.)</v>
      </c>
      <c r="G71" s="120" t="str">
        <f aca="false">IF(AND(LEFT(Checks!$AH$135,10)="N/A – RULE",NOT(ISNUMBER(Checks!$AD$135)),Checks!$AE$135="",Checks!$T$135=""),"","Done: "&amp;IF(ISNUMBER(Checks!$AD$135),TEXT(Checks!$AD$135,"DD-MMM-YY HH:MM"),"____________")&amp;" "&amp;Checks!$P$135&amp;CHAR(10)&amp;"Verifier: "&amp;IF(Checks!$AE$135="","____________",Checks!$AE$135)&amp;CHAR(10)&amp;"PIC: "&amp;IF(Checks!$T$135="","____________",Checks!$T$135))</f>
        <v>Done: ____________ KUL
Verifier: ____________
PIC: ____________</v>
      </c>
      <c r="H71" s="121" t="str">
        <f aca="false">IF(Checks!$AH$135="","",Checks!$AH$135)</f>
        <v>OPEN</v>
      </c>
    </row>
    <row r="72" customFormat="false" ht="114" hidden="false" customHeight="true" outlineLevel="0" collapsed="false">
      <c r="A72" s="120" t="str">
        <f aca="false">Checks!$A$136&amp;CHAR(10)&amp;IF(Checks!$I$136="","",Checks!$I$136&amp;": ")&amp;Checks!$J$136</f>
        <v>F04-UPL-16
Sales Cart: Sales cart (caterer PASB) - on board</v>
      </c>
      <c r="B72" s="120" t="str">
        <f aca="false">Checks!$K$136&amp;IF(Checks!$O$136="","",IF(Checks!$K$136="","",CHAR(10))&amp;"Note: "&amp;Checks!$O$136)</f>
        <v>A359: 5R41A &amp; 5R42A (not applicable for LHR) (full cart); 9M-MAH: G4F13A (half cart) - per tail
Note: Block 7.17 h &gt;= 4 h. Location depends on tail.</v>
      </c>
      <c r="C72" s="120" t="str">
        <f aca="false">Checks!$N$136&amp;CHAR(10)&amp;IF(ISNUMBER(Checks!$R$136),TEXT(Checks!$R$136,"DD-MMM-YY HH:MM"),"")&amp;" "&amp;Checks!$P$136</f>
        <v>Required
10-Oct-26 23:30 KUL</v>
      </c>
      <c r="D72" s="120" t="str">
        <f aca="false">IF(TRIM(Checks!$U$136)&lt;&gt;"",Checks!$U$136&amp;IF(Checks!$AB$136="","",CHAR(10)&amp;"CA: "&amp;Checks!$AB$136),IF(LEFT(Checks!$AH$136,10)="N/A – RULE","","[ ] Pass"&amp;CHAR(10)&amp;"[ ] Pass after CA"&amp;CHAR(10)&amp;"[ ] Fail"&amp;IF(Checks!$AT$136=1,CHAR(10)&amp;"[ ] N/A","")&amp;CHAR(10)&amp;"CA: Open / Closed"))</f>
        <v>[ ] Pass
[ ] Pass after CA
[ ] Fail
CA: Open / Closed</v>
      </c>
      <c r="E72" s="120" t="str">
        <f aca="false">IF(Checks!$V$136="","",Checks!$V$136)&amp;IF(Checks!$AC$136="","",IF(Checks!$V$136="","",CHAR(10))&amp;"N/A just.: "&amp;Checks!$AC$136)&amp;IF(OR(Checks!$W$136&lt;&gt;"",AND(Checks!$AQ$136=1,NOT(LEFT(Checks!$AH$136,10)="N/A – RULE"))),CHAR(10)&amp;"Batch: "&amp;IF(Checks!$W$136="","____________",Checks!$W$136),"")&amp;IF(OR(Checks!$X$136&lt;&gt;"",Checks!$Y$136&lt;&gt;"",AND(Checks!$AR$136=1,NOT(LEFT(Checks!$AH$136,10)="N/A – RULE"))),CHAR(10)&amp;"Exp: "&amp;IF(Checks!$X$136="","______",Checks!$X$136)&amp;"  /  Act: "&amp;IF(Checks!$Y$136="","______",Checks!$Y$136),"")</f>
        <v/>
      </c>
      <c r="F72" s="120" t="str">
        <f aca="false">IF(AND(LEFT(Checks!$AH$136,10)="N/A – RULE",TRIM(Checks!$S$136&amp;Checks!$Z$136)=""),"","Type: "&amp;IF(TRIM(Checks!$S$136)="","______________ (see cover list)",Checks!$S$136)&amp;CHAR(10)&amp;"ID: "&amp;IF(TRIM(Checks!$Z$136)="","______________ (record's own no.)",Checks!$Z$136))&amp;IF(Checks!$AA$136="","",CHAR(10)&amp;"CA: "&amp;Checks!$AA$136)</f>
        <v>Type: ______________ (see cover list)
ID: ______________ (record's own no.)</v>
      </c>
      <c r="G72" s="120" t="str">
        <f aca="false">IF(AND(LEFT(Checks!$AH$136,10)="N/A – RULE",NOT(ISNUMBER(Checks!$AD$136)),Checks!$AE$136="",Checks!$T$136=""),"","Done: "&amp;IF(ISNUMBER(Checks!$AD$136),TEXT(Checks!$AD$136,"DD-MMM-YY HH:MM"),"____________")&amp;" "&amp;Checks!$P$136&amp;CHAR(10)&amp;"Verifier: "&amp;IF(Checks!$AE$136="","____________",Checks!$AE$136)&amp;CHAR(10)&amp;"PIC: "&amp;IF(Checks!$T$136="","____________",Checks!$T$136))</f>
        <v>Done: ____________ KUL
Verifier: ____________
PIC: ____________</v>
      </c>
      <c r="H72" s="121" t="str">
        <f aca="false">IF(Checks!$AH$136="","",Checks!$AH$136)</f>
        <v>OPEN</v>
      </c>
    </row>
    <row r="74" customFormat="false" ht="24" hidden="false" customHeight="true" outlineLevel="0" collapsed="false">
      <c r="A74" s="122" t="s">
        <v>4832</v>
      </c>
      <c r="B74" s="122"/>
      <c r="C74" s="122"/>
      <c r="D74" s="122"/>
      <c r="E74" s="122" t="s">
        <v>4833</v>
      </c>
      <c r="F74" s="122"/>
      <c r="G74" s="122"/>
      <c r="H74" s="122"/>
    </row>
    <row r="75" customFormat="false" ht="21.75" hidden="false" customHeight="true" outlineLevel="0" collapsed="false">
      <c r="A75" s="123"/>
      <c r="B75" s="123"/>
      <c r="C75" s="123"/>
      <c r="D75" s="123"/>
      <c r="E75" s="123"/>
      <c r="F75" s="123"/>
      <c r="G75" s="123"/>
      <c r="H75" s="123"/>
    </row>
    <row r="76" customFormat="false" ht="21.75" hidden="false" customHeight="true" outlineLevel="0" collapsed="false">
      <c r="A76" s="123"/>
      <c r="B76" s="123"/>
      <c r="C76" s="123"/>
      <c r="D76" s="123"/>
      <c r="E76" s="123"/>
      <c r="F76" s="123"/>
      <c r="G76" s="123"/>
      <c r="H76" s="123"/>
    </row>
    <row r="77" customFormat="false" ht="21.75" hidden="false" customHeight="true" outlineLevel="0" collapsed="false">
      <c r="A77" s="123"/>
      <c r="B77" s="123"/>
      <c r="C77" s="123"/>
      <c r="D77" s="123"/>
      <c r="E77" s="123"/>
      <c r="F77" s="123"/>
      <c r="G77" s="123"/>
      <c r="H77" s="123"/>
    </row>
    <row r="78" customFormat="false" ht="21.75" hidden="false" customHeight="true" outlineLevel="0" collapsed="false">
      <c r="A78" s="123"/>
      <c r="B78" s="123"/>
      <c r="C78" s="123"/>
      <c r="D78" s="123"/>
      <c r="E78" s="123"/>
      <c r="F78" s="123"/>
      <c r="G78" s="123"/>
      <c r="H78" s="123"/>
    </row>
    <row r="79" customFormat="false" ht="21.75" hidden="false" customHeight="true" outlineLevel="0" collapsed="false">
      <c r="A79" s="123"/>
      <c r="B79" s="123"/>
      <c r="C79" s="123"/>
      <c r="D79" s="123"/>
      <c r="E79" s="123"/>
      <c r="F79" s="123"/>
      <c r="G79" s="123"/>
      <c r="H79" s="123"/>
    </row>
    <row r="80" customFormat="false" ht="21.75" hidden="false" customHeight="true" outlineLevel="0" collapsed="false">
      <c r="A80" s="123"/>
      <c r="B80" s="123"/>
      <c r="C80" s="123"/>
      <c r="D80" s="123"/>
      <c r="E80" s="123"/>
      <c r="F80" s="123"/>
      <c r="G80" s="123"/>
      <c r="H80" s="123"/>
    </row>
    <row r="81" customFormat="false" ht="21.75" hidden="false" customHeight="true" outlineLevel="0" collapsed="false">
      <c r="A81" s="123"/>
      <c r="B81" s="123"/>
      <c r="C81" s="123"/>
      <c r="D81" s="123"/>
      <c r="E81" s="123"/>
      <c r="F81" s="123"/>
      <c r="G81" s="123"/>
      <c r="H81" s="123"/>
    </row>
    <row r="82" customFormat="false" ht="21.75" hidden="false" customHeight="true" outlineLevel="0" collapsed="false">
      <c r="A82" s="123"/>
      <c r="B82" s="123"/>
      <c r="C82" s="123"/>
      <c r="D82" s="123"/>
      <c r="E82" s="123"/>
      <c r="F82" s="123"/>
      <c r="G82" s="123"/>
      <c r="H82" s="123"/>
    </row>
    <row r="83" customFormat="false" ht="21.75" hidden="false" customHeight="true" outlineLevel="0" collapsed="false">
      <c r="A83" s="123"/>
      <c r="B83" s="123"/>
      <c r="C83" s="123"/>
      <c r="D83" s="123"/>
      <c r="E83" s="123"/>
      <c r="F83" s="123"/>
      <c r="G83" s="123"/>
      <c r="H83" s="123"/>
    </row>
    <row r="84" customFormat="false" ht="21.75" hidden="false" customHeight="true" outlineLevel="0" collapsed="false">
      <c r="A84" s="123"/>
      <c r="B84" s="123"/>
      <c r="C84" s="123"/>
      <c r="D84" s="123"/>
      <c r="E84" s="123"/>
      <c r="F84" s="123"/>
      <c r="G84" s="123"/>
      <c r="H84"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56:H56"/>
    <mergeCell ref="A74:D74"/>
    <mergeCell ref="E74:H74"/>
    <mergeCell ref="A75:D84"/>
    <mergeCell ref="E75:H84"/>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72">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72">
    <cfRule type="expression" priority="18" aboveAverage="0" equalAverage="0" bottom="0" percent="0" rank="0" text="" dxfId="35">
      <formula>LEFT($H23,3)="N/A"</formula>
    </cfRule>
  </conditionalFormatting>
  <conditionalFormatting sqref="D23:D72">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F04 MH0088 10-Oct-26 KUL-NRT Class BC</oddHeader>
    <oddFooter>&amp;L&amp;"Arial,Bold"&amp;8 F04 MH0088 10-Oct-26 KUL-NRT Class BC&amp;C&amp;"Arial,Regular"&amp;8 Printed: ____________________&amp;R&amp;"Arial,Regular"&amp;8 F04  Page &amp;P of &amp;N</oddFooter>
  </headerFooter>
  <rowBreaks count="13" manualBreakCount="13">
    <brk id="20" man="true" max="16383" min="0"/>
    <brk id="26" man="true" max="16383" min="0"/>
    <brk id="30" man="true" max="16383" min="0"/>
    <brk id="35" man="true" max="16383" min="0"/>
    <brk id="39" man="true" max="16383" min="0"/>
    <brk id="41" man="true" max="16383" min="0"/>
    <brk id="45" man="true" max="16383" min="0"/>
    <brk id="49" man="true" max="16383" min="0"/>
    <brk id="53" man="true" max="16383" min="0"/>
    <brk id="57" man="true" max="16383" min="0"/>
    <brk id="61" man="true" max="16383" min="0"/>
    <brk id="65" man="true" max="16383" min="0"/>
    <brk id="69" man="true" max="16383" min="0"/>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F05  "&amp;Flights!$F$9&amp;"  "&amp;TEXT(Flights!$D$9,"DD-MMM-YY")&amp;" ("&amp;Flights!$E$9&amp;")  "&amp;Flights!$G$9&amp;" → "&amp;Flights!$H$9&amp;"  |  Class "&amp;Flights!$K$9</f>
        <v>SKYTRAX 2026 CATERING READINESS CHECKLIST  |  F05  MH0089  15-Oct-26 (THU)  NRT → KUL  |  Class EY</v>
      </c>
      <c r="B1" s="93"/>
      <c r="C1" s="93"/>
      <c r="D1" s="93"/>
      <c r="E1" s="93"/>
      <c r="F1" s="93"/>
      <c r="G1" s="93"/>
      <c r="H1" s="93"/>
    </row>
    <row r="2" customFormat="false" ht="12.75" hidden="false" customHeight="true" outlineLevel="0" collapsed="false">
      <c r="A2" s="94" t="s">
        <v>4788</v>
      </c>
      <c r="B2" s="95" t="str">
        <f aca="false">Flights!$F$9&amp;"   "&amp;TEXT(Flights!$D$9,"DD-MMM-YY")&amp;" ("&amp;Flights!$E$9&amp;")"</f>
        <v>MH0089   15-Oct-26 (THU)</v>
      </c>
      <c r="C2" s="95"/>
      <c r="D2" s="95"/>
      <c r="E2" s="96" t="s">
        <v>4789</v>
      </c>
      <c r="F2" s="97" t="str">
        <f aca="false">Flights!$AT$9</f>
        <v>NOT READY – DOCUMENTS</v>
      </c>
      <c r="G2" s="97"/>
      <c r="H2" s="97"/>
    </row>
    <row r="3" customFormat="false" ht="24" hidden="false" customHeight="true" outlineLevel="0" collapsed="false">
      <c r="A3" s="94" t="s">
        <v>4790</v>
      </c>
      <c r="B3" s="95" t="str">
        <f aca="false">Flights!$G$9&amp;" → "&amp;Flights!$H$9&amp;"   Class "&amp;Flights!$K$9&amp;"   Seat "&amp;Flights!$O$9</f>
        <v>NRT → KUL   Class EY   Seat 9K</v>
      </c>
      <c r="C3" s="95"/>
      <c r="D3" s="95"/>
      <c r="E3" s="96" t="s">
        <v>73</v>
      </c>
      <c r="F3" s="96" t="s">
        <v>4791</v>
      </c>
      <c r="G3" s="96" t="s">
        <v>4792</v>
      </c>
      <c r="H3" s="96"/>
    </row>
    <row r="4" customFormat="false" ht="24" hidden="false" customHeight="true" outlineLevel="0" collapsed="false">
      <c r="A4" s="94" t="s">
        <v>4793</v>
      </c>
      <c r="B4" s="95" t="str">
        <f aca="false">IF(ISNUMBER(Flights!$I$9),TEXT(Flights!$I$9,"DD-MMM-YY HH:MM"),"")&amp;" "&amp;Flights!$G$9&amp;"  →  "&amp;IF(ISNUMBER(Flights!$J$9),TEXT(Flights!$J$9,"DD-MMM-YY HH:MM"),"")&amp;" "&amp;Flights!$H$9</f>
        <v>15-Oct-26 10:05 NRT  →  15-Oct-26 16:45 KUL</v>
      </c>
      <c r="C4" s="95"/>
      <c r="D4" s="95"/>
      <c r="E4" s="94" t="s">
        <v>4794</v>
      </c>
      <c r="F4" s="98" t="str">
        <f aca="false">IF(ISNUMBER(Flights!$AG$9),TEXT(Flights!$AG$9,"DD-MMM-YY HH:MM"),"")&amp;" "&amp;Flights!$V$9</f>
        <v>08-Oct-26 10:05 NRT</v>
      </c>
      <c r="G4" s="99" t="n">
        <f aca="false">Flights!$AJ$9</f>
        <v>0</v>
      </c>
      <c r="H4" s="99"/>
    </row>
    <row r="5" customFormat="false" ht="24" hidden="false" customHeight="true" outlineLevel="0" collapsed="false">
      <c r="A5" s="94" t="s">
        <v>4795</v>
      </c>
      <c r="B5" s="95" t="str">
        <f aca="false">Flights!$L$9&amp;" – "&amp;Flights!$M$9</f>
        <v>A350 – A350-900: A359 (9M-MAB..MAG) or A350 (9M-MAH) - tail to confirm</v>
      </c>
      <c r="C5" s="95"/>
      <c r="D5" s="95"/>
      <c r="E5" s="94" t="s">
        <v>4796</v>
      </c>
      <c r="F5" s="98" t="str">
        <f aca="false">IF(ISNUMBER(Flights!$AH$9),TEXT(Flights!$AH$9,"DD-MMM-YY HH:MM"),"")&amp;" "&amp;Flights!$V$9</f>
        <v>14-Oct-26 10:05 NRT</v>
      </c>
      <c r="G5" s="99" t="n">
        <f aca="false">Flights!$AK$9</f>
        <v>0</v>
      </c>
      <c r="H5" s="99"/>
    </row>
    <row r="6" customFormat="false" ht="24" hidden="false" customHeight="true" outlineLevel="0" collapsed="false">
      <c r="A6" s="94" t="s">
        <v>4797</v>
      </c>
      <c r="B6" s="95" t="str">
        <f aca="false">IF(TRIM(Flights!$N$9)="","__________________",Flights!$N$9)</f>
        <v>__________________</v>
      </c>
      <c r="C6" s="95"/>
      <c r="D6" s="95"/>
      <c r="E6" s="94" t="s">
        <v>4798</v>
      </c>
      <c r="F6" s="98" t="str">
        <f aca="false">IF(ISNUMBER(Flights!$AI$9),TEXT(Flights!$AI$9,"DD-MMM-YY HH:MM"),"")&amp;" "&amp;Flights!$V$9&amp;IF(Flights!$AI$9=Flights!$AH$9,"  (= T-24H due)","")</f>
        <v>14-Oct-26 22:05 NRT</v>
      </c>
      <c r="G6" s="99" t="n">
        <f aca="false">Flights!$AL$9</f>
        <v>0</v>
      </c>
      <c r="H6" s="99"/>
    </row>
    <row r="7" customFormat="false" ht="24" hidden="false" customHeight="true" outlineLevel="0" collapsed="false">
      <c r="A7" s="94" t="s">
        <v>4799</v>
      </c>
      <c r="B7" s="95" t="str">
        <f aca="false">Flights!$T$9</f>
        <v>1.5 Meal (Meal)</v>
      </c>
      <c r="C7" s="95"/>
      <c r="D7" s="95"/>
      <c r="E7" s="94" t="s">
        <v>4800</v>
      </c>
      <c r="F7" s="98" t="str">
        <f aca="false">"STD "&amp;IF(ISNUMBER(Flights!$I$9),TEXT(Flights!$I$9,"DD-MMM-YY HH:MM"),"")&amp;" "&amp;Flights!$G$9&amp;" (dep stn)"</f>
        <v>STD 15-Oct-26 10:05 NRT (dep stn)</v>
      </c>
      <c r="G7" s="99" t="n">
        <f aca="false">Flights!$AM$9</f>
        <v>0</v>
      </c>
      <c r="H7" s="99"/>
    </row>
    <row r="8" customFormat="false" ht="12.75" hidden="false" customHeight="true" outlineLevel="0" collapsed="false">
      <c r="A8" s="94" t="s">
        <v>155</v>
      </c>
      <c r="B8" s="95" t="str">
        <f aca="false">Flights!$V$9&amp;"   (reference uplift stns: "&amp;Flights!$U$9&amp;")"</f>
        <v>NRT   (reference uplift stns: KUL/NRT)</v>
      </c>
      <c r="C8" s="95"/>
      <c r="D8" s="95"/>
      <c r="E8" s="94" t="s">
        <v>4801</v>
      </c>
      <c r="F8" s="100" t="s">
        <v>4802</v>
      </c>
      <c r="G8" s="99" t="n">
        <f aca="false">Flights!$AN$9</f>
        <v>0</v>
      </c>
      <c r="H8" s="99"/>
    </row>
    <row r="9" customFormat="false" ht="12.75" hidden="false" customHeight="true" outlineLevel="0" collapsed="false">
      <c r="A9" s="94" t="s">
        <v>4803</v>
      </c>
      <c r="B9" s="95" t="str">
        <f aca="false">TRIM(Flights!$P$9&amp;"  "&amp;Flights!$Q$9)</f>
        <v>-</v>
      </c>
      <c r="C9" s="95"/>
      <c r="D9" s="95"/>
      <c r="E9" s="94" t="s">
        <v>4804</v>
      </c>
      <c r="F9" s="101" t="n">
        <f aca="false">Flights!$AP$9</f>
        <v>0</v>
      </c>
      <c r="G9" s="102" t="n">
        <f aca="false">Flights!$AQ$9</f>
        <v>0</v>
      </c>
      <c r="H9" s="103" t="n">
        <f aca="false">Flights!$AU$9</f>
        <v>0</v>
      </c>
    </row>
    <row r="10" customFormat="false" ht="24" hidden="false" customHeight="true" outlineLevel="0" collapsed="false">
      <c r="A10" s="94" t="s">
        <v>4805</v>
      </c>
      <c r="B10" s="95" t="str">
        <f aca="false">IF(TRIM(Flights!$X$9)="","__________________",Flights!$X$9)</f>
        <v>__________________</v>
      </c>
      <c r="C10" s="95"/>
      <c r="D10" s="95"/>
      <c r="E10" s="94" t="s">
        <v>4806</v>
      </c>
      <c r="F10" s="104" t="n">
        <f aca="false">Flights!$AO$9</f>
        <v>28</v>
      </c>
      <c r="G10" s="105" t="n">
        <f aca="false">Flights!$AS$9</f>
        <v>4</v>
      </c>
      <c r="H10" s="106" t="n">
        <f aca="false">Flights!$AR$9</f>
        <v>2</v>
      </c>
    </row>
    <row r="11" customFormat="false" ht="21" hidden="false" customHeight="true" outlineLevel="0" collapsed="false">
      <c r="A11" s="94" t="s">
        <v>4807</v>
      </c>
      <c r="B11" s="95" t="str">
        <f aca="false">IF(TRIM(Flights!$Y$9)="","__________________",Flights!$Y$9)</f>
        <v>__________________</v>
      </c>
      <c r="C11" s="95"/>
      <c r="D11" s="95"/>
      <c r="E11" s="94" t="s">
        <v>4808</v>
      </c>
      <c r="F11" s="97" t="str">
        <f aca="false">Flights!$AV$9&amp;" / "&amp;Flights!$AW$9</f>
        <v>0 / 28</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56.25" hidden="false" customHeight="true" outlineLevel="0" collapsed="false">
      <c r="A14" s="124" t="str">
        <f aca="false">"KUL-SOURCED ITEMS: some items are uplifted at KUL on the inbound carrying flight; their preparation is capped at the KUL loading window. Each row shows its own due."&amp;CHAR(10)&amp;"KUL loading window opens: "&amp;IF(ISNUMBER(Flights!$AY$9),TEXT(Flights!$AY$9+IFERROR(INDEX(Settings!$C$13:$C$22,MATCH("KUL",Settings!$A$13:$A$22,0)),8)/24,"DD-MMM-YY HH:MM")&amp;" KUL","(not set)")&amp;"   |   Carrying flight leaves KUL: "&amp;IF(ISNUMBER(Flights!$AY$9),TEXT(Flights!$AY$9+UpliftWindowH/24+IFERROR(INDEX(Settings!$C$13:$C$22,MATCH("KUL",Settings!$A$13:$A$22,0)),8)/24,"DD-MMM-YY HH:MM")&amp;" KUL","(not set)")&amp;IF(ISNUMBER(Flights!$AX$9),"",IF(TRIM(Flights!$W$9)&lt;&gt;""," (agenda candidate – actual not yet entered)"," (latest possible – actual not yet entered)"))&amp;IF(ISNUMBER(Flights!$AX$9),"",CHAR(10)&amp;"CARRYING FLIGHT NOT YET ENTERED (Flights sheet): its timing is assumed, so on-board (UPLIFT) checks before the assumed arrival show INVALID – before uplift window.")</f>
        <v>KUL-SOURCED ITEMS: some items are uplifted at KUL on the inbound carrying flight; their preparation is capped at the KUL loading window. Each row shows its own due.
KUL loading window opens: 14-Oct-26 19:55 KUL   |   Carrying flight leaves KUL: 15-Oct-26 01:55 KUL (latest possible – actual not yet entered)
CARRYING FLIGHT NOT YET ENTERED (Flights sheet): its timing is assumed, so on-board (UPLIFT) checks before the assumed arrival show INVALID – before uplift window.</v>
      </c>
      <c r="B14" s="124"/>
      <c r="C14" s="124"/>
      <c r="D14" s="124"/>
      <c r="E14" s="124"/>
      <c r="F14" s="124"/>
      <c r="G14" s="124"/>
      <c r="H14" s="124"/>
    </row>
    <row r="15" customFormat="false" ht="13.5" hidden="false" customHeight="true" outlineLevel="0" collapsed="false">
      <c r="A15" s="96" t="s">
        <v>4813</v>
      </c>
      <c r="B15" s="96" t="s">
        <v>4814</v>
      </c>
      <c r="C15" s="96" t="s">
        <v>4815</v>
      </c>
      <c r="D15" s="96"/>
      <c r="E15" s="96" t="s">
        <v>4816</v>
      </c>
      <c r="F15" s="96" t="s">
        <v>4817</v>
      </c>
      <c r="G15" s="96"/>
      <c r="H15" s="96"/>
    </row>
    <row r="16" customFormat="false" ht="36" hidden="false" customHeight="true" outlineLevel="0" collapsed="false">
      <c r="A16" s="94" t="s">
        <v>4818</v>
      </c>
      <c r="B16" s="95" t="str">
        <f aca="false">IF(Documents!$F$9="","",Documents!$F$9)</f>
        <v/>
      </c>
      <c r="C16" s="100" t="str">
        <f aca="false">IF(Documents!$G$9="","",Documents!$G$9)&amp;IF(ISNUMBER(Documents!$H$9),"  "&amp;TEXT(Documents!$H$9,"DD-MMM-YY"),"")</f>
        <v/>
      </c>
      <c r="D16" s="100"/>
      <c r="E16" s="114" t="str">
        <f aca="false">IF(Documents!$J$9="OUTSTANDING","OUTSTANDING – attach before T-7D (due "&amp;IF(ISNUMBER(Flights!$AG$9),TEXT(Flights!$AG$9,"DD-MMM-YY HH:MM"),"")&amp;" "&amp;Flights!$V$9&amp;")",IF(Documents!$J$9="","Status not recorded",Documents!$J$9))</f>
        <v>OUTSTANDING – attach before T-7D (due 08-Oct-26 10:05 NRT)</v>
      </c>
      <c r="F16" s="115" t="str">
        <f aca="false">"Staple behind this sheet as page A1."&amp;IF(Documents!$I$9="",""," Location: "&amp;Documents!$I$9)</f>
        <v>Staple behind this sheet as page A1.</v>
      </c>
      <c r="G16" s="115"/>
      <c r="H16" s="115"/>
    </row>
    <row r="17" customFormat="false" ht="36" hidden="false" customHeight="true" outlineLevel="0" collapsed="false">
      <c r="A17" s="94" t="s">
        <v>4819</v>
      </c>
      <c r="B17" s="95" t="str">
        <f aca="false">IF(Documents!$K$9="","",Documents!$K$9)</f>
        <v/>
      </c>
      <c r="C17" s="100" t="str">
        <f aca="false">IF(Documents!$L$9="","",Documents!$L$9)&amp;IF(ISNUMBER(Documents!$M$9),"  "&amp;TEXT(Documents!$M$9,"DD-MMM-YY"),"")</f>
        <v/>
      </c>
      <c r="D17" s="100"/>
      <c r="E17" s="114" t="str">
        <f aca="false">IF(Documents!$O$9="OUTSTANDING","OUTSTANDING – attach before T-7D (due "&amp;IF(ISNUMBER(Flights!$AG$9),TEXT(Flights!$AG$9,"DD-MMM-YY HH:MM"),"")&amp;" "&amp;Flights!$V$9&amp;")",IF(Documents!$O$9="","Status not recorded",Documents!$O$9))</f>
        <v>OUTSTANDING – attach before T-7D (due 08-Oct-26 10:05 NRT)</v>
      </c>
      <c r="F17" s="115" t="str">
        <f aca="false">"Staple behind this sheet as page A2."&amp;IF(Documents!$N$9="",""," Location: "&amp;Documents!$N$9)</f>
        <v>Staple behind this sheet as page A2.</v>
      </c>
      <c r="G17" s="115"/>
      <c r="H17" s="115"/>
    </row>
    <row r="18" customFormat="false" ht="22.5" hidden="false" customHeight="true" outlineLevel="0" collapsed="false">
      <c r="A18" s="94" t="s">
        <v>4820</v>
      </c>
      <c r="B18" s="116" t="str">
        <f aca="false">IF(Documents!$Q$9="","",Documents!$Q$9)</f>
        <v>Not supplied with brief – obtain from caterer / MAGCS.</v>
      </c>
      <c r="C18" s="116"/>
      <c r="D18" s="116"/>
      <c r="E18" s="116"/>
      <c r="F18" s="116"/>
      <c r="G18" s="116"/>
      <c r="H18" s="116"/>
    </row>
    <row r="19" customFormat="false" ht="13.5" hidden="false" customHeight="true" outlineLevel="0" collapsed="false">
      <c r="A19" s="117" t="s">
        <v>4821</v>
      </c>
      <c r="B19" s="117"/>
      <c r="C19" s="117" t="s">
        <v>4822</v>
      </c>
      <c r="D19" s="117"/>
      <c r="E19" s="117"/>
      <c r="F19" s="117" t="s">
        <v>4823</v>
      </c>
      <c r="G19" s="117"/>
      <c r="H19" s="117"/>
    </row>
    <row r="20" customFormat="false" ht="18" hidden="false" customHeight="true" outlineLevel="0" collapsed="false">
      <c r="A20" s="95" t="str">
        <f aca="false">"Name: "&amp;IF(TRIM(Flights!$Y$9)="","__________________",Flights!$Y$9)</f>
        <v>Name: __________________</v>
      </c>
      <c r="B20" s="95"/>
      <c r="C20" s="95" t="str">
        <f aca="false">"Name: __________________"</f>
        <v>Name: __________________</v>
      </c>
      <c r="D20" s="95"/>
      <c r="E20" s="95"/>
      <c r="F20" s="95" t="str">
        <f aca="false">"Name: __________________"&amp;"   Station: "&amp;Flights!$V$9</f>
        <v>Name: __________________   Station: NRT</v>
      </c>
      <c r="G20" s="95"/>
      <c r="H20" s="95"/>
    </row>
    <row r="21" customFormat="false" ht="30" hidden="false" customHeight="true" outlineLevel="0" collapsed="false">
      <c r="A21" s="118" t="s">
        <v>4824</v>
      </c>
      <c r="B21" s="118"/>
      <c r="C21" s="118" t="s">
        <v>4824</v>
      </c>
      <c r="D21" s="118"/>
      <c r="E21" s="118"/>
      <c r="F21" s="118" t="s">
        <v>4824</v>
      </c>
      <c r="G21" s="118"/>
      <c r="H21" s="118"/>
    </row>
    <row r="22" customFormat="false" ht="24" hidden="false" customHeight="true" outlineLevel="0" collapsed="false">
      <c r="A22" s="96" t="s">
        <v>4825</v>
      </c>
      <c r="B22" s="96" t="s">
        <v>4826</v>
      </c>
      <c r="C22" s="96" t="s">
        <v>4827</v>
      </c>
      <c r="D22" s="96" t="s">
        <v>4828</v>
      </c>
      <c r="E22" s="96" t="s">
        <v>4829</v>
      </c>
      <c r="F22" s="96" t="s">
        <v>4830</v>
      </c>
      <c r="G22" s="96" t="s">
        <v>4831</v>
      </c>
      <c r="H22" s="96" t="s">
        <v>126</v>
      </c>
    </row>
    <row r="23" customFormat="false" ht="25.5" hidden="false" customHeight="true" outlineLevel="0" collapsed="false">
      <c r="A23" s="119" t="str">
        <f aca="false">"T-7D — 7 days before departure  |  Due "&amp;IF(ISNUMBER(Flights!$AG$9),TEXT(Flights!$AG$9,"DD-MMM-YY HH:MM"),"")&amp;" "&amp;Flights!$V$9&amp;" (meal uplift stn)"&amp;" (rows with another due show their own)  |  Complete "&amp;IF(ISNUMBER(Flights!$AJ$9),TEXT(Flights!$AJ$9,"0%"),Flights!$AJ$9)&amp;"  |  10 lines"</f>
        <v>T-7D — 7 days before departure  |  Due 08-Oct-26 10:05 NRT (meal uplift stn) (rows with another due show their own)  |  Complete 0%  |  10 lines</v>
      </c>
      <c r="B23" s="119"/>
      <c r="C23" s="119"/>
      <c r="D23" s="119"/>
      <c r="E23" s="119"/>
      <c r="F23" s="119"/>
      <c r="G23" s="119"/>
      <c r="H23" s="119"/>
    </row>
    <row r="24" customFormat="false" ht="114" hidden="false" customHeight="true" outlineLevel="0" collapsed="false">
      <c r="A24" s="120" t="str">
        <f aca="false">Checks!$A$137&amp;CHAR(10)&amp;IF(Checks!$I$137="","",Checks!$I$137&amp;": ")&amp;Checks!$J$137</f>
        <v>F05-T7-01
Meal: Meal sensory testing completed for this flight's menu cycle (assessed class)</v>
      </c>
      <c r="B24" s="120" t="str">
        <f aca="false">Checks!$K$137&amp;IF(Checks!$O$137="","",IF(Checks!$K$137="","",CHAR(10))&amp;"Note: "&amp;Checks!$O$137)</f>
        <v>Record panel result / score in Result</v>
      </c>
      <c r="C24" s="120" t="str">
        <f aca="false">Checks!$N$137&amp;CHAR(10)&amp;IF(ISNUMBER(Checks!$R$137),TEXT(Checks!$R$137,"DD-MMM-YY HH:MM"),"")&amp;" "&amp;Checks!$P$137</f>
        <v>Required
08-Oct-26 10:05 NRT</v>
      </c>
      <c r="D24" s="120" t="str">
        <f aca="false">IF(TRIM(Checks!$U$137)&lt;&gt;"",Checks!$U$137&amp;IF(Checks!$AB$137="","",CHAR(10)&amp;"CA: "&amp;Checks!$AB$137),IF(LEFT(Checks!$AH$137,10)="N/A – RULE","","[ ] Pass"&amp;CHAR(10)&amp;"[ ] Pass after CA"&amp;CHAR(10)&amp;"[ ] Fail"&amp;IF(Checks!$AT$137=1,CHAR(10)&amp;"[ ] N/A","")&amp;CHAR(10)&amp;"CA: Open / Closed"))</f>
        <v>[ ] Pass
[ ] Pass after CA
[ ] Fail
CA: Open / Closed</v>
      </c>
      <c r="E24" s="120" t="str">
        <f aca="false">IF(Checks!$V$137="","",Checks!$V$137)&amp;IF(Checks!$AC$137="","",IF(Checks!$V$137="","",CHAR(10))&amp;"N/A just.: "&amp;Checks!$AC$137)&amp;IF(OR(Checks!$W$137&lt;&gt;"",AND(Checks!$AQ$137=1,NOT(LEFT(Checks!$AH$137,10)="N/A – RULE"))),CHAR(10)&amp;"Batch: "&amp;IF(Checks!$W$137="","____________",Checks!$W$137),"")&amp;IF(OR(Checks!$X$137&lt;&gt;"",Checks!$Y$137&lt;&gt;"",AND(Checks!$AR$137=1,NOT(LEFT(Checks!$AH$137,10)="N/A – RULE"))),CHAR(10)&amp;"Exp: "&amp;IF(Checks!$X$137="","______",Checks!$X$137)&amp;"  /  Act: "&amp;IF(Checks!$Y$137="","______",Checks!$Y$137),"")</f>
        <v/>
      </c>
      <c r="F24" s="120" t="str">
        <f aca="false">IF(AND(LEFT(Checks!$AH$137,10)="N/A – RULE",TRIM(Checks!$S$137&amp;Checks!$Z$137)=""),"","Type: "&amp;IF(TRIM(Checks!$S$137)="","______________ (see cover list)",Checks!$S$137)&amp;CHAR(10)&amp;"ID: "&amp;IF(TRIM(Checks!$Z$137)="","______________ (record's own no.)",Checks!$Z$137))&amp;IF(Checks!$AA$137="","",CHAR(10)&amp;"CA: "&amp;Checks!$AA$137)</f>
        <v>Type: ______________ (see cover list)
ID: ______________ (record's own no.)</v>
      </c>
      <c r="G24" s="120" t="str">
        <f aca="false">IF(AND(LEFT(Checks!$AH$137,10)="N/A – RULE",NOT(ISNUMBER(Checks!$AD$137)),Checks!$AE$137="",Checks!$T$137=""),"","Done: "&amp;IF(ISNUMBER(Checks!$AD$137),TEXT(Checks!$AD$137,"DD-MMM-YY HH:MM"),"____________")&amp;" "&amp;Checks!$P$137&amp;CHAR(10)&amp;"Verifier: "&amp;IF(Checks!$AE$137="","____________",Checks!$AE$137)&amp;CHAR(10)&amp;"PIC: "&amp;IF(Checks!$T$137="","____________",Checks!$T$137))</f>
        <v>Done: ____________ NRT
Verifier: ____________
PIC: ____________</v>
      </c>
      <c r="H24" s="121" t="str">
        <f aca="false">IF(Checks!$AH$137="","",Checks!$AH$137)</f>
        <v>OPEN</v>
      </c>
    </row>
    <row r="25" customFormat="false" ht="114" hidden="false" customHeight="true" outlineLevel="0" collapsed="false">
      <c r="A25" s="120" t="str">
        <f aca="false">Checks!$A$138&amp;CHAR(10)&amp;IF(Checks!$I$138="","",Checks!$I$138&amp;": ")&amp;Checks!$J$138</f>
        <v>F05-T7-02
Menu: Printed menu cards confirmed (content, cycle, language, quantity)</v>
      </c>
      <c r="B25" s="120" t="str">
        <f aca="false">Checks!$K$138&amp;IF(Checks!$O$138="","",IF(Checks!$K$138="","",CHAR(10))&amp;"Note: "&amp;Checks!$O$138)</f>
        <v>Menu card matches approved menu for this flight</v>
      </c>
      <c r="C25" s="120" t="str">
        <f aca="false">Checks!$N$138&amp;CHAR(10)&amp;IF(ISNUMBER(Checks!$R$138),TEXT(Checks!$R$138,"DD-MMM-YY HH:MM"),"")&amp;" "&amp;Checks!$P$138</f>
        <v>Required
08-Oct-26 10:05 NRT</v>
      </c>
      <c r="D25" s="120" t="str">
        <f aca="false">IF(TRIM(Checks!$U$138)&lt;&gt;"",Checks!$U$138&amp;IF(Checks!$AB$138="","",CHAR(10)&amp;"CA: "&amp;Checks!$AB$138),IF(LEFT(Checks!$AH$138,10)="N/A – RULE","","[ ] Pass"&amp;CHAR(10)&amp;"[ ] Pass after CA"&amp;CHAR(10)&amp;"[ ] Fail"&amp;IF(Checks!$AT$138=1,CHAR(10)&amp;"[ ] N/A","")&amp;CHAR(10)&amp;"CA: Open / Closed"))</f>
        <v>[ ] Pass
[ ] Pass after CA
[ ] Fail
CA: Open / Closed</v>
      </c>
      <c r="E25" s="120" t="str">
        <f aca="false">IF(Checks!$V$138="","",Checks!$V$138)&amp;IF(Checks!$AC$138="","",IF(Checks!$V$138="","",CHAR(10))&amp;"N/A just.: "&amp;Checks!$AC$138)&amp;IF(OR(Checks!$W$138&lt;&gt;"",AND(Checks!$AQ$138=1,NOT(LEFT(Checks!$AH$138,10)="N/A – RULE"))),CHAR(10)&amp;"Batch: "&amp;IF(Checks!$W$138="","____________",Checks!$W$138),"")&amp;IF(OR(Checks!$X$138&lt;&gt;"",Checks!$Y$138&lt;&gt;"",AND(Checks!$AR$138=1,NOT(LEFT(Checks!$AH$138,10)="N/A – RULE"))),CHAR(10)&amp;"Exp: "&amp;IF(Checks!$X$138="","______",Checks!$X$138)&amp;"  /  Act: "&amp;IF(Checks!$Y$138="","______",Checks!$Y$138),"")</f>
        <v/>
      </c>
      <c r="F25" s="120" t="str">
        <f aca="false">IF(AND(LEFT(Checks!$AH$138,10)="N/A – RULE",TRIM(Checks!$S$138&amp;Checks!$Z$138)=""),"","Type: "&amp;IF(TRIM(Checks!$S$138)="","______________ (see cover list)",Checks!$S$138)&amp;CHAR(10)&amp;"ID: "&amp;IF(TRIM(Checks!$Z$138)="","______________ (record's own no.)",Checks!$Z$138))&amp;IF(Checks!$AA$138="","",CHAR(10)&amp;"CA: "&amp;Checks!$AA$138)</f>
        <v>Type: ______________ (see cover list)
ID: ______________ (record's own no.)</v>
      </c>
      <c r="G25" s="120" t="str">
        <f aca="false">IF(AND(LEFT(Checks!$AH$138,10)="N/A – RULE",NOT(ISNUMBER(Checks!$AD$138)),Checks!$AE$138="",Checks!$T$138=""),"","Done: "&amp;IF(ISNUMBER(Checks!$AD$138),TEXT(Checks!$AD$138,"DD-MMM-YY HH:MM"),"____________")&amp;" "&amp;Checks!$P$138&amp;CHAR(10)&amp;"Verifier: "&amp;IF(Checks!$AE$138="","____________",Checks!$AE$138)&amp;CHAR(10)&amp;"PIC: "&amp;IF(Checks!$T$138="","____________",Checks!$T$138))</f>
        <v>Done: ____________ NRT
Verifier: ____________
PIC: ____________</v>
      </c>
      <c r="H25" s="121" t="str">
        <f aca="false">IF(Checks!$AH$138="","",Checks!$AH$138)</f>
        <v>OPEN</v>
      </c>
    </row>
    <row r="26" customFormat="false" ht="114" hidden="false" customHeight="true" outlineLevel="0" collapsed="false">
      <c r="A26" s="120" t="str">
        <f aca="false">Checks!$A$139&amp;CHAR(10)&amp;IF(Checks!$I$139="","",Checks!$I$139&amp;": ")&amp;Checks!$J$139</f>
        <v>F05-T7-03
IFE: Digital menu in IFE confirmed (A339 only)</v>
      </c>
      <c r="B26" s="120" t="str">
        <f aca="false">Checks!$K$139&amp;IF(Checks!$O$139="","",IF(Checks!$K$139="","",CHAR(10))&amp;"Note: "&amp;Checks!$O$139)</f>
        <v>Applies when fleet = A339
Note: Digital IFE menu applies to A339 only (user brief). Applicability follows the Fleet cell on Flights.</v>
      </c>
      <c r="C26" s="120" t="str">
        <f aca="false">Checks!$N$139&amp;CHAR(10)&amp;IF(ISNUMBER(Checks!$R$139),TEXT(Checks!$R$139,"DD-MMM-YY HH:MM"),"")&amp;" "&amp;Checks!$P$139</f>
        <v>N/A – rule
08-Oct-26 10:05 NRT</v>
      </c>
      <c r="D26" s="120" t="str">
        <f aca="false">IF(TRIM(Checks!$U$139)&lt;&gt;"",Checks!$U$139&amp;IF(Checks!$AB$139="","",CHAR(10)&amp;"CA: "&amp;Checks!$AB$139),IF(LEFT(Checks!$AH$139,10)="N/A – RULE","","[ ] Pass"&amp;CHAR(10)&amp;"[ ] Pass after CA"&amp;CHAR(10)&amp;"[ ] Fail"&amp;IF(Checks!$AT$139=1,CHAR(10)&amp;"[ ] N/A","")&amp;CHAR(10)&amp;"CA: Open / Closed"))</f>
        <v/>
      </c>
      <c r="E26" s="120" t="str">
        <f aca="false">IF(Checks!$V$139="","",Checks!$V$139)&amp;IF(Checks!$AC$139="","",IF(Checks!$V$139="","",CHAR(10))&amp;"N/A just.: "&amp;Checks!$AC$139)&amp;IF(OR(Checks!$W$139&lt;&gt;"",AND(Checks!$AQ$139=1,NOT(LEFT(Checks!$AH$139,10)="N/A – RULE"))),CHAR(10)&amp;"Batch: "&amp;IF(Checks!$W$139="","____________",Checks!$W$139),"")&amp;IF(OR(Checks!$X$139&lt;&gt;"",Checks!$Y$139&lt;&gt;"",AND(Checks!$AR$139=1,NOT(LEFT(Checks!$AH$139,10)="N/A – RULE"))),CHAR(10)&amp;"Exp: "&amp;IF(Checks!$X$139="","______",Checks!$X$139)&amp;"  /  Act: "&amp;IF(Checks!$Y$139="","______",Checks!$Y$139),"")</f>
        <v/>
      </c>
      <c r="F26" s="120" t="str">
        <f aca="false">IF(AND(LEFT(Checks!$AH$139,10)="N/A – RULE",TRIM(Checks!$S$139&amp;Checks!$Z$139)=""),"","Type: "&amp;IF(TRIM(Checks!$S$139)="","______________ (see cover list)",Checks!$S$139)&amp;CHAR(10)&amp;"ID: "&amp;IF(TRIM(Checks!$Z$139)="","______________ (record's own no.)",Checks!$Z$139))&amp;IF(Checks!$AA$139="","",CHAR(10)&amp;"CA: "&amp;Checks!$AA$139)</f>
        <v/>
      </c>
      <c r="G26" s="120" t="str">
        <f aca="false">IF(AND(LEFT(Checks!$AH$139,10)="N/A – RULE",NOT(ISNUMBER(Checks!$AD$139)),Checks!$AE$139="",Checks!$T$139=""),"","Done: "&amp;IF(ISNUMBER(Checks!$AD$139),TEXT(Checks!$AD$139,"DD-MMM-YY HH:MM"),"____________")&amp;" "&amp;Checks!$P$139&amp;CHAR(10)&amp;"Verifier: "&amp;IF(Checks!$AE$139="","____________",Checks!$AE$139)&amp;CHAR(10)&amp;"PIC: "&amp;IF(Checks!$T$139="","____________",Checks!$T$139))</f>
        <v/>
      </c>
      <c r="H26" s="121" t="str">
        <f aca="false">IF(Checks!$AH$139="","",Checks!$AH$139)</f>
        <v>N/A – RULE</v>
      </c>
    </row>
    <row r="27" customFormat="false" ht="114" hidden="false" customHeight="true" outlineLevel="0" collapsed="false">
      <c r="A27" s="120" t="str">
        <f aca="false">Checks!$A$140&amp;CHAR(10)&amp;IF(Checks!$I$140="","",Checks!$I$140&amp;": ")&amp;Checks!$J$140</f>
        <v>F05-T7-04
Staffing: Experienced catering officer assigned to this flight</v>
      </c>
      <c r="B27" s="120" t="str">
        <f aca="false">Checks!$K$140&amp;IF(Checks!$O$140="","",IF(Checks!$K$140="","",CHAR(10))&amp;"Note: "&amp;Checks!$O$140)</f>
        <v>Record officer name in Result</v>
      </c>
      <c r="C27" s="120" t="str">
        <f aca="false">Checks!$N$140&amp;CHAR(10)&amp;IF(ISNUMBER(Checks!$R$140),TEXT(Checks!$R$140,"DD-MMM-YY HH:MM"),"")&amp;" "&amp;Checks!$P$140</f>
        <v>Required
08-Oct-26 10:05 NRT</v>
      </c>
      <c r="D27" s="120" t="str">
        <f aca="false">IF(TRIM(Checks!$U$140)&lt;&gt;"",Checks!$U$140&amp;IF(Checks!$AB$140="","",CHAR(10)&amp;"CA: "&amp;Checks!$AB$140),IF(LEFT(Checks!$AH$140,10)="N/A – RULE","","[ ] Pass"&amp;CHAR(10)&amp;"[ ] Pass after CA"&amp;CHAR(10)&amp;"[ ] Fail"&amp;IF(Checks!$AT$140=1,CHAR(10)&amp;"[ ] N/A","")&amp;CHAR(10)&amp;"CA: Open / Closed"))</f>
        <v>[ ] Pass
[ ] Pass after CA
[ ] Fail
CA: Open / Closed</v>
      </c>
      <c r="E27" s="120" t="str">
        <f aca="false">IF(Checks!$V$140="","",Checks!$V$140)&amp;IF(Checks!$AC$140="","",IF(Checks!$V$140="","",CHAR(10))&amp;"N/A just.: "&amp;Checks!$AC$140)&amp;IF(OR(Checks!$W$140&lt;&gt;"",AND(Checks!$AQ$140=1,NOT(LEFT(Checks!$AH$140,10)="N/A – RULE"))),CHAR(10)&amp;"Batch: "&amp;IF(Checks!$W$140="","____________",Checks!$W$140),"")&amp;IF(OR(Checks!$X$140&lt;&gt;"",Checks!$Y$140&lt;&gt;"",AND(Checks!$AR$140=1,NOT(LEFT(Checks!$AH$140,10)="N/A – RULE"))),CHAR(10)&amp;"Exp: "&amp;IF(Checks!$X$140="","______",Checks!$X$140)&amp;"  /  Act: "&amp;IF(Checks!$Y$140="","______",Checks!$Y$140),"")</f>
        <v/>
      </c>
      <c r="F27" s="120" t="str">
        <f aca="false">IF(AND(LEFT(Checks!$AH$140,10)="N/A – RULE",TRIM(Checks!$S$140&amp;Checks!$Z$140)=""),"","Type: "&amp;IF(TRIM(Checks!$S$140)="","______________ (see cover list)",Checks!$S$140)&amp;CHAR(10)&amp;"ID: "&amp;IF(TRIM(Checks!$Z$140)="","______________ (record's own no.)",Checks!$Z$140))&amp;IF(Checks!$AA$140="","",CHAR(10)&amp;"CA: "&amp;Checks!$AA$140)</f>
        <v>Type: ______________ (see cover list)
ID: ______________ (record's own no.)</v>
      </c>
      <c r="G27" s="120" t="str">
        <f aca="false">IF(AND(LEFT(Checks!$AH$140,10)="N/A – RULE",NOT(ISNUMBER(Checks!$AD$140)),Checks!$AE$140="",Checks!$T$140=""),"","Done: "&amp;IF(ISNUMBER(Checks!$AD$140),TEXT(Checks!$AD$140,"DD-MMM-YY HH:MM"),"____________")&amp;" "&amp;Checks!$P$140&amp;CHAR(10)&amp;"Verifier: "&amp;IF(Checks!$AE$140="","____________",Checks!$AE$140)&amp;CHAR(10)&amp;"PIC: "&amp;IF(Checks!$T$140="","____________",Checks!$T$140))</f>
        <v>Done: ____________ NRT
Verifier: ____________
PIC: ____________</v>
      </c>
      <c r="H27" s="121" t="str">
        <f aca="false">IF(Checks!$AH$140="","",Checks!$AH$140)</f>
        <v>OPEN</v>
      </c>
    </row>
    <row r="28" customFormat="false" ht="114" hidden="false" customHeight="true" outlineLevel="0" collapsed="false">
      <c r="A28" s="120" t="str">
        <f aca="false">Checks!$A$141&amp;CHAR(10)&amp;IF(Checks!$I$141="","",Checks!$I$141&amp;": ")&amp;Checks!$J$141</f>
        <v>F05-T7-05
ISOP: All latest applicable ISOP revisions communicated to caterer</v>
      </c>
      <c r="B28" s="120" t="str">
        <f aca="false">Checks!$K$141&amp;IF(Checks!$O$141="","",IF(Checks!$K$141="","",CHAR(10))&amp;"Note: "&amp;Checks!$O$141)</f>
        <v>List revision numbers in Result (see ISOP register)</v>
      </c>
      <c r="C28" s="120" t="str">
        <f aca="false">Checks!$N$141&amp;CHAR(10)&amp;IF(ISNUMBER(Checks!$R$141),TEXT(Checks!$R$141,"DD-MMM-YY HH:MM"),"")&amp;" "&amp;Checks!$P$141</f>
        <v>Required
08-Oct-26 10:05 NRT</v>
      </c>
      <c r="D28" s="120" t="str">
        <f aca="false">IF(TRIM(Checks!$U$141)&lt;&gt;"",Checks!$U$141&amp;IF(Checks!$AB$141="","",CHAR(10)&amp;"CA: "&amp;Checks!$AB$141),IF(LEFT(Checks!$AH$141,10)="N/A – RULE","","[ ] Pass"&amp;CHAR(10)&amp;"[ ] Pass after CA"&amp;CHAR(10)&amp;"[ ] Fail"&amp;IF(Checks!$AT$141=1,CHAR(10)&amp;"[ ] N/A","")&amp;CHAR(10)&amp;"CA: Open / Closed"))</f>
        <v>[ ] Pass
[ ] Pass after CA
[ ] Fail
CA: Open / Closed</v>
      </c>
      <c r="E28" s="120" t="str">
        <f aca="false">IF(Checks!$V$141="","",Checks!$V$141)&amp;IF(Checks!$AC$141="","",IF(Checks!$V$141="","",CHAR(10))&amp;"N/A just.: "&amp;Checks!$AC$141)&amp;IF(OR(Checks!$W$141&lt;&gt;"",AND(Checks!$AQ$141=1,NOT(LEFT(Checks!$AH$141,10)="N/A – RULE"))),CHAR(10)&amp;"Batch: "&amp;IF(Checks!$W$141="","____________",Checks!$W$141),"")&amp;IF(OR(Checks!$X$141&lt;&gt;"",Checks!$Y$141&lt;&gt;"",AND(Checks!$AR$141=1,NOT(LEFT(Checks!$AH$141,10)="N/A – RULE"))),CHAR(10)&amp;"Exp: "&amp;IF(Checks!$X$141="","______",Checks!$X$141)&amp;"  /  Act: "&amp;IF(Checks!$Y$141="","______",Checks!$Y$141),"")</f>
        <v/>
      </c>
      <c r="F28" s="120" t="str">
        <f aca="false">IF(AND(LEFT(Checks!$AH$141,10)="N/A – RULE",TRIM(Checks!$S$141&amp;Checks!$Z$141)=""),"","Type: "&amp;IF(TRIM(Checks!$S$141)="","______________ (see cover list)",Checks!$S$141)&amp;CHAR(10)&amp;"ID: "&amp;IF(TRIM(Checks!$Z$141)="","______________ (record's own no.)",Checks!$Z$141))&amp;IF(Checks!$AA$141="","",CHAR(10)&amp;"CA: "&amp;Checks!$AA$141)</f>
        <v>Type: ______________ (see cover list)
ID: ______________ (record's own no.)</v>
      </c>
      <c r="G28" s="120" t="str">
        <f aca="false">IF(AND(LEFT(Checks!$AH$141,10)="N/A – RULE",NOT(ISNUMBER(Checks!$AD$141)),Checks!$AE$141="",Checks!$T$141=""),"","Done: "&amp;IF(ISNUMBER(Checks!$AD$141),TEXT(Checks!$AD$141,"DD-MMM-YY HH:MM"),"____________")&amp;" "&amp;Checks!$P$141&amp;CHAR(10)&amp;"Verifier: "&amp;IF(Checks!$AE$141="","____________",Checks!$AE$141)&amp;CHAR(10)&amp;"PIC: "&amp;IF(Checks!$T$141="","____________",Checks!$T$141))</f>
        <v>Done: ____________ NRT
Verifier: ____________
PIC: ____________</v>
      </c>
      <c r="H28" s="121" t="str">
        <f aca="false">IF(Checks!$AH$141="","",Checks!$AH$141)</f>
        <v>OPEN</v>
      </c>
    </row>
    <row r="29" customFormat="false" ht="114" hidden="false" customHeight="true" outlineLevel="0" collapsed="false">
      <c r="A29" s="120" t="str">
        <f aca="false">Checks!$A$142&amp;CHAR(10)&amp;IF(Checks!$I$142="","",Checks!$I$142&amp;": ")&amp;Checks!$J$142</f>
        <v>F05-T7-06
ISOP: Caterer acknowledgement of ISOP revisions recorded</v>
      </c>
      <c r="B29" s="120" t="str">
        <f aca="false">Checks!$K$142&amp;IF(Checks!$O$142="","",IF(Checks!$K$142="","",CHAR(10))&amp;"Note: "&amp;Checks!$O$142)</f>
        <v>Record acknowledgement ref in Evidence</v>
      </c>
      <c r="C29" s="120" t="str">
        <f aca="false">Checks!$N$142&amp;CHAR(10)&amp;IF(ISNUMBER(Checks!$R$142),TEXT(Checks!$R$142,"DD-MMM-YY HH:MM"),"")&amp;" "&amp;Checks!$P$142</f>
        <v>Required
08-Oct-26 10:05 NRT</v>
      </c>
      <c r="D29" s="120" t="str">
        <f aca="false">IF(TRIM(Checks!$U$142)&lt;&gt;"",Checks!$U$142&amp;IF(Checks!$AB$142="","",CHAR(10)&amp;"CA: "&amp;Checks!$AB$142),IF(LEFT(Checks!$AH$142,10)="N/A – RULE","","[ ] Pass"&amp;CHAR(10)&amp;"[ ] Pass after CA"&amp;CHAR(10)&amp;"[ ] Fail"&amp;IF(Checks!$AT$142=1,CHAR(10)&amp;"[ ] N/A","")&amp;CHAR(10)&amp;"CA: Open / Closed"))</f>
        <v>[ ] Pass
[ ] Pass after CA
[ ] Fail
CA: Open / Closed</v>
      </c>
      <c r="E29" s="120" t="str">
        <f aca="false">IF(Checks!$V$142="","",Checks!$V$142)&amp;IF(Checks!$AC$142="","",IF(Checks!$V$142="","",CHAR(10))&amp;"N/A just.: "&amp;Checks!$AC$142)&amp;IF(OR(Checks!$W$142&lt;&gt;"",AND(Checks!$AQ$142=1,NOT(LEFT(Checks!$AH$142,10)="N/A – RULE"))),CHAR(10)&amp;"Batch: "&amp;IF(Checks!$W$142="","____________",Checks!$W$142),"")&amp;IF(OR(Checks!$X$142&lt;&gt;"",Checks!$Y$142&lt;&gt;"",AND(Checks!$AR$142=1,NOT(LEFT(Checks!$AH$142,10)="N/A – RULE"))),CHAR(10)&amp;"Exp: "&amp;IF(Checks!$X$142="","______",Checks!$X$142)&amp;"  /  Act: "&amp;IF(Checks!$Y$142="","______",Checks!$Y$142),"")</f>
        <v/>
      </c>
      <c r="F29" s="120" t="str">
        <f aca="false">IF(AND(LEFT(Checks!$AH$142,10)="N/A – RULE",TRIM(Checks!$S$142&amp;Checks!$Z$142)=""),"","Type: "&amp;IF(TRIM(Checks!$S$142)="","______________ (see cover list)",Checks!$S$142)&amp;CHAR(10)&amp;"ID: "&amp;IF(TRIM(Checks!$Z$142)="","______________ (record's own no.)",Checks!$Z$142))&amp;IF(Checks!$AA$142="","",CHAR(10)&amp;"CA: "&amp;Checks!$AA$142)</f>
        <v>Type: ______________ (see cover list)
ID: ______________ (record's own no.)</v>
      </c>
      <c r="G29" s="120" t="str">
        <f aca="false">IF(AND(LEFT(Checks!$AH$142,10)="N/A – RULE",NOT(ISNUMBER(Checks!$AD$142)),Checks!$AE$142="",Checks!$T$142=""),"","Done: "&amp;IF(ISNUMBER(Checks!$AD$142),TEXT(Checks!$AD$142,"DD-MMM-YY HH:MM"),"____________")&amp;" "&amp;Checks!$P$142&amp;CHAR(10)&amp;"Verifier: "&amp;IF(Checks!$AE$142="","____________",Checks!$AE$142)&amp;CHAR(10)&amp;"PIC: "&amp;IF(Checks!$T$142="","____________",Checks!$T$142))</f>
        <v>Done: ____________ NRT
Verifier: ____________
PIC: ____________</v>
      </c>
      <c r="H29" s="121" t="str">
        <f aca="false">IF(Checks!$AH$142="","",Checks!$AH$142)</f>
        <v>OPEN</v>
      </c>
    </row>
    <row r="30" customFormat="false" ht="114" hidden="false" customHeight="true" outlineLevel="0" collapsed="false">
      <c r="A30" s="120" t="str">
        <f aca="false">Checks!$A$143&amp;CHAR(10)&amp;IF(Checks!$I$143="","",Checks!$I$143&amp;": ")&amp;Checks!$J$143</f>
        <v>F05-T7-07
Documents: Galley loading diagram (GLD) received, revision recorded &amp; attached</v>
      </c>
      <c r="B30" s="120" t="str">
        <f aca="false">SUBSTITUTE(Checks!$K$143&amp;IF(Checks!$O$143="","",IF(Checks!$K$143="","",CHAR(10))&amp;"Note: "&amp;Checks!$O$143),"Documents sheet row complete","Recorded on the Documents sheet; copy stapled as A1 / A2")</f>
        <v>Recorded on the Documents sheet; copy stapled as A1 / A2</v>
      </c>
      <c r="C30" s="120" t="str">
        <f aca="false">Checks!$N$143&amp;CHAR(10)&amp;IF(ISNUMBER(Checks!$R$143),TEXT(Checks!$R$143,"DD-MMM-YY HH:MM"),"")&amp;" "&amp;Checks!$P$143</f>
        <v>Required
08-Oct-26 10:05 NRT</v>
      </c>
      <c r="D30" s="120" t="str">
        <f aca="false">IF(TRIM(Checks!$U$143)&lt;&gt;"",Checks!$U$143&amp;IF(Checks!$AB$143="","",CHAR(10)&amp;"CA: "&amp;Checks!$AB$143),IF(LEFT(Checks!$AH$143,10)="N/A – RULE","","[ ] Pass"&amp;CHAR(10)&amp;"[ ] Pass after CA"&amp;CHAR(10)&amp;"[ ] Fail"&amp;IF(Checks!$AT$143=1,CHAR(10)&amp;"[ ] N/A","")&amp;CHAR(10)&amp;"CA: Open / Closed"))</f>
        <v>[ ] Pass
[ ] Pass after CA
[ ] Fail
CA: Open / Closed</v>
      </c>
      <c r="E30" s="120" t="str">
        <f aca="false">IF(Checks!$V$143="","",Checks!$V$143)&amp;IF(Checks!$AC$143="","",IF(Checks!$V$143="","",CHAR(10))&amp;"N/A just.: "&amp;Checks!$AC$143)&amp;IF(OR(Checks!$W$143&lt;&gt;"",AND(Checks!$AQ$143=1,NOT(LEFT(Checks!$AH$143,10)="N/A – RULE"))),CHAR(10)&amp;"Batch: "&amp;IF(Checks!$W$143="","____________",Checks!$W$143),"")&amp;IF(OR(Checks!$X$143&lt;&gt;"",Checks!$Y$143&lt;&gt;"",AND(Checks!$AR$143=1,NOT(LEFT(Checks!$AH$143,10)="N/A – RULE"))),CHAR(10)&amp;"Exp: "&amp;IF(Checks!$X$143="","______",Checks!$X$143)&amp;"  /  Act: "&amp;IF(Checks!$Y$143="","______",Checks!$Y$143),"")</f>
        <v/>
      </c>
      <c r="F30" s="120" t="str">
        <f aca="false">IF(AND(LEFT(Checks!$AH$143,10)="N/A – RULE",TRIM(Checks!$S$143&amp;Checks!$Z$143)=""),"","Type: "&amp;IF(TRIM(Checks!$S$143)="","______________ (see cover list)",Checks!$S$143)&amp;CHAR(10)&amp;"ID: "&amp;IF(TRIM(Checks!$Z$143)="","______________ (record's own no.)",Checks!$Z$143))&amp;IF(Checks!$AA$143="","",CHAR(10)&amp;"CA: "&amp;Checks!$AA$143)</f>
        <v>Type: ______________ (see cover list)
ID: ______________ (record's own no.)</v>
      </c>
      <c r="G30" s="120" t="str">
        <f aca="false">IF(AND(LEFT(Checks!$AH$143,10)="N/A – RULE",NOT(ISNUMBER(Checks!$AD$143)),Checks!$AE$143="",Checks!$T$143=""),"","Done: "&amp;IF(ISNUMBER(Checks!$AD$143),TEXT(Checks!$AD$143,"DD-MMM-YY HH:MM"),"____________")&amp;" "&amp;Checks!$P$143&amp;CHAR(10)&amp;"Verifier: "&amp;IF(Checks!$AE$143="","____________",Checks!$AE$143)&amp;CHAR(10)&amp;"PIC: "&amp;IF(Checks!$T$143="","____________",Checks!$T$143))</f>
        <v>Done: ____________ NRT
Verifier: ____________
PIC: ____________</v>
      </c>
      <c r="H30" s="121" t="str">
        <f aca="false">IF(Checks!$AH$143="","",Checks!$AH$143)</f>
        <v>OPEN</v>
      </c>
    </row>
    <row r="31" customFormat="false" ht="114" hidden="false" customHeight="true" outlineLevel="0" collapsed="false">
      <c r="A31" s="120" t="str">
        <f aca="false">Checks!$A$144&amp;CHAR(10)&amp;IF(Checks!$I$144="","",Checks!$I$144&amp;": ")&amp;Checks!$J$144</f>
        <v>F05-T7-08
Documents: Menu checklist received, revision recorded &amp; attached</v>
      </c>
      <c r="B31" s="120" t="str">
        <f aca="false">SUBSTITUTE(Checks!$K$144&amp;IF(Checks!$O$144="","",IF(Checks!$K$144="","",CHAR(10))&amp;"Note: "&amp;Checks!$O$144),"Documents sheet row complete","Recorded on the Documents sheet; copy stapled as A1 / A2")</f>
        <v>Recorded on the Documents sheet; copy stapled as A1 / A2</v>
      </c>
      <c r="C31" s="120" t="str">
        <f aca="false">Checks!$N$144&amp;CHAR(10)&amp;IF(ISNUMBER(Checks!$R$144),TEXT(Checks!$R$144,"DD-MMM-YY HH:MM"),"")&amp;" "&amp;Checks!$P$144</f>
        <v>Required
08-Oct-26 10:05 NRT</v>
      </c>
      <c r="D31" s="120" t="str">
        <f aca="false">IF(TRIM(Checks!$U$144)&lt;&gt;"",Checks!$U$144&amp;IF(Checks!$AB$144="","",CHAR(10)&amp;"CA: "&amp;Checks!$AB$144),IF(LEFT(Checks!$AH$144,10)="N/A – RULE","","[ ] Pass"&amp;CHAR(10)&amp;"[ ] Pass after CA"&amp;CHAR(10)&amp;"[ ] Fail"&amp;IF(Checks!$AT$144=1,CHAR(10)&amp;"[ ] N/A","")&amp;CHAR(10)&amp;"CA: Open / Closed"))</f>
        <v>[ ] Pass
[ ] Pass after CA
[ ] Fail
CA: Open / Closed</v>
      </c>
      <c r="E31" s="120" t="str">
        <f aca="false">IF(Checks!$V$144="","",Checks!$V$144)&amp;IF(Checks!$AC$144="","",IF(Checks!$V$144="","",CHAR(10))&amp;"N/A just.: "&amp;Checks!$AC$144)&amp;IF(OR(Checks!$W$144&lt;&gt;"",AND(Checks!$AQ$144=1,NOT(LEFT(Checks!$AH$144,10)="N/A – RULE"))),CHAR(10)&amp;"Batch: "&amp;IF(Checks!$W$144="","____________",Checks!$W$144),"")&amp;IF(OR(Checks!$X$144&lt;&gt;"",Checks!$Y$144&lt;&gt;"",AND(Checks!$AR$144=1,NOT(LEFT(Checks!$AH$144,10)="N/A – RULE"))),CHAR(10)&amp;"Exp: "&amp;IF(Checks!$X$144="","______",Checks!$X$144)&amp;"  /  Act: "&amp;IF(Checks!$Y$144="","______",Checks!$Y$144),"")</f>
        <v/>
      </c>
      <c r="F31" s="120" t="str">
        <f aca="false">IF(AND(LEFT(Checks!$AH$144,10)="N/A – RULE",TRIM(Checks!$S$144&amp;Checks!$Z$144)=""),"","Type: "&amp;IF(TRIM(Checks!$S$144)="","______________ (see cover list)",Checks!$S$144)&amp;CHAR(10)&amp;"ID: "&amp;IF(TRIM(Checks!$Z$144)="","______________ (record's own no.)",Checks!$Z$144))&amp;IF(Checks!$AA$144="","",CHAR(10)&amp;"CA: "&amp;Checks!$AA$144)</f>
        <v>Type: ______________ (see cover list)
ID: ______________ (record's own no.)</v>
      </c>
      <c r="G31" s="120" t="str">
        <f aca="false">IF(AND(LEFT(Checks!$AH$144,10)="N/A – RULE",NOT(ISNUMBER(Checks!$AD$144)),Checks!$AE$144="",Checks!$T$144=""),"","Done: "&amp;IF(ISNUMBER(Checks!$AD$144),TEXT(Checks!$AD$144,"DD-MMM-YY HH:MM"),"____________")&amp;" "&amp;Checks!$P$144&amp;CHAR(10)&amp;"Verifier: "&amp;IF(Checks!$AE$144="","____________",Checks!$AE$144)&amp;CHAR(10)&amp;"PIC: "&amp;IF(Checks!$T$144="","____________",Checks!$T$144))</f>
        <v>Done: ____________ NRT
Verifier: ____________
PIC: ____________</v>
      </c>
      <c r="H31" s="121" t="str">
        <f aca="false">IF(Checks!$AH$144="","",Checks!$AH$144)</f>
        <v>OPEN</v>
      </c>
    </row>
    <row r="32" customFormat="false" ht="114" hidden="false" customHeight="true" outlineLevel="0" collapsed="false">
      <c r="A32" s="120" t="str">
        <f aca="false">Checks!$A$145&amp;CHAR(10)&amp;IF(Checks!$I$145="","",Checks!$I$145&amp;": ")&amp;Checks!$J$145</f>
        <v>F05-T7-09
Uplift plan: Uplift plan confirmed with caterer vs STD Uplift Information</v>
      </c>
      <c r="B32" s="120" t="str">
        <f aca="false">Checks!$K$145&amp;IF(Checks!$O$145="","",IF(Checks!$K$145="","",CHAR(10))&amp;"Note: "&amp;Checks!$O$145)</f>
        <v>Service: 1.5 Meal (Meal); meal uplift stn NRT (ref lists KUL/NRT)</v>
      </c>
      <c r="C32" s="120" t="str">
        <f aca="false">Checks!$N$145&amp;CHAR(10)&amp;IF(ISNUMBER(Checks!$R$145),TEXT(Checks!$R$145,"DD-MMM-YY HH:MM"),"")&amp;" "&amp;Checks!$P$145</f>
        <v>Required
08-Oct-26 10:05 NRT</v>
      </c>
      <c r="D32" s="120" t="str">
        <f aca="false">IF(TRIM(Checks!$U$145)&lt;&gt;"",Checks!$U$145&amp;IF(Checks!$AB$145="","",CHAR(10)&amp;"CA: "&amp;Checks!$AB$145),IF(LEFT(Checks!$AH$145,10)="N/A – RULE","","[ ] Pass"&amp;CHAR(10)&amp;"[ ] Pass after CA"&amp;CHAR(10)&amp;"[ ] Fail"&amp;IF(Checks!$AT$145=1,CHAR(10)&amp;"[ ] N/A","")&amp;CHAR(10)&amp;"CA: Open / Closed"))</f>
        <v>[ ] Pass
[ ] Pass after CA
[ ] Fail
CA: Open / Closed</v>
      </c>
      <c r="E32" s="120" t="str">
        <f aca="false">IF(Checks!$V$145="","",Checks!$V$145)&amp;IF(Checks!$AC$145="","",IF(Checks!$V$145="","",CHAR(10))&amp;"N/A just.: "&amp;Checks!$AC$145)&amp;IF(OR(Checks!$W$145&lt;&gt;"",AND(Checks!$AQ$145=1,NOT(LEFT(Checks!$AH$145,10)="N/A – RULE"))),CHAR(10)&amp;"Batch: "&amp;IF(Checks!$W$145="","____________",Checks!$W$145),"")&amp;IF(OR(Checks!$X$145&lt;&gt;"",Checks!$Y$145&lt;&gt;"",AND(Checks!$AR$145=1,NOT(LEFT(Checks!$AH$145,10)="N/A – RULE"))),CHAR(10)&amp;"Exp: "&amp;IF(Checks!$X$145="","______",Checks!$X$145)&amp;"  /  Act: "&amp;IF(Checks!$Y$145="","______",Checks!$Y$145),"")</f>
        <v/>
      </c>
      <c r="F32" s="120" t="str">
        <f aca="false">IF(AND(LEFT(Checks!$AH$145,10)="N/A – RULE",TRIM(Checks!$S$145&amp;Checks!$Z$145)=""),"","Type: "&amp;IF(TRIM(Checks!$S$145)="","______________ (see cover list)",Checks!$S$145)&amp;CHAR(10)&amp;"ID: "&amp;IF(TRIM(Checks!$Z$145)="","______________ (record's own no.)",Checks!$Z$145))&amp;IF(Checks!$AA$145="","",CHAR(10)&amp;"CA: "&amp;Checks!$AA$145)</f>
        <v>Type: ______________ (see cover list)
ID: ______________ (record's own no.)</v>
      </c>
      <c r="G32" s="120" t="str">
        <f aca="false">IF(AND(LEFT(Checks!$AH$145,10)="N/A – RULE",NOT(ISNUMBER(Checks!$AD$145)),Checks!$AE$145="",Checks!$T$145=""),"","Done: "&amp;IF(ISNUMBER(Checks!$AD$145),TEXT(Checks!$AD$145,"DD-MMM-YY HH:MM"),"____________")&amp;" "&amp;Checks!$P$145&amp;CHAR(10)&amp;"Verifier: "&amp;IF(Checks!$AE$145="","____________",Checks!$AE$145)&amp;CHAR(10)&amp;"PIC: "&amp;IF(Checks!$T$145="","____________",Checks!$T$145))</f>
        <v>Done: ____________ NRT
Verifier: ____________
PIC: ____________</v>
      </c>
      <c r="H32" s="121" t="str">
        <f aca="false">IF(Checks!$AH$145="","",Checks!$AH$145)</f>
        <v>OPEN</v>
      </c>
    </row>
    <row r="33" customFormat="false" ht="267.75" hidden="false" customHeight="true" outlineLevel="0" collapsed="false">
      <c r="A33" s="120" t="str">
        <f aca="false">Checks!$A$146&amp;CHAR(10)&amp;IF(Checks!$I$146="","",Checks!$I$146&amp;": ")&amp;Checks!$J$146</f>
        <v>F05-T7-10
Uplift plan: Inbound KUL-NRT flight carrying KUL-sourced items identified and its KUL departure (UTC) entered on Flights col AX</v>
      </c>
      <c r="B33" s="120" t="str">
        <f aca="false">SUBSTITUTE(Checks!$K$146&amp;IF(Checks!$O$146="","",IF(Checks!$K$146="","",CHAR(10))&amp;"Note: "&amp;Checks!$O$146),"until Flights AX holds","until the workbook (Flights sheet) holds")</f>
        <v>KUL-sourced items (Toiletry kits) travel on the inbound KUL-NRT sector
Note: Cannot be passed until the workbook (Flights sheet) holds the carrying flight's KUL departure (no KUL-NRT flight before this leg in the agenda). Until then the prep and KUL-loading dues assume the agenda candidate's KUL departure, or if none, the latest possible one (STD minus the shortest agenda KUL-NRT block).</v>
      </c>
      <c r="C33" s="120" t="str">
        <f aca="false">Checks!$N$146&amp;CHAR(10)&amp;IF(ISNUMBER(Checks!$R$146),TEXT(Checks!$R$146,"DD-MMM-YY HH:MM"),"")&amp;" "&amp;Checks!$P$146</f>
        <v>Clarification required
08-Oct-26 09:05 KUL</v>
      </c>
      <c r="D33" s="120" t="str">
        <f aca="false">IF(TRIM(Checks!$U$146)&lt;&gt;"",Checks!$U$146&amp;IF(Checks!$AB$146="","",CHAR(10)&amp;"CA: "&amp;Checks!$AB$146),IF(LEFT(Checks!$AH$146,10)="N/A – RULE","","[ ] Pass"&amp;CHAR(10)&amp;"[ ] Pass after CA"&amp;CHAR(10)&amp;"[ ] Fail"&amp;IF(Checks!$AT$146=1,CHAR(10)&amp;"[ ] N/A","")&amp;CHAR(10)&amp;"CA: Open / Closed"))</f>
        <v>[ ] Pass
[ ] Pass after CA
[ ] Fail
CA: Open / Closed</v>
      </c>
      <c r="E33" s="120" t="str">
        <f aca="false">IF(Checks!$V$146="","",Checks!$V$146)&amp;IF(Checks!$AC$146="","",IF(Checks!$V$146="","",CHAR(10))&amp;"N/A just.: "&amp;Checks!$AC$146)&amp;IF(OR(Checks!$W$146&lt;&gt;"",AND(Checks!$AQ$146=1,NOT(LEFT(Checks!$AH$146,10)="N/A – RULE"))),CHAR(10)&amp;"Batch: "&amp;IF(Checks!$W$146="","____________",Checks!$W$146),"")&amp;IF(OR(Checks!$X$146&lt;&gt;"",Checks!$Y$146&lt;&gt;"",AND(Checks!$AR$146=1,NOT(LEFT(Checks!$AH$146,10)="N/A – RULE"))),CHAR(10)&amp;"Exp: "&amp;IF(Checks!$X$146="","______",Checks!$X$146)&amp;"  /  Act: "&amp;IF(Checks!$Y$146="","______",Checks!$Y$146),"")</f>
        <v/>
      </c>
      <c r="F33" s="120" t="str">
        <f aca="false">IF(AND(LEFT(Checks!$AH$146,10)="N/A – RULE",TRIM(Checks!$S$146&amp;Checks!$Z$146)=""),"","Type: "&amp;IF(TRIM(Checks!$S$146)="","______________ (see cover list)",Checks!$S$146)&amp;CHAR(10)&amp;"ID: "&amp;IF(TRIM(Checks!$Z$146)="","______________ (record's own no.)",Checks!$Z$146))&amp;IF(Checks!$AA$146="","",CHAR(10)&amp;"CA: "&amp;Checks!$AA$146)</f>
        <v>Type: ______________ (see cover list)
ID: ______________ (record's own no.)</v>
      </c>
      <c r="G33" s="120" t="str">
        <f aca="false">IF(AND(LEFT(Checks!$AH$146,10)="N/A – RULE",NOT(ISNUMBER(Checks!$AD$146)),Checks!$AE$146="",Checks!$T$146=""),"","Done: "&amp;IF(ISNUMBER(Checks!$AD$146),TEXT(Checks!$AD$146,"DD-MMM-YY HH:MM"),"____________")&amp;" "&amp;Checks!$P$146&amp;CHAR(10)&amp;"Verifier: "&amp;IF(Checks!$AE$146="","____________",Checks!$AE$146)&amp;CHAR(10)&amp;"PIC: "&amp;IF(Checks!$T$146="","____________",Checks!$T$146))</f>
        <v>Done: ____________ KUL
Verifier: ____________
PIC: ____________</v>
      </c>
      <c r="H33" s="121" t="str">
        <f aca="false">IF(Checks!$AH$146="","",Checks!$AH$146)</f>
        <v>OPEN – CLARIFICATION</v>
      </c>
    </row>
    <row r="34" customFormat="false" ht="25.5" hidden="false" customHeight="true" outlineLevel="0" collapsed="false">
      <c r="A34" s="119" t="str">
        <f aca="false">"T-24H — Production batch sensory  |  Due "&amp;IF(ISNUMBER(Flights!$AH$9),TEXT(Flights!$AH$9,"DD-MMM-YY HH:MM"),"")&amp;" "&amp;Flights!$V$9&amp;" (meal uplift stn)"&amp;" (rows with another due show their own)  |  Complete "&amp;IF(ISNUMBER(Flights!$AK$9),TEXT(Flights!$AK$9,"0%"),Flights!$AK$9)&amp;"  |  1 lines"</f>
        <v>T-24H — Production batch sensory  |  Due 14-Oct-26 10:05 NRT (meal uplift stn) (rows with another due show their own)  |  Complete 0%  |  1 lines</v>
      </c>
      <c r="B34" s="119"/>
      <c r="C34" s="119"/>
      <c r="D34" s="119"/>
      <c r="E34" s="119"/>
      <c r="F34" s="119"/>
      <c r="G34" s="119"/>
      <c r="H34" s="119"/>
    </row>
    <row r="35" customFormat="false" ht="114" hidden="false" customHeight="true" outlineLevel="0" collapsed="false">
      <c r="A35" s="120" t="str">
        <f aca="false">Checks!$A$147&amp;CHAR(10)&amp;IF(Checks!$I$147="","",Checks!$I$147&amp;": ")&amp;Checks!$J$147</f>
        <v>F05-T24-01
Meal: Sensory test repeated on ACTUAL production batch for this flight</v>
      </c>
      <c r="B35" s="120" t="str">
        <f aca="false">Checks!$K$147&amp;IF(Checks!$O$147="","",IF(Checks!$K$147="","",CHAR(10))&amp;"Note: "&amp;Checks!$O$147)</f>
        <v>Batch ID, result, CA and acceptance mandatory</v>
      </c>
      <c r="C35" s="120" t="str">
        <f aca="false">Checks!$N$147&amp;CHAR(10)&amp;IF(ISNUMBER(Checks!$R$147),TEXT(Checks!$R$147,"DD-MMM-YY HH:MM"),"")&amp;" "&amp;Checks!$P$147</f>
        <v>Required
14-Oct-26 10:05 NRT</v>
      </c>
      <c r="D35" s="120" t="str">
        <f aca="false">IF(TRIM(Checks!$U$147)&lt;&gt;"",Checks!$U$147&amp;IF(Checks!$AB$147="","",CHAR(10)&amp;"CA: "&amp;Checks!$AB$147),IF(LEFT(Checks!$AH$147,10)="N/A – RULE","","[ ] Pass"&amp;CHAR(10)&amp;"[ ] Pass after CA"&amp;CHAR(10)&amp;"[ ] Fail"&amp;IF(Checks!$AT$147=1,CHAR(10)&amp;"[ ] N/A","")&amp;CHAR(10)&amp;"CA: Open / Closed"))</f>
        <v>[ ] Pass
[ ] Pass after CA
[ ] Fail
CA: Open / Closed</v>
      </c>
      <c r="E35" s="120" t="str">
        <f aca="false">IF(Checks!$V$147="","",Checks!$V$147)&amp;IF(Checks!$AC$147="","",IF(Checks!$V$147="","",CHAR(10))&amp;"N/A just.: "&amp;Checks!$AC$147)&amp;IF(OR(Checks!$W$147&lt;&gt;"",AND(Checks!$AQ$147=1,NOT(LEFT(Checks!$AH$147,10)="N/A – RULE"))),CHAR(10)&amp;"Batch: "&amp;IF(Checks!$W$147="","____________",Checks!$W$147),"")&amp;IF(OR(Checks!$X$147&lt;&gt;"",Checks!$Y$147&lt;&gt;"",AND(Checks!$AR$147=1,NOT(LEFT(Checks!$AH$147,10)="N/A – RULE"))),CHAR(10)&amp;"Exp: "&amp;IF(Checks!$X$147="","______",Checks!$X$147)&amp;"  /  Act: "&amp;IF(Checks!$Y$147="","______",Checks!$Y$147),"")</f>
        <v>
Batch: ____________</v>
      </c>
      <c r="F35" s="120" t="str">
        <f aca="false">IF(AND(LEFT(Checks!$AH$147,10)="N/A – RULE",TRIM(Checks!$S$147&amp;Checks!$Z$147)=""),"","Type: "&amp;IF(TRIM(Checks!$S$147)="","______________ (see cover list)",Checks!$S$147)&amp;CHAR(10)&amp;"ID: "&amp;IF(TRIM(Checks!$Z$147)="","______________ (record's own no.)",Checks!$Z$147))&amp;IF(Checks!$AA$147="","",CHAR(10)&amp;"CA: "&amp;Checks!$AA$147)</f>
        <v>Type: ______________ (see cover list)
ID: ______________ (record's own no.)</v>
      </c>
      <c r="G35" s="120" t="str">
        <f aca="false">IF(AND(LEFT(Checks!$AH$147,10)="N/A – RULE",NOT(ISNUMBER(Checks!$AD$147)),Checks!$AE$147="",Checks!$T$147=""),"","Done: "&amp;IF(ISNUMBER(Checks!$AD$147),TEXT(Checks!$AD$147,"DD-MMM-YY HH:MM"),"____________")&amp;" "&amp;Checks!$P$147&amp;CHAR(10)&amp;"Verifier: "&amp;IF(Checks!$AE$147="","____________",Checks!$AE$147)&amp;CHAR(10)&amp;"PIC: "&amp;IF(Checks!$T$147="","____________",Checks!$T$147))</f>
        <v>Done: ____________ NRT
Verifier: ____________
PIC: ____________</v>
      </c>
      <c r="H35" s="121" t="str">
        <f aca="false">IF(Checks!$AH$147="","",Checks!$AH$147)</f>
        <v>OPEN</v>
      </c>
    </row>
    <row r="36" customFormat="false" ht="25.5" hidden="false" customHeight="true" outlineLevel="0" collapsed="false">
      <c r="A36" s="119" t="str">
        <f aca="false">"T-12H PREP — Preparation check at caterer (does NOT confirm loading)  |  Due "&amp;IF(ISNUMBER(Flights!$AI$9),TEXT(Flights!$AI$9,"DD-MMM-YY HH:MM"),"")&amp;" "&amp;Flights!$V$9&amp;" (meal uplift stn)"&amp;" (rows with another due show their own)  |  Complete "&amp;IF(ISNUMBER(Flights!$AL$9),TEXT(Flights!$AL$9,"0%"),Flights!$AL$9)&amp;"  |  11 lines"</f>
        <v>T-12H PREP — Preparation check at caterer (does NOT confirm loading)  |  Due 14-Oct-26 22:05 NRT (meal uplift stn) (rows with another due show their own)  |  Complete 0%  |  11 lines</v>
      </c>
      <c r="B36" s="119"/>
      <c r="C36" s="119"/>
      <c r="D36" s="119"/>
      <c r="E36" s="119"/>
      <c r="F36" s="119"/>
      <c r="G36" s="119"/>
      <c r="H36" s="119"/>
    </row>
    <row r="37" customFormat="false" ht="114" hidden="false" customHeight="true" outlineLevel="0" collapsed="false">
      <c r="A37" s="120" t="str">
        <f aca="false">Checks!$A$148&amp;CHAR(10)&amp;IF(Checks!$I$148="","",Checks!$I$148&amp;": ")&amp;Checks!$J$148</f>
        <v>F05-T12-01
Meal: Meal quality vs menu checklist</v>
      </c>
      <c r="B37" s="120" t="str">
        <f aca="false">Checks!$K$148&amp;IF(Checks!$O$148="","",IF(Checks!$K$148="","",CHAR(10))&amp;"Note: "&amp;Checks!$O$148)</f>
        <v>Note: Preparation check at caterer - does NOT confirm loading.</v>
      </c>
      <c r="C37" s="120" t="str">
        <f aca="false">Checks!$N$148&amp;CHAR(10)&amp;IF(ISNUMBER(Checks!$R$148),TEXT(Checks!$R$148,"DD-MMM-YY HH:MM"),"")&amp;" "&amp;Checks!$P$148</f>
        <v>Required
14-Oct-26 22:05 NRT</v>
      </c>
      <c r="D37" s="120" t="str">
        <f aca="false">IF(TRIM(Checks!$U$148)&lt;&gt;"",Checks!$U$148&amp;IF(Checks!$AB$148="","",CHAR(10)&amp;"CA: "&amp;Checks!$AB$148),IF(LEFT(Checks!$AH$148,10)="N/A – RULE","","[ ] Pass"&amp;CHAR(10)&amp;"[ ] Pass after CA"&amp;CHAR(10)&amp;"[ ] Fail"&amp;IF(Checks!$AT$148=1,CHAR(10)&amp;"[ ] N/A","")&amp;CHAR(10)&amp;"CA: Open / Closed"))</f>
        <v>[ ] Pass
[ ] Pass after CA
[ ] Fail
CA: Open / Closed</v>
      </c>
      <c r="E37" s="120" t="str">
        <f aca="false">IF(Checks!$V$148="","",Checks!$V$148)&amp;IF(Checks!$AC$148="","",IF(Checks!$V$148="","",CHAR(10))&amp;"N/A just.: "&amp;Checks!$AC$148)&amp;IF(OR(Checks!$W$148&lt;&gt;"",AND(Checks!$AQ$148=1,NOT(LEFT(Checks!$AH$148,10)="N/A – RULE"))),CHAR(10)&amp;"Batch: "&amp;IF(Checks!$W$148="","____________",Checks!$W$148),"")&amp;IF(OR(Checks!$X$148&lt;&gt;"",Checks!$Y$148&lt;&gt;"",AND(Checks!$AR$148=1,NOT(LEFT(Checks!$AH$148,10)="N/A – RULE"))),CHAR(10)&amp;"Exp: "&amp;IF(Checks!$X$148="","______",Checks!$X$148)&amp;"  /  Act: "&amp;IF(Checks!$Y$148="","______",Checks!$Y$148),"")</f>
        <v/>
      </c>
      <c r="F37" s="120" t="str">
        <f aca="false">IF(AND(LEFT(Checks!$AH$148,10)="N/A – RULE",TRIM(Checks!$S$148&amp;Checks!$Z$148)=""),"","Type: "&amp;IF(TRIM(Checks!$S$148)="","______________ (see cover list)",Checks!$S$148)&amp;CHAR(10)&amp;"ID: "&amp;IF(TRIM(Checks!$Z$148)="","______________ (record's own no.)",Checks!$Z$148))&amp;IF(Checks!$AA$148="","",CHAR(10)&amp;"CA: "&amp;Checks!$AA$148)</f>
        <v>Type: ______________ (see cover list)
ID: ______________ (record's own no.)</v>
      </c>
      <c r="G37" s="120" t="str">
        <f aca="false">IF(AND(LEFT(Checks!$AH$148,10)="N/A – RULE",NOT(ISNUMBER(Checks!$AD$148)),Checks!$AE$148="",Checks!$T$148=""),"","Done: "&amp;IF(ISNUMBER(Checks!$AD$148),TEXT(Checks!$AD$148,"DD-MMM-YY HH:MM"),"____________")&amp;" "&amp;Checks!$P$148&amp;CHAR(10)&amp;"Verifier: "&amp;IF(Checks!$AE$148="","____________",Checks!$AE$148)&amp;CHAR(10)&amp;"PIC: "&amp;IF(Checks!$T$148="","____________",Checks!$T$148))</f>
        <v>Done: ____________ NRT
Verifier: ____________
PIC: ____________</v>
      </c>
      <c r="H37" s="121" t="str">
        <f aca="false">IF(Checks!$AH$148="","",Checks!$AH$148)</f>
        <v>OPEN</v>
      </c>
    </row>
    <row r="38" customFormat="false" ht="114" hidden="false" customHeight="true" outlineLevel="0" collapsed="false">
      <c r="A38" s="120" t="str">
        <f aca="false">Checks!$A$149&amp;CHAR(10)&amp;IF(Checks!$I$149="","",Checks!$I$149&amp;": ")&amp;Checks!$J$149</f>
        <v>F05-T12-02
Meal: Meal quantities vs menu checklist</v>
      </c>
      <c r="B38" s="120" t="str">
        <f aca="false">Checks!$K$149&amp;IF(Checks!$O$149="","",IF(Checks!$K$149="","",CHAR(10))&amp;"Note: "&amp;Checks!$O$149)</f>
        <v>Enter expected &amp; actual
Note: Preparation check at caterer - does NOT confirm loading.</v>
      </c>
      <c r="C38" s="120" t="str">
        <f aca="false">Checks!$N$149&amp;CHAR(10)&amp;IF(ISNUMBER(Checks!$R$149),TEXT(Checks!$R$149,"DD-MMM-YY HH:MM"),"")&amp;" "&amp;Checks!$P$149</f>
        <v>Required
14-Oct-26 22:05 NRT</v>
      </c>
      <c r="D38" s="120" t="str">
        <f aca="false">IF(TRIM(Checks!$U$149)&lt;&gt;"",Checks!$U$149&amp;IF(Checks!$AB$149="","",CHAR(10)&amp;"CA: "&amp;Checks!$AB$149),IF(LEFT(Checks!$AH$149,10)="N/A – RULE","","[ ] Pass"&amp;CHAR(10)&amp;"[ ] Pass after CA"&amp;CHAR(10)&amp;"[ ] Fail"&amp;IF(Checks!$AT$149=1,CHAR(10)&amp;"[ ] N/A","")&amp;CHAR(10)&amp;"CA: Open / Closed"))</f>
        <v>[ ] Pass
[ ] Pass after CA
[ ] Fail
CA: Open / Closed</v>
      </c>
      <c r="E38" s="120" t="str">
        <f aca="false">IF(Checks!$V$149="","",Checks!$V$149)&amp;IF(Checks!$AC$149="","",IF(Checks!$V$149="","",CHAR(10))&amp;"N/A just.: "&amp;Checks!$AC$149)&amp;IF(OR(Checks!$W$149&lt;&gt;"",AND(Checks!$AQ$149=1,NOT(LEFT(Checks!$AH$149,10)="N/A – RULE"))),CHAR(10)&amp;"Batch: "&amp;IF(Checks!$W$149="","____________",Checks!$W$149),"")&amp;IF(OR(Checks!$X$149&lt;&gt;"",Checks!$Y$149&lt;&gt;"",AND(Checks!$AR$149=1,NOT(LEFT(Checks!$AH$149,10)="N/A – RULE"))),CHAR(10)&amp;"Exp: "&amp;IF(Checks!$X$149="","______",Checks!$X$149)&amp;"  /  Act: "&amp;IF(Checks!$Y$149="","______",Checks!$Y$149),"")</f>
        <v>
Exp: ______  /  Act: ______</v>
      </c>
      <c r="F38" s="120" t="str">
        <f aca="false">IF(AND(LEFT(Checks!$AH$149,10)="N/A – RULE",TRIM(Checks!$S$149&amp;Checks!$Z$149)=""),"","Type: "&amp;IF(TRIM(Checks!$S$149)="","______________ (see cover list)",Checks!$S$149)&amp;CHAR(10)&amp;"ID: "&amp;IF(TRIM(Checks!$Z$149)="","______________ (record's own no.)",Checks!$Z$149))&amp;IF(Checks!$AA$149="","",CHAR(10)&amp;"CA: "&amp;Checks!$AA$149)</f>
        <v>Type: ______________ (see cover list)
ID: ______________ (record's own no.)</v>
      </c>
      <c r="G38" s="120" t="str">
        <f aca="false">IF(AND(LEFT(Checks!$AH$149,10)="N/A – RULE",NOT(ISNUMBER(Checks!$AD$149)),Checks!$AE$149="",Checks!$T$149=""),"","Done: "&amp;IF(ISNUMBER(Checks!$AD$149),TEXT(Checks!$AD$149,"DD-MMM-YY HH:MM"),"____________")&amp;" "&amp;Checks!$P$149&amp;CHAR(10)&amp;"Verifier: "&amp;IF(Checks!$AE$149="","____________",Checks!$AE$149)&amp;CHAR(10)&amp;"PIC: "&amp;IF(Checks!$T$149="","____________",Checks!$T$149))</f>
        <v>Done: ____________ NRT
Verifier: ____________
PIC: ____________</v>
      </c>
      <c r="H38" s="121" t="str">
        <f aca="false">IF(Checks!$AH$149="","",Checks!$AH$149)</f>
        <v>OPEN</v>
      </c>
    </row>
    <row r="39" customFormat="false" ht="114" hidden="false" customHeight="true" outlineLevel="0" collapsed="false">
      <c r="A39" s="120" t="str">
        <f aca="false">Checks!$A$150&amp;CHAR(10)&amp;IF(Checks!$I$150="","",Checks!$I$150&amp;": ")&amp;Checks!$J$150</f>
        <v>F05-T12-03
Equipment: Equipment cleanliness vs GLD</v>
      </c>
      <c r="B39" s="120" t="str">
        <f aca="false">Checks!$K$150&amp;IF(Checks!$O$150="","",IF(Checks!$K$150="","",CHAR(10))&amp;"Note: "&amp;Checks!$O$150)</f>
        <v>Note: Preparation check at caterer - does NOT confirm loading.</v>
      </c>
      <c r="C39" s="120" t="str">
        <f aca="false">Checks!$N$150&amp;CHAR(10)&amp;IF(ISNUMBER(Checks!$R$150),TEXT(Checks!$R$150,"DD-MMM-YY HH:MM"),"")&amp;" "&amp;Checks!$P$150</f>
        <v>Required
14-Oct-26 22:05 NRT</v>
      </c>
      <c r="D39" s="120" t="str">
        <f aca="false">IF(TRIM(Checks!$U$150)&lt;&gt;"",Checks!$U$150&amp;IF(Checks!$AB$150="","",CHAR(10)&amp;"CA: "&amp;Checks!$AB$150),IF(LEFT(Checks!$AH$150,10)="N/A – RULE","","[ ] Pass"&amp;CHAR(10)&amp;"[ ] Pass after CA"&amp;CHAR(10)&amp;"[ ] Fail"&amp;IF(Checks!$AT$150=1,CHAR(10)&amp;"[ ] N/A","")&amp;CHAR(10)&amp;"CA: Open / Closed"))</f>
        <v>[ ] Pass
[ ] Pass after CA
[ ] Fail
CA: Open / Closed</v>
      </c>
      <c r="E39" s="120" t="str">
        <f aca="false">IF(Checks!$V$150="","",Checks!$V$150)&amp;IF(Checks!$AC$150="","",IF(Checks!$V$150="","",CHAR(10))&amp;"N/A just.: "&amp;Checks!$AC$150)&amp;IF(OR(Checks!$W$150&lt;&gt;"",AND(Checks!$AQ$150=1,NOT(LEFT(Checks!$AH$150,10)="N/A – RULE"))),CHAR(10)&amp;"Batch: "&amp;IF(Checks!$W$150="","____________",Checks!$W$150),"")&amp;IF(OR(Checks!$X$150&lt;&gt;"",Checks!$Y$150&lt;&gt;"",AND(Checks!$AR$150=1,NOT(LEFT(Checks!$AH$150,10)="N/A – RULE"))),CHAR(10)&amp;"Exp: "&amp;IF(Checks!$X$150="","______",Checks!$X$150)&amp;"  /  Act: "&amp;IF(Checks!$Y$150="","______",Checks!$Y$150),"")</f>
        <v/>
      </c>
      <c r="F39" s="120" t="str">
        <f aca="false">IF(AND(LEFT(Checks!$AH$150,10)="N/A – RULE",TRIM(Checks!$S$150&amp;Checks!$Z$150)=""),"","Type: "&amp;IF(TRIM(Checks!$S$150)="","______________ (see cover list)",Checks!$S$150)&amp;CHAR(10)&amp;"ID: "&amp;IF(TRIM(Checks!$Z$150)="","______________ (record's own no.)",Checks!$Z$150))&amp;IF(Checks!$AA$150="","",CHAR(10)&amp;"CA: "&amp;Checks!$AA$150)</f>
        <v>Type: ______________ (see cover list)
ID: ______________ (record's own no.)</v>
      </c>
      <c r="G39" s="120" t="str">
        <f aca="false">IF(AND(LEFT(Checks!$AH$150,10)="N/A – RULE",NOT(ISNUMBER(Checks!$AD$150)),Checks!$AE$150="",Checks!$T$150=""),"","Done: "&amp;IF(ISNUMBER(Checks!$AD$150),TEXT(Checks!$AD$150,"DD-MMM-YY HH:MM"),"____________")&amp;" "&amp;Checks!$P$150&amp;CHAR(10)&amp;"Verifier: "&amp;IF(Checks!$AE$150="","____________",Checks!$AE$150)&amp;CHAR(10)&amp;"PIC: "&amp;IF(Checks!$T$150="","____________",Checks!$T$150))</f>
        <v>Done: ____________ NRT
Verifier: ____________
PIC: ____________</v>
      </c>
      <c r="H39" s="121" t="str">
        <f aca="false">IF(Checks!$AH$150="","",Checks!$AH$150)</f>
        <v>OPEN</v>
      </c>
    </row>
    <row r="40" customFormat="false" ht="114" hidden="false" customHeight="true" outlineLevel="0" collapsed="false">
      <c r="A40" s="120" t="str">
        <f aca="false">Checks!$A$151&amp;CHAR(10)&amp;IF(Checks!$I$151="","",Checks!$I$151&amp;": ")&amp;Checks!$J$151</f>
        <v>F05-T12-04
Equipment: Equipment presentation vs GLD</v>
      </c>
      <c r="B40" s="120" t="str">
        <f aca="false">Checks!$K$151&amp;IF(Checks!$O$151="","",IF(Checks!$K$151="","",CHAR(10))&amp;"Note: "&amp;Checks!$O$151)</f>
        <v>Note: Preparation check at caterer - does NOT confirm loading.</v>
      </c>
      <c r="C40" s="120" t="str">
        <f aca="false">Checks!$N$151&amp;CHAR(10)&amp;IF(ISNUMBER(Checks!$R$151),TEXT(Checks!$R$151,"DD-MMM-YY HH:MM"),"")&amp;" "&amp;Checks!$P$151</f>
        <v>Required
14-Oct-26 22:05 NRT</v>
      </c>
      <c r="D40" s="120" t="str">
        <f aca="false">IF(TRIM(Checks!$U$151)&lt;&gt;"",Checks!$U$151&amp;IF(Checks!$AB$151="","",CHAR(10)&amp;"CA: "&amp;Checks!$AB$151),IF(LEFT(Checks!$AH$151,10)="N/A – RULE","","[ ] Pass"&amp;CHAR(10)&amp;"[ ] Pass after CA"&amp;CHAR(10)&amp;"[ ] Fail"&amp;IF(Checks!$AT$151=1,CHAR(10)&amp;"[ ] N/A","")&amp;CHAR(10)&amp;"CA: Open / Closed"))</f>
        <v>[ ] Pass
[ ] Pass after CA
[ ] Fail
CA: Open / Closed</v>
      </c>
      <c r="E40" s="120" t="str">
        <f aca="false">IF(Checks!$V$151="","",Checks!$V$151)&amp;IF(Checks!$AC$151="","",IF(Checks!$V$151="","",CHAR(10))&amp;"N/A just.: "&amp;Checks!$AC$151)&amp;IF(OR(Checks!$W$151&lt;&gt;"",AND(Checks!$AQ$151=1,NOT(LEFT(Checks!$AH$151,10)="N/A – RULE"))),CHAR(10)&amp;"Batch: "&amp;IF(Checks!$W$151="","____________",Checks!$W$151),"")&amp;IF(OR(Checks!$X$151&lt;&gt;"",Checks!$Y$151&lt;&gt;"",AND(Checks!$AR$151=1,NOT(LEFT(Checks!$AH$151,10)="N/A – RULE"))),CHAR(10)&amp;"Exp: "&amp;IF(Checks!$X$151="","______",Checks!$X$151)&amp;"  /  Act: "&amp;IF(Checks!$Y$151="","______",Checks!$Y$151),"")</f>
        <v/>
      </c>
      <c r="F40" s="120" t="str">
        <f aca="false">IF(AND(LEFT(Checks!$AH$151,10)="N/A – RULE",TRIM(Checks!$S$151&amp;Checks!$Z$151)=""),"","Type: "&amp;IF(TRIM(Checks!$S$151)="","______________ (see cover list)",Checks!$S$151)&amp;CHAR(10)&amp;"ID: "&amp;IF(TRIM(Checks!$Z$151)="","______________ (record's own no.)",Checks!$Z$151))&amp;IF(Checks!$AA$151="","",CHAR(10)&amp;"CA: "&amp;Checks!$AA$151)</f>
        <v>Type: ______________ (see cover list)
ID: ______________ (record's own no.)</v>
      </c>
      <c r="G40" s="120" t="str">
        <f aca="false">IF(AND(LEFT(Checks!$AH$151,10)="N/A – RULE",NOT(ISNUMBER(Checks!$AD$151)),Checks!$AE$151="",Checks!$T$151=""),"","Done: "&amp;IF(ISNUMBER(Checks!$AD$151),TEXT(Checks!$AD$151,"DD-MMM-YY HH:MM"),"____________")&amp;" "&amp;Checks!$P$151&amp;CHAR(10)&amp;"Verifier: "&amp;IF(Checks!$AE$151="","____________",Checks!$AE$151)&amp;CHAR(10)&amp;"PIC: "&amp;IF(Checks!$T$151="","____________",Checks!$T$151))</f>
        <v>Done: ____________ NRT
Verifier: ____________
PIC: ____________</v>
      </c>
      <c r="H40" s="121" t="str">
        <f aca="false">IF(Checks!$AH$151="","",Checks!$AH$151)</f>
        <v>OPEN</v>
      </c>
    </row>
    <row r="41" customFormat="false" ht="114" hidden="false" customHeight="true" outlineLevel="0" collapsed="false">
      <c r="A41" s="120" t="str">
        <f aca="false">Checks!$A$152&amp;CHAR(10)&amp;IF(Checks!$I$152="","",Checks!$I$152&amp;": ")&amp;Checks!$J$152</f>
        <v>F05-T12-05
Equipment: Equipment serviceability vs GLD</v>
      </c>
      <c r="B41" s="120" t="str">
        <f aca="false">Checks!$K$152&amp;IF(Checks!$O$152="","",IF(Checks!$K$152="","",CHAR(10))&amp;"Note: "&amp;Checks!$O$152)</f>
        <v>Note: Preparation check at caterer - does NOT confirm loading.</v>
      </c>
      <c r="C41" s="120" t="str">
        <f aca="false">Checks!$N$152&amp;CHAR(10)&amp;IF(ISNUMBER(Checks!$R$152),TEXT(Checks!$R$152,"DD-MMM-YY HH:MM"),"")&amp;" "&amp;Checks!$P$152</f>
        <v>Required
14-Oct-26 22:05 NRT</v>
      </c>
      <c r="D41" s="120" t="str">
        <f aca="false">IF(TRIM(Checks!$U$152)&lt;&gt;"",Checks!$U$152&amp;IF(Checks!$AB$152="","",CHAR(10)&amp;"CA: "&amp;Checks!$AB$152),IF(LEFT(Checks!$AH$152,10)="N/A – RULE","","[ ] Pass"&amp;CHAR(10)&amp;"[ ] Pass after CA"&amp;CHAR(10)&amp;"[ ] Fail"&amp;IF(Checks!$AT$152=1,CHAR(10)&amp;"[ ] N/A","")&amp;CHAR(10)&amp;"CA: Open / Closed"))</f>
        <v>[ ] Pass
[ ] Pass after CA
[ ] Fail
CA: Open / Closed</v>
      </c>
      <c r="E41" s="120" t="str">
        <f aca="false">IF(Checks!$V$152="","",Checks!$V$152)&amp;IF(Checks!$AC$152="","",IF(Checks!$V$152="","",CHAR(10))&amp;"N/A just.: "&amp;Checks!$AC$152)&amp;IF(OR(Checks!$W$152&lt;&gt;"",AND(Checks!$AQ$152=1,NOT(LEFT(Checks!$AH$152,10)="N/A – RULE"))),CHAR(10)&amp;"Batch: "&amp;IF(Checks!$W$152="","____________",Checks!$W$152),"")&amp;IF(OR(Checks!$X$152&lt;&gt;"",Checks!$Y$152&lt;&gt;"",AND(Checks!$AR$152=1,NOT(LEFT(Checks!$AH$152,10)="N/A – RULE"))),CHAR(10)&amp;"Exp: "&amp;IF(Checks!$X$152="","______",Checks!$X$152)&amp;"  /  Act: "&amp;IF(Checks!$Y$152="","______",Checks!$Y$152),"")</f>
        <v/>
      </c>
      <c r="F41" s="120" t="str">
        <f aca="false">IF(AND(LEFT(Checks!$AH$152,10)="N/A – RULE",TRIM(Checks!$S$152&amp;Checks!$Z$152)=""),"","Type: "&amp;IF(TRIM(Checks!$S$152)="","______________ (see cover list)",Checks!$S$152)&amp;CHAR(10)&amp;"ID: "&amp;IF(TRIM(Checks!$Z$152)="","______________ (record's own no.)",Checks!$Z$152))&amp;IF(Checks!$AA$152="","",CHAR(10)&amp;"CA: "&amp;Checks!$AA$152)</f>
        <v>Type: ______________ (see cover list)
ID: ______________ (record's own no.)</v>
      </c>
      <c r="G41" s="120" t="str">
        <f aca="false">IF(AND(LEFT(Checks!$AH$152,10)="N/A – RULE",NOT(ISNUMBER(Checks!$AD$152)),Checks!$AE$152="",Checks!$T$152=""),"","Done: "&amp;IF(ISNUMBER(Checks!$AD$152),TEXT(Checks!$AD$152,"DD-MMM-YY HH:MM"),"____________")&amp;" "&amp;Checks!$P$152&amp;CHAR(10)&amp;"Verifier: "&amp;IF(Checks!$AE$152="","____________",Checks!$AE$152)&amp;CHAR(10)&amp;"PIC: "&amp;IF(Checks!$T$152="","____________",Checks!$T$152))</f>
        <v>Done: ____________ NRT
Verifier: ____________
PIC: ____________</v>
      </c>
      <c r="H41" s="121" t="str">
        <f aca="false">IF(Checks!$AH$152="","",Checks!$AH$152)</f>
        <v>OPEN</v>
      </c>
    </row>
    <row r="42" customFormat="false" ht="289.5" hidden="false" customHeight="true" outlineLevel="0" collapsed="false">
      <c r="A42" s="120" t="str">
        <f aca="false">Checks!$A$153&amp;CHAR(10)&amp;IF(Checks!$I$153="","",Checks!$I$153&amp;": ")&amp;Checks!$J$153</f>
        <v>F05-T12-06
Equipment: Equipment quantities vs GLD</v>
      </c>
      <c r="B42" s="120" t="str">
        <f aca="false">SUBSTITUTE(SUBSTITUTE(SUBSTITUTE(Checks!$K$153&amp;IF(Checks!$O$153="","",IF(Checks!$K$153="","",CHAR(10))&amp;"Note: "&amp;Checks!$O$153),"makers -,","makers n/a,")," (AIRCRAFT TYPE!C6:R6)","")," (AIRCRAFT TYPE!C7:R7)","")</f>
        <v>Enter expected &amp; actual. Aircraft galley data: A350-900 (A359): carts 50.5, SU 70, ovens 14, warming ovens 3, fridges 3, water heaters 7, beverage makers n/a, espresso 2, folding trolleys 4, headsets BC &amp; EY: Dual Pin | A350-900 (A350): carts 41.5, SU 52, ovens 14, warming ovens 0, fridges 1, water heaters 11, beverage makers n/a, espresso 1, folding trolleys 3, headsets BC: Dual Pin/ EY: Single Pin
Note: Preparation check at caterer - does NOT confirm loading.</v>
      </c>
      <c r="C42" s="120" t="str">
        <f aca="false">Checks!$N$153&amp;CHAR(10)&amp;IF(ISNUMBER(Checks!$R$153),TEXT(Checks!$R$153,"DD-MMM-YY HH:MM"),"")&amp;" "&amp;Checks!$P$153</f>
        <v>Required
14-Oct-26 22:05 NRT</v>
      </c>
      <c r="D42" s="120" t="str">
        <f aca="false">IF(TRIM(Checks!$U$153)&lt;&gt;"",Checks!$U$153&amp;IF(Checks!$AB$153="","",CHAR(10)&amp;"CA: "&amp;Checks!$AB$153),IF(LEFT(Checks!$AH$153,10)="N/A – RULE","","[ ] Pass"&amp;CHAR(10)&amp;"[ ] Pass after CA"&amp;CHAR(10)&amp;"[ ] Fail"&amp;IF(Checks!$AT$153=1,CHAR(10)&amp;"[ ] N/A","")&amp;CHAR(10)&amp;"CA: Open / Closed"))</f>
        <v>[ ] Pass
[ ] Pass after CA
[ ] Fail
CA: Open / Closed</v>
      </c>
      <c r="E42" s="120" t="str">
        <f aca="false">IF(Checks!$V$153="","",Checks!$V$153)&amp;IF(Checks!$AC$153="","",IF(Checks!$V$153="","",CHAR(10))&amp;"N/A just.: "&amp;Checks!$AC$153)&amp;IF(OR(Checks!$W$153&lt;&gt;"",AND(Checks!$AQ$153=1,NOT(LEFT(Checks!$AH$153,10)="N/A – RULE"))),CHAR(10)&amp;"Batch: "&amp;IF(Checks!$W$153="","____________",Checks!$W$153),"")&amp;IF(OR(Checks!$X$153&lt;&gt;"",Checks!$Y$153&lt;&gt;"",AND(Checks!$AR$153=1,NOT(LEFT(Checks!$AH$153,10)="N/A – RULE"))),CHAR(10)&amp;"Exp: "&amp;IF(Checks!$X$153="","______",Checks!$X$153)&amp;"  /  Act: "&amp;IF(Checks!$Y$153="","______",Checks!$Y$153),"")</f>
        <v>
Exp: ______  /  Act: ______</v>
      </c>
      <c r="F42" s="120" t="str">
        <f aca="false">IF(AND(LEFT(Checks!$AH$153,10)="N/A – RULE",TRIM(Checks!$S$153&amp;Checks!$Z$153)=""),"","Type: "&amp;IF(TRIM(Checks!$S$153)="","______________ (see cover list)",Checks!$S$153)&amp;CHAR(10)&amp;"ID: "&amp;IF(TRIM(Checks!$Z$153)="","______________ (record's own no.)",Checks!$Z$153))&amp;IF(Checks!$AA$153="","",CHAR(10)&amp;"CA: "&amp;Checks!$AA$153)</f>
        <v>Type: ______________ (see cover list)
ID: ______________ (record's own no.)</v>
      </c>
      <c r="G42" s="120" t="str">
        <f aca="false">IF(AND(LEFT(Checks!$AH$153,10)="N/A – RULE",NOT(ISNUMBER(Checks!$AD$153)),Checks!$AE$153="",Checks!$T$153=""),"","Done: "&amp;IF(ISNUMBER(Checks!$AD$153),TEXT(Checks!$AD$153,"DD-MMM-YY HH:MM"),"____________")&amp;" "&amp;Checks!$P$153&amp;CHAR(10)&amp;"Verifier: "&amp;IF(Checks!$AE$153="","____________",Checks!$AE$153)&amp;CHAR(10)&amp;"PIC: "&amp;IF(Checks!$T$153="","____________",Checks!$T$153))</f>
        <v>Done: ____________ NRT
Verifier: ____________
PIC: ____________</v>
      </c>
      <c r="H42" s="121" t="str">
        <f aca="false">IF(Checks!$AH$153="","",Checks!$AH$153)</f>
        <v>OPEN</v>
      </c>
    </row>
    <row r="43" customFormat="false" ht="114" hidden="false" customHeight="true" outlineLevel="0" collapsed="false">
      <c r="A43" s="120" t="str">
        <f aca="false">Checks!$A$154&amp;CHAR(10)&amp;IF(Checks!$I$154="","",Checks!$I$154&amp;": ")&amp;Checks!$J$154</f>
        <v>F05-T12-07
Equipment: Loading positions planned vs GLD</v>
      </c>
      <c r="B43" s="120" t="str">
        <f aca="false">Checks!$K$154&amp;IF(Checks!$O$154="","",IF(Checks!$K$154="","",CHAR(10))&amp;"Note: "&amp;Checks!$O$154)</f>
        <v>Note: Preparation check at caterer - does NOT confirm loading.</v>
      </c>
      <c r="C43" s="120" t="str">
        <f aca="false">Checks!$N$154&amp;CHAR(10)&amp;IF(ISNUMBER(Checks!$R$154),TEXT(Checks!$R$154,"DD-MMM-YY HH:MM"),"")&amp;" "&amp;Checks!$P$154</f>
        <v>Required
14-Oct-26 22:05 NRT</v>
      </c>
      <c r="D43" s="120" t="str">
        <f aca="false">IF(TRIM(Checks!$U$154)&lt;&gt;"",Checks!$U$154&amp;IF(Checks!$AB$154="","",CHAR(10)&amp;"CA: "&amp;Checks!$AB$154),IF(LEFT(Checks!$AH$154,10)="N/A – RULE","","[ ] Pass"&amp;CHAR(10)&amp;"[ ] Pass after CA"&amp;CHAR(10)&amp;"[ ] Fail"&amp;IF(Checks!$AT$154=1,CHAR(10)&amp;"[ ] N/A","")&amp;CHAR(10)&amp;"CA: Open / Closed"))</f>
        <v>[ ] Pass
[ ] Pass after CA
[ ] Fail
CA: Open / Closed</v>
      </c>
      <c r="E43" s="120" t="str">
        <f aca="false">IF(Checks!$V$154="","",Checks!$V$154)&amp;IF(Checks!$AC$154="","",IF(Checks!$V$154="","",CHAR(10))&amp;"N/A just.: "&amp;Checks!$AC$154)&amp;IF(OR(Checks!$W$154&lt;&gt;"",AND(Checks!$AQ$154=1,NOT(LEFT(Checks!$AH$154,10)="N/A – RULE"))),CHAR(10)&amp;"Batch: "&amp;IF(Checks!$W$154="","____________",Checks!$W$154),"")&amp;IF(OR(Checks!$X$154&lt;&gt;"",Checks!$Y$154&lt;&gt;"",AND(Checks!$AR$154=1,NOT(LEFT(Checks!$AH$154,10)="N/A – RULE"))),CHAR(10)&amp;"Exp: "&amp;IF(Checks!$X$154="","______",Checks!$X$154)&amp;"  /  Act: "&amp;IF(Checks!$Y$154="","______",Checks!$Y$154),"")</f>
        <v/>
      </c>
      <c r="F43" s="120" t="str">
        <f aca="false">IF(AND(LEFT(Checks!$AH$154,10)="N/A – RULE",TRIM(Checks!$S$154&amp;Checks!$Z$154)=""),"","Type: "&amp;IF(TRIM(Checks!$S$154)="","______________ (see cover list)",Checks!$S$154)&amp;CHAR(10)&amp;"ID: "&amp;IF(TRIM(Checks!$Z$154)="","______________ (record's own no.)",Checks!$Z$154))&amp;IF(Checks!$AA$154="","",CHAR(10)&amp;"CA: "&amp;Checks!$AA$154)</f>
        <v>Type: ______________ (see cover list)
ID: ______________ (record's own no.)</v>
      </c>
      <c r="G43" s="120" t="str">
        <f aca="false">IF(AND(LEFT(Checks!$AH$154,10)="N/A – RULE",NOT(ISNUMBER(Checks!$AD$154)),Checks!$AE$154="",Checks!$T$154=""),"","Done: "&amp;IF(ISNUMBER(Checks!$AD$154),TEXT(Checks!$AD$154,"DD-MMM-YY HH:MM"),"____________")&amp;" "&amp;Checks!$P$154&amp;CHAR(10)&amp;"Verifier: "&amp;IF(Checks!$AE$154="","____________",Checks!$AE$154)&amp;CHAR(10)&amp;"PIC: "&amp;IF(Checks!$T$154="","____________",Checks!$T$154))</f>
        <v>Done: ____________ NRT
Verifier: ____________
PIC: ____________</v>
      </c>
      <c r="H43" s="121" t="str">
        <f aca="false">IF(Checks!$AH$154="","",Checks!$AH$154)</f>
        <v>OPEN</v>
      </c>
    </row>
    <row r="44" customFormat="false" ht="201.75" hidden="false" customHeight="true" outlineLevel="0" collapsed="false">
      <c r="A44" s="120" t="str">
        <f aca="false">Checks!$A$155&amp;CHAR(10)&amp;IF(Checks!$I$155="","",Checks!$I$155&amp;": ")&amp;Checks!$J$155</f>
        <v>F05-T12-08
Amenities: Toiletry kits - prepared</v>
      </c>
      <c r="B44" s="120" t="str">
        <f aca="false">SUBSTITUTE(Checks!$K$155&amp;IF(Checks!$O$155="","",IF(Checks!$K$155="","",CHAR(10))&amp;"Note: "&amp;Checks!$O$155)," (Flights AX)","")</f>
        <v>Available for sector (ticked in reference)
Note: Reference does not state the cabin class for toiletry kits. Confirm whether EY receives them; if not, mark N/A with the confirmation as justification. Loaded at KUL on the inbound KUL-NRT flight: due = that flight's KUL departure minus the uplift window.</v>
      </c>
      <c r="C44" s="120" t="str">
        <f aca="false">Checks!$N$155&amp;CHAR(10)&amp;IF(ISNUMBER(Checks!$R$155),TEXT(Checks!$R$155,"DD-MMM-YY HH:MM"),"")&amp;" "&amp;Checks!$P$155</f>
        <v>Clarification required
14-Oct-26 19:55 KUL</v>
      </c>
      <c r="D44" s="120" t="str">
        <f aca="false">IF(TRIM(Checks!$U$155)&lt;&gt;"",Checks!$U$155&amp;IF(Checks!$AB$155="","",CHAR(10)&amp;"CA: "&amp;Checks!$AB$155),IF(LEFT(Checks!$AH$155,10)="N/A – RULE","","[ ] Pass"&amp;CHAR(10)&amp;"[ ] Pass after CA"&amp;CHAR(10)&amp;"[ ] Fail"&amp;IF(Checks!$AT$155=1,CHAR(10)&amp;"[ ] N/A","")&amp;CHAR(10)&amp;"CA: Open / Closed"))</f>
        <v>[ ] Pass
[ ] Pass after CA
[ ] Fail
[ ] N/A
CA: Open / Closed</v>
      </c>
      <c r="E44" s="120" t="str">
        <f aca="false">IF(Checks!$V$155="","",Checks!$V$155)&amp;IF(Checks!$AC$155="","",IF(Checks!$V$155="","",CHAR(10))&amp;"N/A just.: "&amp;Checks!$AC$155)&amp;IF(OR(Checks!$W$155&lt;&gt;"",AND(Checks!$AQ$155=1,NOT(LEFT(Checks!$AH$155,10)="N/A – RULE"))),CHAR(10)&amp;"Batch: "&amp;IF(Checks!$W$155="","____________",Checks!$W$155),"")&amp;IF(OR(Checks!$X$155&lt;&gt;"",Checks!$Y$155&lt;&gt;"",AND(Checks!$AR$155=1,NOT(LEFT(Checks!$AH$155,10)="N/A – RULE"))),CHAR(10)&amp;"Exp: "&amp;IF(Checks!$X$155="","______",Checks!$X$155)&amp;"  /  Act: "&amp;IF(Checks!$Y$155="","______",Checks!$Y$155),"")</f>
        <v/>
      </c>
      <c r="F44" s="120" t="str">
        <f aca="false">IF(AND(LEFT(Checks!$AH$155,10)="N/A – RULE",TRIM(Checks!$S$155&amp;Checks!$Z$155)=""),"","Type: "&amp;IF(TRIM(Checks!$S$155)="","______________ (see cover list)",Checks!$S$155)&amp;CHAR(10)&amp;"ID: "&amp;IF(TRIM(Checks!$Z$155)="","______________ (record's own no.)",Checks!$Z$155))&amp;IF(Checks!$AA$155="","",CHAR(10)&amp;"CA: "&amp;Checks!$AA$155)</f>
        <v>Type: ______________ (see cover list)
ID: ______________ (record's own no.)</v>
      </c>
      <c r="G44" s="120" t="str">
        <f aca="false">IF(AND(LEFT(Checks!$AH$155,10)="N/A – RULE",NOT(ISNUMBER(Checks!$AD$155)),Checks!$AE$155="",Checks!$T$155=""),"","Done: "&amp;IF(ISNUMBER(Checks!$AD$155),TEXT(Checks!$AD$155,"DD-MMM-YY HH:MM"),"____________")&amp;" "&amp;Checks!$P$155&amp;CHAR(10)&amp;"Verifier: "&amp;IF(Checks!$AE$155="","____________",Checks!$AE$155)&amp;CHAR(10)&amp;"PIC: "&amp;IF(Checks!$T$155="","____________",Checks!$T$155))</f>
        <v>Done: ____________ KUL
Verifier: ____________
PIC: ____________</v>
      </c>
      <c r="H44" s="121" t="str">
        <f aca="false">IF(Checks!$AH$155="","",Checks!$AH$155)</f>
        <v>OPEN – CLARIFICATION</v>
      </c>
    </row>
    <row r="45" customFormat="false" ht="114" hidden="false" customHeight="true" outlineLevel="0" collapsed="false">
      <c r="A45" s="120" t="str">
        <f aca="false">Checks!$A$156&amp;CHAR(10)&amp;IF(Checks!$I$156="","",Checks!$I$156&amp;": ")&amp;Checks!$J$156</f>
        <v>F05-T12-09
Seat Linen: Seat pillow (EY) - prepared</v>
      </c>
      <c r="B45" s="120" t="str">
        <f aca="false">Checks!$K$156&amp;IF(Checks!$O$156="","",IF(Checks!$K$156="","",CHAR(10))&amp;"Note: "&amp;Checks!$O$156)</f>
        <v>Available 100% (ticked in reference)
Note: Reference gives no uplift stn for this item: preparation checked at the meal uplift stn (NRT) - confirm with caterer.</v>
      </c>
      <c r="C45" s="120" t="str">
        <f aca="false">Checks!$N$156&amp;CHAR(10)&amp;IF(ISNUMBER(Checks!$R$156),TEXT(Checks!$R$156,"DD-MMM-YY HH:MM"),"")&amp;" "&amp;Checks!$P$156</f>
        <v>Required
14-Oct-26 22:05 NRT</v>
      </c>
      <c r="D45" s="120" t="str">
        <f aca="false">IF(TRIM(Checks!$U$156)&lt;&gt;"",Checks!$U$156&amp;IF(Checks!$AB$156="","",CHAR(10)&amp;"CA: "&amp;Checks!$AB$156),IF(LEFT(Checks!$AH$156,10)="N/A – RULE","","[ ] Pass"&amp;CHAR(10)&amp;"[ ] Pass after CA"&amp;CHAR(10)&amp;"[ ] Fail"&amp;IF(Checks!$AT$156=1,CHAR(10)&amp;"[ ] N/A","")&amp;CHAR(10)&amp;"CA: Open / Closed"))</f>
        <v>[ ] Pass
[ ] Pass after CA
[ ] Fail
CA: Open / Closed</v>
      </c>
      <c r="E45" s="120" t="str">
        <f aca="false">IF(Checks!$V$156="","",Checks!$V$156)&amp;IF(Checks!$AC$156="","",IF(Checks!$V$156="","",CHAR(10))&amp;"N/A just.: "&amp;Checks!$AC$156)&amp;IF(OR(Checks!$W$156&lt;&gt;"",AND(Checks!$AQ$156=1,NOT(LEFT(Checks!$AH$156,10)="N/A – RULE"))),CHAR(10)&amp;"Batch: "&amp;IF(Checks!$W$156="","____________",Checks!$W$156),"")&amp;IF(OR(Checks!$X$156&lt;&gt;"",Checks!$Y$156&lt;&gt;"",AND(Checks!$AR$156=1,NOT(LEFT(Checks!$AH$156,10)="N/A – RULE"))),CHAR(10)&amp;"Exp: "&amp;IF(Checks!$X$156="","______",Checks!$X$156)&amp;"  /  Act: "&amp;IF(Checks!$Y$156="","______",Checks!$Y$156),"")</f>
        <v/>
      </c>
      <c r="F45" s="120" t="str">
        <f aca="false">IF(AND(LEFT(Checks!$AH$156,10)="N/A – RULE",TRIM(Checks!$S$156&amp;Checks!$Z$156)=""),"","Type: "&amp;IF(TRIM(Checks!$S$156)="","______________ (see cover list)",Checks!$S$156)&amp;CHAR(10)&amp;"ID: "&amp;IF(TRIM(Checks!$Z$156)="","______________ (record's own no.)",Checks!$Z$156))&amp;IF(Checks!$AA$156="","",CHAR(10)&amp;"CA: "&amp;Checks!$AA$156)</f>
        <v>Type: ______________ (see cover list)
ID: ______________ (record's own no.)</v>
      </c>
      <c r="G45" s="120" t="str">
        <f aca="false">IF(AND(LEFT(Checks!$AH$156,10)="N/A – RULE",NOT(ISNUMBER(Checks!$AD$156)),Checks!$AE$156="",Checks!$T$156=""),"","Done: "&amp;IF(ISNUMBER(Checks!$AD$156),TEXT(Checks!$AD$156,"DD-MMM-YY HH:MM"),"____________")&amp;" "&amp;Checks!$P$156&amp;CHAR(10)&amp;"Verifier: "&amp;IF(Checks!$AE$156="","____________",Checks!$AE$156)&amp;CHAR(10)&amp;"PIC: "&amp;IF(Checks!$T$156="","____________",Checks!$T$156))</f>
        <v>Done: ____________ NRT
Verifier: ____________
PIC: ____________</v>
      </c>
      <c r="H45" s="121" t="str">
        <f aca="false">IF(Checks!$AH$156="","",Checks!$AH$156)</f>
        <v>OPEN</v>
      </c>
    </row>
    <row r="46" customFormat="false" ht="201.75" hidden="false" customHeight="true" outlineLevel="0" collapsed="false">
      <c r="A46" s="120" t="str">
        <f aca="false">Checks!$A$157&amp;CHAR(10)&amp;IF(Checks!$I$157="","",Checks!$I$157&amp;": ")&amp;Checks!$J$157</f>
        <v>F05-T12-10
Seat Linen: Blanket (EY) - prepared</v>
      </c>
      <c r="B46" s="120" t="str">
        <f aca="false">SUBSTITUTE(SUBSTITUTE(SUBSTITUTE(Checks!$K$157&amp;IF(Checks!$O$157="","",IF(Checks!$K$157="","",CHAR(10))&amp;"Note: "&amp;Checks!$O$157)," (SEAT LINEN!B74:C74)","")," (SEAT LINEN!B76:C76)","")," (SEAT LINEN!B77:C77)","")</f>
        <v>Available 100% (ticked in reference); qty 280 (A350 9M-MAH) / 260 (A359) - per tail
Note: EY blanket: flight above 3 hours excl. Regional; block 7.67 h. Qty per tail: A350 280 pcs, A359 260 pcs. Reference gives no uplift stn for this item: preparation checked at the meal uplift stn (NRT) - confirm with caterer.</v>
      </c>
      <c r="C46" s="120" t="str">
        <f aca="false">Checks!$N$157&amp;CHAR(10)&amp;IF(ISNUMBER(Checks!$R$157),TEXT(Checks!$R$157,"DD-MMM-YY HH:MM"),"")&amp;" "&amp;Checks!$P$157</f>
        <v>Required
14-Oct-26 22:05 NRT</v>
      </c>
      <c r="D46" s="120" t="str">
        <f aca="false">IF(TRIM(Checks!$U$157)&lt;&gt;"",Checks!$U$157&amp;IF(Checks!$AB$157="","",CHAR(10)&amp;"CA: "&amp;Checks!$AB$157),IF(LEFT(Checks!$AH$157,10)="N/A – RULE","","[ ] Pass"&amp;CHAR(10)&amp;"[ ] Pass after CA"&amp;CHAR(10)&amp;"[ ] Fail"&amp;IF(Checks!$AT$157=1,CHAR(10)&amp;"[ ] N/A","")&amp;CHAR(10)&amp;"CA: Open / Closed"))</f>
        <v>[ ] Pass
[ ] Pass after CA
[ ] Fail
CA: Open / Closed</v>
      </c>
      <c r="E46" s="120" t="str">
        <f aca="false">IF(Checks!$V$157="","",Checks!$V$157)&amp;IF(Checks!$AC$157="","",IF(Checks!$V$157="","",CHAR(10))&amp;"N/A just.: "&amp;Checks!$AC$157)&amp;IF(OR(Checks!$W$157&lt;&gt;"",AND(Checks!$AQ$157=1,NOT(LEFT(Checks!$AH$157,10)="N/A – RULE"))),CHAR(10)&amp;"Batch: "&amp;IF(Checks!$W$157="","____________",Checks!$W$157),"")&amp;IF(OR(Checks!$X$157&lt;&gt;"",Checks!$Y$157&lt;&gt;"",AND(Checks!$AR$157=1,NOT(LEFT(Checks!$AH$157,10)="N/A – RULE"))),CHAR(10)&amp;"Exp: "&amp;IF(Checks!$X$157="","______",Checks!$X$157)&amp;"  /  Act: "&amp;IF(Checks!$Y$157="","______",Checks!$Y$157),"")</f>
        <v>
Exp: ______  /  Act: ______</v>
      </c>
      <c r="F46" s="120" t="str">
        <f aca="false">IF(AND(LEFT(Checks!$AH$157,10)="N/A – RULE",TRIM(Checks!$S$157&amp;Checks!$Z$157)=""),"","Type: "&amp;IF(TRIM(Checks!$S$157)="","______________ (see cover list)",Checks!$S$157)&amp;CHAR(10)&amp;"ID: "&amp;IF(TRIM(Checks!$Z$157)="","______________ (record's own no.)",Checks!$Z$157))&amp;IF(Checks!$AA$157="","",CHAR(10)&amp;"CA: "&amp;Checks!$AA$157)</f>
        <v>Type: ______________ (see cover list)
ID: ______________ (record's own no.)</v>
      </c>
      <c r="G46" s="120" t="str">
        <f aca="false">IF(AND(LEFT(Checks!$AH$157,10)="N/A – RULE",NOT(ISNUMBER(Checks!$AD$157)),Checks!$AE$157="",Checks!$T$157=""),"","Done: "&amp;IF(ISNUMBER(Checks!$AD$157),TEXT(Checks!$AD$157,"DD-MMM-YY HH:MM"),"____________")&amp;" "&amp;Checks!$P$157&amp;CHAR(10)&amp;"Verifier: "&amp;IF(Checks!$AE$157="","____________",Checks!$AE$157)&amp;CHAR(10)&amp;"PIC: "&amp;IF(Checks!$T$157="","____________",Checks!$T$157))</f>
        <v>Done: ____________ NRT
Verifier: ____________
PIC: ____________</v>
      </c>
      <c r="H46" s="121" t="str">
        <f aca="false">IF(Checks!$AH$157="","",Checks!$AH$157)</f>
        <v>OPEN</v>
      </c>
    </row>
    <row r="47" customFormat="false" ht="256.5" hidden="false" customHeight="true" outlineLevel="0" collapsed="false">
      <c r="A47" s="120" t="str">
        <f aca="false">Checks!$A$158&amp;CHAR(10)&amp;IF(Checks!$I$158="","",Checks!$I$158&amp;": ")&amp;Checks!$J$158</f>
        <v>F05-T12-11
Sales Cart: Sales cart (caterer PASB) - prepared</v>
      </c>
      <c r="B47" s="120" t="str">
        <f aca="false">Checks!$K$158&amp;IF(Checks!$O$158="","",IF(Checks!$K$158="","",CHAR(10))&amp;"Note: "&amp;Checks!$O$158)</f>
        <v>A359: 5R41A &amp; 5R42A (not applicable for LHR) (full cart); 9M-MAH: G4F13A (half cart) - per tail
Note: Block 7.67 h &gt;= 4 h. Location depends on tail. Reference names caterer PASB for the KUL/NRT/KUL sector but no uplift station: confirm whether the NRT-KUL sales cart is loaded at KUL (round trip) or at NRT. Reference gives no uplift stn for this item: preparation checked at the meal uplift stn (NRT) - confirm with caterer.</v>
      </c>
      <c r="C47" s="120" t="str">
        <f aca="false">Checks!$N$158&amp;CHAR(10)&amp;IF(ISNUMBER(Checks!$R$158),TEXT(Checks!$R$158,"DD-MMM-YY HH:MM"),"")&amp;" "&amp;Checks!$P$158</f>
        <v>Clarification required
14-Oct-26 22:05 NRT</v>
      </c>
      <c r="D47" s="120" t="str">
        <f aca="false">IF(TRIM(Checks!$U$158)&lt;&gt;"",Checks!$U$158&amp;IF(Checks!$AB$158="","",CHAR(10)&amp;"CA: "&amp;Checks!$AB$158),IF(LEFT(Checks!$AH$158,10)="N/A – RULE","","[ ] Pass"&amp;CHAR(10)&amp;"[ ] Pass after CA"&amp;CHAR(10)&amp;"[ ] Fail"&amp;IF(Checks!$AT$158=1,CHAR(10)&amp;"[ ] N/A","")&amp;CHAR(10)&amp;"CA: Open / Closed"))</f>
        <v>[ ] Pass
[ ] Pass after CA
[ ] Fail
[ ] N/A
CA: Open / Closed</v>
      </c>
      <c r="E47" s="120" t="str">
        <f aca="false">IF(Checks!$V$158="","",Checks!$V$158)&amp;IF(Checks!$AC$158="","",IF(Checks!$V$158="","",CHAR(10))&amp;"N/A just.: "&amp;Checks!$AC$158)&amp;IF(OR(Checks!$W$158&lt;&gt;"",AND(Checks!$AQ$158=1,NOT(LEFT(Checks!$AH$158,10)="N/A – RULE"))),CHAR(10)&amp;"Batch: "&amp;IF(Checks!$W$158="","____________",Checks!$W$158),"")&amp;IF(OR(Checks!$X$158&lt;&gt;"",Checks!$Y$158&lt;&gt;"",AND(Checks!$AR$158=1,NOT(LEFT(Checks!$AH$158,10)="N/A – RULE"))),CHAR(10)&amp;"Exp: "&amp;IF(Checks!$X$158="","______",Checks!$X$158)&amp;"  /  Act: "&amp;IF(Checks!$Y$158="","______",Checks!$Y$158),"")</f>
        <v/>
      </c>
      <c r="F47" s="120" t="str">
        <f aca="false">IF(AND(LEFT(Checks!$AH$158,10)="N/A – RULE",TRIM(Checks!$S$158&amp;Checks!$Z$158)=""),"","Type: "&amp;IF(TRIM(Checks!$S$158)="","______________ (see cover list)",Checks!$S$158)&amp;CHAR(10)&amp;"ID: "&amp;IF(TRIM(Checks!$Z$158)="","______________ (record's own no.)",Checks!$Z$158))&amp;IF(Checks!$AA$158="","",CHAR(10)&amp;"CA: "&amp;Checks!$AA$158)</f>
        <v>Type: ______________ (see cover list)
ID: ______________ (record's own no.)</v>
      </c>
      <c r="G47" s="120" t="str">
        <f aca="false">IF(AND(LEFT(Checks!$AH$158,10)="N/A – RULE",NOT(ISNUMBER(Checks!$AD$158)),Checks!$AE$158="",Checks!$T$158=""),"","Done: "&amp;IF(ISNUMBER(Checks!$AD$158),TEXT(Checks!$AD$158,"DD-MMM-YY HH:MM"),"____________")&amp;" "&amp;Checks!$P$158&amp;CHAR(10)&amp;"Verifier: "&amp;IF(Checks!$AE$158="","____________",Checks!$AE$158)&amp;CHAR(10)&amp;"PIC: "&amp;IF(Checks!$T$158="","____________",Checks!$T$158))</f>
        <v>Done: ____________ NRT
Verifier: ____________
PIC: ____________</v>
      </c>
      <c r="H47" s="121" t="str">
        <f aca="false">IF(Checks!$AH$158="","",Checks!$AH$158)</f>
        <v>OPEN – CLARIFICATION</v>
      </c>
    </row>
    <row r="48" customFormat="false" ht="25.5" hidden="false" customHeight="true" outlineLevel="0" collapsed="false">
      <c r="A48" s="119" t="str">
        <f aca="false">"UPLIFT — Physical uplift – on-board confirmation before departure  |  Due "&amp;"STD "&amp;IF(ISNUMBER(Flights!$I$9),TEXT(Flights!$I$9,"DD-MMM-YY HH:MM"),"")&amp;" "&amp;Flights!$G$9&amp;" (departure stn)"&amp;" (rows with another due show their own)  |  Complete "&amp;IF(ISNUMBER(Flights!$AM$9),TEXT(Flights!$AM$9,"0%"),Flights!$AM$9)&amp;"  |  7 lines"</f>
        <v>UPLIFT — Physical uplift – on-board confirmation before departure  |  Due STD 15-Oct-26 10:05 NRT (departure stn) (rows with another due show their own)  |  Complete 0%  |  7 lines</v>
      </c>
      <c r="B48" s="119"/>
      <c r="C48" s="119"/>
      <c r="D48" s="119"/>
      <c r="E48" s="119"/>
      <c r="F48" s="119"/>
      <c r="G48" s="119"/>
      <c r="H48" s="119"/>
    </row>
    <row r="49" customFormat="false" ht="114" hidden="false" customHeight="true" outlineLevel="0" collapsed="false">
      <c r="A49" s="120" t="str">
        <f aca="false">Checks!$A$159&amp;CHAR(10)&amp;IF(Checks!$I$159="","",Checks!$I$159&amp;": ")&amp;Checks!$J$159</f>
        <v>F05-UPL-01
Meal: Meals physically uplifted on board - quantity vs menu checklist</v>
      </c>
      <c r="B49" s="120" t="str">
        <f aca="false">Checks!$K$159&amp;IF(Checks!$O$159="","",IF(Checks!$K$159="","",CHAR(10))&amp;"Note: "&amp;Checks!$O$159)</f>
        <v>Enter expected &amp; actual
Note: Confirm on board before departure; completion time must fall inside the uplift window.</v>
      </c>
      <c r="C49" s="120" t="str">
        <f aca="false">Checks!$N$159&amp;CHAR(10)&amp;IF(ISNUMBER(Checks!$R$159),TEXT(Checks!$R$159,"DD-MMM-YY HH:MM"),"")&amp;" "&amp;Checks!$P$159</f>
        <v>Required
15-Oct-26 10:05 NRT</v>
      </c>
      <c r="D49" s="120" t="str">
        <f aca="false">IF(TRIM(Checks!$U$159)&lt;&gt;"",Checks!$U$159&amp;IF(Checks!$AB$159="","",CHAR(10)&amp;"CA: "&amp;Checks!$AB$159),IF(LEFT(Checks!$AH$159,10)="N/A – RULE","","[ ] Pass"&amp;CHAR(10)&amp;"[ ] Pass after CA"&amp;CHAR(10)&amp;"[ ] Fail"&amp;IF(Checks!$AT$159=1,CHAR(10)&amp;"[ ] N/A","")&amp;CHAR(10)&amp;"CA: Open / Closed"))</f>
        <v>[ ] Pass
[ ] Pass after CA
[ ] Fail
CA: Open / Closed</v>
      </c>
      <c r="E49" s="120" t="str">
        <f aca="false">IF(Checks!$V$159="","",Checks!$V$159)&amp;IF(Checks!$AC$159="","",IF(Checks!$V$159="","",CHAR(10))&amp;"N/A just.: "&amp;Checks!$AC$159)&amp;IF(OR(Checks!$W$159&lt;&gt;"",AND(Checks!$AQ$159=1,NOT(LEFT(Checks!$AH$159,10)="N/A – RULE"))),CHAR(10)&amp;"Batch: "&amp;IF(Checks!$W$159="","____________",Checks!$W$159),"")&amp;IF(OR(Checks!$X$159&lt;&gt;"",Checks!$Y$159&lt;&gt;"",AND(Checks!$AR$159=1,NOT(LEFT(Checks!$AH$159,10)="N/A – RULE"))),CHAR(10)&amp;"Exp: "&amp;IF(Checks!$X$159="","______",Checks!$X$159)&amp;"  /  Act: "&amp;IF(Checks!$Y$159="","______",Checks!$Y$159),"")</f>
        <v>
Exp: ______  /  Act: ______</v>
      </c>
      <c r="F49" s="120" t="str">
        <f aca="false">IF(AND(LEFT(Checks!$AH$159,10)="N/A – RULE",TRIM(Checks!$S$159&amp;Checks!$Z$159)=""),"","Type: "&amp;IF(TRIM(Checks!$S$159)="","______________ (see cover list)",Checks!$S$159)&amp;CHAR(10)&amp;"ID: "&amp;IF(TRIM(Checks!$Z$159)="","______________ (record's own no.)",Checks!$Z$159))&amp;IF(Checks!$AA$159="","",CHAR(10)&amp;"CA: "&amp;Checks!$AA$159)</f>
        <v>Type: ______________ (see cover list)
ID: ______________ (record's own no.)</v>
      </c>
      <c r="G49" s="120" t="str">
        <f aca="false">IF(AND(LEFT(Checks!$AH$159,10)="N/A – RULE",NOT(ISNUMBER(Checks!$AD$159)),Checks!$AE$159="",Checks!$T$159=""),"","Done: "&amp;IF(ISNUMBER(Checks!$AD$159),TEXT(Checks!$AD$159,"DD-MMM-YY HH:MM"),"____________")&amp;" "&amp;Checks!$P$159&amp;CHAR(10)&amp;"Verifier: "&amp;IF(Checks!$AE$159="","____________",Checks!$AE$159)&amp;CHAR(10)&amp;"PIC: "&amp;IF(Checks!$T$159="","____________",Checks!$T$159))</f>
        <v>Done: ____________ NRT
Verifier: ____________
PIC: ____________</v>
      </c>
      <c r="H49" s="121" t="str">
        <f aca="false">IF(Checks!$AH$159="","",Checks!$AH$159)</f>
        <v>OPEN</v>
      </c>
    </row>
    <row r="50" customFormat="false" ht="114" hidden="false" customHeight="true" outlineLevel="0" collapsed="false">
      <c r="A50" s="120" t="str">
        <f aca="false">Checks!$A$160&amp;CHAR(10)&amp;IF(Checks!$I$160="","",Checks!$I$160&amp;": ")&amp;Checks!$J$160</f>
        <v>F05-UPL-02
Equipment: Equipment physically loaded at GLD positions - quantity &amp; positions</v>
      </c>
      <c r="B50" s="120" t="str">
        <f aca="false">Checks!$K$160&amp;IF(Checks!$O$160="","",IF(Checks!$K$160="","",CHAR(10))&amp;"Note: "&amp;Checks!$O$160)</f>
        <v>Enter expected &amp; actual
Note: Confirm on board before departure; completion time must fall inside the uplift window.</v>
      </c>
      <c r="C50" s="120" t="str">
        <f aca="false">Checks!$N$160&amp;CHAR(10)&amp;IF(ISNUMBER(Checks!$R$160),TEXT(Checks!$R$160,"DD-MMM-YY HH:MM"),"")&amp;" "&amp;Checks!$P$160</f>
        <v>Required
15-Oct-26 10:05 NRT</v>
      </c>
      <c r="D50" s="120" t="str">
        <f aca="false">IF(TRIM(Checks!$U$160)&lt;&gt;"",Checks!$U$160&amp;IF(Checks!$AB$160="","",CHAR(10)&amp;"CA: "&amp;Checks!$AB$160),IF(LEFT(Checks!$AH$160,10)="N/A – RULE","","[ ] Pass"&amp;CHAR(10)&amp;"[ ] Pass after CA"&amp;CHAR(10)&amp;"[ ] Fail"&amp;IF(Checks!$AT$160=1,CHAR(10)&amp;"[ ] N/A","")&amp;CHAR(10)&amp;"CA: Open / Closed"))</f>
        <v>[ ] Pass
[ ] Pass after CA
[ ] Fail
CA: Open / Closed</v>
      </c>
      <c r="E50" s="120" t="str">
        <f aca="false">IF(Checks!$V$160="","",Checks!$V$160)&amp;IF(Checks!$AC$160="","",IF(Checks!$V$160="","",CHAR(10))&amp;"N/A just.: "&amp;Checks!$AC$160)&amp;IF(OR(Checks!$W$160&lt;&gt;"",AND(Checks!$AQ$160=1,NOT(LEFT(Checks!$AH$160,10)="N/A – RULE"))),CHAR(10)&amp;"Batch: "&amp;IF(Checks!$W$160="","____________",Checks!$W$160),"")&amp;IF(OR(Checks!$X$160&lt;&gt;"",Checks!$Y$160&lt;&gt;"",AND(Checks!$AR$160=1,NOT(LEFT(Checks!$AH$160,10)="N/A – RULE"))),CHAR(10)&amp;"Exp: "&amp;IF(Checks!$X$160="","______",Checks!$X$160)&amp;"  /  Act: "&amp;IF(Checks!$Y$160="","______",Checks!$Y$160),"")</f>
        <v>
Exp: ______  /  Act: ______</v>
      </c>
      <c r="F50" s="120" t="str">
        <f aca="false">IF(AND(LEFT(Checks!$AH$160,10)="N/A – RULE",TRIM(Checks!$S$160&amp;Checks!$Z$160)=""),"","Type: "&amp;IF(TRIM(Checks!$S$160)="","______________ (see cover list)",Checks!$S$160)&amp;CHAR(10)&amp;"ID: "&amp;IF(TRIM(Checks!$Z$160)="","______________ (record's own no.)",Checks!$Z$160))&amp;IF(Checks!$AA$160="","",CHAR(10)&amp;"CA: "&amp;Checks!$AA$160)</f>
        <v>Type: ______________ (see cover list)
ID: ______________ (record's own no.)</v>
      </c>
      <c r="G50" s="120" t="str">
        <f aca="false">IF(AND(LEFT(Checks!$AH$160,10)="N/A – RULE",NOT(ISNUMBER(Checks!$AD$160)),Checks!$AE$160="",Checks!$T$160=""),"","Done: "&amp;IF(ISNUMBER(Checks!$AD$160),TEXT(Checks!$AD$160,"DD-MMM-YY HH:MM"),"____________")&amp;" "&amp;Checks!$P$160&amp;CHAR(10)&amp;"Verifier: "&amp;IF(Checks!$AE$160="","____________",Checks!$AE$160)&amp;CHAR(10)&amp;"PIC: "&amp;IF(Checks!$T$160="","____________",Checks!$T$160))</f>
        <v>Done: ____________ NRT
Verifier: ____________
PIC: ____________</v>
      </c>
      <c r="H50" s="121" t="str">
        <f aca="false">IF(Checks!$AH$160="","",Checks!$AH$160)</f>
        <v>OPEN</v>
      </c>
    </row>
    <row r="51" customFormat="false" ht="114" hidden="false" customHeight="true" outlineLevel="0" collapsed="false">
      <c r="A51" s="120" t="str">
        <f aca="false">Checks!$A$161&amp;CHAR(10)&amp;IF(Checks!$I$161="","",Checks!$I$161&amp;": ")&amp;Checks!$J$161</f>
        <v>F05-UPL-03
Uplift plan: KUL-sourced items physically loaded at KUL on the inbound KUL-NRT flight</v>
      </c>
      <c r="B51" s="120" t="str">
        <f aca="false">SUBSTITUTE(Checks!$K$161&amp;IF(Checks!$O$161="","",IF(Checks!$K$161="","",CHAR(10))&amp;"Note: "&amp;Checks!$O$161)," (Flights AX)","")</f>
        <v>Items: Toiletry kits. Quantities as per Requirements
Note: Confirmed at KUL inside the uplift window before the carrying flight's KUL departure.</v>
      </c>
      <c r="C51" s="120" t="str">
        <f aca="false">Checks!$N$161&amp;CHAR(10)&amp;IF(ISNUMBER(Checks!$R$161),TEXT(Checks!$R$161,"DD-MMM-YY HH:MM"),"")&amp;" "&amp;Checks!$P$161</f>
        <v>Required
15-Oct-26 01:55 KUL</v>
      </c>
      <c r="D51" s="120" t="str">
        <f aca="false">IF(TRIM(Checks!$U$161)&lt;&gt;"",Checks!$U$161&amp;IF(Checks!$AB$161="","",CHAR(10)&amp;"CA: "&amp;Checks!$AB$161),IF(LEFT(Checks!$AH$161,10)="N/A – RULE","","[ ] Pass"&amp;CHAR(10)&amp;"[ ] Pass after CA"&amp;CHAR(10)&amp;"[ ] Fail"&amp;IF(Checks!$AT$161=1,CHAR(10)&amp;"[ ] N/A","")&amp;CHAR(10)&amp;"CA: Open / Closed"))</f>
        <v>[ ] Pass
[ ] Pass after CA
[ ] Fail
CA: Open / Closed</v>
      </c>
      <c r="E51" s="120" t="str">
        <f aca="false">IF(Checks!$V$161="","",Checks!$V$161)&amp;IF(Checks!$AC$161="","",IF(Checks!$V$161="","",CHAR(10))&amp;"N/A just.: "&amp;Checks!$AC$161)&amp;IF(OR(Checks!$W$161&lt;&gt;"",AND(Checks!$AQ$161=1,NOT(LEFT(Checks!$AH$161,10)="N/A – RULE"))),CHAR(10)&amp;"Batch: "&amp;IF(Checks!$W$161="","____________",Checks!$W$161),"")&amp;IF(OR(Checks!$X$161&lt;&gt;"",Checks!$Y$161&lt;&gt;"",AND(Checks!$AR$161=1,NOT(LEFT(Checks!$AH$161,10)="N/A – RULE"))),CHAR(10)&amp;"Exp: "&amp;IF(Checks!$X$161="","______",Checks!$X$161)&amp;"  /  Act: "&amp;IF(Checks!$Y$161="","______",Checks!$Y$161),"")</f>
        <v/>
      </c>
      <c r="F51" s="120" t="str">
        <f aca="false">IF(AND(LEFT(Checks!$AH$161,10)="N/A – RULE",TRIM(Checks!$S$161&amp;Checks!$Z$161)=""),"","Type: "&amp;IF(TRIM(Checks!$S$161)="","______________ (see cover list)",Checks!$S$161)&amp;CHAR(10)&amp;"ID: "&amp;IF(TRIM(Checks!$Z$161)="","______________ (record's own no.)",Checks!$Z$161))&amp;IF(Checks!$AA$161="","",CHAR(10)&amp;"CA: "&amp;Checks!$AA$161)</f>
        <v>Type: ______________ (see cover list)
ID: ______________ (record's own no.)</v>
      </c>
      <c r="G51" s="120" t="str">
        <f aca="false">IF(AND(LEFT(Checks!$AH$161,10)="N/A – RULE",NOT(ISNUMBER(Checks!$AD$161)),Checks!$AE$161="",Checks!$T$161=""),"","Done: "&amp;IF(ISNUMBER(Checks!$AD$161),TEXT(Checks!$AD$161,"DD-MMM-YY HH:MM"),"____________")&amp;" "&amp;Checks!$P$161&amp;CHAR(10)&amp;"Verifier: "&amp;IF(Checks!$AE$161="","____________",Checks!$AE$161)&amp;CHAR(10)&amp;"PIC: "&amp;IF(Checks!$T$161="","____________",Checks!$T$161))</f>
        <v>Done: ____________ KUL
Verifier: ____________
PIC: ____________</v>
      </c>
      <c r="H51" s="121" t="str">
        <f aca="false">IF(Checks!$AH$161="","",Checks!$AH$161)</f>
        <v>OPEN</v>
      </c>
    </row>
    <row r="52" customFormat="false" ht="135.75" hidden="false" customHeight="true" outlineLevel="0" collapsed="false">
      <c r="A52" s="120" t="str">
        <f aca="false">Checks!$A$162&amp;CHAR(10)&amp;IF(Checks!$I$162="","",Checks!$I$162&amp;": ")&amp;Checks!$J$162</f>
        <v>F05-UPL-04
Amenities: Toiletry kits - on board</v>
      </c>
      <c r="B52" s="120" t="str">
        <f aca="false">Checks!$K$162&amp;IF(Checks!$O$162="","",IF(Checks!$K$162="","",CHAR(10))&amp;"Note: "&amp;Checks!$O$162)</f>
        <v>Available for sector (ticked in reference)
Note: Reference does not state the cabin class for toiletry kits. Confirm whether EY receives them; if not, mark N/A with the confirmation as justification.</v>
      </c>
      <c r="C52" s="120" t="str">
        <f aca="false">Checks!$N$162&amp;CHAR(10)&amp;IF(ISNUMBER(Checks!$R$162),TEXT(Checks!$R$162,"DD-MMM-YY HH:MM"),"")&amp;" "&amp;Checks!$P$162</f>
        <v>Clarification required
15-Oct-26 10:05 NRT</v>
      </c>
      <c r="D52" s="120" t="str">
        <f aca="false">IF(TRIM(Checks!$U$162)&lt;&gt;"",Checks!$U$162&amp;IF(Checks!$AB$162="","",CHAR(10)&amp;"CA: "&amp;Checks!$AB$162),IF(LEFT(Checks!$AH$162,10)="N/A – RULE","","[ ] Pass"&amp;CHAR(10)&amp;"[ ] Pass after CA"&amp;CHAR(10)&amp;"[ ] Fail"&amp;IF(Checks!$AT$162=1,CHAR(10)&amp;"[ ] N/A","")&amp;CHAR(10)&amp;"CA: Open / Closed"))</f>
        <v>[ ] Pass
[ ] Pass after CA
[ ] Fail
[ ] N/A
CA: Open / Closed</v>
      </c>
      <c r="E52" s="120" t="str">
        <f aca="false">IF(Checks!$V$162="","",Checks!$V$162)&amp;IF(Checks!$AC$162="","",IF(Checks!$V$162="","",CHAR(10))&amp;"N/A just.: "&amp;Checks!$AC$162)&amp;IF(OR(Checks!$W$162&lt;&gt;"",AND(Checks!$AQ$162=1,NOT(LEFT(Checks!$AH$162,10)="N/A – RULE"))),CHAR(10)&amp;"Batch: "&amp;IF(Checks!$W$162="","____________",Checks!$W$162),"")&amp;IF(OR(Checks!$X$162&lt;&gt;"",Checks!$Y$162&lt;&gt;"",AND(Checks!$AR$162=1,NOT(LEFT(Checks!$AH$162,10)="N/A – RULE"))),CHAR(10)&amp;"Exp: "&amp;IF(Checks!$X$162="","______",Checks!$X$162)&amp;"  /  Act: "&amp;IF(Checks!$Y$162="","______",Checks!$Y$162),"")</f>
        <v/>
      </c>
      <c r="F52" s="120" t="str">
        <f aca="false">IF(AND(LEFT(Checks!$AH$162,10)="N/A – RULE",TRIM(Checks!$S$162&amp;Checks!$Z$162)=""),"","Type: "&amp;IF(TRIM(Checks!$S$162)="","______________ (see cover list)",Checks!$S$162)&amp;CHAR(10)&amp;"ID: "&amp;IF(TRIM(Checks!$Z$162)="","______________ (record's own no.)",Checks!$Z$162))&amp;IF(Checks!$AA$162="","",CHAR(10)&amp;"CA: "&amp;Checks!$AA$162)</f>
        <v>Type: ______________ (see cover list)
ID: ______________ (record's own no.)</v>
      </c>
      <c r="G52" s="120" t="str">
        <f aca="false">IF(AND(LEFT(Checks!$AH$162,10)="N/A – RULE",NOT(ISNUMBER(Checks!$AD$162)),Checks!$AE$162="",Checks!$T$162=""),"","Done: "&amp;IF(ISNUMBER(Checks!$AD$162),TEXT(Checks!$AD$162,"DD-MMM-YY HH:MM"),"____________")&amp;" "&amp;Checks!$P$162&amp;CHAR(10)&amp;"Verifier: "&amp;IF(Checks!$AE$162="","____________",Checks!$AE$162)&amp;CHAR(10)&amp;"PIC: "&amp;IF(Checks!$T$162="","____________",Checks!$T$162))</f>
        <v>Done: ____________ NRT
Verifier: ____________
PIC: ____________</v>
      </c>
      <c r="H52" s="121" t="str">
        <f aca="false">IF(Checks!$AH$162="","",Checks!$AH$162)</f>
        <v>OPEN – CLARIFICATION</v>
      </c>
    </row>
    <row r="53" customFormat="false" ht="114" hidden="false" customHeight="true" outlineLevel="0" collapsed="false">
      <c r="A53" s="120" t="str">
        <f aca="false">Checks!$A$163&amp;CHAR(10)&amp;IF(Checks!$I$163="","",Checks!$I$163&amp;": ")&amp;Checks!$J$163</f>
        <v>F05-UPL-05
Seat Linen: Seat pillow (EY) - on board</v>
      </c>
      <c r="B53" s="120" t="str">
        <f aca="false">Checks!$K$163&amp;IF(Checks!$O$163="","",IF(Checks!$K$163="","",CHAR(10))&amp;"Note: "&amp;Checks!$O$163)</f>
        <v>Available 100% (ticked in reference)</v>
      </c>
      <c r="C53" s="120" t="str">
        <f aca="false">Checks!$N$163&amp;CHAR(10)&amp;IF(ISNUMBER(Checks!$R$163),TEXT(Checks!$R$163,"DD-MMM-YY HH:MM"),"")&amp;" "&amp;Checks!$P$163</f>
        <v>Required
15-Oct-26 10:05 NRT</v>
      </c>
      <c r="D53" s="120" t="str">
        <f aca="false">IF(TRIM(Checks!$U$163)&lt;&gt;"",Checks!$U$163&amp;IF(Checks!$AB$163="","",CHAR(10)&amp;"CA: "&amp;Checks!$AB$163),IF(LEFT(Checks!$AH$163,10)="N/A – RULE","","[ ] Pass"&amp;CHAR(10)&amp;"[ ] Pass after CA"&amp;CHAR(10)&amp;"[ ] Fail"&amp;IF(Checks!$AT$163=1,CHAR(10)&amp;"[ ] N/A","")&amp;CHAR(10)&amp;"CA: Open / Closed"))</f>
        <v>[ ] Pass
[ ] Pass after CA
[ ] Fail
CA: Open / Closed</v>
      </c>
      <c r="E53" s="120" t="str">
        <f aca="false">IF(Checks!$V$163="","",Checks!$V$163)&amp;IF(Checks!$AC$163="","",IF(Checks!$V$163="","",CHAR(10))&amp;"N/A just.: "&amp;Checks!$AC$163)&amp;IF(OR(Checks!$W$163&lt;&gt;"",AND(Checks!$AQ$163=1,NOT(LEFT(Checks!$AH$163,10)="N/A – RULE"))),CHAR(10)&amp;"Batch: "&amp;IF(Checks!$W$163="","____________",Checks!$W$163),"")&amp;IF(OR(Checks!$X$163&lt;&gt;"",Checks!$Y$163&lt;&gt;"",AND(Checks!$AR$163=1,NOT(LEFT(Checks!$AH$163,10)="N/A – RULE"))),CHAR(10)&amp;"Exp: "&amp;IF(Checks!$X$163="","______",Checks!$X$163)&amp;"  /  Act: "&amp;IF(Checks!$Y$163="","______",Checks!$Y$163),"")</f>
        <v/>
      </c>
      <c r="F53" s="120" t="str">
        <f aca="false">IF(AND(LEFT(Checks!$AH$163,10)="N/A – RULE",TRIM(Checks!$S$163&amp;Checks!$Z$163)=""),"","Type: "&amp;IF(TRIM(Checks!$S$163)="","______________ (see cover list)",Checks!$S$163)&amp;CHAR(10)&amp;"ID: "&amp;IF(TRIM(Checks!$Z$163)="","______________ (record's own no.)",Checks!$Z$163))&amp;IF(Checks!$AA$163="","",CHAR(10)&amp;"CA: "&amp;Checks!$AA$163)</f>
        <v>Type: ______________ (see cover list)
ID: ______________ (record's own no.)</v>
      </c>
      <c r="G53" s="120" t="str">
        <f aca="false">IF(AND(LEFT(Checks!$AH$163,10)="N/A – RULE",NOT(ISNUMBER(Checks!$AD$163)),Checks!$AE$163="",Checks!$T$163=""),"","Done: "&amp;IF(ISNUMBER(Checks!$AD$163),TEXT(Checks!$AD$163,"DD-MMM-YY HH:MM"),"____________")&amp;" "&amp;Checks!$P$163&amp;CHAR(10)&amp;"Verifier: "&amp;IF(Checks!$AE$163="","____________",Checks!$AE$163)&amp;CHAR(10)&amp;"PIC: "&amp;IF(Checks!$T$163="","____________",Checks!$T$163))</f>
        <v>Done: ____________ NRT
Verifier: ____________
PIC: ____________</v>
      </c>
      <c r="H53" s="121" t="str">
        <f aca="false">IF(Checks!$AH$163="","",Checks!$AH$163)</f>
        <v>OPEN</v>
      </c>
    </row>
    <row r="54" customFormat="false" ht="124.5" hidden="false" customHeight="true" outlineLevel="0" collapsed="false">
      <c r="A54" s="120" t="str">
        <f aca="false">Checks!$A$164&amp;CHAR(10)&amp;IF(Checks!$I$164="","",Checks!$I$164&amp;": ")&amp;Checks!$J$164</f>
        <v>F05-UPL-06
Seat Linen: Blanket (EY) - on board</v>
      </c>
      <c r="B54" s="120" t="str">
        <f aca="false">SUBSTITUTE(SUBSTITUTE(SUBSTITUTE(Checks!$K$164&amp;IF(Checks!$O$164="","",IF(Checks!$K$164="","",CHAR(10))&amp;"Note: "&amp;Checks!$O$164)," (SEAT LINEN!B74:C74)","")," (SEAT LINEN!B76:C76)","")," (SEAT LINEN!B77:C77)","")</f>
        <v>Available 100% (ticked in reference); qty 280 (A350 9M-MAH) / 260 (A359) - per tail
Note: EY blanket: flight above 3 hours excl. Regional; block 7.67 h. Qty per tail: A350 280 pcs, A359 260 pcs.</v>
      </c>
      <c r="C54" s="120" t="str">
        <f aca="false">Checks!$N$164&amp;CHAR(10)&amp;IF(ISNUMBER(Checks!$R$164),TEXT(Checks!$R$164,"DD-MMM-YY HH:MM"),"")&amp;" "&amp;Checks!$P$164</f>
        <v>Required
15-Oct-26 10:05 NRT</v>
      </c>
      <c r="D54" s="120" t="str">
        <f aca="false">IF(TRIM(Checks!$U$164)&lt;&gt;"",Checks!$U$164&amp;IF(Checks!$AB$164="","",CHAR(10)&amp;"CA: "&amp;Checks!$AB$164),IF(LEFT(Checks!$AH$164,10)="N/A – RULE","","[ ] Pass"&amp;CHAR(10)&amp;"[ ] Pass after CA"&amp;CHAR(10)&amp;"[ ] Fail"&amp;IF(Checks!$AT$164=1,CHAR(10)&amp;"[ ] N/A","")&amp;CHAR(10)&amp;"CA: Open / Closed"))</f>
        <v>[ ] Pass
[ ] Pass after CA
[ ] Fail
CA: Open / Closed</v>
      </c>
      <c r="E54" s="120" t="str">
        <f aca="false">IF(Checks!$V$164="","",Checks!$V$164)&amp;IF(Checks!$AC$164="","",IF(Checks!$V$164="","",CHAR(10))&amp;"N/A just.: "&amp;Checks!$AC$164)&amp;IF(OR(Checks!$W$164&lt;&gt;"",AND(Checks!$AQ$164=1,NOT(LEFT(Checks!$AH$164,10)="N/A – RULE"))),CHAR(10)&amp;"Batch: "&amp;IF(Checks!$W$164="","____________",Checks!$W$164),"")&amp;IF(OR(Checks!$X$164&lt;&gt;"",Checks!$Y$164&lt;&gt;"",AND(Checks!$AR$164=1,NOT(LEFT(Checks!$AH$164,10)="N/A – RULE"))),CHAR(10)&amp;"Exp: "&amp;IF(Checks!$X$164="","______",Checks!$X$164)&amp;"  /  Act: "&amp;IF(Checks!$Y$164="","______",Checks!$Y$164),"")</f>
        <v>
Exp: ______  /  Act: ______</v>
      </c>
      <c r="F54" s="120" t="str">
        <f aca="false">IF(AND(LEFT(Checks!$AH$164,10)="N/A – RULE",TRIM(Checks!$S$164&amp;Checks!$Z$164)=""),"","Type: "&amp;IF(TRIM(Checks!$S$164)="","______________ (see cover list)",Checks!$S$164)&amp;CHAR(10)&amp;"ID: "&amp;IF(TRIM(Checks!$Z$164)="","______________ (record's own no.)",Checks!$Z$164))&amp;IF(Checks!$AA$164="","",CHAR(10)&amp;"CA: "&amp;Checks!$AA$164)</f>
        <v>Type: ______________ (see cover list)
ID: ______________ (record's own no.)</v>
      </c>
      <c r="G54" s="120" t="str">
        <f aca="false">IF(AND(LEFT(Checks!$AH$164,10)="N/A – RULE",NOT(ISNUMBER(Checks!$AD$164)),Checks!$AE$164="",Checks!$T$164=""),"","Done: "&amp;IF(ISNUMBER(Checks!$AD$164),TEXT(Checks!$AD$164,"DD-MMM-YY HH:MM"),"____________")&amp;" "&amp;Checks!$P$164&amp;CHAR(10)&amp;"Verifier: "&amp;IF(Checks!$AE$164="","____________",Checks!$AE$164)&amp;CHAR(10)&amp;"PIC: "&amp;IF(Checks!$T$164="","____________",Checks!$T$164))</f>
        <v>Done: ____________ NRT
Verifier: ____________
PIC: ____________</v>
      </c>
      <c r="H54" s="121" t="str">
        <f aca="false">IF(Checks!$AH$164="","",Checks!$AH$164)</f>
        <v>OPEN</v>
      </c>
    </row>
    <row r="55" customFormat="false" ht="190.5" hidden="false" customHeight="true" outlineLevel="0" collapsed="false">
      <c r="A55" s="120" t="str">
        <f aca="false">Checks!$A$165&amp;CHAR(10)&amp;IF(Checks!$I$165="","",Checks!$I$165&amp;": ")&amp;Checks!$J$165</f>
        <v>F05-UPL-07
Sales Cart: Sales cart (caterer PASB) - on board</v>
      </c>
      <c r="B55" s="120" t="str">
        <f aca="false">Checks!$K$165&amp;IF(Checks!$O$165="","",IF(Checks!$K$165="","",CHAR(10))&amp;"Note: "&amp;Checks!$O$165)</f>
        <v>A359: 5R41A &amp; 5R42A (not applicable for LHR) (full cart); 9M-MAH: G4F13A (half cart) - per tail
Note: Block 7.67 h &gt;= 4 h. Location depends on tail. Reference names caterer PASB for the KUL/NRT/KUL sector but no uplift station: confirm whether the NRT-KUL sales cart is loaded at KUL (round trip) or at NRT.</v>
      </c>
      <c r="C55" s="120" t="str">
        <f aca="false">Checks!$N$165&amp;CHAR(10)&amp;IF(ISNUMBER(Checks!$R$165),TEXT(Checks!$R$165,"DD-MMM-YY HH:MM"),"")&amp;" "&amp;Checks!$P$165</f>
        <v>Clarification required
15-Oct-26 10:05 NRT</v>
      </c>
      <c r="D55" s="120" t="str">
        <f aca="false">IF(TRIM(Checks!$U$165)&lt;&gt;"",Checks!$U$165&amp;IF(Checks!$AB$165="","",CHAR(10)&amp;"CA: "&amp;Checks!$AB$165),IF(LEFT(Checks!$AH$165,10)="N/A – RULE","","[ ] Pass"&amp;CHAR(10)&amp;"[ ] Pass after CA"&amp;CHAR(10)&amp;"[ ] Fail"&amp;IF(Checks!$AT$165=1,CHAR(10)&amp;"[ ] N/A","")&amp;CHAR(10)&amp;"CA: Open / Closed"))</f>
        <v>[ ] Pass
[ ] Pass after CA
[ ] Fail
[ ] N/A
CA: Open / Closed</v>
      </c>
      <c r="E55" s="120" t="str">
        <f aca="false">IF(Checks!$V$165="","",Checks!$V$165)&amp;IF(Checks!$AC$165="","",IF(Checks!$V$165="","",CHAR(10))&amp;"N/A just.: "&amp;Checks!$AC$165)&amp;IF(OR(Checks!$W$165&lt;&gt;"",AND(Checks!$AQ$165=1,NOT(LEFT(Checks!$AH$165,10)="N/A – RULE"))),CHAR(10)&amp;"Batch: "&amp;IF(Checks!$W$165="","____________",Checks!$W$165),"")&amp;IF(OR(Checks!$X$165&lt;&gt;"",Checks!$Y$165&lt;&gt;"",AND(Checks!$AR$165=1,NOT(LEFT(Checks!$AH$165,10)="N/A – RULE"))),CHAR(10)&amp;"Exp: "&amp;IF(Checks!$X$165="","______",Checks!$X$165)&amp;"  /  Act: "&amp;IF(Checks!$Y$165="","______",Checks!$Y$165),"")</f>
        <v/>
      </c>
      <c r="F55" s="120" t="str">
        <f aca="false">IF(AND(LEFT(Checks!$AH$165,10)="N/A – RULE",TRIM(Checks!$S$165&amp;Checks!$Z$165)=""),"","Type: "&amp;IF(TRIM(Checks!$S$165)="","______________ (see cover list)",Checks!$S$165)&amp;CHAR(10)&amp;"ID: "&amp;IF(TRIM(Checks!$Z$165)="","______________ (record's own no.)",Checks!$Z$165))&amp;IF(Checks!$AA$165="","",CHAR(10)&amp;"CA: "&amp;Checks!$AA$165)</f>
        <v>Type: ______________ (see cover list)
ID: ______________ (record's own no.)</v>
      </c>
      <c r="G55" s="120" t="str">
        <f aca="false">IF(AND(LEFT(Checks!$AH$165,10)="N/A – RULE",NOT(ISNUMBER(Checks!$AD$165)),Checks!$AE$165="",Checks!$T$165=""),"","Done: "&amp;IF(ISNUMBER(Checks!$AD$165),TEXT(Checks!$AD$165,"DD-MMM-YY HH:MM"),"____________")&amp;" "&amp;Checks!$P$165&amp;CHAR(10)&amp;"Verifier: "&amp;IF(Checks!$AE$165="","____________",Checks!$AE$165)&amp;CHAR(10)&amp;"PIC: "&amp;IF(Checks!$T$165="","____________",Checks!$T$165))</f>
        <v>Done: ____________ NRT
Verifier: ____________
PIC: ____________</v>
      </c>
      <c r="H55" s="121" t="str">
        <f aca="false">IF(Checks!$AH$165="","",Checks!$AH$165)</f>
        <v>OPEN – CLARIFICATION</v>
      </c>
    </row>
    <row r="57" customFormat="false" ht="24" hidden="false" customHeight="true" outlineLevel="0" collapsed="false">
      <c r="A57" s="122" t="s">
        <v>4832</v>
      </c>
      <c r="B57" s="122"/>
      <c r="C57" s="122"/>
      <c r="D57" s="122"/>
      <c r="E57" s="122" t="s">
        <v>4833</v>
      </c>
      <c r="F57" s="122"/>
      <c r="G57" s="122"/>
      <c r="H57" s="122"/>
    </row>
    <row r="58" customFormat="false" ht="21.75" hidden="false" customHeight="true" outlineLevel="0" collapsed="false">
      <c r="A58" s="123"/>
      <c r="B58" s="123"/>
      <c r="C58" s="123"/>
      <c r="D58" s="123"/>
      <c r="E58" s="123"/>
      <c r="F58" s="123"/>
      <c r="G58" s="123"/>
      <c r="H58" s="123"/>
    </row>
    <row r="59" customFormat="false" ht="21.75" hidden="false" customHeight="true" outlineLevel="0" collapsed="false">
      <c r="A59" s="123"/>
      <c r="B59" s="123"/>
      <c r="C59" s="123"/>
      <c r="D59" s="123"/>
      <c r="E59" s="123"/>
      <c r="F59" s="123"/>
      <c r="G59" s="123"/>
      <c r="H59" s="123"/>
    </row>
    <row r="60" customFormat="false" ht="21.75" hidden="false" customHeight="true" outlineLevel="0" collapsed="false">
      <c r="A60" s="123"/>
      <c r="B60" s="123"/>
      <c r="C60" s="123"/>
      <c r="D60" s="123"/>
      <c r="E60" s="123"/>
      <c r="F60" s="123"/>
      <c r="G60" s="123"/>
      <c r="H60" s="123"/>
    </row>
    <row r="61" customFormat="false" ht="21.75" hidden="false" customHeight="true" outlineLevel="0" collapsed="false">
      <c r="A61" s="123"/>
      <c r="B61" s="123"/>
      <c r="C61" s="123"/>
      <c r="D61" s="123"/>
      <c r="E61" s="123"/>
      <c r="F61" s="123"/>
      <c r="G61" s="123"/>
      <c r="H61" s="123"/>
    </row>
    <row r="62" customFormat="false" ht="21.75" hidden="false" customHeight="true" outlineLevel="0" collapsed="false">
      <c r="A62" s="123"/>
      <c r="B62" s="123"/>
      <c r="C62" s="123"/>
      <c r="D62" s="123"/>
      <c r="E62" s="123"/>
      <c r="F62" s="123"/>
      <c r="G62" s="123"/>
      <c r="H62" s="123"/>
    </row>
    <row r="63" customFormat="false" ht="21.75" hidden="false" customHeight="true" outlineLevel="0" collapsed="false">
      <c r="A63" s="123"/>
      <c r="B63" s="123"/>
      <c r="C63" s="123"/>
      <c r="D63" s="123"/>
      <c r="E63" s="123"/>
      <c r="F63" s="123"/>
      <c r="G63" s="123"/>
      <c r="H63" s="123"/>
    </row>
    <row r="64" customFormat="false" ht="21.75" hidden="false" customHeight="true" outlineLevel="0" collapsed="false">
      <c r="A64" s="123"/>
      <c r="B64" s="123"/>
      <c r="C64" s="123"/>
      <c r="D64" s="123"/>
      <c r="E64" s="123"/>
      <c r="F64" s="123"/>
      <c r="G64" s="123"/>
      <c r="H64" s="123"/>
    </row>
    <row r="65" customFormat="false" ht="21.75" hidden="false" customHeight="true" outlineLevel="0" collapsed="false">
      <c r="A65" s="123"/>
      <c r="B65" s="123"/>
      <c r="C65" s="123"/>
      <c r="D65" s="123"/>
      <c r="E65" s="123"/>
      <c r="F65" s="123"/>
      <c r="G65" s="123"/>
      <c r="H65" s="123"/>
    </row>
    <row r="66" customFormat="false" ht="21.75" hidden="false" customHeight="true" outlineLevel="0" collapsed="false">
      <c r="A66" s="123"/>
      <c r="B66" s="123"/>
      <c r="C66" s="123"/>
      <c r="D66" s="123"/>
      <c r="E66" s="123"/>
      <c r="F66" s="123"/>
      <c r="G66" s="123"/>
      <c r="H66" s="123"/>
    </row>
    <row r="67" customFormat="false" ht="21.75" hidden="false" customHeight="true" outlineLevel="0" collapsed="false">
      <c r="A67" s="123"/>
      <c r="B67" s="123"/>
      <c r="C67" s="123"/>
      <c r="D67" s="123"/>
      <c r="E67" s="123"/>
      <c r="F67" s="123"/>
      <c r="G67" s="123"/>
      <c r="H67" s="123"/>
    </row>
  </sheetData>
  <sheetProtection sheet="true" formatCells="false" formatColumns="false" formatRows="false" autoFilter="false"/>
  <mergeCells count="46">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A14:H14"/>
    <mergeCell ref="C15:D15"/>
    <mergeCell ref="F15:H15"/>
    <mergeCell ref="C16:D16"/>
    <mergeCell ref="F16:H16"/>
    <mergeCell ref="C17:D17"/>
    <mergeCell ref="F17:H17"/>
    <mergeCell ref="B18:H18"/>
    <mergeCell ref="A19:B19"/>
    <mergeCell ref="C19:E19"/>
    <mergeCell ref="F19:H19"/>
    <mergeCell ref="A20:B20"/>
    <mergeCell ref="C20:E20"/>
    <mergeCell ref="F20:H20"/>
    <mergeCell ref="A21:B21"/>
    <mergeCell ref="C21:E21"/>
    <mergeCell ref="F21:H21"/>
    <mergeCell ref="A23:H23"/>
    <mergeCell ref="A34:H34"/>
    <mergeCell ref="A36:H36"/>
    <mergeCell ref="A48:H48"/>
    <mergeCell ref="A57:D57"/>
    <mergeCell ref="E57:H57"/>
    <mergeCell ref="A58:D67"/>
    <mergeCell ref="E58:H67"/>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6">
    <cfRule type="expression" priority="9" aboveAverage="0" equalAverage="0" bottom="0" percent="0" rank="0" text="" dxfId="30">
      <formula>LEFT($E$16,11)="OUTSTANDING"</formula>
    </cfRule>
    <cfRule type="expression" priority="10" aboveAverage="0" equalAverage="0" bottom="0" percent="0" rank="0" text="" dxfId="27">
      <formula>$E$16="ON FILE"</formula>
    </cfRule>
  </conditionalFormatting>
  <conditionalFormatting sqref="E17">
    <cfRule type="expression" priority="11" aboveAverage="0" equalAverage="0" bottom="0" percent="0" rank="0" text="" dxfId="30">
      <formula>LEFT($E$17,11)="OUTSTANDING"</formula>
    </cfRule>
    <cfRule type="expression" priority="12" aboveAverage="0" equalAverage="0" bottom="0" percent="0" rank="0" text="" dxfId="27">
      <formula>$E$17="ON FILE"</formula>
    </cfRule>
  </conditionalFormatting>
  <conditionalFormatting sqref="H24:H55">
    <cfRule type="expression" priority="13" aboveAverage="0" equalAverage="0" bottom="0" percent="0" rank="0" text="" dxfId="31">
      <formula>ISNUMBER(SEARCH("CHECK WORDING",$H24))</formula>
    </cfRule>
    <cfRule type="expression" priority="14" aboveAverage="0" equalAverage="0" bottom="0" percent="0" rank="0" text="" dxfId="32">
      <formula>LEFT($H24,8)="COMPLETE"</formula>
    </cfRule>
    <cfRule type="expression" priority="15" aboveAverage="0" equalAverage="0" bottom="0" percent="0" rank="0" text="" dxfId="28">
      <formula>OR(LEFT($H24,7)="OVERDUE",LEFT($H24,4)="FAIL",LEFT($H24,7)="INVALID")</formula>
    </cfRule>
    <cfRule type="expression" priority="16" aboveAverage="0" equalAverage="0" bottom="0" percent="0" rank="0" text="" dxfId="33">
      <formula>LEFT($H24,4)="OPEN"</formula>
    </cfRule>
    <cfRule type="expression" priority="17" aboveAverage="0" equalAverage="0" bottom="0" percent="0" rank="0" text="" dxfId="34">
      <formula>LEFT($H24,3)="N/A"</formula>
    </cfRule>
  </conditionalFormatting>
  <conditionalFormatting sqref="A24:G55">
    <cfRule type="expression" priority="18" aboveAverage="0" equalAverage="0" bottom="0" percent="0" rank="0" text="" dxfId="35">
      <formula>LEFT($H24,3)="N/A"</formula>
    </cfRule>
  </conditionalFormatting>
  <conditionalFormatting sqref="D24:D55">
    <cfRule type="expression" priority="19" aboveAverage="0" equalAverage="0" bottom="0" percent="0" rank="0" text="" dxfId="28">
      <formula>LEFT($D24,4)="Fail"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F05 MH0089 15-Oct-26 NRT-KUL Class EY</oddHeader>
    <oddFooter>&amp;L&amp;"Arial,Bold"&amp;8 F05 MH0089 15-Oct-26 NRT-KUL Class EY&amp;C&amp;"Arial,Regular"&amp;8 Printed: ____________________&amp;R&amp;"Arial,Regular"&amp;8 F05  Page &amp;P of &amp;N</oddFooter>
  </headerFooter>
  <rowBreaks count="11" manualBreakCount="11">
    <brk id="21" man="true" max="16383" min="0"/>
    <brk id="27" man="true" max="16383" min="0"/>
    <brk id="31" man="true" max="16383" min="0"/>
    <brk id="33" man="true" max="16383" min="0"/>
    <brk id="38" man="true" max="16383" min="0"/>
    <brk id="41" man="true" max="16383" min="0"/>
    <brk id="43" man="true" max="16383" min="0"/>
    <brk id="45" man="true" max="16383" min="0"/>
    <brk id="47" man="true" max="16383" min="0"/>
    <brk id="51" man="true" max="16383" min="0"/>
    <brk id="54" man="true" max="16383" min="0"/>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F06  "&amp;Flights!$F$10&amp;"  "&amp;TEXT(Flights!$D$10,"DD-MMM-YY")&amp;" ("&amp;Flights!$E$10&amp;")  "&amp;Flights!$G$10&amp;" → "&amp;Flights!$H$10&amp;"  |  Class "&amp;Flights!$K$10</f>
        <v>SKYTRAX 2026 CATERING READINESS CHECKLIST  |  F06  MH0002  15-Oct-26 (THU)  KUL → LHR  |  Class BC</v>
      </c>
      <c r="B1" s="93"/>
      <c r="C1" s="93"/>
      <c r="D1" s="93"/>
      <c r="E1" s="93"/>
      <c r="F1" s="93"/>
      <c r="G1" s="93"/>
      <c r="H1" s="93"/>
    </row>
    <row r="2" customFormat="false" ht="12.75" hidden="false" customHeight="true" outlineLevel="0" collapsed="false">
      <c r="A2" s="94" t="s">
        <v>4788</v>
      </c>
      <c r="B2" s="95" t="str">
        <f aca="false">Flights!$F$10&amp;"   "&amp;TEXT(Flights!$D$10,"DD-MMM-YY")&amp;" ("&amp;Flights!$E$10&amp;")"</f>
        <v>MH0002   15-Oct-26 (THU)</v>
      </c>
      <c r="C2" s="95"/>
      <c r="D2" s="95"/>
      <c r="E2" s="96" t="s">
        <v>4789</v>
      </c>
      <c r="F2" s="97" t="str">
        <f aca="false">Flights!$AT$10</f>
        <v>NOT READY – DOCUMENTS</v>
      </c>
      <c r="G2" s="97"/>
      <c r="H2" s="97"/>
    </row>
    <row r="3" customFormat="false" ht="24" hidden="false" customHeight="true" outlineLevel="0" collapsed="false">
      <c r="A3" s="94" t="s">
        <v>4790</v>
      </c>
      <c r="B3" s="95" t="str">
        <f aca="false">Flights!$G$10&amp;" → "&amp;Flights!$H$10&amp;"   Class "&amp;Flights!$K$10&amp;"   Seat "&amp;Flights!$O$10</f>
        <v>KUL → LHR   Class BC   Seat 2K</v>
      </c>
      <c r="C3" s="95"/>
      <c r="D3" s="95"/>
      <c r="E3" s="96" t="s">
        <v>73</v>
      </c>
      <c r="F3" s="96" t="s">
        <v>4791</v>
      </c>
      <c r="G3" s="96" t="s">
        <v>4792</v>
      </c>
      <c r="H3" s="96"/>
    </row>
    <row r="4" customFormat="false" ht="24" hidden="false" customHeight="true" outlineLevel="0" collapsed="false">
      <c r="A4" s="94" t="s">
        <v>4793</v>
      </c>
      <c r="B4" s="95" t="str">
        <f aca="false">IF(ISNUMBER(Flights!$I$10),TEXT(Flights!$I$10,"DD-MMM-YY HH:MM"),"")&amp;" "&amp;Flights!$G$10&amp;"  →  "&amp;IF(ISNUMBER(Flights!$J$10),TEXT(Flights!$J$10,"DD-MMM-YY HH:MM"),"")&amp;" "&amp;Flights!$H$10</f>
        <v>15-Oct-26 23:20 KUL  →  16-Oct-26 05:55 LHR</v>
      </c>
      <c r="C4" s="95"/>
      <c r="D4" s="95"/>
      <c r="E4" s="94" t="s">
        <v>4794</v>
      </c>
      <c r="F4" s="98" t="str">
        <f aca="false">IF(ISNUMBER(Flights!$AG$10),TEXT(Flights!$AG$10,"DD-MMM-YY HH:MM"),"")&amp;" "&amp;Flights!$V$10</f>
        <v>08-Oct-26 23:20 KUL</v>
      </c>
      <c r="G4" s="99" t="n">
        <f aca="false">Flights!$AJ$10</f>
        <v>0</v>
      </c>
      <c r="H4" s="99"/>
    </row>
    <row r="5" customFormat="false" ht="24" hidden="false" customHeight="true" outlineLevel="0" collapsed="false">
      <c r="A5" s="94" t="s">
        <v>4795</v>
      </c>
      <c r="B5" s="95" t="str">
        <f aca="false">Flights!$L$10&amp;" – "&amp;Flights!$M$10</f>
        <v>A350 – A350-900: A359 (9M-MAB..MAG) or A350 (9M-MAH) - tail to confirm</v>
      </c>
      <c r="C5" s="95"/>
      <c r="D5" s="95"/>
      <c r="E5" s="94" t="s">
        <v>4796</v>
      </c>
      <c r="F5" s="98" t="str">
        <f aca="false">IF(ISNUMBER(Flights!$AH$10),TEXT(Flights!$AH$10,"DD-MMM-YY HH:MM"),"")&amp;" "&amp;Flights!$V$10</f>
        <v>14-Oct-26 23:20 KUL</v>
      </c>
      <c r="G5" s="99" t="n">
        <f aca="false">Flights!$AK$10</f>
        <v>0</v>
      </c>
      <c r="H5" s="99"/>
    </row>
    <row r="6" customFormat="false" ht="24" hidden="false" customHeight="true" outlineLevel="0" collapsed="false">
      <c r="A6" s="94" t="s">
        <v>4797</v>
      </c>
      <c r="B6" s="95" t="str">
        <f aca="false">IF(TRIM(Flights!$N$10)="","__________________",Flights!$N$10)</f>
        <v>__________________</v>
      </c>
      <c r="C6" s="95"/>
      <c r="D6" s="95"/>
      <c r="E6" s="94" t="s">
        <v>4798</v>
      </c>
      <c r="F6" s="98" t="str">
        <f aca="false">IF(ISNUMBER(Flights!$AI$10),TEXT(Flights!$AI$10,"DD-MMM-YY HH:MM"),"")&amp;" "&amp;Flights!$V$10&amp;IF(Flights!$AI$10=Flights!$AH$10,"  (= T-24H due)","")</f>
        <v>15-Oct-26 11:20 KUL</v>
      </c>
      <c r="G6" s="99" t="n">
        <f aca="false">Flights!$AL$10</f>
        <v>0</v>
      </c>
      <c r="H6" s="99"/>
    </row>
    <row r="7" customFormat="false" ht="24" hidden="false" customHeight="true" outlineLevel="0" collapsed="false">
      <c r="A7" s="94" t="s">
        <v>4799</v>
      </c>
      <c r="B7" s="95" t="str">
        <f aca="false">Flights!$T$10</f>
        <v>2.5 Meal (Meal)</v>
      </c>
      <c r="C7" s="95"/>
      <c r="D7" s="95"/>
      <c r="E7" s="94" t="s">
        <v>4800</v>
      </c>
      <c r="F7" s="98" t="str">
        <f aca="false">"STD "&amp;IF(ISNUMBER(Flights!$I$10),TEXT(Flights!$I$10,"DD-MMM-YY HH:MM"),"")&amp;" "&amp;Flights!$G$10&amp;" (dep stn)"</f>
        <v>STD 15-Oct-26 23:20 KUL (dep stn)</v>
      </c>
      <c r="G7" s="99" t="n">
        <f aca="false">Flights!$AM$10</f>
        <v>0</v>
      </c>
      <c r="H7" s="99"/>
    </row>
    <row r="8" customFormat="false" ht="12.75" hidden="false" customHeight="true" outlineLevel="0" collapsed="false">
      <c r="A8" s="94" t="s">
        <v>155</v>
      </c>
      <c r="B8" s="95" t="str">
        <f aca="false">Flights!$V$10&amp;"   (reference uplift stns: "&amp;Flights!$U$10&amp;")"</f>
        <v>KUL   (reference uplift stns: KUL/LHR)</v>
      </c>
      <c r="C8" s="95"/>
      <c r="D8" s="95"/>
      <c r="E8" s="94" t="s">
        <v>4801</v>
      </c>
      <c r="F8" s="100" t="s">
        <v>4802</v>
      </c>
      <c r="G8" s="99" t="n">
        <f aca="false">Flights!$AN$10</f>
        <v>0</v>
      </c>
      <c r="H8" s="99"/>
    </row>
    <row r="9" customFormat="false" ht="12.75" hidden="false" customHeight="true" outlineLevel="0" collapsed="false">
      <c r="A9" s="94" t="s">
        <v>4803</v>
      </c>
      <c r="B9" s="95" t="str">
        <f aca="false">TRIM(Flights!$P$10&amp;"  "&amp;Flights!$Q$10)</f>
        <v>6H 35M</v>
      </c>
      <c r="C9" s="95"/>
      <c r="D9" s="95"/>
      <c r="E9" s="94" t="s">
        <v>4804</v>
      </c>
      <c r="F9" s="101" t="n">
        <f aca="false">Flights!$AP$10</f>
        <v>0</v>
      </c>
      <c r="G9" s="102" t="n">
        <f aca="false">Flights!$AQ$10</f>
        <v>0</v>
      </c>
      <c r="H9" s="103" t="n">
        <f aca="false">Flights!$AU$10</f>
        <v>0</v>
      </c>
    </row>
    <row r="10" customFormat="false" ht="24" hidden="false" customHeight="true" outlineLevel="0" collapsed="false">
      <c r="A10" s="94" t="s">
        <v>4805</v>
      </c>
      <c r="B10" s="95" t="str">
        <f aca="false">IF(TRIM(Flights!$X$10)="","__________________",Flights!$X$10)</f>
        <v>__________________</v>
      </c>
      <c r="C10" s="95"/>
      <c r="D10" s="95"/>
      <c r="E10" s="94" t="s">
        <v>4806</v>
      </c>
      <c r="F10" s="104" t="n">
        <f aca="false">Flights!$AO$10</f>
        <v>46</v>
      </c>
      <c r="G10" s="105" t="n">
        <f aca="false">Flights!$AS$10</f>
        <v>2</v>
      </c>
      <c r="H10" s="106" t="n">
        <f aca="false">Flights!$AR$10</f>
        <v>2</v>
      </c>
    </row>
    <row r="11" customFormat="false" ht="21" hidden="false" customHeight="true" outlineLevel="0" collapsed="false">
      <c r="A11" s="94" t="s">
        <v>4807</v>
      </c>
      <c r="B11" s="95" t="str">
        <f aca="false">IF(TRIM(Flights!$Y$10)="","__________________",Flights!$Y$10)</f>
        <v>__________________</v>
      </c>
      <c r="C11" s="95"/>
      <c r="D11" s="95"/>
      <c r="E11" s="94" t="s">
        <v>4808</v>
      </c>
      <c r="F11" s="97" t="str">
        <f aca="false">Flights!$AV$10&amp;" / "&amp;Flights!$AW$10</f>
        <v>0 / 46</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IF(Documents!$F$10="","",Documents!$F$10)</f>
        <v/>
      </c>
      <c r="C15" s="100" t="str">
        <f aca="false">IF(Documents!$G$10="","",Documents!$G$10)&amp;IF(ISNUMBER(Documents!$H$10),"  "&amp;TEXT(Documents!$H$10,"DD-MMM-YY"),"")</f>
        <v/>
      </c>
      <c r="D15" s="100"/>
      <c r="E15" s="114" t="str">
        <f aca="false">IF(Documents!$J$10="OUTSTANDING","OUTSTANDING – attach before T-7D (due "&amp;IF(ISNUMBER(Flights!$AG$10),TEXT(Flights!$AG$10,"DD-MMM-YY HH:MM"),"")&amp;" "&amp;Flights!$V$10&amp;")",IF(Documents!$J$10="","Status not recorded",Documents!$J$10))</f>
        <v>OUTSTANDING – attach before T-7D (due 08-Oct-26 23:20 KUL)</v>
      </c>
      <c r="F15" s="115" t="str">
        <f aca="false">"Staple behind this sheet as page A1."&amp;IF(Documents!$I$10="",""," Location: "&amp;Documents!$I$10)</f>
        <v>Staple behind this sheet as page A1.</v>
      </c>
      <c r="G15" s="115"/>
      <c r="H15" s="115"/>
    </row>
    <row r="16" customFormat="false" ht="36" hidden="false" customHeight="true" outlineLevel="0" collapsed="false">
      <c r="A16" s="94" t="s">
        <v>4819</v>
      </c>
      <c r="B16" s="95" t="str">
        <f aca="false">IF(Documents!$K$10="","",Documents!$K$10)</f>
        <v/>
      </c>
      <c r="C16" s="100" t="str">
        <f aca="false">IF(Documents!$L$10="","",Documents!$L$10)&amp;IF(ISNUMBER(Documents!$M$10),"  "&amp;TEXT(Documents!$M$10,"DD-MMM-YY"),"")</f>
        <v/>
      </c>
      <c r="D16" s="100"/>
      <c r="E16" s="114" t="str">
        <f aca="false">IF(Documents!$O$10="OUTSTANDING","OUTSTANDING – attach before T-7D (due "&amp;IF(ISNUMBER(Flights!$AG$10),TEXT(Flights!$AG$10,"DD-MMM-YY HH:MM"),"")&amp;" "&amp;Flights!$V$10&amp;")",IF(Documents!$O$10="","Status not recorded",Documents!$O$10))</f>
        <v>OUTSTANDING – attach before T-7D (due 08-Oct-26 23:20 KUL)</v>
      </c>
      <c r="F16" s="115" t="str">
        <f aca="false">"Staple behind this sheet as page A2."&amp;IF(Documents!$N$10="",""," Location: "&amp;Documents!$N$10)</f>
        <v>Staple behind this sheet as page A2.</v>
      </c>
      <c r="G16" s="115"/>
      <c r="H16" s="115"/>
    </row>
    <row r="17" customFormat="false" ht="22.5" hidden="false" customHeight="true" outlineLevel="0" collapsed="false">
      <c r="A17" s="94" t="s">
        <v>4820</v>
      </c>
      <c r="B17" s="116" t="str">
        <f aca="false">IF(Documents!$Q$10="","",Documents!$Q$10)</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"&amp;IF(TRIM(Flights!$Y$10)="","__________________",Flights!$Y$10)</f>
        <v>Name: __________________</v>
      </c>
      <c r="B19" s="95"/>
      <c r="C19" s="95" t="str">
        <f aca="false">"Name: __________________"</f>
        <v>Name: __________________</v>
      </c>
      <c r="D19" s="95"/>
      <c r="E19" s="95"/>
      <c r="F19" s="95" t="str">
        <f aca="false">"Name: __________________"&amp;"   Station: "&amp;Flights!$V$10</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"&amp;IF(ISNUMBER(Flights!$AG$10),TEXT(Flights!$AG$10,"DD-MMM-YY HH:MM"),"")&amp;" "&amp;Flights!$V$10&amp;" (meal uplift stn)"&amp;" (rows with another due show their own)  |  Complete "&amp;IF(ISNUMBER(Flights!$AJ$10),TEXT(Flights!$AJ$10,"0%"),Flights!$AJ$10)&amp;"  |  9 lines"</f>
        <v>T-7D — 7 days before departure  |  Due 08-Oct-26 23:20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Checks!$A$166&amp;CHAR(10)&amp;IF(Checks!$I$166="","",Checks!$I$166&amp;": ")&amp;Checks!$J$166</f>
        <v>F06-T7-01
Meal: Meal sensory testing completed for this flight's menu cycle (assessed class)</v>
      </c>
      <c r="B23" s="120" t="str">
        <f aca="false">Checks!$K$166&amp;IF(Checks!$O$166="","",IF(Checks!$K$166="","",CHAR(10))&amp;"Note: "&amp;Checks!$O$166)</f>
        <v>Record panel result / score in Result</v>
      </c>
      <c r="C23" s="120" t="str">
        <f aca="false">Checks!$N$166&amp;CHAR(10)&amp;IF(ISNUMBER(Checks!$R$166),TEXT(Checks!$R$166,"DD-MMM-YY HH:MM"),"")&amp;" "&amp;Checks!$P$166</f>
        <v>Required
08-Oct-26 23:20 KUL</v>
      </c>
      <c r="D23" s="120" t="str">
        <f aca="false">IF(TRIM(Checks!$U$166)&lt;&gt;"",Checks!$U$166&amp;IF(Checks!$AB$166="","",CHAR(10)&amp;"CA: "&amp;Checks!$AB$166),IF(LEFT(Checks!$AH$166,10)="N/A – RULE","","[ ] Pass"&amp;CHAR(10)&amp;"[ ] Pass after CA"&amp;CHAR(10)&amp;"[ ] Fail"&amp;IF(Checks!$AT$166=1,CHAR(10)&amp;"[ ] N/A","")&amp;CHAR(10)&amp;"CA: Open / Closed"))</f>
        <v>[ ] Pass
[ ] Pass after CA
[ ] Fail
CA: Open / Closed</v>
      </c>
      <c r="E23" s="120" t="str">
        <f aca="false">IF(Checks!$V$166="","",Checks!$V$166)&amp;IF(Checks!$AC$166="","",IF(Checks!$V$166="","",CHAR(10))&amp;"N/A just.: "&amp;Checks!$AC$166)&amp;IF(OR(Checks!$W$166&lt;&gt;"",AND(Checks!$AQ$166=1,NOT(LEFT(Checks!$AH$166,10)="N/A – RULE"))),CHAR(10)&amp;"Batch: "&amp;IF(Checks!$W$166="","____________",Checks!$W$166),"")&amp;IF(OR(Checks!$X$166&lt;&gt;"",Checks!$Y$166&lt;&gt;"",AND(Checks!$AR$166=1,NOT(LEFT(Checks!$AH$166,10)="N/A – RULE"))),CHAR(10)&amp;"Exp: "&amp;IF(Checks!$X$166="","______",Checks!$X$166)&amp;"  /  Act: "&amp;IF(Checks!$Y$166="","______",Checks!$Y$166),"")</f>
        <v/>
      </c>
      <c r="F23" s="120" t="str">
        <f aca="false">IF(AND(LEFT(Checks!$AH$166,10)="N/A – RULE",TRIM(Checks!$S$166&amp;Checks!$Z$166)=""),"","Type: "&amp;IF(TRIM(Checks!$S$166)="","______________ (see cover list)",Checks!$S$166)&amp;CHAR(10)&amp;"ID: "&amp;IF(TRIM(Checks!$Z$166)="","______________ (record's own no.)",Checks!$Z$166))&amp;IF(Checks!$AA$166="","",CHAR(10)&amp;"CA: "&amp;Checks!$AA$166)</f>
        <v>Type: ______________ (see cover list)
ID: ______________ (record's own no.)</v>
      </c>
      <c r="G23" s="120" t="str">
        <f aca="false">IF(AND(LEFT(Checks!$AH$166,10)="N/A – RULE",NOT(ISNUMBER(Checks!$AD$166)),Checks!$AE$166="",Checks!$T$166=""),"","Done: "&amp;IF(ISNUMBER(Checks!$AD$166),TEXT(Checks!$AD$166,"DD-MMM-YY HH:MM"),"____________")&amp;" "&amp;Checks!$P$166&amp;CHAR(10)&amp;"Verifier: "&amp;IF(Checks!$AE$166="","____________",Checks!$AE$166)&amp;CHAR(10)&amp;"PIC: "&amp;IF(Checks!$T$166="","____________",Checks!$T$166))</f>
        <v>Done: ____________ KUL
Verifier: ____________
PIC: ____________</v>
      </c>
      <c r="H23" s="121" t="str">
        <f aca="false">IF(Checks!$AH$166="","",Checks!$AH$166)</f>
        <v>OPEN</v>
      </c>
    </row>
    <row r="24" customFormat="false" ht="114" hidden="false" customHeight="true" outlineLevel="0" collapsed="false">
      <c r="A24" s="120" t="str">
        <f aca="false">Checks!$A$167&amp;CHAR(10)&amp;IF(Checks!$I$167="","",Checks!$I$167&amp;": ")&amp;Checks!$J$167</f>
        <v>F06-T7-02
Menu: Printed menu cards confirmed (content, cycle, language, quantity)</v>
      </c>
      <c r="B24" s="120" t="str">
        <f aca="false">Checks!$K$167&amp;IF(Checks!$O$167="","",IF(Checks!$K$167="","",CHAR(10))&amp;"Note: "&amp;Checks!$O$167)</f>
        <v>Menu card matches approved menu for this flight</v>
      </c>
      <c r="C24" s="120" t="str">
        <f aca="false">Checks!$N$167&amp;CHAR(10)&amp;IF(ISNUMBER(Checks!$R$167),TEXT(Checks!$R$167,"DD-MMM-YY HH:MM"),"")&amp;" "&amp;Checks!$P$167</f>
        <v>Required
08-Oct-26 23:20 KUL</v>
      </c>
      <c r="D24" s="120" t="str">
        <f aca="false">IF(TRIM(Checks!$U$167)&lt;&gt;"",Checks!$U$167&amp;IF(Checks!$AB$167="","",CHAR(10)&amp;"CA: "&amp;Checks!$AB$167),IF(LEFT(Checks!$AH$167,10)="N/A – RULE","","[ ] Pass"&amp;CHAR(10)&amp;"[ ] Pass after CA"&amp;CHAR(10)&amp;"[ ] Fail"&amp;IF(Checks!$AT$167=1,CHAR(10)&amp;"[ ] N/A","")&amp;CHAR(10)&amp;"CA: Open / Closed"))</f>
        <v>[ ] Pass
[ ] Pass after CA
[ ] Fail
CA: Open / Closed</v>
      </c>
      <c r="E24" s="120" t="str">
        <f aca="false">IF(Checks!$V$167="","",Checks!$V$167)&amp;IF(Checks!$AC$167="","",IF(Checks!$V$167="","",CHAR(10))&amp;"N/A just.: "&amp;Checks!$AC$167)&amp;IF(OR(Checks!$W$167&lt;&gt;"",AND(Checks!$AQ$167=1,NOT(LEFT(Checks!$AH$167,10)="N/A – RULE"))),CHAR(10)&amp;"Batch: "&amp;IF(Checks!$W$167="","____________",Checks!$W$167),"")&amp;IF(OR(Checks!$X$167&lt;&gt;"",Checks!$Y$167&lt;&gt;"",AND(Checks!$AR$167=1,NOT(LEFT(Checks!$AH$167,10)="N/A – RULE"))),CHAR(10)&amp;"Exp: "&amp;IF(Checks!$X$167="","______",Checks!$X$167)&amp;"  /  Act: "&amp;IF(Checks!$Y$167="","______",Checks!$Y$167),"")</f>
        <v/>
      </c>
      <c r="F24" s="120" t="str">
        <f aca="false">IF(AND(LEFT(Checks!$AH$167,10)="N/A – RULE",TRIM(Checks!$S$167&amp;Checks!$Z$167)=""),"","Type: "&amp;IF(TRIM(Checks!$S$167)="","______________ (see cover list)",Checks!$S$167)&amp;CHAR(10)&amp;"ID: "&amp;IF(TRIM(Checks!$Z$167)="","______________ (record's own no.)",Checks!$Z$167))&amp;IF(Checks!$AA$167="","",CHAR(10)&amp;"CA: "&amp;Checks!$AA$167)</f>
        <v>Type: ______________ (see cover list)
ID: ______________ (record's own no.)</v>
      </c>
      <c r="G24" s="120" t="str">
        <f aca="false">IF(AND(LEFT(Checks!$AH$167,10)="N/A – RULE",NOT(ISNUMBER(Checks!$AD$167)),Checks!$AE$167="",Checks!$T$167=""),"","Done: "&amp;IF(ISNUMBER(Checks!$AD$167),TEXT(Checks!$AD$167,"DD-MMM-YY HH:MM"),"____________")&amp;" "&amp;Checks!$P$167&amp;CHAR(10)&amp;"Verifier: "&amp;IF(Checks!$AE$167="","____________",Checks!$AE$167)&amp;CHAR(10)&amp;"PIC: "&amp;IF(Checks!$T$167="","____________",Checks!$T$167))</f>
        <v>Done: ____________ KUL
Verifier: ____________
PIC: ____________</v>
      </c>
      <c r="H24" s="121" t="str">
        <f aca="false">IF(Checks!$AH$167="","",Checks!$AH$167)</f>
        <v>OPEN</v>
      </c>
    </row>
    <row r="25" customFormat="false" ht="114" hidden="false" customHeight="true" outlineLevel="0" collapsed="false">
      <c r="A25" s="120" t="str">
        <f aca="false">Checks!$A$168&amp;CHAR(10)&amp;IF(Checks!$I$168="","",Checks!$I$168&amp;": ")&amp;Checks!$J$168</f>
        <v>F06-T7-03
IFE: Digital menu in IFE confirmed (A339 only)</v>
      </c>
      <c r="B25" s="120" t="str">
        <f aca="false">Checks!$K$168&amp;IF(Checks!$O$168="","",IF(Checks!$K$168="","",CHAR(10))&amp;"Note: "&amp;Checks!$O$168)</f>
        <v>Applies when fleet = A339
Note: Digital IFE menu applies to A339 only (user brief). Applicability follows the Fleet cell on Flights.</v>
      </c>
      <c r="C25" s="120" t="str">
        <f aca="false">Checks!$N$168&amp;CHAR(10)&amp;IF(ISNUMBER(Checks!$R$168),TEXT(Checks!$R$168,"DD-MMM-YY HH:MM"),"")&amp;" "&amp;Checks!$P$168</f>
        <v>N/A – rule
08-Oct-26 23:20 KUL</v>
      </c>
      <c r="D25" s="120" t="str">
        <f aca="false">IF(TRIM(Checks!$U$168)&lt;&gt;"",Checks!$U$168&amp;IF(Checks!$AB$168="","",CHAR(10)&amp;"CA: "&amp;Checks!$AB$168),IF(LEFT(Checks!$AH$168,10)="N/A – RULE","","[ ] Pass"&amp;CHAR(10)&amp;"[ ] Pass after CA"&amp;CHAR(10)&amp;"[ ] Fail"&amp;IF(Checks!$AT$168=1,CHAR(10)&amp;"[ ] N/A","")&amp;CHAR(10)&amp;"CA: Open / Closed"))</f>
        <v/>
      </c>
      <c r="E25" s="120" t="str">
        <f aca="false">IF(Checks!$V$168="","",Checks!$V$168)&amp;IF(Checks!$AC$168="","",IF(Checks!$V$168="","",CHAR(10))&amp;"N/A just.: "&amp;Checks!$AC$168)&amp;IF(OR(Checks!$W$168&lt;&gt;"",AND(Checks!$AQ$168=1,NOT(LEFT(Checks!$AH$168,10)="N/A – RULE"))),CHAR(10)&amp;"Batch: "&amp;IF(Checks!$W$168="","____________",Checks!$W$168),"")&amp;IF(OR(Checks!$X$168&lt;&gt;"",Checks!$Y$168&lt;&gt;"",AND(Checks!$AR$168=1,NOT(LEFT(Checks!$AH$168,10)="N/A – RULE"))),CHAR(10)&amp;"Exp: "&amp;IF(Checks!$X$168="","______",Checks!$X$168)&amp;"  /  Act: "&amp;IF(Checks!$Y$168="","______",Checks!$Y$168),"")</f>
        <v/>
      </c>
      <c r="F25" s="120" t="str">
        <f aca="false">IF(AND(LEFT(Checks!$AH$168,10)="N/A – RULE",TRIM(Checks!$S$168&amp;Checks!$Z$168)=""),"","Type: "&amp;IF(TRIM(Checks!$S$168)="","______________ (see cover list)",Checks!$S$168)&amp;CHAR(10)&amp;"ID: "&amp;IF(TRIM(Checks!$Z$168)="","______________ (record's own no.)",Checks!$Z$168))&amp;IF(Checks!$AA$168="","",CHAR(10)&amp;"CA: "&amp;Checks!$AA$168)</f>
        <v/>
      </c>
      <c r="G25" s="120" t="str">
        <f aca="false">IF(AND(LEFT(Checks!$AH$168,10)="N/A – RULE",NOT(ISNUMBER(Checks!$AD$168)),Checks!$AE$168="",Checks!$T$168=""),"","Done: "&amp;IF(ISNUMBER(Checks!$AD$168),TEXT(Checks!$AD$168,"DD-MMM-YY HH:MM"),"____________")&amp;" "&amp;Checks!$P$168&amp;CHAR(10)&amp;"Verifier: "&amp;IF(Checks!$AE$168="","____________",Checks!$AE$168)&amp;CHAR(10)&amp;"PIC: "&amp;IF(Checks!$T$168="","____________",Checks!$T$168))</f>
        <v/>
      </c>
      <c r="H25" s="121" t="str">
        <f aca="false">IF(Checks!$AH$168="","",Checks!$AH$168)</f>
        <v>N/A – RULE</v>
      </c>
    </row>
    <row r="26" customFormat="false" ht="114" hidden="false" customHeight="true" outlineLevel="0" collapsed="false">
      <c r="A26" s="120" t="str">
        <f aca="false">Checks!$A$169&amp;CHAR(10)&amp;IF(Checks!$I$169="","",Checks!$I$169&amp;": ")&amp;Checks!$J$169</f>
        <v>F06-T7-04
Staffing: Experienced catering officer assigned to this flight</v>
      </c>
      <c r="B26" s="120" t="str">
        <f aca="false">Checks!$K$169&amp;IF(Checks!$O$169="","",IF(Checks!$K$169="","",CHAR(10))&amp;"Note: "&amp;Checks!$O$169)</f>
        <v>Record officer name in Result</v>
      </c>
      <c r="C26" s="120" t="str">
        <f aca="false">Checks!$N$169&amp;CHAR(10)&amp;IF(ISNUMBER(Checks!$R$169),TEXT(Checks!$R$169,"DD-MMM-YY HH:MM"),"")&amp;" "&amp;Checks!$P$169</f>
        <v>Required
08-Oct-26 23:20 KUL</v>
      </c>
      <c r="D26" s="120" t="str">
        <f aca="false">IF(TRIM(Checks!$U$169)&lt;&gt;"",Checks!$U$169&amp;IF(Checks!$AB$169="","",CHAR(10)&amp;"CA: "&amp;Checks!$AB$169),IF(LEFT(Checks!$AH$169,10)="N/A – RULE","","[ ] Pass"&amp;CHAR(10)&amp;"[ ] Pass after CA"&amp;CHAR(10)&amp;"[ ] Fail"&amp;IF(Checks!$AT$169=1,CHAR(10)&amp;"[ ] N/A","")&amp;CHAR(10)&amp;"CA: Open / Closed"))</f>
        <v>[ ] Pass
[ ] Pass after CA
[ ] Fail
CA: Open / Closed</v>
      </c>
      <c r="E26" s="120" t="str">
        <f aca="false">IF(Checks!$V$169="","",Checks!$V$169)&amp;IF(Checks!$AC$169="","",IF(Checks!$V$169="","",CHAR(10))&amp;"N/A just.: "&amp;Checks!$AC$169)&amp;IF(OR(Checks!$W$169&lt;&gt;"",AND(Checks!$AQ$169=1,NOT(LEFT(Checks!$AH$169,10)="N/A – RULE"))),CHAR(10)&amp;"Batch: "&amp;IF(Checks!$W$169="","____________",Checks!$W$169),"")&amp;IF(OR(Checks!$X$169&lt;&gt;"",Checks!$Y$169&lt;&gt;"",AND(Checks!$AR$169=1,NOT(LEFT(Checks!$AH$169,10)="N/A – RULE"))),CHAR(10)&amp;"Exp: "&amp;IF(Checks!$X$169="","______",Checks!$X$169)&amp;"  /  Act: "&amp;IF(Checks!$Y$169="","______",Checks!$Y$169),"")</f>
        <v/>
      </c>
      <c r="F26" s="120" t="str">
        <f aca="false">IF(AND(LEFT(Checks!$AH$169,10)="N/A – RULE",TRIM(Checks!$S$169&amp;Checks!$Z$169)=""),"","Type: "&amp;IF(TRIM(Checks!$S$169)="","______________ (see cover list)",Checks!$S$169)&amp;CHAR(10)&amp;"ID: "&amp;IF(TRIM(Checks!$Z$169)="","______________ (record's own no.)",Checks!$Z$169))&amp;IF(Checks!$AA$169="","",CHAR(10)&amp;"CA: "&amp;Checks!$AA$169)</f>
        <v>Type: ______________ (see cover list)
ID: ______________ (record's own no.)</v>
      </c>
      <c r="G26" s="120" t="str">
        <f aca="false">IF(AND(LEFT(Checks!$AH$169,10)="N/A – RULE",NOT(ISNUMBER(Checks!$AD$169)),Checks!$AE$169="",Checks!$T$169=""),"","Done: "&amp;IF(ISNUMBER(Checks!$AD$169),TEXT(Checks!$AD$169,"DD-MMM-YY HH:MM"),"____________")&amp;" "&amp;Checks!$P$169&amp;CHAR(10)&amp;"Verifier: "&amp;IF(Checks!$AE$169="","____________",Checks!$AE$169)&amp;CHAR(10)&amp;"PIC: "&amp;IF(Checks!$T$169="","____________",Checks!$T$169))</f>
        <v>Done: ____________ KUL
Verifier: ____________
PIC: ____________</v>
      </c>
      <c r="H26" s="121" t="str">
        <f aca="false">IF(Checks!$AH$169="","",Checks!$AH$169)</f>
        <v>OPEN</v>
      </c>
    </row>
    <row r="27" customFormat="false" ht="114" hidden="false" customHeight="true" outlineLevel="0" collapsed="false">
      <c r="A27" s="120" t="str">
        <f aca="false">Checks!$A$170&amp;CHAR(10)&amp;IF(Checks!$I$170="","",Checks!$I$170&amp;": ")&amp;Checks!$J$170</f>
        <v>F06-T7-05
ISOP: All latest applicable ISOP revisions communicated to caterer</v>
      </c>
      <c r="B27" s="120" t="str">
        <f aca="false">Checks!$K$170&amp;IF(Checks!$O$170="","",IF(Checks!$K$170="","",CHAR(10))&amp;"Note: "&amp;Checks!$O$170)</f>
        <v>List revision numbers in Result (see ISOP register)</v>
      </c>
      <c r="C27" s="120" t="str">
        <f aca="false">Checks!$N$170&amp;CHAR(10)&amp;IF(ISNUMBER(Checks!$R$170),TEXT(Checks!$R$170,"DD-MMM-YY HH:MM"),"")&amp;" "&amp;Checks!$P$170</f>
        <v>Required
08-Oct-26 23:20 KUL</v>
      </c>
      <c r="D27" s="120" t="str">
        <f aca="false">IF(TRIM(Checks!$U$170)&lt;&gt;"",Checks!$U$170&amp;IF(Checks!$AB$170="","",CHAR(10)&amp;"CA: "&amp;Checks!$AB$170),IF(LEFT(Checks!$AH$170,10)="N/A – RULE","","[ ] Pass"&amp;CHAR(10)&amp;"[ ] Pass after CA"&amp;CHAR(10)&amp;"[ ] Fail"&amp;IF(Checks!$AT$170=1,CHAR(10)&amp;"[ ] N/A","")&amp;CHAR(10)&amp;"CA: Open / Closed"))</f>
        <v>[ ] Pass
[ ] Pass after CA
[ ] Fail
CA: Open / Closed</v>
      </c>
      <c r="E27" s="120" t="str">
        <f aca="false">IF(Checks!$V$170="","",Checks!$V$170)&amp;IF(Checks!$AC$170="","",IF(Checks!$V$170="","",CHAR(10))&amp;"N/A just.: "&amp;Checks!$AC$170)&amp;IF(OR(Checks!$W$170&lt;&gt;"",AND(Checks!$AQ$170=1,NOT(LEFT(Checks!$AH$170,10)="N/A – RULE"))),CHAR(10)&amp;"Batch: "&amp;IF(Checks!$W$170="","____________",Checks!$W$170),"")&amp;IF(OR(Checks!$X$170&lt;&gt;"",Checks!$Y$170&lt;&gt;"",AND(Checks!$AR$170=1,NOT(LEFT(Checks!$AH$170,10)="N/A – RULE"))),CHAR(10)&amp;"Exp: "&amp;IF(Checks!$X$170="","______",Checks!$X$170)&amp;"  /  Act: "&amp;IF(Checks!$Y$170="","______",Checks!$Y$170),"")</f>
        <v/>
      </c>
      <c r="F27" s="120" t="str">
        <f aca="false">IF(AND(LEFT(Checks!$AH$170,10)="N/A – RULE",TRIM(Checks!$S$170&amp;Checks!$Z$170)=""),"","Type: "&amp;IF(TRIM(Checks!$S$170)="","______________ (see cover list)",Checks!$S$170)&amp;CHAR(10)&amp;"ID: "&amp;IF(TRIM(Checks!$Z$170)="","______________ (record's own no.)",Checks!$Z$170))&amp;IF(Checks!$AA$170="","",CHAR(10)&amp;"CA: "&amp;Checks!$AA$170)</f>
        <v>Type: ______________ (see cover list)
ID: ______________ (record's own no.)</v>
      </c>
      <c r="G27" s="120" t="str">
        <f aca="false">IF(AND(LEFT(Checks!$AH$170,10)="N/A – RULE",NOT(ISNUMBER(Checks!$AD$170)),Checks!$AE$170="",Checks!$T$170=""),"","Done: "&amp;IF(ISNUMBER(Checks!$AD$170),TEXT(Checks!$AD$170,"DD-MMM-YY HH:MM"),"____________")&amp;" "&amp;Checks!$P$170&amp;CHAR(10)&amp;"Verifier: "&amp;IF(Checks!$AE$170="","____________",Checks!$AE$170)&amp;CHAR(10)&amp;"PIC: "&amp;IF(Checks!$T$170="","____________",Checks!$T$170))</f>
        <v>Done: ____________ KUL
Verifier: ____________
PIC: ____________</v>
      </c>
      <c r="H27" s="121" t="str">
        <f aca="false">IF(Checks!$AH$170="","",Checks!$AH$170)</f>
        <v>OPEN</v>
      </c>
    </row>
    <row r="28" customFormat="false" ht="114" hidden="false" customHeight="true" outlineLevel="0" collapsed="false">
      <c r="A28" s="120" t="str">
        <f aca="false">Checks!$A$171&amp;CHAR(10)&amp;IF(Checks!$I$171="","",Checks!$I$171&amp;": ")&amp;Checks!$J$171</f>
        <v>F06-T7-06
ISOP: Caterer acknowledgement of ISOP revisions recorded</v>
      </c>
      <c r="B28" s="120" t="str">
        <f aca="false">Checks!$K$171&amp;IF(Checks!$O$171="","",IF(Checks!$K$171="","",CHAR(10))&amp;"Note: "&amp;Checks!$O$171)</f>
        <v>Record acknowledgement ref in Evidence</v>
      </c>
      <c r="C28" s="120" t="str">
        <f aca="false">Checks!$N$171&amp;CHAR(10)&amp;IF(ISNUMBER(Checks!$R$171),TEXT(Checks!$R$171,"DD-MMM-YY HH:MM"),"")&amp;" "&amp;Checks!$P$171</f>
        <v>Required
08-Oct-26 23:20 KUL</v>
      </c>
      <c r="D28" s="120" t="str">
        <f aca="false">IF(TRIM(Checks!$U$171)&lt;&gt;"",Checks!$U$171&amp;IF(Checks!$AB$171="","",CHAR(10)&amp;"CA: "&amp;Checks!$AB$171),IF(LEFT(Checks!$AH$171,10)="N/A – RULE","","[ ] Pass"&amp;CHAR(10)&amp;"[ ] Pass after CA"&amp;CHAR(10)&amp;"[ ] Fail"&amp;IF(Checks!$AT$171=1,CHAR(10)&amp;"[ ] N/A","")&amp;CHAR(10)&amp;"CA: Open / Closed"))</f>
        <v>[ ] Pass
[ ] Pass after CA
[ ] Fail
CA: Open / Closed</v>
      </c>
      <c r="E28" s="120" t="str">
        <f aca="false">IF(Checks!$V$171="","",Checks!$V$171)&amp;IF(Checks!$AC$171="","",IF(Checks!$V$171="","",CHAR(10))&amp;"N/A just.: "&amp;Checks!$AC$171)&amp;IF(OR(Checks!$W$171&lt;&gt;"",AND(Checks!$AQ$171=1,NOT(LEFT(Checks!$AH$171,10)="N/A – RULE"))),CHAR(10)&amp;"Batch: "&amp;IF(Checks!$W$171="","____________",Checks!$W$171),"")&amp;IF(OR(Checks!$X$171&lt;&gt;"",Checks!$Y$171&lt;&gt;"",AND(Checks!$AR$171=1,NOT(LEFT(Checks!$AH$171,10)="N/A – RULE"))),CHAR(10)&amp;"Exp: "&amp;IF(Checks!$X$171="","______",Checks!$X$171)&amp;"  /  Act: "&amp;IF(Checks!$Y$171="","______",Checks!$Y$171),"")</f>
        <v/>
      </c>
      <c r="F28" s="120" t="str">
        <f aca="false">IF(AND(LEFT(Checks!$AH$171,10)="N/A – RULE",TRIM(Checks!$S$171&amp;Checks!$Z$171)=""),"","Type: "&amp;IF(TRIM(Checks!$S$171)="","______________ (see cover list)",Checks!$S$171)&amp;CHAR(10)&amp;"ID: "&amp;IF(TRIM(Checks!$Z$171)="","______________ (record's own no.)",Checks!$Z$171))&amp;IF(Checks!$AA$171="","",CHAR(10)&amp;"CA: "&amp;Checks!$AA$171)</f>
        <v>Type: ______________ (see cover list)
ID: ______________ (record's own no.)</v>
      </c>
      <c r="G28" s="120" t="str">
        <f aca="false">IF(AND(LEFT(Checks!$AH$171,10)="N/A – RULE",NOT(ISNUMBER(Checks!$AD$171)),Checks!$AE$171="",Checks!$T$171=""),"","Done: "&amp;IF(ISNUMBER(Checks!$AD$171),TEXT(Checks!$AD$171,"DD-MMM-YY HH:MM"),"____________")&amp;" "&amp;Checks!$P$171&amp;CHAR(10)&amp;"Verifier: "&amp;IF(Checks!$AE$171="","____________",Checks!$AE$171)&amp;CHAR(10)&amp;"PIC: "&amp;IF(Checks!$T$171="","____________",Checks!$T$171))</f>
        <v>Done: ____________ KUL
Verifier: ____________
PIC: ____________</v>
      </c>
      <c r="H28" s="121" t="str">
        <f aca="false">IF(Checks!$AH$171="","",Checks!$AH$171)</f>
        <v>OPEN</v>
      </c>
    </row>
    <row r="29" customFormat="false" ht="114" hidden="false" customHeight="true" outlineLevel="0" collapsed="false">
      <c r="A29" s="120" t="str">
        <f aca="false">Checks!$A$172&amp;CHAR(10)&amp;IF(Checks!$I$172="","",Checks!$I$172&amp;": ")&amp;Checks!$J$172</f>
        <v>F06-T7-07
Documents: Galley loading diagram (GLD) received, revision recorded &amp; attached</v>
      </c>
      <c r="B29" s="120" t="str">
        <f aca="false">SUBSTITUTE(Checks!$K$172&amp;IF(Checks!$O$172="","",IF(Checks!$K$172="","",CHAR(10))&amp;"Note: "&amp;Checks!$O$172),"Documents sheet row complete","Recorded on the Documents sheet; copy stapled as A1 / A2")</f>
        <v>Recorded on the Documents sheet; copy stapled as A1 / A2</v>
      </c>
      <c r="C29" s="120" t="str">
        <f aca="false">Checks!$N$172&amp;CHAR(10)&amp;IF(ISNUMBER(Checks!$R$172),TEXT(Checks!$R$172,"DD-MMM-YY HH:MM"),"")&amp;" "&amp;Checks!$P$172</f>
        <v>Required
08-Oct-26 23:20 KUL</v>
      </c>
      <c r="D29" s="120" t="str">
        <f aca="false">IF(TRIM(Checks!$U$172)&lt;&gt;"",Checks!$U$172&amp;IF(Checks!$AB$172="","",CHAR(10)&amp;"CA: "&amp;Checks!$AB$172),IF(LEFT(Checks!$AH$172,10)="N/A – RULE","","[ ] Pass"&amp;CHAR(10)&amp;"[ ] Pass after CA"&amp;CHAR(10)&amp;"[ ] Fail"&amp;IF(Checks!$AT$172=1,CHAR(10)&amp;"[ ] N/A","")&amp;CHAR(10)&amp;"CA: Open / Closed"))</f>
        <v>[ ] Pass
[ ] Pass after CA
[ ] Fail
CA: Open / Closed</v>
      </c>
      <c r="E29" s="120" t="str">
        <f aca="false">IF(Checks!$V$172="","",Checks!$V$172)&amp;IF(Checks!$AC$172="","",IF(Checks!$V$172="","",CHAR(10))&amp;"N/A just.: "&amp;Checks!$AC$172)&amp;IF(OR(Checks!$W$172&lt;&gt;"",AND(Checks!$AQ$172=1,NOT(LEFT(Checks!$AH$172,10)="N/A – RULE"))),CHAR(10)&amp;"Batch: "&amp;IF(Checks!$W$172="","____________",Checks!$W$172),"")&amp;IF(OR(Checks!$X$172&lt;&gt;"",Checks!$Y$172&lt;&gt;"",AND(Checks!$AR$172=1,NOT(LEFT(Checks!$AH$172,10)="N/A – RULE"))),CHAR(10)&amp;"Exp: "&amp;IF(Checks!$X$172="","______",Checks!$X$172)&amp;"  /  Act: "&amp;IF(Checks!$Y$172="","______",Checks!$Y$172),"")</f>
        <v/>
      </c>
      <c r="F29" s="120" t="str">
        <f aca="false">IF(AND(LEFT(Checks!$AH$172,10)="N/A – RULE",TRIM(Checks!$S$172&amp;Checks!$Z$172)=""),"","Type: "&amp;IF(TRIM(Checks!$S$172)="","______________ (see cover list)",Checks!$S$172)&amp;CHAR(10)&amp;"ID: "&amp;IF(TRIM(Checks!$Z$172)="","______________ (record's own no.)",Checks!$Z$172))&amp;IF(Checks!$AA$172="","",CHAR(10)&amp;"CA: "&amp;Checks!$AA$172)</f>
        <v>Type: ______________ (see cover list)
ID: ______________ (record's own no.)</v>
      </c>
      <c r="G29" s="120" t="str">
        <f aca="false">IF(AND(LEFT(Checks!$AH$172,10)="N/A – RULE",NOT(ISNUMBER(Checks!$AD$172)),Checks!$AE$172="",Checks!$T$172=""),"","Done: "&amp;IF(ISNUMBER(Checks!$AD$172),TEXT(Checks!$AD$172,"DD-MMM-YY HH:MM"),"____________")&amp;" "&amp;Checks!$P$172&amp;CHAR(10)&amp;"Verifier: "&amp;IF(Checks!$AE$172="","____________",Checks!$AE$172)&amp;CHAR(10)&amp;"PIC: "&amp;IF(Checks!$T$172="","____________",Checks!$T$172))</f>
        <v>Done: ____________ KUL
Verifier: ____________
PIC: ____________</v>
      </c>
      <c r="H29" s="121" t="str">
        <f aca="false">IF(Checks!$AH$172="","",Checks!$AH$172)</f>
        <v>OPEN</v>
      </c>
    </row>
    <row r="30" customFormat="false" ht="114" hidden="false" customHeight="true" outlineLevel="0" collapsed="false">
      <c r="A30" s="120" t="str">
        <f aca="false">Checks!$A$173&amp;CHAR(10)&amp;IF(Checks!$I$173="","",Checks!$I$173&amp;": ")&amp;Checks!$J$173</f>
        <v>F06-T7-08
Documents: Menu checklist received, revision recorded &amp; attached</v>
      </c>
      <c r="B30" s="120" t="str">
        <f aca="false">SUBSTITUTE(Checks!$K$173&amp;IF(Checks!$O$173="","",IF(Checks!$K$173="","",CHAR(10))&amp;"Note: "&amp;Checks!$O$173),"Documents sheet row complete","Recorded on the Documents sheet; copy stapled as A1 / A2")</f>
        <v>Recorded on the Documents sheet; copy stapled as A1 / A2</v>
      </c>
      <c r="C30" s="120" t="str">
        <f aca="false">Checks!$N$173&amp;CHAR(10)&amp;IF(ISNUMBER(Checks!$R$173),TEXT(Checks!$R$173,"DD-MMM-YY HH:MM"),"")&amp;" "&amp;Checks!$P$173</f>
        <v>Required
08-Oct-26 23:20 KUL</v>
      </c>
      <c r="D30" s="120" t="str">
        <f aca="false">IF(TRIM(Checks!$U$173)&lt;&gt;"",Checks!$U$173&amp;IF(Checks!$AB$173="","",CHAR(10)&amp;"CA: "&amp;Checks!$AB$173),IF(LEFT(Checks!$AH$173,10)="N/A – RULE","","[ ] Pass"&amp;CHAR(10)&amp;"[ ] Pass after CA"&amp;CHAR(10)&amp;"[ ] Fail"&amp;IF(Checks!$AT$173=1,CHAR(10)&amp;"[ ] N/A","")&amp;CHAR(10)&amp;"CA: Open / Closed"))</f>
        <v>[ ] Pass
[ ] Pass after CA
[ ] Fail
CA: Open / Closed</v>
      </c>
      <c r="E30" s="120" t="str">
        <f aca="false">IF(Checks!$V$173="","",Checks!$V$173)&amp;IF(Checks!$AC$173="","",IF(Checks!$V$173="","",CHAR(10))&amp;"N/A just.: "&amp;Checks!$AC$173)&amp;IF(OR(Checks!$W$173&lt;&gt;"",AND(Checks!$AQ$173=1,NOT(LEFT(Checks!$AH$173,10)="N/A – RULE"))),CHAR(10)&amp;"Batch: "&amp;IF(Checks!$W$173="","____________",Checks!$W$173),"")&amp;IF(OR(Checks!$X$173&lt;&gt;"",Checks!$Y$173&lt;&gt;"",AND(Checks!$AR$173=1,NOT(LEFT(Checks!$AH$173,10)="N/A – RULE"))),CHAR(10)&amp;"Exp: "&amp;IF(Checks!$X$173="","______",Checks!$X$173)&amp;"  /  Act: "&amp;IF(Checks!$Y$173="","______",Checks!$Y$173),"")</f>
        <v/>
      </c>
      <c r="F30" s="120" t="str">
        <f aca="false">IF(AND(LEFT(Checks!$AH$173,10)="N/A – RULE",TRIM(Checks!$S$173&amp;Checks!$Z$173)=""),"","Type: "&amp;IF(TRIM(Checks!$S$173)="","______________ (see cover list)",Checks!$S$173)&amp;CHAR(10)&amp;"ID: "&amp;IF(TRIM(Checks!$Z$173)="","______________ (record's own no.)",Checks!$Z$173))&amp;IF(Checks!$AA$173="","",CHAR(10)&amp;"CA: "&amp;Checks!$AA$173)</f>
        <v>Type: ______________ (see cover list)
ID: ______________ (record's own no.)</v>
      </c>
      <c r="G30" s="120" t="str">
        <f aca="false">IF(AND(LEFT(Checks!$AH$173,10)="N/A – RULE",NOT(ISNUMBER(Checks!$AD$173)),Checks!$AE$173="",Checks!$T$173=""),"","Done: "&amp;IF(ISNUMBER(Checks!$AD$173),TEXT(Checks!$AD$173,"DD-MMM-YY HH:MM"),"____________")&amp;" "&amp;Checks!$P$173&amp;CHAR(10)&amp;"Verifier: "&amp;IF(Checks!$AE$173="","____________",Checks!$AE$173)&amp;CHAR(10)&amp;"PIC: "&amp;IF(Checks!$T$173="","____________",Checks!$T$173))</f>
        <v>Done: ____________ KUL
Verifier: ____________
PIC: ____________</v>
      </c>
      <c r="H30" s="121" t="str">
        <f aca="false">IF(Checks!$AH$173="","",Checks!$AH$173)</f>
        <v>OPEN</v>
      </c>
    </row>
    <row r="31" customFormat="false" ht="114" hidden="false" customHeight="true" outlineLevel="0" collapsed="false">
      <c r="A31" s="120" t="str">
        <f aca="false">Checks!$A$174&amp;CHAR(10)&amp;IF(Checks!$I$174="","",Checks!$I$174&amp;": ")&amp;Checks!$J$174</f>
        <v>F06-T7-09
Uplift plan: Uplift plan confirmed with caterer vs STD Uplift Information</v>
      </c>
      <c r="B31" s="120" t="str">
        <f aca="false">Checks!$K$174&amp;IF(Checks!$O$174="","",IF(Checks!$K$174="","",CHAR(10))&amp;"Note: "&amp;Checks!$O$174)</f>
        <v>Service: 2.5 Meal (Meal); meal uplift stn KUL (ref lists KUL/LHR)</v>
      </c>
      <c r="C31" s="120" t="str">
        <f aca="false">Checks!$N$174&amp;CHAR(10)&amp;IF(ISNUMBER(Checks!$R$174),TEXT(Checks!$R$174,"DD-MMM-YY HH:MM"),"")&amp;" "&amp;Checks!$P$174</f>
        <v>Required
08-Oct-26 23:20 KUL</v>
      </c>
      <c r="D31" s="120" t="str">
        <f aca="false">IF(TRIM(Checks!$U$174)&lt;&gt;"",Checks!$U$174&amp;IF(Checks!$AB$174="","",CHAR(10)&amp;"CA: "&amp;Checks!$AB$174),IF(LEFT(Checks!$AH$174,10)="N/A – RULE","","[ ] Pass"&amp;CHAR(10)&amp;"[ ] Pass after CA"&amp;CHAR(10)&amp;"[ ] Fail"&amp;IF(Checks!$AT$174=1,CHAR(10)&amp;"[ ] N/A","")&amp;CHAR(10)&amp;"CA: Open / Closed"))</f>
        <v>[ ] Pass
[ ] Pass after CA
[ ] Fail
CA: Open / Closed</v>
      </c>
      <c r="E31" s="120" t="str">
        <f aca="false">IF(Checks!$V$174="","",Checks!$V$174)&amp;IF(Checks!$AC$174="","",IF(Checks!$V$174="","",CHAR(10))&amp;"N/A just.: "&amp;Checks!$AC$174)&amp;IF(OR(Checks!$W$174&lt;&gt;"",AND(Checks!$AQ$174=1,NOT(LEFT(Checks!$AH$174,10)="N/A – RULE"))),CHAR(10)&amp;"Batch: "&amp;IF(Checks!$W$174="","____________",Checks!$W$174),"")&amp;IF(OR(Checks!$X$174&lt;&gt;"",Checks!$Y$174&lt;&gt;"",AND(Checks!$AR$174=1,NOT(LEFT(Checks!$AH$174,10)="N/A – RULE"))),CHAR(10)&amp;"Exp: "&amp;IF(Checks!$X$174="","______",Checks!$X$174)&amp;"  /  Act: "&amp;IF(Checks!$Y$174="","______",Checks!$Y$174),"")</f>
        <v/>
      </c>
      <c r="F31" s="120" t="str">
        <f aca="false">IF(AND(LEFT(Checks!$AH$174,10)="N/A – RULE",TRIM(Checks!$S$174&amp;Checks!$Z$174)=""),"","Type: "&amp;IF(TRIM(Checks!$S$174)="","______________ (see cover list)",Checks!$S$174)&amp;CHAR(10)&amp;"ID: "&amp;IF(TRIM(Checks!$Z$174)="","______________ (record's own no.)",Checks!$Z$174))&amp;IF(Checks!$AA$174="","",CHAR(10)&amp;"CA: "&amp;Checks!$AA$174)</f>
        <v>Type: ______________ (see cover list)
ID: ______________ (record's own no.)</v>
      </c>
      <c r="G31" s="120" t="str">
        <f aca="false">IF(AND(LEFT(Checks!$AH$174,10)="N/A – RULE",NOT(ISNUMBER(Checks!$AD$174)),Checks!$AE$174="",Checks!$T$174=""),"","Done: "&amp;IF(ISNUMBER(Checks!$AD$174),TEXT(Checks!$AD$174,"DD-MMM-YY HH:MM"),"____________")&amp;" "&amp;Checks!$P$174&amp;CHAR(10)&amp;"Verifier: "&amp;IF(Checks!$AE$174="","____________",Checks!$AE$174)&amp;CHAR(10)&amp;"PIC: "&amp;IF(Checks!$T$174="","____________",Checks!$T$174))</f>
        <v>Done: ____________ KUL
Verifier: ____________
PIC: ____________</v>
      </c>
      <c r="H31" s="121" t="str">
        <f aca="false">IF(Checks!$AH$174="","",Checks!$AH$174)</f>
        <v>OPEN</v>
      </c>
    </row>
    <row r="32" customFormat="false" ht="25.5" hidden="false" customHeight="true" outlineLevel="0" collapsed="false">
      <c r="A32" s="119" t="str">
        <f aca="false">"T-24H — Production batch sensory  |  Due "&amp;IF(ISNUMBER(Flights!$AH$10),TEXT(Flights!$AH$10,"DD-MMM-YY HH:MM"),"")&amp;" "&amp;Flights!$V$10&amp;" (meal uplift stn)"&amp;" (rows with another due show their own)  |  Complete "&amp;IF(ISNUMBER(Flights!$AK$10),TEXT(Flights!$AK$10,"0%"),Flights!$AK$10)&amp;"  |  1 lines"</f>
        <v>T-24H — Production batch sensory  |  Due 14-Oct-26 23:20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Checks!$A$175&amp;CHAR(10)&amp;IF(Checks!$I$175="","",Checks!$I$175&amp;": ")&amp;Checks!$J$175</f>
        <v>F06-T24-01
Meal: Sensory test repeated on ACTUAL production batch for this flight</v>
      </c>
      <c r="B33" s="120" t="str">
        <f aca="false">Checks!$K$175&amp;IF(Checks!$O$175="","",IF(Checks!$K$175="","",CHAR(10))&amp;"Note: "&amp;Checks!$O$175)</f>
        <v>Batch ID, result, CA and acceptance mandatory</v>
      </c>
      <c r="C33" s="120" t="str">
        <f aca="false">Checks!$N$175&amp;CHAR(10)&amp;IF(ISNUMBER(Checks!$R$175),TEXT(Checks!$R$175,"DD-MMM-YY HH:MM"),"")&amp;" "&amp;Checks!$P$175</f>
        <v>Required
14-Oct-26 23:20 KUL</v>
      </c>
      <c r="D33" s="120" t="str">
        <f aca="false">IF(TRIM(Checks!$U$175)&lt;&gt;"",Checks!$U$175&amp;IF(Checks!$AB$175="","",CHAR(10)&amp;"CA: "&amp;Checks!$AB$175),IF(LEFT(Checks!$AH$175,10)="N/A – RULE","","[ ] Pass"&amp;CHAR(10)&amp;"[ ] Pass after CA"&amp;CHAR(10)&amp;"[ ] Fail"&amp;IF(Checks!$AT$175=1,CHAR(10)&amp;"[ ] N/A","")&amp;CHAR(10)&amp;"CA: Open / Closed"))</f>
        <v>[ ] Pass
[ ] Pass after CA
[ ] Fail
CA: Open / Closed</v>
      </c>
      <c r="E33" s="120" t="str">
        <f aca="false">IF(Checks!$V$175="","",Checks!$V$175)&amp;IF(Checks!$AC$175="","",IF(Checks!$V$175="","",CHAR(10))&amp;"N/A just.: "&amp;Checks!$AC$175)&amp;IF(OR(Checks!$W$175&lt;&gt;"",AND(Checks!$AQ$175=1,NOT(LEFT(Checks!$AH$175,10)="N/A – RULE"))),CHAR(10)&amp;"Batch: "&amp;IF(Checks!$W$175="","____________",Checks!$W$175),"")&amp;IF(OR(Checks!$X$175&lt;&gt;"",Checks!$Y$175&lt;&gt;"",AND(Checks!$AR$175=1,NOT(LEFT(Checks!$AH$175,10)="N/A – RULE"))),CHAR(10)&amp;"Exp: "&amp;IF(Checks!$X$175="","______",Checks!$X$175)&amp;"  /  Act: "&amp;IF(Checks!$Y$175="","______",Checks!$Y$175),"")</f>
        <v>
Batch: ____________</v>
      </c>
      <c r="F33" s="120" t="str">
        <f aca="false">IF(AND(LEFT(Checks!$AH$175,10)="N/A – RULE",TRIM(Checks!$S$175&amp;Checks!$Z$175)=""),"","Type: "&amp;IF(TRIM(Checks!$S$175)="","______________ (see cover list)",Checks!$S$175)&amp;CHAR(10)&amp;"ID: "&amp;IF(TRIM(Checks!$Z$175)="","______________ (record's own no.)",Checks!$Z$175))&amp;IF(Checks!$AA$175="","",CHAR(10)&amp;"CA: "&amp;Checks!$AA$175)</f>
        <v>Type: ______________ (see cover list)
ID: ______________ (record's own no.)</v>
      </c>
      <c r="G33" s="120" t="str">
        <f aca="false">IF(AND(LEFT(Checks!$AH$175,10)="N/A – RULE",NOT(ISNUMBER(Checks!$AD$175)),Checks!$AE$175="",Checks!$T$175=""),"","Done: "&amp;IF(ISNUMBER(Checks!$AD$175),TEXT(Checks!$AD$175,"DD-MMM-YY HH:MM"),"____________")&amp;" "&amp;Checks!$P$175&amp;CHAR(10)&amp;"Verifier: "&amp;IF(Checks!$AE$175="","____________",Checks!$AE$175)&amp;CHAR(10)&amp;"PIC: "&amp;IF(Checks!$T$175="","____________",Checks!$T$175))</f>
        <v>Done: ____________ KUL
Verifier: ____________
PIC: ____________</v>
      </c>
      <c r="H33" s="121" t="str">
        <f aca="false">IF(Checks!$AH$175="","",Checks!$AH$175)</f>
        <v>OPEN</v>
      </c>
    </row>
    <row r="34" customFormat="false" ht="25.5" hidden="false" customHeight="true" outlineLevel="0" collapsed="false">
      <c r="A34" s="119" t="str">
        <f aca="false">"T-12H PREP — Preparation check at caterer (does NOT confirm loading)  |  Due "&amp;IF(ISNUMBER(Flights!$AI$10),TEXT(Flights!$AI$10,"DD-MMM-YY HH:MM"),"")&amp;" "&amp;Flights!$V$10&amp;" (meal uplift stn)"&amp;" (rows with another due show their own)  |  Complete "&amp;IF(ISNUMBER(Flights!$AL$10),TEXT(Flights!$AL$10,"0%"),Flights!$AL$10)&amp;"  |  21 lines"</f>
        <v>T-12H PREP — Preparation check at caterer (does NOT confirm loading)  |  Due 15-Oct-26 11:20 KUL (meal uplift stn) (rows with another due show their own)  |  Complete 0%  |  21 lines</v>
      </c>
      <c r="B34" s="119"/>
      <c r="C34" s="119"/>
      <c r="D34" s="119"/>
      <c r="E34" s="119"/>
      <c r="F34" s="119"/>
      <c r="G34" s="119"/>
      <c r="H34" s="119"/>
    </row>
    <row r="35" customFormat="false" ht="114" hidden="false" customHeight="true" outlineLevel="0" collapsed="false">
      <c r="A35" s="120" t="str">
        <f aca="false">Checks!$A$176&amp;CHAR(10)&amp;IF(Checks!$I$176="","",Checks!$I$176&amp;": ")&amp;Checks!$J$176</f>
        <v>F06-T12-01
Meal: Meal quality vs menu checklist</v>
      </c>
      <c r="B35" s="120" t="str">
        <f aca="false">Checks!$K$176&amp;IF(Checks!$O$176="","",IF(Checks!$K$176="","",CHAR(10))&amp;"Note: "&amp;Checks!$O$176)</f>
        <v>Note: Preparation check at caterer - does NOT confirm loading.</v>
      </c>
      <c r="C35" s="120" t="str">
        <f aca="false">Checks!$N$176&amp;CHAR(10)&amp;IF(ISNUMBER(Checks!$R$176),TEXT(Checks!$R$176,"DD-MMM-YY HH:MM"),"")&amp;" "&amp;Checks!$P$176</f>
        <v>Required
15-Oct-26 11:20 KUL</v>
      </c>
      <c r="D35" s="120" t="str">
        <f aca="false">IF(TRIM(Checks!$U$176)&lt;&gt;"",Checks!$U$176&amp;IF(Checks!$AB$176="","",CHAR(10)&amp;"CA: "&amp;Checks!$AB$176),IF(LEFT(Checks!$AH$176,10)="N/A – RULE","","[ ] Pass"&amp;CHAR(10)&amp;"[ ] Pass after CA"&amp;CHAR(10)&amp;"[ ] Fail"&amp;IF(Checks!$AT$176=1,CHAR(10)&amp;"[ ] N/A","")&amp;CHAR(10)&amp;"CA: Open / Closed"))</f>
        <v>[ ] Pass
[ ] Pass after CA
[ ] Fail
CA: Open / Closed</v>
      </c>
      <c r="E35" s="120" t="str">
        <f aca="false">IF(Checks!$V$176="","",Checks!$V$176)&amp;IF(Checks!$AC$176="","",IF(Checks!$V$176="","",CHAR(10))&amp;"N/A just.: "&amp;Checks!$AC$176)&amp;IF(OR(Checks!$W$176&lt;&gt;"",AND(Checks!$AQ$176=1,NOT(LEFT(Checks!$AH$176,10)="N/A – RULE"))),CHAR(10)&amp;"Batch: "&amp;IF(Checks!$W$176="","____________",Checks!$W$176),"")&amp;IF(OR(Checks!$X$176&lt;&gt;"",Checks!$Y$176&lt;&gt;"",AND(Checks!$AR$176=1,NOT(LEFT(Checks!$AH$176,10)="N/A – RULE"))),CHAR(10)&amp;"Exp: "&amp;IF(Checks!$X$176="","______",Checks!$X$176)&amp;"  /  Act: "&amp;IF(Checks!$Y$176="","______",Checks!$Y$176),"")</f>
        <v/>
      </c>
      <c r="F35" s="120" t="str">
        <f aca="false">IF(AND(LEFT(Checks!$AH$176,10)="N/A – RULE",TRIM(Checks!$S$176&amp;Checks!$Z$176)=""),"","Type: "&amp;IF(TRIM(Checks!$S$176)="","______________ (see cover list)",Checks!$S$176)&amp;CHAR(10)&amp;"ID: "&amp;IF(TRIM(Checks!$Z$176)="","______________ (record's own no.)",Checks!$Z$176))&amp;IF(Checks!$AA$176="","",CHAR(10)&amp;"CA: "&amp;Checks!$AA$176)</f>
        <v>Type: ______________ (see cover list)
ID: ______________ (record's own no.)</v>
      </c>
      <c r="G35" s="120" t="str">
        <f aca="false">IF(AND(LEFT(Checks!$AH$176,10)="N/A – RULE",NOT(ISNUMBER(Checks!$AD$176)),Checks!$AE$176="",Checks!$T$176=""),"","Done: "&amp;IF(ISNUMBER(Checks!$AD$176),TEXT(Checks!$AD$176,"DD-MMM-YY HH:MM"),"____________")&amp;" "&amp;Checks!$P$176&amp;CHAR(10)&amp;"Verifier: "&amp;IF(Checks!$AE$176="","____________",Checks!$AE$176)&amp;CHAR(10)&amp;"PIC: "&amp;IF(Checks!$T$176="","____________",Checks!$T$176))</f>
        <v>Done: ____________ KUL
Verifier: ____________
PIC: ____________</v>
      </c>
      <c r="H35" s="121" t="str">
        <f aca="false">IF(Checks!$AH$176="","",Checks!$AH$176)</f>
        <v>OPEN</v>
      </c>
    </row>
    <row r="36" customFormat="false" ht="114" hidden="false" customHeight="true" outlineLevel="0" collapsed="false">
      <c r="A36" s="120" t="str">
        <f aca="false">Checks!$A$177&amp;CHAR(10)&amp;IF(Checks!$I$177="","",Checks!$I$177&amp;": ")&amp;Checks!$J$177</f>
        <v>F06-T12-02
Meal: Meal quantities vs menu checklist</v>
      </c>
      <c r="B36" s="120" t="str">
        <f aca="false">Checks!$K$177&amp;IF(Checks!$O$177="","",IF(Checks!$K$177="","",CHAR(10))&amp;"Note: "&amp;Checks!$O$177)</f>
        <v>Enter expected &amp; actual
Note: Preparation check at caterer - does NOT confirm loading.</v>
      </c>
      <c r="C36" s="120" t="str">
        <f aca="false">Checks!$N$177&amp;CHAR(10)&amp;IF(ISNUMBER(Checks!$R$177),TEXT(Checks!$R$177,"DD-MMM-YY HH:MM"),"")&amp;" "&amp;Checks!$P$177</f>
        <v>Required
15-Oct-26 11:20 KUL</v>
      </c>
      <c r="D36" s="120" t="str">
        <f aca="false">IF(TRIM(Checks!$U$177)&lt;&gt;"",Checks!$U$177&amp;IF(Checks!$AB$177="","",CHAR(10)&amp;"CA: "&amp;Checks!$AB$177),IF(LEFT(Checks!$AH$177,10)="N/A – RULE","","[ ] Pass"&amp;CHAR(10)&amp;"[ ] Pass after CA"&amp;CHAR(10)&amp;"[ ] Fail"&amp;IF(Checks!$AT$177=1,CHAR(10)&amp;"[ ] N/A","")&amp;CHAR(10)&amp;"CA: Open / Closed"))</f>
        <v>[ ] Pass
[ ] Pass after CA
[ ] Fail
CA: Open / Closed</v>
      </c>
      <c r="E36" s="120" t="str">
        <f aca="false">IF(Checks!$V$177="","",Checks!$V$177)&amp;IF(Checks!$AC$177="","",IF(Checks!$V$177="","",CHAR(10))&amp;"N/A just.: "&amp;Checks!$AC$177)&amp;IF(OR(Checks!$W$177&lt;&gt;"",AND(Checks!$AQ$177=1,NOT(LEFT(Checks!$AH$177,10)="N/A – RULE"))),CHAR(10)&amp;"Batch: "&amp;IF(Checks!$W$177="","____________",Checks!$W$177),"")&amp;IF(OR(Checks!$X$177&lt;&gt;"",Checks!$Y$177&lt;&gt;"",AND(Checks!$AR$177=1,NOT(LEFT(Checks!$AH$177,10)="N/A – RULE"))),CHAR(10)&amp;"Exp: "&amp;IF(Checks!$X$177="","______",Checks!$X$177)&amp;"  /  Act: "&amp;IF(Checks!$Y$177="","______",Checks!$Y$177),"")</f>
        <v>
Exp: ______  /  Act: ______</v>
      </c>
      <c r="F36" s="120" t="str">
        <f aca="false">IF(AND(LEFT(Checks!$AH$177,10)="N/A – RULE",TRIM(Checks!$S$177&amp;Checks!$Z$177)=""),"","Type: "&amp;IF(TRIM(Checks!$S$177)="","______________ (see cover list)",Checks!$S$177)&amp;CHAR(10)&amp;"ID: "&amp;IF(TRIM(Checks!$Z$177)="","______________ (record's own no.)",Checks!$Z$177))&amp;IF(Checks!$AA$177="","",CHAR(10)&amp;"CA: "&amp;Checks!$AA$177)</f>
        <v>Type: ______________ (see cover list)
ID: ______________ (record's own no.)</v>
      </c>
      <c r="G36" s="120" t="str">
        <f aca="false">IF(AND(LEFT(Checks!$AH$177,10)="N/A – RULE",NOT(ISNUMBER(Checks!$AD$177)),Checks!$AE$177="",Checks!$T$177=""),"","Done: "&amp;IF(ISNUMBER(Checks!$AD$177),TEXT(Checks!$AD$177,"DD-MMM-YY HH:MM"),"____________")&amp;" "&amp;Checks!$P$177&amp;CHAR(10)&amp;"Verifier: "&amp;IF(Checks!$AE$177="","____________",Checks!$AE$177)&amp;CHAR(10)&amp;"PIC: "&amp;IF(Checks!$T$177="","____________",Checks!$T$177))</f>
        <v>Done: ____________ KUL
Verifier: ____________
PIC: ____________</v>
      </c>
      <c r="H36" s="121" t="str">
        <f aca="false">IF(Checks!$AH$177="","",Checks!$AH$177)</f>
        <v>OPEN</v>
      </c>
    </row>
    <row r="37" customFormat="false" ht="114" hidden="false" customHeight="true" outlineLevel="0" collapsed="false">
      <c r="A37" s="120" t="str">
        <f aca="false">Checks!$A$178&amp;CHAR(10)&amp;IF(Checks!$I$178="","",Checks!$I$178&amp;": ")&amp;Checks!$J$178</f>
        <v>F06-T12-03
Equipment: Equipment cleanliness vs GLD</v>
      </c>
      <c r="B37" s="120" t="str">
        <f aca="false">Checks!$K$178&amp;IF(Checks!$O$178="","",IF(Checks!$K$178="","",CHAR(10))&amp;"Note: "&amp;Checks!$O$178)</f>
        <v>Note: Preparation check at caterer - does NOT confirm loading.</v>
      </c>
      <c r="C37" s="120" t="str">
        <f aca="false">Checks!$N$178&amp;CHAR(10)&amp;IF(ISNUMBER(Checks!$R$178),TEXT(Checks!$R$178,"DD-MMM-YY HH:MM"),"")&amp;" "&amp;Checks!$P$178</f>
        <v>Required
15-Oct-26 11:20 KUL</v>
      </c>
      <c r="D37" s="120" t="str">
        <f aca="false">IF(TRIM(Checks!$U$178)&lt;&gt;"",Checks!$U$178&amp;IF(Checks!$AB$178="","",CHAR(10)&amp;"CA: "&amp;Checks!$AB$178),IF(LEFT(Checks!$AH$178,10)="N/A – RULE","","[ ] Pass"&amp;CHAR(10)&amp;"[ ] Pass after CA"&amp;CHAR(10)&amp;"[ ] Fail"&amp;IF(Checks!$AT$178=1,CHAR(10)&amp;"[ ] N/A","")&amp;CHAR(10)&amp;"CA: Open / Closed"))</f>
        <v>[ ] Pass
[ ] Pass after CA
[ ] Fail
CA: Open / Closed</v>
      </c>
      <c r="E37" s="120" t="str">
        <f aca="false">IF(Checks!$V$178="","",Checks!$V$178)&amp;IF(Checks!$AC$178="","",IF(Checks!$V$178="","",CHAR(10))&amp;"N/A just.: "&amp;Checks!$AC$178)&amp;IF(OR(Checks!$W$178&lt;&gt;"",AND(Checks!$AQ$178=1,NOT(LEFT(Checks!$AH$178,10)="N/A – RULE"))),CHAR(10)&amp;"Batch: "&amp;IF(Checks!$W$178="","____________",Checks!$W$178),"")&amp;IF(OR(Checks!$X$178&lt;&gt;"",Checks!$Y$178&lt;&gt;"",AND(Checks!$AR$178=1,NOT(LEFT(Checks!$AH$178,10)="N/A – RULE"))),CHAR(10)&amp;"Exp: "&amp;IF(Checks!$X$178="","______",Checks!$X$178)&amp;"  /  Act: "&amp;IF(Checks!$Y$178="","______",Checks!$Y$178),"")</f>
        <v/>
      </c>
      <c r="F37" s="120" t="str">
        <f aca="false">IF(AND(LEFT(Checks!$AH$178,10)="N/A – RULE",TRIM(Checks!$S$178&amp;Checks!$Z$178)=""),"","Type: "&amp;IF(TRIM(Checks!$S$178)="","______________ (see cover list)",Checks!$S$178)&amp;CHAR(10)&amp;"ID: "&amp;IF(TRIM(Checks!$Z$178)="","______________ (record's own no.)",Checks!$Z$178))&amp;IF(Checks!$AA$178="","",CHAR(10)&amp;"CA: "&amp;Checks!$AA$178)</f>
        <v>Type: ______________ (see cover list)
ID: ______________ (record's own no.)</v>
      </c>
      <c r="G37" s="120" t="str">
        <f aca="false">IF(AND(LEFT(Checks!$AH$178,10)="N/A – RULE",NOT(ISNUMBER(Checks!$AD$178)),Checks!$AE$178="",Checks!$T$178=""),"","Done: "&amp;IF(ISNUMBER(Checks!$AD$178),TEXT(Checks!$AD$178,"DD-MMM-YY HH:MM"),"____________")&amp;" "&amp;Checks!$P$178&amp;CHAR(10)&amp;"Verifier: "&amp;IF(Checks!$AE$178="","____________",Checks!$AE$178)&amp;CHAR(10)&amp;"PIC: "&amp;IF(Checks!$T$178="","____________",Checks!$T$178))</f>
        <v>Done: ____________ KUL
Verifier: ____________
PIC: ____________</v>
      </c>
      <c r="H37" s="121" t="str">
        <f aca="false">IF(Checks!$AH$178="","",Checks!$AH$178)</f>
        <v>OPEN</v>
      </c>
    </row>
    <row r="38" customFormat="false" ht="114" hidden="false" customHeight="true" outlineLevel="0" collapsed="false">
      <c r="A38" s="120" t="str">
        <f aca="false">Checks!$A$179&amp;CHAR(10)&amp;IF(Checks!$I$179="","",Checks!$I$179&amp;": ")&amp;Checks!$J$179</f>
        <v>F06-T12-04
Equipment: Equipment presentation vs GLD</v>
      </c>
      <c r="B38" s="120" t="str">
        <f aca="false">Checks!$K$179&amp;IF(Checks!$O$179="","",IF(Checks!$K$179="","",CHAR(10))&amp;"Note: "&amp;Checks!$O$179)</f>
        <v>Note: Preparation check at caterer - does NOT confirm loading.</v>
      </c>
      <c r="C38" s="120" t="str">
        <f aca="false">Checks!$N$179&amp;CHAR(10)&amp;IF(ISNUMBER(Checks!$R$179),TEXT(Checks!$R$179,"DD-MMM-YY HH:MM"),"")&amp;" "&amp;Checks!$P$179</f>
        <v>Required
15-Oct-26 11:20 KUL</v>
      </c>
      <c r="D38" s="120" t="str">
        <f aca="false">IF(TRIM(Checks!$U$179)&lt;&gt;"",Checks!$U$179&amp;IF(Checks!$AB$179="","",CHAR(10)&amp;"CA: "&amp;Checks!$AB$179),IF(LEFT(Checks!$AH$179,10)="N/A – RULE","","[ ] Pass"&amp;CHAR(10)&amp;"[ ] Pass after CA"&amp;CHAR(10)&amp;"[ ] Fail"&amp;IF(Checks!$AT$179=1,CHAR(10)&amp;"[ ] N/A","")&amp;CHAR(10)&amp;"CA: Open / Closed"))</f>
        <v>[ ] Pass
[ ] Pass after CA
[ ] Fail
CA: Open / Closed</v>
      </c>
      <c r="E38" s="120" t="str">
        <f aca="false">IF(Checks!$V$179="","",Checks!$V$179)&amp;IF(Checks!$AC$179="","",IF(Checks!$V$179="","",CHAR(10))&amp;"N/A just.: "&amp;Checks!$AC$179)&amp;IF(OR(Checks!$W$179&lt;&gt;"",AND(Checks!$AQ$179=1,NOT(LEFT(Checks!$AH$179,10)="N/A – RULE"))),CHAR(10)&amp;"Batch: "&amp;IF(Checks!$W$179="","____________",Checks!$W$179),"")&amp;IF(OR(Checks!$X$179&lt;&gt;"",Checks!$Y$179&lt;&gt;"",AND(Checks!$AR$179=1,NOT(LEFT(Checks!$AH$179,10)="N/A – RULE"))),CHAR(10)&amp;"Exp: "&amp;IF(Checks!$X$179="","______",Checks!$X$179)&amp;"  /  Act: "&amp;IF(Checks!$Y$179="","______",Checks!$Y$179),"")</f>
        <v/>
      </c>
      <c r="F38" s="120" t="str">
        <f aca="false">IF(AND(LEFT(Checks!$AH$179,10)="N/A – RULE",TRIM(Checks!$S$179&amp;Checks!$Z$179)=""),"","Type: "&amp;IF(TRIM(Checks!$S$179)="","______________ (see cover list)",Checks!$S$179)&amp;CHAR(10)&amp;"ID: "&amp;IF(TRIM(Checks!$Z$179)="","______________ (record's own no.)",Checks!$Z$179))&amp;IF(Checks!$AA$179="","",CHAR(10)&amp;"CA: "&amp;Checks!$AA$179)</f>
        <v>Type: ______________ (see cover list)
ID: ______________ (record's own no.)</v>
      </c>
      <c r="G38" s="120" t="str">
        <f aca="false">IF(AND(LEFT(Checks!$AH$179,10)="N/A – RULE",NOT(ISNUMBER(Checks!$AD$179)),Checks!$AE$179="",Checks!$T$179=""),"","Done: "&amp;IF(ISNUMBER(Checks!$AD$179),TEXT(Checks!$AD$179,"DD-MMM-YY HH:MM"),"____________")&amp;" "&amp;Checks!$P$179&amp;CHAR(10)&amp;"Verifier: "&amp;IF(Checks!$AE$179="","____________",Checks!$AE$179)&amp;CHAR(10)&amp;"PIC: "&amp;IF(Checks!$T$179="","____________",Checks!$T$179))</f>
        <v>Done: ____________ KUL
Verifier: ____________
PIC: ____________</v>
      </c>
      <c r="H38" s="121" t="str">
        <f aca="false">IF(Checks!$AH$179="","",Checks!$AH$179)</f>
        <v>OPEN</v>
      </c>
    </row>
    <row r="39" customFormat="false" ht="114" hidden="false" customHeight="true" outlineLevel="0" collapsed="false">
      <c r="A39" s="120" t="str">
        <f aca="false">Checks!$A$180&amp;CHAR(10)&amp;IF(Checks!$I$180="","",Checks!$I$180&amp;": ")&amp;Checks!$J$180</f>
        <v>F06-T12-05
Equipment: Equipment serviceability vs GLD</v>
      </c>
      <c r="B39" s="120" t="str">
        <f aca="false">Checks!$K$180&amp;IF(Checks!$O$180="","",IF(Checks!$K$180="","",CHAR(10))&amp;"Note: "&amp;Checks!$O$180)</f>
        <v>Note: Preparation check at caterer - does NOT confirm loading.</v>
      </c>
      <c r="C39" s="120" t="str">
        <f aca="false">Checks!$N$180&amp;CHAR(10)&amp;IF(ISNUMBER(Checks!$R$180),TEXT(Checks!$R$180,"DD-MMM-YY HH:MM"),"")&amp;" "&amp;Checks!$P$180</f>
        <v>Required
15-Oct-26 11:20 KUL</v>
      </c>
      <c r="D39" s="120" t="str">
        <f aca="false">IF(TRIM(Checks!$U$180)&lt;&gt;"",Checks!$U$180&amp;IF(Checks!$AB$180="","",CHAR(10)&amp;"CA: "&amp;Checks!$AB$180),IF(LEFT(Checks!$AH$180,10)="N/A – RULE","","[ ] Pass"&amp;CHAR(10)&amp;"[ ] Pass after CA"&amp;CHAR(10)&amp;"[ ] Fail"&amp;IF(Checks!$AT$180=1,CHAR(10)&amp;"[ ] N/A","")&amp;CHAR(10)&amp;"CA: Open / Closed"))</f>
        <v>[ ] Pass
[ ] Pass after CA
[ ] Fail
CA: Open / Closed</v>
      </c>
      <c r="E39" s="120" t="str">
        <f aca="false">IF(Checks!$V$180="","",Checks!$V$180)&amp;IF(Checks!$AC$180="","",IF(Checks!$V$180="","",CHAR(10))&amp;"N/A just.: "&amp;Checks!$AC$180)&amp;IF(OR(Checks!$W$180&lt;&gt;"",AND(Checks!$AQ$180=1,NOT(LEFT(Checks!$AH$180,10)="N/A – RULE"))),CHAR(10)&amp;"Batch: "&amp;IF(Checks!$W$180="","____________",Checks!$W$180),"")&amp;IF(OR(Checks!$X$180&lt;&gt;"",Checks!$Y$180&lt;&gt;"",AND(Checks!$AR$180=1,NOT(LEFT(Checks!$AH$180,10)="N/A – RULE"))),CHAR(10)&amp;"Exp: "&amp;IF(Checks!$X$180="","______",Checks!$X$180)&amp;"  /  Act: "&amp;IF(Checks!$Y$180="","______",Checks!$Y$180),"")</f>
        <v/>
      </c>
      <c r="F39" s="120" t="str">
        <f aca="false">IF(AND(LEFT(Checks!$AH$180,10)="N/A – RULE",TRIM(Checks!$S$180&amp;Checks!$Z$180)=""),"","Type: "&amp;IF(TRIM(Checks!$S$180)="","______________ (see cover list)",Checks!$S$180)&amp;CHAR(10)&amp;"ID: "&amp;IF(TRIM(Checks!$Z$180)="","______________ (record's own no.)",Checks!$Z$180))&amp;IF(Checks!$AA$180="","",CHAR(10)&amp;"CA: "&amp;Checks!$AA$180)</f>
        <v>Type: ______________ (see cover list)
ID: ______________ (record's own no.)</v>
      </c>
      <c r="G39" s="120" t="str">
        <f aca="false">IF(AND(LEFT(Checks!$AH$180,10)="N/A – RULE",NOT(ISNUMBER(Checks!$AD$180)),Checks!$AE$180="",Checks!$T$180=""),"","Done: "&amp;IF(ISNUMBER(Checks!$AD$180),TEXT(Checks!$AD$180,"DD-MMM-YY HH:MM"),"____________")&amp;" "&amp;Checks!$P$180&amp;CHAR(10)&amp;"Verifier: "&amp;IF(Checks!$AE$180="","____________",Checks!$AE$180)&amp;CHAR(10)&amp;"PIC: "&amp;IF(Checks!$T$180="","____________",Checks!$T$180))</f>
        <v>Done: ____________ KUL
Verifier: ____________
PIC: ____________</v>
      </c>
      <c r="H39" s="121" t="str">
        <f aca="false">IF(Checks!$AH$180="","",Checks!$AH$180)</f>
        <v>OPEN</v>
      </c>
    </row>
    <row r="40" customFormat="false" ht="289.5" hidden="false" customHeight="true" outlineLevel="0" collapsed="false">
      <c r="A40" s="120" t="str">
        <f aca="false">Checks!$A$181&amp;CHAR(10)&amp;IF(Checks!$I$181="","",Checks!$I$181&amp;": ")&amp;Checks!$J$181</f>
        <v>F06-T12-06
Equipment: Equipment quantities vs GLD</v>
      </c>
      <c r="B40" s="120" t="str">
        <f aca="false">SUBSTITUTE(SUBSTITUTE(SUBSTITUTE(Checks!$K$181&amp;IF(Checks!$O$181="","",IF(Checks!$K$181="","",CHAR(10))&amp;"Note: "&amp;Checks!$O$181),"makers -,","makers n/a,")," (AIRCRAFT TYPE!C6:R6)","")," (AIRCRAFT TYPE!C7:R7)","")</f>
        <v>Enter expected &amp; actual. Aircraft galley data: A350-900 (A359): carts 50.5, SU 70, ovens 14, warming ovens 3, fridges 3, water heaters 7, beverage makers n/a, espresso 2, folding trolleys 4, headsets BC &amp; EY: Dual Pin | A350-900 (A350): carts 41.5, SU 52, ovens 14, warming ovens 0, fridges 1, water heaters 11, beverage makers n/a, espresso 1, folding trolleys 3, headsets BC: Dual Pin/ EY: Single Pin
Note: Preparation check at caterer - does NOT confirm loading.</v>
      </c>
      <c r="C40" s="120" t="str">
        <f aca="false">Checks!$N$181&amp;CHAR(10)&amp;IF(ISNUMBER(Checks!$R$181),TEXT(Checks!$R$181,"DD-MMM-YY HH:MM"),"")&amp;" "&amp;Checks!$P$181</f>
        <v>Required
15-Oct-26 11:20 KUL</v>
      </c>
      <c r="D40" s="120" t="str">
        <f aca="false">IF(TRIM(Checks!$U$181)&lt;&gt;"",Checks!$U$181&amp;IF(Checks!$AB$181="","",CHAR(10)&amp;"CA: "&amp;Checks!$AB$181),IF(LEFT(Checks!$AH$181,10)="N/A – RULE","","[ ] Pass"&amp;CHAR(10)&amp;"[ ] Pass after CA"&amp;CHAR(10)&amp;"[ ] Fail"&amp;IF(Checks!$AT$181=1,CHAR(10)&amp;"[ ] N/A","")&amp;CHAR(10)&amp;"CA: Open / Closed"))</f>
        <v>[ ] Pass
[ ] Pass after CA
[ ] Fail
CA: Open / Closed</v>
      </c>
      <c r="E40" s="120" t="str">
        <f aca="false">IF(Checks!$V$181="","",Checks!$V$181)&amp;IF(Checks!$AC$181="","",IF(Checks!$V$181="","",CHAR(10))&amp;"N/A just.: "&amp;Checks!$AC$181)&amp;IF(OR(Checks!$W$181&lt;&gt;"",AND(Checks!$AQ$181=1,NOT(LEFT(Checks!$AH$181,10)="N/A – RULE"))),CHAR(10)&amp;"Batch: "&amp;IF(Checks!$W$181="","____________",Checks!$W$181),"")&amp;IF(OR(Checks!$X$181&lt;&gt;"",Checks!$Y$181&lt;&gt;"",AND(Checks!$AR$181=1,NOT(LEFT(Checks!$AH$181,10)="N/A – RULE"))),CHAR(10)&amp;"Exp: "&amp;IF(Checks!$X$181="","______",Checks!$X$181)&amp;"  /  Act: "&amp;IF(Checks!$Y$181="","______",Checks!$Y$181),"")</f>
        <v>
Exp: ______  /  Act: ______</v>
      </c>
      <c r="F40" s="120" t="str">
        <f aca="false">IF(AND(LEFT(Checks!$AH$181,10)="N/A – RULE",TRIM(Checks!$S$181&amp;Checks!$Z$181)=""),"","Type: "&amp;IF(TRIM(Checks!$S$181)="","______________ (see cover list)",Checks!$S$181)&amp;CHAR(10)&amp;"ID: "&amp;IF(TRIM(Checks!$Z$181)="","______________ (record's own no.)",Checks!$Z$181))&amp;IF(Checks!$AA$181="","",CHAR(10)&amp;"CA: "&amp;Checks!$AA$181)</f>
        <v>Type: ______________ (see cover list)
ID: ______________ (record's own no.)</v>
      </c>
      <c r="G40" s="120" t="str">
        <f aca="false">IF(AND(LEFT(Checks!$AH$181,10)="N/A – RULE",NOT(ISNUMBER(Checks!$AD$181)),Checks!$AE$181="",Checks!$T$181=""),"","Done: "&amp;IF(ISNUMBER(Checks!$AD$181),TEXT(Checks!$AD$181,"DD-MMM-YY HH:MM"),"____________")&amp;" "&amp;Checks!$P$181&amp;CHAR(10)&amp;"Verifier: "&amp;IF(Checks!$AE$181="","____________",Checks!$AE$181)&amp;CHAR(10)&amp;"PIC: "&amp;IF(Checks!$T$181="","____________",Checks!$T$181))</f>
        <v>Done: ____________ KUL
Verifier: ____________
PIC: ____________</v>
      </c>
      <c r="H40" s="121" t="str">
        <f aca="false">IF(Checks!$AH$181="","",Checks!$AH$181)</f>
        <v>OPEN</v>
      </c>
    </row>
    <row r="41" customFormat="false" ht="114" hidden="false" customHeight="true" outlineLevel="0" collapsed="false">
      <c r="A41" s="120" t="str">
        <f aca="false">Checks!$A$182&amp;CHAR(10)&amp;IF(Checks!$I$182="","",Checks!$I$182&amp;": ")&amp;Checks!$J$182</f>
        <v>F06-T12-07
Equipment: Loading positions planned vs GLD</v>
      </c>
      <c r="B41" s="120" t="str">
        <f aca="false">Checks!$K$182&amp;IF(Checks!$O$182="","",IF(Checks!$K$182="","",CHAR(10))&amp;"Note: "&amp;Checks!$O$182)</f>
        <v>Note: Preparation check at caterer - does NOT confirm loading.</v>
      </c>
      <c r="C41" s="120" t="str">
        <f aca="false">Checks!$N$182&amp;CHAR(10)&amp;IF(ISNUMBER(Checks!$R$182),TEXT(Checks!$R$182,"DD-MMM-YY HH:MM"),"")&amp;" "&amp;Checks!$P$182</f>
        <v>Required
15-Oct-26 11:20 KUL</v>
      </c>
      <c r="D41" s="120" t="str">
        <f aca="false">IF(TRIM(Checks!$U$182)&lt;&gt;"",Checks!$U$182&amp;IF(Checks!$AB$182="","",CHAR(10)&amp;"CA: "&amp;Checks!$AB$182),IF(LEFT(Checks!$AH$182,10)="N/A – RULE","","[ ] Pass"&amp;CHAR(10)&amp;"[ ] Pass after CA"&amp;CHAR(10)&amp;"[ ] Fail"&amp;IF(Checks!$AT$182=1,CHAR(10)&amp;"[ ] N/A","")&amp;CHAR(10)&amp;"CA: Open / Closed"))</f>
        <v>[ ] Pass
[ ] Pass after CA
[ ] Fail
CA: Open / Closed</v>
      </c>
      <c r="E41" s="120" t="str">
        <f aca="false">IF(Checks!$V$182="","",Checks!$V$182)&amp;IF(Checks!$AC$182="","",IF(Checks!$V$182="","",CHAR(10))&amp;"N/A just.: "&amp;Checks!$AC$182)&amp;IF(OR(Checks!$W$182&lt;&gt;"",AND(Checks!$AQ$182=1,NOT(LEFT(Checks!$AH$182,10)="N/A – RULE"))),CHAR(10)&amp;"Batch: "&amp;IF(Checks!$W$182="","____________",Checks!$W$182),"")&amp;IF(OR(Checks!$X$182&lt;&gt;"",Checks!$Y$182&lt;&gt;"",AND(Checks!$AR$182=1,NOT(LEFT(Checks!$AH$182,10)="N/A – RULE"))),CHAR(10)&amp;"Exp: "&amp;IF(Checks!$X$182="","______",Checks!$X$182)&amp;"  /  Act: "&amp;IF(Checks!$Y$182="","______",Checks!$Y$182),"")</f>
        <v/>
      </c>
      <c r="F41" s="120" t="str">
        <f aca="false">IF(AND(LEFT(Checks!$AH$182,10)="N/A – RULE",TRIM(Checks!$S$182&amp;Checks!$Z$182)=""),"","Type: "&amp;IF(TRIM(Checks!$S$182)="","______________ (see cover list)",Checks!$S$182)&amp;CHAR(10)&amp;"ID: "&amp;IF(TRIM(Checks!$Z$182)="","______________ (record's own no.)",Checks!$Z$182))&amp;IF(Checks!$AA$182="","",CHAR(10)&amp;"CA: "&amp;Checks!$AA$182)</f>
        <v>Type: ______________ (see cover list)
ID: ______________ (record's own no.)</v>
      </c>
      <c r="G41" s="120" t="str">
        <f aca="false">IF(AND(LEFT(Checks!$AH$182,10)="N/A – RULE",NOT(ISNUMBER(Checks!$AD$182)),Checks!$AE$182="",Checks!$T$182=""),"","Done: "&amp;IF(ISNUMBER(Checks!$AD$182),TEXT(Checks!$AD$182,"DD-MMM-YY HH:MM"),"____________")&amp;" "&amp;Checks!$P$182&amp;CHAR(10)&amp;"Verifier: "&amp;IF(Checks!$AE$182="","____________",Checks!$AE$182)&amp;CHAR(10)&amp;"PIC: "&amp;IF(Checks!$T$182="","____________",Checks!$T$182))</f>
        <v>Done: ____________ KUL
Verifier: ____________
PIC: ____________</v>
      </c>
      <c r="H41" s="121" t="str">
        <f aca="false">IF(Checks!$AH$182="","",Checks!$AH$182)</f>
        <v>OPEN</v>
      </c>
    </row>
    <row r="42" customFormat="false" ht="213" hidden="false" customHeight="true" outlineLevel="0" collapsed="false">
      <c r="A42" s="120" t="str">
        <f aca="false">Checks!$A$183&amp;CHAR(10)&amp;IF(Checks!$I$183="","",Checks!$I$183&amp;": ")&amp;Checks!$J$183</f>
        <v>F06-T12-08
Amenities: Toiletry kits - prepared</v>
      </c>
      <c r="B42" s="120" t="str">
        <f aca="false">SUBSTITUTE(SUBSTITUTE(Checks!$K$183&amp;IF(Checks!$O$183="","",IF(Checks!$K$183="","",CHAR(10))&amp;"Note: "&amp;Checks!$O$183),"A350 row AMENITIES!C12","The A350 row of the AMENITIES reference"),"(general row C11: uplift stn H11 = ","(general row: uplift stn ")</f>
        <v>Available (ticked in reference)
Note: The A350 row of the AMENITIES reference names LHR as the toiletry-kit uplift stn, but this leg departs KUL (general row: uplift stn KUL). Confirm where toiletry kits for this KUL-LHR BC leg are uplifted; if at LHR they travel on the inbound LHR-KUL sector and must be verified at KUL before this departure.</v>
      </c>
      <c r="C42" s="120" t="str">
        <f aca="false">Checks!$N$183&amp;CHAR(10)&amp;IF(ISNUMBER(Checks!$R$183),TEXT(Checks!$R$183,"DD-MMM-YY HH:MM"),"")&amp;" "&amp;Checks!$P$183</f>
        <v>Clarification required
15-Oct-26 11:20 KUL</v>
      </c>
      <c r="D42" s="120" t="str">
        <f aca="false">IF(TRIM(Checks!$U$183)&lt;&gt;"",Checks!$U$183&amp;IF(Checks!$AB$183="","",CHAR(10)&amp;"CA: "&amp;Checks!$AB$183),IF(LEFT(Checks!$AH$183,10)="N/A – RULE","","[ ] Pass"&amp;CHAR(10)&amp;"[ ] Pass after CA"&amp;CHAR(10)&amp;"[ ] Fail"&amp;IF(Checks!$AT$183=1,CHAR(10)&amp;"[ ] N/A","")&amp;CHAR(10)&amp;"CA: Open / Closed"))</f>
        <v>[ ] Pass
[ ] Pass after CA
[ ] Fail
[ ] N/A
CA: Open / Closed</v>
      </c>
      <c r="E42" s="120" t="str">
        <f aca="false">IF(Checks!$V$183="","",Checks!$V$183)&amp;IF(Checks!$AC$183="","",IF(Checks!$V$183="","",CHAR(10))&amp;"N/A just.: "&amp;Checks!$AC$183)&amp;IF(OR(Checks!$W$183&lt;&gt;"",AND(Checks!$AQ$183=1,NOT(LEFT(Checks!$AH$183,10)="N/A – RULE"))),CHAR(10)&amp;"Batch: "&amp;IF(Checks!$W$183="","____________",Checks!$W$183),"")&amp;IF(OR(Checks!$X$183&lt;&gt;"",Checks!$Y$183&lt;&gt;"",AND(Checks!$AR$183=1,NOT(LEFT(Checks!$AH$183,10)="N/A – RULE"))),CHAR(10)&amp;"Exp: "&amp;IF(Checks!$X$183="","______",Checks!$X$183)&amp;"  /  Act: "&amp;IF(Checks!$Y$183="","______",Checks!$Y$183),"")</f>
        <v/>
      </c>
      <c r="F42" s="120" t="str">
        <f aca="false">IF(AND(LEFT(Checks!$AH$183,10)="N/A – RULE",TRIM(Checks!$S$183&amp;Checks!$Z$183)=""),"","Type: "&amp;IF(TRIM(Checks!$S$183)="","______________ (see cover list)",Checks!$S$183)&amp;CHAR(10)&amp;"ID: "&amp;IF(TRIM(Checks!$Z$183)="","______________ (record's own no.)",Checks!$Z$183))&amp;IF(Checks!$AA$183="","",CHAR(10)&amp;"CA: "&amp;Checks!$AA$183)</f>
        <v>Type: ______________ (see cover list)
ID: ______________ (record's own no.)</v>
      </c>
      <c r="G42" s="120" t="str">
        <f aca="false">IF(AND(LEFT(Checks!$AH$183,10)="N/A – RULE",NOT(ISNUMBER(Checks!$AD$183)),Checks!$AE$183="",Checks!$T$183=""),"","Done: "&amp;IF(ISNUMBER(Checks!$AD$183),TEXT(Checks!$AD$183,"DD-MMM-YY HH:MM"),"____________")&amp;" "&amp;Checks!$P$183&amp;CHAR(10)&amp;"Verifier: "&amp;IF(Checks!$AE$183="","____________",Checks!$AE$183)&amp;CHAR(10)&amp;"PIC: "&amp;IF(Checks!$T$183="","____________",Checks!$T$183))</f>
        <v>Done: ____________ KUL
Verifier: ____________
PIC: ____________</v>
      </c>
      <c r="H42" s="121" t="str">
        <f aca="false">IF(Checks!$AH$183="","",Checks!$AH$183)</f>
        <v>OPEN – CLARIFICATION</v>
      </c>
    </row>
    <row r="43" customFormat="false" ht="114" hidden="false" customHeight="true" outlineLevel="0" collapsed="false">
      <c r="A43" s="120" t="str">
        <f aca="false">Checks!$A$184&amp;CHAR(10)&amp;IF(Checks!$I$184="","",Checks!$I$184&amp;": ")&amp;Checks!$J$184</f>
        <v>F06-T12-09
Amenities: Pajamas (BC) - prepared</v>
      </c>
      <c r="B43" s="120" t="str">
        <f aca="false">Checks!$K$184&amp;IF(Checks!$O$184="","",IF(Checks!$K$184="","",CHAR(10))&amp;"Note: "&amp;Checks!$O$184)</f>
        <v>Available - BC red-eye only
Note: Red-eye departure 2320 local.</v>
      </c>
      <c r="C43" s="120" t="str">
        <f aca="false">Checks!$N$184&amp;CHAR(10)&amp;IF(ISNUMBER(Checks!$R$184),TEXT(Checks!$R$184,"DD-MMM-YY HH:MM"),"")&amp;" "&amp;Checks!$P$184</f>
        <v>Required
15-Oct-26 11:20 KUL</v>
      </c>
      <c r="D43" s="120" t="str">
        <f aca="false">IF(TRIM(Checks!$U$184)&lt;&gt;"",Checks!$U$184&amp;IF(Checks!$AB$184="","",CHAR(10)&amp;"CA: "&amp;Checks!$AB$184),IF(LEFT(Checks!$AH$184,10)="N/A – RULE","","[ ] Pass"&amp;CHAR(10)&amp;"[ ] Pass after CA"&amp;CHAR(10)&amp;"[ ] Fail"&amp;IF(Checks!$AT$184=1,CHAR(10)&amp;"[ ] N/A","")&amp;CHAR(10)&amp;"CA: Open / Closed"))</f>
        <v>[ ] Pass
[ ] Pass after CA
[ ] Fail
CA: Open / Closed</v>
      </c>
      <c r="E43" s="120" t="str">
        <f aca="false">IF(Checks!$V$184="","",Checks!$V$184)&amp;IF(Checks!$AC$184="","",IF(Checks!$V$184="","",CHAR(10))&amp;"N/A just.: "&amp;Checks!$AC$184)&amp;IF(OR(Checks!$W$184&lt;&gt;"",AND(Checks!$AQ$184=1,NOT(LEFT(Checks!$AH$184,10)="N/A – RULE"))),CHAR(10)&amp;"Batch: "&amp;IF(Checks!$W$184="","____________",Checks!$W$184),"")&amp;IF(OR(Checks!$X$184&lt;&gt;"",Checks!$Y$184&lt;&gt;"",AND(Checks!$AR$184=1,NOT(LEFT(Checks!$AH$184,10)="N/A – RULE"))),CHAR(10)&amp;"Exp: "&amp;IF(Checks!$X$184="","______",Checks!$X$184)&amp;"  /  Act: "&amp;IF(Checks!$Y$184="","______",Checks!$Y$184),"")</f>
        <v/>
      </c>
      <c r="F43" s="120" t="str">
        <f aca="false">IF(AND(LEFT(Checks!$AH$184,10)="N/A – RULE",TRIM(Checks!$S$184&amp;Checks!$Z$184)=""),"","Type: "&amp;IF(TRIM(Checks!$S$184)="","______________ (see cover list)",Checks!$S$184)&amp;CHAR(10)&amp;"ID: "&amp;IF(TRIM(Checks!$Z$184)="","______________ (record's own no.)",Checks!$Z$184))&amp;IF(Checks!$AA$184="","",CHAR(10)&amp;"CA: "&amp;Checks!$AA$184)</f>
        <v>Type: ______________ (see cover list)
ID: ______________ (record's own no.)</v>
      </c>
      <c r="G43" s="120" t="str">
        <f aca="false">IF(AND(LEFT(Checks!$AH$184,10)="N/A – RULE",NOT(ISNUMBER(Checks!$AD$184)),Checks!$AE$184="",Checks!$T$184=""),"","Done: "&amp;IF(ISNUMBER(Checks!$AD$184),TEXT(Checks!$AD$184,"DD-MMM-YY HH:MM"),"____________")&amp;" "&amp;Checks!$P$184&amp;CHAR(10)&amp;"Verifier: "&amp;IF(Checks!$AE$184="","____________",Checks!$AE$184)&amp;CHAR(10)&amp;"PIC: "&amp;IF(Checks!$T$184="","____________",Checks!$T$184))</f>
        <v>Done: ____________ KUL
Verifier: ____________
PIC: ____________</v>
      </c>
      <c r="H43" s="121" t="str">
        <f aca="false">IF(Checks!$AH$184="","",Checks!$AH$184)</f>
        <v>OPEN</v>
      </c>
    </row>
    <row r="44" customFormat="false" ht="114" hidden="false" customHeight="true" outlineLevel="0" collapsed="false">
      <c r="A44" s="120" t="str">
        <f aca="false">Checks!$A$185&amp;CHAR(10)&amp;IF(Checks!$I$185="","",Checks!$I$185&amp;": ")&amp;Checks!$J$185</f>
        <v>F06-T12-10
Amenities: Slippers (BS/BC) - prepared</v>
      </c>
      <c r="B44" s="120" t="str">
        <f aca="false">Checks!$K$185&amp;IF(Checks!$O$185="","",IF(Checks!$K$185="","",CHAR(10))&amp;"Note: "&amp;Checks!$O$185)</f>
        <v>Available (ticked in reference)</v>
      </c>
      <c r="C44" s="120" t="str">
        <f aca="false">Checks!$N$185&amp;CHAR(10)&amp;IF(ISNUMBER(Checks!$R$185),TEXT(Checks!$R$185,"DD-MMM-YY HH:MM"),"")&amp;" "&amp;Checks!$P$185</f>
        <v>Required
15-Oct-26 11:20 KUL</v>
      </c>
      <c r="D44" s="120" t="str">
        <f aca="false">IF(TRIM(Checks!$U$185)&lt;&gt;"",Checks!$U$185&amp;IF(Checks!$AB$185="","",CHAR(10)&amp;"CA: "&amp;Checks!$AB$185),IF(LEFT(Checks!$AH$185,10)="N/A – RULE","","[ ] Pass"&amp;CHAR(10)&amp;"[ ] Pass after CA"&amp;CHAR(10)&amp;"[ ] Fail"&amp;IF(Checks!$AT$185=1,CHAR(10)&amp;"[ ] N/A","")&amp;CHAR(10)&amp;"CA: Open / Closed"))</f>
        <v>[ ] Pass
[ ] Pass after CA
[ ] Fail
CA: Open / Closed</v>
      </c>
      <c r="E44" s="120" t="str">
        <f aca="false">IF(Checks!$V$185="","",Checks!$V$185)&amp;IF(Checks!$AC$185="","",IF(Checks!$V$185="","",CHAR(10))&amp;"N/A just.: "&amp;Checks!$AC$185)&amp;IF(OR(Checks!$W$185&lt;&gt;"",AND(Checks!$AQ$185=1,NOT(LEFT(Checks!$AH$185,10)="N/A – RULE"))),CHAR(10)&amp;"Batch: "&amp;IF(Checks!$W$185="","____________",Checks!$W$185),"")&amp;IF(OR(Checks!$X$185&lt;&gt;"",Checks!$Y$185&lt;&gt;"",AND(Checks!$AR$185=1,NOT(LEFT(Checks!$AH$185,10)="N/A – RULE"))),CHAR(10)&amp;"Exp: "&amp;IF(Checks!$X$185="","______",Checks!$X$185)&amp;"  /  Act: "&amp;IF(Checks!$Y$185="","______",Checks!$Y$185),"")</f>
        <v/>
      </c>
      <c r="F44" s="120" t="str">
        <f aca="false">IF(AND(LEFT(Checks!$AH$185,10)="N/A – RULE",TRIM(Checks!$S$185&amp;Checks!$Z$185)=""),"","Type: "&amp;IF(TRIM(Checks!$S$185)="","______________ (see cover list)",Checks!$S$185)&amp;CHAR(10)&amp;"ID: "&amp;IF(TRIM(Checks!$Z$185)="","______________ (record's own no.)",Checks!$Z$185))&amp;IF(Checks!$AA$185="","",CHAR(10)&amp;"CA: "&amp;Checks!$AA$185)</f>
        <v>Type: ______________ (see cover list)
ID: ______________ (record's own no.)</v>
      </c>
      <c r="G44" s="120" t="str">
        <f aca="false">IF(AND(LEFT(Checks!$AH$185,10)="N/A – RULE",NOT(ISNUMBER(Checks!$AD$185)),Checks!$AE$185="",Checks!$T$185=""),"","Done: "&amp;IF(ISNUMBER(Checks!$AD$185),TEXT(Checks!$AD$185,"DD-MMM-YY HH:MM"),"____________")&amp;" "&amp;Checks!$P$185&amp;CHAR(10)&amp;"Verifier: "&amp;IF(Checks!$AE$185="","____________",Checks!$AE$185)&amp;CHAR(10)&amp;"PIC: "&amp;IF(Checks!$T$185="","____________",Checks!$T$185))</f>
        <v>Done: ____________ KUL
Verifier: ____________
PIC: ____________</v>
      </c>
      <c r="H44" s="121" t="str">
        <f aca="false">IF(Checks!$AH$185="","",Checks!$AH$185)</f>
        <v>OPEN</v>
      </c>
    </row>
    <row r="45" customFormat="false" ht="114" hidden="false" customHeight="true" outlineLevel="0" collapsed="false">
      <c r="A45" s="120" t="str">
        <f aca="false">Checks!$A$186&amp;CHAR(10)&amp;IF(Checks!$I$186="","",Checks!$I$186&amp;": ")&amp;Checks!$J$186</f>
        <v>F06-T12-11
F&amp;B Linen: Towel - prepared</v>
      </c>
      <c r="B45" s="120" t="str">
        <f aca="false">Checks!$K$186&amp;IF(Checks!$O$186="","",IF(Checks!$K$186="","",CHAR(10))&amp;"Note: "&amp;Checks!$O$186)</f>
        <v>Available (ticked in reference)
Note: Reference gives no uplift stn for this item: preparation checked at the meal uplift stn (KUL) - confirm with caterer.</v>
      </c>
      <c r="C45" s="120" t="str">
        <f aca="false">Checks!$N$186&amp;CHAR(10)&amp;IF(ISNUMBER(Checks!$R$186),TEXT(Checks!$R$186,"DD-MMM-YY HH:MM"),"")&amp;" "&amp;Checks!$P$186</f>
        <v>Required
15-Oct-26 11:20 KUL</v>
      </c>
      <c r="D45" s="120" t="str">
        <f aca="false">IF(TRIM(Checks!$U$186)&lt;&gt;"",Checks!$U$186&amp;IF(Checks!$AB$186="","",CHAR(10)&amp;"CA: "&amp;Checks!$AB$186),IF(LEFT(Checks!$AH$186,10)="N/A – RULE","","[ ] Pass"&amp;CHAR(10)&amp;"[ ] Pass after CA"&amp;CHAR(10)&amp;"[ ] Fail"&amp;IF(Checks!$AT$186=1,CHAR(10)&amp;"[ ] N/A","")&amp;CHAR(10)&amp;"CA: Open / Closed"))</f>
        <v>[ ] Pass
[ ] Pass after CA
[ ] Fail
CA: Open / Closed</v>
      </c>
      <c r="E45" s="120" t="str">
        <f aca="false">IF(Checks!$V$186="","",Checks!$V$186)&amp;IF(Checks!$AC$186="","",IF(Checks!$V$186="","",CHAR(10))&amp;"N/A just.: "&amp;Checks!$AC$186)&amp;IF(OR(Checks!$W$186&lt;&gt;"",AND(Checks!$AQ$186=1,NOT(LEFT(Checks!$AH$186,10)="N/A – RULE"))),CHAR(10)&amp;"Batch: "&amp;IF(Checks!$W$186="","____________",Checks!$W$186),"")&amp;IF(OR(Checks!$X$186&lt;&gt;"",Checks!$Y$186&lt;&gt;"",AND(Checks!$AR$186=1,NOT(LEFT(Checks!$AH$186,10)="N/A – RULE"))),CHAR(10)&amp;"Exp: "&amp;IF(Checks!$X$186="","______",Checks!$X$186)&amp;"  /  Act: "&amp;IF(Checks!$Y$186="","______",Checks!$Y$186),"")</f>
        <v/>
      </c>
      <c r="F45" s="120" t="str">
        <f aca="false">IF(AND(LEFT(Checks!$AH$186,10)="N/A – RULE",TRIM(Checks!$S$186&amp;Checks!$Z$186)=""),"","Type: "&amp;IF(TRIM(Checks!$S$186)="","______________ (see cover list)",Checks!$S$186)&amp;CHAR(10)&amp;"ID: "&amp;IF(TRIM(Checks!$Z$186)="","______________ (record's own no.)",Checks!$Z$186))&amp;IF(Checks!$AA$186="","",CHAR(10)&amp;"CA: "&amp;Checks!$AA$186)</f>
        <v>Type: ______________ (see cover list)
ID: ______________ (record's own no.)</v>
      </c>
      <c r="G45" s="120" t="str">
        <f aca="false">IF(AND(LEFT(Checks!$AH$186,10)="N/A – RULE",NOT(ISNUMBER(Checks!$AD$186)),Checks!$AE$186="",Checks!$T$186=""),"","Done: "&amp;IF(ISNUMBER(Checks!$AD$186),TEXT(Checks!$AD$186,"DD-MMM-YY HH:MM"),"____________")&amp;" "&amp;Checks!$P$186&amp;CHAR(10)&amp;"Verifier: "&amp;IF(Checks!$AE$186="","____________",Checks!$AE$186)&amp;CHAR(10)&amp;"PIC: "&amp;IF(Checks!$T$186="","____________",Checks!$T$186))</f>
        <v>Done: ____________ KUL
Verifier: ____________
PIC: ____________</v>
      </c>
      <c r="H45" s="121" t="str">
        <f aca="false">IF(Checks!$AH$186="","",Checks!$AH$186)</f>
        <v>OPEN</v>
      </c>
    </row>
    <row r="46" customFormat="false" ht="114" hidden="false" customHeight="true" outlineLevel="0" collapsed="false">
      <c r="A46" s="120" t="str">
        <f aca="false">Checks!$A$187&amp;CHAR(10)&amp;IF(Checks!$I$187="","",Checks!$I$187&amp;": ")&amp;Checks!$J$187</f>
        <v>F06-T12-12
F&amp;B Linen: Tray cloth - prepared</v>
      </c>
      <c r="B46" s="120" t="str">
        <f aca="false">Checks!$K$187&amp;IF(Checks!$O$187="","",IF(Checks!$K$187="","",CHAR(10))&amp;"Note: "&amp;Checks!$O$187)</f>
        <v>Available (ticked in reference)
Note: Reference gives no uplift stn for this item: preparation checked at the meal uplift stn (KUL) - confirm with caterer.</v>
      </c>
      <c r="C46" s="120" t="str">
        <f aca="false">Checks!$N$187&amp;CHAR(10)&amp;IF(ISNUMBER(Checks!$R$187),TEXT(Checks!$R$187,"DD-MMM-YY HH:MM"),"")&amp;" "&amp;Checks!$P$187</f>
        <v>Required
15-Oct-26 11:20 KUL</v>
      </c>
      <c r="D46" s="120" t="str">
        <f aca="false">IF(TRIM(Checks!$U$187)&lt;&gt;"",Checks!$U$187&amp;IF(Checks!$AB$187="","",CHAR(10)&amp;"CA: "&amp;Checks!$AB$187),IF(LEFT(Checks!$AH$187,10)="N/A – RULE","","[ ] Pass"&amp;CHAR(10)&amp;"[ ] Pass after CA"&amp;CHAR(10)&amp;"[ ] Fail"&amp;IF(Checks!$AT$187=1,CHAR(10)&amp;"[ ] N/A","")&amp;CHAR(10)&amp;"CA: Open / Closed"))</f>
        <v>[ ] Pass
[ ] Pass after CA
[ ] Fail
CA: Open / Closed</v>
      </c>
      <c r="E46" s="120" t="str">
        <f aca="false">IF(Checks!$V$187="","",Checks!$V$187)&amp;IF(Checks!$AC$187="","",IF(Checks!$V$187="","",CHAR(10))&amp;"N/A just.: "&amp;Checks!$AC$187)&amp;IF(OR(Checks!$W$187&lt;&gt;"",AND(Checks!$AQ$187=1,NOT(LEFT(Checks!$AH$187,10)="N/A – RULE"))),CHAR(10)&amp;"Batch: "&amp;IF(Checks!$W$187="","____________",Checks!$W$187),"")&amp;IF(OR(Checks!$X$187&lt;&gt;"",Checks!$Y$187&lt;&gt;"",AND(Checks!$AR$187=1,NOT(LEFT(Checks!$AH$187,10)="N/A – RULE"))),CHAR(10)&amp;"Exp: "&amp;IF(Checks!$X$187="","______",Checks!$X$187)&amp;"  /  Act: "&amp;IF(Checks!$Y$187="","______",Checks!$Y$187),"")</f>
        <v/>
      </c>
      <c r="F46" s="120" t="str">
        <f aca="false">IF(AND(LEFT(Checks!$AH$187,10)="N/A – RULE",TRIM(Checks!$S$187&amp;Checks!$Z$187)=""),"","Type: "&amp;IF(TRIM(Checks!$S$187)="","______________ (see cover list)",Checks!$S$187)&amp;CHAR(10)&amp;"ID: "&amp;IF(TRIM(Checks!$Z$187)="","______________ (record's own no.)",Checks!$Z$187))&amp;IF(Checks!$AA$187="","",CHAR(10)&amp;"CA: "&amp;Checks!$AA$187)</f>
        <v>Type: ______________ (see cover list)
ID: ______________ (record's own no.)</v>
      </c>
      <c r="G46" s="120" t="str">
        <f aca="false">IF(AND(LEFT(Checks!$AH$187,10)="N/A – RULE",NOT(ISNUMBER(Checks!$AD$187)),Checks!$AE$187="",Checks!$T$187=""),"","Done: "&amp;IF(ISNUMBER(Checks!$AD$187),TEXT(Checks!$AD$187,"DD-MMM-YY HH:MM"),"____________")&amp;" "&amp;Checks!$P$187&amp;CHAR(10)&amp;"Verifier: "&amp;IF(Checks!$AE$187="","____________",Checks!$AE$187)&amp;CHAR(10)&amp;"PIC: "&amp;IF(Checks!$T$187="","____________",Checks!$T$187))</f>
        <v>Done: ____________ KUL
Verifier: ____________
PIC: ____________</v>
      </c>
      <c r="H46" s="121" t="str">
        <f aca="false">IF(Checks!$AH$187="","",Checks!$AH$187)</f>
        <v>OPEN</v>
      </c>
    </row>
    <row r="47" customFormat="false" ht="114" hidden="false" customHeight="true" outlineLevel="0" collapsed="false">
      <c r="A47" s="120" t="str">
        <f aca="false">Checks!$A$188&amp;CHAR(10)&amp;IF(Checks!$I$188="","",Checks!$I$188&amp;": ")&amp;Checks!$J$188</f>
        <v>F06-T12-13
F&amp;B Linen: Napkin - prepared</v>
      </c>
      <c r="B47" s="120" t="str">
        <f aca="false">Checks!$K$188&amp;IF(Checks!$O$188="","",IF(Checks!$K$188="","",CHAR(10))&amp;"Note: "&amp;Checks!$O$188)</f>
        <v>Available (ticked in reference)
Note: Reference gives no uplift stn for this item: preparation checked at the meal uplift stn (KUL) - confirm with caterer.</v>
      </c>
      <c r="C47" s="120" t="str">
        <f aca="false">Checks!$N$188&amp;CHAR(10)&amp;IF(ISNUMBER(Checks!$R$188),TEXT(Checks!$R$188,"DD-MMM-YY HH:MM"),"")&amp;" "&amp;Checks!$P$188</f>
        <v>Required
15-Oct-26 11:20 KUL</v>
      </c>
      <c r="D47" s="120" t="str">
        <f aca="false">IF(TRIM(Checks!$U$188)&lt;&gt;"",Checks!$U$188&amp;IF(Checks!$AB$188="","",CHAR(10)&amp;"CA: "&amp;Checks!$AB$188),IF(LEFT(Checks!$AH$188,10)="N/A – RULE","","[ ] Pass"&amp;CHAR(10)&amp;"[ ] Pass after CA"&amp;CHAR(10)&amp;"[ ] Fail"&amp;IF(Checks!$AT$188=1,CHAR(10)&amp;"[ ] N/A","")&amp;CHAR(10)&amp;"CA: Open / Closed"))</f>
        <v>[ ] Pass
[ ] Pass after CA
[ ] Fail
CA: Open / Closed</v>
      </c>
      <c r="E47" s="120" t="str">
        <f aca="false">IF(Checks!$V$188="","",Checks!$V$188)&amp;IF(Checks!$AC$188="","",IF(Checks!$V$188="","",CHAR(10))&amp;"N/A just.: "&amp;Checks!$AC$188)&amp;IF(OR(Checks!$W$188&lt;&gt;"",AND(Checks!$AQ$188=1,NOT(LEFT(Checks!$AH$188,10)="N/A – RULE"))),CHAR(10)&amp;"Batch: "&amp;IF(Checks!$W$188="","____________",Checks!$W$188),"")&amp;IF(OR(Checks!$X$188&lt;&gt;"",Checks!$Y$188&lt;&gt;"",AND(Checks!$AR$188=1,NOT(LEFT(Checks!$AH$188,10)="N/A – RULE"))),CHAR(10)&amp;"Exp: "&amp;IF(Checks!$X$188="","______",Checks!$X$188)&amp;"  /  Act: "&amp;IF(Checks!$Y$188="","______",Checks!$Y$188),"")</f>
        <v/>
      </c>
      <c r="F47" s="120" t="str">
        <f aca="false">IF(AND(LEFT(Checks!$AH$188,10)="N/A – RULE",TRIM(Checks!$S$188&amp;Checks!$Z$188)=""),"","Type: "&amp;IF(TRIM(Checks!$S$188)="","______________ (see cover list)",Checks!$S$188)&amp;CHAR(10)&amp;"ID: "&amp;IF(TRIM(Checks!$Z$188)="","______________ (record's own no.)",Checks!$Z$188))&amp;IF(Checks!$AA$188="","",CHAR(10)&amp;"CA: "&amp;Checks!$AA$188)</f>
        <v>Type: ______________ (see cover list)
ID: ______________ (record's own no.)</v>
      </c>
      <c r="G47" s="120" t="str">
        <f aca="false">IF(AND(LEFT(Checks!$AH$188,10)="N/A – RULE",NOT(ISNUMBER(Checks!$AD$188)),Checks!$AE$188="",Checks!$T$188=""),"","Done: "&amp;IF(ISNUMBER(Checks!$AD$188),TEXT(Checks!$AD$188,"DD-MMM-YY HH:MM"),"____________")&amp;" "&amp;Checks!$P$188&amp;CHAR(10)&amp;"Verifier: "&amp;IF(Checks!$AE$188="","____________",Checks!$AE$188)&amp;CHAR(10)&amp;"PIC: "&amp;IF(Checks!$T$188="","____________",Checks!$T$188))</f>
        <v>Done: ____________ KUL
Verifier: ____________
PIC: ____________</v>
      </c>
      <c r="H47" s="121" t="str">
        <f aca="false">IF(Checks!$AH$188="","",Checks!$AH$188)</f>
        <v>OPEN</v>
      </c>
    </row>
    <row r="48" customFormat="false" ht="114" hidden="false" customHeight="true" outlineLevel="0" collapsed="false">
      <c r="A48" s="120" t="str">
        <f aca="false">Checks!$A$189&amp;CHAR(10)&amp;IF(Checks!$I$189="","",Checks!$I$189&amp;": ")&amp;Checks!$J$189</f>
        <v>F06-T12-14
F&amp;B Linen: Table cloth - prepared</v>
      </c>
      <c r="B48" s="120" t="str">
        <f aca="false">Checks!$K$189&amp;IF(Checks!$O$189="","",IF(Checks!$K$189="","",CHAR(10))&amp;"Note: "&amp;Checks!$O$189)</f>
        <v>Available (ticked in reference)
Note: Reference gives no uplift stn for this item: preparation checked at the meal uplift stn (KUL) - confirm with caterer.</v>
      </c>
      <c r="C48" s="120" t="str">
        <f aca="false">Checks!$N$189&amp;CHAR(10)&amp;IF(ISNUMBER(Checks!$R$189),TEXT(Checks!$R$189,"DD-MMM-YY HH:MM"),"")&amp;" "&amp;Checks!$P$189</f>
        <v>Required
15-Oct-26 11:20 KUL</v>
      </c>
      <c r="D48" s="120" t="str">
        <f aca="false">IF(TRIM(Checks!$U$189)&lt;&gt;"",Checks!$U$189&amp;IF(Checks!$AB$189="","",CHAR(10)&amp;"CA: "&amp;Checks!$AB$189),IF(LEFT(Checks!$AH$189,10)="N/A – RULE","","[ ] Pass"&amp;CHAR(10)&amp;"[ ] Pass after CA"&amp;CHAR(10)&amp;"[ ] Fail"&amp;IF(Checks!$AT$189=1,CHAR(10)&amp;"[ ] N/A","")&amp;CHAR(10)&amp;"CA: Open / Closed"))</f>
        <v>[ ] Pass
[ ] Pass after CA
[ ] Fail
CA: Open / Closed</v>
      </c>
      <c r="E48" s="120" t="str">
        <f aca="false">IF(Checks!$V$189="","",Checks!$V$189)&amp;IF(Checks!$AC$189="","",IF(Checks!$V$189="","",CHAR(10))&amp;"N/A just.: "&amp;Checks!$AC$189)&amp;IF(OR(Checks!$W$189&lt;&gt;"",AND(Checks!$AQ$189=1,NOT(LEFT(Checks!$AH$189,10)="N/A – RULE"))),CHAR(10)&amp;"Batch: "&amp;IF(Checks!$W$189="","____________",Checks!$W$189),"")&amp;IF(OR(Checks!$X$189&lt;&gt;"",Checks!$Y$189&lt;&gt;"",AND(Checks!$AR$189=1,NOT(LEFT(Checks!$AH$189,10)="N/A – RULE"))),CHAR(10)&amp;"Exp: "&amp;IF(Checks!$X$189="","______",Checks!$X$189)&amp;"  /  Act: "&amp;IF(Checks!$Y$189="","______",Checks!$Y$189),"")</f>
        <v/>
      </c>
      <c r="F48" s="120" t="str">
        <f aca="false">IF(AND(LEFT(Checks!$AH$189,10)="N/A – RULE",TRIM(Checks!$S$189&amp;Checks!$Z$189)=""),"","Type: "&amp;IF(TRIM(Checks!$S$189)="","______________ (see cover list)",Checks!$S$189)&amp;CHAR(10)&amp;"ID: "&amp;IF(TRIM(Checks!$Z$189)="","______________ (record's own no.)",Checks!$Z$189))&amp;IF(Checks!$AA$189="","",CHAR(10)&amp;"CA: "&amp;Checks!$AA$189)</f>
        <v>Type: ______________ (see cover list)
ID: ______________ (record's own no.)</v>
      </c>
      <c r="G48" s="120" t="str">
        <f aca="false">IF(AND(LEFT(Checks!$AH$189,10)="N/A – RULE",NOT(ISNUMBER(Checks!$AD$189)),Checks!$AE$189="",Checks!$T$189=""),"","Done: "&amp;IF(ISNUMBER(Checks!$AD$189),TEXT(Checks!$AD$189,"DD-MMM-YY HH:MM"),"____________")&amp;" "&amp;Checks!$P$189&amp;CHAR(10)&amp;"Verifier: "&amp;IF(Checks!$AE$189="","____________",Checks!$AE$189)&amp;CHAR(10)&amp;"PIC: "&amp;IF(Checks!$T$189="","____________",Checks!$T$189))</f>
        <v>Done: ____________ KUL
Verifier: ____________
PIC: ____________</v>
      </c>
      <c r="H48" s="121" t="str">
        <f aca="false">IF(Checks!$AH$189="","",Checks!$AH$189)</f>
        <v>OPEN</v>
      </c>
    </row>
    <row r="49" customFormat="false" ht="114" hidden="false" customHeight="true" outlineLevel="0" collapsed="false">
      <c r="A49" s="120" t="str">
        <f aca="false">Checks!$A$190&amp;CHAR(10)&amp;IF(Checks!$I$190="","",Checks!$I$190&amp;": ")&amp;Checks!$J$190</f>
        <v>F06-T12-15
F&amp;B Linen: Bread linen (using table cloth) - prepared</v>
      </c>
      <c r="B49" s="120" t="str">
        <f aca="false">Checks!$K$190&amp;IF(Checks!$O$190="","",IF(Checks!$K$190="","",CHAR(10))&amp;"Note: "&amp;Checks!$O$190)</f>
        <v>Available (ticked in reference)
Note: Reference gives no uplift stn for this item: preparation checked at the meal uplift stn (KUL) - confirm with caterer.</v>
      </c>
      <c r="C49" s="120" t="str">
        <f aca="false">Checks!$N$190&amp;CHAR(10)&amp;IF(ISNUMBER(Checks!$R$190),TEXT(Checks!$R$190,"DD-MMM-YY HH:MM"),"")&amp;" "&amp;Checks!$P$190</f>
        <v>Required
15-Oct-26 11:20 KUL</v>
      </c>
      <c r="D49" s="120" t="str">
        <f aca="false">IF(TRIM(Checks!$U$190)&lt;&gt;"",Checks!$U$190&amp;IF(Checks!$AB$190="","",CHAR(10)&amp;"CA: "&amp;Checks!$AB$190),IF(LEFT(Checks!$AH$190,10)="N/A – RULE","","[ ] Pass"&amp;CHAR(10)&amp;"[ ] Pass after CA"&amp;CHAR(10)&amp;"[ ] Fail"&amp;IF(Checks!$AT$190=1,CHAR(10)&amp;"[ ] N/A","")&amp;CHAR(10)&amp;"CA: Open / Closed"))</f>
        <v>[ ] Pass
[ ] Pass after CA
[ ] Fail
CA: Open / Closed</v>
      </c>
      <c r="E49" s="120" t="str">
        <f aca="false">IF(Checks!$V$190="","",Checks!$V$190)&amp;IF(Checks!$AC$190="","",IF(Checks!$V$190="","",CHAR(10))&amp;"N/A just.: "&amp;Checks!$AC$190)&amp;IF(OR(Checks!$W$190&lt;&gt;"",AND(Checks!$AQ$190=1,NOT(LEFT(Checks!$AH$190,10)="N/A – RULE"))),CHAR(10)&amp;"Batch: "&amp;IF(Checks!$W$190="","____________",Checks!$W$190),"")&amp;IF(OR(Checks!$X$190&lt;&gt;"",Checks!$Y$190&lt;&gt;"",AND(Checks!$AR$190=1,NOT(LEFT(Checks!$AH$190,10)="N/A – RULE"))),CHAR(10)&amp;"Exp: "&amp;IF(Checks!$X$190="","______",Checks!$X$190)&amp;"  /  Act: "&amp;IF(Checks!$Y$190="","______",Checks!$Y$190),"")</f>
        <v/>
      </c>
      <c r="F49" s="120" t="str">
        <f aca="false">IF(AND(LEFT(Checks!$AH$190,10)="N/A – RULE",TRIM(Checks!$S$190&amp;Checks!$Z$190)=""),"","Type: "&amp;IF(TRIM(Checks!$S$190)="","______________ (see cover list)",Checks!$S$190)&amp;CHAR(10)&amp;"ID: "&amp;IF(TRIM(Checks!$Z$190)="","______________ (record's own no.)",Checks!$Z$190))&amp;IF(Checks!$AA$190="","",CHAR(10)&amp;"CA: "&amp;Checks!$AA$190)</f>
        <v>Type: ______________ (see cover list)
ID: ______________ (record's own no.)</v>
      </c>
      <c r="G49" s="120" t="str">
        <f aca="false">IF(AND(LEFT(Checks!$AH$190,10)="N/A – RULE",NOT(ISNUMBER(Checks!$AD$190)),Checks!$AE$190="",Checks!$T$190=""),"","Done: "&amp;IF(ISNUMBER(Checks!$AD$190),TEXT(Checks!$AD$190,"DD-MMM-YY HH:MM"),"____________")&amp;" "&amp;Checks!$P$190&amp;CHAR(10)&amp;"Verifier: "&amp;IF(Checks!$AE$190="","____________",Checks!$AE$190)&amp;CHAR(10)&amp;"PIC: "&amp;IF(Checks!$T$190="","____________",Checks!$T$190))</f>
        <v>Done: ____________ KUL
Verifier: ____________
PIC: ____________</v>
      </c>
      <c r="H49" s="121" t="str">
        <f aca="false">IF(Checks!$AH$190="","",Checks!$AH$190)</f>
        <v>OPEN</v>
      </c>
    </row>
    <row r="50" customFormat="false" ht="124.5" hidden="false" customHeight="true" outlineLevel="0" collapsed="false">
      <c r="A50" s="120" t="str">
        <f aca="false">Checks!$A$191&amp;CHAR(10)&amp;IF(Checks!$I$191="","",Checks!$I$191&amp;": ")&amp;Checks!$J$191</f>
        <v>F06-T12-16
F&amp;B Linen: Trolley cloth - prepared</v>
      </c>
      <c r="B50" s="120" t="str">
        <f aca="false">SUBSTITUTE(SUBSTITUTE(Checks!$K$191&amp;IF(Checks!$O$191="","",IF(Checks!$K$191="","",CHAR(10))&amp;"Note: "&amp;Checks!$O$191),"Per note F&amp;B LINEN!B79:C80.","Per the F&amp;B LINEN reference note."),"note F&amp;B LINEN!B79:C80","the F&amp;B LINEN reference note")</f>
        <v>Wide body: Top/Middle &amp; Bottom
Note: Per the F&amp;B LINEN reference note. Reference gives no uplift stn for this item: preparation checked at the meal uplift stn (KUL) - confirm with caterer.</v>
      </c>
      <c r="C50" s="120" t="str">
        <f aca="false">Checks!$N$191&amp;CHAR(10)&amp;IF(ISNUMBER(Checks!$R$191),TEXT(Checks!$R$191,"DD-MMM-YY HH:MM"),"")&amp;" "&amp;Checks!$P$191</f>
        <v>Required
15-Oct-26 11:20 KUL</v>
      </c>
      <c r="D50" s="120" t="str">
        <f aca="false">IF(TRIM(Checks!$U$191)&lt;&gt;"",Checks!$U$191&amp;IF(Checks!$AB$191="","",CHAR(10)&amp;"CA: "&amp;Checks!$AB$191),IF(LEFT(Checks!$AH$191,10)="N/A – RULE","","[ ] Pass"&amp;CHAR(10)&amp;"[ ] Pass after CA"&amp;CHAR(10)&amp;"[ ] Fail"&amp;IF(Checks!$AT$191=1,CHAR(10)&amp;"[ ] N/A","")&amp;CHAR(10)&amp;"CA: Open / Closed"))</f>
        <v>[ ] Pass
[ ] Pass after CA
[ ] Fail
CA: Open / Closed</v>
      </c>
      <c r="E50" s="120" t="str">
        <f aca="false">IF(Checks!$V$191="","",Checks!$V$191)&amp;IF(Checks!$AC$191="","",IF(Checks!$V$191="","",CHAR(10))&amp;"N/A just.: "&amp;Checks!$AC$191)&amp;IF(OR(Checks!$W$191&lt;&gt;"",AND(Checks!$AQ$191=1,NOT(LEFT(Checks!$AH$191,10)="N/A – RULE"))),CHAR(10)&amp;"Batch: "&amp;IF(Checks!$W$191="","____________",Checks!$W$191),"")&amp;IF(OR(Checks!$X$191&lt;&gt;"",Checks!$Y$191&lt;&gt;"",AND(Checks!$AR$191=1,NOT(LEFT(Checks!$AH$191,10)="N/A – RULE"))),CHAR(10)&amp;"Exp: "&amp;IF(Checks!$X$191="","______",Checks!$X$191)&amp;"  /  Act: "&amp;IF(Checks!$Y$191="","______",Checks!$Y$191),"")</f>
        <v/>
      </c>
      <c r="F50" s="120" t="str">
        <f aca="false">IF(AND(LEFT(Checks!$AH$191,10)="N/A – RULE",TRIM(Checks!$S$191&amp;Checks!$Z$191)=""),"","Type: "&amp;IF(TRIM(Checks!$S$191)="","______________ (see cover list)",Checks!$S$191)&amp;CHAR(10)&amp;"ID: "&amp;IF(TRIM(Checks!$Z$191)="","______________ (record's own no.)",Checks!$Z$191))&amp;IF(Checks!$AA$191="","",CHAR(10)&amp;"CA: "&amp;Checks!$AA$191)</f>
        <v>Type: ______________ (see cover list)
ID: ______________ (record's own no.)</v>
      </c>
      <c r="G50" s="120" t="str">
        <f aca="false">IF(AND(LEFT(Checks!$AH$191,10)="N/A – RULE",NOT(ISNUMBER(Checks!$AD$191)),Checks!$AE$191="",Checks!$T$191=""),"","Done: "&amp;IF(ISNUMBER(Checks!$AD$191),TEXT(Checks!$AD$191,"DD-MMM-YY HH:MM"),"____________")&amp;" "&amp;Checks!$P$191&amp;CHAR(10)&amp;"Verifier: "&amp;IF(Checks!$AE$191="","____________",Checks!$AE$191)&amp;CHAR(10)&amp;"PIC: "&amp;IF(Checks!$T$191="","____________",Checks!$T$191))</f>
        <v>Done: ____________ KUL
Verifier: ____________
PIC: ____________</v>
      </c>
      <c r="H50" s="121" t="str">
        <f aca="false">IF(Checks!$AH$191="","",Checks!$AH$191)</f>
        <v>OPEN</v>
      </c>
    </row>
    <row r="51" customFormat="false" ht="114" hidden="false" customHeight="true" outlineLevel="0" collapsed="false">
      <c r="A51" s="120" t="str">
        <f aca="false">Checks!$A$192&amp;CHAR(10)&amp;IF(Checks!$I$192="","",Checks!$I$192&amp;": ")&amp;Checks!$J$192</f>
        <v>F06-T12-17
F&amp;B Linen: Linen bag - prepared</v>
      </c>
      <c r="B51" s="120" t="str">
        <f aca="false">Checks!$K$192&amp;IF(Checks!$O$192="","",IF(Checks!$K$192="","",CHAR(10))&amp;"Note: "&amp;Checks!$O$192)</f>
        <v>Available (ticked in reference)
Note: Reference gives no uplift stn for this item: preparation checked at the meal uplift stn (KUL) - confirm with caterer.</v>
      </c>
      <c r="C51" s="120" t="str">
        <f aca="false">Checks!$N$192&amp;CHAR(10)&amp;IF(ISNUMBER(Checks!$R$192),TEXT(Checks!$R$192,"DD-MMM-YY HH:MM"),"")&amp;" "&amp;Checks!$P$192</f>
        <v>Required
15-Oct-26 11:20 KUL</v>
      </c>
      <c r="D51" s="120" t="str">
        <f aca="false">IF(TRIM(Checks!$U$192)&lt;&gt;"",Checks!$U$192&amp;IF(Checks!$AB$192="","",CHAR(10)&amp;"CA: "&amp;Checks!$AB$192),IF(LEFT(Checks!$AH$192,10)="N/A – RULE","","[ ] Pass"&amp;CHAR(10)&amp;"[ ] Pass after CA"&amp;CHAR(10)&amp;"[ ] Fail"&amp;IF(Checks!$AT$192=1,CHAR(10)&amp;"[ ] N/A","")&amp;CHAR(10)&amp;"CA: Open / Closed"))</f>
        <v>[ ] Pass
[ ] Pass after CA
[ ] Fail
CA: Open / Closed</v>
      </c>
      <c r="E51" s="120" t="str">
        <f aca="false">IF(Checks!$V$192="","",Checks!$V$192)&amp;IF(Checks!$AC$192="","",IF(Checks!$V$192="","",CHAR(10))&amp;"N/A just.: "&amp;Checks!$AC$192)&amp;IF(OR(Checks!$W$192&lt;&gt;"",AND(Checks!$AQ$192=1,NOT(LEFT(Checks!$AH$192,10)="N/A – RULE"))),CHAR(10)&amp;"Batch: "&amp;IF(Checks!$W$192="","____________",Checks!$W$192),"")&amp;IF(OR(Checks!$X$192&lt;&gt;"",Checks!$Y$192&lt;&gt;"",AND(Checks!$AR$192=1,NOT(LEFT(Checks!$AH$192,10)="N/A – RULE"))),CHAR(10)&amp;"Exp: "&amp;IF(Checks!$X$192="","______",Checks!$X$192)&amp;"  /  Act: "&amp;IF(Checks!$Y$192="","______",Checks!$Y$192),"")</f>
        <v/>
      </c>
      <c r="F51" s="120" t="str">
        <f aca="false">IF(AND(LEFT(Checks!$AH$192,10)="N/A – RULE",TRIM(Checks!$S$192&amp;Checks!$Z$192)=""),"","Type: "&amp;IF(TRIM(Checks!$S$192)="","______________ (see cover list)",Checks!$S$192)&amp;CHAR(10)&amp;"ID: "&amp;IF(TRIM(Checks!$Z$192)="","______________ (record's own no.)",Checks!$Z$192))&amp;IF(Checks!$AA$192="","",CHAR(10)&amp;"CA: "&amp;Checks!$AA$192)</f>
        <v>Type: ______________ (see cover list)
ID: ______________ (record's own no.)</v>
      </c>
      <c r="G51" s="120" t="str">
        <f aca="false">IF(AND(LEFT(Checks!$AH$192,10)="N/A – RULE",NOT(ISNUMBER(Checks!$AD$192)),Checks!$AE$192="",Checks!$T$192=""),"","Done: "&amp;IF(ISNUMBER(Checks!$AD$192),TEXT(Checks!$AD$192,"DD-MMM-YY HH:MM"),"____________")&amp;" "&amp;Checks!$P$192&amp;CHAR(10)&amp;"Verifier: "&amp;IF(Checks!$AE$192="","____________",Checks!$AE$192)&amp;CHAR(10)&amp;"PIC: "&amp;IF(Checks!$T$192="","____________",Checks!$T$192))</f>
        <v>Done: ____________ KUL
Verifier: ____________
PIC: ____________</v>
      </c>
      <c r="H51" s="121" t="str">
        <f aca="false">IF(Checks!$AH$192="","",Checks!$AH$192)</f>
        <v>OPEN</v>
      </c>
    </row>
    <row r="52" customFormat="false" ht="114" hidden="false" customHeight="true" outlineLevel="0" collapsed="false">
      <c r="A52" s="120" t="str">
        <f aca="false">Checks!$A$193&amp;CHAR(10)&amp;IF(Checks!$I$193="","",Checks!$I$193&amp;": ")&amp;Checks!$J$193</f>
        <v>F06-T12-18
Seat Linen: Seat pillow (BS &amp; BC) - prepared</v>
      </c>
      <c r="B52" s="120" t="str">
        <f aca="false">Checks!$K$193&amp;IF(Checks!$O$193="","",IF(Checks!$K$193="","",CHAR(10))&amp;"Note: "&amp;Checks!$O$193)</f>
        <v>Available 100% (ticked in reference)
Note: Reference gives no uplift stn for this item: preparation checked at the meal uplift stn (KUL) - confirm with caterer.</v>
      </c>
      <c r="C52" s="120" t="str">
        <f aca="false">Checks!$N$193&amp;CHAR(10)&amp;IF(ISNUMBER(Checks!$R$193),TEXT(Checks!$R$193,"DD-MMM-YY HH:MM"),"")&amp;" "&amp;Checks!$P$193</f>
        <v>Required
15-Oct-26 11:20 KUL</v>
      </c>
      <c r="D52" s="120" t="str">
        <f aca="false">IF(TRIM(Checks!$U$193)&lt;&gt;"",Checks!$U$193&amp;IF(Checks!$AB$193="","",CHAR(10)&amp;"CA: "&amp;Checks!$AB$193),IF(LEFT(Checks!$AH$193,10)="N/A – RULE","","[ ] Pass"&amp;CHAR(10)&amp;"[ ] Pass after CA"&amp;CHAR(10)&amp;"[ ] Fail"&amp;IF(Checks!$AT$193=1,CHAR(10)&amp;"[ ] N/A","")&amp;CHAR(10)&amp;"CA: Open / Closed"))</f>
        <v>[ ] Pass
[ ] Pass after CA
[ ] Fail
CA: Open / Closed</v>
      </c>
      <c r="E52" s="120" t="str">
        <f aca="false">IF(Checks!$V$193="","",Checks!$V$193)&amp;IF(Checks!$AC$193="","",IF(Checks!$V$193="","",CHAR(10))&amp;"N/A just.: "&amp;Checks!$AC$193)&amp;IF(OR(Checks!$W$193&lt;&gt;"",AND(Checks!$AQ$193=1,NOT(LEFT(Checks!$AH$193,10)="N/A – RULE"))),CHAR(10)&amp;"Batch: "&amp;IF(Checks!$W$193="","____________",Checks!$W$193),"")&amp;IF(OR(Checks!$X$193&lt;&gt;"",Checks!$Y$193&lt;&gt;"",AND(Checks!$AR$193=1,NOT(LEFT(Checks!$AH$193,10)="N/A – RULE"))),CHAR(10)&amp;"Exp: "&amp;IF(Checks!$X$193="","______",Checks!$X$193)&amp;"  /  Act: "&amp;IF(Checks!$Y$193="","______",Checks!$Y$193),"")</f>
        <v/>
      </c>
      <c r="F52" s="120" t="str">
        <f aca="false">IF(AND(LEFT(Checks!$AH$193,10)="N/A – RULE",TRIM(Checks!$S$193&amp;Checks!$Z$193)=""),"","Type: "&amp;IF(TRIM(Checks!$S$193)="","______________ (see cover list)",Checks!$S$193)&amp;CHAR(10)&amp;"ID: "&amp;IF(TRIM(Checks!$Z$193)="","______________ (record's own no.)",Checks!$Z$193))&amp;IF(Checks!$AA$193="","",CHAR(10)&amp;"CA: "&amp;Checks!$AA$193)</f>
        <v>Type: ______________ (see cover list)
ID: ______________ (record's own no.)</v>
      </c>
      <c r="G52" s="120" t="str">
        <f aca="false">IF(AND(LEFT(Checks!$AH$193,10)="N/A – RULE",NOT(ISNUMBER(Checks!$AD$193)),Checks!$AE$193="",Checks!$T$193=""),"","Done: "&amp;IF(ISNUMBER(Checks!$AD$193),TEXT(Checks!$AD$193,"DD-MMM-YY HH:MM"),"____________")&amp;" "&amp;Checks!$P$193&amp;CHAR(10)&amp;"Verifier: "&amp;IF(Checks!$AE$193="","____________",Checks!$AE$193)&amp;CHAR(10)&amp;"PIC: "&amp;IF(Checks!$T$193="","____________",Checks!$T$193))</f>
        <v>Done: ____________ KUL
Verifier: ____________
PIC: ____________</v>
      </c>
      <c r="H52" s="121" t="str">
        <f aca="false">IF(Checks!$AH$193="","",Checks!$AH$193)</f>
        <v>OPEN</v>
      </c>
    </row>
    <row r="53" customFormat="false" ht="114" hidden="false" customHeight="true" outlineLevel="0" collapsed="false">
      <c r="A53" s="120" t="str">
        <f aca="false">Checks!$A$194&amp;CHAR(10)&amp;IF(Checks!$I$194="","",Checks!$I$194&amp;": ")&amp;Checks!$J$194</f>
        <v>F06-T12-19
Seat Linen: Duvet (BS &amp; BC) - prepared</v>
      </c>
      <c r="B53" s="120" t="str">
        <f aca="false">Checks!$K$194&amp;IF(Checks!$O$194="","",IF(Checks!$K$194="","",CHAR(10))&amp;"Note: "&amp;Checks!$O$194)</f>
        <v>Available 100% (ticked in reference)
Note: Reference gives no uplift stn for this item: preparation checked at the meal uplift stn (KUL) - confirm with caterer.</v>
      </c>
      <c r="C53" s="120" t="str">
        <f aca="false">Checks!$N$194&amp;CHAR(10)&amp;IF(ISNUMBER(Checks!$R$194),TEXT(Checks!$R$194,"DD-MMM-YY HH:MM"),"")&amp;" "&amp;Checks!$P$194</f>
        <v>Required
15-Oct-26 11:20 KUL</v>
      </c>
      <c r="D53" s="120" t="str">
        <f aca="false">IF(TRIM(Checks!$U$194)&lt;&gt;"",Checks!$U$194&amp;IF(Checks!$AB$194="","",CHAR(10)&amp;"CA: "&amp;Checks!$AB$194),IF(LEFT(Checks!$AH$194,10)="N/A – RULE","","[ ] Pass"&amp;CHAR(10)&amp;"[ ] Pass after CA"&amp;CHAR(10)&amp;"[ ] Fail"&amp;IF(Checks!$AT$194=1,CHAR(10)&amp;"[ ] N/A","")&amp;CHAR(10)&amp;"CA: Open / Closed"))</f>
        <v>[ ] Pass
[ ] Pass after CA
[ ] Fail
CA: Open / Closed</v>
      </c>
      <c r="E53" s="120" t="str">
        <f aca="false">IF(Checks!$V$194="","",Checks!$V$194)&amp;IF(Checks!$AC$194="","",IF(Checks!$V$194="","",CHAR(10))&amp;"N/A just.: "&amp;Checks!$AC$194)&amp;IF(OR(Checks!$W$194&lt;&gt;"",AND(Checks!$AQ$194=1,NOT(LEFT(Checks!$AH$194,10)="N/A – RULE"))),CHAR(10)&amp;"Batch: "&amp;IF(Checks!$W$194="","____________",Checks!$W$194),"")&amp;IF(OR(Checks!$X$194&lt;&gt;"",Checks!$Y$194&lt;&gt;"",AND(Checks!$AR$194=1,NOT(LEFT(Checks!$AH$194,10)="N/A – RULE"))),CHAR(10)&amp;"Exp: "&amp;IF(Checks!$X$194="","______",Checks!$X$194)&amp;"  /  Act: "&amp;IF(Checks!$Y$194="","______",Checks!$Y$194),"")</f>
        <v/>
      </c>
      <c r="F53" s="120" t="str">
        <f aca="false">IF(AND(LEFT(Checks!$AH$194,10)="N/A – RULE",TRIM(Checks!$S$194&amp;Checks!$Z$194)=""),"","Type: "&amp;IF(TRIM(Checks!$S$194)="","______________ (see cover list)",Checks!$S$194)&amp;CHAR(10)&amp;"ID: "&amp;IF(TRIM(Checks!$Z$194)="","______________ (record's own no.)",Checks!$Z$194))&amp;IF(Checks!$AA$194="","",CHAR(10)&amp;"CA: "&amp;Checks!$AA$194)</f>
        <v>Type: ______________ (see cover list)
ID: ______________ (record's own no.)</v>
      </c>
      <c r="G53" s="120" t="str">
        <f aca="false">IF(AND(LEFT(Checks!$AH$194,10)="N/A – RULE",NOT(ISNUMBER(Checks!$AD$194)),Checks!$AE$194="",Checks!$T$194=""),"","Done: "&amp;IF(ISNUMBER(Checks!$AD$194),TEXT(Checks!$AD$194,"DD-MMM-YY HH:MM"),"____________")&amp;" "&amp;Checks!$P$194&amp;CHAR(10)&amp;"Verifier: "&amp;IF(Checks!$AE$194="","____________",Checks!$AE$194)&amp;CHAR(10)&amp;"PIC: "&amp;IF(Checks!$T$194="","____________",Checks!$T$194))</f>
        <v>Done: ____________ KUL
Verifier: ____________
PIC: ____________</v>
      </c>
      <c r="H53" s="121" t="str">
        <f aca="false">IF(Checks!$AH$194="","",Checks!$AH$194)</f>
        <v>OPEN</v>
      </c>
    </row>
    <row r="54" customFormat="false" ht="114" hidden="false" customHeight="true" outlineLevel="0" collapsed="false">
      <c r="A54" s="120" t="str">
        <f aca="false">Checks!$A$195&amp;CHAR(10)&amp;IF(Checks!$I$195="","",Checks!$I$195&amp;": ")&amp;Checks!$J$195</f>
        <v>F06-T12-20
Seat Linen: Mattress (BS &amp; BC) - prepared</v>
      </c>
      <c r="B54" s="120" t="str">
        <f aca="false">Checks!$K$195&amp;IF(Checks!$O$195="","",IF(Checks!$K$195="","",CHAR(10))&amp;"Note: "&amp;Checks!$O$195)</f>
        <v>Available 100% (ticked in reference)
Note: Reference gives no uplift stn for this item: preparation checked at the meal uplift stn (KUL) - confirm with caterer.</v>
      </c>
      <c r="C54" s="120" t="str">
        <f aca="false">Checks!$N$195&amp;CHAR(10)&amp;IF(ISNUMBER(Checks!$R$195),TEXT(Checks!$R$195,"DD-MMM-YY HH:MM"),"")&amp;" "&amp;Checks!$P$195</f>
        <v>Required
15-Oct-26 11:20 KUL</v>
      </c>
      <c r="D54" s="120" t="str">
        <f aca="false">IF(TRIM(Checks!$U$195)&lt;&gt;"",Checks!$U$195&amp;IF(Checks!$AB$195="","",CHAR(10)&amp;"CA: "&amp;Checks!$AB$195),IF(LEFT(Checks!$AH$195,10)="N/A – RULE","","[ ] Pass"&amp;CHAR(10)&amp;"[ ] Pass after CA"&amp;CHAR(10)&amp;"[ ] Fail"&amp;IF(Checks!$AT$195=1,CHAR(10)&amp;"[ ] N/A","")&amp;CHAR(10)&amp;"CA: Open / Closed"))</f>
        <v>[ ] Pass
[ ] Pass after CA
[ ] Fail
CA: Open / Closed</v>
      </c>
      <c r="E54" s="120" t="str">
        <f aca="false">IF(Checks!$V$195="","",Checks!$V$195)&amp;IF(Checks!$AC$195="","",IF(Checks!$V$195="","",CHAR(10))&amp;"N/A just.: "&amp;Checks!$AC$195)&amp;IF(OR(Checks!$W$195&lt;&gt;"",AND(Checks!$AQ$195=1,NOT(LEFT(Checks!$AH$195,10)="N/A – RULE"))),CHAR(10)&amp;"Batch: "&amp;IF(Checks!$W$195="","____________",Checks!$W$195),"")&amp;IF(OR(Checks!$X$195&lt;&gt;"",Checks!$Y$195&lt;&gt;"",AND(Checks!$AR$195=1,NOT(LEFT(Checks!$AH$195,10)="N/A – RULE"))),CHAR(10)&amp;"Exp: "&amp;IF(Checks!$X$195="","______",Checks!$X$195)&amp;"  /  Act: "&amp;IF(Checks!$Y$195="","______",Checks!$Y$195),"")</f>
        <v/>
      </c>
      <c r="F54" s="120" t="str">
        <f aca="false">IF(AND(LEFT(Checks!$AH$195,10)="N/A – RULE",TRIM(Checks!$S$195&amp;Checks!$Z$195)=""),"","Type: "&amp;IF(TRIM(Checks!$S$195)="","______________ (see cover list)",Checks!$S$195)&amp;CHAR(10)&amp;"ID: "&amp;IF(TRIM(Checks!$Z$195)="","______________ (record's own no.)",Checks!$Z$195))&amp;IF(Checks!$AA$195="","",CHAR(10)&amp;"CA: "&amp;Checks!$AA$195)</f>
        <v>Type: ______________ (see cover list)
ID: ______________ (record's own no.)</v>
      </c>
      <c r="G54" s="120" t="str">
        <f aca="false">IF(AND(LEFT(Checks!$AH$195,10)="N/A – RULE",NOT(ISNUMBER(Checks!$AD$195)),Checks!$AE$195="",Checks!$T$195=""),"","Done: "&amp;IF(ISNUMBER(Checks!$AD$195),TEXT(Checks!$AD$195,"DD-MMM-YY HH:MM"),"____________")&amp;" "&amp;Checks!$P$195&amp;CHAR(10)&amp;"Verifier: "&amp;IF(Checks!$AE$195="","____________",Checks!$AE$195)&amp;CHAR(10)&amp;"PIC: "&amp;IF(Checks!$T$195="","____________",Checks!$T$195))</f>
        <v>Done: ____________ KUL
Verifier: ____________
PIC: ____________</v>
      </c>
      <c r="H54" s="121" t="str">
        <f aca="false">IF(Checks!$AH$195="","",Checks!$AH$195)</f>
        <v>OPEN</v>
      </c>
    </row>
    <row r="55" customFormat="false" ht="114" hidden="false" customHeight="true" outlineLevel="0" collapsed="false">
      <c r="A55" s="120" t="str">
        <f aca="false">Checks!$A$196&amp;CHAR(10)&amp;IF(Checks!$I$196="","",Checks!$I$196&amp;": ")&amp;Checks!$J$196</f>
        <v>F06-T12-21
Signature Drinks: Signature drink &amp; garnish (BC) - prepared</v>
      </c>
      <c r="B55" s="120" t="str">
        <f aca="false">SUBSTITUTE(Checks!$K$196&amp;IF(Checks!$O$196="","",IF(Checks!$K$196="","",CHAR(10))&amp;"Note: "&amp;Checks!$O$196)," (note D79)","")</f>
        <v>Available (ticked in reference)
Note: Signature drinks &amp; garnish uplifted from KUL.</v>
      </c>
      <c r="C55" s="120" t="str">
        <f aca="false">Checks!$N$196&amp;CHAR(10)&amp;IF(ISNUMBER(Checks!$R$196),TEXT(Checks!$R$196,"DD-MMM-YY HH:MM"),"")&amp;" "&amp;Checks!$P$196</f>
        <v>Required
15-Oct-26 11:20 KUL</v>
      </c>
      <c r="D55" s="120" t="str">
        <f aca="false">IF(TRIM(Checks!$U$196)&lt;&gt;"",Checks!$U$196&amp;IF(Checks!$AB$196="","",CHAR(10)&amp;"CA: "&amp;Checks!$AB$196),IF(LEFT(Checks!$AH$196,10)="N/A – RULE","","[ ] Pass"&amp;CHAR(10)&amp;"[ ] Pass after CA"&amp;CHAR(10)&amp;"[ ] Fail"&amp;IF(Checks!$AT$196=1,CHAR(10)&amp;"[ ] N/A","")&amp;CHAR(10)&amp;"CA: Open / Closed"))</f>
        <v>[ ] Pass
[ ] Pass after CA
[ ] Fail
CA: Open / Closed</v>
      </c>
      <c r="E55" s="120" t="str">
        <f aca="false">IF(Checks!$V$196="","",Checks!$V$196)&amp;IF(Checks!$AC$196="","",IF(Checks!$V$196="","",CHAR(10))&amp;"N/A just.: "&amp;Checks!$AC$196)&amp;IF(OR(Checks!$W$196&lt;&gt;"",AND(Checks!$AQ$196=1,NOT(LEFT(Checks!$AH$196,10)="N/A – RULE"))),CHAR(10)&amp;"Batch: "&amp;IF(Checks!$W$196="","____________",Checks!$W$196),"")&amp;IF(OR(Checks!$X$196&lt;&gt;"",Checks!$Y$196&lt;&gt;"",AND(Checks!$AR$196=1,NOT(LEFT(Checks!$AH$196,10)="N/A – RULE"))),CHAR(10)&amp;"Exp: "&amp;IF(Checks!$X$196="","______",Checks!$X$196)&amp;"  /  Act: "&amp;IF(Checks!$Y$196="","______",Checks!$Y$196),"")</f>
        <v/>
      </c>
      <c r="F55" s="120" t="str">
        <f aca="false">IF(AND(LEFT(Checks!$AH$196,10)="N/A – RULE",TRIM(Checks!$S$196&amp;Checks!$Z$196)=""),"","Type: "&amp;IF(TRIM(Checks!$S$196)="","______________ (see cover list)",Checks!$S$196)&amp;CHAR(10)&amp;"ID: "&amp;IF(TRIM(Checks!$Z$196)="","______________ (record's own no.)",Checks!$Z$196))&amp;IF(Checks!$AA$196="","",CHAR(10)&amp;"CA: "&amp;Checks!$AA$196)</f>
        <v>Type: ______________ (see cover list)
ID: ______________ (record's own no.)</v>
      </c>
      <c r="G55" s="120" t="str">
        <f aca="false">IF(AND(LEFT(Checks!$AH$196,10)="N/A – RULE",NOT(ISNUMBER(Checks!$AD$196)),Checks!$AE$196="",Checks!$T$196=""),"","Done: "&amp;IF(ISNUMBER(Checks!$AD$196),TEXT(Checks!$AD$196,"DD-MMM-YY HH:MM"),"____________")&amp;" "&amp;Checks!$P$196&amp;CHAR(10)&amp;"Verifier: "&amp;IF(Checks!$AE$196="","____________",Checks!$AE$196)&amp;CHAR(10)&amp;"PIC: "&amp;IF(Checks!$T$196="","____________",Checks!$T$196))</f>
        <v>Done: ____________ KUL
Verifier: ____________
PIC: ____________</v>
      </c>
      <c r="H55" s="121" t="str">
        <f aca="false">IF(Checks!$AH$196="","",Checks!$AH$196)</f>
        <v>OPEN</v>
      </c>
    </row>
    <row r="56" customFormat="false" ht="25.5" hidden="false" customHeight="true" outlineLevel="0" collapsed="false">
      <c r="A56" s="119" t="str">
        <f aca="false">"UPLIFT — Physical uplift – on-board confirmation before departure  |  Due "&amp;"STD "&amp;IF(ISNUMBER(Flights!$I$10),TEXT(Flights!$I$10,"DD-MMM-YY HH:MM"),"")&amp;" "&amp;Flights!$G$10&amp;" (departure stn)"&amp;" (rows with another due show their own)  |  Complete "&amp;IF(ISNUMBER(Flights!$AM$10),TEXT(Flights!$AM$10,"0%"),Flights!$AM$10)&amp;"  |  16 lines"</f>
        <v>UPLIFT — Physical uplift – on-board confirmation before departure  |  Due STD 15-Oct-26 23:20 KUL (departure stn) (rows with another due show their own)  |  Complete 0%  |  16 lines</v>
      </c>
      <c r="B56" s="119"/>
      <c r="C56" s="119"/>
      <c r="D56" s="119"/>
      <c r="E56" s="119"/>
      <c r="F56" s="119"/>
      <c r="G56" s="119"/>
      <c r="H56" s="119"/>
    </row>
    <row r="57" customFormat="false" ht="114" hidden="false" customHeight="true" outlineLevel="0" collapsed="false">
      <c r="A57" s="120" t="str">
        <f aca="false">Checks!$A$197&amp;CHAR(10)&amp;IF(Checks!$I$197="","",Checks!$I$197&amp;": ")&amp;Checks!$J$197</f>
        <v>F06-UPL-01
Meal: Meals physically uplifted on board - quantity vs menu checklist</v>
      </c>
      <c r="B57" s="120" t="str">
        <f aca="false">Checks!$K$197&amp;IF(Checks!$O$197="","",IF(Checks!$K$197="","",CHAR(10))&amp;"Note: "&amp;Checks!$O$197)</f>
        <v>Enter expected &amp; actual
Note: Confirm on board before departure; completion time must fall inside the uplift window.</v>
      </c>
      <c r="C57" s="120" t="str">
        <f aca="false">Checks!$N$197&amp;CHAR(10)&amp;IF(ISNUMBER(Checks!$R$197),TEXT(Checks!$R$197,"DD-MMM-YY HH:MM"),"")&amp;" "&amp;Checks!$P$197</f>
        <v>Required
15-Oct-26 23:20 KUL</v>
      </c>
      <c r="D57" s="120" t="str">
        <f aca="false">IF(TRIM(Checks!$U$197)&lt;&gt;"",Checks!$U$197&amp;IF(Checks!$AB$197="","",CHAR(10)&amp;"CA: "&amp;Checks!$AB$197),IF(LEFT(Checks!$AH$197,10)="N/A – RULE","","[ ] Pass"&amp;CHAR(10)&amp;"[ ] Pass after CA"&amp;CHAR(10)&amp;"[ ] Fail"&amp;IF(Checks!$AT$197=1,CHAR(10)&amp;"[ ] N/A","")&amp;CHAR(10)&amp;"CA: Open / Closed"))</f>
        <v>[ ] Pass
[ ] Pass after CA
[ ] Fail
CA: Open / Closed</v>
      </c>
      <c r="E57" s="120" t="str">
        <f aca="false">IF(Checks!$V$197="","",Checks!$V$197)&amp;IF(Checks!$AC$197="","",IF(Checks!$V$197="","",CHAR(10))&amp;"N/A just.: "&amp;Checks!$AC$197)&amp;IF(OR(Checks!$W$197&lt;&gt;"",AND(Checks!$AQ$197=1,NOT(LEFT(Checks!$AH$197,10)="N/A – RULE"))),CHAR(10)&amp;"Batch: "&amp;IF(Checks!$W$197="","____________",Checks!$W$197),"")&amp;IF(OR(Checks!$X$197&lt;&gt;"",Checks!$Y$197&lt;&gt;"",AND(Checks!$AR$197=1,NOT(LEFT(Checks!$AH$197,10)="N/A – RULE"))),CHAR(10)&amp;"Exp: "&amp;IF(Checks!$X$197="","______",Checks!$X$197)&amp;"  /  Act: "&amp;IF(Checks!$Y$197="","______",Checks!$Y$197),"")</f>
        <v>
Exp: ______  /  Act: ______</v>
      </c>
      <c r="F57" s="120" t="str">
        <f aca="false">IF(AND(LEFT(Checks!$AH$197,10)="N/A – RULE",TRIM(Checks!$S$197&amp;Checks!$Z$197)=""),"","Type: "&amp;IF(TRIM(Checks!$S$197)="","______________ (see cover list)",Checks!$S$197)&amp;CHAR(10)&amp;"ID: "&amp;IF(TRIM(Checks!$Z$197)="","______________ (record's own no.)",Checks!$Z$197))&amp;IF(Checks!$AA$197="","",CHAR(10)&amp;"CA: "&amp;Checks!$AA$197)</f>
        <v>Type: ______________ (see cover list)
ID: ______________ (record's own no.)</v>
      </c>
      <c r="G57" s="120" t="str">
        <f aca="false">IF(AND(LEFT(Checks!$AH$197,10)="N/A – RULE",NOT(ISNUMBER(Checks!$AD$197)),Checks!$AE$197="",Checks!$T$197=""),"","Done: "&amp;IF(ISNUMBER(Checks!$AD$197),TEXT(Checks!$AD$197,"DD-MMM-YY HH:MM"),"____________")&amp;" "&amp;Checks!$P$197&amp;CHAR(10)&amp;"Verifier: "&amp;IF(Checks!$AE$197="","____________",Checks!$AE$197)&amp;CHAR(10)&amp;"PIC: "&amp;IF(Checks!$T$197="","____________",Checks!$T$197))</f>
        <v>Done: ____________ KUL
Verifier: ____________
PIC: ____________</v>
      </c>
      <c r="H57" s="121" t="str">
        <f aca="false">IF(Checks!$AH$197="","",Checks!$AH$197)</f>
        <v>OPEN</v>
      </c>
    </row>
    <row r="58" customFormat="false" ht="114" hidden="false" customHeight="true" outlineLevel="0" collapsed="false">
      <c r="A58" s="120" t="str">
        <f aca="false">Checks!$A$198&amp;CHAR(10)&amp;IF(Checks!$I$198="","",Checks!$I$198&amp;": ")&amp;Checks!$J$198</f>
        <v>F06-UPL-02
Equipment: Equipment physically loaded at GLD positions - quantity &amp; positions</v>
      </c>
      <c r="B58" s="120" t="str">
        <f aca="false">Checks!$K$198&amp;IF(Checks!$O$198="","",IF(Checks!$K$198="","",CHAR(10))&amp;"Note: "&amp;Checks!$O$198)</f>
        <v>Enter expected &amp; actual
Note: Confirm on board before departure; completion time must fall inside the uplift window.</v>
      </c>
      <c r="C58" s="120" t="str">
        <f aca="false">Checks!$N$198&amp;CHAR(10)&amp;IF(ISNUMBER(Checks!$R$198),TEXT(Checks!$R$198,"DD-MMM-YY HH:MM"),"")&amp;" "&amp;Checks!$P$198</f>
        <v>Required
15-Oct-26 23:20 KUL</v>
      </c>
      <c r="D58" s="120" t="str">
        <f aca="false">IF(TRIM(Checks!$U$198)&lt;&gt;"",Checks!$U$198&amp;IF(Checks!$AB$198="","",CHAR(10)&amp;"CA: "&amp;Checks!$AB$198),IF(LEFT(Checks!$AH$198,10)="N/A – RULE","","[ ] Pass"&amp;CHAR(10)&amp;"[ ] Pass after CA"&amp;CHAR(10)&amp;"[ ] Fail"&amp;IF(Checks!$AT$198=1,CHAR(10)&amp;"[ ] N/A","")&amp;CHAR(10)&amp;"CA: Open / Closed"))</f>
        <v>[ ] Pass
[ ] Pass after CA
[ ] Fail
CA: Open / Closed</v>
      </c>
      <c r="E58" s="120" t="str">
        <f aca="false">IF(Checks!$V$198="","",Checks!$V$198)&amp;IF(Checks!$AC$198="","",IF(Checks!$V$198="","",CHAR(10))&amp;"N/A just.: "&amp;Checks!$AC$198)&amp;IF(OR(Checks!$W$198&lt;&gt;"",AND(Checks!$AQ$198=1,NOT(LEFT(Checks!$AH$198,10)="N/A – RULE"))),CHAR(10)&amp;"Batch: "&amp;IF(Checks!$W$198="","____________",Checks!$W$198),"")&amp;IF(OR(Checks!$X$198&lt;&gt;"",Checks!$Y$198&lt;&gt;"",AND(Checks!$AR$198=1,NOT(LEFT(Checks!$AH$198,10)="N/A – RULE"))),CHAR(10)&amp;"Exp: "&amp;IF(Checks!$X$198="","______",Checks!$X$198)&amp;"  /  Act: "&amp;IF(Checks!$Y$198="","______",Checks!$Y$198),"")</f>
        <v>
Exp: ______  /  Act: ______</v>
      </c>
      <c r="F58" s="120" t="str">
        <f aca="false">IF(AND(LEFT(Checks!$AH$198,10)="N/A – RULE",TRIM(Checks!$S$198&amp;Checks!$Z$198)=""),"","Type: "&amp;IF(TRIM(Checks!$S$198)="","______________ (see cover list)",Checks!$S$198)&amp;CHAR(10)&amp;"ID: "&amp;IF(TRIM(Checks!$Z$198)="","______________ (record's own no.)",Checks!$Z$198))&amp;IF(Checks!$AA$198="","",CHAR(10)&amp;"CA: "&amp;Checks!$AA$198)</f>
        <v>Type: ______________ (see cover list)
ID: ______________ (record's own no.)</v>
      </c>
      <c r="G58" s="120" t="str">
        <f aca="false">IF(AND(LEFT(Checks!$AH$198,10)="N/A – RULE",NOT(ISNUMBER(Checks!$AD$198)),Checks!$AE$198="",Checks!$T$198=""),"","Done: "&amp;IF(ISNUMBER(Checks!$AD$198),TEXT(Checks!$AD$198,"DD-MMM-YY HH:MM"),"____________")&amp;" "&amp;Checks!$P$198&amp;CHAR(10)&amp;"Verifier: "&amp;IF(Checks!$AE$198="","____________",Checks!$AE$198)&amp;CHAR(10)&amp;"PIC: "&amp;IF(Checks!$T$198="","____________",Checks!$T$198))</f>
        <v>Done: ____________ KUL
Verifier: ____________
PIC: ____________</v>
      </c>
      <c r="H58" s="121" t="str">
        <f aca="false">IF(Checks!$AH$198="","",Checks!$AH$198)</f>
        <v>OPEN</v>
      </c>
    </row>
    <row r="59" customFormat="false" ht="213" hidden="false" customHeight="true" outlineLevel="0" collapsed="false">
      <c r="A59" s="120" t="str">
        <f aca="false">Checks!$A$199&amp;CHAR(10)&amp;IF(Checks!$I$199="","",Checks!$I$199&amp;": ")&amp;Checks!$J$199</f>
        <v>F06-UPL-03
Amenities: Toiletry kits - on board</v>
      </c>
      <c r="B59" s="120" t="str">
        <f aca="false">SUBSTITUTE(SUBSTITUTE(Checks!$K$199&amp;IF(Checks!$O$199="","",IF(Checks!$K$199="","",CHAR(10))&amp;"Note: "&amp;Checks!$O$199),"A350 row AMENITIES!C12","The A350 row of the AMENITIES reference"),"(general row C11: uplift stn H11 = ","(general row: uplift stn ")</f>
        <v>Available (ticked in reference)
Note: The A350 row of the AMENITIES reference names LHR as the toiletry-kit uplift stn, but this leg departs KUL (general row: uplift stn KUL). Confirm where toiletry kits for this KUL-LHR BC leg are uplifted; if at LHR they travel on the inbound LHR-KUL sector and must be verified at KUL before this departure.</v>
      </c>
      <c r="C59" s="120" t="str">
        <f aca="false">Checks!$N$199&amp;CHAR(10)&amp;IF(ISNUMBER(Checks!$R$199),TEXT(Checks!$R$199,"DD-MMM-YY HH:MM"),"")&amp;" "&amp;Checks!$P$199</f>
        <v>Clarification required
15-Oct-26 23:20 KUL</v>
      </c>
      <c r="D59" s="120" t="str">
        <f aca="false">IF(TRIM(Checks!$U$199)&lt;&gt;"",Checks!$U$199&amp;IF(Checks!$AB$199="","",CHAR(10)&amp;"CA: "&amp;Checks!$AB$199),IF(LEFT(Checks!$AH$199,10)="N/A – RULE","","[ ] Pass"&amp;CHAR(10)&amp;"[ ] Pass after CA"&amp;CHAR(10)&amp;"[ ] Fail"&amp;IF(Checks!$AT$199=1,CHAR(10)&amp;"[ ] N/A","")&amp;CHAR(10)&amp;"CA: Open / Closed"))</f>
        <v>[ ] Pass
[ ] Pass after CA
[ ] Fail
[ ] N/A
CA: Open / Closed</v>
      </c>
      <c r="E59" s="120" t="str">
        <f aca="false">IF(Checks!$V$199="","",Checks!$V$199)&amp;IF(Checks!$AC$199="","",IF(Checks!$V$199="","",CHAR(10))&amp;"N/A just.: "&amp;Checks!$AC$199)&amp;IF(OR(Checks!$W$199&lt;&gt;"",AND(Checks!$AQ$199=1,NOT(LEFT(Checks!$AH$199,10)="N/A – RULE"))),CHAR(10)&amp;"Batch: "&amp;IF(Checks!$W$199="","____________",Checks!$W$199),"")&amp;IF(OR(Checks!$X$199&lt;&gt;"",Checks!$Y$199&lt;&gt;"",AND(Checks!$AR$199=1,NOT(LEFT(Checks!$AH$199,10)="N/A – RULE"))),CHAR(10)&amp;"Exp: "&amp;IF(Checks!$X$199="","______",Checks!$X$199)&amp;"  /  Act: "&amp;IF(Checks!$Y$199="","______",Checks!$Y$199),"")</f>
        <v/>
      </c>
      <c r="F59" s="120" t="str">
        <f aca="false">IF(AND(LEFT(Checks!$AH$199,10)="N/A – RULE",TRIM(Checks!$S$199&amp;Checks!$Z$199)=""),"","Type: "&amp;IF(TRIM(Checks!$S$199)="","______________ (see cover list)",Checks!$S$199)&amp;CHAR(10)&amp;"ID: "&amp;IF(TRIM(Checks!$Z$199)="","______________ (record's own no.)",Checks!$Z$199))&amp;IF(Checks!$AA$199="","",CHAR(10)&amp;"CA: "&amp;Checks!$AA$199)</f>
        <v>Type: ______________ (see cover list)
ID: ______________ (record's own no.)</v>
      </c>
      <c r="G59" s="120" t="str">
        <f aca="false">IF(AND(LEFT(Checks!$AH$199,10)="N/A – RULE",NOT(ISNUMBER(Checks!$AD$199)),Checks!$AE$199="",Checks!$T$199=""),"","Done: "&amp;IF(ISNUMBER(Checks!$AD$199),TEXT(Checks!$AD$199,"DD-MMM-YY HH:MM"),"____________")&amp;" "&amp;Checks!$P$199&amp;CHAR(10)&amp;"Verifier: "&amp;IF(Checks!$AE$199="","____________",Checks!$AE$199)&amp;CHAR(10)&amp;"PIC: "&amp;IF(Checks!$T$199="","____________",Checks!$T$199))</f>
        <v>Done: ____________ KUL
Verifier: ____________
PIC: ____________</v>
      </c>
      <c r="H59" s="121" t="str">
        <f aca="false">IF(Checks!$AH$199="","",Checks!$AH$199)</f>
        <v>OPEN – CLARIFICATION</v>
      </c>
    </row>
    <row r="60" customFormat="false" ht="114" hidden="false" customHeight="true" outlineLevel="0" collapsed="false">
      <c r="A60" s="120" t="str">
        <f aca="false">Checks!$A$200&amp;CHAR(10)&amp;IF(Checks!$I$200="","",Checks!$I$200&amp;": ")&amp;Checks!$J$200</f>
        <v>F06-UPL-04
Amenities: Pajamas (BC) - on board</v>
      </c>
      <c r="B60" s="120" t="str">
        <f aca="false">Checks!$K$200&amp;IF(Checks!$O$200="","",IF(Checks!$K$200="","",CHAR(10))&amp;"Note: "&amp;Checks!$O$200)</f>
        <v>Available - BC red-eye only
Note: Red-eye departure 2320 local.</v>
      </c>
      <c r="C60" s="120" t="str">
        <f aca="false">Checks!$N$200&amp;CHAR(10)&amp;IF(ISNUMBER(Checks!$R$200),TEXT(Checks!$R$200,"DD-MMM-YY HH:MM"),"")&amp;" "&amp;Checks!$P$200</f>
        <v>Required
15-Oct-26 23:20 KUL</v>
      </c>
      <c r="D60" s="120" t="str">
        <f aca="false">IF(TRIM(Checks!$U$200)&lt;&gt;"",Checks!$U$200&amp;IF(Checks!$AB$200="","",CHAR(10)&amp;"CA: "&amp;Checks!$AB$200),IF(LEFT(Checks!$AH$200,10)="N/A – RULE","","[ ] Pass"&amp;CHAR(10)&amp;"[ ] Pass after CA"&amp;CHAR(10)&amp;"[ ] Fail"&amp;IF(Checks!$AT$200=1,CHAR(10)&amp;"[ ] N/A","")&amp;CHAR(10)&amp;"CA: Open / Closed"))</f>
        <v>[ ] Pass
[ ] Pass after CA
[ ] Fail
CA: Open / Closed</v>
      </c>
      <c r="E60" s="120" t="str">
        <f aca="false">IF(Checks!$V$200="","",Checks!$V$200)&amp;IF(Checks!$AC$200="","",IF(Checks!$V$200="","",CHAR(10))&amp;"N/A just.: "&amp;Checks!$AC$200)&amp;IF(OR(Checks!$W$200&lt;&gt;"",AND(Checks!$AQ$200=1,NOT(LEFT(Checks!$AH$200,10)="N/A – RULE"))),CHAR(10)&amp;"Batch: "&amp;IF(Checks!$W$200="","____________",Checks!$W$200),"")&amp;IF(OR(Checks!$X$200&lt;&gt;"",Checks!$Y$200&lt;&gt;"",AND(Checks!$AR$200=1,NOT(LEFT(Checks!$AH$200,10)="N/A – RULE"))),CHAR(10)&amp;"Exp: "&amp;IF(Checks!$X$200="","______",Checks!$X$200)&amp;"  /  Act: "&amp;IF(Checks!$Y$200="","______",Checks!$Y$200),"")</f>
        <v/>
      </c>
      <c r="F60" s="120" t="str">
        <f aca="false">IF(AND(LEFT(Checks!$AH$200,10)="N/A – RULE",TRIM(Checks!$S$200&amp;Checks!$Z$200)=""),"","Type: "&amp;IF(TRIM(Checks!$S$200)="","______________ (see cover list)",Checks!$S$200)&amp;CHAR(10)&amp;"ID: "&amp;IF(TRIM(Checks!$Z$200)="","______________ (record's own no.)",Checks!$Z$200))&amp;IF(Checks!$AA$200="","",CHAR(10)&amp;"CA: "&amp;Checks!$AA$200)</f>
        <v>Type: ______________ (see cover list)
ID: ______________ (record's own no.)</v>
      </c>
      <c r="G60" s="120" t="str">
        <f aca="false">IF(AND(LEFT(Checks!$AH$200,10)="N/A – RULE",NOT(ISNUMBER(Checks!$AD$200)),Checks!$AE$200="",Checks!$T$200=""),"","Done: "&amp;IF(ISNUMBER(Checks!$AD$200),TEXT(Checks!$AD$200,"DD-MMM-YY HH:MM"),"____________")&amp;" "&amp;Checks!$P$200&amp;CHAR(10)&amp;"Verifier: "&amp;IF(Checks!$AE$200="","____________",Checks!$AE$200)&amp;CHAR(10)&amp;"PIC: "&amp;IF(Checks!$T$200="","____________",Checks!$T$200))</f>
        <v>Done: ____________ KUL
Verifier: ____________
PIC: ____________</v>
      </c>
      <c r="H60" s="121" t="str">
        <f aca="false">IF(Checks!$AH$200="","",Checks!$AH$200)</f>
        <v>OPEN</v>
      </c>
    </row>
    <row r="61" customFormat="false" ht="114" hidden="false" customHeight="true" outlineLevel="0" collapsed="false">
      <c r="A61" s="120" t="str">
        <f aca="false">Checks!$A$201&amp;CHAR(10)&amp;IF(Checks!$I$201="","",Checks!$I$201&amp;": ")&amp;Checks!$J$201</f>
        <v>F06-UPL-05
Amenities: Slippers (BS/BC) - on board</v>
      </c>
      <c r="B61" s="120" t="str">
        <f aca="false">Checks!$K$201&amp;IF(Checks!$O$201="","",IF(Checks!$K$201="","",CHAR(10))&amp;"Note: "&amp;Checks!$O$201)</f>
        <v>Available (ticked in reference)</v>
      </c>
      <c r="C61" s="120" t="str">
        <f aca="false">Checks!$N$201&amp;CHAR(10)&amp;IF(ISNUMBER(Checks!$R$201),TEXT(Checks!$R$201,"DD-MMM-YY HH:MM"),"")&amp;" "&amp;Checks!$P$201</f>
        <v>Required
15-Oct-26 23:20 KUL</v>
      </c>
      <c r="D61" s="120" t="str">
        <f aca="false">IF(TRIM(Checks!$U$201)&lt;&gt;"",Checks!$U$201&amp;IF(Checks!$AB$201="","",CHAR(10)&amp;"CA: "&amp;Checks!$AB$201),IF(LEFT(Checks!$AH$201,10)="N/A – RULE","","[ ] Pass"&amp;CHAR(10)&amp;"[ ] Pass after CA"&amp;CHAR(10)&amp;"[ ] Fail"&amp;IF(Checks!$AT$201=1,CHAR(10)&amp;"[ ] N/A","")&amp;CHAR(10)&amp;"CA: Open / Closed"))</f>
        <v>[ ] Pass
[ ] Pass after CA
[ ] Fail
CA: Open / Closed</v>
      </c>
      <c r="E61" s="120" t="str">
        <f aca="false">IF(Checks!$V$201="","",Checks!$V$201)&amp;IF(Checks!$AC$201="","",IF(Checks!$V$201="","",CHAR(10))&amp;"N/A just.: "&amp;Checks!$AC$201)&amp;IF(OR(Checks!$W$201&lt;&gt;"",AND(Checks!$AQ$201=1,NOT(LEFT(Checks!$AH$201,10)="N/A – RULE"))),CHAR(10)&amp;"Batch: "&amp;IF(Checks!$W$201="","____________",Checks!$W$201),"")&amp;IF(OR(Checks!$X$201&lt;&gt;"",Checks!$Y$201&lt;&gt;"",AND(Checks!$AR$201=1,NOT(LEFT(Checks!$AH$201,10)="N/A – RULE"))),CHAR(10)&amp;"Exp: "&amp;IF(Checks!$X$201="","______",Checks!$X$201)&amp;"  /  Act: "&amp;IF(Checks!$Y$201="","______",Checks!$Y$201),"")</f>
        <v/>
      </c>
      <c r="F61" s="120" t="str">
        <f aca="false">IF(AND(LEFT(Checks!$AH$201,10)="N/A – RULE",TRIM(Checks!$S$201&amp;Checks!$Z$201)=""),"","Type: "&amp;IF(TRIM(Checks!$S$201)="","______________ (see cover list)",Checks!$S$201)&amp;CHAR(10)&amp;"ID: "&amp;IF(TRIM(Checks!$Z$201)="","______________ (record's own no.)",Checks!$Z$201))&amp;IF(Checks!$AA$201="","",CHAR(10)&amp;"CA: "&amp;Checks!$AA$201)</f>
        <v>Type: ______________ (see cover list)
ID: ______________ (record's own no.)</v>
      </c>
      <c r="G61" s="120" t="str">
        <f aca="false">IF(AND(LEFT(Checks!$AH$201,10)="N/A – RULE",NOT(ISNUMBER(Checks!$AD$201)),Checks!$AE$201="",Checks!$T$201=""),"","Done: "&amp;IF(ISNUMBER(Checks!$AD$201),TEXT(Checks!$AD$201,"DD-MMM-YY HH:MM"),"____________")&amp;" "&amp;Checks!$P$201&amp;CHAR(10)&amp;"Verifier: "&amp;IF(Checks!$AE$201="","____________",Checks!$AE$201)&amp;CHAR(10)&amp;"PIC: "&amp;IF(Checks!$T$201="","____________",Checks!$T$201))</f>
        <v>Done: ____________ KUL
Verifier: ____________
PIC: ____________</v>
      </c>
      <c r="H61" s="121" t="str">
        <f aca="false">IF(Checks!$AH$201="","",Checks!$AH$201)</f>
        <v>OPEN</v>
      </c>
    </row>
    <row r="62" customFormat="false" ht="114" hidden="false" customHeight="true" outlineLevel="0" collapsed="false">
      <c r="A62" s="120" t="str">
        <f aca="false">Checks!$A$202&amp;CHAR(10)&amp;IF(Checks!$I$202="","",Checks!$I$202&amp;": ")&amp;Checks!$J$202</f>
        <v>F06-UPL-06
F&amp;B Linen: Towel - on board</v>
      </c>
      <c r="B62" s="120" t="str">
        <f aca="false">Checks!$K$202&amp;IF(Checks!$O$202="","",IF(Checks!$K$202="","",CHAR(10))&amp;"Note: "&amp;Checks!$O$202)</f>
        <v>Available (ticked in reference)</v>
      </c>
      <c r="C62" s="120" t="str">
        <f aca="false">Checks!$N$202&amp;CHAR(10)&amp;IF(ISNUMBER(Checks!$R$202),TEXT(Checks!$R$202,"DD-MMM-YY HH:MM"),"")&amp;" "&amp;Checks!$P$202</f>
        <v>Required
15-Oct-26 23:20 KUL</v>
      </c>
      <c r="D62" s="120" t="str">
        <f aca="false">IF(TRIM(Checks!$U$202)&lt;&gt;"",Checks!$U$202&amp;IF(Checks!$AB$202="","",CHAR(10)&amp;"CA: "&amp;Checks!$AB$202),IF(LEFT(Checks!$AH$202,10)="N/A – RULE","","[ ] Pass"&amp;CHAR(10)&amp;"[ ] Pass after CA"&amp;CHAR(10)&amp;"[ ] Fail"&amp;IF(Checks!$AT$202=1,CHAR(10)&amp;"[ ] N/A","")&amp;CHAR(10)&amp;"CA: Open / Closed"))</f>
        <v>[ ] Pass
[ ] Pass after CA
[ ] Fail
CA: Open / Closed</v>
      </c>
      <c r="E62" s="120" t="str">
        <f aca="false">IF(Checks!$V$202="","",Checks!$V$202)&amp;IF(Checks!$AC$202="","",IF(Checks!$V$202="","",CHAR(10))&amp;"N/A just.: "&amp;Checks!$AC$202)&amp;IF(OR(Checks!$W$202&lt;&gt;"",AND(Checks!$AQ$202=1,NOT(LEFT(Checks!$AH$202,10)="N/A – RULE"))),CHAR(10)&amp;"Batch: "&amp;IF(Checks!$W$202="","____________",Checks!$W$202),"")&amp;IF(OR(Checks!$X$202&lt;&gt;"",Checks!$Y$202&lt;&gt;"",AND(Checks!$AR$202=1,NOT(LEFT(Checks!$AH$202,10)="N/A – RULE"))),CHAR(10)&amp;"Exp: "&amp;IF(Checks!$X$202="","______",Checks!$X$202)&amp;"  /  Act: "&amp;IF(Checks!$Y$202="","______",Checks!$Y$202),"")</f>
        <v/>
      </c>
      <c r="F62" s="120" t="str">
        <f aca="false">IF(AND(LEFT(Checks!$AH$202,10)="N/A – RULE",TRIM(Checks!$S$202&amp;Checks!$Z$202)=""),"","Type: "&amp;IF(TRIM(Checks!$S$202)="","______________ (see cover list)",Checks!$S$202)&amp;CHAR(10)&amp;"ID: "&amp;IF(TRIM(Checks!$Z$202)="","______________ (record's own no.)",Checks!$Z$202))&amp;IF(Checks!$AA$202="","",CHAR(10)&amp;"CA: "&amp;Checks!$AA$202)</f>
        <v>Type: ______________ (see cover list)
ID: ______________ (record's own no.)</v>
      </c>
      <c r="G62" s="120" t="str">
        <f aca="false">IF(AND(LEFT(Checks!$AH$202,10)="N/A – RULE",NOT(ISNUMBER(Checks!$AD$202)),Checks!$AE$202="",Checks!$T$202=""),"","Done: "&amp;IF(ISNUMBER(Checks!$AD$202),TEXT(Checks!$AD$202,"DD-MMM-YY HH:MM"),"____________")&amp;" "&amp;Checks!$P$202&amp;CHAR(10)&amp;"Verifier: "&amp;IF(Checks!$AE$202="","____________",Checks!$AE$202)&amp;CHAR(10)&amp;"PIC: "&amp;IF(Checks!$T$202="","____________",Checks!$T$202))</f>
        <v>Done: ____________ KUL
Verifier: ____________
PIC: ____________</v>
      </c>
      <c r="H62" s="121" t="str">
        <f aca="false">IF(Checks!$AH$202="","",Checks!$AH$202)</f>
        <v>OPEN</v>
      </c>
    </row>
    <row r="63" customFormat="false" ht="114" hidden="false" customHeight="true" outlineLevel="0" collapsed="false">
      <c r="A63" s="120" t="str">
        <f aca="false">Checks!$A$203&amp;CHAR(10)&amp;IF(Checks!$I$203="","",Checks!$I$203&amp;": ")&amp;Checks!$J$203</f>
        <v>F06-UPL-07
F&amp;B Linen: Tray cloth - on board</v>
      </c>
      <c r="B63" s="120" t="str">
        <f aca="false">Checks!$K$203&amp;IF(Checks!$O$203="","",IF(Checks!$K$203="","",CHAR(10))&amp;"Note: "&amp;Checks!$O$203)</f>
        <v>Available (ticked in reference)</v>
      </c>
      <c r="C63" s="120" t="str">
        <f aca="false">Checks!$N$203&amp;CHAR(10)&amp;IF(ISNUMBER(Checks!$R$203),TEXT(Checks!$R$203,"DD-MMM-YY HH:MM"),"")&amp;" "&amp;Checks!$P$203</f>
        <v>Required
15-Oct-26 23:20 KUL</v>
      </c>
      <c r="D63" s="120" t="str">
        <f aca="false">IF(TRIM(Checks!$U$203)&lt;&gt;"",Checks!$U$203&amp;IF(Checks!$AB$203="","",CHAR(10)&amp;"CA: "&amp;Checks!$AB$203),IF(LEFT(Checks!$AH$203,10)="N/A – RULE","","[ ] Pass"&amp;CHAR(10)&amp;"[ ] Pass after CA"&amp;CHAR(10)&amp;"[ ] Fail"&amp;IF(Checks!$AT$203=1,CHAR(10)&amp;"[ ] N/A","")&amp;CHAR(10)&amp;"CA: Open / Closed"))</f>
        <v>[ ] Pass
[ ] Pass after CA
[ ] Fail
CA: Open / Closed</v>
      </c>
      <c r="E63" s="120" t="str">
        <f aca="false">IF(Checks!$V$203="","",Checks!$V$203)&amp;IF(Checks!$AC$203="","",IF(Checks!$V$203="","",CHAR(10))&amp;"N/A just.: "&amp;Checks!$AC$203)&amp;IF(OR(Checks!$W$203&lt;&gt;"",AND(Checks!$AQ$203=1,NOT(LEFT(Checks!$AH$203,10)="N/A – RULE"))),CHAR(10)&amp;"Batch: "&amp;IF(Checks!$W$203="","____________",Checks!$W$203),"")&amp;IF(OR(Checks!$X$203&lt;&gt;"",Checks!$Y$203&lt;&gt;"",AND(Checks!$AR$203=1,NOT(LEFT(Checks!$AH$203,10)="N/A – RULE"))),CHAR(10)&amp;"Exp: "&amp;IF(Checks!$X$203="","______",Checks!$X$203)&amp;"  /  Act: "&amp;IF(Checks!$Y$203="","______",Checks!$Y$203),"")</f>
        <v/>
      </c>
      <c r="F63" s="120" t="str">
        <f aca="false">IF(AND(LEFT(Checks!$AH$203,10)="N/A – RULE",TRIM(Checks!$S$203&amp;Checks!$Z$203)=""),"","Type: "&amp;IF(TRIM(Checks!$S$203)="","______________ (see cover list)",Checks!$S$203)&amp;CHAR(10)&amp;"ID: "&amp;IF(TRIM(Checks!$Z$203)="","______________ (record's own no.)",Checks!$Z$203))&amp;IF(Checks!$AA$203="","",CHAR(10)&amp;"CA: "&amp;Checks!$AA$203)</f>
        <v>Type: ______________ (see cover list)
ID: ______________ (record's own no.)</v>
      </c>
      <c r="G63" s="120" t="str">
        <f aca="false">IF(AND(LEFT(Checks!$AH$203,10)="N/A – RULE",NOT(ISNUMBER(Checks!$AD$203)),Checks!$AE$203="",Checks!$T$203=""),"","Done: "&amp;IF(ISNUMBER(Checks!$AD$203),TEXT(Checks!$AD$203,"DD-MMM-YY HH:MM"),"____________")&amp;" "&amp;Checks!$P$203&amp;CHAR(10)&amp;"Verifier: "&amp;IF(Checks!$AE$203="","____________",Checks!$AE$203)&amp;CHAR(10)&amp;"PIC: "&amp;IF(Checks!$T$203="","____________",Checks!$T$203))</f>
        <v>Done: ____________ KUL
Verifier: ____________
PIC: ____________</v>
      </c>
      <c r="H63" s="121" t="str">
        <f aca="false">IF(Checks!$AH$203="","",Checks!$AH$203)</f>
        <v>OPEN</v>
      </c>
    </row>
    <row r="64" customFormat="false" ht="114" hidden="false" customHeight="true" outlineLevel="0" collapsed="false">
      <c r="A64" s="120" t="str">
        <f aca="false">Checks!$A$204&amp;CHAR(10)&amp;IF(Checks!$I$204="","",Checks!$I$204&amp;": ")&amp;Checks!$J$204</f>
        <v>F06-UPL-08
F&amp;B Linen: Napkin - on board</v>
      </c>
      <c r="B64" s="120" t="str">
        <f aca="false">Checks!$K$204&amp;IF(Checks!$O$204="","",IF(Checks!$K$204="","",CHAR(10))&amp;"Note: "&amp;Checks!$O$204)</f>
        <v>Available (ticked in reference)</v>
      </c>
      <c r="C64" s="120" t="str">
        <f aca="false">Checks!$N$204&amp;CHAR(10)&amp;IF(ISNUMBER(Checks!$R$204),TEXT(Checks!$R$204,"DD-MMM-YY HH:MM"),"")&amp;" "&amp;Checks!$P$204</f>
        <v>Required
15-Oct-26 23:20 KUL</v>
      </c>
      <c r="D64" s="120" t="str">
        <f aca="false">IF(TRIM(Checks!$U$204)&lt;&gt;"",Checks!$U$204&amp;IF(Checks!$AB$204="","",CHAR(10)&amp;"CA: "&amp;Checks!$AB$204),IF(LEFT(Checks!$AH$204,10)="N/A – RULE","","[ ] Pass"&amp;CHAR(10)&amp;"[ ] Pass after CA"&amp;CHAR(10)&amp;"[ ] Fail"&amp;IF(Checks!$AT$204=1,CHAR(10)&amp;"[ ] N/A","")&amp;CHAR(10)&amp;"CA: Open / Closed"))</f>
        <v>[ ] Pass
[ ] Pass after CA
[ ] Fail
CA: Open / Closed</v>
      </c>
      <c r="E64" s="120" t="str">
        <f aca="false">IF(Checks!$V$204="","",Checks!$V$204)&amp;IF(Checks!$AC$204="","",IF(Checks!$V$204="","",CHAR(10))&amp;"N/A just.: "&amp;Checks!$AC$204)&amp;IF(OR(Checks!$W$204&lt;&gt;"",AND(Checks!$AQ$204=1,NOT(LEFT(Checks!$AH$204,10)="N/A – RULE"))),CHAR(10)&amp;"Batch: "&amp;IF(Checks!$W$204="","____________",Checks!$W$204),"")&amp;IF(OR(Checks!$X$204&lt;&gt;"",Checks!$Y$204&lt;&gt;"",AND(Checks!$AR$204=1,NOT(LEFT(Checks!$AH$204,10)="N/A – RULE"))),CHAR(10)&amp;"Exp: "&amp;IF(Checks!$X$204="","______",Checks!$X$204)&amp;"  /  Act: "&amp;IF(Checks!$Y$204="","______",Checks!$Y$204),"")</f>
        <v/>
      </c>
      <c r="F64" s="120" t="str">
        <f aca="false">IF(AND(LEFT(Checks!$AH$204,10)="N/A – RULE",TRIM(Checks!$S$204&amp;Checks!$Z$204)=""),"","Type: "&amp;IF(TRIM(Checks!$S$204)="","______________ (see cover list)",Checks!$S$204)&amp;CHAR(10)&amp;"ID: "&amp;IF(TRIM(Checks!$Z$204)="","______________ (record's own no.)",Checks!$Z$204))&amp;IF(Checks!$AA$204="","",CHAR(10)&amp;"CA: "&amp;Checks!$AA$204)</f>
        <v>Type: ______________ (see cover list)
ID: ______________ (record's own no.)</v>
      </c>
      <c r="G64" s="120" t="str">
        <f aca="false">IF(AND(LEFT(Checks!$AH$204,10)="N/A – RULE",NOT(ISNUMBER(Checks!$AD$204)),Checks!$AE$204="",Checks!$T$204=""),"","Done: "&amp;IF(ISNUMBER(Checks!$AD$204),TEXT(Checks!$AD$204,"DD-MMM-YY HH:MM"),"____________")&amp;" "&amp;Checks!$P$204&amp;CHAR(10)&amp;"Verifier: "&amp;IF(Checks!$AE$204="","____________",Checks!$AE$204)&amp;CHAR(10)&amp;"PIC: "&amp;IF(Checks!$T$204="","____________",Checks!$T$204))</f>
        <v>Done: ____________ KUL
Verifier: ____________
PIC: ____________</v>
      </c>
      <c r="H64" s="121" t="str">
        <f aca="false">IF(Checks!$AH$204="","",Checks!$AH$204)</f>
        <v>OPEN</v>
      </c>
    </row>
    <row r="65" customFormat="false" ht="114" hidden="false" customHeight="true" outlineLevel="0" collapsed="false">
      <c r="A65" s="120" t="str">
        <f aca="false">Checks!$A$205&amp;CHAR(10)&amp;IF(Checks!$I$205="","",Checks!$I$205&amp;": ")&amp;Checks!$J$205</f>
        <v>F06-UPL-09
F&amp;B Linen: Table cloth - on board</v>
      </c>
      <c r="B65" s="120" t="str">
        <f aca="false">Checks!$K$205&amp;IF(Checks!$O$205="","",IF(Checks!$K$205="","",CHAR(10))&amp;"Note: "&amp;Checks!$O$205)</f>
        <v>Available (ticked in reference)</v>
      </c>
      <c r="C65" s="120" t="str">
        <f aca="false">Checks!$N$205&amp;CHAR(10)&amp;IF(ISNUMBER(Checks!$R$205),TEXT(Checks!$R$205,"DD-MMM-YY HH:MM"),"")&amp;" "&amp;Checks!$P$205</f>
        <v>Required
15-Oct-26 23:20 KUL</v>
      </c>
      <c r="D65" s="120" t="str">
        <f aca="false">IF(TRIM(Checks!$U$205)&lt;&gt;"",Checks!$U$205&amp;IF(Checks!$AB$205="","",CHAR(10)&amp;"CA: "&amp;Checks!$AB$205),IF(LEFT(Checks!$AH$205,10)="N/A – RULE","","[ ] Pass"&amp;CHAR(10)&amp;"[ ] Pass after CA"&amp;CHAR(10)&amp;"[ ] Fail"&amp;IF(Checks!$AT$205=1,CHAR(10)&amp;"[ ] N/A","")&amp;CHAR(10)&amp;"CA: Open / Closed"))</f>
        <v>[ ] Pass
[ ] Pass after CA
[ ] Fail
CA: Open / Closed</v>
      </c>
      <c r="E65" s="120" t="str">
        <f aca="false">IF(Checks!$V$205="","",Checks!$V$205)&amp;IF(Checks!$AC$205="","",IF(Checks!$V$205="","",CHAR(10))&amp;"N/A just.: "&amp;Checks!$AC$205)&amp;IF(OR(Checks!$W$205&lt;&gt;"",AND(Checks!$AQ$205=1,NOT(LEFT(Checks!$AH$205,10)="N/A – RULE"))),CHAR(10)&amp;"Batch: "&amp;IF(Checks!$W$205="","____________",Checks!$W$205),"")&amp;IF(OR(Checks!$X$205&lt;&gt;"",Checks!$Y$205&lt;&gt;"",AND(Checks!$AR$205=1,NOT(LEFT(Checks!$AH$205,10)="N/A – RULE"))),CHAR(10)&amp;"Exp: "&amp;IF(Checks!$X$205="","______",Checks!$X$205)&amp;"  /  Act: "&amp;IF(Checks!$Y$205="","______",Checks!$Y$205),"")</f>
        <v/>
      </c>
      <c r="F65" s="120" t="str">
        <f aca="false">IF(AND(LEFT(Checks!$AH$205,10)="N/A – RULE",TRIM(Checks!$S$205&amp;Checks!$Z$205)=""),"","Type: "&amp;IF(TRIM(Checks!$S$205)="","______________ (see cover list)",Checks!$S$205)&amp;CHAR(10)&amp;"ID: "&amp;IF(TRIM(Checks!$Z$205)="","______________ (record's own no.)",Checks!$Z$205))&amp;IF(Checks!$AA$205="","",CHAR(10)&amp;"CA: "&amp;Checks!$AA$205)</f>
        <v>Type: ______________ (see cover list)
ID: ______________ (record's own no.)</v>
      </c>
      <c r="G65" s="120" t="str">
        <f aca="false">IF(AND(LEFT(Checks!$AH$205,10)="N/A – RULE",NOT(ISNUMBER(Checks!$AD$205)),Checks!$AE$205="",Checks!$T$205=""),"","Done: "&amp;IF(ISNUMBER(Checks!$AD$205),TEXT(Checks!$AD$205,"DD-MMM-YY HH:MM"),"____________")&amp;" "&amp;Checks!$P$205&amp;CHAR(10)&amp;"Verifier: "&amp;IF(Checks!$AE$205="","____________",Checks!$AE$205)&amp;CHAR(10)&amp;"PIC: "&amp;IF(Checks!$T$205="","____________",Checks!$T$205))</f>
        <v>Done: ____________ KUL
Verifier: ____________
PIC: ____________</v>
      </c>
      <c r="H65" s="121" t="str">
        <f aca="false">IF(Checks!$AH$205="","",Checks!$AH$205)</f>
        <v>OPEN</v>
      </c>
    </row>
    <row r="66" customFormat="false" ht="114" hidden="false" customHeight="true" outlineLevel="0" collapsed="false">
      <c r="A66" s="120" t="str">
        <f aca="false">Checks!$A$206&amp;CHAR(10)&amp;IF(Checks!$I$206="","",Checks!$I$206&amp;": ")&amp;Checks!$J$206</f>
        <v>F06-UPL-10
F&amp;B Linen: Bread linen (using table cloth) - on board</v>
      </c>
      <c r="B66" s="120" t="str">
        <f aca="false">Checks!$K$206&amp;IF(Checks!$O$206="","",IF(Checks!$K$206="","",CHAR(10))&amp;"Note: "&amp;Checks!$O$206)</f>
        <v>Available (ticked in reference)</v>
      </c>
      <c r="C66" s="120" t="str">
        <f aca="false">Checks!$N$206&amp;CHAR(10)&amp;IF(ISNUMBER(Checks!$R$206),TEXT(Checks!$R$206,"DD-MMM-YY HH:MM"),"")&amp;" "&amp;Checks!$P$206</f>
        <v>Required
15-Oct-26 23:20 KUL</v>
      </c>
      <c r="D66" s="120" t="str">
        <f aca="false">IF(TRIM(Checks!$U$206)&lt;&gt;"",Checks!$U$206&amp;IF(Checks!$AB$206="","",CHAR(10)&amp;"CA: "&amp;Checks!$AB$206),IF(LEFT(Checks!$AH$206,10)="N/A – RULE","","[ ] Pass"&amp;CHAR(10)&amp;"[ ] Pass after CA"&amp;CHAR(10)&amp;"[ ] Fail"&amp;IF(Checks!$AT$206=1,CHAR(10)&amp;"[ ] N/A","")&amp;CHAR(10)&amp;"CA: Open / Closed"))</f>
        <v>[ ] Pass
[ ] Pass after CA
[ ] Fail
CA: Open / Closed</v>
      </c>
      <c r="E66" s="120" t="str">
        <f aca="false">IF(Checks!$V$206="","",Checks!$V$206)&amp;IF(Checks!$AC$206="","",IF(Checks!$V$206="","",CHAR(10))&amp;"N/A just.: "&amp;Checks!$AC$206)&amp;IF(OR(Checks!$W$206&lt;&gt;"",AND(Checks!$AQ$206=1,NOT(LEFT(Checks!$AH$206,10)="N/A – RULE"))),CHAR(10)&amp;"Batch: "&amp;IF(Checks!$W$206="","____________",Checks!$W$206),"")&amp;IF(OR(Checks!$X$206&lt;&gt;"",Checks!$Y$206&lt;&gt;"",AND(Checks!$AR$206=1,NOT(LEFT(Checks!$AH$206,10)="N/A – RULE"))),CHAR(10)&amp;"Exp: "&amp;IF(Checks!$X$206="","______",Checks!$X$206)&amp;"  /  Act: "&amp;IF(Checks!$Y$206="","______",Checks!$Y$206),"")</f>
        <v/>
      </c>
      <c r="F66" s="120" t="str">
        <f aca="false">IF(AND(LEFT(Checks!$AH$206,10)="N/A – RULE",TRIM(Checks!$S$206&amp;Checks!$Z$206)=""),"","Type: "&amp;IF(TRIM(Checks!$S$206)="","______________ (see cover list)",Checks!$S$206)&amp;CHAR(10)&amp;"ID: "&amp;IF(TRIM(Checks!$Z$206)="","______________ (record's own no.)",Checks!$Z$206))&amp;IF(Checks!$AA$206="","",CHAR(10)&amp;"CA: "&amp;Checks!$AA$206)</f>
        <v>Type: ______________ (see cover list)
ID: ______________ (record's own no.)</v>
      </c>
      <c r="G66" s="120" t="str">
        <f aca="false">IF(AND(LEFT(Checks!$AH$206,10)="N/A – RULE",NOT(ISNUMBER(Checks!$AD$206)),Checks!$AE$206="",Checks!$T$206=""),"","Done: "&amp;IF(ISNUMBER(Checks!$AD$206),TEXT(Checks!$AD$206,"DD-MMM-YY HH:MM"),"____________")&amp;" "&amp;Checks!$P$206&amp;CHAR(10)&amp;"Verifier: "&amp;IF(Checks!$AE$206="","____________",Checks!$AE$206)&amp;CHAR(10)&amp;"PIC: "&amp;IF(Checks!$T$206="","____________",Checks!$T$206))</f>
        <v>Done: ____________ KUL
Verifier: ____________
PIC: ____________</v>
      </c>
      <c r="H66" s="121" t="str">
        <f aca="false">IF(Checks!$AH$206="","",Checks!$AH$206)</f>
        <v>OPEN</v>
      </c>
    </row>
    <row r="67" customFormat="false" ht="114" hidden="false" customHeight="true" outlineLevel="0" collapsed="false">
      <c r="A67" s="120" t="str">
        <f aca="false">Checks!$A$207&amp;CHAR(10)&amp;IF(Checks!$I$207="","",Checks!$I$207&amp;": ")&amp;Checks!$J$207</f>
        <v>F06-UPL-11
F&amp;B Linen: Trolley cloth - on board</v>
      </c>
      <c r="B67" s="120" t="str">
        <f aca="false">SUBSTITUTE(SUBSTITUTE(Checks!$K$207&amp;IF(Checks!$O$207="","",IF(Checks!$K$207="","",CHAR(10))&amp;"Note: "&amp;Checks!$O$207),"Per note F&amp;B LINEN!B79:C80.","Per the F&amp;B LINEN reference note."),"note F&amp;B LINEN!B79:C80","the F&amp;B LINEN reference note")</f>
        <v>Wide body: Top/Middle &amp; Bottom
Note: Per the F&amp;B LINEN reference note.</v>
      </c>
      <c r="C67" s="120" t="str">
        <f aca="false">Checks!$N$207&amp;CHAR(10)&amp;IF(ISNUMBER(Checks!$R$207),TEXT(Checks!$R$207,"DD-MMM-YY HH:MM"),"")&amp;" "&amp;Checks!$P$207</f>
        <v>Required
15-Oct-26 23:20 KUL</v>
      </c>
      <c r="D67" s="120" t="str">
        <f aca="false">IF(TRIM(Checks!$U$207)&lt;&gt;"",Checks!$U$207&amp;IF(Checks!$AB$207="","",CHAR(10)&amp;"CA: "&amp;Checks!$AB$207),IF(LEFT(Checks!$AH$207,10)="N/A – RULE","","[ ] Pass"&amp;CHAR(10)&amp;"[ ] Pass after CA"&amp;CHAR(10)&amp;"[ ] Fail"&amp;IF(Checks!$AT$207=1,CHAR(10)&amp;"[ ] N/A","")&amp;CHAR(10)&amp;"CA: Open / Closed"))</f>
        <v>[ ] Pass
[ ] Pass after CA
[ ] Fail
CA: Open / Closed</v>
      </c>
      <c r="E67" s="120" t="str">
        <f aca="false">IF(Checks!$V$207="","",Checks!$V$207)&amp;IF(Checks!$AC$207="","",IF(Checks!$V$207="","",CHAR(10))&amp;"N/A just.: "&amp;Checks!$AC$207)&amp;IF(OR(Checks!$W$207&lt;&gt;"",AND(Checks!$AQ$207=1,NOT(LEFT(Checks!$AH$207,10)="N/A – RULE"))),CHAR(10)&amp;"Batch: "&amp;IF(Checks!$W$207="","____________",Checks!$W$207),"")&amp;IF(OR(Checks!$X$207&lt;&gt;"",Checks!$Y$207&lt;&gt;"",AND(Checks!$AR$207=1,NOT(LEFT(Checks!$AH$207,10)="N/A – RULE"))),CHAR(10)&amp;"Exp: "&amp;IF(Checks!$X$207="","______",Checks!$X$207)&amp;"  /  Act: "&amp;IF(Checks!$Y$207="","______",Checks!$Y$207),"")</f>
        <v/>
      </c>
      <c r="F67" s="120" t="str">
        <f aca="false">IF(AND(LEFT(Checks!$AH$207,10)="N/A – RULE",TRIM(Checks!$S$207&amp;Checks!$Z$207)=""),"","Type: "&amp;IF(TRIM(Checks!$S$207)="","______________ (see cover list)",Checks!$S$207)&amp;CHAR(10)&amp;"ID: "&amp;IF(TRIM(Checks!$Z$207)="","______________ (record's own no.)",Checks!$Z$207))&amp;IF(Checks!$AA$207="","",CHAR(10)&amp;"CA: "&amp;Checks!$AA$207)</f>
        <v>Type: ______________ (see cover list)
ID: ______________ (record's own no.)</v>
      </c>
      <c r="G67" s="120" t="str">
        <f aca="false">IF(AND(LEFT(Checks!$AH$207,10)="N/A – RULE",NOT(ISNUMBER(Checks!$AD$207)),Checks!$AE$207="",Checks!$T$207=""),"","Done: "&amp;IF(ISNUMBER(Checks!$AD$207),TEXT(Checks!$AD$207,"DD-MMM-YY HH:MM"),"____________")&amp;" "&amp;Checks!$P$207&amp;CHAR(10)&amp;"Verifier: "&amp;IF(Checks!$AE$207="","____________",Checks!$AE$207)&amp;CHAR(10)&amp;"PIC: "&amp;IF(Checks!$T$207="","____________",Checks!$T$207))</f>
        <v>Done: ____________ KUL
Verifier: ____________
PIC: ____________</v>
      </c>
      <c r="H67" s="121" t="str">
        <f aca="false">IF(Checks!$AH$207="","",Checks!$AH$207)</f>
        <v>OPEN</v>
      </c>
    </row>
    <row r="68" customFormat="false" ht="114" hidden="false" customHeight="true" outlineLevel="0" collapsed="false">
      <c r="A68" s="120" t="str">
        <f aca="false">Checks!$A$208&amp;CHAR(10)&amp;IF(Checks!$I$208="","",Checks!$I$208&amp;": ")&amp;Checks!$J$208</f>
        <v>F06-UPL-12
F&amp;B Linen: Linen bag - on board</v>
      </c>
      <c r="B68" s="120" t="str">
        <f aca="false">Checks!$K$208&amp;IF(Checks!$O$208="","",IF(Checks!$K$208="","",CHAR(10))&amp;"Note: "&amp;Checks!$O$208)</f>
        <v>Available (ticked in reference)</v>
      </c>
      <c r="C68" s="120" t="str">
        <f aca="false">Checks!$N$208&amp;CHAR(10)&amp;IF(ISNUMBER(Checks!$R$208),TEXT(Checks!$R$208,"DD-MMM-YY HH:MM"),"")&amp;" "&amp;Checks!$P$208</f>
        <v>Required
15-Oct-26 23:20 KUL</v>
      </c>
      <c r="D68" s="120" t="str">
        <f aca="false">IF(TRIM(Checks!$U$208)&lt;&gt;"",Checks!$U$208&amp;IF(Checks!$AB$208="","",CHAR(10)&amp;"CA: "&amp;Checks!$AB$208),IF(LEFT(Checks!$AH$208,10)="N/A – RULE","","[ ] Pass"&amp;CHAR(10)&amp;"[ ] Pass after CA"&amp;CHAR(10)&amp;"[ ] Fail"&amp;IF(Checks!$AT$208=1,CHAR(10)&amp;"[ ] N/A","")&amp;CHAR(10)&amp;"CA: Open / Closed"))</f>
        <v>[ ] Pass
[ ] Pass after CA
[ ] Fail
CA: Open / Closed</v>
      </c>
      <c r="E68" s="120" t="str">
        <f aca="false">IF(Checks!$V$208="","",Checks!$V$208)&amp;IF(Checks!$AC$208="","",IF(Checks!$V$208="","",CHAR(10))&amp;"N/A just.: "&amp;Checks!$AC$208)&amp;IF(OR(Checks!$W$208&lt;&gt;"",AND(Checks!$AQ$208=1,NOT(LEFT(Checks!$AH$208,10)="N/A – RULE"))),CHAR(10)&amp;"Batch: "&amp;IF(Checks!$W$208="","____________",Checks!$W$208),"")&amp;IF(OR(Checks!$X$208&lt;&gt;"",Checks!$Y$208&lt;&gt;"",AND(Checks!$AR$208=1,NOT(LEFT(Checks!$AH$208,10)="N/A – RULE"))),CHAR(10)&amp;"Exp: "&amp;IF(Checks!$X$208="","______",Checks!$X$208)&amp;"  /  Act: "&amp;IF(Checks!$Y$208="","______",Checks!$Y$208),"")</f>
        <v/>
      </c>
      <c r="F68" s="120" t="str">
        <f aca="false">IF(AND(LEFT(Checks!$AH$208,10)="N/A – RULE",TRIM(Checks!$S$208&amp;Checks!$Z$208)=""),"","Type: "&amp;IF(TRIM(Checks!$S$208)="","______________ (see cover list)",Checks!$S$208)&amp;CHAR(10)&amp;"ID: "&amp;IF(TRIM(Checks!$Z$208)="","______________ (record's own no.)",Checks!$Z$208))&amp;IF(Checks!$AA$208="","",CHAR(10)&amp;"CA: "&amp;Checks!$AA$208)</f>
        <v>Type: ______________ (see cover list)
ID: ______________ (record's own no.)</v>
      </c>
      <c r="G68" s="120" t="str">
        <f aca="false">IF(AND(LEFT(Checks!$AH$208,10)="N/A – RULE",NOT(ISNUMBER(Checks!$AD$208)),Checks!$AE$208="",Checks!$T$208=""),"","Done: "&amp;IF(ISNUMBER(Checks!$AD$208),TEXT(Checks!$AD$208,"DD-MMM-YY HH:MM"),"____________")&amp;" "&amp;Checks!$P$208&amp;CHAR(10)&amp;"Verifier: "&amp;IF(Checks!$AE$208="","____________",Checks!$AE$208)&amp;CHAR(10)&amp;"PIC: "&amp;IF(Checks!$T$208="","____________",Checks!$T$208))</f>
        <v>Done: ____________ KUL
Verifier: ____________
PIC: ____________</v>
      </c>
      <c r="H68" s="121" t="str">
        <f aca="false">IF(Checks!$AH$208="","",Checks!$AH$208)</f>
        <v>OPEN</v>
      </c>
    </row>
    <row r="69" customFormat="false" ht="114" hidden="false" customHeight="true" outlineLevel="0" collapsed="false">
      <c r="A69" s="120" t="str">
        <f aca="false">Checks!$A$209&amp;CHAR(10)&amp;IF(Checks!$I$209="","",Checks!$I$209&amp;": ")&amp;Checks!$J$209</f>
        <v>F06-UPL-13
Seat Linen: Seat pillow (BS &amp; BC) - on board</v>
      </c>
      <c r="B69" s="120" t="str">
        <f aca="false">Checks!$K$209&amp;IF(Checks!$O$209="","",IF(Checks!$K$209="","",CHAR(10))&amp;"Note: "&amp;Checks!$O$209)</f>
        <v>Available 100% (ticked in reference)</v>
      </c>
      <c r="C69" s="120" t="str">
        <f aca="false">Checks!$N$209&amp;CHAR(10)&amp;IF(ISNUMBER(Checks!$R$209),TEXT(Checks!$R$209,"DD-MMM-YY HH:MM"),"")&amp;" "&amp;Checks!$P$209</f>
        <v>Required
15-Oct-26 23:20 KUL</v>
      </c>
      <c r="D69" s="120" t="str">
        <f aca="false">IF(TRIM(Checks!$U$209)&lt;&gt;"",Checks!$U$209&amp;IF(Checks!$AB$209="","",CHAR(10)&amp;"CA: "&amp;Checks!$AB$209),IF(LEFT(Checks!$AH$209,10)="N/A – RULE","","[ ] Pass"&amp;CHAR(10)&amp;"[ ] Pass after CA"&amp;CHAR(10)&amp;"[ ] Fail"&amp;IF(Checks!$AT$209=1,CHAR(10)&amp;"[ ] N/A","")&amp;CHAR(10)&amp;"CA: Open / Closed"))</f>
        <v>[ ] Pass
[ ] Pass after CA
[ ] Fail
CA: Open / Closed</v>
      </c>
      <c r="E69" s="120" t="str">
        <f aca="false">IF(Checks!$V$209="","",Checks!$V$209)&amp;IF(Checks!$AC$209="","",IF(Checks!$V$209="","",CHAR(10))&amp;"N/A just.: "&amp;Checks!$AC$209)&amp;IF(OR(Checks!$W$209&lt;&gt;"",AND(Checks!$AQ$209=1,NOT(LEFT(Checks!$AH$209,10)="N/A – RULE"))),CHAR(10)&amp;"Batch: "&amp;IF(Checks!$W$209="","____________",Checks!$W$209),"")&amp;IF(OR(Checks!$X$209&lt;&gt;"",Checks!$Y$209&lt;&gt;"",AND(Checks!$AR$209=1,NOT(LEFT(Checks!$AH$209,10)="N/A – RULE"))),CHAR(10)&amp;"Exp: "&amp;IF(Checks!$X$209="","______",Checks!$X$209)&amp;"  /  Act: "&amp;IF(Checks!$Y$209="","______",Checks!$Y$209),"")</f>
        <v/>
      </c>
      <c r="F69" s="120" t="str">
        <f aca="false">IF(AND(LEFT(Checks!$AH$209,10)="N/A – RULE",TRIM(Checks!$S$209&amp;Checks!$Z$209)=""),"","Type: "&amp;IF(TRIM(Checks!$S$209)="","______________ (see cover list)",Checks!$S$209)&amp;CHAR(10)&amp;"ID: "&amp;IF(TRIM(Checks!$Z$209)="","______________ (record's own no.)",Checks!$Z$209))&amp;IF(Checks!$AA$209="","",CHAR(10)&amp;"CA: "&amp;Checks!$AA$209)</f>
        <v>Type: ______________ (see cover list)
ID: ______________ (record's own no.)</v>
      </c>
      <c r="G69" s="120" t="str">
        <f aca="false">IF(AND(LEFT(Checks!$AH$209,10)="N/A – RULE",NOT(ISNUMBER(Checks!$AD$209)),Checks!$AE$209="",Checks!$T$209=""),"","Done: "&amp;IF(ISNUMBER(Checks!$AD$209),TEXT(Checks!$AD$209,"DD-MMM-YY HH:MM"),"____________")&amp;" "&amp;Checks!$P$209&amp;CHAR(10)&amp;"Verifier: "&amp;IF(Checks!$AE$209="","____________",Checks!$AE$209)&amp;CHAR(10)&amp;"PIC: "&amp;IF(Checks!$T$209="","____________",Checks!$T$209))</f>
        <v>Done: ____________ KUL
Verifier: ____________
PIC: ____________</v>
      </c>
      <c r="H69" s="121" t="str">
        <f aca="false">IF(Checks!$AH$209="","",Checks!$AH$209)</f>
        <v>OPEN</v>
      </c>
    </row>
    <row r="70" customFormat="false" ht="114" hidden="false" customHeight="true" outlineLevel="0" collapsed="false">
      <c r="A70" s="120" t="str">
        <f aca="false">Checks!$A$210&amp;CHAR(10)&amp;IF(Checks!$I$210="","",Checks!$I$210&amp;": ")&amp;Checks!$J$210</f>
        <v>F06-UPL-14
Seat Linen: Duvet (BS &amp; BC) - on board</v>
      </c>
      <c r="B70" s="120" t="str">
        <f aca="false">Checks!$K$210&amp;IF(Checks!$O$210="","",IF(Checks!$K$210="","",CHAR(10))&amp;"Note: "&amp;Checks!$O$210)</f>
        <v>Available 100% (ticked in reference)</v>
      </c>
      <c r="C70" s="120" t="str">
        <f aca="false">Checks!$N$210&amp;CHAR(10)&amp;IF(ISNUMBER(Checks!$R$210),TEXT(Checks!$R$210,"DD-MMM-YY HH:MM"),"")&amp;" "&amp;Checks!$P$210</f>
        <v>Required
15-Oct-26 23:20 KUL</v>
      </c>
      <c r="D70" s="120" t="str">
        <f aca="false">IF(TRIM(Checks!$U$210)&lt;&gt;"",Checks!$U$210&amp;IF(Checks!$AB$210="","",CHAR(10)&amp;"CA: "&amp;Checks!$AB$210),IF(LEFT(Checks!$AH$210,10)="N/A – RULE","","[ ] Pass"&amp;CHAR(10)&amp;"[ ] Pass after CA"&amp;CHAR(10)&amp;"[ ] Fail"&amp;IF(Checks!$AT$210=1,CHAR(10)&amp;"[ ] N/A","")&amp;CHAR(10)&amp;"CA: Open / Closed"))</f>
        <v>[ ] Pass
[ ] Pass after CA
[ ] Fail
CA: Open / Closed</v>
      </c>
      <c r="E70" s="120" t="str">
        <f aca="false">IF(Checks!$V$210="","",Checks!$V$210)&amp;IF(Checks!$AC$210="","",IF(Checks!$V$210="","",CHAR(10))&amp;"N/A just.: "&amp;Checks!$AC$210)&amp;IF(OR(Checks!$W$210&lt;&gt;"",AND(Checks!$AQ$210=1,NOT(LEFT(Checks!$AH$210,10)="N/A – RULE"))),CHAR(10)&amp;"Batch: "&amp;IF(Checks!$W$210="","____________",Checks!$W$210),"")&amp;IF(OR(Checks!$X$210&lt;&gt;"",Checks!$Y$210&lt;&gt;"",AND(Checks!$AR$210=1,NOT(LEFT(Checks!$AH$210,10)="N/A – RULE"))),CHAR(10)&amp;"Exp: "&amp;IF(Checks!$X$210="","______",Checks!$X$210)&amp;"  /  Act: "&amp;IF(Checks!$Y$210="","______",Checks!$Y$210),"")</f>
        <v/>
      </c>
      <c r="F70" s="120" t="str">
        <f aca="false">IF(AND(LEFT(Checks!$AH$210,10)="N/A – RULE",TRIM(Checks!$S$210&amp;Checks!$Z$210)=""),"","Type: "&amp;IF(TRIM(Checks!$S$210)="","______________ (see cover list)",Checks!$S$210)&amp;CHAR(10)&amp;"ID: "&amp;IF(TRIM(Checks!$Z$210)="","______________ (record's own no.)",Checks!$Z$210))&amp;IF(Checks!$AA$210="","",CHAR(10)&amp;"CA: "&amp;Checks!$AA$210)</f>
        <v>Type: ______________ (see cover list)
ID: ______________ (record's own no.)</v>
      </c>
      <c r="G70" s="120" t="str">
        <f aca="false">IF(AND(LEFT(Checks!$AH$210,10)="N/A – RULE",NOT(ISNUMBER(Checks!$AD$210)),Checks!$AE$210="",Checks!$T$210=""),"","Done: "&amp;IF(ISNUMBER(Checks!$AD$210),TEXT(Checks!$AD$210,"DD-MMM-YY HH:MM"),"____________")&amp;" "&amp;Checks!$P$210&amp;CHAR(10)&amp;"Verifier: "&amp;IF(Checks!$AE$210="","____________",Checks!$AE$210)&amp;CHAR(10)&amp;"PIC: "&amp;IF(Checks!$T$210="","____________",Checks!$T$210))</f>
        <v>Done: ____________ KUL
Verifier: ____________
PIC: ____________</v>
      </c>
      <c r="H70" s="121" t="str">
        <f aca="false">IF(Checks!$AH$210="","",Checks!$AH$210)</f>
        <v>OPEN</v>
      </c>
    </row>
    <row r="71" customFormat="false" ht="114" hidden="false" customHeight="true" outlineLevel="0" collapsed="false">
      <c r="A71" s="120" t="str">
        <f aca="false">Checks!$A$211&amp;CHAR(10)&amp;IF(Checks!$I$211="","",Checks!$I$211&amp;": ")&amp;Checks!$J$211</f>
        <v>F06-UPL-15
Seat Linen: Mattress (BS &amp; BC) - on board</v>
      </c>
      <c r="B71" s="120" t="str">
        <f aca="false">Checks!$K$211&amp;IF(Checks!$O$211="","",IF(Checks!$K$211="","",CHAR(10))&amp;"Note: "&amp;Checks!$O$211)</f>
        <v>Available 100% (ticked in reference)</v>
      </c>
      <c r="C71" s="120" t="str">
        <f aca="false">Checks!$N$211&amp;CHAR(10)&amp;IF(ISNUMBER(Checks!$R$211),TEXT(Checks!$R$211,"DD-MMM-YY HH:MM"),"")&amp;" "&amp;Checks!$P$211</f>
        <v>Required
15-Oct-26 23:20 KUL</v>
      </c>
      <c r="D71" s="120" t="str">
        <f aca="false">IF(TRIM(Checks!$U$211)&lt;&gt;"",Checks!$U$211&amp;IF(Checks!$AB$211="","",CHAR(10)&amp;"CA: "&amp;Checks!$AB$211),IF(LEFT(Checks!$AH$211,10)="N/A – RULE","","[ ] Pass"&amp;CHAR(10)&amp;"[ ] Pass after CA"&amp;CHAR(10)&amp;"[ ] Fail"&amp;IF(Checks!$AT$211=1,CHAR(10)&amp;"[ ] N/A","")&amp;CHAR(10)&amp;"CA: Open / Closed"))</f>
        <v>[ ] Pass
[ ] Pass after CA
[ ] Fail
CA: Open / Closed</v>
      </c>
      <c r="E71" s="120" t="str">
        <f aca="false">IF(Checks!$V$211="","",Checks!$V$211)&amp;IF(Checks!$AC$211="","",IF(Checks!$V$211="","",CHAR(10))&amp;"N/A just.: "&amp;Checks!$AC$211)&amp;IF(OR(Checks!$W$211&lt;&gt;"",AND(Checks!$AQ$211=1,NOT(LEFT(Checks!$AH$211,10)="N/A – RULE"))),CHAR(10)&amp;"Batch: "&amp;IF(Checks!$W$211="","____________",Checks!$W$211),"")&amp;IF(OR(Checks!$X$211&lt;&gt;"",Checks!$Y$211&lt;&gt;"",AND(Checks!$AR$211=1,NOT(LEFT(Checks!$AH$211,10)="N/A – RULE"))),CHAR(10)&amp;"Exp: "&amp;IF(Checks!$X$211="","______",Checks!$X$211)&amp;"  /  Act: "&amp;IF(Checks!$Y$211="","______",Checks!$Y$211),"")</f>
        <v/>
      </c>
      <c r="F71" s="120" t="str">
        <f aca="false">IF(AND(LEFT(Checks!$AH$211,10)="N/A – RULE",TRIM(Checks!$S$211&amp;Checks!$Z$211)=""),"","Type: "&amp;IF(TRIM(Checks!$S$211)="","______________ (see cover list)",Checks!$S$211)&amp;CHAR(10)&amp;"ID: "&amp;IF(TRIM(Checks!$Z$211)="","______________ (record's own no.)",Checks!$Z$211))&amp;IF(Checks!$AA$211="","",CHAR(10)&amp;"CA: "&amp;Checks!$AA$211)</f>
        <v>Type: ______________ (see cover list)
ID: ______________ (record's own no.)</v>
      </c>
      <c r="G71" s="120" t="str">
        <f aca="false">IF(AND(LEFT(Checks!$AH$211,10)="N/A – RULE",NOT(ISNUMBER(Checks!$AD$211)),Checks!$AE$211="",Checks!$T$211=""),"","Done: "&amp;IF(ISNUMBER(Checks!$AD$211),TEXT(Checks!$AD$211,"DD-MMM-YY HH:MM"),"____________")&amp;" "&amp;Checks!$P$211&amp;CHAR(10)&amp;"Verifier: "&amp;IF(Checks!$AE$211="","____________",Checks!$AE$211)&amp;CHAR(10)&amp;"PIC: "&amp;IF(Checks!$T$211="","____________",Checks!$T$211))</f>
        <v>Done: ____________ KUL
Verifier: ____________
PIC: ____________</v>
      </c>
      <c r="H71" s="121" t="str">
        <f aca="false">IF(Checks!$AH$211="","",Checks!$AH$211)</f>
        <v>OPEN</v>
      </c>
    </row>
    <row r="72" customFormat="false" ht="114" hidden="false" customHeight="true" outlineLevel="0" collapsed="false">
      <c r="A72" s="120" t="str">
        <f aca="false">Checks!$A$212&amp;CHAR(10)&amp;IF(Checks!$I$212="","",Checks!$I$212&amp;": ")&amp;Checks!$J$212</f>
        <v>F06-UPL-16
Signature Drinks: Signature drink &amp; garnish (BC) - on board</v>
      </c>
      <c r="B72" s="120" t="str">
        <f aca="false">SUBSTITUTE(Checks!$K$212&amp;IF(Checks!$O$212="","",IF(Checks!$K$212="","",CHAR(10))&amp;"Note: "&amp;Checks!$O$212)," (note D79)","")</f>
        <v>Available (ticked in reference)
Note: Signature drinks &amp; garnish uplifted from KUL.</v>
      </c>
      <c r="C72" s="120" t="str">
        <f aca="false">Checks!$N$212&amp;CHAR(10)&amp;IF(ISNUMBER(Checks!$R$212),TEXT(Checks!$R$212,"DD-MMM-YY HH:MM"),"")&amp;" "&amp;Checks!$P$212</f>
        <v>Required
15-Oct-26 23:20 KUL</v>
      </c>
      <c r="D72" s="120" t="str">
        <f aca="false">IF(TRIM(Checks!$U$212)&lt;&gt;"",Checks!$U$212&amp;IF(Checks!$AB$212="","",CHAR(10)&amp;"CA: "&amp;Checks!$AB$212),IF(LEFT(Checks!$AH$212,10)="N/A – RULE","","[ ] Pass"&amp;CHAR(10)&amp;"[ ] Pass after CA"&amp;CHAR(10)&amp;"[ ] Fail"&amp;IF(Checks!$AT$212=1,CHAR(10)&amp;"[ ] N/A","")&amp;CHAR(10)&amp;"CA: Open / Closed"))</f>
        <v>[ ] Pass
[ ] Pass after CA
[ ] Fail
CA: Open / Closed</v>
      </c>
      <c r="E72" s="120" t="str">
        <f aca="false">IF(Checks!$V$212="","",Checks!$V$212)&amp;IF(Checks!$AC$212="","",IF(Checks!$V$212="","",CHAR(10))&amp;"N/A just.: "&amp;Checks!$AC$212)&amp;IF(OR(Checks!$W$212&lt;&gt;"",AND(Checks!$AQ$212=1,NOT(LEFT(Checks!$AH$212,10)="N/A – RULE"))),CHAR(10)&amp;"Batch: "&amp;IF(Checks!$W$212="","____________",Checks!$W$212),"")&amp;IF(OR(Checks!$X$212&lt;&gt;"",Checks!$Y$212&lt;&gt;"",AND(Checks!$AR$212=1,NOT(LEFT(Checks!$AH$212,10)="N/A – RULE"))),CHAR(10)&amp;"Exp: "&amp;IF(Checks!$X$212="","______",Checks!$X$212)&amp;"  /  Act: "&amp;IF(Checks!$Y$212="","______",Checks!$Y$212),"")</f>
        <v/>
      </c>
      <c r="F72" s="120" t="str">
        <f aca="false">IF(AND(LEFT(Checks!$AH$212,10)="N/A – RULE",TRIM(Checks!$S$212&amp;Checks!$Z$212)=""),"","Type: "&amp;IF(TRIM(Checks!$S$212)="","______________ (see cover list)",Checks!$S$212)&amp;CHAR(10)&amp;"ID: "&amp;IF(TRIM(Checks!$Z$212)="","______________ (record's own no.)",Checks!$Z$212))&amp;IF(Checks!$AA$212="","",CHAR(10)&amp;"CA: "&amp;Checks!$AA$212)</f>
        <v>Type: ______________ (see cover list)
ID: ______________ (record's own no.)</v>
      </c>
      <c r="G72" s="120" t="str">
        <f aca="false">IF(AND(LEFT(Checks!$AH$212,10)="N/A – RULE",NOT(ISNUMBER(Checks!$AD$212)),Checks!$AE$212="",Checks!$T$212=""),"","Done: "&amp;IF(ISNUMBER(Checks!$AD$212),TEXT(Checks!$AD$212,"DD-MMM-YY HH:MM"),"____________")&amp;" "&amp;Checks!$P$212&amp;CHAR(10)&amp;"Verifier: "&amp;IF(Checks!$AE$212="","____________",Checks!$AE$212)&amp;CHAR(10)&amp;"PIC: "&amp;IF(Checks!$T$212="","____________",Checks!$T$212))</f>
        <v>Done: ____________ KUL
Verifier: ____________
PIC: ____________</v>
      </c>
      <c r="H72" s="121" t="str">
        <f aca="false">IF(Checks!$AH$212="","",Checks!$AH$212)</f>
        <v>OPEN</v>
      </c>
    </row>
    <row r="74" customFormat="false" ht="24" hidden="false" customHeight="true" outlineLevel="0" collapsed="false">
      <c r="A74" s="122" t="s">
        <v>4832</v>
      </c>
      <c r="B74" s="122"/>
      <c r="C74" s="122"/>
      <c r="D74" s="122"/>
      <c r="E74" s="122" t="s">
        <v>4833</v>
      </c>
      <c r="F74" s="122"/>
      <c r="G74" s="122"/>
      <c r="H74" s="122"/>
    </row>
    <row r="75" customFormat="false" ht="21.75" hidden="false" customHeight="true" outlineLevel="0" collapsed="false">
      <c r="A75" s="123"/>
      <c r="B75" s="123"/>
      <c r="C75" s="123"/>
      <c r="D75" s="123"/>
      <c r="E75" s="123"/>
      <c r="F75" s="123"/>
      <c r="G75" s="123"/>
      <c r="H75" s="123"/>
    </row>
    <row r="76" customFormat="false" ht="21.75" hidden="false" customHeight="true" outlineLevel="0" collapsed="false">
      <c r="A76" s="123"/>
      <c r="B76" s="123"/>
      <c r="C76" s="123"/>
      <c r="D76" s="123"/>
      <c r="E76" s="123"/>
      <c r="F76" s="123"/>
      <c r="G76" s="123"/>
      <c r="H76" s="123"/>
    </row>
    <row r="77" customFormat="false" ht="21.75" hidden="false" customHeight="true" outlineLevel="0" collapsed="false">
      <c r="A77" s="123"/>
      <c r="B77" s="123"/>
      <c r="C77" s="123"/>
      <c r="D77" s="123"/>
      <c r="E77" s="123"/>
      <c r="F77" s="123"/>
      <c r="G77" s="123"/>
      <c r="H77" s="123"/>
    </row>
    <row r="78" customFormat="false" ht="21.75" hidden="false" customHeight="true" outlineLevel="0" collapsed="false">
      <c r="A78" s="123"/>
      <c r="B78" s="123"/>
      <c r="C78" s="123"/>
      <c r="D78" s="123"/>
      <c r="E78" s="123"/>
      <c r="F78" s="123"/>
      <c r="G78" s="123"/>
      <c r="H78" s="123"/>
    </row>
    <row r="79" customFormat="false" ht="21.75" hidden="false" customHeight="true" outlineLevel="0" collapsed="false">
      <c r="A79" s="123"/>
      <c r="B79" s="123"/>
      <c r="C79" s="123"/>
      <c r="D79" s="123"/>
      <c r="E79" s="123"/>
      <c r="F79" s="123"/>
      <c r="G79" s="123"/>
      <c r="H79" s="123"/>
    </row>
    <row r="80" customFormat="false" ht="21.75" hidden="false" customHeight="true" outlineLevel="0" collapsed="false">
      <c r="A80" s="123"/>
      <c r="B80" s="123"/>
      <c r="C80" s="123"/>
      <c r="D80" s="123"/>
      <c r="E80" s="123"/>
      <c r="F80" s="123"/>
      <c r="G80" s="123"/>
      <c r="H80" s="123"/>
    </row>
    <row r="81" customFormat="false" ht="21.75" hidden="false" customHeight="true" outlineLevel="0" collapsed="false">
      <c r="A81" s="123"/>
      <c r="B81" s="123"/>
      <c r="C81" s="123"/>
      <c r="D81" s="123"/>
      <c r="E81" s="123"/>
      <c r="F81" s="123"/>
      <c r="G81" s="123"/>
      <c r="H81" s="123"/>
    </row>
    <row r="82" customFormat="false" ht="21.75" hidden="false" customHeight="true" outlineLevel="0" collapsed="false">
      <c r="A82" s="123"/>
      <c r="B82" s="123"/>
      <c r="C82" s="123"/>
      <c r="D82" s="123"/>
      <c r="E82" s="123"/>
      <c r="F82" s="123"/>
      <c r="G82" s="123"/>
      <c r="H82" s="123"/>
    </row>
    <row r="83" customFormat="false" ht="21.75" hidden="false" customHeight="true" outlineLevel="0" collapsed="false">
      <c r="A83" s="123"/>
      <c r="B83" s="123"/>
      <c r="C83" s="123"/>
      <c r="D83" s="123"/>
      <c r="E83" s="123"/>
      <c r="F83" s="123"/>
      <c r="G83" s="123"/>
      <c r="H83" s="123"/>
    </row>
    <row r="84" customFormat="false" ht="21.75" hidden="false" customHeight="true" outlineLevel="0" collapsed="false">
      <c r="A84" s="123"/>
      <c r="B84" s="123"/>
      <c r="C84" s="123"/>
      <c r="D84" s="123"/>
      <c r="E84" s="123"/>
      <c r="F84" s="123"/>
      <c r="G84" s="123"/>
      <c r="H84"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56:H56"/>
    <mergeCell ref="A74:D74"/>
    <mergeCell ref="E74:H74"/>
    <mergeCell ref="A75:D84"/>
    <mergeCell ref="E75:H84"/>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72">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72">
    <cfRule type="expression" priority="18" aboveAverage="0" equalAverage="0" bottom="0" percent="0" rank="0" text="" dxfId="35">
      <formula>LEFT($H23,3)="N/A"</formula>
    </cfRule>
  </conditionalFormatting>
  <conditionalFormatting sqref="D23:D72">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F06 MH0002 15-Oct-26 KUL-LHR Class BC</oddHeader>
    <oddFooter>&amp;L&amp;"Arial,Bold"&amp;8 F06 MH0002 15-Oct-26 KUL-LHR Class BC&amp;C&amp;"Arial,Regular"&amp;8 Printed: ____________________&amp;R&amp;"Arial,Regular"&amp;8 F06  Page &amp;P of &amp;N</oddFooter>
  </headerFooter>
  <rowBreaks count="13" manualBreakCount="13">
    <brk id="20" man="true" max="16383" min="0"/>
    <brk id="26" man="true" max="16383" min="0"/>
    <brk id="30" man="true" max="16383" min="0"/>
    <brk id="35" man="true" max="16383" min="0"/>
    <brk id="39" man="true" max="16383" min="0"/>
    <brk id="41" man="true" max="16383" min="0"/>
    <brk id="44" man="true" max="16383" min="0"/>
    <brk id="48" man="true" max="16383" min="0"/>
    <brk id="52" man="true" max="16383" min="0"/>
    <brk id="57" man="true" max="16383" min="0"/>
    <brk id="60" man="true" max="16383" min="0"/>
    <brk id="64" man="true" max="16383" min="0"/>
    <brk id="68" man="true" max="16383" min="0"/>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F07  "&amp;Flights!$F$11&amp;"  "&amp;TEXT(Flights!$D$11,"DD-MMM-YY")&amp;" ("&amp;Flights!$E$11&amp;")  "&amp;Flights!$G$11&amp;" → "&amp;Flights!$H$11&amp;"  |  Class "&amp;Flights!$K$11</f>
        <v>SKYTRAX 2026 CATERING READINESS CHECKLIST  |  F07  MH0003  09-Oct-26 (FRI)  LHR → KUL  |  Class BC</v>
      </c>
      <c r="B1" s="93"/>
      <c r="C1" s="93"/>
      <c r="D1" s="93"/>
      <c r="E1" s="93"/>
      <c r="F1" s="93"/>
      <c r="G1" s="93"/>
      <c r="H1" s="93"/>
    </row>
    <row r="2" customFormat="false" ht="12.75" hidden="false" customHeight="true" outlineLevel="0" collapsed="false">
      <c r="A2" s="94" t="s">
        <v>4788</v>
      </c>
      <c r="B2" s="95" t="str">
        <f aca="false">Flights!$F$11&amp;"   "&amp;TEXT(Flights!$D$11,"DD-MMM-YY")&amp;" ("&amp;Flights!$E$11&amp;")"</f>
        <v>MH0003   09-Oct-26 (FRI)</v>
      </c>
      <c r="C2" s="95"/>
      <c r="D2" s="95"/>
      <c r="E2" s="96" t="s">
        <v>4789</v>
      </c>
      <c r="F2" s="97" t="str">
        <f aca="false">Flights!$AT$11</f>
        <v>NOT READY – DOCUMENTS</v>
      </c>
      <c r="G2" s="97"/>
      <c r="H2" s="97"/>
    </row>
    <row r="3" customFormat="false" ht="24" hidden="false" customHeight="true" outlineLevel="0" collapsed="false">
      <c r="A3" s="94" t="s">
        <v>4790</v>
      </c>
      <c r="B3" s="95" t="str">
        <f aca="false">Flights!$G$11&amp;" → "&amp;Flights!$H$11&amp;"   Class "&amp;Flights!$K$11&amp;"   Seat "&amp;Flights!$O$11</f>
        <v>LHR → KUL   Class BC   Seat 2A</v>
      </c>
      <c r="C3" s="95"/>
      <c r="D3" s="95"/>
      <c r="E3" s="96" t="s">
        <v>73</v>
      </c>
      <c r="F3" s="96" t="s">
        <v>4791</v>
      </c>
      <c r="G3" s="96" t="s">
        <v>4792</v>
      </c>
      <c r="H3" s="96"/>
    </row>
    <row r="4" customFormat="false" ht="24" hidden="false" customHeight="true" outlineLevel="0" collapsed="false">
      <c r="A4" s="94" t="s">
        <v>4793</v>
      </c>
      <c r="B4" s="95" t="str">
        <f aca="false">IF(ISNUMBER(Flights!$I$11),TEXT(Flights!$I$11,"DD-MMM-YY HH:MM"),"")&amp;" "&amp;Flights!$G$11&amp;"  →  "&amp;IF(ISNUMBER(Flights!$J$11),TEXT(Flights!$J$11,"DD-MMM-YY HH:MM"),"")&amp;" "&amp;Flights!$H$11</f>
        <v>09-Oct-26 11:00 LHR  →  10-Oct-26 06:45 KUL</v>
      </c>
      <c r="C4" s="95"/>
      <c r="D4" s="95"/>
      <c r="E4" s="94" t="s">
        <v>4794</v>
      </c>
      <c r="F4" s="98" t="str">
        <f aca="false">IF(ISNUMBER(Flights!$AG$11),TEXT(Flights!$AG$11,"DD-MMM-YY HH:MM"),"")&amp;" "&amp;Flights!$V$11</f>
        <v>02-Oct-26 11:00 LHR</v>
      </c>
      <c r="G4" s="99" t="n">
        <f aca="false">Flights!$AJ$11</f>
        <v>0</v>
      </c>
      <c r="H4" s="99"/>
    </row>
    <row r="5" customFormat="false" ht="24" hidden="false" customHeight="true" outlineLevel="0" collapsed="false">
      <c r="A5" s="94" t="s">
        <v>4795</v>
      </c>
      <c r="B5" s="95" t="str">
        <f aca="false">Flights!$L$11&amp;" – "&amp;Flights!$M$11</f>
        <v>A350 – A350-900: A359 (9M-MAB..MAG) or A350 (9M-MAH) - tail to confirm</v>
      </c>
      <c r="C5" s="95"/>
      <c r="D5" s="95"/>
      <c r="E5" s="94" t="s">
        <v>4796</v>
      </c>
      <c r="F5" s="98" t="str">
        <f aca="false">IF(ISNUMBER(Flights!$AH$11),TEXT(Flights!$AH$11,"DD-MMM-YY HH:MM"),"")&amp;" "&amp;Flights!$V$11</f>
        <v>08-Oct-26 11:00 LHR</v>
      </c>
      <c r="G5" s="99" t="n">
        <f aca="false">Flights!$AK$11</f>
        <v>0</v>
      </c>
      <c r="H5" s="99"/>
    </row>
    <row r="6" customFormat="false" ht="24" hidden="false" customHeight="true" outlineLevel="0" collapsed="false">
      <c r="A6" s="94" t="s">
        <v>4797</v>
      </c>
      <c r="B6" s="95" t="str">
        <f aca="false">IF(TRIM(Flights!$N$11)="","__________________",Flights!$N$11)</f>
        <v>__________________</v>
      </c>
      <c r="C6" s="95"/>
      <c r="D6" s="95"/>
      <c r="E6" s="94" t="s">
        <v>4798</v>
      </c>
      <c r="F6" s="98" t="str">
        <f aca="false">IF(ISNUMBER(Flights!$AI$11),TEXT(Flights!$AI$11,"DD-MMM-YY HH:MM"),"")&amp;" "&amp;Flights!$V$11&amp;IF(Flights!$AI$11=Flights!$AH$11,"  (= T-24H due)","")</f>
        <v>08-Oct-26 23:00 LHR</v>
      </c>
      <c r="G6" s="99" t="n">
        <f aca="false">Flights!$AL$11</f>
        <v>0</v>
      </c>
      <c r="H6" s="99"/>
    </row>
    <row r="7" customFormat="false" ht="24" hidden="false" customHeight="true" outlineLevel="0" collapsed="false">
      <c r="A7" s="94" t="s">
        <v>4799</v>
      </c>
      <c r="B7" s="95" t="str">
        <f aca="false">Flights!$T$11</f>
        <v>2.5 Meal (Meal)</v>
      </c>
      <c r="C7" s="95"/>
      <c r="D7" s="95"/>
      <c r="E7" s="94" t="s">
        <v>4800</v>
      </c>
      <c r="F7" s="98" t="str">
        <f aca="false">"STD "&amp;IF(ISNUMBER(Flights!$I$11),TEXT(Flights!$I$11,"DD-MMM-YY HH:MM"),"")&amp;" "&amp;Flights!$G$11&amp;" (dep stn)"</f>
        <v>STD 09-Oct-26 11:00 LHR (dep stn)</v>
      </c>
      <c r="G7" s="99" t="n">
        <f aca="false">Flights!$AM$11</f>
        <v>0</v>
      </c>
      <c r="H7" s="99"/>
    </row>
    <row r="8" customFormat="false" ht="12.75" hidden="false" customHeight="true" outlineLevel="0" collapsed="false">
      <c r="A8" s="94" t="s">
        <v>155</v>
      </c>
      <c r="B8" s="95" t="str">
        <f aca="false">Flights!$V$11&amp;"   (reference uplift stns: "&amp;Flights!$U$11&amp;")"</f>
        <v>LHR   (reference uplift stns: KUL/LHR)</v>
      </c>
      <c r="C8" s="95"/>
      <c r="D8" s="95"/>
      <c r="E8" s="94" t="s">
        <v>4801</v>
      </c>
      <c r="F8" s="100" t="s">
        <v>4802</v>
      </c>
      <c r="G8" s="99" t="n">
        <f aca="false">Flights!$AN$11</f>
        <v>0</v>
      </c>
      <c r="H8" s="99"/>
    </row>
    <row r="9" customFormat="false" ht="12.75" hidden="false" customHeight="true" outlineLevel="0" collapsed="false">
      <c r="A9" s="94" t="s">
        <v>4803</v>
      </c>
      <c r="B9" s="95" t="str">
        <f aca="false">TRIM(Flights!$P$11&amp;"  "&amp;Flights!$Q$11)</f>
        <v>-</v>
      </c>
      <c r="C9" s="95"/>
      <c r="D9" s="95"/>
      <c r="E9" s="94" t="s">
        <v>4804</v>
      </c>
      <c r="F9" s="101" t="n">
        <f aca="false">Flights!$AP$11</f>
        <v>0</v>
      </c>
      <c r="G9" s="102" t="n">
        <f aca="false">Flights!$AQ$11</f>
        <v>0</v>
      </c>
      <c r="H9" s="103" t="n">
        <f aca="false">Flights!$AU$11</f>
        <v>0</v>
      </c>
    </row>
    <row r="10" customFormat="false" ht="24" hidden="false" customHeight="true" outlineLevel="0" collapsed="false">
      <c r="A10" s="94" t="s">
        <v>4805</v>
      </c>
      <c r="B10" s="95" t="str">
        <f aca="false">IF(TRIM(Flights!$X$11)="","__________________",Flights!$X$11)</f>
        <v>__________________</v>
      </c>
      <c r="C10" s="95"/>
      <c r="D10" s="95"/>
      <c r="E10" s="94" t="s">
        <v>4806</v>
      </c>
      <c r="F10" s="104" t="n">
        <f aca="false">Flights!$AO$11</f>
        <v>48</v>
      </c>
      <c r="G10" s="105" t="n">
        <f aca="false">Flights!$AS$11</f>
        <v>3</v>
      </c>
      <c r="H10" s="106" t="n">
        <f aca="false">Flights!$AR$11</f>
        <v>2</v>
      </c>
    </row>
    <row r="11" customFormat="false" ht="21" hidden="false" customHeight="true" outlineLevel="0" collapsed="false">
      <c r="A11" s="94" t="s">
        <v>4807</v>
      </c>
      <c r="B11" s="95" t="str">
        <f aca="false">IF(TRIM(Flights!$Y$11)="","__________________",Flights!$Y$11)</f>
        <v>__________________</v>
      </c>
      <c r="C11" s="95"/>
      <c r="D11" s="95"/>
      <c r="E11" s="94" t="s">
        <v>4808</v>
      </c>
      <c r="F11" s="97" t="str">
        <f aca="false">Flights!$AV$11&amp;" / "&amp;Flights!$AW$11</f>
        <v>0 / 48</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56.25" hidden="false" customHeight="true" outlineLevel="0" collapsed="false">
      <c r="A14" s="124" t="str">
        <f aca="false">"KUL-SOURCED ITEMS: some items are uplifted at KUL on the inbound carrying flight; their preparation is capped at the KUL loading window. Each row shows its own due."&amp;CHAR(10)&amp;"KUL loading window opens: "&amp;IF(ISNUMBER(Flights!$AY$11),TEXT(Flights!$AY$11+IFERROR(INDEX(Settings!$C$13:$C$22,MATCH("KUL",Settings!$A$13:$A$22,0)),8)/24,"DD-MMM-YY HH:MM")&amp;" KUL","(not set)")&amp;"   |   Carrying flight leaves KUL: "&amp;IF(ISNUMBER(Flights!$AY$11),TEXT(Flights!$AY$11+UpliftWindowH/24+IFERROR(INDEX(Settings!$C$13:$C$22,MATCH("KUL",Settings!$A$13:$A$22,0)),8)/24,"DD-MMM-YY HH:MM")&amp;" KUL","(not set)")&amp;IF(ISNUMBER(Flights!$AX$11),"",IF(TRIM(Flights!$W$11)&lt;&gt;""," (agenda candidate – actual not yet entered)"," (latest possible – actual not yet entered)"))&amp;IF(ISNUMBER(Flights!$AX$11),"",CHAR(10)&amp;"CARRYING FLIGHT NOT YET ENTERED (Flights sheet): its timing is assumed, so on-board (UPLIFT) checks before the assumed arrival show INVALID – before uplift window.")</f>
        <v>KUL-SOURCED ITEMS: some items are uplifted at KUL on the inbound carrying flight; their preparation is capped at the KUL loading window. Each row shows its own due.
KUL loading window opens: 08-Oct-26 22:25 KUL   |   Carrying flight leaves KUL: 09-Oct-26 04:25 KUL (latest possible – actual not yet entered)
CARRYING FLIGHT NOT YET ENTERED (Flights sheet): its timing is assumed, so on-board (UPLIFT) checks before the assumed arrival show INVALID – before uplift window.</v>
      </c>
      <c r="B14" s="124"/>
      <c r="C14" s="124"/>
      <c r="D14" s="124"/>
      <c r="E14" s="124"/>
      <c r="F14" s="124"/>
      <c r="G14" s="124"/>
      <c r="H14" s="124"/>
    </row>
    <row r="15" customFormat="false" ht="13.5" hidden="false" customHeight="true" outlineLevel="0" collapsed="false">
      <c r="A15" s="96" t="s">
        <v>4813</v>
      </c>
      <c r="B15" s="96" t="s">
        <v>4814</v>
      </c>
      <c r="C15" s="96" t="s">
        <v>4815</v>
      </c>
      <c r="D15" s="96"/>
      <c r="E15" s="96" t="s">
        <v>4816</v>
      </c>
      <c r="F15" s="96" t="s">
        <v>4817</v>
      </c>
      <c r="G15" s="96"/>
      <c r="H15" s="96"/>
    </row>
    <row r="16" customFormat="false" ht="36" hidden="false" customHeight="true" outlineLevel="0" collapsed="false">
      <c r="A16" s="94" t="s">
        <v>4818</v>
      </c>
      <c r="B16" s="95" t="str">
        <f aca="false">IF(Documents!$F$11="","",Documents!$F$11)</f>
        <v/>
      </c>
      <c r="C16" s="100" t="str">
        <f aca="false">IF(Documents!$G$11="","",Documents!$G$11)&amp;IF(ISNUMBER(Documents!$H$11),"  "&amp;TEXT(Documents!$H$11,"DD-MMM-YY"),"")</f>
        <v/>
      </c>
      <c r="D16" s="100"/>
      <c r="E16" s="114" t="str">
        <f aca="false">IF(Documents!$J$11="OUTSTANDING","OUTSTANDING – attach before T-7D (due "&amp;IF(ISNUMBER(Flights!$AG$11),TEXT(Flights!$AG$11,"DD-MMM-YY HH:MM"),"")&amp;" "&amp;Flights!$V$11&amp;")",IF(Documents!$J$11="","Status not recorded",Documents!$J$11))</f>
        <v>OUTSTANDING – attach before T-7D (due 02-Oct-26 11:00 LHR)</v>
      </c>
      <c r="F16" s="115" t="str">
        <f aca="false">"Staple behind this sheet as page A1."&amp;IF(Documents!$I$11="",""," Location: "&amp;Documents!$I$11)</f>
        <v>Staple behind this sheet as page A1.</v>
      </c>
      <c r="G16" s="115"/>
      <c r="H16" s="115"/>
    </row>
    <row r="17" customFormat="false" ht="36" hidden="false" customHeight="true" outlineLevel="0" collapsed="false">
      <c r="A17" s="94" t="s">
        <v>4819</v>
      </c>
      <c r="B17" s="95" t="str">
        <f aca="false">IF(Documents!$K$11="","",Documents!$K$11)</f>
        <v/>
      </c>
      <c r="C17" s="100" t="str">
        <f aca="false">IF(Documents!$L$11="","",Documents!$L$11)&amp;IF(ISNUMBER(Documents!$M$11),"  "&amp;TEXT(Documents!$M$11,"DD-MMM-YY"),"")</f>
        <v/>
      </c>
      <c r="D17" s="100"/>
      <c r="E17" s="114" t="str">
        <f aca="false">IF(Documents!$O$11="OUTSTANDING","OUTSTANDING – attach before T-7D (due "&amp;IF(ISNUMBER(Flights!$AG$11),TEXT(Flights!$AG$11,"DD-MMM-YY HH:MM"),"")&amp;" "&amp;Flights!$V$11&amp;")",IF(Documents!$O$11="","Status not recorded",Documents!$O$11))</f>
        <v>OUTSTANDING – attach before T-7D (due 02-Oct-26 11:00 LHR)</v>
      </c>
      <c r="F17" s="115" t="str">
        <f aca="false">"Staple behind this sheet as page A2."&amp;IF(Documents!$N$11="",""," Location: "&amp;Documents!$N$11)</f>
        <v>Staple behind this sheet as page A2.</v>
      </c>
      <c r="G17" s="115"/>
      <c r="H17" s="115"/>
    </row>
    <row r="18" customFormat="false" ht="22.5" hidden="false" customHeight="true" outlineLevel="0" collapsed="false">
      <c r="A18" s="94" t="s">
        <v>4820</v>
      </c>
      <c r="B18" s="116" t="str">
        <f aca="false">IF(Documents!$Q$11="","",Documents!$Q$11)</f>
        <v>Not supplied with brief – obtain from caterer / MAGCS.</v>
      </c>
      <c r="C18" s="116"/>
      <c r="D18" s="116"/>
      <c r="E18" s="116"/>
      <c r="F18" s="116"/>
      <c r="G18" s="116"/>
      <c r="H18" s="116"/>
    </row>
    <row r="19" customFormat="false" ht="13.5" hidden="false" customHeight="true" outlineLevel="0" collapsed="false">
      <c r="A19" s="117" t="s">
        <v>4821</v>
      </c>
      <c r="B19" s="117"/>
      <c r="C19" s="117" t="s">
        <v>4822</v>
      </c>
      <c r="D19" s="117"/>
      <c r="E19" s="117"/>
      <c r="F19" s="117" t="s">
        <v>4823</v>
      </c>
      <c r="G19" s="117"/>
      <c r="H19" s="117"/>
    </row>
    <row r="20" customFormat="false" ht="18" hidden="false" customHeight="true" outlineLevel="0" collapsed="false">
      <c r="A20" s="95" t="str">
        <f aca="false">"Name: "&amp;IF(TRIM(Flights!$Y$11)="","__________________",Flights!$Y$11)</f>
        <v>Name: __________________</v>
      </c>
      <c r="B20" s="95"/>
      <c r="C20" s="95" t="str">
        <f aca="false">"Name: __________________"</f>
        <v>Name: __________________</v>
      </c>
      <c r="D20" s="95"/>
      <c r="E20" s="95"/>
      <c r="F20" s="95" t="str">
        <f aca="false">"Name: __________________"&amp;"   Station: "&amp;Flights!$V$11</f>
        <v>Name: __________________   Station: LHR</v>
      </c>
      <c r="G20" s="95"/>
      <c r="H20" s="95"/>
    </row>
    <row r="21" customFormat="false" ht="30" hidden="false" customHeight="true" outlineLevel="0" collapsed="false">
      <c r="A21" s="118" t="s">
        <v>4824</v>
      </c>
      <c r="B21" s="118"/>
      <c r="C21" s="118" t="s">
        <v>4824</v>
      </c>
      <c r="D21" s="118"/>
      <c r="E21" s="118"/>
      <c r="F21" s="118" t="s">
        <v>4824</v>
      </c>
      <c r="G21" s="118"/>
      <c r="H21" s="118"/>
    </row>
    <row r="22" customFormat="false" ht="24" hidden="false" customHeight="true" outlineLevel="0" collapsed="false">
      <c r="A22" s="96" t="s">
        <v>4825</v>
      </c>
      <c r="B22" s="96" t="s">
        <v>4826</v>
      </c>
      <c r="C22" s="96" t="s">
        <v>4827</v>
      </c>
      <c r="D22" s="96" t="s">
        <v>4828</v>
      </c>
      <c r="E22" s="96" t="s">
        <v>4829</v>
      </c>
      <c r="F22" s="96" t="s">
        <v>4830</v>
      </c>
      <c r="G22" s="96" t="s">
        <v>4831</v>
      </c>
      <c r="H22" s="96" t="s">
        <v>126</v>
      </c>
    </row>
    <row r="23" customFormat="false" ht="25.5" hidden="false" customHeight="true" outlineLevel="0" collapsed="false">
      <c r="A23" s="119" t="str">
        <f aca="false">"T-7D — 7 days before departure  |  Due "&amp;IF(ISNUMBER(Flights!$AG$11),TEXT(Flights!$AG$11,"DD-MMM-YY HH:MM"),"")&amp;" "&amp;Flights!$V$11&amp;" (meal uplift stn)"&amp;" (rows with another due show their own)  |  Complete "&amp;IF(ISNUMBER(Flights!$AJ$11),TEXT(Flights!$AJ$11,"0%"),Flights!$AJ$11)&amp;"  |  10 lines"</f>
        <v>T-7D — 7 days before departure  |  Due 02-Oct-26 11:00 LHR (meal uplift stn) (rows with another due show their own)  |  Complete 0%  |  10 lines</v>
      </c>
      <c r="B23" s="119"/>
      <c r="C23" s="119"/>
      <c r="D23" s="119"/>
      <c r="E23" s="119"/>
      <c r="F23" s="119"/>
      <c r="G23" s="119"/>
      <c r="H23" s="119"/>
    </row>
    <row r="24" customFormat="false" ht="114" hidden="false" customHeight="true" outlineLevel="0" collapsed="false">
      <c r="A24" s="120" t="str">
        <f aca="false">Checks!$A$213&amp;CHAR(10)&amp;IF(Checks!$I$213="","",Checks!$I$213&amp;": ")&amp;Checks!$J$213</f>
        <v>F07-T7-01
Meal: Meal sensory testing completed for this flight's menu cycle (assessed class)</v>
      </c>
      <c r="B24" s="120" t="str">
        <f aca="false">Checks!$K$213&amp;IF(Checks!$O$213="","",IF(Checks!$K$213="","",CHAR(10))&amp;"Note: "&amp;Checks!$O$213)</f>
        <v>Record panel result / score in Result</v>
      </c>
      <c r="C24" s="120" t="str">
        <f aca="false">Checks!$N$213&amp;CHAR(10)&amp;IF(ISNUMBER(Checks!$R$213),TEXT(Checks!$R$213,"DD-MMM-YY HH:MM"),"")&amp;" "&amp;Checks!$P$213</f>
        <v>Required
02-Oct-26 11:00 LHR</v>
      </c>
      <c r="D24" s="120" t="str">
        <f aca="false">IF(TRIM(Checks!$U$213)&lt;&gt;"",Checks!$U$213&amp;IF(Checks!$AB$213="","",CHAR(10)&amp;"CA: "&amp;Checks!$AB$213),IF(LEFT(Checks!$AH$213,10)="N/A – RULE","","[ ] Pass"&amp;CHAR(10)&amp;"[ ] Pass after CA"&amp;CHAR(10)&amp;"[ ] Fail"&amp;IF(Checks!$AT$213=1,CHAR(10)&amp;"[ ] N/A","")&amp;CHAR(10)&amp;"CA: Open / Closed"))</f>
        <v>[ ] Pass
[ ] Pass after CA
[ ] Fail
CA: Open / Closed</v>
      </c>
      <c r="E24" s="120" t="str">
        <f aca="false">IF(Checks!$V$213="","",Checks!$V$213)&amp;IF(Checks!$AC$213="","",IF(Checks!$V$213="","",CHAR(10))&amp;"N/A just.: "&amp;Checks!$AC$213)&amp;IF(OR(Checks!$W$213&lt;&gt;"",AND(Checks!$AQ$213=1,NOT(LEFT(Checks!$AH$213,10)="N/A – RULE"))),CHAR(10)&amp;"Batch: "&amp;IF(Checks!$W$213="","____________",Checks!$W$213),"")&amp;IF(OR(Checks!$X$213&lt;&gt;"",Checks!$Y$213&lt;&gt;"",AND(Checks!$AR$213=1,NOT(LEFT(Checks!$AH$213,10)="N/A – RULE"))),CHAR(10)&amp;"Exp: "&amp;IF(Checks!$X$213="","______",Checks!$X$213)&amp;"  /  Act: "&amp;IF(Checks!$Y$213="","______",Checks!$Y$213),"")</f>
        <v/>
      </c>
      <c r="F24" s="120" t="str">
        <f aca="false">IF(AND(LEFT(Checks!$AH$213,10)="N/A – RULE",TRIM(Checks!$S$213&amp;Checks!$Z$213)=""),"","Type: "&amp;IF(TRIM(Checks!$S$213)="","______________ (see cover list)",Checks!$S$213)&amp;CHAR(10)&amp;"ID: "&amp;IF(TRIM(Checks!$Z$213)="","______________ (record's own no.)",Checks!$Z$213))&amp;IF(Checks!$AA$213="","",CHAR(10)&amp;"CA: "&amp;Checks!$AA$213)</f>
        <v>Type: ______________ (see cover list)
ID: ______________ (record's own no.)</v>
      </c>
      <c r="G24" s="120" t="str">
        <f aca="false">IF(AND(LEFT(Checks!$AH$213,10)="N/A – RULE",NOT(ISNUMBER(Checks!$AD$213)),Checks!$AE$213="",Checks!$T$213=""),"","Done: "&amp;IF(ISNUMBER(Checks!$AD$213),TEXT(Checks!$AD$213,"DD-MMM-YY HH:MM"),"____________")&amp;" "&amp;Checks!$P$213&amp;CHAR(10)&amp;"Verifier: "&amp;IF(Checks!$AE$213="","____________",Checks!$AE$213)&amp;CHAR(10)&amp;"PIC: "&amp;IF(Checks!$T$213="","____________",Checks!$T$213))</f>
        <v>Done: ____________ LHR
Verifier: ____________
PIC: ____________</v>
      </c>
      <c r="H24" s="121" t="str">
        <f aca="false">IF(Checks!$AH$213="","",Checks!$AH$213)</f>
        <v>OPEN</v>
      </c>
    </row>
    <row r="25" customFormat="false" ht="114" hidden="false" customHeight="true" outlineLevel="0" collapsed="false">
      <c r="A25" s="120" t="str">
        <f aca="false">Checks!$A$214&amp;CHAR(10)&amp;IF(Checks!$I$214="","",Checks!$I$214&amp;": ")&amp;Checks!$J$214</f>
        <v>F07-T7-02
Menu: Printed menu cards confirmed (content, cycle, language, quantity)</v>
      </c>
      <c r="B25" s="120" t="str">
        <f aca="false">Checks!$K$214&amp;IF(Checks!$O$214="","",IF(Checks!$K$214="","",CHAR(10))&amp;"Note: "&amp;Checks!$O$214)</f>
        <v>Menu card matches approved menu for this flight</v>
      </c>
      <c r="C25" s="120" t="str">
        <f aca="false">Checks!$N$214&amp;CHAR(10)&amp;IF(ISNUMBER(Checks!$R$214),TEXT(Checks!$R$214,"DD-MMM-YY HH:MM"),"")&amp;" "&amp;Checks!$P$214</f>
        <v>Required
02-Oct-26 11:00 LHR</v>
      </c>
      <c r="D25" s="120" t="str">
        <f aca="false">IF(TRIM(Checks!$U$214)&lt;&gt;"",Checks!$U$214&amp;IF(Checks!$AB$214="","",CHAR(10)&amp;"CA: "&amp;Checks!$AB$214),IF(LEFT(Checks!$AH$214,10)="N/A – RULE","","[ ] Pass"&amp;CHAR(10)&amp;"[ ] Pass after CA"&amp;CHAR(10)&amp;"[ ] Fail"&amp;IF(Checks!$AT$214=1,CHAR(10)&amp;"[ ] N/A","")&amp;CHAR(10)&amp;"CA: Open / Closed"))</f>
        <v>[ ] Pass
[ ] Pass after CA
[ ] Fail
CA: Open / Closed</v>
      </c>
      <c r="E25" s="120" t="str">
        <f aca="false">IF(Checks!$V$214="","",Checks!$V$214)&amp;IF(Checks!$AC$214="","",IF(Checks!$V$214="","",CHAR(10))&amp;"N/A just.: "&amp;Checks!$AC$214)&amp;IF(OR(Checks!$W$214&lt;&gt;"",AND(Checks!$AQ$214=1,NOT(LEFT(Checks!$AH$214,10)="N/A – RULE"))),CHAR(10)&amp;"Batch: "&amp;IF(Checks!$W$214="","____________",Checks!$W$214),"")&amp;IF(OR(Checks!$X$214&lt;&gt;"",Checks!$Y$214&lt;&gt;"",AND(Checks!$AR$214=1,NOT(LEFT(Checks!$AH$214,10)="N/A – RULE"))),CHAR(10)&amp;"Exp: "&amp;IF(Checks!$X$214="","______",Checks!$X$214)&amp;"  /  Act: "&amp;IF(Checks!$Y$214="","______",Checks!$Y$214),"")</f>
        <v/>
      </c>
      <c r="F25" s="120" t="str">
        <f aca="false">IF(AND(LEFT(Checks!$AH$214,10)="N/A – RULE",TRIM(Checks!$S$214&amp;Checks!$Z$214)=""),"","Type: "&amp;IF(TRIM(Checks!$S$214)="","______________ (see cover list)",Checks!$S$214)&amp;CHAR(10)&amp;"ID: "&amp;IF(TRIM(Checks!$Z$214)="","______________ (record's own no.)",Checks!$Z$214))&amp;IF(Checks!$AA$214="","",CHAR(10)&amp;"CA: "&amp;Checks!$AA$214)</f>
        <v>Type: ______________ (see cover list)
ID: ______________ (record's own no.)</v>
      </c>
      <c r="G25" s="120" t="str">
        <f aca="false">IF(AND(LEFT(Checks!$AH$214,10)="N/A – RULE",NOT(ISNUMBER(Checks!$AD$214)),Checks!$AE$214="",Checks!$T$214=""),"","Done: "&amp;IF(ISNUMBER(Checks!$AD$214),TEXT(Checks!$AD$214,"DD-MMM-YY HH:MM"),"____________")&amp;" "&amp;Checks!$P$214&amp;CHAR(10)&amp;"Verifier: "&amp;IF(Checks!$AE$214="","____________",Checks!$AE$214)&amp;CHAR(10)&amp;"PIC: "&amp;IF(Checks!$T$214="","____________",Checks!$T$214))</f>
        <v>Done: ____________ LHR
Verifier: ____________
PIC: ____________</v>
      </c>
      <c r="H25" s="121" t="str">
        <f aca="false">IF(Checks!$AH$214="","",Checks!$AH$214)</f>
        <v>OPEN</v>
      </c>
    </row>
    <row r="26" customFormat="false" ht="114" hidden="false" customHeight="true" outlineLevel="0" collapsed="false">
      <c r="A26" s="120" t="str">
        <f aca="false">Checks!$A$215&amp;CHAR(10)&amp;IF(Checks!$I$215="","",Checks!$I$215&amp;": ")&amp;Checks!$J$215</f>
        <v>F07-T7-03
IFE: Digital menu in IFE confirmed (A339 only)</v>
      </c>
      <c r="B26" s="120" t="str">
        <f aca="false">Checks!$K$215&amp;IF(Checks!$O$215="","",IF(Checks!$K$215="","",CHAR(10))&amp;"Note: "&amp;Checks!$O$215)</f>
        <v>Applies when fleet = A339
Note: Digital IFE menu applies to A339 only (user brief). Applicability follows the Fleet cell on Flights.</v>
      </c>
      <c r="C26" s="120" t="str">
        <f aca="false">Checks!$N$215&amp;CHAR(10)&amp;IF(ISNUMBER(Checks!$R$215),TEXT(Checks!$R$215,"DD-MMM-YY HH:MM"),"")&amp;" "&amp;Checks!$P$215</f>
        <v>N/A – rule
02-Oct-26 11:00 LHR</v>
      </c>
      <c r="D26" s="120" t="str">
        <f aca="false">IF(TRIM(Checks!$U$215)&lt;&gt;"",Checks!$U$215&amp;IF(Checks!$AB$215="","",CHAR(10)&amp;"CA: "&amp;Checks!$AB$215),IF(LEFT(Checks!$AH$215,10)="N/A – RULE","","[ ] Pass"&amp;CHAR(10)&amp;"[ ] Pass after CA"&amp;CHAR(10)&amp;"[ ] Fail"&amp;IF(Checks!$AT$215=1,CHAR(10)&amp;"[ ] N/A","")&amp;CHAR(10)&amp;"CA: Open / Closed"))</f>
        <v/>
      </c>
      <c r="E26" s="120" t="str">
        <f aca="false">IF(Checks!$V$215="","",Checks!$V$215)&amp;IF(Checks!$AC$215="","",IF(Checks!$V$215="","",CHAR(10))&amp;"N/A just.: "&amp;Checks!$AC$215)&amp;IF(OR(Checks!$W$215&lt;&gt;"",AND(Checks!$AQ$215=1,NOT(LEFT(Checks!$AH$215,10)="N/A – RULE"))),CHAR(10)&amp;"Batch: "&amp;IF(Checks!$W$215="","____________",Checks!$W$215),"")&amp;IF(OR(Checks!$X$215&lt;&gt;"",Checks!$Y$215&lt;&gt;"",AND(Checks!$AR$215=1,NOT(LEFT(Checks!$AH$215,10)="N/A – RULE"))),CHAR(10)&amp;"Exp: "&amp;IF(Checks!$X$215="","______",Checks!$X$215)&amp;"  /  Act: "&amp;IF(Checks!$Y$215="","______",Checks!$Y$215),"")</f>
        <v/>
      </c>
      <c r="F26" s="120" t="str">
        <f aca="false">IF(AND(LEFT(Checks!$AH$215,10)="N/A – RULE",TRIM(Checks!$S$215&amp;Checks!$Z$215)=""),"","Type: "&amp;IF(TRIM(Checks!$S$215)="","______________ (see cover list)",Checks!$S$215)&amp;CHAR(10)&amp;"ID: "&amp;IF(TRIM(Checks!$Z$215)="","______________ (record's own no.)",Checks!$Z$215))&amp;IF(Checks!$AA$215="","",CHAR(10)&amp;"CA: "&amp;Checks!$AA$215)</f>
        <v/>
      </c>
      <c r="G26" s="120" t="str">
        <f aca="false">IF(AND(LEFT(Checks!$AH$215,10)="N/A – RULE",NOT(ISNUMBER(Checks!$AD$215)),Checks!$AE$215="",Checks!$T$215=""),"","Done: "&amp;IF(ISNUMBER(Checks!$AD$215),TEXT(Checks!$AD$215,"DD-MMM-YY HH:MM"),"____________")&amp;" "&amp;Checks!$P$215&amp;CHAR(10)&amp;"Verifier: "&amp;IF(Checks!$AE$215="","____________",Checks!$AE$215)&amp;CHAR(10)&amp;"PIC: "&amp;IF(Checks!$T$215="","____________",Checks!$T$215))</f>
        <v/>
      </c>
      <c r="H26" s="121" t="str">
        <f aca="false">IF(Checks!$AH$215="","",Checks!$AH$215)</f>
        <v>N/A – RULE</v>
      </c>
    </row>
    <row r="27" customFormat="false" ht="114" hidden="false" customHeight="true" outlineLevel="0" collapsed="false">
      <c r="A27" s="120" t="str">
        <f aca="false">Checks!$A$216&amp;CHAR(10)&amp;IF(Checks!$I$216="","",Checks!$I$216&amp;": ")&amp;Checks!$J$216</f>
        <v>F07-T7-04
Staffing: Experienced catering officer assigned to this flight</v>
      </c>
      <c r="B27" s="120" t="str">
        <f aca="false">Checks!$K$216&amp;IF(Checks!$O$216="","",IF(Checks!$K$216="","",CHAR(10))&amp;"Note: "&amp;Checks!$O$216)</f>
        <v>Record officer name in Result</v>
      </c>
      <c r="C27" s="120" t="str">
        <f aca="false">Checks!$N$216&amp;CHAR(10)&amp;IF(ISNUMBER(Checks!$R$216),TEXT(Checks!$R$216,"DD-MMM-YY HH:MM"),"")&amp;" "&amp;Checks!$P$216</f>
        <v>Required
02-Oct-26 11:00 LHR</v>
      </c>
      <c r="D27" s="120" t="str">
        <f aca="false">IF(TRIM(Checks!$U$216)&lt;&gt;"",Checks!$U$216&amp;IF(Checks!$AB$216="","",CHAR(10)&amp;"CA: "&amp;Checks!$AB$216),IF(LEFT(Checks!$AH$216,10)="N/A – RULE","","[ ] Pass"&amp;CHAR(10)&amp;"[ ] Pass after CA"&amp;CHAR(10)&amp;"[ ] Fail"&amp;IF(Checks!$AT$216=1,CHAR(10)&amp;"[ ] N/A","")&amp;CHAR(10)&amp;"CA: Open / Closed"))</f>
        <v>[ ] Pass
[ ] Pass after CA
[ ] Fail
CA: Open / Closed</v>
      </c>
      <c r="E27" s="120" t="str">
        <f aca="false">IF(Checks!$V$216="","",Checks!$V$216)&amp;IF(Checks!$AC$216="","",IF(Checks!$V$216="","",CHAR(10))&amp;"N/A just.: "&amp;Checks!$AC$216)&amp;IF(OR(Checks!$W$216&lt;&gt;"",AND(Checks!$AQ$216=1,NOT(LEFT(Checks!$AH$216,10)="N/A – RULE"))),CHAR(10)&amp;"Batch: "&amp;IF(Checks!$W$216="","____________",Checks!$W$216),"")&amp;IF(OR(Checks!$X$216&lt;&gt;"",Checks!$Y$216&lt;&gt;"",AND(Checks!$AR$216=1,NOT(LEFT(Checks!$AH$216,10)="N/A – RULE"))),CHAR(10)&amp;"Exp: "&amp;IF(Checks!$X$216="","______",Checks!$X$216)&amp;"  /  Act: "&amp;IF(Checks!$Y$216="","______",Checks!$Y$216),"")</f>
        <v/>
      </c>
      <c r="F27" s="120" t="str">
        <f aca="false">IF(AND(LEFT(Checks!$AH$216,10)="N/A – RULE",TRIM(Checks!$S$216&amp;Checks!$Z$216)=""),"","Type: "&amp;IF(TRIM(Checks!$S$216)="","______________ (see cover list)",Checks!$S$216)&amp;CHAR(10)&amp;"ID: "&amp;IF(TRIM(Checks!$Z$216)="","______________ (record's own no.)",Checks!$Z$216))&amp;IF(Checks!$AA$216="","",CHAR(10)&amp;"CA: "&amp;Checks!$AA$216)</f>
        <v>Type: ______________ (see cover list)
ID: ______________ (record's own no.)</v>
      </c>
      <c r="G27" s="120" t="str">
        <f aca="false">IF(AND(LEFT(Checks!$AH$216,10)="N/A – RULE",NOT(ISNUMBER(Checks!$AD$216)),Checks!$AE$216="",Checks!$T$216=""),"","Done: "&amp;IF(ISNUMBER(Checks!$AD$216),TEXT(Checks!$AD$216,"DD-MMM-YY HH:MM"),"____________")&amp;" "&amp;Checks!$P$216&amp;CHAR(10)&amp;"Verifier: "&amp;IF(Checks!$AE$216="","____________",Checks!$AE$216)&amp;CHAR(10)&amp;"PIC: "&amp;IF(Checks!$T$216="","____________",Checks!$T$216))</f>
        <v>Done: ____________ LHR
Verifier: ____________
PIC: ____________</v>
      </c>
      <c r="H27" s="121" t="str">
        <f aca="false">IF(Checks!$AH$216="","",Checks!$AH$216)</f>
        <v>OPEN</v>
      </c>
    </row>
    <row r="28" customFormat="false" ht="114" hidden="false" customHeight="true" outlineLevel="0" collapsed="false">
      <c r="A28" s="120" t="str">
        <f aca="false">Checks!$A$217&amp;CHAR(10)&amp;IF(Checks!$I$217="","",Checks!$I$217&amp;": ")&amp;Checks!$J$217</f>
        <v>F07-T7-05
ISOP: All latest applicable ISOP revisions communicated to caterer</v>
      </c>
      <c r="B28" s="120" t="str">
        <f aca="false">Checks!$K$217&amp;IF(Checks!$O$217="","",IF(Checks!$K$217="","",CHAR(10))&amp;"Note: "&amp;Checks!$O$217)</f>
        <v>List revision numbers in Result (see ISOP register)</v>
      </c>
      <c r="C28" s="120" t="str">
        <f aca="false">Checks!$N$217&amp;CHAR(10)&amp;IF(ISNUMBER(Checks!$R$217),TEXT(Checks!$R$217,"DD-MMM-YY HH:MM"),"")&amp;" "&amp;Checks!$P$217</f>
        <v>Required
02-Oct-26 11:00 LHR</v>
      </c>
      <c r="D28" s="120" t="str">
        <f aca="false">IF(TRIM(Checks!$U$217)&lt;&gt;"",Checks!$U$217&amp;IF(Checks!$AB$217="","",CHAR(10)&amp;"CA: "&amp;Checks!$AB$217),IF(LEFT(Checks!$AH$217,10)="N/A – RULE","","[ ] Pass"&amp;CHAR(10)&amp;"[ ] Pass after CA"&amp;CHAR(10)&amp;"[ ] Fail"&amp;IF(Checks!$AT$217=1,CHAR(10)&amp;"[ ] N/A","")&amp;CHAR(10)&amp;"CA: Open / Closed"))</f>
        <v>[ ] Pass
[ ] Pass after CA
[ ] Fail
CA: Open / Closed</v>
      </c>
      <c r="E28" s="120" t="str">
        <f aca="false">IF(Checks!$V$217="","",Checks!$V$217)&amp;IF(Checks!$AC$217="","",IF(Checks!$V$217="","",CHAR(10))&amp;"N/A just.: "&amp;Checks!$AC$217)&amp;IF(OR(Checks!$W$217&lt;&gt;"",AND(Checks!$AQ$217=1,NOT(LEFT(Checks!$AH$217,10)="N/A – RULE"))),CHAR(10)&amp;"Batch: "&amp;IF(Checks!$W$217="","____________",Checks!$W$217),"")&amp;IF(OR(Checks!$X$217&lt;&gt;"",Checks!$Y$217&lt;&gt;"",AND(Checks!$AR$217=1,NOT(LEFT(Checks!$AH$217,10)="N/A – RULE"))),CHAR(10)&amp;"Exp: "&amp;IF(Checks!$X$217="","______",Checks!$X$217)&amp;"  /  Act: "&amp;IF(Checks!$Y$217="","______",Checks!$Y$217),"")</f>
        <v/>
      </c>
      <c r="F28" s="120" t="str">
        <f aca="false">IF(AND(LEFT(Checks!$AH$217,10)="N/A – RULE",TRIM(Checks!$S$217&amp;Checks!$Z$217)=""),"","Type: "&amp;IF(TRIM(Checks!$S$217)="","______________ (see cover list)",Checks!$S$217)&amp;CHAR(10)&amp;"ID: "&amp;IF(TRIM(Checks!$Z$217)="","______________ (record's own no.)",Checks!$Z$217))&amp;IF(Checks!$AA$217="","",CHAR(10)&amp;"CA: "&amp;Checks!$AA$217)</f>
        <v>Type: ______________ (see cover list)
ID: ______________ (record's own no.)</v>
      </c>
      <c r="G28" s="120" t="str">
        <f aca="false">IF(AND(LEFT(Checks!$AH$217,10)="N/A – RULE",NOT(ISNUMBER(Checks!$AD$217)),Checks!$AE$217="",Checks!$T$217=""),"","Done: "&amp;IF(ISNUMBER(Checks!$AD$217),TEXT(Checks!$AD$217,"DD-MMM-YY HH:MM"),"____________")&amp;" "&amp;Checks!$P$217&amp;CHAR(10)&amp;"Verifier: "&amp;IF(Checks!$AE$217="","____________",Checks!$AE$217)&amp;CHAR(10)&amp;"PIC: "&amp;IF(Checks!$T$217="","____________",Checks!$T$217))</f>
        <v>Done: ____________ LHR
Verifier: ____________
PIC: ____________</v>
      </c>
      <c r="H28" s="121" t="str">
        <f aca="false">IF(Checks!$AH$217="","",Checks!$AH$217)</f>
        <v>OPEN</v>
      </c>
    </row>
    <row r="29" customFormat="false" ht="114" hidden="false" customHeight="true" outlineLevel="0" collapsed="false">
      <c r="A29" s="120" t="str">
        <f aca="false">Checks!$A$218&amp;CHAR(10)&amp;IF(Checks!$I$218="","",Checks!$I$218&amp;": ")&amp;Checks!$J$218</f>
        <v>F07-T7-06
ISOP: Caterer acknowledgement of ISOP revisions recorded</v>
      </c>
      <c r="B29" s="120" t="str">
        <f aca="false">Checks!$K$218&amp;IF(Checks!$O$218="","",IF(Checks!$K$218="","",CHAR(10))&amp;"Note: "&amp;Checks!$O$218)</f>
        <v>Record acknowledgement ref in Evidence</v>
      </c>
      <c r="C29" s="120" t="str">
        <f aca="false">Checks!$N$218&amp;CHAR(10)&amp;IF(ISNUMBER(Checks!$R$218),TEXT(Checks!$R$218,"DD-MMM-YY HH:MM"),"")&amp;" "&amp;Checks!$P$218</f>
        <v>Required
02-Oct-26 11:00 LHR</v>
      </c>
      <c r="D29" s="120" t="str">
        <f aca="false">IF(TRIM(Checks!$U$218)&lt;&gt;"",Checks!$U$218&amp;IF(Checks!$AB$218="","",CHAR(10)&amp;"CA: "&amp;Checks!$AB$218),IF(LEFT(Checks!$AH$218,10)="N/A – RULE","","[ ] Pass"&amp;CHAR(10)&amp;"[ ] Pass after CA"&amp;CHAR(10)&amp;"[ ] Fail"&amp;IF(Checks!$AT$218=1,CHAR(10)&amp;"[ ] N/A","")&amp;CHAR(10)&amp;"CA: Open / Closed"))</f>
        <v>[ ] Pass
[ ] Pass after CA
[ ] Fail
CA: Open / Closed</v>
      </c>
      <c r="E29" s="120" t="str">
        <f aca="false">IF(Checks!$V$218="","",Checks!$V$218)&amp;IF(Checks!$AC$218="","",IF(Checks!$V$218="","",CHAR(10))&amp;"N/A just.: "&amp;Checks!$AC$218)&amp;IF(OR(Checks!$W$218&lt;&gt;"",AND(Checks!$AQ$218=1,NOT(LEFT(Checks!$AH$218,10)="N/A – RULE"))),CHAR(10)&amp;"Batch: "&amp;IF(Checks!$W$218="","____________",Checks!$W$218),"")&amp;IF(OR(Checks!$X$218&lt;&gt;"",Checks!$Y$218&lt;&gt;"",AND(Checks!$AR$218=1,NOT(LEFT(Checks!$AH$218,10)="N/A – RULE"))),CHAR(10)&amp;"Exp: "&amp;IF(Checks!$X$218="","______",Checks!$X$218)&amp;"  /  Act: "&amp;IF(Checks!$Y$218="","______",Checks!$Y$218),"")</f>
        <v/>
      </c>
      <c r="F29" s="120" t="str">
        <f aca="false">IF(AND(LEFT(Checks!$AH$218,10)="N/A – RULE",TRIM(Checks!$S$218&amp;Checks!$Z$218)=""),"","Type: "&amp;IF(TRIM(Checks!$S$218)="","______________ (see cover list)",Checks!$S$218)&amp;CHAR(10)&amp;"ID: "&amp;IF(TRIM(Checks!$Z$218)="","______________ (record's own no.)",Checks!$Z$218))&amp;IF(Checks!$AA$218="","",CHAR(10)&amp;"CA: "&amp;Checks!$AA$218)</f>
        <v>Type: ______________ (see cover list)
ID: ______________ (record's own no.)</v>
      </c>
      <c r="G29" s="120" t="str">
        <f aca="false">IF(AND(LEFT(Checks!$AH$218,10)="N/A – RULE",NOT(ISNUMBER(Checks!$AD$218)),Checks!$AE$218="",Checks!$T$218=""),"","Done: "&amp;IF(ISNUMBER(Checks!$AD$218),TEXT(Checks!$AD$218,"DD-MMM-YY HH:MM"),"____________")&amp;" "&amp;Checks!$P$218&amp;CHAR(10)&amp;"Verifier: "&amp;IF(Checks!$AE$218="","____________",Checks!$AE$218)&amp;CHAR(10)&amp;"PIC: "&amp;IF(Checks!$T$218="","____________",Checks!$T$218))</f>
        <v>Done: ____________ LHR
Verifier: ____________
PIC: ____________</v>
      </c>
      <c r="H29" s="121" t="str">
        <f aca="false">IF(Checks!$AH$218="","",Checks!$AH$218)</f>
        <v>OPEN</v>
      </c>
    </row>
    <row r="30" customFormat="false" ht="114" hidden="false" customHeight="true" outlineLevel="0" collapsed="false">
      <c r="A30" s="120" t="str">
        <f aca="false">Checks!$A$219&amp;CHAR(10)&amp;IF(Checks!$I$219="","",Checks!$I$219&amp;": ")&amp;Checks!$J$219</f>
        <v>F07-T7-07
Documents: Galley loading diagram (GLD) received, revision recorded &amp; attached</v>
      </c>
      <c r="B30" s="120" t="str">
        <f aca="false">SUBSTITUTE(Checks!$K$219&amp;IF(Checks!$O$219="","",IF(Checks!$K$219="","",CHAR(10))&amp;"Note: "&amp;Checks!$O$219),"Documents sheet row complete","Recorded on the Documents sheet; copy stapled as A1 / A2")</f>
        <v>Recorded on the Documents sheet; copy stapled as A1 / A2</v>
      </c>
      <c r="C30" s="120" t="str">
        <f aca="false">Checks!$N$219&amp;CHAR(10)&amp;IF(ISNUMBER(Checks!$R$219),TEXT(Checks!$R$219,"DD-MMM-YY HH:MM"),"")&amp;" "&amp;Checks!$P$219</f>
        <v>Required
02-Oct-26 11:00 LHR</v>
      </c>
      <c r="D30" s="120" t="str">
        <f aca="false">IF(TRIM(Checks!$U$219)&lt;&gt;"",Checks!$U$219&amp;IF(Checks!$AB$219="","",CHAR(10)&amp;"CA: "&amp;Checks!$AB$219),IF(LEFT(Checks!$AH$219,10)="N/A – RULE","","[ ] Pass"&amp;CHAR(10)&amp;"[ ] Pass after CA"&amp;CHAR(10)&amp;"[ ] Fail"&amp;IF(Checks!$AT$219=1,CHAR(10)&amp;"[ ] N/A","")&amp;CHAR(10)&amp;"CA: Open / Closed"))</f>
        <v>[ ] Pass
[ ] Pass after CA
[ ] Fail
CA: Open / Closed</v>
      </c>
      <c r="E30" s="120" t="str">
        <f aca="false">IF(Checks!$V$219="","",Checks!$V$219)&amp;IF(Checks!$AC$219="","",IF(Checks!$V$219="","",CHAR(10))&amp;"N/A just.: "&amp;Checks!$AC$219)&amp;IF(OR(Checks!$W$219&lt;&gt;"",AND(Checks!$AQ$219=1,NOT(LEFT(Checks!$AH$219,10)="N/A – RULE"))),CHAR(10)&amp;"Batch: "&amp;IF(Checks!$W$219="","____________",Checks!$W$219),"")&amp;IF(OR(Checks!$X$219&lt;&gt;"",Checks!$Y$219&lt;&gt;"",AND(Checks!$AR$219=1,NOT(LEFT(Checks!$AH$219,10)="N/A – RULE"))),CHAR(10)&amp;"Exp: "&amp;IF(Checks!$X$219="","______",Checks!$X$219)&amp;"  /  Act: "&amp;IF(Checks!$Y$219="","______",Checks!$Y$219),"")</f>
        <v/>
      </c>
      <c r="F30" s="120" t="str">
        <f aca="false">IF(AND(LEFT(Checks!$AH$219,10)="N/A – RULE",TRIM(Checks!$S$219&amp;Checks!$Z$219)=""),"","Type: "&amp;IF(TRIM(Checks!$S$219)="","______________ (see cover list)",Checks!$S$219)&amp;CHAR(10)&amp;"ID: "&amp;IF(TRIM(Checks!$Z$219)="","______________ (record's own no.)",Checks!$Z$219))&amp;IF(Checks!$AA$219="","",CHAR(10)&amp;"CA: "&amp;Checks!$AA$219)</f>
        <v>Type: ______________ (see cover list)
ID: ______________ (record's own no.)</v>
      </c>
      <c r="G30" s="120" t="str">
        <f aca="false">IF(AND(LEFT(Checks!$AH$219,10)="N/A – RULE",NOT(ISNUMBER(Checks!$AD$219)),Checks!$AE$219="",Checks!$T$219=""),"","Done: "&amp;IF(ISNUMBER(Checks!$AD$219),TEXT(Checks!$AD$219,"DD-MMM-YY HH:MM"),"____________")&amp;" "&amp;Checks!$P$219&amp;CHAR(10)&amp;"Verifier: "&amp;IF(Checks!$AE$219="","____________",Checks!$AE$219)&amp;CHAR(10)&amp;"PIC: "&amp;IF(Checks!$T$219="","____________",Checks!$T$219))</f>
        <v>Done: ____________ LHR
Verifier: ____________
PIC: ____________</v>
      </c>
      <c r="H30" s="121" t="str">
        <f aca="false">IF(Checks!$AH$219="","",Checks!$AH$219)</f>
        <v>OPEN</v>
      </c>
    </row>
    <row r="31" customFormat="false" ht="114" hidden="false" customHeight="true" outlineLevel="0" collapsed="false">
      <c r="A31" s="120" t="str">
        <f aca="false">Checks!$A$220&amp;CHAR(10)&amp;IF(Checks!$I$220="","",Checks!$I$220&amp;": ")&amp;Checks!$J$220</f>
        <v>F07-T7-08
Documents: Menu checklist received, revision recorded &amp; attached</v>
      </c>
      <c r="B31" s="120" t="str">
        <f aca="false">SUBSTITUTE(Checks!$K$220&amp;IF(Checks!$O$220="","",IF(Checks!$K$220="","",CHAR(10))&amp;"Note: "&amp;Checks!$O$220),"Documents sheet row complete","Recorded on the Documents sheet; copy stapled as A1 / A2")</f>
        <v>Recorded on the Documents sheet; copy stapled as A1 / A2</v>
      </c>
      <c r="C31" s="120" t="str">
        <f aca="false">Checks!$N$220&amp;CHAR(10)&amp;IF(ISNUMBER(Checks!$R$220),TEXT(Checks!$R$220,"DD-MMM-YY HH:MM"),"")&amp;" "&amp;Checks!$P$220</f>
        <v>Required
02-Oct-26 11:00 LHR</v>
      </c>
      <c r="D31" s="120" t="str">
        <f aca="false">IF(TRIM(Checks!$U$220)&lt;&gt;"",Checks!$U$220&amp;IF(Checks!$AB$220="","",CHAR(10)&amp;"CA: "&amp;Checks!$AB$220),IF(LEFT(Checks!$AH$220,10)="N/A – RULE","","[ ] Pass"&amp;CHAR(10)&amp;"[ ] Pass after CA"&amp;CHAR(10)&amp;"[ ] Fail"&amp;IF(Checks!$AT$220=1,CHAR(10)&amp;"[ ] N/A","")&amp;CHAR(10)&amp;"CA: Open / Closed"))</f>
        <v>[ ] Pass
[ ] Pass after CA
[ ] Fail
CA: Open / Closed</v>
      </c>
      <c r="E31" s="120" t="str">
        <f aca="false">IF(Checks!$V$220="","",Checks!$V$220)&amp;IF(Checks!$AC$220="","",IF(Checks!$V$220="","",CHAR(10))&amp;"N/A just.: "&amp;Checks!$AC$220)&amp;IF(OR(Checks!$W$220&lt;&gt;"",AND(Checks!$AQ$220=1,NOT(LEFT(Checks!$AH$220,10)="N/A – RULE"))),CHAR(10)&amp;"Batch: "&amp;IF(Checks!$W$220="","____________",Checks!$W$220),"")&amp;IF(OR(Checks!$X$220&lt;&gt;"",Checks!$Y$220&lt;&gt;"",AND(Checks!$AR$220=1,NOT(LEFT(Checks!$AH$220,10)="N/A – RULE"))),CHAR(10)&amp;"Exp: "&amp;IF(Checks!$X$220="","______",Checks!$X$220)&amp;"  /  Act: "&amp;IF(Checks!$Y$220="","______",Checks!$Y$220),"")</f>
        <v/>
      </c>
      <c r="F31" s="120" t="str">
        <f aca="false">IF(AND(LEFT(Checks!$AH$220,10)="N/A – RULE",TRIM(Checks!$S$220&amp;Checks!$Z$220)=""),"","Type: "&amp;IF(TRIM(Checks!$S$220)="","______________ (see cover list)",Checks!$S$220)&amp;CHAR(10)&amp;"ID: "&amp;IF(TRIM(Checks!$Z$220)="","______________ (record's own no.)",Checks!$Z$220))&amp;IF(Checks!$AA$220="","",CHAR(10)&amp;"CA: "&amp;Checks!$AA$220)</f>
        <v>Type: ______________ (see cover list)
ID: ______________ (record's own no.)</v>
      </c>
      <c r="G31" s="120" t="str">
        <f aca="false">IF(AND(LEFT(Checks!$AH$220,10)="N/A – RULE",NOT(ISNUMBER(Checks!$AD$220)),Checks!$AE$220="",Checks!$T$220=""),"","Done: "&amp;IF(ISNUMBER(Checks!$AD$220),TEXT(Checks!$AD$220,"DD-MMM-YY HH:MM"),"____________")&amp;" "&amp;Checks!$P$220&amp;CHAR(10)&amp;"Verifier: "&amp;IF(Checks!$AE$220="","____________",Checks!$AE$220)&amp;CHAR(10)&amp;"PIC: "&amp;IF(Checks!$T$220="","____________",Checks!$T$220))</f>
        <v>Done: ____________ LHR
Verifier: ____________
PIC: ____________</v>
      </c>
      <c r="H31" s="121" t="str">
        <f aca="false">IF(Checks!$AH$220="","",Checks!$AH$220)</f>
        <v>OPEN</v>
      </c>
    </row>
    <row r="32" customFormat="false" ht="114" hidden="false" customHeight="true" outlineLevel="0" collapsed="false">
      <c r="A32" s="120" t="str">
        <f aca="false">Checks!$A$221&amp;CHAR(10)&amp;IF(Checks!$I$221="","",Checks!$I$221&amp;": ")&amp;Checks!$J$221</f>
        <v>F07-T7-09
Uplift plan: Uplift plan confirmed with caterer vs STD Uplift Information</v>
      </c>
      <c r="B32" s="120" t="str">
        <f aca="false">Checks!$K$221&amp;IF(Checks!$O$221="","",IF(Checks!$K$221="","",CHAR(10))&amp;"Note: "&amp;Checks!$O$221)</f>
        <v>Service: 2.5 Meal (Meal); meal uplift stn LHR (ref lists KUL/LHR)</v>
      </c>
      <c r="C32" s="120" t="str">
        <f aca="false">Checks!$N$221&amp;CHAR(10)&amp;IF(ISNUMBER(Checks!$R$221),TEXT(Checks!$R$221,"DD-MMM-YY HH:MM"),"")&amp;" "&amp;Checks!$P$221</f>
        <v>Required
02-Oct-26 11:00 LHR</v>
      </c>
      <c r="D32" s="120" t="str">
        <f aca="false">IF(TRIM(Checks!$U$221)&lt;&gt;"",Checks!$U$221&amp;IF(Checks!$AB$221="","",CHAR(10)&amp;"CA: "&amp;Checks!$AB$221),IF(LEFT(Checks!$AH$221,10)="N/A – RULE","","[ ] Pass"&amp;CHAR(10)&amp;"[ ] Pass after CA"&amp;CHAR(10)&amp;"[ ] Fail"&amp;IF(Checks!$AT$221=1,CHAR(10)&amp;"[ ] N/A","")&amp;CHAR(10)&amp;"CA: Open / Closed"))</f>
        <v>[ ] Pass
[ ] Pass after CA
[ ] Fail
CA: Open / Closed</v>
      </c>
      <c r="E32" s="120" t="str">
        <f aca="false">IF(Checks!$V$221="","",Checks!$V$221)&amp;IF(Checks!$AC$221="","",IF(Checks!$V$221="","",CHAR(10))&amp;"N/A just.: "&amp;Checks!$AC$221)&amp;IF(OR(Checks!$W$221&lt;&gt;"",AND(Checks!$AQ$221=1,NOT(LEFT(Checks!$AH$221,10)="N/A – RULE"))),CHAR(10)&amp;"Batch: "&amp;IF(Checks!$W$221="","____________",Checks!$W$221),"")&amp;IF(OR(Checks!$X$221&lt;&gt;"",Checks!$Y$221&lt;&gt;"",AND(Checks!$AR$221=1,NOT(LEFT(Checks!$AH$221,10)="N/A – RULE"))),CHAR(10)&amp;"Exp: "&amp;IF(Checks!$X$221="","______",Checks!$X$221)&amp;"  /  Act: "&amp;IF(Checks!$Y$221="","______",Checks!$Y$221),"")</f>
        <v/>
      </c>
      <c r="F32" s="120" t="str">
        <f aca="false">IF(AND(LEFT(Checks!$AH$221,10)="N/A – RULE",TRIM(Checks!$S$221&amp;Checks!$Z$221)=""),"","Type: "&amp;IF(TRIM(Checks!$S$221)="","______________ (see cover list)",Checks!$S$221)&amp;CHAR(10)&amp;"ID: "&amp;IF(TRIM(Checks!$Z$221)="","______________ (record's own no.)",Checks!$Z$221))&amp;IF(Checks!$AA$221="","",CHAR(10)&amp;"CA: "&amp;Checks!$AA$221)</f>
        <v>Type: ______________ (see cover list)
ID: ______________ (record's own no.)</v>
      </c>
      <c r="G32" s="120" t="str">
        <f aca="false">IF(AND(LEFT(Checks!$AH$221,10)="N/A – RULE",NOT(ISNUMBER(Checks!$AD$221)),Checks!$AE$221="",Checks!$T$221=""),"","Done: "&amp;IF(ISNUMBER(Checks!$AD$221),TEXT(Checks!$AD$221,"DD-MMM-YY HH:MM"),"____________")&amp;" "&amp;Checks!$P$221&amp;CHAR(10)&amp;"Verifier: "&amp;IF(Checks!$AE$221="","____________",Checks!$AE$221)&amp;CHAR(10)&amp;"PIC: "&amp;IF(Checks!$T$221="","____________",Checks!$T$221))</f>
        <v>Done: ____________ LHR
Verifier: ____________
PIC: ____________</v>
      </c>
      <c r="H32" s="121" t="str">
        <f aca="false">IF(Checks!$AH$221="","",Checks!$AH$221)</f>
        <v>OPEN</v>
      </c>
    </row>
    <row r="33" customFormat="false" ht="289.5" hidden="false" customHeight="true" outlineLevel="0" collapsed="false">
      <c r="A33" s="120" t="str">
        <f aca="false">Checks!$A$222&amp;CHAR(10)&amp;IF(Checks!$I$222="","",Checks!$I$222&amp;": ")&amp;Checks!$J$222</f>
        <v>F07-T7-10
Uplift plan: Inbound KUL-LHR flight carrying KUL-sourced items identified and its KUL departure (UTC) entered on Flights col AX</v>
      </c>
      <c r="B33" s="120" t="str">
        <f aca="false">SUBSTITUTE(Checks!$K$222&amp;IF(Checks!$O$222="","",IF(Checks!$K$222="","",CHAR(10))&amp;"Note: "&amp;Checks!$O$222),"until Flights AX holds","until the workbook (Flights sheet) holds")</f>
        <v>KUL-sourced items (Pajamas (BC), Slippers (BS/BC), Signature drink &amp; garnish (BC)) travel on the inbound KUL-LHR sector
Note: Cannot be passed until the workbook (Flights sheet) holds the carrying flight's KUL departure (no KUL-LHR flight before this leg in the agenda). Until then the prep and KUL-loading dues assume the agenda candidate's KUL departure, or if none, the latest possible one (STD minus the shortest agenda KUL-LHR block).</v>
      </c>
      <c r="C33" s="120" t="str">
        <f aca="false">Checks!$N$222&amp;CHAR(10)&amp;IF(ISNUMBER(Checks!$R$222),TEXT(Checks!$R$222,"DD-MMM-YY HH:MM"),"")&amp;" "&amp;Checks!$P$222</f>
        <v>Clarification required
02-Oct-26 18:00 KUL</v>
      </c>
      <c r="D33" s="120" t="str">
        <f aca="false">IF(TRIM(Checks!$U$222)&lt;&gt;"",Checks!$U$222&amp;IF(Checks!$AB$222="","",CHAR(10)&amp;"CA: "&amp;Checks!$AB$222),IF(LEFT(Checks!$AH$222,10)="N/A – RULE","","[ ] Pass"&amp;CHAR(10)&amp;"[ ] Pass after CA"&amp;CHAR(10)&amp;"[ ] Fail"&amp;IF(Checks!$AT$222=1,CHAR(10)&amp;"[ ] N/A","")&amp;CHAR(10)&amp;"CA: Open / Closed"))</f>
        <v>[ ] Pass
[ ] Pass after CA
[ ] Fail
CA: Open / Closed</v>
      </c>
      <c r="E33" s="120" t="str">
        <f aca="false">IF(Checks!$V$222="","",Checks!$V$222)&amp;IF(Checks!$AC$222="","",IF(Checks!$V$222="","",CHAR(10))&amp;"N/A just.: "&amp;Checks!$AC$222)&amp;IF(OR(Checks!$W$222&lt;&gt;"",AND(Checks!$AQ$222=1,NOT(LEFT(Checks!$AH$222,10)="N/A – RULE"))),CHAR(10)&amp;"Batch: "&amp;IF(Checks!$W$222="","____________",Checks!$W$222),"")&amp;IF(OR(Checks!$X$222&lt;&gt;"",Checks!$Y$222&lt;&gt;"",AND(Checks!$AR$222=1,NOT(LEFT(Checks!$AH$222,10)="N/A – RULE"))),CHAR(10)&amp;"Exp: "&amp;IF(Checks!$X$222="","______",Checks!$X$222)&amp;"  /  Act: "&amp;IF(Checks!$Y$222="","______",Checks!$Y$222),"")</f>
        <v/>
      </c>
      <c r="F33" s="120" t="str">
        <f aca="false">IF(AND(LEFT(Checks!$AH$222,10)="N/A – RULE",TRIM(Checks!$S$222&amp;Checks!$Z$222)=""),"","Type: "&amp;IF(TRIM(Checks!$S$222)="","______________ (see cover list)",Checks!$S$222)&amp;CHAR(10)&amp;"ID: "&amp;IF(TRIM(Checks!$Z$222)="","______________ (record's own no.)",Checks!$Z$222))&amp;IF(Checks!$AA$222="","",CHAR(10)&amp;"CA: "&amp;Checks!$AA$222)</f>
        <v>Type: ______________ (see cover list)
ID: ______________ (record's own no.)</v>
      </c>
      <c r="G33" s="120" t="str">
        <f aca="false">IF(AND(LEFT(Checks!$AH$222,10)="N/A – RULE",NOT(ISNUMBER(Checks!$AD$222)),Checks!$AE$222="",Checks!$T$222=""),"","Done: "&amp;IF(ISNUMBER(Checks!$AD$222),TEXT(Checks!$AD$222,"DD-MMM-YY HH:MM"),"____________")&amp;" "&amp;Checks!$P$222&amp;CHAR(10)&amp;"Verifier: "&amp;IF(Checks!$AE$222="","____________",Checks!$AE$222)&amp;CHAR(10)&amp;"PIC: "&amp;IF(Checks!$T$222="","____________",Checks!$T$222))</f>
        <v>Done: ____________ KUL
Verifier: ____________
PIC: ____________</v>
      </c>
      <c r="H33" s="121" t="str">
        <f aca="false">IF(Checks!$AH$222="","",Checks!$AH$222)</f>
        <v>OPEN – CLARIFICATION</v>
      </c>
    </row>
    <row r="34" customFormat="false" ht="25.5" hidden="false" customHeight="true" outlineLevel="0" collapsed="false">
      <c r="A34" s="119" t="str">
        <f aca="false">"T-24H — Production batch sensory  |  Due "&amp;IF(ISNUMBER(Flights!$AH$11),TEXT(Flights!$AH$11,"DD-MMM-YY HH:MM"),"")&amp;" "&amp;Flights!$V$11&amp;" (meal uplift stn)"&amp;" (rows with another due show their own)  |  Complete "&amp;IF(ISNUMBER(Flights!$AK$11),TEXT(Flights!$AK$11,"0%"),Flights!$AK$11)&amp;"  |  1 lines"</f>
        <v>T-24H — Production batch sensory  |  Due 08-Oct-26 11:00 LHR (meal uplift stn) (rows with another due show their own)  |  Complete 0%  |  1 lines</v>
      </c>
      <c r="B34" s="119"/>
      <c r="C34" s="119"/>
      <c r="D34" s="119"/>
      <c r="E34" s="119"/>
      <c r="F34" s="119"/>
      <c r="G34" s="119"/>
      <c r="H34" s="119"/>
    </row>
    <row r="35" customFormat="false" ht="114" hidden="false" customHeight="true" outlineLevel="0" collapsed="false">
      <c r="A35" s="120" t="str">
        <f aca="false">Checks!$A$223&amp;CHAR(10)&amp;IF(Checks!$I$223="","",Checks!$I$223&amp;": ")&amp;Checks!$J$223</f>
        <v>F07-T24-01
Meal: Sensory test repeated on ACTUAL production batch for this flight</v>
      </c>
      <c r="B35" s="120" t="str">
        <f aca="false">Checks!$K$223&amp;IF(Checks!$O$223="","",IF(Checks!$K$223="","",CHAR(10))&amp;"Note: "&amp;Checks!$O$223)</f>
        <v>Batch ID, result, CA and acceptance mandatory</v>
      </c>
      <c r="C35" s="120" t="str">
        <f aca="false">Checks!$N$223&amp;CHAR(10)&amp;IF(ISNUMBER(Checks!$R$223),TEXT(Checks!$R$223,"DD-MMM-YY HH:MM"),"")&amp;" "&amp;Checks!$P$223</f>
        <v>Required
08-Oct-26 11:00 LHR</v>
      </c>
      <c r="D35" s="120" t="str">
        <f aca="false">IF(TRIM(Checks!$U$223)&lt;&gt;"",Checks!$U$223&amp;IF(Checks!$AB$223="","",CHAR(10)&amp;"CA: "&amp;Checks!$AB$223),IF(LEFT(Checks!$AH$223,10)="N/A – RULE","","[ ] Pass"&amp;CHAR(10)&amp;"[ ] Pass after CA"&amp;CHAR(10)&amp;"[ ] Fail"&amp;IF(Checks!$AT$223=1,CHAR(10)&amp;"[ ] N/A","")&amp;CHAR(10)&amp;"CA: Open / Closed"))</f>
        <v>[ ] Pass
[ ] Pass after CA
[ ] Fail
CA: Open / Closed</v>
      </c>
      <c r="E35" s="120" t="str">
        <f aca="false">IF(Checks!$V$223="","",Checks!$V$223)&amp;IF(Checks!$AC$223="","",IF(Checks!$V$223="","",CHAR(10))&amp;"N/A just.: "&amp;Checks!$AC$223)&amp;IF(OR(Checks!$W$223&lt;&gt;"",AND(Checks!$AQ$223=1,NOT(LEFT(Checks!$AH$223,10)="N/A – RULE"))),CHAR(10)&amp;"Batch: "&amp;IF(Checks!$W$223="","____________",Checks!$W$223),"")&amp;IF(OR(Checks!$X$223&lt;&gt;"",Checks!$Y$223&lt;&gt;"",AND(Checks!$AR$223=1,NOT(LEFT(Checks!$AH$223,10)="N/A – RULE"))),CHAR(10)&amp;"Exp: "&amp;IF(Checks!$X$223="","______",Checks!$X$223)&amp;"  /  Act: "&amp;IF(Checks!$Y$223="","______",Checks!$Y$223),"")</f>
        <v>
Batch: ____________</v>
      </c>
      <c r="F35" s="120" t="str">
        <f aca="false">IF(AND(LEFT(Checks!$AH$223,10)="N/A – RULE",TRIM(Checks!$S$223&amp;Checks!$Z$223)=""),"","Type: "&amp;IF(TRIM(Checks!$S$223)="","______________ (see cover list)",Checks!$S$223)&amp;CHAR(10)&amp;"ID: "&amp;IF(TRIM(Checks!$Z$223)="","______________ (record's own no.)",Checks!$Z$223))&amp;IF(Checks!$AA$223="","",CHAR(10)&amp;"CA: "&amp;Checks!$AA$223)</f>
        <v>Type: ______________ (see cover list)
ID: ______________ (record's own no.)</v>
      </c>
      <c r="G35" s="120" t="str">
        <f aca="false">IF(AND(LEFT(Checks!$AH$223,10)="N/A – RULE",NOT(ISNUMBER(Checks!$AD$223)),Checks!$AE$223="",Checks!$T$223=""),"","Done: "&amp;IF(ISNUMBER(Checks!$AD$223),TEXT(Checks!$AD$223,"DD-MMM-YY HH:MM"),"____________")&amp;" "&amp;Checks!$P$223&amp;CHAR(10)&amp;"Verifier: "&amp;IF(Checks!$AE$223="","____________",Checks!$AE$223)&amp;CHAR(10)&amp;"PIC: "&amp;IF(Checks!$T$223="","____________",Checks!$T$223))</f>
        <v>Done: ____________ LHR
Verifier: ____________
PIC: ____________</v>
      </c>
      <c r="H35" s="121" t="str">
        <f aca="false">IF(Checks!$AH$223="","",Checks!$AH$223)</f>
        <v>OPEN</v>
      </c>
    </row>
    <row r="36" customFormat="false" ht="25.5" hidden="false" customHeight="true" outlineLevel="0" collapsed="false">
      <c r="A36" s="119" t="str">
        <f aca="false">"T-12H PREP — Preparation check at caterer (does NOT confirm loading)  |  Due "&amp;IF(ISNUMBER(Flights!$AI$11),TEXT(Flights!$AI$11,"DD-MMM-YY HH:MM"),"")&amp;" "&amp;Flights!$V$11&amp;" (meal uplift stn)"&amp;" (rows with another due show their own)  |  Complete "&amp;IF(ISNUMBER(Flights!$AL$11),TEXT(Flights!$AL$11,"0%"),Flights!$AL$11)&amp;"  |  21 lines"</f>
        <v>T-12H PREP — Preparation check at caterer (does NOT confirm loading)  |  Due 08-Oct-26 23:00 LHR (meal uplift stn) (rows with another due show their own)  |  Complete 0%  |  21 lines</v>
      </c>
      <c r="B36" s="119"/>
      <c r="C36" s="119"/>
      <c r="D36" s="119"/>
      <c r="E36" s="119"/>
      <c r="F36" s="119"/>
      <c r="G36" s="119"/>
      <c r="H36" s="119"/>
    </row>
    <row r="37" customFormat="false" ht="114" hidden="false" customHeight="true" outlineLevel="0" collapsed="false">
      <c r="A37" s="120" t="str">
        <f aca="false">Checks!$A$224&amp;CHAR(10)&amp;IF(Checks!$I$224="","",Checks!$I$224&amp;": ")&amp;Checks!$J$224</f>
        <v>F07-T12-01
Meal: Meal quality vs menu checklist</v>
      </c>
      <c r="B37" s="120" t="str">
        <f aca="false">Checks!$K$224&amp;IF(Checks!$O$224="","",IF(Checks!$K$224="","",CHAR(10))&amp;"Note: "&amp;Checks!$O$224)</f>
        <v>Note: Preparation check at caterer - does NOT confirm loading.</v>
      </c>
      <c r="C37" s="120" t="str">
        <f aca="false">Checks!$N$224&amp;CHAR(10)&amp;IF(ISNUMBER(Checks!$R$224),TEXT(Checks!$R$224,"DD-MMM-YY HH:MM"),"")&amp;" "&amp;Checks!$P$224</f>
        <v>Required
08-Oct-26 23:00 LHR</v>
      </c>
      <c r="D37" s="120" t="str">
        <f aca="false">IF(TRIM(Checks!$U$224)&lt;&gt;"",Checks!$U$224&amp;IF(Checks!$AB$224="","",CHAR(10)&amp;"CA: "&amp;Checks!$AB$224),IF(LEFT(Checks!$AH$224,10)="N/A – RULE","","[ ] Pass"&amp;CHAR(10)&amp;"[ ] Pass after CA"&amp;CHAR(10)&amp;"[ ] Fail"&amp;IF(Checks!$AT$224=1,CHAR(10)&amp;"[ ] N/A","")&amp;CHAR(10)&amp;"CA: Open / Closed"))</f>
        <v>[ ] Pass
[ ] Pass after CA
[ ] Fail
CA: Open / Closed</v>
      </c>
      <c r="E37" s="120" t="str">
        <f aca="false">IF(Checks!$V$224="","",Checks!$V$224)&amp;IF(Checks!$AC$224="","",IF(Checks!$V$224="","",CHAR(10))&amp;"N/A just.: "&amp;Checks!$AC$224)&amp;IF(OR(Checks!$W$224&lt;&gt;"",AND(Checks!$AQ$224=1,NOT(LEFT(Checks!$AH$224,10)="N/A – RULE"))),CHAR(10)&amp;"Batch: "&amp;IF(Checks!$W$224="","____________",Checks!$W$224),"")&amp;IF(OR(Checks!$X$224&lt;&gt;"",Checks!$Y$224&lt;&gt;"",AND(Checks!$AR$224=1,NOT(LEFT(Checks!$AH$224,10)="N/A – RULE"))),CHAR(10)&amp;"Exp: "&amp;IF(Checks!$X$224="","______",Checks!$X$224)&amp;"  /  Act: "&amp;IF(Checks!$Y$224="","______",Checks!$Y$224),"")</f>
        <v/>
      </c>
      <c r="F37" s="120" t="str">
        <f aca="false">IF(AND(LEFT(Checks!$AH$224,10)="N/A – RULE",TRIM(Checks!$S$224&amp;Checks!$Z$224)=""),"","Type: "&amp;IF(TRIM(Checks!$S$224)="","______________ (see cover list)",Checks!$S$224)&amp;CHAR(10)&amp;"ID: "&amp;IF(TRIM(Checks!$Z$224)="","______________ (record's own no.)",Checks!$Z$224))&amp;IF(Checks!$AA$224="","",CHAR(10)&amp;"CA: "&amp;Checks!$AA$224)</f>
        <v>Type: ______________ (see cover list)
ID: ______________ (record's own no.)</v>
      </c>
      <c r="G37" s="120" t="str">
        <f aca="false">IF(AND(LEFT(Checks!$AH$224,10)="N/A – RULE",NOT(ISNUMBER(Checks!$AD$224)),Checks!$AE$224="",Checks!$T$224=""),"","Done: "&amp;IF(ISNUMBER(Checks!$AD$224),TEXT(Checks!$AD$224,"DD-MMM-YY HH:MM"),"____________")&amp;" "&amp;Checks!$P$224&amp;CHAR(10)&amp;"Verifier: "&amp;IF(Checks!$AE$224="","____________",Checks!$AE$224)&amp;CHAR(10)&amp;"PIC: "&amp;IF(Checks!$T$224="","____________",Checks!$T$224))</f>
        <v>Done: ____________ LHR
Verifier: ____________
PIC: ____________</v>
      </c>
      <c r="H37" s="121" t="str">
        <f aca="false">IF(Checks!$AH$224="","",Checks!$AH$224)</f>
        <v>OPEN</v>
      </c>
    </row>
    <row r="38" customFormat="false" ht="114" hidden="false" customHeight="true" outlineLevel="0" collapsed="false">
      <c r="A38" s="120" t="str">
        <f aca="false">Checks!$A$225&amp;CHAR(10)&amp;IF(Checks!$I$225="","",Checks!$I$225&amp;": ")&amp;Checks!$J$225</f>
        <v>F07-T12-02
Meal: Meal quantities vs menu checklist</v>
      </c>
      <c r="B38" s="120" t="str">
        <f aca="false">Checks!$K$225&amp;IF(Checks!$O$225="","",IF(Checks!$K$225="","",CHAR(10))&amp;"Note: "&amp;Checks!$O$225)</f>
        <v>Enter expected &amp; actual
Note: Preparation check at caterer - does NOT confirm loading.</v>
      </c>
      <c r="C38" s="120" t="str">
        <f aca="false">Checks!$N$225&amp;CHAR(10)&amp;IF(ISNUMBER(Checks!$R$225),TEXT(Checks!$R$225,"DD-MMM-YY HH:MM"),"")&amp;" "&amp;Checks!$P$225</f>
        <v>Required
08-Oct-26 23:00 LHR</v>
      </c>
      <c r="D38" s="120" t="str">
        <f aca="false">IF(TRIM(Checks!$U$225)&lt;&gt;"",Checks!$U$225&amp;IF(Checks!$AB$225="","",CHAR(10)&amp;"CA: "&amp;Checks!$AB$225),IF(LEFT(Checks!$AH$225,10)="N/A – RULE","","[ ] Pass"&amp;CHAR(10)&amp;"[ ] Pass after CA"&amp;CHAR(10)&amp;"[ ] Fail"&amp;IF(Checks!$AT$225=1,CHAR(10)&amp;"[ ] N/A","")&amp;CHAR(10)&amp;"CA: Open / Closed"))</f>
        <v>[ ] Pass
[ ] Pass after CA
[ ] Fail
CA: Open / Closed</v>
      </c>
      <c r="E38" s="120" t="str">
        <f aca="false">IF(Checks!$V$225="","",Checks!$V$225)&amp;IF(Checks!$AC$225="","",IF(Checks!$V$225="","",CHAR(10))&amp;"N/A just.: "&amp;Checks!$AC$225)&amp;IF(OR(Checks!$W$225&lt;&gt;"",AND(Checks!$AQ$225=1,NOT(LEFT(Checks!$AH$225,10)="N/A – RULE"))),CHAR(10)&amp;"Batch: "&amp;IF(Checks!$W$225="","____________",Checks!$W$225),"")&amp;IF(OR(Checks!$X$225&lt;&gt;"",Checks!$Y$225&lt;&gt;"",AND(Checks!$AR$225=1,NOT(LEFT(Checks!$AH$225,10)="N/A – RULE"))),CHAR(10)&amp;"Exp: "&amp;IF(Checks!$X$225="","______",Checks!$X$225)&amp;"  /  Act: "&amp;IF(Checks!$Y$225="","______",Checks!$Y$225),"")</f>
        <v>
Exp: ______  /  Act: ______</v>
      </c>
      <c r="F38" s="120" t="str">
        <f aca="false">IF(AND(LEFT(Checks!$AH$225,10)="N/A – RULE",TRIM(Checks!$S$225&amp;Checks!$Z$225)=""),"","Type: "&amp;IF(TRIM(Checks!$S$225)="","______________ (see cover list)",Checks!$S$225)&amp;CHAR(10)&amp;"ID: "&amp;IF(TRIM(Checks!$Z$225)="","______________ (record's own no.)",Checks!$Z$225))&amp;IF(Checks!$AA$225="","",CHAR(10)&amp;"CA: "&amp;Checks!$AA$225)</f>
        <v>Type: ______________ (see cover list)
ID: ______________ (record's own no.)</v>
      </c>
      <c r="G38" s="120" t="str">
        <f aca="false">IF(AND(LEFT(Checks!$AH$225,10)="N/A – RULE",NOT(ISNUMBER(Checks!$AD$225)),Checks!$AE$225="",Checks!$T$225=""),"","Done: "&amp;IF(ISNUMBER(Checks!$AD$225),TEXT(Checks!$AD$225,"DD-MMM-YY HH:MM"),"____________")&amp;" "&amp;Checks!$P$225&amp;CHAR(10)&amp;"Verifier: "&amp;IF(Checks!$AE$225="","____________",Checks!$AE$225)&amp;CHAR(10)&amp;"PIC: "&amp;IF(Checks!$T$225="","____________",Checks!$T$225))</f>
        <v>Done: ____________ LHR
Verifier: ____________
PIC: ____________</v>
      </c>
      <c r="H38" s="121" t="str">
        <f aca="false">IF(Checks!$AH$225="","",Checks!$AH$225)</f>
        <v>OPEN</v>
      </c>
    </row>
    <row r="39" customFormat="false" ht="114" hidden="false" customHeight="true" outlineLevel="0" collapsed="false">
      <c r="A39" s="120" t="str">
        <f aca="false">Checks!$A$226&amp;CHAR(10)&amp;IF(Checks!$I$226="","",Checks!$I$226&amp;": ")&amp;Checks!$J$226</f>
        <v>F07-T12-03
Equipment: Equipment cleanliness vs GLD</v>
      </c>
      <c r="B39" s="120" t="str">
        <f aca="false">Checks!$K$226&amp;IF(Checks!$O$226="","",IF(Checks!$K$226="","",CHAR(10))&amp;"Note: "&amp;Checks!$O$226)</f>
        <v>Note: Preparation check at caterer - does NOT confirm loading.</v>
      </c>
      <c r="C39" s="120" t="str">
        <f aca="false">Checks!$N$226&amp;CHAR(10)&amp;IF(ISNUMBER(Checks!$R$226),TEXT(Checks!$R$226,"DD-MMM-YY HH:MM"),"")&amp;" "&amp;Checks!$P$226</f>
        <v>Required
08-Oct-26 23:00 LHR</v>
      </c>
      <c r="D39" s="120" t="str">
        <f aca="false">IF(TRIM(Checks!$U$226)&lt;&gt;"",Checks!$U$226&amp;IF(Checks!$AB$226="","",CHAR(10)&amp;"CA: "&amp;Checks!$AB$226),IF(LEFT(Checks!$AH$226,10)="N/A – RULE","","[ ] Pass"&amp;CHAR(10)&amp;"[ ] Pass after CA"&amp;CHAR(10)&amp;"[ ] Fail"&amp;IF(Checks!$AT$226=1,CHAR(10)&amp;"[ ] N/A","")&amp;CHAR(10)&amp;"CA: Open / Closed"))</f>
        <v>[ ] Pass
[ ] Pass after CA
[ ] Fail
CA: Open / Closed</v>
      </c>
      <c r="E39" s="120" t="str">
        <f aca="false">IF(Checks!$V$226="","",Checks!$V$226)&amp;IF(Checks!$AC$226="","",IF(Checks!$V$226="","",CHAR(10))&amp;"N/A just.: "&amp;Checks!$AC$226)&amp;IF(OR(Checks!$W$226&lt;&gt;"",AND(Checks!$AQ$226=1,NOT(LEFT(Checks!$AH$226,10)="N/A – RULE"))),CHAR(10)&amp;"Batch: "&amp;IF(Checks!$W$226="","____________",Checks!$W$226),"")&amp;IF(OR(Checks!$X$226&lt;&gt;"",Checks!$Y$226&lt;&gt;"",AND(Checks!$AR$226=1,NOT(LEFT(Checks!$AH$226,10)="N/A – RULE"))),CHAR(10)&amp;"Exp: "&amp;IF(Checks!$X$226="","______",Checks!$X$226)&amp;"  /  Act: "&amp;IF(Checks!$Y$226="","______",Checks!$Y$226),"")</f>
        <v/>
      </c>
      <c r="F39" s="120" t="str">
        <f aca="false">IF(AND(LEFT(Checks!$AH$226,10)="N/A – RULE",TRIM(Checks!$S$226&amp;Checks!$Z$226)=""),"","Type: "&amp;IF(TRIM(Checks!$S$226)="","______________ (see cover list)",Checks!$S$226)&amp;CHAR(10)&amp;"ID: "&amp;IF(TRIM(Checks!$Z$226)="","______________ (record's own no.)",Checks!$Z$226))&amp;IF(Checks!$AA$226="","",CHAR(10)&amp;"CA: "&amp;Checks!$AA$226)</f>
        <v>Type: ______________ (see cover list)
ID: ______________ (record's own no.)</v>
      </c>
      <c r="G39" s="120" t="str">
        <f aca="false">IF(AND(LEFT(Checks!$AH$226,10)="N/A – RULE",NOT(ISNUMBER(Checks!$AD$226)),Checks!$AE$226="",Checks!$T$226=""),"","Done: "&amp;IF(ISNUMBER(Checks!$AD$226),TEXT(Checks!$AD$226,"DD-MMM-YY HH:MM"),"____________")&amp;" "&amp;Checks!$P$226&amp;CHAR(10)&amp;"Verifier: "&amp;IF(Checks!$AE$226="","____________",Checks!$AE$226)&amp;CHAR(10)&amp;"PIC: "&amp;IF(Checks!$T$226="","____________",Checks!$T$226))</f>
        <v>Done: ____________ LHR
Verifier: ____________
PIC: ____________</v>
      </c>
      <c r="H39" s="121" t="str">
        <f aca="false">IF(Checks!$AH$226="","",Checks!$AH$226)</f>
        <v>OPEN</v>
      </c>
    </row>
    <row r="40" customFormat="false" ht="114" hidden="false" customHeight="true" outlineLevel="0" collapsed="false">
      <c r="A40" s="120" t="str">
        <f aca="false">Checks!$A$227&amp;CHAR(10)&amp;IF(Checks!$I$227="","",Checks!$I$227&amp;": ")&amp;Checks!$J$227</f>
        <v>F07-T12-04
Equipment: Equipment presentation vs GLD</v>
      </c>
      <c r="B40" s="120" t="str">
        <f aca="false">Checks!$K$227&amp;IF(Checks!$O$227="","",IF(Checks!$K$227="","",CHAR(10))&amp;"Note: "&amp;Checks!$O$227)</f>
        <v>Note: Preparation check at caterer - does NOT confirm loading.</v>
      </c>
      <c r="C40" s="120" t="str">
        <f aca="false">Checks!$N$227&amp;CHAR(10)&amp;IF(ISNUMBER(Checks!$R$227),TEXT(Checks!$R$227,"DD-MMM-YY HH:MM"),"")&amp;" "&amp;Checks!$P$227</f>
        <v>Required
08-Oct-26 23:00 LHR</v>
      </c>
      <c r="D40" s="120" t="str">
        <f aca="false">IF(TRIM(Checks!$U$227)&lt;&gt;"",Checks!$U$227&amp;IF(Checks!$AB$227="","",CHAR(10)&amp;"CA: "&amp;Checks!$AB$227),IF(LEFT(Checks!$AH$227,10)="N/A – RULE","","[ ] Pass"&amp;CHAR(10)&amp;"[ ] Pass after CA"&amp;CHAR(10)&amp;"[ ] Fail"&amp;IF(Checks!$AT$227=1,CHAR(10)&amp;"[ ] N/A","")&amp;CHAR(10)&amp;"CA: Open / Closed"))</f>
        <v>[ ] Pass
[ ] Pass after CA
[ ] Fail
CA: Open / Closed</v>
      </c>
      <c r="E40" s="120" t="str">
        <f aca="false">IF(Checks!$V$227="","",Checks!$V$227)&amp;IF(Checks!$AC$227="","",IF(Checks!$V$227="","",CHAR(10))&amp;"N/A just.: "&amp;Checks!$AC$227)&amp;IF(OR(Checks!$W$227&lt;&gt;"",AND(Checks!$AQ$227=1,NOT(LEFT(Checks!$AH$227,10)="N/A – RULE"))),CHAR(10)&amp;"Batch: "&amp;IF(Checks!$W$227="","____________",Checks!$W$227),"")&amp;IF(OR(Checks!$X$227&lt;&gt;"",Checks!$Y$227&lt;&gt;"",AND(Checks!$AR$227=1,NOT(LEFT(Checks!$AH$227,10)="N/A – RULE"))),CHAR(10)&amp;"Exp: "&amp;IF(Checks!$X$227="","______",Checks!$X$227)&amp;"  /  Act: "&amp;IF(Checks!$Y$227="","______",Checks!$Y$227),"")</f>
        <v/>
      </c>
      <c r="F40" s="120" t="str">
        <f aca="false">IF(AND(LEFT(Checks!$AH$227,10)="N/A – RULE",TRIM(Checks!$S$227&amp;Checks!$Z$227)=""),"","Type: "&amp;IF(TRIM(Checks!$S$227)="","______________ (see cover list)",Checks!$S$227)&amp;CHAR(10)&amp;"ID: "&amp;IF(TRIM(Checks!$Z$227)="","______________ (record's own no.)",Checks!$Z$227))&amp;IF(Checks!$AA$227="","",CHAR(10)&amp;"CA: "&amp;Checks!$AA$227)</f>
        <v>Type: ______________ (see cover list)
ID: ______________ (record's own no.)</v>
      </c>
      <c r="G40" s="120" t="str">
        <f aca="false">IF(AND(LEFT(Checks!$AH$227,10)="N/A – RULE",NOT(ISNUMBER(Checks!$AD$227)),Checks!$AE$227="",Checks!$T$227=""),"","Done: "&amp;IF(ISNUMBER(Checks!$AD$227),TEXT(Checks!$AD$227,"DD-MMM-YY HH:MM"),"____________")&amp;" "&amp;Checks!$P$227&amp;CHAR(10)&amp;"Verifier: "&amp;IF(Checks!$AE$227="","____________",Checks!$AE$227)&amp;CHAR(10)&amp;"PIC: "&amp;IF(Checks!$T$227="","____________",Checks!$T$227))</f>
        <v>Done: ____________ LHR
Verifier: ____________
PIC: ____________</v>
      </c>
      <c r="H40" s="121" t="str">
        <f aca="false">IF(Checks!$AH$227="","",Checks!$AH$227)</f>
        <v>OPEN</v>
      </c>
    </row>
    <row r="41" customFormat="false" ht="114" hidden="false" customHeight="true" outlineLevel="0" collapsed="false">
      <c r="A41" s="120" t="str">
        <f aca="false">Checks!$A$228&amp;CHAR(10)&amp;IF(Checks!$I$228="","",Checks!$I$228&amp;": ")&amp;Checks!$J$228</f>
        <v>F07-T12-05
Equipment: Equipment serviceability vs GLD</v>
      </c>
      <c r="B41" s="120" t="str">
        <f aca="false">Checks!$K$228&amp;IF(Checks!$O$228="","",IF(Checks!$K$228="","",CHAR(10))&amp;"Note: "&amp;Checks!$O$228)</f>
        <v>Note: Preparation check at caterer - does NOT confirm loading.</v>
      </c>
      <c r="C41" s="120" t="str">
        <f aca="false">Checks!$N$228&amp;CHAR(10)&amp;IF(ISNUMBER(Checks!$R$228),TEXT(Checks!$R$228,"DD-MMM-YY HH:MM"),"")&amp;" "&amp;Checks!$P$228</f>
        <v>Required
08-Oct-26 23:00 LHR</v>
      </c>
      <c r="D41" s="120" t="str">
        <f aca="false">IF(TRIM(Checks!$U$228)&lt;&gt;"",Checks!$U$228&amp;IF(Checks!$AB$228="","",CHAR(10)&amp;"CA: "&amp;Checks!$AB$228),IF(LEFT(Checks!$AH$228,10)="N/A – RULE","","[ ] Pass"&amp;CHAR(10)&amp;"[ ] Pass after CA"&amp;CHAR(10)&amp;"[ ] Fail"&amp;IF(Checks!$AT$228=1,CHAR(10)&amp;"[ ] N/A","")&amp;CHAR(10)&amp;"CA: Open / Closed"))</f>
        <v>[ ] Pass
[ ] Pass after CA
[ ] Fail
CA: Open / Closed</v>
      </c>
      <c r="E41" s="120" t="str">
        <f aca="false">IF(Checks!$V$228="","",Checks!$V$228)&amp;IF(Checks!$AC$228="","",IF(Checks!$V$228="","",CHAR(10))&amp;"N/A just.: "&amp;Checks!$AC$228)&amp;IF(OR(Checks!$W$228&lt;&gt;"",AND(Checks!$AQ$228=1,NOT(LEFT(Checks!$AH$228,10)="N/A – RULE"))),CHAR(10)&amp;"Batch: "&amp;IF(Checks!$W$228="","____________",Checks!$W$228),"")&amp;IF(OR(Checks!$X$228&lt;&gt;"",Checks!$Y$228&lt;&gt;"",AND(Checks!$AR$228=1,NOT(LEFT(Checks!$AH$228,10)="N/A – RULE"))),CHAR(10)&amp;"Exp: "&amp;IF(Checks!$X$228="","______",Checks!$X$228)&amp;"  /  Act: "&amp;IF(Checks!$Y$228="","______",Checks!$Y$228),"")</f>
        <v/>
      </c>
      <c r="F41" s="120" t="str">
        <f aca="false">IF(AND(LEFT(Checks!$AH$228,10)="N/A – RULE",TRIM(Checks!$S$228&amp;Checks!$Z$228)=""),"","Type: "&amp;IF(TRIM(Checks!$S$228)="","______________ (see cover list)",Checks!$S$228)&amp;CHAR(10)&amp;"ID: "&amp;IF(TRIM(Checks!$Z$228)="","______________ (record's own no.)",Checks!$Z$228))&amp;IF(Checks!$AA$228="","",CHAR(10)&amp;"CA: "&amp;Checks!$AA$228)</f>
        <v>Type: ______________ (see cover list)
ID: ______________ (record's own no.)</v>
      </c>
      <c r="G41" s="120" t="str">
        <f aca="false">IF(AND(LEFT(Checks!$AH$228,10)="N/A – RULE",NOT(ISNUMBER(Checks!$AD$228)),Checks!$AE$228="",Checks!$T$228=""),"","Done: "&amp;IF(ISNUMBER(Checks!$AD$228),TEXT(Checks!$AD$228,"DD-MMM-YY HH:MM"),"____________")&amp;" "&amp;Checks!$P$228&amp;CHAR(10)&amp;"Verifier: "&amp;IF(Checks!$AE$228="","____________",Checks!$AE$228)&amp;CHAR(10)&amp;"PIC: "&amp;IF(Checks!$T$228="","____________",Checks!$T$228))</f>
        <v>Done: ____________ LHR
Verifier: ____________
PIC: ____________</v>
      </c>
      <c r="H41" s="121" t="str">
        <f aca="false">IF(Checks!$AH$228="","",Checks!$AH$228)</f>
        <v>OPEN</v>
      </c>
    </row>
    <row r="42" customFormat="false" ht="289.5" hidden="false" customHeight="true" outlineLevel="0" collapsed="false">
      <c r="A42" s="120" t="str">
        <f aca="false">Checks!$A$229&amp;CHAR(10)&amp;IF(Checks!$I$229="","",Checks!$I$229&amp;": ")&amp;Checks!$J$229</f>
        <v>F07-T12-06
Equipment: Equipment quantities vs GLD</v>
      </c>
      <c r="B42" s="120" t="str">
        <f aca="false">SUBSTITUTE(SUBSTITUTE(SUBSTITUTE(Checks!$K$229&amp;IF(Checks!$O$229="","",IF(Checks!$K$229="","",CHAR(10))&amp;"Note: "&amp;Checks!$O$229),"makers -,","makers n/a,")," (AIRCRAFT TYPE!C6:R6)","")," (AIRCRAFT TYPE!C7:R7)","")</f>
        <v>Enter expected &amp; actual. Aircraft galley data: A350-900 (A359): carts 50.5, SU 70, ovens 14, warming ovens 3, fridges 3, water heaters 7, beverage makers n/a, espresso 2, folding trolleys 4, headsets BC &amp; EY: Dual Pin | A350-900 (A350): carts 41.5, SU 52, ovens 14, warming ovens 0, fridges 1, water heaters 11, beverage makers n/a, espresso 1, folding trolleys 3, headsets BC: Dual Pin/ EY: Single Pin
Note: Preparation check at caterer - does NOT confirm loading.</v>
      </c>
      <c r="C42" s="120" t="str">
        <f aca="false">Checks!$N$229&amp;CHAR(10)&amp;IF(ISNUMBER(Checks!$R$229),TEXT(Checks!$R$229,"DD-MMM-YY HH:MM"),"")&amp;" "&amp;Checks!$P$229</f>
        <v>Required
08-Oct-26 23:00 LHR</v>
      </c>
      <c r="D42" s="120" t="str">
        <f aca="false">IF(TRIM(Checks!$U$229)&lt;&gt;"",Checks!$U$229&amp;IF(Checks!$AB$229="","",CHAR(10)&amp;"CA: "&amp;Checks!$AB$229),IF(LEFT(Checks!$AH$229,10)="N/A – RULE","","[ ] Pass"&amp;CHAR(10)&amp;"[ ] Pass after CA"&amp;CHAR(10)&amp;"[ ] Fail"&amp;IF(Checks!$AT$229=1,CHAR(10)&amp;"[ ] N/A","")&amp;CHAR(10)&amp;"CA: Open / Closed"))</f>
        <v>[ ] Pass
[ ] Pass after CA
[ ] Fail
CA: Open / Closed</v>
      </c>
      <c r="E42" s="120" t="str">
        <f aca="false">IF(Checks!$V$229="","",Checks!$V$229)&amp;IF(Checks!$AC$229="","",IF(Checks!$V$229="","",CHAR(10))&amp;"N/A just.: "&amp;Checks!$AC$229)&amp;IF(OR(Checks!$W$229&lt;&gt;"",AND(Checks!$AQ$229=1,NOT(LEFT(Checks!$AH$229,10)="N/A – RULE"))),CHAR(10)&amp;"Batch: "&amp;IF(Checks!$W$229="","____________",Checks!$W$229),"")&amp;IF(OR(Checks!$X$229&lt;&gt;"",Checks!$Y$229&lt;&gt;"",AND(Checks!$AR$229=1,NOT(LEFT(Checks!$AH$229,10)="N/A – RULE"))),CHAR(10)&amp;"Exp: "&amp;IF(Checks!$X$229="","______",Checks!$X$229)&amp;"  /  Act: "&amp;IF(Checks!$Y$229="","______",Checks!$Y$229),"")</f>
        <v>
Exp: ______  /  Act: ______</v>
      </c>
      <c r="F42" s="120" t="str">
        <f aca="false">IF(AND(LEFT(Checks!$AH$229,10)="N/A – RULE",TRIM(Checks!$S$229&amp;Checks!$Z$229)=""),"","Type: "&amp;IF(TRIM(Checks!$S$229)="","______________ (see cover list)",Checks!$S$229)&amp;CHAR(10)&amp;"ID: "&amp;IF(TRIM(Checks!$Z$229)="","______________ (record's own no.)",Checks!$Z$229))&amp;IF(Checks!$AA$229="","",CHAR(10)&amp;"CA: "&amp;Checks!$AA$229)</f>
        <v>Type: ______________ (see cover list)
ID: ______________ (record's own no.)</v>
      </c>
      <c r="G42" s="120" t="str">
        <f aca="false">IF(AND(LEFT(Checks!$AH$229,10)="N/A – RULE",NOT(ISNUMBER(Checks!$AD$229)),Checks!$AE$229="",Checks!$T$229=""),"","Done: "&amp;IF(ISNUMBER(Checks!$AD$229),TEXT(Checks!$AD$229,"DD-MMM-YY HH:MM"),"____________")&amp;" "&amp;Checks!$P$229&amp;CHAR(10)&amp;"Verifier: "&amp;IF(Checks!$AE$229="","____________",Checks!$AE$229)&amp;CHAR(10)&amp;"PIC: "&amp;IF(Checks!$T$229="","____________",Checks!$T$229))</f>
        <v>Done: ____________ LHR
Verifier: ____________
PIC: ____________</v>
      </c>
      <c r="H42" s="121" t="str">
        <f aca="false">IF(Checks!$AH$229="","",Checks!$AH$229)</f>
        <v>OPEN</v>
      </c>
    </row>
    <row r="43" customFormat="false" ht="114" hidden="false" customHeight="true" outlineLevel="0" collapsed="false">
      <c r="A43" s="120" t="str">
        <f aca="false">Checks!$A$230&amp;CHAR(10)&amp;IF(Checks!$I$230="","",Checks!$I$230&amp;": ")&amp;Checks!$J$230</f>
        <v>F07-T12-07
Equipment: Loading positions planned vs GLD</v>
      </c>
      <c r="B43" s="120" t="str">
        <f aca="false">Checks!$K$230&amp;IF(Checks!$O$230="","",IF(Checks!$K$230="","",CHAR(10))&amp;"Note: "&amp;Checks!$O$230)</f>
        <v>Note: Preparation check at caterer - does NOT confirm loading.</v>
      </c>
      <c r="C43" s="120" t="str">
        <f aca="false">Checks!$N$230&amp;CHAR(10)&amp;IF(ISNUMBER(Checks!$R$230),TEXT(Checks!$R$230,"DD-MMM-YY HH:MM"),"")&amp;" "&amp;Checks!$P$230</f>
        <v>Required
08-Oct-26 23:00 LHR</v>
      </c>
      <c r="D43" s="120" t="str">
        <f aca="false">IF(TRIM(Checks!$U$230)&lt;&gt;"",Checks!$U$230&amp;IF(Checks!$AB$230="","",CHAR(10)&amp;"CA: "&amp;Checks!$AB$230),IF(LEFT(Checks!$AH$230,10)="N/A – RULE","","[ ] Pass"&amp;CHAR(10)&amp;"[ ] Pass after CA"&amp;CHAR(10)&amp;"[ ] Fail"&amp;IF(Checks!$AT$230=1,CHAR(10)&amp;"[ ] N/A","")&amp;CHAR(10)&amp;"CA: Open / Closed"))</f>
        <v>[ ] Pass
[ ] Pass after CA
[ ] Fail
CA: Open / Closed</v>
      </c>
      <c r="E43" s="120" t="str">
        <f aca="false">IF(Checks!$V$230="","",Checks!$V$230)&amp;IF(Checks!$AC$230="","",IF(Checks!$V$230="","",CHAR(10))&amp;"N/A just.: "&amp;Checks!$AC$230)&amp;IF(OR(Checks!$W$230&lt;&gt;"",AND(Checks!$AQ$230=1,NOT(LEFT(Checks!$AH$230,10)="N/A – RULE"))),CHAR(10)&amp;"Batch: "&amp;IF(Checks!$W$230="","____________",Checks!$W$230),"")&amp;IF(OR(Checks!$X$230&lt;&gt;"",Checks!$Y$230&lt;&gt;"",AND(Checks!$AR$230=1,NOT(LEFT(Checks!$AH$230,10)="N/A – RULE"))),CHAR(10)&amp;"Exp: "&amp;IF(Checks!$X$230="","______",Checks!$X$230)&amp;"  /  Act: "&amp;IF(Checks!$Y$230="","______",Checks!$Y$230),"")</f>
        <v/>
      </c>
      <c r="F43" s="120" t="str">
        <f aca="false">IF(AND(LEFT(Checks!$AH$230,10)="N/A – RULE",TRIM(Checks!$S$230&amp;Checks!$Z$230)=""),"","Type: "&amp;IF(TRIM(Checks!$S$230)="","______________ (see cover list)",Checks!$S$230)&amp;CHAR(10)&amp;"ID: "&amp;IF(TRIM(Checks!$Z$230)="","______________ (record's own no.)",Checks!$Z$230))&amp;IF(Checks!$AA$230="","",CHAR(10)&amp;"CA: "&amp;Checks!$AA$230)</f>
        <v>Type: ______________ (see cover list)
ID: ______________ (record's own no.)</v>
      </c>
      <c r="G43" s="120" t="str">
        <f aca="false">IF(AND(LEFT(Checks!$AH$230,10)="N/A – RULE",NOT(ISNUMBER(Checks!$AD$230)),Checks!$AE$230="",Checks!$T$230=""),"","Done: "&amp;IF(ISNUMBER(Checks!$AD$230),TEXT(Checks!$AD$230,"DD-MMM-YY HH:MM"),"____________")&amp;" "&amp;Checks!$P$230&amp;CHAR(10)&amp;"Verifier: "&amp;IF(Checks!$AE$230="","____________",Checks!$AE$230)&amp;CHAR(10)&amp;"PIC: "&amp;IF(Checks!$T$230="","____________",Checks!$T$230))</f>
        <v>Done: ____________ LHR
Verifier: ____________
PIC: ____________</v>
      </c>
      <c r="H43" s="121" t="str">
        <f aca="false">IF(Checks!$AH$230="","",Checks!$AH$230)</f>
        <v>OPEN</v>
      </c>
    </row>
    <row r="44" customFormat="false" ht="114" hidden="false" customHeight="true" outlineLevel="0" collapsed="false">
      <c r="A44" s="120" t="str">
        <f aca="false">Checks!$A$231&amp;CHAR(10)&amp;IF(Checks!$I$231="","",Checks!$I$231&amp;": ")&amp;Checks!$J$231</f>
        <v>F07-T12-08
Amenities: Toiletry kits - prepared</v>
      </c>
      <c r="B44" s="120" t="str">
        <f aca="false">Checks!$K$231&amp;IF(Checks!$O$231="","",IF(Checks!$K$231="","",CHAR(10))&amp;"Note: "&amp;Checks!$O$231)</f>
        <v>Available (ticked in reference)</v>
      </c>
      <c r="C44" s="120" t="str">
        <f aca="false">Checks!$N$231&amp;CHAR(10)&amp;IF(ISNUMBER(Checks!$R$231),TEXT(Checks!$R$231,"DD-MMM-YY HH:MM"),"")&amp;" "&amp;Checks!$P$231</f>
        <v>Required
08-Oct-26 23:00 LHR</v>
      </c>
      <c r="D44" s="120" t="str">
        <f aca="false">IF(TRIM(Checks!$U$231)&lt;&gt;"",Checks!$U$231&amp;IF(Checks!$AB$231="","",CHAR(10)&amp;"CA: "&amp;Checks!$AB$231),IF(LEFT(Checks!$AH$231,10)="N/A – RULE","","[ ] Pass"&amp;CHAR(10)&amp;"[ ] Pass after CA"&amp;CHAR(10)&amp;"[ ] Fail"&amp;IF(Checks!$AT$231=1,CHAR(10)&amp;"[ ] N/A","")&amp;CHAR(10)&amp;"CA: Open / Closed"))</f>
        <v>[ ] Pass
[ ] Pass after CA
[ ] Fail
CA: Open / Closed</v>
      </c>
      <c r="E44" s="120" t="str">
        <f aca="false">IF(Checks!$V$231="","",Checks!$V$231)&amp;IF(Checks!$AC$231="","",IF(Checks!$V$231="","",CHAR(10))&amp;"N/A just.: "&amp;Checks!$AC$231)&amp;IF(OR(Checks!$W$231&lt;&gt;"",AND(Checks!$AQ$231=1,NOT(LEFT(Checks!$AH$231,10)="N/A – RULE"))),CHAR(10)&amp;"Batch: "&amp;IF(Checks!$W$231="","____________",Checks!$W$231),"")&amp;IF(OR(Checks!$X$231&lt;&gt;"",Checks!$Y$231&lt;&gt;"",AND(Checks!$AR$231=1,NOT(LEFT(Checks!$AH$231,10)="N/A – RULE"))),CHAR(10)&amp;"Exp: "&amp;IF(Checks!$X$231="","______",Checks!$X$231)&amp;"  /  Act: "&amp;IF(Checks!$Y$231="","______",Checks!$Y$231),"")</f>
        <v/>
      </c>
      <c r="F44" s="120" t="str">
        <f aca="false">IF(AND(LEFT(Checks!$AH$231,10)="N/A – RULE",TRIM(Checks!$S$231&amp;Checks!$Z$231)=""),"","Type: "&amp;IF(TRIM(Checks!$S$231)="","______________ (see cover list)",Checks!$S$231)&amp;CHAR(10)&amp;"ID: "&amp;IF(TRIM(Checks!$Z$231)="","______________ (record's own no.)",Checks!$Z$231))&amp;IF(Checks!$AA$231="","",CHAR(10)&amp;"CA: "&amp;Checks!$AA$231)</f>
        <v>Type: ______________ (see cover list)
ID: ______________ (record's own no.)</v>
      </c>
      <c r="G44" s="120" t="str">
        <f aca="false">IF(AND(LEFT(Checks!$AH$231,10)="N/A – RULE",NOT(ISNUMBER(Checks!$AD$231)),Checks!$AE$231="",Checks!$T$231=""),"","Done: "&amp;IF(ISNUMBER(Checks!$AD$231),TEXT(Checks!$AD$231,"DD-MMM-YY HH:MM"),"____________")&amp;" "&amp;Checks!$P$231&amp;CHAR(10)&amp;"Verifier: "&amp;IF(Checks!$AE$231="","____________",Checks!$AE$231)&amp;CHAR(10)&amp;"PIC: "&amp;IF(Checks!$T$231="","____________",Checks!$T$231))</f>
        <v>Done: ____________ LHR
Verifier: ____________
PIC: ____________</v>
      </c>
      <c r="H44" s="121" t="str">
        <f aca="false">IF(Checks!$AH$231="","",Checks!$AH$231)</f>
        <v>OPEN</v>
      </c>
    </row>
    <row r="45" customFormat="false" ht="168.75" hidden="false" customHeight="true" outlineLevel="0" collapsed="false">
      <c r="A45" s="120" t="str">
        <f aca="false">Checks!$A$232&amp;CHAR(10)&amp;IF(Checks!$I$232="","",Checks!$I$232&amp;": ")&amp;Checks!$J$232</f>
        <v>F07-T12-09
Amenities: Pajamas (BC) - prepared</v>
      </c>
      <c r="B45" s="120" t="str">
        <f aca="false">SUBSTITUTE(Checks!$K$232&amp;IF(Checks!$O$232="","",IF(Checks!$K$232="","",CHAR(10))&amp;"Note: "&amp;Checks!$O$232)," (Flights AX)","")</f>
        <v>Available - BC red-eye only
Note: Reference limits BC pajamas to red-eye flights; STD 1100 local arriving 0645+1 - confirm whether this leg counts as red-eye. Loaded at KUL on the inbound KUL-LHR flight: due = that flight's KUL departure minus the uplift window.</v>
      </c>
      <c r="C45" s="120" t="str">
        <f aca="false">Checks!$N$232&amp;CHAR(10)&amp;IF(ISNUMBER(Checks!$R$232),TEXT(Checks!$R$232,"DD-MMM-YY HH:MM"),"")&amp;" "&amp;Checks!$P$232</f>
        <v>Clarification required
08-Oct-26 22:25 KUL</v>
      </c>
      <c r="D45" s="120" t="str">
        <f aca="false">IF(TRIM(Checks!$U$232)&lt;&gt;"",Checks!$U$232&amp;IF(Checks!$AB$232="","",CHAR(10)&amp;"CA: "&amp;Checks!$AB$232),IF(LEFT(Checks!$AH$232,10)="N/A – RULE","","[ ] Pass"&amp;CHAR(10)&amp;"[ ] Pass after CA"&amp;CHAR(10)&amp;"[ ] Fail"&amp;IF(Checks!$AT$232=1,CHAR(10)&amp;"[ ] N/A","")&amp;CHAR(10)&amp;"CA: Open / Closed"))</f>
        <v>[ ] Pass
[ ] Pass after CA
[ ] Fail
[ ] N/A
CA: Open / Closed</v>
      </c>
      <c r="E45" s="120" t="str">
        <f aca="false">IF(Checks!$V$232="","",Checks!$V$232)&amp;IF(Checks!$AC$232="","",IF(Checks!$V$232="","",CHAR(10))&amp;"N/A just.: "&amp;Checks!$AC$232)&amp;IF(OR(Checks!$W$232&lt;&gt;"",AND(Checks!$AQ$232=1,NOT(LEFT(Checks!$AH$232,10)="N/A – RULE"))),CHAR(10)&amp;"Batch: "&amp;IF(Checks!$W$232="","____________",Checks!$W$232),"")&amp;IF(OR(Checks!$X$232&lt;&gt;"",Checks!$Y$232&lt;&gt;"",AND(Checks!$AR$232=1,NOT(LEFT(Checks!$AH$232,10)="N/A – RULE"))),CHAR(10)&amp;"Exp: "&amp;IF(Checks!$X$232="","______",Checks!$X$232)&amp;"  /  Act: "&amp;IF(Checks!$Y$232="","______",Checks!$Y$232),"")</f>
        <v/>
      </c>
      <c r="F45" s="120" t="str">
        <f aca="false">IF(AND(LEFT(Checks!$AH$232,10)="N/A – RULE",TRIM(Checks!$S$232&amp;Checks!$Z$232)=""),"","Type: "&amp;IF(TRIM(Checks!$S$232)="","______________ (see cover list)",Checks!$S$232)&amp;CHAR(10)&amp;"ID: "&amp;IF(TRIM(Checks!$Z$232)="","______________ (record's own no.)",Checks!$Z$232))&amp;IF(Checks!$AA$232="","",CHAR(10)&amp;"CA: "&amp;Checks!$AA$232)</f>
        <v>Type: ______________ (see cover list)
ID: ______________ (record's own no.)</v>
      </c>
      <c r="G45" s="120" t="str">
        <f aca="false">IF(AND(LEFT(Checks!$AH$232,10)="N/A – RULE",NOT(ISNUMBER(Checks!$AD$232)),Checks!$AE$232="",Checks!$T$232=""),"","Done: "&amp;IF(ISNUMBER(Checks!$AD$232),TEXT(Checks!$AD$232,"DD-MMM-YY HH:MM"),"____________")&amp;" "&amp;Checks!$P$232&amp;CHAR(10)&amp;"Verifier: "&amp;IF(Checks!$AE$232="","____________",Checks!$AE$232)&amp;CHAR(10)&amp;"PIC: "&amp;IF(Checks!$T$232="","____________",Checks!$T$232))</f>
        <v>Done: ____________ KUL
Verifier: ____________
PIC: ____________</v>
      </c>
      <c r="H45" s="121" t="str">
        <f aca="false">IF(Checks!$AH$232="","",Checks!$AH$232)</f>
        <v>OPEN – CLARIFICATION</v>
      </c>
    </row>
    <row r="46" customFormat="false" ht="114" hidden="false" customHeight="true" outlineLevel="0" collapsed="false">
      <c r="A46" s="120" t="str">
        <f aca="false">Checks!$A$233&amp;CHAR(10)&amp;IF(Checks!$I$233="","",Checks!$I$233&amp;": ")&amp;Checks!$J$233</f>
        <v>F07-T12-10
Amenities: Slippers (BS/BC) - prepared</v>
      </c>
      <c r="B46" s="120" t="str">
        <f aca="false">SUBSTITUTE(Checks!$K$233&amp;IF(Checks!$O$233="","",IF(Checks!$K$233="","",CHAR(10))&amp;"Note: "&amp;Checks!$O$233)," (Flights AX)","")</f>
        <v>Available (ticked in reference)
Note: Loaded at KUL on the inbound KUL-LHR flight: due = that flight's KUL departure minus the uplift window.</v>
      </c>
      <c r="C46" s="120" t="str">
        <f aca="false">Checks!$N$233&amp;CHAR(10)&amp;IF(ISNUMBER(Checks!$R$233),TEXT(Checks!$R$233,"DD-MMM-YY HH:MM"),"")&amp;" "&amp;Checks!$P$233</f>
        <v>Required
08-Oct-26 22:25 KUL</v>
      </c>
      <c r="D46" s="120" t="str">
        <f aca="false">IF(TRIM(Checks!$U$233)&lt;&gt;"",Checks!$U$233&amp;IF(Checks!$AB$233="","",CHAR(10)&amp;"CA: "&amp;Checks!$AB$233),IF(LEFT(Checks!$AH$233,10)="N/A – RULE","","[ ] Pass"&amp;CHAR(10)&amp;"[ ] Pass after CA"&amp;CHAR(10)&amp;"[ ] Fail"&amp;IF(Checks!$AT$233=1,CHAR(10)&amp;"[ ] N/A","")&amp;CHAR(10)&amp;"CA: Open / Closed"))</f>
        <v>[ ] Pass
[ ] Pass after CA
[ ] Fail
CA: Open / Closed</v>
      </c>
      <c r="E46" s="120" t="str">
        <f aca="false">IF(Checks!$V$233="","",Checks!$V$233)&amp;IF(Checks!$AC$233="","",IF(Checks!$V$233="","",CHAR(10))&amp;"N/A just.: "&amp;Checks!$AC$233)&amp;IF(OR(Checks!$W$233&lt;&gt;"",AND(Checks!$AQ$233=1,NOT(LEFT(Checks!$AH$233,10)="N/A – RULE"))),CHAR(10)&amp;"Batch: "&amp;IF(Checks!$W$233="","____________",Checks!$W$233),"")&amp;IF(OR(Checks!$X$233&lt;&gt;"",Checks!$Y$233&lt;&gt;"",AND(Checks!$AR$233=1,NOT(LEFT(Checks!$AH$233,10)="N/A – RULE"))),CHAR(10)&amp;"Exp: "&amp;IF(Checks!$X$233="","______",Checks!$X$233)&amp;"  /  Act: "&amp;IF(Checks!$Y$233="","______",Checks!$Y$233),"")</f>
        <v/>
      </c>
      <c r="F46" s="120" t="str">
        <f aca="false">IF(AND(LEFT(Checks!$AH$233,10)="N/A – RULE",TRIM(Checks!$S$233&amp;Checks!$Z$233)=""),"","Type: "&amp;IF(TRIM(Checks!$S$233)="","______________ (see cover list)",Checks!$S$233)&amp;CHAR(10)&amp;"ID: "&amp;IF(TRIM(Checks!$Z$233)="","______________ (record's own no.)",Checks!$Z$233))&amp;IF(Checks!$AA$233="","",CHAR(10)&amp;"CA: "&amp;Checks!$AA$233)</f>
        <v>Type: ______________ (see cover list)
ID: ______________ (record's own no.)</v>
      </c>
      <c r="G46" s="120" t="str">
        <f aca="false">IF(AND(LEFT(Checks!$AH$233,10)="N/A – RULE",NOT(ISNUMBER(Checks!$AD$233)),Checks!$AE$233="",Checks!$T$233=""),"","Done: "&amp;IF(ISNUMBER(Checks!$AD$233),TEXT(Checks!$AD$233,"DD-MMM-YY HH:MM"),"____________")&amp;" "&amp;Checks!$P$233&amp;CHAR(10)&amp;"Verifier: "&amp;IF(Checks!$AE$233="","____________",Checks!$AE$233)&amp;CHAR(10)&amp;"PIC: "&amp;IF(Checks!$T$233="","____________",Checks!$T$233))</f>
        <v>Done: ____________ KUL
Verifier: ____________
PIC: ____________</v>
      </c>
      <c r="H46" s="121" t="str">
        <f aca="false">IF(Checks!$AH$233="","",Checks!$AH$233)</f>
        <v>OPEN</v>
      </c>
    </row>
    <row r="47" customFormat="false" ht="114" hidden="false" customHeight="true" outlineLevel="0" collapsed="false">
      <c r="A47" s="120" t="str">
        <f aca="false">Checks!$A$234&amp;CHAR(10)&amp;IF(Checks!$I$234="","",Checks!$I$234&amp;": ")&amp;Checks!$J$234</f>
        <v>F07-T12-11
F&amp;B Linen: Towel - prepared</v>
      </c>
      <c r="B47" s="120" t="str">
        <f aca="false">Checks!$K$234&amp;IF(Checks!$O$234="","",IF(Checks!$K$234="","",CHAR(10))&amp;"Note: "&amp;Checks!$O$234)</f>
        <v>Available (ticked in reference)
Note: Reference gives no uplift stn for this item: preparation checked at the meal uplift stn (LHR) - confirm with caterer.</v>
      </c>
      <c r="C47" s="120" t="str">
        <f aca="false">Checks!$N$234&amp;CHAR(10)&amp;IF(ISNUMBER(Checks!$R$234),TEXT(Checks!$R$234,"DD-MMM-YY HH:MM"),"")&amp;" "&amp;Checks!$P$234</f>
        <v>Required
08-Oct-26 23:00 LHR</v>
      </c>
      <c r="D47" s="120" t="str">
        <f aca="false">IF(TRIM(Checks!$U$234)&lt;&gt;"",Checks!$U$234&amp;IF(Checks!$AB$234="","",CHAR(10)&amp;"CA: "&amp;Checks!$AB$234),IF(LEFT(Checks!$AH$234,10)="N/A – RULE","","[ ] Pass"&amp;CHAR(10)&amp;"[ ] Pass after CA"&amp;CHAR(10)&amp;"[ ] Fail"&amp;IF(Checks!$AT$234=1,CHAR(10)&amp;"[ ] N/A","")&amp;CHAR(10)&amp;"CA: Open / Closed"))</f>
        <v>[ ] Pass
[ ] Pass after CA
[ ] Fail
CA: Open / Closed</v>
      </c>
      <c r="E47" s="120" t="str">
        <f aca="false">IF(Checks!$V$234="","",Checks!$V$234)&amp;IF(Checks!$AC$234="","",IF(Checks!$V$234="","",CHAR(10))&amp;"N/A just.: "&amp;Checks!$AC$234)&amp;IF(OR(Checks!$W$234&lt;&gt;"",AND(Checks!$AQ$234=1,NOT(LEFT(Checks!$AH$234,10)="N/A – RULE"))),CHAR(10)&amp;"Batch: "&amp;IF(Checks!$W$234="","____________",Checks!$W$234),"")&amp;IF(OR(Checks!$X$234&lt;&gt;"",Checks!$Y$234&lt;&gt;"",AND(Checks!$AR$234=1,NOT(LEFT(Checks!$AH$234,10)="N/A – RULE"))),CHAR(10)&amp;"Exp: "&amp;IF(Checks!$X$234="","______",Checks!$X$234)&amp;"  /  Act: "&amp;IF(Checks!$Y$234="","______",Checks!$Y$234),"")</f>
        <v/>
      </c>
      <c r="F47" s="120" t="str">
        <f aca="false">IF(AND(LEFT(Checks!$AH$234,10)="N/A – RULE",TRIM(Checks!$S$234&amp;Checks!$Z$234)=""),"","Type: "&amp;IF(TRIM(Checks!$S$234)="","______________ (see cover list)",Checks!$S$234)&amp;CHAR(10)&amp;"ID: "&amp;IF(TRIM(Checks!$Z$234)="","______________ (record's own no.)",Checks!$Z$234))&amp;IF(Checks!$AA$234="","",CHAR(10)&amp;"CA: "&amp;Checks!$AA$234)</f>
        <v>Type: ______________ (see cover list)
ID: ______________ (record's own no.)</v>
      </c>
      <c r="G47" s="120" t="str">
        <f aca="false">IF(AND(LEFT(Checks!$AH$234,10)="N/A – RULE",NOT(ISNUMBER(Checks!$AD$234)),Checks!$AE$234="",Checks!$T$234=""),"","Done: "&amp;IF(ISNUMBER(Checks!$AD$234),TEXT(Checks!$AD$234,"DD-MMM-YY HH:MM"),"____________")&amp;" "&amp;Checks!$P$234&amp;CHAR(10)&amp;"Verifier: "&amp;IF(Checks!$AE$234="","____________",Checks!$AE$234)&amp;CHAR(10)&amp;"PIC: "&amp;IF(Checks!$T$234="","____________",Checks!$T$234))</f>
        <v>Done: ____________ LHR
Verifier: ____________
PIC: ____________</v>
      </c>
      <c r="H47" s="121" t="str">
        <f aca="false">IF(Checks!$AH$234="","",Checks!$AH$234)</f>
        <v>OPEN</v>
      </c>
    </row>
    <row r="48" customFormat="false" ht="114" hidden="false" customHeight="true" outlineLevel="0" collapsed="false">
      <c r="A48" s="120" t="str">
        <f aca="false">Checks!$A$235&amp;CHAR(10)&amp;IF(Checks!$I$235="","",Checks!$I$235&amp;": ")&amp;Checks!$J$235</f>
        <v>F07-T12-12
F&amp;B Linen: Tray cloth - prepared</v>
      </c>
      <c r="B48" s="120" t="str">
        <f aca="false">Checks!$K$235&amp;IF(Checks!$O$235="","",IF(Checks!$K$235="","",CHAR(10))&amp;"Note: "&amp;Checks!$O$235)</f>
        <v>Available (ticked in reference)
Note: Reference gives no uplift stn for this item: preparation checked at the meal uplift stn (LHR) - confirm with caterer.</v>
      </c>
      <c r="C48" s="120" t="str">
        <f aca="false">Checks!$N$235&amp;CHAR(10)&amp;IF(ISNUMBER(Checks!$R$235),TEXT(Checks!$R$235,"DD-MMM-YY HH:MM"),"")&amp;" "&amp;Checks!$P$235</f>
        <v>Required
08-Oct-26 23:00 LHR</v>
      </c>
      <c r="D48" s="120" t="str">
        <f aca="false">IF(TRIM(Checks!$U$235)&lt;&gt;"",Checks!$U$235&amp;IF(Checks!$AB$235="","",CHAR(10)&amp;"CA: "&amp;Checks!$AB$235),IF(LEFT(Checks!$AH$235,10)="N/A – RULE","","[ ] Pass"&amp;CHAR(10)&amp;"[ ] Pass after CA"&amp;CHAR(10)&amp;"[ ] Fail"&amp;IF(Checks!$AT$235=1,CHAR(10)&amp;"[ ] N/A","")&amp;CHAR(10)&amp;"CA: Open / Closed"))</f>
        <v>[ ] Pass
[ ] Pass after CA
[ ] Fail
CA: Open / Closed</v>
      </c>
      <c r="E48" s="120" t="str">
        <f aca="false">IF(Checks!$V$235="","",Checks!$V$235)&amp;IF(Checks!$AC$235="","",IF(Checks!$V$235="","",CHAR(10))&amp;"N/A just.: "&amp;Checks!$AC$235)&amp;IF(OR(Checks!$W$235&lt;&gt;"",AND(Checks!$AQ$235=1,NOT(LEFT(Checks!$AH$235,10)="N/A – RULE"))),CHAR(10)&amp;"Batch: "&amp;IF(Checks!$W$235="","____________",Checks!$W$235),"")&amp;IF(OR(Checks!$X$235&lt;&gt;"",Checks!$Y$235&lt;&gt;"",AND(Checks!$AR$235=1,NOT(LEFT(Checks!$AH$235,10)="N/A – RULE"))),CHAR(10)&amp;"Exp: "&amp;IF(Checks!$X$235="","______",Checks!$X$235)&amp;"  /  Act: "&amp;IF(Checks!$Y$235="","______",Checks!$Y$235),"")</f>
        <v/>
      </c>
      <c r="F48" s="120" t="str">
        <f aca="false">IF(AND(LEFT(Checks!$AH$235,10)="N/A – RULE",TRIM(Checks!$S$235&amp;Checks!$Z$235)=""),"","Type: "&amp;IF(TRIM(Checks!$S$235)="","______________ (see cover list)",Checks!$S$235)&amp;CHAR(10)&amp;"ID: "&amp;IF(TRIM(Checks!$Z$235)="","______________ (record's own no.)",Checks!$Z$235))&amp;IF(Checks!$AA$235="","",CHAR(10)&amp;"CA: "&amp;Checks!$AA$235)</f>
        <v>Type: ______________ (see cover list)
ID: ______________ (record's own no.)</v>
      </c>
      <c r="G48" s="120" t="str">
        <f aca="false">IF(AND(LEFT(Checks!$AH$235,10)="N/A – RULE",NOT(ISNUMBER(Checks!$AD$235)),Checks!$AE$235="",Checks!$T$235=""),"","Done: "&amp;IF(ISNUMBER(Checks!$AD$235),TEXT(Checks!$AD$235,"DD-MMM-YY HH:MM"),"____________")&amp;" "&amp;Checks!$P$235&amp;CHAR(10)&amp;"Verifier: "&amp;IF(Checks!$AE$235="","____________",Checks!$AE$235)&amp;CHAR(10)&amp;"PIC: "&amp;IF(Checks!$T$235="","____________",Checks!$T$235))</f>
        <v>Done: ____________ LHR
Verifier: ____________
PIC: ____________</v>
      </c>
      <c r="H48" s="121" t="str">
        <f aca="false">IF(Checks!$AH$235="","",Checks!$AH$235)</f>
        <v>OPEN</v>
      </c>
    </row>
    <row r="49" customFormat="false" ht="114" hidden="false" customHeight="true" outlineLevel="0" collapsed="false">
      <c r="A49" s="120" t="str">
        <f aca="false">Checks!$A$236&amp;CHAR(10)&amp;IF(Checks!$I$236="","",Checks!$I$236&amp;": ")&amp;Checks!$J$236</f>
        <v>F07-T12-13
F&amp;B Linen: Napkin - prepared</v>
      </c>
      <c r="B49" s="120" t="str">
        <f aca="false">Checks!$K$236&amp;IF(Checks!$O$236="","",IF(Checks!$K$236="","",CHAR(10))&amp;"Note: "&amp;Checks!$O$236)</f>
        <v>Available (ticked in reference)
Note: Reference gives no uplift stn for this item: preparation checked at the meal uplift stn (LHR) - confirm with caterer.</v>
      </c>
      <c r="C49" s="120" t="str">
        <f aca="false">Checks!$N$236&amp;CHAR(10)&amp;IF(ISNUMBER(Checks!$R$236),TEXT(Checks!$R$236,"DD-MMM-YY HH:MM"),"")&amp;" "&amp;Checks!$P$236</f>
        <v>Required
08-Oct-26 23:00 LHR</v>
      </c>
      <c r="D49" s="120" t="str">
        <f aca="false">IF(TRIM(Checks!$U$236)&lt;&gt;"",Checks!$U$236&amp;IF(Checks!$AB$236="","",CHAR(10)&amp;"CA: "&amp;Checks!$AB$236),IF(LEFT(Checks!$AH$236,10)="N/A – RULE","","[ ] Pass"&amp;CHAR(10)&amp;"[ ] Pass after CA"&amp;CHAR(10)&amp;"[ ] Fail"&amp;IF(Checks!$AT$236=1,CHAR(10)&amp;"[ ] N/A","")&amp;CHAR(10)&amp;"CA: Open / Closed"))</f>
        <v>[ ] Pass
[ ] Pass after CA
[ ] Fail
CA: Open / Closed</v>
      </c>
      <c r="E49" s="120" t="str">
        <f aca="false">IF(Checks!$V$236="","",Checks!$V$236)&amp;IF(Checks!$AC$236="","",IF(Checks!$V$236="","",CHAR(10))&amp;"N/A just.: "&amp;Checks!$AC$236)&amp;IF(OR(Checks!$W$236&lt;&gt;"",AND(Checks!$AQ$236=1,NOT(LEFT(Checks!$AH$236,10)="N/A – RULE"))),CHAR(10)&amp;"Batch: "&amp;IF(Checks!$W$236="","____________",Checks!$W$236),"")&amp;IF(OR(Checks!$X$236&lt;&gt;"",Checks!$Y$236&lt;&gt;"",AND(Checks!$AR$236=1,NOT(LEFT(Checks!$AH$236,10)="N/A – RULE"))),CHAR(10)&amp;"Exp: "&amp;IF(Checks!$X$236="","______",Checks!$X$236)&amp;"  /  Act: "&amp;IF(Checks!$Y$236="","______",Checks!$Y$236),"")</f>
        <v/>
      </c>
      <c r="F49" s="120" t="str">
        <f aca="false">IF(AND(LEFT(Checks!$AH$236,10)="N/A – RULE",TRIM(Checks!$S$236&amp;Checks!$Z$236)=""),"","Type: "&amp;IF(TRIM(Checks!$S$236)="","______________ (see cover list)",Checks!$S$236)&amp;CHAR(10)&amp;"ID: "&amp;IF(TRIM(Checks!$Z$236)="","______________ (record's own no.)",Checks!$Z$236))&amp;IF(Checks!$AA$236="","",CHAR(10)&amp;"CA: "&amp;Checks!$AA$236)</f>
        <v>Type: ______________ (see cover list)
ID: ______________ (record's own no.)</v>
      </c>
      <c r="G49" s="120" t="str">
        <f aca="false">IF(AND(LEFT(Checks!$AH$236,10)="N/A – RULE",NOT(ISNUMBER(Checks!$AD$236)),Checks!$AE$236="",Checks!$T$236=""),"","Done: "&amp;IF(ISNUMBER(Checks!$AD$236),TEXT(Checks!$AD$236,"DD-MMM-YY HH:MM"),"____________")&amp;" "&amp;Checks!$P$236&amp;CHAR(10)&amp;"Verifier: "&amp;IF(Checks!$AE$236="","____________",Checks!$AE$236)&amp;CHAR(10)&amp;"PIC: "&amp;IF(Checks!$T$236="","____________",Checks!$T$236))</f>
        <v>Done: ____________ LHR
Verifier: ____________
PIC: ____________</v>
      </c>
      <c r="H49" s="121" t="str">
        <f aca="false">IF(Checks!$AH$236="","",Checks!$AH$236)</f>
        <v>OPEN</v>
      </c>
    </row>
    <row r="50" customFormat="false" ht="114" hidden="false" customHeight="true" outlineLevel="0" collapsed="false">
      <c r="A50" s="120" t="str">
        <f aca="false">Checks!$A$237&amp;CHAR(10)&amp;IF(Checks!$I$237="","",Checks!$I$237&amp;": ")&amp;Checks!$J$237</f>
        <v>F07-T12-14
F&amp;B Linen: Table cloth - prepared</v>
      </c>
      <c r="B50" s="120" t="str">
        <f aca="false">Checks!$K$237&amp;IF(Checks!$O$237="","",IF(Checks!$K$237="","",CHAR(10))&amp;"Note: "&amp;Checks!$O$237)</f>
        <v>Available (ticked in reference)
Note: Reference gives no uplift stn for this item: preparation checked at the meal uplift stn (LHR) - confirm with caterer.</v>
      </c>
      <c r="C50" s="120" t="str">
        <f aca="false">Checks!$N$237&amp;CHAR(10)&amp;IF(ISNUMBER(Checks!$R$237),TEXT(Checks!$R$237,"DD-MMM-YY HH:MM"),"")&amp;" "&amp;Checks!$P$237</f>
        <v>Required
08-Oct-26 23:00 LHR</v>
      </c>
      <c r="D50" s="120" t="str">
        <f aca="false">IF(TRIM(Checks!$U$237)&lt;&gt;"",Checks!$U$237&amp;IF(Checks!$AB$237="","",CHAR(10)&amp;"CA: "&amp;Checks!$AB$237),IF(LEFT(Checks!$AH$237,10)="N/A – RULE","","[ ] Pass"&amp;CHAR(10)&amp;"[ ] Pass after CA"&amp;CHAR(10)&amp;"[ ] Fail"&amp;IF(Checks!$AT$237=1,CHAR(10)&amp;"[ ] N/A","")&amp;CHAR(10)&amp;"CA: Open / Closed"))</f>
        <v>[ ] Pass
[ ] Pass after CA
[ ] Fail
CA: Open / Closed</v>
      </c>
      <c r="E50" s="120" t="str">
        <f aca="false">IF(Checks!$V$237="","",Checks!$V$237)&amp;IF(Checks!$AC$237="","",IF(Checks!$V$237="","",CHAR(10))&amp;"N/A just.: "&amp;Checks!$AC$237)&amp;IF(OR(Checks!$W$237&lt;&gt;"",AND(Checks!$AQ$237=1,NOT(LEFT(Checks!$AH$237,10)="N/A – RULE"))),CHAR(10)&amp;"Batch: "&amp;IF(Checks!$W$237="","____________",Checks!$W$237),"")&amp;IF(OR(Checks!$X$237&lt;&gt;"",Checks!$Y$237&lt;&gt;"",AND(Checks!$AR$237=1,NOT(LEFT(Checks!$AH$237,10)="N/A – RULE"))),CHAR(10)&amp;"Exp: "&amp;IF(Checks!$X$237="","______",Checks!$X$237)&amp;"  /  Act: "&amp;IF(Checks!$Y$237="","______",Checks!$Y$237),"")</f>
        <v/>
      </c>
      <c r="F50" s="120" t="str">
        <f aca="false">IF(AND(LEFT(Checks!$AH$237,10)="N/A – RULE",TRIM(Checks!$S$237&amp;Checks!$Z$237)=""),"","Type: "&amp;IF(TRIM(Checks!$S$237)="","______________ (see cover list)",Checks!$S$237)&amp;CHAR(10)&amp;"ID: "&amp;IF(TRIM(Checks!$Z$237)="","______________ (record's own no.)",Checks!$Z$237))&amp;IF(Checks!$AA$237="","",CHAR(10)&amp;"CA: "&amp;Checks!$AA$237)</f>
        <v>Type: ______________ (see cover list)
ID: ______________ (record's own no.)</v>
      </c>
      <c r="G50" s="120" t="str">
        <f aca="false">IF(AND(LEFT(Checks!$AH$237,10)="N/A – RULE",NOT(ISNUMBER(Checks!$AD$237)),Checks!$AE$237="",Checks!$T$237=""),"","Done: "&amp;IF(ISNUMBER(Checks!$AD$237),TEXT(Checks!$AD$237,"DD-MMM-YY HH:MM"),"____________")&amp;" "&amp;Checks!$P$237&amp;CHAR(10)&amp;"Verifier: "&amp;IF(Checks!$AE$237="","____________",Checks!$AE$237)&amp;CHAR(10)&amp;"PIC: "&amp;IF(Checks!$T$237="","____________",Checks!$T$237))</f>
        <v>Done: ____________ LHR
Verifier: ____________
PIC: ____________</v>
      </c>
      <c r="H50" s="121" t="str">
        <f aca="false">IF(Checks!$AH$237="","",Checks!$AH$237)</f>
        <v>OPEN</v>
      </c>
    </row>
    <row r="51" customFormat="false" ht="114" hidden="false" customHeight="true" outlineLevel="0" collapsed="false">
      <c r="A51" s="120" t="str">
        <f aca="false">Checks!$A$238&amp;CHAR(10)&amp;IF(Checks!$I$238="","",Checks!$I$238&amp;": ")&amp;Checks!$J$238</f>
        <v>F07-T12-15
F&amp;B Linen: Bread linen (using table cloth) - prepared</v>
      </c>
      <c r="B51" s="120" t="str">
        <f aca="false">Checks!$K$238&amp;IF(Checks!$O$238="","",IF(Checks!$K$238="","",CHAR(10))&amp;"Note: "&amp;Checks!$O$238)</f>
        <v>Available (ticked in reference)
Note: Reference gives no uplift stn for this item: preparation checked at the meal uplift stn (LHR) - confirm with caterer.</v>
      </c>
      <c r="C51" s="120" t="str">
        <f aca="false">Checks!$N$238&amp;CHAR(10)&amp;IF(ISNUMBER(Checks!$R$238),TEXT(Checks!$R$238,"DD-MMM-YY HH:MM"),"")&amp;" "&amp;Checks!$P$238</f>
        <v>Required
08-Oct-26 23:00 LHR</v>
      </c>
      <c r="D51" s="120" t="str">
        <f aca="false">IF(TRIM(Checks!$U$238)&lt;&gt;"",Checks!$U$238&amp;IF(Checks!$AB$238="","",CHAR(10)&amp;"CA: "&amp;Checks!$AB$238),IF(LEFT(Checks!$AH$238,10)="N/A – RULE","","[ ] Pass"&amp;CHAR(10)&amp;"[ ] Pass after CA"&amp;CHAR(10)&amp;"[ ] Fail"&amp;IF(Checks!$AT$238=1,CHAR(10)&amp;"[ ] N/A","")&amp;CHAR(10)&amp;"CA: Open / Closed"))</f>
        <v>[ ] Pass
[ ] Pass after CA
[ ] Fail
CA: Open / Closed</v>
      </c>
      <c r="E51" s="120" t="str">
        <f aca="false">IF(Checks!$V$238="","",Checks!$V$238)&amp;IF(Checks!$AC$238="","",IF(Checks!$V$238="","",CHAR(10))&amp;"N/A just.: "&amp;Checks!$AC$238)&amp;IF(OR(Checks!$W$238&lt;&gt;"",AND(Checks!$AQ$238=1,NOT(LEFT(Checks!$AH$238,10)="N/A – RULE"))),CHAR(10)&amp;"Batch: "&amp;IF(Checks!$W$238="","____________",Checks!$W$238),"")&amp;IF(OR(Checks!$X$238&lt;&gt;"",Checks!$Y$238&lt;&gt;"",AND(Checks!$AR$238=1,NOT(LEFT(Checks!$AH$238,10)="N/A – RULE"))),CHAR(10)&amp;"Exp: "&amp;IF(Checks!$X$238="","______",Checks!$X$238)&amp;"  /  Act: "&amp;IF(Checks!$Y$238="","______",Checks!$Y$238),"")</f>
        <v/>
      </c>
      <c r="F51" s="120" t="str">
        <f aca="false">IF(AND(LEFT(Checks!$AH$238,10)="N/A – RULE",TRIM(Checks!$S$238&amp;Checks!$Z$238)=""),"","Type: "&amp;IF(TRIM(Checks!$S$238)="","______________ (see cover list)",Checks!$S$238)&amp;CHAR(10)&amp;"ID: "&amp;IF(TRIM(Checks!$Z$238)="","______________ (record's own no.)",Checks!$Z$238))&amp;IF(Checks!$AA$238="","",CHAR(10)&amp;"CA: "&amp;Checks!$AA$238)</f>
        <v>Type: ______________ (see cover list)
ID: ______________ (record's own no.)</v>
      </c>
      <c r="G51" s="120" t="str">
        <f aca="false">IF(AND(LEFT(Checks!$AH$238,10)="N/A – RULE",NOT(ISNUMBER(Checks!$AD$238)),Checks!$AE$238="",Checks!$T$238=""),"","Done: "&amp;IF(ISNUMBER(Checks!$AD$238),TEXT(Checks!$AD$238,"DD-MMM-YY HH:MM"),"____________")&amp;" "&amp;Checks!$P$238&amp;CHAR(10)&amp;"Verifier: "&amp;IF(Checks!$AE$238="","____________",Checks!$AE$238)&amp;CHAR(10)&amp;"PIC: "&amp;IF(Checks!$T$238="","____________",Checks!$T$238))</f>
        <v>Done: ____________ LHR
Verifier: ____________
PIC: ____________</v>
      </c>
      <c r="H51" s="121" t="str">
        <f aca="false">IF(Checks!$AH$238="","",Checks!$AH$238)</f>
        <v>OPEN</v>
      </c>
    </row>
    <row r="52" customFormat="false" ht="124.5" hidden="false" customHeight="true" outlineLevel="0" collapsed="false">
      <c r="A52" s="120" t="str">
        <f aca="false">Checks!$A$239&amp;CHAR(10)&amp;IF(Checks!$I$239="","",Checks!$I$239&amp;": ")&amp;Checks!$J$239</f>
        <v>F07-T12-16
F&amp;B Linen: Trolley cloth - prepared</v>
      </c>
      <c r="B52" s="120" t="str">
        <f aca="false">SUBSTITUTE(SUBSTITUTE(Checks!$K$239&amp;IF(Checks!$O$239="","",IF(Checks!$K$239="","",CHAR(10))&amp;"Note: "&amp;Checks!$O$239),"Per note F&amp;B LINEN!B79:C80.","Per the F&amp;B LINEN reference note."),"note F&amp;B LINEN!B79:C80","the F&amp;B LINEN reference note")</f>
        <v>Wide body: Top/Middle &amp; Bottom
Note: Per the F&amp;B LINEN reference note. Reference gives no uplift stn for this item: preparation checked at the meal uplift stn (LHR) - confirm with caterer.</v>
      </c>
      <c r="C52" s="120" t="str">
        <f aca="false">Checks!$N$239&amp;CHAR(10)&amp;IF(ISNUMBER(Checks!$R$239),TEXT(Checks!$R$239,"DD-MMM-YY HH:MM"),"")&amp;" "&amp;Checks!$P$239</f>
        <v>Required
08-Oct-26 23:00 LHR</v>
      </c>
      <c r="D52" s="120" t="str">
        <f aca="false">IF(TRIM(Checks!$U$239)&lt;&gt;"",Checks!$U$239&amp;IF(Checks!$AB$239="","",CHAR(10)&amp;"CA: "&amp;Checks!$AB$239),IF(LEFT(Checks!$AH$239,10)="N/A – RULE","","[ ] Pass"&amp;CHAR(10)&amp;"[ ] Pass after CA"&amp;CHAR(10)&amp;"[ ] Fail"&amp;IF(Checks!$AT$239=1,CHAR(10)&amp;"[ ] N/A","")&amp;CHAR(10)&amp;"CA: Open / Closed"))</f>
        <v>[ ] Pass
[ ] Pass after CA
[ ] Fail
CA: Open / Closed</v>
      </c>
      <c r="E52" s="120" t="str">
        <f aca="false">IF(Checks!$V$239="","",Checks!$V$239)&amp;IF(Checks!$AC$239="","",IF(Checks!$V$239="","",CHAR(10))&amp;"N/A just.: "&amp;Checks!$AC$239)&amp;IF(OR(Checks!$W$239&lt;&gt;"",AND(Checks!$AQ$239=1,NOT(LEFT(Checks!$AH$239,10)="N/A – RULE"))),CHAR(10)&amp;"Batch: "&amp;IF(Checks!$W$239="","____________",Checks!$W$239),"")&amp;IF(OR(Checks!$X$239&lt;&gt;"",Checks!$Y$239&lt;&gt;"",AND(Checks!$AR$239=1,NOT(LEFT(Checks!$AH$239,10)="N/A – RULE"))),CHAR(10)&amp;"Exp: "&amp;IF(Checks!$X$239="","______",Checks!$X$239)&amp;"  /  Act: "&amp;IF(Checks!$Y$239="","______",Checks!$Y$239),"")</f>
        <v/>
      </c>
      <c r="F52" s="120" t="str">
        <f aca="false">IF(AND(LEFT(Checks!$AH$239,10)="N/A – RULE",TRIM(Checks!$S$239&amp;Checks!$Z$239)=""),"","Type: "&amp;IF(TRIM(Checks!$S$239)="","______________ (see cover list)",Checks!$S$239)&amp;CHAR(10)&amp;"ID: "&amp;IF(TRIM(Checks!$Z$239)="","______________ (record's own no.)",Checks!$Z$239))&amp;IF(Checks!$AA$239="","",CHAR(10)&amp;"CA: "&amp;Checks!$AA$239)</f>
        <v>Type: ______________ (see cover list)
ID: ______________ (record's own no.)</v>
      </c>
      <c r="G52" s="120" t="str">
        <f aca="false">IF(AND(LEFT(Checks!$AH$239,10)="N/A – RULE",NOT(ISNUMBER(Checks!$AD$239)),Checks!$AE$239="",Checks!$T$239=""),"","Done: "&amp;IF(ISNUMBER(Checks!$AD$239),TEXT(Checks!$AD$239,"DD-MMM-YY HH:MM"),"____________")&amp;" "&amp;Checks!$P$239&amp;CHAR(10)&amp;"Verifier: "&amp;IF(Checks!$AE$239="","____________",Checks!$AE$239)&amp;CHAR(10)&amp;"PIC: "&amp;IF(Checks!$T$239="","____________",Checks!$T$239))</f>
        <v>Done: ____________ LHR
Verifier: ____________
PIC: ____________</v>
      </c>
      <c r="H52" s="121" t="str">
        <f aca="false">IF(Checks!$AH$239="","",Checks!$AH$239)</f>
        <v>OPEN</v>
      </c>
    </row>
    <row r="53" customFormat="false" ht="114" hidden="false" customHeight="true" outlineLevel="0" collapsed="false">
      <c r="A53" s="120" t="str">
        <f aca="false">Checks!$A$240&amp;CHAR(10)&amp;IF(Checks!$I$240="","",Checks!$I$240&amp;": ")&amp;Checks!$J$240</f>
        <v>F07-T12-17
F&amp;B Linen: Linen bag - prepared</v>
      </c>
      <c r="B53" s="120" t="str">
        <f aca="false">Checks!$K$240&amp;IF(Checks!$O$240="","",IF(Checks!$K$240="","",CHAR(10))&amp;"Note: "&amp;Checks!$O$240)</f>
        <v>Available (ticked in reference)
Note: Reference gives no uplift stn for this item: preparation checked at the meal uplift stn (LHR) - confirm with caterer.</v>
      </c>
      <c r="C53" s="120" t="str">
        <f aca="false">Checks!$N$240&amp;CHAR(10)&amp;IF(ISNUMBER(Checks!$R$240),TEXT(Checks!$R$240,"DD-MMM-YY HH:MM"),"")&amp;" "&amp;Checks!$P$240</f>
        <v>Required
08-Oct-26 23:00 LHR</v>
      </c>
      <c r="D53" s="120" t="str">
        <f aca="false">IF(TRIM(Checks!$U$240)&lt;&gt;"",Checks!$U$240&amp;IF(Checks!$AB$240="","",CHAR(10)&amp;"CA: "&amp;Checks!$AB$240),IF(LEFT(Checks!$AH$240,10)="N/A – RULE","","[ ] Pass"&amp;CHAR(10)&amp;"[ ] Pass after CA"&amp;CHAR(10)&amp;"[ ] Fail"&amp;IF(Checks!$AT$240=1,CHAR(10)&amp;"[ ] N/A","")&amp;CHAR(10)&amp;"CA: Open / Closed"))</f>
        <v>[ ] Pass
[ ] Pass after CA
[ ] Fail
CA: Open / Closed</v>
      </c>
      <c r="E53" s="120" t="str">
        <f aca="false">IF(Checks!$V$240="","",Checks!$V$240)&amp;IF(Checks!$AC$240="","",IF(Checks!$V$240="","",CHAR(10))&amp;"N/A just.: "&amp;Checks!$AC$240)&amp;IF(OR(Checks!$W$240&lt;&gt;"",AND(Checks!$AQ$240=1,NOT(LEFT(Checks!$AH$240,10)="N/A – RULE"))),CHAR(10)&amp;"Batch: "&amp;IF(Checks!$W$240="","____________",Checks!$W$240),"")&amp;IF(OR(Checks!$X$240&lt;&gt;"",Checks!$Y$240&lt;&gt;"",AND(Checks!$AR$240=1,NOT(LEFT(Checks!$AH$240,10)="N/A – RULE"))),CHAR(10)&amp;"Exp: "&amp;IF(Checks!$X$240="","______",Checks!$X$240)&amp;"  /  Act: "&amp;IF(Checks!$Y$240="","______",Checks!$Y$240),"")</f>
        <v/>
      </c>
      <c r="F53" s="120" t="str">
        <f aca="false">IF(AND(LEFT(Checks!$AH$240,10)="N/A – RULE",TRIM(Checks!$S$240&amp;Checks!$Z$240)=""),"","Type: "&amp;IF(TRIM(Checks!$S$240)="","______________ (see cover list)",Checks!$S$240)&amp;CHAR(10)&amp;"ID: "&amp;IF(TRIM(Checks!$Z$240)="","______________ (record's own no.)",Checks!$Z$240))&amp;IF(Checks!$AA$240="","",CHAR(10)&amp;"CA: "&amp;Checks!$AA$240)</f>
        <v>Type: ______________ (see cover list)
ID: ______________ (record's own no.)</v>
      </c>
      <c r="G53" s="120" t="str">
        <f aca="false">IF(AND(LEFT(Checks!$AH$240,10)="N/A – RULE",NOT(ISNUMBER(Checks!$AD$240)),Checks!$AE$240="",Checks!$T$240=""),"","Done: "&amp;IF(ISNUMBER(Checks!$AD$240),TEXT(Checks!$AD$240,"DD-MMM-YY HH:MM"),"____________")&amp;" "&amp;Checks!$P$240&amp;CHAR(10)&amp;"Verifier: "&amp;IF(Checks!$AE$240="","____________",Checks!$AE$240)&amp;CHAR(10)&amp;"PIC: "&amp;IF(Checks!$T$240="","____________",Checks!$T$240))</f>
        <v>Done: ____________ LHR
Verifier: ____________
PIC: ____________</v>
      </c>
      <c r="H53" s="121" t="str">
        <f aca="false">IF(Checks!$AH$240="","",Checks!$AH$240)</f>
        <v>OPEN</v>
      </c>
    </row>
    <row r="54" customFormat="false" ht="114" hidden="false" customHeight="true" outlineLevel="0" collapsed="false">
      <c r="A54" s="120" t="str">
        <f aca="false">Checks!$A$241&amp;CHAR(10)&amp;IF(Checks!$I$241="","",Checks!$I$241&amp;": ")&amp;Checks!$J$241</f>
        <v>F07-T12-18
Seat Linen: Seat pillow (BS &amp; BC) - prepared</v>
      </c>
      <c r="B54" s="120" t="str">
        <f aca="false">Checks!$K$241&amp;IF(Checks!$O$241="","",IF(Checks!$K$241="","",CHAR(10))&amp;"Note: "&amp;Checks!$O$241)</f>
        <v>Available 100% (ticked in reference)
Note: Reference gives no uplift stn for this item: preparation checked at the meal uplift stn (LHR) - confirm with caterer.</v>
      </c>
      <c r="C54" s="120" t="str">
        <f aca="false">Checks!$N$241&amp;CHAR(10)&amp;IF(ISNUMBER(Checks!$R$241),TEXT(Checks!$R$241,"DD-MMM-YY HH:MM"),"")&amp;" "&amp;Checks!$P$241</f>
        <v>Required
08-Oct-26 23:00 LHR</v>
      </c>
      <c r="D54" s="120" t="str">
        <f aca="false">IF(TRIM(Checks!$U$241)&lt;&gt;"",Checks!$U$241&amp;IF(Checks!$AB$241="","",CHAR(10)&amp;"CA: "&amp;Checks!$AB$241),IF(LEFT(Checks!$AH$241,10)="N/A – RULE","","[ ] Pass"&amp;CHAR(10)&amp;"[ ] Pass after CA"&amp;CHAR(10)&amp;"[ ] Fail"&amp;IF(Checks!$AT$241=1,CHAR(10)&amp;"[ ] N/A","")&amp;CHAR(10)&amp;"CA: Open / Closed"))</f>
        <v>[ ] Pass
[ ] Pass after CA
[ ] Fail
CA: Open / Closed</v>
      </c>
      <c r="E54" s="120" t="str">
        <f aca="false">IF(Checks!$V$241="","",Checks!$V$241)&amp;IF(Checks!$AC$241="","",IF(Checks!$V$241="","",CHAR(10))&amp;"N/A just.: "&amp;Checks!$AC$241)&amp;IF(OR(Checks!$W$241&lt;&gt;"",AND(Checks!$AQ$241=1,NOT(LEFT(Checks!$AH$241,10)="N/A – RULE"))),CHAR(10)&amp;"Batch: "&amp;IF(Checks!$W$241="","____________",Checks!$W$241),"")&amp;IF(OR(Checks!$X$241&lt;&gt;"",Checks!$Y$241&lt;&gt;"",AND(Checks!$AR$241=1,NOT(LEFT(Checks!$AH$241,10)="N/A – RULE"))),CHAR(10)&amp;"Exp: "&amp;IF(Checks!$X$241="","______",Checks!$X$241)&amp;"  /  Act: "&amp;IF(Checks!$Y$241="","______",Checks!$Y$241),"")</f>
        <v/>
      </c>
      <c r="F54" s="120" t="str">
        <f aca="false">IF(AND(LEFT(Checks!$AH$241,10)="N/A – RULE",TRIM(Checks!$S$241&amp;Checks!$Z$241)=""),"","Type: "&amp;IF(TRIM(Checks!$S$241)="","______________ (see cover list)",Checks!$S$241)&amp;CHAR(10)&amp;"ID: "&amp;IF(TRIM(Checks!$Z$241)="","______________ (record's own no.)",Checks!$Z$241))&amp;IF(Checks!$AA$241="","",CHAR(10)&amp;"CA: "&amp;Checks!$AA$241)</f>
        <v>Type: ______________ (see cover list)
ID: ______________ (record's own no.)</v>
      </c>
      <c r="G54" s="120" t="str">
        <f aca="false">IF(AND(LEFT(Checks!$AH$241,10)="N/A – RULE",NOT(ISNUMBER(Checks!$AD$241)),Checks!$AE$241="",Checks!$T$241=""),"","Done: "&amp;IF(ISNUMBER(Checks!$AD$241),TEXT(Checks!$AD$241,"DD-MMM-YY HH:MM"),"____________")&amp;" "&amp;Checks!$P$241&amp;CHAR(10)&amp;"Verifier: "&amp;IF(Checks!$AE$241="","____________",Checks!$AE$241)&amp;CHAR(10)&amp;"PIC: "&amp;IF(Checks!$T$241="","____________",Checks!$T$241))</f>
        <v>Done: ____________ LHR
Verifier: ____________
PIC: ____________</v>
      </c>
      <c r="H54" s="121" t="str">
        <f aca="false">IF(Checks!$AH$241="","",Checks!$AH$241)</f>
        <v>OPEN</v>
      </c>
    </row>
    <row r="55" customFormat="false" ht="114" hidden="false" customHeight="true" outlineLevel="0" collapsed="false">
      <c r="A55" s="120" t="str">
        <f aca="false">Checks!$A$242&amp;CHAR(10)&amp;IF(Checks!$I$242="","",Checks!$I$242&amp;": ")&amp;Checks!$J$242</f>
        <v>F07-T12-19
Seat Linen: Duvet (BS &amp; BC) - prepared</v>
      </c>
      <c r="B55" s="120" t="str">
        <f aca="false">Checks!$K$242&amp;IF(Checks!$O$242="","",IF(Checks!$K$242="","",CHAR(10))&amp;"Note: "&amp;Checks!$O$242)</f>
        <v>Available 100% (ticked in reference)
Note: Reference gives no uplift stn for this item: preparation checked at the meal uplift stn (LHR) - confirm with caterer.</v>
      </c>
      <c r="C55" s="120" t="str">
        <f aca="false">Checks!$N$242&amp;CHAR(10)&amp;IF(ISNUMBER(Checks!$R$242),TEXT(Checks!$R$242,"DD-MMM-YY HH:MM"),"")&amp;" "&amp;Checks!$P$242</f>
        <v>Required
08-Oct-26 23:00 LHR</v>
      </c>
      <c r="D55" s="120" t="str">
        <f aca="false">IF(TRIM(Checks!$U$242)&lt;&gt;"",Checks!$U$242&amp;IF(Checks!$AB$242="","",CHAR(10)&amp;"CA: "&amp;Checks!$AB$242),IF(LEFT(Checks!$AH$242,10)="N/A – RULE","","[ ] Pass"&amp;CHAR(10)&amp;"[ ] Pass after CA"&amp;CHAR(10)&amp;"[ ] Fail"&amp;IF(Checks!$AT$242=1,CHAR(10)&amp;"[ ] N/A","")&amp;CHAR(10)&amp;"CA: Open / Closed"))</f>
        <v>[ ] Pass
[ ] Pass after CA
[ ] Fail
CA: Open / Closed</v>
      </c>
      <c r="E55" s="120" t="str">
        <f aca="false">IF(Checks!$V$242="","",Checks!$V$242)&amp;IF(Checks!$AC$242="","",IF(Checks!$V$242="","",CHAR(10))&amp;"N/A just.: "&amp;Checks!$AC$242)&amp;IF(OR(Checks!$W$242&lt;&gt;"",AND(Checks!$AQ$242=1,NOT(LEFT(Checks!$AH$242,10)="N/A – RULE"))),CHAR(10)&amp;"Batch: "&amp;IF(Checks!$W$242="","____________",Checks!$W$242),"")&amp;IF(OR(Checks!$X$242&lt;&gt;"",Checks!$Y$242&lt;&gt;"",AND(Checks!$AR$242=1,NOT(LEFT(Checks!$AH$242,10)="N/A – RULE"))),CHAR(10)&amp;"Exp: "&amp;IF(Checks!$X$242="","______",Checks!$X$242)&amp;"  /  Act: "&amp;IF(Checks!$Y$242="","______",Checks!$Y$242),"")</f>
        <v/>
      </c>
      <c r="F55" s="120" t="str">
        <f aca="false">IF(AND(LEFT(Checks!$AH$242,10)="N/A – RULE",TRIM(Checks!$S$242&amp;Checks!$Z$242)=""),"","Type: "&amp;IF(TRIM(Checks!$S$242)="","______________ (see cover list)",Checks!$S$242)&amp;CHAR(10)&amp;"ID: "&amp;IF(TRIM(Checks!$Z$242)="","______________ (record's own no.)",Checks!$Z$242))&amp;IF(Checks!$AA$242="","",CHAR(10)&amp;"CA: "&amp;Checks!$AA$242)</f>
        <v>Type: ______________ (see cover list)
ID: ______________ (record's own no.)</v>
      </c>
      <c r="G55" s="120" t="str">
        <f aca="false">IF(AND(LEFT(Checks!$AH$242,10)="N/A – RULE",NOT(ISNUMBER(Checks!$AD$242)),Checks!$AE$242="",Checks!$T$242=""),"","Done: "&amp;IF(ISNUMBER(Checks!$AD$242),TEXT(Checks!$AD$242,"DD-MMM-YY HH:MM"),"____________")&amp;" "&amp;Checks!$P$242&amp;CHAR(10)&amp;"Verifier: "&amp;IF(Checks!$AE$242="","____________",Checks!$AE$242)&amp;CHAR(10)&amp;"PIC: "&amp;IF(Checks!$T$242="","____________",Checks!$T$242))</f>
        <v>Done: ____________ LHR
Verifier: ____________
PIC: ____________</v>
      </c>
      <c r="H55" s="121" t="str">
        <f aca="false">IF(Checks!$AH$242="","",Checks!$AH$242)</f>
        <v>OPEN</v>
      </c>
    </row>
    <row r="56" customFormat="false" ht="114" hidden="false" customHeight="true" outlineLevel="0" collapsed="false">
      <c r="A56" s="120" t="str">
        <f aca="false">Checks!$A$243&amp;CHAR(10)&amp;IF(Checks!$I$243="","",Checks!$I$243&amp;": ")&amp;Checks!$J$243</f>
        <v>F07-T12-20
Seat Linen: Mattress (BS &amp; BC) - prepared</v>
      </c>
      <c r="B56" s="120" t="str">
        <f aca="false">Checks!$K$243&amp;IF(Checks!$O$243="","",IF(Checks!$K$243="","",CHAR(10))&amp;"Note: "&amp;Checks!$O$243)</f>
        <v>Available 100% (ticked in reference)
Note: Reference gives no uplift stn for this item: preparation checked at the meal uplift stn (LHR) - confirm with caterer.</v>
      </c>
      <c r="C56" s="120" t="str">
        <f aca="false">Checks!$N$243&amp;CHAR(10)&amp;IF(ISNUMBER(Checks!$R$243),TEXT(Checks!$R$243,"DD-MMM-YY HH:MM"),"")&amp;" "&amp;Checks!$P$243</f>
        <v>Required
08-Oct-26 23:00 LHR</v>
      </c>
      <c r="D56" s="120" t="str">
        <f aca="false">IF(TRIM(Checks!$U$243)&lt;&gt;"",Checks!$U$243&amp;IF(Checks!$AB$243="","",CHAR(10)&amp;"CA: "&amp;Checks!$AB$243),IF(LEFT(Checks!$AH$243,10)="N/A – RULE","","[ ] Pass"&amp;CHAR(10)&amp;"[ ] Pass after CA"&amp;CHAR(10)&amp;"[ ] Fail"&amp;IF(Checks!$AT$243=1,CHAR(10)&amp;"[ ] N/A","")&amp;CHAR(10)&amp;"CA: Open / Closed"))</f>
        <v>[ ] Pass
[ ] Pass after CA
[ ] Fail
CA: Open / Closed</v>
      </c>
      <c r="E56" s="120" t="str">
        <f aca="false">IF(Checks!$V$243="","",Checks!$V$243)&amp;IF(Checks!$AC$243="","",IF(Checks!$V$243="","",CHAR(10))&amp;"N/A just.: "&amp;Checks!$AC$243)&amp;IF(OR(Checks!$W$243&lt;&gt;"",AND(Checks!$AQ$243=1,NOT(LEFT(Checks!$AH$243,10)="N/A – RULE"))),CHAR(10)&amp;"Batch: "&amp;IF(Checks!$W$243="","____________",Checks!$W$243),"")&amp;IF(OR(Checks!$X$243&lt;&gt;"",Checks!$Y$243&lt;&gt;"",AND(Checks!$AR$243=1,NOT(LEFT(Checks!$AH$243,10)="N/A – RULE"))),CHAR(10)&amp;"Exp: "&amp;IF(Checks!$X$243="","______",Checks!$X$243)&amp;"  /  Act: "&amp;IF(Checks!$Y$243="","______",Checks!$Y$243),"")</f>
        <v/>
      </c>
      <c r="F56" s="120" t="str">
        <f aca="false">IF(AND(LEFT(Checks!$AH$243,10)="N/A – RULE",TRIM(Checks!$S$243&amp;Checks!$Z$243)=""),"","Type: "&amp;IF(TRIM(Checks!$S$243)="","______________ (see cover list)",Checks!$S$243)&amp;CHAR(10)&amp;"ID: "&amp;IF(TRIM(Checks!$Z$243)="","______________ (record's own no.)",Checks!$Z$243))&amp;IF(Checks!$AA$243="","",CHAR(10)&amp;"CA: "&amp;Checks!$AA$243)</f>
        <v>Type: ______________ (see cover list)
ID: ______________ (record's own no.)</v>
      </c>
      <c r="G56" s="120" t="str">
        <f aca="false">IF(AND(LEFT(Checks!$AH$243,10)="N/A – RULE",NOT(ISNUMBER(Checks!$AD$243)),Checks!$AE$243="",Checks!$T$243=""),"","Done: "&amp;IF(ISNUMBER(Checks!$AD$243),TEXT(Checks!$AD$243,"DD-MMM-YY HH:MM"),"____________")&amp;" "&amp;Checks!$P$243&amp;CHAR(10)&amp;"Verifier: "&amp;IF(Checks!$AE$243="","____________",Checks!$AE$243)&amp;CHAR(10)&amp;"PIC: "&amp;IF(Checks!$T$243="","____________",Checks!$T$243))</f>
        <v>Done: ____________ LHR
Verifier: ____________
PIC: ____________</v>
      </c>
      <c r="H56" s="121" t="str">
        <f aca="false">IF(Checks!$AH$243="","",Checks!$AH$243)</f>
        <v>OPEN</v>
      </c>
    </row>
    <row r="57" customFormat="false" ht="124.5" hidden="false" customHeight="true" outlineLevel="0" collapsed="false">
      <c r="A57" s="120" t="str">
        <f aca="false">Checks!$A$244&amp;CHAR(10)&amp;IF(Checks!$I$244="","",Checks!$I$244&amp;": ")&amp;Checks!$J$244</f>
        <v>F07-T12-21
Signature Drinks: Signature drink &amp; garnish (BC) - prepared</v>
      </c>
      <c r="B57" s="120" t="str">
        <f aca="false">SUBSTITUTE(SUBSTITUTE(Checks!$K$244&amp;IF(Checks!$O$244="","",IF(Checks!$K$244="","",CHAR(10))&amp;"Note: "&amp;Checks!$O$244)," (note D79)","")," (Flights AX)","")</f>
        <v>Available (ticked in reference)
Note: Signature drinks &amp; garnish uplifted from KUL. Loaded at KUL on the inbound KUL-LHR flight: due = that flight's KUL departure minus the uplift window.</v>
      </c>
      <c r="C57" s="120" t="str">
        <f aca="false">Checks!$N$244&amp;CHAR(10)&amp;IF(ISNUMBER(Checks!$R$244),TEXT(Checks!$R$244,"DD-MMM-YY HH:MM"),"")&amp;" "&amp;Checks!$P$244</f>
        <v>Required
08-Oct-26 22:25 KUL</v>
      </c>
      <c r="D57" s="120" t="str">
        <f aca="false">IF(TRIM(Checks!$U$244)&lt;&gt;"",Checks!$U$244&amp;IF(Checks!$AB$244="","",CHAR(10)&amp;"CA: "&amp;Checks!$AB$244),IF(LEFT(Checks!$AH$244,10)="N/A – RULE","","[ ] Pass"&amp;CHAR(10)&amp;"[ ] Pass after CA"&amp;CHAR(10)&amp;"[ ] Fail"&amp;IF(Checks!$AT$244=1,CHAR(10)&amp;"[ ] N/A","")&amp;CHAR(10)&amp;"CA: Open / Closed"))</f>
        <v>[ ] Pass
[ ] Pass after CA
[ ] Fail
CA: Open / Closed</v>
      </c>
      <c r="E57" s="120" t="str">
        <f aca="false">IF(Checks!$V$244="","",Checks!$V$244)&amp;IF(Checks!$AC$244="","",IF(Checks!$V$244="","",CHAR(10))&amp;"N/A just.: "&amp;Checks!$AC$244)&amp;IF(OR(Checks!$W$244&lt;&gt;"",AND(Checks!$AQ$244=1,NOT(LEFT(Checks!$AH$244,10)="N/A – RULE"))),CHAR(10)&amp;"Batch: "&amp;IF(Checks!$W$244="","____________",Checks!$W$244),"")&amp;IF(OR(Checks!$X$244&lt;&gt;"",Checks!$Y$244&lt;&gt;"",AND(Checks!$AR$244=1,NOT(LEFT(Checks!$AH$244,10)="N/A – RULE"))),CHAR(10)&amp;"Exp: "&amp;IF(Checks!$X$244="","______",Checks!$X$244)&amp;"  /  Act: "&amp;IF(Checks!$Y$244="","______",Checks!$Y$244),"")</f>
        <v/>
      </c>
      <c r="F57" s="120" t="str">
        <f aca="false">IF(AND(LEFT(Checks!$AH$244,10)="N/A – RULE",TRIM(Checks!$S$244&amp;Checks!$Z$244)=""),"","Type: "&amp;IF(TRIM(Checks!$S$244)="","______________ (see cover list)",Checks!$S$244)&amp;CHAR(10)&amp;"ID: "&amp;IF(TRIM(Checks!$Z$244)="","______________ (record's own no.)",Checks!$Z$244))&amp;IF(Checks!$AA$244="","",CHAR(10)&amp;"CA: "&amp;Checks!$AA$244)</f>
        <v>Type: ______________ (see cover list)
ID: ______________ (record's own no.)</v>
      </c>
      <c r="G57" s="120" t="str">
        <f aca="false">IF(AND(LEFT(Checks!$AH$244,10)="N/A – RULE",NOT(ISNUMBER(Checks!$AD$244)),Checks!$AE$244="",Checks!$T$244=""),"","Done: "&amp;IF(ISNUMBER(Checks!$AD$244),TEXT(Checks!$AD$244,"DD-MMM-YY HH:MM"),"____________")&amp;" "&amp;Checks!$P$244&amp;CHAR(10)&amp;"Verifier: "&amp;IF(Checks!$AE$244="","____________",Checks!$AE$244)&amp;CHAR(10)&amp;"PIC: "&amp;IF(Checks!$T$244="","____________",Checks!$T$244))</f>
        <v>Done: ____________ KUL
Verifier: ____________
PIC: ____________</v>
      </c>
      <c r="H57" s="121" t="str">
        <f aca="false">IF(Checks!$AH$244="","",Checks!$AH$244)</f>
        <v>OPEN</v>
      </c>
    </row>
    <row r="58" customFormat="false" ht="25.5" hidden="false" customHeight="true" outlineLevel="0" collapsed="false">
      <c r="A58" s="119" t="str">
        <f aca="false">"UPLIFT — Physical uplift – on-board confirmation before departure  |  Due "&amp;"STD "&amp;IF(ISNUMBER(Flights!$I$11),TEXT(Flights!$I$11,"DD-MMM-YY HH:MM"),"")&amp;" "&amp;Flights!$G$11&amp;" (departure stn)"&amp;" (rows with another due show their own)  |  Complete "&amp;IF(ISNUMBER(Flights!$AM$11),TEXT(Flights!$AM$11,"0%"),Flights!$AM$11)&amp;"  |  17 lines"</f>
        <v>UPLIFT — Physical uplift – on-board confirmation before departure  |  Due STD 09-Oct-26 11:00 LHR (departure stn) (rows with another due show their own)  |  Complete 0%  |  17 lines</v>
      </c>
      <c r="B58" s="119"/>
      <c r="C58" s="119"/>
      <c r="D58" s="119"/>
      <c r="E58" s="119"/>
      <c r="F58" s="119"/>
      <c r="G58" s="119"/>
      <c r="H58" s="119"/>
    </row>
    <row r="59" customFormat="false" ht="114" hidden="false" customHeight="true" outlineLevel="0" collapsed="false">
      <c r="A59" s="120" t="str">
        <f aca="false">Checks!$A$245&amp;CHAR(10)&amp;IF(Checks!$I$245="","",Checks!$I$245&amp;": ")&amp;Checks!$J$245</f>
        <v>F07-UPL-01
Meal: Meals physically uplifted on board - quantity vs menu checklist</v>
      </c>
      <c r="B59" s="120" t="str">
        <f aca="false">Checks!$K$245&amp;IF(Checks!$O$245="","",IF(Checks!$K$245="","",CHAR(10))&amp;"Note: "&amp;Checks!$O$245)</f>
        <v>Enter expected &amp; actual
Note: Confirm on board before departure; completion time must fall inside the uplift window.</v>
      </c>
      <c r="C59" s="120" t="str">
        <f aca="false">Checks!$N$245&amp;CHAR(10)&amp;IF(ISNUMBER(Checks!$R$245),TEXT(Checks!$R$245,"DD-MMM-YY HH:MM"),"")&amp;" "&amp;Checks!$P$245</f>
        <v>Required
09-Oct-26 11:00 LHR</v>
      </c>
      <c r="D59" s="120" t="str">
        <f aca="false">IF(TRIM(Checks!$U$245)&lt;&gt;"",Checks!$U$245&amp;IF(Checks!$AB$245="","",CHAR(10)&amp;"CA: "&amp;Checks!$AB$245),IF(LEFT(Checks!$AH$245,10)="N/A – RULE","","[ ] Pass"&amp;CHAR(10)&amp;"[ ] Pass after CA"&amp;CHAR(10)&amp;"[ ] Fail"&amp;IF(Checks!$AT$245=1,CHAR(10)&amp;"[ ] N/A","")&amp;CHAR(10)&amp;"CA: Open / Closed"))</f>
        <v>[ ] Pass
[ ] Pass after CA
[ ] Fail
CA: Open / Closed</v>
      </c>
      <c r="E59" s="120" t="str">
        <f aca="false">IF(Checks!$V$245="","",Checks!$V$245)&amp;IF(Checks!$AC$245="","",IF(Checks!$V$245="","",CHAR(10))&amp;"N/A just.: "&amp;Checks!$AC$245)&amp;IF(OR(Checks!$W$245&lt;&gt;"",AND(Checks!$AQ$245=1,NOT(LEFT(Checks!$AH$245,10)="N/A – RULE"))),CHAR(10)&amp;"Batch: "&amp;IF(Checks!$W$245="","____________",Checks!$W$245),"")&amp;IF(OR(Checks!$X$245&lt;&gt;"",Checks!$Y$245&lt;&gt;"",AND(Checks!$AR$245=1,NOT(LEFT(Checks!$AH$245,10)="N/A – RULE"))),CHAR(10)&amp;"Exp: "&amp;IF(Checks!$X$245="","______",Checks!$X$245)&amp;"  /  Act: "&amp;IF(Checks!$Y$245="","______",Checks!$Y$245),"")</f>
        <v>
Exp: ______  /  Act: ______</v>
      </c>
      <c r="F59" s="120" t="str">
        <f aca="false">IF(AND(LEFT(Checks!$AH$245,10)="N/A – RULE",TRIM(Checks!$S$245&amp;Checks!$Z$245)=""),"","Type: "&amp;IF(TRIM(Checks!$S$245)="","______________ (see cover list)",Checks!$S$245)&amp;CHAR(10)&amp;"ID: "&amp;IF(TRIM(Checks!$Z$245)="","______________ (record's own no.)",Checks!$Z$245))&amp;IF(Checks!$AA$245="","",CHAR(10)&amp;"CA: "&amp;Checks!$AA$245)</f>
        <v>Type: ______________ (see cover list)
ID: ______________ (record's own no.)</v>
      </c>
      <c r="G59" s="120" t="str">
        <f aca="false">IF(AND(LEFT(Checks!$AH$245,10)="N/A – RULE",NOT(ISNUMBER(Checks!$AD$245)),Checks!$AE$245="",Checks!$T$245=""),"","Done: "&amp;IF(ISNUMBER(Checks!$AD$245),TEXT(Checks!$AD$245,"DD-MMM-YY HH:MM"),"____________")&amp;" "&amp;Checks!$P$245&amp;CHAR(10)&amp;"Verifier: "&amp;IF(Checks!$AE$245="","____________",Checks!$AE$245)&amp;CHAR(10)&amp;"PIC: "&amp;IF(Checks!$T$245="","____________",Checks!$T$245))</f>
        <v>Done: ____________ LHR
Verifier: ____________
PIC: ____________</v>
      </c>
      <c r="H59" s="121" t="str">
        <f aca="false">IF(Checks!$AH$245="","",Checks!$AH$245)</f>
        <v>OPEN</v>
      </c>
    </row>
    <row r="60" customFormat="false" ht="114" hidden="false" customHeight="true" outlineLevel="0" collapsed="false">
      <c r="A60" s="120" t="str">
        <f aca="false">Checks!$A$246&amp;CHAR(10)&amp;IF(Checks!$I$246="","",Checks!$I$246&amp;": ")&amp;Checks!$J$246</f>
        <v>F07-UPL-02
Equipment: Equipment physically loaded at GLD positions - quantity &amp; positions</v>
      </c>
      <c r="B60" s="120" t="str">
        <f aca="false">Checks!$K$246&amp;IF(Checks!$O$246="","",IF(Checks!$K$246="","",CHAR(10))&amp;"Note: "&amp;Checks!$O$246)</f>
        <v>Enter expected &amp; actual
Note: Confirm on board before departure; completion time must fall inside the uplift window.</v>
      </c>
      <c r="C60" s="120" t="str">
        <f aca="false">Checks!$N$246&amp;CHAR(10)&amp;IF(ISNUMBER(Checks!$R$246),TEXT(Checks!$R$246,"DD-MMM-YY HH:MM"),"")&amp;" "&amp;Checks!$P$246</f>
        <v>Required
09-Oct-26 11:00 LHR</v>
      </c>
      <c r="D60" s="120" t="str">
        <f aca="false">IF(TRIM(Checks!$U$246)&lt;&gt;"",Checks!$U$246&amp;IF(Checks!$AB$246="","",CHAR(10)&amp;"CA: "&amp;Checks!$AB$246),IF(LEFT(Checks!$AH$246,10)="N/A – RULE","","[ ] Pass"&amp;CHAR(10)&amp;"[ ] Pass after CA"&amp;CHAR(10)&amp;"[ ] Fail"&amp;IF(Checks!$AT$246=1,CHAR(10)&amp;"[ ] N/A","")&amp;CHAR(10)&amp;"CA: Open / Closed"))</f>
        <v>[ ] Pass
[ ] Pass after CA
[ ] Fail
CA: Open / Closed</v>
      </c>
      <c r="E60" s="120" t="str">
        <f aca="false">IF(Checks!$V$246="","",Checks!$V$246)&amp;IF(Checks!$AC$246="","",IF(Checks!$V$246="","",CHAR(10))&amp;"N/A just.: "&amp;Checks!$AC$246)&amp;IF(OR(Checks!$W$246&lt;&gt;"",AND(Checks!$AQ$246=1,NOT(LEFT(Checks!$AH$246,10)="N/A – RULE"))),CHAR(10)&amp;"Batch: "&amp;IF(Checks!$W$246="","____________",Checks!$W$246),"")&amp;IF(OR(Checks!$X$246&lt;&gt;"",Checks!$Y$246&lt;&gt;"",AND(Checks!$AR$246=1,NOT(LEFT(Checks!$AH$246,10)="N/A – RULE"))),CHAR(10)&amp;"Exp: "&amp;IF(Checks!$X$246="","______",Checks!$X$246)&amp;"  /  Act: "&amp;IF(Checks!$Y$246="","______",Checks!$Y$246),"")</f>
        <v>
Exp: ______  /  Act: ______</v>
      </c>
      <c r="F60" s="120" t="str">
        <f aca="false">IF(AND(LEFT(Checks!$AH$246,10)="N/A – RULE",TRIM(Checks!$S$246&amp;Checks!$Z$246)=""),"","Type: "&amp;IF(TRIM(Checks!$S$246)="","______________ (see cover list)",Checks!$S$246)&amp;CHAR(10)&amp;"ID: "&amp;IF(TRIM(Checks!$Z$246)="","______________ (record's own no.)",Checks!$Z$246))&amp;IF(Checks!$AA$246="","",CHAR(10)&amp;"CA: "&amp;Checks!$AA$246)</f>
        <v>Type: ______________ (see cover list)
ID: ______________ (record's own no.)</v>
      </c>
      <c r="G60" s="120" t="str">
        <f aca="false">IF(AND(LEFT(Checks!$AH$246,10)="N/A – RULE",NOT(ISNUMBER(Checks!$AD$246)),Checks!$AE$246="",Checks!$T$246=""),"","Done: "&amp;IF(ISNUMBER(Checks!$AD$246),TEXT(Checks!$AD$246,"DD-MMM-YY HH:MM"),"____________")&amp;" "&amp;Checks!$P$246&amp;CHAR(10)&amp;"Verifier: "&amp;IF(Checks!$AE$246="","____________",Checks!$AE$246)&amp;CHAR(10)&amp;"PIC: "&amp;IF(Checks!$T$246="","____________",Checks!$T$246))</f>
        <v>Done: ____________ LHR
Verifier: ____________
PIC: ____________</v>
      </c>
      <c r="H60" s="121" t="str">
        <f aca="false">IF(Checks!$AH$246="","",Checks!$AH$246)</f>
        <v>OPEN</v>
      </c>
    </row>
    <row r="61" customFormat="false" ht="135.75" hidden="false" customHeight="true" outlineLevel="0" collapsed="false">
      <c r="A61" s="120" t="str">
        <f aca="false">Checks!$A$247&amp;CHAR(10)&amp;IF(Checks!$I$247="","",Checks!$I$247&amp;": ")&amp;Checks!$J$247</f>
        <v>F07-UPL-03
Uplift plan: KUL-sourced items physically loaded at KUL on the inbound KUL-LHR flight</v>
      </c>
      <c r="B61" s="120" t="str">
        <f aca="false">SUBSTITUTE(Checks!$K$247&amp;IF(Checks!$O$247="","",IF(Checks!$K$247="","",CHAR(10))&amp;"Note: "&amp;Checks!$O$247)," (Flights AX)","")</f>
        <v>Items: Pajamas (BC), Slippers (BS/BC), Signature drink &amp; garnish (BC). Quantities as per Requirements
Note: Confirmed at KUL inside the uplift window before the carrying flight's KUL departure.</v>
      </c>
      <c r="C61" s="120" t="str">
        <f aca="false">Checks!$N$247&amp;CHAR(10)&amp;IF(ISNUMBER(Checks!$R$247),TEXT(Checks!$R$247,"DD-MMM-YY HH:MM"),"")&amp;" "&amp;Checks!$P$247</f>
        <v>Required
09-Oct-26 04:25 KUL</v>
      </c>
      <c r="D61" s="120" t="str">
        <f aca="false">IF(TRIM(Checks!$U$247)&lt;&gt;"",Checks!$U$247&amp;IF(Checks!$AB$247="","",CHAR(10)&amp;"CA: "&amp;Checks!$AB$247),IF(LEFT(Checks!$AH$247,10)="N/A – RULE","","[ ] Pass"&amp;CHAR(10)&amp;"[ ] Pass after CA"&amp;CHAR(10)&amp;"[ ] Fail"&amp;IF(Checks!$AT$247=1,CHAR(10)&amp;"[ ] N/A","")&amp;CHAR(10)&amp;"CA: Open / Closed"))</f>
        <v>[ ] Pass
[ ] Pass after CA
[ ] Fail
CA: Open / Closed</v>
      </c>
      <c r="E61" s="120" t="str">
        <f aca="false">IF(Checks!$V$247="","",Checks!$V$247)&amp;IF(Checks!$AC$247="","",IF(Checks!$V$247="","",CHAR(10))&amp;"N/A just.: "&amp;Checks!$AC$247)&amp;IF(OR(Checks!$W$247&lt;&gt;"",AND(Checks!$AQ$247=1,NOT(LEFT(Checks!$AH$247,10)="N/A – RULE"))),CHAR(10)&amp;"Batch: "&amp;IF(Checks!$W$247="","____________",Checks!$W$247),"")&amp;IF(OR(Checks!$X$247&lt;&gt;"",Checks!$Y$247&lt;&gt;"",AND(Checks!$AR$247=1,NOT(LEFT(Checks!$AH$247,10)="N/A – RULE"))),CHAR(10)&amp;"Exp: "&amp;IF(Checks!$X$247="","______",Checks!$X$247)&amp;"  /  Act: "&amp;IF(Checks!$Y$247="","______",Checks!$Y$247),"")</f>
        <v/>
      </c>
      <c r="F61" s="120" t="str">
        <f aca="false">IF(AND(LEFT(Checks!$AH$247,10)="N/A – RULE",TRIM(Checks!$S$247&amp;Checks!$Z$247)=""),"","Type: "&amp;IF(TRIM(Checks!$S$247)="","______________ (see cover list)",Checks!$S$247)&amp;CHAR(10)&amp;"ID: "&amp;IF(TRIM(Checks!$Z$247)="","______________ (record's own no.)",Checks!$Z$247))&amp;IF(Checks!$AA$247="","",CHAR(10)&amp;"CA: "&amp;Checks!$AA$247)</f>
        <v>Type: ______________ (see cover list)
ID: ______________ (record's own no.)</v>
      </c>
      <c r="G61" s="120" t="str">
        <f aca="false">IF(AND(LEFT(Checks!$AH$247,10)="N/A – RULE",NOT(ISNUMBER(Checks!$AD$247)),Checks!$AE$247="",Checks!$T$247=""),"","Done: "&amp;IF(ISNUMBER(Checks!$AD$247),TEXT(Checks!$AD$247,"DD-MMM-YY HH:MM"),"____________")&amp;" "&amp;Checks!$P$247&amp;CHAR(10)&amp;"Verifier: "&amp;IF(Checks!$AE$247="","____________",Checks!$AE$247)&amp;CHAR(10)&amp;"PIC: "&amp;IF(Checks!$T$247="","____________",Checks!$T$247))</f>
        <v>Done: ____________ KUL
Verifier: ____________
PIC: ____________</v>
      </c>
      <c r="H61" s="121" t="str">
        <f aca="false">IF(Checks!$AH$247="","",Checks!$AH$247)</f>
        <v>OPEN</v>
      </c>
    </row>
    <row r="62" customFormat="false" ht="114" hidden="false" customHeight="true" outlineLevel="0" collapsed="false">
      <c r="A62" s="120" t="str">
        <f aca="false">Checks!$A$248&amp;CHAR(10)&amp;IF(Checks!$I$248="","",Checks!$I$248&amp;": ")&amp;Checks!$J$248</f>
        <v>F07-UPL-04
Amenities: Toiletry kits - on board</v>
      </c>
      <c r="B62" s="120" t="str">
        <f aca="false">Checks!$K$248&amp;IF(Checks!$O$248="","",IF(Checks!$K$248="","",CHAR(10))&amp;"Note: "&amp;Checks!$O$248)</f>
        <v>Available (ticked in reference)</v>
      </c>
      <c r="C62" s="120" t="str">
        <f aca="false">Checks!$N$248&amp;CHAR(10)&amp;IF(ISNUMBER(Checks!$R$248),TEXT(Checks!$R$248,"DD-MMM-YY HH:MM"),"")&amp;" "&amp;Checks!$P$248</f>
        <v>Required
09-Oct-26 11:00 LHR</v>
      </c>
      <c r="D62" s="120" t="str">
        <f aca="false">IF(TRIM(Checks!$U$248)&lt;&gt;"",Checks!$U$248&amp;IF(Checks!$AB$248="","",CHAR(10)&amp;"CA: "&amp;Checks!$AB$248),IF(LEFT(Checks!$AH$248,10)="N/A – RULE","","[ ] Pass"&amp;CHAR(10)&amp;"[ ] Pass after CA"&amp;CHAR(10)&amp;"[ ] Fail"&amp;IF(Checks!$AT$248=1,CHAR(10)&amp;"[ ] N/A","")&amp;CHAR(10)&amp;"CA: Open / Closed"))</f>
        <v>[ ] Pass
[ ] Pass after CA
[ ] Fail
CA: Open / Closed</v>
      </c>
      <c r="E62" s="120" t="str">
        <f aca="false">IF(Checks!$V$248="","",Checks!$V$248)&amp;IF(Checks!$AC$248="","",IF(Checks!$V$248="","",CHAR(10))&amp;"N/A just.: "&amp;Checks!$AC$248)&amp;IF(OR(Checks!$W$248&lt;&gt;"",AND(Checks!$AQ$248=1,NOT(LEFT(Checks!$AH$248,10)="N/A – RULE"))),CHAR(10)&amp;"Batch: "&amp;IF(Checks!$W$248="","____________",Checks!$W$248),"")&amp;IF(OR(Checks!$X$248&lt;&gt;"",Checks!$Y$248&lt;&gt;"",AND(Checks!$AR$248=1,NOT(LEFT(Checks!$AH$248,10)="N/A – RULE"))),CHAR(10)&amp;"Exp: "&amp;IF(Checks!$X$248="","______",Checks!$X$248)&amp;"  /  Act: "&amp;IF(Checks!$Y$248="","______",Checks!$Y$248),"")</f>
        <v/>
      </c>
      <c r="F62" s="120" t="str">
        <f aca="false">IF(AND(LEFT(Checks!$AH$248,10)="N/A – RULE",TRIM(Checks!$S$248&amp;Checks!$Z$248)=""),"","Type: "&amp;IF(TRIM(Checks!$S$248)="","______________ (see cover list)",Checks!$S$248)&amp;CHAR(10)&amp;"ID: "&amp;IF(TRIM(Checks!$Z$248)="","______________ (record's own no.)",Checks!$Z$248))&amp;IF(Checks!$AA$248="","",CHAR(10)&amp;"CA: "&amp;Checks!$AA$248)</f>
        <v>Type: ______________ (see cover list)
ID: ______________ (record's own no.)</v>
      </c>
      <c r="G62" s="120" t="str">
        <f aca="false">IF(AND(LEFT(Checks!$AH$248,10)="N/A – RULE",NOT(ISNUMBER(Checks!$AD$248)),Checks!$AE$248="",Checks!$T$248=""),"","Done: "&amp;IF(ISNUMBER(Checks!$AD$248),TEXT(Checks!$AD$248,"DD-MMM-YY HH:MM"),"____________")&amp;" "&amp;Checks!$P$248&amp;CHAR(10)&amp;"Verifier: "&amp;IF(Checks!$AE$248="","____________",Checks!$AE$248)&amp;CHAR(10)&amp;"PIC: "&amp;IF(Checks!$T$248="","____________",Checks!$T$248))</f>
        <v>Done: ____________ LHR
Verifier: ____________
PIC: ____________</v>
      </c>
      <c r="H62" s="121" t="str">
        <f aca="false">IF(Checks!$AH$248="","",Checks!$AH$248)</f>
        <v>OPEN</v>
      </c>
    </row>
    <row r="63" customFormat="false" ht="114" hidden="false" customHeight="true" outlineLevel="0" collapsed="false">
      <c r="A63" s="120" t="str">
        <f aca="false">Checks!$A$249&amp;CHAR(10)&amp;IF(Checks!$I$249="","",Checks!$I$249&amp;": ")&amp;Checks!$J$249</f>
        <v>F07-UPL-05
Amenities: Pajamas (BC) - on board</v>
      </c>
      <c r="B63" s="120" t="str">
        <f aca="false">Checks!$K$249&amp;IF(Checks!$O$249="","",IF(Checks!$K$249="","",CHAR(10))&amp;"Note: "&amp;Checks!$O$249)</f>
        <v>Available - BC red-eye only
Note: Reference limits BC pajamas to red-eye flights; STD 1100 local arriving 0645+1 - confirm whether this leg counts as red-eye.</v>
      </c>
      <c r="C63" s="120" t="str">
        <f aca="false">Checks!$N$249&amp;CHAR(10)&amp;IF(ISNUMBER(Checks!$R$249),TEXT(Checks!$R$249,"DD-MMM-YY HH:MM"),"")&amp;" "&amp;Checks!$P$249</f>
        <v>Clarification required
09-Oct-26 11:00 LHR</v>
      </c>
      <c r="D63" s="120" t="str">
        <f aca="false">IF(TRIM(Checks!$U$249)&lt;&gt;"",Checks!$U$249&amp;IF(Checks!$AB$249="","",CHAR(10)&amp;"CA: "&amp;Checks!$AB$249),IF(LEFT(Checks!$AH$249,10)="N/A – RULE","","[ ] Pass"&amp;CHAR(10)&amp;"[ ] Pass after CA"&amp;CHAR(10)&amp;"[ ] Fail"&amp;IF(Checks!$AT$249=1,CHAR(10)&amp;"[ ] N/A","")&amp;CHAR(10)&amp;"CA: Open / Closed"))</f>
        <v>[ ] Pass
[ ] Pass after CA
[ ] Fail
[ ] N/A
CA: Open / Closed</v>
      </c>
      <c r="E63" s="120" t="str">
        <f aca="false">IF(Checks!$V$249="","",Checks!$V$249)&amp;IF(Checks!$AC$249="","",IF(Checks!$V$249="","",CHAR(10))&amp;"N/A just.: "&amp;Checks!$AC$249)&amp;IF(OR(Checks!$W$249&lt;&gt;"",AND(Checks!$AQ$249=1,NOT(LEFT(Checks!$AH$249,10)="N/A – RULE"))),CHAR(10)&amp;"Batch: "&amp;IF(Checks!$W$249="","____________",Checks!$W$249),"")&amp;IF(OR(Checks!$X$249&lt;&gt;"",Checks!$Y$249&lt;&gt;"",AND(Checks!$AR$249=1,NOT(LEFT(Checks!$AH$249,10)="N/A – RULE"))),CHAR(10)&amp;"Exp: "&amp;IF(Checks!$X$249="","______",Checks!$X$249)&amp;"  /  Act: "&amp;IF(Checks!$Y$249="","______",Checks!$Y$249),"")</f>
        <v/>
      </c>
      <c r="F63" s="120" t="str">
        <f aca="false">IF(AND(LEFT(Checks!$AH$249,10)="N/A – RULE",TRIM(Checks!$S$249&amp;Checks!$Z$249)=""),"","Type: "&amp;IF(TRIM(Checks!$S$249)="","______________ (see cover list)",Checks!$S$249)&amp;CHAR(10)&amp;"ID: "&amp;IF(TRIM(Checks!$Z$249)="","______________ (record's own no.)",Checks!$Z$249))&amp;IF(Checks!$AA$249="","",CHAR(10)&amp;"CA: "&amp;Checks!$AA$249)</f>
        <v>Type: ______________ (see cover list)
ID: ______________ (record's own no.)</v>
      </c>
      <c r="G63" s="120" t="str">
        <f aca="false">IF(AND(LEFT(Checks!$AH$249,10)="N/A – RULE",NOT(ISNUMBER(Checks!$AD$249)),Checks!$AE$249="",Checks!$T$249=""),"","Done: "&amp;IF(ISNUMBER(Checks!$AD$249),TEXT(Checks!$AD$249,"DD-MMM-YY HH:MM"),"____________")&amp;" "&amp;Checks!$P$249&amp;CHAR(10)&amp;"Verifier: "&amp;IF(Checks!$AE$249="","____________",Checks!$AE$249)&amp;CHAR(10)&amp;"PIC: "&amp;IF(Checks!$T$249="","____________",Checks!$T$249))</f>
        <v>Done: ____________ LHR
Verifier: ____________
PIC: ____________</v>
      </c>
      <c r="H63" s="121" t="str">
        <f aca="false">IF(Checks!$AH$249="","",Checks!$AH$249)</f>
        <v>OPEN – CLARIFICATION</v>
      </c>
    </row>
    <row r="64" customFormat="false" ht="114" hidden="false" customHeight="true" outlineLevel="0" collapsed="false">
      <c r="A64" s="120" t="str">
        <f aca="false">Checks!$A$250&amp;CHAR(10)&amp;IF(Checks!$I$250="","",Checks!$I$250&amp;": ")&amp;Checks!$J$250</f>
        <v>F07-UPL-06
Amenities: Slippers (BS/BC) - on board</v>
      </c>
      <c r="B64" s="120" t="str">
        <f aca="false">Checks!$K$250&amp;IF(Checks!$O$250="","",IF(Checks!$K$250="","",CHAR(10))&amp;"Note: "&amp;Checks!$O$250)</f>
        <v>Available (ticked in reference)</v>
      </c>
      <c r="C64" s="120" t="str">
        <f aca="false">Checks!$N$250&amp;CHAR(10)&amp;IF(ISNUMBER(Checks!$R$250),TEXT(Checks!$R$250,"DD-MMM-YY HH:MM"),"")&amp;" "&amp;Checks!$P$250</f>
        <v>Required
09-Oct-26 11:00 LHR</v>
      </c>
      <c r="D64" s="120" t="str">
        <f aca="false">IF(TRIM(Checks!$U$250)&lt;&gt;"",Checks!$U$250&amp;IF(Checks!$AB$250="","",CHAR(10)&amp;"CA: "&amp;Checks!$AB$250),IF(LEFT(Checks!$AH$250,10)="N/A – RULE","","[ ] Pass"&amp;CHAR(10)&amp;"[ ] Pass after CA"&amp;CHAR(10)&amp;"[ ] Fail"&amp;IF(Checks!$AT$250=1,CHAR(10)&amp;"[ ] N/A","")&amp;CHAR(10)&amp;"CA: Open / Closed"))</f>
        <v>[ ] Pass
[ ] Pass after CA
[ ] Fail
CA: Open / Closed</v>
      </c>
      <c r="E64" s="120" t="str">
        <f aca="false">IF(Checks!$V$250="","",Checks!$V$250)&amp;IF(Checks!$AC$250="","",IF(Checks!$V$250="","",CHAR(10))&amp;"N/A just.: "&amp;Checks!$AC$250)&amp;IF(OR(Checks!$W$250&lt;&gt;"",AND(Checks!$AQ$250=1,NOT(LEFT(Checks!$AH$250,10)="N/A – RULE"))),CHAR(10)&amp;"Batch: "&amp;IF(Checks!$W$250="","____________",Checks!$W$250),"")&amp;IF(OR(Checks!$X$250&lt;&gt;"",Checks!$Y$250&lt;&gt;"",AND(Checks!$AR$250=1,NOT(LEFT(Checks!$AH$250,10)="N/A – RULE"))),CHAR(10)&amp;"Exp: "&amp;IF(Checks!$X$250="","______",Checks!$X$250)&amp;"  /  Act: "&amp;IF(Checks!$Y$250="","______",Checks!$Y$250),"")</f>
        <v/>
      </c>
      <c r="F64" s="120" t="str">
        <f aca="false">IF(AND(LEFT(Checks!$AH$250,10)="N/A – RULE",TRIM(Checks!$S$250&amp;Checks!$Z$250)=""),"","Type: "&amp;IF(TRIM(Checks!$S$250)="","______________ (see cover list)",Checks!$S$250)&amp;CHAR(10)&amp;"ID: "&amp;IF(TRIM(Checks!$Z$250)="","______________ (record's own no.)",Checks!$Z$250))&amp;IF(Checks!$AA$250="","",CHAR(10)&amp;"CA: "&amp;Checks!$AA$250)</f>
        <v>Type: ______________ (see cover list)
ID: ______________ (record's own no.)</v>
      </c>
      <c r="G64" s="120" t="str">
        <f aca="false">IF(AND(LEFT(Checks!$AH$250,10)="N/A – RULE",NOT(ISNUMBER(Checks!$AD$250)),Checks!$AE$250="",Checks!$T$250=""),"","Done: "&amp;IF(ISNUMBER(Checks!$AD$250),TEXT(Checks!$AD$250,"DD-MMM-YY HH:MM"),"____________")&amp;" "&amp;Checks!$P$250&amp;CHAR(10)&amp;"Verifier: "&amp;IF(Checks!$AE$250="","____________",Checks!$AE$250)&amp;CHAR(10)&amp;"PIC: "&amp;IF(Checks!$T$250="","____________",Checks!$T$250))</f>
        <v>Done: ____________ LHR
Verifier: ____________
PIC: ____________</v>
      </c>
      <c r="H64" s="121" t="str">
        <f aca="false">IF(Checks!$AH$250="","",Checks!$AH$250)</f>
        <v>OPEN</v>
      </c>
    </row>
    <row r="65" customFormat="false" ht="114" hidden="false" customHeight="true" outlineLevel="0" collapsed="false">
      <c r="A65" s="120" t="str">
        <f aca="false">Checks!$A$251&amp;CHAR(10)&amp;IF(Checks!$I$251="","",Checks!$I$251&amp;": ")&amp;Checks!$J$251</f>
        <v>F07-UPL-07
F&amp;B Linen: Towel - on board</v>
      </c>
      <c r="B65" s="120" t="str">
        <f aca="false">Checks!$K$251&amp;IF(Checks!$O$251="","",IF(Checks!$K$251="","",CHAR(10))&amp;"Note: "&amp;Checks!$O$251)</f>
        <v>Available (ticked in reference)</v>
      </c>
      <c r="C65" s="120" t="str">
        <f aca="false">Checks!$N$251&amp;CHAR(10)&amp;IF(ISNUMBER(Checks!$R$251),TEXT(Checks!$R$251,"DD-MMM-YY HH:MM"),"")&amp;" "&amp;Checks!$P$251</f>
        <v>Required
09-Oct-26 11:00 LHR</v>
      </c>
      <c r="D65" s="120" t="str">
        <f aca="false">IF(TRIM(Checks!$U$251)&lt;&gt;"",Checks!$U$251&amp;IF(Checks!$AB$251="","",CHAR(10)&amp;"CA: "&amp;Checks!$AB$251),IF(LEFT(Checks!$AH$251,10)="N/A – RULE","","[ ] Pass"&amp;CHAR(10)&amp;"[ ] Pass after CA"&amp;CHAR(10)&amp;"[ ] Fail"&amp;IF(Checks!$AT$251=1,CHAR(10)&amp;"[ ] N/A","")&amp;CHAR(10)&amp;"CA: Open / Closed"))</f>
        <v>[ ] Pass
[ ] Pass after CA
[ ] Fail
CA: Open / Closed</v>
      </c>
      <c r="E65" s="120" t="str">
        <f aca="false">IF(Checks!$V$251="","",Checks!$V$251)&amp;IF(Checks!$AC$251="","",IF(Checks!$V$251="","",CHAR(10))&amp;"N/A just.: "&amp;Checks!$AC$251)&amp;IF(OR(Checks!$W$251&lt;&gt;"",AND(Checks!$AQ$251=1,NOT(LEFT(Checks!$AH$251,10)="N/A – RULE"))),CHAR(10)&amp;"Batch: "&amp;IF(Checks!$W$251="","____________",Checks!$W$251),"")&amp;IF(OR(Checks!$X$251&lt;&gt;"",Checks!$Y$251&lt;&gt;"",AND(Checks!$AR$251=1,NOT(LEFT(Checks!$AH$251,10)="N/A – RULE"))),CHAR(10)&amp;"Exp: "&amp;IF(Checks!$X$251="","______",Checks!$X$251)&amp;"  /  Act: "&amp;IF(Checks!$Y$251="","______",Checks!$Y$251),"")</f>
        <v/>
      </c>
      <c r="F65" s="120" t="str">
        <f aca="false">IF(AND(LEFT(Checks!$AH$251,10)="N/A – RULE",TRIM(Checks!$S$251&amp;Checks!$Z$251)=""),"","Type: "&amp;IF(TRIM(Checks!$S$251)="","______________ (see cover list)",Checks!$S$251)&amp;CHAR(10)&amp;"ID: "&amp;IF(TRIM(Checks!$Z$251)="","______________ (record's own no.)",Checks!$Z$251))&amp;IF(Checks!$AA$251="","",CHAR(10)&amp;"CA: "&amp;Checks!$AA$251)</f>
        <v>Type: ______________ (see cover list)
ID: ______________ (record's own no.)</v>
      </c>
      <c r="G65" s="120" t="str">
        <f aca="false">IF(AND(LEFT(Checks!$AH$251,10)="N/A – RULE",NOT(ISNUMBER(Checks!$AD$251)),Checks!$AE$251="",Checks!$T$251=""),"","Done: "&amp;IF(ISNUMBER(Checks!$AD$251),TEXT(Checks!$AD$251,"DD-MMM-YY HH:MM"),"____________")&amp;" "&amp;Checks!$P$251&amp;CHAR(10)&amp;"Verifier: "&amp;IF(Checks!$AE$251="","____________",Checks!$AE$251)&amp;CHAR(10)&amp;"PIC: "&amp;IF(Checks!$T$251="","____________",Checks!$T$251))</f>
        <v>Done: ____________ LHR
Verifier: ____________
PIC: ____________</v>
      </c>
      <c r="H65" s="121" t="str">
        <f aca="false">IF(Checks!$AH$251="","",Checks!$AH$251)</f>
        <v>OPEN</v>
      </c>
    </row>
    <row r="66" customFormat="false" ht="114" hidden="false" customHeight="true" outlineLevel="0" collapsed="false">
      <c r="A66" s="120" t="str">
        <f aca="false">Checks!$A$252&amp;CHAR(10)&amp;IF(Checks!$I$252="","",Checks!$I$252&amp;": ")&amp;Checks!$J$252</f>
        <v>F07-UPL-08
F&amp;B Linen: Tray cloth - on board</v>
      </c>
      <c r="B66" s="120" t="str">
        <f aca="false">Checks!$K$252&amp;IF(Checks!$O$252="","",IF(Checks!$K$252="","",CHAR(10))&amp;"Note: "&amp;Checks!$O$252)</f>
        <v>Available (ticked in reference)</v>
      </c>
      <c r="C66" s="120" t="str">
        <f aca="false">Checks!$N$252&amp;CHAR(10)&amp;IF(ISNUMBER(Checks!$R$252),TEXT(Checks!$R$252,"DD-MMM-YY HH:MM"),"")&amp;" "&amp;Checks!$P$252</f>
        <v>Required
09-Oct-26 11:00 LHR</v>
      </c>
      <c r="D66" s="120" t="str">
        <f aca="false">IF(TRIM(Checks!$U$252)&lt;&gt;"",Checks!$U$252&amp;IF(Checks!$AB$252="","",CHAR(10)&amp;"CA: "&amp;Checks!$AB$252),IF(LEFT(Checks!$AH$252,10)="N/A – RULE","","[ ] Pass"&amp;CHAR(10)&amp;"[ ] Pass after CA"&amp;CHAR(10)&amp;"[ ] Fail"&amp;IF(Checks!$AT$252=1,CHAR(10)&amp;"[ ] N/A","")&amp;CHAR(10)&amp;"CA: Open / Closed"))</f>
        <v>[ ] Pass
[ ] Pass after CA
[ ] Fail
CA: Open / Closed</v>
      </c>
      <c r="E66" s="120" t="str">
        <f aca="false">IF(Checks!$V$252="","",Checks!$V$252)&amp;IF(Checks!$AC$252="","",IF(Checks!$V$252="","",CHAR(10))&amp;"N/A just.: "&amp;Checks!$AC$252)&amp;IF(OR(Checks!$W$252&lt;&gt;"",AND(Checks!$AQ$252=1,NOT(LEFT(Checks!$AH$252,10)="N/A – RULE"))),CHAR(10)&amp;"Batch: "&amp;IF(Checks!$W$252="","____________",Checks!$W$252),"")&amp;IF(OR(Checks!$X$252&lt;&gt;"",Checks!$Y$252&lt;&gt;"",AND(Checks!$AR$252=1,NOT(LEFT(Checks!$AH$252,10)="N/A – RULE"))),CHAR(10)&amp;"Exp: "&amp;IF(Checks!$X$252="","______",Checks!$X$252)&amp;"  /  Act: "&amp;IF(Checks!$Y$252="","______",Checks!$Y$252),"")</f>
        <v/>
      </c>
      <c r="F66" s="120" t="str">
        <f aca="false">IF(AND(LEFT(Checks!$AH$252,10)="N/A – RULE",TRIM(Checks!$S$252&amp;Checks!$Z$252)=""),"","Type: "&amp;IF(TRIM(Checks!$S$252)="","______________ (see cover list)",Checks!$S$252)&amp;CHAR(10)&amp;"ID: "&amp;IF(TRIM(Checks!$Z$252)="","______________ (record's own no.)",Checks!$Z$252))&amp;IF(Checks!$AA$252="","",CHAR(10)&amp;"CA: "&amp;Checks!$AA$252)</f>
        <v>Type: ______________ (see cover list)
ID: ______________ (record's own no.)</v>
      </c>
      <c r="G66" s="120" t="str">
        <f aca="false">IF(AND(LEFT(Checks!$AH$252,10)="N/A – RULE",NOT(ISNUMBER(Checks!$AD$252)),Checks!$AE$252="",Checks!$T$252=""),"","Done: "&amp;IF(ISNUMBER(Checks!$AD$252),TEXT(Checks!$AD$252,"DD-MMM-YY HH:MM"),"____________")&amp;" "&amp;Checks!$P$252&amp;CHAR(10)&amp;"Verifier: "&amp;IF(Checks!$AE$252="","____________",Checks!$AE$252)&amp;CHAR(10)&amp;"PIC: "&amp;IF(Checks!$T$252="","____________",Checks!$T$252))</f>
        <v>Done: ____________ LHR
Verifier: ____________
PIC: ____________</v>
      </c>
      <c r="H66" s="121" t="str">
        <f aca="false">IF(Checks!$AH$252="","",Checks!$AH$252)</f>
        <v>OPEN</v>
      </c>
    </row>
    <row r="67" customFormat="false" ht="114" hidden="false" customHeight="true" outlineLevel="0" collapsed="false">
      <c r="A67" s="120" t="str">
        <f aca="false">Checks!$A$253&amp;CHAR(10)&amp;IF(Checks!$I$253="","",Checks!$I$253&amp;": ")&amp;Checks!$J$253</f>
        <v>F07-UPL-09
F&amp;B Linen: Napkin - on board</v>
      </c>
      <c r="B67" s="120" t="str">
        <f aca="false">Checks!$K$253&amp;IF(Checks!$O$253="","",IF(Checks!$K$253="","",CHAR(10))&amp;"Note: "&amp;Checks!$O$253)</f>
        <v>Available (ticked in reference)</v>
      </c>
      <c r="C67" s="120" t="str">
        <f aca="false">Checks!$N$253&amp;CHAR(10)&amp;IF(ISNUMBER(Checks!$R$253),TEXT(Checks!$R$253,"DD-MMM-YY HH:MM"),"")&amp;" "&amp;Checks!$P$253</f>
        <v>Required
09-Oct-26 11:00 LHR</v>
      </c>
      <c r="D67" s="120" t="str">
        <f aca="false">IF(TRIM(Checks!$U$253)&lt;&gt;"",Checks!$U$253&amp;IF(Checks!$AB$253="","",CHAR(10)&amp;"CA: "&amp;Checks!$AB$253),IF(LEFT(Checks!$AH$253,10)="N/A – RULE","","[ ] Pass"&amp;CHAR(10)&amp;"[ ] Pass after CA"&amp;CHAR(10)&amp;"[ ] Fail"&amp;IF(Checks!$AT$253=1,CHAR(10)&amp;"[ ] N/A","")&amp;CHAR(10)&amp;"CA: Open / Closed"))</f>
        <v>[ ] Pass
[ ] Pass after CA
[ ] Fail
CA: Open / Closed</v>
      </c>
      <c r="E67" s="120" t="str">
        <f aca="false">IF(Checks!$V$253="","",Checks!$V$253)&amp;IF(Checks!$AC$253="","",IF(Checks!$V$253="","",CHAR(10))&amp;"N/A just.: "&amp;Checks!$AC$253)&amp;IF(OR(Checks!$W$253&lt;&gt;"",AND(Checks!$AQ$253=1,NOT(LEFT(Checks!$AH$253,10)="N/A – RULE"))),CHAR(10)&amp;"Batch: "&amp;IF(Checks!$W$253="","____________",Checks!$W$253),"")&amp;IF(OR(Checks!$X$253&lt;&gt;"",Checks!$Y$253&lt;&gt;"",AND(Checks!$AR$253=1,NOT(LEFT(Checks!$AH$253,10)="N/A – RULE"))),CHAR(10)&amp;"Exp: "&amp;IF(Checks!$X$253="","______",Checks!$X$253)&amp;"  /  Act: "&amp;IF(Checks!$Y$253="","______",Checks!$Y$253),"")</f>
        <v/>
      </c>
      <c r="F67" s="120" t="str">
        <f aca="false">IF(AND(LEFT(Checks!$AH$253,10)="N/A – RULE",TRIM(Checks!$S$253&amp;Checks!$Z$253)=""),"","Type: "&amp;IF(TRIM(Checks!$S$253)="","______________ (see cover list)",Checks!$S$253)&amp;CHAR(10)&amp;"ID: "&amp;IF(TRIM(Checks!$Z$253)="","______________ (record's own no.)",Checks!$Z$253))&amp;IF(Checks!$AA$253="","",CHAR(10)&amp;"CA: "&amp;Checks!$AA$253)</f>
        <v>Type: ______________ (see cover list)
ID: ______________ (record's own no.)</v>
      </c>
      <c r="G67" s="120" t="str">
        <f aca="false">IF(AND(LEFT(Checks!$AH$253,10)="N/A – RULE",NOT(ISNUMBER(Checks!$AD$253)),Checks!$AE$253="",Checks!$T$253=""),"","Done: "&amp;IF(ISNUMBER(Checks!$AD$253),TEXT(Checks!$AD$253,"DD-MMM-YY HH:MM"),"____________")&amp;" "&amp;Checks!$P$253&amp;CHAR(10)&amp;"Verifier: "&amp;IF(Checks!$AE$253="","____________",Checks!$AE$253)&amp;CHAR(10)&amp;"PIC: "&amp;IF(Checks!$T$253="","____________",Checks!$T$253))</f>
        <v>Done: ____________ LHR
Verifier: ____________
PIC: ____________</v>
      </c>
      <c r="H67" s="121" t="str">
        <f aca="false">IF(Checks!$AH$253="","",Checks!$AH$253)</f>
        <v>OPEN</v>
      </c>
    </row>
    <row r="68" customFormat="false" ht="114" hidden="false" customHeight="true" outlineLevel="0" collapsed="false">
      <c r="A68" s="120" t="str">
        <f aca="false">Checks!$A$254&amp;CHAR(10)&amp;IF(Checks!$I$254="","",Checks!$I$254&amp;": ")&amp;Checks!$J$254</f>
        <v>F07-UPL-10
F&amp;B Linen: Table cloth - on board</v>
      </c>
      <c r="B68" s="120" t="str">
        <f aca="false">Checks!$K$254&amp;IF(Checks!$O$254="","",IF(Checks!$K$254="","",CHAR(10))&amp;"Note: "&amp;Checks!$O$254)</f>
        <v>Available (ticked in reference)</v>
      </c>
      <c r="C68" s="120" t="str">
        <f aca="false">Checks!$N$254&amp;CHAR(10)&amp;IF(ISNUMBER(Checks!$R$254),TEXT(Checks!$R$254,"DD-MMM-YY HH:MM"),"")&amp;" "&amp;Checks!$P$254</f>
        <v>Required
09-Oct-26 11:00 LHR</v>
      </c>
      <c r="D68" s="120" t="str">
        <f aca="false">IF(TRIM(Checks!$U$254)&lt;&gt;"",Checks!$U$254&amp;IF(Checks!$AB$254="","",CHAR(10)&amp;"CA: "&amp;Checks!$AB$254),IF(LEFT(Checks!$AH$254,10)="N/A – RULE","","[ ] Pass"&amp;CHAR(10)&amp;"[ ] Pass after CA"&amp;CHAR(10)&amp;"[ ] Fail"&amp;IF(Checks!$AT$254=1,CHAR(10)&amp;"[ ] N/A","")&amp;CHAR(10)&amp;"CA: Open / Closed"))</f>
        <v>[ ] Pass
[ ] Pass after CA
[ ] Fail
CA: Open / Closed</v>
      </c>
      <c r="E68" s="120" t="str">
        <f aca="false">IF(Checks!$V$254="","",Checks!$V$254)&amp;IF(Checks!$AC$254="","",IF(Checks!$V$254="","",CHAR(10))&amp;"N/A just.: "&amp;Checks!$AC$254)&amp;IF(OR(Checks!$W$254&lt;&gt;"",AND(Checks!$AQ$254=1,NOT(LEFT(Checks!$AH$254,10)="N/A – RULE"))),CHAR(10)&amp;"Batch: "&amp;IF(Checks!$W$254="","____________",Checks!$W$254),"")&amp;IF(OR(Checks!$X$254&lt;&gt;"",Checks!$Y$254&lt;&gt;"",AND(Checks!$AR$254=1,NOT(LEFT(Checks!$AH$254,10)="N/A – RULE"))),CHAR(10)&amp;"Exp: "&amp;IF(Checks!$X$254="","______",Checks!$X$254)&amp;"  /  Act: "&amp;IF(Checks!$Y$254="","______",Checks!$Y$254),"")</f>
        <v/>
      </c>
      <c r="F68" s="120" t="str">
        <f aca="false">IF(AND(LEFT(Checks!$AH$254,10)="N/A – RULE",TRIM(Checks!$S$254&amp;Checks!$Z$254)=""),"","Type: "&amp;IF(TRIM(Checks!$S$254)="","______________ (see cover list)",Checks!$S$254)&amp;CHAR(10)&amp;"ID: "&amp;IF(TRIM(Checks!$Z$254)="","______________ (record's own no.)",Checks!$Z$254))&amp;IF(Checks!$AA$254="","",CHAR(10)&amp;"CA: "&amp;Checks!$AA$254)</f>
        <v>Type: ______________ (see cover list)
ID: ______________ (record's own no.)</v>
      </c>
      <c r="G68" s="120" t="str">
        <f aca="false">IF(AND(LEFT(Checks!$AH$254,10)="N/A – RULE",NOT(ISNUMBER(Checks!$AD$254)),Checks!$AE$254="",Checks!$T$254=""),"","Done: "&amp;IF(ISNUMBER(Checks!$AD$254),TEXT(Checks!$AD$254,"DD-MMM-YY HH:MM"),"____________")&amp;" "&amp;Checks!$P$254&amp;CHAR(10)&amp;"Verifier: "&amp;IF(Checks!$AE$254="","____________",Checks!$AE$254)&amp;CHAR(10)&amp;"PIC: "&amp;IF(Checks!$T$254="","____________",Checks!$T$254))</f>
        <v>Done: ____________ LHR
Verifier: ____________
PIC: ____________</v>
      </c>
      <c r="H68" s="121" t="str">
        <f aca="false">IF(Checks!$AH$254="","",Checks!$AH$254)</f>
        <v>OPEN</v>
      </c>
    </row>
    <row r="69" customFormat="false" ht="114" hidden="false" customHeight="true" outlineLevel="0" collapsed="false">
      <c r="A69" s="120" t="str">
        <f aca="false">Checks!$A$255&amp;CHAR(10)&amp;IF(Checks!$I$255="","",Checks!$I$255&amp;": ")&amp;Checks!$J$255</f>
        <v>F07-UPL-11
F&amp;B Linen: Bread linen (using table cloth) - on board</v>
      </c>
      <c r="B69" s="120" t="str">
        <f aca="false">Checks!$K$255&amp;IF(Checks!$O$255="","",IF(Checks!$K$255="","",CHAR(10))&amp;"Note: "&amp;Checks!$O$255)</f>
        <v>Available (ticked in reference)</v>
      </c>
      <c r="C69" s="120" t="str">
        <f aca="false">Checks!$N$255&amp;CHAR(10)&amp;IF(ISNUMBER(Checks!$R$255),TEXT(Checks!$R$255,"DD-MMM-YY HH:MM"),"")&amp;" "&amp;Checks!$P$255</f>
        <v>Required
09-Oct-26 11:00 LHR</v>
      </c>
      <c r="D69" s="120" t="str">
        <f aca="false">IF(TRIM(Checks!$U$255)&lt;&gt;"",Checks!$U$255&amp;IF(Checks!$AB$255="","",CHAR(10)&amp;"CA: "&amp;Checks!$AB$255),IF(LEFT(Checks!$AH$255,10)="N/A – RULE","","[ ] Pass"&amp;CHAR(10)&amp;"[ ] Pass after CA"&amp;CHAR(10)&amp;"[ ] Fail"&amp;IF(Checks!$AT$255=1,CHAR(10)&amp;"[ ] N/A","")&amp;CHAR(10)&amp;"CA: Open / Closed"))</f>
        <v>[ ] Pass
[ ] Pass after CA
[ ] Fail
CA: Open / Closed</v>
      </c>
      <c r="E69" s="120" t="str">
        <f aca="false">IF(Checks!$V$255="","",Checks!$V$255)&amp;IF(Checks!$AC$255="","",IF(Checks!$V$255="","",CHAR(10))&amp;"N/A just.: "&amp;Checks!$AC$255)&amp;IF(OR(Checks!$W$255&lt;&gt;"",AND(Checks!$AQ$255=1,NOT(LEFT(Checks!$AH$255,10)="N/A – RULE"))),CHAR(10)&amp;"Batch: "&amp;IF(Checks!$W$255="","____________",Checks!$W$255),"")&amp;IF(OR(Checks!$X$255&lt;&gt;"",Checks!$Y$255&lt;&gt;"",AND(Checks!$AR$255=1,NOT(LEFT(Checks!$AH$255,10)="N/A – RULE"))),CHAR(10)&amp;"Exp: "&amp;IF(Checks!$X$255="","______",Checks!$X$255)&amp;"  /  Act: "&amp;IF(Checks!$Y$255="","______",Checks!$Y$255),"")</f>
        <v/>
      </c>
      <c r="F69" s="120" t="str">
        <f aca="false">IF(AND(LEFT(Checks!$AH$255,10)="N/A – RULE",TRIM(Checks!$S$255&amp;Checks!$Z$255)=""),"","Type: "&amp;IF(TRIM(Checks!$S$255)="","______________ (see cover list)",Checks!$S$255)&amp;CHAR(10)&amp;"ID: "&amp;IF(TRIM(Checks!$Z$255)="","______________ (record's own no.)",Checks!$Z$255))&amp;IF(Checks!$AA$255="","",CHAR(10)&amp;"CA: "&amp;Checks!$AA$255)</f>
        <v>Type: ______________ (see cover list)
ID: ______________ (record's own no.)</v>
      </c>
      <c r="G69" s="120" t="str">
        <f aca="false">IF(AND(LEFT(Checks!$AH$255,10)="N/A – RULE",NOT(ISNUMBER(Checks!$AD$255)),Checks!$AE$255="",Checks!$T$255=""),"","Done: "&amp;IF(ISNUMBER(Checks!$AD$255),TEXT(Checks!$AD$255,"DD-MMM-YY HH:MM"),"____________")&amp;" "&amp;Checks!$P$255&amp;CHAR(10)&amp;"Verifier: "&amp;IF(Checks!$AE$255="","____________",Checks!$AE$255)&amp;CHAR(10)&amp;"PIC: "&amp;IF(Checks!$T$255="","____________",Checks!$T$255))</f>
        <v>Done: ____________ LHR
Verifier: ____________
PIC: ____________</v>
      </c>
      <c r="H69" s="121" t="str">
        <f aca="false">IF(Checks!$AH$255="","",Checks!$AH$255)</f>
        <v>OPEN</v>
      </c>
    </row>
    <row r="70" customFormat="false" ht="114" hidden="false" customHeight="true" outlineLevel="0" collapsed="false">
      <c r="A70" s="120" t="str">
        <f aca="false">Checks!$A$256&amp;CHAR(10)&amp;IF(Checks!$I$256="","",Checks!$I$256&amp;": ")&amp;Checks!$J$256</f>
        <v>F07-UPL-12
F&amp;B Linen: Trolley cloth - on board</v>
      </c>
      <c r="B70" s="120" t="str">
        <f aca="false">SUBSTITUTE(SUBSTITUTE(Checks!$K$256&amp;IF(Checks!$O$256="","",IF(Checks!$K$256="","",CHAR(10))&amp;"Note: "&amp;Checks!$O$256),"Per note F&amp;B LINEN!B79:C80.","Per the F&amp;B LINEN reference note."),"note F&amp;B LINEN!B79:C80","the F&amp;B LINEN reference note")</f>
        <v>Wide body: Top/Middle &amp; Bottom
Note: Per the F&amp;B LINEN reference note.</v>
      </c>
      <c r="C70" s="120" t="str">
        <f aca="false">Checks!$N$256&amp;CHAR(10)&amp;IF(ISNUMBER(Checks!$R$256),TEXT(Checks!$R$256,"DD-MMM-YY HH:MM"),"")&amp;" "&amp;Checks!$P$256</f>
        <v>Required
09-Oct-26 11:00 LHR</v>
      </c>
      <c r="D70" s="120" t="str">
        <f aca="false">IF(TRIM(Checks!$U$256)&lt;&gt;"",Checks!$U$256&amp;IF(Checks!$AB$256="","",CHAR(10)&amp;"CA: "&amp;Checks!$AB$256),IF(LEFT(Checks!$AH$256,10)="N/A – RULE","","[ ] Pass"&amp;CHAR(10)&amp;"[ ] Pass after CA"&amp;CHAR(10)&amp;"[ ] Fail"&amp;IF(Checks!$AT$256=1,CHAR(10)&amp;"[ ] N/A","")&amp;CHAR(10)&amp;"CA: Open / Closed"))</f>
        <v>[ ] Pass
[ ] Pass after CA
[ ] Fail
CA: Open / Closed</v>
      </c>
      <c r="E70" s="120" t="str">
        <f aca="false">IF(Checks!$V$256="","",Checks!$V$256)&amp;IF(Checks!$AC$256="","",IF(Checks!$V$256="","",CHAR(10))&amp;"N/A just.: "&amp;Checks!$AC$256)&amp;IF(OR(Checks!$W$256&lt;&gt;"",AND(Checks!$AQ$256=1,NOT(LEFT(Checks!$AH$256,10)="N/A – RULE"))),CHAR(10)&amp;"Batch: "&amp;IF(Checks!$W$256="","____________",Checks!$W$256),"")&amp;IF(OR(Checks!$X$256&lt;&gt;"",Checks!$Y$256&lt;&gt;"",AND(Checks!$AR$256=1,NOT(LEFT(Checks!$AH$256,10)="N/A – RULE"))),CHAR(10)&amp;"Exp: "&amp;IF(Checks!$X$256="","______",Checks!$X$256)&amp;"  /  Act: "&amp;IF(Checks!$Y$256="","______",Checks!$Y$256),"")</f>
        <v/>
      </c>
      <c r="F70" s="120" t="str">
        <f aca="false">IF(AND(LEFT(Checks!$AH$256,10)="N/A – RULE",TRIM(Checks!$S$256&amp;Checks!$Z$256)=""),"","Type: "&amp;IF(TRIM(Checks!$S$256)="","______________ (see cover list)",Checks!$S$256)&amp;CHAR(10)&amp;"ID: "&amp;IF(TRIM(Checks!$Z$256)="","______________ (record's own no.)",Checks!$Z$256))&amp;IF(Checks!$AA$256="","",CHAR(10)&amp;"CA: "&amp;Checks!$AA$256)</f>
        <v>Type: ______________ (see cover list)
ID: ______________ (record's own no.)</v>
      </c>
      <c r="G70" s="120" t="str">
        <f aca="false">IF(AND(LEFT(Checks!$AH$256,10)="N/A – RULE",NOT(ISNUMBER(Checks!$AD$256)),Checks!$AE$256="",Checks!$T$256=""),"","Done: "&amp;IF(ISNUMBER(Checks!$AD$256),TEXT(Checks!$AD$256,"DD-MMM-YY HH:MM"),"____________")&amp;" "&amp;Checks!$P$256&amp;CHAR(10)&amp;"Verifier: "&amp;IF(Checks!$AE$256="","____________",Checks!$AE$256)&amp;CHAR(10)&amp;"PIC: "&amp;IF(Checks!$T$256="","____________",Checks!$T$256))</f>
        <v>Done: ____________ LHR
Verifier: ____________
PIC: ____________</v>
      </c>
      <c r="H70" s="121" t="str">
        <f aca="false">IF(Checks!$AH$256="","",Checks!$AH$256)</f>
        <v>OPEN</v>
      </c>
    </row>
    <row r="71" customFormat="false" ht="114" hidden="false" customHeight="true" outlineLevel="0" collapsed="false">
      <c r="A71" s="120" t="str">
        <f aca="false">Checks!$A$257&amp;CHAR(10)&amp;IF(Checks!$I$257="","",Checks!$I$257&amp;": ")&amp;Checks!$J$257</f>
        <v>F07-UPL-13
F&amp;B Linen: Linen bag - on board</v>
      </c>
      <c r="B71" s="120" t="str">
        <f aca="false">Checks!$K$257&amp;IF(Checks!$O$257="","",IF(Checks!$K$257="","",CHAR(10))&amp;"Note: "&amp;Checks!$O$257)</f>
        <v>Available (ticked in reference)</v>
      </c>
      <c r="C71" s="120" t="str">
        <f aca="false">Checks!$N$257&amp;CHAR(10)&amp;IF(ISNUMBER(Checks!$R$257),TEXT(Checks!$R$257,"DD-MMM-YY HH:MM"),"")&amp;" "&amp;Checks!$P$257</f>
        <v>Required
09-Oct-26 11:00 LHR</v>
      </c>
      <c r="D71" s="120" t="str">
        <f aca="false">IF(TRIM(Checks!$U$257)&lt;&gt;"",Checks!$U$257&amp;IF(Checks!$AB$257="","",CHAR(10)&amp;"CA: "&amp;Checks!$AB$257),IF(LEFT(Checks!$AH$257,10)="N/A – RULE","","[ ] Pass"&amp;CHAR(10)&amp;"[ ] Pass after CA"&amp;CHAR(10)&amp;"[ ] Fail"&amp;IF(Checks!$AT$257=1,CHAR(10)&amp;"[ ] N/A","")&amp;CHAR(10)&amp;"CA: Open / Closed"))</f>
        <v>[ ] Pass
[ ] Pass after CA
[ ] Fail
CA: Open / Closed</v>
      </c>
      <c r="E71" s="120" t="str">
        <f aca="false">IF(Checks!$V$257="","",Checks!$V$257)&amp;IF(Checks!$AC$257="","",IF(Checks!$V$257="","",CHAR(10))&amp;"N/A just.: "&amp;Checks!$AC$257)&amp;IF(OR(Checks!$W$257&lt;&gt;"",AND(Checks!$AQ$257=1,NOT(LEFT(Checks!$AH$257,10)="N/A – RULE"))),CHAR(10)&amp;"Batch: "&amp;IF(Checks!$W$257="","____________",Checks!$W$257),"")&amp;IF(OR(Checks!$X$257&lt;&gt;"",Checks!$Y$257&lt;&gt;"",AND(Checks!$AR$257=1,NOT(LEFT(Checks!$AH$257,10)="N/A – RULE"))),CHAR(10)&amp;"Exp: "&amp;IF(Checks!$X$257="","______",Checks!$X$257)&amp;"  /  Act: "&amp;IF(Checks!$Y$257="","______",Checks!$Y$257),"")</f>
        <v/>
      </c>
      <c r="F71" s="120" t="str">
        <f aca="false">IF(AND(LEFT(Checks!$AH$257,10)="N/A – RULE",TRIM(Checks!$S$257&amp;Checks!$Z$257)=""),"","Type: "&amp;IF(TRIM(Checks!$S$257)="","______________ (see cover list)",Checks!$S$257)&amp;CHAR(10)&amp;"ID: "&amp;IF(TRIM(Checks!$Z$257)="","______________ (record's own no.)",Checks!$Z$257))&amp;IF(Checks!$AA$257="","",CHAR(10)&amp;"CA: "&amp;Checks!$AA$257)</f>
        <v>Type: ______________ (see cover list)
ID: ______________ (record's own no.)</v>
      </c>
      <c r="G71" s="120" t="str">
        <f aca="false">IF(AND(LEFT(Checks!$AH$257,10)="N/A – RULE",NOT(ISNUMBER(Checks!$AD$257)),Checks!$AE$257="",Checks!$T$257=""),"","Done: "&amp;IF(ISNUMBER(Checks!$AD$257),TEXT(Checks!$AD$257,"DD-MMM-YY HH:MM"),"____________")&amp;" "&amp;Checks!$P$257&amp;CHAR(10)&amp;"Verifier: "&amp;IF(Checks!$AE$257="","____________",Checks!$AE$257)&amp;CHAR(10)&amp;"PIC: "&amp;IF(Checks!$T$257="","____________",Checks!$T$257))</f>
        <v>Done: ____________ LHR
Verifier: ____________
PIC: ____________</v>
      </c>
      <c r="H71" s="121" t="str">
        <f aca="false">IF(Checks!$AH$257="","",Checks!$AH$257)</f>
        <v>OPEN</v>
      </c>
    </row>
    <row r="72" customFormat="false" ht="114" hidden="false" customHeight="true" outlineLevel="0" collapsed="false">
      <c r="A72" s="120" t="str">
        <f aca="false">Checks!$A$258&amp;CHAR(10)&amp;IF(Checks!$I$258="","",Checks!$I$258&amp;": ")&amp;Checks!$J$258</f>
        <v>F07-UPL-14
Seat Linen: Seat pillow (BS &amp; BC) - on board</v>
      </c>
      <c r="B72" s="120" t="str">
        <f aca="false">Checks!$K$258&amp;IF(Checks!$O$258="","",IF(Checks!$K$258="","",CHAR(10))&amp;"Note: "&amp;Checks!$O$258)</f>
        <v>Available 100% (ticked in reference)</v>
      </c>
      <c r="C72" s="120" t="str">
        <f aca="false">Checks!$N$258&amp;CHAR(10)&amp;IF(ISNUMBER(Checks!$R$258),TEXT(Checks!$R$258,"DD-MMM-YY HH:MM"),"")&amp;" "&amp;Checks!$P$258</f>
        <v>Required
09-Oct-26 11:00 LHR</v>
      </c>
      <c r="D72" s="120" t="str">
        <f aca="false">IF(TRIM(Checks!$U$258)&lt;&gt;"",Checks!$U$258&amp;IF(Checks!$AB$258="","",CHAR(10)&amp;"CA: "&amp;Checks!$AB$258),IF(LEFT(Checks!$AH$258,10)="N/A – RULE","","[ ] Pass"&amp;CHAR(10)&amp;"[ ] Pass after CA"&amp;CHAR(10)&amp;"[ ] Fail"&amp;IF(Checks!$AT$258=1,CHAR(10)&amp;"[ ] N/A","")&amp;CHAR(10)&amp;"CA: Open / Closed"))</f>
        <v>[ ] Pass
[ ] Pass after CA
[ ] Fail
CA: Open / Closed</v>
      </c>
      <c r="E72" s="120" t="str">
        <f aca="false">IF(Checks!$V$258="","",Checks!$V$258)&amp;IF(Checks!$AC$258="","",IF(Checks!$V$258="","",CHAR(10))&amp;"N/A just.: "&amp;Checks!$AC$258)&amp;IF(OR(Checks!$W$258&lt;&gt;"",AND(Checks!$AQ$258=1,NOT(LEFT(Checks!$AH$258,10)="N/A – RULE"))),CHAR(10)&amp;"Batch: "&amp;IF(Checks!$W$258="","____________",Checks!$W$258),"")&amp;IF(OR(Checks!$X$258&lt;&gt;"",Checks!$Y$258&lt;&gt;"",AND(Checks!$AR$258=1,NOT(LEFT(Checks!$AH$258,10)="N/A – RULE"))),CHAR(10)&amp;"Exp: "&amp;IF(Checks!$X$258="","______",Checks!$X$258)&amp;"  /  Act: "&amp;IF(Checks!$Y$258="","______",Checks!$Y$258),"")</f>
        <v/>
      </c>
      <c r="F72" s="120" t="str">
        <f aca="false">IF(AND(LEFT(Checks!$AH$258,10)="N/A – RULE",TRIM(Checks!$S$258&amp;Checks!$Z$258)=""),"","Type: "&amp;IF(TRIM(Checks!$S$258)="","______________ (see cover list)",Checks!$S$258)&amp;CHAR(10)&amp;"ID: "&amp;IF(TRIM(Checks!$Z$258)="","______________ (record's own no.)",Checks!$Z$258))&amp;IF(Checks!$AA$258="","",CHAR(10)&amp;"CA: "&amp;Checks!$AA$258)</f>
        <v>Type: ______________ (see cover list)
ID: ______________ (record's own no.)</v>
      </c>
      <c r="G72" s="120" t="str">
        <f aca="false">IF(AND(LEFT(Checks!$AH$258,10)="N/A – RULE",NOT(ISNUMBER(Checks!$AD$258)),Checks!$AE$258="",Checks!$T$258=""),"","Done: "&amp;IF(ISNUMBER(Checks!$AD$258),TEXT(Checks!$AD$258,"DD-MMM-YY HH:MM"),"____________")&amp;" "&amp;Checks!$P$258&amp;CHAR(10)&amp;"Verifier: "&amp;IF(Checks!$AE$258="","____________",Checks!$AE$258)&amp;CHAR(10)&amp;"PIC: "&amp;IF(Checks!$T$258="","____________",Checks!$T$258))</f>
        <v>Done: ____________ LHR
Verifier: ____________
PIC: ____________</v>
      </c>
      <c r="H72" s="121" t="str">
        <f aca="false">IF(Checks!$AH$258="","",Checks!$AH$258)</f>
        <v>OPEN</v>
      </c>
    </row>
    <row r="73" customFormat="false" ht="114" hidden="false" customHeight="true" outlineLevel="0" collapsed="false">
      <c r="A73" s="120" t="str">
        <f aca="false">Checks!$A$259&amp;CHAR(10)&amp;IF(Checks!$I$259="","",Checks!$I$259&amp;": ")&amp;Checks!$J$259</f>
        <v>F07-UPL-15
Seat Linen: Duvet (BS &amp; BC) - on board</v>
      </c>
      <c r="B73" s="120" t="str">
        <f aca="false">Checks!$K$259&amp;IF(Checks!$O$259="","",IF(Checks!$K$259="","",CHAR(10))&amp;"Note: "&amp;Checks!$O$259)</f>
        <v>Available 100% (ticked in reference)</v>
      </c>
      <c r="C73" s="120" t="str">
        <f aca="false">Checks!$N$259&amp;CHAR(10)&amp;IF(ISNUMBER(Checks!$R$259),TEXT(Checks!$R$259,"DD-MMM-YY HH:MM"),"")&amp;" "&amp;Checks!$P$259</f>
        <v>Required
09-Oct-26 11:00 LHR</v>
      </c>
      <c r="D73" s="120" t="str">
        <f aca="false">IF(TRIM(Checks!$U$259)&lt;&gt;"",Checks!$U$259&amp;IF(Checks!$AB$259="","",CHAR(10)&amp;"CA: "&amp;Checks!$AB$259),IF(LEFT(Checks!$AH$259,10)="N/A – RULE","","[ ] Pass"&amp;CHAR(10)&amp;"[ ] Pass after CA"&amp;CHAR(10)&amp;"[ ] Fail"&amp;IF(Checks!$AT$259=1,CHAR(10)&amp;"[ ] N/A","")&amp;CHAR(10)&amp;"CA: Open / Closed"))</f>
        <v>[ ] Pass
[ ] Pass after CA
[ ] Fail
CA: Open / Closed</v>
      </c>
      <c r="E73" s="120" t="str">
        <f aca="false">IF(Checks!$V$259="","",Checks!$V$259)&amp;IF(Checks!$AC$259="","",IF(Checks!$V$259="","",CHAR(10))&amp;"N/A just.: "&amp;Checks!$AC$259)&amp;IF(OR(Checks!$W$259&lt;&gt;"",AND(Checks!$AQ$259=1,NOT(LEFT(Checks!$AH$259,10)="N/A – RULE"))),CHAR(10)&amp;"Batch: "&amp;IF(Checks!$W$259="","____________",Checks!$W$259),"")&amp;IF(OR(Checks!$X$259&lt;&gt;"",Checks!$Y$259&lt;&gt;"",AND(Checks!$AR$259=1,NOT(LEFT(Checks!$AH$259,10)="N/A – RULE"))),CHAR(10)&amp;"Exp: "&amp;IF(Checks!$X$259="","______",Checks!$X$259)&amp;"  /  Act: "&amp;IF(Checks!$Y$259="","______",Checks!$Y$259),"")</f>
        <v/>
      </c>
      <c r="F73" s="120" t="str">
        <f aca="false">IF(AND(LEFT(Checks!$AH$259,10)="N/A – RULE",TRIM(Checks!$S$259&amp;Checks!$Z$259)=""),"","Type: "&amp;IF(TRIM(Checks!$S$259)="","______________ (see cover list)",Checks!$S$259)&amp;CHAR(10)&amp;"ID: "&amp;IF(TRIM(Checks!$Z$259)="","______________ (record's own no.)",Checks!$Z$259))&amp;IF(Checks!$AA$259="","",CHAR(10)&amp;"CA: "&amp;Checks!$AA$259)</f>
        <v>Type: ______________ (see cover list)
ID: ______________ (record's own no.)</v>
      </c>
      <c r="G73" s="120" t="str">
        <f aca="false">IF(AND(LEFT(Checks!$AH$259,10)="N/A – RULE",NOT(ISNUMBER(Checks!$AD$259)),Checks!$AE$259="",Checks!$T$259=""),"","Done: "&amp;IF(ISNUMBER(Checks!$AD$259),TEXT(Checks!$AD$259,"DD-MMM-YY HH:MM"),"____________")&amp;" "&amp;Checks!$P$259&amp;CHAR(10)&amp;"Verifier: "&amp;IF(Checks!$AE$259="","____________",Checks!$AE$259)&amp;CHAR(10)&amp;"PIC: "&amp;IF(Checks!$T$259="","____________",Checks!$T$259))</f>
        <v>Done: ____________ LHR
Verifier: ____________
PIC: ____________</v>
      </c>
      <c r="H73" s="121" t="str">
        <f aca="false">IF(Checks!$AH$259="","",Checks!$AH$259)</f>
        <v>OPEN</v>
      </c>
    </row>
    <row r="74" customFormat="false" ht="114" hidden="false" customHeight="true" outlineLevel="0" collapsed="false">
      <c r="A74" s="120" t="str">
        <f aca="false">Checks!$A$260&amp;CHAR(10)&amp;IF(Checks!$I$260="","",Checks!$I$260&amp;": ")&amp;Checks!$J$260</f>
        <v>F07-UPL-16
Seat Linen: Mattress (BS &amp; BC) - on board</v>
      </c>
      <c r="B74" s="120" t="str">
        <f aca="false">Checks!$K$260&amp;IF(Checks!$O$260="","",IF(Checks!$K$260="","",CHAR(10))&amp;"Note: "&amp;Checks!$O$260)</f>
        <v>Available 100% (ticked in reference)</v>
      </c>
      <c r="C74" s="120" t="str">
        <f aca="false">Checks!$N$260&amp;CHAR(10)&amp;IF(ISNUMBER(Checks!$R$260),TEXT(Checks!$R$260,"DD-MMM-YY HH:MM"),"")&amp;" "&amp;Checks!$P$260</f>
        <v>Required
09-Oct-26 11:00 LHR</v>
      </c>
      <c r="D74" s="120" t="str">
        <f aca="false">IF(TRIM(Checks!$U$260)&lt;&gt;"",Checks!$U$260&amp;IF(Checks!$AB$260="","",CHAR(10)&amp;"CA: "&amp;Checks!$AB$260),IF(LEFT(Checks!$AH$260,10)="N/A – RULE","","[ ] Pass"&amp;CHAR(10)&amp;"[ ] Pass after CA"&amp;CHAR(10)&amp;"[ ] Fail"&amp;IF(Checks!$AT$260=1,CHAR(10)&amp;"[ ] N/A","")&amp;CHAR(10)&amp;"CA: Open / Closed"))</f>
        <v>[ ] Pass
[ ] Pass after CA
[ ] Fail
CA: Open / Closed</v>
      </c>
      <c r="E74" s="120" t="str">
        <f aca="false">IF(Checks!$V$260="","",Checks!$V$260)&amp;IF(Checks!$AC$260="","",IF(Checks!$V$260="","",CHAR(10))&amp;"N/A just.: "&amp;Checks!$AC$260)&amp;IF(OR(Checks!$W$260&lt;&gt;"",AND(Checks!$AQ$260=1,NOT(LEFT(Checks!$AH$260,10)="N/A – RULE"))),CHAR(10)&amp;"Batch: "&amp;IF(Checks!$W$260="","____________",Checks!$W$260),"")&amp;IF(OR(Checks!$X$260&lt;&gt;"",Checks!$Y$260&lt;&gt;"",AND(Checks!$AR$260=1,NOT(LEFT(Checks!$AH$260,10)="N/A – RULE"))),CHAR(10)&amp;"Exp: "&amp;IF(Checks!$X$260="","______",Checks!$X$260)&amp;"  /  Act: "&amp;IF(Checks!$Y$260="","______",Checks!$Y$260),"")</f>
        <v/>
      </c>
      <c r="F74" s="120" t="str">
        <f aca="false">IF(AND(LEFT(Checks!$AH$260,10)="N/A – RULE",TRIM(Checks!$S$260&amp;Checks!$Z$260)=""),"","Type: "&amp;IF(TRIM(Checks!$S$260)="","______________ (see cover list)",Checks!$S$260)&amp;CHAR(10)&amp;"ID: "&amp;IF(TRIM(Checks!$Z$260)="","______________ (record's own no.)",Checks!$Z$260))&amp;IF(Checks!$AA$260="","",CHAR(10)&amp;"CA: "&amp;Checks!$AA$260)</f>
        <v>Type: ______________ (see cover list)
ID: ______________ (record's own no.)</v>
      </c>
      <c r="G74" s="120" t="str">
        <f aca="false">IF(AND(LEFT(Checks!$AH$260,10)="N/A – RULE",NOT(ISNUMBER(Checks!$AD$260)),Checks!$AE$260="",Checks!$T$260=""),"","Done: "&amp;IF(ISNUMBER(Checks!$AD$260),TEXT(Checks!$AD$260,"DD-MMM-YY HH:MM"),"____________")&amp;" "&amp;Checks!$P$260&amp;CHAR(10)&amp;"Verifier: "&amp;IF(Checks!$AE$260="","____________",Checks!$AE$260)&amp;CHAR(10)&amp;"PIC: "&amp;IF(Checks!$T$260="","____________",Checks!$T$260))</f>
        <v>Done: ____________ LHR
Verifier: ____________
PIC: ____________</v>
      </c>
      <c r="H74" s="121" t="str">
        <f aca="false">IF(Checks!$AH$260="","",Checks!$AH$260)</f>
        <v>OPEN</v>
      </c>
    </row>
    <row r="75" customFormat="false" ht="114" hidden="false" customHeight="true" outlineLevel="0" collapsed="false">
      <c r="A75" s="120" t="str">
        <f aca="false">Checks!$A$261&amp;CHAR(10)&amp;IF(Checks!$I$261="","",Checks!$I$261&amp;": ")&amp;Checks!$J$261</f>
        <v>F07-UPL-17
Signature Drinks: Signature drink &amp; garnish (BC) - on board</v>
      </c>
      <c r="B75" s="120" t="str">
        <f aca="false">SUBSTITUTE(Checks!$K$261&amp;IF(Checks!$O$261="","",IF(Checks!$K$261="","",CHAR(10))&amp;"Note: "&amp;Checks!$O$261)," (note D79)","")</f>
        <v>Available (ticked in reference)
Note: Signature drinks &amp; garnish uplifted from KUL.</v>
      </c>
      <c r="C75" s="120" t="str">
        <f aca="false">Checks!$N$261&amp;CHAR(10)&amp;IF(ISNUMBER(Checks!$R$261),TEXT(Checks!$R$261,"DD-MMM-YY HH:MM"),"")&amp;" "&amp;Checks!$P$261</f>
        <v>Required
09-Oct-26 11:00 LHR</v>
      </c>
      <c r="D75" s="120" t="str">
        <f aca="false">IF(TRIM(Checks!$U$261)&lt;&gt;"",Checks!$U$261&amp;IF(Checks!$AB$261="","",CHAR(10)&amp;"CA: "&amp;Checks!$AB$261),IF(LEFT(Checks!$AH$261,10)="N/A – RULE","","[ ] Pass"&amp;CHAR(10)&amp;"[ ] Pass after CA"&amp;CHAR(10)&amp;"[ ] Fail"&amp;IF(Checks!$AT$261=1,CHAR(10)&amp;"[ ] N/A","")&amp;CHAR(10)&amp;"CA: Open / Closed"))</f>
        <v>[ ] Pass
[ ] Pass after CA
[ ] Fail
CA: Open / Closed</v>
      </c>
      <c r="E75" s="120" t="str">
        <f aca="false">IF(Checks!$V$261="","",Checks!$V$261)&amp;IF(Checks!$AC$261="","",IF(Checks!$V$261="","",CHAR(10))&amp;"N/A just.: "&amp;Checks!$AC$261)&amp;IF(OR(Checks!$W$261&lt;&gt;"",AND(Checks!$AQ$261=1,NOT(LEFT(Checks!$AH$261,10)="N/A – RULE"))),CHAR(10)&amp;"Batch: "&amp;IF(Checks!$W$261="","____________",Checks!$W$261),"")&amp;IF(OR(Checks!$X$261&lt;&gt;"",Checks!$Y$261&lt;&gt;"",AND(Checks!$AR$261=1,NOT(LEFT(Checks!$AH$261,10)="N/A – RULE"))),CHAR(10)&amp;"Exp: "&amp;IF(Checks!$X$261="","______",Checks!$X$261)&amp;"  /  Act: "&amp;IF(Checks!$Y$261="","______",Checks!$Y$261),"")</f>
        <v/>
      </c>
      <c r="F75" s="120" t="str">
        <f aca="false">IF(AND(LEFT(Checks!$AH$261,10)="N/A – RULE",TRIM(Checks!$S$261&amp;Checks!$Z$261)=""),"","Type: "&amp;IF(TRIM(Checks!$S$261)="","______________ (see cover list)",Checks!$S$261)&amp;CHAR(10)&amp;"ID: "&amp;IF(TRIM(Checks!$Z$261)="","______________ (record's own no.)",Checks!$Z$261))&amp;IF(Checks!$AA$261="","",CHAR(10)&amp;"CA: "&amp;Checks!$AA$261)</f>
        <v>Type: ______________ (see cover list)
ID: ______________ (record's own no.)</v>
      </c>
      <c r="G75" s="120" t="str">
        <f aca="false">IF(AND(LEFT(Checks!$AH$261,10)="N/A – RULE",NOT(ISNUMBER(Checks!$AD$261)),Checks!$AE$261="",Checks!$T$261=""),"","Done: "&amp;IF(ISNUMBER(Checks!$AD$261),TEXT(Checks!$AD$261,"DD-MMM-YY HH:MM"),"____________")&amp;" "&amp;Checks!$P$261&amp;CHAR(10)&amp;"Verifier: "&amp;IF(Checks!$AE$261="","____________",Checks!$AE$261)&amp;CHAR(10)&amp;"PIC: "&amp;IF(Checks!$T$261="","____________",Checks!$T$261))</f>
        <v>Done: ____________ LHR
Verifier: ____________
PIC: ____________</v>
      </c>
      <c r="H75" s="121" t="str">
        <f aca="false">IF(Checks!$AH$261="","",Checks!$AH$261)</f>
        <v>OPEN</v>
      </c>
    </row>
    <row r="77" customFormat="false" ht="24" hidden="false" customHeight="true" outlineLevel="0" collapsed="false">
      <c r="A77" s="122" t="s">
        <v>4832</v>
      </c>
      <c r="B77" s="122"/>
      <c r="C77" s="122"/>
      <c r="D77" s="122"/>
      <c r="E77" s="122" t="s">
        <v>4833</v>
      </c>
      <c r="F77" s="122"/>
      <c r="G77" s="122"/>
      <c r="H77" s="122"/>
    </row>
    <row r="78" customFormat="false" ht="21.75" hidden="false" customHeight="true" outlineLevel="0" collapsed="false">
      <c r="A78" s="123"/>
      <c r="B78" s="123"/>
      <c r="C78" s="123"/>
      <c r="D78" s="123"/>
      <c r="E78" s="123"/>
      <c r="F78" s="123"/>
      <c r="G78" s="123"/>
      <c r="H78" s="123"/>
    </row>
    <row r="79" customFormat="false" ht="21.75" hidden="false" customHeight="true" outlineLevel="0" collapsed="false">
      <c r="A79" s="123"/>
      <c r="B79" s="123"/>
      <c r="C79" s="123"/>
      <c r="D79" s="123"/>
      <c r="E79" s="123"/>
      <c r="F79" s="123"/>
      <c r="G79" s="123"/>
      <c r="H79" s="123"/>
    </row>
    <row r="80" customFormat="false" ht="21.75" hidden="false" customHeight="true" outlineLevel="0" collapsed="false">
      <c r="A80" s="123"/>
      <c r="B80" s="123"/>
      <c r="C80" s="123"/>
      <c r="D80" s="123"/>
      <c r="E80" s="123"/>
      <c r="F80" s="123"/>
      <c r="G80" s="123"/>
      <c r="H80" s="123"/>
    </row>
    <row r="81" customFormat="false" ht="21.75" hidden="false" customHeight="true" outlineLevel="0" collapsed="false">
      <c r="A81" s="123"/>
      <c r="B81" s="123"/>
      <c r="C81" s="123"/>
      <c r="D81" s="123"/>
      <c r="E81" s="123"/>
      <c r="F81" s="123"/>
      <c r="G81" s="123"/>
      <c r="H81" s="123"/>
    </row>
    <row r="82" customFormat="false" ht="21.75" hidden="false" customHeight="true" outlineLevel="0" collapsed="false">
      <c r="A82" s="123"/>
      <c r="B82" s="123"/>
      <c r="C82" s="123"/>
      <c r="D82" s="123"/>
      <c r="E82" s="123"/>
      <c r="F82" s="123"/>
      <c r="G82" s="123"/>
      <c r="H82" s="123"/>
    </row>
    <row r="83" customFormat="false" ht="21.75" hidden="false" customHeight="true" outlineLevel="0" collapsed="false">
      <c r="A83" s="123"/>
      <c r="B83" s="123"/>
      <c r="C83" s="123"/>
      <c r="D83" s="123"/>
      <c r="E83" s="123"/>
      <c r="F83" s="123"/>
      <c r="G83" s="123"/>
      <c r="H83" s="123"/>
    </row>
    <row r="84" customFormat="false" ht="21.75" hidden="false" customHeight="true" outlineLevel="0" collapsed="false">
      <c r="A84" s="123"/>
      <c r="B84" s="123"/>
      <c r="C84" s="123"/>
      <c r="D84" s="123"/>
      <c r="E84" s="123"/>
      <c r="F84" s="123"/>
      <c r="G84" s="123"/>
      <c r="H84" s="123"/>
    </row>
    <row r="85" customFormat="false" ht="21.75" hidden="false" customHeight="true" outlineLevel="0" collapsed="false">
      <c r="A85" s="123"/>
      <c r="B85" s="123"/>
      <c r="C85" s="123"/>
      <c r="D85" s="123"/>
      <c r="E85" s="123"/>
      <c r="F85" s="123"/>
      <c r="G85" s="123"/>
      <c r="H85" s="123"/>
    </row>
    <row r="86" customFormat="false" ht="21.75" hidden="false" customHeight="true" outlineLevel="0" collapsed="false">
      <c r="A86" s="123"/>
      <c r="B86" s="123"/>
      <c r="C86" s="123"/>
      <c r="D86" s="123"/>
      <c r="E86" s="123"/>
      <c r="F86" s="123"/>
      <c r="G86" s="123"/>
      <c r="H86" s="123"/>
    </row>
    <row r="87" customFormat="false" ht="21.75" hidden="false" customHeight="true" outlineLevel="0" collapsed="false">
      <c r="A87" s="123"/>
      <c r="B87" s="123"/>
      <c r="C87" s="123"/>
      <c r="D87" s="123"/>
      <c r="E87" s="123"/>
      <c r="F87" s="123"/>
      <c r="G87" s="123"/>
      <c r="H87" s="123"/>
    </row>
  </sheetData>
  <sheetProtection sheet="true" formatCells="false" formatColumns="false" formatRows="false" autoFilter="false"/>
  <mergeCells count="46">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A14:H14"/>
    <mergeCell ref="C15:D15"/>
    <mergeCell ref="F15:H15"/>
    <mergeCell ref="C16:D16"/>
    <mergeCell ref="F16:H16"/>
    <mergeCell ref="C17:D17"/>
    <mergeCell ref="F17:H17"/>
    <mergeCell ref="B18:H18"/>
    <mergeCell ref="A19:B19"/>
    <mergeCell ref="C19:E19"/>
    <mergeCell ref="F19:H19"/>
    <mergeCell ref="A20:B20"/>
    <mergeCell ref="C20:E20"/>
    <mergeCell ref="F20:H20"/>
    <mergeCell ref="A21:B21"/>
    <mergeCell ref="C21:E21"/>
    <mergeCell ref="F21:H21"/>
    <mergeCell ref="A23:H23"/>
    <mergeCell ref="A34:H34"/>
    <mergeCell ref="A36:H36"/>
    <mergeCell ref="A58:H58"/>
    <mergeCell ref="A77:D77"/>
    <mergeCell ref="E77:H77"/>
    <mergeCell ref="A78:D87"/>
    <mergeCell ref="E78:H87"/>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6">
    <cfRule type="expression" priority="9" aboveAverage="0" equalAverage="0" bottom="0" percent="0" rank="0" text="" dxfId="30">
      <formula>LEFT($E$16,11)="OUTSTANDING"</formula>
    </cfRule>
    <cfRule type="expression" priority="10" aboveAverage="0" equalAverage="0" bottom="0" percent="0" rank="0" text="" dxfId="27">
      <formula>$E$16="ON FILE"</formula>
    </cfRule>
  </conditionalFormatting>
  <conditionalFormatting sqref="E17">
    <cfRule type="expression" priority="11" aboveAverage="0" equalAverage="0" bottom="0" percent="0" rank="0" text="" dxfId="30">
      <formula>LEFT($E$17,11)="OUTSTANDING"</formula>
    </cfRule>
    <cfRule type="expression" priority="12" aboveAverage="0" equalAverage="0" bottom="0" percent="0" rank="0" text="" dxfId="27">
      <formula>$E$17="ON FILE"</formula>
    </cfRule>
  </conditionalFormatting>
  <conditionalFormatting sqref="H24:H75">
    <cfRule type="expression" priority="13" aboveAverage="0" equalAverage="0" bottom="0" percent="0" rank="0" text="" dxfId="31">
      <formula>ISNUMBER(SEARCH("CHECK WORDING",$H24))</formula>
    </cfRule>
    <cfRule type="expression" priority="14" aboveAverage="0" equalAverage="0" bottom="0" percent="0" rank="0" text="" dxfId="32">
      <formula>LEFT($H24,8)="COMPLETE"</formula>
    </cfRule>
    <cfRule type="expression" priority="15" aboveAverage="0" equalAverage="0" bottom="0" percent="0" rank="0" text="" dxfId="28">
      <formula>OR(LEFT($H24,7)="OVERDUE",LEFT($H24,4)="FAIL",LEFT($H24,7)="INVALID")</formula>
    </cfRule>
    <cfRule type="expression" priority="16" aboveAverage="0" equalAverage="0" bottom="0" percent="0" rank="0" text="" dxfId="33">
      <formula>LEFT($H24,4)="OPEN"</formula>
    </cfRule>
    <cfRule type="expression" priority="17" aboveAverage="0" equalAverage="0" bottom="0" percent="0" rank="0" text="" dxfId="34">
      <formula>LEFT($H24,3)="N/A"</formula>
    </cfRule>
  </conditionalFormatting>
  <conditionalFormatting sqref="A24:G75">
    <cfRule type="expression" priority="18" aboveAverage="0" equalAverage="0" bottom="0" percent="0" rank="0" text="" dxfId="35">
      <formula>LEFT($H24,3)="N/A"</formula>
    </cfRule>
  </conditionalFormatting>
  <conditionalFormatting sqref="D24:D75">
    <cfRule type="expression" priority="19" aboveAverage="0" equalAverage="0" bottom="0" percent="0" rank="0" text="" dxfId="28">
      <formula>LEFT($D24,4)="Fail"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F07 MH0003 09-Oct-26 LHR-KUL Class BC</oddHeader>
    <oddFooter>&amp;L&amp;"Arial,Bold"&amp;8 F07 MH0003 09-Oct-26 LHR-KUL Class BC&amp;C&amp;"Arial,Regular"&amp;8 Printed: ____________________&amp;R&amp;"Arial,Regular"&amp;8 F07  Page &amp;P of &amp;N</oddFooter>
  </headerFooter>
  <rowBreaks count="14" manualBreakCount="14">
    <brk id="21" man="true" max="16383" min="0"/>
    <brk id="27" man="true" max="16383" min="0"/>
    <brk id="31" man="true" max="16383" min="0"/>
    <brk id="33" man="true" max="16383" min="0"/>
    <brk id="38" man="true" max="16383" min="0"/>
    <brk id="41" man="true" max="16383" min="0"/>
    <brk id="43" man="true" max="16383" min="0"/>
    <brk id="46" man="true" max="16383" min="0"/>
    <brk id="50" man="true" max="16383" min="0"/>
    <brk id="54" man="true" max="16383" min="0"/>
    <brk id="59" man="true" max="16383" min="0"/>
    <brk id="63" man="true" max="16383" min="0"/>
    <brk id="67" man="true" max="16383" min="0"/>
    <brk id="71" man="true" max="16383" min="0"/>
  </row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F08  "&amp;Flights!$F$12&amp;"  "&amp;TEXT(Flights!$D$12,"DD-MMM-YY")&amp;" ("&amp;Flights!$E$12&amp;")  "&amp;Flights!$G$12&amp;" → "&amp;Flights!$H$12&amp;"  |  Class "&amp;Flights!$K$12</f>
        <v>SKYTRAX 2026 CATERING READINESS CHECKLIST  |  F08  MH0752  10-Oct-26 (SAT)  KUL → HAN  |  Class EY</v>
      </c>
      <c r="B1" s="93"/>
      <c r="C1" s="93"/>
      <c r="D1" s="93"/>
      <c r="E1" s="93"/>
      <c r="F1" s="93"/>
      <c r="G1" s="93"/>
      <c r="H1" s="93"/>
    </row>
    <row r="2" customFormat="false" ht="12.75" hidden="false" customHeight="true" outlineLevel="0" collapsed="false">
      <c r="A2" s="94" t="s">
        <v>4788</v>
      </c>
      <c r="B2" s="95" t="str">
        <f aca="false">Flights!$F$12&amp;"   "&amp;TEXT(Flights!$D$12,"DD-MMM-YY")&amp;" ("&amp;Flights!$E$12&amp;")"</f>
        <v>MH0752   10-Oct-26 (SAT)</v>
      </c>
      <c r="C2" s="95"/>
      <c r="D2" s="95"/>
      <c r="E2" s="96" t="s">
        <v>4789</v>
      </c>
      <c r="F2" s="97" t="str">
        <f aca="false">Flights!$AT$12</f>
        <v>NOT READY – DOCUMENTS</v>
      </c>
      <c r="G2" s="97"/>
      <c r="H2" s="97"/>
    </row>
    <row r="3" customFormat="false" ht="24" hidden="false" customHeight="true" outlineLevel="0" collapsed="false">
      <c r="A3" s="94" t="s">
        <v>4790</v>
      </c>
      <c r="B3" s="95" t="str">
        <f aca="false">Flights!$G$12&amp;" → "&amp;Flights!$H$12&amp;"   Class "&amp;Flights!$K$12&amp;"   Seat "&amp;Flights!$O$12</f>
        <v>KUL → HAN   Class EY   Seat 4A</v>
      </c>
      <c r="C3" s="95"/>
      <c r="D3" s="95"/>
      <c r="E3" s="96" t="s">
        <v>73</v>
      </c>
      <c r="F3" s="96" t="s">
        <v>4791</v>
      </c>
      <c r="G3" s="96" t="s">
        <v>4792</v>
      </c>
      <c r="H3" s="96"/>
    </row>
    <row r="4" customFormat="false" ht="24" hidden="false" customHeight="true" outlineLevel="0" collapsed="false">
      <c r="A4" s="94" t="s">
        <v>4793</v>
      </c>
      <c r="B4" s="95" t="str">
        <f aca="false">IF(ISNUMBER(Flights!$I$12),TEXT(Flights!$I$12,"DD-MMM-YY HH:MM"),"")&amp;" "&amp;Flights!$G$12&amp;"  →  "&amp;IF(ISNUMBER(Flights!$J$12),TEXT(Flights!$J$12,"DD-MMM-YY HH:MM"),"")&amp;" "&amp;Flights!$H$12</f>
        <v>10-Oct-26 09:35 KUL  →  10-Oct-26 12:15 HAN</v>
      </c>
      <c r="C4" s="95"/>
      <c r="D4" s="95"/>
      <c r="E4" s="94" t="s">
        <v>4794</v>
      </c>
      <c r="F4" s="98" t="str">
        <f aca="false">IF(ISNUMBER(Flights!$AG$12),TEXT(Flights!$AG$12,"DD-MMM-YY HH:MM"),"")&amp;" "&amp;Flights!$V$12</f>
        <v>03-Oct-26 09:35 KUL</v>
      </c>
      <c r="G4" s="99" t="n">
        <f aca="false">Flights!$AJ$12</f>
        <v>0</v>
      </c>
      <c r="H4" s="99"/>
    </row>
    <row r="5" customFormat="false" ht="24" hidden="false" customHeight="true" outlineLevel="0" collapsed="false">
      <c r="A5" s="94" t="s">
        <v>4795</v>
      </c>
      <c r="B5" s="95" t="str">
        <f aca="false">Flights!$L$12&amp;" – "&amp;Flights!$M$12</f>
        <v>B738MAX – B737-8 (B7M8)</v>
      </c>
      <c r="C5" s="95"/>
      <c r="D5" s="95"/>
      <c r="E5" s="94" t="s">
        <v>4796</v>
      </c>
      <c r="F5" s="98" t="str">
        <f aca="false">IF(ISNUMBER(Flights!$AH$12),TEXT(Flights!$AH$12,"DD-MMM-YY HH:MM"),"")&amp;" "&amp;Flights!$V$12</f>
        <v>09-Oct-26 09:35 KUL</v>
      </c>
      <c r="G5" s="99" t="n">
        <f aca="false">Flights!$AK$12</f>
        <v>0</v>
      </c>
      <c r="H5" s="99"/>
    </row>
    <row r="6" customFormat="false" ht="24" hidden="false" customHeight="true" outlineLevel="0" collapsed="false">
      <c r="A6" s="94" t="s">
        <v>4797</v>
      </c>
      <c r="B6" s="95" t="str">
        <f aca="false">IF(TRIM(Flights!$N$12)="","__________________",Flights!$N$12)</f>
        <v>__________________</v>
      </c>
      <c r="C6" s="95"/>
      <c r="D6" s="95"/>
      <c r="E6" s="94" t="s">
        <v>4798</v>
      </c>
      <c r="F6" s="98" t="str">
        <f aca="false">IF(ISNUMBER(Flights!$AI$12),TEXT(Flights!$AI$12,"DD-MMM-YY HH:MM"),"")&amp;" "&amp;Flights!$V$12&amp;IF(Flights!$AI$12=Flights!$AH$12,"  (= T-24H due)","")</f>
        <v>09-Oct-26 21:35 KUL</v>
      </c>
      <c r="G6" s="99" t="n">
        <f aca="false">Flights!$AL$12</f>
        <v>0</v>
      </c>
      <c r="H6" s="99"/>
    </row>
    <row r="7" customFormat="false" ht="24" hidden="false" customHeight="true" outlineLevel="0" collapsed="false">
      <c r="A7" s="94" t="s">
        <v>4799</v>
      </c>
      <c r="B7" s="95" t="str">
        <f aca="false">Flights!$T$12</f>
        <v>1 Meal (Meal)</v>
      </c>
      <c r="C7" s="95"/>
      <c r="D7" s="95"/>
      <c r="E7" s="94" t="s">
        <v>4800</v>
      </c>
      <c r="F7" s="98" t="str">
        <f aca="false">"STD "&amp;IF(ISNUMBER(Flights!$I$12),TEXT(Flights!$I$12,"DD-MMM-YY HH:MM"),"")&amp;" "&amp;Flights!$G$12&amp;" (dep stn)"</f>
        <v>STD 10-Oct-26 09:35 KUL (dep stn)</v>
      </c>
      <c r="G7" s="99" t="n">
        <f aca="false">Flights!$AM$12</f>
        <v>0</v>
      </c>
      <c r="H7" s="99"/>
    </row>
    <row r="8" customFormat="false" ht="12.75" hidden="false" customHeight="true" outlineLevel="0" collapsed="false">
      <c r="A8" s="94" t="s">
        <v>155</v>
      </c>
      <c r="B8" s="95" t="str">
        <f aca="false">Flights!$V$12&amp;"   (reference uplift stns: "&amp;Flights!$U$12&amp;")"</f>
        <v>KUL   (reference uplift stns: KUL/HAN)</v>
      </c>
      <c r="C8" s="95"/>
      <c r="D8" s="95"/>
      <c r="E8" s="94" t="s">
        <v>4801</v>
      </c>
      <c r="F8" s="100" t="s">
        <v>4802</v>
      </c>
      <c r="G8" s="99" t="n">
        <f aca="false">Flights!$AN$12</f>
        <v>0</v>
      </c>
      <c r="H8" s="99"/>
    </row>
    <row r="9" customFormat="false" ht="12.75" hidden="false" customHeight="true" outlineLevel="0" collapsed="false">
      <c r="A9" s="94" t="s">
        <v>4803</v>
      </c>
      <c r="B9" s="95" t="str">
        <f aca="false">TRIM(Flights!$P$12&amp;"  "&amp;Flights!$Q$12)</f>
        <v>2H 50M Overnight HAN</v>
      </c>
      <c r="C9" s="95"/>
      <c r="D9" s="95"/>
      <c r="E9" s="94" t="s">
        <v>4804</v>
      </c>
      <c r="F9" s="101" t="n">
        <f aca="false">Flights!$AP$12</f>
        <v>0</v>
      </c>
      <c r="G9" s="102" t="n">
        <f aca="false">Flights!$AQ$12</f>
        <v>0</v>
      </c>
      <c r="H9" s="103" t="n">
        <f aca="false">Flights!$AU$12</f>
        <v>0</v>
      </c>
    </row>
    <row r="10" customFormat="false" ht="24" hidden="false" customHeight="true" outlineLevel="0" collapsed="false">
      <c r="A10" s="94" t="s">
        <v>4805</v>
      </c>
      <c r="B10" s="95" t="str">
        <f aca="false">IF(TRIM(Flights!$X$12)="","__________________",Flights!$X$12)</f>
        <v>__________________</v>
      </c>
      <c r="C10" s="95"/>
      <c r="D10" s="95"/>
      <c r="E10" s="94" t="s">
        <v>4806</v>
      </c>
      <c r="F10" s="104" t="n">
        <f aca="false">Flights!$AO$12</f>
        <v>20</v>
      </c>
      <c r="G10" s="105" t="n">
        <f aca="false">Flights!$AS$12</f>
        <v>0</v>
      </c>
      <c r="H10" s="106" t="n">
        <f aca="false">Flights!$AR$12</f>
        <v>2</v>
      </c>
    </row>
    <row r="11" customFormat="false" ht="21" hidden="false" customHeight="true" outlineLevel="0" collapsed="false">
      <c r="A11" s="94" t="s">
        <v>4807</v>
      </c>
      <c r="B11" s="95" t="str">
        <f aca="false">IF(TRIM(Flights!$Y$12)="","__________________",Flights!$Y$12)</f>
        <v>__________________</v>
      </c>
      <c r="C11" s="95"/>
      <c r="D11" s="95"/>
      <c r="E11" s="94" t="s">
        <v>4808</v>
      </c>
      <c r="F11" s="97" t="str">
        <f aca="false">Flights!$AV$12&amp;" / "&amp;Flights!$AW$12</f>
        <v>0 / 20</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IF(Documents!$F$12="","",Documents!$F$12)</f>
        <v/>
      </c>
      <c r="C15" s="100" t="str">
        <f aca="false">IF(Documents!$G$12="","",Documents!$G$12)&amp;IF(ISNUMBER(Documents!$H$12),"  "&amp;TEXT(Documents!$H$12,"DD-MMM-YY"),"")</f>
        <v/>
      </c>
      <c r="D15" s="100"/>
      <c r="E15" s="114" t="str">
        <f aca="false">IF(Documents!$J$12="OUTSTANDING","OUTSTANDING – attach before T-7D (due "&amp;IF(ISNUMBER(Flights!$AG$12),TEXT(Flights!$AG$12,"DD-MMM-YY HH:MM"),"")&amp;" "&amp;Flights!$V$12&amp;")",IF(Documents!$J$12="","Status not recorded",Documents!$J$12))</f>
        <v>OUTSTANDING – attach before T-7D (due 03-Oct-26 09:35 KUL)</v>
      </c>
      <c r="F15" s="115" t="str">
        <f aca="false">"Staple behind this sheet as page A1."&amp;IF(Documents!$I$12="",""," Location: "&amp;Documents!$I$12)</f>
        <v>Staple behind this sheet as page A1.</v>
      </c>
      <c r="G15" s="115"/>
      <c r="H15" s="115"/>
    </row>
    <row r="16" customFormat="false" ht="36" hidden="false" customHeight="true" outlineLevel="0" collapsed="false">
      <c r="A16" s="94" t="s">
        <v>4819</v>
      </c>
      <c r="B16" s="95" t="str">
        <f aca="false">IF(Documents!$K$12="","",Documents!$K$12)</f>
        <v/>
      </c>
      <c r="C16" s="100" t="str">
        <f aca="false">IF(Documents!$L$12="","",Documents!$L$12)&amp;IF(ISNUMBER(Documents!$M$12),"  "&amp;TEXT(Documents!$M$12,"DD-MMM-YY"),"")</f>
        <v/>
      </c>
      <c r="D16" s="100"/>
      <c r="E16" s="114" t="str">
        <f aca="false">IF(Documents!$O$12="OUTSTANDING","OUTSTANDING – attach before T-7D (due "&amp;IF(ISNUMBER(Flights!$AG$12),TEXT(Flights!$AG$12,"DD-MMM-YY HH:MM"),"")&amp;" "&amp;Flights!$V$12&amp;")",IF(Documents!$O$12="","Status not recorded",Documents!$O$12))</f>
        <v>OUTSTANDING – attach before T-7D (due 03-Oct-26 09:35 KUL)</v>
      </c>
      <c r="F16" s="115" t="str">
        <f aca="false">"Staple behind this sheet as page A2."&amp;IF(Documents!$N$12="",""," Location: "&amp;Documents!$N$12)</f>
        <v>Staple behind this sheet as page A2.</v>
      </c>
      <c r="G16" s="115"/>
      <c r="H16" s="115"/>
    </row>
    <row r="17" customFormat="false" ht="22.5" hidden="false" customHeight="true" outlineLevel="0" collapsed="false">
      <c r="A17" s="94" t="s">
        <v>4820</v>
      </c>
      <c r="B17" s="116" t="str">
        <f aca="false">IF(Documents!$Q$12="","",Documents!$Q$12)</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"&amp;IF(TRIM(Flights!$Y$12)="","__________________",Flights!$Y$12)</f>
        <v>Name: __________________</v>
      </c>
      <c r="B19" s="95"/>
      <c r="C19" s="95" t="str">
        <f aca="false">"Name: __________________"</f>
        <v>Name: __________________</v>
      </c>
      <c r="D19" s="95"/>
      <c r="E19" s="95"/>
      <c r="F19" s="95" t="str">
        <f aca="false">"Name: __________________"&amp;"   Station: "&amp;Flights!$V$12</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"&amp;IF(ISNUMBER(Flights!$AG$12),TEXT(Flights!$AG$12,"DD-MMM-YY HH:MM"),"")&amp;" "&amp;Flights!$V$12&amp;" (meal uplift stn)"&amp;" (rows with another due show their own)  |  Complete "&amp;IF(ISNUMBER(Flights!$AJ$12),TEXT(Flights!$AJ$12,"0%"),Flights!$AJ$12)&amp;"  |  9 lines"</f>
        <v>T-7D — 7 days before departure  |  Due 03-Oct-26 09:35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Checks!$A$262&amp;CHAR(10)&amp;IF(Checks!$I$262="","",Checks!$I$262&amp;": ")&amp;Checks!$J$262</f>
        <v>F08-T7-01
Meal: Meal sensory testing completed for this flight's menu cycle (assessed class)</v>
      </c>
      <c r="B23" s="120" t="str">
        <f aca="false">Checks!$K$262&amp;IF(Checks!$O$262="","",IF(Checks!$K$262="","",CHAR(10))&amp;"Note: "&amp;Checks!$O$262)</f>
        <v>Record panel result / score in Result</v>
      </c>
      <c r="C23" s="120" t="str">
        <f aca="false">Checks!$N$262&amp;CHAR(10)&amp;IF(ISNUMBER(Checks!$R$262),TEXT(Checks!$R$262,"DD-MMM-YY HH:MM"),"")&amp;" "&amp;Checks!$P$262</f>
        <v>Required
03-Oct-26 09:35 KUL</v>
      </c>
      <c r="D23" s="120" t="str">
        <f aca="false">IF(TRIM(Checks!$U$262)&lt;&gt;"",Checks!$U$262&amp;IF(Checks!$AB$262="","",CHAR(10)&amp;"CA: "&amp;Checks!$AB$262),IF(LEFT(Checks!$AH$262,10)="N/A – RULE","","[ ] Pass"&amp;CHAR(10)&amp;"[ ] Pass after CA"&amp;CHAR(10)&amp;"[ ] Fail"&amp;IF(Checks!$AT$262=1,CHAR(10)&amp;"[ ] N/A","")&amp;CHAR(10)&amp;"CA: Open / Closed"))</f>
        <v>[ ] Pass
[ ] Pass after CA
[ ] Fail
CA: Open / Closed</v>
      </c>
      <c r="E23" s="120" t="str">
        <f aca="false">IF(Checks!$V$262="","",Checks!$V$262)&amp;IF(Checks!$AC$262="","",IF(Checks!$V$262="","",CHAR(10))&amp;"N/A just.: "&amp;Checks!$AC$262)&amp;IF(OR(Checks!$W$262&lt;&gt;"",AND(Checks!$AQ$262=1,NOT(LEFT(Checks!$AH$262,10)="N/A – RULE"))),CHAR(10)&amp;"Batch: "&amp;IF(Checks!$W$262="","____________",Checks!$W$262),"")&amp;IF(OR(Checks!$X$262&lt;&gt;"",Checks!$Y$262&lt;&gt;"",AND(Checks!$AR$262=1,NOT(LEFT(Checks!$AH$262,10)="N/A – RULE"))),CHAR(10)&amp;"Exp: "&amp;IF(Checks!$X$262="","______",Checks!$X$262)&amp;"  /  Act: "&amp;IF(Checks!$Y$262="","______",Checks!$Y$262),"")</f>
        <v/>
      </c>
      <c r="F23" s="120" t="str">
        <f aca="false">IF(AND(LEFT(Checks!$AH$262,10)="N/A – RULE",TRIM(Checks!$S$262&amp;Checks!$Z$262)=""),"","Type: "&amp;IF(TRIM(Checks!$S$262)="","______________ (see cover list)",Checks!$S$262)&amp;CHAR(10)&amp;"ID: "&amp;IF(TRIM(Checks!$Z$262)="","______________ (record's own no.)",Checks!$Z$262))&amp;IF(Checks!$AA$262="","",CHAR(10)&amp;"CA: "&amp;Checks!$AA$262)</f>
        <v>Type: ______________ (see cover list)
ID: ______________ (record's own no.)</v>
      </c>
      <c r="G23" s="120" t="str">
        <f aca="false">IF(AND(LEFT(Checks!$AH$262,10)="N/A – RULE",NOT(ISNUMBER(Checks!$AD$262)),Checks!$AE$262="",Checks!$T$262=""),"","Done: "&amp;IF(ISNUMBER(Checks!$AD$262),TEXT(Checks!$AD$262,"DD-MMM-YY HH:MM"),"____________")&amp;" "&amp;Checks!$P$262&amp;CHAR(10)&amp;"Verifier: "&amp;IF(Checks!$AE$262="","____________",Checks!$AE$262)&amp;CHAR(10)&amp;"PIC: "&amp;IF(Checks!$T$262="","____________",Checks!$T$262))</f>
        <v>Done: ____________ KUL
Verifier: ____________
PIC: ____________</v>
      </c>
      <c r="H23" s="121" t="str">
        <f aca="false">IF(Checks!$AH$262="","",Checks!$AH$262)</f>
        <v>OPEN</v>
      </c>
    </row>
    <row r="24" customFormat="false" ht="114" hidden="false" customHeight="true" outlineLevel="0" collapsed="false">
      <c r="A24" s="120" t="str">
        <f aca="false">Checks!$A$263&amp;CHAR(10)&amp;IF(Checks!$I$263="","",Checks!$I$263&amp;": ")&amp;Checks!$J$263</f>
        <v>F08-T7-02
Menu: Printed menu cards confirmed (content, cycle, language, quantity)</v>
      </c>
      <c r="B24" s="120" t="str">
        <f aca="false">Checks!$K$263&amp;IF(Checks!$O$263="","",IF(Checks!$K$263="","",CHAR(10))&amp;"Note: "&amp;Checks!$O$263)</f>
        <v>Menu card matches approved menu for this flight</v>
      </c>
      <c r="C24" s="120" t="str">
        <f aca="false">Checks!$N$263&amp;CHAR(10)&amp;IF(ISNUMBER(Checks!$R$263),TEXT(Checks!$R$263,"DD-MMM-YY HH:MM"),"")&amp;" "&amp;Checks!$P$263</f>
        <v>Required
03-Oct-26 09:35 KUL</v>
      </c>
      <c r="D24" s="120" t="str">
        <f aca="false">IF(TRIM(Checks!$U$263)&lt;&gt;"",Checks!$U$263&amp;IF(Checks!$AB$263="","",CHAR(10)&amp;"CA: "&amp;Checks!$AB$263),IF(LEFT(Checks!$AH$263,10)="N/A – RULE","","[ ] Pass"&amp;CHAR(10)&amp;"[ ] Pass after CA"&amp;CHAR(10)&amp;"[ ] Fail"&amp;IF(Checks!$AT$263=1,CHAR(10)&amp;"[ ] N/A","")&amp;CHAR(10)&amp;"CA: Open / Closed"))</f>
        <v>[ ] Pass
[ ] Pass after CA
[ ] Fail
CA: Open / Closed</v>
      </c>
      <c r="E24" s="120" t="str">
        <f aca="false">IF(Checks!$V$263="","",Checks!$V$263)&amp;IF(Checks!$AC$263="","",IF(Checks!$V$263="","",CHAR(10))&amp;"N/A just.: "&amp;Checks!$AC$263)&amp;IF(OR(Checks!$W$263&lt;&gt;"",AND(Checks!$AQ$263=1,NOT(LEFT(Checks!$AH$263,10)="N/A – RULE"))),CHAR(10)&amp;"Batch: "&amp;IF(Checks!$W$263="","____________",Checks!$W$263),"")&amp;IF(OR(Checks!$X$263&lt;&gt;"",Checks!$Y$263&lt;&gt;"",AND(Checks!$AR$263=1,NOT(LEFT(Checks!$AH$263,10)="N/A – RULE"))),CHAR(10)&amp;"Exp: "&amp;IF(Checks!$X$263="","______",Checks!$X$263)&amp;"  /  Act: "&amp;IF(Checks!$Y$263="","______",Checks!$Y$263),"")</f>
        <v/>
      </c>
      <c r="F24" s="120" t="str">
        <f aca="false">IF(AND(LEFT(Checks!$AH$263,10)="N/A – RULE",TRIM(Checks!$S$263&amp;Checks!$Z$263)=""),"","Type: "&amp;IF(TRIM(Checks!$S$263)="","______________ (see cover list)",Checks!$S$263)&amp;CHAR(10)&amp;"ID: "&amp;IF(TRIM(Checks!$Z$263)="","______________ (record's own no.)",Checks!$Z$263))&amp;IF(Checks!$AA$263="","",CHAR(10)&amp;"CA: "&amp;Checks!$AA$263)</f>
        <v>Type: ______________ (see cover list)
ID: ______________ (record's own no.)</v>
      </c>
      <c r="G24" s="120" t="str">
        <f aca="false">IF(AND(LEFT(Checks!$AH$263,10)="N/A – RULE",NOT(ISNUMBER(Checks!$AD$263)),Checks!$AE$263="",Checks!$T$263=""),"","Done: "&amp;IF(ISNUMBER(Checks!$AD$263),TEXT(Checks!$AD$263,"DD-MMM-YY HH:MM"),"____________")&amp;" "&amp;Checks!$P$263&amp;CHAR(10)&amp;"Verifier: "&amp;IF(Checks!$AE$263="","____________",Checks!$AE$263)&amp;CHAR(10)&amp;"PIC: "&amp;IF(Checks!$T$263="","____________",Checks!$T$263))</f>
        <v>Done: ____________ KUL
Verifier: ____________
PIC: ____________</v>
      </c>
      <c r="H24" s="121" t="str">
        <f aca="false">IF(Checks!$AH$263="","",Checks!$AH$263)</f>
        <v>OPEN</v>
      </c>
    </row>
    <row r="25" customFormat="false" ht="114" hidden="false" customHeight="true" outlineLevel="0" collapsed="false">
      <c r="A25" s="120" t="str">
        <f aca="false">Checks!$A$264&amp;CHAR(10)&amp;IF(Checks!$I$264="","",Checks!$I$264&amp;": ")&amp;Checks!$J$264</f>
        <v>F08-T7-03
IFE: Digital menu in IFE confirmed (A339 only)</v>
      </c>
      <c r="B25" s="120" t="str">
        <f aca="false">Checks!$K$264&amp;IF(Checks!$O$264="","",IF(Checks!$K$264="","",CHAR(10))&amp;"Note: "&amp;Checks!$O$264)</f>
        <v>Applies when fleet = A339
Note: Digital IFE menu applies to A339 only (user brief). Applicability follows the Fleet cell on Flights.</v>
      </c>
      <c r="C25" s="120" t="str">
        <f aca="false">Checks!$N$264&amp;CHAR(10)&amp;IF(ISNUMBER(Checks!$R$264),TEXT(Checks!$R$264,"DD-MMM-YY HH:MM"),"")&amp;" "&amp;Checks!$P$264</f>
        <v>N/A – rule
03-Oct-26 09:35 KUL</v>
      </c>
      <c r="D25" s="120" t="str">
        <f aca="false">IF(TRIM(Checks!$U$264)&lt;&gt;"",Checks!$U$264&amp;IF(Checks!$AB$264="","",CHAR(10)&amp;"CA: "&amp;Checks!$AB$264),IF(LEFT(Checks!$AH$264,10)="N/A – RULE","","[ ] Pass"&amp;CHAR(10)&amp;"[ ] Pass after CA"&amp;CHAR(10)&amp;"[ ] Fail"&amp;IF(Checks!$AT$264=1,CHAR(10)&amp;"[ ] N/A","")&amp;CHAR(10)&amp;"CA: Open / Closed"))</f>
        <v/>
      </c>
      <c r="E25" s="120" t="str">
        <f aca="false">IF(Checks!$V$264="","",Checks!$V$264)&amp;IF(Checks!$AC$264="","",IF(Checks!$V$264="","",CHAR(10))&amp;"N/A just.: "&amp;Checks!$AC$264)&amp;IF(OR(Checks!$W$264&lt;&gt;"",AND(Checks!$AQ$264=1,NOT(LEFT(Checks!$AH$264,10)="N/A – RULE"))),CHAR(10)&amp;"Batch: "&amp;IF(Checks!$W$264="","____________",Checks!$W$264),"")&amp;IF(OR(Checks!$X$264&lt;&gt;"",Checks!$Y$264&lt;&gt;"",AND(Checks!$AR$264=1,NOT(LEFT(Checks!$AH$264,10)="N/A – RULE"))),CHAR(10)&amp;"Exp: "&amp;IF(Checks!$X$264="","______",Checks!$X$264)&amp;"  /  Act: "&amp;IF(Checks!$Y$264="","______",Checks!$Y$264),"")</f>
        <v/>
      </c>
      <c r="F25" s="120" t="str">
        <f aca="false">IF(AND(LEFT(Checks!$AH$264,10)="N/A – RULE",TRIM(Checks!$S$264&amp;Checks!$Z$264)=""),"","Type: "&amp;IF(TRIM(Checks!$S$264)="","______________ (see cover list)",Checks!$S$264)&amp;CHAR(10)&amp;"ID: "&amp;IF(TRIM(Checks!$Z$264)="","______________ (record's own no.)",Checks!$Z$264))&amp;IF(Checks!$AA$264="","",CHAR(10)&amp;"CA: "&amp;Checks!$AA$264)</f>
        <v/>
      </c>
      <c r="G25" s="120" t="str">
        <f aca="false">IF(AND(LEFT(Checks!$AH$264,10)="N/A – RULE",NOT(ISNUMBER(Checks!$AD$264)),Checks!$AE$264="",Checks!$T$264=""),"","Done: "&amp;IF(ISNUMBER(Checks!$AD$264),TEXT(Checks!$AD$264,"DD-MMM-YY HH:MM"),"____________")&amp;" "&amp;Checks!$P$264&amp;CHAR(10)&amp;"Verifier: "&amp;IF(Checks!$AE$264="","____________",Checks!$AE$264)&amp;CHAR(10)&amp;"PIC: "&amp;IF(Checks!$T$264="","____________",Checks!$T$264))</f>
        <v/>
      </c>
      <c r="H25" s="121" t="str">
        <f aca="false">IF(Checks!$AH$264="","",Checks!$AH$264)</f>
        <v>N/A – RULE</v>
      </c>
    </row>
    <row r="26" customFormat="false" ht="114" hidden="false" customHeight="true" outlineLevel="0" collapsed="false">
      <c r="A26" s="120" t="str">
        <f aca="false">Checks!$A$265&amp;CHAR(10)&amp;IF(Checks!$I$265="","",Checks!$I$265&amp;": ")&amp;Checks!$J$265</f>
        <v>F08-T7-04
Staffing: Experienced catering officer assigned to this flight</v>
      </c>
      <c r="B26" s="120" t="str">
        <f aca="false">Checks!$K$265&amp;IF(Checks!$O$265="","",IF(Checks!$K$265="","",CHAR(10))&amp;"Note: "&amp;Checks!$O$265)</f>
        <v>Record officer name in Result</v>
      </c>
      <c r="C26" s="120" t="str">
        <f aca="false">Checks!$N$265&amp;CHAR(10)&amp;IF(ISNUMBER(Checks!$R$265),TEXT(Checks!$R$265,"DD-MMM-YY HH:MM"),"")&amp;" "&amp;Checks!$P$265</f>
        <v>Required
03-Oct-26 09:35 KUL</v>
      </c>
      <c r="D26" s="120" t="str">
        <f aca="false">IF(TRIM(Checks!$U$265)&lt;&gt;"",Checks!$U$265&amp;IF(Checks!$AB$265="","",CHAR(10)&amp;"CA: "&amp;Checks!$AB$265),IF(LEFT(Checks!$AH$265,10)="N/A – RULE","","[ ] Pass"&amp;CHAR(10)&amp;"[ ] Pass after CA"&amp;CHAR(10)&amp;"[ ] Fail"&amp;IF(Checks!$AT$265=1,CHAR(10)&amp;"[ ] N/A","")&amp;CHAR(10)&amp;"CA: Open / Closed"))</f>
        <v>[ ] Pass
[ ] Pass after CA
[ ] Fail
CA: Open / Closed</v>
      </c>
      <c r="E26" s="120" t="str">
        <f aca="false">IF(Checks!$V$265="","",Checks!$V$265)&amp;IF(Checks!$AC$265="","",IF(Checks!$V$265="","",CHAR(10))&amp;"N/A just.: "&amp;Checks!$AC$265)&amp;IF(OR(Checks!$W$265&lt;&gt;"",AND(Checks!$AQ$265=1,NOT(LEFT(Checks!$AH$265,10)="N/A – RULE"))),CHAR(10)&amp;"Batch: "&amp;IF(Checks!$W$265="","____________",Checks!$W$265),"")&amp;IF(OR(Checks!$X$265&lt;&gt;"",Checks!$Y$265&lt;&gt;"",AND(Checks!$AR$265=1,NOT(LEFT(Checks!$AH$265,10)="N/A – RULE"))),CHAR(10)&amp;"Exp: "&amp;IF(Checks!$X$265="","______",Checks!$X$265)&amp;"  /  Act: "&amp;IF(Checks!$Y$265="","______",Checks!$Y$265),"")</f>
        <v/>
      </c>
      <c r="F26" s="120" t="str">
        <f aca="false">IF(AND(LEFT(Checks!$AH$265,10)="N/A – RULE",TRIM(Checks!$S$265&amp;Checks!$Z$265)=""),"","Type: "&amp;IF(TRIM(Checks!$S$265)="","______________ (see cover list)",Checks!$S$265)&amp;CHAR(10)&amp;"ID: "&amp;IF(TRIM(Checks!$Z$265)="","______________ (record's own no.)",Checks!$Z$265))&amp;IF(Checks!$AA$265="","",CHAR(10)&amp;"CA: "&amp;Checks!$AA$265)</f>
        <v>Type: ______________ (see cover list)
ID: ______________ (record's own no.)</v>
      </c>
      <c r="G26" s="120" t="str">
        <f aca="false">IF(AND(LEFT(Checks!$AH$265,10)="N/A – RULE",NOT(ISNUMBER(Checks!$AD$265)),Checks!$AE$265="",Checks!$T$265=""),"","Done: "&amp;IF(ISNUMBER(Checks!$AD$265),TEXT(Checks!$AD$265,"DD-MMM-YY HH:MM"),"____________")&amp;" "&amp;Checks!$P$265&amp;CHAR(10)&amp;"Verifier: "&amp;IF(Checks!$AE$265="","____________",Checks!$AE$265)&amp;CHAR(10)&amp;"PIC: "&amp;IF(Checks!$T$265="","____________",Checks!$T$265))</f>
        <v>Done: ____________ KUL
Verifier: ____________
PIC: ____________</v>
      </c>
      <c r="H26" s="121" t="str">
        <f aca="false">IF(Checks!$AH$265="","",Checks!$AH$265)</f>
        <v>OPEN</v>
      </c>
    </row>
    <row r="27" customFormat="false" ht="114" hidden="false" customHeight="true" outlineLevel="0" collapsed="false">
      <c r="A27" s="120" t="str">
        <f aca="false">Checks!$A$266&amp;CHAR(10)&amp;IF(Checks!$I$266="","",Checks!$I$266&amp;": ")&amp;Checks!$J$266</f>
        <v>F08-T7-05
ISOP: All latest applicable ISOP revisions communicated to caterer</v>
      </c>
      <c r="B27" s="120" t="str">
        <f aca="false">Checks!$K$266&amp;IF(Checks!$O$266="","",IF(Checks!$K$266="","",CHAR(10))&amp;"Note: "&amp;Checks!$O$266)</f>
        <v>List revision numbers in Result (see ISOP register)</v>
      </c>
      <c r="C27" s="120" t="str">
        <f aca="false">Checks!$N$266&amp;CHAR(10)&amp;IF(ISNUMBER(Checks!$R$266),TEXT(Checks!$R$266,"DD-MMM-YY HH:MM"),"")&amp;" "&amp;Checks!$P$266</f>
        <v>Required
03-Oct-26 09:35 KUL</v>
      </c>
      <c r="D27" s="120" t="str">
        <f aca="false">IF(TRIM(Checks!$U$266)&lt;&gt;"",Checks!$U$266&amp;IF(Checks!$AB$266="","",CHAR(10)&amp;"CA: "&amp;Checks!$AB$266),IF(LEFT(Checks!$AH$266,10)="N/A – RULE","","[ ] Pass"&amp;CHAR(10)&amp;"[ ] Pass after CA"&amp;CHAR(10)&amp;"[ ] Fail"&amp;IF(Checks!$AT$266=1,CHAR(10)&amp;"[ ] N/A","")&amp;CHAR(10)&amp;"CA: Open / Closed"))</f>
        <v>[ ] Pass
[ ] Pass after CA
[ ] Fail
CA: Open / Closed</v>
      </c>
      <c r="E27" s="120" t="str">
        <f aca="false">IF(Checks!$V$266="","",Checks!$V$266)&amp;IF(Checks!$AC$266="","",IF(Checks!$V$266="","",CHAR(10))&amp;"N/A just.: "&amp;Checks!$AC$266)&amp;IF(OR(Checks!$W$266&lt;&gt;"",AND(Checks!$AQ$266=1,NOT(LEFT(Checks!$AH$266,10)="N/A – RULE"))),CHAR(10)&amp;"Batch: "&amp;IF(Checks!$W$266="","____________",Checks!$W$266),"")&amp;IF(OR(Checks!$X$266&lt;&gt;"",Checks!$Y$266&lt;&gt;"",AND(Checks!$AR$266=1,NOT(LEFT(Checks!$AH$266,10)="N/A – RULE"))),CHAR(10)&amp;"Exp: "&amp;IF(Checks!$X$266="","______",Checks!$X$266)&amp;"  /  Act: "&amp;IF(Checks!$Y$266="","______",Checks!$Y$266),"")</f>
        <v/>
      </c>
      <c r="F27" s="120" t="str">
        <f aca="false">IF(AND(LEFT(Checks!$AH$266,10)="N/A – RULE",TRIM(Checks!$S$266&amp;Checks!$Z$266)=""),"","Type: "&amp;IF(TRIM(Checks!$S$266)="","______________ (see cover list)",Checks!$S$266)&amp;CHAR(10)&amp;"ID: "&amp;IF(TRIM(Checks!$Z$266)="","______________ (record's own no.)",Checks!$Z$266))&amp;IF(Checks!$AA$266="","",CHAR(10)&amp;"CA: "&amp;Checks!$AA$266)</f>
        <v>Type: ______________ (see cover list)
ID: ______________ (record's own no.)</v>
      </c>
      <c r="G27" s="120" t="str">
        <f aca="false">IF(AND(LEFT(Checks!$AH$266,10)="N/A – RULE",NOT(ISNUMBER(Checks!$AD$266)),Checks!$AE$266="",Checks!$T$266=""),"","Done: "&amp;IF(ISNUMBER(Checks!$AD$266),TEXT(Checks!$AD$266,"DD-MMM-YY HH:MM"),"____________")&amp;" "&amp;Checks!$P$266&amp;CHAR(10)&amp;"Verifier: "&amp;IF(Checks!$AE$266="","____________",Checks!$AE$266)&amp;CHAR(10)&amp;"PIC: "&amp;IF(Checks!$T$266="","____________",Checks!$T$266))</f>
        <v>Done: ____________ KUL
Verifier: ____________
PIC: ____________</v>
      </c>
      <c r="H27" s="121" t="str">
        <f aca="false">IF(Checks!$AH$266="","",Checks!$AH$266)</f>
        <v>OPEN</v>
      </c>
    </row>
    <row r="28" customFormat="false" ht="114" hidden="false" customHeight="true" outlineLevel="0" collapsed="false">
      <c r="A28" s="120" t="str">
        <f aca="false">Checks!$A$267&amp;CHAR(10)&amp;IF(Checks!$I$267="","",Checks!$I$267&amp;": ")&amp;Checks!$J$267</f>
        <v>F08-T7-06
ISOP: Caterer acknowledgement of ISOP revisions recorded</v>
      </c>
      <c r="B28" s="120" t="str">
        <f aca="false">Checks!$K$267&amp;IF(Checks!$O$267="","",IF(Checks!$K$267="","",CHAR(10))&amp;"Note: "&amp;Checks!$O$267)</f>
        <v>Record acknowledgement ref in Evidence</v>
      </c>
      <c r="C28" s="120" t="str">
        <f aca="false">Checks!$N$267&amp;CHAR(10)&amp;IF(ISNUMBER(Checks!$R$267),TEXT(Checks!$R$267,"DD-MMM-YY HH:MM"),"")&amp;" "&amp;Checks!$P$267</f>
        <v>Required
03-Oct-26 09:35 KUL</v>
      </c>
      <c r="D28" s="120" t="str">
        <f aca="false">IF(TRIM(Checks!$U$267)&lt;&gt;"",Checks!$U$267&amp;IF(Checks!$AB$267="","",CHAR(10)&amp;"CA: "&amp;Checks!$AB$267),IF(LEFT(Checks!$AH$267,10)="N/A – RULE","","[ ] Pass"&amp;CHAR(10)&amp;"[ ] Pass after CA"&amp;CHAR(10)&amp;"[ ] Fail"&amp;IF(Checks!$AT$267=1,CHAR(10)&amp;"[ ] N/A","")&amp;CHAR(10)&amp;"CA: Open / Closed"))</f>
        <v>[ ] Pass
[ ] Pass after CA
[ ] Fail
CA: Open / Closed</v>
      </c>
      <c r="E28" s="120" t="str">
        <f aca="false">IF(Checks!$V$267="","",Checks!$V$267)&amp;IF(Checks!$AC$267="","",IF(Checks!$V$267="","",CHAR(10))&amp;"N/A just.: "&amp;Checks!$AC$267)&amp;IF(OR(Checks!$W$267&lt;&gt;"",AND(Checks!$AQ$267=1,NOT(LEFT(Checks!$AH$267,10)="N/A – RULE"))),CHAR(10)&amp;"Batch: "&amp;IF(Checks!$W$267="","____________",Checks!$W$267),"")&amp;IF(OR(Checks!$X$267&lt;&gt;"",Checks!$Y$267&lt;&gt;"",AND(Checks!$AR$267=1,NOT(LEFT(Checks!$AH$267,10)="N/A – RULE"))),CHAR(10)&amp;"Exp: "&amp;IF(Checks!$X$267="","______",Checks!$X$267)&amp;"  /  Act: "&amp;IF(Checks!$Y$267="","______",Checks!$Y$267),"")</f>
        <v/>
      </c>
      <c r="F28" s="120" t="str">
        <f aca="false">IF(AND(LEFT(Checks!$AH$267,10)="N/A – RULE",TRIM(Checks!$S$267&amp;Checks!$Z$267)=""),"","Type: "&amp;IF(TRIM(Checks!$S$267)="","______________ (see cover list)",Checks!$S$267)&amp;CHAR(10)&amp;"ID: "&amp;IF(TRIM(Checks!$Z$267)="","______________ (record's own no.)",Checks!$Z$267))&amp;IF(Checks!$AA$267="","",CHAR(10)&amp;"CA: "&amp;Checks!$AA$267)</f>
        <v>Type: ______________ (see cover list)
ID: ______________ (record's own no.)</v>
      </c>
      <c r="G28" s="120" t="str">
        <f aca="false">IF(AND(LEFT(Checks!$AH$267,10)="N/A – RULE",NOT(ISNUMBER(Checks!$AD$267)),Checks!$AE$267="",Checks!$T$267=""),"","Done: "&amp;IF(ISNUMBER(Checks!$AD$267),TEXT(Checks!$AD$267,"DD-MMM-YY HH:MM"),"____________")&amp;" "&amp;Checks!$P$267&amp;CHAR(10)&amp;"Verifier: "&amp;IF(Checks!$AE$267="","____________",Checks!$AE$267)&amp;CHAR(10)&amp;"PIC: "&amp;IF(Checks!$T$267="","____________",Checks!$T$267))</f>
        <v>Done: ____________ KUL
Verifier: ____________
PIC: ____________</v>
      </c>
      <c r="H28" s="121" t="str">
        <f aca="false">IF(Checks!$AH$267="","",Checks!$AH$267)</f>
        <v>OPEN</v>
      </c>
    </row>
    <row r="29" customFormat="false" ht="114" hidden="false" customHeight="true" outlineLevel="0" collapsed="false">
      <c r="A29" s="120" t="str">
        <f aca="false">Checks!$A$268&amp;CHAR(10)&amp;IF(Checks!$I$268="","",Checks!$I$268&amp;": ")&amp;Checks!$J$268</f>
        <v>F08-T7-07
Documents: Galley loading diagram (GLD) received, revision recorded &amp; attached</v>
      </c>
      <c r="B29" s="120" t="str">
        <f aca="false">SUBSTITUTE(Checks!$K$268&amp;IF(Checks!$O$268="","",IF(Checks!$K$268="","",CHAR(10))&amp;"Note: "&amp;Checks!$O$268),"Documents sheet row complete","Recorded on the Documents sheet; copy stapled as A1 / A2")</f>
        <v>Recorded on the Documents sheet; copy stapled as A1 / A2</v>
      </c>
      <c r="C29" s="120" t="str">
        <f aca="false">Checks!$N$268&amp;CHAR(10)&amp;IF(ISNUMBER(Checks!$R$268),TEXT(Checks!$R$268,"DD-MMM-YY HH:MM"),"")&amp;" "&amp;Checks!$P$268</f>
        <v>Required
03-Oct-26 09:35 KUL</v>
      </c>
      <c r="D29" s="120" t="str">
        <f aca="false">IF(TRIM(Checks!$U$268)&lt;&gt;"",Checks!$U$268&amp;IF(Checks!$AB$268="","",CHAR(10)&amp;"CA: "&amp;Checks!$AB$268),IF(LEFT(Checks!$AH$268,10)="N/A – RULE","","[ ] Pass"&amp;CHAR(10)&amp;"[ ] Pass after CA"&amp;CHAR(10)&amp;"[ ] Fail"&amp;IF(Checks!$AT$268=1,CHAR(10)&amp;"[ ] N/A","")&amp;CHAR(10)&amp;"CA: Open / Closed"))</f>
        <v>[ ] Pass
[ ] Pass after CA
[ ] Fail
CA: Open / Closed</v>
      </c>
      <c r="E29" s="120" t="str">
        <f aca="false">IF(Checks!$V$268="","",Checks!$V$268)&amp;IF(Checks!$AC$268="","",IF(Checks!$V$268="","",CHAR(10))&amp;"N/A just.: "&amp;Checks!$AC$268)&amp;IF(OR(Checks!$W$268&lt;&gt;"",AND(Checks!$AQ$268=1,NOT(LEFT(Checks!$AH$268,10)="N/A – RULE"))),CHAR(10)&amp;"Batch: "&amp;IF(Checks!$W$268="","____________",Checks!$W$268),"")&amp;IF(OR(Checks!$X$268&lt;&gt;"",Checks!$Y$268&lt;&gt;"",AND(Checks!$AR$268=1,NOT(LEFT(Checks!$AH$268,10)="N/A – RULE"))),CHAR(10)&amp;"Exp: "&amp;IF(Checks!$X$268="","______",Checks!$X$268)&amp;"  /  Act: "&amp;IF(Checks!$Y$268="","______",Checks!$Y$268),"")</f>
        <v/>
      </c>
      <c r="F29" s="120" t="str">
        <f aca="false">IF(AND(LEFT(Checks!$AH$268,10)="N/A – RULE",TRIM(Checks!$S$268&amp;Checks!$Z$268)=""),"","Type: "&amp;IF(TRIM(Checks!$S$268)="","______________ (see cover list)",Checks!$S$268)&amp;CHAR(10)&amp;"ID: "&amp;IF(TRIM(Checks!$Z$268)="","______________ (record's own no.)",Checks!$Z$268))&amp;IF(Checks!$AA$268="","",CHAR(10)&amp;"CA: "&amp;Checks!$AA$268)</f>
        <v>Type: ______________ (see cover list)
ID: ______________ (record's own no.)</v>
      </c>
      <c r="G29" s="120" t="str">
        <f aca="false">IF(AND(LEFT(Checks!$AH$268,10)="N/A – RULE",NOT(ISNUMBER(Checks!$AD$268)),Checks!$AE$268="",Checks!$T$268=""),"","Done: "&amp;IF(ISNUMBER(Checks!$AD$268),TEXT(Checks!$AD$268,"DD-MMM-YY HH:MM"),"____________")&amp;" "&amp;Checks!$P$268&amp;CHAR(10)&amp;"Verifier: "&amp;IF(Checks!$AE$268="","____________",Checks!$AE$268)&amp;CHAR(10)&amp;"PIC: "&amp;IF(Checks!$T$268="","____________",Checks!$T$268))</f>
        <v>Done: ____________ KUL
Verifier: ____________
PIC: ____________</v>
      </c>
      <c r="H29" s="121" t="str">
        <f aca="false">IF(Checks!$AH$268="","",Checks!$AH$268)</f>
        <v>OPEN</v>
      </c>
    </row>
    <row r="30" customFormat="false" ht="114" hidden="false" customHeight="true" outlineLevel="0" collapsed="false">
      <c r="A30" s="120" t="str">
        <f aca="false">Checks!$A$269&amp;CHAR(10)&amp;IF(Checks!$I$269="","",Checks!$I$269&amp;": ")&amp;Checks!$J$269</f>
        <v>F08-T7-08
Documents: Menu checklist received, revision recorded &amp; attached</v>
      </c>
      <c r="B30" s="120" t="str">
        <f aca="false">SUBSTITUTE(Checks!$K$269&amp;IF(Checks!$O$269="","",IF(Checks!$K$269="","",CHAR(10))&amp;"Note: "&amp;Checks!$O$269),"Documents sheet row complete","Recorded on the Documents sheet; copy stapled as A1 / A2")</f>
        <v>Recorded on the Documents sheet; copy stapled as A1 / A2</v>
      </c>
      <c r="C30" s="120" t="str">
        <f aca="false">Checks!$N$269&amp;CHAR(10)&amp;IF(ISNUMBER(Checks!$R$269),TEXT(Checks!$R$269,"DD-MMM-YY HH:MM"),"")&amp;" "&amp;Checks!$P$269</f>
        <v>Required
03-Oct-26 09:35 KUL</v>
      </c>
      <c r="D30" s="120" t="str">
        <f aca="false">IF(TRIM(Checks!$U$269)&lt;&gt;"",Checks!$U$269&amp;IF(Checks!$AB$269="","",CHAR(10)&amp;"CA: "&amp;Checks!$AB$269),IF(LEFT(Checks!$AH$269,10)="N/A – RULE","","[ ] Pass"&amp;CHAR(10)&amp;"[ ] Pass after CA"&amp;CHAR(10)&amp;"[ ] Fail"&amp;IF(Checks!$AT$269=1,CHAR(10)&amp;"[ ] N/A","")&amp;CHAR(10)&amp;"CA: Open / Closed"))</f>
        <v>[ ] Pass
[ ] Pass after CA
[ ] Fail
CA: Open / Closed</v>
      </c>
      <c r="E30" s="120" t="str">
        <f aca="false">IF(Checks!$V$269="","",Checks!$V$269)&amp;IF(Checks!$AC$269="","",IF(Checks!$V$269="","",CHAR(10))&amp;"N/A just.: "&amp;Checks!$AC$269)&amp;IF(OR(Checks!$W$269&lt;&gt;"",AND(Checks!$AQ$269=1,NOT(LEFT(Checks!$AH$269,10)="N/A – RULE"))),CHAR(10)&amp;"Batch: "&amp;IF(Checks!$W$269="","____________",Checks!$W$269),"")&amp;IF(OR(Checks!$X$269&lt;&gt;"",Checks!$Y$269&lt;&gt;"",AND(Checks!$AR$269=1,NOT(LEFT(Checks!$AH$269,10)="N/A – RULE"))),CHAR(10)&amp;"Exp: "&amp;IF(Checks!$X$269="","______",Checks!$X$269)&amp;"  /  Act: "&amp;IF(Checks!$Y$269="","______",Checks!$Y$269),"")</f>
        <v/>
      </c>
      <c r="F30" s="120" t="str">
        <f aca="false">IF(AND(LEFT(Checks!$AH$269,10)="N/A – RULE",TRIM(Checks!$S$269&amp;Checks!$Z$269)=""),"","Type: "&amp;IF(TRIM(Checks!$S$269)="","______________ (see cover list)",Checks!$S$269)&amp;CHAR(10)&amp;"ID: "&amp;IF(TRIM(Checks!$Z$269)="","______________ (record's own no.)",Checks!$Z$269))&amp;IF(Checks!$AA$269="","",CHAR(10)&amp;"CA: "&amp;Checks!$AA$269)</f>
        <v>Type: ______________ (see cover list)
ID: ______________ (record's own no.)</v>
      </c>
      <c r="G30" s="120" t="str">
        <f aca="false">IF(AND(LEFT(Checks!$AH$269,10)="N/A – RULE",NOT(ISNUMBER(Checks!$AD$269)),Checks!$AE$269="",Checks!$T$269=""),"","Done: "&amp;IF(ISNUMBER(Checks!$AD$269),TEXT(Checks!$AD$269,"DD-MMM-YY HH:MM"),"____________")&amp;" "&amp;Checks!$P$269&amp;CHAR(10)&amp;"Verifier: "&amp;IF(Checks!$AE$269="","____________",Checks!$AE$269)&amp;CHAR(10)&amp;"PIC: "&amp;IF(Checks!$T$269="","____________",Checks!$T$269))</f>
        <v>Done: ____________ KUL
Verifier: ____________
PIC: ____________</v>
      </c>
      <c r="H30" s="121" t="str">
        <f aca="false">IF(Checks!$AH$269="","",Checks!$AH$269)</f>
        <v>OPEN</v>
      </c>
    </row>
    <row r="31" customFormat="false" ht="114" hidden="false" customHeight="true" outlineLevel="0" collapsed="false">
      <c r="A31" s="120" t="str">
        <f aca="false">Checks!$A$270&amp;CHAR(10)&amp;IF(Checks!$I$270="","",Checks!$I$270&amp;": ")&amp;Checks!$J$270</f>
        <v>F08-T7-09
Uplift plan: Uplift plan confirmed with caterer vs STD Uplift Information</v>
      </c>
      <c r="B31" s="120" t="str">
        <f aca="false">Checks!$K$270&amp;IF(Checks!$O$270="","",IF(Checks!$K$270="","",CHAR(10))&amp;"Note: "&amp;Checks!$O$270)</f>
        <v>Service: 1 Meal (Meal); meal uplift stn KUL (ref lists KUL/HAN)</v>
      </c>
      <c r="C31" s="120" t="str">
        <f aca="false">Checks!$N$270&amp;CHAR(10)&amp;IF(ISNUMBER(Checks!$R$270),TEXT(Checks!$R$270,"DD-MMM-YY HH:MM"),"")&amp;" "&amp;Checks!$P$270</f>
        <v>Required
03-Oct-26 09:35 KUL</v>
      </c>
      <c r="D31" s="120" t="str">
        <f aca="false">IF(TRIM(Checks!$U$270)&lt;&gt;"",Checks!$U$270&amp;IF(Checks!$AB$270="","",CHAR(10)&amp;"CA: "&amp;Checks!$AB$270),IF(LEFT(Checks!$AH$270,10)="N/A – RULE","","[ ] Pass"&amp;CHAR(10)&amp;"[ ] Pass after CA"&amp;CHAR(10)&amp;"[ ] Fail"&amp;IF(Checks!$AT$270=1,CHAR(10)&amp;"[ ] N/A","")&amp;CHAR(10)&amp;"CA: Open / Closed"))</f>
        <v>[ ] Pass
[ ] Pass after CA
[ ] Fail
CA: Open / Closed</v>
      </c>
      <c r="E31" s="120" t="str">
        <f aca="false">IF(Checks!$V$270="","",Checks!$V$270)&amp;IF(Checks!$AC$270="","",IF(Checks!$V$270="","",CHAR(10))&amp;"N/A just.: "&amp;Checks!$AC$270)&amp;IF(OR(Checks!$W$270&lt;&gt;"",AND(Checks!$AQ$270=1,NOT(LEFT(Checks!$AH$270,10)="N/A – RULE"))),CHAR(10)&amp;"Batch: "&amp;IF(Checks!$W$270="","____________",Checks!$W$270),"")&amp;IF(OR(Checks!$X$270&lt;&gt;"",Checks!$Y$270&lt;&gt;"",AND(Checks!$AR$270=1,NOT(LEFT(Checks!$AH$270,10)="N/A – RULE"))),CHAR(10)&amp;"Exp: "&amp;IF(Checks!$X$270="","______",Checks!$X$270)&amp;"  /  Act: "&amp;IF(Checks!$Y$270="","______",Checks!$Y$270),"")</f>
        <v/>
      </c>
      <c r="F31" s="120" t="str">
        <f aca="false">IF(AND(LEFT(Checks!$AH$270,10)="N/A – RULE",TRIM(Checks!$S$270&amp;Checks!$Z$270)=""),"","Type: "&amp;IF(TRIM(Checks!$S$270)="","______________ (see cover list)",Checks!$S$270)&amp;CHAR(10)&amp;"ID: "&amp;IF(TRIM(Checks!$Z$270)="","______________ (record's own no.)",Checks!$Z$270))&amp;IF(Checks!$AA$270="","",CHAR(10)&amp;"CA: "&amp;Checks!$AA$270)</f>
        <v>Type: ______________ (see cover list)
ID: ______________ (record's own no.)</v>
      </c>
      <c r="G31" s="120" t="str">
        <f aca="false">IF(AND(LEFT(Checks!$AH$270,10)="N/A – RULE",NOT(ISNUMBER(Checks!$AD$270)),Checks!$AE$270="",Checks!$T$270=""),"","Done: "&amp;IF(ISNUMBER(Checks!$AD$270),TEXT(Checks!$AD$270,"DD-MMM-YY HH:MM"),"____________")&amp;" "&amp;Checks!$P$270&amp;CHAR(10)&amp;"Verifier: "&amp;IF(Checks!$AE$270="","____________",Checks!$AE$270)&amp;CHAR(10)&amp;"PIC: "&amp;IF(Checks!$T$270="","____________",Checks!$T$270))</f>
        <v>Done: ____________ KUL
Verifier: ____________
PIC: ____________</v>
      </c>
      <c r="H31" s="121" t="str">
        <f aca="false">IF(Checks!$AH$270="","",Checks!$AH$270)</f>
        <v>OPEN</v>
      </c>
    </row>
    <row r="32" customFormat="false" ht="25.5" hidden="false" customHeight="true" outlineLevel="0" collapsed="false">
      <c r="A32" s="119" t="str">
        <f aca="false">"T-24H — Production batch sensory  |  Due "&amp;IF(ISNUMBER(Flights!$AH$12),TEXT(Flights!$AH$12,"DD-MMM-YY HH:MM"),"")&amp;" "&amp;Flights!$V$12&amp;" (meal uplift stn)"&amp;" (rows with another due show their own)  |  Complete "&amp;IF(ISNUMBER(Flights!$AK$12),TEXT(Flights!$AK$12,"0%"),Flights!$AK$12)&amp;"  |  1 lines"</f>
        <v>T-24H — Production batch sensory  |  Due 09-Oct-26 09:35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Checks!$A$271&amp;CHAR(10)&amp;IF(Checks!$I$271="","",Checks!$I$271&amp;": ")&amp;Checks!$J$271</f>
        <v>F08-T24-01
Meal: Sensory test repeated on ACTUAL production batch for this flight</v>
      </c>
      <c r="B33" s="120" t="str">
        <f aca="false">Checks!$K$271&amp;IF(Checks!$O$271="","",IF(Checks!$K$271="","",CHAR(10))&amp;"Note: "&amp;Checks!$O$271)</f>
        <v>Batch ID, result, CA and acceptance mandatory</v>
      </c>
      <c r="C33" s="120" t="str">
        <f aca="false">Checks!$N$271&amp;CHAR(10)&amp;IF(ISNUMBER(Checks!$R$271),TEXT(Checks!$R$271,"DD-MMM-YY HH:MM"),"")&amp;" "&amp;Checks!$P$271</f>
        <v>Required
09-Oct-26 09:35 KUL</v>
      </c>
      <c r="D33" s="120" t="str">
        <f aca="false">IF(TRIM(Checks!$U$271)&lt;&gt;"",Checks!$U$271&amp;IF(Checks!$AB$271="","",CHAR(10)&amp;"CA: "&amp;Checks!$AB$271),IF(LEFT(Checks!$AH$271,10)="N/A – RULE","","[ ] Pass"&amp;CHAR(10)&amp;"[ ] Pass after CA"&amp;CHAR(10)&amp;"[ ] Fail"&amp;IF(Checks!$AT$271=1,CHAR(10)&amp;"[ ] N/A","")&amp;CHAR(10)&amp;"CA: Open / Closed"))</f>
        <v>[ ] Pass
[ ] Pass after CA
[ ] Fail
CA: Open / Closed</v>
      </c>
      <c r="E33" s="120" t="str">
        <f aca="false">IF(Checks!$V$271="","",Checks!$V$271)&amp;IF(Checks!$AC$271="","",IF(Checks!$V$271="","",CHAR(10))&amp;"N/A just.: "&amp;Checks!$AC$271)&amp;IF(OR(Checks!$W$271&lt;&gt;"",AND(Checks!$AQ$271=1,NOT(LEFT(Checks!$AH$271,10)="N/A – RULE"))),CHAR(10)&amp;"Batch: "&amp;IF(Checks!$W$271="","____________",Checks!$W$271),"")&amp;IF(OR(Checks!$X$271&lt;&gt;"",Checks!$Y$271&lt;&gt;"",AND(Checks!$AR$271=1,NOT(LEFT(Checks!$AH$271,10)="N/A – RULE"))),CHAR(10)&amp;"Exp: "&amp;IF(Checks!$X$271="","______",Checks!$X$271)&amp;"  /  Act: "&amp;IF(Checks!$Y$271="","______",Checks!$Y$271),"")</f>
        <v>
Batch: ____________</v>
      </c>
      <c r="F33" s="120" t="str">
        <f aca="false">IF(AND(LEFT(Checks!$AH$271,10)="N/A – RULE",TRIM(Checks!$S$271&amp;Checks!$Z$271)=""),"","Type: "&amp;IF(TRIM(Checks!$S$271)="","______________ (see cover list)",Checks!$S$271)&amp;CHAR(10)&amp;"ID: "&amp;IF(TRIM(Checks!$Z$271)="","______________ (record's own no.)",Checks!$Z$271))&amp;IF(Checks!$AA$271="","",CHAR(10)&amp;"CA: "&amp;Checks!$AA$271)</f>
        <v>Type: ______________ (see cover list)
ID: ______________ (record's own no.)</v>
      </c>
      <c r="G33" s="120" t="str">
        <f aca="false">IF(AND(LEFT(Checks!$AH$271,10)="N/A – RULE",NOT(ISNUMBER(Checks!$AD$271)),Checks!$AE$271="",Checks!$T$271=""),"","Done: "&amp;IF(ISNUMBER(Checks!$AD$271),TEXT(Checks!$AD$271,"DD-MMM-YY HH:MM"),"____________")&amp;" "&amp;Checks!$P$271&amp;CHAR(10)&amp;"Verifier: "&amp;IF(Checks!$AE$271="","____________",Checks!$AE$271)&amp;CHAR(10)&amp;"PIC: "&amp;IF(Checks!$T$271="","____________",Checks!$T$271))</f>
        <v>Done: ____________ KUL
Verifier: ____________
PIC: ____________</v>
      </c>
      <c r="H33" s="121" t="str">
        <f aca="false">IF(Checks!$AH$271="","",Checks!$AH$271)</f>
        <v>OPEN</v>
      </c>
    </row>
    <row r="34" customFormat="false" ht="25.5" hidden="false" customHeight="true" outlineLevel="0" collapsed="false">
      <c r="A34" s="119" t="str">
        <f aca="false">"T-12H PREP — Preparation check at caterer (does NOT confirm loading)  |  Due "&amp;IF(ISNUMBER(Flights!$AI$12),TEXT(Flights!$AI$12,"DD-MMM-YY HH:MM"),"")&amp;" "&amp;Flights!$V$12&amp;" (meal uplift stn)"&amp;" (rows with another due show their own)  |  Complete "&amp;IF(ISNUMBER(Flights!$AL$12),TEXT(Flights!$AL$12,"0%"),Flights!$AL$12)&amp;"  |  8 lines"</f>
        <v>T-12H PREP — Preparation check at caterer (does NOT confirm loading)  |  Due 09-Oct-26 21:35 KUL (meal uplift stn) (rows with another due show their own)  |  Complete 0%  |  8 lines</v>
      </c>
      <c r="B34" s="119"/>
      <c r="C34" s="119"/>
      <c r="D34" s="119"/>
      <c r="E34" s="119"/>
      <c r="F34" s="119"/>
      <c r="G34" s="119"/>
      <c r="H34" s="119"/>
    </row>
    <row r="35" customFormat="false" ht="114" hidden="false" customHeight="true" outlineLevel="0" collapsed="false">
      <c r="A35" s="120" t="str">
        <f aca="false">Checks!$A$272&amp;CHAR(10)&amp;IF(Checks!$I$272="","",Checks!$I$272&amp;": ")&amp;Checks!$J$272</f>
        <v>F08-T12-01
Meal: Meal quality vs menu checklist</v>
      </c>
      <c r="B35" s="120" t="str">
        <f aca="false">Checks!$K$272&amp;IF(Checks!$O$272="","",IF(Checks!$K$272="","",CHAR(10))&amp;"Note: "&amp;Checks!$O$272)</f>
        <v>Note: Preparation check at caterer - does NOT confirm loading.</v>
      </c>
      <c r="C35" s="120" t="str">
        <f aca="false">Checks!$N$272&amp;CHAR(10)&amp;IF(ISNUMBER(Checks!$R$272),TEXT(Checks!$R$272,"DD-MMM-YY HH:MM"),"")&amp;" "&amp;Checks!$P$272</f>
        <v>Required
09-Oct-26 21:35 KUL</v>
      </c>
      <c r="D35" s="120" t="str">
        <f aca="false">IF(TRIM(Checks!$U$272)&lt;&gt;"",Checks!$U$272&amp;IF(Checks!$AB$272="","",CHAR(10)&amp;"CA: "&amp;Checks!$AB$272),IF(LEFT(Checks!$AH$272,10)="N/A – RULE","","[ ] Pass"&amp;CHAR(10)&amp;"[ ] Pass after CA"&amp;CHAR(10)&amp;"[ ] Fail"&amp;IF(Checks!$AT$272=1,CHAR(10)&amp;"[ ] N/A","")&amp;CHAR(10)&amp;"CA: Open / Closed"))</f>
        <v>[ ] Pass
[ ] Pass after CA
[ ] Fail
CA: Open / Closed</v>
      </c>
      <c r="E35" s="120" t="str">
        <f aca="false">IF(Checks!$V$272="","",Checks!$V$272)&amp;IF(Checks!$AC$272="","",IF(Checks!$V$272="","",CHAR(10))&amp;"N/A just.: "&amp;Checks!$AC$272)&amp;IF(OR(Checks!$W$272&lt;&gt;"",AND(Checks!$AQ$272=1,NOT(LEFT(Checks!$AH$272,10)="N/A – RULE"))),CHAR(10)&amp;"Batch: "&amp;IF(Checks!$W$272="","____________",Checks!$W$272),"")&amp;IF(OR(Checks!$X$272&lt;&gt;"",Checks!$Y$272&lt;&gt;"",AND(Checks!$AR$272=1,NOT(LEFT(Checks!$AH$272,10)="N/A – RULE"))),CHAR(10)&amp;"Exp: "&amp;IF(Checks!$X$272="","______",Checks!$X$272)&amp;"  /  Act: "&amp;IF(Checks!$Y$272="","______",Checks!$Y$272),"")</f>
        <v/>
      </c>
      <c r="F35" s="120" t="str">
        <f aca="false">IF(AND(LEFT(Checks!$AH$272,10)="N/A – RULE",TRIM(Checks!$S$272&amp;Checks!$Z$272)=""),"","Type: "&amp;IF(TRIM(Checks!$S$272)="","______________ (see cover list)",Checks!$S$272)&amp;CHAR(10)&amp;"ID: "&amp;IF(TRIM(Checks!$Z$272)="","______________ (record's own no.)",Checks!$Z$272))&amp;IF(Checks!$AA$272="","",CHAR(10)&amp;"CA: "&amp;Checks!$AA$272)</f>
        <v>Type: ______________ (see cover list)
ID: ______________ (record's own no.)</v>
      </c>
      <c r="G35" s="120" t="str">
        <f aca="false">IF(AND(LEFT(Checks!$AH$272,10)="N/A – RULE",NOT(ISNUMBER(Checks!$AD$272)),Checks!$AE$272="",Checks!$T$272=""),"","Done: "&amp;IF(ISNUMBER(Checks!$AD$272),TEXT(Checks!$AD$272,"DD-MMM-YY HH:MM"),"____________")&amp;" "&amp;Checks!$P$272&amp;CHAR(10)&amp;"Verifier: "&amp;IF(Checks!$AE$272="","____________",Checks!$AE$272)&amp;CHAR(10)&amp;"PIC: "&amp;IF(Checks!$T$272="","____________",Checks!$T$272))</f>
        <v>Done: ____________ KUL
Verifier: ____________
PIC: ____________</v>
      </c>
      <c r="H35" s="121" t="str">
        <f aca="false">IF(Checks!$AH$272="","",Checks!$AH$272)</f>
        <v>OPEN</v>
      </c>
    </row>
    <row r="36" customFormat="false" ht="114" hidden="false" customHeight="true" outlineLevel="0" collapsed="false">
      <c r="A36" s="120" t="str">
        <f aca="false">Checks!$A$273&amp;CHAR(10)&amp;IF(Checks!$I$273="","",Checks!$I$273&amp;": ")&amp;Checks!$J$273</f>
        <v>F08-T12-02
Meal: Meal quantities vs menu checklist</v>
      </c>
      <c r="B36" s="120" t="str">
        <f aca="false">Checks!$K$273&amp;IF(Checks!$O$273="","",IF(Checks!$K$273="","",CHAR(10))&amp;"Note: "&amp;Checks!$O$273)</f>
        <v>Enter expected &amp; actual
Note: Preparation check at caterer - does NOT confirm loading.</v>
      </c>
      <c r="C36" s="120" t="str">
        <f aca="false">Checks!$N$273&amp;CHAR(10)&amp;IF(ISNUMBER(Checks!$R$273),TEXT(Checks!$R$273,"DD-MMM-YY HH:MM"),"")&amp;" "&amp;Checks!$P$273</f>
        <v>Required
09-Oct-26 21:35 KUL</v>
      </c>
      <c r="D36" s="120" t="str">
        <f aca="false">IF(TRIM(Checks!$U$273)&lt;&gt;"",Checks!$U$273&amp;IF(Checks!$AB$273="","",CHAR(10)&amp;"CA: "&amp;Checks!$AB$273),IF(LEFT(Checks!$AH$273,10)="N/A – RULE","","[ ] Pass"&amp;CHAR(10)&amp;"[ ] Pass after CA"&amp;CHAR(10)&amp;"[ ] Fail"&amp;IF(Checks!$AT$273=1,CHAR(10)&amp;"[ ] N/A","")&amp;CHAR(10)&amp;"CA: Open / Closed"))</f>
        <v>[ ] Pass
[ ] Pass after CA
[ ] Fail
CA: Open / Closed</v>
      </c>
      <c r="E36" s="120" t="str">
        <f aca="false">IF(Checks!$V$273="","",Checks!$V$273)&amp;IF(Checks!$AC$273="","",IF(Checks!$V$273="","",CHAR(10))&amp;"N/A just.: "&amp;Checks!$AC$273)&amp;IF(OR(Checks!$W$273&lt;&gt;"",AND(Checks!$AQ$273=1,NOT(LEFT(Checks!$AH$273,10)="N/A – RULE"))),CHAR(10)&amp;"Batch: "&amp;IF(Checks!$W$273="","____________",Checks!$W$273),"")&amp;IF(OR(Checks!$X$273&lt;&gt;"",Checks!$Y$273&lt;&gt;"",AND(Checks!$AR$273=1,NOT(LEFT(Checks!$AH$273,10)="N/A – RULE"))),CHAR(10)&amp;"Exp: "&amp;IF(Checks!$X$273="","______",Checks!$X$273)&amp;"  /  Act: "&amp;IF(Checks!$Y$273="","______",Checks!$Y$273),"")</f>
        <v>
Exp: ______  /  Act: ______</v>
      </c>
      <c r="F36" s="120" t="str">
        <f aca="false">IF(AND(LEFT(Checks!$AH$273,10)="N/A – RULE",TRIM(Checks!$S$273&amp;Checks!$Z$273)=""),"","Type: "&amp;IF(TRIM(Checks!$S$273)="","______________ (see cover list)",Checks!$S$273)&amp;CHAR(10)&amp;"ID: "&amp;IF(TRIM(Checks!$Z$273)="","______________ (record's own no.)",Checks!$Z$273))&amp;IF(Checks!$AA$273="","",CHAR(10)&amp;"CA: "&amp;Checks!$AA$273)</f>
        <v>Type: ______________ (see cover list)
ID: ______________ (record's own no.)</v>
      </c>
      <c r="G36" s="120" t="str">
        <f aca="false">IF(AND(LEFT(Checks!$AH$273,10)="N/A – RULE",NOT(ISNUMBER(Checks!$AD$273)),Checks!$AE$273="",Checks!$T$273=""),"","Done: "&amp;IF(ISNUMBER(Checks!$AD$273),TEXT(Checks!$AD$273,"DD-MMM-YY HH:MM"),"____________")&amp;" "&amp;Checks!$P$273&amp;CHAR(10)&amp;"Verifier: "&amp;IF(Checks!$AE$273="","____________",Checks!$AE$273)&amp;CHAR(10)&amp;"PIC: "&amp;IF(Checks!$T$273="","____________",Checks!$T$273))</f>
        <v>Done: ____________ KUL
Verifier: ____________
PIC: ____________</v>
      </c>
      <c r="H36" s="121" t="str">
        <f aca="false">IF(Checks!$AH$273="","",Checks!$AH$273)</f>
        <v>OPEN</v>
      </c>
    </row>
    <row r="37" customFormat="false" ht="114" hidden="false" customHeight="true" outlineLevel="0" collapsed="false">
      <c r="A37" s="120" t="str">
        <f aca="false">Checks!$A$274&amp;CHAR(10)&amp;IF(Checks!$I$274="","",Checks!$I$274&amp;": ")&amp;Checks!$J$274</f>
        <v>F08-T12-03
Equipment: Equipment cleanliness vs GLD</v>
      </c>
      <c r="B37" s="120" t="str">
        <f aca="false">Checks!$K$274&amp;IF(Checks!$O$274="","",IF(Checks!$K$274="","",CHAR(10))&amp;"Note: "&amp;Checks!$O$274)</f>
        <v>Note: Preparation check at caterer - does NOT confirm loading.</v>
      </c>
      <c r="C37" s="120" t="str">
        <f aca="false">Checks!$N$274&amp;CHAR(10)&amp;IF(ISNUMBER(Checks!$R$274),TEXT(Checks!$R$274,"DD-MMM-YY HH:MM"),"")&amp;" "&amp;Checks!$P$274</f>
        <v>Required
09-Oct-26 21:35 KUL</v>
      </c>
      <c r="D37" s="120" t="str">
        <f aca="false">IF(TRIM(Checks!$U$274)&lt;&gt;"",Checks!$U$274&amp;IF(Checks!$AB$274="","",CHAR(10)&amp;"CA: "&amp;Checks!$AB$274),IF(LEFT(Checks!$AH$274,10)="N/A – RULE","","[ ] Pass"&amp;CHAR(10)&amp;"[ ] Pass after CA"&amp;CHAR(10)&amp;"[ ] Fail"&amp;IF(Checks!$AT$274=1,CHAR(10)&amp;"[ ] N/A","")&amp;CHAR(10)&amp;"CA: Open / Closed"))</f>
        <v>[ ] Pass
[ ] Pass after CA
[ ] Fail
CA: Open / Closed</v>
      </c>
      <c r="E37" s="120" t="str">
        <f aca="false">IF(Checks!$V$274="","",Checks!$V$274)&amp;IF(Checks!$AC$274="","",IF(Checks!$V$274="","",CHAR(10))&amp;"N/A just.: "&amp;Checks!$AC$274)&amp;IF(OR(Checks!$W$274&lt;&gt;"",AND(Checks!$AQ$274=1,NOT(LEFT(Checks!$AH$274,10)="N/A – RULE"))),CHAR(10)&amp;"Batch: "&amp;IF(Checks!$W$274="","____________",Checks!$W$274),"")&amp;IF(OR(Checks!$X$274&lt;&gt;"",Checks!$Y$274&lt;&gt;"",AND(Checks!$AR$274=1,NOT(LEFT(Checks!$AH$274,10)="N/A – RULE"))),CHAR(10)&amp;"Exp: "&amp;IF(Checks!$X$274="","______",Checks!$X$274)&amp;"  /  Act: "&amp;IF(Checks!$Y$274="","______",Checks!$Y$274),"")</f>
        <v/>
      </c>
      <c r="F37" s="120" t="str">
        <f aca="false">IF(AND(LEFT(Checks!$AH$274,10)="N/A – RULE",TRIM(Checks!$S$274&amp;Checks!$Z$274)=""),"","Type: "&amp;IF(TRIM(Checks!$S$274)="","______________ (see cover list)",Checks!$S$274)&amp;CHAR(10)&amp;"ID: "&amp;IF(TRIM(Checks!$Z$274)="","______________ (record's own no.)",Checks!$Z$274))&amp;IF(Checks!$AA$274="","",CHAR(10)&amp;"CA: "&amp;Checks!$AA$274)</f>
        <v>Type: ______________ (see cover list)
ID: ______________ (record's own no.)</v>
      </c>
      <c r="G37" s="120" t="str">
        <f aca="false">IF(AND(LEFT(Checks!$AH$274,10)="N/A – RULE",NOT(ISNUMBER(Checks!$AD$274)),Checks!$AE$274="",Checks!$T$274=""),"","Done: "&amp;IF(ISNUMBER(Checks!$AD$274),TEXT(Checks!$AD$274,"DD-MMM-YY HH:MM"),"____________")&amp;" "&amp;Checks!$P$274&amp;CHAR(10)&amp;"Verifier: "&amp;IF(Checks!$AE$274="","____________",Checks!$AE$274)&amp;CHAR(10)&amp;"PIC: "&amp;IF(Checks!$T$274="","____________",Checks!$T$274))</f>
        <v>Done: ____________ KUL
Verifier: ____________
PIC: ____________</v>
      </c>
      <c r="H37" s="121" t="str">
        <f aca="false">IF(Checks!$AH$274="","",Checks!$AH$274)</f>
        <v>OPEN</v>
      </c>
    </row>
    <row r="38" customFormat="false" ht="114" hidden="false" customHeight="true" outlineLevel="0" collapsed="false">
      <c r="A38" s="120" t="str">
        <f aca="false">Checks!$A$275&amp;CHAR(10)&amp;IF(Checks!$I$275="","",Checks!$I$275&amp;": ")&amp;Checks!$J$275</f>
        <v>F08-T12-04
Equipment: Equipment presentation vs GLD</v>
      </c>
      <c r="B38" s="120" t="str">
        <f aca="false">Checks!$K$275&amp;IF(Checks!$O$275="","",IF(Checks!$K$275="","",CHAR(10))&amp;"Note: "&amp;Checks!$O$275)</f>
        <v>Note: Preparation check at caterer - does NOT confirm loading.</v>
      </c>
      <c r="C38" s="120" t="str">
        <f aca="false">Checks!$N$275&amp;CHAR(10)&amp;IF(ISNUMBER(Checks!$R$275),TEXT(Checks!$R$275,"DD-MMM-YY HH:MM"),"")&amp;" "&amp;Checks!$P$275</f>
        <v>Required
09-Oct-26 21:35 KUL</v>
      </c>
      <c r="D38" s="120" t="str">
        <f aca="false">IF(TRIM(Checks!$U$275)&lt;&gt;"",Checks!$U$275&amp;IF(Checks!$AB$275="","",CHAR(10)&amp;"CA: "&amp;Checks!$AB$275),IF(LEFT(Checks!$AH$275,10)="N/A – RULE","","[ ] Pass"&amp;CHAR(10)&amp;"[ ] Pass after CA"&amp;CHAR(10)&amp;"[ ] Fail"&amp;IF(Checks!$AT$275=1,CHAR(10)&amp;"[ ] N/A","")&amp;CHAR(10)&amp;"CA: Open / Closed"))</f>
        <v>[ ] Pass
[ ] Pass after CA
[ ] Fail
CA: Open / Closed</v>
      </c>
      <c r="E38" s="120" t="str">
        <f aca="false">IF(Checks!$V$275="","",Checks!$V$275)&amp;IF(Checks!$AC$275="","",IF(Checks!$V$275="","",CHAR(10))&amp;"N/A just.: "&amp;Checks!$AC$275)&amp;IF(OR(Checks!$W$275&lt;&gt;"",AND(Checks!$AQ$275=1,NOT(LEFT(Checks!$AH$275,10)="N/A – RULE"))),CHAR(10)&amp;"Batch: "&amp;IF(Checks!$W$275="","____________",Checks!$W$275),"")&amp;IF(OR(Checks!$X$275&lt;&gt;"",Checks!$Y$275&lt;&gt;"",AND(Checks!$AR$275=1,NOT(LEFT(Checks!$AH$275,10)="N/A – RULE"))),CHAR(10)&amp;"Exp: "&amp;IF(Checks!$X$275="","______",Checks!$X$275)&amp;"  /  Act: "&amp;IF(Checks!$Y$275="","______",Checks!$Y$275),"")</f>
        <v/>
      </c>
      <c r="F38" s="120" t="str">
        <f aca="false">IF(AND(LEFT(Checks!$AH$275,10)="N/A – RULE",TRIM(Checks!$S$275&amp;Checks!$Z$275)=""),"","Type: "&amp;IF(TRIM(Checks!$S$275)="","______________ (see cover list)",Checks!$S$275)&amp;CHAR(10)&amp;"ID: "&amp;IF(TRIM(Checks!$Z$275)="","______________ (record's own no.)",Checks!$Z$275))&amp;IF(Checks!$AA$275="","",CHAR(10)&amp;"CA: "&amp;Checks!$AA$275)</f>
        <v>Type: ______________ (see cover list)
ID: ______________ (record's own no.)</v>
      </c>
      <c r="G38" s="120" t="str">
        <f aca="false">IF(AND(LEFT(Checks!$AH$275,10)="N/A – RULE",NOT(ISNUMBER(Checks!$AD$275)),Checks!$AE$275="",Checks!$T$275=""),"","Done: "&amp;IF(ISNUMBER(Checks!$AD$275),TEXT(Checks!$AD$275,"DD-MMM-YY HH:MM"),"____________")&amp;" "&amp;Checks!$P$275&amp;CHAR(10)&amp;"Verifier: "&amp;IF(Checks!$AE$275="","____________",Checks!$AE$275)&amp;CHAR(10)&amp;"PIC: "&amp;IF(Checks!$T$275="","____________",Checks!$T$275))</f>
        <v>Done: ____________ KUL
Verifier: ____________
PIC: ____________</v>
      </c>
      <c r="H38" s="121" t="str">
        <f aca="false">IF(Checks!$AH$275="","",Checks!$AH$275)</f>
        <v>OPEN</v>
      </c>
    </row>
    <row r="39" customFormat="false" ht="114" hidden="false" customHeight="true" outlineLevel="0" collapsed="false">
      <c r="A39" s="120" t="str">
        <f aca="false">Checks!$A$276&amp;CHAR(10)&amp;IF(Checks!$I$276="","",Checks!$I$276&amp;": ")&amp;Checks!$J$276</f>
        <v>F08-T12-05
Equipment: Equipment serviceability vs GLD</v>
      </c>
      <c r="B39" s="120" t="str">
        <f aca="false">Checks!$K$276&amp;IF(Checks!$O$276="","",IF(Checks!$K$276="","",CHAR(10))&amp;"Note: "&amp;Checks!$O$276)</f>
        <v>Note: Preparation check at caterer - does NOT confirm loading.</v>
      </c>
      <c r="C39" s="120" t="str">
        <f aca="false">Checks!$N$276&amp;CHAR(10)&amp;IF(ISNUMBER(Checks!$R$276),TEXT(Checks!$R$276,"DD-MMM-YY HH:MM"),"")&amp;" "&amp;Checks!$P$276</f>
        <v>Required
09-Oct-26 21:35 KUL</v>
      </c>
      <c r="D39" s="120" t="str">
        <f aca="false">IF(TRIM(Checks!$U$276)&lt;&gt;"",Checks!$U$276&amp;IF(Checks!$AB$276="","",CHAR(10)&amp;"CA: "&amp;Checks!$AB$276),IF(LEFT(Checks!$AH$276,10)="N/A – RULE","","[ ] Pass"&amp;CHAR(10)&amp;"[ ] Pass after CA"&amp;CHAR(10)&amp;"[ ] Fail"&amp;IF(Checks!$AT$276=1,CHAR(10)&amp;"[ ] N/A","")&amp;CHAR(10)&amp;"CA: Open / Closed"))</f>
        <v>[ ] Pass
[ ] Pass after CA
[ ] Fail
CA: Open / Closed</v>
      </c>
      <c r="E39" s="120" t="str">
        <f aca="false">IF(Checks!$V$276="","",Checks!$V$276)&amp;IF(Checks!$AC$276="","",IF(Checks!$V$276="","",CHAR(10))&amp;"N/A just.: "&amp;Checks!$AC$276)&amp;IF(OR(Checks!$W$276&lt;&gt;"",AND(Checks!$AQ$276=1,NOT(LEFT(Checks!$AH$276,10)="N/A – RULE"))),CHAR(10)&amp;"Batch: "&amp;IF(Checks!$W$276="","____________",Checks!$W$276),"")&amp;IF(OR(Checks!$X$276&lt;&gt;"",Checks!$Y$276&lt;&gt;"",AND(Checks!$AR$276=1,NOT(LEFT(Checks!$AH$276,10)="N/A – RULE"))),CHAR(10)&amp;"Exp: "&amp;IF(Checks!$X$276="","______",Checks!$X$276)&amp;"  /  Act: "&amp;IF(Checks!$Y$276="","______",Checks!$Y$276),"")</f>
        <v/>
      </c>
      <c r="F39" s="120" t="str">
        <f aca="false">IF(AND(LEFT(Checks!$AH$276,10)="N/A – RULE",TRIM(Checks!$S$276&amp;Checks!$Z$276)=""),"","Type: "&amp;IF(TRIM(Checks!$S$276)="","______________ (see cover list)",Checks!$S$276)&amp;CHAR(10)&amp;"ID: "&amp;IF(TRIM(Checks!$Z$276)="","______________ (record's own no.)",Checks!$Z$276))&amp;IF(Checks!$AA$276="","",CHAR(10)&amp;"CA: "&amp;Checks!$AA$276)</f>
        <v>Type: ______________ (see cover list)
ID: ______________ (record's own no.)</v>
      </c>
      <c r="G39" s="120" t="str">
        <f aca="false">IF(AND(LEFT(Checks!$AH$276,10)="N/A – RULE",NOT(ISNUMBER(Checks!$AD$276)),Checks!$AE$276="",Checks!$T$276=""),"","Done: "&amp;IF(ISNUMBER(Checks!$AD$276),TEXT(Checks!$AD$276,"DD-MMM-YY HH:MM"),"____________")&amp;" "&amp;Checks!$P$276&amp;CHAR(10)&amp;"Verifier: "&amp;IF(Checks!$AE$276="","____________",Checks!$AE$276)&amp;CHAR(10)&amp;"PIC: "&amp;IF(Checks!$T$276="","____________",Checks!$T$276))</f>
        <v>Done: ____________ KUL
Verifier: ____________
PIC: ____________</v>
      </c>
      <c r="H39" s="121" t="str">
        <f aca="false">IF(Checks!$AH$276="","",Checks!$AH$276)</f>
        <v>OPEN</v>
      </c>
    </row>
    <row r="40" customFormat="false" ht="180" hidden="false" customHeight="true" outlineLevel="0" collapsed="false">
      <c r="A40" s="120" t="str">
        <f aca="false">Checks!$A$277&amp;CHAR(10)&amp;IF(Checks!$I$277="","",Checks!$I$277&amp;": ")&amp;Checks!$J$277</f>
        <v>F08-T12-06
Equipment: Equipment quantities vs GLD</v>
      </c>
      <c r="B40" s="120" t="str">
        <f aca="false">SUBSTITUTE(SUBSTITUTE(SUBSTITUTE(SUBSTITUTE(SUBSTITUTE(SUBSTITUTE(SUBSTITUTE(Checks!$K$277&amp;IF(Checks!$O$277="","",IF(Checks!$K$277="","",CHAR(10))&amp;"Note: "&amp;Checks!$O$277),"ovens -,","ovens n/a,"),"fridges -,","fridges n/a,"),"makers -,","makers n/a,"),"espresso -,","espresso n/a,"),"trolleys -,","trolleys n/a,"),"headsets - (","headsets n/a (")," (AIRCRAFT TYPE!C16:R16)","")</f>
        <v>Enter expected &amp; actual. Aircraft galley data: B737-8 (B7M8): carts 10.5, SU 25, ovens 6, warming ovens n/a, fridges n/a, water heaters 3, beverage makers n/a, espresso n/a, folding trolleys n/a, headsets n/a
Note: Preparation check at caterer - does NOT confirm loading.</v>
      </c>
      <c r="C40" s="120" t="str">
        <f aca="false">Checks!$N$277&amp;CHAR(10)&amp;IF(ISNUMBER(Checks!$R$277),TEXT(Checks!$R$277,"DD-MMM-YY HH:MM"),"")&amp;" "&amp;Checks!$P$277</f>
        <v>Required
09-Oct-26 21:35 KUL</v>
      </c>
      <c r="D40" s="120" t="str">
        <f aca="false">IF(TRIM(Checks!$U$277)&lt;&gt;"",Checks!$U$277&amp;IF(Checks!$AB$277="","",CHAR(10)&amp;"CA: "&amp;Checks!$AB$277),IF(LEFT(Checks!$AH$277,10)="N/A – RULE","","[ ] Pass"&amp;CHAR(10)&amp;"[ ] Pass after CA"&amp;CHAR(10)&amp;"[ ] Fail"&amp;IF(Checks!$AT$277=1,CHAR(10)&amp;"[ ] N/A","")&amp;CHAR(10)&amp;"CA: Open / Closed"))</f>
        <v>[ ] Pass
[ ] Pass after CA
[ ] Fail
CA: Open / Closed</v>
      </c>
      <c r="E40" s="120" t="str">
        <f aca="false">IF(Checks!$V$277="","",Checks!$V$277)&amp;IF(Checks!$AC$277="","",IF(Checks!$V$277="","",CHAR(10))&amp;"N/A just.: "&amp;Checks!$AC$277)&amp;IF(OR(Checks!$W$277&lt;&gt;"",AND(Checks!$AQ$277=1,NOT(LEFT(Checks!$AH$277,10)="N/A – RULE"))),CHAR(10)&amp;"Batch: "&amp;IF(Checks!$W$277="","____________",Checks!$W$277),"")&amp;IF(OR(Checks!$X$277&lt;&gt;"",Checks!$Y$277&lt;&gt;"",AND(Checks!$AR$277=1,NOT(LEFT(Checks!$AH$277,10)="N/A – RULE"))),CHAR(10)&amp;"Exp: "&amp;IF(Checks!$X$277="","______",Checks!$X$277)&amp;"  /  Act: "&amp;IF(Checks!$Y$277="","______",Checks!$Y$277),"")</f>
        <v>
Exp: ______  /  Act: ______</v>
      </c>
      <c r="F40" s="120" t="str">
        <f aca="false">IF(AND(LEFT(Checks!$AH$277,10)="N/A – RULE",TRIM(Checks!$S$277&amp;Checks!$Z$277)=""),"","Type: "&amp;IF(TRIM(Checks!$S$277)="","______________ (see cover list)",Checks!$S$277)&amp;CHAR(10)&amp;"ID: "&amp;IF(TRIM(Checks!$Z$277)="","______________ (record's own no.)",Checks!$Z$277))&amp;IF(Checks!$AA$277="","",CHAR(10)&amp;"CA: "&amp;Checks!$AA$277)</f>
        <v>Type: ______________ (see cover list)
ID: ______________ (record's own no.)</v>
      </c>
      <c r="G40" s="120" t="str">
        <f aca="false">IF(AND(LEFT(Checks!$AH$277,10)="N/A – RULE",NOT(ISNUMBER(Checks!$AD$277)),Checks!$AE$277="",Checks!$T$277=""),"","Done: "&amp;IF(ISNUMBER(Checks!$AD$277),TEXT(Checks!$AD$277,"DD-MMM-YY HH:MM"),"____________")&amp;" "&amp;Checks!$P$277&amp;CHAR(10)&amp;"Verifier: "&amp;IF(Checks!$AE$277="","____________",Checks!$AE$277)&amp;CHAR(10)&amp;"PIC: "&amp;IF(Checks!$T$277="","____________",Checks!$T$277))</f>
        <v>Done: ____________ KUL
Verifier: ____________
PIC: ____________</v>
      </c>
      <c r="H40" s="121" t="str">
        <f aca="false">IF(Checks!$AH$277="","",Checks!$AH$277)</f>
        <v>OPEN</v>
      </c>
    </row>
    <row r="41" customFormat="false" ht="114" hidden="false" customHeight="true" outlineLevel="0" collapsed="false">
      <c r="A41" s="120" t="str">
        <f aca="false">Checks!$A$278&amp;CHAR(10)&amp;IF(Checks!$I$278="","",Checks!$I$278&amp;": ")&amp;Checks!$J$278</f>
        <v>F08-T12-07
Equipment: Loading positions planned vs GLD</v>
      </c>
      <c r="B41" s="120" t="str">
        <f aca="false">Checks!$K$278&amp;IF(Checks!$O$278="","",IF(Checks!$K$278="","",CHAR(10))&amp;"Note: "&amp;Checks!$O$278)</f>
        <v>Note: Preparation check at caterer - does NOT confirm loading.</v>
      </c>
      <c r="C41" s="120" t="str">
        <f aca="false">Checks!$N$278&amp;CHAR(10)&amp;IF(ISNUMBER(Checks!$R$278),TEXT(Checks!$R$278,"DD-MMM-YY HH:MM"),"")&amp;" "&amp;Checks!$P$278</f>
        <v>Required
09-Oct-26 21:35 KUL</v>
      </c>
      <c r="D41" s="120" t="str">
        <f aca="false">IF(TRIM(Checks!$U$278)&lt;&gt;"",Checks!$U$278&amp;IF(Checks!$AB$278="","",CHAR(10)&amp;"CA: "&amp;Checks!$AB$278),IF(LEFT(Checks!$AH$278,10)="N/A – RULE","","[ ] Pass"&amp;CHAR(10)&amp;"[ ] Pass after CA"&amp;CHAR(10)&amp;"[ ] Fail"&amp;IF(Checks!$AT$278=1,CHAR(10)&amp;"[ ] N/A","")&amp;CHAR(10)&amp;"CA: Open / Closed"))</f>
        <v>[ ] Pass
[ ] Pass after CA
[ ] Fail
CA: Open / Closed</v>
      </c>
      <c r="E41" s="120" t="str">
        <f aca="false">IF(Checks!$V$278="","",Checks!$V$278)&amp;IF(Checks!$AC$278="","",IF(Checks!$V$278="","",CHAR(10))&amp;"N/A just.: "&amp;Checks!$AC$278)&amp;IF(OR(Checks!$W$278&lt;&gt;"",AND(Checks!$AQ$278=1,NOT(LEFT(Checks!$AH$278,10)="N/A – RULE"))),CHAR(10)&amp;"Batch: "&amp;IF(Checks!$W$278="","____________",Checks!$W$278),"")&amp;IF(OR(Checks!$X$278&lt;&gt;"",Checks!$Y$278&lt;&gt;"",AND(Checks!$AR$278=1,NOT(LEFT(Checks!$AH$278,10)="N/A – RULE"))),CHAR(10)&amp;"Exp: "&amp;IF(Checks!$X$278="","______",Checks!$X$278)&amp;"  /  Act: "&amp;IF(Checks!$Y$278="","______",Checks!$Y$278),"")</f>
        <v/>
      </c>
      <c r="F41" s="120" t="str">
        <f aca="false">IF(AND(LEFT(Checks!$AH$278,10)="N/A – RULE",TRIM(Checks!$S$278&amp;Checks!$Z$278)=""),"","Type: "&amp;IF(TRIM(Checks!$S$278)="","______________ (see cover list)",Checks!$S$278)&amp;CHAR(10)&amp;"ID: "&amp;IF(TRIM(Checks!$Z$278)="","______________ (record's own no.)",Checks!$Z$278))&amp;IF(Checks!$AA$278="","",CHAR(10)&amp;"CA: "&amp;Checks!$AA$278)</f>
        <v>Type: ______________ (see cover list)
ID: ______________ (record's own no.)</v>
      </c>
      <c r="G41" s="120" t="str">
        <f aca="false">IF(AND(LEFT(Checks!$AH$278,10)="N/A – RULE",NOT(ISNUMBER(Checks!$AD$278)),Checks!$AE$278="",Checks!$T$278=""),"","Done: "&amp;IF(ISNUMBER(Checks!$AD$278),TEXT(Checks!$AD$278,"DD-MMM-YY HH:MM"),"____________")&amp;" "&amp;Checks!$P$278&amp;CHAR(10)&amp;"Verifier: "&amp;IF(Checks!$AE$278="","____________",Checks!$AE$278)&amp;CHAR(10)&amp;"PIC: "&amp;IF(Checks!$T$278="","____________",Checks!$T$278))</f>
        <v>Done: ____________ KUL
Verifier: ____________
PIC: ____________</v>
      </c>
      <c r="H41" s="121" t="str">
        <f aca="false">IF(Checks!$AH$278="","",Checks!$AH$278)</f>
        <v>OPEN</v>
      </c>
    </row>
    <row r="42" customFormat="false" ht="114" hidden="false" customHeight="true" outlineLevel="0" collapsed="false">
      <c r="A42" s="120" t="str">
        <f aca="false">Checks!$A$279&amp;CHAR(10)&amp;IF(Checks!$I$279="","",Checks!$I$279&amp;": ")&amp;Checks!$J$279</f>
        <v>F08-T12-08
Seat Linen: Seat pillow (EY) - prepared</v>
      </c>
      <c r="B42" s="120" t="str">
        <f aca="false">Checks!$K$279&amp;IF(Checks!$O$279="","",IF(Checks!$K$279="","",CHAR(10))&amp;"Note: "&amp;Checks!$O$279)</f>
        <v>Available 100% (ticked in reference)
Note: Reference gives no uplift stn for this item: preparation checked at the meal uplift stn (KUL) - confirm with caterer.</v>
      </c>
      <c r="C42" s="120" t="str">
        <f aca="false">Checks!$N$279&amp;CHAR(10)&amp;IF(ISNUMBER(Checks!$R$279),TEXT(Checks!$R$279,"DD-MMM-YY HH:MM"),"")&amp;" "&amp;Checks!$P$279</f>
        <v>Required
09-Oct-26 21:35 KUL</v>
      </c>
      <c r="D42" s="120" t="str">
        <f aca="false">IF(TRIM(Checks!$U$279)&lt;&gt;"",Checks!$U$279&amp;IF(Checks!$AB$279="","",CHAR(10)&amp;"CA: "&amp;Checks!$AB$279),IF(LEFT(Checks!$AH$279,10)="N/A – RULE","","[ ] Pass"&amp;CHAR(10)&amp;"[ ] Pass after CA"&amp;CHAR(10)&amp;"[ ] Fail"&amp;IF(Checks!$AT$279=1,CHAR(10)&amp;"[ ] N/A","")&amp;CHAR(10)&amp;"CA: Open / Closed"))</f>
        <v>[ ] Pass
[ ] Pass after CA
[ ] Fail
CA: Open / Closed</v>
      </c>
      <c r="E42" s="120" t="str">
        <f aca="false">IF(Checks!$V$279="","",Checks!$V$279)&amp;IF(Checks!$AC$279="","",IF(Checks!$V$279="","",CHAR(10))&amp;"N/A just.: "&amp;Checks!$AC$279)&amp;IF(OR(Checks!$W$279&lt;&gt;"",AND(Checks!$AQ$279=1,NOT(LEFT(Checks!$AH$279,10)="N/A – RULE"))),CHAR(10)&amp;"Batch: "&amp;IF(Checks!$W$279="","____________",Checks!$W$279),"")&amp;IF(OR(Checks!$X$279&lt;&gt;"",Checks!$Y$279&lt;&gt;"",AND(Checks!$AR$279=1,NOT(LEFT(Checks!$AH$279,10)="N/A – RULE"))),CHAR(10)&amp;"Exp: "&amp;IF(Checks!$X$279="","______",Checks!$X$279)&amp;"  /  Act: "&amp;IF(Checks!$Y$279="","______",Checks!$Y$279),"")</f>
        <v/>
      </c>
      <c r="F42" s="120" t="str">
        <f aca="false">IF(AND(LEFT(Checks!$AH$279,10)="N/A – RULE",TRIM(Checks!$S$279&amp;Checks!$Z$279)=""),"","Type: "&amp;IF(TRIM(Checks!$S$279)="","______________ (see cover list)",Checks!$S$279)&amp;CHAR(10)&amp;"ID: "&amp;IF(TRIM(Checks!$Z$279)="","______________ (record's own no.)",Checks!$Z$279))&amp;IF(Checks!$AA$279="","",CHAR(10)&amp;"CA: "&amp;Checks!$AA$279)</f>
        <v>Type: ______________ (see cover list)
ID: ______________ (record's own no.)</v>
      </c>
      <c r="G42" s="120" t="str">
        <f aca="false">IF(AND(LEFT(Checks!$AH$279,10)="N/A – RULE",NOT(ISNUMBER(Checks!$AD$279)),Checks!$AE$279="",Checks!$T$279=""),"","Done: "&amp;IF(ISNUMBER(Checks!$AD$279),TEXT(Checks!$AD$279,"DD-MMM-YY HH:MM"),"____________")&amp;" "&amp;Checks!$P$279&amp;CHAR(10)&amp;"Verifier: "&amp;IF(Checks!$AE$279="","____________",Checks!$AE$279)&amp;CHAR(10)&amp;"PIC: "&amp;IF(Checks!$T$279="","____________",Checks!$T$279))</f>
        <v>Done: ____________ KUL
Verifier: ____________
PIC: ____________</v>
      </c>
      <c r="H42" s="121" t="str">
        <f aca="false">IF(Checks!$AH$279="","",Checks!$AH$279)</f>
        <v>OPEN</v>
      </c>
    </row>
    <row r="43" customFormat="false" ht="25.5" hidden="false" customHeight="true" outlineLevel="0" collapsed="false">
      <c r="A43" s="119" t="str">
        <f aca="false">"UPLIFT — Physical uplift – on-board confirmation before departure  |  Due "&amp;"STD "&amp;IF(ISNUMBER(Flights!$I$12),TEXT(Flights!$I$12,"DD-MMM-YY HH:MM"),"")&amp;" "&amp;Flights!$G$12&amp;" (departure stn)"&amp;" (rows with another due show their own)  |  Complete "&amp;IF(ISNUMBER(Flights!$AM$12),TEXT(Flights!$AM$12,"0%"),Flights!$AM$12)&amp;"  |  3 lines"</f>
        <v>UPLIFT — Physical uplift – on-board confirmation before departure  |  Due STD 10-Oct-26 09:35 KUL (departure stn) (rows with another due show their own)  |  Complete 0%  |  3 lines</v>
      </c>
      <c r="B43" s="119"/>
      <c r="C43" s="119"/>
      <c r="D43" s="119"/>
      <c r="E43" s="119"/>
      <c r="F43" s="119"/>
      <c r="G43" s="119"/>
      <c r="H43" s="119"/>
    </row>
    <row r="44" customFormat="false" ht="114" hidden="false" customHeight="true" outlineLevel="0" collapsed="false">
      <c r="A44" s="120" t="str">
        <f aca="false">Checks!$A$280&amp;CHAR(10)&amp;IF(Checks!$I$280="","",Checks!$I$280&amp;": ")&amp;Checks!$J$280</f>
        <v>F08-UPL-01
Meal: Meals physically uplifted on board - quantity vs menu checklist</v>
      </c>
      <c r="B44" s="120" t="str">
        <f aca="false">Checks!$K$280&amp;IF(Checks!$O$280="","",IF(Checks!$K$280="","",CHAR(10))&amp;"Note: "&amp;Checks!$O$280)</f>
        <v>Enter expected &amp; actual
Note: Confirm on board before departure; completion time must fall inside the uplift window.</v>
      </c>
      <c r="C44" s="120" t="str">
        <f aca="false">Checks!$N$280&amp;CHAR(10)&amp;IF(ISNUMBER(Checks!$R$280),TEXT(Checks!$R$280,"DD-MMM-YY HH:MM"),"")&amp;" "&amp;Checks!$P$280</f>
        <v>Required
10-Oct-26 09:35 KUL</v>
      </c>
      <c r="D44" s="120" t="str">
        <f aca="false">IF(TRIM(Checks!$U$280)&lt;&gt;"",Checks!$U$280&amp;IF(Checks!$AB$280="","",CHAR(10)&amp;"CA: "&amp;Checks!$AB$280),IF(LEFT(Checks!$AH$280,10)="N/A – RULE","","[ ] Pass"&amp;CHAR(10)&amp;"[ ] Pass after CA"&amp;CHAR(10)&amp;"[ ] Fail"&amp;IF(Checks!$AT$280=1,CHAR(10)&amp;"[ ] N/A","")&amp;CHAR(10)&amp;"CA: Open / Closed"))</f>
        <v>[ ] Pass
[ ] Pass after CA
[ ] Fail
CA: Open / Closed</v>
      </c>
      <c r="E44" s="120" t="str">
        <f aca="false">IF(Checks!$V$280="","",Checks!$V$280)&amp;IF(Checks!$AC$280="","",IF(Checks!$V$280="","",CHAR(10))&amp;"N/A just.: "&amp;Checks!$AC$280)&amp;IF(OR(Checks!$W$280&lt;&gt;"",AND(Checks!$AQ$280=1,NOT(LEFT(Checks!$AH$280,10)="N/A – RULE"))),CHAR(10)&amp;"Batch: "&amp;IF(Checks!$W$280="","____________",Checks!$W$280),"")&amp;IF(OR(Checks!$X$280&lt;&gt;"",Checks!$Y$280&lt;&gt;"",AND(Checks!$AR$280=1,NOT(LEFT(Checks!$AH$280,10)="N/A – RULE"))),CHAR(10)&amp;"Exp: "&amp;IF(Checks!$X$280="","______",Checks!$X$280)&amp;"  /  Act: "&amp;IF(Checks!$Y$280="","______",Checks!$Y$280),"")</f>
        <v>
Exp: ______  /  Act: ______</v>
      </c>
      <c r="F44" s="120" t="str">
        <f aca="false">IF(AND(LEFT(Checks!$AH$280,10)="N/A – RULE",TRIM(Checks!$S$280&amp;Checks!$Z$280)=""),"","Type: "&amp;IF(TRIM(Checks!$S$280)="","______________ (see cover list)",Checks!$S$280)&amp;CHAR(10)&amp;"ID: "&amp;IF(TRIM(Checks!$Z$280)="","______________ (record's own no.)",Checks!$Z$280))&amp;IF(Checks!$AA$280="","",CHAR(10)&amp;"CA: "&amp;Checks!$AA$280)</f>
        <v>Type: ______________ (see cover list)
ID: ______________ (record's own no.)</v>
      </c>
      <c r="G44" s="120" t="str">
        <f aca="false">IF(AND(LEFT(Checks!$AH$280,10)="N/A – RULE",NOT(ISNUMBER(Checks!$AD$280)),Checks!$AE$280="",Checks!$T$280=""),"","Done: "&amp;IF(ISNUMBER(Checks!$AD$280),TEXT(Checks!$AD$280,"DD-MMM-YY HH:MM"),"____________")&amp;" "&amp;Checks!$P$280&amp;CHAR(10)&amp;"Verifier: "&amp;IF(Checks!$AE$280="","____________",Checks!$AE$280)&amp;CHAR(10)&amp;"PIC: "&amp;IF(Checks!$T$280="","____________",Checks!$T$280))</f>
        <v>Done: ____________ KUL
Verifier: ____________
PIC: ____________</v>
      </c>
      <c r="H44" s="121" t="str">
        <f aca="false">IF(Checks!$AH$280="","",Checks!$AH$280)</f>
        <v>OPEN</v>
      </c>
    </row>
    <row r="45" customFormat="false" ht="114" hidden="false" customHeight="true" outlineLevel="0" collapsed="false">
      <c r="A45" s="120" t="str">
        <f aca="false">Checks!$A$281&amp;CHAR(10)&amp;IF(Checks!$I$281="","",Checks!$I$281&amp;": ")&amp;Checks!$J$281</f>
        <v>F08-UPL-02
Equipment: Equipment physically loaded at GLD positions - quantity &amp; positions</v>
      </c>
      <c r="B45" s="120" t="str">
        <f aca="false">Checks!$K$281&amp;IF(Checks!$O$281="","",IF(Checks!$K$281="","",CHAR(10))&amp;"Note: "&amp;Checks!$O$281)</f>
        <v>Enter expected &amp; actual
Note: Confirm on board before departure; completion time must fall inside the uplift window.</v>
      </c>
      <c r="C45" s="120" t="str">
        <f aca="false">Checks!$N$281&amp;CHAR(10)&amp;IF(ISNUMBER(Checks!$R$281),TEXT(Checks!$R$281,"DD-MMM-YY HH:MM"),"")&amp;" "&amp;Checks!$P$281</f>
        <v>Required
10-Oct-26 09:35 KUL</v>
      </c>
      <c r="D45" s="120" t="str">
        <f aca="false">IF(TRIM(Checks!$U$281)&lt;&gt;"",Checks!$U$281&amp;IF(Checks!$AB$281="","",CHAR(10)&amp;"CA: "&amp;Checks!$AB$281),IF(LEFT(Checks!$AH$281,10)="N/A – RULE","","[ ] Pass"&amp;CHAR(10)&amp;"[ ] Pass after CA"&amp;CHAR(10)&amp;"[ ] Fail"&amp;IF(Checks!$AT$281=1,CHAR(10)&amp;"[ ] N/A","")&amp;CHAR(10)&amp;"CA: Open / Closed"))</f>
        <v>[ ] Pass
[ ] Pass after CA
[ ] Fail
CA: Open / Closed</v>
      </c>
      <c r="E45" s="120" t="str">
        <f aca="false">IF(Checks!$V$281="","",Checks!$V$281)&amp;IF(Checks!$AC$281="","",IF(Checks!$V$281="","",CHAR(10))&amp;"N/A just.: "&amp;Checks!$AC$281)&amp;IF(OR(Checks!$W$281&lt;&gt;"",AND(Checks!$AQ$281=1,NOT(LEFT(Checks!$AH$281,10)="N/A – RULE"))),CHAR(10)&amp;"Batch: "&amp;IF(Checks!$W$281="","____________",Checks!$W$281),"")&amp;IF(OR(Checks!$X$281&lt;&gt;"",Checks!$Y$281&lt;&gt;"",AND(Checks!$AR$281=1,NOT(LEFT(Checks!$AH$281,10)="N/A – RULE"))),CHAR(10)&amp;"Exp: "&amp;IF(Checks!$X$281="","______",Checks!$X$281)&amp;"  /  Act: "&amp;IF(Checks!$Y$281="","______",Checks!$Y$281),"")</f>
        <v>
Exp: ______  /  Act: ______</v>
      </c>
      <c r="F45" s="120" t="str">
        <f aca="false">IF(AND(LEFT(Checks!$AH$281,10)="N/A – RULE",TRIM(Checks!$S$281&amp;Checks!$Z$281)=""),"","Type: "&amp;IF(TRIM(Checks!$S$281)="","______________ (see cover list)",Checks!$S$281)&amp;CHAR(10)&amp;"ID: "&amp;IF(TRIM(Checks!$Z$281)="","______________ (record's own no.)",Checks!$Z$281))&amp;IF(Checks!$AA$281="","",CHAR(10)&amp;"CA: "&amp;Checks!$AA$281)</f>
        <v>Type: ______________ (see cover list)
ID: ______________ (record's own no.)</v>
      </c>
      <c r="G45" s="120" t="str">
        <f aca="false">IF(AND(LEFT(Checks!$AH$281,10)="N/A – RULE",NOT(ISNUMBER(Checks!$AD$281)),Checks!$AE$281="",Checks!$T$281=""),"","Done: "&amp;IF(ISNUMBER(Checks!$AD$281),TEXT(Checks!$AD$281,"DD-MMM-YY HH:MM"),"____________")&amp;" "&amp;Checks!$P$281&amp;CHAR(10)&amp;"Verifier: "&amp;IF(Checks!$AE$281="","____________",Checks!$AE$281)&amp;CHAR(10)&amp;"PIC: "&amp;IF(Checks!$T$281="","____________",Checks!$T$281))</f>
        <v>Done: ____________ KUL
Verifier: ____________
PIC: ____________</v>
      </c>
      <c r="H45" s="121" t="str">
        <f aca="false">IF(Checks!$AH$281="","",Checks!$AH$281)</f>
        <v>OPEN</v>
      </c>
    </row>
    <row r="46" customFormat="false" ht="114" hidden="false" customHeight="true" outlineLevel="0" collapsed="false">
      <c r="A46" s="120" t="str">
        <f aca="false">Checks!$A$282&amp;CHAR(10)&amp;IF(Checks!$I$282="","",Checks!$I$282&amp;": ")&amp;Checks!$J$282</f>
        <v>F08-UPL-03
Seat Linen: Seat pillow (EY) - on board</v>
      </c>
      <c r="B46" s="120" t="str">
        <f aca="false">Checks!$K$282&amp;IF(Checks!$O$282="","",IF(Checks!$K$282="","",CHAR(10))&amp;"Note: "&amp;Checks!$O$282)</f>
        <v>Available 100% (ticked in reference)</v>
      </c>
      <c r="C46" s="120" t="str">
        <f aca="false">Checks!$N$282&amp;CHAR(10)&amp;IF(ISNUMBER(Checks!$R$282),TEXT(Checks!$R$282,"DD-MMM-YY HH:MM"),"")&amp;" "&amp;Checks!$P$282</f>
        <v>Required
10-Oct-26 09:35 KUL</v>
      </c>
      <c r="D46" s="120" t="str">
        <f aca="false">IF(TRIM(Checks!$U$282)&lt;&gt;"",Checks!$U$282&amp;IF(Checks!$AB$282="","",CHAR(10)&amp;"CA: "&amp;Checks!$AB$282),IF(LEFT(Checks!$AH$282,10)="N/A – RULE","","[ ] Pass"&amp;CHAR(10)&amp;"[ ] Pass after CA"&amp;CHAR(10)&amp;"[ ] Fail"&amp;IF(Checks!$AT$282=1,CHAR(10)&amp;"[ ] N/A","")&amp;CHAR(10)&amp;"CA: Open / Closed"))</f>
        <v>[ ] Pass
[ ] Pass after CA
[ ] Fail
CA: Open / Closed</v>
      </c>
      <c r="E46" s="120" t="str">
        <f aca="false">IF(Checks!$V$282="","",Checks!$V$282)&amp;IF(Checks!$AC$282="","",IF(Checks!$V$282="","",CHAR(10))&amp;"N/A just.: "&amp;Checks!$AC$282)&amp;IF(OR(Checks!$W$282&lt;&gt;"",AND(Checks!$AQ$282=1,NOT(LEFT(Checks!$AH$282,10)="N/A – RULE"))),CHAR(10)&amp;"Batch: "&amp;IF(Checks!$W$282="","____________",Checks!$W$282),"")&amp;IF(OR(Checks!$X$282&lt;&gt;"",Checks!$Y$282&lt;&gt;"",AND(Checks!$AR$282=1,NOT(LEFT(Checks!$AH$282,10)="N/A – RULE"))),CHAR(10)&amp;"Exp: "&amp;IF(Checks!$X$282="","______",Checks!$X$282)&amp;"  /  Act: "&amp;IF(Checks!$Y$282="","______",Checks!$Y$282),"")</f>
        <v/>
      </c>
      <c r="F46" s="120" t="str">
        <f aca="false">IF(AND(LEFT(Checks!$AH$282,10)="N/A – RULE",TRIM(Checks!$S$282&amp;Checks!$Z$282)=""),"","Type: "&amp;IF(TRIM(Checks!$S$282)="","______________ (see cover list)",Checks!$S$282)&amp;CHAR(10)&amp;"ID: "&amp;IF(TRIM(Checks!$Z$282)="","______________ (record's own no.)",Checks!$Z$282))&amp;IF(Checks!$AA$282="","",CHAR(10)&amp;"CA: "&amp;Checks!$AA$282)</f>
        <v>Type: ______________ (see cover list)
ID: ______________ (record's own no.)</v>
      </c>
      <c r="G46" s="120" t="str">
        <f aca="false">IF(AND(LEFT(Checks!$AH$282,10)="N/A – RULE",NOT(ISNUMBER(Checks!$AD$282)),Checks!$AE$282="",Checks!$T$282=""),"","Done: "&amp;IF(ISNUMBER(Checks!$AD$282),TEXT(Checks!$AD$282,"DD-MMM-YY HH:MM"),"____________")&amp;" "&amp;Checks!$P$282&amp;CHAR(10)&amp;"Verifier: "&amp;IF(Checks!$AE$282="","____________",Checks!$AE$282)&amp;CHAR(10)&amp;"PIC: "&amp;IF(Checks!$T$282="","____________",Checks!$T$282))</f>
        <v>Done: ____________ KUL
Verifier: ____________
PIC: ____________</v>
      </c>
      <c r="H46" s="121" t="str">
        <f aca="false">IF(Checks!$AH$282="","",Checks!$AH$282)</f>
        <v>OPEN</v>
      </c>
    </row>
    <row r="48" customFormat="false" ht="24" hidden="false" customHeight="true" outlineLevel="0" collapsed="false">
      <c r="A48" s="122" t="s">
        <v>4832</v>
      </c>
      <c r="B48" s="122"/>
      <c r="C48" s="122"/>
      <c r="D48" s="122"/>
      <c r="E48" s="122" t="s">
        <v>4833</v>
      </c>
      <c r="F48" s="122"/>
      <c r="G48" s="122"/>
      <c r="H48" s="122"/>
    </row>
    <row r="49" customFormat="false" ht="21.75" hidden="false" customHeight="true" outlineLevel="0" collapsed="false">
      <c r="A49" s="123"/>
      <c r="B49" s="123"/>
      <c r="C49" s="123"/>
      <c r="D49" s="123"/>
      <c r="E49" s="123"/>
      <c r="F49" s="123"/>
      <c r="G49" s="123"/>
      <c r="H49" s="123"/>
    </row>
    <row r="50" customFormat="false" ht="21.75" hidden="false" customHeight="true" outlineLevel="0" collapsed="false">
      <c r="A50" s="123"/>
      <c r="B50" s="123"/>
      <c r="C50" s="123"/>
      <c r="D50" s="123"/>
      <c r="E50" s="123"/>
      <c r="F50" s="123"/>
      <c r="G50" s="123"/>
      <c r="H50" s="123"/>
    </row>
    <row r="51" customFormat="false" ht="21.75" hidden="false" customHeight="true" outlineLevel="0" collapsed="false">
      <c r="A51" s="123"/>
      <c r="B51" s="123"/>
      <c r="C51" s="123"/>
      <c r="D51" s="123"/>
      <c r="E51" s="123"/>
      <c r="F51" s="123"/>
      <c r="G51" s="123"/>
      <c r="H51" s="123"/>
    </row>
    <row r="52" customFormat="false" ht="21.75" hidden="false" customHeight="true" outlineLevel="0" collapsed="false">
      <c r="A52" s="123"/>
      <c r="B52" s="123"/>
      <c r="C52" s="123"/>
      <c r="D52" s="123"/>
      <c r="E52" s="123"/>
      <c r="F52" s="123"/>
      <c r="G52" s="123"/>
      <c r="H52" s="123"/>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43:H43"/>
    <mergeCell ref="A48:D48"/>
    <mergeCell ref="E48:H48"/>
    <mergeCell ref="A49:D58"/>
    <mergeCell ref="E49:H58"/>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46">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46">
    <cfRule type="expression" priority="18" aboveAverage="0" equalAverage="0" bottom="0" percent="0" rank="0" text="" dxfId="35">
      <formula>LEFT($H23,3)="N/A"</formula>
    </cfRule>
  </conditionalFormatting>
  <conditionalFormatting sqref="D23:D46">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F08 MH0752 10-Oct-26 KUL-HAN Class EY</oddHeader>
    <oddFooter>&amp;L&amp;"Arial,Bold"&amp;8 F08 MH0752 10-Oct-26 KUL-HAN Class EY&amp;C&amp;"Arial,Regular"&amp;8 Printed: ____________________&amp;R&amp;"Arial,Regular"&amp;8 F08  Page &amp;P of &amp;N</oddFooter>
  </headerFooter>
  <rowBreaks count="6" manualBreakCount="6">
    <brk id="20" man="true" max="16383" min="0"/>
    <brk id="26" man="true" max="16383" min="0"/>
    <brk id="30" man="true" max="16383" min="0"/>
    <brk id="35" man="true" max="16383" min="0"/>
    <brk id="39" man="true" max="16383" min="0"/>
    <brk id="42" man="true" max="16383" min="0"/>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F09  "&amp;Flights!$F$13&amp;"  "&amp;TEXT(Flights!$D$13,"DD-MMM-YY")&amp;" ("&amp;Flights!$E$13&amp;")  "&amp;Flights!$G$13&amp;" → "&amp;Flights!$H$13&amp;"  |  Class "&amp;Flights!$K$13</f>
        <v>SKYTRAX 2026 CATERING READINESS CHECKLIST  |  F09  MH0753  11-Oct-26 (SUN)  HAN → KUL  |  Class BC</v>
      </c>
      <c r="B1" s="93"/>
      <c r="C1" s="93"/>
      <c r="D1" s="93"/>
      <c r="E1" s="93"/>
      <c r="F1" s="93"/>
      <c r="G1" s="93"/>
      <c r="H1" s="93"/>
    </row>
    <row r="2" customFormat="false" ht="12.75" hidden="false" customHeight="true" outlineLevel="0" collapsed="false">
      <c r="A2" s="94" t="s">
        <v>4788</v>
      </c>
      <c r="B2" s="95" t="str">
        <f aca="false">Flights!$F$13&amp;"   "&amp;TEXT(Flights!$D$13,"DD-MMM-YY")&amp;" ("&amp;Flights!$E$13&amp;")"</f>
        <v>MH0753   11-Oct-26 (SUN)</v>
      </c>
      <c r="C2" s="95"/>
      <c r="D2" s="95"/>
      <c r="E2" s="96" t="s">
        <v>4789</v>
      </c>
      <c r="F2" s="97" t="str">
        <f aca="false">Flights!$AT$13</f>
        <v>NOT READY – DOCUMENTS</v>
      </c>
      <c r="G2" s="97"/>
      <c r="H2" s="97"/>
    </row>
    <row r="3" customFormat="false" ht="24" hidden="false" customHeight="true" outlineLevel="0" collapsed="false">
      <c r="A3" s="94" t="s">
        <v>4790</v>
      </c>
      <c r="B3" s="95" t="str">
        <f aca="false">Flights!$G$13&amp;" → "&amp;Flights!$H$13&amp;"   Class "&amp;Flights!$K$13&amp;"   Seat "&amp;Flights!$O$13</f>
        <v>HAN → KUL   Class BC   Seat 1F</v>
      </c>
      <c r="C3" s="95"/>
      <c r="D3" s="95"/>
      <c r="E3" s="96" t="s">
        <v>73</v>
      </c>
      <c r="F3" s="96" t="s">
        <v>4791</v>
      </c>
      <c r="G3" s="96" t="s">
        <v>4792</v>
      </c>
      <c r="H3" s="96"/>
    </row>
    <row r="4" customFormat="false" ht="24" hidden="false" customHeight="true" outlineLevel="0" collapsed="false">
      <c r="A4" s="94" t="s">
        <v>4793</v>
      </c>
      <c r="B4" s="95" t="str">
        <f aca="false">IF(ISNUMBER(Flights!$I$13),TEXT(Flights!$I$13,"DD-MMM-YY HH:MM"),"")&amp;" "&amp;Flights!$G$13&amp;"  →  "&amp;IF(ISNUMBER(Flights!$J$13),TEXT(Flights!$J$13,"DD-MMM-YY HH:MM"),"")&amp;" "&amp;Flights!$H$13</f>
        <v>11-Oct-26 13:05 HAN  →  11-Oct-26 17:30 KUL</v>
      </c>
      <c r="C4" s="95"/>
      <c r="D4" s="95"/>
      <c r="E4" s="94" t="s">
        <v>4794</v>
      </c>
      <c r="F4" s="98" t="str">
        <f aca="false">IF(ISNUMBER(Flights!$AG$13),TEXT(Flights!$AG$13,"DD-MMM-YY HH:MM"),"")&amp;" "&amp;Flights!$V$13</f>
        <v>04-Oct-26 13:05 HAN</v>
      </c>
      <c r="G4" s="99" t="n">
        <f aca="false">Flights!$AJ$13</f>
        <v>0</v>
      </c>
      <c r="H4" s="99"/>
    </row>
    <row r="5" customFormat="false" ht="24" hidden="false" customHeight="true" outlineLevel="0" collapsed="false">
      <c r="A5" s="94" t="s">
        <v>4795</v>
      </c>
      <c r="B5" s="95" t="str">
        <f aca="false">Flights!$L$13&amp;" – "&amp;Flights!$M$13</f>
        <v>B738MAX – B737-8 (B7M8)</v>
      </c>
      <c r="C5" s="95"/>
      <c r="D5" s="95"/>
      <c r="E5" s="94" t="s">
        <v>4796</v>
      </c>
      <c r="F5" s="98" t="str">
        <f aca="false">IF(ISNUMBER(Flights!$AH$13),TEXT(Flights!$AH$13,"DD-MMM-YY HH:MM"),"")&amp;" "&amp;Flights!$V$13</f>
        <v>10-Oct-26 13:05 HAN</v>
      </c>
      <c r="G5" s="99" t="n">
        <f aca="false">Flights!$AK$13</f>
        <v>0</v>
      </c>
      <c r="H5" s="99"/>
    </row>
    <row r="6" customFormat="false" ht="24" hidden="false" customHeight="true" outlineLevel="0" collapsed="false">
      <c r="A6" s="94" t="s">
        <v>4797</v>
      </c>
      <c r="B6" s="95" t="str">
        <f aca="false">IF(TRIM(Flights!$N$13)="","__________________",Flights!$N$13)</f>
        <v>__________________</v>
      </c>
      <c r="C6" s="95"/>
      <c r="D6" s="95"/>
      <c r="E6" s="94" t="s">
        <v>4798</v>
      </c>
      <c r="F6" s="98" t="str">
        <f aca="false">IF(ISNUMBER(Flights!$AI$13),TEXT(Flights!$AI$13,"DD-MMM-YY HH:MM"),"")&amp;" "&amp;Flights!$V$13&amp;IF(Flights!$AI$13=Flights!$AH$13,"  (= T-24H due)","")</f>
        <v>11-Oct-26 01:05 HAN</v>
      </c>
      <c r="G6" s="99" t="n">
        <f aca="false">Flights!$AL$13</f>
        <v>0</v>
      </c>
      <c r="H6" s="99"/>
    </row>
    <row r="7" customFormat="false" ht="24" hidden="false" customHeight="true" outlineLevel="0" collapsed="false">
      <c r="A7" s="94" t="s">
        <v>4799</v>
      </c>
      <c r="B7" s="95" t="str">
        <f aca="false">Flights!$T$13</f>
        <v>1 Meal (Meal)</v>
      </c>
      <c r="C7" s="95"/>
      <c r="D7" s="95"/>
      <c r="E7" s="94" t="s">
        <v>4800</v>
      </c>
      <c r="F7" s="98" t="str">
        <f aca="false">"STD "&amp;IF(ISNUMBER(Flights!$I$13),TEXT(Flights!$I$13,"DD-MMM-YY HH:MM"),"")&amp;" "&amp;Flights!$G$13&amp;" (dep stn)"</f>
        <v>STD 11-Oct-26 13:05 HAN (dep stn)</v>
      </c>
      <c r="G7" s="99" t="n">
        <f aca="false">Flights!$AM$13</f>
        <v>0</v>
      </c>
      <c r="H7" s="99"/>
    </row>
    <row r="8" customFormat="false" ht="12.75" hidden="false" customHeight="true" outlineLevel="0" collapsed="false">
      <c r="A8" s="94" t="s">
        <v>155</v>
      </c>
      <c r="B8" s="95" t="str">
        <f aca="false">Flights!$V$13&amp;"   (reference uplift stns: "&amp;Flights!$U$13&amp;")"</f>
        <v>HAN   (reference uplift stns: KUL/HAN)</v>
      </c>
      <c r="C8" s="95"/>
      <c r="D8" s="95"/>
      <c r="E8" s="94" t="s">
        <v>4801</v>
      </c>
      <c r="F8" s="100" t="s">
        <v>4802</v>
      </c>
      <c r="G8" s="99" t="n">
        <f aca="false">Flights!$AN$13</f>
        <v>0</v>
      </c>
      <c r="H8" s="99"/>
    </row>
    <row r="9" customFormat="false" ht="12.75" hidden="false" customHeight="true" outlineLevel="0" collapsed="false">
      <c r="A9" s="94" t="s">
        <v>4803</v>
      </c>
      <c r="B9" s="95" t="str">
        <f aca="false">TRIM(Flights!$P$13&amp;"  "&amp;Flights!$Q$13)</f>
        <v>- Overnight KUL</v>
      </c>
      <c r="C9" s="95"/>
      <c r="D9" s="95"/>
      <c r="E9" s="94" t="s">
        <v>4804</v>
      </c>
      <c r="F9" s="101" t="n">
        <f aca="false">Flights!$AP$13</f>
        <v>0</v>
      </c>
      <c r="G9" s="102" t="n">
        <f aca="false">Flights!$AQ$13</f>
        <v>0</v>
      </c>
      <c r="H9" s="103" t="n">
        <f aca="false">Flights!$AU$13</f>
        <v>0</v>
      </c>
    </row>
    <row r="10" customFormat="false" ht="24" hidden="false" customHeight="true" outlineLevel="0" collapsed="false">
      <c r="A10" s="94" t="s">
        <v>4805</v>
      </c>
      <c r="B10" s="95" t="str">
        <f aca="false">IF(TRIM(Flights!$X$13)="","__________________",Flights!$X$13)</f>
        <v>__________________</v>
      </c>
      <c r="C10" s="95"/>
      <c r="D10" s="95"/>
      <c r="E10" s="94" t="s">
        <v>4806</v>
      </c>
      <c r="F10" s="104" t="n">
        <f aca="false">Flights!$AO$13</f>
        <v>38</v>
      </c>
      <c r="G10" s="105" t="n">
        <f aca="false">Flights!$AS$13</f>
        <v>2</v>
      </c>
      <c r="H10" s="106" t="n">
        <f aca="false">Flights!$AR$13</f>
        <v>2</v>
      </c>
    </row>
    <row r="11" customFormat="false" ht="21" hidden="false" customHeight="true" outlineLevel="0" collapsed="false">
      <c r="A11" s="94" t="s">
        <v>4807</v>
      </c>
      <c r="B11" s="95" t="str">
        <f aca="false">IF(TRIM(Flights!$Y$13)="","__________________",Flights!$Y$13)</f>
        <v>__________________</v>
      </c>
      <c r="C11" s="95"/>
      <c r="D11" s="95"/>
      <c r="E11" s="94" t="s">
        <v>4808</v>
      </c>
      <c r="F11" s="97" t="str">
        <f aca="false">Flights!$AV$13&amp;" / "&amp;Flights!$AW$13</f>
        <v>0 / 38</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IF(Documents!$F$13="","",Documents!$F$13)</f>
        <v/>
      </c>
      <c r="C15" s="100" t="str">
        <f aca="false">IF(Documents!$G$13="","",Documents!$G$13)&amp;IF(ISNUMBER(Documents!$H$13),"  "&amp;TEXT(Documents!$H$13,"DD-MMM-YY"),"")</f>
        <v/>
      </c>
      <c r="D15" s="100"/>
      <c r="E15" s="114" t="str">
        <f aca="false">IF(Documents!$J$13="OUTSTANDING","OUTSTANDING – attach before T-7D (due "&amp;IF(ISNUMBER(Flights!$AG$13),TEXT(Flights!$AG$13,"DD-MMM-YY HH:MM"),"")&amp;" "&amp;Flights!$V$13&amp;")",IF(Documents!$J$13="","Status not recorded",Documents!$J$13))</f>
        <v>OUTSTANDING – attach before T-7D (due 04-Oct-26 13:05 HAN)</v>
      </c>
      <c r="F15" s="115" t="str">
        <f aca="false">"Staple behind this sheet as page A1."&amp;IF(Documents!$I$13="",""," Location: "&amp;Documents!$I$13)</f>
        <v>Staple behind this sheet as page A1.</v>
      </c>
      <c r="G15" s="115"/>
      <c r="H15" s="115"/>
    </row>
    <row r="16" customFormat="false" ht="36" hidden="false" customHeight="true" outlineLevel="0" collapsed="false">
      <c r="A16" s="94" t="s">
        <v>4819</v>
      </c>
      <c r="B16" s="95" t="str">
        <f aca="false">IF(Documents!$K$13="","",Documents!$K$13)</f>
        <v/>
      </c>
      <c r="C16" s="100" t="str">
        <f aca="false">IF(Documents!$L$13="","",Documents!$L$13)&amp;IF(ISNUMBER(Documents!$M$13),"  "&amp;TEXT(Documents!$M$13,"DD-MMM-YY"),"")</f>
        <v/>
      </c>
      <c r="D16" s="100"/>
      <c r="E16" s="114" t="str">
        <f aca="false">IF(Documents!$O$13="OUTSTANDING","OUTSTANDING – attach before T-7D (due "&amp;IF(ISNUMBER(Flights!$AG$13),TEXT(Flights!$AG$13,"DD-MMM-YY HH:MM"),"")&amp;" "&amp;Flights!$V$13&amp;")",IF(Documents!$O$13="","Status not recorded",Documents!$O$13))</f>
        <v>OUTSTANDING – attach before T-7D (due 04-Oct-26 13:05 HAN)</v>
      </c>
      <c r="F16" s="115" t="str">
        <f aca="false">"Staple behind this sheet as page A2."&amp;IF(Documents!$N$13="",""," Location: "&amp;Documents!$N$13)</f>
        <v>Staple behind this sheet as page A2.</v>
      </c>
      <c r="G16" s="115"/>
      <c r="H16" s="115"/>
    </row>
    <row r="17" customFormat="false" ht="22.5" hidden="false" customHeight="true" outlineLevel="0" collapsed="false">
      <c r="A17" s="94" t="s">
        <v>4820</v>
      </c>
      <c r="B17" s="116" t="str">
        <f aca="false">IF(Documents!$Q$13="","",Documents!$Q$13)</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"&amp;IF(TRIM(Flights!$Y$13)="","__________________",Flights!$Y$13)</f>
        <v>Name: __________________</v>
      </c>
      <c r="B19" s="95"/>
      <c r="C19" s="95" t="str">
        <f aca="false">"Name: __________________"</f>
        <v>Name: __________________</v>
      </c>
      <c r="D19" s="95"/>
      <c r="E19" s="95"/>
      <c r="F19" s="95" t="str">
        <f aca="false">"Name: __________________"&amp;"   Station: "&amp;Flights!$V$13</f>
        <v>Name: __________________   Station: HAN</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"&amp;IF(ISNUMBER(Flights!$AG$13),TEXT(Flights!$AG$13,"DD-MMM-YY HH:MM"),"")&amp;" "&amp;Flights!$V$13&amp;" (meal uplift stn)"&amp;" (rows with another due show their own)  |  Complete "&amp;IF(ISNUMBER(Flights!$AJ$13),TEXT(Flights!$AJ$13,"0%"),Flights!$AJ$13)&amp;"  |  9 lines"</f>
        <v>T-7D — 7 days before departure  |  Due 04-Oct-26 13:05 HAN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Checks!$A$283&amp;CHAR(10)&amp;IF(Checks!$I$283="","",Checks!$I$283&amp;": ")&amp;Checks!$J$283</f>
        <v>F09-T7-01
Meal: Meal sensory testing completed for this flight's menu cycle (assessed class)</v>
      </c>
      <c r="B23" s="120" t="str">
        <f aca="false">Checks!$K$283&amp;IF(Checks!$O$283="","",IF(Checks!$K$283="","",CHAR(10))&amp;"Note: "&amp;Checks!$O$283)</f>
        <v>Record panel result / score in Result</v>
      </c>
      <c r="C23" s="120" t="str">
        <f aca="false">Checks!$N$283&amp;CHAR(10)&amp;IF(ISNUMBER(Checks!$R$283),TEXT(Checks!$R$283,"DD-MMM-YY HH:MM"),"")&amp;" "&amp;Checks!$P$283</f>
        <v>Required
04-Oct-26 13:05 HAN</v>
      </c>
      <c r="D23" s="120" t="str">
        <f aca="false">IF(TRIM(Checks!$U$283)&lt;&gt;"",Checks!$U$283&amp;IF(Checks!$AB$283="","",CHAR(10)&amp;"CA: "&amp;Checks!$AB$283),IF(LEFT(Checks!$AH$283,10)="N/A – RULE","","[ ] Pass"&amp;CHAR(10)&amp;"[ ] Pass after CA"&amp;CHAR(10)&amp;"[ ] Fail"&amp;IF(Checks!$AT$283=1,CHAR(10)&amp;"[ ] N/A","")&amp;CHAR(10)&amp;"CA: Open / Closed"))</f>
        <v>[ ] Pass
[ ] Pass after CA
[ ] Fail
CA: Open / Closed</v>
      </c>
      <c r="E23" s="120" t="str">
        <f aca="false">IF(Checks!$V$283="","",Checks!$V$283)&amp;IF(Checks!$AC$283="","",IF(Checks!$V$283="","",CHAR(10))&amp;"N/A just.: "&amp;Checks!$AC$283)&amp;IF(OR(Checks!$W$283&lt;&gt;"",AND(Checks!$AQ$283=1,NOT(LEFT(Checks!$AH$283,10)="N/A – RULE"))),CHAR(10)&amp;"Batch: "&amp;IF(Checks!$W$283="","____________",Checks!$W$283),"")&amp;IF(OR(Checks!$X$283&lt;&gt;"",Checks!$Y$283&lt;&gt;"",AND(Checks!$AR$283=1,NOT(LEFT(Checks!$AH$283,10)="N/A – RULE"))),CHAR(10)&amp;"Exp: "&amp;IF(Checks!$X$283="","______",Checks!$X$283)&amp;"  /  Act: "&amp;IF(Checks!$Y$283="","______",Checks!$Y$283),"")</f>
        <v/>
      </c>
      <c r="F23" s="120" t="str">
        <f aca="false">IF(AND(LEFT(Checks!$AH$283,10)="N/A – RULE",TRIM(Checks!$S$283&amp;Checks!$Z$283)=""),"","Type: "&amp;IF(TRIM(Checks!$S$283)="","______________ (see cover list)",Checks!$S$283)&amp;CHAR(10)&amp;"ID: "&amp;IF(TRIM(Checks!$Z$283)="","______________ (record's own no.)",Checks!$Z$283))&amp;IF(Checks!$AA$283="","",CHAR(10)&amp;"CA: "&amp;Checks!$AA$283)</f>
        <v>Type: ______________ (see cover list)
ID: ______________ (record's own no.)</v>
      </c>
      <c r="G23" s="120" t="str">
        <f aca="false">IF(AND(LEFT(Checks!$AH$283,10)="N/A – RULE",NOT(ISNUMBER(Checks!$AD$283)),Checks!$AE$283="",Checks!$T$283=""),"","Done: "&amp;IF(ISNUMBER(Checks!$AD$283),TEXT(Checks!$AD$283,"DD-MMM-YY HH:MM"),"____________")&amp;" "&amp;Checks!$P$283&amp;CHAR(10)&amp;"Verifier: "&amp;IF(Checks!$AE$283="","____________",Checks!$AE$283)&amp;CHAR(10)&amp;"PIC: "&amp;IF(Checks!$T$283="","____________",Checks!$T$283))</f>
        <v>Done: ____________ HAN
Verifier: ____________
PIC: ____________</v>
      </c>
      <c r="H23" s="121" t="str">
        <f aca="false">IF(Checks!$AH$283="","",Checks!$AH$283)</f>
        <v>OPEN</v>
      </c>
    </row>
    <row r="24" customFormat="false" ht="114" hidden="false" customHeight="true" outlineLevel="0" collapsed="false">
      <c r="A24" s="120" t="str">
        <f aca="false">Checks!$A$284&amp;CHAR(10)&amp;IF(Checks!$I$284="","",Checks!$I$284&amp;": ")&amp;Checks!$J$284</f>
        <v>F09-T7-02
Menu: Printed menu cards confirmed (content, cycle, language, quantity)</v>
      </c>
      <c r="B24" s="120" t="str">
        <f aca="false">Checks!$K$284&amp;IF(Checks!$O$284="","",IF(Checks!$K$284="","",CHAR(10))&amp;"Note: "&amp;Checks!$O$284)</f>
        <v>Menu card matches approved menu for this flight</v>
      </c>
      <c r="C24" s="120" t="str">
        <f aca="false">Checks!$N$284&amp;CHAR(10)&amp;IF(ISNUMBER(Checks!$R$284),TEXT(Checks!$R$284,"DD-MMM-YY HH:MM"),"")&amp;" "&amp;Checks!$P$284</f>
        <v>Required
04-Oct-26 13:05 HAN</v>
      </c>
      <c r="D24" s="120" t="str">
        <f aca="false">IF(TRIM(Checks!$U$284)&lt;&gt;"",Checks!$U$284&amp;IF(Checks!$AB$284="","",CHAR(10)&amp;"CA: "&amp;Checks!$AB$284),IF(LEFT(Checks!$AH$284,10)="N/A – RULE","","[ ] Pass"&amp;CHAR(10)&amp;"[ ] Pass after CA"&amp;CHAR(10)&amp;"[ ] Fail"&amp;IF(Checks!$AT$284=1,CHAR(10)&amp;"[ ] N/A","")&amp;CHAR(10)&amp;"CA: Open / Closed"))</f>
        <v>[ ] Pass
[ ] Pass after CA
[ ] Fail
CA: Open / Closed</v>
      </c>
      <c r="E24" s="120" t="str">
        <f aca="false">IF(Checks!$V$284="","",Checks!$V$284)&amp;IF(Checks!$AC$284="","",IF(Checks!$V$284="","",CHAR(10))&amp;"N/A just.: "&amp;Checks!$AC$284)&amp;IF(OR(Checks!$W$284&lt;&gt;"",AND(Checks!$AQ$284=1,NOT(LEFT(Checks!$AH$284,10)="N/A – RULE"))),CHAR(10)&amp;"Batch: "&amp;IF(Checks!$W$284="","____________",Checks!$W$284),"")&amp;IF(OR(Checks!$X$284&lt;&gt;"",Checks!$Y$284&lt;&gt;"",AND(Checks!$AR$284=1,NOT(LEFT(Checks!$AH$284,10)="N/A – RULE"))),CHAR(10)&amp;"Exp: "&amp;IF(Checks!$X$284="","______",Checks!$X$284)&amp;"  /  Act: "&amp;IF(Checks!$Y$284="","______",Checks!$Y$284),"")</f>
        <v/>
      </c>
      <c r="F24" s="120" t="str">
        <f aca="false">IF(AND(LEFT(Checks!$AH$284,10)="N/A – RULE",TRIM(Checks!$S$284&amp;Checks!$Z$284)=""),"","Type: "&amp;IF(TRIM(Checks!$S$284)="","______________ (see cover list)",Checks!$S$284)&amp;CHAR(10)&amp;"ID: "&amp;IF(TRIM(Checks!$Z$284)="","______________ (record's own no.)",Checks!$Z$284))&amp;IF(Checks!$AA$284="","",CHAR(10)&amp;"CA: "&amp;Checks!$AA$284)</f>
        <v>Type: ______________ (see cover list)
ID: ______________ (record's own no.)</v>
      </c>
      <c r="G24" s="120" t="str">
        <f aca="false">IF(AND(LEFT(Checks!$AH$284,10)="N/A – RULE",NOT(ISNUMBER(Checks!$AD$284)),Checks!$AE$284="",Checks!$T$284=""),"","Done: "&amp;IF(ISNUMBER(Checks!$AD$284),TEXT(Checks!$AD$284,"DD-MMM-YY HH:MM"),"____________")&amp;" "&amp;Checks!$P$284&amp;CHAR(10)&amp;"Verifier: "&amp;IF(Checks!$AE$284="","____________",Checks!$AE$284)&amp;CHAR(10)&amp;"PIC: "&amp;IF(Checks!$T$284="","____________",Checks!$T$284))</f>
        <v>Done: ____________ HAN
Verifier: ____________
PIC: ____________</v>
      </c>
      <c r="H24" s="121" t="str">
        <f aca="false">IF(Checks!$AH$284="","",Checks!$AH$284)</f>
        <v>OPEN</v>
      </c>
    </row>
    <row r="25" customFormat="false" ht="114" hidden="false" customHeight="true" outlineLevel="0" collapsed="false">
      <c r="A25" s="120" t="str">
        <f aca="false">Checks!$A$285&amp;CHAR(10)&amp;IF(Checks!$I$285="","",Checks!$I$285&amp;": ")&amp;Checks!$J$285</f>
        <v>F09-T7-03
IFE: Digital menu in IFE confirmed (A339 only)</v>
      </c>
      <c r="B25" s="120" t="str">
        <f aca="false">Checks!$K$285&amp;IF(Checks!$O$285="","",IF(Checks!$K$285="","",CHAR(10))&amp;"Note: "&amp;Checks!$O$285)</f>
        <v>Applies when fleet = A339
Note: Digital IFE menu applies to A339 only (user brief). Applicability follows the Fleet cell on Flights.</v>
      </c>
      <c r="C25" s="120" t="str">
        <f aca="false">Checks!$N$285&amp;CHAR(10)&amp;IF(ISNUMBER(Checks!$R$285),TEXT(Checks!$R$285,"DD-MMM-YY HH:MM"),"")&amp;" "&amp;Checks!$P$285</f>
        <v>N/A – rule
04-Oct-26 13:05 HAN</v>
      </c>
      <c r="D25" s="120" t="str">
        <f aca="false">IF(TRIM(Checks!$U$285)&lt;&gt;"",Checks!$U$285&amp;IF(Checks!$AB$285="","",CHAR(10)&amp;"CA: "&amp;Checks!$AB$285),IF(LEFT(Checks!$AH$285,10)="N/A – RULE","","[ ] Pass"&amp;CHAR(10)&amp;"[ ] Pass after CA"&amp;CHAR(10)&amp;"[ ] Fail"&amp;IF(Checks!$AT$285=1,CHAR(10)&amp;"[ ] N/A","")&amp;CHAR(10)&amp;"CA: Open / Closed"))</f>
        <v/>
      </c>
      <c r="E25" s="120" t="str">
        <f aca="false">IF(Checks!$V$285="","",Checks!$V$285)&amp;IF(Checks!$AC$285="","",IF(Checks!$V$285="","",CHAR(10))&amp;"N/A just.: "&amp;Checks!$AC$285)&amp;IF(OR(Checks!$W$285&lt;&gt;"",AND(Checks!$AQ$285=1,NOT(LEFT(Checks!$AH$285,10)="N/A – RULE"))),CHAR(10)&amp;"Batch: "&amp;IF(Checks!$W$285="","____________",Checks!$W$285),"")&amp;IF(OR(Checks!$X$285&lt;&gt;"",Checks!$Y$285&lt;&gt;"",AND(Checks!$AR$285=1,NOT(LEFT(Checks!$AH$285,10)="N/A – RULE"))),CHAR(10)&amp;"Exp: "&amp;IF(Checks!$X$285="","______",Checks!$X$285)&amp;"  /  Act: "&amp;IF(Checks!$Y$285="","______",Checks!$Y$285),"")</f>
        <v/>
      </c>
      <c r="F25" s="120" t="str">
        <f aca="false">IF(AND(LEFT(Checks!$AH$285,10)="N/A – RULE",TRIM(Checks!$S$285&amp;Checks!$Z$285)=""),"","Type: "&amp;IF(TRIM(Checks!$S$285)="","______________ (see cover list)",Checks!$S$285)&amp;CHAR(10)&amp;"ID: "&amp;IF(TRIM(Checks!$Z$285)="","______________ (record's own no.)",Checks!$Z$285))&amp;IF(Checks!$AA$285="","",CHAR(10)&amp;"CA: "&amp;Checks!$AA$285)</f>
        <v/>
      </c>
      <c r="G25" s="120" t="str">
        <f aca="false">IF(AND(LEFT(Checks!$AH$285,10)="N/A – RULE",NOT(ISNUMBER(Checks!$AD$285)),Checks!$AE$285="",Checks!$T$285=""),"","Done: "&amp;IF(ISNUMBER(Checks!$AD$285),TEXT(Checks!$AD$285,"DD-MMM-YY HH:MM"),"____________")&amp;" "&amp;Checks!$P$285&amp;CHAR(10)&amp;"Verifier: "&amp;IF(Checks!$AE$285="","____________",Checks!$AE$285)&amp;CHAR(10)&amp;"PIC: "&amp;IF(Checks!$T$285="","____________",Checks!$T$285))</f>
        <v/>
      </c>
      <c r="H25" s="121" t="str">
        <f aca="false">IF(Checks!$AH$285="","",Checks!$AH$285)</f>
        <v>N/A – RULE</v>
      </c>
    </row>
    <row r="26" customFormat="false" ht="114" hidden="false" customHeight="true" outlineLevel="0" collapsed="false">
      <c r="A26" s="120" t="str">
        <f aca="false">Checks!$A$286&amp;CHAR(10)&amp;IF(Checks!$I$286="","",Checks!$I$286&amp;": ")&amp;Checks!$J$286</f>
        <v>F09-T7-04
Staffing: Experienced catering officer assigned to this flight</v>
      </c>
      <c r="B26" s="120" t="str">
        <f aca="false">Checks!$K$286&amp;IF(Checks!$O$286="","",IF(Checks!$K$286="","",CHAR(10))&amp;"Note: "&amp;Checks!$O$286)</f>
        <v>Record officer name in Result</v>
      </c>
      <c r="C26" s="120" t="str">
        <f aca="false">Checks!$N$286&amp;CHAR(10)&amp;IF(ISNUMBER(Checks!$R$286),TEXT(Checks!$R$286,"DD-MMM-YY HH:MM"),"")&amp;" "&amp;Checks!$P$286</f>
        <v>Required
04-Oct-26 13:05 HAN</v>
      </c>
      <c r="D26" s="120" t="str">
        <f aca="false">IF(TRIM(Checks!$U$286)&lt;&gt;"",Checks!$U$286&amp;IF(Checks!$AB$286="","",CHAR(10)&amp;"CA: "&amp;Checks!$AB$286),IF(LEFT(Checks!$AH$286,10)="N/A – RULE","","[ ] Pass"&amp;CHAR(10)&amp;"[ ] Pass after CA"&amp;CHAR(10)&amp;"[ ] Fail"&amp;IF(Checks!$AT$286=1,CHAR(10)&amp;"[ ] N/A","")&amp;CHAR(10)&amp;"CA: Open / Closed"))</f>
        <v>[ ] Pass
[ ] Pass after CA
[ ] Fail
CA: Open / Closed</v>
      </c>
      <c r="E26" s="120" t="str">
        <f aca="false">IF(Checks!$V$286="","",Checks!$V$286)&amp;IF(Checks!$AC$286="","",IF(Checks!$V$286="","",CHAR(10))&amp;"N/A just.: "&amp;Checks!$AC$286)&amp;IF(OR(Checks!$W$286&lt;&gt;"",AND(Checks!$AQ$286=1,NOT(LEFT(Checks!$AH$286,10)="N/A – RULE"))),CHAR(10)&amp;"Batch: "&amp;IF(Checks!$W$286="","____________",Checks!$W$286),"")&amp;IF(OR(Checks!$X$286&lt;&gt;"",Checks!$Y$286&lt;&gt;"",AND(Checks!$AR$286=1,NOT(LEFT(Checks!$AH$286,10)="N/A – RULE"))),CHAR(10)&amp;"Exp: "&amp;IF(Checks!$X$286="","______",Checks!$X$286)&amp;"  /  Act: "&amp;IF(Checks!$Y$286="","______",Checks!$Y$286),"")</f>
        <v/>
      </c>
      <c r="F26" s="120" t="str">
        <f aca="false">IF(AND(LEFT(Checks!$AH$286,10)="N/A – RULE",TRIM(Checks!$S$286&amp;Checks!$Z$286)=""),"","Type: "&amp;IF(TRIM(Checks!$S$286)="","______________ (see cover list)",Checks!$S$286)&amp;CHAR(10)&amp;"ID: "&amp;IF(TRIM(Checks!$Z$286)="","______________ (record's own no.)",Checks!$Z$286))&amp;IF(Checks!$AA$286="","",CHAR(10)&amp;"CA: "&amp;Checks!$AA$286)</f>
        <v>Type: ______________ (see cover list)
ID: ______________ (record's own no.)</v>
      </c>
      <c r="G26" s="120" t="str">
        <f aca="false">IF(AND(LEFT(Checks!$AH$286,10)="N/A – RULE",NOT(ISNUMBER(Checks!$AD$286)),Checks!$AE$286="",Checks!$T$286=""),"","Done: "&amp;IF(ISNUMBER(Checks!$AD$286),TEXT(Checks!$AD$286,"DD-MMM-YY HH:MM"),"____________")&amp;" "&amp;Checks!$P$286&amp;CHAR(10)&amp;"Verifier: "&amp;IF(Checks!$AE$286="","____________",Checks!$AE$286)&amp;CHAR(10)&amp;"PIC: "&amp;IF(Checks!$T$286="","____________",Checks!$T$286))</f>
        <v>Done: ____________ HAN
Verifier: ____________
PIC: ____________</v>
      </c>
      <c r="H26" s="121" t="str">
        <f aca="false">IF(Checks!$AH$286="","",Checks!$AH$286)</f>
        <v>OPEN</v>
      </c>
    </row>
    <row r="27" customFormat="false" ht="114" hidden="false" customHeight="true" outlineLevel="0" collapsed="false">
      <c r="A27" s="120" t="str">
        <f aca="false">Checks!$A$287&amp;CHAR(10)&amp;IF(Checks!$I$287="","",Checks!$I$287&amp;": ")&amp;Checks!$J$287</f>
        <v>F09-T7-05
ISOP: All latest applicable ISOP revisions communicated to caterer</v>
      </c>
      <c r="B27" s="120" t="str">
        <f aca="false">Checks!$K$287&amp;IF(Checks!$O$287="","",IF(Checks!$K$287="","",CHAR(10))&amp;"Note: "&amp;Checks!$O$287)</f>
        <v>List revision numbers in Result (see ISOP register)</v>
      </c>
      <c r="C27" s="120" t="str">
        <f aca="false">Checks!$N$287&amp;CHAR(10)&amp;IF(ISNUMBER(Checks!$R$287),TEXT(Checks!$R$287,"DD-MMM-YY HH:MM"),"")&amp;" "&amp;Checks!$P$287</f>
        <v>Required
04-Oct-26 13:05 HAN</v>
      </c>
      <c r="D27" s="120" t="str">
        <f aca="false">IF(TRIM(Checks!$U$287)&lt;&gt;"",Checks!$U$287&amp;IF(Checks!$AB$287="","",CHAR(10)&amp;"CA: "&amp;Checks!$AB$287),IF(LEFT(Checks!$AH$287,10)="N/A – RULE","","[ ] Pass"&amp;CHAR(10)&amp;"[ ] Pass after CA"&amp;CHAR(10)&amp;"[ ] Fail"&amp;IF(Checks!$AT$287=1,CHAR(10)&amp;"[ ] N/A","")&amp;CHAR(10)&amp;"CA: Open / Closed"))</f>
        <v>[ ] Pass
[ ] Pass after CA
[ ] Fail
CA: Open / Closed</v>
      </c>
      <c r="E27" s="120" t="str">
        <f aca="false">IF(Checks!$V$287="","",Checks!$V$287)&amp;IF(Checks!$AC$287="","",IF(Checks!$V$287="","",CHAR(10))&amp;"N/A just.: "&amp;Checks!$AC$287)&amp;IF(OR(Checks!$W$287&lt;&gt;"",AND(Checks!$AQ$287=1,NOT(LEFT(Checks!$AH$287,10)="N/A – RULE"))),CHAR(10)&amp;"Batch: "&amp;IF(Checks!$W$287="","____________",Checks!$W$287),"")&amp;IF(OR(Checks!$X$287&lt;&gt;"",Checks!$Y$287&lt;&gt;"",AND(Checks!$AR$287=1,NOT(LEFT(Checks!$AH$287,10)="N/A – RULE"))),CHAR(10)&amp;"Exp: "&amp;IF(Checks!$X$287="","______",Checks!$X$287)&amp;"  /  Act: "&amp;IF(Checks!$Y$287="","______",Checks!$Y$287),"")</f>
        <v/>
      </c>
      <c r="F27" s="120" t="str">
        <f aca="false">IF(AND(LEFT(Checks!$AH$287,10)="N/A – RULE",TRIM(Checks!$S$287&amp;Checks!$Z$287)=""),"","Type: "&amp;IF(TRIM(Checks!$S$287)="","______________ (see cover list)",Checks!$S$287)&amp;CHAR(10)&amp;"ID: "&amp;IF(TRIM(Checks!$Z$287)="","______________ (record's own no.)",Checks!$Z$287))&amp;IF(Checks!$AA$287="","",CHAR(10)&amp;"CA: "&amp;Checks!$AA$287)</f>
        <v>Type: ______________ (see cover list)
ID: ______________ (record's own no.)</v>
      </c>
      <c r="G27" s="120" t="str">
        <f aca="false">IF(AND(LEFT(Checks!$AH$287,10)="N/A – RULE",NOT(ISNUMBER(Checks!$AD$287)),Checks!$AE$287="",Checks!$T$287=""),"","Done: "&amp;IF(ISNUMBER(Checks!$AD$287),TEXT(Checks!$AD$287,"DD-MMM-YY HH:MM"),"____________")&amp;" "&amp;Checks!$P$287&amp;CHAR(10)&amp;"Verifier: "&amp;IF(Checks!$AE$287="","____________",Checks!$AE$287)&amp;CHAR(10)&amp;"PIC: "&amp;IF(Checks!$T$287="","____________",Checks!$T$287))</f>
        <v>Done: ____________ HAN
Verifier: ____________
PIC: ____________</v>
      </c>
      <c r="H27" s="121" t="str">
        <f aca="false">IF(Checks!$AH$287="","",Checks!$AH$287)</f>
        <v>OPEN</v>
      </c>
    </row>
    <row r="28" customFormat="false" ht="114" hidden="false" customHeight="true" outlineLevel="0" collapsed="false">
      <c r="A28" s="120" t="str">
        <f aca="false">Checks!$A$288&amp;CHAR(10)&amp;IF(Checks!$I$288="","",Checks!$I$288&amp;": ")&amp;Checks!$J$288</f>
        <v>F09-T7-06
ISOP: Caterer acknowledgement of ISOP revisions recorded</v>
      </c>
      <c r="B28" s="120" t="str">
        <f aca="false">Checks!$K$288&amp;IF(Checks!$O$288="","",IF(Checks!$K$288="","",CHAR(10))&amp;"Note: "&amp;Checks!$O$288)</f>
        <v>Record acknowledgement ref in Evidence</v>
      </c>
      <c r="C28" s="120" t="str">
        <f aca="false">Checks!$N$288&amp;CHAR(10)&amp;IF(ISNUMBER(Checks!$R$288),TEXT(Checks!$R$288,"DD-MMM-YY HH:MM"),"")&amp;" "&amp;Checks!$P$288</f>
        <v>Required
04-Oct-26 13:05 HAN</v>
      </c>
      <c r="D28" s="120" t="str">
        <f aca="false">IF(TRIM(Checks!$U$288)&lt;&gt;"",Checks!$U$288&amp;IF(Checks!$AB$288="","",CHAR(10)&amp;"CA: "&amp;Checks!$AB$288),IF(LEFT(Checks!$AH$288,10)="N/A – RULE","","[ ] Pass"&amp;CHAR(10)&amp;"[ ] Pass after CA"&amp;CHAR(10)&amp;"[ ] Fail"&amp;IF(Checks!$AT$288=1,CHAR(10)&amp;"[ ] N/A","")&amp;CHAR(10)&amp;"CA: Open / Closed"))</f>
        <v>[ ] Pass
[ ] Pass after CA
[ ] Fail
CA: Open / Closed</v>
      </c>
      <c r="E28" s="120" t="str">
        <f aca="false">IF(Checks!$V$288="","",Checks!$V$288)&amp;IF(Checks!$AC$288="","",IF(Checks!$V$288="","",CHAR(10))&amp;"N/A just.: "&amp;Checks!$AC$288)&amp;IF(OR(Checks!$W$288&lt;&gt;"",AND(Checks!$AQ$288=1,NOT(LEFT(Checks!$AH$288,10)="N/A – RULE"))),CHAR(10)&amp;"Batch: "&amp;IF(Checks!$W$288="","____________",Checks!$W$288),"")&amp;IF(OR(Checks!$X$288&lt;&gt;"",Checks!$Y$288&lt;&gt;"",AND(Checks!$AR$288=1,NOT(LEFT(Checks!$AH$288,10)="N/A – RULE"))),CHAR(10)&amp;"Exp: "&amp;IF(Checks!$X$288="","______",Checks!$X$288)&amp;"  /  Act: "&amp;IF(Checks!$Y$288="","______",Checks!$Y$288),"")</f>
        <v/>
      </c>
      <c r="F28" s="120" t="str">
        <f aca="false">IF(AND(LEFT(Checks!$AH$288,10)="N/A – RULE",TRIM(Checks!$S$288&amp;Checks!$Z$288)=""),"","Type: "&amp;IF(TRIM(Checks!$S$288)="","______________ (see cover list)",Checks!$S$288)&amp;CHAR(10)&amp;"ID: "&amp;IF(TRIM(Checks!$Z$288)="","______________ (record's own no.)",Checks!$Z$288))&amp;IF(Checks!$AA$288="","",CHAR(10)&amp;"CA: "&amp;Checks!$AA$288)</f>
        <v>Type: ______________ (see cover list)
ID: ______________ (record's own no.)</v>
      </c>
      <c r="G28" s="120" t="str">
        <f aca="false">IF(AND(LEFT(Checks!$AH$288,10)="N/A – RULE",NOT(ISNUMBER(Checks!$AD$288)),Checks!$AE$288="",Checks!$T$288=""),"","Done: "&amp;IF(ISNUMBER(Checks!$AD$288),TEXT(Checks!$AD$288,"DD-MMM-YY HH:MM"),"____________")&amp;" "&amp;Checks!$P$288&amp;CHAR(10)&amp;"Verifier: "&amp;IF(Checks!$AE$288="","____________",Checks!$AE$288)&amp;CHAR(10)&amp;"PIC: "&amp;IF(Checks!$T$288="","____________",Checks!$T$288))</f>
        <v>Done: ____________ HAN
Verifier: ____________
PIC: ____________</v>
      </c>
      <c r="H28" s="121" t="str">
        <f aca="false">IF(Checks!$AH$288="","",Checks!$AH$288)</f>
        <v>OPEN</v>
      </c>
    </row>
    <row r="29" customFormat="false" ht="114" hidden="false" customHeight="true" outlineLevel="0" collapsed="false">
      <c r="A29" s="120" t="str">
        <f aca="false">Checks!$A$289&amp;CHAR(10)&amp;IF(Checks!$I$289="","",Checks!$I$289&amp;": ")&amp;Checks!$J$289</f>
        <v>F09-T7-07
Documents: Galley loading diagram (GLD) received, revision recorded &amp; attached</v>
      </c>
      <c r="B29" s="120" t="str">
        <f aca="false">SUBSTITUTE(Checks!$K$289&amp;IF(Checks!$O$289="","",IF(Checks!$K$289="","",CHAR(10))&amp;"Note: "&amp;Checks!$O$289),"Documents sheet row complete","Recorded on the Documents sheet; copy stapled as A1 / A2")</f>
        <v>Recorded on the Documents sheet; copy stapled as A1 / A2</v>
      </c>
      <c r="C29" s="120" t="str">
        <f aca="false">Checks!$N$289&amp;CHAR(10)&amp;IF(ISNUMBER(Checks!$R$289),TEXT(Checks!$R$289,"DD-MMM-YY HH:MM"),"")&amp;" "&amp;Checks!$P$289</f>
        <v>Required
04-Oct-26 13:05 HAN</v>
      </c>
      <c r="D29" s="120" t="str">
        <f aca="false">IF(TRIM(Checks!$U$289)&lt;&gt;"",Checks!$U$289&amp;IF(Checks!$AB$289="","",CHAR(10)&amp;"CA: "&amp;Checks!$AB$289),IF(LEFT(Checks!$AH$289,10)="N/A – RULE","","[ ] Pass"&amp;CHAR(10)&amp;"[ ] Pass after CA"&amp;CHAR(10)&amp;"[ ] Fail"&amp;IF(Checks!$AT$289=1,CHAR(10)&amp;"[ ] N/A","")&amp;CHAR(10)&amp;"CA: Open / Closed"))</f>
        <v>[ ] Pass
[ ] Pass after CA
[ ] Fail
CA: Open / Closed</v>
      </c>
      <c r="E29" s="120" t="str">
        <f aca="false">IF(Checks!$V$289="","",Checks!$V$289)&amp;IF(Checks!$AC$289="","",IF(Checks!$V$289="","",CHAR(10))&amp;"N/A just.: "&amp;Checks!$AC$289)&amp;IF(OR(Checks!$W$289&lt;&gt;"",AND(Checks!$AQ$289=1,NOT(LEFT(Checks!$AH$289,10)="N/A – RULE"))),CHAR(10)&amp;"Batch: "&amp;IF(Checks!$W$289="","____________",Checks!$W$289),"")&amp;IF(OR(Checks!$X$289&lt;&gt;"",Checks!$Y$289&lt;&gt;"",AND(Checks!$AR$289=1,NOT(LEFT(Checks!$AH$289,10)="N/A – RULE"))),CHAR(10)&amp;"Exp: "&amp;IF(Checks!$X$289="","______",Checks!$X$289)&amp;"  /  Act: "&amp;IF(Checks!$Y$289="","______",Checks!$Y$289),"")</f>
        <v/>
      </c>
      <c r="F29" s="120" t="str">
        <f aca="false">IF(AND(LEFT(Checks!$AH$289,10)="N/A – RULE",TRIM(Checks!$S$289&amp;Checks!$Z$289)=""),"","Type: "&amp;IF(TRIM(Checks!$S$289)="","______________ (see cover list)",Checks!$S$289)&amp;CHAR(10)&amp;"ID: "&amp;IF(TRIM(Checks!$Z$289)="","______________ (record's own no.)",Checks!$Z$289))&amp;IF(Checks!$AA$289="","",CHAR(10)&amp;"CA: "&amp;Checks!$AA$289)</f>
        <v>Type: ______________ (see cover list)
ID: ______________ (record's own no.)</v>
      </c>
      <c r="G29" s="120" t="str">
        <f aca="false">IF(AND(LEFT(Checks!$AH$289,10)="N/A – RULE",NOT(ISNUMBER(Checks!$AD$289)),Checks!$AE$289="",Checks!$T$289=""),"","Done: "&amp;IF(ISNUMBER(Checks!$AD$289),TEXT(Checks!$AD$289,"DD-MMM-YY HH:MM"),"____________")&amp;" "&amp;Checks!$P$289&amp;CHAR(10)&amp;"Verifier: "&amp;IF(Checks!$AE$289="","____________",Checks!$AE$289)&amp;CHAR(10)&amp;"PIC: "&amp;IF(Checks!$T$289="","____________",Checks!$T$289))</f>
        <v>Done: ____________ HAN
Verifier: ____________
PIC: ____________</v>
      </c>
      <c r="H29" s="121" t="str">
        <f aca="false">IF(Checks!$AH$289="","",Checks!$AH$289)</f>
        <v>OPEN</v>
      </c>
    </row>
    <row r="30" customFormat="false" ht="114" hidden="false" customHeight="true" outlineLevel="0" collapsed="false">
      <c r="A30" s="120" t="str">
        <f aca="false">Checks!$A$290&amp;CHAR(10)&amp;IF(Checks!$I$290="","",Checks!$I$290&amp;": ")&amp;Checks!$J$290</f>
        <v>F09-T7-08
Documents: Menu checklist received, revision recorded &amp; attached</v>
      </c>
      <c r="B30" s="120" t="str">
        <f aca="false">SUBSTITUTE(Checks!$K$290&amp;IF(Checks!$O$290="","",IF(Checks!$K$290="","",CHAR(10))&amp;"Note: "&amp;Checks!$O$290),"Documents sheet row complete","Recorded on the Documents sheet; copy stapled as A1 / A2")</f>
        <v>Recorded on the Documents sheet; copy stapled as A1 / A2</v>
      </c>
      <c r="C30" s="120" t="str">
        <f aca="false">Checks!$N$290&amp;CHAR(10)&amp;IF(ISNUMBER(Checks!$R$290),TEXT(Checks!$R$290,"DD-MMM-YY HH:MM"),"")&amp;" "&amp;Checks!$P$290</f>
        <v>Required
04-Oct-26 13:05 HAN</v>
      </c>
      <c r="D30" s="120" t="str">
        <f aca="false">IF(TRIM(Checks!$U$290)&lt;&gt;"",Checks!$U$290&amp;IF(Checks!$AB$290="","",CHAR(10)&amp;"CA: "&amp;Checks!$AB$290),IF(LEFT(Checks!$AH$290,10)="N/A – RULE","","[ ] Pass"&amp;CHAR(10)&amp;"[ ] Pass after CA"&amp;CHAR(10)&amp;"[ ] Fail"&amp;IF(Checks!$AT$290=1,CHAR(10)&amp;"[ ] N/A","")&amp;CHAR(10)&amp;"CA: Open / Closed"))</f>
        <v>[ ] Pass
[ ] Pass after CA
[ ] Fail
CA: Open / Closed</v>
      </c>
      <c r="E30" s="120" t="str">
        <f aca="false">IF(Checks!$V$290="","",Checks!$V$290)&amp;IF(Checks!$AC$290="","",IF(Checks!$V$290="","",CHAR(10))&amp;"N/A just.: "&amp;Checks!$AC$290)&amp;IF(OR(Checks!$W$290&lt;&gt;"",AND(Checks!$AQ$290=1,NOT(LEFT(Checks!$AH$290,10)="N/A – RULE"))),CHAR(10)&amp;"Batch: "&amp;IF(Checks!$W$290="","____________",Checks!$W$290),"")&amp;IF(OR(Checks!$X$290&lt;&gt;"",Checks!$Y$290&lt;&gt;"",AND(Checks!$AR$290=1,NOT(LEFT(Checks!$AH$290,10)="N/A – RULE"))),CHAR(10)&amp;"Exp: "&amp;IF(Checks!$X$290="","______",Checks!$X$290)&amp;"  /  Act: "&amp;IF(Checks!$Y$290="","______",Checks!$Y$290),"")</f>
        <v/>
      </c>
      <c r="F30" s="120" t="str">
        <f aca="false">IF(AND(LEFT(Checks!$AH$290,10)="N/A – RULE",TRIM(Checks!$S$290&amp;Checks!$Z$290)=""),"","Type: "&amp;IF(TRIM(Checks!$S$290)="","______________ (see cover list)",Checks!$S$290)&amp;CHAR(10)&amp;"ID: "&amp;IF(TRIM(Checks!$Z$290)="","______________ (record's own no.)",Checks!$Z$290))&amp;IF(Checks!$AA$290="","",CHAR(10)&amp;"CA: "&amp;Checks!$AA$290)</f>
        <v>Type: ______________ (see cover list)
ID: ______________ (record's own no.)</v>
      </c>
      <c r="G30" s="120" t="str">
        <f aca="false">IF(AND(LEFT(Checks!$AH$290,10)="N/A – RULE",NOT(ISNUMBER(Checks!$AD$290)),Checks!$AE$290="",Checks!$T$290=""),"","Done: "&amp;IF(ISNUMBER(Checks!$AD$290),TEXT(Checks!$AD$290,"DD-MMM-YY HH:MM"),"____________")&amp;" "&amp;Checks!$P$290&amp;CHAR(10)&amp;"Verifier: "&amp;IF(Checks!$AE$290="","____________",Checks!$AE$290)&amp;CHAR(10)&amp;"PIC: "&amp;IF(Checks!$T$290="","____________",Checks!$T$290))</f>
        <v>Done: ____________ HAN
Verifier: ____________
PIC: ____________</v>
      </c>
      <c r="H30" s="121" t="str">
        <f aca="false">IF(Checks!$AH$290="","",Checks!$AH$290)</f>
        <v>OPEN</v>
      </c>
    </row>
    <row r="31" customFormat="false" ht="114" hidden="false" customHeight="true" outlineLevel="0" collapsed="false">
      <c r="A31" s="120" t="str">
        <f aca="false">Checks!$A$291&amp;CHAR(10)&amp;IF(Checks!$I$291="","",Checks!$I$291&amp;": ")&amp;Checks!$J$291</f>
        <v>F09-T7-09
Uplift plan: Uplift plan confirmed with caterer vs STD Uplift Information</v>
      </c>
      <c r="B31" s="120" t="str">
        <f aca="false">Checks!$K$291&amp;IF(Checks!$O$291="","",IF(Checks!$K$291="","",CHAR(10))&amp;"Note: "&amp;Checks!$O$291)</f>
        <v>Service: 1 Meal (Meal); meal uplift stn HAN (ref lists KUL/HAN)</v>
      </c>
      <c r="C31" s="120" t="str">
        <f aca="false">Checks!$N$291&amp;CHAR(10)&amp;IF(ISNUMBER(Checks!$R$291),TEXT(Checks!$R$291,"DD-MMM-YY HH:MM"),"")&amp;" "&amp;Checks!$P$291</f>
        <v>Required
04-Oct-26 13:05 HAN</v>
      </c>
      <c r="D31" s="120" t="str">
        <f aca="false">IF(TRIM(Checks!$U$291)&lt;&gt;"",Checks!$U$291&amp;IF(Checks!$AB$291="","",CHAR(10)&amp;"CA: "&amp;Checks!$AB$291),IF(LEFT(Checks!$AH$291,10)="N/A – RULE","","[ ] Pass"&amp;CHAR(10)&amp;"[ ] Pass after CA"&amp;CHAR(10)&amp;"[ ] Fail"&amp;IF(Checks!$AT$291=1,CHAR(10)&amp;"[ ] N/A","")&amp;CHAR(10)&amp;"CA: Open / Closed"))</f>
        <v>[ ] Pass
[ ] Pass after CA
[ ] Fail
CA: Open / Closed</v>
      </c>
      <c r="E31" s="120" t="str">
        <f aca="false">IF(Checks!$V$291="","",Checks!$V$291)&amp;IF(Checks!$AC$291="","",IF(Checks!$V$291="","",CHAR(10))&amp;"N/A just.: "&amp;Checks!$AC$291)&amp;IF(OR(Checks!$W$291&lt;&gt;"",AND(Checks!$AQ$291=1,NOT(LEFT(Checks!$AH$291,10)="N/A – RULE"))),CHAR(10)&amp;"Batch: "&amp;IF(Checks!$W$291="","____________",Checks!$W$291),"")&amp;IF(OR(Checks!$X$291&lt;&gt;"",Checks!$Y$291&lt;&gt;"",AND(Checks!$AR$291=1,NOT(LEFT(Checks!$AH$291,10)="N/A – RULE"))),CHAR(10)&amp;"Exp: "&amp;IF(Checks!$X$291="","______",Checks!$X$291)&amp;"  /  Act: "&amp;IF(Checks!$Y$291="","______",Checks!$Y$291),"")</f>
        <v/>
      </c>
      <c r="F31" s="120" t="str">
        <f aca="false">IF(AND(LEFT(Checks!$AH$291,10)="N/A – RULE",TRIM(Checks!$S$291&amp;Checks!$Z$291)=""),"","Type: "&amp;IF(TRIM(Checks!$S$291)="","______________ (see cover list)",Checks!$S$291)&amp;CHAR(10)&amp;"ID: "&amp;IF(TRIM(Checks!$Z$291)="","______________ (record's own no.)",Checks!$Z$291))&amp;IF(Checks!$AA$291="","",CHAR(10)&amp;"CA: "&amp;Checks!$AA$291)</f>
        <v>Type: ______________ (see cover list)
ID: ______________ (record's own no.)</v>
      </c>
      <c r="G31" s="120" t="str">
        <f aca="false">IF(AND(LEFT(Checks!$AH$291,10)="N/A – RULE",NOT(ISNUMBER(Checks!$AD$291)),Checks!$AE$291="",Checks!$T$291=""),"","Done: "&amp;IF(ISNUMBER(Checks!$AD$291),TEXT(Checks!$AD$291,"DD-MMM-YY HH:MM"),"____________")&amp;" "&amp;Checks!$P$291&amp;CHAR(10)&amp;"Verifier: "&amp;IF(Checks!$AE$291="","____________",Checks!$AE$291)&amp;CHAR(10)&amp;"PIC: "&amp;IF(Checks!$T$291="","____________",Checks!$T$291))</f>
        <v>Done: ____________ HAN
Verifier: ____________
PIC: ____________</v>
      </c>
      <c r="H31" s="121" t="str">
        <f aca="false">IF(Checks!$AH$291="","",Checks!$AH$291)</f>
        <v>OPEN</v>
      </c>
    </row>
    <row r="32" customFormat="false" ht="25.5" hidden="false" customHeight="true" outlineLevel="0" collapsed="false">
      <c r="A32" s="119" t="str">
        <f aca="false">"T-24H — Production batch sensory  |  Due "&amp;IF(ISNUMBER(Flights!$AH$13),TEXT(Flights!$AH$13,"DD-MMM-YY HH:MM"),"")&amp;" "&amp;Flights!$V$13&amp;" (meal uplift stn)"&amp;" (rows with another due show their own)  |  Complete "&amp;IF(ISNUMBER(Flights!$AK$13),TEXT(Flights!$AK$13,"0%"),Flights!$AK$13)&amp;"  |  1 lines"</f>
        <v>T-24H — Production batch sensory  |  Due 10-Oct-26 13:05 HAN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Checks!$A$292&amp;CHAR(10)&amp;IF(Checks!$I$292="","",Checks!$I$292&amp;": ")&amp;Checks!$J$292</f>
        <v>F09-T24-01
Meal: Sensory test repeated on ACTUAL production batch for this flight</v>
      </c>
      <c r="B33" s="120" t="str">
        <f aca="false">Checks!$K$292&amp;IF(Checks!$O$292="","",IF(Checks!$K$292="","",CHAR(10))&amp;"Note: "&amp;Checks!$O$292)</f>
        <v>Batch ID, result, CA and acceptance mandatory</v>
      </c>
      <c r="C33" s="120" t="str">
        <f aca="false">Checks!$N$292&amp;CHAR(10)&amp;IF(ISNUMBER(Checks!$R$292),TEXT(Checks!$R$292,"DD-MMM-YY HH:MM"),"")&amp;" "&amp;Checks!$P$292</f>
        <v>Required
10-Oct-26 13:05 HAN</v>
      </c>
      <c r="D33" s="120" t="str">
        <f aca="false">IF(TRIM(Checks!$U$292)&lt;&gt;"",Checks!$U$292&amp;IF(Checks!$AB$292="","",CHAR(10)&amp;"CA: "&amp;Checks!$AB$292),IF(LEFT(Checks!$AH$292,10)="N/A – RULE","","[ ] Pass"&amp;CHAR(10)&amp;"[ ] Pass after CA"&amp;CHAR(10)&amp;"[ ] Fail"&amp;IF(Checks!$AT$292=1,CHAR(10)&amp;"[ ] N/A","")&amp;CHAR(10)&amp;"CA: Open / Closed"))</f>
        <v>[ ] Pass
[ ] Pass after CA
[ ] Fail
CA: Open / Closed</v>
      </c>
      <c r="E33" s="120" t="str">
        <f aca="false">IF(Checks!$V$292="","",Checks!$V$292)&amp;IF(Checks!$AC$292="","",IF(Checks!$V$292="","",CHAR(10))&amp;"N/A just.: "&amp;Checks!$AC$292)&amp;IF(OR(Checks!$W$292&lt;&gt;"",AND(Checks!$AQ$292=1,NOT(LEFT(Checks!$AH$292,10)="N/A – RULE"))),CHAR(10)&amp;"Batch: "&amp;IF(Checks!$W$292="","____________",Checks!$W$292),"")&amp;IF(OR(Checks!$X$292&lt;&gt;"",Checks!$Y$292&lt;&gt;"",AND(Checks!$AR$292=1,NOT(LEFT(Checks!$AH$292,10)="N/A – RULE"))),CHAR(10)&amp;"Exp: "&amp;IF(Checks!$X$292="","______",Checks!$X$292)&amp;"  /  Act: "&amp;IF(Checks!$Y$292="","______",Checks!$Y$292),"")</f>
        <v>
Batch: ____________</v>
      </c>
      <c r="F33" s="120" t="str">
        <f aca="false">IF(AND(LEFT(Checks!$AH$292,10)="N/A – RULE",TRIM(Checks!$S$292&amp;Checks!$Z$292)=""),"","Type: "&amp;IF(TRIM(Checks!$S$292)="","______________ (see cover list)",Checks!$S$292)&amp;CHAR(10)&amp;"ID: "&amp;IF(TRIM(Checks!$Z$292)="","______________ (record's own no.)",Checks!$Z$292))&amp;IF(Checks!$AA$292="","",CHAR(10)&amp;"CA: "&amp;Checks!$AA$292)</f>
        <v>Type: ______________ (see cover list)
ID: ______________ (record's own no.)</v>
      </c>
      <c r="G33" s="120" t="str">
        <f aca="false">IF(AND(LEFT(Checks!$AH$292,10)="N/A – RULE",NOT(ISNUMBER(Checks!$AD$292)),Checks!$AE$292="",Checks!$T$292=""),"","Done: "&amp;IF(ISNUMBER(Checks!$AD$292),TEXT(Checks!$AD$292,"DD-MMM-YY HH:MM"),"____________")&amp;" "&amp;Checks!$P$292&amp;CHAR(10)&amp;"Verifier: "&amp;IF(Checks!$AE$292="","____________",Checks!$AE$292)&amp;CHAR(10)&amp;"PIC: "&amp;IF(Checks!$T$292="","____________",Checks!$T$292))</f>
        <v>Done: ____________ HAN
Verifier: ____________
PIC: ____________</v>
      </c>
      <c r="H33" s="121" t="str">
        <f aca="false">IF(Checks!$AH$292="","",Checks!$AH$292)</f>
        <v>OPEN</v>
      </c>
    </row>
    <row r="34" customFormat="false" ht="25.5" hidden="false" customHeight="true" outlineLevel="0" collapsed="false">
      <c r="A34" s="119" t="str">
        <f aca="false">"T-12H PREP — Preparation check at caterer (does NOT confirm loading)  |  Due "&amp;IF(ISNUMBER(Flights!$AI$13),TEXT(Flights!$AI$13,"DD-MMM-YY HH:MM"),"")&amp;" "&amp;Flights!$V$13&amp;" (meal uplift stn)"&amp;" (rows with another due show their own)  |  Complete "&amp;IF(ISNUMBER(Flights!$AL$13),TEXT(Flights!$AL$13,"0%"),Flights!$AL$13)&amp;"  |  17 lines"</f>
        <v>T-12H PREP — Preparation check at caterer (does NOT confirm loading)  |  Due 11-Oct-26 01:05 HAN (meal uplift stn) (rows with another due show their own)  |  Complete 0%  |  17 lines</v>
      </c>
      <c r="B34" s="119"/>
      <c r="C34" s="119"/>
      <c r="D34" s="119"/>
      <c r="E34" s="119"/>
      <c r="F34" s="119"/>
      <c r="G34" s="119"/>
      <c r="H34" s="119"/>
    </row>
    <row r="35" customFormat="false" ht="114" hidden="false" customHeight="true" outlineLevel="0" collapsed="false">
      <c r="A35" s="120" t="str">
        <f aca="false">Checks!$A$293&amp;CHAR(10)&amp;IF(Checks!$I$293="","",Checks!$I$293&amp;": ")&amp;Checks!$J$293</f>
        <v>F09-T12-01
Meal: Meal quality vs menu checklist</v>
      </c>
      <c r="B35" s="120" t="str">
        <f aca="false">Checks!$K$293&amp;IF(Checks!$O$293="","",IF(Checks!$K$293="","",CHAR(10))&amp;"Note: "&amp;Checks!$O$293)</f>
        <v>Note: Preparation check at caterer - does NOT confirm loading.</v>
      </c>
      <c r="C35" s="120" t="str">
        <f aca="false">Checks!$N$293&amp;CHAR(10)&amp;IF(ISNUMBER(Checks!$R$293),TEXT(Checks!$R$293,"DD-MMM-YY HH:MM"),"")&amp;" "&amp;Checks!$P$293</f>
        <v>Required
11-Oct-26 01:05 HAN</v>
      </c>
      <c r="D35" s="120" t="str">
        <f aca="false">IF(TRIM(Checks!$U$293)&lt;&gt;"",Checks!$U$293&amp;IF(Checks!$AB$293="","",CHAR(10)&amp;"CA: "&amp;Checks!$AB$293),IF(LEFT(Checks!$AH$293,10)="N/A – RULE","","[ ] Pass"&amp;CHAR(10)&amp;"[ ] Pass after CA"&amp;CHAR(10)&amp;"[ ] Fail"&amp;IF(Checks!$AT$293=1,CHAR(10)&amp;"[ ] N/A","")&amp;CHAR(10)&amp;"CA: Open / Closed"))</f>
        <v>[ ] Pass
[ ] Pass after CA
[ ] Fail
CA: Open / Closed</v>
      </c>
      <c r="E35" s="120" t="str">
        <f aca="false">IF(Checks!$V$293="","",Checks!$V$293)&amp;IF(Checks!$AC$293="","",IF(Checks!$V$293="","",CHAR(10))&amp;"N/A just.: "&amp;Checks!$AC$293)&amp;IF(OR(Checks!$W$293&lt;&gt;"",AND(Checks!$AQ$293=1,NOT(LEFT(Checks!$AH$293,10)="N/A – RULE"))),CHAR(10)&amp;"Batch: "&amp;IF(Checks!$W$293="","____________",Checks!$W$293),"")&amp;IF(OR(Checks!$X$293&lt;&gt;"",Checks!$Y$293&lt;&gt;"",AND(Checks!$AR$293=1,NOT(LEFT(Checks!$AH$293,10)="N/A – RULE"))),CHAR(10)&amp;"Exp: "&amp;IF(Checks!$X$293="","______",Checks!$X$293)&amp;"  /  Act: "&amp;IF(Checks!$Y$293="","______",Checks!$Y$293),"")</f>
        <v/>
      </c>
      <c r="F35" s="120" t="str">
        <f aca="false">IF(AND(LEFT(Checks!$AH$293,10)="N/A – RULE",TRIM(Checks!$S$293&amp;Checks!$Z$293)=""),"","Type: "&amp;IF(TRIM(Checks!$S$293)="","______________ (see cover list)",Checks!$S$293)&amp;CHAR(10)&amp;"ID: "&amp;IF(TRIM(Checks!$Z$293)="","______________ (record's own no.)",Checks!$Z$293))&amp;IF(Checks!$AA$293="","",CHAR(10)&amp;"CA: "&amp;Checks!$AA$293)</f>
        <v>Type: ______________ (see cover list)
ID: ______________ (record's own no.)</v>
      </c>
      <c r="G35" s="120" t="str">
        <f aca="false">IF(AND(LEFT(Checks!$AH$293,10)="N/A – RULE",NOT(ISNUMBER(Checks!$AD$293)),Checks!$AE$293="",Checks!$T$293=""),"","Done: "&amp;IF(ISNUMBER(Checks!$AD$293),TEXT(Checks!$AD$293,"DD-MMM-YY HH:MM"),"____________")&amp;" "&amp;Checks!$P$293&amp;CHAR(10)&amp;"Verifier: "&amp;IF(Checks!$AE$293="","____________",Checks!$AE$293)&amp;CHAR(10)&amp;"PIC: "&amp;IF(Checks!$T$293="","____________",Checks!$T$293))</f>
        <v>Done: ____________ HAN
Verifier: ____________
PIC: ____________</v>
      </c>
      <c r="H35" s="121" t="str">
        <f aca="false">IF(Checks!$AH$293="","",Checks!$AH$293)</f>
        <v>OPEN</v>
      </c>
    </row>
    <row r="36" customFormat="false" ht="114" hidden="false" customHeight="true" outlineLevel="0" collapsed="false">
      <c r="A36" s="120" t="str">
        <f aca="false">Checks!$A$294&amp;CHAR(10)&amp;IF(Checks!$I$294="","",Checks!$I$294&amp;": ")&amp;Checks!$J$294</f>
        <v>F09-T12-02
Meal: Meal quantities vs menu checklist</v>
      </c>
      <c r="B36" s="120" t="str">
        <f aca="false">Checks!$K$294&amp;IF(Checks!$O$294="","",IF(Checks!$K$294="","",CHAR(10))&amp;"Note: "&amp;Checks!$O$294)</f>
        <v>Enter expected &amp; actual
Note: Preparation check at caterer - does NOT confirm loading.</v>
      </c>
      <c r="C36" s="120" t="str">
        <f aca="false">Checks!$N$294&amp;CHAR(10)&amp;IF(ISNUMBER(Checks!$R$294),TEXT(Checks!$R$294,"DD-MMM-YY HH:MM"),"")&amp;" "&amp;Checks!$P$294</f>
        <v>Required
11-Oct-26 01:05 HAN</v>
      </c>
      <c r="D36" s="120" t="str">
        <f aca="false">IF(TRIM(Checks!$U$294)&lt;&gt;"",Checks!$U$294&amp;IF(Checks!$AB$294="","",CHAR(10)&amp;"CA: "&amp;Checks!$AB$294),IF(LEFT(Checks!$AH$294,10)="N/A – RULE","","[ ] Pass"&amp;CHAR(10)&amp;"[ ] Pass after CA"&amp;CHAR(10)&amp;"[ ] Fail"&amp;IF(Checks!$AT$294=1,CHAR(10)&amp;"[ ] N/A","")&amp;CHAR(10)&amp;"CA: Open / Closed"))</f>
        <v>[ ] Pass
[ ] Pass after CA
[ ] Fail
CA: Open / Closed</v>
      </c>
      <c r="E36" s="120" t="str">
        <f aca="false">IF(Checks!$V$294="","",Checks!$V$294)&amp;IF(Checks!$AC$294="","",IF(Checks!$V$294="","",CHAR(10))&amp;"N/A just.: "&amp;Checks!$AC$294)&amp;IF(OR(Checks!$W$294&lt;&gt;"",AND(Checks!$AQ$294=1,NOT(LEFT(Checks!$AH$294,10)="N/A – RULE"))),CHAR(10)&amp;"Batch: "&amp;IF(Checks!$W$294="","____________",Checks!$W$294),"")&amp;IF(OR(Checks!$X$294&lt;&gt;"",Checks!$Y$294&lt;&gt;"",AND(Checks!$AR$294=1,NOT(LEFT(Checks!$AH$294,10)="N/A – RULE"))),CHAR(10)&amp;"Exp: "&amp;IF(Checks!$X$294="","______",Checks!$X$294)&amp;"  /  Act: "&amp;IF(Checks!$Y$294="","______",Checks!$Y$294),"")</f>
        <v>
Exp: ______  /  Act: ______</v>
      </c>
      <c r="F36" s="120" t="str">
        <f aca="false">IF(AND(LEFT(Checks!$AH$294,10)="N/A – RULE",TRIM(Checks!$S$294&amp;Checks!$Z$294)=""),"","Type: "&amp;IF(TRIM(Checks!$S$294)="","______________ (see cover list)",Checks!$S$294)&amp;CHAR(10)&amp;"ID: "&amp;IF(TRIM(Checks!$Z$294)="","______________ (record's own no.)",Checks!$Z$294))&amp;IF(Checks!$AA$294="","",CHAR(10)&amp;"CA: "&amp;Checks!$AA$294)</f>
        <v>Type: ______________ (see cover list)
ID: ______________ (record's own no.)</v>
      </c>
      <c r="G36" s="120" t="str">
        <f aca="false">IF(AND(LEFT(Checks!$AH$294,10)="N/A – RULE",NOT(ISNUMBER(Checks!$AD$294)),Checks!$AE$294="",Checks!$T$294=""),"","Done: "&amp;IF(ISNUMBER(Checks!$AD$294),TEXT(Checks!$AD$294,"DD-MMM-YY HH:MM"),"____________")&amp;" "&amp;Checks!$P$294&amp;CHAR(10)&amp;"Verifier: "&amp;IF(Checks!$AE$294="","____________",Checks!$AE$294)&amp;CHAR(10)&amp;"PIC: "&amp;IF(Checks!$T$294="","____________",Checks!$T$294))</f>
        <v>Done: ____________ HAN
Verifier: ____________
PIC: ____________</v>
      </c>
      <c r="H36" s="121" t="str">
        <f aca="false">IF(Checks!$AH$294="","",Checks!$AH$294)</f>
        <v>OPEN</v>
      </c>
    </row>
    <row r="37" customFormat="false" ht="114" hidden="false" customHeight="true" outlineLevel="0" collapsed="false">
      <c r="A37" s="120" t="str">
        <f aca="false">Checks!$A$295&amp;CHAR(10)&amp;IF(Checks!$I$295="","",Checks!$I$295&amp;": ")&amp;Checks!$J$295</f>
        <v>F09-T12-03
Equipment: Equipment cleanliness vs GLD</v>
      </c>
      <c r="B37" s="120" t="str">
        <f aca="false">Checks!$K$295&amp;IF(Checks!$O$295="","",IF(Checks!$K$295="","",CHAR(10))&amp;"Note: "&amp;Checks!$O$295)</f>
        <v>Note: Preparation check at caterer - does NOT confirm loading.</v>
      </c>
      <c r="C37" s="120" t="str">
        <f aca="false">Checks!$N$295&amp;CHAR(10)&amp;IF(ISNUMBER(Checks!$R$295),TEXT(Checks!$R$295,"DD-MMM-YY HH:MM"),"")&amp;" "&amp;Checks!$P$295</f>
        <v>Required
11-Oct-26 01:05 HAN</v>
      </c>
      <c r="D37" s="120" t="str">
        <f aca="false">IF(TRIM(Checks!$U$295)&lt;&gt;"",Checks!$U$295&amp;IF(Checks!$AB$295="","",CHAR(10)&amp;"CA: "&amp;Checks!$AB$295),IF(LEFT(Checks!$AH$295,10)="N/A – RULE","","[ ] Pass"&amp;CHAR(10)&amp;"[ ] Pass after CA"&amp;CHAR(10)&amp;"[ ] Fail"&amp;IF(Checks!$AT$295=1,CHAR(10)&amp;"[ ] N/A","")&amp;CHAR(10)&amp;"CA: Open / Closed"))</f>
        <v>[ ] Pass
[ ] Pass after CA
[ ] Fail
CA: Open / Closed</v>
      </c>
      <c r="E37" s="120" t="str">
        <f aca="false">IF(Checks!$V$295="","",Checks!$V$295)&amp;IF(Checks!$AC$295="","",IF(Checks!$V$295="","",CHAR(10))&amp;"N/A just.: "&amp;Checks!$AC$295)&amp;IF(OR(Checks!$W$295&lt;&gt;"",AND(Checks!$AQ$295=1,NOT(LEFT(Checks!$AH$295,10)="N/A – RULE"))),CHAR(10)&amp;"Batch: "&amp;IF(Checks!$W$295="","____________",Checks!$W$295),"")&amp;IF(OR(Checks!$X$295&lt;&gt;"",Checks!$Y$295&lt;&gt;"",AND(Checks!$AR$295=1,NOT(LEFT(Checks!$AH$295,10)="N/A – RULE"))),CHAR(10)&amp;"Exp: "&amp;IF(Checks!$X$295="","______",Checks!$X$295)&amp;"  /  Act: "&amp;IF(Checks!$Y$295="","______",Checks!$Y$295),"")</f>
        <v/>
      </c>
      <c r="F37" s="120" t="str">
        <f aca="false">IF(AND(LEFT(Checks!$AH$295,10)="N/A – RULE",TRIM(Checks!$S$295&amp;Checks!$Z$295)=""),"","Type: "&amp;IF(TRIM(Checks!$S$295)="","______________ (see cover list)",Checks!$S$295)&amp;CHAR(10)&amp;"ID: "&amp;IF(TRIM(Checks!$Z$295)="","______________ (record's own no.)",Checks!$Z$295))&amp;IF(Checks!$AA$295="","",CHAR(10)&amp;"CA: "&amp;Checks!$AA$295)</f>
        <v>Type: ______________ (see cover list)
ID: ______________ (record's own no.)</v>
      </c>
      <c r="G37" s="120" t="str">
        <f aca="false">IF(AND(LEFT(Checks!$AH$295,10)="N/A – RULE",NOT(ISNUMBER(Checks!$AD$295)),Checks!$AE$295="",Checks!$T$295=""),"","Done: "&amp;IF(ISNUMBER(Checks!$AD$295),TEXT(Checks!$AD$295,"DD-MMM-YY HH:MM"),"____________")&amp;" "&amp;Checks!$P$295&amp;CHAR(10)&amp;"Verifier: "&amp;IF(Checks!$AE$295="","____________",Checks!$AE$295)&amp;CHAR(10)&amp;"PIC: "&amp;IF(Checks!$T$295="","____________",Checks!$T$295))</f>
        <v>Done: ____________ HAN
Verifier: ____________
PIC: ____________</v>
      </c>
      <c r="H37" s="121" t="str">
        <f aca="false">IF(Checks!$AH$295="","",Checks!$AH$295)</f>
        <v>OPEN</v>
      </c>
    </row>
    <row r="38" customFormat="false" ht="114" hidden="false" customHeight="true" outlineLevel="0" collapsed="false">
      <c r="A38" s="120" t="str">
        <f aca="false">Checks!$A$296&amp;CHAR(10)&amp;IF(Checks!$I$296="","",Checks!$I$296&amp;": ")&amp;Checks!$J$296</f>
        <v>F09-T12-04
Equipment: Equipment presentation vs GLD</v>
      </c>
      <c r="B38" s="120" t="str">
        <f aca="false">Checks!$K$296&amp;IF(Checks!$O$296="","",IF(Checks!$K$296="","",CHAR(10))&amp;"Note: "&amp;Checks!$O$296)</f>
        <v>Note: Preparation check at caterer - does NOT confirm loading.</v>
      </c>
      <c r="C38" s="120" t="str">
        <f aca="false">Checks!$N$296&amp;CHAR(10)&amp;IF(ISNUMBER(Checks!$R$296),TEXT(Checks!$R$296,"DD-MMM-YY HH:MM"),"")&amp;" "&amp;Checks!$P$296</f>
        <v>Required
11-Oct-26 01:05 HAN</v>
      </c>
      <c r="D38" s="120" t="str">
        <f aca="false">IF(TRIM(Checks!$U$296)&lt;&gt;"",Checks!$U$296&amp;IF(Checks!$AB$296="","",CHAR(10)&amp;"CA: "&amp;Checks!$AB$296),IF(LEFT(Checks!$AH$296,10)="N/A – RULE","","[ ] Pass"&amp;CHAR(10)&amp;"[ ] Pass after CA"&amp;CHAR(10)&amp;"[ ] Fail"&amp;IF(Checks!$AT$296=1,CHAR(10)&amp;"[ ] N/A","")&amp;CHAR(10)&amp;"CA: Open / Closed"))</f>
        <v>[ ] Pass
[ ] Pass after CA
[ ] Fail
CA: Open / Closed</v>
      </c>
      <c r="E38" s="120" t="str">
        <f aca="false">IF(Checks!$V$296="","",Checks!$V$296)&amp;IF(Checks!$AC$296="","",IF(Checks!$V$296="","",CHAR(10))&amp;"N/A just.: "&amp;Checks!$AC$296)&amp;IF(OR(Checks!$W$296&lt;&gt;"",AND(Checks!$AQ$296=1,NOT(LEFT(Checks!$AH$296,10)="N/A – RULE"))),CHAR(10)&amp;"Batch: "&amp;IF(Checks!$W$296="","____________",Checks!$W$296),"")&amp;IF(OR(Checks!$X$296&lt;&gt;"",Checks!$Y$296&lt;&gt;"",AND(Checks!$AR$296=1,NOT(LEFT(Checks!$AH$296,10)="N/A – RULE"))),CHAR(10)&amp;"Exp: "&amp;IF(Checks!$X$296="","______",Checks!$X$296)&amp;"  /  Act: "&amp;IF(Checks!$Y$296="","______",Checks!$Y$296),"")</f>
        <v/>
      </c>
      <c r="F38" s="120" t="str">
        <f aca="false">IF(AND(LEFT(Checks!$AH$296,10)="N/A – RULE",TRIM(Checks!$S$296&amp;Checks!$Z$296)=""),"","Type: "&amp;IF(TRIM(Checks!$S$296)="","______________ (see cover list)",Checks!$S$296)&amp;CHAR(10)&amp;"ID: "&amp;IF(TRIM(Checks!$Z$296)="","______________ (record's own no.)",Checks!$Z$296))&amp;IF(Checks!$AA$296="","",CHAR(10)&amp;"CA: "&amp;Checks!$AA$296)</f>
        <v>Type: ______________ (see cover list)
ID: ______________ (record's own no.)</v>
      </c>
      <c r="G38" s="120" t="str">
        <f aca="false">IF(AND(LEFT(Checks!$AH$296,10)="N/A – RULE",NOT(ISNUMBER(Checks!$AD$296)),Checks!$AE$296="",Checks!$T$296=""),"","Done: "&amp;IF(ISNUMBER(Checks!$AD$296),TEXT(Checks!$AD$296,"DD-MMM-YY HH:MM"),"____________")&amp;" "&amp;Checks!$P$296&amp;CHAR(10)&amp;"Verifier: "&amp;IF(Checks!$AE$296="","____________",Checks!$AE$296)&amp;CHAR(10)&amp;"PIC: "&amp;IF(Checks!$T$296="","____________",Checks!$T$296))</f>
        <v>Done: ____________ HAN
Verifier: ____________
PIC: ____________</v>
      </c>
      <c r="H38" s="121" t="str">
        <f aca="false">IF(Checks!$AH$296="","",Checks!$AH$296)</f>
        <v>OPEN</v>
      </c>
    </row>
    <row r="39" customFormat="false" ht="114" hidden="false" customHeight="true" outlineLevel="0" collapsed="false">
      <c r="A39" s="120" t="str">
        <f aca="false">Checks!$A$297&amp;CHAR(10)&amp;IF(Checks!$I$297="","",Checks!$I$297&amp;": ")&amp;Checks!$J$297</f>
        <v>F09-T12-05
Equipment: Equipment serviceability vs GLD</v>
      </c>
      <c r="B39" s="120" t="str">
        <f aca="false">Checks!$K$297&amp;IF(Checks!$O$297="","",IF(Checks!$K$297="","",CHAR(10))&amp;"Note: "&amp;Checks!$O$297)</f>
        <v>Note: Preparation check at caterer - does NOT confirm loading.</v>
      </c>
      <c r="C39" s="120" t="str">
        <f aca="false">Checks!$N$297&amp;CHAR(10)&amp;IF(ISNUMBER(Checks!$R$297),TEXT(Checks!$R$297,"DD-MMM-YY HH:MM"),"")&amp;" "&amp;Checks!$P$297</f>
        <v>Required
11-Oct-26 01:05 HAN</v>
      </c>
      <c r="D39" s="120" t="str">
        <f aca="false">IF(TRIM(Checks!$U$297)&lt;&gt;"",Checks!$U$297&amp;IF(Checks!$AB$297="","",CHAR(10)&amp;"CA: "&amp;Checks!$AB$297),IF(LEFT(Checks!$AH$297,10)="N/A – RULE","","[ ] Pass"&amp;CHAR(10)&amp;"[ ] Pass after CA"&amp;CHAR(10)&amp;"[ ] Fail"&amp;IF(Checks!$AT$297=1,CHAR(10)&amp;"[ ] N/A","")&amp;CHAR(10)&amp;"CA: Open / Closed"))</f>
        <v>[ ] Pass
[ ] Pass after CA
[ ] Fail
CA: Open / Closed</v>
      </c>
      <c r="E39" s="120" t="str">
        <f aca="false">IF(Checks!$V$297="","",Checks!$V$297)&amp;IF(Checks!$AC$297="","",IF(Checks!$V$297="","",CHAR(10))&amp;"N/A just.: "&amp;Checks!$AC$297)&amp;IF(OR(Checks!$W$297&lt;&gt;"",AND(Checks!$AQ$297=1,NOT(LEFT(Checks!$AH$297,10)="N/A – RULE"))),CHAR(10)&amp;"Batch: "&amp;IF(Checks!$W$297="","____________",Checks!$W$297),"")&amp;IF(OR(Checks!$X$297&lt;&gt;"",Checks!$Y$297&lt;&gt;"",AND(Checks!$AR$297=1,NOT(LEFT(Checks!$AH$297,10)="N/A – RULE"))),CHAR(10)&amp;"Exp: "&amp;IF(Checks!$X$297="","______",Checks!$X$297)&amp;"  /  Act: "&amp;IF(Checks!$Y$297="","______",Checks!$Y$297),"")</f>
        <v/>
      </c>
      <c r="F39" s="120" t="str">
        <f aca="false">IF(AND(LEFT(Checks!$AH$297,10)="N/A – RULE",TRIM(Checks!$S$297&amp;Checks!$Z$297)=""),"","Type: "&amp;IF(TRIM(Checks!$S$297)="","______________ (see cover list)",Checks!$S$297)&amp;CHAR(10)&amp;"ID: "&amp;IF(TRIM(Checks!$Z$297)="","______________ (record's own no.)",Checks!$Z$297))&amp;IF(Checks!$AA$297="","",CHAR(10)&amp;"CA: "&amp;Checks!$AA$297)</f>
        <v>Type: ______________ (see cover list)
ID: ______________ (record's own no.)</v>
      </c>
      <c r="G39" s="120" t="str">
        <f aca="false">IF(AND(LEFT(Checks!$AH$297,10)="N/A – RULE",NOT(ISNUMBER(Checks!$AD$297)),Checks!$AE$297="",Checks!$T$297=""),"","Done: "&amp;IF(ISNUMBER(Checks!$AD$297),TEXT(Checks!$AD$297,"DD-MMM-YY HH:MM"),"____________")&amp;" "&amp;Checks!$P$297&amp;CHAR(10)&amp;"Verifier: "&amp;IF(Checks!$AE$297="","____________",Checks!$AE$297)&amp;CHAR(10)&amp;"PIC: "&amp;IF(Checks!$T$297="","____________",Checks!$T$297))</f>
        <v>Done: ____________ HAN
Verifier: ____________
PIC: ____________</v>
      </c>
      <c r="H39" s="121" t="str">
        <f aca="false">IF(Checks!$AH$297="","",Checks!$AH$297)</f>
        <v>OPEN</v>
      </c>
    </row>
    <row r="40" customFormat="false" ht="180" hidden="false" customHeight="true" outlineLevel="0" collapsed="false">
      <c r="A40" s="120" t="str">
        <f aca="false">Checks!$A$298&amp;CHAR(10)&amp;IF(Checks!$I$298="","",Checks!$I$298&amp;": ")&amp;Checks!$J$298</f>
        <v>F09-T12-06
Equipment: Equipment quantities vs GLD</v>
      </c>
      <c r="B40" s="120" t="str">
        <f aca="false">SUBSTITUTE(SUBSTITUTE(SUBSTITUTE(SUBSTITUTE(SUBSTITUTE(SUBSTITUTE(SUBSTITUTE(Checks!$K$298&amp;IF(Checks!$O$298="","",IF(Checks!$K$298="","",CHAR(10))&amp;"Note: "&amp;Checks!$O$298),"ovens -,","ovens n/a,"),"fridges -,","fridges n/a,"),"makers -,","makers n/a,"),"espresso -,","espresso n/a,"),"trolleys -,","trolleys n/a,"),"headsets - (","headsets n/a (")," (AIRCRAFT TYPE!C16:R16)","")</f>
        <v>Enter expected &amp; actual. Aircraft galley data: B737-8 (B7M8): carts 10.5, SU 25, ovens 6, warming ovens n/a, fridges n/a, water heaters 3, beverage makers n/a, espresso n/a, folding trolleys n/a, headsets n/a
Note: Preparation check at caterer - does NOT confirm loading.</v>
      </c>
      <c r="C40" s="120" t="str">
        <f aca="false">Checks!$N$298&amp;CHAR(10)&amp;IF(ISNUMBER(Checks!$R$298),TEXT(Checks!$R$298,"DD-MMM-YY HH:MM"),"")&amp;" "&amp;Checks!$P$298</f>
        <v>Required
11-Oct-26 01:05 HAN</v>
      </c>
      <c r="D40" s="120" t="str">
        <f aca="false">IF(TRIM(Checks!$U$298)&lt;&gt;"",Checks!$U$298&amp;IF(Checks!$AB$298="","",CHAR(10)&amp;"CA: "&amp;Checks!$AB$298),IF(LEFT(Checks!$AH$298,10)="N/A – RULE","","[ ] Pass"&amp;CHAR(10)&amp;"[ ] Pass after CA"&amp;CHAR(10)&amp;"[ ] Fail"&amp;IF(Checks!$AT$298=1,CHAR(10)&amp;"[ ] N/A","")&amp;CHAR(10)&amp;"CA: Open / Closed"))</f>
        <v>[ ] Pass
[ ] Pass after CA
[ ] Fail
CA: Open / Closed</v>
      </c>
      <c r="E40" s="120" t="str">
        <f aca="false">IF(Checks!$V$298="","",Checks!$V$298)&amp;IF(Checks!$AC$298="","",IF(Checks!$V$298="","",CHAR(10))&amp;"N/A just.: "&amp;Checks!$AC$298)&amp;IF(OR(Checks!$W$298&lt;&gt;"",AND(Checks!$AQ$298=1,NOT(LEFT(Checks!$AH$298,10)="N/A – RULE"))),CHAR(10)&amp;"Batch: "&amp;IF(Checks!$W$298="","____________",Checks!$W$298),"")&amp;IF(OR(Checks!$X$298&lt;&gt;"",Checks!$Y$298&lt;&gt;"",AND(Checks!$AR$298=1,NOT(LEFT(Checks!$AH$298,10)="N/A – RULE"))),CHAR(10)&amp;"Exp: "&amp;IF(Checks!$X$298="","______",Checks!$X$298)&amp;"  /  Act: "&amp;IF(Checks!$Y$298="","______",Checks!$Y$298),"")</f>
        <v>
Exp: ______  /  Act: ______</v>
      </c>
      <c r="F40" s="120" t="str">
        <f aca="false">IF(AND(LEFT(Checks!$AH$298,10)="N/A – RULE",TRIM(Checks!$S$298&amp;Checks!$Z$298)=""),"","Type: "&amp;IF(TRIM(Checks!$S$298)="","______________ (see cover list)",Checks!$S$298)&amp;CHAR(10)&amp;"ID: "&amp;IF(TRIM(Checks!$Z$298)="","______________ (record's own no.)",Checks!$Z$298))&amp;IF(Checks!$AA$298="","",CHAR(10)&amp;"CA: "&amp;Checks!$AA$298)</f>
        <v>Type: ______________ (see cover list)
ID: ______________ (record's own no.)</v>
      </c>
      <c r="G40" s="120" t="str">
        <f aca="false">IF(AND(LEFT(Checks!$AH$298,10)="N/A – RULE",NOT(ISNUMBER(Checks!$AD$298)),Checks!$AE$298="",Checks!$T$298=""),"","Done: "&amp;IF(ISNUMBER(Checks!$AD$298),TEXT(Checks!$AD$298,"DD-MMM-YY HH:MM"),"____________")&amp;" "&amp;Checks!$P$298&amp;CHAR(10)&amp;"Verifier: "&amp;IF(Checks!$AE$298="","____________",Checks!$AE$298)&amp;CHAR(10)&amp;"PIC: "&amp;IF(Checks!$T$298="","____________",Checks!$T$298))</f>
        <v>Done: ____________ HAN
Verifier: ____________
PIC: ____________</v>
      </c>
      <c r="H40" s="121" t="str">
        <f aca="false">IF(Checks!$AH$298="","",Checks!$AH$298)</f>
        <v>OPEN</v>
      </c>
    </row>
    <row r="41" customFormat="false" ht="114" hidden="false" customHeight="true" outlineLevel="0" collapsed="false">
      <c r="A41" s="120" t="str">
        <f aca="false">Checks!$A$299&amp;CHAR(10)&amp;IF(Checks!$I$299="","",Checks!$I$299&amp;": ")&amp;Checks!$J$299</f>
        <v>F09-T12-07
Equipment: Loading positions planned vs GLD</v>
      </c>
      <c r="B41" s="120" t="str">
        <f aca="false">Checks!$K$299&amp;IF(Checks!$O$299="","",IF(Checks!$K$299="","",CHAR(10))&amp;"Note: "&amp;Checks!$O$299)</f>
        <v>Note: Preparation check at caterer - does NOT confirm loading.</v>
      </c>
      <c r="C41" s="120" t="str">
        <f aca="false">Checks!$N$299&amp;CHAR(10)&amp;IF(ISNUMBER(Checks!$R$299),TEXT(Checks!$R$299,"DD-MMM-YY HH:MM"),"")&amp;" "&amp;Checks!$P$299</f>
        <v>Required
11-Oct-26 01:05 HAN</v>
      </c>
      <c r="D41" s="120" t="str">
        <f aca="false">IF(TRIM(Checks!$U$299)&lt;&gt;"",Checks!$U$299&amp;IF(Checks!$AB$299="","",CHAR(10)&amp;"CA: "&amp;Checks!$AB$299),IF(LEFT(Checks!$AH$299,10)="N/A – RULE","","[ ] Pass"&amp;CHAR(10)&amp;"[ ] Pass after CA"&amp;CHAR(10)&amp;"[ ] Fail"&amp;IF(Checks!$AT$299=1,CHAR(10)&amp;"[ ] N/A","")&amp;CHAR(10)&amp;"CA: Open / Closed"))</f>
        <v>[ ] Pass
[ ] Pass after CA
[ ] Fail
CA: Open / Closed</v>
      </c>
      <c r="E41" s="120" t="str">
        <f aca="false">IF(Checks!$V$299="","",Checks!$V$299)&amp;IF(Checks!$AC$299="","",IF(Checks!$V$299="","",CHAR(10))&amp;"N/A just.: "&amp;Checks!$AC$299)&amp;IF(OR(Checks!$W$299&lt;&gt;"",AND(Checks!$AQ$299=1,NOT(LEFT(Checks!$AH$299,10)="N/A – RULE"))),CHAR(10)&amp;"Batch: "&amp;IF(Checks!$W$299="","____________",Checks!$W$299),"")&amp;IF(OR(Checks!$X$299&lt;&gt;"",Checks!$Y$299&lt;&gt;"",AND(Checks!$AR$299=1,NOT(LEFT(Checks!$AH$299,10)="N/A – RULE"))),CHAR(10)&amp;"Exp: "&amp;IF(Checks!$X$299="","______",Checks!$X$299)&amp;"  /  Act: "&amp;IF(Checks!$Y$299="","______",Checks!$Y$299),"")</f>
        <v/>
      </c>
      <c r="F41" s="120" t="str">
        <f aca="false">IF(AND(LEFT(Checks!$AH$299,10)="N/A – RULE",TRIM(Checks!$S$299&amp;Checks!$Z$299)=""),"","Type: "&amp;IF(TRIM(Checks!$S$299)="","______________ (see cover list)",Checks!$S$299)&amp;CHAR(10)&amp;"ID: "&amp;IF(TRIM(Checks!$Z$299)="","______________ (record's own no.)",Checks!$Z$299))&amp;IF(Checks!$AA$299="","",CHAR(10)&amp;"CA: "&amp;Checks!$AA$299)</f>
        <v>Type: ______________ (see cover list)
ID: ______________ (record's own no.)</v>
      </c>
      <c r="G41" s="120" t="str">
        <f aca="false">IF(AND(LEFT(Checks!$AH$299,10)="N/A – RULE",NOT(ISNUMBER(Checks!$AD$299)),Checks!$AE$299="",Checks!$T$299=""),"","Done: "&amp;IF(ISNUMBER(Checks!$AD$299),TEXT(Checks!$AD$299,"DD-MMM-YY HH:MM"),"____________")&amp;" "&amp;Checks!$P$299&amp;CHAR(10)&amp;"Verifier: "&amp;IF(Checks!$AE$299="","____________",Checks!$AE$299)&amp;CHAR(10)&amp;"PIC: "&amp;IF(Checks!$T$299="","____________",Checks!$T$299))</f>
        <v>Done: ____________ HAN
Verifier: ____________
PIC: ____________</v>
      </c>
      <c r="H41" s="121" t="str">
        <f aca="false">IF(Checks!$AH$299="","",Checks!$AH$299)</f>
        <v>OPEN</v>
      </c>
    </row>
    <row r="42" customFormat="false" ht="180" hidden="false" customHeight="true" outlineLevel="0" collapsed="false">
      <c r="A42" s="120" t="str">
        <f aca="false">Checks!$A$300&amp;CHAR(10)&amp;IF(Checks!$I$300="","",Checks!$I$300&amp;": ")&amp;Checks!$J$300</f>
        <v>F09-T12-08
Amenities: Disposable slippers in DAM cart (BC, on request) - prepared</v>
      </c>
      <c r="B42" s="120" t="str">
        <f aca="false">SUBSTITUTE(Checks!$K$300&amp;IF(Checks!$O$300="","",IF(Checks!$K$300="","",CHAR(10))&amp;"Note: "&amp;Checks!$O$300),"note C83: ","reference note: ")</f>
        <v>Available in DAM cart on request basis
Note: Sector has no BC slippers; reference note: disposable slipper available in DAM cart (on request basis). Reference gives no uplift stn for this item: preparation checked at the meal uplift stn (HAN) - confirm with caterer.</v>
      </c>
      <c r="C42" s="120" t="str">
        <f aca="false">Checks!$N$300&amp;CHAR(10)&amp;IF(ISNUMBER(Checks!$R$300),TEXT(Checks!$R$300,"DD-MMM-YY HH:MM"),"")&amp;" "&amp;Checks!$P$300</f>
        <v>Required
11-Oct-26 01:05 HAN</v>
      </c>
      <c r="D42" s="120" t="str">
        <f aca="false">IF(TRIM(Checks!$U$300)&lt;&gt;"",Checks!$U$300&amp;IF(Checks!$AB$300="","",CHAR(10)&amp;"CA: "&amp;Checks!$AB$300),IF(LEFT(Checks!$AH$300,10)="N/A – RULE","","[ ] Pass"&amp;CHAR(10)&amp;"[ ] Pass after CA"&amp;CHAR(10)&amp;"[ ] Fail"&amp;IF(Checks!$AT$300=1,CHAR(10)&amp;"[ ] N/A","")&amp;CHAR(10)&amp;"CA: Open / Closed"))</f>
        <v>[ ] Pass
[ ] Pass after CA
[ ] Fail
CA: Open / Closed</v>
      </c>
      <c r="E42" s="120" t="str">
        <f aca="false">IF(Checks!$V$300="","",Checks!$V$300)&amp;IF(Checks!$AC$300="","",IF(Checks!$V$300="","",CHAR(10))&amp;"N/A just.: "&amp;Checks!$AC$300)&amp;IF(OR(Checks!$W$300&lt;&gt;"",AND(Checks!$AQ$300=1,NOT(LEFT(Checks!$AH$300,10)="N/A – RULE"))),CHAR(10)&amp;"Batch: "&amp;IF(Checks!$W$300="","____________",Checks!$W$300),"")&amp;IF(OR(Checks!$X$300&lt;&gt;"",Checks!$Y$300&lt;&gt;"",AND(Checks!$AR$300=1,NOT(LEFT(Checks!$AH$300,10)="N/A – RULE"))),CHAR(10)&amp;"Exp: "&amp;IF(Checks!$X$300="","______",Checks!$X$300)&amp;"  /  Act: "&amp;IF(Checks!$Y$300="","______",Checks!$Y$300),"")</f>
        <v/>
      </c>
      <c r="F42" s="120" t="str">
        <f aca="false">IF(AND(LEFT(Checks!$AH$300,10)="N/A – RULE",TRIM(Checks!$S$300&amp;Checks!$Z$300)=""),"","Type: "&amp;IF(TRIM(Checks!$S$300)="","______________ (see cover list)",Checks!$S$300)&amp;CHAR(10)&amp;"ID: "&amp;IF(TRIM(Checks!$Z$300)="","______________ (record's own no.)",Checks!$Z$300))&amp;IF(Checks!$AA$300="","",CHAR(10)&amp;"CA: "&amp;Checks!$AA$300)</f>
        <v>Type: ______________ (see cover list)
ID: ______________ (record's own no.)</v>
      </c>
      <c r="G42" s="120" t="str">
        <f aca="false">IF(AND(LEFT(Checks!$AH$300,10)="N/A – RULE",NOT(ISNUMBER(Checks!$AD$300)),Checks!$AE$300="",Checks!$T$300=""),"","Done: "&amp;IF(ISNUMBER(Checks!$AD$300),TEXT(Checks!$AD$300,"DD-MMM-YY HH:MM"),"____________")&amp;" "&amp;Checks!$P$300&amp;CHAR(10)&amp;"Verifier: "&amp;IF(Checks!$AE$300="","____________",Checks!$AE$300)&amp;CHAR(10)&amp;"PIC: "&amp;IF(Checks!$T$300="","____________",Checks!$T$300))</f>
        <v>Done: ____________ HAN
Verifier: ____________
PIC: ____________</v>
      </c>
      <c r="H42" s="121" t="str">
        <f aca="false">IF(Checks!$AH$300="","",Checks!$AH$300)</f>
        <v>OPEN</v>
      </c>
    </row>
    <row r="43" customFormat="false" ht="114" hidden="false" customHeight="true" outlineLevel="0" collapsed="false">
      <c r="A43" s="120" t="str">
        <f aca="false">Checks!$A$301&amp;CHAR(10)&amp;IF(Checks!$I$301="","",Checks!$I$301&amp;": ")&amp;Checks!$J$301</f>
        <v>F09-T12-09
F&amp;B Linen: Towel - prepared</v>
      </c>
      <c r="B43" s="120" t="str">
        <f aca="false">Checks!$K$301&amp;IF(Checks!$O$301="","",IF(Checks!$K$301="","",CHAR(10))&amp;"Note: "&amp;Checks!$O$301)</f>
        <v>Available (ticked in reference)
Note: Reference gives no uplift stn for this item: preparation checked at the meal uplift stn (HAN) - confirm with caterer.</v>
      </c>
      <c r="C43" s="120" t="str">
        <f aca="false">Checks!$N$301&amp;CHAR(10)&amp;IF(ISNUMBER(Checks!$R$301),TEXT(Checks!$R$301,"DD-MMM-YY HH:MM"),"")&amp;" "&amp;Checks!$P$301</f>
        <v>Required
11-Oct-26 01:05 HAN</v>
      </c>
      <c r="D43" s="120" t="str">
        <f aca="false">IF(TRIM(Checks!$U$301)&lt;&gt;"",Checks!$U$301&amp;IF(Checks!$AB$301="","",CHAR(10)&amp;"CA: "&amp;Checks!$AB$301),IF(LEFT(Checks!$AH$301,10)="N/A – RULE","","[ ] Pass"&amp;CHAR(10)&amp;"[ ] Pass after CA"&amp;CHAR(10)&amp;"[ ] Fail"&amp;IF(Checks!$AT$301=1,CHAR(10)&amp;"[ ] N/A","")&amp;CHAR(10)&amp;"CA: Open / Closed"))</f>
        <v>[ ] Pass
[ ] Pass after CA
[ ] Fail
CA: Open / Closed</v>
      </c>
      <c r="E43" s="120" t="str">
        <f aca="false">IF(Checks!$V$301="","",Checks!$V$301)&amp;IF(Checks!$AC$301="","",IF(Checks!$V$301="","",CHAR(10))&amp;"N/A just.: "&amp;Checks!$AC$301)&amp;IF(OR(Checks!$W$301&lt;&gt;"",AND(Checks!$AQ$301=1,NOT(LEFT(Checks!$AH$301,10)="N/A – RULE"))),CHAR(10)&amp;"Batch: "&amp;IF(Checks!$W$301="","____________",Checks!$W$301),"")&amp;IF(OR(Checks!$X$301&lt;&gt;"",Checks!$Y$301&lt;&gt;"",AND(Checks!$AR$301=1,NOT(LEFT(Checks!$AH$301,10)="N/A – RULE"))),CHAR(10)&amp;"Exp: "&amp;IF(Checks!$X$301="","______",Checks!$X$301)&amp;"  /  Act: "&amp;IF(Checks!$Y$301="","______",Checks!$Y$301),"")</f>
        <v/>
      </c>
      <c r="F43" s="120" t="str">
        <f aca="false">IF(AND(LEFT(Checks!$AH$301,10)="N/A – RULE",TRIM(Checks!$S$301&amp;Checks!$Z$301)=""),"","Type: "&amp;IF(TRIM(Checks!$S$301)="","______________ (see cover list)",Checks!$S$301)&amp;CHAR(10)&amp;"ID: "&amp;IF(TRIM(Checks!$Z$301)="","______________ (record's own no.)",Checks!$Z$301))&amp;IF(Checks!$AA$301="","",CHAR(10)&amp;"CA: "&amp;Checks!$AA$301)</f>
        <v>Type: ______________ (see cover list)
ID: ______________ (record's own no.)</v>
      </c>
      <c r="G43" s="120" t="str">
        <f aca="false">IF(AND(LEFT(Checks!$AH$301,10)="N/A – RULE",NOT(ISNUMBER(Checks!$AD$301)),Checks!$AE$301="",Checks!$T$301=""),"","Done: "&amp;IF(ISNUMBER(Checks!$AD$301),TEXT(Checks!$AD$301,"DD-MMM-YY HH:MM"),"____________")&amp;" "&amp;Checks!$P$301&amp;CHAR(10)&amp;"Verifier: "&amp;IF(Checks!$AE$301="","____________",Checks!$AE$301)&amp;CHAR(10)&amp;"PIC: "&amp;IF(Checks!$T$301="","____________",Checks!$T$301))</f>
        <v>Done: ____________ HAN
Verifier: ____________
PIC: ____________</v>
      </c>
      <c r="H43" s="121" t="str">
        <f aca="false">IF(Checks!$AH$301="","",Checks!$AH$301)</f>
        <v>OPEN</v>
      </c>
    </row>
    <row r="44" customFormat="false" ht="114" hidden="false" customHeight="true" outlineLevel="0" collapsed="false">
      <c r="A44" s="120" t="str">
        <f aca="false">Checks!$A$302&amp;CHAR(10)&amp;IF(Checks!$I$302="","",Checks!$I$302&amp;": ")&amp;Checks!$J$302</f>
        <v>F09-T12-10
F&amp;B Linen: Tray cloth - prepared</v>
      </c>
      <c r="B44" s="120" t="str">
        <f aca="false">Checks!$K$302&amp;IF(Checks!$O$302="","",IF(Checks!$K$302="","",CHAR(10))&amp;"Note: "&amp;Checks!$O$302)</f>
        <v>Available (ticked in reference)
Note: Reference gives no uplift stn for this item: preparation checked at the meal uplift stn (HAN) - confirm with caterer.</v>
      </c>
      <c r="C44" s="120" t="str">
        <f aca="false">Checks!$N$302&amp;CHAR(10)&amp;IF(ISNUMBER(Checks!$R$302),TEXT(Checks!$R$302,"DD-MMM-YY HH:MM"),"")&amp;" "&amp;Checks!$P$302</f>
        <v>Required
11-Oct-26 01:05 HAN</v>
      </c>
      <c r="D44" s="120" t="str">
        <f aca="false">IF(TRIM(Checks!$U$302)&lt;&gt;"",Checks!$U$302&amp;IF(Checks!$AB$302="","",CHAR(10)&amp;"CA: "&amp;Checks!$AB$302),IF(LEFT(Checks!$AH$302,10)="N/A – RULE","","[ ] Pass"&amp;CHAR(10)&amp;"[ ] Pass after CA"&amp;CHAR(10)&amp;"[ ] Fail"&amp;IF(Checks!$AT$302=1,CHAR(10)&amp;"[ ] N/A","")&amp;CHAR(10)&amp;"CA: Open / Closed"))</f>
        <v>[ ] Pass
[ ] Pass after CA
[ ] Fail
CA: Open / Closed</v>
      </c>
      <c r="E44" s="120" t="str">
        <f aca="false">IF(Checks!$V$302="","",Checks!$V$302)&amp;IF(Checks!$AC$302="","",IF(Checks!$V$302="","",CHAR(10))&amp;"N/A just.: "&amp;Checks!$AC$302)&amp;IF(OR(Checks!$W$302&lt;&gt;"",AND(Checks!$AQ$302=1,NOT(LEFT(Checks!$AH$302,10)="N/A – RULE"))),CHAR(10)&amp;"Batch: "&amp;IF(Checks!$W$302="","____________",Checks!$W$302),"")&amp;IF(OR(Checks!$X$302&lt;&gt;"",Checks!$Y$302&lt;&gt;"",AND(Checks!$AR$302=1,NOT(LEFT(Checks!$AH$302,10)="N/A – RULE"))),CHAR(10)&amp;"Exp: "&amp;IF(Checks!$X$302="","______",Checks!$X$302)&amp;"  /  Act: "&amp;IF(Checks!$Y$302="","______",Checks!$Y$302),"")</f>
        <v/>
      </c>
      <c r="F44" s="120" t="str">
        <f aca="false">IF(AND(LEFT(Checks!$AH$302,10)="N/A – RULE",TRIM(Checks!$S$302&amp;Checks!$Z$302)=""),"","Type: "&amp;IF(TRIM(Checks!$S$302)="","______________ (see cover list)",Checks!$S$302)&amp;CHAR(10)&amp;"ID: "&amp;IF(TRIM(Checks!$Z$302)="","______________ (record's own no.)",Checks!$Z$302))&amp;IF(Checks!$AA$302="","",CHAR(10)&amp;"CA: "&amp;Checks!$AA$302)</f>
        <v>Type: ______________ (see cover list)
ID: ______________ (record's own no.)</v>
      </c>
      <c r="G44" s="120" t="str">
        <f aca="false">IF(AND(LEFT(Checks!$AH$302,10)="N/A – RULE",NOT(ISNUMBER(Checks!$AD$302)),Checks!$AE$302="",Checks!$T$302=""),"","Done: "&amp;IF(ISNUMBER(Checks!$AD$302),TEXT(Checks!$AD$302,"DD-MMM-YY HH:MM"),"____________")&amp;" "&amp;Checks!$P$302&amp;CHAR(10)&amp;"Verifier: "&amp;IF(Checks!$AE$302="","____________",Checks!$AE$302)&amp;CHAR(10)&amp;"PIC: "&amp;IF(Checks!$T$302="","____________",Checks!$T$302))</f>
        <v>Done: ____________ HAN
Verifier: ____________
PIC: ____________</v>
      </c>
      <c r="H44" s="121" t="str">
        <f aca="false">IF(Checks!$AH$302="","",Checks!$AH$302)</f>
        <v>OPEN</v>
      </c>
    </row>
    <row r="45" customFormat="false" ht="114" hidden="false" customHeight="true" outlineLevel="0" collapsed="false">
      <c r="A45" s="120" t="str">
        <f aca="false">Checks!$A$303&amp;CHAR(10)&amp;IF(Checks!$I$303="","",Checks!$I$303&amp;": ")&amp;Checks!$J$303</f>
        <v>F09-T12-11
F&amp;B Linen: Napkin - prepared</v>
      </c>
      <c r="B45" s="120" t="str">
        <f aca="false">Checks!$K$303&amp;IF(Checks!$O$303="","",IF(Checks!$K$303="","",CHAR(10))&amp;"Note: "&amp;Checks!$O$303)</f>
        <v>Available (ticked in reference)
Note: Reference gives no uplift stn for this item: preparation checked at the meal uplift stn (HAN) - confirm with caterer.</v>
      </c>
      <c r="C45" s="120" t="str">
        <f aca="false">Checks!$N$303&amp;CHAR(10)&amp;IF(ISNUMBER(Checks!$R$303),TEXT(Checks!$R$303,"DD-MMM-YY HH:MM"),"")&amp;" "&amp;Checks!$P$303</f>
        <v>Required
11-Oct-26 01:05 HAN</v>
      </c>
      <c r="D45" s="120" t="str">
        <f aca="false">IF(TRIM(Checks!$U$303)&lt;&gt;"",Checks!$U$303&amp;IF(Checks!$AB$303="","",CHAR(10)&amp;"CA: "&amp;Checks!$AB$303),IF(LEFT(Checks!$AH$303,10)="N/A – RULE","","[ ] Pass"&amp;CHAR(10)&amp;"[ ] Pass after CA"&amp;CHAR(10)&amp;"[ ] Fail"&amp;IF(Checks!$AT$303=1,CHAR(10)&amp;"[ ] N/A","")&amp;CHAR(10)&amp;"CA: Open / Closed"))</f>
        <v>[ ] Pass
[ ] Pass after CA
[ ] Fail
CA: Open / Closed</v>
      </c>
      <c r="E45" s="120" t="str">
        <f aca="false">IF(Checks!$V$303="","",Checks!$V$303)&amp;IF(Checks!$AC$303="","",IF(Checks!$V$303="","",CHAR(10))&amp;"N/A just.: "&amp;Checks!$AC$303)&amp;IF(OR(Checks!$W$303&lt;&gt;"",AND(Checks!$AQ$303=1,NOT(LEFT(Checks!$AH$303,10)="N/A – RULE"))),CHAR(10)&amp;"Batch: "&amp;IF(Checks!$W$303="","____________",Checks!$W$303),"")&amp;IF(OR(Checks!$X$303&lt;&gt;"",Checks!$Y$303&lt;&gt;"",AND(Checks!$AR$303=1,NOT(LEFT(Checks!$AH$303,10)="N/A – RULE"))),CHAR(10)&amp;"Exp: "&amp;IF(Checks!$X$303="","______",Checks!$X$303)&amp;"  /  Act: "&amp;IF(Checks!$Y$303="","______",Checks!$Y$303),"")</f>
        <v/>
      </c>
      <c r="F45" s="120" t="str">
        <f aca="false">IF(AND(LEFT(Checks!$AH$303,10)="N/A – RULE",TRIM(Checks!$S$303&amp;Checks!$Z$303)=""),"","Type: "&amp;IF(TRIM(Checks!$S$303)="","______________ (see cover list)",Checks!$S$303)&amp;CHAR(10)&amp;"ID: "&amp;IF(TRIM(Checks!$Z$303)="","______________ (record's own no.)",Checks!$Z$303))&amp;IF(Checks!$AA$303="","",CHAR(10)&amp;"CA: "&amp;Checks!$AA$303)</f>
        <v>Type: ______________ (see cover list)
ID: ______________ (record's own no.)</v>
      </c>
      <c r="G45" s="120" t="str">
        <f aca="false">IF(AND(LEFT(Checks!$AH$303,10)="N/A – RULE",NOT(ISNUMBER(Checks!$AD$303)),Checks!$AE$303="",Checks!$T$303=""),"","Done: "&amp;IF(ISNUMBER(Checks!$AD$303),TEXT(Checks!$AD$303,"DD-MMM-YY HH:MM"),"____________")&amp;" "&amp;Checks!$P$303&amp;CHAR(10)&amp;"Verifier: "&amp;IF(Checks!$AE$303="","____________",Checks!$AE$303)&amp;CHAR(10)&amp;"PIC: "&amp;IF(Checks!$T$303="","____________",Checks!$T$303))</f>
        <v>Done: ____________ HAN
Verifier: ____________
PIC: ____________</v>
      </c>
      <c r="H45" s="121" t="str">
        <f aca="false">IF(Checks!$AH$303="","",Checks!$AH$303)</f>
        <v>OPEN</v>
      </c>
    </row>
    <row r="46" customFormat="false" ht="279" hidden="false" customHeight="true" outlineLevel="0" collapsed="false">
      <c r="A46" s="120" t="str">
        <f aca="false">Checks!$A$304&amp;CHAR(10)&amp;IF(Checks!$I$304="","",Checks!$I$304&amp;": ")&amp;Checks!$J$304</f>
        <v>F09-T12-12
F&amp;B Linen: Table cloth - prepared</v>
      </c>
      <c r="B46" s="120" t="str">
        <f aca="false">SUBSTITUTE(Checks!$K$304&amp;IF(Checks!$O$304="","",IF(Checks!$K$304="","",CHAR(10))&amp;"Note: "&amp;Checks!$O$304),"note F&amp;B LINEN!B78:C78","the F&amp;B LINEN reference note")</f>
        <v>Available (ticked in reference)
Note: Reference contradicts itself: matrix shows a tick for this sector but the F&amp;B LINEN reference note says table cloth is 'Not Applicable for Domestic/Asean &amp; Regional' (ASEAN). Confirm before loading; if not carried, mark N/A with the confirmation as justification. Reference gives no uplift stn for this item: preparation checked at the meal uplift stn (HAN) - confirm with caterer.</v>
      </c>
      <c r="C46" s="120" t="str">
        <f aca="false">Checks!$N$304&amp;CHAR(10)&amp;IF(ISNUMBER(Checks!$R$304),TEXT(Checks!$R$304,"DD-MMM-YY HH:MM"),"")&amp;" "&amp;Checks!$P$304</f>
        <v>Clarification required
11-Oct-26 01:05 HAN</v>
      </c>
      <c r="D46" s="120" t="str">
        <f aca="false">IF(TRIM(Checks!$U$304)&lt;&gt;"",Checks!$U$304&amp;IF(Checks!$AB$304="","",CHAR(10)&amp;"CA: "&amp;Checks!$AB$304),IF(LEFT(Checks!$AH$304,10)="N/A – RULE","","[ ] Pass"&amp;CHAR(10)&amp;"[ ] Pass after CA"&amp;CHAR(10)&amp;"[ ] Fail"&amp;IF(Checks!$AT$304=1,CHAR(10)&amp;"[ ] N/A","")&amp;CHAR(10)&amp;"CA: Open / Closed"))</f>
        <v>[ ] Pass
[ ] Pass after CA
[ ] Fail
[ ] N/A
CA: Open / Closed</v>
      </c>
      <c r="E46" s="120" t="str">
        <f aca="false">IF(Checks!$V$304="","",Checks!$V$304)&amp;IF(Checks!$AC$304="","",IF(Checks!$V$304="","",CHAR(10))&amp;"N/A just.: "&amp;Checks!$AC$304)&amp;IF(OR(Checks!$W$304&lt;&gt;"",AND(Checks!$AQ$304=1,NOT(LEFT(Checks!$AH$304,10)="N/A – RULE"))),CHAR(10)&amp;"Batch: "&amp;IF(Checks!$W$304="","____________",Checks!$W$304),"")&amp;IF(OR(Checks!$X$304&lt;&gt;"",Checks!$Y$304&lt;&gt;"",AND(Checks!$AR$304=1,NOT(LEFT(Checks!$AH$304,10)="N/A – RULE"))),CHAR(10)&amp;"Exp: "&amp;IF(Checks!$X$304="","______",Checks!$X$304)&amp;"  /  Act: "&amp;IF(Checks!$Y$304="","______",Checks!$Y$304),"")</f>
        <v/>
      </c>
      <c r="F46" s="120" t="str">
        <f aca="false">IF(AND(LEFT(Checks!$AH$304,10)="N/A – RULE",TRIM(Checks!$S$304&amp;Checks!$Z$304)=""),"","Type: "&amp;IF(TRIM(Checks!$S$304)="","______________ (see cover list)",Checks!$S$304)&amp;CHAR(10)&amp;"ID: "&amp;IF(TRIM(Checks!$Z$304)="","______________ (record's own no.)",Checks!$Z$304))&amp;IF(Checks!$AA$304="","",CHAR(10)&amp;"CA: "&amp;Checks!$AA$304)</f>
        <v>Type: ______________ (see cover list)
ID: ______________ (record's own no.)</v>
      </c>
      <c r="G46" s="120" t="str">
        <f aca="false">IF(AND(LEFT(Checks!$AH$304,10)="N/A – RULE",NOT(ISNUMBER(Checks!$AD$304)),Checks!$AE$304="",Checks!$T$304=""),"","Done: "&amp;IF(ISNUMBER(Checks!$AD$304),TEXT(Checks!$AD$304,"DD-MMM-YY HH:MM"),"____________")&amp;" "&amp;Checks!$P$304&amp;CHAR(10)&amp;"Verifier: "&amp;IF(Checks!$AE$304="","____________",Checks!$AE$304)&amp;CHAR(10)&amp;"PIC: "&amp;IF(Checks!$T$304="","____________",Checks!$T$304))</f>
        <v>Done: ____________ HAN
Verifier: ____________
PIC: ____________</v>
      </c>
      <c r="H46" s="121" t="str">
        <f aca="false">IF(Checks!$AH$304="","",Checks!$AH$304)</f>
        <v>OPEN – CLARIFICATION</v>
      </c>
    </row>
    <row r="47" customFormat="false" ht="279" hidden="false" customHeight="true" outlineLevel="0" collapsed="false">
      <c r="A47" s="120" t="str">
        <f aca="false">Checks!$A$305&amp;CHAR(10)&amp;IF(Checks!$I$305="","",Checks!$I$305&amp;": ")&amp;Checks!$J$305</f>
        <v>F09-T12-13
F&amp;B Linen: Bread linen (using table cloth) - prepared</v>
      </c>
      <c r="B47" s="120" t="str">
        <f aca="false">SUBSTITUTE(Checks!$K$305&amp;IF(Checks!$O$305="","",IF(Checks!$K$305="","",CHAR(10))&amp;"Note: "&amp;Checks!$O$305),"note F&amp;B LINEN!B78:C78","the F&amp;B LINEN reference note")</f>
        <v>Available (ticked in reference)
Note: Reference contradicts itself: matrix shows a tick for this sector but the F&amp;B LINEN reference note says table cloth is 'Not Applicable for Domestic/Asean &amp; Regional' (ASEAN). Confirm before loading; if not carried, mark N/A with the confirmation as justification. Reference gives no uplift stn for this item: preparation checked at the meal uplift stn (HAN) - confirm with caterer.</v>
      </c>
      <c r="C47" s="120" t="str">
        <f aca="false">Checks!$N$305&amp;CHAR(10)&amp;IF(ISNUMBER(Checks!$R$305),TEXT(Checks!$R$305,"DD-MMM-YY HH:MM"),"")&amp;" "&amp;Checks!$P$305</f>
        <v>Clarification required
11-Oct-26 01:05 HAN</v>
      </c>
      <c r="D47" s="120" t="str">
        <f aca="false">IF(TRIM(Checks!$U$305)&lt;&gt;"",Checks!$U$305&amp;IF(Checks!$AB$305="","",CHAR(10)&amp;"CA: "&amp;Checks!$AB$305),IF(LEFT(Checks!$AH$305,10)="N/A – RULE","","[ ] Pass"&amp;CHAR(10)&amp;"[ ] Pass after CA"&amp;CHAR(10)&amp;"[ ] Fail"&amp;IF(Checks!$AT$305=1,CHAR(10)&amp;"[ ] N/A","")&amp;CHAR(10)&amp;"CA: Open / Closed"))</f>
        <v>[ ] Pass
[ ] Pass after CA
[ ] Fail
[ ] N/A
CA: Open / Closed</v>
      </c>
      <c r="E47" s="120" t="str">
        <f aca="false">IF(Checks!$V$305="","",Checks!$V$305)&amp;IF(Checks!$AC$305="","",IF(Checks!$V$305="","",CHAR(10))&amp;"N/A just.: "&amp;Checks!$AC$305)&amp;IF(OR(Checks!$W$305&lt;&gt;"",AND(Checks!$AQ$305=1,NOT(LEFT(Checks!$AH$305,10)="N/A – RULE"))),CHAR(10)&amp;"Batch: "&amp;IF(Checks!$W$305="","____________",Checks!$W$305),"")&amp;IF(OR(Checks!$X$305&lt;&gt;"",Checks!$Y$305&lt;&gt;"",AND(Checks!$AR$305=1,NOT(LEFT(Checks!$AH$305,10)="N/A – RULE"))),CHAR(10)&amp;"Exp: "&amp;IF(Checks!$X$305="","______",Checks!$X$305)&amp;"  /  Act: "&amp;IF(Checks!$Y$305="","______",Checks!$Y$305),"")</f>
        <v/>
      </c>
      <c r="F47" s="120" t="str">
        <f aca="false">IF(AND(LEFT(Checks!$AH$305,10)="N/A – RULE",TRIM(Checks!$S$305&amp;Checks!$Z$305)=""),"","Type: "&amp;IF(TRIM(Checks!$S$305)="","______________ (see cover list)",Checks!$S$305)&amp;CHAR(10)&amp;"ID: "&amp;IF(TRIM(Checks!$Z$305)="","______________ (record's own no.)",Checks!$Z$305))&amp;IF(Checks!$AA$305="","",CHAR(10)&amp;"CA: "&amp;Checks!$AA$305)</f>
        <v>Type: ______________ (see cover list)
ID: ______________ (record's own no.)</v>
      </c>
      <c r="G47" s="120" t="str">
        <f aca="false">IF(AND(LEFT(Checks!$AH$305,10)="N/A – RULE",NOT(ISNUMBER(Checks!$AD$305)),Checks!$AE$305="",Checks!$T$305=""),"","Done: "&amp;IF(ISNUMBER(Checks!$AD$305),TEXT(Checks!$AD$305,"DD-MMM-YY HH:MM"),"____________")&amp;" "&amp;Checks!$P$305&amp;CHAR(10)&amp;"Verifier: "&amp;IF(Checks!$AE$305="","____________",Checks!$AE$305)&amp;CHAR(10)&amp;"PIC: "&amp;IF(Checks!$T$305="","____________",Checks!$T$305))</f>
        <v>Done: ____________ HAN
Verifier: ____________
PIC: ____________</v>
      </c>
      <c r="H47" s="121" t="str">
        <f aca="false">IF(Checks!$AH$305="","",Checks!$AH$305)</f>
        <v>OPEN – CLARIFICATION</v>
      </c>
    </row>
    <row r="48" customFormat="false" ht="124.5" hidden="false" customHeight="true" outlineLevel="0" collapsed="false">
      <c r="A48" s="120" t="str">
        <f aca="false">Checks!$A$306&amp;CHAR(10)&amp;IF(Checks!$I$306="","",Checks!$I$306&amp;": ")&amp;Checks!$J$306</f>
        <v>F09-T12-14
F&amp;B Linen: Trolley cloth - prepared</v>
      </c>
      <c r="B48" s="120" t="str">
        <f aca="false">SUBSTITUTE(SUBSTITUTE(Checks!$K$306&amp;IF(Checks!$O$306="","",IF(Checks!$K$306="","",CHAR(10))&amp;"Note: "&amp;Checks!$O$306),"Per note F&amp;B LINEN!B79:C80.","Per the F&amp;B LINEN reference note."),"note F&amp;B LINEN!B79:C80","the F&amp;B LINEN reference note")</f>
        <v>Narrow body: Top only
Note: Per the F&amp;B LINEN reference note. Reference gives no uplift stn for this item: preparation checked at the meal uplift stn (HAN) - confirm with caterer.</v>
      </c>
      <c r="C48" s="120" t="str">
        <f aca="false">Checks!$N$306&amp;CHAR(10)&amp;IF(ISNUMBER(Checks!$R$306),TEXT(Checks!$R$306,"DD-MMM-YY HH:MM"),"")&amp;" "&amp;Checks!$P$306</f>
        <v>Required
11-Oct-26 01:05 HAN</v>
      </c>
      <c r="D48" s="120" t="str">
        <f aca="false">IF(TRIM(Checks!$U$306)&lt;&gt;"",Checks!$U$306&amp;IF(Checks!$AB$306="","",CHAR(10)&amp;"CA: "&amp;Checks!$AB$306),IF(LEFT(Checks!$AH$306,10)="N/A – RULE","","[ ] Pass"&amp;CHAR(10)&amp;"[ ] Pass after CA"&amp;CHAR(10)&amp;"[ ] Fail"&amp;IF(Checks!$AT$306=1,CHAR(10)&amp;"[ ] N/A","")&amp;CHAR(10)&amp;"CA: Open / Closed"))</f>
        <v>[ ] Pass
[ ] Pass after CA
[ ] Fail
CA: Open / Closed</v>
      </c>
      <c r="E48" s="120" t="str">
        <f aca="false">IF(Checks!$V$306="","",Checks!$V$306)&amp;IF(Checks!$AC$306="","",IF(Checks!$V$306="","",CHAR(10))&amp;"N/A just.: "&amp;Checks!$AC$306)&amp;IF(OR(Checks!$W$306&lt;&gt;"",AND(Checks!$AQ$306=1,NOT(LEFT(Checks!$AH$306,10)="N/A – RULE"))),CHAR(10)&amp;"Batch: "&amp;IF(Checks!$W$306="","____________",Checks!$W$306),"")&amp;IF(OR(Checks!$X$306&lt;&gt;"",Checks!$Y$306&lt;&gt;"",AND(Checks!$AR$306=1,NOT(LEFT(Checks!$AH$306,10)="N/A – RULE"))),CHAR(10)&amp;"Exp: "&amp;IF(Checks!$X$306="","______",Checks!$X$306)&amp;"  /  Act: "&amp;IF(Checks!$Y$306="","______",Checks!$Y$306),"")</f>
        <v/>
      </c>
      <c r="F48" s="120" t="str">
        <f aca="false">IF(AND(LEFT(Checks!$AH$306,10)="N/A – RULE",TRIM(Checks!$S$306&amp;Checks!$Z$306)=""),"","Type: "&amp;IF(TRIM(Checks!$S$306)="","______________ (see cover list)",Checks!$S$306)&amp;CHAR(10)&amp;"ID: "&amp;IF(TRIM(Checks!$Z$306)="","______________ (record's own no.)",Checks!$Z$306))&amp;IF(Checks!$AA$306="","",CHAR(10)&amp;"CA: "&amp;Checks!$AA$306)</f>
        <v>Type: ______________ (see cover list)
ID: ______________ (record's own no.)</v>
      </c>
      <c r="G48" s="120" t="str">
        <f aca="false">IF(AND(LEFT(Checks!$AH$306,10)="N/A – RULE",NOT(ISNUMBER(Checks!$AD$306)),Checks!$AE$306="",Checks!$T$306=""),"","Done: "&amp;IF(ISNUMBER(Checks!$AD$306),TEXT(Checks!$AD$306,"DD-MMM-YY HH:MM"),"____________")&amp;" "&amp;Checks!$P$306&amp;CHAR(10)&amp;"Verifier: "&amp;IF(Checks!$AE$306="","____________",Checks!$AE$306)&amp;CHAR(10)&amp;"PIC: "&amp;IF(Checks!$T$306="","____________",Checks!$T$306))</f>
        <v>Done: ____________ HAN
Verifier: ____________
PIC: ____________</v>
      </c>
      <c r="H48" s="121" t="str">
        <f aca="false">IF(Checks!$AH$306="","",Checks!$AH$306)</f>
        <v>OPEN</v>
      </c>
    </row>
    <row r="49" customFormat="false" ht="114" hidden="false" customHeight="true" outlineLevel="0" collapsed="false">
      <c r="A49" s="120" t="str">
        <f aca="false">Checks!$A$307&amp;CHAR(10)&amp;IF(Checks!$I$307="","",Checks!$I$307&amp;": ")&amp;Checks!$J$307</f>
        <v>F09-T12-15
F&amp;B Linen: Linen bag - prepared</v>
      </c>
      <c r="B49" s="120" t="str">
        <f aca="false">Checks!$K$307&amp;IF(Checks!$O$307="","",IF(Checks!$K$307="","",CHAR(10))&amp;"Note: "&amp;Checks!$O$307)</f>
        <v>Available (ticked in reference)
Note: Reference gives no uplift stn for this item: preparation checked at the meal uplift stn (HAN) - confirm with caterer.</v>
      </c>
      <c r="C49" s="120" t="str">
        <f aca="false">Checks!$N$307&amp;CHAR(10)&amp;IF(ISNUMBER(Checks!$R$307),TEXT(Checks!$R$307,"DD-MMM-YY HH:MM"),"")&amp;" "&amp;Checks!$P$307</f>
        <v>Required
11-Oct-26 01:05 HAN</v>
      </c>
      <c r="D49" s="120" t="str">
        <f aca="false">IF(TRIM(Checks!$U$307)&lt;&gt;"",Checks!$U$307&amp;IF(Checks!$AB$307="","",CHAR(10)&amp;"CA: "&amp;Checks!$AB$307),IF(LEFT(Checks!$AH$307,10)="N/A – RULE","","[ ] Pass"&amp;CHAR(10)&amp;"[ ] Pass after CA"&amp;CHAR(10)&amp;"[ ] Fail"&amp;IF(Checks!$AT$307=1,CHAR(10)&amp;"[ ] N/A","")&amp;CHAR(10)&amp;"CA: Open / Closed"))</f>
        <v>[ ] Pass
[ ] Pass after CA
[ ] Fail
CA: Open / Closed</v>
      </c>
      <c r="E49" s="120" t="str">
        <f aca="false">IF(Checks!$V$307="","",Checks!$V$307)&amp;IF(Checks!$AC$307="","",IF(Checks!$V$307="","",CHAR(10))&amp;"N/A just.: "&amp;Checks!$AC$307)&amp;IF(OR(Checks!$W$307&lt;&gt;"",AND(Checks!$AQ$307=1,NOT(LEFT(Checks!$AH$307,10)="N/A – RULE"))),CHAR(10)&amp;"Batch: "&amp;IF(Checks!$W$307="","____________",Checks!$W$307),"")&amp;IF(OR(Checks!$X$307&lt;&gt;"",Checks!$Y$307&lt;&gt;"",AND(Checks!$AR$307=1,NOT(LEFT(Checks!$AH$307,10)="N/A – RULE"))),CHAR(10)&amp;"Exp: "&amp;IF(Checks!$X$307="","______",Checks!$X$307)&amp;"  /  Act: "&amp;IF(Checks!$Y$307="","______",Checks!$Y$307),"")</f>
        <v/>
      </c>
      <c r="F49" s="120" t="str">
        <f aca="false">IF(AND(LEFT(Checks!$AH$307,10)="N/A – RULE",TRIM(Checks!$S$307&amp;Checks!$Z$307)=""),"","Type: "&amp;IF(TRIM(Checks!$S$307)="","______________ (see cover list)",Checks!$S$307)&amp;CHAR(10)&amp;"ID: "&amp;IF(TRIM(Checks!$Z$307)="","______________ (record's own no.)",Checks!$Z$307))&amp;IF(Checks!$AA$307="","",CHAR(10)&amp;"CA: "&amp;Checks!$AA$307)</f>
        <v>Type: ______________ (see cover list)
ID: ______________ (record's own no.)</v>
      </c>
      <c r="G49" s="120" t="str">
        <f aca="false">IF(AND(LEFT(Checks!$AH$307,10)="N/A – RULE",NOT(ISNUMBER(Checks!$AD$307)),Checks!$AE$307="",Checks!$T$307=""),"","Done: "&amp;IF(ISNUMBER(Checks!$AD$307),TEXT(Checks!$AD$307,"DD-MMM-YY HH:MM"),"____________")&amp;" "&amp;Checks!$P$307&amp;CHAR(10)&amp;"Verifier: "&amp;IF(Checks!$AE$307="","____________",Checks!$AE$307)&amp;CHAR(10)&amp;"PIC: "&amp;IF(Checks!$T$307="","____________",Checks!$T$307))</f>
        <v>Done: ____________ HAN
Verifier: ____________
PIC: ____________</v>
      </c>
      <c r="H49" s="121" t="str">
        <f aca="false">IF(Checks!$AH$307="","",Checks!$AH$307)</f>
        <v>OPEN</v>
      </c>
    </row>
    <row r="50" customFormat="false" ht="114" hidden="false" customHeight="true" outlineLevel="0" collapsed="false">
      <c r="A50" s="120" t="str">
        <f aca="false">Checks!$A$308&amp;CHAR(10)&amp;IF(Checks!$I$308="","",Checks!$I$308&amp;": ")&amp;Checks!$J$308</f>
        <v>F09-T12-16
Seat Linen: Seat pillow (BS &amp; BC) - prepared</v>
      </c>
      <c r="B50" s="120" t="str">
        <f aca="false">Checks!$K$308&amp;IF(Checks!$O$308="","",IF(Checks!$K$308="","",CHAR(10))&amp;"Note: "&amp;Checks!$O$308)</f>
        <v>Available 100% (ticked in reference)
Note: Reference gives no uplift stn for this item: preparation checked at the meal uplift stn (HAN) - confirm with caterer.</v>
      </c>
      <c r="C50" s="120" t="str">
        <f aca="false">Checks!$N$308&amp;CHAR(10)&amp;IF(ISNUMBER(Checks!$R$308),TEXT(Checks!$R$308,"DD-MMM-YY HH:MM"),"")&amp;" "&amp;Checks!$P$308</f>
        <v>Required
11-Oct-26 01:05 HAN</v>
      </c>
      <c r="D50" s="120" t="str">
        <f aca="false">IF(TRIM(Checks!$U$308)&lt;&gt;"",Checks!$U$308&amp;IF(Checks!$AB$308="","",CHAR(10)&amp;"CA: "&amp;Checks!$AB$308),IF(LEFT(Checks!$AH$308,10)="N/A – RULE","","[ ] Pass"&amp;CHAR(10)&amp;"[ ] Pass after CA"&amp;CHAR(10)&amp;"[ ] Fail"&amp;IF(Checks!$AT$308=1,CHAR(10)&amp;"[ ] N/A","")&amp;CHAR(10)&amp;"CA: Open / Closed"))</f>
        <v>[ ] Pass
[ ] Pass after CA
[ ] Fail
CA: Open / Closed</v>
      </c>
      <c r="E50" s="120" t="str">
        <f aca="false">IF(Checks!$V$308="","",Checks!$V$308)&amp;IF(Checks!$AC$308="","",IF(Checks!$V$308="","",CHAR(10))&amp;"N/A just.: "&amp;Checks!$AC$308)&amp;IF(OR(Checks!$W$308&lt;&gt;"",AND(Checks!$AQ$308=1,NOT(LEFT(Checks!$AH$308,10)="N/A – RULE"))),CHAR(10)&amp;"Batch: "&amp;IF(Checks!$W$308="","____________",Checks!$W$308),"")&amp;IF(OR(Checks!$X$308&lt;&gt;"",Checks!$Y$308&lt;&gt;"",AND(Checks!$AR$308=1,NOT(LEFT(Checks!$AH$308,10)="N/A – RULE"))),CHAR(10)&amp;"Exp: "&amp;IF(Checks!$X$308="","______",Checks!$X$308)&amp;"  /  Act: "&amp;IF(Checks!$Y$308="","______",Checks!$Y$308),"")</f>
        <v/>
      </c>
      <c r="F50" s="120" t="str">
        <f aca="false">IF(AND(LEFT(Checks!$AH$308,10)="N/A – RULE",TRIM(Checks!$S$308&amp;Checks!$Z$308)=""),"","Type: "&amp;IF(TRIM(Checks!$S$308)="","______________ (see cover list)",Checks!$S$308)&amp;CHAR(10)&amp;"ID: "&amp;IF(TRIM(Checks!$Z$308)="","______________ (record's own no.)",Checks!$Z$308))&amp;IF(Checks!$AA$308="","",CHAR(10)&amp;"CA: "&amp;Checks!$AA$308)</f>
        <v>Type: ______________ (see cover list)
ID: ______________ (record's own no.)</v>
      </c>
      <c r="G50" s="120" t="str">
        <f aca="false">IF(AND(LEFT(Checks!$AH$308,10)="N/A – RULE",NOT(ISNUMBER(Checks!$AD$308)),Checks!$AE$308="",Checks!$T$308=""),"","Done: "&amp;IF(ISNUMBER(Checks!$AD$308),TEXT(Checks!$AD$308,"DD-MMM-YY HH:MM"),"____________")&amp;" "&amp;Checks!$P$308&amp;CHAR(10)&amp;"Verifier: "&amp;IF(Checks!$AE$308="","____________",Checks!$AE$308)&amp;CHAR(10)&amp;"PIC: "&amp;IF(Checks!$T$308="","____________",Checks!$T$308))</f>
        <v>Done: ____________ HAN
Verifier: ____________
PIC: ____________</v>
      </c>
      <c r="H50" s="121" t="str">
        <f aca="false">IF(Checks!$AH$308="","",Checks!$AH$308)</f>
        <v>OPEN</v>
      </c>
    </row>
    <row r="51" customFormat="false" ht="114" hidden="false" customHeight="true" outlineLevel="0" collapsed="false">
      <c r="A51" s="120" t="str">
        <f aca="false">Checks!$A$309&amp;CHAR(10)&amp;IF(Checks!$I$309="","",Checks!$I$309&amp;": ")&amp;Checks!$J$309</f>
        <v>F09-T12-17
Seat Linen: Blanket (BS &amp; BC) - prepared</v>
      </c>
      <c r="B51" s="120" t="str">
        <f aca="false">Checks!$K$309&amp;IF(Checks!$O$309="","",IF(Checks!$K$309="","",CHAR(10))&amp;"Note: "&amp;Checks!$O$309)</f>
        <v>Available 100% (ticked in reference)
Note: Reference gives no uplift stn for this item: preparation checked at the meal uplift stn (HAN) - confirm with caterer.</v>
      </c>
      <c r="C51" s="120" t="str">
        <f aca="false">Checks!$N$309&amp;CHAR(10)&amp;IF(ISNUMBER(Checks!$R$309),TEXT(Checks!$R$309,"DD-MMM-YY HH:MM"),"")&amp;" "&amp;Checks!$P$309</f>
        <v>Required
11-Oct-26 01:05 HAN</v>
      </c>
      <c r="D51" s="120" t="str">
        <f aca="false">IF(TRIM(Checks!$U$309)&lt;&gt;"",Checks!$U$309&amp;IF(Checks!$AB$309="","",CHAR(10)&amp;"CA: "&amp;Checks!$AB$309),IF(LEFT(Checks!$AH$309,10)="N/A – RULE","","[ ] Pass"&amp;CHAR(10)&amp;"[ ] Pass after CA"&amp;CHAR(10)&amp;"[ ] Fail"&amp;IF(Checks!$AT$309=1,CHAR(10)&amp;"[ ] N/A","")&amp;CHAR(10)&amp;"CA: Open / Closed"))</f>
        <v>[ ] Pass
[ ] Pass after CA
[ ] Fail
CA: Open / Closed</v>
      </c>
      <c r="E51" s="120" t="str">
        <f aca="false">IF(Checks!$V$309="","",Checks!$V$309)&amp;IF(Checks!$AC$309="","",IF(Checks!$V$309="","",CHAR(10))&amp;"N/A just.: "&amp;Checks!$AC$309)&amp;IF(OR(Checks!$W$309&lt;&gt;"",AND(Checks!$AQ$309=1,NOT(LEFT(Checks!$AH$309,10)="N/A – RULE"))),CHAR(10)&amp;"Batch: "&amp;IF(Checks!$W$309="","____________",Checks!$W$309),"")&amp;IF(OR(Checks!$X$309&lt;&gt;"",Checks!$Y$309&lt;&gt;"",AND(Checks!$AR$309=1,NOT(LEFT(Checks!$AH$309,10)="N/A – RULE"))),CHAR(10)&amp;"Exp: "&amp;IF(Checks!$X$309="","______",Checks!$X$309)&amp;"  /  Act: "&amp;IF(Checks!$Y$309="","______",Checks!$Y$309),"")</f>
        <v/>
      </c>
      <c r="F51" s="120" t="str">
        <f aca="false">IF(AND(LEFT(Checks!$AH$309,10)="N/A – RULE",TRIM(Checks!$S$309&amp;Checks!$Z$309)=""),"","Type: "&amp;IF(TRIM(Checks!$S$309)="","______________ (see cover list)",Checks!$S$309)&amp;CHAR(10)&amp;"ID: "&amp;IF(TRIM(Checks!$Z$309)="","______________ (record's own no.)",Checks!$Z$309))&amp;IF(Checks!$AA$309="","",CHAR(10)&amp;"CA: "&amp;Checks!$AA$309)</f>
        <v>Type: ______________ (see cover list)
ID: ______________ (record's own no.)</v>
      </c>
      <c r="G51" s="120" t="str">
        <f aca="false">IF(AND(LEFT(Checks!$AH$309,10)="N/A – RULE",NOT(ISNUMBER(Checks!$AD$309)),Checks!$AE$309="",Checks!$T$309=""),"","Done: "&amp;IF(ISNUMBER(Checks!$AD$309),TEXT(Checks!$AD$309,"DD-MMM-YY HH:MM"),"____________")&amp;" "&amp;Checks!$P$309&amp;CHAR(10)&amp;"Verifier: "&amp;IF(Checks!$AE$309="","____________",Checks!$AE$309)&amp;CHAR(10)&amp;"PIC: "&amp;IF(Checks!$T$309="","____________",Checks!$T$309))</f>
        <v>Done: ____________ HAN
Verifier: ____________
PIC: ____________</v>
      </c>
      <c r="H51" s="121" t="str">
        <f aca="false">IF(Checks!$AH$309="","",Checks!$AH$309)</f>
        <v>OPEN</v>
      </c>
    </row>
    <row r="52" customFormat="false" ht="25.5" hidden="false" customHeight="true" outlineLevel="0" collapsed="false">
      <c r="A52" s="119" t="str">
        <f aca="false">"UPLIFT — Physical uplift – on-board confirmation before departure  |  Due "&amp;"STD "&amp;IF(ISNUMBER(Flights!$I$13),TEXT(Flights!$I$13,"DD-MMM-YY HH:MM"),"")&amp;" "&amp;Flights!$G$13&amp;" (departure stn)"&amp;" (rows with another due show their own)  |  Complete "&amp;IF(ISNUMBER(Flights!$AM$13),TEXT(Flights!$AM$13,"0%"),Flights!$AM$13)&amp;"  |  12 lines"</f>
        <v>UPLIFT — Physical uplift – on-board confirmation before departure  |  Due STD 11-Oct-26 13:05 HAN (departure stn) (rows with another due show their own)  |  Complete 0%  |  12 lines</v>
      </c>
      <c r="B52" s="119"/>
      <c r="C52" s="119"/>
      <c r="D52" s="119"/>
      <c r="E52" s="119"/>
      <c r="F52" s="119"/>
      <c r="G52" s="119"/>
      <c r="H52" s="119"/>
    </row>
    <row r="53" customFormat="false" ht="114" hidden="false" customHeight="true" outlineLevel="0" collapsed="false">
      <c r="A53" s="120" t="str">
        <f aca="false">Checks!$A$310&amp;CHAR(10)&amp;IF(Checks!$I$310="","",Checks!$I$310&amp;": ")&amp;Checks!$J$310</f>
        <v>F09-UPL-01
Meal: Meals physically uplifted on board - quantity vs menu checklist</v>
      </c>
      <c r="B53" s="120" t="str">
        <f aca="false">Checks!$K$310&amp;IF(Checks!$O$310="","",IF(Checks!$K$310="","",CHAR(10))&amp;"Note: "&amp;Checks!$O$310)</f>
        <v>Enter expected &amp; actual
Note: Confirm on board before departure; completion time must fall inside the uplift window.</v>
      </c>
      <c r="C53" s="120" t="str">
        <f aca="false">Checks!$N$310&amp;CHAR(10)&amp;IF(ISNUMBER(Checks!$R$310),TEXT(Checks!$R$310,"DD-MMM-YY HH:MM"),"")&amp;" "&amp;Checks!$P$310</f>
        <v>Required
11-Oct-26 13:05 HAN</v>
      </c>
      <c r="D53" s="120" t="str">
        <f aca="false">IF(TRIM(Checks!$U$310)&lt;&gt;"",Checks!$U$310&amp;IF(Checks!$AB$310="","",CHAR(10)&amp;"CA: "&amp;Checks!$AB$310),IF(LEFT(Checks!$AH$310,10)="N/A – RULE","","[ ] Pass"&amp;CHAR(10)&amp;"[ ] Pass after CA"&amp;CHAR(10)&amp;"[ ] Fail"&amp;IF(Checks!$AT$310=1,CHAR(10)&amp;"[ ] N/A","")&amp;CHAR(10)&amp;"CA: Open / Closed"))</f>
        <v>[ ] Pass
[ ] Pass after CA
[ ] Fail
CA: Open / Closed</v>
      </c>
      <c r="E53" s="120" t="str">
        <f aca="false">IF(Checks!$V$310="","",Checks!$V$310)&amp;IF(Checks!$AC$310="","",IF(Checks!$V$310="","",CHAR(10))&amp;"N/A just.: "&amp;Checks!$AC$310)&amp;IF(OR(Checks!$W$310&lt;&gt;"",AND(Checks!$AQ$310=1,NOT(LEFT(Checks!$AH$310,10)="N/A – RULE"))),CHAR(10)&amp;"Batch: "&amp;IF(Checks!$W$310="","____________",Checks!$W$310),"")&amp;IF(OR(Checks!$X$310&lt;&gt;"",Checks!$Y$310&lt;&gt;"",AND(Checks!$AR$310=1,NOT(LEFT(Checks!$AH$310,10)="N/A – RULE"))),CHAR(10)&amp;"Exp: "&amp;IF(Checks!$X$310="","______",Checks!$X$310)&amp;"  /  Act: "&amp;IF(Checks!$Y$310="","______",Checks!$Y$310),"")</f>
        <v>
Exp: ______  /  Act: ______</v>
      </c>
      <c r="F53" s="120" t="str">
        <f aca="false">IF(AND(LEFT(Checks!$AH$310,10)="N/A – RULE",TRIM(Checks!$S$310&amp;Checks!$Z$310)=""),"","Type: "&amp;IF(TRIM(Checks!$S$310)="","______________ (see cover list)",Checks!$S$310)&amp;CHAR(10)&amp;"ID: "&amp;IF(TRIM(Checks!$Z$310)="","______________ (record's own no.)",Checks!$Z$310))&amp;IF(Checks!$AA$310="","",CHAR(10)&amp;"CA: "&amp;Checks!$AA$310)</f>
        <v>Type: ______________ (see cover list)
ID: ______________ (record's own no.)</v>
      </c>
      <c r="G53" s="120" t="str">
        <f aca="false">IF(AND(LEFT(Checks!$AH$310,10)="N/A – RULE",NOT(ISNUMBER(Checks!$AD$310)),Checks!$AE$310="",Checks!$T$310=""),"","Done: "&amp;IF(ISNUMBER(Checks!$AD$310),TEXT(Checks!$AD$310,"DD-MMM-YY HH:MM"),"____________")&amp;" "&amp;Checks!$P$310&amp;CHAR(10)&amp;"Verifier: "&amp;IF(Checks!$AE$310="","____________",Checks!$AE$310)&amp;CHAR(10)&amp;"PIC: "&amp;IF(Checks!$T$310="","____________",Checks!$T$310))</f>
        <v>Done: ____________ HAN
Verifier: ____________
PIC: ____________</v>
      </c>
      <c r="H53" s="121" t="str">
        <f aca="false">IF(Checks!$AH$310="","",Checks!$AH$310)</f>
        <v>OPEN</v>
      </c>
    </row>
    <row r="54" customFormat="false" ht="114" hidden="false" customHeight="true" outlineLevel="0" collapsed="false">
      <c r="A54" s="120" t="str">
        <f aca="false">Checks!$A$311&amp;CHAR(10)&amp;IF(Checks!$I$311="","",Checks!$I$311&amp;": ")&amp;Checks!$J$311</f>
        <v>F09-UPL-02
Equipment: Equipment physically loaded at GLD positions - quantity &amp; positions</v>
      </c>
      <c r="B54" s="120" t="str">
        <f aca="false">Checks!$K$311&amp;IF(Checks!$O$311="","",IF(Checks!$K$311="","",CHAR(10))&amp;"Note: "&amp;Checks!$O$311)</f>
        <v>Enter expected &amp; actual
Note: Confirm on board before departure; completion time must fall inside the uplift window.</v>
      </c>
      <c r="C54" s="120" t="str">
        <f aca="false">Checks!$N$311&amp;CHAR(10)&amp;IF(ISNUMBER(Checks!$R$311),TEXT(Checks!$R$311,"DD-MMM-YY HH:MM"),"")&amp;" "&amp;Checks!$P$311</f>
        <v>Required
11-Oct-26 13:05 HAN</v>
      </c>
      <c r="D54" s="120" t="str">
        <f aca="false">IF(TRIM(Checks!$U$311)&lt;&gt;"",Checks!$U$311&amp;IF(Checks!$AB$311="","",CHAR(10)&amp;"CA: "&amp;Checks!$AB$311),IF(LEFT(Checks!$AH$311,10)="N/A – RULE","","[ ] Pass"&amp;CHAR(10)&amp;"[ ] Pass after CA"&amp;CHAR(10)&amp;"[ ] Fail"&amp;IF(Checks!$AT$311=1,CHAR(10)&amp;"[ ] N/A","")&amp;CHAR(10)&amp;"CA: Open / Closed"))</f>
        <v>[ ] Pass
[ ] Pass after CA
[ ] Fail
CA: Open / Closed</v>
      </c>
      <c r="E54" s="120" t="str">
        <f aca="false">IF(Checks!$V$311="","",Checks!$V$311)&amp;IF(Checks!$AC$311="","",IF(Checks!$V$311="","",CHAR(10))&amp;"N/A just.: "&amp;Checks!$AC$311)&amp;IF(OR(Checks!$W$311&lt;&gt;"",AND(Checks!$AQ$311=1,NOT(LEFT(Checks!$AH$311,10)="N/A – RULE"))),CHAR(10)&amp;"Batch: "&amp;IF(Checks!$W$311="","____________",Checks!$W$311),"")&amp;IF(OR(Checks!$X$311&lt;&gt;"",Checks!$Y$311&lt;&gt;"",AND(Checks!$AR$311=1,NOT(LEFT(Checks!$AH$311,10)="N/A – RULE"))),CHAR(10)&amp;"Exp: "&amp;IF(Checks!$X$311="","______",Checks!$X$311)&amp;"  /  Act: "&amp;IF(Checks!$Y$311="","______",Checks!$Y$311),"")</f>
        <v>
Exp: ______  /  Act: ______</v>
      </c>
      <c r="F54" s="120" t="str">
        <f aca="false">IF(AND(LEFT(Checks!$AH$311,10)="N/A – RULE",TRIM(Checks!$S$311&amp;Checks!$Z$311)=""),"","Type: "&amp;IF(TRIM(Checks!$S$311)="","______________ (see cover list)",Checks!$S$311)&amp;CHAR(10)&amp;"ID: "&amp;IF(TRIM(Checks!$Z$311)="","______________ (record's own no.)",Checks!$Z$311))&amp;IF(Checks!$AA$311="","",CHAR(10)&amp;"CA: "&amp;Checks!$AA$311)</f>
        <v>Type: ______________ (see cover list)
ID: ______________ (record's own no.)</v>
      </c>
      <c r="G54" s="120" t="str">
        <f aca="false">IF(AND(LEFT(Checks!$AH$311,10)="N/A – RULE",NOT(ISNUMBER(Checks!$AD$311)),Checks!$AE$311="",Checks!$T$311=""),"","Done: "&amp;IF(ISNUMBER(Checks!$AD$311),TEXT(Checks!$AD$311,"DD-MMM-YY HH:MM"),"____________")&amp;" "&amp;Checks!$P$311&amp;CHAR(10)&amp;"Verifier: "&amp;IF(Checks!$AE$311="","____________",Checks!$AE$311)&amp;CHAR(10)&amp;"PIC: "&amp;IF(Checks!$T$311="","____________",Checks!$T$311))</f>
        <v>Done: ____________ HAN
Verifier: ____________
PIC: ____________</v>
      </c>
      <c r="H54" s="121" t="str">
        <f aca="false">IF(Checks!$AH$311="","",Checks!$AH$311)</f>
        <v>OPEN</v>
      </c>
    </row>
    <row r="55" customFormat="false" ht="114" hidden="false" customHeight="true" outlineLevel="0" collapsed="false">
      <c r="A55" s="120" t="str">
        <f aca="false">Checks!$A$312&amp;CHAR(10)&amp;IF(Checks!$I$312="","",Checks!$I$312&amp;": ")&amp;Checks!$J$312</f>
        <v>F09-UPL-03
Amenities: Disposable slippers in DAM cart (BC, on request) - on board</v>
      </c>
      <c r="B55" s="120" t="str">
        <f aca="false">SUBSTITUTE(Checks!$K$312&amp;IF(Checks!$O$312="","",IF(Checks!$K$312="","",CHAR(10))&amp;"Note: "&amp;Checks!$O$312),"note C83: ","reference note: ")</f>
        <v>Available in DAM cart on request basis
Note: Sector has no BC slippers; reference note: disposable slipper available in DAM cart (on request basis).</v>
      </c>
      <c r="C55" s="120" t="str">
        <f aca="false">Checks!$N$312&amp;CHAR(10)&amp;IF(ISNUMBER(Checks!$R$312),TEXT(Checks!$R$312,"DD-MMM-YY HH:MM"),"")&amp;" "&amp;Checks!$P$312</f>
        <v>Required
11-Oct-26 13:05 HAN</v>
      </c>
      <c r="D55" s="120" t="str">
        <f aca="false">IF(TRIM(Checks!$U$312)&lt;&gt;"",Checks!$U$312&amp;IF(Checks!$AB$312="","",CHAR(10)&amp;"CA: "&amp;Checks!$AB$312),IF(LEFT(Checks!$AH$312,10)="N/A – RULE","","[ ] Pass"&amp;CHAR(10)&amp;"[ ] Pass after CA"&amp;CHAR(10)&amp;"[ ] Fail"&amp;IF(Checks!$AT$312=1,CHAR(10)&amp;"[ ] N/A","")&amp;CHAR(10)&amp;"CA: Open / Closed"))</f>
        <v>[ ] Pass
[ ] Pass after CA
[ ] Fail
CA: Open / Closed</v>
      </c>
      <c r="E55" s="120" t="str">
        <f aca="false">IF(Checks!$V$312="","",Checks!$V$312)&amp;IF(Checks!$AC$312="","",IF(Checks!$V$312="","",CHAR(10))&amp;"N/A just.: "&amp;Checks!$AC$312)&amp;IF(OR(Checks!$W$312&lt;&gt;"",AND(Checks!$AQ$312=1,NOT(LEFT(Checks!$AH$312,10)="N/A – RULE"))),CHAR(10)&amp;"Batch: "&amp;IF(Checks!$W$312="","____________",Checks!$W$312),"")&amp;IF(OR(Checks!$X$312&lt;&gt;"",Checks!$Y$312&lt;&gt;"",AND(Checks!$AR$312=1,NOT(LEFT(Checks!$AH$312,10)="N/A – RULE"))),CHAR(10)&amp;"Exp: "&amp;IF(Checks!$X$312="","______",Checks!$X$312)&amp;"  /  Act: "&amp;IF(Checks!$Y$312="","______",Checks!$Y$312),"")</f>
        <v/>
      </c>
      <c r="F55" s="120" t="str">
        <f aca="false">IF(AND(LEFT(Checks!$AH$312,10)="N/A – RULE",TRIM(Checks!$S$312&amp;Checks!$Z$312)=""),"","Type: "&amp;IF(TRIM(Checks!$S$312)="","______________ (see cover list)",Checks!$S$312)&amp;CHAR(10)&amp;"ID: "&amp;IF(TRIM(Checks!$Z$312)="","______________ (record's own no.)",Checks!$Z$312))&amp;IF(Checks!$AA$312="","",CHAR(10)&amp;"CA: "&amp;Checks!$AA$312)</f>
        <v>Type: ______________ (see cover list)
ID: ______________ (record's own no.)</v>
      </c>
      <c r="G55" s="120" t="str">
        <f aca="false">IF(AND(LEFT(Checks!$AH$312,10)="N/A – RULE",NOT(ISNUMBER(Checks!$AD$312)),Checks!$AE$312="",Checks!$T$312=""),"","Done: "&amp;IF(ISNUMBER(Checks!$AD$312),TEXT(Checks!$AD$312,"DD-MMM-YY HH:MM"),"____________")&amp;" "&amp;Checks!$P$312&amp;CHAR(10)&amp;"Verifier: "&amp;IF(Checks!$AE$312="","____________",Checks!$AE$312)&amp;CHAR(10)&amp;"PIC: "&amp;IF(Checks!$T$312="","____________",Checks!$T$312))</f>
        <v>Done: ____________ HAN
Verifier: ____________
PIC: ____________</v>
      </c>
      <c r="H55" s="121" t="str">
        <f aca="false">IF(Checks!$AH$312="","",Checks!$AH$312)</f>
        <v>OPEN</v>
      </c>
    </row>
    <row r="56" customFormat="false" ht="114" hidden="false" customHeight="true" outlineLevel="0" collapsed="false">
      <c r="A56" s="120" t="str">
        <f aca="false">Checks!$A$313&amp;CHAR(10)&amp;IF(Checks!$I$313="","",Checks!$I$313&amp;": ")&amp;Checks!$J$313</f>
        <v>F09-UPL-04
F&amp;B Linen: Towel - on board</v>
      </c>
      <c r="B56" s="120" t="str">
        <f aca="false">Checks!$K$313&amp;IF(Checks!$O$313="","",IF(Checks!$K$313="","",CHAR(10))&amp;"Note: "&amp;Checks!$O$313)</f>
        <v>Available (ticked in reference)</v>
      </c>
      <c r="C56" s="120" t="str">
        <f aca="false">Checks!$N$313&amp;CHAR(10)&amp;IF(ISNUMBER(Checks!$R$313),TEXT(Checks!$R$313,"DD-MMM-YY HH:MM"),"")&amp;" "&amp;Checks!$P$313</f>
        <v>Required
11-Oct-26 13:05 HAN</v>
      </c>
      <c r="D56" s="120" t="str">
        <f aca="false">IF(TRIM(Checks!$U$313)&lt;&gt;"",Checks!$U$313&amp;IF(Checks!$AB$313="","",CHAR(10)&amp;"CA: "&amp;Checks!$AB$313),IF(LEFT(Checks!$AH$313,10)="N/A – RULE","","[ ] Pass"&amp;CHAR(10)&amp;"[ ] Pass after CA"&amp;CHAR(10)&amp;"[ ] Fail"&amp;IF(Checks!$AT$313=1,CHAR(10)&amp;"[ ] N/A","")&amp;CHAR(10)&amp;"CA: Open / Closed"))</f>
        <v>[ ] Pass
[ ] Pass after CA
[ ] Fail
CA: Open / Closed</v>
      </c>
      <c r="E56" s="120" t="str">
        <f aca="false">IF(Checks!$V$313="","",Checks!$V$313)&amp;IF(Checks!$AC$313="","",IF(Checks!$V$313="","",CHAR(10))&amp;"N/A just.: "&amp;Checks!$AC$313)&amp;IF(OR(Checks!$W$313&lt;&gt;"",AND(Checks!$AQ$313=1,NOT(LEFT(Checks!$AH$313,10)="N/A – RULE"))),CHAR(10)&amp;"Batch: "&amp;IF(Checks!$W$313="","____________",Checks!$W$313),"")&amp;IF(OR(Checks!$X$313&lt;&gt;"",Checks!$Y$313&lt;&gt;"",AND(Checks!$AR$313=1,NOT(LEFT(Checks!$AH$313,10)="N/A – RULE"))),CHAR(10)&amp;"Exp: "&amp;IF(Checks!$X$313="","______",Checks!$X$313)&amp;"  /  Act: "&amp;IF(Checks!$Y$313="","______",Checks!$Y$313),"")</f>
        <v/>
      </c>
      <c r="F56" s="120" t="str">
        <f aca="false">IF(AND(LEFT(Checks!$AH$313,10)="N/A – RULE",TRIM(Checks!$S$313&amp;Checks!$Z$313)=""),"","Type: "&amp;IF(TRIM(Checks!$S$313)="","______________ (see cover list)",Checks!$S$313)&amp;CHAR(10)&amp;"ID: "&amp;IF(TRIM(Checks!$Z$313)="","______________ (record's own no.)",Checks!$Z$313))&amp;IF(Checks!$AA$313="","",CHAR(10)&amp;"CA: "&amp;Checks!$AA$313)</f>
        <v>Type: ______________ (see cover list)
ID: ______________ (record's own no.)</v>
      </c>
      <c r="G56" s="120" t="str">
        <f aca="false">IF(AND(LEFT(Checks!$AH$313,10)="N/A – RULE",NOT(ISNUMBER(Checks!$AD$313)),Checks!$AE$313="",Checks!$T$313=""),"","Done: "&amp;IF(ISNUMBER(Checks!$AD$313),TEXT(Checks!$AD$313,"DD-MMM-YY HH:MM"),"____________")&amp;" "&amp;Checks!$P$313&amp;CHAR(10)&amp;"Verifier: "&amp;IF(Checks!$AE$313="","____________",Checks!$AE$313)&amp;CHAR(10)&amp;"PIC: "&amp;IF(Checks!$T$313="","____________",Checks!$T$313))</f>
        <v>Done: ____________ HAN
Verifier: ____________
PIC: ____________</v>
      </c>
      <c r="H56" s="121" t="str">
        <f aca="false">IF(Checks!$AH$313="","",Checks!$AH$313)</f>
        <v>OPEN</v>
      </c>
    </row>
    <row r="57" customFormat="false" ht="114" hidden="false" customHeight="true" outlineLevel="0" collapsed="false">
      <c r="A57" s="120" t="str">
        <f aca="false">Checks!$A$314&amp;CHAR(10)&amp;IF(Checks!$I$314="","",Checks!$I$314&amp;": ")&amp;Checks!$J$314</f>
        <v>F09-UPL-05
F&amp;B Linen: Tray cloth - on board</v>
      </c>
      <c r="B57" s="120" t="str">
        <f aca="false">Checks!$K$314&amp;IF(Checks!$O$314="","",IF(Checks!$K$314="","",CHAR(10))&amp;"Note: "&amp;Checks!$O$314)</f>
        <v>Available (ticked in reference)</v>
      </c>
      <c r="C57" s="120" t="str">
        <f aca="false">Checks!$N$314&amp;CHAR(10)&amp;IF(ISNUMBER(Checks!$R$314),TEXT(Checks!$R$314,"DD-MMM-YY HH:MM"),"")&amp;" "&amp;Checks!$P$314</f>
        <v>Required
11-Oct-26 13:05 HAN</v>
      </c>
      <c r="D57" s="120" t="str">
        <f aca="false">IF(TRIM(Checks!$U$314)&lt;&gt;"",Checks!$U$314&amp;IF(Checks!$AB$314="","",CHAR(10)&amp;"CA: "&amp;Checks!$AB$314),IF(LEFT(Checks!$AH$314,10)="N/A – RULE","","[ ] Pass"&amp;CHAR(10)&amp;"[ ] Pass after CA"&amp;CHAR(10)&amp;"[ ] Fail"&amp;IF(Checks!$AT$314=1,CHAR(10)&amp;"[ ] N/A","")&amp;CHAR(10)&amp;"CA: Open / Closed"))</f>
        <v>[ ] Pass
[ ] Pass after CA
[ ] Fail
CA: Open / Closed</v>
      </c>
      <c r="E57" s="120" t="str">
        <f aca="false">IF(Checks!$V$314="","",Checks!$V$314)&amp;IF(Checks!$AC$314="","",IF(Checks!$V$314="","",CHAR(10))&amp;"N/A just.: "&amp;Checks!$AC$314)&amp;IF(OR(Checks!$W$314&lt;&gt;"",AND(Checks!$AQ$314=1,NOT(LEFT(Checks!$AH$314,10)="N/A – RULE"))),CHAR(10)&amp;"Batch: "&amp;IF(Checks!$W$314="","____________",Checks!$W$314),"")&amp;IF(OR(Checks!$X$314&lt;&gt;"",Checks!$Y$314&lt;&gt;"",AND(Checks!$AR$314=1,NOT(LEFT(Checks!$AH$314,10)="N/A – RULE"))),CHAR(10)&amp;"Exp: "&amp;IF(Checks!$X$314="","______",Checks!$X$314)&amp;"  /  Act: "&amp;IF(Checks!$Y$314="","______",Checks!$Y$314),"")</f>
        <v/>
      </c>
      <c r="F57" s="120" t="str">
        <f aca="false">IF(AND(LEFT(Checks!$AH$314,10)="N/A – RULE",TRIM(Checks!$S$314&amp;Checks!$Z$314)=""),"","Type: "&amp;IF(TRIM(Checks!$S$314)="","______________ (see cover list)",Checks!$S$314)&amp;CHAR(10)&amp;"ID: "&amp;IF(TRIM(Checks!$Z$314)="","______________ (record's own no.)",Checks!$Z$314))&amp;IF(Checks!$AA$314="","",CHAR(10)&amp;"CA: "&amp;Checks!$AA$314)</f>
        <v>Type: ______________ (see cover list)
ID: ______________ (record's own no.)</v>
      </c>
      <c r="G57" s="120" t="str">
        <f aca="false">IF(AND(LEFT(Checks!$AH$314,10)="N/A – RULE",NOT(ISNUMBER(Checks!$AD$314)),Checks!$AE$314="",Checks!$T$314=""),"","Done: "&amp;IF(ISNUMBER(Checks!$AD$314),TEXT(Checks!$AD$314,"DD-MMM-YY HH:MM"),"____________")&amp;" "&amp;Checks!$P$314&amp;CHAR(10)&amp;"Verifier: "&amp;IF(Checks!$AE$314="","____________",Checks!$AE$314)&amp;CHAR(10)&amp;"PIC: "&amp;IF(Checks!$T$314="","____________",Checks!$T$314))</f>
        <v>Done: ____________ HAN
Verifier: ____________
PIC: ____________</v>
      </c>
      <c r="H57" s="121" t="str">
        <f aca="false">IF(Checks!$AH$314="","",Checks!$AH$314)</f>
        <v>OPEN</v>
      </c>
    </row>
    <row r="58" customFormat="false" ht="114" hidden="false" customHeight="true" outlineLevel="0" collapsed="false">
      <c r="A58" s="120" t="str">
        <f aca="false">Checks!$A$315&amp;CHAR(10)&amp;IF(Checks!$I$315="","",Checks!$I$315&amp;": ")&amp;Checks!$J$315</f>
        <v>F09-UPL-06
F&amp;B Linen: Napkin - on board</v>
      </c>
      <c r="B58" s="120" t="str">
        <f aca="false">Checks!$K$315&amp;IF(Checks!$O$315="","",IF(Checks!$K$315="","",CHAR(10))&amp;"Note: "&amp;Checks!$O$315)</f>
        <v>Available (ticked in reference)</v>
      </c>
      <c r="C58" s="120" t="str">
        <f aca="false">Checks!$N$315&amp;CHAR(10)&amp;IF(ISNUMBER(Checks!$R$315),TEXT(Checks!$R$315,"DD-MMM-YY HH:MM"),"")&amp;" "&amp;Checks!$P$315</f>
        <v>Required
11-Oct-26 13:05 HAN</v>
      </c>
      <c r="D58" s="120" t="str">
        <f aca="false">IF(TRIM(Checks!$U$315)&lt;&gt;"",Checks!$U$315&amp;IF(Checks!$AB$315="","",CHAR(10)&amp;"CA: "&amp;Checks!$AB$315),IF(LEFT(Checks!$AH$315,10)="N/A – RULE","","[ ] Pass"&amp;CHAR(10)&amp;"[ ] Pass after CA"&amp;CHAR(10)&amp;"[ ] Fail"&amp;IF(Checks!$AT$315=1,CHAR(10)&amp;"[ ] N/A","")&amp;CHAR(10)&amp;"CA: Open / Closed"))</f>
        <v>[ ] Pass
[ ] Pass after CA
[ ] Fail
CA: Open / Closed</v>
      </c>
      <c r="E58" s="120" t="str">
        <f aca="false">IF(Checks!$V$315="","",Checks!$V$315)&amp;IF(Checks!$AC$315="","",IF(Checks!$V$315="","",CHAR(10))&amp;"N/A just.: "&amp;Checks!$AC$315)&amp;IF(OR(Checks!$W$315&lt;&gt;"",AND(Checks!$AQ$315=1,NOT(LEFT(Checks!$AH$315,10)="N/A – RULE"))),CHAR(10)&amp;"Batch: "&amp;IF(Checks!$W$315="","____________",Checks!$W$315),"")&amp;IF(OR(Checks!$X$315&lt;&gt;"",Checks!$Y$315&lt;&gt;"",AND(Checks!$AR$315=1,NOT(LEFT(Checks!$AH$315,10)="N/A – RULE"))),CHAR(10)&amp;"Exp: "&amp;IF(Checks!$X$315="","______",Checks!$X$315)&amp;"  /  Act: "&amp;IF(Checks!$Y$315="","______",Checks!$Y$315),"")</f>
        <v/>
      </c>
      <c r="F58" s="120" t="str">
        <f aca="false">IF(AND(LEFT(Checks!$AH$315,10)="N/A – RULE",TRIM(Checks!$S$315&amp;Checks!$Z$315)=""),"","Type: "&amp;IF(TRIM(Checks!$S$315)="","______________ (see cover list)",Checks!$S$315)&amp;CHAR(10)&amp;"ID: "&amp;IF(TRIM(Checks!$Z$315)="","______________ (record's own no.)",Checks!$Z$315))&amp;IF(Checks!$AA$315="","",CHAR(10)&amp;"CA: "&amp;Checks!$AA$315)</f>
        <v>Type: ______________ (see cover list)
ID: ______________ (record's own no.)</v>
      </c>
      <c r="G58" s="120" t="str">
        <f aca="false">IF(AND(LEFT(Checks!$AH$315,10)="N/A – RULE",NOT(ISNUMBER(Checks!$AD$315)),Checks!$AE$315="",Checks!$T$315=""),"","Done: "&amp;IF(ISNUMBER(Checks!$AD$315),TEXT(Checks!$AD$315,"DD-MMM-YY HH:MM"),"____________")&amp;" "&amp;Checks!$P$315&amp;CHAR(10)&amp;"Verifier: "&amp;IF(Checks!$AE$315="","____________",Checks!$AE$315)&amp;CHAR(10)&amp;"PIC: "&amp;IF(Checks!$T$315="","____________",Checks!$T$315))</f>
        <v>Done: ____________ HAN
Verifier: ____________
PIC: ____________</v>
      </c>
      <c r="H58" s="121" t="str">
        <f aca="false">IF(Checks!$AH$315="","",Checks!$AH$315)</f>
        <v>OPEN</v>
      </c>
    </row>
    <row r="59" customFormat="false" ht="201.75" hidden="false" customHeight="true" outlineLevel="0" collapsed="false">
      <c r="A59" s="120" t="str">
        <f aca="false">Checks!$A$316&amp;CHAR(10)&amp;IF(Checks!$I$316="","",Checks!$I$316&amp;": ")&amp;Checks!$J$316</f>
        <v>F09-UPL-07
F&amp;B Linen: Table cloth - on board</v>
      </c>
      <c r="B59" s="120" t="str">
        <f aca="false">SUBSTITUTE(Checks!$K$316&amp;IF(Checks!$O$316="","",IF(Checks!$K$316="","",CHAR(10))&amp;"Note: "&amp;Checks!$O$316),"note F&amp;B LINEN!B78:C78","the F&amp;B LINEN reference note")</f>
        <v>Available (ticked in reference)
Note: Reference contradicts itself: matrix shows a tick for this sector but the F&amp;B LINEN reference note says table cloth is 'Not Applicable for Domestic/Asean &amp; Regional' (ASEAN). Confirm before loading; if not carried, mark N/A with the confirmation as justification.</v>
      </c>
      <c r="C59" s="120" t="str">
        <f aca="false">Checks!$N$316&amp;CHAR(10)&amp;IF(ISNUMBER(Checks!$R$316),TEXT(Checks!$R$316,"DD-MMM-YY HH:MM"),"")&amp;" "&amp;Checks!$P$316</f>
        <v>Clarification required
11-Oct-26 13:05 HAN</v>
      </c>
      <c r="D59" s="120" t="str">
        <f aca="false">IF(TRIM(Checks!$U$316)&lt;&gt;"",Checks!$U$316&amp;IF(Checks!$AB$316="","",CHAR(10)&amp;"CA: "&amp;Checks!$AB$316),IF(LEFT(Checks!$AH$316,10)="N/A – RULE","","[ ] Pass"&amp;CHAR(10)&amp;"[ ] Pass after CA"&amp;CHAR(10)&amp;"[ ] Fail"&amp;IF(Checks!$AT$316=1,CHAR(10)&amp;"[ ] N/A","")&amp;CHAR(10)&amp;"CA: Open / Closed"))</f>
        <v>[ ] Pass
[ ] Pass after CA
[ ] Fail
[ ] N/A
CA: Open / Closed</v>
      </c>
      <c r="E59" s="120" t="str">
        <f aca="false">IF(Checks!$V$316="","",Checks!$V$316)&amp;IF(Checks!$AC$316="","",IF(Checks!$V$316="","",CHAR(10))&amp;"N/A just.: "&amp;Checks!$AC$316)&amp;IF(OR(Checks!$W$316&lt;&gt;"",AND(Checks!$AQ$316=1,NOT(LEFT(Checks!$AH$316,10)="N/A – RULE"))),CHAR(10)&amp;"Batch: "&amp;IF(Checks!$W$316="","____________",Checks!$W$316),"")&amp;IF(OR(Checks!$X$316&lt;&gt;"",Checks!$Y$316&lt;&gt;"",AND(Checks!$AR$316=1,NOT(LEFT(Checks!$AH$316,10)="N/A – RULE"))),CHAR(10)&amp;"Exp: "&amp;IF(Checks!$X$316="","______",Checks!$X$316)&amp;"  /  Act: "&amp;IF(Checks!$Y$316="","______",Checks!$Y$316),"")</f>
        <v/>
      </c>
      <c r="F59" s="120" t="str">
        <f aca="false">IF(AND(LEFT(Checks!$AH$316,10)="N/A – RULE",TRIM(Checks!$S$316&amp;Checks!$Z$316)=""),"","Type: "&amp;IF(TRIM(Checks!$S$316)="","______________ (see cover list)",Checks!$S$316)&amp;CHAR(10)&amp;"ID: "&amp;IF(TRIM(Checks!$Z$316)="","______________ (record's own no.)",Checks!$Z$316))&amp;IF(Checks!$AA$316="","",CHAR(10)&amp;"CA: "&amp;Checks!$AA$316)</f>
        <v>Type: ______________ (see cover list)
ID: ______________ (record's own no.)</v>
      </c>
      <c r="G59" s="120" t="str">
        <f aca="false">IF(AND(LEFT(Checks!$AH$316,10)="N/A – RULE",NOT(ISNUMBER(Checks!$AD$316)),Checks!$AE$316="",Checks!$T$316=""),"","Done: "&amp;IF(ISNUMBER(Checks!$AD$316),TEXT(Checks!$AD$316,"DD-MMM-YY HH:MM"),"____________")&amp;" "&amp;Checks!$P$316&amp;CHAR(10)&amp;"Verifier: "&amp;IF(Checks!$AE$316="","____________",Checks!$AE$316)&amp;CHAR(10)&amp;"PIC: "&amp;IF(Checks!$T$316="","____________",Checks!$T$316))</f>
        <v>Done: ____________ HAN
Verifier: ____________
PIC: ____________</v>
      </c>
      <c r="H59" s="121" t="str">
        <f aca="false">IF(Checks!$AH$316="","",Checks!$AH$316)</f>
        <v>OPEN – CLARIFICATION</v>
      </c>
    </row>
    <row r="60" customFormat="false" ht="201.75" hidden="false" customHeight="true" outlineLevel="0" collapsed="false">
      <c r="A60" s="120" t="str">
        <f aca="false">Checks!$A$317&amp;CHAR(10)&amp;IF(Checks!$I$317="","",Checks!$I$317&amp;": ")&amp;Checks!$J$317</f>
        <v>F09-UPL-08
F&amp;B Linen: Bread linen (using table cloth) - on board</v>
      </c>
      <c r="B60" s="120" t="str">
        <f aca="false">SUBSTITUTE(Checks!$K$317&amp;IF(Checks!$O$317="","",IF(Checks!$K$317="","",CHAR(10))&amp;"Note: "&amp;Checks!$O$317),"note F&amp;B LINEN!B78:C78","the F&amp;B LINEN reference note")</f>
        <v>Available (ticked in reference)
Note: Reference contradicts itself: matrix shows a tick for this sector but the F&amp;B LINEN reference note says table cloth is 'Not Applicable for Domestic/Asean &amp; Regional' (ASEAN). Confirm before loading; if not carried, mark N/A with the confirmation as justification.</v>
      </c>
      <c r="C60" s="120" t="str">
        <f aca="false">Checks!$N$317&amp;CHAR(10)&amp;IF(ISNUMBER(Checks!$R$317),TEXT(Checks!$R$317,"DD-MMM-YY HH:MM"),"")&amp;" "&amp;Checks!$P$317</f>
        <v>Clarification required
11-Oct-26 13:05 HAN</v>
      </c>
      <c r="D60" s="120" t="str">
        <f aca="false">IF(TRIM(Checks!$U$317)&lt;&gt;"",Checks!$U$317&amp;IF(Checks!$AB$317="","",CHAR(10)&amp;"CA: "&amp;Checks!$AB$317),IF(LEFT(Checks!$AH$317,10)="N/A – RULE","","[ ] Pass"&amp;CHAR(10)&amp;"[ ] Pass after CA"&amp;CHAR(10)&amp;"[ ] Fail"&amp;IF(Checks!$AT$317=1,CHAR(10)&amp;"[ ] N/A","")&amp;CHAR(10)&amp;"CA: Open / Closed"))</f>
        <v>[ ] Pass
[ ] Pass after CA
[ ] Fail
[ ] N/A
CA: Open / Closed</v>
      </c>
      <c r="E60" s="120" t="str">
        <f aca="false">IF(Checks!$V$317="","",Checks!$V$317)&amp;IF(Checks!$AC$317="","",IF(Checks!$V$317="","",CHAR(10))&amp;"N/A just.: "&amp;Checks!$AC$317)&amp;IF(OR(Checks!$W$317&lt;&gt;"",AND(Checks!$AQ$317=1,NOT(LEFT(Checks!$AH$317,10)="N/A – RULE"))),CHAR(10)&amp;"Batch: "&amp;IF(Checks!$W$317="","____________",Checks!$W$317),"")&amp;IF(OR(Checks!$X$317&lt;&gt;"",Checks!$Y$317&lt;&gt;"",AND(Checks!$AR$317=1,NOT(LEFT(Checks!$AH$317,10)="N/A – RULE"))),CHAR(10)&amp;"Exp: "&amp;IF(Checks!$X$317="","______",Checks!$X$317)&amp;"  /  Act: "&amp;IF(Checks!$Y$317="","______",Checks!$Y$317),"")</f>
        <v/>
      </c>
      <c r="F60" s="120" t="str">
        <f aca="false">IF(AND(LEFT(Checks!$AH$317,10)="N/A – RULE",TRIM(Checks!$S$317&amp;Checks!$Z$317)=""),"","Type: "&amp;IF(TRIM(Checks!$S$317)="","______________ (see cover list)",Checks!$S$317)&amp;CHAR(10)&amp;"ID: "&amp;IF(TRIM(Checks!$Z$317)="","______________ (record's own no.)",Checks!$Z$317))&amp;IF(Checks!$AA$317="","",CHAR(10)&amp;"CA: "&amp;Checks!$AA$317)</f>
        <v>Type: ______________ (see cover list)
ID: ______________ (record's own no.)</v>
      </c>
      <c r="G60" s="120" t="str">
        <f aca="false">IF(AND(LEFT(Checks!$AH$317,10)="N/A – RULE",NOT(ISNUMBER(Checks!$AD$317)),Checks!$AE$317="",Checks!$T$317=""),"","Done: "&amp;IF(ISNUMBER(Checks!$AD$317),TEXT(Checks!$AD$317,"DD-MMM-YY HH:MM"),"____________")&amp;" "&amp;Checks!$P$317&amp;CHAR(10)&amp;"Verifier: "&amp;IF(Checks!$AE$317="","____________",Checks!$AE$317)&amp;CHAR(10)&amp;"PIC: "&amp;IF(Checks!$T$317="","____________",Checks!$T$317))</f>
        <v>Done: ____________ HAN
Verifier: ____________
PIC: ____________</v>
      </c>
      <c r="H60" s="121" t="str">
        <f aca="false">IF(Checks!$AH$317="","",Checks!$AH$317)</f>
        <v>OPEN – CLARIFICATION</v>
      </c>
    </row>
    <row r="61" customFormat="false" ht="114" hidden="false" customHeight="true" outlineLevel="0" collapsed="false">
      <c r="A61" s="120" t="str">
        <f aca="false">Checks!$A$318&amp;CHAR(10)&amp;IF(Checks!$I$318="","",Checks!$I$318&amp;": ")&amp;Checks!$J$318</f>
        <v>F09-UPL-09
F&amp;B Linen: Trolley cloth - on board</v>
      </c>
      <c r="B61" s="120" t="str">
        <f aca="false">SUBSTITUTE(SUBSTITUTE(Checks!$K$318&amp;IF(Checks!$O$318="","",IF(Checks!$K$318="","",CHAR(10))&amp;"Note: "&amp;Checks!$O$318),"Per note F&amp;B LINEN!B79:C80.","Per the F&amp;B LINEN reference note."),"note F&amp;B LINEN!B79:C80","the F&amp;B LINEN reference note")</f>
        <v>Narrow body: Top only
Note: Per the F&amp;B LINEN reference note.</v>
      </c>
      <c r="C61" s="120" t="str">
        <f aca="false">Checks!$N$318&amp;CHAR(10)&amp;IF(ISNUMBER(Checks!$R$318),TEXT(Checks!$R$318,"DD-MMM-YY HH:MM"),"")&amp;" "&amp;Checks!$P$318</f>
        <v>Required
11-Oct-26 13:05 HAN</v>
      </c>
      <c r="D61" s="120" t="str">
        <f aca="false">IF(TRIM(Checks!$U$318)&lt;&gt;"",Checks!$U$318&amp;IF(Checks!$AB$318="","",CHAR(10)&amp;"CA: "&amp;Checks!$AB$318),IF(LEFT(Checks!$AH$318,10)="N/A – RULE","","[ ] Pass"&amp;CHAR(10)&amp;"[ ] Pass after CA"&amp;CHAR(10)&amp;"[ ] Fail"&amp;IF(Checks!$AT$318=1,CHAR(10)&amp;"[ ] N/A","")&amp;CHAR(10)&amp;"CA: Open / Closed"))</f>
        <v>[ ] Pass
[ ] Pass after CA
[ ] Fail
CA: Open / Closed</v>
      </c>
      <c r="E61" s="120" t="str">
        <f aca="false">IF(Checks!$V$318="","",Checks!$V$318)&amp;IF(Checks!$AC$318="","",IF(Checks!$V$318="","",CHAR(10))&amp;"N/A just.: "&amp;Checks!$AC$318)&amp;IF(OR(Checks!$W$318&lt;&gt;"",AND(Checks!$AQ$318=1,NOT(LEFT(Checks!$AH$318,10)="N/A – RULE"))),CHAR(10)&amp;"Batch: "&amp;IF(Checks!$W$318="","____________",Checks!$W$318),"")&amp;IF(OR(Checks!$X$318&lt;&gt;"",Checks!$Y$318&lt;&gt;"",AND(Checks!$AR$318=1,NOT(LEFT(Checks!$AH$318,10)="N/A – RULE"))),CHAR(10)&amp;"Exp: "&amp;IF(Checks!$X$318="","______",Checks!$X$318)&amp;"  /  Act: "&amp;IF(Checks!$Y$318="","______",Checks!$Y$318),"")</f>
        <v/>
      </c>
      <c r="F61" s="120" t="str">
        <f aca="false">IF(AND(LEFT(Checks!$AH$318,10)="N/A – RULE",TRIM(Checks!$S$318&amp;Checks!$Z$318)=""),"","Type: "&amp;IF(TRIM(Checks!$S$318)="","______________ (see cover list)",Checks!$S$318)&amp;CHAR(10)&amp;"ID: "&amp;IF(TRIM(Checks!$Z$318)="","______________ (record's own no.)",Checks!$Z$318))&amp;IF(Checks!$AA$318="","",CHAR(10)&amp;"CA: "&amp;Checks!$AA$318)</f>
        <v>Type: ______________ (see cover list)
ID: ______________ (record's own no.)</v>
      </c>
      <c r="G61" s="120" t="str">
        <f aca="false">IF(AND(LEFT(Checks!$AH$318,10)="N/A – RULE",NOT(ISNUMBER(Checks!$AD$318)),Checks!$AE$318="",Checks!$T$318=""),"","Done: "&amp;IF(ISNUMBER(Checks!$AD$318),TEXT(Checks!$AD$318,"DD-MMM-YY HH:MM"),"____________")&amp;" "&amp;Checks!$P$318&amp;CHAR(10)&amp;"Verifier: "&amp;IF(Checks!$AE$318="","____________",Checks!$AE$318)&amp;CHAR(10)&amp;"PIC: "&amp;IF(Checks!$T$318="","____________",Checks!$T$318))</f>
        <v>Done: ____________ HAN
Verifier: ____________
PIC: ____________</v>
      </c>
      <c r="H61" s="121" t="str">
        <f aca="false">IF(Checks!$AH$318="","",Checks!$AH$318)</f>
        <v>OPEN</v>
      </c>
    </row>
    <row r="62" customFormat="false" ht="114" hidden="false" customHeight="true" outlineLevel="0" collapsed="false">
      <c r="A62" s="120" t="str">
        <f aca="false">Checks!$A$319&amp;CHAR(10)&amp;IF(Checks!$I$319="","",Checks!$I$319&amp;": ")&amp;Checks!$J$319</f>
        <v>F09-UPL-10
F&amp;B Linen: Linen bag - on board</v>
      </c>
      <c r="B62" s="120" t="str">
        <f aca="false">Checks!$K$319&amp;IF(Checks!$O$319="","",IF(Checks!$K$319="","",CHAR(10))&amp;"Note: "&amp;Checks!$O$319)</f>
        <v>Available (ticked in reference)</v>
      </c>
      <c r="C62" s="120" t="str">
        <f aca="false">Checks!$N$319&amp;CHAR(10)&amp;IF(ISNUMBER(Checks!$R$319),TEXT(Checks!$R$319,"DD-MMM-YY HH:MM"),"")&amp;" "&amp;Checks!$P$319</f>
        <v>Required
11-Oct-26 13:05 HAN</v>
      </c>
      <c r="D62" s="120" t="str">
        <f aca="false">IF(TRIM(Checks!$U$319)&lt;&gt;"",Checks!$U$319&amp;IF(Checks!$AB$319="","",CHAR(10)&amp;"CA: "&amp;Checks!$AB$319),IF(LEFT(Checks!$AH$319,10)="N/A – RULE","","[ ] Pass"&amp;CHAR(10)&amp;"[ ] Pass after CA"&amp;CHAR(10)&amp;"[ ] Fail"&amp;IF(Checks!$AT$319=1,CHAR(10)&amp;"[ ] N/A","")&amp;CHAR(10)&amp;"CA: Open / Closed"))</f>
        <v>[ ] Pass
[ ] Pass after CA
[ ] Fail
CA: Open / Closed</v>
      </c>
      <c r="E62" s="120" t="str">
        <f aca="false">IF(Checks!$V$319="","",Checks!$V$319)&amp;IF(Checks!$AC$319="","",IF(Checks!$V$319="","",CHAR(10))&amp;"N/A just.: "&amp;Checks!$AC$319)&amp;IF(OR(Checks!$W$319&lt;&gt;"",AND(Checks!$AQ$319=1,NOT(LEFT(Checks!$AH$319,10)="N/A – RULE"))),CHAR(10)&amp;"Batch: "&amp;IF(Checks!$W$319="","____________",Checks!$W$319),"")&amp;IF(OR(Checks!$X$319&lt;&gt;"",Checks!$Y$319&lt;&gt;"",AND(Checks!$AR$319=1,NOT(LEFT(Checks!$AH$319,10)="N/A – RULE"))),CHAR(10)&amp;"Exp: "&amp;IF(Checks!$X$319="","______",Checks!$X$319)&amp;"  /  Act: "&amp;IF(Checks!$Y$319="","______",Checks!$Y$319),"")</f>
        <v/>
      </c>
      <c r="F62" s="120" t="str">
        <f aca="false">IF(AND(LEFT(Checks!$AH$319,10)="N/A – RULE",TRIM(Checks!$S$319&amp;Checks!$Z$319)=""),"","Type: "&amp;IF(TRIM(Checks!$S$319)="","______________ (see cover list)",Checks!$S$319)&amp;CHAR(10)&amp;"ID: "&amp;IF(TRIM(Checks!$Z$319)="","______________ (record's own no.)",Checks!$Z$319))&amp;IF(Checks!$AA$319="","",CHAR(10)&amp;"CA: "&amp;Checks!$AA$319)</f>
        <v>Type: ______________ (see cover list)
ID: ______________ (record's own no.)</v>
      </c>
      <c r="G62" s="120" t="str">
        <f aca="false">IF(AND(LEFT(Checks!$AH$319,10)="N/A – RULE",NOT(ISNUMBER(Checks!$AD$319)),Checks!$AE$319="",Checks!$T$319=""),"","Done: "&amp;IF(ISNUMBER(Checks!$AD$319),TEXT(Checks!$AD$319,"DD-MMM-YY HH:MM"),"____________")&amp;" "&amp;Checks!$P$319&amp;CHAR(10)&amp;"Verifier: "&amp;IF(Checks!$AE$319="","____________",Checks!$AE$319)&amp;CHAR(10)&amp;"PIC: "&amp;IF(Checks!$T$319="","____________",Checks!$T$319))</f>
        <v>Done: ____________ HAN
Verifier: ____________
PIC: ____________</v>
      </c>
      <c r="H62" s="121" t="str">
        <f aca="false">IF(Checks!$AH$319="","",Checks!$AH$319)</f>
        <v>OPEN</v>
      </c>
    </row>
    <row r="63" customFormat="false" ht="114" hidden="false" customHeight="true" outlineLevel="0" collapsed="false">
      <c r="A63" s="120" t="str">
        <f aca="false">Checks!$A$320&amp;CHAR(10)&amp;IF(Checks!$I$320="","",Checks!$I$320&amp;": ")&amp;Checks!$J$320</f>
        <v>F09-UPL-11
Seat Linen: Seat pillow (BS &amp; BC) - on board</v>
      </c>
      <c r="B63" s="120" t="str">
        <f aca="false">Checks!$K$320&amp;IF(Checks!$O$320="","",IF(Checks!$K$320="","",CHAR(10))&amp;"Note: "&amp;Checks!$O$320)</f>
        <v>Available 100% (ticked in reference)</v>
      </c>
      <c r="C63" s="120" t="str">
        <f aca="false">Checks!$N$320&amp;CHAR(10)&amp;IF(ISNUMBER(Checks!$R$320),TEXT(Checks!$R$320,"DD-MMM-YY HH:MM"),"")&amp;" "&amp;Checks!$P$320</f>
        <v>Required
11-Oct-26 13:05 HAN</v>
      </c>
      <c r="D63" s="120" t="str">
        <f aca="false">IF(TRIM(Checks!$U$320)&lt;&gt;"",Checks!$U$320&amp;IF(Checks!$AB$320="","",CHAR(10)&amp;"CA: "&amp;Checks!$AB$320),IF(LEFT(Checks!$AH$320,10)="N/A – RULE","","[ ] Pass"&amp;CHAR(10)&amp;"[ ] Pass after CA"&amp;CHAR(10)&amp;"[ ] Fail"&amp;IF(Checks!$AT$320=1,CHAR(10)&amp;"[ ] N/A","")&amp;CHAR(10)&amp;"CA: Open / Closed"))</f>
        <v>[ ] Pass
[ ] Pass after CA
[ ] Fail
CA: Open / Closed</v>
      </c>
      <c r="E63" s="120" t="str">
        <f aca="false">IF(Checks!$V$320="","",Checks!$V$320)&amp;IF(Checks!$AC$320="","",IF(Checks!$V$320="","",CHAR(10))&amp;"N/A just.: "&amp;Checks!$AC$320)&amp;IF(OR(Checks!$W$320&lt;&gt;"",AND(Checks!$AQ$320=1,NOT(LEFT(Checks!$AH$320,10)="N/A – RULE"))),CHAR(10)&amp;"Batch: "&amp;IF(Checks!$W$320="","____________",Checks!$W$320),"")&amp;IF(OR(Checks!$X$320&lt;&gt;"",Checks!$Y$320&lt;&gt;"",AND(Checks!$AR$320=1,NOT(LEFT(Checks!$AH$320,10)="N/A – RULE"))),CHAR(10)&amp;"Exp: "&amp;IF(Checks!$X$320="","______",Checks!$X$320)&amp;"  /  Act: "&amp;IF(Checks!$Y$320="","______",Checks!$Y$320),"")</f>
        <v/>
      </c>
      <c r="F63" s="120" t="str">
        <f aca="false">IF(AND(LEFT(Checks!$AH$320,10)="N/A – RULE",TRIM(Checks!$S$320&amp;Checks!$Z$320)=""),"","Type: "&amp;IF(TRIM(Checks!$S$320)="","______________ (see cover list)",Checks!$S$320)&amp;CHAR(10)&amp;"ID: "&amp;IF(TRIM(Checks!$Z$320)="","______________ (record's own no.)",Checks!$Z$320))&amp;IF(Checks!$AA$320="","",CHAR(10)&amp;"CA: "&amp;Checks!$AA$320)</f>
        <v>Type: ______________ (see cover list)
ID: ______________ (record's own no.)</v>
      </c>
      <c r="G63" s="120" t="str">
        <f aca="false">IF(AND(LEFT(Checks!$AH$320,10)="N/A – RULE",NOT(ISNUMBER(Checks!$AD$320)),Checks!$AE$320="",Checks!$T$320=""),"","Done: "&amp;IF(ISNUMBER(Checks!$AD$320),TEXT(Checks!$AD$320,"DD-MMM-YY HH:MM"),"____________")&amp;" "&amp;Checks!$P$320&amp;CHAR(10)&amp;"Verifier: "&amp;IF(Checks!$AE$320="","____________",Checks!$AE$320)&amp;CHAR(10)&amp;"PIC: "&amp;IF(Checks!$T$320="","____________",Checks!$T$320))</f>
        <v>Done: ____________ HAN
Verifier: ____________
PIC: ____________</v>
      </c>
      <c r="H63" s="121" t="str">
        <f aca="false">IF(Checks!$AH$320="","",Checks!$AH$320)</f>
        <v>OPEN</v>
      </c>
    </row>
    <row r="64" customFormat="false" ht="114" hidden="false" customHeight="true" outlineLevel="0" collapsed="false">
      <c r="A64" s="120" t="str">
        <f aca="false">Checks!$A$321&amp;CHAR(10)&amp;IF(Checks!$I$321="","",Checks!$I$321&amp;": ")&amp;Checks!$J$321</f>
        <v>F09-UPL-12
Seat Linen: Blanket (BS &amp; BC) - on board</v>
      </c>
      <c r="B64" s="120" t="str">
        <f aca="false">Checks!$K$321&amp;IF(Checks!$O$321="","",IF(Checks!$K$321="","",CHAR(10))&amp;"Note: "&amp;Checks!$O$321)</f>
        <v>Available 100% (ticked in reference)</v>
      </c>
      <c r="C64" s="120" t="str">
        <f aca="false">Checks!$N$321&amp;CHAR(10)&amp;IF(ISNUMBER(Checks!$R$321),TEXT(Checks!$R$321,"DD-MMM-YY HH:MM"),"")&amp;" "&amp;Checks!$P$321</f>
        <v>Required
11-Oct-26 13:05 HAN</v>
      </c>
      <c r="D64" s="120" t="str">
        <f aca="false">IF(TRIM(Checks!$U$321)&lt;&gt;"",Checks!$U$321&amp;IF(Checks!$AB$321="","",CHAR(10)&amp;"CA: "&amp;Checks!$AB$321),IF(LEFT(Checks!$AH$321,10)="N/A – RULE","","[ ] Pass"&amp;CHAR(10)&amp;"[ ] Pass after CA"&amp;CHAR(10)&amp;"[ ] Fail"&amp;IF(Checks!$AT$321=1,CHAR(10)&amp;"[ ] N/A","")&amp;CHAR(10)&amp;"CA: Open / Closed"))</f>
        <v>[ ] Pass
[ ] Pass after CA
[ ] Fail
CA: Open / Closed</v>
      </c>
      <c r="E64" s="120" t="str">
        <f aca="false">IF(Checks!$V$321="","",Checks!$V$321)&amp;IF(Checks!$AC$321="","",IF(Checks!$V$321="","",CHAR(10))&amp;"N/A just.: "&amp;Checks!$AC$321)&amp;IF(OR(Checks!$W$321&lt;&gt;"",AND(Checks!$AQ$321=1,NOT(LEFT(Checks!$AH$321,10)="N/A – RULE"))),CHAR(10)&amp;"Batch: "&amp;IF(Checks!$W$321="","____________",Checks!$W$321),"")&amp;IF(OR(Checks!$X$321&lt;&gt;"",Checks!$Y$321&lt;&gt;"",AND(Checks!$AR$321=1,NOT(LEFT(Checks!$AH$321,10)="N/A – RULE"))),CHAR(10)&amp;"Exp: "&amp;IF(Checks!$X$321="","______",Checks!$X$321)&amp;"  /  Act: "&amp;IF(Checks!$Y$321="","______",Checks!$Y$321),"")</f>
        <v/>
      </c>
      <c r="F64" s="120" t="str">
        <f aca="false">IF(AND(LEFT(Checks!$AH$321,10)="N/A – RULE",TRIM(Checks!$S$321&amp;Checks!$Z$321)=""),"","Type: "&amp;IF(TRIM(Checks!$S$321)="","______________ (see cover list)",Checks!$S$321)&amp;CHAR(10)&amp;"ID: "&amp;IF(TRIM(Checks!$Z$321)="","______________ (record's own no.)",Checks!$Z$321))&amp;IF(Checks!$AA$321="","",CHAR(10)&amp;"CA: "&amp;Checks!$AA$321)</f>
        <v>Type: ______________ (see cover list)
ID: ______________ (record's own no.)</v>
      </c>
      <c r="G64" s="120" t="str">
        <f aca="false">IF(AND(LEFT(Checks!$AH$321,10)="N/A – RULE",NOT(ISNUMBER(Checks!$AD$321)),Checks!$AE$321="",Checks!$T$321=""),"","Done: "&amp;IF(ISNUMBER(Checks!$AD$321),TEXT(Checks!$AD$321,"DD-MMM-YY HH:MM"),"____________")&amp;" "&amp;Checks!$P$321&amp;CHAR(10)&amp;"Verifier: "&amp;IF(Checks!$AE$321="","____________",Checks!$AE$321)&amp;CHAR(10)&amp;"PIC: "&amp;IF(Checks!$T$321="","____________",Checks!$T$321))</f>
        <v>Done: ____________ HAN
Verifier: ____________
PIC: ____________</v>
      </c>
      <c r="H64" s="121" t="str">
        <f aca="false">IF(Checks!$AH$321="","",Checks!$AH$321)</f>
        <v>OPEN</v>
      </c>
    </row>
    <row r="66" customFormat="false" ht="24" hidden="false" customHeight="true" outlineLevel="0" collapsed="false">
      <c r="A66" s="122" t="s">
        <v>4832</v>
      </c>
      <c r="B66" s="122"/>
      <c r="C66" s="122"/>
      <c r="D66" s="122"/>
      <c r="E66" s="122" t="s">
        <v>4833</v>
      </c>
      <c r="F66" s="122"/>
      <c r="G66" s="122"/>
      <c r="H66" s="122"/>
    </row>
    <row r="67" customFormat="false" ht="21.75" hidden="false" customHeight="true" outlineLevel="0" collapsed="false">
      <c r="A67" s="123"/>
      <c r="B67" s="123"/>
      <c r="C67" s="123"/>
      <c r="D67" s="123"/>
      <c r="E67" s="123"/>
      <c r="F67" s="123"/>
      <c r="G67" s="123"/>
      <c r="H67" s="123"/>
    </row>
    <row r="68" customFormat="false" ht="21.75" hidden="false" customHeight="true" outlineLevel="0" collapsed="false">
      <c r="A68" s="123"/>
      <c r="B68" s="123"/>
      <c r="C68" s="123"/>
      <c r="D68" s="123"/>
      <c r="E68" s="123"/>
      <c r="F68" s="123"/>
      <c r="G68" s="123"/>
      <c r="H68" s="123"/>
    </row>
    <row r="69" customFormat="false" ht="21.75" hidden="false" customHeight="true" outlineLevel="0" collapsed="false">
      <c r="A69" s="123"/>
      <c r="B69" s="123"/>
      <c r="C69" s="123"/>
      <c r="D69" s="123"/>
      <c r="E69" s="123"/>
      <c r="F69" s="123"/>
      <c r="G69" s="123"/>
      <c r="H69" s="123"/>
    </row>
    <row r="70" customFormat="false" ht="21.75" hidden="false" customHeight="true" outlineLevel="0" collapsed="false">
      <c r="A70" s="123"/>
      <c r="B70" s="123"/>
      <c r="C70" s="123"/>
      <c r="D70" s="123"/>
      <c r="E70" s="123"/>
      <c r="F70" s="123"/>
      <c r="G70" s="123"/>
      <c r="H70" s="123"/>
    </row>
    <row r="71" customFormat="false" ht="21.75" hidden="false" customHeight="true" outlineLevel="0" collapsed="false">
      <c r="A71" s="123"/>
      <c r="B71" s="123"/>
      <c r="C71" s="123"/>
      <c r="D71" s="123"/>
      <c r="E71" s="123"/>
      <c r="F71" s="123"/>
      <c r="G71" s="123"/>
      <c r="H71" s="123"/>
    </row>
    <row r="72" customFormat="false" ht="21.75" hidden="false" customHeight="true" outlineLevel="0" collapsed="false">
      <c r="A72" s="123"/>
      <c r="B72" s="123"/>
      <c r="C72" s="123"/>
      <c r="D72" s="123"/>
      <c r="E72" s="123"/>
      <c r="F72" s="123"/>
      <c r="G72" s="123"/>
      <c r="H72" s="123"/>
    </row>
    <row r="73" customFormat="false" ht="21.75" hidden="false" customHeight="true" outlineLevel="0" collapsed="false">
      <c r="A73" s="123"/>
      <c r="B73" s="123"/>
      <c r="C73" s="123"/>
      <c r="D73" s="123"/>
      <c r="E73" s="123"/>
      <c r="F73" s="123"/>
      <c r="G73" s="123"/>
      <c r="H73" s="123"/>
    </row>
    <row r="74" customFormat="false" ht="21.75" hidden="false" customHeight="true" outlineLevel="0" collapsed="false">
      <c r="A74" s="123"/>
      <c r="B74" s="123"/>
      <c r="C74" s="123"/>
      <c r="D74" s="123"/>
      <c r="E74" s="123"/>
      <c r="F74" s="123"/>
      <c r="G74" s="123"/>
      <c r="H74" s="123"/>
    </row>
    <row r="75" customFormat="false" ht="21.75" hidden="false" customHeight="true" outlineLevel="0" collapsed="false">
      <c r="A75" s="123"/>
      <c r="B75" s="123"/>
      <c r="C75" s="123"/>
      <c r="D75" s="123"/>
      <c r="E75" s="123"/>
      <c r="F75" s="123"/>
      <c r="G75" s="123"/>
      <c r="H75" s="123"/>
    </row>
    <row r="76" customFormat="false" ht="21.75" hidden="false" customHeight="true" outlineLevel="0" collapsed="false">
      <c r="A76" s="123"/>
      <c r="B76" s="123"/>
      <c r="C76" s="123"/>
      <c r="D76" s="123"/>
      <c r="E76" s="123"/>
      <c r="F76" s="123"/>
      <c r="G76" s="123"/>
      <c r="H76"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52:H52"/>
    <mergeCell ref="A66:D66"/>
    <mergeCell ref="E66:H66"/>
    <mergeCell ref="A67:D76"/>
    <mergeCell ref="E67:H76"/>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64">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64">
    <cfRule type="expression" priority="18" aboveAverage="0" equalAverage="0" bottom="0" percent="0" rank="0" text="" dxfId="35">
      <formula>LEFT($H23,3)="N/A"</formula>
    </cfRule>
  </conditionalFormatting>
  <conditionalFormatting sqref="D23:D64">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F09 MH0753 11-Oct-26 HAN-KUL Class BC</oddHeader>
    <oddFooter>&amp;L&amp;"Arial,Bold"&amp;8 F09 MH0753 11-Oct-26 HAN-KUL Class BC&amp;C&amp;"Arial,Regular"&amp;8 Printed: ____________________&amp;R&amp;"Arial,Regular"&amp;8 F09  Page &amp;P of &amp;N</oddFooter>
  </headerFooter>
  <rowBreaks count="13" manualBreakCount="13">
    <brk id="20" man="true" max="16383" min="0"/>
    <brk id="26" man="true" max="16383" min="0"/>
    <brk id="30" man="true" max="16383" min="0"/>
    <brk id="35" man="true" max="16383" min="0"/>
    <brk id="39" man="true" max="16383" min="0"/>
    <brk id="42" man="true" max="16383" min="0"/>
    <brk id="45" man="true" max="16383" min="0"/>
    <brk id="46" man="true" max="16383" min="0"/>
    <brk id="48" man="true" max="16383" min="0"/>
    <brk id="53" man="true" max="16383" min="0"/>
    <brk id="57" man="true" max="16383" min="0"/>
    <brk id="59" man="true" max="16383" min="0"/>
    <brk id="62" man="true" max="16383" min="0"/>
  </row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F10  "&amp;Flights!$F$14&amp;"  "&amp;TEXT(Flights!$D$14,"DD-MMM-YY")&amp;" ("&amp;Flights!$E$14&amp;")  "&amp;Flights!$G$14&amp;" → "&amp;Flights!$H$14&amp;"  |  Class "&amp;Flights!$K$14</f>
        <v>SKYTRAX 2026 CATERING READINESS CHECKLIST  |  F10  MH1140  12-Oct-26 (MON)  KUL → PEN  |  Class BC</v>
      </c>
      <c r="B1" s="93"/>
      <c r="C1" s="93"/>
      <c r="D1" s="93"/>
      <c r="E1" s="93"/>
      <c r="F1" s="93"/>
      <c r="G1" s="93"/>
      <c r="H1" s="93"/>
    </row>
    <row r="2" customFormat="false" ht="12.75" hidden="false" customHeight="true" outlineLevel="0" collapsed="false">
      <c r="A2" s="94" t="s">
        <v>4788</v>
      </c>
      <c r="B2" s="95" t="str">
        <f aca="false">Flights!$F$14&amp;"   "&amp;TEXT(Flights!$D$14,"DD-MMM-YY")&amp;" ("&amp;Flights!$E$14&amp;")"</f>
        <v>MH1140   12-Oct-26 (MON)</v>
      </c>
      <c r="C2" s="95"/>
      <c r="D2" s="95"/>
      <c r="E2" s="96" t="s">
        <v>4789</v>
      </c>
      <c r="F2" s="97" t="str">
        <f aca="false">Flights!$AT$14</f>
        <v>NOT READY – DOCUMENTS</v>
      </c>
      <c r="G2" s="97"/>
      <c r="H2" s="97"/>
    </row>
    <row r="3" customFormat="false" ht="24" hidden="false" customHeight="true" outlineLevel="0" collapsed="false">
      <c r="A3" s="94" t="s">
        <v>4790</v>
      </c>
      <c r="B3" s="95" t="str">
        <f aca="false">Flights!$G$14&amp;" → "&amp;Flights!$H$14&amp;"   Class "&amp;Flights!$K$14&amp;"   Seat "&amp;Flights!$O$14</f>
        <v>KUL → PEN   Class BC   Seat 1F</v>
      </c>
      <c r="C3" s="95"/>
      <c r="D3" s="95"/>
      <c r="E3" s="96" t="s">
        <v>73</v>
      </c>
      <c r="F3" s="96" t="s">
        <v>4791</v>
      </c>
      <c r="G3" s="96" t="s">
        <v>4792</v>
      </c>
      <c r="H3" s="96"/>
    </row>
    <row r="4" customFormat="false" ht="24" hidden="false" customHeight="true" outlineLevel="0" collapsed="false">
      <c r="A4" s="94" t="s">
        <v>4793</v>
      </c>
      <c r="B4" s="95" t="str">
        <f aca="false">IF(ISNUMBER(Flights!$I$14),TEXT(Flights!$I$14,"DD-MMM-YY HH:MM"),"")&amp;" "&amp;Flights!$G$14&amp;"  →  "&amp;IF(ISNUMBER(Flights!$J$14),TEXT(Flights!$J$14,"DD-MMM-YY HH:MM"),"")&amp;" "&amp;Flights!$H$14</f>
        <v>12-Oct-26 11:45 KUL  →  12-Oct-26 12:45 PEN</v>
      </c>
      <c r="C4" s="95"/>
      <c r="D4" s="95"/>
      <c r="E4" s="94" t="s">
        <v>4794</v>
      </c>
      <c r="F4" s="98" t="str">
        <f aca="false">IF(ISNUMBER(Flights!$AG$14),TEXT(Flights!$AG$14,"DD-MMM-YY HH:MM"),"")&amp;" "&amp;Flights!$V$14</f>
        <v>05-Oct-26 11:45 KUL</v>
      </c>
      <c r="G4" s="99" t="n">
        <f aca="false">Flights!$AJ$14</f>
        <v>0</v>
      </c>
      <c r="H4" s="99"/>
    </row>
    <row r="5" customFormat="false" ht="24" hidden="false" customHeight="true" outlineLevel="0" collapsed="false">
      <c r="A5" s="94" t="s">
        <v>4795</v>
      </c>
      <c r="B5" s="95" t="str">
        <f aca="false">Flights!$L$14&amp;" – "&amp;Flights!$M$14</f>
        <v>B738MAX – B737-8 (B7M8)</v>
      </c>
      <c r="C5" s="95"/>
      <c r="D5" s="95"/>
      <c r="E5" s="94" t="s">
        <v>4796</v>
      </c>
      <c r="F5" s="98" t="str">
        <f aca="false">IF(ISNUMBER(Flights!$AH$14),TEXT(Flights!$AH$14,"DD-MMM-YY HH:MM"),"")&amp;" "&amp;Flights!$V$14</f>
        <v>11-Oct-26 11:45 KUL</v>
      </c>
      <c r="G5" s="99" t="n">
        <f aca="false">Flights!$AK$14</f>
        <v>0</v>
      </c>
      <c r="H5" s="99"/>
    </row>
    <row r="6" customFormat="false" ht="24" hidden="false" customHeight="true" outlineLevel="0" collapsed="false">
      <c r="A6" s="94" t="s">
        <v>4797</v>
      </c>
      <c r="B6" s="95" t="str">
        <f aca="false">IF(TRIM(Flights!$N$14)="","__________________",Flights!$N$14)</f>
        <v>__________________</v>
      </c>
      <c r="C6" s="95"/>
      <c r="D6" s="95"/>
      <c r="E6" s="94" t="s">
        <v>4798</v>
      </c>
      <c r="F6" s="98" t="str">
        <f aca="false">IF(ISNUMBER(Flights!$AI$14),TEXT(Flights!$AI$14,"DD-MMM-YY HH:MM"),"")&amp;" "&amp;Flights!$V$14&amp;IF(Flights!$AI$14=Flights!$AH$14,"  (= T-24H due)","")</f>
        <v>11-Oct-26 23:45 KUL</v>
      </c>
      <c r="G6" s="99" t="n">
        <f aca="false">Flights!$AL$14</f>
        <v>0</v>
      </c>
      <c r="H6" s="99"/>
    </row>
    <row r="7" customFormat="false" ht="24" hidden="false" customHeight="true" outlineLevel="0" collapsed="false">
      <c r="A7" s="94" t="s">
        <v>4799</v>
      </c>
      <c r="B7" s="95" t="str">
        <f aca="false">Flights!$T$14</f>
        <v>Refreshment (Peanut &amp; Water)</v>
      </c>
      <c r="C7" s="95"/>
      <c r="D7" s="95"/>
      <c r="E7" s="94" t="s">
        <v>4800</v>
      </c>
      <c r="F7" s="98" t="str">
        <f aca="false">"STD "&amp;IF(ISNUMBER(Flights!$I$14),TEXT(Flights!$I$14,"DD-MMM-YY HH:MM"),"")&amp;" "&amp;Flights!$G$14&amp;" (dep stn)"</f>
        <v>STD 12-Oct-26 11:45 KUL (dep stn)</v>
      </c>
      <c r="G7" s="99" t="n">
        <f aca="false">Flights!$AM$14</f>
        <v>0</v>
      </c>
      <c r="H7" s="99"/>
    </row>
    <row r="8" customFormat="false" ht="12.75" hidden="false" customHeight="true" outlineLevel="0" collapsed="false">
      <c r="A8" s="94" t="s">
        <v>155</v>
      </c>
      <c r="B8" s="95" t="str">
        <f aca="false">Flights!$V$14&amp;"   (reference uplift stns: "&amp;Flights!$U$14&amp;")"</f>
        <v>KUL   (reference uplift stns: KUL)</v>
      </c>
      <c r="C8" s="95"/>
      <c r="D8" s="95"/>
      <c r="E8" s="94" t="s">
        <v>4801</v>
      </c>
      <c r="F8" s="100" t="s">
        <v>4802</v>
      </c>
      <c r="G8" s="99" t="n">
        <f aca="false">Flights!$AN$14</f>
        <v>0</v>
      </c>
      <c r="H8" s="99"/>
    </row>
    <row r="9" customFormat="false" ht="12.75" hidden="false" customHeight="true" outlineLevel="0" collapsed="false">
      <c r="A9" s="94" t="s">
        <v>4803</v>
      </c>
      <c r="B9" s="95" t="str">
        <f aca="false">TRIM(Flights!$P$14&amp;"  "&amp;Flights!$Q$14)</f>
        <v>-</v>
      </c>
      <c r="C9" s="95"/>
      <c r="D9" s="95"/>
      <c r="E9" s="94" t="s">
        <v>4804</v>
      </c>
      <c r="F9" s="101" t="n">
        <f aca="false">Flights!$AP$14</f>
        <v>0</v>
      </c>
      <c r="G9" s="102" t="n">
        <f aca="false">Flights!$AQ$14</f>
        <v>0</v>
      </c>
      <c r="H9" s="103" t="n">
        <f aca="false">Flights!$AU$14</f>
        <v>0</v>
      </c>
    </row>
    <row r="10" customFormat="false" ht="24" hidden="false" customHeight="true" outlineLevel="0" collapsed="false">
      <c r="A10" s="94" t="s">
        <v>4805</v>
      </c>
      <c r="B10" s="95" t="str">
        <f aca="false">IF(TRIM(Flights!$X$14)="","__________________",Flights!$X$14)</f>
        <v>__________________</v>
      </c>
      <c r="C10" s="95"/>
      <c r="D10" s="95"/>
      <c r="E10" s="94" t="s">
        <v>4806</v>
      </c>
      <c r="F10" s="104" t="n">
        <f aca="false">Flights!$AO$14</f>
        <v>34</v>
      </c>
      <c r="G10" s="105" t="n">
        <f aca="false">Flights!$AS$14</f>
        <v>0</v>
      </c>
      <c r="H10" s="106" t="n">
        <f aca="false">Flights!$AR$14</f>
        <v>2</v>
      </c>
    </row>
    <row r="11" customFormat="false" ht="21" hidden="false" customHeight="true" outlineLevel="0" collapsed="false">
      <c r="A11" s="94" t="s">
        <v>4807</v>
      </c>
      <c r="B11" s="95" t="str">
        <f aca="false">IF(TRIM(Flights!$Y$14)="","__________________",Flights!$Y$14)</f>
        <v>__________________</v>
      </c>
      <c r="C11" s="95"/>
      <c r="D11" s="95"/>
      <c r="E11" s="94" t="s">
        <v>4808</v>
      </c>
      <c r="F11" s="97" t="str">
        <f aca="false">Flights!$AV$14&amp;" / "&amp;Flights!$AW$14</f>
        <v>0 / 34</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IF(Documents!$F$14="","",Documents!$F$14)</f>
        <v/>
      </c>
      <c r="C15" s="100" t="str">
        <f aca="false">IF(Documents!$G$14="","",Documents!$G$14)&amp;IF(ISNUMBER(Documents!$H$14),"  "&amp;TEXT(Documents!$H$14,"DD-MMM-YY"),"")</f>
        <v/>
      </c>
      <c r="D15" s="100"/>
      <c r="E15" s="114" t="str">
        <f aca="false">IF(Documents!$J$14="OUTSTANDING","OUTSTANDING – attach before T-7D (due "&amp;IF(ISNUMBER(Flights!$AG$14),TEXT(Flights!$AG$14,"DD-MMM-YY HH:MM"),"")&amp;" "&amp;Flights!$V$14&amp;")",IF(Documents!$J$14="","Status not recorded",Documents!$J$14))</f>
        <v>OUTSTANDING – attach before T-7D (due 05-Oct-26 11:45 KUL)</v>
      </c>
      <c r="F15" s="115" t="str">
        <f aca="false">"Staple behind this sheet as page A1."&amp;IF(Documents!$I$14="",""," Location: "&amp;Documents!$I$14)</f>
        <v>Staple behind this sheet as page A1.</v>
      </c>
      <c r="G15" s="115"/>
      <c r="H15" s="115"/>
    </row>
    <row r="16" customFormat="false" ht="36" hidden="false" customHeight="true" outlineLevel="0" collapsed="false">
      <c r="A16" s="94" t="s">
        <v>4819</v>
      </c>
      <c r="B16" s="95" t="str">
        <f aca="false">IF(Documents!$K$14="","",Documents!$K$14)</f>
        <v/>
      </c>
      <c r="C16" s="100" t="str">
        <f aca="false">IF(Documents!$L$14="","",Documents!$L$14)&amp;IF(ISNUMBER(Documents!$M$14),"  "&amp;TEXT(Documents!$M$14,"DD-MMM-YY"),"")</f>
        <v/>
      </c>
      <c r="D16" s="100"/>
      <c r="E16" s="114" t="str">
        <f aca="false">IF(Documents!$O$14="OUTSTANDING","OUTSTANDING – attach before T-7D (due "&amp;IF(ISNUMBER(Flights!$AG$14),TEXT(Flights!$AG$14,"DD-MMM-YY HH:MM"),"")&amp;" "&amp;Flights!$V$14&amp;")",IF(Documents!$O$14="","Status not recorded",Documents!$O$14))</f>
        <v>OUTSTANDING – attach before T-7D (due 05-Oct-26 11:45 KUL)</v>
      </c>
      <c r="F16" s="115" t="str">
        <f aca="false">"Staple behind this sheet as page A2."&amp;IF(Documents!$N$14="",""," Location: "&amp;Documents!$N$14)</f>
        <v>Staple behind this sheet as page A2.</v>
      </c>
      <c r="G16" s="115"/>
      <c r="H16" s="115"/>
    </row>
    <row r="17" customFormat="false" ht="22.5" hidden="false" customHeight="true" outlineLevel="0" collapsed="false">
      <c r="A17" s="94" t="s">
        <v>4820</v>
      </c>
      <c r="B17" s="116" t="str">
        <f aca="false">IF(Documents!$Q$14="","",Documents!$Q$14)</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"&amp;IF(TRIM(Flights!$Y$14)="","__________________",Flights!$Y$14)</f>
        <v>Name: __________________</v>
      </c>
      <c r="B19" s="95"/>
      <c r="C19" s="95" t="str">
        <f aca="false">"Name: __________________"</f>
        <v>Name: __________________</v>
      </c>
      <c r="D19" s="95"/>
      <c r="E19" s="95"/>
      <c r="F19" s="95" t="str">
        <f aca="false">"Name: __________________"&amp;"   Station: "&amp;Flights!$V$14</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"&amp;IF(ISNUMBER(Flights!$AG$14),TEXT(Flights!$AG$14,"DD-MMM-YY HH:MM"),"")&amp;" "&amp;Flights!$V$14&amp;" (meal uplift stn)"&amp;" (rows with another due show their own)  |  Complete "&amp;IF(ISNUMBER(Flights!$AJ$14),TEXT(Flights!$AJ$14,"0%"),Flights!$AJ$14)&amp;"  |  9 lines"</f>
        <v>T-7D — 7 days before departure  |  Due 05-Oct-26 11:45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Checks!$A$322&amp;CHAR(10)&amp;IF(Checks!$I$322="","",Checks!$I$322&amp;": ")&amp;Checks!$J$322</f>
        <v>F10-T7-01
Meal: Meal sensory testing completed for this flight's menu cycle (assessed class)</v>
      </c>
      <c r="B23" s="120" t="str">
        <f aca="false">Checks!$K$322&amp;IF(Checks!$O$322="","",IF(Checks!$K$322="","",CHAR(10))&amp;"Note: "&amp;Checks!$O$322)</f>
        <v>Record panel result / score in Result
Note: Refreshment service: sensory test covers the refreshment items.</v>
      </c>
      <c r="C23" s="120" t="str">
        <f aca="false">Checks!$N$322&amp;CHAR(10)&amp;IF(ISNUMBER(Checks!$R$322),TEXT(Checks!$R$322,"DD-MMM-YY HH:MM"),"")&amp;" "&amp;Checks!$P$322</f>
        <v>Required
05-Oct-26 11:45 KUL</v>
      </c>
      <c r="D23" s="120" t="str">
        <f aca="false">IF(TRIM(Checks!$U$322)&lt;&gt;"",Checks!$U$322&amp;IF(Checks!$AB$322="","",CHAR(10)&amp;"CA: "&amp;Checks!$AB$322),IF(LEFT(Checks!$AH$322,10)="N/A – RULE","","[ ] Pass"&amp;CHAR(10)&amp;"[ ] Pass after CA"&amp;CHAR(10)&amp;"[ ] Fail"&amp;IF(Checks!$AT$322=1,CHAR(10)&amp;"[ ] N/A","")&amp;CHAR(10)&amp;"CA: Open / Closed"))</f>
        <v>[ ] Pass
[ ] Pass after CA
[ ] Fail
CA: Open / Closed</v>
      </c>
      <c r="E23" s="120" t="str">
        <f aca="false">IF(Checks!$V$322="","",Checks!$V$322)&amp;IF(Checks!$AC$322="","",IF(Checks!$V$322="","",CHAR(10))&amp;"N/A just.: "&amp;Checks!$AC$322)&amp;IF(OR(Checks!$W$322&lt;&gt;"",AND(Checks!$AQ$322=1,NOT(LEFT(Checks!$AH$322,10)="N/A – RULE"))),CHAR(10)&amp;"Batch: "&amp;IF(Checks!$W$322="","____________",Checks!$W$322),"")&amp;IF(OR(Checks!$X$322&lt;&gt;"",Checks!$Y$322&lt;&gt;"",AND(Checks!$AR$322=1,NOT(LEFT(Checks!$AH$322,10)="N/A – RULE"))),CHAR(10)&amp;"Exp: "&amp;IF(Checks!$X$322="","______",Checks!$X$322)&amp;"  /  Act: "&amp;IF(Checks!$Y$322="","______",Checks!$Y$322),"")</f>
        <v/>
      </c>
      <c r="F23" s="120" t="str">
        <f aca="false">IF(AND(LEFT(Checks!$AH$322,10)="N/A – RULE",TRIM(Checks!$S$322&amp;Checks!$Z$322)=""),"","Type: "&amp;IF(TRIM(Checks!$S$322)="","______________ (see cover list)",Checks!$S$322)&amp;CHAR(10)&amp;"ID: "&amp;IF(TRIM(Checks!$Z$322)="","______________ (record's own no.)",Checks!$Z$322))&amp;IF(Checks!$AA$322="","",CHAR(10)&amp;"CA: "&amp;Checks!$AA$322)</f>
        <v>Type: ______________ (see cover list)
ID: ______________ (record's own no.)</v>
      </c>
      <c r="G23" s="120" t="str">
        <f aca="false">IF(AND(LEFT(Checks!$AH$322,10)="N/A – RULE",NOT(ISNUMBER(Checks!$AD$322)),Checks!$AE$322="",Checks!$T$322=""),"","Done: "&amp;IF(ISNUMBER(Checks!$AD$322),TEXT(Checks!$AD$322,"DD-MMM-YY HH:MM"),"____________")&amp;" "&amp;Checks!$P$322&amp;CHAR(10)&amp;"Verifier: "&amp;IF(Checks!$AE$322="","____________",Checks!$AE$322)&amp;CHAR(10)&amp;"PIC: "&amp;IF(Checks!$T$322="","____________",Checks!$T$322))</f>
        <v>Done: ____________ KUL
Verifier: ____________
PIC: ____________</v>
      </c>
      <c r="H23" s="121" t="str">
        <f aca="false">IF(Checks!$AH$322="","",Checks!$AH$322)</f>
        <v>OPEN</v>
      </c>
    </row>
    <row r="24" customFormat="false" ht="114" hidden="false" customHeight="true" outlineLevel="0" collapsed="false">
      <c r="A24" s="120" t="str">
        <f aca="false">Checks!$A$323&amp;CHAR(10)&amp;IF(Checks!$I$323="","",Checks!$I$323&amp;": ")&amp;Checks!$J$323</f>
        <v>F10-T7-02
Menu: Printed menu cards confirmed (content, cycle, language, quantity)</v>
      </c>
      <c r="B24" s="120" t="str">
        <f aca="false">Checks!$K$323&amp;IF(Checks!$O$323="","",IF(Checks!$K$323="","",CHAR(10))&amp;"Note: "&amp;Checks!$O$323)</f>
        <v>Menu card matches approved menu for this flight
Note: Refreshment service (peanut &amp; water). If no printed menu card is used, mark N/A with the confirmation as justification.</v>
      </c>
      <c r="C24" s="120" t="str">
        <f aca="false">Checks!$N$323&amp;CHAR(10)&amp;IF(ISNUMBER(Checks!$R$323),TEXT(Checks!$R$323,"DD-MMM-YY HH:MM"),"")&amp;" "&amp;Checks!$P$323</f>
        <v>Required
05-Oct-26 11:45 KUL</v>
      </c>
      <c r="D24" s="120" t="str">
        <f aca="false">IF(TRIM(Checks!$U$323)&lt;&gt;"",Checks!$U$323&amp;IF(Checks!$AB$323="","",CHAR(10)&amp;"CA: "&amp;Checks!$AB$323),IF(LEFT(Checks!$AH$323,10)="N/A – RULE","","[ ] Pass"&amp;CHAR(10)&amp;"[ ] Pass after CA"&amp;CHAR(10)&amp;"[ ] Fail"&amp;IF(Checks!$AT$323=1,CHAR(10)&amp;"[ ] N/A","")&amp;CHAR(10)&amp;"CA: Open / Closed"))</f>
        <v>[ ] Pass
[ ] Pass after CA
[ ] Fail
[ ] N/A
CA: Open / Closed</v>
      </c>
      <c r="E24" s="120" t="str">
        <f aca="false">IF(Checks!$V$323="","",Checks!$V$323)&amp;IF(Checks!$AC$323="","",IF(Checks!$V$323="","",CHAR(10))&amp;"N/A just.: "&amp;Checks!$AC$323)&amp;IF(OR(Checks!$W$323&lt;&gt;"",AND(Checks!$AQ$323=1,NOT(LEFT(Checks!$AH$323,10)="N/A – RULE"))),CHAR(10)&amp;"Batch: "&amp;IF(Checks!$W$323="","____________",Checks!$W$323),"")&amp;IF(OR(Checks!$X$323&lt;&gt;"",Checks!$Y$323&lt;&gt;"",AND(Checks!$AR$323=1,NOT(LEFT(Checks!$AH$323,10)="N/A – RULE"))),CHAR(10)&amp;"Exp: "&amp;IF(Checks!$X$323="","______",Checks!$X$323)&amp;"  /  Act: "&amp;IF(Checks!$Y$323="","______",Checks!$Y$323),"")</f>
        <v/>
      </c>
      <c r="F24" s="120" t="str">
        <f aca="false">IF(AND(LEFT(Checks!$AH$323,10)="N/A – RULE",TRIM(Checks!$S$323&amp;Checks!$Z$323)=""),"","Type: "&amp;IF(TRIM(Checks!$S$323)="","______________ (see cover list)",Checks!$S$323)&amp;CHAR(10)&amp;"ID: "&amp;IF(TRIM(Checks!$Z$323)="","______________ (record's own no.)",Checks!$Z$323))&amp;IF(Checks!$AA$323="","",CHAR(10)&amp;"CA: "&amp;Checks!$AA$323)</f>
        <v>Type: ______________ (see cover list)
ID: ______________ (record's own no.)</v>
      </c>
      <c r="G24" s="120" t="str">
        <f aca="false">IF(AND(LEFT(Checks!$AH$323,10)="N/A – RULE",NOT(ISNUMBER(Checks!$AD$323)),Checks!$AE$323="",Checks!$T$323=""),"","Done: "&amp;IF(ISNUMBER(Checks!$AD$323),TEXT(Checks!$AD$323,"DD-MMM-YY HH:MM"),"____________")&amp;" "&amp;Checks!$P$323&amp;CHAR(10)&amp;"Verifier: "&amp;IF(Checks!$AE$323="","____________",Checks!$AE$323)&amp;CHAR(10)&amp;"PIC: "&amp;IF(Checks!$T$323="","____________",Checks!$T$323))</f>
        <v>Done: ____________ KUL
Verifier: ____________
PIC: ____________</v>
      </c>
      <c r="H24" s="121" t="str">
        <f aca="false">IF(Checks!$AH$323="","",Checks!$AH$323)</f>
        <v>OPEN</v>
      </c>
    </row>
    <row r="25" customFormat="false" ht="114" hidden="false" customHeight="true" outlineLevel="0" collapsed="false">
      <c r="A25" s="120" t="str">
        <f aca="false">Checks!$A$324&amp;CHAR(10)&amp;IF(Checks!$I$324="","",Checks!$I$324&amp;": ")&amp;Checks!$J$324</f>
        <v>F10-T7-03
IFE: Digital menu in IFE confirmed (A339 only)</v>
      </c>
      <c r="B25" s="120" t="str">
        <f aca="false">Checks!$K$324&amp;IF(Checks!$O$324="","",IF(Checks!$K$324="","",CHAR(10))&amp;"Note: "&amp;Checks!$O$324)</f>
        <v>Applies when fleet = A339
Note: Digital IFE menu applies to A339 only (user brief). Applicability follows the Fleet cell on Flights.</v>
      </c>
      <c r="C25" s="120" t="str">
        <f aca="false">Checks!$N$324&amp;CHAR(10)&amp;IF(ISNUMBER(Checks!$R$324),TEXT(Checks!$R$324,"DD-MMM-YY HH:MM"),"")&amp;" "&amp;Checks!$P$324</f>
        <v>N/A – rule
05-Oct-26 11:45 KUL</v>
      </c>
      <c r="D25" s="120" t="str">
        <f aca="false">IF(TRIM(Checks!$U$324)&lt;&gt;"",Checks!$U$324&amp;IF(Checks!$AB$324="","",CHAR(10)&amp;"CA: "&amp;Checks!$AB$324),IF(LEFT(Checks!$AH$324,10)="N/A – RULE","","[ ] Pass"&amp;CHAR(10)&amp;"[ ] Pass after CA"&amp;CHAR(10)&amp;"[ ] Fail"&amp;IF(Checks!$AT$324=1,CHAR(10)&amp;"[ ] N/A","")&amp;CHAR(10)&amp;"CA: Open / Closed"))</f>
        <v/>
      </c>
      <c r="E25" s="120" t="str">
        <f aca="false">IF(Checks!$V$324="","",Checks!$V$324)&amp;IF(Checks!$AC$324="","",IF(Checks!$V$324="","",CHAR(10))&amp;"N/A just.: "&amp;Checks!$AC$324)&amp;IF(OR(Checks!$W$324&lt;&gt;"",AND(Checks!$AQ$324=1,NOT(LEFT(Checks!$AH$324,10)="N/A – RULE"))),CHAR(10)&amp;"Batch: "&amp;IF(Checks!$W$324="","____________",Checks!$W$324),"")&amp;IF(OR(Checks!$X$324&lt;&gt;"",Checks!$Y$324&lt;&gt;"",AND(Checks!$AR$324=1,NOT(LEFT(Checks!$AH$324,10)="N/A – RULE"))),CHAR(10)&amp;"Exp: "&amp;IF(Checks!$X$324="","______",Checks!$X$324)&amp;"  /  Act: "&amp;IF(Checks!$Y$324="","______",Checks!$Y$324),"")</f>
        <v/>
      </c>
      <c r="F25" s="120" t="str">
        <f aca="false">IF(AND(LEFT(Checks!$AH$324,10)="N/A – RULE",TRIM(Checks!$S$324&amp;Checks!$Z$324)=""),"","Type: "&amp;IF(TRIM(Checks!$S$324)="","______________ (see cover list)",Checks!$S$324)&amp;CHAR(10)&amp;"ID: "&amp;IF(TRIM(Checks!$Z$324)="","______________ (record's own no.)",Checks!$Z$324))&amp;IF(Checks!$AA$324="","",CHAR(10)&amp;"CA: "&amp;Checks!$AA$324)</f>
        <v/>
      </c>
      <c r="G25" s="120" t="str">
        <f aca="false">IF(AND(LEFT(Checks!$AH$324,10)="N/A – RULE",NOT(ISNUMBER(Checks!$AD$324)),Checks!$AE$324="",Checks!$T$324=""),"","Done: "&amp;IF(ISNUMBER(Checks!$AD$324),TEXT(Checks!$AD$324,"DD-MMM-YY HH:MM"),"____________")&amp;" "&amp;Checks!$P$324&amp;CHAR(10)&amp;"Verifier: "&amp;IF(Checks!$AE$324="","____________",Checks!$AE$324)&amp;CHAR(10)&amp;"PIC: "&amp;IF(Checks!$T$324="","____________",Checks!$T$324))</f>
        <v/>
      </c>
      <c r="H25" s="121" t="str">
        <f aca="false">IF(Checks!$AH$324="","",Checks!$AH$324)</f>
        <v>N/A – RULE</v>
      </c>
    </row>
    <row r="26" customFormat="false" ht="114" hidden="false" customHeight="true" outlineLevel="0" collapsed="false">
      <c r="A26" s="120" t="str">
        <f aca="false">Checks!$A$325&amp;CHAR(10)&amp;IF(Checks!$I$325="","",Checks!$I$325&amp;": ")&amp;Checks!$J$325</f>
        <v>F10-T7-04
Staffing: Experienced catering officer assigned to this flight</v>
      </c>
      <c r="B26" s="120" t="str">
        <f aca="false">Checks!$K$325&amp;IF(Checks!$O$325="","",IF(Checks!$K$325="","",CHAR(10))&amp;"Note: "&amp;Checks!$O$325)</f>
        <v>Record officer name in Result</v>
      </c>
      <c r="C26" s="120" t="str">
        <f aca="false">Checks!$N$325&amp;CHAR(10)&amp;IF(ISNUMBER(Checks!$R$325),TEXT(Checks!$R$325,"DD-MMM-YY HH:MM"),"")&amp;" "&amp;Checks!$P$325</f>
        <v>Required
05-Oct-26 11:45 KUL</v>
      </c>
      <c r="D26" s="120" t="str">
        <f aca="false">IF(TRIM(Checks!$U$325)&lt;&gt;"",Checks!$U$325&amp;IF(Checks!$AB$325="","",CHAR(10)&amp;"CA: "&amp;Checks!$AB$325),IF(LEFT(Checks!$AH$325,10)="N/A – RULE","","[ ] Pass"&amp;CHAR(10)&amp;"[ ] Pass after CA"&amp;CHAR(10)&amp;"[ ] Fail"&amp;IF(Checks!$AT$325=1,CHAR(10)&amp;"[ ] N/A","")&amp;CHAR(10)&amp;"CA: Open / Closed"))</f>
        <v>[ ] Pass
[ ] Pass after CA
[ ] Fail
CA: Open / Closed</v>
      </c>
      <c r="E26" s="120" t="str">
        <f aca="false">IF(Checks!$V$325="","",Checks!$V$325)&amp;IF(Checks!$AC$325="","",IF(Checks!$V$325="","",CHAR(10))&amp;"N/A just.: "&amp;Checks!$AC$325)&amp;IF(OR(Checks!$W$325&lt;&gt;"",AND(Checks!$AQ$325=1,NOT(LEFT(Checks!$AH$325,10)="N/A – RULE"))),CHAR(10)&amp;"Batch: "&amp;IF(Checks!$W$325="","____________",Checks!$W$325),"")&amp;IF(OR(Checks!$X$325&lt;&gt;"",Checks!$Y$325&lt;&gt;"",AND(Checks!$AR$325=1,NOT(LEFT(Checks!$AH$325,10)="N/A – RULE"))),CHAR(10)&amp;"Exp: "&amp;IF(Checks!$X$325="","______",Checks!$X$325)&amp;"  /  Act: "&amp;IF(Checks!$Y$325="","______",Checks!$Y$325),"")</f>
        <v/>
      </c>
      <c r="F26" s="120" t="str">
        <f aca="false">IF(AND(LEFT(Checks!$AH$325,10)="N/A – RULE",TRIM(Checks!$S$325&amp;Checks!$Z$325)=""),"","Type: "&amp;IF(TRIM(Checks!$S$325)="","______________ (see cover list)",Checks!$S$325)&amp;CHAR(10)&amp;"ID: "&amp;IF(TRIM(Checks!$Z$325)="","______________ (record's own no.)",Checks!$Z$325))&amp;IF(Checks!$AA$325="","",CHAR(10)&amp;"CA: "&amp;Checks!$AA$325)</f>
        <v>Type: ______________ (see cover list)
ID: ______________ (record's own no.)</v>
      </c>
      <c r="G26" s="120" t="str">
        <f aca="false">IF(AND(LEFT(Checks!$AH$325,10)="N/A – RULE",NOT(ISNUMBER(Checks!$AD$325)),Checks!$AE$325="",Checks!$T$325=""),"","Done: "&amp;IF(ISNUMBER(Checks!$AD$325),TEXT(Checks!$AD$325,"DD-MMM-YY HH:MM"),"____________")&amp;" "&amp;Checks!$P$325&amp;CHAR(10)&amp;"Verifier: "&amp;IF(Checks!$AE$325="","____________",Checks!$AE$325)&amp;CHAR(10)&amp;"PIC: "&amp;IF(Checks!$T$325="","____________",Checks!$T$325))</f>
        <v>Done: ____________ KUL
Verifier: ____________
PIC: ____________</v>
      </c>
      <c r="H26" s="121" t="str">
        <f aca="false">IF(Checks!$AH$325="","",Checks!$AH$325)</f>
        <v>OPEN</v>
      </c>
    </row>
    <row r="27" customFormat="false" ht="114" hidden="false" customHeight="true" outlineLevel="0" collapsed="false">
      <c r="A27" s="120" t="str">
        <f aca="false">Checks!$A$326&amp;CHAR(10)&amp;IF(Checks!$I$326="","",Checks!$I$326&amp;": ")&amp;Checks!$J$326</f>
        <v>F10-T7-05
ISOP: All latest applicable ISOP revisions communicated to caterer</v>
      </c>
      <c r="B27" s="120" t="str">
        <f aca="false">Checks!$K$326&amp;IF(Checks!$O$326="","",IF(Checks!$K$326="","",CHAR(10))&amp;"Note: "&amp;Checks!$O$326)</f>
        <v>List revision numbers in Result (see ISOP register)</v>
      </c>
      <c r="C27" s="120" t="str">
        <f aca="false">Checks!$N$326&amp;CHAR(10)&amp;IF(ISNUMBER(Checks!$R$326),TEXT(Checks!$R$326,"DD-MMM-YY HH:MM"),"")&amp;" "&amp;Checks!$P$326</f>
        <v>Required
05-Oct-26 11:45 KUL</v>
      </c>
      <c r="D27" s="120" t="str">
        <f aca="false">IF(TRIM(Checks!$U$326)&lt;&gt;"",Checks!$U$326&amp;IF(Checks!$AB$326="","",CHAR(10)&amp;"CA: "&amp;Checks!$AB$326),IF(LEFT(Checks!$AH$326,10)="N/A – RULE","","[ ] Pass"&amp;CHAR(10)&amp;"[ ] Pass after CA"&amp;CHAR(10)&amp;"[ ] Fail"&amp;IF(Checks!$AT$326=1,CHAR(10)&amp;"[ ] N/A","")&amp;CHAR(10)&amp;"CA: Open / Closed"))</f>
        <v>[ ] Pass
[ ] Pass after CA
[ ] Fail
CA: Open / Closed</v>
      </c>
      <c r="E27" s="120" t="str">
        <f aca="false">IF(Checks!$V$326="","",Checks!$V$326)&amp;IF(Checks!$AC$326="","",IF(Checks!$V$326="","",CHAR(10))&amp;"N/A just.: "&amp;Checks!$AC$326)&amp;IF(OR(Checks!$W$326&lt;&gt;"",AND(Checks!$AQ$326=1,NOT(LEFT(Checks!$AH$326,10)="N/A – RULE"))),CHAR(10)&amp;"Batch: "&amp;IF(Checks!$W$326="","____________",Checks!$W$326),"")&amp;IF(OR(Checks!$X$326&lt;&gt;"",Checks!$Y$326&lt;&gt;"",AND(Checks!$AR$326=1,NOT(LEFT(Checks!$AH$326,10)="N/A – RULE"))),CHAR(10)&amp;"Exp: "&amp;IF(Checks!$X$326="","______",Checks!$X$326)&amp;"  /  Act: "&amp;IF(Checks!$Y$326="","______",Checks!$Y$326),"")</f>
        <v/>
      </c>
      <c r="F27" s="120" t="str">
        <f aca="false">IF(AND(LEFT(Checks!$AH$326,10)="N/A – RULE",TRIM(Checks!$S$326&amp;Checks!$Z$326)=""),"","Type: "&amp;IF(TRIM(Checks!$S$326)="","______________ (see cover list)",Checks!$S$326)&amp;CHAR(10)&amp;"ID: "&amp;IF(TRIM(Checks!$Z$326)="","______________ (record's own no.)",Checks!$Z$326))&amp;IF(Checks!$AA$326="","",CHAR(10)&amp;"CA: "&amp;Checks!$AA$326)</f>
        <v>Type: ______________ (see cover list)
ID: ______________ (record's own no.)</v>
      </c>
      <c r="G27" s="120" t="str">
        <f aca="false">IF(AND(LEFT(Checks!$AH$326,10)="N/A – RULE",NOT(ISNUMBER(Checks!$AD$326)),Checks!$AE$326="",Checks!$T$326=""),"","Done: "&amp;IF(ISNUMBER(Checks!$AD$326),TEXT(Checks!$AD$326,"DD-MMM-YY HH:MM"),"____________")&amp;" "&amp;Checks!$P$326&amp;CHAR(10)&amp;"Verifier: "&amp;IF(Checks!$AE$326="","____________",Checks!$AE$326)&amp;CHAR(10)&amp;"PIC: "&amp;IF(Checks!$T$326="","____________",Checks!$T$326))</f>
        <v>Done: ____________ KUL
Verifier: ____________
PIC: ____________</v>
      </c>
      <c r="H27" s="121" t="str">
        <f aca="false">IF(Checks!$AH$326="","",Checks!$AH$326)</f>
        <v>OPEN</v>
      </c>
    </row>
    <row r="28" customFormat="false" ht="114" hidden="false" customHeight="true" outlineLevel="0" collapsed="false">
      <c r="A28" s="120" t="str">
        <f aca="false">Checks!$A$327&amp;CHAR(10)&amp;IF(Checks!$I$327="","",Checks!$I$327&amp;": ")&amp;Checks!$J$327</f>
        <v>F10-T7-06
ISOP: Caterer acknowledgement of ISOP revisions recorded</v>
      </c>
      <c r="B28" s="120" t="str">
        <f aca="false">Checks!$K$327&amp;IF(Checks!$O$327="","",IF(Checks!$K$327="","",CHAR(10))&amp;"Note: "&amp;Checks!$O$327)</f>
        <v>Record acknowledgement ref in Evidence</v>
      </c>
      <c r="C28" s="120" t="str">
        <f aca="false">Checks!$N$327&amp;CHAR(10)&amp;IF(ISNUMBER(Checks!$R$327),TEXT(Checks!$R$327,"DD-MMM-YY HH:MM"),"")&amp;" "&amp;Checks!$P$327</f>
        <v>Required
05-Oct-26 11:45 KUL</v>
      </c>
      <c r="D28" s="120" t="str">
        <f aca="false">IF(TRIM(Checks!$U$327)&lt;&gt;"",Checks!$U$327&amp;IF(Checks!$AB$327="","",CHAR(10)&amp;"CA: "&amp;Checks!$AB$327),IF(LEFT(Checks!$AH$327,10)="N/A – RULE","","[ ] Pass"&amp;CHAR(10)&amp;"[ ] Pass after CA"&amp;CHAR(10)&amp;"[ ] Fail"&amp;IF(Checks!$AT$327=1,CHAR(10)&amp;"[ ] N/A","")&amp;CHAR(10)&amp;"CA: Open / Closed"))</f>
        <v>[ ] Pass
[ ] Pass after CA
[ ] Fail
CA: Open / Closed</v>
      </c>
      <c r="E28" s="120" t="str">
        <f aca="false">IF(Checks!$V$327="","",Checks!$V$327)&amp;IF(Checks!$AC$327="","",IF(Checks!$V$327="","",CHAR(10))&amp;"N/A just.: "&amp;Checks!$AC$327)&amp;IF(OR(Checks!$W$327&lt;&gt;"",AND(Checks!$AQ$327=1,NOT(LEFT(Checks!$AH$327,10)="N/A – RULE"))),CHAR(10)&amp;"Batch: "&amp;IF(Checks!$W$327="","____________",Checks!$W$327),"")&amp;IF(OR(Checks!$X$327&lt;&gt;"",Checks!$Y$327&lt;&gt;"",AND(Checks!$AR$327=1,NOT(LEFT(Checks!$AH$327,10)="N/A – RULE"))),CHAR(10)&amp;"Exp: "&amp;IF(Checks!$X$327="","______",Checks!$X$327)&amp;"  /  Act: "&amp;IF(Checks!$Y$327="","______",Checks!$Y$327),"")</f>
        <v/>
      </c>
      <c r="F28" s="120" t="str">
        <f aca="false">IF(AND(LEFT(Checks!$AH$327,10)="N/A – RULE",TRIM(Checks!$S$327&amp;Checks!$Z$327)=""),"","Type: "&amp;IF(TRIM(Checks!$S$327)="","______________ (see cover list)",Checks!$S$327)&amp;CHAR(10)&amp;"ID: "&amp;IF(TRIM(Checks!$Z$327)="","______________ (record's own no.)",Checks!$Z$327))&amp;IF(Checks!$AA$327="","",CHAR(10)&amp;"CA: "&amp;Checks!$AA$327)</f>
        <v>Type: ______________ (see cover list)
ID: ______________ (record's own no.)</v>
      </c>
      <c r="G28" s="120" t="str">
        <f aca="false">IF(AND(LEFT(Checks!$AH$327,10)="N/A – RULE",NOT(ISNUMBER(Checks!$AD$327)),Checks!$AE$327="",Checks!$T$327=""),"","Done: "&amp;IF(ISNUMBER(Checks!$AD$327),TEXT(Checks!$AD$327,"DD-MMM-YY HH:MM"),"____________")&amp;" "&amp;Checks!$P$327&amp;CHAR(10)&amp;"Verifier: "&amp;IF(Checks!$AE$327="","____________",Checks!$AE$327)&amp;CHAR(10)&amp;"PIC: "&amp;IF(Checks!$T$327="","____________",Checks!$T$327))</f>
        <v>Done: ____________ KUL
Verifier: ____________
PIC: ____________</v>
      </c>
      <c r="H28" s="121" t="str">
        <f aca="false">IF(Checks!$AH$327="","",Checks!$AH$327)</f>
        <v>OPEN</v>
      </c>
    </row>
    <row r="29" customFormat="false" ht="114" hidden="false" customHeight="true" outlineLevel="0" collapsed="false">
      <c r="A29" s="120" t="str">
        <f aca="false">Checks!$A$328&amp;CHAR(10)&amp;IF(Checks!$I$328="","",Checks!$I$328&amp;": ")&amp;Checks!$J$328</f>
        <v>F10-T7-07
Documents: Galley loading diagram (GLD) received, revision recorded &amp; attached</v>
      </c>
      <c r="B29" s="120" t="str">
        <f aca="false">SUBSTITUTE(Checks!$K$328&amp;IF(Checks!$O$328="","",IF(Checks!$K$328="","",CHAR(10))&amp;"Note: "&amp;Checks!$O$328),"Documents sheet row complete","Recorded on the Documents sheet; copy stapled as A1 / A2")</f>
        <v>Recorded on the Documents sheet; copy stapled as A1 / A2</v>
      </c>
      <c r="C29" s="120" t="str">
        <f aca="false">Checks!$N$328&amp;CHAR(10)&amp;IF(ISNUMBER(Checks!$R$328),TEXT(Checks!$R$328,"DD-MMM-YY HH:MM"),"")&amp;" "&amp;Checks!$P$328</f>
        <v>Required
05-Oct-26 11:45 KUL</v>
      </c>
      <c r="D29" s="120" t="str">
        <f aca="false">IF(TRIM(Checks!$U$328)&lt;&gt;"",Checks!$U$328&amp;IF(Checks!$AB$328="","",CHAR(10)&amp;"CA: "&amp;Checks!$AB$328),IF(LEFT(Checks!$AH$328,10)="N/A – RULE","","[ ] Pass"&amp;CHAR(10)&amp;"[ ] Pass after CA"&amp;CHAR(10)&amp;"[ ] Fail"&amp;IF(Checks!$AT$328=1,CHAR(10)&amp;"[ ] N/A","")&amp;CHAR(10)&amp;"CA: Open / Closed"))</f>
        <v>[ ] Pass
[ ] Pass after CA
[ ] Fail
CA: Open / Closed</v>
      </c>
      <c r="E29" s="120" t="str">
        <f aca="false">IF(Checks!$V$328="","",Checks!$V$328)&amp;IF(Checks!$AC$328="","",IF(Checks!$V$328="","",CHAR(10))&amp;"N/A just.: "&amp;Checks!$AC$328)&amp;IF(OR(Checks!$W$328&lt;&gt;"",AND(Checks!$AQ$328=1,NOT(LEFT(Checks!$AH$328,10)="N/A – RULE"))),CHAR(10)&amp;"Batch: "&amp;IF(Checks!$W$328="","____________",Checks!$W$328),"")&amp;IF(OR(Checks!$X$328&lt;&gt;"",Checks!$Y$328&lt;&gt;"",AND(Checks!$AR$328=1,NOT(LEFT(Checks!$AH$328,10)="N/A – RULE"))),CHAR(10)&amp;"Exp: "&amp;IF(Checks!$X$328="","______",Checks!$X$328)&amp;"  /  Act: "&amp;IF(Checks!$Y$328="","______",Checks!$Y$328),"")</f>
        <v/>
      </c>
      <c r="F29" s="120" t="str">
        <f aca="false">IF(AND(LEFT(Checks!$AH$328,10)="N/A – RULE",TRIM(Checks!$S$328&amp;Checks!$Z$328)=""),"","Type: "&amp;IF(TRIM(Checks!$S$328)="","______________ (see cover list)",Checks!$S$328)&amp;CHAR(10)&amp;"ID: "&amp;IF(TRIM(Checks!$Z$328)="","______________ (record's own no.)",Checks!$Z$328))&amp;IF(Checks!$AA$328="","",CHAR(10)&amp;"CA: "&amp;Checks!$AA$328)</f>
        <v>Type: ______________ (see cover list)
ID: ______________ (record's own no.)</v>
      </c>
      <c r="G29" s="120" t="str">
        <f aca="false">IF(AND(LEFT(Checks!$AH$328,10)="N/A – RULE",NOT(ISNUMBER(Checks!$AD$328)),Checks!$AE$328="",Checks!$T$328=""),"","Done: "&amp;IF(ISNUMBER(Checks!$AD$328),TEXT(Checks!$AD$328,"DD-MMM-YY HH:MM"),"____________")&amp;" "&amp;Checks!$P$328&amp;CHAR(10)&amp;"Verifier: "&amp;IF(Checks!$AE$328="","____________",Checks!$AE$328)&amp;CHAR(10)&amp;"PIC: "&amp;IF(Checks!$T$328="","____________",Checks!$T$328))</f>
        <v>Done: ____________ KUL
Verifier: ____________
PIC: ____________</v>
      </c>
      <c r="H29" s="121" t="str">
        <f aca="false">IF(Checks!$AH$328="","",Checks!$AH$328)</f>
        <v>OPEN</v>
      </c>
    </row>
    <row r="30" customFormat="false" ht="114" hidden="false" customHeight="true" outlineLevel="0" collapsed="false">
      <c r="A30" s="120" t="str">
        <f aca="false">Checks!$A$329&amp;CHAR(10)&amp;IF(Checks!$I$329="","",Checks!$I$329&amp;": ")&amp;Checks!$J$329</f>
        <v>F10-T7-08
Documents: Menu checklist received, revision recorded &amp; attached</v>
      </c>
      <c r="B30" s="120" t="str">
        <f aca="false">SUBSTITUTE(Checks!$K$329&amp;IF(Checks!$O$329="","",IF(Checks!$K$329="","",CHAR(10))&amp;"Note: "&amp;Checks!$O$329),"Documents sheet row complete","Recorded on the Documents sheet; copy stapled as A1 / A2")</f>
        <v>Recorded on the Documents sheet; copy stapled as A1 / A2</v>
      </c>
      <c r="C30" s="120" t="str">
        <f aca="false">Checks!$N$329&amp;CHAR(10)&amp;IF(ISNUMBER(Checks!$R$329),TEXT(Checks!$R$329,"DD-MMM-YY HH:MM"),"")&amp;" "&amp;Checks!$P$329</f>
        <v>Required
05-Oct-26 11:45 KUL</v>
      </c>
      <c r="D30" s="120" t="str">
        <f aca="false">IF(TRIM(Checks!$U$329)&lt;&gt;"",Checks!$U$329&amp;IF(Checks!$AB$329="","",CHAR(10)&amp;"CA: "&amp;Checks!$AB$329),IF(LEFT(Checks!$AH$329,10)="N/A – RULE","","[ ] Pass"&amp;CHAR(10)&amp;"[ ] Pass after CA"&amp;CHAR(10)&amp;"[ ] Fail"&amp;IF(Checks!$AT$329=1,CHAR(10)&amp;"[ ] N/A","")&amp;CHAR(10)&amp;"CA: Open / Closed"))</f>
        <v>[ ] Pass
[ ] Pass after CA
[ ] Fail
CA: Open / Closed</v>
      </c>
      <c r="E30" s="120" t="str">
        <f aca="false">IF(Checks!$V$329="","",Checks!$V$329)&amp;IF(Checks!$AC$329="","",IF(Checks!$V$329="","",CHAR(10))&amp;"N/A just.: "&amp;Checks!$AC$329)&amp;IF(OR(Checks!$W$329&lt;&gt;"",AND(Checks!$AQ$329=1,NOT(LEFT(Checks!$AH$329,10)="N/A – RULE"))),CHAR(10)&amp;"Batch: "&amp;IF(Checks!$W$329="","____________",Checks!$W$329),"")&amp;IF(OR(Checks!$X$329&lt;&gt;"",Checks!$Y$329&lt;&gt;"",AND(Checks!$AR$329=1,NOT(LEFT(Checks!$AH$329,10)="N/A – RULE"))),CHAR(10)&amp;"Exp: "&amp;IF(Checks!$X$329="","______",Checks!$X$329)&amp;"  /  Act: "&amp;IF(Checks!$Y$329="","______",Checks!$Y$329),"")</f>
        <v/>
      </c>
      <c r="F30" s="120" t="str">
        <f aca="false">IF(AND(LEFT(Checks!$AH$329,10)="N/A – RULE",TRIM(Checks!$S$329&amp;Checks!$Z$329)=""),"","Type: "&amp;IF(TRIM(Checks!$S$329)="","______________ (see cover list)",Checks!$S$329)&amp;CHAR(10)&amp;"ID: "&amp;IF(TRIM(Checks!$Z$329)="","______________ (record's own no.)",Checks!$Z$329))&amp;IF(Checks!$AA$329="","",CHAR(10)&amp;"CA: "&amp;Checks!$AA$329)</f>
        <v>Type: ______________ (see cover list)
ID: ______________ (record's own no.)</v>
      </c>
      <c r="G30" s="120" t="str">
        <f aca="false">IF(AND(LEFT(Checks!$AH$329,10)="N/A – RULE",NOT(ISNUMBER(Checks!$AD$329)),Checks!$AE$329="",Checks!$T$329=""),"","Done: "&amp;IF(ISNUMBER(Checks!$AD$329),TEXT(Checks!$AD$329,"DD-MMM-YY HH:MM"),"____________")&amp;" "&amp;Checks!$P$329&amp;CHAR(10)&amp;"Verifier: "&amp;IF(Checks!$AE$329="","____________",Checks!$AE$329)&amp;CHAR(10)&amp;"PIC: "&amp;IF(Checks!$T$329="","____________",Checks!$T$329))</f>
        <v>Done: ____________ KUL
Verifier: ____________
PIC: ____________</v>
      </c>
      <c r="H30" s="121" t="str">
        <f aca="false">IF(Checks!$AH$329="","",Checks!$AH$329)</f>
        <v>OPEN</v>
      </c>
    </row>
    <row r="31" customFormat="false" ht="114" hidden="false" customHeight="true" outlineLevel="0" collapsed="false">
      <c r="A31" s="120" t="str">
        <f aca="false">Checks!$A$330&amp;CHAR(10)&amp;IF(Checks!$I$330="","",Checks!$I$330&amp;": ")&amp;Checks!$J$330</f>
        <v>F10-T7-09
Uplift plan: Uplift plan confirmed with caterer vs STD Uplift Information</v>
      </c>
      <c r="B31" s="120" t="str">
        <f aca="false">Checks!$K$330&amp;IF(Checks!$O$330="","",IF(Checks!$K$330="","",CHAR(10))&amp;"Note: "&amp;Checks!$O$330)</f>
        <v>Service: Refreshment (Peanut &amp; Water); meal uplift stn KUL (ref lists KUL)</v>
      </c>
      <c r="C31" s="120" t="str">
        <f aca="false">Checks!$N$330&amp;CHAR(10)&amp;IF(ISNUMBER(Checks!$R$330),TEXT(Checks!$R$330,"DD-MMM-YY HH:MM"),"")&amp;" "&amp;Checks!$P$330</f>
        <v>Required
05-Oct-26 11:45 KUL</v>
      </c>
      <c r="D31" s="120" t="str">
        <f aca="false">IF(TRIM(Checks!$U$330)&lt;&gt;"",Checks!$U$330&amp;IF(Checks!$AB$330="","",CHAR(10)&amp;"CA: "&amp;Checks!$AB$330),IF(LEFT(Checks!$AH$330,10)="N/A – RULE","","[ ] Pass"&amp;CHAR(10)&amp;"[ ] Pass after CA"&amp;CHAR(10)&amp;"[ ] Fail"&amp;IF(Checks!$AT$330=1,CHAR(10)&amp;"[ ] N/A","")&amp;CHAR(10)&amp;"CA: Open / Closed"))</f>
        <v>[ ] Pass
[ ] Pass after CA
[ ] Fail
CA: Open / Closed</v>
      </c>
      <c r="E31" s="120" t="str">
        <f aca="false">IF(Checks!$V$330="","",Checks!$V$330)&amp;IF(Checks!$AC$330="","",IF(Checks!$V$330="","",CHAR(10))&amp;"N/A just.: "&amp;Checks!$AC$330)&amp;IF(OR(Checks!$W$330&lt;&gt;"",AND(Checks!$AQ$330=1,NOT(LEFT(Checks!$AH$330,10)="N/A – RULE"))),CHAR(10)&amp;"Batch: "&amp;IF(Checks!$W$330="","____________",Checks!$W$330),"")&amp;IF(OR(Checks!$X$330&lt;&gt;"",Checks!$Y$330&lt;&gt;"",AND(Checks!$AR$330=1,NOT(LEFT(Checks!$AH$330,10)="N/A – RULE"))),CHAR(10)&amp;"Exp: "&amp;IF(Checks!$X$330="","______",Checks!$X$330)&amp;"  /  Act: "&amp;IF(Checks!$Y$330="","______",Checks!$Y$330),"")</f>
        <v/>
      </c>
      <c r="F31" s="120" t="str">
        <f aca="false">IF(AND(LEFT(Checks!$AH$330,10)="N/A – RULE",TRIM(Checks!$S$330&amp;Checks!$Z$330)=""),"","Type: "&amp;IF(TRIM(Checks!$S$330)="","______________ (see cover list)",Checks!$S$330)&amp;CHAR(10)&amp;"ID: "&amp;IF(TRIM(Checks!$Z$330)="","______________ (record's own no.)",Checks!$Z$330))&amp;IF(Checks!$AA$330="","",CHAR(10)&amp;"CA: "&amp;Checks!$AA$330)</f>
        <v>Type: ______________ (see cover list)
ID: ______________ (record's own no.)</v>
      </c>
      <c r="G31" s="120" t="str">
        <f aca="false">IF(AND(LEFT(Checks!$AH$330,10)="N/A – RULE",NOT(ISNUMBER(Checks!$AD$330)),Checks!$AE$330="",Checks!$T$330=""),"","Done: "&amp;IF(ISNUMBER(Checks!$AD$330),TEXT(Checks!$AD$330,"DD-MMM-YY HH:MM"),"____________")&amp;" "&amp;Checks!$P$330&amp;CHAR(10)&amp;"Verifier: "&amp;IF(Checks!$AE$330="","____________",Checks!$AE$330)&amp;CHAR(10)&amp;"PIC: "&amp;IF(Checks!$T$330="","____________",Checks!$T$330))</f>
        <v>Done: ____________ KUL
Verifier: ____________
PIC: ____________</v>
      </c>
      <c r="H31" s="121" t="str">
        <f aca="false">IF(Checks!$AH$330="","",Checks!$AH$330)</f>
        <v>OPEN</v>
      </c>
    </row>
    <row r="32" customFormat="false" ht="25.5" hidden="false" customHeight="true" outlineLevel="0" collapsed="false">
      <c r="A32" s="119" t="str">
        <f aca="false">"T-24H — Production batch sensory  |  Due "&amp;IF(ISNUMBER(Flights!$AH$14),TEXT(Flights!$AH$14,"DD-MMM-YY HH:MM"),"")&amp;" "&amp;Flights!$V$14&amp;" (meal uplift stn)"&amp;" (rows with another due show their own)  |  Complete "&amp;IF(ISNUMBER(Flights!$AK$14),TEXT(Flights!$AK$14,"0%"),Flights!$AK$14)&amp;"  |  1 lines"</f>
        <v>T-24H — Production batch sensory  |  Due 11-Oct-26 11:45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Checks!$A$331&amp;CHAR(10)&amp;IF(Checks!$I$331="","",Checks!$I$331&amp;": ")&amp;Checks!$J$331</f>
        <v>F10-T24-01
Meal: Sensory test repeated on ACTUAL production batch for this flight</v>
      </c>
      <c r="B33" s="120" t="str">
        <f aca="false">Checks!$K$331&amp;IF(Checks!$O$331="","",IF(Checks!$K$331="","",CHAR(10))&amp;"Note: "&amp;Checks!$O$331)</f>
        <v>Batch ID, result, CA and acceptance mandatory</v>
      </c>
      <c r="C33" s="120" t="str">
        <f aca="false">Checks!$N$331&amp;CHAR(10)&amp;IF(ISNUMBER(Checks!$R$331),TEXT(Checks!$R$331,"DD-MMM-YY HH:MM"),"")&amp;" "&amp;Checks!$P$331</f>
        <v>Required
11-Oct-26 11:45 KUL</v>
      </c>
      <c r="D33" s="120" t="str">
        <f aca="false">IF(TRIM(Checks!$U$331)&lt;&gt;"",Checks!$U$331&amp;IF(Checks!$AB$331="","",CHAR(10)&amp;"CA: "&amp;Checks!$AB$331),IF(LEFT(Checks!$AH$331,10)="N/A – RULE","","[ ] Pass"&amp;CHAR(10)&amp;"[ ] Pass after CA"&amp;CHAR(10)&amp;"[ ] Fail"&amp;IF(Checks!$AT$331=1,CHAR(10)&amp;"[ ] N/A","")&amp;CHAR(10)&amp;"CA: Open / Closed"))</f>
        <v>[ ] Pass
[ ] Pass after CA
[ ] Fail
CA: Open / Closed</v>
      </c>
      <c r="E33" s="120" t="str">
        <f aca="false">IF(Checks!$V$331="","",Checks!$V$331)&amp;IF(Checks!$AC$331="","",IF(Checks!$V$331="","",CHAR(10))&amp;"N/A just.: "&amp;Checks!$AC$331)&amp;IF(OR(Checks!$W$331&lt;&gt;"",AND(Checks!$AQ$331=1,NOT(LEFT(Checks!$AH$331,10)="N/A – RULE"))),CHAR(10)&amp;"Batch: "&amp;IF(Checks!$W$331="","____________",Checks!$W$331),"")&amp;IF(OR(Checks!$X$331&lt;&gt;"",Checks!$Y$331&lt;&gt;"",AND(Checks!$AR$331=1,NOT(LEFT(Checks!$AH$331,10)="N/A – RULE"))),CHAR(10)&amp;"Exp: "&amp;IF(Checks!$X$331="","______",Checks!$X$331)&amp;"  /  Act: "&amp;IF(Checks!$Y$331="","______",Checks!$Y$331),"")</f>
        <v>
Batch: ____________</v>
      </c>
      <c r="F33" s="120" t="str">
        <f aca="false">IF(AND(LEFT(Checks!$AH$331,10)="N/A – RULE",TRIM(Checks!$S$331&amp;Checks!$Z$331)=""),"","Type: "&amp;IF(TRIM(Checks!$S$331)="","______________ (see cover list)",Checks!$S$331)&amp;CHAR(10)&amp;"ID: "&amp;IF(TRIM(Checks!$Z$331)="","______________ (record's own no.)",Checks!$Z$331))&amp;IF(Checks!$AA$331="","",CHAR(10)&amp;"CA: "&amp;Checks!$AA$331)</f>
        <v>Type: ______________ (see cover list)
ID: ______________ (record's own no.)</v>
      </c>
      <c r="G33" s="120" t="str">
        <f aca="false">IF(AND(LEFT(Checks!$AH$331,10)="N/A – RULE",NOT(ISNUMBER(Checks!$AD$331)),Checks!$AE$331="",Checks!$T$331=""),"","Done: "&amp;IF(ISNUMBER(Checks!$AD$331),TEXT(Checks!$AD$331,"DD-MMM-YY HH:MM"),"____________")&amp;" "&amp;Checks!$P$331&amp;CHAR(10)&amp;"Verifier: "&amp;IF(Checks!$AE$331="","____________",Checks!$AE$331)&amp;CHAR(10)&amp;"PIC: "&amp;IF(Checks!$T$331="","____________",Checks!$T$331))</f>
        <v>Done: ____________ KUL
Verifier: ____________
PIC: ____________</v>
      </c>
      <c r="H33" s="121" t="str">
        <f aca="false">IF(Checks!$AH$331="","",Checks!$AH$331)</f>
        <v>OPEN</v>
      </c>
    </row>
    <row r="34" customFormat="false" ht="25.5" hidden="false" customHeight="true" outlineLevel="0" collapsed="false">
      <c r="A34" s="119" t="str">
        <f aca="false">"T-12H PREP — Preparation check at caterer (does NOT confirm loading)  |  Due "&amp;IF(ISNUMBER(Flights!$AI$14),TEXT(Flights!$AI$14,"DD-MMM-YY HH:MM"),"")&amp;" "&amp;Flights!$V$14&amp;" (meal uplift stn)"&amp;" (rows with another due show their own)  |  Complete "&amp;IF(ISNUMBER(Flights!$AL$14),TEXT(Flights!$AL$14,"0%"),Flights!$AL$14)&amp;"  |  15 lines"</f>
        <v>T-12H PREP — Preparation check at caterer (does NOT confirm loading)  |  Due 11-Oct-26 23:45 KUL (meal uplift stn) (rows with another due show their own)  |  Complete 0%  |  15 lines</v>
      </c>
      <c r="B34" s="119"/>
      <c r="C34" s="119"/>
      <c r="D34" s="119"/>
      <c r="E34" s="119"/>
      <c r="F34" s="119"/>
      <c r="G34" s="119"/>
      <c r="H34" s="119"/>
    </row>
    <row r="35" customFormat="false" ht="114" hidden="false" customHeight="true" outlineLevel="0" collapsed="false">
      <c r="A35" s="120" t="str">
        <f aca="false">Checks!$A$332&amp;CHAR(10)&amp;IF(Checks!$I$332="","",Checks!$I$332&amp;": ")&amp;Checks!$J$332</f>
        <v>F10-T12-01
Meal: Meal quality vs menu checklist</v>
      </c>
      <c r="B35" s="120" t="str">
        <f aca="false">Checks!$K$332&amp;IF(Checks!$O$332="","",IF(Checks!$K$332="","",CHAR(10))&amp;"Note: "&amp;Checks!$O$332)</f>
        <v>Note: Preparation check at caterer - does NOT confirm loading.</v>
      </c>
      <c r="C35" s="120" t="str">
        <f aca="false">Checks!$N$332&amp;CHAR(10)&amp;IF(ISNUMBER(Checks!$R$332),TEXT(Checks!$R$332,"DD-MMM-YY HH:MM"),"")&amp;" "&amp;Checks!$P$332</f>
        <v>Required
11-Oct-26 23:45 KUL</v>
      </c>
      <c r="D35" s="120" t="str">
        <f aca="false">IF(TRIM(Checks!$U$332)&lt;&gt;"",Checks!$U$332&amp;IF(Checks!$AB$332="","",CHAR(10)&amp;"CA: "&amp;Checks!$AB$332),IF(LEFT(Checks!$AH$332,10)="N/A – RULE","","[ ] Pass"&amp;CHAR(10)&amp;"[ ] Pass after CA"&amp;CHAR(10)&amp;"[ ] Fail"&amp;IF(Checks!$AT$332=1,CHAR(10)&amp;"[ ] N/A","")&amp;CHAR(10)&amp;"CA: Open / Closed"))</f>
        <v>[ ] Pass
[ ] Pass after CA
[ ] Fail
CA: Open / Closed</v>
      </c>
      <c r="E35" s="120" t="str">
        <f aca="false">IF(Checks!$V$332="","",Checks!$V$332)&amp;IF(Checks!$AC$332="","",IF(Checks!$V$332="","",CHAR(10))&amp;"N/A just.: "&amp;Checks!$AC$332)&amp;IF(OR(Checks!$W$332&lt;&gt;"",AND(Checks!$AQ$332=1,NOT(LEFT(Checks!$AH$332,10)="N/A – RULE"))),CHAR(10)&amp;"Batch: "&amp;IF(Checks!$W$332="","____________",Checks!$W$332),"")&amp;IF(OR(Checks!$X$332&lt;&gt;"",Checks!$Y$332&lt;&gt;"",AND(Checks!$AR$332=1,NOT(LEFT(Checks!$AH$332,10)="N/A – RULE"))),CHAR(10)&amp;"Exp: "&amp;IF(Checks!$X$332="","______",Checks!$X$332)&amp;"  /  Act: "&amp;IF(Checks!$Y$332="","______",Checks!$Y$332),"")</f>
        <v/>
      </c>
      <c r="F35" s="120" t="str">
        <f aca="false">IF(AND(LEFT(Checks!$AH$332,10)="N/A – RULE",TRIM(Checks!$S$332&amp;Checks!$Z$332)=""),"","Type: "&amp;IF(TRIM(Checks!$S$332)="","______________ (see cover list)",Checks!$S$332)&amp;CHAR(10)&amp;"ID: "&amp;IF(TRIM(Checks!$Z$332)="","______________ (record's own no.)",Checks!$Z$332))&amp;IF(Checks!$AA$332="","",CHAR(10)&amp;"CA: "&amp;Checks!$AA$332)</f>
        <v>Type: ______________ (see cover list)
ID: ______________ (record's own no.)</v>
      </c>
      <c r="G35" s="120" t="str">
        <f aca="false">IF(AND(LEFT(Checks!$AH$332,10)="N/A – RULE",NOT(ISNUMBER(Checks!$AD$332)),Checks!$AE$332="",Checks!$T$332=""),"","Done: "&amp;IF(ISNUMBER(Checks!$AD$332),TEXT(Checks!$AD$332,"DD-MMM-YY HH:MM"),"____________")&amp;" "&amp;Checks!$P$332&amp;CHAR(10)&amp;"Verifier: "&amp;IF(Checks!$AE$332="","____________",Checks!$AE$332)&amp;CHAR(10)&amp;"PIC: "&amp;IF(Checks!$T$332="","____________",Checks!$T$332))</f>
        <v>Done: ____________ KUL
Verifier: ____________
PIC: ____________</v>
      </c>
      <c r="H35" s="121" t="str">
        <f aca="false">IF(Checks!$AH$332="","",Checks!$AH$332)</f>
        <v>OPEN</v>
      </c>
    </row>
    <row r="36" customFormat="false" ht="114" hidden="false" customHeight="true" outlineLevel="0" collapsed="false">
      <c r="A36" s="120" t="str">
        <f aca="false">Checks!$A$333&amp;CHAR(10)&amp;IF(Checks!$I$333="","",Checks!$I$333&amp;": ")&amp;Checks!$J$333</f>
        <v>F10-T12-02
Meal: Meal quantities vs menu checklist</v>
      </c>
      <c r="B36" s="120" t="str">
        <f aca="false">Checks!$K$333&amp;IF(Checks!$O$333="","",IF(Checks!$K$333="","",CHAR(10))&amp;"Note: "&amp;Checks!$O$333)</f>
        <v>Enter expected &amp; actual
Note: Preparation check at caterer - does NOT confirm loading.</v>
      </c>
      <c r="C36" s="120" t="str">
        <f aca="false">Checks!$N$333&amp;CHAR(10)&amp;IF(ISNUMBER(Checks!$R$333),TEXT(Checks!$R$333,"DD-MMM-YY HH:MM"),"")&amp;" "&amp;Checks!$P$333</f>
        <v>Required
11-Oct-26 23:45 KUL</v>
      </c>
      <c r="D36" s="120" t="str">
        <f aca="false">IF(TRIM(Checks!$U$333)&lt;&gt;"",Checks!$U$333&amp;IF(Checks!$AB$333="","",CHAR(10)&amp;"CA: "&amp;Checks!$AB$333),IF(LEFT(Checks!$AH$333,10)="N/A – RULE","","[ ] Pass"&amp;CHAR(10)&amp;"[ ] Pass after CA"&amp;CHAR(10)&amp;"[ ] Fail"&amp;IF(Checks!$AT$333=1,CHAR(10)&amp;"[ ] N/A","")&amp;CHAR(10)&amp;"CA: Open / Closed"))</f>
        <v>[ ] Pass
[ ] Pass after CA
[ ] Fail
CA: Open / Closed</v>
      </c>
      <c r="E36" s="120" t="str">
        <f aca="false">IF(Checks!$V$333="","",Checks!$V$333)&amp;IF(Checks!$AC$333="","",IF(Checks!$V$333="","",CHAR(10))&amp;"N/A just.: "&amp;Checks!$AC$333)&amp;IF(OR(Checks!$W$333&lt;&gt;"",AND(Checks!$AQ$333=1,NOT(LEFT(Checks!$AH$333,10)="N/A – RULE"))),CHAR(10)&amp;"Batch: "&amp;IF(Checks!$W$333="","____________",Checks!$W$333),"")&amp;IF(OR(Checks!$X$333&lt;&gt;"",Checks!$Y$333&lt;&gt;"",AND(Checks!$AR$333=1,NOT(LEFT(Checks!$AH$333,10)="N/A – RULE"))),CHAR(10)&amp;"Exp: "&amp;IF(Checks!$X$333="","______",Checks!$X$333)&amp;"  /  Act: "&amp;IF(Checks!$Y$333="","______",Checks!$Y$333),"")</f>
        <v>
Exp: ______  /  Act: ______</v>
      </c>
      <c r="F36" s="120" t="str">
        <f aca="false">IF(AND(LEFT(Checks!$AH$333,10)="N/A – RULE",TRIM(Checks!$S$333&amp;Checks!$Z$333)=""),"","Type: "&amp;IF(TRIM(Checks!$S$333)="","______________ (see cover list)",Checks!$S$333)&amp;CHAR(10)&amp;"ID: "&amp;IF(TRIM(Checks!$Z$333)="","______________ (record's own no.)",Checks!$Z$333))&amp;IF(Checks!$AA$333="","",CHAR(10)&amp;"CA: "&amp;Checks!$AA$333)</f>
        <v>Type: ______________ (see cover list)
ID: ______________ (record's own no.)</v>
      </c>
      <c r="G36" s="120" t="str">
        <f aca="false">IF(AND(LEFT(Checks!$AH$333,10)="N/A – RULE",NOT(ISNUMBER(Checks!$AD$333)),Checks!$AE$333="",Checks!$T$333=""),"","Done: "&amp;IF(ISNUMBER(Checks!$AD$333),TEXT(Checks!$AD$333,"DD-MMM-YY HH:MM"),"____________")&amp;" "&amp;Checks!$P$333&amp;CHAR(10)&amp;"Verifier: "&amp;IF(Checks!$AE$333="","____________",Checks!$AE$333)&amp;CHAR(10)&amp;"PIC: "&amp;IF(Checks!$T$333="","____________",Checks!$T$333))</f>
        <v>Done: ____________ KUL
Verifier: ____________
PIC: ____________</v>
      </c>
      <c r="H36" s="121" t="str">
        <f aca="false">IF(Checks!$AH$333="","",Checks!$AH$333)</f>
        <v>OPEN</v>
      </c>
    </row>
    <row r="37" customFormat="false" ht="114" hidden="false" customHeight="true" outlineLevel="0" collapsed="false">
      <c r="A37" s="120" t="str">
        <f aca="false">Checks!$A$334&amp;CHAR(10)&amp;IF(Checks!$I$334="","",Checks!$I$334&amp;": ")&amp;Checks!$J$334</f>
        <v>F10-T12-03
Equipment: Equipment cleanliness vs GLD</v>
      </c>
      <c r="B37" s="120" t="str">
        <f aca="false">Checks!$K$334&amp;IF(Checks!$O$334="","",IF(Checks!$K$334="","",CHAR(10))&amp;"Note: "&amp;Checks!$O$334)</f>
        <v>Note: Preparation check at caterer - does NOT confirm loading.</v>
      </c>
      <c r="C37" s="120" t="str">
        <f aca="false">Checks!$N$334&amp;CHAR(10)&amp;IF(ISNUMBER(Checks!$R$334),TEXT(Checks!$R$334,"DD-MMM-YY HH:MM"),"")&amp;" "&amp;Checks!$P$334</f>
        <v>Required
11-Oct-26 23:45 KUL</v>
      </c>
      <c r="D37" s="120" t="str">
        <f aca="false">IF(TRIM(Checks!$U$334)&lt;&gt;"",Checks!$U$334&amp;IF(Checks!$AB$334="","",CHAR(10)&amp;"CA: "&amp;Checks!$AB$334),IF(LEFT(Checks!$AH$334,10)="N/A – RULE","","[ ] Pass"&amp;CHAR(10)&amp;"[ ] Pass after CA"&amp;CHAR(10)&amp;"[ ] Fail"&amp;IF(Checks!$AT$334=1,CHAR(10)&amp;"[ ] N/A","")&amp;CHAR(10)&amp;"CA: Open / Closed"))</f>
        <v>[ ] Pass
[ ] Pass after CA
[ ] Fail
CA: Open / Closed</v>
      </c>
      <c r="E37" s="120" t="str">
        <f aca="false">IF(Checks!$V$334="","",Checks!$V$334)&amp;IF(Checks!$AC$334="","",IF(Checks!$V$334="","",CHAR(10))&amp;"N/A just.: "&amp;Checks!$AC$334)&amp;IF(OR(Checks!$W$334&lt;&gt;"",AND(Checks!$AQ$334=1,NOT(LEFT(Checks!$AH$334,10)="N/A – RULE"))),CHAR(10)&amp;"Batch: "&amp;IF(Checks!$W$334="","____________",Checks!$W$334),"")&amp;IF(OR(Checks!$X$334&lt;&gt;"",Checks!$Y$334&lt;&gt;"",AND(Checks!$AR$334=1,NOT(LEFT(Checks!$AH$334,10)="N/A – RULE"))),CHAR(10)&amp;"Exp: "&amp;IF(Checks!$X$334="","______",Checks!$X$334)&amp;"  /  Act: "&amp;IF(Checks!$Y$334="","______",Checks!$Y$334),"")</f>
        <v/>
      </c>
      <c r="F37" s="120" t="str">
        <f aca="false">IF(AND(LEFT(Checks!$AH$334,10)="N/A – RULE",TRIM(Checks!$S$334&amp;Checks!$Z$334)=""),"","Type: "&amp;IF(TRIM(Checks!$S$334)="","______________ (see cover list)",Checks!$S$334)&amp;CHAR(10)&amp;"ID: "&amp;IF(TRIM(Checks!$Z$334)="","______________ (record's own no.)",Checks!$Z$334))&amp;IF(Checks!$AA$334="","",CHAR(10)&amp;"CA: "&amp;Checks!$AA$334)</f>
        <v>Type: ______________ (see cover list)
ID: ______________ (record's own no.)</v>
      </c>
      <c r="G37" s="120" t="str">
        <f aca="false">IF(AND(LEFT(Checks!$AH$334,10)="N/A – RULE",NOT(ISNUMBER(Checks!$AD$334)),Checks!$AE$334="",Checks!$T$334=""),"","Done: "&amp;IF(ISNUMBER(Checks!$AD$334),TEXT(Checks!$AD$334,"DD-MMM-YY HH:MM"),"____________")&amp;" "&amp;Checks!$P$334&amp;CHAR(10)&amp;"Verifier: "&amp;IF(Checks!$AE$334="","____________",Checks!$AE$334)&amp;CHAR(10)&amp;"PIC: "&amp;IF(Checks!$T$334="","____________",Checks!$T$334))</f>
        <v>Done: ____________ KUL
Verifier: ____________
PIC: ____________</v>
      </c>
      <c r="H37" s="121" t="str">
        <f aca="false">IF(Checks!$AH$334="","",Checks!$AH$334)</f>
        <v>OPEN</v>
      </c>
    </row>
    <row r="38" customFormat="false" ht="114" hidden="false" customHeight="true" outlineLevel="0" collapsed="false">
      <c r="A38" s="120" t="str">
        <f aca="false">Checks!$A$335&amp;CHAR(10)&amp;IF(Checks!$I$335="","",Checks!$I$335&amp;": ")&amp;Checks!$J$335</f>
        <v>F10-T12-04
Equipment: Equipment presentation vs GLD</v>
      </c>
      <c r="B38" s="120" t="str">
        <f aca="false">Checks!$K$335&amp;IF(Checks!$O$335="","",IF(Checks!$K$335="","",CHAR(10))&amp;"Note: "&amp;Checks!$O$335)</f>
        <v>Note: Preparation check at caterer - does NOT confirm loading.</v>
      </c>
      <c r="C38" s="120" t="str">
        <f aca="false">Checks!$N$335&amp;CHAR(10)&amp;IF(ISNUMBER(Checks!$R$335),TEXT(Checks!$R$335,"DD-MMM-YY HH:MM"),"")&amp;" "&amp;Checks!$P$335</f>
        <v>Required
11-Oct-26 23:45 KUL</v>
      </c>
      <c r="D38" s="120" t="str">
        <f aca="false">IF(TRIM(Checks!$U$335)&lt;&gt;"",Checks!$U$335&amp;IF(Checks!$AB$335="","",CHAR(10)&amp;"CA: "&amp;Checks!$AB$335),IF(LEFT(Checks!$AH$335,10)="N/A – RULE","","[ ] Pass"&amp;CHAR(10)&amp;"[ ] Pass after CA"&amp;CHAR(10)&amp;"[ ] Fail"&amp;IF(Checks!$AT$335=1,CHAR(10)&amp;"[ ] N/A","")&amp;CHAR(10)&amp;"CA: Open / Closed"))</f>
        <v>[ ] Pass
[ ] Pass after CA
[ ] Fail
CA: Open / Closed</v>
      </c>
      <c r="E38" s="120" t="str">
        <f aca="false">IF(Checks!$V$335="","",Checks!$V$335)&amp;IF(Checks!$AC$335="","",IF(Checks!$V$335="","",CHAR(10))&amp;"N/A just.: "&amp;Checks!$AC$335)&amp;IF(OR(Checks!$W$335&lt;&gt;"",AND(Checks!$AQ$335=1,NOT(LEFT(Checks!$AH$335,10)="N/A – RULE"))),CHAR(10)&amp;"Batch: "&amp;IF(Checks!$W$335="","____________",Checks!$W$335),"")&amp;IF(OR(Checks!$X$335&lt;&gt;"",Checks!$Y$335&lt;&gt;"",AND(Checks!$AR$335=1,NOT(LEFT(Checks!$AH$335,10)="N/A – RULE"))),CHAR(10)&amp;"Exp: "&amp;IF(Checks!$X$335="","______",Checks!$X$335)&amp;"  /  Act: "&amp;IF(Checks!$Y$335="","______",Checks!$Y$335),"")</f>
        <v/>
      </c>
      <c r="F38" s="120" t="str">
        <f aca="false">IF(AND(LEFT(Checks!$AH$335,10)="N/A – RULE",TRIM(Checks!$S$335&amp;Checks!$Z$335)=""),"","Type: "&amp;IF(TRIM(Checks!$S$335)="","______________ (see cover list)",Checks!$S$335)&amp;CHAR(10)&amp;"ID: "&amp;IF(TRIM(Checks!$Z$335)="","______________ (record's own no.)",Checks!$Z$335))&amp;IF(Checks!$AA$335="","",CHAR(10)&amp;"CA: "&amp;Checks!$AA$335)</f>
        <v>Type: ______________ (see cover list)
ID: ______________ (record's own no.)</v>
      </c>
      <c r="G38" s="120" t="str">
        <f aca="false">IF(AND(LEFT(Checks!$AH$335,10)="N/A – RULE",NOT(ISNUMBER(Checks!$AD$335)),Checks!$AE$335="",Checks!$T$335=""),"","Done: "&amp;IF(ISNUMBER(Checks!$AD$335),TEXT(Checks!$AD$335,"DD-MMM-YY HH:MM"),"____________")&amp;" "&amp;Checks!$P$335&amp;CHAR(10)&amp;"Verifier: "&amp;IF(Checks!$AE$335="","____________",Checks!$AE$335)&amp;CHAR(10)&amp;"PIC: "&amp;IF(Checks!$T$335="","____________",Checks!$T$335))</f>
        <v>Done: ____________ KUL
Verifier: ____________
PIC: ____________</v>
      </c>
      <c r="H38" s="121" t="str">
        <f aca="false">IF(Checks!$AH$335="","",Checks!$AH$335)</f>
        <v>OPEN</v>
      </c>
    </row>
    <row r="39" customFormat="false" ht="114" hidden="false" customHeight="true" outlineLevel="0" collapsed="false">
      <c r="A39" s="120" t="str">
        <f aca="false">Checks!$A$336&amp;CHAR(10)&amp;IF(Checks!$I$336="","",Checks!$I$336&amp;": ")&amp;Checks!$J$336</f>
        <v>F10-T12-05
Equipment: Equipment serviceability vs GLD</v>
      </c>
      <c r="B39" s="120" t="str">
        <f aca="false">Checks!$K$336&amp;IF(Checks!$O$336="","",IF(Checks!$K$336="","",CHAR(10))&amp;"Note: "&amp;Checks!$O$336)</f>
        <v>Note: Preparation check at caterer - does NOT confirm loading.</v>
      </c>
      <c r="C39" s="120" t="str">
        <f aca="false">Checks!$N$336&amp;CHAR(10)&amp;IF(ISNUMBER(Checks!$R$336),TEXT(Checks!$R$336,"DD-MMM-YY HH:MM"),"")&amp;" "&amp;Checks!$P$336</f>
        <v>Required
11-Oct-26 23:45 KUL</v>
      </c>
      <c r="D39" s="120" t="str">
        <f aca="false">IF(TRIM(Checks!$U$336)&lt;&gt;"",Checks!$U$336&amp;IF(Checks!$AB$336="","",CHAR(10)&amp;"CA: "&amp;Checks!$AB$336),IF(LEFT(Checks!$AH$336,10)="N/A – RULE","","[ ] Pass"&amp;CHAR(10)&amp;"[ ] Pass after CA"&amp;CHAR(10)&amp;"[ ] Fail"&amp;IF(Checks!$AT$336=1,CHAR(10)&amp;"[ ] N/A","")&amp;CHAR(10)&amp;"CA: Open / Closed"))</f>
        <v>[ ] Pass
[ ] Pass after CA
[ ] Fail
CA: Open / Closed</v>
      </c>
      <c r="E39" s="120" t="str">
        <f aca="false">IF(Checks!$V$336="","",Checks!$V$336)&amp;IF(Checks!$AC$336="","",IF(Checks!$V$336="","",CHAR(10))&amp;"N/A just.: "&amp;Checks!$AC$336)&amp;IF(OR(Checks!$W$336&lt;&gt;"",AND(Checks!$AQ$336=1,NOT(LEFT(Checks!$AH$336,10)="N/A – RULE"))),CHAR(10)&amp;"Batch: "&amp;IF(Checks!$W$336="","____________",Checks!$W$336),"")&amp;IF(OR(Checks!$X$336&lt;&gt;"",Checks!$Y$336&lt;&gt;"",AND(Checks!$AR$336=1,NOT(LEFT(Checks!$AH$336,10)="N/A – RULE"))),CHAR(10)&amp;"Exp: "&amp;IF(Checks!$X$336="","______",Checks!$X$336)&amp;"  /  Act: "&amp;IF(Checks!$Y$336="","______",Checks!$Y$336),"")</f>
        <v/>
      </c>
      <c r="F39" s="120" t="str">
        <f aca="false">IF(AND(LEFT(Checks!$AH$336,10)="N/A – RULE",TRIM(Checks!$S$336&amp;Checks!$Z$336)=""),"","Type: "&amp;IF(TRIM(Checks!$S$336)="","______________ (see cover list)",Checks!$S$336)&amp;CHAR(10)&amp;"ID: "&amp;IF(TRIM(Checks!$Z$336)="","______________ (record's own no.)",Checks!$Z$336))&amp;IF(Checks!$AA$336="","",CHAR(10)&amp;"CA: "&amp;Checks!$AA$336)</f>
        <v>Type: ______________ (see cover list)
ID: ______________ (record's own no.)</v>
      </c>
      <c r="G39" s="120" t="str">
        <f aca="false">IF(AND(LEFT(Checks!$AH$336,10)="N/A – RULE",NOT(ISNUMBER(Checks!$AD$336)),Checks!$AE$336="",Checks!$T$336=""),"","Done: "&amp;IF(ISNUMBER(Checks!$AD$336),TEXT(Checks!$AD$336,"DD-MMM-YY HH:MM"),"____________")&amp;" "&amp;Checks!$P$336&amp;CHAR(10)&amp;"Verifier: "&amp;IF(Checks!$AE$336="","____________",Checks!$AE$336)&amp;CHAR(10)&amp;"PIC: "&amp;IF(Checks!$T$336="","____________",Checks!$T$336))</f>
        <v>Done: ____________ KUL
Verifier: ____________
PIC: ____________</v>
      </c>
      <c r="H39" s="121" t="str">
        <f aca="false">IF(Checks!$AH$336="","",Checks!$AH$336)</f>
        <v>OPEN</v>
      </c>
    </row>
    <row r="40" customFormat="false" ht="180" hidden="false" customHeight="true" outlineLevel="0" collapsed="false">
      <c r="A40" s="120" t="str">
        <f aca="false">Checks!$A$337&amp;CHAR(10)&amp;IF(Checks!$I$337="","",Checks!$I$337&amp;": ")&amp;Checks!$J$337</f>
        <v>F10-T12-06
Equipment: Equipment quantities vs GLD</v>
      </c>
      <c r="B40" s="120" t="str">
        <f aca="false">SUBSTITUTE(SUBSTITUTE(SUBSTITUTE(SUBSTITUTE(SUBSTITUTE(SUBSTITUTE(SUBSTITUTE(Checks!$K$337&amp;IF(Checks!$O$337="","",IF(Checks!$K$337="","",CHAR(10))&amp;"Note: "&amp;Checks!$O$337),"ovens -,","ovens n/a,"),"fridges -,","fridges n/a,"),"makers -,","makers n/a,"),"espresso -,","espresso n/a,"),"trolleys -,","trolleys n/a,"),"headsets - (","headsets n/a (")," (AIRCRAFT TYPE!C16:R16)","")</f>
        <v>Enter expected &amp; actual. Aircraft galley data: B737-8 (B7M8): carts 10.5, SU 25, ovens 6, warming ovens n/a, fridges n/a, water heaters 3, beverage makers n/a, espresso n/a, folding trolleys n/a, headsets n/a
Note: Preparation check at caterer - does NOT confirm loading.</v>
      </c>
      <c r="C40" s="120" t="str">
        <f aca="false">Checks!$N$337&amp;CHAR(10)&amp;IF(ISNUMBER(Checks!$R$337),TEXT(Checks!$R$337,"DD-MMM-YY HH:MM"),"")&amp;" "&amp;Checks!$P$337</f>
        <v>Required
11-Oct-26 23:45 KUL</v>
      </c>
      <c r="D40" s="120" t="str">
        <f aca="false">IF(TRIM(Checks!$U$337)&lt;&gt;"",Checks!$U$337&amp;IF(Checks!$AB$337="","",CHAR(10)&amp;"CA: "&amp;Checks!$AB$337),IF(LEFT(Checks!$AH$337,10)="N/A – RULE","","[ ] Pass"&amp;CHAR(10)&amp;"[ ] Pass after CA"&amp;CHAR(10)&amp;"[ ] Fail"&amp;IF(Checks!$AT$337=1,CHAR(10)&amp;"[ ] N/A","")&amp;CHAR(10)&amp;"CA: Open / Closed"))</f>
        <v>[ ] Pass
[ ] Pass after CA
[ ] Fail
CA: Open / Closed</v>
      </c>
      <c r="E40" s="120" t="str">
        <f aca="false">IF(Checks!$V$337="","",Checks!$V$337)&amp;IF(Checks!$AC$337="","",IF(Checks!$V$337="","",CHAR(10))&amp;"N/A just.: "&amp;Checks!$AC$337)&amp;IF(OR(Checks!$W$337&lt;&gt;"",AND(Checks!$AQ$337=1,NOT(LEFT(Checks!$AH$337,10)="N/A – RULE"))),CHAR(10)&amp;"Batch: "&amp;IF(Checks!$W$337="","____________",Checks!$W$337),"")&amp;IF(OR(Checks!$X$337&lt;&gt;"",Checks!$Y$337&lt;&gt;"",AND(Checks!$AR$337=1,NOT(LEFT(Checks!$AH$337,10)="N/A – RULE"))),CHAR(10)&amp;"Exp: "&amp;IF(Checks!$X$337="","______",Checks!$X$337)&amp;"  /  Act: "&amp;IF(Checks!$Y$337="","______",Checks!$Y$337),"")</f>
        <v>
Exp: ______  /  Act: ______</v>
      </c>
      <c r="F40" s="120" t="str">
        <f aca="false">IF(AND(LEFT(Checks!$AH$337,10)="N/A – RULE",TRIM(Checks!$S$337&amp;Checks!$Z$337)=""),"","Type: "&amp;IF(TRIM(Checks!$S$337)="","______________ (see cover list)",Checks!$S$337)&amp;CHAR(10)&amp;"ID: "&amp;IF(TRIM(Checks!$Z$337)="","______________ (record's own no.)",Checks!$Z$337))&amp;IF(Checks!$AA$337="","",CHAR(10)&amp;"CA: "&amp;Checks!$AA$337)</f>
        <v>Type: ______________ (see cover list)
ID: ______________ (record's own no.)</v>
      </c>
      <c r="G40" s="120" t="str">
        <f aca="false">IF(AND(LEFT(Checks!$AH$337,10)="N/A – RULE",NOT(ISNUMBER(Checks!$AD$337)),Checks!$AE$337="",Checks!$T$337=""),"","Done: "&amp;IF(ISNUMBER(Checks!$AD$337),TEXT(Checks!$AD$337,"DD-MMM-YY HH:MM"),"____________")&amp;" "&amp;Checks!$P$337&amp;CHAR(10)&amp;"Verifier: "&amp;IF(Checks!$AE$337="","____________",Checks!$AE$337)&amp;CHAR(10)&amp;"PIC: "&amp;IF(Checks!$T$337="","____________",Checks!$T$337))</f>
        <v>Done: ____________ KUL
Verifier: ____________
PIC: ____________</v>
      </c>
      <c r="H40" s="121" t="str">
        <f aca="false">IF(Checks!$AH$337="","",Checks!$AH$337)</f>
        <v>OPEN</v>
      </c>
    </row>
    <row r="41" customFormat="false" ht="114" hidden="false" customHeight="true" outlineLevel="0" collapsed="false">
      <c r="A41" s="120" t="str">
        <f aca="false">Checks!$A$338&amp;CHAR(10)&amp;IF(Checks!$I$338="","",Checks!$I$338&amp;": ")&amp;Checks!$J$338</f>
        <v>F10-T12-07
Equipment: Loading positions planned vs GLD</v>
      </c>
      <c r="B41" s="120" t="str">
        <f aca="false">Checks!$K$338&amp;IF(Checks!$O$338="","",IF(Checks!$K$338="","",CHAR(10))&amp;"Note: "&amp;Checks!$O$338)</f>
        <v>Note: Preparation check at caterer - does NOT confirm loading.</v>
      </c>
      <c r="C41" s="120" t="str">
        <f aca="false">Checks!$N$338&amp;CHAR(10)&amp;IF(ISNUMBER(Checks!$R$338),TEXT(Checks!$R$338,"DD-MMM-YY HH:MM"),"")&amp;" "&amp;Checks!$P$338</f>
        <v>Required
11-Oct-26 23:45 KUL</v>
      </c>
      <c r="D41" s="120" t="str">
        <f aca="false">IF(TRIM(Checks!$U$338)&lt;&gt;"",Checks!$U$338&amp;IF(Checks!$AB$338="","",CHAR(10)&amp;"CA: "&amp;Checks!$AB$338),IF(LEFT(Checks!$AH$338,10)="N/A – RULE","","[ ] Pass"&amp;CHAR(10)&amp;"[ ] Pass after CA"&amp;CHAR(10)&amp;"[ ] Fail"&amp;IF(Checks!$AT$338=1,CHAR(10)&amp;"[ ] N/A","")&amp;CHAR(10)&amp;"CA: Open / Closed"))</f>
        <v>[ ] Pass
[ ] Pass after CA
[ ] Fail
CA: Open / Closed</v>
      </c>
      <c r="E41" s="120" t="str">
        <f aca="false">IF(Checks!$V$338="","",Checks!$V$338)&amp;IF(Checks!$AC$338="","",IF(Checks!$V$338="","",CHAR(10))&amp;"N/A just.: "&amp;Checks!$AC$338)&amp;IF(OR(Checks!$W$338&lt;&gt;"",AND(Checks!$AQ$338=1,NOT(LEFT(Checks!$AH$338,10)="N/A – RULE"))),CHAR(10)&amp;"Batch: "&amp;IF(Checks!$W$338="","____________",Checks!$W$338),"")&amp;IF(OR(Checks!$X$338&lt;&gt;"",Checks!$Y$338&lt;&gt;"",AND(Checks!$AR$338=1,NOT(LEFT(Checks!$AH$338,10)="N/A – RULE"))),CHAR(10)&amp;"Exp: "&amp;IF(Checks!$X$338="","______",Checks!$X$338)&amp;"  /  Act: "&amp;IF(Checks!$Y$338="","______",Checks!$Y$338),"")</f>
        <v/>
      </c>
      <c r="F41" s="120" t="str">
        <f aca="false">IF(AND(LEFT(Checks!$AH$338,10)="N/A – RULE",TRIM(Checks!$S$338&amp;Checks!$Z$338)=""),"","Type: "&amp;IF(TRIM(Checks!$S$338)="","______________ (see cover list)",Checks!$S$338)&amp;CHAR(10)&amp;"ID: "&amp;IF(TRIM(Checks!$Z$338)="","______________ (record's own no.)",Checks!$Z$338))&amp;IF(Checks!$AA$338="","",CHAR(10)&amp;"CA: "&amp;Checks!$AA$338)</f>
        <v>Type: ______________ (see cover list)
ID: ______________ (record's own no.)</v>
      </c>
      <c r="G41" s="120" t="str">
        <f aca="false">IF(AND(LEFT(Checks!$AH$338,10)="N/A – RULE",NOT(ISNUMBER(Checks!$AD$338)),Checks!$AE$338="",Checks!$T$338=""),"","Done: "&amp;IF(ISNUMBER(Checks!$AD$338),TEXT(Checks!$AD$338,"DD-MMM-YY HH:MM"),"____________")&amp;" "&amp;Checks!$P$338&amp;CHAR(10)&amp;"Verifier: "&amp;IF(Checks!$AE$338="","____________",Checks!$AE$338)&amp;CHAR(10)&amp;"PIC: "&amp;IF(Checks!$T$338="","____________",Checks!$T$338))</f>
        <v>Done: ____________ KUL
Verifier: ____________
PIC: ____________</v>
      </c>
      <c r="H41" s="121" t="str">
        <f aca="false">IF(Checks!$AH$338="","",Checks!$AH$338)</f>
        <v>OPEN</v>
      </c>
    </row>
    <row r="42" customFormat="false" ht="180" hidden="false" customHeight="true" outlineLevel="0" collapsed="false">
      <c r="A42" s="120" t="str">
        <f aca="false">Checks!$A$339&amp;CHAR(10)&amp;IF(Checks!$I$339="","",Checks!$I$339&amp;": ")&amp;Checks!$J$339</f>
        <v>F10-T12-08
Amenities: Disposable slippers in DAM cart (BC, on request) - prepared</v>
      </c>
      <c r="B42" s="120" t="str">
        <f aca="false">SUBSTITUTE(Checks!$K$339&amp;IF(Checks!$O$339="","",IF(Checks!$K$339="","",CHAR(10))&amp;"Note: "&amp;Checks!$O$339),"note C83: ","reference note: ")</f>
        <v>Available in DAM cart on request basis
Note: Sector has no BC slippers; reference note: disposable slipper available in DAM cart (on request basis). Reference gives no uplift stn for this item: preparation checked at the meal uplift stn (KUL) - confirm with caterer.</v>
      </c>
      <c r="C42" s="120" t="str">
        <f aca="false">Checks!$N$339&amp;CHAR(10)&amp;IF(ISNUMBER(Checks!$R$339),TEXT(Checks!$R$339,"DD-MMM-YY HH:MM"),"")&amp;" "&amp;Checks!$P$339</f>
        <v>Required
11-Oct-26 23:45 KUL</v>
      </c>
      <c r="D42" s="120" t="str">
        <f aca="false">IF(TRIM(Checks!$U$339)&lt;&gt;"",Checks!$U$339&amp;IF(Checks!$AB$339="","",CHAR(10)&amp;"CA: "&amp;Checks!$AB$339),IF(LEFT(Checks!$AH$339,10)="N/A – RULE","","[ ] Pass"&amp;CHAR(10)&amp;"[ ] Pass after CA"&amp;CHAR(10)&amp;"[ ] Fail"&amp;IF(Checks!$AT$339=1,CHAR(10)&amp;"[ ] N/A","")&amp;CHAR(10)&amp;"CA: Open / Closed"))</f>
        <v>[ ] Pass
[ ] Pass after CA
[ ] Fail
CA: Open / Closed</v>
      </c>
      <c r="E42" s="120" t="str">
        <f aca="false">IF(Checks!$V$339="","",Checks!$V$339)&amp;IF(Checks!$AC$339="","",IF(Checks!$V$339="","",CHAR(10))&amp;"N/A just.: "&amp;Checks!$AC$339)&amp;IF(OR(Checks!$W$339&lt;&gt;"",AND(Checks!$AQ$339=1,NOT(LEFT(Checks!$AH$339,10)="N/A – RULE"))),CHAR(10)&amp;"Batch: "&amp;IF(Checks!$W$339="","____________",Checks!$W$339),"")&amp;IF(OR(Checks!$X$339&lt;&gt;"",Checks!$Y$339&lt;&gt;"",AND(Checks!$AR$339=1,NOT(LEFT(Checks!$AH$339,10)="N/A – RULE"))),CHAR(10)&amp;"Exp: "&amp;IF(Checks!$X$339="","______",Checks!$X$339)&amp;"  /  Act: "&amp;IF(Checks!$Y$339="","______",Checks!$Y$339),"")</f>
        <v/>
      </c>
      <c r="F42" s="120" t="str">
        <f aca="false">IF(AND(LEFT(Checks!$AH$339,10)="N/A – RULE",TRIM(Checks!$S$339&amp;Checks!$Z$339)=""),"","Type: "&amp;IF(TRIM(Checks!$S$339)="","______________ (see cover list)",Checks!$S$339)&amp;CHAR(10)&amp;"ID: "&amp;IF(TRIM(Checks!$Z$339)="","______________ (record's own no.)",Checks!$Z$339))&amp;IF(Checks!$AA$339="","",CHAR(10)&amp;"CA: "&amp;Checks!$AA$339)</f>
        <v>Type: ______________ (see cover list)
ID: ______________ (record's own no.)</v>
      </c>
      <c r="G42" s="120" t="str">
        <f aca="false">IF(AND(LEFT(Checks!$AH$339,10)="N/A – RULE",NOT(ISNUMBER(Checks!$AD$339)),Checks!$AE$339="",Checks!$T$339=""),"","Done: "&amp;IF(ISNUMBER(Checks!$AD$339),TEXT(Checks!$AD$339,"DD-MMM-YY HH:MM"),"____________")&amp;" "&amp;Checks!$P$339&amp;CHAR(10)&amp;"Verifier: "&amp;IF(Checks!$AE$339="","____________",Checks!$AE$339)&amp;CHAR(10)&amp;"PIC: "&amp;IF(Checks!$T$339="","____________",Checks!$T$339))</f>
        <v>Done: ____________ KUL
Verifier: ____________
PIC: ____________</v>
      </c>
      <c r="H42" s="121" t="str">
        <f aca="false">IF(Checks!$AH$339="","",Checks!$AH$339)</f>
        <v>OPEN</v>
      </c>
    </row>
    <row r="43" customFormat="false" ht="114" hidden="false" customHeight="true" outlineLevel="0" collapsed="false">
      <c r="A43" s="120" t="str">
        <f aca="false">Checks!$A$340&amp;CHAR(10)&amp;IF(Checks!$I$340="","",Checks!$I$340&amp;": ")&amp;Checks!$J$340</f>
        <v>F10-T12-09
F&amp;B Linen: Towel - prepared</v>
      </c>
      <c r="B43" s="120" t="str">
        <f aca="false">Checks!$K$340&amp;IF(Checks!$O$340="","",IF(Checks!$K$340="","",CHAR(10))&amp;"Note: "&amp;Checks!$O$340)</f>
        <v>Available (ticked in reference)
Note: Reference gives no uplift stn for this item: preparation checked at the meal uplift stn (KUL) - confirm with caterer.</v>
      </c>
      <c r="C43" s="120" t="str">
        <f aca="false">Checks!$N$340&amp;CHAR(10)&amp;IF(ISNUMBER(Checks!$R$340),TEXT(Checks!$R$340,"DD-MMM-YY HH:MM"),"")&amp;" "&amp;Checks!$P$340</f>
        <v>Required
11-Oct-26 23:45 KUL</v>
      </c>
      <c r="D43" s="120" t="str">
        <f aca="false">IF(TRIM(Checks!$U$340)&lt;&gt;"",Checks!$U$340&amp;IF(Checks!$AB$340="","",CHAR(10)&amp;"CA: "&amp;Checks!$AB$340),IF(LEFT(Checks!$AH$340,10)="N/A – RULE","","[ ] Pass"&amp;CHAR(10)&amp;"[ ] Pass after CA"&amp;CHAR(10)&amp;"[ ] Fail"&amp;IF(Checks!$AT$340=1,CHAR(10)&amp;"[ ] N/A","")&amp;CHAR(10)&amp;"CA: Open / Closed"))</f>
        <v>[ ] Pass
[ ] Pass after CA
[ ] Fail
CA: Open / Closed</v>
      </c>
      <c r="E43" s="120" t="str">
        <f aca="false">IF(Checks!$V$340="","",Checks!$V$340)&amp;IF(Checks!$AC$340="","",IF(Checks!$V$340="","",CHAR(10))&amp;"N/A just.: "&amp;Checks!$AC$340)&amp;IF(OR(Checks!$W$340&lt;&gt;"",AND(Checks!$AQ$340=1,NOT(LEFT(Checks!$AH$340,10)="N/A – RULE"))),CHAR(10)&amp;"Batch: "&amp;IF(Checks!$W$340="","____________",Checks!$W$340),"")&amp;IF(OR(Checks!$X$340&lt;&gt;"",Checks!$Y$340&lt;&gt;"",AND(Checks!$AR$340=1,NOT(LEFT(Checks!$AH$340,10)="N/A – RULE"))),CHAR(10)&amp;"Exp: "&amp;IF(Checks!$X$340="","______",Checks!$X$340)&amp;"  /  Act: "&amp;IF(Checks!$Y$340="","______",Checks!$Y$340),"")</f>
        <v/>
      </c>
      <c r="F43" s="120" t="str">
        <f aca="false">IF(AND(LEFT(Checks!$AH$340,10)="N/A – RULE",TRIM(Checks!$S$340&amp;Checks!$Z$340)=""),"","Type: "&amp;IF(TRIM(Checks!$S$340)="","______________ (see cover list)",Checks!$S$340)&amp;CHAR(10)&amp;"ID: "&amp;IF(TRIM(Checks!$Z$340)="","______________ (record's own no.)",Checks!$Z$340))&amp;IF(Checks!$AA$340="","",CHAR(10)&amp;"CA: "&amp;Checks!$AA$340)</f>
        <v>Type: ______________ (see cover list)
ID: ______________ (record's own no.)</v>
      </c>
      <c r="G43" s="120" t="str">
        <f aca="false">IF(AND(LEFT(Checks!$AH$340,10)="N/A – RULE",NOT(ISNUMBER(Checks!$AD$340)),Checks!$AE$340="",Checks!$T$340=""),"","Done: "&amp;IF(ISNUMBER(Checks!$AD$340),TEXT(Checks!$AD$340,"DD-MMM-YY HH:MM"),"____________")&amp;" "&amp;Checks!$P$340&amp;CHAR(10)&amp;"Verifier: "&amp;IF(Checks!$AE$340="","____________",Checks!$AE$340)&amp;CHAR(10)&amp;"PIC: "&amp;IF(Checks!$T$340="","____________",Checks!$T$340))</f>
        <v>Done: ____________ KUL
Verifier: ____________
PIC: ____________</v>
      </c>
      <c r="H43" s="121" t="str">
        <f aca="false">IF(Checks!$AH$340="","",Checks!$AH$340)</f>
        <v>OPEN</v>
      </c>
    </row>
    <row r="44" customFormat="false" ht="114" hidden="false" customHeight="true" outlineLevel="0" collapsed="false">
      <c r="A44" s="120" t="str">
        <f aca="false">Checks!$A$341&amp;CHAR(10)&amp;IF(Checks!$I$341="","",Checks!$I$341&amp;": ")&amp;Checks!$J$341</f>
        <v>F10-T12-10
F&amp;B Linen: Tray cloth - prepared</v>
      </c>
      <c r="B44" s="120" t="str">
        <f aca="false">Checks!$K$341&amp;IF(Checks!$O$341="","",IF(Checks!$K$341="","",CHAR(10))&amp;"Note: "&amp;Checks!$O$341)</f>
        <v>Available (ticked in reference)
Note: Reference gives no uplift stn for this item: preparation checked at the meal uplift stn (KUL) - confirm with caterer.</v>
      </c>
      <c r="C44" s="120" t="str">
        <f aca="false">Checks!$N$341&amp;CHAR(10)&amp;IF(ISNUMBER(Checks!$R$341),TEXT(Checks!$R$341,"DD-MMM-YY HH:MM"),"")&amp;" "&amp;Checks!$P$341</f>
        <v>Required
11-Oct-26 23:45 KUL</v>
      </c>
      <c r="D44" s="120" t="str">
        <f aca="false">IF(TRIM(Checks!$U$341)&lt;&gt;"",Checks!$U$341&amp;IF(Checks!$AB$341="","",CHAR(10)&amp;"CA: "&amp;Checks!$AB$341),IF(LEFT(Checks!$AH$341,10)="N/A – RULE","","[ ] Pass"&amp;CHAR(10)&amp;"[ ] Pass after CA"&amp;CHAR(10)&amp;"[ ] Fail"&amp;IF(Checks!$AT$341=1,CHAR(10)&amp;"[ ] N/A","")&amp;CHAR(10)&amp;"CA: Open / Closed"))</f>
        <v>[ ] Pass
[ ] Pass after CA
[ ] Fail
CA: Open / Closed</v>
      </c>
      <c r="E44" s="120" t="str">
        <f aca="false">IF(Checks!$V$341="","",Checks!$V$341)&amp;IF(Checks!$AC$341="","",IF(Checks!$V$341="","",CHAR(10))&amp;"N/A just.: "&amp;Checks!$AC$341)&amp;IF(OR(Checks!$W$341&lt;&gt;"",AND(Checks!$AQ$341=1,NOT(LEFT(Checks!$AH$341,10)="N/A – RULE"))),CHAR(10)&amp;"Batch: "&amp;IF(Checks!$W$341="","____________",Checks!$W$341),"")&amp;IF(OR(Checks!$X$341&lt;&gt;"",Checks!$Y$341&lt;&gt;"",AND(Checks!$AR$341=1,NOT(LEFT(Checks!$AH$341,10)="N/A – RULE"))),CHAR(10)&amp;"Exp: "&amp;IF(Checks!$X$341="","______",Checks!$X$341)&amp;"  /  Act: "&amp;IF(Checks!$Y$341="","______",Checks!$Y$341),"")</f>
        <v/>
      </c>
      <c r="F44" s="120" t="str">
        <f aca="false">IF(AND(LEFT(Checks!$AH$341,10)="N/A – RULE",TRIM(Checks!$S$341&amp;Checks!$Z$341)=""),"","Type: "&amp;IF(TRIM(Checks!$S$341)="","______________ (see cover list)",Checks!$S$341)&amp;CHAR(10)&amp;"ID: "&amp;IF(TRIM(Checks!$Z$341)="","______________ (record's own no.)",Checks!$Z$341))&amp;IF(Checks!$AA$341="","",CHAR(10)&amp;"CA: "&amp;Checks!$AA$341)</f>
        <v>Type: ______________ (see cover list)
ID: ______________ (record's own no.)</v>
      </c>
      <c r="G44" s="120" t="str">
        <f aca="false">IF(AND(LEFT(Checks!$AH$341,10)="N/A – RULE",NOT(ISNUMBER(Checks!$AD$341)),Checks!$AE$341="",Checks!$T$341=""),"","Done: "&amp;IF(ISNUMBER(Checks!$AD$341),TEXT(Checks!$AD$341,"DD-MMM-YY HH:MM"),"____________")&amp;" "&amp;Checks!$P$341&amp;CHAR(10)&amp;"Verifier: "&amp;IF(Checks!$AE$341="","____________",Checks!$AE$341)&amp;CHAR(10)&amp;"PIC: "&amp;IF(Checks!$T$341="","____________",Checks!$T$341))</f>
        <v>Done: ____________ KUL
Verifier: ____________
PIC: ____________</v>
      </c>
      <c r="H44" s="121" t="str">
        <f aca="false">IF(Checks!$AH$341="","",Checks!$AH$341)</f>
        <v>OPEN</v>
      </c>
    </row>
    <row r="45" customFormat="false" ht="114" hidden="false" customHeight="true" outlineLevel="0" collapsed="false">
      <c r="A45" s="120" t="str">
        <f aca="false">Checks!$A$342&amp;CHAR(10)&amp;IF(Checks!$I$342="","",Checks!$I$342&amp;": ")&amp;Checks!$J$342</f>
        <v>F10-T12-11
F&amp;B Linen: Napkin - prepared</v>
      </c>
      <c r="B45" s="120" t="str">
        <f aca="false">Checks!$K$342&amp;IF(Checks!$O$342="","",IF(Checks!$K$342="","",CHAR(10))&amp;"Note: "&amp;Checks!$O$342)</f>
        <v>Available (ticked in reference)
Note: Reference gives no uplift stn for this item: preparation checked at the meal uplift stn (KUL) - confirm with caterer.</v>
      </c>
      <c r="C45" s="120" t="str">
        <f aca="false">Checks!$N$342&amp;CHAR(10)&amp;IF(ISNUMBER(Checks!$R$342),TEXT(Checks!$R$342,"DD-MMM-YY HH:MM"),"")&amp;" "&amp;Checks!$P$342</f>
        <v>Required
11-Oct-26 23:45 KUL</v>
      </c>
      <c r="D45" s="120" t="str">
        <f aca="false">IF(TRIM(Checks!$U$342)&lt;&gt;"",Checks!$U$342&amp;IF(Checks!$AB$342="","",CHAR(10)&amp;"CA: "&amp;Checks!$AB$342),IF(LEFT(Checks!$AH$342,10)="N/A – RULE","","[ ] Pass"&amp;CHAR(10)&amp;"[ ] Pass after CA"&amp;CHAR(10)&amp;"[ ] Fail"&amp;IF(Checks!$AT$342=1,CHAR(10)&amp;"[ ] N/A","")&amp;CHAR(10)&amp;"CA: Open / Closed"))</f>
        <v>[ ] Pass
[ ] Pass after CA
[ ] Fail
CA: Open / Closed</v>
      </c>
      <c r="E45" s="120" t="str">
        <f aca="false">IF(Checks!$V$342="","",Checks!$V$342)&amp;IF(Checks!$AC$342="","",IF(Checks!$V$342="","",CHAR(10))&amp;"N/A just.: "&amp;Checks!$AC$342)&amp;IF(OR(Checks!$W$342&lt;&gt;"",AND(Checks!$AQ$342=1,NOT(LEFT(Checks!$AH$342,10)="N/A – RULE"))),CHAR(10)&amp;"Batch: "&amp;IF(Checks!$W$342="","____________",Checks!$W$342),"")&amp;IF(OR(Checks!$X$342&lt;&gt;"",Checks!$Y$342&lt;&gt;"",AND(Checks!$AR$342=1,NOT(LEFT(Checks!$AH$342,10)="N/A – RULE"))),CHAR(10)&amp;"Exp: "&amp;IF(Checks!$X$342="","______",Checks!$X$342)&amp;"  /  Act: "&amp;IF(Checks!$Y$342="","______",Checks!$Y$342),"")</f>
        <v/>
      </c>
      <c r="F45" s="120" t="str">
        <f aca="false">IF(AND(LEFT(Checks!$AH$342,10)="N/A – RULE",TRIM(Checks!$S$342&amp;Checks!$Z$342)=""),"","Type: "&amp;IF(TRIM(Checks!$S$342)="","______________ (see cover list)",Checks!$S$342)&amp;CHAR(10)&amp;"ID: "&amp;IF(TRIM(Checks!$Z$342)="","______________ (record's own no.)",Checks!$Z$342))&amp;IF(Checks!$AA$342="","",CHAR(10)&amp;"CA: "&amp;Checks!$AA$342)</f>
        <v>Type: ______________ (see cover list)
ID: ______________ (record's own no.)</v>
      </c>
      <c r="G45" s="120" t="str">
        <f aca="false">IF(AND(LEFT(Checks!$AH$342,10)="N/A – RULE",NOT(ISNUMBER(Checks!$AD$342)),Checks!$AE$342="",Checks!$T$342=""),"","Done: "&amp;IF(ISNUMBER(Checks!$AD$342),TEXT(Checks!$AD$342,"DD-MMM-YY HH:MM"),"____________")&amp;" "&amp;Checks!$P$342&amp;CHAR(10)&amp;"Verifier: "&amp;IF(Checks!$AE$342="","____________",Checks!$AE$342)&amp;CHAR(10)&amp;"PIC: "&amp;IF(Checks!$T$342="","____________",Checks!$T$342))</f>
        <v>Done: ____________ KUL
Verifier: ____________
PIC: ____________</v>
      </c>
      <c r="H45" s="121" t="str">
        <f aca="false">IF(Checks!$AH$342="","",Checks!$AH$342)</f>
        <v>OPEN</v>
      </c>
    </row>
    <row r="46" customFormat="false" ht="124.5" hidden="false" customHeight="true" outlineLevel="0" collapsed="false">
      <c r="A46" s="120" t="str">
        <f aca="false">Checks!$A$343&amp;CHAR(10)&amp;IF(Checks!$I$343="","",Checks!$I$343&amp;": ")&amp;Checks!$J$343</f>
        <v>F10-T12-12
F&amp;B Linen: Trolley cloth - prepared</v>
      </c>
      <c r="B46" s="120" t="str">
        <f aca="false">SUBSTITUTE(SUBSTITUTE(Checks!$K$343&amp;IF(Checks!$O$343="","",IF(Checks!$K$343="","",CHAR(10))&amp;"Note: "&amp;Checks!$O$343),"Per note F&amp;B LINEN!B79:C80.","Per the F&amp;B LINEN reference note."),"note F&amp;B LINEN!B79:C80","the F&amp;B LINEN reference note")</f>
        <v>Narrow body: Top only
Note: Per the F&amp;B LINEN reference note. Reference gives no uplift stn for this item: preparation checked at the meal uplift stn (KUL) - confirm with caterer.</v>
      </c>
      <c r="C46" s="120" t="str">
        <f aca="false">Checks!$N$343&amp;CHAR(10)&amp;IF(ISNUMBER(Checks!$R$343),TEXT(Checks!$R$343,"DD-MMM-YY HH:MM"),"")&amp;" "&amp;Checks!$P$343</f>
        <v>Required
11-Oct-26 23:45 KUL</v>
      </c>
      <c r="D46" s="120" t="str">
        <f aca="false">IF(TRIM(Checks!$U$343)&lt;&gt;"",Checks!$U$343&amp;IF(Checks!$AB$343="","",CHAR(10)&amp;"CA: "&amp;Checks!$AB$343),IF(LEFT(Checks!$AH$343,10)="N/A – RULE","","[ ] Pass"&amp;CHAR(10)&amp;"[ ] Pass after CA"&amp;CHAR(10)&amp;"[ ] Fail"&amp;IF(Checks!$AT$343=1,CHAR(10)&amp;"[ ] N/A","")&amp;CHAR(10)&amp;"CA: Open / Closed"))</f>
        <v>[ ] Pass
[ ] Pass after CA
[ ] Fail
CA: Open / Closed</v>
      </c>
      <c r="E46" s="120" t="str">
        <f aca="false">IF(Checks!$V$343="","",Checks!$V$343)&amp;IF(Checks!$AC$343="","",IF(Checks!$V$343="","",CHAR(10))&amp;"N/A just.: "&amp;Checks!$AC$343)&amp;IF(OR(Checks!$W$343&lt;&gt;"",AND(Checks!$AQ$343=1,NOT(LEFT(Checks!$AH$343,10)="N/A – RULE"))),CHAR(10)&amp;"Batch: "&amp;IF(Checks!$W$343="","____________",Checks!$W$343),"")&amp;IF(OR(Checks!$X$343&lt;&gt;"",Checks!$Y$343&lt;&gt;"",AND(Checks!$AR$343=1,NOT(LEFT(Checks!$AH$343,10)="N/A – RULE"))),CHAR(10)&amp;"Exp: "&amp;IF(Checks!$X$343="","______",Checks!$X$343)&amp;"  /  Act: "&amp;IF(Checks!$Y$343="","______",Checks!$Y$343),"")</f>
        <v/>
      </c>
      <c r="F46" s="120" t="str">
        <f aca="false">IF(AND(LEFT(Checks!$AH$343,10)="N/A – RULE",TRIM(Checks!$S$343&amp;Checks!$Z$343)=""),"","Type: "&amp;IF(TRIM(Checks!$S$343)="","______________ (see cover list)",Checks!$S$343)&amp;CHAR(10)&amp;"ID: "&amp;IF(TRIM(Checks!$Z$343)="","______________ (record's own no.)",Checks!$Z$343))&amp;IF(Checks!$AA$343="","",CHAR(10)&amp;"CA: "&amp;Checks!$AA$343)</f>
        <v>Type: ______________ (see cover list)
ID: ______________ (record's own no.)</v>
      </c>
      <c r="G46" s="120" t="str">
        <f aca="false">IF(AND(LEFT(Checks!$AH$343,10)="N/A – RULE",NOT(ISNUMBER(Checks!$AD$343)),Checks!$AE$343="",Checks!$T$343=""),"","Done: "&amp;IF(ISNUMBER(Checks!$AD$343),TEXT(Checks!$AD$343,"DD-MMM-YY HH:MM"),"____________")&amp;" "&amp;Checks!$P$343&amp;CHAR(10)&amp;"Verifier: "&amp;IF(Checks!$AE$343="","____________",Checks!$AE$343)&amp;CHAR(10)&amp;"PIC: "&amp;IF(Checks!$T$343="","____________",Checks!$T$343))</f>
        <v>Done: ____________ KUL
Verifier: ____________
PIC: ____________</v>
      </c>
      <c r="H46" s="121" t="str">
        <f aca="false">IF(Checks!$AH$343="","",Checks!$AH$343)</f>
        <v>OPEN</v>
      </c>
    </row>
    <row r="47" customFormat="false" ht="114" hidden="false" customHeight="true" outlineLevel="0" collapsed="false">
      <c r="A47" s="120" t="str">
        <f aca="false">Checks!$A$344&amp;CHAR(10)&amp;IF(Checks!$I$344="","",Checks!$I$344&amp;": ")&amp;Checks!$J$344</f>
        <v>F10-T12-13
F&amp;B Linen: Linen bag - prepared</v>
      </c>
      <c r="B47" s="120" t="str">
        <f aca="false">Checks!$K$344&amp;IF(Checks!$O$344="","",IF(Checks!$K$344="","",CHAR(10))&amp;"Note: "&amp;Checks!$O$344)</f>
        <v>Available (ticked in reference)
Note: Reference gives no uplift stn for this item: preparation checked at the meal uplift stn (KUL) - confirm with caterer.</v>
      </c>
      <c r="C47" s="120" t="str">
        <f aca="false">Checks!$N$344&amp;CHAR(10)&amp;IF(ISNUMBER(Checks!$R$344),TEXT(Checks!$R$344,"DD-MMM-YY HH:MM"),"")&amp;" "&amp;Checks!$P$344</f>
        <v>Required
11-Oct-26 23:45 KUL</v>
      </c>
      <c r="D47" s="120" t="str">
        <f aca="false">IF(TRIM(Checks!$U$344)&lt;&gt;"",Checks!$U$344&amp;IF(Checks!$AB$344="","",CHAR(10)&amp;"CA: "&amp;Checks!$AB$344),IF(LEFT(Checks!$AH$344,10)="N/A – RULE","","[ ] Pass"&amp;CHAR(10)&amp;"[ ] Pass after CA"&amp;CHAR(10)&amp;"[ ] Fail"&amp;IF(Checks!$AT$344=1,CHAR(10)&amp;"[ ] N/A","")&amp;CHAR(10)&amp;"CA: Open / Closed"))</f>
        <v>[ ] Pass
[ ] Pass after CA
[ ] Fail
CA: Open / Closed</v>
      </c>
      <c r="E47" s="120" t="str">
        <f aca="false">IF(Checks!$V$344="","",Checks!$V$344)&amp;IF(Checks!$AC$344="","",IF(Checks!$V$344="","",CHAR(10))&amp;"N/A just.: "&amp;Checks!$AC$344)&amp;IF(OR(Checks!$W$344&lt;&gt;"",AND(Checks!$AQ$344=1,NOT(LEFT(Checks!$AH$344,10)="N/A – RULE"))),CHAR(10)&amp;"Batch: "&amp;IF(Checks!$W$344="","____________",Checks!$W$344),"")&amp;IF(OR(Checks!$X$344&lt;&gt;"",Checks!$Y$344&lt;&gt;"",AND(Checks!$AR$344=1,NOT(LEFT(Checks!$AH$344,10)="N/A – RULE"))),CHAR(10)&amp;"Exp: "&amp;IF(Checks!$X$344="","______",Checks!$X$344)&amp;"  /  Act: "&amp;IF(Checks!$Y$344="","______",Checks!$Y$344),"")</f>
        <v/>
      </c>
      <c r="F47" s="120" t="str">
        <f aca="false">IF(AND(LEFT(Checks!$AH$344,10)="N/A – RULE",TRIM(Checks!$S$344&amp;Checks!$Z$344)=""),"","Type: "&amp;IF(TRIM(Checks!$S$344)="","______________ (see cover list)",Checks!$S$344)&amp;CHAR(10)&amp;"ID: "&amp;IF(TRIM(Checks!$Z$344)="","______________ (record's own no.)",Checks!$Z$344))&amp;IF(Checks!$AA$344="","",CHAR(10)&amp;"CA: "&amp;Checks!$AA$344)</f>
        <v>Type: ______________ (see cover list)
ID: ______________ (record's own no.)</v>
      </c>
      <c r="G47" s="120" t="str">
        <f aca="false">IF(AND(LEFT(Checks!$AH$344,10)="N/A – RULE",NOT(ISNUMBER(Checks!$AD$344)),Checks!$AE$344="",Checks!$T$344=""),"","Done: "&amp;IF(ISNUMBER(Checks!$AD$344),TEXT(Checks!$AD$344,"DD-MMM-YY HH:MM"),"____________")&amp;" "&amp;Checks!$P$344&amp;CHAR(10)&amp;"Verifier: "&amp;IF(Checks!$AE$344="","____________",Checks!$AE$344)&amp;CHAR(10)&amp;"PIC: "&amp;IF(Checks!$T$344="","____________",Checks!$T$344))</f>
        <v>Done: ____________ KUL
Verifier: ____________
PIC: ____________</v>
      </c>
      <c r="H47" s="121" t="str">
        <f aca="false">IF(Checks!$AH$344="","",Checks!$AH$344)</f>
        <v>OPEN</v>
      </c>
    </row>
    <row r="48" customFormat="false" ht="114" hidden="false" customHeight="true" outlineLevel="0" collapsed="false">
      <c r="A48" s="120" t="str">
        <f aca="false">Checks!$A$345&amp;CHAR(10)&amp;IF(Checks!$I$345="","",Checks!$I$345&amp;": ")&amp;Checks!$J$345</f>
        <v>F10-T12-14
Seat Linen: Seat pillow (BS &amp; BC) - prepared</v>
      </c>
      <c r="B48" s="120" t="str">
        <f aca="false">Checks!$K$345&amp;IF(Checks!$O$345="","",IF(Checks!$K$345="","",CHAR(10))&amp;"Note: "&amp;Checks!$O$345)</f>
        <v>Available 100% (ticked in reference)
Note: Reference gives no uplift stn for this item: preparation checked at the meal uplift stn (KUL) - confirm with caterer.</v>
      </c>
      <c r="C48" s="120" t="str">
        <f aca="false">Checks!$N$345&amp;CHAR(10)&amp;IF(ISNUMBER(Checks!$R$345),TEXT(Checks!$R$345,"DD-MMM-YY HH:MM"),"")&amp;" "&amp;Checks!$P$345</f>
        <v>Required
11-Oct-26 23:45 KUL</v>
      </c>
      <c r="D48" s="120" t="str">
        <f aca="false">IF(TRIM(Checks!$U$345)&lt;&gt;"",Checks!$U$345&amp;IF(Checks!$AB$345="","",CHAR(10)&amp;"CA: "&amp;Checks!$AB$345),IF(LEFT(Checks!$AH$345,10)="N/A – RULE","","[ ] Pass"&amp;CHAR(10)&amp;"[ ] Pass after CA"&amp;CHAR(10)&amp;"[ ] Fail"&amp;IF(Checks!$AT$345=1,CHAR(10)&amp;"[ ] N/A","")&amp;CHAR(10)&amp;"CA: Open / Closed"))</f>
        <v>[ ] Pass
[ ] Pass after CA
[ ] Fail
CA: Open / Closed</v>
      </c>
      <c r="E48" s="120" t="str">
        <f aca="false">IF(Checks!$V$345="","",Checks!$V$345)&amp;IF(Checks!$AC$345="","",IF(Checks!$V$345="","",CHAR(10))&amp;"N/A just.: "&amp;Checks!$AC$345)&amp;IF(OR(Checks!$W$345&lt;&gt;"",AND(Checks!$AQ$345=1,NOT(LEFT(Checks!$AH$345,10)="N/A – RULE"))),CHAR(10)&amp;"Batch: "&amp;IF(Checks!$W$345="","____________",Checks!$W$345),"")&amp;IF(OR(Checks!$X$345&lt;&gt;"",Checks!$Y$345&lt;&gt;"",AND(Checks!$AR$345=1,NOT(LEFT(Checks!$AH$345,10)="N/A – RULE"))),CHAR(10)&amp;"Exp: "&amp;IF(Checks!$X$345="","______",Checks!$X$345)&amp;"  /  Act: "&amp;IF(Checks!$Y$345="","______",Checks!$Y$345),"")</f>
        <v/>
      </c>
      <c r="F48" s="120" t="str">
        <f aca="false">IF(AND(LEFT(Checks!$AH$345,10)="N/A – RULE",TRIM(Checks!$S$345&amp;Checks!$Z$345)=""),"","Type: "&amp;IF(TRIM(Checks!$S$345)="","______________ (see cover list)",Checks!$S$345)&amp;CHAR(10)&amp;"ID: "&amp;IF(TRIM(Checks!$Z$345)="","______________ (record's own no.)",Checks!$Z$345))&amp;IF(Checks!$AA$345="","",CHAR(10)&amp;"CA: "&amp;Checks!$AA$345)</f>
        <v>Type: ______________ (see cover list)
ID: ______________ (record's own no.)</v>
      </c>
      <c r="G48" s="120" t="str">
        <f aca="false">IF(AND(LEFT(Checks!$AH$345,10)="N/A – RULE",NOT(ISNUMBER(Checks!$AD$345)),Checks!$AE$345="",Checks!$T$345=""),"","Done: "&amp;IF(ISNUMBER(Checks!$AD$345),TEXT(Checks!$AD$345,"DD-MMM-YY HH:MM"),"____________")&amp;" "&amp;Checks!$P$345&amp;CHAR(10)&amp;"Verifier: "&amp;IF(Checks!$AE$345="","____________",Checks!$AE$345)&amp;CHAR(10)&amp;"PIC: "&amp;IF(Checks!$T$345="","____________",Checks!$T$345))</f>
        <v>Done: ____________ KUL
Verifier: ____________
PIC: ____________</v>
      </c>
      <c r="H48" s="121" t="str">
        <f aca="false">IF(Checks!$AH$345="","",Checks!$AH$345)</f>
        <v>OPEN</v>
      </c>
    </row>
    <row r="49" customFormat="false" ht="114" hidden="false" customHeight="true" outlineLevel="0" collapsed="false">
      <c r="A49" s="120" t="str">
        <f aca="false">Checks!$A$346&amp;CHAR(10)&amp;IF(Checks!$I$346="","",Checks!$I$346&amp;": ")&amp;Checks!$J$346</f>
        <v>F10-T12-15
Seat Linen: Blanket (BS &amp; BC) - prepared</v>
      </c>
      <c r="B49" s="120" t="str">
        <f aca="false">Checks!$K$346&amp;IF(Checks!$O$346="","",IF(Checks!$K$346="","",CHAR(10))&amp;"Note: "&amp;Checks!$O$346)</f>
        <v>Available 100% (ticked in reference)
Note: Reference gives no uplift stn for this item: preparation checked at the meal uplift stn (KUL) - confirm with caterer.</v>
      </c>
      <c r="C49" s="120" t="str">
        <f aca="false">Checks!$N$346&amp;CHAR(10)&amp;IF(ISNUMBER(Checks!$R$346),TEXT(Checks!$R$346,"DD-MMM-YY HH:MM"),"")&amp;" "&amp;Checks!$P$346</f>
        <v>Required
11-Oct-26 23:45 KUL</v>
      </c>
      <c r="D49" s="120" t="str">
        <f aca="false">IF(TRIM(Checks!$U$346)&lt;&gt;"",Checks!$U$346&amp;IF(Checks!$AB$346="","",CHAR(10)&amp;"CA: "&amp;Checks!$AB$346),IF(LEFT(Checks!$AH$346,10)="N/A – RULE","","[ ] Pass"&amp;CHAR(10)&amp;"[ ] Pass after CA"&amp;CHAR(10)&amp;"[ ] Fail"&amp;IF(Checks!$AT$346=1,CHAR(10)&amp;"[ ] N/A","")&amp;CHAR(10)&amp;"CA: Open / Closed"))</f>
        <v>[ ] Pass
[ ] Pass after CA
[ ] Fail
CA: Open / Closed</v>
      </c>
      <c r="E49" s="120" t="str">
        <f aca="false">IF(Checks!$V$346="","",Checks!$V$346)&amp;IF(Checks!$AC$346="","",IF(Checks!$V$346="","",CHAR(10))&amp;"N/A just.: "&amp;Checks!$AC$346)&amp;IF(OR(Checks!$W$346&lt;&gt;"",AND(Checks!$AQ$346=1,NOT(LEFT(Checks!$AH$346,10)="N/A – RULE"))),CHAR(10)&amp;"Batch: "&amp;IF(Checks!$W$346="","____________",Checks!$W$346),"")&amp;IF(OR(Checks!$X$346&lt;&gt;"",Checks!$Y$346&lt;&gt;"",AND(Checks!$AR$346=1,NOT(LEFT(Checks!$AH$346,10)="N/A – RULE"))),CHAR(10)&amp;"Exp: "&amp;IF(Checks!$X$346="","______",Checks!$X$346)&amp;"  /  Act: "&amp;IF(Checks!$Y$346="","______",Checks!$Y$346),"")</f>
        <v/>
      </c>
      <c r="F49" s="120" t="str">
        <f aca="false">IF(AND(LEFT(Checks!$AH$346,10)="N/A – RULE",TRIM(Checks!$S$346&amp;Checks!$Z$346)=""),"","Type: "&amp;IF(TRIM(Checks!$S$346)="","______________ (see cover list)",Checks!$S$346)&amp;CHAR(10)&amp;"ID: "&amp;IF(TRIM(Checks!$Z$346)="","______________ (record's own no.)",Checks!$Z$346))&amp;IF(Checks!$AA$346="","",CHAR(10)&amp;"CA: "&amp;Checks!$AA$346)</f>
        <v>Type: ______________ (see cover list)
ID: ______________ (record's own no.)</v>
      </c>
      <c r="G49" s="120" t="str">
        <f aca="false">IF(AND(LEFT(Checks!$AH$346,10)="N/A – RULE",NOT(ISNUMBER(Checks!$AD$346)),Checks!$AE$346="",Checks!$T$346=""),"","Done: "&amp;IF(ISNUMBER(Checks!$AD$346),TEXT(Checks!$AD$346,"DD-MMM-YY HH:MM"),"____________")&amp;" "&amp;Checks!$P$346&amp;CHAR(10)&amp;"Verifier: "&amp;IF(Checks!$AE$346="","____________",Checks!$AE$346)&amp;CHAR(10)&amp;"PIC: "&amp;IF(Checks!$T$346="","____________",Checks!$T$346))</f>
        <v>Done: ____________ KUL
Verifier: ____________
PIC: ____________</v>
      </c>
      <c r="H49" s="121" t="str">
        <f aca="false">IF(Checks!$AH$346="","",Checks!$AH$346)</f>
        <v>OPEN</v>
      </c>
    </row>
    <row r="50" customFormat="false" ht="25.5" hidden="false" customHeight="true" outlineLevel="0" collapsed="false">
      <c r="A50" s="119" t="str">
        <f aca="false">"UPLIFT — Physical uplift – on-board confirmation before departure  |  Due "&amp;"STD "&amp;IF(ISNUMBER(Flights!$I$14),TEXT(Flights!$I$14,"DD-MMM-YY HH:MM"),"")&amp;" "&amp;Flights!$G$14&amp;" (departure stn)"&amp;" (rows with another due show their own)  |  Complete "&amp;IF(ISNUMBER(Flights!$AM$14),TEXT(Flights!$AM$14,"0%"),Flights!$AM$14)&amp;"  |  10 lines"</f>
        <v>UPLIFT — Physical uplift – on-board confirmation before departure  |  Due STD 12-Oct-26 11:45 KUL (departure stn) (rows with another due show their own)  |  Complete 0%  |  10 lines</v>
      </c>
      <c r="B50" s="119"/>
      <c r="C50" s="119"/>
      <c r="D50" s="119"/>
      <c r="E50" s="119"/>
      <c r="F50" s="119"/>
      <c r="G50" s="119"/>
      <c r="H50" s="119"/>
    </row>
    <row r="51" customFormat="false" ht="114" hidden="false" customHeight="true" outlineLevel="0" collapsed="false">
      <c r="A51" s="120" t="str">
        <f aca="false">Checks!$A$347&amp;CHAR(10)&amp;IF(Checks!$I$347="","",Checks!$I$347&amp;": ")&amp;Checks!$J$347</f>
        <v>F10-UPL-01
Meal: Meals physically uplifted on board - quantity vs menu checklist</v>
      </c>
      <c r="B51" s="120" t="str">
        <f aca="false">Checks!$K$347&amp;IF(Checks!$O$347="","",IF(Checks!$K$347="","",CHAR(10))&amp;"Note: "&amp;Checks!$O$347)</f>
        <v>Enter expected &amp; actual
Note: Confirm on board before departure; completion time must fall inside the uplift window.</v>
      </c>
      <c r="C51" s="120" t="str">
        <f aca="false">Checks!$N$347&amp;CHAR(10)&amp;IF(ISNUMBER(Checks!$R$347),TEXT(Checks!$R$347,"DD-MMM-YY HH:MM"),"")&amp;" "&amp;Checks!$P$347</f>
        <v>Required
12-Oct-26 11:45 KUL</v>
      </c>
      <c r="D51" s="120" t="str">
        <f aca="false">IF(TRIM(Checks!$U$347)&lt;&gt;"",Checks!$U$347&amp;IF(Checks!$AB$347="","",CHAR(10)&amp;"CA: "&amp;Checks!$AB$347),IF(LEFT(Checks!$AH$347,10)="N/A – RULE","","[ ] Pass"&amp;CHAR(10)&amp;"[ ] Pass after CA"&amp;CHAR(10)&amp;"[ ] Fail"&amp;IF(Checks!$AT$347=1,CHAR(10)&amp;"[ ] N/A","")&amp;CHAR(10)&amp;"CA: Open / Closed"))</f>
        <v>[ ] Pass
[ ] Pass after CA
[ ] Fail
CA: Open / Closed</v>
      </c>
      <c r="E51" s="120" t="str">
        <f aca="false">IF(Checks!$V$347="","",Checks!$V$347)&amp;IF(Checks!$AC$347="","",IF(Checks!$V$347="","",CHAR(10))&amp;"N/A just.: "&amp;Checks!$AC$347)&amp;IF(OR(Checks!$W$347&lt;&gt;"",AND(Checks!$AQ$347=1,NOT(LEFT(Checks!$AH$347,10)="N/A – RULE"))),CHAR(10)&amp;"Batch: "&amp;IF(Checks!$W$347="","____________",Checks!$W$347),"")&amp;IF(OR(Checks!$X$347&lt;&gt;"",Checks!$Y$347&lt;&gt;"",AND(Checks!$AR$347=1,NOT(LEFT(Checks!$AH$347,10)="N/A – RULE"))),CHAR(10)&amp;"Exp: "&amp;IF(Checks!$X$347="","______",Checks!$X$347)&amp;"  /  Act: "&amp;IF(Checks!$Y$347="","______",Checks!$Y$347),"")</f>
        <v>
Exp: ______  /  Act: ______</v>
      </c>
      <c r="F51" s="120" t="str">
        <f aca="false">IF(AND(LEFT(Checks!$AH$347,10)="N/A – RULE",TRIM(Checks!$S$347&amp;Checks!$Z$347)=""),"","Type: "&amp;IF(TRIM(Checks!$S$347)="","______________ (see cover list)",Checks!$S$347)&amp;CHAR(10)&amp;"ID: "&amp;IF(TRIM(Checks!$Z$347)="","______________ (record's own no.)",Checks!$Z$347))&amp;IF(Checks!$AA$347="","",CHAR(10)&amp;"CA: "&amp;Checks!$AA$347)</f>
        <v>Type: ______________ (see cover list)
ID: ______________ (record's own no.)</v>
      </c>
      <c r="G51" s="120" t="str">
        <f aca="false">IF(AND(LEFT(Checks!$AH$347,10)="N/A – RULE",NOT(ISNUMBER(Checks!$AD$347)),Checks!$AE$347="",Checks!$T$347=""),"","Done: "&amp;IF(ISNUMBER(Checks!$AD$347),TEXT(Checks!$AD$347,"DD-MMM-YY HH:MM"),"____________")&amp;" "&amp;Checks!$P$347&amp;CHAR(10)&amp;"Verifier: "&amp;IF(Checks!$AE$347="","____________",Checks!$AE$347)&amp;CHAR(10)&amp;"PIC: "&amp;IF(Checks!$T$347="","____________",Checks!$T$347))</f>
        <v>Done: ____________ KUL
Verifier: ____________
PIC: ____________</v>
      </c>
      <c r="H51" s="121" t="str">
        <f aca="false">IF(Checks!$AH$347="","",Checks!$AH$347)</f>
        <v>OPEN</v>
      </c>
    </row>
    <row r="52" customFormat="false" ht="114" hidden="false" customHeight="true" outlineLevel="0" collapsed="false">
      <c r="A52" s="120" t="str">
        <f aca="false">Checks!$A$348&amp;CHAR(10)&amp;IF(Checks!$I$348="","",Checks!$I$348&amp;": ")&amp;Checks!$J$348</f>
        <v>F10-UPL-02
Equipment: Equipment physically loaded at GLD positions - quantity &amp; positions</v>
      </c>
      <c r="B52" s="120" t="str">
        <f aca="false">Checks!$K$348&amp;IF(Checks!$O$348="","",IF(Checks!$K$348="","",CHAR(10))&amp;"Note: "&amp;Checks!$O$348)</f>
        <v>Enter expected &amp; actual
Note: Confirm on board before departure; completion time must fall inside the uplift window.</v>
      </c>
      <c r="C52" s="120" t="str">
        <f aca="false">Checks!$N$348&amp;CHAR(10)&amp;IF(ISNUMBER(Checks!$R$348),TEXT(Checks!$R$348,"DD-MMM-YY HH:MM"),"")&amp;" "&amp;Checks!$P$348</f>
        <v>Required
12-Oct-26 11:45 KUL</v>
      </c>
      <c r="D52" s="120" t="str">
        <f aca="false">IF(TRIM(Checks!$U$348)&lt;&gt;"",Checks!$U$348&amp;IF(Checks!$AB$348="","",CHAR(10)&amp;"CA: "&amp;Checks!$AB$348),IF(LEFT(Checks!$AH$348,10)="N/A – RULE","","[ ] Pass"&amp;CHAR(10)&amp;"[ ] Pass after CA"&amp;CHAR(10)&amp;"[ ] Fail"&amp;IF(Checks!$AT$348=1,CHAR(10)&amp;"[ ] N/A","")&amp;CHAR(10)&amp;"CA: Open / Closed"))</f>
        <v>[ ] Pass
[ ] Pass after CA
[ ] Fail
CA: Open / Closed</v>
      </c>
      <c r="E52" s="120" t="str">
        <f aca="false">IF(Checks!$V$348="","",Checks!$V$348)&amp;IF(Checks!$AC$348="","",IF(Checks!$V$348="","",CHAR(10))&amp;"N/A just.: "&amp;Checks!$AC$348)&amp;IF(OR(Checks!$W$348&lt;&gt;"",AND(Checks!$AQ$348=1,NOT(LEFT(Checks!$AH$348,10)="N/A – RULE"))),CHAR(10)&amp;"Batch: "&amp;IF(Checks!$W$348="","____________",Checks!$W$348),"")&amp;IF(OR(Checks!$X$348&lt;&gt;"",Checks!$Y$348&lt;&gt;"",AND(Checks!$AR$348=1,NOT(LEFT(Checks!$AH$348,10)="N/A – RULE"))),CHAR(10)&amp;"Exp: "&amp;IF(Checks!$X$348="","______",Checks!$X$348)&amp;"  /  Act: "&amp;IF(Checks!$Y$348="","______",Checks!$Y$348),"")</f>
        <v>
Exp: ______  /  Act: ______</v>
      </c>
      <c r="F52" s="120" t="str">
        <f aca="false">IF(AND(LEFT(Checks!$AH$348,10)="N/A – RULE",TRIM(Checks!$S$348&amp;Checks!$Z$348)=""),"","Type: "&amp;IF(TRIM(Checks!$S$348)="","______________ (see cover list)",Checks!$S$348)&amp;CHAR(10)&amp;"ID: "&amp;IF(TRIM(Checks!$Z$348)="","______________ (record's own no.)",Checks!$Z$348))&amp;IF(Checks!$AA$348="","",CHAR(10)&amp;"CA: "&amp;Checks!$AA$348)</f>
        <v>Type: ______________ (see cover list)
ID: ______________ (record's own no.)</v>
      </c>
      <c r="G52" s="120" t="str">
        <f aca="false">IF(AND(LEFT(Checks!$AH$348,10)="N/A – RULE",NOT(ISNUMBER(Checks!$AD$348)),Checks!$AE$348="",Checks!$T$348=""),"","Done: "&amp;IF(ISNUMBER(Checks!$AD$348),TEXT(Checks!$AD$348,"DD-MMM-YY HH:MM"),"____________")&amp;" "&amp;Checks!$P$348&amp;CHAR(10)&amp;"Verifier: "&amp;IF(Checks!$AE$348="","____________",Checks!$AE$348)&amp;CHAR(10)&amp;"PIC: "&amp;IF(Checks!$T$348="","____________",Checks!$T$348))</f>
        <v>Done: ____________ KUL
Verifier: ____________
PIC: ____________</v>
      </c>
      <c r="H52" s="121" t="str">
        <f aca="false">IF(Checks!$AH$348="","",Checks!$AH$348)</f>
        <v>OPEN</v>
      </c>
    </row>
    <row r="53" customFormat="false" ht="114" hidden="false" customHeight="true" outlineLevel="0" collapsed="false">
      <c r="A53" s="120" t="str">
        <f aca="false">Checks!$A$349&amp;CHAR(10)&amp;IF(Checks!$I$349="","",Checks!$I$349&amp;": ")&amp;Checks!$J$349</f>
        <v>F10-UPL-03
Amenities: Disposable slippers in DAM cart (BC, on request) - on board</v>
      </c>
      <c r="B53" s="120" t="str">
        <f aca="false">SUBSTITUTE(Checks!$K$349&amp;IF(Checks!$O$349="","",IF(Checks!$K$349="","",CHAR(10))&amp;"Note: "&amp;Checks!$O$349),"note C83: ","reference note: ")</f>
        <v>Available in DAM cart on request basis
Note: Sector has no BC slippers; reference note: disposable slipper available in DAM cart (on request basis).</v>
      </c>
      <c r="C53" s="120" t="str">
        <f aca="false">Checks!$N$349&amp;CHAR(10)&amp;IF(ISNUMBER(Checks!$R$349),TEXT(Checks!$R$349,"DD-MMM-YY HH:MM"),"")&amp;" "&amp;Checks!$P$349</f>
        <v>Required
12-Oct-26 11:45 KUL</v>
      </c>
      <c r="D53" s="120" t="str">
        <f aca="false">IF(TRIM(Checks!$U$349)&lt;&gt;"",Checks!$U$349&amp;IF(Checks!$AB$349="","",CHAR(10)&amp;"CA: "&amp;Checks!$AB$349),IF(LEFT(Checks!$AH$349,10)="N/A – RULE","","[ ] Pass"&amp;CHAR(10)&amp;"[ ] Pass after CA"&amp;CHAR(10)&amp;"[ ] Fail"&amp;IF(Checks!$AT$349=1,CHAR(10)&amp;"[ ] N/A","")&amp;CHAR(10)&amp;"CA: Open / Closed"))</f>
        <v>[ ] Pass
[ ] Pass after CA
[ ] Fail
CA: Open / Closed</v>
      </c>
      <c r="E53" s="120" t="str">
        <f aca="false">IF(Checks!$V$349="","",Checks!$V$349)&amp;IF(Checks!$AC$349="","",IF(Checks!$V$349="","",CHAR(10))&amp;"N/A just.: "&amp;Checks!$AC$349)&amp;IF(OR(Checks!$W$349&lt;&gt;"",AND(Checks!$AQ$349=1,NOT(LEFT(Checks!$AH$349,10)="N/A – RULE"))),CHAR(10)&amp;"Batch: "&amp;IF(Checks!$W$349="","____________",Checks!$W$349),"")&amp;IF(OR(Checks!$X$349&lt;&gt;"",Checks!$Y$349&lt;&gt;"",AND(Checks!$AR$349=1,NOT(LEFT(Checks!$AH$349,10)="N/A – RULE"))),CHAR(10)&amp;"Exp: "&amp;IF(Checks!$X$349="","______",Checks!$X$349)&amp;"  /  Act: "&amp;IF(Checks!$Y$349="","______",Checks!$Y$349),"")</f>
        <v/>
      </c>
      <c r="F53" s="120" t="str">
        <f aca="false">IF(AND(LEFT(Checks!$AH$349,10)="N/A – RULE",TRIM(Checks!$S$349&amp;Checks!$Z$349)=""),"","Type: "&amp;IF(TRIM(Checks!$S$349)="","______________ (see cover list)",Checks!$S$349)&amp;CHAR(10)&amp;"ID: "&amp;IF(TRIM(Checks!$Z$349)="","______________ (record's own no.)",Checks!$Z$349))&amp;IF(Checks!$AA$349="","",CHAR(10)&amp;"CA: "&amp;Checks!$AA$349)</f>
        <v>Type: ______________ (see cover list)
ID: ______________ (record's own no.)</v>
      </c>
      <c r="G53" s="120" t="str">
        <f aca="false">IF(AND(LEFT(Checks!$AH$349,10)="N/A – RULE",NOT(ISNUMBER(Checks!$AD$349)),Checks!$AE$349="",Checks!$T$349=""),"","Done: "&amp;IF(ISNUMBER(Checks!$AD$349),TEXT(Checks!$AD$349,"DD-MMM-YY HH:MM"),"____________")&amp;" "&amp;Checks!$P$349&amp;CHAR(10)&amp;"Verifier: "&amp;IF(Checks!$AE$349="","____________",Checks!$AE$349)&amp;CHAR(10)&amp;"PIC: "&amp;IF(Checks!$T$349="","____________",Checks!$T$349))</f>
        <v>Done: ____________ KUL
Verifier: ____________
PIC: ____________</v>
      </c>
      <c r="H53" s="121" t="str">
        <f aca="false">IF(Checks!$AH$349="","",Checks!$AH$349)</f>
        <v>OPEN</v>
      </c>
    </row>
    <row r="54" customFormat="false" ht="114" hidden="false" customHeight="true" outlineLevel="0" collapsed="false">
      <c r="A54" s="120" t="str">
        <f aca="false">Checks!$A$350&amp;CHAR(10)&amp;IF(Checks!$I$350="","",Checks!$I$350&amp;": ")&amp;Checks!$J$350</f>
        <v>F10-UPL-04
F&amp;B Linen: Towel - on board</v>
      </c>
      <c r="B54" s="120" t="str">
        <f aca="false">Checks!$K$350&amp;IF(Checks!$O$350="","",IF(Checks!$K$350="","",CHAR(10))&amp;"Note: "&amp;Checks!$O$350)</f>
        <v>Available (ticked in reference)</v>
      </c>
      <c r="C54" s="120" t="str">
        <f aca="false">Checks!$N$350&amp;CHAR(10)&amp;IF(ISNUMBER(Checks!$R$350),TEXT(Checks!$R$350,"DD-MMM-YY HH:MM"),"")&amp;" "&amp;Checks!$P$350</f>
        <v>Required
12-Oct-26 11:45 KUL</v>
      </c>
      <c r="D54" s="120" t="str">
        <f aca="false">IF(TRIM(Checks!$U$350)&lt;&gt;"",Checks!$U$350&amp;IF(Checks!$AB$350="","",CHAR(10)&amp;"CA: "&amp;Checks!$AB$350),IF(LEFT(Checks!$AH$350,10)="N/A – RULE","","[ ] Pass"&amp;CHAR(10)&amp;"[ ] Pass after CA"&amp;CHAR(10)&amp;"[ ] Fail"&amp;IF(Checks!$AT$350=1,CHAR(10)&amp;"[ ] N/A","")&amp;CHAR(10)&amp;"CA: Open / Closed"))</f>
        <v>[ ] Pass
[ ] Pass after CA
[ ] Fail
CA: Open / Closed</v>
      </c>
      <c r="E54" s="120" t="str">
        <f aca="false">IF(Checks!$V$350="","",Checks!$V$350)&amp;IF(Checks!$AC$350="","",IF(Checks!$V$350="","",CHAR(10))&amp;"N/A just.: "&amp;Checks!$AC$350)&amp;IF(OR(Checks!$W$350&lt;&gt;"",AND(Checks!$AQ$350=1,NOT(LEFT(Checks!$AH$350,10)="N/A – RULE"))),CHAR(10)&amp;"Batch: "&amp;IF(Checks!$W$350="","____________",Checks!$W$350),"")&amp;IF(OR(Checks!$X$350&lt;&gt;"",Checks!$Y$350&lt;&gt;"",AND(Checks!$AR$350=1,NOT(LEFT(Checks!$AH$350,10)="N/A – RULE"))),CHAR(10)&amp;"Exp: "&amp;IF(Checks!$X$350="","______",Checks!$X$350)&amp;"  /  Act: "&amp;IF(Checks!$Y$350="","______",Checks!$Y$350),"")</f>
        <v/>
      </c>
      <c r="F54" s="120" t="str">
        <f aca="false">IF(AND(LEFT(Checks!$AH$350,10)="N/A – RULE",TRIM(Checks!$S$350&amp;Checks!$Z$350)=""),"","Type: "&amp;IF(TRIM(Checks!$S$350)="","______________ (see cover list)",Checks!$S$350)&amp;CHAR(10)&amp;"ID: "&amp;IF(TRIM(Checks!$Z$350)="","______________ (record's own no.)",Checks!$Z$350))&amp;IF(Checks!$AA$350="","",CHAR(10)&amp;"CA: "&amp;Checks!$AA$350)</f>
        <v>Type: ______________ (see cover list)
ID: ______________ (record's own no.)</v>
      </c>
      <c r="G54" s="120" t="str">
        <f aca="false">IF(AND(LEFT(Checks!$AH$350,10)="N/A – RULE",NOT(ISNUMBER(Checks!$AD$350)),Checks!$AE$350="",Checks!$T$350=""),"","Done: "&amp;IF(ISNUMBER(Checks!$AD$350),TEXT(Checks!$AD$350,"DD-MMM-YY HH:MM"),"____________")&amp;" "&amp;Checks!$P$350&amp;CHAR(10)&amp;"Verifier: "&amp;IF(Checks!$AE$350="","____________",Checks!$AE$350)&amp;CHAR(10)&amp;"PIC: "&amp;IF(Checks!$T$350="","____________",Checks!$T$350))</f>
        <v>Done: ____________ KUL
Verifier: ____________
PIC: ____________</v>
      </c>
      <c r="H54" s="121" t="str">
        <f aca="false">IF(Checks!$AH$350="","",Checks!$AH$350)</f>
        <v>OPEN</v>
      </c>
    </row>
    <row r="55" customFormat="false" ht="114" hidden="false" customHeight="true" outlineLevel="0" collapsed="false">
      <c r="A55" s="120" t="str">
        <f aca="false">Checks!$A$351&amp;CHAR(10)&amp;IF(Checks!$I$351="","",Checks!$I$351&amp;": ")&amp;Checks!$J$351</f>
        <v>F10-UPL-05
F&amp;B Linen: Tray cloth - on board</v>
      </c>
      <c r="B55" s="120" t="str">
        <f aca="false">Checks!$K$351&amp;IF(Checks!$O$351="","",IF(Checks!$K$351="","",CHAR(10))&amp;"Note: "&amp;Checks!$O$351)</f>
        <v>Available (ticked in reference)</v>
      </c>
      <c r="C55" s="120" t="str">
        <f aca="false">Checks!$N$351&amp;CHAR(10)&amp;IF(ISNUMBER(Checks!$R$351),TEXT(Checks!$R$351,"DD-MMM-YY HH:MM"),"")&amp;" "&amp;Checks!$P$351</f>
        <v>Required
12-Oct-26 11:45 KUL</v>
      </c>
      <c r="D55" s="120" t="str">
        <f aca="false">IF(TRIM(Checks!$U$351)&lt;&gt;"",Checks!$U$351&amp;IF(Checks!$AB$351="","",CHAR(10)&amp;"CA: "&amp;Checks!$AB$351),IF(LEFT(Checks!$AH$351,10)="N/A – RULE","","[ ] Pass"&amp;CHAR(10)&amp;"[ ] Pass after CA"&amp;CHAR(10)&amp;"[ ] Fail"&amp;IF(Checks!$AT$351=1,CHAR(10)&amp;"[ ] N/A","")&amp;CHAR(10)&amp;"CA: Open / Closed"))</f>
        <v>[ ] Pass
[ ] Pass after CA
[ ] Fail
CA: Open / Closed</v>
      </c>
      <c r="E55" s="120" t="str">
        <f aca="false">IF(Checks!$V$351="","",Checks!$V$351)&amp;IF(Checks!$AC$351="","",IF(Checks!$V$351="","",CHAR(10))&amp;"N/A just.: "&amp;Checks!$AC$351)&amp;IF(OR(Checks!$W$351&lt;&gt;"",AND(Checks!$AQ$351=1,NOT(LEFT(Checks!$AH$351,10)="N/A – RULE"))),CHAR(10)&amp;"Batch: "&amp;IF(Checks!$W$351="","____________",Checks!$W$351),"")&amp;IF(OR(Checks!$X$351&lt;&gt;"",Checks!$Y$351&lt;&gt;"",AND(Checks!$AR$351=1,NOT(LEFT(Checks!$AH$351,10)="N/A – RULE"))),CHAR(10)&amp;"Exp: "&amp;IF(Checks!$X$351="","______",Checks!$X$351)&amp;"  /  Act: "&amp;IF(Checks!$Y$351="","______",Checks!$Y$351),"")</f>
        <v/>
      </c>
      <c r="F55" s="120" t="str">
        <f aca="false">IF(AND(LEFT(Checks!$AH$351,10)="N/A – RULE",TRIM(Checks!$S$351&amp;Checks!$Z$351)=""),"","Type: "&amp;IF(TRIM(Checks!$S$351)="","______________ (see cover list)",Checks!$S$351)&amp;CHAR(10)&amp;"ID: "&amp;IF(TRIM(Checks!$Z$351)="","______________ (record's own no.)",Checks!$Z$351))&amp;IF(Checks!$AA$351="","",CHAR(10)&amp;"CA: "&amp;Checks!$AA$351)</f>
        <v>Type: ______________ (see cover list)
ID: ______________ (record's own no.)</v>
      </c>
      <c r="G55" s="120" t="str">
        <f aca="false">IF(AND(LEFT(Checks!$AH$351,10)="N/A – RULE",NOT(ISNUMBER(Checks!$AD$351)),Checks!$AE$351="",Checks!$T$351=""),"","Done: "&amp;IF(ISNUMBER(Checks!$AD$351),TEXT(Checks!$AD$351,"DD-MMM-YY HH:MM"),"____________")&amp;" "&amp;Checks!$P$351&amp;CHAR(10)&amp;"Verifier: "&amp;IF(Checks!$AE$351="","____________",Checks!$AE$351)&amp;CHAR(10)&amp;"PIC: "&amp;IF(Checks!$T$351="","____________",Checks!$T$351))</f>
        <v>Done: ____________ KUL
Verifier: ____________
PIC: ____________</v>
      </c>
      <c r="H55" s="121" t="str">
        <f aca="false">IF(Checks!$AH$351="","",Checks!$AH$351)</f>
        <v>OPEN</v>
      </c>
    </row>
    <row r="56" customFormat="false" ht="114" hidden="false" customHeight="true" outlineLevel="0" collapsed="false">
      <c r="A56" s="120" t="str">
        <f aca="false">Checks!$A$352&amp;CHAR(10)&amp;IF(Checks!$I$352="","",Checks!$I$352&amp;": ")&amp;Checks!$J$352</f>
        <v>F10-UPL-06
F&amp;B Linen: Napkin - on board</v>
      </c>
      <c r="B56" s="120" t="str">
        <f aca="false">Checks!$K$352&amp;IF(Checks!$O$352="","",IF(Checks!$K$352="","",CHAR(10))&amp;"Note: "&amp;Checks!$O$352)</f>
        <v>Available (ticked in reference)</v>
      </c>
      <c r="C56" s="120" t="str">
        <f aca="false">Checks!$N$352&amp;CHAR(10)&amp;IF(ISNUMBER(Checks!$R$352),TEXT(Checks!$R$352,"DD-MMM-YY HH:MM"),"")&amp;" "&amp;Checks!$P$352</f>
        <v>Required
12-Oct-26 11:45 KUL</v>
      </c>
      <c r="D56" s="120" t="str">
        <f aca="false">IF(TRIM(Checks!$U$352)&lt;&gt;"",Checks!$U$352&amp;IF(Checks!$AB$352="","",CHAR(10)&amp;"CA: "&amp;Checks!$AB$352),IF(LEFT(Checks!$AH$352,10)="N/A – RULE","","[ ] Pass"&amp;CHAR(10)&amp;"[ ] Pass after CA"&amp;CHAR(10)&amp;"[ ] Fail"&amp;IF(Checks!$AT$352=1,CHAR(10)&amp;"[ ] N/A","")&amp;CHAR(10)&amp;"CA: Open / Closed"))</f>
        <v>[ ] Pass
[ ] Pass after CA
[ ] Fail
CA: Open / Closed</v>
      </c>
      <c r="E56" s="120" t="str">
        <f aca="false">IF(Checks!$V$352="","",Checks!$V$352)&amp;IF(Checks!$AC$352="","",IF(Checks!$V$352="","",CHAR(10))&amp;"N/A just.: "&amp;Checks!$AC$352)&amp;IF(OR(Checks!$W$352&lt;&gt;"",AND(Checks!$AQ$352=1,NOT(LEFT(Checks!$AH$352,10)="N/A – RULE"))),CHAR(10)&amp;"Batch: "&amp;IF(Checks!$W$352="","____________",Checks!$W$352),"")&amp;IF(OR(Checks!$X$352&lt;&gt;"",Checks!$Y$352&lt;&gt;"",AND(Checks!$AR$352=1,NOT(LEFT(Checks!$AH$352,10)="N/A – RULE"))),CHAR(10)&amp;"Exp: "&amp;IF(Checks!$X$352="","______",Checks!$X$352)&amp;"  /  Act: "&amp;IF(Checks!$Y$352="","______",Checks!$Y$352),"")</f>
        <v/>
      </c>
      <c r="F56" s="120" t="str">
        <f aca="false">IF(AND(LEFT(Checks!$AH$352,10)="N/A – RULE",TRIM(Checks!$S$352&amp;Checks!$Z$352)=""),"","Type: "&amp;IF(TRIM(Checks!$S$352)="","______________ (see cover list)",Checks!$S$352)&amp;CHAR(10)&amp;"ID: "&amp;IF(TRIM(Checks!$Z$352)="","______________ (record's own no.)",Checks!$Z$352))&amp;IF(Checks!$AA$352="","",CHAR(10)&amp;"CA: "&amp;Checks!$AA$352)</f>
        <v>Type: ______________ (see cover list)
ID: ______________ (record's own no.)</v>
      </c>
      <c r="G56" s="120" t="str">
        <f aca="false">IF(AND(LEFT(Checks!$AH$352,10)="N/A – RULE",NOT(ISNUMBER(Checks!$AD$352)),Checks!$AE$352="",Checks!$T$352=""),"","Done: "&amp;IF(ISNUMBER(Checks!$AD$352),TEXT(Checks!$AD$352,"DD-MMM-YY HH:MM"),"____________")&amp;" "&amp;Checks!$P$352&amp;CHAR(10)&amp;"Verifier: "&amp;IF(Checks!$AE$352="","____________",Checks!$AE$352)&amp;CHAR(10)&amp;"PIC: "&amp;IF(Checks!$T$352="","____________",Checks!$T$352))</f>
        <v>Done: ____________ KUL
Verifier: ____________
PIC: ____________</v>
      </c>
      <c r="H56" s="121" t="str">
        <f aca="false">IF(Checks!$AH$352="","",Checks!$AH$352)</f>
        <v>OPEN</v>
      </c>
    </row>
    <row r="57" customFormat="false" ht="114" hidden="false" customHeight="true" outlineLevel="0" collapsed="false">
      <c r="A57" s="120" t="str">
        <f aca="false">Checks!$A$353&amp;CHAR(10)&amp;IF(Checks!$I$353="","",Checks!$I$353&amp;": ")&amp;Checks!$J$353</f>
        <v>F10-UPL-07
F&amp;B Linen: Trolley cloth - on board</v>
      </c>
      <c r="B57" s="120" t="str">
        <f aca="false">SUBSTITUTE(SUBSTITUTE(Checks!$K$353&amp;IF(Checks!$O$353="","",IF(Checks!$K$353="","",CHAR(10))&amp;"Note: "&amp;Checks!$O$353),"Per note F&amp;B LINEN!B79:C80.","Per the F&amp;B LINEN reference note."),"note F&amp;B LINEN!B79:C80","the F&amp;B LINEN reference note")</f>
        <v>Narrow body: Top only
Note: Per the F&amp;B LINEN reference note.</v>
      </c>
      <c r="C57" s="120" t="str">
        <f aca="false">Checks!$N$353&amp;CHAR(10)&amp;IF(ISNUMBER(Checks!$R$353),TEXT(Checks!$R$353,"DD-MMM-YY HH:MM"),"")&amp;" "&amp;Checks!$P$353</f>
        <v>Required
12-Oct-26 11:45 KUL</v>
      </c>
      <c r="D57" s="120" t="str">
        <f aca="false">IF(TRIM(Checks!$U$353)&lt;&gt;"",Checks!$U$353&amp;IF(Checks!$AB$353="","",CHAR(10)&amp;"CA: "&amp;Checks!$AB$353),IF(LEFT(Checks!$AH$353,10)="N/A – RULE","","[ ] Pass"&amp;CHAR(10)&amp;"[ ] Pass after CA"&amp;CHAR(10)&amp;"[ ] Fail"&amp;IF(Checks!$AT$353=1,CHAR(10)&amp;"[ ] N/A","")&amp;CHAR(10)&amp;"CA: Open / Closed"))</f>
        <v>[ ] Pass
[ ] Pass after CA
[ ] Fail
CA: Open / Closed</v>
      </c>
      <c r="E57" s="120" t="str">
        <f aca="false">IF(Checks!$V$353="","",Checks!$V$353)&amp;IF(Checks!$AC$353="","",IF(Checks!$V$353="","",CHAR(10))&amp;"N/A just.: "&amp;Checks!$AC$353)&amp;IF(OR(Checks!$W$353&lt;&gt;"",AND(Checks!$AQ$353=1,NOT(LEFT(Checks!$AH$353,10)="N/A – RULE"))),CHAR(10)&amp;"Batch: "&amp;IF(Checks!$W$353="","____________",Checks!$W$353),"")&amp;IF(OR(Checks!$X$353&lt;&gt;"",Checks!$Y$353&lt;&gt;"",AND(Checks!$AR$353=1,NOT(LEFT(Checks!$AH$353,10)="N/A – RULE"))),CHAR(10)&amp;"Exp: "&amp;IF(Checks!$X$353="","______",Checks!$X$353)&amp;"  /  Act: "&amp;IF(Checks!$Y$353="","______",Checks!$Y$353),"")</f>
        <v/>
      </c>
      <c r="F57" s="120" t="str">
        <f aca="false">IF(AND(LEFT(Checks!$AH$353,10)="N/A – RULE",TRIM(Checks!$S$353&amp;Checks!$Z$353)=""),"","Type: "&amp;IF(TRIM(Checks!$S$353)="","______________ (see cover list)",Checks!$S$353)&amp;CHAR(10)&amp;"ID: "&amp;IF(TRIM(Checks!$Z$353)="","______________ (record's own no.)",Checks!$Z$353))&amp;IF(Checks!$AA$353="","",CHAR(10)&amp;"CA: "&amp;Checks!$AA$353)</f>
        <v>Type: ______________ (see cover list)
ID: ______________ (record's own no.)</v>
      </c>
      <c r="G57" s="120" t="str">
        <f aca="false">IF(AND(LEFT(Checks!$AH$353,10)="N/A – RULE",NOT(ISNUMBER(Checks!$AD$353)),Checks!$AE$353="",Checks!$T$353=""),"","Done: "&amp;IF(ISNUMBER(Checks!$AD$353),TEXT(Checks!$AD$353,"DD-MMM-YY HH:MM"),"____________")&amp;" "&amp;Checks!$P$353&amp;CHAR(10)&amp;"Verifier: "&amp;IF(Checks!$AE$353="","____________",Checks!$AE$353)&amp;CHAR(10)&amp;"PIC: "&amp;IF(Checks!$T$353="","____________",Checks!$T$353))</f>
        <v>Done: ____________ KUL
Verifier: ____________
PIC: ____________</v>
      </c>
      <c r="H57" s="121" t="str">
        <f aca="false">IF(Checks!$AH$353="","",Checks!$AH$353)</f>
        <v>OPEN</v>
      </c>
    </row>
    <row r="58" customFormat="false" ht="114" hidden="false" customHeight="true" outlineLevel="0" collapsed="false">
      <c r="A58" s="120" t="str">
        <f aca="false">Checks!$A$354&amp;CHAR(10)&amp;IF(Checks!$I$354="","",Checks!$I$354&amp;": ")&amp;Checks!$J$354</f>
        <v>F10-UPL-08
F&amp;B Linen: Linen bag - on board</v>
      </c>
      <c r="B58" s="120" t="str">
        <f aca="false">Checks!$K$354&amp;IF(Checks!$O$354="","",IF(Checks!$K$354="","",CHAR(10))&amp;"Note: "&amp;Checks!$O$354)</f>
        <v>Available (ticked in reference)</v>
      </c>
      <c r="C58" s="120" t="str">
        <f aca="false">Checks!$N$354&amp;CHAR(10)&amp;IF(ISNUMBER(Checks!$R$354),TEXT(Checks!$R$354,"DD-MMM-YY HH:MM"),"")&amp;" "&amp;Checks!$P$354</f>
        <v>Required
12-Oct-26 11:45 KUL</v>
      </c>
      <c r="D58" s="120" t="str">
        <f aca="false">IF(TRIM(Checks!$U$354)&lt;&gt;"",Checks!$U$354&amp;IF(Checks!$AB$354="","",CHAR(10)&amp;"CA: "&amp;Checks!$AB$354),IF(LEFT(Checks!$AH$354,10)="N/A – RULE","","[ ] Pass"&amp;CHAR(10)&amp;"[ ] Pass after CA"&amp;CHAR(10)&amp;"[ ] Fail"&amp;IF(Checks!$AT$354=1,CHAR(10)&amp;"[ ] N/A","")&amp;CHAR(10)&amp;"CA: Open / Closed"))</f>
        <v>[ ] Pass
[ ] Pass after CA
[ ] Fail
CA: Open / Closed</v>
      </c>
      <c r="E58" s="120" t="str">
        <f aca="false">IF(Checks!$V$354="","",Checks!$V$354)&amp;IF(Checks!$AC$354="","",IF(Checks!$V$354="","",CHAR(10))&amp;"N/A just.: "&amp;Checks!$AC$354)&amp;IF(OR(Checks!$W$354&lt;&gt;"",AND(Checks!$AQ$354=1,NOT(LEFT(Checks!$AH$354,10)="N/A – RULE"))),CHAR(10)&amp;"Batch: "&amp;IF(Checks!$W$354="","____________",Checks!$W$354),"")&amp;IF(OR(Checks!$X$354&lt;&gt;"",Checks!$Y$354&lt;&gt;"",AND(Checks!$AR$354=1,NOT(LEFT(Checks!$AH$354,10)="N/A – RULE"))),CHAR(10)&amp;"Exp: "&amp;IF(Checks!$X$354="","______",Checks!$X$354)&amp;"  /  Act: "&amp;IF(Checks!$Y$354="","______",Checks!$Y$354),"")</f>
        <v/>
      </c>
      <c r="F58" s="120" t="str">
        <f aca="false">IF(AND(LEFT(Checks!$AH$354,10)="N/A – RULE",TRIM(Checks!$S$354&amp;Checks!$Z$354)=""),"","Type: "&amp;IF(TRIM(Checks!$S$354)="","______________ (see cover list)",Checks!$S$354)&amp;CHAR(10)&amp;"ID: "&amp;IF(TRIM(Checks!$Z$354)="","______________ (record's own no.)",Checks!$Z$354))&amp;IF(Checks!$AA$354="","",CHAR(10)&amp;"CA: "&amp;Checks!$AA$354)</f>
        <v>Type: ______________ (see cover list)
ID: ______________ (record's own no.)</v>
      </c>
      <c r="G58" s="120" t="str">
        <f aca="false">IF(AND(LEFT(Checks!$AH$354,10)="N/A – RULE",NOT(ISNUMBER(Checks!$AD$354)),Checks!$AE$354="",Checks!$T$354=""),"","Done: "&amp;IF(ISNUMBER(Checks!$AD$354),TEXT(Checks!$AD$354,"DD-MMM-YY HH:MM"),"____________")&amp;" "&amp;Checks!$P$354&amp;CHAR(10)&amp;"Verifier: "&amp;IF(Checks!$AE$354="","____________",Checks!$AE$354)&amp;CHAR(10)&amp;"PIC: "&amp;IF(Checks!$T$354="","____________",Checks!$T$354))</f>
        <v>Done: ____________ KUL
Verifier: ____________
PIC: ____________</v>
      </c>
      <c r="H58" s="121" t="str">
        <f aca="false">IF(Checks!$AH$354="","",Checks!$AH$354)</f>
        <v>OPEN</v>
      </c>
    </row>
    <row r="59" customFormat="false" ht="114" hidden="false" customHeight="true" outlineLevel="0" collapsed="false">
      <c r="A59" s="120" t="str">
        <f aca="false">Checks!$A$355&amp;CHAR(10)&amp;IF(Checks!$I$355="","",Checks!$I$355&amp;": ")&amp;Checks!$J$355</f>
        <v>F10-UPL-09
Seat Linen: Seat pillow (BS &amp; BC) - on board</v>
      </c>
      <c r="B59" s="120" t="str">
        <f aca="false">Checks!$K$355&amp;IF(Checks!$O$355="","",IF(Checks!$K$355="","",CHAR(10))&amp;"Note: "&amp;Checks!$O$355)</f>
        <v>Available 100% (ticked in reference)</v>
      </c>
      <c r="C59" s="120" t="str">
        <f aca="false">Checks!$N$355&amp;CHAR(10)&amp;IF(ISNUMBER(Checks!$R$355),TEXT(Checks!$R$355,"DD-MMM-YY HH:MM"),"")&amp;" "&amp;Checks!$P$355</f>
        <v>Required
12-Oct-26 11:45 KUL</v>
      </c>
      <c r="D59" s="120" t="str">
        <f aca="false">IF(TRIM(Checks!$U$355)&lt;&gt;"",Checks!$U$355&amp;IF(Checks!$AB$355="","",CHAR(10)&amp;"CA: "&amp;Checks!$AB$355),IF(LEFT(Checks!$AH$355,10)="N/A – RULE","","[ ] Pass"&amp;CHAR(10)&amp;"[ ] Pass after CA"&amp;CHAR(10)&amp;"[ ] Fail"&amp;IF(Checks!$AT$355=1,CHAR(10)&amp;"[ ] N/A","")&amp;CHAR(10)&amp;"CA: Open / Closed"))</f>
        <v>[ ] Pass
[ ] Pass after CA
[ ] Fail
CA: Open / Closed</v>
      </c>
      <c r="E59" s="120" t="str">
        <f aca="false">IF(Checks!$V$355="","",Checks!$V$355)&amp;IF(Checks!$AC$355="","",IF(Checks!$V$355="","",CHAR(10))&amp;"N/A just.: "&amp;Checks!$AC$355)&amp;IF(OR(Checks!$W$355&lt;&gt;"",AND(Checks!$AQ$355=1,NOT(LEFT(Checks!$AH$355,10)="N/A – RULE"))),CHAR(10)&amp;"Batch: "&amp;IF(Checks!$W$355="","____________",Checks!$W$355),"")&amp;IF(OR(Checks!$X$355&lt;&gt;"",Checks!$Y$355&lt;&gt;"",AND(Checks!$AR$355=1,NOT(LEFT(Checks!$AH$355,10)="N/A – RULE"))),CHAR(10)&amp;"Exp: "&amp;IF(Checks!$X$355="","______",Checks!$X$355)&amp;"  /  Act: "&amp;IF(Checks!$Y$355="","______",Checks!$Y$355),"")</f>
        <v/>
      </c>
      <c r="F59" s="120" t="str">
        <f aca="false">IF(AND(LEFT(Checks!$AH$355,10)="N/A – RULE",TRIM(Checks!$S$355&amp;Checks!$Z$355)=""),"","Type: "&amp;IF(TRIM(Checks!$S$355)="","______________ (see cover list)",Checks!$S$355)&amp;CHAR(10)&amp;"ID: "&amp;IF(TRIM(Checks!$Z$355)="","______________ (record's own no.)",Checks!$Z$355))&amp;IF(Checks!$AA$355="","",CHAR(10)&amp;"CA: "&amp;Checks!$AA$355)</f>
        <v>Type: ______________ (see cover list)
ID: ______________ (record's own no.)</v>
      </c>
      <c r="G59" s="120" t="str">
        <f aca="false">IF(AND(LEFT(Checks!$AH$355,10)="N/A – RULE",NOT(ISNUMBER(Checks!$AD$355)),Checks!$AE$355="",Checks!$T$355=""),"","Done: "&amp;IF(ISNUMBER(Checks!$AD$355),TEXT(Checks!$AD$355,"DD-MMM-YY HH:MM"),"____________")&amp;" "&amp;Checks!$P$355&amp;CHAR(10)&amp;"Verifier: "&amp;IF(Checks!$AE$355="","____________",Checks!$AE$355)&amp;CHAR(10)&amp;"PIC: "&amp;IF(Checks!$T$355="","____________",Checks!$T$355))</f>
        <v>Done: ____________ KUL
Verifier: ____________
PIC: ____________</v>
      </c>
      <c r="H59" s="121" t="str">
        <f aca="false">IF(Checks!$AH$355="","",Checks!$AH$355)</f>
        <v>OPEN</v>
      </c>
    </row>
    <row r="60" customFormat="false" ht="114" hidden="false" customHeight="true" outlineLevel="0" collapsed="false">
      <c r="A60" s="120" t="str">
        <f aca="false">Checks!$A$356&amp;CHAR(10)&amp;IF(Checks!$I$356="","",Checks!$I$356&amp;": ")&amp;Checks!$J$356</f>
        <v>F10-UPL-10
Seat Linen: Blanket (BS &amp; BC) - on board</v>
      </c>
      <c r="B60" s="120" t="str">
        <f aca="false">Checks!$K$356&amp;IF(Checks!$O$356="","",IF(Checks!$K$356="","",CHAR(10))&amp;"Note: "&amp;Checks!$O$356)</f>
        <v>Available 100% (ticked in reference)</v>
      </c>
      <c r="C60" s="120" t="str">
        <f aca="false">Checks!$N$356&amp;CHAR(10)&amp;IF(ISNUMBER(Checks!$R$356),TEXT(Checks!$R$356,"DD-MMM-YY HH:MM"),"")&amp;" "&amp;Checks!$P$356</f>
        <v>Required
12-Oct-26 11:45 KUL</v>
      </c>
      <c r="D60" s="120" t="str">
        <f aca="false">IF(TRIM(Checks!$U$356)&lt;&gt;"",Checks!$U$356&amp;IF(Checks!$AB$356="","",CHAR(10)&amp;"CA: "&amp;Checks!$AB$356),IF(LEFT(Checks!$AH$356,10)="N/A – RULE","","[ ] Pass"&amp;CHAR(10)&amp;"[ ] Pass after CA"&amp;CHAR(10)&amp;"[ ] Fail"&amp;IF(Checks!$AT$356=1,CHAR(10)&amp;"[ ] N/A","")&amp;CHAR(10)&amp;"CA: Open / Closed"))</f>
        <v>[ ] Pass
[ ] Pass after CA
[ ] Fail
CA: Open / Closed</v>
      </c>
      <c r="E60" s="120" t="str">
        <f aca="false">IF(Checks!$V$356="","",Checks!$V$356)&amp;IF(Checks!$AC$356="","",IF(Checks!$V$356="","",CHAR(10))&amp;"N/A just.: "&amp;Checks!$AC$356)&amp;IF(OR(Checks!$W$356&lt;&gt;"",AND(Checks!$AQ$356=1,NOT(LEFT(Checks!$AH$356,10)="N/A – RULE"))),CHAR(10)&amp;"Batch: "&amp;IF(Checks!$W$356="","____________",Checks!$W$356),"")&amp;IF(OR(Checks!$X$356&lt;&gt;"",Checks!$Y$356&lt;&gt;"",AND(Checks!$AR$356=1,NOT(LEFT(Checks!$AH$356,10)="N/A – RULE"))),CHAR(10)&amp;"Exp: "&amp;IF(Checks!$X$356="","______",Checks!$X$356)&amp;"  /  Act: "&amp;IF(Checks!$Y$356="","______",Checks!$Y$356),"")</f>
        <v/>
      </c>
      <c r="F60" s="120" t="str">
        <f aca="false">IF(AND(LEFT(Checks!$AH$356,10)="N/A – RULE",TRIM(Checks!$S$356&amp;Checks!$Z$356)=""),"","Type: "&amp;IF(TRIM(Checks!$S$356)="","______________ (see cover list)",Checks!$S$356)&amp;CHAR(10)&amp;"ID: "&amp;IF(TRIM(Checks!$Z$356)="","______________ (record's own no.)",Checks!$Z$356))&amp;IF(Checks!$AA$356="","",CHAR(10)&amp;"CA: "&amp;Checks!$AA$356)</f>
        <v>Type: ______________ (see cover list)
ID: ______________ (record's own no.)</v>
      </c>
      <c r="G60" s="120" t="str">
        <f aca="false">IF(AND(LEFT(Checks!$AH$356,10)="N/A – RULE",NOT(ISNUMBER(Checks!$AD$356)),Checks!$AE$356="",Checks!$T$356=""),"","Done: "&amp;IF(ISNUMBER(Checks!$AD$356),TEXT(Checks!$AD$356,"DD-MMM-YY HH:MM"),"____________")&amp;" "&amp;Checks!$P$356&amp;CHAR(10)&amp;"Verifier: "&amp;IF(Checks!$AE$356="","____________",Checks!$AE$356)&amp;CHAR(10)&amp;"PIC: "&amp;IF(Checks!$T$356="","____________",Checks!$T$356))</f>
        <v>Done: ____________ KUL
Verifier: ____________
PIC: ____________</v>
      </c>
      <c r="H60" s="121" t="str">
        <f aca="false">IF(Checks!$AH$356="","",Checks!$AH$356)</f>
        <v>OPEN</v>
      </c>
    </row>
    <row r="62" customFormat="false" ht="24" hidden="false" customHeight="true" outlineLevel="0" collapsed="false">
      <c r="A62" s="122" t="s">
        <v>4832</v>
      </c>
      <c r="B62" s="122"/>
      <c r="C62" s="122"/>
      <c r="D62" s="122"/>
      <c r="E62" s="122" t="s">
        <v>4833</v>
      </c>
      <c r="F62" s="122"/>
      <c r="G62" s="122"/>
      <c r="H62" s="122"/>
    </row>
    <row r="63" customFormat="false" ht="21.75" hidden="false" customHeight="true" outlineLevel="0" collapsed="false">
      <c r="A63" s="123"/>
      <c r="B63" s="123"/>
      <c r="C63" s="123"/>
      <c r="D63" s="123"/>
      <c r="E63" s="123"/>
      <c r="F63" s="123"/>
      <c r="G63" s="123"/>
      <c r="H63" s="123"/>
    </row>
    <row r="64" customFormat="false" ht="21.75" hidden="false" customHeight="true" outlineLevel="0" collapsed="false">
      <c r="A64" s="123"/>
      <c r="B64" s="123"/>
      <c r="C64" s="123"/>
      <c r="D64" s="123"/>
      <c r="E64" s="123"/>
      <c r="F64" s="123"/>
      <c r="G64" s="123"/>
      <c r="H64" s="123"/>
    </row>
    <row r="65" customFormat="false" ht="21.75" hidden="false" customHeight="true" outlineLevel="0" collapsed="false">
      <c r="A65" s="123"/>
      <c r="B65" s="123"/>
      <c r="C65" s="123"/>
      <c r="D65" s="123"/>
      <c r="E65" s="123"/>
      <c r="F65" s="123"/>
      <c r="G65" s="123"/>
      <c r="H65" s="123"/>
    </row>
    <row r="66" customFormat="false" ht="21.75" hidden="false" customHeight="true" outlineLevel="0" collapsed="false">
      <c r="A66" s="123"/>
      <c r="B66" s="123"/>
      <c r="C66" s="123"/>
      <c r="D66" s="123"/>
      <c r="E66" s="123"/>
      <c r="F66" s="123"/>
      <c r="G66" s="123"/>
      <c r="H66" s="123"/>
    </row>
    <row r="67" customFormat="false" ht="21.75" hidden="false" customHeight="true" outlineLevel="0" collapsed="false">
      <c r="A67" s="123"/>
      <c r="B67" s="123"/>
      <c r="C67" s="123"/>
      <c r="D67" s="123"/>
      <c r="E67" s="123"/>
      <c r="F67" s="123"/>
      <c r="G67" s="123"/>
      <c r="H67" s="123"/>
    </row>
    <row r="68" customFormat="false" ht="21.75" hidden="false" customHeight="true" outlineLevel="0" collapsed="false">
      <c r="A68" s="123"/>
      <c r="B68" s="123"/>
      <c r="C68" s="123"/>
      <c r="D68" s="123"/>
      <c r="E68" s="123"/>
      <c r="F68" s="123"/>
      <c r="G68" s="123"/>
      <c r="H68" s="123"/>
    </row>
    <row r="69" customFormat="false" ht="21.75" hidden="false" customHeight="true" outlineLevel="0" collapsed="false">
      <c r="A69" s="123"/>
      <c r="B69" s="123"/>
      <c r="C69" s="123"/>
      <c r="D69" s="123"/>
      <c r="E69" s="123"/>
      <c r="F69" s="123"/>
      <c r="G69" s="123"/>
      <c r="H69" s="123"/>
    </row>
    <row r="70" customFormat="false" ht="21.75" hidden="false" customHeight="true" outlineLevel="0" collapsed="false">
      <c r="A70" s="123"/>
      <c r="B70" s="123"/>
      <c r="C70" s="123"/>
      <c r="D70" s="123"/>
      <c r="E70" s="123"/>
      <c r="F70" s="123"/>
      <c r="G70" s="123"/>
      <c r="H70" s="123"/>
    </row>
    <row r="71" customFormat="false" ht="21.75" hidden="false" customHeight="true" outlineLevel="0" collapsed="false">
      <c r="A71" s="123"/>
      <c r="B71" s="123"/>
      <c r="C71" s="123"/>
      <c r="D71" s="123"/>
      <c r="E71" s="123"/>
      <c r="F71" s="123"/>
      <c r="G71" s="123"/>
      <c r="H71" s="123"/>
    </row>
    <row r="72" customFormat="false" ht="21.75" hidden="false" customHeight="true" outlineLevel="0" collapsed="false">
      <c r="A72" s="123"/>
      <c r="B72" s="123"/>
      <c r="C72" s="123"/>
      <c r="D72" s="123"/>
      <c r="E72" s="123"/>
      <c r="F72" s="123"/>
      <c r="G72" s="123"/>
      <c r="H72"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50:H50"/>
    <mergeCell ref="A62:D62"/>
    <mergeCell ref="E62:H62"/>
    <mergeCell ref="A63:D72"/>
    <mergeCell ref="E63:H72"/>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60">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60">
    <cfRule type="expression" priority="18" aboveAverage="0" equalAverage="0" bottom="0" percent="0" rank="0" text="" dxfId="35">
      <formula>LEFT($H23,3)="N/A"</formula>
    </cfRule>
  </conditionalFormatting>
  <conditionalFormatting sqref="D23:D60">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F10 MH1140 12-Oct-26 KUL-PEN Class BC</oddHeader>
    <oddFooter>&amp;L&amp;"Arial,Bold"&amp;8 F10 MH1140 12-Oct-26 KUL-PEN Class BC&amp;C&amp;"Arial,Regular"&amp;8 Printed: ____________________&amp;R&amp;"Arial,Regular"&amp;8 F10  Page &amp;P of &amp;N</oddFooter>
  </headerFooter>
  <rowBreaks count="10" manualBreakCount="10">
    <brk id="20" man="true" max="16383" min="0"/>
    <brk id="26" man="true" max="16383" min="0"/>
    <brk id="30" man="true" max="16383" min="0"/>
    <brk id="35" man="true" max="16383" min="0"/>
    <brk id="39" man="true" max="16383" min="0"/>
    <brk id="42" man="true" max="16383" min="0"/>
    <brk id="46" man="true" max="16383" min="0"/>
    <brk id="51" man="true" max="16383" min="0"/>
    <brk id="55" man="true" max="16383" min="0"/>
    <brk id="59" man="true" max="16383" min="0"/>
  </row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F11  "&amp;Flights!$F$15&amp;"  "&amp;TEXT(Flights!$D$15,"DD-MMM-YY")&amp;" ("&amp;Flights!$E$15&amp;")  "&amp;Flights!$G$15&amp;" → "&amp;Flights!$H$15&amp;"  |  Class "&amp;Flights!$K$15</f>
        <v>SKYTRAX 2026 CATERING READINESS CHECKLIST  |  F11  MH1149  12-Oct-26 (MON)  PEN → KUL  |  Class EY</v>
      </c>
      <c r="B1" s="93"/>
      <c r="C1" s="93"/>
      <c r="D1" s="93"/>
      <c r="E1" s="93"/>
      <c r="F1" s="93"/>
      <c r="G1" s="93"/>
      <c r="H1" s="93"/>
    </row>
    <row r="2" customFormat="false" ht="12.75" hidden="false" customHeight="true" outlineLevel="0" collapsed="false">
      <c r="A2" s="94" t="s">
        <v>4788</v>
      </c>
      <c r="B2" s="95" t="str">
        <f aca="false">Flights!$F$15&amp;"   "&amp;TEXT(Flights!$D$15,"DD-MMM-YY")&amp;" ("&amp;Flights!$E$15&amp;")"</f>
        <v>MH1149   12-Oct-26 (MON)</v>
      </c>
      <c r="C2" s="95"/>
      <c r="D2" s="95"/>
      <c r="E2" s="96" t="s">
        <v>4789</v>
      </c>
      <c r="F2" s="97" t="str">
        <f aca="false">Flights!$AT$15</f>
        <v>NOT READY – DOCUMENTS</v>
      </c>
      <c r="G2" s="97"/>
      <c r="H2" s="97"/>
    </row>
    <row r="3" customFormat="false" ht="24" hidden="false" customHeight="true" outlineLevel="0" collapsed="false">
      <c r="A3" s="94" t="s">
        <v>4790</v>
      </c>
      <c r="B3" s="95" t="str">
        <f aca="false">Flights!$G$15&amp;" → "&amp;Flights!$H$15&amp;"   Class "&amp;Flights!$K$15&amp;"   Seat "&amp;Flights!$O$15</f>
        <v>PEN → KUL   Class EY   Seat 4A</v>
      </c>
      <c r="C3" s="95"/>
      <c r="D3" s="95"/>
      <c r="E3" s="96" t="s">
        <v>73</v>
      </c>
      <c r="F3" s="96" t="s">
        <v>4791</v>
      </c>
      <c r="G3" s="96" t="s">
        <v>4792</v>
      </c>
      <c r="H3" s="96"/>
    </row>
    <row r="4" customFormat="false" ht="24" hidden="false" customHeight="true" outlineLevel="0" collapsed="false">
      <c r="A4" s="94" t="s">
        <v>4793</v>
      </c>
      <c r="B4" s="95" t="str">
        <f aca="false">IF(ISNUMBER(Flights!$I$15),TEXT(Flights!$I$15,"DD-MMM-YY HH:MM"),"")&amp;" "&amp;Flights!$G$15&amp;"  →  "&amp;IF(ISNUMBER(Flights!$J$15),TEXT(Flights!$J$15,"DD-MMM-YY HH:MM"),"")&amp;" "&amp;Flights!$H$15</f>
        <v>12-Oct-26 15:50 PEN  →  12-Oct-26 16:55 KUL</v>
      </c>
      <c r="C4" s="95"/>
      <c r="D4" s="95"/>
      <c r="E4" s="94" t="s">
        <v>4794</v>
      </c>
      <c r="F4" s="98" t="str">
        <f aca="false">IF(ISNUMBER(Flights!$AG$15),TEXT(Flights!$AG$15,"DD-MMM-YY HH:MM"),"")&amp;" "&amp;Flights!$V$15</f>
        <v>05-Oct-26 15:50 KUL</v>
      </c>
      <c r="G4" s="99" t="n">
        <f aca="false">Flights!$AJ$15</f>
        <v>0</v>
      </c>
      <c r="H4" s="99"/>
    </row>
    <row r="5" customFormat="false" ht="24" hidden="false" customHeight="true" outlineLevel="0" collapsed="false">
      <c r="A5" s="94" t="s">
        <v>4795</v>
      </c>
      <c r="B5" s="95" t="str">
        <f aca="false">Flights!$L$15&amp;" – "&amp;Flights!$M$15</f>
        <v>B738MAX – B737-8 (B7M8)</v>
      </c>
      <c r="C5" s="95"/>
      <c r="D5" s="95"/>
      <c r="E5" s="94" t="s">
        <v>4796</v>
      </c>
      <c r="F5" s="98" t="str">
        <f aca="false">IF(ISNUMBER(Flights!$AH$15),TEXT(Flights!$AH$15,"DD-MMM-YY HH:MM"),"")&amp;" "&amp;Flights!$V$15</f>
        <v>11-Oct-26 15:50 KUL</v>
      </c>
      <c r="G5" s="99" t="n">
        <f aca="false">Flights!$AK$15</f>
        <v>0</v>
      </c>
      <c r="H5" s="99"/>
    </row>
    <row r="6" customFormat="false" ht="24" hidden="false" customHeight="true" outlineLevel="0" collapsed="false">
      <c r="A6" s="94" t="s">
        <v>4797</v>
      </c>
      <c r="B6" s="95" t="str">
        <f aca="false">IF(TRIM(Flights!$N$15)="","__________________",Flights!$N$15)</f>
        <v>__________________</v>
      </c>
      <c r="C6" s="95"/>
      <c r="D6" s="95"/>
      <c r="E6" s="94" t="s">
        <v>4798</v>
      </c>
      <c r="F6" s="98" t="str">
        <f aca="false">IF(ISNUMBER(Flights!$AI$15),TEXT(Flights!$AI$15,"DD-MMM-YY HH:MM"),"")&amp;" "&amp;Flights!$V$15&amp;IF(Flights!$AI$15=Flights!$AH$15,"  (= T-24H due)","")</f>
        <v>12-Oct-26 03:50 KUL</v>
      </c>
      <c r="G6" s="99" t="n">
        <f aca="false">Flights!$AL$15</f>
        <v>0</v>
      </c>
      <c r="H6" s="99"/>
    </row>
    <row r="7" customFormat="false" ht="24" hidden="false" customHeight="true" outlineLevel="0" collapsed="false">
      <c r="A7" s="94" t="s">
        <v>4799</v>
      </c>
      <c r="B7" s="95" t="str">
        <f aca="false">Flights!$T$15</f>
        <v>Refreshment (Peanut &amp; Water)</v>
      </c>
      <c r="C7" s="95"/>
      <c r="D7" s="95"/>
      <c r="E7" s="94" t="s">
        <v>4800</v>
      </c>
      <c r="F7" s="98" t="str">
        <f aca="false">"STD "&amp;IF(ISNUMBER(Flights!$I$15),TEXT(Flights!$I$15,"DD-MMM-YY HH:MM"),"")&amp;" "&amp;Flights!$G$15&amp;" (dep stn)"</f>
        <v>STD 12-Oct-26 15:50 PEN (dep stn)</v>
      </c>
      <c r="G7" s="99" t="n">
        <f aca="false">Flights!$AM$15</f>
        <v>0</v>
      </c>
      <c r="H7" s="99"/>
    </row>
    <row r="8" customFormat="false" ht="12.75" hidden="false" customHeight="true" outlineLevel="0" collapsed="false">
      <c r="A8" s="94" t="s">
        <v>155</v>
      </c>
      <c r="B8" s="95" t="str">
        <f aca="false">Flights!$V$15&amp;"   (reference uplift stns: "&amp;Flights!$U$15&amp;")"</f>
        <v>KUL   (reference uplift stns: KUL)</v>
      </c>
      <c r="C8" s="95"/>
      <c r="D8" s="95"/>
      <c r="E8" s="94" t="s">
        <v>4801</v>
      </c>
      <c r="F8" s="100" t="s">
        <v>4802</v>
      </c>
      <c r="G8" s="99" t="n">
        <f aca="false">Flights!$AN$15</f>
        <v>0</v>
      </c>
      <c r="H8" s="99"/>
    </row>
    <row r="9" customFormat="false" ht="12.75" hidden="false" customHeight="true" outlineLevel="0" collapsed="false">
      <c r="A9" s="94" t="s">
        <v>4803</v>
      </c>
      <c r="B9" s="95" t="str">
        <f aca="false">TRIM(Flights!$P$15&amp;"  "&amp;Flights!$Q$15)</f>
        <v>3H 05M</v>
      </c>
      <c r="C9" s="95"/>
      <c r="D9" s="95"/>
      <c r="E9" s="94" t="s">
        <v>4804</v>
      </c>
      <c r="F9" s="101" t="n">
        <f aca="false">Flights!$AP$15</f>
        <v>0</v>
      </c>
      <c r="G9" s="102" t="n">
        <f aca="false">Flights!$AQ$15</f>
        <v>0</v>
      </c>
      <c r="H9" s="103" t="n">
        <f aca="false">Flights!$AU$15</f>
        <v>0</v>
      </c>
    </row>
    <row r="10" customFormat="false" ht="24" hidden="false" customHeight="true" outlineLevel="0" collapsed="false">
      <c r="A10" s="94" t="s">
        <v>4805</v>
      </c>
      <c r="B10" s="95" t="str">
        <f aca="false">IF(TRIM(Flights!$X$15)="","__________________",Flights!$X$15)</f>
        <v>__________________</v>
      </c>
      <c r="C10" s="95"/>
      <c r="D10" s="95"/>
      <c r="E10" s="94" t="s">
        <v>4806</v>
      </c>
      <c r="F10" s="104" t="n">
        <f aca="false">Flights!$AO$15</f>
        <v>22</v>
      </c>
      <c r="G10" s="105" t="n">
        <f aca="false">Flights!$AS$15</f>
        <v>1</v>
      </c>
      <c r="H10" s="106" t="n">
        <f aca="false">Flights!$AR$15</f>
        <v>2</v>
      </c>
    </row>
    <row r="11" customFormat="false" ht="21" hidden="false" customHeight="true" outlineLevel="0" collapsed="false">
      <c r="A11" s="94" t="s">
        <v>4807</v>
      </c>
      <c r="B11" s="95" t="str">
        <f aca="false">IF(TRIM(Flights!$Y$15)="","__________________",Flights!$Y$15)</f>
        <v>__________________</v>
      </c>
      <c r="C11" s="95"/>
      <c r="D11" s="95"/>
      <c r="E11" s="94" t="s">
        <v>4808</v>
      </c>
      <c r="F11" s="97" t="str">
        <f aca="false">Flights!$AV$15&amp;" / "&amp;Flights!$AW$15</f>
        <v>0 / 22</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56.25" hidden="false" customHeight="true" outlineLevel="0" collapsed="false">
      <c r="A14" s="124" t="str">
        <f aca="false">"ROUND-TRIP LEG: all catering is loaded at KUL on the carrying flight (candidate "&amp;Flights!$W$15&amp;IFERROR(" "&amp;INDEX(Flights!$F$5:$F$26,MATCH(TRIM(Flights!$W$15),Flights!$A$5:$A$26,0)),"")&amp;"); prep dues are capped at the KUL loading window; on-board checks at "&amp;Flights!$G$15&amp;". Each row shows its own due."&amp;CHAR(10)&amp;"KUL loading window opens: "&amp;IF(ISNUMBER(Flights!$AY$15),TEXT(Flights!$AY$15+IFERROR(INDEX(Settings!$C$13:$C$22,MATCH("KUL",Settings!$A$13:$A$22,0)),8)/24,"DD-MMM-YY HH:MM")&amp;" KUL","(not set)")&amp;"   |   Carrying flight leaves KUL: "&amp;IF(ISNUMBER(Flights!$AY$15),TEXT(Flights!$AY$15+UpliftWindowH/24+IFERROR(INDEX(Settings!$C$13:$C$22,MATCH("KUL",Settings!$A$13:$A$22,0)),8)/24,"DD-MMM-YY HH:MM")&amp;" KUL","(not set)")&amp;IF(ISNUMBER(Flights!$AX$15),"",IF(TRIM(Flights!$W$15)&lt;&gt;""," (agenda candidate – actual not yet entered)"," (latest possible – actual not yet entered)"))&amp;IF(ISNUMBER(Flights!$AX$15),"",CHAR(10)&amp;"CARRYING FLIGHT NOT YET ENTERED (Flights sheet): its timing is assumed, so on-board (UPLIFT) checks before the assumed arrival show INVALID – before uplift window.")</f>
        <v>ROUND-TRIP LEG: all catering is loaded at KUL on the carrying flight (candidate F10 MH1140); prep dues are capped at the KUL loading window; on-board checks at PEN. Each row shows its own due.
KUL loading window opens: 12-Oct-26 05:45 KUL   |   Carrying flight leaves KUL: 12-Oct-26 11:45 KUL (agenda candidate – actual not yet entered)
CARRYING FLIGHT NOT YET ENTERED (Flights sheet): its timing is assumed, so on-board (UPLIFT) checks before the assumed arrival show INVALID – before uplift window.</v>
      </c>
      <c r="B14" s="124"/>
      <c r="C14" s="124"/>
      <c r="D14" s="124"/>
      <c r="E14" s="124"/>
      <c r="F14" s="124"/>
      <c r="G14" s="124"/>
      <c r="H14" s="124"/>
    </row>
    <row r="15" customFormat="false" ht="13.5" hidden="false" customHeight="true" outlineLevel="0" collapsed="false">
      <c r="A15" s="96" t="s">
        <v>4813</v>
      </c>
      <c r="B15" s="96" t="s">
        <v>4814</v>
      </c>
      <c r="C15" s="96" t="s">
        <v>4815</v>
      </c>
      <c r="D15" s="96"/>
      <c r="E15" s="96" t="s">
        <v>4816</v>
      </c>
      <c r="F15" s="96" t="s">
        <v>4817</v>
      </c>
      <c r="G15" s="96"/>
      <c r="H15" s="96"/>
    </row>
    <row r="16" customFormat="false" ht="36" hidden="false" customHeight="true" outlineLevel="0" collapsed="false">
      <c r="A16" s="94" t="s">
        <v>4818</v>
      </c>
      <c r="B16" s="95" t="str">
        <f aca="false">IF(Documents!$F$15="","",Documents!$F$15)</f>
        <v/>
      </c>
      <c r="C16" s="100" t="str">
        <f aca="false">IF(Documents!$G$15="","",Documents!$G$15)&amp;IF(ISNUMBER(Documents!$H$15),"  "&amp;TEXT(Documents!$H$15,"DD-MMM-YY"),"")</f>
        <v/>
      </c>
      <c r="D16" s="100"/>
      <c r="E16" s="114" t="str">
        <f aca="false">IF(Documents!$J$15="OUTSTANDING","OUTSTANDING – attach before T-7D (due "&amp;IF(ISNUMBER(Flights!$AG$15),TEXT(Flights!$AG$15,"DD-MMM-YY HH:MM"),"")&amp;" "&amp;Flights!$V$15&amp;")",IF(Documents!$J$15="","Status not recorded",Documents!$J$15))</f>
        <v>OUTSTANDING – attach before T-7D (due 05-Oct-26 15:50 KUL)</v>
      </c>
      <c r="F16" s="115" t="str">
        <f aca="false">"Staple behind this sheet as page A1."&amp;IF(Documents!$I$15="",""," Location: "&amp;Documents!$I$15)</f>
        <v>Staple behind this sheet as page A1.</v>
      </c>
      <c r="G16" s="115"/>
      <c r="H16" s="115"/>
    </row>
    <row r="17" customFormat="false" ht="36" hidden="false" customHeight="true" outlineLevel="0" collapsed="false">
      <c r="A17" s="94" t="s">
        <v>4819</v>
      </c>
      <c r="B17" s="95" t="str">
        <f aca="false">IF(Documents!$K$15="","",Documents!$K$15)</f>
        <v/>
      </c>
      <c r="C17" s="100" t="str">
        <f aca="false">IF(Documents!$L$15="","",Documents!$L$15)&amp;IF(ISNUMBER(Documents!$M$15),"  "&amp;TEXT(Documents!$M$15,"DD-MMM-YY"),"")</f>
        <v/>
      </c>
      <c r="D17" s="100"/>
      <c r="E17" s="114" t="str">
        <f aca="false">IF(Documents!$O$15="OUTSTANDING","OUTSTANDING – attach before T-7D (due "&amp;IF(ISNUMBER(Flights!$AG$15),TEXT(Flights!$AG$15,"DD-MMM-YY HH:MM"),"")&amp;" "&amp;Flights!$V$15&amp;")",IF(Documents!$O$15="","Status not recorded",Documents!$O$15))</f>
        <v>OUTSTANDING – attach before T-7D (due 05-Oct-26 15:50 KUL)</v>
      </c>
      <c r="F17" s="115" t="str">
        <f aca="false">"Staple behind this sheet as page A2."&amp;IF(Documents!$N$15="",""," Location: "&amp;Documents!$N$15)</f>
        <v>Staple behind this sheet as page A2.</v>
      </c>
      <c r="G17" s="115"/>
      <c r="H17" s="115"/>
    </row>
    <row r="18" customFormat="false" ht="22.5" hidden="false" customHeight="true" outlineLevel="0" collapsed="false">
      <c r="A18" s="94" t="s">
        <v>4820</v>
      </c>
      <c r="B18" s="116" t="str">
        <f aca="false">IF(Documents!$Q$15="","",Documents!$Q$15)</f>
        <v>Not supplied with brief – obtain from caterer / MAGCS. Return catering loaded at KUL: GLD must show return-leg stowage.</v>
      </c>
      <c r="C18" s="116"/>
      <c r="D18" s="116"/>
      <c r="E18" s="116"/>
      <c r="F18" s="116"/>
      <c r="G18" s="116"/>
      <c r="H18" s="116"/>
    </row>
    <row r="19" customFormat="false" ht="13.5" hidden="false" customHeight="true" outlineLevel="0" collapsed="false">
      <c r="A19" s="117" t="s">
        <v>4821</v>
      </c>
      <c r="B19" s="117"/>
      <c r="C19" s="117" t="s">
        <v>4822</v>
      </c>
      <c r="D19" s="117"/>
      <c r="E19" s="117"/>
      <c r="F19" s="117" t="s">
        <v>4823</v>
      </c>
      <c r="G19" s="117"/>
      <c r="H19" s="117"/>
    </row>
    <row r="20" customFormat="false" ht="18" hidden="false" customHeight="true" outlineLevel="0" collapsed="false">
      <c r="A20" s="95" t="str">
        <f aca="false">"Name: "&amp;IF(TRIM(Flights!$Y$15)="","__________________",Flights!$Y$15)</f>
        <v>Name: __________________</v>
      </c>
      <c r="B20" s="95"/>
      <c r="C20" s="95" t="str">
        <f aca="false">"Name: __________________"</f>
        <v>Name: __________________</v>
      </c>
      <c r="D20" s="95"/>
      <c r="E20" s="95"/>
      <c r="F20" s="95" t="str">
        <f aca="false">"Name: __________________"&amp;"   Station: "&amp;Flights!$V$15</f>
        <v>Name: __________________   Station: KUL</v>
      </c>
      <c r="G20" s="95"/>
      <c r="H20" s="95"/>
    </row>
    <row r="21" customFormat="false" ht="30" hidden="false" customHeight="true" outlineLevel="0" collapsed="false">
      <c r="A21" s="118" t="s">
        <v>4824</v>
      </c>
      <c r="B21" s="118"/>
      <c r="C21" s="118" t="s">
        <v>4824</v>
      </c>
      <c r="D21" s="118"/>
      <c r="E21" s="118"/>
      <c r="F21" s="118" t="s">
        <v>4824</v>
      </c>
      <c r="G21" s="118"/>
      <c r="H21" s="118"/>
    </row>
    <row r="22" customFormat="false" ht="24" hidden="false" customHeight="true" outlineLevel="0" collapsed="false">
      <c r="A22" s="96" t="s">
        <v>4825</v>
      </c>
      <c r="B22" s="96" t="s">
        <v>4826</v>
      </c>
      <c r="C22" s="96" t="s">
        <v>4827</v>
      </c>
      <c r="D22" s="96" t="s">
        <v>4828</v>
      </c>
      <c r="E22" s="96" t="s">
        <v>4829</v>
      </c>
      <c r="F22" s="96" t="s">
        <v>4830</v>
      </c>
      <c r="G22" s="96" t="s">
        <v>4831</v>
      </c>
      <c r="H22" s="96" t="s">
        <v>126</v>
      </c>
    </row>
    <row r="23" customFormat="false" ht="25.5" hidden="false" customHeight="true" outlineLevel="0" collapsed="false">
      <c r="A23" s="119" t="str">
        <f aca="false">"T-7D — 7 days before departure  |  Due "&amp;IF(ISNUMBER(Flights!$AG$15),TEXT(Flights!$AG$15,"DD-MMM-YY HH:MM"),"")&amp;" "&amp;Flights!$V$15&amp;" (meal uplift stn)"&amp;" (rows with another due show their own)  |  Complete "&amp;IF(ISNUMBER(Flights!$AJ$15),TEXT(Flights!$AJ$15,"0%"),Flights!$AJ$15)&amp;"  |  10 lines"</f>
        <v>T-7D — 7 days before departure  |  Due 05-Oct-26 15:50 KUL (meal uplift stn) (rows with another due show their own)  |  Complete 0%  |  10 lines</v>
      </c>
      <c r="B23" s="119"/>
      <c r="C23" s="119"/>
      <c r="D23" s="119"/>
      <c r="E23" s="119"/>
      <c r="F23" s="119"/>
      <c r="G23" s="119"/>
      <c r="H23" s="119"/>
    </row>
    <row r="24" customFormat="false" ht="114" hidden="false" customHeight="true" outlineLevel="0" collapsed="false">
      <c r="A24" s="120" t="str">
        <f aca="false">Checks!$A$357&amp;CHAR(10)&amp;IF(Checks!$I$357="","",Checks!$I$357&amp;": ")&amp;Checks!$J$357</f>
        <v>F11-T7-01
Meal: Meal sensory testing completed for this flight's menu cycle (assessed class)</v>
      </c>
      <c r="B24" s="120" t="str">
        <f aca="false">Checks!$K$357&amp;IF(Checks!$O$357="","",IF(Checks!$K$357="","",CHAR(10))&amp;"Note: "&amp;Checks!$O$357)</f>
        <v>Record panel result / score in Result
Note: Refreshment service: sensory test covers the refreshment items.</v>
      </c>
      <c r="C24" s="120" t="str">
        <f aca="false">Checks!$N$357&amp;CHAR(10)&amp;IF(ISNUMBER(Checks!$R$357),TEXT(Checks!$R$357,"DD-MMM-YY HH:MM"),"")&amp;" "&amp;Checks!$P$357</f>
        <v>Required
05-Oct-26 15:50 KUL</v>
      </c>
      <c r="D24" s="120" t="str">
        <f aca="false">IF(TRIM(Checks!$U$357)&lt;&gt;"",Checks!$U$357&amp;IF(Checks!$AB$357="","",CHAR(10)&amp;"CA: "&amp;Checks!$AB$357),IF(LEFT(Checks!$AH$357,10)="N/A – RULE","","[ ] Pass"&amp;CHAR(10)&amp;"[ ] Pass after CA"&amp;CHAR(10)&amp;"[ ] Fail"&amp;IF(Checks!$AT$357=1,CHAR(10)&amp;"[ ] N/A","")&amp;CHAR(10)&amp;"CA: Open / Closed"))</f>
        <v>[ ] Pass
[ ] Pass after CA
[ ] Fail
CA: Open / Closed</v>
      </c>
      <c r="E24" s="120" t="str">
        <f aca="false">IF(Checks!$V$357="","",Checks!$V$357)&amp;IF(Checks!$AC$357="","",IF(Checks!$V$357="","",CHAR(10))&amp;"N/A just.: "&amp;Checks!$AC$357)&amp;IF(OR(Checks!$W$357&lt;&gt;"",AND(Checks!$AQ$357=1,NOT(LEFT(Checks!$AH$357,10)="N/A – RULE"))),CHAR(10)&amp;"Batch: "&amp;IF(Checks!$W$357="","____________",Checks!$W$357),"")&amp;IF(OR(Checks!$X$357&lt;&gt;"",Checks!$Y$357&lt;&gt;"",AND(Checks!$AR$357=1,NOT(LEFT(Checks!$AH$357,10)="N/A – RULE"))),CHAR(10)&amp;"Exp: "&amp;IF(Checks!$X$357="","______",Checks!$X$357)&amp;"  /  Act: "&amp;IF(Checks!$Y$357="","______",Checks!$Y$357),"")</f>
        <v/>
      </c>
      <c r="F24" s="120" t="str">
        <f aca="false">IF(AND(LEFT(Checks!$AH$357,10)="N/A – RULE",TRIM(Checks!$S$357&amp;Checks!$Z$357)=""),"","Type: "&amp;IF(TRIM(Checks!$S$357)="","______________ (see cover list)",Checks!$S$357)&amp;CHAR(10)&amp;"ID: "&amp;IF(TRIM(Checks!$Z$357)="","______________ (record's own no.)",Checks!$Z$357))&amp;IF(Checks!$AA$357="","",CHAR(10)&amp;"CA: "&amp;Checks!$AA$357)</f>
        <v>Type: ______________ (see cover list)
ID: ______________ (record's own no.)</v>
      </c>
      <c r="G24" s="120" t="str">
        <f aca="false">IF(AND(LEFT(Checks!$AH$357,10)="N/A – RULE",NOT(ISNUMBER(Checks!$AD$357)),Checks!$AE$357="",Checks!$T$357=""),"","Done: "&amp;IF(ISNUMBER(Checks!$AD$357),TEXT(Checks!$AD$357,"DD-MMM-YY HH:MM"),"____________")&amp;" "&amp;Checks!$P$357&amp;CHAR(10)&amp;"Verifier: "&amp;IF(Checks!$AE$357="","____________",Checks!$AE$357)&amp;CHAR(10)&amp;"PIC: "&amp;IF(Checks!$T$357="","____________",Checks!$T$357))</f>
        <v>Done: ____________ KUL
Verifier: ____________
PIC: ____________</v>
      </c>
      <c r="H24" s="121" t="str">
        <f aca="false">IF(Checks!$AH$357="","",Checks!$AH$357)</f>
        <v>OPEN</v>
      </c>
    </row>
    <row r="25" customFormat="false" ht="114" hidden="false" customHeight="true" outlineLevel="0" collapsed="false">
      <c r="A25" s="120" t="str">
        <f aca="false">Checks!$A$358&amp;CHAR(10)&amp;IF(Checks!$I$358="","",Checks!$I$358&amp;": ")&amp;Checks!$J$358</f>
        <v>F11-T7-02
Menu: Printed menu cards confirmed (content, cycle, language, quantity)</v>
      </c>
      <c r="B25" s="120" t="str">
        <f aca="false">Checks!$K$358&amp;IF(Checks!$O$358="","",IF(Checks!$K$358="","",CHAR(10))&amp;"Note: "&amp;Checks!$O$358)</f>
        <v>Menu card matches approved menu for this flight
Note: Refreshment service (peanut &amp; water). If no printed menu card is used, mark N/A with the confirmation as justification.</v>
      </c>
      <c r="C25" s="120" t="str">
        <f aca="false">Checks!$N$358&amp;CHAR(10)&amp;IF(ISNUMBER(Checks!$R$358),TEXT(Checks!$R$358,"DD-MMM-YY HH:MM"),"")&amp;" "&amp;Checks!$P$358</f>
        <v>Required
05-Oct-26 15:50 KUL</v>
      </c>
      <c r="D25" s="120" t="str">
        <f aca="false">IF(TRIM(Checks!$U$358)&lt;&gt;"",Checks!$U$358&amp;IF(Checks!$AB$358="","",CHAR(10)&amp;"CA: "&amp;Checks!$AB$358),IF(LEFT(Checks!$AH$358,10)="N/A – RULE","","[ ] Pass"&amp;CHAR(10)&amp;"[ ] Pass after CA"&amp;CHAR(10)&amp;"[ ] Fail"&amp;IF(Checks!$AT$358=1,CHAR(10)&amp;"[ ] N/A","")&amp;CHAR(10)&amp;"CA: Open / Closed"))</f>
        <v>[ ] Pass
[ ] Pass after CA
[ ] Fail
[ ] N/A
CA: Open / Closed</v>
      </c>
      <c r="E25" s="120" t="str">
        <f aca="false">IF(Checks!$V$358="","",Checks!$V$358)&amp;IF(Checks!$AC$358="","",IF(Checks!$V$358="","",CHAR(10))&amp;"N/A just.: "&amp;Checks!$AC$358)&amp;IF(OR(Checks!$W$358&lt;&gt;"",AND(Checks!$AQ$358=1,NOT(LEFT(Checks!$AH$358,10)="N/A – RULE"))),CHAR(10)&amp;"Batch: "&amp;IF(Checks!$W$358="","____________",Checks!$W$358),"")&amp;IF(OR(Checks!$X$358&lt;&gt;"",Checks!$Y$358&lt;&gt;"",AND(Checks!$AR$358=1,NOT(LEFT(Checks!$AH$358,10)="N/A – RULE"))),CHAR(10)&amp;"Exp: "&amp;IF(Checks!$X$358="","______",Checks!$X$358)&amp;"  /  Act: "&amp;IF(Checks!$Y$358="","______",Checks!$Y$358),"")</f>
        <v/>
      </c>
      <c r="F25" s="120" t="str">
        <f aca="false">IF(AND(LEFT(Checks!$AH$358,10)="N/A – RULE",TRIM(Checks!$S$358&amp;Checks!$Z$358)=""),"","Type: "&amp;IF(TRIM(Checks!$S$358)="","______________ (see cover list)",Checks!$S$358)&amp;CHAR(10)&amp;"ID: "&amp;IF(TRIM(Checks!$Z$358)="","______________ (record's own no.)",Checks!$Z$358))&amp;IF(Checks!$AA$358="","",CHAR(10)&amp;"CA: "&amp;Checks!$AA$358)</f>
        <v>Type: ______________ (see cover list)
ID: ______________ (record's own no.)</v>
      </c>
      <c r="G25" s="120" t="str">
        <f aca="false">IF(AND(LEFT(Checks!$AH$358,10)="N/A – RULE",NOT(ISNUMBER(Checks!$AD$358)),Checks!$AE$358="",Checks!$T$358=""),"","Done: "&amp;IF(ISNUMBER(Checks!$AD$358),TEXT(Checks!$AD$358,"DD-MMM-YY HH:MM"),"____________")&amp;" "&amp;Checks!$P$358&amp;CHAR(10)&amp;"Verifier: "&amp;IF(Checks!$AE$358="","____________",Checks!$AE$358)&amp;CHAR(10)&amp;"PIC: "&amp;IF(Checks!$T$358="","____________",Checks!$T$358))</f>
        <v>Done: ____________ KUL
Verifier: ____________
PIC: ____________</v>
      </c>
      <c r="H25" s="121" t="str">
        <f aca="false">IF(Checks!$AH$358="","",Checks!$AH$358)</f>
        <v>OPEN</v>
      </c>
    </row>
    <row r="26" customFormat="false" ht="114" hidden="false" customHeight="true" outlineLevel="0" collapsed="false">
      <c r="A26" s="120" t="str">
        <f aca="false">Checks!$A$359&amp;CHAR(10)&amp;IF(Checks!$I$359="","",Checks!$I$359&amp;": ")&amp;Checks!$J$359</f>
        <v>F11-T7-03
IFE: Digital menu in IFE confirmed (A339 only)</v>
      </c>
      <c r="B26" s="120" t="str">
        <f aca="false">Checks!$K$359&amp;IF(Checks!$O$359="","",IF(Checks!$K$359="","",CHAR(10))&amp;"Note: "&amp;Checks!$O$359)</f>
        <v>Applies when fleet = A339
Note: Digital IFE menu applies to A339 only (user brief). Applicability follows the Fleet cell on Flights.</v>
      </c>
      <c r="C26" s="120" t="str">
        <f aca="false">Checks!$N$359&amp;CHAR(10)&amp;IF(ISNUMBER(Checks!$R$359),TEXT(Checks!$R$359,"DD-MMM-YY HH:MM"),"")&amp;" "&amp;Checks!$P$359</f>
        <v>N/A – rule
05-Oct-26 15:50 KUL</v>
      </c>
      <c r="D26" s="120" t="str">
        <f aca="false">IF(TRIM(Checks!$U$359)&lt;&gt;"",Checks!$U$359&amp;IF(Checks!$AB$359="","",CHAR(10)&amp;"CA: "&amp;Checks!$AB$359),IF(LEFT(Checks!$AH$359,10)="N/A – RULE","","[ ] Pass"&amp;CHAR(10)&amp;"[ ] Pass after CA"&amp;CHAR(10)&amp;"[ ] Fail"&amp;IF(Checks!$AT$359=1,CHAR(10)&amp;"[ ] N/A","")&amp;CHAR(10)&amp;"CA: Open / Closed"))</f>
        <v/>
      </c>
      <c r="E26" s="120" t="str">
        <f aca="false">IF(Checks!$V$359="","",Checks!$V$359)&amp;IF(Checks!$AC$359="","",IF(Checks!$V$359="","",CHAR(10))&amp;"N/A just.: "&amp;Checks!$AC$359)&amp;IF(OR(Checks!$W$359&lt;&gt;"",AND(Checks!$AQ$359=1,NOT(LEFT(Checks!$AH$359,10)="N/A – RULE"))),CHAR(10)&amp;"Batch: "&amp;IF(Checks!$W$359="","____________",Checks!$W$359),"")&amp;IF(OR(Checks!$X$359&lt;&gt;"",Checks!$Y$359&lt;&gt;"",AND(Checks!$AR$359=1,NOT(LEFT(Checks!$AH$359,10)="N/A – RULE"))),CHAR(10)&amp;"Exp: "&amp;IF(Checks!$X$359="","______",Checks!$X$359)&amp;"  /  Act: "&amp;IF(Checks!$Y$359="","______",Checks!$Y$359),"")</f>
        <v/>
      </c>
      <c r="F26" s="120" t="str">
        <f aca="false">IF(AND(LEFT(Checks!$AH$359,10)="N/A – RULE",TRIM(Checks!$S$359&amp;Checks!$Z$359)=""),"","Type: "&amp;IF(TRIM(Checks!$S$359)="","______________ (see cover list)",Checks!$S$359)&amp;CHAR(10)&amp;"ID: "&amp;IF(TRIM(Checks!$Z$359)="","______________ (record's own no.)",Checks!$Z$359))&amp;IF(Checks!$AA$359="","",CHAR(10)&amp;"CA: "&amp;Checks!$AA$359)</f>
        <v/>
      </c>
      <c r="G26" s="120" t="str">
        <f aca="false">IF(AND(LEFT(Checks!$AH$359,10)="N/A – RULE",NOT(ISNUMBER(Checks!$AD$359)),Checks!$AE$359="",Checks!$T$359=""),"","Done: "&amp;IF(ISNUMBER(Checks!$AD$359),TEXT(Checks!$AD$359,"DD-MMM-YY HH:MM"),"____________")&amp;" "&amp;Checks!$P$359&amp;CHAR(10)&amp;"Verifier: "&amp;IF(Checks!$AE$359="","____________",Checks!$AE$359)&amp;CHAR(10)&amp;"PIC: "&amp;IF(Checks!$T$359="","____________",Checks!$T$359))</f>
        <v/>
      </c>
      <c r="H26" s="121" t="str">
        <f aca="false">IF(Checks!$AH$359="","",Checks!$AH$359)</f>
        <v>N/A – RULE</v>
      </c>
    </row>
    <row r="27" customFormat="false" ht="114" hidden="false" customHeight="true" outlineLevel="0" collapsed="false">
      <c r="A27" s="120" t="str">
        <f aca="false">Checks!$A$360&amp;CHAR(10)&amp;IF(Checks!$I$360="","",Checks!$I$360&amp;": ")&amp;Checks!$J$360</f>
        <v>F11-T7-04
Staffing: Experienced catering officer assigned to this flight</v>
      </c>
      <c r="B27" s="120" t="str">
        <f aca="false">Checks!$K$360&amp;IF(Checks!$O$360="","",IF(Checks!$K$360="","",CHAR(10))&amp;"Note: "&amp;Checks!$O$360)</f>
        <v>Record officer name in Result</v>
      </c>
      <c r="C27" s="120" t="str">
        <f aca="false">Checks!$N$360&amp;CHAR(10)&amp;IF(ISNUMBER(Checks!$R$360),TEXT(Checks!$R$360,"DD-MMM-YY HH:MM"),"")&amp;" "&amp;Checks!$P$360</f>
        <v>Required
05-Oct-26 15:50 KUL</v>
      </c>
      <c r="D27" s="120" t="str">
        <f aca="false">IF(TRIM(Checks!$U$360)&lt;&gt;"",Checks!$U$360&amp;IF(Checks!$AB$360="","",CHAR(10)&amp;"CA: "&amp;Checks!$AB$360),IF(LEFT(Checks!$AH$360,10)="N/A – RULE","","[ ] Pass"&amp;CHAR(10)&amp;"[ ] Pass after CA"&amp;CHAR(10)&amp;"[ ] Fail"&amp;IF(Checks!$AT$360=1,CHAR(10)&amp;"[ ] N/A","")&amp;CHAR(10)&amp;"CA: Open / Closed"))</f>
        <v>[ ] Pass
[ ] Pass after CA
[ ] Fail
CA: Open / Closed</v>
      </c>
      <c r="E27" s="120" t="str">
        <f aca="false">IF(Checks!$V$360="","",Checks!$V$360)&amp;IF(Checks!$AC$360="","",IF(Checks!$V$360="","",CHAR(10))&amp;"N/A just.: "&amp;Checks!$AC$360)&amp;IF(OR(Checks!$W$360&lt;&gt;"",AND(Checks!$AQ$360=1,NOT(LEFT(Checks!$AH$360,10)="N/A – RULE"))),CHAR(10)&amp;"Batch: "&amp;IF(Checks!$W$360="","____________",Checks!$W$360),"")&amp;IF(OR(Checks!$X$360&lt;&gt;"",Checks!$Y$360&lt;&gt;"",AND(Checks!$AR$360=1,NOT(LEFT(Checks!$AH$360,10)="N/A – RULE"))),CHAR(10)&amp;"Exp: "&amp;IF(Checks!$X$360="","______",Checks!$X$360)&amp;"  /  Act: "&amp;IF(Checks!$Y$360="","______",Checks!$Y$360),"")</f>
        <v/>
      </c>
      <c r="F27" s="120" t="str">
        <f aca="false">IF(AND(LEFT(Checks!$AH$360,10)="N/A – RULE",TRIM(Checks!$S$360&amp;Checks!$Z$360)=""),"","Type: "&amp;IF(TRIM(Checks!$S$360)="","______________ (see cover list)",Checks!$S$360)&amp;CHAR(10)&amp;"ID: "&amp;IF(TRIM(Checks!$Z$360)="","______________ (record's own no.)",Checks!$Z$360))&amp;IF(Checks!$AA$360="","",CHAR(10)&amp;"CA: "&amp;Checks!$AA$360)</f>
        <v>Type: ______________ (see cover list)
ID: ______________ (record's own no.)</v>
      </c>
      <c r="G27" s="120" t="str">
        <f aca="false">IF(AND(LEFT(Checks!$AH$360,10)="N/A – RULE",NOT(ISNUMBER(Checks!$AD$360)),Checks!$AE$360="",Checks!$T$360=""),"","Done: "&amp;IF(ISNUMBER(Checks!$AD$360),TEXT(Checks!$AD$360,"DD-MMM-YY HH:MM"),"____________")&amp;" "&amp;Checks!$P$360&amp;CHAR(10)&amp;"Verifier: "&amp;IF(Checks!$AE$360="","____________",Checks!$AE$360)&amp;CHAR(10)&amp;"PIC: "&amp;IF(Checks!$T$360="","____________",Checks!$T$360))</f>
        <v>Done: ____________ KUL
Verifier: ____________
PIC: ____________</v>
      </c>
      <c r="H27" s="121" t="str">
        <f aca="false">IF(Checks!$AH$360="","",Checks!$AH$360)</f>
        <v>OPEN</v>
      </c>
    </row>
    <row r="28" customFormat="false" ht="114" hidden="false" customHeight="true" outlineLevel="0" collapsed="false">
      <c r="A28" s="120" t="str">
        <f aca="false">Checks!$A$361&amp;CHAR(10)&amp;IF(Checks!$I$361="","",Checks!$I$361&amp;": ")&amp;Checks!$J$361</f>
        <v>F11-T7-05
ISOP: All latest applicable ISOP revisions communicated to caterer</v>
      </c>
      <c r="B28" s="120" t="str">
        <f aca="false">Checks!$K$361&amp;IF(Checks!$O$361="","",IF(Checks!$K$361="","",CHAR(10))&amp;"Note: "&amp;Checks!$O$361)</f>
        <v>List revision numbers in Result (see ISOP register)</v>
      </c>
      <c r="C28" s="120" t="str">
        <f aca="false">Checks!$N$361&amp;CHAR(10)&amp;IF(ISNUMBER(Checks!$R$361),TEXT(Checks!$R$361,"DD-MMM-YY HH:MM"),"")&amp;" "&amp;Checks!$P$361</f>
        <v>Required
05-Oct-26 15:50 KUL</v>
      </c>
      <c r="D28" s="120" t="str">
        <f aca="false">IF(TRIM(Checks!$U$361)&lt;&gt;"",Checks!$U$361&amp;IF(Checks!$AB$361="","",CHAR(10)&amp;"CA: "&amp;Checks!$AB$361),IF(LEFT(Checks!$AH$361,10)="N/A – RULE","","[ ] Pass"&amp;CHAR(10)&amp;"[ ] Pass after CA"&amp;CHAR(10)&amp;"[ ] Fail"&amp;IF(Checks!$AT$361=1,CHAR(10)&amp;"[ ] N/A","")&amp;CHAR(10)&amp;"CA: Open / Closed"))</f>
        <v>[ ] Pass
[ ] Pass after CA
[ ] Fail
CA: Open / Closed</v>
      </c>
      <c r="E28" s="120" t="str">
        <f aca="false">IF(Checks!$V$361="","",Checks!$V$361)&amp;IF(Checks!$AC$361="","",IF(Checks!$V$361="","",CHAR(10))&amp;"N/A just.: "&amp;Checks!$AC$361)&amp;IF(OR(Checks!$W$361&lt;&gt;"",AND(Checks!$AQ$361=1,NOT(LEFT(Checks!$AH$361,10)="N/A – RULE"))),CHAR(10)&amp;"Batch: "&amp;IF(Checks!$W$361="","____________",Checks!$W$361),"")&amp;IF(OR(Checks!$X$361&lt;&gt;"",Checks!$Y$361&lt;&gt;"",AND(Checks!$AR$361=1,NOT(LEFT(Checks!$AH$361,10)="N/A – RULE"))),CHAR(10)&amp;"Exp: "&amp;IF(Checks!$X$361="","______",Checks!$X$361)&amp;"  /  Act: "&amp;IF(Checks!$Y$361="","______",Checks!$Y$361),"")</f>
        <v/>
      </c>
      <c r="F28" s="120" t="str">
        <f aca="false">IF(AND(LEFT(Checks!$AH$361,10)="N/A – RULE",TRIM(Checks!$S$361&amp;Checks!$Z$361)=""),"","Type: "&amp;IF(TRIM(Checks!$S$361)="","______________ (see cover list)",Checks!$S$361)&amp;CHAR(10)&amp;"ID: "&amp;IF(TRIM(Checks!$Z$361)="","______________ (record's own no.)",Checks!$Z$361))&amp;IF(Checks!$AA$361="","",CHAR(10)&amp;"CA: "&amp;Checks!$AA$361)</f>
        <v>Type: ______________ (see cover list)
ID: ______________ (record's own no.)</v>
      </c>
      <c r="G28" s="120" t="str">
        <f aca="false">IF(AND(LEFT(Checks!$AH$361,10)="N/A – RULE",NOT(ISNUMBER(Checks!$AD$361)),Checks!$AE$361="",Checks!$T$361=""),"","Done: "&amp;IF(ISNUMBER(Checks!$AD$361),TEXT(Checks!$AD$361,"DD-MMM-YY HH:MM"),"____________")&amp;" "&amp;Checks!$P$361&amp;CHAR(10)&amp;"Verifier: "&amp;IF(Checks!$AE$361="","____________",Checks!$AE$361)&amp;CHAR(10)&amp;"PIC: "&amp;IF(Checks!$T$361="","____________",Checks!$T$361))</f>
        <v>Done: ____________ KUL
Verifier: ____________
PIC: ____________</v>
      </c>
      <c r="H28" s="121" t="str">
        <f aca="false">IF(Checks!$AH$361="","",Checks!$AH$361)</f>
        <v>OPEN</v>
      </c>
    </row>
    <row r="29" customFormat="false" ht="114" hidden="false" customHeight="true" outlineLevel="0" collapsed="false">
      <c r="A29" s="120" t="str">
        <f aca="false">Checks!$A$362&amp;CHAR(10)&amp;IF(Checks!$I$362="","",Checks!$I$362&amp;": ")&amp;Checks!$J$362</f>
        <v>F11-T7-06
ISOP: Caterer acknowledgement of ISOP revisions recorded</v>
      </c>
      <c r="B29" s="120" t="str">
        <f aca="false">Checks!$K$362&amp;IF(Checks!$O$362="","",IF(Checks!$K$362="","",CHAR(10))&amp;"Note: "&amp;Checks!$O$362)</f>
        <v>Record acknowledgement ref in Evidence</v>
      </c>
      <c r="C29" s="120" t="str">
        <f aca="false">Checks!$N$362&amp;CHAR(10)&amp;IF(ISNUMBER(Checks!$R$362),TEXT(Checks!$R$362,"DD-MMM-YY HH:MM"),"")&amp;" "&amp;Checks!$P$362</f>
        <v>Required
05-Oct-26 15:50 KUL</v>
      </c>
      <c r="D29" s="120" t="str">
        <f aca="false">IF(TRIM(Checks!$U$362)&lt;&gt;"",Checks!$U$362&amp;IF(Checks!$AB$362="","",CHAR(10)&amp;"CA: "&amp;Checks!$AB$362),IF(LEFT(Checks!$AH$362,10)="N/A – RULE","","[ ] Pass"&amp;CHAR(10)&amp;"[ ] Pass after CA"&amp;CHAR(10)&amp;"[ ] Fail"&amp;IF(Checks!$AT$362=1,CHAR(10)&amp;"[ ] N/A","")&amp;CHAR(10)&amp;"CA: Open / Closed"))</f>
        <v>[ ] Pass
[ ] Pass after CA
[ ] Fail
CA: Open / Closed</v>
      </c>
      <c r="E29" s="120" t="str">
        <f aca="false">IF(Checks!$V$362="","",Checks!$V$362)&amp;IF(Checks!$AC$362="","",IF(Checks!$V$362="","",CHAR(10))&amp;"N/A just.: "&amp;Checks!$AC$362)&amp;IF(OR(Checks!$W$362&lt;&gt;"",AND(Checks!$AQ$362=1,NOT(LEFT(Checks!$AH$362,10)="N/A – RULE"))),CHAR(10)&amp;"Batch: "&amp;IF(Checks!$W$362="","____________",Checks!$W$362),"")&amp;IF(OR(Checks!$X$362&lt;&gt;"",Checks!$Y$362&lt;&gt;"",AND(Checks!$AR$362=1,NOT(LEFT(Checks!$AH$362,10)="N/A – RULE"))),CHAR(10)&amp;"Exp: "&amp;IF(Checks!$X$362="","______",Checks!$X$362)&amp;"  /  Act: "&amp;IF(Checks!$Y$362="","______",Checks!$Y$362),"")</f>
        <v/>
      </c>
      <c r="F29" s="120" t="str">
        <f aca="false">IF(AND(LEFT(Checks!$AH$362,10)="N/A – RULE",TRIM(Checks!$S$362&amp;Checks!$Z$362)=""),"","Type: "&amp;IF(TRIM(Checks!$S$362)="","______________ (see cover list)",Checks!$S$362)&amp;CHAR(10)&amp;"ID: "&amp;IF(TRIM(Checks!$Z$362)="","______________ (record's own no.)",Checks!$Z$362))&amp;IF(Checks!$AA$362="","",CHAR(10)&amp;"CA: "&amp;Checks!$AA$362)</f>
        <v>Type: ______________ (see cover list)
ID: ______________ (record's own no.)</v>
      </c>
      <c r="G29" s="120" t="str">
        <f aca="false">IF(AND(LEFT(Checks!$AH$362,10)="N/A – RULE",NOT(ISNUMBER(Checks!$AD$362)),Checks!$AE$362="",Checks!$T$362=""),"","Done: "&amp;IF(ISNUMBER(Checks!$AD$362),TEXT(Checks!$AD$362,"DD-MMM-YY HH:MM"),"____________")&amp;" "&amp;Checks!$P$362&amp;CHAR(10)&amp;"Verifier: "&amp;IF(Checks!$AE$362="","____________",Checks!$AE$362)&amp;CHAR(10)&amp;"PIC: "&amp;IF(Checks!$T$362="","____________",Checks!$T$362))</f>
        <v>Done: ____________ KUL
Verifier: ____________
PIC: ____________</v>
      </c>
      <c r="H29" s="121" t="str">
        <f aca="false">IF(Checks!$AH$362="","",Checks!$AH$362)</f>
        <v>OPEN</v>
      </c>
    </row>
    <row r="30" customFormat="false" ht="114" hidden="false" customHeight="true" outlineLevel="0" collapsed="false">
      <c r="A30" s="120" t="str">
        <f aca="false">Checks!$A$363&amp;CHAR(10)&amp;IF(Checks!$I$363="","",Checks!$I$363&amp;": ")&amp;Checks!$J$363</f>
        <v>F11-T7-07
Documents: Galley loading diagram (GLD) received, revision recorded &amp; attached</v>
      </c>
      <c r="B30" s="120" t="str">
        <f aca="false">SUBSTITUTE(Checks!$K$363&amp;IF(Checks!$O$363="","",IF(Checks!$K$363="","",CHAR(10))&amp;"Note: "&amp;Checks!$O$363),"Documents sheet row complete","Recorded on the Documents sheet; copy stapled as A1 / A2")</f>
        <v>Recorded on the Documents sheet; copy stapled as A1 / A2</v>
      </c>
      <c r="C30" s="120" t="str">
        <f aca="false">Checks!$N$363&amp;CHAR(10)&amp;IF(ISNUMBER(Checks!$R$363),TEXT(Checks!$R$363,"DD-MMM-YY HH:MM"),"")&amp;" "&amp;Checks!$P$363</f>
        <v>Required
05-Oct-26 15:50 KUL</v>
      </c>
      <c r="D30" s="120" t="str">
        <f aca="false">IF(TRIM(Checks!$U$363)&lt;&gt;"",Checks!$U$363&amp;IF(Checks!$AB$363="","",CHAR(10)&amp;"CA: "&amp;Checks!$AB$363),IF(LEFT(Checks!$AH$363,10)="N/A – RULE","","[ ] Pass"&amp;CHAR(10)&amp;"[ ] Pass after CA"&amp;CHAR(10)&amp;"[ ] Fail"&amp;IF(Checks!$AT$363=1,CHAR(10)&amp;"[ ] N/A","")&amp;CHAR(10)&amp;"CA: Open / Closed"))</f>
        <v>[ ] Pass
[ ] Pass after CA
[ ] Fail
CA: Open / Closed</v>
      </c>
      <c r="E30" s="120" t="str">
        <f aca="false">IF(Checks!$V$363="","",Checks!$V$363)&amp;IF(Checks!$AC$363="","",IF(Checks!$V$363="","",CHAR(10))&amp;"N/A just.: "&amp;Checks!$AC$363)&amp;IF(OR(Checks!$W$363&lt;&gt;"",AND(Checks!$AQ$363=1,NOT(LEFT(Checks!$AH$363,10)="N/A – RULE"))),CHAR(10)&amp;"Batch: "&amp;IF(Checks!$W$363="","____________",Checks!$W$363),"")&amp;IF(OR(Checks!$X$363&lt;&gt;"",Checks!$Y$363&lt;&gt;"",AND(Checks!$AR$363=1,NOT(LEFT(Checks!$AH$363,10)="N/A – RULE"))),CHAR(10)&amp;"Exp: "&amp;IF(Checks!$X$363="","______",Checks!$X$363)&amp;"  /  Act: "&amp;IF(Checks!$Y$363="","______",Checks!$Y$363),"")</f>
        <v/>
      </c>
      <c r="F30" s="120" t="str">
        <f aca="false">IF(AND(LEFT(Checks!$AH$363,10)="N/A – RULE",TRIM(Checks!$S$363&amp;Checks!$Z$363)=""),"","Type: "&amp;IF(TRIM(Checks!$S$363)="","______________ (see cover list)",Checks!$S$363)&amp;CHAR(10)&amp;"ID: "&amp;IF(TRIM(Checks!$Z$363)="","______________ (record's own no.)",Checks!$Z$363))&amp;IF(Checks!$AA$363="","",CHAR(10)&amp;"CA: "&amp;Checks!$AA$363)</f>
        <v>Type: ______________ (see cover list)
ID: ______________ (record's own no.)</v>
      </c>
      <c r="G30" s="120" t="str">
        <f aca="false">IF(AND(LEFT(Checks!$AH$363,10)="N/A – RULE",NOT(ISNUMBER(Checks!$AD$363)),Checks!$AE$363="",Checks!$T$363=""),"","Done: "&amp;IF(ISNUMBER(Checks!$AD$363),TEXT(Checks!$AD$363,"DD-MMM-YY HH:MM"),"____________")&amp;" "&amp;Checks!$P$363&amp;CHAR(10)&amp;"Verifier: "&amp;IF(Checks!$AE$363="","____________",Checks!$AE$363)&amp;CHAR(10)&amp;"PIC: "&amp;IF(Checks!$T$363="","____________",Checks!$T$363))</f>
        <v>Done: ____________ KUL
Verifier: ____________
PIC: ____________</v>
      </c>
      <c r="H30" s="121" t="str">
        <f aca="false">IF(Checks!$AH$363="","",Checks!$AH$363)</f>
        <v>OPEN</v>
      </c>
    </row>
    <row r="31" customFormat="false" ht="114" hidden="false" customHeight="true" outlineLevel="0" collapsed="false">
      <c r="A31" s="120" t="str">
        <f aca="false">Checks!$A$364&amp;CHAR(10)&amp;IF(Checks!$I$364="","",Checks!$I$364&amp;": ")&amp;Checks!$J$364</f>
        <v>F11-T7-08
Documents: Menu checklist received, revision recorded &amp; attached</v>
      </c>
      <c r="B31" s="120" t="str">
        <f aca="false">SUBSTITUTE(Checks!$K$364&amp;IF(Checks!$O$364="","",IF(Checks!$K$364="","",CHAR(10))&amp;"Note: "&amp;Checks!$O$364),"Documents sheet row complete","Recorded on the Documents sheet; copy stapled as A1 / A2")</f>
        <v>Recorded on the Documents sheet; copy stapled as A1 / A2</v>
      </c>
      <c r="C31" s="120" t="str">
        <f aca="false">Checks!$N$364&amp;CHAR(10)&amp;IF(ISNUMBER(Checks!$R$364),TEXT(Checks!$R$364,"DD-MMM-YY HH:MM"),"")&amp;" "&amp;Checks!$P$364</f>
        <v>Required
05-Oct-26 15:50 KUL</v>
      </c>
      <c r="D31" s="120" t="str">
        <f aca="false">IF(TRIM(Checks!$U$364)&lt;&gt;"",Checks!$U$364&amp;IF(Checks!$AB$364="","",CHAR(10)&amp;"CA: "&amp;Checks!$AB$364),IF(LEFT(Checks!$AH$364,10)="N/A – RULE","","[ ] Pass"&amp;CHAR(10)&amp;"[ ] Pass after CA"&amp;CHAR(10)&amp;"[ ] Fail"&amp;IF(Checks!$AT$364=1,CHAR(10)&amp;"[ ] N/A","")&amp;CHAR(10)&amp;"CA: Open / Closed"))</f>
        <v>[ ] Pass
[ ] Pass after CA
[ ] Fail
CA: Open / Closed</v>
      </c>
      <c r="E31" s="120" t="str">
        <f aca="false">IF(Checks!$V$364="","",Checks!$V$364)&amp;IF(Checks!$AC$364="","",IF(Checks!$V$364="","",CHAR(10))&amp;"N/A just.: "&amp;Checks!$AC$364)&amp;IF(OR(Checks!$W$364&lt;&gt;"",AND(Checks!$AQ$364=1,NOT(LEFT(Checks!$AH$364,10)="N/A – RULE"))),CHAR(10)&amp;"Batch: "&amp;IF(Checks!$W$364="","____________",Checks!$W$364),"")&amp;IF(OR(Checks!$X$364&lt;&gt;"",Checks!$Y$364&lt;&gt;"",AND(Checks!$AR$364=1,NOT(LEFT(Checks!$AH$364,10)="N/A – RULE"))),CHAR(10)&amp;"Exp: "&amp;IF(Checks!$X$364="","______",Checks!$X$364)&amp;"  /  Act: "&amp;IF(Checks!$Y$364="","______",Checks!$Y$364),"")</f>
        <v/>
      </c>
      <c r="F31" s="120" t="str">
        <f aca="false">IF(AND(LEFT(Checks!$AH$364,10)="N/A – RULE",TRIM(Checks!$S$364&amp;Checks!$Z$364)=""),"","Type: "&amp;IF(TRIM(Checks!$S$364)="","______________ (see cover list)",Checks!$S$364)&amp;CHAR(10)&amp;"ID: "&amp;IF(TRIM(Checks!$Z$364)="","______________ (record's own no.)",Checks!$Z$364))&amp;IF(Checks!$AA$364="","",CHAR(10)&amp;"CA: "&amp;Checks!$AA$364)</f>
        <v>Type: ______________ (see cover list)
ID: ______________ (record's own no.)</v>
      </c>
      <c r="G31" s="120" t="str">
        <f aca="false">IF(AND(LEFT(Checks!$AH$364,10)="N/A – RULE",NOT(ISNUMBER(Checks!$AD$364)),Checks!$AE$364="",Checks!$T$364=""),"","Done: "&amp;IF(ISNUMBER(Checks!$AD$364),TEXT(Checks!$AD$364,"DD-MMM-YY HH:MM"),"____________")&amp;" "&amp;Checks!$P$364&amp;CHAR(10)&amp;"Verifier: "&amp;IF(Checks!$AE$364="","____________",Checks!$AE$364)&amp;CHAR(10)&amp;"PIC: "&amp;IF(Checks!$T$364="","____________",Checks!$T$364))</f>
        <v>Done: ____________ KUL
Verifier: ____________
PIC: ____________</v>
      </c>
      <c r="H31" s="121" t="str">
        <f aca="false">IF(Checks!$AH$364="","",Checks!$AH$364)</f>
        <v>OPEN</v>
      </c>
    </row>
    <row r="32" customFormat="false" ht="114" hidden="false" customHeight="true" outlineLevel="0" collapsed="false">
      <c r="A32" s="120" t="str">
        <f aca="false">Checks!$A$365&amp;CHAR(10)&amp;IF(Checks!$I$365="","",Checks!$I$365&amp;": ")&amp;Checks!$J$365</f>
        <v>F11-T7-09
Uplift plan: Uplift plan confirmed with caterer vs STD Uplift Information</v>
      </c>
      <c r="B32" s="120" t="str">
        <f aca="false">Checks!$K$365&amp;IF(Checks!$O$365="","",IF(Checks!$K$365="","",CHAR(10))&amp;"Note: "&amp;Checks!$O$365)</f>
        <v>Service: Refreshment (Peanut &amp; Water); meal uplift stn KUL (ref lists KUL)
Note: Return catering uplifted at KUL on the outbound rotation (ref uplift stn = KUL). Confirm aircraft rotation.</v>
      </c>
      <c r="C32" s="120" t="str">
        <f aca="false">Checks!$N$365&amp;CHAR(10)&amp;IF(ISNUMBER(Checks!$R$365),TEXT(Checks!$R$365,"DD-MMM-YY HH:MM"),"")&amp;" "&amp;Checks!$P$365</f>
        <v>Required
05-Oct-26 15:50 KUL</v>
      </c>
      <c r="D32" s="120" t="str">
        <f aca="false">IF(TRIM(Checks!$U$365)&lt;&gt;"",Checks!$U$365&amp;IF(Checks!$AB$365="","",CHAR(10)&amp;"CA: "&amp;Checks!$AB$365),IF(LEFT(Checks!$AH$365,10)="N/A – RULE","","[ ] Pass"&amp;CHAR(10)&amp;"[ ] Pass after CA"&amp;CHAR(10)&amp;"[ ] Fail"&amp;IF(Checks!$AT$365=1,CHAR(10)&amp;"[ ] N/A","")&amp;CHAR(10)&amp;"CA: Open / Closed"))</f>
        <v>[ ] Pass
[ ] Pass after CA
[ ] Fail
CA: Open / Closed</v>
      </c>
      <c r="E32" s="120" t="str">
        <f aca="false">IF(Checks!$V$365="","",Checks!$V$365)&amp;IF(Checks!$AC$365="","",IF(Checks!$V$365="","",CHAR(10))&amp;"N/A just.: "&amp;Checks!$AC$365)&amp;IF(OR(Checks!$W$365&lt;&gt;"",AND(Checks!$AQ$365=1,NOT(LEFT(Checks!$AH$365,10)="N/A – RULE"))),CHAR(10)&amp;"Batch: "&amp;IF(Checks!$W$365="","____________",Checks!$W$365),"")&amp;IF(OR(Checks!$X$365&lt;&gt;"",Checks!$Y$365&lt;&gt;"",AND(Checks!$AR$365=1,NOT(LEFT(Checks!$AH$365,10)="N/A – RULE"))),CHAR(10)&amp;"Exp: "&amp;IF(Checks!$X$365="","______",Checks!$X$365)&amp;"  /  Act: "&amp;IF(Checks!$Y$365="","______",Checks!$Y$365),"")</f>
        <v/>
      </c>
      <c r="F32" s="120" t="str">
        <f aca="false">IF(AND(LEFT(Checks!$AH$365,10)="N/A – RULE",TRIM(Checks!$S$365&amp;Checks!$Z$365)=""),"","Type: "&amp;IF(TRIM(Checks!$S$365)="","______________ (see cover list)",Checks!$S$365)&amp;CHAR(10)&amp;"ID: "&amp;IF(TRIM(Checks!$Z$365)="","______________ (record's own no.)",Checks!$Z$365))&amp;IF(Checks!$AA$365="","",CHAR(10)&amp;"CA: "&amp;Checks!$AA$365)</f>
        <v>Type: ______________ (see cover list)
ID: ______________ (record's own no.)</v>
      </c>
      <c r="G32" s="120" t="str">
        <f aca="false">IF(AND(LEFT(Checks!$AH$365,10)="N/A – RULE",NOT(ISNUMBER(Checks!$AD$365)),Checks!$AE$365="",Checks!$T$365=""),"","Done: "&amp;IF(ISNUMBER(Checks!$AD$365),TEXT(Checks!$AD$365,"DD-MMM-YY HH:MM"),"____________")&amp;" "&amp;Checks!$P$365&amp;CHAR(10)&amp;"Verifier: "&amp;IF(Checks!$AE$365="","____________",Checks!$AE$365)&amp;CHAR(10)&amp;"PIC: "&amp;IF(Checks!$T$365="","____________",Checks!$T$365))</f>
        <v>Done: ____________ KUL
Verifier: ____________
PIC: ____________</v>
      </c>
      <c r="H32" s="121" t="str">
        <f aca="false">IF(Checks!$AH$365="","",Checks!$AH$365)</f>
        <v>OPEN</v>
      </c>
    </row>
    <row r="33" customFormat="false" ht="234.75" hidden="false" customHeight="true" outlineLevel="0" collapsed="false">
      <c r="A33" s="120" t="str">
        <f aca="false">Checks!$A$366&amp;CHAR(10)&amp;IF(Checks!$I$366="","",Checks!$I$366&amp;": ")&amp;Checks!$J$366</f>
        <v>F11-T7-10
Uplift plan: Carrying flight for this leg's return catering identified and its KUL departure (UTC) entered on Flights col AX</v>
      </c>
      <c r="B33" s="120" t="str">
        <f aca="false">SUBSTITUTE(Checks!$K$366&amp;IF(Checks!$O$366="","",IF(Checks!$K$366="","",CHAR(10))&amp;"Note: "&amp;Checks!$O$366),"in Flights AX","in the workbook (Flights sheet)")</f>
        <v>All catering for MH1149 PEN-KUL is uplifted at KUL (ref uplift stn KUL only)
Note: PEN does not cater. Agenda candidate: MH1140 (F10, KUL 1145 local) - confirm the aircraft rotation and enter the actual KUL departure in the workbook (Flights sheet) (cannot be passed until entered). Until then, T-24H, T-12H prep and the KUL loading line assume the candidate's KUL departure.</v>
      </c>
      <c r="C33" s="120" t="str">
        <f aca="false">Checks!$N$366&amp;CHAR(10)&amp;IF(ISNUMBER(Checks!$R$366),TEXT(Checks!$R$366,"DD-MMM-YY HH:MM"),"")&amp;" "&amp;Checks!$P$366</f>
        <v>Clarification required
05-Oct-26 15:50 KUL</v>
      </c>
      <c r="D33" s="120" t="str">
        <f aca="false">IF(TRIM(Checks!$U$366)&lt;&gt;"",Checks!$U$366&amp;IF(Checks!$AB$366="","",CHAR(10)&amp;"CA: "&amp;Checks!$AB$366),IF(LEFT(Checks!$AH$366,10)="N/A – RULE","","[ ] Pass"&amp;CHAR(10)&amp;"[ ] Pass after CA"&amp;CHAR(10)&amp;"[ ] Fail"&amp;IF(Checks!$AT$366=1,CHAR(10)&amp;"[ ] N/A","")&amp;CHAR(10)&amp;"CA: Open / Closed"))</f>
        <v>[ ] Pass
[ ] Pass after CA
[ ] Fail
CA: Open / Closed</v>
      </c>
      <c r="E33" s="120" t="str">
        <f aca="false">IF(Checks!$V$366="","",Checks!$V$366)&amp;IF(Checks!$AC$366="","",IF(Checks!$V$366="","",CHAR(10))&amp;"N/A just.: "&amp;Checks!$AC$366)&amp;IF(OR(Checks!$W$366&lt;&gt;"",AND(Checks!$AQ$366=1,NOT(LEFT(Checks!$AH$366,10)="N/A – RULE"))),CHAR(10)&amp;"Batch: "&amp;IF(Checks!$W$366="","____________",Checks!$W$366),"")&amp;IF(OR(Checks!$X$366&lt;&gt;"",Checks!$Y$366&lt;&gt;"",AND(Checks!$AR$366=1,NOT(LEFT(Checks!$AH$366,10)="N/A – RULE"))),CHAR(10)&amp;"Exp: "&amp;IF(Checks!$X$366="","______",Checks!$X$366)&amp;"  /  Act: "&amp;IF(Checks!$Y$366="","______",Checks!$Y$366),"")</f>
        <v/>
      </c>
      <c r="F33" s="120" t="str">
        <f aca="false">IF(AND(LEFT(Checks!$AH$366,10)="N/A – RULE",TRIM(Checks!$S$366&amp;Checks!$Z$366)=""),"","Type: "&amp;IF(TRIM(Checks!$S$366)="","______________ (see cover list)",Checks!$S$366)&amp;CHAR(10)&amp;"ID: "&amp;IF(TRIM(Checks!$Z$366)="","______________ (record's own no.)",Checks!$Z$366))&amp;IF(Checks!$AA$366="","",CHAR(10)&amp;"CA: "&amp;Checks!$AA$366)</f>
        <v>Type: ______________ (see cover list)
ID: ______________ (record's own no.)</v>
      </c>
      <c r="G33" s="120" t="str">
        <f aca="false">IF(AND(LEFT(Checks!$AH$366,10)="N/A – RULE",NOT(ISNUMBER(Checks!$AD$366)),Checks!$AE$366="",Checks!$T$366=""),"","Done: "&amp;IF(ISNUMBER(Checks!$AD$366),TEXT(Checks!$AD$366,"DD-MMM-YY HH:MM"),"____________")&amp;" "&amp;Checks!$P$366&amp;CHAR(10)&amp;"Verifier: "&amp;IF(Checks!$AE$366="","____________",Checks!$AE$366)&amp;CHAR(10)&amp;"PIC: "&amp;IF(Checks!$T$366="","____________",Checks!$T$366))</f>
        <v>Done: ____________ KUL
Verifier: ____________
PIC: ____________</v>
      </c>
      <c r="H33" s="121" t="str">
        <f aca="false">IF(Checks!$AH$366="","",Checks!$AH$366)</f>
        <v>OPEN – CLARIFICATION</v>
      </c>
    </row>
    <row r="34" customFormat="false" ht="25.5" hidden="false" customHeight="true" outlineLevel="0" collapsed="false">
      <c r="A34" s="119" t="str">
        <f aca="false">"T-24H — Production batch sensory  |  Due "&amp;IF(ISNUMBER(Flights!$AH$15),TEXT(Flights!$AH$15,"DD-MMM-YY HH:MM"),"")&amp;" "&amp;Flights!$V$15&amp;" (meal uplift stn)"&amp;" (rows with another due show their own)  |  Complete "&amp;IF(ISNUMBER(Flights!$AK$15),TEXT(Flights!$AK$15,"0%"),Flights!$AK$15)&amp;"  |  1 lines"</f>
        <v>T-24H — Production batch sensory  |  Due 11-Oct-26 15:50 KUL (meal uplift stn) (rows with another due show their own)  |  Complete 0%  |  1 lines</v>
      </c>
      <c r="B34" s="119"/>
      <c r="C34" s="119"/>
      <c r="D34" s="119"/>
      <c r="E34" s="119"/>
      <c r="F34" s="119"/>
      <c r="G34" s="119"/>
      <c r="H34" s="119"/>
    </row>
    <row r="35" customFormat="false" ht="114" hidden="false" customHeight="true" outlineLevel="0" collapsed="false">
      <c r="A35" s="120" t="str">
        <f aca="false">Checks!$A$367&amp;CHAR(10)&amp;IF(Checks!$I$367="","",Checks!$I$367&amp;": ")&amp;Checks!$J$367</f>
        <v>F11-T24-01
Meal: Sensory test repeated on ACTUAL production batch for this flight</v>
      </c>
      <c r="B35" s="120" t="str">
        <f aca="false">SUBSTITUTE(Checks!$K$367&amp;IF(Checks!$O$367="","",IF(Checks!$K$367="","",CHAR(10))&amp;"Note: "&amp;Checks!$O$367)," (Flights AY)","")</f>
        <v>Batch ID, result, CA and acceptance mandatory
Note: Round-trip catered from KUL: due capped at the KUL loading deadline.</v>
      </c>
      <c r="C35" s="120" t="str">
        <f aca="false">Checks!$N$367&amp;CHAR(10)&amp;IF(ISNUMBER(Checks!$R$367),TEXT(Checks!$R$367,"DD-MMM-YY HH:MM"),"")&amp;" "&amp;Checks!$P$367</f>
        <v>Required
11-Oct-26 15:50 KUL</v>
      </c>
      <c r="D35" s="120" t="str">
        <f aca="false">IF(TRIM(Checks!$U$367)&lt;&gt;"",Checks!$U$367&amp;IF(Checks!$AB$367="","",CHAR(10)&amp;"CA: "&amp;Checks!$AB$367),IF(LEFT(Checks!$AH$367,10)="N/A – RULE","","[ ] Pass"&amp;CHAR(10)&amp;"[ ] Pass after CA"&amp;CHAR(10)&amp;"[ ] Fail"&amp;IF(Checks!$AT$367=1,CHAR(10)&amp;"[ ] N/A","")&amp;CHAR(10)&amp;"CA: Open / Closed"))</f>
        <v>[ ] Pass
[ ] Pass after CA
[ ] Fail
CA: Open / Closed</v>
      </c>
      <c r="E35" s="120" t="str">
        <f aca="false">IF(Checks!$V$367="","",Checks!$V$367)&amp;IF(Checks!$AC$367="","",IF(Checks!$V$367="","",CHAR(10))&amp;"N/A just.: "&amp;Checks!$AC$367)&amp;IF(OR(Checks!$W$367&lt;&gt;"",AND(Checks!$AQ$367=1,NOT(LEFT(Checks!$AH$367,10)="N/A – RULE"))),CHAR(10)&amp;"Batch: "&amp;IF(Checks!$W$367="","____________",Checks!$W$367),"")&amp;IF(OR(Checks!$X$367&lt;&gt;"",Checks!$Y$367&lt;&gt;"",AND(Checks!$AR$367=1,NOT(LEFT(Checks!$AH$367,10)="N/A – RULE"))),CHAR(10)&amp;"Exp: "&amp;IF(Checks!$X$367="","______",Checks!$X$367)&amp;"  /  Act: "&amp;IF(Checks!$Y$367="","______",Checks!$Y$367),"")</f>
        <v>
Batch: ____________</v>
      </c>
      <c r="F35" s="120" t="str">
        <f aca="false">IF(AND(LEFT(Checks!$AH$367,10)="N/A – RULE",TRIM(Checks!$S$367&amp;Checks!$Z$367)=""),"","Type: "&amp;IF(TRIM(Checks!$S$367)="","______________ (see cover list)",Checks!$S$367)&amp;CHAR(10)&amp;"ID: "&amp;IF(TRIM(Checks!$Z$367)="","______________ (record's own no.)",Checks!$Z$367))&amp;IF(Checks!$AA$367="","",CHAR(10)&amp;"CA: "&amp;Checks!$AA$367)</f>
        <v>Type: ______________ (see cover list)
ID: ______________ (record's own no.)</v>
      </c>
      <c r="G35" s="120" t="str">
        <f aca="false">IF(AND(LEFT(Checks!$AH$367,10)="N/A – RULE",NOT(ISNUMBER(Checks!$AD$367)),Checks!$AE$367="",Checks!$T$367=""),"","Done: "&amp;IF(ISNUMBER(Checks!$AD$367),TEXT(Checks!$AD$367,"DD-MMM-YY HH:MM"),"____________")&amp;" "&amp;Checks!$P$367&amp;CHAR(10)&amp;"Verifier: "&amp;IF(Checks!$AE$367="","____________",Checks!$AE$367)&amp;CHAR(10)&amp;"PIC: "&amp;IF(Checks!$T$367="","____________",Checks!$T$367))</f>
        <v>Done: ____________ KUL
Verifier: ____________
PIC: ____________</v>
      </c>
      <c r="H35" s="121" t="str">
        <f aca="false">IF(Checks!$AH$367="","",Checks!$AH$367)</f>
        <v>OPEN</v>
      </c>
    </row>
    <row r="36" customFormat="false" ht="25.5" hidden="false" customHeight="true" outlineLevel="0" collapsed="false">
      <c r="A36" s="119" t="str">
        <f aca="false">"T-12H PREP — Preparation check at caterer (does NOT confirm loading)  |  Due "&amp;IF(ISNUMBER(Flights!$AI$15),TEXT(Flights!$AI$15,"DD-MMM-YY HH:MM"),"")&amp;" "&amp;Flights!$V$15&amp;" (meal uplift stn)"&amp;" (rows with another due show their own)  |  Complete "&amp;IF(ISNUMBER(Flights!$AL$15),TEXT(Flights!$AL$15,"0%"),Flights!$AL$15)&amp;"  |  8 lines"</f>
        <v>T-12H PREP — Preparation check at caterer (does NOT confirm loading)  |  Due 12-Oct-26 03:50 KUL (meal uplift stn) (rows with another due show their own)  |  Complete 0%  |  8 lines</v>
      </c>
      <c r="B36" s="119"/>
      <c r="C36" s="119"/>
      <c r="D36" s="119"/>
      <c r="E36" s="119"/>
      <c r="F36" s="119"/>
      <c r="G36" s="119"/>
      <c r="H36" s="119"/>
    </row>
    <row r="37" customFormat="false" ht="114" hidden="false" customHeight="true" outlineLevel="0" collapsed="false">
      <c r="A37" s="120" t="str">
        <f aca="false">Checks!$A$368&amp;CHAR(10)&amp;IF(Checks!$I$368="","",Checks!$I$368&amp;": ")&amp;Checks!$J$368</f>
        <v>F11-T12-01
Meal: Meal quality vs menu checklist</v>
      </c>
      <c r="B37" s="120" t="str">
        <f aca="false">SUBSTITUTE(Checks!$K$368&amp;IF(Checks!$O$368="","",IF(Checks!$K$368="","",CHAR(10))&amp;"Note: "&amp;Checks!$O$368)," (Flights AY)","")</f>
        <v>Note: Preparation check at caterer - does NOT confirm loading. Round-trip catered from KUL: due capped at the KUL loading deadline.</v>
      </c>
      <c r="C37" s="120" t="str">
        <f aca="false">Checks!$N$368&amp;CHAR(10)&amp;IF(ISNUMBER(Checks!$R$368),TEXT(Checks!$R$368,"DD-MMM-YY HH:MM"),"")&amp;" "&amp;Checks!$P$368</f>
        <v>Required
12-Oct-26 03:50 KUL</v>
      </c>
      <c r="D37" s="120" t="str">
        <f aca="false">IF(TRIM(Checks!$U$368)&lt;&gt;"",Checks!$U$368&amp;IF(Checks!$AB$368="","",CHAR(10)&amp;"CA: "&amp;Checks!$AB$368),IF(LEFT(Checks!$AH$368,10)="N/A – RULE","","[ ] Pass"&amp;CHAR(10)&amp;"[ ] Pass after CA"&amp;CHAR(10)&amp;"[ ] Fail"&amp;IF(Checks!$AT$368=1,CHAR(10)&amp;"[ ] N/A","")&amp;CHAR(10)&amp;"CA: Open / Closed"))</f>
        <v>[ ] Pass
[ ] Pass after CA
[ ] Fail
CA: Open / Closed</v>
      </c>
      <c r="E37" s="120" t="str">
        <f aca="false">IF(Checks!$V$368="","",Checks!$V$368)&amp;IF(Checks!$AC$368="","",IF(Checks!$V$368="","",CHAR(10))&amp;"N/A just.: "&amp;Checks!$AC$368)&amp;IF(OR(Checks!$W$368&lt;&gt;"",AND(Checks!$AQ$368=1,NOT(LEFT(Checks!$AH$368,10)="N/A – RULE"))),CHAR(10)&amp;"Batch: "&amp;IF(Checks!$W$368="","____________",Checks!$W$368),"")&amp;IF(OR(Checks!$X$368&lt;&gt;"",Checks!$Y$368&lt;&gt;"",AND(Checks!$AR$368=1,NOT(LEFT(Checks!$AH$368,10)="N/A – RULE"))),CHAR(10)&amp;"Exp: "&amp;IF(Checks!$X$368="","______",Checks!$X$368)&amp;"  /  Act: "&amp;IF(Checks!$Y$368="","______",Checks!$Y$368),"")</f>
        <v/>
      </c>
      <c r="F37" s="120" t="str">
        <f aca="false">IF(AND(LEFT(Checks!$AH$368,10)="N/A – RULE",TRIM(Checks!$S$368&amp;Checks!$Z$368)=""),"","Type: "&amp;IF(TRIM(Checks!$S$368)="","______________ (see cover list)",Checks!$S$368)&amp;CHAR(10)&amp;"ID: "&amp;IF(TRIM(Checks!$Z$368)="","______________ (record's own no.)",Checks!$Z$368))&amp;IF(Checks!$AA$368="","",CHAR(10)&amp;"CA: "&amp;Checks!$AA$368)</f>
        <v>Type: ______________ (see cover list)
ID: ______________ (record's own no.)</v>
      </c>
      <c r="G37" s="120" t="str">
        <f aca="false">IF(AND(LEFT(Checks!$AH$368,10)="N/A – RULE",NOT(ISNUMBER(Checks!$AD$368)),Checks!$AE$368="",Checks!$T$368=""),"","Done: "&amp;IF(ISNUMBER(Checks!$AD$368),TEXT(Checks!$AD$368,"DD-MMM-YY HH:MM"),"____________")&amp;" "&amp;Checks!$P$368&amp;CHAR(10)&amp;"Verifier: "&amp;IF(Checks!$AE$368="","____________",Checks!$AE$368)&amp;CHAR(10)&amp;"PIC: "&amp;IF(Checks!$T$368="","____________",Checks!$T$368))</f>
        <v>Done: ____________ KUL
Verifier: ____________
PIC: ____________</v>
      </c>
      <c r="H37" s="121" t="str">
        <f aca="false">IF(Checks!$AH$368="","",Checks!$AH$368)</f>
        <v>OPEN</v>
      </c>
    </row>
    <row r="38" customFormat="false" ht="114" hidden="false" customHeight="true" outlineLevel="0" collapsed="false">
      <c r="A38" s="120" t="str">
        <f aca="false">Checks!$A$369&amp;CHAR(10)&amp;IF(Checks!$I$369="","",Checks!$I$369&amp;": ")&amp;Checks!$J$369</f>
        <v>F11-T12-02
Meal: Meal quantities vs menu checklist</v>
      </c>
      <c r="B38" s="120" t="str">
        <f aca="false">SUBSTITUTE(Checks!$K$369&amp;IF(Checks!$O$369="","",IF(Checks!$K$369="","",CHAR(10))&amp;"Note: "&amp;Checks!$O$369)," (Flights AY)","")</f>
        <v>Enter expected &amp; actual
Note: Preparation check at caterer - does NOT confirm loading. Round-trip catered from KUL: due capped at the KUL loading deadline.</v>
      </c>
      <c r="C38" s="120" t="str">
        <f aca="false">Checks!$N$369&amp;CHAR(10)&amp;IF(ISNUMBER(Checks!$R$369),TEXT(Checks!$R$369,"DD-MMM-YY HH:MM"),"")&amp;" "&amp;Checks!$P$369</f>
        <v>Required
12-Oct-26 03:50 KUL</v>
      </c>
      <c r="D38" s="120" t="str">
        <f aca="false">IF(TRIM(Checks!$U$369)&lt;&gt;"",Checks!$U$369&amp;IF(Checks!$AB$369="","",CHAR(10)&amp;"CA: "&amp;Checks!$AB$369),IF(LEFT(Checks!$AH$369,10)="N/A – RULE","","[ ] Pass"&amp;CHAR(10)&amp;"[ ] Pass after CA"&amp;CHAR(10)&amp;"[ ] Fail"&amp;IF(Checks!$AT$369=1,CHAR(10)&amp;"[ ] N/A","")&amp;CHAR(10)&amp;"CA: Open / Closed"))</f>
        <v>[ ] Pass
[ ] Pass after CA
[ ] Fail
CA: Open / Closed</v>
      </c>
      <c r="E38" s="120" t="str">
        <f aca="false">IF(Checks!$V$369="","",Checks!$V$369)&amp;IF(Checks!$AC$369="","",IF(Checks!$V$369="","",CHAR(10))&amp;"N/A just.: "&amp;Checks!$AC$369)&amp;IF(OR(Checks!$W$369&lt;&gt;"",AND(Checks!$AQ$369=1,NOT(LEFT(Checks!$AH$369,10)="N/A – RULE"))),CHAR(10)&amp;"Batch: "&amp;IF(Checks!$W$369="","____________",Checks!$W$369),"")&amp;IF(OR(Checks!$X$369&lt;&gt;"",Checks!$Y$369&lt;&gt;"",AND(Checks!$AR$369=1,NOT(LEFT(Checks!$AH$369,10)="N/A – RULE"))),CHAR(10)&amp;"Exp: "&amp;IF(Checks!$X$369="","______",Checks!$X$369)&amp;"  /  Act: "&amp;IF(Checks!$Y$369="","______",Checks!$Y$369),"")</f>
        <v>
Exp: ______  /  Act: ______</v>
      </c>
      <c r="F38" s="120" t="str">
        <f aca="false">IF(AND(LEFT(Checks!$AH$369,10)="N/A – RULE",TRIM(Checks!$S$369&amp;Checks!$Z$369)=""),"","Type: "&amp;IF(TRIM(Checks!$S$369)="","______________ (see cover list)",Checks!$S$369)&amp;CHAR(10)&amp;"ID: "&amp;IF(TRIM(Checks!$Z$369)="","______________ (record's own no.)",Checks!$Z$369))&amp;IF(Checks!$AA$369="","",CHAR(10)&amp;"CA: "&amp;Checks!$AA$369)</f>
        <v>Type: ______________ (see cover list)
ID: ______________ (record's own no.)</v>
      </c>
      <c r="G38" s="120" t="str">
        <f aca="false">IF(AND(LEFT(Checks!$AH$369,10)="N/A – RULE",NOT(ISNUMBER(Checks!$AD$369)),Checks!$AE$369="",Checks!$T$369=""),"","Done: "&amp;IF(ISNUMBER(Checks!$AD$369),TEXT(Checks!$AD$369,"DD-MMM-YY HH:MM"),"____________")&amp;" "&amp;Checks!$P$369&amp;CHAR(10)&amp;"Verifier: "&amp;IF(Checks!$AE$369="","____________",Checks!$AE$369)&amp;CHAR(10)&amp;"PIC: "&amp;IF(Checks!$T$369="","____________",Checks!$T$369))</f>
        <v>Done: ____________ KUL
Verifier: ____________
PIC: ____________</v>
      </c>
      <c r="H38" s="121" t="str">
        <f aca="false">IF(Checks!$AH$369="","",Checks!$AH$369)</f>
        <v>OPEN</v>
      </c>
    </row>
    <row r="39" customFormat="false" ht="114" hidden="false" customHeight="true" outlineLevel="0" collapsed="false">
      <c r="A39" s="120" t="str">
        <f aca="false">Checks!$A$370&amp;CHAR(10)&amp;IF(Checks!$I$370="","",Checks!$I$370&amp;": ")&amp;Checks!$J$370</f>
        <v>F11-T12-03
Equipment: Equipment cleanliness vs GLD</v>
      </c>
      <c r="B39" s="120" t="str">
        <f aca="false">SUBSTITUTE(Checks!$K$370&amp;IF(Checks!$O$370="","",IF(Checks!$K$370="","",CHAR(10))&amp;"Note: "&amp;Checks!$O$370)," (Flights AY)","")</f>
        <v>Note: Preparation check at caterer - does NOT confirm loading. Round-trip catered from KUL: due capped at the KUL loading deadline.</v>
      </c>
      <c r="C39" s="120" t="str">
        <f aca="false">Checks!$N$370&amp;CHAR(10)&amp;IF(ISNUMBER(Checks!$R$370),TEXT(Checks!$R$370,"DD-MMM-YY HH:MM"),"")&amp;" "&amp;Checks!$P$370</f>
        <v>Required
12-Oct-26 03:50 KUL</v>
      </c>
      <c r="D39" s="120" t="str">
        <f aca="false">IF(TRIM(Checks!$U$370)&lt;&gt;"",Checks!$U$370&amp;IF(Checks!$AB$370="","",CHAR(10)&amp;"CA: "&amp;Checks!$AB$370),IF(LEFT(Checks!$AH$370,10)="N/A – RULE","","[ ] Pass"&amp;CHAR(10)&amp;"[ ] Pass after CA"&amp;CHAR(10)&amp;"[ ] Fail"&amp;IF(Checks!$AT$370=1,CHAR(10)&amp;"[ ] N/A","")&amp;CHAR(10)&amp;"CA: Open / Closed"))</f>
        <v>[ ] Pass
[ ] Pass after CA
[ ] Fail
CA: Open / Closed</v>
      </c>
      <c r="E39" s="120" t="str">
        <f aca="false">IF(Checks!$V$370="","",Checks!$V$370)&amp;IF(Checks!$AC$370="","",IF(Checks!$V$370="","",CHAR(10))&amp;"N/A just.: "&amp;Checks!$AC$370)&amp;IF(OR(Checks!$W$370&lt;&gt;"",AND(Checks!$AQ$370=1,NOT(LEFT(Checks!$AH$370,10)="N/A – RULE"))),CHAR(10)&amp;"Batch: "&amp;IF(Checks!$W$370="","____________",Checks!$W$370),"")&amp;IF(OR(Checks!$X$370&lt;&gt;"",Checks!$Y$370&lt;&gt;"",AND(Checks!$AR$370=1,NOT(LEFT(Checks!$AH$370,10)="N/A – RULE"))),CHAR(10)&amp;"Exp: "&amp;IF(Checks!$X$370="","______",Checks!$X$370)&amp;"  /  Act: "&amp;IF(Checks!$Y$370="","______",Checks!$Y$370),"")</f>
        <v/>
      </c>
      <c r="F39" s="120" t="str">
        <f aca="false">IF(AND(LEFT(Checks!$AH$370,10)="N/A – RULE",TRIM(Checks!$S$370&amp;Checks!$Z$370)=""),"","Type: "&amp;IF(TRIM(Checks!$S$370)="","______________ (see cover list)",Checks!$S$370)&amp;CHAR(10)&amp;"ID: "&amp;IF(TRIM(Checks!$Z$370)="","______________ (record's own no.)",Checks!$Z$370))&amp;IF(Checks!$AA$370="","",CHAR(10)&amp;"CA: "&amp;Checks!$AA$370)</f>
        <v>Type: ______________ (see cover list)
ID: ______________ (record's own no.)</v>
      </c>
      <c r="G39" s="120" t="str">
        <f aca="false">IF(AND(LEFT(Checks!$AH$370,10)="N/A – RULE",NOT(ISNUMBER(Checks!$AD$370)),Checks!$AE$370="",Checks!$T$370=""),"","Done: "&amp;IF(ISNUMBER(Checks!$AD$370),TEXT(Checks!$AD$370,"DD-MMM-YY HH:MM"),"____________")&amp;" "&amp;Checks!$P$370&amp;CHAR(10)&amp;"Verifier: "&amp;IF(Checks!$AE$370="","____________",Checks!$AE$370)&amp;CHAR(10)&amp;"PIC: "&amp;IF(Checks!$T$370="","____________",Checks!$T$370))</f>
        <v>Done: ____________ KUL
Verifier: ____________
PIC: ____________</v>
      </c>
      <c r="H39" s="121" t="str">
        <f aca="false">IF(Checks!$AH$370="","",Checks!$AH$370)</f>
        <v>OPEN</v>
      </c>
    </row>
    <row r="40" customFormat="false" ht="114" hidden="false" customHeight="true" outlineLevel="0" collapsed="false">
      <c r="A40" s="120" t="str">
        <f aca="false">Checks!$A$371&amp;CHAR(10)&amp;IF(Checks!$I$371="","",Checks!$I$371&amp;": ")&amp;Checks!$J$371</f>
        <v>F11-T12-04
Equipment: Equipment presentation vs GLD</v>
      </c>
      <c r="B40" s="120" t="str">
        <f aca="false">SUBSTITUTE(Checks!$K$371&amp;IF(Checks!$O$371="","",IF(Checks!$K$371="","",CHAR(10))&amp;"Note: "&amp;Checks!$O$371)," (Flights AY)","")</f>
        <v>Note: Preparation check at caterer - does NOT confirm loading. Round-trip catered from KUL: due capped at the KUL loading deadline.</v>
      </c>
      <c r="C40" s="120" t="str">
        <f aca="false">Checks!$N$371&amp;CHAR(10)&amp;IF(ISNUMBER(Checks!$R$371),TEXT(Checks!$R$371,"DD-MMM-YY HH:MM"),"")&amp;" "&amp;Checks!$P$371</f>
        <v>Required
12-Oct-26 03:50 KUL</v>
      </c>
      <c r="D40" s="120" t="str">
        <f aca="false">IF(TRIM(Checks!$U$371)&lt;&gt;"",Checks!$U$371&amp;IF(Checks!$AB$371="","",CHAR(10)&amp;"CA: "&amp;Checks!$AB$371),IF(LEFT(Checks!$AH$371,10)="N/A – RULE","","[ ] Pass"&amp;CHAR(10)&amp;"[ ] Pass after CA"&amp;CHAR(10)&amp;"[ ] Fail"&amp;IF(Checks!$AT$371=1,CHAR(10)&amp;"[ ] N/A","")&amp;CHAR(10)&amp;"CA: Open / Closed"))</f>
        <v>[ ] Pass
[ ] Pass after CA
[ ] Fail
CA: Open / Closed</v>
      </c>
      <c r="E40" s="120" t="str">
        <f aca="false">IF(Checks!$V$371="","",Checks!$V$371)&amp;IF(Checks!$AC$371="","",IF(Checks!$V$371="","",CHAR(10))&amp;"N/A just.: "&amp;Checks!$AC$371)&amp;IF(OR(Checks!$W$371&lt;&gt;"",AND(Checks!$AQ$371=1,NOT(LEFT(Checks!$AH$371,10)="N/A – RULE"))),CHAR(10)&amp;"Batch: "&amp;IF(Checks!$W$371="","____________",Checks!$W$371),"")&amp;IF(OR(Checks!$X$371&lt;&gt;"",Checks!$Y$371&lt;&gt;"",AND(Checks!$AR$371=1,NOT(LEFT(Checks!$AH$371,10)="N/A – RULE"))),CHAR(10)&amp;"Exp: "&amp;IF(Checks!$X$371="","______",Checks!$X$371)&amp;"  /  Act: "&amp;IF(Checks!$Y$371="","______",Checks!$Y$371),"")</f>
        <v/>
      </c>
      <c r="F40" s="120" t="str">
        <f aca="false">IF(AND(LEFT(Checks!$AH$371,10)="N/A – RULE",TRIM(Checks!$S$371&amp;Checks!$Z$371)=""),"","Type: "&amp;IF(TRIM(Checks!$S$371)="","______________ (see cover list)",Checks!$S$371)&amp;CHAR(10)&amp;"ID: "&amp;IF(TRIM(Checks!$Z$371)="","______________ (record's own no.)",Checks!$Z$371))&amp;IF(Checks!$AA$371="","",CHAR(10)&amp;"CA: "&amp;Checks!$AA$371)</f>
        <v>Type: ______________ (see cover list)
ID: ______________ (record's own no.)</v>
      </c>
      <c r="G40" s="120" t="str">
        <f aca="false">IF(AND(LEFT(Checks!$AH$371,10)="N/A – RULE",NOT(ISNUMBER(Checks!$AD$371)),Checks!$AE$371="",Checks!$T$371=""),"","Done: "&amp;IF(ISNUMBER(Checks!$AD$371),TEXT(Checks!$AD$371,"DD-MMM-YY HH:MM"),"____________")&amp;" "&amp;Checks!$P$371&amp;CHAR(10)&amp;"Verifier: "&amp;IF(Checks!$AE$371="","____________",Checks!$AE$371)&amp;CHAR(10)&amp;"PIC: "&amp;IF(Checks!$T$371="","____________",Checks!$T$371))</f>
        <v>Done: ____________ KUL
Verifier: ____________
PIC: ____________</v>
      </c>
      <c r="H40" s="121" t="str">
        <f aca="false">IF(Checks!$AH$371="","",Checks!$AH$371)</f>
        <v>OPEN</v>
      </c>
    </row>
    <row r="41" customFormat="false" ht="114" hidden="false" customHeight="true" outlineLevel="0" collapsed="false">
      <c r="A41" s="120" t="str">
        <f aca="false">Checks!$A$372&amp;CHAR(10)&amp;IF(Checks!$I$372="","",Checks!$I$372&amp;": ")&amp;Checks!$J$372</f>
        <v>F11-T12-05
Equipment: Equipment serviceability vs GLD</v>
      </c>
      <c r="B41" s="120" t="str">
        <f aca="false">SUBSTITUTE(Checks!$K$372&amp;IF(Checks!$O$372="","",IF(Checks!$K$372="","",CHAR(10))&amp;"Note: "&amp;Checks!$O$372)," (Flights AY)","")</f>
        <v>Note: Preparation check at caterer - does NOT confirm loading. Round-trip catered from KUL: due capped at the KUL loading deadline.</v>
      </c>
      <c r="C41" s="120" t="str">
        <f aca="false">Checks!$N$372&amp;CHAR(10)&amp;IF(ISNUMBER(Checks!$R$372),TEXT(Checks!$R$372,"DD-MMM-YY HH:MM"),"")&amp;" "&amp;Checks!$P$372</f>
        <v>Required
12-Oct-26 03:50 KUL</v>
      </c>
      <c r="D41" s="120" t="str">
        <f aca="false">IF(TRIM(Checks!$U$372)&lt;&gt;"",Checks!$U$372&amp;IF(Checks!$AB$372="","",CHAR(10)&amp;"CA: "&amp;Checks!$AB$372),IF(LEFT(Checks!$AH$372,10)="N/A – RULE","","[ ] Pass"&amp;CHAR(10)&amp;"[ ] Pass after CA"&amp;CHAR(10)&amp;"[ ] Fail"&amp;IF(Checks!$AT$372=1,CHAR(10)&amp;"[ ] N/A","")&amp;CHAR(10)&amp;"CA: Open / Closed"))</f>
        <v>[ ] Pass
[ ] Pass after CA
[ ] Fail
CA: Open / Closed</v>
      </c>
      <c r="E41" s="120" t="str">
        <f aca="false">IF(Checks!$V$372="","",Checks!$V$372)&amp;IF(Checks!$AC$372="","",IF(Checks!$V$372="","",CHAR(10))&amp;"N/A just.: "&amp;Checks!$AC$372)&amp;IF(OR(Checks!$W$372&lt;&gt;"",AND(Checks!$AQ$372=1,NOT(LEFT(Checks!$AH$372,10)="N/A – RULE"))),CHAR(10)&amp;"Batch: "&amp;IF(Checks!$W$372="","____________",Checks!$W$372),"")&amp;IF(OR(Checks!$X$372&lt;&gt;"",Checks!$Y$372&lt;&gt;"",AND(Checks!$AR$372=1,NOT(LEFT(Checks!$AH$372,10)="N/A – RULE"))),CHAR(10)&amp;"Exp: "&amp;IF(Checks!$X$372="","______",Checks!$X$372)&amp;"  /  Act: "&amp;IF(Checks!$Y$372="","______",Checks!$Y$372),"")</f>
        <v/>
      </c>
      <c r="F41" s="120" t="str">
        <f aca="false">IF(AND(LEFT(Checks!$AH$372,10)="N/A – RULE",TRIM(Checks!$S$372&amp;Checks!$Z$372)=""),"","Type: "&amp;IF(TRIM(Checks!$S$372)="","______________ (see cover list)",Checks!$S$372)&amp;CHAR(10)&amp;"ID: "&amp;IF(TRIM(Checks!$Z$372)="","______________ (record's own no.)",Checks!$Z$372))&amp;IF(Checks!$AA$372="","",CHAR(10)&amp;"CA: "&amp;Checks!$AA$372)</f>
        <v>Type: ______________ (see cover list)
ID: ______________ (record's own no.)</v>
      </c>
      <c r="G41" s="120" t="str">
        <f aca="false">IF(AND(LEFT(Checks!$AH$372,10)="N/A – RULE",NOT(ISNUMBER(Checks!$AD$372)),Checks!$AE$372="",Checks!$T$372=""),"","Done: "&amp;IF(ISNUMBER(Checks!$AD$372),TEXT(Checks!$AD$372,"DD-MMM-YY HH:MM"),"____________")&amp;" "&amp;Checks!$P$372&amp;CHAR(10)&amp;"Verifier: "&amp;IF(Checks!$AE$372="","____________",Checks!$AE$372)&amp;CHAR(10)&amp;"PIC: "&amp;IF(Checks!$T$372="","____________",Checks!$T$372))</f>
        <v>Done: ____________ KUL
Verifier: ____________
PIC: ____________</v>
      </c>
      <c r="H41" s="121" t="str">
        <f aca="false">IF(Checks!$AH$372="","",Checks!$AH$372)</f>
        <v>OPEN</v>
      </c>
    </row>
    <row r="42" customFormat="false" ht="223.5" hidden="false" customHeight="true" outlineLevel="0" collapsed="false">
      <c r="A42" s="120" t="str">
        <f aca="false">Checks!$A$373&amp;CHAR(10)&amp;IF(Checks!$I$373="","",Checks!$I$373&amp;": ")&amp;Checks!$J$373</f>
        <v>F11-T12-06
Equipment: Equipment quantities vs GLD</v>
      </c>
      <c r="B42" s="120" t="str">
        <f aca="false">SUBSTITUTE(SUBSTITUTE(SUBSTITUTE(SUBSTITUTE(SUBSTITUTE(SUBSTITUTE(SUBSTITUTE(SUBSTITUTE(Checks!$K$373&amp;IF(Checks!$O$373="","",IF(Checks!$K$373="","",CHAR(10))&amp;"Note: "&amp;Checks!$O$373),"ovens -,","ovens n/a,"),"fridges -,","fridges n/a,"),"makers -,","makers n/a,"),"espresso -,","espresso n/a,"),"trolleys -,","trolleys n/a,"),"headsets - (","headsets n/a (")," (AIRCRAFT TYPE!C16:R16)","")," (Flights AY)","")</f>
        <v>Enter expected &amp; actual. Aircraft galley data: B737-8 (B7M8): carts 10.5, SU 25, ovens 6, warming ovens n/a, fridges n/a, water heaters 3, beverage makers n/a, espresso n/a, folding trolleys n/a, headsets n/a
Note: Preparation check at caterer - does NOT confirm loading. Round-trip catered from KUL: due capped at the KUL loading deadline.</v>
      </c>
      <c r="C42" s="120" t="str">
        <f aca="false">Checks!$N$373&amp;CHAR(10)&amp;IF(ISNUMBER(Checks!$R$373),TEXT(Checks!$R$373,"DD-MMM-YY HH:MM"),"")&amp;" "&amp;Checks!$P$373</f>
        <v>Required
12-Oct-26 03:50 KUL</v>
      </c>
      <c r="D42" s="120" t="str">
        <f aca="false">IF(TRIM(Checks!$U$373)&lt;&gt;"",Checks!$U$373&amp;IF(Checks!$AB$373="","",CHAR(10)&amp;"CA: "&amp;Checks!$AB$373),IF(LEFT(Checks!$AH$373,10)="N/A – RULE","","[ ] Pass"&amp;CHAR(10)&amp;"[ ] Pass after CA"&amp;CHAR(10)&amp;"[ ] Fail"&amp;IF(Checks!$AT$373=1,CHAR(10)&amp;"[ ] N/A","")&amp;CHAR(10)&amp;"CA: Open / Closed"))</f>
        <v>[ ] Pass
[ ] Pass after CA
[ ] Fail
CA: Open / Closed</v>
      </c>
      <c r="E42" s="120" t="str">
        <f aca="false">IF(Checks!$V$373="","",Checks!$V$373)&amp;IF(Checks!$AC$373="","",IF(Checks!$V$373="","",CHAR(10))&amp;"N/A just.: "&amp;Checks!$AC$373)&amp;IF(OR(Checks!$W$373&lt;&gt;"",AND(Checks!$AQ$373=1,NOT(LEFT(Checks!$AH$373,10)="N/A – RULE"))),CHAR(10)&amp;"Batch: "&amp;IF(Checks!$W$373="","____________",Checks!$W$373),"")&amp;IF(OR(Checks!$X$373&lt;&gt;"",Checks!$Y$373&lt;&gt;"",AND(Checks!$AR$373=1,NOT(LEFT(Checks!$AH$373,10)="N/A – RULE"))),CHAR(10)&amp;"Exp: "&amp;IF(Checks!$X$373="","______",Checks!$X$373)&amp;"  /  Act: "&amp;IF(Checks!$Y$373="","______",Checks!$Y$373),"")</f>
        <v>
Exp: ______  /  Act: ______</v>
      </c>
      <c r="F42" s="120" t="str">
        <f aca="false">IF(AND(LEFT(Checks!$AH$373,10)="N/A – RULE",TRIM(Checks!$S$373&amp;Checks!$Z$373)=""),"","Type: "&amp;IF(TRIM(Checks!$S$373)="","______________ (see cover list)",Checks!$S$373)&amp;CHAR(10)&amp;"ID: "&amp;IF(TRIM(Checks!$Z$373)="","______________ (record's own no.)",Checks!$Z$373))&amp;IF(Checks!$AA$373="","",CHAR(10)&amp;"CA: "&amp;Checks!$AA$373)</f>
        <v>Type: ______________ (see cover list)
ID: ______________ (record's own no.)</v>
      </c>
      <c r="G42" s="120" t="str">
        <f aca="false">IF(AND(LEFT(Checks!$AH$373,10)="N/A – RULE",NOT(ISNUMBER(Checks!$AD$373)),Checks!$AE$373="",Checks!$T$373=""),"","Done: "&amp;IF(ISNUMBER(Checks!$AD$373),TEXT(Checks!$AD$373,"DD-MMM-YY HH:MM"),"____________")&amp;" "&amp;Checks!$P$373&amp;CHAR(10)&amp;"Verifier: "&amp;IF(Checks!$AE$373="","____________",Checks!$AE$373)&amp;CHAR(10)&amp;"PIC: "&amp;IF(Checks!$T$373="","____________",Checks!$T$373))</f>
        <v>Done: ____________ KUL
Verifier: ____________
PIC: ____________</v>
      </c>
      <c r="H42" s="121" t="str">
        <f aca="false">IF(Checks!$AH$373="","",Checks!$AH$373)</f>
        <v>OPEN</v>
      </c>
    </row>
    <row r="43" customFormat="false" ht="114" hidden="false" customHeight="true" outlineLevel="0" collapsed="false">
      <c r="A43" s="120" t="str">
        <f aca="false">Checks!$A$374&amp;CHAR(10)&amp;IF(Checks!$I$374="","",Checks!$I$374&amp;": ")&amp;Checks!$J$374</f>
        <v>F11-T12-07
Equipment: Loading positions planned vs GLD</v>
      </c>
      <c r="B43" s="120" t="str">
        <f aca="false">SUBSTITUTE(Checks!$K$374&amp;IF(Checks!$O$374="","",IF(Checks!$K$374="","",CHAR(10))&amp;"Note: "&amp;Checks!$O$374)," (Flights AY)","")</f>
        <v>Note: Preparation check at caterer - does NOT confirm loading. Round-trip catered from KUL: due capped at the KUL loading deadline.</v>
      </c>
      <c r="C43" s="120" t="str">
        <f aca="false">Checks!$N$374&amp;CHAR(10)&amp;IF(ISNUMBER(Checks!$R$374),TEXT(Checks!$R$374,"DD-MMM-YY HH:MM"),"")&amp;" "&amp;Checks!$P$374</f>
        <v>Required
12-Oct-26 03:50 KUL</v>
      </c>
      <c r="D43" s="120" t="str">
        <f aca="false">IF(TRIM(Checks!$U$374)&lt;&gt;"",Checks!$U$374&amp;IF(Checks!$AB$374="","",CHAR(10)&amp;"CA: "&amp;Checks!$AB$374),IF(LEFT(Checks!$AH$374,10)="N/A – RULE","","[ ] Pass"&amp;CHAR(10)&amp;"[ ] Pass after CA"&amp;CHAR(10)&amp;"[ ] Fail"&amp;IF(Checks!$AT$374=1,CHAR(10)&amp;"[ ] N/A","")&amp;CHAR(10)&amp;"CA: Open / Closed"))</f>
        <v>[ ] Pass
[ ] Pass after CA
[ ] Fail
CA: Open / Closed</v>
      </c>
      <c r="E43" s="120" t="str">
        <f aca="false">IF(Checks!$V$374="","",Checks!$V$374)&amp;IF(Checks!$AC$374="","",IF(Checks!$V$374="","",CHAR(10))&amp;"N/A just.: "&amp;Checks!$AC$374)&amp;IF(OR(Checks!$W$374&lt;&gt;"",AND(Checks!$AQ$374=1,NOT(LEFT(Checks!$AH$374,10)="N/A – RULE"))),CHAR(10)&amp;"Batch: "&amp;IF(Checks!$W$374="","____________",Checks!$W$374),"")&amp;IF(OR(Checks!$X$374&lt;&gt;"",Checks!$Y$374&lt;&gt;"",AND(Checks!$AR$374=1,NOT(LEFT(Checks!$AH$374,10)="N/A – RULE"))),CHAR(10)&amp;"Exp: "&amp;IF(Checks!$X$374="","______",Checks!$X$374)&amp;"  /  Act: "&amp;IF(Checks!$Y$374="","______",Checks!$Y$374),"")</f>
        <v/>
      </c>
      <c r="F43" s="120" t="str">
        <f aca="false">IF(AND(LEFT(Checks!$AH$374,10)="N/A – RULE",TRIM(Checks!$S$374&amp;Checks!$Z$374)=""),"","Type: "&amp;IF(TRIM(Checks!$S$374)="","______________ (see cover list)",Checks!$S$374)&amp;CHAR(10)&amp;"ID: "&amp;IF(TRIM(Checks!$Z$374)="","______________ (record's own no.)",Checks!$Z$374))&amp;IF(Checks!$AA$374="","",CHAR(10)&amp;"CA: "&amp;Checks!$AA$374)</f>
        <v>Type: ______________ (see cover list)
ID: ______________ (record's own no.)</v>
      </c>
      <c r="G43" s="120" t="str">
        <f aca="false">IF(AND(LEFT(Checks!$AH$374,10)="N/A – RULE",NOT(ISNUMBER(Checks!$AD$374)),Checks!$AE$374="",Checks!$T$374=""),"","Done: "&amp;IF(ISNUMBER(Checks!$AD$374),TEXT(Checks!$AD$374,"DD-MMM-YY HH:MM"),"____________")&amp;" "&amp;Checks!$P$374&amp;CHAR(10)&amp;"Verifier: "&amp;IF(Checks!$AE$374="","____________",Checks!$AE$374)&amp;CHAR(10)&amp;"PIC: "&amp;IF(Checks!$T$374="","____________",Checks!$T$374))</f>
        <v>Done: ____________ KUL
Verifier: ____________
PIC: ____________</v>
      </c>
      <c r="H43" s="121" t="str">
        <f aca="false">IF(Checks!$AH$374="","",Checks!$AH$374)</f>
        <v>OPEN</v>
      </c>
    </row>
    <row r="44" customFormat="false" ht="157.5" hidden="false" customHeight="true" outlineLevel="0" collapsed="false">
      <c r="A44" s="120" t="str">
        <f aca="false">Checks!$A$375&amp;CHAR(10)&amp;IF(Checks!$I$375="","",Checks!$I$375&amp;": ")&amp;Checks!$J$375</f>
        <v>F11-T12-08
Seat Linen: Seat pillow (EY) - prepared</v>
      </c>
      <c r="B44" s="120" t="str">
        <f aca="false">SUBSTITUTE(Checks!$K$375&amp;IF(Checks!$O$375="","",IF(Checks!$K$375="","",CHAR(10))&amp;"Note: "&amp;Checks!$O$375)," (Flights AY)","")</f>
        <v>Available 100% (ticked in reference)
Note: Reference gives no uplift stn for this item: preparation checked at the meal uplift stn (KUL) - confirm with caterer. Round-trip catered from KUL: due capped at the KUL loading deadline.</v>
      </c>
      <c r="C44" s="120" t="str">
        <f aca="false">Checks!$N$375&amp;CHAR(10)&amp;IF(ISNUMBER(Checks!$R$375),TEXT(Checks!$R$375,"DD-MMM-YY HH:MM"),"")&amp;" "&amp;Checks!$P$375</f>
        <v>Required
12-Oct-26 03:50 KUL</v>
      </c>
      <c r="D44" s="120" t="str">
        <f aca="false">IF(TRIM(Checks!$U$375)&lt;&gt;"",Checks!$U$375&amp;IF(Checks!$AB$375="","",CHAR(10)&amp;"CA: "&amp;Checks!$AB$375),IF(LEFT(Checks!$AH$375,10)="N/A – RULE","","[ ] Pass"&amp;CHAR(10)&amp;"[ ] Pass after CA"&amp;CHAR(10)&amp;"[ ] Fail"&amp;IF(Checks!$AT$375=1,CHAR(10)&amp;"[ ] N/A","")&amp;CHAR(10)&amp;"CA: Open / Closed"))</f>
        <v>[ ] Pass
[ ] Pass after CA
[ ] Fail
CA: Open / Closed</v>
      </c>
      <c r="E44" s="120" t="str">
        <f aca="false">IF(Checks!$V$375="","",Checks!$V$375)&amp;IF(Checks!$AC$375="","",IF(Checks!$V$375="","",CHAR(10))&amp;"N/A just.: "&amp;Checks!$AC$375)&amp;IF(OR(Checks!$W$375&lt;&gt;"",AND(Checks!$AQ$375=1,NOT(LEFT(Checks!$AH$375,10)="N/A – RULE"))),CHAR(10)&amp;"Batch: "&amp;IF(Checks!$W$375="","____________",Checks!$W$375),"")&amp;IF(OR(Checks!$X$375&lt;&gt;"",Checks!$Y$375&lt;&gt;"",AND(Checks!$AR$375=1,NOT(LEFT(Checks!$AH$375,10)="N/A – RULE"))),CHAR(10)&amp;"Exp: "&amp;IF(Checks!$X$375="","______",Checks!$X$375)&amp;"  /  Act: "&amp;IF(Checks!$Y$375="","______",Checks!$Y$375),"")</f>
        <v/>
      </c>
      <c r="F44" s="120" t="str">
        <f aca="false">IF(AND(LEFT(Checks!$AH$375,10)="N/A – RULE",TRIM(Checks!$S$375&amp;Checks!$Z$375)=""),"","Type: "&amp;IF(TRIM(Checks!$S$375)="","______________ (see cover list)",Checks!$S$375)&amp;CHAR(10)&amp;"ID: "&amp;IF(TRIM(Checks!$Z$375)="","______________ (record's own no.)",Checks!$Z$375))&amp;IF(Checks!$AA$375="","",CHAR(10)&amp;"CA: "&amp;Checks!$AA$375)</f>
        <v>Type: ______________ (see cover list)
ID: ______________ (record's own no.)</v>
      </c>
      <c r="G44" s="120" t="str">
        <f aca="false">IF(AND(LEFT(Checks!$AH$375,10)="N/A – RULE",NOT(ISNUMBER(Checks!$AD$375)),Checks!$AE$375="",Checks!$T$375=""),"","Done: "&amp;IF(ISNUMBER(Checks!$AD$375),TEXT(Checks!$AD$375,"DD-MMM-YY HH:MM"),"____________")&amp;" "&amp;Checks!$P$375&amp;CHAR(10)&amp;"Verifier: "&amp;IF(Checks!$AE$375="","____________",Checks!$AE$375)&amp;CHAR(10)&amp;"PIC: "&amp;IF(Checks!$T$375="","____________",Checks!$T$375))</f>
        <v>Done: ____________ KUL
Verifier: ____________
PIC: ____________</v>
      </c>
      <c r="H44" s="121" t="str">
        <f aca="false">IF(Checks!$AH$375="","",Checks!$AH$375)</f>
        <v>OPEN</v>
      </c>
    </row>
    <row r="45" customFormat="false" ht="25.5" hidden="false" customHeight="true" outlineLevel="0" collapsed="false">
      <c r="A45" s="119" t="str">
        <f aca="false">"UPLIFT — Physical uplift – on-board confirmation before departure  |  Due "&amp;"STD "&amp;IF(ISNUMBER(Flights!$I$15),TEXT(Flights!$I$15,"DD-MMM-YY HH:MM"),"")&amp;" "&amp;Flights!$G$15&amp;" (departure stn)"&amp;" (rows with another due show their own)  |  Complete "&amp;IF(ISNUMBER(Flights!$AM$15),TEXT(Flights!$AM$15,"0%"),Flights!$AM$15)&amp;"  |  4 lines"</f>
        <v>UPLIFT — Physical uplift – on-board confirmation before departure  |  Due STD 12-Oct-26 15:50 PEN (departure stn) (rows with another due show their own)  |  Complete 0%  |  4 lines</v>
      </c>
      <c r="B45" s="119"/>
      <c r="C45" s="119"/>
      <c r="D45" s="119"/>
      <c r="E45" s="119"/>
      <c r="F45" s="119"/>
      <c r="G45" s="119"/>
      <c r="H45" s="119"/>
    </row>
    <row r="46" customFormat="false" ht="114" hidden="false" customHeight="true" outlineLevel="0" collapsed="false">
      <c r="A46" s="120" t="str">
        <f aca="false">Checks!$A$376&amp;CHAR(10)&amp;IF(Checks!$I$376="","",Checks!$I$376&amp;": ")&amp;Checks!$J$376</f>
        <v>F11-UPL-01
Meal: Meals physically uplifted on board - quantity vs menu checklist</v>
      </c>
      <c r="B46" s="120" t="str">
        <f aca="false">Checks!$K$376&amp;IF(Checks!$O$376="","",IF(Checks!$K$376="","",CHAR(10))&amp;"Note: "&amp;Checks!$O$376)</f>
        <v>Enter expected &amp; actual
Note: Confirm on board before departure; completion time must fall inside the uplift window.</v>
      </c>
      <c r="C46" s="120" t="str">
        <f aca="false">Checks!$N$376&amp;CHAR(10)&amp;IF(ISNUMBER(Checks!$R$376),TEXT(Checks!$R$376,"DD-MMM-YY HH:MM"),"")&amp;" "&amp;Checks!$P$376</f>
        <v>Required
12-Oct-26 15:50 PEN</v>
      </c>
      <c r="D46" s="120" t="str">
        <f aca="false">IF(TRIM(Checks!$U$376)&lt;&gt;"",Checks!$U$376&amp;IF(Checks!$AB$376="","",CHAR(10)&amp;"CA: "&amp;Checks!$AB$376),IF(LEFT(Checks!$AH$376,10)="N/A – RULE","","[ ] Pass"&amp;CHAR(10)&amp;"[ ] Pass after CA"&amp;CHAR(10)&amp;"[ ] Fail"&amp;IF(Checks!$AT$376=1,CHAR(10)&amp;"[ ] N/A","")&amp;CHAR(10)&amp;"CA: Open / Closed"))</f>
        <v>[ ] Pass
[ ] Pass after CA
[ ] Fail
CA: Open / Closed</v>
      </c>
      <c r="E46" s="120" t="str">
        <f aca="false">IF(Checks!$V$376="","",Checks!$V$376)&amp;IF(Checks!$AC$376="","",IF(Checks!$V$376="","",CHAR(10))&amp;"N/A just.: "&amp;Checks!$AC$376)&amp;IF(OR(Checks!$W$376&lt;&gt;"",AND(Checks!$AQ$376=1,NOT(LEFT(Checks!$AH$376,10)="N/A – RULE"))),CHAR(10)&amp;"Batch: "&amp;IF(Checks!$W$376="","____________",Checks!$W$376),"")&amp;IF(OR(Checks!$X$376&lt;&gt;"",Checks!$Y$376&lt;&gt;"",AND(Checks!$AR$376=1,NOT(LEFT(Checks!$AH$376,10)="N/A – RULE"))),CHAR(10)&amp;"Exp: "&amp;IF(Checks!$X$376="","______",Checks!$X$376)&amp;"  /  Act: "&amp;IF(Checks!$Y$376="","______",Checks!$Y$376),"")</f>
        <v>
Exp: ______  /  Act: ______</v>
      </c>
      <c r="F46" s="120" t="str">
        <f aca="false">IF(AND(LEFT(Checks!$AH$376,10)="N/A – RULE",TRIM(Checks!$S$376&amp;Checks!$Z$376)=""),"","Type: "&amp;IF(TRIM(Checks!$S$376)="","______________ (see cover list)",Checks!$S$376)&amp;CHAR(10)&amp;"ID: "&amp;IF(TRIM(Checks!$Z$376)="","______________ (record's own no.)",Checks!$Z$376))&amp;IF(Checks!$AA$376="","",CHAR(10)&amp;"CA: "&amp;Checks!$AA$376)</f>
        <v>Type: ______________ (see cover list)
ID: ______________ (record's own no.)</v>
      </c>
      <c r="G46" s="120" t="str">
        <f aca="false">IF(AND(LEFT(Checks!$AH$376,10)="N/A – RULE",NOT(ISNUMBER(Checks!$AD$376)),Checks!$AE$376="",Checks!$T$376=""),"","Done: "&amp;IF(ISNUMBER(Checks!$AD$376),TEXT(Checks!$AD$376,"DD-MMM-YY HH:MM"),"____________")&amp;" "&amp;Checks!$P$376&amp;CHAR(10)&amp;"Verifier: "&amp;IF(Checks!$AE$376="","____________",Checks!$AE$376)&amp;CHAR(10)&amp;"PIC: "&amp;IF(Checks!$T$376="","____________",Checks!$T$376))</f>
        <v>Done: ____________ PEN
Verifier: ____________
PIC: ____________</v>
      </c>
      <c r="H46" s="121" t="str">
        <f aca="false">IF(Checks!$AH$376="","",Checks!$AH$376)</f>
        <v>OPEN</v>
      </c>
    </row>
    <row r="47" customFormat="false" ht="114" hidden="false" customHeight="true" outlineLevel="0" collapsed="false">
      <c r="A47" s="120" t="str">
        <f aca="false">Checks!$A$377&amp;CHAR(10)&amp;IF(Checks!$I$377="","",Checks!$I$377&amp;": ")&amp;Checks!$J$377</f>
        <v>F11-UPL-02
Equipment: Equipment physically loaded at GLD positions - quantity &amp; positions</v>
      </c>
      <c r="B47" s="120" t="str">
        <f aca="false">Checks!$K$377&amp;IF(Checks!$O$377="","",IF(Checks!$K$377="","",CHAR(10))&amp;"Note: "&amp;Checks!$O$377)</f>
        <v>Enter expected &amp; actual
Note: Confirm on board before departure; completion time must fall inside the uplift window.</v>
      </c>
      <c r="C47" s="120" t="str">
        <f aca="false">Checks!$N$377&amp;CHAR(10)&amp;IF(ISNUMBER(Checks!$R$377),TEXT(Checks!$R$377,"DD-MMM-YY HH:MM"),"")&amp;" "&amp;Checks!$P$377</f>
        <v>Required
12-Oct-26 15:50 PEN</v>
      </c>
      <c r="D47" s="120" t="str">
        <f aca="false">IF(TRIM(Checks!$U$377)&lt;&gt;"",Checks!$U$377&amp;IF(Checks!$AB$377="","",CHAR(10)&amp;"CA: "&amp;Checks!$AB$377),IF(LEFT(Checks!$AH$377,10)="N/A – RULE","","[ ] Pass"&amp;CHAR(10)&amp;"[ ] Pass after CA"&amp;CHAR(10)&amp;"[ ] Fail"&amp;IF(Checks!$AT$377=1,CHAR(10)&amp;"[ ] N/A","")&amp;CHAR(10)&amp;"CA: Open / Closed"))</f>
        <v>[ ] Pass
[ ] Pass after CA
[ ] Fail
CA: Open / Closed</v>
      </c>
      <c r="E47" s="120" t="str">
        <f aca="false">IF(Checks!$V$377="","",Checks!$V$377)&amp;IF(Checks!$AC$377="","",IF(Checks!$V$377="","",CHAR(10))&amp;"N/A just.: "&amp;Checks!$AC$377)&amp;IF(OR(Checks!$W$377&lt;&gt;"",AND(Checks!$AQ$377=1,NOT(LEFT(Checks!$AH$377,10)="N/A – RULE"))),CHAR(10)&amp;"Batch: "&amp;IF(Checks!$W$377="","____________",Checks!$W$377),"")&amp;IF(OR(Checks!$X$377&lt;&gt;"",Checks!$Y$377&lt;&gt;"",AND(Checks!$AR$377=1,NOT(LEFT(Checks!$AH$377,10)="N/A – RULE"))),CHAR(10)&amp;"Exp: "&amp;IF(Checks!$X$377="","______",Checks!$X$377)&amp;"  /  Act: "&amp;IF(Checks!$Y$377="","______",Checks!$Y$377),"")</f>
        <v>
Exp: ______  /  Act: ______</v>
      </c>
      <c r="F47" s="120" t="str">
        <f aca="false">IF(AND(LEFT(Checks!$AH$377,10)="N/A – RULE",TRIM(Checks!$S$377&amp;Checks!$Z$377)=""),"","Type: "&amp;IF(TRIM(Checks!$S$377)="","______________ (see cover list)",Checks!$S$377)&amp;CHAR(10)&amp;"ID: "&amp;IF(TRIM(Checks!$Z$377)="","______________ (record's own no.)",Checks!$Z$377))&amp;IF(Checks!$AA$377="","",CHAR(10)&amp;"CA: "&amp;Checks!$AA$377)</f>
        <v>Type: ______________ (see cover list)
ID: ______________ (record's own no.)</v>
      </c>
      <c r="G47" s="120" t="str">
        <f aca="false">IF(AND(LEFT(Checks!$AH$377,10)="N/A – RULE",NOT(ISNUMBER(Checks!$AD$377)),Checks!$AE$377="",Checks!$T$377=""),"","Done: "&amp;IF(ISNUMBER(Checks!$AD$377),TEXT(Checks!$AD$377,"DD-MMM-YY HH:MM"),"____________")&amp;" "&amp;Checks!$P$377&amp;CHAR(10)&amp;"Verifier: "&amp;IF(Checks!$AE$377="","____________",Checks!$AE$377)&amp;CHAR(10)&amp;"PIC: "&amp;IF(Checks!$T$377="","____________",Checks!$T$377))</f>
        <v>Done: ____________ PEN
Verifier: ____________
PIC: ____________</v>
      </c>
      <c r="H47" s="121" t="str">
        <f aca="false">IF(Checks!$AH$377="","",Checks!$AH$377)</f>
        <v>OPEN</v>
      </c>
    </row>
    <row r="48" customFormat="false" ht="213" hidden="false" customHeight="true" outlineLevel="0" collapsed="false">
      <c r="A48" s="120" t="str">
        <f aca="false">Checks!$A$378&amp;CHAR(10)&amp;IF(Checks!$I$378="","",Checks!$I$378&amp;": ")&amp;Checks!$J$378</f>
        <v>F11-UPL-03
Uplift plan: Return catering for MH1149 physically loaded at KUL on the carrying flight (meals, equipment and all items below)</v>
      </c>
      <c r="B48" s="120" t="str">
        <f aca="false">SUBSTITUTE(Checks!$K$378&amp;IF(Checks!$O$378="","",IF(Checks!$K$378="","",CHAR(10))&amp;"Note: "&amp;Checks!$O$378)," (Flights AX)","")</f>
        <v>Items: meals / refreshment, equipment, Seat pillow (EY). Quantities as per menu checklist, GLD and Requirements
Note: Loading happens at KUL, so it is confirmed at KUL inside the uplift window before the carrying flight's KUL departure. The on-board lines below are then re-checked at the departure station.</v>
      </c>
      <c r="C48" s="120" t="str">
        <f aca="false">Checks!$N$378&amp;CHAR(10)&amp;IF(ISNUMBER(Checks!$R$378),TEXT(Checks!$R$378,"DD-MMM-YY HH:MM"),"")&amp;" "&amp;Checks!$P$378</f>
        <v>Required
12-Oct-26 11:45 KUL</v>
      </c>
      <c r="D48" s="120" t="str">
        <f aca="false">IF(TRIM(Checks!$U$378)&lt;&gt;"",Checks!$U$378&amp;IF(Checks!$AB$378="","",CHAR(10)&amp;"CA: "&amp;Checks!$AB$378),IF(LEFT(Checks!$AH$378,10)="N/A – RULE","","[ ] Pass"&amp;CHAR(10)&amp;"[ ] Pass after CA"&amp;CHAR(10)&amp;"[ ] Fail"&amp;IF(Checks!$AT$378=1,CHAR(10)&amp;"[ ] N/A","")&amp;CHAR(10)&amp;"CA: Open / Closed"))</f>
        <v>[ ] Pass
[ ] Pass after CA
[ ] Fail
CA: Open / Closed</v>
      </c>
      <c r="E48" s="120" t="str">
        <f aca="false">IF(Checks!$V$378="","",Checks!$V$378)&amp;IF(Checks!$AC$378="","",IF(Checks!$V$378="","",CHAR(10))&amp;"N/A just.: "&amp;Checks!$AC$378)&amp;IF(OR(Checks!$W$378&lt;&gt;"",AND(Checks!$AQ$378=1,NOT(LEFT(Checks!$AH$378,10)="N/A – RULE"))),CHAR(10)&amp;"Batch: "&amp;IF(Checks!$W$378="","____________",Checks!$W$378),"")&amp;IF(OR(Checks!$X$378&lt;&gt;"",Checks!$Y$378&lt;&gt;"",AND(Checks!$AR$378=1,NOT(LEFT(Checks!$AH$378,10)="N/A – RULE"))),CHAR(10)&amp;"Exp: "&amp;IF(Checks!$X$378="","______",Checks!$X$378)&amp;"  /  Act: "&amp;IF(Checks!$Y$378="","______",Checks!$Y$378),"")</f>
        <v/>
      </c>
      <c r="F48" s="120" t="str">
        <f aca="false">IF(AND(LEFT(Checks!$AH$378,10)="N/A – RULE",TRIM(Checks!$S$378&amp;Checks!$Z$378)=""),"","Type: "&amp;IF(TRIM(Checks!$S$378)="","______________ (see cover list)",Checks!$S$378)&amp;CHAR(10)&amp;"ID: "&amp;IF(TRIM(Checks!$Z$378)="","______________ (record's own no.)",Checks!$Z$378))&amp;IF(Checks!$AA$378="","",CHAR(10)&amp;"CA: "&amp;Checks!$AA$378)</f>
        <v>Type: ______________ (see cover list)
ID: ______________ (record's own no.)</v>
      </c>
      <c r="G48" s="120" t="str">
        <f aca="false">IF(AND(LEFT(Checks!$AH$378,10)="N/A – RULE",NOT(ISNUMBER(Checks!$AD$378)),Checks!$AE$378="",Checks!$T$378=""),"","Done: "&amp;IF(ISNUMBER(Checks!$AD$378),TEXT(Checks!$AD$378,"DD-MMM-YY HH:MM"),"____________")&amp;" "&amp;Checks!$P$378&amp;CHAR(10)&amp;"Verifier: "&amp;IF(Checks!$AE$378="","____________",Checks!$AE$378)&amp;CHAR(10)&amp;"PIC: "&amp;IF(Checks!$T$378="","____________",Checks!$T$378))</f>
        <v>Done: ____________ KUL
Verifier: ____________
PIC: ____________</v>
      </c>
      <c r="H48" s="121" t="str">
        <f aca="false">IF(Checks!$AH$378="","",Checks!$AH$378)</f>
        <v>OPEN</v>
      </c>
    </row>
    <row r="49" customFormat="false" ht="114" hidden="false" customHeight="true" outlineLevel="0" collapsed="false">
      <c r="A49" s="120" t="str">
        <f aca="false">Checks!$A$379&amp;CHAR(10)&amp;IF(Checks!$I$379="","",Checks!$I$379&amp;": ")&amp;Checks!$J$379</f>
        <v>F11-UPL-04
Seat Linen: Seat pillow (EY) - on board</v>
      </c>
      <c r="B49" s="120" t="str">
        <f aca="false">Checks!$K$379&amp;IF(Checks!$O$379="","",IF(Checks!$K$379="","",CHAR(10))&amp;"Note: "&amp;Checks!$O$379)</f>
        <v>Available 100% (ticked in reference)</v>
      </c>
      <c r="C49" s="120" t="str">
        <f aca="false">Checks!$N$379&amp;CHAR(10)&amp;IF(ISNUMBER(Checks!$R$379),TEXT(Checks!$R$379,"DD-MMM-YY HH:MM"),"")&amp;" "&amp;Checks!$P$379</f>
        <v>Required
12-Oct-26 15:50 PEN</v>
      </c>
      <c r="D49" s="120" t="str">
        <f aca="false">IF(TRIM(Checks!$U$379)&lt;&gt;"",Checks!$U$379&amp;IF(Checks!$AB$379="","",CHAR(10)&amp;"CA: "&amp;Checks!$AB$379),IF(LEFT(Checks!$AH$379,10)="N/A – RULE","","[ ] Pass"&amp;CHAR(10)&amp;"[ ] Pass after CA"&amp;CHAR(10)&amp;"[ ] Fail"&amp;IF(Checks!$AT$379=1,CHAR(10)&amp;"[ ] N/A","")&amp;CHAR(10)&amp;"CA: Open / Closed"))</f>
        <v>[ ] Pass
[ ] Pass after CA
[ ] Fail
CA: Open / Closed</v>
      </c>
      <c r="E49" s="120" t="str">
        <f aca="false">IF(Checks!$V$379="","",Checks!$V$379)&amp;IF(Checks!$AC$379="","",IF(Checks!$V$379="","",CHAR(10))&amp;"N/A just.: "&amp;Checks!$AC$379)&amp;IF(OR(Checks!$W$379&lt;&gt;"",AND(Checks!$AQ$379=1,NOT(LEFT(Checks!$AH$379,10)="N/A – RULE"))),CHAR(10)&amp;"Batch: "&amp;IF(Checks!$W$379="","____________",Checks!$W$379),"")&amp;IF(OR(Checks!$X$379&lt;&gt;"",Checks!$Y$379&lt;&gt;"",AND(Checks!$AR$379=1,NOT(LEFT(Checks!$AH$379,10)="N/A – RULE"))),CHAR(10)&amp;"Exp: "&amp;IF(Checks!$X$379="","______",Checks!$X$379)&amp;"  /  Act: "&amp;IF(Checks!$Y$379="","______",Checks!$Y$379),"")</f>
        <v/>
      </c>
      <c r="F49" s="120" t="str">
        <f aca="false">IF(AND(LEFT(Checks!$AH$379,10)="N/A – RULE",TRIM(Checks!$S$379&amp;Checks!$Z$379)=""),"","Type: "&amp;IF(TRIM(Checks!$S$379)="","______________ (see cover list)",Checks!$S$379)&amp;CHAR(10)&amp;"ID: "&amp;IF(TRIM(Checks!$Z$379)="","______________ (record's own no.)",Checks!$Z$379))&amp;IF(Checks!$AA$379="","",CHAR(10)&amp;"CA: "&amp;Checks!$AA$379)</f>
        <v>Type: ______________ (see cover list)
ID: ______________ (record's own no.)</v>
      </c>
      <c r="G49" s="120" t="str">
        <f aca="false">IF(AND(LEFT(Checks!$AH$379,10)="N/A – RULE",NOT(ISNUMBER(Checks!$AD$379)),Checks!$AE$379="",Checks!$T$379=""),"","Done: "&amp;IF(ISNUMBER(Checks!$AD$379),TEXT(Checks!$AD$379,"DD-MMM-YY HH:MM"),"____________")&amp;" "&amp;Checks!$P$379&amp;CHAR(10)&amp;"Verifier: "&amp;IF(Checks!$AE$379="","____________",Checks!$AE$379)&amp;CHAR(10)&amp;"PIC: "&amp;IF(Checks!$T$379="","____________",Checks!$T$379))</f>
        <v>Done: ____________ PEN
Verifier: ____________
PIC: ____________</v>
      </c>
      <c r="H49" s="121" t="str">
        <f aca="false">IF(Checks!$AH$379="","",Checks!$AH$379)</f>
        <v>OPEN</v>
      </c>
    </row>
    <row r="51" customFormat="false" ht="24" hidden="false" customHeight="true" outlineLevel="0" collapsed="false">
      <c r="A51" s="122" t="s">
        <v>4832</v>
      </c>
      <c r="B51" s="122"/>
      <c r="C51" s="122"/>
      <c r="D51" s="122"/>
      <c r="E51" s="122" t="s">
        <v>4833</v>
      </c>
      <c r="F51" s="122"/>
      <c r="G51" s="122"/>
      <c r="H51" s="122"/>
    </row>
    <row r="52" customFormat="false" ht="21.75" hidden="false" customHeight="true" outlineLevel="0" collapsed="false">
      <c r="A52" s="123"/>
      <c r="B52" s="123"/>
      <c r="C52" s="123"/>
      <c r="D52" s="123"/>
      <c r="E52" s="123"/>
      <c r="F52" s="123"/>
      <c r="G52" s="123"/>
      <c r="H52" s="123"/>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row r="59" customFormat="false" ht="21.75" hidden="false" customHeight="true" outlineLevel="0" collapsed="false">
      <c r="A59" s="123"/>
      <c r="B59" s="123"/>
      <c r="C59" s="123"/>
      <c r="D59" s="123"/>
      <c r="E59" s="123"/>
      <c r="F59" s="123"/>
      <c r="G59" s="123"/>
      <c r="H59" s="123"/>
    </row>
    <row r="60" customFormat="false" ht="21.75" hidden="false" customHeight="true" outlineLevel="0" collapsed="false">
      <c r="A60" s="123"/>
      <c r="B60" s="123"/>
      <c r="C60" s="123"/>
      <c r="D60" s="123"/>
      <c r="E60" s="123"/>
      <c r="F60" s="123"/>
      <c r="G60" s="123"/>
      <c r="H60" s="123"/>
    </row>
    <row r="61" customFormat="false" ht="21.75" hidden="false" customHeight="true" outlineLevel="0" collapsed="false">
      <c r="A61" s="123"/>
      <c r="B61" s="123"/>
      <c r="C61" s="123"/>
      <c r="D61" s="123"/>
      <c r="E61" s="123"/>
      <c r="F61" s="123"/>
      <c r="G61" s="123"/>
      <c r="H61" s="123"/>
    </row>
  </sheetData>
  <sheetProtection sheet="true" formatCells="false" formatColumns="false" formatRows="false" autoFilter="false"/>
  <mergeCells count="46">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A14:H14"/>
    <mergeCell ref="C15:D15"/>
    <mergeCell ref="F15:H15"/>
    <mergeCell ref="C16:D16"/>
    <mergeCell ref="F16:H16"/>
    <mergeCell ref="C17:D17"/>
    <mergeCell ref="F17:H17"/>
    <mergeCell ref="B18:H18"/>
    <mergeCell ref="A19:B19"/>
    <mergeCell ref="C19:E19"/>
    <mergeCell ref="F19:H19"/>
    <mergeCell ref="A20:B20"/>
    <mergeCell ref="C20:E20"/>
    <mergeCell ref="F20:H20"/>
    <mergeCell ref="A21:B21"/>
    <mergeCell ref="C21:E21"/>
    <mergeCell ref="F21:H21"/>
    <mergeCell ref="A23:H23"/>
    <mergeCell ref="A34:H34"/>
    <mergeCell ref="A36:H36"/>
    <mergeCell ref="A45:H45"/>
    <mergeCell ref="A51:D51"/>
    <mergeCell ref="E51:H51"/>
    <mergeCell ref="A52:D61"/>
    <mergeCell ref="E52:H61"/>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6">
    <cfRule type="expression" priority="9" aboveAverage="0" equalAverage="0" bottom="0" percent="0" rank="0" text="" dxfId="30">
      <formula>LEFT($E$16,11)="OUTSTANDING"</formula>
    </cfRule>
    <cfRule type="expression" priority="10" aboveAverage="0" equalAverage="0" bottom="0" percent="0" rank="0" text="" dxfId="27">
      <formula>$E$16="ON FILE"</formula>
    </cfRule>
  </conditionalFormatting>
  <conditionalFormatting sqref="E17">
    <cfRule type="expression" priority="11" aboveAverage="0" equalAverage="0" bottom="0" percent="0" rank="0" text="" dxfId="30">
      <formula>LEFT($E$17,11)="OUTSTANDING"</formula>
    </cfRule>
    <cfRule type="expression" priority="12" aboveAverage="0" equalAverage="0" bottom="0" percent="0" rank="0" text="" dxfId="27">
      <formula>$E$17="ON FILE"</formula>
    </cfRule>
  </conditionalFormatting>
  <conditionalFormatting sqref="H24:H49">
    <cfRule type="expression" priority="13" aboveAverage="0" equalAverage="0" bottom="0" percent="0" rank="0" text="" dxfId="31">
      <formula>ISNUMBER(SEARCH("CHECK WORDING",$H24))</formula>
    </cfRule>
    <cfRule type="expression" priority="14" aboveAverage="0" equalAverage="0" bottom="0" percent="0" rank="0" text="" dxfId="32">
      <formula>LEFT($H24,8)="COMPLETE"</formula>
    </cfRule>
    <cfRule type="expression" priority="15" aboveAverage="0" equalAverage="0" bottom="0" percent="0" rank="0" text="" dxfId="28">
      <formula>OR(LEFT($H24,7)="OVERDUE",LEFT($H24,4)="FAIL",LEFT($H24,7)="INVALID")</formula>
    </cfRule>
    <cfRule type="expression" priority="16" aboveAverage="0" equalAverage="0" bottom="0" percent="0" rank="0" text="" dxfId="33">
      <formula>LEFT($H24,4)="OPEN"</formula>
    </cfRule>
    <cfRule type="expression" priority="17" aboveAverage="0" equalAverage="0" bottom="0" percent="0" rank="0" text="" dxfId="34">
      <formula>LEFT($H24,3)="N/A"</formula>
    </cfRule>
  </conditionalFormatting>
  <conditionalFormatting sqref="A24:G49">
    <cfRule type="expression" priority="18" aboveAverage="0" equalAverage="0" bottom="0" percent="0" rank="0" text="" dxfId="35">
      <formula>LEFT($H24,3)="N/A"</formula>
    </cfRule>
  </conditionalFormatting>
  <conditionalFormatting sqref="D24:D49">
    <cfRule type="expression" priority="19" aboveAverage="0" equalAverage="0" bottom="0" percent="0" rank="0" text="" dxfId="28">
      <formula>LEFT($D24,4)="Fail"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F11 MH1149 12-Oct-26 PEN-KUL Class EY</oddHeader>
    <oddFooter>&amp;L&amp;"Arial,Bold"&amp;8 F11 MH1149 12-Oct-26 PEN-KUL Class EY&amp;C&amp;"Arial,Regular"&amp;8 Printed: ____________________&amp;R&amp;"Arial,Regular"&amp;8 F11  Page &amp;P of &amp;N</oddFooter>
  </headerFooter>
  <rowBreaks count="7" manualBreakCount="7">
    <brk id="21" man="true" max="16383" min="0"/>
    <brk id="27" man="true" max="16383" min="0"/>
    <brk id="31" man="true" max="16383" min="0"/>
    <brk id="35" man="true" max="16383" min="0"/>
    <brk id="40" man="true" max="16383" min="0"/>
    <brk id="43" man="true" max="16383" min="0"/>
    <brk id="47" man="true" max="16383" min="0"/>
  </row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F12  "&amp;Flights!$F$16&amp;"  "&amp;TEXT(Flights!$D$16,"DD-MMM-YY")&amp;" ("&amp;Flights!$E$16&amp;")  "&amp;Flights!$G$16&amp;" → "&amp;Flights!$H$16&amp;"  |  Class "&amp;Flights!$K$16</f>
        <v>SKYTRAX 2026 CATERING READINESS CHECKLIST  |  F12  MH0139  12-Oct-26 (MON)  KUL → ADL  |  Class BC</v>
      </c>
      <c r="B1" s="93"/>
      <c r="C1" s="93"/>
      <c r="D1" s="93"/>
      <c r="E1" s="93"/>
      <c r="F1" s="93"/>
      <c r="G1" s="93"/>
      <c r="H1" s="93"/>
    </row>
    <row r="2" customFormat="false" ht="12.75" hidden="false" customHeight="true" outlineLevel="0" collapsed="false">
      <c r="A2" s="94" t="s">
        <v>4788</v>
      </c>
      <c r="B2" s="95" t="str">
        <f aca="false">Flights!$F$16&amp;"   "&amp;TEXT(Flights!$D$16,"DD-MMM-YY")&amp;" ("&amp;Flights!$E$16&amp;")"</f>
        <v>MH0139   12-Oct-26 (MON)</v>
      </c>
      <c r="C2" s="95"/>
      <c r="D2" s="95"/>
      <c r="E2" s="96" t="s">
        <v>4789</v>
      </c>
      <c r="F2" s="97" t="str">
        <f aca="false">Flights!$AT$16</f>
        <v>NOT READY – DOCUMENTS</v>
      </c>
      <c r="G2" s="97"/>
      <c r="H2" s="97"/>
    </row>
    <row r="3" customFormat="false" ht="24" hidden="false" customHeight="true" outlineLevel="0" collapsed="false">
      <c r="A3" s="94" t="s">
        <v>4790</v>
      </c>
      <c r="B3" s="95" t="str">
        <f aca="false">Flights!$G$16&amp;" → "&amp;Flights!$H$16&amp;"   Class "&amp;Flights!$K$16&amp;"   Seat "&amp;Flights!$O$16</f>
        <v>KUL → ADL   Class BC   Seat 1K</v>
      </c>
      <c r="C3" s="95"/>
      <c r="D3" s="95"/>
      <c r="E3" s="96" t="s">
        <v>73</v>
      </c>
      <c r="F3" s="96" t="s">
        <v>4791</v>
      </c>
      <c r="G3" s="96" t="s">
        <v>4792</v>
      </c>
      <c r="H3" s="96"/>
    </row>
    <row r="4" customFormat="false" ht="24" hidden="false" customHeight="true" outlineLevel="0" collapsed="false">
      <c r="A4" s="94" t="s">
        <v>4793</v>
      </c>
      <c r="B4" s="95" t="str">
        <f aca="false">IF(ISNUMBER(Flights!$I$16),TEXT(Flights!$I$16,"DD-MMM-YY HH:MM"),"")&amp;" "&amp;Flights!$G$16&amp;"  →  "&amp;IF(ISNUMBER(Flights!$J$16),TEXT(Flights!$J$16,"DD-MMM-YY HH:MM"),"")&amp;" "&amp;Flights!$H$16</f>
        <v>12-Oct-26 22:25 KUL  →  13-Oct-26 08:00 ADL</v>
      </c>
      <c r="C4" s="95"/>
      <c r="D4" s="95"/>
      <c r="E4" s="94" t="s">
        <v>4794</v>
      </c>
      <c r="F4" s="98" t="str">
        <f aca="false">IF(ISNUMBER(Flights!$AG$16),TEXT(Flights!$AG$16,"DD-MMM-YY HH:MM"),"")&amp;" "&amp;Flights!$V$16</f>
        <v>05-Oct-26 22:25 KUL</v>
      </c>
      <c r="G4" s="99" t="n">
        <f aca="false">Flights!$AJ$16</f>
        <v>0</v>
      </c>
      <c r="H4" s="99"/>
    </row>
    <row r="5" customFormat="false" ht="24" hidden="false" customHeight="true" outlineLevel="0" collapsed="false">
      <c r="A5" s="94" t="s">
        <v>4795</v>
      </c>
      <c r="B5" s="95" t="str">
        <f aca="false">Flights!$L$16&amp;" – "&amp;Flights!$M$16</f>
        <v>A339 – A330-900 (A339)</v>
      </c>
      <c r="C5" s="95"/>
      <c r="D5" s="95"/>
      <c r="E5" s="94" t="s">
        <v>4796</v>
      </c>
      <c r="F5" s="98" t="str">
        <f aca="false">IF(ISNUMBER(Flights!$AH$16),TEXT(Flights!$AH$16,"DD-MMM-YY HH:MM"),"")&amp;" "&amp;Flights!$V$16</f>
        <v>11-Oct-26 22:25 KUL</v>
      </c>
      <c r="G5" s="99" t="n">
        <f aca="false">Flights!$AK$16</f>
        <v>0</v>
      </c>
      <c r="H5" s="99"/>
    </row>
    <row r="6" customFormat="false" ht="24" hidden="false" customHeight="true" outlineLevel="0" collapsed="false">
      <c r="A6" s="94" t="s">
        <v>4797</v>
      </c>
      <c r="B6" s="95" t="str">
        <f aca="false">IF(TRIM(Flights!$N$16)="","__________________",Flights!$N$16)</f>
        <v>__________________</v>
      </c>
      <c r="C6" s="95"/>
      <c r="D6" s="95"/>
      <c r="E6" s="94" t="s">
        <v>4798</v>
      </c>
      <c r="F6" s="98" t="str">
        <f aca="false">IF(ISNUMBER(Flights!$AI$16),TEXT(Flights!$AI$16,"DD-MMM-YY HH:MM"),"")&amp;" "&amp;Flights!$V$16&amp;IF(Flights!$AI$16=Flights!$AH$16,"  (= T-24H due)","")</f>
        <v>12-Oct-26 10:25 KUL</v>
      </c>
      <c r="G6" s="99" t="n">
        <f aca="false">Flights!$AL$16</f>
        <v>0</v>
      </c>
      <c r="H6" s="99"/>
    </row>
    <row r="7" customFormat="false" ht="24" hidden="false" customHeight="true" outlineLevel="0" collapsed="false">
      <c r="A7" s="94" t="s">
        <v>4799</v>
      </c>
      <c r="B7" s="95" t="str">
        <f aca="false">Flights!$T$16</f>
        <v>1.5 Meal (Meal)</v>
      </c>
      <c r="C7" s="95"/>
      <c r="D7" s="95"/>
      <c r="E7" s="94" t="s">
        <v>4800</v>
      </c>
      <c r="F7" s="98" t="str">
        <f aca="false">"STD "&amp;IF(ISNUMBER(Flights!$I$16),TEXT(Flights!$I$16,"DD-MMM-YY HH:MM"),"")&amp;" "&amp;Flights!$G$16&amp;" (dep stn)"</f>
        <v>STD 12-Oct-26 22:25 KUL (dep stn)</v>
      </c>
      <c r="G7" s="99" t="n">
        <f aca="false">Flights!$AM$16</f>
        <v>0</v>
      </c>
      <c r="H7" s="99"/>
    </row>
    <row r="8" customFormat="false" ht="12.75" hidden="false" customHeight="true" outlineLevel="0" collapsed="false">
      <c r="A8" s="94" t="s">
        <v>155</v>
      </c>
      <c r="B8" s="95" t="str">
        <f aca="false">Flights!$V$16&amp;"   (reference uplift stns: "&amp;Flights!$U$16&amp;")"</f>
        <v>KUL   (reference uplift stns: KUL/ADL)</v>
      </c>
      <c r="C8" s="95"/>
      <c r="D8" s="95"/>
      <c r="E8" s="94" t="s">
        <v>4801</v>
      </c>
      <c r="F8" s="100" t="s">
        <v>4802</v>
      </c>
      <c r="G8" s="99" t="n">
        <f aca="false">Flights!$AN$16</f>
        <v>0</v>
      </c>
      <c r="H8" s="99"/>
    </row>
    <row r="9" customFormat="false" ht="12.75" hidden="false" customHeight="true" outlineLevel="0" collapsed="false">
      <c r="A9" s="94" t="s">
        <v>4803</v>
      </c>
      <c r="B9" s="95" t="str">
        <f aca="false">TRIM(Flights!$P$16&amp;"  "&amp;Flights!$Q$16)</f>
        <v>5H 30M Overnight ADL</v>
      </c>
      <c r="C9" s="95"/>
      <c r="D9" s="95"/>
      <c r="E9" s="94" t="s">
        <v>4804</v>
      </c>
      <c r="F9" s="101" t="n">
        <f aca="false">Flights!$AP$16</f>
        <v>0</v>
      </c>
      <c r="G9" s="102" t="n">
        <f aca="false">Flights!$AQ$16</f>
        <v>0</v>
      </c>
      <c r="H9" s="103" t="n">
        <f aca="false">Flights!$AU$16</f>
        <v>0</v>
      </c>
    </row>
    <row r="10" customFormat="false" ht="24" hidden="false" customHeight="true" outlineLevel="0" collapsed="false">
      <c r="A10" s="94" t="s">
        <v>4805</v>
      </c>
      <c r="B10" s="95" t="str">
        <f aca="false">IF(TRIM(Flights!$X$16)="","__________________",Flights!$X$16)</f>
        <v>__________________</v>
      </c>
      <c r="C10" s="95"/>
      <c r="D10" s="95"/>
      <c r="E10" s="94" t="s">
        <v>4806</v>
      </c>
      <c r="F10" s="104" t="n">
        <f aca="false">Flights!$AO$16</f>
        <v>47</v>
      </c>
      <c r="G10" s="105" t="n">
        <f aca="false">Flights!$AS$16</f>
        <v>0</v>
      </c>
      <c r="H10" s="106" t="n">
        <f aca="false">Flights!$AR$16</f>
        <v>2</v>
      </c>
    </row>
    <row r="11" customFormat="false" ht="21" hidden="false" customHeight="true" outlineLevel="0" collapsed="false">
      <c r="A11" s="94" t="s">
        <v>4807</v>
      </c>
      <c r="B11" s="95" t="str">
        <f aca="false">IF(TRIM(Flights!$Y$16)="","__________________",Flights!$Y$16)</f>
        <v>__________________</v>
      </c>
      <c r="C11" s="95"/>
      <c r="D11" s="95"/>
      <c r="E11" s="94" t="s">
        <v>4808</v>
      </c>
      <c r="F11" s="97" t="str">
        <f aca="false">Flights!$AV$16&amp;" / "&amp;Flights!$AW$16</f>
        <v>0 / 47</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IF(Documents!$F$16="","",Documents!$F$16)</f>
        <v/>
      </c>
      <c r="C15" s="100" t="str">
        <f aca="false">IF(Documents!$G$16="","",Documents!$G$16)&amp;IF(ISNUMBER(Documents!$H$16),"  "&amp;TEXT(Documents!$H$16,"DD-MMM-YY"),"")</f>
        <v/>
      </c>
      <c r="D15" s="100"/>
      <c r="E15" s="114" t="str">
        <f aca="false">IF(Documents!$J$16="OUTSTANDING","OUTSTANDING – attach before T-7D (due "&amp;IF(ISNUMBER(Flights!$AG$16),TEXT(Flights!$AG$16,"DD-MMM-YY HH:MM"),"")&amp;" "&amp;Flights!$V$16&amp;")",IF(Documents!$J$16="","Status not recorded",Documents!$J$16))</f>
        <v>OUTSTANDING – attach before T-7D (due 05-Oct-26 22:25 KUL)</v>
      </c>
      <c r="F15" s="115" t="str">
        <f aca="false">"Staple behind this sheet as page A1."&amp;IF(Documents!$I$16="",""," Location: "&amp;Documents!$I$16)</f>
        <v>Staple behind this sheet as page A1.</v>
      </c>
      <c r="G15" s="115"/>
      <c r="H15" s="115"/>
    </row>
    <row r="16" customFormat="false" ht="36" hidden="false" customHeight="true" outlineLevel="0" collapsed="false">
      <c r="A16" s="94" t="s">
        <v>4819</v>
      </c>
      <c r="B16" s="95" t="str">
        <f aca="false">IF(Documents!$K$16="","",Documents!$K$16)</f>
        <v/>
      </c>
      <c r="C16" s="100" t="str">
        <f aca="false">IF(Documents!$L$16="","",Documents!$L$16)&amp;IF(ISNUMBER(Documents!$M$16),"  "&amp;TEXT(Documents!$M$16,"DD-MMM-YY"),"")</f>
        <v/>
      </c>
      <c r="D16" s="100"/>
      <c r="E16" s="114" t="str">
        <f aca="false">IF(Documents!$O$16="OUTSTANDING","OUTSTANDING – attach before T-7D (due "&amp;IF(ISNUMBER(Flights!$AG$16),TEXT(Flights!$AG$16,"DD-MMM-YY HH:MM"),"")&amp;" "&amp;Flights!$V$16&amp;")",IF(Documents!$O$16="","Status not recorded",Documents!$O$16))</f>
        <v>OUTSTANDING – attach before T-7D (due 05-Oct-26 22:25 KUL)</v>
      </c>
      <c r="F16" s="115" t="str">
        <f aca="false">"Staple behind this sheet as page A2."&amp;IF(Documents!$N$16="",""," Location: "&amp;Documents!$N$16)</f>
        <v>Staple behind this sheet as page A2.</v>
      </c>
      <c r="G16" s="115"/>
      <c r="H16" s="115"/>
    </row>
    <row r="17" customFormat="false" ht="22.5" hidden="false" customHeight="true" outlineLevel="0" collapsed="false">
      <c r="A17" s="94" t="s">
        <v>4820</v>
      </c>
      <c r="B17" s="116" t="str">
        <f aca="false">IF(Documents!$Q$16="","",Documents!$Q$16)</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"&amp;IF(TRIM(Flights!$Y$16)="","__________________",Flights!$Y$16)</f>
        <v>Name: __________________</v>
      </c>
      <c r="B19" s="95"/>
      <c r="C19" s="95" t="str">
        <f aca="false">"Name: __________________"</f>
        <v>Name: __________________</v>
      </c>
      <c r="D19" s="95"/>
      <c r="E19" s="95"/>
      <c r="F19" s="95" t="str">
        <f aca="false">"Name: __________________"&amp;"   Station: "&amp;Flights!$V$16</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"&amp;IF(ISNUMBER(Flights!$AG$16),TEXT(Flights!$AG$16,"DD-MMM-YY HH:MM"),"")&amp;" "&amp;Flights!$V$16&amp;" (meal uplift stn)"&amp;" (rows with another due show their own)  |  Complete "&amp;IF(ISNUMBER(Flights!$AJ$16),TEXT(Flights!$AJ$16,"0%"),Flights!$AJ$16)&amp;"  |  9 lines"</f>
        <v>T-7D — 7 days before departure  |  Due 05-Oct-26 22:25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Checks!$A$380&amp;CHAR(10)&amp;IF(Checks!$I$380="","",Checks!$I$380&amp;": ")&amp;Checks!$J$380</f>
        <v>F12-T7-01
Meal: Meal sensory testing completed for this flight's menu cycle (assessed class)</v>
      </c>
      <c r="B23" s="120" t="str">
        <f aca="false">Checks!$K$380&amp;IF(Checks!$O$380="","",IF(Checks!$K$380="","",CHAR(10))&amp;"Note: "&amp;Checks!$O$380)</f>
        <v>Record panel result / score in Result</v>
      </c>
      <c r="C23" s="120" t="str">
        <f aca="false">Checks!$N$380&amp;CHAR(10)&amp;IF(ISNUMBER(Checks!$R$380),TEXT(Checks!$R$380,"DD-MMM-YY HH:MM"),"")&amp;" "&amp;Checks!$P$380</f>
        <v>Required
05-Oct-26 22:25 KUL</v>
      </c>
      <c r="D23" s="120" t="str">
        <f aca="false">IF(TRIM(Checks!$U$380)&lt;&gt;"",Checks!$U$380&amp;IF(Checks!$AB$380="","",CHAR(10)&amp;"CA: "&amp;Checks!$AB$380),IF(LEFT(Checks!$AH$380,10)="N/A – RULE","","[ ] Pass"&amp;CHAR(10)&amp;"[ ] Pass after CA"&amp;CHAR(10)&amp;"[ ] Fail"&amp;IF(Checks!$AT$380=1,CHAR(10)&amp;"[ ] N/A","")&amp;CHAR(10)&amp;"CA: Open / Closed"))</f>
        <v>[ ] Pass
[ ] Pass after CA
[ ] Fail
CA: Open / Closed</v>
      </c>
      <c r="E23" s="120" t="str">
        <f aca="false">IF(Checks!$V$380="","",Checks!$V$380)&amp;IF(Checks!$AC$380="","",IF(Checks!$V$380="","",CHAR(10))&amp;"N/A just.: "&amp;Checks!$AC$380)&amp;IF(OR(Checks!$W$380&lt;&gt;"",AND(Checks!$AQ$380=1,NOT(LEFT(Checks!$AH$380,10)="N/A – RULE"))),CHAR(10)&amp;"Batch: "&amp;IF(Checks!$W$380="","____________",Checks!$W$380),"")&amp;IF(OR(Checks!$X$380&lt;&gt;"",Checks!$Y$380&lt;&gt;"",AND(Checks!$AR$380=1,NOT(LEFT(Checks!$AH$380,10)="N/A – RULE"))),CHAR(10)&amp;"Exp: "&amp;IF(Checks!$X$380="","______",Checks!$X$380)&amp;"  /  Act: "&amp;IF(Checks!$Y$380="","______",Checks!$Y$380),"")</f>
        <v/>
      </c>
      <c r="F23" s="120" t="str">
        <f aca="false">IF(AND(LEFT(Checks!$AH$380,10)="N/A – RULE",TRIM(Checks!$S$380&amp;Checks!$Z$380)=""),"","Type: "&amp;IF(TRIM(Checks!$S$380)="","______________ (see cover list)",Checks!$S$380)&amp;CHAR(10)&amp;"ID: "&amp;IF(TRIM(Checks!$Z$380)="","______________ (record's own no.)",Checks!$Z$380))&amp;IF(Checks!$AA$380="","",CHAR(10)&amp;"CA: "&amp;Checks!$AA$380)</f>
        <v>Type: ______________ (see cover list)
ID: ______________ (record's own no.)</v>
      </c>
      <c r="G23" s="120" t="str">
        <f aca="false">IF(AND(LEFT(Checks!$AH$380,10)="N/A – RULE",NOT(ISNUMBER(Checks!$AD$380)),Checks!$AE$380="",Checks!$T$380=""),"","Done: "&amp;IF(ISNUMBER(Checks!$AD$380),TEXT(Checks!$AD$380,"DD-MMM-YY HH:MM"),"____________")&amp;" "&amp;Checks!$P$380&amp;CHAR(10)&amp;"Verifier: "&amp;IF(Checks!$AE$380="","____________",Checks!$AE$380)&amp;CHAR(10)&amp;"PIC: "&amp;IF(Checks!$T$380="","____________",Checks!$T$380))</f>
        <v>Done: ____________ KUL
Verifier: ____________
PIC: ____________</v>
      </c>
      <c r="H23" s="121" t="str">
        <f aca="false">IF(Checks!$AH$380="","",Checks!$AH$380)</f>
        <v>OPEN</v>
      </c>
    </row>
    <row r="24" customFormat="false" ht="114" hidden="false" customHeight="true" outlineLevel="0" collapsed="false">
      <c r="A24" s="120" t="str">
        <f aca="false">Checks!$A$381&amp;CHAR(10)&amp;IF(Checks!$I$381="","",Checks!$I$381&amp;": ")&amp;Checks!$J$381</f>
        <v>F12-T7-02
Menu: Printed menu cards confirmed (content, cycle, language, quantity)</v>
      </c>
      <c r="B24" s="120" t="str">
        <f aca="false">Checks!$K$381&amp;IF(Checks!$O$381="","",IF(Checks!$K$381="","",CHAR(10))&amp;"Note: "&amp;Checks!$O$381)</f>
        <v>Menu card matches approved menu for this flight</v>
      </c>
      <c r="C24" s="120" t="str">
        <f aca="false">Checks!$N$381&amp;CHAR(10)&amp;IF(ISNUMBER(Checks!$R$381),TEXT(Checks!$R$381,"DD-MMM-YY HH:MM"),"")&amp;" "&amp;Checks!$P$381</f>
        <v>Required
05-Oct-26 22:25 KUL</v>
      </c>
      <c r="D24" s="120" t="str">
        <f aca="false">IF(TRIM(Checks!$U$381)&lt;&gt;"",Checks!$U$381&amp;IF(Checks!$AB$381="","",CHAR(10)&amp;"CA: "&amp;Checks!$AB$381),IF(LEFT(Checks!$AH$381,10)="N/A – RULE","","[ ] Pass"&amp;CHAR(10)&amp;"[ ] Pass after CA"&amp;CHAR(10)&amp;"[ ] Fail"&amp;IF(Checks!$AT$381=1,CHAR(10)&amp;"[ ] N/A","")&amp;CHAR(10)&amp;"CA: Open / Closed"))</f>
        <v>[ ] Pass
[ ] Pass after CA
[ ] Fail
CA: Open / Closed</v>
      </c>
      <c r="E24" s="120" t="str">
        <f aca="false">IF(Checks!$V$381="","",Checks!$V$381)&amp;IF(Checks!$AC$381="","",IF(Checks!$V$381="","",CHAR(10))&amp;"N/A just.: "&amp;Checks!$AC$381)&amp;IF(OR(Checks!$W$381&lt;&gt;"",AND(Checks!$AQ$381=1,NOT(LEFT(Checks!$AH$381,10)="N/A – RULE"))),CHAR(10)&amp;"Batch: "&amp;IF(Checks!$W$381="","____________",Checks!$W$381),"")&amp;IF(OR(Checks!$X$381&lt;&gt;"",Checks!$Y$381&lt;&gt;"",AND(Checks!$AR$381=1,NOT(LEFT(Checks!$AH$381,10)="N/A – RULE"))),CHAR(10)&amp;"Exp: "&amp;IF(Checks!$X$381="","______",Checks!$X$381)&amp;"  /  Act: "&amp;IF(Checks!$Y$381="","______",Checks!$Y$381),"")</f>
        <v/>
      </c>
      <c r="F24" s="120" t="str">
        <f aca="false">IF(AND(LEFT(Checks!$AH$381,10)="N/A – RULE",TRIM(Checks!$S$381&amp;Checks!$Z$381)=""),"","Type: "&amp;IF(TRIM(Checks!$S$381)="","______________ (see cover list)",Checks!$S$381)&amp;CHAR(10)&amp;"ID: "&amp;IF(TRIM(Checks!$Z$381)="","______________ (record's own no.)",Checks!$Z$381))&amp;IF(Checks!$AA$381="","",CHAR(10)&amp;"CA: "&amp;Checks!$AA$381)</f>
        <v>Type: ______________ (see cover list)
ID: ______________ (record's own no.)</v>
      </c>
      <c r="G24" s="120" t="str">
        <f aca="false">IF(AND(LEFT(Checks!$AH$381,10)="N/A – RULE",NOT(ISNUMBER(Checks!$AD$381)),Checks!$AE$381="",Checks!$T$381=""),"","Done: "&amp;IF(ISNUMBER(Checks!$AD$381),TEXT(Checks!$AD$381,"DD-MMM-YY HH:MM"),"____________")&amp;" "&amp;Checks!$P$381&amp;CHAR(10)&amp;"Verifier: "&amp;IF(Checks!$AE$381="","____________",Checks!$AE$381)&amp;CHAR(10)&amp;"PIC: "&amp;IF(Checks!$T$381="","____________",Checks!$T$381))</f>
        <v>Done: ____________ KUL
Verifier: ____________
PIC: ____________</v>
      </c>
      <c r="H24" s="121" t="str">
        <f aca="false">IF(Checks!$AH$381="","",Checks!$AH$381)</f>
        <v>OPEN</v>
      </c>
    </row>
    <row r="25" customFormat="false" ht="114" hidden="false" customHeight="true" outlineLevel="0" collapsed="false">
      <c r="A25" s="120" t="str">
        <f aca="false">Checks!$A$382&amp;CHAR(10)&amp;IF(Checks!$I$382="","",Checks!$I$382&amp;": ")&amp;Checks!$J$382</f>
        <v>F12-T7-03
IFE: Digital menu in IFE confirmed (A339 only)</v>
      </c>
      <c r="B25" s="120" t="str">
        <f aca="false">Checks!$K$382&amp;IF(Checks!$O$382="","",IF(Checks!$K$382="","",CHAR(10))&amp;"Note: "&amp;Checks!$O$382)</f>
        <v>Applies when fleet = A339
Note: Digital IFE menu applies to A339 only (user brief). Applicability follows the Fleet cell on Flights.</v>
      </c>
      <c r="C25" s="120" t="str">
        <f aca="false">Checks!$N$382&amp;CHAR(10)&amp;IF(ISNUMBER(Checks!$R$382),TEXT(Checks!$R$382,"DD-MMM-YY HH:MM"),"")&amp;" "&amp;Checks!$P$382</f>
        <v>Required
05-Oct-26 22:25 KUL</v>
      </c>
      <c r="D25" s="120" t="str">
        <f aca="false">IF(TRIM(Checks!$U$382)&lt;&gt;"",Checks!$U$382&amp;IF(Checks!$AB$382="","",CHAR(10)&amp;"CA: "&amp;Checks!$AB$382),IF(LEFT(Checks!$AH$382,10)="N/A – RULE","","[ ] Pass"&amp;CHAR(10)&amp;"[ ] Pass after CA"&amp;CHAR(10)&amp;"[ ] Fail"&amp;IF(Checks!$AT$382=1,CHAR(10)&amp;"[ ] N/A","")&amp;CHAR(10)&amp;"CA: Open / Closed"))</f>
        <v>[ ] Pass
[ ] Pass after CA
[ ] Fail
CA: Open / Closed</v>
      </c>
      <c r="E25" s="120" t="str">
        <f aca="false">IF(Checks!$V$382="","",Checks!$V$382)&amp;IF(Checks!$AC$382="","",IF(Checks!$V$382="","",CHAR(10))&amp;"N/A just.: "&amp;Checks!$AC$382)&amp;IF(OR(Checks!$W$382&lt;&gt;"",AND(Checks!$AQ$382=1,NOT(LEFT(Checks!$AH$382,10)="N/A – RULE"))),CHAR(10)&amp;"Batch: "&amp;IF(Checks!$W$382="","____________",Checks!$W$382),"")&amp;IF(OR(Checks!$X$382&lt;&gt;"",Checks!$Y$382&lt;&gt;"",AND(Checks!$AR$382=1,NOT(LEFT(Checks!$AH$382,10)="N/A – RULE"))),CHAR(10)&amp;"Exp: "&amp;IF(Checks!$X$382="","______",Checks!$X$382)&amp;"  /  Act: "&amp;IF(Checks!$Y$382="","______",Checks!$Y$382),"")</f>
        <v/>
      </c>
      <c r="F25" s="120" t="str">
        <f aca="false">IF(AND(LEFT(Checks!$AH$382,10)="N/A – RULE",TRIM(Checks!$S$382&amp;Checks!$Z$382)=""),"","Type: "&amp;IF(TRIM(Checks!$S$382)="","______________ (see cover list)",Checks!$S$382)&amp;CHAR(10)&amp;"ID: "&amp;IF(TRIM(Checks!$Z$382)="","______________ (record's own no.)",Checks!$Z$382))&amp;IF(Checks!$AA$382="","",CHAR(10)&amp;"CA: "&amp;Checks!$AA$382)</f>
        <v>Type: ______________ (see cover list)
ID: ______________ (record's own no.)</v>
      </c>
      <c r="G25" s="120" t="str">
        <f aca="false">IF(AND(LEFT(Checks!$AH$382,10)="N/A – RULE",NOT(ISNUMBER(Checks!$AD$382)),Checks!$AE$382="",Checks!$T$382=""),"","Done: "&amp;IF(ISNUMBER(Checks!$AD$382),TEXT(Checks!$AD$382,"DD-MMM-YY HH:MM"),"____________")&amp;" "&amp;Checks!$P$382&amp;CHAR(10)&amp;"Verifier: "&amp;IF(Checks!$AE$382="","____________",Checks!$AE$382)&amp;CHAR(10)&amp;"PIC: "&amp;IF(Checks!$T$382="","____________",Checks!$T$382))</f>
        <v>Done: ____________ KUL
Verifier: ____________
PIC: ____________</v>
      </c>
      <c r="H25" s="121" t="str">
        <f aca="false">IF(Checks!$AH$382="","",Checks!$AH$382)</f>
        <v>OPEN</v>
      </c>
    </row>
    <row r="26" customFormat="false" ht="114" hidden="false" customHeight="true" outlineLevel="0" collapsed="false">
      <c r="A26" s="120" t="str">
        <f aca="false">Checks!$A$383&amp;CHAR(10)&amp;IF(Checks!$I$383="","",Checks!$I$383&amp;": ")&amp;Checks!$J$383</f>
        <v>F12-T7-04
Staffing: Experienced catering officer assigned to this flight</v>
      </c>
      <c r="B26" s="120" t="str">
        <f aca="false">Checks!$K$383&amp;IF(Checks!$O$383="","",IF(Checks!$K$383="","",CHAR(10))&amp;"Note: "&amp;Checks!$O$383)</f>
        <v>Record officer name in Result</v>
      </c>
      <c r="C26" s="120" t="str">
        <f aca="false">Checks!$N$383&amp;CHAR(10)&amp;IF(ISNUMBER(Checks!$R$383),TEXT(Checks!$R$383,"DD-MMM-YY HH:MM"),"")&amp;" "&amp;Checks!$P$383</f>
        <v>Required
05-Oct-26 22:25 KUL</v>
      </c>
      <c r="D26" s="120" t="str">
        <f aca="false">IF(TRIM(Checks!$U$383)&lt;&gt;"",Checks!$U$383&amp;IF(Checks!$AB$383="","",CHAR(10)&amp;"CA: "&amp;Checks!$AB$383),IF(LEFT(Checks!$AH$383,10)="N/A – RULE","","[ ] Pass"&amp;CHAR(10)&amp;"[ ] Pass after CA"&amp;CHAR(10)&amp;"[ ] Fail"&amp;IF(Checks!$AT$383=1,CHAR(10)&amp;"[ ] N/A","")&amp;CHAR(10)&amp;"CA: Open / Closed"))</f>
        <v>[ ] Pass
[ ] Pass after CA
[ ] Fail
CA: Open / Closed</v>
      </c>
      <c r="E26" s="120" t="str">
        <f aca="false">IF(Checks!$V$383="","",Checks!$V$383)&amp;IF(Checks!$AC$383="","",IF(Checks!$V$383="","",CHAR(10))&amp;"N/A just.: "&amp;Checks!$AC$383)&amp;IF(OR(Checks!$W$383&lt;&gt;"",AND(Checks!$AQ$383=1,NOT(LEFT(Checks!$AH$383,10)="N/A – RULE"))),CHAR(10)&amp;"Batch: "&amp;IF(Checks!$W$383="","____________",Checks!$W$383),"")&amp;IF(OR(Checks!$X$383&lt;&gt;"",Checks!$Y$383&lt;&gt;"",AND(Checks!$AR$383=1,NOT(LEFT(Checks!$AH$383,10)="N/A – RULE"))),CHAR(10)&amp;"Exp: "&amp;IF(Checks!$X$383="","______",Checks!$X$383)&amp;"  /  Act: "&amp;IF(Checks!$Y$383="","______",Checks!$Y$383),"")</f>
        <v/>
      </c>
      <c r="F26" s="120" t="str">
        <f aca="false">IF(AND(LEFT(Checks!$AH$383,10)="N/A – RULE",TRIM(Checks!$S$383&amp;Checks!$Z$383)=""),"","Type: "&amp;IF(TRIM(Checks!$S$383)="","______________ (see cover list)",Checks!$S$383)&amp;CHAR(10)&amp;"ID: "&amp;IF(TRIM(Checks!$Z$383)="","______________ (record's own no.)",Checks!$Z$383))&amp;IF(Checks!$AA$383="","",CHAR(10)&amp;"CA: "&amp;Checks!$AA$383)</f>
        <v>Type: ______________ (see cover list)
ID: ______________ (record's own no.)</v>
      </c>
      <c r="G26" s="120" t="str">
        <f aca="false">IF(AND(LEFT(Checks!$AH$383,10)="N/A – RULE",NOT(ISNUMBER(Checks!$AD$383)),Checks!$AE$383="",Checks!$T$383=""),"","Done: "&amp;IF(ISNUMBER(Checks!$AD$383),TEXT(Checks!$AD$383,"DD-MMM-YY HH:MM"),"____________")&amp;" "&amp;Checks!$P$383&amp;CHAR(10)&amp;"Verifier: "&amp;IF(Checks!$AE$383="","____________",Checks!$AE$383)&amp;CHAR(10)&amp;"PIC: "&amp;IF(Checks!$T$383="","____________",Checks!$T$383))</f>
        <v>Done: ____________ KUL
Verifier: ____________
PIC: ____________</v>
      </c>
      <c r="H26" s="121" t="str">
        <f aca="false">IF(Checks!$AH$383="","",Checks!$AH$383)</f>
        <v>OPEN</v>
      </c>
    </row>
    <row r="27" customFormat="false" ht="114" hidden="false" customHeight="true" outlineLevel="0" collapsed="false">
      <c r="A27" s="120" t="str">
        <f aca="false">Checks!$A$384&amp;CHAR(10)&amp;IF(Checks!$I$384="","",Checks!$I$384&amp;": ")&amp;Checks!$J$384</f>
        <v>F12-T7-05
ISOP: All latest applicable ISOP revisions communicated to caterer</v>
      </c>
      <c r="B27" s="120" t="str">
        <f aca="false">Checks!$K$384&amp;IF(Checks!$O$384="","",IF(Checks!$K$384="","",CHAR(10))&amp;"Note: "&amp;Checks!$O$384)</f>
        <v>List revision numbers in Result (see ISOP register)</v>
      </c>
      <c r="C27" s="120" t="str">
        <f aca="false">Checks!$N$384&amp;CHAR(10)&amp;IF(ISNUMBER(Checks!$R$384),TEXT(Checks!$R$384,"DD-MMM-YY HH:MM"),"")&amp;" "&amp;Checks!$P$384</f>
        <v>Required
05-Oct-26 22:25 KUL</v>
      </c>
      <c r="D27" s="120" t="str">
        <f aca="false">IF(TRIM(Checks!$U$384)&lt;&gt;"",Checks!$U$384&amp;IF(Checks!$AB$384="","",CHAR(10)&amp;"CA: "&amp;Checks!$AB$384),IF(LEFT(Checks!$AH$384,10)="N/A – RULE","","[ ] Pass"&amp;CHAR(10)&amp;"[ ] Pass after CA"&amp;CHAR(10)&amp;"[ ] Fail"&amp;IF(Checks!$AT$384=1,CHAR(10)&amp;"[ ] N/A","")&amp;CHAR(10)&amp;"CA: Open / Closed"))</f>
        <v>[ ] Pass
[ ] Pass after CA
[ ] Fail
CA: Open / Closed</v>
      </c>
      <c r="E27" s="120" t="str">
        <f aca="false">IF(Checks!$V$384="","",Checks!$V$384)&amp;IF(Checks!$AC$384="","",IF(Checks!$V$384="","",CHAR(10))&amp;"N/A just.: "&amp;Checks!$AC$384)&amp;IF(OR(Checks!$W$384&lt;&gt;"",AND(Checks!$AQ$384=1,NOT(LEFT(Checks!$AH$384,10)="N/A – RULE"))),CHAR(10)&amp;"Batch: "&amp;IF(Checks!$W$384="","____________",Checks!$W$384),"")&amp;IF(OR(Checks!$X$384&lt;&gt;"",Checks!$Y$384&lt;&gt;"",AND(Checks!$AR$384=1,NOT(LEFT(Checks!$AH$384,10)="N/A – RULE"))),CHAR(10)&amp;"Exp: "&amp;IF(Checks!$X$384="","______",Checks!$X$384)&amp;"  /  Act: "&amp;IF(Checks!$Y$384="","______",Checks!$Y$384),"")</f>
        <v/>
      </c>
      <c r="F27" s="120" t="str">
        <f aca="false">IF(AND(LEFT(Checks!$AH$384,10)="N/A – RULE",TRIM(Checks!$S$384&amp;Checks!$Z$384)=""),"","Type: "&amp;IF(TRIM(Checks!$S$384)="","______________ (see cover list)",Checks!$S$384)&amp;CHAR(10)&amp;"ID: "&amp;IF(TRIM(Checks!$Z$384)="","______________ (record's own no.)",Checks!$Z$384))&amp;IF(Checks!$AA$384="","",CHAR(10)&amp;"CA: "&amp;Checks!$AA$384)</f>
        <v>Type: ______________ (see cover list)
ID: ______________ (record's own no.)</v>
      </c>
      <c r="G27" s="120" t="str">
        <f aca="false">IF(AND(LEFT(Checks!$AH$384,10)="N/A – RULE",NOT(ISNUMBER(Checks!$AD$384)),Checks!$AE$384="",Checks!$T$384=""),"","Done: "&amp;IF(ISNUMBER(Checks!$AD$384),TEXT(Checks!$AD$384,"DD-MMM-YY HH:MM"),"____________")&amp;" "&amp;Checks!$P$384&amp;CHAR(10)&amp;"Verifier: "&amp;IF(Checks!$AE$384="","____________",Checks!$AE$384)&amp;CHAR(10)&amp;"PIC: "&amp;IF(Checks!$T$384="","____________",Checks!$T$384))</f>
        <v>Done: ____________ KUL
Verifier: ____________
PIC: ____________</v>
      </c>
      <c r="H27" s="121" t="str">
        <f aca="false">IF(Checks!$AH$384="","",Checks!$AH$384)</f>
        <v>OPEN</v>
      </c>
    </row>
    <row r="28" customFormat="false" ht="114" hidden="false" customHeight="true" outlineLevel="0" collapsed="false">
      <c r="A28" s="120" t="str">
        <f aca="false">Checks!$A$385&amp;CHAR(10)&amp;IF(Checks!$I$385="","",Checks!$I$385&amp;": ")&amp;Checks!$J$385</f>
        <v>F12-T7-06
ISOP: Caterer acknowledgement of ISOP revisions recorded</v>
      </c>
      <c r="B28" s="120" t="str">
        <f aca="false">Checks!$K$385&amp;IF(Checks!$O$385="","",IF(Checks!$K$385="","",CHAR(10))&amp;"Note: "&amp;Checks!$O$385)</f>
        <v>Record acknowledgement ref in Evidence</v>
      </c>
      <c r="C28" s="120" t="str">
        <f aca="false">Checks!$N$385&amp;CHAR(10)&amp;IF(ISNUMBER(Checks!$R$385),TEXT(Checks!$R$385,"DD-MMM-YY HH:MM"),"")&amp;" "&amp;Checks!$P$385</f>
        <v>Required
05-Oct-26 22:25 KUL</v>
      </c>
      <c r="D28" s="120" t="str">
        <f aca="false">IF(TRIM(Checks!$U$385)&lt;&gt;"",Checks!$U$385&amp;IF(Checks!$AB$385="","",CHAR(10)&amp;"CA: "&amp;Checks!$AB$385),IF(LEFT(Checks!$AH$385,10)="N/A – RULE","","[ ] Pass"&amp;CHAR(10)&amp;"[ ] Pass after CA"&amp;CHAR(10)&amp;"[ ] Fail"&amp;IF(Checks!$AT$385=1,CHAR(10)&amp;"[ ] N/A","")&amp;CHAR(10)&amp;"CA: Open / Closed"))</f>
        <v>[ ] Pass
[ ] Pass after CA
[ ] Fail
CA: Open / Closed</v>
      </c>
      <c r="E28" s="120" t="str">
        <f aca="false">IF(Checks!$V$385="","",Checks!$V$385)&amp;IF(Checks!$AC$385="","",IF(Checks!$V$385="","",CHAR(10))&amp;"N/A just.: "&amp;Checks!$AC$385)&amp;IF(OR(Checks!$W$385&lt;&gt;"",AND(Checks!$AQ$385=1,NOT(LEFT(Checks!$AH$385,10)="N/A – RULE"))),CHAR(10)&amp;"Batch: "&amp;IF(Checks!$W$385="","____________",Checks!$W$385),"")&amp;IF(OR(Checks!$X$385&lt;&gt;"",Checks!$Y$385&lt;&gt;"",AND(Checks!$AR$385=1,NOT(LEFT(Checks!$AH$385,10)="N/A – RULE"))),CHAR(10)&amp;"Exp: "&amp;IF(Checks!$X$385="","______",Checks!$X$385)&amp;"  /  Act: "&amp;IF(Checks!$Y$385="","______",Checks!$Y$385),"")</f>
        <v/>
      </c>
      <c r="F28" s="120" t="str">
        <f aca="false">IF(AND(LEFT(Checks!$AH$385,10)="N/A – RULE",TRIM(Checks!$S$385&amp;Checks!$Z$385)=""),"","Type: "&amp;IF(TRIM(Checks!$S$385)="","______________ (see cover list)",Checks!$S$385)&amp;CHAR(10)&amp;"ID: "&amp;IF(TRIM(Checks!$Z$385)="","______________ (record's own no.)",Checks!$Z$385))&amp;IF(Checks!$AA$385="","",CHAR(10)&amp;"CA: "&amp;Checks!$AA$385)</f>
        <v>Type: ______________ (see cover list)
ID: ______________ (record's own no.)</v>
      </c>
      <c r="G28" s="120" t="str">
        <f aca="false">IF(AND(LEFT(Checks!$AH$385,10)="N/A – RULE",NOT(ISNUMBER(Checks!$AD$385)),Checks!$AE$385="",Checks!$T$385=""),"","Done: "&amp;IF(ISNUMBER(Checks!$AD$385),TEXT(Checks!$AD$385,"DD-MMM-YY HH:MM"),"____________")&amp;" "&amp;Checks!$P$385&amp;CHAR(10)&amp;"Verifier: "&amp;IF(Checks!$AE$385="","____________",Checks!$AE$385)&amp;CHAR(10)&amp;"PIC: "&amp;IF(Checks!$T$385="","____________",Checks!$T$385))</f>
        <v>Done: ____________ KUL
Verifier: ____________
PIC: ____________</v>
      </c>
      <c r="H28" s="121" t="str">
        <f aca="false">IF(Checks!$AH$385="","",Checks!$AH$385)</f>
        <v>OPEN</v>
      </c>
    </row>
    <row r="29" customFormat="false" ht="114" hidden="false" customHeight="true" outlineLevel="0" collapsed="false">
      <c r="A29" s="120" t="str">
        <f aca="false">Checks!$A$386&amp;CHAR(10)&amp;IF(Checks!$I$386="","",Checks!$I$386&amp;": ")&amp;Checks!$J$386</f>
        <v>F12-T7-07
Documents: Galley loading diagram (GLD) received, revision recorded &amp; attached</v>
      </c>
      <c r="B29" s="120" t="str">
        <f aca="false">SUBSTITUTE(Checks!$K$386&amp;IF(Checks!$O$386="","",IF(Checks!$K$386="","",CHAR(10))&amp;"Note: "&amp;Checks!$O$386),"Documents sheet row complete","Recorded on the Documents sheet; copy stapled as A1 / A2")</f>
        <v>Recorded on the Documents sheet; copy stapled as A1 / A2</v>
      </c>
      <c r="C29" s="120" t="str">
        <f aca="false">Checks!$N$386&amp;CHAR(10)&amp;IF(ISNUMBER(Checks!$R$386),TEXT(Checks!$R$386,"DD-MMM-YY HH:MM"),"")&amp;" "&amp;Checks!$P$386</f>
        <v>Required
05-Oct-26 22:25 KUL</v>
      </c>
      <c r="D29" s="120" t="str">
        <f aca="false">IF(TRIM(Checks!$U$386)&lt;&gt;"",Checks!$U$386&amp;IF(Checks!$AB$386="","",CHAR(10)&amp;"CA: "&amp;Checks!$AB$386),IF(LEFT(Checks!$AH$386,10)="N/A – RULE","","[ ] Pass"&amp;CHAR(10)&amp;"[ ] Pass after CA"&amp;CHAR(10)&amp;"[ ] Fail"&amp;IF(Checks!$AT$386=1,CHAR(10)&amp;"[ ] N/A","")&amp;CHAR(10)&amp;"CA: Open / Closed"))</f>
        <v>[ ] Pass
[ ] Pass after CA
[ ] Fail
CA: Open / Closed</v>
      </c>
      <c r="E29" s="120" t="str">
        <f aca="false">IF(Checks!$V$386="","",Checks!$V$386)&amp;IF(Checks!$AC$386="","",IF(Checks!$V$386="","",CHAR(10))&amp;"N/A just.: "&amp;Checks!$AC$386)&amp;IF(OR(Checks!$W$386&lt;&gt;"",AND(Checks!$AQ$386=1,NOT(LEFT(Checks!$AH$386,10)="N/A – RULE"))),CHAR(10)&amp;"Batch: "&amp;IF(Checks!$W$386="","____________",Checks!$W$386),"")&amp;IF(OR(Checks!$X$386&lt;&gt;"",Checks!$Y$386&lt;&gt;"",AND(Checks!$AR$386=1,NOT(LEFT(Checks!$AH$386,10)="N/A – RULE"))),CHAR(10)&amp;"Exp: "&amp;IF(Checks!$X$386="","______",Checks!$X$386)&amp;"  /  Act: "&amp;IF(Checks!$Y$386="","______",Checks!$Y$386),"")</f>
        <v/>
      </c>
      <c r="F29" s="120" t="str">
        <f aca="false">IF(AND(LEFT(Checks!$AH$386,10)="N/A – RULE",TRIM(Checks!$S$386&amp;Checks!$Z$386)=""),"","Type: "&amp;IF(TRIM(Checks!$S$386)="","______________ (see cover list)",Checks!$S$386)&amp;CHAR(10)&amp;"ID: "&amp;IF(TRIM(Checks!$Z$386)="","______________ (record's own no.)",Checks!$Z$386))&amp;IF(Checks!$AA$386="","",CHAR(10)&amp;"CA: "&amp;Checks!$AA$386)</f>
        <v>Type: ______________ (see cover list)
ID: ______________ (record's own no.)</v>
      </c>
      <c r="G29" s="120" t="str">
        <f aca="false">IF(AND(LEFT(Checks!$AH$386,10)="N/A – RULE",NOT(ISNUMBER(Checks!$AD$386)),Checks!$AE$386="",Checks!$T$386=""),"","Done: "&amp;IF(ISNUMBER(Checks!$AD$386),TEXT(Checks!$AD$386,"DD-MMM-YY HH:MM"),"____________")&amp;" "&amp;Checks!$P$386&amp;CHAR(10)&amp;"Verifier: "&amp;IF(Checks!$AE$386="","____________",Checks!$AE$386)&amp;CHAR(10)&amp;"PIC: "&amp;IF(Checks!$T$386="","____________",Checks!$T$386))</f>
        <v>Done: ____________ KUL
Verifier: ____________
PIC: ____________</v>
      </c>
      <c r="H29" s="121" t="str">
        <f aca="false">IF(Checks!$AH$386="","",Checks!$AH$386)</f>
        <v>OPEN</v>
      </c>
    </row>
    <row r="30" customFormat="false" ht="114" hidden="false" customHeight="true" outlineLevel="0" collapsed="false">
      <c r="A30" s="120" t="str">
        <f aca="false">Checks!$A$387&amp;CHAR(10)&amp;IF(Checks!$I$387="","",Checks!$I$387&amp;": ")&amp;Checks!$J$387</f>
        <v>F12-T7-08
Documents: Menu checklist received, revision recorded &amp; attached</v>
      </c>
      <c r="B30" s="120" t="str">
        <f aca="false">SUBSTITUTE(Checks!$K$387&amp;IF(Checks!$O$387="","",IF(Checks!$K$387="","",CHAR(10))&amp;"Note: "&amp;Checks!$O$387),"Documents sheet row complete","Recorded on the Documents sheet; copy stapled as A1 / A2")</f>
        <v>Recorded on the Documents sheet; copy stapled as A1 / A2</v>
      </c>
      <c r="C30" s="120" t="str">
        <f aca="false">Checks!$N$387&amp;CHAR(10)&amp;IF(ISNUMBER(Checks!$R$387),TEXT(Checks!$R$387,"DD-MMM-YY HH:MM"),"")&amp;" "&amp;Checks!$P$387</f>
        <v>Required
05-Oct-26 22:25 KUL</v>
      </c>
      <c r="D30" s="120" t="str">
        <f aca="false">IF(TRIM(Checks!$U$387)&lt;&gt;"",Checks!$U$387&amp;IF(Checks!$AB$387="","",CHAR(10)&amp;"CA: "&amp;Checks!$AB$387),IF(LEFT(Checks!$AH$387,10)="N/A – RULE","","[ ] Pass"&amp;CHAR(10)&amp;"[ ] Pass after CA"&amp;CHAR(10)&amp;"[ ] Fail"&amp;IF(Checks!$AT$387=1,CHAR(10)&amp;"[ ] N/A","")&amp;CHAR(10)&amp;"CA: Open / Closed"))</f>
        <v>[ ] Pass
[ ] Pass after CA
[ ] Fail
CA: Open / Closed</v>
      </c>
      <c r="E30" s="120" t="str">
        <f aca="false">IF(Checks!$V$387="","",Checks!$V$387)&amp;IF(Checks!$AC$387="","",IF(Checks!$V$387="","",CHAR(10))&amp;"N/A just.: "&amp;Checks!$AC$387)&amp;IF(OR(Checks!$W$387&lt;&gt;"",AND(Checks!$AQ$387=1,NOT(LEFT(Checks!$AH$387,10)="N/A – RULE"))),CHAR(10)&amp;"Batch: "&amp;IF(Checks!$W$387="","____________",Checks!$W$387),"")&amp;IF(OR(Checks!$X$387&lt;&gt;"",Checks!$Y$387&lt;&gt;"",AND(Checks!$AR$387=1,NOT(LEFT(Checks!$AH$387,10)="N/A – RULE"))),CHAR(10)&amp;"Exp: "&amp;IF(Checks!$X$387="","______",Checks!$X$387)&amp;"  /  Act: "&amp;IF(Checks!$Y$387="","______",Checks!$Y$387),"")</f>
        <v/>
      </c>
      <c r="F30" s="120" t="str">
        <f aca="false">IF(AND(LEFT(Checks!$AH$387,10)="N/A – RULE",TRIM(Checks!$S$387&amp;Checks!$Z$387)=""),"","Type: "&amp;IF(TRIM(Checks!$S$387)="","______________ (see cover list)",Checks!$S$387)&amp;CHAR(10)&amp;"ID: "&amp;IF(TRIM(Checks!$Z$387)="","______________ (record's own no.)",Checks!$Z$387))&amp;IF(Checks!$AA$387="","",CHAR(10)&amp;"CA: "&amp;Checks!$AA$387)</f>
        <v>Type: ______________ (see cover list)
ID: ______________ (record's own no.)</v>
      </c>
      <c r="G30" s="120" t="str">
        <f aca="false">IF(AND(LEFT(Checks!$AH$387,10)="N/A – RULE",NOT(ISNUMBER(Checks!$AD$387)),Checks!$AE$387="",Checks!$T$387=""),"","Done: "&amp;IF(ISNUMBER(Checks!$AD$387),TEXT(Checks!$AD$387,"DD-MMM-YY HH:MM"),"____________")&amp;" "&amp;Checks!$P$387&amp;CHAR(10)&amp;"Verifier: "&amp;IF(Checks!$AE$387="","____________",Checks!$AE$387)&amp;CHAR(10)&amp;"PIC: "&amp;IF(Checks!$T$387="","____________",Checks!$T$387))</f>
        <v>Done: ____________ KUL
Verifier: ____________
PIC: ____________</v>
      </c>
      <c r="H30" s="121" t="str">
        <f aca="false">IF(Checks!$AH$387="","",Checks!$AH$387)</f>
        <v>OPEN</v>
      </c>
    </row>
    <row r="31" customFormat="false" ht="114" hidden="false" customHeight="true" outlineLevel="0" collapsed="false">
      <c r="A31" s="120" t="str">
        <f aca="false">Checks!$A$388&amp;CHAR(10)&amp;IF(Checks!$I$388="","",Checks!$I$388&amp;": ")&amp;Checks!$J$388</f>
        <v>F12-T7-09
Uplift plan: Uplift plan confirmed with caterer vs STD Uplift Information</v>
      </c>
      <c r="B31" s="120" t="str">
        <f aca="false">Checks!$K$388&amp;IF(Checks!$O$388="","",IF(Checks!$K$388="","",CHAR(10))&amp;"Note: "&amp;Checks!$O$388)</f>
        <v>Service: 1.5 Meal (Meal); meal uplift stn KUL (ref lists KUL/ADL)</v>
      </c>
      <c r="C31" s="120" t="str">
        <f aca="false">Checks!$N$388&amp;CHAR(10)&amp;IF(ISNUMBER(Checks!$R$388),TEXT(Checks!$R$388,"DD-MMM-YY HH:MM"),"")&amp;" "&amp;Checks!$P$388</f>
        <v>Required
05-Oct-26 22:25 KUL</v>
      </c>
      <c r="D31" s="120" t="str">
        <f aca="false">IF(TRIM(Checks!$U$388)&lt;&gt;"",Checks!$U$388&amp;IF(Checks!$AB$388="","",CHAR(10)&amp;"CA: "&amp;Checks!$AB$388),IF(LEFT(Checks!$AH$388,10)="N/A – RULE","","[ ] Pass"&amp;CHAR(10)&amp;"[ ] Pass after CA"&amp;CHAR(10)&amp;"[ ] Fail"&amp;IF(Checks!$AT$388=1,CHAR(10)&amp;"[ ] N/A","")&amp;CHAR(10)&amp;"CA: Open / Closed"))</f>
        <v>[ ] Pass
[ ] Pass after CA
[ ] Fail
CA: Open / Closed</v>
      </c>
      <c r="E31" s="120" t="str">
        <f aca="false">IF(Checks!$V$388="","",Checks!$V$388)&amp;IF(Checks!$AC$388="","",IF(Checks!$V$388="","",CHAR(10))&amp;"N/A just.: "&amp;Checks!$AC$388)&amp;IF(OR(Checks!$W$388&lt;&gt;"",AND(Checks!$AQ$388=1,NOT(LEFT(Checks!$AH$388,10)="N/A – RULE"))),CHAR(10)&amp;"Batch: "&amp;IF(Checks!$W$388="","____________",Checks!$W$388),"")&amp;IF(OR(Checks!$X$388&lt;&gt;"",Checks!$Y$388&lt;&gt;"",AND(Checks!$AR$388=1,NOT(LEFT(Checks!$AH$388,10)="N/A – RULE"))),CHAR(10)&amp;"Exp: "&amp;IF(Checks!$X$388="","______",Checks!$X$388)&amp;"  /  Act: "&amp;IF(Checks!$Y$388="","______",Checks!$Y$388),"")</f>
        <v/>
      </c>
      <c r="F31" s="120" t="str">
        <f aca="false">IF(AND(LEFT(Checks!$AH$388,10)="N/A – RULE",TRIM(Checks!$S$388&amp;Checks!$Z$388)=""),"","Type: "&amp;IF(TRIM(Checks!$S$388)="","______________ (see cover list)",Checks!$S$388)&amp;CHAR(10)&amp;"ID: "&amp;IF(TRIM(Checks!$Z$388)="","______________ (record's own no.)",Checks!$Z$388))&amp;IF(Checks!$AA$388="","",CHAR(10)&amp;"CA: "&amp;Checks!$AA$388)</f>
        <v>Type: ______________ (see cover list)
ID: ______________ (record's own no.)</v>
      </c>
      <c r="G31" s="120" t="str">
        <f aca="false">IF(AND(LEFT(Checks!$AH$388,10)="N/A – RULE",NOT(ISNUMBER(Checks!$AD$388)),Checks!$AE$388="",Checks!$T$388=""),"","Done: "&amp;IF(ISNUMBER(Checks!$AD$388),TEXT(Checks!$AD$388,"DD-MMM-YY HH:MM"),"____________")&amp;" "&amp;Checks!$P$388&amp;CHAR(10)&amp;"Verifier: "&amp;IF(Checks!$AE$388="","____________",Checks!$AE$388)&amp;CHAR(10)&amp;"PIC: "&amp;IF(Checks!$T$388="","____________",Checks!$T$388))</f>
        <v>Done: ____________ KUL
Verifier: ____________
PIC: ____________</v>
      </c>
      <c r="H31" s="121" t="str">
        <f aca="false">IF(Checks!$AH$388="","",Checks!$AH$388)</f>
        <v>OPEN</v>
      </c>
    </row>
    <row r="32" customFormat="false" ht="25.5" hidden="false" customHeight="true" outlineLevel="0" collapsed="false">
      <c r="A32" s="119" t="str">
        <f aca="false">"T-24H — Production batch sensory  |  Due "&amp;IF(ISNUMBER(Flights!$AH$16),TEXT(Flights!$AH$16,"DD-MMM-YY HH:MM"),"")&amp;" "&amp;Flights!$V$16&amp;" (meal uplift stn)"&amp;" (rows with another due show their own)  |  Complete "&amp;IF(ISNUMBER(Flights!$AK$16),TEXT(Flights!$AK$16,"0%"),Flights!$AK$16)&amp;"  |  1 lines"</f>
        <v>T-24H — Production batch sensory  |  Due 11-Oct-26 22:25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Checks!$A$389&amp;CHAR(10)&amp;IF(Checks!$I$389="","",Checks!$I$389&amp;": ")&amp;Checks!$J$389</f>
        <v>F12-T24-01
Meal: Sensory test repeated on ACTUAL production batch for this flight</v>
      </c>
      <c r="B33" s="120" t="str">
        <f aca="false">Checks!$K$389&amp;IF(Checks!$O$389="","",IF(Checks!$K$389="","",CHAR(10))&amp;"Note: "&amp;Checks!$O$389)</f>
        <v>Batch ID, result, CA and acceptance mandatory</v>
      </c>
      <c r="C33" s="120" t="str">
        <f aca="false">Checks!$N$389&amp;CHAR(10)&amp;IF(ISNUMBER(Checks!$R$389),TEXT(Checks!$R$389,"DD-MMM-YY HH:MM"),"")&amp;" "&amp;Checks!$P$389</f>
        <v>Required
11-Oct-26 22:25 KUL</v>
      </c>
      <c r="D33" s="120" t="str">
        <f aca="false">IF(TRIM(Checks!$U$389)&lt;&gt;"",Checks!$U$389&amp;IF(Checks!$AB$389="","",CHAR(10)&amp;"CA: "&amp;Checks!$AB$389),IF(LEFT(Checks!$AH$389,10)="N/A – RULE","","[ ] Pass"&amp;CHAR(10)&amp;"[ ] Pass after CA"&amp;CHAR(10)&amp;"[ ] Fail"&amp;IF(Checks!$AT$389=1,CHAR(10)&amp;"[ ] N/A","")&amp;CHAR(10)&amp;"CA: Open / Closed"))</f>
        <v>[ ] Pass
[ ] Pass after CA
[ ] Fail
CA: Open / Closed</v>
      </c>
      <c r="E33" s="120" t="str">
        <f aca="false">IF(Checks!$V$389="","",Checks!$V$389)&amp;IF(Checks!$AC$389="","",IF(Checks!$V$389="","",CHAR(10))&amp;"N/A just.: "&amp;Checks!$AC$389)&amp;IF(OR(Checks!$W$389&lt;&gt;"",AND(Checks!$AQ$389=1,NOT(LEFT(Checks!$AH$389,10)="N/A – RULE"))),CHAR(10)&amp;"Batch: "&amp;IF(Checks!$W$389="","____________",Checks!$W$389),"")&amp;IF(OR(Checks!$X$389&lt;&gt;"",Checks!$Y$389&lt;&gt;"",AND(Checks!$AR$389=1,NOT(LEFT(Checks!$AH$389,10)="N/A – RULE"))),CHAR(10)&amp;"Exp: "&amp;IF(Checks!$X$389="","______",Checks!$X$389)&amp;"  /  Act: "&amp;IF(Checks!$Y$389="","______",Checks!$Y$389),"")</f>
        <v>
Batch: ____________</v>
      </c>
      <c r="F33" s="120" t="str">
        <f aca="false">IF(AND(LEFT(Checks!$AH$389,10)="N/A – RULE",TRIM(Checks!$S$389&amp;Checks!$Z$389)=""),"","Type: "&amp;IF(TRIM(Checks!$S$389)="","______________ (see cover list)",Checks!$S$389)&amp;CHAR(10)&amp;"ID: "&amp;IF(TRIM(Checks!$Z$389)="","______________ (record's own no.)",Checks!$Z$389))&amp;IF(Checks!$AA$389="","",CHAR(10)&amp;"CA: "&amp;Checks!$AA$389)</f>
        <v>Type: ______________ (see cover list)
ID: ______________ (record's own no.)</v>
      </c>
      <c r="G33" s="120" t="str">
        <f aca="false">IF(AND(LEFT(Checks!$AH$389,10)="N/A – RULE",NOT(ISNUMBER(Checks!$AD$389)),Checks!$AE$389="",Checks!$T$389=""),"","Done: "&amp;IF(ISNUMBER(Checks!$AD$389),TEXT(Checks!$AD$389,"DD-MMM-YY HH:MM"),"____________")&amp;" "&amp;Checks!$P$389&amp;CHAR(10)&amp;"Verifier: "&amp;IF(Checks!$AE$389="","____________",Checks!$AE$389)&amp;CHAR(10)&amp;"PIC: "&amp;IF(Checks!$T$389="","____________",Checks!$T$389))</f>
        <v>Done: ____________ KUL
Verifier: ____________
PIC: ____________</v>
      </c>
      <c r="H33" s="121" t="str">
        <f aca="false">IF(Checks!$AH$389="","",Checks!$AH$389)</f>
        <v>OPEN</v>
      </c>
    </row>
    <row r="34" customFormat="false" ht="25.5" hidden="false" customHeight="true" outlineLevel="0" collapsed="false">
      <c r="A34" s="119" t="str">
        <f aca="false">"T-12H PREP — Preparation check at caterer (does NOT confirm loading)  |  Due "&amp;IF(ISNUMBER(Flights!$AI$16),TEXT(Flights!$AI$16,"DD-MMM-YY HH:MM"),"")&amp;" "&amp;Flights!$V$16&amp;" (meal uplift stn)"&amp;" (rows with another due show their own)  |  Complete "&amp;IF(ISNUMBER(Flights!$AL$16),TEXT(Flights!$AL$16,"0%"),Flights!$AL$16)&amp;"  |  21 lines"</f>
        <v>T-12H PREP — Preparation check at caterer (does NOT confirm loading)  |  Due 12-Oct-26 10:25 KUL (meal uplift stn) (rows with another due show their own)  |  Complete 0%  |  21 lines</v>
      </c>
      <c r="B34" s="119"/>
      <c r="C34" s="119"/>
      <c r="D34" s="119"/>
      <c r="E34" s="119"/>
      <c r="F34" s="119"/>
      <c r="G34" s="119"/>
      <c r="H34" s="119"/>
    </row>
    <row r="35" customFormat="false" ht="114" hidden="false" customHeight="true" outlineLevel="0" collapsed="false">
      <c r="A35" s="120" t="str">
        <f aca="false">Checks!$A$390&amp;CHAR(10)&amp;IF(Checks!$I$390="","",Checks!$I$390&amp;": ")&amp;Checks!$J$390</f>
        <v>F12-T12-01
Meal: Meal quality vs menu checklist</v>
      </c>
      <c r="B35" s="120" t="str">
        <f aca="false">Checks!$K$390&amp;IF(Checks!$O$390="","",IF(Checks!$K$390="","",CHAR(10))&amp;"Note: "&amp;Checks!$O$390)</f>
        <v>Note: Preparation check at caterer - does NOT confirm loading.</v>
      </c>
      <c r="C35" s="120" t="str">
        <f aca="false">Checks!$N$390&amp;CHAR(10)&amp;IF(ISNUMBER(Checks!$R$390),TEXT(Checks!$R$390,"DD-MMM-YY HH:MM"),"")&amp;" "&amp;Checks!$P$390</f>
        <v>Required
12-Oct-26 10:25 KUL</v>
      </c>
      <c r="D35" s="120" t="str">
        <f aca="false">IF(TRIM(Checks!$U$390)&lt;&gt;"",Checks!$U$390&amp;IF(Checks!$AB$390="","",CHAR(10)&amp;"CA: "&amp;Checks!$AB$390),IF(LEFT(Checks!$AH$390,10)="N/A – RULE","","[ ] Pass"&amp;CHAR(10)&amp;"[ ] Pass after CA"&amp;CHAR(10)&amp;"[ ] Fail"&amp;IF(Checks!$AT$390=1,CHAR(10)&amp;"[ ] N/A","")&amp;CHAR(10)&amp;"CA: Open / Closed"))</f>
        <v>[ ] Pass
[ ] Pass after CA
[ ] Fail
CA: Open / Closed</v>
      </c>
      <c r="E35" s="120" t="str">
        <f aca="false">IF(Checks!$V$390="","",Checks!$V$390)&amp;IF(Checks!$AC$390="","",IF(Checks!$V$390="","",CHAR(10))&amp;"N/A just.: "&amp;Checks!$AC$390)&amp;IF(OR(Checks!$W$390&lt;&gt;"",AND(Checks!$AQ$390=1,NOT(LEFT(Checks!$AH$390,10)="N/A – RULE"))),CHAR(10)&amp;"Batch: "&amp;IF(Checks!$W$390="","____________",Checks!$W$390),"")&amp;IF(OR(Checks!$X$390&lt;&gt;"",Checks!$Y$390&lt;&gt;"",AND(Checks!$AR$390=1,NOT(LEFT(Checks!$AH$390,10)="N/A – RULE"))),CHAR(10)&amp;"Exp: "&amp;IF(Checks!$X$390="","______",Checks!$X$390)&amp;"  /  Act: "&amp;IF(Checks!$Y$390="","______",Checks!$Y$390),"")</f>
        <v/>
      </c>
      <c r="F35" s="120" t="str">
        <f aca="false">IF(AND(LEFT(Checks!$AH$390,10)="N/A – RULE",TRIM(Checks!$S$390&amp;Checks!$Z$390)=""),"","Type: "&amp;IF(TRIM(Checks!$S$390)="","______________ (see cover list)",Checks!$S$390)&amp;CHAR(10)&amp;"ID: "&amp;IF(TRIM(Checks!$Z$390)="","______________ (record's own no.)",Checks!$Z$390))&amp;IF(Checks!$AA$390="","",CHAR(10)&amp;"CA: "&amp;Checks!$AA$390)</f>
        <v>Type: ______________ (see cover list)
ID: ______________ (record's own no.)</v>
      </c>
      <c r="G35" s="120" t="str">
        <f aca="false">IF(AND(LEFT(Checks!$AH$390,10)="N/A – RULE",NOT(ISNUMBER(Checks!$AD$390)),Checks!$AE$390="",Checks!$T$390=""),"","Done: "&amp;IF(ISNUMBER(Checks!$AD$390),TEXT(Checks!$AD$390,"DD-MMM-YY HH:MM"),"____________")&amp;" "&amp;Checks!$P$390&amp;CHAR(10)&amp;"Verifier: "&amp;IF(Checks!$AE$390="","____________",Checks!$AE$390)&amp;CHAR(10)&amp;"PIC: "&amp;IF(Checks!$T$390="","____________",Checks!$T$390))</f>
        <v>Done: ____________ KUL
Verifier: ____________
PIC: ____________</v>
      </c>
      <c r="H35" s="121" t="str">
        <f aca="false">IF(Checks!$AH$390="","",Checks!$AH$390)</f>
        <v>OPEN</v>
      </c>
    </row>
    <row r="36" customFormat="false" ht="114" hidden="false" customHeight="true" outlineLevel="0" collapsed="false">
      <c r="A36" s="120" t="str">
        <f aca="false">Checks!$A$391&amp;CHAR(10)&amp;IF(Checks!$I$391="","",Checks!$I$391&amp;": ")&amp;Checks!$J$391</f>
        <v>F12-T12-02
Meal: Meal quantities vs menu checklist</v>
      </c>
      <c r="B36" s="120" t="str">
        <f aca="false">Checks!$K$391&amp;IF(Checks!$O$391="","",IF(Checks!$K$391="","",CHAR(10))&amp;"Note: "&amp;Checks!$O$391)</f>
        <v>Enter expected &amp; actual
Note: Preparation check at caterer - does NOT confirm loading.</v>
      </c>
      <c r="C36" s="120" t="str">
        <f aca="false">Checks!$N$391&amp;CHAR(10)&amp;IF(ISNUMBER(Checks!$R$391),TEXT(Checks!$R$391,"DD-MMM-YY HH:MM"),"")&amp;" "&amp;Checks!$P$391</f>
        <v>Required
12-Oct-26 10:25 KUL</v>
      </c>
      <c r="D36" s="120" t="str">
        <f aca="false">IF(TRIM(Checks!$U$391)&lt;&gt;"",Checks!$U$391&amp;IF(Checks!$AB$391="","",CHAR(10)&amp;"CA: "&amp;Checks!$AB$391),IF(LEFT(Checks!$AH$391,10)="N/A – RULE","","[ ] Pass"&amp;CHAR(10)&amp;"[ ] Pass after CA"&amp;CHAR(10)&amp;"[ ] Fail"&amp;IF(Checks!$AT$391=1,CHAR(10)&amp;"[ ] N/A","")&amp;CHAR(10)&amp;"CA: Open / Closed"))</f>
        <v>[ ] Pass
[ ] Pass after CA
[ ] Fail
CA: Open / Closed</v>
      </c>
      <c r="E36" s="120" t="str">
        <f aca="false">IF(Checks!$V$391="","",Checks!$V$391)&amp;IF(Checks!$AC$391="","",IF(Checks!$V$391="","",CHAR(10))&amp;"N/A just.: "&amp;Checks!$AC$391)&amp;IF(OR(Checks!$W$391&lt;&gt;"",AND(Checks!$AQ$391=1,NOT(LEFT(Checks!$AH$391,10)="N/A – RULE"))),CHAR(10)&amp;"Batch: "&amp;IF(Checks!$W$391="","____________",Checks!$W$391),"")&amp;IF(OR(Checks!$X$391&lt;&gt;"",Checks!$Y$391&lt;&gt;"",AND(Checks!$AR$391=1,NOT(LEFT(Checks!$AH$391,10)="N/A – RULE"))),CHAR(10)&amp;"Exp: "&amp;IF(Checks!$X$391="","______",Checks!$X$391)&amp;"  /  Act: "&amp;IF(Checks!$Y$391="","______",Checks!$Y$391),"")</f>
        <v>
Exp: ______  /  Act: ______</v>
      </c>
      <c r="F36" s="120" t="str">
        <f aca="false">IF(AND(LEFT(Checks!$AH$391,10)="N/A – RULE",TRIM(Checks!$S$391&amp;Checks!$Z$391)=""),"","Type: "&amp;IF(TRIM(Checks!$S$391)="","______________ (see cover list)",Checks!$S$391)&amp;CHAR(10)&amp;"ID: "&amp;IF(TRIM(Checks!$Z$391)="","______________ (record's own no.)",Checks!$Z$391))&amp;IF(Checks!$AA$391="","",CHAR(10)&amp;"CA: "&amp;Checks!$AA$391)</f>
        <v>Type: ______________ (see cover list)
ID: ______________ (record's own no.)</v>
      </c>
      <c r="G36" s="120" t="str">
        <f aca="false">IF(AND(LEFT(Checks!$AH$391,10)="N/A – RULE",NOT(ISNUMBER(Checks!$AD$391)),Checks!$AE$391="",Checks!$T$391=""),"","Done: "&amp;IF(ISNUMBER(Checks!$AD$391),TEXT(Checks!$AD$391,"DD-MMM-YY HH:MM"),"____________")&amp;" "&amp;Checks!$P$391&amp;CHAR(10)&amp;"Verifier: "&amp;IF(Checks!$AE$391="","____________",Checks!$AE$391)&amp;CHAR(10)&amp;"PIC: "&amp;IF(Checks!$T$391="","____________",Checks!$T$391))</f>
        <v>Done: ____________ KUL
Verifier: ____________
PIC: ____________</v>
      </c>
      <c r="H36" s="121" t="str">
        <f aca="false">IF(Checks!$AH$391="","",Checks!$AH$391)</f>
        <v>OPEN</v>
      </c>
    </row>
    <row r="37" customFormat="false" ht="114" hidden="false" customHeight="true" outlineLevel="0" collapsed="false">
      <c r="A37" s="120" t="str">
        <f aca="false">Checks!$A$392&amp;CHAR(10)&amp;IF(Checks!$I$392="","",Checks!$I$392&amp;": ")&amp;Checks!$J$392</f>
        <v>F12-T12-03
Equipment: Equipment cleanliness vs GLD</v>
      </c>
      <c r="B37" s="120" t="str">
        <f aca="false">Checks!$K$392&amp;IF(Checks!$O$392="","",IF(Checks!$K$392="","",CHAR(10))&amp;"Note: "&amp;Checks!$O$392)</f>
        <v>Note: Preparation check at caterer - does NOT confirm loading.</v>
      </c>
      <c r="C37" s="120" t="str">
        <f aca="false">Checks!$N$392&amp;CHAR(10)&amp;IF(ISNUMBER(Checks!$R$392),TEXT(Checks!$R$392,"DD-MMM-YY HH:MM"),"")&amp;" "&amp;Checks!$P$392</f>
        <v>Required
12-Oct-26 10:25 KUL</v>
      </c>
      <c r="D37" s="120" t="str">
        <f aca="false">IF(TRIM(Checks!$U$392)&lt;&gt;"",Checks!$U$392&amp;IF(Checks!$AB$392="","",CHAR(10)&amp;"CA: "&amp;Checks!$AB$392),IF(LEFT(Checks!$AH$392,10)="N/A – RULE","","[ ] Pass"&amp;CHAR(10)&amp;"[ ] Pass after CA"&amp;CHAR(10)&amp;"[ ] Fail"&amp;IF(Checks!$AT$392=1,CHAR(10)&amp;"[ ] N/A","")&amp;CHAR(10)&amp;"CA: Open / Closed"))</f>
        <v>[ ] Pass
[ ] Pass after CA
[ ] Fail
CA: Open / Closed</v>
      </c>
      <c r="E37" s="120" t="str">
        <f aca="false">IF(Checks!$V$392="","",Checks!$V$392)&amp;IF(Checks!$AC$392="","",IF(Checks!$V$392="","",CHAR(10))&amp;"N/A just.: "&amp;Checks!$AC$392)&amp;IF(OR(Checks!$W$392&lt;&gt;"",AND(Checks!$AQ$392=1,NOT(LEFT(Checks!$AH$392,10)="N/A – RULE"))),CHAR(10)&amp;"Batch: "&amp;IF(Checks!$W$392="","____________",Checks!$W$392),"")&amp;IF(OR(Checks!$X$392&lt;&gt;"",Checks!$Y$392&lt;&gt;"",AND(Checks!$AR$392=1,NOT(LEFT(Checks!$AH$392,10)="N/A – RULE"))),CHAR(10)&amp;"Exp: "&amp;IF(Checks!$X$392="","______",Checks!$X$392)&amp;"  /  Act: "&amp;IF(Checks!$Y$392="","______",Checks!$Y$392),"")</f>
        <v/>
      </c>
      <c r="F37" s="120" t="str">
        <f aca="false">IF(AND(LEFT(Checks!$AH$392,10)="N/A – RULE",TRIM(Checks!$S$392&amp;Checks!$Z$392)=""),"","Type: "&amp;IF(TRIM(Checks!$S$392)="","______________ (see cover list)",Checks!$S$392)&amp;CHAR(10)&amp;"ID: "&amp;IF(TRIM(Checks!$Z$392)="","______________ (record's own no.)",Checks!$Z$392))&amp;IF(Checks!$AA$392="","",CHAR(10)&amp;"CA: "&amp;Checks!$AA$392)</f>
        <v>Type: ______________ (see cover list)
ID: ______________ (record's own no.)</v>
      </c>
      <c r="G37" s="120" t="str">
        <f aca="false">IF(AND(LEFT(Checks!$AH$392,10)="N/A – RULE",NOT(ISNUMBER(Checks!$AD$392)),Checks!$AE$392="",Checks!$T$392=""),"","Done: "&amp;IF(ISNUMBER(Checks!$AD$392),TEXT(Checks!$AD$392,"DD-MMM-YY HH:MM"),"____________")&amp;" "&amp;Checks!$P$392&amp;CHAR(10)&amp;"Verifier: "&amp;IF(Checks!$AE$392="","____________",Checks!$AE$392)&amp;CHAR(10)&amp;"PIC: "&amp;IF(Checks!$T$392="","____________",Checks!$T$392))</f>
        <v>Done: ____________ KUL
Verifier: ____________
PIC: ____________</v>
      </c>
      <c r="H37" s="121" t="str">
        <f aca="false">IF(Checks!$AH$392="","",Checks!$AH$392)</f>
        <v>OPEN</v>
      </c>
    </row>
    <row r="38" customFormat="false" ht="114" hidden="false" customHeight="true" outlineLevel="0" collapsed="false">
      <c r="A38" s="120" t="str">
        <f aca="false">Checks!$A$393&amp;CHAR(10)&amp;IF(Checks!$I$393="","",Checks!$I$393&amp;": ")&amp;Checks!$J$393</f>
        <v>F12-T12-04
Equipment: Equipment presentation vs GLD</v>
      </c>
      <c r="B38" s="120" t="str">
        <f aca="false">Checks!$K$393&amp;IF(Checks!$O$393="","",IF(Checks!$K$393="","",CHAR(10))&amp;"Note: "&amp;Checks!$O$393)</f>
        <v>Note: Preparation check at caterer - does NOT confirm loading.</v>
      </c>
      <c r="C38" s="120" t="str">
        <f aca="false">Checks!$N$393&amp;CHAR(10)&amp;IF(ISNUMBER(Checks!$R$393),TEXT(Checks!$R$393,"DD-MMM-YY HH:MM"),"")&amp;" "&amp;Checks!$P$393</f>
        <v>Required
12-Oct-26 10:25 KUL</v>
      </c>
      <c r="D38" s="120" t="str">
        <f aca="false">IF(TRIM(Checks!$U$393)&lt;&gt;"",Checks!$U$393&amp;IF(Checks!$AB$393="","",CHAR(10)&amp;"CA: "&amp;Checks!$AB$393),IF(LEFT(Checks!$AH$393,10)="N/A – RULE","","[ ] Pass"&amp;CHAR(10)&amp;"[ ] Pass after CA"&amp;CHAR(10)&amp;"[ ] Fail"&amp;IF(Checks!$AT$393=1,CHAR(10)&amp;"[ ] N/A","")&amp;CHAR(10)&amp;"CA: Open / Closed"))</f>
        <v>[ ] Pass
[ ] Pass after CA
[ ] Fail
CA: Open / Closed</v>
      </c>
      <c r="E38" s="120" t="str">
        <f aca="false">IF(Checks!$V$393="","",Checks!$V$393)&amp;IF(Checks!$AC$393="","",IF(Checks!$V$393="","",CHAR(10))&amp;"N/A just.: "&amp;Checks!$AC$393)&amp;IF(OR(Checks!$W$393&lt;&gt;"",AND(Checks!$AQ$393=1,NOT(LEFT(Checks!$AH$393,10)="N/A – RULE"))),CHAR(10)&amp;"Batch: "&amp;IF(Checks!$W$393="","____________",Checks!$W$393),"")&amp;IF(OR(Checks!$X$393&lt;&gt;"",Checks!$Y$393&lt;&gt;"",AND(Checks!$AR$393=1,NOT(LEFT(Checks!$AH$393,10)="N/A – RULE"))),CHAR(10)&amp;"Exp: "&amp;IF(Checks!$X$393="","______",Checks!$X$393)&amp;"  /  Act: "&amp;IF(Checks!$Y$393="","______",Checks!$Y$393),"")</f>
        <v/>
      </c>
      <c r="F38" s="120" t="str">
        <f aca="false">IF(AND(LEFT(Checks!$AH$393,10)="N/A – RULE",TRIM(Checks!$S$393&amp;Checks!$Z$393)=""),"","Type: "&amp;IF(TRIM(Checks!$S$393)="","______________ (see cover list)",Checks!$S$393)&amp;CHAR(10)&amp;"ID: "&amp;IF(TRIM(Checks!$Z$393)="","______________ (record's own no.)",Checks!$Z$393))&amp;IF(Checks!$AA$393="","",CHAR(10)&amp;"CA: "&amp;Checks!$AA$393)</f>
        <v>Type: ______________ (see cover list)
ID: ______________ (record's own no.)</v>
      </c>
      <c r="G38" s="120" t="str">
        <f aca="false">IF(AND(LEFT(Checks!$AH$393,10)="N/A – RULE",NOT(ISNUMBER(Checks!$AD$393)),Checks!$AE$393="",Checks!$T$393=""),"","Done: "&amp;IF(ISNUMBER(Checks!$AD$393),TEXT(Checks!$AD$393,"DD-MMM-YY HH:MM"),"____________")&amp;" "&amp;Checks!$P$393&amp;CHAR(10)&amp;"Verifier: "&amp;IF(Checks!$AE$393="","____________",Checks!$AE$393)&amp;CHAR(10)&amp;"PIC: "&amp;IF(Checks!$T$393="","____________",Checks!$T$393))</f>
        <v>Done: ____________ KUL
Verifier: ____________
PIC: ____________</v>
      </c>
      <c r="H38" s="121" t="str">
        <f aca="false">IF(Checks!$AH$393="","",Checks!$AH$393)</f>
        <v>OPEN</v>
      </c>
    </row>
    <row r="39" customFormat="false" ht="114" hidden="false" customHeight="true" outlineLevel="0" collapsed="false">
      <c r="A39" s="120" t="str">
        <f aca="false">Checks!$A$394&amp;CHAR(10)&amp;IF(Checks!$I$394="","",Checks!$I$394&amp;": ")&amp;Checks!$J$394</f>
        <v>F12-T12-05
Equipment: Equipment serviceability vs GLD</v>
      </c>
      <c r="B39" s="120" t="str">
        <f aca="false">Checks!$K$394&amp;IF(Checks!$O$394="","",IF(Checks!$K$394="","",CHAR(10))&amp;"Note: "&amp;Checks!$O$394)</f>
        <v>Note: Preparation check at caterer - does NOT confirm loading.</v>
      </c>
      <c r="C39" s="120" t="str">
        <f aca="false">Checks!$N$394&amp;CHAR(10)&amp;IF(ISNUMBER(Checks!$R$394),TEXT(Checks!$R$394,"DD-MMM-YY HH:MM"),"")&amp;" "&amp;Checks!$P$394</f>
        <v>Required
12-Oct-26 10:25 KUL</v>
      </c>
      <c r="D39" s="120" t="str">
        <f aca="false">IF(TRIM(Checks!$U$394)&lt;&gt;"",Checks!$U$394&amp;IF(Checks!$AB$394="","",CHAR(10)&amp;"CA: "&amp;Checks!$AB$394),IF(LEFT(Checks!$AH$394,10)="N/A – RULE","","[ ] Pass"&amp;CHAR(10)&amp;"[ ] Pass after CA"&amp;CHAR(10)&amp;"[ ] Fail"&amp;IF(Checks!$AT$394=1,CHAR(10)&amp;"[ ] N/A","")&amp;CHAR(10)&amp;"CA: Open / Closed"))</f>
        <v>[ ] Pass
[ ] Pass after CA
[ ] Fail
CA: Open / Closed</v>
      </c>
      <c r="E39" s="120" t="str">
        <f aca="false">IF(Checks!$V$394="","",Checks!$V$394)&amp;IF(Checks!$AC$394="","",IF(Checks!$V$394="","",CHAR(10))&amp;"N/A just.: "&amp;Checks!$AC$394)&amp;IF(OR(Checks!$W$394&lt;&gt;"",AND(Checks!$AQ$394=1,NOT(LEFT(Checks!$AH$394,10)="N/A – RULE"))),CHAR(10)&amp;"Batch: "&amp;IF(Checks!$W$394="","____________",Checks!$W$394),"")&amp;IF(OR(Checks!$X$394&lt;&gt;"",Checks!$Y$394&lt;&gt;"",AND(Checks!$AR$394=1,NOT(LEFT(Checks!$AH$394,10)="N/A – RULE"))),CHAR(10)&amp;"Exp: "&amp;IF(Checks!$X$394="","______",Checks!$X$394)&amp;"  /  Act: "&amp;IF(Checks!$Y$394="","______",Checks!$Y$394),"")</f>
        <v/>
      </c>
      <c r="F39" s="120" t="str">
        <f aca="false">IF(AND(LEFT(Checks!$AH$394,10)="N/A – RULE",TRIM(Checks!$S$394&amp;Checks!$Z$394)=""),"","Type: "&amp;IF(TRIM(Checks!$S$394)="","______________ (see cover list)",Checks!$S$394)&amp;CHAR(10)&amp;"ID: "&amp;IF(TRIM(Checks!$Z$394)="","______________ (record's own no.)",Checks!$Z$394))&amp;IF(Checks!$AA$394="","",CHAR(10)&amp;"CA: "&amp;Checks!$AA$394)</f>
        <v>Type: ______________ (see cover list)
ID: ______________ (record's own no.)</v>
      </c>
      <c r="G39" s="120" t="str">
        <f aca="false">IF(AND(LEFT(Checks!$AH$394,10)="N/A – RULE",NOT(ISNUMBER(Checks!$AD$394)),Checks!$AE$394="",Checks!$T$394=""),"","Done: "&amp;IF(ISNUMBER(Checks!$AD$394),TEXT(Checks!$AD$394,"DD-MMM-YY HH:MM"),"____________")&amp;" "&amp;Checks!$P$394&amp;CHAR(10)&amp;"Verifier: "&amp;IF(Checks!$AE$394="","____________",Checks!$AE$394)&amp;CHAR(10)&amp;"PIC: "&amp;IF(Checks!$T$394="","____________",Checks!$T$394))</f>
        <v>Done: ____________ KUL
Verifier: ____________
PIC: ____________</v>
      </c>
      <c r="H39" s="121" t="str">
        <f aca="false">IF(Checks!$AH$394="","",Checks!$AH$394)</f>
        <v>OPEN</v>
      </c>
    </row>
    <row r="40" customFormat="false" ht="190.5" hidden="false" customHeight="true" outlineLevel="0" collapsed="false">
      <c r="A40" s="120" t="str">
        <f aca="false">Checks!$A$395&amp;CHAR(10)&amp;IF(Checks!$I$395="","",Checks!$I$395&amp;": ")&amp;Checks!$J$395</f>
        <v>F12-T12-06
Equipment: Equipment quantities vs GLD</v>
      </c>
      <c r="B40" s="120" t="str">
        <f aca="false">SUBSTITUTE(SUBSTITUTE(Checks!$K$395&amp;IF(Checks!$O$395="","",IF(Checks!$K$395="","",CHAR(10))&amp;"Note: "&amp;Checks!$O$395),"makers -,","makers n/a,")," (AIRCRAFT TYPE!C8:R8)","")</f>
        <v>Enter expected &amp; actual. Aircraft galley data: A330-900 (A339): carts 43.5, SU 111, ovens 13, warming ovens 4, fridges 2, water heaters 6, beverage makers n/a, espresso 1, folding trolleys 4, headsets BC: Dual Pin/ EY: Single Pin
Note: Preparation check at caterer - does NOT confirm loading.</v>
      </c>
      <c r="C40" s="120" t="str">
        <f aca="false">Checks!$N$395&amp;CHAR(10)&amp;IF(ISNUMBER(Checks!$R$395),TEXT(Checks!$R$395,"DD-MMM-YY HH:MM"),"")&amp;" "&amp;Checks!$P$395</f>
        <v>Required
12-Oct-26 10:25 KUL</v>
      </c>
      <c r="D40" s="120" t="str">
        <f aca="false">IF(TRIM(Checks!$U$395)&lt;&gt;"",Checks!$U$395&amp;IF(Checks!$AB$395="","",CHAR(10)&amp;"CA: "&amp;Checks!$AB$395),IF(LEFT(Checks!$AH$395,10)="N/A – RULE","","[ ] Pass"&amp;CHAR(10)&amp;"[ ] Pass after CA"&amp;CHAR(10)&amp;"[ ] Fail"&amp;IF(Checks!$AT$395=1,CHAR(10)&amp;"[ ] N/A","")&amp;CHAR(10)&amp;"CA: Open / Closed"))</f>
        <v>[ ] Pass
[ ] Pass after CA
[ ] Fail
CA: Open / Closed</v>
      </c>
      <c r="E40" s="120" t="str">
        <f aca="false">IF(Checks!$V$395="","",Checks!$V$395)&amp;IF(Checks!$AC$395="","",IF(Checks!$V$395="","",CHAR(10))&amp;"N/A just.: "&amp;Checks!$AC$395)&amp;IF(OR(Checks!$W$395&lt;&gt;"",AND(Checks!$AQ$395=1,NOT(LEFT(Checks!$AH$395,10)="N/A – RULE"))),CHAR(10)&amp;"Batch: "&amp;IF(Checks!$W$395="","____________",Checks!$W$395),"")&amp;IF(OR(Checks!$X$395&lt;&gt;"",Checks!$Y$395&lt;&gt;"",AND(Checks!$AR$395=1,NOT(LEFT(Checks!$AH$395,10)="N/A – RULE"))),CHAR(10)&amp;"Exp: "&amp;IF(Checks!$X$395="","______",Checks!$X$395)&amp;"  /  Act: "&amp;IF(Checks!$Y$395="","______",Checks!$Y$395),"")</f>
        <v>
Exp: ______  /  Act: ______</v>
      </c>
      <c r="F40" s="120" t="str">
        <f aca="false">IF(AND(LEFT(Checks!$AH$395,10)="N/A – RULE",TRIM(Checks!$S$395&amp;Checks!$Z$395)=""),"","Type: "&amp;IF(TRIM(Checks!$S$395)="","______________ (see cover list)",Checks!$S$395)&amp;CHAR(10)&amp;"ID: "&amp;IF(TRIM(Checks!$Z$395)="","______________ (record's own no.)",Checks!$Z$395))&amp;IF(Checks!$AA$395="","",CHAR(10)&amp;"CA: "&amp;Checks!$AA$395)</f>
        <v>Type: ______________ (see cover list)
ID: ______________ (record's own no.)</v>
      </c>
      <c r="G40" s="120" t="str">
        <f aca="false">IF(AND(LEFT(Checks!$AH$395,10)="N/A – RULE",NOT(ISNUMBER(Checks!$AD$395)),Checks!$AE$395="",Checks!$T$395=""),"","Done: "&amp;IF(ISNUMBER(Checks!$AD$395),TEXT(Checks!$AD$395,"DD-MMM-YY HH:MM"),"____________")&amp;" "&amp;Checks!$P$395&amp;CHAR(10)&amp;"Verifier: "&amp;IF(Checks!$AE$395="","____________",Checks!$AE$395)&amp;CHAR(10)&amp;"PIC: "&amp;IF(Checks!$T$395="","____________",Checks!$T$395))</f>
        <v>Done: ____________ KUL
Verifier: ____________
PIC: ____________</v>
      </c>
      <c r="H40" s="121" t="str">
        <f aca="false">IF(Checks!$AH$395="","",Checks!$AH$395)</f>
        <v>OPEN</v>
      </c>
    </row>
    <row r="41" customFormat="false" ht="114" hidden="false" customHeight="true" outlineLevel="0" collapsed="false">
      <c r="A41" s="120" t="str">
        <f aca="false">Checks!$A$396&amp;CHAR(10)&amp;IF(Checks!$I$396="","",Checks!$I$396&amp;": ")&amp;Checks!$J$396</f>
        <v>F12-T12-07
Equipment: Loading positions planned vs GLD</v>
      </c>
      <c r="B41" s="120" t="str">
        <f aca="false">Checks!$K$396&amp;IF(Checks!$O$396="","",IF(Checks!$K$396="","",CHAR(10))&amp;"Note: "&amp;Checks!$O$396)</f>
        <v>Note: Preparation check at caterer - does NOT confirm loading.</v>
      </c>
      <c r="C41" s="120" t="str">
        <f aca="false">Checks!$N$396&amp;CHAR(10)&amp;IF(ISNUMBER(Checks!$R$396),TEXT(Checks!$R$396,"DD-MMM-YY HH:MM"),"")&amp;" "&amp;Checks!$P$396</f>
        <v>Required
12-Oct-26 10:25 KUL</v>
      </c>
      <c r="D41" s="120" t="str">
        <f aca="false">IF(TRIM(Checks!$U$396)&lt;&gt;"",Checks!$U$396&amp;IF(Checks!$AB$396="","",CHAR(10)&amp;"CA: "&amp;Checks!$AB$396),IF(LEFT(Checks!$AH$396,10)="N/A – RULE","","[ ] Pass"&amp;CHAR(10)&amp;"[ ] Pass after CA"&amp;CHAR(10)&amp;"[ ] Fail"&amp;IF(Checks!$AT$396=1,CHAR(10)&amp;"[ ] N/A","")&amp;CHAR(10)&amp;"CA: Open / Closed"))</f>
        <v>[ ] Pass
[ ] Pass after CA
[ ] Fail
CA: Open / Closed</v>
      </c>
      <c r="E41" s="120" t="str">
        <f aca="false">IF(Checks!$V$396="","",Checks!$V$396)&amp;IF(Checks!$AC$396="","",IF(Checks!$V$396="","",CHAR(10))&amp;"N/A just.: "&amp;Checks!$AC$396)&amp;IF(OR(Checks!$W$396&lt;&gt;"",AND(Checks!$AQ$396=1,NOT(LEFT(Checks!$AH$396,10)="N/A – RULE"))),CHAR(10)&amp;"Batch: "&amp;IF(Checks!$W$396="","____________",Checks!$W$396),"")&amp;IF(OR(Checks!$X$396&lt;&gt;"",Checks!$Y$396&lt;&gt;"",AND(Checks!$AR$396=1,NOT(LEFT(Checks!$AH$396,10)="N/A – RULE"))),CHAR(10)&amp;"Exp: "&amp;IF(Checks!$X$396="","______",Checks!$X$396)&amp;"  /  Act: "&amp;IF(Checks!$Y$396="","______",Checks!$Y$396),"")</f>
        <v/>
      </c>
      <c r="F41" s="120" t="str">
        <f aca="false">IF(AND(LEFT(Checks!$AH$396,10)="N/A – RULE",TRIM(Checks!$S$396&amp;Checks!$Z$396)=""),"","Type: "&amp;IF(TRIM(Checks!$S$396)="","______________ (see cover list)",Checks!$S$396)&amp;CHAR(10)&amp;"ID: "&amp;IF(TRIM(Checks!$Z$396)="","______________ (record's own no.)",Checks!$Z$396))&amp;IF(Checks!$AA$396="","",CHAR(10)&amp;"CA: "&amp;Checks!$AA$396)</f>
        <v>Type: ______________ (see cover list)
ID: ______________ (record's own no.)</v>
      </c>
      <c r="G41" s="120" t="str">
        <f aca="false">IF(AND(LEFT(Checks!$AH$396,10)="N/A – RULE",NOT(ISNUMBER(Checks!$AD$396)),Checks!$AE$396="",Checks!$T$396=""),"","Done: "&amp;IF(ISNUMBER(Checks!$AD$396),TEXT(Checks!$AD$396,"DD-MMM-YY HH:MM"),"____________")&amp;" "&amp;Checks!$P$396&amp;CHAR(10)&amp;"Verifier: "&amp;IF(Checks!$AE$396="","____________",Checks!$AE$396)&amp;CHAR(10)&amp;"PIC: "&amp;IF(Checks!$T$396="","____________",Checks!$T$396))</f>
        <v>Done: ____________ KUL
Verifier: ____________
PIC: ____________</v>
      </c>
      <c r="H41" s="121" t="str">
        <f aca="false">IF(Checks!$AH$396="","",Checks!$AH$396)</f>
        <v>OPEN</v>
      </c>
    </row>
    <row r="42" customFormat="false" ht="114" hidden="false" customHeight="true" outlineLevel="0" collapsed="false">
      <c r="A42" s="120" t="str">
        <f aca="false">Checks!$A$397&amp;CHAR(10)&amp;IF(Checks!$I$397="","",Checks!$I$397&amp;": ")&amp;Checks!$J$397</f>
        <v>F12-T12-08
Amenities: Toiletry kits - prepared</v>
      </c>
      <c r="B42" s="120" t="str">
        <f aca="false">Checks!$K$397&amp;IF(Checks!$O$397="","",IF(Checks!$K$397="","",CHAR(10))&amp;"Note: "&amp;Checks!$O$397)</f>
        <v>Available (ticked in reference)</v>
      </c>
      <c r="C42" s="120" t="str">
        <f aca="false">Checks!$N$397&amp;CHAR(10)&amp;IF(ISNUMBER(Checks!$R$397),TEXT(Checks!$R$397,"DD-MMM-YY HH:MM"),"")&amp;" "&amp;Checks!$P$397</f>
        <v>Required
12-Oct-26 10:25 KUL</v>
      </c>
      <c r="D42" s="120" t="str">
        <f aca="false">IF(TRIM(Checks!$U$397)&lt;&gt;"",Checks!$U$397&amp;IF(Checks!$AB$397="","",CHAR(10)&amp;"CA: "&amp;Checks!$AB$397),IF(LEFT(Checks!$AH$397,10)="N/A – RULE","","[ ] Pass"&amp;CHAR(10)&amp;"[ ] Pass after CA"&amp;CHAR(10)&amp;"[ ] Fail"&amp;IF(Checks!$AT$397=1,CHAR(10)&amp;"[ ] N/A","")&amp;CHAR(10)&amp;"CA: Open / Closed"))</f>
        <v>[ ] Pass
[ ] Pass after CA
[ ] Fail
CA: Open / Closed</v>
      </c>
      <c r="E42" s="120" t="str">
        <f aca="false">IF(Checks!$V$397="","",Checks!$V$397)&amp;IF(Checks!$AC$397="","",IF(Checks!$V$397="","",CHAR(10))&amp;"N/A just.: "&amp;Checks!$AC$397)&amp;IF(OR(Checks!$W$397&lt;&gt;"",AND(Checks!$AQ$397=1,NOT(LEFT(Checks!$AH$397,10)="N/A – RULE"))),CHAR(10)&amp;"Batch: "&amp;IF(Checks!$W$397="","____________",Checks!$W$397),"")&amp;IF(OR(Checks!$X$397&lt;&gt;"",Checks!$Y$397&lt;&gt;"",AND(Checks!$AR$397=1,NOT(LEFT(Checks!$AH$397,10)="N/A – RULE"))),CHAR(10)&amp;"Exp: "&amp;IF(Checks!$X$397="","______",Checks!$X$397)&amp;"  /  Act: "&amp;IF(Checks!$Y$397="","______",Checks!$Y$397),"")</f>
        <v/>
      </c>
      <c r="F42" s="120" t="str">
        <f aca="false">IF(AND(LEFT(Checks!$AH$397,10)="N/A – RULE",TRIM(Checks!$S$397&amp;Checks!$Z$397)=""),"","Type: "&amp;IF(TRIM(Checks!$S$397)="","______________ (see cover list)",Checks!$S$397)&amp;CHAR(10)&amp;"ID: "&amp;IF(TRIM(Checks!$Z$397)="","______________ (record's own no.)",Checks!$Z$397))&amp;IF(Checks!$AA$397="","",CHAR(10)&amp;"CA: "&amp;Checks!$AA$397)</f>
        <v>Type: ______________ (see cover list)
ID: ______________ (record's own no.)</v>
      </c>
      <c r="G42" s="120" t="str">
        <f aca="false">IF(AND(LEFT(Checks!$AH$397,10)="N/A – RULE",NOT(ISNUMBER(Checks!$AD$397)),Checks!$AE$397="",Checks!$T$397=""),"","Done: "&amp;IF(ISNUMBER(Checks!$AD$397),TEXT(Checks!$AD$397,"DD-MMM-YY HH:MM"),"____________")&amp;" "&amp;Checks!$P$397&amp;CHAR(10)&amp;"Verifier: "&amp;IF(Checks!$AE$397="","____________",Checks!$AE$397)&amp;CHAR(10)&amp;"PIC: "&amp;IF(Checks!$T$397="","____________",Checks!$T$397))</f>
        <v>Done: ____________ KUL
Verifier: ____________
PIC: ____________</v>
      </c>
      <c r="H42" s="121" t="str">
        <f aca="false">IF(Checks!$AH$397="","",Checks!$AH$397)</f>
        <v>OPEN</v>
      </c>
    </row>
    <row r="43" customFormat="false" ht="114" hidden="false" customHeight="true" outlineLevel="0" collapsed="false">
      <c r="A43" s="120" t="str">
        <f aca="false">Checks!$A$398&amp;CHAR(10)&amp;IF(Checks!$I$398="","",Checks!$I$398&amp;": ")&amp;Checks!$J$398</f>
        <v>F12-T12-09
Amenities: Slippers (BS/BC) - prepared</v>
      </c>
      <c r="B43" s="120" t="str">
        <f aca="false">Checks!$K$398&amp;IF(Checks!$O$398="","",IF(Checks!$K$398="","",CHAR(10))&amp;"Note: "&amp;Checks!$O$398)</f>
        <v>Available (ticked in reference)</v>
      </c>
      <c r="C43" s="120" t="str">
        <f aca="false">Checks!$N$398&amp;CHAR(10)&amp;IF(ISNUMBER(Checks!$R$398),TEXT(Checks!$R$398,"DD-MMM-YY HH:MM"),"")&amp;" "&amp;Checks!$P$398</f>
        <v>Required
12-Oct-26 10:25 KUL</v>
      </c>
      <c r="D43" s="120" t="str">
        <f aca="false">IF(TRIM(Checks!$U$398)&lt;&gt;"",Checks!$U$398&amp;IF(Checks!$AB$398="","",CHAR(10)&amp;"CA: "&amp;Checks!$AB$398),IF(LEFT(Checks!$AH$398,10)="N/A – RULE","","[ ] Pass"&amp;CHAR(10)&amp;"[ ] Pass after CA"&amp;CHAR(10)&amp;"[ ] Fail"&amp;IF(Checks!$AT$398=1,CHAR(10)&amp;"[ ] N/A","")&amp;CHAR(10)&amp;"CA: Open / Closed"))</f>
        <v>[ ] Pass
[ ] Pass after CA
[ ] Fail
CA: Open / Closed</v>
      </c>
      <c r="E43" s="120" t="str">
        <f aca="false">IF(Checks!$V$398="","",Checks!$V$398)&amp;IF(Checks!$AC$398="","",IF(Checks!$V$398="","",CHAR(10))&amp;"N/A just.: "&amp;Checks!$AC$398)&amp;IF(OR(Checks!$W$398&lt;&gt;"",AND(Checks!$AQ$398=1,NOT(LEFT(Checks!$AH$398,10)="N/A – RULE"))),CHAR(10)&amp;"Batch: "&amp;IF(Checks!$W$398="","____________",Checks!$W$398),"")&amp;IF(OR(Checks!$X$398&lt;&gt;"",Checks!$Y$398&lt;&gt;"",AND(Checks!$AR$398=1,NOT(LEFT(Checks!$AH$398,10)="N/A – RULE"))),CHAR(10)&amp;"Exp: "&amp;IF(Checks!$X$398="","______",Checks!$X$398)&amp;"  /  Act: "&amp;IF(Checks!$Y$398="","______",Checks!$Y$398),"")</f>
        <v/>
      </c>
      <c r="F43" s="120" t="str">
        <f aca="false">IF(AND(LEFT(Checks!$AH$398,10)="N/A – RULE",TRIM(Checks!$S$398&amp;Checks!$Z$398)=""),"","Type: "&amp;IF(TRIM(Checks!$S$398)="","______________ (see cover list)",Checks!$S$398)&amp;CHAR(10)&amp;"ID: "&amp;IF(TRIM(Checks!$Z$398)="","______________ (record's own no.)",Checks!$Z$398))&amp;IF(Checks!$AA$398="","",CHAR(10)&amp;"CA: "&amp;Checks!$AA$398)</f>
        <v>Type: ______________ (see cover list)
ID: ______________ (record's own no.)</v>
      </c>
      <c r="G43" s="120" t="str">
        <f aca="false">IF(AND(LEFT(Checks!$AH$398,10)="N/A – RULE",NOT(ISNUMBER(Checks!$AD$398)),Checks!$AE$398="",Checks!$T$398=""),"","Done: "&amp;IF(ISNUMBER(Checks!$AD$398),TEXT(Checks!$AD$398,"DD-MMM-YY HH:MM"),"____________")&amp;" "&amp;Checks!$P$398&amp;CHAR(10)&amp;"Verifier: "&amp;IF(Checks!$AE$398="","____________",Checks!$AE$398)&amp;CHAR(10)&amp;"PIC: "&amp;IF(Checks!$T$398="","____________",Checks!$T$398))</f>
        <v>Done: ____________ KUL
Verifier: ____________
PIC: ____________</v>
      </c>
      <c r="H43" s="121" t="str">
        <f aca="false">IF(Checks!$AH$398="","",Checks!$AH$398)</f>
        <v>OPEN</v>
      </c>
    </row>
    <row r="44" customFormat="false" ht="114" hidden="false" customHeight="true" outlineLevel="0" collapsed="false">
      <c r="A44" s="120" t="str">
        <f aca="false">Checks!$A$399&amp;CHAR(10)&amp;IF(Checks!$I$399="","",Checks!$I$399&amp;": ")&amp;Checks!$J$399</f>
        <v>F12-T12-10
F&amp;B Linen: Towel - prepared</v>
      </c>
      <c r="B44" s="120" t="str">
        <f aca="false">Checks!$K$399&amp;IF(Checks!$O$399="","",IF(Checks!$K$399="","",CHAR(10))&amp;"Note: "&amp;Checks!$O$399)</f>
        <v>Available (ticked in reference)
Note: Reference gives no uplift stn for this item: preparation checked at the meal uplift stn (KUL) - confirm with caterer.</v>
      </c>
      <c r="C44" s="120" t="str">
        <f aca="false">Checks!$N$399&amp;CHAR(10)&amp;IF(ISNUMBER(Checks!$R$399),TEXT(Checks!$R$399,"DD-MMM-YY HH:MM"),"")&amp;" "&amp;Checks!$P$399</f>
        <v>Required
12-Oct-26 10:25 KUL</v>
      </c>
      <c r="D44" s="120" t="str">
        <f aca="false">IF(TRIM(Checks!$U$399)&lt;&gt;"",Checks!$U$399&amp;IF(Checks!$AB$399="","",CHAR(10)&amp;"CA: "&amp;Checks!$AB$399),IF(LEFT(Checks!$AH$399,10)="N/A – RULE","","[ ] Pass"&amp;CHAR(10)&amp;"[ ] Pass after CA"&amp;CHAR(10)&amp;"[ ] Fail"&amp;IF(Checks!$AT$399=1,CHAR(10)&amp;"[ ] N/A","")&amp;CHAR(10)&amp;"CA: Open / Closed"))</f>
        <v>[ ] Pass
[ ] Pass after CA
[ ] Fail
CA: Open / Closed</v>
      </c>
      <c r="E44" s="120" t="str">
        <f aca="false">IF(Checks!$V$399="","",Checks!$V$399)&amp;IF(Checks!$AC$399="","",IF(Checks!$V$399="","",CHAR(10))&amp;"N/A just.: "&amp;Checks!$AC$399)&amp;IF(OR(Checks!$W$399&lt;&gt;"",AND(Checks!$AQ$399=1,NOT(LEFT(Checks!$AH$399,10)="N/A – RULE"))),CHAR(10)&amp;"Batch: "&amp;IF(Checks!$W$399="","____________",Checks!$W$399),"")&amp;IF(OR(Checks!$X$399&lt;&gt;"",Checks!$Y$399&lt;&gt;"",AND(Checks!$AR$399=1,NOT(LEFT(Checks!$AH$399,10)="N/A – RULE"))),CHAR(10)&amp;"Exp: "&amp;IF(Checks!$X$399="","______",Checks!$X$399)&amp;"  /  Act: "&amp;IF(Checks!$Y$399="","______",Checks!$Y$399),"")</f>
        <v/>
      </c>
      <c r="F44" s="120" t="str">
        <f aca="false">IF(AND(LEFT(Checks!$AH$399,10)="N/A – RULE",TRIM(Checks!$S$399&amp;Checks!$Z$399)=""),"","Type: "&amp;IF(TRIM(Checks!$S$399)="","______________ (see cover list)",Checks!$S$399)&amp;CHAR(10)&amp;"ID: "&amp;IF(TRIM(Checks!$Z$399)="","______________ (record's own no.)",Checks!$Z$399))&amp;IF(Checks!$AA$399="","",CHAR(10)&amp;"CA: "&amp;Checks!$AA$399)</f>
        <v>Type: ______________ (see cover list)
ID: ______________ (record's own no.)</v>
      </c>
      <c r="G44" s="120" t="str">
        <f aca="false">IF(AND(LEFT(Checks!$AH$399,10)="N/A – RULE",NOT(ISNUMBER(Checks!$AD$399)),Checks!$AE$399="",Checks!$T$399=""),"","Done: "&amp;IF(ISNUMBER(Checks!$AD$399),TEXT(Checks!$AD$399,"DD-MMM-YY HH:MM"),"____________")&amp;" "&amp;Checks!$P$399&amp;CHAR(10)&amp;"Verifier: "&amp;IF(Checks!$AE$399="","____________",Checks!$AE$399)&amp;CHAR(10)&amp;"PIC: "&amp;IF(Checks!$T$399="","____________",Checks!$T$399))</f>
        <v>Done: ____________ KUL
Verifier: ____________
PIC: ____________</v>
      </c>
      <c r="H44" s="121" t="str">
        <f aca="false">IF(Checks!$AH$399="","",Checks!$AH$399)</f>
        <v>OPEN</v>
      </c>
    </row>
    <row r="45" customFormat="false" ht="114" hidden="false" customHeight="true" outlineLevel="0" collapsed="false">
      <c r="A45" s="120" t="str">
        <f aca="false">Checks!$A$400&amp;CHAR(10)&amp;IF(Checks!$I$400="","",Checks!$I$400&amp;": ")&amp;Checks!$J$400</f>
        <v>F12-T12-11
F&amp;B Linen: Tray cloth - prepared</v>
      </c>
      <c r="B45" s="120" t="str">
        <f aca="false">Checks!$K$400&amp;IF(Checks!$O$400="","",IF(Checks!$K$400="","",CHAR(10))&amp;"Note: "&amp;Checks!$O$400)</f>
        <v>Available (ticked in reference)
Note: Reference gives no uplift stn for this item: preparation checked at the meal uplift stn (KUL) - confirm with caterer.</v>
      </c>
      <c r="C45" s="120" t="str">
        <f aca="false">Checks!$N$400&amp;CHAR(10)&amp;IF(ISNUMBER(Checks!$R$400),TEXT(Checks!$R$400,"DD-MMM-YY HH:MM"),"")&amp;" "&amp;Checks!$P$400</f>
        <v>Required
12-Oct-26 10:25 KUL</v>
      </c>
      <c r="D45" s="120" t="str">
        <f aca="false">IF(TRIM(Checks!$U$400)&lt;&gt;"",Checks!$U$400&amp;IF(Checks!$AB$400="","",CHAR(10)&amp;"CA: "&amp;Checks!$AB$400),IF(LEFT(Checks!$AH$400,10)="N/A – RULE","","[ ] Pass"&amp;CHAR(10)&amp;"[ ] Pass after CA"&amp;CHAR(10)&amp;"[ ] Fail"&amp;IF(Checks!$AT$400=1,CHAR(10)&amp;"[ ] N/A","")&amp;CHAR(10)&amp;"CA: Open / Closed"))</f>
        <v>[ ] Pass
[ ] Pass after CA
[ ] Fail
CA: Open / Closed</v>
      </c>
      <c r="E45" s="120" t="str">
        <f aca="false">IF(Checks!$V$400="","",Checks!$V$400)&amp;IF(Checks!$AC$400="","",IF(Checks!$V$400="","",CHAR(10))&amp;"N/A just.: "&amp;Checks!$AC$400)&amp;IF(OR(Checks!$W$400&lt;&gt;"",AND(Checks!$AQ$400=1,NOT(LEFT(Checks!$AH$400,10)="N/A – RULE"))),CHAR(10)&amp;"Batch: "&amp;IF(Checks!$W$400="","____________",Checks!$W$400),"")&amp;IF(OR(Checks!$X$400&lt;&gt;"",Checks!$Y$400&lt;&gt;"",AND(Checks!$AR$400=1,NOT(LEFT(Checks!$AH$400,10)="N/A – RULE"))),CHAR(10)&amp;"Exp: "&amp;IF(Checks!$X$400="","______",Checks!$X$400)&amp;"  /  Act: "&amp;IF(Checks!$Y$400="","______",Checks!$Y$400),"")</f>
        <v/>
      </c>
      <c r="F45" s="120" t="str">
        <f aca="false">IF(AND(LEFT(Checks!$AH$400,10)="N/A – RULE",TRIM(Checks!$S$400&amp;Checks!$Z$400)=""),"","Type: "&amp;IF(TRIM(Checks!$S$400)="","______________ (see cover list)",Checks!$S$400)&amp;CHAR(10)&amp;"ID: "&amp;IF(TRIM(Checks!$Z$400)="","______________ (record's own no.)",Checks!$Z$400))&amp;IF(Checks!$AA$400="","",CHAR(10)&amp;"CA: "&amp;Checks!$AA$400)</f>
        <v>Type: ______________ (see cover list)
ID: ______________ (record's own no.)</v>
      </c>
      <c r="G45" s="120" t="str">
        <f aca="false">IF(AND(LEFT(Checks!$AH$400,10)="N/A – RULE",NOT(ISNUMBER(Checks!$AD$400)),Checks!$AE$400="",Checks!$T$400=""),"","Done: "&amp;IF(ISNUMBER(Checks!$AD$400),TEXT(Checks!$AD$400,"DD-MMM-YY HH:MM"),"____________")&amp;" "&amp;Checks!$P$400&amp;CHAR(10)&amp;"Verifier: "&amp;IF(Checks!$AE$400="","____________",Checks!$AE$400)&amp;CHAR(10)&amp;"PIC: "&amp;IF(Checks!$T$400="","____________",Checks!$T$400))</f>
        <v>Done: ____________ KUL
Verifier: ____________
PIC: ____________</v>
      </c>
      <c r="H45" s="121" t="str">
        <f aca="false">IF(Checks!$AH$400="","",Checks!$AH$400)</f>
        <v>OPEN</v>
      </c>
    </row>
    <row r="46" customFormat="false" ht="114" hidden="false" customHeight="true" outlineLevel="0" collapsed="false">
      <c r="A46" s="120" t="str">
        <f aca="false">Checks!$A$401&amp;CHAR(10)&amp;IF(Checks!$I$401="","",Checks!$I$401&amp;": ")&amp;Checks!$J$401</f>
        <v>F12-T12-12
F&amp;B Linen: Napkin - prepared</v>
      </c>
      <c r="B46" s="120" t="str">
        <f aca="false">Checks!$K$401&amp;IF(Checks!$O$401="","",IF(Checks!$K$401="","",CHAR(10))&amp;"Note: "&amp;Checks!$O$401)</f>
        <v>Available (ticked in reference)
Note: Reference gives no uplift stn for this item: preparation checked at the meal uplift stn (KUL) - confirm with caterer.</v>
      </c>
      <c r="C46" s="120" t="str">
        <f aca="false">Checks!$N$401&amp;CHAR(10)&amp;IF(ISNUMBER(Checks!$R$401),TEXT(Checks!$R$401,"DD-MMM-YY HH:MM"),"")&amp;" "&amp;Checks!$P$401</f>
        <v>Required
12-Oct-26 10:25 KUL</v>
      </c>
      <c r="D46" s="120" t="str">
        <f aca="false">IF(TRIM(Checks!$U$401)&lt;&gt;"",Checks!$U$401&amp;IF(Checks!$AB$401="","",CHAR(10)&amp;"CA: "&amp;Checks!$AB$401),IF(LEFT(Checks!$AH$401,10)="N/A – RULE","","[ ] Pass"&amp;CHAR(10)&amp;"[ ] Pass after CA"&amp;CHAR(10)&amp;"[ ] Fail"&amp;IF(Checks!$AT$401=1,CHAR(10)&amp;"[ ] N/A","")&amp;CHAR(10)&amp;"CA: Open / Closed"))</f>
        <v>[ ] Pass
[ ] Pass after CA
[ ] Fail
CA: Open / Closed</v>
      </c>
      <c r="E46" s="120" t="str">
        <f aca="false">IF(Checks!$V$401="","",Checks!$V$401)&amp;IF(Checks!$AC$401="","",IF(Checks!$V$401="","",CHAR(10))&amp;"N/A just.: "&amp;Checks!$AC$401)&amp;IF(OR(Checks!$W$401&lt;&gt;"",AND(Checks!$AQ$401=1,NOT(LEFT(Checks!$AH$401,10)="N/A – RULE"))),CHAR(10)&amp;"Batch: "&amp;IF(Checks!$W$401="","____________",Checks!$W$401),"")&amp;IF(OR(Checks!$X$401&lt;&gt;"",Checks!$Y$401&lt;&gt;"",AND(Checks!$AR$401=1,NOT(LEFT(Checks!$AH$401,10)="N/A – RULE"))),CHAR(10)&amp;"Exp: "&amp;IF(Checks!$X$401="","______",Checks!$X$401)&amp;"  /  Act: "&amp;IF(Checks!$Y$401="","______",Checks!$Y$401),"")</f>
        <v/>
      </c>
      <c r="F46" s="120" t="str">
        <f aca="false">IF(AND(LEFT(Checks!$AH$401,10)="N/A – RULE",TRIM(Checks!$S$401&amp;Checks!$Z$401)=""),"","Type: "&amp;IF(TRIM(Checks!$S$401)="","______________ (see cover list)",Checks!$S$401)&amp;CHAR(10)&amp;"ID: "&amp;IF(TRIM(Checks!$Z$401)="","______________ (record's own no.)",Checks!$Z$401))&amp;IF(Checks!$AA$401="","",CHAR(10)&amp;"CA: "&amp;Checks!$AA$401)</f>
        <v>Type: ______________ (see cover list)
ID: ______________ (record's own no.)</v>
      </c>
      <c r="G46" s="120" t="str">
        <f aca="false">IF(AND(LEFT(Checks!$AH$401,10)="N/A – RULE",NOT(ISNUMBER(Checks!$AD$401)),Checks!$AE$401="",Checks!$T$401=""),"","Done: "&amp;IF(ISNUMBER(Checks!$AD$401),TEXT(Checks!$AD$401,"DD-MMM-YY HH:MM"),"____________")&amp;" "&amp;Checks!$P$401&amp;CHAR(10)&amp;"Verifier: "&amp;IF(Checks!$AE$401="","____________",Checks!$AE$401)&amp;CHAR(10)&amp;"PIC: "&amp;IF(Checks!$T$401="","____________",Checks!$T$401))</f>
        <v>Done: ____________ KUL
Verifier: ____________
PIC: ____________</v>
      </c>
      <c r="H46" s="121" t="str">
        <f aca="false">IF(Checks!$AH$401="","",Checks!$AH$401)</f>
        <v>OPEN</v>
      </c>
    </row>
    <row r="47" customFormat="false" ht="114" hidden="false" customHeight="true" outlineLevel="0" collapsed="false">
      <c r="A47" s="120" t="str">
        <f aca="false">Checks!$A$402&amp;CHAR(10)&amp;IF(Checks!$I$402="","",Checks!$I$402&amp;": ")&amp;Checks!$J$402</f>
        <v>F12-T12-13
F&amp;B Linen: Table cloth - prepared</v>
      </c>
      <c r="B47" s="120" t="str">
        <f aca="false">Checks!$K$402&amp;IF(Checks!$O$402="","",IF(Checks!$K$402="","",CHAR(10))&amp;"Note: "&amp;Checks!$O$402)</f>
        <v>Available (ticked in reference)
Note: Reference gives no uplift stn for this item: preparation checked at the meal uplift stn (KUL) - confirm with caterer.</v>
      </c>
      <c r="C47" s="120" t="str">
        <f aca="false">Checks!$N$402&amp;CHAR(10)&amp;IF(ISNUMBER(Checks!$R$402),TEXT(Checks!$R$402,"DD-MMM-YY HH:MM"),"")&amp;" "&amp;Checks!$P$402</f>
        <v>Required
12-Oct-26 10:25 KUL</v>
      </c>
      <c r="D47" s="120" t="str">
        <f aca="false">IF(TRIM(Checks!$U$402)&lt;&gt;"",Checks!$U$402&amp;IF(Checks!$AB$402="","",CHAR(10)&amp;"CA: "&amp;Checks!$AB$402),IF(LEFT(Checks!$AH$402,10)="N/A – RULE","","[ ] Pass"&amp;CHAR(10)&amp;"[ ] Pass after CA"&amp;CHAR(10)&amp;"[ ] Fail"&amp;IF(Checks!$AT$402=1,CHAR(10)&amp;"[ ] N/A","")&amp;CHAR(10)&amp;"CA: Open / Closed"))</f>
        <v>[ ] Pass
[ ] Pass after CA
[ ] Fail
CA: Open / Closed</v>
      </c>
      <c r="E47" s="120" t="str">
        <f aca="false">IF(Checks!$V$402="","",Checks!$V$402)&amp;IF(Checks!$AC$402="","",IF(Checks!$V$402="","",CHAR(10))&amp;"N/A just.: "&amp;Checks!$AC$402)&amp;IF(OR(Checks!$W$402&lt;&gt;"",AND(Checks!$AQ$402=1,NOT(LEFT(Checks!$AH$402,10)="N/A – RULE"))),CHAR(10)&amp;"Batch: "&amp;IF(Checks!$W$402="","____________",Checks!$W$402),"")&amp;IF(OR(Checks!$X$402&lt;&gt;"",Checks!$Y$402&lt;&gt;"",AND(Checks!$AR$402=1,NOT(LEFT(Checks!$AH$402,10)="N/A – RULE"))),CHAR(10)&amp;"Exp: "&amp;IF(Checks!$X$402="","______",Checks!$X$402)&amp;"  /  Act: "&amp;IF(Checks!$Y$402="","______",Checks!$Y$402),"")</f>
        <v/>
      </c>
      <c r="F47" s="120" t="str">
        <f aca="false">IF(AND(LEFT(Checks!$AH$402,10)="N/A – RULE",TRIM(Checks!$S$402&amp;Checks!$Z$402)=""),"","Type: "&amp;IF(TRIM(Checks!$S$402)="","______________ (see cover list)",Checks!$S$402)&amp;CHAR(10)&amp;"ID: "&amp;IF(TRIM(Checks!$Z$402)="","______________ (record's own no.)",Checks!$Z$402))&amp;IF(Checks!$AA$402="","",CHAR(10)&amp;"CA: "&amp;Checks!$AA$402)</f>
        <v>Type: ______________ (see cover list)
ID: ______________ (record's own no.)</v>
      </c>
      <c r="G47" s="120" t="str">
        <f aca="false">IF(AND(LEFT(Checks!$AH$402,10)="N/A – RULE",NOT(ISNUMBER(Checks!$AD$402)),Checks!$AE$402="",Checks!$T$402=""),"","Done: "&amp;IF(ISNUMBER(Checks!$AD$402),TEXT(Checks!$AD$402,"DD-MMM-YY HH:MM"),"____________")&amp;" "&amp;Checks!$P$402&amp;CHAR(10)&amp;"Verifier: "&amp;IF(Checks!$AE$402="","____________",Checks!$AE$402)&amp;CHAR(10)&amp;"PIC: "&amp;IF(Checks!$T$402="","____________",Checks!$T$402))</f>
        <v>Done: ____________ KUL
Verifier: ____________
PIC: ____________</v>
      </c>
      <c r="H47" s="121" t="str">
        <f aca="false">IF(Checks!$AH$402="","",Checks!$AH$402)</f>
        <v>OPEN</v>
      </c>
    </row>
    <row r="48" customFormat="false" ht="114" hidden="false" customHeight="true" outlineLevel="0" collapsed="false">
      <c r="A48" s="120" t="str">
        <f aca="false">Checks!$A$403&amp;CHAR(10)&amp;IF(Checks!$I$403="","",Checks!$I$403&amp;": ")&amp;Checks!$J$403</f>
        <v>F12-T12-14
F&amp;B Linen: Bread linen (using table cloth) - prepared</v>
      </c>
      <c r="B48" s="120" t="str">
        <f aca="false">Checks!$K$403&amp;IF(Checks!$O$403="","",IF(Checks!$K$403="","",CHAR(10))&amp;"Note: "&amp;Checks!$O$403)</f>
        <v>Available (ticked in reference)
Note: Reference gives no uplift stn for this item: preparation checked at the meal uplift stn (KUL) - confirm with caterer.</v>
      </c>
      <c r="C48" s="120" t="str">
        <f aca="false">Checks!$N$403&amp;CHAR(10)&amp;IF(ISNUMBER(Checks!$R$403),TEXT(Checks!$R$403,"DD-MMM-YY HH:MM"),"")&amp;" "&amp;Checks!$P$403</f>
        <v>Required
12-Oct-26 10:25 KUL</v>
      </c>
      <c r="D48" s="120" t="str">
        <f aca="false">IF(TRIM(Checks!$U$403)&lt;&gt;"",Checks!$U$403&amp;IF(Checks!$AB$403="","",CHAR(10)&amp;"CA: "&amp;Checks!$AB$403),IF(LEFT(Checks!$AH$403,10)="N/A – RULE","","[ ] Pass"&amp;CHAR(10)&amp;"[ ] Pass after CA"&amp;CHAR(10)&amp;"[ ] Fail"&amp;IF(Checks!$AT$403=1,CHAR(10)&amp;"[ ] N/A","")&amp;CHAR(10)&amp;"CA: Open / Closed"))</f>
        <v>[ ] Pass
[ ] Pass after CA
[ ] Fail
CA: Open / Closed</v>
      </c>
      <c r="E48" s="120" t="str">
        <f aca="false">IF(Checks!$V$403="","",Checks!$V$403)&amp;IF(Checks!$AC$403="","",IF(Checks!$V$403="","",CHAR(10))&amp;"N/A just.: "&amp;Checks!$AC$403)&amp;IF(OR(Checks!$W$403&lt;&gt;"",AND(Checks!$AQ$403=1,NOT(LEFT(Checks!$AH$403,10)="N/A – RULE"))),CHAR(10)&amp;"Batch: "&amp;IF(Checks!$W$403="","____________",Checks!$W$403),"")&amp;IF(OR(Checks!$X$403&lt;&gt;"",Checks!$Y$403&lt;&gt;"",AND(Checks!$AR$403=1,NOT(LEFT(Checks!$AH$403,10)="N/A – RULE"))),CHAR(10)&amp;"Exp: "&amp;IF(Checks!$X$403="","______",Checks!$X$403)&amp;"  /  Act: "&amp;IF(Checks!$Y$403="","______",Checks!$Y$403),"")</f>
        <v/>
      </c>
      <c r="F48" s="120" t="str">
        <f aca="false">IF(AND(LEFT(Checks!$AH$403,10)="N/A – RULE",TRIM(Checks!$S$403&amp;Checks!$Z$403)=""),"","Type: "&amp;IF(TRIM(Checks!$S$403)="","______________ (see cover list)",Checks!$S$403)&amp;CHAR(10)&amp;"ID: "&amp;IF(TRIM(Checks!$Z$403)="","______________ (record's own no.)",Checks!$Z$403))&amp;IF(Checks!$AA$403="","",CHAR(10)&amp;"CA: "&amp;Checks!$AA$403)</f>
        <v>Type: ______________ (see cover list)
ID: ______________ (record's own no.)</v>
      </c>
      <c r="G48" s="120" t="str">
        <f aca="false">IF(AND(LEFT(Checks!$AH$403,10)="N/A – RULE",NOT(ISNUMBER(Checks!$AD$403)),Checks!$AE$403="",Checks!$T$403=""),"","Done: "&amp;IF(ISNUMBER(Checks!$AD$403),TEXT(Checks!$AD$403,"DD-MMM-YY HH:MM"),"____________")&amp;" "&amp;Checks!$P$403&amp;CHAR(10)&amp;"Verifier: "&amp;IF(Checks!$AE$403="","____________",Checks!$AE$403)&amp;CHAR(10)&amp;"PIC: "&amp;IF(Checks!$T$403="","____________",Checks!$T$403))</f>
        <v>Done: ____________ KUL
Verifier: ____________
PIC: ____________</v>
      </c>
      <c r="H48" s="121" t="str">
        <f aca="false">IF(Checks!$AH$403="","",Checks!$AH$403)</f>
        <v>OPEN</v>
      </c>
    </row>
    <row r="49" customFormat="false" ht="124.5" hidden="false" customHeight="true" outlineLevel="0" collapsed="false">
      <c r="A49" s="120" t="str">
        <f aca="false">Checks!$A$404&amp;CHAR(10)&amp;IF(Checks!$I$404="","",Checks!$I$404&amp;": ")&amp;Checks!$J$404</f>
        <v>F12-T12-15
F&amp;B Linen: Trolley cloth - prepared</v>
      </c>
      <c r="B49" s="120" t="str">
        <f aca="false">SUBSTITUTE(SUBSTITUTE(Checks!$K$404&amp;IF(Checks!$O$404="","",IF(Checks!$K$404="","",CHAR(10))&amp;"Note: "&amp;Checks!$O$404),"Per note F&amp;B LINEN!B79:C80.","Per the F&amp;B LINEN reference note."),"note F&amp;B LINEN!B79:C80","the F&amp;B LINEN reference note")</f>
        <v>Wide body: Top/Middle &amp; Bottom
Note: Per the F&amp;B LINEN reference note. Reference gives no uplift stn for this item: preparation checked at the meal uplift stn (KUL) - confirm with caterer.</v>
      </c>
      <c r="C49" s="120" t="str">
        <f aca="false">Checks!$N$404&amp;CHAR(10)&amp;IF(ISNUMBER(Checks!$R$404),TEXT(Checks!$R$404,"DD-MMM-YY HH:MM"),"")&amp;" "&amp;Checks!$P$404</f>
        <v>Required
12-Oct-26 10:25 KUL</v>
      </c>
      <c r="D49" s="120" t="str">
        <f aca="false">IF(TRIM(Checks!$U$404)&lt;&gt;"",Checks!$U$404&amp;IF(Checks!$AB$404="","",CHAR(10)&amp;"CA: "&amp;Checks!$AB$404),IF(LEFT(Checks!$AH$404,10)="N/A – RULE","","[ ] Pass"&amp;CHAR(10)&amp;"[ ] Pass after CA"&amp;CHAR(10)&amp;"[ ] Fail"&amp;IF(Checks!$AT$404=1,CHAR(10)&amp;"[ ] N/A","")&amp;CHAR(10)&amp;"CA: Open / Closed"))</f>
        <v>[ ] Pass
[ ] Pass after CA
[ ] Fail
CA: Open / Closed</v>
      </c>
      <c r="E49" s="120" t="str">
        <f aca="false">IF(Checks!$V$404="","",Checks!$V$404)&amp;IF(Checks!$AC$404="","",IF(Checks!$V$404="","",CHAR(10))&amp;"N/A just.: "&amp;Checks!$AC$404)&amp;IF(OR(Checks!$W$404&lt;&gt;"",AND(Checks!$AQ$404=1,NOT(LEFT(Checks!$AH$404,10)="N/A – RULE"))),CHAR(10)&amp;"Batch: "&amp;IF(Checks!$W$404="","____________",Checks!$W$404),"")&amp;IF(OR(Checks!$X$404&lt;&gt;"",Checks!$Y$404&lt;&gt;"",AND(Checks!$AR$404=1,NOT(LEFT(Checks!$AH$404,10)="N/A – RULE"))),CHAR(10)&amp;"Exp: "&amp;IF(Checks!$X$404="","______",Checks!$X$404)&amp;"  /  Act: "&amp;IF(Checks!$Y$404="","______",Checks!$Y$404),"")</f>
        <v/>
      </c>
      <c r="F49" s="120" t="str">
        <f aca="false">IF(AND(LEFT(Checks!$AH$404,10)="N/A – RULE",TRIM(Checks!$S$404&amp;Checks!$Z$404)=""),"","Type: "&amp;IF(TRIM(Checks!$S$404)="","______________ (see cover list)",Checks!$S$404)&amp;CHAR(10)&amp;"ID: "&amp;IF(TRIM(Checks!$Z$404)="","______________ (record's own no.)",Checks!$Z$404))&amp;IF(Checks!$AA$404="","",CHAR(10)&amp;"CA: "&amp;Checks!$AA$404)</f>
        <v>Type: ______________ (see cover list)
ID: ______________ (record's own no.)</v>
      </c>
      <c r="G49" s="120" t="str">
        <f aca="false">IF(AND(LEFT(Checks!$AH$404,10)="N/A – RULE",NOT(ISNUMBER(Checks!$AD$404)),Checks!$AE$404="",Checks!$T$404=""),"","Done: "&amp;IF(ISNUMBER(Checks!$AD$404),TEXT(Checks!$AD$404,"DD-MMM-YY HH:MM"),"____________")&amp;" "&amp;Checks!$P$404&amp;CHAR(10)&amp;"Verifier: "&amp;IF(Checks!$AE$404="","____________",Checks!$AE$404)&amp;CHAR(10)&amp;"PIC: "&amp;IF(Checks!$T$404="","____________",Checks!$T$404))</f>
        <v>Done: ____________ KUL
Verifier: ____________
PIC: ____________</v>
      </c>
      <c r="H49" s="121" t="str">
        <f aca="false">IF(Checks!$AH$404="","",Checks!$AH$404)</f>
        <v>OPEN</v>
      </c>
    </row>
    <row r="50" customFormat="false" ht="114" hidden="false" customHeight="true" outlineLevel="0" collapsed="false">
      <c r="A50" s="120" t="str">
        <f aca="false">Checks!$A$405&amp;CHAR(10)&amp;IF(Checks!$I$405="","",Checks!$I$405&amp;": ")&amp;Checks!$J$405</f>
        <v>F12-T12-16
F&amp;B Linen: Linen bag - prepared</v>
      </c>
      <c r="B50" s="120" t="str">
        <f aca="false">Checks!$K$405&amp;IF(Checks!$O$405="","",IF(Checks!$K$405="","",CHAR(10))&amp;"Note: "&amp;Checks!$O$405)</f>
        <v>Available (ticked in reference)
Note: Reference gives no uplift stn for this item: preparation checked at the meal uplift stn (KUL) - confirm with caterer.</v>
      </c>
      <c r="C50" s="120" t="str">
        <f aca="false">Checks!$N$405&amp;CHAR(10)&amp;IF(ISNUMBER(Checks!$R$405),TEXT(Checks!$R$405,"DD-MMM-YY HH:MM"),"")&amp;" "&amp;Checks!$P$405</f>
        <v>Required
12-Oct-26 10:25 KUL</v>
      </c>
      <c r="D50" s="120" t="str">
        <f aca="false">IF(TRIM(Checks!$U$405)&lt;&gt;"",Checks!$U$405&amp;IF(Checks!$AB$405="","",CHAR(10)&amp;"CA: "&amp;Checks!$AB$405),IF(LEFT(Checks!$AH$405,10)="N/A – RULE","","[ ] Pass"&amp;CHAR(10)&amp;"[ ] Pass after CA"&amp;CHAR(10)&amp;"[ ] Fail"&amp;IF(Checks!$AT$405=1,CHAR(10)&amp;"[ ] N/A","")&amp;CHAR(10)&amp;"CA: Open / Closed"))</f>
        <v>[ ] Pass
[ ] Pass after CA
[ ] Fail
CA: Open / Closed</v>
      </c>
      <c r="E50" s="120" t="str">
        <f aca="false">IF(Checks!$V$405="","",Checks!$V$405)&amp;IF(Checks!$AC$405="","",IF(Checks!$V$405="","",CHAR(10))&amp;"N/A just.: "&amp;Checks!$AC$405)&amp;IF(OR(Checks!$W$405&lt;&gt;"",AND(Checks!$AQ$405=1,NOT(LEFT(Checks!$AH$405,10)="N/A – RULE"))),CHAR(10)&amp;"Batch: "&amp;IF(Checks!$W$405="","____________",Checks!$W$405),"")&amp;IF(OR(Checks!$X$405&lt;&gt;"",Checks!$Y$405&lt;&gt;"",AND(Checks!$AR$405=1,NOT(LEFT(Checks!$AH$405,10)="N/A – RULE"))),CHAR(10)&amp;"Exp: "&amp;IF(Checks!$X$405="","______",Checks!$X$405)&amp;"  /  Act: "&amp;IF(Checks!$Y$405="","______",Checks!$Y$405),"")</f>
        <v/>
      </c>
      <c r="F50" s="120" t="str">
        <f aca="false">IF(AND(LEFT(Checks!$AH$405,10)="N/A – RULE",TRIM(Checks!$S$405&amp;Checks!$Z$405)=""),"","Type: "&amp;IF(TRIM(Checks!$S$405)="","______________ (see cover list)",Checks!$S$405)&amp;CHAR(10)&amp;"ID: "&amp;IF(TRIM(Checks!$Z$405)="","______________ (record's own no.)",Checks!$Z$405))&amp;IF(Checks!$AA$405="","",CHAR(10)&amp;"CA: "&amp;Checks!$AA$405)</f>
        <v>Type: ______________ (see cover list)
ID: ______________ (record's own no.)</v>
      </c>
      <c r="G50" s="120" t="str">
        <f aca="false">IF(AND(LEFT(Checks!$AH$405,10)="N/A – RULE",NOT(ISNUMBER(Checks!$AD$405)),Checks!$AE$405="",Checks!$T$405=""),"","Done: "&amp;IF(ISNUMBER(Checks!$AD$405),TEXT(Checks!$AD$405,"DD-MMM-YY HH:MM"),"____________")&amp;" "&amp;Checks!$P$405&amp;CHAR(10)&amp;"Verifier: "&amp;IF(Checks!$AE$405="","____________",Checks!$AE$405)&amp;CHAR(10)&amp;"PIC: "&amp;IF(Checks!$T$405="","____________",Checks!$T$405))</f>
        <v>Done: ____________ KUL
Verifier: ____________
PIC: ____________</v>
      </c>
      <c r="H50" s="121" t="str">
        <f aca="false">IF(Checks!$AH$405="","",Checks!$AH$405)</f>
        <v>OPEN</v>
      </c>
    </row>
    <row r="51" customFormat="false" ht="114" hidden="false" customHeight="true" outlineLevel="0" collapsed="false">
      <c r="A51" s="120" t="str">
        <f aca="false">Checks!$A$406&amp;CHAR(10)&amp;IF(Checks!$I$406="","",Checks!$I$406&amp;": ")&amp;Checks!$J$406</f>
        <v>F12-T12-17
Seat Linen: Seat pillow (BS &amp; BC) - prepared</v>
      </c>
      <c r="B51" s="120" t="str">
        <f aca="false">Checks!$K$406&amp;IF(Checks!$O$406="","",IF(Checks!$K$406="","",CHAR(10))&amp;"Note: "&amp;Checks!$O$406)</f>
        <v>Available 100% (ticked in reference)
Note: Reference gives no uplift stn for this item: preparation checked at the meal uplift stn (KUL) - confirm with caterer.</v>
      </c>
      <c r="C51" s="120" t="str">
        <f aca="false">Checks!$N$406&amp;CHAR(10)&amp;IF(ISNUMBER(Checks!$R$406),TEXT(Checks!$R$406,"DD-MMM-YY HH:MM"),"")&amp;" "&amp;Checks!$P$406</f>
        <v>Required
12-Oct-26 10:25 KUL</v>
      </c>
      <c r="D51" s="120" t="str">
        <f aca="false">IF(TRIM(Checks!$U$406)&lt;&gt;"",Checks!$U$406&amp;IF(Checks!$AB$406="","",CHAR(10)&amp;"CA: "&amp;Checks!$AB$406),IF(LEFT(Checks!$AH$406,10)="N/A – RULE","","[ ] Pass"&amp;CHAR(10)&amp;"[ ] Pass after CA"&amp;CHAR(10)&amp;"[ ] Fail"&amp;IF(Checks!$AT$406=1,CHAR(10)&amp;"[ ] N/A","")&amp;CHAR(10)&amp;"CA: Open / Closed"))</f>
        <v>[ ] Pass
[ ] Pass after CA
[ ] Fail
CA: Open / Closed</v>
      </c>
      <c r="E51" s="120" t="str">
        <f aca="false">IF(Checks!$V$406="","",Checks!$V$406)&amp;IF(Checks!$AC$406="","",IF(Checks!$V$406="","",CHAR(10))&amp;"N/A just.: "&amp;Checks!$AC$406)&amp;IF(OR(Checks!$W$406&lt;&gt;"",AND(Checks!$AQ$406=1,NOT(LEFT(Checks!$AH$406,10)="N/A – RULE"))),CHAR(10)&amp;"Batch: "&amp;IF(Checks!$W$406="","____________",Checks!$W$406),"")&amp;IF(OR(Checks!$X$406&lt;&gt;"",Checks!$Y$406&lt;&gt;"",AND(Checks!$AR$406=1,NOT(LEFT(Checks!$AH$406,10)="N/A – RULE"))),CHAR(10)&amp;"Exp: "&amp;IF(Checks!$X$406="","______",Checks!$X$406)&amp;"  /  Act: "&amp;IF(Checks!$Y$406="","______",Checks!$Y$406),"")</f>
        <v/>
      </c>
      <c r="F51" s="120" t="str">
        <f aca="false">IF(AND(LEFT(Checks!$AH$406,10)="N/A – RULE",TRIM(Checks!$S$406&amp;Checks!$Z$406)=""),"","Type: "&amp;IF(TRIM(Checks!$S$406)="","______________ (see cover list)",Checks!$S$406)&amp;CHAR(10)&amp;"ID: "&amp;IF(TRIM(Checks!$Z$406)="","______________ (record's own no.)",Checks!$Z$406))&amp;IF(Checks!$AA$406="","",CHAR(10)&amp;"CA: "&amp;Checks!$AA$406)</f>
        <v>Type: ______________ (see cover list)
ID: ______________ (record's own no.)</v>
      </c>
      <c r="G51" s="120" t="str">
        <f aca="false">IF(AND(LEFT(Checks!$AH$406,10)="N/A – RULE",NOT(ISNUMBER(Checks!$AD$406)),Checks!$AE$406="",Checks!$T$406=""),"","Done: "&amp;IF(ISNUMBER(Checks!$AD$406),TEXT(Checks!$AD$406,"DD-MMM-YY HH:MM"),"____________")&amp;" "&amp;Checks!$P$406&amp;CHAR(10)&amp;"Verifier: "&amp;IF(Checks!$AE$406="","____________",Checks!$AE$406)&amp;CHAR(10)&amp;"PIC: "&amp;IF(Checks!$T$406="","____________",Checks!$T$406))</f>
        <v>Done: ____________ KUL
Verifier: ____________
PIC: ____________</v>
      </c>
      <c r="H51" s="121" t="str">
        <f aca="false">IF(Checks!$AH$406="","",Checks!$AH$406)</f>
        <v>OPEN</v>
      </c>
    </row>
    <row r="52" customFormat="false" ht="114" hidden="false" customHeight="true" outlineLevel="0" collapsed="false">
      <c r="A52" s="120" t="str">
        <f aca="false">Checks!$A$407&amp;CHAR(10)&amp;IF(Checks!$I$407="","",Checks!$I$407&amp;": ")&amp;Checks!$J$407</f>
        <v>F12-T12-18
Seat Linen: Duvet (BS &amp; BC) - prepared</v>
      </c>
      <c r="B52" s="120" t="str">
        <f aca="false">Checks!$K$407&amp;IF(Checks!$O$407="","",IF(Checks!$K$407="","",CHAR(10))&amp;"Note: "&amp;Checks!$O$407)</f>
        <v>Available 100% (ticked in reference)
Note: Reference gives no uplift stn for this item: preparation checked at the meal uplift stn (KUL) - confirm with caterer.</v>
      </c>
      <c r="C52" s="120" t="str">
        <f aca="false">Checks!$N$407&amp;CHAR(10)&amp;IF(ISNUMBER(Checks!$R$407),TEXT(Checks!$R$407,"DD-MMM-YY HH:MM"),"")&amp;" "&amp;Checks!$P$407</f>
        <v>Required
12-Oct-26 10:25 KUL</v>
      </c>
      <c r="D52" s="120" t="str">
        <f aca="false">IF(TRIM(Checks!$U$407)&lt;&gt;"",Checks!$U$407&amp;IF(Checks!$AB$407="","",CHAR(10)&amp;"CA: "&amp;Checks!$AB$407),IF(LEFT(Checks!$AH$407,10)="N/A – RULE","","[ ] Pass"&amp;CHAR(10)&amp;"[ ] Pass after CA"&amp;CHAR(10)&amp;"[ ] Fail"&amp;IF(Checks!$AT$407=1,CHAR(10)&amp;"[ ] N/A","")&amp;CHAR(10)&amp;"CA: Open / Closed"))</f>
        <v>[ ] Pass
[ ] Pass after CA
[ ] Fail
CA: Open / Closed</v>
      </c>
      <c r="E52" s="120" t="str">
        <f aca="false">IF(Checks!$V$407="","",Checks!$V$407)&amp;IF(Checks!$AC$407="","",IF(Checks!$V$407="","",CHAR(10))&amp;"N/A just.: "&amp;Checks!$AC$407)&amp;IF(OR(Checks!$W$407&lt;&gt;"",AND(Checks!$AQ$407=1,NOT(LEFT(Checks!$AH$407,10)="N/A – RULE"))),CHAR(10)&amp;"Batch: "&amp;IF(Checks!$W$407="","____________",Checks!$W$407),"")&amp;IF(OR(Checks!$X$407&lt;&gt;"",Checks!$Y$407&lt;&gt;"",AND(Checks!$AR$407=1,NOT(LEFT(Checks!$AH$407,10)="N/A – RULE"))),CHAR(10)&amp;"Exp: "&amp;IF(Checks!$X$407="","______",Checks!$X$407)&amp;"  /  Act: "&amp;IF(Checks!$Y$407="","______",Checks!$Y$407),"")</f>
        <v/>
      </c>
      <c r="F52" s="120" t="str">
        <f aca="false">IF(AND(LEFT(Checks!$AH$407,10)="N/A – RULE",TRIM(Checks!$S$407&amp;Checks!$Z$407)=""),"","Type: "&amp;IF(TRIM(Checks!$S$407)="","______________ (see cover list)",Checks!$S$407)&amp;CHAR(10)&amp;"ID: "&amp;IF(TRIM(Checks!$Z$407)="","______________ (record's own no.)",Checks!$Z$407))&amp;IF(Checks!$AA$407="","",CHAR(10)&amp;"CA: "&amp;Checks!$AA$407)</f>
        <v>Type: ______________ (see cover list)
ID: ______________ (record's own no.)</v>
      </c>
      <c r="G52" s="120" t="str">
        <f aca="false">IF(AND(LEFT(Checks!$AH$407,10)="N/A – RULE",NOT(ISNUMBER(Checks!$AD$407)),Checks!$AE$407="",Checks!$T$407=""),"","Done: "&amp;IF(ISNUMBER(Checks!$AD$407),TEXT(Checks!$AD$407,"DD-MMM-YY HH:MM"),"____________")&amp;" "&amp;Checks!$P$407&amp;CHAR(10)&amp;"Verifier: "&amp;IF(Checks!$AE$407="","____________",Checks!$AE$407)&amp;CHAR(10)&amp;"PIC: "&amp;IF(Checks!$T$407="","____________",Checks!$T$407))</f>
        <v>Done: ____________ KUL
Verifier: ____________
PIC: ____________</v>
      </c>
      <c r="H52" s="121" t="str">
        <f aca="false">IF(Checks!$AH$407="","",Checks!$AH$407)</f>
        <v>OPEN</v>
      </c>
    </row>
    <row r="53" customFormat="false" ht="114" hidden="false" customHeight="true" outlineLevel="0" collapsed="false">
      <c r="A53" s="120" t="str">
        <f aca="false">Checks!$A$408&amp;CHAR(10)&amp;IF(Checks!$I$408="","",Checks!$I$408&amp;": ")&amp;Checks!$J$408</f>
        <v>F12-T12-19
Seat Linen: Mattress (BS &amp; BC) - prepared</v>
      </c>
      <c r="B53" s="120" t="str">
        <f aca="false">Checks!$K$408&amp;IF(Checks!$O$408="","",IF(Checks!$K$408="","",CHAR(10))&amp;"Note: "&amp;Checks!$O$408)</f>
        <v>Available 100% (ticked in reference)
Note: Reference gives no uplift stn for this item: preparation checked at the meal uplift stn (KUL) - confirm with caterer.</v>
      </c>
      <c r="C53" s="120" t="str">
        <f aca="false">Checks!$N$408&amp;CHAR(10)&amp;IF(ISNUMBER(Checks!$R$408),TEXT(Checks!$R$408,"DD-MMM-YY HH:MM"),"")&amp;" "&amp;Checks!$P$408</f>
        <v>Required
12-Oct-26 10:25 KUL</v>
      </c>
      <c r="D53" s="120" t="str">
        <f aca="false">IF(TRIM(Checks!$U$408)&lt;&gt;"",Checks!$U$408&amp;IF(Checks!$AB$408="","",CHAR(10)&amp;"CA: "&amp;Checks!$AB$408),IF(LEFT(Checks!$AH$408,10)="N/A – RULE","","[ ] Pass"&amp;CHAR(10)&amp;"[ ] Pass after CA"&amp;CHAR(10)&amp;"[ ] Fail"&amp;IF(Checks!$AT$408=1,CHAR(10)&amp;"[ ] N/A","")&amp;CHAR(10)&amp;"CA: Open / Closed"))</f>
        <v>[ ] Pass
[ ] Pass after CA
[ ] Fail
CA: Open / Closed</v>
      </c>
      <c r="E53" s="120" t="str">
        <f aca="false">IF(Checks!$V$408="","",Checks!$V$408)&amp;IF(Checks!$AC$408="","",IF(Checks!$V$408="","",CHAR(10))&amp;"N/A just.: "&amp;Checks!$AC$408)&amp;IF(OR(Checks!$W$408&lt;&gt;"",AND(Checks!$AQ$408=1,NOT(LEFT(Checks!$AH$408,10)="N/A – RULE"))),CHAR(10)&amp;"Batch: "&amp;IF(Checks!$W$408="","____________",Checks!$W$408),"")&amp;IF(OR(Checks!$X$408&lt;&gt;"",Checks!$Y$408&lt;&gt;"",AND(Checks!$AR$408=1,NOT(LEFT(Checks!$AH$408,10)="N/A – RULE"))),CHAR(10)&amp;"Exp: "&amp;IF(Checks!$X$408="","______",Checks!$X$408)&amp;"  /  Act: "&amp;IF(Checks!$Y$408="","______",Checks!$Y$408),"")</f>
        <v/>
      </c>
      <c r="F53" s="120" t="str">
        <f aca="false">IF(AND(LEFT(Checks!$AH$408,10)="N/A – RULE",TRIM(Checks!$S$408&amp;Checks!$Z$408)=""),"","Type: "&amp;IF(TRIM(Checks!$S$408)="","______________ (see cover list)",Checks!$S$408)&amp;CHAR(10)&amp;"ID: "&amp;IF(TRIM(Checks!$Z$408)="","______________ (record's own no.)",Checks!$Z$408))&amp;IF(Checks!$AA$408="","",CHAR(10)&amp;"CA: "&amp;Checks!$AA$408)</f>
        <v>Type: ______________ (see cover list)
ID: ______________ (record's own no.)</v>
      </c>
      <c r="G53" s="120" t="str">
        <f aca="false">IF(AND(LEFT(Checks!$AH$408,10)="N/A – RULE",NOT(ISNUMBER(Checks!$AD$408)),Checks!$AE$408="",Checks!$T$408=""),"","Done: "&amp;IF(ISNUMBER(Checks!$AD$408),TEXT(Checks!$AD$408,"DD-MMM-YY HH:MM"),"____________")&amp;" "&amp;Checks!$P$408&amp;CHAR(10)&amp;"Verifier: "&amp;IF(Checks!$AE$408="","____________",Checks!$AE$408)&amp;CHAR(10)&amp;"PIC: "&amp;IF(Checks!$T$408="","____________",Checks!$T$408))</f>
        <v>Done: ____________ KUL
Verifier: ____________
PIC: ____________</v>
      </c>
      <c r="H53" s="121" t="str">
        <f aca="false">IF(Checks!$AH$408="","",Checks!$AH$408)</f>
        <v>OPEN</v>
      </c>
    </row>
    <row r="54" customFormat="false" ht="114" hidden="false" customHeight="true" outlineLevel="0" collapsed="false">
      <c r="A54" s="120" t="str">
        <f aca="false">Checks!$A$409&amp;CHAR(10)&amp;IF(Checks!$I$409="","",Checks!$I$409&amp;": ")&amp;Checks!$J$409</f>
        <v>F12-T12-20
Signature Drinks: Signature drink &amp; garnish (BC) - prepared</v>
      </c>
      <c r="B54" s="120" t="str">
        <f aca="false">SUBSTITUTE(Checks!$K$409&amp;IF(Checks!$O$409="","",IF(Checks!$K$409="","",CHAR(10))&amp;"Note: "&amp;Checks!$O$409)," (note D79)","")</f>
        <v>Available (ticked in reference)
Note: Signature drinks &amp; garnish uplifted from KUL.</v>
      </c>
      <c r="C54" s="120" t="str">
        <f aca="false">Checks!$N$409&amp;CHAR(10)&amp;IF(ISNUMBER(Checks!$R$409),TEXT(Checks!$R$409,"DD-MMM-YY HH:MM"),"")&amp;" "&amp;Checks!$P$409</f>
        <v>Required
12-Oct-26 10:25 KUL</v>
      </c>
      <c r="D54" s="120" t="str">
        <f aca="false">IF(TRIM(Checks!$U$409)&lt;&gt;"",Checks!$U$409&amp;IF(Checks!$AB$409="","",CHAR(10)&amp;"CA: "&amp;Checks!$AB$409),IF(LEFT(Checks!$AH$409,10)="N/A – RULE","","[ ] Pass"&amp;CHAR(10)&amp;"[ ] Pass after CA"&amp;CHAR(10)&amp;"[ ] Fail"&amp;IF(Checks!$AT$409=1,CHAR(10)&amp;"[ ] N/A","")&amp;CHAR(10)&amp;"CA: Open / Closed"))</f>
        <v>[ ] Pass
[ ] Pass after CA
[ ] Fail
CA: Open / Closed</v>
      </c>
      <c r="E54" s="120" t="str">
        <f aca="false">IF(Checks!$V$409="","",Checks!$V$409)&amp;IF(Checks!$AC$409="","",IF(Checks!$V$409="","",CHAR(10))&amp;"N/A just.: "&amp;Checks!$AC$409)&amp;IF(OR(Checks!$W$409&lt;&gt;"",AND(Checks!$AQ$409=1,NOT(LEFT(Checks!$AH$409,10)="N/A – RULE"))),CHAR(10)&amp;"Batch: "&amp;IF(Checks!$W$409="","____________",Checks!$W$409),"")&amp;IF(OR(Checks!$X$409&lt;&gt;"",Checks!$Y$409&lt;&gt;"",AND(Checks!$AR$409=1,NOT(LEFT(Checks!$AH$409,10)="N/A – RULE"))),CHAR(10)&amp;"Exp: "&amp;IF(Checks!$X$409="","______",Checks!$X$409)&amp;"  /  Act: "&amp;IF(Checks!$Y$409="","______",Checks!$Y$409),"")</f>
        <v/>
      </c>
      <c r="F54" s="120" t="str">
        <f aca="false">IF(AND(LEFT(Checks!$AH$409,10)="N/A – RULE",TRIM(Checks!$S$409&amp;Checks!$Z$409)=""),"","Type: "&amp;IF(TRIM(Checks!$S$409)="","______________ (see cover list)",Checks!$S$409)&amp;CHAR(10)&amp;"ID: "&amp;IF(TRIM(Checks!$Z$409)="","______________ (record's own no.)",Checks!$Z$409))&amp;IF(Checks!$AA$409="","",CHAR(10)&amp;"CA: "&amp;Checks!$AA$409)</f>
        <v>Type: ______________ (see cover list)
ID: ______________ (record's own no.)</v>
      </c>
      <c r="G54" s="120" t="str">
        <f aca="false">IF(AND(LEFT(Checks!$AH$409,10)="N/A – RULE",NOT(ISNUMBER(Checks!$AD$409)),Checks!$AE$409="",Checks!$T$409=""),"","Done: "&amp;IF(ISNUMBER(Checks!$AD$409),TEXT(Checks!$AD$409,"DD-MMM-YY HH:MM"),"____________")&amp;" "&amp;Checks!$P$409&amp;CHAR(10)&amp;"Verifier: "&amp;IF(Checks!$AE$409="","____________",Checks!$AE$409)&amp;CHAR(10)&amp;"PIC: "&amp;IF(Checks!$T$409="","____________",Checks!$T$409))</f>
        <v>Done: ____________ KUL
Verifier: ____________
PIC: ____________</v>
      </c>
      <c r="H54" s="121" t="str">
        <f aca="false">IF(Checks!$AH$409="","",Checks!$AH$409)</f>
        <v>OPEN</v>
      </c>
    </row>
    <row r="55" customFormat="false" ht="114" hidden="false" customHeight="true" outlineLevel="0" collapsed="false">
      <c r="A55" s="120" t="str">
        <f aca="false">Checks!$A$410&amp;CHAR(10)&amp;IF(Checks!$I$410="","",Checks!$I$410&amp;": ")&amp;Checks!$J$410</f>
        <v>F12-T12-21
Sales Cart: Sales cart (caterer PASB) - prepared</v>
      </c>
      <c r="B55" s="120" t="str">
        <f aca="false">Checks!$K$410&amp;IF(Checks!$O$410="","",IF(Checks!$K$410="","",CHAR(10))&amp;"Note: "&amp;Checks!$O$410)</f>
        <v>Location 241 &amp; 947 (A339)
Note: Block 7.08 h &gt;= 4 h. Reference gives no uplift stn for this item: preparation checked at the meal uplift stn (KUL) - confirm with caterer.</v>
      </c>
      <c r="C55" s="120" t="str">
        <f aca="false">Checks!$N$410&amp;CHAR(10)&amp;IF(ISNUMBER(Checks!$R$410),TEXT(Checks!$R$410,"DD-MMM-YY HH:MM"),"")&amp;" "&amp;Checks!$P$410</f>
        <v>Required
12-Oct-26 10:25 KUL</v>
      </c>
      <c r="D55" s="120" t="str">
        <f aca="false">IF(TRIM(Checks!$U$410)&lt;&gt;"",Checks!$U$410&amp;IF(Checks!$AB$410="","",CHAR(10)&amp;"CA: "&amp;Checks!$AB$410),IF(LEFT(Checks!$AH$410,10)="N/A – RULE","","[ ] Pass"&amp;CHAR(10)&amp;"[ ] Pass after CA"&amp;CHAR(10)&amp;"[ ] Fail"&amp;IF(Checks!$AT$410=1,CHAR(10)&amp;"[ ] N/A","")&amp;CHAR(10)&amp;"CA: Open / Closed"))</f>
        <v>[ ] Pass
[ ] Pass after CA
[ ] Fail
CA: Open / Closed</v>
      </c>
      <c r="E55" s="120" t="str">
        <f aca="false">IF(Checks!$V$410="","",Checks!$V$410)&amp;IF(Checks!$AC$410="","",IF(Checks!$V$410="","",CHAR(10))&amp;"N/A just.: "&amp;Checks!$AC$410)&amp;IF(OR(Checks!$W$410&lt;&gt;"",AND(Checks!$AQ$410=1,NOT(LEFT(Checks!$AH$410,10)="N/A – RULE"))),CHAR(10)&amp;"Batch: "&amp;IF(Checks!$W$410="","____________",Checks!$W$410),"")&amp;IF(OR(Checks!$X$410&lt;&gt;"",Checks!$Y$410&lt;&gt;"",AND(Checks!$AR$410=1,NOT(LEFT(Checks!$AH$410,10)="N/A – RULE"))),CHAR(10)&amp;"Exp: "&amp;IF(Checks!$X$410="","______",Checks!$X$410)&amp;"  /  Act: "&amp;IF(Checks!$Y$410="","______",Checks!$Y$410),"")</f>
        <v/>
      </c>
      <c r="F55" s="120" t="str">
        <f aca="false">IF(AND(LEFT(Checks!$AH$410,10)="N/A – RULE",TRIM(Checks!$S$410&amp;Checks!$Z$410)=""),"","Type: "&amp;IF(TRIM(Checks!$S$410)="","______________ (see cover list)",Checks!$S$410)&amp;CHAR(10)&amp;"ID: "&amp;IF(TRIM(Checks!$Z$410)="","______________ (record's own no.)",Checks!$Z$410))&amp;IF(Checks!$AA$410="","",CHAR(10)&amp;"CA: "&amp;Checks!$AA$410)</f>
        <v>Type: ______________ (see cover list)
ID: ______________ (record's own no.)</v>
      </c>
      <c r="G55" s="120" t="str">
        <f aca="false">IF(AND(LEFT(Checks!$AH$410,10)="N/A – RULE",NOT(ISNUMBER(Checks!$AD$410)),Checks!$AE$410="",Checks!$T$410=""),"","Done: "&amp;IF(ISNUMBER(Checks!$AD$410),TEXT(Checks!$AD$410,"DD-MMM-YY HH:MM"),"____________")&amp;" "&amp;Checks!$P$410&amp;CHAR(10)&amp;"Verifier: "&amp;IF(Checks!$AE$410="","____________",Checks!$AE$410)&amp;CHAR(10)&amp;"PIC: "&amp;IF(Checks!$T$410="","____________",Checks!$T$410))</f>
        <v>Done: ____________ KUL
Verifier: ____________
PIC: ____________</v>
      </c>
      <c r="H55" s="121" t="str">
        <f aca="false">IF(Checks!$AH$410="","",Checks!$AH$410)</f>
        <v>OPEN</v>
      </c>
    </row>
    <row r="56" customFormat="false" ht="25.5" hidden="false" customHeight="true" outlineLevel="0" collapsed="false">
      <c r="A56" s="119" t="str">
        <f aca="false">"UPLIFT — Physical uplift – on-board confirmation before departure  |  Due "&amp;"STD "&amp;IF(ISNUMBER(Flights!$I$16),TEXT(Flights!$I$16,"DD-MMM-YY HH:MM"),"")&amp;" "&amp;Flights!$G$16&amp;" (departure stn)"&amp;" (rows with another due show their own)  |  Complete "&amp;IF(ISNUMBER(Flights!$AM$16),TEXT(Flights!$AM$16,"0%"),Flights!$AM$16)&amp;"  |  16 lines"</f>
        <v>UPLIFT — Physical uplift – on-board confirmation before departure  |  Due STD 12-Oct-26 22:25 KUL (departure stn) (rows with another due show their own)  |  Complete 0%  |  16 lines</v>
      </c>
      <c r="B56" s="119"/>
      <c r="C56" s="119"/>
      <c r="D56" s="119"/>
      <c r="E56" s="119"/>
      <c r="F56" s="119"/>
      <c r="G56" s="119"/>
      <c r="H56" s="119"/>
    </row>
    <row r="57" customFormat="false" ht="114" hidden="false" customHeight="true" outlineLevel="0" collapsed="false">
      <c r="A57" s="120" t="str">
        <f aca="false">Checks!$A$411&amp;CHAR(10)&amp;IF(Checks!$I$411="","",Checks!$I$411&amp;": ")&amp;Checks!$J$411</f>
        <v>F12-UPL-01
Meal: Meals physically uplifted on board - quantity vs menu checklist</v>
      </c>
      <c r="B57" s="120" t="str">
        <f aca="false">Checks!$K$411&amp;IF(Checks!$O$411="","",IF(Checks!$K$411="","",CHAR(10))&amp;"Note: "&amp;Checks!$O$411)</f>
        <v>Enter expected &amp; actual
Note: Confirm on board before departure; completion time must fall inside the uplift window.</v>
      </c>
      <c r="C57" s="120" t="str">
        <f aca="false">Checks!$N$411&amp;CHAR(10)&amp;IF(ISNUMBER(Checks!$R$411),TEXT(Checks!$R$411,"DD-MMM-YY HH:MM"),"")&amp;" "&amp;Checks!$P$411</f>
        <v>Required
12-Oct-26 22:25 KUL</v>
      </c>
      <c r="D57" s="120" t="str">
        <f aca="false">IF(TRIM(Checks!$U$411)&lt;&gt;"",Checks!$U$411&amp;IF(Checks!$AB$411="","",CHAR(10)&amp;"CA: "&amp;Checks!$AB$411),IF(LEFT(Checks!$AH$411,10)="N/A – RULE","","[ ] Pass"&amp;CHAR(10)&amp;"[ ] Pass after CA"&amp;CHAR(10)&amp;"[ ] Fail"&amp;IF(Checks!$AT$411=1,CHAR(10)&amp;"[ ] N/A","")&amp;CHAR(10)&amp;"CA: Open / Closed"))</f>
        <v>[ ] Pass
[ ] Pass after CA
[ ] Fail
CA: Open / Closed</v>
      </c>
      <c r="E57" s="120" t="str">
        <f aca="false">IF(Checks!$V$411="","",Checks!$V$411)&amp;IF(Checks!$AC$411="","",IF(Checks!$V$411="","",CHAR(10))&amp;"N/A just.: "&amp;Checks!$AC$411)&amp;IF(OR(Checks!$W$411&lt;&gt;"",AND(Checks!$AQ$411=1,NOT(LEFT(Checks!$AH$411,10)="N/A – RULE"))),CHAR(10)&amp;"Batch: "&amp;IF(Checks!$W$411="","____________",Checks!$W$411),"")&amp;IF(OR(Checks!$X$411&lt;&gt;"",Checks!$Y$411&lt;&gt;"",AND(Checks!$AR$411=1,NOT(LEFT(Checks!$AH$411,10)="N/A – RULE"))),CHAR(10)&amp;"Exp: "&amp;IF(Checks!$X$411="","______",Checks!$X$411)&amp;"  /  Act: "&amp;IF(Checks!$Y$411="","______",Checks!$Y$411),"")</f>
        <v>
Exp: ______  /  Act: ______</v>
      </c>
      <c r="F57" s="120" t="str">
        <f aca="false">IF(AND(LEFT(Checks!$AH$411,10)="N/A – RULE",TRIM(Checks!$S$411&amp;Checks!$Z$411)=""),"","Type: "&amp;IF(TRIM(Checks!$S$411)="","______________ (see cover list)",Checks!$S$411)&amp;CHAR(10)&amp;"ID: "&amp;IF(TRIM(Checks!$Z$411)="","______________ (record's own no.)",Checks!$Z$411))&amp;IF(Checks!$AA$411="","",CHAR(10)&amp;"CA: "&amp;Checks!$AA$411)</f>
        <v>Type: ______________ (see cover list)
ID: ______________ (record's own no.)</v>
      </c>
      <c r="G57" s="120" t="str">
        <f aca="false">IF(AND(LEFT(Checks!$AH$411,10)="N/A – RULE",NOT(ISNUMBER(Checks!$AD$411)),Checks!$AE$411="",Checks!$T$411=""),"","Done: "&amp;IF(ISNUMBER(Checks!$AD$411),TEXT(Checks!$AD$411,"DD-MMM-YY HH:MM"),"____________")&amp;" "&amp;Checks!$P$411&amp;CHAR(10)&amp;"Verifier: "&amp;IF(Checks!$AE$411="","____________",Checks!$AE$411)&amp;CHAR(10)&amp;"PIC: "&amp;IF(Checks!$T$411="","____________",Checks!$T$411))</f>
        <v>Done: ____________ KUL
Verifier: ____________
PIC: ____________</v>
      </c>
      <c r="H57" s="121" t="str">
        <f aca="false">IF(Checks!$AH$411="","",Checks!$AH$411)</f>
        <v>OPEN</v>
      </c>
    </row>
    <row r="58" customFormat="false" ht="114" hidden="false" customHeight="true" outlineLevel="0" collapsed="false">
      <c r="A58" s="120" t="str">
        <f aca="false">Checks!$A$412&amp;CHAR(10)&amp;IF(Checks!$I$412="","",Checks!$I$412&amp;": ")&amp;Checks!$J$412</f>
        <v>F12-UPL-02
Equipment: Equipment physically loaded at GLD positions - quantity &amp; positions</v>
      </c>
      <c r="B58" s="120" t="str">
        <f aca="false">Checks!$K$412&amp;IF(Checks!$O$412="","",IF(Checks!$K$412="","",CHAR(10))&amp;"Note: "&amp;Checks!$O$412)</f>
        <v>Enter expected &amp; actual
Note: Confirm on board before departure; completion time must fall inside the uplift window.</v>
      </c>
      <c r="C58" s="120" t="str">
        <f aca="false">Checks!$N$412&amp;CHAR(10)&amp;IF(ISNUMBER(Checks!$R$412),TEXT(Checks!$R$412,"DD-MMM-YY HH:MM"),"")&amp;" "&amp;Checks!$P$412</f>
        <v>Required
12-Oct-26 22:25 KUL</v>
      </c>
      <c r="D58" s="120" t="str">
        <f aca="false">IF(TRIM(Checks!$U$412)&lt;&gt;"",Checks!$U$412&amp;IF(Checks!$AB$412="","",CHAR(10)&amp;"CA: "&amp;Checks!$AB$412),IF(LEFT(Checks!$AH$412,10)="N/A – RULE","","[ ] Pass"&amp;CHAR(10)&amp;"[ ] Pass after CA"&amp;CHAR(10)&amp;"[ ] Fail"&amp;IF(Checks!$AT$412=1,CHAR(10)&amp;"[ ] N/A","")&amp;CHAR(10)&amp;"CA: Open / Closed"))</f>
        <v>[ ] Pass
[ ] Pass after CA
[ ] Fail
CA: Open / Closed</v>
      </c>
      <c r="E58" s="120" t="str">
        <f aca="false">IF(Checks!$V$412="","",Checks!$V$412)&amp;IF(Checks!$AC$412="","",IF(Checks!$V$412="","",CHAR(10))&amp;"N/A just.: "&amp;Checks!$AC$412)&amp;IF(OR(Checks!$W$412&lt;&gt;"",AND(Checks!$AQ$412=1,NOT(LEFT(Checks!$AH$412,10)="N/A – RULE"))),CHAR(10)&amp;"Batch: "&amp;IF(Checks!$W$412="","____________",Checks!$W$412),"")&amp;IF(OR(Checks!$X$412&lt;&gt;"",Checks!$Y$412&lt;&gt;"",AND(Checks!$AR$412=1,NOT(LEFT(Checks!$AH$412,10)="N/A – RULE"))),CHAR(10)&amp;"Exp: "&amp;IF(Checks!$X$412="","______",Checks!$X$412)&amp;"  /  Act: "&amp;IF(Checks!$Y$412="","______",Checks!$Y$412),"")</f>
        <v>
Exp: ______  /  Act: ______</v>
      </c>
      <c r="F58" s="120" t="str">
        <f aca="false">IF(AND(LEFT(Checks!$AH$412,10)="N/A – RULE",TRIM(Checks!$S$412&amp;Checks!$Z$412)=""),"","Type: "&amp;IF(TRIM(Checks!$S$412)="","______________ (see cover list)",Checks!$S$412)&amp;CHAR(10)&amp;"ID: "&amp;IF(TRIM(Checks!$Z$412)="","______________ (record's own no.)",Checks!$Z$412))&amp;IF(Checks!$AA$412="","",CHAR(10)&amp;"CA: "&amp;Checks!$AA$412)</f>
        <v>Type: ______________ (see cover list)
ID: ______________ (record's own no.)</v>
      </c>
      <c r="G58" s="120" t="str">
        <f aca="false">IF(AND(LEFT(Checks!$AH$412,10)="N/A – RULE",NOT(ISNUMBER(Checks!$AD$412)),Checks!$AE$412="",Checks!$T$412=""),"","Done: "&amp;IF(ISNUMBER(Checks!$AD$412),TEXT(Checks!$AD$412,"DD-MMM-YY HH:MM"),"____________")&amp;" "&amp;Checks!$P$412&amp;CHAR(10)&amp;"Verifier: "&amp;IF(Checks!$AE$412="","____________",Checks!$AE$412)&amp;CHAR(10)&amp;"PIC: "&amp;IF(Checks!$T$412="","____________",Checks!$T$412))</f>
        <v>Done: ____________ KUL
Verifier: ____________
PIC: ____________</v>
      </c>
      <c r="H58" s="121" t="str">
        <f aca="false">IF(Checks!$AH$412="","",Checks!$AH$412)</f>
        <v>OPEN</v>
      </c>
    </row>
    <row r="59" customFormat="false" ht="114" hidden="false" customHeight="true" outlineLevel="0" collapsed="false">
      <c r="A59" s="120" t="str">
        <f aca="false">Checks!$A$413&amp;CHAR(10)&amp;IF(Checks!$I$413="","",Checks!$I$413&amp;": ")&amp;Checks!$J$413</f>
        <v>F12-UPL-03
Amenities: Toiletry kits - on board</v>
      </c>
      <c r="B59" s="120" t="str">
        <f aca="false">Checks!$K$413&amp;IF(Checks!$O$413="","",IF(Checks!$K$413="","",CHAR(10))&amp;"Note: "&amp;Checks!$O$413)</f>
        <v>Available (ticked in reference)</v>
      </c>
      <c r="C59" s="120" t="str">
        <f aca="false">Checks!$N$413&amp;CHAR(10)&amp;IF(ISNUMBER(Checks!$R$413),TEXT(Checks!$R$413,"DD-MMM-YY HH:MM"),"")&amp;" "&amp;Checks!$P$413</f>
        <v>Required
12-Oct-26 22:25 KUL</v>
      </c>
      <c r="D59" s="120" t="str">
        <f aca="false">IF(TRIM(Checks!$U$413)&lt;&gt;"",Checks!$U$413&amp;IF(Checks!$AB$413="","",CHAR(10)&amp;"CA: "&amp;Checks!$AB$413),IF(LEFT(Checks!$AH$413,10)="N/A – RULE","","[ ] Pass"&amp;CHAR(10)&amp;"[ ] Pass after CA"&amp;CHAR(10)&amp;"[ ] Fail"&amp;IF(Checks!$AT$413=1,CHAR(10)&amp;"[ ] N/A","")&amp;CHAR(10)&amp;"CA: Open / Closed"))</f>
        <v>[ ] Pass
[ ] Pass after CA
[ ] Fail
CA: Open / Closed</v>
      </c>
      <c r="E59" s="120" t="str">
        <f aca="false">IF(Checks!$V$413="","",Checks!$V$413)&amp;IF(Checks!$AC$413="","",IF(Checks!$V$413="","",CHAR(10))&amp;"N/A just.: "&amp;Checks!$AC$413)&amp;IF(OR(Checks!$W$413&lt;&gt;"",AND(Checks!$AQ$413=1,NOT(LEFT(Checks!$AH$413,10)="N/A – RULE"))),CHAR(10)&amp;"Batch: "&amp;IF(Checks!$W$413="","____________",Checks!$W$413),"")&amp;IF(OR(Checks!$X$413&lt;&gt;"",Checks!$Y$413&lt;&gt;"",AND(Checks!$AR$413=1,NOT(LEFT(Checks!$AH$413,10)="N/A – RULE"))),CHAR(10)&amp;"Exp: "&amp;IF(Checks!$X$413="","______",Checks!$X$413)&amp;"  /  Act: "&amp;IF(Checks!$Y$413="","______",Checks!$Y$413),"")</f>
        <v/>
      </c>
      <c r="F59" s="120" t="str">
        <f aca="false">IF(AND(LEFT(Checks!$AH$413,10)="N/A – RULE",TRIM(Checks!$S$413&amp;Checks!$Z$413)=""),"","Type: "&amp;IF(TRIM(Checks!$S$413)="","______________ (see cover list)",Checks!$S$413)&amp;CHAR(10)&amp;"ID: "&amp;IF(TRIM(Checks!$Z$413)="","______________ (record's own no.)",Checks!$Z$413))&amp;IF(Checks!$AA$413="","",CHAR(10)&amp;"CA: "&amp;Checks!$AA$413)</f>
        <v>Type: ______________ (see cover list)
ID: ______________ (record's own no.)</v>
      </c>
      <c r="G59" s="120" t="str">
        <f aca="false">IF(AND(LEFT(Checks!$AH$413,10)="N/A – RULE",NOT(ISNUMBER(Checks!$AD$413)),Checks!$AE$413="",Checks!$T$413=""),"","Done: "&amp;IF(ISNUMBER(Checks!$AD$413),TEXT(Checks!$AD$413,"DD-MMM-YY HH:MM"),"____________")&amp;" "&amp;Checks!$P$413&amp;CHAR(10)&amp;"Verifier: "&amp;IF(Checks!$AE$413="","____________",Checks!$AE$413)&amp;CHAR(10)&amp;"PIC: "&amp;IF(Checks!$T$413="","____________",Checks!$T$413))</f>
        <v>Done: ____________ KUL
Verifier: ____________
PIC: ____________</v>
      </c>
      <c r="H59" s="121" t="str">
        <f aca="false">IF(Checks!$AH$413="","",Checks!$AH$413)</f>
        <v>OPEN</v>
      </c>
    </row>
    <row r="60" customFormat="false" ht="114" hidden="false" customHeight="true" outlineLevel="0" collapsed="false">
      <c r="A60" s="120" t="str">
        <f aca="false">Checks!$A$414&amp;CHAR(10)&amp;IF(Checks!$I$414="","",Checks!$I$414&amp;": ")&amp;Checks!$J$414</f>
        <v>F12-UPL-04
Amenities: Slippers (BS/BC) - on board</v>
      </c>
      <c r="B60" s="120" t="str">
        <f aca="false">Checks!$K$414&amp;IF(Checks!$O$414="","",IF(Checks!$K$414="","",CHAR(10))&amp;"Note: "&amp;Checks!$O$414)</f>
        <v>Available (ticked in reference)</v>
      </c>
      <c r="C60" s="120" t="str">
        <f aca="false">Checks!$N$414&amp;CHAR(10)&amp;IF(ISNUMBER(Checks!$R$414),TEXT(Checks!$R$414,"DD-MMM-YY HH:MM"),"")&amp;" "&amp;Checks!$P$414</f>
        <v>Required
12-Oct-26 22:25 KUL</v>
      </c>
      <c r="D60" s="120" t="str">
        <f aca="false">IF(TRIM(Checks!$U$414)&lt;&gt;"",Checks!$U$414&amp;IF(Checks!$AB$414="","",CHAR(10)&amp;"CA: "&amp;Checks!$AB$414),IF(LEFT(Checks!$AH$414,10)="N/A – RULE","","[ ] Pass"&amp;CHAR(10)&amp;"[ ] Pass after CA"&amp;CHAR(10)&amp;"[ ] Fail"&amp;IF(Checks!$AT$414=1,CHAR(10)&amp;"[ ] N/A","")&amp;CHAR(10)&amp;"CA: Open / Closed"))</f>
        <v>[ ] Pass
[ ] Pass after CA
[ ] Fail
CA: Open / Closed</v>
      </c>
      <c r="E60" s="120" t="str">
        <f aca="false">IF(Checks!$V$414="","",Checks!$V$414)&amp;IF(Checks!$AC$414="","",IF(Checks!$V$414="","",CHAR(10))&amp;"N/A just.: "&amp;Checks!$AC$414)&amp;IF(OR(Checks!$W$414&lt;&gt;"",AND(Checks!$AQ$414=1,NOT(LEFT(Checks!$AH$414,10)="N/A – RULE"))),CHAR(10)&amp;"Batch: "&amp;IF(Checks!$W$414="","____________",Checks!$W$414),"")&amp;IF(OR(Checks!$X$414&lt;&gt;"",Checks!$Y$414&lt;&gt;"",AND(Checks!$AR$414=1,NOT(LEFT(Checks!$AH$414,10)="N/A – RULE"))),CHAR(10)&amp;"Exp: "&amp;IF(Checks!$X$414="","______",Checks!$X$414)&amp;"  /  Act: "&amp;IF(Checks!$Y$414="","______",Checks!$Y$414),"")</f>
        <v/>
      </c>
      <c r="F60" s="120" t="str">
        <f aca="false">IF(AND(LEFT(Checks!$AH$414,10)="N/A – RULE",TRIM(Checks!$S$414&amp;Checks!$Z$414)=""),"","Type: "&amp;IF(TRIM(Checks!$S$414)="","______________ (see cover list)",Checks!$S$414)&amp;CHAR(10)&amp;"ID: "&amp;IF(TRIM(Checks!$Z$414)="","______________ (record's own no.)",Checks!$Z$414))&amp;IF(Checks!$AA$414="","",CHAR(10)&amp;"CA: "&amp;Checks!$AA$414)</f>
        <v>Type: ______________ (see cover list)
ID: ______________ (record's own no.)</v>
      </c>
      <c r="G60" s="120" t="str">
        <f aca="false">IF(AND(LEFT(Checks!$AH$414,10)="N/A – RULE",NOT(ISNUMBER(Checks!$AD$414)),Checks!$AE$414="",Checks!$T$414=""),"","Done: "&amp;IF(ISNUMBER(Checks!$AD$414),TEXT(Checks!$AD$414,"DD-MMM-YY HH:MM"),"____________")&amp;" "&amp;Checks!$P$414&amp;CHAR(10)&amp;"Verifier: "&amp;IF(Checks!$AE$414="","____________",Checks!$AE$414)&amp;CHAR(10)&amp;"PIC: "&amp;IF(Checks!$T$414="","____________",Checks!$T$414))</f>
        <v>Done: ____________ KUL
Verifier: ____________
PIC: ____________</v>
      </c>
      <c r="H60" s="121" t="str">
        <f aca="false">IF(Checks!$AH$414="","",Checks!$AH$414)</f>
        <v>OPEN</v>
      </c>
    </row>
    <row r="61" customFormat="false" ht="114" hidden="false" customHeight="true" outlineLevel="0" collapsed="false">
      <c r="A61" s="120" t="str">
        <f aca="false">Checks!$A$415&amp;CHAR(10)&amp;IF(Checks!$I$415="","",Checks!$I$415&amp;": ")&amp;Checks!$J$415</f>
        <v>F12-UPL-05
F&amp;B Linen: Towel - on board</v>
      </c>
      <c r="B61" s="120" t="str">
        <f aca="false">Checks!$K$415&amp;IF(Checks!$O$415="","",IF(Checks!$K$415="","",CHAR(10))&amp;"Note: "&amp;Checks!$O$415)</f>
        <v>Available (ticked in reference)</v>
      </c>
      <c r="C61" s="120" t="str">
        <f aca="false">Checks!$N$415&amp;CHAR(10)&amp;IF(ISNUMBER(Checks!$R$415),TEXT(Checks!$R$415,"DD-MMM-YY HH:MM"),"")&amp;" "&amp;Checks!$P$415</f>
        <v>Required
12-Oct-26 22:25 KUL</v>
      </c>
      <c r="D61" s="120" t="str">
        <f aca="false">IF(TRIM(Checks!$U$415)&lt;&gt;"",Checks!$U$415&amp;IF(Checks!$AB$415="","",CHAR(10)&amp;"CA: "&amp;Checks!$AB$415),IF(LEFT(Checks!$AH$415,10)="N/A – RULE","","[ ] Pass"&amp;CHAR(10)&amp;"[ ] Pass after CA"&amp;CHAR(10)&amp;"[ ] Fail"&amp;IF(Checks!$AT$415=1,CHAR(10)&amp;"[ ] N/A","")&amp;CHAR(10)&amp;"CA: Open / Closed"))</f>
        <v>[ ] Pass
[ ] Pass after CA
[ ] Fail
CA: Open / Closed</v>
      </c>
      <c r="E61" s="120" t="str">
        <f aca="false">IF(Checks!$V$415="","",Checks!$V$415)&amp;IF(Checks!$AC$415="","",IF(Checks!$V$415="","",CHAR(10))&amp;"N/A just.: "&amp;Checks!$AC$415)&amp;IF(OR(Checks!$W$415&lt;&gt;"",AND(Checks!$AQ$415=1,NOT(LEFT(Checks!$AH$415,10)="N/A – RULE"))),CHAR(10)&amp;"Batch: "&amp;IF(Checks!$W$415="","____________",Checks!$W$415),"")&amp;IF(OR(Checks!$X$415&lt;&gt;"",Checks!$Y$415&lt;&gt;"",AND(Checks!$AR$415=1,NOT(LEFT(Checks!$AH$415,10)="N/A – RULE"))),CHAR(10)&amp;"Exp: "&amp;IF(Checks!$X$415="","______",Checks!$X$415)&amp;"  /  Act: "&amp;IF(Checks!$Y$415="","______",Checks!$Y$415),"")</f>
        <v/>
      </c>
      <c r="F61" s="120" t="str">
        <f aca="false">IF(AND(LEFT(Checks!$AH$415,10)="N/A – RULE",TRIM(Checks!$S$415&amp;Checks!$Z$415)=""),"","Type: "&amp;IF(TRIM(Checks!$S$415)="","______________ (see cover list)",Checks!$S$415)&amp;CHAR(10)&amp;"ID: "&amp;IF(TRIM(Checks!$Z$415)="","______________ (record's own no.)",Checks!$Z$415))&amp;IF(Checks!$AA$415="","",CHAR(10)&amp;"CA: "&amp;Checks!$AA$415)</f>
        <v>Type: ______________ (see cover list)
ID: ______________ (record's own no.)</v>
      </c>
      <c r="G61" s="120" t="str">
        <f aca="false">IF(AND(LEFT(Checks!$AH$415,10)="N/A – RULE",NOT(ISNUMBER(Checks!$AD$415)),Checks!$AE$415="",Checks!$T$415=""),"","Done: "&amp;IF(ISNUMBER(Checks!$AD$415),TEXT(Checks!$AD$415,"DD-MMM-YY HH:MM"),"____________")&amp;" "&amp;Checks!$P$415&amp;CHAR(10)&amp;"Verifier: "&amp;IF(Checks!$AE$415="","____________",Checks!$AE$415)&amp;CHAR(10)&amp;"PIC: "&amp;IF(Checks!$T$415="","____________",Checks!$T$415))</f>
        <v>Done: ____________ KUL
Verifier: ____________
PIC: ____________</v>
      </c>
      <c r="H61" s="121" t="str">
        <f aca="false">IF(Checks!$AH$415="","",Checks!$AH$415)</f>
        <v>OPEN</v>
      </c>
    </row>
    <row r="62" customFormat="false" ht="114" hidden="false" customHeight="true" outlineLevel="0" collapsed="false">
      <c r="A62" s="120" t="str">
        <f aca="false">Checks!$A$416&amp;CHAR(10)&amp;IF(Checks!$I$416="","",Checks!$I$416&amp;": ")&amp;Checks!$J$416</f>
        <v>F12-UPL-06
F&amp;B Linen: Tray cloth - on board</v>
      </c>
      <c r="B62" s="120" t="str">
        <f aca="false">Checks!$K$416&amp;IF(Checks!$O$416="","",IF(Checks!$K$416="","",CHAR(10))&amp;"Note: "&amp;Checks!$O$416)</f>
        <v>Available (ticked in reference)</v>
      </c>
      <c r="C62" s="120" t="str">
        <f aca="false">Checks!$N$416&amp;CHAR(10)&amp;IF(ISNUMBER(Checks!$R$416),TEXT(Checks!$R$416,"DD-MMM-YY HH:MM"),"")&amp;" "&amp;Checks!$P$416</f>
        <v>Required
12-Oct-26 22:25 KUL</v>
      </c>
      <c r="D62" s="120" t="str">
        <f aca="false">IF(TRIM(Checks!$U$416)&lt;&gt;"",Checks!$U$416&amp;IF(Checks!$AB$416="","",CHAR(10)&amp;"CA: "&amp;Checks!$AB$416),IF(LEFT(Checks!$AH$416,10)="N/A – RULE","","[ ] Pass"&amp;CHAR(10)&amp;"[ ] Pass after CA"&amp;CHAR(10)&amp;"[ ] Fail"&amp;IF(Checks!$AT$416=1,CHAR(10)&amp;"[ ] N/A","")&amp;CHAR(10)&amp;"CA: Open / Closed"))</f>
        <v>[ ] Pass
[ ] Pass after CA
[ ] Fail
CA: Open / Closed</v>
      </c>
      <c r="E62" s="120" t="str">
        <f aca="false">IF(Checks!$V$416="","",Checks!$V$416)&amp;IF(Checks!$AC$416="","",IF(Checks!$V$416="","",CHAR(10))&amp;"N/A just.: "&amp;Checks!$AC$416)&amp;IF(OR(Checks!$W$416&lt;&gt;"",AND(Checks!$AQ$416=1,NOT(LEFT(Checks!$AH$416,10)="N/A – RULE"))),CHAR(10)&amp;"Batch: "&amp;IF(Checks!$W$416="","____________",Checks!$W$416),"")&amp;IF(OR(Checks!$X$416&lt;&gt;"",Checks!$Y$416&lt;&gt;"",AND(Checks!$AR$416=1,NOT(LEFT(Checks!$AH$416,10)="N/A – RULE"))),CHAR(10)&amp;"Exp: "&amp;IF(Checks!$X$416="","______",Checks!$X$416)&amp;"  /  Act: "&amp;IF(Checks!$Y$416="","______",Checks!$Y$416),"")</f>
        <v/>
      </c>
      <c r="F62" s="120" t="str">
        <f aca="false">IF(AND(LEFT(Checks!$AH$416,10)="N/A – RULE",TRIM(Checks!$S$416&amp;Checks!$Z$416)=""),"","Type: "&amp;IF(TRIM(Checks!$S$416)="","______________ (see cover list)",Checks!$S$416)&amp;CHAR(10)&amp;"ID: "&amp;IF(TRIM(Checks!$Z$416)="","______________ (record's own no.)",Checks!$Z$416))&amp;IF(Checks!$AA$416="","",CHAR(10)&amp;"CA: "&amp;Checks!$AA$416)</f>
        <v>Type: ______________ (see cover list)
ID: ______________ (record's own no.)</v>
      </c>
      <c r="G62" s="120" t="str">
        <f aca="false">IF(AND(LEFT(Checks!$AH$416,10)="N/A – RULE",NOT(ISNUMBER(Checks!$AD$416)),Checks!$AE$416="",Checks!$T$416=""),"","Done: "&amp;IF(ISNUMBER(Checks!$AD$416),TEXT(Checks!$AD$416,"DD-MMM-YY HH:MM"),"____________")&amp;" "&amp;Checks!$P$416&amp;CHAR(10)&amp;"Verifier: "&amp;IF(Checks!$AE$416="","____________",Checks!$AE$416)&amp;CHAR(10)&amp;"PIC: "&amp;IF(Checks!$T$416="","____________",Checks!$T$416))</f>
        <v>Done: ____________ KUL
Verifier: ____________
PIC: ____________</v>
      </c>
      <c r="H62" s="121" t="str">
        <f aca="false">IF(Checks!$AH$416="","",Checks!$AH$416)</f>
        <v>OPEN</v>
      </c>
    </row>
    <row r="63" customFormat="false" ht="114" hidden="false" customHeight="true" outlineLevel="0" collapsed="false">
      <c r="A63" s="120" t="str">
        <f aca="false">Checks!$A$417&amp;CHAR(10)&amp;IF(Checks!$I$417="","",Checks!$I$417&amp;": ")&amp;Checks!$J$417</f>
        <v>F12-UPL-07
F&amp;B Linen: Napkin - on board</v>
      </c>
      <c r="B63" s="120" t="str">
        <f aca="false">Checks!$K$417&amp;IF(Checks!$O$417="","",IF(Checks!$K$417="","",CHAR(10))&amp;"Note: "&amp;Checks!$O$417)</f>
        <v>Available (ticked in reference)</v>
      </c>
      <c r="C63" s="120" t="str">
        <f aca="false">Checks!$N$417&amp;CHAR(10)&amp;IF(ISNUMBER(Checks!$R$417),TEXT(Checks!$R$417,"DD-MMM-YY HH:MM"),"")&amp;" "&amp;Checks!$P$417</f>
        <v>Required
12-Oct-26 22:25 KUL</v>
      </c>
      <c r="D63" s="120" t="str">
        <f aca="false">IF(TRIM(Checks!$U$417)&lt;&gt;"",Checks!$U$417&amp;IF(Checks!$AB$417="","",CHAR(10)&amp;"CA: "&amp;Checks!$AB$417),IF(LEFT(Checks!$AH$417,10)="N/A – RULE","","[ ] Pass"&amp;CHAR(10)&amp;"[ ] Pass after CA"&amp;CHAR(10)&amp;"[ ] Fail"&amp;IF(Checks!$AT$417=1,CHAR(10)&amp;"[ ] N/A","")&amp;CHAR(10)&amp;"CA: Open / Closed"))</f>
        <v>[ ] Pass
[ ] Pass after CA
[ ] Fail
CA: Open / Closed</v>
      </c>
      <c r="E63" s="120" t="str">
        <f aca="false">IF(Checks!$V$417="","",Checks!$V$417)&amp;IF(Checks!$AC$417="","",IF(Checks!$V$417="","",CHAR(10))&amp;"N/A just.: "&amp;Checks!$AC$417)&amp;IF(OR(Checks!$W$417&lt;&gt;"",AND(Checks!$AQ$417=1,NOT(LEFT(Checks!$AH$417,10)="N/A – RULE"))),CHAR(10)&amp;"Batch: "&amp;IF(Checks!$W$417="","____________",Checks!$W$417),"")&amp;IF(OR(Checks!$X$417&lt;&gt;"",Checks!$Y$417&lt;&gt;"",AND(Checks!$AR$417=1,NOT(LEFT(Checks!$AH$417,10)="N/A – RULE"))),CHAR(10)&amp;"Exp: "&amp;IF(Checks!$X$417="","______",Checks!$X$417)&amp;"  /  Act: "&amp;IF(Checks!$Y$417="","______",Checks!$Y$417),"")</f>
        <v/>
      </c>
      <c r="F63" s="120" t="str">
        <f aca="false">IF(AND(LEFT(Checks!$AH$417,10)="N/A – RULE",TRIM(Checks!$S$417&amp;Checks!$Z$417)=""),"","Type: "&amp;IF(TRIM(Checks!$S$417)="","______________ (see cover list)",Checks!$S$417)&amp;CHAR(10)&amp;"ID: "&amp;IF(TRIM(Checks!$Z$417)="","______________ (record's own no.)",Checks!$Z$417))&amp;IF(Checks!$AA$417="","",CHAR(10)&amp;"CA: "&amp;Checks!$AA$417)</f>
        <v>Type: ______________ (see cover list)
ID: ______________ (record's own no.)</v>
      </c>
      <c r="G63" s="120" t="str">
        <f aca="false">IF(AND(LEFT(Checks!$AH$417,10)="N/A – RULE",NOT(ISNUMBER(Checks!$AD$417)),Checks!$AE$417="",Checks!$T$417=""),"","Done: "&amp;IF(ISNUMBER(Checks!$AD$417),TEXT(Checks!$AD$417,"DD-MMM-YY HH:MM"),"____________")&amp;" "&amp;Checks!$P$417&amp;CHAR(10)&amp;"Verifier: "&amp;IF(Checks!$AE$417="","____________",Checks!$AE$417)&amp;CHAR(10)&amp;"PIC: "&amp;IF(Checks!$T$417="","____________",Checks!$T$417))</f>
        <v>Done: ____________ KUL
Verifier: ____________
PIC: ____________</v>
      </c>
      <c r="H63" s="121" t="str">
        <f aca="false">IF(Checks!$AH$417="","",Checks!$AH$417)</f>
        <v>OPEN</v>
      </c>
    </row>
    <row r="64" customFormat="false" ht="114" hidden="false" customHeight="true" outlineLevel="0" collapsed="false">
      <c r="A64" s="120" t="str">
        <f aca="false">Checks!$A$418&amp;CHAR(10)&amp;IF(Checks!$I$418="","",Checks!$I$418&amp;": ")&amp;Checks!$J$418</f>
        <v>F12-UPL-08
F&amp;B Linen: Table cloth - on board</v>
      </c>
      <c r="B64" s="120" t="str">
        <f aca="false">Checks!$K$418&amp;IF(Checks!$O$418="","",IF(Checks!$K$418="","",CHAR(10))&amp;"Note: "&amp;Checks!$O$418)</f>
        <v>Available (ticked in reference)</v>
      </c>
      <c r="C64" s="120" t="str">
        <f aca="false">Checks!$N$418&amp;CHAR(10)&amp;IF(ISNUMBER(Checks!$R$418),TEXT(Checks!$R$418,"DD-MMM-YY HH:MM"),"")&amp;" "&amp;Checks!$P$418</f>
        <v>Required
12-Oct-26 22:25 KUL</v>
      </c>
      <c r="D64" s="120" t="str">
        <f aca="false">IF(TRIM(Checks!$U$418)&lt;&gt;"",Checks!$U$418&amp;IF(Checks!$AB$418="","",CHAR(10)&amp;"CA: "&amp;Checks!$AB$418),IF(LEFT(Checks!$AH$418,10)="N/A – RULE","","[ ] Pass"&amp;CHAR(10)&amp;"[ ] Pass after CA"&amp;CHAR(10)&amp;"[ ] Fail"&amp;IF(Checks!$AT$418=1,CHAR(10)&amp;"[ ] N/A","")&amp;CHAR(10)&amp;"CA: Open / Closed"))</f>
        <v>[ ] Pass
[ ] Pass after CA
[ ] Fail
CA: Open / Closed</v>
      </c>
      <c r="E64" s="120" t="str">
        <f aca="false">IF(Checks!$V$418="","",Checks!$V$418)&amp;IF(Checks!$AC$418="","",IF(Checks!$V$418="","",CHAR(10))&amp;"N/A just.: "&amp;Checks!$AC$418)&amp;IF(OR(Checks!$W$418&lt;&gt;"",AND(Checks!$AQ$418=1,NOT(LEFT(Checks!$AH$418,10)="N/A – RULE"))),CHAR(10)&amp;"Batch: "&amp;IF(Checks!$W$418="","____________",Checks!$W$418),"")&amp;IF(OR(Checks!$X$418&lt;&gt;"",Checks!$Y$418&lt;&gt;"",AND(Checks!$AR$418=1,NOT(LEFT(Checks!$AH$418,10)="N/A – RULE"))),CHAR(10)&amp;"Exp: "&amp;IF(Checks!$X$418="","______",Checks!$X$418)&amp;"  /  Act: "&amp;IF(Checks!$Y$418="","______",Checks!$Y$418),"")</f>
        <v/>
      </c>
      <c r="F64" s="120" t="str">
        <f aca="false">IF(AND(LEFT(Checks!$AH$418,10)="N/A – RULE",TRIM(Checks!$S$418&amp;Checks!$Z$418)=""),"","Type: "&amp;IF(TRIM(Checks!$S$418)="","______________ (see cover list)",Checks!$S$418)&amp;CHAR(10)&amp;"ID: "&amp;IF(TRIM(Checks!$Z$418)="","______________ (record's own no.)",Checks!$Z$418))&amp;IF(Checks!$AA$418="","",CHAR(10)&amp;"CA: "&amp;Checks!$AA$418)</f>
        <v>Type: ______________ (see cover list)
ID: ______________ (record's own no.)</v>
      </c>
      <c r="G64" s="120" t="str">
        <f aca="false">IF(AND(LEFT(Checks!$AH$418,10)="N/A – RULE",NOT(ISNUMBER(Checks!$AD$418)),Checks!$AE$418="",Checks!$T$418=""),"","Done: "&amp;IF(ISNUMBER(Checks!$AD$418),TEXT(Checks!$AD$418,"DD-MMM-YY HH:MM"),"____________")&amp;" "&amp;Checks!$P$418&amp;CHAR(10)&amp;"Verifier: "&amp;IF(Checks!$AE$418="","____________",Checks!$AE$418)&amp;CHAR(10)&amp;"PIC: "&amp;IF(Checks!$T$418="","____________",Checks!$T$418))</f>
        <v>Done: ____________ KUL
Verifier: ____________
PIC: ____________</v>
      </c>
      <c r="H64" s="121" t="str">
        <f aca="false">IF(Checks!$AH$418="","",Checks!$AH$418)</f>
        <v>OPEN</v>
      </c>
    </row>
    <row r="65" customFormat="false" ht="114" hidden="false" customHeight="true" outlineLevel="0" collapsed="false">
      <c r="A65" s="120" t="str">
        <f aca="false">Checks!$A$419&amp;CHAR(10)&amp;IF(Checks!$I$419="","",Checks!$I$419&amp;": ")&amp;Checks!$J$419</f>
        <v>F12-UPL-09
F&amp;B Linen: Bread linen (using table cloth) - on board</v>
      </c>
      <c r="B65" s="120" t="str">
        <f aca="false">Checks!$K$419&amp;IF(Checks!$O$419="","",IF(Checks!$K$419="","",CHAR(10))&amp;"Note: "&amp;Checks!$O$419)</f>
        <v>Available (ticked in reference)</v>
      </c>
      <c r="C65" s="120" t="str">
        <f aca="false">Checks!$N$419&amp;CHAR(10)&amp;IF(ISNUMBER(Checks!$R$419),TEXT(Checks!$R$419,"DD-MMM-YY HH:MM"),"")&amp;" "&amp;Checks!$P$419</f>
        <v>Required
12-Oct-26 22:25 KUL</v>
      </c>
      <c r="D65" s="120" t="str">
        <f aca="false">IF(TRIM(Checks!$U$419)&lt;&gt;"",Checks!$U$419&amp;IF(Checks!$AB$419="","",CHAR(10)&amp;"CA: "&amp;Checks!$AB$419),IF(LEFT(Checks!$AH$419,10)="N/A – RULE","","[ ] Pass"&amp;CHAR(10)&amp;"[ ] Pass after CA"&amp;CHAR(10)&amp;"[ ] Fail"&amp;IF(Checks!$AT$419=1,CHAR(10)&amp;"[ ] N/A","")&amp;CHAR(10)&amp;"CA: Open / Closed"))</f>
        <v>[ ] Pass
[ ] Pass after CA
[ ] Fail
CA: Open / Closed</v>
      </c>
      <c r="E65" s="120" t="str">
        <f aca="false">IF(Checks!$V$419="","",Checks!$V$419)&amp;IF(Checks!$AC$419="","",IF(Checks!$V$419="","",CHAR(10))&amp;"N/A just.: "&amp;Checks!$AC$419)&amp;IF(OR(Checks!$W$419&lt;&gt;"",AND(Checks!$AQ$419=1,NOT(LEFT(Checks!$AH$419,10)="N/A – RULE"))),CHAR(10)&amp;"Batch: "&amp;IF(Checks!$W$419="","____________",Checks!$W$419),"")&amp;IF(OR(Checks!$X$419&lt;&gt;"",Checks!$Y$419&lt;&gt;"",AND(Checks!$AR$419=1,NOT(LEFT(Checks!$AH$419,10)="N/A – RULE"))),CHAR(10)&amp;"Exp: "&amp;IF(Checks!$X$419="","______",Checks!$X$419)&amp;"  /  Act: "&amp;IF(Checks!$Y$419="","______",Checks!$Y$419),"")</f>
        <v/>
      </c>
      <c r="F65" s="120" t="str">
        <f aca="false">IF(AND(LEFT(Checks!$AH$419,10)="N/A – RULE",TRIM(Checks!$S$419&amp;Checks!$Z$419)=""),"","Type: "&amp;IF(TRIM(Checks!$S$419)="","______________ (see cover list)",Checks!$S$419)&amp;CHAR(10)&amp;"ID: "&amp;IF(TRIM(Checks!$Z$419)="","______________ (record's own no.)",Checks!$Z$419))&amp;IF(Checks!$AA$419="","",CHAR(10)&amp;"CA: "&amp;Checks!$AA$419)</f>
        <v>Type: ______________ (see cover list)
ID: ______________ (record's own no.)</v>
      </c>
      <c r="G65" s="120" t="str">
        <f aca="false">IF(AND(LEFT(Checks!$AH$419,10)="N/A – RULE",NOT(ISNUMBER(Checks!$AD$419)),Checks!$AE$419="",Checks!$T$419=""),"","Done: "&amp;IF(ISNUMBER(Checks!$AD$419),TEXT(Checks!$AD$419,"DD-MMM-YY HH:MM"),"____________")&amp;" "&amp;Checks!$P$419&amp;CHAR(10)&amp;"Verifier: "&amp;IF(Checks!$AE$419="","____________",Checks!$AE$419)&amp;CHAR(10)&amp;"PIC: "&amp;IF(Checks!$T$419="","____________",Checks!$T$419))</f>
        <v>Done: ____________ KUL
Verifier: ____________
PIC: ____________</v>
      </c>
      <c r="H65" s="121" t="str">
        <f aca="false">IF(Checks!$AH$419="","",Checks!$AH$419)</f>
        <v>OPEN</v>
      </c>
    </row>
    <row r="66" customFormat="false" ht="114" hidden="false" customHeight="true" outlineLevel="0" collapsed="false">
      <c r="A66" s="120" t="str">
        <f aca="false">Checks!$A$420&amp;CHAR(10)&amp;IF(Checks!$I$420="","",Checks!$I$420&amp;": ")&amp;Checks!$J$420</f>
        <v>F12-UPL-10
F&amp;B Linen: Trolley cloth - on board</v>
      </c>
      <c r="B66" s="120" t="str">
        <f aca="false">SUBSTITUTE(SUBSTITUTE(Checks!$K$420&amp;IF(Checks!$O$420="","",IF(Checks!$K$420="","",CHAR(10))&amp;"Note: "&amp;Checks!$O$420),"Per note F&amp;B LINEN!B79:C80.","Per the F&amp;B LINEN reference note."),"note F&amp;B LINEN!B79:C80","the F&amp;B LINEN reference note")</f>
        <v>Wide body: Top/Middle &amp; Bottom
Note: Per the F&amp;B LINEN reference note.</v>
      </c>
      <c r="C66" s="120" t="str">
        <f aca="false">Checks!$N$420&amp;CHAR(10)&amp;IF(ISNUMBER(Checks!$R$420),TEXT(Checks!$R$420,"DD-MMM-YY HH:MM"),"")&amp;" "&amp;Checks!$P$420</f>
        <v>Required
12-Oct-26 22:25 KUL</v>
      </c>
      <c r="D66" s="120" t="str">
        <f aca="false">IF(TRIM(Checks!$U$420)&lt;&gt;"",Checks!$U$420&amp;IF(Checks!$AB$420="","",CHAR(10)&amp;"CA: "&amp;Checks!$AB$420),IF(LEFT(Checks!$AH$420,10)="N/A – RULE","","[ ] Pass"&amp;CHAR(10)&amp;"[ ] Pass after CA"&amp;CHAR(10)&amp;"[ ] Fail"&amp;IF(Checks!$AT$420=1,CHAR(10)&amp;"[ ] N/A","")&amp;CHAR(10)&amp;"CA: Open / Closed"))</f>
        <v>[ ] Pass
[ ] Pass after CA
[ ] Fail
CA: Open / Closed</v>
      </c>
      <c r="E66" s="120" t="str">
        <f aca="false">IF(Checks!$V$420="","",Checks!$V$420)&amp;IF(Checks!$AC$420="","",IF(Checks!$V$420="","",CHAR(10))&amp;"N/A just.: "&amp;Checks!$AC$420)&amp;IF(OR(Checks!$W$420&lt;&gt;"",AND(Checks!$AQ$420=1,NOT(LEFT(Checks!$AH$420,10)="N/A – RULE"))),CHAR(10)&amp;"Batch: "&amp;IF(Checks!$W$420="","____________",Checks!$W$420),"")&amp;IF(OR(Checks!$X$420&lt;&gt;"",Checks!$Y$420&lt;&gt;"",AND(Checks!$AR$420=1,NOT(LEFT(Checks!$AH$420,10)="N/A – RULE"))),CHAR(10)&amp;"Exp: "&amp;IF(Checks!$X$420="","______",Checks!$X$420)&amp;"  /  Act: "&amp;IF(Checks!$Y$420="","______",Checks!$Y$420),"")</f>
        <v/>
      </c>
      <c r="F66" s="120" t="str">
        <f aca="false">IF(AND(LEFT(Checks!$AH$420,10)="N/A – RULE",TRIM(Checks!$S$420&amp;Checks!$Z$420)=""),"","Type: "&amp;IF(TRIM(Checks!$S$420)="","______________ (see cover list)",Checks!$S$420)&amp;CHAR(10)&amp;"ID: "&amp;IF(TRIM(Checks!$Z$420)="","______________ (record's own no.)",Checks!$Z$420))&amp;IF(Checks!$AA$420="","",CHAR(10)&amp;"CA: "&amp;Checks!$AA$420)</f>
        <v>Type: ______________ (see cover list)
ID: ______________ (record's own no.)</v>
      </c>
      <c r="G66" s="120" t="str">
        <f aca="false">IF(AND(LEFT(Checks!$AH$420,10)="N/A – RULE",NOT(ISNUMBER(Checks!$AD$420)),Checks!$AE$420="",Checks!$T$420=""),"","Done: "&amp;IF(ISNUMBER(Checks!$AD$420),TEXT(Checks!$AD$420,"DD-MMM-YY HH:MM"),"____________")&amp;" "&amp;Checks!$P$420&amp;CHAR(10)&amp;"Verifier: "&amp;IF(Checks!$AE$420="","____________",Checks!$AE$420)&amp;CHAR(10)&amp;"PIC: "&amp;IF(Checks!$T$420="","____________",Checks!$T$420))</f>
        <v>Done: ____________ KUL
Verifier: ____________
PIC: ____________</v>
      </c>
      <c r="H66" s="121" t="str">
        <f aca="false">IF(Checks!$AH$420="","",Checks!$AH$420)</f>
        <v>OPEN</v>
      </c>
    </row>
    <row r="67" customFormat="false" ht="114" hidden="false" customHeight="true" outlineLevel="0" collapsed="false">
      <c r="A67" s="120" t="str">
        <f aca="false">Checks!$A$421&amp;CHAR(10)&amp;IF(Checks!$I$421="","",Checks!$I$421&amp;": ")&amp;Checks!$J$421</f>
        <v>F12-UPL-11
F&amp;B Linen: Linen bag - on board</v>
      </c>
      <c r="B67" s="120" t="str">
        <f aca="false">Checks!$K$421&amp;IF(Checks!$O$421="","",IF(Checks!$K$421="","",CHAR(10))&amp;"Note: "&amp;Checks!$O$421)</f>
        <v>Available (ticked in reference)</v>
      </c>
      <c r="C67" s="120" t="str">
        <f aca="false">Checks!$N$421&amp;CHAR(10)&amp;IF(ISNUMBER(Checks!$R$421),TEXT(Checks!$R$421,"DD-MMM-YY HH:MM"),"")&amp;" "&amp;Checks!$P$421</f>
        <v>Required
12-Oct-26 22:25 KUL</v>
      </c>
      <c r="D67" s="120" t="str">
        <f aca="false">IF(TRIM(Checks!$U$421)&lt;&gt;"",Checks!$U$421&amp;IF(Checks!$AB$421="","",CHAR(10)&amp;"CA: "&amp;Checks!$AB$421),IF(LEFT(Checks!$AH$421,10)="N/A – RULE","","[ ] Pass"&amp;CHAR(10)&amp;"[ ] Pass after CA"&amp;CHAR(10)&amp;"[ ] Fail"&amp;IF(Checks!$AT$421=1,CHAR(10)&amp;"[ ] N/A","")&amp;CHAR(10)&amp;"CA: Open / Closed"))</f>
        <v>[ ] Pass
[ ] Pass after CA
[ ] Fail
CA: Open / Closed</v>
      </c>
      <c r="E67" s="120" t="str">
        <f aca="false">IF(Checks!$V$421="","",Checks!$V$421)&amp;IF(Checks!$AC$421="","",IF(Checks!$V$421="","",CHAR(10))&amp;"N/A just.: "&amp;Checks!$AC$421)&amp;IF(OR(Checks!$W$421&lt;&gt;"",AND(Checks!$AQ$421=1,NOT(LEFT(Checks!$AH$421,10)="N/A – RULE"))),CHAR(10)&amp;"Batch: "&amp;IF(Checks!$W$421="","____________",Checks!$W$421),"")&amp;IF(OR(Checks!$X$421&lt;&gt;"",Checks!$Y$421&lt;&gt;"",AND(Checks!$AR$421=1,NOT(LEFT(Checks!$AH$421,10)="N/A – RULE"))),CHAR(10)&amp;"Exp: "&amp;IF(Checks!$X$421="","______",Checks!$X$421)&amp;"  /  Act: "&amp;IF(Checks!$Y$421="","______",Checks!$Y$421),"")</f>
        <v/>
      </c>
      <c r="F67" s="120" t="str">
        <f aca="false">IF(AND(LEFT(Checks!$AH$421,10)="N/A – RULE",TRIM(Checks!$S$421&amp;Checks!$Z$421)=""),"","Type: "&amp;IF(TRIM(Checks!$S$421)="","______________ (see cover list)",Checks!$S$421)&amp;CHAR(10)&amp;"ID: "&amp;IF(TRIM(Checks!$Z$421)="","______________ (record's own no.)",Checks!$Z$421))&amp;IF(Checks!$AA$421="","",CHAR(10)&amp;"CA: "&amp;Checks!$AA$421)</f>
        <v>Type: ______________ (see cover list)
ID: ______________ (record's own no.)</v>
      </c>
      <c r="G67" s="120" t="str">
        <f aca="false">IF(AND(LEFT(Checks!$AH$421,10)="N/A – RULE",NOT(ISNUMBER(Checks!$AD$421)),Checks!$AE$421="",Checks!$T$421=""),"","Done: "&amp;IF(ISNUMBER(Checks!$AD$421),TEXT(Checks!$AD$421,"DD-MMM-YY HH:MM"),"____________")&amp;" "&amp;Checks!$P$421&amp;CHAR(10)&amp;"Verifier: "&amp;IF(Checks!$AE$421="","____________",Checks!$AE$421)&amp;CHAR(10)&amp;"PIC: "&amp;IF(Checks!$T$421="","____________",Checks!$T$421))</f>
        <v>Done: ____________ KUL
Verifier: ____________
PIC: ____________</v>
      </c>
      <c r="H67" s="121" t="str">
        <f aca="false">IF(Checks!$AH$421="","",Checks!$AH$421)</f>
        <v>OPEN</v>
      </c>
    </row>
    <row r="68" customFormat="false" ht="114" hidden="false" customHeight="true" outlineLevel="0" collapsed="false">
      <c r="A68" s="120" t="str">
        <f aca="false">Checks!$A$422&amp;CHAR(10)&amp;IF(Checks!$I$422="","",Checks!$I$422&amp;": ")&amp;Checks!$J$422</f>
        <v>F12-UPL-12
Seat Linen: Seat pillow (BS &amp; BC) - on board</v>
      </c>
      <c r="B68" s="120" t="str">
        <f aca="false">Checks!$K$422&amp;IF(Checks!$O$422="","",IF(Checks!$K$422="","",CHAR(10))&amp;"Note: "&amp;Checks!$O$422)</f>
        <v>Available 100% (ticked in reference)</v>
      </c>
      <c r="C68" s="120" t="str">
        <f aca="false">Checks!$N$422&amp;CHAR(10)&amp;IF(ISNUMBER(Checks!$R$422),TEXT(Checks!$R$422,"DD-MMM-YY HH:MM"),"")&amp;" "&amp;Checks!$P$422</f>
        <v>Required
12-Oct-26 22:25 KUL</v>
      </c>
      <c r="D68" s="120" t="str">
        <f aca="false">IF(TRIM(Checks!$U$422)&lt;&gt;"",Checks!$U$422&amp;IF(Checks!$AB$422="","",CHAR(10)&amp;"CA: "&amp;Checks!$AB$422),IF(LEFT(Checks!$AH$422,10)="N/A – RULE","","[ ] Pass"&amp;CHAR(10)&amp;"[ ] Pass after CA"&amp;CHAR(10)&amp;"[ ] Fail"&amp;IF(Checks!$AT$422=1,CHAR(10)&amp;"[ ] N/A","")&amp;CHAR(10)&amp;"CA: Open / Closed"))</f>
        <v>[ ] Pass
[ ] Pass after CA
[ ] Fail
CA: Open / Closed</v>
      </c>
      <c r="E68" s="120" t="str">
        <f aca="false">IF(Checks!$V$422="","",Checks!$V$422)&amp;IF(Checks!$AC$422="","",IF(Checks!$V$422="","",CHAR(10))&amp;"N/A just.: "&amp;Checks!$AC$422)&amp;IF(OR(Checks!$W$422&lt;&gt;"",AND(Checks!$AQ$422=1,NOT(LEFT(Checks!$AH$422,10)="N/A – RULE"))),CHAR(10)&amp;"Batch: "&amp;IF(Checks!$W$422="","____________",Checks!$W$422),"")&amp;IF(OR(Checks!$X$422&lt;&gt;"",Checks!$Y$422&lt;&gt;"",AND(Checks!$AR$422=1,NOT(LEFT(Checks!$AH$422,10)="N/A – RULE"))),CHAR(10)&amp;"Exp: "&amp;IF(Checks!$X$422="","______",Checks!$X$422)&amp;"  /  Act: "&amp;IF(Checks!$Y$422="","______",Checks!$Y$422),"")</f>
        <v/>
      </c>
      <c r="F68" s="120" t="str">
        <f aca="false">IF(AND(LEFT(Checks!$AH$422,10)="N/A – RULE",TRIM(Checks!$S$422&amp;Checks!$Z$422)=""),"","Type: "&amp;IF(TRIM(Checks!$S$422)="","______________ (see cover list)",Checks!$S$422)&amp;CHAR(10)&amp;"ID: "&amp;IF(TRIM(Checks!$Z$422)="","______________ (record's own no.)",Checks!$Z$422))&amp;IF(Checks!$AA$422="","",CHAR(10)&amp;"CA: "&amp;Checks!$AA$422)</f>
        <v>Type: ______________ (see cover list)
ID: ______________ (record's own no.)</v>
      </c>
      <c r="G68" s="120" t="str">
        <f aca="false">IF(AND(LEFT(Checks!$AH$422,10)="N/A – RULE",NOT(ISNUMBER(Checks!$AD$422)),Checks!$AE$422="",Checks!$T$422=""),"","Done: "&amp;IF(ISNUMBER(Checks!$AD$422),TEXT(Checks!$AD$422,"DD-MMM-YY HH:MM"),"____________")&amp;" "&amp;Checks!$P$422&amp;CHAR(10)&amp;"Verifier: "&amp;IF(Checks!$AE$422="","____________",Checks!$AE$422)&amp;CHAR(10)&amp;"PIC: "&amp;IF(Checks!$T$422="","____________",Checks!$T$422))</f>
        <v>Done: ____________ KUL
Verifier: ____________
PIC: ____________</v>
      </c>
      <c r="H68" s="121" t="str">
        <f aca="false">IF(Checks!$AH$422="","",Checks!$AH$422)</f>
        <v>OPEN</v>
      </c>
    </row>
    <row r="69" customFormat="false" ht="114" hidden="false" customHeight="true" outlineLevel="0" collapsed="false">
      <c r="A69" s="120" t="str">
        <f aca="false">Checks!$A$423&amp;CHAR(10)&amp;IF(Checks!$I$423="","",Checks!$I$423&amp;": ")&amp;Checks!$J$423</f>
        <v>F12-UPL-13
Seat Linen: Duvet (BS &amp; BC) - on board</v>
      </c>
      <c r="B69" s="120" t="str">
        <f aca="false">Checks!$K$423&amp;IF(Checks!$O$423="","",IF(Checks!$K$423="","",CHAR(10))&amp;"Note: "&amp;Checks!$O$423)</f>
        <v>Available 100% (ticked in reference)</v>
      </c>
      <c r="C69" s="120" t="str">
        <f aca="false">Checks!$N$423&amp;CHAR(10)&amp;IF(ISNUMBER(Checks!$R$423),TEXT(Checks!$R$423,"DD-MMM-YY HH:MM"),"")&amp;" "&amp;Checks!$P$423</f>
        <v>Required
12-Oct-26 22:25 KUL</v>
      </c>
      <c r="D69" s="120" t="str">
        <f aca="false">IF(TRIM(Checks!$U$423)&lt;&gt;"",Checks!$U$423&amp;IF(Checks!$AB$423="","",CHAR(10)&amp;"CA: "&amp;Checks!$AB$423),IF(LEFT(Checks!$AH$423,10)="N/A – RULE","","[ ] Pass"&amp;CHAR(10)&amp;"[ ] Pass after CA"&amp;CHAR(10)&amp;"[ ] Fail"&amp;IF(Checks!$AT$423=1,CHAR(10)&amp;"[ ] N/A","")&amp;CHAR(10)&amp;"CA: Open / Closed"))</f>
        <v>[ ] Pass
[ ] Pass after CA
[ ] Fail
CA: Open / Closed</v>
      </c>
      <c r="E69" s="120" t="str">
        <f aca="false">IF(Checks!$V$423="","",Checks!$V$423)&amp;IF(Checks!$AC$423="","",IF(Checks!$V$423="","",CHAR(10))&amp;"N/A just.: "&amp;Checks!$AC$423)&amp;IF(OR(Checks!$W$423&lt;&gt;"",AND(Checks!$AQ$423=1,NOT(LEFT(Checks!$AH$423,10)="N/A – RULE"))),CHAR(10)&amp;"Batch: "&amp;IF(Checks!$W$423="","____________",Checks!$W$423),"")&amp;IF(OR(Checks!$X$423&lt;&gt;"",Checks!$Y$423&lt;&gt;"",AND(Checks!$AR$423=1,NOT(LEFT(Checks!$AH$423,10)="N/A – RULE"))),CHAR(10)&amp;"Exp: "&amp;IF(Checks!$X$423="","______",Checks!$X$423)&amp;"  /  Act: "&amp;IF(Checks!$Y$423="","______",Checks!$Y$423),"")</f>
        <v/>
      </c>
      <c r="F69" s="120" t="str">
        <f aca="false">IF(AND(LEFT(Checks!$AH$423,10)="N/A – RULE",TRIM(Checks!$S$423&amp;Checks!$Z$423)=""),"","Type: "&amp;IF(TRIM(Checks!$S$423)="","______________ (see cover list)",Checks!$S$423)&amp;CHAR(10)&amp;"ID: "&amp;IF(TRIM(Checks!$Z$423)="","______________ (record's own no.)",Checks!$Z$423))&amp;IF(Checks!$AA$423="","",CHAR(10)&amp;"CA: "&amp;Checks!$AA$423)</f>
        <v>Type: ______________ (see cover list)
ID: ______________ (record's own no.)</v>
      </c>
      <c r="G69" s="120" t="str">
        <f aca="false">IF(AND(LEFT(Checks!$AH$423,10)="N/A – RULE",NOT(ISNUMBER(Checks!$AD$423)),Checks!$AE$423="",Checks!$T$423=""),"","Done: "&amp;IF(ISNUMBER(Checks!$AD$423),TEXT(Checks!$AD$423,"DD-MMM-YY HH:MM"),"____________")&amp;" "&amp;Checks!$P$423&amp;CHAR(10)&amp;"Verifier: "&amp;IF(Checks!$AE$423="","____________",Checks!$AE$423)&amp;CHAR(10)&amp;"PIC: "&amp;IF(Checks!$T$423="","____________",Checks!$T$423))</f>
        <v>Done: ____________ KUL
Verifier: ____________
PIC: ____________</v>
      </c>
      <c r="H69" s="121" t="str">
        <f aca="false">IF(Checks!$AH$423="","",Checks!$AH$423)</f>
        <v>OPEN</v>
      </c>
    </row>
    <row r="70" customFormat="false" ht="114" hidden="false" customHeight="true" outlineLevel="0" collapsed="false">
      <c r="A70" s="120" t="str">
        <f aca="false">Checks!$A$424&amp;CHAR(10)&amp;IF(Checks!$I$424="","",Checks!$I$424&amp;": ")&amp;Checks!$J$424</f>
        <v>F12-UPL-14
Seat Linen: Mattress (BS &amp; BC) - on board</v>
      </c>
      <c r="B70" s="120" t="str">
        <f aca="false">Checks!$K$424&amp;IF(Checks!$O$424="","",IF(Checks!$K$424="","",CHAR(10))&amp;"Note: "&amp;Checks!$O$424)</f>
        <v>Available 100% (ticked in reference)</v>
      </c>
      <c r="C70" s="120" t="str">
        <f aca="false">Checks!$N$424&amp;CHAR(10)&amp;IF(ISNUMBER(Checks!$R$424),TEXT(Checks!$R$424,"DD-MMM-YY HH:MM"),"")&amp;" "&amp;Checks!$P$424</f>
        <v>Required
12-Oct-26 22:25 KUL</v>
      </c>
      <c r="D70" s="120" t="str">
        <f aca="false">IF(TRIM(Checks!$U$424)&lt;&gt;"",Checks!$U$424&amp;IF(Checks!$AB$424="","",CHAR(10)&amp;"CA: "&amp;Checks!$AB$424),IF(LEFT(Checks!$AH$424,10)="N/A – RULE","","[ ] Pass"&amp;CHAR(10)&amp;"[ ] Pass after CA"&amp;CHAR(10)&amp;"[ ] Fail"&amp;IF(Checks!$AT$424=1,CHAR(10)&amp;"[ ] N/A","")&amp;CHAR(10)&amp;"CA: Open / Closed"))</f>
        <v>[ ] Pass
[ ] Pass after CA
[ ] Fail
CA: Open / Closed</v>
      </c>
      <c r="E70" s="120" t="str">
        <f aca="false">IF(Checks!$V$424="","",Checks!$V$424)&amp;IF(Checks!$AC$424="","",IF(Checks!$V$424="","",CHAR(10))&amp;"N/A just.: "&amp;Checks!$AC$424)&amp;IF(OR(Checks!$W$424&lt;&gt;"",AND(Checks!$AQ$424=1,NOT(LEFT(Checks!$AH$424,10)="N/A – RULE"))),CHAR(10)&amp;"Batch: "&amp;IF(Checks!$W$424="","____________",Checks!$W$424),"")&amp;IF(OR(Checks!$X$424&lt;&gt;"",Checks!$Y$424&lt;&gt;"",AND(Checks!$AR$424=1,NOT(LEFT(Checks!$AH$424,10)="N/A – RULE"))),CHAR(10)&amp;"Exp: "&amp;IF(Checks!$X$424="","______",Checks!$X$424)&amp;"  /  Act: "&amp;IF(Checks!$Y$424="","______",Checks!$Y$424),"")</f>
        <v/>
      </c>
      <c r="F70" s="120" t="str">
        <f aca="false">IF(AND(LEFT(Checks!$AH$424,10)="N/A – RULE",TRIM(Checks!$S$424&amp;Checks!$Z$424)=""),"","Type: "&amp;IF(TRIM(Checks!$S$424)="","______________ (see cover list)",Checks!$S$424)&amp;CHAR(10)&amp;"ID: "&amp;IF(TRIM(Checks!$Z$424)="","______________ (record's own no.)",Checks!$Z$424))&amp;IF(Checks!$AA$424="","",CHAR(10)&amp;"CA: "&amp;Checks!$AA$424)</f>
        <v>Type: ______________ (see cover list)
ID: ______________ (record's own no.)</v>
      </c>
      <c r="G70" s="120" t="str">
        <f aca="false">IF(AND(LEFT(Checks!$AH$424,10)="N/A – RULE",NOT(ISNUMBER(Checks!$AD$424)),Checks!$AE$424="",Checks!$T$424=""),"","Done: "&amp;IF(ISNUMBER(Checks!$AD$424),TEXT(Checks!$AD$424,"DD-MMM-YY HH:MM"),"____________")&amp;" "&amp;Checks!$P$424&amp;CHAR(10)&amp;"Verifier: "&amp;IF(Checks!$AE$424="","____________",Checks!$AE$424)&amp;CHAR(10)&amp;"PIC: "&amp;IF(Checks!$T$424="","____________",Checks!$T$424))</f>
        <v>Done: ____________ KUL
Verifier: ____________
PIC: ____________</v>
      </c>
      <c r="H70" s="121" t="str">
        <f aca="false">IF(Checks!$AH$424="","",Checks!$AH$424)</f>
        <v>OPEN</v>
      </c>
    </row>
    <row r="71" customFormat="false" ht="114" hidden="false" customHeight="true" outlineLevel="0" collapsed="false">
      <c r="A71" s="120" t="str">
        <f aca="false">Checks!$A$425&amp;CHAR(10)&amp;IF(Checks!$I$425="","",Checks!$I$425&amp;": ")&amp;Checks!$J$425</f>
        <v>F12-UPL-15
Signature Drinks: Signature drink &amp; garnish (BC) - on board</v>
      </c>
      <c r="B71" s="120" t="str">
        <f aca="false">SUBSTITUTE(Checks!$K$425&amp;IF(Checks!$O$425="","",IF(Checks!$K$425="","",CHAR(10))&amp;"Note: "&amp;Checks!$O$425)," (note D79)","")</f>
        <v>Available (ticked in reference)
Note: Signature drinks &amp; garnish uplifted from KUL.</v>
      </c>
      <c r="C71" s="120" t="str">
        <f aca="false">Checks!$N$425&amp;CHAR(10)&amp;IF(ISNUMBER(Checks!$R$425),TEXT(Checks!$R$425,"DD-MMM-YY HH:MM"),"")&amp;" "&amp;Checks!$P$425</f>
        <v>Required
12-Oct-26 22:25 KUL</v>
      </c>
      <c r="D71" s="120" t="str">
        <f aca="false">IF(TRIM(Checks!$U$425)&lt;&gt;"",Checks!$U$425&amp;IF(Checks!$AB$425="","",CHAR(10)&amp;"CA: "&amp;Checks!$AB$425),IF(LEFT(Checks!$AH$425,10)="N/A – RULE","","[ ] Pass"&amp;CHAR(10)&amp;"[ ] Pass after CA"&amp;CHAR(10)&amp;"[ ] Fail"&amp;IF(Checks!$AT$425=1,CHAR(10)&amp;"[ ] N/A","")&amp;CHAR(10)&amp;"CA: Open / Closed"))</f>
        <v>[ ] Pass
[ ] Pass after CA
[ ] Fail
CA: Open / Closed</v>
      </c>
      <c r="E71" s="120" t="str">
        <f aca="false">IF(Checks!$V$425="","",Checks!$V$425)&amp;IF(Checks!$AC$425="","",IF(Checks!$V$425="","",CHAR(10))&amp;"N/A just.: "&amp;Checks!$AC$425)&amp;IF(OR(Checks!$W$425&lt;&gt;"",AND(Checks!$AQ$425=1,NOT(LEFT(Checks!$AH$425,10)="N/A – RULE"))),CHAR(10)&amp;"Batch: "&amp;IF(Checks!$W$425="","____________",Checks!$W$425),"")&amp;IF(OR(Checks!$X$425&lt;&gt;"",Checks!$Y$425&lt;&gt;"",AND(Checks!$AR$425=1,NOT(LEFT(Checks!$AH$425,10)="N/A – RULE"))),CHAR(10)&amp;"Exp: "&amp;IF(Checks!$X$425="","______",Checks!$X$425)&amp;"  /  Act: "&amp;IF(Checks!$Y$425="","______",Checks!$Y$425),"")</f>
        <v/>
      </c>
      <c r="F71" s="120" t="str">
        <f aca="false">IF(AND(LEFT(Checks!$AH$425,10)="N/A – RULE",TRIM(Checks!$S$425&amp;Checks!$Z$425)=""),"","Type: "&amp;IF(TRIM(Checks!$S$425)="","______________ (see cover list)",Checks!$S$425)&amp;CHAR(10)&amp;"ID: "&amp;IF(TRIM(Checks!$Z$425)="","______________ (record's own no.)",Checks!$Z$425))&amp;IF(Checks!$AA$425="","",CHAR(10)&amp;"CA: "&amp;Checks!$AA$425)</f>
        <v>Type: ______________ (see cover list)
ID: ______________ (record's own no.)</v>
      </c>
      <c r="G71" s="120" t="str">
        <f aca="false">IF(AND(LEFT(Checks!$AH$425,10)="N/A – RULE",NOT(ISNUMBER(Checks!$AD$425)),Checks!$AE$425="",Checks!$T$425=""),"","Done: "&amp;IF(ISNUMBER(Checks!$AD$425),TEXT(Checks!$AD$425,"DD-MMM-YY HH:MM"),"____________")&amp;" "&amp;Checks!$P$425&amp;CHAR(10)&amp;"Verifier: "&amp;IF(Checks!$AE$425="","____________",Checks!$AE$425)&amp;CHAR(10)&amp;"PIC: "&amp;IF(Checks!$T$425="","____________",Checks!$T$425))</f>
        <v>Done: ____________ KUL
Verifier: ____________
PIC: ____________</v>
      </c>
      <c r="H71" s="121" t="str">
        <f aca="false">IF(Checks!$AH$425="","",Checks!$AH$425)</f>
        <v>OPEN</v>
      </c>
    </row>
    <row r="72" customFormat="false" ht="114" hidden="false" customHeight="true" outlineLevel="0" collapsed="false">
      <c r="A72" s="120" t="str">
        <f aca="false">Checks!$A$426&amp;CHAR(10)&amp;IF(Checks!$I$426="","",Checks!$I$426&amp;": ")&amp;Checks!$J$426</f>
        <v>F12-UPL-16
Sales Cart: Sales cart (caterer PASB) - on board</v>
      </c>
      <c r="B72" s="120" t="str">
        <f aca="false">Checks!$K$426&amp;IF(Checks!$O$426="","",IF(Checks!$K$426="","",CHAR(10))&amp;"Note: "&amp;Checks!$O$426)</f>
        <v>Location 241 &amp; 947 (A339)
Note: Block 7.08 h &gt;= 4 h.</v>
      </c>
      <c r="C72" s="120" t="str">
        <f aca="false">Checks!$N$426&amp;CHAR(10)&amp;IF(ISNUMBER(Checks!$R$426),TEXT(Checks!$R$426,"DD-MMM-YY HH:MM"),"")&amp;" "&amp;Checks!$P$426</f>
        <v>Required
12-Oct-26 22:25 KUL</v>
      </c>
      <c r="D72" s="120" t="str">
        <f aca="false">IF(TRIM(Checks!$U$426)&lt;&gt;"",Checks!$U$426&amp;IF(Checks!$AB$426="","",CHAR(10)&amp;"CA: "&amp;Checks!$AB$426),IF(LEFT(Checks!$AH$426,10)="N/A – RULE","","[ ] Pass"&amp;CHAR(10)&amp;"[ ] Pass after CA"&amp;CHAR(10)&amp;"[ ] Fail"&amp;IF(Checks!$AT$426=1,CHAR(10)&amp;"[ ] N/A","")&amp;CHAR(10)&amp;"CA: Open / Closed"))</f>
        <v>[ ] Pass
[ ] Pass after CA
[ ] Fail
CA: Open / Closed</v>
      </c>
      <c r="E72" s="120" t="str">
        <f aca="false">IF(Checks!$V$426="","",Checks!$V$426)&amp;IF(Checks!$AC$426="","",IF(Checks!$V$426="","",CHAR(10))&amp;"N/A just.: "&amp;Checks!$AC$426)&amp;IF(OR(Checks!$W$426&lt;&gt;"",AND(Checks!$AQ$426=1,NOT(LEFT(Checks!$AH$426,10)="N/A – RULE"))),CHAR(10)&amp;"Batch: "&amp;IF(Checks!$W$426="","____________",Checks!$W$426),"")&amp;IF(OR(Checks!$X$426&lt;&gt;"",Checks!$Y$426&lt;&gt;"",AND(Checks!$AR$426=1,NOT(LEFT(Checks!$AH$426,10)="N/A – RULE"))),CHAR(10)&amp;"Exp: "&amp;IF(Checks!$X$426="","______",Checks!$X$426)&amp;"  /  Act: "&amp;IF(Checks!$Y$426="","______",Checks!$Y$426),"")</f>
        <v/>
      </c>
      <c r="F72" s="120" t="str">
        <f aca="false">IF(AND(LEFT(Checks!$AH$426,10)="N/A – RULE",TRIM(Checks!$S$426&amp;Checks!$Z$426)=""),"","Type: "&amp;IF(TRIM(Checks!$S$426)="","______________ (see cover list)",Checks!$S$426)&amp;CHAR(10)&amp;"ID: "&amp;IF(TRIM(Checks!$Z$426)="","______________ (record's own no.)",Checks!$Z$426))&amp;IF(Checks!$AA$426="","",CHAR(10)&amp;"CA: "&amp;Checks!$AA$426)</f>
        <v>Type: ______________ (see cover list)
ID: ______________ (record's own no.)</v>
      </c>
      <c r="G72" s="120" t="str">
        <f aca="false">IF(AND(LEFT(Checks!$AH$426,10)="N/A – RULE",NOT(ISNUMBER(Checks!$AD$426)),Checks!$AE$426="",Checks!$T$426=""),"","Done: "&amp;IF(ISNUMBER(Checks!$AD$426),TEXT(Checks!$AD$426,"DD-MMM-YY HH:MM"),"____________")&amp;" "&amp;Checks!$P$426&amp;CHAR(10)&amp;"Verifier: "&amp;IF(Checks!$AE$426="","____________",Checks!$AE$426)&amp;CHAR(10)&amp;"PIC: "&amp;IF(Checks!$T$426="","____________",Checks!$T$426))</f>
        <v>Done: ____________ KUL
Verifier: ____________
PIC: ____________</v>
      </c>
      <c r="H72" s="121" t="str">
        <f aca="false">IF(Checks!$AH$426="","",Checks!$AH$426)</f>
        <v>OPEN</v>
      </c>
    </row>
    <row r="74" customFormat="false" ht="24" hidden="false" customHeight="true" outlineLevel="0" collapsed="false">
      <c r="A74" s="122" t="s">
        <v>4832</v>
      </c>
      <c r="B74" s="122"/>
      <c r="C74" s="122"/>
      <c r="D74" s="122"/>
      <c r="E74" s="122" t="s">
        <v>4833</v>
      </c>
      <c r="F74" s="122"/>
      <c r="G74" s="122"/>
      <c r="H74" s="122"/>
    </row>
    <row r="75" customFormat="false" ht="21.75" hidden="false" customHeight="true" outlineLevel="0" collapsed="false">
      <c r="A75" s="123"/>
      <c r="B75" s="123"/>
      <c r="C75" s="123"/>
      <c r="D75" s="123"/>
      <c r="E75" s="123"/>
      <c r="F75" s="123"/>
      <c r="G75" s="123"/>
      <c r="H75" s="123"/>
    </row>
    <row r="76" customFormat="false" ht="21.75" hidden="false" customHeight="true" outlineLevel="0" collapsed="false">
      <c r="A76" s="123"/>
      <c r="B76" s="123"/>
      <c r="C76" s="123"/>
      <c r="D76" s="123"/>
      <c r="E76" s="123"/>
      <c r="F76" s="123"/>
      <c r="G76" s="123"/>
      <c r="H76" s="123"/>
    </row>
    <row r="77" customFormat="false" ht="21.75" hidden="false" customHeight="true" outlineLevel="0" collapsed="false">
      <c r="A77" s="123"/>
      <c r="B77" s="123"/>
      <c r="C77" s="123"/>
      <c r="D77" s="123"/>
      <c r="E77" s="123"/>
      <c r="F77" s="123"/>
      <c r="G77" s="123"/>
      <c r="H77" s="123"/>
    </row>
    <row r="78" customFormat="false" ht="21.75" hidden="false" customHeight="true" outlineLevel="0" collapsed="false">
      <c r="A78" s="123"/>
      <c r="B78" s="123"/>
      <c r="C78" s="123"/>
      <c r="D78" s="123"/>
      <c r="E78" s="123"/>
      <c r="F78" s="123"/>
      <c r="G78" s="123"/>
      <c r="H78" s="123"/>
    </row>
    <row r="79" customFormat="false" ht="21.75" hidden="false" customHeight="true" outlineLevel="0" collapsed="false">
      <c r="A79" s="123"/>
      <c r="B79" s="123"/>
      <c r="C79" s="123"/>
      <c r="D79" s="123"/>
      <c r="E79" s="123"/>
      <c r="F79" s="123"/>
      <c r="G79" s="123"/>
      <c r="H79" s="123"/>
    </row>
    <row r="80" customFormat="false" ht="21.75" hidden="false" customHeight="true" outlineLevel="0" collapsed="false">
      <c r="A80" s="123"/>
      <c r="B80" s="123"/>
      <c r="C80" s="123"/>
      <c r="D80" s="123"/>
      <c r="E80" s="123"/>
      <c r="F80" s="123"/>
      <c r="G80" s="123"/>
      <c r="H80" s="123"/>
    </row>
    <row r="81" customFormat="false" ht="21.75" hidden="false" customHeight="true" outlineLevel="0" collapsed="false">
      <c r="A81" s="123"/>
      <c r="B81" s="123"/>
      <c r="C81" s="123"/>
      <c r="D81" s="123"/>
      <c r="E81" s="123"/>
      <c r="F81" s="123"/>
      <c r="G81" s="123"/>
      <c r="H81" s="123"/>
    </row>
    <row r="82" customFormat="false" ht="21.75" hidden="false" customHeight="true" outlineLevel="0" collapsed="false">
      <c r="A82" s="123"/>
      <c r="B82" s="123"/>
      <c r="C82" s="123"/>
      <c r="D82" s="123"/>
      <c r="E82" s="123"/>
      <c r="F82" s="123"/>
      <c r="G82" s="123"/>
      <c r="H82" s="123"/>
    </row>
    <row r="83" customFormat="false" ht="21.75" hidden="false" customHeight="true" outlineLevel="0" collapsed="false">
      <c r="A83" s="123"/>
      <c r="B83" s="123"/>
      <c r="C83" s="123"/>
      <c r="D83" s="123"/>
      <c r="E83" s="123"/>
      <c r="F83" s="123"/>
      <c r="G83" s="123"/>
      <c r="H83" s="123"/>
    </row>
    <row r="84" customFormat="false" ht="21.75" hidden="false" customHeight="true" outlineLevel="0" collapsed="false">
      <c r="A84" s="123"/>
      <c r="B84" s="123"/>
      <c r="C84" s="123"/>
      <c r="D84" s="123"/>
      <c r="E84" s="123"/>
      <c r="F84" s="123"/>
      <c r="G84" s="123"/>
      <c r="H84"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56:H56"/>
    <mergeCell ref="A74:D74"/>
    <mergeCell ref="E74:H74"/>
    <mergeCell ref="A75:D84"/>
    <mergeCell ref="E75:H84"/>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72">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72">
    <cfRule type="expression" priority="18" aboveAverage="0" equalAverage="0" bottom="0" percent="0" rank="0" text="" dxfId="35">
      <formula>LEFT($H23,3)="N/A"</formula>
    </cfRule>
  </conditionalFormatting>
  <conditionalFormatting sqref="D23:D72">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F12 MH0139 12-Oct-26 KUL-ADL Class BC</oddHeader>
    <oddFooter>&amp;L&amp;"Arial,Bold"&amp;8 F12 MH0139 12-Oct-26 KUL-ADL Class BC&amp;C&amp;"Arial,Regular"&amp;8 Printed: ____________________&amp;R&amp;"Arial,Regular"&amp;8 F12  Page &amp;P of &amp;N</oddFooter>
  </headerFooter>
  <rowBreaks count="13" manualBreakCount="13">
    <brk id="20" man="true" max="16383" min="0"/>
    <brk id="26" man="true" max="16383" min="0"/>
    <brk id="30" man="true" max="16383" min="0"/>
    <brk id="35" man="true" max="16383" min="0"/>
    <brk id="39" man="true" max="16383" min="0"/>
    <brk id="42" man="true" max="16383" min="0"/>
    <brk id="46" man="true" max="16383" min="0"/>
    <brk id="50" man="true" max="16383" min="0"/>
    <brk id="54" man="true" max="16383" min="0"/>
    <brk id="59" man="true" max="16383" min="0"/>
    <brk id="63" man="true" max="16383" min="0"/>
    <brk id="67" man="true" max="16383" min="0"/>
    <brk id="71" man="true" max="16383" min="0"/>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F13  "&amp;Flights!$F$17&amp;"  "&amp;TEXT(Flights!$D$17,"DD-MMM-YY")&amp;" ("&amp;Flights!$E$17&amp;")  "&amp;Flights!$G$17&amp;" → "&amp;Flights!$H$17&amp;"  |  Class "&amp;Flights!$K$17</f>
        <v>SKYTRAX 2026 CATERING READINESS CHECKLIST  |  F13  MH0138  14-Oct-26 (WED)  ADL → KUL  |  Class EY</v>
      </c>
      <c r="B1" s="93"/>
      <c r="C1" s="93"/>
      <c r="D1" s="93"/>
      <c r="E1" s="93"/>
      <c r="F1" s="93"/>
      <c r="G1" s="93"/>
      <c r="H1" s="93"/>
    </row>
    <row r="2" customFormat="false" ht="12.75" hidden="false" customHeight="true" outlineLevel="0" collapsed="false">
      <c r="A2" s="94" t="s">
        <v>4788</v>
      </c>
      <c r="B2" s="95" t="str">
        <f aca="false">Flights!$F$17&amp;"   "&amp;TEXT(Flights!$D$17,"DD-MMM-YY")&amp;" ("&amp;Flights!$E$17&amp;")"</f>
        <v>MH0138   14-Oct-26 (WED)</v>
      </c>
      <c r="C2" s="95"/>
      <c r="D2" s="95"/>
      <c r="E2" s="96" t="s">
        <v>4789</v>
      </c>
      <c r="F2" s="97" t="str">
        <f aca="false">Flights!$AT$17</f>
        <v>NOT READY – DOCUMENTS</v>
      </c>
      <c r="G2" s="97"/>
      <c r="H2" s="97"/>
    </row>
    <row r="3" customFormat="false" ht="24" hidden="false" customHeight="true" outlineLevel="0" collapsed="false">
      <c r="A3" s="94" t="s">
        <v>4790</v>
      </c>
      <c r="B3" s="95" t="str">
        <f aca="false">Flights!$G$17&amp;" → "&amp;Flights!$H$17&amp;"   Class "&amp;Flights!$K$17&amp;"   Seat "&amp;Flights!$O$17</f>
        <v>ADL → KUL   Class EY   Seat 11K</v>
      </c>
      <c r="C3" s="95"/>
      <c r="D3" s="95"/>
      <c r="E3" s="96" t="s">
        <v>73</v>
      </c>
      <c r="F3" s="96" t="s">
        <v>4791</v>
      </c>
      <c r="G3" s="96" t="s">
        <v>4792</v>
      </c>
      <c r="H3" s="96"/>
    </row>
    <row r="4" customFormat="false" ht="24" hidden="false" customHeight="true" outlineLevel="0" collapsed="false">
      <c r="A4" s="94" t="s">
        <v>4793</v>
      </c>
      <c r="B4" s="95" t="str">
        <f aca="false">IF(ISNUMBER(Flights!$I$17),TEXT(Flights!$I$17,"DD-MMM-YY HH:MM"),"")&amp;" "&amp;Flights!$G$17&amp;"  →  "&amp;IF(ISNUMBER(Flights!$J$17),TEXT(Flights!$J$17,"DD-MMM-YY HH:MM"),"")&amp;" "&amp;Flights!$H$17</f>
        <v>14-Oct-26 10:45 ADL  →  14-Oct-26 16:00 KUL</v>
      </c>
      <c r="C4" s="95"/>
      <c r="D4" s="95"/>
      <c r="E4" s="94" t="s">
        <v>4794</v>
      </c>
      <c r="F4" s="98" t="str">
        <f aca="false">IF(ISNUMBER(Flights!$AG$17),TEXT(Flights!$AG$17,"DD-MMM-YY HH:MM"),"")&amp;" "&amp;Flights!$V$17</f>
        <v>07-Oct-26 10:45 ADL</v>
      </c>
      <c r="G4" s="99" t="n">
        <f aca="false">Flights!$AJ$17</f>
        <v>0</v>
      </c>
      <c r="H4" s="99"/>
    </row>
    <row r="5" customFormat="false" ht="24" hidden="false" customHeight="true" outlineLevel="0" collapsed="false">
      <c r="A5" s="94" t="s">
        <v>4795</v>
      </c>
      <c r="B5" s="95" t="str">
        <f aca="false">Flights!$L$17&amp;" – "&amp;Flights!$M$17</f>
        <v>A339 – A330-900 (A339)</v>
      </c>
      <c r="C5" s="95"/>
      <c r="D5" s="95"/>
      <c r="E5" s="94" t="s">
        <v>4796</v>
      </c>
      <c r="F5" s="98" t="str">
        <f aca="false">IF(ISNUMBER(Flights!$AH$17),TEXT(Flights!$AH$17,"DD-MMM-YY HH:MM"),"")&amp;" "&amp;Flights!$V$17</f>
        <v>13-Oct-26 10:45 ADL</v>
      </c>
      <c r="G5" s="99" t="n">
        <f aca="false">Flights!$AK$17</f>
        <v>0</v>
      </c>
      <c r="H5" s="99"/>
    </row>
    <row r="6" customFormat="false" ht="24" hidden="false" customHeight="true" outlineLevel="0" collapsed="false">
      <c r="A6" s="94" t="s">
        <v>4797</v>
      </c>
      <c r="B6" s="95" t="str">
        <f aca="false">IF(TRIM(Flights!$N$17)="","__________________",Flights!$N$17)</f>
        <v>__________________</v>
      </c>
      <c r="C6" s="95"/>
      <c r="D6" s="95"/>
      <c r="E6" s="94" t="s">
        <v>4798</v>
      </c>
      <c r="F6" s="98" t="str">
        <f aca="false">IF(ISNUMBER(Flights!$AI$17),TEXT(Flights!$AI$17,"DD-MMM-YY HH:MM"),"")&amp;" "&amp;Flights!$V$17&amp;IF(Flights!$AI$17=Flights!$AH$17,"  (= T-24H due)","")</f>
        <v>13-Oct-26 22:45 ADL</v>
      </c>
      <c r="G6" s="99" t="n">
        <f aca="false">Flights!$AL$17</f>
        <v>0</v>
      </c>
      <c r="H6" s="99"/>
    </row>
    <row r="7" customFormat="false" ht="24" hidden="false" customHeight="true" outlineLevel="0" collapsed="false">
      <c r="A7" s="94" t="s">
        <v>4799</v>
      </c>
      <c r="B7" s="95" t="str">
        <f aca="false">Flights!$T$17</f>
        <v>1.5 Meal (Meal)</v>
      </c>
      <c r="C7" s="95"/>
      <c r="D7" s="95"/>
      <c r="E7" s="94" t="s">
        <v>4800</v>
      </c>
      <c r="F7" s="98" t="str">
        <f aca="false">"STD "&amp;IF(ISNUMBER(Flights!$I$17),TEXT(Flights!$I$17,"DD-MMM-YY HH:MM"),"")&amp;" "&amp;Flights!$G$17&amp;" (dep stn)"</f>
        <v>STD 14-Oct-26 10:45 ADL (dep stn)</v>
      </c>
      <c r="G7" s="99" t="n">
        <f aca="false">Flights!$AM$17</f>
        <v>0</v>
      </c>
      <c r="H7" s="99"/>
    </row>
    <row r="8" customFormat="false" ht="12.75" hidden="false" customHeight="true" outlineLevel="0" collapsed="false">
      <c r="A8" s="94" t="s">
        <v>155</v>
      </c>
      <c r="B8" s="95" t="str">
        <f aca="false">Flights!$V$17&amp;"   (reference uplift stns: "&amp;Flights!$U$17&amp;")"</f>
        <v>ADL   (reference uplift stns: KUL/ADL)</v>
      </c>
      <c r="C8" s="95"/>
      <c r="D8" s="95"/>
      <c r="E8" s="94" t="s">
        <v>4801</v>
      </c>
      <c r="F8" s="100" t="s">
        <v>4802</v>
      </c>
      <c r="G8" s="99" t="n">
        <f aca="false">Flights!$AN$17</f>
        <v>0</v>
      </c>
      <c r="H8" s="99"/>
    </row>
    <row r="9" customFormat="false" ht="12.75" hidden="false" customHeight="true" outlineLevel="0" collapsed="false">
      <c r="A9" s="94" t="s">
        <v>4803</v>
      </c>
      <c r="B9" s="95" t="str">
        <f aca="false">TRIM(Flights!$P$17&amp;"  "&amp;Flights!$Q$17)</f>
        <v>- Overnight KUL</v>
      </c>
      <c r="C9" s="95"/>
      <c r="D9" s="95"/>
      <c r="E9" s="94" t="s">
        <v>4804</v>
      </c>
      <c r="F9" s="101" t="n">
        <f aca="false">Flights!$AP$17</f>
        <v>0</v>
      </c>
      <c r="G9" s="102" t="n">
        <f aca="false">Flights!$AQ$17</f>
        <v>0</v>
      </c>
      <c r="H9" s="103" t="n">
        <f aca="false">Flights!$AU$17</f>
        <v>0</v>
      </c>
    </row>
    <row r="10" customFormat="false" ht="24" hidden="false" customHeight="true" outlineLevel="0" collapsed="false">
      <c r="A10" s="94" t="s">
        <v>4805</v>
      </c>
      <c r="B10" s="95" t="str">
        <f aca="false">IF(TRIM(Flights!$X$17)="","__________________",Flights!$X$17)</f>
        <v>__________________</v>
      </c>
      <c r="C10" s="95"/>
      <c r="D10" s="95"/>
      <c r="E10" s="94" t="s">
        <v>4806</v>
      </c>
      <c r="F10" s="104" t="n">
        <f aca="false">Flights!$AO$17</f>
        <v>29</v>
      </c>
      <c r="G10" s="105" t="n">
        <f aca="false">Flights!$AS$17</f>
        <v>3</v>
      </c>
      <c r="H10" s="106" t="n">
        <f aca="false">Flights!$AR$17</f>
        <v>2</v>
      </c>
    </row>
    <row r="11" customFormat="false" ht="21" hidden="false" customHeight="true" outlineLevel="0" collapsed="false">
      <c r="A11" s="94" t="s">
        <v>4807</v>
      </c>
      <c r="B11" s="95" t="str">
        <f aca="false">IF(TRIM(Flights!$Y$17)="","__________________",Flights!$Y$17)</f>
        <v>__________________</v>
      </c>
      <c r="C11" s="95"/>
      <c r="D11" s="95"/>
      <c r="E11" s="94" t="s">
        <v>4808</v>
      </c>
      <c r="F11" s="97" t="str">
        <f aca="false">Flights!$AV$17&amp;" / "&amp;Flights!$AW$17</f>
        <v>0 / 29</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56.25" hidden="false" customHeight="true" outlineLevel="0" collapsed="false">
      <c r="A14" s="124" t="str">
        <f aca="false">"KUL-SOURCED ITEMS: some items are uplifted at KUL on the inbound carrying flight; their preparation is capped at the KUL loading window. Each row shows its own due."&amp;CHAR(10)&amp;"KUL loading window opens: "&amp;IF(ISNUMBER(Flights!$AY$17),TEXT(Flights!$AY$17+IFERROR(INDEX(Settings!$C$13:$C$22,MATCH("KUL",Settings!$A$13:$A$22,0)),8)/24,"DD-MMM-YY HH:MM")&amp;" KUL","(not set)")&amp;"   |   Carrying flight leaves KUL: "&amp;IF(ISNUMBER(Flights!$AY$17),TEXT(Flights!$AY$17+UpliftWindowH/24+IFERROR(INDEX(Settings!$C$13:$C$22,MATCH("KUL",Settings!$A$13:$A$22,0)),8)/24,"DD-MMM-YY HH:MM")&amp;" KUL","(not set)")&amp;IF(ISNUMBER(Flights!$AX$17),"",IF(TRIM(Flights!$W$17)&lt;&gt;""," (agenda candidate – actual not yet entered)"," (latest possible – actual not yet entered)"))&amp;IF(ISNUMBER(Flights!$AX$17),"",CHAR(10)&amp;"CARRYING FLIGHT NOT YET ENTERED (Flights sheet): its timing is assumed, so on-board (UPLIFT) checks before the assumed arrival show INVALID – before uplift window.")</f>
        <v>KUL-SOURCED ITEMS: some items are uplifted at KUL on the inbound carrying flight; their preparation is capped at the KUL loading window. Each row shows its own due.
KUL loading window opens: 12-Oct-26 16:25 KUL   |   Carrying flight leaves KUL: 12-Oct-26 22:25 KUL (latest possible – actual not yet entered)
CARRYING FLIGHT NOT YET ENTERED (Flights sheet): its timing is assumed, so on-board (UPLIFT) checks before the assumed arrival show INVALID – before uplift window.</v>
      </c>
      <c r="B14" s="124"/>
      <c r="C14" s="124"/>
      <c r="D14" s="124"/>
      <c r="E14" s="124"/>
      <c r="F14" s="124"/>
      <c r="G14" s="124"/>
      <c r="H14" s="124"/>
    </row>
    <row r="15" customFormat="false" ht="13.5" hidden="false" customHeight="true" outlineLevel="0" collapsed="false">
      <c r="A15" s="96" t="s">
        <v>4813</v>
      </c>
      <c r="B15" s="96" t="s">
        <v>4814</v>
      </c>
      <c r="C15" s="96" t="s">
        <v>4815</v>
      </c>
      <c r="D15" s="96"/>
      <c r="E15" s="96" t="s">
        <v>4816</v>
      </c>
      <c r="F15" s="96" t="s">
        <v>4817</v>
      </c>
      <c r="G15" s="96"/>
      <c r="H15" s="96"/>
    </row>
    <row r="16" customFormat="false" ht="36" hidden="false" customHeight="true" outlineLevel="0" collapsed="false">
      <c r="A16" s="94" t="s">
        <v>4818</v>
      </c>
      <c r="B16" s="95" t="str">
        <f aca="false">IF(Documents!$F$17="","",Documents!$F$17)</f>
        <v/>
      </c>
      <c r="C16" s="100" t="str">
        <f aca="false">IF(Documents!$G$17="","",Documents!$G$17)&amp;IF(ISNUMBER(Documents!$H$17),"  "&amp;TEXT(Documents!$H$17,"DD-MMM-YY"),"")</f>
        <v/>
      </c>
      <c r="D16" s="100"/>
      <c r="E16" s="114" t="str">
        <f aca="false">IF(Documents!$J$17="OUTSTANDING","OUTSTANDING – attach before T-7D (due "&amp;IF(ISNUMBER(Flights!$AG$17),TEXT(Flights!$AG$17,"DD-MMM-YY HH:MM"),"")&amp;" "&amp;Flights!$V$17&amp;")",IF(Documents!$J$17="","Status not recorded",Documents!$J$17))</f>
        <v>OUTSTANDING – attach before T-7D (due 07-Oct-26 10:45 ADL)</v>
      </c>
      <c r="F16" s="115" t="str">
        <f aca="false">"Staple behind this sheet as page A1."&amp;IF(Documents!$I$17="",""," Location: "&amp;Documents!$I$17)</f>
        <v>Staple behind this sheet as page A1.</v>
      </c>
      <c r="G16" s="115"/>
      <c r="H16" s="115"/>
    </row>
    <row r="17" customFormat="false" ht="36" hidden="false" customHeight="true" outlineLevel="0" collapsed="false">
      <c r="A17" s="94" t="s">
        <v>4819</v>
      </c>
      <c r="B17" s="95" t="str">
        <f aca="false">IF(Documents!$K$17="","",Documents!$K$17)</f>
        <v/>
      </c>
      <c r="C17" s="100" t="str">
        <f aca="false">IF(Documents!$L$17="","",Documents!$L$17)&amp;IF(ISNUMBER(Documents!$M$17),"  "&amp;TEXT(Documents!$M$17,"DD-MMM-YY"),"")</f>
        <v/>
      </c>
      <c r="D17" s="100"/>
      <c r="E17" s="114" t="str">
        <f aca="false">IF(Documents!$O$17="OUTSTANDING","OUTSTANDING – attach before T-7D (due "&amp;IF(ISNUMBER(Flights!$AG$17),TEXT(Flights!$AG$17,"DD-MMM-YY HH:MM"),"")&amp;" "&amp;Flights!$V$17&amp;")",IF(Documents!$O$17="","Status not recorded",Documents!$O$17))</f>
        <v>OUTSTANDING – attach before T-7D (due 07-Oct-26 10:45 ADL)</v>
      </c>
      <c r="F17" s="115" t="str">
        <f aca="false">"Staple behind this sheet as page A2."&amp;IF(Documents!$N$17="",""," Location: "&amp;Documents!$N$17)</f>
        <v>Staple behind this sheet as page A2.</v>
      </c>
      <c r="G17" s="115"/>
      <c r="H17" s="115"/>
    </row>
    <row r="18" customFormat="false" ht="22.5" hidden="false" customHeight="true" outlineLevel="0" collapsed="false">
      <c r="A18" s="94" t="s">
        <v>4820</v>
      </c>
      <c r="B18" s="116" t="str">
        <f aca="false">IF(Documents!$Q$17="","",Documents!$Q$17)</f>
        <v>Not supplied with brief – obtain from caterer / MAGCS.</v>
      </c>
      <c r="C18" s="116"/>
      <c r="D18" s="116"/>
      <c r="E18" s="116"/>
      <c r="F18" s="116"/>
      <c r="G18" s="116"/>
      <c r="H18" s="116"/>
    </row>
    <row r="19" customFormat="false" ht="13.5" hidden="false" customHeight="true" outlineLevel="0" collapsed="false">
      <c r="A19" s="117" t="s">
        <v>4821</v>
      </c>
      <c r="B19" s="117"/>
      <c r="C19" s="117" t="s">
        <v>4822</v>
      </c>
      <c r="D19" s="117"/>
      <c r="E19" s="117"/>
      <c r="F19" s="117" t="s">
        <v>4823</v>
      </c>
      <c r="G19" s="117"/>
      <c r="H19" s="117"/>
    </row>
    <row r="20" customFormat="false" ht="18" hidden="false" customHeight="true" outlineLevel="0" collapsed="false">
      <c r="A20" s="95" t="str">
        <f aca="false">"Name: "&amp;IF(TRIM(Flights!$Y$17)="","__________________",Flights!$Y$17)</f>
        <v>Name: __________________</v>
      </c>
      <c r="B20" s="95"/>
      <c r="C20" s="95" t="str">
        <f aca="false">"Name: __________________"</f>
        <v>Name: __________________</v>
      </c>
      <c r="D20" s="95"/>
      <c r="E20" s="95"/>
      <c r="F20" s="95" t="str">
        <f aca="false">"Name: __________________"&amp;"   Station: "&amp;Flights!$V$17</f>
        <v>Name: __________________   Station: ADL</v>
      </c>
      <c r="G20" s="95"/>
      <c r="H20" s="95"/>
    </row>
    <row r="21" customFormat="false" ht="30" hidden="false" customHeight="true" outlineLevel="0" collapsed="false">
      <c r="A21" s="118" t="s">
        <v>4824</v>
      </c>
      <c r="B21" s="118"/>
      <c r="C21" s="118" t="s">
        <v>4824</v>
      </c>
      <c r="D21" s="118"/>
      <c r="E21" s="118"/>
      <c r="F21" s="118" t="s">
        <v>4824</v>
      </c>
      <c r="G21" s="118"/>
      <c r="H21" s="118"/>
    </row>
    <row r="22" customFormat="false" ht="24" hidden="false" customHeight="true" outlineLevel="0" collapsed="false">
      <c r="A22" s="96" t="s">
        <v>4825</v>
      </c>
      <c r="B22" s="96" t="s">
        <v>4826</v>
      </c>
      <c r="C22" s="96" t="s">
        <v>4827</v>
      </c>
      <c r="D22" s="96" t="s">
        <v>4828</v>
      </c>
      <c r="E22" s="96" t="s">
        <v>4829</v>
      </c>
      <c r="F22" s="96" t="s">
        <v>4830</v>
      </c>
      <c r="G22" s="96" t="s">
        <v>4831</v>
      </c>
      <c r="H22" s="96" t="s">
        <v>126</v>
      </c>
    </row>
    <row r="23" customFormat="false" ht="25.5" hidden="false" customHeight="true" outlineLevel="0" collapsed="false">
      <c r="A23" s="119" t="str">
        <f aca="false">"T-7D — 7 days before departure  |  Due "&amp;IF(ISNUMBER(Flights!$AG$17),TEXT(Flights!$AG$17,"DD-MMM-YY HH:MM"),"")&amp;" "&amp;Flights!$V$17&amp;" (meal uplift stn)"&amp;" (rows with another due show their own)  |  Complete "&amp;IF(ISNUMBER(Flights!$AJ$17),TEXT(Flights!$AJ$17,"0%"),Flights!$AJ$17)&amp;"  |  10 lines"</f>
        <v>T-7D — 7 days before departure  |  Due 07-Oct-26 10:45 ADL (meal uplift stn) (rows with another due show their own)  |  Complete 0%  |  10 lines</v>
      </c>
      <c r="B23" s="119"/>
      <c r="C23" s="119"/>
      <c r="D23" s="119"/>
      <c r="E23" s="119"/>
      <c r="F23" s="119"/>
      <c r="G23" s="119"/>
      <c r="H23" s="119"/>
    </row>
    <row r="24" customFormat="false" ht="114" hidden="false" customHeight="true" outlineLevel="0" collapsed="false">
      <c r="A24" s="120" t="str">
        <f aca="false">Checks!$A$427&amp;CHAR(10)&amp;IF(Checks!$I$427="","",Checks!$I$427&amp;": ")&amp;Checks!$J$427</f>
        <v>F13-T7-01
Meal: Meal sensory testing completed for this flight's menu cycle (assessed class)</v>
      </c>
      <c r="B24" s="120" t="str">
        <f aca="false">Checks!$K$427&amp;IF(Checks!$O$427="","",IF(Checks!$K$427="","",CHAR(10))&amp;"Note: "&amp;Checks!$O$427)</f>
        <v>Record panel result / score in Result</v>
      </c>
      <c r="C24" s="120" t="str">
        <f aca="false">Checks!$N$427&amp;CHAR(10)&amp;IF(ISNUMBER(Checks!$R$427),TEXT(Checks!$R$427,"DD-MMM-YY HH:MM"),"")&amp;" "&amp;Checks!$P$427</f>
        <v>Required
07-Oct-26 10:45 ADL</v>
      </c>
      <c r="D24" s="120" t="str">
        <f aca="false">IF(TRIM(Checks!$U$427)&lt;&gt;"",Checks!$U$427&amp;IF(Checks!$AB$427="","",CHAR(10)&amp;"CA: "&amp;Checks!$AB$427),IF(LEFT(Checks!$AH$427,10)="N/A – RULE","","[ ] Pass"&amp;CHAR(10)&amp;"[ ] Pass after CA"&amp;CHAR(10)&amp;"[ ] Fail"&amp;IF(Checks!$AT$427=1,CHAR(10)&amp;"[ ] N/A","")&amp;CHAR(10)&amp;"CA: Open / Closed"))</f>
        <v>[ ] Pass
[ ] Pass after CA
[ ] Fail
CA: Open / Closed</v>
      </c>
      <c r="E24" s="120" t="str">
        <f aca="false">IF(Checks!$V$427="","",Checks!$V$427)&amp;IF(Checks!$AC$427="","",IF(Checks!$V$427="","",CHAR(10))&amp;"N/A just.: "&amp;Checks!$AC$427)&amp;IF(OR(Checks!$W$427&lt;&gt;"",AND(Checks!$AQ$427=1,NOT(LEFT(Checks!$AH$427,10)="N/A – RULE"))),CHAR(10)&amp;"Batch: "&amp;IF(Checks!$W$427="","____________",Checks!$W$427),"")&amp;IF(OR(Checks!$X$427&lt;&gt;"",Checks!$Y$427&lt;&gt;"",AND(Checks!$AR$427=1,NOT(LEFT(Checks!$AH$427,10)="N/A – RULE"))),CHAR(10)&amp;"Exp: "&amp;IF(Checks!$X$427="","______",Checks!$X$427)&amp;"  /  Act: "&amp;IF(Checks!$Y$427="","______",Checks!$Y$427),"")</f>
        <v/>
      </c>
      <c r="F24" s="120" t="str">
        <f aca="false">IF(AND(LEFT(Checks!$AH$427,10)="N/A – RULE",TRIM(Checks!$S$427&amp;Checks!$Z$427)=""),"","Type: "&amp;IF(TRIM(Checks!$S$427)="","______________ (see cover list)",Checks!$S$427)&amp;CHAR(10)&amp;"ID: "&amp;IF(TRIM(Checks!$Z$427)="","______________ (record's own no.)",Checks!$Z$427))&amp;IF(Checks!$AA$427="","",CHAR(10)&amp;"CA: "&amp;Checks!$AA$427)</f>
        <v>Type: ______________ (see cover list)
ID: ______________ (record's own no.)</v>
      </c>
      <c r="G24" s="120" t="str">
        <f aca="false">IF(AND(LEFT(Checks!$AH$427,10)="N/A – RULE",NOT(ISNUMBER(Checks!$AD$427)),Checks!$AE$427="",Checks!$T$427=""),"","Done: "&amp;IF(ISNUMBER(Checks!$AD$427),TEXT(Checks!$AD$427,"DD-MMM-YY HH:MM"),"____________")&amp;" "&amp;Checks!$P$427&amp;CHAR(10)&amp;"Verifier: "&amp;IF(Checks!$AE$427="","____________",Checks!$AE$427)&amp;CHAR(10)&amp;"PIC: "&amp;IF(Checks!$T$427="","____________",Checks!$T$427))</f>
        <v>Done: ____________ ADL
Verifier: ____________
PIC: ____________</v>
      </c>
      <c r="H24" s="121" t="str">
        <f aca="false">IF(Checks!$AH$427="","",Checks!$AH$427)</f>
        <v>OPEN</v>
      </c>
    </row>
    <row r="25" customFormat="false" ht="114" hidden="false" customHeight="true" outlineLevel="0" collapsed="false">
      <c r="A25" s="120" t="str">
        <f aca="false">Checks!$A$428&amp;CHAR(10)&amp;IF(Checks!$I$428="","",Checks!$I$428&amp;": ")&amp;Checks!$J$428</f>
        <v>F13-T7-02
Menu: Printed menu cards confirmed (content, cycle, language, quantity)</v>
      </c>
      <c r="B25" s="120" t="str">
        <f aca="false">Checks!$K$428&amp;IF(Checks!$O$428="","",IF(Checks!$K$428="","",CHAR(10))&amp;"Note: "&amp;Checks!$O$428)</f>
        <v>Menu card matches approved menu for this flight</v>
      </c>
      <c r="C25" s="120" t="str">
        <f aca="false">Checks!$N$428&amp;CHAR(10)&amp;IF(ISNUMBER(Checks!$R$428),TEXT(Checks!$R$428,"DD-MMM-YY HH:MM"),"")&amp;" "&amp;Checks!$P$428</f>
        <v>Required
07-Oct-26 10:45 ADL</v>
      </c>
      <c r="D25" s="120" t="str">
        <f aca="false">IF(TRIM(Checks!$U$428)&lt;&gt;"",Checks!$U$428&amp;IF(Checks!$AB$428="","",CHAR(10)&amp;"CA: "&amp;Checks!$AB$428),IF(LEFT(Checks!$AH$428,10)="N/A – RULE","","[ ] Pass"&amp;CHAR(10)&amp;"[ ] Pass after CA"&amp;CHAR(10)&amp;"[ ] Fail"&amp;IF(Checks!$AT$428=1,CHAR(10)&amp;"[ ] N/A","")&amp;CHAR(10)&amp;"CA: Open / Closed"))</f>
        <v>[ ] Pass
[ ] Pass after CA
[ ] Fail
CA: Open / Closed</v>
      </c>
      <c r="E25" s="120" t="str">
        <f aca="false">IF(Checks!$V$428="","",Checks!$V$428)&amp;IF(Checks!$AC$428="","",IF(Checks!$V$428="","",CHAR(10))&amp;"N/A just.: "&amp;Checks!$AC$428)&amp;IF(OR(Checks!$W$428&lt;&gt;"",AND(Checks!$AQ$428=1,NOT(LEFT(Checks!$AH$428,10)="N/A – RULE"))),CHAR(10)&amp;"Batch: "&amp;IF(Checks!$W$428="","____________",Checks!$W$428),"")&amp;IF(OR(Checks!$X$428&lt;&gt;"",Checks!$Y$428&lt;&gt;"",AND(Checks!$AR$428=1,NOT(LEFT(Checks!$AH$428,10)="N/A – RULE"))),CHAR(10)&amp;"Exp: "&amp;IF(Checks!$X$428="","______",Checks!$X$428)&amp;"  /  Act: "&amp;IF(Checks!$Y$428="","______",Checks!$Y$428),"")</f>
        <v/>
      </c>
      <c r="F25" s="120" t="str">
        <f aca="false">IF(AND(LEFT(Checks!$AH$428,10)="N/A – RULE",TRIM(Checks!$S$428&amp;Checks!$Z$428)=""),"","Type: "&amp;IF(TRIM(Checks!$S$428)="","______________ (see cover list)",Checks!$S$428)&amp;CHAR(10)&amp;"ID: "&amp;IF(TRIM(Checks!$Z$428)="","______________ (record's own no.)",Checks!$Z$428))&amp;IF(Checks!$AA$428="","",CHAR(10)&amp;"CA: "&amp;Checks!$AA$428)</f>
        <v>Type: ______________ (see cover list)
ID: ______________ (record's own no.)</v>
      </c>
      <c r="G25" s="120" t="str">
        <f aca="false">IF(AND(LEFT(Checks!$AH$428,10)="N/A – RULE",NOT(ISNUMBER(Checks!$AD$428)),Checks!$AE$428="",Checks!$T$428=""),"","Done: "&amp;IF(ISNUMBER(Checks!$AD$428),TEXT(Checks!$AD$428,"DD-MMM-YY HH:MM"),"____________")&amp;" "&amp;Checks!$P$428&amp;CHAR(10)&amp;"Verifier: "&amp;IF(Checks!$AE$428="","____________",Checks!$AE$428)&amp;CHAR(10)&amp;"PIC: "&amp;IF(Checks!$T$428="","____________",Checks!$T$428))</f>
        <v>Done: ____________ ADL
Verifier: ____________
PIC: ____________</v>
      </c>
      <c r="H25" s="121" t="str">
        <f aca="false">IF(Checks!$AH$428="","",Checks!$AH$428)</f>
        <v>OPEN</v>
      </c>
    </row>
    <row r="26" customFormat="false" ht="114" hidden="false" customHeight="true" outlineLevel="0" collapsed="false">
      <c r="A26" s="120" t="str">
        <f aca="false">Checks!$A$429&amp;CHAR(10)&amp;IF(Checks!$I$429="","",Checks!$I$429&amp;": ")&amp;Checks!$J$429</f>
        <v>F13-T7-03
IFE: Digital menu in IFE confirmed (A339 only)</v>
      </c>
      <c r="B26" s="120" t="str">
        <f aca="false">Checks!$K$429&amp;IF(Checks!$O$429="","",IF(Checks!$K$429="","",CHAR(10))&amp;"Note: "&amp;Checks!$O$429)</f>
        <v>Applies when fleet = A339
Note: Digital IFE menu applies to A339 only (user brief). Applicability follows the Fleet cell on Flights.</v>
      </c>
      <c r="C26" s="120" t="str">
        <f aca="false">Checks!$N$429&amp;CHAR(10)&amp;IF(ISNUMBER(Checks!$R$429),TEXT(Checks!$R$429,"DD-MMM-YY HH:MM"),"")&amp;" "&amp;Checks!$P$429</f>
        <v>Required
07-Oct-26 10:45 ADL</v>
      </c>
      <c r="D26" s="120" t="str">
        <f aca="false">IF(TRIM(Checks!$U$429)&lt;&gt;"",Checks!$U$429&amp;IF(Checks!$AB$429="","",CHAR(10)&amp;"CA: "&amp;Checks!$AB$429),IF(LEFT(Checks!$AH$429,10)="N/A – RULE","","[ ] Pass"&amp;CHAR(10)&amp;"[ ] Pass after CA"&amp;CHAR(10)&amp;"[ ] Fail"&amp;IF(Checks!$AT$429=1,CHAR(10)&amp;"[ ] N/A","")&amp;CHAR(10)&amp;"CA: Open / Closed"))</f>
        <v>[ ] Pass
[ ] Pass after CA
[ ] Fail
CA: Open / Closed</v>
      </c>
      <c r="E26" s="120" t="str">
        <f aca="false">IF(Checks!$V$429="","",Checks!$V$429)&amp;IF(Checks!$AC$429="","",IF(Checks!$V$429="","",CHAR(10))&amp;"N/A just.: "&amp;Checks!$AC$429)&amp;IF(OR(Checks!$W$429&lt;&gt;"",AND(Checks!$AQ$429=1,NOT(LEFT(Checks!$AH$429,10)="N/A – RULE"))),CHAR(10)&amp;"Batch: "&amp;IF(Checks!$W$429="","____________",Checks!$W$429),"")&amp;IF(OR(Checks!$X$429&lt;&gt;"",Checks!$Y$429&lt;&gt;"",AND(Checks!$AR$429=1,NOT(LEFT(Checks!$AH$429,10)="N/A – RULE"))),CHAR(10)&amp;"Exp: "&amp;IF(Checks!$X$429="","______",Checks!$X$429)&amp;"  /  Act: "&amp;IF(Checks!$Y$429="","______",Checks!$Y$429),"")</f>
        <v/>
      </c>
      <c r="F26" s="120" t="str">
        <f aca="false">IF(AND(LEFT(Checks!$AH$429,10)="N/A – RULE",TRIM(Checks!$S$429&amp;Checks!$Z$429)=""),"","Type: "&amp;IF(TRIM(Checks!$S$429)="","______________ (see cover list)",Checks!$S$429)&amp;CHAR(10)&amp;"ID: "&amp;IF(TRIM(Checks!$Z$429)="","______________ (record's own no.)",Checks!$Z$429))&amp;IF(Checks!$AA$429="","",CHAR(10)&amp;"CA: "&amp;Checks!$AA$429)</f>
        <v>Type: ______________ (see cover list)
ID: ______________ (record's own no.)</v>
      </c>
      <c r="G26" s="120" t="str">
        <f aca="false">IF(AND(LEFT(Checks!$AH$429,10)="N/A – RULE",NOT(ISNUMBER(Checks!$AD$429)),Checks!$AE$429="",Checks!$T$429=""),"","Done: "&amp;IF(ISNUMBER(Checks!$AD$429),TEXT(Checks!$AD$429,"DD-MMM-YY HH:MM"),"____________")&amp;" "&amp;Checks!$P$429&amp;CHAR(10)&amp;"Verifier: "&amp;IF(Checks!$AE$429="","____________",Checks!$AE$429)&amp;CHAR(10)&amp;"PIC: "&amp;IF(Checks!$T$429="","____________",Checks!$T$429))</f>
        <v>Done: ____________ ADL
Verifier: ____________
PIC: ____________</v>
      </c>
      <c r="H26" s="121" t="str">
        <f aca="false">IF(Checks!$AH$429="","",Checks!$AH$429)</f>
        <v>OPEN</v>
      </c>
    </row>
    <row r="27" customFormat="false" ht="114" hidden="false" customHeight="true" outlineLevel="0" collapsed="false">
      <c r="A27" s="120" t="str">
        <f aca="false">Checks!$A$430&amp;CHAR(10)&amp;IF(Checks!$I$430="","",Checks!$I$430&amp;": ")&amp;Checks!$J$430</f>
        <v>F13-T7-04
Staffing: Experienced catering officer assigned to this flight</v>
      </c>
      <c r="B27" s="120" t="str">
        <f aca="false">Checks!$K$430&amp;IF(Checks!$O$430="","",IF(Checks!$K$430="","",CHAR(10))&amp;"Note: "&amp;Checks!$O$430)</f>
        <v>Record officer name in Result</v>
      </c>
      <c r="C27" s="120" t="str">
        <f aca="false">Checks!$N$430&amp;CHAR(10)&amp;IF(ISNUMBER(Checks!$R$430),TEXT(Checks!$R$430,"DD-MMM-YY HH:MM"),"")&amp;" "&amp;Checks!$P$430</f>
        <v>Required
07-Oct-26 10:45 ADL</v>
      </c>
      <c r="D27" s="120" t="str">
        <f aca="false">IF(TRIM(Checks!$U$430)&lt;&gt;"",Checks!$U$430&amp;IF(Checks!$AB$430="","",CHAR(10)&amp;"CA: "&amp;Checks!$AB$430),IF(LEFT(Checks!$AH$430,10)="N/A – RULE","","[ ] Pass"&amp;CHAR(10)&amp;"[ ] Pass after CA"&amp;CHAR(10)&amp;"[ ] Fail"&amp;IF(Checks!$AT$430=1,CHAR(10)&amp;"[ ] N/A","")&amp;CHAR(10)&amp;"CA: Open / Closed"))</f>
        <v>[ ] Pass
[ ] Pass after CA
[ ] Fail
CA: Open / Closed</v>
      </c>
      <c r="E27" s="120" t="str">
        <f aca="false">IF(Checks!$V$430="","",Checks!$V$430)&amp;IF(Checks!$AC$430="","",IF(Checks!$V$430="","",CHAR(10))&amp;"N/A just.: "&amp;Checks!$AC$430)&amp;IF(OR(Checks!$W$430&lt;&gt;"",AND(Checks!$AQ$430=1,NOT(LEFT(Checks!$AH$430,10)="N/A – RULE"))),CHAR(10)&amp;"Batch: "&amp;IF(Checks!$W$430="","____________",Checks!$W$430),"")&amp;IF(OR(Checks!$X$430&lt;&gt;"",Checks!$Y$430&lt;&gt;"",AND(Checks!$AR$430=1,NOT(LEFT(Checks!$AH$430,10)="N/A – RULE"))),CHAR(10)&amp;"Exp: "&amp;IF(Checks!$X$430="","______",Checks!$X$430)&amp;"  /  Act: "&amp;IF(Checks!$Y$430="","______",Checks!$Y$430),"")</f>
        <v/>
      </c>
      <c r="F27" s="120" t="str">
        <f aca="false">IF(AND(LEFT(Checks!$AH$430,10)="N/A – RULE",TRIM(Checks!$S$430&amp;Checks!$Z$430)=""),"","Type: "&amp;IF(TRIM(Checks!$S$430)="","______________ (see cover list)",Checks!$S$430)&amp;CHAR(10)&amp;"ID: "&amp;IF(TRIM(Checks!$Z$430)="","______________ (record's own no.)",Checks!$Z$430))&amp;IF(Checks!$AA$430="","",CHAR(10)&amp;"CA: "&amp;Checks!$AA$430)</f>
        <v>Type: ______________ (see cover list)
ID: ______________ (record's own no.)</v>
      </c>
      <c r="G27" s="120" t="str">
        <f aca="false">IF(AND(LEFT(Checks!$AH$430,10)="N/A – RULE",NOT(ISNUMBER(Checks!$AD$430)),Checks!$AE$430="",Checks!$T$430=""),"","Done: "&amp;IF(ISNUMBER(Checks!$AD$430),TEXT(Checks!$AD$430,"DD-MMM-YY HH:MM"),"____________")&amp;" "&amp;Checks!$P$430&amp;CHAR(10)&amp;"Verifier: "&amp;IF(Checks!$AE$430="","____________",Checks!$AE$430)&amp;CHAR(10)&amp;"PIC: "&amp;IF(Checks!$T$430="","____________",Checks!$T$430))</f>
        <v>Done: ____________ ADL
Verifier: ____________
PIC: ____________</v>
      </c>
      <c r="H27" s="121" t="str">
        <f aca="false">IF(Checks!$AH$430="","",Checks!$AH$430)</f>
        <v>OPEN</v>
      </c>
    </row>
    <row r="28" customFormat="false" ht="114" hidden="false" customHeight="true" outlineLevel="0" collapsed="false">
      <c r="A28" s="120" t="str">
        <f aca="false">Checks!$A$431&amp;CHAR(10)&amp;IF(Checks!$I$431="","",Checks!$I$431&amp;": ")&amp;Checks!$J$431</f>
        <v>F13-T7-05
ISOP: All latest applicable ISOP revisions communicated to caterer</v>
      </c>
      <c r="B28" s="120" t="str">
        <f aca="false">Checks!$K$431&amp;IF(Checks!$O$431="","",IF(Checks!$K$431="","",CHAR(10))&amp;"Note: "&amp;Checks!$O$431)</f>
        <v>List revision numbers in Result (see ISOP register)</v>
      </c>
      <c r="C28" s="120" t="str">
        <f aca="false">Checks!$N$431&amp;CHAR(10)&amp;IF(ISNUMBER(Checks!$R$431),TEXT(Checks!$R$431,"DD-MMM-YY HH:MM"),"")&amp;" "&amp;Checks!$P$431</f>
        <v>Required
07-Oct-26 10:45 ADL</v>
      </c>
      <c r="D28" s="120" t="str">
        <f aca="false">IF(TRIM(Checks!$U$431)&lt;&gt;"",Checks!$U$431&amp;IF(Checks!$AB$431="","",CHAR(10)&amp;"CA: "&amp;Checks!$AB$431),IF(LEFT(Checks!$AH$431,10)="N/A – RULE","","[ ] Pass"&amp;CHAR(10)&amp;"[ ] Pass after CA"&amp;CHAR(10)&amp;"[ ] Fail"&amp;IF(Checks!$AT$431=1,CHAR(10)&amp;"[ ] N/A","")&amp;CHAR(10)&amp;"CA: Open / Closed"))</f>
        <v>[ ] Pass
[ ] Pass after CA
[ ] Fail
CA: Open / Closed</v>
      </c>
      <c r="E28" s="120" t="str">
        <f aca="false">IF(Checks!$V$431="","",Checks!$V$431)&amp;IF(Checks!$AC$431="","",IF(Checks!$V$431="","",CHAR(10))&amp;"N/A just.: "&amp;Checks!$AC$431)&amp;IF(OR(Checks!$W$431&lt;&gt;"",AND(Checks!$AQ$431=1,NOT(LEFT(Checks!$AH$431,10)="N/A – RULE"))),CHAR(10)&amp;"Batch: "&amp;IF(Checks!$W$431="","____________",Checks!$W$431),"")&amp;IF(OR(Checks!$X$431&lt;&gt;"",Checks!$Y$431&lt;&gt;"",AND(Checks!$AR$431=1,NOT(LEFT(Checks!$AH$431,10)="N/A – RULE"))),CHAR(10)&amp;"Exp: "&amp;IF(Checks!$X$431="","______",Checks!$X$431)&amp;"  /  Act: "&amp;IF(Checks!$Y$431="","______",Checks!$Y$431),"")</f>
        <v/>
      </c>
      <c r="F28" s="120" t="str">
        <f aca="false">IF(AND(LEFT(Checks!$AH$431,10)="N/A – RULE",TRIM(Checks!$S$431&amp;Checks!$Z$431)=""),"","Type: "&amp;IF(TRIM(Checks!$S$431)="","______________ (see cover list)",Checks!$S$431)&amp;CHAR(10)&amp;"ID: "&amp;IF(TRIM(Checks!$Z$431)="","______________ (record's own no.)",Checks!$Z$431))&amp;IF(Checks!$AA$431="","",CHAR(10)&amp;"CA: "&amp;Checks!$AA$431)</f>
        <v>Type: ______________ (see cover list)
ID: ______________ (record's own no.)</v>
      </c>
      <c r="G28" s="120" t="str">
        <f aca="false">IF(AND(LEFT(Checks!$AH$431,10)="N/A – RULE",NOT(ISNUMBER(Checks!$AD$431)),Checks!$AE$431="",Checks!$T$431=""),"","Done: "&amp;IF(ISNUMBER(Checks!$AD$431),TEXT(Checks!$AD$431,"DD-MMM-YY HH:MM"),"____________")&amp;" "&amp;Checks!$P$431&amp;CHAR(10)&amp;"Verifier: "&amp;IF(Checks!$AE$431="","____________",Checks!$AE$431)&amp;CHAR(10)&amp;"PIC: "&amp;IF(Checks!$T$431="","____________",Checks!$T$431))</f>
        <v>Done: ____________ ADL
Verifier: ____________
PIC: ____________</v>
      </c>
      <c r="H28" s="121" t="str">
        <f aca="false">IF(Checks!$AH$431="","",Checks!$AH$431)</f>
        <v>OPEN</v>
      </c>
    </row>
    <row r="29" customFormat="false" ht="114" hidden="false" customHeight="true" outlineLevel="0" collapsed="false">
      <c r="A29" s="120" t="str">
        <f aca="false">Checks!$A$432&amp;CHAR(10)&amp;IF(Checks!$I$432="","",Checks!$I$432&amp;": ")&amp;Checks!$J$432</f>
        <v>F13-T7-06
ISOP: Caterer acknowledgement of ISOP revisions recorded</v>
      </c>
      <c r="B29" s="120" t="str">
        <f aca="false">Checks!$K$432&amp;IF(Checks!$O$432="","",IF(Checks!$K$432="","",CHAR(10))&amp;"Note: "&amp;Checks!$O$432)</f>
        <v>Record acknowledgement ref in Evidence</v>
      </c>
      <c r="C29" s="120" t="str">
        <f aca="false">Checks!$N$432&amp;CHAR(10)&amp;IF(ISNUMBER(Checks!$R$432),TEXT(Checks!$R$432,"DD-MMM-YY HH:MM"),"")&amp;" "&amp;Checks!$P$432</f>
        <v>Required
07-Oct-26 10:45 ADL</v>
      </c>
      <c r="D29" s="120" t="str">
        <f aca="false">IF(TRIM(Checks!$U$432)&lt;&gt;"",Checks!$U$432&amp;IF(Checks!$AB$432="","",CHAR(10)&amp;"CA: "&amp;Checks!$AB$432),IF(LEFT(Checks!$AH$432,10)="N/A – RULE","","[ ] Pass"&amp;CHAR(10)&amp;"[ ] Pass after CA"&amp;CHAR(10)&amp;"[ ] Fail"&amp;IF(Checks!$AT$432=1,CHAR(10)&amp;"[ ] N/A","")&amp;CHAR(10)&amp;"CA: Open / Closed"))</f>
        <v>[ ] Pass
[ ] Pass after CA
[ ] Fail
CA: Open / Closed</v>
      </c>
      <c r="E29" s="120" t="str">
        <f aca="false">IF(Checks!$V$432="","",Checks!$V$432)&amp;IF(Checks!$AC$432="","",IF(Checks!$V$432="","",CHAR(10))&amp;"N/A just.: "&amp;Checks!$AC$432)&amp;IF(OR(Checks!$W$432&lt;&gt;"",AND(Checks!$AQ$432=1,NOT(LEFT(Checks!$AH$432,10)="N/A – RULE"))),CHAR(10)&amp;"Batch: "&amp;IF(Checks!$W$432="","____________",Checks!$W$432),"")&amp;IF(OR(Checks!$X$432&lt;&gt;"",Checks!$Y$432&lt;&gt;"",AND(Checks!$AR$432=1,NOT(LEFT(Checks!$AH$432,10)="N/A – RULE"))),CHAR(10)&amp;"Exp: "&amp;IF(Checks!$X$432="","______",Checks!$X$432)&amp;"  /  Act: "&amp;IF(Checks!$Y$432="","______",Checks!$Y$432),"")</f>
        <v/>
      </c>
      <c r="F29" s="120" t="str">
        <f aca="false">IF(AND(LEFT(Checks!$AH$432,10)="N/A – RULE",TRIM(Checks!$S$432&amp;Checks!$Z$432)=""),"","Type: "&amp;IF(TRIM(Checks!$S$432)="","______________ (see cover list)",Checks!$S$432)&amp;CHAR(10)&amp;"ID: "&amp;IF(TRIM(Checks!$Z$432)="","______________ (record's own no.)",Checks!$Z$432))&amp;IF(Checks!$AA$432="","",CHAR(10)&amp;"CA: "&amp;Checks!$AA$432)</f>
        <v>Type: ______________ (see cover list)
ID: ______________ (record's own no.)</v>
      </c>
      <c r="G29" s="120" t="str">
        <f aca="false">IF(AND(LEFT(Checks!$AH$432,10)="N/A – RULE",NOT(ISNUMBER(Checks!$AD$432)),Checks!$AE$432="",Checks!$T$432=""),"","Done: "&amp;IF(ISNUMBER(Checks!$AD$432),TEXT(Checks!$AD$432,"DD-MMM-YY HH:MM"),"____________")&amp;" "&amp;Checks!$P$432&amp;CHAR(10)&amp;"Verifier: "&amp;IF(Checks!$AE$432="","____________",Checks!$AE$432)&amp;CHAR(10)&amp;"PIC: "&amp;IF(Checks!$T$432="","____________",Checks!$T$432))</f>
        <v>Done: ____________ ADL
Verifier: ____________
PIC: ____________</v>
      </c>
      <c r="H29" s="121" t="str">
        <f aca="false">IF(Checks!$AH$432="","",Checks!$AH$432)</f>
        <v>OPEN</v>
      </c>
    </row>
    <row r="30" customFormat="false" ht="114" hidden="false" customHeight="true" outlineLevel="0" collapsed="false">
      <c r="A30" s="120" t="str">
        <f aca="false">Checks!$A$433&amp;CHAR(10)&amp;IF(Checks!$I$433="","",Checks!$I$433&amp;": ")&amp;Checks!$J$433</f>
        <v>F13-T7-07
Documents: Galley loading diagram (GLD) received, revision recorded &amp; attached</v>
      </c>
      <c r="B30" s="120" t="str">
        <f aca="false">SUBSTITUTE(Checks!$K$433&amp;IF(Checks!$O$433="","",IF(Checks!$K$433="","",CHAR(10))&amp;"Note: "&amp;Checks!$O$433),"Documents sheet row complete","Recorded on the Documents sheet; copy stapled as A1 / A2")</f>
        <v>Recorded on the Documents sheet; copy stapled as A1 / A2</v>
      </c>
      <c r="C30" s="120" t="str">
        <f aca="false">Checks!$N$433&amp;CHAR(10)&amp;IF(ISNUMBER(Checks!$R$433),TEXT(Checks!$R$433,"DD-MMM-YY HH:MM"),"")&amp;" "&amp;Checks!$P$433</f>
        <v>Required
07-Oct-26 10:45 ADL</v>
      </c>
      <c r="D30" s="120" t="str">
        <f aca="false">IF(TRIM(Checks!$U$433)&lt;&gt;"",Checks!$U$433&amp;IF(Checks!$AB$433="","",CHAR(10)&amp;"CA: "&amp;Checks!$AB$433),IF(LEFT(Checks!$AH$433,10)="N/A – RULE","","[ ] Pass"&amp;CHAR(10)&amp;"[ ] Pass after CA"&amp;CHAR(10)&amp;"[ ] Fail"&amp;IF(Checks!$AT$433=1,CHAR(10)&amp;"[ ] N/A","")&amp;CHAR(10)&amp;"CA: Open / Closed"))</f>
        <v>[ ] Pass
[ ] Pass after CA
[ ] Fail
CA: Open / Closed</v>
      </c>
      <c r="E30" s="120" t="str">
        <f aca="false">IF(Checks!$V$433="","",Checks!$V$433)&amp;IF(Checks!$AC$433="","",IF(Checks!$V$433="","",CHAR(10))&amp;"N/A just.: "&amp;Checks!$AC$433)&amp;IF(OR(Checks!$W$433&lt;&gt;"",AND(Checks!$AQ$433=1,NOT(LEFT(Checks!$AH$433,10)="N/A – RULE"))),CHAR(10)&amp;"Batch: "&amp;IF(Checks!$W$433="","____________",Checks!$W$433),"")&amp;IF(OR(Checks!$X$433&lt;&gt;"",Checks!$Y$433&lt;&gt;"",AND(Checks!$AR$433=1,NOT(LEFT(Checks!$AH$433,10)="N/A – RULE"))),CHAR(10)&amp;"Exp: "&amp;IF(Checks!$X$433="","______",Checks!$X$433)&amp;"  /  Act: "&amp;IF(Checks!$Y$433="","______",Checks!$Y$433),"")</f>
        <v/>
      </c>
      <c r="F30" s="120" t="str">
        <f aca="false">IF(AND(LEFT(Checks!$AH$433,10)="N/A – RULE",TRIM(Checks!$S$433&amp;Checks!$Z$433)=""),"","Type: "&amp;IF(TRIM(Checks!$S$433)="","______________ (see cover list)",Checks!$S$433)&amp;CHAR(10)&amp;"ID: "&amp;IF(TRIM(Checks!$Z$433)="","______________ (record's own no.)",Checks!$Z$433))&amp;IF(Checks!$AA$433="","",CHAR(10)&amp;"CA: "&amp;Checks!$AA$433)</f>
        <v>Type: ______________ (see cover list)
ID: ______________ (record's own no.)</v>
      </c>
      <c r="G30" s="120" t="str">
        <f aca="false">IF(AND(LEFT(Checks!$AH$433,10)="N/A – RULE",NOT(ISNUMBER(Checks!$AD$433)),Checks!$AE$433="",Checks!$T$433=""),"","Done: "&amp;IF(ISNUMBER(Checks!$AD$433),TEXT(Checks!$AD$433,"DD-MMM-YY HH:MM"),"____________")&amp;" "&amp;Checks!$P$433&amp;CHAR(10)&amp;"Verifier: "&amp;IF(Checks!$AE$433="","____________",Checks!$AE$433)&amp;CHAR(10)&amp;"PIC: "&amp;IF(Checks!$T$433="","____________",Checks!$T$433))</f>
        <v>Done: ____________ ADL
Verifier: ____________
PIC: ____________</v>
      </c>
      <c r="H30" s="121" t="str">
        <f aca="false">IF(Checks!$AH$433="","",Checks!$AH$433)</f>
        <v>OPEN</v>
      </c>
    </row>
    <row r="31" customFormat="false" ht="114" hidden="false" customHeight="true" outlineLevel="0" collapsed="false">
      <c r="A31" s="120" t="str">
        <f aca="false">Checks!$A$434&amp;CHAR(10)&amp;IF(Checks!$I$434="","",Checks!$I$434&amp;": ")&amp;Checks!$J$434</f>
        <v>F13-T7-08
Documents: Menu checklist received, revision recorded &amp; attached</v>
      </c>
      <c r="B31" s="120" t="str">
        <f aca="false">SUBSTITUTE(Checks!$K$434&amp;IF(Checks!$O$434="","",IF(Checks!$K$434="","",CHAR(10))&amp;"Note: "&amp;Checks!$O$434),"Documents sheet row complete","Recorded on the Documents sheet; copy stapled as A1 / A2")</f>
        <v>Recorded on the Documents sheet; copy stapled as A1 / A2</v>
      </c>
      <c r="C31" s="120" t="str">
        <f aca="false">Checks!$N$434&amp;CHAR(10)&amp;IF(ISNUMBER(Checks!$R$434),TEXT(Checks!$R$434,"DD-MMM-YY HH:MM"),"")&amp;" "&amp;Checks!$P$434</f>
        <v>Required
07-Oct-26 10:45 ADL</v>
      </c>
      <c r="D31" s="120" t="str">
        <f aca="false">IF(TRIM(Checks!$U$434)&lt;&gt;"",Checks!$U$434&amp;IF(Checks!$AB$434="","",CHAR(10)&amp;"CA: "&amp;Checks!$AB$434),IF(LEFT(Checks!$AH$434,10)="N/A – RULE","","[ ] Pass"&amp;CHAR(10)&amp;"[ ] Pass after CA"&amp;CHAR(10)&amp;"[ ] Fail"&amp;IF(Checks!$AT$434=1,CHAR(10)&amp;"[ ] N/A","")&amp;CHAR(10)&amp;"CA: Open / Closed"))</f>
        <v>[ ] Pass
[ ] Pass after CA
[ ] Fail
CA: Open / Closed</v>
      </c>
      <c r="E31" s="120" t="str">
        <f aca="false">IF(Checks!$V$434="","",Checks!$V$434)&amp;IF(Checks!$AC$434="","",IF(Checks!$V$434="","",CHAR(10))&amp;"N/A just.: "&amp;Checks!$AC$434)&amp;IF(OR(Checks!$W$434&lt;&gt;"",AND(Checks!$AQ$434=1,NOT(LEFT(Checks!$AH$434,10)="N/A – RULE"))),CHAR(10)&amp;"Batch: "&amp;IF(Checks!$W$434="","____________",Checks!$W$434),"")&amp;IF(OR(Checks!$X$434&lt;&gt;"",Checks!$Y$434&lt;&gt;"",AND(Checks!$AR$434=1,NOT(LEFT(Checks!$AH$434,10)="N/A – RULE"))),CHAR(10)&amp;"Exp: "&amp;IF(Checks!$X$434="","______",Checks!$X$434)&amp;"  /  Act: "&amp;IF(Checks!$Y$434="","______",Checks!$Y$434),"")</f>
        <v/>
      </c>
      <c r="F31" s="120" t="str">
        <f aca="false">IF(AND(LEFT(Checks!$AH$434,10)="N/A – RULE",TRIM(Checks!$S$434&amp;Checks!$Z$434)=""),"","Type: "&amp;IF(TRIM(Checks!$S$434)="","______________ (see cover list)",Checks!$S$434)&amp;CHAR(10)&amp;"ID: "&amp;IF(TRIM(Checks!$Z$434)="","______________ (record's own no.)",Checks!$Z$434))&amp;IF(Checks!$AA$434="","",CHAR(10)&amp;"CA: "&amp;Checks!$AA$434)</f>
        <v>Type: ______________ (see cover list)
ID: ______________ (record's own no.)</v>
      </c>
      <c r="G31" s="120" t="str">
        <f aca="false">IF(AND(LEFT(Checks!$AH$434,10)="N/A – RULE",NOT(ISNUMBER(Checks!$AD$434)),Checks!$AE$434="",Checks!$T$434=""),"","Done: "&amp;IF(ISNUMBER(Checks!$AD$434),TEXT(Checks!$AD$434,"DD-MMM-YY HH:MM"),"____________")&amp;" "&amp;Checks!$P$434&amp;CHAR(10)&amp;"Verifier: "&amp;IF(Checks!$AE$434="","____________",Checks!$AE$434)&amp;CHAR(10)&amp;"PIC: "&amp;IF(Checks!$T$434="","____________",Checks!$T$434))</f>
        <v>Done: ____________ ADL
Verifier: ____________
PIC: ____________</v>
      </c>
      <c r="H31" s="121" t="str">
        <f aca="false">IF(Checks!$AH$434="","",Checks!$AH$434)</f>
        <v>OPEN</v>
      </c>
    </row>
    <row r="32" customFormat="false" ht="114" hidden="false" customHeight="true" outlineLevel="0" collapsed="false">
      <c r="A32" s="120" t="str">
        <f aca="false">Checks!$A$435&amp;CHAR(10)&amp;IF(Checks!$I$435="","",Checks!$I$435&amp;": ")&amp;Checks!$J$435</f>
        <v>F13-T7-09
Uplift plan: Uplift plan confirmed with caterer vs STD Uplift Information</v>
      </c>
      <c r="B32" s="120" t="str">
        <f aca="false">Checks!$K$435&amp;IF(Checks!$O$435="","",IF(Checks!$K$435="","",CHAR(10))&amp;"Note: "&amp;Checks!$O$435)</f>
        <v>Service: 1.5 Meal (Meal); meal uplift stn ADL (ref lists KUL/ADL)</v>
      </c>
      <c r="C32" s="120" t="str">
        <f aca="false">Checks!$N$435&amp;CHAR(10)&amp;IF(ISNUMBER(Checks!$R$435),TEXT(Checks!$R$435,"DD-MMM-YY HH:MM"),"")&amp;" "&amp;Checks!$P$435</f>
        <v>Required
07-Oct-26 10:45 ADL</v>
      </c>
      <c r="D32" s="120" t="str">
        <f aca="false">IF(TRIM(Checks!$U$435)&lt;&gt;"",Checks!$U$435&amp;IF(Checks!$AB$435="","",CHAR(10)&amp;"CA: "&amp;Checks!$AB$435),IF(LEFT(Checks!$AH$435,10)="N/A – RULE","","[ ] Pass"&amp;CHAR(10)&amp;"[ ] Pass after CA"&amp;CHAR(10)&amp;"[ ] Fail"&amp;IF(Checks!$AT$435=1,CHAR(10)&amp;"[ ] N/A","")&amp;CHAR(10)&amp;"CA: Open / Closed"))</f>
        <v>[ ] Pass
[ ] Pass after CA
[ ] Fail
CA: Open / Closed</v>
      </c>
      <c r="E32" s="120" t="str">
        <f aca="false">IF(Checks!$V$435="","",Checks!$V$435)&amp;IF(Checks!$AC$435="","",IF(Checks!$V$435="","",CHAR(10))&amp;"N/A just.: "&amp;Checks!$AC$435)&amp;IF(OR(Checks!$W$435&lt;&gt;"",AND(Checks!$AQ$435=1,NOT(LEFT(Checks!$AH$435,10)="N/A – RULE"))),CHAR(10)&amp;"Batch: "&amp;IF(Checks!$W$435="","____________",Checks!$W$435),"")&amp;IF(OR(Checks!$X$435&lt;&gt;"",Checks!$Y$435&lt;&gt;"",AND(Checks!$AR$435=1,NOT(LEFT(Checks!$AH$435,10)="N/A – RULE"))),CHAR(10)&amp;"Exp: "&amp;IF(Checks!$X$435="","______",Checks!$X$435)&amp;"  /  Act: "&amp;IF(Checks!$Y$435="","______",Checks!$Y$435),"")</f>
        <v/>
      </c>
      <c r="F32" s="120" t="str">
        <f aca="false">IF(AND(LEFT(Checks!$AH$435,10)="N/A – RULE",TRIM(Checks!$S$435&amp;Checks!$Z$435)=""),"","Type: "&amp;IF(TRIM(Checks!$S$435)="","______________ (see cover list)",Checks!$S$435)&amp;CHAR(10)&amp;"ID: "&amp;IF(TRIM(Checks!$Z$435)="","______________ (record's own no.)",Checks!$Z$435))&amp;IF(Checks!$AA$435="","",CHAR(10)&amp;"CA: "&amp;Checks!$AA$435)</f>
        <v>Type: ______________ (see cover list)
ID: ______________ (record's own no.)</v>
      </c>
      <c r="G32" s="120" t="str">
        <f aca="false">IF(AND(LEFT(Checks!$AH$435,10)="N/A – RULE",NOT(ISNUMBER(Checks!$AD$435)),Checks!$AE$435="",Checks!$T$435=""),"","Done: "&amp;IF(ISNUMBER(Checks!$AD$435),TEXT(Checks!$AD$435,"DD-MMM-YY HH:MM"),"____________")&amp;" "&amp;Checks!$P$435&amp;CHAR(10)&amp;"Verifier: "&amp;IF(Checks!$AE$435="","____________",Checks!$AE$435)&amp;CHAR(10)&amp;"PIC: "&amp;IF(Checks!$T$435="","____________",Checks!$T$435))</f>
        <v>Done: ____________ ADL
Verifier: ____________
PIC: ____________</v>
      </c>
      <c r="H32" s="121" t="str">
        <f aca="false">IF(Checks!$AH$435="","",Checks!$AH$435)</f>
        <v>OPEN</v>
      </c>
    </row>
    <row r="33" customFormat="false" ht="267.75" hidden="false" customHeight="true" outlineLevel="0" collapsed="false">
      <c r="A33" s="120" t="str">
        <f aca="false">Checks!$A$436&amp;CHAR(10)&amp;IF(Checks!$I$436="","",Checks!$I$436&amp;": ")&amp;Checks!$J$436</f>
        <v>F13-T7-10
Uplift plan: Inbound KUL-ADL flight carrying KUL-sourced items identified and its KUL departure (UTC) entered on Flights col AX</v>
      </c>
      <c r="B33" s="120" t="str">
        <f aca="false">SUBSTITUTE(Checks!$K$436&amp;IF(Checks!$O$436="","",IF(Checks!$K$436="","",CHAR(10))&amp;"Note: "&amp;Checks!$O$436),"until Flights AX holds","until the workbook (Flights sheet) holds")</f>
        <v>KUL-sourced items (Toiletry kits) travel on the inbound KUL-ADL sector
Note: Cannot be passed until the workbook (Flights sheet) holds the carrying flight's KUL departure (agenda candidate MH0139 12-Oct (F12)). Until then the prep and KUL-loading dues assume the agenda candidate's KUL departure, or if none, the latest possible one (STD minus the shortest agenda KUL-ADL block).</v>
      </c>
      <c r="C33" s="120" t="str">
        <f aca="false">Checks!$N$436&amp;CHAR(10)&amp;IF(ISNUMBER(Checks!$R$436),TEXT(Checks!$R$436,"DD-MMM-YY HH:MM"),"")&amp;" "&amp;Checks!$P$436</f>
        <v>Clarification required
07-Oct-26 08:15 KUL</v>
      </c>
      <c r="D33" s="120" t="str">
        <f aca="false">IF(TRIM(Checks!$U$436)&lt;&gt;"",Checks!$U$436&amp;IF(Checks!$AB$436="","",CHAR(10)&amp;"CA: "&amp;Checks!$AB$436),IF(LEFT(Checks!$AH$436,10)="N/A – RULE","","[ ] Pass"&amp;CHAR(10)&amp;"[ ] Pass after CA"&amp;CHAR(10)&amp;"[ ] Fail"&amp;IF(Checks!$AT$436=1,CHAR(10)&amp;"[ ] N/A","")&amp;CHAR(10)&amp;"CA: Open / Closed"))</f>
        <v>[ ] Pass
[ ] Pass after CA
[ ] Fail
CA: Open / Closed</v>
      </c>
      <c r="E33" s="120" t="str">
        <f aca="false">IF(Checks!$V$436="","",Checks!$V$436)&amp;IF(Checks!$AC$436="","",IF(Checks!$V$436="","",CHAR(10))&amp;"N/A just.: "&amp;Checks!$AC$436)&amp;IF(OR(Checks!$W$436&lt;&gt;"",AND(Checks!$AQ$436=1,NOT(LEFT(Checks!$AH$436,10)="N/A – RULE"))),CHAR(10)&amp;"Batch: "&amp;IF(Checks!$W$436="","____________",Checks!$W$436),"")&amp;IF(OR(Checks!$X$436&lt;&gt;"",Checks!$Y$436&lt;&gt;"",AND(Checks!$AR$436=1,NOT(LEFT(Checks!$AH$436,10)="N/A – RULE"))),CHAR(10)&amp;"Exp: "&amp;IF(Checks!$X$436="","______",Checks!$X$436)&amp;"  /  Act: "&amp;IF(Checks!$Y$436="","______",Checks!$Y$436),"")</f>
        <v/>
      </c>
      <c r="F33" s="120" t="str">
        <f aca="false">IF(AND(LEFT(Checks!$AH$436,10)="N/A – RULE",TRIM(Checks!$S$436&amp;Checks!$Z$436)=""),"","Type: "&amp;IF(TRIM(Checks!$S$436)="","______________ (see cover list)",Checks!$S$436)&amp;CHAR(10)&amp;"ID: "&amp;IF(TRIM(Checks!$Z$436)="","______________ (record's own no.)",Checks!$Z$436))&amp;IF(Checks!$AA$436="","",CHAR(10)&amp;"CA: "&amp;Checks!$AA$436)</f>
        <v>Type: ______________ (see cover list)
ID: ______________ (record's own no.)</v>
      </c>
      <c r="G33" s="120" t="str">
        <f aca="false">IF(AND(LEFT(Checks!$AH$436,10)="N/A – RULE",NOT(ISNUMBER(Checks!$AD$436)),Checks!$AE$436="",Checks!$T$436=""),"","Done: "&amp;IF(ISNUMBER(Checks!$AD$436),TEXT(Checks!$AD$436,"DD-MMM-YY HH:MM"),"____________")&amp;" "&amp;Checks!$P$436&amp;CHAR(10)&amp;"Verifier: "&amp;IF(Checks!$AE$436="","____________",Checks!$AE$436)&amp;CHAR(10)&amp;"PIC: "&amp;IF(Checks!$T$436="","____________",Checks!$T$436))</f>
        <v>Done: ____________ KUL
Verifier: ____________
PIC: ____________</v>
      </c>
      <c r="H33" s="121" t="str">
        <f aca="false">IF(Checks!$AH$436="","",Checks!$AH$436)</f>
        <v>OPEN – CLARIFICATION</v>
      </c>
    </row>
    <row r="34" customFormat="false" ht="25.5" hidden="false" customHeight="true" outlineLevel="0" collapsed="false">
      <c r="A34" s="119" t="str">
        <f aca="false">"T-24H — Production batch sensory  |  Due "&amp;IF(ISNUMBER(Flights!$AH$17),TEXT(Flights!$AH$17,"DD-MMM-YY HH:MM"),"")&amp;" "&amp;Flights!$V$17&amp;" (meal uplift stn)"&amp;" (rows with another due show their own)  |  Complete "&amp;IF(ISNUMBER(Flights!$AK$17),TEXT(Flights!$AK$17,"0%"),Flights!$AK$17)&amp;"  |  1 lines"</f>
        <v>T-24H — Production batch sensory  |  Due 13-Oct-26 10:45 ADL (meal uplift stn) (rows with another due show their own)  |  Complete 0%  |  1 lines</v>
      </c>
      <c r="B34" s="119"/>
      <c r="C34" s="119"/>
      <c r="D34" s="119"/>
      <c r="E34" s="119"/>
      <c r="F34" s="119"/>
      <c r="G34" s="119"/>
      <c r="H34" s="119"/>
    </row>
    <row r="35" customFormat="false" ht="114" hidden="false" customHeight="true" outlineLevel="0" collapsed="false">
      <c r="A35" s="120" t="str">
        <f aca="false">Checks!$A$437&amp;CHAR(10)&amp;IF(Checks!$I$437="","",Checks!$I$437&amp;": ")&amp;Checks!$J$437</f>
        <v>F13-T24-01
Meal: Sensory test repeated on ACTUAL production batch for this flight</v>
      </c>
      <c r="B35" s="120" t="str">
        <f aca="false">Checks!$K$437&amp;IF(Checks!$O$437="","",IF(Checks!$K$437="","",CHAR(10))&amp;"Note: "&amp;Checks!$O$437)</f>
        <v>Batch ID, result, CA and acceptance mandatory</v>
      </c>
      <c r="C35" s="120" t="str">
        <f aca="false">Checks!$N$437&amp;CHAR(10)&amp;IF(ISNUMBER(Checks!$R$437),TEXT(Checks!$R$437,"DD-MMM-YY HH:MM"),"")&amp;" "&amp;Checks!$P$437</f>
        <v>Required
13-Oct-26 10:45 ADL</v>
      </c>
      <c r="D35" s="120" t="str">
        <f aca="false">IF(TRIM(Checks!$U$437)&lt;&gt;"",Checks!$U$437&amp;IF(Checks!$AB$437="","",CHAR(10)&amp;"CA: "&amp;Checks!$AB$437),IF(LEFT(Checks!$AH$437,10)="N/A – RULE","","[ ] Pass"&amp;CHAR(10)&amp;"[ ] Pass after CA"&amp;CHAR(10)&amp;"[ ] Fail"&amp;IF(Checks!$AT$437=1,CHAR(10)&amp;"[ ] N/A","")&amp;CHAR(10)&amp;"CA: Open / Closed"))</f>
        <v>[ ] Pass
[ ] Pass after CA
[ ] Fail
CA: Open / Closed</v>
      </c>
      <c r="E35" s="120" t="str">
        <f aca="false">IF(Checks!$V$437="","",Checks!$V$437)&amp;IF(Checks!$AC$437="","",IF(Checks!$V$437="","",CHAR(10))&amp;"N/A just.: "&amp;Checks!$AC$437)&amp;IF(OR(Checks!$W$437&lt;&gt;"",AND(Checks!$AQ$437=1,NOT(LEFT(Checks!$AH$437,10)="N/A – RULE"))),CHAR(10)&amp;"Batch: "&amp;IF(Checks!$W$437="","____________",Checks!$W$437),"")&amp;IF(OR(Checks!$X$437&lt;&gt;"",Checks!$Y$437&lt;&gt;"",AND(Checks!$AR$437=1,NOT(LEFT(Checks!$AH$437,10)="N/A – RULE"))),CHAR(10)&amp;"Exp: "&amp;IF(Checks!$X$437="","______",Checks!$X$437)&amp;"  /  Act: "&amp;IF(Checks!$Y$437="","______",Checks!$Y$437),"")</f>
        <v>
Batch: ____________</v>
      </c>
      <c r="F35" s="120" t="str">
        <f aca="false">IF(AND(LEFT(Checks!$AH$437,10)="N/A – RULE",TRIM(Checks!$S$437&amp;Checks!$Z$437)=""),"","Type: "&amp;IF(TRIM(Checks!$S$437)="","______________ (see cover list)",Checks!$S$437)&amp;CHAR(10)&amp;"ID: "&amp;IF(TRIM(Checks!$Z$437)="","______________ (record's own no.)",Checks!$Z$437))&amp;IF(Checks!$AA$437="","",CHAR(10)&amp;"CA: "&amp;Checks!$AA$437)</f>
        <v>Type: ______________ (see cover list)
ID: ______________ (record's own no.)</v>
      </c>
      <c r="G35" s="120" t="str">
        <f aca="false">IF(AND(LEFT(Checks!$AH$437,10)="N/A – RULE",NOT(ISNUMBER(Checks!$AD$437)),Checks!$AE$437="",Checks!$T$437=""),"","Done: "&amp;IF(ISNUMBER(Checks!$AD$437),TEXT(Checks!$AD$437,"DD-MMM-YY HH:MM"),"____________")&amp;" "&amp;Checks!$P$437&amp;CHAR(10)&amp;"Verifier: "&amp;IF(Checks!$AE$437="","____________",Checks!$AE$437)&amp;CHAR(10)&amp;"PIC: "&amp;IF(Checks!$T$437="","____________",Checks!$T$437))</f>
        <v>Done: ____________ ADL
Verifier: ____________
PIC: ____________</v>
      </c>
      <c r="H35" s="121" t="str">
        <f aca="false">IF(Checks!$AH$437="","",Checks!$AH$437)</f>
        <v>OPEN</v>
      </c>
    </row>
    <row r="36" customFormat="false" ht="25.5" hidden="false" customHeight="true" outlineLevel="0" collapsed="false">
      <c r="A36" s="119" t="str">
        <f aca="false">"T-12H PREP — Preparation check at caterer (does NOT confirm loading)  |  Due "&amp;IF(ISNUMBER(Flights!$AI$17),TEXT(Flights!$AI$17,"DD-MMM-YY HH:MM"),"")&amp;" "&amp;Flights!$V$17&amp;" (meal uplift stn)"&amp;" (rows with another due show their own)  |  Complete "&amp;IF(ISNUMBER(Flights!$AL$17),TEXT(Flights!$AL$17,"0%"),Flights!$AL$17)&amp;"  |  11 lines"</f>
        <v>T-12H PREP — Preparation check at caterer (does NOT confirm loading)  |  Due 13-Oct-26 22:45 ADL (meal uplift stn) (rows with another due show their own)  |  Complete 0%  |  11 lines</v>
      </c>
      <c r="B36" s="119"/>
      <c r="C36" s="119"/>
      <c r="D36" s="119"/>
      <c r="E36" s="119"/>
      <c r="F36" s="119"/>
      <c r="G36" s="119"/>
      <c r="H36" s="119"/>
    </row>
    <row r="37" customFormat="false" ht="114" hidden="false" customHeight="true" outlineLevel="0" collapsed="false">
      <c r="A37" s="120" t="str">
        <f aca="false">Checks!$A$438&amp;CHAR(10)&amp;IF(Checks!$I$438="","",Checks!$I$438&amp;": ")&amp;Checks!$J$438</f>
        <v>F13-T12-01
Meal: Meal quality vs menu checklist</v>
      </c>
      <c r="B37" s="120" t="str">
        <f aca="false">Checks!$K$438&amp;IF(Checks!$O$438="","",IF(Checks!$K$438="","",CHAR(10))&amp;"Note: "&amp;Checks!$O$438)</f>
        <v>Note: Preparation check at caterer - does NOT confirm loading.</v>
      </c>
      <c r="C37" s="120" t="str">
        <f aca="false">Checks!$N$438&amp;CHAR(10)&amp;IF(ISNUMBER(Checks!$R$438),TEXT(Checks!$R$438,"DD-MMM-YY HH:MM"),"")&amp;" "&amp;Checks!$P$438</f>
        <v>Required
13-Oct-26 22:45 ADL</v>
      </c>
      <c r="D37" s="120" t="str">
        <f aca="false">IF(TRIM(Checks!$U$438)&lt;&gt;"",Checks!$U$438&amp;IF(Checks!$AB$438="","",CHAR(10)&amp;"CA: "&amp;Checks!$AB$438),IF(LEFT(Checks!$AH$438,10)="N/A – RULE","","[ ] Pass"&amp;CHAR(10)&amp;"[ ] Pass after CA"&amp;CHAR(10)&amp;"[ ] Fail"&amp;IF(Checks!$AT$438=1,CHAR(10)&amp;"[ ] N/A","")&amp;CHAR(10)&amp;"CA: Open / Closed"))</f>
        <v>[ ] Pass
[ ] Pass after CA
[ ] Fail
CA: Open / Closed</v>
      </c>
      <c r="E37" s="120" t="str">
        <f aca="false">IF(Checks!$V$438="","",Checks!$V$438)&amp;IF(Checks!$AC$438="","",IF(Checks!$V$438="","",CHAR(10))&amp;"N/A just.: "&amp;Checks!$AC$438)&amp;IF(OR(Checks!$W$438&lt;&gt;"",AND(Checks!$AQ$438=1,NOT(LEFT(Checks!$AH$438,10)="N/A – RULE"))),CHAR(10)&amp;"Batch: "&amp;IF(Checks!$W$438="","____________",Checks!$W$438),"")&amp;IF(OR(Checks!$X$438&lt;&gt;"",Checks!$Y$438&lt;&gt;"",AND(Checks!$AR$438=1,NOT(LEFT(Checks!$AH$438,10)="N/A – RULE"))),CHAR(10)&amp;"Exp: "&amp;IF(Checks!$X$438="","______",Checks!$X$438)&amp;"  /  Act: "&amp;IF(Checks!$Y$438="","______",Checks!$Y$438),"")</f>
        <v/>
      </c>
      <c r="F37" s="120" t="str">
        <f aca="false">IF(AND(LEFT(Checks!$AH$438,10)="N/A – RULE",TRIM(Checks!$S$438&amp;Checks!$Z$438)=""),"","Type: "&amp;IF(TRIM(Checks!$S$438)="","______________ (see cover list)",Checks!$S$438)&amp;CHAR(10)&amp;"ID: "&amp;IF(TRIM(Checks!$Z$438)="","______________ (record's own no.)",Checks!$Z$438))&amp;IF(Checks!$AA$438="","",CHAR(10)&amp;"CA: "&amp;Checks!$AA$438)</f>
        <v>Type: ______________ (see cover list)
ID: ______________ (record's own no.)</v>
      </c>
      <c r="G37" s="120" t="str">
        <f aca="false">IF(AND(LEFT(Checks!$AH$438,10)="N/A – RULE",NOT(ISNUMBER(Checks!$AD$438)),Checks!$AE$438="",Checks!$T$438=""),"","Done: "&amp;IF(ISNUMBER(Checks!$AD$438),TEXT(Checks!$AD$438,"DD-MMM-YY HH:MM"),"____________")&amp;" "&amp;Checks!$P$438&amp;CHAR(10)&amp;"Verifier: "&amp;IF(Checks!$AE$438="","____________",Checks!$AE$438)&amp;CHAR(10)&amp;"PIC: "&amp;IF(Checks!$T$438="","____________",Checks!$T$438))</f>
        <v>Done: ____________ ADL
Verifier: ____________
PIC: ____________</v>
      </c>
      <c r="H37" s="121" t="str">
        <f aca="false">IF(Checks!$AH$438="","",Checks!$AH$438)</f>
        <v>OPEN</v>
      </c>
    </row>
    <row r="38" customFormat="false" ht="114" hidden="false" customHeight="true" outlineLevel="0" collapsed="false">
      <c r="A38" s="120" t="str">
        <f aca="false">Checks!$A$439&amp;CHAR(10)&amp;IF(Checks!$I$439="","",Checks!$I$439&amp;": ")&amp;Checks!$J$439</f>
        <v>F13-T12-02
Meal: Meal quantities vs menu checklist</v>
      </c>
      <c r="B38" s="120" t="str">
        <f aca="false">Checks!$K$439&amp;IF(Checks!$O$439="","",IF(Checks!$K$439="","",CHAR(10))&amp;"Note: "&amp;Checks!$O$439)</f>
        <v>Enter expected &amp; actual
Note: Preparation check at caterer - does NOT confirm loading.</v>
      </c>
      <c r="C38" s="120" t="str">
        <f aca="false">Checks!$N$439&amp;CHAR(10)&amp;IF(ISNUMBER(Checks!$R$439),TEXT(Checks!$R$439,"DD-MMM-YY HH:MM"),"")&amp;" "&amp;Checks!$P$439</f>
        <v>Required
13-Oct-26 22:45 ADL</v>
      </c>
      <c r="D38" s="120" t="str">
        <f aca="false">IF(TRIM(Checks!$U$439)&lt;&gt;"",Checks!$U$439&amp;IF(Checks!$AB$439="","",CHAR(10)&amp;"CA: "&amp;Checks!$AB$439),IF(LEFT(Checks!$AH$439,10)="N/A – RULE","","[ ] Pass"&amp;CHAR(10)&amp;"[ ] Pass after CA"&amp;CHAR(10)&amp;"[ ] Fail"&amp;IF(Checks!$AT$439=1,CHAR(10)&amp;"[ ] N/A","")&amp;CHAR(10)&amp;"CA: Open / Closed"))</f>
        <v>[ ] Pass
[ ] Pass after CA
[ ] Fail
CA: Open / Closed</v>
      </c>
      <c r="E38" s="120" t="str">
        <f aca="false">IF(Checks!$V$439="","",Checks!$V$439)&amp;IF(Checks!$AC$439="","",IF(Checks!$V$439="","",CHAR(10))&amp;"N/A just.: "&amp;Checks!$AC$439)&amp;IF(OR(Checks!$W$439&lt;&gt;"",AND(Checks!$AQ$439=1,NOT(LEFT(Checks!$AH$439,10)="N/A – RULE"))),CHAR(10)&amp;"Batch: "&amp;IF(Checks!$W$439="","____________",Checks!$W$439),"")&amp;IF(OR(Checks!$X$439&lt;&gt;"",Checks!$Y$439&lt;&gt;"",AND(Checks!$AR$439=1,NOT(LEFT(Checks!$AH$439,10)="N/A – RULE"))),CHAR(10)&amp;"Exp: "&amp;IF(Checks!$X$439="","______",Checks!$X$439)&amp;"  /  Act: "&amp;IF(Checks!$Y$439="","______",Checks!$Y$439),"")</f>
        <v>
Exp: ______  /  Act: ______</v>
      </c>
      <c r="F38" s="120" t="str">
        <f aca="false">IF(AND(LEFT(Checks!$AH$439,10)="N/A – RULE",TRIM(Checks!$S$439&amp;Checks!$Z$439)=""),"","Type: "&amp;IF(TRIM(Checks!$S$439)="","______________ (see cover list)",Checks!$S$439)&amp;CHAR(10)&amp;"ID: "&amp;IF(TRIM(Checks!$Z$439)="","______________ (record's own no.)",Checks!$Z$439))&amp;IF(Checks!$AA$439="","",CHAR(10)&amp;"CA: "&amp;Checks!$AA$439)</f>
        <v>Type: ______________ (see cover list)
ID: ______________ (record's own no.)</v>
      </c>
      <c r="G38" s="120" t="str">
        <f aca="false">IF(AND(LEFT(Checks!$AH$439,10)="N/A – RULE",NOT(ISNUMBER(Checks!$AD$439)),Checks!$AE$439="",Checks!$T$439=""),"","Done: "&amp;IF(ISNUMBER(Checks!$AD$439),TEXT(Checks!$AD$439,"DD-MMM-YY HH:MM"),"____________")&amp;" "&amp;Checks!$P$439&amp;CHAR(10)&amp;"Verifier: "&amp;IF(Checks!$AE$439="","____________",Checks!$AE$439)&amp;CHAR(10)&amp;"PIC: "&amp;IF(Checks!$T$439="","____________",Checks!$T$439))</f>
        <v>Done: ____________ ADL
Verifier: ____________
PIC: ____________</v>
      </c>
      <c r="H38" s="121" t="str">
        <f aca="false">IF(Checks!$AH$439="","",Checks!$AH$439)</f>
        <v>OPEN</v>
      </c>
    </row>
    <row r="39" customFormat="false" ht="114" hidden="false" customHeight="true" outlineLevel="0" collapsed="false">
      <c r="A39" s="120" t="str">
        <f aca="false">Checks!$A$440&amp;CHAR(10)&amp;IF(Checks!$I$440="","",Checks!$I$440&amp;": ")&amp;Checks!$J$440</f>
        <v>F13-T12-03
Equipment: Equipment cleanliness vs GLD</v>
      </c>
      <c r="B39" s="120" t="str">
        <f aca="false">Checks!$K$440&amp;IF(Checks!$O$440="","",IF(Checks!$K$440="","",CHAR(10))&amp;"Note: "&amp;Checks!$O$440)</f>
        <v>Note: Preparation check at caterer - does NOT confirm loading.</v>
      </c>
      <c r="C39" s="120" t="str">
        <f aca="false">Checks!$N$440&amp;CHAR(10)&amp;IF(ISNUMBER(Checks!$R$440),TEXT(Checks!$R$440,"DD-MMM-YY HH:MM"),"")&amp;" "&amp;Checks!$P$440</f>
        <v>Required
13-Oct-26 22:45 ADL</v>
      </c>
      <c r="D39" s="120" t="str">
        <f aca="false">IF(TRIM(Checks!$U$440)&lt;&gt;"",Checks!$U$440&amp;IF(Checks!$AB$440="","",CHAR(10)&amp;"CA: "&amp;Checks!$AB$440),IF(LEFT(Checks!$AH$440,10)="N/A – RULE","","[ ] Pass"&amp;CHAR(10)&amp;"[ ] Pass after CA"&amp;CHAR(10)&amp;"[ ] Fail"&amp;IF(Checks!$AT$440=1,CHAR(10)&amp;"[ ] N/A","")&amp;CHAR(10)&amp;"CA: Open / Closed"))</f>
        <v>[ ] Pass
[ ] Pass after CA
[ ] Fail
CA: Open / Closed</v>
      </c>
      <c r="E39" s="120" t="str">
        <f aca="false">IF(Checks!$V$440="","",Checks!$V$440)&amp;IF(Checks!$AC$440="","",IF(Checks!$V$440="","",CHAR(10))&amp;"N/A just.: "&amp;Checks!$AC$440)&amp;IF(OR(Checks!$W$440&lt;&gt;"",AND(Checks!$AQ$440=1,NOT(LEFT(Checks!$AH$440,10)="N/A – RULE"))),CHAR(10)&amp;"Batch: "&amp;IF(Checks!$W$440="","____________",Checks!$W$440),"")&amp;IF(OR(Checks!$X$440&lt;&gt;"",Checks!$Y$440&lt;&gt;"",AND(Checks!$AR$440=1,NOT(LEFT(Checks!$AH$440,10)="N/A – RULE"))),CHAR(10)&amp;"Exp: "&amp;IF(Checks!$X$440="","______",Checks!$X$440)&amp;"  /  Act: "&amp;IF(Checks!$Y$440="","______",Checks!$Y$440),"")</f>
        <v/>
      </c>
      <c r="F39" s="120" t="str">
        <f aca="false">IF(AND(LEFT(Checks!$AH$440,10)="N/A – RULE",TRIM(Checks!$S$440&amp;Checks!$Z$440)=""),"","Type: "&amp;IF(TRIM(Checks!$S$440)="","______________ (see cover list)",Checks!$S$440)&amp;CHAR(10)&amp;"ID: "&amp;IF(TRIM(Checks!$Z$440)="","______________ (record's own no.)",Checks!$Z$440))&amp;IF(Checks!$AA$440="","",CHAR(10)&amp;"CA: "&amp;Checks!$AA$440)</f>
        <v>Type: ______________ (see cover list)
ID: ______________ (record's own no.)</v>
      </c>
      <c r="G39" s="120" t="str">
        <f aca="false">IF(AND(LEFT(Checks!$AH$440,10)="N/A – RULE",NOT(ISNUMBER(Checks!$AD$440)),Checks!$AE$440="",Checks!$T$440=""),"","Done: "&amp;IF(ISNUMBER(Checks!$AD$440),TEXT(Checks!$AD$440,"DD-MMM-YY HH:MM"),"____________")&amp;" "&amp;Checks!$P$440&amp;CHAR(10)&amp;"Verifier: "&amp;IF(Checks!$AE$440="","____________",Checks!$AE$440)&amp;CHAR(10)&amp;"PIC: "&amp;IF(Checks!$T$440="","____________",Checks!$T$440))</f>
        <v>Done: ____________ ADL
Verifier: ____________
PIC: ____________</v>
      </c>
      <c r="H39" s="121" t="str">
        <f aca="false">IF(Checks!$AH$440="","",Checks!$AH$440)</f>
        <v>OPEN</v>
      </c>
    </row>
    <row r="40" customFormat="false" ht="114" hidden="false" customHeight="true" outlineLevel="0" collapsed="false">
      <c r="A40" s="120" t="str">
        <f aca="false">Checks!$A$441&amp;CHAR(10)&amp;IF(Checks!$I$441="","",Checks!$I$441&amp;": ")&amp;Checks!$J$441</f>
        <v>F13-T12-04
Equipment: Equipment presentation vs GLD</v>
      </c>
      <c r="B40" s="120" t="str">
        <f aca="false">Checks!$K$441&amp;IF(Checks!$O$441="","",IF(Checks!$K$441="","",CHAR(10))&amp;"Note: "&amp;Checks!$O$441)</f>
        <v>Note: Preparation check at caterer - does NOT confirm loading.</v>
      </c>
      <c r="C40" s="120" t="str">
        <f aca="false">Checks!$N$441&amp;CHAR(10)&amp;IF(ISNUMBER(Checks!$R$441),TEXT(Checks!$R$441,"DD-MMM-YY HH:MM"),"")&amp;" "&amp;Checks!$P$441</f>
        <v>Required
13-Oct-26 22:45 ADL</v>
      </c>
      <c r="D40" s="120" t="str">
        <f aca="false">IF(TRIM(Checks!$U$441)&lt;&gt;"",Checks!$U$441&amp;IF(Checks!$AB$441="","",CHAR(10)&amp;"CA: "&amp;Checks!$AB$441),IF(LEFT(Checks!$AH$441,10)="N/A – RULE","","[ ] Pass"&amp;CHAR(10)&amp;"[ ] Pass after CA"&amp;CHAR(10)&amp;"[ ] Fail"&amp;IF(Checks!$AT$441=1,CHAR(10)&amp;"[ ] N/A","")&amp;CHAR(10)&amp;"CA: Open / Closed"))</f>
        <v>[ ] Pass
[ ] Pass after CA
[ ] Fail
CA: Open / Closed</v>
      </c>
      <c r="E40" s="120" t="str">
        <f aca="false">IF(Checks!$V$441="","",Checks!$V$441)&amp;IF(Checks!$AC$441="","",IF(Checks!$V$441="","",CHAR(10))&amp;"N/A just.: "&amp;Checks!$AC$441)&amp;IF(OR(Checks!$W$441&lt;&gt;"",AND(Checks!$AQ$441=1,NOT(LEFT(Checks!$AH$441,10)="N/A – RULE"))),CHAR(10)&amp;"Batch: "&amp;IF(Checks!$W$441="","____________",Checks!$W$441),"")&amp;IF(OR(Checks!$X$441&lt;&gt;"",Checks!$Y$441&lt;&gt;"",AND(Checks!$AR$441=1,NOT(LEFT(Checks!$AH$441,10)="N/A – RULE"))),CHAR(10)&amp;"Exp: "&amp;IF(Checks!$X$441="","______",Checks!$X$441)&amp;"  /  Act: "&amp;IF(Checks!$Y$441="","______",Checks!$Y$441),"")</f>
        <v/>
      </c>
      <c r="F40" s="120" t="str">
        <f aca="false">IF(AND(LEFT(Checks!$AH$441,10)="N/A – RULE",TRIM(Checks!$S$441&amp;Checks!$Z$441)=""),"","Type: "&amp;IF(TRIM(Checks!$S$441)="","______________ (see cover list)",Checks!$S$441)&amp;CHAR(10)&amp;"ID: "&amp;IF(TRIM(Checks!$Z$441)="","______________ (record's own no.)",Checks!$Z$441))&amp;IF(Checks!$AA$441="","",CHAR(10)&amp;"CA: "&amp;Checks!$AA$441)</f>
        <v>Type: ______________ (see cover list)
ID: ______________ (record's own no.)</v>
      </c>
      <c r="G40" s="120" t="str">
        <f aca="false">IF(AND(LEFT(Checks!$AH$441,10)="N/A – RULE",NOT(ISNUMBER(Checks!$AD$441)),Checks!$AE$441="",Checks!$T$441=""),"","Done: "&amp;IF(ISNUMBER(Checks!$AD$441),TEXT(Checks!$AD$441,"DD-MMM-YY HH:MM"),"____________")&amp;" "&amp;Checks!$P$441&amp;CHAR(10)&amp;"Verifier: "&amp;IF(Checks!$AE$441="","____________",Checks!$AE$441)&amp;CHAR(10)&amp;"PIC: "&amp;IF(Checks!$T$441="","____________",Checks!$T$441))</f>
        <v>Done: ____________ ADL
Verifier: ____________
PIC: ____________</v>
      </c>
      <c r="H40" s="121" t="str">
        <f aca="false">IF(Checks!$AH$441="","",Checks!$AH$441)</f>
        <v>OPEN</v>
      </c>
    </row>
    <row r="41" customFormat="false" ht="114" hidden="false" customHeight="true" outlineLevel="0" collapsed="false">
      <c r="A41" s="120" t="str">
        <f aca="false">Checks!$A$442&amp;CHAR(10)&amp;IF(Checks!$I$442="","",Checks!$I$442&amp;": ")&amp;Checks!$J$442</f>
        <v>F13-T12-05
Equipment: Equipment serviceability vs GLD</v>
      </c>
      <c r="B41" s="120" t="str">
        <f aca="false">Checks!$K$442&amp;IF(Checks!$O$442="","",IF(Checks!$K$442="","",CHAR(10))&amp;"Note: "&amp;Checks!$O$442)</f>
        <v>Note: Preparation check at caterer - does NOT confirm loading.</v>
      </c>
      <c r="C41" s="120" t="str">
        <f aca="false">Checks!$N$442&amp;CHAR(10)&amp;IF(ISNUMBER(Checks!$R$442),TEXT(Checks!$R$442,"DD-MMM-YY HH:MM"),"")&amp;" "&amp;Checks!$P$442</f>
        <v>Required
13-Oct-26 22:45 ADL</v>
      </c>
      <c r="D41" s="120" t="str">
        <f aca="false">IF(TRIM(Checks!$U$442)&lt;&gt;"",Checks!$U$442&amp;IF(Checks!$AB$442="","",CHAR(10)&amp;"CA: "&amp;Checks!$AB$442),IF(LEFT(Checks!$AH$442,10)="N/A – RULE","","[ ] Pass"&amp;CHAR(10)&amp;"[ ] Pass after CA"&amp;CHAR(10)&amp;"[ ] Fail"&amp;IF(Checks!$AT$442=1,CHAR(10)&amp;"[ ] N/A","")&amp;CHAR(10)&amp;"CA: Open / Closed"))</f>
        <v>[ ] Pass
[ ] Pass after CA
[ ] Fail
CA: Open / Closed</v>
      </c>
      <c r="E41" s="120" t="str">
        <f aca="false">IF(Checks!$V$442="","",Checks!$V$442)&amp;IF(Checks!$AC$442="","",IF(Checks!$V$442="","",CHAR(10))&amp;"N/A just.: "&amp;Checks!$AC$442)&amp;IF(OR(Checks!$W$442&lt;&gt;"",AND(Checks!$AQ$442=1,NOT(LEFT(Checks!$AH$442,10)="N/A – RULE"))),CHAR(10)&amp;"Batch: "&amp;IF(Checks!$W$442="","____________",Checks!$W$442),"")&amp;IF(OR(Checks!$X$442&lt;&gt;"",Checks!$Y$442&lt;&gt;"",AND(Checks!$AR$442=1,NOT(LEFT(Checks!$AH$442,10)="N/A – RULE"))),CHAR(10)&amp;"Exp: "&amp;IF(Checks!$X$442="","______",Checks!$X$442)&amp;"  /  Act: "&amp;IF(Checks!$Y$442="","______",Checks!$Y$442),"")</f>
        <v/>
      </c>
      <c r="F41" s="120" t="str">
        <f aca="false">IF(AND(LEFT(Checks!$AH$442,10)="N/A – RULE",TRIM(Checks!$S$442&amp;Checks!$Z$442)=""),"","Type: "&amp;IF(TRIM(Checks!$S$442)="","______________ (see cover list)",Checks!$S$442)&amp;CHAR(10)&amp;"ID: "&amp;IF(TRIM(Checks!$Z$442)="","______________ (record's own no.)",Checks!$Z$442))&amp;IF(Checks!$AA$442="","",CHAR(10)&amp;"CA: "&amp;Checks!$AA$442)</f>
        <v>Type: ______________ (see cover list)
ID: ______________ (record's own no.)</v>
      </c>
      <c r="G41" s="120" t="str">
        <f aca="false">IF(AND(LEFT(Checks!$AH$442,10)="N/A – RULE",NOT(ISNUMBER(Checks!$AD$442)),Checks!$AE$442="",Checks!$T$442=""),"","Done: "&amp;IF(ISNUMBER(Checks!$AD$442),TEXT(Checks!$AD$442,"DD-MMM-YY HH:MM"),"____________")&amp;" "&amp;Checks!$P$442&amp;CHAR(10)&amp;"Verifier: "&amp;IF(Checks!$AE$442="","____________",Checks!$AE$442)&amp;CHAR(10)&amp;"PIC: "&amp;IF(Checks!$T$442="","____________",Checks!$T$442))</f>
        <v>Done: ____________ ADL
Verifier: ____________
PIC: ____________</v>
      </c>
      <c r="H41" s="121" t="str">
        <f aca="false">IF(Checks!$AH$442="","",Checks!$AH$442)</f>
        <v>OPEN</v>
      </c>
    </row>
    <row r="42" customFormat="false" ht="190.5" hidden="false" customHeight="true" outlineLevel="0" collapsed="false">
      <c r="A42" s="120" t="str">
        <f aca="false">Checks!$A$443&amp;CHAR(10)&amp;IF(Checks!$I$443="","",Checks!$I$443&amp;": ")&amp;Checks!$J$443</f>
        <v>F13-T12-06
Equipment: Equipment quantities vs GLD</v>
      </c>
      <c r="B42" s="120" t="str">
        <f aca="false">SUBSTITUTE(SUBSTITUTE(Checks!$K$443&amp;IF(Checks!$O$443="","",IF(Checks!$K$443="","",CHAR(10))&amp;"Note: "&amp;Checks!$O$443),"makers -,","makers n/a,")," (AIRCRAFT TYPE!C8:R8)","")</f>
        <v>Enter expected &amp; actual. Aircraft galley data: A330-900 (A339): carts 43.5, SU 111, ovens 13, warming ovens 4, fridges 2, water heaters 6, beverage makers n/a, espresso 1, folding trolleys 4, headsets BC: Dual Pin/ EY: Single Pin
Note: Preparation check at caterer - does NOT confirm loading.</v>
      </c>
      <c r="C42" s="120" t="str">
        <f aca="false">Checks!$N$443&amp;CHAR(10)&amp;IF(ISNUMBER(Checks!$R$443),TEXT(Checks!$R$443,"DD-MMM-YY HH:MM"),"")&amp;" "&amp;Checks!$P$443</f>
        <v>Required
13-Oct-26 22:45 ADL</v>
      </c>
      <c r="D42" s="120" t="str">
        <f aca="false">IF(TRIM(Checks!$U$443)&lt;&gt;"",Checks!$U$443&amp;IF(Checks!$AB$443="","",CHAR(10)&amp;"CA: "&amp;Checks!$AB$443),IF(LEFT(Checks!$AH$443,10)="N/A – RULE","","[ ] Pass"&amp;CHAR(10)&amp;"[ ] Pass after CA"&amp;CHAR(10)&amp;"[ ] Fail"&amp;IF(Checks!$AT$443=1,CHAR(10)&amp;"[ ] N/A","")&amp;CHAR(10)&amp;"CA: Open / Closed"))</f>
        <v>[ ] Pass
[ ] Pass after CA
[ ] Fail
CA: Open / Closed</v>
      </c>
      <c r="E42" s="120" t="str">
        <f aca="false">IF(Checks!$V$443="","",Checks!$V$443)&amp;IF(Checks!$AC$443="","",IF(Checks!$V$443="","",CHAR(10))&amp;"N/A just.: "&amp;Checks!$AC$443)&amp;IF(OR(Checks!$W$443&lt;&gt;"",AND(Checks!$AQ$443=1,NOT(LEFT(Checks!$AH$443,10)="N/A – RULE"))),CHAR(10)&amp;"Batch: "&amp;IF(Checks!$W$443="","____________",Checks!$W$443),"")&amp;IF(OR(Checks!$X$443&lt;&gt;"",Checks!$Y$443&lt;&gt;"",AND(Checks!$AR$443=1,NOT(LEFT(Checks!$AH$443,10)="N/A – RULE"))),CHAR(10)&amp;"Exp: "&amp;IF(Checks!$X$443="","______",Checks!$X$443)&amp;"  /  Act: "&amp;IF(Checks!$Y$443="","______",Checks!$Y$443),"")</f>
        <v>
Exp: ______  /  Act: ______</v>
      </c>
      <c r="F42" s="120" t="str">
        <f aca="false">IF(AND(LEFT(Checks!$AH$443,10)="N/A – RULE",TRIM(Checks!$S$443&amp;Checks!$Z$443)=""),"","Type: "&amp;IF(TRIM(Checks!$S$443)="","______________ (see cover list)",Checks!$S$443)&amp;CHAR(10)&amp;"ID: "&amp;IF(TRIM(Checks!$Z$443)="","______________ (record's own no.)",Checks!$Z$443))&amp;IF(Checks!$AA$443="","",CHAR(10)&amp;"CA: "&amp;Checks!$AA$443)</f>
        <v>Type: ______________ (see cover list)
ID: ______________ (record's own no.)</v>
      </c>
      <c r="G42" s="120" t="str">
        <f aca="false">IF(AND(LEFT(Checks!$AH$443,10)="N/A – RULE",NOT(ISNUMBER(Checks!$AD$443)),Checks!$AE$443="",Checks!$T$443=""),"","Done: "&amp;IF(ISNUMBER(Checks!$AD$443),TEXT(Checks!$AD$443,"DD-MMM-YY HH:MM"),"____________")&amp;" "&amp;Checks!$P$443&amp;CHAR(10)&amp;"Verifier: "&amp;IF(Checks!$AE$443="","____________",Checks!$AE$443)&amp;CHAR(10)&amp;"PIC: "&amp;IF(Checks!$T$443="","____________",Checks!$T$443))</f>
        <v>Done: ____________ ADL
Verifier: ____________
PIC: ____________</v>
      </c>
      <c r="H42" s="121" t="str">
        <f aca="false">IF(Checks!$AH$443="","",Checks!$AH$443)</f>
        <v>OPEN</v>
      </c>
    </row>
    <row r="43" customFormat="false" ht="114" hidden="false" customHeight="true" outlineLevel="0" collapsed="false">
      <c r="A43" s="120" t="str">
        <f aca="false">Checks!$A$444&amp;CHAR(10)&amp;IF(Checks!$I$444="","",Checks!$I$444&amp;": ")&amp;Checks!$J$444</f>
        <v>F13-T12-07
Equipment: Loading positions planned vs GLD</v>
      </c>
      <c r="B43" s="120" t="str">
        <f aca="false">Checks!$K$444&amp;IF(Checks!$O$444="","",IF(Checks!$K$444="","",CHAR(10))&amp;"Note: "&amp;Checks!$O$444)</f>
        <v>Note: Preparation check at caterer - does NOT confirm loading.</v>
      </c>
      <c r="C43" s="120" t="str">
        <f aca="false">Checks!$N$444&amp;CHAR(10)&amp;IF(ISNUMBER(Checks!$R$444),TEXT(Checks!$R$444,"DD-MMM-YY HH:MM"),"")&amp;" "&amp;Checks!$P$444</f>
        <v>Required
13-Oct-26 22:45 ADL</v>
      </c>
      <c r="D43" s="120" t="str">
        <f aca="false">IF(TRIM(Checks!$U$444)&lt;&gt;"",Checks!$U$444&amp;IF(Checks!$AB$444="","",CHAR(10)&amp;"CA: "&amp;Checks!$AB$444),IF(LEFT(Checks!$AH$444,10)="N/A – RULE","","[ ] Pass"&amp;CHAR(10)&amp;"[ ] Pass after CA"&amp;CHAR(10)&amp;"[ ] Fail"&amp;IF(Checks!$AT$444=1,CHAR(10)&amp;"[ ] N/A","")&amp;CHAR(10)&amp;"CA: Open / Closed"))</f>
        <v>[ ] Pass
[ ] Pass after CA
[ ] Fail
CA: Open / Closed</v>
      </c>
      <c r="E43" s="120" t="str">
        <f aca="false">IF(Checks!$V$444="","",Checks!$V$444)&amp;IF(Checks!$AC$444="","",IF(Checks!$V$444="","",CHAR(10))&amp;"N/A just.: "&amp;Checks!$AC$444)&amp;IF(OR(Checks!$W$444&lt;&gt;"",AND(Checks!$AQ$444=1,NOT(LEFT(Checks!$AH$444,10)="N/A – RULE"))),CHAR(10)&amp;"Batch: "&amp;IF(Checks!$W$444="","____________",Checks!$W$444),"")&amp;IF(OR(Checks!$X$444&lt;&gt;"",Checks!$Y$444&lt;&gt;"",AND(Checks!$AR$444=1,NOT(LEFT(Checks!$AH$444,10)="N/A – RULE"))),CHAR(10)&amp;"Exp: "&amp;IF(Checks!$X$444="","______",Checks!$X$444)&amp;"  /  Act: "&amp;IF(Checks!$Y$444="","______",Checks!$Y$444),"")</f>
        <v/>
      </c>
      <c r="F43" s="120" t="str">
        <f aca="false">IF(AND(LEFT(Checks!$AH$444,10)="N/A – RULE",TRIM(Checks!$S$444&amp;Checks!$Z$444)=""),"","Type: "&amp;IF(TRIM(Checks!$S$444)="","______________ (see cover list)",Checks!$S$444)&amp;CHAR(10)&amp;"ID: "&amp;IF(TRIM(Checks!$Z$444)="","______________ (record's own no.)",Checks!$Z$444))&amp;IF(Checks!$AA$444="","",CHAR(10)&amp;"CA: "&amp;Checks!$AA$444)</f>
        <v>Type: ______________ (see cover list)
ID: ______________ (record's own no.)</v>
      </c>
      <c r="G43" s="120" t="str">
        <f aca="false">IF(AND(LEFT(Checks!$AH$444,10)="N/A – RULE",NOT(ISNUMBER(Checks!$AD$444)),Checks!$AE$444="",Checks!$T$444=""),"","Done: "&amp;IF(ISNUMBER(Checks!$AD$444),TEXT(Checks!$AD$444,"DD-MMM-YY HH:MM"),"____________")&amp;" "&amp;Checks!$P$444&amp;CHAR(10)&amp;"Verifier: "&amp;IF(Checks!$AE$444="","____________",Checks!$AE$444)&amp;CHAR(10)&amp;"PIC: "&amp;IF(Checks!$T$444="","____________",Checks!$T$444))</f>
        <v>Done: ____________ ADL
Verifier: ____________
PIC: ____________</v>
      </c>
      <c r="H43" s="121" t="str">
        <f aca="false">IF(Checks!$AH$444="","",Checks!$AH$444)</f>
        <v>OPEN</v>
      </c>
    </row>
    <row r="44" customFormat="false" ht="201.75" hidden="false" customHeight="true" outlineLevel="0" collapsed="false">
      <c r="A44" s="120" t="str">
        <f aca="false">Checks!$A$445&amp;CHAR(10)&amp;IF(Checks!$I$445="","",Checks!$I$445&amp;": ")&amp;Checks!$J$445</f>
        <v>F13-T12-08
Amenities: Toiletry kits - prepared</v>
      </c>
      <c r="B44" s="120" t="str">
        <f aca="false">SUBSTITUTE(Checks!$K$445&amp;IF(Checks!$O$445="","",IF(Checks!$K$445="","",CHAR(10))&amp;"Note: "&amp;Checks!$O$445)," (Flights AX)","")</f>
        <v>Available for sector (ticked in reference)
Note: Reference does not state the cabin class for toiletry kits. Confirm whether EY receives them; if not, mark N/A with the confirmation as justification. Loaded at KUL on the inbound KUL-ADL flight: due = that flight's KUL departure minus the uplift window.</v>
      </c>
      <c r="C44" s="120" t="str">
        <f aca="false">Checks!$N$445&amp;CHAR(10)&amp;IF(ISNUMBER(Checks!$R$445),TEXT(Checks!$R$445,"DD-MMM-YY HH:MM"),"")&amp;" "&amp;Checks!$P$445</f>
        <v>Clarification required
12-Oct-26 16:25 KUL</v>
      </c>
      <c r="D44" s="120" t="str">
        <f aca="false">IF(TRIM(Checks!$U$445)&lt;&gt;"",Checks!$U$445&amp;IF(Checks!$AB$445="","",CHAR(10)&amp;"CA: "&amp;Checks!$AB$445),IF(LEFT(Checks!$AH$445,10)="N/A – RULE","","[ ] Pass"&amp;CHAR(10)&amp;"[ ] Pass after CA"&amp;CHAR(10)&amp;"[ ] Fail"&amp;IF(Checks!$AT$445=1,CHAR(10)&amp;"[ ] N/A","")&amp;CHAR(10)&amp;"CA: Open / Closed"))</f>
        <v>[ ] Pass
[ ] Pass after CA
[ ] Fail
[ ] N/A
CA: Open / Closed</v>
      </c>
      <c r="E44" s="120" t="str">
        <f aca="false">IF(Checks!$V$445="","",Checks!$V$445)&amp;IF(Checks!$AC$445="","",IF(Checks!$V$445="","",CHAR(10))&amp;"N/A just.: "&amp;Checks!$AC$445)&amp;IF(OR(Checks!$W$445&lt;&gt;"",AND(Checks!$AQ$445=1,NOT(LEFT(Checks!$AH$445,10)="N/A – RULE"))),CHAR(10)&amp;"Batch: "&amp;IF(Checks!$W$445="","____________",Checks!$W$445),"")&amp;IF(OR(Checks!$X$445&lt;&gt;"",Checks!$Y$445&lt;&gt;"",AND(Checks!$AR$445=1,NOT(LEFT(Checks!$AH$445,10)="N/A – RULE"))),CHAR(10)&amp;"Exp: "&amp;IF(Checks!$X$445="","______",Checks!$X$445)&amp;"  /  Act: "&amp;IF(Checks!$Y$445="","______",Checks!$Y$445),"")</f>
        <v/>
      </c>
      <c r="F44" s="120" t="str">
        <f aca="false">IF(AND(LEFT(Checks!$AH$445,10)="N/A – RULE",TRIM(Checks!$S$445&amp;Checks!$Z$445)=""),"","Type: "&amp;IF(TRIM(Checks!$S$445)="","______________ (see cover list)",Checks!$S$445)&amp;CHAR(10)&amp;"ID: "&amp;IF(TRIM(Checks!$Z$445)="","______________ (record's own no.)",Checks!$Z$445))&amp;IF(Checks!$AA$445="","",CHAR(10)&amp;"CA: "&amp;Checks!$AA$445)</f>
        <v>Type: ______________ (see cover list)
ID: ______________ (record's own no.)</v>
      </c>
      <c r="G44" s="120" t="str">
        <f aca="false">IF(AND(LEFT(Checks!$AH$445,10)="N/A – RULE",NOT(ISNUMBER(Checks!$AD$445)),Checks!$AE$445="",Checks!$T$445=""),"","Done: "&amp;IF(ISNUMBER(Checks!$AD$445),TEXT(Checks!$AD$445,"DD-MMM-YY HH:MM"),"____________")&amp;" "&amp;Checks!$P$445&amp;CHAR(10)&amp;"Verifier: "&amp;IF(Checks!$AE$445="","____________",Checks!$AE$445)&amp;CHAR(10)&amp;"PIC: "&amp;IF(Checks!$T$445="","____________",Checks!$T$445))</f>
        <v>Done: ____________ KUL
Verifier: ____________
PIC: ____________</v>
      </c>
      <c r="H44" s="121" t="str">
        <f aca="false">IF(Checks!$AH$445="","",Checks!$AH$445)</f>
        <v>OPEN – CLARIFICATION</v>
      </c>
    </row>
    <row r="45" customFormat="false" ht="114" hidden="false" customHeight="true" outlineLevel="0" collapsed="false">
      <c r="A45" s="120" t="str">
        <f aca="false">Checks!$A$446&amp;CHAR(10)&amp;IF(Checks!$I$446="","",Checks!$I$446&amp;": ")&amp;Checks!$J$446</f>
        <v>F13-T12-09
Seat Linen: Seat pillow (EY) - prepared</v>
      </c>
      <c r="B45" s="120" t="str">
        <f aca="false">Checks!$K$446&amp;IF(Checks!$O$446="","",IF(Checks!$K$446="","",CHAR(10))&amp;"Note: "&amp;Checks!$O$446)</f>
        <v>Available 100% (ticked in reference)
Note: Reference gives no uplift stn for this item: preparation checked at the meal uplift stn (ADL) - confirm with caterer.</v>
      </c>
      <c r="C45" s="120" t="str">
        <f aca="false">Checks!$N$446&amp;CHAR(10)&amp;IF(ISNUMBER(Checks!$R$446),TEXT(Checks!$R$446,"DD-MMM-YY HH:MM"),"")&amp;" "&amp;Checks!$P$446</f>
        <v>Required
13-Oct-26 22:45 ADL</v>
      </c>
      <c r="D45" s="120" t="str">
        <f aca="false">IF(TRIM(Checks!$U$446)&lt;&gt;"",Checks!$U$446&amp;IF(Checks!$AB$446="","",CHAR(10)&amp;"CA: "&amp;Checks!$AB$446),IF(LEFT(Checks!$AH$446,10)="N/A – RULE","","[ ] Pass"&amp;CHAR(10)&amp;"[ ] Pass after CA"&amp;CHAR(10)&amp;"[ ] Fail"&amp;IF(Checks!$AT$446=1,CHAR(10)&amp;"[ ] N/A","")&amp;CHAR(10)&amp;"CA: Open / Closed"))</f>
        <v>[ ] Pass
[ ] Pass after CA
[ ] Fail
CA: Open / Closed</v>
      </c>
      <c r="E45" s="120" t="str">
        <f aca="false">IF(Checks!$V$446="","",Checks!$V$446)&amp;IF(Checks!$AC$446="","",IF(Checks!$V$446="","",CHAR(10))&amp;"N/A just.: "&amp;Checks!$AC$446)&amp;IF(OR(Checks!$W$446&lt;&gt;"",AND(Checks!$AQ$446=1,NOT(LEFT(Checks!$AH$446,10)="N/A – RULE"))),CHAR(10)&amp;"Batch: "&amp;IF(Checks!$W$446="","____________",Checks!$W$446),"")&amp;IF(OR(Checks!$X$446&lt;&gt;"",Checks!$Y$446&lt;&gt;"",AND(Checks!$AR$446=1,NOT(LEFT(Checks!$AH$446,10)="N/A – RULE"))),CHAR(10)&amp;"Exp: "&amp;IF(Checks!$X$446="","______",Checks!$X$446)&amp;"  /  Act: "&amp;IF(Checks!$Y$446="","______",Checks!$Y$446),"")</f>
        <v/>
      </c>
      <c r="F45" s="120" t="str">
        <f aca="false">IF(AND(LEFT(Checks!$AH$446,10)="N/A – RULE",TRIM(Checks!$S$446&amp;Checks!$Z$446)=""),"","Type: "&amp;IF(TRIM(Checks!$S$446)="","______________ (see cover list)",Checks!$S$446)&amp;CHAR(10)&amp;"ID: "&amp;IF(TRIM(Checks!$Z$446)="","______________ (record's own no.)",Checks!$Z$446))&amp;IF(Checks!$AA$446="","",CHAR(10)&amp;"CA: "&amp;Checks!$AA$446)</f>
        <v>Type: ______________ (see cover list)
ID: ______________ (record's own no.)</v>
      </c>
      <c r="G45" s="120" t="str">
        <f aca="false">IF(AND(LEFT(Checks!$AH$446,10)="N/A – RULE",NOT(ISNUMBER(Checks!$AD$446)),Checks!$AE$446="",Checks!$T$446=""),"","Done: "&amp;IF(ISNUMBER(Checks!$AD$446),TEXT(Checks!$AD$446,"DD-MMM-YY HH:MM"),"____________")&amp;" "&amp;Checks!$P$446&amp;CHAR(10)&amp;"Verifier: "&amp;IF(Checks!$AE$446="","____________",Checks!$AE$446)&amp;CHAR(10)&amp;"PIC: "&amp;IF(Checks!$T$446="","____________",Checks!$T$446))</f>
        <v>Done: ____________ ADL
Verifier: ____________
PIC: ____________</v>
      </c>
      <c r="H45" s="121" t="str">
        <f aca="false">IF(Checks!$AH$446="","",Checks!$AH$446)</f>
        <v>OPEN</v>
      </c>
    </row>
    <row r="46" customFormat="false" ht="180" hidden="false" customHeight="true" outlineLevel="0" collapsed="false">
      <c r="A46" s="120" t="str">
        <f aca="false">Checks!$A$447&amp;CHAR(10)&amp;IF(Checks!$I$447="","",Checks!$I$447&amp;": ")&amp;Checks!$J$447</f>
        <v>F13-T12-10
Seat Linen: Blanket (EY) - prepared</v>
      </c>
      <c r="B46" s="120" t="str">
        <f aca="false">SUBSTITUTE(SUBSTITUTE(Checks!$K$447&amp;IF(Checks!$O$447="","",IF(Checks!$K$447="","",CHAR(10))&amp;"Note: "&amp;Checks!$O$447)," (SEAT LINEN!B74:C74)","")," (SEAT LINEN!B75:C75)","")</f>
        <v>Available 100% (ticked in reference); qty 280
Note: EY blanket: flight above 3 hours excl. Regional; block 7.75 h. Qty 280 pcs (14 bundles) for A332/A333/A339. Reference gives no uplift stn for this item: preparation checked at the meal uplift stn (ADL) - confirm with caterer.</v>
      </c>
      <c r="C46" s="120" t="str">
        <f aca="false">Checks!$N$447&amp;CHAR(10)&amp;IF(ISNUMBER(Checks!$R$447),TEXT(Checks!$R$447,"DD-MMM-YY HH:MM"),"")&amp;" "&amp;Checks!$P$447</f>
        <v>Required
13-Oct-26 22:45 ADL</v>
      </c>
      <c r="D46" s="120" t="str">
        <f aca="false">IF(TRIM(Checks!$U$447)&lt;&gt;"",Checks!$U$447&amp;IF(Checks!$AB$447="","",CHAR(10)&amp;"CA: "&amp;Checks!$AB$447),IF(LEFT(Checks!$AH$447,10)="N/A – RULE","","[ ] Pass"&amp;CHAR(10)&amp;"[ ] Pass after CA"&amp;CHAR(10)&amp;"[ ] Fail"&amp;IF(Checks!$AT$447=1,CHAR(10)&amp;"[ ] N/A","")&amp;CHAR(10)&amp;"CA: Open / Closed"))</f>
        <v>[ ] Pass
[ ] Pass after CA
[ ] Fail
CA: Open / Closed</v>
      </c>
      <c r="E46" s="120" t="str">
        <f aca="false">IF(Checks!$V$447="","",Checks!$V$447)&amp;IF(Checks!$AC$447="","",IF(Checks!$V$447="","",CHAR(10))&amp;"N/A just.: "&amp;Checks!$AC$447)&amp;IF(OR(Checks!$W$447&lt;&gt;"",AND(Checks!$AQ$447=1,NOT(LEFT(Checks!$AH$447,10)="N/A – RULE"))),CHAR(10)&amp;"Batch: "&amp;IF(Checks!$W$447="","____________",Checks!$W$447),"")&amp;IF(OR(Checks!$X$447&lt;&gt;"",Checks!$Y$447&lt;&gt;"",AND(Checks!$AR$447=1,NOT(LEFT(Checks!$AH$447,10)="N/A – RULE"))),CHAR(10)&amp;"Exp: "&amp;IF(Checks!$X$447="","______",Checks!$X$447)&amp;"  /  Act: "&amp;IF(Checks!$Y$447="","______",Checks!$Y$447),"")</f>
        <v>
Exp: 280  /  Act: ______</v>
      </c>
      <c r="F46" s="120" t="str">
        <f aca="false">IF(AND(LEFT(Checks!$AH$447,10)="N/A – RULE",TRIM(Checks!$S$447&amp;Checks!$Z$447)=""),"","Type: "&amp;IF(TRIM(Checks!$S$447)="","______________ (see cover list)",Checks!$S$447)&amp;CHAR(10)&amp;"ID: "&amp;IF(TRIM(Checks!$Z$447)="","______________ (record's own no.)",Checks!$Z$447))&amp;IF(Checks!$AA$447="","",CHAR(10)&amp;"CA: "&amp;Checks!$AA$447)</f>
        <v>Type: ______________ (see cover list)
ID: ______________ (record's own no.)</v>
      </c>
      <c r="G46" s="120" t="str">
        <f aca="false">IF(AND(LEFT(Checks!$AH$447,10)="N/A – RULE",NOT(ISNUMBER(Checks!$AD$447)),Checks!$AE$447="",Checks!$T$447=""),"","Done: "&amp;IF(ISNUMBER(Checks!$AD$447),TEXT(Checks!$AD$447,"DD-MMM-YY HH:MM"),"____________")&amp;" "&amp;Checks!$P$447&amp;CHAR(10)&amp;"Verifier: "&amp;IF(Checks!$AE$447="","____________",Checks!$AE$447)&amp;CHAR(10)&amp;"PIC: "&amp;IF(Checks!$T$447="","____________",Checks!$T$447))</f>
        <v>Done: ____________ ADL
Verifier: ____________
PIC: ____________</v>
      </c>
      <c r="H46" s="121" t="str">
        <f aca="false">IF(Checks!$AH$447="","",Checks!$AH$447)</f>
        <v>OPEN</v>
      </c>
    </row>
    <row r="47" customFormat="false" ht="201.75" hidden="false" customHeight="true" outlineLevel="0" collapsed="false">
      <c r="A47" s="120" t="str">
        <f aca="false">Checks!$A$448&amp;CHAR(10)&amp;IF(Checks!$I$448="","",Checks!$I$448&amp;": ")&amp;Checks!$J$448</f>
        <v>F13-T12-11
Sales Cart: Sales cart (caterer PASB) - prepared</v>
      </c>
      <c r="B47" s="120" t="str">
        <f aca="false">Checks!$K$448&amp;IF(Checks!$O$448="","",IF(Checks!$K$448="","",CHAR(10))&amp;"Note: "&amp;Checks!$O$448)</f>
        <v>Location 241 &amp; 947 (A339)
Note: Block 7.75 h &gt;= 4 h. Reference names caterer PASB for the KUL/ADL/KUL sector but no uplift station: confirm whether the ADL-KUL sales cart is loaded at KUL (round trip) or at ADL. Reference gives no uplift stn for this item: preparation checked at the meal uplift stn (ADL) - confirm with caterer.</v>
      </c>
      <c r="C47" s="120" t="str">
        <f aca="false">Checks!$N$448&amp;CHAR(10)&amp;IF(ISNUMBER(Checks!$R$448),TEXT(Checks!$R$448,"DD-MMM-YY HH:MM"),"")&amp;" "&amp;Checks!$P$448</f>
        <v>Clarification required
13-Oct-26 22:45 ADL</v>
      </c>
      <c r="D47" s="120" t="str">
        <f aca="false">IF(TRIM(Checks!$U$448)&lt;&gt;"",Checks!$U$448&amp;IF(Checks!$AB$448="","",CHAR(10)&amp;"CA: "&amp;Checks!$AB$448),IF(LEFT(Checks!$AH$448,10)="N/A – RULE","","[ ] Pass"&amp;CHAR(10)&amp;"[ ] Pass after CA"&amp;CHAR(10)&amp;"[ ] Fail"&amp;IF(Checks!$AT$448=1,CHAR(10)&amp;"[ ] N/A","")&amp;CHAR(10)&amp;"CA: Open / Closed"))</f>
        <v>[ ] Pass
[ ] Pass after CA
[ ] Fail
[ ] N/A
CA: Open / Closed</v>
      </c>
      <c r="E47" s="120" t="str">
        <f aca="false">IF(Checks!$V$448="","",Checks!$V$448)&amp;IF(Checks!$AC$448="","",IF(Checks!$V$448="","",CHAR(10))&amp;"N/A just.: "&amp;Checks!$AC$448)&amp;IF(OR(Checks!$W$448&lt;&gt;"",AND(Checks!$AQ$448=1,NOT(LEFT(Checks!$AH$448,10)="N/A – RULE"))),CHAR(10)&amp;"Batch: "&amp;IF(Checks!$W$448="","____________",Checks!$W$448),"")&amp;IF(OR(Checks!$X$448&lt;&gt;"",Checks!$Y$448&lt;&gt;"",AND(Checks!$AR$448=1,NOT(LEFT(Checks!$AH$448,10)="N/A – RULE"))),CHAR(10)&amp;"Exp: "&amp;IF(Checks!$X$448="","______",Checks!$X$448)&amp;"  /  Act: "&amp;IF(Checks!$Y$448="","______",Checks!$Y$448),"")</f>
        <v/>
      </c>
      <c r="F47" s="120" t="str">
        <f aca="false">IF(AND(LEFT(Checks!$AH$448,10)="N/A – RULE",TRIM(Checks!$S$448&amp;Checks!$Z$448)=""),"","Type: "&amp;IF(TRIM(Checks!$S$448)="","______________ (see cover list)",Checks!$S$448)&amp;CHAR(10)&amp;"ID: "&amp;IF(TRIM(Checks!$Z$448)="","______________ (record's own no.)",Checks!$Z$448))&amp;IF(Checks!$AA$448="","",CHAR(10)&amp;"CA: "&amp;Checks!$AA$448)</f>
        <v>Type: ______________ (see cover list)
ID: ______________ (record's own no.)</v>
      </c>
      <c r="G47" s="120" t="str">
        <f aca="false">IF(AND(LEFT(Checks!$AH$448,10)="N/A – RULE",NOT(ISNUMBER(Checks!$AD$448)),Checks!$AE$448="",Checks!$T$448=""),"","Done: "&amp;IF(ISNUMBER(Checks!$AD$448),TEXT(Checks!$AD$448,"DD-MMM-YY HH:MM"),"____________")&amp;" "&amp;Checks!$P$448&amp;CHAR(10)&amp;"Verifier: "&amp;IF(Checks!$AE$448="","____________",Checks!$AE$448)&amp;CHAR(10)&amp;"PIC: "&amp;IF(Checks!$T$448="","____________",Checks!$T$448))</f>
        <v>Done: ____________ ADL
Verifier: ____________
PIC: ____________</v>
      </c>
      <c r="H47" s="121" t="str">
        <f aca="false">IF(Checks!$AH$448="","",Checks!$AH$448)</f>
        <v>OPEN – CLARIFICATION</v>
      </c>
    </row>
    <row r="48" customFormat="false" ht="25.5" hidden="false" customHeight="true" outlineLevel="0" collapsed="false">
      <c r="A48" s="119" t="str">
        <f aca="false">"UPLIFT — Physical uplift – on-board confirmation before departure  |  Due "&amp;"STD "&amp;IF(ISNUMBER(Flights!$I$17),TEXT(Flights!$I$17,"DD-MMM-YY HH:MM"),"")&amp;" "&amp;Flights!$G$17&amp;" (departure stn)"&amp;" (rows with another due show their own)  |  Complete "&amp;IF(ISNUMBER(Flights!$AM$17),TEXT(Flights!$AM$17,"0%"),Flights!$AM$17)&amp;"  |  7 lines"</f>
        <v>UPLIFT — Physical uplift – on-board confirmation before departure  |  Due STD 14-Oct-26 10:45 ADL (departure stn) (rows with another due show their own)  |  Complete 0%  |  7 lines</v>
      </c>
      <c r="B48" s="119"/>
      <c r="C48" s="119"/>
      <c r="D48" s="119"/>
      <c r="E48" s="119"/>
      <c r="F48" s="119"/>
      <c r="G48" s="119"/>
      <c r="H48" s="119"/>
    </row>
    <row r="49" customFormat="false" ht="114" hidden="false" customHeight="true" outlineLevel="0" collapsed="false">
      <c r="A49" s="120" t="str">
        <f aca="false">Checks!$A$449&amp;CHAR(10)&amp;IF(Checks!$I$449="","",Checks!$I$449&amp;": ")&amp;Checks!$J$449</f>
        <v>F13-UPL-01
Meal: Meals physically uplifted on board - quantity vs menu checklist</v>
      </c>
      <c r="B49" s="120" t="str">
        <f aca="false">Checks!$K$449&amp;IF(Checks!$O$449="","",IF(Checks!$K$449="","",CHAR(10))&amp;"Note: "&amp;Checks!$O$449)</f>
        <v>Enter expected &amp; actual
Note: Confirm on board before departure; completion time must fall inside the uplift window.</v>
      </c>
      <c r="C49" s="120" t="str">
        <f aca="false">Checks!$N$449&amp;CHAR(10)&amp;IF(ISNUMBER(Checks!$R$449),TEXT(Checks!$R$449,"DD-MMM-YY HH:MM"),"")&amp;" "&amp;Checks!$P$449</f>
        <v>Required
14-Oct-26 10:45 ADL</v>
      </c>
      <c r="D49" s="120" t="str">
        <f aca="false">IF(TRIM(Checks!$U$449)&lt;&gt;"",Checks!$U$449&amp;IF(Checks!$AB$449="","",CHAR(10)&amp;"CA: "&amp;Checks!$AB$449),IF(LEFT(Checks!$AH$449,10)="N/A – RULE","","[ ] Pass"&amp;CHAR(10)&amp;"[ ] Pass after CA"&amp;CHAR(10)&amp;"[ ] Fail"&amp;IF(Checks!$AT$449=1,CHAR(10)&amp;"[ ] N/A","")&amp;CHAR(10)&amp;"CA: Open / Closed"))</f>
        <v>[ ] Pass
[ ] Pass after CA
[ ] Fail
CA: Open / Closed</v>
      </c>
      <c r="E49" s="120" t="str">
        <f aca="false">IF(Checks!$V$449="","",Checks!$V$449)&amp;IF(Checks!$AC$449="","",IF(Checks!$V$449="","",CHAR(10))&amp;"N/A just.: "&amp;Checks!$AC$449)&amp;IF(OR(Checks!$W$449&lt;&gt;"",AND(Checks!$AQ$449=1,NOT(LEFT(Checks!$AH$449,10)="N/A – RULE"))),CHAR(10)&amp;"Batch: "&amp;IF(Checks!$W$449="","____________",Checks!$W$449),"")&amp;IF(OR(Checks!$X$449&lt;&gt;"",Checks!$Y$449&lt;&gt;"",AND(Checks!$AR$449=1,NOT(LEFT(Checks!$AH$449,10)="N/A – RULE"))),CHAR(10)&amp;"Exp: "&amp;IF(Checks!$X$449="","______",Checks!$X$449)&amp;"  /  Act: "&amp;IF(Checks!$Y$449="","______",Checks!$Y$449),"")</f>
        <v>
Exp: ______  /  Act: ______</v>
      </c>
      <c r="F49" s="120" t="str">
        <f aca="false">IF(AND(LEFT(Checks!$AH$449,10)="N/A – RULE",TRIM(Checks!$S$449&amp;Checks!$Z$449)=""),"","Type: "&amp;IF(TRIM(Checks!$S$449)="","______________ (see cover list)",Checks!$S$449)&amp;CHAR(10)&amp;"ID: "&amp;IF(TRIM(Checks!$Z$449)="","______________ (record's own no.)",Checks!$Z$449))&amp;IF(Checks!$AA$449="","",CHAR(10)&amp;"CA: "&amp;Checks!$AA$449)</f>
        <v>Type: ______________ (see cover list)
ID: ______________ (record's own no.)</v>
      </c>
      <c r="G49" s="120" t="str">
        <f aca="false">IF(AND(LEFT(Checks!$AH$449,10)="N/A – RULE",NOT(ISNUMBER(Checks!$AD$449)),Checks!$AE$449="",Checks!$T$449=""),"","Done: "&amp;IF(ISNUMBER(Checks!$AD$449),TEXT(Checks!$AD$449,"DD-MMM-YY HH:MM"),"____________")&amp;" "&amp;Checks!$P$449&amp;CHAR(10)&amp;"Verifier: "&amp;IF(Checks!$AE$449="","____________",Checks!$AE$449)&amp;CHAR(10)&amp;"PIC: "&amp;IF(Checks!$T$449="","____________",Checks!$T$449))</f>
        <v>Done: ____________ ADL
Verifier: ____________
PIC: ____________</v>
      </c>
      <c r="H49" s="121" t="str">
        <f aca="false">IF(Checks!$AH$449="","",Checks!$AH$449)</f>
        <v>OPEN</v>
      </c>
    </row>
    <row r="50" customFormat="false" ht="114" hidden="false" customHeight="true" outlineLevel="0" collapsed="false">
      <c r="A50" s="120" t="str">
        <f aca="false">Checks!$A$450&amp;CHAR(10)&amp;IF(Checks!$I$450="","",Checks!$I$450&amp;": ")&amp;Checks!$J$450</f>
        <v>F13-UPL-02
Equipment: Equipment physically loaded at GLD positions - quantity &amp; positions</v>
      </c>
      <c r="B50" s="120" t="str">
        <f aca="false">Checks!$K$450&amp;IF(Checks!$O$450="","",IF(Checks!$K$450="","",CHAR(10))&amp;"Note: "&amp;Checks!$O$450)</f>
        <v>Enter expected &amp; actual
Note: Confirm on board before departure; completion time must fall inside the uplift window.</v>
      </c>
      <c r="C50" s="120" t="str">
        <f aca="false">Checks!$N$450&amp;CHAR(10)&amp;IF(ISNUMBER(Checks!$R$450),TEXT(Checks!$R$450,"DD-MMM-YY HH:MM"),"")&amp;" "&amp;Checks!$P$450</f>
        <v>Required
14-Oct-26 10:45 ADL</v>
      </c>
      <c r="D50" s="120" t="str">
        <f aca="false">IF(TRIM(Checks!$U$450)&lt;&gt;"",Checks!$U$450&amp;IF(Checks!$AB$450="","",CHAR(10)&amp;"CA: "&amp;Checks!$AB$450),IF(LEFT(Checks!$AH$450,10)="N/A – RULE","","[ ] Pass"&amp;CHAR(10)&amp;"[ ] Pass after CA"&amp;CHAR(10)&amp;"[ ] Fail"&amp;IF(Checks!$AT$450=1,CHAR(10)&amp;"[ ] N/A","")&amp;CHAR(10)&amp;"CA: Open / Closed"))</f>
        <v>[ ] Pass
[ ] Pass after CA
[ ] Fail
CA: Open / Closed</v>
      </c>
      <c r="E50" s="120" t="str">
        <f aca="false">IF(Checks!$V$450="","",Checks!$V$450)&amp;IF(Checks!$AC$450="","",IF(Checks!$V$450="","",CHAR(10))&amp;"N/A just.: "&amp;Checks!$AC$450)&amp;IF(OR(Checks!$W$450&lt;&gt;"",AND(Checks!$AQ$450=1,NOT(LEFT(Checks!$AH$450,10)="N/A – RULE"))),CHAR(10)&amp;"Batch: "&amp;IF(Checks!$W$450="","____________",Checks!$W$450),"")&amp;IF(OR(Checks!$X$450&lt;&gt;"",Checks!$Y$450&lt;&gt;"",AND(Checks!$AR$450=1,NOT(LEFT(Checks!$AH$450,10)="N/A – RULE"))),CHAR(10)&amp;"Exp: "&amp;IF(Checks!$X$450="","______",Checks!$X$450)&amp;"  /  Act: "&amp;IF(Checks!$Y$450="","______",Checks!$Y$450),"")</f>
        <v>
Exp: ______  /  Act: ______</v>
      </c>
      <c r="F50" s="120" t="str">
        <f aca="false">IF(AND(LEFT(Checks!$AH$450,10)="N/A – RULE",TRIM(Checks!$S$450&amp;Checks!$Z$450)=""),"","Type: "&amp;IF(TRIM(Checks!$S$450)="","______________ (see cover list)",Checks!$S$450)&amp;CHAR(10)&amp;"ID: "&amp;IF(TRIM(Checks!$Z$450)="","______________ (record's own no.)",Checks!$Z$450))&amp;IF(Checks!$AA$450="","",CHAR(10)&amp;"CA: "&amp;Checks!$AA$450)</f>
        <v>Type: ______________ (see cover list)
ID: ______________ (record's own no.)</v>
      </c>
      <c r="G50" s="120" t="str">
        <f aca="false">IF(AND(LEFT(Checks!$AH$450,10)="N/A – RULE",NOT(ISNUMBER(Checks!$AD$450)),Checks!$AE$450="",Checks!$T$450=""),"","Done: "&amp;IF(ISNUMBER(Checks!$AD$450),TEXT(Checks!$AD$450,"DD-MMM-YY HH:MM"),"____________")&amp;" "&amp;Checks!$P$450&amp;CHAR(10)&amp;"Verifier: "&amp;IF(Checks!$AE$450="","____________",Checks!$AE$450)&amp;CHAR(10)&amp;"PIC: "&amp;IF(Checks!$T$450="","____________",Checks!$T$450))</f>
        <v>Done: ____________ ADL
Verifier: ____________
PIC: ____________</v>
      </c>
      <c r="H50" s="121" t="str">
        <f aca="false">IF(Checks!$AH$450="","",Checks!$AH$450)</f>
        <v>OPEN</v>
      </c>
    </row>
    <row r="51" customFormat="false" ht="114" hidden="false" customHeight="true" outlineLevel="0" collapsed="false">
      <c r="A51" s="120" t="str">
        <f aca="false">Checks!$A$451&amp;CHAR(10)&amp;IF(Checks!$I$451="","",Checks!$I$451&amp;": ")&amp;Checks!$J$451</f>
        <v>F13-UPL-03
Uplift plan: KUL-sourced items physically loaded at KUL on the inbound KUL-ADL flight</v>
      </c>
      <c r="B51" s="120" t="str">
        <f aca="false">SUBSTITUTE(Checks!$K$451&amp;IF(Checks!$O$451="","",IF(Checks!$K$451="","",CHAR(10))&amp;"Note: "&amp;Checks!$O$451)," (Flights AX)","")</f>
        <v>Items: Toiletry kits. Quantities as per Requirements
Note: Confirmed at KUL inside the uplift window before the carrying flight's KUL departure.</v>
      </c>
      <c r="C51" s="120" t="str">
        <f aca="false">Checks!$N$451&amp;CHAR(10)&amp;IF(ISNUMBER(Checks!$R$451),TEXT(Checks!$R$451,"DD-MMM-YY HH:MM"),"")&amp;" "&amp;Checks!$P$451</f>
        <v>Required
12-Oct-26 22:25 KUL</v>
      </c>
      <c r="D51" s="120" t="str">
        <f aca="false">IF(TRIM(Checks!$U$451)&lt;&gt;"",Checks!$U$451&amp;IF(Checks!$AB$451="","",CHAR(10)&amp;"CA: "&amp;Checks!$AB$451),IF(LEFT(Checks!$AH$451,10)="N/A – RULE","","[ ] Pass"&amp;CHAR(10)&amp;"[ ] Pass after CA"&amp;CHAR(10)&amp;"[ ] Fail"&amp;IF(Checks!$AT$451=1,CHAR(10)&amp;"[ ] N/A","")&amp;CHAR(10)&amp;"CA: Open / Closed"))</f>
        <v>[ ] Pass
[ ] Pass after CA
[ ] Fail
CA: Open / Closed</v>
      </c>
      <c r="E51" s="120" t="str">
        <f aca="false">IF(Checks!$V$451="","",Checks!$V$451)&amp;IF(Checks!$AC$451="","",IF(Checks!$V$451="","",CHAR(10))&amp;"N/A just.: "&amp;Checks!$AC$451)&amp;IF(OR(Checks!$W$451&lt;&gt;"",AND(Checks!$AQ$451=1,NOT(LEFT(Checks!$AH$451,10)="N/A – RULE"))),CHAR(10)&amp;"Batch: "&amp;IF(Checks!$W$451="","____________",Checks!$W$451),"")&amp;IF(OR(Checks!$X$451&lt;&gt;"",Checks!$Y$451&lt;&gt;"",AND(Checks!$AR$451=1,NOT(LEFT(Checks!$AH$451,10)="N/A – RULE"))),CHAR(10)&amp;"Exp: "&amp;IF(Checks!$X$451="","______",Checks!$X$451)&amp;"  /  Act: "&amp;IF(Checks!$Y$451="","______",Checks!$Y$451),"")</f>
        <v/>
      </c>
      <c r="F51" s="120" t="str">
        <f aca="false">IF(AND(LEFT(Checks!$AH$451,10)="N/A – RULE",TRIM(Checks!$S$451&amp;Checks!$Z$451)=""),"","Type: "&amp;IF(TRIM(Checks!$S$451)="","______________ (see cover list)",Checks!$S$451)&amp;CHAR(10)&amp;"ID: "&amp;IF(TRIM(Checks!$Z$451)="","______________ (record's own no.)",Checks!$Z$451))&amp;IF(Checks!$AA$451="","",CHAR(10)&amp;"CA: "&amp;Checks!$AA$451)</f>
        <v>Type: ______________ (see cover list)
ID: ______________ (record's own no.)</v>
      </c>
      <c r="G51" s="120" t="str">
        <f aca="false">IF(AND(LEFT(Checks!$AH$451,10)="N/A – RULE",NOT(ISNUMBER(Checks!$AD$451)),Checks!$AE$451="",Checks!$T$451=""),"","Done: "&amp;IF(ISNUMBER(Checks!$AD$451),TEXT(Checks!$AD$451,"DD-MMM-YY HH:MM"),"____________")&amp;" "&amp;Checks!$P$451&amp;CHAR(10)&amp;"Verifier: "&amp;IF(Checks!$AE$451="","____________",Checks!$AE$451)&amp;CHAR(10)&amp;"PIC: "&amp;IF(Checks!$T$451="","____________",Checks!$T$451))</f>
        <v>Done: ____________ KUL
Verifier: ____________
PIC: ____________</v>
      </c>
      <c r="H51" s="121" t="str">
        <f aca="false">IF(Checks!$AH$451="","",Checks!$AH$451)</f>
        <v>OPEN</v>
      </c>
    </row>
    <row r="52" customFormat="false" ht="135.75" hidden="false" customHeight="true" outlineLevel="0" collapsed="false">
      <c r="A52" s="120" t="str">
        <f aca="false">Checks!$A$452&amp;CHAR(10)&amp;IF(Checks!$I$452="","",Checks!$I$452&amp;": ")&amp;Checks!$J$452</f>
        <v>F13-UPL-04
Amenities: Toiletry kits - on board</v>
      </c>
      <c r="B52" s="120" t="str">
        <f aca="false">Checks!$K$452&amp;IF(Checks!$O$452="","",IF(Checks!$K$452="","",CHAR(10))&amp;"Note: "&amp;Checks!$O$452)</f>
        <v>Available for sector (ticked in reference)
Note: Reference does not state the cabin class for toiletry kits. Confirm whether EY receives them; if not, mark N/A with the confirmation as justification.</v>
      </c>
      <c r="C52" s="120" t="str">
        <f aca="false">Checks!$N$452&amp;CHAR(10)&amp;IF(ISNUMBER(Checks!$R$452),TEXT(Checks!$R$452,"DD-MMM-YY HH:MM"),"")&amp;" "&amp;Checks!$P$452</f>
        <v>Clarification required
14-Oct-26 10:45 ADL</v>
      </c>
      <c r="D52" s="120" t="str">
        <f aca="false">IF(TRIM(Checks!$U$452)&lt;&gt;"",Checks!$U$452&amp;IF(Checks!$AB$452="","",CHAR(10)&amp;"CA: "&amp;Checks!$AB$452),IF(LEFT(Checks!$AH$452,10)="N/A – RULE","","[ ] Pass"&amp;CHAR(10)&amp;"[ ] Pass after CA"&amp;CHAR(10)&amp;"[ ] Fail"&amp;IF(Checks!$AT$452=1,CHAR(10)&amp;"[ ] N/A","")&amp;CHAR(10)&amp;"CA: Open / Closed"))</f>
        <v>[ ] Pass
[ ] Pass after CA
[ ] Fail
[ ] N/A
CA: Open / Closed</v>
      </c>
      <c r="E52" s="120" t="str">
        <f aca="false">IF(Checks!$V$452="","",Checks!$V$452)&amp;IF(Checks!$AC$452="","",IF(Checks!$V$452="","",CHAR(10))&amp;"N/A just.: "&amp;Checks!$AC$452)&amp;IF(OR(Checks!$W$452&lt;&gt;"",AND(Checks!$AQ$452=1,NOT(LEFT(Checks!$AH$452,10)="N/A – RULE"))),CHAR(10)&amp;"Batch: "&amp;IF(Checks!$W$452="","____________",Checks!$W$452),"")&amp;IF(OR(Checks!$X$452&lt;&gt;"",Checks!$Y$452&lt;&gt;"",AND(Checks!$AR$452=1,NOT(LEFT(Checks!$AH$452,10)="N/A – RULE"))),CHAR(10)&amp;"Exp: "&amp;IF(Checks!$X$452="","______",Checks!$X$452)&amp;"  /  Act: "&amp;IF(Checks!$Y$452="","______",Checks!$Y$452),"")</f>
        <v/>
      </c>
      <c r="F52" s="120" t="str">
        <f aca="false">IF(AND(LEFT(Checks!$AH$452,10)="N/A – RULE",TRIM(Checks!$S$452&amp;Checks!$Z$452)=""),"","Type: "&amp;IF(TRIM(Checks!$S$452)="","______________ (see cover list)",Checks!$S$452)&amp;CHAR(10)&amp;"ID: "&amp;IF(TRIM(Checks!$Z$452)="","______________ (record's own no.)",Checks!$Z$452))&amp;IF(Checks!$AA$452="","",CHAR(10)&amp;"CA: "&amp;Checks!$AA$452)</f>
        <v>Type: ______________ (see cover list)
ID: ______________ (record's own no.)</v>
      </c>
      <c r="G52" s="120" t="str">
        <f aca="false">IF(AND(LEFT(Checks!$AH$452,10)="N/A – RULE",NOT(ISNUMBER(Checks!$AD$452)),Checks!$AE$452="",Checks!$T$452=""),"","Done: "&amp;IF(ISNUMBER(Checks!$AD$452),TEXT(Checks!$AD$452,"DD-MMM-YY HH:MM"),"____________")&amp;" "&amp;Checks!$P$452&amp;CHAR(10)&amp;"Verifier: "&amp;IF(Checks!$AE$452="","____________",Checks!$AE$452)&amp;CHAR(10)&amp;"PIC: "&amp;IF(Checks!$T$452="","____________",Checks!$T$452))</f>
        <v>Done: ____________ ADL
Verifier: ____________
PIC: ____________</v>
      </c>
      <c r="H52" s="121" t="str">
        <f aca="false">IF(Checks!$AH$452="","",Checks!$AH$452)</f>
        <v>OPEN – CLARIFICATION</v>
      </c>
    </row>
    <row r="53" customFormat="false" ht="114" hidden="false" customHeight="true" outlineLevel="0" collapsed="false">
      <c r="A53" s="120" t="str">
        <f aca="false">Checks!$A$453&amp;CHAR(10)&amp;IF(Checks!$I$453="","",Checks!$I$453&amp;": ")&amp;Checks!$J$453</f>
        <v>F13-UPL-05
Seat Linen: Seat pillow (EY) - on board</v>
      </c>
      <c r="B53" s="120" t="str">
        <f aca="false">Checks!$K$453&amp;IF(Checks!$O$453="","",IF(Checks!$K$453="","",CHAR(10))&amp;"Note: "&amp;Checks!$O$453)</f>
        <v>Available 100% (ticked in reference)</v>
      </c>
      <c r="C53" s="120" t="str">
        <f aca="false">Checks!$N$453&amp;CHAR(10)&amp;IF(ISNUMBER(Checks!$R$453),TEXT(Checks!$R$453,"DD-MMM-YY HH:MM"),"")&amp;" "&amp;Checks!$P$453</f>
        <v>Required
14-Oct-26 10:45 ADL</v>
      </c>
      <c r="D53" s="120" t="str">
        <f aca="false">IF(TRIM(Checks!$U$453)&lt;&gt;"",Checks!$U$453&amp;IF(Checks!$AB$453="","",CHAR(10)&amp;"CA: "&amp;Checks!$AB$453),IF(LEFT(Checks!$AH$453,10)="N/A – RULE","","[ ] Pass"&amp;CHAR(10)&amp;"[ ] Pass after CA"&amp;CHAR(10)&amp;"[ ] Fail"&amp;IF(Checks!$AT$453=1,CHAR(10)&amp;"[ ] N/A","")&amp;CHAR(10)&amp;"CA: Open / Closed"))</f>
        <v>[ ] Pass
[ ] Pass after CA
[ ] Fail
CA: Open / Closed</v>
      </c>
      <c r="E53" s="120" t="str">
        <f aca="false">IF(Checks!$V$453="","",Checks!$V$453)&amp;IF(Checks!$AC$453="","",IF(Checks!$V$453="","",CHAR(10))&amp;"N/A just.: "&amp;Checks!$AC$453)&amp;IF(OR(Checks!$W$453&lt;&gt;"",AND(Checks!$AQ$453=1,NOT(LEFT(Checks!$AH$453,10)="N/A – RULE"))),CHAR(10)&amp;"Batch: "&amp;IF(Checks!$W$453="","____________",Checks!$W$453),"")&amp;IF(OR(Checks!$X$453&lt;&gt;"",Checks!$Y$453&lt;&gt;"",AND(Checks!$AR$453=1,NOT(LEFT(Checks!$AH$453,10)="N/A – RULE"))),CHAR(10)&amp;"Exp: "&amp;IF(Checks!$X$453="","______",Checks!$X$453)&amp;"  /  Act: "&amp;IF(Checks!$Y$453="","______",Checks!$Y$453),"")</f>
        <v/>
      </c>
      <c r="F53" s="120" t="str">
        <f aca="false">IF(AND(LEFT(Checks!$AH$453,10)="N/A – RULE",TRIM(Checks!$S$453&amp;Checks!$Z$453)=""),"","Type: "&amp;IF(TRIM(Checks!$S$453)="","______________ (see cover list)",Checks!$S$453)&amp;CHAR(10)&amp;"ID: "&amp;IF(TRIM(Checks!$Z$453)="","______________ (record's own no.)",Checks!$Z$453))&amp;IF(Checks!$AA$453="","",CHAR(10)&amp;"CA: "&amp;Checks!$AA$453)</f>
        <v>Type: ______________ (see cover list)
ID: ______________ (record's own no.)</v>
      </c>
      <c r="G53" s="120" t="str">
        <f aca="false">IF(AND(LEFT(Checks!$AH$453,10)="N/A – RULE",NOT(ISNUMBER(Checks!$AD$453)),Checks!$AE$453="",Checks!$T$453=""),"","Done: "&amp;IF(ISNUMBER(Checks!$AD$453),TEXT(Checks!$AD$453,"DD-MMM-YY HH:MM"),"____________")&amp;" "&amp;Checks!$P$453&amp;CHAR(10)&amp;"Verifier: "&amp;IF(Checks!$AE$453="","____________",Checks!$AE$453)&amp;CHAR(10)&amp;"PIC: "&amp;IF(Checks!$T$453="","____________",Checks!$T$453))</f>
        <v>Done: ____________ ADL
Verifier: ____________
PIC: ____________</v>
      </c>
      <c r="H53" s="121" t="str">
        <f aca="false">IF(Checks!$AH$453="","",Checks!$AH$453)</f>
        <v>OPEN</v>
      </c>
    </row>
    <row r="54" customFormat="false" ht="114" hidden="false" customHeight="true" outlineLevel="0" collapsed="false">
      <c r="A54" s="120" t="str">
        <f aca="false">Checks!$A$454&amp;CHAR(10)&amp;IF(Checks!$I$454="","",Checks!$I$454&amp;": ")&amp;Checks!$J$454</f>
        <v>F13-UPL-06
Seat Linen: Blanket (EY) - on board</v>
      </c>
      <c r="B54" s="120" t="str">
        <f aca="false">SUBSTITUTE(SUBSTITUTE(Checks!$K$454&amp;IF(Checks!$O$454="","",IF(Checks!$K$454="","",CHAR(10))&amp;"Note: "&amp;Checks!$O$454)," (SEAT LINEN!B74:C74)","")," (SEAT LINEN!B75:C75)","")</f>
        <v>Available 100% (ticked in reference); qty 280
Note: EY blanket: flight above 3 hours excl. Regional; block 7.75 h. Qty 280 pcs (14 bundles) for A332/A333/A339.</v>
      </c>
      <c r="C54" s="120" t="str">
        <f aca="false">Checks!$N$454&amp;CHAR(10)&amp;IF(ISNUMBER(Checks!$R$454),TEXT(Checks!$R$454,"DD-MMM-YY HH:MM"),"")&amp;" "&amp;Checks!$P$454</f>
        <v>Required
14-Oct-26 10:45 ADL</v>
      </c>
      <c r="D54" s="120" t="str">
        <f aca="false">IF(TRIM(Checks!$U$454)&lt;&gt;"",Checks!$U$454&amp;IF(Checks!$AB$454="","",CHAR(10)&amp;"CA: "&amp;Checks!$AB$454),IF(LEFT(Checks!$AH$454,10)="N/A – RULE","","[ ] Pass"&amp;CHAR(10)&amp;"[ ] Pass after CA"&amp;CHAR(10)&amp;"[ ] Fail"&amp;IF(Checks!$AT$454=1,CHAR(10)&amp;"[ ] N/A","")&amp;CHAR(10)&amp;"CA: Open / Closed"))</f>
        <v>[ ] Pass
[ ] Pass after CA
[ ] Fail
CA: Open / Closed</v>
      </c>
      <c r="E54" s="120" t="str">
        <f aca="false">IF(Checks!$V$454="","",Checks!$V$454)&amp;IF(Checks!$AC$454="","",IF(Checks!$V$454="","",CHAR(10))&amp;"N/A just.: "&amp;Checks!$AC$454)&amp;IF(OR(Checks!$W$454&lt;&gt;"",AND(Checks!$AQ$454=1,NOT(LEFT(Checks!$AH$454,10)="N/A – RULE"))),CHAR(10)&amp;"Batch: "&amp;IF(Checks!$W$454="","____________",Checks!$W$454),"")&amp;IF(OR(Checks!$X$454&lt;&gt;"",Checks!$Y$454&lt;&gt;"",AND(Checks!$AR$454=1,NOT(LEFT(Checks!$AH$454,10)="N/A – RULE"))),CHAR(10)&amp;"Exp: "&amp;IF(Checks!$X$454="","______",Checks!$X$454)&amp;"  /  Act: "&amp;IF(Checks!$Y$454="","______",Checks!$Y$454),"")</f>
        <v>
Exp: 280  /  Act: ______</v>
      </c>
      <c r="F54" s="120" t="str">
        <f aca="false">IF(AND(LEFT(Checks!$AH$454,10)="N/A – RULE",TRIM(Checks!$S$454&amp;Checks!$Z$454)=""),"","Type: "&amp;IF(TRIM(Checks!$S$454)="","______________ (see cover list)",Checks!$S$454)&amp;CHAR(10)&amp;"ID: "&amp;IF(TRIM(Checks!$Z$454)="","______________ (record's own no.)",Checks!$Z$454))&amp;IF(Checks!$AA$454="","",CHAR(10)&amp;"CA: "&amp;Checks!$AA$454)</f>
        <v>Type: ______________ (see cover list)
ID: ______________ (record's own no.)</v>
      </c>
      <c r="G54" s="120" t="str">
        <f aca="false">IF(AND(LEFT(Checks!$AH$454,10)="N/A – RULE",NOT(ISNUMBER(Checks!$AD$454)),Checks!$AE$454="",Checks!$T$454=""),"","Done: "&amp;IF(ISNUMBER(Checks!$AD$454),TEXT(Checks!$AD$454,"DD-MMM-YY HH:MM"),"____________")&amp;" "&amp;Checks!$P$454&amp;CHAR(10)&amp;"Verifier: "&amp;IF(Checks!$AE$454="","____________",Checks!$AE$454)&amp;CHAR(10)&amp;"PIC: "&amp;IF(Checks!$T$454="","____________",Checks!$T$454))</f>
        <v>Done: ____________ ADL
Verifier: ____________
PIC: ____________</v>
      </c>
      <c r="H54" s="121" t="str">
        <f aca="false">IF(Checks!$AH$454="","",Checks!$AH$454)</f>
        <v>OPEN</v>
      </c>
    </row>
    <row r="55" customFormat="false" ht="135.75" hidden="false" customHeight="true" outlineLevel="0" collapsed="false">
      <c r="A55" s="120" t="str">
        <f aca="false">Checks!$A$455&amp;CHAR(10)&amp;IF(Checks!$I$455="","",Checks!$I$455&amp;": ")&amp;Checks!$J$455</f>
        <v>F13-UPL-07
Sales Cart: Sales cart (caterer PASB) - on board</v>
      </c>
      <c r="B55" s="120" t="str">
        <f aca="false">Checks!$K$455&amp;IF(Checks!$O$455="","",IF(Checks!$K$455="","",CHAR(10))&amp;"Note: "&amp;Checks!$O$455)</f>
        <v>Location 241 &amp; 947 (A339)
Note: Block 7.75 h &gt;= 4 h. Reference names caterer PASB for the KUL/ADL/KUL sector but no uplift station: confirm whether the ADL-KUL sales cart is loaded at KUL (round trip) or at ADL.</v>
      </c>
      <c r="C55" s="120" t="str">
        <f aca="false">Checks!$N$455&amp;CHAR(10)&amp;IF(ISNUMBER(Checks!$R$455),TEXT(Checks!$R$455,"DD-MMM-YY HH:MM"),"")&amp;" "&amp;Checks!$P$455</f>
        <v>Clarification required
14-Oct-26 10:45 ADL</v>
      </c>
      <c r="D55" s="120" t="str">
        <f aca="false">IF(TRIM(Checks!$U$455)&lt;&gt;"",Checks!$U$455&amp;IF(Checks!$AB$455="","",CHAR(10)&amp;"CA: "&amp;Checks!$AB$455),IF(LEFT(Checks!$AH$455,10)="N/A – RULE","","[ ] Pass"&amp;CHAR(10)&amp;"[ ] Pass after CA"&amp;CHAR(10)&amp;"[ ] Fail"&amp;IF(Checks!$AT$455=1,CHAR(10)&amp;"[ ] N/A","")&amp;CHAR(10)&amp;"CA: Open / Closed"))</f>
        <v>[ ] Pass
[ ] Pass after CA
[ ] Fail
[ ] N/A
CA: Open / Closed</v>
      </c>
      <c r="E55" s="120" t="str">
        <f aca="false">IF(Checks!$V$455="","",Checks!$V$455)&amp;IF(Checks!$AC$455="","",IF(Checks!$V$455="","",CHAR(10))&amp;"N/A just.: "&amp;Checks!$AC$455)&amp;IF(OR(Checks!$W$455&lt;&gt;"",AND(Checks!$AQ$455=1,NOT(LEFT(Checks!$AH$455,10)="N/A – RULE"))),CHAR(10)&amp;"Batch: "&amp;IF(Checks!$W$455="","____________",Checks!$W$455),"")&amp;IF(OR(Checks!$X$455&lt;&gt;"",Checks!$Y$455&lt;&gt;"",AND(Checks!$AR$455=1,NOT(LEFT(Checks!$AH$455,10)="N/A – RULE"))),CHAR(10)&amp;"Exp: "&amp;IF(Checks!$X$455="","______",Checks!$X$455)&amp;"  /  Act: "&amp;IF(Checks!$Y$455="","______",Checks!$Y$455),"")</f>
        <v/>
      </c>
      <c r="F55" s="120" t="str">
        <f aca="false">IF(AND(LEFT(Checks!$AH$455,10)="N/A – RULE",TRIM(Checks!$S$455&amp;Checks!$Z$455)=""),"","Type: "&amp;IF(TRIM(Checks!$S$455)="","______________ (see cover list)",Checks!$S$455)&amp;CHAR(10)&amp;"ID: "&amp;IF(TRIM(Checks!$Z$455)="","______________ (record's own no.)",Checks!$Z$455))&amp;IF(Checks!$AA$455="","",CHAR(10)&amp;"CA: "&amp;Checks!$AA$455)</f>
        <v>Type: ______________ (see cover list)
ID: ______________ (record's own no.)</v>
      </c>
      <c r="G55" s="120" t="str">
        <f aca="false">IF(AND(LEFT(Checks!$AH$455,10)="N/A – RULE",NOT(ISNUMBER(Checks!$AD$455)),Checks!$AE$455="",Checks!$T$455=""),"","Done: "&amp;IF(ISNUMBER(Checks!$AD$455),TEXT(Checks!$AD$455,"DD-MMM-YY HH:MM"),"____________")&amp;" "&amp;Checks!$P$455&amp;CHAR(10)&amp;"Verifier: "&amp;IF(Checks!$AE$455="","____________",Checks!$AE$455)&amp;CHAR(10)&amp;"PIC: "&amp;IF(Checks!$T$455="","____________",Checks!$T$455))</f>
        <v>Done: ____________ ADL
Verifier: ____________
PIC: ____________</v>
      </c>
      <c r="H55" s="121" t="str">
        <f aca="false">IF(Checks!$AH$455="","",Checks!$AH$455)</f>
        <v>OPEN – CLARIFICATION</v>
      </c>
    </row>
    <row r="57" customFormat="false" ht="24" hidden="false" customHeight="true" outlineLevel="0" collapsed="false">
      <c r="A57" s="122" t="s">
        <v>4832</v>
      </c>
      <c r="B57" s="122"/>
      <c r="C57" s="122"/>
      <c r="D57" s="122"/>
      <c r="E57" s="122" t="s">
        <v>4833</v>
      </c>
      <c r="F57" s="122"/>
      <c r="G57" s="122"/>
      <c r="H57" s="122"/>
    </row>
    <row r="58" customFormat="false" ht="21.75" hidden="false" customHeight="true" outlineLevel="0" collapsed="false">
      <c r="A58" s="123"/>
      <c r="B58" s="123"/>
      <c r="C58" s="123"/>
      <c r="D58" s="123"/>
      <c r="E58" s="123"/>
      <c r="F58" s="123"/>
      <c r="G58" s="123"/>
      <c r="H58" s="123"/>
    </row>
    <row r="59" customFormat="false" ht="21.75" hidden="false" customHeight="true" outlineLevel="0" collapsed="false">
      <c r="A59" s="123"/>
      <c r="B59" s="123"/>
      <c r="C59" s="123"/>
      <c r="D59" s="123"/>
      <c r="E59" s="123"/>
      <c r="F59" s="123"/>
      <c r="G59" s="123"/>
      <c r="H59" s="123"/>
    </row>
    <row r="60" customFormat="false" ht="21.75" hidden="false" customHeight="true" outlineLevel="0" collapsed="false">
      <c r="A60" s="123"/>
      <c r="B60" s="123"/>
      <c r="C60" s="123"/>
      <c r="D60" s="123"/>
      <c r="E60" s="123"/>
      <c r="F60" s="123"/>
      <c r="G60" s="123"/>
      <c r="H60" s="123"/>
    </row>
    <row r="61" customFormat="false" ht="21.75" hidden="false" customHeight="true" outlineLevel="0" collapsed="false">
      <c r="A61" s="123"/>
      <c r="B61" s="123"/>
      <c r="C61" s="123"/>
      <c r="D61" s="123"/>
      <c r="E61" s="123"/>
      <c r="F61" s="123"/>
      <c r="G61" s="123"/>
      <c r="H61" s="123"/>
    </row>
    <row r="62" customFormat="false" ht="21.75" hidden="false" customHeight="true" outlineLevel="0" collapsed="false">
      <c r="A62" s="123"/>
      <c r="B62" s="123"/>
      <c r="C62" s="123"/>
      <c r="D62" s="123"/>
      <c r="E62" s="123"/>
      <c r="F62" s="123"/>
      <c r="G62" s="123"/>
      <c r="H62" s="123"/>
    </row>
    <row r="63" customFormat="false" ht="21.75" hidden="false" customHeight="true" outlineLevel="0" collapsed="false">
      <c r="A63" s="123"/>
      <c r="B63" s="123"/>
      <c r="C63" s="123"/>
      <c r="D63" s="123"/>
      <c r="E63" s="123"/>
      <c r="F63" s="123"/>
      <c r="G63" s="123"/>
      <c r="H63" s="123"/>
    </row>
    <row r="64" customFormat="false" ht="21.75" hidden="false" customHeight="true" outlineLevel="0" collapsed="false">
      <c r="A64" s="123"/>
      <c r="B64" s="123"/>
      <c r="C64" s="123"/>
      <c r="D64" s="123"/>
      <c r="E64" s="123"/>
      <c r="F64" s="123"/>
      <c r="G64" s="123"/>
      <c r="H64" s="123"/>
    </row>
    <row r="65" customFormat="false" ht="21.75" hidden="false" customHeight="true" outlineLevel="0" collapsed="false">
      <c r="A65" s="123"/>
      <c r="B65" s="123"/>
      <c r="C65" s="123"/>
      <c r="D65" s="123"/>
      <c r="E65" s="123"/>
      <c r="F65" s="123"/>
      <c r="G65" s="123"/>
      <c r="H65" s="123"/>
    </row>
    <row r="66" customFormat="false" ht="21.75" hidden="false" customHeight="true" outlineLevel="0" collapsed="false">
      <c r="A66" s="123"/>
      <c r="B66" s="123"/>
      <c r="C66" s="123"/>
      <c r="D66" s="123"/>
      <c r="E66" s="123"/>
      <c r="F66" s="123"/>
      <c r="G66" s="123"/>
      <c r="H66" s="123"/>
    </row>
    <row r="67" customFormat="false" ht="21.75" hidden="false" customHeight="true" outlineLevel="0" collapsed="false">
      <c r="A67" s="123"/>
      <c r="B67" s="123"/>
      <c r="C67" s="123"/>
      <c r="D67" s="123"/>
      <c r="E67" s="123"/>
      <c r="F67" s="123"/>
      <c r="G67" s="123"/>
      <c r="H67" s="123"/>
    </row>
  </sheetData>
  <sheetProtection sheet="true" formatCells="false" formatColumns="false" formatRows="false" autoFilter="false"/>
  <mergeCells count="46">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A14:H14"/>
    <mergeCell ref="C15:D15"/>
    <mergeCell ref="F15:H15"/>
    <mergeCell ref="C16:D16"/>
    <mergeCell ref="F16:H16"/>
    <mergeCell ref="C17:D17"/>
    <mergeCell ref="F17:H17"/>
    <mergeCell ref="B18:H18"/>
    <mergeCell ref="A19:B19"/>
    <mergeCell ref="C19:E19"/>
    <mergeCell ref="F19:H19"/>
    <mergeCell ref="A20:B20"/>
    <mergeCell ref="C20:E20"/>
    <mergeCell ref="F20:H20"/>
    <mergeCell ref="A21:B21"/>
    <mergeCell ref="C21:E21"/>
    <mergeCell ref="F21:H21"/>
    <mergeCell ref="A23:H23"/>
    <mergeCell ref="A34:H34"/>
    <mergeCell ref="A36:H36"/>
    <mergeCell ref="A48:H48"/>
    <mergeCell ref="A57:D57"/>
    <mergeCell ref="E57:H57"/>
    <mergeCell ref="A58:D67"/>
    <mergeCell ref="E58:H67"/>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6">
    <cfRule type="expression" priority="9" aboveAverage="0" equalAverage="0" bottom="0" percent="0" rank="0" text="" dxfId="30">
      <formula>LEFT($E$16,11)="OUTSTANDING"</formula>
    </cfRule>
    <cfRule type="expression" priority="10" aboveAverage="0" equalAverage="0" bottom="0" percent="0" rank="0" text="" dxfId="27">
      <formula>$E$16="ON FILE"</formula>
    </cfRule>
  </conditionalFormatting>
  <conditionalFormatting sqref="E17">
    <cfRule type="expression" priority="11" aboveAverage="0" equalAverage="0" bottom="0" percent="0" rank="0" text="" dxfId="30">
      <formula>LEFT($E$17,11)="OUTSTANDING"</formula>
    </cfRule>
    <cfRule type="expression" priority="12" aboveAverage="0" equalAverage="0" bottom="0" percent="0" rank="0" text="" dxfId="27">
      <formula>$E$17="ON FILE"</formula>
    </cfRule>
  </conditionalFormatting>
  <conditionalFormatting sqref="H24:H55">
    <cfRule type="expression" priority="13" aboveAverage="0" equalAverage="0" bottom="0" percent="0" rank="0" text="" dxfId="31">
      <formula>ISNUMBER(SEARCH("CHECK WORDING",$H24))</formula>
    </cfRule>
    <cfRule type="expression" priority="14" aboveAverage="0" equalAverage="0" bottom="0" percent="0" rank="0" text="" dxfId="32">
      <formula>LEFT($H24,8)="COMPLETE"</formula>
    </cfRule>
    <cfRule type="expression" priority="15" aboveAverage="0" equalAverage="0" bottom="0" percent="0" rank="0" text="" dxfId="28">
      <formula>OR(LEFT($H24,7)="OVERDUE",LEFT($H24,4)="FAIL",LEFT($H24,7)="INVALID")</formula>
    </cfRule>
    <cfRule type="expression" priority="16" aboveAverage="0" equalAverage="0" bottom="0" percent="0" rank="0" text="" dxfId="33">
      <formula>LEFT($H24,4)="OPEN"</formula>
    </cfRule>
    <cfRule type="expression" priority="17" aboveAverage="0" equalAverage="0" bottom="0" percent="0" rank="0" text="" dxfId="34">
      <formula>LEFT($H24,3)="N/A"</formula>
    </cfRule>
  </conditionalFormatting>
  <conditionalFormatting sqref="A24:G55">
    <cfRule type="expression" priority="18" aboveAverage="0" equalAverage="0" bottom="0" percent="0" rank="0" text="" dxfId="35">
      <formula>LEFT($H24,3)="N/A"</formula>
    </cfRule>
  </conditionalFormatting>
  <conditionalFormatting sqref="D24:D55">
    <cfRule type="expression" priority="19" aboveAverage="0" equalAverage="0" bottom="0" percent="0" rank="0" text="" dxfId="28">
      <formula>LEFT($D24,4)="Fail"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F13 MH0138 14-Oct-26 ADL-KUL Class EY</oddHeader>
    <oddFooter>&amp;L&amp;"Arial,Bold"&amp;8 F13 MH0138 14-Oct-26 ADL-KUL Class EY&amp;C&amp;"Arial,Regular"&amp;8 Printed: ____________________&amp;R&amp;"Arial,Regular"&amp;8 F13  Page &amp;P of &amp;N</oddFooter>
  </headerFooter>
  <rowBreaks count="10" manualBreakCount="10">
    <brk id="21" man="true" max="16383" min="0"/>
    <brk id="27" man="true" max="16383" min="0"/>
    <brk id="31" man="true" max="16383" min="0"/>
    <brk id="33" man="true" max="16383" min="0"/>
    <brk id="38" man="true" max="16383" min="0"/>
    <brk id="41" man="true" max="16383" min="0"/>
    <brk id="43" man="true" max="16383" min="0"/>
    <brk id="46" man="true" max="16383" min="0"/>
    <brk id="50" man="true" max="16383" min="0"/>
    <brk id="54" man="true" max="16383" min="0"/>
  </row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F14  "&amp;Flights!$F$18&amp;"  "&amp;TEXT(Flights!$D$18,"DD-MMM-YY")&amp;" ("&amp;Flights!$E$18&amp;")  "&amp;Flights!$G$18&amp;" → "&amp;Flights!$H$18&amp;"  |  Class "&amp;Flights!$K$18</f>
        <v>SKYTRAX 2026 CATERING READINESS CHECKLIST  |  F14  MH0004  15-Oct-26 (THU)  KUL → LHR  |  Class EY</v>
      </c>
      <c r="B1" s="93"/>
      <c r="C1" s="93"/>
      <c r="D1" s="93"/>
      <c r="E1" s="93"/>
      <c r="F1" s="93"/>
      <c r="G1" s="93"/>
      <c r="H1" s="93"/>
    </row>
    <row r="2" customFormat="false" ht="12.75" hidden="false" customHeight="true" outlineLevel="0" collapsed="false">
      <c r="A2" s="94" t="s">
        <v>4788</v>
      </c>
      <c r="B2" s="95" t="str">
        <f aca="false">Flights!$F$18&amp;"   "&amp;TEXT(Flights!$D$18,"DD-MMM-YY")&amp;" ("&amp;Flights!$E$18&amp;")"</f>
        <v>MH0004   15-Oct-26 (THU)</v>
      </c>
      <c r="C2" s="95"/>
      <c r="D2" s="95"/>
      <c r="E2" s="96" t="s">
        <v>4789</v>
      </c>
      <c r="F2" s="97" t="str">
        <f aca="false">Flights!$AT$18</f>
        <v>NOT READY – DOCUMENTS</v>
      </c>
      <c r="G2" s="97"/>
      <c r="H2" s="97"/>
    </row>
    <row r="3" customFormat="false" ht="24" hidden="false" customHeight="true" outlineLevel="0" collapsed="false">
      <c r="A3" s="94" t="s">
        <v>4790</v>
      </c>
      <c r="B3" s="95" t="str">
        <f aca="false">Flights!$G$18&amp;" → "&amp;Flights!$H$18&amp;"   Class "&amp;Flights!$K$18&amp;"   Seat "&amp;Flights!$O$18</f>
        <v>KUL → LHR   Class EY   Seat 14C</v>
      </c>
      <c r="C3" s="95"/>
      <c r="D3" s="95"/>
      <c r="E3" s="96" t="s">
        <v>73</v>
      </c>
      <c r="F3" s="96" t="s">
        <v>4791</v>
      </c>
      <c r="G3" s="96" t="s">
        <v>4792</v>
      </c>
      <c r="H3" s="96"/>
    </row>
    <row r="4" customFormat="false" ht="24" hidden="false" customHeight="true" outlineLevel="0" collapsed="false">
      <c r="A4" s="94" t="s">
        <v>4793</v>
      </c>
      <c r="B4" s="95" t="str">
        <f aca="false">IF(ISNUMBER(Flights!$I$18),TEXT(Flights!$I$18,"DD-MMM-YY HH:MM"),"")&amp;" "&amp;Flights!$G$18&amp;"  →  "&amp;IF(ISNUMBER(Flights!$J$18),TEXT(Flights!$J$18,"DD-MMM-YY HH:MM"),"")&amp;" "&amp;Flights!$H$18</f>
        <v>15-Oct-26 09:50 KUL  →  15-Oct-26 16:35 LHR</v>
      </c>
      <c r="C4" s="95"/>
      <c r="D4" s="95"/>
      <c r="E4" s="94" t="s">
        <v>4794</v>
      </c>
      <c r="F4" s="98" t="str">
        <f aca="false">IF(ISNUMBER(Flights!$AG$18),TEXT(Flights!$AG$18,"DD-MMM-YY HH:MM"),"")&amp;" "&amp;Flights!$V$18</f>
        <v>08-Oct-26 09:50 KUL</v>
      </c>
      <c r="G4" s="99" t="n">
        <f aca="false">Flights!$AJ$18</f>
        <v>0</v>
      </c>
      <c r="H4" s="99"/>
    </row>
    <row r="5" customFormat="false" ht="24" hidden="false" customHeight="true" outlineLevel="0" collapsed="false">
      <c r="A5" s="94" t="s">
        <v>4795</v>
      </c>
      <c r="B5" s="95" t="str">
        <f aca="false">Flights!$L$18&amp;" – "&amp;Flights!$M$18</f>
        <v>A350 – A350-900: A359 (9M-MAB..MAG) or A350 (9M-MAH) - tail to confirm</v>
      </c>
      <c r="C5" s="95"/>
      <c r="D5" s="95"/>
      <c r="E5" s="94" t="s">
        <v>4796</v>
      </c>
      <c r="F5" s="98" t="str">
        <f aca="false">IF(ISNUMBER(Flights!$AH$18),TEXT(Flights!$AH$18,"DD-MMM-YY HH:MM"),"")&amp;" "&amp;Flights!$V$18</f>
        <v>14-Oct-26 09:50 KUL</v>
      </c>
      <c r="G5" s="99" t="n">
        <f aca="false">Flights!$AK$18</f>
        <v>0</v>
      </c>
      <c r="H5" s="99"/>
    </row>
    <row r="6" customFormat="false" ht="24" hidden="false" customHeight="true" outlineLevel="0" collapsed="false">
      <c r="A6" s="94" t="s">
        <v>4797</v>
      </c>
      <c r="B6" s="95" t="str">
        <f aca="false">IF(TRIM(Flights!$N$18)="","__________________",Flights!$N$18)</f>
        <v>__________________</v>
      </c>
      <c r="C6" s="95"/>
      <c r="D6" s="95"/>
      <c r="E6" s="94" t="s">
        <v>4798</v>
      </c>
      <c r="F6" s="98" t="str">
        <f aca="false">IF(ISNUMBER(Flights!$AI$18),TEXT(Flights!$AI$18,"DD-MMM-YY HH:MM"),"")&amp;" "&amp;Flights!$V$18&amp;IF(Flights!$AI$18=Flights!$AH$18,"  (= T-24H due)","")</f>
        <v>14-Oct-26 21:50 KUL</v>
      </c>
      <c r="G6" s="99" t="n">
        <f aca="false">Flights!$AL$18</f>
        <v>0</v>
      </c>
      <c r="H6" s="99"/>
    </row>
    <row r="7" customFormat="false" ht="24" hidden="false" customHeight="true" outlineLevel="0" collapsed="false">
      <c r="A7" s="94" t="s">
        <v>4799</v>
      </c>
      <c r="B7" s="95" t="str">
        <f aca="false">Flights!$T$18</f>
        <v>2.5 Meal (Meal)</v>
      </c>
      <c r="C7" s="95"/>
      <c r="D7" s="95"/>
      <c r="E7" s="94" t="s">
        <v>4800</v>
      </c>
      <c r="F7" s="98" t="str">
        <f aca="false">"STD "&amp;IF(ISNUMBER(Flights!$I$18),TEXT(Flights!$I$18,"DD-MMM-YY HH:MM"),"")&amp;" "&amp;Flights!$G$18&amp;" (dep stn)"</f>
        <v>STD 15-Oct-26 09:50 KUL (dep stn)</v>
      </c>
      <c r="G7" s="99" t="n">
        <f aca="false">Flights!$AM$18</f>
        <v>0</v>
      </c>
      <c r="H7" s="99"/>
    </row>
    <row r="8" customFormat="false" ht="12.75" hidden="false" customHeight="true" outlineLevel="0" collapsed="false">
      <c r="A8" s="94" t="s">
        <v>155</v>
      </c>
      <c r="B8" s="95" t="str">
        <f aca="false">Flights!$V$18&amp;"   (reference uplift stns: "&amp;Flights!$U$18&amp;")"</f>
        <v>KUL   (reference uplift stns: KUL/LHR)</v>
      </c>
      <c r="C8" s="95"/>
      <c r="D8" s="95"/>
      <c r="E8" s="94" t="s">
        <v>4801</v>
      </c>
      <c r="F8" s="100" t="s">
        <v>4802</v>
      </c>
      <c r="G8" s="99" t="n">
        <f aca="false">Flights!$AN$18</f>
        <v>0</v>
      </c>
      <c r="H8" s="99"/>
    </row>
    <row r="9" customFormat="false" ht="12.75" hidden="false" customHeight="true" outlineLevel="0" collapsed="false">
      <c r="A9" s="94" t="s">
        <v>4803</v>
      </c>
      <c r="B9" s="95" t="str">
        <f aca="false">TRIM(Flights!$P$18&amp;"  "&amp;Flights!$Q$18)</f>
        <v>-</v>
      </c>
      <c r="C9" s="95"/>
      <c r="D9" s="95"/>
      <c r="E9" s="94" t="s">
        <v>4804</v>
      </c>
      <c r="F9" s="101" t="n">
        <f aca="false">Flights!$AP$18</f>
        <v>0</v>
      </c>
      <c r="G9" s="102" t="n">
        <f aca="false">Flights!$AQ$18</f>
        <v>0</v>
      </c>
      <c r="H9" s="103" t="n">
        <f aca="false">Flights!$AU$18</f>
        <v>0</v>
      </c>
    </row>
    <row r="10" customFormat="false" ht="24" hidden="false" customHeight="true" outlineLevel="0" collapsed="false">
      <c r="A10" s="94" t="s">
        <v>4805</v>
      </c>
      <c r="B10" s="95" t="str">
        <f aca="false">IF(TRIM(Flights!$X$18)="","__________________",Flights!$X$18)</f>
        <v>__________________</v>
      </c>
      <c r="C10" s="95"/>
      <c r="D10" s="95"/>
      <c r="E10" s="94" t="s">
        <v>4806</v>
      </c>
      <c r="F10" s="104" t="n">
        <f aca="false">Flights!$AO$18</f>
        <v>24</v>
      </c>
      <c r="G10" s="105" t="n">
        <f aca="false">Flights!$AS$18</f>
        <v>2</v>
      </c>
      <c r="H10" s="106" t="n">
        <f aca="false">Flights!$AR$18</f>
        <v>2</v>
      </c>
    </row>
    <row r="11" customFormat="false" ht="21" hidden="false" customHeight="true" outlineLevel="0" collapsed="false">
      <c r="A11" s="94" t="s">
        <v>4807</v>
      </c>
      <c r="B11" s="95" t="str">
        <f aca="false">IF(TRIM(Flights!$Y$18)="","__________________",Flights!$Y$18)</f>
        <v>__________________</v>
      </c>
      <c r="C11" s="95"/>
      <c r="D11" s="95"/>
      <c r="E11" s="94" t="s">
        <v>4808</v>
      </c>
      <c r="F11" s="97" t="str">
        <f aca="false">Flights!$AV$18&amp;" / "&amp;Flights!$AW$18</f>
        <v>0 / 24</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IF(Documents!$F$18="","",Documents!$F$18)</f>
        <v/>
      </c>
      <c r="C15" s="100" t="str">
        <f aca="false">IF(Documents!$G$18="","",Documents!$G$18)&amp;IF(ISNUMBER(Documents!$H$18),"  "&amp;TEXT(Documents!$H$18,"DD-MMM-YY"),"")</f>
        <v/>
      </c>
      <c r="D15" s="100"/>
      <c r="E15" s="114" t="str">
        <f aca="false">IF(Documents!$J$18="OUTSTANDING","OUTSTANDING – attach before T-7D (due "&amp;IF(ISNUMBER(Flights!$AG$18),TEXT(Flights!$AG$18,"DD-MMM-YY HH:MM"),"")&amp;" "&amp;Flights!$V$18&amp;")",IF(Documents!$J$18="","Status not recorded",Documents!$J$18))</f>
        <v>OUTSTANDING – attach before T-7D (due 08-Oct-26 09:50 KUL)</v>
      </c>
      <c r="F15" s="115" t="str">
        <f aca="false">"Staple behind this sheet as page A1."&amp;IF(Documents!$I$18="",""," Location: "&amp;Documents!$I$18)</f>
        <v>Staple behind this sheet as page A1.</v>
      </c>
      <c r="G15" s="115"/>
      <c r="H15" s="115"/>
    </row>
    <row r="16" customFormat="false" ht="36" hidden="false" customHeight="true" outlineLevel="0" collapsed="false">
      <c r="A16" s="94" t="s">
        <v>4819</v>
      </c>
      <c r="B16" s="95" t="str">
        <f aca="false">IF(Documents!$K$18="","",Documents!$K$18)</f>
        <v/>
      </c>
      <c r="C16" s="100" t="str">
        <f aca="false">IF(Documents!$L$18="","",Documents!$L$18)&amp;IF(ISNUMBER(Documents!$M$18),"  "&amp;TEXT(Documents!$M$18,"DD-MMM-YY"),"")</f>
        <v/>
      </c>
      <c r="D16" s="100"/>
      <c r="E16" s="114" t="str">
        <f aca="false">IF(Documents!$O$18="OUTSTANDING","OUTSTANDING – attach before T-7D (due "&amp;IF(ISNUMBER(Flights!$AG$18),TEXT(Flights!$AG$18,"DD-MMM-YY HH:MM"),"")&amp;" "&amp;Flights!$V$18&amp;")",IF(Documents!$O$18="","Status not recorded",Documents!$O$18))</f>
        <v>OUTSTANDING – attach before T-7D (due 08-Oct-26 09:50 KUL)</v>
      </c>
      <c r="F16" s="115" t="str">
        <f aca="false">"Staple behind this sheet as page A2."&amp;IF(Documents!$N$18="",""," Location: "&amp;Documents!$N$18)</f>
        <v>Staple behind this sheet as page A2.</v>
      </c>
      <c r="G16" s="115"/>
      <c r="H16" s="115"/>
    </row>
    <row r="17" customFormat="false" ht="22.5" hidden="false" customHeight="true" outlineLevel="0" collapsed="false">
      <c r="A17" s="94" t="s">
        <v>4820</v>
      </c>
      <c r="B17" s="116" t="str">
        <f aca="false">IF(Documents!$Q$18="","",Documents!$Q$18)</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"&amp;IF(TRIM(Flights!$Y$18)="","__________________",Flights!$Y$18)</f>
        <v>Name: __________________</v>
      </c>
      <c r="B19" s="95"/>
      <c r="C19" s="95" t="str">
        <f aca="false">"Name: __________________"</f>
        <v>Name: __________________</v>
      </c>
      <c r="D19" s="95"/>
      <c r="E19" s="95"/>
      <c r="F19" s="95" t="str">
        <f aca="false">"Name: __________________"&amp;"   Station: "&amp;Flights!$V$18</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"&amp;IF(ISNUMBER(Flights!$AG$18),TEXT(Flights!$AG$18,"DD-MMM-YY HH:MM"),"")&amp;" "&amp;Flights!$V$18&amp;" (meal uplift stn)"&amp;" (rows with another due show their own)  |  Complete "&amp;IF(ISNUMBER(Flights!$AJ$18),TEXT(Flights!$AJ$18,"0%"),Flights!$AJ$18)&amp;"  |  9 lines"</f>
        <v>T-7D — 7 days before departure  |  Due 08-Oct-26 09:50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Checks!$A$456&amp;CHAR(10)&amp;IF(Checks!$I$456="","",Checks!$I$456&amp;": ")&amp;Checks!$J$456</f>
        <v>F14-T7-01
Meal: Meal sensory testing completed for this flight's menu cycle (assessed class)</v>
      </c>
      <c r="B23" s="120" t="str">
        <f aca="false">Checks!$K$456&amp;IF(Checks!$O$456="","",IF(Checks!$K$456="","",CHAR(10))&amp;"Note: "&amp;Checks!$O$456)</f>
        <v>Record panel result / score in Result</v>
      </c>
      <c r="C23" s="120" t="str">
        <f aca="false">Checks!$N$456&amp;CHAR(10)&amp;IF(ISNUMBER(Checks!$R$456),TEXT(Checks!$R$456,"DD-MMM-YY HH:MM"),"")&amp;" "&amp;Checks!$P$456</f>
        <v>Required
08-Oct-26 09:50 KUL</v>
      </c>
      <c r="D23" s="120" t="str">
        <f aca="false">IF(TRIM(Checks!$U$456)&lt;&gt;"",Checks!$U$456&amp;IF(Checks!$AB$456="","",CHAR(10)&amp;"CA: "&amp;Checks!$AB$456),IF(LEFT(Checks!$AH$456,10)="N/A – RULE","","[ ] Pass"&amp;CHAR(10)&amp;"[ ] Pass after CA"&amp;CHAR(10)&amp;"[ ] Fail"&amp;IF(Checks!$AT$456=1,CHAR(10)&amp;"[ ] N/A","")&amp;CHAR(10)&amp;"CA: Open / Closed"))</f>
        <v>[ ] Pass
[ ] Pass after CA
[ ] Fail
CA: Open / Closed</v>
      </c>
      <c r="E23" s="120" t="str">
        <f aca="false">IF(Checks!$V$456="","",Checks!$V$456)&amp;IF(Checks!$AC$456="","",IF(Checks!$V$456="","",CHAR(10))&amp;"N/A just.: "&amp;Checks!$AC$456)&amp;IF(OR(Checks!$W$456&lt;&gt;"",AND(Checks!$AQ$456=1,NOT(LEFT(Checks!$AH$456,10)="N/A – RULE"))),CHAR(10)&amp;"Batch: "&amp;IF(Checks!$W$456="","____________",Checks!$W$456),"")&amp;IF(OR(Checks!$X$456&lt;&gt;"",Checks!$Y$456&lt;&gt;"",AND(Checks!$AR$456=1,NOT(LEFT(Checks!$AH$456,10)="N/A – RULE"))),CHAR(10)&amp;"Exp: "&amp;IF(Checks!$X$456="","______",Checks!$X$456)&amp;"  /  Act: "&amp;IF(Checks!$Y$456="","______",Checks!$Y$456),"")</f>
        <v/>
      </c>
      <c r="F23" s="120" t="str">
        <f aca="false">IF(AND(LEFT(Checks!$AH$456,10)="N/A – RULE",TRIM(Checks!$S$456&amp;Checks!$Z$456)=""),"","Type: "&amp;IF(TRIM(Checks!$S$456)="","______________ (see cover list)",Checks!$S$456)&amp;CHAR(10)&amp;"ID: "&amp;IF(TRIM(Checks!$Z$456)="","______________ (record's own no.)",Checks!$Z$456))&amp;IF(Checks!$AA$456="","",CHAR(10)&amp;"CA: "&amp;Checks!$AA$456)</f>
        <v>Type: ______________ (see cover list)
ID: ______________ (record's own no.)</v>
      </c>
      <c r="G23" s="120" t="str">
        <f aca="false">IF(AND(LEFT(Checks!$AH$456,10)="N/A – RULE",NOT(ISNUMBER(Checks!$AD$456)),Checks!$AE$456="",Checks!$T$456=""),"","Done: "&amp;IF(ISNUMBER(Checks!$AD$456),TEXT(Checks!$AD$456,"DD-MMM-YY HH:MM"),"____________")&amp;" "&amp;Checks!$P$456&amp;CHAR(10)&amp;"Verifier: "&amp;IF(Checks!$AE$456="","____________",Checks!$AE$456)&amp;CHAR(10)&amp;"PIC: "&amp;IF(Checks!$T$456="","____________",Checks!$T$456))</f>
        <v>Done: ____________ KUL
Verifier: ____________
PIC: ____________</v>
      </c>
      <c r="H23" s="121" t="str">
        <f aca="false">IF(Checks!$AH$456="","",Checks!$AH$456)</f>
        <v>OPEN</v>
      </c>
    </row>
    <row r="24" customFormat="false" ht="114" hidden="false" customHeight="true" outlineLevel="0" collapsed="false">
      <c r="A24" s="120" t="str">
        <f aca="false">Checks!$A$457&amp;CHAR(10)&amp;IF(Checks!$I$457="","",Checks!$I$457&amp;": ")&amp;Checks!$J$457</f>
        <v>F14-T7-02
Menu: Printed menu cards confirmed (content, cycle, language, quantity)</v>
      </c>
      <c r="B24" s="120" t="str">
        <f aca="false">Checks!$K$457&amp;IF(Checks!$O$457="","",IF(Checks!$K$457="","",CHAR(10))&amp;"Note: "&amp;Checks!$O$457)</f>
        <v>Menu card matches approved menu for this flight</v>
      </c>
      <c r="C24" s="120" t="str">
        <f aca="false">Checks!$N$457&amp;CHAR(10)&amp;IF(ISNUMBER(Checks!$R$457),TEXT(Checks!$R$457,"DD-MMM-YY HH:MM"),"")&amp;" "&amp;Checks!$P$457</f>
        <v>Required
08-Oct-26 09:50 KUL</v>
      </c>
      <c r="D24" s="120" t="str">
        <f aca="false">IF(TRIM(Checks!$U$457)&lt;&gt;"",Checks!$U$457&amp;IF(Checks!$AB$457="","",CHAR(10)&amp;"CA: "&amp;Checks!$AB$457),IF(LEFT(Checks!$AH$457,10)="N/A – RULE","","[ ] Pass"&amp;CHAR(10)&amp;"[ ] Pass after CA"&amp;CHAR(10)&amp;"[ ] Fail"&amp;IF(Checks!$AT$457=1,CHAR(10)&amp;"[ ] N/A","")&amp;CHAR(10)&amp;"CA: Open / Closed"))</f>
        <v>[ ] Pass
[ ] Pass after CA
[ ] Fail
CA: Open / Closed</v>
      </c>
      <c r="E24" s="120" t="str">
        <f aca="false">IF(Checks!$V$457="","",Checks!$V$457)&amp;IF(Checks!$AC$457="","",IF(Checks!$V$457="","",CHAR(10))&amp;"N/A just.: "&amp;Checks!$AC$457)&amp;IF(OR(Checks!$W$457&lt;&gt;"",AND(Checks!$AQ$457=1,NOT(LEFT(Checks!$AH$457,10)="N/A – RULE"))),CHAR(10)&amp;"Batch: "&amp;IF(Checks!$W$457="","____________",Checks!$W$457),"")&amp;IF(OR(Checks!$X$457&lt;&gt;"",Checks!$Y$457&lt;&gt;"",AND(Checks!$AR$457=1,NOT(LEFT(Checks!$AH$457,10)="N/A – RULE"))),CHAR(10)&amp;"Exp: "&amp;IF(Checks!$X$457="","______",Checks!$X$457)&amp;"  /  Act: "&amp;IF(Checks!$Y$457="","______",Checks!$Y$457),"")</f>
        <v/>
      </c>
      <c r="F24" s="120" t="str">
        <f aca="false">IF(AND(LEFT(Checks!$AH$457,10)="N/A – RULE",TRIM(Checks!$S$457&amp;Checks!$Z$457)=""),"","Type: "&amp;IF(TRIM(Checks!$S$457)="","______________ (see cover list)",Checks!$S$457)&amp;CHAR(10)&amp;"ID: "&amp;IF(TRIM(Checks!$Z$457)="","______________ (record's own no.)",Checks!$Z$457))&amp;IF(Checks!$AA$457="","",CHAR(10)&amp;"CA: "&amp;Checks!$AA$457)</f>
        <v>Type: ______________ (see cover list)
ID: ______________ (record's own no.)</v>
      </c>
      <c r="G24" s="120" t="str">
        <f aca="false">IF(AND(LEFT(Checks!$AH$457,10)="N/A – RULE",NOT(ISNUMBER(Checks!$AD$457)),Checks!$AE$457="",Checks!$T$457=""),"","Done: "&amp;IF(ISNUMBER(Checks!$AD$457),TEXT(Checks!$AD$457,"DD-MMM-YY HH:MM"),"____________")&amp;" "&amp;Checks!$P$457&amp;CHAR(10)&amp;"Verifier: "&amp;IF(Checks!$AE$457="","____________",Checks!$AE$457)&amp;CHAR(10)&amp;"PIC: "&amp;IF(Checks!$T$457="","____________",Checks!$T$457))</f>
        <v>Done: ____________ KUL
Verifier: ____________
PIC: ____________</v>
      </c>
      <c r="H24" s="121" t="str">
        <f aca="false">IF(Checks!$AH$457="","",Checks!$AH$457)</f>
        <v>OPEN</v>
      </c>
    </row>
    <row r="25" customFormat="false" ht="114" hidden="false" customHeight="true" outlineLevel="0" collapsed="false">
      <c r="A25" s="120" t="str">
        <f aca="false">Checks!$A$458&amp;CHAR(10)&amp;IF(Checks!$I$458="","",Checks!$I$458&amp;": ")&amp;Checks!$J$458</f>
        <v>F14-T7-03
IFE: Digital menu in IFE confirmed (A339 only)</v>
      </c>
      <c r="B25" s="120" t="str">
        <f aca="false">Checks!$K$458&amp;IF(Checks!$O$458="","",IF(Checks!$K$458="","",CHAR(10))&amp;"Note: "&amp;Checks!$O$458)</f>
        <v>Applies when fleet = A339
Note: Digital IFE menu applies to A339 only (user brief). Applicability follows the Fleet cell on Flights.</v>
      </c>
      <c r="C25" s="120" t="str">
        <f aca="false">Checks!$N$458&amp;CHAR(10)&amp;IF(ISNUMBER(Checks!$R$458),TEXT(Checks!$R$458,"DD-MMM-YY HH:MM"),"")&amp;" "&amp;Checks!$P$458</f>
        <v>N/A – rule
08-Oct-26 09:50 KUL</v>
      </c>
      <c r="D25" s="120" t="str">
        <f aca="false">IF(TRIM(Checks!$U$458)&lt;&gt;"",Checks!$U$458&amp;IF(Checks!$AB$458="","",CHAR(10)&amp;"CA: "&amp;Checks!$AB$458),IF(LEFT(Checks!$AH$458,10)="N/A – RULE","","[ ] Pass"&amp;CHAR(10)&amp;"[ ] Pass after CA"&amp;CHAR(10)&amp;"[ ] Fail"&amp;IF(Checks!$AT$458=1,CHAR(10)&amp;"[ ] N/A","")&amp;CHAR(10)&amp;"CA: Open / Closed"))</f>
        <v/>
      </c>
      <c r="E25" s="120" t="str">
        <f aca="false">IF(Checks!$V$458="","",Checks!$V$458)&amp;IF(Checks!$AC$458="","",IF(Checks!$V$458="","",CHAR(10))&amp;"N/A just.: "&amp;Checks!$AC$458)&amp;IF(OR(Checks!$W$458&lt;&gt;"",AND(Checks!$AQ$458=1,NOT(LEFT(Checks!$AH$458,10)="N/A – RULE"))),CHAR(10)&amp;"Batch: "&amp;IF(Checks!$W$458="","____________",Checks!$W$458),"")&amp;IF(OR(Checks!$X$458&lt;&gt;"",Checks!$Y$458&lt;&gt;"",AND(Checks!$AR$458=1,NOT(LEFT(Checks!$AH$458,10)="N/A – RULE"))),CHAR(10)&amp;"Exp: "&amp;IF(Checks!$X$458="","______",Checks!$X$458)&amp;"  /  Act: "&amp;IF(Checks!$Y$458="","______",Checks!$Y$458),"")</f>
        <v/>
      </c>
      <c r="F25" s="120" t="str">
        <f aca="false">IF(AND(LEFT(Checks!$AH$458,10)="N/A – RULE",TRIM(Checks!$S$458&amp;Checks!$Z$458)=""),"","Type: "&amp;IF(TRIM(Checks!$S$458)="","______________ (see cover list)",Checks!$S$458)&amp;CHAR(10)&amp;"ID: "&amp;IF(TRIM(Checks!$Z$458)="","______________ (record's own no.)",Checks!$Z$458))&amp;IF(Checks!$AA$458="","",CHAR(10)&amp;"CA: "&amp;Checks!$AA$458)</f>
        <v/>
      </c>
      <c r="G25" s="120" t="str">
        <f aca="false">IF(AND(LEFT(Checks!$AH$458,10)="N/A – RULE",NOT(ISNUMBER(Checks!$AD$458)),Checks!$AE$458="",Checks!$T$458=""),"","Done: "&amp;IF(ISNUMBER(Checks!$AD$458),TEXT(Checks!$AD$458,"DD-MMM-YY HH:MM"),"____________")&amp;" "&amp;Checks!$P$458&amp;CHAR(10)&amp;"Verifier: "&amp;IF(Checks!$AE$458="","____________",Checks!$AE$458)&amp;CHAR(10)&amp;"PIC: "&amp;IF(Checks!$T$458="","____________",Checks!$T$458))</f>
        <v/>
      </c>
      <c r="H25" s="121" t="str">
        <f aca="false">IF(Checks!$AH$458="","",Checks!$AH$458)</f>
        <v>N/A – RULE</v>
      </c>
    </row>
    <row r="26" customFormat="false" ht="114" hidden="false" customHeight="true" outlineLevel="0" collapsed="false">
      <c r="A26" s="120" t="str">
        <f aca="false">Checks!$A$459&amp;CHAR(10)&amp;IF(Checks!$I$459="","",Checks!$I$459&amp;": ")&amp;Checks!$J$459</f>
        <v>F14-T7-04
Staffing: Experienced catering officer assigned to this flight</v>
      </c>
      <c r="B26" s="120" t="str">
        <f aca="false">Checks!$K$459&amp;IF(Checks!$O$459="","",IF(Checks!$K$459="","",CHAR(10))&amp;"Note: "&amp;Checks!$O$459)</f>
        <v>Record officer name in Result</v>
      </c>
      <c r="C26" s="120" t="str">
        <f aca="false">Checks!$N$459&amp;CHAR(10)&amp;IF(ISNUMBER(Checks!$R$459),TEXT(Checks!$R$459,"DD-MMM-YY HH:MM"),"")&amp;" "&amp;Checks!$P$459</f>
        <v>Required
08-Oct-26 09:50 KUL</v>
      </c>
      <c r="D26" s="120" t="str">
        <f aca="false">IF(TRIM(Checks!$U$459)&lt;&gt;"",Checks!$U$459&amp;IF(Checks!$AB$459="","",CHAR(10)&amp;"CA: "&amp;Checks!$AB$459),IF(LEFT(Checks!$AH$459,10)="N/A – RULE","","[ ] Pass"&amp;CHAR(10)&amp;"[ ] Pass after CA"&amp;CHAR(10)&amp;"[ ] Fail"&amp;IF(Checks!$AT$459=1,CHAR(10)&amp;"[ ] N/A","")&amp;CHAR(10)&amp;"CA: Open / Closed"))</f>
        <v>[ ] Pass
[ ] Pass after CA
[ ] Fail
CA: Open / Closed</v>
      </c>
      <c r="E26" s="120" t="str">
        <f aca="false">IF(Checks!$V$459="","",Checks!$V$459)&amp;IF(Checks!$AC$459="","",IF(Checks!$V$459="","",CHAR(10))&amp;"N/A just.: "&amp;Checks!$AC$459)&amp;IF(OR(Checks!$W$459&lt;&gt;"",AND(Checks!$AQ$459=1,NOT(LEFT(Checks!$AH$459,10)="N/A – RULE"))),CHAR(10)&amp;"Batch: "&amp;IF(Checks!$W$459="","____________",Checks!$W$459),"")&amp;IF(OR(Checks!$X$459&lt;&gt;"",Checks!$Y$459&lt;&gt;"",AND(Checks!$AR$459=1,NOT(LEFT(Checks!$AH$459,10)="N/A – RULE"))),CHAR(10)&amp;"Exp: "&amp;IF(Checks!$X$459="","______",Checks!$X$459)&amp;"  /  Act: "&amp;IF(Checks!$Y$459="","______",Checks!$Y$459),"")</f>
        <v/>
      </c>
      <c r="F26" s="120" t="str">
        <f aca="false">IF(AND(LEFT(Checks!$AH$459,10)="N/A – RULE",TRIM(Checks!$S$459&amp;Checks!$Z$459)=""),"","Type: "&amp;IF(TRIM(Checks!$S$459)="","______________ (see cover list)",Checks!$S$459)&amp;CHAR(10)&amp;"ID: "&amp;IF(TRIM(Checks!$Z$459)="","______________ (record's own no.)",Checks!$Z$459))&amp;IF(Checks!$AA$459="","",CHAR(10)&amp;"CA: "&amp;Checks!$AA$459)</f>
        <v>Type: ______________ (see cover list)
ID: ______________ (record's own no.)</v>
      </c>
      <c r="G26" s="120" t="str">
        <f aca="false">IF(AND(LEFT(Checks!$AH$459,10)="N/A – RULE",NOT(ISNUMBER(Checks!$AD$459)),Checks!$AE$459="",Checks!$T$459=""),"","Done: "&amp;IF(ISNUMBER(Checks!$AD$459),TEXT(Checks!$AD$459,"DD-MMM-YY HH:MM"),"____________")&amp;" "&amp;Checks!$P$459&amp;CHAR(10)&amp;"Verifier: "&amp;IF(Checks!$AE$459="","____________",Checks!$AE$459)&amp;CHAR(10)&amp;"PIC: "&amp;IF(Checks!$T$459="","____________",Checks!$T$459))</f>
        <v>Done: ____________ KUL
Verifier: ____________
PIC: ____________</v>
      </c>
      <c r="H26" s="121" t="str">
        <f aca="false">IF(Checks!$AH$459="","",Checks!$AH$459)</f>
        <v>OPEN</v>
      </c>
    </row>
    <row r="27" customFormat="false" ht="114" hidden="false" customHeight="true" outlineLevel="0" collapsed="false">
      <c r="A27" s="120" t="str">
        <f aca="false">Checks!$A$460&amp;CHAR(10)&amp;IF(Checks!$I$460="","",Checks!$I$460&amp;": ")&amp;Checks!$J$460</f>
        <v>F14-T7-05
ISOP: All latest applicable ISOP revisions communicated to caterer</v>
      </c>
      <c r="B27" s="120" t="str">
        <f aca="false">Checks!$K$460&amp;IF(Checks!$O$460="","",IF(Checks!$K$460="","",CHAR(10))&amp;"Note: "&amp;Checks!$O$460)</f>
        <v>List revision numbers in Result (see ISOP register)</v>
      </c>
      <c r="C27" s="120" t="str">
        <f aca="false">Checks!$N$460&amp;CHAR(10)&amp;IF(ISNUMBER(Checks!$R$460),TEXT(Checks!$R$460,"DD-MMM-YY HH:MM"),"")&amp;" "&amp;Checks!$P$460</f>
        <v>Required
08-Oct-26 09:50 KUL</v>
      </c>
      <c r="D27" s="120" t="str">
        <f aca="false">IF(TRIM(Checks!$U$460)&lt;&gt;"",Checks!$U$460&amp;IF(Checks!$AB$460="","",CHAR(10)&amp;"CA: "&amp;Checks!$AB$460),IF(LEFT(Checks!$AH$460,10)="N/A – RULE","","[ ] Pass"&amp;CHAR(10)&amp;"[ ] Pass after CA"&amp;CHAR(10)&amp;"[ ] Fail"&amp;IF(Checks!$AT$460=1,CHAR(10)&amp;"[ ] N/A","")&amp;CHAR(10)&amp;"CA: Open / Closed"))</f>
        <v>[ ] Pass
[ ] Pass after CA
[ ] Fail
CA: Open / Closed</v>
      </c>
      <c r="E27" s="120" t="str">
        <f aca="false">IF(Checks!$V$460="","",Checks!$V$460)&amp;IF(Checks!$AC$460="","",IF(Checks!$V$460="","",CHAR(10))&amp;"N/A just.: "&amp;Checks!$AC$460)&amp;IF(OR(Checks!$W$460&lt;&gt;"",AND(Checks!$AQ$460=1,NOT(LEFT(Checks!$AH$460,10)="N/A – RULE"))),CHAR(10)&amp;"Batch: "&amp;IF(Checks!$W$460="","____________",Checks!$W$460),"")&amp;IF(OR(Checks!$X$460&lt;&gt;"",Checks!$Y$460&lt;&gt;"",AND(Checks!$AR$460=1,NOT(LEFT(Checks!$AH$460,10)="N/A – RULE"))),CHAR(10)&amp;"Exp: "&amp;IF(Checks!$X$460="","______",Checks!$X$460)&amp;"  /  Act: "&amp;IF(Checks!$Y$460="","______",Checks!$Y$460),"")</f>
        <v/>
      </c>
      <c r="F27" s="120" t="str">
        <f aca="false">IF(AND(LEFT(Checks!$AH$460,10)="N/A – RULE",TRIM(Checks!$S$460&amp;Checks!$Z$460)=""),"","Type: "&amp;IF(TRIM(Checks!$S$460)="","______________ (see cover list)",Checks!$S$460)&amp;CHAR(10)&amp;"ID: "&amp;IF(TRIM(Checks!$Z$460)="","______________ (record's own no.)",Checks!$Z$460))&amp;IF(Checks!$AA$460="","",CHAR(10)&amp;"CA: "&amp;Checks!$AA$460)</f>
        <v>Type: ______________ (see cover list)
ID: ______________ (record's own no.)</v>
      </c>
      <c r="G27" s="120" t="str">
        <f aca="false">IF(AND(LEFT(Checks!$AH$460,10)="N/A – RULE",NOT(ISNUMBER(Checks!$AD$460)),Checks!$AE$460="",Checks!$T$460=""),"","Done: "&amp;IF(ISNUMBER(Checks!$AD$460),TEXT(Checks!$AD$460,"DD-MMM-YY HH:MM"),"____________")&amp;" "&amp;Checks!$P$460&amp;CHAR(10)&amp;"Verifier: "&amp;IF(Checks!$AE$460="","____________",Checks!$AE$460)&amp;CHAR(10)&amp;"PIC: "&amp;IF(Checks!$T$460="","____________",Checks!$T$460))</f>
        <v>Done: ____________ KUL
Verifier: ____________
PIC: ____________</v>
      </c>
      <c r="H27" s="121" t="str">
        <f aca="false">IF(Checks!$AH$460="","",Checks!$AH$460)</f>
        <v>OPEN</v>
      </c>
    </row>
    <row r="28" customFormat="false" ht="114" hidden="false" customHeight="true" outlineLevel="0" collapsed="false">
      <c r="A28" s="120" t="str">
        <f aca="false">Checks!$A$461&amp;CHAR(10)&amp;IF(Checks!$I$461="","",Checks!$I$461&amp;": ")&amp;Checks!$J$461</f>
        <v>F14-T7-06
ISOP: Caterer acknowledgement of ISOP revisions recorded</v>
      </c>
      <c r="B28" s="120" t="str">
        <f aca="false">Checks!$K$461&amp;IF(Checks!$O$461="","",IF(Checks!$K$461="","",CHAR(10))&amp;"Note: "&amp;Checks!$O$461)</f>
        <v>Record acknowledgement ref in Evidence</v>
      </c>
      <c r="C28" s="120" t="str">
        <f aca="false">Checks!$N$461&amp;CHAR(10)&amp;IF(ISNUMBER(Checks!$R$461),TEXT(Checks!$R$461,"DD-MMM-YY HH:MM"),"")&amp;" "&amp;Checks!$P$461</f>
        <v>Required
08-Oct-26 09:50 KUL</v>
      </c>
      <c r="D28" s="120" t="str">
        <f aca="false">IF(TRIM(Checks!$U$461)&lt;&gt;"",Checks!$U$461&amp;IF(Checks!$AB$461="","",CHAR(10)&amp;"CA: "&amp;Checks!$AB$461),IF(LEFT(Checks!$AH$461,10)="N/A – RULE","","[ ] Pass"&amp;CHAR(10)&amp;"[ ] Pass after CA"&amp;CHAR(10)&amp;"[ ] Fail"&amp;IF(Checks!$AT$461=1,CHAR(10)&amp;"[ ] N/A","")&amp;CHAR(10)&amp;"CA: Open / Closed"))</f>
        <v>[ ] Pass
[ ] Pass after CA
[ ] Fail
CA: Open / Closed</v>
      </c>
      <c r="E28" s="120" t="str">
        <f aca="false">IF(Checks!$V$461="","",Checks!$V$461)&amp;IF(Checks!$AC$461="","",IF(Checks!$V$461="","",CHAR(10))&amp;"N/A just.: "&amp;Checks!$AC$461)&amp;IF(OR(Checks!$W$461&lt;&gt;"",AND(Checks!$AQ$461=1,NOT(LEFT(Checks!$AH$461,10)="N/A – RULE"))),CHAR(10)&amp;"Batch: "&amp;IF(Checks!$W$461="","____________",Checks!$W$461),"")&amp;IF(OR(Checks!$X$461&lt;&gt;"",Checks!$Y$461&lt;&gt;"",AND(Checks!$AR$461=1,NOT(LEFT(Checks!$AH$461,10)="N/A – RULE"))),CHAR(10)&amp;"Exp: "&amp;IF(Checks!$X$461="","______",Checks!$X$461)&amp;"  /  Act: "&amp;IF(Checks!$Y$461="","______",Checks!$Y$461),"")</f>
        <v/>
      </c>
      <c r="F28" s="120" t="str">
        <f aca="false">IF(AND(LEFT(Checks!$AH$461,10)="N/A – RULE",TRIM(Checks!$S$461&amp;Checks!$Z$461)=""),"","Type: "&amp;IF(TRIM(Checks!$S$461)="","______________ (see cover list)",Checks!$S$461)&amp;CHAR(10)&amp;"ID: "&amp;IF(TRIM(Checks!$Z$461)="","______________ (record's own no.)",Checks!$Z$461))&amp;IF(Checks!$AA$461="","",CHAR(10)&amp;"CA: "&amp;Checks!$AA$461)</f>
        <v>Type: ______________ (see cover list)
ID: ______________ (record's own no.)</v>
      </c>
      <c r="G28" s="120" t="str">
        <f aca="false">IF(AND(LEFT(Checks!$AH$461,10)="N/A – RULE",NOT(ISNUMBER(Checks!$AD$461)),Checks!$AE$461="",Checks!$T$461=""),"","Done: "&amp;IF(ISNUMBER(Checks!$AD$461),TEXT(Checks!$AD$461,"DD-MMM-YY HH:MM"),"____________")&amp;" "&amp;Checks!$P$461&amp;CHAR(10)&amp;"Verifier: "&amp;IF(Checks!$AE$461="","____________",Checks!$AE$461)&amp;CHAR(10)&amp;"PIC: "&amp;IF(Checks!$T$461="","____________",Checks!$T$461))</f>
        <v>Done: ____________ KUL
Verifier: ____________
PIC: ____________</v>
      </c>
      <c r="H28" s="121" t="str">
        <f aca="false">IF(Checks!$AH$461="","",Checks!$AH$461)</f>
        <v>OPEN</v>
      </c>
    </row>
    <row r="29" customFormat="false" ht="114" hidden="false" customHeight="true" outlineLevel="0" collapsed="false">
      <c r="A29" s="120" t="str">
        <f aca="false">Checks!$A$462&amp;CHAR(10)&amp;IF(Checks!$I$462="","",Checks!$I$462&amp;": ")&amp;Checks!$J$462</f>
        <v>F14-T7-07
Documents: Galley loading diagram (GLD) received, revision recorded &amp; attached</v>
      </c>
      <c r="B29" s="120" t="str">
        <f aca="false">SUBSTITUTE(Checks!$K$462&amp;IF(Checks!$O$462="","",IF(Checks!$K$462="","",CHAR(10))&amp;"Note: "&amp;Checks!$O$462),"Documents sheet row complete","Recorded on the Documents sheet; copy stapled as A1 / A2")</f>
        <v>Recorded on the Documents sheet; copy stapled as A1 / A2</v>
      </c>
      <c r="C29" s="120" t="str">
        <f aca="false">Checks!$N$462&amp;CHAR(10)&amp;IF(ISNUMBER(Checks!$R$462),TEXT(Checks!$R$462,"DD-MMM-YY HH:MM"),"")&amp;" "&amp;Checks!$P$462</f>
        <v>Required
08-Oct-26 09:50 KUL</v>
      </c>
      <c r="D29" s="120" t="str">
        <f aca="false">IF(TRIM(Checks!$U$462)&lt;&gt;"",Checks!$U$462&amp;IF(Checks!$AB$462="","",CHAR(10)&amp;"CA: "&amp;Checks!$AB$462),IF(LEFT(Checks!$AH$462,10)="N/A – RULE","","[ ] Pass"&amp;CHAR(10)&amp;"[ ] Pass after CA"&amp;CHAR(10)&amp;"[ ] Fail"&amp;IF(Checks!$AT$462=1,CHAR(10)&amp;"[ ] N/A","")&amp;CHAR(10)&amp;"CA: Open / Closed"))</f>
        <v>[ ] Pass
[ ] Pass after CA
[ ] Fail
CA: Open / Closed</v>
      </c>
      <c r="E29" s="120" t="str">
        <f aca="false">IF(Checks!$V$462="","",Checks!$V$462)&amp;IF(Checks!$AC$462="","",IF(Checks!$V$462="","",CHAR(10))&amp;"N/A just.: "&amp;Checks!$AC$462)&amp;IF(OR(Checks!$W$462&lt;&gt;"",AND(Checks!$AQ$462=1,NOT(LEFT(Checks!$AH$462,10)="N/A – RULE"))),CHAR(10)&amp;"Batch: "&amp;IF(Checks!$W$462="","____________",Checks!$W$462),"")&amp;IF(OR(Checks!$X$462&lt;&gt;"",Checks!$Y$462&lt;&gt;"",AND(Checks!$AR$462=1,NOT(LEFT(Checks!$AH$462,10)="N/A – RULE"))),CHAR(10)&amp;"Exp: "&amp;IF(Checks!$X$462="","______",Checks!$X$462)&amp;"  /  Act: "&amp;IF(Checks!$Y$462="","______",Checks!$Y$462),"")</f>
        <v/>
      </c>
      <c r="F29" s="120" t="str">
        <f aca="false">IF(AND(LEFT(Checks!$AH$462,10)="N/A – RULE",TRIM(Checks!$S$462&amp;Checks!$Z$462)=""),"","Type: "&amp;IF(TRIM(Checks!$S$462)="","______________ (see cover list)",Checks!$S$462)&amp;CHAR(10)&amp;"ID: "&amp;IF(TRIM(Checks!$Z$462)="","______________ (record's own no.)",Checks!$Z$462))&amp;IF(Checks!$AA$462="","",CHAR(10)&amp;"CA: "&amp;Checks!$AA$462)</f>
        <v>Type: ______________ (see cover list)
ID: ______________ (record's own no.)</v>
      </c>
      <c r="G29" s="120" t="str">
        <f aca="false">IF(AND(LEFT(Checks!$AH$462,10)="N/A – RULE",NOT(ISNUMBER(Checks!$AD$462)),Checks!$AE$462="",Checks!$T$462=""),"","Done: "&amp;IF(ISNUMBER(Checks!$AD$462),TEXT(Checks!$AD$462,"DD-MMM-YY HH:MM"),"____________")&amp;" "&amp;Checks!$P$462&amp;CHAR(10)&amp;"Verifier: "&amp;IF(Checks!$AE$462="","____________",Checks!$AE$462)&amp;CHAR(10)&amp;"PIC: "&amp;IF(Checks!$T$462="","____________",Checks!$T$462))</f>
        <v>Done: ____________ KUL
Verifier: ____________
PIC: ____________</v>
      </c>
      <c r="H29" s="121" t="str">
        <f aca="false">IF(Checks!$AH$462="","",Checks!$AH$462)</f>
        <v>OPEN</v>
      </c>
    </row>
    <row r="30" customFormat="false" ht="114" hidden="false" customHeight="true" outlineLevel="0" collapsed="false">
      <c r="A30" s="120" t="str">
        <f aca="false">Checks!$A$463&amp;CHAR(10)&amp;IF(Checks!$I$463="","",Checks!$I$463&amp;": ")&amp;Checks!$J$463</f>
        <v>F14-T7-08
Documents: Menu checklist received, revision recorded &amp; attached</v>
      </c>
      <c r="B30" s="120" t="str">
        <f aca="false">SUBSTITUTE(Checks!$K$463&amp;IF(Checks!$O$463="","",IF(Checks!$K$463="","",CHAR(10))&amp;"Note: "&amp;Checks!$O$463),"Documents sheet row complete","Recorded on the Documents sheet; copy stapled as A1 / A2")</f>
        <v>Recorded on the Documents sheet; copy stapled as A1 / A2</v>
      </c>
      <c r="C30" s="120" t="str">
        <f aca="false">Checks!$N$463&amp;CHAR(10)&amp;IF(ISNUMBER(Checks!$R$463),TEXT(Checks!$R$463,"DD-MMM-YY HH:MM"),"")&amp;" "&amp;Checks!$P$463</f>
        <v>Required
08-Oct-26 09:50 KUL</v>
      </c>
      <c r="D30" s="120" t="str">
        <f aca="false">IF(TRIM(Checks!$U$463)&lt;&gt;"",Checks!$U$463&amp;IF(Checks!$AB$463="","",CHAR(10)&amp;"CA: "&amp;Checks!$AB$463),IF(LEFT(Checks!$AH$463,10)="N/A – RULE","","[ ] Pass"&amp;CHAR(10)&amp;"[ ] Pass after CA"&amp;CHAR(10)&amp;"[ ] Fail"&amp;IF(Checks!$AT$463=1,CHAR(10)&amp;"[ ] N/A","")&amp;CHAR(10)&amp;"CA: Open / Closed"))</f>
        <v>[ ] Pass
[ ] Pass after CA
[ ] Fail
CA: Open / Closed</v>
      </c>
      <c r="E30" s="120" t="str">
        <f aca="false">IF(Checks!$V$463="","",Checks!$V$463)&amp;IF(Checks!$AC$463="","",IF(Checks!$V$463="","",CHAR(10))&amp;"N/A just.: "&amp;Checks!$AC$463)&amp;IF(OR(Checks!$W$463&lt;&gt;"",AND(Checks!$AQ$463=1,NOT(LEFT(Checks!$AH$463,10)="N/A – RULE"))),CHAR(10)&amp;"Batch: "&amp;IF(Checks!$W$463="","____________",Checks!$W$463),"")&amp;IF(OR(Checks!$X$463&lt;&gt;"",Checks!$Y$463&lt;&gt;"",AND(Checks!$AR$463=1,NOT(LEFT(Checks!$AH$463,10)="N/A – RULE"))),CHAR(10)&amp;"Exp: "&amp;IF(Checks!$X$463="","______",Checks!$X$463)&amp;"  /  Act: "&amp;IF(Checks!$Y$463="","______",Checks!$Y$463),"")</f>
        <v/>
      </c>
      <c r="F30" s="120" t="str">
        <f aca="false">IF(AND(LEFT(Checks!$AH$463,10)="N/A – RULE",TRIM(Checks!$S$463&amp;Checks!$Z$463)=""),"","Type: "&amp;IF(TRIM(Checks!$S$463)="","______________ (see cover list)",Checks!$S$463)&amp;CHAR(10)&amp;"ID: "&amp;IF(TRIM(Checks!$Z$463)="","______________ (record's own no.)",Checks!$Z$463))&amp;IF(Checks!$AA$463="","",CHAR(10)&amp;"CA: "&amp;Checks!$AA$463)</f>
        <v>Type: ______________ (see cover list)
ID: ______________ (record's own no.)</v>
      </c>
      <c r="G30" s="120" t="str">
        <f aca="false">IF(AND(LEFT(Checks!$AH$463,10)="N/A – RULE",NOT(ISNUMBER(Checks!$AD$463)),Checks!$AE$463="",Checks!$T$463=""),"","Done: "&amp;IF(ISNUMBER(Checks!$AD$463),TEXT(Checks!$AD$463,"DD-MMM-YY HH:MM"),"____________")&amp;" "&amp;Checks!$P$463&amp;CHAR(10)&amp;"Verifier: "&amp;IF(Checks!$AE$463="","____________",Checks!$AE$463)&amp;CHAR(10)&amp;"PIC: "&amp;IF(Checks!$T$463="","____________",Checks!$T$463))</f>
        <v>Done: ____________ KUL
Verifier: ____________
PIC: ____________</v>
      </c>
      <c r="H30" s="121" t="str">
        <f aca="false">IF(Checks!$AH$463="","",Checks!$AH$463)</f>
        <v>OPEN</v>
      </c>
    </row>
    <row r="31" customFormat="false" ht="114" hidden="false" customHeight="true" outlineLevel="0" collapsed="false">
      <c r="A31" s="120" t="str">
        <f aca="false">Checks!$A$464&amp;CHAR(10)&amp;IF(Checks!$I$464="","",Checks!$I$464&amp;": ")&amp;Checks!$J$464</f>
        <v>F14-T7-09
Uplift plan: Uplift plan confirmed with caterer vs STD Uplift Information</v>
      </c>
      <c r="B31" s="120" t="str">
        <f aca="false">Checks!$K$464&amp;IF(Checks!$O$464="","",IF(Checks!$K$464="","",CHAR(10))&amp;"Note: "&amp;Checks!$O$464)</f>
        <v>Service: 2.5 Meal (Meal); meal uplift stn KUL (ref lists KUL/LHR)</v>
      </c>
      <c r="C31" s="120" t="str">
        <f aca="false">Checks!$N$464&amp;CHAR(10)&amp;IF(ISNUMBER(Checks!$R$464),TEXT(Checks!$R$464,"DD-MMM-YY HH:MM"),"")&amp;" "&amp;Checks!$P$464</f>
        <v>Required
08-Oct-26 09:50 KUL</v>
      </c>
      <c r="D31" s="120" t="str">
        <f aca="false">IF(TRIM(Checks!$U$464)&lt;&gt;"",Checks!$U$464&amp;IF(Checks!$AB$464="","",CHAR(10)&amp;"CA: "&amp;Checks!$AB$464),IF(LEFT(Checks!$AH$464,10)="N/A – RULE","","[ ] Pass"&amp;CHAR(10)&amp;"[ ] Pass after CA"&amp;CHAR(10)&amp;"[ ] Fail"&amp;IF(Checks!$AT$464=1,CHAR(10)&amp;"[ ] N/A","")&amp;CHAR(10)&amp;"CA: Open / Closed"))</f>
        <v>[ ] Pass
[ ] Pass after CA
[ ] Fail
CA: Open / Closed</v>
      </c>
      <c r="E31" s="120" t="str">
        <f aca="false">IF(Checks!$V$464="","",Checks!$V$464)&amp;IF(Checks!$AC$464="","",IF(Checks!$V$464="","",CHAR(10))&amp;"N/A just.: "&amp;Checks!$AC$464)&amp;IF(OR(Checks!$W$464&lt;&gt;"",AND(Checks!$AQ$464=1,NOT(LEFT(Checks!$AH$464,10)="N/A – RULE"))),CHAR(10)&amp;"Batch: "&amp;IF(Checks!$W$464="","____________",Checks!$W$464),"")&amp;IF(OR(Checks!$X$464&lt;&gt;"",Checks!$Y$464&lt;&gt;"",AND(Checks!$AR$464=1,NOT(LEFT(Checks!$AH$464,10)="N/A – RULE"))),CHAR(10)&amp;"Exp: "&amp;IF(Checks!$X$464="","______",Checks!$X$464)&amp;"  /  Act: "&amp;IF(Checks!$Y$464="","______",Checks!$Y$464),"")</f>
        <v/>
      </c>
      <c r="F31" s="120" t="str">
        <f aca="false">IF(AND(LEFT(Checks!$AH$464,10)="N/A – RULE",TRIM(Checks!$S$464&amp;Checks!$Z$464)=""),"","Type: "&amp;IF(TRIM(Checks!$S$464)="","______________ (see cover list)",Checks!$S$464)&amp;CHAR(10)&amp;"ID: "&amp;IF(TRIM(Checks!$Z$464)="","______________ (record's own no.)",Checks!$Z$464))&amp;IF(Checks!$AA$464="","",CHAR(10)&amp;"CA: "&amp;Checks!$AA$464)</f>
        <v>Type: ______________ (see cover list)
ID: ______________ (record's own no.)</v>
      </c>
      <c r="G31" s="120" t="str">
        <f aca="false">IF(AND(LEFT(Checks!$AH$464,10)="N/A – RULE",NOT(ISNUMBER(Checks!$AD$464)),Checks!$AE$464="",Checks!$T$464=""),"","Done: "&amp;IF(ISNUMBER(Checks!$AD$464),TEXT(Checks!$AD$464,"DD-MMM-YY HH:MM"),"____________")&amp;" "&amp;Checks!$P$464&amp;CHAR(10)&amp;"Verifier: "&amp;IF(Checks!$AE$464="","____________",Checks!$AE$464)&amp;CHAR(10)&amp;"PIC: "&amp;IF(Checks!$T$464="","____________",Checks!$T$464))</f>
        <v>Done: ____________ KUL
Verifier: ____________
PIC: ____________</v>
      </c>
      <c r="H31" s="121" t="str">
        <f aca="false">IF(Checks!$AH$464="","",Checks!$AH$464)</f>
        <v>OPEN</v>
      </c>
    </row>
    <row r="32" customFormat="false" ht="25.5" hidden="false" customHeight="true" outlineLevel="0" collapsed="false">
      <c r="A32" s="119" t="str">
        <f aca="false">"T-24H — Production batch sensory  |  Due "&amp;IF(ISNUMBER(Flights!$AH$18),TEXT(Flights!$AH$18,"DD-MMM-YY HH:MM"),"")&amp;" "&amp;Flights!$V$18&amp;" (meal uplift stn)"&amp;" (rows with another due show their own)  |  Complete "&amp;IF(ISNUMBER(Flights!$AK$18),TEXT(Flights!$AK$18,"0%"),Flights!$AK$18)&amp;"  |  1 lines"</f>
        <v>T-24H — Production batch sensory  |  Due 14-Oct-26 09:50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Checks!$A$465&amp;CHAR(10)&amp;IF(Checks!$I$465="","",Checks!$I$465&amp;": ")&amp;Checks!$J$465</f>
        <v>F14-T24-01
Meal: Sensory test repeated on ACTUAL production batch for this flight</v>
      </c>
      <c r="B33" s="120" t="str">
        <f aca="false">Checks!$K$465&amp;IF(Checks!$O$465="","",IF(Checks!$K$465="","",CHAR(10))&amp;"Note: "&amp;Checks!$O$465)</f>
        <v>Batch ID, result, CA and acceptance mandatory</v>
      </c>
      <c r="C33" s="120" t="str">
        <f aca="false">Checks!$N$465&amp;CHAR(10)&amp;IF(ISNUMBER(Checks!$R$465),TEXT(Checks!$R$465,"DD-MMM-YY HH:MM"),"")&amp;" "&amp;Checks!$P$465</f>
        <v>Required
14-Oct-26 09:50 KUL</v>
      </c>
      <c r="D33" s="120" t="str">
        <f aca="false">IF(TRIM(Checks!$U$465)&lt;&gt;"",Checks!$U$465&amp;IF(Checks!$AB$465="","",CHAR(10)&amp;"CA: "&amp;Checks!$AB$465),IF(LEFT(Checks!$AH$465,10)="N/A – RULE","","[ ] Pass"&amp;CHAR(10)&amp;"[ ] Pass after CA"&amp;CHAR(10)&amp;"[ ] Fail"&amp;IF(Checks!$AT$465=1,CHAR(10)&amp;"[ ] N/A","")&amp;CHAR(10)&amp;"CA: Open / Closed"))</f>
        <v>[ ] Pass
[ ] Pass after CA
[ ] Fail
CA: Open / Closed</v>
      </c>
      <c r="E33" s="120" t="str">
        <f aca="false">IF(Checks!$V$465="","",Checks!$V$465)&amp;IF(Checks!$AC$465="","",IF(Checks!$V$465="","",CHAR(10))&amp;"N/A just.: "&amp;Checks!$AC$465)&amp;IF(OR(Checks!$W$465&lt;&gt;"",AND(Checks!$AQ$465=1,NOT(LEFT(Checks!$AH$465,10)="N/A – RULE"))),CHAR(10)&amp;"Batch: "&amp;IF(Checks!$W$465="","____________",Checks!$W$465),"")&amp;IF(OR(Checks!$X$465&lt;&gt;"",Checks!$Y$465&lt;&gt;"",AND(Checks!$AR$465=1,NOT(LEFT(Checks!$AH$465,10)="N/A – RULE"))),CHAR(10)&amp;"Exp: "&amp;IF(Checks!$X$465="","______",Checks!$X$465)&amp;"  /  Act: "&amp;IF(Checks!$Y$465="","______",Checks!$Y$465),"")</f>
        <v>
Batch: ____________</v>
      </c>
      <c r="F33" s="120" t="str">
        <f aca="false">IF(AND(LEFT(Checks!$AH$465,10)="N/A – RULE",TRIM(Checks!$S$465&amp;Checks!$Z$465)=""),"","Type: "&amp;IF(TRIM(Checks!$S$465)="","______________ (see cover list)",Checks!$S$465)&amp;CHAR(10)&amp;"ID: "&amp;IF(TRIM(Checks!$Z$465)="","______________ (record's own no.)",Checks!$Z$465))&amp;IF(Checks!$AA$465="","",CHAR(10)&amp;"CA: "&amp;Checks!$AA$465)</f>
        <v>Type: ______________ (see cover list)
ID: ______________ (record's own no.)</v>
      </c>
      <c r="G33" s="120" t="str">
        <f aca="false">IF(AND(LEFT(Checks!$AH$465,10)="N/A – RULE",NOT(ISNUMBER(Checks!$AD$465)),Checks!$AE$465="",Checks!$T$465=""),"","Done: "&amp;IF(ISNUMBER(Checks!$AD$465),TEXT(Checks!$AD$465,"DD-MMM-YY HH:MM"),"____________")&amp;" "&amp;Checks!$P$465&amp;CHAR(10)&amp;"Verifier: "&amp;IF(Checks!$AE$465="","____________",Checks!$AE$465)&amp;CHAR(10)&amp;"PIC: "&amp;IF(Checks!$T$465="","____________",Checks!$T$465))</f>
        <v>Done: ____________ KUL
Verifier: ____________
PIC: ____________</v>
      </c>
      <c r="H33" s="121" t="str">
        <f aca="false">IF(Checks!$AH$465="","",Checks!$AH$465)</f>
        <v>OPEN</v>
      </c>
    </row>
    <row r="34" customFormat="false" ht="25.5" hidden="false" customHeight="true" outlineLevel="0" collapsed="false">
      <c r="A34" s="119" t="str">
        <f aca="false">"T-12H PREP — Preparation check at caterer (does NOT confirm loading)  |  Due "&amp;IF(ISNUMBER(Flights!$AI$18),TEXT(Flights!$AI$18,"DD-MMM-YY HH:MM"),"")&amp;" "&amp;Flights!$V$18&amp;" (meal uplift stn)"&amp;" (rows with another due show their own)  |  Complete "&amp;IF(ISNUMBER(Flights!$AL$18),TEXT(Flights!$AL$18,"0%"),Flights!$AL$18)&amp;"  |  10 lines"</f>
        <v>T-12H PREP — Preparation check at caterer (does NOT confirm loading)  |  Due 14-Oct-26 21:50 KUL (meal uplift stn) (rows with another due show their own)  |  Complete 0%  |  10 lines</v>
      </c>
      <c r="B34" s="119"/>
      <c r="C34" s="119"/>
      <c r="D34" s="119"/>
      <c r="E34" s="119"/>
      <c r="F34" s="119"/>
      <c r="G34" s="119"/>
      <c r="H34" s="119"/>
    </row>
    <row r="35" customFormat="false" ht="114" hidden="false" customHeight="true" outlineLevel="0" collapsed="false">
      <c r="A35" s="120" t="str">
        <f aca="false">Checks!$A$466&amp;CHAR(10)&amp;IF(Checks!$I$466="","",Checks!$I$466&amp;": ")&amp;Checks!$J$466</f>
        <v>F14-T12-01
Meal: Meal quality vs menu checklist</v>
      </c>
      <c r="B35" s="120" t="str">
        <f aca="false">Checks!$K$466&amp;IF(Checks!$O$466="","",IF(Checks!$K$466="","",CHAR(10))&amp;"Note: "&amp;Checks!$O$466)</f>
        <v>Note: Preparation check at caterer - does NOT confirm loading.</v>
      </c>
      <c r="C35" s="120" t="str">
        <f aca="false">Checks!$N$466&amp;CHAR(10)&amp;IF(ISNUMBER(Checks!$R$466),TEXT(Checks!$R$466,"DD-MMM-YY HH:MM"),"")&amp;" "&amp;Checks!$P$466</f>
        <v>Required
14-Oct-26 21:50 KUL</v>
      </c>
      <c r="D35" s="120" t="str">
        <f aca="false">IF(TRIM(Checks!$U$466)&lt;&gt;"",Checks!$U$466&amp;IF(Checks!$AB$466="","",CHAR(10)&amp;"CA: "&amp;Checks!$AB$466),IF(LEFT(Checks!$AH$466,10)="N/A – RULE","","[ ] Pass"&amp;CHAR(10)&amp;"[ ] Pass after CA"&amp;CHAR(10)&amp;"[ ] Fail"&amp;IF(Checks!$AT$466=1,CHAR(10)&amp;"[ ] N/A","")&amp;CHAR(10)&amp;"CA: Open / Closed"))</f>
        <v>[ ] Pass
[ ] Pass after CA
[ ] Fail
CA: Open / Closed</v>
      </c>
      <c r="E35" s="120" t="str">
        <f aca="false">IF(Checks!$V$466="","",Checks!$V$466)&amp;IF(Checks!$AC$466="","",IF(Checks!$V$466="","",CHAR(10))&amp;"N/A just.: "&amp;Checks!$AC$466)&amp;IF(OR(Checks!$W$466&lt;&gt;"",AND(Checks!$AQ$466=1,NOT(LEFT(Checks!$AH$466,10)="N/A – RULE"))),CHAR(10)&amp;"Batch: "&amp;IF(Checks!$W$466="","____________",Checks!$W$466),"")&amp;IF(OR(Checks!$X$466&lt;&gt;"",Checks!$Y$466&lt;&gt;"",AND(Checks!$AR$466=1,NOT(LEFT(Checks!$AH$466,10)="N/A – RULE"))),CHAR(10)&amp;"Exp: "&amp;IF(Checks!$X$466="","______",Checks!$X$466)&amp;"  /  Act: "&amp;IF(Checks!$Y$466="","______",Checks!$Y$466),"")</f>
        <v/>
      </c>
      <c r="F35" s="120" t="str">
        <f aca="false">IF(AND(LEFT(Checks!$AH$466,10)="N/A – RULE",TRIM(Checks!$S$466&amp;Checks!$Z$466)=""),"","Type: "&amp;IF(TRIM(Checks!$S$466)="","______________ (see cover list)",Checks!$S$466)&amp;CHAR(10)&amp;"ID: "&amp;IF(TRIM(Checks!$Z$466)="","______________ (record's own no.)",Checks!$Z$466))&amp;IF(Checks!$AA$466="","",CHAR(10)&amp;"CA: "&amp;Checks!$AA$466)</f>
        <v>Type: ______________ (see cover list)
ID: ______________ (record's own no.)</v>
      </c>
      <c r="G35" s="120" t="str">
        <f aca="false">IF(AND(LEFT(Checks!$AH$466,10)="N/A – RULE",NOT(ISNUMBER(Checks!$AD$466)),Checks!$AE$466="",Checks!$T$466=""),"","Done: "&amp;IF(ISNUMBER(Checks!$AD$466),TEXT(Checks!$AD$466,"DD-MMM-YY HH:MM"),"____________")&amp;" "&amp;Checks!$P$466&amp;CHAR(10)&amp;"Verifier: "&amp;IF(Checks!$AE$466="","____________",Checks!$AE$466)&amp;CHAR(10)&amp;"PIC: "&amp;IF(Checks!$T$466="","____________",Checks!$T$466))</f>
        <v>Done: ____________ KUL
Verifier: ____________
PIC: ____________</v>
      </c>
      <c r="H35" s="121" t="str">
        <f aca="false">IF(Checks!$AH$466="","",Checks!$AH$466)</f>
        <v>OPEN</v>
      </c>
    </row>
    <row r="36" customFormat="false" ht="114" hidden="false" customHeight="true" outlineLevel="0" collapsed="false">
      <c r="A36" s="120" t="str">
        <f aca="false">Checks!$A$467&amp;CHAR(10)&amp;IF(Checks!$I$467="","",Checks!$I$467&amp;": ")&amp;Checks!$J$467</f>
        <v>F14-T12-02
Meal: Meal quantities vs menu checklist</v>
      </c>
      <c r="B36" s="120" t="str">
        <f aca="false">Checks!$K$467&amp;IF(Checks!$O$467="","",IF(Checks!$K$467="","",CHAR(10))&amp;"Note: "&amp;Checks!$O$467)</f>
        <v>Enter expected &amp; actual
Note: Preparation check at caterer - does NOT confirm loading.</v>
      </c>
      <c r="C36" s="120" t="str">
        <f aca="false">Checks!$N$467&amp;CHAR(10)&amp;IF(ISNUMBER(Checks!$R$467),TEXT(Checks!$R$467,"DD-MMM-YY HH:MM"),"")&amp;" "&amp;Checks!$P$467</f>
        <v>Required
14-Oct-26 21:50 KUL</v>
      </c>
      <c r="D36" s="120" t="str">
        <f aca="false">IF(TRIM(Checks!$U$467)&lt;&gt;"",Checks!$U$467&amp;IF(Checks!$AB$467="","",CHAR(10)&amp;"CA: "&amp;Checks!$AB$467),IF(LEFT(Checks!$AH$467,10)="N/A – RULE","","[ ] Pass"&amp;CHAR(10)&amp;"[ ] Pass after CA"&amp;CHAR(10)&amp;"[ ] Fail"&amp;IF(Checks!$AT$467=1,CHAR(10)&amp;"[ ] N/A","")&amp;CHAR(10)&amp;"CA: Open / Closed"))</f>
        <v>[ ] Pass
[ ] Pass after CA
[ ] Fail
CA: Open / Closed</v>
      </c>
      <c r="E36" s="120" t="str">
        <f aca="false">IF(Checks!$V$467="","",Checks!$V$467)&amp;IF(Checks!$AC$467="","",IF(Checks!$V$467="","",CHAR(10))&amp;"N/A just.: "&amp;Checks!$AC$467)&amp;IF(OR(Checks!$W$467&lt;&gt;"",AND(Checks!$AQ$467=1,NOT(LEFT(Checks!$AH$467,10)="N/A – RULE"))),CHAR(10)&amp;"Batch: "&amp;IF(Checks!$W$467="","____________",Checks!$W$467),"")&amp;IF(OR(Checks!$X$467&lt;&gt;"",Checks!$Y$467&lt;&gt;"",AND(Checks!$AR$467=1,NOT(LEFT(Checks!$AH$467,10)="N/A – RULE"))),CHAR(10)&amp;"Exp: "&amp;IF(Checks!$X$467="","______",Checks!$X$467)&amp;"  /  Act: "&amp;IF(Checks!$Y$467="","______",Checks!$Y$467),"")</f>
        <v>
Exp: ______  /  Act: ______</v>
      </c>
      <c r="F36" s="120" t="str">
        <f aca="false">IF(AND(LEFT(Checks!$AH$467,10)="N/A – RULE",TRIM(Checks!$S$467&amp;Checks!$Z$467)=""),"","Type: "&amp;IF(TRIM(Checks!$S$467)="","______________ (see cover list)",Checks!$S$467)&amp;CHAR(10)&amp;"ID: "&amp;IF(TRIM(Checks!$Z$467)="","______________ (record's own no.)",Checks!$Z$467))&amp;IF(Checks!$AA$467="","",CHAR(10)&amp;"CA: "&amp;Checks!$AA$467)</f>
        <v>Type: ______________ (see cover list)
ID: ______________ (record's own no.)</v>
      </c>
      <c r="G36" s="120" t="str">
        <f aca="false">IF(AND(LEFT(Checks!$AH$467,10)="N/A – RULE",NOT(ISNUMBER(Checks!$AD$467)),Checks!$AE$467="",Checks!$T$467=""),"","Done: "&amp;IF(ISNUMBER(Checks!$AD$467),TEXT(Checks!$AD$467,"DD-MMM-YY HH:MM"),"____________")&amp;" "&amp;Checks!$P$467&amp;CHAR(10)&amp;"Verifier: "&amp;IF(Checks!$AE$467="","____________",Checks!$AE$467)&amp;CHAR(10)&amp;"PIC: "&amp;IF(Checks!$T$467="","____________",Checks!$T$467))</f>
        <v>Done: ____________ KUL
Verifier: ____________
PIC: ____________</v>
      </c>
      <c r="H36" s="121" t="str">
        <f aca="false">IF(Checks!$AH$467="","",Checks!$AH$467)</f>
        <v>OPEN</v>
      </c>
    </row>
    <row r="37" customFormat="false" ht="114" hidden="false" customHeight="true" outlineLevel="0" collapsed="false">
      <c r="A37" s="120" t="str">
        <f aca="false">Checks!$A$468&amp;CHAR(10)&amp;IF(Checks!$I$468="","",Checks!$I$468&amp;": ")&amp;Checks!$J$468</f>
        <v>F14-T12-03
Equipment: Equipment cleanliness vs GLD</v>
      </c>
      <c r="B37" s="120" t="str">
        <f aca="false">Checks!$K$468&amp;IF(Checks!$O$468="","",IF(Checks!$K$468="","",CHAR(10))&amp;"Note: "&amp;Checks!$O$468)</f>
        <v>Note: Preparation check at caterer - does NOT confirm loading.</v>
      </c>
      <c r="C37" s="120" t="str">
        <f aca="false">Checks!$N$468&amp;CHAR(10)&amp;IF(ISNUMBER(Checks!$R$468),TEXT(Checks!$R$468,"DD-MMM-YY HH:MM"),"")&amp;" "&amp;Checks!$P$468</f>
        <v>Required
14-Oct-26 21:50 KUL</v>
      </c>
      <c r="D37" s="120" t="str">
        <f aca="false">IF(TRIM(Checks!$U$468)&lt;&gt;"",Checks!$U$468&amp;IF(Checks!$AB$468="","",CHAR(10)&amp;"CA: "&amp;Checks!$AB$468),IF(LEFT(Checks!$AH$468,10)="N/A – RULE","","[ ] Pass"&amp;CHAR(10)&amp;"[ ] Pass after CA"&amp;CHAR(10)&amp;"[ ] Fail"&amp;IF(Checks!$AT$468=1,CHAR(10)&amp;"[ ] N/A","")&amp;CHAR(10)&amp;"CA: Open / Closed"))</f>
        <v>[ ] Pass
[ ] Pass after CA
[ ] Fail
CA: Open / Closed</v>
      </c>
      <c r="E37" s="120" t="str">
        <f aca="false">IF(Checks!$V$468="","",Checks!$V$468)&amp;IF(Checks!$AC$468="","",IF(Checks!$V$468="","",CHAR(10))&amp;"N/A just.: "&amp;Checks!$AC$468)&amp;IF(OR(Checks!$W$468&lt;&gt;"",AND(Checks!$AQ$468=1,NOT(LEFT(Checks!$AH$468,10)="N/A – RULE"))),CHAR(10)&amp;"Batch: "&amp;IF(Checks!$W$468="","____________",Checks!$W$468),"")&amp;IF(OR(Checks!$X$468&lt;&gt;"",Checks!$Y$468&lt;&gt;"",AND(Checks!$AR$468=1,NOT(LEFT(Checks!$AH$468,10)="N/A – RULE"))),CHAR(10)&amp;"Exp: "&amp;IF(Checks!$X$468="","______",Checks!$X$468)&amp;"  /  Act: "&amp;IF(Checks!$Y$468="","______",Checks!$Y$468),"")</f>
        <v/>
      </c>
      <c r="F37" s="120" t="str">
        <f aca="false">IF(AND(LEFT(Checks!$AH$468,10)="N/A – RULE",TRIM(Checks!$S$468&amp;Checks!$Z$468)=""),"","Type: "&amp;IF(TRIM(Checks!$S$468)="","______________ (see cover list)",Checks!$S$468)&amp;CHAR(10)&amp;"ID: "&amp;IF(TRIM(Checks!$Z$468)="","______________ (record's own no.)",Checks!$Z$468))&amp;IF(Checks!$AA$468="","",CHAR(10)&amp;"CA: "&amp;Checks!$AA$468)</f>
        <v>Type: ______________ (see cover list)
ID: ______________ (record's own no.)</v>
      </c>
      <c r="G37" s="120" t="str">
        <f aca="false">IF(AND(LEFT(Checks!$AH$468,10)="N/A – RULE",NOT(ISNUMBER(Checks!$AD$468)),Checks!$AE$468="",Checks!$T$468=""),"","Done: "&amp;IF(ISNUMBER(Checks!$AD$468),TEXT(Checks!$AD$468,"DD-MMM-YY HH:MM"),"____________")&amp;" "&amp;Checks!$P$468&amp;CHAR(10)&amp;"Verifier: "&amp;IF(Checks!$AE$468="","____________",Checks!$AE$468)&amp;CHAR(10)&amp;"PIC: "&amp;IF(Checks!$T$468="","____________",Checks!$T$468))</f>
        <v>Done: ____________ KUL
Verifier: ____________
PIC: ____________</v>
      </c>
      <c r="H37" s="121" t="str">
        <f aca="false">IF(Checks!$AH$468="","",Checks!$AH$468)</f>
        <v>OPEN</v>
      </c>
    </row>
    <row r="38" customFormat="false" ht="114" hidden="false" customHeight="true" outlineLevel="0" collapsed="false">
      <c r="A38" s="120" t="str">
        <f aca="false">Checks!$A$469&amp;CHAR(10)&amp;IF(Checks!$I$469="","",Checks!$I$469&amp;": ")&amp;Checks!$J$469</f>
        <v>F14-T12-04
Equipment: Equipment presentation vs GLD</v>
      </c>
      <c r="B38" s="120" t="str">
        <f aca="false">Checks!$K$469&amp;IF(Checks!$O$469="","",IF(Checks!$K$469="","",CHAR(10))&amp;"Note: "&amp;Checks!$O$469)</f>
        <v>Note: Preparation check at caterer - does NOT confirm loading.</v>
      </c>
      <c r="C38" s="120" t="str">
        <f aca="false">Checks!$N$469&amp;CHAR(10)&amp;IF(ISNUMBER(Checks!$R$469),TEXT(Checks!$R$469,"DD-MMM-YY HH:MM"),"")&amp;" "&amp;Checks!$P$469</f>
        <v>Required
14-Oct-26 21:50 KUL</v>
      </c>
      <c r="D38" s="120" t="str">
        <f aca="false">IF(TRIM(Checks!$U$469)&lt;&gt;"",Checks!$U$469&amp;IF(Checks!$AB$469="","",CHAR(10)&amp;"CA: "&amp;Checks!$AB$469),IF(LEFT(Checks!$AH$469,10)="N/A – RULE","","[ ] Pass"&amp;CHAR(10)&amp;"[ ] Pass after CA"&amp;CHAR(10)&amp;"[ ] Fail"&amp;IF(Checks!$AT$469=1,CHAR(10)&amp;"[ ] N/A","")&amp;CHAR(10)&amp;"CA: Open / Closed"))</f>
        <v>[ ] Pass
[ ] Pass after CA
[ ] Fail
CA: Open / Closed</v>
      </c>
      <c r="E38" s="120" t="str">
        <f aca="false">IF(Checks!$V$469="","",Checks!$V$469)&amp;IF(Checks!$AC$469="","",IF(Checks!$V$469="","",CHAR(10))&amp;"N/A just.: "&amp;Checks!$AC$469)&amp;IF(OR(Checks!$W$469&lt;&gt;"",AND(Checks!$AQ$469=1,NOT(LEFT(Checks!$AH$469,10)="N/A – RULE"))),CHAR(10)&amp;"Batch: "&amp;IF(Checks!$W$469="","____________",Checks!$W$469),"")&amp;IF(OR(Checks!$X$469&lt;&gt;"",Checks!$Y$469&lt;&gt;"",AND(Checks!$AR$469=1,NOT(LEFT(Checks!$AH$469,10)="N/A – RULE"))),CHAR(10)&amp;"Exp: "&amp;IF(Checks!$X$469="","______",Checks!$X$469)&amp;"  /  Act: "&amp;IF(Checks!$Y$469="","______",Checks!$Y$469),"")</f>
        <v/>
      </c>
      <c r="F38" s="120" t="str">
        <f aca="false">IF(AND(LEFT(Checks!$AH$469,10)="N/A – RULE",TRIM(Checks!$S$469&amp;Checks!$Z$469)=""),"","Type: "&amp;IF(TRIM(Checks!$S$469)="","______________ (see cover list)",Checks!$S$469)&amp;CHAR(10)&amp;"ID: "&amp;IF(TRIM(Checks!$Z$469)="","______________ (record's own no.)",Checks!$Z$469))&amp;IF(Checks!$AA$469="","",CHAR(10)&amp;"CA: "&amp;Checks!$AA$469)</f>
        <v>Type: ______________ (see cover list)
ID: ______________ (record's own no.)</v>
      </c>
      <c r="G38" s="120" t="str">
        <f aca="false">IF(AND(LEFT(Checks!$AH$469,10)="N/A – RULE",NOT(ISNUMBER(Checks!$AD$469)),Checks!$AE$469="",Checks!$T$469=""),"","Done: "&amp;IF(ISNUMBER(Checks!$AD$469),TEXT(Checks!$AD$469,"DD-MMM-YY HH:MM"),"____________")&amp;" "&amp;Checks!$P$469&amp;CHAR(10)&amp;"Verifier: "&amp;IF(Checks!$AE$469="","____________",Checks!$AE$469)&amp;CHAR(10)&amp;"PIC: "&amp;IF(Checks!$T$469="","____________",Checks!$T$469))</f>
        <v>Done: ____________ KUL
Verifier: ____________
PIC: ____________</v>
      </c>
      <c r="H38" s="121" t="str">
        <f aca="false">IF(Checks!$AH$469="","",Checks!$AH$469)</f>
        <v>OPEN</v>
      </c>
    </row>
    <row r="39" customFormat="false" ht="114" hidden="false" customHeight="true" outlineLevel="0" collapsed="false">
      <c r="A39" s="120" t="str">
        <f aca="false">Checks!$A$470&amp;CHAR(10)&amp;IF(Checks!$I$470="","",Checks!$I$470&amp;": ")&amp;Checks!$J$470</f>
        <v>F14-T12-05
Equipment: Equipment serviceability vs GLD</v>
      </c>
      <c r="B39" s="120" t="str">
        <f aca="false">Checks!$K$470&amp;IF(Checks!$O$470="","",IF(Checks!$K$470="","",CHAR(10))&amp;"Note: "&amp;Checks!$O$470)</f>
        <v>Note: Preparation check at caterer - does NOT confirm loading.</v>
      </c>
      <c r="C39" s="120" t="str">
        <f aca="false">Checks!$N$470&amp;CHAR(10)&amp;IF(ISNUMBER(Checks!$R$470),TEXT(Checks!$R$470,"DD-MMM-YY HH:MM"),"")&amp;" "&amp;Checks!$P$470</f>
        <v>Required
14-Oct-26 21:50 KUL</v>
      </c>
      <c r="D39" s="120" t="str">
        <f aca="false">IF(TRIM(Checks!$U$470)&lt;&gt;"",Checks!$U$470&amp;IF(Checks!$AB$470="","",CHAR(10)&amp;"CA: "&amp;Checks!$AB$470),IF(LEFT(Checks!$AH$470,10)="N/A – RULE","","[ ] Pass"&amp;CHAR(10)&amp;"[ ] Pass after CA"&amp;CHAR(10)&amp;"[ ] Fail"&amp;IF(Checks!$AT$470=1,CHAR(10)&amp;"[ ] N/A","")&amp;CHAR(10)&amp;"CA: Open / Closed"))</f>
        <v>[ ] Pass
[ ] Pass after CA
[ ] Fail
CA: Open / Closed</v>
      </c>
      <c r="E39" s="120" t="str">
        <f aca="false">IF(Checks!$V$470="","",Checks!$V$470)&amp;IF(Checks!$AC$470="","",IF(Checks!$V$470="","",CHAR(10))&amp;"N/A just.: "&amp;Checks!$AC$470)&amp;IF(OR(Checks!$W$470&lt;&gt;"",AND(Checks!$AQ$470=1,NOT(LEFT(Checks!$AH$470,10)="N/A – RULE"))),CHAR(10)&amp;"Batch: "&amp;IF(Checks!$W$470="","____________",Checks!$W$470),"")&amp;IF(OR(Checks!$X$470&lt;&gt;"",Checks!$Y$470&lt;&gt;"",AND(Checks!$AR$470=1,NOT(LEFT(Checks!$AH$470,10)="N/A – RULE"))),CHAR(10)&amp;"Exp: "&amp;IF(Checks!$X$470="","______",Checks!$X$470)&amp;"  /  Act: "&amp;IF(Checks!$Y$470="","______",Checks!$Y$470),"")</f>
        <v/>
      </c>
      <c r="F39" s="120" t="str">
        <f aca="false">IF(AND(LEFT(Checks!$AH$470,10)="N/A – RULE",TRIM(Checks!$S$470&amp;Checks!$Z$470)=""),"","Type: "&amp;IF(TRIM(Checks!$S$470)="","______________ (see cover list)",Checks!$S$470)&amp;CHAR(10)&amp;"ID: "&amp;IF(TRIM(Checks!$Z$470)="","______________ (record's own no.)",Checks!$Z$470))&amp;IF(Checks!$AA$470="","",CHAR(10)&amp;"CA: "&amp;Checks!$AA$470)</f>
        <v>Type: ______________ (see cover list)
ID: ______________ (record's own no.)</v>
      </c>
      <c r="G39" s="120" t="str">
        <f aca="false">IF(AND(LEFT(Checks!$AH$470,10)="N/A – RULE",NOT(ISNUMBER(Checks!$AD$470)),Checks!$AE$470="",Checks!$T$470=""),"","Done: "&amp;IF(ISNUMBER(Checks!$AD$470),TEXT(Checks!$AD$470,"DD-MMM-YY HH:MM"),"____________")&amp;" "&amp;Checks!$P$470&amp;CHAR(10)&amp;"Verifier: "&amp;IF(Checks!$AE$470="","____________",Checks!$AE$470)&amp;CHAR(10)&amp;"PIC: "&amp;IF(Checks!$T$470="","____________",Checks!$T$470))</f>
        <v>Done: ____________ KUL
Verifier: ____________
PIC: ____________</v>
      </c>
      <c r="H39" s="121" t="str">
        <f aca="false">IF(Checks!$AH$470="","",Checks!$AH$470)</f>
        <v>OPEN</v>
      </c>
    </row>
    <row r="40" customFormat="false" ht="289.5" hidden="false" customHeight="true" outlineLevel="0" collapsed="false">
      <c r="A40" s="120" t="str">
        <f aca="false">Checks!$A$471&amp;CHAR(10)&amp;IF(Checks!$I$471="","",Checks!$I$471&amp;": ")&amp;Checks!$J$471</f>
        <v>F14-T12-06
Equipment: Equipment quantities vs GLD</v>
      </c>
      <c r="B40" s="120" t="str">
        <f aca="false">SUBSTITUTE(SUBSTITUTE(SUBSTITUTE(Checks!$K$471&amp;IF(Checks!$O$471="","",IF(Checks!$K$471="","",CHAR(10))&amp;"Note: "&amp;Checks!$O$471),"makers -,","makers n/a,")," (AIRCRAFT TYPE!C6:R6)","")," (AIRCRAFT TYPE!C7:R7)","")</f>
        <v>Enter expected &amp; actual. Aircraft galley data: A350-900 (A359): carts 50.5, SU 70, ovens 14, warming ovens 3, fridges 3, water heaters 7, beverage makers n/a, espresso 2, folding trolleys 4, headsets BC &amp; EY: Dual Pin | A350-900 (A350): carts 41.5, SU 52, ovens 14, warming ovens 0, fridges 1, water heaters 11, beverage makers n/a, espresso 1, folding trolleys 3, headsets BC: Dual Pin/ EY: Single Pin
Note: Preparation check at caterer - does NOT confirm loading.</v>
      </c>
      <c r="C40" s="120" t="str">
        <f aca="false">Checks!$N$471&amp;CHAR(10)&amp;IF(ISNUMBER(Checks!$R$471),TEXT(Checks!$R$471,"DD-MMM-YY HH:MM"),"")&amp;" "&amp;Checks!$P$471</f>
        <v>Required
14-Oct-26 21:50 KUL</v>
      </c>
      <c r="D40" s="120" t="str">
        <f aca="false">IF(TRIM(Checks!$U$471)&lt;&gt;"",Checks!$U$471&amp;IF(Checks!$AB$471="","",CHAR(10)&amp;"CA: "&amp;Checks!$AB$471),IF(LEFT(Checks!$AH$471,10)="N/A – RULE","","[ ] Pass"&amp;CHAR(10)&amp;"[ ] Pass after CA"&amp;CHAR(10)&amp;"[ ] Fail"&amp;IF(Checks!$AT$471=1,CHAR(10)&amp;"[ ] N/A","")&amp;CHAR(10)&amp;"CA: Open / Closed"))</f>
        <v>[ ] Pass
[ ] Pass after CA
[ ] Fail
CA: Open / Closed</v>
      </c>
      <c r="E40" s="120" t="str">
        <f aca="false">IF(Checks!$V$471="","",Checks!$V$471)&amp;IF(Checks!$AC$471="","",IF(Checks!$V$471="","",CHAR(10))&amp;"N/A just.: "&amp;Checks!$AC$471)&amp;IF(OR(Checks!$W$471&lt;&gt;"",AND(Checks!$AQ$471=1,NOT(LEFT(Checks!$AH$471,10)="N/A – RULE"))),CHAR(10)&amp;"Batch: "&amp;IF(Checks!$W$471="","____________",Checks!$W$471),"")&amp;IF(OR(Checks!$X$471&lt;&gt;"",Checks!$Y$471&lt;&gt;"",AND(Checks!$AR$471=1,NOT(LEFT(Checks!$AH$471,10)="N/A – RULE"))),CHAR(10)&amp;"Exp: "&amp;IF(Checks!$X$471="","______",Checks!$X$471)&amp;"  /  Act: "&amp;IF(Checks!$Y$471="","______",Checks!$Y$471),"")</f>
        <v>
Exp: ______  /  Act: ______</v>
      </c>
      <c r="F40" s="120" t="str">
        <f aca="false">IF(AND(LEFT(Checks!$AH$471,10)="N/A – RULE",TRIM(Checks!$S$471&amp;Checks!$Z$471)=""),"","Type: "&amp;IF(TRIM(Checks!$S$471)="","______________ (see cover list)",Checks!$S$471)&amp;CHAR(10)&amp;"ID: "&amp;IF(TRIM(Checks!$Z$471)="","______________ (record's own no.)",Checks!$Z$471))&amp;IF(Checks!$AA$471="","",CHAR(10)&amp;"CA: "&amp;Checks!$AA$471)</f>
        <v>Type: ______________ (see cover list)
ID: ______________ (record's own no.)</v>
      </c>
      <c r="G40" s="120" t="str">
        <f aca="false">IF(AND(LEFT(Checks!$AH$471,10)="N/A – RULE",NOT(ISNUMBER(Checks!$AD$471)),Checks!$AE$471="",Checks!$T$471=""),"","Done: "&amp;IF(ISNUMBER(Checks!$AD$471),TEXT(Checks!$AD$471,"DD-MMM-YY HH:MM"),"____________")&amp;" "&amp;Checks!$P$471&amp;CHAR(10)&amp;"Verifier: "&amp;IF(Checks!$AE$471="","____________",Checks!$AE$471)&amp;CHAR(10)&amp;"PIC: "&amp;IF(Checks!$T$471="","____________",Checks!$T$471))</f>
        <v>Done: ____________ KUL
Verifier: ____________
PIC: ____________</v>
      </c>
      <c r="H40" s="121" t="str">
        <f aca="false">IF(Checks!$AH$471="","",Checks!$AH$471)</f>
        <v>OPEN</v>
      </c>
    </row>
    <row r="41" customFormat="false" ht="114" hidden="false" customHeight="true" outlineLevel="0" collapsed="false">
      <c r="A41" s="120" t="str">
        <f aca="false">Checks!$A$472&amp;CHAR(10)&amp;IF(Checks!$I$472="","",Checks!$I$472&amp;": ")&amp;Checks!$J$472</f>
        <v>F14-T12-07
Equipment: Loading positions planned vs GLD</v>
      </c>
      <c r="B41" s="120" t="str">
        <f aca="false">Checks!$K$472&amp;IF(Checks!$O$472="","",IF(Checks!$K$472="","",CHAR(10))&amp;"Note: "&amp;Checks!$O$472)</f>
        <v>Note: Preparation check at caterer - does NOT confirm loading.</v>
      </c>
      <c r="C41" s="120" t="str">
        <f aca="false">Checks!$N$472&amp;CHAR(10)&amp;IF(ISNUMBER(Checks!$R$472),TEXT(Checks!$R$472,"DD-MMM-YY HH:MM"),"")&amp;" "&amp;Checks!$P$472</f>
        <v>Required
14-Oct-26 21:50 KUL</v>
      </c>
      <c r="D41" s="120" t="str">
        <f aca="false">IF(TRIM(Checks!$U$472)&lt;&gt;"",Checks!$U$472&amp;IF(Checks!$AB$472="","",CHAR(10)&amp;"CA: "&amp;Checks!$AB$472),IF(LEFT(Checks!$AH$472,10)="N/A – RULE","","[ ] Pass"&amp;CHAR(10)&amp;"[ ] Pass after CA"&amp;CHAR(10)&amp;"[ ] Fail"&amp;IF(Checks!$AT$472=1,CHAR(10)&amp;"[ ] N/A","")&amp;CHAR(10)&amp;"CA: Open / Closed"))</f>
        <v>[ ] Pass
[ ] Pass after CA
[ ] Fail
CA: Open / Closed</v>
      </c>
      <c r="E41" s="120" t="str">
        <f aca="false">IF(Checks!$V$472="","",Checks!$V$472)&amp;IF(Checks!$AC$472="","",IF(Checks!$V$472="","",CHAR(10))&amp;"N/A just.: "&amp;Checks!$AC$472)&amp;IF(OR(Checks!$W$472&lt;&gt;"",AND(Checks!$AQ$472=1,NOT(LEFT(Checks!$AH$472,10)="N/A – RULE"))),CHAR(10)&amp;"Batch: "&amp;IF(Checks!$W$472="","____________",Checks!$W$472),"")&amp;IF(OR(Checks!$X$472&lt;&gt;"",Checks!$Y$472&lt;&gt;"",AND(Checks!$AR$472=1,NOT(LEFT(Checks!$AH$472,10)="N/A – RULE"))),CHAR(10)&amp;"Exp: "&amp;IF(Checks!$X$472="","______",Checks!$X$472)&amp;"  /  Act: "&amp;IF(Checks!$Y$472="","______",Checks!$Y$472),"")</f>
        <v/>
      </c>
      <c r="F41" s="120" t="str">
        <f aca="false">IF(AND(LEFT(Checks!$AH$472,10)="N/A – RULE",TRIM(Checks!$S$472&amp;Checks!$Z$472)=""),"","Type: "&amp;IF(TRIM(Checks!$S$472)="","______________ (see cover list)",Checks!$S$472)&amp;CHAR(10)&amp;"ID: "&amp;IF(TRIM(Checks!$Z$472)="","______________ (record's own no.)",Checks!$Z$472))&amp;IF(Checks!$AA$472="","",CHAR(10)&amp;"CA: "&amp;Checks!$AA$472)</f>
        <v>Type: ______________ (see cover list)
ID: ______________ (record's own no.)</v>
      </c>
      <c r="G41" s="120" t="str">
        <f aca="false">IF(AND(LEFT(Checks!$AH$472,10)="N/A – RULE",NOT(ISNUMBER(Checks!$AD$472)),Checks!$AE$472="",Checks!$T$472=""),"","Done: "&amp;IF(ISNUMBER(Checks!$AD$472),TEXT(Checks!$AD$472,"DD-MMM-YY HH:MM"),"____________")&amp;" "&amp;Checks!$P$472&amp;CHAR(10)&amp;"Verifier: "&amp;IF(Checks!$AE$472="","____________",Checks!$AE$472)&amp;CHAR(10)&amp;"PIC: "&amp;IF(Checks!$T$472="","____________",Checks!$T$472))</f>
        <v>Done: ____________ KUL
Verifier: ____________
PIC: ____________</v>
      </c>
      <c r="H41" s="121" t="str">
        <f aca="false">IF(Checks!$AH$472="","",Checks!$AH$472)</f>
        <v>OPEN</v>
      </c>
    </row>
    <row r="42" customFormat="false" ht="279" hidden="false" customHeight="true" outlineLevel="0" collapsed="false">
      <c r="A42" s="120" t="str">
        <f aca="false">Checks!$A$473&amp;CHAR(10)&amp;IF(Checks!$I$473="","",Checks!$I$473&amp;": ")&amp;Checks!$J$473</f>
        <v>F14-T12-08
Amenities: Toiletry kits - prepared</v>
      </c>
      <c r="B42" s="120" t="str">
        <f aca="false">SUBSTITUTE(SUBSTITUTE(Checks!$K$473&amp;IF(Checks!$O$473="","",IF(Checks!$K$473="","",CHAR(10))&amp;"Note: "&amp;Checks!$O$473),"A350 row AMENITIES!C12","The A350 row of the AMENITIES reference"),"(general row C11: uplift stn H11 = ","(general row: uplift stn ")</f>
        <v>Available (ticked in reference)
Note: The A350 row of the AMENITIES reference names LHR as the toiletry-kit uplift stn, but this leg departs KUL (general row: uplift stn KUL). Confirm where toiletry kits for this KUL-LHR EY leg are uplifted; if at LHR they travel on the inbound LHR-KUL sector and must be verified at KUL before this departure. The reference also does not state the cabin class for toiletry kits: confirm whether EY receives them.</v>
      </c>
      <c r="C42" s="120" t="str">
        <f aca="false">Checks!$N$473&amp;CHAR(10)&amp;IF(ISNUMBER(Checks!$R$473),TEXT(Checks!$R$473,"DD-MMM-YY HH:MM"),"")&amp;" "&amp;Checks!$P$473</f>
        <v>Clarification required
14-Oct-26 21:50 KUL</v>
      </c>
      <c r="D42" s="120" t="str">
        <f aca="false">IF(TRIM(Checks!$U$473)&lt;&gt;"",Checks!$U$473&amp;IF(Checks!$AB$473="","",CHAR(10)&amp;"CA: "&amp;Checks!$AB$473),IF(LEFT(Checks!$AH$473,10)="N/A – RULE","","[ ] Pass"&amp;CHAR(10)&amp;"[ ] Pass after CA"&amp;CHAR(10)&amp;"[ ] Fail"&amp;IF(Checks!$AT$473=1,CHAR(10)&amp;"[ ] N/A","")&amp;CHAR(10)&amp;"CA: Open / Closed"))</f>
        <v>[ ] Pass
[ ] Pass after CA
[ ] Fail
[ ] N/A
CA: Open / Closed</v>
      </c>
      <c r="E42" s="120" t="str">
        <f aca="false">IF(Checks!$V$473="","",Checks!$V$473)&amp;IF(Checks!$AC$473="","",IF(Checks!$V$473="","",CHAR(10))&amp;"N/A just.: "&amp;Checks!$AC$473)&amp;IF(OR(Checks!$W$473&lt;&gt;"",AND(Checks!$AQ$473=1,NOT(LEFT(Checks!$AH$473,10)="N/A – RULE"))),CHAR(10)&amp;"Batch: "&amp;IF(Checks!$W$473="","____________",Checks!$W$473),"")&amp;IF(OR(Checks!$X$473&lt;&gt;"",Checks!$Y$473&lt;&gt;"",AND(Checks!$AR$473=1,NOT(LEFT(Checks!$AH$473,10)="N/A – RULE"))),CHAR(10)&amp;"Exp: "&amp;IF(Checks!$X$473="","______",Checks!$X$473)&amp;"  /  Act: "&amp;IF(Checks!$Y$473="","______",Checks!$Y$473),"")</f>
        <v/>
      </c>
      <c r="F42" s="120" t="str">
        <f aca="false">IF(AND(LEFT(Checks!$AH$473,10)="N/A – RULE",TRIM(Checks!$S$473&amp;Checks!$Z$473)=""),"","Type: "&amp;IF(TRIM(Checks!$S$473)="","______________ (see cover list)",Checks!$S$473)&amp;CHAR(10)&amp;"ID: "&amp;IF(TRIM(Checks!$Z$473)="","______________ (record's own no.)",Checks!$Z$473))&amp;IF(Checks!$AA$473="","",CHAR(10)&amp;"CA: "&amp;Checks!$AA$473)</f>
        <v>Type: ______________ (see cover list)
ID: ______________ (record's own no.)</v>
      </c>
      <c r="G42" s="120" t="str">
        <f aca="false">IF(AND(LEFT(Checks!$AH$473,10)="N/A – RULE",NOT(ISNUMBER(Checks!$AD$473)),Checks!$AE$473="",Checks!$T$473=""),"","Done: "&amp;IF(ISNUMBER(Checks!$AD$473),TEXT(Checks!$AD$473,"DD-MMM-YY HH:MM"),"____________")&amp;" "&amp;Checks!$P$473&amp;CHAR(10)&amp;"Verifier: "&amp;IF(Checks!$AE$473="","____________",Checks!$AE$473)&amp;CHAR(10)&amp;"PIC: "&amp;IF(Checks!$T$473="","____________",Checks!$T$473))</f>
        <v>Done: ____________ KUL
Verifier: ____________
PIC: ____________</v>
      </c>
      <c r="H42" s="121" t="str">
        <f aca="false">IF(Checks!$AH$473="","",Checks!$AH$473)</f>
        <v>OPEN – CLARIFICATION</v>
      </c>
    </row>
    <row r="43" customFormat="false" ht="114" hidden="false" customHeight="true" outlineLevel="0" collapsed="false">
      <c r="A43" s="120" t="str">
        <f aca="false">Checks!$A$474&amp;CHAR(10)&amp;IF(Checks!$I$474="","",Checks!$I$474&amp;": ")&amp;Checks!$J$474</f>
        <v>F14-T12-09
Seat Linen: Seat pillow (EY) - prepared</v>
      </c>
      <c r="B43" s="120" t="str">
        <f aca="false">Checks!$K$474&amp;IF(Checks!$O$474="","",IF(Checks!$K$474="","",CHAR(10))&amp;"Note: "&amp;Checks!$O$474)</f>
        <v>Available 100% (ticked in reference)
Note: Reference gives no uplift stn for this item: preparation checked at the meal uplift stn (KUL) - confirm with caterer.</v>
      </c>
      <c r="C43" s="120" t="str">
        <f aca="false">Checks!$N$474&amp;CHAR(10)&amp;IF(ISNUMBER(Checks!$R$474),TEXT(Checks!$R$474,"DD-MMM-YY HH:MM"),"")&amp;" "&amp;Checks!$P$474</f>
        <v>Required
14-Oct-26 21:50 KUL</v>
      </c>
      <c r="D43" s="120" t="str">
        <f aca="false">IF(TRIM(Checks!$U$474)&lt;&gt;"",Checks!$U$474&amp;IF(Checks!$AB$474="","",CHAR(10)&amp;"CA: "&amp;Checks!$AB$474),IF(LEFT(Checks!$AH$474,10)="N/A – RULE","","[ ] Pass"&amp;CHAR(10)&amp;"[ ] Pass after CA"&amp;CHAR(10)&amp;"[ ] Fail"&amp;IF(Checks!$AT$474=1,CHAR(10)&amp;"[ ] N/A","")&amp;CHAR(10)&amp;"CA: Open / Closed"))</f>
        <v>[ ] Pass
[ ] Pass after CA
[ ] Fail
CA: Open / Closed</v>
      </c>
      <c r="E43" s="120" t="str">
        <f aca="false">IF(Checks!$V$474="","",Checks!$V$474)&amp;IF(Checks!$AC$474="","",IF(Checks!$V$474="","",CHAR(10))&amp;"N/A just.: "&amp;Checks!$AC$474)&amp;IF(OR(Checks!$W$474&lt;&gt;"",AND(Checks!$AQ$474=1,NOT(LEFT(Checks!$AH$474,10)="N/A – RULE"))),CHAR(10)&amp;"Batch: "&amp;IF(Checks!$W$474="","____________",Checks!$W$474),"")&amp;IF(OR(Checks!$X$474&lt;&gt;"",Checks!$Y$474&lt;&gt;"",AND(Checks!$AR$474=1,NOT(LEFT(Checks!$AH$474,10)="N/A – RULE"))),CHAR(10)&amp;"Exp: "&amp;IF(Checks!$X$474="","______",Checks!$X$474)&amp;"  /  Act: "&amp;IF(Checks!$Y$474="","______",Checks!$Y$474),"")</f>
        <v/>
      </c>
      <c r="F43" s="120" t="str">
        <f aca="false">IF(AND(LEFT(Checks!$AH$474,10)="N/A – RULE",TRIM(Checks!$S$474&amp;Checks!$Z$474)=""),"","Type: "&amp;IF(TRIM(Checks!$S$474)="","______________ (see cover list)",Checks!$S$474)&amp;CHAR(10)&amp;"ID: "&amp;IF(TRIM(Checks!$Z$474)="","______________ (record's own no.)",Checks!$Z$474))&amp;IF(Checks!$AA$474="","",CHAR(10)&amp;"CA: "&amp;Checks!$AA$474)</f>
        <v>Type: ______________ (see cover list)
ID: ______________ (record's own no.)</v>
      </c>
      <c r="G43" s="120" t="str">
        <f aca="false">IF(AND(LEFT(Checks!$AH$474,10)="N/A – RULE",NOT(ISNUMBER(Checks!$AD$474)),Checks!$AE$474="",Checks!$T$474=""),"","Done: "&amp;IF(ISNUMBER(Checks!$AD$474),TEXT(Checks!$AD$474,"DD-MMM-YY HH:MM"),"____________")&amp;" "&amp;Checks!$P$474&amp;CHAR(10)&amp;"Verifier: "&amp;IF(Checks!$AE$474="","____________",Checks!$AE$474)&amp;CHAR(10)&amp;"PIC: "&amp;IF(Checks!$T$474="","____________",Checks!$T$474))</f>
        <v>Done: ____________ KUL
Verifier: ____________
PIC: ____________</v>
      </c>
      <c r="H43" s="121" t="str">
        <f aca="false">IF(Checks!$AH$474="","",Checks!$AH$474)</f>
        <v>OPEN</v>
      </c>
    </row>
    <row r="44" customFormat="false" ht="201.75" hidden="false" customHeight="true" outlineLevel="0" collapsed="false">
      <c r="A44" s="120" t="str">
        <f aca="false">Checks!$A$475&amp;CHAR(10)&amp;IF(Checks!$I$475="","",Checks!$I$475&amp;": ")&amp;Checks!$J$475</f>
        <v>F14-T12-10
Seat Linen: Blanket (EY) - prepared</v>
      </c>
      <c r="B44" s="120" t="str">
        <f aca="false">SUBSTITUTE(SUBSTITUTE(SUBSTITUTE(Checks!$K$475&amp;IF(Checks!$O$475="","",IF(Checks!$K$475="","",CHAR(10))&amp;"Note: "&amp;Checks!$O$475)," (SEAT LINEN!B74:C74)","")," (SEAT LINEN!B76:C76)","")," (SEAT LINEN!B77:C77)","")</f>
        <v>Available 100% (ticked in reference); qty 280 (A350 9M-MAH) / 260 (A359) - per tail
Note: EY blanket: flight above 3 hours excl. Regional; block 13.75 h. Qty per tail: A350 280 pcs, A359 260 pcs. Reference gives no uplift stn for this item: preparation checked at the meal uplift stn (KUL) - confirm with caterer.</v>
      </c>
      <c r="C44" s="120" t="str">
        <f aca="false">Checks!$N$475&amp;CHAR(10)&amp;IF(ISNUMBER(Checks!$R$475),TEXT(Checks!$R$475,"DD-MMM-YY HH:MM"),"")&amp;" "&amp;Checks!$P$475</f>
        <v>Required
14-Oct-26 21:50 KUL</v>
      </c>
      <c r="D44" s="120" t="str">
        <f aca="false">IF(TRIM(Checks!$U$475)&lt;&gt;"",Checks!$U$475&amp;IF(Checks!$AB$475="","",CHAR(10)&amp;"CA: "&amp;Checks!$AB$475),IF(LEFT(Checks!$AH$475,10)="N/A – RULE","","[ ] Pass"&amp;CHAR(10)&amp;"[ ] Pass after CA"&amp;CHAR(10)&amp;"[ ] Fail"&amp;IF(Checks!$AT$475=1,CHAR(10)&amp;"[ ] N/A","")&amp;CHAR(10)&amp;"CA: Open / Closed"))</f>
        <v>[ ] Pass
[ ] Pass after CA
[ ] Fail
CA: Open / Closed</v>
      </c>
      <c r="E44" s="120" t="str">
        <f aca="false">IF(Checks!$V$475="","",Checks!$V$475)&amp;IF(Checks!$AC$475="","",IF(Checks!$V$475="","",CHAR(10))&amp;"N/A just.: "&amp;Checks!$AC$475)&amp;IF(OR(Checks!$W$475&lt;&gt;"",AND(Checks!$AQ$475=1,NOT(LEFT(Checks!$AH$475,10)="N/A – RULE"))),CHAR(10)&amp;"Batch: "&amp;IF(Checks!$W$475="","____________",Checks!$W$475),"")&amp;IF(OR(Checks!$X$475&lt;&gt;"",Checks!$Y$475&lt;&gt;"",AND(Checks!$AR$475=1,NOT(LEFT(Checks!$AH$475,10)="N/A – RULE"))),CHAR(10)&amp;"Exp: "&amp;IF(Checks!$X$475="","______",Checks!$X$475)&amp;"  /  Act: "&amp;IF(Checks!$Y$475="","______",Checks!$Y$475),"")</f>
        <v>
Exp: ______  /  Act: ______</v>
      </c>
      <c r="F44" s="120" t="str">
        <f aca="false">IF(AND(LEFT(Checks!$AH$475,10)="N/A – RULE",TRIM(Checks!$S$475&amp;Checks!$Z$475)=""),"","Type: "&amp;IF(TRIM(Checks!$S$475)="","______________ (see cover list)",Checks!$S$475)&amp;CHAR(10)&amp;"ID: "&amp;IF(TRIM(Checks!$Z$475)="","______________ (record's own no.)",Checks!$Z$475))&amp;IF(Checks!$AA$475="","",CHAR(10)&amp;"CA: "&amp;Checks!$AA$475)</f>
        <v>Type: ______________ (see cover list)
ID: ______________ (record's own no.)</v>
      </c>
      <c r="G44" s="120" t="str">
        <f aca="false">IF(AND(LEFT(Checks!$AH$475,10)="N/A – RULE",NOT(ISNUMBER(Checks!$AD$475)),Checks!$AE$475="",Checks!$T$475=""),"","Done: "&amp;IF(ISNUMBER(Checks!$AD$475),TEXT(Checks!$AD$475,"DD-MMM-YY HH:MM"),"____________")&amp;" "&amp;Checks!$P$475&amp;CHAR(10)&amp;"Verifier: "&amp;IF(Checks!$AE$475="","____________",Checks!$AE$475)&amp;CHAR(10)&amp;"PIC: "&amp;IF(Checks!$T$475="","____________",Checks!$T$475))</f>
        <v>Done: ____________ KUL
Verifier: ____________
PIC: ____________</v>
      </c>
      <c r="H44" s="121" t="str">
        <f aca="false">IF(Checks!$AH$475="","",Checks!$AH$475)</f>
        <v>OPEN</v>
      </c>
    </row>
    <row r="45" customFormat="false" ht="25.5" hidden="false" customHeight="true" outlineLevel="0" collapsed="false">
      <c r="A45" s="119" t="str">
        <f aca="false">"UPLIFT — Physical uplift – on-board confirmation before departure  |  Due "&amp;"STD "&amp;IF(ISNUMBER(Flights!$I$18),TEXT(Flights!$I$18,"DD-MMM-YY HH:MM"),"")&amp;" "&amp;Flights!$G$18&amp;" (departure stn)"&amp;" (rows with another due show their own)  |  Complete "&amp;IF(ISNUMBER(Flights!$AM$18),TEXT(Flights!$AM$18,"0%"),Flights!$AM$18)&amp;"  |  5 lines"</f>
        <v>UPLIFT — Physical uplift – on-board confirmation before departure  |  Due STD 15-Oct-26 09:50 KUL (departure stn) (rows with another due show their own)  |  Complete 0%  |  5 lines</v>
      </c>
      <c r="B45" s="119"/>
      <c r="C45" s="119"/>
      <c r="D45" s="119"/>
      <c r="E45" s="119"/>
      <c r="F45" s="119"/>
      <c r="G45" s="119"/>
      <c r="H45" s="119"/>
    </row>
    <row r="46" customFormat="false" ht="114" hidden="false" customHeight="true" outlineLevel="0" collapsed="false">
      <c r="A46" s="120" t="str">
        <f aca="false">Checks!$A$476&amp;CHAR(10)&amp;IF(Checks!$I$476="","",Checks!$I$476&amp;": ")&amp;Checks!$J$476</f>
        <v>F14-UPL-01
Meal: Meals physically uplifted on board - quantity vs menu checklist</v>
      </c>
      <c r="B46" s="120" t="str">
        <f aca="false">Checks!$K$476&amp;IF(Checks!$O$476="","",IF(Checks!$K$476="","",CHAR(10))&amp;"Note: "&amp;Checks!$O$476)</f>
        <v>Enter expected &amp; actual
Note: Confirm on board before departure; completion time must fall inside the uplift window.</v>
      </c>
      <c r="C46" s="120" t="str">
        <f aca="false">Checks!$N$476&amp;CHAR(10)&amp;IF(ISNUMBER(Checks!$R$476),TEXT(Checks!$R$476,"DD-MMM-YY HH:MM"),"")&amp;" "&amp;Checks!$P$476</f>
        <v>Required
15-Oct-26 09:50 KUL</v>
      </c>
      <c r="D46" s="120" t="str">
        <f aca="false">IF(TRIM(Checks!$U$476)&lt;&gt;"",Checks!$U$476&amp;IF(Checks!$AB$476="","",CHAR(10)&amp;"CA: "&amp;Checks!$AB$476),IF(LEFT(Checks!$AH$476,10)="N/A – RULE","","[ ] Pass"&amp;CHAR(10)&amp;"[ ] Pass after CA"&amp;CHAR(10)&amp;"[ ] Fail"&amp;IF(Checks!$AT$476=1,CHAR(10)&amp;"[ ] N/A","")&amp;CHAR(10)&amp;"CA: Open / Closed"))</f>
        <v>[ ] Pass
[ ] Pass after CA
[ ] Fail
CA: Open / Closed</v>
      </c>
      <c r="E46" s="120" t="str">
        <f aca="false">IF(Checks!$V$476="","",Checks!$V$476)&amp;IF(Checks!$AC$476="","",IF(Checks!$V$476="","",CHAR(10))&amp;"N/A just.: "&amp;Checks!$AC$476)&amp;IF(OR(Checks!$W$476&lt;&gt;"",AND(Checks!$AQ$476=1,NOT(LEFT(Checks!$AH$476,10)="N/A – RULE"))),CHAR(10)&amp;"Batch: "&amp;IF(Checks!$W$476="","____________",Checks!$W$476),"")&amp;IF(OR(Checks!$X$476&lt;&gt;"",Checks!$Y$476&lt;&gt;"",AND(Checks!$AR$476=1,NOT(LEFT(Checks!$AH$476,10)="N/A – RULE"))),CHAR(10)&amp;"Exp: "&amp;IF(Checks!$X$476="","______",Checks!$X$476)&amp;"  /  Act: "&amp;IF(Checks!$Y$476="","______",Checks!$Y$476),"")</f>
        <v>
Exp: ______  /  Act: ______</v>
      </c>
      <c r="F46" s="120" t="str">
        <f aca="false">IF(AND(LEFT(Checks!$AH$476,10)="N/A – RULE",TRIM(Checks!$S$476&amp;Checks!$Z$476)=""),"","Type: "&amp;IF(TRIM(Checks!$S$476)="","______________ (see cover list)",Checks!$S$476)&amp;CHAR(10)&amp;"ID: "&amp;IF(TRIM(Checks!$Z$476)="","______________ (record's own no.)",Checks!$Z$476))&amp;IF(Checks!$AA$476="","",CHAR(10)&amp;"CA: "&amp;Checks!$AA$476)</f>
        <v>Type: ______________ (see cover list)
ID: ______________ (record's own no.)</v>
      </c>
      <c r="G46" s="120" t="str">
        <f aca="false">IF(AND(LEFT(Checks!$AH$476,10)="N/A – RULE",NOT(ISNUMBER(Checks!$AD$476)),Checks!$AE$476="",Checks!$T$476=""),"","Done: "&amp;IF(ISNUMBER(Checks!$AD$476),TEXT(Checks!$AD$476,"DD-MMM-YY HH:MM"),"____________")&amp;" "&amp;Checks!$P$476&amp;CHAR(10)&amp;"Verifier: "&amp;IF(Checks!$AE$476="","____________",Checks!$AE$476)&amp;CHAR(10)&amp;"PIC: "&amp;IF(Checks!$T$476="","____________",Checks!$T$476))</f>
        <v>Done: ____________ KUL
Verifier: ____________
PIC: ____________</v>
      </c>
      <c r="H46" s="121" t="str">
        <f aca="false">IF(Checks!$AH$476="","",Checks!$AH$476)</f>
        <v>OPEN</v>
      </c>
    </row>
    <row r="47" customFormat="false" ht="114" hidden="false" customHeight="true" outlineLevel="0" collapsed="false">
      <c r="A47" s="120" t="str">
        <f aca="false">Checks!$A$477&amp;CHAR(10)&amp;IF(Checks!$I$477="","",Checks!$I$477&amp;": ")&amp;Checks!$J$477</f>
        <v>F14-UPL-02
Equipment: Equipment physically loaded at GLD positions - quantity &amp; positions</v>
      </c>
      <c r="B47" s="120" t="str">
        <f aca="false">Checks!$K$477&amp;IF(Checks!$O$477="","",IF(Checks!$K$477="","",CHAR(10))&amp;"Note: "&amp;Checks!$O$477)</f>
        <v>Enter expected &amp; actual
Note: Confirm on board before departure; completion time must fall inside the uplift window.</v>
      </c>
      <c r="C47" s="120" t="str">
        <f aca="false">Checks!$N$477&amp;CHAR(10)&amp;IF(ISNUMBER(Checks!$R$477),TEXT(Checks!$R$477,"DD-MMM-YY HH:MM"),"")&amp;" "&amp;Checks!$P$477</f>
        <v>Required
15-Oct-26 09:50 KUL</v>
      </c>
      <c r="D47" s="120" t="str">
        <f aca="false">IF(TRIM(Checks!$U$477)&lt;&gt;"",Checks!$U$477&amp;IF(Checks!$AB$477="","",CHAR(10)&amp;"CA: "&amp;Checks!$AB$477),IF(LEFT(Checks!$AH$477,10)="N/A – RULE","","[ ] Pass"&amp;CHAR(10)&amp;"[ ] Pass after CA"&amp;CHAR(10)&amp;"[ ] Fail"&amp;IF(Checks!$AT$477=1,CHAR(10)&amp;"[ ] N/A","")&amp;CHAR(10)&amp;"CA: Open / Closed"))</f>
        <v>[ ] Pass
[ ] Pass after CA
[ ] Fail
CA: Open / Closed</v>
      </c>
      <c r="E47" s="120" t="str">
        <f aca="false">IF(Checks!$V$477="","",Checks!$V$477)&amp;IF(Checks!$AC$477="","",IF(Checks!$V$477="","",CHAR(10))&amp;"N/A just.: "&amp;Checks!$AC$477)&amp;IF(OR(Checks!$W$477&lt;&gt;"",AND(Checks!$AQ$477=1,NOT(LEFT(Checks!$AH$477,10)="N/A – RULE"))),CHAR(10)&amp;"Batch: "&amp;IF(Checks!$W$477="","____________",Checks!$W$477),"")&amp;IF(OR(Checks!$X$477&lt;&gt;"",Checks!$Y$477&lt;&gt;"",AND(Checks!$AR$477=1,NOT(LEFT(Checks!$AH$477,10)="N/A – RULE"))),CHAR(10)&amp;"Exp: "&amp;IF(Checks!$X$477="","______",Checks!$X$477)&amp;"  /  Act: "&amp;IF(Checks!$Y$477="","______",Checks!$Y$477),"")</f>
        <v>
Exp: ______  /  Act: ______</v>
      </c>
      <c r="F47" s="120" t="str">
        <f aca="false">IF(AND(LEFT(Checks!$AH$477,10)="N/A – RULE",TRIM(Checks!$S$477&amp;Checks!$Z$477)=""),"","Type: "&amp;IF(TRIM(Checks!$S$477)="","______________ (see cover list)",Checks!$S$477)&amp;CHAR(10)&amp;"ID: "&amp;IF(TRIM(Checks!$Z$477)="","______________ (record's own no.)",Checks!$Z$477))&amp;IF(Checks!$AA$477="","",CHAR(10)&amp;"CA: "&amp;Checks!$AA$477)</f>
        <v>Type: ______________ (see cover list)
ID: ______________ (record's own no.)</v>
      </c>
      <c r="G47" s="120" t="str">
        <f aca="false">IF(AND(LEFT(Checks!$AH$477,10)="N/A – RULE",NOT(ISNUMBER(Checks!$AD$477)),Checks!$AE$477="",Checks!$T$477=""),"","Done: "&amp;IF(ISNUMBER(Checks!$AD$477),TEXT(Checks!$AD$477,"DD-MMM-YY HH:MM"),"____________")&amp;" "&amp;Checks!$P$477&amp;CHAR(10)&amp;"Verifier: "&amp;IF(Checks!$AE$477="","____________",Checks!$AE$477)&amp;CHAR(10)&amp;"PIC: "&amp;IF(Checks!$T$477="","____________",Checks!$T$477))</f>
        <v>Done: ____________ KUL
Verifier: ____________
PIC: ____________</v>
      </c>
      <c r="H47" s="121" t="str">
        <f aca="false">IF(Checks!$AH$477="","",Checks!$AH$477)</f>
        <v>OPEN</v>
      </c>
    </row>
    <row r="48" customFormat="false" ht="279" hidden="false" customHeight="true" outlineLevel="0" collapsed="false">
      <c r="A48" s="120" t="str">
        <f aca="false">Checks!$A$478&amp;CHAR(10)&amp;IF(Checks!$I$478="","",Checks!$I$478&amp;": ")&amp;Checks!$J$478</f>
        <v>F14-UPL-03
Amenities: Toiletry kits - on board</v>
      </c>
      <c r="B48" s="120" t="str">
        <f aca="false">SUBSTITUTE(SUBSTITUTE(Checks!$K$478&amp;IF(Checks!$O$478="","",IF(Checks!$K$478="","",CHAR(10))&amp;"Note: "&amp;Checks!$O$478),"A350 row AMENITIES!C12","The A350 row of the AMENITIES reference"),"(general row C11: uplift stn H11 = ","(general row: uplift stn ")</f>
        <v>Available (ticked in reference)
Note: The A350 row of the AMENITIES reference names LHR as the toiletry-kit uplift stn, but this leg departs KUL (general row: uplift stn KUL). Confirm where toiletry kits for this KUL-LHR EY leg are uplifted; if at LHR they travel on the inbound LHR-KUL sector and must be verified at KUL before this departure. The reference also does not state the cabin class for toiletry kits: confirm whether EY receives them.</v>
      </c>
      <c r="C48" s="120" t="str">
        <f aca="false">Checks!$N$478&amp;CHAR(10)&amp;IF(ISNUMBER(Checks!$R$478),TEXT(Checks!$R$478,"DD-MMM-YY HH:MM"),"")&amp;" "&amp;Checks!$P$478</f>
        <v>Clarification required
15-Oct-26 09:50 KUL</v>
      </c>
      <c r="D48" s="120" t="str">
        <f aca="false">IF(TRIM(Checks!$U$478)&lt;&gt;"",Checks!$U$478&amp;IF(Checks!$AB$478="","",CHAR(10)&amp;"CA: "&amp;Checks!$AB$478),IF(LEFT(Checks!$AH$478,10)="N/A – RULE","","[ ] Pass"&amp;CHAR(10)&amp;"[ ] Pass after CA"&amp;CHAR(10)&amp;"[ ] Fail"&amp;IF(Checks!$AT$478=1,CHAR(10)&amp;"[ ] N/A","")&amp;CHAR(10)&amp;"CA: Open / Closed"))</f>
        <v>[ ] Pass
[ ] Pass after CA
[ ] Fail
[ ] N/A
CA: Open / Closed</v>
      </c>
      <c r="E48" s="120" t="str">
        <f aca="false">IF(Checks!$V$478="","",Checks!$V$478)&amp;IF(Checks!$AC$478="","",IF(Checks!$V$478="","",CHAR(10))&amp;"N/A just.: "&amp;Checks!$AC$478)&amp;IF(OR(Checks!$W$478&lt;&gt;"",AND(Checks!$AQ$478=1,NOT(LEFT(Checks!$AH$478,10)="N/A – RULE"))),CHAR(10)&amp;"Batch: "&amp;IF(Checks!$W$478="","____________",Checks!$W$478),"")&amp;IF(OR(Checks!$X$478&lt;&gt;"",Checks!$Y$478&lt;&gt;"",AND(Checks!$AR$478=1,NOT(LEFT(Checks!$AH$478,10)="N/A – RULE"))),CHAR(10)&amp;"Exp: "&amp;IF(Checks!$X$478="","______",Checks!$X$478)&amp;"  /  Act: "&amp;IF(Checks!$Y$478="","______",Checks!$Y$478),"")</f>
        <v/>
      </c>
      <c r="F48" s="120" t="str">
        <f aca="false">IF(AND(LEFT(Checks!$AH$478,10)="N/A – RULE",TRIM(Checks!$S$478&amp;Checks!$Z$478)=""),"","Type: "&amp;IF(TRIM(Checks!$S$478)="","______________ (see cover list)",Checks!$S$478)&amp;CHAR(10)&amp;"ID: "&amp;IF(TRIM(Checks!$Z$478)="","______________ (record's own no.)",Checks!$Z$478))&amp;IF(Checks!$AA$478="","",CHAR(10)&amp;"CA: "&amp;Checks!$AA$478)</f>
        <v>Type: ______________ (see cover list)
ID: ______________ (record's own no.)</v>
      </c>
      <c r="G48" s="120" t="str">
        <f aca="false">IF(AND(LEFT(Checks!$AH$478,10)="N/A – RULE",NOT(ISNUMBER(Checks!$AD$478)),Checks!$AE$478="",Checks!$T$478=""),"","Done: "&amp;IF(ISNUMBER(Checks!$AD$478),TEXT(Checks!$AD$478,"DD-MMM-YY HH:MM"),"____________")&amp;" "&amp;Checks!$P$478&amp;CHAR(10)&amp;"Verifier: "&amp;IF(Checks!$AE$478="","____________",Checks!$AE$478)&amp;CHAR(10)&amp;"PIC: "&amp;IF(Checks!$T$478="","____________",Checks!$T$478))</f>
        <v>Done: ____________ KUL
Verifier: ____________
PIC: ____________</v>
      </c>
      <c r="H48" s="121" t="str">
        <f aca="false">IF(Checks!$AH$478="","",Checks!$AH$478)</f>
        <v>OPEN – CLARIFICATION</v>
      </c>
    </row>
    <row r="49" customFormat="false" ht="114" hidden="false" customHeight="true" outlineLevel="0" collapsed="false">
      <c r="A49" s="120" t="str">
        <f aca="false">Checks!$A$479&amp;CHAR(10)&amp;IF(Checks!$I$479="","",Checks!$I$479&amp;": ")&amp;Checks!$J$479</f>
        <v>F14-UPL-04
Seat Linen: Seat pillow (EY) - on board</v>
      </c>
      <c r="B49" s="120" t="str">
        <f aca="false">Checks!$K$479&amp;IF(Checks!$O$479="","",IF(Checks!$K$479="","",CHAR(10))&amp;"Note: "&amp;Checks!$O$479)</f>
        <v>Available 100% (ticked in reference)</v>
      </c>
      <c r="C49" s="120" t="str">
        <f aca="false">Checks!$N$479&amp;CHAR(10)&amp;IF(ISNUMBER(Checks!$R$479),TEXT(Checks!$R$479,"DD-MMM-YY HH:MM"),"")&amp;" "&amp;Checks!$P$479</f>
        <v>Required
15-Oct-26 09:50 KUL</v>
      </c>
      <c r="D49" s="120" t="str">
        <f aca="false">IF(TRIM(Checks!$U$479)&lt;&gt;"",Checks!$U$479&amp;IF(Checks!$AB$479="","",CHAR(10)&amp;"CA: "&amp;Checks!$AB$479),IF(LEFT(Checks!$AH$479,10)="N/A – RULE","","[ ] Pass"&amp;CHAR(10)&amp;"[ ] Pass after CA"&amp;CHAR(10)&amp;"[ ] Fail"&amp;IF(Checks!$AT$479=1,CHAR(10)&amp;"[ ] N/A","")&amp;CHAR(10)&amp;"CA: Open / Closed"))</f>
        <v>[ ] Pass
[ ] Pass after CA
[ ] Fail
CA: Open / Closed</v>
      </c>
      <c r="E49" s="120" t="str">
        <f aca="false">IF(Checks!$V$479="","",Checks!$V$479)&amp;IF(Checks!$AC$479="","",IF(Checks!$V$479="","",CHAR(10))&amp;"N/A just.: "&amp;Checks!$AC$479)&amp;IF(OR(Checks!$W$479&lt;&gt;"",AND(Checks!$AQ$479=1,NOT(LEFT(Checks!$AH$479,10)="N/A – RULE"))),CHAR(10)&amp;"Batch: "&amp;IF(Checks!$W$479="","____________",Checks!$W$479),"")&amp;IF(OR(Checks!$X$479&lt;&gt;"",Checks!$Y$479&lt;&gt;"",AND(Checks!$AR$479=1,NOT(LEFT(Checks!$AH$479,10)="N/A – RULE"))),CHAR(10)&amp;"Exp: "&amp;IF(Checks!$X$479="","______",Checks!$X$479)&amp;"  /  Act: "&amp;IF(Checks!$Y$479="","______",Checks!$Y$479),"")</f>
        <v/>
      </c>
      <c r="F49" s="120" t="str">
        <f aca="false">IF(AND(LEFT(Checks!$AH$479,10)="N/A – RULE",TRIM(Checks!$S$479&amp;Checks!$Z$479)=""),"","Type: "&amp;IF(TRIM(Checks!$S$479)="","______________ (see cover list)",Checks!$S$479)&amp;CHAR(10)&amp;"ID: "&amp;IF(TRIM(Checks!$Z$479)="","______________ (record's own no.)",Checks!$Z$479))&amp;IF(Checks!$AA$479="","",CHAR(10)&amp;"CA: "&amp;Checks!$AA$479)</f>
        <v>Type: ______________ (see cover list)
ID: ______________ (record's own no.)</v>
      </c>
      <c r="G49" s="120" t="str">
        <f aca="false">IF(AND(LEFT(Checks!$AH$479,10)="N/A – RULE",NOT(ISNUMBER(Checks!$AD$479)),Checks!$AE$479="",Checks!$T$479=""),"","Done: "&amp;IF(ISNUMBER(Checks!$AD$479),TEXT(Checks!$AD$479,"DD-MMM-YY HH:MM"),"____________")&amp;" "&amp;Checks!$P$479&amp;CHAR(10)&amp;"Verifier: "&amp;IF(Checks!$AE$479="","____________",Checks!$AE$479)&amp;CHAR(10)&amp;"PIC: "&amp;IF(Checks!$T$479="","____________",Checks!$T$479))</f>
        <v>Done: ____________ KUL
Verifier: ____________
PIC: ____________</v>
      </c>
      <c r="H49" s="121" t="str">
        <f aca="false">IF(Checks!$AH$479="","",Checks!$AH$479)</f>
        <v>OPEN</v>
      </c>
    </row>
    <row r="50" customFormat="false" ht="124.5" hidden="false" customHeight="true" outlineLevel="0" collapsed="false">
      <c r="A50" s="120" t="str">
        <f aca="false">Checks!$A$480&amp;CHAR(10)&amp;IF(Checks!$I$480="","",Checks!$I$480&amp;": ")&amp;Checks!$J$480</f>
        <v>F14-UPL-05
Seat Linen: Blanket (EY) - on board</v>
      </c>
      <c r="B50" s="120" t="str">
        <f aca="false">SUBSTITUTE(SUBSTITUTE(SUBSTITUTE(Checks!$K$480&amp;IF(Checks!$O$480="","",IF(Checks!$K$480="","",CHAR(10))&amp;"Note: "&amp;Checks!$O$480)," (SEAT LINEN!B74:C74)","")," (SEAT LINEN!B76:C76)","")," (SEAT LINEN!B77:C77)","")</f>
        <v>Available 100% (ticked in reference); qty 280 (A350 9M-MAH) / 260 (A359) - per tail
Note: EY blanket: flight above 3 hours excl. Regional; block 13.75 h. Qty per tail: A350 280 pcs, A359 260 pcs.</v>
      </c>
      <c r="C50" s="120" t="str">
        <f aca="false">Checks!$N$480&amp;CHAR(10)&amp;IF(ISNUMBER(Checks!$R$480),TEXT(Checks!$R$480,"DD-MMM-YY HH:MM"),"")&amp;" "&amp;Checks!$P$480</f>
        <v>Required
15-Oct-26 09:50 KUL</v>
      </c>
      <c r="D50" s="120" t="str">
        <f aca="false">IF(TRIM(Checks!$U$480)&lt;&gt;"",Checks!$U$480&amp;IF(Checks!$AB$480="","",CHAR(10)&amp;"CA: "&amp;Checks!$AB$480),IF(LEFT(Checks!$AH$480,10)="N/A – RULE","","[ ] Pass"&amp;CHAR(10)&amp;"[ ] Pass after CA"&amp;CHAR(10)&amp;"[ ] Fail"&amp;IF(Checks!$AT$480=1,CHAR(10)&amp;"[ ] N/A","")&amp;CHAR(10)&amp;"CA: Open / Closed"))</f>
        <v>[ ] Pass
[ ] Pass after CA
[ ] Fail
CA: Open / Closed</v>
      </c>
      <c r="E50" s="120" t="str">
        <f aca="false">IF(Checks!$V$480="","",Checks!$V$480)&amp;IF(Checks!$AC$480="","",IF(Checks!$V$480="","",CHAR(10))&amp;"N/A just.: "&amp;Checks!$AC$480)&amp;IF(OR(Checks!$W$480&lt;&gt;"",AND(Checks!$AQ$480=1,NOT(LEFT(Checks!$AH$480,10)="N/A – RULE"))),CHAR(10)&amp;"Batch: "&amp;IF(Checks!$W$480="","____________",Checks!$W$480),"")&amp;IF(OR(Checks!$X$480&lt;&gt;"",Checks!$Y$480&lt;&gt;"",AND(Checks!$AR$480=1,NOT(LEFT(Checks!$AH$480,10)="N/A – RULE"))),CHAR(10)&amp;"Exp: "&amp;IF(Checks!$X$480="","______",Checks!$X$480)&amp;"  /  Act: "&amp;IF(Checks!$Y$480="","______",Checks!$Y$480),"")</f>
        <v>
Exp: ______  /  Act: ______</v>
      </c>
      <c r="F50" s="120" t="str">
        <f aca="false">IF(AND(LEFT(Checks!$AH$480,10)="N/A – RULE",TRIM(Checks!$S$480&amp;Checks!$Z$480)=""),"","Type: "&amp;IF(TRIM(Checks!$S$480)="","______________ (see cover list)",Checks!$S$480)&amp;CHAR(10)&amp;"ID: "&amp;IF(TRIM(Checks!$Z$480)="","______________ (record's own no.)",Checks!$Z$480))&amp;IF(Checks!$AA$480="","",CHAR(10)&amp;"CA: "&amp;Checks!$AA$480)</f>
        <v>Type: ______________ (see cover list)
ID: ______________ (record's own no.)</v>
      </c>
      <c r="G50" s="120" t="str">
        <f aca="false">IF(AND(LEFT(Checks!$AH$480,10)="N/A – RULE",NOT(ISNUMBER(Checks!$AD$480)),Checks!$AE$480="",Checks!$T$480=""),"","Done: "&amp;IF(ISNUMBER(Checks!$AD$480),TEXT(Checks!$AD$480,"DD-MMM-YY HH:MM"),"____________")&amp;" "&amp;Checks!$P$480&amp;CHAR(10)&amp;"Verifier: "&amp;IF(Checks!$AE$480="","____________",Checks!$AE$480)&amp;CHAR(10)&amp;"PIC: "&amp;IF(Checks!$T$480="","____________",Checks!$T$480))</f>
        <v>Done: ____________ KUL
Verifier: ____________
PIC: ____________</v>
      </c>
      <c r="H50" s="121" t="str">
        <f aca="false">IF(Checks!$AH$480="","",Checks!$AH$480)</f>
        <v>OPEN</v>
      </c>
    </row>
    <row r="52" customFormat="false" ht="24" hidden="false" customHeight="true" outlineLevel="0" collapsed="false">
      <c r="A52" s="122" t="s">
        <v>4832</v>
      </c>
      <c r="B52" s="122"/>
      <c r="C52" s="122"/>
      <c r="D52" s="122"/>
      <c r="E52" s="122" t="s">
        <v>4833</v>
      </c>
      <c r="F52" s="122"/>
      <c r="G52" s="122"/>
      <c r="H52" s="122"/>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row r="59" customFormat="false" ht="21.75" hidden="false" customHeight="true" outlineLevel="0" collapsed="false">
      <c r="A59" s="123"/>
      <c r="B59" s="123"/>
      <c r="C59" s="123"/>
      <c r="D59" s="123"/>
      <c r="E59" s="123"/>
      <c r="F59" s="123"/>
      <c r="G59" s="123"/>
      <c r="H59" s="123"/>
    </row>
    <row r="60" customFormat="false" ht="21.75" hidden="false" customHeight="true" outlineLevel="0" collapsed="false">
      <c r="A60" s="123"/>
      <c r="B60" s="123"/>
      <c r="C60" s="123"/>
      <c r="D60" s="123"/>
      <c r="E60" s="123"/>
      <c r="F60" s="123"/>
      <c r="G60" s="123"/>
      <c r="H60" s="123"/>
    </row>
    <row r="61" customFormat="false" ht="21.75" hidden="false" customHeight="true" outlineLevel="0" collapsed="false">
      <c r="A61" s="123"/>
      <c r="B61" s="123"/>
      <c r="C61" s="123"/>
      <c r="D61" s="123"/>
      <c r="E61" s="123"/>
      <c r="F61" s="123"/>
      <c r="G61" s="123"/>
      <c r="H61" s="123"/>
    </row>
    <row r="62" customFormat="false" ht="21.75" hidden="false" customHeight="true" outlineLevel="0" collapsed="false">
      <c r="A62" s="123"/>
      <c r="B62" s="123"/>
      <c r="C62" s="123"/>
      <c r="D62" s="123"/>
      <c r="E62" s="123"/>
      <c r="F62" s="123"/>
      <c r="G62" s="123"/>
      <c r="H62"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45:H45"/>
    <mergeCell ref="A52:D52"/>
    <mergeCell ref="E52:H52"/>
    <mergeCell ref="A53:D62"/>
    <mergeCell ref="E53:H62"/>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50">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50">
    <cfRule type="expression" priority="18" aboveAverage="0" equalAverage="0" bottom="0" percent="0" rank="0" text="" dxfId="35">
      <formula>LEFT($H23,3)="N/A"</formula>
    </cfRule>
  </conditionalFormatting>
  <conditionalFormatting sqref="D23:D50">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F14 MH0004 15-Oct-26 KUL-LHR Class EY</oddHeader>
    <oddFooter>&amp;L&amp;"Arial,Bold"&amp;8 F14 MH0004 15-Oct-26 KUL-LHR Class EY&amp;C&amp;"Arial,Regular"&amp;8 Printed: ____________________&amp;R&amp;"Arial,Regular"&amp;8 F14  Page &amp;P of &amp;N</oddFooter>
  </headerFooter>
  <rowBreaks count="9" manualBreakCount="9">
    <brk id="20" man="true" max="16383" min="0"/>
    <brk id="26" man="true" max="16383" min="0"/>
    <brk id="30" man="true" max="16383" min="0"/>
    <brk id="35" man="true" max="16383" min="0"/>
    <brk id="39" man="true" max="16383" min="0"/>
    <brk id="41" man="true" max="16383" min="0"/>
    <brk id="43" man="true" max="16383" min="0"/>
    <brk id="47" man="true" max="16383" min="0"/>
    <brk id="49" man="true" max="16383" min="0"/>
  </row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F15  "&amp;Flights!$F$19&amp;"  "&amp;TEXT(Flights!$D$19,"DD-MMM-YY")&amp;" ("&amp;Flights!$E$19&amp;")  "&amp;Flights!$G$19&amp;" → "&amp;Flights!$H$19&amp;"  |  Class "&amp;Flights!$K$19</f>
        <v>SKYTRAX 2026 CATERING READINESS CHECKLIST  |  F15  MH0003  25-Oct-26 (SUN)  LHR → KUL  |  Class EY</v>
      </c>
      <c r="B1" s="93"/>
      <c r="C1" s="93"/>
      <c r="D1" s="93"/>
      <c r="E1" s="93"/>
      <c r="F1" s="93"/>
      <c r="G1" s="93"/>
      <c r="H1" s="93"/>
    </row>
    <row r="2" customFormat="false" ht="12.75" hidden="false" customHeight="true" outlineLevel="0" collapsed="false">
      <c r="A2" s="94" t="s">
        <v>4788</v>
      </c>
      <c r="B2" s="95" t="str">
        <f aca="false">Flights!$F$19&amp;"   "&amp;TEXT(Flights!$D$19,"DD-MMM-YY")&amp;" ("&amp;Flights!$E$19&amp;")"</f>
        <v>MH0003   25-Oct-26 (SUN)</v>
      </c>
      <c r="C2" s="95"/>
      <c r="D2" s="95"/>
      <c r="E2" s="96" t="s">
        <v>4789</v>
      </c>
      <c r="F2" s="97" t="str">
        <f aca="false">Flights!$AT$19</f>
        <v>NOT READY – DOCUMENTS</v>
      </c>
      <c r="G2" s="97"/>
      <c r="H2" s="97"/>
    </row>
    <row r="3" customFormat="false" ht="24" hidden="false" customHeight="true" outlineLevel="0" collapsed="false">
      <c r="A3" s="94" t="s">
        <v>4790</v>
      </c>
      <c r="B3" s="95" t="str">
        <f aca="false">Flights!$G$19&amp;" → "&amp;Flights!$H$19&amp;"   Class "&amp;Flights!$K$19&amp;"   Seat "&amp;Flights!$O$19</f>
        <v>LHR → KUL   Class EY   Seat 12H</v>
      </c>
      <c r="C3" s="95"/>
      <c r="D3" s="95"/>
      <c r="E3" s="96" t="s">
        <v>73</v>
      </c>
      <c r="F3" s="96" t="s">
        <v>4791</v>
      </c>
      <c r="G3" s="96" t="s">
        <v>4792</v>
      </c>
      <c r="H3" s="96"/>
    </row>
    <row r="4" customFormat="false" ht="24" hidden="false" customHeight="true" outlineLevel="0" collapsed="false">
      <c r="A4" s="94" t="s">
        <v>4793</v>
      </c>
      <c r="B4" s="95" t="str">
        <f aca="false">IF(ISNUMBER(Flights!$I$19),TEXT(Flights!$I$19,"DD-MMM-YY HH:MM"),"")&amp;" "&amp;Flights!$G$19&amp;"  →  "&amp;IF(ISNUMBER(Flights!$J$19),TEXT(Flights!$J$19,"DD-MMM-YY HH:MM"),"")&amp;" "&amp;Flights!$H$19</f>
        <v>25-Oct-26 11:00 LHR  →  26-Oct-26 06:45 KUL</v>
      </c>
      <c r="C4" s="95"/>
      <c r="D4" s="95"/>
      <c r="E4" s="94" t="s">
        <v>4794</v>
      </c>
      <c r="F4" s="98" t="str">
        <f aca="false">IF(ISNUMBER(Flights!$AG$19),TEXT(Flights!$AG$19,"DD-MMM-YY HH:MM"),"")&amp;" "&amp;Flights!$V$19</f>
        <v>18-Oct-26 12:00 LHR</v>
      </c>
      <c r="G4" s="99" t="n">
        <f aca="false">Flights!$AJ$19</f>
        <v>0</v>
      </c>
      <c r="H4" s="99"/>
    </row>
    <row r="5" customFormat="false" ht="24" hidden="false" customHeight="true" outlineLevel="0" collapsed="false">
      <c r="A5" s="94" t="s">
        <v>4795</v>
      </c>
      <c r="B5" s="95" t="str">
        <f aca="false">Flights!$L$19&amp;" – "&amp;Flights!$M$19</f>
        <v>A350 – A350-900: A359 (9M-MAB..MAG) or A350 (9M-MAH) - tail to confirm</v>
      </c>
      <c r="C5" s="95"/>
      <c r="D5" s="95"/>
      <c r="E5" s="94" t="s">
        <v>4796</v>
      </c>
      <c r="F5" s="98" t="str">
        <f aca="false">IF(ISNUMBER(Flights!$AH$19),TEXT(Flights!$AH$19,"DD-MMM-YY HH:MM"),"")&amp;" "&amp;Flights!$V$19</f>
        <v>24-Oct-26 12:00 LHR</v>
      </c>
      <c r="G5" s="99" t="n">
        <f aca="false">Flights!$AK$19</f>
        <v>0</v>
      </c>
      <c r="H5" s="99"/>
    </row>
    <row r="6" customFormat="false" ht="24" hidden="false" customHeight="true" outlineLevel="0" collapsed="false">
      <c r="A6" s="94" t="s">
        <v>4797</v>
      </c>
      <c r="B6" s="95" t="str">
        <f aca="false">IF(TRIM(Flights!$N$19)="","__________________",Flights!$N$19)</f>
        <v>__________________</v>
      </c>
      <c r="C6" s="95"/>
      <c r="D6" s="95"/>
      <c r="E6" s="94" t="s">
        <v>4798</v>
      </c>
      <c r="F6" s="98" t="str">
        <f aca="false">IF(ISNUMBER(Flights!$AI$19),TEXT(Flights!$AI$19,"DD-MMM-YY HH:MM"),"")&amp;" "&amp;Flights!$V$19&amp;IF(Flights!$AI$19=Flights!$AH$19,"  (= T-24H due)","")</f>
        <v>25-Oct-26 00:00 LHR</v>
      </c>
      <c r="G6" s="99" t="n">
        <f aca="false">Flights!$AL$19</f>
        <v>0</v>
      </c>
      <c r="H6" s="99"/>
    </row>
    <row r="7" customFormat="false" ht="24" hidden="false" customHeight="true" outlineLevel="0" collapsed="false">
      <c r="A7" s="94" t="s">
        <v>4799</v>
      </c>
      <c r="B7" s="95" t="str">
        <f aca="false">Flights!$T$19</f>
        <v>2.5 Meal (Meal)</v>
      </c>
      <c r="C7" s="95"/>
      <c r="D7" s="95"/>
      <c r="E7" s="94" t="s">
        <v>4800</v>
      </c>
      <c r="F7" s="98" t="str">
        <f aca="false">"STD "&amp;IF(ISNUMBER(Flights!$I$19),TEXT(Flights!$I$19,"DD-MMM-YY HH:MM"),"")&amp;" "&amp;Flights!$G$19&amp;" (dep stn)"</f>
        <v>STD 25-Oct-26 11:00 LHR (dep stn)</v>
      </c>
      <c r="G7" s="99" t="n">
        <f aca="false">Flights!$AM$19</f>
        <v>0</v>
      </c>
      <c r="H7" s="99"/>
    </row>
    <row r="8" customFormat="false" ht="12.75" hidden="false" customHeight="true" outlineLevel="0" collapsed="false">
      <c r="A8" s="94" t="s">
        <v>155</v>
      </c>
      <c r="B8" s="95" t="str">
        <f aca="false">Flights!$V$19&amp;"   (reference uplift stns: "&amp;Flights!$U$19&amp;")"</f>
        <v>LHR   (reference uplift stns: KUL/LHR)</v>
      </c>
      <c r="C8" s="95"/>
      <c r="D8" s="95"/>
      <c r="E8" s="94" t="s">
        <v>4801</v>
      </c>
      <c r="F8" s="100" t="s">
        <v>4802</v>
      </c>
      <c r="G8" s="99" t="n">
        <f aca="false">Flights!$AN$19</f>
        <v>0</v>
      </c>
      <c r="H8" s="99"/>
    </row>
    <row r="9" customFormat="false" ht="12.75" hidden="false" customHeight="true" outlineLevel="0" collapsed="false">
      <c r="A9" s="94" t="s">
        <v>4803</v>
      </c>
      <c r="B9" s="95" t="str">
        <f aca="false">TRIM(Flights!$P$19&amp;"  "&amp;Flights!$Q$19)</f>
        <v>-</v>
      </c>
      <c r="C9" s="95"/>
      <c r="D9" s="95"/>
      <c r="E9" s="94" t="s">
        <v>4804</v>
      </c>
      <c r="F9" s="101" t="n">
        <f aca="false">Flights!$AP$19</f>
        <v>0</v>
      </c>
      <c r="G9" s="102" t="n">
        <f aca="false">Flights!$AQ$19</f>
        <v>0</v>
      </c>
      <c r="H9" s="103" t="n">
        <f aca="false">Flights!$AU$19</f>
        <v>0</v>
      </c>
    </row>
    <row r="10" customFormat="false" ht="24" hidden="false" customHeight="true" outlineLevel="0" collapsed="false">
      <c r="A10" s="94" t="s">
        <v>4805</v>
      </c>
      <c r="B10" s="95" t="str">
        <f aca="false">IF(TRIM(Flights!$X$19)="","__________________",Flights!$X$19)</f>
        <v>__________________</v>
      </c>
      <c r="C10" s="95"/>
      <c r="D10" s="95"/>
      <c r="E10" s="94" t="s">
        <v>4806</v>
      </c>
      <c r="F10" s="104" t="n">
        <f aca="false">Flights!$AO$19</f>
        <v>24</v>
      </c>
      <c r="G10" s="105" t="n">
        <f aca="false">Flights!$AS$19</f>
        <v>2</v>
      </c>
      <c r="H10" s="106" t="n">
        <f aca="false">Flights!$AR$19</f>
        <v>2</v>
      </c>
    </row>
    <row r="11" customFormat="false" ht="21" hidden="false" customHeight="true" outlineLevel="0" collapsed="false">
      <c r="A11" s="94" t="s">
        <v>4807</v>
      </c>
      <c r="B11" s="95" t="str">
        <f aca="false">IF(TRIM(Flights!$Y$19)="","__________________",Flights!$Y$19)</f>
        <v>__________________</v>
      </c>
      <c r="C11" s="95"/>
      <c r="D11" s="95"/>
      <c r="E11" s="94" t="s">
        <v>4808</v>
      </c>
      <c r="F11" s="97" t="str">
        <f aca="false">Flights!$AV$19&amp;" / "&amp;Flights!$AW$19</f>
        <v>0 / 24</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IF(Documents!$F$19="","",Documents!$F$19)</f>
        <v/>
      </c>
      <c r="C15" s="100" t="str">
        <f aca="false">IF(Documents!$G$19="","",Documents!$G$19)&amp;IF(ISNUMBER(Documents!$H$19),"  "&amp;TEXT(Documents!$H$19,"DD-MMM-YY"),"")</f>
        <v/>
      </c>
      <c r="D15" s="100"/>
      <c r="E15" s="114" t="str">
        <f aca="false">IF(Documents!$J$19="OUTSTANDING","OUTSTANDING – attach before T-7D (due "&amp;IF(ISNUMBER(Flights!$AG$19),TEXT(Flights!$AG$19,"DD-MMM-YY HH:MM"),"")&amp;" "&amp;Flights!$V$19&amp;")",IF(Documents!$J$19="","Status not recorded",Documents!$J$19))</f>
        <v>OUTSTANDING – attach before T-7D (due 18-Oct-26 12:00 LHR)</v>
      </c>
      <c r="F15" s="115" t="str">
        <f aca="false">"Staple behind this sheet as page A1."&amp;IF(Documents!$I$19="",""," Location: "&amp;Documents!$I$19)</f>
        <v>Staple behind this sheet as page A1.</v>
      </c>
      <c r="G15" s="115"/>
      <c r="H15" s="115"/>
    </row>
    <row r="16" customFormat="false" ht="36" hidden="false" customHeight="true" outlineLevel="0" collapsed="false">
      <c r="A16" s="94" t="s">
        <v>4819</v>
      </c>
      <c r="B16" s="95" t="str">
        <f aca="false">IF(Documents!$K$19="","",Documents!$K$19)</f>
        <v/>
      </c>
      <c r="C16" s="100" t="str">
        <f aca="false">IF(Documents!$L$19="","",Documents!$L$19)&amp;IF(ISNUMBER(Documents!$M$19),"  "&amp;TEXT(Documents!$M$19,"DD-MMM-YY"),"")</f>
        <v/>
      </c>
      <c r="D16" s="100"/>
      <c r="E16" s="114" t="str">
        <f aca="false">IF(Documents!$O$19="OUTSTANDING","OUTSTANDING – attach before T-7D (due "&amp;IF(ISNUMBER(Flights!$AG$19),TEXT(Flights!$AG$19,"DD-MMM-YY HH:MM"),"")&amp;" "&amp;Flights!$V$19&amp;")",IF(Documents!$O$19="","Status not recorded",Documents!$O$19))</f>
        <v>OUTSTANDING – attach before T-7D (due 18-Oct-26 12:00 LHR)</v>
      </c>
      <c r="F16" s="115" t="str">
        <f aca="false">"Staple behind this sheet as page A2."&amp;IF(Documents!$N$19="",""," Location: "&amp;Documents!$N$19)</f>
        <v>Staple behind this sheet as page A2.</v>
      </c>
      <c r="G16" s="115"/>
      <c r="H16" s="115"/>
    </row>
    <row r="17" customFormat="false" ht="22.5" hidden="false" customHeight="true" outlineLevel="0" collapsed="false">
      <c r="A17" s="94" t="s">
        <v>4820</v>
      </c>
      <c r="B17" s="116" t="str">
        <f aca="false">IF(Documents!$Q$19="","",Documents!$Q$19)</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"&amp;IF(TRIM(Flights!$Y$19)="","__________________",Flights!$Y$19)</f>
        <v>Name: __________________</v>
      </c>
      <c r="B19" s="95"/>
      <c r="C19" s="95" t="str">
        <f aca="false">"Name: __________________"</f>
        <v>Name: __________________</v>
      </c>
      <c r="D19" s="95"/>
      <c r="E19" s="95"/>
      <c r="F19" s="95" t="str">
        <f aca="false">"Name: __________________"&amp;"   Station: "&amp;Flights!$V$19</f>
        <v>Name: __________________   Station: LHR</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"&amp;IF(ISNUMBER(Flights!$AG$19),TEXT(Flights!$AG$19,"DD-MMM-YY HH:MM"),"")&amp;" "&amp;Flights!$V$19&amp;" (meal uplift stn)"&amp;" (rows with another due show their own)  |  Complete "&amp;IF(ISNUMBER(Flights!$AJ$19),TEXT(Flights!$AJ$19,"0%"),Flights!$AJ$19)&amp;"  |  9 lines"</f>
        <v>T-7D — 7 days before departure  |  Due 18-Oct-26 12:00 LHR (meal uplift stn) (rows with another due show their own)  |  Complete 0%  |  9 lines</v>
      </c>
      <c r="B22" s="119"/>
      <c r="C22" s="119"/>
      <c r="D22" s="119"/>
      <c r="E22" s="119"/>
      <c r="F22" s="119"/>
      <c r="G22" s="119"/>
      <c r="H22" s="119"/>
    </row>
    <row r="23" customFormat="false" ht="135.75" hidden="false" customHeight="true" outlineLevel="0" collapsed="false">
      <c r="A23" s="120" t="str">
        <f aca="false">Checks!$A$481&amp;CHAR(10)&amp;IF(Checks!$I$481="","",Checks!$I$481&amp;": ")&amp;Checks!$J$481</f>
        <v>F15-T7-01
Meal: Meal sensory testing completed for this flight's menu cycle (assessed class)</v>
      </c>
      <c r="B23" s="120" t="str">
        <f aca="false">Checks!$K$481&amp;IF(Checks!$O$481="","",IF(Checks!$K$481="","",CHAR(10))&amp;"Note: "&amp;Checks!$O$481)</f>
        <v>Record panel result / score in Result
Note: Clock change: LHR local time changes between this due time and departure, so the due time shows a different clock hour than STD (168 h before STD is still correct).</v>
      </c>
      <c r="C23" s="120" t="str">
        <f aca="false">Checks!$N$481&amp;CHAR(10)&amp;IF(ISNUMBER(Checks!$R$481),TEXT(Checks!$R$481,"DD-MMM-YY HH:MM"),"")&amp;" "&amp;Checks!$P$481</f>
        <v>Required
18-Oct-26 12:00 LHR</v>
      </c>
      <c r="D23" s="120" t="str">
        <f aca="false">IF(TRIM(Checks!$U$481)&lt;&gt;"",Checks!$U$481&amp;IF(Checks!$AB$481="","",CHAR(10)&amp;"CA: "&amp;Checks!$AB$481),IF(LEFT(Checks!$AH$481,10)="N/A – RULE","","[ ] Pass"&amp;CHAR(10)&amp;"[ ] Pass after CA"&amp;CHAR(10)&amp;"[ ] Fail"&amp;IF(Checks!$AT$481=1,CHAR(10)&amp;"[ ] N/A","")&amp;CHAR(10)&amp;"CA: Open / Closed"))</f>
        <v>[ ] Pass
[ ] Pass after CA
[ ] Fail
CA: Open / Closed</v>
      </c>
      <c r="E23" s="120" t="str">
        <f aca="false">IF(Checks!$V$481="","",Checks!$V$481)&amp;IF(Checks!$AC$481="","",IF(Checks!$V$481="","",CHAR(10))&amp;"N/A just.: "&amp;Checks!$AC$481)&amp;IF(OR(Checks!$W$481&lt;&gt;"",AND(Checks!$AQ$481=1,NOT(LEFT(Checks!$AH$481,10)="N/A – RULE"))),CHAR(10)&amp;"Batch: "&amp;IF(Checks!$W$481="","____________",Checks!$W$481),"")&amp;IF(OR(Checks!$X$481&lt;&gt;"",Checks!$Y$481&lt;&gt;"",AND(Checks!$AR$481=1,NOT(LEFT(Checks!$AH$481,10)="N/A – RULE"))),CHAR(10)&amp;"Exp: "&amp;IF(Checks!$X$481="","______",Checks!$X$481)&amp;"  /  Act: "&amp;IF(Checks!$Y$481="","______",Checks!$Y$481),"")</f>
        <v/>
      </c>
      <c r="F23" s="120" t="str">
        <f aca="false">IF(AND(LEFT(Checks!$AH$481,10)="N/A – RULE",TRIM(Checks!$S$481&amp;Checks!$Z$481)=""),"","Type: "&amp;IF(TRIM(Checks!$S$481)="","______________ (see cover list)",Checks!$S$481)&amp;CHAR(10)&amp;"ID: "&amp;IF(TRIM(Checks!$Z$481)="","______________ (record's own no.)",Checks!$Z$481))&amp;IF(Checks!$AA$481="","",CHAR(10)&amp;"CA: "&amp;Checks!$AA$481)</f>
        <v>Type: ______________ (see cover list)
ID: ______________ (record's own no.)</v>
      </c>
      <c r="G23" s="120" t="str">
        <f aca="false">IF(AND(LEFT(Checks!$AH$481,10)="N/A – RULE",NOT(ISNUMBER(Checks!$AD$481)),Checks!$AE$481="",Checks!$T$481=""),"","Done: "&amp;IF(ISNUMBER(Checks!$AD$481),TEXT(Checks!$AD$481,"DD-MMM-YY HH:MM"),"____________")&amp;" "&amp;Checks!$P$481&amp;CHAR(10)&amp;"Verifier: "&amp;IF(Checks!$AE$481="","____________",Checks!$AE$481)&amp;CHAR(10)&amp;"PIC: "&amp;IF(Checks!$T$481="","____________",Checks!$T$481))</f>
        <v>Done: ____________ LHR
Verifier: ____________
PIC: ____________</v>
      </c>
      <c r="H23" s="121" t="str">
        <f aca="false">IF(Checks!$AH$481="","",Checks!$AH$481)</f>
        <v>OPEN</v>
      </c>
    </row>
    <row r="24" customFormat="false" ht="114" hidden="false" customHeight="true" outlineLevel="0" collapsed="false">
      <c r="A24" s="120" t="str">
        <f aca="false">Checks!$A$482&amp;CHAR(10)&amp;IF(Checks!$I$482="","",Checks!$I$482&amp;": ")&amp;Checks!$J$482</f>
        <v>F15-T7-02
Menu: Printed menu cards confirmed (content, cycle, language, quantity)</v>
      </c>
      <c r="B24" s="120" t="str">
        <f aca="false">Checks!$K$482&amp;IF(Checks!$O$482="","",IF(Checks!$K$482="","",CHAR(10))&amp;"Note: "&amp;Checks!$O$482)</f>
        <v>Menu card matches approved menu for this flight</v>
      </c>
      <c r="C24" s="120" t="str">
        <f aca="false">Checks!$N$482&amp;CHAR(10)&amp;IF(ISNUMBER(Checks!$R$482),TEXT(Checks!$R$482,"DD-MMM-YY HH:MM"),"")&amp;" "&amp;Checks!$P$482</f>
        <v>Required
18-Oct-26 12:00 LHR</v>
      </c>
      <c r="D24" s="120" t="str">
        <f aca="false">IF(TRIM(Checks!$U$482)&lt;&gt;"",Checks!$U$482&amp;IF(Checks!$AB$482="","",CHAR(10)&amp;"CA: "&amp;Checks!$AB$482),IF(LEFT(Checks!$AH$482,10)="N/A – RULE","","[ ] Pass"&amp;CHAR(10)&amp;"[ ] Pass after CA"&amp;CHAR(10)&amp;"[ ] Fail"&amp;IF(Checks!$AT$482=1,CHAR(10)&amp;"[ ] N/A","")&amp;CHAR(10)&amp;"CA: Open / Closed"))</f>
        <v>[ ] Pass
[ ] Pass after CA
[ ] Fail
CA: Open / Closed</v>
      </c>
      <c r="E24" s="120" t="str">
        <f aca="false">IF(Checks!$V$482="","",Checks!$V$482)&amp;IF(Checks!$AC$482="","",IF(Checks!$V$482="","",CHAR(10))&amp;"N/A just.: "&amp;Checks!$AC$482)&amp;IF(OR(Checks!$W$482&lt;&gt;"",AND(Checks!$AQ$482=1,NOT(LEFT(Checks!$AH$482,10)="N/A – RULE"))),CHAR(10)&amp;"Batch: "&amp;IF(Checks!$W$482="","____________",Checks!$W$482),"")&amp;IF(OR(Checks!$X$482&lt;&gt;"",Checks!$Y$482&lt;&gt;"",AND(Checks!$AR$482=1,NOT(LEFT(Checks!$AH$482,10)="N/A – RULE"))),CHAR(10)&amp;"Exp: "&amp;IF(Checks!$X$482="","______",Checks!$X$482)&amp;"  /  Act: "&amp;IF(Checks!$Y$482="","______",Checks!$Y$482),"")</f>
        <v/>
      </c>
      <c r="F24" s="120" t="str">
        <f aca="false">IF(AND(LEFT(Checks!$AH$482,10)="N/A – RULE",TRIM(Checks!$S$482&amp;Checks!$Z$482)=""),"","Type: "&amp;IF(TRIM(Checks!$S$482)="","______________ (see cover list)",Checks!$S$482)&amp;CHAR(10)&amp;"ID: "&amp;IF(TRIM(Checks!$Z$482)="","______________ (record's own no.)",Checks!$Z$482))&amp;IF(Checks!$AA$482="","",CHAR(10)&amp;"CA: "&amp;Checks!$AA$482)</f>
        <v>Type: ______________ (see cover list)
ID: ______________ (record's own no.)</v>
      </c>
      <c r="G24" s="120" t="str">
        <f aca="false">IF(AND(LEFT(Checks!$AH$482,10)="N/A – RULE",NOT(ISNUMBER(Checks!$AD$482)),Checks!$AE$482="",Checks!$T$482=""),"","Done: "&amp;IF(ISNUMBER(Checks!$AD$482),TEXT(Checks!$AD$482,"DD-MMM-YY HH:MM"),"____________")&amp;" "&amp;Checks!$P$482&amp;CHAR(10)&amp;"Verifier: "&amp;IF(Checks!$AE$482="","____________",Checks!$AE$482)&amp;CHAR(10)&amp;"PIC: "&amp;IF(Checks!$T$482="","____________",Checks!$T$482))</f>
        <v>Done: ____________ LHR
Verifier: ____________
PIC: ____________</v>
      </c>
      <c r="H24" s="121" t="str">
        <f aca="false">IF(Checks!$AH$482="","",Checks!$AH$482)</f>
        <v>OPEN</v>
      </c>
    </row>
    <row r="25" customFormat="false" ht="114" hidden="false" customHeight="true" outlineLevel="0" collapsed="false">
      <c r="A25" s="120" t="str">
        <f aca="false">Checks!$A$483&amp;CHAR(10)&amp;IF(Checks!$I$483="","",Checks!$I$483&amp;": ")&amp;Checks!$J$483</f>
        <v>F15-T7-03
IFE: Digital menu in IFE confirmed (A339 only)</v>
      </c>
      <c r="B25" s="120" t="str">
        <f aca="false">Checks!$K$483&amp;IF(Checks!$O$483="","",IF(Checks!$K$483="","",CHAR(10))&amp;"Note: "&amp;Checks!$O$483)</f>
        <v>Applies when fleet = A339
Note: Digital IFE menu applies to A339 only (user brief). Applicability follows the Fleet cell on Flights.</v>
      </c>
      <c r="C25" s="120" t="str">
        <f aca="false">Checks!$N$483&amp;CHAR(10)&amp;IF(ISNUMBER(Checks!$R$483),TEXT(Checks!$R$483,"DD-MMM-YY HH:MM"),"")&amp;" "&amp;Checks!$P$483</f>
        <v>N/A – rule
18-Oct-26 12:00 LHR</v>
      </c>
      <c r="D25" s="120" t="str">
        <f aca="false">IF(TRIM(Checks!$U$483)&lt;&gt;"",Checks!$U$483&amp;IF(Checks!$AB$483="","",CHAR(10)&amp;"CA: "&amp;Checks!$AB$483),IF(LEFT(Checks!$AH$483,10)="N/A – RULE","","[ ] Pass"&amp;CHAR(10)&amp;"[ ] Pass after CA"&amp;CHAR(10)&amp;"[ ] Fail"&amp;IF(Checks!$AT$483=1,CHAR(10)&amp;"[ ] N/A","")&amp;CHAR(10)&amp;"CA: Open / Closed"))</f>
        <v/>
      </c>
      <c r="E25" s="120" t="str">
        <f aca="false">IF(Checks!$V$483="","",Checks!$V$483)&amp;IF(Checks!$AC$483="","",IF(Checks!$V$483="","",CHAR(10))&amp;"N/A just.: "&amp;Checks!$AC$483)&amp;IF(OR(Checks!$W$483&lt;&gt;"",AND(Checks!$AQ$483=1,NOT(LEFT(Checks!$AH$483,10)="N/A – RULE"))),CHAR(10)&amp;"Batch: "&amp;IF(Checks!$W$483="","____________",Checks!$W$483),"")&amp;IF(OR(Checks!$X$483&lt;&gt;"",Checks!$Y$483&lt;&gt;"",AND(Checks!$AR$483=1,NOT(LEFT(Checks!$AH$483,10)="N/A – RULE"))),CHAR(10)&amp;"Exp: "&amp;IF(Checks!$X$483="","______",Checks!$X$483)&amp;"  /  Act: "&amp;IF(Checks!$Y$483="","______",Checks!$Y$483),"")</f>
        <v/>
      </c>
      <c r="F25" s="120" t="str">
        <f aca="false">IF(AND(LEFT(Checks!$AH$483,10)="N/A – RULE",TRIM(Checks!$S$483&amp;Checks!$Z$483)=""),"","Type: "&amp;IF(TRIM(Checks!$S$483)="","______________ (see cover list)",Checks!$S$483)&amp;CHAR(10)&amp;"ID: "&amp;IF(TRIM(Checks!$Z$483)="","______________ (record's own no.)",Checks!$Z$483))&amp;IF(Checks!$AA$483="","",CHAR(10)&amp;"CA: "&amp;Checks!$AA$483)</f>
        <v/>
      </c>
      <c r="G25" s="120" t="str">
        <f aca="false">IF(AND(LEFT(Checks!$AH$483,10)="N/A – RULE",NOT(ISNUMBER(Checks!$AD$483)),Checks!$AE$483="",Checks!$T$483=""),"","Done: "&amp;IF(ISNUMBER(Checks!$AD$483),TEXT(Checks!$AD$483,"DD-MMM-YY HH:MM"),"____________")&amp;" "&amp;Checks!$P$483&amp;CHAR(10)&amp;"Verifier: "&amp;IF(Checks!$AE$483="","____________",Checks!$AE$483)&amp;CHAR(10)&amp;"PIC: "&amp;IF(Checks!$T$483="","____________",Checks!$T$483))</f>
        <v/>
      </c>
      <c r="H25" s="121" t="str">
        <f aca="false">IF(Checks!$AH$483="","",Checks!$AH$483)</f>
        <v>N/A – RULE</v>
      </c>
    </row>
    <row r="26" customFormat="false" ht="114" hidden="false" customHeight="true" outlineLevel="0" collapsed="false">
      <c r="A26" s="120" t="str">
        <f aca="false">Checks!$A$484&amp;CHAR(10)&amp;IF(Checks!$I$484="","",Checks!$I$484&amp;": ")&amp;Checks!$J$484</f>
        <v>F15-T7-04
Staffing: Experienced catering officer assigned to this flight</v>
      </c>
      <c r="B26" s="120" t="str">
        <f aca="false">Checks!$K$484&amp;IF(Checks!$O$484="","",IF(Checks!$K$484="","",CHAR(10))&amp;"Note: "&amp;Checks!$O$484)</f>
        <v>Record officer name in Result</v>
      </c>
      <c r="C26" s="120" t="str">
        <f aca="false">Checks!$N$484&amp;CHAR(10)&amp;IF(ISNUMBER(Checks!$R$484),TEXT(Checks!$R$484,"DD-MMM-YY HH:MM"),"")&amp;" "&amp;Checks!$P$484</f>
        <v>Required
18-Oct-26 12:00 LHR</v>
      </c>
      <c r="D26" s="120" t="str">
        <f aca="false">IF(TRIM(Checks!$U$484)&lt;&gt;"",Checks!$U$484&amp;IF(Checks!$AB$484="","",CHAR(10)&amp;"CA: "&amp;Checks!$AB$484),IF(LEFT(Checks!$AH$484,10)="N/A – RULE","","[ ] Pass"&amp;CHAR(10)&amp;"[ ] Pass after CA"&amp;CHAR(10)&amp;"[ ] Fail"&amp;IF(Checks!$AT$484=1,CHAR(10)&amp;"[ ] N/A","")&amp;CHAR(10)&amp;"CA: Open / Closed"))</f>
        <v>[ ] Pass
[ ] Pass after CA
[ ] Fail
CA: Open / Closed</v>
      </c>
      <c r="E26" s="120" t="str">
        <f aca="false">IF(Checks!$V$484="","",Checks!$V$484)&amp;IF(Checks!$AC$484="","",IF(Checks!$V$484="","",CHAR(10))&amp;"N/A just.: "&amp;Checks!$AC$484)&amp;IF(OR(Checks!$W$484&lt;&gt;"",AND(Checks!$AQ$484=1,NOT(LEFT(Checks!$AH$484,10)="N/A – RULE"))),CHAR(10)&amp;"Batch: "&amp;IF(Checks!$W$484="","____________",Checks!$W$484),"")&amp;IF(OR(Checks!$X$484&lt;&gt;"",Checks!$Y$484&lt;&gt;"",AND(Checks!$AR$484=1,NOT(LEFT(Checks!$AH$484,10)="N/A – RULE"))),CHAR(10)&amp;"Exp: "&amp;IF(Checks!$X$484="","______",Checks!$X$484)&amp;"  /  Act: "&amp;IF(Checks!$Y$484="","______",Checks!$Y$484),"")</f>
        <v/>
      </c>
      <c r="F26" s="120" t="str">
        <f aca="false">IF(AND(LEFT(Checks!$AH$484,10)="N/A – RULE",TRIM(Checks!$S$484&amp;Checks!$Z$484)=""),"","Type: "&amp;IF(TRIM(Checks!$S$484)="","______________ (see cover list)",Checks!$S$484)&amp;CHAR(10)&amp;"ID: "&amp;IF(TRIM(Checks!$Z$484)="","______________ (record's own no.)",Checks!$Z$484))&amp;IF(Checks!$AA$484="","",CHAR(10)&amp;"CA: "&amp;Checks!$AA$484)</f>
        <v>Type: ______________ (see cover list)
ID: ______________ (record's own no.)</v>
      </c>
      <c r="G26" s="120" t="str">
        <f aca="false">IF(AND(LEFT(Checks!$AH$484,10)="N/A – RULE",NOT(ISNUMBER(Checks!$AD$484)),Checks!$AE$484="",Checks!$T$484=""),"","Done: "&amp;IF(ISNUMBER(Checks!$AD$484),TEXT(Checks!$AD$484,"DD-MMM-YY HH:MM"),"____________")&amp;" "&amp;Checks!$P$484&amp;CHAR(10)&amp;"Verifier: "&amp;IF(Checks!$AE$484="","____________",Checks!$AE$484)&amp;CHAR(10)&amp;"PIC: "&amp;IF(Checks!$T$484="","____________",Checks!$T$484))</f>
        <v>Done: ____________ LHR
Verifier: ____________
PIC: ____________</v>
      </c>
      <c r="H26" s="121" t="str">
        <f aca="false">IF(Checks!$AH$484="","",Checks!$AH$484)</f>
        <v>OPEN</v>
      </c>
    </row>
    <row r="27" customFormat="false" ht="114" hidden="false" customHeight="true" outlineLevel="0" collapsed="false">
      <c r="A27" s="120" t="str">
        <f aca="false">Checks!$A$485&amp;CHAR(10)&amp;IF(Checks!$I$485="","",Checks!$I$485&amp;": ")&amp;Checks!$J$485</f>
        <v>F15-T7-05
ISOP: All latest applicable ISOP revisions communicated to caterer</v>
      </c>
      <c r="B27" s="120" t="str">
        <f aca="false">Checks!$K$485&amp;IF(Checks!$O$485="","",IF(Checks!$K$485="","",CHAR(10))&amp;"Note: "&amp;Checks!$O$485)</f>
        <v>List revision numbers in Result (see ISOP register)</v>
      </c>
      <c r="C27" s="120" t="str">
        <f aca="false">Checks!$N$485&amp;CHAR(10)&amp;IF(ISNUMBER(Checks!$R$485),TEXT(Checks!$R$485,"DD-MMM-YY HH:MM"),"")&amp;" "&amp;Checks!$P$485</f>
        <v>Required
18-Oct-26 12:00 LHR</v>
      </c>
      <c r="D27" s="120" t="str">
        <f aca="false">IF(TRIM(Checks!$U$485)&lt;&gt;"",Checks!$U$485&amp;IF(Checks!$AB$485="","",CHAR(10)&amp;"CA: "&amp;Checks!$AB$485),IF(LEFT(Checks!$AH$485,10)="N/A – RULE","","[ ] Pass"&amp;CHAR(10)&amp;"[ ] Pass after CA"&amp;CHAR(10)&amp;"[ ] Fail"&amp;IF(Checks!$AT$485=1,CHAR(10)&amp;"[ ] N/A","")&amp;CHAR(10)&amp;"CA: Open / Closed"))</f>
        <v>[ ] Pass
[ ] Pass after CA
[ ] Fail
CA: Open / Closed</v>
      </c>
      <c r="E27" s="120" t="str">
        <f aca="false">IF(Checks!$V$485="","",Checks!$V$485)&amp;IF(Checks!$AC$485="","",IF(Checks!$V$485="","",CHAR(10))&amp;"N/A just.: "&amp;Checks!$AC$485)&amp;IF(OR(Checks!$W$485&lt;&gt;"",AND(Checks!$AQ$485=1,NOT(LEFT(Checks!$AH$485,10)="N/A – RULE"))),CHAR(10)&amp;"Batch: "&amp;IF(Checks!$W$485="","____________",Checks!$W$485),"")&amp;IF(OR(Checks!$X$485&lt;&gt;"",Checks!$Y$485&lt;&gt;"",AND(Checks!$AR$485=1,NOT(LEFT(Checks!$AH$485,10)="N/A – RULE"))),CHAR(10)&amp;"Exp: "&amp;IF(Checks!$X$485="","______",Checks!$X$485)&amp;"  /  Act: "&amp;IF(Checks!$Y$485="","______",Checks!$Y$485),"")</f>
        <v/>
      </c>
      <c r="F27" s="120" t="str">
        <f aca="false">IF(AND(LEFT(Checks!$AH$485,10)="N/A – RULE",TRIM(Checks!$S$485&amp;Checks!$Z$485)=""),"","Type: "&amp;IF(TRIM(Checks!$S$485)="","______________ (see cover list)",Checks!$S$485)&amp;CHAR(10)&amp;"ID: "&amp;IF(TRIM(Checks!$Z$485)="","______________ (record's own no.)",Checks!$Z$485))&amp;IF(Checks!$AA$485="","",CHAR(10)&amp;"CA: "&amp;Checks!$AA$485)</f>
        <v>Type: ______________ (see cover list)
ID: ______________ (record's own no.)</v>
      </c>
      <c r="G27" s="120" t="str">
        <f aca="false">IF(AND(LEFT(Checks!$AH$485,10)="N/A – RULE",NOT(ISNUMBER(Checks!$AD$485)),Checks!$AE$485="",Checks!$T$485=""),"","Done: "&amp;IF(ISNUMBER(Checks!$AD$485),TEXT(Checks!$AD$485,"DD-MMM-YY HH:MM"),"____________")&amp;" "&amp;Checks!$P$485&amp;CHAR(10)&amp;"Verifier: "&amp;IF(Checks!$AE$485="","____________",Checks!$AE$485)&amp;CHAR(10)&amp;"PIC: "&amp;IF(Checks!$T$485="","____________",Checks!$T$485))</f>
        <v>Done: ____________ LHR
Verifier: ____________
PIC: ____________</v>
      </c>
      <c r="H27" s="121" t="str">
        <f aca="false">IF(Checks!$AH$485="","",Checks!$AH$485)</f>
        <v>OPEN</v>
      </c>
    </row>
    <row r="28" customFormat="false" ht="114" hidden="false" customHeight="true" outlineLevel="0" collapsed="false">
      <c r="A28" s="120" t="str">
        <f aca="false">Checks!$A$486&amp;CHAR(10)&amp;IF(Checks!$I$486="","",Checks!$I$486&amp;": ")&amp;Checks!$J$486</f>
        <v>F15-T7-06
ISOP: Caterer acknowledgement of ISOP revisions recorded</v>
      </c>
      <c r="B28" s="120" t="str">
        <f aca="false">Checks!$K$486&amp;IF(Checks!$O$486="","",IF(Checks!$K$486="","",CHAR(10))&amp;"Note: "&amp;Checks!$O$486)</f>
        <v>Record acknowledgement ref in Evidence</v>
      </c>
      <c r="C28" s="120" t="str">
        <f aca="false">Checks!$N$486&amp;CHAR(10)&amp;IF(ISNUMBER(Checks!$R$486),TEXT(Checks!$R$486,"DD-MMM-YY HH:MM"),"")&amp;" "&amp;Checks!$P$486</f>
        <v>Required
18-Oct-26 12:00 LHR</v>
      </c>
      <c r="D28" s="120" t="str">
        <f aca="false">IF(TRIM(Checks!$U$486)&lt;&gt;"",Checks!$U$486&amp;IF(Checks!$AB$486="","",CHAR(10)&amp;"CA: "&amp;Checks!$AB$486),IF(LEFT(Checks!$AH$486,10)="N/A – RULE","","[ ] Pass"&amp;CHAR(10)&amp;"[ ] Pass after CA"&amp;CHAR(10)&amp;"[ ] Fail"&amp;IF(Checks!$AT$486=1,CHAR(10)&amp;"[ ] N/A","")&amp;CHAR(10)&amp;"CA: Open / Closed"))</f>
        <v>[ ] Pass
[ ] Pass after CA
[ ] Fail
CA: Open / Closed</v>
      </c>
      <c r="E28" s="120" t="str">
        <f aca="false">IF(Checks!$V$486="","",Checks!$V$486)&amp;IF(Checks!$AC$486="","",IF(Checks!$V$486="","",CHAR(10))&amp;"N/A just.: "&amp;Checks!$AC$486)&amp;IF(OR(Checks!$W$486&lt;&gt;"",AND(Checks!$AQ$486=1,NOT(LEFT(Checks!$AH$486,10)="N/A – RULE"))),CHAR(10)&amp;"Batch: "&amp;IF(Checks!$W$486="","____________",Checks!$W$486),"")&amp;IF(OR(Checks!$X$486&lt;&gt;"",Checks!$Y$486&lt;&gt;"",AND(Checks!$AR$486=1,NOT(LEFT(Checks!$AH$486,10)="N/A – RULE"))),CHAR(10)&amp;"Exp: "&amp;IF(Checks!$X$486="","______",Checks!$X$486)&amp;"  /  Act: "&amp;IF(Checks!$Y$486="","______",Checks!$Y$486),"")</f>
        <v/>
      </c>
      <c r="F28" s="120" t="str">
        <f aca="false">IF(AND(LEFT(Checks!$AH$486,10)="N/A – RULE",TRIM(Checks!$S$486&amp;Checks!$Z$486)=""),"","Type: "&amp;IF(TRIM(Checks!$S$486)="","______________ (see cover list)",Checks!$S$486)&amp;CHAR(10)&amp;"ID: "&amp;IF(TRIM(Checks!$Z$486)="","______________ (record's own no.)",Checks!$Z$486))&amp;IF(Checks!$AA$486="","",CHAR(10)&amp;"CA: "&amp;Checks!$AA$486)</f>
        <v>Type: ______________ (see cover list)
ID: ______________ (record's own no.)</v>
      </c>
      <c r="G28" s="120" t="str">
        <f aca="false">IF(AND(LEFT(Checks!$AH$486,10)="N/A – RULE",NOT(ISNUMBER(Checks!$AD$486)),Checks!$AE$486="",Checks!$T$486=""),"","Done: "&amp;IF(ISNUMBER(Checks!$AD$486),TEXT(Checks!$AD$486,"DD-MMM-YY HH:MM"),"____________")&amp;" "&amp;Checks!$P$486&amp;CHAR(10)&amp;"Verifier: "&amp;IF(Checks!$AE$486="","____________",Checks!$AE$486)&amp;CHAR(10)&amp;"PIC: "&amp;IF(Checks!$T$486="","____________",Checks!$T$486))</f>
        <v>Done: ____________ LHR
Verifier: ____________
PIC: ____________</v>
      </c>
      <c r="H28" s="121" t="str">
        <f aca="false">IF(Checks!$AH$486="","",Checks!$AH$486)</f>
        <v>OPEN</v>
      </c>
    </row>
    <row r="29" customFormat="false" ht="114" hidden="false" customHeight="true" outlineLevel="0" collapsed="false">
      <c r="A29" s="120" t="str">
        <f aca="false">Checks!$A$487&amp;CHAR(10)&amp;IF(Checks!$I$487="","",Checks!$I$487&amp;": ")&amp;Checks!$J$487</f>
        <v>F15-T7-07
Documents: Galley loading diagram (GLD) received, revision recorded &amp; attached</v>
      </c>
      <c r="B29" s="120" t="str">
        <f aca="false">SUBSTITUTE(Checks!$K$487&amp;IF(Checks!$O$487="","",IF(Checks!$K$487="","",CHAR(10))&amp;"Note: "&amp;Checks!$O$487),"Documents sheet row complete","Recorded on the Documents sheet; copy stapled as A1 / A2")</f>
        <v>Recorded on the Documents sheet; copy stapled as A1 / A2</v>
      </c>
      <c r="C29" s="120" t="str">
        <f aca="false">Checks!$N$487&amp;CHAR(10)&amp;IF(ISNUMBER(Checks!$R$487),TEXT(Checks!$R$487,"DD-MMM-YY HH:MM"),"")&amp;" "&amp;Checks!$P$487</f>
        <v>Required
18-Oct-26 12:00 LHR</v>
      </c>
      <c r="D29" s="120" t="str">
        <f aca="false">IF(TRIM(Checks!$U$487)&lt;&gt;"",Checks!$U$487&amp;IF(Checks!$AB$487="","",CHAR(10)&amp;"CA: "&amp;Checks!$AB$487),IF(LEFT(Checks!$AH$487,10)="N/A – RULE","","[ ] Pass"&amp;CHAR(10)&amp;"[ ] Pass after CA"&amp;CHAR(10)&amp;"[ ] Fail"&amp;IF(Checks!$AT$487=1,CHAR(10)&amp;"[ ] N/A","")&amp;CHAR(10)&amp;"CA: Open / Closed"))</f>
        <v>[ ] Pass
[ ] Pass after CA
[ ] Fail
CA: Open / Closed</v>
      </c>
      <c r="E29" s="120" t="str">
        <f aca="false">IF(Checks!$V$487="","",Checks!$V$487)&amp;IF(Checks!$AC$487="","",IF(Checks!$V$487="","",CHAR(10))&amp;"N/A just.: "&amp;Checks!$AC$487)&amp;IF(OR(Checks!$W$487&lt;&gt;"",AND(Checks!$AQ$487=1,NOT(LEFT(Checks!$AH$487,10)="N/A – RULE"))),CHAR(10)&amp;"Batch: "&amp;IF(Checks!$W$487="","____________",Checks!$W$487),"")&amp;IF(OR(Checks!$X$487&lt;&gt;"",Checks!$Y$487&lt;&gt;"",AND(Checks!$AR$487=1,NOT(LEFT(Checks!$AH$487,10)="N/A – RULE"))),CHAR(10)&amp;"Exp: "&amp;IF(Checks!$X$487="","______",Checks!$X$487)&amp;"  /  Act: "&amp;IF(Checks!$Y$487="","______",Checks!$Y$487),"")</f>
        <v/>
      </c>
      <c r="F29" s="120" t="str">
        <f aca="false">IF(AND(LEFT(Checks!$AH$487,10)="N/A – RULE",TRIM(Checks!$S$487&amp;Checks!$Z$487)=""),"","Type: "&amp;IF(TRIM(Checks!$S$487)="","______________ (see cover list)",Checks!$S$487)&amp;CHAR(10)&amp;"ID: "&amp;IF(TRIM(Checks!$Z$487)="","______________ (record's own no.)",Checks!$Z$487))&amp;IF(Checks!$AA$487="","",CHAR(10)&amp;"CA: "&amp;Checks!$AA$487)</f>
        <v>Type: ______________ (see cover list)
ID: ______________ (record's own no.)</v>
      </c>
      <c r="G29" s="120" t="str">
        <f aca="false">IF(AND(LEFT(Checks!$AH$487,10)="N/A – RULE",NOT(ISNUMBER(Checks!$AD$487)),Checks!$AE$487="",Checks!$T$487=""),"","Done: "&amp;IF(ISNUMBER(Checks!$AD$487),TEXT(Checks!$AD$487,"DD-MMM-YY HH:MM"),"____________")&amp;" "&amp;Checks!$P$487&amp;CHAR(10)&amp;"Verifier: "&amp;IF(Checks!$AE$487="","____________",Checks!$AE$487)&amp;CHAR(10)&amp;"PIC: "&amp;IF(Checks!$T$487="","____________",Checks!$T$487))</f>
        <v>Done: ____________ LHR
Verifier: ____________
PIC: ____________</v>
      </c>
      <c r="H29" s="121" t="str">
        <f aca="false">IF(Checks!$AH$487="","",Checks!$AH$487)</f>
        <v>OPEN</v>
      </c>
    </row>
    <row r="30" customFormat="false" ht="114" hidden="false" customHeight="true" outlineLevel="0" collapsed="false">
      <c r="A30" s="120" t="str">
        <f aca="false">Checks!$A$488&amp;CHAR(10)&amp;IF(Checks!$I$488="","",Checks!$I$488&amp;": ")&amp;Checks!$J$488</f>
        <v>F15-T7-08
Documents: Menu checklist received, revision recorded &amp; attached</v>
      </c>
      <c r="B30" s="120" t="str">
        <f aca="false">SUBSTITUTE(Checks!$K$488&amp;IF(Checks!$O$488="","",IF(Checks!$K$488="","",CHAR(10))&amp;"Note: "&amp;Checks!$O$488),"Documents sheet row complete","Recorded on the Documents sheet; copy stapled as A1 / A2")</f>
        <v>Recorded on the Documents sheet; copy stapled as A1 / A2</v>
      </c>
      <c r="C30" s="120" t="str">
        <f aca="false">Checks!$N$488&amp;CHAR(10)&amp;IF(ISNUMBER(Checks!$R$488),TEXT(Checks!$R$488,"DD-MMM-YY HH:MM"),"")&amp;" "&amp;Checks!$P$488</f>
        <v>Required
18-Oct-26 12:00 LHR</v>
      </c>
      <c r="D30" s="120" t="str">
        <f aca="false">IF(TRIM(Checks!$U$488)&lt;&gt;"",Checks!$U$488&amp;IF(Checks!$AB$488="","",CHAR(10)&amp;"CA: "&amp;Checks!$AB$488),IF(LEFT(Checks!$AH$488,10)="N/A – RULE","","[ ] Pass"&amp;CHAR(10)&amp;"[ ] Pass after CA"&amp;CHAR(10)&amp;"[ ] Fail"&amp;IF(Checks!$AT$488=1,CHAR(10)&amp;"[ ] N/A","")&amp;CHAR(10)&amp;"CA: Open / Closed"))</f>
        <v>[ ] Pass
[ ] Pass after CA
[ ] Fail
CA: Open / Closed</v>
      </c>
      <c r="E30" s="120" t="str">
        <f aca="false">IF(Checks!$V$488="","",Checks!$V$488)&amp;IF(Checks!$AC$488="","",IF(Checks!$V$488="","",CHAR(10))&amp;"N/A just.: "&amp;Checks!$AC$488)&amp;IF(OR(Checks!$W$488&lt;&gt;"",AND(Checks!$AQ$488=1,NOT(LEFT(Checks!$AH$488,10)="N/A – RULE"))),CHAR(10)&amp;"Batch: "&amp;IF(Checks!$W$488="","____________",Checks!$W$488),"")&amp;IF(OR(Checks!$X$488&lt;&gt;"",Checks!$Y$488&lt;&gt;"",AND(Checks!$AR$488=1,NOT(LEFT(Checks!$AH$488,10)="N/A – RULE"))),CHAR(10)&amp;"Exp: "&amp;IF(Checks!$X$488="","______",Checks!$X$488)&amp;"  /  Act: "&amp;IF(Checks!$Y$488="","______",Checks!$Y$488),"")</f>
        <v/>
      </c>
      <c r="F30" s="120" t="str">
        <f aca="false">IF(AND(LEFT(Checks!$AH$488,10)="N/A – RULE",TRIM(Checks!$S$488&amp;Checks!$Z$488)=""),"","Type: "&amp;IF(TRIM(Checks!$S$488)="","______________ (see cover list)",Checks!$S$488)&amp;CHAR(10)&amp;"ID: "&amp;IF(TRIM(Checks!$Z$488)="","______________ (record's own no.)",Checks!$Z$488))&amp;IF(Checks!$AA$488="","",CHAR(10)&amp;"CA: "&amp;Checks!$AA$488)</f>
        <v>Type: ______________ (see cover list)
ID: ______________ (record's own no.)</v>
      </c>
      <c r="G30" s="120" t="str">
        <f aca="false">IF(AND(LEFT(Checks!$AH$488,10)="N/A – RULE",NOT(ISNUMBER(Checks!$AD$488)),Checks!$AE$488="",Checks!$T$488=""),"","Done: "&amp;IF(ISNUMBER(Checks!$AD$488),TEXT(Checks!$AD$488,"DD-MMM-YY HH:MM"),"____________")&amp;" "&amp;Checks!$P$488&amp;CHAR(10)&amp;"Verifier: "&amp;IF(Checks!$AE$488="","____________",Checks!$AE$488)&amp;CHAR(10)&amp;"PIC: "&amp;IF(Checks!$T$488="","____________",Checks!$T$488))</f>
        <v>Done: ____________ LHR
Verifier: ____________
PIC: ____________</v>
      </c>
      <c r="H30" s="121" t="str">
        <f aca="false">IF(Checks!$AH$488="","",Checks!$AH$488)</f>
        <v>OPEN</v>
      </c>
    </row>
    <row r="31" customFormat="false" ht="114" hidden="false" customHeight="true" outlineLevel="0" collapsed="false">
      <c r="A31" s="120" t="str">
        <f aca="false">Checks!$A$489&amp;CHAR(10)&amp;IF(Checks!$I$489="","",Checks!$I$489&amp;": ")&amp;Checks!$J$489</f>
        <v>F15-T7-09
Uplift plan: Uplift plan confirmed with caterer vs STD Uplift Information</v>
      </c>
      <c r="B31" s="120" t="str">
        <f aca="false">Checks!$K$489&amp;IF(Checks!$O$489="","",IF(Checks!$K$489="","",CHAR(10))&amp;"Note: "&amp;Checks!$O$489)</f>
        <v>Service: 2.5 Meal (Meal); meal uplift stn LHR (ref lists KUL/LHR)</v>
      </c>
      <c r="C31" s="120" t="str">
        <f aca="false">Checks!$N$489&amp;CHAR(10)&amp;IF(ISNUMBER(Checks!$R$489),TEXT(Checks!$R$489,"DD-MMM-YY HH:MM"),"")&amp;" "&amp;Checks!$P$489</f>
        <v>Required
18-Oct-26 12:00 LHR</v>
      </c>
      <c r="D31" s="120" t="str">
        <f aca="false">IF(TRIM(Checks!$U$489)&lt;&gt;"",Checks!$U$489&amp;IF(Checks!$AB$489="","",CHAR(10)&amp;"CA: "&amp;Checks!$AB$489),IF(LEFT(Checks!$AH$489,10)="N/A – RULE","","[ ] Pass"&amp;CHAR(10)&amp;"[ ] Pass after CA"&amp;CHAR(10)&amp;"[ ] Fail"&amp;IF(Checks!$AT$489=1,CHAR(10)&amp;"[ ] N/A","")&amp;CHAR(10)&amp;"CA: Open / Closed"))</f>
        <v>[ ] Pass
[ ] Pass after CA
[ ] Fail
CA: Open / Closed</v>
      </c>
      <c r="E31" s="120" t="str">
        <f aca="false">IF(Checks!$V$489="","",Checks!$V$489)&amp;IF(Checks!$AC$489="","",IF(Checks!$V$489="","",CHAR(10))&amp;"N/A just.: "&amp;Checks!$AC$489)&amp;IF(OR(Checks!$W$489&lt;&gt;"",AND(Checks!$AQ$489=1,NOT(LEFT(Checks!$AH$489,10)="N/A – RULE"))),CHAR(10)&amp;"Batch: "&amp;IF(Checks!$W$489="","____________",Checks!$W$489),"")&amp;IF(OR(Checks!$X$489&lt;&gt;"",Checks!$Y$489&lt;&gt;"",AND(Checks!$AR$489=1,NOT(LEFT(Checks!$AH$489,10)="N/A – RULE"))),CHAR(10)&amp;"Exp: "&amp;IF(Checks!$X$489="","______",Checks!$X$489)&amp;"  /  Act: "&amp;IF(Checks!$Y$489="","______",Checks!$Y$489),"")</f>
        <v/>
      </c>
      <c r="F31" s="120" t="str">
        <f aca="false">IF(AND(LEFT(Checks!$AH$489,10)="N/A – RULE",TRIM(Checks!$S$489&amp;Checks!$Z$489)=""),"","Type: "&amp;IF(TRIM(Checks!$S$489)="","______________ (see cover list)",Checks!$S$489)&amp;CHAR(10)&amp;"ID: "&amp;IF(TRIM(Checks!$Z$489)="","______________ (record's own no.)",Checks!$Z$489))&amp;IF(Checks!$AA$489="","",CHAR(10)&amp;"CA: "&amp;Checks!$AA$489)</f>
        <v>Type: ______________ (see cover list)
ID: ______________ (record's own no.)</v>
      </c>
      <c r="G31" s="120" t="str">
        <f aca="false">IF(AND(LEFT(Checks!$AH$489,10)="N/A – RULE",NOT(ISNUMBER(Checks!$AD$489)),Checks!$AE$489="",Checks!$T$489=""),"","Done: "&amp;IF(ISNUMBER(Checks!$AD$489),TEXT(Checks!$AD$489,"DD-MMM-YY HH:MM"),"____________")&amp;" "&amp;Checks!$P$489&amp;CHAR(10)&amp;"Verifier: "&amp;IF(Checks!$AE$489="","____________",Checks!$AE$489)&amp;CHAR(10)&amp;"PIC: "&amp;IF(Checks!$T$489="","____________",Checks!$T$489))</f>
        <v>Done: ____________ LHR
Verifier: ____________
PIC: ____________</v>
      </c>
      <c r="H31" s="121" t="str">
        <f aca="false">IF(Checks!$AH$489="","",Checks!$AH$489)</f>
        <v>OPEN</v>
      </c>
    </row>
    <row r="32" customFormat="false" ht="25.5" hidden="false" customHeight="true" outlineLevel="0" collapsed="false">
      <c r="A32" s="119" t="str">
        <f aca="false">"T-24H — Production batch sensory  |  Due "&amp;IF(ISNUMBER(Flights!$AH$19),TEXT(Flights!$AH$19,"DD-MMM-YY HH:MM"),"")&amp;" "&amp;Flights!$V$19&amp;" (meal uplift stn)"&amp;" (rows with another due show their own)  |  Complete "&amp;IF(ISNUMBER(Flights!$AK$19),TEXT(Flights!$AK$19,"0%"),Flights!$AK$19)&amp;"  |  1 lines"</f>
        <v>T-24H — Production batch sensory  |  Due 24-Oct-26 12:00 LHR (meal uplift stn) (rows with another due show their own)  |  Complete 0%  |  1 lines</v>
      </c>
      <c r="B32" s="119"/>
      <c r="C32" s="119"/>
      <c r="D32" s="119"/>
      <c r="E32" s="119"/>
      <c r="F32" s="119"/>
      <c r="G32" s="119"/>
      <c r="H32" s="119"/>
    </row>
    <row r="33" customFormat="false" ht="147" hidden="false" customHeight="true" outlineLevel="0" collapsed="false">
      <c r="A33" s="120" t="str">
        <f aca="false">Checks!$A$490&amp;CHAR(10)&amp;IF(Checks!$I$490="","",Checks!$I$490&amp;": ")&amp;Checks!$J$490</f>
        <v>F15-T24-01
Meal: Sensory test repeated on ACTUAL production batch for this flight</v>
      </c>
      <c r="B33" s="120" t="str">
        <f aca="false">Checks!$K$490&amp;IF(Checks!$O$490="","",IF(Checks!$K$490="","",CHAR(10))&amp;"Note: "&amp;Checks!$O$490)</f>
        <v>Batch ID, result, CA and acceptance mandatory
Note: Clock change: LHR local time changes between this due time and departure, so the due time shows a different clock hour than STD (24 h before STD is still correct).</v>
      </c>
      <c r="C33" s="120" t="str">
        <f aca="false">Checks!$N$490&amp;CHAR(10)&amp;IF(ISNUMBER(Checks!$R$490),TEXT(Checks!$R$490,"DD-MMM-YY HH:MM"),"")&amp;" "&amp;Checks!$P$490</f>
        <v>Required
24-Oct-26 12:00 LHR</v>
      </c>
      <c r="D33" s="120" t="str">
        <f aca="false">IF(TRIM(Checks!$U$490)&lt;&gt;"",Checks!$U$490&amp;IF(Checks!$AB$490="","",CHAR(10)&amp;"CA: "&amp;Checks!$AB$490),IF(LEFT(Checks!$AH$490,10)="N/A – RULE","","[ ] Pass"&amp;CHAR(10)&amp;"[ ] Pass after CA"&amp;CHAR(10)&amp;"[ ] Fail"&amp;IF(Checks!$AT$490=1,CHAR(10)&amp;"[ ] N/A","")&amp;CHAR(10)&amp;"CA: Open / Closed"))</f>
        <v>[ ] Pass
[ ] Pass after CA
[ ] Fail
CA: Open / Closed</v>
      </c>
      <c r="E33" s="120" t="str">
        <f aca="false">IF(Checks!$V$490="","",Checks!$V$490)&amp;IF(Checks!$AC$490="","",IF(Checks!$V$490="","",CHAR(10))&amp;"N/A just.: "&amp;Checks!$AC$490)&amp;IF(OR(Checks!$W$490&lt;&gt;"",AND(Checks!$AQ$490=1,NOT(LEFT(Checks!$AH$490,10)="N/A – RULE"))),CHAR(10)&amp;"Batch: "&amp;IF(Checks!$W$490="","____________",Checks!$W$490),"")&amp;IF(OR(Checks!$X$490&lt;&gt;"",Checks!$Y$490&lt;&gt;"",AND(Checks!$AR$490=1,NOT(LEFT(Checks!$AH$490,10)="N/A – RULE"))),CHAR(10)&amp;"Exp: "&amp;IF(Checks!$X$490="","______",Checks!$X$490)&amp;"  /  Act: "&amp;IF(Checks!$Y$490="","______",Checks!$Y$490),"")</f>
        <v>
Batch: ____________</v>
      </c>
      <c r="F33" s="120" t="str">
        <f aca="false">IF(AND(LEFT(Checks!$AH$490,10)="N/A – RULE",TRIM(Checks!$S$490&amp;Checks!$Z$490)=""),"","Type: "&amp;IF(TRIM(Checks!$S$490)="","______________ (see cover list)",Checks!$S$490)&amp;CHAR(10)&amp;"ID: "&amp;IF(TRIM(Checks!$Z$490)="","______________ (record's own no.)",Checks!$Z$490))&amp;IF(Checks!$AA$490="","",CHAR(10)&amp;"CA: "&amp;Checks!$AA$490)</f>
        <v>Type: ______________ (see cover list)
ID: ______________ (record's own no.)</v>
      </c>
      <c r="G33" s="120" t="str">
        <f aca="false">IF(AND(LEFT(Checks!$AH$490,10)="N/A – RULE",NOT(ISNUMBER(Checks!$AD$490)),Checks!$AE$490="",Checks!$T$490=""),"","Done: "&amp;IF(ISNUMBER(Checks!$AD$490),TEXT(Checks!$AD$490,"DD-MMM-YY HH:MM"),"____________")&amp;" "&amp;Checks!$P$490&amp;CHAR(10)&amp;"Verifier: "&amp;IF(Checks!$AE$490="","____________",Checks!$AE$490)&amp;CHAR(10)&amp;"PIC: "&amp;IF(Checks!$T$490="","____________",Checks!$T$490))</f>
        <v>Done: ____________ LHR
Verifier: ____________
PIC: ____________</v>
      </c>
      <c r="H33" s="121" t="str">
        <f aca="false">IF(Checks!$AH$490="","",Checks!$AH$490)</f>
        <v>OPEN</v>
      </c>
    </row>
    <row r="34" customFormat="false" ht="25.5" hidden="false" customHeight="true" outlineLevel="0" collapsed="false">
      <c r="A34" s="119" t="str">
        <f aca="false">"T-12H PREP — Preparation check at caterer (does NOT confirm loading)  |  Due "&amp;IF(ISNUMBER(Flights!$AI$19),TEXT(Flights!$AI$19,"DD-MMM-YY HH:MM"),"")&amp;" "&amp;Flights!$V$19&amp;" (meal uplift stn)"&amp;" (rows with another due show their own)  |  Complete "&amp;IF(ISNUMBER(Flights!$AL$19),TEXT(Flights!$AL$19,"0%"),Flights!$AL$19)&amp;"  |  10 lines"</f>
        <v>T-12H PREP — Preparation check at caterer (does NOT confirm loading)  |  Due 25-Oct-26 00:00 LHR (meal uplift stn) (rows with another due show their own)  |  Complete 0%  |  10 lines</v>
      </c>
      <c r="B34" s="119"/>
      <c r="C34" s="119"/>
      <c r="D34" s="119"/>
      <c r="E34" s="119"/>
      <c r="F34" s="119"/>
      <c r="G34" s="119"/>
      <c r="H34" s="119"/>
    </row>
    <row r="35" customFormat="false" ht="147" hidden="false" customHeight="true" outlineLevel="0" collapsed="false">
      <c r="A35" s="120" t="str">
        <f aca="false">Checks!$A$491&amp;CHAR(10)&amp;IF(Checks!$I$491="","",Checks!$I$491&amp;": ")&amp;Checks!$J$491</f>
        <v>F15-T12-01
Meal: Meal quality vs menu checklist</v>
      </c>
      <c r="B35" s="120" t="str">
        <f aca="false">Checks!$K$491&amp;IF(Checks!$O$491="","",IF(Checks!$K$491="","",CHAR(10))&amp;"Note: "&amp;Checks!$O$491)</f>
        <v>Note: Preparation check at caterer - does NOT confirm loading. Clock change: LHR local time changes between this due time and departure, so the due time shows a different clock hour than STD (12 h before STD is still correct).</v>
      </c>
      <c r="C35" s="120" t="str">
        <f aca="false">Checks!$N$491&amp;CHAR(10)&amp;IF(ISNUMBER(Checks!$R$491),TEXT(Checks!$R$491,"DD-MMM-YY HH:MM"),"")&amp;" "&amp;Checks!$P$491</f>
        <v>Required
25-Oct-26 00:00 LHR</v>
      </c>
      <c r="D35" s="120" t="str">
        <f aca="false">IF(TRIM(Checks!$U$491)&lt;&gt;"",Checks!$U$491&amp;IF(Checks!$AB$491="","",CHAR(10)&amp;"CA: "&amp;Checks!$AB$491),IF(LEFT(Checks!$AH$491,10)="N/A – RULE","","[ ] Pass"&amp;CHAR(10)&amp;"[ ] Pass after CA"&amp;CHAR(10)&amp;"[ ] Fail"&amp;IF(Checks!$AT$491=1,CHAR(10)&amp;"[ ] N/A","")&amp;CHAR(10)&amp;"CA: Open / Closed"))</f>
        <v>[ ] Pass
[ ] Pass after CA
[ ] Fail
CA: Open / Closed</v>
      </c>
      <c r="E35" s="120" t="str">
        <f aca="false">IF(Checks!$V$491="","",Checks!$V$491)&amp;IF(Checks!$AC$491="","",IF(Checks!$V$491="","",CHAR(10))&amp;"N/A just.: "&amp;Checks!$AC$491)&amp;IF(OR(Checks!$W$491&lt;&gt;"",AND(Checks!$AQ$491=1,NOT(LEFT(Checks!$AH$491,10)="N/A – RULE"))),CHAR(10)&amp;"Batch: "&amp;IF(Checks!$W$491="","____________",Checks!$W$491),"")&amp;IF(OR(Checks!$X$491&lt;&gt;"",Checks!$Y$491&lt;&gt;"",AND(Checks!$AR$491=1,NOT(LEFT(Checks!$AH$491,10)="N/A – RULE"))),CHAR(10)&amp;"Exp: "&amp;IF(Checks!$X$491="","______",Checks!$X$491)&amp;"  /  Act: "&amp;IF(Checks!$Y$491="","______",Checks!$Y$491),"")</f>
        <v/>
      </c>
      <c r="F35" s="120" t="str">
        <f aca="false">IF(AND(LEFT(Checks!$AH$491,10)="N/A – RULE",TRIM(Checks!$S$491&amp;Checks!$Z$491)=""),"","Type: "&amp;IF(TRIM(Checks!$S$491)="","______________ (see cover list)",Checks!$S$491)&amp;CHAR(10)&amp;"ID: "&amp;IF(TRIM(Checks!$Z$491)="","______________ (record's own no.)",Checks!$Z$491))&amp;IF(Checks!$AA$491="","",CHAR(10)&amp;"CA: "&amp;Checks!$AA$491)</f>
        <v>Type: ______________ (see cover list)
ID: ______________ (record's own no.)</v>
      </c>
      <c r="G35" s="120" t="str">
        <f aca="false">IF(AND(LEFT(Checks!$AH$491,10)="N/A – RULE",NOT(ISNUMBER(Checks!$AD$491)),Checks!$AE$491="",Checks!$T$491=""),"","Done: "&amp;IF(ISNUMBER(Checks!$AD$491),TEXT(Checks!$AD$491,"DD-MMM-YY HH:MM"),"____________")&amp;" "&amp;Checks!$P$491&amp;CHAR(10)&amp;"Verifier: "&amp;IF(Checks!$AE$491="","____________",Checks!$AE$491)&amp;CHAR(10)&amp;"PIC: "&amp;IF(Checks!$T$491="","____________",Checks!$T$491))</f>
        <v>Done: ____________ LHR
Verifier: ____________
PIC: ____________</v>
      </c>
      <c r="H35" s="121" t="str">
        <f aca="false">IF(Checks!$AH$491="","",Checks!$AH$491)</f>
        <v>OPEN</v>
      </c>
    </row>
    <row r="36" customFormat="false" ht="114" hidden="false" customHeight="true" outlineLevel="0" collapsed="false">
      <c r="A36" s="120" t="str">
        <f aca="false">Checks!$A$492&amp;CHAR(10)&amp;IF(Checks!$I$492="","",Checks!$I$492&amp;": ")&amp;Checks!$J$492</f>
        <v>F15-T12-02
Meal: Meal quantities vs menu checklist</v>
      </c>
      <c r="B36" s="120" t="str">
        <f aca="false">Checks!$K$492&amp;IF(Checks!$O$492="","",IF(Checks!$K$492="","",CHAR(10))&amp;"Note: "&amp;Checks!$O$492)</f>
        <v>Enter expected &amp; actual
Note: Preparation check at caterer - does NOT confirm loading.</v>
      </c>
      <c r="C36" s="120" t="str">
        <f aca="false">Checks!$N$492&amp;CHAR(10)&amp;IF(ISNUMBER(Checks!$R$492),TEXT(Checks!$R$492,"DD-MMM-YY HH:MM"),"")&amp;" "&amp;Checks!$P$492</f>
        <v>Required
25-Oct-26 00:00 LHR</v>
      </c>
      <c r="D36" s="120" t="str">
        <f aca="false">IF(TRIM(Checks!$U$492)&lt;&gt;"",Checks!$U$492&amp;IF(Checks!$AB$492="","",CHAR(10)&amp;"CA: "&amp;Checks!$AB$492),IF(LEFT(Checks!$AH$492,10)="N/A – RULE","","[ ] Pass"&amp;CHAR(10)&amp;"[ ] Pass after CA"&amp;CHAR(10)&amp;"[ ] Fail"&amp;IF(Checks!$AT$492=1,CHAR(10)&amp;"[ ] N/A","")&amp;CHAR(10)&amp;"CA: Open / Closed"))</f>
        <v>[ ] Pass
[ ] Pass after CA
[ ] Fail
CA: Open / Closed</v>
      </c>
      <c r="E36" s="120" t="str">
        <f aca="false">IF(Checks!$V$492="","",Checks!$V$492)&amp;IF(Checks!$AC$492="","",IF(Checks!$V$492="","",CHAR(10))&amp;"N/A just.: "&amp;Checks!$AC$492)&amp;IF(OR(Checks!$W$492&lt;&gt;"",AND(Checks!$AQ$492=1,NOT(LEFT(Checks!$AH$492,10)="N/A – RULE"))),CHAR(10)&amp;"Batch: "&amp;IF(Checks!$W$492="","____________",Checks!$W$492),"")&amp;IF(OR(Checks!$X$492&lt;&gt;"",Checks!$Y$492&lt;&gt;"",AND(Checks!$AR$492=1,NOT(LEFT(Checks!$AH$492,10)="N/A – RULE"))),CHAR(10)&amp;"Exp: "&amp;IF(Checks!$X$492="","______",Checks!$X$492)&amp;"  /  Act: "&amp;IF(Checks!$Y$492="","______",Checks!$Y$492),"")</f>
        <v>
Exp: ______  /  Act: ______</v>
      </c>
      <c r="F36" s="120" t="str">
        <f aca="false">IF(AND(LEFT(Checks!$AH$492,10)="N/A – RULE",TRIM(Checks!$S$492&amp;Checks!$Z$492)=""),"","Type: "&amp;IF(TRIM(Checks!$S$492)="","______________ (see cover list)",Checks!$S$492)&amp;CHAR(10)&amp;"ID: "&amp;IF(TRIM(Checks!$Z$492)="","______________ (record's own no.)",Checks!$Z$492))&amp;IF(Checks!$AA$492="","",CHAR(10)&amp;"CA: "&amp;Checks!$AA$492)</f>
        <v>Type: ______________ (see cover list)
ID: ______________ (record's own no.)</v>
      </c>
      <c r="G36" s="120" t="str">
        <f aca="false">IF(AND(LEFT(Checks!$AH$492,10)="N/A – RULE",NOT(ISNUMBER(Checks!$AD$492)),Checks!$AE$492="",Checks!$T$492=""),"","Done: "&amp;IF(ISNUMBER(Checks!$AD$492),TEXT(Checks!$AD$492,"DD-MMM-YY HH:MM"),"____________")&amp;" "&amp;Checks!$P$492&amp;CHAR(10)&amp;"Verifier: "&amp;IF(Checks!$AE$492="","____________",Checks!$AE$492)&amp;CHAR(10)&amp;"PIC: "&amp;IF(Checks!$T$492="","____________",Checks!$T$492))</f>
        <v>Done: ____________ LHR
Verifier: ____________
PIC: ____________</v>
      </c>
      <c r="H36" s="121" t="str">
        <f aca="false">IF(Checks!$AH$492="","",Checks!$AH$492)</f>
        <v>OPEN</v>
      </c>
    </row>
    <row r="37" customFormat="false" ht="114" hidden="false" customHeight="true" outlineLevel="0" collapsed="false">
      <c r="A37" s="120" t="str">
        <f aca="false">Checks!$A$493&amp;CHAR(10)&amp;IF(Checks!$I$493="","",Checks!$I$493&amp;": ")&amp;Checks!$J$493</f>
        <v>F15-T12-03
Equipment: Equipment cleanliness vs GLD</v>
      </c>
      <c r="B37" s="120" t="str">
        <f aca="false">Checks!$K$493&amp;IF(Checks!$O$493="","",IF(Checks!$K$493="","",CHAR(10))&amp;"Note: "&amp;Checks!$O$493)</f>
        <v>Note: Preparation check at caterer - does NOT confirm loading.</v>
      </c>
      <c r="C37" s="120" t="str">
        <f aca="false">Checks!$N$493&amp;CHAR(10)&amp;IF(ISNUMBER(Checks!$R$493),TEXT(Checks!$R$493,"DD-MMM-YY HH:MM"),"")&amp;" "&amp;Checks!$P$493</f>
        <v>Required
25-Oct-26 00:00 LHR</v>
      </c>
      <c r="D37" s="120" t="str">
        <f aca="false">IF(TRIM(Checks!$U$493)&lt;&gt;"",Checks!$U$493&amp;IF(Checks!$AB$493="","",CHAR(10)&amp;"CA: "&amp;Checks!$AB$493),IF(LEFT(Checks!$AH$493,10)="N/A – RULE","","[ ] Pass"&amp;CHAR(10)&amp;"[ ] Pass after CA"&amp;CHAR(10)&amp;"[ ] Fail"&amp;IF(Checks!$AT$493=1,CHAR(10)&amp;"[ ] N/A","")&amp;CHAR(10)&amp;"CA: Open / Closed"))</f>
        <v>[ ] Pass
[ ] Pass after CA
[ ] Fail
CA: Open / Closed</v>
      </c>
      <c r="E37" s="120" t="str">
        <f aca="false">IF(Checks!$V$493="","",Checks!$V$493)&amp;IF(Checks!$AC$493="","",IF(Checks!$V$493="","",CHAR(10))&amp;"N/A just.: "&amp;Checks!$AC$493)&amp;IF(OR(Checks!$W$493&lt;&gt;"",AND(Checks!$AQ$493=1,NOT(LEFT(Checks!$AH$493,10)="N/A – RULE"))),CHAR(10)&amp;"Batch: "&amp;IF(Checks!$W$493="","____________",Checks!$W$493),"")&amp;IF(OR(Checks!$X$493&lt;&gt;"",Checks!$Y$493&lt;&gt;"",AND(Checks!$AR$493=1,NOT(LEFT(Checks!$AH$493,10)="N/A – RULE"))),CHAR(10)&amp;"Exp: "&amp;IF(Checks!$X$493="","______",Checks!$X$493)&amp;"  /  Act: "&amp;IF(Checks!$Y$493="","______",Checks!$Y$493),"")</f>
        <v/>
      </c>
      <c r="F37" s="120" t="str">
        <f aca="false">IF(AND(LEFT(Checks!$AH$493,10)="N/A – RULE",TRIM(Checks!$S$493&amp;Checks!$Z$493)=""),"","Type: "&amp;IF(TRIM(Checks!$S$493)="","______________ (see cover list)",Checks!$S$493)&amp;CHAR(10)&amp;"ID: "&amp;IF(TRIM(Checks!$Z$493)="","______________ (record's own no.)",Checks!$Z$493))&amp;IF(Checks!$AA$493="","",CHAR(10)&amp;"CA: "&amp;Checks!$AA$493)</f>
        <v>Type: ______________ (see cover list)
ID: ______________ (record's own no.)</v>
      </c>
      <c r="G37" s="120" t="str">
        <f aca="false">IF(AND(LEFT(Checks!$AH$493,10)="N/A – RULE",NOT(ISNUMBER(Checks!$AD$493)),Checks!$AE$493="",Checks!$T$493=""),"","Done: "&amp;IF(ISNUMBER(Checks!$AD$493),TEXT(Checks!$AD$493,"DD-MMM-YY HH:MM"),"____________")&amp;" "&amp;Checks!$P$493&amp;CHAR(10)&amp;"Verifier: "&amp;IF(Checks!$AE$493="","____________",Checks!$AE$493)&amp;CHAR(10)&amp;"PIC: "&amp;IF(Checks!$T$493="","____________",Checks!$T$493))</f>
        <v>Done: ____________ LHR
Verifier: ____________
PIC: ____________</v>
      </c>
      <c r="H37" s="121" t="str">
        <f aca="false">IF(Checks!$AH$493="","",Checks!$AH$493)</f>
        <v>OPEN</v>
      </c>
    </row>
    <row r="38" customFormat="false" ht="114" hidden="false" customHeight="true" outlineLevel="0" collapsed="false">
      <c r="A38" s="120" t="str">
        <f aca="false">Checks!$A$494&amp;CHAR(10)&amp;IF(Checks!$I$494="","",Checks!$I$494&amp;": ")&amp;Checks!$J$494</f>
        <v>F15-T12-04
Equipment: Equipment presentation vs GLD</v>
      </c>
      <c r="B38" s="120" t="str">
        <f aca="false">Checks!$K$494&amp;IF(Checks!$O$494="","",IF(Checks!$K$494="","",CHAR(10))&amp;"Note: "&amp;Checks!$O$494)</f>
        <v>Note: Preparation check at caterer - does NOT confirm loading.</v>
      </c>
      <c r="C38" s="120" t="str">
        <f aca="false">Checks!$N$494&amp;CHAR(10)&amp;IF(ISNUMBER(Checks!$R$494),TEXT(Checks!$R$494,"DD-MMM-YY HH:MM"),"")&amp;" "&amp;Checks!$P$494</f>
        <v>Required
25-Oct-26 00:00 LHR</v>
      </c>
      <c r="D38" s="120" t="str">
        <f aca="false">IF(TRIM(Checks!$U$494)&lt;&gt;"",Checks!$U$494&amp;IF(Checks!$AB$494="","",CHAR(10)&amp;"CA: "&amp;Checks!$AB$494),IF(LEFT(Checks!$AH$494,10)="N/A – RULE","","[ ] Pass"&amp;CHAR(10)&amp;"[ ] Pass after CA"&amp;CHAR(10)&amp;"[ ] Fail"&amp;IF(Checks!$AT$494=1,CHAR(10)&amp;"[ ] N/A","")&amp;CHAR(10)&amp;"CA: Open / Closed"))</f>
        <v>[ ] Pass
[ ] Pass after CA
[ ] Fail
CA: Open / Closed</v>
      </c>
      <c r="E38" s="120" t="str">
        <f aca="false">IF(Checks!$V$494="","",Checks!$V$494)&amp;IF(Checks!$AC$494="","",IF(Checks!$V$494="","",CHAR(10))&amp;"N/A just.: "&amp;Checks!$AC$494)&amp;IF(OR(Checks!$W$494&lt;&gt;"",AND(Checks!$AQ$494=1,NOT(LEFT(Checks!$AH$494,10)="N/A – RULE"))),CHAR(10)&amp;"Batch: "&amp;IF(Checks!$W$494="","____________",Checks!$W$494),"")&amp;IF(OR(Checks!$X$494&lt;&gt;"",Checks!$Y$494&lt;&gt;"",AND(Checks!$AR$494=1,NOT(LEFT(Checks!$AH$494,10)="N/A – RULE"))),CHAR(10)&amp;"Exp: "&amp;IF(Checks!$X$494="","______",Checks!$X$494)&amp;"  /  Act: "&amp;IF(Checks!$Y$494="","______",Checks!$Y$494),"")</f>
        <v/>
      </c>
      <c r="F38" s="120" t="str">
        <f aca="false">IF(AND(LEFT(Checks!$AH$494,10)="N/A – RULE",TRIM(Checks!$S$494&amp;Checks!$Z$494)=""),"","Type: "&amp;IF(TRIM(Checks!$S$494)="","______________ (see cover list)",Checks!$S$494)&amp;CHAR(10)&amp;"ID: "&amp;IF(TRIM(Checks!$Z$494)="","______________ (record's own no.)",Checks!$Z$494))&amp;IF(Checks!$AA$494="","",CHAR(10)&amp;"CA: "&amp;Checks!$AA$494)</f>
        <v>Type: ______________ (see cover list)
ID: ______________ (record's own no.)</v>
      </c>
      <c r="G38" s="120" t="str">
        <f aca="false">IF(AND(LEFT(Checks!$AH$494,10)="N/A – RULE",NOT(ISNUMBER(Checks!$AD$494)),Checks!$AE$494="",Checks!$T$494=""),"","Done: "&amp;IF(ISNUMBER(Checks!$AD$494),TEXT(Checks!$AD$494,"DD-MMM-YY HH:MM"),"____________")&amp;" "&amp;Checks!$P$494&amp;CHAR(10)&amp;"Verifier: "&amp;IF(Checks!$AE$494="","____________",Checks!$AE$494)&amp;CHAR(10)&amp;"PIC: "&amp;IF(Checks!$T$494="","____________",Checks!$T$494))</f>
        <v>Done: ____________ LHR
Verifier: ____________
PIC: ____________</v>
      </c>
      <c r="H38" s="121" t="str">
        <f aca="false">IF(Checks!$AH$494="","",Checks!$AH$494)</f>
        <v>OPEN</v>
      </c>
    </row>
    <row r="39" customFormat="false" ht="114" hidden="false" customHeight="true" outlineLevel="0" collapsed="false">
      <c r="A39" s="120" t="str">
        <f aca="false">Checks!$A$495&amp;CHAR(10)&amp;IF(Checks!$I$495="","",Checks!$I$495&amp;": ")&amp;Checks!$J$495</f>
        <v>F15-T12-05
Equipment: Equipment serviceability vs GLD</v>
      </c>
      <c r="B39" s="120" t="str">
        <f aca="false">Checks!$K$495&amp;IF(Checks!$O$495="","",IF(Checks!$K$495="","",CHAR(10))&amp;"Note: "&amp;Checks!$O$495)</f>
        <v>Note: Preparation check at caterer - does NOT confirm loading.</v>
      </c>
      <c r="C39" s="120" t="str">
        <f aca="false">Checks!$N$495&amp;CHAR(10)&amp;IF(ISNUMBER(Checks!$R$495),TEXT(Checks!$R$495,"DD-MMM-YY HH:MM"),"")&amp;" "&amp;Checks!$P$495</f>
        <v>Required
25-Oct-26 00:00 LHR</v>
      </c>
      <c r="D39" s="120" t="str">
        <f aca="false">IF(TRIM(Checks!$U$495)&lt;&gt;"",Checks!$U$495&amp;IF(Checks!$AB$495="","",CHAR(10)&amp;"CA: "&amp;Checks!$AB$495),IF(LEFT(Checks!$AH$495,10)="N/A – RULE","","[ ] Pass"&amp;CHAR(10)&amp;"[ ] Pass after CA"&amp;CHAR(10)&amp;"[ ] Fail"&amp;IF(Checks!$AT$495=1,CHAR(10)&amp;"[ ] N/A","")&amp;CHAR(10)&amp;"CA: Open / Closed"))</f>
        <v>[ ] Pass
[ ] Pass after CA
[ ] Fail
CA: Open / Closed</v>
      </c>
      <c r="E39" s="120" t="str">
        <f aca="false">IF(Checks!$V$495="","",Checks!$V$495)&amp;IF(Checks!$AC$495="","",IF(Checks!$V$495="","",CHAR(10))&amp;"N/A just.: "&amp;Checks!$AC$495)&amp;IF(OR(Checks!$W$495&lt;&gt;"",AND(Checks!$AQ$495=1,NOT(LEFT(Checks!$AH$495,10)="N/A – RULE"))),CHAR(10)&amp;"Batch: "&amp;IF(Checks!$W$495="","____________",Checks!$W$495),"")&amp;IF(OR(Checks!$X$495&lt;&gt;"",Checks!$Y$495&lt;&gt;"",AND(Checks!$AR$495=1,NOT(LEFT(Checks!$AH$495,10)="N/A – RULE"))),CHAR(10)&amp;"Exp: "&amp;IF(Checks!$X$495="","______",Checks!$X$495)&amp;"  /  Act: "&amp;IF(Checks!$Y$495="","______",Checks!$Y$495),"")</f>
        <v/>
      </c>
      <c r="F39" s="120" t="str">
        <f aca="false">IF(AND(LEFT(Checks!$AH$495,10)="N/A – RULE",TRIM(Checks!$S$495&amp;Checks!$Z$495)=""),"","Type: "&amp;IF(TRIM(Checks!$S$495)="","______________ (see cover list)",Checks!$S$495)&amp;CHAR(10)&amp;"ID: "&amp;IF(TRIM(Checks!$Z$495)="","______________ (record's own no.)",Checks!$Z$495))&amp;IF(Checks!$AA$495="","",CHAR(10)&amp;"CA: "&amp;Checks!$AA$495)</f>
        <v>Type: ______________ (see cover list)
ID: ______________ (record's own no.)</v>
      </c>
      <c r="G39" s="120" t="str">
        <f aca="false">IF(AND(LEFT(Checks!$AH$495,10)="N/A – RULE",NOT(ISNUMBER(Checks!$AD$495)),Checks!$AE$495="",Checks!$T$495=""),"","Done: "&amp;IF(ISNUMBER(Checks!$AD$495),TEXT(Checks!$AD$495,"DD-MMM-YY HH:MM"),"____________")&amp;" "&amp;Checks!$P$495&amp;CHAR(10)&amp;"Verifier: "&amp;IF(Checks!$AE$495="","____________",Checks!$AE$495)&amp;CHAR(10)&amp;"PIC: "&amp;IF(Checks!$T$495="","____________",Checks!$T$495))</f>
        <v>Done: ____________ LHR
Verifier: ____________
PIC: ____________</v>
      </c>
      <c r="H39" s="121" t="str">
        <f aca="false">IF(Checks!$AH$495="","",Checks!$AH$495)</f>
        <v>OPEN</v>
      </c>
    </row>
    <row r="40" customFormat="false" ht="289.5" hidden="false" customHeight="true" outlineLevel="0" collapsed="false">
      <c r="A40" s="120" t="str">
        <f aca="false">Checks!$A$496&amp;CHAR(10)&amp;IF(Checks!$I$496="","",Checks!$I$496&amp;": ")&amp;Checks!$J$496</f>
        <v>F15-T12-06
Equipment: Equipment quantities vs GLD</v>
      </c>
      <c r="B40" s="120" t="str">
        <f aca="false">SUBSTITUTE(SUBSTITUTE(SUBSTITUTE(Checks!$K$496&amp;IF(Checks!$O$496="","",IF(Checks!$K$496="","",CHAR(10))&amp;"Note: "&amp;Checks!$O$496),"makers -,","makers n/a,")," (AIRCRAFT TYPE!C6:R6)","")," (AIRCRAFT TYPE!C7:R7)","")</f>
        <v>Enter expected &amp; actual. Aircraft galley data: A350-900 (A359): carts 50.5, SU 70, ovens 14, warming ovens 3, fridges 3, water heaters 7, beverage makers n/a, espresso 2, folding trolleys 4, headsets BC &amp; EY: Dual Pin | A350-900 (A350): carts 41.5, SU 52, ovens 14, warming ovens 0, fridges 1, water heaters 11, beverage makers n/a, espresso 1, folding trolleys 3, headsets BC: Dual Pin/ EY: Single Pin
Note: Preparation check at caterer - does NOT confirm loading.</v>
      </c>
      <c r="C40" s="120" t="str">
        <f aca="false">Checks!$N$496&amp;CHAR(10)&amp;IF(ISNUMBER(Checks!$R$496),TEXT(Checks!$R$496,"DD-MMM-YY HH:MM"),"")&amp;" "&amp;Checks!$P$496</f>
        <v>Required
25-Oct-26 00:00 LHR</v>
      </c>
      <c r="D40" s="120" t="str">
        <f aca="false">IF(TRIM(Checks!$U$496)&lt;&gt;"",Checks!$U$496&amp;IF(Checks!$AB$496="","",CHAR(10)&amp;"CA: "&amp;Checks!$AB$496),IF(LEFT(Checks!$AH$496,10)="N/A – RULE","","[ ] Pass"&amp;CHAR(10)&amp;"[ ] Pass after CA"&amp;CHAR(10)&amp;"[ ] Fail"&amp;IF(Checks!$AT$496=1,CHAR(10)&amp;"[ ] N/A","")&amp;CHAR(10)&amp;"CA: Open / Closed"))</f>
        <v>[ ] Pass
[ ] Pass after CA
[ ] Fail
CA: Open / Closed</v>
      </c>
      <c r="E40" s="120" t="str">
        <f aca="false">IF(Checks!$V$496="","",Checks!$V$496)&amp;IF(Checks!$AC$496="","",IF(Checks!$V$496="","",CHAR(10))&amp;"N/A just.: "&amp;Checks!$AC$496)&amp;IF(OR(Checks!$W$496&lt;&gt;"",AND(Checks!$AQ$496=1,NOT(LEFT(Checks!$AH$496,10)="N/A – RULE"))),CHAR(10)&amp;"Batch: "&amp;IF(Checks!$W$496="","____________",Checks!$W$496),"")&amp;IF(OR(Checks!$X$496&lt;&gt;"",Checks!$Y$496&lt;&gt;"",AND(Checks!$AR$496=1,NOT(LEFT(Checks!$AH$496,10)="N/A – RULE"))),CHAR(10)&amp;"Exp: "&amp;IF(Checks!$X$496="","______",Checks!$X$496)&amp;"  /  Act: "&amp;IF(Checks!$Y$496="","______",Checks!$Y$496),"")</f>
        <v>
Exp: ______  /  Act: ______</v>
      </c>
      <c r="F40" s="120" t="str">
        <f aca="false">IF(AND(LEFT(Checks!$AH$496,10)="N/A – RULE",TRIM(Checks!$S$496&amp;Checks!$Z$496)=""),"","Type: "&amp;IF(TRIM(Checks!$S$496)="","______________ (see cover list)",Checks!$S$496)&amp;CHAR(10)&amp;"ID: "&amp;IF(TRIM(Checks!$Z$496)="","______________ (record's own no.)",Checks!$Z$496))&amp;IF(Checks!$AA$496="","",CHAR(10)&amp;"CA: "&amp;Checks!$AA$496)</f>
        <v>Type: ______________ (see cover list)
ID: ______________ (record's own no.)</v>
      </c>
      <c r="G40" s="120" t="str">
        <f aca="false">IF(AND(LEFT(Checks!$AH$496,10)="N/A – RULE",NOT(ISNUMBER(Checks!$AD$496)),Checks!$AE$496="",Checks!$T$496=""),"","Done: "&amp;IF(ISNUMBER(Checks!$AD$496),TEXT(Checks!$AD$496,"DD-MMM-YY HH:MM"),"____________")&amp;" "&amp;Checks!$P$496&amp;CHAR(10)&amp;"Verifier: "&amp;IF(Checks!$AE$496="","____________",Checks!$AE$496)&amp;CHAR(10)&amp;"PIC: "&amp;IF(Checks!$T$496="","____________",Checks!$T$496))</f>
        <v>Done: ____________ LHR
Verifier: ____________
PIC: ____________</v>
      </c>
      <c r="H40" s="121" t="str">
        <f aca="false">IF(Checks!$AH$496="","",Checks!$AH$496)</f>
        <v>OPEN</v>
      </c>
    </row>
    <row r="41" customFormat="false" ht="114" hidden="false" customHeight="true" outlineLevel="0" collapsed="false">
      <c r="A41" s="120" t="str">
        <f aca="false">Checks!$A$497&amp;CHAR(10)&amp;IF(Checks!$I$497="","",Checks!$I$497&amp;": ")&amp;Checks!$J$497</f>
        <v>F15-T12-07
Equipment: Loading positions planned vs GLD</v>
      </c>
      <c r="B41" s="120" t="str">
        <f aca="false">Checks!$K$497&amp;IF(Checks!$O$497="","",IF(Checks!$K$497="","",CHAR(10))&amp;"Note: "&amp;Checks!$O$497)</f>
        <v>Note: Preparation check at caterer - does NOT confirm loading.</v>
      </c>
      <c r="C41" s="120" t="str">
        <f aca="false">Checks!$N$497&amp;CHAR(10)&amp;IF(ISNUMBER(Checks!$R$497),TEXT(Checks!$R$497,"DD-MMM-YY HH:MM"),"")&amp;" "&amp;Checks!$P$497</f>
        <v>Required
25-Oct-26 00:00 LHR</v>
      </c>
      <c r="D41" s="120" t="str">
        <f aca="false">IF(TRIM(Checks!$U$497)&lt;&gt;"",Checks!$U$497&amp;IF(Checks!$AB$497="","",CHAR(10)&amp;"CA: "&amp;Checks!$AB$497),IF(LEFT(Checks!$AH$497,10)="N/A – RULE","","[ ] Pass"&amp;CHAR(10)&amp;"[ ] Pass after CA"&amp;CHAR(10)&amp;"[ ] Fail"&amp;IF(Checks!$AT$497=1,CHAR(10)&amp;"[ ] N/A","")&amp;CHAR(10)&amp;"CA: Open / Closed"))</f>
        <v>[ ] Pass
[ ] Pass after CA
[ ] Fail
CA: Open / Closed</v>
      </c>
      <c r="E41" s="120" t="str">
        <f aca="false">IF(Checks!$V$497="","",Checks!$V$497)&amp;IF(Checks!$AC$497="","",IF(Checks!$V$497="","",CHAR(10))&amp;"N/A just.: "&amp;Checks!$AC$497)&amp;IF(OR(Checks!$W$497&lt;&gt;"",AND(Checks!$AQ$497=1,NOT(LEFT(Checks!$AH$497,10)="N/A – RULE"))),CHAR(10)&amp;"Batch: "&amp;IF(Checks!$W$497="","____________",Checks!$W$497),"")&amp;IF(OR(Checks!$X$497&lt;&gt;"",Checks!$Y$497&lt;&gt;"",AND(Checks!$AR$497=1,NOT(LEFT(Checks!$AH$497,10)="N/A – RULE"))),CHAR(10)&amp;"Exp: "&amp;IF(Checks!$X$497="","______",Checks!$X$497)&amp;"  /  Act: "&amp;IF(Checks!$Y$497="","______",Checks!$Y$497),"")</f>
        <v/>
      </c>
      <c r="F41" s="120" t="str">
        <f aca="false">IF(AND(LEFT(Checks!$AH$497,10)="N/A – RULE",TRIM(Checks!$S$497&amp;Checks!$Z$497)=""),"","Type: "&amp;IF(TRIM(Checks!$S$497)="","______________ (see cover list)",Checks!$S$497)&amp;CHAR(10)&amp;"ID: "&amp;IF(TRIM(Checks!$Z$497)="","______________ (record's own no.)",Checks!$Z$497))&amp;IF(Checks!$AA$497="","",CHAR(10)&amp;"CA: "&amp;Checks!$AA$497)</f>
        <v>Type: ______________ (see cover list)
ID: ______________ (record's own no.)</v>
      </c>
      <c r="G41" s="120" t="str">
        <f aca="false">IF(AND(LEFT(Checks!$AH$497,10)="N/A – RULE",NOT(ISNUMBER(Checks!$AD$497)),Checks!$AE$497="",Checks!$T$497=""),"","Done: "&amp;IF(ISNUMBER(Checks!$AD$497),TEXT(Checks!$AD$497,"DD-MMM-YY HH:MM"),"____________")&amp;" "&amp;Checks!$P$497&amp;CHAR(10)&amp;"Verifier: "&amp;IF(Checks!$AE$497="","____________",Checks!$AE$497)&amp;CHAR(10)&amp;"PIC: "&amp;IF(Checks!$T$497="","____________",Checks!$T$497))</f>
        <v>Done: ____________ LHR
Verifier: ____________
PIC: ____________</v>
      </c>
      <c r="H41" s="121" t="str">
        <f aca="false">IF(Checks!$AH$497="","",Checks!$AH$497)</f>
        <v>OPEN</v>
      </c>
    </row>
    <row r="42" customFormat="false" ht="135.75" hidden="false" customHeight="true" outlineLevel="0" collapsed="false">
      <c r="A42" s="120" t="str">
        <f aca="false">Checks!$A$498&amp;CHAR(10)&amp;IF(Checks!$I$498="","",Checks!$I$498&amp;": ")&amp;Checks!$J$498</f>
        <v>F15-T12-08
Amenities: Toiletry kits - prepared</v>
      </c>
      <c r="B42" s="120" t="str">
        <f aca="false">Checks!$K$498&amp;IF(Checks!$O$498="","",IF(Checks!$K$498="","",CHAR(10))&amp;"Note: "&amp;Checks!$O$498)</f>
        <v>Available for sector (ticked in reference)
Note: Reference does not state the cabin class for toiletry kits. Confirm whether EY receives them; if not, mark N/A with the confirmation as justification.</v>
      </c>
      <c r="C42" s="120" t="str">
        <f aca="false">Checks!$N$498&amp;CHAR(10)&amp;IF(ISNUMBER(Checks!$R$498),TEXT(Checks!$R$498,"DD-MMM-YY HH:MM"),"")&amp;" "&amp;Checks!$P$498</f>
        <v>Clarification required
25-Oct-26 00:00 LHR</v>
      </c>
      <c r="D42" s="120" t="str">
        <f aca="false">IF(TRIM(Checks!$U$498)&lt;&gt;"",Checks!$U$498&amp;IF(Checks!$AB$498="","",CHAR(10)&amp;"CA: "&amp;Checks!$AB$498),IF(LEFT(Checks!$AH$498,10)="N/A – RULE","","[ ] Pass"&amp;CHAR(10)&amp;"[ ] Pass after CA"&amp;CHAR(10)&amp;"[ ] Fail"&amp;IF(Checks!$AT$498=1,CHAR(10)&amp;"[ ] N/A","")&amp;CHAR(10)&amp;"CA: Open / Closed"))</f>
        <v>[ ] Pass
[ ] Pass after CA
[ ] Fail
[ ] N/A
CA: Open / Closed</v>
      </c>
      <c r="E42" s="120" t="str">
        <f aca="false">IF(Checks!$V$498="","",Checks!$V$498)&amp;IF(Checks!$AC$498="","",IF(Checks!$V$498="","",CHAR(10))&amp;"N/A just.: "&amp;Checks!$AC$498)&amp;IF(OR(Checks!$W$498&lt;&gt;"",AND(Checks!$AQ$498=1,NOT(LEFT(Checks!$AH$498,10)="N/A – RULE"))),CHAR(10)&amp;"Batch: "&amp;IF(Checks!$W$498="","____________",Checks!$W$498),"")&amp;IF(OR(Checks!$X$498&lt;&gt;"",Checks!$Y$498&lt;&gt;"",AND(Checks!$AR$498=1,NOT(LEFT(Checks!$AH$498,10)="N/A – RULE"))),CHAR(10)&amp;"Exp: "&amp;IF(Checks!$X$498="","______",Checks!$X$498)&amp;"  /  Act: "&amp;IF(Checks!$Y$498="","______",Checks!$Y$498),"")</f>
        <v/>
      </c>
      <c r="F42" s="120" t="str">
        <f aca="false">IF(AND(LEFT(Checks!$AH$498,10)="N/A – RULE",TRIM(Checks!$S$498&amp;Checks!$Z$498)=""),"","Type: "&amp;IF(TRIM(Checks!$S$498)="","______________ (see cover list)",Checks!$S$498)&amp;CHAR(10)&amp;"ID: "&amp;IF(TRIM(Checks!$Z$498)="","______________ (record's own no.)",Checks!$Z$498))&amp;IF(Checks!$AA$498="","",CHAR(10)&amp;"CA: "&amp;Checks!$AA$498)</f>
        <v>Type: ______________ (see cover list)
ID: ______________ (record's own no.)</v>
      </c>
      <c r="G42" s="120" t="str">
        <f aca="false">IF(AND(LEFT(Checks!$AH$498,10)="N/A – RULE",NOT(ISNUMBER(Checks!$AD$498)),Checks!$AE$498="",Checks!$T$498=""),"","Done: "&amp;IF(ISNUMBER(Checks!$AD$498),TEXT(Checks!$AD$498,"DD-MMM-YY HH:MM"),"____________")&amp;" "&amp;Checks!$P$498&amp;CHAR(10)&amp;"Verifier: "&amp;IF(Checks!$AE$498="","____________",Checks!$AE$498)&amp;CHAR(10)&amp;"PIC: "&amp;IF(Checks!$T$498="","____________",Checks!$T$498))</f>
        <v>Done: ____________ LHR
Verifier: ____________
PIC: ____________</v>
      </c>
      <c r="H42" s="121" t="str">
        <f aca="false">IF(Checks!$AH$498="","",Checks!$AH$498)</f>
        <v>OPEN – CLARIFICATION</v>
      </c>
    </row>
    <row r="43" customFormat="false" ht="114" hidden="false" customHeight="true" outlineLevel="0" collapsed="false">
      <c r="A43" s="120" t="str">
        <f aca="false">Checks!$A$499&amp;CHAR(10)&amp;IF(Checks!$I$499="","",Checks!$I$499&amp;": ")&amp;Checks!$J$499</f>
        <v>F15-T12-09
Seat Linen: Seat pillow (EY) - prepared</v>
      </c>
      <c r="B43" s="120" t="str">
        <f aca="false">Checks!$K$499&amp;IF(Checks!$O$499="","",IF(Checks!$K$499="","",CHAR(10))&amp;"Note: "&amp;Checks!$O$499)</f>
        <v>Available 100% (ticked in reference)
Note: Reference gives no uplift stn for this item: preparation checked at the meal uplift stn (LHR) - confirm with caterer.</v>
      </c>
      <c r="C43" s="120" t="str">
        <f aca="false">Checks!$N$499&amp;CHAR(10)&amp;IF(ISNUMBER(Checks!$R$499),TEXT(Checks!$R$499,"DD-MMM-YY HH:MM"),"")&amp;" "&amp;Checks!$P$499</f>
        <v>Required
25-Oct-26 00:00 LHR</v>
      </c>
      <c r="D43" s="120" t="str">
        <f aca="false">IF(TRIM(Checks!$U$499)&lt;&gt;"",Checks!$U$499&amp;IF(Checks!$AB$499="","",CHAR(10)&amp;"CA: "&amp;Checks!$AB$499),IF(LEFT(Checks!$AH$499,10)="N/A – RULE","","[ ] Pass"&amp;CHAR(10)&amp;"[ ] Pass after CA"&amp;CHAR(10)&amp;"[ ] Fail"&amp;IF(Checks!$AT$499=1,CHAR(10)&amp;"[ ] N/A","")&amp;CHAR(10)&amp;"CA: Open / Closed"))</f>
        <v>[ ] Pass
[ ] Pass after CA
[ ] Fail
CA: Open / Closed</v>
      </c>
      <c r="E43" s="120" t="str">
        <f aca="false">IF(Checks!$V$499="","",Checks!$V$499)&amp;IF(Checks!$AC$499="","",IF(Checks!$V$499="","",CHAR(10))&amp;"N/A just.: "&amp;Checks!$AC$499)&amp;IF(OR(Checks!$W$499&lt;&gt;"",AND(Checks!$AQ$499=1,NOT(LEFT(Checks!$AH$499,10)="N/A – RULE"))),CHAR(10)&amp;"Batch: "&amp;IF(Checks!$W$499="","____________",Checks!$W$499),"")&amp;IF(OR(Checks!$X$499&lt;&gt;"",Checks!$Y$499&lt;&gt;"",AND(Checks!$AR$499=1,NOT(LEFT(Checks!$AH$499,10)="N/A – RULE"))),CHAR(10)&amp;"Exp: "&amp;IF(Checks!$X$499="","______",Checks!$X$499)&amp;"  /  Act: "&amp;IF(Checks!$Y$499="","______",Checks!$Y$499),"")</f>
        <v/>
      </c>
      <c r="F43" s="120" t="str">
        <f aca="false">IF(AND(LEFT(Checks!$AH$499,10)="N/A – RULE",TRIM(Checks!$S$499&amp;Checks!$Z$499)=""),"","Type: "&amp;IF(TRIM(Checks!$S$499)="","______________ (see cover list)",Checks!$S$499)&amp;CHAR(10)&amp;"ID: "&amp;IF(TRIM(Checks!$Z$499)="","______________ (record's own no.)",Checks!$Z$499))&amp;IF(Checks!$AA$499="","",CHAR(10)&amp;"CA: "&amp;Checks!$AA$499)</f>
        <v>Type: ______________ (see cover list)
ID: ______________ (record's own no.)</v>
      </c>
      <c r="G43" s="120" t="str">
        <f aca="false">IF(AND(LEFT(Checks!$AH$499,10)="N/A – RULE",NOT(ISNUMBER(Checks!$AD$499)),Checks!$AE$499="",Checks!$T$499=""),"","Done: "&amp;IF(ISNUMBER(Checks!$AD$499),TEXT(Checks!$AD$499,"DD-MMM-YY HH:MM"),"____________")&amp;" "&amp;Checks!$P$499&amp;CHAR(10)&amp;"Verifier: "&amp;IF(Checks!$AE$499="","____________",Checks!$AE$499)&amp;CHAR(10)&amp;"PIC: "&amp;IF(Checks!$T$499="","____________",Checks!$T$499))</f>
        <v>Done: ____________ LHR
Verifier: ____________
PIC: ____________</v>
      </c>
      <c r="H43" s="121" t="str">
        <f aca="false">IF(Checks!$AH$499="","",Checks!$AH$499)</f>
        <v>OPEN</v>
      </c>
    </row>
    <row r="44" customFormat="false" ht="201.75" hidden="false" customHeight="true" outlineLevel="0" collapsed="false">
      <c r="A44" s="120" t="str">
        <f aca="false">Checks!$A$500&amp;CHAR(10)&amp;IF(Checks!$I$500="","",Checks!$I$500&amp;": ")&amp;Checks!$J$500</f>
        <v>F15-T12-10
Seat Linen: Blanket (EY) - prepared</v>
      </c>
      <c r="B44" s="120" t="str">
        <f aca="false">SUBSTITUTE(SUBSTITUTE(SUBSTITUTE(Checks!$K$500&amp;IF(Checks!$O$500="","",IF(Checks!$K$500="","",CHAR(10))&amp;"Note: "&amp;Checks!$O$500)," (SEAT LINEN!B74:C74)","")," (SEAT LINEN!B76:C76)","")," (SEAT LINEN!B77:C77)","")</f>
        <v>Available 100% (ticked in reference); qty 280 (A350 9M-MAH) / 260 (A359) - per tail
Note: EY blanket: flight above 3 hours excl. Regional; block 11.75 h. Qty per tail: A350 280 pcs, A359 260 pcs. Reference gives no uplift stn for this item: preparation checked at the meal uplift stn (LHR) - confirm with caterer.</v>
      </c>
      <c r="C44" s="120" t="str">
        <f aca="false">Checks!$N$500&amp;CHAR(10)&amp;IF(ISNUMBER(Checks!$R$500),TEXT(Checks!$R$500,"DD-MMM-YY HH:MM"),"")&amp;" "&amp;Checks!$P$500</f>
        <v>Required
25-Oct-26 00:00 LHR</v>
      </c>
      <c r="D44" s="120" t="str">
        <f aca="false">IF(TRIM(Checks!$U$500)&lt;&gt;"",Checks!$U$500&amp;IF(Checks!$AB$500="","",CHAR(10)&amp;"CA: "&amp;Checks!$AB$500),IF(LEFT(Checks!$AH$500,10)="N/A – RULE","","[ ] Pass"&amp;CHAR(10)&amp;"[ ] Pass after CA"&amp;CHAR(10)&amp;"[ ] Fail"&amp;IF(Checks!$AT$500=1,CHAR(10)&amp;"[ ] N/A","")&amp;CHAR(10)&amp;"CA: Open / Closed"))</f>
        <v>[ ] Pass
[ ] Pass after CA
[ ] Fail
CA: Open / Closed</v>
      </c>
      <c r="E44" s="120" t="str">
        <f aca="false">IF(Checks!$V$500="","",Checks!$V$500)&amp;IF(Checks!$AC$500="","",IF(Checks!$V$500="","",CHAR(10))&amp;"N/A just.: "&amp;Checks!$AC$500)&amp;IF(OR(Checks!$W$500&lt;&gt;"",AND(Checks!$AQ$500=1,NOT(LEFT(Checks!$AH$500,10)="N/A – RULE"))),CHAR(10)&amp;"Batch: "&amp;IF(Checks!$W$500="","____________",Checks!$W$500),"")&amp;IF(OR(Checks!$X$500&lt;&gt;"",Checks!$Y$500&lt;&gt;"",AND(Checks!$AR$500=1,NOT(LEFT(Checks!$AH$500,10)="N/A – RULE"))),CHAR(10)&amp;"Exp: "&amp;IF(Checks!$X$500="","______",Checks!$X$500)&amp;"  /  Act: "&amp;IF(Checks!$Y$500="","______",Checks!$Y$500),"")</f>
        <v>
Exp: ______  /  Act: ______</v>
      </c>
      <c r="F44" s="120" t="str">
        <f aca="false">IF(AND(LEFT(Checks!$AH$500,10)="N/A – RULE",TRIM(Checks!$S$500&amp;Checks!$Z$500)=""),"","Type: "&amp;IF(TRIM(Checks!$S$500)="","______________ (see cover list)",Checks!$S$500)&amp;CHAR(10)&amp;"ID: "&amp;IF(TRIM(Checks!$Z$500)="","______________ (record's own no.)",Checks!$Z$500))&amp;IF(Checks!$AA$500="","",CHAR(10)&amp;"CA: "&amp;Checks!$AA$500)</f>
        <v>Type: ______________ (see cover list)
ID: ______________ (record's own no.)</v>
      </c>
      <c r="G44" s="120" t="str">
        <f aca="false">IF(AND(LEFT(Checks!$AH$500,10)="N/A – RULE",NOT(ISNUMBER(Checks!$AD$500)),Checks!$AE$500="",Checks!$T$500=""),"","Done: "&amp;IF(ISNUMBER(Checks!$AD$500),TEXT(Checks!$AD$500,"DD-MMM-YY HH:MM"),"____________")&amp;" "&amp;Checks!$P$500&amp;CHAR(10)&amp;"Verifier: "&amp;IF(Checks!$AE$500="","____________",Checks!$AE$500)&amp;CHAR(10)&amp;"PIC: "&amp;IF(Checks!$T$500="","____________",Checks!$T$500))</f>
        <v>Done: ____________ LHR
Verifier: ____________
PIC: ____________</v>
      </c>
      <c r="H44" s="121" t="str">
        <f aca="false">IF(Checks!$AH$500="","",Checks!$AH$500)</f>
        <v>OPEN</v>
      </c>
    </row>
    <row r="45" customFormat="false" ht="25.5" hidden="false" customHeight="true" outlineLevel="0" collapsed="false">
      <c r="A45" s="119" t="str">
        <f aca="false">"UPLIFT — Physical uplift – on-board confirmation before departure  |  Due "&amp;"STD "&amp;IF(ISNUMBER(Flights!$I$19),TEXT(Flights!$I$19,"DD-MMM-YY HH:MM"),"")&amp;" "&amp;Flights!$G$19&amp;" (departure stn)"&amp;" (rows with another due show their own)  |  Complete "&amp;IF(ISNUMBER(Flights!$AM$19),TEXT(Flights!$AM$19,"0%"),Flights!$AM$19)&amp;"  |  5 lines"</f>
        <v>UPLIFT — Physical uplift – on-board confirmation before departure  |  Due STD 25-Oct-26 11:00 LHR (departure stn) (rows with another due show their own)  |  Complete 0%  |  5 lines</v>
      </c>
      <c r="B45" s="119"/>
      <c r="C45" s="119"/>
      <c r="D45" s="119"/>
      <c r="E45" s="119"/>
      <c r="F45" s="119"/>
      <c r="G45" s="119"/>
      <c r="H45" s="119"/>
    </row>
    <row r="46" customFormat="false" ht="114" hidden="false" customHeight="true" outlineLevel="0" collapsed="false">
      <c r="A46" s="120" t="str">
        <f aca="false">Checks!$A$501&amp;CHAR(10)&amp;IF(Checks!$I$501="","",Checks!$I$501&amp;": ")&amp;Checks!$J$501</f>
        <v>F15-UPL-01
Meal: Meals physically uplifted on board - quantity vs menu checklist</v>
      </c>
      <c r="B46" s="120" t="str">
        <f aca="false">Checks!$K$501&amp;IF(Checks!$O$501="","",IF(Checks!$K$501="","",CHAR(10))&amp;"Note: "&amp;Checks!$O$501)</f>
        <v>Enter expected &amp; actual
Note: Confirm on board before departure; completion time must fall inside the uplift window.</v>
      </c>
      <c r="C46" s="120" t="str">
        <f aca="false">Checks!$N$501&amp;CHAR(10)&amp;IF(ISNUMBER(Checks!$R$501),TEXT(Checks!$R$501,"DD-MMM-YY HH:MM"),"")&amp;" "&amp;Checks!$P$501</f>
        <v>Required
25-Oct-26 11:00 LHR</v>
      </c>
      <c r="D46" s="120" t="str">
        <f aca="false">IF(TRIM(Checks!$U$501)&lt;&gt;"",Checks!$U$501&amp;IF(Checks!$AB$501="","",CHAR(10)&amp;"CA: "&amp;Checks!$AB$501),IF(LEFT(Checks!$AH$501,10)="N/A – RULE","","[ ] Pass"&amp;CHAR(10)&amp;"[ ] Pass after CA"&amp;CHAR(10)&amp;"[ ] Fail"&amp;IF(Checks!$AT$501=1,CHAR(10)&amp;"[ ] N/A","")&amp;CHAR(10)&amp;"CA: Open / Closed"))</f>
        <v>[ ] Pass
[ ] Pass after CA
[ ] Fail
CA: Open / Closed</v>
      </c>
      <c r="E46" s="120" t="str">
        <f aca="false">IF(Checks!$V$501="","",Checks!$V$501)&amp;IF(Checks!$AC$501="","",IF(Checks!$V$501="","",CHAR(10))&amp;"N/A just.: "&amp;Checks!$AC$501)&amp;IF(OR(Checks!$W$501&lt;&gt;"",AND(Checks!$AQ$501=1,NOT(LEFT(Checks!$AH$501,10)="N/A – RULE"))),CHAR(10)&amp;"Batch: "&amp;IF(Checks!$W$501="","____________",Checks!$W$501),"")&amp;IF(OR(Checks!$X$501&lt;&gt;"",Checks!$Y$501&lt;&gt;"",AND(Checks!$AR$501=1,NOT(LEFT(Checks!$AH$501,10)="N/A – RULE"))),CHAR(10)&amp;"Exp: "&amp;IF(Checks!$X$501="","______",Checks!$X$501)&amp;"  /  Act: "&amp;IF(Checks!$Y$501="","______",Checks!$Y$501),"")</f>
        <v>
Exp: ______  /  Act: ______</v>
      </c>
      <c r="F46" s="120" t="str">
        <f aca="false">IF(AND(LEFT(Checks!$AH$501,10)="N/A – RULE",TRIM(Checks!$S$501&amp;Checks!$Z$501)=""),"","Type: "&amp;IF(TRIM(Checks!$S$501)="","______________ (see cover list)",Checks!$S$501)&amp;CHAR(10)&amp;"ID: "&amp;IF(TRIM(Checks!$Z$501)="","______________ (record's own no.)",Checks!$Z$501))&amp;IF(Checks!$AA$501="","",CHAR(10)&amp;"CA: "&amp;Checks!$AA$501)</f>
        <v>Type: ______________ (see cover list)
ID: ______________ (record's own no.)</v>
      </c>
      <c r="G46" s="120" t="str">
        <f aca="false">IF(AND(LEFT(Checks!$AH$501,10)="N/A – RULE",NOT(ISNUMBER(Checks!$AD$501)),Checks!$AE$501="",Checks!$T$501=""),"","Done: "&amp;IF(ISNUMBER(Checks!$AD$501),TEXT(Checks!$AD$501,"DD-MMM-YY HH:MM"),"____________")&amp;" "&amp;Checks!$P$501&amp;CHAR(10)&amp;"Verifier: "&amp;IF(Checks!$AE$501="","____________",Checks!$AE$501)&amp;CHAR(10)&amp;"PIC: "&amp;IF(Checks!$T$501="","____________",Checks!$T$501))</f>
        <v>Done: ____________ LHR
Verifier: ____________
PIC: ____________</v>
      </c>
      <c r="H46" s="121" t="str">
        <f aca="false">IF(Checks!$AH$501="","",Checks!$AH$501)</f>
        <v>OPEN</v>
      </c>
    </row>
    <row r="47" customFormat="false" ht="114" hidden="false" customHeight="true" outlineLevel="0" collapsed="false">
      <c r="A47" s="120" t="str">
        <f aca="false">Checks!$A$502&amp;CHAR(10)&amp;IF(Checks!$I$502="","",Checks!$I$502&amp;": ")&amp;Checks!$J$502</f>
        <v>F15-UPL-02
Equipment: Equipment physically loaded at GLD positions - quantity &amp; positions</v>
      </c>
      <c r="B47" s="120" t="str">
        <f aca="false">Checks!$K$502&amp;IF(Checks!$O$502="","",IF(Checks!$K$502="","",CHAR(10))&amp;"Note: "&amp;Checks!$O$502)</f>
        <v>Enter expected &amp; actual
Note: Confirm on board before departure; completion time must fall inside the uplift window.</v>
      </c>
      <c r="C47" s="120" t="str">
        <f aca="false">Checks!$N$502&amp;CHAR(10)&amp;IF(ISNUMBER(Checks!$R$502),TEXT(Checks!$R$502,"DD-MMM-YY HH:MM"),"")&amp;" "&amp;Checks!$P$502</f>
        <v>Required
25-Oct-26 11:00 LHR</v>
      </c>
      <c r="D47" s="120" t="str">
        <f aca="false">IF(TRIM(Checks!$U$502)&lt;&gt;"",Checks!$U$502&amp;IF(Checks!$AB$502="","",CHAR(10)&amp;"CA: "&amp;Checks!$AB$502),IF(LEFT(Checks!$AH$502,10)="N/A – RULE","","[ ] Pass"&amp;CHAR(10)&amp;"[ ] Pass after CA"&amp;CHAR(10)&amp;"[ ] Fail"&amp;IF(Checks!$AT$502=1,CHAR(10)&amp;"[ ] N/A","")&amp;CHAR(10)&amp;"CA: Open / Closed"))</f>
        <v>[ ] Pass
[ ] Pass after CA
[ ] Fail
CA: Open / Closed</v>
      </c>
      <c r="E47" s="120" t="str">
        <f aca="false">IF(Checks!$V$502="","",Checks!$V$502)&amp;IF(Checks!$AC$502="","",IF(Checks!$V$502="","",CHAR(10))&amp;"N/A just.: "&amp;Checks!$AC$502)&amp;IF(OR(Checks!$W$502&lt;&gt;"",AND(Checks!$AQ$502=1,NOT(LEFT(Checks!$AH$502,10)="N/A – RULE"))),CHAR(10)&amp;"Batch: "&amp;IF(Checks!$W$502="","____________",Checks!$W$502),"")&amp;IF(OR(Checks!$X$502&lt;&gt;"",Checks!$Y$502&lt;&gt;"",AND(Checks!$AR$502=1,NOT(LEFT(Checks!$AH$502,10)="N/A – RULE"))),CHAR(10)&amp;"Exp: "&amp;IF(Checks!$X$502="","______",Checks!$X$502)&amp;"  /  Act: "&amp;IF(Checks!$Y$502="","______",Checks!$Y$502),"")</f>
        <v>
Exp: ______  /  Act: ______</v>
      </c>
      <c r="F47" s="120" t="str">
        <f aca="false">IF(AND(LEFT(Checks!$AH$502,10)="N/A – RULE",TRIM(Checks!$S$502&amp;Checks!$Z$502)=""),"","Type: "&amp;IF(TRIM(Checks!$S$502)="","______________ (see cover list)",Checks!$S$502)&amp;CHAR(10)&amp;"ID: "&amp;IF(TRIM(Checks!$Z$502)="","______________ (record's own no.)",Checks!$Z$502))&amp;IF(Checks!$AA$502="","",CHAR(10)&amp;"CA: "&amp;Checks!$AA$502)</f>
        <v>Type: ______________ (see cover list)
ID: ______________ (record's own no.)</v>
      </c>
      <c r="G47" s="120" t="str">
        <f aca="false">IF(AND(LEFT(Checks!$AH$502,10)="N/A – RULE",NOT(ISNUMBER(Checks!$AD$502)),Checks!$AE$502="",Checks!$T$502=""),"","Done: "&amp;IF(ISNUMBER(Checks!$AD$502),TEXT(Checks!$AD$502,"DD-MMM-YY HH:MM"),"____________")&amp;" "&amp;Checks!$P$502&amp;CHAR(10)&amp;"Verifier: "&amp;IF(Checks!$AE$502="","____________",Checks!$AE$502)&amp;CHAR(10)&amp;"PIC: "&amp;IF(Checks!$T$502="","____________",Checks!$T$502))</f>
        <v>Done: ____________ LHR
Verifier: ____________
PIC: ____________</v>
      </c>
      <c r="H47" s="121" t="str">
        <f aca="false">IF(Checks!$AH$502="","",Checks!$AH$502)</f>
        <v>OPEN</v>
      </c>
    </row>
    <row r="48" customFormat="false" ht="135.75" hidden="false" customHeight="true" outlineLevel="0" collapsed="false">
      <c r="A48" s="120" t="str">
        <f aca="false">Checks!$A$503&amp;CHAR(10)&amp;IF(Checks!$I$503="","",Checks!$I$503&amp;": ")&amp;Checks!$J$503</f>
        <v>F15-UPL-03
Amenities: Toiletry kits - on board</v>
      </c>
      <c r="B48" s="120" t="str">
        <f aca="false">Checks!$K$503&amp;IF(Checks!$O$503="","",IF(Checks!$K$503="","",CHAR(10))&amp;"Note: "&amp;Checks!$O$503)</f>
        <v>Available for sector (ticked in reference)
Note: Reference does not state the cabin class for toiletry kits. Confirm whether EY receives them; if not, mark N/A with the confirmation as justification.</v>
      </c>
      <c r="C48" s="120" t="str">
        <f aca="false">Checks!$N$503&amp;CHAR(10)&amp;IF(ISNUMBER(Checks!$R$503),TEXT(Checks!$R$503,"DD-MMM-YY HH:MM"),"")&amp;" "&amp;Checks!$P$503</f>
        <v>Clarification required
25-Oct-26 11:00 LHR</v>
      </c>
      <c r="D48" s="120" t="str">
        <f aca="false">IF(TRIM(Checks!$U$503)&lt;&gt;"",Checks!$U$503&amp;IF(Checks!$AB$503="","",CHAR(10)&amp;"CA: "&amp;Checks!$AB$503),IF(LEFT(Checks!$AH$503,10)="N/A – RULE","","[ ] Pass"&amp;CHAR(10)&amp;"[ ] Pass after CA"&amp;CHAR(10)&amp;"[ ] Fail"&amp;IF(Checks!$AT$503=1,CHAR(10)&amp;"[ ] N/A","")&amp;CHAR(10)&amp;"CA: Open / Closed"))</f>
        <v>[ ] Pass
[ ] Pass after CA
[ ] Fail
[ ] N/A
CA: Open / Closed</v>
      </c>
      <c r="E48" s="120" t="str">
        <f aca="false">IF(Checks!$V$503="","",Checks!$V$503)&amp;IF(Checks!$AC$503="","",IF(Checks!$V$503="","",CHAR(10))&amp;"N/A just.: "&amp;Checks!$AC$503)&amp;IF(OR(Checks!$W$503&lt;&gt;"",AND(Checks!$AQ$503=1,NOT(LEFT(Checks!$AH$503,10)="N/A – RULE"))),CHAR(10)&amp;"Batch: "&amp;IF(Checks!$W$503="","____________",Checks!$W$503),"")&amp;IF(OR(Checks!$X$503&lt;&gt;"",Checks!$Y$503&lt;&gt;"",AND(Checks!$AR$503=1,NOT(LEFT(Checks!$AH$503,10)="N/A – RULE"))),CHAR(10)&amp;"Exp: "&amp;IF(Checks!$X$503="","______",Checks!$X$503)&amp;"  /  Act: "&amp;IF(Checks!$Y$503="","______",Checks!$Y$503),"")</f>
        <v/>
      </c>
      <c r="F48" s="120" t="str">
        <f aca="false">IF(AND(LEFT(Checks!$AH$503,10)="N/A – RULE",TRIM(Checks!$S$503&amp;Checks!$Z$503)=""),"","Type: "&amp;IF(TRIM(Checks!$S$503)="","______________ (see cover list)",Checks!$S$503)&amp;CHAR(10)&amp;"ID: "&amp;IF(TRIM(Checks!$Z$503)="","______________ (record's own no.)",Checks!$Z$503))&amp;IF(Checks!$AA$503="","",CHAR(10)&amp;"CA: "&amp;Checks!$AA$503)</f>
        <v>Type: ______________ (see cover list)
ID: ______________ (record's own no.)</v>
      </c>
      <c r="G48" s="120" t="str">
        <f aca="false">IF(AND(LEFT(Checks!$AH$503,10)="N/A – RULE",NOT(ISNUMBER(Checks!$AD$503)),Checks!$AE$503="",Checks!$T$503=""),"","Done: "&amp;IF(ISNUMBER(Checks!$AD$503),TEXT(Checks!$AD$503,"DD-MMM-YY HH:MM"),"____________")&amp;" "&amp;Checks!$P$503&amp;CHAR(10)&amp;"Verifier: "&amp;IF(Checks!$AE$503="","____________",Checks!$AE$503)&amp;CHAR(10)&amp;"PIC: "&amp;IF(Checks!$T$503="","____________",Checks!$T$503))</f>
        <v>Done: ____________ LHR
Verifier: ____________
PIC: ____________</v>
      </c>
      <c r="H48" s="121" t="str">
        <f aca="false">IF(Checks!$AH$503="","",Checks!$AH$503)</f>
        <v>OPEN – CLARIFICATION</v>
      </c>
    </row>
    <row r="49" customFormat="false" ht="114" hidden="false" customHeight="true" outlineLevel="0" collapsed="false">
      <c r="A49" s="120" t="str">
        <f aca="false">Checks!$A$504&amp;CHAR(10)&amp;IF(Checks!$I$504="","",Checks!$I$504&amp;": ")&amp;Checks!$J$504</f>
        <v>F15-UPL-04
Seat Linen: Seat pillow (EY) - on board</v>
      </c>
      <c r="B49" s="120" t="str">
        <f aca="false">Checks!$K$504&amp;IF(Checks!$O$504="","",IF(Checks!$K$504="","",CHAR(10))&amp;"Note: "&amp;Checks!$O$504)</f>
        <v>Available 100% (ticked in reference)</v>
      </c>
      <c r="C49" s="120" t="str">
        <f aca="false">Checks!$N$504&amp;CHAR(10)&amp;IF(ISNUMBER(Checks!$R$504),TEXT(Checks!$R$504,"DD-MMM-YY HH:MM"),"")&amp;" "&amp;Checks!$P$504</f>
        <v>Required
25-Oct-26 11:00 LHR</v>
      </c>
      <c r="D49" s="120" t="str">
        <f aca="false">IF(TRIM(Checks!$U$504)&lt;&gt;"",Checks!$U$504&amp;IF(Checks!$AB$504="","",CHAR(10)&amp;"CA: "&amp;Checks!$AB$504),IF(LEFT(Checks!$AH$504,10)="N/A – RULE","","[ ] Pass"&amp;CHAR(10)&amp;"[ ] Pass after CA"&amp;CHAR(10)&amp;"[ ] Fail"&amp;IF(Checks!$AT$504=1,CHAR(10)&amp;"[ ] N/A","")&amp;CHAR(10)&amp;"CA: Open / Closed"))</f>
        <v>[ ] Pass
[ ] Pass after CA
[ ] Fail
CA: Open / Closed</v>
      </c>
      <c r="E49" s="120" t="str">
        <f aca="false">IF(Checks!$V$504="","",Checks!$V$504)&amp;IF(Checks!$AC$504="","",IF(Checks!$V$504="","",CHAR(10))&amp;"N/A just.: "&amp;Checks!$AC$504)&amp;IF(OR(Checks!$W$504&lt;&gt;"",AND(Checks!$AQ$504=1,NOT(LEFT(Checks!$AH$504,10)="N/A – RULE"))),CHAR(10)&amp;"Batch: "&amp;IF(Checks!$W$504="","____________",Checks!$W$504),"")&amp;IF(OR(Checks!$X$504&lt;&gt;"",Checks!$Y$504&lt;&gt;"",AND(Checks!$AR$504=1,NOT(LEFT(Checks!$AH$504,10)="N/A – RULE"))),CHAR(10)&amp;"Exp: "&amp;IF(Checks!$X$504="","______",Checks!$X$504)&amp;"  /  Act: "&amp;IF(Checks!$Y$504="","______",Checks!$Y$504),"")</f>
        <v/>
      </c>
      <c r="F49" s="120" t="str">
        <f aca="false">IF(AND(LEFT(Checks!$AH$504,10)="N/A – RULE",TRIM(Checks!$S$504&amp;Checks!$Z$504)=""),"","Type: "&amp;IF(TRIM(Checks!$S$504)="","______________ (see cover list)",Checks!$S$504)&amp;CHAR(10)&amp;"ID: "&amp;IF(TRIM(Checks!$Z$504)="","______________ (record's own no.)",Checks!$Z$504))&amp;IF(Checks!$AA$504="","",CHAR(10)&amp;"CA: "&amp;Checks!$AA$504)</f>
        <v>Type: ______________ (see cover list)
ID: ______________ (record's own no.)</v>
      </c>
      <c r="G49" s="120" t="str">
        <f aca="false">IF(AND(LEFT(Checks!$AH$504,10)="N/A – RULE",NOT(ISNUMBER(Checks!$AD$504)),Checks!$AE$504="",Checks!$T$504=""),"","Done: "&amp;IF(ISNUMBER(Checks!$AD$504),TEXT(Checks!$AD$504,"DD-MMM-YY HH:MM"),"____________")&amp;" "&amp;Checks!$P$504&amp;CHAR(10)&amp;"Verifier: "&amp;IF(Checks!$AE$504="","____________",Checks!$AE$504)&amp;CHAR(10)&amp;"PIC: "&amp;IF(Checks!$T$504="","____________",Checks!$T$504))</f>
        <v>Done: ____________ LHR
Verifier: ____________
PIC: ____________</v>
      </c>
      <c r="H49" s="121" t="str">
        <f aca="false">IF(Checks!$AH$504="","",Checks!$AH$504)</f>
        <v>OPEN</v>
      </c>
    </row>
    <row r="50" customFormat="false" ht="124.5" hidden="false" customHeight="true" outlineLevel="0" collapsed="false">
      <c r="A50" s="120" t="str">
        <f aca="false">Checks!$A$505&amp;CHAR(10)&amp;IF(Checks!$I$505="","",Checks!$I$505&amp;": ")&amp;Checks!$J$505</f>
        <v>F15-UPL-05
Seat Linen: Blanket (EY) - on board</v>
      </c>
      <c r="B50" s="120" t="str">
        <f aca="false">SUBSTITUTE(SUBSTITUTE(SUBSTITUTE(Checks!$K$505&amp;IF(Checks!$O$505="","",IF(Checks!$K$505="","",CHAR(10))&amp;"Note: "&amp;Checks!$O$505)," (SEAT LINEN!B74:C74)","")," (SEAT LINEN!B76:C76)","")," (SEAT LINEN!B77:C77)","")</f>
        <v>Available 100% (ticked in reference); qty 280 (A350 9M-MAH) / 260 (A359) - per tail
Note: EY blanket: flight above 3 hours excl. Regional; block 11.75 h. Qty per tail: A350 280 pcs, A359 260 pcs.</v>
      </c>
      <c r="C50" s="120" t="str">
        <f aca="false">Checks!$N$505&amp;CHAR(10)&amp;IF(ISNUMBER(Checks!$R$505),TEXT(Checks!$R$505,"DD-MMM-YY HH:MM"),"")&amp;" "&amp;Checks!$P$505</f>
        <v>Required
25-Oct-26 11:00 LHR</v>
      </c>
      <c r="D50" s="120" t="str">
        <f aca="false">IF(TRIM(Checks!$U$505)&lt;&gt;"",Checks!$U$505&amp;IF(Checks!$AB$505="","",CHAR(10)&amp;"CA: "&amp;Checks!$AB$505),IF(LEFT(Checks!$AH$505,10)="N/A – RULE","","[ ] Pass"&amp;CHAR(10)&amp;"[ ] Pass after CA"&amp;CHAR(10)&amp;"[ ] Fail"&amp;IF(Checks!$AT$505=1,CHAR(10)&amp;"[ ] N/A","")&amp;CHAR(10)&amp;"CA: Open / Closed"))</f>
        <v>[ ] Pass
[ ] Pass after CA
[ ] Fail
CA: Open / Closed</v>
      </c>
      <c r="E50" s="120" t="str">
        <f aca="false">IF(Checks!$V$505="","",Checks!$V$505)&amp;IF(Checks!$AC$505="","",IF(Checks!$V$505="","",CHAR(10))&amp;"N/A just.: "&amp;Checks!$AC$505)&amp;IF(OR(Checks!$W$505&lt;&gt;"",AND(Checks!$AQ$505=1,NOT(LEFT(Checks!$AH$505,10)="N/A – RULE"))),CHAR(10)&amp;"Batch: "&amp;IF(Checks!$W$505="","____________",Checks!$W$505),"")&amp;IF(OR(Checks!$X$505&lt;&gt;"",Checks!$Y$505&lt;&gt;"",AND(Checks!$AR$505=1,NOT(LEFT(Checks!$AH$505,10)="N/A – RULE"))),CHAR(10)&amp;"Exp: "&amp;IF(Checks!$X$505="","______",Checks!$X$505)&amp;"  /  Act: "&amp;IF(Checks!$Y$505="","______",Checks!$Y$505),"")</f>
        <v>
Exp: ______  /  Act: ______</v>
      </c>
      <c r="F50" s="120" t="str">
        <f aca="false">IF(AND(LEFT(Checks!$AH$505,10)="N/A – RULE",TRIM(Checks!$S$505&amp;Checks!$Z$505)=""),"","Type: "&amp;IF(TRIM(Checks!$S$505)="","______________ (see cover list)",Checks!$S$505)&amp;CHAR(10)&amp;"ID: "&amp;IF(TRIM(Checks!$Z$505)="","______________ (record's own no.)",Checks!$Z$505))&amp;IF(Checks!$AA$505="","",CHAR(10)&amp;"CA: "&amp;Checks!$AA$505)</f>
        <v>Type: ______________ (see cover list)
ID: ______________ (record's own no.)</v>
      </c>
      <c r="G50" s="120" t="str">
        <f aca="false">IF(AND(LEFT(Checks!$AH$505,10)="N/A – RULE",NOT(ISNUMBER(Checks!$AD$505)),Checks!$AE$505="",Checks!$T$505=""),"","Done: "&amp;IF(ISNUMBER(Checks!$AD$505),TEXT(Checks!$AD$505,"DD-MMM-YY HH:MM"),"____________")&amp;" "&amp;Checks!$P$505&amp;CHAR(10)&amp;"Verifier: "&amp;IF(Checks!$AE$505="","____________",Checks!$AE$505)&amp;CHAR(10)&amp;"PIC: "&amp;IF(Checks!$T$505="","____________",Checks!$T$505))</f>
        <v>Done: ____________ LHR
Verifier: ____________
PIC: ____________</v>
      </c>
      <c r="H50" s="121" t="str">
        <f aca="false">IF(Checks!$AH$505="","",Checks!$AH$505)</f>
        <v>OPEN</v>
      </c>
    </row>
    <row r="52" customFormat="false" ht="24" hidden="false" customHeight="true" outlineLevel="0" collapsed="false">
      <c r="A52" s="122" t="s">
        <v>4832</v>
      </c>
      <c r="B52" s="122"/>
      <c r="C52" s="122"/>
      <c r="D52" s="122"/>
      <c r="E52" s="122" t="s">
        <v>4833</v>
      </c>
      <c r="F52" s="122"/>
      <c r="G52" s="122"/>
      <c r="H52" s="122"/>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row r="59" customFormat="false" ht="21.75" hidden="false" customHeight="true" outlineLevel="0" collapsed="false">
      <c r="A59" s="123"/>
      <c r="B59" s="123"/>
      <c r="C59" s="123"/>
      <c r="D59" s="123"/>
      <c r="E59" s="123"/>
      <c r="F59" s="123"/>
      <c r="G59" s="123"/>
      <c r="H59" s="123"/>
    </row>
    <row r="60" customFormat="false" ht="21.75" hidden="false" customHeight="true" outlineLevel="0" collapsed="false">
      <c r="A60" s="123"/>
      <c r="B60" s="123"/>
      <c r="C60" s="123"/>
      <c r="D60" s="123"/>
      <c r="E60" s="123"/>
      <c r="F60" s="123"/>
      <c r="G60" s="123"/>
      <c r="H60" s="123"/>
    </row>
    <row r="61" customFormat="false" ht="21.75" hidden="false" customHeight="true" outlineLevel="0" collapsed="false">
      <c r="A61" s="123"/>
      <c r="B61" s="123"/>
      <c r="C61" s="123"/>
      <c r="D61" s="123"/>
      <c r="E61" s="123"/>
      <c r="F61" s="123"/>
      <c r="G61" s="123"/>
      <c r="H61" s="123"/>
    </row>
    <row r="62" customFormat="false" ht="21.75" hidden="false" customHeight="true" outlineLevel="0" collapsed="false">
      <c r="A62" s="123"/>
      <c r="B62" s="123"/>
      <c r="C62" s="123"/>
      <c r="D62" s="123"/>
      <c r="E62" s="123"/>
      <c r="F62" s="123"/>
      <c r="G62" s="123"/>
      <c r="H62"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45:H45"/>
    <mergeCell ref="A52:D52"/>
    <mergeCell ref="E52:H52"/>
    <mergeCell ref="A53:D62"/>
    <mergeCell ref="E53:H62"/>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50">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50">
    <cfRule type="expression" priority="18" aboveAverage="0" equalAverage="0" bottom="0" percent="0" rank="0" text="" dxfId="35">
      <formula>LEFT($H23,3)="N/A"</formula>
    </cfRule>
  </conditionalFormatting>
  <conditionalFormatting sqref="D23:D50">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F15 MH0003 25-Oct-26 LHR-KUL Class EY</oddHeader>
    <oddFooter>&amp;L&amp;"Arial,Bold"&amp;8 F15 MH0003 25-Oct-26 LHR-KUL Class EY&amp;C&amp;"Arial,Regular"&amp;8 Printed: ____________________&amp;R&amp;"Arial,Regular"&amp;8 F15  Page &amp;P of &amp;N</oddFooter>
  </headerFooter>
  <rowBreaks count="9" manualBreakCount="9">
    <brk id="20" man="true" max="16383" min="0"/>
    <brk id="25" man="true" max="16383" min="0"/>
    <brk id="29" man="true" max="16383" min="0"/>
    <brk id="33" man="true" max="16383" min="0"/>
    <brk id="37" man="true" max="16383" min="0"/>
    <brk id="39" man="true" max="16383" min="0"/>
    <brk id="41" man="true" max="16383" min="0"/>
    <brk id="44" man="true" max="16383" min="0"/>
    <brk id="48" man="true" max="16383" min="0"/>
  </row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F16  "&amp;Flights!$F$20&amp;"  "&amp;TEXT(Flights!$D$20,"DD-MMM-YY")&amp;" ("&amp;Flights!$E$20&amp;")  "&amp;Flights!$G$20&amp;" → "&amp;Flights!$H$20&amp;"  |  Class "&amp;Flights!$K$20</f>
        <v>SKYTRAX 2026 CATERING READINESS CHECKLIST  |  F16  MH0072  26-Oct-26 (MON)  KUL → HKG  |  Class EY</v>
      </c>
      <c r="B1" s="93"/>
      <c r="C1" s="93"/>
      <c r="D1" s="93"/>
      <c r="E1" s="93"/>
      <c r="F1" s="93"/>
      <c r="G1" s="93"/>
      <c r="H1" s="93"/>
    </row>
    <row r="2" customFormat="false" ht="12.75" hidden="false" customHeight="true" outlineLevel="0" collapsed="false">
      <c r="A2" s="94" t="s">
        <v>4788</v>
      </c>
      <c r="B2" s="95" t="str">
        <f aca="false">Flights!$F$20&amp;"   "&amp;TEXT(Flights!$D$20,"DD-MMM-YY")&amp;" ("&amp;Flights!$E$20&amp;")"</f>
        <v>MH0072   26-Oct-26 (MON)</v>
      </c>
      <c r="C2" s="95"/>
      <c r="D2" s="95"/>
      <c r="E2" s="96" t="s">
        <v>4789</v>
      </c>
      <c r="F2" s="97" t="str">
        <f aca="false">Flights!$AT$20</f>
        <v>NOT READY – DOCUMENTS</v>
      </c>
      <c r="G2" s="97"/>
      <c r="H2" s="97"/>
    </row>
    <row r="3" customFormat="false" ht="24" hidden="false" customHeight="true" outlineLevel="0" collapsed="false">
      <c r="A3" s="94" t="s">
        <v>4790</v>
      </c>
      <c r="B3" s="95" t="str">
        <f aca="false">Flights!$G$20&amp;" → "&amp;Flights!$H$20&amp;"   Class "&amp;Flights!$K$20&amp;"   Seat "&amp;Flights!$O$20</f>
        <v>KUL → HKG   Class EY   Seat 4C</v>
      </c>
      <c r="C3" s="95"/>
      <c r="D3" s="95"/>
      <c r="E3" s="96" t="s">
        <v>73</v>
      </c>
      <c r="F3" s="96" t="s">
        <v>4791</v>
      </c>
      <c r="G3" s="96" t="s">
        <v>4792</v>
      </c>
      <c r="H3" s="96"/>
    </row>
    <row r="4" customFormat="false" ht="24" hidden="false" customHeight="true" outlineLevel="0" collapsed="false">
      <c r="A4" s="94" t="s">
        <v>4793</v>
      </c>
      <c r="B4" s="95" t="str">
        <f aca="false">IF(ISNUMBER(Flights!$I$20),TEXT(Flights!$I$20,"DD-MMM-YY HH:MM"),"")&amp;" "&amp;Flights!$G$20&amp;"  →  "&amp;IF(ISNUMBER(Flights!$J$20),TEXT(Flights!$J$20,"DD-MMM-YY HH:MM"),"")&amp;" "&amp;Flights!$H$20</f>
        <v>26-Oct-26 09:10 KUL  →  26-Oct-26 13:15 HKG</v>
      </c>
      <c r="C4" s="95"/>
      <c r="D4" s="95"/>
      <c r="E4" s="94" t="s">
        <v>4794</v>
      </c>
      <c r="F4" s="98" t="str">
        <f aca="false">IF(ISNUMBER(Flights!$AG$20),TEXT(Flights!$AG$20,"DD-MMM-YY HH:MM"),"")&amp;" "&amp;Flights!$V$20</f>
        <v>19-Oct-26 09:10 KUL</v>
      </c>
      <c r="G4" s="99" t="n">
        <f aca="false">Flights!$AJ$20</f>
        <v>0</v>
      </c>
      <c r="H4" s="99"/>
    </row>
    <row r="5" customFormat="false" ht="24" hidden="false" customHeight="true" outlineLevel="0" collapsed="false">
      <c r="A5" s="94" t="s">
        <v>4795</v>
      </c>
      <c r="B5" s="95" t="str">
        <f aca="false">Flights!$L$20&amp;" – "&amp;Flights!$M$20</f>
        <v>B738MAX – B737-8 (B7M8)</v>
      </c>
      <c r="C5" s="95"/>
      <c r="D5" s="95"/>
      <c r="E5" s="94" t="s">
        <v>4796</v>
      </c>
      <c r="F5" s="98" t="str">
        <f aca="false">IF(ISNUMBER(Flights!$AH$20),TEXT(Flights!$AH$20,"DD-MMM-YY HH:MM"),"")&amp;" "&amp;Flights!$V$20</f>
        <v>25-Oct-26 09:10 KUL</v>
      </c>
      <c r="G5" s="99" t="n">
        <f aca="false">Flights!$AK$20</f>
        <v>0</v>
      </c>
      <c r="H5" s="99"/>
    </row>
    <row r="6" customFormat="false" ht="24" hidden="false" customHeight="true" outlineLevel="0" collapsed="false">
      <c r="A6" s="94" t="s">
        <v>4797</v>
      </c>
      <c r="B6" s="95" t="str">
        <f aca="false">IF(TRIM(Flights!$N$20)="","__________________",Flights!$N$20)</f>
        <v>__________________</v>
      </c>
      <c r="C6" s="95"/>
      <c r="D6" s="95"/>
      <c r="E6" s="94" t="s">
        <v>4798</v>
      </c>
      <c r="F6" s="98" t="str">
        <f aca="false">IF(ISNUMBER(Flights!$AI$20),TEXT(Flights!$AI$20,"DD-MMM-YY HH:MM"),"")&amp;" "&amp;Flights!$V$20&amp;IF(Flights!$AI$20=Flights!$AH$20,"  (= T-24H due)","")</f>
        <v>25-Oct-26 21:10 KUL</v>
      </c>
      <c r="G6" s="99" t="n">
        <f aca="false">Flights!$AL$20</f>
        <v>0</v>
      </c>
      <c r="H6" s="99"/>
    </row>
    <row r="7" customFormat="false" ht="24" hidden="false" customHeight="true" outlineLevel="0" collapsed="false">
      <c r="A7" s="94" t="s">
        <v>4799</v>
      </c>
      <c r="B7" s="95" t="str">
        <f aca="false">Flights!$T$20</f>
        <v>1 Meal + DAT(Noodles Svc) (Meal)</v>
      </c>
      <c r="C7" s="95"/>
      <c r="D7" s="95"/>
      <c r="E7" s="94" t="s">
        <v>4800</v>
      </c>
      <c r="F7" s="98" t="str">
        <f aca="false">"STD "&amp;IF(ISNUMBER(Flights!$I$20),TEXT(Flights!$I$20,"DD-MMM-YY HH:MM"),"")&amp;" "&amp;Flights!$G$20&amp;" (dep stn)"</f>
        <v>STD 26-Oct-26 09:10 KUL (dep stn)</v>
      </c>
      <c r="G7" s="99" t="n">
        <f aca="false">Flights!$AM$20</f>
        <v>0</v>
      </c>
      <c r="H7" s="99"/>
    </row>
    <row r="8" customFormat="false" ht="12.75" hidden="false" customHeight="true" outlineLevel="0" collapsed="false">
      <c r="A8" s="94" t="s">
        <v>155</v>
      </c>
      <c r="B8" s="95" t="str">
        <f aca="false">Flights!$V$20&amp;"   (reference uplift stns: "&amp;Flights!$U$20&amp;")"</f>
        <v>KUL   (reference uplift stns: KUL/HKG)</v>
      </c>
      <c r="C8" s="95"/>
      <c r="D8" s="95"/>
      <c r="E8" s="94" t="s">
        <v>4801</v>
      </c>
      <c r="F8" s="100" t="s">
        <v>4802</v>
      </c>
      <c r="G8" s="99" t="n">
        <f aca="false">Flights!$AN$20</f>
        <v>0</v>
      </c>
      <c r="H8" s="99"/>
    </row>
    <row r="9" customFormat="false" ht="12.75" hidden="false" customHeight="true" outlineLevel="0" collapsed="false">
      <c r="A9" s="94" t="s">
        <v>4803</v>
      </c>
      <c r="B9" s="95" t="str">
        <f aca="false">TRIM(Flights!$P$20&amp;"  "&amp;Flights!$Q$20)</f>
        <v>2H 25M Overnight HKG</v>
      </c>
      <c r="C9" s="95"/>
      <c r="D9" s="95"/>
      <c r="E9" s="94" t="s">
        <v>4804</v>
      </c>
      <c r="F9" s="101" t="n">
        <f aca="false">Flights!$AP$20</f>
        <v>0</v>
      </c>
      <c r="G9" s="102" t="n">
        <f aca="false">Flights!$AQ$20</f>
        <v>0</v>
      </c>
      <c r="H9" s="103" t="n">
        <f aca="false">Flights!$AU$20</f>
        <v>0</v>
      </c>
    </row>
    <row r="10" customFormat="false" ht="24" hidden="false" customHeight="true" outlineLevel="0" collapsed="false">
      <c r="A10" s="94" t="s">
        <v>4805</v>
      </c>
      <c r="B10" s="95" t="str">
        <f aca="false">IF(TRIM(Flights!$X$20)="","__________________",Flights!$X$20)</f>
        <v>__________________</v>
      </c>
      <c r="C10" s="95"/>
      <c r="D10" s="95"/>
      <c r="E10" s="94" t="s">
        <v>4806</v>
      </c>
      <c r="F10" s="104" t="n">
        <f aca="false">Flights!$AO$20</f>
        <v>24</v>
      </c>
      <c r="G10" s="105" t="n">
        <f aca="false">Flights!$AS$20</f>
        <v>1</v>
      </c>
      <c r="H10" s="106" t="n">
        <f aca="false">Flights!$AR$20</f>
        <v>2</v>
      </c>
    </row>
    <row r="11" customFormat="false" ht="21" hidden="false" customHeight="true" outlineLevel="0" collapsed="false">
      <c r="A11" s="94" t="s">
        <v>4807</v>
      </c>
      <c r="B11" s="95" t="str">
        <f aca="false">IF(TRIM(Flights!$Y$20)="","__________________",Flights!$Y$20)</f>
        <v>__________________</v>
      </c>
      <c r="C11" s="95"/>
      <c r="D11" s="95"/>
      <c r="E11" s="94" t="s">
        <v>4808</v>
      </c>
      <c r="F11" s="97" t="str">
        <f aca="false">Flights!$AV$20&amp;" / "&amp;Flights!$AW$20</f>
        <v>0 / 24</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IF(Documents!$F$20="","",Documents!$F$20)</f>
        <v/>
      </c>
      <c r="C15" s="100" t="str">
        <f aca="false">IF(Documents!$G$20="","",Documents!$G$20)&amp;IF(ISNUMBER(Documents!$H$20),"  "&amp;TEXT(Documents!$H$20,"DD-MMM-YY"),"")</f>
        <v/>
      </c>
      <c r="D15" s="100"/>
      <c r="E15" s="114" t="str">
        <f aca="false">IF(Documents!$J$20="OUTSTANDING","OUTSTANDING – attach before T-7D (due "&amp;IF(ISNUMBER(Flights!$AG$20),TEXT(Flights!$AG$20,"DD-MMM-YY HH:MM"),"")&amp;" "&amp;Flights!$V$20&amp;")",IF(Documents!$J$20="","Status not recorded",Documents!$J$20))</f>
        <v>OUTSTANDING – attach before T-7D (due 19-Oct-26 09:10 KUL)</v>
      </c>
      <c r="F15" s="115" t="str">
        <f aca="false">"Staple behind this sheet as page A1."&amp;IF(Documents!$I$20="",""," Location: "&amp;Documents!$I$20)</f>
        <v>Staple behind this sheet as page A1.</v>
      </c>
      <c r="G15" s="115"/>
      <c r="H15" s="115"/>
    </row>
    <row r="16" customFormat="false" ht="36" hidden="false" customHeight="true" outlineLevel="0" collapsed="false">
      <c r="A16" s="94" t="s">
        <v>4819</v>
      </c>
      <c r="B16" s="95" t="str">
        <f aca="false">IF(Documents!$K$20="","",Documents!$K$20)</f>
        <v/>
      </c>
      <c r="C16" s="100" t="str">
        <f aca="false">IF(Documents!$L$20="","",Documents!$L$20)&amp;IF(ISNUMBER(Documents!$M$20),"  "&amp;TEXT(Documents!$M$20,"DD-MMM-YY"),"")</f>
        <v/>
      </c>
      <c r="D16" s="100"/>
      <c r="E16" s="114" t="str">
        <f aca="false">IF(Documents!$O$20="OUTSTANDING","OUTSTANDING – attach before T-7D (due "&amp;IF(ISNUMBER(Flights!$AG$20),TEXT(Flights!$AG$20,"DD-MMM-YY HH:MM"),"")&amp;" "&amp;Flights!$V$20&amp;")",IF(Documents!$O$20="","Status not recorded",Documents!$O$20))</f>
        <v>OUTSTANDING – attach before T-7D (due 19-Oct-26 09:10 KUL)</v>
      </c>
      <c r="F16" s="115" t="str">
        <f aca="false">"Staple behind this sheet as page A2."&amp;IF(Documents!$N$20="",""," Location: "&amp;Documents!$N$20)</f>
        <v>Staple behind this sheet as page A2.</v>
      </c>
      <c r="G16" s="115"/>
      <c r="H16" s="115"/>
    </row>
    <row r="17" customFormat="false" ht="22.5" hidden="false" customHeight="true" outlineLevel="0" collapsed="false">
      <c r="A17" s="94" t="s">
        <v>4820</v>
      </c>
      <c r="B17" s="116" t="str">
        <f aca="false">IF(Documents!$Q$20="","",Documents!$Q$20)</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"&amp;IF(TRIM(Flights!$Y$20)="","__________________",Flights!$Y$20)</f>
        <v>Name: __________________</v>
      </c>
      <c r="B19" s="95"/>
      <c r="C19" s="95" t="str">
        <f aca="false">"Name: __________________"</f>
        <v>Name: __________________</v>
      </c>
      <c r="D19" s="95"/>
      <c r="E19" s="95"/>
      <c r="F19" s="95" t="str">
        <f aca="false">"Name: __________________"&amp;"   Station: "&amp;Flights!$V$20</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"&amp;IF(ISNUMBER(Flights!$AG$20),TEXT(Flights!$AG$20,"DD-MMM-YY HH:MM"),"")&amp;" "&amp;Flights!$V$20&amp;" (meal uplift stn)"&amp;" (rows with another due show their own)  |  Complete "&amp;IF(ISNUMBER(Flights!$AJ$20),TEXT(Flights!$AJ$20,"0%"),Flights!$AJ$20)&amp;"  |  9 lines"</f>
        <v>T-7D — 7 days before departure  |  Due 19-Oct-26 09:10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Checks!$A$506&amp;CHAR(10)&amp;IF(Checks!$I$506="","",Checks!$I$506&amp;": ")&amp;Checks!$J$506</f>
        <v>F16-T7-01
Meal: Meal sensory testing completed for this flight's menu cycle (assessed class)</v>
      </c>
      <c r="B23" s="120" t="str">
        <f aca="false">Checks!$K$506&amp;IF(Checks!$O$506="","",IF(Checks!$K$506="","",CHAR(10))&amp;"Note: "&amp;Checks!$O$506)</f>
        <v>Record panel result / score in Result</v>
      </c>
      <c r="C23" s="120" t="str">
        <f aca="false">Checks!$N$506&amp;CHAR(10)&amp;IF(ISNUMBER(Checks!$R$506),TEXT(Checks!$R$506,"DD-MMM-YY HH:MM"),"")&amp;" "&amp;Checks!$P$506</f>
        <v>Required
19-Oct-26 09:10 KUL</v>
      </c>
      <c r="D23" s="120" t="str">
        <f aca="false">IF(TRIM(Checks!$U$506)&lt;&gt;"",Checks!$U$506&amp;IF(Checks!$AB$506="","",CHAR(10)&amp;"CA: "&amp;Checks!$AB$506),IF(LEFT(Checks!$AH$506,10)="N/A – RULE","","[ ] Pass"&amp;CHAR(10)&amp;"[ ] Pass after CA"&amp;CHAR(10)&amp;"[ ] Fail"&amp;IF(Checks!$AT$506=1,CHAR(10)&amp;"[ ] N/A","")&amp;CHAR(10)&amp;"CA: Open / Closed"))</f>
        <v>[ ] Pass
[ ] Pass after CA
[ ] Fail
CA: Open / Closed</v>
      </c>
      <c r="E23" s="120" t="str">
        <f aca="false">IF(Checks!$V$506="","",Checks!$V$506)&amp;IF(Checks!$AC$506="","",IF(Checks!$V$506="","",CHAR(10))&amp;"N/A just.: "&amp;Checks!$AC$506)&amp;IF(OR(Checks!$W$506&lt;&gt;"",AND(Checks!$AQ$506=1,NOT(LEFT(Checks!$AH$506,10)="N/A – RULE"))),CHAR(10)&amp;"Batch: "&amp;IF(Checks!$W$506="","____________",Checks!$W$506),"")&amp;IF(OR(Checks!$X$506&lt;&gt;"",Checks!$Y$506&lt;&gt;"",AND(Checks!$AR$506=1,NOT(LEFT(Checks!$AH$506,10)="N/A – RULE"))),CHAR(10)&amp;"Exp: "&amp;IF(Checks!$X$506="","______",Checks!$X$506)&amp;"  /  Act: "&amp;IF(Checks!$Y$506="","______",Checks!$Y$506),"")</f>
        <v/>
      </c>
      <c r="F23" s="120" t="str">
        <f aca="false">IF(AND(LEFT(Checks!$AH$506,10)="N/A – RULE",TRIM(Checks!$S$506&amp;Checks!$Z$506)=""),"","Type: "&amp;IF(TRIM(Checks!$S$506)="","______________ (see cover list)",Checks!$S$506)&amp;CHAR(10)&amp;"ID: "&amp;IF(TRIM(Checks!$Z$506)="","______________ (record's own no.)",Checks!$Z$506))&amp;IF(Checks!$AA$506="","",CHAR(10)&amp;"CA: "&amp;Checks!$AA$506)</f>
        <v>Type: ______________ (see cover list)
ID: ______________ (record's own no.)</v>
      </c>
      <c r="G23" s="120" t="str">
        <f aca="false">IF(AND(LEFT(Checks!$AH$506,10)="N/A – RULE",NOT(ISNUMBER(Checks!$AD$506)),Checks!$AE$506="",Checks!$T$506=""),"","Done: "&amp;IF(ISNUMBER(Checks!$AD$506),TEXT(Checks!$AD$506,"DD-MMM-YY HH:MM"),"____________")&amp;" "&amp;Checks!$P$506&amp;CHAR(10)&amp;"Verifier: "&amp;IF(Checks!$AE$506="","____________",Checks!$AE$506)&amp;CHAR(10)&amp;"PIC: "&amp;IF(Checks!$T$506="","____________",Checks!$T$506))</f>
        <v>Done: ____________ KUL
Verifier: ____________
PIC: ____________</v>
      </c>
      <c r="H23" s="121" t="str">
        <f aca="false">IF(Checks!$AH$506="","",Checks!$AH$506)</f>
        <v>OPEN</v>
      </c>
    </row>
    <row r="24" customFormat="false" ht="114" hidden="false" customHeight="true" outlineLevel="0" collapsed="false">
      <c r="A24" s="120" t="str">
        <f aca="false">Checks!$A$507&amp;CHAR(10)&amp;IF(Checks!$I$507="","",Checks!$I$507&amp;": ")&amp;Checks!$J$507</f>
        <v>F16-T7-02
Menu: Printed menu cards confirmed (content, cycle, language, quantity)</v>
      </c>
      <c r="B24" s="120" t="str">
        <f aca="false">Checks!$K$507&amp;IF(Checks!$O$507="","",IF(Checks!$K$507="","",CHAR(10))&amp;"Note: "&amp;Checks!$O$507)</f>
        <v>Menu card matches approved menu for this flight</v>
      </c>
      <c r="C24" s="120" t="str">
        <f aca="false">Checks!$N$507&amp;CHAR(10)&amp;IF(ISNUMBER(Checks!$R$507),TEXT(Checks!$R$507,"DD-MMM-YY HH:MM"),"")&amp;" "&amp;Checks!$P$507</f>
        <v>Required
19-Oct-26 09:10 KUL</v>
      </c>
      <c r="D24" s="120" t="str">
        <f aca="false">IF(TRIM(Checks!$U$507)&lt;&gt;"",Checks!$U$507&amp;IF(Checks!$AB$507="","",CHAR(10)&amp;"CA: "&amp;Checks!$AB$507),IF(LEFT(Checks!$AH$507,10)="N/A – RULE","","[ ] Pass"&amp;CHAR(10)&amp;"[ ] Pass after CA"&amp;CHAR(10)&amp;"[ ] Fail"&amp;IF(Checks!$AT$507=1,CHAR(10)&amp;"[ ] N/A","")&amp;CHAR(10)&amp;"CA: Open / Closed"))</f>
        <v>[ ] Pass
[ ] Pass after CA
[ ] Fail
CA: Open / Closed</v>
      </c>
      <c r="E24" s="120" t="str">
        <f aca="false">IF(Checks!$V$507="","",Checks!$V$507)&amp;IF(Checks!$AC$507="","",IF(Checks!$V$507="","",CHAR(10))&amp;"N/A just.: "&amp;Checks!$AC$507)&amp;IF(OR(Checks!$W$507&lt;&gt;"",AND(Checks!$AQ$507=1,NOT(LEFT(Checks!$AH$507,10)="N/A – RULE"))),CHAR(10)&amp;"Batch: "&amp;IF(Checks!$W$507="","____________",Checks!$W$507),"")&amp;IF(OR(Checks!$X$507&lt;&gt;"",Checks!$Y$507&lt;&gt;"",AND(Checks!$AR$507=1,NOT(LEFT(Checks!$AH$507,10)="N/A – RULE"))),CHAR(10)&amp;"Exp: "&amp;IF(Checks!$X$507="","______",Checks!$X$507)&amp;"  /  Act: "&amp;IF(Checks!$Y$507="","______",Checks!$Y$507),"")</f>
        <v/>
      </c>
      <c r="F24" s="120" t="str">
        <f aca="false">IF(AND(LEFT(Checks!$AH$507,10)="N/A – RULE",TRIM(Checks!$S$507&amp;Checks!$Z$507)=""),"","Type: "&amp;IF(TRIM(Checks!$S$507)="","______________ (see cover list)",Checks!$S$507)&amp;CHAR(10)&amp;"ID: "&amp;IF(TRIM(Checks!$Z$507)="","______________ (record's own no.)",Checks!$Z$507))&amp;IF(Checks!$AA$507="","",CHAR(10)&amp;"CA: "&amp;Checks!$AA$507)</f>
        <v>Type: ______________ (see cover list)
ID: ______________ (record's own no.)</v>
      </c>
      <c r="G24" s="120" t="str">
        <f aca="false">IF(AND(LEFT(Checks!$AH$507,10)="N/A – RULE",NOT(ISNUMBER(Checks!$AD$507)),Checks!$AE$507="",Checks!$T$507=""),"","Done: "&amp;IF(ISNUMBER(Checks!$AD$507),TEXT(Checks!$AD$507,"DD-MMM-YY HH:MM"),"____________")&amp;" "&amp;Checks!$P$507&amp;CHAR(10)&amp;"Verifier: "&amp;IF(Checks!$AE$507="","____________",Checks!$AE$507)&amp;CHAR(10)&amp;"PIC: "&amp;IF(Checks!$T$507="","____________",Checks!$T$507))</f>
        <v>Done: ____________ KUL
Verifier: ____________
PIC: ____________</v>
      </c>
      <c r="H24" s="121" t="str">
        <f aca="false">IF(Checks!$AH$507="","",Checks!$AH$507)</f>
        <v>OPEN</v>
      </c>
    </row>
    <row r="25" customFormat="false" ht="114" hidden="false" customHeight="true" outlineLevel="0" collapsed="false">
      <c r="A25" s="120" t="str">
        <f aca="false">Checks!$A$508&amp;CHAR(10)&amp;IF(Checks!$I$508="","",Checks!$I$508&amp;": ")&amp;Checks!$J$508</f>
        <v>F16-T7-03
IFE: Digital menu in IFE confirmed (A339 only)</v>
      </c>
      <c r="B25" s="120" t="str">
        <f aca="false">Checks!$K$508&amp;IF(Checks!$O$508="","",IF(Checks!$K$508="","",CHAR(10))&amp;"Note: "&amp;Checks!$O$508)</f>
        <v>Applies when fleet = A339
Note: Digital IFE menu applies to A339 only (user brief). Applicability follows the Fleet cell on Flights.</v>
      </c>
      <c r="C25" s="120" t="str">
        <f aca="false">Checks!$N$508&amp;CHAR(10)&amp;IF(ISNUMBER(Checks!$R$508),TEXT(Checks!$R$508,"DD-MMM-YY HH:MM"),"")&amp;" "&amp;Checks!$P$508</f>
        <v>N/A – rule
19-Oct-26 09:10 KUL</v>
      </c>
      <c r="D25" s="120" t="str">
        <f aca="false">IF(TRIM(Checks!$U$508)&lt;&gt;"",Checks!$U$508&amp;IF(Checks!$AB$508="","",CHAR(10)&amp;"CA: "&amp;Checks!$AB$508),IF(LEFT(Checks!$AH$508,10)="N/A – RULE","","[ ] Pass"&amp;CHAR(10)&amp;"[ ] Pass after CA"&amp;CHAR(10)&amp;"[ ] Fail"&amp;IF(Checks!$AT$508=1,CHAR(10)&amp;"[ ] N/A","")&amp;CHAR(10)&amp;"CA: Open / Closed"))</f>
        <v/>
      </c>
      <c r="E25" s="120" t="str">
        <f aca="false">IF(Checks!$V$508="","",Checks!$V$508)&amp;IF(Checks!$AC$508="","",IF(Checks!$V$508="","",CHAR(10))&amp;"N/A just.: "&amp;Checks!$AC$508)&amp;IF(OR(Checks!$W$508&lt;&gt;"",AND(Checks!$AQ$508=1,NOT(LEFT(Checks!$AH$508,10)="N/A – RULE"))),CHAR(10)&amp;"Batch: "&amp;IF(Checks!$W$508="","____________",Checks!$W$508),"")&amp;IF(OR(Checks!$X$508&lt;&gt;"",Checks!$Y$508&lt;&gt;"",AND(Checks!$AR$508=1,NOT(LEFT(Checks!$AH$508,10)="N/A – RULE"))),CHAR(10)&amp;"Exp: "&amp;IF(Checks!$X$508="","______",Checks!$X$508)&amp;"  /  Act: "&amp;IF(Checks!$Y$508="","______",Checks!$Y$508),"")</f>
        <v/>
      </c>
      <c r="F25" s="120" t="str">
        <f aca="false">IF(AND(LEFT(Checks!$AH$508,10)="N/A – RULE",TRIM(Checks!$S$508&amp;Checks!$Z$508)=""),"","Type: "&amp;IF(TRIM(Checks!$S$508)="","______________ (see cover list)",Checks!$S$508)&amp;CHAR(10)&amp;"ID: "&amp;IF(TRIM(Checks!$Z$508)="","______________ (record's own no.)",Checks!$Z$508))&amp;IF(Checks!$AA$508="","",CHAR(10)&amp;"CA: "&amp;Checks!$AA$508)</f>
        <v/>
      </c>
      <c r="G25" s="120" t="str">
        <f aca="false">IF(AND(LEFT(Checks!$AH$508,10)="N/A – RULE",NOT(ISNUMBER(Checks!$AD$508)),Checks!$AE$508="",Checks!$T$508=""),"","Done: "&amp;IF(ISNUMBER(Checks!$AD$508),TEXT(Checks!$AD$508,"DD-MMM-YY HH:MM"),"____________")&amp;" "&amp;Checks!$P$508&amp;CHAR(10)&amp;"Verifier: "&amp;IF(Checks!$AE$508="","____________",Checks!$AE$508)&amp;CHAR(10)&amp;"PIC: "&amp;IF(Checks!$T$508="","____________",Checks!$T$508))</f>
        <v/>
      </c>
      <c r="H25" s="121" t="str">
        <f aca="false">IF(Checks!$AH$508="","",Checks!$AH$508)</f>
        <v>N/A – RULE</v>
      </c>
    </row>
    <row r="26" customFormat="false" ht="114" hidden="false" customHeight="true" outlineLevel="0" collapsed="false">
      <c r="A26" s="120" t="str">
        <f aca="false">Checks!$A$509&amp;CHAR(10)&amp;IF(Checks!$I$509="","",Checks!$I$509&amp;": ")&amp;Checks!$J$509</f>
        <v>F16-T7-04
Staffing: Experienced catering officer assigned to this flight</v>
      </c>
      <c r="B26" s="120" t="str">
        <f aca="false">Checks!$K$509&amp;IF(Checks!$O$509="","",IF(Checks!$K$509="","",CHAR(10))&amp;"Note: "&amp;Checks!$O$509)</f>
        <v>Record officer name in Result</v>
      </c>
      <c r="C26" s="120" t="str">
        <f aca="false">Checks!$N$509&amp;CHAR(10)&amp;IF(ISNUMBER(Checks!$R$509),TEXT(Checks!$R$509,"DD-MMM-YY HH:MM"),"")&amp;" "&amp;Checks!$P$509</f>
        <v>Required
19-Oct-26 09:10 KUL</v>
      </c>
      <c r="D26" s="120" t="str">
        <f aca="false">IF(TRIM(Checks!$U$509)&lt;&gt;"",Checks!$U$509&amp;IF(Checks!$AB$509="","",CHAR(10)&amp;"CA: "&amp;Checks!$AB$509),IF(LEFT(Checks!$AH$509,10)="N/A – RULE","","[ ] Pass"&amp;CHAR(10)&amp;"[ ] Pass after CA"&amp;CHAR(10)&amp;"[ ] Fail"&amp;IF(Checks!$AT$509=1,CHAR(10)&amp;"[ ] N/A","")&amp;CHAR(10)&amp;"CA: Open / Closed"))</f>
        <v>[ ] Pass
[ ] Pass after CA
[ ] Fail
CA: Open / Closed</v>
      </c>
      <c r="E26" s="120" t="str">
        <f aca="false">IF(Checks!$V$509="","",Checks!$V$509)&amp;IF(Checks!$AC$509="","",IF(Checks!$V$509="","",CHAR(10))&amp;"N/A just.: "&amp;Checks!$AC$509)&amp;IF(OR(Checks!$W$509&lt;&gt;"",AND(Checks!$AQ$509=1,NOT(LEFT(Checks!$AH$509,10)="N/A – RULE"))),CHAR(10)&amp;"Batch: "&amp;IF(Checks!$W$509="","____________",Checks!$W$509),"")&amp;IF(OR(Checks!$X$509&lt;&gt;"",Checks!$Y$509&lt;&gt;"",AND(Checks!$AR$509=1,NOT(LEFT(Checks!$AH$509,10)="N/A – RULE"))),CHAR(10)&amp;"Exp: "&amp;IF(Checks!$X$509="","______",Checks!$X$509)&amp;"  /  Act: "&amp;IF(Checks!$Y$509="","______",Checks!$Y$509),"")</f>
        <v/>
      </c>
      <c r="F26" s="120" t="str">
        <f aca="false">IF(AND(LEFT(Checks!$AH$509,10)="N/A – RULE",TRIM(Checks!$S$509&amp;Checks!$Z$509)=""),"","Type: "&amp;IF(TRIM(Checks!$S$509)="","______________ (see cover list)",Checks!$S$509)&amp;CHAR(10)&amp;"ID: "&amp;IF(TRIM(Checks!$Z$509)="","______________ (record's own no.)",Checks!$Z$509))&amp;IF(Checks!$AA$509="","",CHAR(10)&amp;"CA: "&amp;Checks!$AA$509)</f>
        <v>Type: ______________ (see cover list)
ID: ______________ (record's own no.)</v>
      </c>
      <c r="G26" s="120" t="str">
        <f aca="false">IF(AND(LEFT(Checks!$AH$509,10)="N/A – RULE",NOT(ISNUMBER(Checks!$AD$509)),Checks!$AE$509="",Checks!$T$509=""),"","Done: "&amp;IF(ISNUMBER(Checks!$AD$509),TEXT(Checks!$AD$509,"DD-MMM-YY HH:MM"),"____________")&amp;" "&amp;Checks!$P$509&amp;CHAR(10)&amp;"Verifier: "&amp;IF(Checks!$AE$509="","____________",Checks!$AE$509)&amp;CHAR(10)&amp;"PIC: "&amp;IF(Checks!$T$509="","____________",Checks!$T$509))</f>
        <v>Done: ____________ KUL
Verifier: ____________
PIC: ____________</v>
      </c>
      <c r="H26" s="121" t="str">
        <f aca="false">IF(Checks!$AH$509="","",Checks!$AH$509)</f>
        <v>OPEN</v>
      </c>
    </row>
    <row r="27" customFormat="false" ht="114" hidden="false" customHeight="true" outlineLevel="0" collapsed="false">
      <c r="A27" s="120" t="str">
        <f aca="false">Checks!$A$510&amp;CHAR(10)&amp;IF(Checks!$I$510="","",Checks!$I$510&amp;": ")&amp;Checks!$J$510</f>
        <v>F16-T7-05
ISOP: All latest applicable ISOP revisions communicated to caterer</v>
      </c>
      <c r="B27" s="120" t="str">
        <f aca="false">Checks!$K$510&amp;IF(Checks!$O$510="","",IF(Checks!$K$510="","",CHAR(10))&amp;"Note: "&amp;Checks!$O$510)</f>
        <v>List revision numbers in Result (see ISOP register)</v>
      </c>
      <c r="C27" s="120" t="str">
        <f aca="false">Checks!$N$510&amp;CHAR(10)&amp;IF(ISNUMBER(Checks!$R$510),TEXT(Checks!$R$510,"DD-MMM-YY HH:MM"),"")&amp;" "&amp;Checks!$P$510</f>
        <v>Required
19-Oct-26 09:10 KUL</v>
      </c>
      <c r="D27" s="120" t="str">
        <f aca="false">IF(TRIM(Checks!$U$510)&lt;&gt;"",Checks!$U$510&amp;IF(Checks!$AB$510="","",CHAR(10)&amp;"CA: "&amp;Checks!$AB$510),IF(LEFT(Checks!$AH$510,10)="N/A – RULE","","[ ] Pass"&amp;CHAR(10)&amp;"[ ] Pass after CA"&amp;CHAR(10)&amp;"[ ] Fail"&amp;IF(Checks!$AT$510=1,CHAR(10)&amp;"[ ] N/A","")&amp;CHAR(10)&amp;"CA: Open / Closed"))</f>
        <v>[ ] Pass
[ ] Pass after CA
[ ] Fail
CA: Open / Closed</v>
      </c>
      <c r="E27" s="120" t="str">
        <f aca="false">IF(Checks!$V$510="","",Checks!$V$510)&amp;IF(Checks!$AC$510="","",IF(Checks!$V$510="","",CHAR(10))&amp;"N/A just.: "&amp;Checks!$AC$510)&amp;IF(OR(Checks!$W$510&lt;&gt;"",AND(Checks!$AQ$510=1,NOT(LEFT(Checks!$AH$510,10)="N/A – RULE"))),CHAR(10)&amp;"Batch: "&amp;IF(Checks!$W$510="","____________",Checks!$W$510),"")&amp;IF(OR(Checks!$X$510&lt;&gt;"",Checks!$Y$510&lt;&gt;"",AND(Checks!$AR$510=1,NOT(LEFT(Checks!$AH$510,10)="N/A – RULE"))),CHAR(10)&amp;"Exp: "&amp;IF(Checks!$X$510="","______",Checks!$X$510)&amp;"  /  Act: "&amp;IF(Checks!$Y$510="","______",Checks!$Y$510),"")</f>
        <v/>
      </c>
      <c r="F27" s="120" t="str">
        <f aca="false">IF(AND(LEFT(Checks!$AH$510,10)="N/A – RULE",TRIM(Checks!$S$510&amp;Checks!$Z$510)=""),"","Type: "&amp;IF(TRIM(Checks!$S$510)="","______________ (see cover list)",Checks!$S$510)&amp;CHAR(10)&amp;"ID: "&amp;IF(TRIM(Checks!$Z$510)="","______________ (record's own no.)",Checks!$Z$510))&amp;IF(Checks!$AA$510="","",CHAR(10)&amp;"CA: "&amp;Checks!$AA$510)</f>
        <v>Type: ______________ (see cover list)
ID: ______________ (record's own no.)</v>
      </c>
      <c r="G27" s="120" t="str">
        <f aca="false">IF(AND(LEFT(Checks!$AH$510,10)="N/A – RULE",NOT(ISNUMBER(Checks!$AD$510)),Checks!$AE$510="",Checks!$T$510=""),"","Done: "&amp;IF(ISNUMBER(Checks!$AD$510),TEXT(Checks!$AD$510,"DD-MMM-YY HH:MM"),"____________")&amp;" "&amp;Checks!$P$510&amp;CHAR(10)&amp;"Verifier: "&amp;IF(Checks!$AE$510="","____________",Checks!$AE$510)&amp;CHAR(10)&amp;"PIC: "&amp;IF(Checks!$T$510="","____________",Checks!$T$510))</f>
        <v>Done: ____________ KUL
Verifier: ____________
PIC: ____________</v>
      </c>
      <c r="H27" s="121" t="str">
        <f aca="false">IF(Checks!$AH$510="","",Checks!$AH$510)</f>
        <v>OPEN</v>
      </c>
    </row>
    <row r="28" customFormat="false" ht="114" hidden="false" customHeight="true" outlineLevel="0" collapsed="false">
      <c r="A28" s="120" t="str">
        <f aca="false">Checks!$A$511&amp;CHAR(10)&amp;IF(Checks!$I$511="","",Checks!$I$511&amp;": ")&amp;Checks!$J$511</f>
        <v>F16-T7-06
ISOP: Caterer acknowledgement of ISOP revisions recorded</v>
      </c>
      <c r="B28" s="120" t="str">
        <f aca="false">Checks!$K$511&amp;IF(Checks!$O$511="","",IF(Checks!$K$511="","",CHAR(10))&amp;"Note: "&amp;Checks!$O$511)</f>
        <v>Record acknowledgement ref in Evidence</v>
      </c>
      <c r="C28" s="120" t="str">
        <f aca="false">Checks!$N$511&amp;CHAR(10)&amp;IF(ISNUMBER(Checks!$R$511),TEXT(Checks!$R$511,"DD-MMM-YY HH:MM"),"")&amp;" "&amp;Checks!$P$511</f>
        <v>Required
19-Oct-26 09:10 KUL</v>
      </c>
      <c r="D28" s="120" t="str">
        <f aca="false">IF(TRIM(Checks!$U$511)&lt;&gt;"",Checks!$U$511&amp;IF(Checks!$AB$511="","",CHAR(10)&amp;"CA: "&amp;Checks!$AB$511),IF(LEFT(Checks!$AH$511,10)="N/A – RULE","","[ ] Pass"&amp;CHAR(10)&amp;"[ ] Pass after CA"&amp;CHAR(10)&amp;"[ ] Fail"&amp;IF(Checks!$AT$511=1,CHAR(10)&amp;"[ ] N/A","")&amp;CHAR(10)&amp;"CA: Open / Closed"))</f>
        <v>[ ] Pass
[ ] Pass after CA
[ ] Fail
CA: Open / Closed</v>
      </c>
      <c r="E28" s="120" t="str">
        <f aca="false">IF(Checks!$V$511="","",Checks!$V$511)&amp;IF(Checks!$AC$511="","",IF(Checks!$V$511="","",CHAR(10))&amp;"N/A just.: "&amp;Checks!$AC$511)&amp;IF(OR(Checks!$W$511&lt;&gt;"",AND(Checks!$AQ$511=1,NOT(LEFT(Checks!$AH$511,10)="N/A – RULE"))),CHAR(10)&amp;"Batch: "&amp;IF(Checks!$W$511="","____________",Checks!$W$511),"")&amp;IF(OR(Checks!$X$511&lt;&gt;"",Checks!$Y$511&lt;&gt;"",AND(Checks!$AR$511=1,NOT(LEFT(Checks!$AH$511,10)="N/A – RULE"))),CHAR(10)&amp;"Exp: "&amp;IF(Checks!$X$511="","______",Checks!$X$511)&amp;"  /  Act: "&amp;IF(Checks!$Y$511="","______",Checks!$Y$511),"")</f>
        <v/>
      </c>
      <c r="F28" s="120" t="str">
        <f aca="false">IF(AND(LEFT(Checks!$AH$511,10)="N/A – RULE",TRIM(Checks!$S$511&amp;Checks!$Z$511)=""),"","Type: "&amp;IF(TRIM(Checks!$S$511)="","______________ (see cover list)",Checks!$S$511)&amp;CHAR(10)&amp;"ID: "&amp;IF(TRIM(Checks!$Z$511)="","______________ (record's own no.)",Checks!$Z$511))&amp;IF(Checks!$AA$511="","",CHAR(10)&amp;"CA: "&amp;Checks!$AA$511)</f>
        <v>Type: ______________ (see cover list)
ID: ______________ (record's own no.)</v>
      </c>
      <c r="G28" s="120" t="str">
        <f aca="false">IF(AND(LEFT(Checks!$AH$511,10)="N/A – RULE",NOT(ISNUMBER(Checks!$AD$511)),Checks!$AE$511="",Checks!$T$511=""),"","Done: "&amp;IF(ISNUMBER(Checks!$AD$511),TEXT(Checks!$AD$511,"DD-MMM-YY HH:MM"),"____________")&amp;" "&amp;Checks!$P$511&amp;CHAR(10)&amp;"Verifier: "&amp;IF(Checks!$AE$511="","____________",Checks!$AE$511)&amp;CHAR(10)&amp;"PIC: "&amp;IF(Checks!$T$511="","____________",Checks!$T$511))</f>
        <v>Done: ____________ KUL
Verifier: ____________
PIC: ____________</v>
      </c>
      <c r="H28" s="121" t="str">
        <f aca="false">IF(Checks!$AH$511="","",Checks!$AH$511)</f>
        <v>OPEN</v>
      </c>
    </row>
    <row r="29" customFormat="false" ht="114" hidden="false" customHeight="true" outlineLevel="0" collapsed="false">
      <c r="A29" s="120" t="str">
        <f aca="false">Checks!$A$512&amp;CHAR(10)&amp;IF(Checks!$I$512="","",Checks!$I$512&amp;": ")&amp;Checks!$J$512</f>
        <v>F16-T7-07
Documents: Galley loading diagram (GLD) received, revision recorded &amp; attached</v>
      </c>
      <c r="B29" s="120" t="str">
        <f aca="false">SUBSTITUTE(Checks!$K$512&amp;IF(Checks!$O$512="","",IF(Checks!$K$512="","",CHAR(10))&amp;"Note: "&amp;Checks!$O$512),"Documents sheet row complete","Recorded on the Documents sheet; copy stapled as A1 / A2")</f>
        <v>Recorded on the Documents sheet; copy stapled as A1 / A2</v>
      </c>
      <c r="C29" s="120" t="str">
        <f aca="false">Checks!$N$512&amp;CHAR(10)&amp;IF(ISNUMBER(Checks!$R$512),TEXT(Checks!$R$512,"DD-MMM-YY HH:MM"),"")&amp;" "&amp;Checks!$P$512</f>
        <v>Required
19-Oct-26 09:10 KUL</v>
      </c>
      <c r="D29" s="120" t="str">
        <f aca="false">IF(TRIM(Checks!$U$512)&lt;&gt;"",Checks!$U$512&amp;IF(Checks!$AB$512="","",CHAR(10)&amp;"CA: "&amp;Checks!$AB$512),IF(LEFT(Checks!$AH$512,10)="N/A – RULE","","[ ] Pass"&amp;CHAR(10)&amp;"[ ] Pass after CA"&amp;CHAR(10)&amp;"[ ] Fail"&amp;IF(Checks!$AT$512=1,CHAR(10)&amp;"[ ] N/A","")&amp;CHAR(10)&amp;"CA: Open / Closed"))</f>
        <v>[ ] Pass
[ ] Pass after CA
[ ] Fail
CA: Open / Closed</v>
      </c>
      <c r="E29" s="120" t="str">
        <f aca="false">IF(Checks!$V$512="","",Checks!$V$512)&amp;IF(Checks!$AC$512="","",IF(Checks!$V$512="","",CHAR(10))&amp;"N/A just.: "&amp;Checks!$AC$512)&amp;IF(OR(Checks!$W$512&lt;&gt;"",AND(Checks!$AQ$512=1,NOT(LEFT(Checks!$AH$512,10)="N/A – RULE"))),CHAR(10)&amp;"Batch: "&amp;IF(Checks!$W$512="","____________",Checks!$W$512),"")&amp;IF(OR(Checks!$X$512&lt;&gt;"",Checks!$Y$512&lt;&gt;"",AND(Checks!$AR$512=1,NOT(LEFT(Checks!$AH$512,10)="N/A – RULE"))),CHAR(10)&amp;"Exp: "&amp;IF(Checks!$X$512="","______",Checks!$X$512)&amp;"  /  Act: "&amp;IF(Checks!$Y$512="","______",Checks!$Y$512),"")</f>
        <v/>
      </c>
      <c r="F29" s="120" t="str">
        <f aca="false">IF(AND(LEFT(Checks!$AH$512,10)="N/A – RULE",TRIM(Checks!$S$512&amp;Checks!$Z$512)=""),"","Type: "&amp;IF(TRIM(Checks!$S$512)="","______________ (see cover list)",Checks!$S$512)&amp;CHAR(10)&amp;"ID: "&amp;IF(TRIM(Checks!$Z$512)="","______________ (record's own no.)",Checks!$Z$512))&amp;IF(Checks!$AA$512="","",CHAR(10)&amp;"CA: "&amp;Checks!$AA$512)</f>
        <v>Type: ______________ (see cover list)
ID: ______________ (record's own no.)</v>
      </c>
      <c r="G29" s="120" t="str">
        <f aca="false">IF(AND(LEFT(Checks!$AH$512,10)="N/A – RULE",NOT(ISNUMBER(Checks!$AD$512)),Checks!$AE$512="",Checks!$T$512=""),"","Done: "&amp;IF(ISNUMBER(Checks!$AD$512),TEXT(Checks!$AD$512,"DD-MMM-YY HH:MM"),"____________")&amp;" "&amp;Checks!$P$512&amp;CHAR(10)&amp;"Verifier: "&amp;IF(Checks!$AE$512="","____________",Checks!$AE$512)&amp;CHAR(10)&amp;"PIC: "&amp;IF(Checks!$T$512="","____________",Checks!$T$512))</f>
        <v>Done: ____________ KUL
Verifier: ____________
PIC: ____________</v>
      </c>
      <c r="H29" s="121" t="str">
        <f aca="false">IF(Checks!$AH$512="","",Checks!$AH$512)</f>
        <v>OPEN</v>
      </c>
    </row>
    <row r="30" customFormat="false" ht="114" hidden="false" customHeight="true" outlineLevel="0" collapsed="false">
      <c r="A30" s="120" t="str">
        <f aca="false">Checks!$A$513&amp;CHAR(10)&amp;IF(Checks!$I$513="","",Checks!$I$513&amp;": ")&amp;Checks!$J$513</f>
        <v>F16-T7-08
Documents: Menu checklist received, revision recorded &amp; attached</v>
      </c>
      <c r="B30" s="120" t="str">
        <f aca="false">SUBSTITUTE(Checks!$K$513&amp;IF(Checks!$O$513="","",IF(Checks!$K$513="","",CHAR(10))&amp;"Note: "&amp;Checks!$O$513),"Documents sheet row complete","Recorded on the Documents sheet; copy stapled as A1 / A2")</f>
        <v>Recorded on the Documents sheet; copy stapled as A1 / A2</v>
      </c>
      <c r="C30" s="120" t="str">
        <f aca="false">Checks!$N$513&amp;CHAR(10)&amp;IF(ISNUMBER(Checks!$R$513),TEXT(Checks!$R$513,"DD-MMM-YY HH:MM"),"")&amp;" "&amp;Checks!$P$513</f>
        <v>Required
19-Oct-26 09:10 KUL</v>
      </c>
      <c r="D30" s="120" t="str">
        <f aca="false">IF(TRIM(Checks!$U$513)&lt;&gt;"",Checks!$U$513&amp;IF(Checks!$AB$513="","",CHAR(10)&amp;"CA: "&amp;Checks!$AB$513),IF(LEFT(Checks!$AH$513,10)="N/A – RULE","","[ ] Pass"&amp;CHAR(10)&amp;"[ ] Pass after CA"&amp;CHAR(10)&amp;"[ ] Fail"&amp;IF(Checks!$AT$513=1,CHAR(10)&amp;"[ ] N/A","")&amp;CHAR(10)&amp;"CA: Open / Closed"))</f>
        <v>[ ] Pass
[ ] Pass after CA
[ ] Fail
CA: Open / Closed</v>
      </c>
      <c r="E30" s="120" t="str">
        <f aca="false">IF(Checks!$V$513="","",Checks!$V$513)&amp;IF(Checks!$AC$513="","",IF(Checks!$V$513="","",CHAR(10))&amp;"N/A just.: "&amp;Checks!$AC$513)&amp;IF(OR(Checks!$W$513&lt;&gt;"",AND(Checks!$AQ$513=1,NOT(LEFT(Checks!$AH$513,10)="N/A – RULE"))),CHAR(10)&amp;"Batch: "&amp;IF(Checks!$W$513="","____________",Checks!$W$513),"")&amp;IF(OR(Checks!$X$513&lt;&gt;"",Checks!$Y$513&lt;&gt;"",AND(Checks!$AR$513=1,NOT(LEFT(Checks!$AH$513,10)="N/A – RULE"))),CHAR(10)&amp;"Exp: "&amp;IF(Checks!$X$513="","______",Checks!$X$513)&amp;"  /  Act: "&amp;IF(Checks!$Y$513="","______",Checks!$Y$513),"")</f>
        <v/>
      </c>
      <c r="F30" s="120" t="str">
        <f aca="false">IF(AND(LEFT(Checks!$AH$513,10)="N/A – RULE",TRIM(Checks!$S$513&amp;Checks!$Z$513)=""),"","Type: "&amp;IF(TRIM(Checks!$S$513)="","______________ (see cover list)",Checks!$S$513)&amp;CHAR(10)&amp;"ID: "&amp;IF(TRIM(Checks!$Z$513)="","______________ (record's own no.)",Checks!$Z$513))&amp;IF(Checks!$AA$513="","",CHAR(10)&amp;"CA: "&amp;Checks!$AA$513)</f>
        <v>Type: ______________ (see cover list)
ID: ______________ (record's own no.)</v>
      </c>
      <c r="G30" s="120" t="str">
        <f aca="false">IF(AND(LEFT(Checks!$AH$513,10)="N/A – RULE",NOT(ISNUMBER(Checks!$AD$513)),Checks!$AE$513="",Checks!$T$513=""),"","Done: "&amp;IF(ISNUMBER(Checks!$AD$513),TEXT(Checks!$AD$513,"DD-MMM-YY HH:MM"),"____________")&amp;" "&amp;Checks!$P$513&amp;CHAR(10)&amp;"Verifier: "&amp;IF(Checks!$AE$513="","____________",Checks!$AE$513)&amp;CHAR(10)&amp;"PIC: "&amp;IF(Checks!$T$513="","____________",Checks!$T$513))</f>
        <v>Done: ____________ KUL
Verifier: ____________
PIC: ____________</v>
      </c>
      <c r="H30" s="121" t="str">
        <f aca="false">IF(Checks!$AH$513="","",Checks!$AH$513)</f>
        <v>OPEN</v>
      </c>
    </row>
    <row r="31" customFormat="false" ht="114" hidden="false" customHeight="true" outlineLevel="0" collapsed="false">
      <c r="A31" s="120" t="str">
        <f aca="false">Checks!$A$514&amp;CHAR(10)&amp;IF(Checks!$I$514="","",Checks!$I$514&amp;": ")&amp;Checks!$J$514</f>
        <v>F16-T7-09
Uplift plan: Uplift plan confirmed with caterer vs STD Uplift Information</v>
      </c>
      <c r="B31" s="120" t="str">
        <f aca="false">Checks!$K$514&amp;IF(Checks!$O$514="","",IF(Checks!$K$514="","",CHAR(10))&amp;"Note: "&amp;Checks!$O$514)</f>
        <v>Service: 1 Meal + DAT(Noodles Svc) (Meal); meal uplift stn KUL (ref lists KUL/HKG)</v>
      </c>
      <c r="C31" s="120" t="str">
        <f aca="false">Checks!$N$514&amp;CHAR(10)&amp;IF(ISNUMBER(Checks!$R$514),TEXT(Checks!$R$514,"DD-MMM-YY HH:MM"),"")&amp;" "&amp;Checks!$P$514</f>
        <v>Required
19-Oct-26 09:10 KUL</v>
      </c>
      <c r="D31" s="120" t="str">
        <f aca="false">IF(TRIM(Checks!$U$514)&lt;&gt;"",Checks!$U$514&amp;IF(Checks!$AB$514="","",CHAR(10)&amp;"CA: "&amp;Checks!$AB$514),IF(LEFT(Checks!$AH$514,10)="N/A – RULE","","[ ] Pass"&amp;CHAR(10)&amp;"[ ] Pass after CA"&amp;CHAR(10)&amp;"[ ] Fail"&amp;IF(Checks!$AT$514=1,CHAR(10)&amp;"[ ] N/A","")&amp;CHAR(10)&amp;"CA: Open / Closed"))</f>
        <v>[ ] Pass
[ ] Pass after CA
[ ] Fail
CA: Open / Closed</v>
      </c>
      <c r="E31" s="120" t="str">
        <f aca="false">IF(Checks!$V$514="","",Checks!$V$514)&amp;IF(Checks!$AC$514="","",IF(Checks!$V$514="","",CHAR(10))&amp;"N/A just.: "&amp;Checks!$AC$514)&amp;IF(OR(Checks!$W$514&lt;&gt;"",AND(Checks!$AQ$514=1,NOT(LEFT(Checks!$AH$514,10)="N/A – RULE"))),CHAR(10)&amp;"Batch: "&amp;IF(Checks!$W$514="","____________",Checks!$W$514),"")&amp;IF(OR(Checks!$X$514&lt;&gt;"",Checks!$Y$514&lt;&gt;"",AND(Checks!$AR$514=1,NOT(LEFT(Checks!$AH$514,10)="N/A – RULE"))),CHAR(10)&amp;"Exp: "&amp;IF(Checks!$X$514="","______",Checks!$X$514)&amp;"  /  Act: "&amp;IF(Checks!$Y$514="","______",Checks!$Y$514),"")</f>
        <v/>
      </c>
      <c r="F31" s="120" t="str">
        <f aca="false">IF(AND(LEFT(Checks!$AH$514,10)="N/A – RULE",TRIM(Checks!$S$514&amp;Checks!$Z$514)=""),"","Type: "&amp;IF(TRIM(Checks!$S$514)="","______________ (see cover list)",Checks!$S$514)&amp;CHAR(10)&amp;"ID: "&amp;IF(TRIM(Checks!$Z$514)="","______________ (record's own no.)",Checks!$Z$514))&amp;IF(Checks!$AA$514="","",CHAR(10)&amp;"CA: "&amp;Checks!$AA$514)</f>
        <v>Type: ______________ (see cover list)
ID: ______________ (record's own no.)</v>
      </c>
      <c r="G31" s="120" t="str">
        <f aca="false">IF(AND(LEFT(Checks!$AH$514,10)="N/A – RULE",NOT(ISNUMBER(Checks!$AD$514)),Checks!$AE$514="",Checks!$T$514=""),"","Done: "&amp;IF(ISNUMBER(Checks!$AD$514),TEXT(Checks!$AD$514,"DD-MMM-YY HH:MM"),"____________")&amp;" "&amp;Checks!$P$514&amp;CHAR(10)&amp;"Verifier: "&amp;IF(Checks!$AE$514="","____________",Checks!$AE$514)&amp;CHAR(10)&amp;"PIC: "&amp;IF(Checks!$T$514="","____________",Checks!$T$514))</f>
        <v>Done: ____________ KUL
Verifier: ____________
PIC: ____________</v>
      </c>
      <c r="H31" s="121" t="str">
        <f aca="false">IF(Checks!$AH$514="","",Checks!$AH$514)</f>
        <v>OPEN</v>
      </c>
    </row>
    <row r="32" customFormat="false" ht="25.5" hidden="false" customHeight="true" outlineLevel="0" collapsed="false">
      <c r="A32" s="119" t="str">
        <f aca="false">"T-24H — Production batch sensory  |  Due "&amp;IF(ISNUMBER(Flights!$AH$20),TEXT(Flights!$AH$20,"DD-MMM-YY HH:MM"),"")&amp;" "&amp;Flights!$V$20&amp;" (meal uplift stn)"&amp;" (rows with another due show their own)  |  Complete "&amp;IF(ISNUMBER(Flights!$AK$20),TEXT(Flights!$AK$20,"0%"),Flights!$AK$20)&amp;"  |  1 lines"</f>
        <v>T-24H — Production batch sensory  |  Due 25-Oct-26 09:10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Checks!$A$515&amp;CHAR(10)&amp;IF(Checks!$I$515="","",Checks!$I$515&amp;": ")&amp;Checks!$J$515</f>
        <v>F16-T24-01
Meal: Sensory test repeated on ACTUAL production batch for this flight</v>
      </c>
      <c r="B33" s="120" t="str">
        <f aca="false">Checks!$K$515&amp;IF(Checks!$O$515="","",IF(Checks!$K$515="","",CHAR(10))&amp;"Note: "&amp;Checks!$O$515)</f>
        <v>Batch ID, result, CA and acceptance mandatory</v>
      </c>
      <c r="C33" s="120" t="str">
        <f aca="false">Checks!$N$515&amp;CHAR(10)&amp;IF(ISNUMBER(Checks!$R$515),TEXT(Checks!$R$515,"DD-MMM-YY HH:MM"),"")&amp;" "&amp;Checks!$P$515</f>
        <v>Required
25-Oct-26 09:10 KUL</v>
      </c>
      <c r="D33" s="120" t="str">
        <f aca="false">IF(TRIM(Checks!$U$515)&lt;&gt;"",Checks!$U$515&amp;IF(Checks!$AB$515="","",CHAR(10)&amp;"CA: "&amp;Checks!$AB$515),IF(LEFT(Checks!$AH$515,10)="N/A – RULE","","[ ] Pass"&amp;CHAR(10)&amp;"[ ] Pass after CA"&amp;CHAR(10)&amp;"[ ] Fail"&amp;IF(Checks!$AT$515=1,CHAR(10)&amp;"[ ] N/A","")&amp;CHAR(10)&amp;"CA: Open / Closed"))</f>
        <v>[ ] Pass
[ ] Pass after CA
[ ] Fail
CA: Open / Closed</v>
      </c>
      <c r="E33" s="120" t="str">
        <f aca="false">IF(Checks!$V$515="","",Checks!$V$515)&amp;IF(Checks!$AC$515="","",IF(Checks!$V$515="","",CHAR(10))&amp;"N/A just.: "&amp;Checks!$AC$515)&amp;IF(OR(Checks!$W$515&lt;&gt;"",AND(Checks!$AQ$515=1,NOT(LEFT(Checks!$AH$515,10)="N/A – RULE"))),CHAR(10)&amp;"Batch: "&amp;IF(Checks!$W$515="","____________",Checks!$W$515),"")&amp;IF(OR(Checks!$X$515&lt;&gt;"",Checks!$Y$515&lt;&gt;"",AND(Checks!$AR$515=1,NOT(LEFT(Checks!$AH$515,10)="N/A – RULE"))),CHAR(10)&amp;"Exp: "&amp;IF(Checks!$X$515="","______",Checks!$X$515)&amp;"  /  Act: "&amp;IF(Checks!$Y$515="","______",Checks!$Y$515),"")</f>
        <v>
Batch: ____________</v>
      </c>
      <c r="F33" s="120" t="str">
        <f aca="false">IF(AND(LEFT(Checks!$AH$515,10)="N/A – RULE",TRIM(Checks!$S$515&amp;Checks!$Z$515)=""),"","Type: "&amp;IF(TRIM(Checks!$S$515)="","______________ (see cover list)",Checks!$S$515)&amp;CHAR(10)&amp;"ID: "&amp;IF(TRIM(Checks!$Z$515)="","______________ (record's own no.)",Checks!$Z$515))&amp;IF(Checks!$AA$515="","",CHAR(10)&amp;"CA: "&amp;Checks!$AA$515)</f>
        <v>Type: ______________ (see cover list)
ID: ______________ (record's own no.)</v>
      </c>
      <c r="G33" s="120" t="str">
        <f aca="false">IF(AND(LEFT(Checks!$AH$515,10)="N/A – RULE",NOT(ISNUMBER(Checks!$AD$515)),Checks!$AE$515="",Checks!$T$515=""),"","Done: "&amp;IF(ISNUMBER(Checks!$AD$515),TEXT(Checks!$AD$515,"DD-MMM-YY HH:MM"),"____________")&amp;" "&amp;Checks!$P$515&amp;CHAR(10)&amp;"Verifier: "&amp;IF(Checks!$AE$515="","____________",Checks!$AE$515)&amp;CHAR(10)&amp;"PIC: "&amp;IF(Checks!$T$515="","____________",Checks!$T$515))</f>
        <v>Done: ____________ KUL
Verifier: ____________
PIC: ____________</v>
      </c>
      <c r="H33" s="121" t="str">
        <f aca="false">IF(Checks!$AH$515="","",Checks!$AH$515)</f>
        <v>OPEN</v>
      </c>
    </row>
    <row r="34" customFormat="false" ht="25.5" hidden="false" customHeight="true" outlineLevel="0" collapsed="false">
      <c r="A34" s="119" t="str">
        <f aca="false">"T-12H PREP — Preparation check at caterer (does NOT confirm loading)  |  Due "&amp;IF(ISNUMBER(Flights!$AI$20),TEXT(Flights!$AI$20,"DD-MMM-YY HH:MM"),"")&amp;" "&amp;Flights!$V$20&amp;" (meal uplift stn)"&amp;" (rows with another due show their own)  |  Complete "&amp;IF(ISNUMBER(Flights!$AL$20),TEXT(Flights!$AL$20,"0%"),Flights!$AL$20)&amp;"  |  10 lines"</f>
        <v>T-12H PREP — Preparation check at caterer (does NOT confirm loading)  |  Due 25-Oct-26 21:10 KUL (meal uplift stn) (rows with another due show their own)  |  Complete 0%  |  10 lines</v>
      </c>
      <c r="B34" s="119"/>
      <c r="C34" s="119"/>
      <c r="D34" s="119"/>
      <c r="E34" s="119"/>
      <c r="F34" s="119"/>
      <c r="G34" s="119"/>
      <c r="H34" s="119"/>
    </row>
    <row r="35" customFormat="false" ht="114" hidden="false" customHeight="true" outlineLevel="0" collapsed="false">
      <c r="A35" s="120" t="str">
        <f aca="false">Checks!$A$516&amp;CHAR(10)&amp;IF(Checks!$I$516="","",Checks!$I$516&amp;": ")&amp;Checks!$J$516</f>
        <v>F16-T12-01
Meal: Meal quality vs menu checklist</v>
      </c>
      <c r="B35" s="120" t="str">
        <f aca="false">Checks!$K$516&amp;IF(Checks!$O$516="","",IF(Checks!$K$516="","",CHAR(10))&amp;"Note: "&amp;Checks!$O$516)</f>
        <v>Note: Preparation check at caterer - does NOT confirm loading.</v>
      </c>
      <c r="C35" s="120" t="str">
        <f aca="false">Checks!$N$516&amp;CHAR(10)&amp;IF(ISNUMBER(Checks!$R$516),TEXT(Checks!$R$516,"DD-MMM-YY HH:MM"),"")&amp;" "&amp;Checks!$P$516</f>
        <v>Required
25-Oct-26 21:10 KUL</v>
      </c>
      <c r="D35" s="120" t="str">
        <f aca="false">IF(TRIM(Checks!$U$516)&lt;&gt;"",Checks!$U$516&amp;IF(Checks!$AB$516="","",CHAR(10)&amp;"CA: "&amp;Checks!$AB$516),IF(LEFT(Checks!$AH$516,10)="N/A – RULE","","[ ] Pass"&amp;CHAR(10)&amp;"[ ] Pass after CA"&amp;CHAR(10)&amp;"[ ] Fail"&amp;IF(Checks!$AT$516=1,CHAR(10)&amp;"[ ] N/A","")&amp;CHAR(10)&amp;"CA: Open / Closed"))</f>
        <v>[ ] Pass
[ ] Pass after CA
[ ] Fail
CA: Open / Closed</v>
      </c>
      <c r="E35" s="120" t="str">
        <f aca="false">IF(Checks!$V$516="","",Checks!$V$516)&amp;IF(Checks!$AC$516="","",IF(Checks!$V$516="","",CHAR(10))&amp;"N/A just.: "&amp;Checks!$AC$516)&amp;IF(OR(Checks!$W$516&lt;&gt;"",AND(Checks!$AQ$516=1,NOT(LEFT(Checks!$AH$516,10)="N/A – RULE"))),CHAR(10)&amp;"Batch: "&amp;IF(Checks!$W$516="","____________",Checks!$W$516),"")&amp;IF(OR(Checks!$X$516&lt;&gt;"",Checks!$Y$516&lt;&gt;"",AND(Checks!$AR$516=1,NOT(LEFT(Checks!$AH$516,10)="N/A – RULE"))),CHAR(10)&amp;"Exp: "&amp;IF(Checks!$X$516="","______",Checks!$X$516)&amp;"  /  Act: "&amp;IF(Checks!$Y$516="","______",Checks!$Y$516),"")</f>
        <v/>
      </c>
      <c r="F35" s="120" t="str">
        <f aca="false">IF(AND(LEFT(Checks!$AH$516,10)="N/A – RULE",TRIM(Checks!$S$516&amp;Checks!$Z$516)=""),"","Type: "&amp;IF(TRIM(Checks!$S$516)="","______________ (see cover list)",Checks!$S$516)&amp;CHAR(10)&amp;"ID: "&amp;IF(TRIM(Checks!$Z$516)="","______________ (record's own no.)",Checks!$Z$516))&amp;IF(Checks!$AA$516="","",CHAR(10)&amp;"CA: "&amp;Checks!$AA$516)</f>
        <v>Type: ______________ (see cover list)
ID: ______________ (record's own no.)</v>
      </c>
      <c r="G35" s="120" t="str">
        <f aca="false">IF(AND(LEFT(Checks!$AH$516,10)="N/A – RULE",NOT(ISNUMBER(Checks!$AD$516)),Checks!$AE$516="",Checks!$T$516=""),"","Done: "&amp;IF(ISNUMBER(Checks!$AD$516),TEXT(Checks!$AD$516,"DD-MMM-YY HH:MM"),"____________")&amp;" "&amp;Checks!$P$516&amp;CHAR(10)&amp;"Verifier: "&amp;IF(Checks!$AE$516="","____________",Checks!$AE$516)&amp;CHAR(10)&amp;"PIC: "&amp;IF(Checks!$T$516="","____________",Checks!$T$516))</f>
        <v>Done: ____________ KUL
Verifier: ____________
PIC: ____________</v>
      </c>
      <c r="H35" s="121" t="str">
        <f aca="false">IF(Checks!$AH$516="","",Checks!$AH$516)</f>
        <v>OPEN</v>
      </c>
    </row>
    <row r="36" customFormat="false" ht="114" hidden="false" customHeight="true" outlineLevel="0" collapsed="false">
      <c r="A36" s="120" t="str">
        <f aca="false">Checks!$A$517&amp;CHAR(10)&amp;IF(Checks!$I$517="","",Checks!$I$517&amp;": ")&amp;Checks!$J$517</f>
        <v>F16-T12-02
Meal: Meal quantities vs menu checklist</v>
      </c>
      <c r="B36" s="120" t="str">
        <f aca="false">Checks!$K$517&amp;IF(Checks!$O$517="","",IF(Checks!$K$517="","",CHAR(10))&amp;"Note: "&amp;Checks!$O$517)</f>
        <v>Enter expected &amp; actual
Note: Preparation check at caterer - does NOT confirm loading.</v>
      </c>
      <c r="C36" s="120" t="str">
        <f aca="false">Checks!$N$517&amp;CHAR(10)&amp;IF(ISNUMBER(Checks!$R$517),TEXT(Checks!$R$517,"DD-MMM-YY HH:MM"),"")&amp;" "&amp;Checks!$P$517</f>
        <v>Required
25-Oct-26 21:10 KUL</v>
      </c>
      <c r="D36" s="120" t="str">
        <f aca="false">IF(TRIM(Checks!$U$517)&lt;&gt;"",Checks!$U$517&amp;IF(Checks!$AB$517="","",CHAR(10)&amp;"CA: "&amp;Checks!$AB$517),IF(LEFT(Checks!$AH$517,10)="N/A – RULE","","[ ] Pass"&amp;CHAR(10)&amp;"[ ] Pass after CA"&amp;CHAR(10)&amp;"[ ] Fail"&amp;IF(Checks!$AT$517=1,CHAR(10)&amp;"[ ] N/A","")&amp;CHAR(10)&amp;"CA: Open / Closed"))</f>
        <v>[ ] Pass
[ ] Pass after CA
[ ] Fail
CA: Open / Closed</v>
      </c>
      <c r="E36" s="120" t="str">
        <f aca="false">IF(Checks!$V$517="","",Checks!$V$517)&amp;IF(Checks!$AC$517="","",IF(Checks!$V$517="","",CHAR(10))&amp;"N/A just.: "&amp;Checks!$AC$517)&amp;IF(OR(Checks!$W$517&lt;&gt;"",AND(Checks!$AQ$517=1,NOT(LEFT(Checks!$AH$517,10)="N/A – RULE"))),CHAR(10)&amp;"Batch: "&amp;IF(Checks!$W$517="","____________",Checks!$W$517),"")&amp;IF(OR(Checks!$X$517&lt;&gt;"",Checks!$Y$517&lt;&gt;"",AND(Checks!$AR$517=1,NOT(LEFT(Checks!$AH$517,10)="N/A – RULE"))),CHAR(10)&amp;"Exp: "&amp;IF(Checks!$X$517="","______",Checks!$X$517)&amp;"  /  Act: "&amp;IF(Checks!$Y$517="","______",Checks!$Y$517),"")</f>
        <v>
Exp: ______  /  Act: ______</v>
      </c>
      <c r="F36" s="120" t="str">
        <f aca="false">IF(AND(LEFT(Checks!$AH$517,10)="N/A – RULE",TRIM(Checks!$S$517&amp;Checks!$Z$517)=""),"","Type: "&amp;IF(TRIM(Checks!$S$517)="","______________ (see cover list)",Checks!$S$517)&amp;CHAR(10)&amp;"ID: "&amp;IF(TRIM(Checks!$Z$517)="","______________ (record's own no.)",Checks!$Z$517))&amp;IF(Checks!$AA$517="","",CHAR(10)&amp;"CA: "&amp;Checks!$AA$517)</f>
        <v>Type: ______________ (see cover list)
ID: ______________ (record's own no.)</v>
      </c>
      <c r="G36" s="120" t="str">
        <f aca="false">IF(AND(LEFT(Checks!$AH$517,10)="N/A – RULE",NOT(ISNUMBER(Checks!$AD$517)),Checks!$AE$517="",Checks!$T$517=""),"","Done: "&amp;IF(ISNUMBER(Checks!$AD$517),TEXT(Checks!$AD$517,"DD-MMM-YY HH:MM"),"____________")&amp;" "&amp;Checks!$P$517&amp;CHAR(10)&amp;"Verifier: "&amp;IF(Checks!$AE$517="","____________",Checks!$AE$517)&amp;CHAR(10)&amp;"PIC: "&amp;IF(Checks!$T$517="","____________",Checks!$T$517))</f>
        <v>Done: ____________ KUL
Verifier: ____________
PIC: ____________</v>
      </c>
      <c r="H36" s="121" t="str">
        <f aca="false">IF(Checks!$AH$517="","",Checks!$AH$517)</f>
        <v>OPEN</v>
      </c>
    </row>
    <row r="37" customFormat="false" ht="114" hidden="false" customHeight="true" outlineLevel="0" collapsed="false">
      <c r="A37" s="120" t="str">
        <f aca="false">Checks!$A$518&amp;CHAR(10)&amp;IF(Checks!$I$518="","",Checks!$I$518&amp;": ")&amp;Checks!$J$518</f>
        <v>F16-T12-03
Equipment: Equipment cleanliness vs GLD</v>
      </c>
      <c r="B37" s="120" t="str">
        <f aca="false">Checks!$K$518&amp;IF(Checks!$O$518="","",IF(Checks!$K$518="","",CHAR(10))&amp;"Note: "&amp;Checks!$O$518)</f>
        <v>Note: Preparation check at caterer - does NOT confirm loading.</v>
      </c>
      <c r="C37" s="120" t="str">
        <f aca="false">Checks!$N$518&amp;CHAR(10)&amp;IF(ISNUMBER(Checks!$R$518),TEXT(Checks!$R$518,"DD-MMM-YY HH:MM"),"")&amp;" "&amp;Checks!$P$518</f>
        <v>Required
25-Oct-26 21:10 KUL</v>
      </c>
      <c r="D37" s="120" t="str">
        <f aca="false">IF(TRIM(Checks!$U$518)&lt;&gt;"",Checks!$U$518&amp;IF(Checks!$AB$518="","",CHAR(10)&amp;"CA: "&amp;Checks!$AB$518),IF(LEFT(Checks!$AH$518,10)="N/A – RULE","","[ ] Pass"&amp;CHAR(10)&amp;"[ ] Pass after CA"&amp;CHAR(10)&amp;"[ ] Fail"&amp;IF(Checks!$AT$518=1,CHAR(10)&amp;"[ ] N/A","")&amp;CHAR(10)&amp;"CA: Open / Closed"))</f>
        <v>[ ] Pass
[ ] Pass after CA
[ ] Fail
CA: Open / Closed</v>
      </c>
      <c r="E37" s="120" t="str">
        <f aca="false">IF(Checks!$V$518="","",Checks!$V$518)&amp;IF(Checks!$AC$518="","",IF(Checks!$V$518="","",CHAR(10))&amp;"N/A just.: "&amp;Checks!$AC$518)&amp;IF(OR(Checks!$W$518&lt;&gt;"",AND(Checks!$AQ$518=1,NOT(LEFT(Checks!$AH$518,10)="N/A – RULE"))),CHAR(10)&amp;"Batch: "&amp;IF(Checks!$W$518="","____________",Checks!$W$518),"")&amp;IF(OR(Checks!$X$518&lt;&gt;"",Checks!$Y$518&lt;&gt;"",AND(Checks!$AR$518=1,NOT(LEFT(Checks!$AH$518,10)="N/A – RULE"))),CHAR(10)&amp;"Exp: "&amp;IF(Checks!$X$518="","______",Checks!$X$518)&amp;"  /  Act: "&amp;IF(Checks!$Y$518="","______",Checks!$Y$518),"")</f>
        <v/>
      </c>
      <c r="F37" s="120" t="str">
        <f aca="false">IF(AND(LEFT(Checks!$AH$518,10)="N/A – RULE",TRIM(Checks!$S$518&amp;Checks!$Z$518)=""),"","Type: "&amp;IF(TRIM(Checks!$S$518)="","______________ (see cover list)",Checks!$S$518)&amp;CHAR(10)&amp;"ID: "&amp;IF(TRIM(Checks!$Z$518)="","______________ (record's own no.)",Checks!$Z$518))&amp;IF(Checks!$AA$518="","",CHAR(10)&amp;"CA: "&amp;Checks!$AA$518)</f>
        <v>Type: ______________ (see cover list)
ID: ______________ (record's own no.)</v>
      </c>
      <c r="G37" s="120" t="str">
        <f aca="false">IF(AND(LEFT(Checks!$AH$518,10)="N/A – RULE",NOT(ISNUMBER(Checks!$AD$518)),Checks!$AE$518="",Checks!$T$518=""),"","Done: "&amp;IF(ISNUMBER(Checks!$AD$518),TEXT(Checks!$AD$518,"DD-MMM-YY HH:MM"),"____________")&amp;" "&amp;Checks!$P$518&amp;CHAR(10)&amp;"Verifier: "&amp;IF(Checks!$AE$518="","____________",Checks!$AE$518)&amp;CHAR(10)&amp;"PIC: "&amp;IF(Checks!$T$518="","____________",Checks!$T$518))</f>
        <v>Done: ____________ KUL
Verifier: ____________
PIC: ____________</v>
      </c>
      <c r="H37" s="121" t="str">
        <f aca="false">IF(Checks!$AH$518="","",Checks!$AH$518)</f>
        <v>OPEN</v>
      </c>
    </row>
    <row r="38" customFormat="false" ht="114" hidden="false" customHeight="true" outlineLevel="0" collapsed="false">
      <c r="A38" s="120" t="str">
        <f aca="false">Checks!$A$519&amp;CHAR(10)&amp;IF(Checks!$I$519="","",Checks!$I$519&amp;": ")&amp;Checks!$J$519</f>
        <v>F16-T12-04
Equipment: Equipment presentation vs GLD</v>
      </c>
      <c r="B38" s="120" t="str">
        <f aca="false">Checks!$K$519&amp;IF(Checks!$O$519="","",IF(Checks!$K$519="","",CHAR(10))&amp;"Note: "&amp;Checks!$O$519)</f>
        <v>Note: Preparation check at caterer - does NOT confirm loading.</v>
      </c>
      <c r="C38" s="120" t="str">
        <f aca="false">Checks!$N$519&amp;CHAR(10)&amp;IF(ISNUMBER(Checks!$R$519),TEXT(Checks!$R$519,"DD-MMM-YY HH:MM"),"")&amp;" "&amp;Checks!$P$519</f>
        <v>Required
25-Oct-26 21:10 KUL</v>
      </c>
      <c r="D38" s="120" t="str">
        <f aca="false">IF(TRIM(Checks!$U$519)&lt;&gt;"",Checks!$U$519&amp;IF(Checks!$AB$519="","",CHAR(10)&amp;"CA: "&amp;Checks!$AB$519),IF(LEFT(Checks!$AH$519,10)="N/A – RULE","","[ ] Pass"&amp;CHAR(10)&amp;"[ ] Pass after CA"&amp;CHAR(10)&amp;"[ ] Fail"&amp;IF(Checks!$AT$519=1,CHAR(10)&amp;"[ ] N/A","")&amp;CHAR(10)&amp;"CA: Open / Closed"))</f>
        <v>[ ] Pass
[ ] Pass after CA
[ ] Fail
CA: Open / Closed</v>
      </c>
      <c r="E38" s="120" t="str">
        <f aca="false">IF(Checks!$V$519="","",Checks!$V$519)&amp;IF(Checks!$AC$519="","",IF(Checks!$V$519="","",CHAR(10))&amp;"N/A just.: "&amp;Checks!$AC$519)&amp;IF(OR(Checks!$W$519&lt;&gt;"",AND(Checks!$AQ$519=1,NOT(LEFT(Checks!$AH$519,10)="N/A – RULE"))),CHAR(10)&amp;"Batch: "&amp;IF(Checks!$W$519="","____________",Checks!$W$519),"")&amp;IF(OR(Checks!$X$519&lt;&gt;"",Checks!$Y$519&lt;&gt;"",AND(Checks!$AR$519=1,NOT(LEFT(Checks!$AH$519,10)="N/A – RULE"))),CHAR(10)&amp;"Exp: "&amp;IF(Checks!$X$519="","______",Checks!$X$519)&amp;"  /  Act: "&amp;IF(Checks!$Y$519="","______",Checks!$Y$519),"")</f>
        <v/>
      </c>
      <c r="F38" s="120" t="str">
        <f aca="false">IF(AND(LEFT(Checks!$AH$519,10)="N/A – RULE",TRIM(Checks!$S$519&amp;Checks!$Z$519)=""),"","Type: "&amp;IF(TRIM(Checks!$S$519)="","______________ (see cover list)",Checks!$S$519)&amp;CHAR(10)&amp;"ID: "&amp;IF(TRIM(Checks!$Z$519)="","______________ (record's own no.)",Checks!$Z$519))&amp;IF(Checks!$AA$519="","",CHAR(10)&amp;"CA: "&amp;Checks!$AA$519)</f>
        <v>Type: ______________ (see cover list)
ID: ______________ (record's own no.)</v>
      </c>
      <c r="G38" s="120" t="str">
        <f aca="false">IF(AND(LEFT(Checks!$AH$519,10)="N/A – RULE",NOT(ISNUMBER(Checks!$AD$519)),Checks!$AE$519="",Checks!$T$519=""),"","Done: "&amp;IF(ISNUMBER(Checks!$AD$519),TEXT(Checks!$AD$519,"DD-MMM-YY HH:MM"),"____________")&amp;" "&amp;Checks!$P$519&amp;CHAR(10)&amp;"Verifier: "&amp;IF(Checks!$AE$519="","____________",Checks!$AE$519)&amp;CHAR(10)&amp;"PIC: "&amp;IF(Checks!$T$519="","____________",Checks!$T$519))</f>
        <v>Done: ____________ KUL
Verifier: ____________
PIC: ____________</v>
      </c>
      <c r="H38" s="121" t="str">
        <f aca="false">IF(Checks!$AH$519="","",Checks!$AH$519)</f>
        <v>OPEN</v>
      </c>
    </row>
    <row r="39" customFormat="false" ht="114" hidden="false" customHeight="true" outlineLevel="0" collapsed="false">
      <c r="A39" s="120" t="str">
        <f aca="false">Checks!$A$520&amp;CHAR(10)&amp;IF(Checks!$I$520="","",Checks!$I$520&amp;": ")&amp;Checks!$J$520</f>
        <v>F16-T12-05
Equipment: Equipment serviceability vs GLD</v>
      </c>
      <c r="B39" s="120" t="str">
        <f aca="false">Checks!$K$520&amp;IF(Checks!$O$520="","",IF(Checks!$K$520="","",CHAR(10))&amp;"Note: "&amp;Checks!$O$520)</f>
        <v>Note: Preparation check at caterer - does NOT confirm loading.</v>
      </c>
      <c r="C39" s="120" t="str">
        <f aca="false">Checks!$N$520&amp;CHAR(10)&amp;IF(ISNUMBER(Checks!$R$520),TEXT(Checks!$R$520,"DD-MMM-YY HH:MM"),"")&amp;" "&amp;Checks!$P$520</f>
        <v>Required
25-Oct-26 21:10 KUL</v>
      </c>
      <c r="D39" s="120" t="str">
        <f aca="false">IF(TRIM(Checks!$U$520)&lt;&gt;"",Checks!$U$520&amp;IF(Checks!$AB$520="","",CHAR(10)&amp;"CA: "&amp;Checks!$AB$520),IF(LEFT(Checks!$AH$520,10)="N/A – RULE","","[ ] Pass"&amp;CHAR(10)&amp;"[ ] Pass after CA"&amp;CHAR(10)&amp;"[ ] Fail"&amp;IF(Checks!$AT$520=1,CHAR(10)&amp;"[ ] N/A","")&amp;CHAR(10)&amp;"CA: Open / Closed"))</f>
        <v>[ ] Pass
[ ] Pass after CA
[ ] Fail
CA: Open / Closed</v>
      </c>
      <c r="E39" s="120" t="str">
        <f aca="false">IF(Checks!$V$520="","",Checks!$V$520)&amp;IF(Checks!$AC$520="","",IF(Checks!$V$520="","",CHAR(10))&amp;"N/A just.: "&amp;Checks!$AC$520)&amp;IF(OR(Checks!$W$520&lt;&gt;"",AND(Checks!$AQ$520=1,NOT(LEFT(Checks!$AH$520,10)="N/A – RULE"))),CHAR(10)&amp;"Batch: "&amp;IF(Checks!$W$520="","____________",Checks!$W$520),"")&amp;IF(OR(Checks!$X$520&lt;&gt;"",Checks!$Y$520&lt;&gt;"",AND(Checks!$AR$520=1,NOT(LEFT(Checks!$AH$520,10)="N/A – RULE"))),CHAR(10)&amp;"Exp: "&amp;IF(Checks!$X$520="","______",Checks!$X$520)&amp;"  /  Act: "&amp;IF(Checks!$Y$520="","______",Checks!$Y$520),"")</f>
        <v/>
      </c>
      <c r="F39" s="120" t="str">
        <f aca="false">IF(AND(LEFT(Checks!$AH$520,10)="N/A – RULE",TRIM(Checks!$S$520&amp;Checks!$Z$520)=""),"","Type: "&amp;IF(TRIM(Checks!$S$520)="","______________ (see cover list)",Checks!$S$520)&amp;CHAR(10)&amp;"ID: "&amp;IF(TRIM(Checks!$Z$520)="","______________ (record's own no.)",Checks!$Z$520))&amp;IF(Checks!$AA$520="","",CHAR(10)&amp;"CA: "&amp;Checks!$AA$520)</f>
        <v>Type: ______________ (see cover list)
ID: ______________ (record's own no.)</v>
      </c>
      <c r="G39" s="120" t="str">
        <f aca="false">IF(AND(LEFT(Checks!$AH$520,10)="N/A – RULE",NOT(ISNUMBER(Checks!$AD$520)),Checks!$AE$520="",Checks!$T$520=""),"","Done: "&amp;IF(ISNUMBER(Checks!$AD$520),TEXT(Checks!$AD$520,"DD-MMM-YY HH:MM"),"____________")&amp;" "&amp;Checks!$P$520&amp;CHAR(10)&amp;"Verifier: "&amp;IF(Checks!$AE$520="","____________",Checks!$AE$520)&amp;CHAR(10)&amp;"PIC: "&amp;IF(Checks!$T$520="","____________",Checks!$T$520))</f>
        <v>Done: ____________ KUL
Verifier: ____________
PIC: ____________</v>
      </c>
      <c r="H39" s="121" t="str">
        <f aca="false">IF(Checks!$AH$520="","",Checks!$AH$520)</f>
        <v>OPEN</v>
      </c>
    </row>
    <row r="40" customFormat="false" ht="180" hidden="false" customHeight="true" outlineLevel="0" collapsed="false">
      <c r="A40" s="120" t="str">
        <f aca="false">Checks!$A$521&amp;CHAR(10)&amp;IF(Checks!$I$521="","",Checks!$I$521&amp;": ")&amp;Checks!$J$521</f>
        <v>F16-T12-06
Equipment: Equipment quantities vs GLD</v>
      </c>
      <c r="B40" s="120" t="str">
        <f aca="false">SUBSTITUTE(SUBSTITUTE(SUBSTITUTE(SUBSTITUTE(SUBSTITUTE(SUBSTITUTE(SUBSTITUTE(Checks!$K$521&amp;IF(Checks!$O$521="","",IF(Checks!$K$521="","",CHAR(10))&amp;"Note: "&amp;Checks!$O$521),"ovens -,","ovens n/a,"),"fridges -,","fridges n/a,"),"makers -,","makers n/a,"),"espresso -,","espresso n/a,"),"trolleys -,","trolleys n/a,"),"headsets - (","headsets n/a (")," (AIRCRAFT TYPE!C16:R16)","")</f>
        <v>Enter expected &amp; actual. Aircraft galley data: B737-8 (B7M8): carts 10.5, SU 25, ovens 6, warming ovens n/a, fridges n/a, water heaters 3, beverage makers n/a, espresso n/a, folding trolleys n/a, headsets n/a
Note: Preparation check at caterer - does NOT confirm loading.</v>
      </c>
      <c r="C40" s="120" t="str">
        <f aca="false">Checks!$N$521&amp;CHAR(10)&amp;IF(ISNUMBER(Checks!$R$521),TEXT(Checks!$R$521,"DD-MMM-YY HH:MM"),"")&amp;" "&amp;Checks!$P$521</f>
        <v>Required
25-Oct-26 21:10 KUL</v>
      </c>
      <c r="D40" s="120" t="str">
        <f aca="false">IF(TRIM(Checks!$U$521)&lt;&gt;"",Checks!$U$521&amp;IF(Checks!$AB$521="","",CHAR(10)&amp;"CA: "&amp;Checks!$AB$521),IF(LEFT(Checks!$AH$521,10)="N/A – RULE","","[ ] Pass"&amp;CHAR(10)&amp;"[ ] Pass after CA"&amp;CHAR(10)&amp;"[ ] Fail"&amp;IF(Checks!$AT$521=1,CHAR(10)&amp;"[ ] N/A","")&amp;CHAR(10)&amp;"CA: Open / Closed"))</f>
        <v>[ ] Pass
[ ] Pass after CA
[ ] Fail
CA: Open / Closed</v>
      </c>
      <c r="E40" s="120" t="str">
        <f aca="false">IF(Checks!$V$521="","",Checks!$V$521)&amp;IF(Checks!$AC$521="","",IF(Checks!$V$521="","",CHAR(10))&amp;"N/A just.: "&amp;Checks!$AC$521)&amp;IF(OR(Checks!$W$521&lt;&gt;"",AND(Checks!$AQ$521=1,NOT(LEFT(Checks!$AH$521,10)="N/A – RULE"))),CHAR(10)&amp;"Batch: "&amp;IF(Checks!$W$521="","____________",Checks!$W$521),"")&amp;IF(OR(Checks!$X$521&lt;&gt;"",Checks!$Y$521&lt;&gt;"",AND(Checks!$AR$521=1,NOT(LEFT(Checks!$AH$521,10)="N/A – RULE"))),CHAR(10)&amp;"Exp: "&amp;IF(Checks!$X$521="","______",Checks!$X$521)&amp;"  /  Act: "&amp;IF(Checks!$Y$521="","______",Checks!$Y$521),"")</f>
        <v>
Exp: ______  /  Act: ______</v>
      </c>
      <c r="F40" s="120" t="str">
        <f aca="false">IF(AND(LEFT(Checks!$AH$521,10)="N/A – RULE",TRIM(Checks!$S$521&amp;Checks!$Z$521)=""),"","Type: "&amp;IF(TRIM(Checks!$S$521)="","______________ (see cover list)",Checks!$S$521)&amp;CHAR(10)&amp;"ID: "&amp;IF(TRIM(Checks!$Z$521)="","______________ (record's own no.)",Checks!$Z$521))&amp;IF(Checks!$AA$521="","",CHAR(10)&amp;"CA: "&amp;Checks!$AA$521)</f>
        <v>Type: ______________ (see cover list)
ID: ______________ (record's own no.)</v>
      </c>
      <c r="G40" s="120" t="str">
        <f aca="false">IF(AND(LEFT(Checks!$AH$521,10)="N/A – RULE",NOT(ISNUMBER(Checks!$AD$521)),Checks!$AE$521="",Checks!$T$521=""),"","Done: "&amp;IF(ISNUMBER(Checks!$AD$521),TEXT(Checks!$AD$521,"DD-MMM-YY HH:MM"),"____________")&amp;" "&amp;Checks!$P$521&amp;CHAR(10)&amp;"Verifier: "&amp;IF(Checks!$AE$521="","____________",Checks!$AE$521)&amp;CHAR(10)&amp;"PIC: "&amp;IF(Checks!$T$521="","____________",Checks!$T$521))</f>
        <v>Done: ____________ KUL
Verifier: ____________
PIC: ____________</v>
      </c>
      <c r="H40" s="121" t="str">
        <f aca="false">IF(Checks!$AH$521="","",Checks!$AH$521)</f>
        <v>OPEN</v>
      </c>
    </row>
    <row r="41" customFormat="false" ht="114" hidden="false" customHeight="true" outlineLevel="0" collapsed="false">
      <c r="A41" s="120" t="str">
        <f aca="false">Checks!$A$522&amp;CHAR(10)&amp;IF(Checks!$I$522="","",Checks!$I$522&amp;": ")&amp;Checks!$J$522</f>
        <v>F16-T12-07
Equipment: Loading positions planned vs GLD</v>
      </c>
      <c r="B41" s="120" t="str">
        <f aca="false">Checks!$K$522&amp;IF(Checks!$O$522="","",IF(Checks!$K$522="","",CHAR(10))&amp;"Note: "&amp;Checks!$O$522)</f>
        <v>Note: Preparation check at caterer - does NOT confirm loading.</v>
      </c>
      <c r="C41" s="120" t="str">
        <f aca="false">Checks!$N$522&amp;CHAR(10)&amp;IF(ISNUMBER(Checks!$R$522),TEXT(Checks!$R$522,"DD-MMM-YY HH:MM"),"")&amp;" "&amp;Checks!$P$522</f>
        <v>Required
25-Oct-26 21:10 KUL</v>
      </c>
      <c r="D41" s="120" t="str">
        <f aca="false">IF(TRIM(Checks!$U$522)&lt;&gt;"",Checks!$U$522&amp;IF(Checks!$AB$522="","",CHAR(10)&amp;"CA: "&amp;Checks!$AB$522),IF(LEFT(Checks!$AH$522,10)="N/A – RULE","","[ ] Pass"&amp;CHAR(10)&amp;"[ ] Pass after CA"&amp;CHAR(10)&amp;"[ ] Fail"&amp;IF(Checks!$AT$522=1,CHAR(10)&amp;"[ ] N/A","")&amp;CHAR(10)&amp;"CA: Open / Closed"))</f>
        <v>[ ] Pass
[ ] Pass after CA
[ ] Fail
CA: Open / Closed</v>
      </c>
      <c r="E41" s="120" t="str">
        <f aca="false">IF(Checks!$V$522="","",Checks!$V$522)&amp;IF(Checks!$AC$522="","",IF(Checks!$V$522="","",CHAR(10))&amp;"N/A just.: "&amp;Checks!$AC$522)&amp;IF(OR(Checks!$W$522&lt;&gt;"",AND(Checks!$AQ$522=1,NOT(LEFT(Checks!$AH$522,10)="N/A – RULE"))),CHAR(10)&amp;"Batch: "&amp;IF(Checks!$W$522="","____________",Checks!$W$522),"")&amp;IF(OR(Checks!$X$522&lt;&gt;"",Checks!$Y$522&lt;&gt;"",AND(Checks!$AR$522=1,NOT(LEFT(Checks!$AH$522,10)="N/A – RULE"))),CHAR(10)&amp;"Exp: "&amp;IF(Checks!$X$522="","______",Checks!$X$522)&amp;"  /  Act: "&amp;IF(Checks!$Y$522="","______",Checks!$Y$522),"")</f>
        <v/>
      </c>
      <c r="F41" s="120" t="str">
        <f aca="false">IF(AND(LEFT(Checks!$AH$522,10)="N/A – RULE",TRIM(Checks!$S$522&amp;Checks!$Z$522)=""),"","Type: "&amp;IF(TRIM(Checks!$S$522)="","______________ (see cover list)",Checks!$S$522)&amp;CHAR(10)&amp;"ID: "&amp;IF(TRIM(Checks!$Z$522)="","______________ (record's own no.)",Checks!$Z$522))&amp;IF(Checks!$AA$522="","",CHAR(10)&amp;"CA: "&amp;Checks!$AA$522)</f>
        <v>Type: ______________ (see cover list)
ID: ______________ (record's own no.)</v>
      </c>
      <c r="G41" s="120" t="str">
        <f aca="false">IF(AND(LEFT(Checks!$AH$522,10)="N/A – RULE",NOT(ISNUMBER(Checks!$AD$522)),Checks!$AE$522="",Checks!$T$522=""),"","Done: "&amp;IF(ISNUMBER(Checks!$AD$522),TEXT(Checks!$AD$522,"DD-MMM-YY HH:MM"),"____________")&amp;" "&amp;Checks!$P$522&amp;CHAR(10)&amp;"Verifier: "&amp;IF(Checks!$AE$522="","____________",Checks!$AE$522)&amp;CHAR(10)&amp;"PIC: "&amp;IF(Checks!$T$522="","____________",Checks!$T$522))</f>
        <v>Done: ____________ KUL
Verifier: ____________
PIC: ____________</v>
      </c>
      <c r="H41" s="121" t="str">
        <f aca="false">IF(Checks!$AH$522="","",Checks!$AH$522)</f>
        <v>OPEN</v>
      </c>
    </row>
    <row r="42" customFormat="false" ht="114" hidden="false" customHeight="true" outlineLevel="0" collapsed="false">
      <c r="A42" s="120" t="str">
        <f aca="false">Checks!$A$523&amp;CHAR(10)&amp;IF(Checks!$I$523="","",Checks!$I$523&amp;": ")&amp;Checks!$J$523</f>
        <v>F16-T12-08
Seat Linen: Seat pillow (EY) - prepared</v>
      </c>
      <c r="B42" s="120" t="str">
        <f aca="false">Checks!$K$523&amp;IF(Checks!$O$523="","",IF(Checks!$K$523="","",CHAR(10))&amp;"Note: "&amp;Checks!$O$523)</f>
        <v>Available 100% (ticked in reference)
Note: Reference gives no uplift stn for this item: preparation checked at the meal uplift stn (KUL) - confirm with caterer.</v>
      </c>
      <c r="C42" s="120" t="str">
        <f aca="false">Checks!$N$523&amp;CHAR(10)&amp;IF(ISNUMBER(Checks!$R$523),TEXT(Checks!$R$523,"DD-MMM-YY HH:MM"),"")&amp;" "&amp;Checks!$P$523</f>
        <v>Required
25-Oct-26 21:10 KUL</v>
      </c>
      <c r="D42" s="120" t="str">
        <f aca="false">IF(TRIM(Checks!$U$523)&lt;&gt;"",Checks!$U$523&amp;IF(Checks!$AB$523="","",CHAR(10)&amp;"CA: "&amp;Checks!$AB$523),IF(LEFT(Checks!$AH$523,10)="N/A – RULE","","[ ] Pass"&amp;CHAR(10)&amp;"[ ] Pass after CA"&amp;CHAR(10)&amp;"[ ] Fail"&amp;IF(Checks!$AT$523=1,CHAR(10)&amp;"[ ] N/A","")&amp;CHAR(10)&amp;"CA: Open / Closed"))</f>
        <v>[ ] Pass
[ ] Pass after CA
[ ] Fail
CA: Open / Closed</v>
      </c>
      <c r="E42" s="120" t="str">
        <f aca="false">IF(Checks!$V$523="","",Checks!$V$523)&amp;IF(Checks!$AC$523="","",IF(Checks!$V$523="","",CHAR(10))&amp;"N/A just.: "&amp;Checks!$AC$523)&amp;IF(OR(Checks!$W$523&lt;&gt;"",AND(Checks!$AQ$523=1,NOT(LEFT(Checks!$AH$523,10)="N/A – RULE"))),CHAR(10)&amp;"Batch: "&amp;IF(Checks!$W$523="","____________",Checks!$W$523),"")&amp;IF(OR(Checks!$X$523&lt;&gt;"",Checks!$Y$523&lt;&gt;"",AND(Checks!$AR$523=1,NOT(LEFT(Checks!$AH$523,10)="N/A – RULE"))),CHAR(10)&amp;"Exp: "&amp;IF(Checks!$X$523="","______",Checks!$X$523)&amp;"  /  Act: "&amp;IF(Checks!$Y$523="","______",Checks!$Y$523),"")</f>
        <v/>
      </c>
      <c r="F42" s="120" t="str">
        <f aca="false">IF(AND(LEFT(Checks!$AH$523,10)="N/A – RULE",TRIM(Checks!$S$523&amp;Checks!$Z$523)=""),"","Type: "&amp;IF(TRIM(Checks!$S$523)="","______________ (see cover list)",Checks!$S$523)&amp;CHAR(10)&amp;"ID: "&amp;IF(TRIM(Checks!$Z$523)="","______________ (record's own no.)",Checks!$Z$523))&amp;IF(Checks!$AA$523="","",CHAR(10)&amp;"CA: "&amp;Checks!$AA$523)</f>
        <v>Type: ______________ (see cover list)
ID: ______________ (record's own no.)</v>
      </c>
      <c r="G42" s="120" t="str">
        <f aca="false">IF(AND(LEFT(Checks!$AH$523,10)="N/A – RULE",NOT(ISNUMBER(Checks!$AD$523)),Checks!$AE$523="",Checks!$T$523=""),"","Done: "&amp;IF(ISNUMBER(Checks!$AD$523),TEXT(Checks!$AD$523,"DD-MMM-YY HH:MM"),"____________")&amp;" "&amp;Checks!$P$523&amp;CHAR(10)&amp;"Verifier: "&amp;IF(Checks!$AE$523="","____________",Checks!$AE$523)&amp;CHAR(10)&amp;"PIC: "&amp;IF(Checks!$T$523="","____________",Checks!$T$523))</f>
        <v>Done: ____________ KUL
Verifier: ____________
PIC: ____________</v>
      </c>
      <c r="H42" s="121" t="str">
        <f aca="false">IF(Checks!$AH$523="","",Checks!$AH$523)</f>
        <v>OPEN</v>
      </c>
    </row>
    <row r="43" customFormat="false" ht="279" hidden="false" customHeight="true" outlineLevel="0" collapsed="false">
      <c r="A43" s="120" t="str">
        <f aca="false">Checks!$A$524&amp;CHAR(10)&amp;IF(Checks!$I$524="","",Checks!$I$524&amp;": ")&amp;Checks!$J$524</f>
        <v>F16-T12-09
Seat Linen: Blanket (EY) - prepared</v>
      </c>
      <c r="B43" s="120" t="str">
        <f aca="false">SUBSTITUTE(SUBSTITUTE(Checks!$K$524&amp;IF(Checks!$O$524="","",IF(Checks!$K$524="","",CHAR(10))&amp;"Note: "&amp;Checks!$O$524)," (SEAT LINEN!B74:C74)",""),"but B74 excludes","but the reference excludes")</f>
        <v>Available 100% (ticked in reference)
Note: EY blanket: flight above 3 hours excl. Regional; block 4.08 h. Matrix shows a tick for this ORIENTAL sector but the reference excludes 'Regional sectors' without defining them - confirm whether this sector counts as Regional. Quantity for this aircraft not stated in reference. Reference gives no uplift stn for this item: preparation checked at the meal uplift stn (KUL) - confirm with caterer.</v>
      </c>
      <c r="C43" s="120" t="str">
        <f aca="false">Checks!$N$524&amp;CHAR(10)&amp;IF(ISNUMBER(Checks!$R$524),TEXT(Checks!$R$524,"DD-MMM-YY HH:MM"),"")&amp;" "&amp;Checks!$P$524</f>
        <v>Clarification required
25-Oct-26 21:10 KUL</v>
      </c>
      <c r="D43" s="120" t="str">
        <f aca="false">IF(TRIM(Checks!$U$524)&lt;&gt;"",Checks!$U$524&amp;IF(Checks!$AB$524="","",CHAR(10)&amp;"CA: "&amp;Checks!$AB$524),IF(LEFT(Checks!$AH$524,10)="N/A – RULE","","[ ] Pass"&amp;CHAR(10)&amp;"[ ] Pass after CA"&amp;CHAR(10)&amp;"[ ] Fail"&amp;IF(Checks!$AT$524=1,CHAR(10)&amp;"[ ] N/A","")&amp;CHAR(10)&amp;"CA: Open / Closed"))</f>
        <v>[ ] Pass
[ ] Pass after CA
[ ] Fail
[ ] N/A
CA: Open / Closed</v>
      </c>
      <c r="E43" s="120" t="str">
        <f aca="false">IF(Checks!$V$524="","",Checks!$V$524)&amp;IF(Checks!$AC$524="","",IF(Checks!$V$524="","",CHAR(10))&amp;"N/A just.: "&amp;Checks!$AC$524)&amp;IF(OR(Checks!$W$524&lt;&gt;"",AND(Checks!$AQ$524=1,NOT(LEFT(Checks!$AH$524,10)="N/A – RULE"))),CHAR(10)&amp;"Batch: "&amp;IF(Checks!$W$524="","____________",Checks!$W$524),"")&amp;IF(OR(Checks!$X$524&lt;&gt;"",Checks!$Y$524&lt;&gt;"",AND(Checks!$AR$524=1,NOT(LEFT(Checks!$AH$524,10)="N/A – RULE"))),CHAR(10)&amp;"Exp: "&amp;IF(Checks!$X$524="","______",Checks!$X$524)&amp;"  /  Act: "&amp;IF(Checks!$Y$524="","______",Checks!$Y$524),"")</f>
        <v/>
      </c>
      <c r="F43" s="120" t="str">
        <f aca="false">IF(AND(LEFT(Checks!$AH$524,10)="N/A – RULE",TRIM(Checks!$S$524&amp;Checks!$Z$524)=""),"","Type: "&amp;IF(TRIM(Checks!$S$524)="","______________ (see cover list)",Checks!$S$524)&amp;CHAR(10)&amp;"ID: "&amp;IF(TRIM(Checks!$Z$524)="","______________ (record's own no.)",Checks!$Z$524))&amp;IF(Checks!$AA$524="","",CHAR(10)&amp;"CA: "&amp;Checks!$AA$524)</f>
        <v>Type: ______________ (see cover list)
ID: ______________ (record's own no.)</v>
      </c>
      <c r="G43" s="120" t="str">
        <f aca="false">IF(AND(LEFT(Checks!$AH$524,10)="N/A – RULE",NOT(ISNUMBER(Checks!$AD$524)),Checks!$AE$524="",Checks!$T$524=""),"","Done: "&amp;IF(ISNUMBER(Checks!$AD$524),TEXT(Checks!$AD$524,"DD-MMM-YY HH:MM"),"____________")&amp;" "&amp;Checks!$P$524&amp;CHAR(10)&amp;"Verifier: "&amp;IF(Checks!$AE$524="","____________",Checks!$AE$524)&amp;CHAR(10)&amp;"PIC: "&amp;IF(Checks!$T$524="","____________",Checks!$T$524))</f>
        <v>Done: ____________ KUL
Verifier: ____________
PIC: ____________</v>
      </c>
      <c r="H43" s="121" t="str">
        <f aca="false">IF(Checks!$AH$524="","",Checks!$AH$524)</f>
        <v>OPEN – CLARIFICATION</v>
      </c>
    </row>
    <row r="44" customFormat="false" ht="124.5" hidden="false" customHeight="true" outlineLevel="0" collapsed="false">
      <c r="A44" s="120" t="str">
        <f aca="false">Checks!$A$525&amp;CHAR(10)&amp;IF(Checks!$I$525="","",Checks!$I$525&amp;": ")&amp;Checks!$J$525</f>
        <v>F16-T12-10
Sales Cart: Sales cart (caterer MCAT) - prepared</v>
      </c>
      <c r="B44" s="120" t="str">
        <f aca="false">SUBSTITUTE(SUBSTITUTE(Checks!$K$525&amp;IF(Checks!$O$525="","",IF(Checks!$K$525="","",CHAR(10))&amp;"Note: "&amp;Checks!$O$525),"note SALES CART!C40","the SALES CART reference note")," (note SALES CART!C40)","")</f>
        <v>Location 210A (B7M8)
Note: Block 4.08 h &gt;= 4 h (the SALES CART reference note). Reference gives no uplift stn for this item: preparation checked at the meal uplift stn (KUL) - confirm with caterer.</v>
      </c>
      <c r="C44" s="120" t="str">
        <f aca="false">Checks!$N$525&amp;CHAR(10)&amp;IF(ISNUMBER(Checks!$R$525),TEXT(Checks!$R$525,"DD-MMM-YY HH:MM"),"")&amp;" "&amp;Checks!$P$525</f>
        <v>Required
25-Oct-26 21:10 KUL</v>
      </c>
      <c r="D44" s="120" t="str">
        <f aca="false">IF(TRIM(Checks!$U$525)&lt;&gt;"",Checks!$U$525&amp;IF(Checks!$AB$525="","",CHAR(10)&amp;"CA: "&amp;Checks!$AB$525),IF(LEFT(Checks!$AH$525,10)="N/A – RULE","","[ ] Pass"&amp;CHAR(10)&amp;"[ ] Pass after CA"&amp;CHAR(10)&amp;"[ ] Fail"&amp;IF(Checks!$AT$525=1,CHAR(10)&amp;"[ ] N/A","")&amp;CHAR(10)&amp;"CA: Open / Closed"))</f>
        <v>[ ] Pass
[ ] Pass after CA
[ ] Fail
CA: Open / Closed</v>
      </c>
      <c r="E44" s="120" t="str">
        <f aca="false">IF(Checks!$V$525="","",Checks!$V$525)&amp;IF(Checks!$AC$525="","",IF(Checks!$V$525="","",CHAR(10))&amp;"N/A just.: "&amp;Checks!$AC$525)&amp;IF(OR(Checks!$W$525&lt;&gt;"",AND(Checks!$AQ$525=1,NOT(LEFT(Checks!$AH$525,10)="N/A – RULE"))),CHAR(10)&amp;"Batch: "&amp;IF(Checks!$W$525="","____________",Checks!$W$525),"")&amp;IF(OR(Checks!$X$525&lt;&gt;"",Checks!$Y$525&lt;&gt;"",AND(Checks!$AR$525=1,NOT(LEFT(Checks!$AH$525,10)="N/A – RULE"))),CHAR(10)&amp;"Exp: "&amp;IF(Checks!$X$525="","______",Checks!$X$525)&amp;"  /  Act: "&amp;IF(Checks!$Y$525="","______",Checks!$Y$525),"")</f>
        <v/>
      </c>
      <c r="F44" s="120" t="str">
        <f aca="false">IF(AND(LEFT(Checks!$AH$525,10)="N/A – RULE",TRIM(Checks!$S$525&amp;Checks!$Z$525)=""),"","Type: "&amp;IF(TRIM(Checks!$S$525)="","______________ (see cover list)",Checks!$S$525)&amp;CHAR(10)&amp;"ID: "&amp;IF(TRIM(Checks!$Z$525)="","______________ (record's own no.)",Checks!$Z$525))&amp;IF(Checks!$AA$525="","",CHAR(10)&amp;"CA: "&amp;Checks!$AA$525)</f>
        <v>Type: ______________ (see cover list)
ID: ______________ (record's own no.)</v>
      </c>
      <c r="G44" s="120" t="str">
        <f aca="false">IF(AND(LEFT(Checks!$AH$525,10)="N/A – RULE",NOT(ISNUMBER(Checks!$AD$525)),Checks!$AE$525="",Checks!$T$525=""),"","Done: "&amp;IF(ISNUMBER(Checks!$AD$525),TEXT(Checks!$AD$525,"DD-MMM-YY HH:MM"),"____________")&amp;" "&amp;Checks!$P$525&amp;CHAR(10)&amp;"Verifier: "&amp;IF(Checks!$AE$525="","____________",Checks!$AE$525)&amp;CHAR(10)&amp;"PIC: "&amp;IF(Checks!$T$525="","____________",Checks!$T$525))</f>
        <v>Done: ____________ KUL
Verifier: ____________
PIC: ____________</v>
      </c>
      <c r="H44" s="121" t="str">
        <f aca="false">IF(Checks!$AH$525="","",Checks!$AH$525)</f>
        <v>OPEN</v>
      </c>
    </row>
    <row r="45" customFormat="false" ht="25.5" hidden="false" customHeight="true" outlineLevel="0" collapsed="false">
      <c r="A45" s="119" t="str">
        <f aca="false">"UPLIFT — Physical uplift – on-board confirmation before departure  |  Due "&amp;"STD "&amp;IF(ISNUMBER(Flights!$I$20),TEXT(Flights!$I$20,"DD-MMM-YY HH:MM"),"")&amp;" "&amp;Flights!$G$20&amp;" (departure stn)"&amp;" (rows with another due show their own)  |  Complete "&amp;IF(ISNUMBER(Flights!$AM$20),TEXT(Flights!$AM$20,"0%"),Flights!$AM$20)&amp;"  |  5 lines"</f>
        <v>UPLIFT — Physical uplift – on-board confirmation before departure  |  Due STD 26-Oct-26 09:10 KUL (departure stn) (rows with another due show their own)  |  Complete 0%  |  5 lines</v>
      </c>
      <c r="B45" s="119"/>
      <c r="C45" s="119"/>
      <c r="D45" s="119"/>
      <c r="E45" s="119"/>
      <c r="F45" s="119"/>
      <c r="G45" s="119"/>
      <c r="H45" s="119"/>
    </row>
    <row r="46" customFormat="false" ht="114" hidden="false" customHeight="true" outlineLevel="0" collapsed="false">
      <c r="A46" s="120" t="str">
        <f aca="false">Checks!$A$526&amp;CHAR(10)&amp;IF(Checks!$I$526="","",Checks!$I$526&amp;": ")&amp;Checks!$J$526</f>
        <v>F16-UPL-01
Meal: Meals physically uplifted on board - quantity vs menu checklist</v>
      </c>
      <c r="B46" s="120" t="str">
        <f aca="false">Checks!$K$526&amp;IF(Checks!$O$526="","",IF(Checks!$K$526="","",CHAR(10))&amp;"Note: "&amp;Checks!$O$526)</f>
        <v>Enter expected &amp; actual
Note: Confirm on board before departure; completion time must fall inside the uplift window.</v>
      </c>
      <c r="C46" s="120" t="str">
        <f aca="false">Checks!$N$526&amp;CHAR(10)&amp;IF(ISNUMBER(Checks!$R$526),TEXT(Checks!$R$526,"DD-MMM-YY HH:MM"),"")&amp;" "&amp;Checks!$P$526</f>
        <v>Required
26-Oct-26 09:10 KUL</v>
      </c>
      <c r="D46" s="120" t="str">
        <f aca="false">IF(TRIM(Checks!$U$526)&lt;&gt;"",Checks!$U$526&amp;IF(Checks!$AB$526="","",CHAR(10)&amp;"CA: "&amp;Checks!$AB$526),IF(LEFT(Checks!$AH$526,10)="N/A – RULE","","[ ] Pass"&amp;CHAR(10)&amp;"[ ] Pass after CA"&amp;CHAR(10)&amp;"[ ] Fail"&amp;IF(Checks!$AT$526=1,CHAR(10)&amp;"[ ] N/A","")&amp;CHAR(10)&amp;"CA: Open / Closed"))</f>
        <v>[ ] Pass
[ ] Pass after CA
[ ] Fail
CA: Open / Closed</v>
      </c>
      <c r="E46" s="120" t="str">
        <f aca="false">IF(Checks!$V$526="","",Checks!$V$526)&amp;IF(Checks!$AC$526="","",IF(Checks!$V$526="","",CHAR(10))&amp;"N/A just.: "&amp;Checks!$AC$526)&amp;IF(OR(Checks!$W$526&lt;&gt;"",AND(Checks!$AQ$526=1,NOT(LEFT(Checks!$AH$526,10)="N/A – RULE"))),CHAR(10)&amp;"Batch: "&amp;IF(Checks!$W$526="","____________",Checks!$W$526),"")&amp;IF(OR(Checks!$X$526&lt;&gt;"",Checks!$Y$526&lt;&gt;"",AND(Checks!$AR$526=1,NOT(LEFT(Checks!$AH$526,10)="N/A – RULE"))),CHAR(10)&amp;"Exp: "&amp;IF(Checks!$X$526="","______",Checks!$X$526)&amp;"  /  Act: "&amp;IF(Checks!$Y$526="","______",Checks!$Y$526),"")</f>
        <v>
Exp: ______  /  Act: ______</v>
      </c>
      <c r="F46" s="120" t="str">
        <f aca="false">IF(AND(LEFT(Checks!$AH$526,10)="N/A – RULE",TRIM(Checks!$S$526&amp;Checks!$Z$526)=""),"","Type: "&amp;IF(TRIM(Checks!$S$526)="","______________ (see cover list)",Checks!$S$526)&amp;CHAR(10)&amp;"ID: "&amp;IF(TRIM(Checks!$Z$526)="","______________ (record's own no.)",Checks!$Z$526))&amp;IF(Checks!$AA$526="","",CHAR(10)&amp;"CA: "&amp;Checks!$AA$526)</f>
        <v>Type: ______________ (see cover list)
ID: ______________ (record's own no.)</v>
      </c>
      <c r="G46" s="120" t="str">
        <f aca="false">IF(AND(LEFT(Checks!$AH$526,10)="N/A – RULE",NOT(ISNUMBER(Checks!$AD$526)),Checks!$AE$526="",Checks!$T$526=""),"","Done: "&amp;IF(ISNUMBER(Checks!$AD$526),TEXT(Checks!$AD$526,"DD-MMM-YY HH:MM"),"____________")&amp;" "&amp;Checks!$P$526&amp;CHAR(10)&amp;"Verifier: "&amp;IF(Checks!$AE$526="","____________",Checks!$AE$526)&amp;CHAR(10)&amp;"PIC: "&amp;IF(Checks!$T$526="","____________",Checks!$T$526))</f>
        <v>Done: ____________ KUL
Verifier: ____________
PIC: ____________</v>
      </c>
      <c r="H46" s="121" t="str">
        <f aca="false">IF(Checks!$AH$526="","",Checks!$AH$526)</f>
        <v>OPEN</v>
      </c>
    </row>
    <row r="47" customFormat="false" ht="114" hidden="false" customHeight="true" outlineLevel="0" collapsed="false">
      <c r="A47" s="120" t="str">
        <f aca="false">Checks!$A$527&amp;CHAR(10)&amp;IF(Checks!$I$527="","",Checks!$I$527&amp;": ")&amp;Checks!$J$527</f>
        <v>F16-UPL-02
Equipment: Equipment physically loaded at GLD positions - quantity &amp; positions</v>
      </c>
      <c r="B47" s="120" t="str">
        <f aca="false">Checks!$K$527&amp;IF(Checks!$O$527="","",IF(Checks!$K$527="","",CHAR(10))&amp;"Note: "&amp;Checks!$O$527)</f>
        <v>Enter expected &amp; actual
Note: Confirm on board before departure; completion time must fall inside the uplift window.</v>
      </c>
      <c r="C47" s="120" t="str">
        <f aca="false">Checks!$N$527&amp;CHAR(10)&amp;IF(ISNUMBER(Checks!$R$527),TEXT(Checks!$R$527,"DD-MMM-YY HH:MM"),"")&amp;" "&amp;Checks!$P$527</f>
        <v>Required
26-Oct-26 09:10 KUL</v>
      </c>
      <c r="D47" s="120" t="str">
        <f aca="false">IF(TRIM(Checks!$U$527)&lt;&gt;"",Checks!$U$527&amp;IF(Checks!$AB$527="","",CHAR(10)&amp;"CA: "&amp;Checks!$AB$527),IF(LEFT(Checks!$AH$527,10)="N/A – RULE","","[ ] Pass"&amp;CHAR(10)&amp;"[ ] Pass after CA"&amp;CHAR(10)&amp;"[ ] Fail"&amp;IF(Checks!$AT$527=1,CHAR(10)&amp;"[ ] N/A","")&amp;CHAR(10)&amp;"CA: Open / Closed"))</f>
        <v>[ ] Pass
[ ] Pass after CA
[ ] Fail
CA: Open / Closed</v>
      </c>
      <c r="E47" s="120" t="str">
        <f aca="false">IF(Checks!$V$527="","",Checks!$V$527)&amp;IF(Checks!$AC$527="","",IF(Checks!$V$527="","",CHAR(10))&amp;"N/A just.: "&amp;Checks!$AC$527)&amp;IF(OR(Checks!$W$527&lt;&gt;"",AND(Checks!$AQ$527=1,NOT(LEFT(Checks!$AH$527,10)="N/A – RULE"))),CHAR(10)&amp;"Batch: "&amp;IF(Checks!$W$527="","____________",Checks!$W$527),"")&amp;IF(OR(Checks!$X$527&lt;&gt;"",Checks!$Y$527&lt;&gt;"",AND(Checks!$AR$527=1,NOT(LEFT(Checks!$AH$527,10)="N/A – RULE"))),CHAR(10)&amp;"Exp: "&amp;IF(Checks!$X$527="","______",Checks!$X$527)&amp;"  /  Act: "&amp;IF(Checks!$Y$527="","______",Checks!$Y$527),"")</f>
        <v>
Exp: ______  /  Act: ______</v>
      </c>
      <c r="F47" s="120" t="str">
        <f aca="false">IF(AND(LEFT(Checks!$AH$527,10)="N/A – RULE",TRIM(Checks!$S$527&amp;Checks!$Z$527)=""),"","Type: "&amp;IF(TRIM(Checks!$S$527)="","______________ (see cover list)",Checks!$S$527)&amp;CHAR(10)&amp;"ID: "&amp;IF(TRIM(Checks!$Z$527)="","______________ (record's own no.)",Checks!$Z$527))&amp;IF(Checks!$AA$527="","",CHAR(10)&amp;"CA: "&amp;Checks!$AA$527)</f>
        <v>Type: ______________ (see cover list)
ID: ______________ (record's own no.)</v>
      </c>
      <c r="G47" s="120" t="str">
        <f aca="false">IF(AND(LEFT(Checks!$AH$527,10)="N/A – RULE",NOT(ISNUMBER(Checks!$AD$527)),Checks!$AE$527="",Checks!$T$527=""),"","Done: "&amp;IF(ISNUMBER(Checks!$AD$527),TEXT(Checks!$AD$527,"DD-MMM-YY HH:MM"),"____________")&amp;" "&amp;Checks!$P$527&amp;CHAR(10)&amp;"Verifier: "&amp;IF(Checks!$AE$527="","____________",Checks!$AE$527)&amp;CHAR(10)&amp;"PIC: "&amp;IF(Checks!$T$527="","____________",Checks!$T$527))</f>
        <v>Done: ____________ KUL
Verifier: ____________
PIC: ____________</v>
      </c>
      <c r="H47" s="121" t="str">
        <f aca="false">IF(Checks!$AH$527="","",Checks!$AH$527)</f>
        <v>OPEN</v>
      </c>
    </row>
    <row r="48" customFormat="false" ht="114" hidden="false" customHeight="true" outlineLevel="0" collapsed="false">
      <c r="A48" s="120" t="str">
        <f aca="false">Checks!$A$528&amp;CHAR(10)&amp;IF(Checks!$I$528="","",Checks!$I$528&amp;": ")&amp;Checks!$J$528</f>
        <v>F16-UPL-03
Seat Linen: Seat pillow (EY) - on board</v>
      </c>
      <c r="B48" s="120" t="str">
        <f aca="false">Checks!$K$528&amp;IF(Checks!$O$528="","",IF(Checks!$K$528="","",CHAR(10))&amp;"Note: "&amp;Checks!$O$528)</f>
        <v>Available 100% (ticked in reference)</v>
      </c>
      <c r="C48" s="120" t="str">
        <f aca="false">Checks!$N$528&amp;CHAR(10)&amp;IF(ISNUMBER(Checks!$R$528),TEXT(Checks!$R$528,"DD-MMM-YY HH:MM"),"")&amp;" "&amp;Checks!$P$528</f>
        <v>Required
26-Oct-26 09:10 KUL</v>
      </c>
      <c r="D48" s="120" t="str">
        <f aca="false">IF(TRIM(Checks!$U$528)&lt;&gt;"",Checks!$U$528&amp;IF(Checks!$AB$528="","",CHAR(10)&amp;"CA: "&amp;Checks!$AB$528),IF(LEFT(Checks!$AH$528,10)="N/A – RULE","","[ ] Pass"&amp;CHAR(10)&amp;"[ ] Pass after CA"&amp;CHAR(10)&amp;"[ ] Fail"&amp;IF(Checks!$AT$528=1,CHAR(10)&amp;"[ ] N/A","")&amp;CHAR(10)&amp;"CA: Open / Closed"))</f>
        <v>[ ] Pass
[ ] Pass after CA
[ ] Fail
CA: Open / Closed</v>
      </c>
      <c r="E48" s="120" t="str">
        <f aca="false">IF(Checks!$V$528="","",Checks!$V$528)&amp;IF(Checks!$AC$528="","",IF(Checks!$V$528="","",CHAR(10))&amp;"N/A just.: "&amp;Checks!$AC$528)&amp;IF(OR(Checks!$W$528&lt;&gt;"",AND(Checks!$AQ$528=1,NOT(LEFT(Checks!$AH$528,10)="N/A – RULE"))),CHAR(10)&amp;"Batch: "&amp;IF(Checks!$W$528="","____________",Checks!$W$528),"")&amp;IF(OR(Checks!$X$528&lt;&gt;"",Checks!$Y$528&lt;&gt;"",AND(Checks!$AR$528=1,NOT(LEFT(Checks!$AH$528,10)="N/A – RULE"))),CHAR(10)&amp;"Exp: "&amp;IF(Checks!$X$528="","______",Checks!$X$528)&amp;"  /  Act: "&amp;IF(Checks!$Y$528="","______",Checks!$Y$528),"")</f>
        <v/>
      </c>
      <c r="F48" s="120" t="str">
        <f aca="false">IF(AND(LEFT(Checks!$AH$528,10)="N/A – RULE",TRIM(Checks!$S$528&amp;Checks!$Z$528)=""),"","Type: "&amp;IF(TRIM(Checks!$S$528)="","______________ (see cover list)",Checks!$S$528)&amp;CHAR(10)&amp;"ID: "&amp;IF(TRIM(Checks!$Z$528)="","______________ (record's own no.)",Checks!$Z$528))&amp;IF(Checks!$AA$528="","",CHAR(10)&amp;"CA: "&amp;Checks!$AA$528)</f>
        <v>Type: ______________ (see cover list)
ID: ______________ (record's own no.)</v>
      </c>
      <c r="G48" s="120" t="str">
        <f aca="false">IF(AND(LEFT(Checks!$AH$528,10)="N/A – RULE",NOT(ISNUMBER(Checks!$AD$528)),Checks!$AE$528="",Checks!$T$528=""),"","Done: "&amp;IF(ISNUMBER(Checks!$AD$528),TEXT(Checks!$AD$528,"DD-MMM-YY HH:MM"),"____________")&amp;" "&amp;Checks!$P$528&amp;CHAR(10)&amp;"Verifier: "&amp;IF(Checks!$AE$528="","____________",Checks!$AE$528)&amp;CHAR(10)&amp;"PIC: "&amp;IF(Checks!$T$528="","____________",Checks!$T$528))</f>
        <v>Done: ____________ KUL
Verifier: ____________
PIC: ____________</v>
      </c>
      <c r="H48" s="121" t="str">
        <f aca="false">IF(Checks!$AH$528="","",Checks!$AH$528)</f>
        <v>OPEN</v>
      </c>
    </row>
    <row r="49" customFormat="false" ht="213" hidden="false" customHeight="true" outlineLevel="0" collapsed="false">
      <c r="A49" s="120" t="str">
        <f aca="false">Checks!$A$529&amp;CHAR(10)&amp;IF(Checks!$I$529="","",Checks!$I$529&amp;": ")&amp;Checks!$J$529</f>
        <v>F16-UPL-04
Seat Linen: Blanket (EY) - on board</v>
      </c>
      <c r="B49" s="120" t="str">
        <f aca="false">SUBSTITUTE(SUBSTITUTE(Checks!$K$529&amp;IF(Checks!$O$529="","",IF(Checks!$K$529="","",CHAR(10))&amp;"Note: "&amp;Checks!$O$529)," (SEAT LINEN!B74:C74)",""),"but B74 excludes","but the reference excludes")</f>
        <v>Available 100% (ticked in reference)
Note: EY blanket: flight above 3 hours excl. Regional; block 4.08 h. Matrix shows a tick for this ORIENTAL sector but the reference excludes 'Regional sectors' without defining them - confirm whether this sector counts as Regional. Quantity for this aircraft not stated in reference.</v>
      </c>
      <c r="C49" s="120" t="str">
        <f aca="false">Checks!$N$529&amp;CHAR(10)&amp;IF(ISNUMBER(Checks!$R$529),TEXT(Checks!$R$529,"DD-MMM-YY HH:MM"),"")&amp;" "&amp;Checks!$P$529</f>
        <v>Clarification required
26-Oct-26 09:10 KUL</v>
      </c>
      <c r="D49" s="120" t="str">
        <f aca="false">IF(TRIM(Checks!$U$529)&lt;&gt;"",Checks!$U$529&amp;IF(Checks!$AB$529="","",CHAR(10)&amp;"CA: "&amp;Checks!$AB$529),IF(LEFT(Checks!$AH$529,10)="N/A – RULE","","[ ] Pass"&amp;CHAR(10)&amp;"[ ] Pass after CA"&amp;CHAR(10)&amp;"[ ] Fail"&amp;IF(Checks!$AT$529=1,CHAR(10)&amp;"[ ] N/A","")&amp;CHAR(10)&amp;"CA: Open / Closed"))</f>
        <v>[ ] Pass
[ ] Pass after CA
[ ] Fail
[ ] N/A
CA: Open / Closed</v>
      </c>
      <c r="E49" s="120" t="str">
        <f aca="false">IF(Checks!$V$529="","",Checks!$V$529)&amp;IF(Checks!$AC$529="","",IF(Checks!$V$529="","",CHAR(10))&amp;"N/A just.: "&amp;Checks!$AC$529)&amp;IF(OR(Checks!$W$529&lt;&gt;"",AND(Checks!$AQ$529=1,NOT(LEFT(Checks!$AH$529,10)="N/A – RULE"))),CHAR(10)&amp;"Batch: "&amp;IF(Checks!$W$529="","____________",Checks!$W$529),"")&amp;IF(OR(Checks!$X$529&lt;&gt;"",Checks!$Y$529&lt;&gt;"",AND(Checks!$AR$529=1,NOT(LEFT(Checks!$AH$529,10)="N/A – RULE"))),CHAR(10)&amp;"Exp: "&amp;IF(Checks!$X$529="","______",Checks!$X$529)&amp;"  /  Act: "&amp;IF(Checks!$Y$529="","______",Checks!$Y$529),"")</f>
        <v/>
      </c>
      <c r="F49" s="120" t="str">
        <f aca="false">IF(AND(LEFT(Checks!$AH$529,10)="N/A – RULE",TRIM(Checks!$S$529&amp;Checks!$Z$529)=""),"","Type: "&amp;IF(TRIM(Checks!$S$529)="","______________ (see cover list)",Checks!$S$529)&amp;CHAR(10)&amp;"ID: "&amp;IF(TRIM(Checks!$Z$529)="","______________ (record's own no.)",Checks!$Z$529))&amp;IF(Checks!$AA$529="","",CHAR(10)&amp;"CA: "&amp;Checks!$AA$529)</f>
        <v>Type: ______________ (see cover list)
ID: ______________ (record's own no.)</v>
      </c>
      <c r="G49" s="120" t="str">
        <f aca="false">IF(AND(LEFT(Checks!$AH$529,10)="N/A – RULE",NOT(ISNUMBER(Checks!$AD$529)),Checks!$AE$529="",Checks!$T$529=""),"","Done: "&amp;IF(ISNUMBER(Checks!$AD$529),TEXT(Checks!$AD$529,"DD-MMM-YY HH:MM"),"____________")&amp;" "&amp;Checks!$P$529&amp;CHAR(10)&amp;"Verifier: "&amp;IF(Checks!$AE$529="","____________",Checks!$AE$529)&amp;CHAR(10)&amp;"PIC: "&amp;IF(Checks!$T$529="","____________",Checks!$T$529))</f>
        <v>Done: ____________ KUL
Verifier: ____________
PIC: ____________</v>
      </c>
      <c r="H49" s="121" t="str">
        <f aca="false">IF(Checks!$AH$529="","",Checks!$AH$529)</f>
        <v>OPEN – CLARIFICATION</v>
      </c>
    </row>
    <row r="50" customFormat="false" ht="114" hidden="false" customHeight="true" outlineLevel="0" collapsed="false">
      <c r="A50" s="120" t="str">
        <f aca="false">Checks!$A$530&amp;CHAR(10)&amp;IF(Checks!$I$530="","",Checks!$I$530&amp;": ")&amp;Checks!$J$530</f>
        <v>F16-UPL-05
Sales Cart: Sales cart (caterer MCAT) - on board</v>
      </c>
      <c r="B50" s="120" t="str">
        <f aca="false">SUBSTITUTE(SUBSTITUTE(Checks!$K$530&amp;IF(Checks!$O$530="","",IF(Checks!$K$530="","",CHAR(10))&amp;"Note: "&amp;Checks!$O$530),"note SALES CART!C40","the SALES CART reference note")," (note SALES CART!C40)","")</f>
        <v>Location 210A (B7M8)
Note: Block 4.08 h &gt;= 4 h (the SALES CART reference note).</v>
      </c>
      <c r="C50" s="120" t="str">
        <f aca="false">Checks!$N$530&amp;CHAR(10)&amp;IF(ISNUMBER(Checks!$R$530),TEXT(Checks!$R$530,"DD-MMM-YY HH:MM"),"")&amp;" "&amp;Checks!$P$530</f>
        <v>Required
26-Oct-26 09:10 KUL</v>
      </c>
      <c r="D50" s="120" t="str">
        <f aca="false">IF(TRIM(Checks!$U$530)&lt;&gt;"",Checks!$U$530&amp;IF(Checks!$AB$530="","",CHAR(10)&amp;"CA: "&amp;Checks!$AB$530),IF(LEFT(Checks!$AH$530,10)="N/A – RULE","","[ ] Pass"&amp;CHAR(10)&amp;"[ ] Pass after CA"&amp;CHAR(10)&amp;"[ ] Fail"&amp;IF(Checks!$AT$530=1,CHAR(10)&amp;"[ ] N/A","")&amp;CHAR(10)&amp;"CA: Open / Closed"))</f>
        <v>[ ] Pass
[ ] Pass after CA
[ ] Fail
CA: Open / Closed</v>
      </c>
      <c r="E50" s="120" t="str">
        <f aca="false">IF(Checks!$V$530="","",Checks!$V$530)&amp;IF(Checks!$AC$530="","",IF(Checks!$V$530="","",CHAR(10))&amp;"N/A just.: "&amp;Checks!$AC$530)&amp;IF(OR(Checks!$W$530&lt;&gt;"",AND(Checks!$AQ$530=1,NOT(LEFT(Checks!$AH$530,10)="N/A – RULE"))),CHAR(10)&amp;"Batch: "&amp;IF(Checks!$W$530="","____________",Checks!$W$530),"")&amp;IF(OR(Checks!$X$530&lt;&gt;"",Checks!$Y$530&lt;&gt;"",AND(Checks!$AR$530=1,NOT(LEFT(Checks!$AH$530,10)="N/A – RULE"))),CHAR(10)&amp;"Exp: "&amp;IF(Checks!$X$530="","______",Checks!$X$530)&amp;"  /  Act: "&amp;IF(Checks!$Y$530="","______",Checks!$Y$530),"")</f>
        <v/>
      </c>
      <c r="F50" s="120" t="str">
        <f aca="false">IF(AND(LEFT(Checks!$AH$530,10)="N/A – RULE",TRIM(Checks!$S$530&amp;Checks!$Z$530)=""),"","Type: "&amp;IF(TRIM(Checks!$S$530)="","______________ (see cover list)",Checks!$S$530)&amp;CHAR(10)&amp;"ID: "&amp;IF(TRIM(Checks!$Z$530)="","______________ (record's own no.)",Checks!$Z$530))&amp;IF(Checks!$AA$530="","",CHAR(10)&amp;"CA: "&amp;Checks!$AA$530)</f>
        <v>Type: ______________ (see cover list)
ID: ______________ (record's own no.)</v>
      </c>
      <c r="G50" s="120" t="str">
        <f aca="false">IF(AND(LEFT(Checks!$AH$530,10)="N/A – RULE",NOT(ISNUMBER(Checks!$AD$530)),Checks!$AE$530="",Checks!$T$530=""),"","Done: "&amp;IF(ISNUMBER(Checks!$AD$530),TEXT(Checks!$AD$530,"DD-MMM-YY HH:MM"),"____________")&amp;" "&amp;Checks!$P$530&amp;CHAR(10)&amp;"Verifier: "&amp;IF(Checks!$AE$530="","____________",Checks!$AE$530)&amp;CHAR(10)&amp;"PIC: "&amp;IF(Checks!$T$530="","____________",Checks!$T$530))</f>
        <v>Done: ____________ KUL
Verifier: ____________
PIC: ____________</v>
      </c>
      <c r="H50" s="121" t="str">
        <f aca="false">IF(Checks!$AH$530="","",Checks!$AH$530)</f>
        <v>OPEN</v>
      </c>
    </row>
    <row r="52" customFormat="false" ht="24" hidden="false" customHeight="true" outlineLevel="0" collapsed="false">
      <c r="A52" s="122" t="s">
        <v>4832</v>
      </c>
      <c r="B52" s="122"/>
      <c r="C52" s="122"/>
      <c r="D52" s="122"/>
      <c r="E52" s="122" t="s">
        <v>4833</v>
      </c>
      <c r="F52" s="122"/>
      <c r="G52" s="122"/>
      <c r="H52" s="122"/>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row r="59" customFormat="false" ht="21.75" hidden="false" customHeight="true" outlineLevel="0" collapsed="false">
      <c r="A59" s="123"/>
      <c r="B59" s="123"/>
      <c r="C59" s="123"/>
      <c r="D59" s="123"/>
      <c r="E59" s="123"/>
      <c r="F59" s="123"/>
      <c r="G59" s="123"/>
      <c r="H59" s="123"/>
    </row>
    <row r="60" customFormat="false" ht="21.75" hidden="false" customHeight="true" outlineLevel="0" collapsed="false">
      <c r="A60" s="123"/>
      <c r="B60" s="123"/>
      <c r="C60" s="123"/>
      <c r="D60" s="123"/>
      <c r="E60" s="123"/>
      <c r="F60" s="123"/>
      <c r="G60" s="123"/>
      <c r="H60" s="123"/>
    </row>
    <row r="61" customFormat="false" ht="21.75" hidden="false" customHeight="true" outlineLevel="0" collapsed="false">
      <c r="A61" s="123"/>
      <c r="B61" s="123"/>
      <c r="C61" s="123"/>
      <c r="D61" s="123"/>
      <c r="E61" s="123"/>
      <c r="F61" s="123"/>
      <c r="G61" s="123"/>
      <c r="H61" s="123"/>
    </row>
    <row r="62" customFormat="false" ht="21.75" hidden="false" customHeight="true" outlineLevel="0" collapsed="false">
      <c r="A62" s="123"/>
      <c r="B62" s="123"/>
      <c r="C62" s="123"/>
      <c r="D62" s="123"/>
      <c r="E62" s="123"/>
      <c r="F62" s="123"/>
      <c r="G62" s="123"/>
      <c r="H62"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45:H45"/>
    <mergeCell ref="A52:D52"/>
    <mergeCell ref="E52:H52"/>
    <mergeCell ref="A53:D62"/>
    <mergeCell ref="E53:H62"/>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50">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50">
    <cfRule type="expression" priority="18" aboveAverage="0" equalAverage="0" bottom="0" percent="0" rank="0" text="" dxfId="35">
      <formula>LEFT($H23,3)="N/A"</formula>
    </cfRule>
  </conditionalFormatting>
  <conditionalFormatting sqref="D23:D50">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F16 MH0072 26-Oct-26 KUL-HKG Class EY</oddHeader>
    <oddFooter>&amp;L&amp;"Arial,Bold"&amp;8 F16 MH0072 26-Oct-26 KUL-HKG Class EY&amp;C&amp;"Arial,Regular"&amp;8 Printed: ____________________&amp;R&amp;"Arial,Regular"&amp;8 F16  Page &amp;P of &amp;N</oddFooter>
  </headerFooter>
  <rowBreaks count="8" manualBreakCount="8">
    <brk id="20" man="true" max="16383" min="0"/>
    <brk id="26" man="true" max="16383" min="0"/>
    <brk id="30" man="true" max="16383" min="0"/>
    <brk id="35" man="true" max="16383" min="0"/>
    <brk id="39" man="true" max="16383" min="0"/>
    <brk id="42" man="true" max="16383" min="0"/>
    <brk id="44" man="true" max="16383" min="0"/>
    <brk id="48" man="true" max="16383" min="0"/>
  </rowBreaks>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F17  "&amp;Flights!$F$21&amp;"  "&amp;TEXT(Flights!$D$21,"DD-MMM-YY")&amp;" ("&amp;Flights!$E$21&amp;")  "&amp;Flights!$G$21&amp;" → "&amp;Flights!$H$21&amp;"  |  Class "&amp;Flights!$K$21</f>
        <v>SKYTRAX 2026 CATERING READINESS CHECKLIST  |  F17  MH0073  27-Oct-26 (TUE)  HKG → KUL  |  Class BC</v>
      </c>
      <c r="B1" s="93"/>
      <c r="C1" s="93"/>
      <c r="D1" s="93"/>
      <c r="E1" s="93"/>
      <c r="F1" s="93"/>
      <c r="G1" s="93"/>
      <c r="H1" s="93"/>
    </row>
    <row r="2" customFormat="false" ht="12.75" hidden="false" customHeight="true" outlineLevel="0" collapsed="false">
      <c r="A2" s="94" t="s">
        <v>4788</v>
      </c>
      <c r="B2" s="95" t="str">
        <f aca="false">Flights!$F$21&amp;"   "&amp;TEXT(Flights!$D$21,"DD-MMM-YY")&amp;" ("&amp;Flights!$E$21&amp;")"</f>
        <v>MH0073   27-Oct-26 (TUE)</v>
      </c>
      <c r="C2" s="95"/>
      <c r="D2" s="95"/>
      <c r="E2" s="96" t="s">
        <v>4789</v>
      </c>
      <c r="F2" s="97" t="str">
        <f aca="false">Flights!$AT$21</f>
        <v>NOT READY – DOCUMENTS</v>
      </c>
      <c r="G2" s="97"/>
      <c r="H2" s="97"/>
    </row>
    <row r="3" customFormat="false" ht="24" hidden="false" customHeight="true" outlineLevel="0" collapsed="false">
      <c r="A3" s="94" t="s">
        <v>4790</v>
      </c>
      <c r="B3" s="95" t="str">
        <f aca="false">Flights!$G$21&amp;" → "&amp;Flights!$H$21&amp;"   Class "&amp;Flights!$K$21&amp;"   Seat "&amp;Flights!$O$21</f>
        <v>HKG → KUL   Class BC   Seat 1C</v>
      </c>
      <c r="C3" s="95"/>
      <c r="D3" s="95"/>
      <c r="E3" s="96" t="s">
        <v>73</v>
      </c>
      <c r="F3" s="96" t="s">
        <v>4791</v>
      </c>
      <c r="G3" s="96" t="s">
        <v>4792</v>
      </c>
      <c r="H3" s="96"/>
    </row>
    <row r="4" customFormat="false" ht="24" hidden="false" customHeight="true" outlineLevel="0" collapsed="false">
      <c r="A4" s="94" t="s">
        <v>4793</v>
      </c>
      <c r="B4" s="95" t="str">
        <f aca="false">IF(ISNUMBER(Flights!$I$21),TEXT(Flights!$I$21,"DD-MMM-YY HH:MM"),"")&amp;" "&amp;Flights!$G$21&amp;"  →  "&amp;IF(ISNUMBER(Flights!$J$21),TEXT(Flights!$J$21,"DD-MMM-YY HH:MM"),"")&amp;" "&amp;Flights!$H$21</f>
        <v>27-Oct-26 14:50 HKG  →  27-Oct-26 18:55 KUL</v>
      </c>
      <c r="C4" s="95"/>
      <c r="D4" s="95"/>
      <c r="E4" s="94" t="s">
        <v>4794</v>
      </c>
      <c r="F4" s="98" t="str">
        <f aca="false">IF(ISNUMBER(Flights!$AG$21),TEXT(Flights!$AG$21,"DD-MMM-YY HH:MM"),"")&amp;" "&amp;Flights!$V$21</f>
        <v>20-Oct-26 14:50 HKG</v>
      </c>
      <c r="G4" s="99" t="n">
        <f aca="false">Flights!$AJ$21</f>
        <v>0</v>
      </c>
      <c r="H4" s="99"/>
    </row>
    <row r="5" customFormat="false" ht="24" hidden="false" customHeight="true" outlineLevel="0" collapsed="false">
      <c r="A5" s="94" t="s">
        <v>4795</v>
      </c>
      <c r="B5" s="95" t="str">
        <f aca="false">Flights!$L$21&amp;" – "&amp;Flights!$M$21</f>
        <v>B738MAX – B737-8 (B7M8)</v>
      </c>
      <c r="C5" s="95"/>
      <c r="D5" s="95"/>
      <c r="E5" s="94" t="s">
        <v>4796</v>
      </c>
      <c r="F5" s="98" t="str">
        <f aca="false">IF(ISNUMBER(Flights!$AH$21),TEXT(Flights!$AH$21,"DD-MMM-YY HH:MM"),"")&amp;" "&amp;Flights!$V$21</f>
        <v>26-Oct-26 14:50 HKG</v>
      </c>
      <c r="G5" s="99" t="n">
        <f aca="false">Flights!$AK$21</f>
        <v>0</v>
      </c>
      <c r="H5" s="99"/>
    </row>
    <row r="6" customFormat="false" ht="24" hidden="false" customHeight="true" outlineLevel="0" collapsed="false">
      <c r="A6" s="94" t="s">
        <v>4797</v>
      </c>
      <c r="B6" s="95" t="str">
        <f aca="false">IF(TRIM(Flights!$N$21)="","__________________",Flights!$N$21)</f>
        <v>__________________</v>
      </c>
      <c r="C6" s="95"/>
      <c r="D6" s="95"/>
      <c r="E6" s="94" t="s">
        <v>4798</v>
      </c>
      <c r="F6" s="98" t="str">
        <f aca="false">IF(ISNUMBER(Flights!$AI$21),TEXT(Flights!$AI$21,"DD-MMM-YY HH:MM"),"")&amp;" "&amp;Flights!$V$21&amp;IF(Flights!$AI$21=Flights!$AH$21,"  (= T-24H due)","")</f>
        <v>27-Oct-26 02:50 HKG</v>
      </c>
      <c r="G6" s="99" t="n">
        <f aca="false">Flights!$AL$21</f>
        <v>0</v>
      </c>
      <c r="H6" s="99"/>
    </row>
    <row r="7" customFormat="false" ht="24" hidden="false" customHeight="true" outlineLevel="0" collapsed="false">
      <c r="A7" s="94" t="s">
        <v>4799</v>
      </c>
      <c r="B7" s="95" t="str">
        <f aca="false">Flights!$T$21</f>
        <v>1 Meal + DAT(Noodles Svc) (Meal)</v>
      </c>
      <c r="C7" s="95"/>
      <c r="D7" s="95"/>
      <c r="E7" s="94" t="s">
        <v>4800</v>
      </c>
      <c r="F7" s="98" t="str">
        <f aca="false">"STD "&amp;IF(ISNUMBER(Flights!$I$21),TEXT(Flights!$I$21,"DD-MMM-YY HH:MM"),"")&amp;" "&amp;Flights!$G$21&amp;" (dep stn)"</f>
        <v>STD 27-Oct-26 14:50 HKG (dep stn)</v>
      </c>
      <c r="G7" s="99" t="n">
        <f aca="false">Flights!$AM$21</f>
        <v>0</v>
      </c>
      <c r="H7" s="99"/>
    </row>
    <row r="8" customFormat="false" ht="12.75" hidden="false" customHeight="true" outlineLevel="0" collapsed="false">
      <c r="A8" s="94" t="s">
        <v>155</v>
      </c>
      <c r="B8" s="95" t="str">
        <f aca="false">Flights!$V$21&amp;"   (reference uplift stns: "&amp;Flights!$U$21&amp;")"</f>
        <v>HKG   (reference uplift stns: KUL/HKG)</v>
      </c>
      <c r="C8" s="95"/>
      <c r="D8" s="95"/>
      <c r="E8" s="94" t="s">
        <v>4801</v>
      </c>
      <c r="F8" s="100" t="s">
        <v>4802</v>
      </c>
      <c r="G8" s="99" t="n">
        <f aca="false">Flights!$AN$21</f>
        <v>0</v>
      </c>
      <c r="H8" s="99"/>
    </row>
    <row r="9" customFormat="false" ht="12.75" hidden="false" customHeight="true" outlineLevel="0" collapsed="false">
      <c r="A9" s="94" t="s">
        <v>4803</v>
      </c>
      <c r="B9" s="95" t="str">
        <f aca="false">TRIM(Flights!$P$21&amp;"  "&amp;Flights!$Q$21)</f>
        <v>-</v>
      </c>
      <c r="C9" s="95"/>
      <c r="D9" s="95"/>
      <c r="E9" s="94" t="s">
        <v>4804</v>
      </c>
      <c r="F9" s="101" t="n">
        <f aca="false">Flights!$AP$21</f>
        <v>0</v>
      </c>
      <c r="G9" s="102" t="n">
        <f aca="false">Flights!$AQ$21</f>
        <v>0</v>
      </c>
      <c r="H9" s="103" t="n">
        <f aca="false">Flights!$AU$21</f>
        <v>0</v>
      </c>
    </row>
    <row r="10" customFormat="false" ht="24" hidden="false" customHeight="true" outlineLevel="0" collapsed="false">
      <c r="A10" s="94" t="s">
        <v>4805</v>
      </c>
      <c r="B10" s="95" t="str">
        <f aca="false">IF(TRIM(Flights!$X$21)="","__________________",Flights!$X$21)</f>
        <v>__________________</v>
      </c>
      <c r="C10" s="95"/>
      <c r="D10" s="95"/>
      <c r="E10" s="94" t="s">
        <v>4806</v>
      </c>
      <c r="F10" s="104" t="n">
        <f aca="false">Flights!$AO$21</f>
        <v>42</v>
      </c>
      <c r="G10" s="105" t="n">
        <f aca="false">Flights!$AS$21</f>
        <v>4</v>
      </c>
      <c r="H10" s="106" t="n">
        <f aca="false">Flights!$AR$21</f>
        <v>2</v>
      </c>
    </row>
    <row r="11" customFormat="false" ht="21" hidden="false" customHeight="true" outlineLevel="0" collapsed="false">
      <c r="A11" s="94" t="s">
        <v>4807</v>
      </c>
      <c r="B11" s="95" t="str">
        <f aca="false">IF(TRIM(Flights!$Y$21)="","__________________",Flights!$Y$21)</f>
        <v>__________________</v>
      </c>
      <c r="C11" s="95"/>
      <c r="D11" s="95"/>
      <c r="E11" s="94" t="s">
        <v>4808</v>
      </c>
      <c r="F11" s="97" t="str">
        <f aca="false">Flights!$AV$21&amp;" / "&amp;Flights!$AW$21</f>
        <v>0 / 42</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56.25" hidden="false" customHeight="true" outlineLevel="0" collapsed="false">
      <c r="A14" s="124" t="str">
        <f aca="false">"KUL-SOURCED ITEMS: some items are uplifted at KUL on the inbound carrying flight; their preparation is capped at the KUL loading window. Each row shows its own due."&amp;CHAR(10)&amp;"KUL loading window opens: "&amp;IF(ISNUMBER(Flights!$AY$21),TEXT(Flights!$AY$21+IFERROR(INDEX(Settings!$C$13:$C$22,MATCH("KUL",Settings!$A$13:$A$22,0)),8)/24,"DD-MMM-YY HH:MM")&amp;" KUL","(not set)")&amp;"   |   Carrying flight leaves KUL: "&amp;IF(ISNUMBER(Flights!$AY$21),TEXT(Flights!$AY$21+UpliftWindowH/24+IFERROR(INDEX(Settings!$C$13:$C$22,MATCH("KUL",Settings!$A$13:$A$22,0)),8)/24,"DD-MMM-YY HH:MM")&amp;" KUL","(not set)")&amp;IF(ISNUMBER(Flights!$AX$21),"",IF(TRIM(Flights!$W$21)&lt;&gt;""," (agenda candidate – actual not yet entered)"," (latest possible – actual not yet entered)"))&amp;IF(ISNUMBER(Flights!$AX$21),"",CHAR(10)&amp;"CARRYING FLIGHT NOT YET ENTERED (Flights sheet): its timing is assumed, so on-board (UPLIFT) checks before the assumed arrival show INVALID – before uplift window.")</f>
        <v>KUL-SOURCED ITEMS: some items are uplifted at KUL on the inbound carrying flight; their preparation is capped at the KUL loading window. Each row shows its own due.
KUL loading window opens: 26-Oct-26 03:10 KUL   |   Carrying flight leaves KUL: 26-Oct-26 09:10 KUL (latest possible – actual not yet entered)
CARRYING FLIGHT NOT YET ENTERED (Flights sheet): its timing is assumed, so on-board (UPLIFT) checks before the assumed arrival show INVALID – before uplift window.</v>
      </c>
      <c r="B14" s="124"/>
      <c r="C14" s="124"/>
      <c r="D14" s="124"/>
      <c r="E14" s="124"/>
      <c r="F14" s="124"/>
      <c r="G14" s="124"/>
      <c r="H14" s="124"/>
    </row>
    <row r="15" customFormat="false" ht="13.5" hidden="false" customHeight="true" outlineLevel="0" collapsed="false">
      <c r="A15" s="96" t="s">
        <v>4813</v>
      </c>
      <c r="B15" s="96" t="s">
        <v>4814</v>
      </c>
      <c r="C15" s="96" t="s">
        <v>4815</v>
      </c>
      <c r="D15" s="96"/>
      <c r="E15" s="96" t="s">
        <v>4816</v>
      </c>
      <c r="F15" s="96" t="s">
        <v>4817</v>
      </c>
      <c r="G15" s="96"/>
      <c r="H15" s="96"/>
    </row>
    <row r="16" customFormat="false" ht="36" hidden="false" customHeight="true" outlineLevel="0" collapsed="false">
      <c r="A16" s="94" t="s">
        <v>4818</v>
      </c>
      <c r="B16" s="95" t="str">
        <f aca="false">IF(Documents!$F$21="","",Documents!$F$21)</f>
        <v/>
      </c>
      <c r="C16" s="100" t="str">
        <f aca="false">IF(Documents!$G$21="","",Documents!$G$21)&amp;IF(ISNUMBER(Documents!$H$21),"  "&amp;TEXT(Documents!$H$21,"DD-MMM-YY"),"")</f>
        <v/>
      </c>
      <c r="D16" s="100"/>
      <c r="E16" s="114" t="str">
        <f aca="false">IF(Documents!$J$21="OUTSTANDING","OUTSTANDING – attach before T-7D (due "&amp;IF(ISNUMBER(Flights!$AG$21),TEXT(Flights!$AG$21,"DD-MMM-YY HH:MM"),"")&amp;" "&amp;Flights!$V$21&amp;")",IF(Documents!$J$21="","Status not recorded",Documents!$J$21))</f>
        <v>OUTSTANDING – attach before T-7D (due 20-Oct-26 14:50 HKG)</v>
      </c>
      <c r="F16" s="115" t="str">
        <f aca="false">"Staple behind this sheet as page A1."&amp;IF(Documents!$I$21="",""," Location: "&amp;Documents!$I$21)</f>
        <v>Staple behind this sheet as page A1.</v>
      </c>
      <c r="G16" s="115"/>
      <c r="H16" s="115"/>
    </row>
    <row r="17" customFormat="false" ht="36" hidden="false" customHeight="true" outlineLevel="0" collapsed="false">
      <c r="A17" s="94" t="s">
        <v>4819</v>
      </c>
      <c r="B17" s="95" t="str">
        <f aca="false">IF(Documents!$K$21="","",Documents!$K$21)</f>
        <v/>
      </c>
      <c r="C17" s="100" t="str">
        <f aca="false">IF(Documents!$L$21="","",Documents!$L$21)&amp;IF(ISNUMBER(Documents!$M$21),"  "&amp;TEXT(Documents!$M$21,"DD-MMM-YY"),"")</f>
        <v/>
      </c>
      <c r="D17" s="100"/>
      <c r="E17" s="114" t="str">
        <f aca="false">IF(Documents!$O$21="OUTSTANDING","OUTSTANDING – attach before T-7D (due "&amp;IF(ISNUMBER(Flights!$AG$21),TEXT(Flights!$AG$21,"DD-MMM-YY HH:MM"),"")&amp;" "&amp;Flights!$V$21&amp;")",IF(Documents!$O$21="","Status not recorded",Documents!$O$21))</f>
        <v>OUTSTANDING – attach before T-7D (due 20-Oct-26 14:50 HKG)</v>
      </c>
      <c r="F17" s="115" t="str">
        <f aca="false">"Staple behind this sheet as page A2."&amp;IF(Documents!$N$21="",""," Location: "&amp;Documents!$N$21)</f>
        <v>Staple behind this sheet as page A2.</v>
      </c>
      <c r="G17" s="115"/>
      <c r="H17" s="115"/>
    </row>
    <row r="18" customFormat="false" ht="22.5" hidden="false" customHeight="true" outlineLevel="0" collapsed="false">
      <c r="A18" s="94" t="s">
        <v>4820</v>
      </c>
      <c r="B18" s="116" t="str">
        <f aca="false">IF(Documents!$Q$21="","",Documents!$Q$21)</f>
        <v>Not supplied with brief – obtain from caterer / MAGCS.</v>
      </c>
      <c r="C18" s="116"/>
      <c r="D18" s="116"/>
      <c r="E18" s="116"/>
      <c r="F18" s="116"/>
      <c r="G18" s="116"/>
      <c r="H18" s="116"/>
    </row>
    <row r="19" customFormat="false" ht="13.5" hidden="false" customHeight="true" outlineLevel="0" collapsed="false">
      <c r="A19" s="117" t="s">
        <v>4821</v>
      </c>
      <c r="B19" s="117"/>
      <c r="C19" s="117" t="s">
        <v>4822</v>
      </c>
      <c r="D19" s="117"/>
      <c r="E19" s="117"/>
      <c r="F19" s="117" t="s">
        <v>4823</v>
      </c>
      <c r="G19" s="117"/>
      <c r="H19" s="117"/>
    </row>
    <row r="20" customFormat="false" ht="18" hidden="false" customHeight="true" outlineLevel="0" collapsed="false">
      <c r="A20" s="95" t="str">
        <f aca="false">"Name: "&amp;IF(TRIM(Flights!$Y$21)="","__________________",Flights!$Y$21)</f>
        <v>Name: __________________</v>
      </c>
      <c r="B20" s="95"/>
      <c r="C20" s="95" t="str">
        <f aca="false">"Name: __________________"</f>
        <v>Name: __________________</v>
      </c>
      <c r="D20" s="95"/>
      <c r="E20" s="95"/>
      <c r="F20" s="95" t="str">
        <f aca="false">"Name: __________________"&amp;"   Station: "&amp;Flights!$V$21</f>
        <v>Name: __________________   Station: HKG</v>
      </c>
      <c r="G20" s="95"/>
      <c r="H20" s="95"/>
    </row>
    <row r="21" customFormat="false" ht="30" hidden="false" customHeight="true" outlineLevel="0" collapsed="false">
      <c r="A21" s="118" t="s">
        <v>4824</v>
      </c>
      <c r="B21" s="118"/>
      <c r="C21" s="118" t="s">
        <v>4824</v>
      </c>
      <c r="D21" s="118"/>
      <c r="E21" s="118"/>
      <c r="F21" s="118" t="s">
        <v>4824</v>
      </c>
      <c r="G21" s="118"/>
      <c r="H21" s="118"/>
    </row>
    <row r="22" customFormat="false" ht="24" hidden="false" customHeight="true" outlineLevel="0" collapsed="false">
      <c r="A22" s="96" t="s">
        <v>4825</v>
      </c>
      <c r="B22" s="96" t="s">
        <v>4826</v>
      </c>
      <c r="C22" s="96" t="s">
        <v>4827</v>
      </c>
      <c r="D22" s="96" t="s">
        <v>4828</v>
      </c>
      <c r="E22" s="96" t="s">
        <v>4829</v>
      </c>
      <c r="F22" s="96" t="s">
        <v>4830</v>
      </c>
      <c r="G22" s="96" t="s">
        <v>4831</v>
      </c>
      <c r="H22" s="96" t="s">
        <v>126</v>
      </c>
    </row>
    <row r="23" customFormat="false" ht="25.5" hidden="false" customHeight="true" outlineLevel="0" collapsed="false">
      <c r="A23" s="119" t="str">
        <f aca="false">"T-7D — 7 days before departure  |  Due "&amp;IF(ISNUMBER(Flights!$AG$21),TEXT(Flights!$AG$21,"DD-MMM-YY HH:MM"),"")&amp;" "&amp;Flights!$V$21&amp;" (meal uplift stn)"&amp;" (rows with another due show their own)  |  Complete "&amp;IF(ISNUMBER(Flights!$AJ$21),TEXT(Flights!$AJ$21,"0%"),Flights!$AJ$21)&amp;"  |  10 lines"</f>
        <v>T-7D — 7 days before departure  |  Due 20-Oct-26 14:50 HKG (meal uplift stn) (rows with another due show their own)  |  Complete 0%  |  10 lines</v>
      </c>
      <c r="B23" s="119"/>
      <c r="C23" s="119"/>
      <c r="D23" s="119"/>
      <c r="E23" s="119"/>
      <c r="F23" s="119"/>
      <c r="G23" s="119"/>
      <c r="H23" s="119"/>
    </row>
    <row r="24" customFormat="false" ht="114" hidden="false" customHeight="true" outlineLevel="0" collapsed="false">
      <c r="A24" s="120" t="str">
        <f aca="false">Checks!$A$531&amp;CHAR(10)&amp;IF(Checks!$I$531="","",Checks!$I$531&amp;": ")&amp;Checks!$J$531</f>
        <v>F17-T7-01
Meal: Meal sensory testing completed for this flight's menu cycle (assessed class)</v>
      </c>
      <c r="B24" s="120" t="str">
        <f aca="false">Checks!$K$531&amp;IF(Checks!$O$531="","",IF(Checks!$K$531="","",CHAR(10))&amp;"Note: "&amp;Checks!$O$531)</f>
        <v>Record panel result / score in Result</v>
      </c>
      <c r="C24" s="120" t="str">
        <f aca="false">Checks!$N$531&amp;CHAR(10)&amp;IF(ISNUMBER(Checks!$R$531),TEXT(Checks!$R$531,"DD-MMM-YY HH:MM"),"")&amp;" "&amp;Checks!$P$531</f>
        <v>Required
20-Oct-26 14:50 HKG</v>
      </c>
      <c r="D24" s="120" t="str">
        <f aca="false">IF(TRIM(Checks!$U$531)&lt;&gt;"",Checks!$U$531&amp;IF(Checks!$AB$531="","",CHAR(10)&amp;"CA: "&amp;Checks!$AB$531),IF(LEFT(Checks!$AH$531,10)="N/A – RULE","","[ ] Pass"&amp;CHAR(10)&amp;"[ ] Pass after CA"&amp;CHAR(10)&amp;"[ ] Fail"&amp;IF(Checks!$AT$531=1,CHAR(10)&amp;"[ ] N/A","")&amp;CHAR(10)&amp;"CA: Open / Closed"))</f>
        <v>[ ] Pass
[ ] Pass after CA
[ ] Fail
CA: Open / Closed</v>
      </c>
      <c r="E24" s="120" t="str">
        <f aca="false">IF(Checks!$V$531="","",Checks!$V$531)&amp;IF(Checks!$AC$531="","",IF(Checks!$V$531="","",CHAR(10))&amp;"N/A just.: "&amp;Checks!$AC$531)&amp;IF(OR(Checks!$W$531&lt;&gt;"",AND(Checks!$AQ$531=1,NOT(LEFT(Checks!$AH$531,10)="N/A – RULE"))),CHAR(10)&amp;"Batch: "&amp;IF(Checks!$W$531="","____________",Checks!$W$531),"")&amp;IF(OR(Checks!$X$531&lt;&gt;"",Checks!$Y$531&lt;&gt;"",AND(Checks!$AR$531=1,NOT(LEFT(Checks!$AH$531,10)="N/A – RULE"))),CHAR(10)&amp;"Exp: "&amp;IF(Checks!$X$531="","______",Checks!$X$531)&amp;"  /  Act: "&amp;IF(Checks!$Y$531="","______",Checks!$Y$531),"")</f>
        <v/>
      </c>
      <c r="F24" s="120" t="str">
        <f aca="false">IF(AND(LEFT(Checks!$AH$531,10)="N/A – RULE",TRIM(Checks!$S$531&amp;Checks!$Z$531)=""),"","Type: "&amp;IF(TRIM(Checks!$S$531)="","______________ (see cover list)",Checks!$S$531)&amp;CHAR(10)&amp;"ID: "&amp;IF(TRIM(Checks!$Z$531)="","______________ (record's own no.)",Checks!$Z$531))&amp;IF(Checks!$AA$531="","",CHAR(10)&amp;"CA: "&amp;Checks!$AA$531)</f>
        <v>Type: ______________ (see cover list)
ID: ______________ (record's own no.)</v>
      </c>
      <c r="G24" s="120" t="str">
        <f aca="false">IF(AND(LEFT(Checks!$AH$531,10)="N/A – RULE",NOT(ISNUMBER(Checks!$AD$531)),Checks!$AE$531="",Checks!$T$531=""),"","Done: "&amp;IF(ISNUMBER(Checks!$AD$531),TEXT(Checks!$AD$531,"DD-MMM-YY HH:MM"),"____________")&amp;" "&amp;Checks!$P$531&amp;CHAR(10)&amp;"Verifier: "&amp;IF(Checks!$AE$531="","____________",Checks!$AE$531)&amp;CHAR(10)&amp;"PIC: "&amp;IF(Checks!$T$531="","____________",Checks!$T$531))</f>
        <v>Done: ____________ HKG
Verifier: ____________
PIC: ____________</v>
      </c>
      <c r="H24" s="121" t="str">
        <f aca="false">IF(Checks!$AH$531="","",Checks!$AH$531)</f>
        <v>OPEN</v>
      </c>
    </row>
    <row r="25" customFormat="false" ht="114" hidden="false" customHeight="true" outlineLevel="0" collapsed="false">
      <c r="A25" s="120" t="str">
        <f aca="false">Checks!$A$532&amp;CHAR(10)&amp;IF(Checks!$I$532="","",Checks!$I$532&amp;": ")&amp;Checks!$J$532</f>
        <v>F17-T7-02
Menu: Printed menu cards confirmed (content, cycle, language, quantity)</v>
      </c>
      <c r="B25" s="120" t="str">
        <f aca="false">Checks!$K$532&amp;IF(Checks!$O$532="","",IF(Checks!$K$532="","",CHAR(10))&amp;"Note: "&amp;Checks!$O$532)</f>
        <v>Menu card matches approved menu for this flight</v>
      </c>
      <c r="C25" s="120" t="str">
        <f aca="false">Checks!$N$532&amp;CHAR(10)&amp;IF(ISNUMBER(Checks!$R$532),TEXT(Checks!$R$532,"DD-MMM-YY HH:MM"),"")&amp;" "&amp;Checks!$P$532</f>
        <v>Required
20-Oct-26 14:50 HKG</v>
      </c>
      <c r="D25" s="120" t="str">
        <f aca="false">IF(TRIM(Checks!$U$532)&lt;&gt;"",Checks!$U$532&amp;IF(Checks!$AB$532="","",CHAR(10)&amp;"CA: "&amp;Checks!$AB$532),IF(LEFT(Checks!$AH$532,10)="N/A – RULE","","[ ] Pass"&amp;CHAR(10)&amp;"[ ] Pass after CA"&amp;CHAR(10)&amp;"[ ] Fail"&amp;IF(Checks!$AT$532=1,CHAR(10)&amp;"[ ] N/A","")&amp;CHAR(10)&amp;"CA: Open / Closed"))</f>
        <v>[ ] Pass
[ ] Pass after CA
[ ] Fail
CA: Open / Closed</v>
      </c>
      <c r="E25" s="120" t="str">
        <f aca="false">IF(Checks!$V$532="","",Checks!$V$532)&amp;IF(Checks!$AC$532="","",IF(Checks!$V$532="","",CHAR(10))&amp;"N/A just.: "&amp;Checks!$AC$532)&amp;IF(OR(Checks!$W$532&lt;&gt;"",AND(Checks!$AQ$532=1,NOT(LEFT(Checks!$AH$532,10)="N/A – RULE"))),CHAR(10)&amp;"Batch: "&amp;IF(Checks!$W$532="","____________",Checks!$W$532),"")&amp;IF(OR(Checks!$X$532&lt;&gt;"",Checks!$Y$532&lt;&gt;"",AND(Checks!$AR$532=1,NOT(LEFT(Checks!$AH$532,10)="N/A – RULE"))),CHAR(10)&amp;"Exp: "&amp;IF(Checks!$X$532="","______",Checks!$X$532)&amp;"  /  Act: "&amp;IF(Checks!$Y$532="","______",Checks!$Y$532),"")</f>
        <v/>
      </c>
      <c r="F25" s="120" t="str">
        <f aca="false">IF(AND(LEFT(Checks!$AH$532,10)="N/A – RULE",TRIM(Checks!$S$532&amp;Checks!$Z$532)=""),"","Type: "&amp;IF(TRIM(Checks!$S$532)="","______________ (see cover list)",Checks!$S$532)&amp;CHAR(10)&amp;"ID: "&amp;IF(TRIM(Checks!$Z$532)="","______________ (record's own no.)",Checks!$Z$532))&amp;IF(Checks!$AA$532="","",CHAR(10)&amp;"CA: "&amp;Checks!$AA$532)</f>
        <v>Type: ______________ (see cover list)
ID: ______________ (record's own no.)</v>
      </c>
      <c r="G25" s="120" t="str">
        <f aca="false">IF(AND(LEFT(Checks!$AH$532,10)="N/A – RULE",NOT(ISNUMBER(Checks!$AD$532)),Checks!$AE$532="",Checks!$T$532=""),"","Done: "&amp;IF(ISNUMBER(Checks!$AD$532),TEXT(Checks!$AD$532,"DD-MMM-YY HH:MM"),"____________")&amp;" "&amp;Checks!$P$532&amp;CHAR(10)&amp;"Verifier: "&amp;IF(Checks!$AE$532="","____________",Checks!$AE$532)&amp;CHAR(10)&amp;"PIC: "&amp;IF(Checks!$T$532="","____________",Checks!$T$532))</f>
        <v>Done: ____________ HKG
Verifier: ____________
PIC: ____________</v>
      </c>
      <c r="H25" s="121" t="str">
        <f aca="false">IF(Checks!$AH$532="","",Checks!$AH$532)</f>
        <v>OPEN</v>
      </c>
    </row>
    <row r="26" customFormat="false" ht="114" hidden="false" customHeight="true" outlineLevel="0" collapsed="false">
      <c r="A26" s="120" t="str">
        <f aca="false">Checks!$A$533&amp;CHAR(10)&amp;IF(Checks!$I$533="","",Checks!$I$533&amp;": ")&amp;Checks!$J$533</f>
        <v>F17-T7-03
IFE: Digital menu in IFE confirmed (A339 only)</v>
      </c>
      <c r="B26" s="120" t="str">
        <f aca="false">Checks!$K$533&amp;IF(Checks!$O$533="","",IF(Checks!$K$533="","",CHAR(10))&amp;"Note: "&amp;Checks!$O$533)</f>
        <v>Applies when fleet = A339
Note: Digital IFE menu applies to A339 only (user brief). Applicability follows the Fleet cell on Flights.</v>
      </c>
      <c r="C26" s="120" t="str">
        <f aca="false">Checks!$N$533&amp;CHAR(10)&amp;IF(ISNUMBER(Checks!$R$533),TEXT(Checks!$R$533,"DD-MMM-YY HH:MM"),"")&amp;" "&amp;Checks!$P$533</f>
        <v>N/A – rule
20-Oct-26 14:50 HKG</v>
      </c>
      <c r="D26" s="120" t="str">
        <f aca="false">IF(TRIM(Checks!$U$533)&lt;&gt;"",Checks!$U$533&amp;IF(Checks!$AB$533="","",CHAR(10)&amp;"CA: "&amp;Checks!$AB$533),IF(LEFT(Checks!$AH$533,10)="N/A – RULE","","[ ] Pass"&amp;CHAR(10)&amp;"[ ] Pass after CA"&amp;CHAR(10)&amp;"[ ] Fail"&amp;IF(Checks!$AT$533=1,CHAR(10)&amp;"[ ] N/A","")&amp;CHAR(10)&amp;"CA: Open / Closed"))</f>
        <v/>
      </c>
      <c r="E26" s="120" t="str">
        <f aca="false">IF(Checks!$V$533="","",Checks!$V$533)&amp;IF(Checks!$AC$533="","",IF(Checks!$V$533="","",CHAR(10))&amp;"N/A just.: "&amp;Checks!$AC$533)&amp;IF(OR(Checks!$W$533&lt;&gt;"",AND(Checks!$AQ$533=1,NOT(LEFT(Checks!$AH$533,10)="N/A – RULE"))),CHAR(10)&amp;"Batch: "&amp;IF(Checks!$W$533="","____________",Checks!$W$533),"")&amp;IF(OR(Checks!$X$533&lt;&gt;"",Checks!$Y$533&lt;&gt;"",AND(Checks!$AR$533=1,NOT(LEFT(Checks!$AH$533,10)="N/A – RULE"))),CHAR(10)&amp;"Exp: "&amp;IF(Checks!$X$533="","______",Checks!$X$533)&amp;"  /  Act: "&amp;IF(Checks!$Y$533="","______",Checks!$Y$533),"")</f>
        <v/>
      </c>
      <c r="F26" s="120" t="str">
        <f aca="false">IF(AND(LEFT(Checks!$AH$533,10)="N/A – RULE",TRIM(Checks!$S$533&amp;Checks!$Z$533)=""),"","Type: "&amp;IF(TRIM(Checks!$S$533)="","______________ (see cover list)",Checks!$S$533)&amp;CHAR(10)&amp;"ID: "&amp;IF(TRIM(Checks!$Z$533)="","______________ (record's own no.)",Checks!$Z$533))&amp;IF(Checks!$AA$533="","",CHAR(10)&amp;"CA: "&amp;Checks!$AA$533)</f>
        <v/>
      </c>
      <c r="G26" s="120" t="str">
        <f aca="false">IF(AND(LEFT(Checks!$AH$533,10)="N/A – RULE",NOT(ISNUMBER(Checks!$AD$533)),Checks!$AE$533="",Checks!$T$533=""),"","Done: "&amp;IF(ISNUMBER(Checks!$AD$533),TEXT(Checks!$AD$533,"DD-MMM-YY HH:MM"),"____________")&amp;" "&amp;Checks!$P$533&amp;CHAR(10)&amp;"Verifier: "&amp;IF(Checks!$AE$533="","____________",Checks!$AE$533)&amp;CHAR(10)&amp;"PIC: "&amp;IF(Checks!$T$533="","____________",Checks!$T$533))</f>
        <v/>
      </c>
      <c r="H26" s="121" t="str">
        <f aca="false">IF(Checks!$AH$533="","",Checks!$AH$533)</f>
        <v>N/A – RULE</v>
      </c>
    </row>
    <row r="27" customFormat="false" ht="114" hidden="false" customHeight="true" outlineLevel="0" collapsed="false">
      <c r="A27" s="120" t="str">
        <f aca="false">Checks!$A$534&amp;CHAR(10)&amp;IF(Checks!$I$534="","",Checks!$I$534&amp;": ")&amp;Checks!$J$534</f>
        <v>F17-T7-04
Staffing: Experienced catering officer assigned to this flight</v>
      </c>
      <c r="B27" s="120" t="str">
        <f aca="false">Checks!$K$534&amp;IF(Checks!$O$534="","",IF(Checks!$K$534="","",CHAR(10))&amp;"Note: "&amp;Checks!$O$534)</f>
        <v>Record officer name in Result</v>
      </c>
      <c r="C27" s="120" t="str">
        <f aca="false">Checks!$N$534&amp;CHAR(10)&amp;IF(ISNUMBER(Checks!$R$534),TEXT(Checks!$R$534,"DD-MMM-YY HH:MM"),"")&amp;" "&amp;Checks!$P$534</f>
        <v>Required
20-Oct-26 14:50 HKG</v>
      </c>
      <c r="D27" s="120" t="str">
        <f aca="false">IF(TRIM(Checks!$U$534)&lt;&gt;"",Checks!$U$534&amp;IF(Checks!$AB$534="","",CHAR(10)&amp;"CA: "&amp;Checks!$AB$534),IF(LEFT(Checks!$AH$534,10)="N/A – RULE","","[ ] Pass"&amp;CHAR(10)&amp;"[ ] Pass after CA"&amp;CHAR(10)&amp;"[ ] Fail"&amp;IF(Checks!$AT$534=1,CHAR(10)&amp;"[ ] N/A","")&amp;CHAR(10)&amp;"CA: Open / Closed"))</f>
        <v>[ ] Pass
[ ] Pass after CA
[ ] Fail
CA: Open / Closed</v>
      </c>
      <c r="E27" s="120" t="str">
        <f aca="false">IF(Checks!$V$534="","",Checks!$V$534)&amp;IF(Checks!$AC$534="","",IF(Checks!$V$534="","",CHAR(10))&amp;"N/A just.: "&amp;Checks!$AC$534)&amp;IF(OR(Checks!$W$534&lt;&gt;"",AND(Checks!$AQ$534=1,NOT(LEFT(Checks!$AH$534,10)="N/A – RULE"))),CHAR(10)&amp;"Batch: "&amp;IF(Checks!$W$534="","____________",Checks!$W$534),"")&amp;IF(OR(Checks!$X$534&lt;&gt;"",Checks!$Y$534&lt;&gt;"",AND(Checks!$AR$534=1,NOT(LEFT(Checks!$AH$534,10)="N/A – RULE"))),CHAR(10)&amp;"Exp: "&amp;IF(Checks!$X$534="","______",Checks!$X$534)&amp;"  /  Act: "&amp;IF(Checks!$Y$534="","______",Checks!$Y$534),"")</f>
        <v/>
      </c>
      <c r="F27" s="120" t="str">
        <f aca="false">IF(AND(LEFT(Checks!$AH$534,10)="N/A – RULE",TRIM(Checks!$S$534&amp;Checks!$Z$534)=""),"","Type: "&amp;IF(TRIM(Checks!$S$534)="","______________ (see cover list)",Checks!$S$534)&amp;CHAR(10)&amp;"ID: "&amp;IF(TRIM(Checks!$Z$534)="","______________ (record's own no.)",Checks!$Z$534))&amp;IF(Checks!$AA$534="","",CHAR(10)&amp;"CA: "&amp;Checks!$AA$534)</f>
        <v>Type: ______________ (see cover list)
ID: ______________ (record's own no.)</v>
      </c>
      <c r="G27" s="120" t="str">
        <f aca="false">IF(AND(LEFT(Checks!$AH$534,10)="N/A – RULE",NOT(ISNUMBER(Checks!$AD$534)),Checks!$AE$534="",Checks!$T$534=""),"","Done: "&amp;IF(ISNUMBER(Checks!$AD$534),TEXT(Checks!$AD$534,"DD-MMM-YY HH:MM"),"____________")&amp;" "&amp;Checks!$P$534&amp;CHAR(10)&amp;"Verifier: "&amp;IF(Checks!$AE$534="","____________",Checks!$AE$534)&amp;CHAR(10)&amp;"PIC: "&amp;IF(Checks!$T$534="","____________",Checks!$T$534))</f>
        <v>Done: ____________ HKG
Verifier: ____________
PIC: ____________</v>
      </c>
      <c r="H27" s="121" t="str">
        <f aca="false">IF(Checks!$AH$534="","",Checks!$AH$534)</f>
        <v>OPEN</v>
      </c>
    </row>
    <row r="28" customFormat="false" ht="114" hidden="false" customHeight="true" outlineLevel="0" collapsed="false">
      <c r="A28" s="120" t="str">
        <f aca="false">Checks!$A$535&amp;CHAR(10)&amp;IF(Checks!$I$535="","",Checks!$I$535&amp;": ")&amp;Checks!$J$535</f>
        <v>F17-T7-05
ISOP: All latest applicable ISOP revisions communicated to caterer</v>
      </c>
      <c r="B28" s="120" t="str">
        <f aca="false">Checks!$K$535&amp;IF(Checks!$O$535="","",IF(Checks!$K$535="","",CHAR(10))&amp;"Note: "&amp;Checks!$O$535)</f>
        <v>List revision numbers in Result (see ISOP register)</v>
      </c>
      <c r="C28" s="120" t="str">
        <f aca="false">Checks!$N$535&amp;CHAR(10)&amp;IF(ISNUMBER(Checks!$R$535),TEXT(Checks!$R$535,"DD-MMM-YY HH:MM"),"")&amp;" "&amp;Checks!$P$535</f>
        <v>Required
20-Oct-26 14:50 HKG</v>
      </c>
      <c r="D28" s="120" t="str">
        <f aca="false">IF(TRIM(Checks!$U$535)&lt;&gt;"",Checks!$U$535&amp;IF(Checks!$AB$535="","",CHAR(10)&amp;"CA: "&amp;Checks!$AB$535),IF(LEFT(Checks!$AH$535,10)="N/A – RULE","","[ ] Pass"&amp;CHAR(10)&amp;"[ ] Pass after CA"&amp;CHAR(10)&amp;"[ ] Fail"&amp;IF(Checks!$AT$535=1,CHAR(10)&amp;"[ ] N/A","")&amp;CHAR(10)&amp;"CA: Open / Closed"))</f>
        <v>[ ] Pass
[ ] Pass after CA
[ ] Fail
CA: Open / Closed</v>
      </c>
      <c r="E28" s="120" t="str">
        <f aca="false">IF(Checks!$V$535="","",Checks!$V$535)&amp;IF(Checks!$AC$535="","",IF(Checks!$V$535="","",CHAR(10))&amp;"N/A just.: "&amp;Checks!$AC$535)&amp;IF(OR(Checks!$W$535&lt;&gt;"",AND(Checks!$AQ$535=1,NOT(LEFT(Checks!$AH$535,10)="N/A – RULE"))),CHAR(10)&amp;"Batch: "&amp;IF(Checks!$W$535="","____________",Checks!$W$535),"")&amp;IF(OR(Checks!$X$535&lt;&gt;"",Checks!$Y$535&lt;&gt;"",AND(Checks!$AR$535=1,NOT(LEFT(Checks!$AH$535,10)="N/A – RULE"))),CHAR(10)&amp;"Exp: "&amp;IF(Checks!$X$535="","______",Checks!$X$535)&amp;"  /  Act: "&amp;IF(Checks!$Y$535="","______",Checks!$Y$535),"")</f>
        <v/>
      </c>
      <c r="F28" s="120" t="str">
        <f aca="false">IF(AND(LEFT(Checks!$AH$535,10)="N/A – RULE",TRIM(Checks!$S$535&amp;Checks!$Z$535)=""),"","Type: "&amp;IF(TRIM(Checks!$S$535)="","______________ (see cover list)",Checks!$S$535)&amp;CHAR(10)&amp;"ID: "&amp;IF(TRIM(Checks!$Z$535)="","______________ (record's own no.)",Checks!$Z$535))&amp;IF(Checks!$AA$535="","",CHAR(10)&amp;"CA: "&amp;Checks!$AA$535)</f>
        <v>Type: ______________ (see cover list)
ID: ______________ (record's own no.)</v>
      </c>
      <c r="G28" s="120" t="str">
        <f aca="false">IF(AND(LEFT(Checks!$AH$535,10)="N/A – RULE",NOT(ISNUMBER(Checks!$AD$535)),Checks!$AE$535="",Checks!$T$535=""),"","Done: "&amp;IF(ISNUMBER(Checks!$AD$535),TEXT(Checks!$AD$535,"DD-MMM-YY HH:MM"),"____________")&amp;" "&amp;Checks!$P$535&amp;CHAR(10)&amp;"Verifier: "&amp;IF(Checks!$AE$535="","____________",Checks!$AE$535)&amp;CHAR(10)&amp;"PIC: "&amp;IF(Checks!$T$535="","____________",Checks!$T$535))</f>
        <v>Done: ____________ HKG
Verifier: ____________
PIC: ____________</v>
      </c>
      <c r="H28" s="121" t="str">
        <f aca="false">IF(Checks!$AH$535="","",Checks!$AH$535)</f>
        <v>OPEN</v>
      </c>
    </row>
    <row r="29" customFormat="false" ht="114" hidden="false" customHeight="true" outlineLevel="0" collapsed="false">
      <c r="A29" s="120" t="str">
        <f aca="false">Checks!$A$536&amp;CHAR(10)&amp;IF(Checks!$I$536="","",Checks!$I$536&amp;": ")&amp;Checks!$J$536</f>
        <v>F17-T7-06
ISOP: Caterer acknowledgement of ISOP revisions recorded</v>
      </c>
      <c r="B29" s="120" t="str">
        <f aca="false">Checks!$K$536&amp;IF(Checks!$O$536="","",IF(Checks!$K$536="","",CHAR(10))&amp;"Note: "&amp;Checks!$O$536)</f>
        <v>Record acknowledgement ref in Evidence</v>
      </c>
      <c r="C29" s="120" t="str">
        <f aca="false">Checks!$N$536&amp;CHAR(10)&amp;IF(ISNUMBER(Checks!$R$536),TEXT(Checks!$R$536,"DD-MMM-YY HH:MM"),"")&amp;" "&amp;Checks!$P$536</f>
        <v>Required
20-Oct-26 14:50 HKG</v>
      </c>
      <c r="D29" s="120" t="str">
        <f aca="false">IF(TRIM(Checks!$U$536)&lt;&gt;"",Checks!$U$536&amp;IF(Checks!$AB$536="","",CHAR(10)&amp;"CA: "&amp;Checks!$AB$536),IF(LEFT(Checks!$AH$536,10)="N/A – RULE","","[ ] Pass"&amp;CHAR(10)&amp;"[ ] Pass after CA"&amp;CHAR(10)&amp;"[ ] Fail"&amp;IF(Checks!$AT$536=1,CHAR(10)&amp;"[ ] N/A","")&amp;CHAR(10)&amp;"CA: Open / Closed"))</f>
        <v>[ ] Pass
[ ] Pass after CA
[ ] Fail
CA: Open / Closed</v>
      </c>
      <c r="E29" s="120" t="str">
        <f aca="false">IF(Checks!$V$536="","",Checks!$V$536)&amp;IF(Checks!$AC$536="","",IF(Checks!$V$536="","",CHAR(10))&amp;"N/A just.: "&amp;Checks!$AC$536)&amp;IF(OR(Checks!$W$536&lt;&gt;"",AND(Checks!$AQ$536=1,NOT(LEFT(Checks!$AH$536,10)="N/A – RULE"))),CHAR(10)&amp;"Batch: "&amp;IF(Checks!$W$536="","____________",Checks!$W$536),"")&amp;IF(OR(Checks!$X$536&lt;&gt;"",Checks!$Y$536&lt;&gt;"",AND(Checks!$AR$536=1,NOT(LEFT(Checks!$AH$536,10)="N/A – RULE"))),CHAR(10)&amp;"Exp: "&amp;IF(Checks!$X$536="","______",Checks!$X$536)&amp;"  /  Act: "&amp;IF(Checks!$Y$536="","______",Checks!$Y$536),"")</f>
        <v/>
      </c>
      <c r="F29" s="120" t="str">
        <f aca="false">IF(AND(LEFT(Checks!$AH$536,10)="N/A – RULE",TRIM(Checks!$S$536&amp;Checks!$Z$536)=""),"","Type: "&amp;IF(TRIM(Checks!$S$536)="","______________ (see cover list)",Checks!$S$536)&amp;CHAR(10)&amp;"ID: "&amp;IF(TRIM(Checks!$Z$536)="","______________ (record's own no.)",Checks!$Z$536))&amp;IF(Checks!$AA$536="","",CHAR(10)&amp;"CA: "&amp;Checks!$AA$536)</f>
        <v>Type: ______________ (see cover list)
ID: ______________ (record's own no.)</v>
      </c>
      <c r="G29" s="120" t="str">
        <f aca="false">IF(AND(LEFT(Checks!$AH$536,10)="N/A – RULE",NOT(ISNUMBER(Checks!$AD$536)),Checks!$AE$536="",Checks!$T$536=""),"","Done: "&amp;IF(ISNUMBER(Checks!$AD$536),TEXT(Checks!$AD$536,"DD-MMM-YY HH:MM"),"____________")&amp;" "&amp;Checks!$P$536&amp;CHAR(10)&amp;"Verifier: "&amp;IF(Checks!$AE$536="","____________",Checks!$AE$536)&amp;CHAR(10)&amp;"PIC: "&amp;IF(Checks!$T$536="","____________",Checks!$T$536))</f>
        <v>Done: ____________ HKG
Verifier: ____________
PIC: ____________</v>
      </c>
      <c r="H29" s="121" t="str">
        <f aca="false">IF(Checks!$AH$536="","",Checks!$AH$536)</f>
        <v>OPEN</v>
      </c>
    </row>
    <row r="30" customFormat="false" ht="114" hidden="false" customHeight="true" outlineLevel="0" collapsed="false">
      <c r="A30" s="120" t="str">
        <f aca="false">Checks!$A$537&amp;CHAR(10)&amp;IF(Checks!$I$537="","",Checks!$I$537&amp;": ")&amp;Checks!$J$537</f>
        <v>F17-T7-07
Documents: Galley loading diagram (GLD) received, revision recorded &amp; attached</v>
      </c>
      <c r="B30" s="120" t="str">
        <f aca="false">SUBSTITUTE(Checks!$K$537&amp;IF(Checks!$O$537="","",IF(Checks!$K$537="","",CHAR(10))&amp;"Note: "&amp;Checks!$O$537),"Documents sheet row complete","Recorded on the Documents sheet; copy stapled as A1 / A2")</f>
        <v>Recorded on the Documents sheet; copy stapled as A1 / A2</v>
      </c>
      <c r="C30" s="120" t="str">
        <f aca="false">Checks!$N$537&amp;CHAR(10)&amp;IF(ISNUMBER(Checks!$R$537),TEXT(Checks!$R$537,"DD-MMM-YY HH:MM"),"")&amp;" "&amp;Checks!$P$537</f>
        <v>Required
20-Oct-26 14:50 HKG</v>
      </c>
      <c r="D30" s="120" t="str">
        <f aca="false">IF(TRIM(Checks!$U$537)&lt;&gt;"",Checks!$U$537&amp;IF(Checks!$AB$537="","",CHAR(10)&amp;"CA: "&amp;Checks!$AB$537),IF(LEFT(Checks!$AH$537,10)="N/A – RULE","","[ ] Pass"&amp;CHAR(10)&amp;"[ ] Pass after CA"&amp;CHAR(10)&amp;"[ ] Fail"&amp;IF(Checks!$AT$537=1,CHAR(10)&amp;"[ ] N/A","")&amp;CHAR(10)&amp;"CA: Open / Closed"))</f>
        <v>[ ] Pass
[ ] Pass after CA
[ ] Fail
CA: Open / Closed</v>
      </c>
      <c r="E30" s="120" t="str">
        <f aca="false">IF(Checks!$V$537="","",Checks!$V$537)&amp;IF(Checks!$AC$537="","",IF(Checks!$V$537="","",CHAR(10))&amp;"N/A just.: "&amp;Checks!$AC$537)&amp;IF(OR(Checks!$W$537&lt;&gt;"",AND(Checks!$AQ$537=1,NOT(LEFT(Checks!$AH$537,10)="N/A – RULE"))),CHAR(10)&amp;"Batch: "&amp;IF(Checks!$W$537="","____________",Checks!$W$537),"")&amp;IF(OR(Checks!$X$537&lt;&gt;"",Checks!$Y$537&lt;&gt;"",AND(Checks!$AR$537=1,NOT(LEFT(Checks!$AH$537,10)="N/A – RULE"))),CHAR(10)&amp;"Exp: "&amp;IF(Checks!$X$537="","______",Checks!$X$537)&amp;"  /  Act: "&amp;IF(Checks!$Y$537="","______",Checks!$Y$537),"")</f>
        <v/>
      </c>
      <c r="F30" s="120" t="str">
        <f aca="false">IF(AND(LEFT(Checks!$AH$537,10)="N/A – RULE",TRIM(Checks!$S$537&amp;Checks!$Z$537)=""),"","Type: "&amp;IF(TRIM(Checks!$S$537)="","______________ (see cover list)",Checks!$S$537)&amp;CHAR(10)&amp;"ID: "&amp;IF(TRIM(Checks!$Z$537)="","______________ (record's own no.)",Checks!$Z$537))&amp;IF(Checks!$AA$537="","",CHAR(10)&amp;"CA: "&amp;Checks!$AA$537)</f>
        <v>Type: ______________ (see cover list)
ID: ______________ (record's own no.)</v>
      </c>
      <c r="G30" s="120" t="str">
        <f aca="false">IF(AND(LEFT(Checks!$AH$537,10)="N/A – RULE",NOT(ISNUMBER(Checks!$AD$537)),Checks!$AE$537="",Checks!$T$537=""),"","Done: "&amp;IF(ISNUMBER(Checks!$AD$537),TEXT(Checks!$AD$537,"DD-MMM-YY HH:MM"),"____________")&amp;" "&amp;Checks!$P$537&amp;CHAR(10)&amp;"Verifier: "&amp;IF(Checks!$AE$537="","____________",Checks!$AE$537)&amp;CHAR(10)&amp;"PIC: "&amp;IF(Checks!$T$537="","____________",Checks!$T$537))</f>
        <v>Done: ____________ HKG
Verifier: ____________
PIC: ____________</v>
      </c>
      <c r="H30" s="121" t="str">
        <f aca="false">IF(Checks!$AH$537="","",Checks!$AH$537)</f>
        <v>OPEN</v>
      </c>
    </row>
    <row r="31" customFormat="false" ht="114" hidden="false" customHeight="true" outlineLevel="0" collapsed="false">
      <c r="A31" s="120" t="str">
        <f aca="false">Checks!$A$538&amp;CHAR(10)&amp;IF(Checks!$I$538="","",Checks!$I$538&amp;": ")&amp;Checks!$J$538</f>
        <v>F17-T7-08
Documents: Menu checklist received, revision recorded &amp; attached</v>
      </c>
      <c r="B31" s="120" t="str">
        <f aca="false">SUBSTITUTE(Checks!$K$538&amp;IF(Checks!$O$538="","",IF(Checks!$K$538="","",CHAR(10))&amp;"Note: "&amp;Checks!$O$538),"Documents sheet row complete","Recorded on the Documents sheet; copy stapled as A1 / A2")</f>
        <v>Recorded on the Documents sheet; copy stapled as A1 / A2</v>
      </c>
      <c r="C31" s="120" t="str">
        <f aca="false">Checks!$N$538&amp;CHAR(10)&amp;IF(ISNUMBER(Checks!$R$538),TEXT(Checks!$R$538,"DD-MMM-YY HH:MM"),"")&amp;" "&amp;Checks!$P$538</f>
        <v>Required
20-Oct-26 14:50 HKG</v>
      </c>
      <c r="D31" s="120" t="str">
        <f aca="false">IF(TRIM(Checks!$U$538)&lt;&gt;"",Checks!$U$538&amp;IF(Checks!$AB$538="","",CHAR(10)&amp;"CA: "&amp;Checks!$AB$538),IF(LEFT(Checks!$AH$538,10)="N/A – RULE","","[ ] Pass"&amp;CHAR(10)&amp;"[ ] Pass after CA"&amp;CHAR(10)&amp;"[ ] Fail"&amp;IF(Checks!$AT$538=1,CHAR(10)&amp;"[ ] N/A","")&amp;CHAR(10)&amp;"CA: Open / Closed"))</f>
        <v>[ ] Pass
[ ] Pass after CA
[ ] Fail
CA: Open / Closed</v>
      </c>
      <c r="E31" s="120" t="str">
        <f aca="false">IF(Checks!$V$538="","",Checks!$V$538)&amp;IF(Checks!$AC$538="","",IF(Checks!$V$538="","",CHAR(10))&amp;"N/A just.: "&amp;Checks!$AC$538)&amp;IF(OR(Checks!$W$538&lt;&gt;"",AND(Checks!$AQ$538=1,NOT(LEFT(Checks!$AH$538,10)="N/A – RULE"))),CHAR(10)&amp;"Batch: "&amp;IF(Checks!$W$538="","____________",Checks!$W$538),"")&amp;IF(OR(Checks!$X$538&lt;&gt;"",Checks!$Y$538&lt;&gt;"",AND(Checks!$AR$538=1,NOT(LEFT(Checks!$AH$538,10)="N/A – RULE"))),CHAR(10)&amp;"Exp: "&amp;IF(Checks!$X$538="","______",Checks!$X$538)&amp;"  /  Act: "&amp;IF(Checks!$Y$538="","______",Checks!$Y$538),"")</f>
        <v/>
      </c>
      <c r="F31" s="120" t="str">
        <f aca="false">IF(AND(LEFT(Checks!$AH$538,10)="N/A – RULE",TRIM(Checks!$S$538&amp;Checks!$Z$538)=""),"","Type: "&amp;IF(TRIM(Checks!$S$538)="","______________ (see cover list)",Checks!$S$538)&amp;CHAR(10)&amp;"ID: "&amp;IF(TRIM(Checks!$Z$538)="","______________ (record's own no.)",Checks!$Z$538))&amp;IF(Checks!$AA$538="","",CHAR(10)&amp;"CA: "&amp;Checks!$AA$538)</f>
        <v>Type: ______________ (see cover list)
ID: ______________ (record's own no.)</v>
      </c>
      <c r="G31" s="120" t="str">
        <f aca="false">IF(AND(LEFT(Checks!$AH$538,10)="N/A – RULE",NOT(ISNUMBER(Checks!$AD$538)),Checks!$AE$538="",Checks!$T$538=""),"","Done: "&amp;IF(ISNUMBER(Checks!$AD$538),TEXT(Checks!$AD$538,"DD-MMM-YY HH:MM"),"____________")&amp;" "&amp;Checks!$P$538&amp;CHAR(10)&amp;"Verifier: "&amp;IF(Checks!$AE$538="","____________",Checks!$AE$538)&amp;CHAR(10)&amp;"PIC: "&amp;IF(Checks!$T$538="","____________",Checks!$T$538))</f>
        <v>Done: ____________ HKG
Verifier: ____________
PIC: ____________</v>
      </c>
      <c r="H31" s="121" t="str">
        <f aca="false">IF(Checks!$AH$538="","",Checks!$AH$538)</f>
        <v>OPEN</v>
      </c>
    </row>
    <row r="32" customFormat="false" ht="114" hidden="false" customHeight="true" outlineLevel="0" collapsed="false">
      <c r="A32" s="120" t="str">
        <f aca="false">Checks!$A$539&amp;CHAR(10)&amp;IF(Checks!$I$539="","",Checks!$I$539&amp;": ")&amp;Checks!$J$539</f>
        <v>F17-T7-09
Uplift plan: Uplift plan confirmed with caterer vs STD Uplift Information</v>
      </c>
      <c r="B32" s="120" t="str">
        <f aca="false">Checks!$K$539&amp;IF(Checks!$O$539="","",IF(Checks!$K$539="","",CHAR(10))&amp;"Note: "&amp;Checks!$O$539)</f>
        <v>Service: 1 Meal + DAT(Noodles Svc) (Meal); meal uplift stn HKG (ref lists KUL/HKG)</v>
      </c>
      <c r="C32" s="120" t="str">
        <f aca="false">Checks!$N$539&amp;CHAR(10)&amp;IF(ISNUMBER(Checks!$R$539),TEXT(Checks!$R$539,"DD-MMM-YY HH:MM"),"")&amp;" "&amp;Checks!$P$539</f>
        <v>Required
20-Oct-26 14:50 HKG</v>
      </c>
      <c r="D32" s="120" t="str">
        <f aca="false">IF(TRIM(Checks!$U$539)&lt;&gt;"",Checks!$U$539&amp;IF(Checks!$AB$539="","",CHAR(10)&amp;"CA: "&amp;Checks!$AB$539),IF(LEFT(Checks!$AH$539,10)="N/A – RULE","","[ ] Pass"&amp;CHAR(10)&amp;"[ ] Pass after CA"&amp;CHAR(10)&amp;"[ ] Fail"&amp;IF(Checks!$AT$539=1,CHAR(10)&amp;"[ ] N/A","")&amp;CHAR(10)&amp;"CA: Open / Closed"))</f>
        <v>[ ] Pass
[ ] Pass after CA
[ ] Fail
CA: Open / Closed</v>
      </c>
      <c r="E32" s="120" t="str">
        <f aca="false">IF(Checks!$V$539="","",Checks!$V$539)&amp;IF(Checks!$AC$539="","",IF(Checks!$V$539="","",CHAR(10))&amp;"N/A just.: "&amp;Checks!$AC$539)&amp;IF(OR(Checks!$W$539&lt;&gt;"",AND(Checks!$AQ$539=1,NOT(LEFT(Checks!$AH$539,10)="N/A – RULE"))),CHAR(10)&amp;"Batch: "&amp;IF(Checks!$W$539="","____________",Checks!$W$539),"")&amp;IF(OR(Checks!$X$539&lt;&gt;"",Checks!$Y$539&lt;&gt;"",AND(Checks!$AR$539=1,NOT(LEFT(Checks!$AH$539,10)="N/A – RULE"))),CHAR(10)&amp;"Exp: "&amp;IF(Checks!$X$539="","______",Checks!$X$539)&amp;"  /  Act: "&amp;IF(Checks!$Y$539="","______",Checks!$Y$539),"")</f>
        <v/>
      </c>
      <c r="F32" s="120" t="str">
        <f aca="false">IF(AND(LEFT(Checks!$AH$539,10)="N/A – RULE",TRIM(Checks!$S$539&amp;Checks!$Z$539)=""),"","Type: "&amp;IF(TRIM(Checks!$S$539)="","______________ (see cover list)",Checks!$S$539)&amp;CHAR(10)&amp;"ID: "&amp;IF(TRIM(Checks!$Z$539)="","______________ (record's own no.)",Checks!$Z$539))&amp;IF(Checks!$AA$539="","",CHAR(10)&amp;"CA: "&amp;Checks!$AA$539)</f>
        <v>Type: ______________ (see cover list)
ID: ______________ (record's own no.)</v>
      </c>
      <c r="G32" s="120" t="str">
        <f aca="false">IF(AND(LEFT(Checks!$AH$539,10)="N/A – RULE",NOT(ISNUMBER(Checks!$AD$539)),Checks!$AE$539="",Checks!$T$539=""),"","Done: "&amp;IF(ISNUMBER(Checks!$AD$539),TEXT(Checks!$AD$539,"DD-MMM-YY HH:MM"),"____________")&amp;" "&amp;Checks!$P$539&amp;CHAR(10)&amp;"Verifier: "&amp;IF(Checks!$AE$539="","____________",Checks!$AE$539)&amp;CHAR(10)&amp;"PIC: "&amp;IF(Checks!$T$539="","____________",Checks!$T$539))</f>
        <v>Done: ____________ HKG
Verifier: ____________
PIC: ____________</v>
      </c>
      <c r="H32" s="121" t="str">
        <f aca="false">IF(Checks!$AH$539="","",Checks!$AH$539)</f>
        <v>OPEN</v>
      </c>
    </row>
    <row r="33" customFormat="false" ht="279" hidden="false" customHeight="true" outlineLevel="0" collapsed="false">
      <c r="A33" s="120" t="str">
        <f aca="false">Checks!$A$540&amp;CHAR(10)&amp;IF(Checks!$I$540="","",Checks!$I$540&amp;": ")&amp;Checks!$J$540</f>
        <v>F17-T7-10
Uplift plan: Inbound KUL-HKG flight carrying KUL-sourced items identified and its KUL departure (UTC) entered on Flights col AX</v>
      </c>
      <c r="B33" s="120" t="str">
        <f aca="false">SUBSTITUTE(Checks!$K$540&amp;IF(Checks!$O$540="","",IF(Checks!$K$540="","",CHAR(10))&amp;"Note: "&amp;Checks!$O$540),"until Flights AX holds","until the workbook (Flights sheet) holds")</f>
        <v>KUL-sourced items (Slippers (BS/BC) - Dispo slipper) travel on the inbound KUL-HKG sector
Note: Cannot be passed until the workbook (Flights sheet) holds the carrying flight's KUL departure (agenda candidate MH0072 26-Oct (F16)). Until then the prep and KUL-loading dues assume the agenda candidate's KUL departure, or if none, the latest possible one (STD minus the shortest agenda KUL-HKG block).</v>
      </c>
      <c r="C33" s="120" t="str">
        <f aca="false">Checks!$N$540&amp;CHAR(10)&amp;IF(ISNUMBER(Checks!$R$540),TEXT(Checks!$R$540,"DD-MMM-YY HH:MM"),"")&amp;" "&amp;Checks!$P$540</f>
        <v>Clarification required
20-Oct-26 14:50 KUL</v>
      </c>
      <c r="D33" s="120" t="str">
        <f aca="false">IF(TRIM(Checks!$U$540)&lt;&gt;"",Checks!$U$540&amp;IF(Checks!$AB$540="","",CHAR(10)&amp;"CA: "&amp;Checks!$AB$540),IF(LEFT(Checks!$AH$540,10)="N/A – RULE","","[ ] Pass"&amp;CHAR(10)&amp;"[ ] Pass after CA"&amp;CHAR(10)&amp;"[ ] Fail"&amp;IF(Checks!$AT$540=1,CHAR(10)&amp;"[ ] N/A","")&amp;CHAR(10)&amp;"CA: Open / Closed"))</f>
        <v>[ ] Pass
[ ] Pass after CA
[ ] Fail
CA: Open / Closed</v>
      </c>
      <c r="E33" s="120" t="str">
        <f aca="false">IF(Checks!$V$540="","",Checks!$V$540)&amp;IF(Checks!$AC$540="","",IF(Checks!$V$540="","",CHAR(10))&amp;"N/A just.: "&amp;Checks!$AC$540)&amp;IF(OR(Checks!$W$540&lt;&gt;"",AND(Checks!$AQ$540=1,NOT(LEFT(Checks!$AH$540,10)="N/A – RULE"))),CHAR(10)&amp;"Batch: "&amp;IF(Checks!$W$540="","____________",Checks!$W$540),"")&amp;IF(OR(Checks!$X$540&lt;&gt;"",Checks!$Y$540&lt;&gt;"",AND(Checks!$AR$540=1,NOT(LEFT(Checks!$AH$540,10)="N/A – RULE"))),CHAR(10)&amp;"Exp: "&amp;IF(Checks!$X$540="","______",Checks!$X$540)&amp;"  /  Act: "&amp;IF(Checks!$Y$540="","______",Checks!$Y$540),"")</f>
        <v/>
      </c>
      <c r="F33" s="120" t="str">
        <f aca="false">IF(AND(LEFT(Checks!$AH$540,10)="N/A – RULE",TRIM(Checks!$S$540&amp;Checks!$Z$540)=""),"","Type: "&amp;IF(TRIM(Checks!$S$540)="","______________ (see cover list)",Checks!$S$540)&amp;CHAR(10)&amp;"ID: "&amp;IF(TRIM(Checks!$Z$540)="","______________ (record's own no.)",Checks!$Z$540))&amp;IF(Checks!$AA$540="","",CHAR(10)&amp;"CA: "&amp;Checks!$AA$540)</f>
        <v>Type: ______________ (see cover list)
ID: ______________ (record's own no.)</v>
      </c>
      <c r="G33" s="120" t="str">
        <f aca="false">IF(AND(LEFT(Checks!$AH$540,10)="N/A – RULE",NOT(ISNUMBER(Checks!$AD$540)),Checks!$AE$540="",Checks!$T$540=""),"","Done: "&amp;IF(ISNUMBER(Checks!$AD$540),TEXT(Checks!$AD$540,"DD-MMM-YY HH:MM"),"____________")&amp;" "&amp;Checks!$P$540&amp;CHAR(10)&amp;"Verifier: "&amp;IF(Checks!$AE$540="","____________",Checks!$AE$540)&amp;CHAR(10)&amp;"PIC: "&amp;IF(Checks!$T$540="","____________",Checks!$T$540))</f>
        <v>Done: ____________ KUL
Verifier: ____________
PIC: ____________</v>
      </c>
      <c r="H33" s="121" t="str">
        <f aca="false">IF(Checks!$AH$540="","",Checks!$AH$540)</f>
        <v>OPEN – CLARIFICATION</v>
      </c>
    </row>
    <row r="34" customFormat="false" ht="25.5" hidden="false" customHeight="true" outlineLevel="0" collapsed="false">
      <c r="A34" s="119" t="str">
        <f aca="false">"T-24H — Production batch sensory  |  Due "&amp;IF(ISNUMBER(Flights!$AH$21),TEXT(Flights!$AH$21,"DD-MMM-YY HH:MM"),"")&amp;" "&amp;Flights!$V$21&amp;" (meal uplift stn)"&amp;" (rows with another due show their own)  |  Complete "&amp;IF(ISNUMBER(Flights!$AK$21),TEXT(Flights!$AK$21,"0%"),Flights!$AK$21)&amp;"  |  1 lines"</f>
        <v>T-24H — Production batch sensory  |  Due 26-Oct-26 14:50 HKG (meal uplift stn) (rows with another due show their own)  |  Complete 0%  |  1 lines</v>
      </c>
      <c r="B34" s="119"/>
      <c r="C34" s="119"/>
      <c r="D34" s="119"/>
      <c r="E34" s="119"/>
      <c r="F34" s="119"/>
      <c r="G34" s="119"/>
      <c r="H34" s="119"/>
    </row>
    <row r="35" customFormat="false" ht="114" hidden="false" customHeight="true" outlineLevel="0" collapsed="false">
      <c r="A35" s="120" t="str">
        <f aca="false">Checks!$A$541&amp;CHAR(10)&amp;IF(Checks!$I$541="","",Checks!$I$541&amp;": ")&amp;Checks!$J$541</f>
        <v>F17-T24-01
Meal: Sensory test repeated on ACTUAL production batch for this flight</v>
      </c>
      <c r="B35" s="120" t="str">
        <f aca="false">Checks!$K$541&amp;IF(Checks!$O$541="","",IF(Checks!$K$541="","",CHAR(10))&amp;"Note: "&amp;Checks!$O$541)</f>
        <v>Batch ID, result, CA and acceptance mandatory</v>
      </c>
      <c r="C35" s="120" t="str">
        <f aca="false">Checks!$N$541&amp;CHAR(10)&amp;IF(ISNUMBER(Checks!$R$541),TEXT(Checks!$R$541,"DD-MMM-YY HH:MM"),"")&amp;" "&amp;Checks!$P$541</f>
        <v>Required
26-Oct-26 14:50 HKG</v>
      </c>
      <c r="D35" s="120" t="str">
        <f aca="false">IF(TRIM(Checks!$U$541)&lt;&gt;"",Checks!$U$541&amp;IF(Checks!$AB$541="","",CHAR(10)&amp;"CA: "&amp;Checks!$AB$541),IF(LEFT(Checks!$AH$541,10)="N/A – RULE","","[ ] Pass"&amp;CHAR(10)&amp;"[ ] Pass after CA"&amp;CHAR(10)&amp;"[ ] Fail"&amp;IF(Checks!$AT$541=1,CHAR(10)&amp;"[ ] N/A","")&amp;CHAR(10)&amp;"CA: Open / Closed"))</f>
        <v>[ ] Pass
[ ] Pass after CA
[ ] Fail
CA: Open / Closed</v>
      </c>
      <c r="E35" s="120" t="str">
        <f aca="false">IF(Checks!$V$541="","",Checks!$V$541)&amp;IF(Checks!$AC$541="","",IF(Checks!$V$541="","",CHAR(10))&amp;"N/A just.: "&amp;Checks!$AC$541)&amp;IF(OR(Checks!$W$541&lt;&gt;"",AND(Checks!$AQ$541=1,NOT(LEFT(Checks!$AH$541,10)="N/A – RULE"))),CHAR(10)&amp;"Batch: "&amp;IF(Checks!$W$541="","____________",Checks!$W$541),"")&amp;IF(OR(Checks!$X$541&lt;&gt;"",Checks!$Y$541&lt;&gt;"",AND(Checks!$AR$541=1,NOT(LEFT(Checks!$AH$541,10)="N/A – RULE"))),CHAR(10)&amp;"Exp: "&amp;IF(Checks!$X$541="","______",Checks!$X$541)&amp;"  /  Act: "&amp;IF(Checks!$Y$541="","______",Checks!$Y$541),"")</f>
        <v>
Batch: ____________</v>
      </c>
      <c r="F35" s="120" t="str">
        <f aca="false">IF(AND(LEFT(Checks!$AH$541,10)="N/A – RULE",TRIM(Checks!$S$541&amp;Checks!$Z$541)=""),"","Type: "&amp;IF(TRIM(Checks!$S$541)="","______________ (see cover list)",Checks!$S$541)&amp;CHAR(10)&amp;"ID: "&amp;IF(TRIM(Checks!$Z$541)="","______________ (record's own no.)",Checks!$Z$541))&amp;IF(Checks!$AA$541="","",CHAR(10)&amp;"CA: "&amp;Checks!$AA$541)</f>
        <v>Type: ______________ (see cover list)
ID: ______________ (record's own no.)</v>
      </c>
      <c r="G35" s="120" t="str">
        <f aca="false">IF(AND(LEFT(Checks!$AH$541,10)="N/A – RULE",NOT(ISNUMBER(Checks!$AD$541)),Checks!$AE$541="",Checks!$T$541=""),"","Done: "&amp;IF(ISNUMBER(Checks!$AD$541),TEXT(Checks!$AD$541,"DD-MMM-YY HH:MM"),"____________")&amp;" "&amp;Checks!$P$541&amp;CHAR(10)&amp;"Verifier: "&amp;IF(Checks!$AE$541="","____________",Checks!$AE$541)&amp;CHAR(10)&amp;"PIC: "&amp;IF(Checks!$T$541="","____________",Checks!$T$541))</f>
        <v>Done: ____________ HKG
Verifier: ____________
PIC: ____________</v>
      </c>
      <c r="H35" s="121" t="str">
        <f aca="false">IF(Checks!$AH$541="","",Checks!$AH$541)</f>
        <v>OPEN</v>
      </c>
    </row>
    <row r="36" customFormat="false" ht="25.5" hidden="false" customHeight="true" outlineLevel="0" collapsed="false">
      <c r="A36" s="119" t="str">
        <f aca="false">"T-12H PREP — Preparation check at caterer (does NOT confirm loading)  |  Due "&amp;IF(ISNUMBER(Flights!$AI$21),TEXT(Flights!$AI$21,"DD-MMM-YY HH:MM"),"")&amp;" "&amp;Flights!$V$21&amp;" (meal uplift stn)"&amp;" (rows with another due show their own)  |  Complete "&amp;IF(ISNUMBER(Flights!$AL$21),TEXT(Flights!$AL$21,"0%"),Flights!$AL$21)&amp;"  |  18 lines"</f>
        <v>T-12H PREP — Preparation check at caterer (does NOT confirm loading)  |  Due 27-Oct-26 02:50 HKG (meal uplift stn) (rows with another due show their own)  |  Complete 0%  |  18 lines</v>
      </c>
      <c r="B36" s="119"/>
      <c r="C36" s="119"/>
      <c r="D36" s="119"/>
      <c r="E36" s="119"/>
      <c r="F36" s="119"/>
      <c r="G36" s="119"/>
      <c r="H36" s="119"/>
    </row>
    <row r="37" customFormat="false" ht="114" hidden="false" customHeight="true" outlineLevel="0" collapsed="false">
      <c r="A37" s="120" t="str">
        <f aca="false">Checks!$A$542&amp;CHAR(10)&amp;IF(Checks!$I$542="","",Checks!$I$542&amp;": ")&amp;Checks!$J$542</f>
        <v>F17-T12-01
Meal: Meal quality vs menu checklist</v>
      </c>
      <c r="B37" s="120" t="str">
        <f aca="false">Checks!$K$542&amp;IF(Checks!$O$542="","",IF(Checks!$K$542="","",CHAR(10))&amp;"Note: "&amp;Checks!$O$542)</f>
        <v>Note: Preparation check at caterer - does NOT confirm loading.</v>
      </c>
      <c r="C37" s="120" t="str">
        <f aca="false">Checks!$N$542&amp;CHAR(10)&amp;IF(ISNUMBER(Checks!$R$542),TEXT(Checks!$R$542,"DD-MMM-YY HH:MM"),"")&amp;" "&amp;Checks!$P$542</f>
        <v>Required
27-Oct-26 02:50 HKG</v>
      </c>
      <c r="D37" s="120" t="str">
        <f aca="false">IF(TRIM(Checks!$U$542)&lt;&gt;"",Checks!$U$542&amp;IF(Checks!$AB$542="","",CHAR(10)&amp;"CA: "&amp;Checks!$AB$542),IF(LEFT(Checks!$AH$542,10)="N/A – RULE","","[ ] Pass"&amp;CHAR(10)&amp;"[ ] Pass after CA"&amp;CHAR(10)&amp;"[ ] Fail"&amp;IF(Checks!$AT$542=1,CHAR(10)&amp;"[ ] N/A","")&amp;CHAR(10)&amp;"CA: Open / Closed"))</f>
        <v>[ ] Pass
[ ] Pass after CA
[ ] Fail
CA: Open / Closed</v>
      </c>
      <c r="E37" s="120" t="str">
        <f aca="false">IF(Checks!$V$542="","",Checks!$V$542)&amp;IF(Checks!$AC$542="","",IF(Checks!$V$542="","",CHAR(10))&amp;"N/A just.: "&amp;Checks!$AC$542)&amp;IF(OR(Checks!$W$542&lt;&gt;"",AND(Checks!$AQ$542=1,NOT(LEFT(Checks!$AH$542,10)="N/A – RULE"))),CHAR(10)&amp;"Batch: "&amp;IF(Checks!$W$542="","____________",Checks!$W$542),"")&amp;IF(OR(Checks!$X$542&lt;&gt;"",Checks!$Y$542&lt;&gt;"",AND(Checks!$AR$542=1,NOT(LEFT(Checks!$AH$542,10)="N/A – RULE"))),CHAR(10)&amp;"Exp: "&amp;IF(Checks!$X$542="","______",Checks!$X$542)&amp;"  /  Act: "&amp;IF(Checks!$Y$542="","______",Checks!$Y$542),"")</f>
        <v/>
      </c>
      <c r="F37" s="120" t="str">
        <f aca="false">IF(AND(LEFT(Checks!$AH$542,10)="N/A – RULE",TRIM(Checks!$S$542&amp;Checks!$Z$542)=""),"","Type: "&amp;IF(TRIM(Checks!$S$542)="","______________ (see cover list)",Checks!$S$542)&amp;CHAR(10)&amp;"ID: "&amp;IF(TRIM(Checks!$Z$542)="","______________ (record's own no.)",Checks!$Z$542))&amp;IF(Checks!$AA$542="","",CHAR(10)&amp;"CA: "&amp;Checks!$AA$542)</f>
        <v>Type: ______________ (see cover list)
ID: ______________ (record's own no.)</v>
      </c>
      <c r="G37" s="120" t="str">
        <f aca="false">IF(AND(LEFT(Checks!$AH$542,10)="N/A – RULE",NOT(ISNUMBER(Checks!$AD$542)),Checks!$AE$542="",Checks!$T$542=""),"","Done: "&amp;IF(ISNUMBER(Checks!$AD$542),TEXT(Checks!$AD$542,"DD-MMM-YY HH:MM"),"____________")&amp;" "&amp;Checks!$P$542&amp;CHAR(10)&amp;"Verifier: "&amp;IF(Checks!$AE$542="","____________",Checks!$AE$542)&amp;CHAR(10)&amp;"PIC: "&amp;IF(Checks!$T$542="","____________",Checks!$T$542))</f>
        <v>Done: ____________ HKG
Verifier: ____________
PIC: ____________</v>
      </c>
      <c r="H37" s="121" t="str">
        <f aca="false">IF(Checks!$AH$542="","",Checks!$AH$542)</f>
        <v>OPEN</v>
      </c>
    </row>
    <row r="38" customFormat="false" ht="114" hidden="false" customHeight="true" outlineLevel="0" collapsed="false">
      <c r="A38" s="120" t="str">
        <f aca="false">Checks!$A$543&amp;CHAR(10)&amp;IF(Checks!$I$543="","",Checks!$I$543&amp;": ")&amp;Checks!$J$543</f>
        <v>F17-T12-02
Meal: Meal quantities vs menu checklist</v>
      </c>
      <c r="B38" s="120" t="str">
        <f aca="false">Checks!$K$543&amp;IF(Checks!$O$543="","",IF(Checks!$K$543="","",CHAR(10))&amp;"Note: "&amp;Checks!$O$543)</f>
        <v>Enter expected &amp; actual
Note: Preparation check at caterer - does NOT confirm loading.</v>
      </c>
      <c r="C38" s="120" t="str">
        <f aca="false">Checks!$N$543&amp;CHAR(10)&amp;IF(ISNUMBER(Checks!$R$543),TEXT(Checks!$R$543,"DD-MMM-YY HH:MM"),"")&amp;" "&amp;Checks!$P$543</f>
        <v>Required
27-Oct-26 02:50 HKG</v>
      </c>
      <c r="D38" s="120" t="str">
        <f aca="false">IF(TRIM(Checks!$U$543)&lt;&gt;"",Checks!$U$543&amp;IF(Checks!$AB$543="","",CHAR(10)&amp;"CA: "&amp;Checks!$AB$543),IF(LEFT(Checks!$AH$543,10)="N/A – RULE","","[ ] Pass"&amp;CHAR(10)&amp;"[ ] Pass after CA"&amp;CHAR(10)&amp;"[ ] Fail"&amp;IF(Checks!$AT$543=1,CHAR(10)&amp;"[ ] N/A","")&amp;CHAR(10)&amp;"CA: Open / Closed"))</f>
        <v>[ ] Pass
[ ] Pass after CA
[ ] Fail
CA: Open / Closed</v>
      </c>
      <c r="E38" s="120" t="str">
        <f aca="false">IF(Checks!$V$543="","",Checks!$V$543)&amp;IF(Checks!$AC$543="","",IF(Checks!$V$543="","",CHAR(10))&amp;"N/A just.: "&amp;Checks!$AC$543)&amp;IF(OR(Checks!$W$543&lt;&gt;"",AND(Checks!$AQ$543=1,NOT(LEFT(Checks!$AH$543,10)="N/A – RULE"))),CHAR(10)&amp;"Batch: "&amp;IF(Checks!$W$543="","____________",Checks!$W$543),"")&amp;IF(OR(Checks!$X$543&lt;&gt;"",Checks!$Y$543&lt;&gt;"",AND(Checks!$AR$543=1,NOT(LEFT(Checks!$AH$543,10)="N/A – RULE"))),CHAR(10)&amp;"Exp: "&amp;IF(Checks!$X$543="","______",Checks!$X$543)&amp;"  /  Act: "&amp;IF(Checks!$Y$543="","______",Checks!$Y$543),"")</f>
        <v>
Exp: ______  /  Act: ______</v>
      </c>
      <c r="F38" s="120" t="str">
        <f aca="false">IF(AND(LEFT(Checks!$AH$543,10)="N/A – RULE",TRIM(Checks!$S$543&amp;Checks!$Z$543)=""),"","Type: "&amp;IF(TRIM(Checks!$S$543)="","______________ (see cover list)",Checks!$S$543)&amp;CHAR(10)&amp;"ID: "&amp;IF(TRIM(Checks!$Z$543)="","______________ (record's own no.)",Checks!$Z$543))&amp;IF(Checks!$AA$543="","",CHAR(10)&amp;"CA: "&amp;Checks!$AA$543)</f>
        <v>Type: ______________ (see cover list)
ID: ______________ (record's own no.)</v>
      </c>
      <c r="G38" s="120" t="str">
        <f aca="false">IF(AND(LEFT(Checks!$AH$543,10)="N/A – RULE",NOT(ISNUMBER(Checks!$AD$543)),Checks!$AE$543="",Checks!$T$543=""),"","Done: "&amp;IF(ISNUMBER(Checks!$AD$543),TEXT(Checks!$AD$543,"DD-MMM-YY HH:MM"),"____________")&amp;" "&amp;Checks!$P$543&amp;CHAR(10)&amp;"Verifier: "&amp;IF(Checks!$AE$543="","____________",Checks!$AE$543)&amp;CHAR(10)&amp;"PIC: "&amp;IF(Checks!$T$543="","____________",Checks!$T$543))</f>
        <v>Done: ____________ HKG
Verifier: ____________
PIC: ____________</v>
      </c>
      <c r="H38" s="121" t="str">
        <f aca="false">IF(Checks!$AH$543="","",Checks!$AH$543)</f>
        <v>OPEN</v>
      </c>
    </row>
    <row r="39" customFormat="false" ht="114" hidden="false" customHeight="true" outlineLevel="0" collapsed="false">
      <c r="A39" s="120" t="str">
        <f aca="false">Checks!$A$544&amp;CHAR(10)&amp;IF(Checks!$I$544="","",Checks!$I$544&amp;": ")&amp;Checks!$J$544</f>
        <v>F17-T12-03
Equipment: Equipment cleanliness vs GLD</v>
      </c>
      <c r="B39" s="120" t="str">
        <f aca="false">Checks!$K$544&amp;IF(Checks!$O$544="","",IF(Checks!$K$544="","",CHAR(10))&amp;"Note: "&amp;Checks!$O$544)</f>
        <v>Note: Preparation check at caterer - does NOT confirm loading.</v>
      </c>
      <c r="C39" s="120" t="str">
        <f aca="false">Checks!$N$544&amp;CHAR(10)&amp;IF(ISNUMBER(Checks!$R$544),TEXT(Checks!$R$544,"DD-MMM-YY HH:MM"),"")&amp;" "&amp;Checks!$P$544</f>
        <v>Required
27-Oct-26 02:50 HKG</v>
      </c>
      <c r="D39" s="120" t="str">
        <f aca="false">IF(TRIM(Checks!$U$544)&lt;&gt;"",Checks!$U$544&amp;IF(Checks!$AB$544="","",CHAR(10)&amp;"CA: "&amp;Checks!$AB$544),IF(LEFT(Checks!$AH$544,10)="N/A – RULE","","[ ] Pass"&amp;CHAR(10)&amp;"[ ] Pass after CA"&amp;CHAR(10)&amp;"[ ] Fail"&amp;IF(Checks!$AT$544=1,CHAR(10)&amp;"[ ] N/A","")&amp;CHAR(10)&amp;"CA: Open / Closed"))</f>
        <v>[ ] Pass
[ ] Pass after CA
[ ] Fail
CA: Open / Closed</v>
      </c>
      <c r="E39" s="120" t="str">
        <f aca="false">IF(Checks!$V$544="","",Checks!$V$544)&amp;IF(Checks!$AC$544="","",IF(Checks!$V$544="","",CHAR(10))&amp;"N/A just.: "&amp;Checks!$AC$544)&amp;IF(OR(Checks!$W$544&lt;&gt;"",AND(Checks!$AQ$544=1,NOT(LEFT(Checks!$AH$544,10)="N/A – RULE"))),CHAR(10)&amp;"Batch: "&amp;IF(Checks!$W$544="","____________",Checks!$W$544),"")&amp;IF(OR(Checks!$X$544&lt;&gt;"",Checks!$Y$544&lt;&gt;"",AND(Checks!$AR$544=1,NOT(LEFT(Checks!$AH$544,10)="N/A – RULE"))),CHAR(10)&amp;"Exp: "&amp;IF(Checks!$X$544="","______",Checks!$X$544)&amp;"  /  Act: "&amp;IF(Checks!$Y$544="","______",Checks!$Y$544),"")</f>
        <v/>
      </c>
      <c r="F39" s="120" t="str">
        <f aca="false">IF(AND(LEFT(Checks!$AH$544,10)="N/A – RULE",TRIM(Checks!$S$544&amp;Checks!$Z$544)=""),"","Type: "&amp;IF(TRIM(Checks!$S$544)="","______________ (see cover list)",Checks!$S$544)&amp;CHAR(10)&amp;"ID: "&amp;IF(TRIM(Checks!$Z$544)="","______________ (record's own no.)",Checks!$Z$544))&amp;IF(Checks!$AA$544="","",CHAR(10)&amp;"CA: "&amp;Checks!$AA$544)</f>
        <v>Type: ______________ (see cover list)
ID: ______________ (record's own no.)</v>
      </c>
      <c r="G39" s="120" t="str">
        <f aca="false">IF(AND(LEFT(Checks!$AH$544,10)="N/A – RULE",NOT(ISNUMBER(Checks!$AD$544)),Checks!$AE$544="",Checks!$T$544=""),"","Done: "&amp;IF(ISNUMBER(Checks!$AD$544),TEXT(Checks!$AD$544,"DD-MMM-YY HH:MM"),"____________")&amp;" "&amp;Checks!$P$544&amp;CHAR(10)&amp;"Verifier: "&amp;IF(Checks!$AE$544="","____________",Checks!$AE$544)&amp;CHAR(10)&amp;"PIC: "&amp;IF(Checks!$T$544="","____________",Checks!$T$544))</f>
        <v>Done: ____________ HKG
Verifier: ____________
PIC: ____________</v>
      </c>
      <c r="H39" s="121" t="str">
        <f aca="false">IF(Checks!$AH$544="","",Checks!$AH$544)</f>
        <v>OPEN</v>
      </c>
    </row>
    <row r="40" customFormat="false" ht="114" hidden="false" customHeight="true" outlineLevel="0" collapsed="false">
      <c r="A40" s="120" t="str">
        <f aca="false">Checks!$A$545&amp;CHAR(10)&amp;IF(Checks!$I$545="","",Checks!$I$545&amp;": ")&amp;Checks!$J$545</f>
        <v>F17-T12-04
Equipment: Equipment presentation vs GLD</v>
      </c>
      <c r="B40" s="120" t="str">
        <f aca="false">Checks!$K$545&amp;IF(Checks!$O$545="","",IF(Checks!$K$545="","",CHAR(10))&amp;"Note: "&amp;Checks!$O$545)</f>
        <v>Note: Preparation check at caterer - does NOT confirm loading.</v>
      </c>
      <c r="C40" s="120" t="str">
        <f aca="false">Checks!$N$545&amp;CHAR(10)&amp;IF(ISNUMBER(Checks!$R$545),TEXT(Checks!$R$545,"DD-MMM-YY HH:MM"),"")&amp;" "&amp;Checks!$P$545</f>
        <v>Required
27-Oct-26 02:50 HKG</v>
      </c>
      <c r="D40" s="120" t="str">
        <f aca="false">IF(TRIM(Checks!$U$545)&lt;&gt;"",Checks!$U$545&amp;IF(Checks!$AB$545="","",CHAR(10)&amp;"CA: "&amp;Checks!$AB$545),IF(LEFT(Checks!$AH$545,10)="N/A – RULE","","[ ] Pass"&amp;CHAR(10)&amp;"[ ] Pass after CA"&amp;CHAR(10)&amp;"[ ] Fail"&amp;IF(Checks!$AT$545=1,CHAR(10)&amp;"[ ] N/A","")&amp;CHAR(10)&amp;"CA: Open / Closed"))</f>
        <v>[ ] Pass
[ ] Pass after CA
[ ] Fail
CA: Open / Closed</v>
      </c>
      <c r="E40" s="120" t="str">
        <f aca="false">IF(Checks!$V$545="","",Checks!$V$545)&amp;IF(Checks!$AC$545="","",IF(Checks!$V$545="","",CHAR(10))&amp;"N/A just.: "&amp;Checks!$AC$545)&amp;IF(OR(Checks!$W$545&lt;&gt;"",AND(Checks!$AQ$545=1,NOT(LEFT(Checks!$AH$545,10)="N/A – RULE"))),CHAR(10)&amp;"Batch: "&amp;IF(Checks!$W$545="","____________",Checks!$W$545),"")&amp;IF(OR(Checks!$X$545&lt;&gt;"",Checks!$Y$545&lt;&gt;"",AND(Checks!$AR$545=1,NOT(LEFT(Checks!$AH$545,10)="N/A – RULE"))),CHAR(10)&amp;"Exp: "&amp;IF(Checks!$X$545="","______",Checks!$X$545)&amp;"  /  Act: "&amp;IF(Checks!$Y$545="","______",Checks!$Y$545),"")</f>
        <v/>
      </c>
      <c r="F40" s="120" t="str">
        <f aca="false">IF(AND(LEFT(Checks!$AH$545,10)="N/A – RULE",TRIM(Checks!$S$545&amp;Checks!$Z$545)=""),"","Type: "&amp;IF(TRIM(Checks!$S$545)="","______________ (see cover list)",Checks!$S$545)&amp;CHAR(10)&amp;"ID: "&amp;IF(TRIM(Checks!$Z$545)="","______________ (record's own no.)",Checks!$Z$545))&amp;IF(Checks!$AA$545="","",CHAR(10)&amp;"CA: "&amp;Checks!$AA$545)</f>
        <v>Type: ______________ (see cover list)
ID: ______________ (record's own no.)</v>
      </c>
      <c r="G40" s="120" t="str">
        <f aca="false">IF(AND(LEFT(Checks!$AH$545,10)="N/A – RULE",NOT(ISNUMBER(Checks!$AD$545)),Checks!$AE$545="",Checks!$T$545=""),"","Done: "&amp;IF(ISNUMBER(Checks!$AD$545),TEXT(Checks!$AD$545,"DD-MMM-YY HH:MM"),"____________")&amp;" "&amp;Checks!$P$545&amp;CHAR(10)&amp;"Verifier: "&amp;IF(Checks!$AE$545="","____________",Checks!$AE$545)&amp;CHAR(10)&amp;"PIC: "&amp;IF(Checks!$T$545="","____________",Checks!$T$545))</f>
        <v>Done: ____________ HKG
Verifier: ____________
PIC: ____________</v>
      </c>
      <c r="H40" s="121" t="str">
        <f aca="false">IF(Checks!$AH$545="","",Checks!$AH$545)</f>
        <v>OPEN</v>
      </c>
    </row>
    <row r="41" customFormat="false" ht="114" hidden="false" customHeight="true" outlineLevel="0" collapsed="false">
      <c r="A41" s="120" t="str">
        <f aca="false">Checks!$A$546&amp;CHAR(10)&amp;IF(Checks!$I$546="","",Checks!$I$546&amp;": ")&amp;Checks!$J$546</f>
        <v>F17-T12-05
Equipment: Equipment serviceability vs GLD</v>
      </c>
      <c r="B41" s="120" t="str">
        <f aca="false">Checks!$K$546&amp;IF(Checks!$O$546="","",IF(Checks!$K$546="","",CHAR(10))&amp;"Note: "&amp;Checks!$O$546)</f>
        <v>Note: Preparation check at caterer - does NOT confirm loading.</v>
      </c>
      <c r="C41" s="120" t="str">
        <f aca="false">Checks!$N$546&amp;CHAR(10)&amp;IF(ISNUMBER(Checks!$R$546),TEXT(Checks!$R$546,"DD-MMM-YY HH:MM"),"")&amp;" "&amp;Checks!$P$546</f>
        <v>Required
27-Oct-26 02:50 HKG</v>
      </c>
      <c r="D41" s="120" t="str">
        <f aca="false">IF(TRIM(Checks!$U$546)&lt;&gt;"",Checks!$U$546&amp;IF(Checks!$AB$546="","",CHAR(10)&amp;"CA: "&amp;Checks!$AB$546),IF(LEFT(Checks!$AH$546,10)="N/A – RULE","","[ ] Pass"&amp;CHAR(10)&amp;"[ ] Pass after CA"&amp;CHAR(10)&amp;"[ ] Fail"&amp;IF(Checks!$AT$546=1,CHAR(10)&amp;"[ ] N/A","")&amp;CHAR(10)&amp;"CA: Open / Closed"))</f>
        <v>[ ] Pass
[ ] Pass after CA
[ ] Fail
CA: Open / Closed</v>
      </c>
      <c r="E41" s="120" t="str">
        <f aca="false">IF(Checks!$V$546="","",Checks!$V$546)&amp;IF(Checks!$AC$546="","",IF(Checks!$V$546="","",CHAR(10))&amp;"N/A just.: "&amp;Checks!$AC$546)&amp;IF(OR(Checks!$W$546&lt;&gt;"",AND(Checks!$AQ$546=1,NOT(LEFT(Checks!$AH$546,10)="N/A – RULE"))),CHAR(10)&amp;"Batch: "&amp;IF(Checks!$W$546="","____________",Checks!$W$546),"")&amp;IF(OR(Checks!$X$546&lt;&gt;"",Checks!$Y$546&lt;&gt;"",AND(Checks!$AR$546=1,NOT(LEFT(Checks!$AH$546,10)="N/A – RULE"))),CHAR(10)&amp;"Exp: "&amp;IF(Checks!$X$546="","______",Checks!$X$546)&amp;"  /  Act: "&amp;IF(Checks!$Y$546="","______",Checks!$Y$546),"")</f>
        <v/>
      </c>
      <c r="F41" s="120" t="str">
        <f aca="false">IF(AND(LEFT(Checks!$AH$546,10)="N/A – RULE",TRIM(Checks!$S$546&amp;Checks!$Z$546)=""),"","Type: "&amp;IF(TRIM(Checks!$S$546)="","______________ (see cover list)",Checks!$S$546)&amp;CHAR(10)&amp;"ID: "&amp;IF(TRIM(Checks!$Z$546)="","______________ (record's own no.)",Checks!$Z$546))&amp;IF(Checks!$AA$546="","",CHAR(10)&amp;"CA: "&amp;Checks!$AA$546)</f>
        <v>Type: ______________ (see cover list)
ID: ______________ (record's own no.)</v>
      </c>
      <c r="G41" s="120" t="str">
        <f aca="false">IF(AND(LEFT(Checks!$AH$546,10)="N/A – RULE",NOT(ISNUMBER(Checks!$AD$546)),Checks!$AE$546="",Checks!$T$546=""),"","Done: "&amp;IF(ISNUMBER(Checks!$AD$546),TEXT(Checks!$AD$546,"DD-MMM-YY HH:MM"),"____________")&amp;" "&amp;Checks!$P$546&amp;CHAR(10)&amp;"Verifier: "&amp;IF(Checks!$AE$546="","____________",Checks!$AE$546)&amp;CHAR(10)&amp;"PIC: "&amp;IF(Checks!$T$546="","____________",Checks!$T$546))</f>
        <v>Done: ____________ HKG
Verifier: ____________
PIC: ____________</v>
      </c>
      <c r="H41" s="121" t="str">
        <f aca="false">IF(Checks!$AH$546="","",Checks!$AH$546)</f>
        <v>OPEN</v>
      </c>
    </row>
    <row r="42" customFormat="false" ht="180" hidden="false" customHeight="true" outlineLevel="0" collapsed="false">
      <c r="A42" s="120" t="str">
        <f aca="false">Checks!$A$547&amp;CHAR(10)&amp;IF(Checks!$I$547="","",Checks!$I$547&amp;": ")&amp;Checks!$J$547</f>
        <v>F17-T12-06
Equipment: Equipment quantities vs GLD</v>
      </c>
      <c r="B42" s="120" t="str">
        <f aca="false">SUBSTITUTE(SUBSTITUTE(SUBSTITUTE(SUBSTITUTE(SUBSTITUTE(SUBSTITUTE(SUBSTITUTE(Checks!$K$547&amp;IF(Checks!$O$547="","",IF(Checks!$K$547="","",CHAR(10))&amp;"Note: "&amp;Checks!$O$547),"ovens -,","ovens n/a,"),"fridges -,","fridges n/a,"),"makers -,","makers n/a,"),"espresso -,","espresso n/a,"),"trolleys -,","trolleys n/a,"),"headsets - (","headsets n/a (")," (AIRCRAFT TYPE!C16:R16)","")</f>
        <v>Enter expected &amp; actual. Aircraft galley data: B737-8 (B7M8): carts 10.5, SU 25, ovens 6, warming ovens n/a, fridges n/a, water heaters 3, beverage makers n/a, espresso n/a, folding trolleys n/a, headsets n/a
Note: Preparation check at caterer - does NOT confirm loading.</v>
      </c>
      <c r="C42" s="120" t="str">
        <f aca="false">Checks!$N$547&amp;CHAR(10)&amp;IF(ISNUMBER(Checks!$R$547),TEXT(Checks!$R$547,"DD-MMM-YY HH:MM"),"")&amp;" "&amp;Checks!$P$547</f>
        <v>Required
27-Oct-26 02:50 HKG</v>
      </c>
      <c r="D42" s="120" t="str">
        <f aca="false">IF(TRIM(Checks!$U$547)&lt;&gt;"",Checks!$U$547&amp;IF(Checks!$AB$547="","",CHAR(10)&amp;"CA: "&amp;Checks!$AB$547),IF(LEFT(Checks!$AH$547,10)="N/A – RULE","","[ ] Pass"&amp;CHAR(10)&amp;"[ ] Pass after CA"&amp;CHAR(10)&amp;"[ ] Fail"&amp;IF(Checks!$AT$547=1,CHAR(10)&amp;"[ ] N/A","")&amp;CHAR(10)&amp;"CA: Open / Closed"))</f>
        <v>[ ] Pass
[ ] Pass after CA
[ ] Fail
CA: Open / Closed</v>
      </c>
      <c r="E42" s="120" t="str">
        <f aca="false">IF(Checks!$V$547="","",Checks!$V$547)&amp;IF(Checks!$AC$547="","",IF(Checks!$V$547="","",CHAR(10))&amp;"N/A just.: "&amp;Checks!$AC$547)&amp;IF(OR(Checks!$W$547&lt;&gt;"",AND(Checks!$AQ$547=1,NOT(LEFT(Checks!$AH$547,10)="N/A – RULE"))),CHAR(10)&amp;"Batch: "&amp;IF(Checks!$W$547="","____________",Checks!$W$547),"")&amp;IF(OR(Checks!$X$547&lt;&gt;"",Checks!$Y$547&lt;&gt;"",AND(Checks!$AR$547=1,NOT(LEFT(Checks!$AH$547,10)="N/A – RULE"))),CHAR(10)&amp;"Exp: "&amp;IF(Checks!$X$547="","______",Checks!$X$547)&amp;"  /  Act: "&amp;IF(Checks!$Y$547="","______",Checks!$Y$547),"")</f>
        <v>
Exp: ______  /  Act: ______</v>
      </c>
      <c r="F42" s="120" t="str">
        <f aca="false">IF(AND(LEFT(Checks!$AH$547,10)="N/A – RULE",TRIM(Checks!$S$547&amp;Checks!$Z$547)=""),"","Type: "&amp;IF(TRIM(Checks!$S$547)="","______________ (see cover list)",Checks!$S$547)&amp;CHAR(10)&amp;"ID: "&amp;IF(TRIM(Checks!$Z$547)="","______________ (record's own no.)",Checks!$Z$547))&amp;IF(Checks!$AA$547="","",CHAR(10)&amp;"CA: "&amp;Checks!$AA$547)</f>
        <v>Type: ______________ (see cover list)
ID: ______________ (record's own no.)</v>
      </c>
      <c r="G42" s="120" t="str">
        <f aca="false">IF(AND(LEFT(Checks!$AH$547,10)="N/A – RULE",NOT(ISNUMBER(Checks!$AD$547)),Checks!$AE$547="",Checks!$T$547=""),"","Done: "&amp;IF(ISNUMBER(Checks!$AD$547),TEXT(Checks!$AD$547,"DD-MMM-YY HH:MM"),"____________")&amp;" "&amp;Checks!$P$547&amp;CHAR(10)&amp;"Verifier: "&amp;IF(Checks!$AE$547="","____________",Checks!$AE$547)&amp;CHAR(10)&amp;"PIC: "&amp;IF(Checks!$T$547="","____________",Checks!$T$547))</f>
        <v>Done: ____________ HKG
Verifier: ____________
PIC: ____________</v>
      </c>
      <c r="H42" s="121" t="str">
        <f aca="false">IF(Checks!$AH$547="","",Checks!$AH$547)</f>
        <v>OPEN</v>
      </c>
    </row>
    <row r="43" customFormat="false" ht="114" hidden="false" customHeight="true" outlineLevel="0" collapsed="false">
      <c r="A43" s="120" t="str">
        <f aca="false">Checks!$A$548&amp;CHAR(10)&amp;IF(Checks!$I$548="","",Checks!$I$548&amp;": ")&amp;Checks!$J$548</f>
        <v>F17-T12-07
Equipment: Loading positions planned vs GLD</v>
      </c>
      <c r="B43" s="120" t="str">
        <f aca="false">Checks!$K$548&amp;IF(Checks!$O$548="","",IF(Checks!$K$548="","",CHAR(10))&amp;"Note: "&amp;Checks!$O$548)</f>
        <v>Note: Preparation check at caterer - does NOT confirm loading.</v>
      </c>
      <c r="C43" s="120" t="str">
        <f aca="false">Checks!$N$548&amp;CHAR(10)&amp;IF(ISNUMBER(Checks!$R$548),TEXT(Checks!$R$548,"DD-MMM-YY HH:MM"),"")&amp;" "&amp;Checks!$P$548</f>
        <v>Required
27-Oct-26 02:50 HKG</v>
      </c>
      <c r="D43" s="120" t="str">
        <f aca="false">IF(TRIM(Checks!$U$548)&lt;&gt;"",Checks!$U$548&amp;IF(Checks!$AB$548="","",CHAR(10)&amp;"CA: "&amp;Checks!$AB$548),IF(LEFT(Checks!$AH$548,10)="N/A – RULE","","[ ] Pass"&amp;CHAR(10)&amp;"[ ] Pass after CA"&amp;CHAR(10)&amp;"[ ] Fail"&amp;IF(Checks!$AT$548=1,CHAR(10)&amp;"[ ] N/A","")&amp;CHAR(10)&amp;"CA: Open / Closed"))</f>
        <v>[ ] Pass
[ ] Pass after CA
[ ] Fail
CA: Open / Closed</v>
      </c>
      <c r="E43" s="120" t="str">
        <f aca="false">IF(Checks!$V$548="","",Checks!$V$548)&amp;IF(Checks!$AC$548="","",IF(Checks!$V$548="","",CHAR(10))&amp;"N/A just.: "&amp;Checks!$AC$548)&amp;IF(OR(Checks!$W$548&lt;&gt;"",AND(Checks!$AQ$548=1,NOT(LEFT(Checks!$AH$548,10)="N/A – RULE"))),CHAR(10)&amp;"Batch: "&amp;IF(Checks!$W$548="","____________",Checks!$W$548),"")&amp;IF(OR(Checks!$X$548&lt;&gt;"",Checks!$Y$548&lt;&gt;"",AND(Checks!$AR$548=1,NOT(LEFT(Checks!$AH$548,10)="N/A – RULE"))),CHAR(10)&amp;"Exp: "&amp;IF(Checks!$X$548="","______",Checks!$X$548)&amp;"  /  Act: "&amp;IF(Checks!$Y$548="","______",Checks!$Y$548),"")</f>
        <v/>
      </c>
      <c r="F43" s="120" t="str">
        <f aca="false">IF(AND(LEFT(Checks!$AH$548,10)="N/A – RULE",TRIM(Checks!$S$548&amp;Checks!$Z$548)=""),"","Type: "&amp;IF(TRIM(Checks!$S$548)="","______________ (see cover list)",Checks!$S$548)&amp;CHAR(10)&amp;"ID: "&amp;IF(TRIM(Checks!$Z$548)="","______________ (record's own no.)",Checks!$Z$548))&amp;IF(Checks!$AA$548="","",CHAR(10)&amp;"CA: "&amp;Checks!$AA$548)</f>
        <v>Type: ______________ (see cover list)
ID: ______________ (record's own no.)</v>
      </c>
      <c r="G43" s="120" t="str">
        <f aca="false">IF(AND(LEFT(Checks!$AH$548,10)="N/A – RULE",NOT(ISNUMBER(Checks!$AD$548)),Checks!$AE$548="",Checks!$T$548=""),"","Done: "&amp;IF(ISNUMBER(Checks!$AD$548),TEXT(Checks!$AD$548,"DD-MMM-YY HH:MM"),"____________")&amp;" "&amp;Checks!$P$548&amp;CHAR(10)&amp;"Verifier: "&amp;IF(Checks!$AE$548="","____________",Checks!$AE$548)&amp;CHAR(10)&amp;"PIC: "&amp;IF(Checks!$T$548="","____________",Checks!$T$548))</f>
        <v>Done: ____________ HKG
Verifier: ____________
PIC: ____________</v>
      </c>
      <c r="H43" s="121" t="str">
        <f aca="false">IF(Checks!$AH$548="","",Checks!$AH$548)</f>
        <v>OPEN</v>
      </c>
    </row>
    <row r="44" customFormat="false" ht="114" hidden="false" customHeight="true" outlineLevel="0" collapsed="false">
      <c r="A44" s="120" t="str">
        <f aca="false">Checks!$A$549&amp;CHAR(10)&amp;IF(Checks!$I$549="","",Checks!$I$549&amp;": ")&amp;Checks!$J$549</f>
        <v>F17-T12-08
Amenities: Slippers (BS/BC) - Dispo slipper - prepared</v>
      </c>
      <c r="B44" s="120" t="str">
        <f aca="false">SUBSTITUTE(Checks!$K$549&amp;IF(Checks!$O$549="","",IF(Checks!$K$549="","",CHAR(10))&amp;"Note: "&amp;Checks!$O$549)," (Flights AX)","")</f>
        <v>Available (ticked in reference)
Note: Loaded at KUL on the inbound KUL-HKG flight: due = that flight's KUL departure minus the uplift window.</v>
      </c>
      <c r="C44" s="120" t="str">
        <f aca="false">Checks!$N$549&amp;CHAR(10)&amp;IF(ISNUMBER(Checks!$R$549),TEXT(Checks!$R$549,"DD-MMM-YY HH:MM"),"")&amp;" "&amp;Checks!$P$549</f>
        <v>Required
26-Oct-26 03:10 KUL</v>
      </c>
      <c r="D44" s="120" t="str">
        <f aca="false">IF(TRIM(Checks!$U$549)&lt;&gt;"",Checks!$U$549&amp;IF(Checks!$AB$549="","",CHAR(10)&amp;"CA: "&amp;Checks!$AB$549),IF(LEFT(Checks!$AH$549,10)="N/A – RULE","","[ ] Pass"&amp;CHAR(10)&amp;"[ ] Pass after CA"&amp;CHAR(10)&amp;"[ ] Fail"&amp;IF(Checks!$AT$549=1,CHAR(10)&amp;"[ ] N/A","")&amp;CHAR(10)&amp;"CA: Open / Closed"))</f>
        <v>[ ] Pass
[ ] Pass after CA
[ ] Fail
CA: Open / Closed</v>
      </c>
      <c r="E44" s="120" t="str">
        <f aca="false">IF(Checks!$V$549="","",Checks!$V$549)&amp;IF(Checks!$AC$549="","",IF(Checks!$V$549="","",CHAR(10))&amp;"N/A just.: "&amp;Checks!$AC$549)&amp;IF(OR(Checks!$W$549&lt;&gt;"",AND(Checks!$AQ$549=1,NOT(LEFT(Checks!$AH$549,10)="N/A – RULE"))),CHAR(10)&amp;"Batch: "&amp;IF(Checks!$W$549="","____________",Checks!$W$549),"")&amp;IF(OR(Checks!$X$549&lt;&gt;"",Checks!$Y$549&lt;&gt;"",AND(Checks!$AR$549=1,NOT(LEFT(Checks!$AH$549,10)="N/A – RULE"))),CHAR(10)&amp;"Exp: "&amp;IF(Checks!$X$549="","______",Checks!$X$549)&amp;"  /  Act: "&amp;IF(Checks!$Y$549="","______",Checks!$Y$549),"")</f>
        <v/>
      </c>
      <c r="F44" s="120" t="str">
        <f aca="false">IF(AND(LEFT(Checks!$AH$549,10)="N/A – RULE",TRIM(Checks!$S$549&amp;Checks!$Z$549)=""),"","Type: "&amp;IF(TRIM(Checks!$S$549)="","______________ (see cover list)",Checks!$S$549)&amp;CHAR(10)&amp;"ID: "&amp;IF(TRIM(Checks!$Z$549)="","______________ (record's own no.)",Checks!$Z$549))&amp;IF(Checks!$AA$549="","",CHAR(10)&amp;"CA: "&amp;Checks!$AA$549)</f>
        <v>Type: ______________ (see cover list)
ID: ______________ (record's own no.)</v>
      </c>
      <c r="G44" s="120" t="str">
        <f aca="false">IF(AND(LEFT(Checks!$AH$549,10)="N/A – RULE",NOT(ISNUMBER(Checks!$AD$549)),Checks!$AE$549="",Checks!$T$549=""),"","Done: "&amp;IF(ISNUMBER(Checks!$AD$549),TEXT(Checks!$AD$549,"DD-MMM-YY HH:MM"),"____________")&amp;" "&amp;Checks!$P$549&amp;CHAR(10)&amp;"Verifier: "&amp;IF(Checks!$AE$549="","____________",Checks!$AE$549)&amp;CHAR(10)&amp;"PIC: "&amp;IF(Checks!$T$549="","____________",Checks!$T$549))</f>
        <v>Done: ____________ KUL
Verifier: ____________
PIC: ____________</v>
      </c>
      <c r="H44" s="121" t="str">
        <f aca="false">IF(Checks!$AH$549="","",Checks!$AH$549)</f>
        <v>OPEN</v>
      </c>
    </row>
    <row r="45" customFormat="false" ht="114" hidden="false" customHeight="true" outlineLevel="0" collapsed="false">
      <c r="A45" s="120" t="str">
        <f aca="false">Checks!$A$550&amp;CHAR(10)&amp;IF(Checks!$I$550="","",Checks!$I$550&amp;": ")&amp;Checks!$J$550</f>
        <v>F17-T12-09
F&amp;B Linen: Towel - prepared</v>
      </c>
      <c r="B45" s="120" t="str">
        <f aca="false">Checks!$K$550&amp;IF(Checks!$O$550="","",IF(Checks!$K$550="","",CHAR(10))&amp;"Note: "&amp;Checks!$O$550)</f>
        <v>Available (ticked in reference)
Note: Reference gives no uplift stn for this item: preparation checked at the meal uplift stn (HKG) - confirm with caterer.</v>
      </c>
      <c r="C45" s="120" t="str">
        <f aca="false">Checks!$N$550&amp;CHAR(10)&amp;IF(ISNUMBER(Checks!$R$550),TEXT(Checks!$R$550,"DD-MMM-YY HH:MM"),"")&amp;" "&amp;Checks!$P$550</f>
        <v>Required
27-Oct-26 02:50 HKG</v>
      </c>
      <c r="D45" s="120" t="str">
        <f aca="false">IF(TRIM(Checks!$U$550)&lt;&gt;"",Checks!$U$550&amp;IF(Checks!$AB$550="","",CHAR(10)&amp;"CA: "&amp;Checks!$AB$550),IF(LEFT(Checks!$AH$550,10)="N/A – RULE","","[ ] Pass"&amp;CHAR(10)&amp;"[ ] Pass after CA"&amp;CHAR(10)&amp;"[ ] Fail"&amp;IF(Checks!$AT$550=1,CHAR(10)&amp;"[ ] N/A","")&amp;CHAR(10)&amp;"CA: Open / Closed"))</f>
        <v>[ ] Pass
[ ] Pass after CA
[ ] Fail
CA: Open / Closed</v>
      </c>
      <c r="E45" s="120" t="str">
        <f aca="false">IF(Checks!$V$550="","",Checks!$V$550)&amp;IF(Checks!$AC$550="","",IF(Checks!$V$550="","",CHAR(10))&amp;"N/A just.: "&amp;Checks!$AC$550)&amp;IF(OR(Checks!$W$550&lt;&gt;"",AND(Checks!$AQ$550=1,NOT(LEFT(Checks!$AH$550,10)="N/A – RULE"))),CHAR(10)&amp;"Batch: "&amp;IF(Checks!$W$550="","____________",Checks!$W$550),"")&amp;IF(OR(Checks!$X$550&lt;&gt;"",Checks!$Y$550&lt;&gt;"",AND(Checks!$AR$550=1,NOT(LEFT(Checks!$AH$550,10)="N/A – RULE"))),CHAR(10)&amp;"Exp: "&amp;IF(Checks!$X$550="","______",Checks!$X$550)&amp;"  /  Act: "&amp;IF(Checks!$Y$550="","______",Checks!$Y$550),"")</f>
        <v/>
      </c>
      <c r="F45" s="120" t="str">
        <f aca="false">IF(AND(LEFT(Checks!$AH$550,10)="N/A – RULE",TRIM(Checks!$S$550&amp;Checks!$Z$550)=""),"","Type: "&amp;IF(TRIM(Checks!$S$550)="","______________ (see cover list)",Checks!$S$550)&amp;CHAR(10)&amp;"ID: "&amp;IF(TRIM(Checks!$Z$550)="","______________ (record's own no.)",Checks!$Z$550))&amp;IF(Checks!$AA$550="","",CHAR(10)&amp;"CA: "&amp;Checks!$AA$550)</f>
        <v>Type: ______________ (see cover list)
ID: ______________ (record's own no.)</v>
      </c>
      <c r="G45" s="120" t="str">
        <f aca="false">IF(AND(LEFT(Checks!$AH$550,10)="N/A – RULE",NOT(ISNUMBER(Checks!$AD$550)),Checks!$AE$550="",Checks!$T$550=""),"","Done: "&amp;IF(ISNUMBER(Checks!$AD$550),TEXT(Checks!$AD$550,"DD-MMM-YY HH:MM"),"____________")&amp;" "&amp;Checks!$P$550&amp;CHAR(10)&amp;"Verifier: "&amp;IF(Checks!$AE$550="","____________",Checks!$AE$550)&amp;CHAR(10)&amp;"PIC: "&amp;IF(Checks!$T$550="","____________",Checks!$T$550))</f>
        <v>Done: ____________ HKG
Verifier: ____________
PIC: ____________</v>
      </c>
      <c r="H45" s="121" t="str">
        <f aca="false">IF(Checks!$AH$550="","",Checks!$AH$550)</f>
        <v>OPEN</v>
      </c>
    </row>
    <row r="46" customFormat="false" ht="114" hidden="false" customHeight="true" outlineLevel="0" collapsed="false">
      <c r="A46" s="120" t="str">
        <f aca="false">Checks!$A$551&amp;CHAR(10)&amp;IF(Checks!$I$551="","",Checks!$I$551&amp;": ")&amp;Checks!$J$551</f>
        <v>F17-T12-10
F&amp;B Linen: Tray cloth - prepared</v>
      </c>
      <c r="B46" s="120" t="str">
        <f aca="false">Checks!$K$551&amp;IF(Checks!$O$551="","",IF(Checks!$K$551="","",CHAR(10))&amp;"Note: "&amp;Checks!$O$551)</f>
        <v>Available (ticked in reference)
Note: Reference gives no uplift stn for this item: preparation checked at the meal uplift stn (HKG) - confirm with caterer.</v>
      </c>
      <c r="C46" s="120" t="str">
        <f aca="false">Checks!$N$551&amp;CHAR(10)&amp;IF(ISNUMBER(Checks!$R$551),TEXT(Checks!$R$551,"DD-MMM-YY HH:MM"),"")&amp;" "&amp;Checks!$P$551</f>
        <v>Required
27-Oct-26 02:50 HKG</v>
      </c>
      <c r="D46" s="120" t="str">
        <f aca="false">IF(TRIM(Checks!$U$551)&lt;&gt;"",Checks!$U$551&amp;IF(Checks!$AB$551="","",CHAR(10)&amp;"CA: "&amp;Checks!$AB$551),IF(LEFT(Checks!$AH$551,10)="N/A – RULE","","[ ] Pass"&amp;CHAR(10)&amp;"[ ] Pass after CA"&amp;CHAR(10)&amp;"[ ] Fail"&amp;IF(Checks!$AT$551=1,CHAR(10)&amp;"[ ] N/A","")&amp;CHAR(10)&amp;"CA: Open / Closed"))</f>
        <v>[ ] Pass
[ ] Pass after CA
[ ] Fail
CA: Open / Closed</v>
      </c>
      <c r="E46" s="120" t="str">
        <f aca="false">IF(Checks!$V$551="","",Checks!$V$551)&amp;IF(Checks!$AC$551="","",IF(Checks!$V$551="","",CHAR(10))&amp;"N/A just.: "&amp;Checks!$AC$551)&amp;IF(OR(Checks!$W$551&lt;&gt;"",AND(Checks!$AQ$551=1,NOT(LEFT(Checks!$AH$551,10)="N/A – RULE"))),CHAR(10)&amp;"Batch: "&amp;IF(Checks!$W$551="","____________",Checks!$W$551),"")&amp;IF(OR(Checks!$X$551&lt;&gt;"",Checks!$Y$551&lt;&gt;"",AND(Checks!$AR$551=1,NOT(LEFT(Checks!$AH$551,10)="N/A – RULE"))),CHAR(10)&amp;"Exp: "&amp;IF(Checks!$X$551="","______",Checks!$X$551)&amp;"  /  Act: "&amp;IF(Checks!$Y$551="","______",Checks!$Y$551),"")</f>
        <v/>
      </c>
      <c r="F46" s="120" t="str">
        <f aca="false">IF(AND(LEFT(Checks!$AH$551,10)="N/A – RULE",TRIM(Checks!$S$551&amp;Checks!$Z$551)=""),"","Type: "&amp;IF(TRIM(Checks!$S$551)="","______________ (see cover list)",Checks!$S$551)&amp;CHAR(10)&amp;"ID: "&amp;IF(TRIM(Checks!$Z$551)="","______________ (record's own no.)",Checks!$Z$551))&amp;IF(Checks!$AA$551="","",CHAR(10)&amp;"CA: "&amp;Checks!$AA$551)</f>
        <v>Type: ______________ (see cover list)
ID: ______________ (record's own no.)</v>
      </c>
      <c r="G46" s="120" t="str">
        <f aca="false">IF(AND(LEFT(Checks!$AH$551,10)="N/A – RULE",NOT(ISNUMBER(Checks!$AD$551)),Checks!$AE$551="",Checks!$T$551=""),"","Done: "&amp;IF(ISNUMBER(Checks!$AD$551),TEXT(Checks!$AD$551,"DD-MMM-YY HH:MM"),"____________")&amp;" "&amp;Checks!$P$551&amp;CHAR(10)&amp;"Verifier: "&amp;IF(Checks!$AE$551="","____________",Checks!$AE$551)&amp;CHAR(10)&amp;"PIC: "&amp;IF(Checks!$T$551="","____________",Checks!$T$551))</f>
        <v>Done: ____________ HKG
Verifier: ____________
PIC: ____________</v>
      </c>
      <c r="H46" s="121" t="str">
        <f aca="false">IF(Checks!$AH$551="","",Checks!$AH$551)</f>
        <v>OPEN</v>
      </c>
    </row>
    <row r="47" customFormat="false" ht="114" hidden="false" customHeight="true" outlineLevel="0" collapsed="false">
      <c r="A47" s="120" t="str">
        <f aca="false">Checks!$A$552&amp;CHAR(10)&amp;IF(Checks!$I$552="","",Checks!$I$552&amp;": ")&amp;Checks!$J$552</f>
        <v>F17-T12-11
F&amp;B Linen: Napkin - prepared</v>
      </c>
      <c r="B47" s="120" t="str">
        <f aca="false">Checks!$K$552&amp;IF(Checks!$O$552="","",IF(Checks!$K$552="","",CHAR(10))&amp;"Note: "&amp;Checks!$O$552)</f>
        <v>Available (ticked in reference)
Note: Reference gives no uplift stn for this item: preparation checked at the meal uplift stn (HKG) - confirm with caterer.</v>
      </c>
      <c r="C47" s="120" t="str">
        <f aca="false">Checks!$N$552&amp;CHAR(10)&amp;IF(ISNUMBER(Checks!$R$552),TEXT(Checks!$R$552,"DD-MMM-YY HH:MM"),"")&amp;" "&amp;Checks!$P$552</f>
        <v>Required
27-Oct-26 02:50 HKG</v>
      </c>
      <c r="D47" s="120" t="str">
        <f aca="false">IF(TRIM(Checks!$U$552)&lt;&gt;"",Checks!$U$552&amp;IF(Checks!$AB$552="","",CHAR(10)&amp;"CA: "&amp;Checks!$AB$552),IF(LEFT(Checks!$AH$552,10)="N/A – RULE","","[ ] Pass"&amp;CHAR(10)&amp;"[ ] Pass after CA"&amp;CHAR(10)&amp;"[ ] Fail"&amp;IF(Checks!$AT$552=1,CHAR(10)&amp;"[ ] N/A","")&amp;CHAR(10)&amp;"CA: Open / Closed"))</f>
        <v>[ ] Pass
[ ] Pass after CA
[ ] Fail
CA: Open / Closed</v>
      </c>
      <c r="E47" s="120" t="str">
        <f aca="false">IF(Checks!$V$552="","",Checks!$V$552)&amp;IF(Checks!$AC$552="","",IF(Checks!$V$552="","",CHAR(10))&amp;"N/A just.: "&amp;Checks!$AC$552)&amp;IF(OR(Checks!$W$552&lt;&gt;"",AND(Checks!$AQ$552=1,NOT(LEFT(Checks!$AH$552,10)="N/A – RULE"))),CHAR(10)&amp;"Batch: "&amp;IF(Checks!$W$552="","____________",Checks!$W$552),"")&amp;IF(OR(Checks!$X$552&lt;&gt;"",Checks!$Y$552&lt;&gt;"",AND(Checks!$AR$552=1,NOT(LEFT(Checks!$AH$552,10)="N/A – RULE"))),CHAR(10)&amp;"Exp: "&amp;IF(Checks!$X$552="","______",Checks!$X$552)&amp;"  /  Act: "&amp;IF(Checks!$Y$552="","______",Checks!$Y$552),"")</f>
        <v/>
      </c>
      <c r="F47" s="120" t="str">
        <f aca="false">IF(AND(LEFT(Checks!$AH$552,10)="N/A – RULE",TRIM(Checks!$S$552&amp;Checks!$Z$552)=""),"","Type: "&amp;IF(TRIM(Checks!$S$552)="","______________ (see cover list)",Checks!$S$552)&amp;CHAR(10)&amp;"ID: "&amp;IF(TRIM(Checks!$Z$552)="","______________ (record's own no.)",Checks!$Z$552))&amp;IF(Checks!$AA$552="","",CHAR(10)&amp;"CA: "&amp;Checks!$AA$552)</f>
        <v>Type: ______________ (see cover list)
ID: ______________ (record's own no.)</v>
      </c>
      <c r="G47" s="120" t="str">
        <f aca="false">IF(AND(LEFT(Checks!$AH$552,10)="N/A – RULE",NOT(ISNUMBER(Checks!$AD$552)),Checks!$AE$552="",Checks!$T$552=""),"","Done: "&amp;IF(ISNUMBER(Checks!$AD$552),TEXT(Checks!$AD$552,"DD-MMM-YY HH:MM"),"____________")&amp;" "&amp;Checks!$P$552&amp;CHAR(10)&amp;"Verifier: "&amp;IF(Checks!$AE$552="","____________",Checks!$AE$552)&amp;CHAR(10)&amp;"PIC: "&amp;IF(Checks!$T$552="","____________",Checks!$T$552))</f>
        <v>Done: ____________ HKG
Verifier: ____________
PIC: ____________</v>
      </c>
      <c r="H47" s="121" t="str">
        <f aca="false">IF(Checks!$AH$552="","",Checks!$AH$552)</f>
        <v>OPEN</v>
      </c>
    </row>
    <row r="48" customFormat="false" ht="279" hidden="false" customHeight="true" outlineLevel="0" collapsed="false">
      <c r="A48" s="120" t="str">
        <f aca="false">Checks!$A$553&amp;CHAR(10)&amp;IF(Checks!$I$553="","",Checks!$I$553&amp;": ")&amp;Checks!$J$553</f>
        <v>F17-T12-12
F&amp;B Linen: Table cloth - prepared</v>
      </c>
      <c r="B48" s="120" t="str">
        <f aca="false">SUBSTITUTE(Checks!$K$553&amp;IF(Checks!$O$553="","",IF(Checks!$K$553="","",CHAR(10))&amp;"Note: "&amp;Checks!$O$553),"note F&amp;B LINEN!B78:C78","the F&amp;B LINEN reference note")</f>
        <v>Available (ticked in reference)
Note: Reference contradicts itself: matrix shows a tick for this sector but the F&amp;B LINEN reference note says table cloth is 'Not Applicable for Domestic/Asean &amp; Regional' (ORIENTAL). Confirm before loading; if not carried, mark N/A with the confirmation as justification. Reference gives no uplift stn for this item: preparation checked at the meal uplift stn (HKG) - confirm with caterer.</v>
      </c>
      <c r="C48" s="120" t="str">
        <f aca="false">Checks!$N$553&amp;CHAR(10)&amp;IF(ISNUMBER(Checks!$R$553),TEXT(Checks!$R$553,"DD-MMM-YY HH:MM"),"")&amp;" "&amp;Checks!$P$553</f>
        <v>Clarification required
27-Oct-26 02:50 HKG</v>
      </c>
      <c r="D48" s="120" t="str">
        <f aca="false">IF(TRIM(Checks!$U$553)&lt;&gt;"",Checks!$U$553&amp;IF(Checks!$AB$553="","",CHAR(10)&amp;"CA: "&amp;Checks!$AB$553),IF(LEFT(Checks!$AH$553,10)="N/A – RULE","","[ ] Pass"&amp;CHAR(10)&amp;"[ ] Pass after CA"&amp;CHAR(10)&amp;"[ ] Fail"&amp;IF(Checks!$AT$553=1,CHAR(10)&amp;"[ ] N/A","")&amp;CHAR(10)&amp;"CA: Open / Closed"))</f>
        <v>[ ] Pass
[ ] Pass after CA
[ ] Fail
[ ] N/A
CA: Open / Closed</v>
      </c>
      <c r="E48" s="120" t="str">
        <f aca="false">IF(Checks!$V$553="","",Checks!$V$553)&amp;IF(Checks!$AC$553="","",IF(Checks!$V$553="","",CHAR(10))&amp;"N/A just.: "&amp;Checks!$AC$553)&amp;IF(OR(Checks!$W$553&lt;&gt;"",AND(Checks!$AQ$553=1,NOT(LEFT(Checks!$AH$553,10)="N/A – RULE"))),CHAR(10)&amp;"Batch: "&amp;IF(Checks!$W$553="","____________",Checks!$W$553),"")&amp;IF(OR(Checks!$X$553&lt;&gt;"",Checks!$Y$553&lt;&gt;"",AND(Checks!$AR$553=1,NOT(LEFT(Checks!$AH$553,10)="N/A – RULE"))),CHAR(10)&amp;"Exp: "&amp;IF(Checks!$X$553="","______",Checks!$X$553)&amp;"  /  Act: "&amp;IF(Checks!$Y$553="","______",Checks!$Y$553),"")</f>
        <v/>
      </c>
      <c r="F48" s="120" t="str">
        <f aca="false">IF(AND(LEFT(Checks!$AH$553,10)="N/A – RULE",TRIM(Checks!$S$553&amp;Checks!$Z$553)=""),"","Type: "&amp;IF(TRIM(Checks!$S$553)="","______________ (see cover list)",Checks!$S$553)&amp;CHAR(10)&amp;"ID: "&amp;IF(TRIM(Checks!$Z$553)="","______________ (record's own no.)",Checks!$Z$553))&amp;IF(Checks!$AA$553="","",CHAR(10)&amp;"CA: "&amp;Checks!$AA$553)</f>
        <v>Type: ______________ (see cover list)
ID: ______________ (record's own no.)</v>
      </c>
      <c r="G48" s="120" t="str">
        <f aca="false">IF(AND(LEFT(Checks!$AH$553,10)="N/A – RULE",NOT(ISNUMBER(Checks!$AD$553)),Checks!$AE$553="",Checks!$T$553=""),"","Done: "&amp;IF(ISNUMBER(Checks!$AD$553),TEXT(Checks!$AD$553,"DD-MMM-YY HH:MM"),"____________")&amp;" "&amp;Checks!$P$553&amp;CHAR(10)&amp;"Verifier: "&amp;IF(Checks!$AE$553="","____________",Checks!$AE$553)&amp;CHAR(10)&amp;"PIC: "&amp;IF(Checks!$T$553="","____________",Checks!$T$553))</f>
        <v>Done: ____________ HKG
Verifier: ____________
PIC: ____________</v>
      </c>
      <c r="H48" s="121" t="str">
        <f aca="false">IF(Checks!$AH$553="","",Checks!$AH$553)</f>
        <v>OPEN – CLARIFICATION</v>
      </c>
    </row>
    <row r="49" customFormat="false" ht="279" hidden="false" customHeight="true" outlineLevel="0" collapsed="false">
      <c r="A49" s="120" t="str">
        <f aca="false">Checks!$A$554&amp;CHAR(10)&amp;IF(Checks!$I$554="","",Checks!$I$554&amp;": ")&amp;Checks!$J$554</f>
        <v>F17-T12-13
F&amp;B Linen: Bread linen (using table cloth) - prepared</v>
      </c>
      <c r="B49" s="120" t="str">
        <f aca="false">SUBSTITUTE(Checks!$K$554&amp;IF(Checks!$O$554="","",IF(Checks!$K$554="","",CHAR(10))&amp;"Note: "&amp;Checks!$O$554),"note F&amp;B LINEN!B78:C78","the F&amp;B LINEN reference note")</f>
        <v>Available (ticked in reference)
Note: Reference contradicts itself: matrix shows a tick for this sector but the F&amp;B LINEN reference note says table cloth is 'Not Applicable for Domestic/Asean &amp; Regional' (ORIENTAL). Confirm before loading; if not carried, mark N/A with the confirmation as justification. Reference gives no uplift stn for this item: preparation checked at the meal uplift stn (HKG) - confirm with caterer.</v>
      </c>
      <c r="C49" s="120" t="str">
        <f aca="false">Checks!$N$554&amp;CHAR(10)&amp;IF(ISNUMBER(Checks!$R$554),TEXT(Checks!$R$554,"DD-MMM-YY HH:MM"),"")&amp;" "&amp;Checks!$P$554</f>
        <v>Clarification required
27-Oct-26 02:50 HKG</v>
      </c>
      <c r="D49" s="120" t="str">
        <f aca="false">IF(TRIM(Checks!$U$554)&lt;&gt;"",Checks!$U$554&amp;IF(Checks!$AB$554="","",CHAR(10)&amp;"CA: "&amp;Checks!$AB$554),IF(LEFT(Checks!$AH$554,10)="N/A – RULE","","[ ] Pass"&amp;CHAR(10)&amp;"[ ] Pass after CA"&amp;CHAR(10)&amp;"[ ] Fail"&amp;IF(Checks!$AT$554=1,CHAR(10)&amp;"[ ] N/A","")&amp;CHAR(10)&amp;"CA: Open / Closed"))</f>
        <v>[ ] Pass
[ ] Pass after CA
[ ] Fail
[ ] N/A
CA: Open / Closed</v>
      </c>
      <c r="E49" s="120" t="str">
        <f aca="false">IF(Checks!$V$554="","",Checks!$V$554)&amp;IF(Checks!$AC$554="","",IF(Checks!$V$554="","",CHAR(10))&amp;"N/A just.: "&amp;Checks!$AC$554)&amp;IF(OR(Checks!$W$554&lt;&gt;"",AND(Checks!$AQ$554=1,NOT(LEFT(Checks!$AH$554,10)="N/A – RULE"))),CHAR(10)&amp;"Batch: "&amp;IF(Checks!$W$554="","____________",Checks!$W$554),"")&amp;IF(OR(Checks!$X$554&lt;&gt;"",Checks!$Y$554&lt;&gt;"",AND(Checks!$AR$554=1,NOT(LEFT(Checks!$AH$554,10)="N/A – RULE"))),CHAR(10)&amp;"Exp: "&amp;IF(Checks!$X$554="","______",Checks!$X$554)&amp;"  /  Act: "&amp;IF(Checks!$Y$554="","______",Checks!$Y$554),"")</f>
        <v/>
      </c>
      <c r="F49" s="120" t="str">
        <f aca="false">IF(AND(LEFT(Checks!$AH$554,10)="N/A – RULE",TRIM(Checks!$S$554&amp;Checks!$Z$554)=""),"","Type: "&amp;IF(TRIM(Checks!$S$554)="","______________ (see cover list)",Checks!$S$554)&amp;CHAR(10)&amp;"ID: "&amp;IF(TRIM(Checks!$Z$554)="","______________ (record's own no.)",Checks!$Z$554))&amp;IF(Checks!$AA$554="","",CHAR(10)&amp;"CA: "&amp;Checks!$AA$554)</f>
        <v>Type: ______________ (see cover list)
ID: ______________ (record's own no.)</v>
      </c>
      <c r="G49" s="120" t="str">
        <f aca="false">IF(AND(LEFT(Checks!$AH$554,10)="N/A – RULE",NOT(ISNUMBER(Checks!$AD$554)),Checks!$AE$554="",Checks!$T$554=""),"","Done: "&amp;IF(ISNUMBER(Checks!$AD$554),TEXT(Checks!$AD$554,"DD-MMM-YY HH:MM"),"____________")&amp;" "&amp;Checks!$P$554&amp;CHAR(10)&amp;"Verifier: "&amp;IF(Checks!$AE$554="","____________",Checks!$AE$554)&amp;CHAR(10)&amp;"PIC: "&amp;IF(Checks!$T$554="","____________",Checks!$T$554))</f>
        <v>Done: ____________ HKG
Verifier: ____________
PIC: ____________</v>
      </c>
      <c r="H49" s="121" t="str">
        <f aca="false">IF(Checks!$AH$554="","",Checks!$AH$554)</f>
        <v>OPEN – CLARIFICATION</v>
      </c>
    </row>
    <row r="50" customFormat="false" ht="124.5" hidden="false" customHeight="true" outlineLevel="0" collapsed="false">
      <c r="A50" s="120" t="str">
        <f aca="false">Checks!$A$555&amp;CHAR(10)&amp;IF(Checks!$I$555="","",Checks!$I$555&amp;": ")&amp;Checks!$J$555</f>
        <v>F17-T12-14
F&amp;B Linen: Trolley cloth - prepared</v>
      </c>
      <c r="B50" s="120" t="str">
        <f aca="false">SUBSTITUTE(SUBSTITUTE(Checks!$K$555&amp;IF(Checks!$O$555="","",IF(Checks!$K$555="","",CHAR(10))&amp;"Note: "&amp;Checks!$O$555),"Per note F&amp;B LINEN!B79:C80.","Per the F&amp;B LINEN reference note."),"note F&amp;B LINEN!B79:C80","the F&amp;B LINEN reference note")</f>
        <v>Narrow body: Top only
Note: Per the F&amp;B LINEN reference note. Reference gives no uplift stn for this item: preparation checked at the meal uplift stn (HKG) - confirm with caterer.</v>
      </c>
      <c r="C50" s="120" t="str">
        <f aca="false">Checks!$N$555&amp;CHAR(10)&amp;IF(ISNUMBER(Checks!$R$555),TEXT(Checks!$R$555,"DD-MMM-YY HH:MM"),"")&amp;" "&amp;Checks!$P$555</f>
        <v>Required
27-Oct-26 02:50 HKG</v>
      </c>
      <c r="D50" s="120" t="str">
        <f aca="false">IF(TRIM(Checks!$U$555)&lt;&gt;"",Checks!$U$555&amp;IF(Checks!$AB$555="","",CHAR(10)&amp;"CA: "&amp;Checks!$AB$555),IF(LEFT(Checks!$AH$555,10)="N/A – RULE","","[ ] Pass"&amp;CHAR(10)&amp;"[ ] Pass after CA"&amp;CHAR(10)&amp;"[ ] Fail"&amp;IF(Checks!$AT$555=1,CHAR(10)&amp;"[ ] N/A","")&amp;CHAR(10)&amp;"CA: Open / Closed"))</f>
        <v>[ ] Pass
[ ] Pass after CA
[ ] Fail
CA: Open / Closed</v>
      </c>
      <c r="E50" s="120" t="str">
        <f aca="false">IF(Checks!$V$555="","",Checks!$V$555)&amp;IF(Checks!$AC$555="","",IF(Checks!$V$555="","",CHAR(10))&amp;"N/A just.: "&amp;Checks!$AC$555)&amp;IF(OR(Checks!$W$555&lt;&gt;"",AND(Checks!$AQ$555=1,NOT(LEFT(Checks!$AH$555,10)="N/A – RULE"))),CHAR(10)&amp;"Batch: "&amp;IF(Checks!$W$555="","____________",Checks!$W$555),"")&amp;IF(OR(Checks!$X$555&lt;&gt;"",Checks!$Y$555&lt;&gt;"",AND(Checks!$AR$555=1,NOT(LEFT(Checks!$AH$555,10)="N/A – RULE"))),CHAR(10)&amp;"Exp: "&amp;IF(Checks!$X$555="","______",Checks!$X$555)&amp;"  /  Act: "&amp;IF(Checks!$Y$555="","______",Checks!$Y$555),"")</f>
        <v/>
      </c>
      <c r="F50" s="120" t="str">
        <f aca="false">IF(AND(LEFT(Checks!$AH$555,10)="N/A – RULE",TRIM(Checks!$S$555&amp;Checks!$Z$555)=""),"","Type: "&amp;IF(TRIM(Checks!$S$555)="","______________ (see cover list)",Checks!$S$555)&amp;CHAR(10)&amp;"ID: "&amp;IF(TRIM(Checks!$Z$555)="","______________ (record's own no.)",Checks!$Z$555))&amp;IF(Checks!$AA$555="","",CHAR(10)&amp;"CA: "&amp;Checks!$AA$555)</f>
        <v>Type: ______________ (see cover list)
ID: ______________ (record's own no.)</v>
      </c>
      <c r="G50" s="120" t="str">
        <f aca="false">IF(AND(LEFT(Checks!$AH$555,10)="N/A – RULE",NOT(ISNUMBER(Checks!$AD$555)),Checks!$AE$555="",Checks!$T$555=""),"","Done: "&amp;IF(ISNUMBER(Checks!$AD$555),TEXT(Checks!$AD$555,"DD-MMM-YY HH:MM"),"____________")&amp;" "&amp;Checks!$P$555&amp;CHAR(10)&amp;"Verifier: "&amp;IF(Checks!$AE$555="","____________",Checks!$AE$555)&amp;CHAR(10)&amp;"PIC: "&amp;IF(Checks!$T$555="","____________",Checks!$T$555))</f>
        <v>Done: ____________ HKG
Verifier: ____________
PIC: ____________</v>
      </c>
      <c r="H50" s="121" t="str">
        <f aca="false">IF(Checks!$AH$555="","",Checks!$AH$555)</f>
        <v>OPEN</v>
      </c>
    </row>
    <row r="51" customFormat="false" ht="114" hidden="false" customHeight="true" outlineLevel="0" collapsed="false">
      <c r="A51" s="120" t="str">
        <f aca="false">Checks!$A$556&amp;CHAR(10)&amp;IF(Checks!$I$556="","",Checks!$I$556&amp;": ")&amp;Checks!$J$556</f>
        <v>F17-T12-15
F&amp;B Linen: Linen bag - prepared</v>
      </c>
      <c r="B51" s="120" t="str">
        <f aca="false">Checks!$K$556&amp;IF(Checks!$O$556="","",IF(Checks!$K$556="","",CHAR(10))&amp;"Note: "&amp;Checks!$O$556)</f>
        <v>Available (ticked in reference)
Note: Reference gives no uplift stn for this item: preparation checked at the meal uplift stn (HKG) - confirm with caterer.</v>
      </c>
      <c r="C51" s="120" t="str">
        <f aca="false">Checks!$N$556&amp;CHAR(10)&amp;IF(ISNUMBER(Checks!$R$556),TEXT(Checks!$R$556,"DD-MMM-YY HH:MM"),"")&amp;" "&amp;Checks!$P$556</f>
        <v>Required
27-Oct-26 02:50 HKG</v>
      </c>
      <c r="D51" s="120" t="str">
        <f aca="false">IF(TRIM(Checks!$U$556)&lt;&gt;"",Checks!$U$556&amp;IF(Checks!$AB$556="","",CHAR(10)&amp;"CA: "&amp;Checks!$AB$556),IF(LEFT(Checks!$AH$556,10)="N/A – RULE","","[ ] Pass"&amp;CHAR(10)&amp;"[ ] Pass after CA"&amp;CHAR(10)&amp;"[ ] Fail"&amp;IF(Checks!$AT$556=1,CHAR(10)&amp;"[ ] N/A","")&amp;CHAR(10)&amp;"CA: Open / Closed"))</f>
        <v>[ ] Pass
[ ] Pass after CA
[ ] Fail
CA: Open / Closed</v>
      </c>
      <c r="E51" s="120" t="str">
        <f aca="false">IF(Checks!$V$556="","",Checks!$V$556)&amp;IF(Checks!$AC$556="","",IF(Checks!$V$556="","",CHAR(10))&amp;"N/A just.: "&amp;Checks!$AC$556)&amp;IF(OR(Checks!$W$556&lt;&gt;"",AND(Checks!$AQ$556=1,NOT(LEFT(Checks!$AH$556,10)="N/A – RULE"))),CHAR(10)&amp;"Batch: "&amp;IF(Checks!$W$556="","____________",Checks!$W$556),"")&amp;IF(OR(Checks!$X$556&lt;&gt;"",Checks!$Y$556&lt;&gt;"",AND(Checks!$AR$556=1,NOT(LEFT(Checks!$AH$556,10)="N/A – RULE"))),CHAR(10)&amp;"Exp: "&amp;IF(Checks!$X$556="","______",Checks!$X$556)&amp;"  /  Act: "&amp;IF(Checks!$Y$556="","______",Checks!$Y$556),"")</f>
        <v/>
      </c>
      <c r="F51" s="120" t="str">
        <f aca="false">IF(AND(LEFT(Checks!$AH$556,10)="N/A – RULE",TRIM(Checks!$S$556&amp;Checks!$Z$556)=""),"","Type: "&amp;IF(TRIM(Checks!$S$556)="","______________ (see cover list)",Checks!$S$556)&amp;CHAR(10)&amp;"ID: "&amp;IF(TRIM(Checks!$Z$556)="","______________ (record's own no.)",Checks!$Z$556))&amp;IF(Checks!$AA$556="","",CHAR(10)&amp;"CA: "&amp;Checks!$AA$556)</f>
        <v>Type: ______________ (see cover list)
ID: ______________ (record's own no.)</v>
      </c>
      <c r="G51" s="120" t="str">
        <f aca="false">IF(AND(LEFT(Checks!$AH$556,10)="N/A – RULE",NOT(ISNUMBER(Checks!$AD$556)),Checks!$AE$556="",Checks!$T$556=""),"","Done: "&amp;IF(ISNUMBER(Checks!$AD$556),TEXT(Checks!$AD$556,"DD-MMM-YY HH:MM"),"____________")&amp;" "&amp;Checks!$P$556&amp;CHAR(10)&amp;"Verifier: "&amp;IF(Checks!$AE$556="","____________",Checks!$AE$556)&amp;CHAR(10)&amp;"PIC: "&amp;IF(Checks!$T$556="","____________",Checks!$T$556))</f>
        <v>Done: ____________ HKG
Verifier: ____________
PIC: ____________</v>
      </c>
      <c r="H51" s="121" t="str">
        <f aca="false">IF(Checks!$AH$556="","",Checks!$AH$556)</f>
        <v>OPEN</v>
      </c>
    </row>
    <row r="52" customFormat="false" ht="114" hidden="false" customHeight="true" outlineLevel="0" collapsed="false">
      <c r="A52" s="120" t="str">
        <f aca="false">Checks!$A$557&amp;CHAR(10)&amp;IF(Checks!$I$557="","",Checks!$I$557&amp;": ")&amp;Checks!$J$557</f>
        <v>F17-T12-16
Seat Linen: Seat pillow (BS &amp; BC) - prepared</v>
      </c>
      <c r="B52" s="120" t="str">
        <f aca="false">Checks!$K$557&amp;IF(Checks!$O$557="","",IF(Checks!$K$557="","",CHAR(10))&amp;"Note: "&amp;Checks!$O$557)</f>
        <v>Available 100% (ticked in reference)
Note: Reference gives no uplift stn for this item: preparation checked at the meal uplift stn (HKG) - confirm with caterer.</v>
      </c>
      <c r="C52" s="120" t="str">
        <f aca="false">Checks!$N$557&amp;CHAR(10)&amp;IF(ISNUMBER(Checks!$R$557),TEXT(Checks!$R$557,"DD-MMM-YY HH:MM"),"")&amp;" "&amp;Checks!$P$557</f>
        <v>Required
27-Oct-26 02:50 HKG</v>
      </c>
      <c r="D52" s="120" t="str">
        <f aca="false">IF(TRIM(Checks!$U$557)&lt;&gt;"",Checks!$U$557&amp;IF(Checks!$AB$557="","",CHAR(10)&amp;"CA: "&amp;Checks!$AB$557),IF(LEFT(Checks!$AH$557,10)="N/A – RULE","","[ ] Pass"&amp;CHAR(10)&amp;"[ ] Pass after CA"&amp;CHAR(10)&amp;"[ ] Fail"&amp;IF(Checks!$AT$557=1,CHAR(10)&amp;"[ ] N/A","")&amp;CHAR(10)&amp;"CA: Open / Closed"))</f>
        <v>[ ] Pass
[ ] Pass after CA
[ ] Fail
CA: Open / Closed</v>
      </c>
      <c r="E52" s="120" t="str">
        <f aca="false">IF(Checks!$V$557="","",Checks!$V$557)&amp;IF(Checks!$AC$557="","",IF(Checks!$V$557="","",CHAR(10))&amp;"N/A just.: "&amp;Checks!$AC$557)&amp;IF(OR(Checks!$W$557&lt;&gt;"",AND(Checks!$AQ$557=1,NOT(LEFT(Checks!$AH$557,10)="N/A – RULE"))),CHAR(10)&amp;"Batch: "&amp;IF(Checks!$W$557="","____________",Checks!$W$557),"")&amp;IF(OR(Checks!$X$557&lt;&gt;"",Checks!$Y$557&lt;&gt;"",AND(Checks!$AR$557=1,NOT(LEFT(Checks!$AH$557,10)="N/A – RULE"))),CHAR(10)&amp;"Exp: "&amp;IF(Checks!$X$557="","______",Checks!$X$557)&amp;"  /  Act: "&amp;IF(Checks!$Y$557="","______",Checks!$Y$557),"")</f>
        <v/>
      </c>
      <c r="F52" s="120" t="str">
        <f aca="false">IF(AND(LEFT(Checks!$AH$557,10)="N/A – RULE",TRIM(Checks!$S$557&amp;Checks!$Z$557)=""),"","Type: "&amp;IF(TRIM(Checks!$S$557)="","______________ (see cover list)",Checks!$S$557)&amp;CHAR(10)&amp;"ID: "&amp;IF(TRIM(Checks!$Z$557)="","______________ (record's own no.)",Checks!$Z$557))&amp;IF(Checks!$AA$557="","",CHAR(10)&amp;"CA: "&amp;Checks!$AA$557)</f>
        <v>Type: ______________ (see cover list)
ID: ______________ (record's own no.)</v>
      </c>
      <c r="G52" s="120" t="str">
        <f aca="false">IF(AND(LEFT(Checks!$AH$557,10)="N/A – RULE",NOT(ISNUMBER(Checks!$AD$557)),Checks!$AE$557="",Checks!$T$557=""),"","Done: "&amp;IF(ISNUMBER(Checks!$AD$557),TEXT(Checks!$AD$557,"DD-MMM-YY HH:MM"),"____________")&amp;" "&amp;Checks!$P$557&amp;CHAR(10)&amp;"Verifier: "&amp;IF(Checks!$AE$557="","____________",Checks!$AE$557)&amp;CHAR(10)&amp;"PIC: "&amp;IF(Checks!$T$557="","____________",Checks!$T$557))</f>
        <v>Done: ____________ HKG
Verifier: ____________
PIC: ____________</v>
      </c>
      <c r="H52" s="121" t="str">
        <f aca="false">IF(Checks!$AH$557="","",Checks!$AH$557)</f>
        <v>OPEN</v>
      </c>
    </row>
    <row r="53" customFormat="false" ht="114" hidden="false" customHeight="true" outlineLevel="0" collapsed="false">
      <c r="A53" s="120" t="str">
        <f aca="false">Checks!$A$558&amp;CHAR(10)&amp;IF(Checks!$I$558="","",Checks!$I$558&amp;": ")&amp;Checks!$J$558</f>
        <v>F17-T12-17
Seat Linen: Blanket (BS &amp; BC) - prepared</v>
      </c>
      <c r="B53" s="120" t="str">
        <f aca="false">Checks!$K$558&amp;IF(Checks!$O$558="","",IF(Checks!$K$558="","",CHAR(10))&amp;"Note: "&amp;Checks!$O$558)</f>
        <v>Available 100% (ticked in reference)
Note: Reference gives no uplift stn for this item: preparation checked at the meal uplift stn (HKG) - confirm with caterer.</v>
      </c>
      <c r="C53" s="120" t="str">
        <f aca="false">Checks!$N$558&amp;CHAR(10)&amp;IF(ISNUMBER(Checks!$R$558),TEXT(Checks!$R$558,"DD-MMM-YY HH:MM"),"")&amp;" "&amp;Checks!$P$558</f>
        <v>Required
27-Oct-26 02:50 HKG</v>
      </c>
      <c r="D53" s="120" t="str">
        <f aca="false">IF(TRIM(Checks!$U$558)&lt;&gt;"",Checks!$U$558&amp;IF(Checks!$AB$558="","",CHAR(10)&amp;"CA: "&amp;Checks!$AB$558),IF(LEFT(Checks!$AH$558,10)="N/A – RULE","","[ ] Pass"&amp;CHAR(10)&amp;"[ ] Pass after CA"&amp;CHAR(10)&amp;"[ ] Fail"&amp;IF(Checks!$AT$558=1,CHAR(10)&amp;"[ ] N/A","")&amp;CHAR(10)&amp;"CA: Open / Closed"))</f>
        <v>[ ] Pass
[ ] Pass after CA
[ ] Fail
CA: Open / Closed</v>
      </c>
      <c r="E53" s="120" t="str">
        <f aca="false">IF(Checks!$V$558="","",Checks!$V$558)&amp;IF(Checks!$AC$558="","",IF(Checks!$V$558="","",CHAR(10))&amp;"N/A just.: "&amp;Checks!$AC$558)&amp;IF(OR(Checks!$W$558&lt;&gt;"",AND(Checks!$AQ$558=1,NOT(LEFT(Checks!$AH$558,10)="N/A – RULE"))),CHAR(10)&amp;"Batch: "&amp;IF(Checks!$W$558="","____________",Checks!$W$558),"")&amp;IF(OR(Checks!$X$558&lt;&gt;"",Checks!$Y$558&lt;&gt;"",AND(Checks!$AR$558=1,NOT(LEFT(Checks!$AH$558,10)="N/A – RULE"))),CHAR(10)&amp;"Exp: "&amp;IF(Checks!$X$558="","______",Checks!$X$558)&amp;"  /  Act: "&amp;IF(Checks!$Y$558="","______",Checks!$Y$558),"")</f>
        <v/>
      </c>
      <c r="F53" s="120" t="str">
        <f aca="false">IF(AND(LEFT(Checks!$AH$558,10)="N/A – RULE",TRIM(Checks!$S$558&amp;Checks!$Z$558)=""),"","Type: "&amp;IF(TRIM(Checks!$S$558)="","______________ (see cover list)",Checks!$S$558)&amp;CHAR(10)&amp;"ID: "&amp;IF(TRIM(Checks!$Z$558)="","______________ (record's own no.)",Checks!$Z$558))&amp;IF(Checks!$AA$558="","",CHAR(10)&amp;"CA: "&amp;Checks!$AA$558)</f>
        <v>Type: ______________ (see cover list)
ID: ______________ (record's own no.)</v>
      </c>
      <c r="G53" s="120" t="str">
        <f aca="false">IF(AND(LEFT(Checks!$AH$558,10)="N/A – RULE",NOT(ISNUMBER(Checks!$AD$558)),Checks!$AE$558="",Checks!$T$558=""),"","Done: "&amp;IF(ISNUMBER(Checks!$AD$558),TEXT(Checks!$AD$558,"DD-MMM-YY HH:MM"),"____________")&amp;" "&amp;Checks!$P$558&amp;CHAR(10)&amp;"Verifier: "&amp;IF(Checks!$AE$558="","____________",Checks!$AE$558)&amp;CHAR(10)&amp;"PIC: "&amp;IF(Checks!$T$558="","____________",Checks!$T$558))</f>
        <v>Done: ____________ HKG
Verifier: ____________
PIC: ____________</v>
      </c>
      <c r="H53" s="121" t="str">
        <f aca="false">IF(Checks!$AH$558="","",Checks!$AH$558)</f>
        <v>OPEN</v>
      </c>
    </row>
    <row r="54" customFormat="false" ht="213" hidden="false" customHeight="true" outlineLevel="0" collapsed="false">
      <c r="A54" s="120" t="str">
        <f aca="false">Checks!$A$559&amp;CHAR(10)&amp;IF(Checks!$I$559="","",Checks!$I$559&amp;": ")&amp;Checks!$J$559</f>
        <v>F17-T12-18
Sales Cart: Sales cart (caterer MCAT) - prepared</v>
      </c>
      <c r="B54" s="120" t="str">
        <f aca="false">SUBSTITUTE(SUBSTITUTE(Checks!$K$559&amp;IF(Checks!$O$559="","",IF(Checks!$K$559="","",CHAR(10))&amp;"Note: "&amp;Checks!$O$559),"note SALES CART!C40","the SALES CART reference note")," (note SALES CART!C40)","")</f>
        <v>Location 210A (B7M8)
Note: Block 4.08 h &gt;= 4 h (the SALES CART reference note). Reference names caterer MCAT for the KUL/HKG/KUL sector but no uplift station: confirm whether the HKG-KUL sales cart is loaded at KUL (round trip) or at HKG. Reference gives no uplift stn for this item: preparation checked at the meal uplift stn (HKG) - confirm with caterer.</v>
      </c>
      <c r="C54" s="120" t="str">
        <f aca="false">Checks!$N$559&amp;CHAR(10)&amp;IF(ISNUMBER(Checks!$R$559),TEXT(Checks!$R$559,"DD-MMM-YY HH:MM"),"")&amp;" "&amp;Checks!$P$559</f>
        <v>Clarification required
27-Oct-26 02:50 HKG</v>
      </c>
      <c r="D54" s="120" t="str">
        <f aca="false">IF(TRIM(Checks!$U$559)&lt;&gt;"",Checks!$U$559&amp;IF(Checks!$AB$559="","",CHAR(10)&amp;"CA: "&amp;Checks!$AB$559),IF(LEFT(Checks!$AH$559,10)="N/A – RULE","","[ ] Pass"&amp;CHAR(10)&amp;"[ ] Pass after CA"&amp;CHAR(10)&amp;"[ ] Fail"&amp;IF(Checks!$AT$559=1,CHAR(10)&amp;"[ ] N/A","")&amp;CHAR(10)&amp;"CA: Open / Closed"))</f>
        <v>[ ] Pass
[ ] Pass after CA
[ ] Fail
[ ] N/A
CA: Open / Closed</v>
      </c>
      <c r="E54" s="120" t="str">
        <f aca="false">IF(Checks!$V$559="","",Checks!$V$559)&amp;IF(Checks!$AC$559="","",IF(Checks!$V$559="","",CHAR(10))&amp;"N/A just.: "&amp;Checks!$AC$559)&amp;IF(OR(Checks!$W$559&lt;&gt;"",AND(Checks!$AQ$559=1,NOT(LEFT(Checks!$AH$559,10)="N/A – RULE"))),CHAR(10)&amp;"Batch: "&amp;IF(Checks!$W$559="","____________",Checks!$W$559),"")&amp;IF(OR(Checks!$X$559&lt;&gt;"",Checks!$Y$559&lt;&gt;"",AND(Checks!$AR$559=1,NOT(LEFT(Checks!$AH$559,10)="N/A – RULE"))),CHAR(10)&amp;"Exp: "&amp;IF(Checks!$X$559="","______",Checks!$X$559)&amp;"  /  Act: "&amp;IF(Checks!$Y$559="","______",Checks!$Y$559),"")</f>
        <v/>
      </c>
      <c r="F54" s="120" t="str">
        <f aca="false">IF(AND(LEFT(Checks!$AH$559,10)="N/A – RULE",TRIM(Checks!$S$559&amp;Checks!$Z$559)=""),"","Type: "&amp;IF(TRIM(Checks!$S$559)="","______________ (see cover list)",Checks!$S$559)&amp;CHAR(10)&amp;"ID: "&amp;IF(TRIM(Checks!$Z$559)="","______________ (record's own no.)",Checks!$Z$559))&amp;IF(Checks!$AA$559="","",CHAR(10)&amp;"CA: "&amp;Checks!$AA$559)</f>
        <v>Type: ______________ (see cover list)
ID: ______________ (record's own no.)</v>
      </c>
      <c r="G54" s="120" t="str">
        <f aca="false">IF(AND(LEFT(Checks!$AH$559,10)="N/A – RULE",NOT(ISNUMBER(Checks!$AD$559)),Checks!$AE$559="",Checks!$T$559=""),"","Done: "&amp;IF(ISNUMBER(Checks!$AD$559),TEXT(Checks!$AD$559,"DD-MMM-YY HH:MM"),"____________")&amp;" "&amp;Checks!$P$559&amp;CHAR(10)&amp;"Verifier: "&amp;IF(Checks!$AE$559="","____________",Checks!$AE$559)&amp;CHAR(10)&amp;"PIC: "&amp;IF(Checks!$T$559="","____________",Checks!$T$559))</f>
        <v>Done: ____________ HKG
Verifier: ____________
PIC: ____________</v>
      </c>
      <c r="H54" s="121" t="str">
        <f aca="false">IF(Checks!$AH$559="","",Checks!$AH$559)</f>
        <v>OPEN – CLARIFICATION</v>
      </c>
    </row>
    <row r="55" customFormat="false" ht="25.5" hidden="false" customHeight="true" outlineLevel="0" collapsed="false">
      <c r="A55" s="119" t="str">
        <f aca="false">"UPLIFT — Physical uplift – on-board confirmation before departure  |  Due "&amp;"STD "&amp;IF(ISNUMBER(Flights!$I$21),TEXT(Flights!$I$21,"DD-MMM-YY HH:MM"),"")&amp;" "&amp;Flights!$G$21&amp;" (departure stn)"&amp;" (rows with another due show their own)  |  Complete "&amp;IF(ISNUMBER(Flights!$AM$21),TEXT(Flights!$AM$21,"0%"),Flights!$AM$21)&amp;"  |  14 lines"</f>
        <v>UPLIFT — Physical uplift – on-board confirmation before departure  |  Due STD 27-Oct-26 14:50 HKG (departure stn) (rows with another due show their own)  |  Complete 0%  |  14 lines</v>
      </c>
      <c r="B55" s="119"/>
      <c r="C55" s="119"/>
      <c r="D55" s="119"/>
      <c r="E55" s="119"/>
      <c r="F55" s="119"/>
      <c r="G55" s="119"/>
      <c r="H55" s="119"/>
    </row>
    <row r="56" customFormat="false" ht="114" hidden="false" customHeight="true" outlineLevel="0" collapsed="false">
      <c r="A56" s="120" t="str">
        <f aca="false">Checks!$A$560&amp;CHAR(10)&amp;IF(Checks!$I$560="","",Checks!$I$560&amp;": ")&amp;Checks!$J$560</f>
        <v>F17-UPL-01
Meal: Meals physically uplifted on board - quantity vs menu checklist</v>
      </c>
      <c r="B56" s="120" t="str">
        <f aca="false">Checks!$K$560&amp;IF(Checks!$O$560="","",IF(Checks!$K$560="","",CHAR(10))&amp;"Note: "&amp;Checks!$O$560)</f>
        <v>Enter expected &amp; actual
Note: Confirm on board before departure; completion time must fall inside the uplift window.</v>
      </c>
      <c r="C56" s="120" t="str">
        <f aca="false">Checks!$N$560&amp;CHAR(10)&amp;IF(ISNUMBER(Checks!$R$560),TEXT(Checks!$R$560,"DD-MMM-YY HH:MM"),"")&amp;" "&amp;Checks!$P$560</f>
        <v>Required
27-Oct-26 14:50 HKG</v>
      </c>
      <c r="D56" s="120" t="str">
        <f aca="false">IF(TRIM(Checks!$U$560)&lt;&gt;"",Checks!$U$560&amp;IF(Checks!$AB$560="","",CHAR(10)&amp;"CA: "&amp;Checks!$AB$560),IF(LEFT(Checks!$AH$560,10)="N/A – RULE","","[ ] Pass"&amp;CHAR(10)&amp;"[ ] Pass after CA"&amp;CHAR(10)&amp;"[ ] Fail"&amp;IF(Checks!$AT$560=1,CHAR(10)&amp;"[ ] N/A","")&amp;CHAR(10)&amp;"CA: Open / Closed"))</f>
        <v>[ ] Pass
[ ] Pass after CA
[ ] Fail
CA: Open / Closed</v>
      </c>
      <c r="E56" s="120" t="str">
        <f aca="false">IF(Checks!$V$560="","",Checks!$V$560)&amp;IF(Checks!$AC$560="","",IF(Checks!$V$560="","",CHAR(10))&amp;"N/A just.: "&amp;Checks!$AC$560)&amp;IF(OR(Checks!$W$560&lt;&gt;"",AND(Checks!$AQ$560=1,NOT(LEFT(Checks!$AH$560,10)="N/A – RULE"))),CHAR(10)&amp;"Batch: "&amp;IF(Checks!$W$560="","____________",Checks!$W$560),"")&amp;IF(OR(Checks!$X$560&lt;&gt;"",Checks!$Y$560&lt;&gt;"",AND(Checks!$AR$560=1,NOT(LEFT(Checks!$AH$560,10)="N/A – RULE"))),CHAR(10)&amp;"Exp: "&amp;IF(Checks!$X$560="","______",Checks!$X$560)&amp;"  /  Act: "&amp;IF(Checks!$Y$560="","______",Checks!$Y$560),"")</f>
        <v>
Exp: ______  /  Act: ______</v>
      </c>
      <c r="F56" s="120" t="str">
        <f aca="false">IF(AND(LEFT(Checks!$AH$560,10)="N/A – RULE",TRIM(Checks!$S$560&amp;Checks!$Z$560)=""),"","Type: "&amp;IF(TRIM(Checks!$S$560)="","______________ (see cover list)",Checks!$S$560)&amp;CHAR(10)&amp;"ID: "&amp;IF(TRIM(Checks!$Z$560)="","______________ (record's own no.)",Checks!$Z$560))&amp;IF(Checks!$AA$560="","",CHAR(10)&amp;"CA: "&amp;Checks!$AA$560)</f>
        <v>Type: ______________ (see cover list)
ID: ______________ (record's own no.)</v>
      </c>
      <c r="G56" s="120" t="str">
        <f aca="false">IF(AND(LEFT(Checks!$AH$560,10)="N/A – RULE",NOT(ISNUMBER(Checks!$AD$560)),Checks!$AE$560="",Checks!$T$560=""),"","Done: "&amp;IF(ISNUMBER(Checks!$AD$560),TEXT(Checks!$AD$560,"DD-MMM-YY HH:MM"),"____________")&amp;" "&amp;Checks!$P$560&amp;CHAR(10)&amp;"Verifier: "&amp;IF(Checks!$AE$560="","____________",Checks!$AE$560)&amp;CHAR(10)&amp;"PIC: "&amp;IF(Checks!$T$560="","____________",Checks!$T$560))</f>
        <v>Done: ____________ HKG
Verifier: ____________
PIC: ____________</v>
      </c>
      <c r="H56" s="121" t="str">
        <f aca="false">IF(Checks!$AH$560="","",Checks!$AH$560)</f>
        <v>OPEN</v>
      </c>
    </row>
    <row r="57" customFormat="false" ht="114" hidden="false" customHeight="true" outlineLevel="0" collapsed="false">
      <c r="A57" s="120" t="str">
        <f aca="false">Checks!$A$561&amp;CHAR(10)&amp;IF(Checks!$I$561="","",Checks!$I$561&amp;": ")&amp;Checks!$J$561</f>
        <v>F17-UPL-02
Equipment: Equipment physically loaded at GLD positions - quantity &amp; positions</v>
      </c>
      <c r="B57" s="120" t="str">
        <f aca="false">Checks!$K$561&amp;IF(Checks!$O$561="","",IF(Checks!$K$561="","",CHAR(10))&amp;"Note: "&amp;Checks!$O$561)</f>
        <v>Enter expected &amp; actual
Note: Confirm on board before departure; completion time must fall inside the uplift window.</v>
      </c>
      <c r="C57" s="120" t="str">
        <f aca="false">Checks!$N$561&amp;CHAR(10)&amp;IF(ISNUMBER(Checks!$R$561),TEXT(Checks!$R$561,"DD-MMM-YY HH:MM"),"")&amp;" "&amp;Checks!$P$561</f>
        <v>Required
27-Oct-26 14:50 HKG</v>
      </c>
      <c r="D57" s="120" t="str">
        <f aca="false">IF(TRIM(Checks!$U$561)&lt;&gt;"",Checks!$U$561&amp;IF(Checks!$AB$561="","",CHAR(10)&amp;"CA: "&amp;Checks!$AB$561),IF(LEFT(Checks!$AH$561,10)="N/A – RULE","","[ ] Pass"&amp;CHAR(10)&amp;"[ ] Pass after CA"&amp;CHAR(10)&amp;"[ ] Fail"&amp;IF(Checks!$AT$561=1,CHAR(10)&amp;"[ ] N/A","")&amp;CHAR(10)&amp;"CA: Open / Closed"))</f>
        <v>[ ] Pass
[ ] Pass after CA
[ ] Fail
CA: Open / Closed</v>
      </c>
      <c r="E57" s="120" t="str">
        <f aca="false">IF(Checks!$V$561="","",Checks!$V$561)&amp;IF(Checks!$AC$561="","",IF(Checks!$V$561="","",CHAR(10))&amp;"N/A just.: "&amp;Checks!$AC$561)&amp;IF(OR(Checks!$W$561&lt;&gt;"",AND(Checks!$AQ$561=1,NOT(LEFT(Checks!$AH$561,10)="N/A – RULE"))),CHAR(10)&amp;"Batch: "&amp;IF(Checks!$W$561="","____________",Checks!$W$561),"")&amp;IF(OR(Checks!$X$561&lt;&gt;"",Checks!$Y$561&lt;&gt;"",AND(Checks!$AR$561=1,NOT(LEFT(Checks!$AH$561,10)="N/A – RULE"))),CHAR(10)&amp;"Exp: "&amp;IF(Checks!$X$561="","______",Checks!$X$561)&amp;"  /  Act: "&amp;IF(Checks!$Y$561="","______",Checks!$Y$561),"")</f>
        <v>
Exp: ______  /  Act: ______</v>
      </c>
      <c r="F57" s="120" t="str">
        <f aca="false">IF(AND(LEFT(Checks!$AH$561,10)="N/A – RULE",TRIM(Checks!$S$561&amp;Checks!$Z$561)=""),"","Type: "&amp;IF(TRIM(Checks!$S$561)="","______________ (see cover list)",Checks!$S$561)&amp;CHAR(10)&amp;"ID: "&amp;IF(TRIM(Checks!$Z$561)="","______________ (record's own no.)",Checks!$Z$561))&amp;IF(Checks!$AA$561="","",CHAR(10)&amp;"CA: "&amp;Checks!$AA$561)</f>
        <v>Type: ______________ (see cover list)
ID: ______________ (record's own no.)</v>
      </c>
      <c r="G57" s="120" t="str">
        <f aca="false">IF(AND(LEFT(Checks!$AH$561,10)="N/A – RULE",NOT(ISNUMBER(Checks!$AD$561)),Checks!$AE$561="",Checks!$T$561=""),"","Done: "&amp;IF(ISNUMBER(Checks!$AD$561),TEXT(Checks!$AD$561,"DD-MMM-YY HH:MM"),"____________")&amp;" "&amp;Checks!$P$561&amp;CHAR(10)&amp;"Verifier: "&amp;IF(Checks!$AE$561="","____________",Checks!$AE$561)&amp;CHAR(10)&amp;"PIC: "&amp;IF(Checks!$T$561="","____________",Checks!$T$561))</f>
        <v>Done: ____________ HKG
Verifier: ____________
PIC: ____________</v>
      </c>
      <c r="H57" s="121" t="str">
        <f aca="false">IF(Checks!$AH$561="","",Checks!$AH$561)</f>
        <v>OPEN</v>
      </c>
    </row>
    <row r="58" customFormat="false" ht="114" hidden="false" customHeight="true" outlineLevel="0" collapsed="false">
      <c r="A58" s="120" t="str">
        <f aca="false">Checks!$A$562&amp;CHAR(10)&amp;IF(Checks!$I$562="","",Checks!$I$562&amp;": ")&amp;Checks!$J$562</f>
        <v>F17-UPL-03
Uplift plan: KUL-sourced items physically loaded at KUL on the inbound KUL-HKG flight</v>
      </c>
      <c r="B58" s="120" t="str">
        <f aca="false">SUBSTITUTE(Checks!$K$562&amp;IF(Checks!$O$562="","",IF(Checks!$K$562="","",CHAR(10))&amp;"Note: "&amp;Checks!$O$562)," (Flights AX)","")</f>
        <v>Items: Slippers (BS/BC) - Dispo slipper. Quantities as per Requirements
Note: Confirmed at KUL inside the uplift window before the carrying flight's KUL departure.</v>
      </c>
      <c r="C58" s="120" t="str">
        <f aca="false">Checks!$N$562&amp;CHAR(10)&amp;IF(ISNUMBER(Checks!$R$562),TEXT(Checks!$R$562,"DD-MMM-YY HH:MM"),"")&amp;" "&amp;Checks!$P$562</f>
        <v>Required
26-Oct-26 09:10 KUL</v>
      </c>
      <c r="D58" s="120" t="str">
        <f aca="false">IF(TRIM(Checks!$U$562)&lt;&gt;"",Checks!$U$562&amp;IF(Checks!$AB$562="","",CHAR(10)&amp;"CA: "&amp;Checks!$AB$562),IF(LEFT(Checks!$AH$562,10)="N/A – RULE","","[ ] Pass"&amp;CHAR(10)&amp;"[ ] Pass after CA"&amp;CHAR(10)&amp;"[ ] Fail"&amp;IF(Checks!$AT$562=1,CHAR(10)&amp;"[ ] N/A","")&amp;CHAR(10)&amp;"CA: Open / Closed"))</f>
        <v>[ ] Pass
[ ] Pass after CA
[ ] Fail
CA: Open / Closed</v>
      </c>
      <c r="E58" s="120" t="str">
        <f aca="false">IF(Checks!$V$562="","",Checks!$V$562)&amp;IF(Checks!$AC$562="","",IF(Checks!$V$562="","",CHAR(10))&amp;"N/A just.: "&amp;Checks!$AC$562)&amp;IF(OR(Checks!$W$562&lt;&gt;"",AND(Checks!$AQ$562=1,NOT(LEFT(Checks!$AH$562,10)="N/A – RULE"))),CHAR(10)&amp;"Batch: "&amp;IF(Checks!$W$562="","____________",Checks!$W$562),"")&amp;IF(OR(Checks!$X$562&lt;&gt;"",Checks!$Y$562&lt;&gt;"",AND(Checks!$AR$562=1,NOT(LEFT(Checks!$AH$562,10)="N/A – RULE"))),CHAR(10)&amp;"Exp: "&amp;IF(Checks!$X$562="","______",Checks!$X$562)&amp;"  /  Act: "&amp;IF(Checks!$Y$562="","______",Checks!$Y$562),"")</f>
        <v/>
      </c>
      <c r="F58" s="120" t="str">
        <f aca="false">IF(AND(LEFT(Checks!$AH$562,10)="N/A – RULE",TRIM(Checks!$S$562&amp;Checks!$Z$562)=""),"","Type: "&amp;IF(TRIM(Checks!$S$562)="","______________ (see cover list)",Checks!$S$562)&amp;CHAR(10)&amp;"ID: "&amp;IF(TRIM(Checks!$Z$562)="","______________ (record's own no.)",Checks!$Z$562))&amp;IF(Checks!$AA$562="","",CHAR(10)&amp;"CA: "&amp;Checks!$AA$562)</f>
        <v>Type: ______________ (see cover list)
ID: ______________ (record's own no.)</v>
      </c>
      <c r="G58" s="120" t="str">
        <f aca="false">IF(AND(LEFT(Checks!$AH$562,10)="N/A – RULE",NOT(ISNUMBER(Checks!$AD$562)),Checks!$AE$562="",Checks!$T$562=""),"","Done: "&amp;IF(ISNUMBER(Checks!$AD$562),TEXT(Checks!$AD$562,"DD-MMM-YY HH:MM"),"____________")&amp;" "&amp;Checks!$P$562&amp;CHAR(10)&amp;"Verifier: "&amp;IF(Checks!$AE$562="","____________",Checks!$AE$562)&amp;CHAR(10)&amp;"PIC: "&amp;IF(Checks!$T$562="","____________",Checks!$T$562))</f>
        <v>Done: ____________ KUL
Verifier: ____________
PIC: ____________</v>
      </c>
      <c r="H58" s="121" t="str">
        <f aca="false">IF(Checks!$AH$562="","",Checks!$AH$562)</f>
        <v>OPEN</v>
      </c>
    </row>
    <row r="59" customFormat="false" ht="114" hidden="false" customHeight="true" outlineLevel="0" collapsed="false">
      <c r="A59" s="120" t="str">
        <f aca="false">Checks!$A$563&amp;CHAR(10)&amp;IF(Checks!$I$563="","",Checks!$I$563&amp;": ")&amp;Checks!$J$563</f>
        <v>F17-UPL-04
Amenities: Slippers (BS/BC) - Dispo slipper - on board</v>
      </c>
      <c r="B59" s="120" t="str">
        <f aca="false">Checks!$K$563&amp;IF(Checks!$O$563="","",IF(Checks!$K$563="","",CHAR(10))&amp;"Note: "&amp;Checks!$O$563)</f>
        <v>Available (ticked in reference)</v>
      </c>
      <c r="C59" s="120" t="str">
        <f aca="false">Checks!$N$563&amp;CHAR(10)&amp;IF(ISNUMBER(Checks!$R$563),TEXT(Checks!$R$563,"DD-MMM-YY HH:MM"),"")&amp;" "&amp;Checks!$P$563</f>
        <v>Required
27-Oct-26 14:50 HKG</v>
      </c>
      <c r="D59" s="120" t="str">
        <f aca="false">IF(TRIM(Checks!$U$563)&lt;&gt;"",Checks!$U$563&amp;IF(Checks!$AB$563="","",CHAR(10)&amp;"CA: "&amp;Checks!$AB$563),IF(LEFT(Checks!$AH$563,10)="N/A – RULE","","[ ] Pass"&amp;CHAR(10)&amp;"[ ] Pass after CA"&amp;CHAR(10)&amp;"[ ] Fail"&amp;IF(Checks!$AT$563=1,CHAR(10)&amp;"[ ] N/A","")&amp;CHAR(10)&amp;"CA: Open / Closed"))</f>
        <v>[ ] Pass
[ ] Pass after CA
[ ] Fail
CA: Open / Closed</v>
      </c>
      <c r="E59" s="120" t="str">
        <f aca="false">IF(Checks!$V$563="","",Checks!$V$563)&amp;IF(Checks!$AC$563="","",IF(Checks!$V$563="","",CHAR(10))&amp;"N/A just.: "&amp;Checks!$AC$563)&amp;IF(OR(Checks!$W$563&lt;&gt;"",AND(Checks!$AQ$563=1,NOT(LEFT(Checks!$AH$563,10)="N/A – RULE"))),CHAR(10)&amp;"Batch: "&amp;IF(Checks!$W$563="","____________",Checks!$W$563),"")&amp;IF(OR(Checks!$X$563&lt;&gt;"",Checks!$Y$563&lt;&gt;"",AND(Checks!$AR$563=1,NOT(LEFT(Checks!$AH$563,10)="N/A – RULE"))),CHAR(10)&amp;"Exp: "&amp;IF(Checks!$X$563="","______",Checks!$X$563)&amp;"  /  Act: "&amp;IF(Checks!$Y$563="","______",Checks!$Y$563),"")</f>
        <v/>
      </c>
      <c r="F59" s="120" t="str">
        <f aca="false">IF(AND(LEFT(Checks!$AH$563,10)="N/A – RULE",TRIM(Checks!$S$563&amp;Checks!$Z$563)=""),"","Type: "&amp;IF(TRIM(Checks!$S$563)="","______________ (see cover list)",Checks!$S$563)&amp;CHAR(10)&amp;"ID: "&amp;IF(TRIM(Checks!$Z$563)="","______________ (record's own no.)",Checks!$Z$563))&amp;IF(Checks!$AA$563="","",CHAR(10)&amp;"CA: "&amp;Checks!$AA$563)</f>
        <v>Type: ______________ (see cover list)
ID: ______________ (record's own no.)</v>
      </c>
      <c r="G59" s="120" t="str">
        <f aca="false">IF(AND(LEFT(Checks!$AH$563,10)="N/A – RULE",NOT(ISNUMBER(Checks!$AD$563)),Checks!$AE$563="",Checks!$T$563=""),"","Done: "&amp;IF(ISNUMBER(Checks!$AD$563),TEXT(Checks!$AD$563,"DD-MMM-YY HH:MM"),"____________")&amp;" "&amp;Checks!$P$563&amp;CHAR(10)&amp;"Verifier: "&amp;IF(Checks!$AE$563="","____________",Checks!$AE$563)&amp;CHAR(10)&amp;"PIC: "&amp;IF(Checks!$T$563="","____________",Checks!$T$563))</f>
        <v>Done: ____________ HKG
Verifier: ____________
PIC: ____________</v>
      </c>
      <c r="H59" s="121" t="str">
        <f aca="false">IF(Checks!$AH$563="","",Checks!$AH$563)</f>
        <v>OPEN</v>
      </c>
    </row>
    <row r="60" customFormat="false" ht="114" hidden="false" customHeight="true" outlineLevel="0" collapsed="false">
      <c r="A60" s="120" t="str">
        <f aca="false">Checks!$A$564&amp;CHAR(10)&amp;IF(Checks!$I$564="","",Checks!$I$564&amp;": ")&amp;Checks!$J$564</f>
        <v>F17-UPL-05
F&amp;B Linen: Towel - on board</v>
      </c>
      <c r="B60" s="120" t="str">
        <f aca="false">Checks!$K$564&amp;IF(Checks!$O$564="","",IF(Checks!$K$564="","",CHAR(10))&amp;"Note: "&amp;Checks!$O$564)</f>
        <v>Available (ticked in reference)</v>
      </c>
      <c r="C60" s="120" t="str">
        <f aca="false">Checks!$N$564&amp;CHAR(10)&amp;IF(ISNUMBER(Checks!$R$564),TEXT(Checks!$R$564,"DD-MMM-YY HH:MM"),"")&amp;" "&amp;Checks!$P$564</f>
        <v>Required
27-Oct-26 14:50 HKG</v>
      </c>
      <c r="D60" s="120" t="str">
        <f aca="false">IF(TRIM(Checks!$U$564)&lt;&gt;"",Checks!$U$564&amp;IF(Checks!$AB$564="","",CHAR(10)&amp;"CA: "&amp;Checks!$AB$564),IF(LEFT(Checks!$AH$564,10)="N/A – RULE","","[ ] Pass"&amp;CHAR(10)&amp;"[ ] Pass after CA"&amp;CHAR(10)&amp;"[ ] Fail"&amp;IF(Checks!$AT$564=1,CHAR(10)&amp;"[ ] N/A","")&amp;CHAR(10)&amp;"CA: Open / Closed"))</f>
        <v>[ ] Pass
[ ] Pass after CA
[ ] Fail
CA: Open / Closed</v>
      </c>
      <c r="E60" s="120" t="str">
        <f aca="false">IF(Checks!$V$564="","",Checks!$V$564)&amp;IF(Checks!$AC$564="","",IF(Checks!$V$564="","",CHAR(10))&amp;"N/A just.: "&amp;Checks!$AC$564)&amp;IF(OR(Checks!$W$564&lt;&gt;"",AND(Checks!$AQ$564=1,NOT(LEFT(Checks!$AH$564,10)="N/A – RULE"))),CHAR(10)&amp;"Batch: "&amp;IF(Checks!$W$564="","____________",Checks!$W$564),"")&amp;IF(OR(Checks!$X$564&lt;&gt;"",Checks!$Y$564&lt;&gt;"",AND(Checks!$AR$564=1,NOT(LEFT(Checks!$AH$564,10)="N/A – RULE"))),CHAR(10)&amp;"Exp: "&amp;IF(Checks!$X$564="","______",Checks!$X$564)&amp;"  /  Act: "&amp;IF(Checks!$Y$564="","______",Checks!$Y$564),"")</f>
        <v/>
      </c>
      <c r="F60" s="120" t="str">
        <f aca="false">IF(AND(LEFT(Checks!$AH$564,10)="N/A – RULE",TRIM(Checks!$S$564&amp;Checks!$Z$564)=""),"","Type: "&amp;IF(TRIM(Checks!$S$564)="","______________ (see cover list)",Checks!$S$564)&amp;CHAR(10)&amp;"ID: "&amp;IF(TRIM(Checks!$Z$564)="","______________ (record's own no.)",Checks!$Z$564))&amp;IF(Checks!$AA$564="","",CHAR(10)&amp;"CA: "&amp;Checks!$AA$564)</f>
        <v>Type: ______________ (see cover list)
ID: ______________ (record's own no.)</v>
      </c>
      <c r="G60" s="120" t="str">
        <f aca="false">IF(AND(LEFT(Checks!$AH$564,10)="N/A – RULE",NOT(ISNUMBER(Checks!$AD$564)),Checks!$AE$564="",Checks!$T$564=""),"","Done: "&amp;IF(ISNUMBER(Checks!$AD$564),TEXT(Checks!$AD$564,"DD-MMM-YY HH:MM"),"____________")&amp;" "&amp;Checks!$P$564&amp;CHAR(10)&amp;"Verifier: "&amp;IF(Checks!$AE$564="","____________",Checks!$AE$564)&amp;CHAR(10)&amp;"PIC: "&amp;IF(Checks!$T$564="","____________",Checks!$T$564))</f>
        <v>Done: ____________ HKG
Verifier: ____________
PIC: ____________</v>
      </c>
      <c r="H60" s="121" t="str">
        <f aca="false">IF(Checks!$AH$564="","",Checks!$AH$564)</f>
        <v>OPEN</v>
      </c>
    </row>
    <row r="61" customFormat="false" ht="114" hidden="false" customHeight="true" outlineLevel="0" collapsed="false">
      <c r="A61" s="120" t="str">
        <f aca="false">Checks!$A$565&amp;CHAR(10)&amp;IF(Checks!$I$565="","",Checks!$I$565&amp;": ")&amp;Checks!$J$565</f>
        <v>F17-UPL-06
F&amp;B Linen: Tray cloth - on board</v>
      </c>
      <c r="B61" s="120" t="str">
        <f aca="false">Checks!$K$565&amp;IF(Checks!$O$565="","",IF(Checks!$K$565="","",CHAR(10))&amp;"Note: "&amp;Checks!$O$565)</f>
        <v>Available (ticked in reference)</v>
      </c>
      <c r="C61" s="120" t="str">
        <f aca="false">Checks!$N$565&amp;CHAR(10)&amp;IF(ISNUMBER(Checks!$R$565),TEXT(Checks!$R$565,"DD-MMM-YY HH:MM"),"")&amp;" "&amp;Checks!$P$565</f>
        <v>Required
27-Oct-26 14:50 HKG</v>
      </c>
      <c r="D61" s="120" t="str">
        <f aca="false">IF(TRIM(Checks!$U$565)&lt;&gt;"",Checks!$U$565&amp;IF(Checks!$AB$565="","",CHAR(10)&amp;"CA: "&amp;Checks!$AB$565),IF(LEFT(Checks!$AH$565,10)="N/A – RULE","","[ ] Pass"&amp;CHAR(10)&amp;"[ ] Pass after CA"&amp;CHAR(10)&amp;"[ ] Fail"&amp;IF(Checks!$AT$565=1,CHAR(10)&amp;"[ ] N/A","")&amp;CHAR(10)&amp;"CA: Open / Closed"))</f>
        <v>[ ] Pass
[ ] Pass after CA
[ ] Fail
CA: Open / Closed</v>
      </c>
      <c r="E61" s="120" t="str">
        <f aca="false">IF(Checks!$V$565="","",Checks!$V$565)&amp;IF(Checks!$AC$565="","",IF(Checks!$V$565="","",CHAR(10))&amp;"N/A just.: "&amp;Checks!$AC$565)&amp;IF(OR(Checks!$W$565&lt;&gt;"",AND(Checks!$AQ$565=1,NOT(LEFT(Checks!$AH$565,10)="N/A – RULE"))),CHAR(10)&amp;"Batch: "&amp;IF(Checks!$W$565="","____________",Checks!$W$565),"")&amp;IF(OR(Checks!$X$565&lt;&gt;"",Checks!$Y$565&lt;&gt;"",AND(Checks!$AR$565=1,NOT(LEFT(Checks!$AH$565,10)="N/A – RULE"))),CHAR(10)&amp;"Exp: "&amp;IF(Checks!$X$565="","______",Checks!$X$565)&amp;"  /  Act: "&amp;IF(Checks!$Y$565="","______",Checks!$Y$565),"")</f>
        <v/>
      </c>
      <c r="F61" s="120" t="str">
        <f aca="false">IF(AND(LEFT(Checks!$AH$565,10)="N/A – RULE",TRIM(Checks!$S$565&amp;Checks!$Z$565)=""),"","Type: "&amp;IF(TRIM(Checks!$S$565)="","______________ (see cover list)",Checks!$S$565)&amp;CHAR(10)&amp;"ID: "&amp;IF(TRIM(Checks!$Z$565)="","______________ (record's own no.)",Checks!$Z$565))&amp;IF(Checks!$AA$565="","",CHAR(10)&amp;"CA: "&amp;Checks!$AA$565)</f>
        <v>Type: ______________ (see cover list)
ID: ______________ (record's own no.)</v>
      </c>
      <c r="G61" s="120" t="str">
        <f aca="false">IF(AND(LEFT(Checks!$AH$565,10)="N/A – RULE",NOT(ISNUMBER(Checks!$AD$565)),Checks!$AE$565="",Checks!$T$565=""),"","Done: "&amp;IF(ISNUMBER(Checks!$AD$565),TEXT(Checks!$AD$565,"DD-MMM-YY HH:MM"),"____________")&amp;" "&amp;Checks!$P$565&amp;CHAR(10)&amp;"Verifier: "&amp;IF(Checks!$AE$565="","____________",Checks!$AE$565)&amp;CHAR(10)&amp;"PIC: "&amp;IF(Checks!$T$565="","____________",Checks!$T$565))</f>
        <v>Done: ____________ HKG
Verifier: ____________
PIC: ____________</v>
      </c>
      <c r="H61" s="121" t="str">
        <f aca="false">IF(Checks!$AH$565="","",Checks!$AH$565)</f>
        <v>OPEN</v>
      </c>
    </row>
    <row r="62" customFormat="false" ht="114" hidden="false" customHeight="true" outlineLevel="0" collapsed="false">
      <c r="A62" s="120" t="str">
        <f aca="false">Checks!$A$566&amp;CHAR(10)&amp;IF(Checks!$I$566="","",Checks!$I$566&amp;": ")&amp;Checks!$J$566</f>
        <v>F17-UPL-07
F&amp;B Linen: Napkin - on board</v>
      </c>
      <c r="B62" s="120" t="str">
        <f aca="false">Checks!$K$566&amp;IF(Checks!$O$566="","",IF(Checks!$K$566="","",CHAR(10))&amp;"Note: "&amp;Checks!$O$566)</f>
        <v>Available (ticked in reference)</v>
      </c>
      <c r="C62" s="120" t="str">
        <f aca="false">Checks!$N$566&amp;CHAR(10)&amp;IF(ISNUMBER(Checks!$R$566),TEXT(Checks!$R$566,"DD-MMM-YY HH:MM"),"")&amp;" "&amp;Checks!$P$566</f>
        <v>Required
27-Oct-26 14:50 HKG</v>
      </c>
      <c r="D62" s="120" t="str">
        <f aca="false">IF(TRIM(Checks!$U$566)&lt;&gt;"",Checks!$U$566&amp;IF(Checks!$AB$566="","",CHAR(10)&amp;"CA: "&amp;Checks!$AB$566),IF(LEFT(Checks!$AH$566,10)="N/A – RULE","","[ ] Pass"&amp;CHAR(10)&amp;"[ ] Pass after CA"&amp;CHAR(10)&amp;"[ ] Fail"&amp;IF(Checks!$AT$566=1,CHAR(10)&amp;"[ ] N/A","")&amp;CHAR(10)&amp;"CA: Open / Closed"))</f>
        <v>[ ] Pass
[ ] Pass after CA
[ ] Fail
CA: Open / Closed</v>
      </c>
      <c r="E62" s="120" t="str">
        <f aca="false">IF(Checks!$V$566="","",Checks!$V$566)&amp;IF(Checks!$AC$566="","",IF(Checks!$V$566="","",CHAR(10))&amp;"N/A just.: "&amp;Checks!$AC$566)&amp;IF(OR(Checks!$W$566&lt;&gt;"",AND(Checks!$AQ$566=1,NOT(LEFT(Checks!$AH$566,10)="N/A – RULE"))),CHAR(10)&amp;"Batch: "&amp;IF(Checks!$W$566="","____________",Checks!$W$566),"")&amp;IF(OR(Checks!$X$566&lt;&gt;"",Checks!$Y$566&lt;&gt;"",AND(Checks!$AR$566=1,NOT(LEFT(Checks!$AH$566,10)="N/A – RULE"))),CHAR(10)&amp;"Exp: "&amp;IF(Checks!$X$566="","______",Checks!$X$566)&amp;"  /  Act: "&amp;IF(Checks!$Y$566="","______",Checks!$Y$566),"")</f>
        <v/>
      </c>
      <c r="F62" s="120" t="str">
        <f aca="false">IF(AND(LEFT(Checks!$AH$566,10)="N/A – RULE",TRIM(Checks!$S$566&amp;Checks!$Z$566)=""),"","Type: "&amp;IF(TRIM(Checks!$S$566)="","______________ (see cover list)",Checks!$S$566)&amp;CHAR(10)&amp;"ID: "&amp;IF(TRIM(Checks!$Z$566)="","______________ (record's own no.)",Checks!$Z$566))&amp;IF(Checks!$AA$566="","",CHAR(10)&amp;"CA: "&amp;Checks!$AA$566)</f>
        <v>Type: ______________ (see cover list)
ID: ______________ (record's own no.)</v>
      </c>
      <c r="G62" s="120" t="str">
        <f aca="false">IF(AND(LEFT(Checks!$AH$566,10)="N/A – RULE",NOT(ISNUMBER(Checks!$AD$566)),Checks!$AE$566="",Checks!$T$566=""),"","Done: "&amp;IF(ISNUMBER(Checks!$AD$566),TEXT(Checks!$AD$566,"DD-MMM-YY HH:MM"),"____________")&amp;" "&amp;Checks!$P$566&amp;CHAR(10)&amp;"Verifier: "&amp;IF(Checks!$AE$566="","____________",Checks!$AE$566)&amp;CHAR(10)&amp;"PIC: "&amp;IF(Checks!$T$566="","____________",Checks!$T$566))</f>
        <v>Done: ____________ HKG
Verifier: ____________
PIC: ____________</v>
      </c>
      <c r="H62" s="121" t="str">
        <f aca="false">IF(Checks!$AH$566="","",Checks!$AH$566)</f>
        <v>OPEN</v>
      </c>
    </row>
    <row r="63" customFormat="false" ht="201.75" hidden="false" customHeight="true" outlineLevel="0" collapsed="false">
      <c r="A63" s="120" t="str">
        <f aca="false">Checks!$A$567&amp;CHAR(10)&amp;IF(Checks!$I$567="","",Checks!$I$567&amp;": ")&amp;Checks!$J$567</f>
        <v>F17-UPL-08
F&amp;B Linen: Table cloth - on board</v>
      </c>
      <c r="B63" s="120" t="str">
        <f aca="false">SUBSTITUTE(Checks!$K$567&amp;IF(Checks!$O$567="","",IF(Checks!$K$567="","",CHAR(10))&amp;"Note: "&amp;Checks!$O$567),"note F&amp;B LINEN!B78:C78","the F&amp;B LINEN reference note")</f>
        <v>Available (ticked in reference)
Note: Reference contradicts itself: matrix shows a tick for this sector but the F&amp;B LINEN reference note says table cloth is 'Not Applicable for Domestic/Asean &amp; Regional' (ORIENTAL). Confirm before loading; if not carried, mark N/A with the confirmation as justification.</v>
      </c>
      <c r="C63" s="120" t="str">
        <f aca="false">Checks!$N$567&amp;CHAR(10)&amp;IF(ISNUMBER(Checks!$R$567),TEXT(Checks!$R$567,"DD-MMM-YY HH:MM"),"")&amp;" "&amp;Checks!$P$567</f>
        <v>Clarification required
27-Oct-26 14:50 HKG</v>
      </c>
      <c r="D63" s="120" t="str">
        <f aca="false">IF(TRIM(Checks!$U$567)&lt;&gt;"",Checks!$U$567&amp;IF(Checks!$AB$567="","",CHAR(10)&amp;"CA: "&amp;Checks!$AB$567),IF(LEFT(Checks!$AH$567,10)="N/A – RULE","","[ ] Pass"&amp;CHAR(10)&amp;"[ ] Pass after CA"&amp;CHAR(10)&amp;"[ ] Fail"&amp;IF(Checks!$AT$567=1,CHAR(10)&amp;"[ ] N/A","")&amp;CHAR(10)&amp;"CA: Open / Closed"))</f>
        <v>[ ] Pass
[ ] Pass after CA
[ ] Fail
[ ] N/A
CA: Open / Closed</v>
      </c>
      <c r="E63" s="120" t="str">
        <f aca="false">IF(Checks!$V$567="","",Checks!$V$567)&amp;IF(Checks!$AC$567="","",IF(Checks!$V$567="","",CHAR(10))&amp;"N/A just.: "&amp;Checks!$AC$567)&amp;IF(OR(Checks!$W$567&lt;&gt;"",AND(Checks!$AQ$567=1,NOT(LEFT(Checks!$AH$567,10)="N/A – RULE"))),CHAR(10)&amp;"Batch: "&amp;IF(Checks!$W$567="","____________",Checks!$W$567),"")&amp;IF(OR(Checks!$X$567&lt;&gt;"",Checks!$Y$567&lt;&gt;"",AND(Checks!$AR$567=1,NOT(LEFT(Checks!$AH$567,10)="N/A – RULE"))),CHAR(10)&amp;"Exp: "&amp;IF(Checks!$X$567="","______",Checks!$X$567)&amp;"  /  Act: "&amp;IF(Checks!$Y$567="","______",Checks!$Y$567),"")</f>
        <v/>
      </c>
      <c r="F63" s="120" t="str">
        <f aca="false">IF(AND(LEFT(Checks!$AH$567,10)="N/A – RULE",TRIM(Checks!$S$567&amp;Checks!$Z$567)=""),"","Type: "&amp;IF(TRIM(Checks!$S$567)="","______________ (see cover list)",Checks!$S$567)&amp;CHAR(10)&amp;"ID: "&amp;IF(TRIM(Checks!$Z$567)="","______________ (record's own no.)",Checks!$Z$567))&amp;IF(Checks!$AA$567="","",CHAR(10)&amp;"CA: "&amp;Checks!$AA$567)</f>
        <v>Type: ______________ (see cover list)
ID: ______________ (record's own no.)</v>
      </c>
      <c r="G63" s="120" t="str">
        <f aca="false">IF(AND(LEFT(Checks!$AH$567,10)="N/A – RULE",NOT(ISNUMBER(Checks!$AD$567)),Checks!$AE$567="",Checks!$T$567=""),"","Done: "&amp;IF(ISNUMBER(Checks!$AD$567),TEXT(Checks!$AD$567,"DD-MMM-YY HH:MM"),"____________")&amp;" "&amp;Checks!$P$567&amp;CHAR(10)&amp;"Verifier: "&amp;IF(Checks!$AE$567="","____________",Checks!$AE$567)&amp;CHAR(10)&amp;"PIC: "&amp;IF(Checks!$T$567="","____________",Checks!$T$567))</f>
        <v>Done: ____________ HKG
Verifier: ____________
PIC: ____________</v>
      </c>
      <c r="H63" s="121" t="str">
        <f aca="false">IF(Checks!$AH$567="","",Checks!$AH$567)</f>
        <v>OPEN – CLARIFICATION</v>
      </c>
    </row>
    <row r="64" customFormat="false" ht="201.75" hidden="false" customHeight="true" outlineLevel="0" collapsed="false">
      <c r="A64" s="120" t="str">
        <f aca="false">Checks!$A$568&amp;CHAR(10)&amp;IF(Checks!$I$568="","",Checks!$I$568&amp;": ")&amp;Checks!$J$568</f>
        <v>F17-UPL-09
F&amp;B Linen: Bread linen (using table cloth) - on board</v>
      </c>
      <c r="B64" s="120" t="str">
        <f aca="false">SUBSTITUTE(Checks!$K$568&amp;IF(Checks!$O$568="","",IF(Checks!$K$568="","",CHAR(10))&amp;"Note: "&amp;Checks!$O$568),"note F&amp;B LINEN!B78:C78","the F&amp;B LINEN reference note")</f>
        <v>Available (ticked in reference)
Note: Reference contradicts itself: matrix shows a tick for this sector but the F&amp;B LINEN reference note says table cloth is 'Not Applicable for Domestic/Asean &amp; Regional' (ORIENTAL). Confirm before loading; if not carried, mark N/A with the confirmation as justification.</v>
      </c>
      <c r="C64" s="120" t="str">
        <f aca="false">Checks!$N$568&amp;CHAR(10)&amp;IF(ISNUMBER(Checks!$R$568),TEXT(Checks!$R$568,"DD-MMM-YY HH:MM"),"")&amp;" "&amp;Checks!$P$568</f>
        <v>Clarification required
27-Oct-26 14:50 HKG</v>
      </c>
      <c r="D64" s="120" t="str">
        <f aca="false">IF(TRIM(Checks!$U$568)&lt;&gt;"",Checks!$U$568&amp;IF(Checks!$AB$568="","",CHAR(10)&amp;"CA: "&amp;Checks!$AB$568),IF(LEFT(Checks!$AH$568,10)="N/A – RULE","","[ ] Pass"&amp;CHAR(10)&amp;"[ ] Pass after CA"&amp;CHAR(10)&amp;"[ ] Fail"&amp;IF(Checks!$AT$568=1,CHAR(10)&amp;"[ ] N/A","")&amp;CHAR(10)&amp;"CA: Open / Closed"))</f>
        <v>[ ] Pass
[ ] Pass after CA
[ ] Fail
[ ] N/A
CA: Open / Closed</v>
      </c>
      <c r="E64" s="120" t="str">
        <f aca="false">IF(Checks!$V$568="","",Checks!$V$568)&amp;IF(Checks!$AC$568="","",IF(Checks!$V$568="","",CHAR(10))&amp;"N/A just.: "&amp;Checks!$AC$568)&amp;IF(OR(Checks!$W$568&lt;&gt;"",AND(Checks!$AQ$568=1,NOT(LEFT(Checks!$AH$568,10)="N/A – RULE"))),CHAR(10)&amp;"Batch: "&amp;IF(Checks!$W$568="","____________",Checks!$W$568),"")&amp;IF(OR(Checks!$X$568&lt;&gt;"",Checks!$Y$568&lt;&gt;"",AND(Checks!$AR$568=1,NOT(LEFT(Checks!$AH$568,10)="N/A – RULE"))),CHAR(10)&amp;"Exp: "&amp;IF(Checks!$X$568="","______",Checks!$X$568)&amp;"  /  Act: "&amp;IF(Checks!$Y$568="","______",Checks!$Y$568),"")</f>
        <v/>
      </c>
      <c r="F64" s="120" t="str">
        <f aca="false">IF(AND(LEFT(Checks!$AH$568,10)="N/A – RULE",TRIM(Checks!$S$568&amp;Checks!$Z$568)=""),"","Type: "&amp;IF(TRIM(Checks!$S$568)="","______________ (see cover list)",Checks!$S$568)&amp;CHAR(10)&amp;"ID: "&amp;IF(TRIM(Checks!$Z$568)="","______________ (record's own no.)",Checks!$Z$568))&amp;IF(Checks!$AA$568="","",CHAR(10)&amp;"CA: "&amp;Checks!$AA$568)</f>
        <v>Type: ______________ (see cover list)
ID: ______________ (record's own no.)</v>
      </c>
      <c r="G64" s="120" t="str">
        <f aca="false">IF(AND(LEFT(Checks!$AH$568,10)="N/A – RULE",NOT(ISNUMBER(Checks!$AD$568)),Checks!$AE$568="",Checks!$T$568=""),"","Done: "&amp;IF(ISNUMBER(Checks!$AD$568),TEXT(Checks!$AD$568,"DD-MMM-YY HH:MM"),"____________")&amp;" "&amp;Checks!$P$568&amp;CHAR(10)&amp;"Verifier: "&amp;IF(Checks!$AE$568="","____________",Checks!$AE$568)&amp;CHAR(10)&amp;"PIC: "&amp;IF(Checks!$T$568="","____________",Checks!$T$568))</f>
        <v>Done: ____________ HKG
Verifier: ____________
PIC: ____________</v>
      </c>
      <c r="H64" s="121" t="str">
        <f aca="false">IF(Checks!$AH$568="","",Checks!$AH$568)</f>
        <v>OPEN – CLARIFICATION</v>
      </c>
    </row>
    <row r="65" customFormat="false" ht="114" hidden="false" customHeight="true" outlineLevel="0" collapsed="false">
      <c r="A65" s="120" t="str">
        <f aca="false">Checks!$A$569&amp;CHAR(10)&amp;IF(Checks!$I$569="","",Checks!$I$569&amp;": ")&amp;Checks!$J$569</f>
        <v>F17-UPL-10
F&amp;B Linen: Trolley cloth - on board</v>
      </c>
      <c r="B65" s="120" t="str">
        <f aca="false">SUBSTITUTE(SUBSTITUTE(Checks!$K$569&amp;IF(Checks!$O$569="","",IF(Checks!$K$569="","",CHAR(10))&amp;"Note: "&amp;Checks!$O$569),"Per note F&amp;B LINEN!B79:C80.","Per the F&amp;B LINEN reference note."),"note F&amp;B LINEN!B79:C80","the F&amp;B LINEN reference note")</f>
        <v>Narrow body: Top only
Note: Per the F&amp;B LINEN reference note.</v>
      </c>
      <c r="C65" s="120" t="str">
        <f aca="false">Checks!$N$569&amp;CHAR(10)&amp;IF(ISNUMBER(Checks!$R$569),TEXT(Checks!$R$569,"DD-MMM-YY HH:MM"),"")&amp;" "&amp;Checks!$P$569</f>
        <v>Required
27-Oct-26 14:50 HKG</v>
      </c>
      <c r="D65" s="120" t="str">
        <f aca="false">IF(TRIM(Checks!$U$569)&lt;&gt;"",Checks!$U$569&amp;IF(Checks!$AB$569="","",CHAR(10)&amp;"CA: "&amp;Checks!$AB$569),IF(LEFT(Checks!$AH$569,10)="N/A – RULE","","[ ] Pass"&amp;CHAR(10)&amp;"[ ] Pass after CA"&amp;CHAR(10)&amp;"[ ] Fail"&amp;IF(Checks!$AT$569=1,CHAR(10)&amp;"[ ] N/A","")&amp;CHAR(10)&amp;"CA: Open / Closed"))</f>
        <v>[ ] Pass
[ ] Pass after CA
[ ] Fail
CA: Open / Closed</v>
      </c>
      <c r="E65" s="120" t="str">
        <f aca="false">IF(Checks!$V$569="","",Checks!$V$569)&amp;IF(Checks!$AC$569="","",IF(Checks!$V$569="","",CHAR(10))&amp;"N/A just.: "&amp;Checks!$AC$569)&amp;IF(OR(Checks!$W$569&lt;&gt;"",AND(Checks!$AQ$569=1,NOT(LEFT(Checks!$AH$569,10)="N/A – RULE"))),CHAR(10)&amp;"Batch: "&amp;IF(Checks!$W$569="","____________",Checks!$W$569),"")&amp;IF(OR(Checks!$X$569&lt;&gt;"",Checks!$Y$569&lt;&gt;"",AND(Checks!$AR$569=1,NOT(LEFT(Checks!$AH$569,10)="N/A – RULE"))),CHAR(10)&amp;"Exp: "&amp;IF(Checks!$X$569="","______",Checks!$X$569)&amp;"  /  Act: "&amp;IF(Checks!$Y$569="","______",Checks!$Y$569),"")</f>
        <v/>
      </c>
      <c r="F65" s="120" t="str">
        <f aca="false">IF(AND(LEFT(Checks!$AH$569,10)="N/A – RULE",TRIM(Checks!$S$569&amp;Checks!$Z$569)=""),"","Type: "&amp;IF(TRIM(Checks!$S$569)="","______________ (see cover list)",Checks!$S$569)&amp;CHAR(10)&amp;"ID: "&amp;IF(TRIM(Checks!$Z$569)="","______________ (record's own no.)",Checks!$Z$569))&amp;IF(Checks!$AA$569="","",CHAR(10)&amp;"CA: "&amp;Checks!$AA$569)</f>
        <v>Type: ______________ (see cover list)
ID: ______________ (record's own no.)</v>
      </c>
      <c r="G65" s="120" t="str">
        <f aca="false">IF(AND(LEFT(Checks!$AH$569,10)="N/A – RULE",NOT(ISNUMBER(Checks!$AD$569)),Checks!$AE$569="",Checks!$T$569=""),"","Done: "&amp;IF(ISNUMBER(Checks!$AD$569),TEXT(Checks!$AD$569,"DD-MMM-YY HH:MM"),"____________")&amp;" "&amp;Checks!$P$569&amp;CHAR(10)&amp;"Verifier: "&amp;IF(Checks!$AE$569="","____________",Checks!$AE$569)&amp;CHAR(10)&amp;"PIC: "&amp;IF(Checks!$T$569="","____________",Checks!$T$569))</f>
        <v>Done: ____________ HKG
Verifier: ____________
PIC: ____________</v>
      </c>
      <c r="H65" s="121" t="str">
        <f aca="false">IF(Checks!$AH$569="","",Checks!$AH$569)</f>
        <v>OPEN</v>
      </c>
    </row>
    <row r="66" customFormat="false" ht="114" hidden="false" customHeight="true" outlineLevel="0" collapsed="false">
      <c r="A66" s="120" t="str">
        <f aca="false">Checks!$A$570&amp;CHAR(10)&amp;IF(Checks!$I$570="","",Checks!$I$570&amp;": ")&amp;Checks!$J$570</f>
        <v>F17-UPL-11
F&amp;B Linen: Linen bag - on board</v>
      </c>
      <c r="B66" s="120" t="str">
        <f aca="false">Checks!$K$570&amp;IF(Checks!$O$570="","",IF(Checks!$K$570="","",CHAR(10))&amp;"Note: "&amp;Checks!$O$570)</f>
        <v>Available (ticked in reference)</v>
      </c>
      <c r="C66" s="120" t="str">
        <f aca="false">Checks!$N$570&amp;CHAR(10)&amp;IF(ISNUMBER(Checks!$R$570),TEXT(Checks!$R$570,"DD-MMM-YY HH:MM"),"")&amp;" "&amp;Checks!$P$570</f>
        <v>Required
27-Oct-26 14:50 HKG</v>
      </c>
      <c r="D66" s="120" t="str">
        <f aca="false">IF(TRIM(Checks!$U$570)&lt;&gt;"",Checks!$U$570&amp;IF(Checks!$AB$570="","",CHAR(10)&amp;"CA: "&amp;Checks!$AB$570),IF(LEFT(Checks!$AH$570,10)="N/A – RULE","","[ ] Pass"&amp;CHAR(10)&amp;"[ ] Pass after CA"&amp;CHAR(10)&amp;"[ ] Fail"&amp;IF(Checks!$AT$570=1,CHAR(10)&amp;"[ ] N/A","")&amp;CHAR(10)&amp;"CA: Open / Closed"))</f>
        <v>[ ] Pass
[ ] Pass after CA
[ ] Fail
CA: Open / Closed</v>
      </c>
      <c r="E66" s="120" t="str">
        <f aca="false">IF(Checks!$V$570="","",Checks!$V$570)&amp;IF(Checks!$AC$570="","",IF(Checks!$V$570="","",CHAR(10))&amp;"N/A just.: "&amp;Checks!$AC$570)&amp;IF(OR(Checks!$W$570&lt;&gt;"",AND(Checks!$AQ$570=1,NOT(LEFT(Checks!$AH$570,10)="N/A – RULE"))),CHAR(10)&amp;"Batch: "&amp;IF(Checks!$W$570="","____________",Checks!$W$570),"")&amp;IF(OR(Checks!$X$570&lt;&gt;"",Checks!$Y$570&lt;&gt;"",AND(Checks!$AR$570=1,NOT(LEFT(Checks!$AH$570,10)="N/A – RULE"))),CHAR(10)&amp;"Exp: "&amp;IF(Checks!$X$570="","______",Checks!$X$570)&amp;"  /  Act: "&amp;IF(Checks!$Y$570="","______",Checks!$Y$570),"")</f>
        <v/>
      </c>
      <c r="F66" s="120" t="str">
        <f aca="false">IF(AND(LEFT(Checks!$AH$570,10)="N/A – RULE",TRIM(Checks!$S$570&amp;Checks!$Z$570)=""),"","Type: "&amp;IF(TRIM(Checks!$S$570)="","______________ (see cover list)",Checks!$S$570)&amp;CHAR(10)&amp;"ID: "&amp;IF(TRIM(Checks!$Z$570)="","______________ (record's own no.)",Checks!$Z$570))&amp;IF(Checks!$AA$570="","",CHAR(10)&amp;"CA: "&amp;Checks!$AA$570)</f>
        <v>Type: ______________ (see cover list)
ID: ______________ (record's own no.)</v>
      </c>
      <c r="G66" s="120" t="str">
        <f aca="false">IF(AND(LEFT(Checks!$AH$570,10)="N/A – RULE",NOT(ISNUMBER(Checks!$AD$570)),Checks!$AE$570="",Checks!$T$570=""),"","Done: "&amp;IF(ISNUMBER(Checks!$AD$570),TEXT(Checks!$AD$570,"DD-MMM-YY HH:MM"),"____________")&amp;" "&amp;Checks!$P$570&amp;CHAR(10)&amp;"Verifier: "&amp;IF(Checks!$AE$570="","____________",Checks!$AE$570)&amp;CHAR(10)&amp;"PIC: "&amp;IF(Checks!$T$570="","____________",Checks!$T$570))</f>
        <v>Done: ____________ HKG
Verifier: ____________
PIC: ____________</v>
      </c>
      <c r="H66" s="121" t="str">
        <f aca="false">IF(Checks!$AH$570="","",Checks!$AH$570)</f>
        <v>OPEN</v>
      </c>
    </row>
    <row r="67" customFormat="false" ht="114" hidden="false" customHeight="true" outlineLevel="0" collapsed="false">
      <c r="A67" s="120" t="str">
        <f aca="false">Checks!$A$571&amp;CHAR(10)&amp;IF(Checks!$I$571="","",Checks!$I$571&amp;": ")&amp;Checks!$J$571</f>
        <v>F17-UPL-12
Seat Linen: Seat pillow (BS &amp; BC) - on board</v>
      </c>
      <c r="B67" s="120" t="str">
        <f aca="false">Checks!$K$571&amp;IF(Checks!$O$571="","",IF(Checks!$K$571="","",CHAR(10))&amp;"Note: "&amp;Checks!$O$571)</f>
        <v>Available 100% (ticked in reference)</v>
      </c>
      <c r="C67" s="120" t="str">
        <f aca="false">Checks!$N$571&amp;CHAR(10)&amp;IF(ISNUMBER(Checks!$R$571),TEXT(Checks!$R$571,"DD-MMM-YY HH:MM"),"")&amp;" "&amp;Checks!$P$571</f>
        <v>Required
27-Oct-26 14:50 HKG</v>
      </c>
      <c r="D67" s="120" t="str">
        <f aca="false">IF(TRIM(Checks!$U$571)&lt;&gt;"",Checks!$U$571&amp;IF(Checks!$AB$571="","",CHAR(10)&amp;"CA: "&amp;Checks!$AB$571),IF(LEFT(Checks!$AH$571,10)="N/A – RULE","","[ ] Pass"&amp;CHAR(10)&amp;"[ ] Pass after CA"&amp;CHAR(10)&amp;"[ ] Fail"&amp;IF(Checks!$AT$571=1,CHAR(10)&amp;"[ ] N/A","")&amp;CHAR(10)&amp;"CA: Open / Closed"))</f>
        <v>[ ] Pass
[ ] Pass after CA
[ ] Fail
CA: Open / Closed</v>
      </c>
      <c r="E67" s="120" t="str">
        <f aca="false">IF(Checks!$V$571="","",Checks!$V$571)&amp;IF(Checks!$AC$571="","",IF(Checks!$V$571="","",CHAR(10))&amp;"N/A just.: "&amp;Checks!$AC$571)&amp;IF(OR(Checks!$W$571&lt;&gt;"",AND(Checks!$AQ$571=1,NOT(LEFT(Checks!$AH$571,10)="N/A – RULE"))),CHAR(10)&amp;"Batch: "&amp;IF(Checks!$W$571="","____________",Checks!$W$571),"")&amp;IF(OR(Checks!$X$571&lt;&gt;"",Checks!$Y$571&lt;&gt;"",AND(Checks!$AR$571=1,NOT(LEFT(Checks!$AH$571,10)="N/A – RULE"))),CHAR(10)&amp;"Exp: "&amp;IF(Checks!$X$571="","______",Checks!$X$571)&amp;"  /  Act: "&amp;IF(Checks!$Y$571="","______",Checks!$Y$571),"")</f>
        <v/>
      </c>
      <c r="F67" s="120" t="str">
        <f aca="false">IF(AND(LEFT(Checks!$AH$571,10)="N/A – RULE",TRIM(Checks!$S$571&amp;Checks!$Z$571)=""),"","Type: "&amp;IF(TRIM(Checks!$S$571)="","______________ (see cover list)",Checks!$S$571)&amp;CHAR(10)&amp;"ID: "&amp;IF(TRIM(Checks!$Z$571)="","______________ (record's own no.)",Checks!$Z$571))&amp;IF(Checks!$AA$571="","",CHAR(10)&amp;"CA: "&amp;Checks!$AA$571)</f>
        <v>Type: ______________ (see cover list)
ID: ______________ (record's own no.)</v>
      </c>
      <c r="G67" s="120" t="str">
        <f aca="false">IF(AND(LEFT(Checks!$AH$571,10)="N/A – RULE",NOT(ISNUMBER(Checks!$AD$571)),Checks!$AE$571="",Checks!$T$571=""),"","Done: "&amp;IF(ISNUMBER(Checks!$AD$571),TEXT(Checks!$AD$571,"DD-MMM-YY HH:MM"),"____________")&amp;" "&amp;Checks!$P$571&amp;CHAR(10)&amp;"Verifier: "&amp;IF(Checks!$AE$571="","____________",Checks!$AE$571)&amp;CHAR(10)&amp;"PIC: "&amp;IF(Checks!$T$571="","____________",Checks!$T$571))</f>
        <v>Done: ____________ HKG
Verifier: ____________
PIC: ____________</v>
      </c>
      <c r="H67" s="121" t="str">
        <f aca="false">IF(Checks!$AH$571="","",Checks!$AH$571)</f>
        <v>OPEN</v>
      </c>
    </row>
    <row r="68" customFormat="false" ht="114" hidden="false" customHeight="true" outlineLevel="0" collapsed="false">
      <c r="A68" s="120" t="str">
        <f aca="false">Checks!$A$572&amp;CHAR(10)&amp;IF(Checks!$I$572="","",Checks!$I$572&amp;": ")&amp;Checks!$J$572</f>
        <v>F17-UPL-13
Seat Linen: Blanket (BS &amp; BC) - on board</v>
      </c>
      <c r="B68" s="120" t="str">
        <f aca="false">Checks!$K$572&amp;IF(Checks!$O$572="","",IF(Checks!$K$572="","",CHAR(10))&amp;"Note: "&amp;Checks!$O$572)</f>
        <v>Available 100% (ticked in reference)</v>
      </c>
      <c r="C68" s="120" t="str">
        <f aca="false">Checks!$N$572&amp;CHAR(10)&amp;IF(ISNUMBER(Checks!$R$572),TEXT(Checks!$R$572,"DD-MMM-YY HH:MM"),"")&amp;" "&amp;Checks!$P$572</f>
        <v>Required
27-Oct-26 14:50 HKG</v>
      </c>
      <c r="D68" s="120" t="str">
        <f aca="false">IF(TRIM(Checks!$U$572)&lt;&gt;"",Checks!$U$572&amp;IF(Checks!$AB$572="","",CHAR(10)&amp;"CA: "&amp;Checks!$AB$572),IF(LEFT(Checks!$AH$572,10)="N/A – RULE","","[ ] Pass"&amp;CHAR(10)&amp;"[ ] Pass after CA"&amp;CHAR(10)&amp;"[ ] Fail"&amp;IF(Checks!$AT$572=1,CHAR(10)&amp;"[ ] N/A","")&amp;CHAR(10)&amp;"CA: Open / Closed"))</f>
        <v>[ ] Pass
[ ] Pass after CA
[ ] Fail
CA: Open / Closed</v>
      </c>
      <c r="E68" s="120" t="str">
        <f aca="false">IF(Checks!$V$572="","",Checks!$V$572)&amp;IF(Checks!$AC$572="","",IF(Checks!$V$572="","",CHAR(10))&amp;"N/A just.: "&amp;Checks!$AC$572)&amp;IF(OR(Checks!$W$572&lt;&gt;"",AND(Checks!$AQ$572=1,NOT(LEFT(Checks!$AH$572,10)="N/A – RULE"))),CHAR(10)&amp;"Batch: "&amp;IF(Checks!$W$572="","____________",Checks!$W$572),"")&amp;IF(OR(Checks!$X$572&lt;&gt;"",Checks!$Y$572&lt;&gt;"",AND(Checks!$AR$572=1,NOT(LEFT(Checks!$AH$572,10)="N/A – RULE"))),CHAR(10)&amp;"Exp: "&amp;IF(Checks!$X$572="","______",Checks!$X$572)&amp;"  /  Act: "&amp;IF(Checks!$Y$572="","______",Checks!$Y$572),"")</f>
        <v/>
      </c>
      <c r="F68" s="120" t="str">
        <f aca="false">IF(AND(LEFT(Checks!$AH$572,10)="N/A – RULE",TRIM(Checks!$S$572&amp;Checks!$Z$572)=""),"","Type: "&amp;IF(TRIM(Checks!$S$572)="","______________ (see cover list)",Checks!$S$572)&amp;CHAR(10)&amp;"ID: "&amp;IF(TRIM(Checks!$Z$572)="","______________ (record's own no.)",Checks!$Z$572))&amp;IF(Checks!$AA$572="","",CHAR(10)&amp;"CA: "&amp;Checks!$AA$572)</f>
        <v>Type: ______________ (see cover list)
ID: ______________ (record's own no.)</v>
      </c>
      <c r="G68" s="120" t="str">
        <f aca="false">IF(AND(LEFT(Checks!$AH$572,10)="N/A – RULE",NOT(ISNUMBER(Checks!$AD$572)),Checks!$AE$572="",Checks!$T$572=""),"","Done: "&amp;IF(ISNUMBER(Checks!$AD$572),TEXT(Checks!$AD$572,"DD-MMM-YY HH:MM"),"____________")&amp;" "&amp;Checks!$P$572&amp;CHAR(10)&amp;"Verifier: "&amp;IF(Checks!$AE$572="","____________",Checks!$AE$572)&amp;CHAR(10)&amp;"PIC: "&amp;IF(Checks!$T$572="","____________",Checks!$T$572))</f>
        <v>Done: ____________ HKG
Verifier: ____________
PIC: ____________</v>
      </c>
      <c r="H68" s="121" t="str">
        <f aca="false">IF(Checks!$AH$572="","",Checks!$AH$572)</f>
        <v>OPEN</v>
      </c>
    </row>
    <row r="69" customFormat="false" ht="147" hidden="false" customHeight="true" outlineLevel="0" collapsed="false">
      <c r="A69" s="120" t="str">
        <f aca="false">Checks!$A$573&amp;CHAR(10)&amp;IF(Checks!$I$573="","",Checks!$I$573&amp;": ")&amp;Checks!$J$573</f>
        <v>F17-UPL-14
Sales Cart: Sales cart (caterer MCAT) - on board</v>
      </c>
      <c r="B69" s="120" t="str">
        <f aca="false">SUBSTITUTE(SUBSTITUTE(Checks!$K$573&amp;IF(Checks!$O$573="","",IF(Checks!$K$573="","",CHAR(10))&amp;"Note: "&amp;Checks!$O$573),"note SALES CART!C40","the SALES CART reference note")," (note SALES CART!C40)","")</f>
        <v>Location 210A (B7M8)
Note: Block 4.08 h &gt;= 4 h (the SALES CART reference note). Reference names caterer MCAT for the KUL/HKG/KUL sector but no uplift station: confirm whether the HKG-KUL sales cart is loaded at KUL (round trip) or at HKG.</v>
      </c>
      <c r="C69" s="120" t="str">
        <f aca="false">Checks!$N$573&amp;CHAR(10)&amp;IF(ISNUMBER(Checks!$R$573),TEXT(Checks!$R$573,"DD-MMM-YY HH:MM"),"")&amp;" "&amp;Checks!$P$573</f>
        <v>Clarification required
27-Oct-26 14:50 HKG</v>
      </c>
      <c r="D69" s="120" t="str">
        <f aca="false">IF(TRIM(Checks!$U$573)&lt;&gt;"",Checks!$U$573&amp;IF(Checks!$AB$573="","",CHAR(10)&amp;"CA: "&amp;Checks!$AB$573),IF(LEFT(Checks!$AH$573,10)="N/A – RULE","","[ ] Pass"&amp;CHAR(10)&amp;"[ ] Pass after CA"&amp;CHAR(10)&amp;"[ ] Fail"&amp;IF(Checks!$AT$573=1,CHAR(10)&amp;"[ ] N/A","")&amp;CHAR(10)&amp;"CA: Open / Closed"))</f>
        <v>[ ] Pass
[ ] Pass after CA
[ ] Fail
[ ] N/A
CA: Open / Closed</v>
      </c>
      <c r="E69" s="120" t="str">
        <f aca="false">IF(Checks!$V$573="","",Checks!$V$573)&amp;IF(Checks!$AC$573="","",IF(Checks!$V$573="","",CHAR(10))&amp;"N/A just.: "&amp;Checks!$AC$573)&amp;IF(OR(Checks!$W$573&lt;&gt;"",AND(Checks!$AQ$573=1,NOT(LEFT(Checks!$AH$573,10)="N/A – RULE"))),CHAR(10)&amp;"Batch: "&amp;IF(Checks!$W$573="","____________",Checks!$W$573),"")&amp;IF(OR(Checks!$X$573&lt;&gt;"",Checks!$Y$573&lt;&gt;"",AND(Checks!$AR$573=1,NOT(LEFT(Checks!$AH$573,10)="N/A – RULE"))),CHAR(10)&amp;"Exp: "&amp;IF(Checks!$X$573="","______",Checks!$X$573)&amp;"  /  Act: "&amp;IF(Checks!$Y$573="","______",Checks!$Y$573),"")</f>
        <v/>
      </c>
      <c r="F69" s="120" t="str">
        <f aca="false">IF(AND(LEFT(Checks!$AH$573,10)="N/A – RULE",TRIM(Checks!$S$573&amp;Checks!$Z$573)=""),"","Type: "&amp;IF(TRIM(Checks!$S$573)="","______________ (see cover list)",Checks!$S$573)&amp;CHAR(10)&amp;"ID: "&amp;IF(TRIM(Checks!$Z$573)="","______________ (record's own no.)",Checks!$Z$573))&amp;IF(Checks!$AA$573="","",CHAR(10)&amp;"CA: "&amp;Checks!$AA$573)</f>
        <v>Type: ______________ (see cover list)
ID: ______________ (record's own no.)</v>
      </c>
      <c r="G69" s="120" t="str">
        <f aca="false">IF(AND(LEFT(Checks!$AH$573,10)="N/A – RULE",NOT(ISNUMBER(Checks!$AD$573)),Checks!$AE$573="",Checks!$T$573=""),"","Done: "&amp;IF(ISNUMBER(Checks!$AD$573),TEXT(Checks!$AD$573,"DD-MMM-YY HH:MM"),"____________")&amp;" "&amp;Checks!$P$573&amp;CHAR(10)&amp;"Verifier: "&amp;IF(Checks!$AE$573="","____________",Checks!$AE$573)&amp;CHAR(10)&amp;"PIC: "&amp;IF(Checks!$T$573="","____________",Checks!$T$573))</f>
        <v>Done: ____________ HKG
Verifier: ____________
PIC: ____________</v>
      </c>
      <c r="H69" s="121" t="str">
        <f aca="false">IF(Checks!$AH$573="","",Checks!$AH$573)</f>
        <v>OPEN – CLARIFICATION</v>
      </c>
    </row>
    <row r="71" customFormat="false" ht="24" hidden="false" customHeight="true" outlineLevel="0" collapsed="false">
      <c r="A71" s="122" t="s">
        <v>4832</v>
      </c>
      <c r="B71" s="122"/>
      <c r="C71" s="122"/>
      <c r="D71" s="122"/>
      <c r="E71" s="122" t="s">
        <v>4833</v>
      </c>
      <c r="F71" s="122"/>
      <c r="G71" s="122"/>
      <c r="H71" s="122"/>
    </row>
    <row r="72" customFormat="false" ht="21.75" hidden="false" customHeight="true" outlineLevel="0" collapsed="false">
      <c r="A72" s="123"/>
      <c r="B72" s="123"/>
      <c r="C72" s="123"/>
      <c r="D72" s="123"/>
      <c r="E72" s="123"/>
      <c r="F72" s="123"/>
      <c r="G72" s="123"/>
      <c r="H72" s="123"/>
    </row>
    <row r="73" customFormat="false" ht="21.75" hidden="false" customHeight="true" outlineLevel="0" collapsed="false">
      <c r="A73" s="123"/>
      <c r="B73" s="123"/>
      <c r="C73" s="123"/>
      <c r="D73" s="123"/>
      <c r="E73" s="123"/>
      <c r="F73" s="123"/>
      <c r="G73" s="123"/>
      <c r="H73" s="123"/>
    </row>
    <row r="74" customFormat="false" ht="21.75" hidden="false" customHeight="true" outlineLevel="0" collapsed="false">
      <c r="A74" s="123"/>
      <c r="B74" s="123"/>
      <c r="C74" s="123"/>
      <c r="D74" s="123"/>
      <c r="E74" s="123"/>
      <c r="F74" s="123"/>
      <c r="G74" s="123"/>
      <c r="H74" s="123"/>
    </row>
    <row r="75" customFormat="false" ht="21.75" hidden="false" customHeight="true" outlineLevel="0" collapsed="false">
      <c r="A75" s="123"/>
      <c r="B75" s="123"/>
      <c r="C75" s="123"/>
      <c r="D75" s="123"/>
      <c r="E75" s="123"/>
      <c r="F75" s="123"/>
      <c r="G75" s="123"/>
      <c r="H75" s="123"/>
    </row>
    <row r="76" customFormat="false" ht="21.75" hidden="false" customHeight="true" outlineLevel="0" collapsed="false">
      <c r="A76" s="123"/>
      <c r="B76" s="123"/>
      <c r="C76" s="123"/>
      <c r="D76" s="123"/>
      <c r="E76" s="123"/>
      <c r="F76" s="123"/>
      <c r="G76" s="123"/>
      <c r="H76" s="123"/>
    </row>
    <row r="77" customFormat="false" ht="21.75" hidden="false" customHeight="true" outlineLevel="0" collapsed="false">
      <c r="A77" s="123"/>
      <c r="B77" s="123"/>
      <c r="C77" s="123"/>
      <c r="D77" s="123"/>
      <c r="E77" s="123"/>
      <c r="F77" s="123"/>
      <c r="G77" s="123"/>
      <c r="H77" s="123"/>
    </row>
    <row r="78" customFormat="false" ht="21.75" hidden="false" customHeight="true" outlineLevel="0" collapsed="false">
      <c r="A78" s="123"/>
      <c r="B78" s="123"/>
      <c r="C78" s="123"/>
      <c r="D78" s="123"/>
      <c r="E78" s="123"/>
      <c r="F78" s="123"/>
      <c r="G78" s="123"/>
      <c r="H78" s="123"/>
    </row>
    <row r="79" customFormat="false" ht="21.75" hidden="false" customHeight="true" outlineLevel="0" collapsed="false">
      <c r="A79" s="123"/>
      <c r="B79" s="123"/>
      <c r="C79" s="123"/>
      <c r="D79" s="123"/>
      <c r="E79" s="123"/>
      <c r="F79" s="123"/>
      <c r="G79" s="123"/>
      <c r="H79" s="123"/>
    </row>
    <row r="80" customFormat="false" ht="21.75" hidden="false" customHeight="true" outlineLevel="0" collapsed="false">
      <c r="A80" s="123"/>
      <c r="B80" s="123"/>
      <c r="C80" s="123"/>
      <c r="D80" s="123"/>
      <c r="E80" s="123"/>
      <c r="F80" s="123"/>
      <c r="G80" s="123"/>
      <c r="H80" s="123"/>
    </row>
    <row r="81" customFormat="false" ht="21.75" hidden="false" customHeight="true" outlineLevel="0" collapsed="false">
      <c r="A81" s="123"/>
      <c r="B81" s="123"/>
      <c r="C81" s="123"/>
      <c r="D81" s="123"/>
      <c r="E81" s="123"/>
      <c r="F81" s="123"/>
      <c r="G81" s="123"/>
      <c r="H81" s="123"/>
    </row>
  </sheetData>
  <sheetProtection sheet="true" formatCells="false" formatColumns="false" formatRows="false" autoFilter="false"/>
  <mergeCells count="46">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A14:H14"/>
    <mergeCell ref="C15:D15"/>
    <mergeCell ref="F15:H15"/>
    <mergeCell ref="C16:D16"/>
    <mergeCell ref="F16:H16"/>
    <mergeCell ref="C17:D17"/>
    <mergeCell ref="F17:H17"/>
    <mergeCell ref="B18:H18"/>
    <mergeCell ref="A19:B19"/>
    <mergeCell ref="C19:E19"/>
    <mergeCell ref="F19:H19"/>
    <mergeCell ref="A20:B20"/>
    <mergeCell ref="C20:E20"/>
    <mergeCell ref="F20:H20"/>
    <mergeCell ref="A21:B21"/>
    <mergeCell ref="C21:E21"/>
    <mergeCell ref="F21:H21"/>
    <mergeCell ref="A23:H23"/>
    <mergeCell ref="A34:H34"/>
    <mergeCell ref="A36:H36"/>
    <mergeCell ref="A55:H55"/>
    <mergeCell ref="A71:D71"/>
    <mergeCell ref="E71:H71"/>
    <mergeCell ref="A72:D81"/>
    <mergeCell ref="E72:H81"/>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6">
    <cfRule type="expression" priority="9" aboveAverage="0" equalAverage="0" bottom="0" percent="0" rank="0" text="" dxfId="30">
      <formula>LEFT($E$16,11)="OUTSTANDING"</formula>
    </cfRule>
    <cfRule type="expression" priority="10" aboveAverage="0" equalAverage="0" bottom="0" percent="0" rank="0" text="" dxfId="27">
      <formula>$E$16="ON FILE"</formula>
    </cfRule>
  </conditionalFormatting>
  <conditionalFormatting sqref="E17">
    <cfRule type="expression" priority="11" aboveAverage="0" equalAverage="0" bottom="0" percent="0" rank="0" text="" dxfId="30">
      <formula>LEFT($E$17,11)="OUTSTANDING"</formula>
    </cfRule>
    <cfRule type="expression" priority="12" aboveAverage="0" equalAverage="0" bottom="0" percent="0" rank="0" text="" dxfId="27">
      <formula>$E$17="ON FILE"</formula>
    </cfRule>
  </conditionalFormatting>
  <conditionalFormatting sqref="H24:H69">
    <cfRule type="expression" priority="13" aboveAverage="0" equalAverage="0" bottom="0" percent="0" rank="0" text="" dxfId="31">
      <formula>ISNUMBER(SEARCH("CHECK WORDING",$H24))</formula>
    </cfRule>
    <cfRule type="expression" priority="14" aboveAverage="0" equalAverage="0" bottom="0" percent="0" rank="0" text="" dxfId="32">
      <formula>LEFT($H24,8)="COMPLETE"</formula>
    </cfRule>
    <cfRule type="expression" priority="15" aboveAverage="0" equalAverage="0" bottom="0" percent="0" rank="0" text="" dxfId="28">
      <formula>OR(LEFT($H24,7)="OVERDUE",LEFT($H24,4)="FAIL",LEFT($H24,7)="INVALID")</formula>
    </cfRule>
    <cfRule type="expression" priority="16" aboveAverage="0" equalAverage="0" bottom="0" percent="0" rank="0" text="" dxfId="33">
      <formula>LEFT($H24,4)="OPEN"</formula>
    </cfRule>
    <cfRule type="expression" priority="17" aboveAverage="0" equalAverage="0" bottom="0" percent="0" rank="0" text="" dxfId="34">
      <formula>LEFT($H24,3)="N/A"</formula>
    </cfRule>
  </conditionalFormatting>
  <conditionalFormatting sqref="A24:G69">
    <cfRule type="expression" priority="18" aboveAverage="0" equalAverage="0" bottom="0" percent="0" rank="0" text="" dxfId="35">
      <formula>LEFT($H24,3)="N/A"</formula>
    </cfRule>
  </conditionalFormatting>
  <conditionalFormatting sqref="D24:D69">
    <cfRule type="expression" priority="19" aboveAverage="0" equalAverage="0" bottom="0" percent="0" rank="0" text="" dxfId="28">
      <formula>LEFT($D24,4)="Fail"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F17 MH0073 27-Oct-26 HKG-KUL Class BC</oddHeader>
    <oddFooter>&amp;L&amp;"Arial,Bold"&amp;8 F17 MH0073 27-Oct-26 HKG-KUL Class BC&amp;C&amp;"Arial,Regular"&amp;8 Printed: ____________________&amp;R&amp;"Arial,Regular"&amp;8 F17  Page &amp;P of &amp;N</oddFooter>
  </headerFooter>
  <rowBreaks count="15" manualBreakCount="15">
    <brk id="21" man="true" max="16383" min="0"/>
    <brk id="27" man="true" max="16383" min="0"/>
    <brk id="31" man="true" max="16383" min="0"/>
    <brk id="33" man="true" max="16383" min="0"/>
    <brk id="38" man="true" max="16383" min="0"/>
    <brk id="41" man="true" max="16383" min="0"/>
    <brk id="44" man="true" max="16383" min="0"/>
    <brk id="47" man="true" max="16383" min="0"/>
    <brk id="48" man="true" max="16383" min="0"/>
    <brk id="50" man="true" max="16383" min="0"/>
    <brk id="53" man="true" max="16383" min="0"/>
    <brk id="57" man="true" max="16383" min="0"/>
    <brk id="61" man="true" max="16383" min="0"/>
    <brk id="63" man="true" max="16383" min="0"/>
    <brk id="66" man="true" max="16383" min="0"/>
  </rowBreaks>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F18  "&amp;Flights!$F$22&amp;"  "&amp;TEXT(Flights!$D$22,"DD-MMM-YY")&amp;" ("&amp;Flights!$E$22&amp;")  "&amp;Flights!$G$22&amp;" → "&amp;Flights!$H$22&amp;"  |  Class "&amp;Flights!$K$22</f>
        <v>SKYTRAX 2026 CATERING READINESS CHECKLIST  |  F18  MH0052  27-Oct-26 (TUE)  KUL → KIX  |  Class BC</v>
      </c>
      <c r="B1" s="93"/>
      <c r="C1" s="93"/>
      <c r="D1" s="93"/>
      <c r="E1" s="93"/>
      <c r="F1" s="93"/>
      <c r="G1" s="93"/>
      <c r="H1" s="93"/>
    </row>
    <row r="2" customFormat="false" ht="12.75" hidden="false" customHeight="true" outlineLevel="0" collapsed="false">
      <c r="A2" s="94" t="s">
        <v>4788</v>
      </c>
      <c r="B2" s="95" t="str">
        <f aca="false">Flights!$F$22&amp;"   "&amp;TEXT(Flights!$D$22,"DD-MMM-YY")&amp;" ("&amp;Flights!$E$22&amp;")"</f>
        <v>MH0052   27-Oct-26 (TUE)</v>
      </c>
      <c r="C2" s="95"/>
      <c r="D2" s="95"/>
      <c r="E2" s="96" t="s">
        <v>4789</v>
      </c>
      <c r="F2" s="97" t="str">
        <f aca="false">Flights!$AT$22</f>
        <v>NOT READY – DOCUMENTS</v>
      </c>
      <c r="G2" s="97"/>
      <c r="H2" s="97"/>
    </row>
    <row r="3" customFormat="false" ht="24" hidden="false" customHeight="true" outlineLevel="0" collapsed="false">
      <c r="A3" s="94" t="s">
        <v>4790</v>
      </c>
      <c r="B3" s="95" t="str">
        <f aca="false">Flights!$G$22&amp;" → "&amp;Flights!$H$22&amp;"   Class "&amp;Flights!$K$22&amp;"   Seat "&amp;Flights!$O$22</f>
        <v>KUL → KIX   Class BC   Seat 1D</v>
      </c>
      <c r="C3" s="95"/>
      <c r="D3" s="95"/>
      <c r="E3" s="96" t="s">
        <v>73</v>
      </c>
      <c r="F3" s="96" t="s">
        <v>4791</v>
      </c>
      <c r="G3" s="96" t="s">
        <v>4792</v>
      </c>
      <c r="H3" s="96"/>
    </row>
    <row r="4" customFormat="false" ht="24" hidden="false" customHeight="true" outlineLevel="0" collapsed="false">
      <c r="A4" s="94" t="s">
        <v>4793</v>
      </c>
      <c r="B4" s="95" t="str">
        <f aca="false">IF(ISNUMBER(Flights!$I$22),TEXT(Flights!$I$22,"DD-MMM-YY HH:MM"),"")&amp;" "&amp;Flights!$G$22&amp;"  →  "&amp;IF(ISNUMBER(Flights!$J$22),TEXT(Flights!$J$22,"DD-MMM-YY HH:MM"),"")&amp;" "&amp;Flights!$H$22</f>
        <v>27-Oct-26 22:25 KUL  →  28-Oct-26 05:55 KIX</v>
      </c>
      <c r="C4" s="95"/>
      <c r="D4" s="95"/>
      <c r="E4" s="94" t="s">
        <v>4794</v>
      </c>
      <c r="F4" s="98" t="str">
        <f aca="false">IF(ISNUMBER(Flights!$AG$22),TEXT(Flights!$AG$22,"DD-MMM-YY HH:MM"),"")&amp;" "&amp;Flights!$V$22</f>
        <v>20-Oct-26 22:25 KUL</v>
      </c>
      <c r="G4" s="99" t="n">
        <f aca="false">Flights!$AJ$22</f>
        <v>0</v>
      </c>
      <c r="H4" s="99"/>
    </row>
    <row r="5" customFormat="false" ht="24" hidden="false" customHeight="true" outlineLevel="0" collapsed="false">
      <c r="A5" s="94" t="s">
        <v>4795</v>
      </c>
      <c r="B5" s="95" t="str">
        <f aca="false">Flights!$L$22&amp;" – "&amp;Flights!$M$22</f>
        <v>A333 – A330-300 (A333)</v>
      </c>
      <c r="C5" s="95"/>
      <c r="D5" s="95"/>
      <c r="E5" s="94" t="s">
        <v>4796</v>
      </c>
      <c r="F5" s="98" t="str">
        <f aca="false">IF(ISNUMBER(Flights!$AH$22),TEXT(Flights!$AH$22,"DD-MMM-YY HH:MM"),"")&amp;" "&amp;Flights!$V$22</f>
        <v>26-Oct-26 22:25 KUL</v>
      </c>
      <c r="G5" s="99" t="n">
        <f aca="false">Flights!$AK$22</f>
        <v>0</v>
      </c>
      <c r="H5" s="99"/>
    </row>
    <row r="6" customFormat="false" ht="24" hidden="false" customHeight="true" outlineLevel="0" collapsed="false">
      <c r="A6" s="94" t="s">
        <v>4797</v>
      </c>
      <c r="B6" s="95" t="str">
        <f aca="false">IF(TRIM(Flights!$N$22)="","__________________",Flights!$N$22)</f>
        <v>__________________</v>
      </c>
      <c r="C6" s="95"/>
      <c r="D6" s="95"/>
      <c r="E6" s="94" t="s">
        <v>4798</v>
      </c>
      <c r="F6" s="98" t="str">
        <f aca="false">IF(ISNUMBER(Flights!$AI$22),TEXT(Flights!$AI$22,"DD-MMM-YY HH:MM"),"")&amp;" "&amp;Flights!$V$22&amp;IF(Flights!$AI$22=Flights!$AH$22,"  (= T-24H due)","")</f>
        <v>27-Oct-26 10:25 KUL</v>
      </c>
      <c r="G6" s="99" t="n">
        <f aca="false">Flights!$AL$22</f>
        <v>0</v>
      </c>
      <c r="H6" s="99"/>
    </row>
    <row r="7" customFormat="false" ht="24" hidden="false" customHeight="true" outlineLevel="0" collapsed="false">
      <c r="A7" s="94" t="s">
        <v>4799</v>
      </c>
      <c r="B7" s="95" t="str">
        <f aca="false">Flights!$T$22</f>
        <v>1.5 Meal (Meal)</v>
      </c>
      <c r="C7" s="95"/>
      <c r="D7" s="95"/>
      <c r="E7" s="94" t="s">
        <v>4800</v>
      </c>
      <c r="F7" s="98" t="str">
        <f aca="false">"STD "&amp;IF(ISNUMBER(Flights!$I$22),TEXT(Flights!$I$22,"DD-MMM-YY HH:MM"),"")&amp;" "&amp;Flights!$G$22&amp;" (dep stn)"</f>
        <v>STD 27-Oct-26 22:25 KUL (dep stn)</v>
      </c>
      <c r="G7" s="99" t="n">
        <f aca="false">Flights!$AM$22</f>
        <v>0</v>
      </c>
      <c r="H7" s="99"/>
    </row>
    <row r="8" customFormat="false" ht="12.75" hidden="false" customHeight="true" outlineLevel="0" collapsed="false">
      <c r="A8" s="94" t="s">
        <v>155</v>
      </c>
      <c r="B8" s="95" t="str">
        <f aca="false">Flights!$V$22&amp;"   (reference uplift stns: "&amp;Flights!$U$22&amp;")"</f>
        <v>KUL   (reference uplift stns: KUL/KIX)</v>
      </c>
      <c r="C8" s="95"/>
      <c r="D8" s="95"/>
      <c r="E8" s="94" t="s">
        <v>4801</v>
      </c>
      <c r="F8" s="100" t="s">
        <v>4802</v>
      </c>
      <c r="G8" s="99" t="n">
        <f aca="false">Flights!$AN$22</f>
        <v>0</v>
      </c>
      <c r="H8" s="99"/>
    </row>
    <row r="9" customFormat="false" ht="12.75" hidden="false" customHeight="true" outlineLevel="0" collapsed="false">
      <c r="A9" s="94" t="s">
        <v>4803</v>
      </c>
      <c r="B9" s="95" t="str">
        <f aca="false">TRIM(Flights!$P$22&amp;"  "&amp;Flights!$Q$22)</f>
        <v>3H 30M Overnight KIX</v>
      </c>
      <c r="C9" s="95"/>
      <c r="D9" s="95"/>
      <c r="E9" s="94" t="s">
        <v>4804</v>
      </c>
      <c r="F9" s="101" t="n">
        <f aca="false">Flights!$AP$22</f>
        <v>0</v>
      </c>
      <c r="G9" s="102" t="n">
        <f aca="false">Flights!$AQ$22</f>
        <v>0</v>
      </c>
      <c r="H9" s="103" t="n">
        <f aca="false">Flights!$AU$22</f>
        <v>0</v>
      </c>
    </row>
    <row r="10" customFormat="false" ht="24" hidden="false" customHeight="true" outlineLevel="0" collapsed="false">
      <c r="A10" s="94" t="s">
        <v>4805</v>
      </c>
      <c r="B10" s="95" t="str">
        <f aca="false">IF(TRIM(Flights!$X$22)="","__________________",Flights!$X$22)</f>
        <v>__________________</v>
      </c>
      <c r="C10" s="95"/>
      <c r="D10" s="95"/>
      <c r="E10" s="94" t="s">
        <v>4806</v>
      </c>
      <c r="F10" s="104" t="n">
        <f aca="false">Flights!$AO$22</f>
        <v>44</v>
      </c>
      <c r="G10" s="105" t="n">
        <f aca="false">Flights!$AS$22</f>
        <v>0</v>
      </c>
      <c r="H10" s="106" t="n">
        <f aca="false">Flights!$AR$22</f>
        <v>2</v>
      </c>
    </row>
    <row r="11" customFormat="false" ht="21" hidden="false" customHeight="true" outlineLevel="0" collapsed="false">
      <c r="A11" s="94" t="s">
        <v>4807</v>
      </c>
      <c r="B11" s="95" t="str">
        <f aca="false">IF(TRIM(Flights!$Y$22)="","__________________",Flights!$Y$22)</f>
        <v>__________________</v>
      </c>
      <c r="C11" s="95"/>
      <c r="D11" s="95"/>
      <c r="E11" s="94" t="s">
        <v>4808</v>
      </c>
      <c r="F11" s="97" t="str">
        <f aca="false">Flights!$AV$22&amp;" / "&amp;Flights!$AW$22</f>
        <v>0 / 44</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IF(Documents!$F$22="","",Documents!$F$22)</f>
        <v/>
      </c>
      <c r="C15" s="100" t="str">
        <f aca="false">IF(Documents!$G$22="","",Documents!$G$22)&amp;IF(ISNUMBER(Documents!$H$22),"  "&amp;TEXT(Documents!$H$22,"DD-MMM-YY"),"")</f>
        <v/>
      </c>
      <c r="D15" s="100"/>
      <c r="E15" s="114" t="str">
        <f aca="false">IF(Documents!$J$22="OUTSTANDING","OUTSTANDING – attach before T-7D (due "&amp;IF(ISNUMBER(Flights!$AG$22),TEXT(Flights!$AG$22,"DD-MMM-YY HH:MM"),"")&amp;" "&amp;Flights!$V$22&amp;")",IF(Documents!$J$22="","Status not recorded",Documents!$J$22))</f>
        <v>OUTSTANDING – attach before T-7D (due 20-Oct-26 22:25 KUL)</v>
      </c>
      <c r="F15" s="115" t="str">
        <f aca="false">"Staple behind this sheet as page A1."&amp;IF(Documents!$I$22="",""," Location: "&amp;Documents!$I$22)</f>
        <v>Staple behind this sheet as page A1.</v>
      </c>
      <c r="G15" s="115"/>
      <c r="H15" s="115"/>
    </row>
    <row r="16" customFormat="false" ht="36" hidden="false" customHeight="true" outlineLevel="0" collapsed="false">
      <c r="A16" s="94" t="s">
        <v>4819</v>
      </c>
      <c r="B16" s="95" t="str">
        <f aca="false">IF(Documents!$K$22="","",Documents!$K$22)</f>
        <v/>
      </c>
      <c r="C16" s="100" t="str">
        <f aca="false">IF(Documents!$L$22="","",Documents!$L$22)&amp;IF(ISNUMBER(Documents!$M$22),"  "&amp;TEXT(Documents!$M$22,"DD-MMM-YY"),"")</f>
        <v/>
      </c>
      <c r="D16" s="100"/>
      <c r="E16" s="114" t="str">
        <f aca="false">IF(Documents!$O$22="OUTSTANDING","OUTSTANDING – attach before T-7D (due "&amp;IF(ISNUMBER(Flights!$AG$22),TEXT(Flights!$AG$22,"DD-MMM-YY HH:MM"),"")&amp;" "&amp;Flights!$V$22&amp;")",IF(Documents!$O$22="","Status not recorded",Documents!$O$22))</f>
        <v>OUTSTANDING – attach before T-7D (due 20-Oct-26 22:25 KUL)</v>
      </c>
      <c r="F16" s="115" t="str">
        <f aca="false">"Staple behind this sheet as page A2."&amp;IF(Documents!$N$22="",""," Location: "&amp;Documents!$N$22)</f>
        <v>Staple behind this sheet as page A2.</v>
      </c>
      <c r="G16" s="115"/>
      <c r="H16" s="115"/>
    </row>
    <row r="17" customFormat="false" ht="22.5" hidden="false" customHeight="true" outlineLevel="0" collapsed="false">
      <c r="A17" s="94" t="s">
        <v>4820</v>
      </c>
      <c r="B17" s="116" t="str">
        <f aca="false">IF(Documents!$Q$22="","",Documents!$Q$22)</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"&amp;IF(TRIM(Flights!$Y$22)="","__________________",Flights!$Y$22)</f>
        <v>Name: __________________</v>
      </c>
      <c r="B19" s="95"/>
      <c r="C19" s="95" t="str">
        <f aca="false">"Name: __________________"</f>
        <v>Name: __________________</v>
      </c>
      <c r="D19" s="95"/>
      <c r="E19" s="95"/>
      <c r="F19" s="95" t="str">
        <f aca="false">"Name: __________________"&amp;"   Station: "&amp;Flights!$V$22</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"&amp;IF(ISNUMBER(Flights!$AG$22),TEXT(Flights!$AG$22,"DD-MMM-YY HH:MM"),"")&amp;" "&amp;Flights!$V$22&amp;" (meal uplift stn)"&amp;" (rows with another due show their own)  |  Complete "&amp;IF(ISNUMBER(Flights!$AJ$22),TEXT(Flights!$AJ$22,"0%"),Flights!$AJ$22)&amp;"  |  9 lines"</f>
        <v>T-7D — 7 days before departure  |  Due 20-Oct-26 22:25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Checks!$A$574&amp;CHAR(10)&amp;IF(Checks!$I$574="","",Checks!$I$574&amp;": ")&amp;Checks!$J$574</f>
        <v>F18-T7-01
Meal: Meal sensory testing completed for this flight's menu cycle (assessed class)</v>
      </c>
      <c r="B23" s="120" t="str">
        <f aca="false">Checks!$K$574&amp;IF(Checks!$O$574="","",IF(Checks!$K$574="","",CHAR(10))&amp;"Note: "&amp;Checks!$O$574)</f>
        <v>Record panel result / score in Result</v>
      </c>
      <c r="C23" s="120" t="str">
        <f aca="false">Checks!$N$574&amp;CHAR(10)&amp;IF(ISNUMBER(Checks!$R$574),TEXT(Checks!$R$574,"DD-MMM-YY HH:MM"),"")&amp;" "&amp;Checks!$P$574</f>
        <v>Required
20-Oct-26 22:25 KUL</v>
      </c>
      <c r="D23" s="120" t="str">
        <f aca="false">IF(TRIM(Checks!$U$574)&lt;&gt;"",Checks!$U$574&amp;IF(Checks!$AB$574="","",CHAR(10)&amp;"CA: "&amp;Checks!$AB$574),IF(LEFT(Checks!$AH$574,10)="N/A – RULE","","[ ] Pass"&amp;CHAR(10)&amp;"[ ] Pass after CA"&amp;CHAR(10)&amp;"[ ] Fail"&amp;IF(Checks!$AT$574=1,CHAR(10)&amp;"[ ] N/A","")&amp;CHAR(10)&amp;"CA: Open / Closed"))</f>
        <v>[ ] Pass
[ ] Pass after CA
[ ] Fail
CA: Open / Closed</v>
      </c>
      <c r="E23" s="120" t="str">
        <f aca="false">IF(Checks!$V$574="","",Checks!$V$574)&amp;IF(Checks!$AC$574="","",IF(Checks!$V$574="","",CHAR(10))&amp;"N/A just.: "&amp;Checks!$AC$574)&amp;IF(OR(Checks!$W$574&lt;&gt;"",AND(Checks!$AQ$574=1,NOT(LEFT(Checks!$AH$574,10)="N/A – RULE"))),CHAR(10)&amp;"Batch: "&amp;IF(Checks!$W$574="","____________",Checks!$W$574),"")&amp;IF(OR(Checks!$X$574&lt;&gt;"",Checks!$Y$574&lt;&gt;"",AND(Checks!$AR$574=1,NOT(LEFT(Checks!$AH$574,10)="N/A – RULE"))),CHAR(10)&amp;"Exp: "&amp;IF(Checks!$X$574="","______",Checks!$X$574)&amp;"  /  Act: "&amp;IF(Checks!$Y$574="","______",Checks!$Y$574),"")</f>
        <v/>
      </c>
      <c r="F23" s="120" t="str">
        <f aca="false">IF(AND(LEFT(Checks!$AH$574,10)="N/A – RULE",TRIM(Checks!$S$574&amp;Checks!$Z$574)=""),"","Type: "&amp;IF(TRIM(Checks!$S$574)="","______________ (see cover list)",Checks!$S$574)&amp;CHAR(10)&amp;"ID: "&amp;IF(TRIM(Checks!$Z$574)="","______________ (record's own no.)",Checks!$Z$574))&amp;IF(Checks!$AA$574="","",CHAR(10)&amp;"CA: "&amp;Checks!$AA$574)</f>
        <v>Type: ______________ (see cover list)
ID: ______________ (record's own no.)</v>
      </c>
      <c r="G23" s="120" t="str">
        <f aca="false">IF(AND(LEFT(Checks!$AH$574,10)="N/A – RULE",NOT(ISNUMBER(Checks!$AD$574)),Checks!$AE$574="",Checks!$T$574=""),"","Done: "&amp;IF(ISNUMBER(Checks!$AD$574),TEXT(Checks!$AD$574,"DD-MMM-YY HH:MM"),"____________")&amp;" "&amp;Checks!$P$574&amp;CHAR(10)&amp;"Verifier: "&amp;IF(Checks!$AE$574="","____________",Checks!$AE$574)&amp;CHAR(10)&amp;"PIC: "&amp;IF(Checks!$T$574="","____________",Checks!$T$574))</f>
        <v>Done: ____________ KUL
Verifier: ____________
PIC: ____________</v>
      </c>
      <c r="H23" s="121" t="str">
        <f aca="false">IF(Checks!$AH$574="","",Checks!$AH$574)</f>
        <v>OPEN</v>
      </c>
    </row>
    <row r="24" customFormat="false" ht="114" hidden="false" customHeight="true" outlineLevel="0" collapsed="false">
      <c r="A24" s="120" t="str">
        <f aca="false">Checks!$A$575&amp;CHAR(10)&amp;IF(Checks!$I$575="","",Checks!$I$575&amp;": ")&amp;Checks!$J$575</f>
        <v>F18-T7-02
Menu: Printed menu cards confirmed (content, cycle, language, quantity)</v>
      </c>
      <c r="B24" s="120" t="str">
        <f aca="false">Checks!$K$575&amp;IF(Checks!$O$575="","",IF(Checks!$K$575="","",CHAR(10))&amp;"Note: "&amp;Checks!$O$575)</f>
        <v>Menu card matches approved menu for this flight</v>
      </c>
      <c r="C24" s="120" t="str">
        <f aca="false">Checks!$N$575&amp;CHAR(10)&amp;IF(ISNUMBER(Checks!$R$575),TEXT(Checks!$R$575,"DD-MMM-YY HH:MM"),"")&amp;" "&amp;Checks!$P$575</f>
        <v>Required
20-Oct-26 22:25 KUL</v>
      </c>
      <c r="D24" s="120" t="str">
        <f aca="false">IF(TRIM(Checks!$U$575)&lt;&gt;"",Checks!$U$575&amp;IF(Checks!$AB$575="","",CHAR(10)&amp;"CA: "&amp;Checks!$AB$575),IF(LEFT(Checks!$AH$575,10)="N/A – RULE","","[ ] Pass"&amp;CHAR(10)&amp;"[ ] Pass after CA"&amp;CHAR(10)&amp;"[ ] Fail"&amp;IF(Checks!$AT$575=1,CHAR(10)&amp;"[ ] N/A","")&amp;CHAR(10)&amp;"CA: Open / Closed"))</f>
        <v>[ ] Pass
[ ] Pass after CA
[ ] Fail
CA: Open / Closed</v>
      </c>
      <c r="E24" s="120" t="str">
        <f aca="false">IF(Checks!$V$575="","",Checks!$V$575)&amp;IF(Checks!$AC$575="","",IF(Checks!$V$575="","",CHAR(10))&amp;"N/A just.: "&amp;Checks!$AC$575)&amp;IF(OR(Checks!$W$575&lt;&gt;"",AND(Checks!$AQ$575=1,NOT(LEFT(Checks!$AH$575,10)="N/A – RULE"))),CHAR(10)&amp;"Batch: "&amp;IF(Checks!$W$575="","____________",Checks!$W$575),"")&amp;IF(OR(Checks!$X$575&lt;&gt;"",Checks!$Y$575&lt;&gt;"",AND(Checks!$AR$575=1,NOT(LEFT(Checks!$AH$575,10)="N/A – RULE"))),CHAR(10)&amp;"Exp: "&amp;IF(Checks!$X$575="","______",Checks!$X$575)&amp;"  /  Act: "&amp;IF(Checks!$Y$575="","______",Checks!$Y$575),"")</f>
        <v/>
      </c>
      <c r="F24" s="120" t="str">
        <f aca="false">IF(AND(LEFT(Checks!$AH$575,10)="N/A – RULE",TRIM(Checks!$S$575&amp;Checks!$Z$575)=""),"","Type: "&amp;IF(TRIM(Checks!$S$575)="","______________ (see cover list)",Checks!$S$575)&amp;CHAR(10)&amp;"ID: "&amp;IF(TRIM(Checks!$Z$575)="","______________ (record's own no.)",Checks!$Z$575))&amp;IF(Checks!$AA$575="","",CHAR(10)&amp;"CA: "&amp;Checks!$AA$575)</f>
        <v>Type: ______________ (see cover list)
ID: ______________ (record's own no.)</v>
      </c>
      <c r="G24" s="120" t="str">
        <f aca="false">IF(AND(LEFT(Checks!$AH$575,10)="N/A – RULE",NOT(ISNUMBER(Checks!$AD$575)),Checks!$AE$575="",Checks!$T$575=""),"","Done: "&amp;IF(ISNUMBER(Checks!$AD$575),TEXT(Checks!$AD$575,"DD-MMM-YY HH:MM"),"____________")&amp;" "&amp;Checks!$P$575&amp;CHAR(10)&amp;"Verifier: "&amp;IF(Checks!$AE$575="","____________",Checks!$AE$575)&amp;CHAR(10)&amp;"PIC: "&amp;IF(Checks!$T$575="","____________",Checks!$T$575))</f>
        <v>Done: ____________ KUL
Verifier: ____________
PIC: ____________</v>
      </c>
      <c r="H24" s="121" t="str">
        <f aca="false">IF(Checks!$AH$575="","",Checks!$AH$575)</f>
        <v>OPEN</v>
      </c>
    </row>
    <row r="25" customFormat="false" ht="114" hidden="false" customHeight="true" outlineLevel="0" collapsed="false">
      <c r="A25" s="120" t="str">
        <f aca="false">Checks!$A$576&amp;CHAR(10)&amp;IF(Checks!$I$576="","",Checks!$I$576&amp;": ")&amp;Checks!$J$576</f>
        <v>F18-T7-03
IFE: Digital menu in IFE confirmed (A339 only)</v>
      </c>
      <c r="B25" s="120" t="str">
        <f aca="false">Checks!$K$576&amp;IF(Checks!$O$576="","",IF(Checks!$K$576="","",CHAR(10))&amp;"Note: "&amp;Checks!$O$576)</f>
        <v>Applies when fleet = A339
Note: Digital IFE menu applies to A339 only (user brief). Applicability follows the Fleet cell on Flights.</v>
      </c>
      <c r="C25" s="120" t="str">
        <f aca="false">Checks!$N$576&amp;CHAR(10)&amp;IF(ISNUMBER(Checks!$R$576),TEXT(Checks!$R$576,"DD-MMM-YY HH:MM"),"")&amp;" "&amp;Checks!$P$576</f>
        <v>N/A – rule
20-Oct-26 22:25 KUL</v>
      </c>
      <c r="D25" s="120" t="str">
        <f aca="false">IF(TRIM(Checks!$U$576)&lt;&gt;"",Checks!$U$576&amp;IF(Checks!$AB$576="","",CHAR(10)&amp;"CA: "&amp;Checks!$AB$576),IF(LEFT(Checks!$AH$576,10)="N/A – RULE","","[ ] Pass"&amp;CHAR(10)&amp;"[ ] Pass after CA"&amp;CHAR(10)&amp;"[ ] Fail"&amp;IF(Checks!$AT$576=1,CHAR(10)&amp;"[ ] N/A","")&amp;CHAR(10)&amp;"CA: Open / Closed"))</f>
        <v/>
      </c>
      <c r="E25" s="120" t="str">
        <f aca="false">IF(Checks!$V$576="","",Checks!$V$576)&amp;IF(Checks!$AC$576="","",IF(Checks!$V$576="","",CHAR(10))&amp;"N/A just.: "&amp;Checks!$AC$576)&amp;IF(OR(Checks!$W$576&lt;&gt;"",AND(Checks!$AQ$576=1,NOT(LEFT(Checks!$AH$576,10)="N/A – RULE"))),CHAR(10)&amp;"Batch: "&amp;IF(Checks!$W$576="","____________",Checks!$W$576),"")&amp;IF(OR(Checks!$X$576&lt;&gt;"",Checks!$Y$576&lt;&gt;"",AND(Checks!$AR$576=1,NOT(LEFT(Checks!$AH$576,10)="N/A – RULE"))),CHAR(10)&amp;"Exp: "&amp;IF(Checks!$X$576="","______",Checks!$X$576)&amp;"  /  Act: "&amp;IF(Checks!$Y$576="","______",Checks!$Y$576),"")</f>
        <v/>
      </c>
      <c r="F25" s="120" t="str">
        <f aca="false">IF(AND(LEFT(Checks!$AH$576,10)="N/A – RULE",TRIM(Checks!$S$576&amp;Checks!$Z$576)=""),"","Type: "&amp;IF(TRIM(Checks!$S$576)="","______________ (see cover list)",Checks!$S$576)&amp;CHAR(10)&amp;"ID: "&amp;IF(TRIM(Checks!$Z$576)="","______________ (record's own no.)",Checks!$Z$576))&amp;IF(Checks!$AA$576="","",CHAR(10)&amp;"CA: "&amp;Checks!$AA$576)</f>
        <v/>
      </c>
      <c r="G25" s="120" t="str">
        <f aca="false">IF(AND(LEFT(Checks!$AH$576,10)="N/A – RULE",NOT(ISNUMBER(Checks!$AD$576)),Checks!$AE$576="",Checks!$T$576=""),"","Done: "&amp;IF(ISNUMBER(Checks!$AD$576),TEXT(Checks!$AD$576,"DD-MMM-YY HH:MM"),"____________")&amp;" "&amp;Checks!$P$576&amp;CHAR(10)&amp;"Verifier: "&amp;IF(Checks!$AE$576="","____________",Checks!$AE$576)&amp;CHAR(10)&amp;"PIC: "&amp;IF(Checks!$T$576="","____________",Checks!$T$576))</f>
        <v/>
      </c>
      <c r="H25" s="121" t="str">
        <f aca="false">IF(Checks!$AH$576="","",Checks!$AH$576)</f>
        <v>N/A – RULE</v>
      </c>
    </row>
    <row r="26" customFormat="false" ht="114" hidden="false" customHeight="true" outlineLevel="0" collapsed="false">
      <c r="A26" s="120" t="str">
        <f aca="false">Checks!$A$577&amp;CHAR(10)&amp;IF(Checks!$I$577="","",Checks!$I$577&amp;": ")&amp;Checks!$J$577</f>
        <v>F18-T7-04
Staffing: Experienced catering officer assigned to this flight</v>
      </c>
      <c r="B26" s="120" t="str">
        <f aca="false">Checks!$K$577&amp;IF(Checks!$O$577="","",IF(Checks!$K$577="","",CHAR(10))&amp;"Note: "&amp;Checks!$O$577)</f>
        <v>Record officer name in Result</v>
      </c>
      <c r="C26" s="120" t="str">
        <f aca="false">Checks!$N$577&amp;CHAR(10)&amp;IF(ISNUMBER(Checks!$R$577),TEXT(Checks!$R$577,"DD-MMM-YY HH:MM"),"")&amp;" "&amp;Checks!$P$577</f>
        <v>Required
20-Oct-26 22:25 KUL</v>
      </c>
      <c r="D26" s="120" t="str">
        <f aca="false">IF(TRIM(Checks!$U$577)&lt;&gt;"",Checks!$U$577&amp;IF(Checks!$AB$577="","",CHAR(10)&amp;"CA: "&amp;Checks!$AB$577),IF(LEFT(Checks!$AH$577,10)="N/A – RULE","","[ ] Pass"&amp;CHAR(10)&amp;"[ ] Pass after CA"&amp;CHAR(10)&amp;"[ ] Fail"&amp;IF(Checks!$AT$577=1,CHAR(10)&amp;"[ ] N/A","")&amp;CHAR(10)&amp;"CA: Open / Closed"))</f>
        <v>[ ] Pass
[ ] Pass after CA
[ ] Fail
CA: Open / Closed</v>
      </c>
      <c r="E26" s="120" t="str">
        <f aca="false">IF(Checks!$V$577="","",Checks!$V$577)&amp;IF(Checks!$AC$577="","",IF(Checks!$V$577="","",CHAR(10))&amp;"N/A just.: "&amp;Checks!$AC$577)&amp;IF(OR(Checks!$W$577&lt;&gt;"",AND(Checks!$AQ$577=1,NOT(LEFT(Checks!$AH$577,10)="N/A – RULE"))),CHAR(10)&amp;"Batch: "&amp;IF(Checks!$W$577="","____________",Checks!$W$577),"")&amp;IF(OR(Checks!$X$577&lt;&gt;"",Checks!$Y$577&lt;&gt;"",AND(Checks!$AR$577=1,NOT(LEFT(Checks!$AH$577,10)="N/A – RULE"))),CHAR(10)&amp;"Exp: "&amp;IF(Checks!$X$577="","______",Checks!$X$577)&amp;"  /  Act: "&amp;IF(Checks!$Y$577="","______",Checks!$Y$577),"")</f>
        <v/>
      </c>
      <c r="F26" s="120" t="str">
        <f aca="false">IF(AND(LEFT(Checks!$AH$577,10)="N/A – RULE",TRIM(Checks!$S$577&amp;Checks!$Z$577)=""),"","Type: "&amp;IF(TRIM(Checks!$S$577)="","______________ (see cover list)",Checks!$S$577)&amp;CHAR(10)&amp;"ID: "&amp;IF(TRIM(Checks!$Z$577)="","______________ (record's own no.)",Checks!$Z$577))&amp;IF(Checks!$AA$577="","",CHAR(10)&amp;"CA: "&amp;Checks!$AA$577)</f>
        <v>Type: ______________ (see cover list)
ID: ______________ (record's own no.)</v>
      </c>
      <c r="G26" s="120" t="str">
        <f aca="false">IF(AND(LEFT(Checks!$AH$577,10)="N/A – RULE",NOT(ISNUMBER(Checks!$AD$577)),Checks!$AE$577="",Checks!$T$577=""),"","Done: "&amp;IF(ISNUMBER(Checks!$AD$577),TEXT(Checks!$AD$577,"DD-MMM-YY HH:MM"),"____________")&amp;" "&amp;Checks!$P$577&amp;CHAR(10)&amp;"Verifier: "&amp;IF(Checks!$AE$577="","____________",Checks!$AE$577)&amp;CHAR(10)&amp;"PIC: "&amp;IF(Checks!$T$577="","____________",Checks!$T$577))</f>
        <v>Done: ____________ KUL
Verifier: ____________
PIC: ____________</v>
      </c>
      <c r="H26" s="121" t="str">
        <f aca="false">IF(Checks!$AH$577="","",Checks!$AH$577)</f>
        <v>OPEN</v>
      </c>
    </row>
    <row r="27" customFormat="false" ht="114" hidden="false" customHeight="true" outlineLevel="0" collapsed="false">
      <c r="A27" s="120" t="str">
        <f aca="false">Checks!$A$578&amp;CHAR(10)&amp;IF(Checks!$I$578="","",Checks!$I$578&amp;": ")&amp;Checks!$J$578</f>
        <v>F18-T7-05
ISOP: All latest applicable ISOP revisions communicated to caterer</v>
      </c>
      <c r="B27" s="120" t="str">
        <f aca="false">Checks!$K$578&amp;IF(Checks!$O$578="","",IF(Checks!$K$578="","",CHAR(10))&amp;"Note: "&amp;Checks!$O$578)</f>
        <v>List revision numbers in Result (see ISOP register)</v>
      </c>
      <c r="C27" s="120" t="str">
        <f aca="false">Checks!$N$578&amp;CHAR(10)&amp;IF(ISNUMBER(Checks!$R$578),TEXT(Checks!$R$578,"DD-MMM-YY HH:MM"),"")&amp;" "&amp;Checks!$P$578</f>
        <v>Required
20-Oct-26 22:25 KUL</v>
      </c>
      <c r="D27" s="120" t="str">
        <f aca="false">IF(TRIM(Checks!$U$578)&lt;&gt;"",Checks!$U$578&amp;IF(Checks!$AB$578="","",CHAR(10)&amp;"CA: "&amp;Checks!$AB$578),IF(LEFT(Checks!$AH$578,10)="N/A – RULE","","[ ] Pass"&amp;CHAR(10)&amp;"[ ] Pass after CA"&amp;CHAR(10)&amp;"[ ] Fail"&amp;IF(Checks!$AT$578=1,CHAR(10)&amp;"[ ] N/A","")&amp;CHAR(10)&amp;"CA: Open / Closed"))</f>
        <v>[ ] Pass
[ ] Pass after CA
[ ] Fail
CA: Open / Closed</v>
      </c>
      <c r="E27" s="120" t="str">
        <f aca="false">IF(Checks!$V$578="","",Checks!$V$578)&amp;IF(Checks!$AC$578="","",IF(Checks!$V$578="","",CHAR(10))&amp;"N/A just.: "&amp;Checks!$AC$578)&amp;IF(OR(Checks!$W$578&lt;&gt;"",AND(Checks!$AQ$578=1,NOT(LEFT(Checks!$AH$578,10)="N/A – RULE"))),CHAR(10)&amp;"Batch: "&amp;IF(Checks!$W$578="","____________",Checks!$W$578),"")&amp;IF(OR(Checks!$X$578&lt;&gt;"",Checks!$Y$578&lt;&gt;"",AND(Checks!$AR$578=1,NOT(LEFT(Checks!$AH$578,10)="N/A – RULE"))),CHAR(10)&amp;"Exp: "&amp;IF(Checks!$X$578="","______",Checks!$X$578)&amp;"  /  Act: "&amp;IF(Checks!$Y$578="","______",Checks!$Y$578),"")</f>
        <v/>
      </c>
      <c r="F27" s="120" t="str">
        <f aca="false">IF(AND(LEFT(Checks!$AH$578,10)="N/A – RULE",TRIM(Checks!$S$578&amp;Checks!$Z$578)=""),"","Type: "&amp;IF(TRIM(Checks!$S$578)="","______________ (see cover list)",Checks!$S$578)&amp;CHAR(10)&amp;"ID: "&amp;IF(TRIM(Checks!$Z$578)="","______________ (record's own no.)",Checks!$Z$578))&amp;IF(Checks!$AA$578="","",CHAR(10)&amp;"CA: "&amp;Checks!$AA$578)</f>
        <v>Type: ______________ (see cover list)
ID: ______________ (record's own no.)</v>
      </c>
      <c r="G27" s="120" t="str">
        <f aca="false">IF(AND(LEFT(Checks!$AH$578,10)="N/A – RULE",NOT(ISNUMBER(Checks!$AD$578)),Checks!$AE$578="",Checks!$T$578=""),"","Done: "&amp;IF(ISNUMBER(Checks!$AD$578),TEXT(Checks!$AD$578,"DD-MMM-YY HH:MM"),"____________")&amp;" "&amp;Checks!$P$578&amp;CHAR(10)&amp;"Verifier: "&amp;IF(Checks!$AE$578="","____________",Checks!$AE$578)&amp;CHAR(10)&amp;"PIC: "&amp;IF(Checks!$T$578="","____________",Checks!$T$578))</f>
        <v>Done: ____________ KUL
Verifier: ____________
PIC: ____________</v>
      </c>
      <c r="H27" s="121" t="str">
        <f aca="false">IF(Checks!$AH$578="","",Checks!$AH$578)</f>
        <v>OPEN</v>
      </c>
    </row>
    <row r="28" customFormat="false" ht="114" hidden="false" customHeight="true" outlineLevel="0" collapsed="false">
      <c r="A28" s="120" t="str">
        <f aca="false">Checks!$A$579&amp;CHAR(10)&amp;IF(Checks!$I$579="","",Checks!$I$579&amp;": ")&amp;Checks!$J$579</f>
        <v>F18-T7-06
ISOP: Caterer acknowledgement of ISOP revisions recorded</v>
      </c>
      <c r="B28" s="120" t="str">
        <f aca="false">Checks!$K$579&amp;IF(Checks!$O$579="","",IF(Checks!$K$579="","",CHAR(10))&amp;"Note: "&amp;Checks!$O$579)</f>
        <v>Record acknowledgement ref in Evidence</v>
      </c>
      <c r="C28" s="120" t="str">
        <f aca="false">Checks!$N$579&amp;CHAR(10)&amp;IF(ISNUMBER(Checks!$R$579),TEXT(Checks!$R$579,"DD-MMM-YY HH:MM"),"")&amp;" "&amp;Checks!$P$579</f>
        <v>Required
20-Oct-26 22:25 KUL</v>
      </c>
      <c r="D28" s="120" t="str">
        <f aca="false">IF(TRIM(Checks!$U$579)&lt;&gt;"",Checks!$U$579&amp;IF(Checks!$AB$579="","",CHAR(10)&amp;"CA: "&amp;Checks!$AB$579),IF(LEFT(Checks!$AH$579,10)="N/A – RULE","","[ ] Pass"&amp;CHAR(10)&amp;"[ ] Pass after CA"&amp;CHAR(10)&amp;"[ ] Fail"&amp;IF(Checks!$AT$579=1,CHAR(10)&amp;"[ ] N/A","")&amp;CHAR(10)&amp;"CA: Open / Closed"))</f>
        <v>[ ] Pass
[ ] Pass after CA
[ ] Fail
CA: Open / Closed</v>
      </c>
      <c r="E28" s="120" t="str">
        <f aca="false">IF(Checks!$V$579="","",Checks!$V$579)&amp;IF(Checks!$AC$579="","",IF(Checks!$V$579="","",CHAR(10))&amp;"N/A just.: "&amp;Checks!$AC$579)&amp;IF(OR(Checks!$W$579&lt;&gt;"",AND(Checks!$AQ$579=1,NOT(LEFT(Checks!$AH$579,10)="N/A – RULE"))),CHAR(10)&amp;"Batch: "&amp;IF(Checks!$W$579="","____________",Checks!$W$579),"")&amp;IF(OR(Checks!$X$579&lt;&gt;"",Checks!$Y$579&lt;&gt;"",AND(Checks!$AR$579=1,NOT(LEFT(Checks!$AH$579,10)="N/A – RULE"))),CHAR(10)&amp;"Exp: "&amp;IF(Checks!$X$579="","______",Checks!$X$579)&amp;"  /  Act: "&amp;IF(Checks!$Y$579="","______",Checks!$Y$579),"")</f>
        <v/>
      </c>
      <c r="F28" s="120" t="str">
        <f aca="false">IF(AND(LEFT(Checks!$AH$579,10)="N/A – RULE",TRIM(Checks!$S$579&amp;Checks!$Z$579)=""),"","Type: "&amp;IF(TRIM(Checks!$S$579)="","______________ (see cover list)",Checks!$S$579)&amp;CHAR(10)&amp;"ID: "&amp;IF(TRIM(Checks!$Z$579)="","______________ (record's own no.)",Checks!$Z$579))&amp;IF(Checks!$AA$579="","",CHAR(10)&amp;"CA: "&amp;Checks!$AA$579)</f>
        <v>Type: ______________ (see cover list)
ID: ______________ (record's own no.)</v>
      </c>
      <c r="G28" s="120" t="str">
        <f aca="false">IF(AND(LEFT(Checks!$AH$579,10)="N/A – RULE",NOT(ISNUMBER(Checks!$AD$579)),Checks!$AE$579="",Checks!$T$579=""),"","Done: "&amp;IF(ISNUMBER(Checks!$AD$579),TEXT(Checks!$AD$579,"DD-MMM-YY HH:MM"),"____________")&amp;" "&amp;Checks!$P$579&amp;CHAR(10)&amp;"Verifier: "&amp;IF(Checks!$AE$579="","____________",Checks!$AE$579)&amp;CHAR(10)&amp;"PIC: "&amp;IF(Checks!$T$579="","____________",Checks!$T$579))</f>
        <v>Done: ____________ KUL
Verifier: ____________
PIC: ____________</v>
      </c>
      <c r="H28" s="121" t="str">
        <f aca="false">IF(Checks!$AH$579="","",Checks!$AH$579)</f>
        <v>OPEN</v>
      </c>
    </row>
    <row r="29" customFormat="false" ht="114" hidden="false" customHeight="true" outlineLevel="0" collapsed="false">
      <c r="A29" s="120" t="str">
        <f aca="false">Checks!$A$580&amp;CHAR(10)&amp;IF(Checks!$I$580="","",Checks!$I$580&amp;": ")&amp;Checks!$J$580</f>
        <v>F18-T7-07
Documents: Galley loading diagram (GLD) received, revision recorded &amp; attached</v>
      </c>
      <c r="B29" s="120" t="str">
        <f aca="false">SUBSTITUTE(Checks!$K$580&amp;IF(Checks!$O$580="","",IF(Checks!$K$580="","",CHAR(10))&amp;"Note: "&amp;Checks!$O$580),"Documents sheet row complete","Recorded on the Documents sheet; copy stapled as A1 / A2")</f>
        <v>Recorded on the Documents sheet; copy stapled as A1 / A2</v>
      </c>
      <c r="C29" s="120" t="str">
        <f aca="false">Checks!$N$580&amp;CHAR(10)&amp;IF(ISNUMBER(Checks!$R$580),TEXT(Checks!$R$580,"DD-MMM-YY HH:MM"),"")&amp;" "&amp;Checks!$P$580</f>
        <v>Required
20-Oct-26 22:25 KUL</v>
      </c>
      <c r="D29" s="120" t="str">
        <f aca="false">IF(TRIM(Checks!$U$580)&lt;&gt;"",Checks!$U$580&amp;IF(Checks!$AB$580="","",CHAR(10)&amp;"CA: "&amp;Checks!$AB$580),IF(LEFT(Checks!$AH$580,10)="N/A – RULE","","[ ] Pass"&amp;CHAR(10)&amp;"[ ] Pass after CA"&amp;CHAR(10)&amp;"[ ] Fail"&amp;IF(Checks!$AT$580=1,CHAR(10)&amp;"[ ] N/A","")&amp;CHAR(10)&amp;"CA: Open / Closed"))</f>
        <v>[ ] Pass
[ ] Pass after CA
[ ] Fail
CA: Open / Closed</v>
      </c>
      <c r="E29" s="120" t="str">
        <f aca="false">IF(Checks!$V$580="","",Checks!$V$580)&amp;IF(Checks!$AC$580="","",IF(Checks!$V$580="","",CHAR(10))&amp;"N/A just.: "&amp;Checks!$AC$580)&amp;IF(OR(Checks!$W$580&lt;&gt;"",AND(Checks!$AQ$580=1,NOT(LEFT(Checks!$AH$580,10)="N/A – RULE"))),CHAR(10)&amp;"Batch: "&amp;IF(Checks!$W$580="","____________",Checks!$W$580),"")&amp;IF(OR(Checks!$X$580&lt;&gt;"",Checks!$Y$580&lt;&gt;"",AND(Checks!$AR$580=1,NOT(LEFT(Checks!$AH$580,10)="N/A – RULE"))),CHAR(10)&amp;"Exp: "&amp;IF(Checks!$X$580="","______",Checks!$X$580)&amp;"  /  Act: "&amp;IF(Checks!$Y$580="","______",Checks!$Y$580),"")</f>
        <v/>
      </c>
      <c r="F29" s="120" t="str">
        <f aca="false">IF(AND(LEFT(Checks!$AH$580,10)="N/A – RULE",TRIM(Checks!$S$580&amp;Checks!$Z$580)=""),"","Type: "&amp;IF(TRIM(Checks!$S$580)="","______________ (see cover list)",Checks!$S$580)&amp;CHAR(10)&amp;"ID: "&amp;IF(TRIM(Checks!$Z$580)="","______________ (record's own no.)",Checks!$Z$580))&amp;IF(Checks!$AA$580="","",CHAR(10)&amp;"CA: "&amp;Checks!$AA$580)</f>
        <v>Type: ______________ (see cover list)
ID: ______________ (record's own no.)</v>
      </c>
      <c r="G29" s="120" t="str">
        <f aca="false">IF(AND(LEFT(Checks!$AH$580,10)="N/A – RULE",NOT(ISNUMBER(Checks!$AD$580)),Checks!$AE$580="",Checks!$T$580=""),"","Done: "&amp;IF(ISNUMBER(Checks!$AD$580),TEXT(Checks!$AD$580,"DD-MMM-YY HH:MM"),"____________")&amp;" "&amp;Checks!$P$580&amp;CHAR(10)&amp;"Verifier: "&amp;IF(Checks!$AE$580="","____________",Checks!$AE$580)&amp;CHAR(10)&amp;"PIC: "&amp;IF(Checks!$T$580="","____________",Checks!$T$580))</f>
        <v>Done: ____________ KUL
Verifier: ____________
PIC: ____________</v>
      </c>
      <c r="H29" s="121" t="str">
        <f aca="false">IF(Checks!$AH$580="","",Checks!$AH$580)</f>
        <v>OPEN</v>
      </c>
    </row>
    <row r="30" customFormat="false" ht="114" hidden="false" customHeight="true" outlineLevel="0" collapsed="false">
      <c r="A30" s="120" t="str">
        <f aca="false">Checks!$A$581&amp;CHAR(10)&amp;IF(Checks!$I$581="","",Checks!$I$581&amp;": ")&amp;Checks!$J$581</f>
        <v>F18-T7-08
Documents: Menu checklist received, revision recorded &amp; attached</v>
      </c>
      <c r="B30" s="120" t="str">
        <f aca="false">SUBSTITUTE(Checks!$K$581&amp;IF(Checks!$O$581="","",IF(Checks!$K$581="","",CHAR(10))&amp;"Note: "&amp;Checks!$O$581),"Documents sheet row complete","Recorded on the Documents sheet; copy stapled as A1 / A2")</f>
        <v>Recorded on the Documents sheet; copy stapled as A1 / A2</v>
      </c>
      <c r="C30" s="120" t="str">
        <f aca="false">Checks!$N$581&amp;CHAR(10)&amp;IF(ISNUMBER(Checks!$R$581),TEXT(Checks!$R$581,"DD-MMM-YY HH:MM"),"")&amp;" "&amp;Checks!$P$581</f>
        <v>Required
20-Oct-26 22:25 KUL</v>
      </c>
      <c r="D30" s="120" t="str">
        <f aca="false">IF(TRIM(Checks!$U$581)&lt;&gt;"",Checks!$U$581&amp;IF(Checks!$AB$581="","",CHAR(10)&amp;"CA: "&amp;Checks!$AB$581),IF(LEFT(Checks!$AH$581,10)="N/A – RULE","","[ ] Pass"&amp;CHAR(10)&amp;"[ ] Pass after CA"&amp;CHAR(10)&amp;"[ ] Fail"&amp;IF(Checks!$AT$581=1,CHAR(10)&amp;"[ ] N/A","")&amp;CHAR(10)&amp;"CA: Open / Closed"))</f>
        <v>[ ] Pass
[ ] Pass after CA
[ ] Fail
CA: Open / Closed</v>
      </c>
      <c r="E30" s="120" t="str">
        <f aca="false">IF(Checks!$V$581="","",Checks!$V$581)&amp;IF(Checks!$AC$581="","",IF(Checks!$V$581="","",CHAR(10))&amp;"N/A just.: "&amp;Checks!$AC$581)&amp;IF(OR(Checks!$W$581&lt;&gt;"",AND(Checks!$AQ$581=1,NOT(LEFT(Checks!$AH$581,10)="N/A – RULE"))),CHAR(10)&amp;"Batch: "&amp;IF(Checks!$W$581="","____________",Checks!$W$581),"")&amp;IF(OR(Checks!$X$581&lt;&gt;"",Checks!$Y$581&lt;&gt;"",AND(Checks!$AR$581=1,NOT(LEFT(Checks!$AH$581,10)="N/A – RULE"))),CHAR(10)&amp;"Exp: "&amp;IF(Checks!$X$581="","______",Checks!$X$581)&amp;"  /  Act: "&amp;IF(Checks!$Y$581="","______",Checks!$Y$581),"")</f>
        <v/>
      </c>
      <c r="F30" s="120" t="str">
        <f aca="false">IF(AND(LEFT(Checks!$AH$581,10)="N/A – RULE",TRIM(Checks!$S$581&amp;Checks!$Z$581)=""),"","Type: "&amp;IF(TRIM(Checks!$S$581)="","______________ (see cover list)",Checks!$S$581)&amp;CHAR(10)&amp;"ID: "&amp;IF(TRIM(Checks!$Z$581)="","______________ (record's own no.)",Checks!$Z$581))&amp;IF(Checks!$AA$581="","",CHAR(10)&amp;"CA: "&amp;Checks!$AA$581)</f>
        <v>Type: ______________ (see cover list)
ID: ______________ (record's own no.)</v>
      </c>
      <c r="G30" s="120" t="str">
        <f aca="false">IF(AND(LEFT(Checks!$AH$581,10)="N/A – RULE",NOT(ISNUMBER(Checks!$AD$581)),Checks!$AE$581="",Checks!$T$581=""),"","Done: "&amp;IF(ISNUMBER(Checks!$AD$581),TEXT(Checks!$AD$581,"DD-MMM-YY HH:MM"),"____________")&amp;" "&amp;Checks!$P$581&amp;CHAR(10)&amp;"Verifier: "&amp;IF(Checks!$AE$581="","____________",Checks!$AE$581)&amp;CHAR(10)&amp;"PIC: "&amp;IF(Checks!$T$581="","____________",Checks!$T$581))</f>
        <v>Done: ____________ KUL
Verifier: ____________
PIC: ____________</v>
      </c>
      <c r="H30" s="121" t="str">
        <f aca="false">IF(Checks!$AH$581="","",Checks!$AH$581)</f>
        <v>OPEN</v>
      </c>
    </row>
    <row r="31" customFormat="false" ht="114" hidden="false" customHeight="true" outlineLevel="0" collapsed="false">
      <c r="A31" s="120" t="str">
        <f aca="false">Checks!$A$582&amp;CHAR(10)&amp;IF(Checks!$I$582="","",Checks!$I$582&amp;": ")&amp;Checks!$J$582</f>
        <v>F18-T7-09
Uplift plan: Uplift plan confirmed with caterer vs STD Uplift Information</v>
      </c>
      <c r="B31" s="120" t="str">
        <f aca="false">Checks!$K$582&amp;IF(Checks!$O$582="","",IF(Checks!$K$582="","",CHAR(10))&amp;"Note: "&amp;Checks!$O$582)</f>
        <v>Service: 1.5 Meal (Meal); meal uplift stn KUL (ref lists KUL/KIX)</v>
      </c>
      <c r="C31" s="120" t="str">
        <f aca="false">Checks!$N$582&amp;CHAR(10)&amp;IF(ISNUMBER(Checks!$R$582),TEXT(Checks!$R$582,"DD-MMM-YY HH:MM"),"")&amp;" "&amp;Checks!$P$582</f>
        <v>Required
20-Oct-26 22:25 KUL</v>
      </c>
      <c r="D31" s="120" t="str">
        <f aca="false">IF(TRIM(Checks!$U$582)&lt;&gt;"",Checks!$U$582&amp;IF(Checks!$AB$582="","",CHAR(10)&amp;"CA: "&amp;Checks!$AB$582),IF(LEFT(Checks!$AH$582,10)="N/A – RULE","","[ ] Pass"&amp;CHAR(10)&amp;"[ ] Pass after CA"&amp;CHAR(10)&amp;"[ ] Fail"&amp;IF(Checks!$AT$582=1,CHAR(10)&amp;"[ ] N/A","")&amp;CHAR(10)&amp;"CA: Open / Closed"))</f>
        <v>[ ] Pass
[ ] Pass after CA
[ ] Fail
CA: Open / Closed</v>
      </c>
      <c r="E31" s="120" t="str">
        <f aca="false">IF(Checks!$V$582="","",Checks!$V$582)&amp;IF(Checks!$AC$582="","",IF(Checks!$V$582="","",CHAR(10))&amp;"N/A just.: "&amp;Checks!$AC$582)&amp;IF(OR(Checks!$W$582&lt;&gt;"",AND(Checks!$AQ$582=1,NOT(LEFT(Checks!$AH$582,10)="N/A – RULE"))),CHAR(10)&amp;"Batch: "&amp;IF(Checks!$W$582="","____________",Checks!$W$582),"")&amp;IF(OR(Checks!$X$582&lt;&gt;"",Checks!$Y$582&lt;&gt;"",AND(Checks!$AR$582=1,NOT(LEFT(Checks!$AH$582,10)="N/A – RULE"))),CHAR(10)&amp;"Exp: "&amp;IF(Checks!$X$582="","______",Checks!$X$582)&amp;"  /  Act: "&amp;IF(Checks!$Y$582="","______",Checks!$Y$582),"")</f>
        <v/>
      </c>
      <c r="F31" s="120" t="str">
        <f aca="false">IF(AND(LEFT(Checks!$AH$582,10)="N/A – RULE",TRIM(Checks!$S$582&amp;Checks!$Z$582)=""),"","Type: "&amp;IF(TRIM(Checks!$S$582)="","______________ (see cover list)",Checks!$S$582)&amp;CHAR(10)&amp;"ID: "&amp;IF(TRIM(Checks!$Z$582)="","______________ (record's own no.)",Checks!$Z$582))&amp;IF(Checks!$AA$582="","",CHAR(10)&amp;"CA: "&amp;Checks!$AA$582)</f>
        <v>Type: ______________ (see cover list)
ID: ______________ (record's own no.)</v>
      </c>
      <c r="G31" s="120" t="str">
        <f aca="false">IF(AND(LEFT(Checks!$AH$582,10)="N/A – RULE",NOT(ISNUMBER(Checks!$AD$582)),Checks!$AE$582="",Checks!$T$582=""),"","Done: "&amp;IF(ISNUMBER(Checks!$AD$582),TEXT(Checks!$AD$582,"DD-MMM-YY HH:MM"),"____________")&amp;" "&amp;Checks!$P$582&amp;CHAR(10)&amp;"Verifier: "&amp;IF(Checks!$AE$582="","____________",Checks!$AE$582)&amp;CHAR(10)&amp;"PIC: "&amp;IF(Checks!$T$582="","____________",Checks!$T$582))</f>
        <v>Done: ____________ KUL
Verifier: ____________
PIC: ____________</v>
      </c>
      <c r="H31" s="121" t="str">
        <f aca="false">IF(Checks!$AH$582="","",Checks!$AH$582)</f>
        <v>OPEN</v>
      </c>
    </row>
    <row r="32" customFormat="false" ht="25.5" hidden="false" customHeight="true" outlineLevel="0" collapsed="false">
      <c r="A32" s="119" t="str">
        <f aca="false">"T-24H — Production batch sensory  |  Due "&amp;IF(ISNUMBER(Flights!$AH$22),TEXT(Flights!$AH$22,"DD-MMM-YY HH:MM"),"")&amp;" "&amp;Flights!$V$22&amp;" (meal uplift stn)"&amp;" (rows with another due show their own)  |  Complete "&amp;IF(ISNUMBER(Flights!$AK$22),TEXT(Flights!$AK$22,"0%"),Flights!$AK$22)&amp;"  |  1 lines"</f>
        <v>T-24H — Production batch sensory  |  Due 26-Oct-26 22:25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Checks!$A$583&amp;CHAR(10)&amp;IF(Checks!$I$583="","",Checks!$I$583&amp;": ")&amp;Checks!$J$583</f>
        <v>F18-T24-01
Meal: Sensory test repeated on ACTUAL production batch for this flight</v>
      </c>
      <c r="B33" s="120" t="str">
        <f aca="false">Checks!$K$583&amp;IF(Checks!$O$583="","",IF(Checks!$K$583="","",CHAR(10))&amp;"Note: "&amp;Checks!$O$583)</f>
        <v>Batch ID, result, CA and acceptance mandatory</v>
      </c>
      <c r="C33" s="120" t="str">
        <f aca="false">Checks!$N$583&amp;CHAR(10)&amp;IF(ISNUMBER(Checks!$R$583),TEXT(Checks!$R$583,"DD-MMM-YY HH:MM"),"")&amp;" "&amp;Checks!$P$583</f>
        <v>Required
26-Oct-26 22:25 KUL</v>
      </c>
      <c r="D33" s="120" t="str">
        <f aca="false">IF(TRIM(Checks!$U$583)&lt;&gt;"",Checks!$U$583&amp;IF(Checks!$AB$583="","",CHAR(10)&amp;"CA: "&amp;Checks!$AB$583),IF(LEFT(Checks!$AH$583,10)="N/A – RULE","","[ ] Pass"&amp;CHAR(10)&amp;"[ ] Pass after CA"&amp;CHAR(10)&amp;"[ ] Fail"&amp;IF(Checks!$AT$583=1,CHAR(10)&amp;"[ ] N/A","")&amp;CHAR(10)&amp;"CA: Open / Closed"))</f>
        <v>[ ] Pass
[ ] Pass after CA
[ ] Fail
CA: Open / Closed</v>
      </c>
      <c r="E33" s="120" t="str">
        <f aca="false">IF(Checks!$V$583="","",Checks!$V$583)&amp;IF(Checks!$AC$583="","",IF(Checks!$V$583="","",CHAR(10))&amp;"N/A just.: "&amp;Checks!$AC$583)&amp;IF(OR(Checks!$W$583&lt;&gt;"",AND(Checks!$AQ$583=1,NOT(LEFT(Checks!$AH$583,10)="N/A – RULE"))),CHAR(10)&amp;"Batch: "&amp;IF(Checks!$W$583="","____________",Checks!$W$583),"")&amp;IF(OR(Checks!$X$583&lt;&gt;"",Checks!$Y$583&lt;&gt;"",AND(Checks!$AR$583=1,NOT(LEFT(Checks!$AH$583,10)="N/A – RULE"))),CHAR(10)&amp;"Exp: "&amp;IF(Checks!$X$583="","______",Checks!$X$583)&amp;"  /  Act: "&amp;IF(Checks!$Y$583="","______",Checks!$Y$583),"")</f>
        <v>
Batch: ____________</v>
      </c>
      <c r="F33" s="120" t="str">
        <f aca="false">IF(AND(LEFT(Checks!$AH$583,10)="N/A – RULE",TRIM(Checks!$S$583&amp;Checks!$Z$583)=""),"","Type: "&amp;IF(TRIM(Checks!$S$583)="","______________ (see cover list)",Checks!$S$583)&amp;CHAR(10)&amp;"ID: "&amp;IF(TRIM(Checks!$Z$583)="","______________ (record's own no.)",Checks!$Z$583))&amp;IF(Checks!$AA$583="","",CHAR(10)&amp;"CA: "&amp;Checks!$AA$583)</f>
        <v>Type: ______________ (see cover list)
ID: ______________ (record's own no.)</v>
      </c>
      <c r="G33" s="120" t="str">
        <f aca="false">IF(AND(LEFT(Checks!$AH$583,10)="N/A – RULE",NOT(ISNUMBER(Checks!$AD$583)),Checks!$AE$583="",Checks!$T$583=""),"","Done: "&amp;IF(ISNUMBER(Checks!$AD$583),TEXT(Checks!$AD$583,"DD-MMM-YY HH:MM"),"____________")&amp;" "&amp;Checks!$P$583&amp;CHAR(10)&amp;"Verifier: "&amp;IF(Checks!$AE$583="","____________",Checks!$AE$583)&amp;CHAR(10)&amp;"PIC: "&amp;IF(Checks!$T$583="","____________",Checks!$T$583))</f>
        <v>Done: ____________ KUL
Verifier: ____________
PIC: ____________</v>
      </c>
      <c r="H33" s="121" t="str">
        <f aca="false">IF(Checks!$AH$583="","",Checks!$AH$583)</f>
        <v>OPEN</v>
      </c>
    </row>
    <row r="34" customFormat="false" ht="25.5" hidden="false" customHeight="true" outlineLevel="0" collapsed="false">
      <c r="A34" s="119" t="str">
        <f aca="false">"T-12H PREP — Preparation check at caterer (does NOT confirm loading)  |  Due "&amp;IF(ISNUMBER(Flights!$AI$22),TEXT(Flights!$AI$22,"DD-MMM-YY HH:MM"),"")&amp;" "&amp;Flights!$V$22&amp;" (meal uplift stn)"&amp;" (rows with another due show their own)  |  Complete "&amp;IF(ISNUMBER(Flights!$AL$22),TEXT(Flights!$AL$22,"0%"),Flights!$AL$22)&amp;"  |  20 lines"</f>
        <v>T-12H PREP — Preparation check at caterer (does NOT confirm loading)  |  Due 27-Oct-26 10:25 KUL (meal uplift stn) (rows with another due show their own)  |  Complete 0%  |  20 lines</v>
      </c>
      <c r="B34" s="119"/>
      <c r="C34" s="119"/>
      <c r="D34" s="119"/>
      <c r="E34" s="119"/>
      <c r="F34" s="119"/>
      <c r="G34" s="119"/>
      <c r="H34" s="119"/>
    </row>
    <row r="35" customFormat="false" ht="114" hidden="false" customHeight="true" outlineLevel="0" collapsed="false">
      <c r="A35" s="120" t="str">
        <f aca="false">Checks!$A$584&amp;CHAR(10)&amp;IF(Checks!$I$584="","",Checks!$I$584&amp;": ")&amp;Checks!$J$584</f>
        <v>F18-T12-01
Meal: Meal quality vs menu checklist</v>
      </c>
      <c r="B35" s="120" t="str">
        <f aca="false">Checks!$K$584&amp;IF(Checks!$O$584="","",IF(Checks!$K$584="","",CHAR(10))&amp;"Note: "&amp;Checks!$O$584)</f>
        <v>Note: Preparation check at caterer - does NOT confirm loading.</v>
      </c>
      <c r="C35" s="120" t="str">
        <f aca="false">Checks!$N$584&amp;CHAR(10)&amp;IF(ISNUMBER(Checks!$R$584),TEXT(Checks!$R$584,"DD-MMM-YY HH:MM"),"")&amp;" "&amp;Checks!$P$584</f>
        <v>Required
27-Oct-26 10:25 KUL</v>
      </c>
      <c r="D35" s="120" t="str">
        <f aca="false">IF(TRIM(Checks!$U$584)&lt;&gt;"",Checks!$U$584&amp;IF(Checks!$AB$584="","",CHAR(10)&amp;"CA: "&amp;Checks!$AB$584),IF(LEFT(Checks!$AH$584,10)="N/A – RULE","","[ ] Pass"&amp;CHAR(10)&amp;"[ ] Pass after CA"&amp;CHAR(10)&amp;"[ ] Fail"&amp;IF(Checks!$AT$584=1,CHAR(10)&amp;"[ ] N/A","")&amp;CHAR(10)&amp;"CA: Open / Closed"))</f>
        <v>[ ] Pass
[ ] Pass after CA
[ ] Fail
CA: Open / Closed</v>
      </c>
      <c r="E35" s="120" t="str">
        <f aca="false">IF(Checks!$V$584="","",Checks!$V$584)&amp;IF(Checks!$AC$584="","",IF(Checks!$V$584="","",CHAR(10))&amp;"N/A just.: "&amp;Checks!$AC$584)&amp;IF(OR(Checks!$W$584&lt;&gt;"",AND(Checks!$AQ$584=1,NOT(LEFT(Checks!$AH$584,10)="N/A – RULE"))),CHAR(10)&amp;"Batch: "&amp;IF(Checks!$W$584="","____________",Checks!$W$584),"")&amp;IF(OR(Checks!$X$584&lt;&gt;"",Checks!$Y$584&lt;&gt;"",AND(Checks!$AR$584=1,NOT(LEFT(Checks!$AH$584,10)="N/A – RULE"))),CHAR(10)&amp;"Exp: "&amp;IF(Checks!$X$584="","______",Checks!$X$584)&amp;"  /  Act: "&amp;IF(Checks!$Y$584="","______",Checks!$Y$584),"")</f>
        <v/>
      </c>
      <c r="F35" s="120" t="str">
        <f aca="false">IF(AND(LEFT(Checks!$AH$584,10)="N/A – RULE",TRIM(Checks!$S$584&amp;Checks!$Z$584)=""),"","Type: "&amp;IF(TRIM(Checks!$S$584)="","______________ (see cover list)",Checks!$S$584)&amp;CHAR(10)&amp;"ID: "&amp;IF(TRIM(Checks!$Z$584)="","______________ (record's own no.)",Checks!$Z$584))&amp;IF(Checks!$AA$584="","",CHAR(10)&amp;"CA: "&amp;Checks!$AA$584)</f>
        <v>Type: ______________ (see cover list)
ID: ______________ (record's own no.)</v>
      </c>
      <c r="G35" s="120" t="str">
        <f aca="false">IF(AND(LEFT(Checks!$AH$584,10)="N/A – RULE",NOT(ISNUMBER(Checks!$AD$584)),Checks!$AE$584="",Checks!$T$584=""),"","Done: "&amp;IF(ISNUMBER(Checks!$AD$584),TEXT(Checks!$AD$584,"DD-MMM-YY HH:MM"),"____________")&amp;" "&amp;Checks!$P$584&amp;CHAR(10)&amp;"Verifier: "&amp;IF(Checks!$AE$584="","____________",Checks!$AE$584)&amp;CHAR(10)&amp;"PIC: "&amp;IF(Checks!$T$584="","____________",Checks!$T$584))</f>
        <v>Done: ____________ KUL
Verifier: ____________
PIC: ____________</v>
      </c>
      <c r="H35" s="121" t="str">
        <f aca="false">IF(Checks!$AH$584="","",Checks!$AH$584)</f>
        <v>OPEN</v>
      </c>
    </row>
    <row r="36" customFormat="false" ht="114" hidden="false" customHeight="true" outlineLevel="0" collapsed="false">
      <c r="A36" s="120" t="str">
        <f aca="false">Checks!$A$585&amp;CHAR(10)&amp;IF(Checks!$I$585="","",Checks!$I$585&amp;": ")&amp;Checks!$J$585</f>
        <v>F18-T12-02
Meal: Meal quantities vs menu checklist</v>
      </c>
      <c r="B36" s="120" t="str">
        <f aca="false">Checks!$K$585&amp;IF(Checks!$O$585="","",IF(Checks!$K$585="","",CHAR(10))&amp;"Note: "&amp;Checks!$O$585)</f>
        <v>Enter expected &amp; actual
Note: Preparation check at caterer - does NOT confirm loading.</v>
      </c>
      <c r="C36" s="120" t="str">
        <f aca="false">Checks!$N$585&amp;CHAR(10)&amp;IF(ISNUMBER(Checks!$R$585),TEXT(Checks!$R$585,"DD-MMM-YY HH:MM"),"")&amp;" "&amp;Checks!$P$585</f>
        <v>Required
27-Oct-26 10:25 KUL</v>
      </c>
      <c r="D36" s="120" t="str">
        <f aca="false">IF(TRIM(Checks!$U$585)&lt;&gt;"",Checks!$U$585&amp;IF(Checks!$AB$585="","",CHAR(10)&amp;"CA: "&amp;Checks!$AB$585),IF(LEFT(Checks!$AH$585,10)="N/A – RULE","","[ ] Pass"&amp;CHAR(10)&amp;"[ ] Pass after CA"&amp;CHAR(10)&amp;"[ ] Fail"&amp;IF(Checks!$AT$585=1,CHAR(10)&amp;"[ ] N/A","")&amp;CHAR(10)&amp;"CA: Open / Closed"))</f>
        <v>[ ] Pass
[ ] Pass after CA
[ ] Fail
CA: Open / Closed</v>
      </c>
      <c r="E36" s="120" t="str">
        <f aca="false">IF(Checks!$V$585="","",Checks!$V$585)&amp;IF(Checks!$AC$585="","",IF(Checks!$V$585="","",CHAR(10))&amp;"N/A just.: "&amp;Checks!$AC$585)&amp;IF(OR(Checks!$W$585&lt;&gt;"",AND(Checks!$AQ$585=1,NOT(LEFT(Checks!$AH$585,10)="N/A – RULE"))),CHAR(10)&amp;"Batch: "&amp;IF(Checks!$W$585="","____________",Checks!$W$585),"")&amp;IF(OR(Checks!$X$585&lt;&gt;"",Checks!$Y$585&lt;&gt;"",AND(Checks!$AR$585=1,NOT(LEFT(Checks!$AH$585,10)="N/A – RULE"))),CHAR(10)&amp;"Exp: "&amp;IF(Checks!$X$585="","______",Checks!$X$585)&amp;"  /  Act: "&amp;IF(Checks!$Y$585="","______",Checks!$Y$585),"")</f>
        <v>
Exp: ______  /  Act: ______</v>
      </c>
      <c r="F36" s="120" t="str">
        <f aca="false">IF(AND(LEFT(Checks!$AH$585,10)="N/A – RULE",TRIM(Checks!$S$585&amp;Checks!$Z$585)=""),"","Type: "&amp;IF(TRIM(Checks!$S$585)="","______________ (see cover list)",Checks!$S$585)&amp;CHAR(10)&amp;"ID: "&amp;IF(TRIM(Checks!$Z$585)="","______________ (record's own no.)",Checks!$Z$585))&amp;IF(Checks!$AA$585="","",CHAR(10)&amp;"CA: "&amp;Checks!$AA$585)</f>
        <v>Type: ______________ (see cover list)
ID: ______________ (record's own no.)</v>
      </c>
      <c r="G36" s="120" t="str">
        <f aca="false">IF(AND(LEFT(Checks!$AH$585,10)="N/A – RULE",NOT(ISNUMBER(Checks!$AD$585)),Checks!$AE$585="",Checks!$T$585=""),"","Done: "&amp;IF(ISNUMBER(Checks!$AD$585),TEXT(Checks!$AD$585,"DD-MMM-YY HH:MM"),"____________")&amp;" "&amp;Checks!$P$585&amp;CHAR(10)&amp;"Verifier: "&amp;IF(Checks!$AE$585="","____________",Checks!$AE$585)&amp;CHAR(10)&amp;"PIC: "&amp;IF(Checks!$T$585="","____________",Checks!$T$585))</f>
        <v>Done: ____________ KUL
Verifier: ____________
PIC: ____________</v>
      </c>
      <c r="H36" s="121" t="str">
        <f aca="false">IF(Checks!$AH$585="","",Checks!$AH$585)</f>
        <v>OPEN</v>
      </c>
    </row>
    <row r="37" customFormat="false" ht="114" hidden="false" customHeight="true" outlineLevel="0" collapsed="false">
      <c r="A37" s="120" t="str">
        <f aca="false">Checks!$A$586&amp;CHAR(10)&amp;IF(Checks!$I$586="","",Checks!$I$586&amp;": ")&amp;Checks!$J$586</f>
        <v>F18-T12-03
Equipment: Equipment cleanliness vs GLD</v>
      </c>
      <c r="B37" s="120" t="str">
        <f aca="false">Checks!$K$586&amp;IF(Checks!$O$586="","",IF(Checks!$K$586="","",CHAR(10))&amp;"Note: "&amp;Checks!$O$586)</f>
        <v>Note: Preparation check at caterer - does NOT confirm loading.</v>
      </c>
      <c r="C37" s="120" t="str">
        <f aca="false">Checks!$N$586&amp;CHAR(10)&amp;IF(ISNUMBER(Checks!$R$586),TEXT(Checks!$R$586,"DD-MMM-YY HH:MM"),"")&amp;" "&amp;Checks!$P$586</f>
        <v>Required
27-Oct-26 10:25 KUL</v>
      </c>
      <c r="D37" s="120" t="str">
        <f aca="false">IF(TRIM(Checks!$U$586)&lt;&gt;"",Checks!$U$586&amp;IF(Checks!$AB$586="","",CHAR(10)&amp;"CA: "&amp;Checks!$AB$586),IF(LEFT(Checks!$AH$586,10)="N/A – RULE","","[ ] Pass"&amp;CHAR(10)&amp;"[ ] Pass after CA"&amp;CHAR(10)&amp;"[ ] Fail"&amp;IF(Checks!$AT$586=1,CHAR(10)&amp;"[ ] N/A","")&amp;CHAR(10)&amp;"CA: Open / Closed"))</f>
        <v>[ ] Pass
[ ] Pass after CA
[ ] Fail
CA: Open / Closed</v>
      </c>
      <c r="E37" s="120" t="str">
        <f aca="false">IF(Checks!$V$586="","",Checks!$V$586)&amp;IF(Checks!$AC$586="","",IF(Checks!$V$586="","",CHAR(10))&amp;"N/A just.: "&amp;Checks!$AC$586)&amp;IF(OR(Checks!$W$586&lt;&gt;"",AND(Checks!$AQ$586=1,NOT(LEFT(Checks!$AH$586,10)="N/A – RULE"))),CHAR(10)&amp;"Batch: "&amp;IF(Checks!$W$586="","____________",Checks!$W$586),"")&amp;IF(OR(Checks!$X$586&lt;&gt;"",Checks!$Y$586&lt;&gt;"",AND(Checks!$AR$586=1,NOT(LEFT(Checks!$AH$586,10)="N/A – RULE"))),CHAR(10)&amp;"Exp: "&amp;IF(Checks!$X$586="","______",Checks!$X$586)&amp;"  /  Act: "&amp;IF(Checks!$Y$586="","______",Checks!$Y$586),"")</f>
        <v/>
      </c>
      <c r="F37" s="120" t="str">
        <f aca="false">IF(AND(LEFT(Checks!$AH$586,10)="N/A – RULE",TRIM(Checks!$S$586&amp;Checks!$Z$586)=""),"","Type: "&amp;IF(TRIM(Checks!$S$586)="","______________ (see cover list)",Checks!$S$586)&amp;CHAR(10)&amp;"ID: "&amp;IF(TRIM(Checks!$Z$586)="","______________ (record's own no.)",Checks!$Z$586))&amp;IF(Checks!$AA$586="","",CHAR(10)&amp;"CA: "&amp;Checks!$AA$586)</f>
        <v>Type: ______________ (see cover list)
ID: ______________ (record's own no.)</v>
      </c>
      <c r="G37" s="120" t="str">
        <f aca="false">IF(AND(LEFT(Checks!$AH$586,10)="N/A – RULE",NOT(ISNUMBER(Checks!$AD$586)),Checks!$AE$586="",Checks!$T$586=""),"","Done: "&amp;IF(ISNUMBER(Checks!$AD$586),TEXT(Checks!$AD$586,"DD-MMM-YY HH:MM"),"____________")&amp;" "&amp;Checks!$P$586&amp;CHAR(10)&amp;"Verifier: "&amp;IF(Checks!$AE$586="","____________",Checks!$AE$586)&amp;CHAR(10)&amp;"PIC: "&amp;IF(Checks!$T$586="","____________",Checks!$T$586))</f>
        <v>Done: ____________ KUL
Verifier: ____________
PIC: ____________</v>
      </c>
      <c r="H37" s="121" t="str">
        <f aca="false">IF(Checks!$AH$586="","",Checks!$AH$586)</f>
        <v>OPEN</v>
      </c>
    </row>
    <row r="38" customFormat="false" ht="114" hidden="false" customHeight="true" outlineLevel="0" collapsed="false">
      <c r="A38" s="120" t="str">
        <f aca="false">Checks!$A$587&amp;CHAR(10)&amp;IF(Checks!$I$587="","",Checks!$I$587&amp;": ")&amp;Checks!$J$587</f>
        <v>F18-T12-04
Equipment: Equipment presentation vs GLD</v>
      </c>
      <c r="B38" s="120" t="str">
        <f aca="false">Checks!$K$587&amp;IF(Checks!$O$587="","",IF(Checks!$K$587="","",CHAR(10))&amp;"Note: "&amp;Checks!$O$587)</f>
        <v>Note: Preparation check at caterer - does NOT confirm loading.</v>
      </c>
      <c r="C38" s="120" t="str">
        <f aca="false">Checks!$N$587&amp;CHAR(10)&amp;IF(ISNUMBER(Checks!$R$587),TEXT(Checks!$R$587,"DD-MMM-YY HH:MM"),"")&amp;" "&amp;Checks!$P$587</f>
        <v>Required
27-Oct-26 10:25 KUL</v>
      </c>
      <c r="D38" s="120" t="str">
        <f aca="false">IF(TRIM(Checks!$U$587)&lt;&gt;"",Checks!$U$587&amp;IF(Checks!$AB$587="","",CHAR(10)&amp;"CA: "&amp;Checks!$AB$587),IF(LEFT(Checks!$AH$587,10)="N/A – RULE","","[ ] Pass"&amp;CHAR(10)&amp;"[ ] Pass after CA"&amp;CHAR(10)&amp;"[ ] Fail"&amp;IF(Checks!$AT$587=1,CHAR(10)&amp;"[ ] N/A","")&amp;CHAR(10)&amp;"CA: Open / Closed"))</f>
        <v>[ ] Pass
[ ] Pass after CA
[ ] Fail
CA: Open / Closed</v>
      </c>
      <c r="E38" s="120" t="str">
        <f aca="false">IF(Checks!$V$587="","",Checks!$V$587)&amp;IF(Checks!$AC$587="","",IF(Checks!$V$587="","",CHAR(10))&amp;"N/A just.: "&amp;Checks!$AC$587)&amp;IF(OR(Checks!$W$587&lt;&gt;"",AND(Checks!$AQ$587=1,NOT(LEFT(Checks!$AH$587,10)="N/A – RULE"))),CHAR(10)&amp;"Batch: "&amp;IF(Checks!$W$587="","____________",Checks!$W$587),"")&amp;IF(OR(Checks!$X$587&lt;&gt;"",Checks!$Y$587&lt;&gt;"",AND(Checks!$AR$587=1,NOT(LEFT(Checks!$AH$587,10)="N/A – RULE"))),CHAR(10)&amp;"Exp: "&amp;IF(Checks!$X$587="","______",Checks!$X$587)&amp;"  /  Act: "&amp;IF(Checks!$Y$587="","______",Checks!$Y$587),"")</f>
        <v/>
      </c>
      <c r="F38" s="120" t="str">
        <f aca="false">IF(AND(LEFT(Checks!$AH$587,10)="N/A – RULE",TRIM(Checks!$S$587&amp;Checks!$Z$587)=""),"","Type: "&amp;IF(TRIM(Checks!$S$587)="","______________ (see cover list)",Checks!$S$587)&amp;CHAR(10)&amp;"ID: "&amp;IF(TRIM(Checks!$Z$587)="","______________ (record's own no.)",Checks!$Z$587))&amp;IF(Checks!$AA$587="","",CHAR(10)&amp;"CA: "&amp;Checks!$AA$587)</f>
        <v>Type: ______________ (see cover list)
ID: ______________ (record's own no.)</v>
      </c>
      <c r="G38" s="120" t="str">
        <f aca="false">IF(AND(LEFT(Checks!$AH$587,10)="N/A – RULE",NOT(ISNUMBER(Checks!$AD$587)),Checks!$AE$587="",Checks!$T$587=""),"","Done: "&amp;IF(ISNUMBER(Checks!$AD$587),TEXT(Checks!$AD$587,"DD-MMM-YY HH:MM"),"____________")&amp;" "&amp;Checks!$P$587&amp;CHAR(10)&amp;"Verifier: "&amp;IF(Checks!$AE$587="","____________",Checks!$AE$587)&amp;CHAR(10)&amp;"PIC: "&amp;IF(Checks!$T$587="","____________",Checks!$T$587))</f>
        <v>Done: ____________ KUL
Verifier: ____________
PIC: ____________</v>
      </c>
      <c r="H38" s="121" t="str">
        <f aca="false">IF(Checks!$AH$587="","",Checks!$AH$587)</f>
        <v>OPEN</v>
      </c>
    </row>
    <row r="39" customFormat="false" ht="114" hidden="false" customHeight="true" outlineLevel="0" collapsed="false">
      <c r="A39" s="120" t="str">
        <f aca="false">Checks!$A$588&amp;CHAR(10)&amp;IF(Checks!$I$588="","",Checks!$I$588&amp;": ")&amp;Checks!$J$588</f>
        <v>F18-T12-05
Equipment: Equipment serviceability vs GLD</v>
      </c>
      <c r="B39" s="120" t="str">
        <f aca="false">Checks!$K$588&amp;IF(Checks!$O$588="","",IF(Checks!$K$588="","",CHAR(10))&amp;"Note: "&amp;Checks!$O$588)</f>
        <v>Note: Preparation check at caterer - does NOT confirm loading.</v>
      </c>
      <c r="C39" s="120" t="str">
        <f aca="false">Checks!$N$588&amp;CHAR(10)&amp;IF(ISNUMBER(Checks!$R$588),TEXT(Checks!$R$588,"DD-MMM-YY HH:MM"),"")&amp;" "&amp;Checks!$P$588</f>
        <v>Required
27-Oct-26 10:25 KUL</v>
      </c>
      <c r="D39" s="120" t="str">
        <f aca="false">IF(TRIM(Checks!$U$588)&lt;&gt;"",Checks!$U$588&amp;IF(Checks!$AB$588="","",CHAR(10)&amp;"CA: "&amp;Checks!$AB$588),IF(LEFT(Checks!$AH$588,10)="N/A – RULE","","[ ] Pass"&amp;CHAR(10)&amp;"[ ] Pass after CA"&amp;CHAR(10)&amp;"[ ] Fail"&amp;IF(Checks!$AT$588=1,CHAR(10)&amp;"[ ] N/A","")&amp;CHAR(10)&amp;"CA: Open / Closed"))</f>
        <v>[ ] Pass
[ ] Pass after CA
[ ] Fail
CA: Open / Closed</v>
      </c>
      <c r="E39" s="120" t="str">
        <f aca="false">IF(Checks!$V$588="","",Checks!$V$588)&amp;IF(Checks!$AC$588="","",IF(Checks!$V$588="","",CHAR(10))&amp;"N/A just.: "&amp;Checks!$AC$588)&amp;IF(OR(Checks!$W$588&lt;&gt;"",AND(Checks!$AQ$588=1,NOT(LEFT(Checks!$AH$588,10)="N/A – RULE"))),CHAR(10)&amp;"Batch: "&amp;IF(Checks!$W$588="","____________",Checks!$W$588),"")&amp;IF(OR(Checks!$X$588&lt;&gt;"",Checks!$Y$588&lt;&gt;"",AND(Checks!$AR$588=1,NOT(LEFT(Checks!$AH$588,10)="N/A – RULE"))),CHAR(10)&amp;"Exp: "&amp;IF(Checks!$X$588="","______",Checks!$X$588)&amp;"  /  Act: "&amp;IF(Checks!$Y$588="","______",Checks!$Y$588),"")</f>
        <v/>
      </c>
      <c r="F39" s="120" t="str">
        <f aca="false">IF(AND(LEFT(Checks!$AH$588,10)="N/A – RULE",TRIM(Checks!$S$588&amp;Checks!$Z$588)=""),"","Type: "&amp;IF(TRIM(Checks!$S$588)="","______________ (see cover list)",Checks!$S$588)&amp;CHAR(10)&amp;"ID: "&amp;IF(TRIM(Checks!$Z$588)="","______________ (record's own no.)",Checks!$Z$588))&amp;IF(Checks!$AA$588="","",CHAR(10)&amp;"CA: "&amp;Checks!$AA$588)</f>
        <v>Type: ______________ (see cover list)
ID: ______________ (record's own no.)</v>
      </c>
      <c r="G39" s="120" t="str">
        <f aca="false">IF(AND(LEFT(Checks!$AH$588,10)="N/A – RULE",NOT(ISNUMBER(Checks!$AD$588)),Checks!$AE$588="",Checks!$T$588=""),"","Done: "&amp;IF(ISNUMBER(Checks!$AD$588),TEXT(Checks!$AD$588,"DD-MMM-YY HH:MM"),"____________")&amp;" "&amp;Checks!$P$588&amp;CHAR(10)&amp;"Verifier: "&amp;IF(Checks!$AE$588="","____________",Checks!$AE$588)&amp;CHAR(10)&amp;"PIC: "&amp;IF(Checks!$T$588="","____________",Checks!$T$588))</f>
        <v>Done: ____________ KUL
Verifier: ____________
PIC: ____________</v>
      </c>
      <c r="H39" s="121" t="str">
        <f aca="false">IF(Checks!$AH$588="","",Checks!$AH$588)</f>
        <v>OPEN</v>
      </c>
    </row>
    <row r="40" customFormat="false" ht="190.5" hidden="false" customHeight="true" outlineLevel="0" collapsed="false">
      <c r="A40" s="120" t="str">
        <f aca="false">Checks!$A$589&amp;CHAR(10)&amp;IF(Checks!$I$589="","",Checks!$I$589&amp;": ")&amp;Checks!$J$589</f>
        <v>F18-T12-06
Equipment: Equipment quantities vs GLD</v>
      </c>
      <c r="B40" s="120" t="str">
        <f aca="false">SUBSTITUTE(SUBSTITUTE(SUBSTITUTE(Checks!$K$589&amp;IF(Checks!$O$589="","",IF(Checks!$K$589="","",CHAR(10))&amp;"Note: "&amp;Checks!$O$589),"makers -,","makers n/a,"),"espresso -,","espresso n/a,")," (AIRCRAFT TYPE!C9:R9)","")</f>
        <v>Enter expected &amp; actual. Aircraft galley data: A330-300 (A333): carts 42.5, SU 100, ovens 12, warming ovens 4, fridges 4, water heaters 6, beverage makers n/a, espresso n/a, folding trolleys 4, headsets BC &amp; EY: Dual Pin
Note: Preparation check at caterer - does NOT confirm loading.</v>
      </c>
      <c r="C40" s="120" t="str">
        <f aca="false">Checks!$N$589&amp;CHAR(10)&amp;IF(ISNUMBER(Checks!$R$589),TEXT(Checks!$R$589,"DD-MMM-YY HH:MM"),"")&amp;" "&amp;Checks!$P$589</f>
        <v>Required
27-Oct-26 10:25 KUL</v>
      </c>
      <c r="D40" s="120" t="str">
        <f aca="false">IF(TRIM(Checks!$U$589)&lt;&gt;"",Checks!$U$589&amp;IF(Checks!$AB$589="","",CHAR(10)&amp;"CA: "&amp;Checks!$AB$589),IF(LEFT(Checks!$AH$589,10)="N/A – RULE","","[ ] Pass"&amp;CHAR(10)&amp;"[ ] Pass after CA"&amp;CHAR(10)&amp;"[ ] Fail"&amp;IF(Checks!$AT$589=1,CHAR(10)&amp;"[ ] N/A","")&amp;CHAR(10)&amp;"CA: Open / Closed"))</f>
        <v>[ ] Pass
[ ] Pass after CA
[ ] Fail
CA: Open / Closed</v>
      </c>
      <c r="E40" s="120" t="str">
        <f aca="false">IF(Checks!$V$589="","",Checks!$V$589)&amp;IF(Checks!$AC$589="","",IF(Checks!$V$589="","",CHAR(10))&amp;"N/A just.: "&amp;Checks!$AC$589)&amp;IF(OR(Checks!$W$589&lt;&gt;"",AND(Checks!$AQ$589=1,NOT(LEFT(Checks!$AH$589,10)="N/A – RULE"))),CHAR(10)&amp;"Batch: "&amp;IF(Checks!$W$589="","____________",Checks!$W$589),"")&amp;IF(OR(Checks!$X$589&lt;&gt;"",Checks!$Y$589&lt;&gt;"",AND(Checks!$AR$589=1,NOT(LEFT(Checks!$AH$589,10)="N/A – RULE"))),CHAR(10)&amp;"Exp: "&amp;IF(Checks!$X$589="","______",Checks!$X$589)&amp;"  /  Act: "&amp;IF(Checks!$Y$589="","______",Checks!$Y$589),"")</f>
        <v>
Exp: ______  /  Act: ______</v>
      </c>
      <c r="F40" s="120" t="str">
        <f aca="false">IF(AND(LEFT(Checks!$AH$589,10)="N/A – RULE",TRIM(Checks!$S$589&amp;Checks!$Z$589)=""),"","Type: "&amp;IF(TRIM(Checks!$S$589)="","______________ (see cover list)",Checks!$S$589)&amp;CHAR(10)&amp;"ID: "&amp;IF(TRIM(Checks!$Z$589)="","______________ (record's own no.)",Checks!$Z$589))&amp;IF(Checks!$AA$589="","",CHAR(10)&amp;"CA: "&amp;Checks!$AA$589)</f>
        <v>Type: ______________ (see cover list)
ID: ______________ (record's own no.)</v>
      </c>
      <c r="G40" s="120" t="str">
        <f aca="false">IF(AND(LEFT(Checks!$AH$589,10)="N/A – RULE",NOT(ISNUMBER(Checks!$AD$589)),Checks!$AE$589="",Checks!$T$589=""),"","Done: "&amp;IF(ISNUMBER(Checks!$AD$589),TEXT(Checks!$AD$589,"DD-MMM-YY HH:MM"),"____________")&amp;" "&amp;Checks!$P$589&amp;CHAR(10)&amp;"Verifier: "&amp;IF(Checks!$AE$589="","____________",Checks!$AE$589)&amp;CHAR(10)&amp;"PIC: "&amp;IF(Checks!$T$589="","____________",Checks!$T$589))</f>
        <v>Done: ____________ KUL
Verifier: ____________
PIC: ____________</v>
      </c>
      <c r="H40" s="121" t="str">
        <f aca="false">IF(Checks!$AH$589="","",Checks!$AH$589)</f>
        <v>OPEN</v>
      </c>
    </row>
    <row r="41" customFormat="false" ht="114" hidden="false" customHeight="true" outlineLevel="0" collapsed="false">
      <c r="A41" s="120" t="str">
        <f aca="false">Checks!$A$590&amp;CHAR(10)&amp;IF(Checks!$I$590="","",Checks!$I$590&amp;": ")&amp;Checks!$J$590</f>
        <v>F18-T12-07
Equipment: Loading positions planned vs GLD</v>
      </c>
      <c r="B41" s="120" t="str">
        <f aca="false">Checks!$K$590&amp;IF(Checks!$O$590="","",IF(Checks!$K$590="","",CHAR(10))&amp;"Note: "&amp;Checks!$O$590)</f>
        <v>Note: Preparation check at caterer - does NOT confirm loading.</v>
      </c>
      <c r="C41" s="120" t="str">
        <f aca="false">Checks!$N$590&amp;CHAR(10)&amp;IF(ISNUMBER(Checks!$R$590),TEXT(Checks!$R$590,"DD-MMM-YY HH:MM"),"")&amp;" "&amp;Checks!$P$590</f>
        <v>Required
27-Oct-26 10:25 KUL</v>
      </c>
      <c r="D41" s="120" t="str">
        <f aca="false">IF(TRIM(Checks!$U$590)&lt;&gt;"",Checks!$U$590&amp;IF(Checks!$AB$590="","",CHAR(10)&amp;"CA: "&amp;Checks!$AB$590),IF(LEFT(Checks!$AH$590,10)="N/A – RULE","","[ ] Pass"&amp;CHAR(10)&amp;"[ ] Pass after CA"&amp;CHAR(10)&amp;"[ ] Fail"&amp;IF(Checks!$AT$590=1,CHAR(10)&amp;"[ ] N/A","")&amp;CHAR(10)&amp;"CA: Open / Closed"))</f>
        <v>[ ] Pass
[ ] Pass after CA
[ ] Fail
CA: Open / Closed</v>
      </c>
      <c r="E41" s="120" t="str">
        <f aca="false">IF(Checks!$V$590="","",Checks!$V$590)&amp;IF(Checks!$AC$590="","",IF(Checks!$V$590="","",CHAR(10))&amp;"N/A just.: "&amp;Checks!$AC$590)&amp;IF(OR(Checks!$W$590&lt;&gt;"",AND(Checks!$AQ$590=1,NOT(LEFT(Checks!$AH$590,10)="N/A – RULE"))),CHAR(10)&amp;"Batch: "&amp;IF(Checks!$W$590="","____________",Checks!$W$590),"")&amp;IF(OR(Checks!$X$590&lt;&gt;"",Checks!$Y$590&lt;&gt;"",AND(Checks!$AR$590=1,NOT(LEFT(Checks!$AH$590,10)="N/A – RULE"))),CHAR(10)&amp;"Exp: "&amp;IF(Checks!$X$590="","______",Checks!$X$590)&amp;"  /  Act: "&amp;IF(Checks!$Y$590="","______",Checks!$Y$590),"")</f>
        <v/>
      </c>
      <c r="F41" s="120" t="str">
        <f aca="false">IF(AND(LEFT(Checks!$AH$590,10)="N/A – RULE",TRIM(Checks!$S$590&amp;Checks!$Z$590)=""),"","Type: "&amp;IF(TRIM(Checks!$S$590)="","______________ (see cover list)",Checks!$S$590)&amp;CHAR(10)&amp;"ID: "&amp;IF(TRIM(Checks!$Z$590)="","______________ (record's own no.)",Checks!$Z$590))&amp;IF(Checks!$AA$590="","",CHAR(10)&amp;"CA: "&amp;Checks!$AA$590)</f>
        <v>Type: ______________ (see cover list)
ID: ______________ (record's own no.)</v>
      </c>
      <c r="G41" s="120" t="str">
        <f aca="false">IF(AND(LEFT(Checks!$AH$590,10)="N/A – RULE",NOT(ISNUMBER(Checks!$AD$590)),Checks!$AE$590="",Checks!$T$590=""),"","Done: "&amp;IF(ISNUMBER(Checks!$AD$590),TEXT(Checks!$AD$590,"DD-MMM-YY HH:MM"),"____________")&amp;" "&amp;Checks!$P$590&amp;CHAR(10)&amp;"Verifier: "&amp;IF(Checks!$AE$590="","____________",Checks!$AE$590)&amp;CHAR(10)&amp;"PIC: "&amp;IF(Checks!$T$590="","____________",Checks!$T$590))</f>
        <v>Done: ____________ KUL
Verifier: ____________
PIC: ____________</v>
      </c>
      <c r="H41" s="121" t="str">
        <f aca="false">IF(Checks!$AH$590="","",Checks!$AH$590)</f>
        <v>OPEN</v>
      </c>
    </row>
    <row r="42" customFormat="false" ht="114" hidden="false" customHeight="true" outlineLevel="0" collapsed="false">
      <c r="A42" s="120" t="str">
        <f aca="false">Checks!$A$591&amp;CHAR(10)&amp;IF(Checks!$I$591="","",Checks!$I$591&amp;": ")&amp;Checks!$J$591</f>
        <v>F18-T12-08
Amenities: Slippers (BS/BC) - prepared</v>
      </c>
      <c r="B42" s="120" t="str">
        <f aca="false">Checks!$K$591&amp;IF(Checks!$O$591="","",IF(Checks!$K$591="","",CHAR(10))&amp;"Note: "&amp;Checks!$O$591)</f>
        <v>Available (ticked in reference)</v>
      </c>
      <c r="C42" s="120" t="str">
        <f aca="false">Checks!$N$591&amp;CHAR(10)&amp;IF(ISNUMBER(Checks!$R$591),TEXT(Checks!$R$591,"DD-MMM-YY HH:MM"),"")&amp;" "&amp;Checks!$P$591</f>
        <v>Required
27-Oct-26 10:25 KUL</v>
      </c>
      <c r="D42" s="120" t="str">
        <f aca="false">IF(TRIM(Checks!$U$591)&lt;&gt;"",Checks!$U$591&amp;IF(Checks!$AB$591="","",CHAR(10)&amp;"CA: "&amp;Checks!$AB$591),IF(LEFT(Checks!$AH$591,10)="N/A – RULE","","[ ] Pass"&amp;CHAR(10)&amp;"[ ] Pass after CA"&amp;CHAR(10)&amp;"[ ] Fail"&amp;IF(Checks!$AT$591=1,CHAR(10)&amp;"[ ] N/A","")&amp;CHAR(10)&amp;"CA: Open / Closed"))</f>
        <v>[ ] Pass
[ ] Pass after CA
[ ] Fail
CA: Open / Closed</v>
      </c>
      <c r="E42" s="120" t="str">
        <f aca="false">IF(Checks!$V$591="","",Checks!$V$591)&amp;IF(Checks!$AC$591="","",IF(Checks!$V$591="","",CHAR(10))&amp;"N/A just.: "&amp;Checks!$AC$591)&amp;IF(OR(Checks!$W$591&lt;&gt;"",AND(Checks!$AQ$591=1,NOT(LEFT(Checks!$AH$591,10)="N/A – RULE"))),CHAR(10)&amp;"Batch: "&amp;IF(Checks!$W$591="","____________",Checks!$W$591),"")&amp;IF(OR(Checks!$X$591&lt;&gt;"",Checks!$Y$591&lt;&gt;"",AND(Checks!$AR$591=1,NOT(LEFT(Checks!$AH$591,10)="N/A – RULE"))),CHAR(10)&amp;"Exp: "&amp;IF(Checks!$X$591="","______",Checks!$X$591)&amp;"  /  Act: "&amp;IF(Checks!$Y$591="","______",Checks!$Y$591),"")</f>
        <v/>
      </c>
      <c r="F42" s="120" t="str">
        <f aca="false">IF(AND(LEFT(Checks!$AH$591,10)="N/A – RULE",TRIM(Checks!$S$591&amp;Checks!$Z$591)=""),"","Type: "&amp;IF(TRIM(Checks!$S$591)="","______________ (see cover list)",Checks!$S$591)&amp;CHAR(10)&amp;"ID: "&amp;IF(TRIM(Checks!$Z$591)="","______________ (record's own no.)",Checks!$Z$591))&amp;IF(Checks!$AA$591="","",CHAR(10)&amp;"CA: "&amp;Checks!$AA$591)</f>
        <v>Type: ______________ (see cover list)
ID: ______________ (record's own no.)</v>
      </c>
      <c r="G42" s="120" t="str">
        <f aca="false">IF(AND(LEFT(Checks!$AH$591,10)="N/A – RULE",NOT(ISNUMBER(Checks!$AD$591)),Checks!$AE$591="",Checks!$T$591=""),"","Done: "&amp;IF(ISNUMBER(Checks!$AD$591),TEXT(Checks!$AD$591,"DD-MMM-YY HH:MM"),"____________")&amp;" "&amp;Checks!$P$591&amp;CHAR(10)&amp;"Verifier: "&amp;IF(Checks!$AE$591="","____________",Checks!$AE$591)&amp;CHAR(10)&amp;"PIC: "&amp;IF(Checks!$T$591="","____________",Checks!$T$591))</f>
        <v>Done: ____________ KUL
Verifier: ____________
PIC: ____________</v>
      </c>
      <c r="H42" s="121" t="str">
        <f aca="false">IF(Checks!$AH$591="","",Checks!$AH$591)</f>
        <v>OPEN</v>
      </c>
    </row>
    <row r="43" customFormat="false" ht="114" hidden="false" customHeight="true" outlineLevel="0" collapsed="false">
      <c r="A43" s="120" t="str">
        <f aca="false">Checks!$A$592&amp;CHAR(10)&amp;IF(Checks!$I$592="","",Checks!$I$592&amp;": ")&amp;Checks!$J$592</f>
        <v>F18-T12-09
F&amp;B Linen: Towel - prepared</v>
      </c>
      <c r="B43" s="120" t="str">
        <f aca="false">Checks!$K$592&amp;IF(Checks!$O$592="","",IF(Checks!$K$592="","",CHAR(10))&amp;"Note: "&amp;Checks!$O$592)</f>
        <v>Available (ticked in reference)
Note: Reference gives no uplift stn for this item: preparation checked at the meal uplift stn (KUL) - confirm with caterer.</v>
      </c>
      <c r="C43" s="120" t="str">
        <f aca="false">Checks!$N$592&amp;CHAR(10)&amp;IF(ISNUMBER(Checks!$R$592),TEXT(Checks!$R$592,"DD-MMM-YY HH:MM"),"")&amp;" "&amp;Checks!$P$592</f>
        <v>Required
27-Oct-26 10:25 KUL</v>
      </c>
      <c r="D43" s="120" t="str">
        <f aca="false">IF(TRIM(Checks!$U$592)&lt;&gt;"",Checks!$U$592&amp;IF(Checks!$AB$592="","",CHAR(10)&amp;"CA: "&amp;Checks!$AB$592),IF(LEFT(Checks!$AH$592,10)="N/A – RULE","","[ ] Pass"&amp;CHAR(10)&amp;"[ ] Pass after CA"&amp;CHAR(10)&amp;"[ ] Fail"&amp;IF(Checks!$AT$592=1,CHAR(10)&amp;"[ ] N/A","")&amp;CHAR(10)&amp;"CA: Open / Closed"))</f>
        <v>[ ] Pass
[ ] Pass after CA
[ ] Fail
CA: Open / Closed</v>
      </c>
      <c r="E43" s="120" t="str">
        <f aca="false">IF(Checks!$V$592="","",Checks!$V$592)&amp;IF(Checks!$AC$592="","",IF(Checks!$V$592="","",CHAR(10))&amp;"N/A just.: "&amp;Checks!$AC$592)&amp;IF(OR(Checks!$W$592&lt;&gt;"",AND(Checks!$AQ$592=1,NOT(LEFT(Checks!$AH$592,10)="N/A – RULE"))),CHAR(10)&amp;"Batch: "&amp;IF(Checks!$W$592="","____________",Checks!$W$592),"")&amp;IF(OR(Checks!$X$592&lt;&gt;"",Checks!$Y$592&lt;&gt;"",AND(Checks!$AR$592=1,NOT(LEFT(Checks!$AH$592,10)="N/A – RULE"))),CHAR(10)&amp;"Exp: "&amp;IF(Checks!$X$592="","______",Checks!$X$592)&amp;"  /  Act: "&amp;IF(Checks!$Y$592="","______",Checks!$Y$592),"")</f>
        <v/>
      </c>
      <c r="F43" s="120" t="str">
        <f aca="false">IF(AND(LEFT(Checks!$AH$592,10)="N/A – RULE",TRIM(Checks!$S$592&amp;Checks!$Z$592)=""),"","Type: "&amp;IF(TRIM(Checks!$S$592)="","______________ (see cover list)",Checks!$S$592)&amp;CHAR(10)&amp;"ID: "&amp;IF(TRIM(Checks!$Z$592)="","______________ (record's own no.)",Checks!$Z$592))&amp;IF(Checks!$AA$592="","",CHAR(10)&amp;"CA: "&amp;Checks!$AA$592)</f>
        <v>Type: ______________ (see cover list)
ID: ______________ (record's own no.)</v>
      </c>
      <c r="G43" s="120" t="str">
        <f aca="false">IF(AND(LEFT(Checks!$AH$592,10)="N/A – RULE",NOT(ISNUMBER(Checks!$AD$592)),Checks!$AE$592="",Checks!$T$592=""),"","Done: "&amp;IF(ISNUMBER(Checks!$AD$592),TEXT(Checks!$AD$592,"DD-MMM-YY HH:MM"),"____________")&amp;" "&amp;Checks!$P$592&amp;CHAR(10)&amp;"Verifier: "&amp;IF(Checks!$AE$592="","____________",Checks!$AE$592)&amp;CHAR(10)&amp;"PIC: "&amp;IF(Checks!$T$592="","____________",Checks!$T$592))</f>
        <v>Done: ____________ KUL
Verifier: ____________
PIC: ____________</v>
      </c>
      <c r="H43" s="121" t="str">
        <f aca="false">IF(Checks!$AH$592="","",Checks!$AH$592)</f>
        <v>OPEN</v>
      </c>
    </row>
    <row r="44" customFormat="false" ht="114" hidden="false" customHeight="true" outlineLevel="0" collapsed="false">
      <c r="A44" s="120" t="str">
        <f aca="false">Checks!$A$593&amp;CHAR(10)&amp;IF(Checks!$I$593="","",Checks!$I$593&amp;": ")&amp;Checks!$J$593</f>
        <v>F18-T12-10
F&amp;B Linen: Tray cloth - prepared</v>
      </c>
      <c r="B44" s="120" t="str">
        <f aca="false">Checks!$K$593&amp;IF(Checks!$O$593="","",IF(Checks!$K$593="","",CHAR(10))&amp;"Note: "&amp;Checks!$O$593)</f>
        <v>Available (ticked in reference)
Note: Reference gives no uplift stn for this item: preparation checked at the meal uplift stn (KUL) - confirm with caterer.</v>
      </c>
      <c r="C44" s="120" t="str">
        <f aca="false">Checks!$N$593&amp;CHAR(10)&amp;IF(ISNUMBER(Checks!$R$593),TEXT(Checks!$R$593,"DD-MMM-YY HH:MM"),"")&amp;" "&amp;Checks!$P$593</f>
        <v>Required
27-Oct-26 10:25 KUL</v>
      </c>
      <c r="D44" s="120" t="str">
        <f aca="false">IF(TRIM(Checks!$U$593)&lt;&gt;"",Checks!$U$593&amp;IF(Checks!$AB$593="","",CHAR(10)&amp;"CA: "&amp;Checks!$AB$593),IF(LEFT(Checks!$AH$593,10)="N/A – RULE","","[ ] Pass"&amp;CHAR(10)&amp;"[ ] Pass after CA"&amp;CHAR(10)&amp;"[ ] Fail"&amp;IF(Checks!$AT$593=1,CHAR(10)&amp;"[ ] N/A","")&amp;CHAR(10)&amp;"CA: Open / Closed"))</f>
        <v>[ ] Pass
[ ] Pass after CA
[ ] Fail
CA: Open / Closed</v>
      </c>
      <c r="E44" s="120" t="str">
        <f aca="false">IF(Checks!$V$593="","",Checks!$V$593)&amp;IF(Checks!$AC$593="","",IF(Checks!$V$593="","",CHAR(10))&amp;"N/A just.: "&amp;Checks!$AC$593)&amp;IF(OR(Checks!$W$593&lt;&gt;"",AND(Checks!$AQ$593=1,NOT(LEFT(Checks!$AH$593,10)="N/A – RULE"))),CHAR(10)&amp;"Batch: "&amp;IF(Checks!$W$593="","____________",Checks!$W$593),"")&amp;IF(OR(Checks!$X$593&lt;&gt;"",Checks!$Y$593&lt;&gt;"",AND(Checks!$AR$593=1,NOT(LEFT(Checks!$AH$593,10)="N/A – RULE"))),CHAR(10)&amp;"Exp: "&amp;IF(Checks!$X$593="","______",Checks!$X$593)&amp;"  /  Act: "&amp;IF(Checks!$Y$593="","______",Checks!$Y$593),"")</f>
        <v/>
      </c>
      <c r="F44" s="120" t="str">
        <f aca="false">IF(AND(LEFT(Checks!$AH$593,10)="N/A – RULE",TRIM(Checks!$S$593&amp;Checks!$Z$593)=""),"","Type: "&amp;IF(TRIM(Checks!$S$593)="","______________ (see cover list)",Checks!$S$593)&amp;CHAR(10)&amp;"ID: "&amp;IF(TRIM(Checks!$Z$593)="","______________ (record's own no.)",Checks!$Z$593))&amp;IF(Checks!$AA$593="","",CHAR(10)&amp;"CA: "&amp;Checks!$AA$593)</f>
        <v>Type: ______________ (see cover list)
ID: ______________ (record's own no.)</v>
      </c>
      <c r="G44" s="120" t="str">
        <f aca="false">IF(AND(LEFT(Checks!$AH$593,10)="N/A – RULE",NOT(ISNUMBER(Checks!$AD$593)),Checks!$AE$593="",Checks!$T$593=""),"","Done: "&amp;IF(ISNUMBER(Checks!$AD$593),TEXT(Checks!$AD$593,"DD-MMM-YY HH:MM"),"____________")&amp;" "&amp;Checks!$P$593&amp;CHAR(10)&amp;"Verifier: "&amp;IF(Checks!$AE$593="","____________",Checks!$AE$593)&amp;CHAR(10)&amp;"PIC: "&amp;IF(Checks!$T$593="","____________",Checks!$T$593))</f>
        <v>Done: ____________ KUL
Verifier: ____________
PIC: ____________</v>
      </c>
      <c r="H44" s="121" t="str">
        <f aca="false">IF(Checks!$AH$593="","",Checks!$AH$593)</f>
        <v>OPEN</v>
      </c>
    </row>
    <row r="45" customFormat="false" ht="114" hidden="false" customHeight="true" outlineLevel="0" collapsed="false">
      <c r="A45" s="120" t="str">
        <f aca="false">Checks!$A$594&amp;CHAR(10)&amp;IF(Checks!$I$594="","",Checks!$I$594&amp;": ")&amp;Checks!$J$594</f>
        <v>F18-T12-11
F&amp;B Linen: Napkin - prepared</v>
      </c>
      <c r="B45" s="120" t="str">
        <f aca="false">Checks!$K$594&amp;IF(Checks!$O$594="","",IF(Checks!$K$594="","",CHAR(10))&amp;"Note: "&amp;Checks!$O$594)</f>
        <v>Available (ticked in reference)
Note: Reference gives no uplift stn for this item: preparation checked at the meal uplift stn (KUL) - confirm with caterer.</v>
      </c>
      <c r="C45" s="120" t="str">
        <f aca="false">Checks!$N$594&amp;CHAR(10)&amp;IF(ISNUMBER(Checks!$R$594),TEXT(Checks!$R$594,"DD-MMM-YY HH:MM"),"")&amp;" "&amp;Checks!$P$594</f>
        <v>Required
27-Oct-26 10:25 KUL</v>
      </c>
      <c r="D45" s="120" t="str">
        <f aca="false">IF(TRIM(Checks!$U$594)&lt;&gt;"",Checks!$U$594&amp;IF(Checks!$AB$594="","",CHAR(10)&amp;"CA: "&amp;Checks!$AB$594),IF(LEFT(Checks!$AH$594,10)="N/A – RULE","","[ ] Pass"&amp;CHAR(10)&amp;"[ ] Pass after CA"&amp;CHAR(10)&amp;"[ ] Fail"&amp;IF(Checks!$AT$594=1,CHAR(10)&amp;"[ ] N/A","")&amp;CHAR(10)&amp;"CA: Open / Closed"))</f>
        <v>[ ] Pass
[ ] Pass after CA
[ ] Fail
CA: Open / Closed</v>
      </c>
      <c r="E45" s="120" t="str">
        <f aca="false">IF(Checks!$V$594="","",Checks!$V$594)&amp;IF(Checks!$AC$594="","",IF(Checks!$V$594="","",CHAR(10))&amp;"N/A just.: "&amp;Checks!$AC$594)&amp;IF(OR(Checks!$W$594&lt;&gt;"",AND(Checks!$AQ$594=1,NOT(LEFT(Checks!$AH$594,10)="N/A – RULE"))),CHAR(10)&amp;"Batch: "&amp;IF(Checks!$W$594="","____________",Checks!$W$594),"")&amp;IF(OR(Checks!$X$594&lt;&gt;"",Checks!$Y$594&lt;&gt;"",AND(Checks!$AR$594=1,NOT(LEFT(Checks!$AH$594,10)="N/A – RULE"))),CHAR(10)&amp;"Exp: "&amp;IF(Checks!$X$594="","______",Checks!$X$594)&amp;"  /  Act: "&amp;IF(Checks!$Y$594="","______",Checks!$Y$594),"")</f>
        <v/>
      </c>
      <c r="F45" s="120" t="str">
        <f aca="false">IF(AND(LEFT(Checks!$AH$594,10)="N/A – RULE",TRIM(Checks!$S$594&amp;Checks!$Z$594)=""),"","Type: "&amp;IF(TRIM(Checks!$S$594)="","______________ (see cover list)",Checks!$S$594)&amp;CHAR(10)&amp;"ID: "&amp;IF(TRIM(Checks!$Z$594)="","______________ (record's own no.)",Checks!$Z$594))&amp;IF(Checks!$AA$594="","",CHAR(10)&amp;"CA: "&amp;Checks!$AA$594)</f>
        <v>Type: ______________ (see cover list)
ID: ______________ (record's own no.)</v>
      </c>
      <c r="G45" s="120" t="str">
        <f aca="false">IF(AND(LEFT(Checks!$AH$594,10)="N/A – RULE",NOT(ISNUMBER(Checks!$AD$594)),Checks!$AE$594="",Checks!$T$594=""),"","Done: "&amp;IF(ISNUMBER(Checks!$AD$594),TEXT(Checks!$AD$594,"DD-MMM-YY HH:MM"),"____________")&amp;" "&amp;Checks!$P$594&amp;CHAR(10)&amp;"Verifier: "&amp;IF(Checks!$AE$594="","____________",Checks!$AE$594)&amp;CHAR(10)&amp;"PIC: "&amp;IF(Checks!$T$594="","____________",Checks!$T$594))</f>
        <v>Done: ____________ KUL
Verifier: ____________
PIC: ____________</v>
      </c>
      <c r="H45" s="121" t="str">
        <f aca="false">IF(Checks!$AH$594="","",Checks!$AH$594)</f>
        <v>OPEN</v>
      </c>
    </row>
    <row r="46" customFormat="false" ht="114" hidden="false" customHeight="true" outlineLevel="0" collapsed="false">
      <c r="A46" s="120" t="str">
        <f aca="false">Checks!$A$595&amp;CHAR(10)&amp;IF(Checks!$I$595="","",Checks!$I$595&amp;": ")&amp;Checks!$J$595</f>
        <v>F18-T12-12
F&amp;B Linen: Table cloth - prepared</v>
      </c>
      <c r="B46" s="120" t="str">
        <f aca="false">Checks!$K$595&amp;IF(Checks!$O$595="","",IF(Checks!$K$595="","",CHAR(10))&amp;"Note: "&amp;Checks!$O$595)</f>
        <v>Available (ticked in reference)
Note: Reference gives no uplift stn for this item: preparation checked at the meal uplift stn (KUL) - confirm with caterer.</v>
      </c>
      <c r="C46" s="120" t="str">
        <f aca="false">Checks!$N$595&amp;CHAR(10)&amp;IF(ISNUMBER(Checks!$R$595),TEXT(Checks!$R$595,"DD-MMM-YY HH:MM"),"")&amp;" "&amp;Checks!$P$595</f>
        <v>Required
27-Oct-26 10:25 KUL</v>
      </c>
      <c r="D46" s="120" t="str">
        <f aca="false">IF(TRIM(Checks!$U$595)&lt;&gt;"",Checks!$U$595&amp;IF(Checks!$AB$595="","",CHAR(10)&amp;"CA: "&amp;Checks!$AB$595),IF(LEFT(Checks!$AH$595,10)="N/A – RULE","","[ ] Pass"&amp;CHAR(10)&amp;"[ ] Pass after CA"&amp;CHAR(10)&amp;"[ ] Fail"&amp;IF(Checks!$AT$595=1,CHAR(10)&amp;"[ ] N/A","")&amp;CHAR(10)&amp;"CA: Open / Closed"))</f>
        <v>[ ] Pass
[ ] Pass after CA
[ ] Fail
CA: Open / Closed</v>
      </c>
      <c r="E46" s="120" t="str">
        <f aca="false">IF(Checks!$V$595="","",Checks!$V$595)&amp;IF(Checks!$AC$595="","",IF(Checks!$V$595="","",CHAR(10))&amp;"N/A just.: "&amp;Checks!$AC$595)&amp;IF(OR(Checks!$W$595&lt;&gt;"",AND(Checks!$AQ$595=1,NOT(LEFT(Checks!$AH$595,10)="N/A – RULE"))),CHAR(10)&amp;"Batch: "&amp;IF(Checks!$W$595="","____________",Checks!$W$595),"")&amp;IF(OR(Checks!$X$595&lt;&gt;"",Checks!$Y$595&lt;&gt;"",AND(Checks!$AR$595=1,NOT(LEFT(Checks!$AH$595,10)="N/A – RULE"))),CHAR(10)&amp;"Exp: "&amp;IF(Checks!$X$595="","______",Checks!$X$595)&amp;"  /  Act: "&amp;IF(Checks!$Y$595="","______",Checks!$Y$595),"")</f>
        <v/>
      </c>
      <c r="F46" s="120" t="str">
        <f aca="false">IF(AND(LEFT(Checks!$AH$595,10)="N/A – RULE",TRIM(Checks!$S$595&amp;Checks!$Z$595)=""),"","Type: "&amp;IF(TRIM(Checks!$S$595)="","______________ (see cover list)",Checks!$S$595)&amp;CHAR(10)&amp;"ID: "&amp;IF(TRIM(Checks!$Z$595)="","______________ (record's own no.)",Checks!$Z$595))&amp;IF(Checks!$AA$595="","",CHAR(10)&amp;"CA: "&amp;Checks!$AA$595)</f>
        <v>Type: ______________ (see cover list)
ID: ______________ (record's own no.)</v>
      </c>
      <c r="G46" s="120" t="str">
        <f aca="false">IF(AND(LEFT(Checks!$AH$595,10)="N/A – RULE",NOT(ISNUMBER(Checks!$AD$595)),Checks!$AE$595="",Checks!$T$595=""),"","Done: "&amp;IF(ISNUMBER(Checks!$AD$595),TEXT(Checks!$AD$595,"DD-MMM-YY HH:MM"),"____________")&amp;" "&amp;Checks!$P$595&amp;CHAR(10)&amp;"Verifier: "&amp;IF(Checks!$AE$595="","____________",Checks!$AE$595)&amp;CHAR(10)&amp;"PIC: "&amp;IF(Checks!$T$595="","____________",Checks!$T$595))</f>
        <v>Done: ____________ KUL
Verifier: ____________
PIC: ____________</v>
      </c>
      <c r="H46" s="121" t="str">
        <f aca="false">IF(Checks!$AH$595="","",Checks!$AH$595)</f>
        <v>OPEN</v>
      </c>
    </row>
    <row r="47" customFormat="false" ht="114" hidden="false" customHeight="true" outlineLevel="0" collapsed="false">
      <c r="A47" s="120" t="str">
        <f aca="false">Checks!$A$596&amp;CHAR(10)&amp;IF(Checks!$I$596="","",Checks!$I$596&amp;": ")&amp;Checks!$J$596</f>
        <v>F18-T12-13
F&amp;B Linen: Bread linen (using table cloth) - prepared</v>
      </c>
      <c r="B47" s="120" t="str">
        <f aca="false">Checks!$K$596&amp;IF(Checks!$O$596="","",IF(Checks!$K$596="","",CHAR(10))&amp;"Note: "&amp;Checks!$O$596)</f>
        <v>Available (ticked in reference)
Note: Reference gives no uplift stn for this item: preparation checked at the meal uplift stn (KUL) - confirm with caterer.</v>
      </c>
      <c r="C47" s="120" t="str">
        <f aca="false">Checks!$N$596&amp;CHAR(10)&amp;IF(ISNUMBER(Checks!$R$596),TEXT(Checks!$R$596,"DD-MMM-YY HH:MM"),"")&amp;" "&amp;Checks!$P$596</f>
        <v>Required
27-Oct-26 10:25 KUL</v>
      </c>
      <c r="D47" s="120" t="str">
        <f aca="false">IF(TRIM(Checks!$U$596)&lt;&gt;"",Checks!$U$596&amp;IF(Checks!$AB$596="","",CHAR(10)&amp;"CA: "&amp;Checks!$AB$596),IF(LEFT(Checks!$AH$596,10)="N/A – RULE","","[ ] Pass"&amp;CHAR(10)&amp;"[ ] Pass after CA"&amp;CHAR(10)&amp;"[ ] Fail"&amp;IF(Checks!$AT$596=1,CHAR(10)&amp;"[ ] N/A","")&amp;CHAR(10)&amp;"CA: Open / Closed"))</f>
        <v>[ ] Pass
[ ] Pass after CA
[ ] Fail
CA: Open / Closed</v>
      </c>
      <c r="E47" s="120" t="str">
        <f aca="false">IF(Checks!$V$596="","",Checks!$V$596)&amp;IF(Checks!$AC$596="","",IF(Checks!$V$596="","",CHAR(10))&amp;"N/A just.: "&amp;Checks!$AC$596)&amp;IF(OR(Checks!$W$596&lt;&gt;"",AND(Checks!$AQ$596=1,NOT(LEFT(Checks!$AH$596,10)="N/A – RULE"))),CHAR(10)&amp;"Batch: "&amp;IF(Checks!$W$596="","____________",Checks!$W$596),"")&amp;IF(OR(Checks!$X$596&lt;&gt;"",Checks!$Y$596&lt;&gt;"",AND(Checks!$AR$596=1,NOT(LEFT(Checks!$AH$596,10)="N/A – RULE"))),CHAR(10)&amp;"Exp: "&amp;IF(Checks!$X$596="","______",Checks!$X$596)&amp;"  /  Act: "&amp;IF(Checks!$Y$596="","______",Checks!$Y$596),"")</f>
        <v/>
      </c>
      <c r="F47" s="120" t="str">
        <f aca="false">IF(AND(LEFT(Checks!$AH$596,10)="N/A – RULE",TRIM(Checks!$S$596&amp;Checks!$Z$596)=""),"","Type: "&amp;IF(TRIM(Checks!$S$596)="","______________ (see cover list)",Checks!$S$596)&amp;CHAR(10)&amp;"ID: "&amp;IF(TRIM(Checks!$Z$596)="","______________ (record's own no.)",Checks!$Z$596))&amp;IF(Checks!$AA$596="","",CHAR(10)&amp;"CA: "&amp;Checks!$AA$596)</f>
        <v>Type: ______________ (see cover list)
ID: ______________ (record's own no.)</v>
      </c>
      <c r="G47" s="120" t="str">
        <f aca="false">IF(AND(LEFT(Checks!$AH$596,10)="N/A – RULE",NOT(ISNUMBER(Checks!$AD$596)),Checks!$AE$596="",Checks!$T$596=""),"","Done: "&amp;IF(ISNUMBER(Checks!$AD$596),TEXT(Checks!$AD$596,"DD-MMM-YY HH:MM"),"____________")&amp;" "&amp;Checks!$P$596&amp;CHAR(10)&amp;"Verifier: "&amp;IF(Checks!$AE$596="","____________",Checks!$AE$596)&amp;CHAR(10)&amp;"PIC: "&amp;IF(Checks!$T$596="","____________",Checks!$T$596))</f>
        <v>Done: ____________ KUL
Verifier: ____________
PIC: ____________</v>
      </c>
      <c r="H47" s="121" t="str">
        <f aca="false">IF(Checks!$AH$596="","",Checks!$AH$596)</f>
        <v>OPEN</v>
      </c>
    </row>
    <row r="48" customFormat="false" ht="124.5" hidden="false" customHeight="true" outlineLevel="0" collapsed="false">
      <c r="A48" s="120" t="str">
        <f aca="false">Checks!$A$597&amp;CHAR(10)&amp;IF(Checks!$I$597="","",Checks!$I$597&amp;": ")&amp;Checks!$J$597</f>
        <v>F18-T12-14
F&amp;B Linen: Trolley cloth - prepared</v>
      </c>
      <c r="B48" s="120" t="str">
        <f aca="false">SUBSTITUTE(SUBSTITUTE(Checks!$K$597&amp;IF(Checks!$O$597="","",IF(Checks!$K$597="","",CHAR(10))&amp;"Note: "&amp;Checks!$O$597),"Per note F&amp;B LINEN!B79:C80.","Per the F&amp;B LINEN reference note."),"note F&amp;B LINEN!B79:C80","the F&amp;B LINEN reference note")</f>
        <v>Wide body: Top/Middle &amp; Bottom
Note: Per the F&amp;B LINEN reference note. Reference gives no uplift stn for this item: preparation checked at the meal uplift stn (KUL) - confirm with caterer.</v>
      </c>
      <c r="C48" s="120" t="str">
        <f aca="false">Checks!$N$597&amp;CHAR(10)&amp;IF(ISNUMBER(Checks!$R$597),TEXT(Checks!$R$597,"DD-MMM-YY HH:MM"),"")&amp;" "&amp;Checks!$P$597</f>
        <v>Required
27-Oct-26 10:25 KUL</v>
      </c>
      <c r="D48" s="120" t="str">
        <f aca="false">IF(TRIM(Checks!$U$597)&lt;&gt;"",Checks!$U$597&amp;IF(Checks!$AB$597="","",CHAR(10)&amp;"CA: "&amp;Checks!$AB$597),IF(LEFT(Checks!$AH$597,10)="N/A – RULE","","[ ] Pass"&amp;CHAR(10)&amp;"[ ] Pass after CA"&amp;CHAR(10)&amp;"[ ] Fail"&amp;IF(Checks!$AT$597=1,CHAR(10)&amp;"[ ] N/A","")&amp;CHAR(10)&amp;"CA: Open / Closed"))</f>
        <v>[ ] Pass
[ ] Pass after CA
[ ] Fail
CA: Open / Closed</v>
      </c>
      <c r="E48" s="120" t="str">
        <f aca="false">IF(Checks!$V$597="","",Checks!$V$597)&amp;IF(Checks!$AC$597="","",IF(Checks!$V$597="","",CHAR(10))&amp;"N/A just.: "&amp;Checks!$AC$597)&amp;IF(OR(Checks!$W$597&lt;&gt;"",AND(Checks!$AQ$597=1,NOT(LEFT(Checks!$AH$597,10)="N/A – RULE"))),CHAR(10)&amp;"Batch: "&amp;IF(Checks!$W$597="","____________",Checks!$W$597),"")&amp;IF(OR(Checks!$X$597&lt;&gt;"",Checks!$Y$597&lt;&gt;"",AND(Checks!$AR$597=1,NOT(LEFT(Checks!$AH$597,10)="N/A – RULE"))),CHAR(10)&amp;"Exp: "&amp;IF(Checks!$X$597="","______",Checks!$X$597)&amp;"  /  Act: "&amp;IF(Checks!$Y$597="","______",Checks!$Y$597),"")</f>
        <v/>
      </c>
      <c r="F48" s="120" t="str">
        <f aca="false">IF(AND(LEFT(Checks!$AH$597,10)="N/A – RULE",TRIM(Checks!$S$597&amp;Checks!$Z$597)=""),"","Type: "&amp;IF(TRIM(Checks!$S$597)="","______________ (see cover list)",Checks!$S$597)&amp;CHAR(10)&amp;"ID: "&amp;IF(TRIM(Checks!$Z$597)="","______________ (record's own no.)",Checks!$Z$597))&amp;IF(Checks!$AA$597="","",CHAR(10)&amp;"CA: "&amp;Checks!$AA$597)</f>
        <v>Type: ______________ (see cover list)
ID: ______________ (record's own no.)</v>
      </c>
      <c r="G48" s="120" t="str">
        <f aca="false">IF(AND(LEFT(Checks!$AH$597,10)="N/A – RULE",NOT(ISNUMBER(Checks!$AD$597)),Checks!$AE$597="",Checks!$T$597=""),"","Done: "&amp;IF(ISNUMBER(Checks!$AD$597),TEXT(Checks!$AD$597,"DD-MMM-YY HH:MM"),"____________")&amp;" "&amp;Checks!$P$597&amp;CHAR(10)&amp;"Verifier: "&amp;IF(Checks!$AE$597="","____________",Checks!$AE$597)&amp;CHAR(10)&amp;"PIC: "&amp;IF(Checks!$T$597="","____________",Checks!$T$597))</f>
        <v>Done: ____________ KUL
Verifier: ____________
PIC: ____________</v>
      </c>
      <c r="H48" s="121" t="str">
        <f aca="false">IF(Checks!$AH$597="","",Checks!$AH$597)</f>
        <v>OPEN</v>
      </c>
    </row>
    <row r="49" customFormat="false" ht="114" hidden="false" customHeight="true" outlineLevel="0" collapsed="false">
      <c r="A49" s="120" t="str">
        <f aca="false">Checks!$A$598&amp;CHAR(10)&amp;IF(Checks!$I$598="","",Checks!$I$598&amp;": ")&amp;Checks!$J$598</f>
        <v>F18-T12-15
F&amp;B Linen: Linen bag - prepared</v>
      </c>
      <c r="B49" s="120" t="str">
        <f aca="false">Checks!$K$598&amp;IF(Checks!$O$598="","",IF(Checks!$K$598="","",CHAR(10))&amp;"Note: "&amp;Checks!$O$598)</f>
        <v>Available (ticked in reference)
Note: Reference gives no uplift stn for this item: preparation checked at the meal uplift stn (KUL) - confirm with caterer.</v>
      </c>
      <c r="C49" s="120" t="str">
        <f aca="false">Checks!$N$598&amp;CHAR(10)&amp;IF(ISNUMBER(Checks!$R$598),TEXT(Checks!$R$598,"DD-MMM-YY HH:MM"),"")&amp;" "&amp;Checks!$P$598</f>
        <v>Required
27-Oct-26 10:25 KUL</v>
      </c>
      <c r="D49" s="120" t="str">
        <f aca="false">IF(TRIM(Checks!$U$598)&lt;&gt;"",Checks!$U$598&amp;IF(Checks!$AB$598="","",CHAR(10)&amp;"CA: "&amp;Checks!$AB$598),IF(LEFT(Checks!$AH$598,10)="N/A – RULE","","[ ] Pass"&amp;CHAR(10)&amp;"[ ] Pass after CA"&amp;CHAR(10)&amp;"[ ] Fail"&amp;IF(Checks!$AT$598=1,CHAR(10)&amp;"[ ] N/A","")&amp;CHAR(10)&amp;"CA: Open / Closed"))</f>
        <v>[ ] Pass
[ ] Pass after CA
[ ] Fail
CA: Open / Closed</v>
      </c>
      <c r="E49" s="120" t="str">
        <f aca="false">IF(Checks!$V$598="","",Checks!$V$598)&amp;IF(Checks!$AC$598="","",IF(Checks!$V$598="","",CHAR(10))&amp;"N/A just.: "&amp;Checks!$AC$598)&amp;IF(OR(Checks!$W$598&lt;&gt;"",AND(Checks!$AQ$598=1,NOT(LEFT(Checks!$AH$598,10)="N/A – RULE"))),CHAR(10)&amp;"Batch: "&amp;IF(Checks!$W$598="","____________",Checks!$W$598),"")&amp;IF(OR(Checks!$X$598&lt;&gt;"",Checks!$Y$598&lt;&gt;"",AND(Checks!$AR$598=1,NOT(LEFT(Checks!$AH$598,10)="N/A – RULE"))),CHAR(10)&amp;"Exp: "&amp;IF(Checks!$X$598="","______",Checks!$X$598)&amp;"  /  Act: "&amp;IF(Checks!$Y$598="","______",Checks!$Y$598),"")</f>
        <v/>
      </c>
      <c r="F49" s="120" t="str">
        <f aca="false">IF(AND(LEFT(Checks!$AH$598,10)="N/A – RULE",TRIM(Checks!$S$598&amp;Checks!$Z$598)=""),"","Type: "&amp;IF(TRIM(Checks!$S$598)="","______________ (see cover list)",Checks!$S$598)&amp;CHAR(10)&amp;"ID: "&amp;IF(TRIM(Checks!$Z$598)="","______________ (record's own no.)",Checks!$Z$598))&amp;IF(Checks!$AA$598="","",CHAR(10)&amp;"CA: "&amp;Checks!$AA$598)</f>
        <v>Type: ______________ (see cover list)
ID: ______________ (record's own no.)</v>
      </c>
      <c r="G49" s="120" t="str">
        <f aca="false">IF(AND(LEFT(Checks!$AH$598,10)="N/A – RULE",NOT(ISNUMBER(Checks!$AD$598)),Checks!$AE$598="",Checks!$T$598=""),"","Done: "&amp;IF(ISNUMBER(Checks!$AD$598),TEXT(Checks!$AD$598,"DD-MMM-YY HH:MM"),"____________")&amp;" "&amp;Checks!$P$598&amp;CHAR(10)&amp;"Verifier: "&amp;IF(Checks!$AE$598="","____________",Checks!$AE$598)&amp;CHAR(10)&amp;"PIC: "&amp;IF(Checks!$T$598="","____________",Checks!$T$598))</f>
        <v>Done: ____________ KUL
Verifier: ____________
PIC: ____________</v>
      </c>
      <c r="H49" s="121" t="str">
        <f aca="false">IF(Checks!$AH$598="","",Checks!$AH$598)</f>
        <v>OPEN</v>
      </c>
    </row>
    <row r="50" customFormat="false" ht="114" hidden="false" customHeight="true" outlineLevel="0" collapsed="false">
      <c r="A50" s="120" t="str">
        <f aca="false">Checks!$A$599&amp;CHAR(10)&amp;IF(Checks!$I$599="","",Checks!$I$599&amp;": ")&amp;Checks!$J$599</f>
        <v>F18-T12-16
Seat Linen: Seat pillow (BS &amp; BC) - prepared</v>
      </c>
      <c r="B50" s="120" t="str">
        <f aca="false">Checks!$K$599&amp;IF(Checks!$O$599="","",IF(Checks!$K$599="","",CHAR(10))&amp;"Note: "&amp;Checks!$O$599)</f>
        <v>Available 100% (ticked in reference)
Note: Reference gives no uplift stn for this item: preparation checked at the meal uplift stn (KUL) - confirm with caterer.</v>
      </c>
      <c r="C50" s="120" t="str">
        <f aca="false">Checks!$N$599&amp;CHAR(10)&amp;IF(ISNUMBER(Checks!$R$599),TEXT(Checks!$R$599,"DD-MMM-YY HH:MM"),"")&amp;" "&amp;Checks!$P$599</f>
        <v>Required
27-Oct-26 10:25 KUL</v>
      </c>
      <c r="D50" s="120" t="str">
        <f aca="false">IF(TRIM(Checks!$U$599)&lt;&gt;"",Checks!$U$599&amp;IF(Checks!$AB$599="","",CHAR(10)&amp;"CA: "&amp;Checks!$AB$599),IF(LEFT(Checks!$AH$599,10)="N/A – RULE","","[ ] Pass"&amp;CHAR(10)&amp;"[ ] Pass after CA"&amp;CHAR(10)&amp;"[ ] Fail"&amp;IF(Checks!$AT$599=1,CHAR(10)&amp;"[ ] N/A","")&amp;CHAR(10)&amp;"CA: Open / Closed"))</f>
        <v>[ ] Pass
[ ] Pass after CA
[ ] Fail
CA: Open / Closed</v>
      </c>
      <c r="E50" s="120" t="str">
        <f aca="false">IF(Checks!$V$599="","",Checks!$V$599)&amp;IF(Checks!$AC$599="","",IF(Checks!$V$599="","",CHAR(10))&amp;"N/A just.: "&amp;Checks!$AC$599)&amp;IF(OR(Checks!$W$599&lt;&gt;"",AND(Checks!$AQ$599=1,NOT(LEFT(Checks!$AH$599,10)="N/A – RULE"))),CHAR(10)&amp;"Batch: "&amp;IF(Checks!$W$599="","____________",Checks!$W$599),"")&amp;IF(OR(Checks!$X$599&lt;&gt;"",Checks!$Y$599&lt;&gt;"",AND(Checks!$AR$599=1,NOT(LEFT(Checks!$AH$599,10)="N/A – RULE"))),CHAR(10)&amp;"Exp: "&amp;IF(Checks!$X$599="","______",Checks!$X$599)&amp;"  /  Act: "&amp;IF(Checks!$Y$599="","______",Checks!$Y$599),"")</f>
        <v/>
      </c>
      <c r="F50" s="120" t="str">
        <f aca="false">IF(AND(LEFT(Checks!$AH$599,10)="N/A – RULE",TRIM(Checks!$S$599&amp;Checks!$Z$599)=""),"","Type: "&amp;IF(TRIM(Checks!$S$599)="","______________ (see cover list)",Checks!$S$599)&amp;CHAR(10)&amp;"ID: "&amp;IF(TRIM(Checks!$Z$599)="","______________ (record's own no.)",Checks!$Z$599))&amp;IF(Checks!$AA$599="","",CHAR(10)&amp;"CA: "&amp;Checks!$AA$599)</f>
        <v>Type: ______________ (see cover list)
ID: ______________ (record's own no.)</v>
      </c>
      <c r="G50" s="120" t="str">
        <f aca="false">IF(AND(LEFT(Checks!$AH$599,10)="N/A – RULE",NOT(ISNUMBER(Checks!$AD$599)),Checks!$AE$599="",Checks!$T$599=""),"","Done: "&amp;IF(ISNUMBER(Checks!$AD$599),TEXT(Checks!$AD$599,"DD-MMM-YY HH:MM"),"____________")&amp;" "&amp;Checks!$P$599&amp;CHAR(10)&amp;"Verifier: "&amp;IF(Checks!$AE$599="","____________",Checks!$AE$599)&amp;CHAR(10)&amp;"PIC: "&amp;IF(Checks!$T$599="","____________",Checks!$T$599))</f>
        <v>Done: ____________ KUL
Verifier: ____________
PIC: ____________</v>
      </c>
      <c r="H50" s="121" t="str">
        <f aca="false">IF(Checks!$AH$599="","",Checks!$AH$599)</f>
        <v>OPEN</v>
      </c>
    </row>
    <row r="51" customFormat="false" ht="114" hidden="false" customHeight="true" outlineLevel="0" collapsed="false">
      <c r="A51" s="120" t="str">
        <f aca="false">Checks!$A$600&amp;CHAR(10)&amp;IF(Checks!$I$600="","",Checks!$I$600&amp;": ")&amp;Checks!$J$600</f>
        <v>F18-T12-17
Seat Linen: Duvet (BS &amp; BC) - prepared</v>
      </c>
      <c r="B51" s="120" t="str">
        <f aca="false">Checks!$K$600&amp;IF(Checks!$O$600="","",IF(Checks!$K$600="","",CHAR(10))&amp;"Note: "&amp;Checks!$O$600)</f>
        <v>Available 100% (ticked in reference)
Note: Reference gives no uplift stn for this item: preparation checked at the meal uplift stn (KUL) - confirm with caterer.</v>
      </c>
      <c r="C51" s="120" t="str">
        <f aca="false">Checks!$N$600&amp;CHAR(10)&amp;IF(ISNUMBER(Checks!$R$600),TEXT(Checks!$R$600,"DD-MMM-YY HH:MM"),"")&amp;" "&amp;Checks!$P$600</f>
        <v>Required
27-Oct-26 10:25 KUL</v>
      </c>
      <c r="D51" s="120" t="str">
        <f aca="false">IF(TRIM(Checks!$U$600)&lt;&gt;"",Checks!$U$600&amp;IF(Checks!$AB$600="","",CHAR(10)&amp;"CA: "&amp;Checks!$AB$600),IF(LEFT(Checks!$AH$600,10)="N/A – RULE","","[ ] Pass"&amp;CHAR(10)&amp;"[ ] Pass after CA"&amp;CHAR(10)&amp;"[ ] Fail"&amp;IF(Checks!$AT$600=1,CHAR(10)&amp;"[ ] N/A","")&amp;CHAR(10)&amp;"CA: Open / Closed"))</f>
        <v>[ ] Pass
[ ] Pass after CA
[ ] Fail
CA: Open / Closed</v>
      </c>
      <c r="E51" s="120" t="str">
        <f aca="false">IF(Checks!$V$600="","",Checks!$V$600)&amp;IF(Checks!$AC$600="","",IF(Checks!$V$600="","",CHAR(10))&amp;"N/A just.: "&amp;Checks!$AC$600)&amp;IF(OR(Checks!$W$600&lt;&gt;"",AND(Checks!$AQ$600=1,NOT(LEFT(Checks!$AH$600,10)="N/A – RULE"))),CHAR(10)&amp;"Batch: "&amp;IF(Checks!$W$600="","____________",Checks!$W$600),"")&amp;IF(OR(Checks!$X$600&lt;&gt;"",Checks!$Y$600&lt;&gt;"",AND(Checks!$AR$600=1,NOT(LEFT(Checks!$AH$600,10)="N/A – RULE"))),CHAR(10)&amp;"Exp: "&amp;IF(Checks!$X$600="","______",Checks!$X$600)&amp;"  /  Act: "&amp;IF(Checks!$Y$600="","______",Checks!$Y$600),"")</f>
        <v/>
      </c>
      <c r="F51" s="120" t="str">
        <f aca="false">IF(AND(LEFT(Checks!$AH$600,10)="N/A – RULE",TRIM(Checks!$S$600&amp;Checks!$Z$600)=""),"","Type: "&amp;IF(TRIM(Checks!$S$600)="","______________ (see cover list)",Checks!$S$600)&amp;CHAR(10)&amp;"ID: "&amp;IF(TRIM(Checks!$Z$600)="","______________ (record's own no.)",Checks!$Z$600))&amp;IF(Checks!$AA$600="","",CHAR(10)&amp;"CA: "&amp;Checks!$AA$600)</f>
        <v>Type: ______________ (see cover list)
ID: ______________ (record's own no.)</v>
      </c>
      <c r="G51" s="120" t="str">
        <f aca="false">IF(AND(LEFT(Checks!$AH$600,10)="N/A – RULE",NOT(ISNUMBER(Checks!$AD$600)),Checks!$AE$600="",Checks!$T$600=""),"","Done: "&amp;IF(ISNUMBER(Checks!$AD$600),TEXT(Checks!$AD$600,"DD-MMM-YY HH:MM"),"____________")&amp;" "&amp;Checks!$P$600&amp;CHAR(10)&amp;"Verifier: "&amp;IF(Checks!$AE$600="","____________",Checks!$AE$600)&amp;CHAR(10)&amp;"PIC: "&amp;IF(Checks!$T$600="","____________",Checks!$T$600))</f>
        <v>Done: ____________ KUL
Verifier: ____________
PIC: ____________</v>
      </c>
      <c r="H51" s="121" t="str">
        <f aca="false">IF(Checks!$AH$600="","",Checks!$AH$600)</f>
        <v>OPEN</v>
      </c>
    </row>
    <row r="52" customFormat="false" ht="114" hidden="false" customHeight="true" outlineLevel="0" collapsed="false">
      <c r="A52" s="120" t="str">
        <f aca="false">Checks!$A$601&amp;CHAR(10)&amp;IF(Checks!$I$601="","",Checks!$I$601&amp;": ")&amp;Checks!$J$601</f>
        <v>F18-T12-18
Seat Linen: Mattress (BS &amp; BC) - prepared</v>
      </c>
      <c r="B52" s="120" t="str">
        <f aca="false">Checks!$K$601&amp;IF(Checks!$O$601="","",IF(Checks!$K$601="","",CHAR(10))&amp;"Note: "&amp;Checks!$O$601)</f>
        <v>Available 100% (ticked in reference)
Note: Reference gives no uplift stn for this item: preparation checked at the meal uplift stn (KUL) - confirm with caterer.</v>
      </c>
      <c r="C52" s="120" t="str">
        <f aca="false">Checks!$N$601&amp;CHAR(10)&amp;IF(ISNUMBER(Checks!$R$601),TEXT(Checks!$R$601,"DD-MMM-YY HH:MM"),"")&amp;" "&amp;Checks!$P$601</f>
        <v>Required
27-Oct-26 10:25 KUL</v>
      </c>
      <c r="D52" s="120" t="str">
        <f aca="false">IF(TRIM(Checks!$U$601)&lt;&gt;"",Checks!$U$601&amp;IF(Checks!$AB$601="","",CHAR(10)&amp;"CA: "&amp;Checks!$AB$601),IF(LEFT(Checks!$AH$601,10)="N/A – RULE","","[ ] Pass"&amp;CHAR(10)&amp;"[ ] Pass after CA"&amp;CHAR(10)&amp;"[ ] Fail"&amp;IF(Checks!$AT$601=1,CHAR(10)&amp;"[ ] N/A","")&amp;CHAR(10)&amp;"CA: Open / Closed"))</f>
        <v>[ ] Pass
[ ] Pass after CA
[ ] Fail
CA: Open / Closed</v>
      </c>
      <c r="E52" s="120" t="str">
        <f aca="false">IF(Checks!$V$601="","",Checks!$V$601)&amp;IF(Checks!$AC$601="","",IF(Checks!$V$601="","",CHAR(10))&amp;"N/A just.: "&amp;Checks!$AC$601)&amp;IF(OR(Checks!$W$601&lt;&gt;"",AND(Checks!$AQ$601=1,NOT(LEFT(Checks!$AH$601,10)="N/A – RULE"))),CHAR(10)&amp;"Batch: "&amp;IF(Checks!$W$601="","____________",Checks!$W$601),"")&amp;IF(OR(Checks!$X$601&lt;&gt;"",Checks!$Y$601&lt;&gt;"",AND(Checks!$AR$601=1,NOT(LEFT(Checks!$AH$601,10)="N/A – RULE"))),CHAR(10)&amp;"Exp: "&amp;IF(Checks!$X$601="","______",Checks!$X$601)&amp;"  /  Act: "&amp;IF(Checks!$Y$601="","______",Checks!$Y$601),"")</f>
        <v/>
      </c>
      <c r="F52" s="120" t="str">
        <f aca="false">IF(AND(LEFT(Checks!$AH$601,10)="N/A – RULE",TRIM(Checks!$S$601&amp;Checks!$Z$601)=""),"","Type: "&amp;IF(TRIM(Checks!$S$601)="","______________ (see cover list)",Checks!$S$601)&amp;CHAR(10)&amp;"ID: "&amp;IF(TRIM(Checks!$Z$601)="","______________ (record's own no.)",Checks!$Z$601))&amp;IF(Checks!$AA$601="","",CHAR(10)&amp;"CA: "&amp;Checks!$AA$601)</f>
        <v>Type: ______________ (see cover list)
ID: ______________ (record's own no.)</v>
      </c>
      <c r="G52" s="120" t="str">
        <f aca="false">IF(AND(LEFT(Checks!$AH$601,10)="N/A – RULE",NOT(ISNUMBER(Checks!$AD$601)),Checks!$AE$601="",Checks!$T$601=""),"","Done: "&amp;IF(ISNUMBER(Checks!$AD$601),TEXT(Checks!$AD$601,"DD-MMM-YY HH:MM"),"____________")&amp;" "&amp;Checks!$P$601&amp;CHAR(10)&amp;"Verifier: "&amp;IF(Checks!$AE$601="","____________",Checks!$AE$601)&amp;CHAR(10)&amp;"PIC: "&amp;IF(Checks!$T$601="","____________",Checks!$T$601))</f>
        <v>Done: ____________ KUL
Verifier: ____________
PIC: ____________</v>
      </c>
      <c r="H52" s="121" t="str">
        <f aca="false">IF(Checks!$AH$601="","",Checks!$AH$601)</f>
        <v>OPEN</v>
      </c>
    </row>
    <row r="53" customFormat="false" ht="114" hidden="false" customHeight="true" outlineLevel="0" collapsed="false">
      <c r="A53" s="120" t="str">
        <f aca="false">Checks!$A$602&amp;CHAR(10)&amp;IF(Checks!$I$602="","",Checks!$I$602&amp;": ")&amp;Checks!$J$602</f>
        <v>F18-T12-19
Signature Drinks: Signature drink &amp; garnish (BC) - prepared</v>
      </c>
      <c r="B53" s="120" t="str">
        <f aca="false">SUBSTITUTE(Checks!$K$602&amp;IF(Checks!$O$602="","",IF(Checks!$K$602="","",CHAR(10))&amp;"Note: "&amp;Checks!$O$602)," (note D79)","")</f>
        <v>Available (ticked in reference)
Note: Signature drinks &amp; garnish uplifted from KUL.</v>
      </c>
      <c r="C53" s="120" t="str">
        <f aca="false">Checks!$N$602&amp;CHAR(10)&amp;IF(ISNUMBER(Checks!$R$602),TEXT(Checks!$R$602,"DD-MMM-YY HH:MM"),"")&amp;" "&amp;Checks!$P$602</f>
        <v>Required
27-Oct-26 10:25 KUL</v>
      </c>
      <c r="D53" s="120" t="str">
        <f aca="false">IF(TRIM(Checks!$U$602)&lt;&gt;"",Checks!$U$602&amp;IF(Checks!$AB$602="","",CHAR(10)&amp;"CA: "&amp;Checks!$AB$602),IF(LEFT(Checks!$AH$602,10)="N/A – RULE","","[ ] Pass"&amp;CHAR(10)&amp;"[ ] Pass after CA"&amp;CHAR(10)&amp;"[ ] Fail"&amp;IF(Checks!$AT$602=1,CHAR(10)&amp;"[ ] N/A","")&amp;CHAR(10)&amp;"CA: Open / Closed"))</f>
        <v>[ ] Pass
[ ] Pass after CA
[ ] Fail
CA: Open / Closed</v>
      </c>
      <c r="E53" s="120" t="str">
        <f aca="false">IF(Checks!$V$602="","",Checks!$V$602)&amp;IF(Checks!$AC$602="","",IF(Checks!$V$602="","",CHAR(10))&amp;"N/A just.: "&amp;Checks!$AC$602)&amp;IF(OR(Checks!$W$602&lt;&gt;"",AND(Checks!$AQ$602=1,NOT(LEFT(Checks!$AH$602,10)="N/A – RULE"))),CHAR(10)&amp;"Batch: "&amp;IF(Checks!$W$602="","____________",Checks!$W$602),"")&amp;IF(OR(Checks!$X$602&lt;&gt;"",Checks!$Y$602&lt;&gt;"",AND(Checks!$AR$602=1,NOT(LEFT(Checks!$AH$602,10)="N/A – RULE"))),CHAR(10)&amp;"Exp: "&amp;IF(Checks!$X$602="","______",Checks!$X$602)&amp;"  /  Act: "&amp;IF(Checks!$Y$602="","______",Checks!$Y$602),"")</f>
        <v/>
      </c>
      <c r="F53" s="120" t="str">
        <f aca="false">IF(AND(LEFT(Checks!$AH$602,10)="N/A – RULE",TRIM(Checks!$S$602&amp;Checks!$Z$602)=""),"","Type: "&amp;IF(TRIM(Checks!$S$602)="","______________ (see cover list)",Checks!$S$602)&amp;CHAR(10)&amp;"ID: "&amp;IF(TRIM(Checks!$Z$602)="","______________ (record's own no.)",Checks!$Z$602))&amp;IF(Checks!$AA$602="","",CHAR(10)&amp;"CA: "&amp;Checks!$AA$602)</f>
        <v>Type: ______________ (see cover list)
ID: ______________ (record's own no.)</v>
      </c>
      <c r="G53" s="120" t="str">
        <f aca="false">IF(AND(LEFT(Checks!$AH$602,10)="N/A – RULE",NOT(ISNUMBER(Checks!$AD$602)),Checks!$AE$602="",Checks!$T$602=""),"","Done: "&amp;IF(ISNUMBER(Checks!$AD$602),TEXT(Checks!$AD$602,"DD-MMM-YY HH:MM"),"____________")&amp;" "&amp;Checks!$P$602&amp;CHAR(10)&amp;"Verifier: "&amp;IF(Checks!$AE$602="","____________",Checks!$AE$602)&amp;CHAR(10)&amp;"PIC: "&amp;IF(Checks!$T$602="","____________",Checks!$T$602))</f>
        <v>Done: ____________ KUL
Verifier: ____________
PIC: ____________</v>
      </c>
      <c r="H53" s="121" t="str">
        <f aca="false">IF(Checks!$AH$602="","",Checks!$AH$602)</f>
        <v>OPEN</v>
      </c>
    </row>
    <row r="54" customFormat="false" ht="114" hidden="false" customHeight="true" outlineLevel="0" collapsed="false">
      <c r="A54" s="120" t="str">
        <f aca="false">Checks!$A$603&amp;CHAR(10)&amp;IF(Checks!$I$603="","",Checks!$I$603&amp;": ")&amp;Checks!$J$603</f>
        <v>F18-T12-20
Sales Cart: Sales cart (caterer PASB) - prepared</v>
      </c>
      <c r="B54" s="120" t="str">
        <f aca="false">Checks!$K$603&amp;IF(Checks!$O$603="","",IF(Checks!$K$603="","",CHAR(10))&amp;"Note: "&amp;Checks!$O$603)</f>
        <v>Location 643 &amp; 947 (A333, full cart)
Note: Block 6.50 h &gt;= 4 h. Reference gives no uplift stn for this item: preparation checked at the meal uplift stn (KUL) - confirm with caterer.</v>
      </c>
      <c r="C54" s="120" t="str">
        <f aca="false">Checks!$N$603&amp;CHAR(10)&amp;IF(ISNUMBER(Checks!$R$603),TEXT(Checks!$R$603,"DD-MMM-YY HH:MM"),"")&amp;" "&amp;Checks!$P$603</f>
        <v>Required
27-Oct-26 10:25 KUL</v>
      </c>
      <c r="D54" s="120" t="str">
        <f aca="false">IF(TRIM(Checks!$U$603)&lt;&gt;"",Checks!$U$603&amp;IF(Checks!$AB$603="","",CHAR(10)&amp;"CA: "&amp;Checks!$AB$603),IF(LEFT(Checks!$AH$603,10)="N/A – RULE","","[ ] Pass"&amp;CHAR(10)&amp;"[ ] Pass after CA"&amp;CHAR(10)&amp;"[ ] Fail"&amp;IF(Checks!$AT$603=1,CHAR(10)&amp;"[ ] N/A","")&amp;CHAR(10)&amp;"CA: Open / Closed"))</f>
        <v>[ ] Pass
[ ] Pass after CA
[ ] Fail
CA: Open / Closed</v>
      </c>
      <c r="E54" s="120" t="str">
        <f aca="false">IF(Checks!$V$603="","",Checks!$V$603)&amp;IF(Checks!$AC$603="","",IF(Checks!$V$603="","",CHAR(10))&amp;"N/A just.: "&amp;Checks!$AC$603)&amp;IF(OR(Checks!$W$603&lt;&gt;"",AND(Checks!$AQ$603=1,NOT(LEFT(Checks!$AH$603,10)="N/A – RULE"))),CHAR(10)&amp;"Batch: "&amp;IF(Checks!$W$603="","____________",Checks!$W$603),"")&amp;IF(OR(Checks!$X$603&lt;&gt;"",Checks!$Y$603&lt;&gt;"",AND(Checks!$AR$603=1,NOT(LEFT(Checks!$AH$603,10)="N/A – RULE"))),CHAR(10)&amp;"Exp: "&amp;IF(Checks!$X$603="","______",Checks!$X$603)&amp;"  /  Act: "&amp;IF(Checks!$Y$603="","______",Checks!$Y$603),"")</f>
        <v/>
      </c>
      <c r="F54" s="120" t="str">
        <f aca="false">IF(AND(LEFT(Checks!$AH$603,10)="N/A – RULE",TRIM(Checks!$S$603&amp;Checks!$Z$603)=""),"","Type: "&amp;IF(TRIM(Checks!$S$603)="","______________ (see cover list)",Checks!$S$603)&amp;CHAR(10)&amp;"ID: "&amp;IF(TRIM(Checks!$Z$603)="","______________ (record's own no.)",Checks!$Z$603))&amp;IF(Checks!$AA$603="","",CHAR(10)&amp;"CA: "&amp;Checks!$AA$603)</f>
        <v>Type: ______________ (see cover list)
ID: ______________ (record's own no.)</v>
      </c>
      <c r="G54" s="120" t="str">
        <f aca="false">IF(AND(LEFT(Checks!$AH$603,10)="N/A – RULE",NOT(ISNUMBER(Checks!$AD$603)),Checks!$AE$603="",Checks!$T$603=""),"","Done: "&amp;IF(ISNUMBER(Checks!$AD$603),TEXT(Checks!$AD$603,"DD-MMM-YY HH:MM"),"____________")&amp;" "&amp;Checks!$P$603&amp;CHAR(10)&amp;"Verifier: "&amp;IF(Checks!$AE$603="","____________",Checks!$AE$603)&amp;CHAR(10)&amp;"PIC: "&amp;IF(Checks!$T$603="","____________",Checks!$T$603))</f>
        <v>Done: ____________ KUL
Verifier: ____________
PIC: ____________</v>
      </c>
      <c r="H54" s="121" t="str">
        <f aca="false">IF(Checks!$AH$603="","",Checks!$AH$603)</f>
        <v>OPEN</v>
      </c>
    </row>
    <row r="55" customFormat="false" ht="25.5" hidden="false" customHeight="true" outlineLevel="0" collapsed="false">
      <c r="A55" s="119" t="str">
        <f aca="false">"UPLIFT — Physical uplift – on-board confirmation before departure  |  Due "&amp;"STD "&amp;IF(ISNUMBER(Flights!$I$22),TEXT(Flights!$I$22,"DD-MMM-YY HH:MM"),"")&amp;" "&amp;Flights!$G$22&amp;" (departure stn)"&amp;" (rows with another due show their own)  |  Complete "&amp;IF(ISNUMBER(Flights!$AM$22),TEXT(Flights!$AM$22,"0%"),Flights!$AM$22)&amp;"  |  15 lines"</f>
        <v>UPLIFT — Physical uplift – on-board confirmation before departure  |  Due STD 27-Oct-26 22:25 KUL (departure stn) (rows with another due show their own)  |  Complete 0%  |  15 lines</v>
      </c>
      <c r="B55" s="119"/>
      <c r="C55" s="119"/>
      <c r="D55" s="119"/>
      <c r="E55" s="119"/>
      <c r="F55" s="119"/>
      <c r="G55" s="119"/>
      <c r="H55" s="119"/>
    </row>
    <row r="56" customFormat="false" ht="114" hidden="false" customHeight="true" outlineLevel="0" collapsed="false">
      <c r="A56" s="120" t="str">
        <f aca="false">Checks!$A$604&amp;CHAR(10)&amp;IF(Checks!$I$604="","",Checks!$I$604&amp;": ")&amp;Checks!$J$604</f>
        <v>F18-UPL-01
Meal: Meals physically uplifted on board - quantity vs menu checklist</v>
      </c>
      <c r="B56" s="120" t="str">
        <f aca="false">Checks!$K$604&amp;IF(Checks!$O$604="","",IF(Checks!$K$604="","",CHAR(10))&amp;"Note: "&amp;Checks!$O$604)</f>
        <v>Enter expected &amp; actual
Note: Confirm on board before departure; completion time must fall inside the uplift window.</v>
      </c>
      <c r="C56" s="120" t="str">
        <f aca="false">Checks!$N$604&amp;CHAR(10)&amp;IF(ISNUMBER(Checks!$R$604),TEXT(Checks!$R$604,"DD-MMM-YY HH:MM"),"")&amp;" "&amp;Checks!$P$604</f>
        <v>Required
27-Oct-26 22:25 KUL</v>
      </c>
      <c r="D56" s="120" t="str">
        <f aca="false">IF(TRIM(Checks!$U$604)&lt;&gt;"",Checks!$U$604&amp;IF(Checks!$AB$604="","",CHAR(10)&amp;"CA: "&amp;Checks!$AB$604),IF(LEFT(Checks!$AH$604,10)="N/A – RULE","","[ ] Pass"&amp;CHAR(10)&amp;"[ ] Pass after CA"&amp;CHAR(10)&amp;"[ ] Fail"&amp;IF(Checks!$AT$604=1,CHAR(10)&amp;"[ ] N/A","")&amp;CHAR(10)&amp;"CA: Open / Closed"))</f>
        <v>[ ] Pass
[ ] Pass after CA
[ ] Fail
CA: Open / Closed</v>
      </c>
      <c r="E56" s="120" t="str">
        <f aca="false">IF(Checks!$V$604="","",Checks!$V$604)&amp;IF(Checks!$AC$604="","",IF(Checks!$V$604="","",CHAR(10))&amp;"N/A just.: "&amp;Checks!$AC$604)&amp;IF(OR(Checks!$W$604&lt;&gt;"",AND(Checks!$AQ$604=1,NOT(LEFT(Checks!$AH$604,10)="N/A – RULE"))),CHAR(10)&amp;"Batch: "&amp;IF(Checks!$W$604="","____________",Checks!$W$604),"")&amp;IF(OR(Checks!$X$604&lt;&gt;"",Checks!$Y$604&lt;&gt;"",AND(Checks!$AR$604=1,NOT(LEFT(Checks!$AH$604,10)="N/A – RULE"))),CHAR(10)&amp;"Exp: "&amp;IF(Checks!$X$604="","______",Checks!$X$604)&amp;"  /  Act: "&amp;IF(Checks!$Y$604="","______",Checks!$Y$604),"")</f>
        <v>
Exp: ______  /  Act: ______</v>
      </c>
      <c r="F56" s="120" t="str">
        <f aca="false">IF(AND(LEFT(Checks!$AH$604,10)="N/A – RULE",TRIM(Checks!$S$604&amp;Checks!$Z$604)=""),"","Type: "&amp;IF(TRIM(Checks!$S$604)="","______________ (see cover list)",Checks!$S$604)&amp;CHAR(10)&amp;"ID: "&amp;IF(TRIM(Checks!$Z$604)="","______________ (record's own no.)",Checks!$Z$604))&amp;IF(Checks!$AA$604="","",CHAR(10)&amp;"CA: "&amp;Checks!$AA$604)</f>
        <v>Type: ______________ (see cover list)
ID: ______________ (record's own no.)</v>
      </c>
      <c r="G56" s="120" t="str">
        <f aca="false">IF(AND(LEFT(Checks!$AH$604,10)="N/A – RULE",NOT(ISNUMBER(Checks!$AD$604)),Checks!$AE$604="",Checks!$T$604=""),"","Done: "&amp;IF(ISNUMBER(Checks!$AD$604),TEXT(Checks!$AD$604,"DD-MMM-YY HH:MM"),"____________")&amp;" "&amp;Checks!$P$604&amp;CHAR(10)&amp;"Verifier: "&amp;IF(Checks!$AE$604="","____________",Checks!$AE$604)&amp;CHAR(10)&amp;"PIC: "&amp;IF(Checks!$T$604="","____________",Checks!$T$604))</f>
        <v>Done: ____________ KUL
Verifier: ____________
PIC: ____________</v>
      </c>
      <c r="H56" s="121" t="str">
        <f aca="false">IF(Checks!$AH$604="","",Checks!$AH$604)</f>
        <v>OPEN</v>
      </c>
    </row>
    <row r="57" customFormat="false" ht="114" hidden="false" customHeight="true" outlineLevel="0" collapsed="false">
      <c r="A57" s="120" t="str">
        <f aca="false">Checks!$A$605&amp;CHAR(10)&amp;IF(Checks!$I$605="","",Checks!$I$605&amp;": ")&amp;Checks!$J$605</f>
        <v>F18-UPL-02
Equipment: Equipment physically loaded at GLD positions - quantity &amp; positions</v>
      </c>
      <c r="B57" s="120" t="str">
        <f aca="false">Checks!$K$605&amp;IF(Checks!$O$605="","",IF(Checks!$K$605="","",CHAR(10))&amp;"Note: "&amp;Checks!$O$605)</f>
        <v>Enter expected &amp; actual
Note: Confirm on board before departure; completion time must fall inside the uplift window.</v>
      </c>
      <c r="C57" s="120" t="str">
        <f aca="false">Checks!$N$605&amp;CHAR(10)&amp;IF(ISNUMBER(Checks!$R$605),TEXT(Checks!$R$605,"DD-MMM-YY HH:MM"),"")&amp;" "&amp;Checks!$P$605</f>
        <v>Required
27-Oct-26 22:25 KUL</v>
      </c>
      <c r="D57" s="120" t="str">
        <f aca="false">IF(TRIM(Checks!$U$605)&lt;&gt;"",Checks!$U$605&amp;IF(Checks!$AB$605="","",CHAR(10)&amp;"CA: "&amp;Checks!$AB$605),IF(LEFT(Checks!$AH$605,10)="N/A – RULE","","[ ] Pass"&amp;CHAR(10)&amp;"[ ] Pass after CA"&amp;CHAR(10)&amp;"[ ] Fail"&amp;IF(Checks!$AT$605=1,CHAR(10)&amp;"[ ] N/A","")&amp;CHAR(10)&amp;"CA: Open / Closed"))</f>
        <v>[ ] Pass
[ ] Pass after CA
[ ] Fail
CA: Open / Closed</v>
      </c>
      <c r="E57" s="120" t="str">
        <f aca="false">IF(Checks!$V$605="","",Checks!$V$605)&amp;IF(Checks!$AC$605="","",IF(Checks!$V$605="","",CHAR(10))&amp;"N/A just.: "&amp;Checks!$AC$605)&amp;IF(OR(Checks!$W$605&lt;&gt;"",AND(Checks!$AQ$605=1,NOT(LEFT(Checks!$AH$605,10)="N/A – RULE"))),CHAR(10)&amp;"Batch: "&amp;IF(Checks!$W$605="","____________",Checks!$W$605),"")&amp;IF(OR(Checks!$X$605&lt;&gt;"",Checks!$Y$605&lt;&gt;"",AND(Checks!$AR$605=1,NOT(LEFT(Checks!$AH$605,10)="N/A – RULE"))),CHAR(10)&amp;"Exp: "&amp;IF(Checks!$X$605="","______",Checks!$X$605)&amp;"  /  Act: "&amp;IF(Checks!$Y$605="","______",Checks!$Y$605),"")</f>
        <v>
Exp: ______  /  Act: ______</v>
      </c>
      <c r="F57" s="120" t="str">
        <f aca="false">IF(AND(LEFT(Checks!$AH$605,10)="N/A – RULE",TRIM(Checks!$S$605&amp;Checks!$Z$605)=""),"","Type: "&amp;IF(TRIM(Checks!$S$605)="","______________ (see cover list)",Checks!$S$605)&amp;CHAR(10)&amp;"ID: "&amp;IF(TRIM(Checks!$Z$605)="","______________ (record's own no.)",Checks!$Z$605))&amp;IF(Checks!$AA$605="","",CHAR(10)&amp;"CA: "&amp;Checks!$AA$605)</f>
        <v>Type: ______________ (see cover list)
ID: ______________ (record's own no.)</v>
      </c>
      <c r="G57" s="120" t="str">
        <f aca="false">IF(AND(LEFT(Checks!$AH$605,10)="N/A – RULE",NOT(ISNUMBER(Checks!$AD$605)),Checks!$AE$605="",Checks!$T$605=""),"","Done: "&amp;IF(ISNUMBER(Checks!$AD$605),TEXT(Checks!$AD$605,"DD-MMM-YY HH:MM"),"____________")&amp;" "&amp;Checks!$P$605&amp;CHAR(10)&amp;"Verifier: "&amp;IF(Checks!$AE$605="","____________",Checks!$AE$605)&amp;CHAR(10)&amp;"PIC: "&amp;IF(Checks!$T$605="","____________",Checks!$T$605))</f>
        <v>Done: ____________ KUL
Verifier: ____________
PIC: ____________</v>
      </c>
      <c r="H57" s="121" t="str">
        <f aca="false">IF(Checks!$AH$605="","",Checks!$AH$605)</f>
        <v>OPEN</v>
      </c>
    </row>
    <row r="58" customFormat="false" ht="114" hidden="false" customHeight="true" outlineLevel="0" collapsed="false">
      <c r="A58" s="120" t="str">
        <f aca="false">Checks!$A$606&amp;CHAR(10)&amp;IF(Checks!$I$606="","",Checks!$I$606&amp;": ")&amp;Checks!$J$606</f>
        <v>F18-UPL-03
Amenities: Slippers (BS/BC) - on board</v>
      </c>
      <c r="B58" s="120" t="str">
        <f aca="false">Checks!$K$606&amp;IF(Checks!$O$606="","",IF(Checks!$K$606="","",CHAR(10))&amp;"Note: "&amp;Checks!$O$606)</f>
        <v>Available (ticked in reference)</v>
      </c>
      <c r="C58" s="120" t="str">
        <f aca="false">Checks!$N$606&amp;CHAR(10)&amp;IF(ISNUMBER(Checks!$R$606),TEXT(Checks!$R$606,"DD-MMM-YY HH:MM"),"")&amp;" "&amp;Checks!$P$606</f>
        <v>Required
27-Oct-26 22:25 KUL</v>
      </c>
      <c r="D58" s="120" t="str">
        <f aca="false">IF(TRIM(Checks!$U$606)&lt;&gt;"",Checks!$U$606&amp;IF(Checks!$AB$606="","",CHAR(10)&amp;"CA: "&amp;Checks!$AB$606),IF(LEFT(Checks!$AH$606,10)="N/A – RULE","","[ ] Pass"&amp;CHAR(10)&amp;"[ ] Pass after CA"&amp;CHAR(10)&amp;"[ ] Fail"&amp;IF(Checks!$AT$606=1,CHAR(10)&amp;"[ ] N/A","")&amp;CHAR(10)&amp;"CA: Open / Closed"))</f>
        <v>[ ] Pass
[ ] Pass after CA
[ ] Fail
CA: Open / Closed</v>
      </c>
      <c r="E58" s="120" t="str">
        <f aca="false">IF(Checks!$V$606="","",Checks!$V$606)&amp;IF(Checks!$AC$606="","",IF(Checks!$V$606="","",CHAR(10))&amp;"N/A just.: "&amp;Checks!$AC$606)&amp;IF(OR(Checks!$W$606&lt;&gt;"",AND(Checks!$AQ$606=1,NOT(LEFT(Checks!$AH$606,10)="N/A – RULE"))),CHAR(10)&amp;"Batch: "&amp;IF(Checks!$W$606="","____________",Checks!$W$606),"")&amp;IF(OR(Checks!$X$606&lt;&gt;"",Checks!$Y$606&lt;&gt;"",AND(Checks!$AR$606=1,NOT(LEFT(Checks!$AH$606,10)="N/A – RULE"))),CHAR(10)&amp;"Exp: "&amp;IF(Checks!$X$606="","______",Checks!$X$606)&amp;"  /  Act: "&amp;IF(Checks!$Y$606="","______",Checks!$Y$606),"")</f>
        <v/>
      </c>
      <c r="F58" s="120" t="str">
        <f aca="false">IF(AND(LEFT(Checks!$AH$606,10)="N/A – RULE",TRIM(Checks!$S$606&amp;Checks!$Z$606)=""),"","Type: "&amp;IF(TRIM(Checks!$S$606)="","______________ (see cover list)",Checks!$S$606)&amp;CHAR(10)&amp;"ID: "&amp;IF(TRIM(Checks!$Z$606)="","______________ (record's own no.)",Checks!$Z$606))&amp;IF(Checks!$AA$606="","",CHAR(10)&amp;"CA: "&amp;Checks!$AA$606)</f>
        <v>Type: ______________ (see cover list)
ID: ______________ (record's own no.)</v>
      </c>
      <c r="G58" s="120" t="str">
        <f aca="false">IF(AND(LEFT(Checks!$AH$606,10)="N/A – RULE",NOT(ISNUMBER(Checks!$AD$606)),Checks!$AE$606="",Checks!$T$606=""),"","Done: "&amp;IF(ISNUMBER(Checks!$AD$606),TEXT(Checks!$AD$606,"DD-MMM-YY HH:MM"),"____________")&amp;" "&amp;Checks!$P$606&amp;CHAR(10)&amp;"Verifier: "&amp;IF(Checks!$AE$606="","____________",Checks!$AE$606)&amp;CHAR(10)&amp;"PIC: "&amp;IF(Checks!$T$606="","____________",Checks!$T$606))</f>
        <v>Done: ____________ KUL
Verifier: ____________
PIC: ____________</v>
      </c>
      <c r="H58" s="121" t="str">
        <f aca="false">IF(Checks!$AH$606="","",Checks!$AH$606)</f>
        <v>OPEN</v>
      </c>
    </row>
    <row r="59" customFormat="false" ht="114" hidden="false" customHeight="true" outlineLevel="0" collapsed="false">
      <c r="A59" s="120" t="str">
        <f aca="false">Checks!$A$607&amp;CHAR(10)&amp;IF(Checks!$I$607="","",Checks!$I$607&amp;": ")&amp;Checks!$J$607</f>
        <v>F18-UPL-04
F&amp;B Linen: Towel - on board</v>
      </c>
      <c r="B59" s="120" t="str">
        <f aca="false">Checks!$K$607&amp;IF(Checks!$O$607="","",IF(Checks!$K$607="","",CHAR(10))&amp;"Note: "&amp;Checks!$O$607)</f>
        <v>Available (ticked in reference)</v>
      </c>
      <c r="C59" s="120" t="str">
        <f aca="false">Checks!$N$607&amp;CHAR(10)&amp;IF(ISNUMBER(Checks!$R$607),TEXT(Checks!$R$607,"DD-MMM-YY HH:MM"),"")&amp;" "&amp;Checks!$P$607</f>
        <v>Required
27-Oct-26 22:25 KUL</v>
      </c>
      <c r="D59" s="120" t="str">
        <f aca="false">IF(TRIM(Checks!$U$607)&lt;&gt;"",Checks!$U$607&amp;IF(Checks!$AB$607="","",CHAR(10)&amp;"CA: "&amp;Checks!$AB$607),IF(LEFT(Checks!$AH$607,10)="N/A – RULE","","[ ] Pass"&amp;CHAR(10)&amp;"[ ] Pass after CA"&amp;CHAR(10)&amp;"[ ] Fail"&amp;IF(Checks!$AT$607=1,CHAR(10)&amp;"[ ] N/A","")&amp;CHAR(10)&amp;"CA: Open / Closed"))</f>
        <v>[ ] Pass
[ ] Pass after CA
[ ] Fail
CA: Open / Closed</v>
      </c>
      <c r="E59" s="120" t="str">
        <f aca="false">IF(Checks!$V$607="","",Checks!$V$607)&amp;IF(Checks!$AC$607="","",IF(Checks!$V$607="","",CHAR(10))&amp;"N/A just.: "&amp;Checks!$AC$607)&amp;IF(OR(Checks!$W$607&lt;&gt;"",AND(Checks!$AQ$607=1,NOT(LEFT(Checks!$AH$607,10)="N/A – RULE"))),CHAR(10)&amp;"Batch: "&amp;IF(Checks!$W$607="","____________",Checks!$W$607),"")&amp;IF(OR(Checks!$X$607&lt;&gt;"",Checks!$Y$607&lt;&gt;"",AND(Checks!$AR$607=1,NOT(LEFT(Checks!$AH$607,10)="N/A – RULE"))),CHAR(10)&amp;"Exp: "&amp;IF(Checks!$X$607="","______",Checks!$X$607)&amp;"  /  Act: "&amp;IF(Checks!$Y$607="","______",Checks!$Y$607),"")</f>
        <v/>
      </c>
      <c r="F59" s="120" t="str">
        <f aca="false">IF(AND(LEFT(Checks!$AH$607,10)="N/A – RULE",TRIM(Checks!$S$607&amp;Checks!$Z$607)=""),"","Type: "&amp;IF(TRIM(Checks!$S$607)="","______________ (see cover list)",Checks!$S$607)&amp;CHAR(10)&amp;"ID: "&amp;IF(TRIM(Checks!$Z$607)="","______________ (record's own no.)",Checks!$Z$607))&amp;IF(Checks!$AA$607="","",CHAR(10)&amp;"CA: "&amp;Checks!$AA$607)</f>
        <v>Type: ______________ (see cover list)
ID: ______________ (record's own no.)</v>
      </c>
      <c r="G59" s="120" t="str">
        <f aca="false">IF(AND(LEFT(Checks!$AH$607,10)="N/A – RULE",NOT(ISNUMBER(Checks!$AD$607)),Checks!$AE$607="",Checks!$T$607=""),"","Done: "&amp;IF(ISNUMBER(Checks!$AD$607),TEXT(Checks!$AD$607,"DD-MMM-YY HH:MM"),"____________")&amp;" "&amp;Checks!$P$607&amp;CHAR(10)&amp;"Verifier: "&amp;IF(Checks!$AE$607="","____________",Checks!$AE$607)&amp;CHAR(10)&amp;"PIC: "&amp;IF(Checks!$T$607="","____________",Checks!$T$607))</f>
        <v>Done: ____________ KUL
Verifier: ____________
PIC: ____________</v>
      </c>
      <c r="H59" s="121" t="str">
        <f aca="false">IF(Checks!$AH$607="","",Checks!$AH$607)</f>
        <v>OPEN</v>
      </c>
    </row>
    <row r="60" customFormat="false" ht="114" hidden="false" customHeight="true" outlineLevel="0" collapsed="false">
      <c r="A60" s="120" t="str">
        <f aca="false">Checks!$A$608&amp;CHAR(10)&amp;IF(Checks!$I$608="","",Checks!$I$608&amp;": ")&amp;Checks!$J$608</f>
        <v>F18-UPL-05
F&amp;B Linen: Tray cloth - on board</v>
      </c>
      <c r="B60" s="120" t="str">
        <f aca="false">Checks!$K$608&amp;IF(Checks!$O$608="","",IF(Checks!$K$608="","",CHAR(10))&amp;"Note: "&amp;Checks!$O$608)</f>
        <v>Available (ticked in reference)</v>
      </c>
      <c r="C60" s="120" t="str">
        <f aca="false">Checks!$N$608&amp;CHAR(10)&amp;IF(ISNUMBER(Checks!$R$608),TEXT(Checks!$R$608,"DD-MMM-YY HH:MM"),"")&amp;" "&amp;Checks!$P$608</f>
        <v>Required
27-Oct-26 22:25 KUL</v>
      </c>
      <c r="D60" s="120" t="str">
        <f aca="false">IF(TRIM(Checks!$U$608)&lt;&gt;"",Checks!$U$608&amp;IF(Checks!$AB$608="","",CHAR(10)&amp;"CA: "&amp;Checks!$AB$608),IF(LEFT(Checks!$AH$608,10)="N/A – RULE","","[ ] Pass"&amp;CHAR(10)&amp;"[ ] Pass after CA"&amp;CHAR(10)&amp;"[ ] Fail"&amp;IF(Checks!$AT$608=1,CHAR(10)&amp;"[ ] N/A","")&amp;CHAR(10)&amp;"CA: Open / Closed"))</f>
        <v>[ ] Pass
[ ] Pass after CA
[ ] Fail
CA: Open / Closed</v>
      </c>
      <c r="E60" s="120" t="str">
        <f aca="false">IF(Checks!$V$608="","",Checks!$V$608)&amp;IF(Checks!$AC$608="","",IF(Checks!$V$608="","",CHAR(10))&amp;"N/A just.: "&amp;Checks!$AC$608)&amp;IF(OR(Checks!$W$608&lt;&gt;"",AND(Checks!$AQ$608=1,NOT(LEFT(Checks!$AH$608,10)="N/A – RULE"))),CHAR(10)&amp;"Batch: "&amp;IF(Checks!$W$608="","____________",Checks!$W$608),"")&amp;IF(OR(Checks!$X$608&lt;&gt;"",Checks!$Y$608&lt;&gt;"",AND(Checks!$AR$608=1,NOT(LEFT(Checks!$AH$608,10)="N/A – RULE"))),CHAR(10)&amp;"Exp: "&amp;IF(Checks!$X$608="","______",Checks!$X$608)&amp;"  /  Act: "&amp;IF(Checks!$Y$608="","______",Checks!$Y$608),"")</f>
        <v/>
      </c>
      <c r="F60" s="120" t="str">
        <f aca="false">IF(AND(LEFT(Checks!$AH$608,10)="N/A – RULE",TRIM(Checks!$S$608&amp;Checks!$Z$608)=""),"","Type: "&amp;IF(TRIM(Checks!$S$608)="","______________ (see cover list)",Checks!$S$608)&amp;CHAR(10)&amp;"ID: "&amp;IF(TRIM(Checks!$Z$608)="","______________ (record's own no.)",Checks!$Z$608))&amp;IF(Checks!$AA$608="","",CHAR(10)&amp;"CA: "&amp;Checks!$AA$608)</f>
        <v>Type: ______________ (see cover list)
ID: ______________ (record's own no.)</v>
      </c>
      <c r="G60" s="120" t="str">
        <f aca="false">IF(AND(LEFT(Checks!$AH$608,10)="N/A – RULE",NOT(ISNUMBER(Checks!$AD$608)),Checks!$AE$608="",Checks!$T$608=""),"","Done: "&amp;IF(ISNUMBER(Checks!$AD$608),TEXT(Checks!$AD$608,"DD-MMM-YY HH:MM"),"____________")&amp;" "&amp;Checks!$P$608&amp;CHAR(10)&amp;"Verifier: "&amp;IF(Checks!$AE$608="","____________",Checks!$AE$608)&amp;CHAR(10)&amp;"PIC: "&amp;IF(Checks!$T$608="","____________",Checks!$T$608))</f>
        <v>Done: ____________ KUL
Verifier: ____________
PIC: ____________</v>
      </c>
      <c r="H60" s="121" t="str">
        <f aca="false">IF(Checks!$AH$608="","",Checks!$AH$608)</f>
        <v>OPEN</v>
      </c>
    </row>
    <row r="61" customFormat="false" ht="114" hidden="false" customHeight="true" outlineLevel="0" collapsed="false">
      <c r="A61" s="120" t="str">
        <f aca="false">Checks!$A$609&amp;CHAR(10)&amp;IF(Checks!$I$609="","",Checks!$I$609&amp;": ")&amp;Checks!$J$609</f>
        <v>F18-UPL-06
F&amp;B Linen: Napkin - on board</v>
      </c>
      <c r="B61" s="120" t="str">
        <f aca="false">Checks!$K$609&amp;IF(Checks!$O$609="","",IF(Checks!$K$609="","",CHAR(10))&amp;"Note: "&amp;Checks!$O$609)</f>
        <v>Available (ticked in reference)</v>
      </c>
      <c r="C61" s="120" t="str">
        <f aca="false">Checks!$N$609&amp;CHAR(10)&amp;IF(ISNUMBER(Checks!$R$609),TEXT(Checks!$R$609,"DD-MMM-YY HH:MM"),"")&amp;" "&amp;Checks!$P$609</f>
        <v>Required
27-Oct-26 22:25 KUL</v>
      </c>
      <c r="D61" s="120" t="str">
        <f aca="false">IF(TRIM(Checks!$U$609)&lt;&gt;"",Checks!$U$609&amp;IF(Checks!$AB$609="","",CHAR(10)&amp;"CA: "&amp;Checks!$AB$609),IF(LEFT(Checks!$AH$609,10)="N/A – RULE","","[ ] Pass"&amp;CHAR(10)&amp;"[ ] Pass after CA"&amp;CHAR(10)&amp;"[ ] Fail"&amp;IF(Checks!$AT$609=1,CHAR(10)&amp;"[ ] N/A","")&amp;CHAR(10)&amp;"CA: Open / Closed"))</f>
        <v>[ ] Pass
[ ] Pass after CA
[ ] Fail
CA: Open / Closed</v>
      </c>
      <c r="E61" s="120" t="str">
        <f aca="false">IF(Checks!$V$609="","",Checks!$V$609)&amp;IF(Checks!$AC$609="","",IF(Checks!$V$609="","",CHAR(10))&amp;"N/A just.: "&amp;Checks!$AC$609)&amp;IF(OR(Checks!$W$609&lt;&gt;"",AND(Checks!$AQ$609=1,NOT(LEFT(Checks!$AH$609,10)="N/A – RULE"))),CHAR(10)&amp;"Batch: "&amp;IF(Checks!$W$609="","____________",Checks!$W$609),"")&amp;IF(OR(Checks!$X$609&lt;&gt;"",Checks!$Y$609&lt;&gt;"",AND(Checks!$AR$609=1,NOT(LEFT(Checks!$AH$609,10)="N/A – RULE"))),CHAR(10)&amp;"Exp: "&amp;IF(Checks!$X$609="","______",Checks!$X$609)&amp;"  /  Act: "&amp;IF(Checks!$Y$609="","______",Checks!$Y$609),"")</f>
        <v/>
      </c>
      <c r="F61" s="120" t="str">
        <f aca="false">IF(AND(LEFT(Checks!$AH$609,10)="N/A – RULE",TRIM(Checks!$S$609&amp;Checks!$Z$609)=""),"","Type: "&amp;IF(TRIM(Checks!$S$609)="","______________ (see cover list)",Checks!$S$609)&amp;CHAR(10)&amp;"ID: "&amp;IF(TRIM(Checks!$Z$609)="","______________ (record's own no.)",Checks!$Z$609))&amp;IF(Checks!$AA$609="","",CHAR(10)&amp;"CA: "&amp;Checks!$AA$609)</f>
        <v>Type: ______________ (see cover list)
ID: ______________ (record's own no.)</v>
      </c>
      <c r="G61" s="120" t="str">
        <f aca="false">IF(AND(LEFT(Checks!$AH$609,10)="N/A – RULE",NOT(ISNUMBER(Checks!$AD$609)),Checks!$AE$609="",Checks!$T$609=""),"","Done: "&amp;IF(ISNUMBER(Checks!$AD$609),TEXT(Checks!$AD$609,"DD-MMM-YY HH:MM"),"____________")&amp;" "&amp;Checks!$P$609&amp;CHAR(10)&amp;"Verifier: "&amp;IF(Checks!$AE$609="","____________",Checks!$AE$609)&amp;CHAR(10)&amp;"PIC: "&amp;IF(Checks!$T$609="","____________",Checks!$T$609))</f>
        <v>Done: ____________ KUL
Verifier: ____________
PIC: ____________</v>
      </c>
      <c r="H61" s="121" t="str">
        <f aca="false">IF(Checks!$AH$609="","",Checks!$AH$609)</f>
        <v>OPEN</v>
      </c>
    </row>
    <row r="62" customFormat="false" ht="114" hidden="false" customHeight="true" outlineLevel="0" collapsed="false">
      <c r="A62" s="120" t="str">
        <f aca="false">Checks!$A$610&amp;CHAR(10)&amp;IF(Checks!$I$610="","",Checks!$I$610&amp;": ")&amp;Checks!$J$610</f>
        <v>F18-UPL-07
F&amp;B Linen: Table cloth - on board</v>
      </c>
      <c r="B62" s="120" t="str">
        <f aca="false">Checks!$K$610&amp;IF(Checks!$O$610="","",IF(Checks!$K$610="","",CHAR(10))&amp;"Note: "&amp;Checks!$O$610)</f>
        <v>Available (ticked in reference)</v>
      </c>
      <c r="C62" s="120" t="str">
        <f aca="false">Checks!$N$610&amp;CHAR(10)&amp;IF(ISNUMBER(Checks!$R$610),TEXT(Checks!$R$610,"DD-MMM-YY HH:MM"),"")&amp;" "&amp;Checks!$P$610</f>
        <v>Required
27-Oct-26 22:25 KUL</v>
      </c>
      <c r="D62" s="120" t="str">
        <f aca="false">IF(TRIM(Checks!$U$610)&lt;&gt;"",Checks!$U$610&amp;IF(Checks!$AB$610="","",CHAR(10)&amp;"CA: "&amp;Checks!$AB$610),IF(LEFT(Checks!$AH$610,10)="N/A – RULE","","[ ] Pass"&amp;CHAR(10)&amp;"[ ] Pass after CA"&amp;CHAR(10)&amp;"[ ] Fail"&amp;IF(Checks!$AT$610=1,CHAR(10)&amp;"[ ] N/A","")&amp;CHAR(10)&amp;"CA: Open / Closed"))</f>
        <v>[ ] Pass
[ ] Pass after CA
[ ] Fail
CA: Open / Closed</v>
      </c>
      <c r="E62" s="120" t="str">
        <f aca="false">IF(Checks!$V$610="","",Checks!$V$610)&amp;IF(Checks!$AC$610="","",IF(Checks!$V$610="","",CHAR(10))&amp;"N/A just.: "&amp;Checks!$AC$610)&amp;IF(OR(Checks!$W$610&lt;&gt;"",AND(Checks!$AQ$610=1,NOT(LEFT(Checks!$AH$610,10)="N/A – RULE"))),CHAR(10)&amp;"Batch: "&amp;IF(Checks!$W$610="","____________",Checks!$W$610),"")&amp;IF(OR(Checks!$X$610&lt;&gt;"",Checks!$Y$610&lt;&gt;"",AND(Checks!$AR$610=1,NOT(LEFT(Checks!$AH$610,10)="N/A – RULE"))),CHAR(10)&amp;"Exp: "&amp;IF(Checks!$X$610="","______",Checks!$X$610)&amp;"  /  Act: "&amp;IF(Checks!$Y$610="","______",Checks!$Y$610),"")</f>
        <v/>
      </c>
      <c r="F62" s="120" t="str">
        <f aca="false">IF(AND(LEFT(Checks!$AH$610,10)="N/A – RULE",TRIM(Checks!$S$610&amp;Checks!$Z$610)=""),"","Type: "&amp;IF(TRIM(Checks!$S$610)="","______________ (see cover list)",Checks!$S$610)&amp;CHAR(10)&amp;"ID: "&amp;IF(TRIM(Checks!$Z$610)="","______________ (record's own no.)",Checks!$Z$610))&amp;IF(Checks!$AA$610="","",CHAR(10)&amp;"CA: "&amp;Checks!$AA$610)</f>
        <v>Type: ______________ (see cover list)
ID: ______________ (record's own no.)</v>
      </c>
      <c r="G62" s="120" t="str">
        <f aca="false">IF(AND(LEFT(Checks!$AH$610,10)="N/A – RULE",NOT(ISNUMBER(Checks!$AD$610)),Checks!$AE$610="",Checks!$T$610=""),"","Done: "&amp;IF(ISNUMBER(Checks!$AD$610),TEXT(Checks!$AD$610,"DD-MMM-YY HH:MM"),"____________")&amp;" "&amp;Checks!$P$610&amp;CHAR(10)&amp;"Verifier: "&amp;IF(Checks!$AE$610="","____________",Checks!$AE$610)&amp;CHAR(10)&amp;"PIC: "&amp;IF(Checks!$T$610="","____________",Checks!$T$610))</f>
        <v>Done: ____________ KUL
Verifier: ____________
PIC: ____________</v>
      </c>
      <c r="H62" s="121" t="str">
        <f aca="false">IF(Checks!$AH$610="","",Checks!$AH$610)</f>
        <v>OPEN</v>
      </c>
    </row>
    <row r="63" customFormat="false" ht="114" hidden="false" customHeight="true" outlineLevel="0" collapsed="false">
      <c r="A63" s="120" t="str">
        <f aca="false">Checks!$A$611&amp;CHAR(10)&amp;IF(Checks!$I$611="","",Checks!$I$611&amp;": ")&amp;Checks!$J$611</f>
        <v>F18-UPL-08
F&amp;B Linen: Bread linen (using table cloth) - on board</v>
      </c>
      <c r="B63" s="120" t="str">
        <f aca="false">Checks!$K$611&amp;IF(Checks!$O$611="","",IF(Checks!$K$611="","",CHAR(10))&amp;"Note: "&amp;Checks!$O$611)</f>
        <v>Available (ticked in reference)</v>
      </c>
      <c r="C63" s="120" t="str">
        <f aca="false">Checks!$N$611&amp;CHAR(10)&amp;IF(ISNUMBER(Checks!$R$611),TEXT(Checks!$R$611,"DD-MMM-YY HH:MM"),"")&amp;" "&amp;Checks!$P$611</f>
        <v>Required
27-Oct-26 22:25 KUL</v>
      </c>
      <c r="D63" s="120" t="str">
        <f aca="false">IF(TRIM(Checks!$U$611)&lt;&gt;"",Checks!$U$611&amp;IF(Checks!$AB$611="","",CHAR(10)&amp;"CA: "&amp;Checks!$AB$611),IF(LEFT(Checks!$AH$611,10)="N/A – RULE","","[ ] Pass"&amp;CHAR(10)&amp;"[ ] Pass after CA"&amp;CHAR(10)&amp;"[ ] Fail"&amp;IF(Checks!$AT$611=1,CHAR(10)&amp;"[ ] N/A","")&amp;CHAR(10)&amp;"CA: Open / Closed"))</f>
        <v>[ ] Pass
[ ] Pass after CA
[ ] Fail
CA: Open / Closed</v>
      </c>
      <c r="E63" s="120" t="str">
        <f aca="false">IF(Checks!$V$611="","",Checks!$V$611)&amp;IF(Checks!$AC$611="","",IF(Checks!$V$611="","",CHAR(10))&amp;"N/A just.: "&amp;Checks!$AC$611)&amp;IF(OR(Checks!$W$611&lt;&gt;"",AND(Checks!$AQ$611=1,NOT(LEFT(Checks!$AH$611,10)="N/A – RULE"))),CHAR(10)&amp;"Batch: "&amp;IF(Checks!$W$611="","____________",Checks!$W$611),"")&amp;IF(OR(Checks!$X$611&lt;&gt;"",Checks!$Y$611&lt;&gt;"",AND(Checks!$AR$611=1,NOT(LEFT(Checks!$AH$611,10)="N/A – RULE"))),CHAR(10)&amp;"Exp: "&amp;IF(Checks!$X$611="","______",Checks!$X$611)&amp;"  /  Act: "&amp;IF(Checks!$Y$611="","______",Checks!$Y$611),"")</f>
        <v/>
      </c>
      <c r="F63" s="120" t="str">
        <f aca="false">IF(AND(LEFT(Checks!$AH$611,10)="N/A – RULE",TRIM(Checks!$S$611&amp;Checks!$Z$611)=""),"","Type: "&amp;IF(TRIM(Checks!$S$611)="","______________ (see cover list)",Checks!$S$611)&amp;CHAR(10)&amp;"ID: "&amp;IF(TRIM(Checks!$Z$611)="","______________ (record's own no.)",Checks!$Z$611))&amp;IF(Checks!$AA$611="","",CHAR(10)&amp;"CA: "&amp;Checks!$AA$611)</f>
        <v>Type: ______________ (see cover list)
ID: ______________ (record's own no.)</v>
      </c>
      <c r="G63" s="120" t="str">
        <f aca="false">IF(AND(LEFT(Checks!$AH$611,10)="N/A – RULE",NOT(ISNUMBER(Checks!$AD$611)),Checks!$AE$611="",Checks!$T$611=""),"","Done: "&amp;IF(ISNUMBER(Checks!$AD$611),TEXT(Checks!$AD$611,"DD-MMM-YY HH:MM"),"____________")&amp;" "&amp;Checks!$P$611&amp;CHAR(10)&amp;"Verifier: "&amp;IF(Checks!$AE$611="","____________",Checks!$AE$611)&amp;CHAR(10)&amp;"PIC: "&amp;IF(Checks!$T$611="","____________",Checks!$T$611))</f>
        <v>Done: ____________ KUL
Verifier: ____________
PIC: ____________</v>
      </c>
      <c r="H63" s="121" t="str">
        <f aca="false">IF(Checks!$AH$611="","",Checks!$AH$611)</f>
        <v>OPEN</v>
      </c>
    </row>
    <row r="64" customFormat="false" ht="114" hidden="false" customHeight="true" outlineLevel="0" collapsed="false">
      <c r="A64" s="120" t="str">
        <f aca="false">Checks!$A$612&amp;CHAR(10)&amp;IF(Checks!$I$612="","",Checks!$I$612&amp;": ")&amp;Checks!$J$612</f>
        <v>F18-UPL-09
F&amp;B Linen: Trolley cloth - on board</v>
      </c>
      <c r="B64" s="120" t="str">
        <f aca="false">SUBSTITUTE(SUBSTITUTE(Checks!$K$612&amp;IF(Checks!$O$612="","",IF(Checks!$K$612="","",CHAR(10))&amp;"Note: "&amp;Checks!$O$612),"Per note F&amp;B LINEN!B79:C80.","Per the F&amp;B LINEN reference note."),"note F&amp;B LINEN!B79:C80","the F&amp;B LINEN reference note")</f>
        <v>Wide body: Top/Middle &amp; Bottom
Note: Per the F&amp;B LINEN reference note.</v>
      </c>
      <c r="C64" s="120" t="str">
        <f aca="false">Checks!$N$612&amp;CHAR(10)&amp;IF(ISNUMBER(Checks!$R$612),TEXT(Checks!$R$612,"DD-MMM-YY HH:MM"),"")&amp;" "&amp;Checks!$P$612</f>
        <v>Required
27-Oct-26 22:25 KUL</v>
      </c>
      <c r="D64" s="120" t="str">
        <f aca="false">IF(TRIM(Checks!$U$612)&lt;&gt;"",Checks!$U$612&amp;IF(Checks!$AB$612="","",CHAR(10)&amp;"CA: "&amp;Checks!$AB$612),IF(LEFT(Checks!$AH$612,10)="N/A – RULE","","[ ] Pass"&amp;CHAR(10)&amp;"[ ] Pass after CA"&amp;CHAR(10)&amp;"[ ] Fail"&amp;IF(Checks!$AT$612=1,CHAR(10)&amp;"[ ] N/A","")&amp;CHAR(10)&amp;"CA: Open / Closed"))</f>
        <v>[ ] Pass
[ ] Pass after CA
[ ] Fail
CA: Open / Closed</v>
      </c>
      <c r="E64" s="120" t="str">
        <f aca="false">IF(Checks!$V$612="","",Checks!$V$612)&amp;IF(Checks!$AC$612="","",IF(Checks!$V$612="","",CHAR(10))&amp;"N/A just.: "&amp;Checks!$AC$612)&amp;IF(OR(Checks!$W$612&lt;&gt;"",AND(Checks!$AQ$612=1,NOT(LEFT(Checks!$AH$612,10)="N/A – RULE"))),CHAR(10)&amp;"Batch: "&amp;IF(Checks!$W$612="","____________",Checks!$W$612),"")&amp;IF(OR(Checks!$X$612&lt;&gt;"",Checks!$Y$612&lt;&gt;"",AND(Checks!$AR$612=1,NOT(LEFT(Checks!$AH$612,10)="N/A – RULE"))),CHAR(10)&amp;"Exp: "&amp;IF(Checks!$X$612="","______",Checks!$X$612)&amp;"  /  Act: "&amp;IF(Checks!$Y$612="","______",Checks!$Y$612),"")</f>
        <v/>
      </c>
      <c r="F64" s="120" t="str">
        <f aca="false">IF(AND(LEFT(Checks!$AH$612,10)="N/A – RULE",TRIM(Checks!$S$612&amp;Checks!$Z$612)=""),"","Type: "&amp;IF(TRIM(Checks!$S$612)="","______________ (see cover list)",Checks!$S$612)&amp;CHAR(10)&amp;"ID: "&amp;IF(TRIM(Checks!$Z$612)="","______________ (record's own no.)",Checks!$Z$612))&amp;IF(Checks!$AA$612="","",CHAR(10)&amp;"CA: "&amp;Checks!$AA$612)</f>
        <v>Type: ______________ (see cover list)
ID: ______________ (record's own no.)</v>
      </c>
      <c r="G64" s="120" t="str">
        <f aca="false">IF(AND(LEFT(Checks!$AH$612,10)="N/A – RULE",NOT(ISNUMBER(Checks!$AD$612)),Checks!$AE$612="",Checks!$T$612=""),"","Done: "&amp;IF(ISNUMBER(Checks!$AD$612),TEXT(Checks!$AD$612,"DD-MMM-YY HH:MM"),"____________")&amp;" "&amp;Checks!$P$612&amp;CHAR(10)&amp;"Verifier: "&amp;IF(Checks!$AE$612="","____________",Checks!$AE$612)&amp;CHAR(10)&amp;"PIC: "&amp;IF(Checks!$T$612="","____________",Checks!$T$612))</f>
        <v>Done: ____________ KUL
Verifier: ____________
PIC: ____________</v>
      </c>
      <c r="H64" s="121" t="str">
        <f aca="false">IF(Checks!$AH$612="","",Checks!$AH$612)</f>
        <v>OPEN</v>
      </c>
    </row>
    <row r="65" customFormat="false" ht="114" hidden="false" customHeight="true" outlineLevel="0" collapsed="false">
      <c r="A65" s="120" t="str">
        <f aca="false">Checks!$A$613&amp;CHAR(10)&amp;IF(Checks!$I$613="","",Checks!$I$613&amp;": ")&amp;Checks!$J$613</f>
        <v>F18-UPL-10
F&amp;B Linen: Linen bag - on board</v>
      </c>
      <c r="B65" s="120" t="str">
        <f aca="false">Checks!$K$613&amp;IF(Checks!$O$613="","",IF(Checks!$K$613="","",CHAR(10))&amp;"Note: "&amp;Checks!$O$613)</f>
        <v>Available (ticked in reference)</v>
      </c>
      <c r="C65" s="120" t="str">
        <f aca="false">Checks!$N$613&amp;CHAR(10)&amp;IF(ISNUMBER(Checks!$R$613),TEXT(Checks!$R$613,"DD-MMM-YY HH:MM"),"")&amp;" "&amp;Checks!$P$613</f>
        <v>Required
27-Oct-26 22:25 KUL</v>
      </c>
      <c r="D65" s="120" t="str">
        <f aca="false">IF(TRIM(Checks!$U$613)&lt;&gt;"",Checks!$U$613&amp;IF(Checks!$AB$613="","",CHAR(10)&amp;"CA: "&amp;Checks!$AB$613),IF(LEFT(Checks!$AH$613,10)="N/A – RULE","","[ ] Pass"&amp;CHAR(10)&amp;"[ ] Pass after CA"&amp;CHAR(10)&amp;"[ ] Fail"&amp;IF(Checks!$AT$613=1,CHAR(10)&amp;"[ ] N/A","")&amp;CHAR(10)&amp;"CA: Open / Closed"))</f>
        <v>[ ] Pass
[ ] Pass after CA
[ ] Fail
CA: Open / Closed</v>
      </c>
      <c r="E65" s="120" t="str">
        <f aca="false">IF(Checks!$V$613="","",Checks!$V$613)&amp;IF(Checks!$AC$613="","",IF(Checks!$V$613="","",CHAR(10))&amp;"N/A just.: "&amp;Checks!$AC$613)&amp;IF(OR(Checks!$W$613&lt;&gt;"",AND(Checks!$AQ$613=1,NOT(LEFT(Checks!$AH$613,10)="N/A – RULE"))),CHAR(10)&amp;"Batch: "&amp;IF(Checks!$W$613="","____________",Checks!$W$613),"")&amp;IF(OR(Checks!$X$613&lt;&gt;"",Checks!$Y$613&lt;&gt;"",AND(Checks!$AR$613=1,NOT(LEFT(Checks!$AH$613,10)="N/A – RULE"))),CHAR(10)&amp;"Exp: "&amp;IF(Checks!$X$613="","______",Checks!$X$613)&amp;"  /  Act: "&amp;IF(Checks!$Y$613="","______",Checks!$Y$613),"")</f>
        <v/>
      </c>
      <c r="F65" s="120" t="str">
        <f aca="false">IF(AND(LEFT(Checks!$AH$613,10)="N/A – RULE",TRIM(Checks!$S$613&amp;Checks!$Z$613)=""),"","Type: "&amp;IF(TRIM(Checks!$S$613)="","______________ (see cover list)",Checks!$S$613)&amp;CHAR(10)&amp;"ID: "&amp;IF(TRIM(Checks!$Z$613)="","______________ (record's own no.)",Checks!$Z$613))&amp;IF(Checks!$AA$613="","",CHAR(10)&amp;"CA: "&amp;Checks!$AA$613)</f>
        <v>Type: ______________ (see cover list)
ID: ______________ (record's own no.)</v>
      </c>
      <c r="G65" s="120" t="str">
        <f aca="false">IF(AND(LEFT(Checks!$AH$613,10)="N/A – RULE",NOT(ISNUMBER(Checks!$AD$613)),Checks!$AE$613="",Checks!$T$613=""),"","Done: "&amp;IF(ISNUMBER(Checks!$AD$613),TEXT(Checks!$AD$613,"DD-MMM-YY HH:MM"),"____________")&amp;" "&amp;Checks!$P$613&amp;CHAR(10)&amp;"Verifier: "&amp;IF(Checks!$AE$613="","____________",Checks!$AE$613)&amp;CHAR(10)&amp;"PIC: "&amp;IF(Checks!$T$613="","____________",Checks!$T$613))</f>
        <v>Done: ____________ KUL
Verifier: ____________
PIC: ____________</v>
      </c>
      <c r="H65" s="121" t="str">
        <f aca="false">IF(Checks!$AH$613="","",Checks!$AH$613)</f>
        <v>OPEN</v>
      </c>
    </row>
    <row r="66" customFormat="false" ht="114" hidden="false" customHeight="true" outlineLevel="0" collapsed="false">
      <c r="A66" s="120" t="str">
        <f aca="false">Checks!$A$614&amp;CHAR(10)&amp;IF(Checks!$I$614="","",Checks!$I$614&amp;": ")&amp;Checks!$J$614</f>
        <v>F18-UPL-11
Seat Linen: Seat pillow (BS &amp; BC) - on board</v>
      </c>
      <c r="B66" s="120" t="str">
        <f aca="false">Checks!$K$614&amp;IF(Checks!$O$614="","",IF(Checks!$K$614="","",CHAR(10))&amp;"Note: "&amp;Checks!$O$614)</f>
        <v>Available 100% (ticked in reference)</v>
      </c>
      <c r="C66" s="120" t="str">
        <f aca="false">Checks!$N$614&amp;CHAR(10)&amp;IF(ISNUMBER(Checks!$R$614),TEXT(Checks!$R$614,"DD-MMM-YY HH:MM"),"")&amp;" "&amp;Checks!$P$614</f>
        <v>Required
27-Oct-26 22:25 KUL</v>
      </c>
      <c r="D66" s="120" t="str">
        <f aca="false">IF(TRIM(Checks!$U$614)&lt;&gt;"",Checks!$U$614&amp;IF(Checks!$AB$614="","",CHAR(10)&amp;"CA: "&amp;Checks!$AB$614),IF(LEFT(Checks!$AH$614,10)="N/A – RULE","","[ ] Pass"&amp;CHAR(10)&amp;"[ ] Pass after CA"&amp;CHAR(10)&amp;"[ ] Fail"&amp;IF(Checks!$AT$614=1,CHAR(10)&amp;"[ ] N/A","")&amp;CHAR(10)&amp;"CA: Open / Closed"))</f>
        <v>[ ] Pass
[ ] Pass after CA
[ ] Fail
CA: Open / Closed</v>
      </c>
      <c r="E66" s="120" t="str">
        <f aca="false">IF(Checks!$V$614="","",Checks!$V$614)&amp;IF(Checks!$AC$614="","",IF(Checks!$V$614="","",CHAR(10))&amp;"N/A just.: "&amp;Checks!$AC$614)&amp;IF(OR(Checks!$W$614&lt;&gt;"",AND(Checks!$AQ$614=1,NOT(LEFT(Checks!$AH$614,10)="N/A – RULE"))),CHAR(10)&amp;"Batch: "&amp;IF(Checks!$W$614="","____________",Checks!$W$614),"")&amp;IF(OR(Checks!$X$614&lt;&gt;"",Checks!$Y$614&lt;&gt;"",AND(Checks!$AR$614=1,NOT(LEFT(Checks!$AH$614,10)="N/A – RULE"))),CHAR(10)&amp;"Exp: "&amp;IF(Checks!$X$614="","______",Checks!$X$614)&amp;"  /  Act: "&amp;IF(Checks!$Y$614="","______",Checks!$Y$614),"")</f>
        <v/>
      </c>
      <c r="F66" s="120" t="str">
        <f aca="false">IF(AND(LEFT(Checks!$AH$614,10)="N/A – RULE",TRIM(Checks!$S$614&amp;Checks!$Z$614)=""),"","Type: "&amp;IF(TRIM(Checks!$S$614)="","______________ (see cover list)",Checks!$S$614)&amp;CHAR(10)&amp;"ID: "&amp;IF(TRIM(Checks!$Z$614)="","______________ (record's own no.)",Checks!$Z$614))&amp;IF(Checks!$AA$614="","",CHAR(10)&amp;"CA: "&amp;Checks!$AA$614)</f>
        <v>Type: ______________ (see cover list)
ID: ______________ (record's own no.)</v>
      </c>
      <c r="G66" s="120" t="str">
        <f aca="false">IF(AND(LEFT(Checks!$AH$614,10)="N/A – RULE",NOT(ISNUMBER(Checks!$AD$614)),Checks!$AE$614="",Checks!$T$614=""),"","Done: "&amp;IF(ISNUMBER(Checks!$AD$614),TEXT(Checks!$AD$614,"DD-MMM-YY HH:MM"),"____________")&amp;" "&amp;Checks!$P$614&amp;CHAR(10)&amp;"Verifier: "&amp;IF(Checks!$AE$614="","____________",Checks!$AE$614)&amp;CHAR(10)&amp;"PIC: "&amp;IF(Checks!$T$614="","____________",Checks!$T$614))</f>
        <v>Done: ____________ KUL
Verifier: ____________
PIC: ____________</v>
      </c>
      <c r="H66" s="121" t="str">
        <f aca="false">IF(Checks!$AH$614="","",Checks!$AH$614)</f>
        <v>OPEN</v>
      </c>
    </row>
    <row r="67" customFormat="false" ht="114" hidden="false" customHeight="true" outlineLevel="0" collapsed="false">
      <c r="A67" s="120" t="str">
        <f aca="false">Checks!$A$615&amp;CHAR(10)&amp;IF(Checks!$I$615="","",Checks!$I$615&amp;": ")&amp;Checks!$J$615</f>
        <v>F18-UPL-12
Seat Linen: Duvet (BS &amp; BC) - on board</v>
      </c>
      <c r="B67" s="120" t="str">
        <f aca="false">Checks!$K$615&amp;IF(Checks!$O$615="","",IF(Checks!$K$615="","",CHAR(10))&amp;"Note: "&amp;Checks!$O$615)</f>
        <v>Available 100% (ticked in reference)</v>
      </c>
      <c r="C67" s="120" t="str">
        <f aca="false">Checks!$N$615&amp;CHAR(10)&amp;IF(ISNUMBER(Checks!$R$615),TEXT(Checks!$R$615,"DD-MMM-YY HH:MM"),"")&amp;" "&amp;Checks!$P$615</f>
        <v>Required
27-Oct-26 22:25 KUL</v>
      </c>
      <c r="D67" s="120" t="str">
        <f aca="false">IF(TRIM(Checks!$U$615)&lt;&gt;"",Checks!$U$615&amp;IF(Checks!$AB$615="","",CHAR(10)&amp;"CA: "&amp;Checks!$AB$615),IF(LEFT(Checks!$AH$615,10)="N/A – RULE","","[ ] Pass"&amp;CHAR(10)&amp;"[ ] Pass after CA"&amp;CHAR(10)&amp;"[ ] Fail"&amp;IF(Checks!$AT$615=1,CHAR(10)&amp;"[ ] N/A","")&amp;CHAR(10)&amp;"CA: Open / Closed"))</f>
        <v>[ ] Pass
[ ] Pass after CA
[ ] Fail
CA: Open / Closed</v>
      </c>
      <c r="E67" s="120" t="str">
        <f aca="false">IF(Checks!$V$615="","",Checks!$V$615)&amp;IF(Checks!$AC$615="","",IF(Checks!$V$615="","",CHAR(10))&amp;"N/A just.: "&amp;Checks!$AC$615)&amp;IF(OR(Checks!$W$615&lt;&gt;"",AND(Checks!$AQ$615=1,NOT(LEFT(Checks!$AH$615,10)="N/A – RULE"))),CHAR(10)&amp;"Batch: "&amp;IF(Checks!$W$615="","____________",Checks!$W$615),"")&amp;IF(OR(Checks!$X$615&lt;&gt;"",Checks!$Y$615&lt;&gt;"",AND(Checks!$AR$615=1,NOT(LEFT(Checks!$AH$615,10)="N/A – RULE"))),CHAR(10)&amp;"Exp: "&amp;IF(Checks!$X$615="","______",Checks!$X$615)&amp;"  /  Act: "&amp;IF(Checks!$Y$615="","______",Checks!$Y$615),"")</f>
        <v/>
      </c>
      <c r="F67" s="120" t="str">
        <f aca="false">IF(AND(LEFT(Checks!$AH$615,10)="N/A – RULE",TRIM(Checks!$S$615&amp;Checks!$Z$615)=""),"","Type: "&amp;IF(TRIM(Checks!$S$615)="","______________ (see cover list)",Checks!$S$615)&amp;CHAR(10)&amp;"ID: "&amp;IF(TRIM(Checks!$Z$615)="","______________ (record's own no.)",Checks!$Z$615))&amp;IF(Checks!$AA$615="","",CHAR(10)&amp;"CA: "&amp;Checks!$AA$615)</f>
        <v>Type: ______________ (see cover list)
ID: ______________ (record's own no.)</v>
      </c>
      <c r="G67" s="120" t="str">
        <f aca="false">IF(AND(LEFT(Checks!$AH$615,10)="N/A – RULE",NOT(ISNUMBER(Checks!$AD$615)),Checks!$AE$615="",Checks!$T$615=""),"","Done: "&amp;IF(ISNUMBER(Checks!$AD$615),TEXT(Checks!$AD$615,"DD-MMM-YY HH:MM"),"____________")&amp;" "&amp;Checks!$P$615&amp;CHAR(10)&amp;"Verifier: "&amp;IF(Checks!$AE$615="","____________",Checks!$AE$615)&amp;CHAR(10)&amp;"PIC: "&amp;IF(Checks!$T$615="","____________",Checks!$T$615))</f>
        <v>Done: ____________ KUL
Verifier: ____________
PIC: ____________</v>
      </c>
      <c r="H67" s="121" t="str">
        <f aca="false">IF(Checks!$AH$615="","",Checks!$AH$615)</f>
        <v>OPEN</v>
      </c>
    </row>
    <row r="68" customFormat="false" ht="114" hidden="false" customHeight="true" outlineLevel="0" collapsed="false">
      <c r="A68" s="120" t="str">
        <f aca="false">Checks!$A$616&amp;CHAR(10)&amp;IF(Checks!$I$616="","",Checks!$I$616&amp;": ")&amp;Checks!$J$616</f>
        <v>F18-UPL-13
Seat Linen: Mattress (BS &amp; BC) - on board</v>
      </c>
      <c r="B68" s="120" t="str">
        <f aca="false">Checks!$K$616&amp;IF(Checks!$O$616="","",IF(Checks!$K$616="","",CHAR(10))&amp;"Note: "&amp;Checks!$O$616)</f>
        <v>Available 100% (ticked in reference)</v>
      </c>
      <c r="C68" s="120" t="str">
        <f aca="false">Checks!$N$616&amp;CHAR(10)&amp;IF(ISNUMBER(Checks!$R$616),TEXT(Checks!$R$616,"DD-MMM-YY HH:MM"),"")&amp;" "&amp;Checks!$P$616</f>
        <v>Required
27-Oct-26 22:25 KUL</v>
      </c>
      <c r="D68" s="120" t="str">
        <f aca="false">IF(TRIM(Checks!$U$616)&lt;&gt;"",Checks!$U$616&amp;IF(Checks!$AB$616="","",CHAR(10)&amp;"CA: "&amp;Checks!$AB$616),IF(LEFT(Checks!$AH$616,10)="N/A – RULE","","[ ] Pass"&amp;CHAR(10)&amp;"[ ] Pass after CA"&amp;CHAR(10)&amp;"[ ] Fail"&amp;IF(Checks!$AT$616=1,CHAR(10)&amp;"[ ] N/A","")&amp;CHAR(10)&amp;"CA: Open / Closed"))</f>
        <v>[ ] Pass
[ ] Pass after CA
[ ] Fail
CA: Open / Closed</v>
      </c>
      <c r="E68" s="120" t="str">
        <f aca="false">IF(Checks!$V$616="","",Checks!$V$616)&amp;IF(Checks!$AC$616="","",IF(Checks!$V$616="","",CHAR(10))&amp;"N/A just.: "&amp;Checks!$AC$616)&amp;IF(OR(Checks!$W$616&lt;&gt;"",AND(Checks!$AQ$616=1,NOT(LEFT(Checks!$AH$616,10)="N/A – RULE"))),CHAR(10)&amp;"Batch: "&amp;IF(Checks!$W$616="","____________",Checks!$W$616),"")&amp;IF(OR(Checks!$X$616&lt;&gt;"",Checks!$Y$616&lt;&gt;"",AND(Checks!$AR$616=1,NOT(LEFT(Checks!$AH$616,10)="N/A – RULE"))),CHAR(10)&amp;"Exp: "&amp;IF(Checks!$X$616="","______",Checks!$X$616)&amp;"  /  Act: "&amp;IF(Checks!$Y$616="","______",Checks!$Y$616),"")</f>
        <v/>
      </c>
      <c r="F68" s="120" t="str">
        <f aca="false">IF(AND(LEFT(Checks!$AH$616,10)="N/A – RULE",TRIM(Checks!$S$616&amp;Checks!$Z$616)=""),"","Type: "&amp;IF(TRIM(Checks!$S$616)="","______________ (see cover list)",Checks!$S$616)&amp;CHAR(10)&amp;"ID: "&amp;IF(TRIM(Checks!$Z$616)="","______________ (record's own no.)",Checks!$Z$616))&amp;IF(Checks!$AA$616="","",CHAR(10)&amp;"CA: "&amp;Checks!$AA$616)</f>
        <v>Type: ______________ (see cover list)
ID: ______________ (record's own no.)</v>
      </c>
      <c r="G68" s="120" t="str">
        <f aca="false">IF(AND(LEFT(Checks!$AH$616,10)="N/A – RULE",NOT(ISNUMBER(Checks!$AD$616)),Checks!$AE$616="",Checks!$T$616=""),"","Done: "&amp;IF(ISNUMBER(Checks!$AD$616),TEXT(Checks!$AD$616,"DD-MMM-YY HH:MM"),"____________")&amp;" "&amp;Checks!$P$616&amp;CHAR(10)&amp;"Verifier: "&amp;IF(Checks!$AE$616="","____________",Checks!$AE$616)&amp;CHAR(10)&amp;"PIC: "&amp;IF(Checks!$T$616="","____________",Checks!$T$616))</f>
        <v>Done: ____________ KUL
Verifier: ____________
PIC: ____________</v>
      </c>
      <c r="H68" s="121" t="str">
        <f aca="false">IF(Checks!$AH$616="","",Checks!$AH$616)</f>
        <v>OPEN</v>
      </c>
    </row>
    <row r="69" customFormat="false" ht="114" hidden="false" customHeight="true" outlineLevel="0" collapsed="false">
      <c r="A69" s="120" t="str">
        <f aca="false">Checks!$A$617&amp;CHAR(10)&amp;IF(Checks!$I$617="","",Checks!$I$617&amp;": ")&amp;Checks!$J$617</f>
        <v>F18-UPL-14
Signature Drinks: Signature drink &amp; garnish (BC) - on board</v>
      </c>
      <c r="B69" s="120" t="str">
        <f aca="false">SUBSTITUTE(Checks!$K$617&amp;IF(Checks!$O$617="","",IF(Checks!$K$617="","",CHAR(10))&amp;"Note: "&amp;Checks!$O$617)," (note D79)","")</f>
        <v>Available (ticked in reference)
Note: Signature drinks &amp; garnish uplifted from KUL.</v>
      </c>
      <c r="C69" s="120" t="str">
        <f aca="false">Checks!$N$617&amp;CHAR(10)&amp;IF(ISNUMBER(Checks!$R$617),TEXT(Checks!$R$617,"DD-MMM-YY HH:MM"),"")&amp;" "&amp;Checks!$P$617</f>
        <v>Required
27-Oct-26 22:25 KUL</v>
      </c>
      <c r="D69" s="120" t="str">
        <f aca="false">IF(TRIM(Checks!$U$617)&lt;&gt;"",Checks!$U$617&amp;IF(Checks!$AB$617="","",CHAR(10)&amp;"CA: "&amp;Checks!$AB$617),IF(LEFT(Checks!$AH$617,10)="N/A – RULE","","[ ] Pass"&amp;CHAR(10)&amp;"[ ] Pass after CA"&amp;CHAR(10)&amp;"[ ] Fail"&amp;IF(Checks!$AT$617=1,CHAR(10)&amp;"[ ] N/A","")&amp;CHAR(10)&amp;"CA: Open / Closed"))</f>
        <v>[ ] Pass
[ ] Pass after CA
[ ] Fail
CA: Open / Closed</v>
      </c>
      <c r="E69" s="120" t="str">
        <f aca="false">IF(Checks!$V$617="","",Checks!$V$617)&amp;IF(Checks!$AC$617="","",IF(Checks!$V$617="","",CHAR(10))&amp;"N/A just.: "&amp;Checks!$AC$617)&amp;IF(OR(Checks!$W$617&lt;&gt;"",AND(Checks!$AQ$617=1,NOT(LEFT(Checks!$AH$617,10)="N/A – RULE"))),CHAR(10)&amp;"Batch: "&amp;IF(Checks!$W$617="","____________",Checks!$W$617),"")&amp;IF(OR(Checks!$X$617&lt;&gt;"",Checks!$Y$617&lt;&gt;"",AND(Checks!$AR$617=1,NOT(LEFT(Checks!$AH$617,10)="N/A – RULE"))),CHAR(10)&amp;"Exp: "&amp;IF(Checks!$X$617="","______",Checks!$X$617)&amp;"  /  Act: "&amp;IF(Checks!$Y$617="","______",Checks!$Y$617),"")</f>
        <v/>
      </c>
      <c r="F69" s="120" t="str">
        <f aca="false">IF(AND(LEFT(Checks!$AH$617,10)="N/A – RULE",TRIM(Checks!$S$617&amp;Checks!$Z$617)=""),"","Type: "&amp;IF(TRIM(Checks!$S$617)="","______________ (see cover list)",Checks!$S$617)&amp;CHAR(10)&amp;"ID: "&amp;IF(TRIM(Checks!$Z$617)="","______________ (record's own no.)",Checks!$Z$617))&amp;IF(Checks!$AA$617="","",CHAR(10)&amp;"CA: "&amp;Checks!$AA$617)</f>
        <v>Type: ______________ (see cover list)
ID: ______________ (record's own no.)</v>
      </c>
      <c r="G69" s="120" t="str">
        <f aca="false">IF(AND(LEFT(Checks!$AH$617,10)="N/A – RULE",NOT(ISNUMBER(Checks!$AD$617)),Checks!$AE$617="",Checks!$T$617=""),"","Done: "&amp;IF(ISNUMBER(Checks!$AD$617),TEXT(Checks!$AD$617,"DD-MMM-YY HH:MM"),"____________")&amp;" "&amp;Checks!$P$617&amp;CHAR(10)&amp;"Verifier: "&amp;IF(Checks!$AE$617="","____________",Checks!$AE$617)&amp;CHAR(10)&amp;"PIC: "&amp;IF(Checks!$T$617="","____________",Checks!$T$617))</f>
        <v>Done: ____________ KUL
Verifier: ____________
PIC: ____________</v>
      </c>
      <c r="H69" s="121" t="str">
        <f aca="false">IF(Checks!$AH$617="","",Checks!$AH$617)</f>
        <v>OPEN</v>
      </c>
    </row>
    <row r="70" customFormat="false" ht="114" hidden="false" customHeight="true" outlineLevel="0" collapsed="false">
      <c r="A70" s="120" t="str">
        <f aca="false">Checks!$A$618&amp;CHAR(10)&amp;IF(Checks!$I$618="","",Checks!$I$618&amp;": ")&amp;Checks!$J$618</f>
        <v>F18-UPL-15
Sales Cart: Sales cart (caterer PASB) - on board</v>
      </c>
      <c r="B70" s="120" t="str">
        <f aca="false">Checks!$K$618&amp;IF(Checks!$O$618="","",IF(Checks!$K$618="","",CHAR(10))&amp;"Note: "&amp;Checks!$O$618)</f>
        <v>Location 643 &amp; 947 (A333, full cart)
Note: Block 6.50 h &gt;= 4 h.</v>
      </c>
      <c r="C70" s="120" t="str">
        <f aca="false">Checks!$N$618&amp;CHAR(10)&amp;IF(ISNUMBER(Checks!$R$618),TEXT(Checks!$R$618,"DD-MMM-YY HH:MM"),"")&amp;" "&amp;Checks!$P$618</f>
        <v>Required
27-Oct-26 22:25 KUL</v>
      </c>
      <c r="D70" s="120" t="str">
        <f aca="false">IF(TRIM(Checks!$U$618)&lt;&gt;"",Checks!$U$618&amp;IF(Checks!$AB$618="","",CHAR(10)&amp;"CA: "&amp;Checks!$AB$618),IF(LEFT(Checks!$AH$618,10)="N/A – RULE","","[ ] Pass"&amp;CHAR(10)&amp;"[ ] Pass after CA"&amp;CHAR(10)&amp;"[ ] Fail"&amp;IF(Checks!$AT$618=1,CHAR(10)&amp;"[ ] N/A","")&amp;CHAR(10)&amp;"CA: Open / Closed"))</f>
        <v>[ ] Pass
[ ] Pass after CA
[ ] Fail
CA: Open / Closed</v>
      </c>
      <c r="E70" s="120" t="str">
        <f aca="false">IF(Checks!$V$618="","",Checks!$V$618)&amp;IF(Checks!$AC$618="","",IF(Checks!$V$618="","",CHAR(10))&amp;"N/A just.: "&amp;Checks!$AC$618)&amp;IF(OR(Checks!$W$618&lt;&gt;"",AND(Checks!$AQ$618=1,NOT(LEFT(Checks!$AH$618,10)="N/A – RULE"))),CHAR(10)&amp;"Batch: "&amp;IF(Checks!$W$618="","____________",Checks!$W$618),"")&amp;IF(OR(Checks!$X$618&lt;&gt;"",Checks!$Y$618&lt;&gt;"",AND(Checks!$AR$618=1,NOT(LEFT(Checks!$AH$618,10)="N/A – RULE"))),CHAR(10)&amp;"Exp: "&amp;IF(Checks!$X$618="","______",Checks!$X$618)&amp;"  /  Act: "&amp;IF(Checks!$Y$618="","______",Checks!$Y$618),"")</f>
        <v/>
      </c>
      <c r="F70" s="120" t="str">
        <f aca="false">IF(AND(LEFT(Checks!$AH$618,10)="N/A – RULE",TRIM(Checks!$S$618&amp;Checks!$Z$618)=""),"","Type: "&amp;IF(TRIM(Checks!$S$618)="","______________ (see cover list)",Checks!$S$618)&amp;CHAR(10)&amp;"ID: "&amp;IF(TRIM(Checks!$Z$618)="","______________ (record's own no.)",Checks!$Z$618))&amp;IF(Checks!$AA$618="","",CHAR(10)&amp;"CA: "&amp;Checks!$AA$618)</f>
        <v>Type: ______________ (see cover list)
ID: ______________ (record's own no.)</v>
      </c>
      <c r="G70" s="120" t="str">
        <f aca="false">IF(AND(LEFT(Checks!$AH$618,10)="N/A – RULE",NOT(ISNUMBER(Checks!$AD$618)),Checks!$AE$618="",Checks!$T$618=""),"","Done: "&amp;IF(ISNUMBER(Checks!$AD$618),TEXT(Checks!$AD$618,"DD-MMM-YY HH:MM"),"____________")&amp;" "&amp;Checks!$P$618&amp;CHAR(10)&amp;"Verifier: "&amp;IF(Checks!$AE$618="","____________",Checks!$AE$618)&amp;CHAR(10)&amp;"PIC: "&amp;IF(Checks!$T$618="","____________",Checks!$T$618))</f>
        <v>Done: ____________ KUL
Verifier: ____________
PIC: ____________</v>
      </c>
      <c r="H70" s="121" t="str">
        <f aca="false">IF(Checks!$AH$618="","",Checks!$AH$618)</f>
        <v>OPEN</v>
      </c>
    </row>
    <row r="72" customFormat="false" ht="24" hidden="false" customHeight="true" outlineLevel="0" collapsed="false">
      <c r="A72" s="122" t="s">
        <v>4832</v>
      </c>
      <c r="B72" s="122"/>
      <c r="C72" s="122"/>
      <c r="D72" s="122"/>
      <c r="E72" s="122" t="s">
        <v>4833</v>
      </c>
      <c r="F72" s="122"/>
      <c r="G72" s="122"/>
      <c r="H72" s="122"/>
    </row>
    <row r="73" customFormat="false" ht="21.75" hidden="false" customHeight="true" outlineLevel="0" collapsed="false">
      <c r="A73" s="123"/>
      <c r="B73" s="123"/>
      <c r="C73" s="123"/>
      <c r="D73" s="123"/>
      <c r="E73" s="123"/>
      <c r="F73" s="123"/>
      <c r="G73" s="123"/>
      <c r="H73" s="123"/>
    </row>
    <row r="74" customFormat="false" ht="21.75" hidden="false" customHeight="true" outlineLevel="0" collapsed="false">
      <c r="A74" s="123"/>
      <c r="B74" s="123"/>
      <c r="C74" s="123"/>
      <c r="D74" s="123"/>
      <c r="E74" s="123"/>
      <c r="F74" s="123"/>
      <c r="G74" s="123"/>
      <c r="H74" s="123"/>
    </row>
    <row r="75" customFormat="false" ht="21.75" hidden="false" customHeight="true" outlineLevel="0" collapsed="false">
      <c r="A75" s="123"/>
      <c r="B75" s="123"/>
      <c r="C75" s="123"/>
      <c r="D75" s="123"/>
      <c r="E75" s="123"/>
      <c r="F75" s="123"/>
      <c r="G75" s="123"/>
      <c r="H75" s="123"/>
    </row>
    <row r="76" customFormat="false" ht="21.75" hidden="false" customHeight="true" outlineLevel="0" collapsed="false">
      <c r="A76" s="123"/>
      <c r="B76" s="123"/>
      <c r="C76" s="123"/>
      <c r="D76" s="123"/>
      <c r="E76" s="123"/>
      <c r="F76" s="123"/>
      <c r="G76" s="123"/>
      <c r="H76" s="123"/>
    </row>
    <row r="77" customFormat="false" ht="21.75" hidden="false" customHeight="true" outlineLevel="0" collapsed="false">
      <c r="A77" s="123"/>
      <c r="B77" s="123"/>
      <c r="C77" s="123"/>
      <c r="D77" s="123"/>
      <c r="E77" s="123"/>
      <c r="F77" s="123"/>
      <c r="G77" s="123"/>
      <c r="H77" s="123"/>
    </row>
    <row r="78" customFormat="false" ht="21.75" hidden="false" customHeight="true" outlineLevel="0" collapsed="false">
      <c r="A78" s="123"/>
      <c r="B78" s="123"/>
      <c r="C78" s="123"/>
      <c r="D78" s="123"/>
      <c r="E78" s="123"/>
      <c r="F78" s="123"/>
      <c r="G78" s="123"/>
      <c r="H78" s="123"/>
    </row>
    <row r="79" customFormat="false" ht="21.75" hidden="false" customHeight="true" outlineLevel="0" collapsed="false">
      <c r="A79" s="123"/>
      <c r="B79" s="123"/>
      <c r="C79" s="123"/>
      <c r="D79" s="123"/>
      <c r="E79" s="123"/>
      <c r="F79" s="123"/>
      <c r="G79" s="123"/>
      <c r="H79" s="123"/>
    </row>
    <row r="80" customFormat="false" ht="21.75" hidden="false" customHeight="true" outlineLevel="0" collapsed="false">
      <c r="A80" s="123"/>
      <c r="B80" s="123"/>
      <c r="C80" s="123"/>
      <c r="D80" s="123"/>
      <c r="E80" s="123"/>
      <c r="F80" s="123"/>
      <c r="G80" s="123"/>
      <c r="H80" s="123"/>
    </row>
    <row r="81" customFormat="false" ht="21.75" hidden="false" customHeight="true" outlineLevel="0" collapsed="false">
      <c r="A81" s="123"/>
      <c r="B81" s="123"/>
      <c r="C81" s="123"/>
      <c r="D81" s="123"/>
      <c r="E81" s="123"/>
      <c r="F81" s="123"/>
      <c r="G81" s="123"/>
      <c r="H81" s="123"/>
    </row>
    <row r="82" customFormat="false" ht="21.75" hidden="false" customHeight="true" outlineLevel="0" collapsed="false">
      <c r="A82" s="123"/>
      <c r="B82" s="123"/>
      <c r="C82" s="123"/>
      <c r="D82" s="123"/>
      <c r="E82" s="123"/>
      <c r="F82" s="123"/>
      <c r="G82" s="123"/>
      <c r="H82"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55:H55"/>
    <mergeCell ref="A72:D72"/>
    <mergeCell ref="E72:H72"/>
    <mergeCell ref="A73:D82"/>
    <mergeCell ref="E73:H82"/>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70">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70">
    <cfRule type="expression" priority="18" aboveAverage="0" equalAverage="0" bottom="0" percent="0" rank="0" text="" dxfId="35">
      <formula>LEFT($H23,3)="N/A"</formula>
    </cfRule>
  </conditionalFormatting>
  <conditionalFormatting sqref="D23:D70">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F18 MH0052 27-Oct-26 KUL-KIX Class BC</oddHeader>
    <oddFooter>&amp;L&amp;"Arial,Bold"&amp;8 F18 MH0052 27-Oct-26 KUL-KIX Class BC&amp;C&amp;"Arial,Regular"&amp;8 Printed: ____________________&amp;R&amp;"Arial,Regular"&amp;8 F18  Page &amp;P of &amp;N</oddFooter>
  </headerFooter>
  <rowBreaks count="12" manualBreakCount="12">
    <brk id="20" man="true" max="16383" min="0"/>
    <brk id="26" man="true" max="16383" min="0"/>
    <brk id="30" man="true" max="16383" min="0"/>
    <brk id="35" man="true" max="16383" min="0"/>
    <brk id="39" man="true" max="16383" min="0"/>
    <brk id="42" man="true" max="16383" min="0"/>
    <brk id="46" man="true" max="16383" min="0"/>
    <brk id="50" man="true" max="16383" min="0"/>
    <brk id="54" man="true" max="16383" min="0"/>
    <brk id="59" man="true" max="16383" min="0"/>
    <brk id="63" man="true" max="16383" min="0"/>
    <brk id="67" man="true" max="16383" min="0"/>
  </rowBreaks>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F19  "&amp;Flights!$F$23&amp;"  "&amp;TEXT(Flights!$D$23,"DD-MMM-YY")&amp;" ("&amp;Flights!$E$23&amp;")  "&amp;Flights!$G$23&amp;" → "&amp;Flights!$H$23&amp;"  |  Class "&amp;Flights!$K$23</f>
        <v>SKYTRAX 2026 CATERING READINESS CHECKLIST  |  F19  MH0053  29-Oct-26 (THU)  KIX → KUL  |  Class EY</v>
      </c>
      <c r="B1" s="93"/>
      <c r="C1" s="93"/>
      <c r="D1" s="93"/>
      <c r="E1" s="93"/>
      <c r="F1" s="93"/>
      <c r="G1" s="93"/>
      <c r="H1" s="93"/>
    </row>
    <row r="2" customFormat="false" ht="12.75" hidden="false" customHeight="true" outlineLevel="0" collapsed="false">
      <c r="A2" s="94" t="s">
        <v>4788</v>
      </c>
      <c r="B2" s="95" t="str">
        <f aca="false">Flights!$F$23&amp;"   "&amp;TEXT(Flights!$D$23,"DD-MMM-YY")&amp;" ("&amp;Flights!$E$23&amp;")"</f>
        <v>MH0053   29-Oct-26 (THU)</v>
      </c>
      <c r="C2" s="95"/>
      <c r="D2" s="95"/>
      <c r="E2" s="96" t="s">
        <v>4789</v>
      </c>
      <c r="F2" s="97" t="str">
        <f aca="false">Flights!$AT$23</f>
        <v>NOT READY – DOCUMENTS</v>
      </c>
      <c r="G2" s="97"/>
      <c r="H2" s="97"/>
    </row>
    <row r="3" customFormat="false" ht="24" hidden="false" customHeight="true" outlineLevel="0" collapsed="false">
      <c r="A3" s="94" t="s">
        <v>4790</v>
      </c>
      <c r="B3" s="95" t="str">
        <f aca="false">Flights!$G$23&amp;" → "&amp;Flights!$H$23&amp;"   Class "&amp;Flights!$K$23&amp;"   Seat "&amp;Flights!$O$23</f>
        <v>KIX → KUL   Class EY   Seat 9C</v>
      </c>
      <c r="C3" s="95"/>
      <c r="D3" s="95"/>
      <c r="E3" s="96" t="s">
        <v>73</v>
      </c>
      <c r="F3" s="96" t="s">
        <v>4791</v>
      </c>
      <c r="G3" s="96" t="s">
        <v>4792</v>
      </c>
      <c r="H3" s="96"/>
    </row>
    <row r="4" customFormat="false" ht="24" hidden="false" customHeight="true" outlineLevel="0" collapsed="false">
      <c r="A4" s="94" t="s">
        <v>4793</v>
      </c>
      <c r="B4" s="95" t="str">
        <f aca="false">IF(ISNUMBER(Flights!$I$23),TEXT(Flights!$I$23,"DD-MMM-YY HH:MM"),"")&amp;" "&amp;Flights!$G$23&amp;"  →  "&amp;IF(ISNUMBER(Flights!$J$23),TEXT(Flights!$J$23,"DD-MMM-YY HH:MM"),"")&amp;" "&amp;Flights!$H$23</f>
        <v>29-Oct-26 09:40 KIX  →  29-Oct-26 16:45 KUL</v>
      </c>
      <c r="C4" s="95"/>
      <c r="D4" s="95"/>
      <c r="E4" s="94" t="s">
        <v>4794</v>
      </c>
      <c r="F4" s="98" t="str">
        <f aca="false">IF(ISNUMBER(Flights!$AG$23),TEXT(Flights!$AG$23,"DD-MMM-YY HH:MM"),"")&amp;" "&amp;Flights!$V$23</f>
        <v>22-Oct-26 09:40 KIX</v>
      </c>
      <c r="G4" s="99" t="n">
        <f aca="false">Flights!$AJ$23</f>
        <v>0</v>
      </c>
      <c r="H4" s="99"/>
    </row>
    <row r="5" customFormat="false" ht="24" hidden="false" customHeight="true" outlineLevel="0" collapsed="false">
      <c r="A5" s="94" t="s">
        <v>4795</v>
      </c>
      <c r="B5" s="95" t="str">
        <f aca="false">Flights!$L$23&amp;" – "&amp;Flights!$M$23</f>
        <v>A333 – A330-300 (A333)</v>
      </c>
      <c r="C5" s="95"/>
      <c r="D5" s="95"/>
      <c r="E5" s="94" t="s">
        <v>4796</v>
      </c>
      <c r="F5" s="98" t="str">
        <f aca="false">IF(ISNUMBER(Flights!$AH$23),TEXT(Flights!$AH$23,"DD-MMM-YY HH:MM"),"")&amp;" "&amp;Flights!$V$23</f>
        <v>28-Oct-26 09:40 KIX</v>
      </c>
      <c r="G5" s="99" t="n">
        <f aca="false">Flights!$AK$23</f>
        <v>0</v>
      </c>
      <c r="H5" s="99"/>
    </row>
    <row r="6" customFormat="false" ht="24" hidden="false" customHeight="true" outlineLevel="0" collapsed="false">
      <c r="A6" s="94" t="s">
        <v>4797</v>
      </c>
      <c r="B6" s="95" t="str">
        <f aca="false">IF(TRIM(Flights!$N$23)="","__________________",Flights!$N$23)</f>
        <v>__________________</v>
      </c>
      <c r="C6" s="95"/>
      <c r="D6" s="95"/>
      <c r="E6" s="94" t="s">
        <v>4798</v>
      </c>
      <c r="F6" s="98" t="str">
        <f aca="false">IF(ISNUMBER(Flights!$AI$23),TEXT(Flights!$AI$23,"DD-MMM-YY HH:MM"),"")&amp;" "&amp;Flights!$V$23&amp;IF(Flights!$AI$23=Flights!$AH$23,"  (= T-24H due)","")</f>
        <v>28-Oct-26 21:40 KIX</v>
      </c>
      <c r="G6" s="99" t="n">
        <f aca="false">Flights!$AL$23</f>
        <v>0</v>
      </c>
      <c r="H6" s="99"/>
    </row>
    <row r="7" customFormat="false" ht="24" hidden="false" customHeight="true" outlineLevel="0" collapsed="false">
      <c r="A7" s="94" t="s">
        <v>4799</v>
      </c>
      <c r="B7" s="95" t="str">
        <f aca="false">Flights!$T$23</f>
        <v>1.5 Meal (Meal)</v>
      </c>
      <c r="C7" s="95"/>
      <c r="D7" s="95"/>
      <c r="E7" s="94" t="s">
        <v>4800</v>
      </c>
      <c r="F7" s="98" t="str">
        <f aca="false">"STD "&amp;IF(ISNUMBER(Flights!$I$23),TEXT(Flights!$I$23,"DD-MMM-YY HH:MM"),"")&amp;" "&amp;Flights!$G$23&amp;" (dep stn)"</f>
        <v>STD 29-Oct-26 09:40 KIX (dep stn)</v>
      </c>
      <c r="G7" s="99" t="n">
        <f aca="false">Flights!$AM$23</f>
        <v>0</v>
      </c>
      <c r="H7" s="99"/>
    </row>
    <row r="8" customFormat="false" ht="12.75" hidden="false" customHeight="true" outlineLevel="0" collapsed="false">
      <c r="A8" s="94" t="s">
        <v>155</v>
      </c>
      <c r="B8" s="95" t="str">
        <f aca="false">Flights!$V$23&amp;"   (reference uplift stns: "&amp;Flights!$U$23&amp;")"</f>
        <v>KIX   (reference uplift stns: KUL/KIX)</v>
      </c>
      <c r="C8" s="95"/>
      <c r="D8" s="95"/>
      <c r="E8" s="94" t="s">
        <v>4801</v>
      </c>
      <c r="F8" s="100" t="s">
        <v>4802</v>
      </c>
      <c r="G8" s="99" t="n">
        <f aca="false">Flights!$AN$23</f>
        <v>0</v>
      </c>
      <c r="H8" s="99"/>
    </row>
    <row r="9" customFormat="false" ht="12.75" hidden="false" customHeight="true" outlineLevel="0" collapsed="false">
      <c r="A9" s="94" t="s">
        <v>4803</v>
      </c>
      <c r="B9" s="95" t="str">
        <f aca="false">TRIM(Flights!$P$23&amp;"  "&amp;Flights!$Q$23)</f>
        <v>-</v>
      </c>
      <c r="C9" s="95"/>
      <c r="D9" s="95"/>
      <c r="E9" s="94" t="s">
        <v>4804</v>
      </c>
      <c r="F9" s="101" t="n">
        <f aca="false">Flights!$AP$23</f>
        <v>0</v>
      </c>
      <c r="G9" s="102" t="n">
        <f aca="false">Flights!$AQ$23</f>
        <v>0</v>
      </c>
      <c r="H9" s="103" t="n">
        <f aca="false">Flights!$AU$23</f>
        <v>0</v>
      </c>
    </row>
    <row r="10" customFormat="false" ht="24" hidden="false" customHeight="true" outlineLevel="0" collapsed="false">
      <c r="A10" s="94" t="s">
        <v>4805</v>
      </c>
      <c r="B10" s="95" t="str">
        <f aca="false">IF(TRIM(Flights!$X$23)="","__________________",Flights!$X$23)</f>
        <v>__________________</v>
      </c>
      <c r="C10" s="95"/>
      <c r="D10" s="95"/>
      <c r="E10" s="94" t="s">
        <v>4806</v>
      </c>
      <c r="F10" s="104" t="n">
        <f aca="false">Flights!$AO$23</f>
        <v>24</v>
      </c>
      <c r="G10" s="105" t="n">
        <f aca="false">Flights!$AS$23</f>
        <v>1</v>
      </c>
      <c r="H10" s="106" t="n">
        <f aca="false">Flights!$AR$23</f>
        <v>2</v>
      </c>
    </row>
    <row r="11" customFormat="false" ht="21" hidden="false" customHeight="true" outlineLevel="0" collapsed="false">
      <c r="A11" s="94" t="s">
        <v>4807</v>
      </c>
      <c r="B11" s="95" t="str">
        <f aca="false">IF(TRIM(Flights!$Y$23)="","__________________",Flights!$Y$23)</f>
        <v>__________________</v>
      </c>
      <c r="C11" s="95"/>
      <c r="D11" s="95"/>
      <c r="E11" s="94" t="s">
        <v>4808</v>
      </c>
      <c r="F11" s="97" t="str">
        <f aca="false">Flights!$AV$23&amp;" / "&amp;Flights!$AW$23</f>
        <v>0 / 24</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IF(Documents!$F$23="","",Documents!$F$23)</f>
        <v/>
      </c>
      <c r="C15" s="100" t="str">
        <f aca="false">IF(Documents!$G$23="","",Documents!$G$23)&amp;IF(ISNUMBER(Documents!$H$23),"  "&amp;TEXT(Documents!$H$23,"DD-MMM-YY"),"")</f>
        <v/>
      </c>
      <c r="D15" s="100"/>
      <c r="E15" s="114" t="str">
        <f aca="false">IF(Documents!$J$23="OUTSTANDING","OUTSTANDING – attach before T-7D (due "&amp;IF(ISNUMBER(Flights!$AG$23),TEXT(Flights!$AG$23,"DD-MMM-YY HH:MM"),"")&amp;" "&amp;Flights!$V$23&amp;")",IF(Documents!$J$23="","Status not recorded",Documents!$J$23))</f>
        <v>OUTSTANDING – attach before T-7D (due 22-Oct-26 09:40 KIX)</v>
      </c>
      <c r="F15" s="115" t="str">
        <f aca="false">"Staple behind this sheet as page A1."&amp;IF(Documents!$I$23="",""," Location: "&amp;Documents!$I$23)</f>
        <v>Staple behind this sheet as page A1.</v>
      </c>
      <c r="G15" s="115"/>
      <c r="H15" s="115"/>
    </row>
    <row r="16" customFormat="false" ht="36" hidden="false" customHeight="true" outlineLevel="0" collapsed="false">
      <c r="A16" s="94" t="s">
        <v>4819</v>
      </c>
      <c r="B16" s="95" t="str">
        <f aca="false">IF(Documents!$K$23="","",Documents!$K$23)</f>
        <v/>
      </c>
      <c r="C16" s="100" t="str">
        <f aca="false">IF(Documents!$L$23="","",Documents!$L$23)&amp;IF(ISNUMBER(Documents!$M$23),"  "&amp;TEXT(Documents!$M$23,"DD-MMM-YY"),"")</f>
        <v/>
      </c>
      <c r="D16" s="100"/>
      <c r="E16" s="114" t="str">
        <f aca="false">IF(Documents!$O$23="OUTSTANDING","OUTSTANDING – attach before T-7D (due "&amp;IF(ISNUMBER(Flights!$AG$23),TEXT(Flights!$AG$23,"DD-MMM-YY HH:MM"),"")&amp;" "&amp;Flights!$V$23&amp;")",IF(Documents!$O$23="","Status not recorded",Documents!$O$23))</f>
        <v>OUTSTANDING – attach before T-7D (due 22-Oct-26 09:40 KIX)</v>
      </c>
      <c r="F16" s="115" t="str">
        <f aca="false">"Staple behind this sheet as page A2."&amp;IF(Documents!$N$23="",""," Location: "&amp;Documents!$N$23)</f>
        <v>Staple behind this sheet as page A2.</v>
      </c>
      <c r="G16" s="115"/>
      <c r="H16" s="115"/>
    </row>
    <row r="17" customFormat="false" ht="22.5" hidden="false" customHeight="true" outlineLevel="0" collapsed="false">
      <c r="A17" s="94" t="s">
        <v>4820</v>
      </c>
      <c r="B17" s="116" t="str">
        <f aca="false">IF(Documents!$Q$23="","",Documents!$Q$23)</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"&amp;IF(TRIM(Flights!$Y$23)="","__________________",Flights!$Y$23)</f>
        <v>Name: __________________</v>
      </c>
      <c r="B19" s="95"/>
      <c r="C19" s="95" t="str">
        <f aca="false">"Name: __________________"</f>
        <v>Name: __________________</v>
      </c>
      <c r="D19" s="95"/>
      <c r="E19" s="95"/>
      <c r="F19" s="95" t="str">
        <f aca="false">"Name: __________________"&amp;"   Station: "&amp;Flights!$V$23</f>
        <v>Name: __________________   Station: KIX</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"&amp;IF(ISNUMBER(Flights!$AG$23),TEXT(Flights!$AG$23,"DD-MMM-YY HH:MM"),"")&amp;" "&amp;Flights!$V$23&amp;" (meal uplift stn)"&amp;" (rows with another due show their own)  |  Complete "&amp;IF(ISNUMBER(Flights!$AJ$23),TEXT(Flights!$AJ$23,"0%"),Flights!$AJ$23)&amp;"  |  9 lines"</f>
        <v>T-7D — 7 days before departure  |  Due 22-Oct-26 09:40 KIX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Checks!$A$619&amp;CHAR(10)&amp;IF(Checks!$I$619="","",Checks!$I$619&amp;": ")&amp;Checks!$J$619</f>
        <v>F19-T7-01
Meal: Meal sensory testing completed for this flight's menu cycle (assessed class)</v>
      </c>
      <c r="B23" s="120" t="str">
        <f aca="false">Checks!$K$619&amp;IF(Checks!$O$619="","",IF(Checks!$K$619="","",CHAR(10))&amp;"Note: "&amp;Checks!$O$619)</f>
        <v>Record panel result / score in Result</v>
      </c>
      <c r="C23" s="120" t="str">
        <f aca="false">Checks!$N$619&amp;CHAR(10)&amp;IF(ISNUMBER(Checks!$R$619),TEXT(Checks!$R$619,"DD-MMM-YY HH:MM"),"")&amp;" "&amp;Checks!$P$619</f>
        <v>Required
22-Oct-26 09:40 KIX</v>
      </c>
      <c r="D23" s="120" t="str">
        <f aca="false">IF(TRIM(Checks!$U$619)&lt;&gt;"",Checks!$U$619&amp;IF(Checks!$AB$619="","",CHAR(10)&amp;"CA: "&amp;Checks!$AB$619),IF(LEFT(Checks!$AH$619,10)="N/A – RULE","","[ ] Pass"&amp;CHAR(10)&amp;"[ ] Pass after CA"&amp;CHAR(10)&amp;"[ ] Fail"&amp;IF(Checks!$AT$619=1,CHAR(10)&amp;"[ ] N/A","")&amp;CHAR(10)&amp;"CA: Open / Closed"))</f>
        <v>[ ] Pass
[ ] Pass after CA
[ ] Fail
CA: Open / Closed</v>
      </c>
      <c r="E23" s="120" t="str">
        <f aca="false">IF(Checks!$V$619="","",Checks!$V$619)&amp;IF(Checks!$AC$619="","",IF(Checks!$V$619="","",CHAR(10))&amp;"N/A just.: "&amp;Checks!$AC$619)&amp;IF(OR(Checks!$W$619&lt;&gt;"",AND(Checks!$AQ$619=1,NOT(LEFT(Checks!$AH$619,10)="N/A – RULE"))),CHAR(10)&amp;"Batch: "&amp;IF(Checks!$W$619="","____________",Checks!$W$619),"")&amp;IF(OR(Checks!$X$619&lt;&gt;"",Checks!$Y$619&lt;&gt;"",AND(Checks!$AR$619=1,NOT(LEFT(Checks!$AH$619,10)="N/A – RULE"))),CHAR(10)&amp;"Exp: "&amp;IF(Checks!$X$619="","______",Checks!$X$619)&amp;"  /  Act: "&amp;IF(Checks!$Y$619="","______",Checks!$Y$619),"")</f>
        <v/>
      </c>
      <c r="F23" s="120" t="str">
        <f aca="false">IF(AND(LEFT(Checks!$AH$619,10)="N/A – RULE",TRIM(Checks!$S$619&amp;Checks!$Z$619)=""),"","Type: "&amp;IF(TRIM(Checks!$S$619)="","______________ (see cover list)",Checks!$S$619)&amp;CHAR(10)&amp;"ID: "&amp;IF(TRIM(Checks!$Z$619)="","______________ (record's own no.)",Checks!$Z$619))&amp;IF(Checks!$AA$619="","",CHAR(10)&amp;"CA: "&amp;Checks!$AA$619)</f>
        <v>Type: ______________ (see cover list)
ID: ______________ (record's own no.)</v>
      </c>
      <c r="G23" s="120" t="str">
        <f aca="false">IF(AND(LEFT(Checks!$AH$619,10)="N/A – RULE",NOT(ISNUMBER(Checks!$AD$619)),Checks!$AE$619="",Checks!$T$619=""),"","Done: "&amp;IF(ISNUMBER(Checks!$AD$619),TEXT(Checks!$AD$619,"DD-MMM-YY HH:MM"),"____________")&amp;" "&amp;Checks!$P$619&amp;CHAR(10)&amp;"Verifier: "&amp;IF(Checks!$AE$619="","____________",Checks!$AE$619)&amp;CHAR(10)&amp;"PIC: "&amp;IF(Checks!$T$619="","____________",Checks!$T$619))</f>
        <v>Done: ____________ KIX
Verifier: ____________
PIC: ____________</v>
      </c>
      <c r="H23" s="121" t="str">
        <f aca="false">IF(Checks!$AH$619="","",Checks!$AH$619)</f>
        <v>OPEN</v>
      </c>
    </row>
    <row r="24" customFormat="false" ht="114" hidden="false" customHeight="true" outlineLevel="0" collapsed="false">
      <c r="A24" s="120" t="str">
        <f aca="false">Checks!$A$620&amp;CHAR(10)&amp;IF(Checks!$I$620="","",Checks!$I$620&amp;": ")&amp;Checks!$J$620</f>
        <v>F19-T7-02
Menu: Printed menu cards confirmed (content, cycle, language, quantity)</v>
      </c>
      <c r="B24" s="120" t="str">
        <f aca="false">Checks!$K$620&amp;IF(Checks!$O$620="","",IF(Checks!$K$620="","",CHAR(10))&amp;"Note: "&amp;Checks!$O$620)</f>
        <v>Menu card matches approved menu for this flight</v>
      </c>
      <c r="C24" s="120" t="str">
        <f aca="false">Checks!$N$620&amp;CHAR(10)&amp;IF(ISNUMBER(Checks!$R$620),TEXT(Checks!$R$620,"DD-MMM-YY HH:MM"),"")&amp;" "&amp;Checks!$P$620</f>
        <v>Required
22-Oct-26 09:40 KIX</v>
      </c>
      <c r="D24" s="120" t="str">
        <f aca="false">IF(TRIM(Checks!$U$620)&lt;&gt;"",Checks!$U$620&amp;IF(Checks!$AB$620="","",CHAR(10)&amp;"CA: "&amp;Checks!$AB$620),IF(LEFT(Checks!$AH$620,10)="N/A – RULE","","[ ] Pass"&amp;CHAR(10)&amp;"[ ] Pass after CA"&amp;CHAR(10)&amp;"[ ] Fail"&amp;IF(Checks!$AT$620=1,CHAR(10)&amp;"[ ] N/A","")&amp;CHAR(10)&amp;"CA: Open / Closed"))</f>
        <v>[ ] Pass
[ ] Pass after CA
[ ] Fail
CA: Open / Closed</v>
      </c>
      <c r="E24" s="120" t="str">
        <f aca="false">IF(Checks!$V$620="","",Checks!$V$620)&amp;IF(Checks!$AC$620="","",IF(Checks!$V$620="","",CHAR(10))&amp;"N/A just.: "&amp;Checks!$AC$620)&amp;IF(OR(Checks!$W$620&lt;&gt;"",AND(Checks!$AQ$620=1,NOT(LEFT(Checks!$AH$620,10)="N/A – RULE"))),CHAR(10)&amp;"Batch: "&amp;IF(Checks!$W$620="","____________",Checks!$W$620),"")&amp;IF(OR(Checks!$X$620&lt;&gt;"",Checks!$Y$620&lt;&gt;"",AND(Checks!$AR$620=1,NOT(LEFT(Checks!$AH$620,10)="N/A – RULE"))),CHAR(10)&amp;"Exp: "&amp;IF(Checks!$X$620="","______",Checks!$X$620)&amp;"  /  Act: "&amp;IF(Checks!$Y$620="","______",Checks!$Y$620),"")</f>
        <v/>
      </c>
      <c r="F24" s="120" t="str">
        <f aca="false">IF(AND(LEFT(Checks!$AH$620,10)="N/A – RULE",TRIM(Checks!$S$620&amp;Checks!$Z$620)=""),"","Type: "&amp;IF(TRIM(Checks!$S$620)="","______________ (see cover list)",Checks!$S$620)&amp;CHAR(10)&amp;"ID: "&amp;IF(TRIM(Checks!$Z$620)="","______________ (record's own no.)",Checks!$Z$620))&amp;IF(Checks!$AA$620="","",CHAR(10)&amp;"CA: "&amp;Checks!$AA$620)</f>
        <v>Type: ______________ (see cover list)
ID: ______________ (record's own no.)</v>
      </c>
      <c r="G24" s="120" t="str">
        <f aca="false">IF(AND(LEFT(Checks!$AH$620,10)="N/A – RULE",NOT(ISNUMBER(Checks!$AD$620)),Checks!$AE$620="",Checks!$T$620=""),"","Done: "&amp;IF(ISNUMBER(Checks!$AD$620),TEXT(Checks!$AD$620,"DD-MMM-YY HH:MM"),"____________")&amp;" "&amp;Checks!$P$620&amp;CHAR(10)&amp;"Verifier: "&amp;IF(Checks!$AE$620="","____________",Checks!$AE$620)&amp;CHAR(10)&amp;"PIC: "&amp;IF(Checks!$T$620="","____________",Checks!$T$620))</f>
        <v>Done: ____________ KIX
Verifier: ____________
PIC: ____________</v>
      </c>
      <c r="H24" s="121" t="str">
        <f aca="false">IF(Checks!$AH$620="","",Checks!$AH$620)</f>
        <v>OPEN</v>
      </c>
    </row>
    <row r="25" customFormat="false" ht="114" hidden="false" customHeight="true" outlineLevel="0" collapsed="false">
      <c r="A25" s="120" t="str">
        <f aca="false">Checks!$A$621&amp;CHAR(10)&amp;IF(Checks!$I$621="","",Checks!$I$621&amp;": ")&amp;Checks!$J$621</f>
        <v>F19-T7-03
IFE: Digital menu in IFE confirmed (A339 only)</v>
      </c>
      <c r="B25" s="120" t="str">
        <f aca="false">Checks!$K$621&amp;IF(Checks!$O$621="","",IF(Checks!$K$621="","",CHAR(10))&amp;"Note: "&amp;Checks!$O$621)</f>
        <v>Applies when fleet = A339
Note: Digital IFE menu applies to A339 only (user brief). Applicability follows the Fleet cell on Flights.</v>
      </c>
      <c r="C25" s="120" t="str">
        <f aca="false">Checks!$N$621&amp;CHAR(10)&amp;IF(ISNUMBER(Checks!$R$621),TEXT(Checks!$R$621,"DD-MMM-YY HH:MM"),"")&amp;" "&amp;Checks!$P$621</f>
        <v>N/A – rule
22-Oct-26 09:40 KIX</v>
      </c>
      <c r="D25" s="120" t="str">
        <f aca="false">IF(TRIM(Checks!$U$621)&lt;&gt;"",Checks!$U$621&amp;IF(Checks!$AB$621="","",CHAR(10)&amp;"CA: "&amp;Checks!$AB$621),IF(LEFT(Checks!$AH$621,10)="N/A – RULE","","[ ] Pass"&amp;CHAR(10)&amp;"[ ] Pass after CA"&amp;CHAR(10)&amp;"[ ] Fail"&amp;IF(Checks!$AT$621=1,CHAR(10)&amp;"[ ] N/A","")&amp;CHAR(10)&amp;"CA: Open / Closed"))</f>
        <v/>
      </c>
      <c r="E25" s="120" t="str">
        <f aca="false">IF(Checks!$V$621="","",Checks!$V$621)&amp;IF(Checks!$AC$621="","",IF(Checks!$V$621="","",CHAR(10))&amp;"N/A just.: "&amp;Checks!$AC$621)&amp;IF(OR(Checks!$W$621&lt;&gt;"",AND(Checks!$AQ$621=1,NOT(LEFT(Checks!$AH$621,10)="N/A – RULE"))),CHAR(10)&amp;"Batch: "&amp;IF(Checks!$W$621="","____________",Checks!$W$621),"")&amp;IF(OR(Checks!$X$621&lt;&gt;"",Checks!$Y$621&lt;&gt;"",AND(Checks!$AR$621=1,NOT(LEFT(Checks!$AH$621,10)="N/A – RULE"))),CHAR(10)&amp;"Exp: "&amp;IF(Checks!$X$621="","______",Checks!$X$621)&amp;"  /  Act: "&amp;IF(Checks!$Y$621="","______",Checks!$Y$621),"")</f>
        <v/>
      </c>
      <c r="F25" s="120" t="str">
        <f aca="false">IF(AND(LEFT(Checks!$AH$621,10)="N/A – RULE",TRIM(Checks!$S$621&amp;Checks!$Z$621)=""),"","Type: "&amp;IF(TRIM(Checks!$S$621)="","______________ (see cover list)",Checks!$S$621)&amp;CHAR(10)&amp;"ID: "&amp;IF(TRIM(Checks!$Z$621)="","______________ (record's own no.)",Checks!$Z$621))&amp;IF(Checks!$AA$621="","",CHAR(10)&amp;"CA: "&amp;Checks!$AA$621)</f>
        <v/>
      </c>
      <c r="G25" s="120" t="str">
        <f aca="false">IF(AND(LEFT(Checks!$AH$621,10)="N/A – RULE",NOT(ISNUMBER(Checks!$AD$621)),Checks!$AE$621="",Checks!$T$621=""),"","Done: "&amp;IF(ISNUMBER(Checks!$AD$621),TEXT(Checks!$AD$621,"DD-MMM-YY HH:MM"),"____________")&amp;" "&amp;Checks!$P$621&amp;CHAR(10)&amp;"Verifier: "&amp;IF(Checks!$AE$621="","____________",Checks!$AE$621)&amp;CHAR(10)&amp;"PIC: "&amp;IF(Checks!$T$621="","____________",Checks!$T$621))</f>
        <v/>
      </c>
      <c r="H25" s="121" t="str">
        <f aca="false">IF(Checks!$AH$621="","",Checks!$AH$621)</f>
        <v>N/A – RULE</v>
      </c>
    </row>
    <row r="26" customFormat="false" ht="114" hidden="false" customHeight="true" outlineLevel="0" collapsed="false">
      <c r="A26" s="120" t="str">
        <f aca="false">Checks!$A$622&amp;CHAR(10)&amp;IF(Checks!$I$622="","",Checks!$I$622&amp;": ")&amp;Checks!$J$622</f>
        <v>F19-T7-04
Staffing: Experienced catering officer assigned to this flight</v>
      </c>
      <c r="B26" s="120" t="str">
        <f aca="false">Checks!$K$622&amp;IF(Checks!$O$622="","",IF(Checks!$K$622="","",CHAR(10))&amp;"Note: "&amp;Checks!$O$622)</f>
        <v>Record officer name in Result</v>
      </c>
      <c r="C26" s="120" t="str">
        <f aca="false">Checks!$N$622&amp;CHAR(10)&amp;IF(ISNUMBER(Checks!$R$622),TEXT(Checks!$R$622,"DD-MMM-YY HH:MM"),"")&amp;" "&amp;Checks!$P$622</f>
        <v>Required
22-Oct-26 09:40 KIX</v>
      </c>
      <c r="D26" s="120" t="str">
        <f aca="false">IF(TRIM(Checks!$U$622)&lt;&gt;"",Checks!$U$622&amp;IF(Checks!$AB$622="","",CHAR(10)&amp;"CA: "&amp;Checks!$AB$622),IF(LEFT(Checks!$AH$622,10)="N/A – RULE","","[ ] Pass"&amp;CHAR(10)&amp;"[ ] Pass after CA"&amp;CHAR(10)&amp;"[ ] Fail"&amp;IF(Checks!$AT$622=1,CHAR(10)&amp;"[ ] N/A","")&amp;CHAR(10)&amp;"CA: Open / Closed"))</f>
        <v>[ ] Pass
[ ] Pass after CA
[ ] Fail
CA: Open / Closed</v>
      </c>
      <c r="E26" s="120" t="str">
        <f aca="false">IF(Checks!$V$622="","",Checks!$V$622)&amp;IF(Checks!$AC$622="","",IF(Checks!$V$622="","",CHAR(10))&amp;"N/A just.: "&amp;Checks!$AC$622)&amp;IF(OR(Checks!$W$622&lt;&gt;"",AND(Checks!$AQ$622=1,NOT(LEFT(Checks!$AH$622,10)="N/A – RULE"))),CHAR(10)&amp;"Batch: "&amp;IF(Checks!$W$622="","____________",Checks!$W$622),"")&amp;IF(OR(Checks!$X$622&lt;&gt;"",Checks!$Y$622&lt;&gt;"",AND(Checks!$AR$622=1,NOT(LEFT(Checks!$AH$622,10)="N/A – RULE"))),CHAR(10)&amp;"Exp: "&amp;IF(Checks!$X$622="","______",Checks!$X$622)&amp;"  /  Act: "&amp;IF(Checks!$Y$622="","______",Checks!$Y$622),"")</f>
        <v/>
      </c>
      <c r="F26" s="120" t="str">
        <f aca="false">IF(AND(LEFT(Checks!$AH$622,10)="N/A – RULE",TRIM(Checks!$S$622&amp;Checks!$Z$622)=""),"","Type: "&amp;IF(TRIM(Checks!$S$622)="","______________ (see cover list)",Checks!$S$622)&amp;CHAR(10)&amp;"ID: "&amp;IF(TRIM(Checks!$Z$622)="","______________ (record's own no.)",Checks!$Z$622))&amp;IF(Checks!$AA$622="","",CHAR(10)&amp;"CA: "&amp;Checks!$AA$622)</f>
        <v>Type: ______________ (see cover list)
ID: ______________ (record's own no.)</v>
      </c>
      <c r="G26" s="120" t="str">
        <f aca="false">IF(AND(LEFT(Checks!$AH$622,10)="N/A – RULE",NOT(ISNUMBER(Checks!$AD$622)),Checks!$AE$622="",Checks!$T$622=""),"","Done: "&amp;IF(ISNUMBER(Checks!$AD$622),TEXT(Checks!$AD$622,"DD-MMM-YY HH:MM"),"____________")&amp;" "&amp;Checks!$P$622&amp;CHAR(10)&amp;"Verifier: "&amp;IF(Checks!$AE$622="","____________",Checks!$AE$622)&amp;CHAR(10)&amp;"PIC: "&amp;IF(Checks!$T$622="","____________",Checks!$T$622))</f>
        <v>Done: ____________ KIX
Verifier: ____________
PIC: ____________</v>
      </c>
      <c r="H26" s="121" t="str">
        <f aca="false">IF(Checks!$AH$622="","",Checks!$AH$622)</f>
        <v>OPEN</v>
      </c>
    </row>
    <row r="27" customFormat="false" ht="114" hidden="false" customHeight="true" outlineLevel="0" collapsed="false">
      <c r="A27" s="120" t="str">
        <f aca="false">Checks!$A$623&amp;CHAR(10)&amp;IF(Checks!$I$623="","",Checks!$I$623&amp;": ")&amp;Checks!$J$623</f>
        <v>F19-T7-05
ISOP: All latest applicable ISOP revisions communicated to caterer</v>
      </c>
      <c r="B27" s="120" t="str">
        <f aca="false">Checks!$K$623&amp;IF(Checks!$O$623="","",IF(Checks!$K$623="","",CHAR(10))&amp;"Note: "&amp;Checks!$O$623)</f>
        <v>List revision numbers in Result (see ISOP register)</v>
      </c>
      <c r="C27" s="120" t="str">
        <f aca="false">Checks!$N$623&amp;CHAR(10)&amp;IF(ISNUMBER(Checks!$R$623),TEXT(Checks!$R$623,"DD-MMM-YY HH:MM"),"")&amp;" "&amp;Checks!$P$623</f>
        <v>Required
22-Oct-26 09:40 KIX</v>
      </c>
      <c r="D27" s="120" t="str">
        <f aca="false">IF(TRIM(Checks!$U$623)&lt;&gt;"",Checks!$U$623&amp;IF(Checks!$AB$623="","",CHAR(10)&amp;"CA: "&amp;Checks!$AB$623),IF(LEFT(Checks!$AH$623,10)="N/A – RULE","","[ ] Pass"&amp;CHAR(10)&amp;"[ ] Pass after CA"&amp;CHAR(10)&amp;"[ ] Fail"&amp;IF(Checks!$AT$623=1,CHAR(10)&amp;"[ ] N/A","")&amp;CHAR(10)&amp;"CA: Open / Closed"))</f>
        <v>[ ] Pass
[ ] Pass after CA
[ ] Fail
CA: Open / Closed</v>
      </c>
      <c r="E27" s="120" t="str">
        <f aca="false">IF(Checks!$V$623="","",Checks!$V$623)&amp;IF(Checks!$AC$623="","",IF(Checks!$V$623="","",CHAR(10))&amp;"N/A just.: "&amp;Checks!$AC$623)&amp;IF(OR(Checks!$W$623&lt;&gt;"",AND(Checks!$AQ$623=1,NOT(LEFT(Checks!$AH$623,10)="N/A – RULE"))),CHAR(10)&amp;"Batch: "&amp;IF(Checks!$W$623="","____________",Checks!$W$623),"")&amp;IF(OR(Checks!$X$623&lt;&gt;"",Checks!$Y$623&lt;&gt;"",AND(Checks!$AR$623=1,NOT(LEFT(Checks!$AH$623,10)="N/A – RULE"))),CHAR(10)&amp;"Exp: "&amp;IF(Checks!$X$623="","______",Checks!$X$623)&amp;"  /  Act: "&amp;IF(Checks!$Y$623="","______",Checks!$Y$623),"")</f>
        <v/>
      </c>
      <c r="F27" s="120" t="str">
        <f aca="false">IF(AND(LEFT(Checks!$AH$623,10)="N/A – RULE",TRIM(Checks!$S$623&amp;Checks!$Z$623)=""),"","Type: "&amp;IF(TRIM(Checks!$S$623)="","______________ (see cover list)",Checks!$S$623)&amp;CHAR(10)&amp;"ID: "&amp;IF(TRIM(Checks!$Z$623)="","______________ (record's own no.)",Checks!$Z$623))&amp;IF(Checks!$AA$623="","",CHAR(10)&amp;"CA: "&amp;Checks!$AA$623)</f>
        <v>Type: ______________ (see cover list)
ID: ______________ (record's own no.)</v>
      </c>
      <c r="G27" s="120" t="str">
        <f aca="false">IF(AND(LEFT(Checks!$AH$623,10)="N/A – RULE",NOT(ISNUMBER(Checks!$AD$623)),Checks!$AE$623="",Checks!$T$623=""),"","Done: "&amp;IF(ISNUMBER(Checks!$AD$623),TEXT(Checks!$AD$623,"DD-MMM-YY HH:MM"),"____________")&amp;" "&amp;Checks!$P$623&amp;CHAR(10)&amp;"Verifier: "&amp;IF(Checks!$AE$623="","____________",Checks!$AE$623)&amp;CHAR(10)&amp;"PIC: "&amp;IF(Checks!$T$623="","____________",Checks!$T$623))</f>
        <v>Done: ____________ KIX
Verifier: ____________
PIC: ____________</v>
      </c>
      <c r="H27" s="121" t="str">
        <f aca="false">IF(Checks!$AH$623="","",Checks!$AH$623)</f>
        <v>OPEN</v>
      </c>
    </row>
    <row r="28" customFormat="false" ht="114" hidden="false" customHeight="true" outlineLevel="0" collapsed="false">
      <c r="A28" s="120" t="str">
        <f aca="false">Checks!$A$624&amp;CHAR(10)&amp;IF(Checks!$I$624="","",Checks!$I$624&amp;": ")&amp;Checks!$J$624</f>
        <v>F19-T7-06
ISOP: Caterer acknowledgement of ISOP revisions recorded</v>
      </c>
      <c r="B28" s="120" t="str">
        <f aca="false">Checks!$K$624&amp;IF(Checks!$O$624="","",IF(Checks!$K$624="","",CHAR(10))&amp;"Note: "&amp;Checks!$O$624)</f>
        <v>Record acknowledgement ref in Evidence</v>
      </c>
      <c r="C28" s="120" t="str">
        <f aca="false">Checks!$N$624&amp;CHAR(10)&amp;IF(ISNUMBER(Checks!$R$624),TEXT(Checks!$R$624,"DD-MMM-YY HH:MM"),"")&amp;" "&amp;Checks!$P$624</f>
        <v>Required
22-Oct-26 09:40 KIX</v>
      </c>
      <c r="D28" s="120" t="str">
        <f aca="false">IF(TRIM(Checks!$U$624)&lt;&gt;"",Checks!$U$624&amp;IF(Checks!$AB$624="","",CHAR(10)&amp;"CA: "&amp;Checks!$AB$624),IF(LEFT(Checks!$AH$624,10)="N/A – RULE","","[ ] Pass"&amp;CHAR(10)&amp;"[ ] Pass after CA"&amp;CHAR(10)&amp;"[ ] Fail"&amp;IF(Checks!$AT$624=1,CHAR(10)&amp;"[ ] N/A","")&amp;CHAR(10)&amp;"CA: Open / Closed"))</f>
        <v>[ ] Pass
[ ] Pass after CA
[ ] Fail
CA: Open / Closed</v>
      </c>
      <c r="E28" s="120" t="str">
        <f aca="false">IF(Checks!$V$624="","",Checks!$V$624)&amp;IF(Checks!$AC$624="","",IF(Checks!$V$624="","",CHAR(10))&amp;"N/A just.: "&amp;Checks!$AC$624)&amp;IF(OR(Checks!$W$624&lt;&gt;"",AND(Checks!$AQ$624=1,NOT(LEFT(Checks!$AH$624,10)="N/A – RULE"))),CHAR(10)&amp;"Batch: "&amp;IF(Checks!$W$624="","____________",Checks!$W$624),"")&amp;IF(OR(Checks!$X$624&lt;&gt;"",Checks!$Y$624&lt;&gt;"",AND(Checks!$AR$624=1,NOT(LEFT(Checks!$AH$624,10)="N/A – RULE"))),CHAR(10)&amp;"Exp: "&amp;IF(Checks!$X$624="","______",Checks!$X$624)&amp;"  /  Act: "&amp;IF(Checks!$Y$624="","______",Checks!$Y$624),"")</f>
        <v/>
      </c>
      <c r="F28" s="120" t="str">
        <f aca="false">IF(AND(LEFT(Checks!$AH$624,10)="N/A – RULE",TRIM(Checks!$S$624&amp;Checks!$Z$624)=""),"","Type: "&amp;IF(TRIM(Checks!$S$624)="","______________ (see cover list)",Checks!$S$624)&amp;CHAR(10)&amp;"ID: "&amp;IF(TRIM(Checks!$Z$624)="","______________ (record's own no.)",Checks!$Z$624))&amp;IF(Checks!$AA$624="","",CHAR(10)&amp;"CA: "&amp;Checks!$AA$624)</f>
        <v>Type: ______________ (see cover list)
ID: ______________ (record's own no.)</v>
      </c>
      <c r="G28" s="120" t="str">
        <f aca="false">IF(AND(LEFT(Checks!$AH$624,10)="N/A – RULE",NOT(ISNUMBER(Checks!$AD$624)),Checks!$AE$624="",Checks!$T$624=""),"","Done: "&amp;IF(ISNUMBER(Checks!$AD$624),TEXT(Checks!$AD$624,"DD-MMM-YY HH:MM"),"____________")&amp;" "&amp;Checks!$P$624&amp;CHAR(10)&amp;"Verifier: "&amp;IF(Checks!$AE$624="","____________",Checks!$AE$624)&amp;CHAR(10)&amp;"PIC: "&amp;IF(Checks!$T$624="","____________",Checks!$T$624))</f>
        <v>Done: ____________ KIX
Verifier: ____________
PIC: ____________</v>
      </c>
      <c r="H28" s="121" t="str">
        <f aca="false">IF(Checks!$AH$624="","",Checks!$AH$624)</f>
        <v>OPEN</v>
      </c>
    </row>
    <row r="29" customFormat="false" ht="114" hidden="false" customHeight="true" outlineLevel="0" collapsed="false">
      <c r="A29" s="120" t="str">
        <f aca="false">Checks!$A$625&amp;CHAR(10)&amp;IF(Checks!$I$625="","",Checks!$I$625&amp;": ")&amp;Checks!$J$625</f>
        <v>F19-T7-07
Documents: Galley loading diagram (GLD) received, revision recorded &amp; attached</v>
      </c>
      <c r="B29" s="120" t="str">
        <f aca="false">SUBSTITUTE(Checks!$K$625&amp;IF(Checks!$O$625="","",IF(Checks!$K$625="","",CHAR(10))&amp;"Note: "&amp;Checks!$O$625),"Documents sheet row complete","Recorded on the Documents sheet; copy stapled as A1 / A2")</f>
        <v>Recorded on the Documents sheet; copy stapled as A1 / A2</v>
      </c>
      <c r="C29" s="120" t="str">
        <f aca="false">Checks!$N$625&amp;CHAR(10)&amp;IF(ISNUMBER(Checks!$R$625),TEXT(Checks!$R$625,"DD-MMM-YY HH:MM"),"")&amp;" "&amp;Checks!$P$625</f>
        <v>Required
22-Oct-26 09:40 KIX</v>
      </c>
      <c r="D29" s="120" t="str">
        <f aca="false">IF(TRIM(Checks!$U$625)&lt;&gt;"",Checks!$U$625&amp;IF(Checks!$AB$625="","",CHAR(10)&amp;"CA: "&amp;Checks!$AB$625),IF(LEFT(Checks!$AH$625,10)="N/A – RULE","","[ ] Pass"&amp;CHAR(10)&amp;"[ ] Pass after CA"&amp;CHAR(10)&amp;"[ ] Fail"&amp;IF(Checks!$AT$625=1,CHAR(10)&amp;"[ ] N/A","")&amp;CHAR(10)&amp;"CA: Open / Closed"))</f>
        <v>[ ] Pass
[ ] Pass after CA
[ ] Fail
CA: Open / Closed</v>
      </c>
      <c r="E29" s="120" t="str">
        <f aca="false">IF(Checks!$V$625="","",Checks!$V$625)&amp;IF(Checks!$AC$625="","",IF(Checks!$V$625="","",CHAR(10))&amp;"N/A just.: "&amp;Checks!$AC$625)&amp;IF(OR(Checks!$W$625&lt;&gt;"",AND(Checks!$AQ$625=1,NOT(LEFT(Checks!$AH$625,10)="N/A – RULE"))),CHAR(10)&amp;"Batch: "&amp;IF(Checks!$W$625="","____________",Checks!$W$625),"")&amp;IF(OR(Checks!$X$625&lt;&gt;"",Checks!$Y$625&lt;&gt;"",AND(Checks!$AR$625=1,NOT(LEFT(Checks!$AH$625,10)="N/A – RULE"))),CHAR(10)&amp;"Exp: "&amp;IF(Checks!$X$625="","______",Checks!$X$625)&amp;"  /  Act: "&amp;IF(Checks!$Y$625="","______",Checks!$Y$625),"")</f>
        <v/>
      </c>
      <c r="F29" s="120" t="str">
        <f aca="false">IF(AND(LEFT(Checks!$AH$625,10)="N/A – RULE",TRIM(Checks!$S$625&amp;Checks!$Z$625)=""),"","Type: "&amp;IF(TRIM(Checks!$S$625)="","______________ (see cover list)",Checks!$S$625)&amp;CHAR(10)&amp;"ID: "&amp;IF(TRIM(Checks!$Z$625)="","______________ (record's own no.)",Checks!$Z$625))&amp;IF(Checks!$AA$625="","",CHAR(10)&amp;"CA: "&amp;Checks!$AA$625)</f>
        <v>Type: ______________ (see cover list)
ID: ______________ (record's own no.)</v>
      </c>
      <c r="G29" s="120" t="str">
        <f aca="false">IF(AND(LEFT(Checks!$AH$625,10)="N/A – RULE",NOT(ISNUMBER(Checks!$AD$625)),Checks!$AE$625="",Checks!$T$625=""),"","Done: "&amp;IF(ISNUMBER(Checks!$AD$625),TEXT(Checks!$AD$625,"DD-MMM-YY HH:MM"),"____________")&amp;" "&amp;Checks!$P$625&amp;CHAR(10)&amp;"Verifier: "&amp;IF(Checks!$AE$625="","____________",Checks!$AE$625)&amp;CHAR(10)&amp;"PIC: "&amp;IF(Checks!$T$625="","____________",Checks!$T$625))</f>
        <v>Done: ____________ KIX
Verifier: ____________
PIC: ____________</v>
      </c>
      <c r="H29" s="121" t="str">
        <f aca="false">IF(Checks!$AH$625="","",Checks!$AH$625)</f>
        <v>OPEN</v>
      </c>
    </row>
    <row r="30" customFormat="false" ht="114" hidden="false" customHeight="true" outlineLevel="0" collapsed="false">
      <c r="A30" s="120" t="str">
        <f aca="false">Checks!$A$626&amp;CHAR(10)&amp;IF(Checks!$I$626="","",Checks!$I$626&amp;": ")&amp;Checks!$J$626</f>
        <v>F19-T7-08
Documents: Menu checklist received, revision recorded &amp; attached</v>
      </c>
      <c r="B30" s="120" t="str">
        <f aca="false">SUBSTITUTE(Checks!$K$626&amp;IF(Checks!$O$626="","",IF(Checks!$K$626="","",CHAR(10))&amp;"Note: "&amp;Checks!$O$626),"Documents sheet row complete","Recorded on the Documents sheet; copy stapled as A1 / A2")</f>
        <v>Recorded on the Documents sheet; copy stapled as A1 / A2</v>
      </c>
      <c r="C30" s="120" t="str">
        <f aca="false">Checks!$N$626&amp;CHAR(10)&amp;IF(ISNUMBER(Checks!$R$626),TEXT(Checks!$R$626,"DD-MMM-YY HH:MM"),"")&amp;" "&amp;Checks!$P$626</f>
        <v>Required
22-Oct-26 09:40 KIX</v>
      </c>
      <c r="D30" s="120" t="str">
        <f aca="false">IF(TRIM(Checks!$U$626)&lt;&gt;"",Checks!$U$626&amp;IF(Checks!$AB$626="","",CHAR(10)&amp;"CA: "&amp;Checks!$AB$626),IF(LEFT(Checks!$AH$626,10)="N/A – RULE","","[ ] Pass"&amp;CHAR(10)&amp;"[ ] Pass after CA"&amp;CHAR(10)&amp;"[ ] Fail"&amp;IF(Checks!$AT$626=1,CHAR(10)&amp;"[ ] N/A","")&amp;CHAR(10)&amp;"CA: Open / Closed"))</f>
        <v>[ ] Pass
[ ] Pass after CA
[ ] Fail
CA: Open / Closed</v>
      </c>
      <c r="E30" s="120" t="str">
        <f aca="false">IF(Checks!$V$626="","",Checks!$V$626)&amp;IF(Checks!$AC$626="","",IF(Checks!$V$626="","",CHAR(10))&amp;"N/A just.: "&amp;Checks!$AC$626)&amp;IF(OR(Checks!$W$626&lt;&gt;"",AND(Checks!$AQ$626=1,NOT(LEFT(Checks!$AH$626,10)="N/A – RULE"))),CHAR(10)&amp;"Batch: "&amp;IF(Checks!$W$626="","____________",Checks!$W$626),"")&amp;IF(OR(Checks!$X$626&lt;&gt;"",Checks!$Y$626&lt;&gt;"",AND(Checks!$AR$626=1,NOT(LEFT(Checks!$AH$626,10)="N/A – RULE"))),CHAR(10)&amp;"Exp: "&amp;IF(Checks!$X$626="","______",Checks!$X$626)&amp;"  /  Act: "&amp;IF(Checks!$Y$626="","______",Checks!$Y$626),"")</f>
        <v/>
      </c>
      <c r="F30" s="120" t="str">
        <f aca="false">IF(AND(LEFT(Checks!$AH$626,10)="N/A – RULE",TRIM(Checks!$S$626&amp;Checks!$Z$626)=""),"","Type: "&amp;IF(TRIM(Checks!$S$626)="","______________ (see cover list)",Checks!$S$626)&amp;CHAR(10)&amp;"ID: "&amp;IF(TRIM(Checks!$Z$626)="","______________ (record's own no.)",Checks!$Z$626))&amp;IF(Checks!$AA$626="","",CHAR(10)&amp;"CA: "&amp;Checks!$AA$626)</f>
        <v>Type: ______________ (see cover list)
ID: ______________ (record's own no.)</v>
      </c>
      <c r="G30" s="120" t="str">
        <f aca="false">IF(AND(LEFT(Checks!$AH$626,10)="N/A – RULE",NOT(ISNUMBER(Checks!$AD$626)),Checks!$AE$626="",Checks!$T$626=""),"","Done: "&amp;IF(ISNUMBER(Checks!$AD$626),TEXT(Checks!$AD$626,"DD-MMM-YY HH:MM"),"____________")&amp;" "&amp;Checks!$P$626&amp;CHAR(10)&amp;"Verifier: "&amp;IF(Checks!$AE$626="","____________",Checks!$AE$626)&amp;CHAR(10)&amp;"PIC: "&amp;IF(Checks!$T$626="","____________",Checks!$T$626))</f>
        <v>Done: ____________ KIX
Verifier: ____________
PIC: ____________</v>
      </c>
      <c r="H30" s="121" t="str">
        <f aca="false">IF(Checks!$AH$626="","",Checks!$AH$626)</f>
        <v>OPEN</v>
      </c>
    </row>
    <row r="31" customFormat="false" ht="114" hidden="false" customHeight="true" outlineLevel="0" collapsed="false">
      <c r="A31" s="120" t="str">
        <f aca="false">Checks!$A$627&amp;CHAR(10)&amp;IF(Checks!$I$627="","",Checks!$I$627&amp;": ")&amp;Checks!$J$627</f>
        <v>F19-T7-09
Uplift plan: Uplift plan confirmed with caterer vs STD Uplift Information</v>
      </c>
      <c r="B31" s="120" t="str">
        <f aca="false">Checks!$K$627&amp;IF(Checks!$O$627="","",IF(Checks!$K$627="","",CHAR(10))&amp;"Note: "&amp;Checks!$O$627)</f>
        <v>Service: 1.5 Meal (Meal); meal uplift stn KIX (ref lists KUL/KIX)</v>
      </c>
      <c r="C31" s="120" t="str">
        <f aca="false">Checks!$N$627&amp;CHAR(10)&amp;IF(ISNUMBER(Checks!$R$627),TEXT(Checks!$R$627,"DD-MMM-YY HH:MM"),"")&amp;" "&amp;Checks!$P$627</f>
        <v>Required
22-Oct-26 09:40 KIX</v>
      </c>
      <c r="D31" s="120" t="str">
        <f aca="false">IF(TRIM(Checks!$U$627)&lt;&gt;"",Checks!$U$627&amp;IF(Checks!$AB$627="","",CHAR(10)&amp;"CA: "&amp;Checks!$AB$627),IF(LEFT(Checks!$AH$627,10)="N/A – RULE","","[ ] Pass"&amp;CHAR(10)&amp;"[ ] Pass after CA"&amp;CHAR(10)&amp;"[ ] Fail"&amp;IF(Checks!$AT$627=1,CHAR(10)&amp;"[ ] N/A","")&amp;CHAR(10)&amp;"CA: Open / Closed"))</f>
        <v>[ ] Pass
[ ] Pass after CA
[ ] Fail
CA: Open / Closed</v>
      </c>
      <c r="E31" s="120" t="str">
        <f aca="false">IF(Checks!$V$627="","",Checks!$V$627)&amp;IF(Checks!$AC$627="","",IF(Checks!$V$627="","",CHAR(10))&amp;"N/A just.: "&amp;Checks!$AC$627)&amp;IF(OR(Checks!$W$627&lt;&gt;"",AND(Checks!$AQ$627=1,NOT(LEFT(Checks!$AH$627,10)="N/A – RULE"))),CHAR(10)&amp;"Batch: "&amp;IF(Checks!$W$627="","____________",Checks!$W$627),"")&amp;IF(OR(Checks!$X$627&lt;&gt;"",Checks!$Y$627&lt;&gt;"",AND(Checks!$AR$627=1,NOT(LEFT(Checks!$AH$627,10)="N/A – RULE"))),CHAR(10)&amp;"Exp: "&amp;IF(Checks!$X$627="","______",Checks!$X$627)&amp;"  /  Act: "&amp;IF(Checks!$Y$627="","______",Checks!$Y$627),"")</f>
        <v/>
      </c>
      <c r="F31" s="120" t="str">
        <f aca="false">IF(AND(LEFT(Checks!$AH$627,10)="N/A – RULE",TRIM(Checks!$S$627&amp;Checks!$Z$627)=""),"","Type: "&amp;IF(TRIM(Checks!$S$627)="","______________ (see cover list)",Checks!$S$627)&amp;CHAR(10)&amp;"ID: "&amp;IF(TRIM(Checks!$Z$627)="","______________ (record's own no.)",Checks!$Z$627))&amp;IF(Checks!$AA$627="","",CHAR(10)&amp;"CA: "&amp;Checks!$AA$627)</f>
        <v>Type: ______________ (see cover list)
ID: ______________ (record's own no.)</v>
      </c>
      <c r="G31" s="120" t="str">
        <f aca="false">IF(AND(LEFT(Checks!$AH$627,10)="N/A – RULE",NOT(ISNUMBER(Checks!$AD$627)),Checks!$AE$627="",Checks!$T$627=""),"","Done: "&amp;IF(ISNUMBER(Checks!$AD$627),TEXT(Checks!$AD$627,"DD-MMM-YY HH:MM"),"____________")&amp;" "&amp;Checks!$P$627&amp;CHAR(10)&amp;"Verifier: "&amp;IF(Checks!$AE$627="","____________",Checks!$AE$627)&amp;CHAR(10)&amp;"PIC: "&amp;IF(Checks!$T$627="","____________",Checks!$T$627))</f>
        <v>Done: ____________ KIX
Verifier: ____________
PIC: ____________</v>
      </c>
      <c r="H31" s="121" t="str">
        <f aca="false">IF(Checks!$AH$627="","",Checks!$AH$627)</f>
        <v>OPEN</v>
      </c>
    </row>
    <row r="32" customFormat="false" ht="25.5" hidden="false" customHeight="true" outlineLevel="0" collapsed="false">
      <c r="A32" s="119" t="str">
        <f aca="false">"T-24H — Production batch sensory  |  Due "&amp;IF(ISNUMBER(Flights!$AH$23),TEXT(Flights!$AH$23,"DD-MMM-YY HH:MM"),"")&amp;" "&amp;Flights!$V$23&amp;" (meal uplift stn)"&amp;" (rows with another due show their own)  |  Complete "&amp;IF(ISNUMBER(Flights!$AK$23),TEXT(Flights!$AK$23,"0%"),Flights!$AK$23)&amp;"  |  1 lines"</f>
        <v>T-24H — Production batch sensory  |  Due 28-Oct-26 09:40 KIX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Checks!$A$628&amp;CHAR(10)&amp;IF(Checks!$I$628="","",Checks!$I$628&amp;": ")&amp;Checks!$J$628</f>
        <v>F19-T24-01
Meal: Sensory test repeated on ACTUAL production batch for this flight</v>
      </c>
      <c r="B33" s="120" t="str">
        <f aca="false">Checks!$K$628&amp;IF(Checks!$O$628="","",IF(Checks!$K$628="","",CHAR(10))&amp;"Note: "&amp;Checks!$O$628)</f>
        <v>Batch ID, result, CA and acceptance mandatory</v>
      </c>
      <c r="C33" s="120" t="str">
        <f aca="false">Checks!$N$628&amp;CHAR(10)&amp;IF(ISNUMBER(Checks!$R$628),TEXT(Checks!$R$628,"DD-MMM-YY HH:MM"),"")&amp;" "&amp;Checks!$P$628</f>
        <v>Required
28-Oct-26 09:40 KIX</v>
      </c>
      <c r="D33" s="120" t="str">
        <f aca="false">IF(TRIM(Checks!$U$628)&lt;&gt;"",Checks!$U$628&amp;IF(Checks!$AB$628="","",CHAR(10)&amp;"CA: "&amp;Checks!$AB$628),IF(LEFT(Checks!$AH$628,10)="N/A – RULE","","[ ] Pass"&amp;CHAR(10)&amp;"[ ] Pass after CA"&amp;CHAR(10)&amp;"[ ] Fail"&amp;IF(Checks!$AT$628=1,CHAR(10)&amp;"[ ] N/A","")&amp;CHAR(10)&amp;"CA: Open / Closed"))</f>
        <v>[ ] Pass
[ ] Pass after CA
[ ] Fail
CA: Open / Closed</v>
      </c>
      <c r="E33" s="120" t="str">
        <f aca="false">IF(Checks!$V$628="","",Checks!$V$628)&amp;IF(Checks!$AC$628="","",IF(Checks!$V$628="","",CHAR(10))&amp;"N/A just.: "&amp;Checks!$AC$628)&amp;IF(OR(Checks!$W$628&lt;&gt;"",AND(Checks!$AQ$628=1,NOT(LEFT(Checks!$AH$628,10)="N/A – RULE"))),CHAR(10)&amp;"Batch: "&amp;IF(Checks!$W$628="","____________",Checks!$W$628),"")&amp;IF(OR(Checks!$X$628&lt;&gt;"",Checks!$Y$628&lt;&gt;"",AND(Checks!$AR$628=1,NOT(LEFT(Checks!$AH$628,10)="N/A – RULE"))),CHAR(10)&amp;"Exp: "&amp;IF(Checks!$X$628="","______",Checks!$X$628)&amp;"  /  Act: "&amp;IF(Checks!$Y$628="","______",Checks!$Y$628),"")</f>
        <v>
Batch: ____________</v>
      </c>
      <c r="F33" s="120" t="str">
        <f aca="false">IF(AND(LEFT(Checks!$AH$628,10)="N/A – RULE",TRIM(Checks!$S$628&amp;Checks!$Z$628)=""),"","Type: "&amp;IF(TRIM(Checks!$S$628)="","______________ (see cover list)",Checks!$S$628)&amp;CHAR(10)&amp;"ID: "&amp;IF(TRIM(Checks!$Z$628)="","______________ (record's own no.)",Checks!$Z$628))&amp;IF(Checks!$AA$628="","",CHAR(10)&amp;"CA: "&amp;Checks!$AA$628)</f>
        <v>Type: ______________ (see cover list)
ID: ______________ (record's own no.)</v>
      </c>
      <c r="G33" s="120" t="str">
        <f aca="false">IF(AND(LEFT(Checks!$AH$628,10)="N/A – RULE",NOT(ISNUMBER(Checks!$AD$628)),Checks!$AE$628="",Checks!$T$628=""),"","Done: "&amp;IF(ISNUMBER(Checks!$AD$628),TEXT(Checks!$AD$628,"DD-MMM-YY HH:MM"),"____________")&amp;" "&amp;Checks!$P$628&amp;CHAR(10)&amp;"Verifier: "&amp;IF(Checks!$AE$628="","____________",Checks!$AE$628)&amp;CHAR(10)&amp;"PIC: "&amp;IF(Checks!$T$628="","____________",Checks!$T$628))</f>
        <v>Done: ____________ KIX
Verifier: ____________
PIC: ____________</v>
      </c>
      <c r="H33" s="121" t="str">
        <f aca="false">IF(Checks!$AH$628="","",Checks!$AH$628)</f>
        <v>OPEN</v>
      </c>
    </row>
    <row r="34" customFormat="false" ht="25.5" hidden="false" customHeight="true" outlineLevel="0" collapsed="false">
      <c r="A34" s="119" t="str">
        <f aca="false">"T-12H PREP — Preparation check at caterer (does NOT confirm loading)  |  Due "&amp;IF(ISNUMBER(Flights!$AI$23),TEXT(Flights!$AI$23,"DD-MMM-YY HH:MM"),"")&amp;" "&amp;Flights!$V$23&amp;" (meal uplift stn)"&amp;" (rows with another due show their own)  |  Complete "&amp;IF(ISNUMBER(Flights!$AL$23),TEXT(Flights!$AL$23,"0%"),Flights!$AL$23)&amp;"  |  10 lines"</f>
        <v>T-12H PREP — Preparation check at caterer (does NOT confirm loading)  |  Due 28-Oct-26 21:40 KIX (meal uplift stn) (rows with another due show their own)  |  Complete 0%  |  10 lines</v>
      </c>
      <c r="B34" s="119"/>
      <c r="C34" s="119"/>
      <c r="D34" s="119"/>
      <c r="E34" s="119"/>
      <c r="F34" s="119"/>
      <c r="G34" s="119"/>
      <c r="H34" s="119"/>
    </row>
    <row r="35" customFormat="false" ht="114" hidden="false" customHeight="true" outlineLevel="0" collapsed="false">
      <c r="A35" s="120" t="str">
        <f aca="false">Checks!$A$629&amp;CHAR(10)&amp;IF(Checks!$I$629="","",Checks!$I$629&amp;": ")&amp;Checks!$J$629</f>
        <v>F19-T12-01
Meal: Meal quality vs menu checklist</v>
      </c>
      <c r="B35" s="120" t="str">
        <f aca="false">Checks!$K$629&amp;IF(Checks!$O$629="","",IF(Checks!$K$629="","",CHAR(10))&amp;"Note: "&amp;Checks!$O$629)</f>
        <v>Note: Preparation check at caterer - does NOT confirm loading.</v>
      </c>
      <c r="C35" s="120" t="str">
        <f aca="false">Checks!$N$629&amp;CHAR(10)&amp;IF(ISNUMBER(Checks!$R$629),TEXT(Checks!$R$629,"DD-MMM-YY HH:MM"),"")&amp;" "&amp;Checks!$P$629</f>
        <v>Required
28-Oct-26 21:40 KIX</v>
      </c>
      <c r="D35" s="120" t="str">
        <f aca="false">IF(TRIM(Checks!$U$629)&lt;&gt;"",Checks!$U$629&amp;IF(Checks!$AB$629="","",CHAR(10)&amp;"CA: "&amp;Checks!$AB$629),IF(LEFT(Checks!$AH$629,10)="N/A – RULE","","[ ] Pass"&amp;CHAR(10)&amp;"[ ] Pass after CA"&amp;CHAR(10)&amp;"[ ] Fail"&amp;IF(Checks!$AT$629=1,CHAR(10)&amp;"[ ] N/A","")&amp;CHAR(10)&amp;"CA: Open / Closed"))</f>
        <v>[ ] Pass
[ ] Pass after CA
[ ] Fail
CA: Open / Closed</v>
      </c>
      <c r="E35" s="120" t="str">
        <f aca="false">IF(Checks!$V$629="","",Checks!$V$629)&amp;IF(Checks!$AC$629="","",IF(Checks!$V$629="","",CHAR(10))&amp;"N/A just.: "&amp;Checks!$AC$629)&amp;IF(OR(Checks!$W$629&lt;&gt;"",AND(Checks!$AQ$629=1,NOT(LEFT(Checks!$AH$629,10)="N/A – RULE"))),CHAR(10)&amp;"Batch: "&amp;IF(Checks!$W$629="","____________",Checks!$W$629),"")&amp;IF(OR(Checks!$X$629&lt;&gt;"",Checks!$Y$629&lt;&gt;"",AND(Checks!$AR$629=1,NOT(LEFT(Checks!$AH$629,10)="N/A – RULE"))),CHAR(10)&amp;"Exp: "&amp;IF(Checks!$X$629="","______",Checks!$X$629)&amp;"  /  Act: "&amp;IF(Checks!$Y$629="","______",Checks!$Y$629),"")</f>
        <v/>
      </c>
      <c r="F35" s="120" t="str">
        <f aca="false">IF(AND(LEFT(Checks!$AH$629,10)="N/A – RULE",TRIM(Checks!$S$629&amp;Checks!$Z$629)=""),"","Type: "&amp;IF(TRIM(Checks!$S$629)="","______________ (see cover list)",Checks!$S$629)&amp;CHAR(10)&amp;"ID: "&amp;IF(TRIM(Checks!$Z$629)="","______________ (record's own no.)",Checks!$Z$629))&amp;IF(Checks!$AA$629="","",CHAR(10)&amp;"CA: "&amp;Checks!$AA$629)</f>
        <v>Type: ______________ (see cover list)
ID: ______________ (record's own no.)</v>
      </c>
      <c r="G35" s="120" t="str">
        <f aca="false">IF(AND(LEFT(Checks!$AH$629,10)="N/A – RULE",NOT(ISNUMBER(Checks!$AD$629)),Checks!$AE$629="",Checks!$T$629=""),"","Done: "&amp;IF(ISNUMBER(Checks!$AD$629),TEXT(Checks!$AD$629,"DD-MMM-YY HH:MM"),"____________")&amp;" "&amp;Checks!$P$629&amp;CHAR(10)&amp;"Verifier: "&amp;IF(Checks!$AE$629="","____________",Checks!$AE$629)&amp;CHAR(10)&amp;"PIC: "&amp;IF(Checks!$T$629="","____________",Checks!$T$629))</f>
        <v>Done: ____________ KIX
Verifier: ____________
PIC: ____________</v>
      </c>
      <c r="H35" s="121" t="str">
        <f aca="false">IF(Checks!$AH$629="","",Checks!$AH$629)</f>
        <v>OPEN</v>
      </c>
    </row>
    <row r="36" customFormat="false" ht="114" hidden="false" customHeight="true" outlineLevel="0" collapsed="false">
      <c r="A36" s="120" t="str">
        <f aca="false">Checks!$A$630&amp;CHAR(10)&amp;IF(Checks!$I$630="","",Checks!$I$630&amp;": ")&amp;Checks!$J$630</f>
        <v>F19-T12-02
Meal: Meal quantities vs menu checklist</v>
      </c>
      <c r="B36" s="120" t="str">
        <f aca="false">Checks!$K$630&amp;IF(Checks!$O$630="","",IF(Checks!$K$630="","",CHAR(10))&amp;"Note: "&amp;Checks!$O$630)</f>
        <v>Enter expected &amp; actual
Note: Preparation check at caterer - does NOT confirm loading.</v>
      </c>
      <c r="C36" s="120" t="str">
        <f aca="false">Checks!$N$630&amp;CHAR(10)&amp;IF(ISNUMBER(Checks!$R$630),TEXT(Checks!$R$630,"DD-MMM-YY HH:MM"),"")&amp;" "&amp;Checks!$P$630</f>
        <v>Required
28-Oct-26 21:40 KIX</v>
      </c>
      <c r="D36" s="120" t="str">
        <f aca="false">IF(TRIM(Checks!$U$630)&lt;&gt;"",Checks!$U$630&amp;IF(Checks!$AB$630="","",CHAR(10)&amp;"CA: "&amp;Checks!$AB$630),IF(LEFT(Checks!$AH$630,10)="N/A – RULE","","[ ] Pass"&amp;CHAR(10)&amp;"[ ] Pass after CA"&amp;CHAR(10)&amp;"[ ] Fail"&amp;IF(Checks!$AT$630=1,CHAR(10)&amp;"[ ] N/A","")&amp;CHAR(10)&amp;"CA: Open / Closed"))</f>
        <v>[ ] Pass
[ ] Pass after CA
[ ] Fail
CA: Open / Closed</v>
      </c>
      <c r="E36" s="120" t="str">
        <f aca="false">IF(Checks!$V$630="","",Checks!$V$630)&amp;IF(Checks!$AC$630="","",IF(Checks!$V$630="","",CHAR(10))&amp;"N/A just.: "&amp;Checks!$AC$630)&amp;IF(OR(Checks!$W$630&lt;&gt;"",AND(Checks!$AQ$630=1,NOT(LEFT(Checks!$AH$630,10)="N/A – RULE"))),CHAR(10)&amp;"Batch: "&amp;IF(Checks!$W$630="","____________",Checks!$W$630),"")&amp;IF(OR(Checks!$X$630&lt;&gt;"",Checks!$Y$630&lt;&gt;"",AND(Checks!$AR$630=1,NOT(LEFT(Checks!$AH$630,10)="N/A – RULE"))),CHAR(10)&amp;"Exp: "&amp;IF(Checks!$X$630="","______",Checks!$X$630)&amp;"  /  Act: "&amp;IF(Checks!$Y$630="","______",Checks!$Y$630),"")</f>
        <v>
Exp: ______  /  Act: ______</v>
      </c>
      <c r="F36" s="120" t="str">
        <f aca="false">IF(AND(LEFT(Checks!$AH$630,10)="N/A – RULE",TRIM(Checks!$S$630&amp;Checks!$Z$630)=""),"","Type: "&amp;IF(TRIM(Checks!$S$630)="","______________ (see cover list)",Checks!$S$630)&amp;CHAR(10)&amp;"ID: "&amp;IF(TRIM(Checks!$Z$630)="","______________ (record's own no.)",Checks!$Z$630))&amp;IF(Checks!$AA$630="","",CHAR(10)&amp;"CA: "&amp;Checks!$AA$630)</f>
        <v>Type: ______________ (see cover list)
ID: ______________ (record's own no.)</v>
      </c>
      <c r="G36" s="120" t="str">
        <f aca="false">IF(AND(LEFT(Checks!$AH$630,10)="N/A – RULE",NOT(ISNUMBER(Checks!$AD$630)),Checks!$AE$630="",Checks!$T$630=""),"","Done: "&amp;IF(ISNUMBER(Checks!$AD$630),TEXT(Checks!$AD$630,"DD-MMM-YY HH:MM"),"____________")&amp;" "&amp;Checks!$P$630&amp;CHAR(10)&amp;"Verifier: "&amp;IF(Checks!$AE$630="","____________",Checks!$AE$630)&amp;CHAR(10)&amp;"PIC: "&amp;IF(Checks!$T$630="","____________",Checks!$T$630))</f>
        <v>Done: ____________ KIX
Verifier: ____________
PIC: ____________</v>
      </c>
      <c r="H36" s="121" t="str">
        <f aca="false">IF(Checks!$AH$630="","",Checks!$AH$630)</f>
        <v>OPEN</v>
      </c>
    </row>
    <row r="37" customFormat="false" ht="114" hidden="false" customHeight="true" outlineLevel="0" collapsed="false">
      <c r="A37" s="120" t="str">
        <f aca="false">Checks!$A$631&amp;CHAR(10)&amp;IF(Checks!$I$631="","",Checks!$I$631&amp;": ")&amp;Checks!$J$631</f>
        <v>F19-T12-03
Equipment: Equipment cleanliness vs GLD</v>
      </c>
      <c r="B37" s="120" t="str">
        <f aca="false">Checks!$K$631&amp;IF(Checks!$O$631="","",IF(Checks!$K$631="","",CHAR(10))&amp;"Note: "&amp;Checks!$O$631)</f>
        <v>Note: Preparation check at caterer - does NOT confirm loading.</v>
      </c>
      <c r="C37" s="120" t="str">
        <f aca="false">Checks!$N$631&amp;CHAR(10)&amp;IF(ISNUMBER(Checks!$R$631),TEXT(Checks!$R$631,"DD-MMM-YY HH:MM"),"")&amp;" "&amp;Checks!$P$631</f>
        <v>Required
28-Oct-26 21:40 KIX</v>
      </c>
      <c r="D37" s="120" t="str">
        <f aca="false">IF(TRIM(Checks!$U$631)&lt;&gt;"",Checks!$U$631&amp;IF(Checks!$AB$631="","",CHAR(10)&amp;"CA: "&amp;Checks!$AB$631),IF(LEFT(Checks!$AH$631,10)="N/A – RULE","","[ ] Pass"&amp;CHAR(10)&amp;"[ ] Pass after CA"&amp;CHAR(10)&amp;"[ ] Fail"&amp;IF(Checks!$AT$631=1,CHAR(10)&amp;"[ ] N/A","")&amp;CHAR(10)&amp;"CA: Open / Closed"))</f>
        <v>[ ] Pass
[ ] Pass after CA
[ ] Fail
CA: Open / Closed</v>
      </c>
      <c r="E37" s="120" t="str">
        <f aca="false">IF(Checks!$V$631="","",Checks!$V$631)&amp;IF(Checks!$AC$631="","",IF(Checks!$V$631="","",CHAR(10))&amp;"N/A just.: "&amp;Checks!$AC$631)&amp;IF(OR(Checks!$W$631&lt;&gt;"",AND(Checks!$AQ$631=1,NOT(LEFT(Checks!$AH$631,10)="N/A – RULE"))),CHAR(10)&amp;"Batch: "&amp;IF(Checks!$W$631="","____________",Checks!$W$631),"")&amp;IF(OR(Checks!$X$631&lt;&gt;"",Checks!$Y$631&lt;&gt;"",AND(Checks!$AR$631=1,NOT(LEFT(Checks!$AH$631,10)="N/A – RULE"))),CHAR(10)&amp;"Exp: "&amp;IF(Checks!$X$631="","______",Checks!$X$631)&amp;"  /  Act: "&amp;IF(Checks!$Y$631="","______",Checks!$Y$631),"")</f>
        <v/>
      </c>
      <c r="F37" s="120" t="str">
        <f aca="false">IF(AND(LEFT(Checks!$AH$631,10)="N/A – RULE",TRIM(Checks!$S$631&amp;Checks!$Z$631)=""),"","Type: "&amp;IF(TRIM(Checks!$S$631)="","______________ (see cover list)",Checks!$S$631)&amp;CHAR(10)&amp;"ID: "&amp;IF(TRIM(Checks!$Z$631)="","______________ (record's own no.)",Checks!$Z$631))&amp;IF(Checks!$AA$631="","",CHAR(10)&amp;"CA: "&amp;Checks!$AA$631)</f>
        <v>Type: ______________ (see cover list)
ID: ______________ (record's own no.)</v>
      </c>
      <c r="G37" s="120" t="str">
        <f aca="false">IF(AND(LEFT(Checks!$AH$631,10)="N/A – RULE",NOT(ISNUMBER(Checks!$AD$631)),Checks!$AE$631="",Checks!$T$631=""),"","Done: "&amp;IF(ISNUMBER(Checks!$AD$631),TEXT(Checks!$AD$631,"DD-MMM-YY HH:MM"),"____________")&amp;" "&amp;Checks!$P$631&amp;CHAR(10)&amp;"Verifier: "&amp;IF(Checks!$AE$631="","____________",Checks!$AE$631)&amp;CHAR(10)&amp;"PIC: "&amp;IF(Checks!$T$631="","____________",Checks!$T$631))</f>
        <v>Done: ____________ KIX
Verifier: ____________
PIC: ____________</v>
      </c>
      <c r="H37" s="121" t="str">
        <f aca="false">IF(Checks!$AH$631="","",Checks!$AH$631)</f>
        <v>OPEN</v>
      </c>
    </row>
    <row r="38" customFormat="false" ht="114" hidden="false" customHeight="true" outlineLevel="0" collapsed="false">
      <c r="A38" s="120" t="str">
        <f aca="false">Checks!$A$632&amp;CHAR(10)&amp;IF(Checks!$I$632="","",Checks!$I$632&amp;": ")&amp;Checks!$J$632</f>
        <v>F19-T12-04
Equipment: Equipment presentation vs GLD</v>
      </c>
      <c r="B38" s="120" t="str">
        <f aca="false">Checks!$K$632&amp;IF(Checks!$O$632="","",IF(Checks!$K$632="","",CHAR(10))&amp;"Note: "&amp;Checks!$O$632)</f>
        <v>Note: Preparation check at caterer - does NOT confirm loading.</v>
      </c>
      <c r="C38" s="120" t="str">
        <f aca="false">Checks!$N$632&amp;CHAR(10)&amp;IF(ISNUMBER(Checks!$R$632),TEXT(Checks!$R$632,"DD-MMM-YY HH:MM"),"")&amp;" "&amp;Checks!$P$632</f>
        <v>Required
28-Oct-26 21:40 KIX</v>
      </c>
      <c r="D38" s="120" t="str">
        <f aca="false">IF(TRIM(Checks!$U$632)&lt;&gt;"",Checks!$U$632&amp;IF(Checks!$AB$632="","",CHAR(10)&amp;"CA: "&amp;Checks!$AB$632),IF(LEFT(Checks!$AH$632,10)="N/A – RULE","","[ ] Pass"&amp;CHAR(10)&amp;"[ ] Pass after CA"&amp;CHAR(10)&amp;"[ ] Fail"&amp;IF(Checks!$AT$632=1,CHAR(10)&amp;"[ ] N/A","")&amp;CHAR(10)&amp;"CA: Open / Closed"))</f>
        <v>[ ] Pass
[ ] Pass after CA
[ ] Fail
CA: Open / Closed</v>
      </c>
      <c r="E38" s="120" t="str">
        <f aca="false">IF(Checks!$V$632="","",Checks!$V$632)&amp;IF(Checks!$AC$632="","",IF(Checks!$V$632="","",CHAR(10))&amp;"N/A just.: "&amp;Checks!$AC$632)&amp;IF(OR(Checks!$W$632&lt;&gt;"",AND(Checks!$AQ$632=1,NOT(LEFT(Checks!$AH$632,10)="N/A – RULE"))),CHAR(10)&amp;"Batch: "&amp;IF(Checks!$W$632="","____________",Checks!$W$632),"")&amp;IF(OR(Checks!$X$632&lt;&gt;"",Checks!$Y$632&lt;&gt;"",AND(Checks!$AR$632=1,NOT(LEFT(Checks!$AH$632,10)="N/A – RULE"))),CHAR(10)&amp;"Exp: "&amp;IF(Checks!$X$632="","______",Checks!$X$632)&amp;"  /  Act: "&amp;IF(Checks!$Y$632="","______",Checks!$Y$632),"")</f>
        <v/>
      </c>
      <c r="F38" s="120" t="str">
        <f aca="false">IF(AND(LEFT(Checks!$AH$632,10)="N/A – RULE",TRIM(Checks!$S$632&amp;Checks!$Z$632)=""),"","Type: "&amp;IF(TRIM(Checks!$S$632)="","______________ (see cover list)",Checks!$S$632)&amp;CHAR(10)&amp;"ID: "&amp;IF(TRIM(Checks!$Z$632)="","______________ (record's own no.)",Checks!$Z$632))&amp;IF(Checks!$AA$632="","",CHAR(10)&amp;"CA: "&amp;Checks!$AA$632)</f>
        <v>Type: ______________ (see cover list)
ID: ______________ (record's own no.)</v>
      </c>
      <c r="G38" s="120" t="str">
        <f aca="false">IF(AND(LEFT(Checks!$AH$632,10)="N/A – RULE",NOT(ISNUMBER(Checks!$AD$632)),Checks!$AE$632="",Checks!$T$632=""),"","Done: "&amp;IF(ISNUMBER(Checks!$AD$632),TEXT(Checks!$AD$632,"DD-MMM-YY HH:MM"),"____________")&amp;" "&amp;Checks!$P$632&amp;CHAR(10)&amp;"Verifier: "&amp;IF(Checks!$AE$632="","____________",Checks!$AE$632)&amp;CHAR(10)&amp;"PIC: "&amp;IF(Checks!$T$632="","____________",Checks!$T$632))</f>
        <v>Done: ____________ KIX
Verifier: ____________
PIC: ____________</v>
      </c>
      <c r="H38" s="121" t="str">
        <f aca="false">IF(Checks!$AH$632="","",Checks!$AH$632)</f>
        <v>OPEN</v>
      </c>
    </row>
    <row r="39" customFormat="false" ht="114" hidden="false" customHeight="true" outlineLevel="0" collapsed="false">
      <c r="A39" s="120" t="str">
        <f aca="false">Checks!$A$633&amp;CHAR(10)&amp;IF(Checks!$I$633="","",Checks!$I$633&amp;": ")&amp;Checks!$J$633</f>
        <v>F19-T12-05
Equipment: Equipment serviceability vs GLD</v>
      </c>
      <c r="B39" s="120" t="str">
        <f aca="false">Checks!$K$633&amp;IF(Checks!$O$633="","",IF(Checks!$K$633="","",CHAR(10))&amp;"Note: "&amp;Checks!$O$633)</f>
        <v>Note: Preparation check at caterer - does NOT confirm loading.</v>
      </c>
      <c r="C39" s="120" t="str">
        <f aca="false">Checks!$N$633&amp;CHAR(10)&amp;IF(ISNUMBER(Checks!$R$633),TEXT(Checks!$R$633,"DD-MMM-YY HH:MM"),"")&amp;" "&amp;Checks!$P$633</f>
        <v>Required
28-Oct-26 21:40 KIX</v>
      </c>
      <c r="D39" s="120" t="str">
        <f aca="false">IF(TRIM(Checks!$U$633)&lt;&gt;"",Checks!$U$633&amp;IF(Checks!$AB$633="","",CHAR(10)&amp;"CA: "&amp;Checks!$AB$633),IF(LEFT(Checks!$AH$633,10)="N/A – RULE","","[ ] Pass"&amp;CHAR(10)&amp;"[ ] Pass after CA"&amp;CHAR(10)&amp;"[ ] Fail"&amp;IF(Checks!$AT$633=1,CHAR(10)&amp;"[ ] N/A","")&amp;CHAR(10)&amp;"CA: Open / Closed"))</f>
        <v>[ ] Pass
[ ] Pass after CA
[ ] Fail
CA: Open / Closed</v>
      </c>
      <c r="E39" s="120" t="str">
        <f aca="false">IF(Checks!$V$633="","",Checks!$V$633)&amp;IF(Checks!$AC$633="","",IF(Checks!$V$633="","",CHAR(10))&amp;"N/A just.: "&amp;Checks!$AC$633)&amp;IF(OR(Checks!$W$633&lt;&gt;"",AND(Checks!$AQ$633=1,NOT(LEFT(Checks!$AH$633,10)="N/A – RULE"))),CHAR(10)&amp;"Batch: "&amp;IF(Checks!$W$633="","____________",Checks!$W$633),"")&amp;IF(OR(Checks!$X$633&lt;&gt;"",Checks!$Y$633&lt;&gt;"",AND(Checks!$AR$633=1,NOT(LEFT(Checks!$AH$633,10)="N/A – RULE"))),CHAR(10)&amp;"Exp: "&amp;IF(Checks!$X$633="","______",Checks!$X$633)&amp;"  /  Act: "&amp;IF(Checks!$Y$633="","______",Checks!$Y$633),"")</f>
        <v/>
      </c>
      <c r="F39" s="120" t="str">
        <f aca="false">IF(AND(LEFT(Checks!$AH$633,10)="N/A – RULE",TRIM(Checks!$S$633&amp;Checks!$Z$633)=""),"","Type: "&amp;IF(TRIM(Checks!$S$633)="","______________ (see cover list)",Checks!$S$633)&amp;CHAR(10)&amp;"ID: "&amp;IF(TRIM(Checks!$Z$633)="","______________ (record's own no.)",Checks!$Z$633))&amp;IF(Checks!$AA$633="","",CHAR(10)&amp;"CA: "&amp;Checks!$AA$633)</f>
        <v>Type: ______________ (see cover list)
ID: ______________ (record's own no.)</v>
      </c>
      <c r="G39" s="120" t="str">
        <f aca="false">IF(AND(LEFT(Checks!$AH$633,10)="N/A – RULE",NOT(ISNUMBER(Checks!$AD$633)),Checks!$AE$633="",Checks!$T$633=""),"","Done: "&amp;IF(ISNUMBER(Checks!$AD$633),TEXT(Checks!$AD$633,"DD-MMM-YY HH:MM"),"____________")&amp;" "&amp;Checks!$P$633&amp;CHAR(10)&amp;"Verifier: "&amp;IF(Checks!$AE$633="","____________",Checks!$AE$633)&amp;CHAR(10)&amp;"PIC: "&amp;IF(Checks!$T$633="","____________",Checks!$T$633))</f>
        <v>Done: ____________ KIX
Verifier: ____________
PIC: ____________</v>
      </c>
      <c r="H39" s="121" t="str">
        <f aca="false">IF(Checks!$AH$633="","",Checks!$AH$633)</f>
        <v>OPEN</v>
      </c>
    </row>
    <row r="40" customFormat="false" ht="190.5" hidden="false" customHeight="true" outlineLevel="0" collapsed="false">
      <c r="A40" s="120" t="str">
        <f aca="false">Checks!$A$634&amp;CHAR(10)&amp;IF(Checks!$I$634="","",Checks!$I$634&amp;": ")&amp;Checks!$J$634</f>
        <v>F19-T12-06
Equipment: Equipment quantities vs GLD</v>
      </c>
      <c r="B40" s="120" t="str">
        <f aca="false">SUBSTITUTE(SUBSTITUTE(SUBSTITUTE(Checks!$K$634&amp;IF(Checks!$O$634="","",IF(Checks!$K$634="","",CHAR(10))&amp;"Note: "&amp;Checks!$O$634),"makers -,","makers n/a,"),"espresso -,","espresso n/a,")," (AIRCRAFT TYPE!C9:R9)","")</f>
        <v>Enter expected &amp; actual. Aircraft galley data: A330-300 (A333): carts 42.5, SU 100, ovens 12, warming ovens 4, fridges 4, water heaters 6, beverage makers n/a, espresso n/a, folding trolleys 4, headsets BC &amp; EY: Dual Pin
Note: Preparation check at caterer - does NOT confirm loading.</v>
      </c>
      <c r="C40" s="120" t="str">
        <f aca="false">Checks!$N$634&amp;CHAR(10)&amp;IF(ISNUMBER(Checks!$R$634),TEXT(Checks!$R$634,"DD-MMM-YY HH:MM"),"")&amp;" "&amp;Checks!$P$634</f>
        <v>Required
28-Oct-26 21:40 KIX</v>
      </c>
      <c r="D40" s="120" t="str">
        <f aca="false">IF(TRIM(Checks!$U$634)&lt;&gt;"",Checks!$U$634&amp;IF(Checks!$AB$634="","",CHAR(10)&amp;"CA: "&amp;Checks!$AB$634),IF(LEFT(Checks!$AH$634,10)="N/A – RULE","","[ ] Pass"&amp;CHAR(10)&amp;"[ ] Pass after CA"&amp;CHAR(10)&amp;"[ ] Fail"&amp;IF(Checks!$AT$634=1,CHAR(10)&amp;"[ ] N/A","")&amp;CHAR(10)&amp;"CA: Open / Closed"))</f>
        <v>[ ] Pass
[ ] Pass after CA
[ ] Fail
CA: Open / Closed</v>
      </c>
      <c r="E40" s="120" t="str">
        <f aca="false">IF(Checks!$V$634="","",Checks!$V$634)&amp;IF(Checks!$AC$634="","",IF(Checks!$V$634="","",CHAR(10))&amp;"N/A just.: "&amp;Checks!$AC$634)&amp;IF(OR(Checks!$W$634&lt;&gt;"",AND(Checks!$AQ$634=1,NOT(LEFT(Checks!$AH$634,10)="N/A – RULE"))),CHAR(10)&amp;"Batch: "&amp;IF(Checks!$W$634="","____________",Checks!$W$634),"")&amp;IF(OR(Checks!$X$634&lt;&gt;"",Checks!$Y$634&lt;&gt;"",AND(Checks!$AR$634=1,NOT(LEFT(Checks!$AH$634,10)="N/A – RULE"))),CHAR(10)&amp;"Exp: "&amp;IF(Checks!$X$634="","______",Checks!$X$634)&amp;"  /  Act: "&amp;IF(Checks!$Y$634="","______",Checks!$Y$634),"")</f>
        <v>
Exp: ______  /  Act: ______</v>
      </c>
      <c r="F40" s="120" t="str">
        <f aca="false">IF(AND(LEFT(Checks!$AH$634,10)="N/A – RULE",TRIM(Checks!$S$634&amp;Checks!$Z$634)=""),"","Type: "&amp;IF(TRIM(Checks!$S$634)="","______________ (see cover list)",Checks!$S$634)&amp;CHAR(10)&amp;"ID: "&amp;IF(TRIM(Checks!$Z$634)="","______________ (record's own no.)",Checks!$Z$634))&amp;IF(Checks!$AA$634="","",CHAR(10)&amp;"CA: "&amp;Checks!$AA$634)</f>
        <v>Type: ______________ (see cover list)
ID: ______________ (record's own no.)</v>
      </c>
      <c r="G40" s="120" t="str">
        <f aca="false">IF(AND(LEFT(Checks!$AH$634,10)="N/A – RULE",NOT(ISNUMBER(Checks!$AD$634)),Checks!$AE$634="",Checks!$T$634=""),"","Done: "&amp;IF(ISNUMBER(Checks!$AD$634),TEXT(Checks!$AD$634,"DD-MMM-YY HH:MM"),"____________")&amp;" "&amp;Checks!$P$634&amp;CHAR(10)&amp;"Verifier: "&amp;IF(Checks!$AE$634="","____________",Checks!$AE$634)&amp;CHAR(10)&amp;"PIC: "&amp;IF(Checks!$T$634="","____________",Checks!$T$634))</f>
        <v>Done: ____________ KIX
Verifier: ____________
PIC: ____________</v>
      </c>
      <c r="H40" s="121" t="str">
        <f aca="false">IF(Checks!$AH$634="","",Checks!$AH$634)</f>
        <v>OPEN</v>
      </c>
    </row>
    <row r="41" customFormat="false" ht="114" hidden="false" customHeight="true" outlineLevel="0" collapsed="false">
      <c r="A41" s="120" t="str">
        <f aca="false">Checks!$A$635&amp;CHAR(10)&amp;IF(Checks!$I$635="","",Checks!$I$635&amp;": ")&amp;Checks!$J$635</f>
        <v>F19-T12-07
Equipment: Loading positions planned vs GLD</v>
      </c>
      <c r="B41" s="120" t="str">
        <f aca="false">Checks!$K$635&amp;IF(Checks!$O$635="","",IF(Checks!$K$635="","",CHAR(10))&amp;"Note: "&amp;Checks!$O$635)</f>
        <v>Note: Preparation check at caterer - does NOT confirm loading.</v>
      </c>
      <c r="C41" s="120" t="str">
        <f aca="false">Checks!$N$635&amp;CHAR(10)&amp;IF(ISNUMBER(Checks!$R$635),TEXT(Checks!$R$635,"DD-MMM-YY HH:MM"),"")&amp;" "&amp;Checks!$P$635</f>
        <v>Required
28-Oct-26 21:40 KIX</v>
      </c>
      <c r="D41" s="120" t="str">
        <f aca="false">IF(TRIM(Checks!$U$635)&lt;&gt;"",Checks!$U$635&amp;IF(Checks!$AB$635="","",CHAR(10)&amp;"CA: "&amp;Checks!$AB$635),IF(LEFT(Checks!$AH$635,10)="N/A – RULE","","[ ] Pass"&amp;CHAR(10)&amp;"[ ] Pass after CA"&amp;CHAR(10)&amp;"[ ] Fail"&amp;IF(Checks!$AT$635=1,CHAR(10)&amp;"[ ] N/A","")&amp;CHAR(10)&amp;"CA: Open / Closed"))</f>
        <v>[ ] Pass
[ ] Pass after CA
[ ] Fail
CA: Open / Closed</v>
      </c>
      <c r="E41" s="120" t="str">
        <f aca="false">IF(Checks!$V$635="","",Checks!$V$635)&amp;IF(Checks!$AC$635="","",IF(Checks!$V$635="","",CHAR(10))&amp;"N/A just.: "&amp;Checks!$AC$635)&amp;IF(OR(Checks!$W$635&lt;&gt;"",AND(Checks!$AQ$635=1,NOT(LEFT(Checks!$AH$635,10)="N/A – RULE"))),CHAR(10)&amp;"Batch: "&amp;IF(Checks!$W$635="","____________",Checks!$W$635),"")&amp;IF(OR(Checks!$X$635&lt;&gt;"",Checks!$Y$635&lt;&gt;"",AND(Checks!$AR$635=1,NOT(LEFT(Checks!$AH$635,10)="N/A – RULE"))),CHAR(10)&amp;"Exp: "&amp;IF(Checks!$X$635="","______",Checks!$X$635)&amp;"  /  Act: "&amp;IF(Checks!$Y$635="","______",Checks!$Y$635),"")</f>
        <v/>
      </c>
      <c r="F41" s="120" t="str">
        <f aca="false">IF(AND(LEFT(Checks!$AH$635,10)="N/A – RULE",TRIM(Checks!$S$635&amp;Checks!$Z$635)=""),"","Type: "&amp;IF(TRIM(Checks!$S$635)="","______________ (see cover list)",Checks!$S$635)&amp;CHAR(10)&amp;"ID: "&amp;IF(TRIM(Checks!$Z$635)="","______________ (record's own no.)",Checks!$Z$635))&amp;IF(Checks!$AA$635="","",CHAR(10)&amp;"CA: "&amp;Checks!$AA$635)</f>
        <v>Type: ______________ (see cover list)
ID: ______________ (record's own no.)</v>
      </c>
      <c r="G41" s="120" t="str">
        <f aca="false">IF(AND(LEFT(Checks!$AH$635,10)="N/A – RULE",NOT(ISNUMBER(Checks!$AD$635)),Checks!$AE$635="",Checks!$T$635=""),"","Done: "&amp;IF(ISNUMBER(Checks!$AD$635),TEXT(Checks!$AD$635,"DD-MMM-YY HH:MM"),"____________")&amp;" "&amp;Checks!$P$635&amp;CHAR(10)&amp;"Verifier: "&amp;IF(Checks!$AE$635="","____________",Checks!$AE$635)&amp;CHAR(10)&amp;"PIC: "&amp;IF(Checks!$T$635="","____________",Checks!$T$635))</f>
        <v>Done: ____________ KIX
Verifier: ____________
PIC: ____________</v>
      </c>
      <c r="H41" s="121" t="str">
        <f aca="false">IF(Checks!$AH$635="","",Checks!$AH$635)</f>
        <v>OPEN</v>
      </c>
    </row>
    <row r="42" customFormat="false" ht="114" hidden="false" customHeight="true" outlineLevel="0" collapsed="false">
      <c r="A42" s="120" t="str">
        <f aca="false">Checks!$A$636&amp;CHAR(10)&amp;IF(Checks!$I$636="","",Checks!$I$636&amp;": ")&amp;Checks!$J$636</f>
        <v>F19-T12-08
Seat Linen: Seat pillow (EY) - prepared</v>
      </c>
      <c r="B42" s="120" t="str">
        <f aca="false">Checks!$K$636&amp;IF(Checks!$O$636="","",IF(Checks!$K$636="","",CHAR(10))&amp;"Note: "&amp;Checks!$O$636)</f>
        <v>Available 100% (ticked in reference)
Note: Reference gives no uplift stn for this item: preparation checked at the meal uplift stn (KIX) - confirm with caterer.</v>
      </c>
      <c r="C42" s="120" t="str">
        <f aca="false">Checks!$N$636&amp;CHAR(10)&amp;IF(ISNUMBER(Checks!$R$636),TEXT(Checks!$R$636,"DD-MMM-YY HH:MM"),"")&amp;" "&amp;Checks!$P$636</f>
        <v>Required
28-Oct-26 21:40 KIX</v>
      </c>
      <c r="D42" s="120" t="str">
        <f aca="false">IF(TRIM(Checks!$U$636)&lt;&gt;"",Checks!$U$636&amp;IF(Checks!$AB$636="","",CHAR(10)&amp;"CA: "&amp;Checks!$AB$636),IF(LEFT(Checks!$AH$636,10)="N/A – RULE","","[ ] Pass"&amp;CHAR(10)&amp;"[ ] Pass after CA"&amp;CHAR(10)&amp;"[ ] Fail"&amp;IF(Checks!$AT$636=1,CHAR(10)&amp;"[ ] N/A","")&amp;CHAR(10)&amp;"CA: Open / Closed"))</f>
        <v>[ ] Pass
[ ] Pass after CA
[ ] Fail
CA: Open / Closed</v>
      </c>
      <c r="E42" s="120" t="str">
        <f aca="false">IF(Checks!$V$636="","",Checks!$V$636)&amp;IF(Checks!$AC$636="","",IF(Checks!$V$636="","",CHAR(10))&amp;"N/A just.: "&amp;Checks!$AC$636)&amp;IF(OR(Checks!$W$636&lt;&gt;"",AND(Checks!$AQ$636=1,NOT(LEFT(Checks!$AH$636,10)="N/A – RULE"))),CHAR(10)&amp;"Batch: "&amp;IF(Checks!$W$636="","____________",Checks!$W$636),"")&amp;IF(OR(Checks!$X$636&lt;&gt;"",Checks!$Y$636&lt;&gt;"",AND(Checks!$AR$636=1,NOT(LEFT(Checks!$AH$636,10)="N/A – RULE"))),CHAR(10)&amp;"Exp: "&amp;IF(Checks!$X$636="","______",Checks!$X$636)&amp;"  /  Act: "&amp;IF(Checks!$Y$636="","______",Checks!$Y$636),"")</f>
        <v/>
      </c>
      <c r="F42" s="120" t="str">
        <f aca="false">IF(AND(LEFT(Checks!$AH$636,10)="N/A – RULE",TRIM(Checks!$S$636&amp;Checks!$Z$636)=""),"","Type: "&amp;IF(TRIM(Checks!$S$636)="","______________ (see cover list)",Checks!$S$636)&amp;CHAR(10)&amp;"ID: "&amp;IF(TRIM(Checks!$Z$636)="","______________ (record's own no.)",Checks!$Z$636))&amp;IF(Checks!$AA$636="","",CHAR(10)&amp;"CA: "&amp;Checks!$AA$636)</f>
        <v>Type: ______________ (see cover list)
ID: ______________ (record's own no.)</v>
      </c>
      <c r="G42" s="120" t="str">
        <f aca="false">IF(AND(LEFT(Checks!$AH$636,10)="N/A – RULE",NOT(ISNUMBER(Checks!$AD$636)),Checks!$AE$636="",Checks!$T$636=""),"","Done: "&amp;IF(ISNUMBER(Checks!$AD$636),TEXT(Checks!$AD$636,"DD-MMM-YY HH:MM"),"____________")&amp;" "&amp;Checks!$P$636&amp;CHAR(10)&amp;"Verifier: "&amp;IF(Checks!$AE$636="","____________",Checks!$AE$636)&amp;CHAR(10)&amp;"PIC: "&amp;IF(Checks!$T$636="","____________",Checks!$T$636))</f>
        <v>Done: ____________ KIX
Verifier: ____________
PIC: ____________</v>
      </c>
      <c r="H42" s="121" t="str">
        <f aca="false">IF(Checks!$AH$636="","",Checks!$AH$636)</f>
        <v>OPEN</v>
      </c>
    </row>
    <row r="43" customFormat="false" ht="180" hidden="false" customHeight="true" outlineLevel="0" collapsed="false">
      <c r="A43" s="120" t="str">
        <f aca="false">Checks!$A$637&amp;CHAR(10)&amp;IF(Checks!$I$637="","",Checks!$I$637&amp;": ")&amp;Checks!$J$637</f>
        <v>F19-T12-09
Seat Linen: Blanket (EY) - prepared</v>
      </c>
      <c r="B43" s="120" t="str">
        <f aca="false">SUBSTITUTE(SUBSTITUTE(Checks!$K$637&amp;IF(Checks!$O$637="","",IF(Checks!$K$637="","",CHAR(10))&amp;"Note: "&amp;Checks!$O$637)," (SEAT LINEN!B74:C74)","")," (SEAT LINEN!B75:C75)","")</f>
        <v>Available 100% (ticked in reference); qty 280
Note: EY blanket: flight above 3 hours excl. Regional; block 8.08 h. Qty 280 pcs (14 bundles) for A332/A333/A339. Reference gives no uplift stn for this item: preparation checked at the meal uplift stn (KIX) - confirm with caterer.</v>
      </c>
      <c r="C43" s="120" t="str">
        <f aca="false">Checks!$N$637&amp;CHAR(10)&amp;IF(ISNUMBER(Checks!$R$637),TEXT(Checks!$R$637,"DD-MMM-YY HH:MM"),"")&amp;" "&amp;Checks!$P$637</f>
        <v>Required
28-Oct-26 21:40 KIX</v>
      </c>
      <c r="D43" s="120" t="str">
        <f aca="false">IF(TRIM(Checks!$U$637)&lt;&gt;"",Checks!$U$637&amp;IF(Checks!$AB$637="","",CHAR(10)&amp;"CA: "&amp;Checks!$AB$637),IF(LEFT(Checks!$AH$637,10)="N/A – RULE","","[ ] Pass"&amp;CHAR(10)&amp;"[ ] Pass after CA"&amp;CHAR(10)&amp;"[ ] Fail"&amp;IF(Checks!$AT$637=1,CHAR(10)&amp;"[ ] N/A","")&amp;CHAR(10)&amp;"CA: Open / Closed"))</f>
        <v>[ ] Pass
[ ] Pass after CA
[ ] Fail
CA: Open / Closed</v>
      </c>
      <c r="E43" s="120" t="str">
        <f aca="false">IF(Checks!$V$637="","",Checks!$V$637)&amp;IF(Checks!$AC$637="","",IF(Checks!$V$637="","",CHAR(10))&amp;"N/A just.: "&amp;Checks!$AC$637)&amp;IF(OR(Checks!$W$637&lt;&gt;"",AND(Checks!$AQ$637=1,NOT(LEFT(Checks!$AH$637,10)="N/A – RULE"))),CHAR(10)&amp;"Batch: "&amp;IF(Checks!$W$637="","____________",Checks!$W$637),"")&amp;IF(OR(Checks!$X$637&lt;&gt;"",Checks!$Y$637&lt;&gt;"",AND(Checks!$AR$637=1,NOT(LEFT(Checks!$AH$637,10)="N/A – RULE"))),CHAR(10)&amp;"Exp: "&amp;IF(Checks!$X$637="","______",Checks!$X$637)&amp;"  /  Act: "&amp;IF(Checks!$Y$637="","______",Checks!$Y$637),"")</f>
        <v>
Exp: 280  /  Act: ______</v>
      </c>
      <c r="F43" s="120" t="str">
        <f aca="false">IF(AND(LEFT(Checks!$AH$637,10)="N/A – RULE",TRIM(Checks!$S$637&amp;Checks!$Z$637)=""),"","Type: "&amp;IF(TRIM(Checks!$S$637)="","______________ (see cover list)",Checks!$S$637)&amp;CHAR(10)&amp;"ID: "&amp;IF(TRIM(Checks!$Z$637)="","______________ (record's own no.)",Checks!$Z$637))&amp;IF(Checks!$AA$637="","",CHAR(10)&amp;"CA: "&amp;Checks!$AA$637)</f>
        <v>Type: ______________ (see cover list)
ID: ______________ (record's own no.)</v>
      </c>
      <c r="G43" s="120" t="str">
        <f aca="false">IF(AND(LEFT(Checks!$AH$637,10)="N/A – RULE",NOT(ISNUMBER(Checks!$AD$637)),Checks!$AE$637="",Checks!$T$637=""),"","Done: "&amp;IF(ISNUMBER(Checks!$AD$637),TEXT(Checks!$AD$637,"DD-MMM-YY HH:MM"),"____________")&amp;" "&amp;Checks!$P$637&amp;CHAR(10)&amp;"Verifier: "&amp;IF(Checks!$AE$637="","____________",Checks!$AE$637)&amp;CHAR(10)&amp;"PIC: "&amp;IF(Checks!$T$637="","____________",Checks!$T$637))</f>
        <v>Done: ____________ KIX
Verifier: ____________
PIC: ____________</v>
      </c>
      <c r="H43" s="121" t="str">
        <f aca="false">IF(Checks!$AH$637="","",Checks!$AH$637)</f>
        <v>OPEN</v>
      </c>
    </row>
    <row r="44" customFormat="false" ht="201.75" hidden="false" customHeight="true" outlineLevel="0" collapsed="false">
      <c r="A44" s="120" t="str">
        <f aca="false">Checks!$A$638&amp;CHAR(10)&amp;IF(Checks!$I$638="","",Checks!$I$638&amp;": ")&amp;Checks!$J$638</f>
        <v>F19-T12-10
Sales Cart: Sales cart (caterer PASB) - prepared</v>
      </c>
      <c r="B44" s="120" t="str">
        <f aca="false">Checks!$K$638&amp;IF(Checks!$O$638="","",IF(Checks!$K$638="","",CHAR(10))&amp;"Note: "&amp;Checks!$O$638)</f>
        <v>Location 643 &amp; 947 (A333, full cart)
Note: Block 8.08 h &gt;= 4 h. Reference names caterer PASB for the KUL/KIX/KUL sector but no uplift station: confirm whether the KIX-KUL sales cart is loaded at KUL (round trip) or at KIX. Reference gives no uplift stn for this item: preparation checked at the meal uplift stn (KIX) - confirm with caterer.</v>
      </c>
      <c r="C44" s="120" t="str">
        <f aca="false">Checks!$N$638&amp;CHAR(10)&amp;IF(ISNUMBER(Checks!$R$638),TEXT(Checks!$R$638,"DD-MMM-YY HH:MM"),"")&amp;" "&amp;Checks!$P$638</f>
        <v>Clarification required
28-Oct-26 21:40 KIX</v>
      </c>
      <c r="D44" s="120" t="str">
        <f aca="false">IF(TRIM(Checks!$U$638)&lt;&gt;"",Checks!$U$638&amp;IF(Checks!$AB$638="","",CHAR(10)&amp;"CA: "&amp;Checks!$AB$638),IF(LEFT(Checks!$AH$638,10)="N/A – RULE","","[ ] Pass"&amp;CHAR(10)&amp;"[ ] Pass after CA"&amp;CHAR(10)&amp;"[ ] Fail"&amp;IF(Checks!$AT$638=1,CHAR(10)&amp;"[ ] N/A","")&amp;CHAR(10)&amp;"CA: Open / Closed"))</f>
        <v>[ ] Pass
[ ] Pass after CA
[ ] Fail
[ ] N/A
CA: Open / Closed</v>
      </c>
      <c r="E44" s="120" t="str">
        <f aca="false">IF(Checks!$V$638="","",Checks!$V$638)&amp;IF(Checks!$AC$638="","",IF(Checks!$V$638="","",CHAR(10))&amp;"N/A just.: "&amp;Checks!$AC$638)&amp;IF(OR(Checks!$W$638&lt;&gt;"",AND(Checks!$AQ$638=1,NOT(LEFT(Checks!$AH$638,10)="N/A – RULE"))),CHAR(10)&amp;"Batch: "&amp;IF(Checks!$W$638="","____________",Checks!$W$638),"")&amp;IF(OR(Checks!$X$638&lt;&gt;"",Checks!$Y$638&lt;&gt;"",AND(Checks!$AR$638=1,NOT(LEFT(Checks!$AH$638,10)="N/A – RULE"))),CHAR(10)&amp;"Exp: "&amp;IF(Checks!$X$638="","______",Checks!$X$638)&amp;"  /  Act: "&amp;IF(Checks!$Y$638="","______",Checks!$Y$638),"")</f>
        <v/>
      </c>
      <c r="F44" s="120" t="str">
        <f aca="false">IF(AND(LEFT(Checks!$AH$638,10)="N/A – RULE",TRIM(Checks!$S$638&amp;Checks!$Z$638)=""),"","Type: "&amp;IF(TRIM(Checks!$S$638)="","______________ (see cover list)",Checks!$S$638)&amp;CHAR(10)&amp;"ID: "&amp;IF(TRIM(Checks!$Z$638)="","______________ (record's own no.)",Checks!$Z$638))&amp;IF(Checks!$AA$638="","",CHAR(10)&amp;"CA: "&amp;Checks!$AA$638)</f>
        <v>Type: ______________ (see cover list)
ID: ______________ (record's own no.)</v>
      </c>
      <c r="G44" s="120" t="str">
        <f aca="false">IF(AND(LEFT(Checks!$AH$638,10)="N/A – RULE",NOT(ISNUMBER(Checks!$AD$638)),Checks!$AE$638="",Checks!$T$638=""),"","Done: "&amp;IF(ISNUMBER(Checks!$AD$638),TEXT(Checks!$AD$638,"DD-MMM-YY HH:MM"),"____________")&amp;" "&amp;Checks!$P$638&amp;CHAR(10)&amp;"Verifier: "&amp;IF(Checks!$AE$638="","____________",Checks!$AE$638)&amp;CHAR(10)&amp;"PIC: "&amp;IF(Checks!$T$638="","____________",Checks!$T$638))</f>
        <v>Done: ____________ KIX
Verifier: ____________
PIC: ____________</v>
      </c>
      <c r="H44" s="121" t="str">
        <f aca="false">IF(Checks!$AH$638="","",Checks!$AH$638)</f>
        <v>OPEN – CLARIFICATION</v>
      </c>
    </row>
    <row r="45" customFormat="false" ht="25.5" hidden="false" customHeight="true" outlineLevel="0" collapsed="false">
      <c r="A45" s="119" t="str">
        <f aca="false">"UPLIFT — Physical uplift – on-board confirmation before departure  |  Due "&amp;"STD "&amp;IF(ISNUMBER(Flights!$I$23),TEXT(Flights!$I$23,"DD-MMM-YY HH:MM"),"")&amp;" "&amp;Flights!$G$23&amp;" (departure stn)"&amp;" (rows with another due show their own)  |  Complete "&amp;IF(ISNUMBER(Flights!$AM$23),TEXT(Flights!$AM$23,"0%"),Flights!$AM$23)&amp;"  |  5 lines"</f>
        <v>UPLIFT — Physical uplift – on-board confirmation before departure  |  Due STD 29-Oct-26 09:40 KIX (departure stn) (rows with another due show their own)  |  Complete 0%  |  5 lines</v>
      </c>
      <c r="B45" s="119"/>
      <c r="C45" s="119"/>
      <c r="D45" s="119"/>
      <c r="E45" s="119"/>
      <c r="F45" s="119"/>
      <c r="G45" s="119"/>
      <c r="H45" s="119"/>
    </row>
    <row r="46" customFormat="false" ht="114" hidden="false" customHeight="true" outlineLevel="0" collapsed="false">
      <c r="A46" s="120" t="str">
        <f aca="false">Checks!$A$639&amp;CHAR(10)&amp;IF(Checks!$I$639="","",Checks!$I$639&amp;": ")&amp;Checks!$J$639</f>
        <v>F19-UPL-01
Meal: Meals physically uplifted on board - quantity vs menu checklist</v>
      </c>
      <c r="B46" s="120" t="str">
        <f aca="false">Checks!$K$639&amp;IF(Checks!$O$639="","",IF(Checks!$K$639="","",CHAR(10))&amp;"Note: "&amp;Checks!$O$639)</f>
        <v>Enter expected &amp; actual
Note: Confirm on board before departure; completion time must fall inside the uplift window.</v>
      </c>
      <c r="C46" s="120" t="str">
        <f aca="false">Checks!$N$639&amp;CHAR(10)&amp;IF(ISNUMBER(Checks!$R$639),TEXT(Checks!$R$639,"DD-MMM-YY HH:MM"),"")&amp;" "&amp;Checks!$P$639</f>
        <v>Required
29-Oct-26 09:40 KIX</v>
      </c>
      <c r="D46" s="120" t="str">
        <f aca="false">IF(TRIM(Checks!$U$639)&lt;&gt;"",Checks!$U$639&amp;IF(Checks!$AB$639="","",CHAR(10)&amp;"CA: "&amp;Checks!$AB$639),IF(LEFT(Checks!$AH$639,10)="N/A – RULE","","[ ] Pass"&amp;CHAR(10)&amp;"[ ] Pass after CA"&amp;CHAR(10)&amp;"[ ] Fail"&amp;IF(Checks!$AT$639=1,CHAR(10)&amp;"[ ] N/A","")&amp;CHAR(10)&amp;"CA: Open / Closed"))</f>
        <v>[ ] Pass
[ ] Pass after CA
[ ] Fail
CA: Open / Closed</v>
      </c>
      <c r="E46" s="120" t="str">
        <f aca="false">IF(Checks!$V$639="","",Checks!$V$639)&amp;IF(Checks!$AC$639="","",IF(Checks!$V$639="","",CHAR(10))&amp;"N/A just.: "&amp;Checks!$AC$639)&amp;IF(OR(Checks!$W$639&lt;&gt;"",AND(Checks!$AQ$639=1,NOT(LEFT(Checks!$AH$639,10)="N/A – RULE"))),CHAR(10)&amp;"Batch: "&amp;IF(Checks!$W$639="","____________",Checks!$W$639),"")&amp;IF(OR(Checks!$X$639&lt;&gt;"",Checks!$Y$639&lt;&gt;"",AND(Checks!$AR$639=1,NOT(LEFT(Checks!$AH$639,10)="N/A – RULE"))),CHAR(10)&amp;"Exp: "&amp;IF(Checks!$X$639="","______",Checks!$X$639)&amp;"  /  Act: "&amp;IF(Checks!$Y$639="","______",Checks!$Y$639),"")</f>
        <v>
Exp: ______  /  Act: ______</v>
      </c>
      <c r="F46" s="120" t="str">
        <f aca="false">IF(AND(LEFT(Checks!$AH$639,10)="N/A – RULE",TRIM(Checks!$S$639&amp;Checks!$Z$639)=""),"","Type: "&amp;IF(TRIM(Checks!$S$639)="","______________ (see cover list)",Checks!$S$639)&amp;CHAR(10)&amp;"ID: "&amp;IF(TRIM(Checks!$Z$639)="","______________ (record's own no.)",Checks!$Z$639))&amp;IF(Checks!$AA$639="","",CHAR(10)&amp;"CA: "&amp;Checks!$AA$639)</f>
        <v>Type: ______________ (see cover list)
ID: ______________ (record's own no.)</v>
      </c>
      <c r="G46" s="120" t="str">
        <f aca="false">IF(AND(LEFT(Checks!$AH$639,10)="N/A – RULE",NOT(ISNUMBER(Checks!$AD$639)),Checks!$AE$639="",Checks!$T$639=""),"","Done: "&amp;IF(ISNUMBER(Checks!$AD$639),TEXT(Checks!$AD$639,"DD-MMM-YY HH:MM"),"____________")&amp;" "&amp;Checks!$P$639&amp;CHAR(10)&amp;"Verifier: "&amp;IF(Checks!$AE$639="","____________",Checks!$AE$639)&amp;CHAR(10)&amp;"PIC: "&amp;IF(Checks!$T$639="","____________",Checks!$T$639))</f>
        <v>Done: ____________ KIX
Verifier: ____________
PIC: ____________</v>
      </c>
      <c r="H46" s="121" t="str">
        <f aca="false">IF(Checks!$AH$639="","",Checks!$AH$639)</f>
        <v>OPEN</v>
      </c>
    </row>
    <row r="47" customFormat="false" ht="114" hidden="false" customHeight="true" outlineLevel="0" collapsed="false">
      <c r="A47" s="120" t="str">
        <f aca="false">Checks!$A$640&amp;CHAR(10)&amp;IF(Checks!$I$640="","",Checks!$I$640&amp;": ")&amp;Checks!$J$640</f>
        <v>F19-UPL-02
Equipment: Equipment physically loaded at GLD positions - quantity &amp; positions</v>
      </c>
      <c r="B47" s="120" t="str">
        <f aca="false">Checks!$K$640&amp;IF(Checks!$O$640="","",IF(Checks!$K$640="","",CHAR(10))&amp;"Note: "&amp;Checks!$O$640)</f>
        <v>Enter expected &amp; actual
Note: Confirm on board before departure; completion time must fall inside the uplift window.</v>
      </c>
      <c r="C47" s="120" t="str">
        <f aca="false">Checks!$N$640&amp;CHAR(10)&amp;IF(ISNUMBER(Checks!$R$640),TEXT(Checks!$R$640,"DD-MMM-YY HH:MM"),"")&amp;" "&amp;Checks!$P$640</f>
        <v>Required
29-Oct-26 09:40 KIX</v>
      </c>
      <c r="D47" s="120" t="str">
        <f aca="false">IF(TRIM(Checks!$U$640)&lt;&gt;"",Checks!$U$640&amp;IF(Checks!$AB$640="","",CHAR(10)&amp;"CA: "&amp;Checks!$AB$640),IF(LEFT(Checks!$AH$640,10)="N/A – RULE","","[ ] Pass"&amp;CHAR(10)&amp;"[ ] Pass after CA"&amp;CHAR(10)&amp;"[ ] Fail"&amp;IF(Checks!$AT$640=1,CHAR(10)&amp;"[ ] N/A","")&amp;CHAR(10)&amp;"CA: Open / Closed"))</f>
        <v>[ ] Pass
[ ] Pass after CA
[ ] Fail
CA: Open / Closed</v>
      </c>
      <c r="E47" s="120" t="str">
        <f aca="false">IF(Checks!$V$640="","",Checks!$V$640)&amp;IF(Checks!$AC$640="","",IF(Checks!$V$640="","",CHAR(10))&amp;"N/A just.: "&amp;Checks!$AC$640)&amp;IF(OR(Checks!$W$640&lt;&gt;"",AND(Checks!$AQ$640=1,NOT(LEFT(Checks!$AH$640,10)="N/A – RULE"))),CHAR(10)&amp;"Batch: "&amp;IF(Checks!$W$640="","____________",Checks!$W$640),"")&amp;IF(OR(Checks!$X$640&lt;&gt;"",Checks!$Y$640&lt;&gt;"",AND(Checks!$AR$640=1,NOT(LEFT(Checks!$AH$640,10)="N/A – RULE"))),CHAR(10)&amp;"Exp: "&amp;IF(Checks!$X$640="","______",Checks!$X$640)&amp;"  /  Act: "&amp;IF(Checks!$Y$640="","______",Checks!$Y$640),"")</f>
        <v>
Exp: ______  /  Act: ______</v>
      </c>
      <c r="F47" s="120" t="str">
        <f aca="false">IF(AND(LEFT(Checks!$AH$640,10)="N/A – RULE",TRIM(Checks!$S$640&amp;Checks!$Z$640)=""),"","Type: "&amp;IF(TRIM(Checks!$S$640)="","______________ (see cover list)",Checks!$S$640)&amp;CHAR(10)&amp;"ID: "&amp;IF(TRIM(Checks!$Z$640)="","______________ (record's own no.)",Checks!$Z$640))&amp;IF(Checks!$AA$640="","",CHAR(10)&amp;"CA: "&amp;Checks!$AA$640)</f>
        <v>Type: ______________ (see cover list)
ID: ______________ (record's own no.)</v>
      </c>
      <c r="G47" s="120" t="str">
        <f aca="false">IF(AND(LEFT(Checks!$AH$640,10)="N/A – RULE",NOT(ISNUMBER(Checks!$AD$640)),Checks!$AE$640="",Checks!$T$640=""),"","Done: "&amp;IF(ISNUMBER(Checks!$AD$640),TEXT(Checks!$AD$640,"DD-MMM-YY HH:MM"),"____________")&amp;" "&amp;Checks!$P$640&amp;CHAR(10)&amp;"Verifier: "&amp;IF(Checks!$AE$640="","____________",Checks!$AE$640)&amp;CHAR(10)&amp;"PIC: "&amp;IF(Checks!$T$640="","____________",Checks!$T$640))</f>
        <v>Done: ____________ KIX
Verifier: ____________
PIC: ____________</v>
      </c>
      <c r="H47" s="121" t="str">
        <f aca="false">IF(Checks!$AH$640="","",Checks!$AH$640)</f>
        <v>OPEN</v>
      </c>
    </row>
    <row r="48" customFormat="false" ht="114" hidden="false" customHeight="true" outlineLevel="0" collapsed="false">
      <c r="A48" s="120" t="str">
        <f aca="false">Checks!$A$641&amp;CHAR(10)&amp;IF(Checks!$I$641="","",Checks!$I$641&amp;": ")&amp;Checks!$J$641</f>
        <v>F19-UPL-03
Seat Linen: Seat pillow (EY) - on board</v>
      </c>
      <c r="B48" s="120" t="str">
        <f aca="false">Checks!$K$641&amp;IF(Checks!$O$641="","",IF(Checks!$K$641="","",CHAR(10))&amp;"Note: "&amp;Checks!$O$641)</f>
        <v>Available 100% (ticked in reference)</v>
      </c>
      <c r="C48" s="120" t="str">
        <f aca="false">Checks!$N$641&amp;CHAR(10)&amp;IF(ISNUMBER(Checks!$R$641),TEXT(Checks!$R$641,"DD-MMM-YY HH:MM"),"")&amp;" "&amp;Checks!$P$641</f>
        <v>Required
29-Oct-26 09:40 KIX</v>
      </c>
      <c r="D48" s="120" t="str">
        <f aca="false">IF(TRIM(Checks!$U$641)&lt;&gt;"",Checks!$U$641&amp;IF(Checks!$AB$641="","",CHAR(10)&amp;"CA: "&amp;Checks!$AB$641),IF(LEFT(Checks!$AH$641,10)="N/A – RULE","","[ ] Pass"&amp;CHAR(10)&amp;"[ ] Pass after CA"&amp;CHAR(10)&amp;"[ ] Fail"&amp;IF(Checks!$AT$641=1,CHAR(10)&amp;"[ ] N/A","")&amp;CHAR(10)&amp;"CA: Open / Closed"))</f>
        <v>[ ] Pass
[ ] Pass after CA
[ ] Fail
CA: Open / Closed</v>
      </c>
      <c r="E48" s="120" t="str">
        <f aca="false">IF(Checks!$V$641="","",Checks!$V$641)&amp;IF(Checks!$AC$641="","",IF(Checks!$V$641="","",CHAR(10))&amp;"N/A just.: "&amp;Checks!$AC$641)&amp;IF(OR(Checks!$W$641&lt;&gt;"",AND(Checks!$AQ$641=1,NOT(LEFT(Checks!$AH$641,10)="N/A – RULE"))),CHAR(10)&amp;"Batch: "&amp;IF(Checks!$W$641="","____________",Checks!$W$641),"")&amp;IF(OR(Checks!$X$641&lt;&gt;"",Checks!$Y$641&lt;&gt;"",AND(Checks!$AR$641=1,NOT(LEFT(Checks!$AH$641,10)="N/A – RULE"))),CHAR(10)&amp;"Exp: "&amp;IF(Checks!$X$641="","______",Checks!$X$641)&amp;"  /  Act: "&amp;IF(Checks!$Y$641="","______",Checks!$Y$641),"")</f>
        <v/>
      </c>
      <c r="F48" s="120" t="str">
        <f aca="false">IF(AND(LEFT(Checks!$AH$641,10)="N/A – RULE",TRIM(Checks!$S$641&amp;Checks!$Z$641)=""),"","Type: "&amp;IF(TRIM(Checks!$S$641)="","______________ (see cover list)",Checks!$S$641)&amp;CHAR(10)&amp;"ID: "&amp;IF(TRIM(Checks!$Z$641)="","______________ (record's own no.)",Checks!$Z$641))&amp;IF(Checks!$AA$641="","",CHAR(10)&amp;"CA: "&amp;Checks!$AA$641)</f>
        <v>Type: ______________ (see cover list)
ID: ______________ (record's own no.)</v>
      </c>
      <c r="G48" s="120" t="str">
        <f aca="false">IF(AND(LEFT(Checks!$AH$641,10)="N/A – RULE",NOT(ISNUMBER(Checks!$AD$641)),Checks!$AE$641="",Checks!$T$641=""),"","Done: "&amp;IF(ISNUMBER(Checks!$AD$641),TEXT(Checks!$AD$641,"DD-MMM-YY HH:MM"),"____________")&amp;" "&amp;Checks!$P$641&amp;CHAR(10)&amp;"Verifier: "&amp;IF(Checks!$AE$641="","____________",Checks!$AE$641)&amp;CHAR(10)&amp;"PIC: "&amp;IF(Checks!$T$641="","____________",Checks!$T$641))</f>
        <v>Done: ____________ KIX
Verifier: ____________
PIC: ____________</v>
      </c>
      <c r="H48" s="121" t="str">
        <f aca="false">IF(Checks!$AH$641="","",Checks!$AH$641)</f>
        <v>OPEN</v>
      </c>
    </row>
    <row r="49" customFormat="false" ht="114" hidden="false" customHeight="true" outlineLevel="0" collapsed="false">
      <c r="A49" s="120" t="str">
        <f aca="false">Checks!$A$642&amp;CHAR(10)&amp;IF(Checks!$I$642="","",Checks!$I$642&amp;": ")&amp;Checks!$J$642</f>
        <v>F19-UPL-04
Seat Linen: Blanket (EY) - on board</v>
      </c>
      <c r="B49" s="120" t="str">
        <f aca="false">SUBSTITUTE(SUBSTITUTE(Checks!$K$642&amp;IF(Checks!$O$642="","",IF(Checks!$K$642="","",CHAR(10))&amp;"Note: "&amp;Checks!$O$642)," (SEAT LINEN!B74:C74)","")," (SEAT LINEN!B75:C75)","")</f>
        <v>Available 100% (ticked in reference); qty 280
Note: EY blanket: flight above 3 hours excl. Regional; block 8.08 h. Qty 280 pcs (14 bundles) for A332/A333/A339.</v>
      </c>
      <c r="C49" s="120" t="str">
        <f aca="false">Checks!$N$642&amp;CHAR(10)&amp;IF(ISNUMBER(Checks!$R$642),TEXT(Checks!$R$642,"DD-MMM-YY HH:MM"),"")&amp;" "&amp;Checks!$P$642</f>
        <v>Required
29-Oct-26 09:40 KIX</v>
      </c>
      <c r="D49" s="120" t="str">
        <f aca="false">IF(TRIM(Checks!$U$642)&lt;&gt;"",Checks!$U$642&amp;IF(Checks!$AB$642="","",CHAR(10)&amp;"CA: "&amp;Checks!$AB$642),IF(LEFT(Checks!$AH$642,10)="N/A – RULE","","[ ] Pass"&amp;CHAR(10)&amp;"[ ] Pass after CA"&amp;CHAR(10)&amp;"[ ] Fail"&amp;IF(Checks!$AT$642=1,CHAR(10)&amp;"[ ] N/A","")&amp;CHAR(10)&amp;"CA: Open / Closed"))</f>
        <v>[ ] Pass
[ ] Pass after CA
[ ] Fail
CA: Open / Closed</v>
      </c>
      <c r="E49" s="120" t="str">
        <f aca="false">IF(Checks!$V$642="","",Checks!$V$642)&amp;IF(Checks!$AC$642="","",IF(Checks!$V$642="","",CHAR(10))&amp;"N/A just.: "&amp;Checks!$AC$642)&amp;IF(OR(Checks!$W$642&lt;&gt;"",AND(Checks!$AQ$642=1,NOT(LEFT(Checks!$AH$642,10)="N/A – RULE"))),CHAR(10)&amp;"Batch: "&amp;IF(Checks!$W$642="","____________",Checks!$W$642),"")&amp;IF(OR(Checks!$X$642&lt;&gt;"",Checks!$Y$642&lt;&gt;"",AND(Checks!$AR$642=1,NOT(LEFT(Checks!$AH$642,10)="N/A – RULE"))),CHAR(10)&amp;"Exp: "&amp;IF(Checks!$X$642="","______",Checks!$X$642)&amp;"  /  Act: "&amp;IF(Checks!$Y$642="","______",Checks!$Y$642),"")</f>
        <v>
Exp: 280  /  Act: ______</v>
      </c>
      <c r="F49" s="120" t="str">
        <f aca="false">IF(AND(LEFT(Checks!$AH$642,10)="N/A – RULE",TRIM(Checks!$S$642&amp;Checks!$Z$642)=""),"","Type: "&amp;IF(TRIM(Checks!$S$642)="","______________ (see cover list)",Checks!$S$642)&amp;CHAR(10)&amp;"ID: "&amp;IF(TRIM(Checks!$Z$642)="","______________ (record's own no.)",Checks!$Z$642))&amp;IF(Checks!$AA$642="","",CHAR(10)&amp;"CA: "&amp;Checks!$AA$642)</f>
        <v>Type: ______________ (see cover list)
ID: ______________ (record's own no.)</v>
      </c>
      <c r="G49" s="120" t="str">
        <f aca="false">IF(AND(LEFT(Checks!$AH$642,10)="N/A – RULE",NOT(ISNUMBER(Checks!$AD$642)),Checks!$AE$642="",Checks!$T$642=""),"","Done: "&amp;IF(ISNUMBER(Checks!$AD$642),TEXT(Checks!$AD$642,"DD-MMM-YY HH:MM"),"____________")&amp;" "&amp;Checks!$P$642&amp;CHAR(10)&amp;"Verifier: "&amp;IF(Checks!$AE$642="","____________",Checks!$AE$642)&amp;CHAR(10)&amp;"PIC: "&amp;IF(Checks!$T$642="","____________",Checks!$T$642))</f>
        <v>Done: ____________ KIX
Verifier: ____________
PIC: ____________</v>
      </c>
      <c r="H49" s="121" t="str">
        <f aca="false">IF(Checks!$AH$642="","",Checks!$AH$642)</f>
        <v>OPEN</v>
      </c>
    </row>
    <row r="50" customFormat="false" ht="135.75" hidden="false" customHeight="true" outlineLevel="0" collapsed="false">
      <c r="A50" s="120" t="str">
        <f aca="false">Checks!$A$643&amp;CHAR(10)&amp;IF(Checks!$I$643="","",Checks!$I$643&amp;": ")&amp;Checks!$J$643</f>
        <v>F19-UPL-05
Sales Cart: Sales cart (caterer PASB) - on board</v>
      </c>
      <c r="B50" s="120" t="str">
        <f aca="false">Checks!$K$643&amp;IF(Checks!$O$643="","",IF(Checks!$K$643="","",CHAR(10))&amp;"Note: "&amp;Checks!$O$643)</f>
        <v>Location 643 &amp; 947 (A333, full cart)
Note: Block 8.08 h &gt;= 4 h. Reference names caterer PASB for the KUL/KIX/KUL sector but no uplift station: confirm whether the KIX-KUL sales cart is loaded at KUL (round trip) or at KIX.</v>
      </c>
      <c r="C50" s="120" t="str">
        <f aca="false">Checks!$N$643&amp;CHAR(10)&amp;IF(ISNUMBER(Checks!$R$643),TEXT(Checks!$R$643,"DD-MMM-YY HH:MM"),"")&amp;" "&amp;Checks!$P$643</f>
        <v>Clarification required
29-Oct-26 09:40 KIX</v>
      </c>
      <c r="D50" s="120" t="str">
        <f aca="false">IF(TRIM(Checks!$U$643)&lt;&gt;"",Checks!$U$643&amp;IF(Checks!$AB$643="","",CHAR(10)&amp;"CA: "&amp;Checks!$AB$643),IF(LEFT(Checks!$AH$643,10)="N/A – RULE","","[ ] Pass"&amp;CHAR(10)&amp;"[ ] Pass after CA"&amp;CHAR(10)&amp;"[ ] Fail"&amp;IF(Checks!$AT$643=1,CHAR(10)&amp;"[ ] N/A","")&amp;CHAR(10)&amp;"CA: Open / Closed"))</f>
        <v>[ ] Pass
[ ] Pass after CA
[ ] Fail
[ ] N/A
CA: Open / Closed</v>
      </c>
      <c r="E50" s="120" t="str">
        <f aca="false">IF(Checks!$V$643="","",Checks!$V$643)&amp;IF(Checks!$AC$643="","",IF(Checks!$V$643="","",CHAR(10))&amp;"N/A just.: "&amp;Checks!$AC$643)&amp;IF(OR(Checks!$W$643&lt;&gt;"",AND(Checks!$AQ$643=1,NOT(LEFT(Checks!$AH$643,10)="N/A – RULE"))),CHAR(10)&amp;"Batch: "&amp;IF(Checks!$W$643="","____________",Checks!$W$643),"")&amp;IF(OR(Checks!$X$643&lt;&gt;"",Checks!$Y$643&lt;&gt;"",AND(Checks!$AR$643=1,NOT(LEFT(Checks!$AH$643,10)="N/A – RULE"))),CHAR(10)&amp;"Exp: "&amp;IF(Checks!$X$643="","______",Checks!$X$643)&amp;"  /  Act: "&amp;IF(Checks!$Y$643="","______",Checks!$Y$643),"")</f>
        <v/>
      </c>
      <c r="F50" s="120" t="str">
        <f aca="false">IF(AND(LEFT(Checks!$AH$643,10)="N/A – RULE",TRIM(Checks!$S$643&amp;Checks!$Z$643)=""),"","Type: "&amp;IF(TRIM(Checks!$S$643)="","______________ (see cover list)",Checks!$S$643)&amp;CHAR(10)&amp;"ID: "&amp;IF(TRIM(Checks!$Z$643)="","______________ (record's own no.)",Checks!$Z$643))&amp;IF(Checks!$AA$643="","",CHAR(10)&amp;"CA: "&amp;Checks!$AA$643)</f>
        <v>Type: ______________ (see cover list)
ID: ______________ (record's own no.)</v>
      </c>
      <c r="G50" s="120" t="str">
        <f aca="false">IF(AND(LEFT(Checks!$AH$643,10)="N/A – RULE",NOT(ISNUMBER(Checks!$AD$643)),Checks!$AE$643="",Checks!$T$643=""),"","Done: "&amp;IF(ISNUMBER(Checks!$AD$643),TEXT(Checks!$AD$643,"DD-MMM-YY HH:MM"),"____________")&amp;" "&amp;Checks!$P$643&amp;CHAR(10)&amp;"Verifier: "&amp;IF(Checks!$AE$643="","____________",Checks!$AE$643)&amp;CHAR(10)&amp;"PIC: "&amp;IF(Checks!$T$643="","____________",Checks!$T$643))</f>
        <v>Done: ____________ KIX
Verifier: ____________
PIC: ____________</v>
      </c>
      <c r="H50" s="121" t="str">
        <f aca="false">IF(Checks!$AH$643="","",Checks!$AH$643)</f>
        <v>OPEN – CLARIFICATION</v>
      </c>
    </row>
    <row r="52" customFormat="false" ht="24" hidden="false" customHeight="true" outlineLevel="0" collapsed="false">
      <c r="A52" s="122" t="s">
        <v>4832</v>
      </c>
      <c r="B52" s="122"/>
      <c r="C52" s="122"/>
      <c r="D52" s="122"/>
      <c r="E52" s="122" t="s">
        <v>4833</v>
      </c>
      <c r="F52" s="122"/>
      <c r="G52" s="122"/>
      <c r="H52" s="122"/>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row r="59" customFormat="false" ht="21.75" hidden="false" customHeight="true" outlineLevel="0" collapsed="false">
      <c r="A59" s="123"/>
      <c r="B59" s="123"/>
      <c r="C59" s="123"/>
      <c r="D59" s="123"/>
      <c r="E59" s="123"/>
      <c r="F59" s="123"/>
      <c r="G59" s="123"/>
      <c r="H59" s="123"/>
    </row>
    <row r="60" customFormat="false" ht="21.75" hidden="false" customHeight="true" outlineLevel="0" collapsed="false">
      <c r="A60" s="123"/>
      <c r="B60" s="123"/>
      <c r="C60" s="123"/>
      <c r="D60" s="123"/>
      <c r="E60" s="123"/>
      <c r="F60" s="123"/>
      <c r="G60" s="123"/>
      <c r="H60" s="123"/>
    </row>
    <row r="61" customFormat="false" ht="21.75" hidden="false" customHeight="true" outlineLevel="0" collapsed="false">
      <c r="A61" s="123"/>
      <c r="B61" s="123"/>
      <c r="C61" s="123"/>
      <c r="D61" s="123"/>
      <c r="E61" s="123"/>
      <c r="F61" s="123"/>
      <c r="G61" s="123"/>
      <c r="H61" s="123"/>
    </row>
    <row r="62" customFormat="false" ht="21.75" hidden="false" customHeight="true" outlineLevel="0" collapsed="false">
      <c r="A62" s="123"/>
      <c r="B62" s="123"/>
      <c r="C62" s="123"/>
      <c r="D62" s="123"/>
      <c r="E62" s="123"/>
      <c r="F62" s="123"/>
      <c r="G62" s="123"/>
      <c r="H62"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45:H45"/>
    <mergeCell ref="A52:D52"/>
    <mergeCell ref="E52:H52"/>
    <mergeCell ref="A53:D62"/>
    <mergeCell ref="E53:H62"/>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50">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50">
    <cfRule type="expression" priority="18" aboveAverage="0" equalAverage="0" bottom="0" percent="0" rank="0" text="" dxfId="35">
      <formula>LEFT($H23,3)="N/A"</formula>
    </cfRule>
  </conditionalFormatting>
  <conditionalFormatting sqref="D23:D50">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F19 MH0053 29-Oct-26 KIX-KUL Class EY</oddHeader>
    <oddFooter>&amp;L&amp;"Arial,Bold"&amp;8 F19 MH0053 29-Oct-26 KIX-KUL Class EY&amp;C&amp;"Arial,Regular"&amp;8 Printed: ____________________&amp;R&amp;"Arial,Regular"&amp;8 F19  Page &amp;P of &amp;N</oddFooter>
  </headerFooter>
  <rowBreaks count="8" manualBreakCount="8">
    <brk id="20" man="true" max="16383" min="0"/>
    <brk id="26" man="true" max="16383" min="0"/>
    <brk id="30" man="true" max="16383" min="0"/>
    <brk id="35" man="true" max="16383" min="0"/>
    <brk id="39" man="true" max="16383" min="0"/>
    <brk id="42" man="true" max="16383" min="0"/>
    <brk id="44" man="true" max="16383" min="0"/>
    <brk id="49" man="true" max="16383" min="0"/>
  </rowBreaks>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F20  "&amp;Flights!$F$24&amp;"  "&amp;TEXT(Flights!$D$24,"DD-MMM-YY")&amp;" ("&amp;Flights!$E$24&amp;")  "&amp;Flights!$G$24&amp;" → "&amp;Flights!$H$24&amp;"  |  Class "&amp;Flights!$K$24</f>
        <v>SKYTRAX 2026 CATERING READINESS CHECKLIST  |  F20  MH1450  29-Oct-26 (THU)  KUL → LGK  |  Class EY</v>
      </c>
      <c r="B1" s="93"/>
      <c r="C1" s="93"/>
      <c r="D1" s="93"/>
      <c r="E1" s="93"/>
      <c r="F1" s="93"/>
      <c r="G1" s="93"/>
      <c r="H1" s="93"/>
    </row>
    <row r="2" customFormat="false" ht="12.75" hidden="false" customHeight="true" outlineLevel="0" collapsed="false">
      <c r="A2" s="94" t="s">
        <v>4788</v>
      </c>
      <c r="B2" s="95" t="str">
        <f aca="false">Flights!$F$24&amp;"   "&amp;TEXT(Flights!$D$24,"DD-MMM-YY")&amp;" ("&amp;Flights!$E$24&amp;")"</f>
        <v>MH1450   29-Oct-26 (THU)</v>
      </c>
      <c r="C2" s="95"/>
      <c r="D2" s="95"/>
      <c r="E2" s="96" t="s">
        <v>4789</v>
      </c>
      <c r="F2" s="97" t="str">
        <f aca="false">Flights!$AT$24</f>
        <v>NOT READY – DOCUMENTS</v>
      </c>
      <c r="G2" s="97"/>
      <c r="H2" s="97"/>
    </row>
    <row r="3" customFormat="false" ht="24" hidden="false" customHeight="true" outlineLevel="0" collapsed="false">
      <c r="A3" s="94" t="s">
        <v>4790</v>
      </c>
      <c r="B3" s="95" t="str">
        <f aca="false">Flights!$G$24&amp;" → "&amp;Flights!$H$24&amp;"   Class "&amp;Flights!$K$24&amp;"   Seat "&amp;Flights!$O$24</f>
        <v>KUL → LGK   Class EY   Seat 4A</v>
      </c>
      <c r="C3" s="95"/>
      <c r="D3" s="95"/>
      <c r="E3" s="96" t="s">
        <v>73</v>
      </c>
      <c r="F3" s="96" t="s">
        <v>4791</v>
      </c>
      <c r="G3" s="96" t="s">
        <v>4792</v>
      </c>
      <c r="H3" s="96"/>
    </row>
    <row r="4" customFormat="false" ht="24" hidden="false" customHeight="true" outlineLevel="0" collapsed="false">
      <c r="A4" s="94" t="s">
        <v>4793</v>
      </c>
      <c r="B4" s="95" t="str">
        <f aca="false">IF(ISNUMBER(Flights!$I$24),TEXT(Flights!$I$24,"DD-MMM-YY HH:MM"),"")&amp;" "&amp;Flights!$G$24&amp;"  →  "&amp;IF(ISNUMBER(Flights!$J$24),TEXT(Flights!$J$24,"DD-MMM-YY HH:MM"),"")&amp;" "&amp;Flights!$H$24</f>
        <v>29-Oct-26 18:30 KUL  →  29-Oct-26 20:00 LGK</v>
      </c>
      <c r="C4" s="95"/>
      <c r="D4" s="95"/>
      <c r="E4" s="94" t="s">
        <v>4794</v>
      </c>
      <c r="F4" s="98" t="str">
        <f aca="false">IF(ISNUMBER(Flights!$AG$24),TEXT(Flights!$AG$24,"DD-MMM-YY HH:MM"),"")&amp;" "&amp;Flights!$V$24</f>
        <v>22-Oct-26 18:30 KUL</v>
      </c>
      <c r="G4" s="99" t="n">
        <f aca="false">Flights!$AJ$24</f>
        <v>0</v>
      </c>
      <c r="H4" s="99"/>
    </row>
    <row r="5" customFormat="false" ht="24" hidden="false" customHeight="true" outlineLevel="0" collapsed="false">
      <c r="A5" s="94" t="s">
        <v>4795</v>
      </c>
      <c r="B5" s="95" t="str">
        <f aca="false">Flights!$L$24&amp;" – "&amp;Flights!$M$24</f>
        <v>B738MAX – B737-8 (B7M8)</v>
      </c>
      <c r="C5" s="95"/>
      <c r="D5" s="95"/>
      <c r="E5" s="94" t="s">
        <v>4796</v>
      </c>
      <c r="F5" s="98" t="str">
        <f aca="false">IF(ISNUMBER(Flights!$AH$24),TEXT(Flights!$AH$24,"DD-MMM-YY HH:MM"),"")&amp;" "&amp;Flights!$V$24</f>
        <v>28-Oct-26 18:30 KUL</v>
      </c>
      <c r="G5" s="99" t="n">
        <f aca="false">Flights!$AK$24</f>
        <v>0</v>
      </c>
      <c r="H5" s="99"/>
    </row>
    <row r="6" customFormat="false" ht="24" hidden="false" customHeight="true" outlineLevel="0" collapsed="false">
      <c r="A6" s="94" t="s">
        <v>4797</v>
      </c>
      <c r="B6" s="95" t="str">
        <f aca="false">IF(TRIM(Flights!$N$24)="","__________________",Flights!$N$24)</f>
        <v>__________________</v>
      </c>
      <c r="C6" s="95"/>
      <c r="D6" s="95"/>
      <c r="E6" s="94" t="s">
        <v>4798</v>
      </c>
      <c r="F6" s="98" t="str">
        <f aca="false">IF(ISNUMBER(Flights!$AI$24),TEXT(Flights!$AI$24,"DD-MMM-YY HH:MM"),"")&amp;" "&amp;Flights!$V$24&amp;IF(Flights!$AI$24=Flights!$AH$24,"  (= T-24H due)","")</f>
        <v>29-Oct-26 06:30 KUL</v>
      </c>
      <c r="G6" s="99" t="n">
        <f aca="false">Flights!$AL$24</f>
        <v>0</v>
      </c>
      <c r="H6" s="99"/>
    </row>
    <row r="7" customFormat="false" ht="24" hidden="false" customHeight="true" outlineLevel="0" collapsed="false">
      <c r="A7" s="94" t="s">
        <v>4799</v>
      </c>
      <c r="B7" s="95" t="str">
        <f aca="false">Flights!$T$24</f>
        <v>Refreshment (Peanut &amp; Water)</v>
      </c>
      <c r="C7" s="95"/>
      <c r="D7" s="95"/>
      <c r="E7" s="94" t="s">
        <v>4800</v>
      </c>
      <c r="F7" s="98" t="str">
        <f aca="false">"STD "&amp;IF(ISNUMBER(Flights!$I$24),TEXT(Flights!$I$24,"DD-MMM-YY HH:MM"),"")&amp;" "&amp;Flights!$G$24&amp;" (dep stn)"</f>
        <v>STD 29-Oct-26 18:30 KUL (dep stn)</v>
      </c>
      <c r="G7" s="99" t="n">
        <f aca="false">Flights!$AM$24</f>
        <v>0</v>
      </c>
      <c r="H7" s="99"/>
    </row>
    <row r="8" customFormat="false" ht="12.75" hidden="false" customHeight="true" outlineLevel="0" collapsed="false">
      <c r="A8" s="94" t="s">
        <v>155</v>
      </c>
      <c r="B8" s="95" t="str">
        <f aca="false">Flights!$V$24&amp;"   (reference uplift stns: "&amp;Flights!$U$24&amp;")"</f>
        <v>KUL   (reference uplift stns: KUL)</v>
      </c>
      <c r="C8" s="95"/>
      <c r="D8" s="95"/>
      <c r="E8" s="94" t="s">
        <v>4801</v>
      </c>
      <c r="F8" s="100" t="s">
        <v>4802</v>
      </c>
      <c r="G8" s="99" t="n">
        <f aca="false">Flights!$AN$24</f>
        <v>0</v>
      </c>
      <c r="H8" s="99"/>
    </row>
    <row r="9" customFormat="false" ht="12.75" hidden="false" customHeight="true" outlineLevel="0" collapsed="false">
      <c r="A9" s="94" t="s">
        <v>4803</v>
      </c>
      <c r="B9" s="95" t="str">
        <f aca="false">TRIM(Flights!$P$24&amp;"  "&amp;Flights!$Q$24)</f>
        <v>1H 45M Overnight LGK</v>
      </c>
      <c r="C9" s="95"/>
      <c r="D9" s="95"/>
      <c r="E9" s="94" t="s">
        <v>4804</v>
      </c>
      <c r="F9" s="101" t="n">
        <f aca="false">Flights!$AP$24</f>
        <v>0</v>
      </c>
      <c r="G9" s="102" t="n">
        <f aca="false">Flights!$AQ$24</f>
        <v>0</v>
      </c>
      <c r="H9" s="103" t="n">
        <f aca="false">Flights!$AU$24</f>
        <v>0</v>
      </c>
    </row>
    <row r="10" customFormat="false" ht="24" hidden="false" customHeight="true" outlineLevel="0" collapsed="false">
      <c r="A10" s="94" t="s">
        <v>4805</v>
      </c>
      <c r="B10" s="95" t="str">
        <f aca="false">IF(TRIM(Flights!$X$24)="","__________________",Flights!$X$24)</f>
        <v>__________________</v>
      </c>
      <c r="C10" s="95"/>
      <c r="D10" s="95"/>
      <c r="E10" s="94" t="s">
        <v>4806</v>
      </c>
      <c r="F10" s="104" t="n">
        <f aca="false">Flights!$AO$24</f>
        <v>20</v>
      </c>
      <c r="G10" s="105" t="n">
        <f aca="false">Flights!$AS$24</f>
        <v>0</v>
      </c>
      <c r="H10" s="106" t="n">
        <f aca="false">Flights!$AR$24</f>
        <v>2</v>
      </c>
    </row>
    <row r="11" customFormat="false" ht="21" hidden="false" customHeight="true" outlineLevel="0" collapsed="false">
      <c r="A11" s="94" t="s">
        <v>4807</v>
      </c>
      <c r="B11" s="95" t="str">
        <f aca="false">IF(TRIM(Flights!$Y$24)="","__________________",Flights!$Y$24)</f>
        <v>__________________</v>
      </c>
      <c r="C11" s="95"/>
      <c r="D11" s="95"/>
      <c r="E11" s="94" t="s">
        <v>4808</v>
      </c>
      <c r="F11" s="97" t="str">
        <f aca="false">Flights!$AV$24&amp;" / "&amp;Flights!$AW$24</f>
        <v>0 / 20</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IF(Documents!$F$24="","",Documents!$F$24)</f>
        <v/>
      </c>
      <c r="C15" s="100" t="str">
        <f aca="false">IF(Documents!$G$24="","",Documents!$G$24)&amp;IF(ISNUMBER(Documents!$H$24),"  "&amp;TEXT(Documents!$H$24,"DD-MMM-YY"),"")</f>
        <v/>
      </c>
      <c r="D15" s="100"/>
      <c r="E15" s="114" t="str">
        <f aca="false">IF(Documents!$J$24="OUTSTANDING","OUTSTANDING – attach before T-7D (due "&amp;IF(ISNUMBER(Flights!$AG$24),TEXT(Flights!$AG$24,"DD-MMM-YY HH:MM"),"")&amp;" "&amp;Flights!$V$24&amp;")",IF(Documents!$J$24="","Status not recorded",Documents!$J$24))</f>
        <v>OUTSTANDING – attach before T-7D (due 22-Oct-26 18:30 KUL)</v>
      </c>
      <c r="F15" s="115" t="str">
        <f aca="false">"Staple behind this sheet as page A1."&amp;IF(Documents!$I$24="",""," Location: "&amp;Documents!$I$24)</f>
        <v>Staple behind this sheet as page A1.</v>
      </c>
      <c r="G15" s="115"/>
      <c r="H15" s="115"/>
    </row>
    <row r="16" customFormat="false" ht="36" hidden="false" customHeight="true" outlineLevel="0" collapsed="false">
      <c r="A16" s="94" t="s">
        <v>4819</v>
      </c>
      <c r="B16" s="95" t="str">
        <f aca="false">IF(Documents!$K$24="","",Documents!$K$24)</f>
        <v/>
      </c>
      <c r="C16" s="100" t="str">
        <f aca="false">IF(Documents!$L$24="","",Documents!$L$24)&amp;IF(ISNUMBER(Documents!$M$24),"  "&amp;TEXT(Documents!$M$24,"DD-MMM-YY"),"")</f>
        <v/>
      </c>
      <c r="D16" s="100"/>
      <c r="E16" s="114" t="str">
        <f aca="false">IF(Documents!$O$24="OUTSTANDING","OUTSTANDING – attach before T-7D (due "&amp;IF(ISNUMBER(Flights!$AG$24),TEXT(Flights!$AG$24,"DD-MMM-YY HH:MM"),"")&amp;" "&amp;Flights!$V$24&amp;")",IF(Documents!$O$24="","Status not recorded",Documents!$O$24))</f>
        <v>OUTSTANDING – attach before T-7D (due 22-Oct-26 18:30 KUL)</v>
      </c>
      <c r="F16" s="115" t="str">
        <f aca="false">"Staple behind this sheet as page A2."&amp;IF(Documents!$N$24="",""," Location: "&amp;Documents!$N$24)</f>
        <v>Staple behind this sheet as page A2.</v>
      </c>
      <c r="G16" s="115"/>
      <c r="H16" s="115"/>
    </row>
    <row r="17" customFormat="false" ht="22.5" hidden="false" customHeight="true" outlineLevel="0" collapsed="false">
      <c r="A17" s="94" t="s">
        <v>4820</v>
      </c>
      <c r="B17" s="116" t="str">
        <f aca="false">IF(Documents!$Q$24="","",Documents!$Q$24)</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"&amp;IF(TRIM(Flights!$Y$24)="","__________________",Flights!$Y$24)</f>
        <v>Name: __________________</v>
      </c>
      <c r="B19" s="95"/>
      <c r="C19" s="95" t="str">
        <f aca="false">"Name: __________________"</f>
        <v>Name: __________________</v>
      </c>
      <c r="D19" s="95"/>
      <c r="E19" s="95"/>
      <c r="F19" s="95" t="str">
        <f aca="false">"Name: __________________"&amp;"   Station: "&amp;Flights!$V$24</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"&amp;IF(ISNUMBER(Flights!$AG$24),TEXT(Flights!$AG$24,"DD-MMM-YY HH:MM"),"")&amp;" "&amp;Flights!$V$24&amp;" (meal uplift stn)"&amp;" (rows with another due show their own)  |  Complete "&amp;IF(ISNUMBER(Flights!$AJ$24),TEXT(Flights!$AJ$24,"0%"),Flights!$AJ$24)&amp;"  |  9 lines"</f>
        <v>T-7D — 7 days before departure  |  Due 22-Oct-26 18:30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Checks!$A$644&amp;CHAR(10)&amp;IF(Checks!$I$644="","",Checks!$I$644&amp;": ")&amp;Checks!$J$644</f>
        <v>F20-T7-01
Meal: Meal sensory testing completed for this flight's menu cycle (assessed class)</v>
      </c>
      <c r="B23" s="120" t="str">
        <f aca="false">Checks!$K$644&amp;IF(Checks!$O$644="","",IF(Checks!$K$644="","",CHAR(10))&amp;"Note: "&amp;Checks!$O$644)</f>
        <v>Record panel result / score in Result
Note: Refreshment service: sensory test covers the refreshment items.</v>
      </c>
      <c r="C23" s="120" t="str">
        <f aca="false">Checks!$N$644&amp;CHAR(10)&amp;IF(ISNUMBER(Checks!$R$644),TEXT(Checks!$R$644,"DD-MMM-YY HH:MM"),"")&amp;" "&amp;Checks!$P$644</f>
        <v>Required
22-Oct-26 18:30 KUL</v>
      </c>
      <c r="D23" s="120" t="str">
        <f aca="false">IF(TRIM(Checks!$U$644)&lt;&gt;"",Checks!$U$644&amp;IF(Checks!$AB$644="","",CHAR(10)&amp;"CA: "&amp;Checks!$AB$644),IF(LEFT(Checks!$AH$644,10)="N/A – RULE","","[ ] Pass"&amp;CHAR(10)&amp;"[ ] Pass after CA"&amp;CHAR(10)&amp;"[ ] Fail"&amp;IF(Checks!$AT$644=1,CHAR(10)&amp;"[ ] N/A","")&amp;CHAR(10)&amp;"CA: Open / Closed"))</f>
        <v>[ ] Pass
[ ] Pass after CA
[ ] Fail
CA: Open / Closed</v>
      </c>
      <c r="E23" s="120" t="str">
        <f aca="false">IF(Checks!$V$644="","",Checks!$V$644)&amp;IF(Checks!$AC$644="","",IF(Checks!$V$644="","",CHAR(10))&amp;"N/A just.: "&amp;Checks!$AC$644)&amp;IF(OR(Checks!$W$644&lt;&gt;"",AND(Checks!$AQ$644=1,NOT(LEFT(Checks!$AH$644,10)="N/A – RULE"))),CHAR(10)&amp;"Batch: "&amp;IF(Checks!$W$644="","____________",Checks!$W$644),"")&amp;IF(OR(Checks!$X$644&lt;&gt;"",Checks!$Y$644&lt;&gt;"",AND(Checks!$AR$644=1,NOT(LEFT(Checks!$AH$644,10)="N/A – RULE"))),CHAR(10)&amp;"Exp: "&amp;IF(Checks!$X$644="","______",Checks!$X$644)&amp;"  /  Act: "&amp;IF(Checks!$Y$644="","______",Checks!$Y$644),"")</f>
        <v/>
      </c>
      <c r="F23" s="120" t="str">
        <f aca="false">IF(AND(LEFT(Checks!$AH$644,10)="N/A – RULE",TRIM(Checks!$S$644&amp;Checks!$Z$644)=""),"","Type: "&amp;IF(TRIM(Checks!$S$644)="","______________ (see cover list)",Checks!$S$644)&amp;CHAR(10)&amp;"ID: "&amp;IF(TRIM(Checks!$Z$644)="","______________ (record's own no.)",Checks!$Z$644))&amp;IF(Checks!$AA$644="","",CHAR(10)&amp;"CA: "&amp;Checks!$AA$644)</f>
        <v>Type: ______________ (see cover list)
ID: ______________ (record's own no.)</v>
      </c>
      <c r="G23" s="120" t="str">
        <f aca="false">IF(AND(LEFT(Checks!$AH$644,10)="N/A – RULE",NOT(ISNUMBER(Checks!$AD$644)),Checks!$AE$644="",Checks!$T$644=""),"","Done: "&amp;IF(ISNUMBER(Checks!$AD$644),TEXT(Checks!$AD$644,"DD-MMM-YY HH:MM"),"____________")&amp;" "&amp;Checks!$P$644&amp;CHAR(10)&amp;"Verifier: "&amp;IF(Checks!$AE$644="","____________",Checks!$AE$644)&amp;CHAR(10)&amp;"PIC: "&amp;IF(Checks!$T$644="","____________",Checks!$T$644))</f>
        <v>Done: ____________ KUL
Verifier: ____________
PIC: ____________</v>
      </c>
      <c r="H23" s="121" t="str">
        <f aca="false">IF(Checks!$AH$644="","",Checks!$AH$644)</f>
        <v>OPEN</v>
      </c>
    </row>
    <row r="24" customFormat="false" ht="114" hidden="false" customHeight="true" outlineLevel="0" collapsed="false">
      <c r="A24" s="120" t="str">
        <f aca="false">Checks!$A$645&amp;CHAR(10)&amp;IF(Checks!$I$645="","",Checks!$I$645&amp;": ")&amp;Checks!$J$645</f>
        <v>F20-T7-02
Menu: Printed menu cards confirmed (content, cycle, language, quantity)</v>
      </c>
      <c r="B24" s="120" t="str">
        <f aca="false">Checks!$K$645&amp;IF(Checks!$O$645="","",IF(Checks!$K$645="","",CHAR(10))&amp;"Note: "&amp;Checks!$O$645)</f>
        <v>Menu card matches approved menu for this flight
Note: Refreshment service (peanut &amp; water). If no printed menu card is used, mark N/A with the confirmation as justification.</v>
      </c>
      <c r="C24" s="120" t="str">
        <f aca="false">Checks!$N$645&amp;CHAR(10)&amp;IF(ISNUMBER(Checks!$R$645),TEXT(Checks!$R$645,"DD-MMM-YY HH:MM"),"")&amp;" "&amp;Checks!$P$645</f>
        <v>Required
22-Oct-26 18:30 KUL</v>
      </c>
      <c r="D24" s="120" t="str">
        <f aca="false">IF(TRIM(Checks!$U$645)&lt;&gt;"",Checks!$U$645&amp;IF(Checks!$AB$645="","",CHAR(10)&amp;"CA: "&amp;Checks!$AB$645),IF(LEFT(Checks!$AH$645,10)="N/A – RULE","","[ ] Pass"&amp;CHAR(10)&amp;"[ ] Pass after CA"&amp;CHAR(10)&amp;"[ ] Fail"&amp;IF(Checks!$AT$645=1,CHAR(10)&amp;"[ ] N/A","")&amp;CHAR(10)&amp;"CA: Open / Closed"))</f>
        <v>[ ] Pass
[ ] Pass after CA
[ ] Fail
[ ] N/A
CA: Open / Closed</v>
      </c>
      <c r="E24" s="120" t="str">
        <f aca="false">IF(Checks!$V$645="","",Checks!$V$645)&amp;IF(Checks!$AC$645="","",IF(Checks!$V$645="","",CHAR(10))&amp;"N/A just.: "&amp;Checks!$AC$645)&amp;IF(OR(Checks!$W$645&lt;&gt;"",AND(Checks!$AQ$645=1,NOT(LEFT(Checks!$AH$645,10)="N/A – RULE"))),CHAR(10)&amp;"Batch: "&amp;IF(Checks!$W$645="","____________",Checks!$W$645),"")&amp;IF(OR(Checks!$X$645&lt;&gt;"",Checks!$Y$645&lt;&gt;"",AND(Checks!$AR$645=1,NOT(LEFT(Checks!$AH$645,10)="N/A – RULE"))),CHAR(10)&amp;"Exp: "&amp;IF(Checks!$X$645="","______",Checks!$X$645)&amp;"  /  Act: "&amp;IF(Checks!$Y$645="","______",Checks!$Y$645),"")</f>
        <v/>
      </c>
      <c r="F24" s="120" t="str">
        <f aca="false">IF(AND(LEFT(Checks!$AH$645,10)="N/A – RULE",TRIM(Checks!$S$645&amp;Checks!$Z$645)=""),"","Type: "&amp;IF(TRIM(Checks!$S$645)="","______________ (see cover list)",Checks!$S$645)&amp;CHAR(10)&amp;"ID: "&amp;IF(TRIM(Checks!$Z$645)="","______________ (record's own no.)",Checks!$Z$645))&amp;IF(Checks!$AA$645="","",CHAR(10)&amp;"CA: "&amp;Checks!$AA$645)</f>
        <v>Type: ______________ (see cover list)
ID: ______________ (record's own no.)</v>
      </c>
      <c r="G24" s="120" t="str">
        <f aca="false">IF(AND(LEFT(Checks!$AH$645,10)="N/A – RULE",NOT(ISNUMBER(Checks!$AD$645)),Checks!$AE$645="",Checks!$T$645=""),"","Done: "&amp;IF(ISNUMBER(Checks!$AD$645),TEXT(Checks!$AD$645,"DD-MMM-YY HH:MM"),"____________")&amp;" "&amp;Checks!$P$645&amp;CHAR(10)&amp;"Verifier: "&amp;IF(Checks!$AE$645="","____________",Checks!$AE$645)&amp;CHAR(10)&amp;"PIC: "&amp;IF(Checks!$T$645="","____________",Checks!$T$645))</f>
        <v>Done: ____________ KUL
Verifier: ____________
PIC: ____________</v>
      </c>
      <c r="H24" s="121" t="str">
        <f aca="false">IF(Checks!$AH$645="","",Checks!$AH$645)</f>
        <v>OPEN</v>
      </c>
    </row>
    <row r="25" customFormat="false" ht="114" hidden="false" customHeight="true" outlineLevel="0" collapsed="false">
      <c r="A25" s="120" t="str">
        <f aca="false">Checks!$A$646&amp;CHAR(10)&amp;IF(Checks!$I$646="","",Checks!$I$646&amp;": ")&amp;Checks!$J$646</f>
        <v>F20-T7-03
IFE: Digital menu in IFE confirmed (A339 only)</v>
      </c>
      <c r="B25" s="120" t="str">
        <f aca="false">Checks!$K$646&amp;IF(Checks!$O$646="","",IF(Checks!$K$646="","",CHAR(10))&amp;"Note: "&amp;Checks!$O$646)</f>
        <v>Applies when fleet = A339
Note: Digital IFE menu applies to A339 only (user brief). Applicability follows the Fleet cell on Flights.</v>
      </c>
      <c r="C25" s="120" t="str">
        <f aca="false">Checks!$N$646&amp;CHAR(10)&amp;IF(ISNUMBER(Checks!$R$646),TEXT(Checks!$R$646,"DD-MMM-YY HH:MM"),"")&amp;" "&amp;Checks!$P$646</f>
        <v>N/A – rule
22-Oct-26 18:30 KUL</v>
      </c>
      <c r="D25" s="120" t="str">
        <f aca="false">IF(TRIM(Checks!$U$646)&lt;&gt;"",Checks!$U$646&amp;IF(Checks!$AB$646="","",CHAR(10)&amp;"CA: "&amp;Checks!$AB$646),IF(LEFT(Checks!$AH$646,10)="N/A – RULE","","[ ] Pass"&amp;CHAR(10)&amp;"[ ] Pass after CA"&amp;CHAR(10)&amp;"[ ] Fail"&amp;IF(Checks!$AT$646=1,CHAR(10)&amp;"[ ] N/A","")&amp;CHAR(10)&amp;"CA: Open / Closed"))</f>
        <v/>
      </c>
      <c r="E25" s="120" t="str">
        <f aca="false">IF(Checks!$V$646="","",Checks!$V$646)&amp;IF(Checks!$AC$646="","",IF(Checks!$V$646="","",CHAR(10))&amp;"N/A just.: "&amp;Checks!$AC$646)&amp;IF(OR(Checks!$W$646&lt;&gt;"",AND(Checks!$AQ$646=1,NOT(LEFT(Checks!$AH$646,10)="N/A – RULE"))),CHAR(10)&amp;"Batch: "&amp;IF(Checks!$W$646="","____________",Checks!$W$646),"")&amp;IF(OR(Checks!$X$646&lt;&gt;"",Checks!$Y$646&lt;&gt;"",AND(Checks!$AR$646=1,NOT(LEFT(Checks!$AH$646,10)="N/A – RULE"))),CHAR(10)&amp;"Exp: "&amp;IF(Checks!$X$646="","______",Checks!$X$646)&amp;"  /  Act: "&amp;IF(Checks!$Y$646="","______",Checks!$Y$646),"")</f>
        <v/>
      </c>
      <c r="F25" s="120" t="str">
        <f aca="false">IF(AND(LEFT(Checks!$AH$646,10)="N/A – RULE",TRIM(Checks!$S$646&amp;Checks!$Z$646)=""),"","Type: "&amp;IF(TRIM(Checks!$S$646)="","______________ (see cover list)",Checks!$S$646)&amp;CHAR(10)&amp;"ID: "&amp;IF(TRIM(Checks!$Z$646)="","______________ (record's own no.)",Checks!$Z$646))&amp;IF(Checks!$AA$646="","",CHAR(10)&amp;"CA: "&amp;Checks!$AA$646)</f>
        <v/>
      </c>
      <c r="G25" s="120" t="str">
        <f aca="false">IF(AND(LEFT(Checks!$AH$646,10)="N/A – RULE",NOT(ISNUMBER(Checks!$AD$646)),Checks!$AE$646="",Checks!$T$646=""),"","Done: "&amp;IF(ISNUMBER(Checks!$AD$646),TEXT(Checks!$AD$646,"DD-MMM-YY HH:MM"),"____________")&amp;" "&amp;Checks!$P$646&amp;CHAR(10)&amp;"Verifier: "&amp;IF(Checks!$AE$646="","____________",Checks!$AE$646)&amp;CHAR(10)&amp;"PIC: "&amp;IF(Checks!$T$646="","____________",Checks!$T$646))</f>
        <v/>
      </c>
      <c r="H25" s="121" t="str">
        <f aca="false">IF(Checks!$AH$646="","",Checks!$AH$646)</f>
        <v>N/A – RULE</v>
      </c>
    </row>
    <row r="26" customFormat="false" ht="114" hidden="false" customHeight="true" outlineLevel="0" collapsed="false">
      <c r="A26" s="120" t="str">
        <f aca="false">Checks!$A$647&amp;CHAR(10)&amp;IF(Checks!$I$647="","",Checks!$I$647&amp;": ")&amp;Checks!$J$647</f>
        <v>F20-T7-04
Staffing: Experienced catering officer assigned to this flight</v>
      </c>
      <c r="B26" s="120" t="str">
        <f aca="false">Checks!$K$647&amp;IF(Checks!$O$647="","",IF(Checks!$K$647="","",CHAR(10))&amp;"Note: "&amp;Checks!$O$647)</f>
        <v>Record officer name in Result</v>
      </c>
      <c r="C26" s="120" t="str">
        <f aca="false">Checks!$N$647&amp;CHAR(10)&amp;IF(ISNUMBER(Checks!$R$647),TEXT(Checks!$R$647,"DD-MMM-YY HH:MM"),"")&amp;" "&amp;Checks!$P$647</f>
        <v>Required
22-Oct-26 18:30 KUL</v>
      </c>
      <c r="D26" s="120" t="str">
        <f aca="false">IF(TRIM(Checks!$U$647)&lt;&gt;"",Checks!$U$647&amp;IF(Checks!$AB$647="","",CHAR(10)&amp;"CA: "&amp;Checks!$AB$647),IF(LEFT(Checks!$AH$647,10)="N/A – RULE","","[ ] Pass"&amp;CHAR(10)&amp;"[ ] Pass after CA"&amp;CHAR(10)&amp;"[ ] Fail"&amp;IF(Checks!$AT$647=1,CHAR(10)&amp;"[ ] N/A","")&amp;CHAR(10)&amp;"CA: Open / Closed"))</f>
        <v>[ ] Pass
[ ] Pass after CA
[ ] Fail
CA: Open / Closed</v>
      </c>
      <c r="E26" s="120" t="str">
        <f aca="false">IF(Checks!$V$647="","",Checks!$V$647)&amp;IF(Checks!$AC$647="","",IF(Checks!$V$647="","",CHAR(10))&amp;"N/A just.: "&amp;Checks!$AC$647)&amp;IF(OR(Checks!$W$647&lt;&gt;"",AND(Checks!$AQ$647=1,NOT(LEFT(Checks!$AH$647,10)="N/A – RULE"))),CHAR(10)&amp;"Batch: "&amp;IF(Checks!$W$647="","____________",Checks!$W$647),"")&amp;IF(OR(Checks!$X$647&lt;&gt;"",Checks!$Y$647&lt;&gt;"",AND(Checks!$AR$647=1,NOT(LEFT(Checks!$AH$647,10)="N/A – RULE"))),CHAR(10)&amp;"Exp: "&amp;IF(Checks!$X$647="","______",Checks!$X$647)&amp;"  /  Act: "&amp;IF(Checks!$Y$647="","______",Checks!$Y$647),"")</f>
        <v/>
      </c>
      <c r="F26" s="120" t="str">
        <f aca="false">IF(AND(LEFT(Checks!$AH$647,10)="N/A – RULE",TRIM(Checks!$S$647&amp;Checks!$Z$647)=""),"","Type: "&amp;IF(TRIM(Checks!$S$647)="","______________ (see cover list)",Checks!$S$647)&amp;CHAR(10)&amp;"ID: "&amp;IF(TRIM(Checks!$Z$647)="","______________ (record's own no.)",Checks!$Z$647))&amp;IF(Checks!$AA$647="","",CHAR(10)&amp;"CA: "&amp;Checks!$AA$647)</f>
        <v>Type: ______________ (see cover list)
ID: ______________ (record's own no.)</v>
      </c>
      <c r="G26" s="120" t="str">
        <f aca="false">IF(AND(LEFT(Checks!$AH$647,10)="N/A – RULE",NOT(ISNUMBER(Checks!$AD$647)),Checks!$AE$647="",Checks!$T$647=""),"","Done: "&amp;IF(ISNUMBER(Checks!$AD$647),TEXT(Checks!$AD$647,"DD-MMM-YY HH:MM"),"____________")&amp;" "&amp;Checks!$P$647&amp;CHAR(10)&amp;"Verifier: "&amp;IF(Checks!$AE$647="","____________",Checks!$AE$647)&amp;CHAR(10)&amp;"PIC: "&amp;IF(Checks!$T$647="","____________",Checks!$T$647))</f>
        <v>Done: ____________ KUL
Verifier: ____________
PIC: ____________</v>
      </c>
      <c r="H26" s="121" t="str">
        <f aca="false">IF(Checks!$AH$647="","",Checks!$AH$647)</f>
        <v>OPEN</v>
      </c>
    </row>
    <row r="27" customFormat="false" ht="114" hidden="false" customHeight="true" outlineLevel="0" collapsed="false">
      <c r="A27" s="120" t="str">
        <f aca="false">Checks!$A$648&amp;CHAR(10)&amp;IF(Checks!$I$648="","",Checks!$I$648&amp;": ")&amp;Checks!$J$648</f>
        <v>F20-T7-05
ISOP: All latest applicable ISOP revisions communicated to caterer</v>
      </c>
      <c r="B27" s="120" t="str">
        <f aca="false">Checks!$K$648&amp;IF(Checks!$O$648="","",IF(Checks!$K$648="","",CHAR(10))&amp;"Note: "&amp;Checks!$O$648)</f>
        <v>List revision numbers in Result (see ISOP register)</v>
      </c>
      <c r="C27" s="120" t="str">
        <f aca="false">Checks!$N$648&amp;CHAR(10)&amp;IF(ISNUMBER(Checks!$R$648),TEXT(Checks!$R$648,"DD-MMM-YY HH:MM"),"")&amp;" "&amp;Checks!$P$648</f>
        <v>Required
22-Oct-26 18:30 KUL</v>
      </c>
      <c r="D27" s="120" t="str">
        <f aca="false">IF(TRIM(Checks!$U$648)&lt;&gt;"",Checks!$U$648&amp;IF(Checks!$AB$648="","",CHAR(10)&amp;"CA: "&amp;Checks!$AB$648),IF(LEFT(Checks!$AH$648,10)="N/A – RULE","","[ ] Pass"&amp;CHAR(10)&amp;"[ ] Pass after CA"&amp;CHAR(10)&amp;"[ ] Fail"&amp;IF(Checks!$AT$648=1,CHAR(10)&amp;"[ ] N/A","")&amp;CHAR(10)&amp;"CA: Open / Closed"))</f>
        <v>[ ] Pass
[ ] Pass after CA
[ ] Fail
CA: Open / Closed</v>
      </c>
      <c r="E27" s="120" t="str">
        <f aca="false">IF(Checks!$V$648="","",Checks!$V$648)&amp;IF(Checks!$AC$648="","",IF(Checks!$V$648="","",CHAR(10))&amp;"N/A just.: "&amp;Checks!$AC$648)&amp;IF(OR(Checks!$W$648&lt;&gt;"",AND(Checks!$AQ$648=1,NOT(LEFT(Checks!$AH$648,10)="N/A – RULE"))),CHAR(10)&amp;"Batch: "&amp;IF(Checks!$W$648="","____________",Checks!$W$648),"")&amp;IF(OR(Checks!$X$648&lt;&gt;"",Checks!$Y$648&lt;&gt;"",AND(Checks!$AR$648=1,NOT(LEFT(Checks!$AH$648,10)="N/A – RULE"))),CHAR(10)&amp;"Exp: "&amp;IF(Checks!$X$648="","______",Checks!$X$648)&amp;"  /  Act: "&amp;IF(Checks!$Y$648="","______",Checks!$Y$648),"")</f>
        <v/>
      </c>
      <c r="F27" s="120" t="str">
        <f aca="false">IF(AND(LEFT(Checks!$AH$648,10)="N/A – RULE",TRIM(Checks!$S$648&amp;Checks!$Z$648)=""),"","Type: "&amp;IF(TRIM(Checks!$S$648)="","______________ (see cover list)",Checks!$S$648)&amp;CHAR(10)&amp;"ID: "&amp;IF(TRIM(Checks!$Z$648)="","______________ (record's own no.)",Checks!$Z$648))&amp;IF(Checks!$AA$648="","",CHAR(10)&amp;"CA: "&amp;Checks!$AA$648)</f>
        <v>Type: ______________ (see cover list)
ID: ______________ (record's own no.)</v>
      </c>
      <c r="G27" s="120" t="str">
        <f aca="false">IF(AND(LEFT(Checks!$AH$648,10)="N/A – RULE",NOT(ISNUMBER(Checks!$AD$648)),Checks!$AE$648="",Checks!$T$648=""),"","Done: "&amp;IF(ISNUMBER(Checks!$AD$648),TEXT(Checks!$AD$648,"DD-MMM-YY HH:MM"),"____________")&amp;" "&amp;Checks!$P$648&amp;CHAR(10)&amp;"Verifier: "&amp;IF(Checks!$AE$648="","____________",Checks!$AE$648)&amp;CHAR(10)&amp;"PIC: "&amp;IF(Checks!$T$648="","____________",Checks!$T$648))</f>
        <v>Done: ____________ KUL
Verifier: ____________
PIC: ____________</v>
      </c>
      <c r="H27" s="121" t="str">
        <f aca="false">IF(Checks!$AH$648="","",Checks!$AH$648)</f>
        <v>OPEN</v>
      </c>
    </row>
    <row r="28" customFormat="false" ht="114" hidden="false" customHeight="true" outlineLevel="0" collapsed="false">
      <c r="A28" s="120" t="str">
        <f aca="false">Checks!$A$649&amp;CHAR(10)&amp;IF(Checks!$I$649="","",Checks!$I$649&amp;": ")&amp;Checks!$J$649</f>
        <v>F20-T7-06
ISOP: Caterer acknowledgement of ISOP revisions recorded</v>
      </c>
      <c r="B28" s="120" t="str">
        <f aca="false">Checks!$K$649&amp;IF(Checks!$O$649="","",IF(Checks!$K$649="","",CHAR(10))&amp;"Note: "&amp;Checks!$O$649)</f>
        <v>Record acknowledgement ref in Evidence</v>
      </c>
      <c r="C28" s="120" t="str">
        <f aca="false">Checks!$N$649&amp;CHAR(10)&amp;IF(ISNUMBER(Checks!$R$649),TEXT(Checks!$R$649,"DD-MMM-YY HH:MM"),"")&amp;" "&amp;Checks!$P$649</f>
        <v>Required
22-Oct-26 18:30 KUL</v>
      </c>
      <c r="D28" s="120" t="str">
        <f aca="false">IF(TRIM(Checks!$U$649)&lt;&gt;"",Checks!$U$649&amp;IF(Checks!$AB$649="","",CHAR(10)&amp;"CA: "&amp;Checks!$AB$649),IF(LEFT(Checks!$AH$649,10)="N/A – RULE","","[ ] Pass"&amp;CHAR(10)&amp;"[ ] Pass after CA"&amp;CHAR(10)&amp;"[ ] Fail"&amp;IF(Checks!$AT$649=1,CHAR(10)&amp;"[ ] N/A","")&amp;CHAR(10)&amp;"CA: Open / Closed"))</f>
        <v>[ ] Pass
[ ] Pass after CA
[ ] Fail
CA: Open / Closed</v>
      </c>
      <c r="E28" s="120" t="str">
        <f aca="false">IF(Checks!$V$649="","",Checks!$V$649)&amp;IF(Checks!$AC$649="","",IF(Checks!$V$649="","",CHAR(10))&amp;"N/A just.: "&amp;Checks!$AC$649)&amp;IF(OR(Checks!$W$649&lt;&gt;"",AND(Checks!$AQ$649=1,NOT(LEFT(Checks!$AH$649,10)="N/A – RULE"))),CHAR(10)&amp;"Batch: "&amp;IF(Checks!$W$649="","____________",Checks!$W$649),"")&amp;IF(OR(Checks!$X$649&lt;&gt;"",Checks!$Y$649&lt;&gt;"",AND(Checks!$AR$649=1,NOT(LEFT(Checks!$AH$649,10)="N/A – RULE"))),CHAR(10)&amp;"Exp: "&amp;IF(Checks!$X$649="","______",Checks!$X$649)&amp;"  /  Act: "&amp;IF(Checks!$Y$649="","______",Checks!$Y$649),"")</f>
        <v/>
      </c>
      <c r="F28" s="120" t="str">
        <f aca="false">IF(AND(LEFT(Checks!$AH$649,10)="N/A – RULE",TRIM(Checks!$S$649&amp;Checks!$Z$649)=""),"","Type: "&amp;IF(TRIM(Checks!$S$649)="","______________ (see cover list)",Checks!$S$649)&amp;CHAR(10)&amp;"ID: "&amp;IF(TRIM(Checks!$Z$649)="","______________ (record's own no.)",Checks!$Z$649))&amp;IF(Checks!$AA$649="","",CHAR(10)&amp;"CA: "&amp;Checks!$AA$649)</f>
        <v>Type: ______________ (see cover list)
ID: ______________ (record's own no.)</v>
      </c>
      <c r="G28" s="120" t="str">
        <f aca="false">IF(AND(LEFT(Checks!$AH$649,10)="N/A – RULE",NOT(ISNUMBER(Checks!$AD$649)),Checks!$AE$649="",Checks!$T$649=""),"","Done: "&amp;IF(ISNUMBER(Checks!$AD$649),TEXT(Checks!$AD$649,"DD-MMM-YY HH:MM"),"____________")&amp;" "&amp;Checks!$P$649&amp;CHAR(10)&amp;"Verifier: "&amp;IF(Checks!$AE$649="","____________",Checks!$AE$649)&amp;CHAR(10)&amp;"PIC: "&amp;IF(Checks!$T$649="","____________",Checks!$T$649))</f>
        <v>Done: ____________ KUL
Verifier: ____________
PIC: ____________</v>
      </c>
      <c r="H28" s="121" t="str">
        <f aca="false">IF(Checks!$AH$649="","",Checks!$AH$649)</f>
        <v>OPEN</v>
      </c>
    </row>
    <row r="29" customFormat="false" ht="114" hidden="false" customHeight="true" outlineLevel="0" collapsed="false">
      <c r="A29" s="120" t="str">
        <f aca="false">Checks!$A$650&amp;CHAR(10)&amp;IF(Checks!$I$650="","",Checks!$I$650&amp;": ")&amp;Checks!$J$650</f>
        <v>F20-T7-07
Documents: Galley loading diagram (GLD) received, revision recorded &amp; attached</v>
      </c>
      <c r="B29" s="120" t="str">
        <f aca="false">SUBSTITUTE(Checks!$K$650&amp;IF(Checks!$O$650="","",IF(Checks!$K$650="","",CHAR(10))&amp;"Note: "&amp;Checks!$O$650),"Documents sheet row complete","Recorded on the Documents sheet; copy stapled as A1 / A2")</f>
        <v>Recorded on the Documents sheet; copy stapled as A1 / A2</v>
      </c>
      <c r="C29" s="120" t="str">
        <f aca="false">Checks!$N$650&amp;CHAR(10)&amp;IF(ISNUMBER(Checks!$R$650),TEXT(Checks!$R$650,"DD-MMM-YY HH:MM"),"")&amp;" "&amp;Checks!$P$650</f>
        <v>Required
22-Oct-26 18:30 KUL</v>
      </c>
      <c r="D29" s="120" t="str">
        <f aca="false">IF(TRIM(Checks!$U$650)&lt;&gt;"",Checks!$U$650&amp;IF(Checks!$AB$650="","",CHAR(10)&amp;"CA: "&amp;Checks!$AB$650),IF(LEFT(Checks!$AH$650,10)="N/A – RULE","","[ ] Pass"&amp;CHAR(10)&amp;"[ ] Pass after CA"&amp;CHAR(10)&amp;"[ ] Fail"&amp;IF(Checks!$AT$650=1,CHAR(10)&amp;"[ ] N/A","")&amp;CHAR(10)&amp;"CA: Open / Closed"))</f>
        <v>[ ] Pass
[ ] Pass after CA
[ ] Fail
CA: Open / Closed</v>
      </c>
      <c r="E29" s="120" t="str">
        <f aca="false">IF(Checks!$V$650="","",Checks!$V$650)&amp;IF(Checks!$AC$650="","",IF(Checks!$V$650="","",CHAR(10))&amp;"N/A just.: "&amp;Checks!$AC$650)&amp;IF(OR(Checks!$W$650&lt;&gt;"",AND(Checks!$AQ$650=1,NOT(LEFT(Checks!$AH$650,10)="N/A – RULE"))),CHAR(10)&amp;"Batch: "&amp;IF(Checks!$W$650="","____________",Checks!$W$650),"")&amp;IF(OR(Checks!$X$650&lt;&gt;"",Checks!$Y$650&lt;&gt;"",AND(Checks!$AR$650=1,NOT(LEFT(Checks!$AH$650,10)="N/A – RULE"))),CHAR(10)&amp;"Exp: "&amp;IF(Checks!$X$650="","______",Checks!$X$650)&amp;"  /  Act: "&amp;IF(Checks!$Y$650="","______",Checks!$Y$650),"")</f>
        <v/>
      </c>
      <c r="F29" s="120" t="str">
        <f aca="false">IF(AND(LEFT(Checks!$AH$650,10)="N/A – RULE",TRIM(Checks!$S$650&amp;Checks!$Z$650)=""),"","Type: "&amp;IF(TRIM(Checks!$S$650)="","______________ (see cover list)",Checks!$S$650)&amp;CHAR(10)&amp;"ID: "&amp;IF(TRIM(Checks!$Z$650)="","______________ (record's own no.)",Checks!$Z$650))&amp;IF(Checks!$AA$650="","",CHAR(10)&amp;"CA: "&amp;Checks!$AA$650)</f>
        <v>Type: ______________ (see cover list)
ID: ______________ (record's own no.)</v>
      </c>
      <c r="G29" s="120" t="str">
        <f aca="false">IF(AND(LEFT(Checks!$AH$650,10)="N/A – RULE",NOT(ISNUMBER(Checks!$AD$650)),Checks!$AE$650="",Checks!$T$650=""),"","Done: "&amp;IF(ISNUMBER(Checks!$AD$650),TEXT(Checks!$AD$650,"DD-MMM-YY HH:MM"),"____________")&amp;" "&amp;Checks!$P$650&amp;CHAR(10)&amp;"Verifier: "&amp;IF(Checks!$AE$650="","____________",Checks!$AE$650)&amp;CHAR(10)&amp;"PIC: "&amp;IF(Checks!$T$650="","____________",Checks!$T$650))</f>
        <v>Done: ____________ KUL
Verifier: ____________
PIC: ____________</v>
      </c>
      <c r="H29" s="121" t="str">
        <f aca="false">IF(Checks!$AH$650="","",Checks!$AH$650)</f>
        <v>OPEN</v>
      </c>
    </row>
    <row r="30" customFormat="false" ht="114" hidden="false" customHeight="true" outlineLevel="0" collapsed="false">
      <c r="A30" s="120" t="str">
        <f aca="false">Checks!$A$651&amp;CHAR(10)&amp;IF(Checks!$I$651="","",Checks!$I$651&amp;": ")&amp;Checks!$J$651</f>
        <v>F20-T7-08
Documents: Menu checklist received, revision recorded &amp; attached</v>
      </c>
      <c r="B30" s="120" t="str">
        <f aca="false">SUBSTITUTE(Checks!$K$651&amp;IF(Checks!$O$651="","",IF(Checks!$K$651="","",CHAR(10))&amp;"Note: "&amp;Checks!$O$651),"Documents sheet row complete","Recorded on the Documents sheet; copy stapled as A1 / A2")</f>
        <v>Recorded on the Documents sheet; copy stapled as A1 / A2</v>
      </c>
      <c r="C30" s="120" t="str">
        <f aca="false">Checks!$N$651&amp;CHAR(10)&amp;IF(ISNUMBER(Checks!$R$651),TEXT(Checks!$R$651,"DD-MMM-YY HH:MM"),"")&amp;" "&amp;Checks!$P$651</f>
        <v>Required
22-Oct-26 18:30 KUL</v>
      </c>
      <c r="D30" s="120" t="str">
        <f aca="false">IF(TRIM(Checks!$U$651)&lt;&gt;"",Checks!$U$651&amp;IF(Checks!$AB$651="","",CHAR(10)&amp;"CA: "&amp;Checks!$AB$651),IF(LEFT(Checks!$AH$651,10)="N/A – RULE","","[ ] Pass"&amp;CHAR(10)&amp;"[ ] Pass after CA"&amp;CHAR(10)&amp;"[ ] Fail"&amp;IF(Checks!$AT$651=1,CHAR(10)&amp;"[ ] N/A","")&amp;CHAR(10)&amp;"CA: Open / Closed"))</f>
        <v>[ ] Pass
[ ] Pass after CA
[ ] Fail
CA: Open / Closed</v>
      </c>
      <c r="E30" s="120" t="str">
        <f aca="false">IF(Checks!$V$651="","",Checks!$V$651)&amp;IF(Checks!$AC$651="","",IF(Checks!$V$651="","",CHAR(10))&amp;"N/A just.: "&amp;Checks!$AC$651)&amp;IF(OR(Checks!$W$651&lt;&gt;"",AND(Checks!$AQ$651=1,NOT(LEFT(Checks!$AH$651,10)="N/A – RULE"))),CHAR(10)&amp;"Batch: "&amp;IF(Checks!$W$651="","____________",Checks!$W$651),"")&amp;IF(OR(Checks!$X$651&lt;&gt;"",Checks!$Y$651&lt;&gt;"",AND(Checks!$AR$651=1,NOT(LEFT(Checks!$AH$651,10)="N/A – RULE"))),CHAR(10)&amp;"Exp: "&amp;IF(Checks!$X$651="","______",Checks!$X$651)&amp;"  /  Act: "&amp;IF(Checks!$Y$651="","______",Checks!$Y$651),"")</f>
        <v/>
      </c>
      <c r="F30" s="120" t="str">
        <f aca="false">IF(AND(LEFT(Checks!$AH$651,10)="N/A – RULE",TRIM(Checks!$S$651&amp;Checks!$Z$651)=""),"","Type: "&amp;IF(TRIM(Checks!$S$651)="","______________ (see cover list)",Checks!$S$651)&amp;CHAR(10)&amp;"ID: "&amp;IF(TRIM(Checks!$Z$651)="","______________ (record's own no.)",Checks!$Z$651))&amp;IF(Checks!$AA$651="","",CHAR(10)&amp;"CA: "&amp;Checks!$AA$651)</f>
        <v>Type: ______________ (see cover list)
ID: ______________ (record's own no.)</v>
      </c>
      <c r="G30" s="120" t="str">
        <f aca="false">IF(AND(LEFT(Checks!$AH$651,10)="N/A – RULE",NOT(ISNUMBER(Checks!$AD$651)),Checks!$AE$651="",Checks!$T$651=""),"","Done: "&amp;IF(ISNUMBER(Checks!$AD$651),TEXT(Checks!$AD$651,"DD-MMM-YY HH:MM"),"____________")&amp;" "&amp;Checks!$P$651&amp;CHAR(10)&amp;"Verifier: "&amp;IF(Checks!$AE$651="","____________",Checks!$AE$651)&amp;CHAR(10)&amp;"PIC: "&amp;IF(Checks!$T$651="","____________",Checks!$T$651))</f>
        <v>Done: ____________ KUL
Verifier: ____________
PIC: ____________</v>
      </c>
      <c r="H30" s="121" t="str">
        <f aca="false">IF(Checks!$AH$651="","",Checks!$AH$651)</f>
        <v>OPEN</v>
      </c>
    </row>
    <row r="31" customFormat="false" ht="114" hidden="false" customHeight="true" outlineLevel="0" collapsed="false">
      <c r="A31" s="120" t="str">
        <f aca="false">Checks!$A$652&amp;CHAR(10)&amp;IF(Checks!$I$652="","",Checks!$I$652&amp;": ")&amp;Checks!$J$652</f>
        <v>F20-T7-09
Uplift plan: Uplift plan confirmed with caterer vs STD Uplift Information</v>
      </c>
      <c r="B31" s="120" t="str">
        <f aca="false">Checks!$K$652&amp;IF(Checks!$O$652="","",IF(Checks!$K$652="","",CHAR(10))&amp;"Note: "&amp;Checks!$O$652)</f>
        <v>Service: Refreshment (Peanut &amp; Water); meal uplift stn KUL (ref lists KUL)</v>
      </c>
      <c r="C31" s="120" t="str">
        <f aca="false">Checks!$N$652&amp;CHAR(10)&amp;IF(ISNUMBER(Checks!$R$652),TEXT(Checks!$R$652,"DD-MMM-YY HH:MM"),"")&amp;" "&amp;Checks!$P$652</f>
        <v>Required
22-Oct-26 18:30 KUL</v>
      </c>
      <c r="D31" s="120" t="str">
        <f aca="false">IF(TRIM(Checks!$U$652)&lt;&gt;"",Checks!$U$652&amp;IF(Checks!$AB$652="","",CHAR(10)&amp;"CA: "&amp;Checks!$AB$652),IF(LEFT(Checks!$AH$652,10)="N/A – RULE","","[ ] Pass"&amp;CHAR(10)&amp;"[ ] Pass after CA"&amp;CHAR(10)&amp;"[ ] Fail"&amp;IF(Checks!$AT$652=1,CHAR(10)&amp;"[ ] N/A","")&amp;CHAR(10)&amp;"CA: Open / Closed"))</f>
        <v>[ ] Pass
[ ] Pass after CA
[ ] Fail
CA: Open / Closed</v>
      </c>
      <c r="E31" s="120" t="str">
        <f aca="false">IF(Checks!$V$652="","",Checks!$V$652)&amp;IF(Checks!$AC$652="","",IF(Checks!$V$652="","",CHAR(10))&amp;"N/A just.: "&amp;Checks!$AC$652)&amp;IF(OR(Checks!$W$652&lt;&gt;"",AND(Checks!$AQ$652=1,NOT(LEFT(Checks!$AH$652,10)="N/A – RULE"))),CHAR(10)&amp;"Batch: "&amp;IF(Checks!$W$652="","____________",Checks!$W$652),"")&amp;IF(OR(Checks!$X$652&lt;&gt;"",Checks!$Y$652&lt;&gt;"",AND(Checks!$AR$652=1,NOT(LEFT(Checks!$AH$652,10)="N/A – RULE"))),CHAR(10)&amp;"Exp: "&amp;IF(Checks!$X$652="","______",Checks!$X$652)&amp;"  /  Act: "&amp;IF(Checks!$Y$652="","______",Checks!$Y$652),"")</f>
        <v/>
      </c>
      <c r="F31" s="120" t="str">
        <f aca="false">IF(AND(LEFT(Checks!$AH$652,10)="N/A – RULE",TRIM(Checks!$S$652&amp;Checks!$Z$652)=""),"","Type: "&amp;IF(TRIM(Checks!$S$652)="","______________ (see cover list)",Checks!$S$652)&amp;CHAR(10)&amp;"ID: "&amp;IF(TRIM(Checks!$Z$652)="","______________ (record's own no.)",Checks!$Z$652))&amp;IF(Checks!$AA$652="","",CHAR(10)&amp;"CA: "&amp;Checks!$AA$652)</f>
        <v>Type: ______________ (see cover list)
ID: ______________ (record's own no.)</v>
      </c>
      <c r="G31" s="120" t="str">
        <f aca="false">IF(AND(LEFT(Checks!$AH$652,10)="N/A – RULE",NOT(ISNUMBER(Checks!$AD$652)),Checks!$AE$652="",Checks!$T$652=""),"","Done: "&amp;IF(ISNUMBER(Checks!$AD$652),TEXT(Checks!$AD$652,"DD-MMM-YY HH:MM"),"____________")&amp;" "&amp;Checks!$P$652&amp;CHAR(10)&amp;"Verifier: "&amp;IF(Checks!$AE$652="","____________",Checks!$AE$652)&amp;CHAR(10)&amp;"PIC: "&amp;IF(Checks!$T$652="","____________",Checks!$T$652))</f>
        <v>Done: ____________ KUL
Verifier: ____________
PIC: ____________</v>
      </c>
      <c r="H31" s="121" t="str">
        <f aca="false">IF(Checks!$AH$652="","",Checks!$AH$652)</f>
        <v>OPEN</v>
      </c>
    </row>
    <row r="32" customFormat="false" ht="25.5" hidden="false" customHeight="true" outlineLevel="0" collapsed="false">
      <c r="A32" s="119" t="str">
        <f aca="false">"T-24H — Production batch sensory  |  Due "&amp;IF(ISNUMBER(Flights!$AH$24),TEXT(Flights!$AH$24,"DD-MMM-YY HH:MM"),"")&amp;" "&amp;Flights!$V$24&amp;" (meal uplift stn)"&amp;" (rows with another due show their own)  |  Complete "&amp;IF(ISNUMBER(Flights!$AK$24),TEXT(Flights!$AK$24,"0%"),Flights!$AK$24)&amp;"  |  1 lines"</f>
        <v>T-24H — Production batch sensory  |  Due 28-Oct-26 18:30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Checks!$A$653&amp;CHAR(10)&amp;IF(Checks!$I$653="","",Checks!$I$653&amp;": ")&amp;Checks!$J$653</f>
        <v>F20-T24-01
Meal: Sensory test repeated on ACTUAL production batch for this flight</v>
      </c>
      <c r="B33" s="120" t="str">
        <f aca="false">Checks!$K$653&amp;IF(Checks!$O$653="","",IF(Checks!$K$653="","",CHAR(10))&amp;"Note: "&amp;Checks!$O$653)</f>
        <v>Batch ID, result, CA and acceptance mandatory</v>
      </c>
      <c r="C33" s="120" t="str">
        <f aca="false">Checks!$N$653&amp;CHAR(10)&amp;IF(ISNUMBER(Checks!$R$653),TEXT(Checks!$R$653,"DD-MMM-YY HH:MM"),"")&amp;" "&amp;Checks!$P$653</f>
        <v>Required
28-Oct-26 18:30 KUL</v>
      </c>
      <c r="D33" s="120" t="str">
        <f aca="false">IF(TRIM(Checks!$U$653)&lt;&gt;"",Checks!$U$653&amp;IF(Checks!$AB$653="","",CHAR(10)&amp;"CA: "&amp;Checks!$AB$653),IF(LEFT(Checks!$AH$653,10)="N/A – RULE","","[ ] Pass"&amp;CHAR(10)&amp;"[ ] Pass after CA"&amp;CHAR(10)&amp;"[ ] Fail"&amp;IF(Checks!$AT$653=1,CHAR(10)&amp;"[ ] N/A","")&amp;CHAR(10)&amp;"CA: Open / Closed"))</f>
        <v>[ ] Pass
[ ] Pass after CA
[ ] Fail
CA: Open / Closed</v>
      </c>
      <c r="E33" s="120" t="str">
        <f aca="false">IF(Checks!$V$653="","",Checks!$V$653)&amp;IF(Checks!$AC$653="","",IF(Checks!$V$653="","",CHAR(10))&amp;"N/A just.: "&amp;Checks!$AC$653)&amp;IF(OR(Checks!$W$653&lt;&gt;"",AND(Checks!$AQ$653=1,NOT(LEFT(Checks!$AH$653,10)="N/A – RULE"))),CHAR(10)&amp;"Batch: "&amp;IF(Checks!$W$653="","____________",Checks!$W$653),"")&amp;IF(OR(Checks!$X$653&lt;&gt;"",Checks!$Y$653&lt;&gt;"",AND(Checks!$AR$653=1,NOT(LEFT(Checks!$AH$653,10)="N/A – RULE"))),CHAR(10)&amp;"Exp: "&amp;IF(Checks!$X$653="","______",Checks!$X$653)&amp;"  /  Act: "&amp;IF(Checks!$Y$653="","______",Checks!$Y$653),"")</f>
        <v>
Batch: ____________</v>
      </c>
      <c r="F33" s="120" t="str">
        <f aca="false">IF(AND(LEFT(Checks!$AH$653,10)="N/A – RULE",TRIM(Checks!$S$653&amp;Checks!$Z$653)=""),"","Type: "&amp;IF(TRIM(Checks!$S$653)="","______________ (see cover list)",Checks!$S$653)&amp;CHAR(10)&amp;"ID: "&amp;IF(TRIM(Checks!$Z$653)="","______________ (record's own no.)",Checks!$Z$653))&amp;IF(Checks!$AA$653="","",CHAR(10)&amp;"CA: "&amp;Checks!$AA$653)</f>
        <v>Type: ______________ (see cover list)
ID: ______________ (record's own no.)</v>
      </c>
      <c r="G33" s="120" t="str">
        <f aca="false">IF(AND(LEFT(Checks!$AH$653,10)="N/A – RULE",NOT(ISNUMBER(Checks!$AD$653)),Checks!$AE$653="",Checks!$T$653=""),"","Done: "&amp;IF(ISNUMBER(Checks!$AD$653),TEXT(Checks!$AD$653,"DD-MMM-YY HH:MM"),"____________")&amp;" "&amp;Checks!$P$653&amp;CHAR(10)&amp;"Verifier: "&amp;IF(Checks!$AE$653="","____________",Checks!$AE$653)&amp;CHAR(10)&amp;"PIC: "&amp;IF(Checks!$T$653="","____________",Checks!$T$653))</f>
        <v>Done: ____________ KUL
Verifier: ____________
PIC: ____________</v>
      </c>
      <c r="H33" s="121" t="str">
        <f aca="false">IF(Checks!$AH$653="","",Checks!$AH$653)</f>
        <v>OPEN</v>
      </c>
    </row>
    <row r="34" customFormat="false" ht="25.5" hidden="false" customHeight="true" outlineLevel="0" collapsed="false">
      <c r="A34" s="119" t="str">
        <f aca="false">"T-12H PREP — Preparation check at caterer (does NOT confirm loading)  |  Due "&amp;IF(ISNUMBER(Flights!$AI$24),TEXT(Flights!$AI$24,"DD-MMM-YY HH:MM"),"")&amp;" "&amp;Flights!$V$24&amp;" (meal uplift stn)"&amp;" (rows with another due show their own)  |  Complete "&amp;IF(ISNUMBER(Flights!$AL$24),TEXT(Flights!$AL$24,"0%"),Flights!$AL$24)&amp;"  |  8 lines"</f>
        <v>T-12H PREP — Preparation check at caterer (does NOT confirm loading)  |  Due 29-Oct-26 06:30 KUL (meal uplift stn) (rows with another due show their own)  |  Complete 0%  |  8 lines</v>
      </c>
      <c r="B34" s="119"/>
      <c r="C34" s="119"/>
      <c r="D34" s="119"/>
      <c r="E34" s="119"/>
      <c r="F34" s="119"/>
      <c r="G34" s="119"/>
      <c r="H34" s="119"/>
    </row>
    <row r="35" customFormat="false" ht="114" hidden="false" customHeight="true" outlineLevel="0" collapsed="false">
      <c r="A35" s="120" t="str">
        <f aca="false">Checks!$A$654&amp;CHAR(10)&amp;IF(Checks!$I$654="","",Checks!$I$654&amp;": ")&amp;Checks!$J$654</f>
        <v>F20-T12-01
Meal: Meal quality vs menu checklist</v>
      </c>
      <c r="B35" s="120" t="str">
        <f aca="false">Checks!$K$654&amp;IF(Checks!$O$654="","",IF(Checks!$K$654="","",CHAR(10))&amp;"Note: "&amp;Checks!$O$654)</f>
        <v>Note: Preparation check at caterer - does NOT confirm loading.</v>
      </c>
      <c r="C35" s="120" t="str">
        <f aca="false">Checks!$N$654&amp;CHAR(10)&amp;IF(ISNUMBER(Checks!$R$654),TEXT(Checks!$R$654,"DD-MMM-YY HH:MM"),"")&amp;" "&amp;Checks!$P$654</f>
        <v>Required
29-Oct-26 06:30 KUL</v>
      </c>
      <c r="D35" s="120" t="str">
        <f aca="false">IF(TRIM(Checks!$U$654)&lt;&gt;"",Checks!$U$654&amp;IF(Checks!$AB$654="","",CHAR(10)&amp;"CA: "&amp;Checks!$AB$654),IF(LEFT(Checks!$AH$654,10)="N/A – RULE","","[ ] Pass"&amp;CHAR(10)&amp;"[ ] Pass after CA"&amp;CHAR(10)&amp;"[ ] Fail"&amp;IF(Checks!$AT$654=1,CHAR(10)&amp;"[ ] N/A","")&amp;CHAR(10)&amp;"CA: Open / Closed"))</f>
        <v>[ ] Pass
[ ] Pass after CA
[ ] Fail
CA: Open / Closed</v>
      </c>
      <c r="E35" s="120" t="str">
        <f aca="false">IF(Checks!$V$654="","",Checks!$V$654)&amp;IF(Checks!$AC$654="","",IF(Checks!$V$654="","",CHAR(10))&amp;"N/A just.: "&amp;Checks!$AC$654)&amp;IF(OR(Checks!$W$654&lt;&gt;"",AND(Checks!$AQ$654=1,NOT(LEFT(Checks!$AH$654,10)="N/A – RULE"))),CHAR(10)&amp;"Batch: "&amp;IF(Checks!$W$654="","____________",Checks!$W$654),"")&amp;IF(OR(Checks!$X$654&lt;&gt;"",Checks!$Y$654&lt;&gt;"",AND(Checks!$AR$654=1,NOT(LEFT(Checks!$AH$654,10)="N/A – RULE"))),CHAR(10)&amp;"Exp: "&amp;IF(Checks!$X$654="","______",Checks!$X$654)&amp;"  /  Act: "&amp;IF(Checks!$Y$654="","______",Checks!$Y$654),"")</f>
        <v/>
      </c>
      <c r="F35" s="120" t="str">
        <f aca="false">IF(AND(LEFT(Checks!$AH$654,10)="N/A – RULE",TRIM(Checks!$S$654&amp;Checks!$Z$654)=""),"","Type: "&amp;IF(TRIM(Checks!$S$654)="","______________ (see cover list)",Checks!$S$654)&amp;CHAR(10)&amp;"ID: "&amp;IF(TRIM(Checks!$Z$654)="","______________ (record's own no.)",Checks!$Z$654))&amp;IF(Checks!$AA$654="","",CHAR(10)&amp;"CA: "&amp;Checks!$AA$654)</f>
        <v>Type: ______________ (see cover list)
ID: ______________ (record's own no.)</v>
      </c>
      <c r="G35" s="120" t="str">
        <f aca="false">IF(AND(LEFT(Checks!$AH$654,10)="N/A – RULE",NOT(ISNUMBER(Checks!$AD$654)),Checks!$AE$654="",Checks!$T$654=""),"","Done: "&amp;IF(ISNUMBER(Checks!$AD$654),TEXT(Checks!$AD$654,"DD-MMM-YY HH:MM"),"____________")&amp;" "&amp;Checks!$P$654&amp;CHAR(10)&amp;"Verifier: "&amp;IF(Checks!$AE$654="","____________",Checks!$AE$654)&amp;CHAR(10)&amp;"PIC: "&amp;IF(Checks!$T$654="","____________",Checks!$T$654))</f>
        <v>Done: ____________ KUL
Verifier: ____________
PIC: ____________</v>
      </c>
      <c r="H35" s="121" t="str">
        <f aca="false">IF(Checks!$AH$654="","",Checks!$AH$654)</f>
        <v>OPEN</v>
      </c>
    </row>
    <row r="36" customFormat="false" ht="114" hidden="false" customHeight="true" outlineLevel="0" collapsed="false">
      <c r="A36" s="120" t="str">
        <f aca="false">Checks!$A$655&amp;CHAR(10)&amp;IF(Checks!$I$655="","",Checks!$I$655&amp;": ")&amp;Checks!$J$655</f>
        <v>F20-T12-02
Meal: Meal quantities vs menu checklist</v>
      </c>
      <c r="B36" s="120" t="str">
        <f aca="false">Checks!$K$655&amp;IF(Checks!$O$655="","",IF(Checks!$K$655="","",CHAR(10))&amp;"Note: "&amp;Checks!$O$655)</f>
        <v>Enter expected &amp; actual
Note: Preparation check at caterer - does NOT confirm loading.</v>
      </c>
      <c r="C36" s="120" t="str">
        <f aca="false">Checks!$N$655&amp;CHAR(10)&amp;IF(ISNUMBER(Checks!$R$655),TEXT(Checks!$R$655,"DD-MMM-YY HH:MM"),"")&amp;" "&amp;Checks!$P$655</f>
        <v>Required
29-Oct-26 06:30 KUL</v>
      </c>
      <c r="D36" s="120" t="str">
        <f aca="false">IF(TRIM(Checks!$U$655)&lt;&gt;"",Checks!$U$655&amp;IF(Checks!$AB$655="","",CHAR(10)&amp;"CA: "&amp;Checks!$AB$655),IF(LEFT(Checks!$AH$655,10)="N/A – RULE","","[ ] Pass"&amp;CHAR(10)&amp;"[ ] Pass after CA"&amp;CHAR(10)&amp;"[ ] Fail"&amp;IF(Checks!$AT$655=1,CHAR(10)&amp;"[ ] N/A","")&amp;CHAR(10)&amp;"CA: Open / Closed"))</f>
        <v>[ ] Pass
[ ] Pass after CA
[ ] Fail
CA: Open / Closed</v>
      </c>
      <c r="E36" s="120" t="str">
        <f aca="false">IF(Checks!$V$655="","",Checks!$V$655)&amp;IF(Checks!$AC$655="","",IF(Checks!$V$655="","",CHAR(10))&amp;"N/A just.: "&amp;Checks!$AC$655)&amp;IF(OR(Checks!$W$655&lt;&gt;"",AND(Checks!$AQ$655=1,NOT(LEFT(Checks!$AH$655,10)="N/A – RULE"))),CHAR(10)&amp;"Batch: "&amp;IF(Checks!$W$655="","____________",Checks!$W$655),"")&amp;IF(OR(Checks!$X$655&lt;&gt;"",Checks!$Y$655&lt;&gt;"",AND(Checks!$AR$655=1,NOT(LEFT(Checks!$AH$655,10)="N/A – RULE"))),CHAR(10)&amp;"Exp: "&amp;IF(Checks!$X$655="","______",Checks!$X$655)&amp;"  /  Act: "&amp;IF(Checks!$Y$655="","______",Checks!$Y$655),"")</f>
        <v>
Exp: ______  /  Act: ______</v>
      </c>
      <c r="F36" s="120" t="str">
        <f aca="false">IF(AND(LEFT(Checks!$AH$655,10)="N/A – RULE",TRIM(Checks!$S$655&amp;Checks!$Z$655)=""),"","Type: "&amp;IF(TRIM(Checks!$S$655)="","______________ (see cover list)",Checks!$S$655)&amp;CHAR(10)&amp;"ID: "&amp;IF(TRIM(Checks!$Z$655)="","______________ (record's own no.)",Checks!$Z$655))&amp;IF(Checks!$AA$655="","",CHAR(10)&amp;"CA: "&amp;Checks!$AA$655)</f>
        <v>Type: ______________ (see cover list)
ID: ______________ (record's own no.)</v>
      </c>
      <c r="G36" s="120" t="str">
        <f aca="false">IF(AND(LEFT(Checks!$AH$655,10)="N/A – RULE",NOT(ISNUMBER(Checks!$AD$655)),Checks!$AE$655="",Checks!$T$655=""),"","Done: "&amp;IF(ISNUMBER(Checks!$AD$655),TEXT(Checks!$AD$655,"DD-MMM-YY HH:MM"),"____________")&amp;" "&amp;Checks!$P$655&amp;CHAR(10)&amp;"Verifier: "&amp;IF(Checks!$AE$655="","____________",Checks!$AE$655)&amp;CHAR(10)&amp;"PIC: "&amp;IF(Checks!$T$655="","____________",Checks!$T$655))</f>
        <v>Done: ____________ KUL
Verifier: ____________
PIC: ____________</v>
      </c>
      <c r="H36" s="121" t="str">
        <f aca="false">IF(Checks!$AH$655="","",Checks!$AH$655)</f>
        <v>OPEN</v>
      </c>
    </row>
    <row r="37" customFormat="false" ht="114" hidden="false" customHeight="true" outlineLevel="0" collapsed="false">
      <c r="A37" s="120" t="str">
        <f aca="false">Checks!$A$656&amp;CHAR(10)&amp;IF(Checks!$I$656="","",Checks!$I$656&amp;": ")&amp;Checks!$J$656</f>
        <v>F20-T12-03
Equipment: Equipment cleanliness vs GLD</v>
      </c>
      <c r="B37" s="120" t="str">
        <f aca="false">Checks!$K$656&amp;IF(Checks!$O$656="","",IF(Checks!$K$656="","",CHAR(10))&amp;"Note: "&amp;Checks!$O$656)</f>
        <v>Note: Preparation check at caterer - does NOT confirm loading.</v>
      </c>
      <c r="C37" s="120" t="str">
        <f aca="false">Checks!$N$656&amp;CHAR(10)&amp;IF(ISNUMBER(Checks!$R$656),TEXT(Checks!$R$656,"DD-MMM-YY HH:MM"),"")&amp;" "&amp;Checks!$P$656</f>
        <v>Required
29-Oct-26 06:30 KUL</v>
      </c>
      <c r="D37" s="120" t="str">
        <f aca="false">IF(TRIM(Checks!$U$656)&lt;&gt;"",Checks!$U$656&amp;IF(Checks!$AB$656="","",CHAR(10)&amp;"CA: "&amp;Checks!$AB$656),IF(LEFT(Checks!$AH$656,10)="N/A – RULE","","[ ] Pass"&amp;CHAR(10)&amp;"[ ] Pass after CA"&amp;CHAR(10)&amp;"[ ] Fail"&amp;IF(Checks!$AT$656=1,CHAR(10)&amp;"[ ] N/A","")&amp;CHAR(10)&amp;"CA: Open / Closed"))</f>
        <v>[ ] Pass
[ ] Pass after CA
[ ] Fail
CA: Open / Closed</v>
      </c>
      <c r="E37" s="120" t="str">
        <f aca="false">IF(Checks!$V$656="","",Checks!$V$656)&amp;IF(Checks!$AC$656="","",IF(Checks!$V$656="","",CHAR(10))&amp;"N/A just.: "&amp;Checks!$AC$656)&amp;IF(OR(Checks!$W$656&lt;&gt;"",AND(Checks!$AQ$656=1,NOT(LEFT(Checks!$AH$656,10)="N/A – RULE"))),CHAR(10)&amp;"Batch: "&amp;IF(Checks!$W$656="","____________",Checks!$W$656),"")&amp;IF(OR(Checks!$X$656&lt;&gt;"",Checks!$Y$656&lt;&gt;"",AND(Checks!$AR$656=1,NOT(LEFT(Checks!$AH$656,10)="N/A – RULE"))),CHAR(10)&amp;"Exp: "&amp;IF(Checks!$X$656="","______",Checks!$X$656)&amp;"  /  Act: "&amp;IF(Checks!$Y$656="","______",Checks!$Y$656),"")</f>
        <v/>
      </c>
      <c r="F37" s="120" t="str">
        <f aca="false">IF(AND(LEFT(Checks!$AH$656,10)="N/A – RULE",TRIM(Checks!$S$656&amp;Checks!$Z$656)=""),"","Type: "&amp;IF(TRIM(Checks!$S$656)="","______________ (see cover list)",Checks!$S$656)&amp;CHAR(10)&amp;"ID: "&amp;IF(TRIM(Checks!$Z$656)="","______________ (record's own no.)",Checks!$Z$656))&amp;IF(Checks!$AA$656="","",CHAR(10)&amp;"CA: "&amp;Checks!$AA$656)</f>
        <v>Type: ______________ (see cover list)
ID: ______________ (record's own no.)</v>
      </c>
      <c r="G37" s="120" t="str">
        <f aca="false">IF(AND(LEFT(Checks!$AH$656,10)="N/A – RULE",NOT(ISNUMBER(Checks!$AD$656)),Checks!$AE$656="",Checks!$T$656=""),"","Done: "&amp;IF(ISNUMBER(Checks!$AD$656),TEXT(Checks!$AD$656,"DD-MMM-YY HH:MM"),"____________")&amp;" "&amp;Checks!$P$656&amp;CHAR(10)&amp;"Verifier: "&amp;IF(Checks!$AE$656="","____________",Checks!$AE$656)&amp;CHAR(10)&amp;"PIC: "&amp;IF(Checks!$T$656="","____________",Checks!$T$656))</f>
        <v>Done: ____________ KUL
Verifier: ____________
PIC: ____________</v>
      </c>
      <c r="H37" s="121" t="str">
        <f aca="false">IF(Checks!$AH$656="","",Checks!$AH$656)</f>
        <v>OPEN</v>
      </c>
    </row>
    <row r="38" customFormat="false" ht="114" hidden="false" customHeight="true" outlineLevel="0" collapsed="false">
      <c r="A38" s="120" t="str">
        <f aca="false">Checks!$A$657&amp;CHAR(10)&amp;IF(Checks!$I$657="","",Checks!$I$657&amp;": ")&amp;Checks!$J$657</f>
        <v>F20-T12-04
Equipment: Equipment presentation vs GLD</v>
      </c>
      <c r="B38" s="120" t="str">
        <f aca="false">Checks!$K$657&amp;IF(Checks!$O$657="","",IF(Checks!$K$657="","",CHAR(10))&amp;"Note: "&amp;Checks!$O$657)</f>
        <v>Note: Preparation check at caterer - does NOT confirm loading.</v>
      </c>
      <c r="C38" s="120" t="str">
        <f aca="false">Checks!$N$657&amp;CHAR(10)&amp;IF(ISNUMBER(Checks!$R$657),TEXT(Checks!$R$657,"DD-MMM-YY HH:MM"),"")&amp;" "&amp;Checks!$P$657</f>
        <v>Required
29-Oct-26 06:30 KUL</v>
      </c>
      <c r="D38" s="120" t="str">
        <f aca="false">IF(TRIM(Checks!$U$657)&lt;&gt;"",Checks!$U$657&amp;IF(Checks!$AB$657="","",CHAR(10)&amp;"CA: "&amp;Checks!$AB$657),IF(LEFT(Checks!$AH$657,10)="N/A – RULE","","[ ] Pass"&amp;CHAR(10)&amp;"[ ] Pass after CA"&amp;CHAR(10)&amp;"[ ] Fail"&amp;IF(Checks!$AT$657=1,CHAR(10)&amp;"[ ] N/A","")&amp;CHAR(10)&amp;"CA: Open / Closed"))</f>
        <v>[ ] Pass
[ ] Pass after CA
[ ] Fail
CA: Open / Closed</v>
      </c>
      <c r="E38" s="120" t="str">
        <f aca="false">IF(Checks!$V$657="","",Checks!$V$657)&amp;IF(Checks!$AC$657="","",IF(Checks!$V$657="","",CHAR(10))&amp;"N/A just.: "&amp;Checks!$AC$657)&amp;IF(OR(Checks!$W$657&lt;&gt;"",AND(Checks!$AQ$657=1,NOT(LEFT(Checks!$AH$657,10)="N/A – RULE"))),CHAR(10)&amp;"Batch: "&amp;IF(Checks!$W$657="","____________",Checks!$W$657),"")&amp;IF(OR(Checks!$X$657&lt;&gt;"",Checks!$Y$657&lt;&gt;"",AND(Checks!$AR$657=1,NOT(LEFT(Checks!$AH$657,10)="N/A – RULE"))),CHAR(10)&amp;"Exp: "&amp;IF(Checks!$X$657="","______",Checks!$X$657)&amp;"  /  Act: "&amp;IF(Checks!$Y$657="","______",Checks!$Y$657),"")</f>
        <v/>
      </c>
      <c r="F38" s="120" t="str">
        <f aca="false">IF(AND(LEFT(Checks!$AH$657,10)="N/A – RULE",TRIM(Checks!$S$657&amp;Checks!$Z$657)=""),"","Type: "&amp;IF(TRIM(Checks!$S$657)="","______________ (see cover list)",Checks!$S$657)&amp;CHAR(10)&amp;"ID: "&amp;IF(TRIM(Checks!$Z$657)="","______________ (record's own no.)",Checks!$Z$657))&amp;IF(Checks!$AA$657="","",CHAR(10)&amp;"CA: "&amp;Checks!$AA$657)</f>
        <v>Type: ______________ (see cover list)
ID: ______________ (record's own no.)</v>
      </c>
      <c r="G38" s="120" t="str">
        <f aca="false">IF(AND(LEFT(Checks!$AH$657,10)="N/A – RULE",NOT(ISNUMBER(Checks!$AD$657)),Checks!$AE$657="",Checks!$T$657=""),"","Done: "&amp;IF(ISNUMBER(Checks!$AD$657),TEXT(Checks!$AD$657,"DD-MMM-YY HH:MM"),"____________")&amp;" "&amp;Checks!$P$657&amp;CHAR(10)&amp;"Verifier: "&amp;IF(Checks!$AE$657="","____________",Checks!$AE$657)&amp;CHAR(10)&amp;"PIC: "&amp;IF(Checks!$T$657="","____________",Checks!$T$657))</f>
        <v>Done: ____________ KUL
Verifier: ____________
PIC: ____________</v>
      </c>
      <c r="H38" s="121" t="str">
        <f aca="false">IF(Checks!$AH$657="","",Checks!$AH$657)</f>
        <v>OPEN</v>
      </c>
    </row>
    <row r="39" customFormat="false" ht="114" hidden="false" customHeight="true" outlineLevel="0" collapsed="false">
      <c r="A39" s="120" t="str">
        <f aca="false">Checks!$A$658&amp;CHAR(10)&amp;IF(Checks!$I$658="","",Checks!$I$658&amp;": ")&amp;Checks!$J$658</f>
        <v>F20-T12-05
Equipment: Equipment serviceability vs GLD</v>
      </c>
      <c r="B39" s="120" t="str">
        <f aca="false">Checks!$K$658&amp;IF(Checks!$O$658="","",IF(Checks!$K$658="","",CHAR(10))&amp;"Note: "&amp;Checks!$O$658)</f>
        <v>Note: Preparation check at caterer - does NOT confirm loading.</v>
      </c>
      <c r="C39" s="120" t="str">
        <f aca="false">Checks!$N$658&amp;CHAR(10)&amp;IF(ISNUMBER(Checks!$R$658),TEXT(Checks!$R$658,"DD-MMM-YY HH:MM"),"")&amp;" "&amp;Checks!$P$658</f>
        <v>Required
29-Oct-26 06:30 KUL</v>
      </c>
      <c r="D39" s="120" t="str">
        <f aca="false">IF(TRIM(Checks!$U$658)&lt;&gt;"",Checks!$U$658&amp;IF(Checks!$AB$658="","",CHAR(10)&amp;"CA: "&amp;Checks!$AB$658),IF(LEFT(Checks!$AH$658,10)="N/A – RULE","","[ ] Pass"&amp;CHAR(10)&amp;"[ ] Pass after CA"&amp;CHAR(10)&amp;"[ ] Fail"&amp;IF(Checks!$AT$658=1,CHAR(10)&amp;"[ ] N/A","")&amp;CHAR(10)&amp;"CA: Open / Closed"))</f>
        <v>[ ] Pass
[ ] Pass after CA
[ ] Fail
CA: Open / Closed</v>
      </c>
      <c r="E39" s="120" t="str">
        <f aca="false">IF(Checks!$V$658="","",Checks!$V$658)&amp;IF(Checks!$AC$658="","",IF(Checks!$V$658="","",CHAR(10))&amp;"N/A just.: "&amp;Checks!$AC$658)&amp;IF(OR(Checks!$W$658&lt;&gt;"",AND(Checks!$AQ$658=1,NOT(LEFT(Checks!$AH$658,10)="N/A – RULE"))),CHAR(10)&amp;"Batch: "&amp;IF(Checks!$W$658="","____________",Checks!$W$658),"")&amp;IF(OR(Checks!$X$658&lt;&gt;"",Checks!$Y$658&lt;&gt;"",AND(Checks!$AR$658=1,NOT(LEFT(Checks!$AH$658,10)="N/A – RULE"))),CHAR(10)&amp;"Exp: "&amp;IF(Checks!$X$658="","______",Checks!$X$658)&amp;"  /  Act: "&amp;IF(Checks!$Y$658="","______",Checks!$Y$658),"")</f>
        <v/>
      </c>
      <c r="F39" s="120" t="str">
        <f aca="false">IF(AND(LEFT(Checks!$AH$658,10)="N/A – RULE",TRIM(Checks!$S$658&amp;Checks!$Z$658)=""),"","Type: "&amp;IF(TRIM(Checks!$S$658)="","______________ (see cover list)",Checks!$S$658)&amp;CHAR(10)&amp;"ID: "&amp;IF(TRIM(Checks!$Z$658)="","______________ (record's own no.)",Checks!$Z$658))&amp;IF(Checks!$AA$658="","",CHAR(10)&amp;"CA: "&amp;Checks!$AA$658)</f>
        <v>Type: ______________ (see cover list)
ID: ______________ (record's own no.)</v>
      </c>
      <c r="G39" s="120" t="str">
        <f aca="false">IF(AND(LEFT(Checks!$AH$658,10)="N/A – RULE",NOT(ISNUMBER(Checks!$AD$658)),Checks!$AE$658="",Checks!$T$658=""),"","Done: "&amp;IF(ISNUMBER(Checks!$AD$658),TEXT(Checks!$AD$658,"DD-MMM-YY HH:MM"),"____________")&amp;" "&amp;Checks!$P$658&amp;CHAR(10)&amp;"Verifier: "&amp;IF(Checks!$AE$658="","____________",Checks!$AE$658)&amp;CHAR(10)&amp;"PIC: "&amp;IF(Checks!$T$658="","____________",Checks!$T$658))</f>
        <v>Done: ____________ KUL
Verifier: ____________
PIC: ____________</v>
      </c>
      <c r="H39" s="121" t="str">
        <f aca="false">IF(Checks!$AH$658="","",Checks!$AH$658)</f>
        <v>OPEN</v>
      </c>
    </row>
    <row r="40" customFormat="false" ht="180" hidden="false" customHeight="true" outlineLevel="0" collapsed="false">
      <c r="A40" s="120" t="str">
        <f aca="false">Checks!$A$659&amp;CHAR(10)&amp;IF(Checks!$I$659="","",Checks!$I$659&amp;": ")&amp;Checks!$J$659</f>
        <v>F20-T12-06
Equipment: Equipment quantities vs GLD</v>
      </c>
      <c r="B40" s="120" t="str">
        <f aca="false">SUBSTITUTE(SUBSTITUTE(SUBSTITUTE(SUBSTITUTE(SUBSTITUTE(SUBSTITUTE(SUBSTITUTE(Checks!$K$659&amp;IF(Checks!$O$659="","",IF(Checks!$K$659="","",CHAR(10))&amp;"Note: "&amp;Checks!$O$659),"ovens -,","ovens n/a,"),"fridges -,","fridges n/a,"),"makers -,","makers n/a,"),"espresso -,","espresso n/a,"),"trolleys -,","trolleys n/a,"),"headsets - (","headsets n/a (")," (AIRCRAFT TYPE!C16:R16)","")</f>
        <v>Enter expected &amp; actual. Aircraft galley data: B737-8 (B7M8): carts 10.5, SU 25, ovens 6, warming ovens n/a, fridges n/a, water heaters 3, beverage makers n/a, espresso n/a, folding trolleys n/a, headsets n/a
Note: Preparation check at caterer - does NOT confirm loading.</v>
      </c>
      <c r="C40" s="120" t="str">
        <f aca="false">Checks!$N$659&amp;CHAR(10)&amp;IF(ISNUMBER(Checks!$R$659),TEXT(Checks!$R$659,"DD-MMM-YY HH:MM"),"")&amp;" "&amp;Checks!$P$659</f>
        <v>Required
29-Oct-26 06:30 KUL</v>
      </c>
      <c r="D40" s="120" t="str">
        <f aca="false">IF(TRIM(Checks!$U$659)&lt;&gt;"",Checks!$U$659&amp;IF(Checks!$AB$659="","",CHAR(10)&amp;"CA: "&amp;Checks!$AB$659),IF(LEFT(Checks!$AH$659,10)="N/A – RULE","","[ ] Pass"&amp;CHAR(10)&amp;"[ ] Pass after CA"&amp;CHAR(10)&amp;"[ ] Fail"&amp;IF(Checks!$AT$659=1,CHAR(10)&amp;"[ ] N/A","")&amp;CHAR(10)&amp;"CA: Open / Closed"))</f>
        <v>[ ] Pass
[ ] Pass after CA
[ ] Fail
CA: Open / Closed</v>
      </c>
      <c r="E40" s="120" t="str">
        <f aca="false">IF(Checks!$V$659="","",Checks!$V$659)&amp;IF(Checks!$AC$659="","",IF(Checks!$V$659="","",CHAR(10))&amp;"N/A just.: "&amp;Checks!$AC$659)&amp;IF(OR(Checks!$W$659&lt;&gt;"",AND(Checks!$AQ$659=1,NOT(LEFT(Checks!$AH$659,10)="N/A – RULE"))),CHAR(10)&amp;"Batch: "&amp;IF(Checks!$W$659="","____________",Checks!$W$659),"")&amp;IF(OR(Checks!$X$659&lt;&gt;"",Checks!$Y$659&lt;&gt;"",AND(Checks!$AR$659=1,NOT(LEFT(Checks!$AH$659,10)="N/A – RULE"))),CHAR(10)&amp;"Exp: "&amp;IF(Checks!$X$659="","______",Checks!$X$659)&amp;"  /  Act: "&amp;IF(Checks!$Y$659="","______",Checks!$Y$659),"")</f>
        <v>
Exp: ______  /  Act: ______</v>
      </c>
      <c r="F40" s="120" t="str">
        <f aca="false">IF(AND(LEFT(Checks!$AH$659,10)="N/A – RULE",TRIM(Checks!$S$659&amp;Checks!$Z$659)=""),"","Type: "&amp;IF(TRIM(Checks!$S$659)="","______________ (see cover list)",Checks!$S$659)&amp;CHAR(10)&amp;"ID: "&amp;IF(TRIM(Checks!$Z$659)="","______________ (record's own no.)",Checks!$Z$659))&amp;IF(Checks!$AA$659="","",CHAR(10)&amp;"CA: "&amp;Checks!$AA$659)</f>
        <v>Type: ______________ (see cover list)
ID: ______________ (record's own no.)</v>
      </c>
      <c r="G40" s="120" t="str">
        <f aca="false">IF(AND(LEFT(Checks!$AH$659,10)="N/A – RULE",NOT(ISNUMBER(Checks!$AD$659)),Checks!$AE$659="",Checks!$T$659=""),"","Done: "&amp;IF(ISNUMBER(Checks!$AD$659),TEXT(Checks!$AD$659,"DD-MMM-YY HH:MM"),"____________")&amp;" "&amp;Checks!$P$659&amp;CHAR(10)&amp;"Verifier: "&amp;IF(Checks!$AE$659="","____________",Checks!$AE$659)&amp;CHAR(10)&amp;"PIC: "&amp;IF(Checks!$T$659="","____________",Checks!$T$659))</f>
        <v>Done: ____________ KUL
Verifier: ____________
PIC: ____________</v>
      </c>
      <c r="H40" s="121" t="str">
        <f aca="false">IF(Checks!$AH$659="","",Checks!$AH$659)</f>
        <v>OPEN</v>
      </c>
    </row>
    <row r="41" customFormat="false" ht="114" hidden="false" customHeight="true" outlineLevel="0" collapsed="false">
      <c r="A41" s="120" t="str">
        <f aca="false">Checks!$A$660&amp;CHAR(10)&amp;IF(Checks!$I$660="","",Checks!$I$660&amp;": ")&amp;Checks!$J$660</f>
        <v>F20-T12-07
Equipment: Loading positions planned vs GLD</v>
      </c>
      <c r="B41" s="120" t="str">
        <f aca="false">Checks!$K$660&amp;IF(Checks!$O$660="","",IF(Checks!$K$660="","",CHAR(10))&amp;"Note: "&amp;Checks!$O$660)</f>
        <v>Note: Preparation check at caterer - does NOT confirm loading.</v>
      </c>
      <c r="C41" s="120" t="str">
        <f aca="false">Checks!$N$660&amp;CHAR(10)&amp;IF(ISNUMBER(Checks!$R$660),TEXT(Checks!$R$660,"DD-MMM-YY HH:MM"),"")&amp;" "&amp;Checks!$P$660</f>
        <v>Required
29-Oct-26 06:30 KUL</v>
      </c>
      <c r="D41" s="120" t="str">
        <f aca="false">IF(TRIM(Checks!$U$660)&lt;&gt;"",Checks!$U$660&amp;IF(Checks!$AB$660="","",CHAR(10)&amp;"CA: "&amp;Checks!$AB$660),IF(LEFT(Checks!$AH$660,10)="N/A – RULE","","[ ] Pass"&amp;CHAR(10)&amp;"[ ] Pass after CA"&amp;CHAR(10)&amp;"[ ] Fail"&amp;IF(Checks!$AT$660=1,CHAR(10)&amp;"[ ] N/A","")&amp;CHAR(10)&amp;"CA: Open / Closed"))</f>
        <v>[ ] Pass
[ ] Pass after CA
[ ] Fail
CA: Open / Closed</v>
      </c>
      <c r="E41" s="120" t="str">
        <f aca="false">IF(Checks!$V$660="","",Checks!$V$660)&amp;IF(Checks!$AC$660="","",IF(Checks!$V$660="","",CHAR(10))&amp;"N/A just.: "&amp;Checks!$AC$660)&amp;IF(OR(Checks!$W$660&lt;&gt;"",AND(Checks!$AQ$660=1,NOT(LEFT(Checks!$AH$660,10)="N/A – RULE"))),CHAR(10)&amp;"Batch: "&amp;IF(Checks!$W$660="","____________",Checks!$W$660),"")&amp;IF(OR(Checks!$X$660&lt;&gt;"",Checks!$Y$660&lt;&gt;"",AND(Checks!$AR$660=1,NOT(LEFT(Checks!$AH$660,10)="N/A – RULE"))),CHAR(10)&amp;"Exp: "&amp;IF(Checks!$X$660="","______",Checks!$X$660)&amp;"  /  Act: "&amp;IF(Checks!$Y$660="","______",Checks!$Y$660),"")</f>
        <v/>
      </c>
      <c r="F41" s="120" t="str">
        <f aca="false">IF(AND(LEFT(Checks!$AH$660,10)="N/A – RULE",TRIM(Checks!$S$660&amp;Checks!$Z$660)=""),"","Type: "&amp;IF(TRIM(Checks!$S$660)="","______________ (see cover list)",Checks!$S$660)&amp;CHAR(10)&amp;"ID: "&amp;IF(TRIM(Checks!$Z$660)="","______________ (record's own no.)",Checks!$Z$660))&amp;IF(Checks!$AA$660="","",CHAR(10)&amp;"CA: "&amp;Checks!$AA$660)</f>
        <v>Type: ______________ (see cover list)
ID: ______________ (record's own no.)</v>
      </c>
      <c r="G41" s="120" t="str">
        <f aca="false">IF(AND(LEFT(Checks!$AH$660,10)="N/A – RULE",NOT(ISNUMBER(Checks!$AD$660)),Checks!$AE$660="",Checks!$T$660=""),"","Done: "&amp;IF(ISNUMBER(Checks!$AD$660),TEXT(Checks!$AD$660,"DD-MMM-YY HH:MM"),"____________")&amp;" "&amp;Checks!$P$660&amp;CHAR(10)&amp;"Verifier: "&amp;IF(Checks!$AE$660="","____________",Checks!$AE$660)&amp;CHAR(10)&amp;"PIC: "&amp;IF(Checks!$T$660="","____________",Checks!$T$660))</f>
        <v>Done: ____________ KUL
Verifier: ____________
PIC: ____________</v>
      </c>
      <c r="H41" s="121" t="str">
        <f aca="false">IF(Checks!$AH$660="","",Checks!$AH$660)</f>
        <v>OPEN</v>
      </c>
    </row>
    <row r="42" customFormat="false" ht="114" hidden="false" customHeight="true" outlineLevel="0" collapsed="false">
      <c r="A42" s="120" t="str">
        <f aca="false">Checks!$A$661&amp;CHAR(10)&amp;IF(Checks!$I$661="","",Checks!$I$661&amp;": ")&amp;Checks!$J$661</f>
        <v>F20-T12-08
Seat Linen: Seat pillow (EY) - prepared</v>
      </c>
      <c r="B42" s="120" t="str">
        <f aca="false">Checks!$K$661&amp;IF(Checks!$O$661="","",IF(Checks!$K$661="","",CHAR(10))&amp;"Note: "&amp;Checks!$O$661)</f>
        <v>Available 100% (ticked in reference)
Note: Reference gives no uplift stn for this item: preparation checked at the meal uplift stn (KUL) - confirm with caterer.</v>
      </c>
      <c r="C42" s="120" t="str">
        <f aca="false">Checks!$N$661&amp;CHAR(10)&amp;IF(ISNUMBER(Checks!$R$661),TEXT(Checks!$R$661,"DD-MMM-YY HH:MM"),"")&amp;" "&amp;Checks!$P$661</f>
        <v>Required
29-Oct-26 06:30 KUL</v>
      </c>
      <c r="D42" s="120" t="str">
        <f aca="false">IF(TRIM(Checks!$U$661)&lt;&gt;"",Checks!$U$661&amp;IF(Checks!$AB$661="","",CHAR(10)&amp;"CA: "&amp;Checks!$AB$661),IF(LEFT(Checks!$AH$661,10)="N/A – RULE","","[ ] Pass"&amp;CHAR(10)&amp;"[ ] Pass after CA"&amp;CHAR(10)&amp;"[ ] Fail"&amp;IF(Checks!$AT$661=1,CHAR(10)&amp;"[ ] N/A","")&amp;CHAR(10)&amp;"CA: Open / Closed"))</f>
        <v>[ ] Pass
[ ] Pass after CA
[ ] Fail
CA: Open / Closed</v>
      </c>
      <c r="E42" s="120" t="str">
        <f aca="false">IF(Checks!$V$661="","",Checks!$V$661)&amp;IF(Checks!$AC$661="","",IF(Checks!$V$661="","",CHAR(10))&amp;"N/A just.: "&amp;Checks!$AC$661)&amp;IF(OR(Checks!$W$661&lt;&gt;"",AND(Checks!$AQ$661=1,NOT(LEFT(Checks!$AH$661,10)="N/A – RULE"))),CHAR(10)&amp;"Batch: "&amp;IF(Checks!$W$661="","____________",Checks!$W$661),"")&amp;IF(OR(Checks!$X$661&lt;&gt;"",Checks!$Y$661&lt;&gt;"",AND(Checks!$AR$661=1,NOT(LEFT(Checks!$AH$661,10)="N/A – RULE"))),CHAR(10)&amp;"Exp: "&amp;IF(Checks!$X$661="","______",Checks!$X$661)&amp;"  /  Act: "&amp;IF(Checks!$Y$661="","______",Checks!$Y$661),"")</f>
        <v/>
      </c>
      <c r="F42" s="120" t="str">
        <f aca="false">IF(AND(LEFT(Checks!$AH$661,10)="N/A – RULE",TRIM(Checks!$S$661&amp;Checks!$Z$661)=""),"","Type: "&amp;IF(TRIM(Checks!$S$661)="","______________ (see cover list)",Checks!$S$661)&amp;CHAR(10)&amp;"ID: "&amp;IF(TRIM(Checks!$Z$661)="","______________ (record's own no.)",Checks!$Z$661))&amp;IF(Checks!$AA$661="","",CHAR(10)&amp;"CA: "&amp;Checks!$AA$661)</f>
        <v>Type: ______________ (see cover list)
ID: ______________ (record's own no.)</v>
      </c>
      <c r="G42" s="120" t="str">
        <f aca="false">IF(AND(LEFT(Checks!$AH$661,10)="N/A – RULE",NOT(ISNUMBER(Checks!$AD$661)),Checks!$AE$661="",Checks!$T$661=""),"","Done: "&amp;IF(ISNUMBER(Checks!$AD$661),TEXT(Checks!$AD$661,"DD-MMM-YY HH:MM"),"____________")&amp;" "&amp;Checks!$P$661&amp;CHAR(10)&amp;"Verifier: "&amp;IF(Checks!$AE$661="","____________",Checks!$AE$661)&amp;CHAR(10)&amp;"PIC: "&amp;IF(Checks!$T$661="","____________",Checks!$T$661))</f>
        <v>Done: ____________ KUL
Verifier: ____________
PIC: ____________</v>
      </c>
      <c r="H42" s="121" t="str">
        <f aca="false">IF(Checks!$AH$661="","",Checks!$AH$661)</f>
        <v>OPEN</v>
      </c>
    </row>
    <row r="43" customFormat="false" ht="25.5" hidden="false" customHeight="true" outlineLevel="0" collapsed="false">
      <c r="A43" s="119" t="str">
        <f aca="false">"UPLIFT — Physical uplift – on-board confirmation before departure  |  Due "&amp;"STD "&amp;IF(ISNUMBER(Flights!$I$24),TEXT(Flights!$I$24,"DD-MMM-YY HH:MM"),"")&amp;" "&amp;Flights!$G$24&amp;" (departure stn)"&amp;" (rows with another due show their own)  |  Complete "&amp;IF(ISNUMBER(Flights!$AM$24),TEXT(Flights!$AM$24,"0%"),Flights!$AM$24)&amp;"  |  3 lines"</f>
        <v>UPLIFT — Physical uplift – on-board confirmation before departure  |  Due STD 29-Oct-26 18:30 KUL (departure stn) (rows with another due show their own)  |  Complete 0%  |  3 lines</v>
      </c>
      <c r="B43" s="119"/>
      <c r="C43" s="119"/>
      <c r="D43" s="119"/>
      <c r="E43" s="119"/>
      <c r="F43" s="119"/>
      <c r="G43" s="119"/>
      <c r="H43" s="119"/>
    </row>
    <row r="44" customFormat="false" ht="114" hidden="false" customHeight="true" outlineLevel="0" collapsed="false">
      <c r="A44" s="120" t="str">
        <f aca="false">Checks!$A$662&amp;CHAR(10)&amp;IF(Checks!$I$662="","",Checks!$I$662&amp;": ")&amp;Checks!$J$662</f>
        <v>F20-UPL-01
Meal: Meals physically uplifted on board - quantity vs menu checklist</v>
      </c>
      <c r="B44" s="120" t="str">
        <f aca="false">Checks!$K$662&amp;IF(Checks!$O$662="","",IF(Checks!$K$662="","",CHAR(10))&amp;"Note: "&amp;Checks!$O$662)</f>
        <v>Enter expected &amp; actual
Note: Confirm on board before departure; completion time must fall inside the uplift window.</v>
      </c>
      <c r="C44" s="120" t="str">
        <f aca="false">Checks!$N$662&amp;CHAR(10)&amp;IF(ISNUMBER(Checks!$R$662),TEXT(Checks!$R$662,"DD-MMM-YY HH:MM"),"")&amp;" "&amp;Checks!$P$662</f>
        <v>Required
29-Oct-26 18:30 KUL</v>
      </c>
      <c r="D44" s="120" t="str">
        <f aca="false">IF(TRIM(Checks!$U$662)&lt;&gt;"",Checks!$U$662&amp;IF(Checks!$AB$662="","",CHAR(10)&amp;"CA: "&amp;Checks!$AB$662),IF(LEFT(Checks!$AH$662,10)="N/A – RULE","","[ ] Pass"&amp;CHAR(10)&amp;"[ ] Pass after CA"&amp;CHAR(10)&amp;"[ ] Fail"&amp;IF(Checks!$AT$662=1,CHAR(10)&amp;"[ ] N/A","")&amp;CHAR(10)&amp;"CA: Open / Closed"))</f>
        <v>[ ] Pass
[ ] Pass after CA
[ ] Fail
CA: Open / Closed</v>
      </c>
      <c r="E44" s="120" t="str">
        <f aca="false">IF(Checks!$V$662="","",Checks!$V$662)&amp;IF(Checks!$AC$662="","",IF(Checks!$V$662="","",CHAR(10))&amp;"N/A just.: "&amp;Checks!$AC$662)&amp;IF(OR(Checks!$W$662&lt;&gt;"",AND(Checks!$AQ$662=1,NOT(LEFT(Checks!$AH$662,10)="N/A – RULE"))),CHAR(10)&amp;"Batch: "&amp;IF(Checks!$W$662="","____________",Checks!$W$662),"")&amp;IF(OR(Checks!$X$662&lt;&gt;"",Checks!$Y$662&lt;&gt;"",AND(Checks!$AR$662=1,NOT(LEFT(Checks!$AH$662,10)="N/A – RULE"))),CHAR(10)&amp;"Exp: "&amp;IF(Checks!$X$662="","______",Checks!$X$662)&amp;"  /  Act: "&amp;IF(Checks!$Y$662="","______",Checks!$Y$662),"")</f>
        <v>
Exp: ______  /  Act: ______</v>
      </c>
      <c r="F44" s="120" t="str">
        <f aca="false">IF(AND(LEFT(Checks!$AH$662,10)="N/A – RULE",TRIM(Checks!$S$662&amp;Checks!$Z$662)=""),"","Type: "&amp;IF(TRIM(Checks!$S$662)="","______________ (see cover list)",Checks!$S$662)&amp;CHAR(10)&amp;"ID: "&amp;IF(TRIM(Checks!$Z$662)="","______________ (record's own no.)",Checks!$Z$662))&amp;IF(Checks!$AA$662="","",CHAR(10)&amp;"CA: "&amp;Checks!$AA$662)</f>
        <v>Type: ______________ (see cover list)
ID: ______________ (record's own no.)</v>
      </c>
      <c r="G44" s="120" t="str">
        <f aca="false">IF(AND(LEFT(Checks!$AH$662,10)="N/A – RULE",NOT(ISNUMBER(Checks!$AD$662)),Checks!$AE$662="",Checks!$T$662=""),"","Done: "&amp;IF(ISNUMBER(Checks!$AD$662),TEXT(Checks!$AD$662,"DD-MMM-YY HH:MM"),"____________")&amp;" "&amp;Checks!$P$662&amp;CHAR(10)&amp;"Verifier: "&amp;IF(Checks!$AE$662="","____________",Checks!$AE$662)&amp;CHAR(10)&amp;"PIC: "&amp;IF(Checks!$T$662="","____________",Checks!$T$662))</f>
        <v>Done: ____________ KUL
Verifier: ____________
PIC: ____________</v>
      </c>
      <c r="H44" s="121" t="str">
        <f aca="false">IF(Checks!$AH$662="","",Checks!$AH$662)</f>
        <v>OPEN</v>
      </c>
    </row>
    <row r="45" customFormat="false" ht="114" hidden="false" customHeight="true" outlineLevel="0" collapsed="false">
      <c r="A45" s="120" t="str">
        <f aca="false">Checks!$A$663&amp;CHAR(10)&amp;IF(Checks!$I$663="","",Checks!$I$663&amp;": ")&amp;Checks!$J$663</f>
        <v>F20-UPL-02
Equipment: Equipment physically loaded at GLD positions - quantity &amp; positions</v>
      </c>
      <c r="B45" s="120" t="str">
        <f aca="false">Checks!$K$663&amp;IF(Checks!$O$663="","",IF(Checks!$K$663="","",CHAR(10))&amp;"Note: "&amp;Checks!$O$663)</f>
        <v>Enter expected &amp; actual
Note: Confirm on board before departure; completion time must fall inside the uplift window.</v>
      </c>
      <c r="C45" s="120" t="str">
        <f aca="false">Checks!$N$663&amp;CHAR(10)&amp;IF(ISNUMBER(Checks!$R$663),TEXT(Checks!$R$663,"DD-MMM-YY HH:MM"),"")&amp;" "&amp;Checks!$P$663</f>
        <v>Required
29-Oct-26 18:30 KUL</v>
      </c>
      <c r="D45" s="120" t="str">
        <f aca="false">IF(TRIM(Checks!$U$663)&lt;&gt;"",Checks!$U$663&amp;IF(Checks!$AB$663="","",CHAR(10)&amp;"CA: "&amp;Checks!$AB$663),IF(LEFT(Checks!$AH$663,10)="N/A – RULE","","[ ] Pass"&amp;CHAR(10)&amp;"[ ] Pass after CA"&amp;CHAR(10)&amp;"[ ] Fail"&amp;IF(Checks!$AT$663=1,CHAR(10)&amp;"[ ] N/A","")&amp;CHAR(10)&amp;"CA: Open / Closed"))</f>
        <v>[ ] Pass
[ ] Pass after CA
[ ] Fail
CA: Open / Closed</v>
      </c>
      <c r="E45" s="120" t="str">
        <f aca="false">IF(Checks!$V$663="","",Checks!$V$663)&amp;IF(Checks!$AC$663="","",IF(Checks!$V$663="","",CHAR(10))&amp;"N/A just.: "&amp;Checks!$AC$663)&amp;IF(OR(Checks!$W$663&lt;&gt;"",AND(Checks!$AQ$663=1,NOT(LEFT(Checks!$AH$663,10)="N/A – RULE"))),CHAR(10)&amp;"Batch: "&amp;IF(Checks!$W$663="","____________",Checks!$W$663),"")&amp;IF(OR(Checks!$X$663&lt;&gt;"",Checks!$Y$663&lt;&gt;"",AND(Checks!$AR$663=1,NOT(LEFT(Checks!$AH$663,10)="N/A – RULE"))),CHAR(10)&amp;"Exp: "&amp;IF(Checks!$X$663="","______",Checks!$X$663)&amp;"  /  Act: "&amp;IF(Checks!$Y$663="","______",Checks!$Y$663),"")</f>
        <v>
Exp: ______  /  Act: ______</v>
      </c>
      <c r="F45" s="120" t="str">
        <f aca="false">IF(AND(LEFT(Checks!$AH$663,10)="N/A – RULE",TRIM(Checks!$S$663&amp;Checks!$Z$663)=""),"","Type: "&amp;IF(TRIM(Checks!$S$663)="","______________ (see cover list)",Checks!$S$663)&amp;CHAR(10)&amp;"ID: "&amp;IF(TRIM(Checks!$Z$663)="","______________ (record's own no.)",Checks!$Z$663))&amp;IF(Checks!$AA$663="","",CHAR(10)&amp;"CA: "&amp;Checks!$AA$663)</f>
        <v>Type: ______________ (see cover list)
ID: ______________ (record's own no.)</v>
      </c>
      <c r="G45" s="120" t="str">
        <f aca="false">IF(AND(LEFT(Checks!$AH$663,10)="N/A – RULE",NOT(ISNUMBER(Checks!$AD$663)),Checks!$AE$663="",Checks!$T$663=""),"","Done: "&amp;IF(ISNUMBER(Checks!$AD$663),TEXT(Checks!$AD$663,"DD-MMM-YY HH:MM"),"____________")&amp;" "&amp;Checks!$P$663&amp;CHAR(10)&amp;"Verifier: "&amp;IF(Checks!$AE$663="","____________",Checks!$AE$663)&amp;CHAR(10)&amp;"PIC: "&amp;IF(Checks!$T$663="","____________",Checks!$T$663))</f>
        <v>Done: ____________ KUL
Verifier: ____________
PIC: ____________</v>
      </c>
      <c r="H45" s="121" t="str">
        <f aca="false">IF(Checks!$AH$663="","",Checks!$AH$663)</f>
        <v>OPEN</v>
      </c>
    </row>
    <row r="46" customFormat="false" ht="114" hidden="false" customHeight="true" outlineLevel="0" collapsed="false">
      <c r="A46" s="120" t="str">
        <f aca="false">Checks!$A$664&amp;CHAR(10)&amp;IF(Checks!$I$664="","",Checks!$I$664&amp;": ")&amp;Checks!$J$664</f>
        <v>F20-UPL-03
Seat Linen: Seat pillow (EY) - on board</v>
      </c>
      <c r="B46" s="120" t="str">
        <f aca="false">Checks!$K$664&amp;IF(Checks!$O$664="","",IF(Checks!$K$664="","",CHAR(10))&amp;"Note: "&amp;Checks!$O$664)</f>
        <v>Available 100% (ticked in reference)</v>
      </c>
      <c r="C46" s="120" t="str">
        <f aca="false">Checks!$N$664&amp;CHAR(10)&amp;IF(ISNUMBER(Checks!$R$664),TEXT(Checks!$R$664,"DD-MMM-YY HH:MM"),"")&amp;" "&amp;Checks!$P$664</f>
        <v>Required
29-Oct-26 18:30 KUL</v>
      </c>
      <c r="D46" s="120" t="str">
        <f aca="false">IF(TRIM(Checks!$U$664)&lt;&gt;"",Checks!$U$664&amp;IF(Checks!$AB$664="","",CHAR(10)&amp;"CA: "&amp;Checks!$AB$664),IF(LEFT(Checks!$AH$664,10)="N/A – RULE","","[ ] Pass"&amp;CHAR(10)&amp;"[ ] Pass after CA"&amp;CHAR(10)&amp;"[ ] Fail"&amp;IF(Checks!$AT$664=1,CHAR(10)&amp;"[ ] N/A","")&amp;CHAR(10)&amp;"CA: Open / Closed"))</f>
        <v>[ ] Pass
[ ] Pass after CA
[ ] Fail
CA: Open / Closed</v>
      </c>
      <c r="E46" s="120" t="str">
        <f aca="false">IF(Checks!$V$664="","",Checks!$V$664)&amp;IF(Checks!$AC$664="","",IF(Checks!$V$664="","",CHAR(10))&amp;"N/A just.: "&amp;Checks!$AC$664)&amp;IF(OR(Checks!$W$664&lt;&gt;"",AND(Checks!$AQ$664=1,NOT(LEFT(Checks!$AH$664,10)="N/A – RULE"))),CHAR(10)&amp;"Batch: "&amp;IF(Checks!$W$664="","____________",Checks!$W$664),"")&amp;IF(OR(Checks!$X$664&lt;&gt;"",Checks!$Y$664&lt;&gt;"",AND(Checks!$AR$664=1,NOT(LEFT(Checks!$AH$664,10)="N/A – RULE"))),CHAR(10)&amp;"Exp: "&amp;IF(Checks!$X$664="","______",Checks!$X$664)&amp;"  /  Act: "&amp;IF(Checks!$Y$664="","______",Checks!$Y$664),"")</f>
        <v/>
      </c>
      <c r="F46" s="120" t="str">
        <f aca="false">IF(AND(LEFT(Checks!$AH$664,10)="N/A – RULE",TRIM(Checks!$S$664&amp;Checks!$Z$664)=""),"","Type: "&amp;IF(TRIM(Checks!$S$664)="","______________ (see cover list)",Checks!$S$664)&amp;CHAR(10)&amp;"ID: "&amp;IF(TRIM(Checks!$Z$664)="","______________ (record's own no.)",Checks!$Z$664))&amp;IF(Checks!$AA$664="","",CHAR(10)&amp;"CA: "&amp;Checks!$AA$664)</f>
        <v>Type: ______________ (see cover list)
ID: ______________ (record's own no.)</v>
      </c>
      <c r="G46" s="120" t="str">
        <f aca="false">IF(AND(LEFT(Checks!$AH$664,10)="N/A – RULE",NOT(ISNUMBER(Checks!$AD$664)),Checks!$AE$664="",Checks!$T$664=""),"","Done: "&amp;IF(ISNUMBER(Checks!$AD$664),TEXT(Checks!$AD$664,"DD-MMM-YY HH:MM"),"____________")&amp;" "&amp;Checks!$P$664&amp;CHAR(10)&amp;"Verifier: "&amp;IF(Checks!$AE$664="","____________",Checks!$AE$664)&amp;CHAR(10)&amp;"PIC: "&amp;IF(Checks!$T$664="","____________",Checks!$T$664))</f>
        <v>Done: ____________ KUL
Verifier: ____________
PIC: ____________</v>
      </c>
      <c r="H46" s="121" t="str">
        <f aca="false">IF(Checks!$AH$664="","",Checks!$AH$664)</f>
        <v>OPEN</v>
      </c>
    </row>
    <row r="48" customFormat="false" ht="24" hidden="false" customHeight="true" outlineLevel="0" collapsed="false">
      <c r="A48" s="122" t="s">
        <v>4832</v>
      </c>
      <c r="B48" s="122"/>
      <c r="C48" s="122"/>
      <c r="D48" s="122"/>
      <c r="E48" s="122" t="s">
        <v>4833</v>
      </c>
      <c r="F48" s="122"/>
      <c r="G48" s="122"/>
      <c r="H48" s="122"/>
    </row>
    <row r="49" customFormat="false" ht="21.75" hidden="false" customHeight="true" outlineLevel="0" collapsed="false">
      <c r="A49" s="123"/>
      <c r="B49" s="123"/>
      <c r="C49" s="123"/>
      <c r="D49" s="123"/>
      <c r="E49" s="123"/>
      <c r="F49" s="123"/>
      <c r="G49" s="123"/>
      <c r="H49" s="123"/>
    </row>
    <row r="50" customFormat="false" ht="21.75" hidden="false" customHeight="true" outlineLevel="0" collapsed="false">
      <c r="A50" s="123"/>
      <c r="B50" s="123"/>
      <c r="C50" s="123"/>
      <c r="D50" s="123"/>
      <c r="E50" s="123"/>
      <c r="F50" s="123"/>
      <c r="G50" s="123"/>
      <c r="H50" s="123"/>
    </row>
    <row r="51" customFormat="false" ht="21.75" hidden="false" customHeight="true" outlineLevel="0" collapsed="false">
      <c r="A51" s="123"/>
      <c r="B51" s="123"/>
      <c r="C51" s="123"/>
      <c r="D51" s="123"/>
      <c r="E51" s="123"/>
      <c r="F51" s="123"/>
      <c r="G51" s="123"/>
      <c r="H51" s="123"/>
    </row>
    <row r="52" customFormat="false" ht="21.75" hidden="false" customHeight="true" outlineLevel="0" collapsed="false">
      <c r="A52" s="123"/>
      <c r="B52" s="123"/>
      <c r="C52" s="123"/>
      <c r="D52" s="123"/>
      <c r="E52" s="123"/>
      <c r="F52" s="123"/>
      <c r="G52" s="123"/>
      <c r="H52" s="123"/>
    </row>
    <row r="53" customFormat="false" ht="21.75" hidden="false" customHeight="true" outlineLevel="0" collapsed="false">
      <c r="A53" s="123"/>
      <c r="B53" s="123"/>
      <c r="C53" s="123"/>
      <c r="D53" s="123"/>
      <c r="E53" s="123"/>
      <c r="F53" s="123"/>
      <c r="G53" s="123"/>
      <c r="H53" s="123"/>
    </row>
    <row r="54" customFormat="false" ht="21.75" hidden="false" customHeight="true" outlineLevel="0" collapsed="false">
      <c r="A54" s="123"/>
      <c r="B54" s="123"/>
      <c r="C54" s="123"/>
      <c r="D54" s="123"/>
      <c r="E54" s="123"/>
      <c r="F54" s="123"/>
      <c r="G54" s="123"/>
      <c r="H54" s="123"/>
    </row>
    <row r="55" customFormat="false" ht="21.75" hidden="false" customHeight="true" outlineLevel="0" collapsed="false">
      <c r="A55" s="123"/>
      <c r="B55" s="123"/>
      <c r="C55" s="123"/>
      <c r="D55" s="123"/>
      <c r="E55" s="123"/>
      <c r="F55" s="123"/>
      <c r="G55" s="123"/>
      <c r="H55" s="123"/>
    </row>
    <row r="56" customFormat="false" ht="21.75" hidden="false" customHeight="true" outlineLevel="0" collapsed="false">
      <c r="A56" s="123"/>
      <c r="B56" s="123"/>
      <c r="C56" s="123"/>
      <c r="D56" s="123"/>
      <c r="E56" s="123"/>
      <c r="F56" s="123"/>
      <c r="G56" s="123"/>
      <c r="H56" s="123"/>
    </row>
    <row r="57" customFormat="false" ht="21.75" hidden="false" customHeight="true" outlineLevel="0" collapsed="false">
      <c r="A57" s="123"/>
      <c r="B57" s="123"/>
      <c r="C57" s="123"/>
      <c r="D57" s="123"/>
      <c r="E57" s="123"/>
      <c r="F57" s="123"/>
      <c r="G57" s="123"/>
      <c r="H57" s="123"/>
    </row>
    <row r="58" customFormat="false" ht="21.75" hidden="false" customHeight="true" outlineLevel="0" collapsed="false">
      <c r="A58" s="123"/>
      <c r="B58" s="123"/>
      <c r="C58" s="123"/>
      <c r="D58" s="123"/>
      <c r="E58" s="123"/>
      <c r="F58" s="123"/>
      <c r="G58" s="123"/>
      <c r="H58"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43:H43"/>
    <mergeCell ref="A48:D48"/>
    <mergeCell ref="E48:H48"/>
    <mergeCell ref="A49:D58"/>
    <mergeCell ref="E49:H58"/>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46">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46">
    <cfRule type="expression" priority="18" aboveAverage="0" equalAverage="0" bottom="0" percent="0" rank="0" text="" dxfId="35">
      <formula>LEFT($H23,3)="N/A"</formula>
    </cfRule>
  </conditionalFormatting>
  <conditionalFormatting sqref="D23:D46">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F20 MH1450 29-Oct-26 KUL-LGK Class EY</oddHeader>
    <oddFooter>&amp;L&amp;"Arial,Bold"&amp;8 F20 MH1450 29-Oct-26 KUL-LGK Class EY&amp;C&amp;"Arial,Regular"&amp;8 Printed: ____________________&amp;R&amp;"Arial,Regular"&amp;8 F20  Page &amp;P of &amp;N</oddFooter>
  </headerFooter>
  <rowBreaks count="6" manualBreakCount="6">
    <brk id="20" man="true" max="16383" min="0"/>
    <brk id="26" man="true" max="16383" min="0"/>
    <brk id="30" man="true" max="16383" min="0"/>
    <brk id="35" man="true" max="16383" min="0"/>
    <brk id="39" man="true" max="16383" min="0"/>
    <brk id="42" man="true" max="16383" min="0"/>
  </rowBreaks>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F21  "&amp;Flights!$F$25&amp;"  "&amp;TEXT(Flights!$D$25,"DD-MMM-YY")&amp;" ("&amp;Flights!$E$25&amp;")  "&amp;Flights!$G$25&amp;" → "&amp;Flights!$H$25&amp;"  |  Class "&amp;Flights!$K$25</f>
        <v>SKYTRAX 2026 CATERING READINESS CHECKLIST  |  F21  MH1437  30-Oct-26 (FRI)  LGK → KUL  |  Class BC</v>
      </c>
      <c r="B1" s="93"/>
      <c r="C1" s="93"/>
      <c r="D1" s="93"/>
      <c r="E1" s="93"/>
      <c r="F1" s="93"/>
      <c r="G1" s="93"/>
      <c r="H1" s="93"/>
    </row>
    <row r="2" customFormat="false" ht="12.75" hidden="false" customHeight="true" outlineLevel="0" collapsed="false">
      <c r="A2" s="94" t="s">
        <v>4788</v>
      </c>
      <c r="B2" s="95" t="str">
        <f aca="false">Flights!$F$25&amp;"   "&amp;TEXT(Flights!$D$25,"DD-MMM-YY")&amp;" ("&amp;Flights!$E$25&amp;")"</f>
        <v>MH1437   30-Oct-26 (FRI)</v>
      </c>
      <c r="C2" s="95"/>
      <c r="D2" s="95"/>
      <c r="E2" s="96" t="s">
        <v>4789</v>
      </c>
      <c r="F2" s="97" t="str">
        <f aca="false">Flights!$AT$25</f>
        <v>NOT READY – DOCUMENTS</v>
      </c>
      <c r="G2" s="97"/>
      <c r="H2" s="97"/>
    </row>
    <row r="3" customFormat="false" ht="24" hidden="false" customHeight="true" outlineLevel="0" collapsed="false">
      <c r="A3" s="94" t="s">
        <v>4790</v>
      </c>
      <c r="B3" s="95" t="str">
        <f aca="false">Flights!$G$25&amp;" → "&amp;Flights!$H$25&amp;"   Class "&amp;Flights!$K$25&amp;"   Seat "&amp;Flights!$O$25</f>
        <v>LGK → KUL   Class BC   Seat 1C</v>
      </c>
      <c r="C3" s="95"/>
      <c r="D3" s="95"/>
      <c r="E3" s="96" t="s">
        <v>73</v>
      </c>
      <c r="F3" s="96" t="s">
        <v>4791</v>
      </c>
      <c r="G3" s="96" t="s">
        <v>4792</v>
      </c>
      <c r="H3" s="96"/>
    </row>
    <row r="4" customFormat="false" ht="24" hidden="false" customHeight="true" outlineLevel="0" collapsed="false">
      <c r="A4" s="94" t="s">
        <v>4793</v>
      </c>
      <c r="B4" s="95" t="str">
        <f aca="false">IF(ISNUMBER(Flights!$I$25),TEXT(Flights!$I$25,"DD-MMM-YY HH:MM"),"")&amp;" "&amp;Flights!$G$25&amp;"  →  "&amp;IF(ISNUMBER(Flights!$J$25),TEXT(Flights!$J$25,"DD-MMM-YY HH:MM"),"")&amp;" "&amp;Flights!$H$25</f>
        <v>30-Oct-26 14:45 LGK  →  30-Oct-26 16:05 KUL</v>
      </c>
      <c r="C4" s="95"/>
      <c r="D4" s="95"/>
      <c r="E4" s="94" t="s">
        <v>4794</v>
      </c>
      <c r="F4" s="98" t="str">
        <f aca="false">IF(ISNUMBER(Flights!$AG$25),TEXT(Flights!$AG$25,"DD-MMM-YY HH:MM"),"")&amp;" "&amp;Flights!$V$25</f>
        <v>23-Oct-26 14:45 KUL</v>
      </c>
      <c r="G4" s="99" t="n">
        <f aca="false">Flights!$AJ$25</f>
        <v>0</v>
      </c>
      <c r="H4" s="99"/>
    </row>
    <row r="5" customFormat="false" ht="24" hidden="false" customHeight="true" outlineLevel="0" collapsed="false">
      <c r="A5" s="94" t="s">
        <v>4795</v>
      </c>
      <c r="B5" s="95" t="str">
        <f aca="false">Flights!$L$25&amp;" – "&amp;Flights!$M$25</f>
        <v>B738MAX – B737-8 (B7M8)</v>
      </c>
      <c r="C5" s="95"/>
      <c r="D5" s="95"/>
      <c r="E5" s="94" t="s">
        <v>4796</v>
      </c>
      <c r="F5" s="98" t="str">
        <f aca="false">IF(ISNUMBER(Flights!$AH$25),TEXT(Flights!$AH$25,"DD-MMM-YY HH:MM"),"")&amp;" "&amp;Flights!$V$25</f>
        <v>29-Oct-26 12:30 KUL</v>
      </c>
      <c r="G5" s="99" t="n">
        <f aca="false">Flights!$AK$25</f>
        <v>0</v>
      </c>
      <c r="H5" s="99"/>
    </row>
    <row r="6" customFormat="false" ht="24" hidden="false" customHeight="true" outlineLevel="0" collapsed="false">
      <c r="A6" s="94" t="s">
        <v>4797</v>
      </c>
      <c r="B6" s="95" t="str">
        <f aca="false">IF(TRIM(Flights!$N$25)="","__________________",Flights!$N$25)</f>
        <v>__________________</v>
      </c>
      <c r="C6" s="95"/>
      <c r="D6" s="95"/>
      <c r="E6" s="94" t="s">
        <v>4798</v>
      </c>
      <c r="F6" s="98" t="str">
        <f aca="false">IF(ISNUMBER(Flights!$AI$25),TEXT(Flights!$AI$25,"DD-MMM-YY HH:MM"),"")&amp;" "&amp;Flights!$V$25&amp;IF(Flights!$AI$25=Flights!$AH$25,"  (= T-24H due)","")</f>
        <v>29-Oct-26 12:30 KUL  (= T-24H due)</v>
      </c>
      <c r="G6" s="99" t="n">
        <f aca="false">Flights!$AL$25</f>
        <v>0</v>
      </c>
      <c r="H6" s="99"/>
    </row>
    <row r="7" customFormat="false" ht="24" hidden="false" customHeight="true" outlineLevel="0" collapsed="false">
      <c r="A7" s="94" t="s">
        <v>4799</v>
      </c>
      <c r="B7" s="95" t="str">
        <f aca="false">Flights!$T$25</f>
        <v>Refreshment (Peanut &amp; Water)</v>
      </c>
      <c r="C7" s="95"/>
      <c r="D7" s="95"/>
      <c r="E7" s="94" t="s">
        <v>4800</v>
      </c>
      <c r="F7" s="98" t="str">
        <f aca="false">"STD "&amp;IF(ISNUMBER(Flights!$I$25),TEXT(Flights!$I$25,"DD-MMM-YY HH:MM"),"")&amp;" "&amp;Flights!$G$25&amp;" (dep stn)"</f>
        <v>STD 30-Oct-26 14:45 LGK (dep stn)</v>
      </c>
      <c r="G7" s="99" t="n">
        <f aca="false">Flights!$AM$25</f>
        <v>0</v>
      </c>
      <c r="H7" s="99"/>
    </row>
    <row r="8" customFormat="false" ht="12.75" hidden="false" customHeight="true" outlineLevel="0" collapsed="false">
      <c r="A8" s="94" t="s">
        <v>155</v>
      </c>
      <c r="B8" s="95" t="str">
        <f aca="false">Flights!$V$25&amp;"   (reference uplift stns: "&amp;Flights!$U$25&amp;")"</f>
        <v>KUL   (reference uplift stns: KUL)</v>
      </c>
      <c r="C8" s="95"/>
      <c r="D8" s="95"/>
      <c r="E8" s="94" t="s">
        <v>4801</v>
      </c>
      <c r="F8" s="100" t="s">
        <v>4802</v>
      </c>
      <c r="G8" s="99" t="n">
        <f aca="false">Flights!$AN$25</f>
        <v>0</v>
      </c>
      <c r="H8" s="99"/>
    </row>
    <row r="9" customFormat="false" ht="12.75" hidden="false" customHeight="true" outlineLevel="0" collapsed="false">
      <c r="A9" s="94" t="s">
        <v>4803</v>
      </c>
      <c r="B9" s="95" t="str">
        <f aca="false">TRIM(Flights!$P$25&amp;"  "&amp;Flights!$Q$25)</f>
        <v>-</v>
      </c>
      <c r="C9" s="95"/>
      <c r="D9" s="95"/>
      <c r="E9" s="94" t="s">
        <v>4804</v>
      </c>
      <c r="F9" s="101" t="n">
        <f aca="false">Flights!$AP$25</f>
        <v>0</v>
      </c>
      <c r="G9" s="102" t="n">
        <f aca="false">Flights!$AQ$25</f>
        <v>0</v>
      </c>
      <c r="H9" s="103" t="n">
        <f aca="false">Flights!$AU$25</f>
        <v>0</v>
      </c>
    </row>
    <row r="10" customFormat="false" ht="24" hidden="false" customHeight="true" outlineLevel="0" collapsed="false">
      <c r="A10" s="94" t="s">
        <v>4805</v>
      </c>
      <c r="B10" s="95" t="str">
        <f aca="false">IF(TRIM(Flights!$X$25)="","__________________",Flights!$X$25)</f>
        <v>__________________</v>
      </c>
      <c r="C10" s="95"/>
      <c r="D10" s="95"/>
      <c r="E10" s="94" t="s">
        <v>4806</v>
      </c>
      <c r="F10" s="104" t="n">
        <f aca="false">Flights!$AO$25</f>
        <v>36</v>
      </c>
      <c r="G10" s="105" t="n">
        <f aca="false">Flights!$AS$25</f>
        <v>1</v>
      </c>
      <c r="H10" s="106" t="n">
        <f aca="false">Flights!$AR$25</f>
        <v>2</v>
      </c>
    </row>
    <row r="11" customFormat="false" ht="21" hidden="false" customHeight="true" outlineLevel="0" collapsed="false">
      <c r="A11" s="94" t="s">
        <v>4807</v>
      </c>
      <c r="B11" s="95" t="str">
        <f aca="false">IF(TRIM(Flights!$Y$25)="","__________________",Flights!$Y$25)</f>
        <v>__________________</v>
      </c>
      <c r="C11" s="95"/>
      <c r="D11" s="95"/>
      <c r="E11" s="94" t="s">
        <v>4808</v>
      </c>
      <c r="F11" s="97" t="str">
        <f aca="false">Flights!$AV$25&amp;" / "&amp;Flights!$AW$25</f>
        <v>0 / 36</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56.25" hidden="false" customHeight="true" outlineLevel="0" collapsed="false">
      <c r="A14" s="124" t="str">
        <f aca="false">"ROUND-TRIP LEG: all catering is loaded at KUL on the carrying flight (candidate "&amp;Flights!$W$25&amp;IFERROR(" "&amp;INDEX(Flights!$F$5:$F$26,MATCH(TRIM(Flights!$W$25),Flights!$A$5:$A$26,0)),"")&amp;"); prep dues are capped at the KUL loading window; on-board checks at "&amp;Flights!$G$25&amp;". Each row shows its own due."&amp;CHAR(10)&amp;"KUL loading window opens: "&amp;IF(ISNUMBER(Flights!$AY$25),TEXT(Flights!$AY$25+IFERROR(INDEX(Settings!$C$13:$C$22,MATCH("KUL",Settings!$A$13:$A$22,0)),8)/24,"DD-MMM-YY HH:MM")&amp;" KUL","(not set)")&amp;"   |   Carrying flight leaves KUL: "&amp;IF(ISNUMBER(Flights!$AY$25),TEXT(Flights!$AY$25+UpliftWindowH/24+IFERROR(INDEX(Settings!$C$13:$C$22,MATCH("KUL",Settings!$A$13:$A$22,0)),8)/24,"DD-MMM-YY HH:MM")&amp;" KUL","(not set)")&amp;IF(ISNUMBER(Flights!$AX$25),"",IF(TRIM(Flights!$W$25)&lt;&gt;""," (agenda candidate – actual not yet entered)"," (latest possible – actual not yet entered)"))&amp;IF(ISNUMBER(Flights!$AX$25),"",CHAR(10)&amp;"CARRYING FLIGHT NOT YET ENTERED (Flights sheet): its timing is assumed, so on-board (UPLIFT) checks before the assumed arrival show INVALID – before uplift window.")</f>
        <v>ROUND-TRIP LEG: all catering is loaded at KUL on the carrying flight (candidate F20 MH1450); prep dues are capped at the KUL loading window; on-board checks at LGK. Each row shows its own due.
KUL loading window opens: 29-Oct-26 12:30 KUL   |   Carrying flight leaves KUL: 29-Oct-26 18:30 KUL (agenda candidate – actual not yet entered)
CARRYING FLIGHT NOT YET ENTERED (Flights sheet): its timing is assumed, so on-board (UPLIFT) checks before the assumed arrival show INVALID – before uplift window.</v>
      </c>
      <c r="B14" s="124"/>
      <c r="C14" s="124"/>
      <c r="D14" s="124"/>
      <c r="E14" s="124"/>
      <c r="F14" s="124"/>
      <c r="G14" s="124"/>
      <c r="H14" s="124"/>
    </row>
    <row r="15" customFormat="false" ht="13.5" hidden="false" customHeight="true" outlineLevel="0" collapsed="false">
      <c r="A15" s="96" t="s">
        <v>4813</v>
      </c>
      <c r="B15" s="96" t="s">
        <v>4814</v>
      </c>
      <c r="C15" s="96" t="s">
        <v>4815</v>
      </c>
      <c r="D15" s="96"/>
      <c r="E15" s="96" t="s">
        <v>4816</v>
      </c>
      <c r="F15" s="96" t="s">
        <v>4817</v>
      </c>
      <c r="G15" s="96"/>
      <c r="H15" s="96"/>
    </row>
    <row r="16" customFormat="false" ht="36" hidden="false" customHeight="true" outlineLevel="0" collapsed="false">
      <c r="A16" s="94" t="s">
        <v>4818</v>
      </c>
      <c r="B16" s="95" t="str">
        <f aca="false">IF(Documents!$F$25="","",Documents!$F$25)</f>
        <v/>
      </c>
      <c r="C16" s="100" t="str">
        <f aca="false">IF(Documents!$G$25="","",Documents!$G$25)&amp;IF(ISNUMBER(Documents!$H$25),"  "&amp;TEXT(Documents!$H$25,"DD-MMM-YY"),"")</f>
        <v/>
      </c>
      <c r="D16" s="100"/>
      <c r="E16" s="114" t="str">
        <f aca="false">IF(Documents!$J$25="OUTSTANDING","OUTSTANDING – attach before T-7D (due "&amp;IF(ISNUMBER(Flights!$AG$25),TEXT(Flights!$AG$25,"DD-MMM-YY HH:MM"),"")&amp;" "&amp;Flights!$V$25&amp;")",IF(Documents!$J$25="","Status not recorded",Documents!$J$25))</f>
        <v>OUTSTANDING – attach before T-7D (due 23-Oct-26 14:45 KUL)</v>
      </c>
      <c r="F16" s="115" t="str">
        <f aca="false">"Staple behind this sheet as page A1."&amp;IF(Documents!$I$25="",""," Location: "&amp;Documents!$I$25)</f>
        <v>Staple behind this sheet as page A1.</v>
      </c>
      <c r="G16" s="115"/>
      <c r="H16" s="115"/>
    </row>
    <row r="17" customFormat="false" ht="36" hidden="false" customHeight="true" outlineLevel="0" collapsed="false">
      <c r="A17" s="94" t="s">
        <v>4819</v>
      </c>
      <c r="B17" s="95" t="str">
        <f aca="false">IF(Documents!$K$25="","",Documents!$K$25)</f>
        <v/>
      </c>
      <c r="C17" s="100" t="str">
        <f aca="false">IF(Documents!$L$25="","",Documents!$L$25)&amp;IF(ISNUMBER(Documents!$M$25),"  "&amp;TEXT(Documents!$M$25,"DD-MMM-YY"),"")</f>
        <v/>
      </c>
      <c r="D17" s="100"/>
      <c r="E17" s="114" t="str">
        <f aca="false">IF(Documents!$O$25="OUTSTANDING","OUTSTANDING – attach before T-7D (due "&amp;IF(ISNUMBER(Flights!$AG$25),TEXT(Flights!$AG$25,"DD-MMM-YY HH:MM"),"")&amp;" "&amp;Flights!$V$25&amp;")",IF(Documents!$O$25="","Status not recorded",Documents!$O$25))</f>
        <v>OUTSTANDING – attach before T-7D (due 23-Oct-26 14:45 KUL)</v>
      </c>
      <c r="F17" s="115" t="str">
        <f aca="false">"Staple behind this sheet as page A2."&amp;IF(Documents!$N$25="",""," Location: "&amp;Documents!$N$25)</f>
        <v>Staple behind this sheet as page A2.</v>
      </c>
      <c r="G17" s="115"/>
      <c r="H17" s="115"/>
    </row>
    <row r="18" customFormat="false" ht="22.5" hidden="false" customHeight="true" outlineLevel="0" collapsed="false">
      <c r="A18" s="94" t="s">
        <v>4820</v>
      </c>
      <c r="B18" s="116" t="str">
        <f aca="false">IF(Documents!$Q$25="","",Documents!$Q$25)</f>
        <v>Not supplied with brief – obtain from caterer / MAGCS. Return catering loaded at KUL: GLD must show return-leg stowage.</v>
      </c>
      <c r="C18" s="116"/>
      <c r="D18" s="116"/>
      <c r="E18" s="116"/>
      <c r="F18" s="116"/>
      <c r="G18" s="116"/>
      <c r="H18" s="116"/>
    </row>
    <row r="19" customFormat="false" ht="13.5" hidden="false" customHeight="true" outlineLevel="0" collapsed="false">
      <c r="A19" s="117" t="s">
        <v>4821</v>
      </c>
      <c r="B19" s="117"/>
      <c r="C19" s="117" t="s">
        <v>4822</v>
      </c>
      <c r="D19" s="117"/>
      <c r="E19" s="117"/>
      <c r="F19" s="117" t="s">
        <v>4823</v>
      </c>
      <c r="G19" s="117"/>
      <c r="H19" s="117"/>
    </row>
    <row r="20" customFormat="false" ht="18" hidden="false" customHeight="true" outlineLevel="0" collapsed="false">
      <c r="A20" s="95" t="str">
        <f aca="false">"Name: "&amp;IF(TRIM(Flights!$Y$25)="","__________________",Flights!$Y$25)</f>
        <v>Name: __________________</v>
      </c>
      <c r="B20" s="95"/>
      <c r="C20" s="95" t="str">
        <f aca="false">"Name: __________________"</f>
        <v>Name: __________________</v>
      </c>
      <c r="D20" s="95"/>
      <c r="E20" s="95"/>
      <c r="F20" s="95" t="str">
        <f aca="false">"Name: __________________"&amp;"   Station: "&amp;Flights!$V$25</f>
        <v>Name: __________________   Station: KUL</v>
      </c>
      <c r="G20" s="95"/>
      <c r="H20" s="95"/>
    </row>
    <row r="21" customFormat="false" ht="30" hidden="false" customHeight="true" outlineLevel="0" collapsed="false">
      <c r="A21" s="118" t="s">
        <v>4824</v>
      </c>
      <c r="B21" s="118"/>
      <c r="C21" s="118" t="s">
        <v>4824</v>
      </c>
      <c r="D21" s="118"/>
      <c r="E21" s="118"/>
      <c r="F21" s="118" t="s">
        <v>4824</v>
      </c>
      <c r="G21" s="118"/>
      <c r="H21" s="118"/>
    </row>
    <row r="22" customFormat="false" ht="24" hidden="false" customHeight="true" outlineLevel="0" collapsed="false">
      <c r="A22" s="96" t="s">
        <v>4825</v>
      </c>
      <c r="B22" s="96" t="s">
        <v>4826</v>
      </c>
      <c r="C22" s="96" t="s">
        <v>4827</v>
      </c>
      <c r="D22" s="96" t="s">
        <v>4828</v>
      </c>
      <c r="E22" s="96" t="s">
        <v>4829</v>
      </c>
      <c r="F22" s="96" t="s">
        <v>4830</v>
      </c>
      <c r="G22" s="96" t="s">
        <v>4831</v>
      </c>
      <c r="H22" s="96" t="s">
        <v>126</v>
      </c>
    </row>
    <row r="23" customFormat="false" ht="25.5" hidden="false" customHeight="true" outlineLevel="0" collapsed="false">
      <c r="A23" s="119" t="str">
        <f aca="false">"T-7D — 7 days before departure  |  Due "&amp;IF(ISNUMBER(Flights!$AG$25),TEXT(Flights!$AG$25,"DD-MMM-YY HH:MM"),"")&amp;" "&amp;Flights!$V$25&amp;" (meal uplift stn)"&amp;" (rows with another due show their own)  |  Complete "&amp;IF(ISNUMBER(Flights!$AJ$25),TEXT(Flights!$AJ$25,"0%"),Flights!$AJ$25)&amp;"  |  10 lines"</f>
        <v>T-7D — 7 days before departure  |  Due 23-Oct-26 14:45 KUL (meal uplift stn) (rows with another due show their own)  |  Complete 0%  |  10 lines</v>
      </c>
      <c r="B23" s="119"/>
      <c r="C23" s="119"/>
      <c r="D23" s="119"/>
      <c r="E23" s="119"/>
      <c r="F23" s="119"/>
      <c r="G23" s="119"/>
      <c r="H23" s="119"/>
    </row>
    <row r="24" customFormat="false" ht="114" hidden="false" customHeight="true" outlineLevel="0" collapsed="false">
      <c r="A24" s="120" t="str">
        <f aca="false">Checks!$A$665&amp;CHAR(10)&amp;IF(Checks!$I$665="","",Checks!$I$665&amp;": ")&amp;Checks!$J$665</f>
        <v>F21-T7-01
Meal: Meal sensory testing completed for this flight's menu cycle (assessed class)</v>
      </c>
      <c r="B24" s="120" t="str">
        <f aca="false">Checks!$K$665&amp;IF(Checks!$O$665="","",IF(Checks!$K$665="","",CHAR(10))&amp;"Note: "&amp;Checks!$O$665)</f>
        <v>Record panel result / score in Result
Note: Refreshment service: sensory test covers the refreshment items.</v>
      </c>
      <c r="C24" s="120" t="str">
        <f aca="false">Checks!$N$665&amp;CHAR(10)&amp;IF(ISNUMBER(Checks!$R$665),TEXT(Checks!$R$665,"DD-MMM-YY HH:MM"),"")&amp;" "&amp;Checks!$P$665</f>
        <v>Required
23-Oct-26 14:45 KUL</v>
      </c>
      <c r="D24" s="120" t="str">
        <f aca="false">IF(TRIM(Checks!$U$665)&lt;&gt;"",Checks!$U$665&amp;IF(Checks!$AB$665="","",CHAR(10)&amp;"CA: "&amp;Checks!$AB$665),IF(LEFT(Checks!$AH$665,10)="N/A – RULE","","[ ] Pass"&amp;CHAR(10)&amp;"[ ] Pass after CA"&amp;CHAR(10)&amp;"[ ] Fail"&amp;IF(Checks!$AT$665=1,CHAR(10)&amp;"[ ] N/A","")&amp;CHAR(10)&amp;"CA: Open / Closed"))</f>
        <v>[ ] Pass
[ ] Pass after CA
[ ] Fail
CA: Open / Closed</v>
      </c>
      <c r="E24" s="120" t="str">
        <f aca="false">IF(Checks!$V$665="","",Checks!$V$665)&amp;IF(Checks!$AC$665="","",IF(Checks!$V$665="","",CHAR(10))&amp;"N/A just.: "&amp;Checks!$AC$665)&amp;IF(OR(Checks!$W$665&lt;&gt;"",AND(Checks!$AQ$665=1,NOT(LEFT(Checks!$AH$665,10)="N/A – RULE"))),CHAR(10)&amp;"Batch: "&amp;IF(Checks!$W$665="","____________",Checks!$W$665),"")&amp;IF(OR(Checks!$X$665&lt;&gt;"",Checks!$Y$665&lt;&gt;"",AND(Checks!$AR$665=1,NOT(LEFT(Checks!$AH$665,10)="N/A – RULE"))),CHAR(10)&amp;"Exp: "&amp;IF(Checks!$X$665="","______",Checks!$X$665)&amp;"  /  Act: "&amp;IF(Checks!$Y$665="","______",Checks!$Y$665),"")</f>
        <v/>
      </c>
      <c r="F24" s="120" t="str">
        <f aca="false">IF(AND(LEFT(Checks!$AH$665,10)="N/A – RULE",TRIM(Checks!$S$665&amp;Checks!$Z$665)=""),"","Type: "&amp;IF(TRIM(Checks!$S$665)="","______________ (see cover list)",Checks!$S$665)&amp;CHAR(10)&amp;"ID: "&amp;IF(TRIM(Checks!$Z$665)="","______________ (record's own no.)",Checks!$Z$665))&amp;IF(Checks!$AA$665="","",CHAR(10)&amp;"CA: "&amp;Checks!$AA$665)</f>
        <v>Type: ______________ (see cover list)
ID: ______________ (record's own no.)</v>
      </c>
      <c r="G24" s="120" t="str">
        <f aca="false">IF(AND(LEFT(Checks!$AH$665,10)="N/A – RULE",NOT(ISNUMBER(Checks!$AD$665)),Checks!$AE$665="",Checks!$T$665=""),"","Done: "&amp;IF(ISNUMBER(Checks!$AD$665),TEXT(Checks!$AD$665,"DD-MMM-YY HH:MM"),"____________")&amp;" "&amp;Checks!$P$665&amp;CHAR(10)&amp;"Verifier: "&amp;IF(Checks!$AE$665="","____________",Checks!$AE$665)&amp;CHAR(10)&amp;"PIC: "&amp;IF(Checks!$T$665="","____________",Checks!$T$665))</f>
        <v>Done: ____________ KUL
Verifier: ____________
PIC: ____________</v>
      </c>
      <c r="H24" s="121" t="str">
        <f aca="false">IF(Checks!$AH$665="","",Checks!$AH$665)</f>
        <v>OPEN</v>
      </c>
    </row>
    <row r="25" customFormat="false" ht="114" hidden="false" customHeight="true" outlineLevel="0" collapsed="false">
      <c r="A25" s="120" t="str">
        <f aca="false">Checks!$A$666&amp;CHAR(10)&amp;IF(Checks!$I$666="","",Checks!$I$666&amp;": ")&amp;Checks!$J$666</f>
        <v>F21-T7-02
Menu: Printed menu cards confirmed (content, cycle, language, quantity)</v>
      </c>
      <c r="B25" s="120" t="str">
        <f aca="false">Checks!$K$666&amp;IF(Checks!$O$666="","",IF(Checks!$K$666="","",CHAR(10))&amp;"Note: "&amp;Checks!$O$666)</f>
        <v>Menu card matches approved menu for this flight
Note: Refreshment service (peanut &amp; water). If no printed menu card is used, mark N/A with the confirmation as justification.</v>
      </c>
      <c r="C25" s="120" t="str">
        <f aca="false">Checks!$N$666&amp;CHAR(10)&amp;IF(ISNUMBER(Checks!$R$666),TEXT(Checks!$R$666,"DD-MMM-YY HH:MM"),"")&amp;" "&amp;Checks!$P$666</f>
        <v>Required
23-Oct-26 14:45 KUL</v>
      </c>
      <c r="D25" s="120" t="str">
        <f aca="false">IF(TRIM(Checks!$U$666)&lt;&gt;"",Checks!$U$666&amp;IF(Checks!$AB$666="","",CHAR(10)&amp;"CA: "&amp;Checks!$AB$666),IF(LEFT(Checks!$AH$666,10)="N/A – RULE","","[ ] Pass"&amp;CHAR(10)&amp;"[ ] Pass after CA"&amp;CHAR(10)&amp;"[ ] Fail"&amp;IF(Checks!$AT$666=1,CHAR(10)&amp;"[ ] N/A","")&amp;CHAR(10)&amp;"CA: Open / Closed"))</f>
        <v>[ ] Pass
[ ] Pass after CA
[ ] Fail
[ ] N/A
CA: Open / Closed</v>
      </c>
      <c r="E25" s="120" t="str">
        <f aca="false">IF(Checks!$V$666="","",Checks!$V$666)&amp;IF(Checks!$AC$666="","",IF(Checks!$V$666="","",CHAR(10))&amp;"N/A just.: "&amp;Checks!$AC$666)&amp;IF(OR(Checks!$W$666&lt;&gt;"",AND(Checks!$AQ$666=1,NOT(LEFT(Checks!$AH$666,10)="N/A – RULE"))),CHAR(10)&amp;"Batch: "&amp;IF(Checks!$W$666="","____________",Checks!$W$666),"")&amp;IF(OR(Checks!$X$666&lt;&gt;"",Checks!$Y$666&lt;&gt;"",AND(Checks!$AR$666=1,NOT(LEFT(Checks!$AH$666,10)="N/A – RULE"))),CHAR(10)&amp;"Exp: "&amp;IF(Checks!$X$666="","______",Checks!$X$666)&amp;"  /  Act: "&amp;IF(Checks!$Y$666="","______",Checks!$Y$666),"")</f>
        <v/>
      </c>
      <c r="F25" s="120" t="str">
        <f aca="false">IF(AND(LEFT(Checks!$AH$666,10)="N/A – RULE",TRIM(Checks!$S$666&amp;Checks!$Z$666)=""),"","Type: "&amp;IF(TRIM(Checks!$S$666)="","______________ (see cover list)",Checks!$S$666)&amp;CHAR(10)&amp;"ID: "&amp;IF(TRIM(Checks!$Z$666)="","______________ (record's own no.)",Checks!$Z$666))&amp;IF(Checks!$AA$666="","",CHAR(10)&amp;"CA: "&amp;Checks!$AA$666)</f>
        <v>Type: ______________ (see cover list)
ID: ______________ (record's own no.)</v>
      </c>
      <c r="G25" s="120" t="str">
        <f aca="false">IF(AND(LEFT(Checks!$AH$666,10)="N/A – RULE",NOT(ISNUMBER(Checks!$AD$666)),Checks!$AE$666="",Checks!$T$666=""),"","Done: "&amp;IF(ISNUMBER(Checks!$AD$666),TEXT(Checks!$AD$666,"DD-MMM-YY HH:MM"),"____________")&amp;" "&amp;Checks!$P$666&amp;CHAR(10)&amp;"Verifier: "&amp;IF(Checks!$AE$666="","____________",Checks!$AE$666)&amp;CHAR(10)&amp;"PIC: "&amp;IF(Checks!$T$666="","____________",Checks!$T$666))</f>
        <v>Done: ____________ KUL
Verifier: ____________
PIC: ____________</v>
      </c>
      <c r="H25" s="121" t="str">
        <f aca="false">IF(Checks!$AH$666="","",Checks!$AH$666)</f>
        <v>OPEN</v>
      </c>
    </row>
    <row r="26" customFormat="false" ht="114" hidden="false" customHeight="true" outlineLevel="0" collapsed="false">
      <c r="A26" s="120" t="str">
        <f aca="false">Checks!$A$667&amp;CHAR(10)&amp;IF(Checks!$I$667="","",Checks!$I$667&amp;": ")&amp;Checks!$J$667</f>
        <v>F21-T7-03
IFE: Digital menu in IFE confirmed (A339 only)</v>
      </c>
      <c r="B26" s="120" t="str">
        <f aca="false">Checks!$K$667&amp;IF(Checks!$O$667="","",IF(Checks!$K$667="","",CHAR(10))&amp;"Note: "&amp;Checks!$O$667)</f>
        <v>Applies when fleet = A339
Note: Digital IFE menu applies to A339 only (user brief). Applicability follows the Fleet cell on Flights.</v>
      </c>
      <c r="C26" s="120" t="str">
        <f aca="false">Checks!$N$667&amp;CHAR(10)&amp;IF(ISNUMBER(Checks!$R$667),TEXT(Checks!$R$667,"DD-MMM-YY HH:MM"),"")&amp;" "&amp;Checks!$P$667</f>
        <v>N/A – rule
23-Oct-26 14:45 KUL</v>
      </c>
      <c r="D26" s="120" t="str">
        <f aca="false">IF(TRIM(Checks!$U$667)&lt;&gt;"",Checks!$U$667&amp;IF(Checks!$AB$667="","",CHAR(10)&amp;"CA: "&amp;Checks!$AB$667),IF(LEFT(Checks!$AH$667,10)="N/A – RULE","","[ ] Pass"&amp;CHAR(10)&amp;"[ ] Pass after CA"&amp;CHAR(10)&amp;"[ ] Fail"&amp;IF(Checks!$AT$667=1,CHAR(10)&amp;"[ ] N/A","")&amp;CHAR(10)&amp;"CA: Open / Closed"))</f>
        <v/>
      </c>
      <c r="E26" s="120" t="str">
        <f aca="false">IF(Checks!$V$667="","",Checks!$V$667)&amp;IF(Checks!$AC$667="","",IF(Checks!$V$667="","",CHAR(10))&amp;"N/A just.: "&amp;Checks!$AC$667)&amp;IF(OR(Checks!$W$667&lt;&gt;"",AND(Checks!$AQ$667=1,NOT(LEFT(Checks!$AH$667,10)="N/A – RULE"))),CHAR(10)&amp;"Batch: "&amp;IF(Checks!$W$667="","____________",Checks!$W$667),"")&amp;IF(OR(Checks!$X$667&lt;&gt;"",Checks!$Y$667&lt;&gt;"",AND(Checks!$AR$667=1,NOT(LEFT(Checks!$AH$667,10)="N/A – RULE"))),CHAR(10)&amp;"Exp: "&amp;IF(Checks!$X$667="","______",Checks!$X$667)&amp;"  /  Act: "&amp;IF(Checks!$Y$667="","______",Checks!$Y$667),"")</f>
        <v/>
      </c>
      <c r="F26" s="120" t="str">
        <f aca="false">IF(AND(LEFT(Checks!$AH$667,10)="N/A – RULE",TRIM(Checks!$S$667&amp;Checks!$Z$667)=""),"","Type: "&amp;IF(TRIM(Checks!$S$667)="","______________ (see cover list)",Checks!$S$667)&amp;CHAR(10)&amp;"ID: "&amp;IF(TRIM(Checks!$Z$667)="","______________ (record's own no.)",Checks!$Z$667))&amp;IF(Checks!$AA$667="","",CHAR(10)&amp;"CA: "&amp;Checks!$AA$667)</f>
        <v/>
      </c>
      <c r="G26" s="120" t="str">
        <f aca="false">IF(AND(LEFT(Checks!$AH$667,10)="N/A – RULE",NOT(ISNUMBER(Checks!$AD$667)),Checks!$AE$667="",Checks!$T$667=""),"","Done: "&amp;IF(ISNUMBER(Checks!$AD$667),TEXT(Checks!$AD$667,"DD-MMM-YY HH:MM"),"____________")&amp;" "&amp;Checks!$P$667&amp;CHAR(10)&amp;"Verifier: "&amp;IF(Checks!$AE$667="","____________",Checks!$AE$667)&amp;CHAR(10)&amp;"PIC: "&amp;IF(Checks!$T$667="","____________",Checks!$T$667))</f>
        <v/>
      </c>
      <c r="H26" s="121" t="str">
        <f aca="false">IF(Checks!$AH$667="","",Checks!$AH$667)</f>
        <v>N/A – RULE</v>
      </c>
    </row>
    <row r="27" customFormat="false" ht="114" hidden="false" customHeight="true" outlineLevel="0" collapsed="false">
      <c r="A27" s="120" t="str">
        <f aca="false">Checks!$A$668&amp;CHAR(10)&amp;IF(Checks!$I$668="","",Checks!$I$668&amp;": ")&amp;Checks!$J$668</f>
        <v>F21-T7-04
Staffing: Experienced catering officer assigned to this flight</v>
      </c>
      <c r="B27" s="120" t="str">
        <f aca="false">Checks!$K$668&amp;IF(Checks!$O$668="","",IF(Checks!$K$668="","",CHAR(10))&amp;"Note: "&amp;Checks!$O$668)</f>
        <v>Record officer name in Result</v>
      </c>
      <c r="C27" s="120" t="str">
        <f aca="false">Checks!$N$668&amp;CHAR(10)&amp;IF(ISNUMBER(Checks!$R$668),TEXT(Checks!$R$668,"DD-MMM-YY HH:MM"),"")&amp;" "&amp;Checks!$P$668</f>
        <v>Required
23-Oct-26 14:45 KUL</v>
      </c>
      <c r="D27" s="120" t="str">
        <f aca="false">IF(TRIM(Checks!$U$668)&lt;&gt;"",Checks!$U$668&amp;IF(Checks!$AB$668="","",CHAR(10)&amp;"CA: "&amp;Checks!$AB$668),IF(LEFT(Checks!$AH$668,10)="N/A – RULE","","[ ] Pass"&amp;CHAR(10)&amp;"[ ] Pass after CA"&amp;CHAR(10)&amp;"[ ] Fail"&amp;IF(Checks!$AT$668=1,CHAR(10)&amp;"[ ] N/A","")&amp;CHAR(10)&amp;"CA: Open / Closed"))</f>
        <v>[ ] Pass
[ ] Pass after CA
[ ] Fail
CA: Open / Closed</v>
      </c>
      <c r="E27" s="120" t="str">
        <f aca="false">IF(Checks!$V$668="","",Checks!$V$668)&amp;IF(Checks!$AC$668="","",IF(Checks!$V$668="","",CHAR(10))&amp;"N/A just.: "&amp;Checks!$AC$668)&amp;IF(OR(Checks!$W$668&lt;&gt;"",AND(Checks!$AQ$668=1,NOT(LEFT(Checks!$AH$668,10)="N/A – RULE"))),CHAR(10)&amp;"Batch: "&amp;IF(Checks!$W$668="","____________",Checks!$W$668),"")&amp;IF(OR(Checks!$X$668&lt;&gt;"",Checks!$Y$668&lt;&gt;"",AND(Checks!$AR$668=1,NOT(LEFT(Checks!$AH$668,10)="N/A – RULE"))),CHAR(10)&amp;"Exp: "&amp;IF(Checks!$X$668="","______",Checks!$X$668)&amp;"  /  Act: "&amp;IF(Checks!$Y$668="","______",Checks!$Y$668),"")</f>
        <v/>
      </c>
      <c r="F27" s="120" t="str">
        <f aca="false">IF(AND(LEFT(Checks!$AH$668,10)="N/A – RULE",TRIM(Checks!$S$668&amp;Checks!$Z$668)=""),"","Type: "&amp;IF(TRIM(Checks!$S$668)="","______________ (see cover list)",Checks!$S$668)&amp;CHAR(10)&amp;"ID: "&amp;IF(TRIM(Checks!$Z$668)="","______________ (record's own no.)",Checks!$Z$668))&amp;IF(Checks!$AA$668="","",CHAR(10)&amp;"CA: "&amp;Checks!$AA$668)</f>
        <v>Type: ______________ (see cover list)
ID: ______________ (record's own no.)</v>
      </c>
      <c r="G27" s="120" t="str">
        <f aca="false">IF(AND(LEFT(Checks!$AH$668,10)="N/A – RULE",NOT(ISNUMBER(Checks!$AD$668)),Checks!$AE$668="",Checks!$T$668=""),"","Done: "&amp;IF(ISNUMBER(Checks!$AD$668),TEXT(Checks!$AD$668,"DD-MMM-YY HH:MM"),"____________")&amp;" "&amp;Checks!$P$668&amp;CHAR(10)&amp;"Verifier: "&amp;IF(Checks!$AE$668="","____________",Checks!$AE$668)&amp;CHAR(10)&amp;"PIC: "&amp;IF(Checks!$T$668="","____________",Checks!$T$668))</f>
        <v>Done: ____________ KUL
Verifier: ____________
PIC: ____________</v>
      </c>
      <c r="H27" s="121" t="str">
        <f aca="false">IF(Checks!$AH$668="","",Checks!$AH$668)</f>
        <v>OPEN</v>
      </c>
    </row>
    <row r="28" customFormat="false" ht="114" hidden="false" customHeight="true" outlineLevel="0" collapsed="false">
      <c r="A28" s="120" t="str">
        <f aca="false">Checks!$A$669&amp;CHAR(10)&amp;IF(Checks!$I$669="","",Checks!$I$669&amp;": ")&amp;Checks!$J$669</f>
        <v>F21-T7-05
ISOP: All latest applicable ISOP revisions communicated to caterer</v>
      </c>
      <c r="B28" s="120" t="str">
        <f aca="false">Checks!$K$669&amp;IF(Checks!$O$669="","",IF(Checks!$K$669="","",CHAR(10))&amp;"Note: "&amp;Checks!$O$669)</f>
        <v>List revision numbers in Result (see ISOP register)</v>
      </c>
      <c r="C28" s="120" t="str">
        <f aca="false">Checks!$N$669&amp;CHAR(10)&amp;IF(ISNUMBER(Checks!$R$669),TEXT(Checks!$R$669,"DD-MMM-YY HH:MM"),"")&amp;" "&amp;Checks!$P$669</f>
        <v>Required
23-Oct-26 14:45 KUL</v>
      </c>
      <c r="D28" s="120" t="str">
        <f aca="false">IF(TRIM(Checks!$U$669)&lt;&gt;"",Checks!$U$669&amp;IF(Checks!$AB$669="","",CHAR(10)&amp;"CA: "&amp;Checks!$AB$669),IF(LEFT(Checks!$AH$669,10)="N/A – RULE","","[ ] Pass"&amp;CHAR(10)&amp;"[ ] Pass after CA"&amp;CHAR(10)&amp;"[ ] Fail"&amp;IF(Checks!$AT$669=1,CHAR(10)&amp;"[ ] N/A","")&amp;CHAR(10)&amp;"CA: Open / Closed"))</f>
        <v>[ ] Pass
[ ] Pass after CA
[ ] Fail
CA: Open / Closed</v>
      </c>
      <c r="E28" s="120" t="str">
        <f aca="false">IF(Checks!$V$669="","",Checks!$V$669)&amp;IF(Checks!$AC$669="","",IF(Checks!$V$669="","",CHAR(10))&amp;"N/A just.: "&amp;Checks!$AC$669)&amp;IF(OR(Checks!$W$669&lt;&gt;"",AND(Checks!$AQ$669=1,NOT(LEFT(Checks!$AH$669,10)="N/A – RULE"))),CHAR(10)&amp;"Batch: "&amp;IF(Checks!$W$669="","____________",Checks!$W$669),"")&amp;IF(OR(Checks!$X$669&lt;&gt;"",Checks!$Y$669&lt;&gt;"",AND(Checks!$AR$669=1,NOT(LEFT(Checks!$AH$669,10)="N/A – RULE"))),CHAR(10)&amp;"Exp: "&amp;IF(Checks!$X$669="","______",Checks!$X$669)&amp;"  /  Act: "&amp;IF(Checks!$Y$669="","______",Checks!$Y$669),"")</f>
        <v/>
      </c>
      <c r="F28" s="120" t="str">
        <f aca="false">IF(AND(LEFT(Checks!$AH$669,10)="N/A – RULE",TRIM(Checks!$S$669&amp;Checks!$Z$669)=""),"","Type: "&amp;IF(TRIM(Checks!$S$669)="","______________ (see cover list)",Checks!$S$669)&amp;CHAR(10)&amp;"ID: "&amp;IF(TRIM(Checks!$Z$669)="","______________ (record's own no.)",Checks!$Z$669))&amp;IF(Checks!$AA$669="","",CHAR(10)&amp;"CA: "&amp;Checks!$AA$669)</f>
        <v>Type: ______________ (see cover list)
ID: ______________ (record's own no.)</v>
      </c>
      <c r="G28" s="120" t="str">
        <f aca="false">IF(AND(LEFT(Checks!$AH$669,10)="N/A – RULE",NOT(ISNUMBER(Checks!$AD$669)),Checks!$AE$669="",Checks!$T$669=""),"","Done: "&amp;IF(ISNUMBER(Checks!$AD$669),TEXT(Checks!$AD$669,"DD-MMM-YY HH:MM"),"____________")&amp;" "&amp;Checks!$P$669&amp;CHAR(10)&amp;"Verifier: "&amp;IF(Checks!$AE$669="","____________",Checks!$AE$669)&amp;CHAR(10)&amp;"PIC: "&amp;IF(Checks!$T$669="","____________",Checks!$T$669))</f>
        <v>Done: ____________ KUL
Verifier: ____________
PIC: ____________</v>
      </c>
      <c r="H28" s="121" t="str">
        <f aca="false">IF(Checks!$AH$669="","",Checks!$AH$669)</f>
        <v>OPEN</v>
      </c>
    </row>
    <row r="29" customFormat="false" ht="114" hidden="false" customHeight="true" outlineLevel="0" collapsed="false">
      <c r="A29" s="120" t="str">
        <f aca="false">Checks!$A$670&amp;CHAR(10)&amp;IF(Checks!$I$670="","",Checks!$I$670&amp;": ")&amp;Checks!$J$670</f>
        <v>F21-T7-06
ISOP: Caterer acknowledgement of ISOP revisions recorded</v>
      </c>
      <c r="B29" s="120" t="str">
        <f aca="false">Checks!$K$670&amp;IF(Checks!$O$670="","",IF(Checks!$K$670="","",CHAR(10))&amp;"Note: "&amp;Checks!$O$670)</f>
        <v>Record acknowledgement ref in Evidence</v>
      </c>
      <c r="C29" s="120" t="str">
        <f aca="false">Checks!$N$670&amp;CHAR(10)&amp;IF(ISNUMBER(Checks!$R$670),TEXT(Checks!$R$670,"DD-MMM-YY HH:MM"),"")&amp;" "&amp;Checks!$P$670</f>
        <v>Required
23-Oct-26 14:45 KUL</v>
      </c>
      <c r="D29" s="120" t="str">
        <f aca="false">IF(TRIM(Checks!$U$670)&lt;&gt;"",Checks!$U$670&amp;IF(Checks!$AB$670="","",CHAR(10)&amp;"CA: "&amp;Checks!$AB$670),IF(LEFT(Checks!$AH$670,10)="N/A – RULE","","[ ] Pass"&amp;CHAR(10)&amp;"[ ] Pass after CA"&amp;CHAR(10)&amp;"[ ] Fail"&amp;IF(Checks!$AT$670=1,CHAR(10)&amp;"[ ] N/A","")&amp;CHAR(10)&amp;"CA: Open / Closed"))</f>
        <v>[ ] Pass
[ ] Pass after CA
[ ] Fail
CA: Open / Closed</v>
      </c>
      <c r="E29" s="120" t="str">
        <f aca="false">IF(Checks!$V$670="","",Checks!$V$670)&amp;IF(Checks!$AC$670="","",IF(Checks!$V$670="","",CHAR(10))&amp;"N/A just.: "&amp;Checks!$AC$670)&amp;IF(OR(Checks!$W$670&lt;&gt;"",AND(Checks!$AQ$670=1,NOT(LEFT(Checks!$AH$670,10)="N/A – RULE"))),CHAR(10)&amp;"Batch: "&amp;IF(Checks!$W$670="","____________",Checks!$W$670),"")&amp;IF(OR(Checks!$X$670&lt;&gt;"",Checks!$Y$670&lt;&gt;"",AND(Checks!$AR$670=1,NOT(LEFT(Checks!$AH$670,10)="N/A – RULE"))),CHAR(10)&amp;"Exp: "&amp;IF(Checks!$X$670="","______",Checks!$X$670)&amp;"  /  Act: "&amp;IF(Checks!$Y$670="","______",Checks!$Y$670),"")</f>
        <v/>
      </c>
      <c r="F29" s="120" t="str">
        <f aca="false">IF(AND(LEFT(Checks!$AH$670,10)="N/A – RULE",TRIM(Checks!$S$670&amp;Checks!$Z$670)=""),"","Type: "&amp;IF(TRIM(Checks!$S$670)="","______________ (see cover list)",Checks!$S$670)&amp;CHAR(10)&amp;"ID: "&amp;IF(TRIM(Checks!$Z$670)="","______________ (record's own no.)",Checks!$Z$670))&amp;IF(Checks!$AA$670="","",CHAR(10)&amp;"CA: "&amp;Checks!$AA$670)</f>
        <v>Type: ______________ (see cover list)
ID: ______________ (record's own no.)</v>
      </c>
      <c r="G29" s="120" t="str">
        <f aca="false">IF(AND(LEFT(Checks!$AH$670,10)="N/A – RULE",NOT(ISNUMBER(Checks!$AD$670)),Checks!$AE$670="",Checks!$T$670=""),"","Done: "&amp;IF(ISNUMBER(Checks!$AD$670),TEXT(Checks!$AD$670,"DD-MMM-YY HH:MM"),"____________")&amp;" "&amp;Checks!$P$670&amp;CHAR(10)&amp;"Verifier: "&amp;IF(Checks!$AE$670="","____________",Checks!$AE$670)&amp;CHAR(10)&amp;"PIC: "&amp;IF(Checks!$T$670="","____________",Checks!$T$670))</f>
        <v>Done: ____________ KUL
Verifier: ____________
PIC: ____________</v>
      </c>
      <c r="H29" s="121" t="str">
        <f aca="false">IF(Checks!$AH$670="","",Checks!$AH$670)</f>
        <v>OPEN</v>
      </c>
    </row>
    <row r="30" customFormat="false" ht="114" hidden="false" customHeight="true" outlineLevel="0" collapsed="false">
      <c r="A30" s="120" t="str">
        <f aca="false">Checks!$A$671&amp;CHAR(10)&amp;IF(Checks!$I$671="","",Checks!$I$671&amp;": ")&amp;Checks!$J$671</f>
        <v>F21-T7-07
Documents: Galley loading diagram (GLD) received, revision recorded &amp; attached</v>
      </c>
      <c r="B30" s="120" t="str">
        <f aca="false">SUBSTITUTE(Checks!$K$671&amp;IF(Checks!$O$671="","",IF(Checks!$K$671="","",CHAR(10))&amp;"Note: "&amp;Checks!$O$671),"Documents sheet row complete","Recorded on the Documents sheet; copy stapled as A1 / A2")</f>
        <v>Recorded on the Documents sheet; copy stapled as A1 / A2</v>
      </c>
      <c r="C30" s="120" t="str">
        <f aca="false">Checks!$N$671&amp;CHAR(10)&amp;IF(ISNUMBER(Checks!$R$671),TEXT(Checks!$R$671,"DD-MMM-YY HH:MM"),"")&amp;" "&amp;Checks!$P$671</f>
        <v>Required
23-Oct-26 14:45 KUL</v>
      </c>
      <c r="D30" s="120" t="str">
        <f aca="false">IF(TRIM(Checks!$U$671)&lt;&gt;"",Checks!$U$671&amp;IF(Checks!$AB$671="","",CHAR(10)&amp;"CA: "&amp;Checks!$AB$671),IF(LEFT(Checks!$AH$671,10)="N/A – RULE","","[ ] Pass"&amp;CHAR(10)&amp;"[ ] Pass after CA"&amp;CHAR(10)&amp;"[ ] Fail"&amp;IF(Checks!$AT$671=1,CHAR(10)&amp;"[ ] N/A","")&amp;CHAR(10)&amp;"CA: Open / Closed"))</f>
        <v>[ ] Pass
[ ] Pass after CA
[ ] Fail
CA: Open / Closed</v>
      </c>
      <c r="E30" s="120" t="str">
        <f aca="false">IF(Checks!$V$671="","",Checks!$V$671)&amp;IF(Checks!$AC$671="","",IF(Checks!$V$671="","",CHAR(10))&amp;"N/A just.: "&amp;Checks!$AC$671)&amp;IF(OR(Checks!$W$671&lt;&gt;"",AND(Checks!$AQ$671=1,NOT(LEFT(Checks!$AH$671,10)="N/A – RULE"))),CHAR(10)&amp;"Batch: "&amp;IF(Checks!$W$671="","____________",Checks!$W$671),"")&amp;IF(OR(Checks!$X$671&lt;&gt;"",Checks!$Y$671&lt;&gt;"",AND(Checks!$AR$671=1,NOT(LEFT(Checks!$AH$671,10)="N/A – RULE"))),CHAR(10)&amp;"Exp: "&amp;IF(Checks!$X$671="","______",Checks!$X$671)&amp;"  /  Act: "&amp;IF(Checks!$Y$671="","______",Checks!$Y$671),"")</f>
        <v/>
      </c>
      <c r="F30" s="120" t="str">
        <f aca="false">IF(AND(LEFT(Checks!$AH$671,10)="N/A – RULE",TRIM(Checks!$S$671&amp;Checks!$Z$671)=""),"","Type: "&amp;IF(TRIM(Checks!$S$671)="","______________ (see cover list)",Checks!$S$671)&amp;CHAR(10)&amp;"ID: "&amp;IF(TRIM(Checks!$Z$671)="","______________ (record's own no.)",Checks!$Z$671))&amp;IF(Checks!$AA$671="","",CHAR(10)&amp;"CA: "&amp;Checks!$AA$671)</f>
        <v>Type: ______________ (see cover list)
ID: ______________ (record's own no.)</v>
      </c>
      <c r="G30" s="120" t="str">
        <f aca="false">IF(AND(LEFT(Checks!$AH$671,10)="N/A – RULE",NOT(ISNUMBER(Checks!$AD$671)),Checks!$AE$671="",Checks!$T$671=""),"","Done: "&amp;IF(ISNUMBER(Checks!$AD$671),TEXT(Checks!$AD$671,"DD-MMM-YY HH:MM"),"____________")&amp;" "&amp;Checks!$P$671&amp;CHAR(10)&amp;"Verifier: "&amp;IF(Checks!$AE$671="","____________",Checks!$AE$671)&amp;CHAR(10)&amp;"PIC: "&amp;IF(Checks!$T$671="","____________",Checks!$T$671))</f>
        <v>Done: ____________ KUL
Verifier: ____________
PIC: ____________</v>
      </c>
      <c r="H30" s="121" t="str">
        <f aca="false">IF(Checks!$AH$671="","",Checks!$AH$671)</f>
        <v>OPEN</v>
      </c>
    </row>
    <row r="31" customFormat="false" ht="114" hidden="false" customHeight="true" outlineLevel="0" collapsed="false">
      <c r="A31" s="120" t="str">
        <f aca="false">Checks!$A$672&amp;CHAR(10)&amp;IF(Checks!$I$672="","",Checks!$I$672&amp;": ")&amp;Checks!$J$672</f>
        <v>F21-T7-08
Documents: Menu checklist received, revision recorded &amp; attached</v>
      </c>
      <c r="B31" s="120" t="str">
        <f aca="false">SUBSTITUTE(Checks!$K$672&amp;IF(Checks!$O$672="","",IF(Checks!$K$672="","",CHAR(10))&amp;"Note: "&amp;Checks!$O$672),"Documents sheet row complete","Recorded on the Documents sheet; copy stapled as A1 / A2")</f>
        <v>Recorded on the Documents sheet; copy stapled as A1 / A2</v>
      </c>
      <c r="C31" s="120" t="str">
        <f aca="false">Checks!$N$672&amp;CHAR(10)&amp;IF(ISNUMBER(Checks!$R$672),TEXT(Checks!$R$672,"DD-MMM-YY HH:MM"),"")&amp;" "&amp;Checks!$P$672</f>
        <v>Required
23-Oct-26 14:45 KUL</v>
      </c>
      <c r="D31" s="120" t="str">
        <f aca="false">IF(TRIM(Checks!$U$672)&lt;&gt;"",Checks!$U$672&amp;IF(Checks!$AB$672="","",CHAR(10)&amp;"CA: "&amp;Checks!$AB$672),IF(LEFT(Checks!$AH$672,10)="N/A – RULE","","[ ] Pass"&amp;CHAR(10)&amp;"[ ] Pass after CA"&amp;CHAR(10)&amp;"[ ] Fail"&amp;IF(Checks!$AT$672=1,CHAR(10)&amp;"[ ] N/A","")&amp;CHAR(10)&amp;"CA: Open / Closed"))</f>
        <v>[ ] Pass
[ ] Pass after CA
[ ] Fail
CA: Open / Closed</v>
      </c>
      <c r="E31" s="120" t="str">
        <f aca="false">IF(Checks!$V$672="","",Checks!$V$672)&amp;IF(Checks!$AC$672="","",IF(Checks!$V$672="","",CHAR(10))&amp;"N/A just.: "&amp;Checks!$AC$672)&amp;IF(OR(Checks!$W$672&lt;&gt;"",AND(Checks!$AQ$672=1,NOT(LEFT(Checks!$AH$672,10)="N/A – RULE"))),CHAR(10)&amp;"Batch: "&amp;IF(Checks!$W$672="","____________",Checks!$W$672),"")&amp;IF(OR(Checks!$X$672&lt;&gt;"",Checks!$Y$672&lt;&gt;"",AND(Checks!$AR$672=1,NOT(LEFT(Checks!$AH$672,10)="N/A – RULE"))),CHAR(10)&amp;"Exp: "&amp;IF(Checks!$X$672="","______",Checks!$X$672)&amp;"  /  Act: "&amp;IF(Checks!$Y$672="","______",Checks!$Y$672),"")</f>
        <v/>
      </c>
      <c r="F31" s="120" t="str">
        <f aca="false">IF(AND(LEFT(Checks!$AH$672,10)="N/A – RULE",TRIM(Checks!$S$672&amp;Checks!$Z$672)=""),"","Type: "&amp;IF(TRIM(Checks!$S$672)="","______________ (see cover list)",Checks!$S$672)&amp;CHAR(10)&amp;"ID: "&amp;IF(TRIM(Checks!$Z$672)="","______________ (record's own no.)",Checks!$Z$672))&amp;IF(Checks!$AA$672="","",CHAR(10)&amp;"CA: "&amp;Checks!$AA$672)</f>
        <v>Type: ______________ (see cover list)
ID: ______________ (record's own no.)</v>
      </c>
      <c r="G31" s="120" t="str">
        <f aca="false">IF(AND(LEFT(Checks!$AH$672,10)="N/A – RULE",NOT(ISNUMBER(Checks!$AD$672)),Checks!$AE$672="",Checks!$T$672=""),"","Done: "&amp;IF(ISNUMBER(Checks!$AD$672),TEXT(Checks!$AD$672,"DD-MMM-YY HH:MM"),"____________")&amp;" "&amp;Checks!$P$672&amp;CHAR(10)&amp;"Verifier: "&amp;IF(Checks!$AE$672="","____________",Checks!$AE$672)&amp;CHAR(10)&amp;"PIC: "&amp;IF(Checks!$T$672="","____________",Checks!$T$672))</f>
        <v>Done: ____________ KUL
Verifier: ____________
PIC: ____________</v>
      </c>
      <c r="H31" s="121" t="str">
        <f aca="false">IF(Checks!$AH$672="","",Checks!$AH$672)</f>
        <v>OPEN</v>
      </c>
    </row>
    <row r="32" customFormat="false" ht="114" hidden="false" customHeight="true" outlineLevel="0" collapsed="false">
      <c r="A32" s="120" t="str">
        <f aca="false">Checks!$A$673&amp;CHAR(10)&amp;IF(Checks!$I$673="","",Checks!$I$673&amp;": ")&amp;Checks!$J$673</f>
        <v>F21-T7-09
Uplift plan: Uplift plan confirmed with caterer vs STD Uplift Information</v>
      </c>
      <c r="B32" s="120" t="str">
        <f aca="false">Checks!$K$673&amp;IF(Checks!$O$673="","",IF(Checks!$K$673="","",CHAR(10))&amp;"Note: "&amp;Checks!$O$673)</f>
        <v>Service: Refreshment (Peanut &amp; Water); meal uplift stn KUL (ref lists KUL)
Note: Return catering uplifted at KUL on the outbound rotation (ref uplift stn = KUL). Confirm aircraft rotation.</v>
      </c>
      <c r="C32" s="120" t="str">
        <f aca="false">Checks!$N$673&amp;CHAR(10)&amp;IF(ISNUMBER(Checks!$R$673),TEXT(Checks!$R$673,"DD-MMM-YY HH:MM"),"")&amp;" "&amp;Checks!$P$673</f>
        <v>Required
23-Oct-26 14:45 KUL</v>
      </c>
      <c r="D32" s="120" t="str">
        <f aca="false">IF(TRIM(Checks!$U$673)&lt;&gt;"",Checks!$U$673&amp;IF(Checks!$AB$673="","",CHAR(10)&amp;"CA: "&amp;Checks!$AB$673),IF(LEFT(Checks!$AH$673,10)="N/A – RULE","","[ ] Pass"&amp;CHAR(10)&amp;"[ ] Pass after CA"&amp;CHAR(10)&amp;"[ ] Fail"&amp;IF(Checks!$AT$673=1,CHAR(10)&amp;"[ ] N/A","")&amp;CHAR(10)&amp;"CA: Open / Closed"))</f>
        <v>[ ] Pass
[ ] Pass after CA
[ ] Fail
CA: Open / Closed</v>
      </c>
      <c r="E32" s="120" t="str">
        <f aca="false">IF(Checks!$V$673="","",Checks!$V$673)&amp;IF(Checks!$AC$673="","",IF(Checks!$V$673="","",CHAR(10))&amp;"N/A just.: "&amp;Checks!$AC$673)&amp;IF(OR(Checks!$W$673&lt;&gt;"",AND(Checks!$AQ$673=1,NOT(LEFT(Checks!$AH$673,10)="N/A – RULE"))),CHAR(10)&amp;"Batch: "&amp;IF(Checks!$W$673="","____________",Checks!$W$673),"")&amp;IF(OR(Checks!$X$673&lt;&gt;"",Checks!$Y$673&lt;&gt;"",AND(Checks!$AR$673=1,NOT(LEFT(Checks!$AH$673,10)="N/A – RULE"))),CHAR(10)&amp;"Exp: "&amp;IF(Checks!$X$673="","______",Checks!$X$673)&amp;"  /  Act: "&amp;IF(Checks!$Y$673="","______",Checks!$Y$673),"")</f>
        <v/>
      </c>
      <c r="F32" s="120" t="str">
        <f aca="false">IF(AND(LEFT(Checks!$AH$673,10)="N/A – RULE",TRIM(Checks!$S$673&amp;Checks!$Z$673)=""),"","Type: "&amp;IF(TRIM(Checks!$S$673)="","______________ (see cover list)",Checks!$S$673)&amp;CHAR(10)&amp;"ID: "&amp;IF(TRIM(Checks!$Z$673)="","______________ (record's own no.)",Checks!$Z$673))&amp;IF(Checks!$AA$673="","",CHAR(10)&amp;"CA: "&amp;Checks!$AA$673)</f>
        <v>Type: ______________ (see cover list)
ID: ______________ (record's own no.)</v>
      </c>
      <c r="G32" s="120" t="str">
        <f aca="false">IF(AND(LEFT(Checks!$AH$673,10)="N/A – RULE",NOT(ISNUMBER(Checks!$AD$673)),Checks!$AE$673="",Checks!$T$673=""),"","Done: "&amp;IF(ISNUMBER(Checks!$AD$673),TEXT(Checks!$AD$673,"DD-MMM-YY HH:MM"),"____________")&amp;" "&amp;Checks!$P$673&amp;CHAR(10)&amp;"Verifier: "&amp;IF(Checks!$AE$673="","____________",Checks!$AE$673)&amp;CHAR(10)&amp;"PIC: "&amp;IF(Checks!$T$673="","____________",Checks!$T$673))</f>
        <v>Done: ____________ KUL
Verifier: ____________
PIC: ____________</v>
      </c>
      <c r="H32" s="121" t="str">
        <f aca="false">IF(Checks!$AH$673="","",Checks!$AH$673)</f>
        <v>OPEN</v>
      </c>
    </row>
    <row r="33" customFormat="false" ht="234.75" hidden="false" customHeight="true" outlineLevel="0" collapsed="false">
      <c r="A33" s="120" t="str">
        <f aca="false">Checks!$A$674&amp;CHAR(10)&amp;IF(Checks!$I$674="","",Checks!$I$674&amp;": ")&amp;Checks!$J$674</f>
        <v>F21-T7-10
Uplift plan: Carrying flight for this leg's return catering identified and its KUL departure (UTC) entered on Flights col AX</v>
      </c>
      <c r="B33" s="120" t="str">
        <f aca="false">SUBSTITUTE(Checks!$K$674&amp;IF(Checks!$O$674="","",IF(Checks!$K$674="","",CHAR(10))&amp;"Note: "&amp;Checks!$O$674),"in Flights AX","in the workbook (Flights sheet)")</f>
        <v>All catering for MH1437 LGK-KUL is uplifted at KUL (ref uplift stn KUL only)
Note: LGK does not cater. Agenda candidate: MH1450 (F20, KUL 1830 local) - confirm the aircraft rotation and enter the actual KUL departure in the workbook (Flights sheet) (cannot be passed until entered). Until then, T-24H, T-12H prep and the KUL loading line assume the candidate's KUL departure.</v>
      </c>
      <c r="C33" s="120" t="str">
        <f aca="false">Checks!$N$674&amp;CHAR(10)&amp;IF(ISNUMBER(Checks!$R$674),TEXT(Checks!$R$674,"DD-MMM-YY HH:MM"),"")&amp;" "&amp;Checks!$P$674</f>
        <v>Clarification required
23-Oct-26 14:45 KUL</v>
      </c>
      <c r="D33" s="120" t="str">
        <f aca="false">IF(TRIM(Checks!$U$674)&lt;&gt;"",Checks!$U$674&amp;IF(Checks!$AB$674="","",CHAR(10)&amp;"CA: "&amp;Checks!$AB$674),IF(LEFT(Checks!$AH$674,10)="N/A – RULE","","[ ] Pass"&amp;CHAR(10)&amp;"[ ] Pass after CA"&amp;CHAR(10)&amp;"[ ] Fail"&amp;IF(Checks!$AT$674=1,CHAR(10)&amp;"[ ] N/A","")&amp;CHAR(10)&amp;"CA: Open / Closed"))</f>
        <v>[ ] Pass
[ ] Pass after CA
[ ] Fail
CA: Open / Closed</v>
      </c>
      <c r="E33" s="120" t="str">
        <f aca="false">IF(Checks!$V$674="","",Checks!$V$674)&amp;IF(Checks!$AC$674="","",IF(Checks!$V$674="","",CHAR(10))&amp;"N/A just.: "&amp;Checks!$AC$674)&amp;IF(OR(Checks!$W$674&lt;&gt;"",AND(Checks!$AQ$674=1,NOT(LEFT(Checks!$AH$674,10)="N/A – RULE"))),CHAR(10)&amp;"Batch: "&amp;IF(Checks!$W$674="","____________",Checks!$W$674),"")&amp;IF(OR(Checks!$X$674&lt;&gt;"",Checks!$Y$674&lt;&gt;"",AND(Checks!$AR$674=1,NOT(LEFT(Checks!$AH$674,10)="N/A – RULE"))),CHAR(10)&amp;"Exp: "&amp;IF(Checks!$X$674="","______",Checks!$X$674)&amp;"  /  Act: "&amp;IF(Checks!$Y$674="","______",Checks!$Y$674),"")</f>
        <v/>
      </c>
      <c r="F33" s="120" t="str">
        <f aca="false">IF(AND(LEFT(Checks!$AH$674,10)="N/A – RULE",TRIM(Checks!$S$674&amp;Checks!$Z$674)=""),"","Type: "&amp;IF(TRIM(Checks!$S$674)="","______________ (see cover list)",Checks!$S$674)&amp;CHAR(10)&amp;"ID: "&amp;IF(TRIM(Checks!$Z$674)="","______________ (record's own no.)",Checks!$Z$674))&amp;IF(Checks!$AA$674="","",CHAR(10)&amp;"CA: "&amp;Checks!$AA$674)</f>
        <v>Type: ______________ (see cover list)
ID: ______________ (record's own no.)</v>
      </c>
      <c r="G33" s="120" t="str">
        <f aca="false">IF(AND(LEFT(Checks!$AH$674,10)="N/A – RULE",NOT(ISNUMBER(Checks!$AD$674)),Checks!$AE$674="",Checks!$T$674=""),"","Done: "&amp;IF(ISNUMBER(Checks!$AD$674),TEXT(Checks!$AD$674,"DD-MMM-YY HH:MM"),"____________")&amp;" "&amp;Checks!$P$674&amp;CHAR(10)&amp;"Verifier: "&amp;IF(Checks!$AE$674="","____________",Checks!$AE$674)&amp;CHAR(10)&amp;"PIC: "&amp;IF(Checks!$T$674="","____________",Checks!$T$674))</f>
        <v>Done: ____________ KUL
Verifier: ____________
PIC: ____________</v>
      </c>
      <c r="H33" s="121" t="str">
        <f aca="false">IF(Checks!$AH$674="","",Checks!$AH$674)</f>
        <v>OPEN – CLARIFICATION</v>
      </c>
    </row>
    <row r="34" customFormat="false" ht="25.5" hidden="false" customHeight="true" outlineLevel="0" collapsed="false">
      <c r="A34" s="119" t="str">
        <f aca="false">"T-24H — Production batch sensory  |  Due "&amp;IF(ISNUMBER(Flights!$AH$25),TEXT(Flights!$AH$25,"DD-MMM-YY HH:MM"),"")&amp;" "&amp;Flights!$V$25&amp;" (meal uplift stn)"&amp;" (rows with another due show their own)  |  Complete "&amp;IF(ISNUMBER(Flights!$AK$25),TEXT(Flights!$AK$25,"0%"),Flights!$AK$25)&amp;"  |  1 lines"</f>
        <v>T-24H — Production batch sensory  |  Due 29-Oct-26 12:30 KUL (meal uplift stn) (rows with another due show their own)  |  Complete 0%  |  1 lines</v>
      </c>
      <c r="B34" s="119"/>
      <c r="C34" s="119"/>
      <c r="D34" s="119"/>
      <c r="E34" s="119"/>
      <c r="F34" s="119"/>
      <c r="G34" s="119"/>
      <c r="H34" s="119"/>
    </row>
    <row r="35" customFormat="false" ht="114" hidden="false" customHeight="true" outlineLevel="0" collapsed="false">
      <c r="A35" s="120" t="str">
        <f aca="false">Checks!$A$675&amp;CHAR(10)&amp;IF(Checks!$I$675="","",Checks!$I$675&amp;": ")&amp;Checks!$J$675</f>
        <v>F21-T24-01
Meal: Sensory test repeated on ACTUAL production batch for this flight</v>
      </c>
      <c r="B35" s="120" t="str">
        <f aca="false">SUBSTITUTE(Checks!$K$675&amp;IF(Checks!$O$675="","",IF(Checks!$K$675="","",CHAR(10))&amp;"Note: "&amp;Checks!$O$675)," (Flights AY)","")</f>
        <v>Batch ID, result, CA and acceptance mandatory
Note: Round-trip catered from KUL: due capped at the KUL loading deadline.</v>
      </c>
      <c r="C35" s="120" t="str">
        <f aca="false">Checks!$N$675&amp;CHAR(10)&amp;IF(ISNUMBER(Checks!$R$675),TEXT(Checks!$R$675,"DD-MMM-YY HH:MM"),"")&amp;" "&amp;Checks!$P$675</f>
        <v>Required
29-Oct-26 12:30 KUL</v>
      </c>
      <c r="D35" s="120" t="str">
        <f aca="false">IF(TRIM(Checks!$U$675)&lt;&gt;"",Checks!$U$675&amp;IF(Checks!$AB$675="","",CHAR(10)&amp;"CA: "&amp;Checks!$AB$675),IF(LEFT(Checks!$AH$675,10)="N/A – RULE","","[ ] Pass"&amp;CHAR(10)&amp;"[ ] Pass after CA"&amp;CHAR(10)&amp;"[ ] Fail"&amp;IF(Checks!$AT$675=1,CHAR(10)&amp;"[ ] N/A","")&amp;CHAR(10)&amp;"CA: Open / Closed"))</f>
        <v>[ ] Pass
[ ] Pass after CA
[ ] Fail
CA: Open / Closed</v>
      </c>
      <c r="E35" s="120" t="str">
        <f aca="false">IF(Checks!$V$675="","",Checks!$V$675)&amp;IF(Checks!$AC$675="","",IF(Checks!$V$675="","",CHAR(10))&amp;"N/A just.: "&amp;Checks!$AC$675)&amp;IF(OR(Checks!$W$675&lt;&gt;"",AND(Checks!$AQ$675=1,NOT(LEFT(Checks!$AH$675,10)="N/A – RULE"))),CHAR(10)&amp;"Batch: "&amp;IF(Checks!$W$675="","____________",Checks!$W$675),"")&amp;IF(OR(Checks!$X$675&lt;&gt;"",Checks!$Y$675&lt;&gt;"",AND(Checks!$AR$675=1,NOT(LEFT(Checks!$AH$675,10)="N/A – RULE"))),CHAR(10)&amp;"Exp: "&amp;IF(Checks!$X$675="","______",Checks!$X$675)&amp;"  /  Act: "&amp;IF(Checks!$Y$675="","______",Checks!$Y$675),"")</f>
        <v>
Batch: ____________</v>
      </c>
      <c r="F35" s="120" t="str">
        <f aca="false">IF(AND(LEFT(Checks!$AH$675,10)="N/A – RULE",TRIM(Checks!$S$675&amp;Checks!$Z$675)=""),"","Type: "&amp;IF(TRIM(Checks!$S$675)="","______________ (see cover list)",Checks!$S$675)&amp;CHAR(10)&amp;"ID: "&amp;IF(TRIM(Checks!$Z$675)="","______________ (record's own no.)",Checks!$Z$675))&amp;IF(Checks!$AA$675="","",CHAR(10)&amp;"CA: "&amp;Checks!$AA$675)</f>
        <v>Type: ______________ (see cover list)
ID: ______________ (record's own no.)</v>
      </c>
      <c r="G35" s="120" t="str">
        <f aca="false">IF(AND(LEFT(Checks!$AH$675,10)="N/A – RULE",NOT(ISNUMBER(Checks!$AD$675)),Checks!$AE$675="",Checks!$T$675=""),"","Done: "&amp;IF(ISNUMBER(Checks!$AD$675),TEXT(Checks!$AD$675,"DD-MMM-YY HH:MM"),"____________")&amp;" "&amp;Checks!$P$675&amp;CHAR(10)&amp;"Verifier: "&amp;IF(Checks!$AE$675="","____________",Checks!$AE$675)&amp;CHAR(10)&amp;"PIC: "&amp;IF(Checks!$T$675="","____________",Checks!$T$675))</f>
        <v>Done: ____________ KUL
Verifier: ____________
PIC: ____________</v>
      </c>
      <c r="H35" s="121" t="str">
        <f aca="false">IF(Checks!$AH$675="","",Checks!$AH$675)</f>
        <v>OPEN</v>
      </c>
    </row>
    <row r="36" customFormat="false" ht="25.5" hidden="false" customHeight="true" outlineLevel="0" collapsed="false">
      <c r="A36" s="119" t="str">
        <f aca="false">"T-12H PREP — Preparation check at caterer (does NOT confirm loading)  |  Due "&amp;IF(ISNUMBER(Flights!$AI$25),TEXT(Flights!$AI$25,"DD-MMM-YY HH:MM"),"")&amp;" "&amp;Flights!$V$25&amp;" (meal uplift stn)"&amp;" (rows with another due show their own)  |  Complete "&amp;IF(ISNUMBER(Flights!$AL$25),TEXT(Flights!$AL$25,"0%"),Flights!$AL$25)&amp;"  |  15 lines"</f>
        <v>T-12H PREP — Preparation check at caterer (does NOT confirm loading)  |  Due 29-Oct-26 12:30 KUL (meal uplift stn) (rows with another due show their own)  |  Complete 0%  |  15 lines</v>
      </c>
      <c r="B36" s="119"/>
      <c r="C36" s="119"/>
      <c r="D36" s="119"/>
      <c r="E36" s="119"/>
      <c r="F36" s="119"/>
      <c r="G36" s="119"/>
      <c r="H36" s="119"/>
    </row>
    <row r="37" customFormat="false" ht="114" hidden="false" customHeight="true" outlineLevel="0" collapsed="false">
      <c r="A37" s="120" t="str">
        <f aca="false">Checks!$A$676&amp;CHAR(10)&amp;IF(Checks!$I$676="","",Checks!$I$676&amp;": ")&amp;Checks!$J$676</f>
        <v>F21-T12-01
Meal: Meal quality vs menu checklist</v>
      </c>
      <c r="B37" s="120" t="str">
        <f aca="false">SUBSTITUTE(Checks!$K$676&amp;IF(Checks!$O$676="","",IF(Checks!$K$676="","",CHAR(10))&amp;"Note: "&amp;Checks!$O$676)," (Flights AY)","")</f>
        <v>Note: Preparation check at caterer - does NOT confirm loading. Round-trip catered from KUL: due capped at the KUL loading deadline.</v>
      </c>
      <c r="C37" s="120" t="str">
        <f aca="false">Checks!$N$676&amp;CHAR(10)&amp;IF(ISNUMBER(Checks!$R$676),TEXT(Checks!$R$676,"DD-MMM-YY HH:MM"),"")&amp;" "&amp;Checks!$P$676</f>
        <v>Required
29-Oct-26 12:30 KUL</v>
      </c>
      <c r="D37" s="120" t="str">
        <f aca="false">IF(TRIM(Checks!$U$676)&lt;&gt;"",Checks!$U$676&amp;IF(Checks!$AB$676="","",CHAR(10)&amp;"CA: "&amp;Checks!$AB$676),IF(LEFT(Checks!$AH$676,10)="N/A – RULE","","[ ] Pass"&amp;CHAR(10)&amp;"[ ] Pass after CA"&amp;CHAR(10)&amp;"[ ] Fail"&amp;IF(Checks!$AT$676=1,CHAR(10)&amp;"[ ] N/A","")&amp;CHAR(10)&amp;"CA: Open / Closed"))</f>
        <v>[ ] Pass
[ ] Pass after CA
[ ] Fail
CA: Open / Closed</v>
      </c>
      <c r="E37" s="120" t="str">
        <f aca="false">IF(Checks!$V$676="","",Checks!$V$676)&amp;IF(Checks!$AC$676="","",IF(Checks!$V$676="","",CHAR(10))&amp;"N/A just.: "&amp;Checks!$AC$676)&amp;IF(OR(Checks!$W$676&lt;&gt;"",AND(Checks!$AQ$676=1,NOT(LEFT(Checks!$AH$676,10)="N/A – RULE"))),CHAR(10)&amp;"Batch: "&amp;IF(Checks!$W$676="","____________",Checks!$W$676),"")&amp;IF(OR(Checks!$X$676&lt;&gt;"",Checks!$Y$676&lt;&gt;"",AND(Checks!$AR$676=1,NOT(LEFT(Checks!$AH$676,10)="N/A – RULE"))),CHAR(10)&amp;"Exp: "&amp;IF(Checks!$X$676="","______",Checks!$X$676)&amp;"  /  Act: "&amp;IF(Checks!$Y$676="","______",Checks!$Y$676),"")</f>
        <v/>
      </c>
      <c r="F37" s="120" t="str">
        <f aca="false">IF(AND(LEFT(Checks!$AH$676,10)="N/A – RULE",TRIM(Checks!$S$676&amp;Checks!$Z$676)=""),"","Type: "&amp;IF(TRIM(Checks!$S$676)="","______________ (see cover list)",Checks!$S$676)&amp;CHAR(10)&amp;"ID: "&amp;IF(TRIM(Checks!$Z$676)="","______________ (record's own no.)",Checks!$Z$676))&amp;IF(Checks!$AA$676="","",CHAR(10)&amp;"CA: "&amp;Checks!$AA$676)</f>
        <v>Type: ______________ (see cover list)
ID: ______________ (record's own no.)</v>
      </c>
      <c r="G37" s="120" t="str">
        <f aca="false">IF(AND(LEFT(Checks!$AH$676,10)="N/A – RULE",NOT(ISNUMBER(Checks!$AD$676)),Checks!$AE$676="",Checks!$T$676=""),"","Done: "&amp;IF(ISNUMBER(Checks!$AD$676),TEXT(Checks!$AD$676,"DD-MMM-YY HH:MM"),"____________")&amp;" "&amp;Checks!$P$676&amp;CHAR(10)&amp;"Verifier: "&amp;IF(Checks!$AE$676="","____________",Checks!$AE$676)&amp;CHAR(10)&amp;"PIC: "&amp;IF(Checks!$T$676="","____________",Checks!$T$676))</f>
        <v>Done: ____________ KUL
Verifier: ____________
PIC: ____________</v>
      </c>
      <c r="H37" s="121" t="str">
        <f aca="false">IF(Checks!$AH$676="","",Checks!$AH$676)</f>
        <v>OPEN</v>
      </c>
    </row>
    <row r="38" customFormat="false" ht="114" hidden="false" customHeight="true" outlineLevel="0" collapsed="false">
      <c r="A38" s="120" t="str">
        <f aca="false">Checks!$A$677&amp;CHAR(10)&amp;IF(Checks!$I$677="","",Checks!$I$677&amp;": ")&amp;Checks!$J$677</f>
        <v>F21-T12-02
Meal: Meal quantities vs menu checklist</v>
      </c>
      <c r="B38" s="120" t="str">
        <f aca="false">SUBSTITUTE(Checks!$K$677&amp;IF(Checks!$O$677="","",IF(Checks!$K$677="","",CHAR(10))&amp;"Note: "&amp;Checks!$O$677)," (Flights AY)","")</f>
        <v>Enter expected &amp; actual
Note: Preparation check at caterer - does NOT confirm loading. Round-trip catered from KUL: due capped at the KUL loading deadline.</v>
      </c>
      <c r="C38" s="120" t="str">
        <f aca="false">Checks!$N$677&amp;CHAR(10)&amp;IF(ISNUMBER(Checks!$R$677),TEXT(Checks!$R$677,"DD-MMM-YY HH:MM"),"")&amp;" "&amp;Checks!$P$677</f>
        <v>Required
29-Oct-26 12:30 KUL</v>
      </c>
      <c r="D38" s="120" t="str">
        <f aca="false">IF(TRIM(Checks!$U$677)&lt;&gt;"",Checks!$U$677&amp;IF(Checks!$AB$677="","",CHAR(10)&amp;"CA: "&amp;Checks!$AB$677),IF(LEFT(Checks!$AH$677,10)="N/A – RULE","","[ ] Pass"&amp;CHAR(10)&amp;"[ ] Pass after CA"&amp;CHAR(10)&amp;"[ ] Fail"&amp;IF(Checks!$AT$677=1,CHAR(10)&amp;"[ ] N/A","")&amp;CHAR(10)&amp;"CA: Open / Closed"))</f>
        <v>[ ] Pass
[ ] Pass after CA
[ ] Fail
CA: Open / Closed</v>
      </c>
      <c r="E38" s="120" t="str">
        <f aca="false">IF(Checks!$V$677="","",Checks!$V$677)&amp;IF(Checks!$AC$677="","",IF(Checks!$V$677="","",CHAR(10))&amp;"N/A just.: "&amp;Checks!$AC$677)&amp;IF(OR(Checks!$W$677&lt;&gt;"",AND(Checks!$AQ$677=1,NOT(LEFT(Checks!$AH$677,10)="N/A – RULE"))),CHAR(10)&amp;"Batch: "&amp;IF(Checks!$W$677="","____________",Checks!$W$677),"")&amp;IF(OR(Checks!$X$677&lt;&gt;"",Checks!$Y$677&lt;&gt;"",AND(Checks!$AR$677=1,NOT(LEFT(Checks!$AH$677,10)="N/A – RULE"))),CHAR(10)&amp;"Exp: "&amp;IF(Checks!$X$677="","______",Checks!$X$677)&amp;"  /  Act: "&amp;IF(Checks!$Y$677="","______",Checks!$Y$677),"")</f>
        <v>
Exp: ______  /  Act: ______</v>
      </c>
      <c r="F38" s="120" t="str">
        <f aca="false">IF(AND(LEFT(Checks!$AH$677,10)="N/A – RULE",TRIM(Checks!$S$677&amp;Checks!$Z$677)=""),"","Type: "&amp;IF(TRIM(Checks!$S$677)="","______________ (see cover list)",Checks!$S$677)&amp;CHAR(10)&amp;"ID: "&amp;IF(TRIM(Checks!$Z$677)="","______________ (record's own no.)",Checks!$Z$677))&amp;IF(Checks!$AA$677="","",CHAR(10)&amp;"CA: "&amp;Checks!$AA$677)</f>
        <v>Type: ______________ (see cover list)
ID: ______________ (record's own no.)</v>
      </c>
      <c r="G38" s="120" t="str">
        <f aca="false">IF(AND(LEFT(Checks!$AH$677,10)="N/A – RULE",NOT(ISNUMBER(Checks!$AD$677)),Checks!$AE$677="",Checks!$T$677=""),"","Done: "&amp;IF(ISNUMBER(Checks!$AD$677),TEXT(Checks!$AD$677,"DD-MMM-YY HH:MM"),"____________")&amp;" "&amp;Checks!$P$677&amp;CHAR(10)&amp;"Verifier: "&amp;IF(Checks!$AE$677="","____________",Checks!$AE$677)&amp;CHAR(10)&amp;"PIC: "&amp;IF(Checks!$T$677="","____________",Checks!$T$677))</f>
        <v>Done: ____________ KUL
Verifier: ____________
PIC: ____________</v>
      </c>
      <c r="H38" s="121" t="str">
        <f aca="false">IF(Checks!$AH$677="","",Checks!$AH$677)</f>
        <v>OPEN</v>
      </c>
    </row>
    <row r="39" customFormat="false" ht="114" hidden="false" customHeight="true" outlineLevel="0" collapsed="false">
      <c r="A39" s="120" t="str">
        <f aca="false">Checks!$A$678&amp;CHAR(10)&amp;IF(Checks!$I$678="","",Checks!$I$678&amp;": ")&amp;Checks!$J$678</f>
        <v>F21-T12-03
Equipment: Equipment cleanliness vs GLD</v>
      </c>
      <c r="B39" s="120" t="str">
        <f aca="false">SUBSTITUTE(Checks!$K$678&amp;IF(Checks!$O$678="","",IF(Checks!$K$678="","",CHAR(10))&amp;"Note: "&amp;Checks!$O$678)," (Flights AY)","")</f>
        <v>Note: Preparation check at caterer - does NOT confirm loading. Round-trip catered from KUL: due capped at the KUL loading deadline.</v>
      </c>
      <c r="C39" s="120" t="str">
        <f aca="false">Checks!$N$678&amp;CHAR(10)&amp;IF(ISNUMBER(Checks!$R$678),TEXT(Checks!$R$678,"DD-MMM-YY HH:MM"),"")&amp;" "&amp;Checks!$P$678</f>
        <v>Required
29-Oct-26 12:30 KUL</v>
      </c>
      <c r="D39" s="120" t="str">
        <f aca="false">IF(TRIM(Checks!$U$678)&lt;&gt;"",Checks!$U$678&amp;IF(Checks!$AB$678="","",CHAR(10)&amp;"CA: "&amp;Checks!$AB$678),IF(LEFT(Checks!$AH$678,10)="N/A – RULE","","[ ] Pass"&amp;CHAR(10)&amp;"[ ] Pass after CA"&amp;CHAR(10)&amp;"[ ] Fail"&amp;IF(Checks!$AT$678=1,CHAR(10)&amp;"[ ] N/A","")&amp;CHAR(10)&amp;"CA: Open / Closed"))</f>
        <v>[ ] Pass
[ ] Pass after CA
[ ] Fail
CA: Open / Closed</v>
      </c>
      <c r="E39" s="120" t="str">
        <f aca="false">IF(Checks!$V$678="","",Checks!$V$678)&amp;IF(Checks!$AC$678="","",IF(Checks!$V$678="","",CHAR(10))&amp;"N/A just.: "&amp;Checks!$AC$678)&amp;IF(OR(Checks!$W$678&lt;&gt;"",AND(Checks!$AQ$678=1,NOT(LEFT(Checks!$AH$678,10)="N/A – RULE"))),CHAR(10)&amp;"Batch: "&amp;IF(Checks!$W$678="","____________",Checks!$W$678),"")&amp;IF(OR(Checks!$X$678&lt;&gt;"",Checks!$Y$678&lt;&gt;"",AND(Checks!$AR$678=1,NOT(LEFT(Checks!$AH$678,10)="N/A – RULE"))),CHAR(10)&amp;"Exp: "&amp;IF(Checks!$X$678="","______",Checks!$X$678)&amp;"  /  Act: "&amp;IF(Checks!$Y$678="","______",Checks!$Y$678),"")</f>
        <v/>
      </c>
      <c r="F39" s="120" t="str">
        <f aca="false">IF(AND(LEFT(Checks!$AH$678,10)="N/A – RULE",TRIM(Checks!$S$678&amp;Checks!$Z$678)=""),"","Type: "&amp;IF(TRIM(Checks!$S$678)="","______________ (see cover list)",Checks!$S$678)&amp;CHAR(10)&amp;"ID: "&amp;IF(TRIM(Checks!$Z$678)="","______________ (record's own no.)",Checks!$Z$678))&amp;IF(Checks!$AA$678="","",CHAR(10)&amp;"CA: "&amp;Checks!$AA$678)</f>
        <v>Type: ______________ (see cover list)
ID: ______________ (record's own no.)</v>
      </c>
      <c r="G39" s="120" t="str">
        <f aca="false">IF(AND(LEFT(Checks!$AH$678,10)="N/A – RULE",NOT(ISNUMBER(Checks!$AD$678)),Checks!$AE$678="",Checks!$T$678=""),"","Done: "&amp;IF(ISNUMBER(Checks!$AD$678),TEXT(Checks!$AD$678,"DD-MMM-YY HH:MM"),"____________")&amp;" "&amp;Checks!$P$678&amp;CHAR(10)&amp;"Verifier: "&amp;IF(Checks!$AE$678="","____________",Checks!$AE$678)&amp;CHAR(10)&amp;"PIC: "&amp;IF(Checks!$T$678="","____________",Checks!$T$678))</f>
        <v>Done: ____________ KUL
Verifier: ____________
PIC: ____________</v>
      </c>
      <c r="H39" s="121" t="str">
        <f aca="false">IF(Checks!$AH$678="","",Checks!$AH$678)</f>
        <v>OPEN</v>
      </c>
    </row>
    <row r="40" customFormat="false" ht="114" hidden="false" customHeight="true" outlineLevel="0" collapsed="false">
      <c r="A40" s="120" t="str">
        <f aca="false">Checks!$A$679&amp;CHAR(10)&amp;IF(Checks!$I$679="","",Checks!$I$679&amp;": ")&amp;Checks!$J$679</f>
        <v>F21-T12-04
Equipment: Equipment presentation vs GLD</v>
      </c>
      <c r="B40" s="120" t="str">
        <f aca="false">SUBSTITUTE(Checks!$K$679&amp;IF(Checks!$O$679="","",IF(Checks!$K$679="","",CHAR(10))&amp;"Note: "&amp;Checks!$O$679)," (Flights AY)","")</f>
        <v>Note: Preparation check at caterer - does NOT confirm loading. Round-trip catered from KUL: due capped at the KUL loading deadline.</v>
      </c>
      <c r="C40" s="120" t="str">
        <f aca="false">Checks!$N$679&amp;CHAR(10)&amp;IF(ISNUMBER(Checks!$R$679),TEXT(Checks!$R$679,"DD-MMM-YY HH:MM"),"")&amp;" "&amp;Checks!$P$679</f>
        <v>Required
29-Oct-26 12:30 KUL</v>
      </c>
      <c r="D40" s="120" t="str">
        <f aca="false">IF(TRIM(Checks!$U$679)&lt;&gt;"",Checks!$U$679&amp;IF(Checks!$AB$679="","",CHAR(10)&amp;"CA: "&amp;Checks!$AB$679),IF(LEFT(Checks!$AH$679,10)="N/A – RULE","","[ ] Pass"&amp;CHAR(10)&amp;"[ ] Pass after CA"&amp;CHAR(10)&amp;"[ ] Fail"&amp;IF(Checks!$AT$679=1,CHAR(10)&amp;"[ ] N/A","")&amp;CHAR(10)&amp;"CA: Open / Closed"))</f>
        <v>[ ] Pass
[ ] Pass after CA
[ ] Fail
CA: Open / Closed</v>
      </c>
      <c r="E40" s="120" t="str">
        <f aca="false">IF(Checks!$V$679="","",Checks!$V$679)&amp;IF(Checks!$AC$679="","",IF(Checks!$V$679="","",CHAR(10))&amp;"N/A just.: "&amp;Checks!$AC$679)&amp;IF(OR(Checks!$W$679&lt;&gt;"",AND(Checks!$AQ$679=1,NOT(LEFT(Checks!$AH$679,10)="N/A – RULE"))),CHAR(10)&amp;"Batch: "&amp;IF(Checks!$W$679="","____________",Checks!$W$679),"")&amp;IF(OR(Checks!$X$679&lt;&gt;"",Checks!$Y$679&lt;&gt;"",AND(Checks!$AR$679=1,NOT(LEFT(Checks!$AH$679,10)="N/A – RULE"))),CHAR(10)&amp;"Exp: "&amp;IF(Checks!$X$679="","______",Checks!$X$679)&amp;"  /  Act: "&amp;IF(Checks!$Y$679="","______",Checks!$Y$679),"")</f>
        <v/>
      </c>
      <c r="F40" s="120" t="str">
        <f aca="false">IF(AND(LEFT(Checks!$AH$679,10)="N/A – RULE",TRIM(Checks!$S$679&amp;Checks!$Z$679)=""),"","Type: "&amp;IF(TRIM(Checks!$S$679)="","______________ (see cover list)",Checks!$S$679)&amp;CHAR(10)&amp;"ID: "&amp;IF(TRIM(Checks!$Z$679)="","______________ (record's own no.)",Checks!$Z$679))&amp;IF(Checks!$AA$679="","",CHAR(10)&amp;"CA: "&amp;Checks!$AA$679)</f>
        <v>Type: ______________ (see cover list)
ID: ______________ (record's own no.)</v>
      </c>
      <c r="G40" s="120" t="str">
        <f aca="false">IF(AND(LEFT(Checks!$AH$679,10)="N/A – RULE",NOT(ISNUMBER(Checks!$AD$679)),Checks!$AE$679="",Checks!$T$679=""),"","Done: "&amp;IF(ISNUMBER(Checks!$AD$679),TEXT(Checks!$AD$679,"DD-MMM-YY HH:MM"),"____________")&amp;" "&amp;Checks!$P$679&amp;CHAR(10)&amp;"Verifier: "&amp;IF(Checks!$AE$679="","____________",Checks!$AE$679)&amp;CHAR(10)&amp;"PIC: "&amp;IF(Checks!$T$679="","____________",Checks!$T$679))</f>
        <v>Done: ____________ KUL
Verifier: ____________
PIC: ____________</v>
      </c>
      <c r="H40" s="121" t="str">
        <f aca="false">IF(Checks!$AH$679="","",Checks!$AH$679)</f>
        <v>OPEN</v>
      </c>
    </row>
    <row r="41" customFormat="false" ht="114" hidden="false" customHeight="true" outlineLevel="0" collapsed="false">
      <c r="A41" s="120" t="str">
        <f aca="false">Checks!$A$680&amp;CHAR(10)&amp;IF(Checks!$I$680="","",Checks!$I$680&amp;": ")&amp;Checks!$J$680</f>
        <v>F21-T12-05
Equipment: Equipment serviceability vs GLD</v>
      </c>
      <c r="B41" s="120" t="str">
        <f aca="false">SUBSTITUTE(Checks!$K$680&amp;IF(Checks!$O$680="","",IF(Checks!$K$680="","",CHAR(10))&amp;"Note: "&amp;Checks!$O$680)," (Flights AY)","")</f>
        <v>Note: Preparation check at caterer - does NOT confirm loading. Round-trip catered from KUL: due capped at the KUL loading deadline.</v>
      </c>
      <c r="C41" s="120" t="str">
        <f aca="false">Checks!$N$680&amp;CHAR(10)&amp;IF(ISNUMBER(Checks!$R$680),TEXT(Checks!$R$680,"DD-MMM-YY HH:MM"),"")&amp;" "&amp;Checks!$P$680</f>
        <v>Required
29-Oct-26 12:30 KUL</v>
      </c>
      <c r="D41" s="120" t="str">
        <f aca="false">IF(TRIM(Checks!$U$680)&lt;&gt;"",Checks!$U$680&amp;IF(Checks!$AB$680="","",CHAR(10)&amp;"CA: "&amp;Checks!$AB$680),IF(LEFT(Checks!$AH$680,10)="N/A – RULE","","[ ] Pass"&amp;CHAR(10)&amp;"[ ] Pass after CA"&amp;CHAR(10)&amp;"[ ] Fail"&amp;IF(Checks!$AT$680=1,CHAR(10)&amp;"[ ] N/A","")&amp;CHAR(10)&amp;"CA: Open / Closed"))</f>
        <v>[ ] Pass
[ ] Pass after CA
[ ] Fail
CA: Open / Closed</v>
      </c>
      <c r="E41" s="120" t="str">
        <f aca="false">IF(Checks!$V$680="","",Checks!$V$680)&amp;IF(Checks!$AC$680="","",IF(Checks!$V$680="","",CHAR(10))&amp;"N/A just.: "&amp;Checks!$AC$680)&amp;IF(OR(Checks!$W$680&lt;&gt;"",AND(Checks!$AQ$680=1,NOT(LEFT(Checks!$AH$680,10)="N/A – RULE"))),CHAR(10)&amp;"Batch: "&amp;IF(Checks!$W$680="","____________",Checks!$W$680),"")&amp;IF(OR(Checks!$X$680&lt;&gt;"",Checks!$Y$680&lt;&gt;"",AND(Checks!$AR$680=1,NOT(LEFT(Checks!$AH$680,10)="N/A – RULE"))),CHAR(10)&amp;"Exp: "&amp;IF(Checks!$X$680="","______",Checks!$X$680)&amp;"  /  Act: "&amp;IF(Checks!$Y$680="","______",Checks!$Y$680),"")</f>
        <v/>
      </c>
      <c r="F41" s="120" t="str">
        <f aca="false">IF(AND(LEFT(Checks!$AH$680,10)="N/A – RULE",TRIM(Checks!$S$680&amp;Checks!$Z$680)=""),"","Type: "&amp;IF(TRIM(Checks!$S$680)="","______________ (see cover list)",Checks!$S$680)&amp;CHAR(10)&amp;"ID: "&amp;IF(TRIM(Checks!$Z$680)="","______________ (record's own no.)",Checks!$Z$680))&amp;IF(Checks!$AA$680="","",CHAR(10)&amp;"CA: "&amp;Checks!$AA$680)</f>
        <v>Type: ______________ (see cover list)
ID: ______________ (record's own no.)</v>
      </c>
      <c r="G41" s="120" t="str">
        <f aca="false">IF(AND(LEFT(Checks!$AH$680,10)="N/A – RULE",NOT(ISNUMBER(Checks!$AD$680)),Checks!$AE$680="",Checks!$T$680=""),"","Done: "&amp;IF(ISNUMBER(Checks!$AD$680),TEXT(Checks!$AD$680,"DD-MMM-YY HH:MM"),"____________")&amp;" "&amp;Checks!$P$680&amp;CHAR(10)&amp;"Verifier: "&amp;IF(Checks!$AE$680="","____________",Checks!$AE$680)&amp;CHAR(10)&amp;"PIC: "&amp;IF(Checks!$T$680="","____________",Checks!$T$680))</f>
        <v>Done: ____________ KUL
Verifier: ____________
PIC: ____________</v>
      </c>
      <c r="H41" s="121" t="str">
        <f aca="false">IF(Checks!$AH$680="","",Checks!$AH$680)</f>
        <v>OPEN</v>
      </c>
    </row>
    <row r="42" customFormat="false" ht="223.5" hidden="false" customHeight="true" outlineLevel="0" collapsed="false">
      <c r="A42" s="120" t="str">
        <f aca="false">Checks!$A$681&amp;CHAR(10)&amp;IF(Checks!$I$681="","",Checks!$I$681&amp;": ")&amp;Checks!$J$681</f>
        <v>F21-T12-06
Equipment: Equipment quantities vs GLD</v>
      </c>
      <c r="B42" s="120" t="str">
        <f aca="false">SUBSTITUTE(SUBSTITUTE(SUBSTITUTE(SUBSTITUTE(SUBSTITUTE(SUBSTITUTE(SUBSTITUTE(SUBSTITUTE(Checks!$K$681&amp;IF(Checks!$O$681="","",IF(Checks!$K$681="","",CHAR(10))&amp;"Note: "&amp;Checks!$O$681),"ovens -,","ovens n/a,"),"fridges -,","fridges n/a,"),"makers -,","makers n/a,"),"espresso -,","espresso n/a,"),"trolleys -,","trolleys n/a,"),"headsets - (","headsets n/a (")," (AIRCRAFT TYPE!C16:R16)","")," (Flights AY)","")</f>
        <v>Enter expected &amp; actual. Aircraft galley data: B737-8 (B7M8): carts 10.5, SU 25, ovens 6, warming ovens n/a, fridges n/a, water heaters 3, beverage makers n/a, espresso n/a, folding trolleys n/a, headsets n/a
Note: Preparation check at caterer - does NOT confirm loading. Round-trip catered from KUL: due capped at the KUL loading deadline.</v>
      </c>
      <c r="C42" s="120" t="str">
        <f aca="false">Checks!$N$681&amp;CHAR(10)&amp;IF(ISNUMBER(Checks!$R$681),TEXT(Checks!$R$681,"DD-MMM-YY HH:MM"),"")&amp;" "&amp;Checks!$P$681</f>
        <v>Required
29-Oct-26 12:30 KUL</v>
      </c>
      <c r="D42" s="120" t="str">
        <f aca="false">IF(TRIM(Checks!$U$681)&lt;&gt;"",Checks!$U$681&amp;IF(Checks!$AB$681="","",CHAR(10)&amp;"CA: "&amp;Checks!$AB$681),IF(LEFT(Checks!$AH$681,10)="N/A – RULE","","[ ] Pass"&amp;CHAR(10)&amp;"[ ] Pass after CA"&amp;CHAR(10)&amp;"[ ] Fail"&amp;IF(Checks!$AT$681=1,CHAR(10)&amp;"[ ] N/A","")&amp;CHAR(10)&amp;"CA: Open / Closed"))</f>
        <v>[ ] Pass
[ ] Pass after CA
[ ] Fail
CA: Open / Closed</v>
      </c>
      <c r="E42" s="120" t="str">
        <f aca="false">IF(Checks!$V$681="","",Checks!$V$681)&amp;IF(Checks!$AC$681="","",IF(Checks!$V$681="","",CHAR(10))&amp;"N/A just.: "&amp;Checks!$AC$681)&amp;IF(OR(Checks!$W$681&lt;&gt;"",AND(Checks!$AQ$681=1,NOT(LEFT(Checks!$AH$681,10)="N/A – RULE"))),CHAR(10)&amp;"Batch: "&amp;IF(Checks!$W$681="","____________",Checks!$W$681),"")&amp;IF(OR(Checks!$X$681&lt;&gt;"",Checks!$Y$681&lt;&gt;"",AND(Checks!$AR$681=1,NOT(LEFT(Checks!$AH$681,10)="N/A – RULE"))),CHAR(10)&amp;"Exp: "&amp;IF(Checks!$X$681="","______",Checks!$X$681)&amp;"  /  Act: "&amp;IF(Checks!$Y$681="","______",Checks!$Y$681),"")</f>
        <v>
Exp: ______  /  Act: ______</v>
      </c>
      <c r="F42" s="120" t="str">
        <f aca="false">IF(AND(LEFT(Checks!$AH$681,10)="N/A – RULE",TRIM(Checks!$S$681&amp;Checks!$Z$681)=""),"","Type: "&amp;IF(TRIM(Checks!$S$681)="","______________ (see cover list)",Checks!$S$681)&amp;CHAR(10)&amp;"ID: "&amp;IF(TRIM(Checks!$Z$681)="","______________ (record's own no.)",Checks!$Z$681))&amp;IF(Checks!$AA$681="","",CHAR(10)&amp;"CA: "&amp;Checks!$AA$681)</f>
        <v>Type: ______________ (see cover list)
ID: ______________ (record's own no.)</v>
      </c>
      <c r="G42" s="120" t="str">
        <f aca="false">IF(AND(LEFT(Checks!$AH$681,10)="N/A – RULE",NOT(ISNUMBER(Checks!$AD$681)),Checks!$AE$681="",Checks!$T$681=""),"","Done: "&amp;IF(ISNUMBER(Checks!$AD$681),TEXT(Checks!$AD$681,"DD-MMM-YY HH:MM"),"____________")&amp;" "&amp;Checks!$P$681&amp;CHAR(10)&amp;"Verifier: "&amp;IF(Checks!$AE$681="","____________",Checks!$AE$681)&amp;CHAR(10)&amp;"PIC: "&amp;IF(Checks!$T$681="","____________",Checks!$T$681))</f>
        <v>Done: ____________ KUL
Verifier: ____________
PIC: ____________</v>
      </c>
      <c r="H42" s="121" t="str">
        <f aca="false">IF(Checks!$AH$681="","",Checks!$AH$681)</f>
        <v>OPEN</v>
      </c>
    </row>
    <row r="43" customFormat="false" ht="114" hidden="false" customHeight="true" outlineLevel="0" collapsed="false">
      <c r="A43" s="120" t="str">
        <f aca="false">Checks!$A$682&amp;CHAR(10)&amp;IF(Checks!$I$682="","",Checks!$I$682&amp;": ")&amp;Checks!$J$682</f>
        <v>F21-T12-07
Equipment: Loading positions planned vs GLD</v>
      </c>
      <c r="B43" s="120" t="str">
        <f aca="false">SUBSTITUTE(Checks!$K$682&amp;IF(Checks!$O$682="","",IF(Checks!$K$682="","",CHAR(10))&amp;"Note: "&amp;Checks!$O$682)," (Flights AY)","")</f>
        <v>Note: Preparation check at caterer - does NOT confirm loading. Round-trip catered from KUL: due capped at the KUL loading deadline.</v>
      </c>
      <c r="C43" s="120" t="str">
        <f aca="false">Checks!$N$682&amp;CHAR(10)&amp;IF(ISNUMBER(Checks!$R$682),TEXT(Checks!$R$682,"DD-MMM-YY HH:MM"),"")&amp;" "&amp;Checks!$P$682</f>
        <v>Required
29-Oct-26 12:30 KUL</v>
      </c>
      <c r="D43" s="120" t="str">
        <f aca="false">IF(TRIM(Checks!$U$682)&lt;&gt;"",Checks!$U$682&amp;IF(Checks!$AB$682="","",CHAR(10)&amp;"CA: "&amp;Checks!$AB$682),IF(LEFT(Checks!$AH$682,10)="N/A – RULE","","[ ] Pass"&amp;CHAR(10)&amp;"[ ] Pass after CA"&amp;CHAR(10)&amp;"[ ] Fail"&amp;IF(Checks!$AT$682=1,CHAR(10)&amp;"[ ] N/A","")&amp;CHAR(10)&amp;"CA: Open / Closed"))</f>
        <v>[ ] Pass
[ ] Pass after CA
[ ] Fail
CA: Open / Closed</v>
      </c>
      <c r="E43" s="120" t="str">
        <f aca="false">IF(Checks!$V$682="","",Checks!$V$682)&amp;IF(Checks!$AC$682="","",IF(Checks!$V$682="","",CHAR(10))&amp;"N/A just.: "&amp;Checks!$AC$682)&amp;IF(OR(Checks!$W$682&lt;&gt;"",AND(Checks!$AQ$682=1,NOT(LEFT(Checks!$AH$682,10)="N/A – RULE"))),CHAR(10)&amp;"Batch: "&amp;IF(Checks!$W$682="","____________",Checks!$W$682),"")&amp;IF(OR(Checks!$X$682&lt;&gt;"",Checks!$Y$682&lt;&gt;"",AND(Checks!$AR$682=1,NOT(LEFT(Checks!$AH$682,10)="N/A – RULE"))),CHAR(10)&amp;"Exp: "&amp;IF(Checks!$X$682="","______",Checks!$X$682)&amp;"  /  Act: "&amp;IF(Checks!$Y$682="","______",Checks!$Y$682),"")</f>
        <v/>
      </c>
      <c r="F43" s="120" t="str">
        <f aca="false">IF(AND(LEFT(Checks!$AH$682,10)="N/A – RULE",TRIM(Checks!$S$682&amp;Checks!$Z$682)=""),"","Type: "&amp;IF(TRIM(Checks!$S$682)="","______________ (see cover list)",Checks!$S$682)&amp;CHAR(10)&amp;"ID: "&amp;IF(TRIM(Checks!$Z$682)="","______________ (record's own no.)",Checks!$Z$682))&amp;IF(Checks!$AA$682="","",CHAR(10)&amp;"CA: "&amp;Checks!$AA$682)</f>
        <v>Type: ______________ (see cover list)
ID: ______________ (record's own no.)</v>
      </c>
      <c r="G43" s="120" t="str">
        <f aca="false">IF(AND(LEFT(Checks!$AH$682,10)="N/A – RULE",NOT(ISNUMBER(Checks!$AD$682)),Checks!$AE$682="",Checks!$T$682=""),"","Done: "&amp;IF(ISNUMBER(Checks!$AD$682),TEXT(Checks!$AD$682,"DD-MMM-YY HH:MM"),"____________")&amp;" "&amp;Checks!$P$682&amp;CHAR(10)&amp;"Verifier: "&amp;IF(Checks!$AE$682="","____________",Checks!$AE$682)&amp;CHAR(10)&amp;"PIC: "&amp;IF(Checks!$T$682="","____________",Checks!$T$682))</f>
        <v>Done: ____________ KUL
Verifier: ____________
PIC: ____________</v>
      </c>
      <c r="H43" s="121" t="str">
        <f aca="false">IF(Checks!$AH$682="","",Checks!$AH$682)</f>
        <v>OPEN</v>
      </c>
    </row>
    <row r="44" customFormat="false" ht="223.5" hidden="false" customHeight="true" outlineLevel="0" collapsed="false">
      <c r="A44" s="120" t="str">
        <f aca="false">Checks!$A$683&amp;CHAR(10)&amp;IF(Checks!$I$683="","",Checks!$I$683&amp;": ")&amp;Checks!$J$683</f>
        <v>F21-T12-08
Amenities: Disposable slippers in DAM cart (BC, on request) - prepared</v>
      </c>
      <c r="B44" s="120" t="str">
        <f aca="false">SUBSTITUTE(SUBSTITUTE(Checks!$K$683&amp;IF(Checks!$O$683="","",IF(Checks!$K$683="","",CHAR(10))&amp;"Note: "&amp;Checks!$O$683),"note C83: ","reference note: ")," (Flights AY)","")</f>
        <v>Available in DAM cart on request basis
Note: Sector has no BC slippers; reference note: disposable slipper available in DAM cart (on request basis). Reference gives no uplift stn for this item: preparation checked at the meal uplift stn (KUL) - confirm with caterer. Round-trip catered from KUL: due capped at the KUL loading deadline.</v>
      </c>
      <c r="C44" s="120" t="str">
        <f aca="false">Checks!$N$683&amp;CHAR(10)&amp;IF(ISNUMBER(Checks!$R$683),TEXT(Checks!$R$683,"DD-MMM-YY HH:MM"),"")&amp;" "&amp;Checks!$P$683</f>
        <v>Required
29-Oct-26 12:30 KUL</v>
      </c>
      <c r="D44" s="120" t="str">
        <f aca="false">IF(TRIM(Checks!$U$683)&lt;&gt;"",Checks!$U$683&amp;IF(Checks!$AB$683="","",CHAR(10)&amp;"CA: "&amp;Checks!$AB$683),IF(LEFT(Checks!$AH$683,10)="N/A – RULE","","[ ] Pass"&amp;CHAR(10)&amp;"[ ] Pass after CA"&amp;CHAR(10)&amp;"[ ] Fail"&amp;IF(Checks!$AT$683=1,CHAR(10)&amp;"[ ] N/A","")&amp;CHAR(10)&amp;"CA: Open / Closed"))</f>
        <v>[ ] Pass
[ ] Pass after CA
[ ] Fail
CA: Open / Closed</v>
      </c>
      <c r="E44" s="120" t="str">
        <f aca="false">IF(Checks!$V$683="","",Checks!$V$683)&amp;IF(Checks!$AC$683="","",IF(Checks!$V$683="","",CHAR(10))&amp;"N/A just.: "&amp;Checks!$AC$683)&amp;IF(OR(Checks!$W$683&lt;&gt;"",AND(Checks!$AQ$683=1,NOT(LEFT(Checks!$AH$683,10)="N/A – RULE"))),CHAR(10)&amp;"Batch: "&amp;IF(Checks!$W$683="","____________",Checks!$W$683),"")&amp;IF(OR(Checks!$X$683&lt;&gt;"",Checks!$Y$683&lt;&gt;"",AND(Checks!$AR$683=1,NOT(LEFT(Checks!$AH$683,10)="N/A – RULE"))),CHAR(10)&amp;"Exp: "&amp;IF(Checks!$X$683="","______",Checks!$X$683)&amp;"  /  Act: "&amp;IF(Checks!$Y$683="","______",Checks!$Y$683),"")</f>
        <v/>
      </c>
      <c r="F44" s="120" t="str">
        <f aca="false">IF(AND(LEFT(Checks!$AH$683,10)="N/A – RULE",TRIM(Checks!$S$683&amp;Checks!$Z$683)=""),"","Type: "&amp;IF(TRIM(Checks!$S$683)="","______________ (see cover list)",Checks!$S$683)&amp;CHAR(10)&amp;"ID: "&amp;IF(TRIM(Checks!$Z$683)="","______________ (record's own no.)",Checks!$Z$683))&amp;IF(Checks!$AA$683="","",CHAR(10)&amp;"CA: "&amp;Checks!$AA$683)</f>
        <v>Type: ______________ (see cover list)
ID: ______________ (record's own no.)</v>
      </c>
      <c r="G44" s="120" t="str">
        <f aca="false">IF(AND(LEFT(Checks!$AH$683,10)="N/A – RULE",NOT(ISNUMBER(Checks!$AD$683)),Checks!$AE$683="",Checks!$T$683=""),"","Done: "&amp;IF(ISNUMBER(Checks!$AD$683),TEXT(Checks!$AD$683,"DD-MMM-YY HH:MM"),"____________")&amp;" "&amp;Checks!$P$683&amp;CHAR(10)&amp;"Verifier: "&amp;IF(Checks!$AE$683="","____________",Checks!$AE$683)&amp;CHAR(10)&amp;"PIC: "&amp;IF(Checks!$T$683="","____________",Checks!$T$683))</f>
        <v>Done: ____________ KUL
Verifier: ____________
PIC: ____________</v>
      </c>
      <c r="H44" s="121" t="str">
        <f aca="false">IF(Checks!$AH$683="","",Checks!$AH$683)</f>
        <v>OPEN</v>
      </c>
    </row>
    <row r="45" customFormat="false" ht="147" hidden="false" customHeight="true" outlineLevel="0" collapsed="false">
      <c r="A45" s="120" t="str">
        <f aca="false">Checks!$A$684&amp;CHAR(10)&amp;IF(Checks!$I$684="","",Checks!$I$684&amp;": ")&amp;Checks!$J$684</f>
        <v>F21-T12-09
F&amp;B Linen: Towel - prepared</v>
      </c>
      <c r="B45" s="120" t="str">
        <f aca="false">SUBSTITUTE(Checks!$K$684&amp;IF(Checks!$O$684="","",IF(Checks!$K$684="","",CHAR(10))&amp;"Note: "&amp;Checks!$O$684)," (Flights AY)","")</f>
        <v>Available (ticked in reference)
Note: Reference gives no uplift stn for this item: preparation checked at the meal uplift stn (KUL) - confirm with caterer. Round-trip catered from KUL: due capped at the KUL loading deadline.</v>
      </c>
      <c r="C45" s="120" t="str">
        <f aca="false">Checks!$N$684&amp;CHAR(10)&amp;IF(ISNUMBER(Checks!$R$684),TEXT(Checks!$R$684,"DD-MMM-YY HH:MM"),"")&amp;" "&amp;Checks!$P$684</f>
        <v>Required
29-Oct-26 12:30 KUL</v>
      </c>
      <c r="D45" s="120" t="str">
        <f aca="false">IF(TRIM(Checks!$U$684)&lt;&gt;"",Checks!$U$684&amp;IF(Checks!$AB$684="","",CHAR(10)&amp;"CA: "&amp;Checks!$AB$684),IF(LEFT(Checks!$AH$684,10)="N/A – RULE","","[ ] Pass"&amp;CHAR(10)&amp;"[ ] Pass after CA"&amp;CHAR(10)&amp;"[ ] Fail"&amp;IF(Checks!$AT$684=1,CHAR(10)&amp;"[ ] N/A","")&amp;CHAR(10)&amp;"CA: Open / Closed"))</f>
        <v>[ ] Pass
[ ] Pass after CA
[ ] Fail
CA: Open / Closed</v>
      </c>
      <c r="E45" s="120" t="str">
        <f aca="false">IF(Checks!$V$684="","",Checks!$V$684)&amp;IF(Checks!$AC$684="","",IF(Checks!$V$684="","",CHAR(10))&amp;"N/A just.: "&amp;Checks!$AC$684)&amp;IF(OR(Checks!$W$684&lt;&gt;"",AND(Checks!$AQ$684=1,NOT(LEFT(Checks!$AH$684,10)="N/A – RULE"))),CHAR(10)&amp;"Batch: "&amp;IF(Checks!$W$684="","____________",Checks!$W$684),"")&amp;IF(OR(Checks!$X$684&lt;&gt;"",Checks!$Y$684&lt;&gt;"",AND(Checks!$AR$684=1,NOT(LEFT(Checks!$AH$684,10)="N/A – RULE"))),CHAR(10)&amp;"Exp: "&amp;IF(Checks!$X$684="","______",Checks!$X$684)&amp;"  /  Act: "&amp;IF(Checks!$Y$684="","______",Checks!$Y$684),"")</f>
        <v/>
      </c>
      <c r="F45" s="120" t="str">
        <f aca="false">IF(AND(LEFT(Checks!$AH$684,10)="N/A – RULE",TRIM(Checks!$S$684&amp;Checks!$Z$684)=""),"","Type: "&amp;IF(TRIM(Checks!$S$684)="","______________ (see cover list)",Checks!$S$684)&amp;CHAR(10)&amp;"ID: "&amp;IF(TRIM(Checks!$Z$684)="","______________ (record's own no.)",Checks!$Z$684))&amp;IF(Checks!$AA$684="","",CHAR(10)&amp;"CA: "&amp;Checks!$AA$684)</f>
        <v>Type: ______________ (see cover list)
ID: ______________ (record's own no.)</v>
      </c>
      <c r="G45" s="120" t="str">
        <f aca="false">IF(AND(LEFT(Checks!$AH$684,10)="N/A – RULE",NOT(ISNUMBER(Checks!$AD$684)),Checks!$AE$684="",Checks!$T$684=""),"","Done: "&amp;IF(ISNUMBER(Checks!$AD$684),TEXT(Checks!$AD$684,"DD-MMM-YY HH:MM"),"____________")&amp;" "&amp;Checks!$P$684&amp;CHAR(10)&amp;"Verifier: "&amp;IF(Checks!$AE$684="","____________",Checks!$AE$684)&amp;CHAR(10)&amp;"PIC: "&amp;IF(Checks!$T$684="","____________",Checks!$T$684))</f>
        <v>Done: ____________ KUL
Verifier: ____________
PIC: ____________</v>
      </c>
      <c r="H45" s="121" t="str">
        <f aca="false">IF(Checks!$AH$684="","",Checks!$AH$684)</f>
        <v>OPEN</v>
      </c>
    </row>
    <row r="46" customFormat="false" ht="147" hidden="false" customHeight="true" outlineLevel="0" collapsed="false">
      <c r="A46" s="120" t="str">
        <f aca="false">Checks!$A$685&amp;CHAR(10)&amp;IF(Checks!$I$685="","",Checks!$I$685&amp;": ")&amp;Checks!$J$685</f>
        <v>F21-T12-10
F&amp;B Linen: Tray cloth - prepared</v>
      </c>
      <c r="B46" s="120" t="str">
        <f aca="false">SUBSTITUTE(Checks!$K$685&amp;IF(Checks!$O$685="","",IF(Checks!$K$685="","",CHAR(10))&amp;"Note: "&amp;Checks!$O$685)," (Flights AY)","")</f>
        <v>Available (ticked in reference)
Note: Reference gives no uplift stn for this item: preparation checked at the meal uplift stn (KUL) - confirm with caterer. Round-trip catered from KUL: due capped at the KUL loading deadline.</v>
      </c>
      <c r="C46" s="120" t="str">
        <f aca="false">Checks!$N$685&amp;CHAR(10)&amp;IF(ISNUMBER(Checks!$R$685),TEXT(Checks!$R$685,"DD-MMM-YY HH:MM"),"")&amp;" "&amp;Checks!$P$685</f>
        <v>Required
29-Oct-26 12:30 KUL</v>
      </c>
      <c r="D46" s="120" t="str">
        <f aca="false">IF(TRIM(Checks!$U$685)&lt;&gt;"",Checks!$U$685&amp;IF(Checks!$AB$685="","",CHAR(10)&amp;"CA: "&amp;Checks!$AB$685),IF(LEFT(Checks!$AH$685,10)="N/A – RULE","","[ ] Pass"&amp;CHAR(10)&amp;"[ ] Pass after CA"&amp;CHAR(10)&amp;"[ ] Fail"&amp;IF(Checks!$AT$685=1,CHAR(10)&amp;"[ ] N/A","")&amp;CHAR(10)&amp;"CA: Open / Closed"))</f>
        <v>[ ] Pass
[ ] Pass after CA
[ ] Fail
CA: Open / Closed</v>
      </c>
      <c r="E46" s="120" t="str">
        <f aca="false">IF(Checks!$V$685="","",Checks!$V$685)&amp;IF(Checks!$AC$685="","",IF(Checks!$V$685="","",CHAR(10))&amp;"N/A just.: "&amp;Checks!$AC$685)&amp;IF(OR(Checks!$W$685&lt;&gt;"",AND(Checks!$AQ$685=1,NOT(LEFT(Checks!$AH$685,10)="N/A – RULE"))),CHAR(10)&amp;"Batch: "&amp;IF(Checks!$W$685="","____________",Checks!$W$685),"")&amp;IF(OR(Checks!$X$685&lt;&gt;"",Checks!$Y$685&lt;&gt;"",AND(Checks!$AR$685=1,NOT(LEFT(Checks!$AH$685,10)="N/A – RULE"))),CHAR(10)&amp;"Exp: "&amp;IF(Checks!$X$685="","______",Checks!$X$685)&amp;"  /  Act: "&amp;IF(Checks!$Y$685="","______",Checks!$Y$685),"")</f>
        <v/>
      </c>
      <c r="F46" s="120" t="str">
        <f aca="false">IF(AND(LEFT(Checks!$AH$685,10)="N/A – RULE",TRIM(Checks!$S$685&amp;Checks!$Z$685)=""),"","Type: "&amp;IF(TRIM(Checks!$S$685)="","______________ (see cover list)",Checks!$S$685)&amp;CHAR(10)&amp;"ID: "&amp;IF(TRIM(Checks!$Z$685)="","______________ (record's own no.)",Checks!$Z$685))&amp;IF(Checks!$AA$685="","",CHAR(10)&amp;"CA: "&amp;Checks!$AA$685)</f>
        <v>Type: ______________ (see cover list)
ID: ______________ (record's own no.)</v>
      </c>
      <c r="G46" s="120" t="str">
        <f aca="false">IF(AND(LEFT(Checks!$AH$685,10)="N/A – RULE",NOT(ISNUMBER(Checks!$AD$685)),Checks!$AE$685="",Checks!$T$685=""),"","Done: "&amp;IF(ISNUMBER(Checks!$AD$685),TEXT(Checks!$AD$685,"DD-MMM-YY HH:MM"),"____________")&amp;" "&amp;Checks!$P$685&amp;CHAR(10)&amp;"Verifier: "&amp;IF(Checks!$AE$685="","____________",Checks!$AE$685)&amp;CHAR(10)&amp;"PIC: "&amp;IF(Checks!$T$685="","____________",Checks!$T$685))</f>
        <v>Done: ____________ KUL
Verifier: ____________
PIC: ____________</v>
      </c>
      <c r="H46" s="121" t="str">
        <f aca="false">IF(Checks!$AH$685="","",Checks!$AH$685)</f>
        <v>OPEN</v>
      </c>
    </row>
    <row r="47" customFormat="false" ht="147" hidden="false" customHeight="true" outlineLevel="0" collapsed="false">
      <c r="A47" s="120" t="str">
        <f aca="false">Checks!$A$686&amp;CHAR(10)&amp;IF(Checks!$I$686="","",Checks!$I$686&amp;": ")&amp;Checks!$J$686</f>
        <v>F21-T12-11
F&amp;B Linen: Napkin - prepared</v>
      </c>
      <c r="B47" s="120" t="str">
        <f aca="false">SUBSTITUTE(Checks!$K$686&amp;IF(Checks!$O$686="","",IF(Checks!$K$686="","",CHAR(10))&amp;"Note: "&amp;Checks!$O$686)," (Flights AY)","")</f>
        <v>Available (ticked in reference)
Note: Reference gives no uplift stn for this item: preparation checked at the meal uplift stn (KUL) - confirm with caterer. Round-trip catered from KUL: due capped at the KUL loading deadline.</v>
      </c>
      <c r="C47" s="120" t="str">
        <f aca="false">Checks!$N$686&amp;CHAR(10)&amp;IF(ISNUMBER(Checks!$R$686),TEXT(Checks!$R$686,"DD-MMM-YY HH:MM"),"")&amp;" "&amp;Checks!$P$686</f>
        <v>Required
29-Oct-26 12:30 KUL</v>
      </c>
      <c r="D47" s="120" t="str">
        <f aca="false">IF(TRIM(Checks!$U$686)&lt;&gt;"",Checks!$U$686&amp;IF(Checks!$AB$686="","",CHAR(10)&amp;"CA: "&amp;Checks!$AB$686),IF(LEFT(Checks!$AH$686,10)="N/A – RULE","","[ ] Pass"&amp;CHAR(10)&amp;"[ ] Pass after CA"&amp;CHAR(10)&amp;"[ ] Fail"&amp;IF(Checks!$AT$686=1,CHAR(10)&amp;"[ ] N/A","")&amp;CHAR(10)&amp;"CA: Open / Closed"))</f>
        <v>[ ] Pass
[ ] Pass after CA
[ ] Fail
CA: Open / Closed</v>
      </c>
      <c r="E47" s="120" t="str">
        <f aca="false">IF(Checks!$V$686="","",Checks!$V$686)&amp;IF(Checks!$AC$686="","",IF(Checks!$V$686="","",CHAR(10))&amp;"N/A just.: "&amp;Checks!$AC$686)&amp;IF(OR(Checks!$W$686&lt;&gt;"",AND(Checks!$AQ$686=1,NOT(LEFT(Checks!$AH$686,10)="N/A – RULE"))),CHAR(10)&amp;"Batch: "&amp;IF(Checks!$W$686="","____________",Checks!$W$686),"")&amp;IF(OR(Checks!$X$686&lt;&gt;"",Checks!$Y$686&lt;&gt;"",AND(Checks!$AR$686=1,NOT(LEFT(Checks!$AH$686,10)="N/A – RULE"))),CHAR(10)&amp;"Exp: "&amp;IF(Checks!$X$686="","______",Checks!$X$686)&amp;"  /  Act: "&amp;IF(Checks!$Y$686="","______",Checks!$Y$686),"")</f>
        <v/>
      </c>
      <c r="F47" s="120" t="str">
        <f aca="false">IF(AND(LEFT(Checks!$AH$686,10)="N/A – RULE",TRIM(Checks!$S$686&amp;Checks!$Z$686)=""),"","Type: "&amp;IF(TRIM(Checks!$S$686)="","______________ (see cover list)",Checks!$S$686)&amp;CHAR(10)&amp;"ID: "&amp;IF(TRIM(Checks!$Z$686)="","______________ (record's own no.)",Checks!$Z$686))&amp;IF(Checks!$AA$686="","",CHAR(10)&amp;"CA: "&amp;Checks!$AA$686)</f>
        <v>Type: ______________ (see cover list)
ID: ______________ (record's own no.)</v>
      </c>
      <c r="G47" s="120" t="str">
        <f aca="false">IF(AND(LEFT(Checks!$AH$686,10)="N/A – RULE",NOT(ISNUMBER(Checks!$AD$686)),Checks!$AE$686="",Checks!$T$686=""),"","Done: "&amp;IF(ISNUMBER(Checks!$AD$686),TEXT(Checks!$AD$686,"DD-MMM-YY HH:MM"),"____________")&amp;" "&amp;Checks!$P$686&amp;CHAR(10)&amp;"Verifier: "&amp;IF(Checks!$AE$686="","____________",Checks!$AE$686)&amp;CHAR(10)&amp;"PIC: "&amp;IF(Checks!$T$686="","____________",Checks!$T$686))</f>
        <v>Done: ____________ KUL
Verifier: ____________
PIC: ____________</v>
      </c>
      <c r="H47" s="121" t="str">
        <f aca="false">IF(Checks!$AH$686="","",Checks!$AH$686)</f>
        <v>OPEN</v>
      </c>
    </row>
    <row r="48" customFormat="false" ht="168.75" hidden="false" customHeight="true" outlineLevel="0" collapsed="false">
      <c r="A48" s="120" t="str">
        <f aca="false">Checks!$A$687&amp;CHAR(10)&amp;IF(Checks!$I$687="","",Checks!$I$687&amp;": ")&amp;Checks!$J$687</f>
        <v>F21-T12-12
F&amp;B Linen: Trolley cloth - prepared</v>
      </c>
      <c r="B48" s="120" t="str">
        <f aca="false">SUBSTITUTE(SUBSTITUTE(SUBSTITUTE(Checks!$K$687&amp;IF(Checks!$O$687="","",IF(Checks!$K$687="","",CHAR(10))&amp;"Note: "&amp;Checks!$O$687),"Per note F&amp;B LINEN!B79:C80.","Per the F&amp;B LINEN reference note."),"note F&amp;B LINEN!B79:C80","the F&amp;B LINEN reference note")," (Flights AY)","")</f>
        <v>Narrow body: Top only
Note: Per the F&amp;B LINEN reference note. Reference gives no uplift stn for this item: preparation checked at the meal uplift stn (KUL) - confirm with caterer. Round-trip catered from KUL: due capped at the KUL loading deadline.</v>
      </c>
      <c r="C48" s="120" t="str">
        <f aca="false">Checks!$N$687&amp;CHAR(10)&amp;IF(ISNUMBER(Checks!$R$687),TEXT(Checks!$R$687,"DD-MMM-YY HH:MM"),"")&amp;" "&amp;Checks!$P$687</f>
        <v>Required
29-Oct-26 12:30 KUL</v>
      </c>
      <c r="D48" s="120" t="str">
        <f aca="false">IF(TRIM(Checks!$U$687)&lt;&gt;"",Checks!$U$687&amp;IF(Checks!$AB$687="","",CHAR(10)&amp;"CA: "&amp;Checks!$AB$687),IF(LEFT(Checks!$AH$687,10)="N/A – RULE","","[ ] Pass"&amp;CHAR(10)&amp;"[ ] Pass after CA"&amp;CHAR(10)&amp;"[ ] Fail"&amp;IF(Checks!$AT$687=1,CHAR(10)&amp;"[ ] N/A","")&amp;CHAR(10)&amp;"CA: Open / Closed"))</f>
        <v>[ ] Pass
[ ] Pass after CA
[ ] Fail
CA: Open / Closed</v>
      </c>
      <c r="E48" s="120" t="str">
        <f aca="false">IF(Checks!$V$687="","",Checks!$V$687)&amp;IF(Checks!$AC$687="","",IF(Checks!$V$687="","",CHAR(10))&amp;"N/A just.: "&amp;Checks!$AC$687)&amp;IF(OR(Checks!$W$687&lt;&gt;"",AND(Checks!$AQ$687=1,NOT(LEFT(Checks!$AH$687,10)="N/A – RULE"))),CHAR(10)&amp;"Batch: "&amp;IF(Checks!$W$687="","____________",Checks!$W$687),"")&amp;IF(OR(Checks!$X$687&lt;&gt;"",Checks!$Y$687&lt;&gt;"",AND(Checks!$AR$687=1,NOT(LEFT(Checks!$AH$687,10)="N/A – RULE"))),CHAR(10)&amp;"Exp: "&amp;IF(Checks!$X$687="","______",Checks!$X$687)&amp;"  /  Act: "&amp;IF(Checks!$Y$687="","______",Checks!$Y$687),"")</f>
        <v/>
      </c>
      <c r="F48" s="120" t="str">
        <f aca="false">IF(AND(LEFT(Checks!$AH$687,10)="N/A – RULE",TRIM(Checks!$S$687&amp;Checks!$Z$687)=""),"","Type: "&amp;IF(TRIM(Checks!$S$687)="","______________ (see cover list)",Checks!$S$687)&amp;CHAR(10)&amp;"ID: "&amp;IF(TRIM(Checks!$Z$687)="","______________ (record's own no.)",Checks!$Z$687))&amp;IF(Checks!$AA$687="","",CHAR(10)&amp;"CA: "&amp;Checks!$AA$687)</f>
        <v>Type: ______________ (see cover list)
ID: ______________ (record's own no.)</v>
      </c>
      <c r="G48" s="120" t="str">
        <f aca="false">IF(AND(LEFT(Checks!$AH$687,10)="N/A – RULE",NOT(ISNUMBER(Checks!$AD$687)),Checks!$AE$687="",Checks!$T$687=""),"","Done: "&amp;IF(ISNUMBER(Checks!$AD$687),TEXT(Checks!$AD$687,"DD-MMM-YY HH:MM"),"____________")&amp;" "&amp;Checks!$P$687&amp;CHAR(10)&amp;"Verifier: "&amp;IF(Checks!$AE$687="","____________",Checks!$AE$687)&amp;CHAR(10)&amp;"PIC: "&amp;IF(Checks!$T$687="","____________",Checks!$T$687))</f>
        <v>Done: ____________ KUL
Verifier: ____________
PIC: ____________</v>
      </c>
      <c r="H48" s="121" t="str">
        <f aca="false">IF(Checks!$AH$687="","",Checks!$AH$687)</f>
        <v>OPEN</v>
      </c>
    </row>
    <row r="49" customFormat="false" ht="147" hidden="false" customHeight="true" outlineLevel="0" collapsed="false">
      <c r="A49" s="120" t="str">
        <f aca="false">Checks!$A$688&amp;CHAR(10)&amp;IF(Checks!$I$688="","",Checks!$I$688&amp;": ")&amp;Checks!$J$688</f>
        <v>F21-T12-13
F&amp;B Linen: Linen bag - prepared</v>
      </c>
      <c r="B49" s="120" t="str">
        <f aca="false">SUBSTITUTE(Checks!$K$688&amp;IF(Checks!$O$688="","",IF(Checks!$K$688="","",CHAR(10))&amp;"Note: "&amp;Checks!$O$688)," (Flights AY)","")</f>
        <v>Available (ticked in reference)
Note: Reference gives no uplift stn for this item: preparation checked at the meal uplift stn (KUL) - confirm with caterer. Round-trip catered from KUL: due capped at the KUL loading deadline.</v>
      </c>
      <c r="C49" s="120" t="str">
        <f aca="false">Checks!$N$688&amp;CHAR(10)&amp;IF(ISNUMBER(Checks!$R$688),TEXT(Checks!$R$688,"DD-MMM-YY HH:MM"),"")&amp;" "&amp;Checks!$P$688</f>
        <v>Required
29-Oct-26 12:30 KUL</v>
      </c>
      <c r="D49" s="120" t="str">
        <f aca="false">IF(TRIM(Checks!$U$688)&lt;&gt;"",Checks!$U$688&amp;IF(Checks!$AB$688="","",CHAR(10)&amp;"CA: "&amp;Checks!$AB$688),IF(LEFT(Checks!$AH$688,10)="N/A – RULE","","[ ] Pass"&amp;CHAR(10)&amp;"[ ] Pass after CA"&amp;CHAR(10)&amp;"[ ] Fail"&amp;IF(Checks!$AT$688=1,CHAR(10)&amp;"[ ] N/A","")&amp;CHAR(10)&amp;"CA: Open / Closed"))</f>
        <v>[ ] Pass
[ ] Pass after CA
[ ] Fail
CA: Open / Closed</v>
      </c>
      <c r="E49" s="120" t="str">
        <f aca="false">IF(Checks!$V$688="","",Checks!$V$688)&amp;IF(Checks!$AC$688="","",IF(Checks!$V$688="","",CHAR(10))&amp;"N/A just.: "&amp;Checks!$AC$688)&amp;IF(OR(Checks!$W$688&lt;&gt;"",AND(Checks!$AQ$688=1,NOT(LEFT(Checks!$AH$688,10)="N/A – RULE"))),CHAR(10)&amp;"Batch: "&amp;IF(Checks!$W$688="","____________",Checks!$W$688),"")&amp;IF(OR(Checks!$X$688&lt;&gt;"",Checks!$Y$688&lt;&gt;"",AND(Checks!$AR$688=1,NOT(LEFT(Checks!$AH$688,10)="N/A – RULE"))),CHAR(10)&amp;"Exp: "&amp;IF(Checks!$X$688="","______",Checks!$X$688)&amp;"  /  Act: "&amp;IF(Checks!$Y$688="","______",Checks!$Y$688),"")</f>
        <v/>
      </c>
      <c r="F49" s="120" t="str">
        <f aca="false">IF(AND(LEFT(Checks!$AH$688,10)="N/A – RULE",TRIM(Checks!$S$688&amp;Checks!$Z$688)=""),"","Type: "&amp;IF(TRIM(Checks!$S$688)="","______________ (see cover list)",Checks!$S$688)&amp;CHAR(10)&amp;"ID: "&amp;IF(TRIM(Checks!$Z$688)="","______________ (record's own no.)",Checks!$Z$688))&amp;IF(Checks!$AA$688="","",CHAR(10)&amp;"CA: "&amp;Checks!$AA$688)</f>
        <v>Type: ______________ (see cover list)
ID: ______________ (record's own no.)</v>
      </c>
      <c r="G49" s="120" t="str">
        <f aca="false">IF(AND(LEFT(Checks!$AH$688,10)="N/A – RULE",NOT(ISNUMBER(Checks!$AD$688)),Checks!$AE$688="",Checks!$T$688=""),"","Done: "&amp;IF(ISNUMBER(Checks!$AD$688),TEXT(Checks!$AD$688,"DD-MMM-YY HH:MM"),"____________")&amp;" "&amp;Checks!$P$688&amp;CHAR(10)&amp;"Verifier: "&amp;IF(Checks!$AE$688="","____________",Checks!$AE$688)&amp;CHAR(10)&amp;"PIC: "&amp;IF(Checks!$T$688="","____________",Checks!$T$688))</f>
        <v>Done: ____________ KUL
Verifier: ____________
PIC: ____________</v>
      </c>
      <c r="H49" s="121" t="str">
        <f aca="false">IF(Checks!$AH$688="","",Checks!$AH$688)</f>
        <v>OPEN</v>
      </c>
    </row>
    <row r="50" customFormat="false" ht="157.5" hidden="false" customHeight="true" outlineLevel="0" collapsed="false">
      <c r="A50" s="120" t="str">
        <f aca="false">Checks!$A$689&amp;CHAR(10)&amp;IF(Checks!$I$689="","",Checks!$I$689&amp;": ")&amp;Checks!$J$689</f>
        <v>F21-T12-14
Seat Linen: Seat pillow (BS &amp; BC) - prepared</v>
      </c>
      <c r="B50" s="120" t="str">
        <f aca="false">SUBSTITUTE(Checks!$K$689&amp;IF(Checks!$O$689="","",IF(Checks!$K$689="","",CHAR(10))&amp;"Note: "&amp;Checks!$O$689)," (Flights AY)","")</f>
        <v>Available 100% (ticked in reference)
Note: Reference gives no uplift stn for this item: preparation checked at the meal uplift stn (KUL) - confirm with caterer. Round-trip catered from KUL: due capped at the KUL loading deadline.</v>
      </c>
      <c r="C50" s="120" t="str">
        <f aca="false">Checks!$N$689&amp;CHAR(10)&amp;IF(ISNUMBER(Checks!$R$689),TEXT(Checks!$R$689,"DD-MMM-YY HH:MM"),"")&amp;" "&amp;Checks!$P$689</f>
        <v>Required
29-Oct-26 12:30 KUL</v>
      </c>
      <c r="D50" s="120" t="str">
        <f aca="false">IF(TRIM(Checks!$U$689)&lt;&gt;"",Checks!$U$689&amp;IF(Checks!$AB$689="","",CHAR(10)&amp;"CA: "&amp;Checks!$AB$689),IF(LEFT(Checks!$AH$689,10)="N/A – RULE","","[ ] Pass"&amp;CHAR(10)&amp;"[ ] Pass after CA"&amp;CHAR(10)&amp;"[ ] Fail"&amp;IF(Checks!$AT$689=1,CHAR(10)&amp;"[ ] N/A","")&amp;CHAR(10)&amp;"CA: Open / Closed"))</f>
        <v>[ ] Pass
[ ] Pass after CA
[ ] Fail
CA: Open / Closed</v>
      </c>
      <c r="E50" s="120" t="str">
        <f aca="false">IF(Checks!$V$689="","",Checks!$V$689)&amp;IF(Checks!$AC$689="","",IF(Checks!$V$689="","",CHAR(10))&amp;"N/A just.: "&amp;Checks!$AC$689)&amp;IF(OR(Checks!$W$689&lt;&gt;"",AND(Checks!$AQ$689=1,NOT(LEFT(Checks!$AH$689,10)="N/A – RULE"))),CHAR(10)&amp;"Batch: "&amp;IF(Checks!$W$689="","____________",Checks!$W$689),"")&amp;IF(OR(Checks!$X$689&lt;&gt;"",Checks!$Y$689&lt;&gt;"",AND(Checks!$AR$689=1,NOT(LEFT(Checks!$AH$689,10)="N/A – RULE"))),CHAR(10)&amp;"Exp: "&amp;IF(Checks!$X$689="","______",Checks!$X$689)&amp;"  /  Act: "&amp;IF(Checks!$Y$689="","______",Checks!$Y$689),"")</f>
        <v/>
      </c>
      <c r="F50" s="120" t="str">
        <f aca="false">IF(AND(LEFT(Checks!$AH$689,10)="N/A – RULE",TRIM(Checks!$S$689&amp;Checks!$Z$689)=""),"","Type: "&amp;IF(TRIM(Checks!$S$689)="","______________ (see cover list)",Checks!$S$689)&amp;CHAR(10)&amp;"ID: "&amp;IF(TRIM(Checks!$Z$689)="","______________ (record's own no.)",Checks!$Z$689))&amp;IF(Checks!$AA$689="","",CHAR(10)&amp;"CA: "&amp;Checks!$AA$689)</f>
        <v>Type: ______________ (see cover list)
ID: ______________ (record's own no.)</v>
      </c>
      <c r="G50" s="120" t="str">
        <f aca="false">IF(AND(LEFT(Checks!$AH$689,10)="N/A – RULE",NOT(ISNUMBER(Checks!$AD$689)),Checks!$AE$689="",Checks!$T$689=""),"","Done: "&amp;IF(ISNUMBER(Checks!$AD$689),TEXT(Checks!$AD$689,"DD-MMM-YY HH:MM"),"____________")&amp;" "&amp;Checks!$P$689&amp;CHAR(10)&amp;"Verifier: "&amp;IF(Checks!$AE$689="","____________",Checks!$AE$689)&amp;CHAR(10)&amp;"PIC: "&amp;IF(Checks!$T$689="","____________",Checks!$T$689))</f>
        <v>Done: ____________ KUL
Verifier: ____________
PIC: ____________</v>
      </c>
      <c r="H50" s="121" t="str">
        <f aca="false">IF(Checks!$AH$689="","",Checks!$AH$689)</f>
        <v>OPEN</v>
      </c>
    </row>
    <row r="51" customFormat="false" ht="157.5" hidden="false" customHeight="true" outlineLevel="0" collapsed="false">
      <c r="A51" s="120" t="str">
        <f aca="false">Checks!$A$690&amp;CHAR(10)&amp;IF(Checks!$I$690="","",Checks!$I$690&amp;": ")&amp;Checks!$J$690</f>
        <v>F21-T12-15
Seat Linen: Blanket (BS &amp; BC) - prepared</v>
      </c>
      <c r="B51" s="120" t="str">
        <f aca="false">SUBSTITUTE(Checks!$K$690&amp;IF(Checks!$O$690="","",IF(Checks!$K$690="","",CHAR(10))&amp;"Note: "&amp;Checks!$O$690)," (Flights AY)","")</f>
        <v>Available 100% (ticked in reference)
Note: Reference gives no uplift stn for this item: preparation checked at the meal uplift stn (KUL) - confirm with caterer. Round-trip catered from KUL: due capped at the KUL loading deadline.</v>
      </c>
      <c r="C51" s="120" t="str">
        <f aca="false">Checks!$N$690&amp;CHAR(10)&amp;IF(ISNUMBER(Checks!$R$690),TEXT(Checks!$R$690,"DD-MMM-YY HH:MM"),"")&amp;" "&amp;Checks!$P$690</f>
        <v>Required
29-Oct-26 12:30 KUL</v>
      </c>
      <c r="D51" s="120" t="str">
        <f aca="false">IF(TRIM(Checks!$U$690)&lt;&gt;"",Checks!$U$690&amp;IF(Checks!$AB$690="","",CHAR(10)&amp;"CA: "&amp;Checks!$AB$690),IF(LEFT(Checks!$AH$690,10)="N/A – RULE","","[ ] Pass"&amp;CHAR(10)&amp;"[ ] Pass after CA"&amp;CHAR(10)&amp;"[ ] Fail"&amp;IF(Checks!$AT$690=1,CHAR(10)&amp;"[ ] N/A","")&amp;CHAR(10)&amp;"CA: Open / Closed"))</f>
        <v>[ ] Pass
[ ] Pass after CA
[ ] Fail
CA: Open / Closed</v>
      </c>
      <c r="E51" s="120" t="str">
        <f aca="false">IF(Checks!$V$690="","",Checks!$V$690)&amp;IF(Checks!$AC$690="","",IF(Checks!$V$690="","",CHAR(10))&amp;"N/A just.: "&amp;Checks!$AC$690)&amp;IF(OR(Checks!$W$690&lt;&gt;"",AND(Checks!$AQ$690=1,NOT(LEFT(Checks!$AH$690,10)="N/A – RULE"))),CHAR(10)&amp;"Batch: "&amp;IF(Checks!$W$690="","____________",Checks!$W$690),"")&amp;IF(OR(Checks!$X$690&lt;&gt;"",Checks!$Y$690&lt;&gt;"",AND(Checks!$AR$690=1,NOT(LEFT(Checks!$AH$690,10)="N/A – RULE"))),CHAR(10)&amp;"Exp: "&amp;IF(Checks!$X$690="","______",Checks!$X$690)&amp;"  /  Act: "&amp;IF(Checks!$Y$690="","______",Checks!$Y$690),"")</f>
        <v/>
      </c>
      <c r="F51" s="120" t="str">
        <f aca="false">IF(AND(LEFT(Checks!$AH$690,10)="N/A – RULE",TRIM(Checks!$S$690&amp;Checks!$Z$690)=""),"","Type: "&amp;IF(TRIM(Checks!$S$690)="","______________ (see cover list)",Checks!$S$690)&amp;CHAR(10)&amp;"ID: "&amp;IF(TRIM(Checks!$Z$690)="","______________ (record's own no.)",Checks!$Z$690))&amp;IF(Checks!$AA$690="","",CHAR(10)&amp;"CA: "&amp;Checks!$AA$690)</f>
        <v>Type: ______________ (see cover list)
ID: ______________ (record's own no.)</v>
      </c>
      <c r="G51" s="120" t="str">
        <f aca="false">IF(AND(LEFT(Checks!$AH$690,10)="N/A – RULE",NOT(ISNUMBER(Checks!$AD$690)),Checks!$AE$690="",Checks!$T$690=""),"","Done: "&amp;IF(ISNUMBER(Checks!$AD$690),TEXT(Checks!$AD$690,"DD-MMM-YY HH:MM"),"____________")&amp;" "&amp;Checks!$P$690&amp;CHAR(10)&amp;"Verifier: "&amp;IF(Checks!$AE$690="","____________",Checks!$AE$690)&amp;CHAR(10)&amp;"PIC: "&amp;IF(Checks!$T$690="","____________",Checks!$T$690))</f>
        <v>Done: ____________ KUL
Verifier: ____________
PIC: ____________</v>
      </c>
      <c r="H51" s="121" t="str">
        <f aca="false">IF(Checks!$AH$690="","",Checks!$AH$690)</f>
        <v>OPEN</v>
      </c>
    </row>
    <row r="52" customFormat="false" ht="25.5" hidden="false" customHeight="true" outlineLevel="0" collapsed="false">
      <c r="A52" s="119" t="str">
        <f aca="false">"UPLIFT — Physical uplift – on-board confirmation before departure  |  Due "&amp;"STD "&amp;IF(ISNUMBER(Flights!$I$25),TEXT(Flights!$I$25,"DD-MMM-YY HH:MM"),"")&amp;" "&amp;Flights!$G$25&amp;" (departure stn)"&amp;" (rows with another due show their own)  |  Complete "&amp;IF(ISNUMBER(Flights!$AM$25),TEXT(Flights!$AM$25,"0%"),Flights!$AM$25)&amp;"  |  11 lines"</f>
        <v>UPLIFT — Physical uplift – on-board confirmation before departure  |  Due STD 30-Oct-26 14:45 LGK (departure stn) (rows with another due show their own)  |  Complete 0%  |  11 lines</v>
      </c>
      <c r="B52" s="119"/>
      <c r="C52" s="119"/>
      <c r="D52" s="119"/>
      <c r="E52" s="119"/>
      <c r="F52" s="119"/>
      <c r="G52" s="119"/>
      <c r="H52" s="119"/>
    </row>
    <row r="53" customFormat="false" ht="114" hidden="false" customHeight="true" outlineLevel="0" collapsed="false">
      <c r="A53" s="120" t="str">
        <f aca="false">Checks!$A$691&amp;CHAR(10)&amp;IF(Checks!$I$691="","",Checks!$I$691&amp;": ")&amp;Checks!$J$691</f>
        <v>F21-UPL-01
Meal: Meals physically uplifted on board - quantity vs menu checklist</v>
      </c>
      <c r="B53" s="120" t="str">
        <f aca="false">Checks!$K$691&amp;IF(Checks!$O$691="","",IF(Checks!$K$691="","",CHAR(10))&amp;"Note: "&amp;Checks!$O$691)</f>
        <v>Enter expected &amp; actual
Note: Confirm on board before departure; completion time must fall inside the uplift window.</v>
      </c>
      <c r="C53" s="120" t="str">
        <f aca="false">Checks!$N$691&amp;CHAR(10)&amp;IF(ISNUMBER(Checks!$R$691),TEXT(Checks!$R$691,"DD-MMM-YY HH:MM"),"")&amp;" "&amp;Checks!$P$691</f>
        <v>Required
30-Oct-26 14:45 LGK</v>
      </c>
      <c r="D53" s="120" t="str">
        <f aca="false">IF(TRIM(Checks!$U$691)&lt;&gt;"",Checks!$U$691&amp;IF(Checks!$AB$691="","",CHAR(10)&amp;"CA: "&amp;Checks!$AB$691),IF(LEFT(Checks!$AH$691,10)="N/A – RULE","","[ ] Pass"&amp;CHAR(10)&amp;"[ ] Pass after CA"&amp;CHAR(10)&amp;"[ ] Fail"&amp;IF(Checks!$AT$691=1,CHAR(10)&amp;"[ ] N/A","")&amp;CHAR(10)&amp;"CA: Open / Closed"))</f>
        <v>[ ] Pass
[ ] Pass after CA
[ ] Fail
CA: Open / Closed</v>
      </c>
      <c r="E53" s="120" t="str">
        <f aca="false">IF(Checks!$V$691="","",Checks!$V$691)&amp;IF(Checks!$AC$691="","",IF(Checks!$V$691="","",CHAR(10))&amp;"N/A just.: "&amp;Checks!$AC$691)&amp;IF(OR(Checks!$W$691&lt;&gt;"",AND(Checks!$AQ$691=1,NOT(LEFT(Checks!$AH$691,10)="N/A – RULE"))),CHAR(10)&amp;"Batch: "&amp;IF(Checks!$W$691="","____________",Checks!$W$691),"")&amp;IF(OR(Checks!$X$691&lt;&gt;"",Checks!$Y$691&lt;&gt;"",AND(Checks!$AR$691=1,NOT(LEFT(Checks!$AH$691,10)="N/A – RULE"))),CHAR(10)&amp;"Exp: "&amp;IF(Checks!$X$691="","______",Checks!$X$691)&amp;"  /  Act: "&amp;IF(Checks!$Y$691="","______",Checks!$Y$691),"")</f>
        <v>
Exp: ______  /  Act: ______</v>
      </c>
      <c r="F53" s="120" t="str">
        <f aca="false">IF(AND(LEFT(Checks!$AH$691,10)="N/A – RULE",TRIM(Checks!$S$691&amp;Checks!$Z$691)=""),"","Type: "&amp;IF(TRIM(Checks!$S$691)="","______________ (see cover list)",Checks!$S$691)&amp;CHAR(10)&amp;"ID: "&amp;IF(TRIM(Checks!$Z$691)="","______________ (record's own no.)",Checks!$Z$691))&amp;IF(Checks!$AA$691="","",CHAR(10)&amp;"CA: "&amp;Checks!$AA$691)</f>
        <v>Type: ______________ (see cover list)
ID: ______________ (record's own no.)</v>
      </c>
      <c r="G53" s="120" t="str">
        <f aca="false">IF(AND(LEFT(Checks!$AH$691,10)="N/A – RULE",NOT(ISNUMBER(Checks!$AD$691)),Checks!$AE$691="",Checks!$T$691=""),"","Done: "&amp;IF(ISNUMBER(Checks!$AD$691),TEXT(Checks!$AD$691,"DD-MMM-YY HH:MM"),"____________")&amp;" "&amp;Checks!$P$691&amp;CHAR(10)&amp;"Verifier: "&amp;IF(Checks!$AE$691="","____________",Checks!$AE$691)&amp;CHAR(10)&amp;"PIC: "&amp;IF(Checks!$T$691="","____________",Checks!$T$691))</f>
        <v>Done: ____________ LGK
Verifier: ____________
PIC: ____________</v>
      </c>
      <c r="H53" s="121" t="str">
        <f aca="false">IF(Checks!$AH$691="","",Checks!$AH$691)</f>
        <v>OPEN</v>
      </c>
    </row>
    <row r="54" customFormat="false" ht="114" hidden="false" customHeight="true" outlineLevel="0" collapsed="false">
      <c r="A54" s="120" t="str">
        <f aca="false">Checks!$A$692&amp;CHAR(10)&amp;IF(Checks!$I$692="","",Checks!$I$692&amp;": ")&amp;Checks!$J$692</f>
        <v>F21-UPL-02
Equipment: Equipment physically loaded at GLD positions - quantity &amp; positions</v>
      </c>
      <c r="B54" s="120" t="str">
        <f aca="false">Checks!$K$692&amp;IF(Checks!$O$692="","",IF(Checks!$K$692="","",CHAR(10))&amp;"Note: "&amp;Checks!$O$692)</f>
        <v>Enter expected &amp; actual
Note: Confirm on board before departure; completion time must fall inside the uplift window.</v>
      </c>
      <c r="C54" s="120" t="str">
        <f aca="false">Checks!$N$692&amp;CHAR(10)&amp;IF(ISNUMBER(Checks!$R$692),TEXT(Checks!$R$692,"DD-MMM-YY HH:MM"),"")&amp;" "&amp;Checks!$P$692</f>
        <v>Required
30-Oct-26 14:45 LGK</v>
      </c>
      <c r="D54" s="120" t="str">
        <f aca="false">IF(TRIM(Checks!$U$692)&lt;&gt;"",Checks!$U$692&amp;IF(Checks!$AB$692="","",CHAR(10)&amp;"CA: "&amp;Checks!$AB$692),IF(LEFT(Checks!$AH$692,10)="N/A – RULE","","[ ] Pass"&amp;CHAR(10)&amp;"[ ] Pass after CA"&amp;CHAR(10)&amp;"[ ] Fail"&amp;IF(Checks!$AT$692=1,CHAR(10)&amp;"[ ] N/A","")&amp;CHAR(10)&amp;"CA: Open / Closed"))</f>
        <v>[ ] Pass
[ ] Pass after CA
[ ] Fail
CA: Open / Closed</v>
      </c>
      <c r="E54" s="120" t="str">
        <f aca="false">IF(Checks!$V$692="","",Checks!$V$692)&amp;IF(Checks!$AC$692="","",IF(Checks!$V$692="","",CHAR(10))&amp;"N/A just.: "&amp;Checks!$AC$692)&amp;IF(OR(Checks!$W$692&lt;&gt;"",AND(Checks!$AQ$692=1,NOT(LEFT(Checks!$AH$692,10)="N/A – RULE"))),CHAR(10)&amp;"Batch: "&amp;IF(Checks!$W$692="","____________",Checks!$W$692),"")&amp;IF(OR(Checks!$X$692&lt;&gt;"",Checks!$Y$692&lt;&gt;"",AND(Checks!$AR$692=1,NOT(LEFT(Checks!$AH$692,10)="N/A – RULE"))),CHAR(10)&amp;"Exp: "&amp;IF(Checks!$X$692="","______",Checks!$X$692)&amp;"  /  Act: "&amp;IF(Checks!$Y$692="","______",Checks!$Y$692),"")</f>
        <v>
Exp: ______  /  Act: ______</v>
      </c>
      <c r="F54" s="120" t="str">
        <f aca="false">IF(AND(LEFT(Checks!$AH$692,10)="N/A – RULE",TRIM(Checks!$S$692&amp;Checks!$Z$692)=""),"","Type: "&amp;IF(TRIM(Checks!$S$692)="","______________ (see cover list)",Checks!$S$692)&amp;CHAR(10)&amp;"ID: "&amp;IF(TRIM(Checks!$Z$692)="","______________ (record's own no.)",Checks!$Z$692))&amp;IF(Checks!$AA$692="","",CHAR(10)&amp;"CA: "&amp;Checks!$AA$692)</f>
        <v>Type: ______________ (see cover list)
ID: ______________ (record's own no.)</v>
      </c>
      <c r="G54" s="120" t="str">
        <f aca="false">IF(AND(LEFT(Checks!$AH$692,10)="N/A – RULE",NOT(ISNUMBER(Checks!$AD$692)),Checks!$AE$692="",Checks!$T$692=""),"","Done: "&amp;IF(ISNUMBER(Checks!$AD$692),TEXT(Checks!$AD$692,"DD-MMM-YY HH:MM"),"____________")&amp;" "&amp;Checks!$P$692&amp;CHAR(10)&amp;"Verifier: "&amp;IF(Checks!$AE$692="","____________",Checks!$AE$692)&amp;CHAR(10)&amp;"PIC: "&amp;IF(Checks!$T$692="","____________",Checks!$T$692))</f>
        <v>Done: ____________ LGK
Verifier: ____________
PIC: ____________</v>
      </c>
      <c r="H54" s="121" t="str">
        <f aca="false">IF(Checks!$AH$692="","",Checks!$AH$692)</f>
        <v>OPEN</v>
      </c>
    </row>
    <row r="55" customFormat="false" ht="279" hidden="false" customHeight="true" outlineLevel="0" collapsed="false">
      <c r="A55" s="120" t="str">
        <f aca="false">Checks!$A$693&amp;CHAR(10)&amp;IF(Checks!$I$693="","",Checks!$I$693&amp;": ")&amp;Checks!$J$693</f>
        <v>F21-UPL-03
Uplift plan: Return catering for MH1437 physically loaded at KUL on the carrying flight (meals, equipment and all items below)</v>
      </c>
      <c r="B55" s="120" t="str">
        <f aca="false">SUBSTITUTE(Checks!$K$693&amp;IF(Checks!$O$693="","",IF(Checks!$K$693="","",CHAR(10))&amp;"Note: "&amp;Checks!$O$693)," (Flights AX)","")</f>
        <v>Items: meals / refreshment, equipment, Disposable slippers in DAM cart (BC, on request), Towel, Tray cloth, Napkin, Trolley cloth, Linen bag, Seat pillow (BS &amp; BC), Blanket (BS &amp; BC). Quantities as per menu checklist, GLD and Requirements
Note: Loading happens at KUL, so it is confirmed at KUL inside the uplift window before the carrying flight's KUL departure. The on-board lines below are then re-checked at the departure station.</v>
      </c>
      <c r="C55" s="120" t="str">
        <f aca="false">Checks!$N$693&amp;CHAR(10)&amp;IF(ISNUMBER(Checks!$R$693),TEXT(Checks!$R$693,"DD-MMM-YY HH:MM"),"")&amp;" "&amp;Checks!$P$693</f>
        <v>Required
29-Oct-26 18:30 KUL</v>
      </c>
      <c r="D55" s="120" t="str">
        <f aca="false">IF(TRIM(Checks!$U$693)&lt;&gt;"",Checks!$U$693&amp;IF(Checks!$AB$693="","",CHAR(10)&amp;"CA: "&amp;Checks!$AB$693),IF(LEFT(Checks!$AH$693,10)="N/A – RULE","","[ ] Pass"&amp;CHAR(10)&amp;"[ ] Pass after CA"&amp;CHAR(10)&amp;"[ ] Fail"&amp;IF(Checks!$AT$693=1,CHAR(10)&amp;"[ ] N/A","")&amp;CHAR(10)&amp;"CA: Open / Closed"))</f>
        <v>[ ] Pass
[ ] Pass after CA
[ ] Fail
CA: Open / Closed</v>
      </c>
      <c r="E55" s="120" t="str">
        <f aca="false">IF(Checks!$V$693="","",Checks!$V$693)&amp;IF(Checks!$AC$693="","",IF(Checks!$V$693="","",CHAR(10))&amp;"N/A just.: "&amp;Checks!$AC$693)&amp;IF(OR(Checks!$W$693&lt;&gt;"",AND(Checks!$AQ$693=1,NOT(LEFT(Checks!$AH$693,10)="N/A – RULE"))),CHAR(10)&amp;"Batch: "&amp;IF(Checks!$W$693="","____________",Checks!$W$693),"")&amp;IF(OR(Checks!$X$693&lt;&gt;"",Checks!$Y$693&lt;&gt;"",AND(Checks!$AR$693=1,NOT(LEFT(Checks!$AH$693,10)="N/A – RULE"))),CHAR(10)&amp;"Exp: "&amp;IF(Checks!$X$693="","______",Checks!$X$693)&amp;"  /  Act: "&amp;IF(Checks!$Y$693="","______",Checks!$Y$693),"")</f>
        <v/>
      </c>
      <c r="F55" s="120" t="str">
        <f aca="false">IF(AND(LEFT(Checks!$AH$693,10)="N/A – RULE",TRIM(Checks!$S$693&amp;Checks!$Z$693)=""),"","Type: "&amp;IF(TRIM(Checks!$S$693)="","______________ (see cover list)",Checks!$S$693)&amp;CHAR(10)&amp;"ID: "&amp;IF(TRIM(Checks!$Z$693)="","______________ (record's own no.)",Checks!$Z$693))&amp;IF(Checks!$AA$693="","",CHAR(10)&amp;"CA: "&amp;Checks!$AA$693)</f>
        <v>Type: ______________ (see cover list)
ID: ______________ (record's own no.)</v>
      </c>
      <c r="G55" s="120" t="str">
        <f aca="false">IF(AND(LEFT(Checks!$AH$693,10)="N/A – RULE",NOT(ISNUMBER(Checks!$AD$693)),Checks!$AE$693="",Checks!$T$693=""),"","Done: "&amp;IF(ISNUMBER(Checks!$AD$693),TEXT(Checks!$AD$693,"DD-MMM-YY HH:MM"),"____________")&amp;" "&amp;Checks!$P$693&amp;CHAR(10)&amp;"Verifier: "&amp;IF(Checks!$AE$693="","____________",Checks!$AE$693)&amp;CHAR(10)&amp;"PIC: "&amp;IF(Checks!$T$693="","____________",Checks!$T$693))</f>
        <v>Done: ____________ KUL
Verifier: ____________
PIC: ____________</v>
      </c>
      <c r="H55" s="121" t="str">
        <f aca="false">IF(Checks!$AH$693="","",Checks!$AH$693)</f>
        <v>OPEN</v>
      </c>
    </row>
    <row r="56" customFormat="false" ht="114" hidden="false" customHeight="true" outlineLevel="0" collapsed="false">
      <c r="A56" s="120" t="str">
        <f aca="false">Checks!$A$694&amp;CHAR(10)&amp;IF(Checks!$I$694="","",Checks!$I$694&amp;": ")&amp;Checks!$J$694</f>
        <v>F21-UPL-04
Amenities: Disposable slippers in DAM cart (BC, on request) - on board</v>
      </c>
      <c r="B56" s="120" t="str">
        <f aca="false">SUBSTITUTE(Checks!$K$694&amp;IF(Checks!$O$694="","",IF(Checks!$K$694="","",CHAR(10))&amp;"Note: "&amp;Checks!$O$694),"note C83: ","reference note: ")</f>
        <v>Available in DAM cart on request basis
Note: Sector has no BC slippers; reference note: disposable slipper available in DAM cart (on request basis).</v>
      </c>
      <c r="C56" s="120" t="str">
        <f aca="false">Checks!$N$694&amp;CHAR(10)&amp;IF(ISNUMBER(Checks!$R$694),TEXT(Checks!$R$694,"DD-MMM-YY HH:MM"),"")&amp;" "&amp;Checks!$P$694</f>
        <v>Required
30-Oct-26 14:45 LGK</v>
      </c>
      <c r="D56" s="120" t="str">
        <f aca="false">IF(TRIM(Checks!$U$694)&lt;&gt;"",Checks!$U$694&amp;IF(Checks!$AB$694="","",CHAR(10)&amp;"CA: "&amp;Checks!$AB$694),IF(LEFT(Checks!$AH$694,10)="N/A – RULE","","[ ] Pass"&amp;CHAR(10)&amp;"[ ] Pass after CA"&amp;CHAR(10)&amp;"[ ] Fail"&amp;IF(Checks!$AT$694=1,CHAR(10)&amp;"[ ] N/A","")&amp;CHAR(10)&amp;"CA: Open / Closed"))</f>
        <v>[ ] Pass
[ ] Pass after CA
[ ] Fail
CA: Open / Closed</v>
      </c>
      <c r="E56" s="120" t="str">
        <f aca="false">IF(Checks!$V$694="","",Checks!$V$694)&amp;IF(Checks!$AC$694="","",IF(Checks!$V$694="","",CHAR(10))&amp;"N/A just.: "&amp;Checks!$AC$694)&amp;IF(OR(Checks!$W$694&lt;&gt;"",AND(Checks!$AQ$694=1,NOT(LEFT(Checks!$AH$694,10)="N/A – RULE"))),CHAR(10)&amp;"Batch: "&amp;IF(Checks!$W$694="","____________",Checks!$W$694),"")&amp;IF(OR(Checks!$X$694&lt;&gt;"",Checks!$Y$694&lt;&gt;"",AND(Checks!$AR$694=1,NOT(LEFT(Checks!$AH$694,10)="N/A – RULE"))),CHAR(10)&amp;"Exp: "&amp;IF(Checks!$X$694="","______",Checks!$X$694)&amp;"  /  Act: "&amp;IF(Checks!$Y$694="","______",Checks!$Y$694),"")</f>
        <v/>
      </c>
      <c r="F56" s="120" t="str">
        <f aca="false">IF(AND(LEFT(Checks!$AH$694,10)="N/A – RULE",TRIM(Checks!$S$694&amp;Checks!$Z$694)=""),"","Type: "&amp;IF(TRIM(Checks!$S$694)="","______________ (see cover list)",Checks!$S$694)&amp;CHAR(10)&amp;"ID: "&amp;IF(TRIM(Checks!$Z$694)="","______________ (record's own no.)",Checks!$Z$694))&amp;IF(Checks!$AA$694="","",CHAR(10)&amp;"CA: "&amp;Checks!$AA$694)</f>
        <v>Type: ______________ (see cover list)
ID: ______________ (record's own no.)</v>
      </c>
      <c r="G56" s="120" t="str">
        <f aca="false">IF(AND(LEFT(Checks!$AH$694,10)="N/A – RULE",NOT(ISNUMBER(Checks!$AD$694)),Checks!$AE$694="",Checks!$T$694=""),"","Done: "&amp;IF(ISNUMBER(Checks!$AD$694),TEXT(Checks!$AD$694,"DD-MMM-YY HH:MM"),"____________")&amp;" "&amp;Checks!$P$694&amp;CHAR(10)&amp;"Verifier: "&amp;IF(Checks!$AE$694="","____________",Checks!$AE$694)&amp;CHAR(10)&amp;"PIC: "&amp;IF(Checks!$T$694="","____________",Checks!$T$694))</f>
        <v>Done: ____________ LGK
Verifier: ____________
PIC: ____________</v>
      </c>
      <c r="H56" s="121" t="str">
        <f aca="false">IF(Checks!$AH$694="","",Checks!$AH$694)</f>
        <v>OPEN</v>
      </c>
    </row>
    <row r="57" customFormat="false" ht="114" hidden="false" customHeight="true" outlineLevel="0" collapsed="false">
      <c r="A57" s="120" t="str">
        <f aca="false">Checks!$A$695&amp;CHAR(10)&amp;IF(Checks!$I$695="","",Checks!$I$695&amp;": ")&amp;Checks!$J$695</f>
        <v>F21-UPL-05
F&amp;B Linen: Towel - on board</v>
      </c>
      <c r="B57" s="120" t="str">
        <f aca="false">Checks!$K$695&amp;IF(Checks!$O$695="","",IF(Checks!$K$695="","",CHAR(10))&amp;"Note: "&amp;Checks!$O$695)</f>
        <v>Available (ticked in reference)</v>
      </c>
      <c r="C57" s="120" t="str">
        <f aca="false">Checks!$N$695&amp;CHAR(10)&amp;IF(ISNUMBER(Checks!$R$695),TEXT(Checks!$R$695,"DD-MMM-YY HH:MM"),"")&amp;" "&amp;Checks!$P$695</f>
        <v>Required
30-Oct-26 14:45 LGK</v>
      </c>
      <c r="D57" s="120" t="str">
        <f aca="false">IF(TRIM(Checks!$U$695)&lt;&gt;"",Checks!$U$695&amp;IF(Checks!$AB$695="","",CHAR(10)&amp;"CA: "&amp;Checks!$AB$695),IF(LEFT(Checks!$AH$695,10)="N/A – RULE","","[ ] Pass"&amp;CHAR(10)&amp;"[ ] Pass after CA"&amp;CHAR(10)&amp;"[ ] Fail"&amp;IF(Checks!$AT$695=1,CHAR(10)&amp;"[ ] N/A","")&amp;CHAR(10)&amp;"CA: Open / Closed"))</f>
        <v>[ ] Pass
[ ] Pass after CA
[ ] Fail
CA: Open / Closed</v>
      </c>
      <c r="E57" s="120" t="str">
        <f aca="false">IF(Checks!$V$695="","",Checks!$V$695)&amp;IF(Checks!$AC$695="","",IF(Checks!$V$695="","",CHAR(10))&amp;"N/A just.: "&amp;Checks!$AC$695)&amp;IF(OR(Checks!$W$695&lt;&gt;"",AND(Checks!$AQ$695=1,NOT(LEFT(Checks!$AH$695,10)="N/A – RULE"))),CHAR(10)&amp;"Batch: "&amp;IF(Checks!$W$695="","____________",Checks!$W$695),"")&amp;IF(OR(Checks!$X$695&lt;&gt;"",Checks!$Y$695&lt;&gt;"",AND(Checks!$AR$695=1,NOT(LEFT(Checks!$AH$695,10)="N/A – RULE"))),CHAR(10)&amp;"Exp: "&amp;IF(Checks!$X$695="","______",Checks!$X$695)&amp;"  /  Act: "&amp;IF(Checks!$Y$695="","______",Checks!$Y$695),"")</f>
        <v/>
      </c>
      <c r="F57" s="120" t="str">
        <f aca="false">IF(AND(LEFT(Checks!$AH$695,10)="N/A – RULE",TRIM(Checks!$S$695&amp;Checks!$Z$695)=""),"","Type: "&amp;IF(TRIM(Checks!$S$695)="","______________ (see cover list)",Checks!$S$695)&amp;CHAR(10)&amp;"ID: "&amp;IF(TRIM(Checks!$Z$695)="","______________ (record's own no.)",Checks!$Z$695))&amp;IF(Checks!$AA$695="","",CHAR(10)&amp;"CA: "&amp;Checks!$AA$695)</f>
        <v>Type: ______________ (see cover list)
ID: ______________ (record's own no.)</v>
      </c>
      <c r="G57" s="120" t="str">
        <f aca="false">IF(AND(LEFT(Checks!$AH$695,10)="N/A – RULE",NOT(ISNUMBER(Checks!$AD$695)),Checks!$AE$695="",Checks!$T$695=""),"","Done: "&amp;IF(ISNUMBER(Checks!$AD$695),TEXT(Checks!$AD$695,"DD-MMM-YY HH:MM"),"____________")&amp;" "&amp;Checks!$P$695&amp;CHAR(10)&amp;"Verifier: "&amp;IF(Checks!$AE$695="","____________",Checks!$AE$695)&amp;CHAR(10)&amp;"PIC: "&amp;IF(Checks!$T$695="","____________",Checks!$T$695))</f>
        <v>Done: ____________ LGK
Verifier: ____________
PIC: ____________</v>
      </c>
      <c r="H57" s="121" t="str">
        <f aca="false">IF(Checks!$AH$695="","",Checks!$AH$695)</f>
        <v>OPEN</v>
      </c>
    </row>
    <row r="58" customFormat="false" ht="114" hidden="false" customHeight="true" outlineLevel="0" collapsed="false">
      <c r="A58" s="120" t="str">
        <f aca="false">Checks!$A$696&amp;CHAR(10)&amp;IF(Checks!$I$696="","",Checks!$I$696&amp;": ")&amp;Checks!$J$696</f>
        <v>F21-UPL-06
F&amp;B Linen: Tray cloth - on board</v>
      </c>
      <c r="B58" s="120" t="str">
        <f aca="false">Checks!$K$696&amp;IF(Checks!$O$696="","",IF(Checks!$K$696="","",CHAR(10))&amp;"Note: "&amp;Checks!$O$696)</f>
        <v>Available (ticked in reference)</v>
      </c>
      <c r="C58" s="120" t="str">
        <f aca="false">Checks!$N$696&amp;CHAR(10)&amp;IF(ISNUMBER(Checks!$R$696),TEXT(Checks!$R$696,"DD-MMM-YY HH:MM"),"")&amp;" "&amp;Checks!$P$696</f>
        <v>Required
30-Oct-26 14:45 LGK</v>
      </c>
      <c r="D58" s="120" t="str">
        <f aca="false">IF(TRIM(Checks!$U$696)&lt;&gt;"",Checks!$U$696&amp;IF(Checks!$AB$696="","",CHAR(10)&amp;"CA: "&amp;Checks!$AB$696),IF(LEFT(Checks!$AH$696,10)="N/A – RULE","","[ ] Pass"&amp;CHAR(10)&amp;"[ ] Pass after CA"&amp;CHAR(10)&amp;"[ ] Fail"&amp;IF(Checks!$AT$696=1,CHAR(10)&amp;"[ ] N/A","")&amp;CHAR(10)&amp;"CA: Open / Closed"))</f>
        <v>[ ] Pass
[ ] Pass after CA
[ ] Fail
CA: Open / Closed</v>
      </c>
      <c r="E58" s="120" t="str">
        <f aca="false">IF(Checks!$V$696="","",Checks!$V$696)&amp;IF(Checks!$AC$696="","",IF(Checks!$V$696="","",CHAR(10))&amp;"N/A just.: "&amp;Checks!$AC$696)&amp;IF(OR(Checks!$W$696&lt;&gt;"",AND(Checks!$AQ$696=1,NOT(LEFT(Checks!$AH$696,10)="N/A – RULE"))),CHAR(10)&amp;"Batch: "&amp;IF(Checks!$W$696="","____________",Checks!$W$696),"")&amp;IF(OR(Checks!$X$696&lt;&gt;"",Checks!$Y$696&lt;&gt;"",AND(Checks!$AR$696=1,NOT(LEFT(Checks!$AH$696,10)="N/A – RULE"))),CHAR(10)&amp;"Exp: "&amp;IF(Checks!$X$696="","______",Checks!$X$696)&amp;"  /  Act: "&amp;IF(Checks!$Y$696="","______",Checks!$Y$696),"")</f>
        <v/>
      </c>
      <c r="F58" s="120" t="str">
        <f aca="false">IF(AND(LEFT(Checks!$AH$696,10)="N/A – RULE",TRIM(Checks!$S$696&amp;Checks!$Z$696)=""),"","Type: "&amp;IF(TRIM(Checks!$S$696)="","______________ (see cover list)",Checks!$S$696)&amp;CHAR(10)&amp;"ID: "&amp;IF(TRIM(Checks!$Z$696)="","______________ (record's own no.)",Checks!$Z$696))&amp;IF(Checks!$AA$696="","",CHAR(10)&amp;"CA: "&amp;Checks!$AA$696)</f>
        <v>Type: ______________ (see cover list)
ID: ______________ (record's own no.)</v>
      </c>
      <c r="G58" s="120" t="str">
        <f aca="false">IF(AND(LEFT(Checks!$AH$696,10)="N/A – RULE",NOT(ISNUMBER(Checks!$AD$696)),Checks!$AE$696="",Checks!$T$696=""),"","Done: "&amp;IF(ISNUMBER(Checks!$AD$696),TEXT(Checks!$AD$696,"DD-MMM-YY HH:MM"),"____________")&amp;" "&amp;Checks!$P$696&amp;CHAR(10)&amp;"Verifier: "&amp;IF(Checks!$AE$696="","____________",Checks!$AE$696)&amp;CHAR(10)&amp;"PIC: "&amp;IF(Checks!$T$696="","____________",Checks!$T$696))</f>
        <v>Done: ____________ LGK
Verifier: ____________
PIC: ____________</v>
      </c>
      <c r="H58" s="121" t="str">
        <f aca="false">IF(Checks!$AH$696="","",Checks!$AH$696)</f>
        <v>OPEN</v>
      </c>
    </row>
    <row r="59" customFormat="false" ht="114" hidden="false" customHeight="true" outlineLevel="0" collapsed="false">
      <c r="A59" s="120" t="str">
        <f aca="false">Checks!$A$697&amp;CHAR(10)&amp;IF(Checks!$I$697="","",Checks!$I$697&amp;": ")&amp;Checks!$J$697</f>
        <v>F21-UPL-07
F&amp;B Linen: Napkin - on board</v>
      </c>
      <c r="B59" s="120" t="str">
        <f aca="false">Checks!$K$697&amp;IF(Checks!$O$697="","",IF(Checks!$K$697="","",CHAR(10))&amp;"Note: "&amp;Checks!$O$697)</f>
        <v>Available (ticked in reference)</v>
      </c>
      <c r="C59" s="120" t="str">
        <f aca="false">Checks!$N$697&amp;CHAR(10)&amp;IF(ISNUMBER(Checks!$R$697),TEXT(Checks!$R$697,"DD-MMM-YY HH:MM"),"")&amp;" "&amp;Checks!$P$697</f>
        <v>Required
30-Oct-26 14:45 LGK</v>
      </c>
      <c r="D59" s="120" t="str">
        <f aca="false">IF(TRIM(Checks!$U$697)&lt;&gt;"",Checks!$U$697&amp;IF(Checks!$AB$697="","",CHAR(10)&amp;"CA: "&amp;Checks!$AB$697),IF(LEFT(Checks!$AH$697,10)="N/A – RULE","","[ ] Pass"&amp;CHAR(10)&amp;"[ ] Pass after CA"&amp;CHAR(10)&amp;"[ ] Fail"&amp;IF(Checks!$AT$697=1,CHAR(10)&amp;"[ ] N/A","")&amp;CHAR(10)&amp;"CA: Open / Closed"))</f>
        <v>[ ] Pass
[ ] Pass after CA
[ ] Fail
CA: Open / Closed</v>
      </c>
      <c r="E59" s="120" t="str">
        <f aca="false">IF(Checks!$V$697="","",Checks!$V$697)&amp;IF(Checks!$AC$697="","",IF(Checks!$V$697="","",CHAR(10))&amp;"N/A just.: "&amp;Checks!$AC$697)&amp;IF(OR(Checks!$W$697&lt;&gt;"",AND(Checks!$AQ$697=1,NOT(LEFT(Checks!$AH$697,10)="N/A – RULE"))),CHAR(10)&amp;"Batch: "&amp;IF(Checks!$W$697="","____________",Checks!$W$697),"")&amp;IF(OR(Checks!$X$697&lt;&gt;"",Checks!$Y$697&lt;&gt;"",AND(Checks!$AR$697=1,NOT(LEFT(Checks!$AH$697,10)="N/A – RULE"))),CHAR(10)&amp;"Exp: "&amp;IF(Checks!$X$697="","______",Checks!$X$697)&amp;"  /  Act: "&amp;IF(Checks!$Y$697="","______",Checks!$Y$697),"")</f>
        <v/>
      </c>
      <c r="F59" s="120" t="str">
        <f aca="false">IF(AND(LEFT(Checks!$AH$697,10)="N/A – RULE",TRIM(Checks!$S$697&amp;Checks!$Z$697)=""),"","Type: "&amp;IF(TRIM(Checks!$S$697)="","______________ (see cover list)",Checks!$S$697)&amp;CHAR(10)&amp;"ID: "&amp;IF(TRIM(Checks!$Z$697)="","______________ (record's own no.)",Checks!$Z$697))&amp;IF(Checks!$AA$697="","",CHAR(10)&amp;"CA: "&amp;Checks!$AA$697)</f>
        <v>Type: ______________ (see cover list)
ID: ______________ (record's own no.)</v>
      </c>
      <c r="G59" s="120" t="str">
        <f aca="false">IF(AND(LEFT(Checks!$AH$697,10)="N/A – RULE",NOT(ISNUMBER(Checks!$AD$697)),Checks!$AE$697="",Checks!$T$697=""),"","Done: "&amp;IF(ISNUMBER(Checks!$AD$697),TEXT(Checks!$AD$697,"DD-MMM-YY HH:MM"),"____________")&amp;" "&amp;Checks!$P$697&amp;CHAR(10)&amp;"Verifier: "&amp;IF(Checks!$AE$697="","____________",Checks!$AE$697)&amp;CHAR(10)&amp;"PIC: "&amp;IF(Checks!$T$697="","____________",Checks!$T$697))</f>
        <v>Done: ____________ LGK
Verifier: ____________
PIC: ____________</v>
      </c>
      <c r="H59" s="121" t="str">
        <f aca="false">IF(Checks!$AH$697="","",Checks!$AH$697)</f>
        <v>OPEN</v>
      </c>
    </row>
    <row r="60" customFormat="false" ht="114" hidden="false" customHeight="true" outlineLevel="0" collapsed="false">
      <c r="A60" s="120" t="str">
        <f aca="false">Checks!$A$698&amp;CHAR(10)&amp;IF(Checks!$I$698="","",Checks!$I$698&amp;": ")&amp;Checks!$J$698</f>
        <v>F21-UPL-08
F&amp;B Linen: Trolley cloth - on board</v>
      </c>
      <c r="B60" s="120" t="str">
        <f aca="false">SUBSTITUTE(SUBSTITUTE(Checks!$K$698&amp;IF(Checks!$O$698="","",IF(Checks!$K$698="","",CHAR(10))&amp;"Note: "&amp;Checks!$O$698),"Per note F&amp;B LINEN!B79:C80.","Per the F&amp;B LINEN reference note."),"note F&amp;B LINEN!B79:C80","the F&amp;B LINEN reference note")</f>
        <v>Narrow body: Top only
Note: Per the F&amp;B LINEN reference note.</v>
      </c>
      <c r="C60" s="120" t="str">
        <f aca="false">Checks!$N$698&amp;CHAR(10)&amp;IF(ISNUMBER(Checks!$R$698),TEXT(Checks!$R$698,"DD-MMM-YY HH:MM"),"")&amp;" "&amp;Checks!$P$698</f>
        <v>Required
30-Oct-26 14:45 LGK</v>
      </c>
      <c r="D60" s="120" t="str">
        <f aca="false">IF(TRIM(Checks!$U$698)&lt;&gt;"",Checks!$U$698&amp;IF(Checks!$AB$698="","",CHAR(10)&amp;"CA: "&amp;Checks!$AB$698),IF(LEFT(Checks!$AH$698,10)="N/A – RULE","","[ ] Pass"&amp;CHAR(10)&amp;"[ ] Pass after CA"&amp;CHAR(10)&amp;"[ ] Fail"&amp;IF(Checks!$AT$698=1,CHAR(10)&amp;"[ ] N/A","")&amp;CHAR(10)&amp;"CA: Open / Closed"))</f>
        <v>[ ] Pass
[ ] Pass after CA
[ ] Fail
CA: Open / Closed</v>
      </c>
      <c r="E60" s="120" t="str">
        <f aca="false">IF(Checks!$V$698="","",Checks!$V$698)&amp;IF(Checks!$AC$698="","",IF(Checks!$V$698="","",CHAR(10))&amp;"N/A just.: "&amp;Checks!$AC$698)&amp;IF(OR(Checks!$W$698&lt;&gt;"",AND(Checks!$AQ$698=1,NOT(LEFT(Checks!$AH$698,10)="N/A – RULE"))),CHAR(10)&amp;"Batch: "&amp;IF(Checks!$W$698="","____________",Checks!$W$698),"")&amp;IF(OR(Checks!$X$698&lt;&gt;"",Checks!$Y$698&lt;&gt;"",AND(Checks!$AR$698=1,NOT(LEFT(Checks!$AH$698,10)="N/A – RULE"))),CHAR(10)&amp;"Exp: "&amp;IF(Checks!$X$698="","______",Checks!$X$698)&amp;"  /  Act: "&amp;IF(Checks!$Y$698="","______",Checks!$Y$698),"")</f>
        <v/>
      </c>
      <c r="F60" s="120" t="str">
        <f aca="false">IF(AND(LEFT(Checks!$AH$698,10)="N/A – RULE",TRIM(Checks!$S$698&amp;Checks!$Z$698)=""),"","Type: "&amp;IF(TRIM(Checks!$S$698)="","______________ (see cover list)",Checks!$S$698)&amp;CHAR(10)&amp;"ID: "&amp;IF(TRIM(Checks!$Z$698)="","______________ (record's own no.)",Checks!$Z$698))&amp;IF(Checks!$AA$698="","",CHAR(10)&amp;"CA: "&amp;Checks!$AA$698)</f>
        <v>Type: ______________ (see cover list)
ID: ______________ (record's own no.)</v>
      </c>
      <c r="G60" s="120" t="str">
        <f aca="false">IF(AND(LEFT(Checks!$AH$698,10)="N/A – RULE",NOT(ISNUMBER(Checks!$AD$698)),Checks!$AE$698="",Checks!$T$698=""),"","Done: "&amp;IF(ISNUMBER(Checks!$AD$698),TEXT(Checks!$AD$698,"DD-MMM-YY HH:MM"),"____________")&amp;" "&amp;Checks!$P$698&amp;CHAR(10)&amp;"Verifier: "&amp;IF(Checks!$AE$698="","____________",Checks!$AE$698)&amp;CHAR(10)&amp;"PIC: "&amp;IF(Checks!$T$698="","____________",Checks!$T$698))</f>
        <v>Done: ____________ LGK
Verifier: ____________
PIC: ____________</v>
      </c>
      <c r="H60" s="121" t="str">
        <f aca="false">IF(Checks!$AH$698="","",Checks!$AH$698)</f>
        <v>OPEN</v>
      </c>
    </row>
    <row r="61" customFormat="false" ht="114" hidden="false" customHeight="true" outlineLevel="0" collapsed="false">
      <c r="A61" s="120" t="str">
        <f aca="false">Checks!$A$699&amp;CHAR(10)&amp;IF(Checks!$I$699="","",Checks!$I$699&amp;": ")&amp;Checks!$J$699</f>
        <v>F21-UPL-09
F&amp;B Linen: Linen bag - on board</v>
      </c>
      <c r="B61" s="120" t="str">
        <f aca="false">Checks!$K$699&amp;IF(Checks!$O$699="","",IF(Checks!$K$699="","",CHAR(10))&amp;"Note: "&amp;Checks!$O$699)</f>
        <v>Available (ticked in reference)</v>
      </c>
      <c r="C61" s="120" t="str">
        <f aca="false">Checks!$N$699&amp;CHAR(10)&amp;IF(ISNUMBER(Checks!$R$699),TEXT(Checks!$R$699,"DD-MMM-YY HH:MM"),"")&amp;" "&amp;Checks!$P$699</f>
        <v>Required
30-Oct-26 14:45 LGK</v>
      </c>
      <c r="D61" s="120" t="str">
        <f aca="false">IF(TRIM(Checks!$U$699)&lt;&gt;"",Checks!$U$699&amp;IF(Checks!$AB$699="","",CHAR(10)&amp;"CA: "&amp;Checks!$AB$699),IF(LEFT(Checks!$AH$699,10)="N/A – RULE","","[ ] Pass"&amp;CHAR(10)&amp;"[ ] Pass after CA"&amp;CHAR(10)&amp;"[ ] Fail"&amp;IF(Checks!$AT$699=1,CHAR(10)&amp;"[ ] N/A","")&amp;CHAR(10)&amp;"CA: Open / Closed"))</f>
        <v>[ ] Pass
[ ] Pass after CA
[ ] Fail
CA: Open / Closed</v>
      </c>
      <c r="E61" s="120" t="str">
        <f aca="false">IF(Checks!$V$699="","",Checks!$V$699)&amp;IF(Checks!$AC$699="","",IF(Checks!$V$699="","",CHAR(10))&amp;"N/A just.: "&amp;Checks!$AC$699)&amp;IF(OR(Checks!$W$699&lt;&gt;"",AND(Checks!$AQ$699=1,NOT(LEFT(Checks!$AH$699,10)="N/A – RULE"))),CHAR(10)&amp;"Batch: "&amp;IF(Checks!$W$699="","____________",Checks!$W$699),"")&amp;IF(OR(Checks!$X$699&lt;&gt;"",Checks!$Y$699&lt;&gt;"",AND(Checks!$AR$699=1,NOT(LEFT(Checks!$AH$699,10)="N/A – RULE"))),CHAR(10)&amp;"Exp: "&amp;IF(Checks!$X$699="","______",Checks!$X$699)&amp;"  /  Act: "&amp;IF(Checks!$Y$699="","______",Checks!$Y$699),"")</f>
        <v/>
      </c>
      <c r="F61" s="120" t="str">
        <f aca="false">IF(AND(LEFT(Checks!$AH$699,10)="N/A – RULE",TRIM(Checks!$S$699&amp;Checks!$Z$699)=""),"","Type: "&amp;IF(TRIM(Checks!$S$699)="","______________ (see cover list)",Checks!$S$699)&amp;CHAR(10)&amp;"ID: "&amp;IF(TRIM(Checks!$Z$699)="","______________ (record's own no.)",Checks!$Z$699))&amp;IF(Checks!$AA$699="","",CHAR(10)&amp;"CA: "&amp;Checks!$AA$699)</f>
        <v>Type: ______________ (see cover list)
ID: ______________ (record's own no.)</v>
      </c>
      <c r="G61" s="120" t="str">
        <f aca="false">IF(AND(LEFT(Checks!$AH$699,10)="N/A – RULE",NOT(ISNUMBER(Checks!$AD$699)),Checks!$AE$699="",Checks!$T$699=""),"","Done: "&amp;IF(ISNUMBER(Checks!$AD$699),TEXT(Checks!$AD$699,"DD-MMM-YY HH:MM"),"____________")&amp;" "&amp;Checks!$P$699&amp;CHAR(10)&amp;"Verifier: "&amp;IF(Checks!$AE$699="","____________",Checks!$AE$699)&amp;CHAR(10)&amp;"PIC: "&amp;IF(Checks!$T$699="","____________",Checks!$T$699))</f>
        <v>Done: ____________ LGK
Verifier: ____________
PIC: ____________</v>
      </c>
      <c r="H61" s="121" t="str">
        <f aca="false">IF(Checks!$AH$699="","",Checks!$AH$699)</f>
        <v>OPEN</v>
      </c>
    </row>
    <row r="62" customFormat="false" ht="114" hidden="false" customHeight="true" outlineLevel="0" collapsed="false">
      <c r="A62" s="120" t="str">
        <f aca="false">Checks!$A$700&amp;CHAR(10)&amp;IF(Checks!$I$700="","",Checks!$I$700&amp;": ")&amp;Checks!$J$700</f>
        <v>F21-UPL-10
Seat Linen: Seat pillow (BS &amp; BC) - on board</v>
      </c>
      <c r="B62" s="120" t="str">
        <f aca="false">Checks!$K$700&amp;IF(Checks!$O$700="","",IF(Checks!$K$700="","",CHAR(10))&amp;"Note: "&amp;Checks!$O$700)</f>
        <v>Available 100% (ticked in reference)</v>
      </c>
      <c r="C62" s="120" t="str">
        <f aca="false">Checks!$N$700&amp;CHAR(10)&amp;IF(ISNUMBER(Checks!$R$700),TEXT(Checks!$R$700,"DD-MMM-YY HH:MM"),"")&amp;" "&amp;Checks!$P$700</f>
        <v>Required
30-Oct-26 14:45 LGK</v>
      </c>
      <c r="D62" s="120" t="str">
        <f aca="false">IF(TRIM(Checks!$U$700)&lt;&gt;"",Checks!$U$700&amp;IF(Checks!$AB$700="","",CHAR(10)&amp;"CA: "&amp;Checks!$AB$700),IF(LEFT(Checks!$AH$700,10)="N/A – RULE","","[ ] Pass"&amp;CHAR(10)&amp;"[ ] Pass after CA"&amp;CHAR(10)&amp;"[ ] Fail"&amp;IF(Checks!$AT$700=1,CHAR(10)&amp;"[ ] N/A","")&amp;CHAR(10)&amp;"CA: Open / Closed"))</f>
        <v>[ ] Pass
[ ] Pass after CA
[ ] Fail
CA: Open / Closed</v>
      </c>
      <c r="E62" s="120" t="str">
        <f aca="false">IF(Checks!$V$700="","",Checks!$V$700)&amp;IF(Checks!$AC$700="","",IF(Checks!$V$700="","",CHAR(10))&amp;"N/A just.: "&amp;Checks!$AC$700)&amp;IF(OR(Checks!$W$700&lt;&gt;"",AND(Checks!$AQ$700=1,NOT(LEFT(Checks!$AH$700,10)="N/A – RULE"))),CHAR(10)&amp;"Batch: "&amp;IF(Checks!$W$700="","____________",Checks!$W$700),"")&amp;IF(OR(Checks!$X$700&lt;&gt;"",Checks!$Y$700&lt;&gt;"",AND(Checks!$AR$700=1,NOT(LEFT(Checks!$AH$700,10)="N/A – RULE"))),CHAR(10)&amp;"Exp: "&amp;IF(Checks!$X$700="","______",Checks!$X$700)&amp;"  /  Act: "&amp;IF(Checks!$Y$700="","______",Checks!$Y$700),"")</f>
        <v/>
      </c>
      <c r="F62" s="120" t="str">
        <f aca="false">IF(AND(LEFT(Checks!$AH$700,10)="N/A – RULE",TRIM(Checks!$S$700&amp;Checks!$Z$700)=""),"","Type: "&amp;IF(TRIM(Checks!$S$700)="","______________ (see cover list)",Checks!$S$700)&amp;CHAR(10)&amp;"ID: "&amp;IF(TRIM(Checks!$Z$700)="","______________ (record's own no.)",Checks!$Z$700))&amp;IF(Checks!$AA$700="","",CHAR(10)&amp;"CA: "&amp;Checks!$AA$700)</f>
        <v>Type: ______________ (see cover list)
ID: ______________ (record's own no.)</v>
      </c>
      <c r="G62" s="120" t="str">
        <f aca="false">IF(AND(LEFT(Checks!$AH$700,10)="N/A – RULE",NOT(ISNUMBER(Checks!$AD$700)),Checks!$AE$700="",Checks!$T$700=""),"","Done: "&amp;IF(ISNUMBER(Checks!$AD$700),TEXT(Checks!$AD$700,"DD-MMM-YY HH:MM"),"____________")&amp;" "&amp;Checks!$P$700&amp;CHAR(10)&amp;"Verifier: "&amp;IF(Checks!$AE$700="","____________",Checks!$AE$700)&amp;CHAR(10)&amp;"PIC: "&amp;IF(Checks!$T$700="","____________",Checks!$T$700))</f>
        <v>Done: ____________ LGK
Verifier: ____________
PIC: ____________</v>
      </c>
      <c r="H62" s="121" t="str">
        <f aca="false">IF(Checks!$AH$700="","",Checks!$AH$700)</f>
        <v>OPEN</v>
      </c>
    </row>
    <row r="63" customFormat="false" ht="114" hidden="false" customHeight="true" outlineLevel="0" collapsed="false">
      <c r="A63" s="120" t="str">
        <f aca="false">Checks!$A$701&amp;CHAR(10)&amp;IF(Checks!$I$701="","",Checks!$I$701&amp;": ")&amp;Checks!$J$701</f>
        <v>F21-UPL-11
Seat Linen: Blanket (BS &amp; BC) - on board</v>
      </c>
      <c r="B63" s="120" t="str">
        <f aca="false">Checks!$K$701&amp;IF(Checks!$O$701="","",IF(Checks!$K$701="","",CHAR(10))&amp;"Note: "&amp;Checks!$O$701)</f>
        <v>Available 100% (ticked in reference)</v>
      </c>
      <c r="C63" s="120" t="str">
        <f aca="false">Checks!$N$701&amp;CHAR(10)&amp;IF(ISNUMBER(Checks!$R$701),TEXT(Checks!$R$701,"DD-MMM-YY HH:MM"),"")&amp;" "&amp;Checks!$P$701</f>
        <v>Required
30-Oct-26 14:45 LGK</v>
      </c>
      <c r="D63" s="120" t="str">
        <f aca="false">IF(TRIM(Checks!$U$701)&lt;&gt;"",Checks!$U$701&amp;IF(Checks!$AB$701="","",CHAR(10)&amp;"CA: "&amp;Checks!$AB$701),IF(LEFT(Checks!$AH$701,10)="N/A – RULE","","[ ] Pass"&amp;CHAR(10)&amp;"[ ] Pass after CA"&amp;CHAR(10)&amp;"[ ] Fail"&amp;IF(Checks!$AT$701=1,CHAR(10)&amp;"[ ] N/A","")&amp;CHAR(10)&amp;"CA: Open / Closed"))</f>
        <v>[ ] Pass
[ ] Pass after CA
[ ] Fail
CA: Open / Closed</v>
      </c>
      <c r="E63" s="120" t="str">
        <f aca="false">IF(Checks!$V$701="","",Checks!$V$701)&amp;IF(Checks!$AC$701="","",IF(Checks!$V$701="","",CHAR(10))&amp;"N/A just.: "&amp;Checks!$AC$701)&amp;IF(OR(Checks!$W$701&lt;&gt;"",AND(Checks!$AQ$701=1,NOT(LEFT(Checks!$AH$701,10)="N/A – RULE"))),CHAR(10)&amp;"Batch: "&amp;IF(Checks!$W$701="","____________",Checks!$W$701),"")&amp;IF(OR(Checks!$X$701&lt;&gt;"",Checks!$Y$701&lt;&gt;"",AND(Checks!$AR$701=1,NOT(LEFT(Checks!$AH$701,10)="N/A – RULE"))),CHAR(10)&amp;"Exp: "&amp;IF(Checks!$X$701="","______",Checks!$X$701)&amp;"  /  Act: "&amp;IF(Checks!$Y$701="","______",Checks!$Y$701),"")</f>
        <v/>
      </c>
      <c r="F63" s="120" t="str">
        <f aca="false">IF(AND(LEFT(Checks!$AH$701,10)="N/A – RULE",TRIM(Checks!$S$701&amp;Checks!$Z$701)=""),"","Type: "&amp;IF(TRIM(Checks!$S$701)="","______________ (see cover list)",Checks!$S$701)&amp;CHAR(10)&amp;"ID: "&amp;IF(TRIM(Checks!$Z$701)="","______________ (record's own no.)",Checks!$Z$701))&amp;IF(Checks!$AA$701="","",CHAR(10)&amp;"CA: "&amp;Checks!$AA$701)</f>
        <v>Type: ______________ (see cover list)
ID: ______________ (record's own no.)</v>
      </c>
      <c r="G63" s="120" t="str">
        <f aca="false">IF(AND(LEFT(Checks!$AH$701,10)="N/A – RULE",NOT(ISNUMBER(Checks!$AD$701)),Checks!$AE$701="",Checks!$T$701=""),"","Done: "&amp;IF(ISNUMBER(Checks!$AD$701),TEXT(Checks!$AD$701,"DD-MMM-YY HH:MM"),"____________")&amp;" "&amp;Checks!$P$701&amp;CHAR(10)&amp;"Verifier: "&amp;IF(Checks!$AE$701="","____________",Checks!$AE$701)&amp;CHAR(10)&amp;"PIC: "&amp;IF(Checks!$T$701="","____________",Checks!$T$701))</f>
        <v>Done: ____________ LGK
Verifier: ____________
PIC: ____________</v>
      </c>
      <c r="H63" s="121" t="str">
        <f aca="false">IF(Checks!$AH$701="","",Checks!$AH$701)</f>
        <v>OPEN</v>
      </c>
    </row>
    <row r="65" customFormat="false" ht="24" hidden="false" customHeight="true" outlineLevel="0" collapsed="false">
      <c r="A65" s="122" t="s">
        <v>4832</v>
      </c>
      <c r="B65" s="122"/>
      <c r="C65" s="122"/>
      <c r="D65" s="122"/>
      <c r="E65" s="122" t="s">
        <v>4833</v>
      </c>
      <c r="F65" s="122"/>
      <c r="G65" s="122"/>
      <c r="H65" s="122"/>
    </row>
    <row r="66" customFormat="false" ht="21.75" hidden="false" customHeight="true" outlineLevel="0" collapsed="false">
      <c r="A66" s="123"/>
      <c r="B66" s="123"/>
      <c r="C66" s="123"/>
      <c r="D66" s="123"/>
      <c r="E66" s="123"/>
      <c r="F66" s="123"/>
      <c r="G66" s="123"/>
      <c r="H66" s="123"/>
    </row>
    <row r="67" customFormat="false" ht="21.75" hidden="false" customHeight="true" outlineLevel="0" collapsed="false">
      <c r="A67" s="123"/>
      <c r="B67" s="123"/>
      <c r="C67" s="123"/>
      <c r="D67" s="123"/>
      <c r="E67" s="123"/>
      <c r="F67" s="123"/>
      <c r="G67" s="123"/>
      <c r="H67" s="123"/>
    </row>
    <row r="68" customFormat="false" ht="21.75" hidden="false" customHeight="true" outlineLevel="0" collapsed="false">
      <c r="A68" s="123"/>
      <c r="B68" s="123"/>
      <c r="C68" s="123"/>
      <c r="D68" s="123"/>
      <c r="E68" s="123"/>
      <c r="F68" s="123"/>
      <c r="G68" s="123"/>
      <c r="H68" s="123"/>
    </row>
    <row r="69" customFormat="false" ht="21.75" hidden="false" customHeight="true" outlineLevel="0" collapsed="false">
      <c r="A69" s="123"/>
      <c r="B69" s="123"/>
      <c r="C69" s="123"/>
      <c r="D69" s="123"/>
      <c r="E69" s="123"/>
      <c r="F69" s="123"/>
      <c r="G69" s="123"/>
      <c r="H69" s="123"/>
    </row>
    <row r="70" customFormat="false" ht="21.75" hidden="false" customHeight="true" outlineLevel="0" collapsed="false">
      <c r="A70" s="123"/>
      <c r="B70" s="123"/>
      <c r="C70" s="123"/>
      <c r="D70" s="123"/>
      <c r="E70" s="123"/>
      <c r="F70" s="123"/>
      <c r="G70" s="123"/>
      <c r="H70" s="123"/>
    </row>
    <row r="71" customFormat="false" ht="21.75" hidden="false" customHeight="true" outlineLevel="0" collapsed="false">
      <c r="A71" s="123"/>
      <c r="B71" s="123"/>
      <c r="C71" s="123"/>
      <c r="D71" s="123"/>
      <c r="E71" s="123"/>
      <c r="F71" s="123"/>
      <c r="G71" s="123"/>
      <c r="H71" s="123"/>
    </row>
    <row r="72" customFormat="false" ht="21.75" hidden="false" customHeight="true" outlineLevel="0" collapsed="false">
      <c r="A72" s="123"/>
      <c r="B72" s="123"/>
      <c r="C72" s="123"/>
      <c r="D72" s="123"/>
      <c r="E72" s="123"/>
      <c r="F72" s="123"/>
      <c r="G72" s="123"/>
      <c r="H72" s="123"/>
    </row>
    <row r="73" customFormat="false" ht="21.75" hidden="false" customHeight="true" outlineLevel="0" collapsed="false">
      <c r="A73" s="123"/>
      <c r="B73" s="123"/>
      <c r="C73" s="123"/>
      <c r="D73" s="123"/>
      <c r="E73" s="123"/>
      <c r="F73" s="123"/>
      <c r="G73" s="123"/>
      <c r="H73" s="123"/>
    </row>
    <row r="74" customFormat="false" ht="21.75" hidden="false" customHeight="true" outlineLevel="0" collapsed="false">
      <c r="A74" s="123"/>
      <c r="B74" s="123"/>
      <c r="C74" s="123"/>
      <c r="D74" s="123"/>
      <c r="E74" s="123"/>
      <c r="F74" s="123"/>
      <c r="G74" s="123"/>
      <c r="H74" s="123"/>
    </row>
    <row r="75" customFormat="false" ht="21.75" hidden="false" customHeight="true" outlineLevel="0" collapsed="false">
      <c r="A75" s="123"/>
      <c r="B75" s="123"/>
      <c r="C75" s="123"/>
      <c r="D75" s="123"/>
      <c r="E75" s="123"/>
      <c r="F75" s="123"/>
      <c r="G75" s="123"/>
      <c r="H75" s="123"/>
    </row>
  </sheetData>
  <sheetProtection sheet="true" formatCells="false" formatColumns="false" formatRows="false" autoFilter="false"/>
  <mergeCells count="46">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A14:H14"/>
    <mergeCell ref="C15:D15"/>
    <mergeCell ref="F15:H15"/>
    <mergeCell ref="C16:D16"/>
    <mergeCell ref="F16:H16"/>
    <mergeCell ref="C17:D17"/>
    <mergeCell ref="F17:H17"/>
    <mergeCell ref="B18:H18"/>
    <mergeCell ref="A19:B19"/>
    <mergeCell ref="C19:E19"/>
    <mergeCell ref="F19:H19"/>
    <mergeCell ref="A20:B20"/>
    <mergeCell ref="C20:E20"/>
    <mergeCell ref="F20:H20"/>
    <mergeCell ref="A21:B21"/>
    <mergeCell ref="C21:E21"/>
    <mergeCell ref="F21:H21"/>
    <mergeCell ref="A23:H23"/>
    <mergeCell ref="A34:H34"/>
    <mergeCell ref="A36:H36"/>
    <mergeCell ref="A52:H52"/>
    <mergeCell ref="A65:D65"/>
    <mergeCell ref="E65:H65"/>
    <mergeCell ref="A66:D75"/>
    <mergeCell ref="E66:H75"/>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6">
    <cfRule type="expression" priority="9" aboveAverage="0" equalAverage="0" bottom="0" percent="0" rank="0" text="" dxfId="30">
      <formula>LEFT($E$16,11)="OUTSTANDING"</formula>
    </cfRule>
    <cfRule type="expression" priority="10" aboveAverage="0" equalAverage="0" bottom="0" percent="0" rank="0" text="" dxfId="27">
      <formula>$E$16="ON FILE"</formula>
    </cfRule>
  </conditionalFormatting>
  <conditionalFormatting sqref="E17">
    <cfRule type="expression" priority="11" aboveAverage="0" equalAverage="0" bottom="0" percent="0" rank="0" text="" dxfId="30">
      <formula>LEFT($E$17,11)="OUTSTANDING"</formula>
    </cfRule>
    <cfRule type="expression" priority="12" aboveAverage="0" equalAverage="0" bottom="0" percent="0" rank="0" text="" dxfId="27">
      <formula>$E$17="ON FILE"</formula>
    </cfRule>
  </conditionalFormatting>
  <conditionalFormatting sqref="H24:H63">
    <cfRule type="expression" priority="13" aboveAverage="0" equalAverage="0" bottom="0" percent="0" rank="0" text="" dxfId="31">
      <formula>ISNUMBER(SEARCH("CHECK WORDING",$H24))</formula>
    </cfRule>
    <cfRule type="expression" priority="14" aboveAverage="0" equalAverage="0" bottom="0" percent="0" rank="0" text="" dxfId="32">
      <formula>LEFT($H24,8)="COMPLETE"</formula>
    </cfRule>
    <cfRule type="expression" priority="15" aboveAverage="0" equalAverage="0" bottom="0" percent="0" rank="0" text="" dxfId="28">
      <formula>OR(LEFT($H24,7)="OVERDUE",LEFT($H24,4)="FAIL",LEFT($H24,7)="INVALID")</formula>
    </cfRule>
    <cfRule type="expression" priority="16" aboveAverage="0" equalAverage="0" bottom="0" percent="0" rank="0" text="" dxfId="33">
      <formula>LEFT($H24,4)="OPEN"</formula>
    </cfRule>
    <cfRule type="expression" priority="17" aboveAverage="0" equalAverage="0" bottom="0" percent="0" rank="0" text="" dxfId="34">
      <formula>LEFT($H24,3)="N/A"</formula>
    </cfRule>
  </conditionalFormatting>
  <conditionalFormatting sqref="A24:G63">
    <cfRule type="expression" priority="18" aboveAverage="0" equalAverage="0" bottom="0" percent="0" rank="0" text="" dxfId="35">
      <formula>LEFT($H24,3)="N/A"</formula>
    </cfRule>
  </conditionalFormatting>
  <conditionalFormatting sqref="D24:D63">
    <cfRule type="expression" priority="19" aboveAverage="0" equalAverage="0" bottom="0" percent="0" rank="0" text="" dxfId="28">
      <formula>LEFT($D24,4)="Fail"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F21 MH1437 30-Oct-26 LGK-KUL Class BC</oddHeader>
    <oddFooter>&amp;L&amp;"Arial,Bold"&amp;8 F21 MH1437 30-Oct-26 LGK-KUL Class BC&amp;C&amp;"Arial,Regular"&amp;8 Printed: ____________________&amp;R&amp;"Arial,Regular"&amp;8 F21  Page &amp;P of &amp;N</oddFooter>
  </headerFooter>
  <rowBreaks count="12" manualBreakCount="12">
    <brk id="21" man="true" max="16383" min="0"/>
    <brk id="27" man="true" max="16383" min="0"/>
    <brk id="31" man="true" max="16383" min="0"/>
    <brk id="35" man="true" max="16383" min="0"/>
    <brk id="40" man="true" max="16383" min="0"/>
    <brk id="43" man="true" max="16383" min="0"/>
    <brk id="45" man="true" max="16383" min="0"/>
    <brk id="48" man="true" max="16383" min="0"/>
    <brk id="51" man="true" max="16383" min="0"/>
    <brk id="54" man="true" max="16383" min="0"/>
    <brk id="56" man="true" max="16383" min="0"/>
    <brk id="60" man="true" max="16383" min="0"/>
  </rowBreaks>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9"/>
    <col collapsed="false" customWidth="true" hidden="false" outlineLevel="0" max="3" min="3" style="0" width="12"/>
    <col collapsed="false" customWidth="true" hidden="false" outlineLevel="0" max="4" min="4" style="0" width="10"/>
    <col collapsed="false" customWidth="true" hidden="false" outlineLevel="0" max="5" min="5" style="0" width="28"/>
    <col collapsed="false" customWidth="true" hidden="false" outlineLevel="0" max="6" min="6" style="0" width="29"/>
    <col collapsed="false" customWidth="true" hidden="false" outlineLevel="0" max="7" min="7" style="0" width="14"/>
    <col collapsed="false" customWidth="true" hidden="false" outlineLevel="0" max="8" min="8" style="0" width="13"/>
  </cols>
  <sheetData>
    <row r="1" customFormat="false" ht="19.5" hidden="false" customHeight="true" outlineLevel="0" collapsed="false">
      <c r="A1" s="93" t="str">
        <f aca="false">"SKYTRAX 2026 CATERING READINESS CHECKLIST  |  F22  "&amp;Flights!$F$26&amp;"  "&amp;TEXT(Flights!$D$26,"DD-MMM-YY")&amp;" ("&amp;Flights!$E$26&amp;")  "&amp;Flights!$G$26&amp;" → "&amp;Flights!$H$26&amp;"  |  Class "&amp;Flights!$K$26</f>
        <v>SKYTRAX 2026 CATERING READINESS CHECKLIST  |  F22  MH0002  30-Oct-26 (FRI)  KUL → LHR  |  Class BC</v>
      </c>
      <c r="B1" s="93"/>
      <c r="C1" s="93"/>
      <c r="D1" s="93"/>
      <c r="E1" s="93"/>
      <c r="F1" s="93"/>
      <c r="G1" s="93"/>
      <c r="H1" s="93"/>
    </row>
    <row r="2" customFormat="false" ht="12.75" hidden="false" customHeight="true" outlineLevel="0" collapsed="false">
      <c r="A2" s="94" t="s">
        <v>4788</v>
      </c>
      <c r="B2" s="95" t="str">
        <f aca="false">Flights!$F$26&amp;"   "&amp;TEXT(Flights!$D$26,"DD-MMM-YY")&amp;" ("&amp;Flights!$E$26&amp;")"</f>
        <v>MH0002   30-Oct-26 (FRI)</v>
      </c>
      <c r="C2" s="95"/>
      <c r="D2" s="95"/>
      <c r="E2" s="96" t="s">
        <v>4789</v>
      </c>
      <c r="F2" s="97" t="str">
        <f aca="false">Flights!$AT$26</f>
        <v>NOT READY – DOCUMENTS</v>
      </c>
      <c r="G2" s="97"/>
      <c r="H2" s="97"/>
    </row>
    <row r="3" customFormat="false" ht="24" hidden="false" customHeight="true" outlineLevel="0" collapsed="false">
      <c r="A3" s="94" t="s">
        <v>4790</v>
      </c>
      <c r="B3" s="95" t="str">
        <f aca="false">Flights!$G$26&amp;" → "&amp;Flights!$H$26&amp;"   Class "&amp;Flights!$K$26&amp;"   Seat "&amp;Flights!$O$26</f>
        <v>KUL → LHR   Class BC   Seat 5A</v>
      </c>
      <c r="C3" s="95"/>
      <c r="D3" s="95"/>
      <c r="E3" s="96" t="s">
        <v>73</v>
      </c>
      <c r="F3" s="96" t="s">
        <v>4791</v>
      </c>
      <c r="G3" s="96" t="s">
        <v>4792</v>
      </c>
      <c r="H3" s="96"/>
    </row>
    <row r="4" customFormat="false" ht="24" hidden="false" customHeight="true" outlineLevel="0" collapsed="false">
      <c r="A4" s="94" t="s">
        <v>4793</v>
      </c>
      <c r="B4" s="95" t="str">
        <f aca="false">IF(ISNUMBER(Flights!$I$26),TEXT(Flights!$I$26,"DD-MMM-YY HH:MM"),"")&amp;" "&amp;Flights!$G$26&amp;"  →  "&amp;IF(ISNUMBER(Flights!$J$26),TEXT(Flights!$J$26,"DD-MMM-YY HH:MM"),"")&amp;" "&amp;Flights!$H$26</f>
        <v>30-Oct-26 23:20 KUL  →  31-Oct-26 05:55 LHR</v>
      </c>
      <c r="C4" s="95"/>
      <c r="D4" s="95"/>
      <c r="E4" s="94" t="s">
        <v>4794</v>
      </c>
      <c r="F4" s="98" t="str">
        <f aca="false">IF(ISNUMBER(Flights!$AG$26),TEXT(Flights!$AG$26,"DD-MMM-YY HH:MM"),"")&amp;" "&amp;Flights!$V$26</f>
        <v>23-Oct-26 23:20 KUL</v>
      </c>
      <c r="G4" s="99" t="n">
        <f aca="false">Flights!$AJ$26</f>
        <v>0</v>
      </c>
      <c r="H4" s="99"/>
    </row>
    <row r="5" customFormat="false" ht="24" hidden="false" customHeight="true" outlineLevel="0" collapsed="false">
      <c r="A5" s="94" t="s">
        <v>4795</v>
      </c>
      <c r="B5" s="95" t="str">
        <f aca="false">Flights!$L$26&amp;" – "&amp;Flights!$M$26</f>
        <v>A350 – A350-900: A359 (9M-MAB..MAG) or A350 (9M-MAH) - tail to confirm</v>
      </c>
      <c r="C5" s="95"/>
      <c r="D5" s="95"/>
      <c r="E5" s="94" t="s">
        <v>4796</v>
      </c>
      <c r="F5" s="98" t="str">
        <f aca="false">IF(ISNUMBER(Flights!$AH$26),TEXT(Flights!$AH$26,"DD-MMM-YY HH:MM"),"")&amp;" "&amp;Flights!$V$26</f>
        <v>29-Oct-26 23:20 KUL</v>
      </c>
      <c r="G5" s="99" t="n">
        <f aca="false">Flights!$AK$26</f>
        <v>0</v>
      </c>
      <c r="H5" s="99"/>
    </row>
    <row r="6" customFormat="false" ht="24" hidden="false" customHeight="true" outlineLevel="0" collapsed="false">
      <c r="A6" s="94" t="s">
        <v>4797</v>
      </c>
      <c r="B6" s="95" t="str">
        <f aca="false">IF(TRIM(Flights!$N$26)="","__________________",Flights!$N$26)</f>
        <v>__________________</v>
      </c>
      <c r="C6" s="95"/>
      <c r="D6" s="95"/>
      <c r="E6" s="94" t="s">
        <v>4798</v>
      </c>
      <c r="F6" s="98" t="str">
        <f aca="false">IF(ISNUMBER(Flights!$AI$26),TEXT(Flights!$AI$26,"DD-MMM-YY HH:MM"),"")&amp;" "&amp;Flights!$V$26&amp;IF(Flights!$AI$26=Flights!$AH$26,"  (= T-24H due)","")</f>
        <v>30-Oct-26 11:20 KUL</v>
      </c>
      <c r="G6" s="99" t="n">
        <f aca="false">Flights!$AL$26</f>
        <v>0</v>
      </c>
      <c r="H6" s="99"/>
    </row>
    <row r="7" customFormat="false" ht="24" hidden="false" customHeight="true" outlineLevel="0" collapsed="false">
      <c r="A7" s="94" t="s">
        <v>4799</v>
      </c>
      <c r="B7" s="95" t="str">
        <f aca="false">Flights!$T$26</f>
        <v>2.5 Meal (Meal)</v>
      </c>
      <c r="C7" s="95"/>
      <c r="D7" s="95"/>
      <c r="E7" s="94" t="s">
        <v>4800</v>
      </c>
      <c r="F7" s="98" t="str">
        <f aca="false">"STD "&amp;IF(ISNUMBER(Flights!$I$26),TEXT(Flights!$I$26,"DD-MMM-YY HH:MM"),"")&amp;" "&amp;Flights!$G$26&amp;" (dep stn)"</f>
        <v>STD 30-Oct-26 23:20 KUL (dep stn)</v>
      </c>
      <c r="G7" s="99" t="n">
        <f aca="false">Flights!$AM$26</f>
        <v>0</v>
      </c>
      <c r="H7" s="99"/>
    </row>
    <row r="8" customFormat="false" ht="12.75" hidden="false" customHeight="true" outlineLevel="0" collapsed="false">
      <c r="A8" s="94" t="s">
        <v>155</v>
      </c>
      <c r="B8" s="95" t="str">
        <f aca="false">Flights!$V$26&amp;"   (reference uplift stns: "&amp;Flights!$U$26&amp;")"</f>
        <v>KUL   (reference uplift stns: KUL/LHR)</v>
      </c>
      <c r="C8" s="95"/>
      <c r="D8" s="95"/>
      <c r="E8" s="94" t="s">
        <v>4801</v>
      </c>
      <c r="F8" s="100" t="s">
        <v>4802</v>
      </c>
      <c r="G8" s="99" t="n">
        <f aca="false">Flights!$AN$26</f>
        <v>0</v>
      </c>
      <c r="H8" s="99"/>
    </row>
    <row r="9" customFormat="false" ht="12.75" hidden="false" customHeight="true" outlineLevel="0" collapsed="false">
      <c r="A9" s="94" t="s">
        <v>4803</v>
      </c>
      <c r="B9" s="95" t="str">
        <f aca="false">TRIM(Flights!$P$26&amp;"  "&amp;Flights!$Q$26)</f>
        <v>7H 15M</v>
      </c>
      <c r="C9" s="95"/>
      <c r="D9" s="95"/>
      <c r="E9" s="94" t="s">
        <v>4804</v>
      </c>
      <c r="F9" s="101" t="n">
        <f aca="false">Flights!$AP$26</f>
        <v>0</v>
      </c>
      <c r="G9" s="102" t="n">
        <f aca="false">Flights!$AQ$26</f>
        <v>0</v>
      </c>
      <c r="H9" s="103" t="n">
        <f aca="false">Flights!$AU$26</f>
        <v>0</v>
      </c>
    </row>
    <row r="10" customFormat="false" ht="24" hidden="false" customHeight="true" outlineLevel="0" collapsed="false">
      <c r="A10" s="94" t="s">
        <v>4805</v>
      </c>
      <c r="B10" s="95" t="str">
        <f aca="false">IF(TRIM(Flights!$X$26)="","__________________",Flights!$X$26)</f>
        <v>__________________</v>
      </c>
      <c r="C10" s="95"/>
      <c r="D10" s="95"/>
      <c r="E10" s="94" t="s">
        <v>4806</v>
      </c>
      <c r="F10" s="104" t="n">
        <f aca="false">Flights!$AO$26</f>
        <v>46</v>
      </c>
      <c r="G10" s="105" t="n">
        <f aca="false">Flights!$AS$26</f>
        <v>2</v>
      </c>
      <c r="H10" s="106" t="n">
        <f aca="false">Flights!$AR$26</f>
        <v>2</v>
      </c>
    </row>
    <row r="11" customFormat="false" ht="21" hidden="false" customHeight="true" outlineLevel="0" collapsed="false">
      <c r="A11" s="94" t="s">
        <v>4807</v>
      </c>
      <c r="B11" s="95" t="str">
        <f aca="false">IF(TRIM(Flights!$Y$26)="","__________________",Flights!$Y$26)</f>
        <v>__________________</v>
      </c>
      <c r="C11" s="95"/>
      <c r="D11" s="95"/>
      <c r="E11" s="94" t="s">
        <v>4808</v>
      </c>
      <c r="F11" s="97" t="str">
        <f aca="false">Flights!$AV$26&amp;" / "&amp;Flights!$AW$26</f>
        <v>0 / 46</v>
      </c>
      <c r="G11" s="107" t="str">
        <f aca="false">IF(ISNUMBER(Settings!$B$6),TEXT(Settings!$B$6,"DD-MMM-YY HH:MM"),"")</f>
        <v>29-Sep-26 12:53</v>
      </c>
      <c r="H11" s="107"/>
    </row>
    <row r="12" customFormat="false" ht="34.5" hidden="false" customHeight="true" outlineLevel="0" collapsed="false">
      <c r="A12" s="108" t="s">
        <v>4809</v>
      </c>
      <c r="B12" s="108"/>
      <c r="C12" s="108"/>
      <c r="D12" s="108"/>
      <c r="E12" s="109" t="s">
        <v>4810</v>
      </c>
      <c r="F12" s="110" t="s">
        <v>4811</v>
      </c>
      <c r="G12" s="111" t="s">
        <v>94</v>
      </c>
      <c r="H12" s="112" t="s">
        <v>4812</v>
      </c>
    </row>
    <row r="13" customFormat="false" ht="24" hidden="false" customHeight="true" outlineLevel="0" collapsed="false">
      <c r="A13" s="113" t="str">
        <f aca="false">"EVIDENCE  Type (one of): "&amp;Settings!$U$4&amp;" · "&amp;Settings!$U$5&amp;" · "&amp;Settings!$U$6&amp;" · "&amp;Settings!$U$7&amp;" · "&amp;Settings!$U$8&amp;" · "&amp;Settings!$U$9&amp;" · "&amp;Settings!$U$10&amp;" · "&amp;Settings!$U$11&amp;" · "&amp;Settings!$U$12&amp;" · "&amp;Settings!$U$13&amp;" · "&amp;Settings!$U$14&amp;"  |  ID: the record's own no. only (SF-2210, IMG_2231, 1045521); a link or path only for 'Link / file path'."</f>
        <v>EVIDENCE  Type (one of): Form / checklist · Sensory panel sheet · Load / uplift sheet · Photo · Email · Seal no. · Delivery note / receipt · Memo / letter · Document (GLD / menu / ISOP) · System record · Link / file path  |  ID: the record's own no. only (SF-2210, IMG_2231, 1045521); a link or path only for 'Link / file path'.</v>
      </c>
      <c r="B13" s="113"/>
      <c r="C13" s="113"/>
      <c r="D13" s="113"/>
      <c r="E13" s="113"/>
      <c r="F13" s="113"/>
      <c r="G13" s="113"/>
      <c r="H13" s="113"/>
    </row>
    <row r="14" customFormat="false" ht="13.5" hidden="false" customHeight="true" outlineLevel="0" collapsed="false">
      <c r="A14" s="96" t="s">
        <v>4813</v>
      </c>
      <c r="B14" s="96" t="s">
        <v>4814</v>
      </c>
      <c r="C14" s="96" t="s">
        <v>4815</v>
      </c>
      <c r="D14" s="96"/>
      <c r="E14" s="96" t="s">
        <v>4816</v>
      </c>
      <c r="F14" s="96" t="s">
        <v>4817</v>
      </c>
      <c r="G14" s="96"/>
      <c r="H14" s="96"/>
    </row>
    <row r="15" customFormat="false" ht="36" hidden="false" customHeight="true" outlineLevel="0" collapsed="false">
      <c r="A15" s="94" t="s">
        <v>4818</v>
      </c>
      <c r="B15" s="95" t="str">
        <f aca="false">IF(Documents!$F$26="","",Documents!$F$26)</f>
        <v/>
      </c>
      <c r="C15" s="100" t="str">
        <f aca="false">IF(Documents!$G$26="","",Documents!$G$26)&amp;IF(ISNUMBER(Documents!$H$26),"  "&amp;TEXT(Documents!$H$26,"DD-MMM-YY"),"")</f>
        <v/>
      </c>
      <c r="D15" s="100"/>
      <c r="E15" s="114" t="str">
        <f aca="false">IF(Documents!$J$26="OUTSTANDING","OUTSTANDING – attach before T-7D (due "&amp;IF(ISNUMBER(Flights!$AG$26),TEXT(Flights!$AG$26,"DD-MMM-YY HH:MM"),"")&amp;" "&amp;Flights!$V$26&amp;")",IF(Documents!$J$26="","Status not recorded",Documents!$J$26))</f>
        <v>OUTSTANDING – attach before T-7D (due 23-Oct-26 23:20 KUL)</v>
      </c>
      <c r="F15" s="115" t="str">
        <f aca="false">"Staple behind this sheet as page A1."&amp;IF(Documents!$I$26="",""," Location: "&amp;Documents!$I$26)</f>
        <v>Staple behind this sheet as page A1.</v>
      </c>
      <c r="G15" s="115"/>
      <c r="H15" s="115"/>
    </row>
    <row r="16" customFormat="false" ht="36" hidden="false" customHeight="true" outlineLevel="0" collapsed="false">
      <c r="A16" s="94" t="s">
        <v>4819</v>
      </c>
      <c r="B16" s="95" t="str">
        <f aca="false">IF(Documents!$K$26="","",Documents!$K$26)</f>
        <v/>
      </c>
      <c r="C16" s="100" t="str">
        <f aca="false">IF(Documents!$L$26="","",Documents!$L$26)&amp;IF(ISNUMBER(Documents!$M$26),"  "&amp;TEXT(Documents!$M$26,"DD-MMM-YY"),"")</f>
        <v/>
      </c>
      <c r="D16" s="100"/>
      <c r="E16" s="114" t="str">
        <f aca="false">IF(Documents!$O$26="OUTSTANDING","OUTSTANDING – attach before T-7D (due "&amp;IF(ISNUMBER(Flights!$AG$26),TEXT(Flights!$AG$26,"DD-MMM-YY HH:MM"),"")&amp;" "&amp;Flights!$V$26&amp;")",IF(Documents!$O$26="","Status not recorded",Documents!$O$26))</f>
        <v>OUTSTANDING – attach before T-7D (due 23-Oct-26 23:20 KUL)</v>
      </c>
      <c r="F16" s="115" t="str">
        <f aca="false">"Staple behind this sheet as page A2."&amp;IF(Documents!$N$26="",""," Location: "&amp;Documents!$N$26)</f>
        <v>Staple behind this sheet as page A2.</v>
      </c>
      <c r="G16" s="115"/>
      <c r="H16" s="115"/>
    </row>
    <row r="17" customFormat="false" ht="22.5" hidden="false" customHeight="true" outlineLevel="0" collapsed="false">
      <c r="A17" s="94" t="s">
        <v>4820</v>
      </c>
      <c r="B17" s="116" t="str">
        <f aca="false">IF(Documents!$Q$26="","",Documents!$Q$26)</f>
        <v>Not supplied with brief – obtain from caterer / MAGCS.</v>
      </c>
      <c r="C17" s="116"/>
      <c r="D17" s="116"/>
      <c r="E17" s="116"/>
      <c r="F17" s="116"/>
      <c r="G17" s="116"/>
      <c r="H17" s="116"/>
    </row>
    <row r="18" customFormat="false" ht="13.5" hidden="false" customHeight="true" outlineLevel="0" collapsed="false">
      <c r="A18" s="117" t="s">
        <v>4821</v>
      </c>
      <c r="B18" s="117"/>
      <c r="C18" s="117" t="s">
        <v>4822</v>
      </c>
      <c r="D18" s="117"/>
      <c r="E18" s="117"/>
      <c r="F18" s="117" t="s">
        <v>4823</v>
      </c>
      <c r="G18" s="117"/>
      <c r="H18" s="117"/>
    </row>
    <row r="19" customFormat="false" ht="18" hidden="false" customHeight="true" outlineLevel="0" collapsed="false">
      <c r="A19" s="95" t="str">
        <f aca="false">"Name: "&amp;IF(TRIM(Flights!$Y$26)="","__________________",Flights!$Y$26)</f>
        <v>Name: __________________</v>
      </c>
      <c r="B19" s="95"/>
      <c r="C19" s="95" t="str">
        <f aca="false">"Name: __________________"</f>
        <v>Name: __________________</v>
      </c>
      <c r="D19" s="95"/>
      <c r="E19" s="95"/>
      <c r="F19" s="95" t="str">
        <f aca="false">"Name: __________________"&amp;"   Station: "&amp;Flights!$V$26</f>
        <v>Name: __________________   Station: KUL</v>
      </c>
      <c r="G19" s="95"/>
      <c r="H19" s="95"/>
    </row>
    <row r="20" customFormat="false" ht="30" hidden="false" customHeight="true" outlineLevel="0" collapsed="false">
      <c r="A20" s="118" t="s">
        <v>4824</v>
      </c>
      <c r="B20" s="118"/>
      <c r="C20" s="118" t="s">
        <v>4824</v>
      </c>
      <c r="D20" s="118"/>
      <c r="E20" s="118"/>
      <c r="F20" s="118" t="s">
        <v>4824</v>
      </c>
      <c r="G20" s="118"/>
      <c r="H20" s="118"/>
    </row>
    <row r="21" customFormat="false" ht="24" hidden="false" customHeight="true" outlineLevel="0" collapsed="false">
      <c r="A21" s="96" t="s">
        <v>4825</v>
      </c>
      <c r="B21" s="96" t="s">
        <v>4826</v>
      </c>
      <c r="C21" s="96" t="s">
        <v>4827</v>
      </c>
      <c r="D21" s="96" t="s">
        <v>4828</v>
      </c>
      <c r="E21" s="96" t="s">
        <v>4829</v>
      </c>
      <c r="F21" s="96" t="s">
        <v>4830</v>
      </c>
      <c r="G21" s="96" t="s">
        <v>4831</v>
      </c>
      <c r="H21" s="96" t="s">
        <v>126</v>
      </c>
    </row>
    <row r="22" customFormat="false" ht="25.5" hidden="false" customHeight="true" outlineLevel="0" collapsed="false">
      <c r="A22" s="119" t="str">
        <f aca="false">"T-7D — 7 days before departure  |  Due "&amp;IF(ISNUMBER(Flights!$AG$26),TEXT(Flights!$AG$26,"DD-MMM-YY HH:MM"),"")&amp;" "&amp;Flights!$V$26&amp;" (meal uplift stn)"&amp;" (rows with another due show their own)  |  Complete "&amp;IF(ISNUMBER(Flights!$AJ$26),TEXT(Flights!$AJ$26,"0%"),Flights!$AJ$26)&amp;"  |  9 lines"</f>
        <v>T-7D — 7 days before departure  |  Due 23-Oct-26 23:20 KUL (meal uplift stn) (rows with another due show their own)  |  Complete 0%  |  9 lines</v>
      </c>
      <c r="B22" s="119"/>
      <c r="C22" s="119"/>
      <c r="D22" s="119"/>
      <c r="E22" s="119"/>
      <c r="F22" s="119"/>
      <c r="G22" s="119"/>
      <c r="H22" s="119"/>
    </row>
    <row r="23" customFormat="false" ht="114" hidden="false" customHeight="true" outlineLevel="0" collapsed="false">
      <c r="A23" s="120" t="str">
        <f aca="false">Checks!$A$702&amp;CHAR(10)&amp;IF(Checks!$I$702="","",Checks!$I$702&amp;": ")&amp;Checks!$J$702</f>
        <v>F22-T7-01
Meal: Meal sensory testing completed for this flight's menu cycle (assessed class)</v>
      </c>
      <c r="B23" s="120" t="str">
        <f aca="false">Checks!$K$702&amp;IF(Checks!$O$702="","",IF(Checks!$K$702="","",CHAR(10))&amp;"Note: "&amp;Checks!$O$702)</f>
        <v>Record panel result / score in Result</v>
      </c>
      <c r="C23" s="120" t="str">
        <f aca="false">Checks!$N$702&amp;CHAR(10)&amp;IF(ISNUMBER(Checks!$R$702),TEXT(Checks!$R$702,"DD-MMM-YY HH:MM"),"")&amp;" "&amp;Checks!$P$702</f>
        <v>Required
23-Oct-26 23:20 KUL</v>
      </c>
      <c r="D23" s="120" t="str">
        <f aca="false">IF(TRIM(Checks!$U$702)&lt;&gt;"",Checks!$U$702&amp;IF(Checks!$AB$702="","",CHAR(10)&amp;"CA: "&amp;Checks!$AB$702),IF(LEFT(Checks!$AH$702,10)="N/A – RULE","","[ ] Pass"&amp;CHAR(10)&amp;"[ ] Pass after CA"&amp;CHAR(10)&amp;"[ ] Fail"&amp;IF(Checks!$AT$702=1,CHAR(10)&amp;"[ ] N/A","")&amp;CHAR(10)&amp;"CA: Open / Closed"))</f>
        <v>[ ] Pass
[ ] Pass after CA
[ ] Fail
CA: Open / Closed</v>
      </c>
      <c r="E23" s="120" t="str">
        <f aca="false">IF(Checks!$V$702="","",Checks!$V$702)&amp;IF(Checks!$AC$702="","",IF(Checks!$V$702="","",CHAR(10))&amp;"N/A just.: "&amp;Checks!$AC$702)&amp;IF(OR(Checks!$W$702&lt;&gt;"",AND(Checks!$AQ$702=1,NOT(LEFT(Checks!$AH$702,10)="N/A – RULE"))),CHAR(10)&amp;"Batch: "&amp;IF(Checks!$W$702="","____________",Checks!$W$702),"")&amp;IF(OR(Checks!$X$702&lt;&gt;"",Checks!$Y$702&lt;&gt;"",AND(Checks!$AR$702=1,NOT(LEFT(Checks!$AH$702,10)="N/A – RULE"))),CHAR(10)&amp;"Exp: "&amp;IF(Checks!$X$702="","______",Checks!$X$702)&amp;"  /  Act: "&amp;IF(Checks!$Y$702="","______",Checks!$Y$702),"")</f>
        <v/>
      </c>
      <c r="F23" s="120" t="str">
        <f aca="false">IF(AND(LEFT(Checks!$AH$702,10)="N/A – RULE",TRIM(Checks!$S$702&amp;Checks!$Z$702)=""),"","Type: "&amp;IF(TRIM(Checks!$S$702)="","______________ (see cover list)",Checks!$S$702)&amp;CHAR(10)&amp;"ID: "&amp;IF(TRIM(Checks!$Z$702)="","______________ (record's own no.)",Checks!$Z$702))&amp;IF(Checks!$AA$702="","",CHAR(10)&amp;"CA: "&amp;Checks!$AA$702)</f>
        <v>Type: ______________ (see cover list)
ID: ______________ (record's own no.)</v>
      </c>
      <c r="G23" s="120" t="str">
        <f aca="false">IF(AND(LEFT(Checks!$AH$702,10)="N/A – RULE",NOT(ISNUMBER(Checks!$AD$702)),Checks!$AE$702="",Checks!$T$702=""),"","Done: "&amp;IF(ISNUMBER(Checks!$AD$702),TEXT(Checks!$AD$702,"DD-MMM-YY HH:MM"),"____________")&amp;" "&amp;Checks!$P$702&amp;CHAR(10)&amp;"Verifier: "&amp;IF(Checks!$AE$702="","____________",Checks!$AE$702)&amp;CHAR(10)&amp;"PIC: "&amp;IF(Checks!$T$702="","____________",Checks!$T$702))</f>
        <v>Done: ____________ KUL
Verifier: ____________
PIC: ____________</v>
      </c>
      <c r="H23" s="121" t="str">
        <f aca="false">IF(Checks!$AH$702="","",Checks!$AH$702)</f>
        <v>OPEN</v>
      </c>
    </row>
    <row r="24" customFormat="false" ht="114" hidden="false" customHeight="true" outlineLevel="0" collapsed="false">
      <c r="A24" s="120" t="str">
        <f aca="false">Checks!$A$703&amp;CHAR(10)&amp;IF(Checks!$I$703="","",Checks!$I$703&amp;": ")&amp;Checks!$J$703</f>
        <v>F22-T7-02
Menu: Printed menu cards confirmed (content, cycle, language, quantity)</v>
      </c>
      <c r="B24" s="120" t="str">
        <f aca="false">Checks!$K$703&amp;IF(Checks!$O$703="","",IF(Checks!$K$703="","",CHAR(10))&amp;"Note: "&amp;Checks!$O$703)</f>
        <v>Menu card matches approved menu for this flight</v>
      </c>
      <c r="C24" s="120" t="str">
        <f aca="false">Checks!$N$703&amp;CHAR(10)&amp;IF(ISNUMBER(Checks!$R$703),TEXT(Checks!$R$703,"DD-MMM-YY HH:MM"),"")&amp;" "&amp;Checks!$P$703</f>
        <v>Required
23-Oct-26 23:20 KUL</v>
      </c>
      <c r="D24" s="120" t="str">
        <f aca="false">IF(TRIM(Checks!$U$703)&lt;&gt;"",Checks!$U$703&amp;IF(Checks!$AB$703="","",CHAR(10)&amp;"CA: "&amp;Checks!$AB$703),IF(LEFT(Checks!$AH$703,10)="N/A – RULE","","[ ] Pass"&amp;CHAR(10)&amp;"[ ] Pass after CA"&amp;CHAR(10)&amp;"[ ] Fail"&amp;IF(Checks!$AT$703=1,CHAR(10)&amp;"[ ] N/A","")&amp;CHAR(10)&amp;"CA: Open / Closed"))</f>
        <v>[ ] Pass
[ ] Pass after CA
[ ] Fail
CA: Open / Closed</v>
      </c>
      <c r="E24" s="120" t="str">
        <f aca="false">IF(Checks!$V$703="","",Checks!$V$703)&amp;IF(Checks!$AC$703="","",IF(Checks!$V$703="","",CHAR(10))&amp;"N/A just.: "&amp;Checks!$AC$703)&amp;IF(OR(Checks!$W$703&lt;&gt;"",AND(Checks!$AQ$703=1,NOT(LEFT(Checks!$AH$703,10)="N/A – RULE"))),CHAR(10)&amp;"Batch: "&amp;IF(Checks!$W$703="","____________",Checks!$W$703),"")&amp;IF(OR(Checks!$X$703&lt;&gt;"",Checks!$Y$703&lt;&gt;"",AND(Checks!$AR$703=1,NOT(LEFT(Checks!$AH$703,10)="N/A – RULE"))),CHAR(10)&amp;"Exp: "&amp;IF(Checks!$X$703="","______",Checks!$X$703)&amp;"  /  Act: "&amp;IF(Checks!$Y$703="","______",Checks!$Y$703),"")</f>
        <v/>
      </c>
      <c r="F24" s="120" t="str">
        <f aca="false">IF(AND(LEFT(Checks!$AH$703,10)="N/A – RULE",TRIM(Checks!$S$703&amp;Checks!$Z$703)=""),"","Type: "&amp;IF(TRIM(Checks!$S$703)="","______________ (see cover list)",Checks!$S$703)&amp;CHAR(10)&amp;"ID: "&amp;IF(TRIM(Checks!$Z$703)="","______________ (record's own no.)",Checks!$Z$703))&amp;IF(Checks!$AA$703="","",CHAR(10)&amp;"CA: "&amp;Checks!$AA$703)</f>
        <v>Type: ______________ (see cover list)
ID: ______________ (record's own no.)</v>
      </c>
      <c r="G24" s="120" t="str">
        <f aca="false">IF(AND(LEFT(Checks!$AH$703,10)="N/A – RULE",NOT(ISNUMBER(Checks!$AD$703)),Checks!$AE$703="",Checks!$T$703=""),"","Done: "&amp;IF(ISNUMBER(Checks!$AD$703),TEXT(Checks!$AD$703,"DD-MMM-YY HH:MM"),"____________")&amp;" "&amp;Checks!$P$703&amp;CHAR(10)&amp;"Verifier: "&amp;IF(Checks!$AE$703="","____________",Checks!$AE$703)&amp;CHAR(10)&amp;"PIC: "&amp;IF(Checks!$T$703="","____________",Checks!$T$703))</f>
        <v>Done: ____________ KUL
Verifier: ____________
PIC: ____________</v>
      </c>
      <c r="H24" s="121" t="str">
        <f aca="false">IF(Checks!$AH$703="","",Checks!$AH$703)</f>
        <v>OPEN</v>
      </c>
    </row>
    <row r="25" customFormat="false" ht="114" hidden="false" customHeight="true" outlineLevel="0" collapsed="false">
      <c r="A25" s="120" t="str">
        <f aca="false">Checks!$A$704&amp;CHAR(10)&amp;IF(Checks!$I$704="","",Checks!$I$704&amp;": ")&amp;Checks!$J$704</f>
        <v>F22-T7-03
IFE: Digital menu in IFE confirmed (A339 only)</v>
      </c>
      <c r="B25" s="120" t="str">
        <f aca="false">Checks!$K$704&amp;IF(Checks!$O$704="","",IF(Checks!$K$704="","",CHAR(10))&amp;"Note: "&amp;Checks!$O$704)</f>
        <v>Applies when fleet = A339
Note: Digital IFE menu applies to A339 only (user brief). Applicability follows the Fleet cell on Flights.</v>
      </c>
      <c r="C25" s="120" t="str">
        <f aca="false">Checks!$N$704&amp;CHAR(10)&amp;IF(ISNUMBER(Checks!$R$704),TEXT(Checks!$R$704,"DD-MMM-YY HH:MM"),"")&amp;" "&amp;Checks!$P$704</f>
        <v>N/A – rule
23-Oct-26 23:20 KUL</v>
      </c>
      <c r="D25" s="120" t="str">
        <f aca="false">IF(TRIM(Checks!$U$704)&lt;&gt;"",Checks!$U$704&amp;IF(Checks!$AB$704="","",CHAR(10)&amp;"CA: "&amp;Checks!$AB$704),IF(LEFT(Checks!$AH$704,10)="N/A – RULE","","[ ] Pass"&amp;CHAR(10)&amp;"[ ] Pass after CA"&amp;CHAR(10)&amp;"[ ] Fail"&amp;IF(Checks!$AT$704=1,CHAR(10)&amp;"[ ] N/A","")&amp;CHAR(10)&amp;"CA: Open / Closed"))</f>
        <v/>
      </c>
      <c r="E25" s="120" t="str">
        <f aca="false">IF(Checks!$V$704="","",Checks!$V$704)&amp;IF(Checks!$AC$704="","",IF(Checks!$V$704="","",CHAR(10))&amp;"N/A just.: "&amp;Checks!$AC$704)&amp;IF(OR(Checks!$W$704&lt;&gt;"",AND(Checks!$AQ$704=1,NOT(LEFT(Checks!$AH$704,10)="N/A – RULE"))),CHAR(10)&amp;"Batch: "&amp;IF(Checks!$W$704="","____________",Checks!$W$704),"")&amp;IF(OR(Checks!$X$704&lt;&gt;"",Checks!$Y$704&lt;&gt;"",AND(Checks!$AR$704=1,NOT(LEFT(Checks!$AH$704,10)="N/A – RULE"))),CHAR(10)&amp;"Exp: "&amp;IF(Checks!$X$704="","______",Checks!$X$704)&amp;"  /  Act: "&amp;IF(Checks!$Y$704="","______",Checks!$Y$704),"")</f>
        <v/>
      </c>
      <c r="F25" s="120" t="str">
        <f aca="false">IF(AND(LEFT(Checks!$AH$704,10)="N/A – RULE",TRIM(Checks!$S$704&amp;Checks!$Z$704)=""),"","Type: "&amp;IF(TRIM(Checks!$S$704)="","______________ (see cover list)",Checks!$S$704)&amp;CHAR(10)&amp;"ID: "&amp;IF(TRIM(Checks!$Z$704)="","______________ (record's own no.)",Checks!$Z$704))&amp;IF(Checks!$AA$704="","",CHAR(10)&amp;"CA: "&amp;Checks!$AA$704)</f>
        <v/>
      </c>
      <c r="G25" s="120" t="str">
        <f aca="false">IF(AND(LEFT(Checks!$AH$704,10)="N/A – RULE",NOT(ISNUMBER(Checks!$AD$704)),Checks!$AE$704="",Checks!$T$704=""),"","Done: "&amp;IF(ISNUMBER(Checks!$AD$704),TEXT(Checks!$AD$704,"DD-MMM-YY HH:MM"),"____________")&amp;" "&amp;Checks!$P$704&amp;CHAR(10)&amp;"Verifier: "&amp;IF(Checks!$AE$704="","____________",Checks!$AE$704)&amp;CHAR(10)&amp;"PIC: "&amp;IF(Checks!$T$704="","____________",Checks!$T$704))</f>
        <v/>
      </c>
      <c r="H25" s="121" t="str">
        <f aca="false">IF(Checks!$AH$704="","",Checks!$AH$704)</f>
        <v>N/A – RULE</v>
      </c>
    </row>
    <row r="26" customFormat="false" ht="114" hidden="false" customHeight="true" outlineLevel="0" collapsed="false">
      <c r="A26" s="120" t="str">
        <f aca="false">Checks!$A$705&amp;CHAR(10)&amp;IF(Checks!$I$705="","",Checks!$I$705&amp;": ")&amp;Checks!$J$705</f>
        <v>F22-T7-04
Staffing: Experienced catering officer assigned to this flight</v>
      </c>
      <c r="B26" s="120" t="str">
        <f aca="false">Checks!$K$705&amp;IF(Checks!$O$705="","",IF(Checks!$K$705="","",CHAR(10))&amp;"Note: "&amp;Checks!$O$705)</f>
        <v>Record officer name in Result</v>
      </c>
      <c r="C26" s="120" t="str">
        <f aca="false">Checks!$N$705&amp;CHAR(10)&amp;IF(ISNUMBER(Checks!$R$705),TEXT(Checks!$R$705,"DD-MMM-YY HH:MM"),"")&amp;" "&amp;Checks!$P$705</f>
        <v>Required
23-Oct-26 23:20 KUL</v>
      </c>
      <c r="D26" s="120" t="str">
        <f aca="false">IF(TRIM(Checks!$U$705)&lt;&gt;"",Checks!$U$705&amp;IF(Checks!$AB$705="","",CHAR(10)&amp;"CA: "&amp;Checks!$AB$705),IF(LEFT(Checks!$AH$705,10)="N/A – RULE","","[ ] Pass"&amp;CHAR(10)&amp;"[ ] Pass after CA"&amp;CHAR(10)&amp;"[ ] Fail"&amp;IF(Checks!$AT$705=1,CHAR(10)&amp;"[ ] N/A","")&amp;CHAR(10)&amp;"CA: Open / Closed"))</f>
        <v>[ ] Pass
[ ] Pass after CA
[ ] Fail
CA: Open / Closed</v>
      </c>
      <c r="E26" s="120" t="str">
        <f aca="false">IF(Checks!$V$705="","",Checks!$V$705)&amp;IF(Checks!$AC$705="","",IF(Checks!$V$705="","",CHAR(10))&amp;"N/A just.: "&amp;Checks!$AC$705)&amp;IF(OR(Checks!$W$705&lt;&gt;"",AND(Checks!$AQ$705=1,NOT(LEFT(Checks!$AH$705,10)="N/A – RULE"))),CHAR(10)&amp;"Batch: "&amp;IF(Checks!$W$705="","____________",Checks!$W$705),"")&amp;IF(OR(Checks!$X$705&lt;&gt;"",Checks!$Y$705&lt;&gt;"",AND(Checks!$AR$705=1,NOT(LEFT(Checks!$AH$705,10)="N/A – RULE"))),CHAR(10)&amp;"Exp: "&amp;IF(Checks!$X$705="","______",Checks!$X$705)&amp;"  /  Act: "&amp;IF(Checks!$Y$705="","______",Checks!$Y$705),"")</f>
        <v/>
      </c>
      <c r="F26" s="120" t="str">
        <f aca="false">IF(AND(LEFT(Checks!$AH$705,10)="N/A – RULE",TRIM(Checks!$S$705&amp;Checks!$Z$705)=""),"","Type: "&amp;IF(TRIM(Checks!$S$705)="","______________ (see cover list)",Checks!$S$705)&amp;CHAR(10)&amp;"ID: "&amp;IF(TRIM(Checks!$Z$705)="","______________ (record's own no.)",Checks!$Z$705))&amp;IF(Checks!$AA$705="","",CHAR(10)&amp;"CA: "&amp;Checks!$AA$705)</f>
        <v>Type: ______________ (see cover list)
ID: ______________ (record's own no.)</v>
      </c>
      <c r="G26" s="120" t="str">
        <f aca="false">IF(AND(LEFT(Checks!$AH$705,10)="N/A – RULE",NOT(ISNUMBER(Checks!$AD$705)),Checks!$AE$705="",Checks!$T$705=""),"","Done: "&amp;IF(ISNUMBER(Checks!$AD$705),TEXT(Checks!$AD$705,"DD-MMM-YY HH:MM"),"____________")&amp;" "&amp;Checks!$P$705&amp;CHAR(10)&amp;"Verifier: "&amp;IF(Checks!$AE$705="","____________",Checks!$AE$705)&amp;CHAR(10)&amp;"PIC: "&amp;IF(Checks!$T$705="","____________",Checks!$T$705))</f>
        <v>Done: ____________ KUL
Verifier: ____________
PIC: ____________</v>
      </c>
      <c r="H26" s="121" t="str">
        <f aca="false">IF(Checks!$AH$705="","",Checks!$AH$705)</f>
        <v>OPEN</v>
      </c>
    </row>
    <row r="27" customFormat="false" ht="114" hidden="false" customHeight="true" outlineLevel="0" collapsed="false">
      <c r="A27" s="120" t="str">
        <f aca="false">Checks!$A$706&amp;CHAR(10)&amp;IF(Checks!$I$706="","",Checks!$I$706&amp;": ")&amp;Checks!$J$706</f>
        <v>F22-T7-05
ISOP: All latest applicable ISOP revisions communicated to caterer</v>
      </c>
      <c r="B27" s="120" t="str">
        <f aca="false">Checks!$K$706&amp;IF(Checks!$O$706="","",IF(Checks!$K$706="","",CHAR(10))&amp;"Note: "&amp;Checks!$O$706)</f>
        <v>List revision numbers in Result (see ISOP register)</v>
      </c>
      <c r="C27" s="120" t="str">
        <f aca="false">Checks!$N$706&amp;CHAR(10)&amp;IF(ISNUMBER(Checks!$R$706),TEXT(Checks!$R$706,"DD-MMM-YY HH:MM"),"")&amp;" "&amp;Checks!$P$706</f>
        <v>Required
23-Oct-26 23:20 KUL</v>
      </c>
      <c r="D27" s="120" t="str">
        <f aca="false">IF(TRIM(Checks!$U$706)&lt;&gt;"",Checks!$U$706&amp;IF(Checks!$AB$706="","",CHAR(10)&amp;"CA: "&amp;Checks!$AB$706),IF(LEFT(Checks!$AH$706,10)="N/A – RULE","","[ ] Pass"&amp;CHAR(10)&amp;"[ ] Pass after CA"&amp;CHAR(10)&amp;"[ ] Fail"&amp;IF(Checks!$AT$706=1,CHAR(10)&amp;"[ ] N/A","")&amp;CHAR(10)&amp;"CA: Open / Closed"))</f>
        <v>[ ] Pass
[ ] Pass after CA
[ ] Fail
CA: Open / Closed</v>
      </c>
      <c r="E27" s="120" t="str">
        <f aca="false">IF(Checks!$V$706="","",Checks!$V$706)&amp;IF(Checks!$AC$706="","",IF(Checks!$V$706="","",CHAR(10))&amp;"N/A just.: "&amp;Checks!$AC$706)&amp;IF(OR(Checks!$W$706&lt;&gt;"",AND(Checks!$AQ$706=1,NOT(LEFT(Checks!$AH$706,10)="N/A – RULE"))),CHAR(10)&amp;"Batch: "&amp;IF(Checks!$W$706="","____________",Checks!$W$706),"")&amp;IF(OR(Checks!$X$706&lt;&gt;"",Checks!$Y$706&lt;&gt;"",AND(Checks!$AR$706=1,NOT(LEFT(Checks!$AH$706,10)="N/A – RULE"))),CHAR(10)&amp;"Exp: "&amp;IF(Checks!$X$706="","______",Checks!$X$706)&amp;"  /  Act: "&amp;IF(Checks!$Y$706="","______",Checks!$Y$706),"")</f>
        <v/>
      </c>
      <c r="F27" s="120" t="str">
        <f aca="false">IF(AND(LEFT(Checks!$AH$706,10)="N/A – RULE",TRIM(Checks!$S$706&amp;Checks!$Z$706)=""),"","Type: "&amp;IF(TRIM(Checks!$S$706)="","______________ (see cover list)",Checks!$S$706)&amp;CHAR(10)&amp;"ID: "&amp;IF(TRIM(Checks!$Z$706)="","______________ (record's own no.)",Checks!$Z$706))&amp;IF(Checks!$AA$706="","",CHAR(10)&amp;"CA: "&amp;Checks!$AA$706)</f>
        <v>Type: ______________ (see cover list)
ID: ______________ (record's own no.)</v>
      </c>
      <c r="G27" s="120" t="str">
        <f aca="false">IF(AND(LEFT(Checks!$AH$706,10)="N/A – RULE",NOT(ISNUMBER(Checks!$AD$706)),Checks!$AE$706="",Checks!$T$706=""),"","Done: "&amp;IF(ISNUMBER(Checks!$AD$706),TEXT(Checks!$AD$706,"DD-MMM-YY HH:MM"),"____________")&amp;" "&amp;Checks!$P$706&amp;CHAR(10)&amp;"Verifier: "&amp;IF(Checks!$AE$706="","____________",Checks!$AE$706)&amp;CHAR(10)&amp;"PIC: "&amp;IF(Checks!$T$706="","____________",Checks!$T$706))</f>
        <v>Done: ____________ KUL
Verifier: ____________
PIC: ____________</v>
      </c>
      <c r="H27" s="121" t="str">
        <f aca="false">IF(Checks!$AH$706="","",Checks!$AH$706)</f>
        <v>OPEN</v>
      </c>
    </row>
    <row r="28" customFormat="false" ht="114" hidden="false" customHeight="true" outlineLevel="0" collapsed="false">
      <c r="A28" s="120" t="str">
        <f aca="false">Checks!$A$707&amp;CHAR(10)&amp;IF(Checks!$I$707="","",Checks!$I$707&amp;": ")&amp;Checks!$J$707</f>
        <v>F22-T7-06
ISOP: Caterer acknowledgement of ISOP revisions recorded</v>
      </c>
      <c r="B28" s="120" t="str">
        <f aca="false">Checks!$K$707&amp;IF(Checks!$O$707="","",IF(Checks!$K$707="","",CHAR(10))&amp;"Note: "&amp;Checks!$O$707)</f>
        <v>Record acknowledgement ref in Evidence</v>
      </c>
      <c r="C28" s="120" t="str">
        <f aca="false">Checks!$N$707&amp;CHAR(10)&amp;IF(ISNUMBER(Checks!$R$707),TEXT(Checks!$R$707,"DD-MMM-YY HH:MM"),"")&amp;" "&amp;Checks!$P$707</f>
        <v>Required
23-Oct-26 23:20 KUL</v>
      </c>
      <c r="D28" s="120" t="str">
        <f aca="false">IF(TRIM(Checks!$U$707)&lt;&gt;"",Checks!$U$707&amp;IF(Checks!$AB$707="","",CHAR(10)&amp;"CA: "&amp;Checks!$AB$707),IF(LEFT(Checks!$AH$707,10)="N/A – RULE","","[ ] Pass"&amp;CHAR(10)&amp;"[ ] Pass after CA"&amp;CHAR(10)&amp;"[ ] Fail"&amp;IF(Checks!$AT$707=1,CHAR(10)&amp;"[ ] N/A","")&amp;CHAR(10)&amp;"CA: Open / Closed"))</f>
        <v>[ ] Pass
[ ] Pass after CA
[ ] Fail
CA: Open / Closed</v>
      </c>
      <c r="E28" s="120" t="str">
        <f aca="false">IF(Checks!$V$707="","",Checks!$V$707)&amp;IF(Checks!$AC$707="","",IF(Checks!$V$707="","",CHAR(10))&amp;"N/A just.: "&amp;Checks!$AC$707)&amp;IF(OR(Checks!$W$707&lt;&gt;"",AND(Checks!$AQ$707=1,NOT(LEFT(Checks!$AH$707,10)="N/A – RULE"))),CHAR(10)&amp;"Batch: "&amp;IF(Checks!$W$707="","____________",Checks!$W$707),"")&amp;IF(OR(Checks!$X$707&lt;&gt;"",Checks!$Y$707&lt;&gt;"",AND(Checks!$AR$707=1,NOT(LEFT(Checks!$AH$707,10)="N/A – RULE"))),CHAR(10)&amp;"Exp: "&amp;IF(Checks!$X$707="","______",Checks!$X$707)&amp;"  /  Act: "&amp;IF(Checks!$Y$707="","______",Checks!$Y$707),"")</f>
        <v/>
      </c>
      <c r="F28" s="120" t="str">
        <f aca="false">IF(AND(LEFT(Checks!$AH$707,10)="N/A – RULE",TRIM(Checks!$S$707&amp;Checks!$Z$707)=""),"","Type: "&amp;IF(TRIM(Checks!$S$707)="","______________ (see cover list)",Checks!$S$707)&amp;CHAR(10)&amp;"ID: "&amp;IF(TRIM(Checks!$Z$707)="","______________ (record's own no.)",Checks!$Z$707))&amp;IF(Checks!$AA$707="","",CHAR(10)&amp;"CA: "&amp;Checks!$AA$707)</f>
        <v>Type: ______________ (see cover list)
ID: ______________ (record's own no.)</v>
      </c>
      <c r="G28" s="120" t="str">
        <f aca="false">IF(AND(LEFT(Checks!$AH$707,10)="N/A – RULE",NOT(ISNUMBER(Checks!$AD$707)),Checks!$AE$707="",Checks!$T$707=""),"","Done: "&amp;IF(ISNUMBER(Checks!$AD$707),TEXT(Checks!$AD$707,"DD-MMM-YY HH:MM"),"____________")&amp;" "&amp;Checks!$P$707&amp;CHAR(10)&amp;"Verifier: "&amp;IF(Checks!$AE$707="","____________",Checks!$AE$707)&amp;CHAR(10)&amp;"PIC: "&amp;IF(Checks!$T$707="","____________",Checks!$T$707))</f>
        <v>Done: ____________ KUL
Verifier: ____________
PIC: ____________</v>
      </c>
      <c r="H28" s="121" t="str">
        <f aca="false">IF(Checks!$AH$707="","",Checks!$AH$707)</f>
        <v>OPEN</v>
      </c>
    </row>
    <row r="29" customFormat="false" ht="114" hidden="false" customHeight="true" outlineLevel="0" collapsed="false">
      <c r="A29" s="120" t="str">
        <f aca="false">Checks!$A$708&amp;CHAR(10)&amp;IF(Checks!$I$708="","",Checks!$I$708&amp;": ")&amp;Checks!$J$708</f>
        <v>F22-T7-07
Documents: Galley loading diagram (GLD) received, revision recorded &amp; attached</v>
      </c>
      <c r="B29" s="120" t="str">
        <f aca="false">SUBSTITUTE(Checks!$K$708&amp;IF(Checks!$O$708="","",IF(Checks!$K$708="","",CHAR(10))&amp;"Note: "&amp;Checks!$O$708),"Documents sheet row complete","Recorded on the Documents sheet; copy stapled as A1 / A2")</f>
        <v>Recorded on the Documents sheet; copy stapled as A1 / A2</v>
      </c>
      <c r="C29" s="120" t="str">
        <f aca="false">Checks!$N$708&amp;CHAR(10)&amp;IF(ISNUMBER(Checks!$R$708),TEXT(Checks!$R$708,"DD-MMM-YY HH:MM"),"")&amp;" "&amp;Checks!$P$708</f>
        <v>Required
23-Oct-26 23:20 KUL</v>
      </c>
      <c r="D29" s="120" t="str">
        <f aca="false">IF(TRIM(Checks!$U$708)&lt;&gt;"",Checks!$U$708&amp;IF(Checks!$AB$708="","",CHAR(10)&amp;"CA: "&amp;Checks!$AB$708),IF(LEFT(Checks!$AH$708,10)="N/A – RULE","","[ ] Pass"&amp;CHAR(10)&amp;"[ ] Pass after CA"&amp;CHAR(10)&amp;"[ ] Fail"&amp;IF(Checks!$AT$708=1,CHAR(10)&amp;"[ ] N/A","")&amp;CHAR(10)&amp;"CA: Open / Closed"))</f>
        <v>[ ] Pass
[ ] Pass after CA
[ ] Fail
CA: Open / Closed</v>
      </c>
      <c r="E29" s="120" t="str">
        <f aca="false">IF(Checks!$V$708="","",Checks!$V$708)&amp;IF(Checks!$AC$708="","",IF(Checks!$V$708="","",CHAR(10))&amp;"N/A just.: "&amp;Checks!$AC$708)&amp;IF(OR(Checks!$W$708&lt;&gt;"",AND(Checks!$AQ$708=1,NOT(LEFT(Checks!$AH$708,10)="N/A – RULE"))),CHAR(10)&amp;"Batch: "&amp;IF(Checks!$W$708="","____________",Checks!$W$708),"")&amp;IF(OR(Checks!$X$708&lt;&gt;"",Checks!$Y$708&lt;&gt;"",AND(Checks!$AR$708=1,NOT(LEFT(Checks!$AH$708,10)="N/A – RULE"))),CHAR(10)&amp;"Exp: "&amp;IF(Checks!$X$708="","______",Checks!$X$708)&amp;"  /  Act: "&amp;IF(Checks!$Y$708="","______",Checks!$Y$708),"")</f>
        <v/>
      </c>
      <c r="F29" s="120" t="str">
        <f aca="false">IF(AND(LEFT(Checks!$AH$708,10)="N/A – RULE",TRIM(Checks!$S$708&amp;Checks!$Z$708)=""),"","Type: "&amp;IF(TRIM(Checks!$S$708)="","______________ (see cover list)",Checks!$S$708)&amp;CHAR(10)&amp;"ID: "&amp;IF(TRIM(Checks!$Z$708)="","______________ (record's own no.)",Checks!$Z$708))&amp;IF(Checks!$AA$708="","",CHAR(10)&amp;"CA: "&amp;Checks!$AA$708)</f>
        <v>Type: ______________ (see cover list)
ID: ______________ (record's own no.)</v>
      </c>
      <c r="G29" s="120" t="str">
        <f aca="false">IF(AND(LEFT(Checks!$AH$708,10)="N/A – RULE",NOT(ISNUMBER(Checks!$AD$708)),Checks!$AE$708="",Checks!$T$708=""),"","Done: "&amp;IF(ISNUMBER(Checks!$AD$708),TEXT(Checks!$AD$708,"DD-MMM-YY HH:MM"),"____________")&amp;" "&amp;Checks!$P$708&amp;CHAR(10)&amp;"Verifier: "&amp;IF(Checks!$AE$708="","____________",Checks!$AE$708)&amp;CHAR(10)&amp;"PIC: "&amp;IF(Checks!$T$708="","____________",Checks!$T$708))</f>
        <v>Done: ____________ KUL
Verifier: ____________
PIC: ____________</v>
      </c>
      <c r="H29" s="121" t="str">
        <f aca="false">IF(Checks!$AH$708="","",Checks!$AH$708)</f>
        <v>OPEN</v>
      </c>
    </row>
    <row r="30" customFormat="false" ht="114" hidden="false" customHeight="true" outlineLevel="0" collapsed="false">
      <c r="A30" s="120" t="str">
        <f aca="false">Checks!$A$709&amp;CHAR(10)&amp;IF(Checks!$I$709="","",Checks!$I$709&amp;": ")&amp;Checks!$J$709</f>
        <v>F22-T7-08
Documents: Menu checklist received, revision recorded &amp; attached</v>
      </c>
      <c r="B30" s="120" t="str">
        <f aca="false">SUBSTITUTE(Checks!$K$709&amp;IF(Checks!$O$709="","",IF(Checks!$K$709="","",CHAR(10))&amp;"Note: "&amp;Checks!$O$709),"Documents sheet row complete","Recorded on the Documents sheet; copy stapled as A1 / A2")</f>
        <v>Recorded on the Documents sheet; copy stapled as A1 / A2</v>
      </c>
      <c r="C30" s="120" t="str">
        <f aca="false">Checks!$N$709&amp;CHAR(10)&amp;IF(ISNUMBER(Checks!$R$709),TEXT(Checks!$R$709,"DD-MMM-YY HH:MM"),"")&amp;" "&amp;Checks!$P$709</f>
        <v>Required
23-Oct-26 23:20 KUL</v>
      </c>
      <c r="D30" s="120" t="str">
        <f aca="false">IF(TRIM(Checks!$U$709)&lt;&gt;"",Checks!$U$709&amp;IF(Checks!$AB$709="","",CHAR(10)&amp;"CA: "&amp;Checks!$AB$709),IF(LEFT(Checks!$AH$709,10)="N/A – RULE","","[ ] Pass"&amp;CHAR(10)&amp;"[ ] Pass after CA"&amp;CHAR(10)&amp;"[ ] Fail"&amp;IF(Checks!$AT$709=1,CHAR(10)&amp;"[ ] N/A","")&amp;CHAR(10)&amp;"CA: Open / Closed"))</f>
        <v>[ ] Pass
[ ] Pass after CA
[ ] Fail
CA: Open / Closed</v>
      </c>
      <c r="E30" s="120" t="str">
        <f aca="false">IF(Checks!$V$709="","",Checks!$V$709)&amp;IF(Checks!$AC$709="","",IF(Checks!$V$709="","",CHAR(10))&amp;"N/A just.: "&amp;Checks!$AC$709)&amp;IF(OR(Checks!$W$709&lt;&gt;"",AND(Checks!$AQ$709=1,NOT(LEFT(Checks!$AH$709,10)="N/A – RULE"))),CHAR(10)&amp;"Batch: "&amp;IF(Checks!$W$709="","____________",Checks!$W$709),"")&amp;IF(OR(Checks!$X$709&lt;&gt;"",Checks!$Y$709&lt;&gt;"",AND(Checks!$AR$709=1,NOT(LEFT(Checks!$AH$709,10)="N/A – RULE"))),CHAR(10)&amp;"Exp: "&amp;IF(Checks!$X$709="","______",Checks!$X$709)&amp;"  /  Act: "&amp;IF(Checks!$Y$709="","______",Checks!$Y$709),"")</f>
        <v/>
      </c>
      <c r="F30" s="120" t="str">
        <f aca="false">IF(AND(LEFT(Checks!$AH$709,10)="N/A – RULE",TRIM(Checks!$S$709&amp;Checks!$Z$709)=""),"","Type: "&amp;IF(TRIM(Checks!$S$709)="","______________ (see cover list)",Checks!$S$709)&amp;CHAR(10)&amp;"ID: "&amp;IF(TRIM(Checks!$Z$709)="","______________ (record's own no.)",Checks!$Z$709))&amp;IF(Checks!$AA$709="","",CHAR(10)&amp;"CA: "&amp;Checks!$AA$709)</f>
        <v>Type: ______________ (see cover list)
ID: ______________ (record's own no.)</v>
      </c>
      <c r="G30" s="120" t="str">
        <f aca="false">IF(AND(LEFT(Checks!$AH$709,10)="N/A – RULE",NOT(ISNUMBER(Checks!$AD$709)),Checks!$AE$709="",Checks!$T$709=""),"","Done: "&amp;IF(ISNUMBER(Checks!$AD$709),TEXT(Checks!$AD$709,"DD-MMM-YY HH:MM"),"____________")&amp;" "&amp;Checks!$P$709&amp;CHAR(10)&amp;"Verifier: "&amp;IF(Checks!$AE$709="","____________",Checks!$AE$709)&amp;CHAR(10)&amp;"PIC: "&amp;IF(Checks!$T$709="","____________",Checks!$T$709))</f>
        <v>Done: ____________ KUL
Verifier: ____________
PIC: ____________</v>
      </c>
      <c r="H30" s="121" t="str">
        <f aca="false">IF(Checks!$AH$709="","",Checks!$AH$709)</f>
        <v>OPEN</v>
      </c>
    </row>
    <row r="31" customFormat="false" ht="114" hidden="false" customHeight="true" outlineLevel="0" collapsed="false">
      <c r="A31" s="120" t="str">
        <f aca="false">Checks!$A$710&amp;CHAR(10)&amp;IF(Checks!$I$710="","",Checks!$I$710&amp;": ")&amp;Checks!$J$710</f>
        <v>F22-T7-09
Uplift plan: Uplift plan confirmed with caterer vs STD Uplift Information</v>
      </c>
      <c r="B31" s="120" t="str">
        <f aca="false">Checks!$K$710&amp;IF(Checks!$O$710="","",IF(Checks!$K$710="","",CHAR(10))&amp;"Note: "&amp;Checks!$O$710)</f>
        <v>Service: 2.5 Meal (Meal); meal uplift stn KUL (ref lists KUL/LHR)</v>
      </c>
      <c r="C31" s="120" t="str">
        <f aca="false">Checks!$N$710&amp;CHAR(10)&amp;IF(ISNUMBER(Checks!$R$710),TEXT(Checks!$R$710,"DD-MMM-YY HH:MM"),"")&amp;" "&amp;Checks!$P$710</f>
        <v>Required
23-Oct-26 23:20 KUL</v>
      </c>
      <c r="D31" s="120" t="str">
        <f aca="false">IF(TRIM(Checks!$U$710)&lt;&gt;"",Checks!$U$710&amp;IF(Checks!$AB$710="","",CHAR(10)&amp;"CA: "&amp;Checks!$AB$710),IF(LEFT(Checks!$AH$710,10)="N/A – RULE","","[ ] Pass"&amp;CHAR(10)&amp;"[ ] Pass after CA"&amp;CHAR(10)&amp;"[ ] Fail"&amp;IF(Checks!$AT$710=1,CHAR(10)&amp;"[ ] N/A","")&amp;CHAR(10)&amp;"CA: Open / Closed"))</f>
        <v>[ ] Pass
[ ] Pass after CA
[ ] Fail
CA: Open / Closed</v>
      </c>
      <c r="E31" s="120" t="str">
        <f aca="false">IF(Checks!$V$710="","",Checks!$V$710)&amp;IF(Checks!$AC$710="","",IF(Checks!$V$710="","",CHAR(10))&amp;"N/A just.: "&amp;Checks!$AC$710)&amp;IF(OR(Checks!$W$710&lt;&gt;"",AND(Checks!$AQ$710=1,NOT(LEFT(Checks!$AH$710,10)="N/A – RULE"))),CHAR(10)&amp;"Batch: "&amp;IF(Checks!$W$710="","____________",Checks!$W$710),"")&amp;IF(OR(Checks!$X$710&lt;&gt;"",Checks!$Y$710&lt;&gt;"",AND(Checks!$AR$710=1,NOT(LEFT(Checks!$AH$710,10)="N/A – RULE"))),CHAR(10)&amp;"Exp: "&amp;IF(Checks!$X$710="","______",Checks!$X$710)&amp;"  /  Act: "&amp;IF(Checks!$Y$710="","______",Checks!$Y$710),"")</f>
        <v/>
      </c>
      <c r="F31" s="120" t="str">
        <f aca="false">IF(AND(LEFT(Checks!$AH$710,10)="N/A – RULE",TRIM(Checks!$S$710&amp;Checks!$Z$710)=""),"","Type: "&amp;IF(TRIM(Checks!$S$710)="","______________ (see cover list)",Checks!$S$710)&amp;CHAR(10)&amp;"ID: "&amp;IF(TRIM(Checks!$Z$710)="","______________ (record's own no.)",Checks!$Z$710))&amp;IF(Checks!$AA$710="","",CHAR(10)&amp;"CA: "&amp;Checks!$AA$710)</f>
        <v>Type: ______________ (see cover list)
ID: ______________ (record's own no.)</v>
      </c>
      <c r="G31" s="120" t="str">
        <f aca="false">IF(AND(LEFT(Checks!$AH$710,10)="N/A – RULE",NOT(ISNUMBER(Checks!$AD$710)),Checks!$AE$710="",Checks!$T$710=""),"","Done: "&amp;IF(ISNUMBER(Checks!$AD$710),TEXT(Checks!$AD$710,"DD-MMM-YY HH:MM"),"____________")&amp;" "&amp;Checks!$P$710&amp;CHAR(10)&amp;"Verifier: "&amp;IF(Checks!$AE$710="","____________",Checks!$AE$710)&amp;CHAR(10)&amp;"PIC: "&amp;IF(Checks!$T$710="","____________",Checks!$T$710))</f>
        <v>Done: ____________ KUL
Verifier: ____________
PIC: ____________</v>
      </c>
      <c r="H31" s="121" t="str">
        <f aca="false">IF(Checks!$AH$710="","",Checks!$AH$710)</f>
        <v>OPEN</v>
      </c>
    </row>
    <row r="32" customFormat="false" ht="25.5" hidden="false" customHeight="true" outlineLevel="0" collapsed="false">
      <c r="A32" s="119" t="str">
        <f aca="false">"T-24H — Production batch sensory  |  Due "&amp;IF(ISNUMBER(Flights!$AH$26),TEXT(Flights!$AH$26,"DD-MMM-YY HH:MM"),"")&amp;" "&amp;Flights!$V$26&amp;" (meal uplift stn)"&amp;" (rows with another due show their own)  |  Complete "&amp;IF(ISNUMBER(Flights!$AK$26),TEXT(Flights!$AK$26,"0%"),Flights!$AK$26)&amp;"  |  1 lines"</f>
        <v>T-24H — Production batch sensory  |  Due 29-Oct-26 23:20 KUL (meal uplift stn) (rows with another due show their own)  |  Complete 0%  |  1 lines</v>
      </c>
      <c r="B32" s="119"/>
      <c r="C32" s="119"/>
      <c r="D32" s="119"/>
      <c r="E32" s="119"/>
      <c r="F32" s="119"/>
      <c r="G32" s="119"/>
      <c r="H32" s="119"/>
    </row>
    <row r="33" customFormat="false" ht="114" hidden="false" customHeight="true" outlineLevel="0" collapsed="false">
      <c r="A33" s="120" t="str">
        <f aca="false">Checks!$A$711&amp;CHAR(10)&amp;IF(Checks!$I$711="","",Checks!$I$711&amp;": ")&amp;Checks!$J$711</f>
        <v>F22-T24-01
Meal: Sensory test repeated on ACTUAL production batch for this flight</v>
      </c>
      <c r="B33" s="120" t="str">
        <f aca="false">Checks!$K$711&amp;IF(Checks!$O$711="","",IF(Checks!$K$711="","",CHAR(10))&amp;"Note: "&amp;Checks!$O$711)</f>
        <v>Batch ID, result, CA and acceptance mandatory</v>
      </c>
      <c r="C33" s="120" t="str">
        <f aca="false">Checks!$N$711&amp;CHAR(10)&amp;IF(ISNUMBER(Checks!$R$711),TEXT(Checks!$R$711,"DD-MMM-YY HH:MM"),"")&amp;" "&amp;Checks!$P$711</f>
        <v>Required
29-Oct-26 23:20 KUL</v>
      </c>
      <c r="D33" s="120" t="str">
        <f aca="false">IF(TRIM(Checks!$U$711)&lt;&gt;"",Checks!$U$711&amp;IF(Checks!$AB$711="","",CHAR(10)&amp;"CA: "&amp;Checks!$AB$711),IF(LEFT(Checks!$AH$711,10)="N/A – RULE","","[ ] Pass"&amp;CHAR(10)&amp;"[ ] Pass after CA"&amp;CHAR(10)&amp;"[ ] Fail"&amp;IF(Checks!$AT$711=1,CHAR(10)&amp;"[ ] N/A","")&amp;CHAR(10)&amp;"CA: Open / Closed"))</f>
        <v>[ ] Pass
[ ] Pass after CA
[ ] Fail
CA: Open / Closed</v>
      </c>
      <c r="E33" s="120" t="str">
        <f aca="false">IF(Checks!$V$711="","",Checks!$V$711)&amp;IF(Checks!$AC$711="","",IF(Checks!$V$711="","",CHAR(10))&amp;"N/A just.: "&amp;Checks!$AC$711)&amp;IF(OR(Checks!$W$711&lt;&gt;"",AND(Checks!$AQ$711=1,NOT(LEFT(Checks!$AH$711,10)="N/A – RULE"))),CHAR(10)&amp;"Batch: "&amp;IF(Checks!$W$711="","____________",Checks!$W$711),"")&amp;IF(OR(Checks!$X$711&lt;&gt;"",Checks!$Y$711&lt;&gt;"",AND(Checks!$AR$711=1,NOT(LEFT(Checks!$AH$711,10)="N/A – RULE"))),CHAR(10)&amp;"Exp: "&amp;IF(Checks!$X$711="","______",Checks!$X$711)&amp;"  /  Act: "&amp;IF(Checks!$Y$711="","______",Checks!$Y$711),"")</f>
        <v>
Batch: ____________</v>
      </c>
      <c r="F33" s="120" t="str">
        <f aca="false">IF(AND(LEFT(Checks!$AH$711,10)="N/A – RULE",TRIM(Checks!$S$711&amp;Checks!$Z$711)=""),"","Type: "&amp;IF(TRIM(Checks!$S$711)="","______________ (see cover list)",Checks!$S$711)&amp;CHAR(10)&amp;"ID: "&amp;IF(TRIM(Checks!$Z$711)="","______________ (record's own no.)",Checks!$Z$711))&amp;IF(Checks!$AA$711="","",CHAR(10)&amp;"CA: "&amp;Checks!$AA$711)</f>
        <v>Type: ______________ (see cover list)
ID: ______________ (record's own no.)</v>
      </c>
      <c r="G33" s="120" t="str">
        <f aca="false">IF(AND(LEFT(Checks!$AH$711,10)="N/A – RULE",NOT(ISNUMBER(Checks!$AD$711)),Checks!$AE$711="",Checks!$T$711=""),"","Done: "&amp;IF(ISNUMBER(Checks!$AD$711),TEXT(Checks!$AD$711,"DD-MMM-YY HH:MM"),"____________")&amp;" "&amp;Checks!$P$711&amp;CHAR(10)&amp;"Verifier: "&amp;IF(Checks!$AE$711="","____________",Checks!$AE$711)&amp;CHAR(10)&amp;"PIC: "&amp;IF(Checks!$T$711="","____________",Checks!$T$711))</f>
        <v>Done: ____________ KUL
Verifier: ____________
PIC: ____________</v>
      </c>
      <c r="H33" s="121" t="str">
        <f aca="false">IF(Checks!$AH$711="","",Checks!$AH$711)</f>
        <v>OPEN</v>
      </c>
    </row>
    <row r="34" customFormat="false" ht="25.5" hidden="false" customHeight="true" outlineLevel="0" collapsed="false">
      <c r="A34" s="119" t="str">
        <f aca="false">"T-12H PREP — Preparation check at caterer (does NOT confirm loading)  |  Due "&amp;IF(ISNUMBER(Flights!$AI$26),TEXT(Flights!$AI$26,"DD-MMM-YY HH:MM"),"")&amp;" "&amp;Flights!$V$26&amp;" (meal uplift stn)"&amp;" (rows with another due show their own)  |  Complete "&amp;IF(ISNUMBER(Flights!$AL$26),TEXT(Flights!$AL$26,"0%"),Flights!$AL$26)&amp;"  |  21 lines"</f>
        <v>T-12H PREP — Preparation check at caterer (does NOT confirm loading)  |  Due 30-Oct-26 11:20 KUL (meal uplift stn) (rows with another due show their own)  |  Complete 0%  |  21 lines</v>
      </c>
      <c r="B34" s="119"/>
      <c r="C34" s="119"/>
      <c r="D34" s="119"/>
      <c r="E34" s="119"/>
      <c r="F34" s="119"/>
      <c r="G34" s="119"/>
      <c r="H34" s="119"/>
    </row>
    <row r="35" customFormat="false" ht="114" hidden="false" customHeight="true" outlineLevel="0" collapsed="false">
      <c r="A35" s="120" t="str">
        <f aca="false">Checks!$A$712&amp;CHAR(10)&amp;IF(Checks!$I$712="","",Checks!$I$712&amp;": ")&amp;Checks!$J$712</f>
        <v>F22-T12-01
Meal: Meal quality vs menu checklist</v>
      </c>
      <c r="B35" s="120" t="str">
        <f aca="false">Checks!$K$712&amp;IF(Checks!$O$712="","",IF(Checks!$K$712="","",CHAR(10))&amp;"Note: "&amp;Checks!$O$712)</f>
        <v>Note: Preparation check at caterer - does NOT confirm loading.</v>
      </c>
      <c r="C35" s="120" t="str">
        <f aca="false">Checks!$N$712&amp;CHAR(10)&amp;IF(ISNUMBER(Checks!$R$712),TEXT(Checks!$R$712,"DD-MMM-YY HH:MM"),"")&amp;" "&amp;Checks!$P$712</f>
        <v>Required
30-Oct-26 11:20 KUL</v>
      </c>
      <c r="D35" s="120" t="str">
        <f aca="false">IF(TRIM(Checks!$U$712)&lt;&gt;"",Checks!$U$712&amp;IF(Checks!$AB$712="","",CHAR(10)&amp;"CA: "&amp;Checks!$AB$712),IF(LEFT(Checks!$AH$712,10)="N/A – RULE","","[ ] Pass"&amp;CHAR(10)&amp;"[ ] Pass after CA"&amp;CHAR(10)&amp;"[ ] Fail"&amp;IF(Checks!$AT$712=1,CHAR(10)&amp;"[ ] N/A","")&amp;CHAR(10)&amp;"CA: Open / Closed"))</f>
        <v>[ ] Pass
[ ] Pass after CA
[ ] Fail
CA: Open / Closed</v>
      </c>
      <c r="E35" s="120" t="str">
        <f aca="false">IF(Checks!$V$712="","",Checks!$V$712)&amp;IF(Checks!$AC$712="","",IF(Checks!$V$712="","",CHAR(10))&amp;"N/A just.: "&amp;Checks!$AC$712)&amp;IF(OR(Checks!$W$712&lt;&gt;"",AND(Checks!$AQ$712=1,NOT(LEFT(Checks!$AH$712,10)="N/A – RULE"))),CHAR(10)&amp;"Batch: "&amp;IF(Checks!$W$712="","____________",Checks!$W$712),"")&amp;IF(OR(Checks!$X$712&lt;&gt;"",Checks!$Y$712&lt;&gt;"",AND(Checks!$AR$712=1,NOT(LEFT(Checks!$AH$712,10)="N/A – RULE"))),CHAR(10)&amp;"Exp: "&amp;IF(Checks!$X$712="","______",Checks!$X$712)&amp;"  /  Act: "&amp;IF(Checks!$Y$712="","______",Checks!$Y$712),"")</f>
        <v/>
      </c>
      <c r="F35" s="120" t="str">
        <f aca="false">IF(AND(LEFT(Checks!$AH$712,10)="N/A – RULE",TRIM(Checks!$S$712&amp;Checks!$Z$712)=""),"","Type: "&amp;IF(TRIM(Checks!$S$712)="","______________ (see cover list)",Checks!$S$712)&amp;CHAR(10)&amp;"ID: "&amp;IF(TRIM(Checks!$Z$712)="","______________ (record's own no.)",Checks!$Z$712))&amp;IF(Checks!$AA$712="","",CHAR(10)&amp;"CA: "&amp;Checks!$AA$712)</f>
        <v>Type: ______________ (see cover list)
ID: ______________ (record's own no.)</v>
      </c>
      <c r="G35" s="120" t="str">
        <f aca="false">IF(AND(LEFT(Checks!$AH$712,10)="N/A – RULE",NOT(ISNUMBER(Checks!$AD$712)),Checks!$AE$712="",Checks!$T$712=""),"","Done: "&amp;IF(ISNUMBER(Checks!$AD$712),TEXT(Checks!$AD$712,"DD-MMM-YY HH:MM"),"____________")&amp;" "&amp;Checks!$P$712&amp;CHAR(10)&amp;"Verifier: "&amp;IF(Checks!$AE$712="","____________",Checks!$AE$712)&amp;CHAR(10)&amp;"PIC: "&amp;IF(Checks!$T$712="","____________",Checks!$T$712))</f>
        <v>Done: ____________ KUL
Verifier: ____________
PIC: ____________</v>
      </c>
      <c r="H35" s="121" t="str">
        <f aca="false">IF(Checks!$AH$712="","",Checks!$AH$712)</f>
        <v>OPEN</v>
      </c>
    </row>
    <row r="36" customFormat="false" ht="114" hidden="false" customHeight="true" outlineLevel="0" collapsed="false">
      <c r="A36" s="120" t="str">
        <f aca="false">Checks!$A$713&amp;CHAR(10)&amp;IF(Checks!$I$713="","",Checks!$I$713&amp;": ")&amp;Checks!$J$713</f>
        <v>F22-T12-02
Meal: Meal quantities vs menu checklist</v>
      </c>
      <c r="B36" s="120" t="str">
        <f aca="false">Checks!$K$713&amp;IF(Checks!$O$713="","",IF(Checks!$K$713="","",CHAR(10))&amp;"Note: "&amp;Checks!$O$713)</f>
        <v>Enter expected &amp; actual
Note: Preparation check at caterer - does NOT confirm loading.</v>
      </c>
      <c r="C36" s="120" t="str">
        <f aca="false">Checks!$N$713&amp;CHAR(10)&amp;IF(ISNUMBER(Checks!$R$713),TEXT(Checks!$R$713,"DD-MMM-YY HH:MM"),"")&amp;" "&amp;Checks!$P$713</f>
        <v>Required
30-Oct-26 11:20 KUL</v>
      </c>
      <c r="D36" s="120" t="str">
        <f aca="false">IF(TRIM(Checks!$U$713)&lt;&gt;"",Checks!$U$713&amp;IF(Checks!$AB$713="","",CHAR(10)&amp;"CA: "&amp;Checks!$AB$713),IF(LEFT(Checks!$AH$713,10)="N/A – RULE","","[ ] Pass"&amp;CHAR(10)&amp;"[ ] Pass after CA"&amp;CHAR(10)&amp;"[ ] Fail"&amp;IF(Checks!$AT$713=1,CHAR(10)&amp;"[ ] N/A","")&amp;CHAR(10)&amp;"CA: Open / Closed"))</f>
        <v>[ ] Pass
[ ] Pass after CA
[ ] Fail
CA: Open / Closed</v>
      </c>
      <c r="E36" s="120" t="str">
        <f aca="false">IF(Checks!$V$713="","",Checks!$V$713)&amp;IF(Checks!$AC$713="","",IF(Checks!$V$713="","",CHAR(10))&amp;"N/A just.: "&amp;Checks!$AC$713)&amp;IF(OR(Checks!$W$713&lt;&gt;"",AND(Checks!$AQ$713=1,NOT(LEFT(Checks!$AH$713,10)="N/A – RULE"))),CHAR(10)&amp;"Batch: "&amp;IF(Checks!$W$713="","____________",Checks!$W$713),"")&amp;IF(OR(Checks!$X$713&lt;&gt;"",Checks!$Y$713&lt;&gt;"",AND(Checks!$AR$713=1,NOT(LEFT(Checks!$AH$713,10)="N/A – RULE"))),CHAR(10)&amp;"Exp: "&amp;IF(Checks!$X$713="","______",Checks!$X$713)&amp;"  /  Act: "&amp;IF(Checks!$Y$713="","______",Checks!$Y$713),"")</f>
        <v>
Exp: ______  /  Act: ______</v>
      </c>
      <c r="F36" s="120" t="str">
        <f aca="false">IF(AND(LEFT(Checks!$AH$713,10)="N/A – RULE",TRIM(Checks!$S$713&amp;Checks!$Z$713)=""),"","Type: "&amp;IF(TRIM(Checks!$S$713)="","______________ (see cover list)",Checks!$S$713)&amp;CHAR(10)&amp;"ID: "&amp;IF(TRIM(Checks!$Z$713)="","______________ (record's own no.)",Checks!$Z$713))&amp;IF(Checks!$AA$713="","",CHAR(10)&amp;"CA: "&amp;Checks!$AA$713)</f>
        <v>Type: ______________ (see cover list)
ID: ______________ (record's own no.)</v>
      </c>
      <c r="G36" s="120" t="str">
        <f aca="false">IF(AND(LEFT(Checks!$AH$713,10)="N/A – RULE",NOT(ISNUMBER(Checks!$AD$713)),Checks!$AE$713="",Checks!$T$713=""),"","Done: "&amp;IF(ISNUMBER(Checks!$AD$713),TEXT(Checks!$AD$713,"DD-MMM-YY HH:MM"),"____________")&amp;" "&amp;Checks!$P$713&amp;CHAR(10)&amp;"Verifier: "&amp;IF(Checks!$AE$713="","____________",Checks!$AE$713)&amp;CHAR(10)&amp;"PIC: "&amp;IF(Checks!$T$713="","____________",Checks!$T$713))</f>
        <v>Done: ____________ KUL
Verifier: ____________
PIC: ____________</v>
      </c>
      <c r="H36" s="121" t="str">
        <f aca="false">IF(Checks!$AH$713="","",Checks!$AH$713)</f>
        <v>OPEN</v>
      </c>
    </row>
    <row r="37" customFormat="false" ht="114" hidden="false" customHeight="true" outlineLevel="0" collapsed="false">
      <c r="A37" s="120" t="str">
        <f aca="false">Checks!$A$714&amp;CHAR(10)&amp;IF(Checks!$I$714="","",Checks!$I$714&amp;": ")&amp;Checks!$J$714</f>
        <v>F22-T12-03
Equipment: Equipment cleanliness vs GLD</v>
      </c>
      <c r="B37" s="120" t="str">
        <f aca="false">Checks!$K$714&amp;IF(Checks!$O$714="","",IF(Checks!$K$714="","",CHAR(10))&amp;"Note: "&amp;Checks!$O$714)</f>
        <v>Note: Preparation check at caterer - does NOT confirm loading.</v>
      </c>
      <c r="C37" s="120" t="str">
        <f aca="false">Checks!$N$714&amp;CHAR(10)&amp;IF(ISNUMBER(Checks!$R$714),TEXT(Checks!$R$714,"DD-MMM-YY HH:MM"),"")&amp;" "&amp;Checks!$P$714</f>
        <v>Required
30-Oct-26 11:20 KUL</v>
      </c>
      <c r="D37" s="120" t="str">
        <f aca="false">IF(TRIM(Checks!$U$714)&lt;&gt;"",Checks!$U$714&amp;IF(Checks!$AB$714="","",CHAR(10)&amp;"CA: "&amp;Checks!$AB$714),IF(LEFT(Checks!$AH$714,10)="N/A – RULE","","[ ] Pass"&amp;CHAR(10)&amp;"[ ] Pass after CA"&amp;CHAR(10)&amp;"[ ] Fail"&amp;IF(Checks!$AT$714=1,CHAR(10)&amp;"[ ] N/A","")&amp;CHAR(10)&amp;"CA: Open / Closed"))</f>
        <v>[ ] Pass
[ ] Pass after CA
[ ] Fail
CA: Open / Closed</v>
      </c>
      <c r="E37" s="120" t="str">
        <f aca="false">IF(Checks!$V$714="","",Checks!$V$714)&amp;IF(Checks!$AC$714="","",IF(Checks!$V$714="","",CHAR(10))&amp;"N/A just.: "&amp;Checks!$AC$714)&amp;IF(OR(Checks!$W$714&lt;&gt;"",AND(Checks!$AQ$714=1,NOT(LEFT(Checks!$AH$714,10)="N/A – RULE"))),CHAR(10)&amp;"Batch: "&amp;IF(Checks!$W$714="","____________",Checks!$W$714),"")&amp;IF(OR(Checks!$X$714&lt;&gt;"",Checks!$Y$714&lt;&gt;"",AND(Checks!$AR$714=1,NOT(LEFT(Checks!$AH$714,10)="N/A – RULE"))),CHAR(10)&amp;"Exp: "&amp;IF(Checks!$X$714="","______",Checks!$X$714)&amp;"  /  Act: "&amp;IF(Checks!$Y$714="","______",Checks!$Y$714),"")</f>
        <v/>
      </c>
      <c r="F37" s="120" t="str">
        <f aca="false">IF(AND(LEFT(Checks!$AH$714,10)="N/A – RULE",TRIM(Checks!$S$714&amp;Checks!$Z$714)=""),"","Type: "&amp;IF(TRIM(Checks!$S$714)="","______________ (see cover list)",Checks!$S$714)&amp;CHAR(10)&amp;"ID: "&amp;IF(TRIM(Checks!$Z$714)="","______________ (record's own no.)",Checks!$Z$714))&amp;IF(Checks!$AA$714="","",CHAR(10)&amp;"CA: "&amp;Checks!$AA$714)</f>
        <v>Type: ______________ (see cover list)
ID: ______________ (record's own no.)</v>
      </c>
      <c r="G37" s="120" t="str">
        <f aca="false">IF(AND(LEFT(Checks!$AH$714,10)="N/A – RULE",NOT(ISNUMBER(Checks!$AD$714)),Checks!$AE$714="",Checks!$T$714=""),"","Done: "&amp;IF(ISNUMBER(Checks!$AD$714),TEXT(Checks!$AD$714,"DD-MMM-YY HH:MM"),"____________")&amp;" "&amp;Checks!$P$714&amp;CHAR(10)&amp;"Verifier: "&amp;IF(Checks!$AE$714="","____________",Checks!$AE$714)&amp;CHAR(10)&amp;"PIC: "&amp;IF(Checks!$T$714="","____________",Checks!$T$714))</f>
        <v>Done: ____________ KUL
Verifier: ____________
PIC: ____________</v>
      </c>
      <c r="H37" s="121" t="str">
        <f aca="false">IF(Checks!$AH$714="","",Checks!$AH$714)</f>
        <v>OPEN</v>
      </c>
    </row>
    <row r="38" customFormat="false" ht="114" hidden="false" customHeight="true" outlineLevel="0" collapsed="false">
      <c r="A38" s="120" t="str">
        <f aca="false">Checks!$A$715&amp;CHAR(10)&amp;IF(Checks!$I$715="","",Checks!$I$715&amp;": ")&amp;Checks!$J$715</f>
        <v>F22-T12-04
Equipment: Equipment presentation vs GLD</v>
      </c>
      <c r="B38" s="120" t="str">
        <f aca="false">Checks!$K$715&amp;IF(Checks!$O$715="","",IF(Checks!$K$715="","",CHAR(10))&amp;"Note: "&amp;Checks!$O$715)</f>
        <v>Note: Preparation check at caterer - does NOT confirm loading.</v>
      </c>
      <c r="C38" s="120" t="str">
        <f aca="false">Checks!$N$715&amp;CHAR(10)&amp;IF(ISNUMBER(Checks!$R$715),TEXT(Checks!$R$715,"DD-MMM-YY HH:MM"),"")&amp;" "&amp;Checks!$P$715</f>
        <v>Required
30-Oct-26 11:20 KUL</v>
      </c>
      <c r="D38" s="120" t="str">
        <f aca="false">IF(TRIM(Checks!$U$715)&lt;&gt;"",Checks!$U$715&amp;IF(Checks!$AB$715="","",CHAR(10)&amp;"CA: "&amp;Checks!$AB$715),IF(LEFT(Checks!$AH$715,10)="N/A – RULE","","[ ] Pass"&amp;CHAR(10)&amp;"[ ] Pass after CA"&amp;CHAR(10)&amp;"[ ] Fail"&amp;IF(Checks!$AT$715=1,CHAR(10)&amp;"[ ] N/A","")&amp;CHAR(10)&amp;"CA: Open / Closed"))</f>
        <v>[ ] Pass
[ ] Pass after CA
[ ] Fail
CA: Open / Closed</v>
      </c>
      <c r="E38" s="120" t="str">
        <f aca="false">IF(Checks!$V$715="","",Checks!$V$715)&amp;IF(Checks!$AC$715="","",IF(Checks!$V$715="","",CHAR(10))&amp;"N/A just.: "&amp;Checks!$AC$715)&amp;IF(OR(Checks!$W$715&lt;&gt;"",AND(Checks!$AQ$715=1,NOT(LEFT(Checks!$AH$715,10)="N/A – RULE"))),CHAR(10)&amp;"Batch: "&amp;IF(Checks!$W$715="","____________",Checks!$W$715),"")&amp;IF(OR(Checks!$X$715&lt;&gt;"",Checks!$Y$715&lt;&gt;"",AND(Checks!$AR$715=1,NOT(LEFT(Checks!$AH$715,10)="N/A – RULE"))),CHAR(10)&amp;"Exp: "&amp;IF(Checks!$X$715="","______",Checks!$X$715)&amp;"  /  Act: "&amp;IF(Checks!$Y$715="","______",Checks!$Y$715),"")</f>
        <v/>
      </c>
      <c r="F38" s="120" t="str">
        <f aca="false">IF(AND(LEFT(Checks!$AH$715,10)="N/A – RULE",TRIM(Checks!$S$715&amp;Checks!$Z$715)=""),"","Type: "&amp;IF(TRIM(Checks!$S$715)="","______________ (see cover list)",Checks!$S$715)&amp;CHAR(10)&amp;"ID: "&amp;IF(TRIM(Checks!$Z$715)="","______________ (record's own no.)",Checks!$Z$715))&amp;IF(Checks!$AA$715="","",CHAR(10)&amp;"CA: "&amp;Checks!$AA$715)</f>
        <v>Type: ______________ (see cover list)
ID: ______________ (record's own no.)</v>
      </c>
      <c r="G38" s="120" t="str">
        <f aca="false">IF(AND(LEFT(Checks!$AH$715,10)="N/A – RULE",NOT(ISNUMBER(Checks!$AD$715)),Checks!$AE$715="",Checks!$T$715=""),"","Done: "&amp;IF(ISNUMBER(Checks!$AD$715),TEXT(Checks!$AD$715,"DD-MMM-YY HH:MM"),"____________")&amp;" "&amp;Checks!$P$715&amp;CHAR(10)&amp;"Verifier: "&amp;IF(Checks!$AE$715="","____________",Checks!$AE$715)&amp;CHAR(10)&amp;"PIC: "&amp;IF(Checks!$T$715="","____________",Checks!$T$715))</f>
        <v>Done: ____________ KUL
Verifier: ____________
PIC: ____________</v>
      </c>
      <c r="H38" s="121" t="str">
        <f aca="false">IF(Checks!$AH$715="","",Checks!$AH$715)</f>
        <v>OPEN</v>
      </c>
    </row>
    <row r="39" customFormat="false" ht="114" hidden="false" customHeight="true" outlineLevel="0" collapsed="false">
      <c r="A39" s="120" t="str">
        <f aca="false">Checks!$A$716&amp;CHAR(10)&amp;IF(Checks!$I$716="","",Checks!$I$716&amp;": ")&amp;Checks!$J$716</f>
        <v>F22-T12-05
Equipment: Equipment serviceability vs GLD</v>
      </c>
      <c r="B39" s="120" t="str">
        <f aca="false">Checks!$K$716&amp;IF(Checks!$O$716="","",IF(Checks!$K$716="","",CHAR(10))&amp;"Note: "&amp;Checks!$O$716)</f>
        <v>Note: Preparation check at caterer - does NOT confirm loading.</v>
      </c>
      <c r="C39" s="120" t="str">
        <f aca="false">Checks!$N$716&amp;CHAR(10)&amp;IF(ISNUMBER(Checks!$R$716),TEXT(Checks!$R$716,"DD-MMM-YY HH:MM"),"")&amp;" "&amp;Checks!$P$716</f>
        <v>Required
30-Oct-26 11:20 KUL</v>
      </c>
      <c r="D39" s="120" t="str">
        <f aca="false">IF(TRIM(Checks!$U$716)&lt;&gt;"",Checks!$U$716&amp;IF(Checks!$AB$716="","",CHAR(10)&amp;"CA: "&amp;Checks!$AB$716),IF(LEFT(Checks!$AH$716,10)="N/A – RULE","","[ ] Pass"&amp;CHAR(10)&amp;"[ ] Pass after CA"&amp;CHAR(10)&amp;"[ ] Fail"&amp;IF(Checks!$AT$716=1,CHAR(10)&amp;"[ ] N/A","")&amp;CHAR(10)&amp;"CA: Open / Closed"))</f>
        <v>[ ] Pass
[ ] Pass after CA
[ ] Fail
CA: Open / Closed</v>
      </c>
      <c r="E39" s="120" t="str">
        <f aca="false">IF(Checks!$V$716="","",Checks!$V$716)&amp;IF(Checks!$AC$716="","",IF(Checks!$V$716="","",CHAR(10))&amp;"N/A just.: "&amp;Checks!$AC$716)&amp;IF(OR(Checks!$W$716&lt;&gt;"",AND(Checks!$AQ$716=1,NOT(LEFT(Checks!$AH$716,10)="N/A – RULE"))),CHAR(10)&amp;"Batch: "&amp;IF(Checks!$W$716="","____________",Checks!$W$716),"")&amp;IF(OR(Checks!$X$716&lt;&gt;"",Checks!$Y$716&lt;&gt;"",AND(Checks!$AR$716=1,NOT(LEFT(Checks!$AH$716,10)="N/A – RULE"))),CHAR(10)&amp;"Exp: "&amp;IF(Checks!$X$716="","______",Checks!$X$716)&amp;"  /  Act: "&amp;IF(Checks!$Y$716="","______",Checks!$Y$716),"")</f>
        <v/>
      </c>
      <c r="F39" s="120" t="str">
        <f aca="false">IF(AND(LEFT(Checks!$AH$716,10)="N/A – RULE",TRIM(Checks!$S$716&amp;Checks!$Z$716)=""),"","Type: "&amp;IF(TRIM(Checks!$S$716)="","______________ (see cover list)",Checks!$S$716)&amp;CHAR(10)&amp;"ID: "&amp;IF(TRIM(Checks!$Z$716)="","______________ (record's own no.)",Checks!$Z$716))&amp;IF(Checks!$AA$716="","",CHAR(10)&amp;"CA: "&amp;Checks!$AA$716)</f>
        <v>Type: ______________ (see cover list)
ID: ______________ (record's own no.)</v>
      </c>
      <c r="G39" s="120" t="str">
        <f aca="false">IF(AND(LEFT(Checks!$AH$716,10)="N/A – RULE",NOT(ISNUMBER(Checks!$AD$716)),Checks!$AE$716="",Checks!$T$716=""),"","Done: "&amp;IF(ISNUMBER(Checks!$AD$716),TEXT(Checks!$AD$716,"DD-MMM-YY HH:MM"),"____________")&amp;" "&amp;Checks!$P$716&amp;CHAR(10)&amp;"Verifier: "&amp;IF(Checks!$AE$716="","____________",Checks!$AE$716)&amp;CHAR(10)&amp;"PIC: "&amp;IF(Checks!$T$716="","____________",Checks!$T$716))</f>
        <v>Done: ____________ KUL
Verifier: ____________
PIC: ____________</v>
      </c>
      <c r="H39" s="121" t="str">
        <f aca="false">IF(Checks!$AH$716="","",Checks!$AH$716)</f>
        <v>OPEN</v>
      </c>
    </row>
    <row r="40" customFormat="false" ht="289.5" hidden="false" customHeight="true" outlineLevel="0" collapsed="false">
      <c r="A40" s="120" t="str">
        <f aca="false">Checks!$A$717&amp;CHAR(10)&amp;IF(Checks!$I$717="","",Checks!$I$717&amp;": ")&amp;Checks!$J$717</f>
        <v>F22-T12-06
Equipment: Equipment quantities vs GLD</v>
      </c>
      <c r="B40" s="120" t="str">
        <f aca="false">SUBSTITUTE(SUBSTITUTE(SUBSTITUTE(Checks!$K$717&amp;IF(Checks!$O$717="","",IF(Checks!$K$717="","",CHAR(10))&amp;"Note: "&amp;Checks!$O$717),"makers -,","makers n/a,")," (AIRCRAFT TYPE!C6:R6)","")," (AIRCRAFT TYPE!C7:R7)","")</f>
        <v>Enter expected &amp; actual. Aircraft galley data: A350-900 (A359): carts 50.5, SU 70, ovens 14, warming ovens 3, fridges 3, water heaters 7, beverage makers n/a, espresso 2, folding trolleys 4, headsets BC &amp; EY: Dual Pin | A350-900 (A350): carts 41.5, SU 52, ovens 14, warming ovens 0, fridges 1, water heaters 11, beverage makers n/a, espresso 1, folding trolleys 3, headsets BC: Dual Pin/ EY: Single Pin
Note: Preparation check at caterer - does NOT confirm loading.</v>
      </c>
      <c r="C40" s="120" t="str">
        <f aca="false">Checks!$N$717&amp;CHAR(10)&amp;IF(ISNUMBER(Checks!$R$717),TEXT(Checks!$R$717,"DD-MMM-YY HH:MM"),"")&amp;" "&amp;Checks!$P$717</f>
        <v>Required
30-Oct-26 11:20 KUL</v>
      </c>
      <c r="D40" s="120" t="str">
        <f aca="false">IF(TRIM(Checks!$U$717)&lt;&gt;"",Checks!$U$717&amp;IF(Checks!$AB$717="","",CHAR(10)&amp;"CA: "&amp;Checks!$AB$717),IF(LEFT(Checks!$AH$717,10)="N/A – RULE","","[ ] Pass"&amp;CHAR(10)&amp;"[ ] Pass after CA"&amp;CHAR(10)&amp;"[ ] Fail"&amp;IF(Checks!$AT$717=1,CHAR(10)&amp;"[ ] N/A","")&amp;CHAR(10)&amp;"CA: Open / Closed"))</f>
        <v>[ ] Pass
[ ] Pass after CA
[ ] Fail
CA: Open / Closed</v>
      </c>
      <c r="E40" s="120" t="str">
        <f aca="false">IF(Checks!$V$717="","",Checks!$V$717)&amp;IF(Checks!$AC$717="","",IF(Checks!$V$717="","",CHAR(10))&amp;"N/A just.: "&amp;Checks!$AC$717)&amp;IF(OR(Checks!$W$717&lt;&gt;"",AND(Checks!$AQ$717=1,NOT(LEFT(Checks!$AH$717,10)="N/A – RULE"))),CHAR(10)&amp;"Batch: "&amp;IF(Checks!$W$717="","____________",Checks!$W$717),"")&amp;IF(OR(Checks!$X$717&lt;&gt;"",Checks!$Y$717&lt;&gt;"",AND(Checks!$AR$717=1,NOT(LEFT(Checks!$AH$717,10)="N/A – RULE"))),CHAR(10)&amp;"Exp: "&amp;IF(Checks!$X$717="","______",Checks!$X$717)&amp;"  /  Act: "&amp;IF(Checks!$Y$717="","______",Checks!$Y$717),"")</f>
        <v>
Exp: ______  /  Act: ______</v>
      </c>
      <c r="F40" s="120" t="str">
        <f aca="false">IF(AND(LEFT(Checks!$AH$717,10)="N/A – RULE",TRIM(Checks!$S$717&amp;Checks!$Z$717)=""),"","Type: "&amp;IF(TRIM(Checks!$S$717)="","______________ (see cover list)",Checks!$S$717)&amp;CHAR(10)&amp;"ID: "&amp;IF(TRIM(Checks!$Z$717)="","______________ (record's own no.)",Checks!$Z$717))&amp;IF(Checks!$AA$717="","",CHAR(10)&amp;"CA: "&amp;Checks!$AA$717)</f>
        <v>Type: ______________ (see cover list)
ID: ______________ (record's own no.)</v>
      </c>
      <c r="G40" s="120" t="str">
        <f aca="false">IF(AND(LEFT(Checks!$AH$717,10)="N/A – RULE",NOT(ISNUMBER(Checks!$AD$717)),Checks!$AE$717="",Checks!$T$717=""),"","Done: "&amp;IF(ISNUMBER(Checks!$AD$717),TEXT(Checks!$AD$717,"DD-MMM-YY HH:MM"),"____________")&amp;" "&amp;Checks!$P$717&amp;CHAR(10)&amp;"Verifier: "&amp;IF(Checks!$AE$717="","____________",Checks!$AE$717)&amp;CHAR(10)&amp;"PIC: "&amp;IF(Checks!$T$717="","____________",Checks!$T$717))</f>
        <v>Done: ____________ KUL
Verifier: ____________
PIC: ____________</v>
      </c>
      <c r="H40" s="121" t="str">
        <f aca="false">IF(Checks!$AH$717="","",Checks!$AH$717)</f>
        <v>OPEN</v>
      </c>
    </row>
    <row r="41" customFormat="false" ht="114" hidden="false" customHeight="true" outlineLevel="0" collapsed="false">
      <c r="A41" s="120" t="str">
        <f aca="false">Checks!$A$718&amp;CHAR(10)&amp;IF(Checks!$I$718="","",Checks!$I$718&amp;": ")&amp;Checks!$J$718</f>
        <v>F22-T12-07
Equipment: Loading positions planned vs GLD</v>
      </c>
      <c r="B41" s="120" t="str">
        <f aca="false">Checks!$K$718&amp;IF(Checks!$O$718="","",IF(Checks!$K$718="","",CHAR(10))&amp;"Note: "&amp;Checks!$O$718)</f>
        <v>Note: Preparation check at caterer - does NOT confirm loading.</v>
      </c>
      <c r="C41" s="120" t="str">
        <f aca="false">Checks!$N$718&amp;CHAR(10)&amp;IF(ISNUMBER(Checks!$R$718),TEXT(Checks!$R$718,"DD-MMM-YY HH:MM"),"")&amp;" "&amp;Checks!$P$718</f>
        <v>Required
30-Oct-26 11:20 KUL</v>
      </c>
      <c r="D41" s="120" t="str">
        <f aca="false">IF(TRIM(Checks!$U$718)&lt;&gt;"",Checks!$U$718&amp;IF(Checks!$AB$718="","",CHAR(10)&amp;"CA: "&amp;Checks!$AB$718),IF(LEFT(Checks!$AH$718,10)="N/A – RULE","","[ ] Pass"&amp;CHAR(10)&amp;"[ ] Pass after CA"&amp;CHAR(10)&amp;"[ ] Fail"&amp;IF(Checks!$AT$718=1,CHAR(10)&amp;"[ ] N/A","")&amp;CHAR(10)&amp;"CA: Open / Closed"))</f>
        <v>[ ] Pass
[ ] Pass after CA
[ ] Fail
CA: Open / Closed</v>
      </c>
      <c r="E41" s="120" t="str">
        <f aca="false">IF(Checks!$V$718="","",Checks!$V$718)&amp;IF(Checks!$AC$718="","",IF(Checks!$V$718="","",CHAR(10))&amp;"N/A just.: "&amp;Checks!$AC$718)&amp;IF(OR(Checks!$W$718&lt;&gt;"",AND(Checks!$AQ$718=1,NOT(LEFT(Checks!$AH$718,10)="N/A – RULE"))),CHAR(10)&amp;"Batch: "&amp;IF(Checks!$W$718="","____________",Checks!$W$718),"")&amp;IF(OR(Checks!$X$718&lt;&gt;"",Checks!$Y$718&lt;&gt;"",AND(Checks!$AR$718=1,NOT(LEFT(Checks!$AH$718,10)="N/A – RULE"))),CHAR(10)&amp;"Exp: "&amp;IF(Checks!$X$718="","______",Checks!$X$718)&amp;"  /  Act: "&amp;IF(Checks!$Y$718="","______",Checks!$Y$718),"")</f>
        <v/>
      </c>
      <c r="F41" s="120" t="str">
        <f aca="false">IF(AND(LEFT(Checks!$AH$718,10)="N/A – RULE",TRIM(Checks!$S$718&amp;Checks!$Z$718)=""),"","Type: "&amp;IF(TRIM(Checks!$S$718)="","______________ (see cover list)",Checks!$S$718)&amp;CHAR(10)&amp;"ID: "&amp;IF(TRIM(Checks!$Z$718)="","______________ (record's own no.)",Checks!$Z$718))&amp;IF(Checks!$AA$718="","",CHAR(10)&amp;"CA: "&amp;Checks!$AA$718)</f>
        <v>Type: ______________ (see cover list)
ID: ______________ (record's own no.)</v>
      </c>
      <c r="G41" s="120" t="str">
        <f aca="false">IF(AND(LEFT(Checks!$AH$718,10)="N/A – RULE",NOT(ISNUMBER(Checks!$AD$718)),Checks!$AE$718="",Checks!$T$718=""),"","Done: "&amp;IF(ISNUMBER(Checks!$AD$718),TEXT(Checks!$AD$718,"DD-MMM-YY HH:MM"),"____________")&amp;" "&amp;Checks!$P$718&amp;CHAR(10)&amp;"Verifier: "&amp;IF(Checks!$AE$718="","____________",Checks!$AE$718)&amp;CHAR(10)&amp;"PIC: "&amp;IF(Checks!$T$718="","____________",Checks!$T$718))</f>
        <v>Done: ____________ KUL
Verifier: ____________
PIC: ____________</v>
      </c>
      <c r="H41" s="121" t="str">
        <f aca="false">IF(Checks!$AH$718="","",Checks!$AH$718)</f>
        <v>OPEN</v>
      </c>
    </row>
    <row r="42" customFormat="false" ht="213" hidden="false" customHeight="true" outlineLevel="0" collapsed="false">
      <c r="A42" s="120" t="str">
        <f aca="false">Checks!$A$719&amp;CHAR(10)&amp;IF(Checks!$I$719="","",Checks!$I$719&amp;": ")&amp;Checks!$J$719</f>
        <v>F22-T12-08
Amenities: Toiletry kits - prepared</v>
      </c>
      <c r="B42" s="120" t="str">
        <f aca="false">SUBSTITUTE(SUBSTITUTE(Checks!$K$719&amp;IF(Checks!$O$719="","",IF(Checks!$K$719="","",CHAR(10))&amp;"Note: "&amp;Checks!$O$719),"A350 row AMENITIES!C12","The A350 row of the AMENITIES reference"),"(general row C11: uplift stn H11 = ","(general row: uplift stn ")</f>
        <v>Available (ticked in reference)
Note: The A350 row of the AMENITIES reference names LHR as the toiletry-kit uplift stn, but this leg departs KUL (general row: uplift stn KUL). Confirm where toiletry kits for this KUL-LHR BC leg are uplifted; if at LHR they travel on the inbound LHR-KUL sector and must be verified at KUL before this departure.</v>
      </c>
      <c r="C42" s="120" t="str">
        <f aca="false">Checks!$N$719&amp;CHAR(10)&amp;IF(ISNUMBER(Checks!$R$719),TEXT(Checks!$R$719,"DD-MMM-YY HH:MM"),"")&amp;" "&amp;Checks!$P$719</f>
        <v>Clarification required
30-Oct-26 11:20 KUL</v>
      </c>
      <c r="D42" s="120" t="str">
        <f aca="false">IF(TRIM(Checks!$U$719)&lt;&gt;"",Checks!$U$719&amp;IF(Checks!$AB$719="","",CHAR(10)&amp;"CA: "&amp;Checks!$AB$719),IF(LEFT(Checks!$AH$719,10)="N/A – RULE","","[ ] Pass"&amp;CHAR(10)&amp;"[ ] Pass after CA"&amp;CHAR(10)&amp;"[ ] Fail"&amp;IF(Checks!$AT$719=1,CHAR(10)&amp;"[ ] N/A","")&amp;CHAR(10)&amp;"CA: Open / Closed"))</f>
        <v>[ ] Pass
[ ] Pass after CA
[ ] Fail
[ ] N/A
CA: Open / Closed</v>
      </c>
      <c r="E42" s="120" t="str">
        <f aca="false">IF(Checks!$V$719="","",Checks!$V$719)&amp;IF(Checks!$AC$719="","",IF(Checks!$V$719="","",CHAR(10))&amp;"N/A just.: "&amp;Checks!$AC$719)&amp;IF(OR(Checks!$W$719&lt;&gt;"",AND(Checks!$AQ$719=1,NOT(LEFT(Checks!$AH$719,10)="N/A – RULE"))),CHAR(10)&amp;"Batch: "&amp;IF(Checks!$W$719="","____________",Checks!$W$719),"")&amp;IF(OR(Checks!$X$719&lt;&gt;"",Checks!$Y$719&lt;&gt;"",AND(Checks!$AR$719=1,NOT(LEFT(Checks!$AH$719,10)="N/A – RULE"))),CHAR(10)&amp;"Exp: "&amp;IF(Checks!$X$719="","______",Checks!$X$719)&amp;"  /  Act: "&amp;IF(Checks!$Y$719="","______",Checks!$Y$719),"")</f>
        <v/>
      </c>
      <c r="F42" s="120" t="str">
        <f aca="false">IF(AND(LEFT(Checks!$AH$719,10)="N/A – RULE",TRIM(Checks!$S$719&amp;Checks!$Z$719)=""),"","Type: "&amp;IF(TRIM(Checks!$S$719)="","______________ (see cover list)",Checks!$S$719)&amp;CHAR(10)&amp;"ID: "&amp;IF(TRIM(Checks!$Z$719)="","______________ (record's own no.)",Checks!$Z$719))&amp;IF(Checks!$AA$719="","",CHAR(10)&amp;"CA: "&amp;Checks!$AA$719)</f>
        <v>Type: ______________ (see cover list)
ID: ______________ (record's own no.)</v>
      </c>
      <c r="G42" s="120" t="str">
        <f aca="false">IF(AND(LEFT(Checks!$AH$719,10)="N/A – RULE",NOT(ISNUMBER(Checks!$AD$719)),Checks!$AE$719="",Checks!$T$719=""),"","Done: "&amp;IF(ISNUMBER(Checks!$AD$719),TEXT(Checks!$AD$719,"DD-MMM-YY HH:MM"),"____________")&amp;" "&amp;Checks!$P$719&amp;CHAR(10)&amp;"Verifier: "&amp;IF(Checks!$AE$719="","____________",Checks!$AE$719)&amp;CHAR(10)&amp;"PIC: "&amp;IF(Checks!$T$719="","____________",Checks!$T$719))</f>
        <v>Done: ____________ KUL
Verifier: ____________
PIC: ____________</v>
      </c>
      <c r="H42" s="121" t="str">
        <f aca="false">IF(Checks!$AH$719="","",Checks!$AH$719)</f>
        <v>OPEN – CLARIFICATION</v>
      </c>
    </row>
    <row r="43" customFormat="false" ht="114" hidden="false" customHeight="true" outlineLevel="0" collapsed="false">
      <c r="A43" s="120" t="str">
        <f aca="false">Checks!$A$720&amp;CHAR(10)&amp;IF(Checks!$I$720="","",Checks!$I$720&amp;": ")&amp;Checks!$J$720</f>
        <v>F22-T12-09
Amenities: Pajamas (BC) - prepared</v>
      </c>
      <c r="B43" s="120" t="str">
        <f aca="false">Checks!$K$720&amp;IF(Checks!$O$720="","",IF(Checks!$K$720="","",CHAR(10))&amp;"Note: "&amp;Checks!$O$720)</f>
        <v>Available - BC red-eye only
Note: Red-eye departure 2320 local.</v>
      </c>
      <c r="C43" s="120" t="str">
        <f aca="false">Checks!$N$720&amp;CHAR(10)&amp;IF(ISNUMBER(Checks!$R$720),TEXT(Checks!$R$720,"DD-MMM-YY HH:MM"),"")&amp;" "&amp;Checks!$P$720</f>
        <v>Required
30-Oct-26 11:20 KUL</v>
      </c>
      <c r="D43" s="120" t="str">
        <f aca="false">IF(TRIM(Checks!$U$720)&lt;&gt;"",Checks!$U$720&amp;IF(Checks!$AB$720="","",CHAR(10)&amp;"CA: "&amp;Checks!$AB$720),IF(LEFT(Checks!$AH$720,10)="N/A – RULE","","[ ] Pass"&amp;CHAR(10)&amp;"[ ] Pass after CA"&amp;CHAR(10)&amp;"[ ] Fail"&amp;IF(Checks!$AT$720=1,CHAR(10)&amp;"[ ] N/A","")&amp;CHAR(10)&amp;"CA: Open / Closed"))</f>
        <v>[ ] Pass
[ ] Pass after CA
[ ] Fail
CA: Open / Closed</v>
      </c>
      <c r="E43" s="120" t="str">
        <f aca="false">IF(Checks!$V$720="","",Checks!$V$720)&amp;IF(Checks!$AC$720="","",IF(Checks!$V$720="","",CHAR(10))&amp;"N/A just.: "&amp;Checks!$AC$720)&amp;IF(OR(Checks!$W$720&lt;&gt;"",AND(Checks!$AQ$720=1,NOT(LEFT(Checks!$AH$720,10)="N/A – RULE"))),CHAR(10)&amp;"Batch: "&amp;IF(Checks!$W$720="","____________",Checks!$W$720),"")&amp;IF(OR(Checks!$X$720&lt;&gt;"",Checks!$Y$720&lt;&gt;"",AND(Checks!$AR$720=1,NOT(LEFT(Checks!$AH$720,10)="N/A – RULE"))),CHAR(10)&amp;"Exp: "&amp;IF(Checks!$X$720="","______",Checks!$X$720)&amp;"  /  Act: "&amp;IF(Checks!$Y$720="","______",Checks!$Y$720),"")</f>
        <v/>
      </c>
      <c r="F43" s="120" t="str">
        <f aca="false">IF(AND(LEFT(Checks!$AH$720,10)="N/A – RULE",TRIM(Checks!$S$720&amp;Checks!$Z$720)=""),"","Type: "&amp;IF(TRIM(Checks!$S$720)="","______________ (see cover list)",Checks!$S$720)&amp;CHAR(10)&amp;"ID: "&amp;IF(TRIM(Checks!$Z$720)="","______________ (record's own no.)",Checks!$Z$720))&amp;IF(Checks!$AA$720="","",CHAR(10)&amp;"CA: "&amp;Checks!$AA$720)</f>
        <v>Type: ______________ (see cover list)
ID: ______________ (record's own no.)</v>
      </c>
      <c r="G43" s="120" t="str">
        <f aca="false">IF(AND(LEFT(Checks!$AH$720,10)="N/A – RULE",NOT(ISNUMBER(Checks!$AD$720)),Checks!$AE$720="",Checks!$T$720=""),"","Done: "&amp;IF(ISNUMBER(Checks!$AD$720),TEXT(Checks!$AD$720,"DD-MMM-YY HH:MM"),"____________")&amp;" "&amp;Checks!$P$720&amp;CHAR(10)&amp;"Verifier: "&amp;IF(Checks!$AE$720="","____________",Checks!$AE$720)&amp;CHAR(10)&amp;"PIC: "&amp;IF(Checks!$T$720="","____________",Checks!$T$720))</f>
        <v>Done: ____________ KUL
Verifier: ____________
PIC: ____________</v>
      </c>
      <c r="H43" s="121" t="str">
        <f aca="false">IF(Checks!$AH$720="","",Checks!$AH$720)</f>
        <v>OPEN</v>
      </c>
    </row>
    <row r="44" customFormat="false" ht="114" hidden="false" customHeight="true" outlineLevel="0" collapsed="false">
      <c r="A44" s="120" t="str">
        <f aca="false">Checks!$A$721&amp;CHAR(10)&amp;IF(Checks!$I$721="","",Checks!$I$721&amp;": ")&amp;Checks!$J$721</f>
        <v>F22-T12-10
Amenities: Slippers (BS/BC) - prepared</v>
      </c>
      <c r="B44" s="120" t="str">
        <f aca="false">Checks!$K$721&amp;IF(Checks!$O$721="","",IF(Checks!$K$721="","",CHAR(10))&amp;"Note: "&amp;Checks!$O$721)</f>
        <v>Available (ticked in reference)</v>
      </c>
      <c r="C44" s="120" t="str">
        <f aca="false">Checks!$N$721&amp;CHAR(10)&amp;IF(ISNUMBER(Checks!$R$721),TEXT(Checks!$R$721,"DD-MMM-YY HH:MM"),"")&amp;" "&amp;Checks!$P$721</f>
        <v>Required
30-Oct-26 11:20 KUL</v>
      </c>
      <c r="D44" s="120" t="str">
        <f aca="false">IF(TRIM(Checks!$U$721)&lt;&gt;"",Checks!$U$721&amp;IF(Checks!$AB$721="","",CHAR(10)&amp;"CA: "&amp;Checks!$AB$721),IF(LEFT(Checks!$AH$721,10)="N/A – RULE","","[ ] Pass"&amp;CHAR(10)&amp;"[ ] Pass after CA"&amp;CHAR(10)&amp;"[ ] Fail"&amp;IF(Checks!$AT$721=1,CHAR(10)&amp;"[ ] N/A","")&amp;CHAR(10)&amp;"CA: Open / Closed"))</f>
        <v>[ ] Pass
[ ] Pass after CA
[ ] Fail
CA: Open / Closed</v>
      </c>
      <c r="E44" s="120" t="str">
        <f aca="false">IF(Checks!$V$721="","",Checks!$V$721)&amp;IF(Checks!$AC$721="","",IF(Checks!$V$721="","",CHAR(10))&amp;"N/A just.: "&amp;Checks!$AC$721)&amp;IF(OR(Checks!$W$721&lt;&gt;"",AND(Checks!$AQ$721=1,NOT(LEFT(Checks!$AH$721,10)="N/A – RULE"))),CHAR(10)&amp;"Batch: "&amp;IF(Checks!$W$721="","____________",Checks!$W$721),"")&amp;IF(OR(Checks!$X$721&lt;&gt;"",Checks!$Y$721&lt;&gt;"",AND(Checks!$AR$721=1,NOT(LEFT(Checks!$AH$721,10)="N/A – RULE"))),CHAR(10)&amp;"Exp: "&amp;IF(Checks!$X$721="","______",Checks!$X$721)&amp;"  /  Act: "&amp;IF(Checks!$Y$721="","______",Checks!$Y$721),"")</f>
        <v/>
      </c>
      <c r="F44" s="120" t="str">
        <f aca="false">IF(AND(LEFT(Checks!$AH$721,10)="N/A – RULE",TRIM(Checks!$S$721&amp;Checks!$Z$721)=""),"","Type: "&amp;IF(TRIM(Checks!$S$721)="","______________ (see cover list)",Checks!$S$721)&amp;CHAR(10)&amp;"ID: "&amp;IF(TRIM(Checks!$Z$721)="","______________ (record's own no.)",Checks!$Z$721))&amp;IF(Checks!$AA$721="","",CHAR(10)&amp;"CA: "&amp;Checks!$AA$721)</f>
        <v>Type: ______________ (see cover list)
ID: ______________ (record's own no.)</v>
      </c>
      <c r="G44" s="120" t="str">
        <f aca="false">IF(AND(LEFT(Checks!$AH$721,10)="N/A – RULE",NOT(ISNUMBER(Checks!$AD$721)),Checks!$AE$721="",Checks!$T$721=""),"","Done: "&amp;IF(ISNUMBER(Checks!$AD$721),TEXT(Checks!$AD$721,"DD-MMM-YY HH:MM"),"____________")&amp;" "&amp;Checks!$P$721&amp;CHAR(10)&amp;"Verifier: "&amp;IF(Checks!$AE$721="","____________",Checks!$AE$721)&amp;CHAR(10)&amp;"PIC: "&amp;IF(Checks!$T$721="","____________",Checks!$T$721))</f>
        <v>Done: ____________ KUL
Verifier: ____________
PIC: ____________</v>
      </c>
      <c r="H44" s="121" t="str">
        <f aca="false">IF(Checks!$AH$721="","",Checks!$AH$721)</f>
        <v>OPEN</v>
      </c>
    </row>
    <row r="45" customFormat="false" ht="114" hidden="false" customHeight="true" outlineLevel="0" collapsed="false">
      <c r="A45" s="120" t="str">
        <f aca="false">Checks!$A$722&amp;CHAR(10)&amp;IF(Checks!$I$722="","",Checks!$I$722&amp;": ")&amp;Checks!$J$722</f>
        <v>F22-T12-11
F&amp;B Linen: Towel - prepared</v>
      </c>
      <c r="B45" s="120" t="str">
        <f aca="false">Checks!$K$722&amp;IF(Checks!$O$722="","",IF(Checks!$K$722="","",CHAR(10))&amp;"Note: "&amp;Checks!$O$722)</f>
        <v>Available (ticked in reference)
Note: Reference gives no uplift stn for this item: preparation checked at the meal uplift stn (KUL) - confirm with caterer.</v>
      </c>
      <c r="C45" s="120" t="str">
        <f aca="false">Checks!$N$722&amp;CHAR(10)&amp;IF(ISNUMBER(Checks!$R$722),TEXT(Checks!$R$722,"DD-MMM-YY HH:MM"),"")&amp;" "&amp;Checks!$P$722</f>
        <v>Required
30-Oct-26 11:20 KUL</v>
      </c>
      <c r="D45" s="120" t="str">
        <f aca="false">IF(TRIM(Checks!$U$722)&lt;&gt;"",Checks!$U$722&amp;IF(Checks!$AB$722="","",CHAR(10)&amp;"CA: "&amp;Checks!$AB$722),IF(LEFT(Checks!$AH$722,10)="N/A – RULE","","[ ] Pass"&amp;CHAR(10)&amp;"[ ] Pass after CA"&amp;CHAR(10)&amp;"[ ] Fail"&amp;IF(Checks!$AT$722=1,CHAR(10)&amp;"[ ] N/A","")&amp;CHAR(10)&amp;"CA: Open / Closed"))</f>
        <v>[ ] Pass
[ ] Pass after CA
[ ] Fail
CA: Open / Closed</v>
      </c>
      <c r="E45" s="120" t="str">
        <f aca="false">IF(Checks!$V$722="","",Checks!$V$722)&amp;IF(Checks!$AC$722="","",IF(Checks!$V$722="","",CHAR(10))&amp;"N/A just.: "&amp;Checks!$AC$722)&amp;IF(OR(Checks!$W$722&lt;&gt;"",AND(Checks!$AQ$722=1,NOT(LEFT(Checks!$AH$722,10)="N/A – RULE"))),CHAR(10)&amp;"Batch: "&amp;IF(Checks!$W$722="","____________",Checks!$W$722),"")&amp;IF(OR(Checks!$X$722&lt;&gt;"",Checks!$Y$722&lt;&gt;"",AND(Checks!$AR$722=1,NOT(LEFT(Checks!$AH$722,10)="N/A – RULE"))),CHAR(10)&amp;"Exp: "&amp;IF(Checks!$X$722="","______",Checks!$X$722)&amp;"  /  Act: "&amp;IF(Checks!$Y$722="","______",Checks!$Y$722),"")</f>
        <v/>
      </c>
      <c r="F45" s="120" t="str">
        <f aca="false">IF(AND(LEFT(Checks!$AH$722,10)="N/A – RULE",TRIM(Checks!$S$722&amp;Checks!$Z$722)=""),"","Type: "&amp;IF(TRIM(Checks!$S$722)="","______________ (see cover list)",Checks!$S$722)&amp;CHAR(10)&amp;"ID: "&amp;IF(TRIM(Checks!$Z$722)="","______________ (record's own no.)",Checks!$Z$722))&amp;IF(Checks!$AA$722="","",CHAR(10)&amp;"CA: "&amp;Checks!$AA$722)</f>
        <v>Type: ______________ (see cover list)
ID: ______________ (record's own no.)</v>
      </c>
      <c r="G45" s="120" t="str">
        <f aca="false">IF(AND(LEFT(Checks!$AH$722,10)="N/A – RULE",NOT(ISNUMBER(Checks!$AD$722)),Checks!$AE$722="",Checks!$T$722=""),"","Done: "&amp;IF(ISNUMBER(Checks!$AD$722),TEXT(Checks!$AD$722,"DD-MMM-YY HH:MM"),"____________")&amp;" "&amp;Checks!$P$722&amp;CHAR(10)&amp;"Verifier: "&amp;IF(Checks!$AE$722="","____________",Checks!$AE$722)&amp;CHAR(10)&amp;"PIC: "&amp;IF(Checks!$T$722="","____________",Checks!$T$722))</f>
        <v>Done: ____________ KUL
Verifier: ____________
PIC: ____________</v>
      </c>
      <c r="H45" s="121" t="str">
        <f aca="false">IF(Checks!$AH$722="","",Checks!$AH$722)</f>
        <v>OPEN</v>
      </c>
    </row>
    <row r="46" customFormat="false" ht="114" hidden="false" customHeight="true" outlineLevel="0" collapsed="false">
      <c r="A46" s="120" t="str">
        <f aca="false">Checks!$A$723&amp;CHAR(10)&amp;IF(Checks!$I$723="","",Checks!$I$723&amp;": ")&amp;Checks!$J$723</f>
        <v>F22-T12-12
F&amp;B Linen: Tray cloth - prepared</v>
      </c>
      <c r="B46" s="120" t="str">
        <f aca="false">Checks!$K$723&amp;IF(Checks!$O$723="","",IF(Checks!$K$723="","",CHAR(10))&amp;"Note: "&amp;Checks!$O$723)</f>
        <v>Available (ticked in reference)
Note: Reference gives no uplift stn for this item: preparation checked at the meal uplift stn (KUL) - confirm with caterer.</v>
      </c>
      <c r="C46" s="120" t="str">
        <f aca="false">Checks!$N$723&amp;CHAR(10)&amp;IF(ISNUMBER(Checks!$R$723),TEXT(Checks!$R$723,"DD-MMM-YY HH:MM"),"")&amp;" "&amp;Checks!$P$723</f>
        <v>Required
30-Oct-26 11:20 KUL</v>
      </c>
      <c r="D46" s="120" t="str">
        <f aca="false">IF(TRIM(Checks!$U$723)&lt;&gt;"",Checks!$U$723&amp;IF(Checks!$AB$723="","",CHAR(10)&amp;"CA: "&amp;Checks!$AB$723),IF(LEFT(Checks!$AH$723,10)="N/A – RULE","","[ ] Pass"&amp;CHAR(10)&amp;"[ ] Pass after CA"&amp;CHAR(10)&amp;"[ ] Fail"&amp;IF(Checks!$AT$723=1,CHAR(10)&amp;"[ ] N/A","")&amp;CHAR(10)&amp;"CA: Open / Closed"))</f>
        <v>[ ] Pass
[ ] Pass after CA
[ ] Fail
CA: Open / Closed</v>
      </c>
      <c r="E46" s="120" t="str">
        <f aca="false">IF(Checks!$V$723="","",Checks!$V$723)&amp;IF(Checks!$AC$723="","",IF(Checks!$V$723="","",CHAR(10))&amp;"N/A just.: "&amp;Checks!$AC$723)&amp;IF(OR(Checks!$W$723&lt;&gt;"",AND(Checks!$AQ$723=1,NOT(LEFT(Checks!$AH$723,10)="N/A – RULE"))),CHAR(10)&amp;"Batch: "&amp;IF(Checks!$W$723="","____________",Checks!$W$723),"")&amp;IF(OR(Checks!$X$723&lt;&gt;"",Checks!$Y$723&lt;&gt;"",AND(Checks!$AR$723=1,NOT(LEFT(Checks!$AH$723,10)="N/A – RULE"))),CHAR(10)&amp;"Exp: "&amp;IF(Checks!$X$723="","______",Checks!$X$723)&amp;"  /  Act: "&amp;IF(Checks!$Y$723="","______",Checks!$Y$723),"")</f>
        <v/>
      </c>
      <c r="F46" s="120" t="str">
        <f aca="false">IF(AND(LEFT(Checks!$AH$723,10)="N/A – RULE",TRIM(Checks!$S$723&amp;Checks!$Z$723)=""),"","Type: "&amp;IF(TRIM(Checks!$S$723)="","______________ (see cover list)",Checks!$S$723)&amp;CHAR(10)&amp;"ID: "&amp;IF(TRIM(Checks!$Z$723)="","______________ (record's own no.)",Checks!$Z$723))&amp;IF(Checks!$AA$723="","",CHAR(10)&amp;"CA: "&amp;Checks!$AA$723)</f>
        <v>Type: ______________ (see cover list)
ID: ______________ (record's own no.)</v>
      </c>
      <c r="G46" s="120" t="str">
        <f aca="false">IF(AND(LEFT(Checks!$AH$723,10)="N/A – RULE",NOT(ISNUMBER(Checks!$AD$723)),Checks!$AE$723="",Checks!$T$723=""),"","Done: "&amp;IF(ISNUMBER(Checks!$AD$723),TEXT(Checks!$AD$723,"DD-MMM-YY HH:MM"),"____________")&amp;" "&amp;Checks!$P$723&amp;CHAR(10)&amp;"Verifier: "&amp;IF(Checks!$AE$723="","____________",Checks!$AE$723)&amp;CHAR(10)&amp;"PIC: "&amp;IF(Checks!$T$723="","____________",Checks!$T$723))</f>
        <v>Done: ____________ KUL
Verifier: ____________
PIC: ____________</v>
      </c>
      <c r="H46" s="121" t="str">
        <f aca="false">IF(Checks!$AH$723="","",Checks!$AH$723)</f>
        <v>OPEN</v>
      </c>
    </row>
    <row r="47" customFormat="false" ht="114" hidden="false" customHeight="true" outlineLevel="0" collapsed="false">
      <c r="A47" s="120" t="str">
        <f aca="false">Checks!$A$724&amp;CHAR(10)&amp;IF(Checks!$I$724="","",Checks!$I$724&amp;": ")&amp;Checks!$J$724</f>
        <v>F22-T12-13
F&amp;B Linen: Napkin - prepared</v>
      </c>
      <c r="B47" s="120" t="str">
        <f aca="false">Checks!$K$724&amp;IF(Checks!$O$724="","",IF(Checks!$K$724="","",CHAR(10))&amp;"Note: "&amp;Checks!$O$724)</f>
        <v>Available (ticked in reference)
Note: Reference gives no uplift stn for this item: preparation checked at the meal uplift stn (KUL) - confirm with caterer.</v>
      </c>
      <c r="C47" s="120" t="str">
        <f aca="false">Checks!$N$724&amp;CHAR(10)&amp;IF(ISNUMBER(Checks!$R$724),TEXT(Checks!$R$724,"DD-MMM-YY HH:MM"),"")&amp;" "&amp;Checks!$P$724</f>
        <v>Required
30-Oct-26 11:20 KUL</v>
      </c>
      <c r="D47" s="120" t="str">
        <f aca="false">IF(TRIM(Checks!$U$724)&lt;&gt;"",Checks!$U$724&amp;IF(Checks!$AB$724="","",CHAR(10)&amp;"CA: "&amp;Checks!$AB$724),IF(LEFT(Checks!$AH$724,10)="N/A – RULE","","[ ] Pass"&amp;CHAR(10)&amp;"[ ] Pass after CA"&amp;CHAR(10)&amp;"[ ] Fail"&amp;IF(Checks!$AT$724=1,CHAR(10)&amp;"[ ] N/A","")&amp;CHAR(10)&amp;"CA: Open / Closed"))</f>
        <v>[ ] Pass
[ ] Pass after CA
[ ] Fail
CA: Open / Closed</v>
      </c>
      <c r="E47" s="120" t="str">
        <f aca="false">IF(Checks!$V$724="","",Checks!$V$724)&amp;IF(Checks!$AC$724="","",IF(Checks!$V$724="","",CHAR(10))&amp;"N/A just.: "&amp;Checks!$AC$724)&amp;IF(OR(Checks!$W$724&lt;&gt;"",AND(Checks!$AQ$724=1,NOT(LEFT(Checks!$AH$724,10)="N/A – RULE"))),CHAR(10)&amp;"Batch: "&amp;IF(Checks!$W$724="","____________",Checks!$W$724),"")&amp;IF(OR(Checks!$X$724&lt;&gt;"",Checks!$Y$724&lt;&gt;"",AND(Checks!$AR$724=1,NOT(LEFT(Checks!$AH$724,10)="N/A – RULE"))),CHAR(10)&amp;"Exp: "&amp;IF(Checks!$X$724="","______",Checks!$X$724)&amp;"  /  Act: "&amp;IF(Checks!$Y$724="","______",Checks!$Y$724),"")</f>
        <v/>
      </c>
      <c r="F47" s="120" t="str">
        <f aca="false">IF(AND(LEFT(Checks!$AH$724,10)="N/A – RULE",TRIM(Checks!$S$724&amp;Checks!$Z$724)=""),"","Type: "&amp;IF(TRIM(Checks!$S$724)="","______________ (see cover list)",Checks!$S$724)&amp;CHAR(10)&amp;"ID: "&amp;IF(TRIM(Checks!$Z$724)="","______________ (record's own no.)",Checks!$Z$724))&amp;IF(Checks!$AA$724="","",CHAR(10)&amp;"CA: "&amp;Checks!$AA$724)</f>
        <v>Type: ______________ (see cover list)
ID: ______________ (record's own no.)</v>
      </c>
      <c r="G47" s="120" t="str">
        <f aca="false">IF(AND(LEFT(Checks!$AH$724,10)="N/A – RULE",NOT(ISNUMBER(Checks!$AD$724)),Checks!$AE$724="",Checks!$T$724=""),"","Done: "&amp;IF(ISNUMBER(Checks!$AD$724),TEXT(Checks!$AD$724,"DD-MMM-YY HH:MM"),"____________")&amp;" "&amp;Checks!$P$724&amp;CHAR(10)&amp;"Verifier: "&amp;IF(Checks!$AE$724="","____________",Checks!$AE$724)&amp;CHAR(10)&amp;"PIC: "&amp;IF(Checks!$T$724="","____________",Checks!$T$724))</f>
        <v>Done: ____________ KUL
Verifier: ____________
PIC: ____________</v>
      </c>
      <c r="H47" s="121" t="str">
        <f aca="false">IF(Checks!$AH$724="","",Checks!$AH$724)</f>
        <v>OPEN</v>
      </c>
    </row>
    <row r="48" customFormat="false" ht="114" hidden="false" customHeight="true" outlineLevel="0" collapsed="false">
      <c r="A48" s="120" t="str">
        <f aca="false">Checks!$A$725&amp;CHAR(10)&amp;IF(Checks!$I$725="","",Checks!$I$725&amp;": ")&amp;Checks!$J$725</f>
        <v>F22-T12-14
F&amp;B Linen: Table cloth - prepared</v>
      </c>
      <c r="B48" s="120" t="str">
        <f aca="false">Checks!$K$725&amp;IF(Checks!$O$725="","",IF(Checks!$K$725="","",CHAR(10))&amp;"Note: "&amp;Checks!$O$725)</f>
        <v>Available (ticked in reference)
Note: Reference gives no uplift stn for this item: preparation checked at the meal uplift stn (KUL) - confirm with caterer.</v>
      </c>
      <c r="C48" s="120" t="str">
        <f aca="false">Checks!$N$725&amp;CHAR(10)&amp;IF(ISNUMBER(Checks!$R$725),TEXT(Checks!$R$725,"DD-MMM-YY HH:MM"),"")&amp;" "&amp;Checks!$P$725</f>
        <v>Required
30-Oct-26 11:20 KUL</v>
      </c>
      <c r="D48" s="120" t="str">
        <f aca="false">IF(TRIM(Checks!$U$725)&lt;&gt;"",Checks!$U$725&amp;IF(Checks!$AB$725="","",CHAR(10)&amp;"CA: "&amp;Checks!$AB$725),IF(LEFT(Checks!$AH$725,10)="N/A – RULE","","[ ] Pass"&amp;CHAR(10)&amp;"[ ] Pass after CA"&amp;CHAR(10)&amp;"[ ] Fail"&amp;IF(Checks!$AT$725=1,CHAR(10)&amp;"[ ] N/A","")&amp;CHAR(10)&amp;"CA: Open / Closed"))</f>
        <v>[ ] Pass
[ ] Pass after CA
[ ] Fail
CA: Open / Closed</v>
      </c>
      <c r="E48" s="120" t="str">
        <f aca="false">IF(Checks!$V$725="","",Checks!$V$725)&amp;IF(Checks!$AC$725="","",IF(Checks!$V$725="","",CHAR(10))&amp;"N/A just.: "&amp;Checks!$AC$725)&amp;IF(OR(Checks!$W$725&lt;&gt;"",AND(Checks!$AQ$725=1,NOT(LEFT(Checks!$AH$725,10)="N/A – RULE"))),CHAR(10)&amp;"Batch: "&amp;IF(Checks!$W$725="","____________",Checks!$W$725),"")&amp;IF(OR(Checks!$X$725&lt;&gt;"",Checks!$Y$725&lt;&gt;"",AND(Checks!$AR$725=1,NOT(LEFT(Checks!$AH$725,10)="N/A – RULE"))),CHAR(10)&amp;"Exp: "&amp;IF(Checks!$X$725="","______",Checks!$X$725)&amp;"  /  Act: "&amp;IF(Checks!$Y$725="","______",Checks!$Y$725),"")</f>
        <v/>
      </c>
      <c r="F48" s="120" t="str">
        <f aca="false">IF(AND(LEFT(Checks!$AH$725,10)="N/A – RULE",TRIM(Checks!$S$725&amp;Checks!$Z$725)=""),"","Type: "&amp;IF(TRIM(Checks!$S$725)="","______________ (see cover list)",Checks!$S$725)&amp;CHAR(10)&amp;"ID: "&amp;IF(TRIM(Checks!$Z$725)="","______________ (record's own no.)",Checks!$Z$725))&amp;IF(Checks!$AA$725="","",CHAR(10)&amp;"CA: "&amp;Checks!$AA$725)</f>
        <v>Type: ______________ (see cover list)
ID: ______________ (record's own no.)</v>
      </c>
      <c r="G48" s="120" t="str">
        <f aca="false">IF(AND(LEFT(Checks!$AH$725,10)="N/A – RULE",NOT(ISNUMBER(Checks!$AD$725)),Checks!$AE$725="",Checks!$T$725=""),"","Done: "&amp;IF(ISNUMBER(Checks!$AD$725),TEXT(Checks!$AD$725,"DD-MMM-YY HH:MM"),"____________")&amp;" "&amp;Checks!$P$725&amp;CHAR(10)&amp;"Verifier: "&amp;IF(Checks!$AE$725="","____________",Checks!$AE$725)&amp;CHAR(10)&amp;"PIC: "&amp;IF(Checks!$T$725="","____________",Checks!$T$725))</f>
        <v>Done: ____________ KUL
Verifier: ____________
PIC: ____________</v>
      </c>
      <c r="H48" s="121" t="str">
        <f aca="false">IF(Checks!$AH$725="","",Checks!$AH$725)</f>
        <v>OPEN</v>
      </c>
    </row>
    <row r="49" customFormat="false" ht="114" hidden="false" customHeight="true" outlineLevel="0" collapsed="false">
      <c r="A49" s="120" t="str">
        <f aca="false">Checks!$A$726&amp;CHAR(10)&amp;IF(Checks!$I$726="","",Checks!$I$726&amp;": ")&amp;Checks!$J$726</f>
        <v>F22-T12-15
F&amp;B Linen: Bread linen (using table cloth) - prepared</v>
      </c>
      <c r="B49" s="120" t="str">
        <f aca="false">Checks!$K$726&amp;IF(Checks!$O$726="","",IF(Checks!$K$726="","",CHAR(10))&amp;"Note: "&amp;Checks!$O$726)</f>
        <v>Available (ticked in reference)
Note: Reference gives no uplift stn for this item: preparation checked at the meal uplift stn (KUL) - confirm with caterer.</v>
      </c>
      <c r="C49" s="120" t="str">
        <f aca="false">Checks!$N$726&amp;CHAR(10)&amp;IF(ISNUMBER(Checks!$R$726),TEXT(Checks!$R$726,"DD-MMM-YY HH:MM"),"")&amp;" "&amp;Checks!$P$726</f>
        <v>Required
30-Oct-26 11:20 KUL</v>
      </c>
      <c r="D49" s="120" t="str">
        <f aca="false">IF(TRIM(Checks!$U$726)&lt;&gt;"",Checks!$U$726&amp;IF(Checks!$AB$726="","",CHAR(10)&amp;"CA: "&amp;Checks!$AB$726),IF(LEFT(Checks!$AH$726,10)="N/A – RULE","","[ ] Pass"&amp;CHAR(10)&amp;"[ ] Pass after CA"&amp;CHAR(10)&amp;"[ ] Fail"&amp;IF(Checks!$AT$726=1,CHAR(10)&amp;"[ ] N/A","")&amp;CHAR(10)&amp;"CA: Open / Closed"))</f>
        <v>[ ] Pass
[ ] Pass after CA
[ ] Fail
CA: Open / Closed</v>
      </c>
      <c r="E49" s="120" t="str">
        <f aca="false">IF(Checks!$V$726="","",Checks!$V$726)&amp;IF(Checks!$AC$726="","",IF(Checks!$V$726="","",CHAR(10))&amp;"N/A just.: "&amp;Checks!$AC$726)&amp;IF(OR(Checks!$W$726&lt;&gt;"",AND(Checks!$AQ$726=1,NOT(LEFT(Checks!$AH$726,10)="N/A – RULE"))),CHAR(10)&amp;"Batch: "&amp;IF(Checks!$W$726="","____________",Checks!$W$726),"")&amp;IF(OR(Checks!$X$726&lt;&gt;"",Checks!$Y$726&lt;&gt;"",AND(Checks!$AR$726=1,NOT(LEFT(Checks!$AH$726,10)="N/A – RULE"))),CHAR(10)&amp;"Exp: "&amp;IF(Checks!$X$726="","______",Checks!$X$726)&amp;"  /  Act: "&amp;IF(Checks!$Y$726="","______",Checks!$Y$726),"")</f>
        <v/>
      </c>
      <c r="F49" s="120" t="str">
        <f aca="false">IF(AND(LEFT(Checks!$AH$726,10)="N/A – RULE",TRIM(Checks!$S$726&amp;Checks!$Z$726)=""),"","Type: "&amp;IF(TRIM(Checks!$S$726)="","______________ (see cover list)",Checks!$S$726)&amp;CHAR(10)&amp;"ID: "&amp;IF(TRIM(Checks!$Z$726)="","______________ (record's own no.)",Checks!$Z$726))&amp;IF(Checks!$AA$726="","",CHAR(10)&amp;"CA: "&amp;Checks!$AA$726)</f>
        <v>Type: ______________ (see cover list)
ID: ______________ (record's own no.)</v>
      </c>
      <c r="G49" s="120" t="str">
        <f aca="false">IF(AND(LEFT(Checks!$AH$726,10)="N/A – RULE",NOT(ISNUMBER(Checks!$AD$726)),Checks!$AE$726="",Checks!$T$726=""),"","Done: "&amp;IF(ISNUMBER(Checks!$AD$726),TEXT(Checks!$AD$726,"DD-MMM-YY HH:MM"),"____________")&amp;" "&amp;Checks!$P$726&amp;CHAR(10)&amp;"Verifier: "&amp;IF(Checks!$AE$726="","____________",Checks!$AE$726)&amp;CHAR(10)&amp;"PIC: "&amp;IF(Checks!$T$726="","____________",Checks!$T$726))</f>
        <v>Done: ____________ KUL
Verifier: ____________
PIC: ____________</v>
      </c>
      <c r="H49" s="121" t="str">
        <f aca="false">IF(Checks!$AH$726="","",Checks!$AH$726)</f>
        <v>OPEN</v>
      </c>
    </row>
    <row r="50" customFormat="false" ht="124.5" hidden="false" customHeight="true" outlineLevel="0" collapsed="false">
      <c r="A50" s="120" t="str">
        <f aca="false">Checks!$A$727&amp;CHAR(10)&amp;IF(Checks!$I$727="","",Checks!$I$727&amp;": ")&amp;Checks!$J$727</f>
        <v>F22-T12-16
F&amp;B Linen: Trolley cloth - prepared</v>
      </c>
      <c r="B50" s="120" t="str">
        <f aca="false">SUBSTITUTE(SUBSTITUTE(Checks!$K$727&amp;IF(Checks!$O$727="","",IF(Checks!$K$727="","",CHAR(10))&amp;"Note: "&amp;Checks!$O$727),"Per note F&amp;B LINEN!B79:C80.","Per the F&amp;B LINEN reference note."),"note F&amp;B LINEN!B79:C80","the F&amp;B LINEN reference note")</f>
        <v>Wide body: Top/Middle &amp; Bottom
Note: Per the F&amp;B LINEN reference note. Reference gives no uplift stn for this item: preparation checked at the meal uplift stn (KUL) - confirm with caterer.</v>
      </c>
      <c r="C50" s="120" t="str">
        <f aca="false">Checks!$N$727&amp;CHAR(10)&amp;IF(ISNUMBER(Checks!$R$727),TEXT(Checks!$R$727,"DD-MMM-YY HH:MM"),"")&amp;" "&amp;Checks!$P$727</f>
        <v>Required
30-Oct-26 11:20 KUL</v>
      </c>
      <c r="D50" s="120" t="str">
        <f aca="false">IF(TRIM(Checks!$U$727)&lt;&gt;"",Checks!$U$727&amp;IF(Checks!$AB$727="","",CHAR(10)&amp;"CA: "&amp;Checks!$AB$727),IF(LEFT(Checks!$AH$727,10)="N/A – RULE","","[ ] Pass"&amp;CHAR(10)&amp;"[ ] Pass after CA"&amp;CHAR(10)&amp;"[ ] Fail"&amp;IF(Checks!$AT$727=1,CHAR(10)&amp;"[ ] N/A","")&amp;CHAR(10)&amp;"CA: Open / Closed"))</f>
        <v>[ ] Pass
[ ] Pass after CA
[ ] Fail
CA: Open / Closed</v>
      </c>
      <c r="E50" s="120" t="str">
        <f aca="false">IF(Checks!$V$727="","",Checks!$V$727)&amp;IF(Checks!$AC$727="","",IF(Checks!$V$727="","",CHAR(10))&amp;"N/A just.: "&amp;Checks!$AC$727)&amp;IF(OR(Checks!$W$727&lt;&gt;"",AND(Checks!$AQ$727=1,NOT(LEFT(Checks!$AH$727,10)="N/A – RULE"))),CHAR(10)&amp;"Batch: "&amp;IF(Checks!$W$727="","____________",Checks!$W$727),"")&amp;IF(OR(Checks!$X$727&lt;&gt;"",Checks!$Y$727&lt;&gt;"",AND(Checks!$AR$727=1,NOT(LEFT(Checks!$AH$727,10)="N/A – RULE"))),CHAR(10)&amp;"Exp: "&amp;IF(Checks!$X$727="","______",Checks!$X$727)&amp;"  /  Act: "&amp;IF(Checks!$Y$727="","______",Checks!$Y$727),"")</f>
        <v/>
      </c>
      <c r="F50" s="120" t="str">
        <f aca="false">IF(AND(LEFT(Checks!$AH$727,10)="N/A – RULE",TRIM(Checks!$S$727&amp;Checks!$Z$727)=""),"","Type: "&amp;IF(TRIM(Checks!$S$727)="","______________ (see cover list)",Checks!$S$727)&amp;CHAR(10)&amp;"ID: "&amp;IF(TRIM(Checks!$Z$727)="","______________ (record's own no.)",Checks!$Z$727))&amp;IF(Checks!$AA$727="","",CHAR(10)&amp;"CA: "&amp;Checks!$AA$727)</f>
        <v>Type: ______________ (see cover list)
ID: ______________ (record's own no.)</v>
      </c>
      <c r="G50" s="120" t="str">
        <f aca="false">IF(AND(LEFT(Checks!$AH$727,10)="N/A – RULE",NOT(ISNUMBER(Checks!$AD$727)),Checks!$AE$727="",Checks!$T$727=""),"","Done: "&amp;IF(ISNUMBER(Checks!$AD$727),TEXT(Checks!$AD$727,"DD-MMM-YY HH:MM"),"____________")&amp;" "&amp;Checks!$P$727&amp;CHAR(10)&amp;"Verifier: "&amp;IF(Checks!$AE$727="","____________",Checks!$AE$727)&amp;CHAR(10)&amp;"PIC: "&amp;IF(Checks!$T$727="","____________",Checks!$T$727))</f>
        <v>Done: ____________ KUL
Verifier: ____________
PIC: ____________</v>
      </c>
      <c r="H50" s="121" t="str">
        <f aca="false">IF(Checks!$AH$727="","",Checks!$AH$727)</f>
        <v>OPEN</v>
      </c>
    </row>
    <row r="51" customFormat="false" ht="114" hidden="false" customHeight="true" outlineLevel="0" collapsed="false">
      <c r="A51" s="120" t="str">
        <f aca="false">Checks!$A$728&amp;CHAR(10)&amp;IF(Checks!$I$728="","",Checks!$I$728&amp;": ")&amp;Checks!$J$728</f>
        <v>F22-T12-17
F&amp;B Linen: Linen bag - prepared</v>
      </c>
      <c r="B51" s="120" t="str">
        <f aca="false">Checks!$K$728&amp;IF(Checks!$O$728="","",IF(Checks!$K$728="","",CHAR(10))&amp;"Note: "&amp;Checks!$O$728)</f>
        <v>Available (ticked in reference)
Note: Reference gives no uplift stn for this item: preparation checked at the meal uplift stn (KUL) - confirm with caterer.</v>
      </c>
      <c r="C51" s="120" t="str">
        <f aca="false">Checks!$N$728&amp;CHAR(10)&amp;IF(ISNUMBER(Checks!$R$728),TEXT(Checks!$R$728,"DD-MMM-YY HH:MM"),"")&amp;" "&amp;Checks!$P$728</f>
        <v>Required
30-Oct-26 11:20 KUL</v>
      </c>
      <c r="D51" s="120" t="str">
        <f aca="false">IF(TRIM(Checks!$U$728)&lt;&gt;"",Checks!$U$728&amp;IF(Checks!$AB$728="","",CHAR(10)&amp;"CA: "&amp;Checks!$AB$728),IF(LEFT(Checks!$AH$728,10)="N/A – RULE","","[ ] Pass"&amp;CHAR(10)&amp;"[ ] Pass after CA"&amp;CHAR(10)&amp;"[ ] Fail"&amp;IF(Checks!$AT$728=1,CHAR(10)&amp;"[ ] N/A","")&amp;CHAR(10)&amp;"CA: Open / Closed"))</f>
        <v>[ ] Pass
[ ] Pass after CA
[ ] Fail
CA: Open / Closed</v>
      </c>
      <c r="E51" s="120" t="str">
        <f aca="false">IF(Checks!$V$728="","",Checks!$V$728)&amp;IF(Checks!$AC$728="","",IF(Checks!$V$728="","",CHAR(10))&amp;"N/A just.: "&amp;Checks!$AC$728)&amp;IF(OR(Checks!$W$728&lt;&gt;"",AND(Checks!$AQ$728=1,NOT(LEFT(Checks!$AH$728,10)="N/A – RULE"))),CHAR(10)&amp;"Batch: "&amp;IF(Checks!$W$728="","____________",Checks!$W$728),"")&amp;IF(OR(Checks!$X$728&lt;&gt;"",Checks!$Y$728&lt;&gt;"",AND(Checks!$AR$728=1,NOT(LEFT(Checks!$AH$728,10)="N/A – RULE"))),CHAR(10)&amp;"Exp: "&amp;IF(Checks!$X$728="","______",Checks!$X$728)&amp;"  /  Act: "&amp;IF(Checks!$Y$728="","______",Checks!$Y$728),"")</f>
        <v/>
      </c>
      <c r="F51" s="120" t="str">
        <f aca="false">IF(AND(LEFT(Checks!$AH$728,10)="N/A – RULE",TRIM(Checks!$S$728&amp;Checks!$Z$728)=""),"","Type: "&amp;IF(TRIM(Checks!$S$728)="","______________ (see cover list)",Checks!$S$728)&amp;CHAR(10)&amp;"ID: "&amp;IF(TRIM(Checks!$Z$728)="","______________ (record's own no.)",Checks!$Z$728))&amp;IF(Checks!$AA$728="","",CHAR(10)&amp;"CA: "&amp;Checks!$AA$728)</f>
        <v>Type: ______________ (see cover list)
ID: ______________ (record's own no.)</v>
      </c>
      <c r="G51" s="120" t="str">
        <f aca="false">IF(AND(LEFT(Checks!$AH$728,10)="N/A – RULE",NOT(ISNUMBER(Checks!$AD$728)),Checks!$AE$728="",Checks!$T$728=""),"","Done: "&amp;IF(ISNUMBER(Checks!$AD$728),TEXT(Checks!$AD$728,"DD-MMM-YY HH:MM"),"____________")&amp;" "&amp;Checks!$P$728&amp;CHAR(10)&amp;"Verifier: "&amp;IF(Checks!$AE$728="","____________",Checks!$AE$728)&amp;CHAR(10)&amp;"PIC: "&amp;IF(Checks!$T$728="","____________",Checks!$T$728))</f>
        <v>Done: ____________ KUL
Verifier: ____________
PIC: ____________</v>
      </c>
      <c r="H51" s="121" t="str">
        <f aca="false">IF(Checks!$AH$728="","",Checks!$AH$728)</f>
        <v>OPEN</v>
      </c>
    </row>
    <row r="52" customFormat="false" ht="114" hidden="false" customHeight="true" outlineLevel="0" collapsed="false">
      <c r="A52" s="120" t="str">
        <f aca="false">Checks!$A$729&amp;CHAR(10)&amp;IF(Checks!$I$729="","",Checks!$I$729&amp;": ")&amp;Checks!$J$729</f>
        <v>F22-T12-18
Seat Linen: Seat pillow (BS &amp; BC) - prepared</v>
      </c>
      <c r="B52" s="120" t="str">
        <f aca="false">Checks!$K$729&amp;IF(Checks!$O$729="","",IF(Checks!$K$729="","",CHAR(10))&amp;"Note: "&amp;Checks!$O$729)</f>
        <v>Available 100% (ticked in reference)
Note: Reference gives no uplift stn for this item: preparation checked at the meal uplift stn (KUL) - confirm with caterer.</v>
      </c>
      <c r="C52" s="120" t="str">
        <f aca="false">Checks!$N$729&amp;CHAR(10)&amp;IF(ISNUMBER(Checks!$R$729),TEXT(Checks!$R$729,"DD-MMM-YY HH:MM"),"")&amp;" "&amp;Checks!$P$729</f>
        <v>Required
30-Oct-26 11:20 KUL</v>
      </c>
      <c r="D52" s="120" t="str">
        <f aca="false">IF(TRIM(Checks!$U$729)&lt;&gt;"",Checks!$U$729&amp;IF(Checks!$AB$729="","",CHAR(10)&amp;"CA: "&amp;Checks!$AB$729),IF(LEFT(Checks!$AH$729,10)="N/A – RULE","","[ ] Pass"&amp;CHAR(10)&amp;"[ ] Pass after CA"&amp;CHAR(10)&amp;"[ ] Fail"&amp;IF(Checks!$AT$729=1,CHAR(10)&amp;"[ ] N/A","")&amp;CHAR(10)&amp;"CA: Open / Closed"))</f>
        <v>[ ] Pass
[ ] Pass after CA
[ ] Fail
CA: Open / Closed</v>
      </c>
      <c r="E52" s="120" t="str">
        <f aca="false">IF(Checks!$V$729="","",Checks!$V$729)&amp;IF(Checks!$AC$729="","",IF(Checks!$V$729="","",CHAR(10))&amp;"N/A just.: "&amp;Checks!$AC$729)&amp;IF(OR(Checks!$W$729&lt;&gt;"",AND(Checks!$AQ$729=1,NOT(LEFT(Checks!$AH$729,10)="N/A – RULE"))),CHAR(10)&amp;"Batch: "&amp;IF(Checks!$W$729="","____________",Checks!$W$729),"")&amp;IF(OR(Checks!$X$729&lt;&gt;"",Checks!$Y$729&lt;&gt;"",AND(Checks!$AR$729=1,NOT(LEFT(Checks!$AH$729,10)="N/A – RULE"))),CHAR(10)&amp;"Exp: "&amp;IF(Checks!$X$729="","______",Checks!$X$729)&amp;"  /  Act: "&amp;IF(Checks!$Y$729="","______",Checks!$Y$729),"")</f>
        <v/>
      </c>
      <c r="F52" s="120" t="str">
        <f aca="false">IF(AND(LEFT(Checks!$AH$729,10)="N/A – RULE",TRIM(Checks!$S$729&amp;Checks!$Z$729)=""),"","Type: "&amp;IF(TRIM(Checks!$S$729)="","______________ (see cover list)",Checks!$S$729)&amp;CHAR(10)&amp;"ID: "&amp;IF(TRIM(Checks!$Z$729)="","______________ (record's own no.)",Checks!$Z$729))&amp;IF(Checks!$AA$729="","",CHAR(10)&amp;"CA: "&amp;Checks!$AA$729)</f>
        <v>Type: ______________ (see cover list)
ID: ______________ (record's own no.)</v>
      </c>
      <c r="G52" s="120" t="str">
        <f aca="false">IF(AND(LEFT(Checks!$AH$729,10)="N/A – RULE",NOT(ISNUMBER(Checks!$AD$729)),Checks!$AE$729="",Checks!$T$729=""),"","Done: "&amp;IF(ISNUMBER(Checks!$AD$729),TEXT(Checks!$AD$729,"DD-MMM-YY HH:MM"),"____________")&amp;" "&amp;Checks!$P$729&amp;CHAR(10)&amp;"Verifier: "&amp;IF(Checks!$AE$729="","____________",Checks!$AE$729)&amp;CHAR(10)&amp;"PIC: "&amp;IF(Checks!$T$729="","____________",Checks!$T$729))</f>
        <v>Done: ____________ KUL
Verifier: ____________
PIC: ____________</v>
      </c>
      <c r="H52" s="121" t="str">
        <f aca="false">IF(Checks!$AH$729="","",Checks!$AH$729)</f>
        <v>OPEN</v>
      </c>
    </row>
    <row r="53" customFormat="false" ht="114" hidden="false" customHeight="true" outlineLevel="0" collapsed="false">
      <c r="A53" s="120" t="str">
        <f aca="false">Checks!$A$730&amp;CHAR(10)&amp;IF(Checks!$I$730="","",Checks!$I$730&amp;": ")&amp;Checks!$J$730</f>
        <v>F22-T12-19
Seat Linen: Duvet (BS &amp; BC) - prepared</v>
      </c>
      <c r="B53" s="120" t="str">
        <f aca="false">Checks!$K$730&amp;IF(Checks!$O$730="","",IF(Checks!$K$730="","",CHAR(10))&amp;"Note: "&amp;Checks!$O$730)</f>
        <v>Available 100% (ticked in reference)
Note: Reference gives no uplift stn for this item: preparation checked at the meal uplift stn (KUL) - confirm with caterer.</v>
      </c>
      <c r="C53" s="120" t="str">
        <f aca="false">Checks!$N$730&amp;CHAR(10)&amp;IF(ISNUMBER(Checks!$R$730),TEXT(Checks!$R$730,"DD-MMM-YY HH:MM"),"")&amp;" "&amp;Checks!$P$730</f>
        <v>Required
30-Oct-26 11:20 KUL</v>
      </c>
      <c r="D53" s="120" t="str">
        <f aca="false">IF(TRIM(Checks!$U$730)&lt;&gt;"",Checks!$U$730&amp;IF(Checks!$AB$730="","",CHAR(10)&amp;"CA: "&amp;Checks!$AB$730),IF(LEFT(Checks!$AH$730,10)="N/A – RULE","","[ ] Pass"&amp;CHAR(10)&amp;"[ ] Pass after CA"&amp;CHAR(10)&amp;"[ ] Fail"&amp;IF(Checks!$AT$730=1,CHAR(10)&amp;"[ ] N/A","")&amp;CHAR(10)&amp;"CA: Open / Closed"))</f>
        <v>[ ] Pass
[ ] Pass after CA
[ ] Fail
CA: Open / Closed</v>
      </c>
      <c r="E53" s="120" t="str">
        <f aca="false">IF(Checks!$V$730="","",Checks!$V$730)&amp;IF(Checks!$AC$730="","",IF(Checks!$V$730="","",CHAR(10))&amp;"N/A just.: "&amp;Checks!$AC$730)&amp;IF(OR(Checks!$W$730&lt;&gt;"",AND(Checks!$AQ$730=1,NOT(LEFT(Checks!$AH$730,10)="N/A – RULE"))),CHAR(10)&amp;"Batch: "&amp;IF(Checks!$W$730="","____________",Checks!$W$730),"")&amp;IF(OR(Checks!$X$730&lt;&gt;"",Checks!$Y$730&lt;&gt;"",AND(Checks!$AR$730=1,NOT(LEFT(Checks!$AH$730,10)="N/A – RULE"))),CHAR(10)&amp;"Exp: "&amp;IF(Checks!$X$730="","______",Checks!$X$730)&amp;"  /  Act: "&amp;IF(Checks!$Y$730="","______",Checks!$Y$730),"")</f>
        <v/>
      </c>
      <c r="F53" s="120" t="str">
        <f aca="false">IF(AND(LEFT(Checks!$AH$730,10)="N/A – RULE",TRIM(Checks!$S$730&amp;Checks!$Z$730)=""),"","Type: "&amp;IF(TRIM(Checks!$S$730)="","______________ (see cover list)",Checks!$S$730)&amp;CHAR(10)&amp;"ID: "&amp;IF(TRIM(Checks!$Z$730)="","______________ (record's own no.)",Checks!$Z$730))&amp;IF(Checks!$AA$730="","",CHAR(10)&amp;"CA: "&amp;Checks!$AA$730)</f>
        <v>Type: ______________ (see cover list)
ID: ______________ (record's own no.)</v>
      </c>
      <c r="G53" s="120" t="str">
        <f aca="false">IF(AND(LEFT(Checks!$AH$730,10)="N/A – RULE",NOT(ISNUMBER(Checks!$AD$730)),Checks!$AE$730="",Checks!$T$730=""),"","Done: "&amp;IF(ISNUMBER(Checks!$AD$730),TEXT(Checks!$AD$730,"DD-MMM-YY HH:MM"),"____________")&amp;" "&amp;Checks!$P$730&amp;CHAR(10)&amp;"Verifier: "&amp;IF(Checks!$AE$730="","____________",Checks!$AE$730)&amp;CHAR(10)&amp;"PIC: "&amp;IF(Checks!$T$730="","____________",Checks!$T$730))</f>
        <v>Done: ____________ KUL
Verifier: ____________
PIC: ____________</v>
      </c>
      <c r="H53" s="121" t="str">
        <f aca="false">IF(Checks!$AH$730="","",Checks!$AH$730)</f>
        <v>OPEN</v>
      </c>
    </row>
    <row r="54" customFormat="false" ht="114" hidden="false" customHeight="true" outlineLevel="0" collapsed="false">
      <c r="A54" s="120" t="str">
        <f aca="false">Checks!$A$731&amp;CHAR(10)&amp;IF(Checks!$I$731="","",Checks!$I$731&amp;": ")&amp;Checks!$J$731</f>
        <v>F22-T12-20
Seat Linen: Mattress (BS &amp; BC) - prepared</v>
      </c>
      <c r="B54" s="120" t="str">
        <f aca="false">Checks!$K$731&amp;IF(Checks!$O$731="","",IF(Checks!$K$731="","",CHAR(10))&amp;"Note: "&amp;Checks!$O$731)</f>
        <v>Available 100% (ticked in reference)
Note: Reference gives no uplift stn for this item: preparation checked at the meal uplift stn (KUL) - confirm with caterer.</v>
      </c>
      <c r="C54" s="120" t="str">
        <f aca="false">Checks!$N$731&amp;CHAR(10)&amp;IF(ISNUMBER(Checks!$R$731),TEXT(Checks!$R$731,"DD-MMM-YY HH:MM"),"")&amp;" "&amp;Checks!$P$731</f>
        <v>Required
30-Oct-26 11:20 KUL</v>
      </c>
      <c r="D54" s="120" t="str">
        <f aca="false">IF(TRIM(Checks!$U$731)&lt;&gt;"",Checks!$U$731&amp;IF(Checks!$AB$731="","",CHAR(10)&amp;"CA: "&amp;Checks!$AB$731),IF(LEFT(Checks!$AH$731,10)="N/A – RULE","","[ ] Pass"&amp;CHAR(10)&amp;"[ ] Pass after CA"&amp;CHAR(10)&amp;"[ ] Fail"&amp;IF(Checks!$AT$731=1,CHAR(10)&amp;"[ ] N/A","")&amp;CHAR(10)&amp;"CA: Open / Closed"))</f>
        <v>[ ] Pass
[ ] Pass after CA
[ ] Fail
CA: Open / Closed</v>
      </c>
      <c r="E54" s="120" t="str">
        <f aca="false">IF(Checks!$V$731="","",Checks!$V$731)&amp;IF(Checks!$AC$731="","",IF(Checks!$V$731="","",CHAR(10))&amp;"N/A just.: "&amp;Checks!$AC$731)&amp;IF(OR(Checks!$W$731&lt;&gt;"",AND(Checks!$AQ$731=1,NOT(LEFT(Checks!$AH$731,10)="N/A – RULE"))),CHAR(10)&amp;"Batch: "&amp;IF(Checks!$W$731="","____________",Checks!$W$731),"")&amp;IF(OR(Checks!$X$731&lt;&gt;"",Checks!$Y$731&lt;&gt;"",AND(Checks!$AR$731=1,NOT(LEFT(Checks!$AH$731,10)="N/A – RULE"))),CHAR(10)&amp;"Exp: "&amp;IF(Checks!$X$731="","______",Checks!$X$731)&amp;"  /  Act: "&amp;IF(Checks!$Y$731="","______",Checks!$Y$731),"")</f>
        <v/>
      </c>
      <c r="F54" s="120" t="str">
        <f aca="false">IF(AND(LEFT(Checks!$AH$731,10)="N/A – RULE",TRIM(Checks!$S$731&amp;Checks!$Z$731)=""),"","Type: "&amp;IF(TRIM(Checks!$S$731)="","______________ (see cover list)",Checks!$S$731)&amp;CHAR(10)&amp;"ID: "&amp;IF(TRIM(Checks!$Z$731)="","______________ (record's own no.)",Checks!$Z$731))&amp;IF(Checks!$AA$731="","",CHAR(10)&amp;"CA: "&amp;Checks!$AA$731)</f>
        <v>Type: ______________ (see cover list)
ID: ______________ (record's own no.)</v>
      </c>
      <c r="G54" s="120" t="str">
        <f aca="false">IF(AND(LEFT(Checks!$AH$731,10)="N/A – RULE",NOT(ISNUMBER(Checks!$AD$731)),Checks!$AE$731="",Checks!$T$731=""),"","Done: "&amp;IF(ISNUMBER(Checks!$AD$731),TEXT(Checks!$AD$731,"DD-MMM-YY HH:MM"),"____________")&amp;" "&amp;Checks!$P$731&amp;CHAR(10)&amp;"Verifier: "&amp;IF(Checks!$AE$731="","____________",Checks!$AE$731)&amp;CHAR(10)&amp;"PIC: "&amp;IF(Checks!$T$731="","____________",Checks!$T$731))</f>
        <v>Done: ____________ KUL
Verifier: ____________
PIC: ____________</v>
      </c>
      <c r="H54" s="121" t="str">
        <f aca="false">IF(Checks!$AH$731="","",Checks!$AH$731)</f>
        <v>OPEN</v>
      </c>
    </row>
    <row r="55" customFormat="false" ht="114" hidden="false" customHeight="true" outlineLevel="0" collapsed="false">
      <c r="A55" s="120" t="str">
        <f aca="false">Checks!$A$732&amp;CHAR(10)&amp;IF(Checks!$I$732="","",Checks!$I$732&amp;": ")&amp;Checks!$J$732</f>
        <v>F22-T12-21
Signature Drinks: Signature drink &amp; garnish (BC) - prepared</v>
      </c>
      <c r="B55" s="120" t="str">
        <f aca="false">SUBSTITUTE(Checks!$K$732&amp;IF(Checks!$O$732="","",IF(Checks!$K$732="","",CHAR(10))&amp;"Note: "&amp;Checks!$O$732)," (note D79)","")</f>
        <v>Available (ticked in reference)
Note: Signature drinks &amp; garnish uplifted from KUL.</v>
      </c>
      <c r="C55" s="120" t="str">
        <f aca="false">Checks!$N$732&amp;CHAR(10)&amp;IF(ISNUMBER(Checks!$R$732),TEXT(Checks!$R$732,"DD-MMM-YY HH:MM"),"")&amp;" "&amp;Checks!$P$732</f>
        <v>Required
30-Oct-26 11:20 KUL</v>
      </c>
      <c r="D55" s="120" t="str">
        <f aca="false">IF(TRIM(Checks!$U$732)&lt;&gt;"",Checks!$U$732&amp;IF(Checks!$AB$732="","",CHAR(10)&amp;"CA: "&amp;Checks!$AB$732),IF(LEFT(Checks!$AH$732,10)="N/A – RULE","","[ ] Pass"&amp;CHAR(10)&amp;"[ ] Pass after CA"&amp;CHAR(10)&amp;"[ ] Fail"&amp;IF(Checks!$AT$732=1,CHAR(10)&amp;"[ ] N/A","")&amp;CHAR(10)&amp;"CA: Open / Closed"))</f>
        <v>[ ] Pass
[ ] Pass after CA
[ ] Fail
CA: Open / Closed</v>
      </c>
      <c r="E55" s="120" t="str">
        <f aca="false">IF(Checks!$V$732="","",Checks!$V$732)&amp;IF(Checks!$AC$732="","",IF(Checks!$V$732="","",CHAR(10))&amp;"N/A just.: "&amp;Checks!$AC$732)&amp;IF(OR(Checks!$W$732&lt;&gt;"",AND(Checks!$AQ$732=1,NOT(LEFT(Checks!$AH$732,10)="N/A – RULE"))),CHAR(10)&amp;"Batch: "&amp;IF(Checks!$W$732="","____________",Checks!$W$732),"")&amp;IF(OR(Checks!$X$732&lt;&gt;"",Checks!$Y$732&lt;&gt;"",AND(Checks!$AR$732=1,NOT(LEFT(Checks!$AH$732,10)="N/A – RULE"))),CHAR(10)&amp;"Exp: "&amp;IF(Checks!$X$732="","______",Checks!$X$732)&amp;"  /  Act: "&amp;IF(Checks!$Y$732="","______",Checks!$Y$732),"")</f>
        <v/>
      </c>
      <c r="F55" s="120" t="str">
        <f aca="false">IF(AND(LEFT(Checks!$AH$732,10)="N/A – RULE",TRIM(Checks!$S$732&amp;Checks!$Z$732)=""),"","Type: "&amp;IF(TRIM(Checks!$S$732)="","______________ (see cover list)",Checks!$S$732)&amp;CHAR(10)&amp;"ID: "&amp;IF(TRIM(Checks!$Z$732)="","______________ (record's own no.)",Checks!$Z$732))&amp;IF(Checks!$AA$732="","",CHAR(10)&amp;"CA: "&amp;Checks!$AA$732)</f>
        <v>Type: ______________ (see cover list)
ID: ______________ (record's own no.)</v>
      </c>
      <c r="G55" s="120" t="str">
        <f aca="false">IF(AND(LEFT(Checks!$AH$732,10)="N/A – RULE",NOT(ISNUMBER(Checks!$AD$732)),Checks!$AE$732="",Checks!$T$732=""),"","Done: "&amp;IF(ISNUMBER(Checks!$AD$732),TEXT(Checks!$AD$732,"DD-MMM-YY HH:MM"),"____________")&amp;" "&amp;Checks!$P$732&amp;CHAR(10)&amp;"Verifier: "&amp;IF(Checks!$AE$732="","____________",Checks!$AE$732)&amp;CHAR(10)&amp;"PIC: "&amp;IF(Checks!$T$732="","____________",Checks!$T$732))</f>
        <v>Done: ____________ KUL
Verifier: ____________
PIC: ____________</v>
      </c>
      <c r="H55" s="121" t="str">
        <f aca="false">IF(Checks!$AH$732="","",Checks!$AH$732)</f>
        <v>OPEN</v>
      </c>
    </row>
    <row r="56" customFormat="false" ht="25.5" hidden="false" customHeight="true" outlineLevel="0" collapsed="false">
      <c r="A56" s="119" t="str">
        <f aca="false">"UPLIFT — Physical uplift – on-board confirmation before departure  |  Due "&amp;"STD "&amp;IF(ISNUMBER(Flights!$I$26),TEXT(Flights!$I$26,"DD-MMM-YY HH:MM"),"")&amp;" "&amp;Flights!$G$26&amp;" (departure stn)"&amp;" (rows with another due show their own)  |  Complete "&amp;IF(ISNUMBER(Flights!$AM$26),TEXT(Flights!$AM$26,"0%"),Flights!$AM$26)&amp;"  |  16 lines"</f>
        <v>UPLIFT — Physical uplift – on-board confirmation before departure  |  Due STD 30-Oct-26 23:20 KUL (departure stn) (rows with another due show their own)  |  Complete 0%  |  16 lines</v>
      </c>
      <c r="B56" s="119"/>
      <c r="C56" s="119"/>
      <c r="D56" s="119"/>
      <c r="E56" s="119"/>
      <c r="F56" s="119"/>
      <c r="G56" s="119"/>
      <c r="H56" s="119"/>
    </row>
    <row r="57" customFormat="false" ht="114" hidden="false" customHeight="true" outlineLevel="0" collapsed="false">
      <c r="A57" s="120" t="str">
        <f aca="false">Checks!$A$733&amp;CHAR(10)&amp;IF(Checks!$I$733="","",Checks!$I$733&amp;": ")&amp;Checks!$J$733</f>
        <v>F22-UPL-01
Meal: Meals physically uplifted on board - quantity vs menu checklist</v>
      </c>
      <c r="B57" s="120" t="str">
        <f aca="false">Checks!$K$733&amp;IF(Checks!$O$733="","",IF(Checks!$K$733="","",CHAR(10))&amp;"Note: "&amp;Checks!$O$733)</f>
        <v>Enter expected &amp; actual
Note: Confirm on board before departure; completion time must fall inside the uplift window.</v>
      </c>
      <c r="C57" s="120" t="str">
        <f aca="false">Checks!$N$733&amp;CHAR(10)&amp;IF(ISNUMBER(Checks!$R$733),TEXT(Checks!$R$733,"DD-MMM-YY HH:MM"),"")&amp;" "&amp;Checks!$P$733</f>
        <v>Required
30-Oct-26 23:20 KUL</v>
      </c>
      <c r="D57" s="120" t="str">
        <f aca="false">IF(TRIM(Checks!$U$733)&lt;&gt;"",Checks!$U$733&amp;IF(Checks!$AB$733="","",CHAR(10)&amp;"CA: "&amp;Checks!$AB$733),IF(LEFT(Checks!$AH$733,10)="N/A – RULE","","[ ] Pass"&amp;CHAR(10)&amp;"[ ] Pass after CA"&amp;CHAR(10)&amp;"[ ] Fail"&amp;IF(Checks!$AT$733=1,CHAR(10)&amp;"[ ] N/A","")&amp;CHAR(10)&amp;"CA: Open / Closed"))</f>
        <v>[ ] Pass
[ ] Pass after CA
[ ] Fail
CA: Open / Closed</v>
      </c>
      <c r="E57" s="120" t="str">
        <f aca="false">IF(Checks!$V$733="","",Checks!$V$733)&amp;IF(Checks!$AC$733="","",IF(Checks!$V$733="","",CHAR(10))&amp;"N/A just.: "&amp;Checks!$AC$733)&amp;IF(OR(Checks!$W$733&lt;&gt;"",AND(Checks!$AQ$733=1,NOT(LEFT(Checks!$AH$733,10)="N/A – RULE"))),CHAR(10)&amp;"Batch: "&amp;IF(Checks!$W$733="","____________",Checks!$W$733),"")&amp;IF(OR(Checks!$X$733&lt;&gt;"",Checks!$Y$733&lt;&gt;"",AND(Checks!$AR$733=1,NOT(LEFT(Checks!$AH$733,10)="N/A – RULE"))),CHAR(10)&amp;"Exp: "&amp;IF(Checks!$X$733="","______",Checks!$X$733)&amp;"  /  Act: "&amp;IF(Checks!$Y$733="","______",Checks!$Y$733),"")</f>
        <v>
Exp: ______  /  Act: ______</v>
      </c>
      <c r="F57" s="120" t="str">
        <f aca="false">IF(AND(LEFT(Checks!$AH$733,10)="N/A – RULE",TRIM(Checks!$S$733&amp;Checks!$Z$733)=""),"","Type: "&amp;IF(TRIM(Checks!$S$733)="","______________ (see cover list)",Checks!$S$733)&amp;CHAR(10)&amp;"ID: "&amp;IF(TRIM(Checks!$Z$733)="","______________ (record's own no.)",Checks!$Z$733))&amp;IF(Checks!$AA$733="","",CHAR(10)&amp;"CA: "&amp;Checks!$AA$733)</f>
        <v>Type: ______________ (see cover list)
ID: ______________ (record's own no.)</v>
      </c>
      <c r="G57" s="120" t="str">
        <f aca="false">IF(AND(LEFT(Checks!$AH$733,10)="N/A – RULE",NOT(ISNUMBER(Checks!$AD$733)),Checks!$AE$733="",Checks!$T$733=""),"","Done: "&amp;IF(ISNUMBER(Checks!$AD$733),TEXT(Checks!$AD$733,"DD-MMM-YY HH:MM"),"____________")&amp;" "&amp;Checks!$P$733&amp;CHAR(10)&amp;"Verifier: "&amp;IF(Checks!$AE$733="","____________",Checks!$AE$733)&amp;CHAR(10)&amp;"PIC: "&amp;IF(Checks!$T$733="","____________",Checks!$T$733))</f>
        <v>Done: ____________ KUL
Verifier: ____________
PIC: ____________</v>
      </c>
      <c r="H57" s="121" t="str">
        <f aca="false">IF(Checks!$AH$733="","",Checks!$AH$733)</f>
        <v>OPEN</v>
      </c>
    </row>
    <row r="58" customFormat="false" ht="114" hidden="false" customHeight="true" outlineLevel="0" collapsed="false">
      <c r="A58" s="120" t="str">
        <f aca="false">Checks!$A$734&amp;CHAR(10)&amp;IF(Checks!$I$734="","",Checks!$I$734&amp;": ")&amp;Checks!$J$734</f>
        <v>F22-UPL-02
Equipment: Equipment physically loaded at GLD positions - quantity &amp; positions</v>
      </c>
      <c r="B58" s="120" t="str">
        <f aca="false">Checks!$K$734&amp;IF(Checks!$O$734="","",IF(Checks!$K$734="","",CHAR(10))&amp;"Note: "&amp;Checks!$O$734)</f>
        <v>Enter expected &amp; actual
Note: Confirm on board before departure; completion time must fall inside the uplift window.</v>
      </c>
      <c r="C58" s="120" t="str">
        <f aca="false">Checks!$N$734&amp;CHAR(10)&amp;IF(ISNUMBER(Checks!$R$734),TEXT(Checks!$R$734,"DD-MMM-YY HH:MM"),"")&amp;" "&amp;Checks!$P$734</f>
        <v>Required
30-Oct-26 23:20 KUL</v>
      </c>
      <c r="D58" s="120" t="str">
        <f aca="false">IF(TRIM(Checks!$U$734)&lt;&gt;"",Checks!$U$734&amp;IF(Checks!$AB$734="","",CHAR(10)&amp;"CA: "&amp;Checks!$AB$734),IF(LEFT(Checks!$AH$734,10)="N/A – RULE","","[ ] Pass"&amp;CHAR(10)&amp;"[ ] Pass after CA"&amp;CHAR(10)&amp;"[ ] Fail"&amp;IF(Checks!$AT$734=1,CHAR(10)&amp;"[ ] N/A","")&amp;CHAR(10)&amp;"CA: Open / Closed"))</f>
        <v>[ ] Pass
[ ] Pass after CA
[ ] Fail
CA: Open / Closed</v>
      </c>
      <c r="E58" s="120" t="str">
        <f aca="false">IF(Checks!$V$734="","",Checks!$V$734)&amp;IF(Checks!$AC$734="","",IF(Checks!$V$734="","",CHAR(10))&amp;"N/A just.: "&amp;Checks!$AC$734)&amp;IF(OR(Checks!$W$734&lt;&gt;"",AND(Checks!$AQ$734=1,NOT(LEFT(Checks!$AH$734,10)="N/A – RULE"))),CHAR(10)&amp;"Batch: "&amp;IF(Checks!$W$734="","____________",Checks!$W$734),"")&amp;IF(OR(Checks!$X$734&lt;&gt;"",Checks!$Y$734&lt;&gt;"",AND(Checks!$AR$734=1,NOT(LEFT(Checks!$AH$734,10)="N/A – RULE"))),CHAR(10)&amp;"Exp: "&amp;IF(Checks!$X$734="","______",Checks!$X$734)&amp;"  /  Act: "&amp;IF(Checks!$Y$734="","______",Checks!$Y$734),"")</f>
        <v>
Exp: ______  /  Act: ______</v>
      </c>
      <c r="F58" s="120" t="str">
        <f aca="false">IF(AND(LEFT(Checks!$AH$734,10)="N/A – RULE",TRIM(Checks!$S$734&amp;Checks!$Z$734)=""),"","Type: "&amp;IF(TRIM(Checks!$S$734)="","______________ (see cover list)",Checks!$S$734)&amp;CHAR(10)&amp;"ID: "&amp;IF(TRIM(Checks!$Z$734)="","______________ (record's own no.)",Checks!$Z$734))&amp;IF(Checks!$AA$734="","",CHAR(10)&amp;"CA: "&amp;Checks!$AA$734)</f>
        <v>Type: ______________ (see cover list)
ID: ______________ (record's own no.)</v>
      </c>
      <c r="G58" s="120" t="str">
        <f aca="false">IF(AND(LEFT(Checks!$AH$734,10)="N/A – RULE",NOT(ISNUMBER(Checks!$AD$734)),Checks!$AE$734="",Checks!$T$734=""),"","Done: "&amp;IF(ISNUMBER(Checks!$AD$734),TEXT(Checks!$AD$734,"DD-MMM-YY HH:MM"),"____________")&amp;" "&amp;Checks!$P$734&amp;CHAR(10)&amp;"Verifier: "&amp;IF(Checks!$AE$734="","____________",Checks!$AE$734)&amp;CHAR(10)&amp;"PIC: "&amp;IF(Checks!$T$734="","____________",Checks!$T$734))</f>
        <v>Done: ____________ KUL
Verifier: ____________
PIC: ____________</v>
      </c>
      <c r="H58" s="121" t="str">
        <f aca="false">IF(Checks!$AH$734="","",Checks!$AH$734)</f>
        <v>OPEN</v>
      </c>
    </row>
    <row r="59" customFormat="false" ht="213" hidden="false" customHeight="true" outlineLevel="0" collapsed="false">
      <c r="A59" s="120" t="str">
        <f aca="false">Checks!$A$735&amp;CHAR(10)&amp;IF(Checks!$I$735="","",Checks!$I$735&amp;": ")&amp;Checks!$J$735</f>
        <v>F22-UPL-03
Amenities: Toiletry kits - on board</v>
      </c>
      <c r="B59" s="120" t="str">
        <f aca="false">SUBSTITUTE(SUBSTITUTE(Checks!$K$735&amp;IF(Checks!$O$735="","",IF(Checks!$K$735="","",CHAR(10))&amp;"Note: "&amp;Checks!$O$735),"A350 row AMENITIES!C12","The A350 row of the AMENITIES reference"),"(general row C11: uplift stn H11 = ","(general row: uplift stn ")</f>
        <v>Available (ticked in reference)
Note: The A350 row of the AMENITIES reference names LHR as the toiletry-kit uplift stn, but this leg departs KUL (general row: uplift stn KUL). Confirm where toiletry kits for this KUL-LHR BC leg are uplifted; if at LHR they travel on the inbound LHR-KUL sector and must be verified at KUL before this departure.</v>
      </c>
      <c r="C59" s="120" t="str">
        <f aca="false">Checks!$N$735&amp;CHAR(10)&amp;IF(ISNUMBER(Checks!$R$735),TEXT(Checks!$R$735,"DD-MMM-YY HH:MM"),"")&amp;" "&amp;Checks!$P$735</f>
        <v>Clarification required
30-Oct-26 23:20 KUL</v>
      </c>
      <c r="D59" s="120" t="str">
        <f aca="false">IF(TRIM(Checks!$U$735)&lt;&gt;"",Checks!$U$735&amp;IF(Checks!$AB$735="","",CHAR(10)&amp;"CA: "&amp;Checks!$AB$735),IF(LEFT(Checks!$AH$735,10)="N/A – RULE","","[ ] Pass"&amp;CHAR(10)&amp;"[ ] Pass after CA"&amp;CHAR(10)&amp;"[ ] Fail"&amp;IF(Checks!$AT$735=1,CHAR(10)&amp;"[ ] N/A","")&amp;CHAR(10)&amp;"CA: Open / Closed"))</f>
        <v>[ ] Pass
[ ] Pass after CA
[ ] Fail
[ ] N/A
CA: Open / Closed</v>
      </c>
      <c r="E59" s="120" t="str">
        <f aca="false">IF(Checks!$V$735="","",Checks!$V$735)&amp;IF(Checks!$AC$735="","",IF(Checks!$V$735="","",CHAR(10))&amp;"N/A just.: "&amp;Checks!$AC$735)&amp;IF(OR(Checks!$W$735&lt;&gt;"",AND(Checks!$AQ$735=1,NOT(LEFT(Checks!$AH$735,10)="N/A – RULE"))),CHAR(10)&amp;"Batch: "&amp;IF(Checks!$W$735="","____________",Checks!$W$735),"")&amp;IF(OR(Checks!$X$735&lt;&gt;"",Checks!$Y$735&lt;&gt;"",AND(Checks!$AR$735=1,NOT(LEFT(Checks!$AH$735,10)="N/A – RULE"))),CHAR(10)&amp;"Exp: "&amp;IF(Checks!$X$735="","______",Checks!$X$735)&amp;"  /  Act: "&amp;IF(Checks!$Y$735="","______",Checks!$Y$735),"")</f>
        <v/>
      </c>
      <c r="F59" s="120" t="str">
        <f aca="false">IF(AND(LEFT(Checks!$AH$735,10)="N/A – RULE",TRIM(Checks!$S$735&amp;Checks!$Z$735)=""),"","Type: "&amp;IF(TRIM(Checks!$S$735)="","______________ (see cover list)",Checks!$S$735)&amp;CHAR(10)&amp;"ID: "&amp;IF(TRIM(Checks!$Z$735)="","______________ (record's own no.)",Checks!$Z$735))&amp;IF(Checks!$AA$735="","",CHAR(10)&amp;"CA: "&amp;Checks!$AA$735)</f>
        <v>Type: ______________ (see cover list)
ID: ______________ (record's own no.)</v>
      </c>
      <c r="G59" s="120" t="str">
        <f aca="false">IF(AND(LEFT(Checks!$AH$735,10)="N/A – RULE",NOT(ISNUMBER(Checks!$AD$735)),Checks!$AE$735="",Checks!$T$735=""),"","Done: "&amp;IF(ISNUMBER(Checks!$AD$735),TEXT(Checks!$AD$735,"DD-MMM-YY HH:MM"),"____________")&amp;" "&amp;Checks!$P$735&amp;CHAR(10)&amp;"Verifier: "&amp;IF(Checks!$AE$735="","____________",Checks!$AE$735)&amp;CHAR(10)&amp;"PIC: "&amp;IF(Checks!$T$735="","____________",Checks!$T$735))</f>
        <v>Done: ____________ KUL
Verifier: ____________
PIC: ____________</v>
      </c>
      <c r="H59" s="121" t="str">
        <f aca="false">IF(Checks!$AH$735="","",Checks!$AH$735)</f>
        <v>OPEN – CLARIFICATION</v>
      </c>
    </row>
    <row r="60" customFormat="false" ht="114" hidden="false" customHeight="true" outlineLevel="0" collapsed="false">
      <c r="A60" s="120" t="str">
        <f aca="false">Checks!$A$736&amp;CHAR(10)&amp;IF(Checks!$I$736="","",Checks!$I$736&amp;": ")&amp;Checks!$J$736</f>
        <v>F22-UPL-04
Amenities: Pajamas (BC) - on board</v>
      </c>
      <c r="B60" s="120" t="str">
        <f aca="false">Checks!$K$736&amp;IF(Checks!$O$736="","",IF(Checks!$K$736="","",CHAR(10))&amp;"Note: "&amp;Checks!$O$736)</f>
        <v>Available - BC red-eye only
Note: Red-eye departure 2320 local.</v>
      </c>
      <c r="C60" s="120" t="str">
        <f aca="false">Checks!$N$736&amp;CHAR(10)&amp;IF(ISNUMBER(Checks!$R$736),TEXT(Checks!$R$736,"DD-MMM-YY HH:MM"),"")&amp;" "&amp;Checks!$P$736</f>
        <v>Required
30-Oct-26 23:20 KUL</v>
      </c>
      <c r="D60" s="120" t="str">
        <f aca="false">IF(TRIM(Checks!$U$736)&lt;&gt;"",Checks!$U$736&amp;IF(Checks!$AB$736="","",CHAR(10)&amp;"CA: "&amp;Checks!$AB$736),IF(LEFT(Checks!$AH$736,10)="N/A – RULE","","[ ] Pass"&amp;CHAR(10)&amp;"[ ] Pass after CA"&amp;CHAR(10)&amp;"[ ] Fail"&amp;IF(Checks!$AT$736=1,CHAR(10)&amp;"[ ] N/A","")&amp;CHAR(10)&amp;"CA: Open / Closed"))</f>
        <v>[ ] Pass
[ ] Pass after CA
[ ] Fail
CA: Open / Closed</v>
      </c>
      <c r="E60" s="120" t="str">
        <f aca="false">IF(Checks!$V$736="","",Checks!$V$736)&amp;IF(Checks!$AC$736="","",IF(Checks!$V$736="","",CHAR(10))&amp;"N/A just.: "&amp;Checks!$AC$736)&amp;IF(OR(Checks!$W$736&lt;&gt;"",AND(Checks!$AQ$736=1,NOT(LEFT(Checks!$AH$736,10)="N/A – RULE"))),CHAR(10)&amp;"Batch: "&amp;IF(Checks!$W$736="","____________",Checks!$W$736),"")&amp;IF(OR(Checks!$X$736&lt;&gt;"",Checks!$Y$736&lt;&gt;"",AND(Checks!$AR$736=1,NOT(LEFT(Checks!$AH$736,10)="N/A – RULE"))),CHAR(10)&amp;"Exp: "&amp;IF(Checks!$X$736="","______",Checks!$X$736)&amp;"  /  Act: "&amp;IF(Checks!$Y$736="","______",Checks!$Y$736),"")</f>
        <v/>
      </c>
      <c r="F60" s="120" t="str">
        <f aca="false">IF(AND(LEFT(Checks!$AH$736,10)="N/A – RULE",TRIM(Checks!$S$736&amp;Checks!$Z$736)=""),"","Type: "&amp;IF(TRIM(Checks!$S$736)="","______________ (see cover list)",Checks!$S$736)&amp;CHAR(10)&amp;"ID: "&amp;IF(TRIM(Checks!$Z$736)="","______________ (record's own no.)",Checks!$Z$736))&amp;IF(Checks!$AA$736="","",CHAR(10)&amp;"CA: "&amp;Checks!$AA$736)</f>
        <v>Type: ______________ (see cover list)
ID: ______________ (record's own no.)</v>
      </c>
      <c r="G60" s="120" t="str">
        <f aca="false">IF(AND(LEFT(Checks!$AH$736,10)="N/A – RULE",NOT(ISNUMBER(Checks!$AD$736)),Checks!$AE$736="",Checks!$T$736=""),"","Done: "&amp;IF(ISNUMBER(Checks!$AD$736),TEXT(Checks!$AD$736,"DD-MMM-YY HH:MM"),"____________")&amp;" "&amp;Checks!$P$736&amp;CHAR(10)&amp;"Verifier: "&amp;IF(Checks!$AE$736="","____________",Checks!$AE$736)&amp;CHAR(10)&amp;"PIC: "&amp;IF(Checks!$T$736="","____________",Checks!$T$736))</f>
        <v>Done: ____________ KUL
Verifier: ____________
PIC: ____________</v>
      </c>
      <c r="H60" s="121" t="str">
        <f aca="false">IF(Checks!$AH$736="","",Checks!$AH$736)</f>
        <v>OPEN</v>
      </c>
    </row>
    <row r="61" customFormat="false" ht="114" hidden="false" customHeight="true" outlineLevel="0" collapsed="false">
      <c r="A61" s="120" t="str">
        <f aca="false">Checks!$A$737&amp;CHAR(10)&amp;IF(Checks!$I$737="","",Checks!$I$737&amp;": ")&amp;Checks!$J$737</f>
        <v>F22-UPL-05
Amenities: Slippers (BS/BC) - on board</v>
      </c>
      <c r="B61" s="120" t="str">
        <f aca="false">Checks!$K$737&amp;IF(Checks!$O$737="","",IF(Checks!$K$737="","",CHAR(10))&amp;"Note: "&amp;Checks!$O$737)</f>
        <v>Available (ticked in reference)</v>
      </c>
      <c r="C61" s="120" t="str">
        <f aca="false">Checks!$N$737&amp;CHAR(10)&amp;IF(ISNUMBER(Checks!$R$737),TEXT(Checks!$R$737,"DD-MMM-YY HH:MM"),"")&amp;" "&amp;Checks!$P$737</f>
        <v>Required
30-Oct-26 23:20 KUL</v>
      </c>
      <c r="D61" s="120" t="str">
        <f aca="false">IF(TRIM(Checks!$U$737)&lt;&gt;"",Checks!$U$737&amp;IF(Checks!$AB$737="","",CHAR(10)&amp;"CA: "&amp;Checks!$AB$737),IF(LEFT(Checks!$AH$737,10)="N/A – RULE","","[ ] Pass"&amp;CHAR(10)&amp;"[ ] Pass after CA"&amp;CHAR(10)&amp;"[ ] Fail"&amp;IF(Checks!$AT$737=1,CHAR(10)&amp;"[ ] N/A","")&amp;CHAR(10)&amp;"CA: Open / Closed"))</f>
        <v>[ ] Pass
[ ] Pass after CA
[ ] Fail
CA: Open / Closed</v>
      </c>
      <c r="E61" s="120" t="str">
        <f aca="false">IF(Checks!$V$737="","",Checks!$V$737)&amp;IF(Checks!$AC$737="","",IF(Checks!$V$737="","",CHAR(10))&amp;"N/A just.: "&amp;Checks!$AC$737)&amp;IF(OR(Checks!$W$737&lt;&gt;"",AND(Checks!$AQ$737=1,NOT(LEFT(Checks!$AH$737,10)="N/A – RULE"))),CHAR(10)&amp;"Batch: "&amp;IF(Checks!$W$737="","____________",Checks!$W$737),"")&amp;IF(OR(Checks!$X$737&lt;&gt;"",Checks!$Y$737&lt;&gt;"",AND(Checks!$AR$737=1,NOT(LEFT(Checks!$AH$737,10)="N/A – RULE"))),CHAR(10)&amp;"Exp: "&amp;IF(Checks!$X$737="","______",Checks!$X$737)&amp;"  /  Act: "&amp;IF(Checks!$Y$737="","______",Checks!$Y$737),"")</f>
        <v/>
      </c>
      <c r="F61" s="120" t="str">
        <f aca="false">IF(AND(LEFT(Checks!$AH$737,10)="N/A – RULE",TRIM(Checks!$S$737&amp;Checks!$Z$737)=""),"","Type: "&amp;IF(TRIM(Checks!$S$737)="","______________ (see cover list)",Checks!$S$737)&amp;CHAR(10)&amp;"ID: "&amp;IF(TRIM(Checks!$Z$737)="","______________ (record's own no.)",Checks!$Z$737))&amp;IF(Checks!$AA$737="","",CHAR(10)&amp;"CA: "&amp;Checks!$AA$737)</f>
        <v>Type: ______________ (see cover list)
ID: ______________ (record's own no.)</v>
      </c>
      <c r="G61" s="120" t="str">
        <f aca="false">IF(AND(LEFT(Checks!$AH$737,10)="N/A – RULE",NOT(ISNUMBER(Checks!$AD$737)),Checks!$AE$737="",Checks!$T$737=""),"","Done: "&amp;IF(ISNUMBER(Checks!$AD$737),TEXT(Checks!$AD$737,"DD-MMM-YY HH:MM"),"____________")&amp;" "&amp;Checks!$P$737&amp;CHAR(10)&amp;"Verifier: "&amp;IF(Checks!$AE$737="","____________",Checks!$AE$737)&amp;CHAR(10)&amp;"PIC: "&amp;IF(Checks!$T$737="","____________",Checks!$T$737))</f>
        <v>Done: ____________ KUL
Verifier: ____________
PIC: ____________</v>
      </c>
      <c r="H61" s="121" t="str">
        <f aca="false">IF(Checks!$AH$737="","",Checks!$AH$737)</f>
        <v>OPEN</v>
      </c>
    </row>
    <row r="62" customFormat="false" ht="114" hidden="false" customHeight="true" outlineLevel="0" collapsed="false">
      <c r="A62" s="120" t="str">
        <f aca="false">Checks!$A$738&amp;CHAR(10)&amp;IF(Checks!$I$738="","",Checks!$I$738&amp;": ")&amp;Checks!$J$738</f>
        <v>F22-UPL-06
F&amp;B Linen: Towel - on board</v>
      </c>
      <c r="B62" s="120" t="str">
        <f aca="false">Checks!$K$738&amp;IF(Checks!$O$738="","",IF(Checks!$K$738="","",CHAR(10))&amp;"Note: "&amp;Checks!$O$738)</f>
        <v>Available (ticked in reference)</v>
      </c>
      <c r="C62" s="120" t="str">
        <f aca="false">Checks!$N$738&amp;CHAR(10)&amp;IF(ISNUMBER(Checks!$R$738),TEXT(Checks!$R$738,"DD-MMM-YY HH:MM"),"")&amp;" "&amp;Checks!$P$738</f>
        <v>Required
30-Oct-26 23:20 KUL</v>
      </c>
      <c r="D62" s="120" t="str">
        <f aca="false">IF(TRIM(Checks!$U$738)&lt;&gt;"",Checks!$U$738&amp;IF(Checks!$AB$738="","",CHAR(10)&amp;"CA: "&amp;Checks!$AB$738),IF(LEFT(Checks!$AH$738,10)="N/A – RULE","","[ ] Pass"&amp;CHAR(10)&amp;"[ ] Pass after CA"&amp;CHAR(10)&amp;"[ ] Fail"&amp;IF(Checks!$AT$738=1,CHAR(10)&amp;"[ ] N/A","")&amp;CHAR(10)&amp;"CA: Open / Closed"))</f>
        <v>[ ] Pass
[ ] Pass after CA
[ ] Fail
CA: Open / Closed</v>
      </c>
      <c r="E62" s="120" t="str">
        <f aca="false">IF(Checks!$V$738="","",Checks!$V$738)&amp;IF(Checks!$AC$738="","",IF(Checks!$V$738="","",CHAR(10))&amp;"N/A just.: "&amp;Checks!$AC$738)&amp;IF(OR(Checks!$W$738&lt;&gt;"",AND(Checks!$AQ$738=1,NOT(LEFT(Checks!$AH$738,10)="N/A – RULE"))),CHAR(10)&amp;"Batch: "&amp;IF(Checks!$W$738="","____________",Checks!$W$738),"")&amp;IF(OR(Checks!$X$738&lt;&gt;"",Checks!$Y$738&lt;&gt;"",AND(Checks!$AR$738=1,NOT(LEFT(Checks!$AH$738,10)="N/A – RULE"))),CHAR(10)&amp;"Exp: "&amp;IF(Checks!$X$738="","______",Checks!$X$738)&amp;"  /  Act: "&amp;IF(Checks!$Y$738="","______",Checks!$Y$738),"")</f>
        <v/>
      </c>
      <c r="F62" s="120" t="str">
        <f aca="false">IF(AND(LEFT(Checks!$AH$738,10)="N/A – RULE",TRIM(Checks!$S$738&amp;Checks!$Z$738)=""),"","Type: "&amp;IF(TRIM(Checks!$S$738)="","______________ (see cover list)",Checks!$S$738)&amp;CHAR(10)&amp;"ID: "&amp;IF(TRIM(Checks!$Z$738)="","______________ (record's own no.)",Checks!$Z$738))&amp;IF(Checks!$AA$738="","",CHAR(10)&amp;"CA: "&amp;Checks!$AA$738)</f>
        <v>Type: ______________ (see cover list)
ID: ______________ (record's own no.)</v>
      </c>
      <c r="G62" s="120" t="str">
        <f aca="false">IF(AND(LEFT(Checks!$AH$738,10)="N/A – RULE",NOT(ISNUMBER(Checks!$AD$738)),Checks!$AE$738="",Checks!$T$738=""),"","Done: "&amp;IF(ISNUMBER(Checks!$AD$738),TEXT(Checks!$AD$738,"DD-MMM-YY HH:MM"),"____________")&amp;" "&amp;Checks!$P$738&amp;CHAR(10)&amp;"Verifier: "&amp;IF(Checks!$AE$738="","____________",Checks!$AE$738)&amp;CHAR(10)&amp;"PIC: "&amp;IF(Checks!$T$738="","____________",Checks!$T$738))</f>
        <v>Done: ____________ KUL
Verifier: ____________
PIC: ____________</v>
      </c>
      <c r="H62" s="121" t="str">
        <f aca="false">IF(Checks!$AH$738="","",Checks!$AH$738)</f>
        <v>OPEN</v>
      </c>
    </row>
    <row r="63" customFormat="false" ht="114" hidden="false" customHeight="true" outlineLevel="0" collapsed="false">
      <c r="A63" s="120" t="str">
        <f aca="false">Checks!$A$739&amp;CHAR(10)&amp;IF(Checks!$I$739="","",Checks!$I$739&amp;": ")&amp;Checks!$J$739</f>
        <v>F22-UPL-07
F&amp;B Linen: Tray cloth - on board</v>
      </c>
      <c r="B63" s="120" t="str">
        <f aca="false">Checks!$K$739&amp;IF(Checks!$O$739="","",IF(Checks!$K$739="","",CHAR(10))&amp;"Note: "&amp;Checks!$O$739)</f>
        <v>Available (ticked in reference)</v>
      </c>
      <c r="C63" s="120" t="str">
        <f aca="false">Checks!$N$739&amp;CHAR(10)&amp;IF(ISNUMBER(Checks!$R$739),TEXT(Checks!$R$739,"DD-MMM-YY HH:MM"),"")&amp;" "&amp;Checks!$P$739</f>
        <v>Required
30-Oct-26 23:20 KUL</v>
      </c>
      <c r="D63" s="120" t="str">
        <f aca="false">IF(TRIM(Checks!$U$739)&lt;&gt;"",Checks!$U$739&amp;IF(Checks!$AB$739="","",CHAR(10)&amp;"CA: "&amp;Checks!$AB$739),IF(LEFT(Checks!$AH$739,10)="N/A – RULE","","[ ] Pass"&amp;CHAR(10)&amp;"[ ] Pass after CA"&amp;CHAR(10)&amp;"[ ] Fail"&amp;IF(Checks!$AT$739=1,CHAR(10)&amp;"[ ] N/A","")&amp;CHAR(10)&amp;"CA: Open / Closed"))</f>
        <v>[ ] Pass
[ ] Pass after CA
[ ] Fail
CA: Open / Closed</v>
      </c>
      <c r="E63" s="120" t="str">
        <f aca="false">IF(Checks!$V$739="","",Checks!$V$739)&amp;IF(Checks!$AC$739="","",IF(Checks!$V$739="","",CHAR(10))&amp;"N/A just.: "&amp;Checks!$AC$739)&amp;IF(OR(Checks!$W$739&lt;&gt;"",AND(Checks!$AQ$739=1,NOT(LEFT(Checks!$AH$739,10)="N/A – RULE"))),CHAR(10)&amp;"Batch: "&amp;IF(Checks!$W$739="","____________",Checks!$W$739),"")&amp;IF(OR(Checks!$X$739&lt;&gt;"",Checks!$Y$739&lt;&gt;"",AND(Checks!$AR$739=1,NOT(LEFT(Checks!$AH$739,10)="N/A – RULE"))),CHAR(10)&amp;"Exp: "&amp;IF(Checks!$X$739="","______",Checks!$X$739)&amp;"  /  Act: "&amp;IF(Checks!$Y$739="","______",Checks!$Y$739),"")</f>
        <v/>
      </c>
      <c r="F63" s="120" t="str">
        <f aca="false">IF(AND(LEFT(Checks!$AH$739,10)="N/A – RULE",TRIM(Checks!$S$739&amp;Checks!$Z$739)=""),"","Type: "&amp;IF(TRIM(Checks!$S$739)="","______________ (see cover list)",Checks!$S$739)&amp;CHAR(10)&amp;"ID: "&amp;IF(TRIM(Checks!$Z$739)="","______________ (record's own no.)",Checks!$Z$739))&amp;IF(Checks!$AA$739="","",CHAR(10)&amp;"CA: "&amp;Checks!$AA$739)</f>
        <v>Type: ______________ (see cover list)
ID: ______________ (record's own no.)</v>
      </c>
      <c r="G63" s="120" t="str">
        <f aca="false">IF(AND(LEFT(Checks!$AH$739,10)="N/A – RULE",NOT(ISNUMBER(Checks!$AD$739)),Checks!$AE$739="",Checks!$T$739=""),"","Done: "&amp;IF(ISNUMBER(Checks!$AD$739),TEXT(Checks!$AD$739,"DD-MMM-YY HH:MM"),"____________")&amp;" "&amp;Checks!$P$739&amp;CHAR(10)&amp;"Verifier: "&amp;IF(Checks!$AE$739="","____________",Checks!$AE$739)&amp;CHAR(10)&amp;"PIC: "&amp;IF(Checks!$T$739="","____________",Checks!$T$739))</f>
        <v>Done: ____________ KUL
Verifier: ____________
PIC: ____________</v>
      </c>
      <c r="H63" s="121" t="str">
        <f aca="false">IF(Checks!$AH$739="","",Checks!$AH$739)</f>
        <v>OPEN</v>
      </c>
    </row>
    <row r="64" customFormat="false" ht="114" hidden="false" customHeight="true" outlineLevel="0" collapsed="false">
      <c r="A64" s="120" t="str">
        <f aca="false">Checks!$A$740&amp;CHAR(10)&amp;IF(Checks!$I$740="","",Checks!$I$740&amp;": ")&amp;Checks!$J$740</f>
        <v>F22-UPL-08
F&amp;B Linen: Napkin - on board</v>
      </c>
      <c r="B64" s="120" t="str">
        <f aca="false">Checks!$K$740&amp;IF(Checks!$O$740="","",IF(Checks!$K$740="","",CHAR(10))&amp;"Note: "&amp;Checks!$O$740)</f>
        <v>Available (ticked in reference)</v>
      </c>
      <c r="C64" s="120" t="str">
        <f aca="false">Checks!$N$740&amp;CHAR(10)&amp;IF(ISNUMBER(Checks!$R$740),TEXT(Checks!$R$740,"DD-MMM-YY HH:MM"),"")&amp;" "&amp;Checks!$P$740</f>
        <v>Required
30-Oct-26 23:20 KUL</v>
      </c>
      <c r="D64" s="120" t="str">
        <f aca="false">IF(TRIM(Checks!$U$740)&lt;&gt;"",Checks!$U$740&amp;IF(Checks!$AB$740="","",CHAR(10)&amp;"CA: "&amp;Checks!$AB$740),IF(LEFT(Checks!$AH$740,10)="N/A – RULE","","[ ] Pass"&amp;CHAR(10)&amp;"[ ] Pass after CA"&amp;CHAR(10)&amp;"[ ] Fail"&amp;IF(Checks!$AT$740=1,CHAR(10)&amp;"[ ] N/A","")&amp;CHAR(10)&amp;"CA: Open / Closed"))</f>
        <v>[ ] Pass
[ ] Pass after CA
[ ] Fail
CA: Open / Closed</v>
      </c>
      <c r="E64" s="120" t="str">
        <f aca="false">IF(Checks!$V$740="","",Checks!$V$740)&amp;IF(Checks!$AC$740="","",IF(Checks!$V$740="","",CHAR(10))&amp;"N/A just.: "&amp;Checks!$AC$740)&amp;IF(OR(Checks!$W$740&lt;&gt;"",AND(Checks!$AQ$740=1,NOT(LEFT(Checks!$AH$740,10)="N/A – RULE"))),CHAR(10)&amp;"Batch: "&amp;IF(Checks!$W$740="","____________",Checks!$W$740),"")&amp;IF(OR(Checks!$X$740&lt;&gt;"",Checks!$Y$740&lt;&gt;"",AND(Checks!$AR$740=1,NOT(LEFT(Checks!$AH$740,10)="N/A – RULE"))),CHAR(10)&amp;"Exp: "&amp;IF(Checks!$X$740="","______",Checks!$X$740)&amp;"  /  Act: "&amp;IF(Checks!$Y$740="","______",Checks!$Y$740),"")</f>
        <v/>
      </c>
      <c r="F64" s="120" t="str">
        <f aca="false">IF(AND(LEFT(Checks!$AH$740,10)="N/A – RULE",TRIM(Checks!$S$740&amp;Checks!$Z$740)=""),"","Type: "&amp;IF(TRIM(Checks!$S$740)="","______________ (see cover list)",Checks!$S$740)&amp;CHAR(10)&amp;"ID: "&amp;IF(TRIM(Checks!$Z$740)="","______________ (record's own no.)",Checks!$Z$740))&amp;IF(Checks!$AA$740="","",CHAR(10)&amp;"CA: "&amp;Checks!$AA$740)</f>
        <v>Type: ______________ (see cover list)
ID: ______________ (record's own no.)</v>
      </c>
      <c r="G64" s="120" t="str">
        <f aca="false">IF(AND(LEFT(Checks!$AH$740,10)="N/A – RULE",NOT(ISNUMBER(Checks!$AD$740)),Checks!$AE$740="",Checks!$T$740=""),"","Done: "&amp;IF(ISNUMBER(Checks!$AD$740),TEXT(Checks!$AD$740,"DD-MMM-YY HH:MM"),"____________")&amp;" "&amp;Checks!$P$740&amp;CHAR(10)&amp;"Verifier: "&amp;IF(Checks!$AE$740="","____________",Checks!$AE$740)&amp;CHAR(10)&amp;"PIC: "&amp;IF(Checks!$T$740="","____________",Checks!$T$740))</f>
        <v>Done: ____________ KUL
Verifier: ____________
PIC: ____________</v>
      </c>
      <c r="H64" s="121" t="str">
        <f aca="false">IF(Checks!$AH$740="","",Checks!$AH$740)</f>
        <v>OPEN</v>
      </c>
    </row>
    <row r="65" customFormat="false" ht="114" hidden="false" customHeight="true" outlineLevel="0" collapsed="false">
      <c r="A65" s="120" t="str">
        <f aca="false">Checks!$A$741&amp;CHAR(10)&amp;IF(Checks!$I$741="","",Checks!$I$741&amp;": ")&amp;Checks!$J$741</f>
        <v>F22-UPL-09
F&amp;B Linen: Table cloth - on board</v>
      </c>
      <c r="B65" s="120" t="str">
        <f aca="false">Checks!$K$741&amp;IF(Checks!$O$741="","",IF(Checks!$K$741="","",CHAR(10))&amp;"Note: "&amp;Checks!$O$741)</f>
        <v>Available (ticked in reference)</v>
      </c>
      <c r="C65" s="120" t="str">
        <f aca="false">Checks!$N$741&amp;CHAR(10)&amp;IF(ISNUMBER(Checks!$R$741),TEXT(Checks!$R$741,"DD-MMM-YY HH:MM"),"")&amp;" "&amp;Checks!$P$741</f>
        <v>Required
30-Oct-26 23:20 KUL</v>
      </c>
      <c r="D65" s="120" t="str">
        <f aca="false">IF(TRIM(Checks!$U$741)&lt;&gt;"",Checks!$U$741&amp;IF(Checks!$AB$741="","",CHAR(10)&amp;"CA: "&amp;Checks!$AB$741),IF(LEFT(Checks!$AH$741,10)="N/A – RULE","","[ ] Pass"&amp;CHAR(10)&amp;"[ ] Pass after CA"&amp;CHAR(10)&amp;"[ ] Fail"&amp;IF(Checks!$AT$741=1,CHAR(10)&amp;"[ ] N/A","")&amp;CHAR(10)&amp;"CA: Open / Closed"))</f>
        <v>[ ] Pass
[ ] Pass after CA
[ ] Fail
CA: Open / Closed</v>
      </c>
      <c r="E65" s="120" t="str">
        <f aca="false">IF(Checks!$V$741="","",Checks!$V$741)&amp;IF(Checks!$AC$741="","",IF(Checks!$V$741="","",CHAR(10))&amp;"N/A just.: "&amp;Checks!$AC$741)&amp;IF(OR(Checks!$W$741&lt;&gt;"",AND(Checks!$AQ$741=1,NOT(LEFT(Checks!$AH$741,10)="N/A – RULE"))),CHAR(10)&amp;"Batch: "&amp;IF(Checks!$W$741="","____________",Checks!$W$741),"")&amp;IF(OR(Checks!$X$741&lt;&gt;"",Checks!$Y$741&lt;&gt;"",AND(Checks!$AR$741=1,NOT(LEFT(Checks!$AH$741,10)="N/A – RULE"))),CHAR(10)&amp;"Exp: "&amp;IF(Checks!$X$741="","______",Checks!$X$741)&amp;"  /  Act: "&amp;IF(Checks!$Y$741="","______",Checks!$Y$741),"")</f>
        <v/>
      </c>
      <c r="F65" s="120" t="str">
        <f aca="false">IF(AND(LEFT(Checks!$AH$741,10)="N/A – RULE",TRIM(Checks!$S$741&amp;Checks!$Z$741)=""),"","Type: "&amp;IF(TRIM(Checks!$S$741)="","______________ (see cover list)",Checks!$S$741)&amp;CHAR(10)&amp;"ID: "&amp;IF(TRIM(Checks!$Z$741)="","______________ (record's own no.)",Checks!$Z$741))&amp;IF(Checks!$AA$741="","",CHAR(10)&amp;"CA: "&amp;Checks!$AA$741)</f>
        <v>Type: ______________ (see cover list)
ID: ______________ (record's own no.)</v>
      </c>
      <c r="G65" s="120" t="str">
        <f aca="false">IF(AND(LEFT(Checks!$AH$741,10)="N/A – RULE",NOT(ISNUMBER(Checks!$AD$741)),Checks!$AE$741="",Checks!$T$741=""),"","Done: "&amp;IF(ISNUMBER(Checks!$AD$741),TEXT(Checks!$AD$741,"DD-MMM-YY HH:MM"),"____________")&amp;" "&amp;Checks!$P$741&amp;CHAR(10)&amp;"Verifier: "&amp;IF(Checks!$AE$741="","____________",Checks!$AE$741)&amp;CHAR(10)&amp;"PIC: "&amp;IF(Checks!$T$741="","____________",Checks!$T$741))</f>
        <v>Done: ____________ KUL
Verifier: ____________
PIC: ____________</v>
      </c>
      <c r="H65" s="121" t="str">
        <f aca="false">IF(Checks!$AH$741="","",Checks!$AH$741)</f>
        <v>OPEN</v>
      </c>
    </row>
    <row r="66" customFormat="false" ht="114" hidden="false" customHeight="true" outlineLevel="0" collapsed="false">
      <c r="A66" s="120" t="str">
        <f aca="false">Checks!$A$742&amp;CHAR(10)&amp;IF(Checks!$I$742="","",Checks!$I$742&amp;": ")&amp;Checks!$J$742</f>
        <v>F22-UPL-10
F&amp;B Linen: Bread linen (using table cloth) - on board</v>
      </c>
      <c r="B66" s="120" t="str">
        <f aca="false">Checks!$K$742&amp;IF(Checks!$O$742="","",IF(Checks!$K$742="","",CHAR(10))&amp;"Note: "&amp;Checks!$O$742)</f>
        <v>Available (ticked in reference)</v>
      </c>
      <c r="C66" s="120" t="str">
        <f aca="false">Checks!$N$742&amp;CHAR(10)&amp;IF(ISNUMBER(Checks!$R$742),TEXT(Checks!$R$742,"DD-MMM-YY HH:MM"),"")&amp;" "&amp;Checks!$P$742</f>
        <v>Required
30-Oct-26 23:20 KUL</v>
      </c>
      <c r="D66" s="120" t="str">
        <f aca="false">IF(TRIM(Checks!$U$742)&lt;&gt;"",Checks!$U$742&amp;IF(Checks!$AB$742="","",CHAR(10)&amp;"CA: "&amp;Checks!$AB$742),IF(LEFT(Checks!$AH$742,10)="N/A – RULE","","[ ] Pass"&amp;CHAR(10)&amp;"[ ] Pass after CA"&amp;CHAR(10)&amp;"[ ] Fail"&amp;IF(Checks!$AT$742=1,CHAR(10)&amp;"[ ] N/A","")&amp;CHAR(10)&amp;"CA: Open / Closed"))</f>
        <v>[ ] Pass
[ ] Pass after CA
[ ] Fail
CA: Open / Closed</v>
      </c>
      <c r="E66" s="120" t="str">
        <f aca="false">IF(Checks!$V$742="","",Checks!$V$742)&amp;IF(Checks!$AC$742="","",IF(Checks!$V$742="","",CHAR(10))&amp;"N/A just.: "&amp;Checks!$AC$742)&amp;IF(OR(Checks!$W$742&lt;&gt;"",AND(Checks!$AQ$742=1,NOT(LEFT(Checks!$AH$742,10)="N/A – RULE"))),CHAR(10)&amp;"Batch: "&amp;IF(Checks!$W$742="","____________",Checks!$W$742),"")&amp;IF(OR(Checks!$X$742&lt;&gt;"",Checks!$Y$742&lt;&gt;"",AND(Checks!$AR$742=1,NOT(LEFT(Checks!$AH$742,10)="N/A – RULE"))),CHAR(10)&amp;"Exp: "&amp;IF(Checks!$X$742="","______",Checks!$X$742)&amp;"  /  Act: "&amp;IF(Checks!$Y$742="","______",Checks!$Y$742),"")</f>
        <v/>
      </c>
      <c r="F66" s="120" t="str">
        <f aca="false">IF(AND(LEFT(Checks!$AH$742,10)="N/A – RULE",TRIM(Checks!$S$742&amp;Checks!$Z$742)=""),"","Type: "&amp;IF(TRIM(Checks!$S$742)="","______________ (see cover list)",Checks!$S$742)&amp;CHAR(10)&amp;"ID: "&amp;IF(TRIM(Checks!$Z$742)="","______________ (record's own no.)",Checks!$Z$742))&amp;IF(Checks!$AA$742="","",CHAR(10)&amp;"CA: "&amp;Checks!$AA$742)</f>
        <v>Type: ______________ (see cover list)
ID: ______________ (record's own no.)</v>
      </c>
      <c r="G66" s="120" t="str">
        <f aca="false">IF(AND(LEFT(Checks!$AH$742,10)="N/A – RULE",NOT(ISNUMBER(Checks!$AD$742)),Checks!$AE$742="",Checks!$T$742=""),"","Done: "&amp;IF(ISNUMBER(Checks!$AD$742),TEXT(Checks!$AD$742,"DD-MMM-YY HH:MM"),"____________")&amp;" "&amp;Checks!$P$742&amp;CHAR(10)&amp;"Verifier: "&amp;IF(Checks!$AE$742="","____________",Checks!$AE$742)&amp;CHAR(10)&amp;"PIC: "&amp;IF(Checks!$T$742="","____________",Checks!$T$742))</f>
        <v>Done: ____________ KUL
Verifier: ____________
PIC: ____________</v>
      </c>
      <c r="H66" s="121" t="str">
        <f aca="false">IF(Checks!$AH$742="","",Checks!$AH$742)</f>
        <v>OPEN</v>
      </c>
    </row>
    <row r="67" customFormat="false" ht="114" hidden="false" customHeight="true" outlineLevel="0" collapsed="false">
      <c r="A67" s="120" t="str">
        <f aca="false">Checks!$A$743&amp;CHAR(10)&amp;IF(Checks!$I$743="","",Checks!$I$743&amp;": ")&amp;Checks!$J$743</f>
        <v>F22-UPL-11
F&amp;B Linen: Trolley cloth - on board</v>
      </c>
      <c r="B67" s="120" t="str">
        <f aca="false">SUBSTITUTE(SUBSTITUTE(Checks!$K$743&amp;IF(Checks!$O$743="","",IF(Checks!$K$743="","",CHAR(10))&amp;"Note: "&amp;Checks!$O$743),"Per note F&amp;B LINEN!B79:C80.","Per the F&amp;B LINEN reference note."),"note F&amp;B LINEN!B79:C80","the F&amp;B LINEN reference note")</f>
        <v>Wide body: Top/Middle &amp; Bottom
Note: Per the F&amp;B LINEN reference note.</v>
      </c>
      <c r="C67" s="120" t="str">
        <f aca="false">Checks!$N$743&amp;CHAR(10)&amp;IF(ISNUMBER(Checks!$R$743),TEXT(Checks!$R$743,"DD-MMM-YY HH:MM"),"")&amp;" "&amp;Checks!$P$743</f>
        <v>Required
30-Oct-26 23:20 KUL</v>
      </c>
      <c r="D67" s="120" t="str">
        <f aca="false">IF(TRIM(Checks!$U$743)&lt;&gt;"",Checks!$U$743&amp;IF(Checks!$AB$743="","",CHAR(10)&amp;"CA: "&amp;Checks!$AB$743),IF(LEFT(Checks!$AH$743,10)="N/A – RULE","","[ ] Pass"&amp;CHAR(10)&amp;"[ ] Pass after CA"&amp;CHAR(10)&amp;"[ ] Fail"&amp;IF(Checks!$AT$743=1,CHAR(10)&amp;"[ ] N/A","")&amp;CHAR(10)&amp;"CA: Open / Closed"))</f>
        <v>[ ] Pass
[ ] Pass after CA
[ ] Fail
CA: Open / Closed</v>
      </c>
      <c r="E67" s="120" t="str">
        <f aca="false">IF(Checks!$V$743="","",Checks!$V$743)&amp;IF(Checks!$AC$743="","",IF(Checks!$V$743="","",CHAR(10))&amp;"N/A just.: "&amp;Checks!$AC$743)&amp;IF(OR(Checks!$W$743&lt;&gt;"",AND(Checks!$AQ$743=1,NOT(LEFT(Checks!$AH$743,10)="N/A – RULE"))),CHAR(10)&amp;"Batch: "&amp;IF(Checks!$W$743="","____________",Checks!$W$743),"")&amp;IF(OR(Checks!$X$743&lt;&gt;"",Checks!$Y$743&lt;&gt;"",AND(Checks!$AR$743=1,NOT(LEFT(Checks!$AH$743,10)="N/A – RULE"))),CHAR(10)&amp;"Exp: "&amp;IF(Checks!$X$743="","______",Checks!$X$743)&amp;"  /  Act: "&amp;IF(Checks!$Y$743="","______",Checks!$Y$743),"")</f>
        <v/>
      </c>
      <c r="F67" s="120" t="str">
        <f aca="false">IF(AND(LEFT(Checks!$AH$743,10)="N/A – RULE",TRIM(Checks!$S$743&amp;Checks!$Z$743)=""),"","Type: "&amp;IF(TRIM(Checks!$S$743)="","______________ (see cover list)",Checks!$S$743)&amp;CHAR(10)&amp;"ID: "&amp;IF(TRIM(Checks!$Z$743)="","______________ (record's own no.)",Checks!$Z$743))&amp;IF(Checks!$AA$743="","",CHAR(10)&amp;"CA: "&amp;Checks!$AA$743)</f>
        <v>Type: ______________ (see cover list)
ID: ______________ (record's own no.)</v>
      </c>
      <c r="G67" s="120" t="str">
        <f aca="false">IF(AND(LEFT(Checks!$AH$743,10)="N/A – RULE",NOT(ISNUMBER(Checks!$AD$743)),Checks!$AE$743="",Checks!$T$743=""),"","Done: "&amp;IF(ISNUMBER(Checks!$AD$743),TEXT(Checks!$AD$743,"DD-MMM-YY HH:MM"),"____________")&amp;" "&amp;Checks!$P$743&amp;CHAR(10)&amp;"Verifier: "&amp;IF(Checks!$AE$743="","____________",Checks!$AE$743)&amp;CHAR(10)&amp;"PIC: "&amp;IF(Checks!$T$743="","____________",Checks!$T$743))</f>
        <v>Done: ____________ KUL
Verifier: ____________
PIC: ____________</v>
      </c>
      <c r="H67" s="121" t="str">
        <f aca="false">IF(Checks!$AH$743="","",Checks!$AH$743)</f>
        <v>OPEN</v>
      </c>
    </row>
    <row r="68" customFormat="false" ht="114" hidden="false" customHeight="true" outlineLevel="0" collapsed="false">
      <c r="A68" s="120" t="str">
        <f aca="false">Checks!$A$744&amp;CHAR(10)&amp;IF(Checks!$I$744="","",Checks!$I$744&amp;": ")&amp;Checks!$J$744</f>
        <v>F22-UPL-12
F&amp;B Linen: Linen bag - on board</v>
      </c>
      <c r="B68" s="120" t="str">
        <f aca="false">Checks!$K$744&amp;IF(Checks!$O$744="","",IF(Checks!$K$744="","",CHAR(10))&amp;"Note: "&amp;Checks!$O$744)</f>
        <v>Available (ticked in reference)</v>
      </c>
      <c r="C68" s="120" t="str">
        <f aca="false">Checks!$N$744&amp;CHAR(10)&amp;IF(ISNUMBER(Checks!$R$744),TEXT(Checks!$R$744,"DD-MMM-YY HH:MM"),"")&amp;" "&amp;Checks!$P$744</f>
        <v>Required
30-Oct-26 23:20 KUL</v>
      </c>
      <c r="D68" s="120" t="str">
        <f aca="false">IF(TRIM(Checks!$U$744)&lt;&gt;"",Checks!$U$744&amp;IF(Checks!$AB$744="","",CHAR(10)&amp;"CA: "&amp;Checks!$AB$744),IF(LEFT(Checks!$AH$744,10)="N/A – RULE","","[ ] Pass"&amp;CHAR(10)&amp;"[ ] Pass after CA"&amp;CHAR(10)&amp;"[ ] Fail"&amp;IF(Checks!$AT$744=1,CHAR(10)&amp;"[ ] N/A","")&amp;CHAR(10)&amp;"CA: Open / Closed"))</f>
        <v>[ ] Pass
[ ] Pass after CA
[ ] Fail
CA: Open / Closed</v>
      </c>
      <c r="E68" s="120" t="str">
        <f aca="false">IF(Checks!$V$744="","",Checks!$V$744)&amp;IF(Checks!$AC$744="","",IF(Checks!$V$744="","",CHAR(10))&amp;"N/A just.: "&amp;Checks!$AC$744)&amp;IF(OR(Checks!$W$744&lt;&gt;"",AND(Checks!$AQ$744=1,NOT(LEFT(Checks!$AH$744,10)="N/A – RULE"))),CHAR(10)&amp;"Batch: "&amp;IF(Checks!$W$744="","____________",Checks!$W$744),"")&amp;IF(OR(Checks!$X$744&lt;&gt;"",Checks!$Y$744&lt;&gt;"",AND(Checks!$AR$744=1,NOT(LEFT(Checks!$AH$744,10)="N/A – RULE"))),CHAR(10)&amp;"Exp: "&amp;IF(Checks!$X$744="","______",Checks!$X$744)&amp;"  /  Act: "&amp;IF(Checks!$Y$744="","______",Checks!$Y$744),"")</f>
        <v/>
      </c>
      <c r="F68" s="120" t="str">
        <f aca="false">IF(AND(LEFT(Checks!$AH$744,10)="N/A – RULE",TRIM(Checks!$S$744&amp;Checks!$Z$744)=""),"","Type: "&amp;IF(TRIM(Checks!$S$744)="","______________ (see cover list)",Checks!$S$744)&amp;CHAR(10)&amp;"ID: "&amp;IF(TRIM(Checks!$Z$744)="","______________ (record's own no.)",Checks!$Z$744))&amp;IF(Checks!$AA$744="","",CHAR(10)&amp;"CA: "&amp;Checks!$AA$744)</f>
        <v>Type: ______________ (see cover list)
ID: ______________ (record's own no.)</v>
      </c>
      <c r="G68" s="120" t="str">
        <f aca="false">IF(AND(LEFT(Checks!$AH$744,10)="N/A – RULE",NOT(ISNUMBER(Checks!$AD$744)),Checks!$AE$744="",Checks!$T$744=""),"","Done: "&amp;IF(ISNUMBER(Checks!$AD$744),TEXT(Checks!$AD$744,"DD-MMM-YY HH:MM"),"____________")&amp;" "&amp;Checks!$P$744&amp;CHAR(10)&amp;"Verifier: "&amp;IF(Checks!$AE$744="","____________",Checks!$AE$744)&amp;CHAR(10)&amp;"PIC: "&amp;IF(Checks!$T$744="","____________",Checks!$T$744))</f>
        <v>Done: ____________ KUL
Verifier: ____________
PIC: ____________</v>
      </c>
      <c r="H68" s="121" t="str">
        <f aca="false">IF(Checks!$AH$744="","",Checks!$AH$744)</f>
        <v>OPEN</v>
      </c>
    </row>
    <row r="69" customFormat="false" ht="114" hidden="false" customHeight="true" outlineLevel="0" collapsed="false">
      <c r="A69" s="120" t="str">
        <f aca="false">Checks!$A$745&amp;CHAR(10)&amp;IF(Checks!$I$745="","",Checks!$I$745&amp;": ")&amp;Checks!$J$745</f>
        <v>F22-UPL-13
Seat Linen: Seat pillow (BS &amp; BC) - on board</v>
      </c>
      <c r="B69" s="120" t="str">
        <f aca="false">Checks!$K$745&amp;IF(Checks!$O$745="","",IF(Checks!$K$745="","",CHAR(10))&amp;"Note: "&amp;Checks!$O$745)</f>
        <v>Available 100% (ticked in reference)</v>
      </c>
      <c r="C69" s="120" t="str">
        <f aca="false">Checks!$N$745&amp;CHAR(10)&amp;IF(ISNUMBER(Checks!$R$745),TEXT(Checks!$R$745,"DD-MMM-YY HH:MM"),"")&amp;" "&amp;Checks!$P$745</f>
        <v>Required
30-Oct-26 23:20 KUL</v>
      </c>
      <c r="D69" s="120" t="str">
        <f aca="false">IF(TRIM(Checks!$U$745)&lt;&gt;"",Checks!$U$745&amp;IF(Checks!$AB$745="","",CHAR(10)&amp;"CA: "&amp;Checks!$AB$745),IF(LEFT(Checks!$AH$745,10)="N/A – RULE","","[ ] Pass"&amp;CHAR(10)&amp;"[ ] Pass after CA"&amp;CHAR(10)&amp;"[ ] Fail"&amp;IF(Checks!$AT$745=1,CHAR(10)&amp;"[ ] N/A","")&amp;CHAR(10)&amp;"CA: Open / Closed"))</f>
        <v>[ ] Pass
[ ] Pass after CA
[ ] Fail
CA: Open / Closed</v>
      </c>
      <c r="E69" s="120" t="str">
        <f aca="false">IF(Checks!$V$745="","",Checks!$V$745)&amp;IF(Checks!$AC$745="","",IF(Checks!$V$745="","",CHAR(10))&amp;"N/A just.: "&amp;Checks!$AC$745)&amp;IF(OR(Checks!$W$745&lt;&gt;"",AND(Checks!$AQ$745=1,NOT(LEFT(Checks!$AH$745,10)="N/A – RULE"))),CHAR(10)&amp;"Batch: "&amp;IF(Checks!$W$745="","____________",Checks!$W$745),"")&amp;IF(OR(Checks!$X$745&lt;&gt;"",Checks!$Y$745&lt;&gt;"",AND(Checks!$AR$745=1,NOT(LEFT(Checks!$AH$745,10)="N/A – RULE"))),CHAR(10)&amp;"Exp: "&amp;IF(Checks!$X$745="","______",Checks!$X$745)&amp;"  /  Act: "&amp;IF(Checks!$Y$745="","______",Checks!$Y$745),"")</f>
        <v/>
      </c>
      <c r="F69" s="120" t="str">
        <f aca="false">IF(AND(LEFT(Checks!$AH$745,10)="N/A – RULE",TRIM(Checks!$S$745&amp;Checks!$Z$745)=""),"","Type: "&amp;IF(TRIM(Checks!$S$745)="","______________ (see cover list)",Checks!$S$745)&amp;CHAR(10)&amp;"ID: "&amp;IF(TRIM(Checks!$Z$745)="","______________ (record's own no.)",Checks!$Z$745))&amp;IF(Checks!$AA$745="","",CHAR(10)&amp;"CA: "&amp;Checks!$AA$745)</f>
        <v>Type: ______________ (see cover list)
ID: ______________ (record's own no.)</v>
      </c>
      <c r="G69" s="120" t="str">
        <f aca="false">IF(AND(LEFT(Checks!$AH$745,10)="N/A – RULE",NOT(ISNUMBER(Checks!$AD$745)),Checks!$AE$745="",Checks!$T$745=""),"","Done: "&amp;IF(ISNUMBER(Checks!$AD$745),TEXT(Checks!$AD$745,"DD-MMM-YY HH:MM"),"____________")&amp;" "&amp;Checks!$P$745&amp;CHAR(10)&amp;"Verifier: "&amp;IF(Checks!$AE$745="","____________",Checks!$AE$745)&amp;CHAR(10)&amp;"PIC: "&amp;IF(Checks!$T$745="","____________",Checks!$T$745))</f>
        <v>Done: ____________ KUL
Verifier: ____________
PIC: ____________</v>
      </c>
      <c r="H69" s="121" t="str">
        <f aca="false">IF(Checks!$AH$745="","",Checks!$AH$745)</f>
        <v>OPEN</v>
      </c>
    </row>
    <row r="70" customFormat="false" ht="114" hidden="false" customHeight="true" outlineLevel="0" collapsed="false">
      <c r="A70" s="120" t="str">
        <f aca="false">Checks!$A$746&amp;CHAR(10)&amp;IF(Checks!$I$746="","",Checks!$I$746&amp;": ")&amp;Checks!$J$746</f>
        <v>F22-UPL-14
Seat Linen: Duvet (BS &amp; BC) - on board</v>
      </c>
      <c r="B70" s="120" t="str">
        <f aca="false">Checks!$K$746&amp;IF(Checks!$O$746="","",IF(Checks!$K$746="","",CHAR(10))&amp;"Note: "&amp;Checks!$O$746)</f>
        <v>Available 100% (ticked in reference)</v>
      </c>
      <c r="C70" s="120" t="str">
        <f aca="false">Checks!$N$746&amp;CHAR(10)&amp;IF(ISNUMBER(Checks!$R$746),TEXT(Checks!$R$746,"DD-MMM-YY HH:MM"),"")&amp;" "&amp;Checks!$P$746</f>
        <v>Required
30-Oct-26 23:20 KUL</v>
      </c>
      <c r="D70" s="120" t="str">
        <f aca="false">IF(TRIM(Checks!$U$746)&lt;&gt;"",Checks!$U$746&amp;IF(Checks!$AB$746="","",CHAR(10)&amp;"CA: "&amp;Checks!$AB$746),IF(LEFT(Checks!$AH$746,10)="N/A – RULE","","[ ] Pass"&amp;CHAR(10)&amp;"[ ] Pass after CA"&amp;CHAR(10)&amp;"[ ] Fail"&amp;IF(Checks!$AT$746=1,CHAR(10)&amp;"[ ] N/A","")&amp;CHAR(10)&amp;"CA: Open / Closed"))</f>
        <v>[ ] Pass
[ ] Pass after CA
[ ] Fail
CA: Open / Closed</v>
      </c>
      <c r="E70" s="120" t="str">
        <f aca="false">IF(Checks!$V$746="","",Checks!$V$746)&amp;IF(Checks!$AC$746="","",IF(Checks!$V$746="","",CHAR(10))&amp;"N/A just.: "&amp;Checks!$AC$746)&amp;IF(OR(Checks!$W$746&lt;&gt;"",AND(Checks!$AQ$746=1,NOT(LEFT(Checks!$AH$746,10)="N/A – RULE"))),CHAR(10)&amp;"Batch: "&amp;IF(Checks!$W$746="","____________",Checks!$W$746),"")&amp;IF(OR(Checks!$X$746&lt;&gt;"",Checks!$Y$746&lt;&gt;"",AND(Checks!$AR$746=1,NOT(LEFT(Checks!$AH$746,10)="N/A – RULE"))),CHAR(10)&amp;"Exp: "&amp;IF(Checks!$X$746="","______",Checks!$X$746)&amp;"  /  Act: "&amp;IF(Checks!$Y$746="","______",Checks!$Y$746),"")</f>
        <v/>
      </c>
      <c r="F70" s="120" t="str">
        <f aca="false">IF(AND(LEFT(Checks!$AH$746,10)="N/A – RULE",TRIM(Checks!$S$746&amp;Checks!$Z$746)=""),"","Type: "&amp;IF(TRIM(Checks!$S$746)="","______________ (see cover list)",Checks!$S$746)&amp;CHAR(10)&amp;"ID: "&amp;IF(TRIM(Checks!$Z$746)="","______________ (record's own no.)",Checks!$Z$746))&amp;IF(Checks!$AA$746="","",CHAR(10)&amp;"CA: "&amp;Checks!$AA$746)</f>
        <v>Type: ______________ (see cover list)
ID: ______________ (record's own no.)</v>
      </c>
      <c r="G70" s="120" t="str">
        <f aca="false">IF(AND(LEFT(Checks!$AH$746,10)="N/A – RULE",NOT(ISNUMBER(Checks!$AD$746)),Checks!$AE$746="",Checks!$T$746=""),"","Done: "&amp;IF(ISNUMBER(Checks!$AD$746),TEXT(Checks!$AD$746,"DD-MMM-YY HH:MM"),"____________")&amp;" "&amp;Checks!$P$746&amp;CHAR(10)&amp;"Verifier: "&amp;IF(Checks!$AE$746="","____________",Checks!$AE$746)&amp;CHAR(10)&amp;"PIC: "&amp;IF(Checks!$T$746="","____________",Checks!$T$746))</f>
        <v>Done: ____________ KUL
Verifier: ____________
PIC: ____________</v>
      </c>
      <c r="H70" s="121" t="str">
        <f aca="false">IF(Checks!$AH$746="","",Checks!$AH$746)</f>
        <v>OPEN</v>
      </c>
    </row>
    <row r="71" customFormat="false" ht="114" hidden="false" customHeight="true" outlineLevel="0" collapsed="false">
      <c r="A71" s="120" t="str">
        <f aca="false">Checks!$A$747&amp;CHAR(10)&amp;IF(Checks!$I$747="","",Checks!$I$747&amp;": ")&amp;Checks!$J$747</f>
        <v>F22-UPL-15
Seat Linen: Mattress (BS &amp; BC) - on board</v>
      </c>
      <c r="B71" s="120" t="str">
        <f aca="false">Checks!$K$747&amp;IF(Checks!$O$747="","",IF(Checks!$K$747="","",CHAR(10))&amp;"Note: "&amp;Checks!$O$747)</f>
        <v>Available 100% (ticked in reference)</v>
      </c>
      <c r="C71" s="120" t="str">
        <f aca="false">Checks!$N$747&amp;CHAR(10)&amp;IF(ISNUMBER(Checks!$R$747),TEXT(Checks!$R$747,"DD-MMM-YY HH:MM"),"")&amp;" "&amp;Checks!$P$747</f>
        <v>Required
30-Oct-26 23:20 KUL</v>
      </c>
      <c r="D71" s="120" t="str">
        <f aca="false">IF(TRIM(Checks!$U$747)&lt;&gt;"",Checks!$U$747&amp;IF(Checks!$AB$747="","",CHAR(10)&amp;"CA: "&amp;Checks!$AB$747),IF(LEFT(Checks!$AH$747,10)="N/A – RULE","","[ ] Pass"&amp;CHAR(10)&amp;"[ ] Pass after CA"&amp;CHAR(10)&amp;"[ ] Fail"&amp;IF(Checks!$AT$747=1,CHAR(10)&amp;"[ ] N/A","")&amp;CHAR(10)&amp;"CA: Open / Closed"))</f>
        <v>[ ] Pass
[ ] Pass after CA
[ ] Fail
CA: Open / Closed</v>
      </c>
      <c r="E71" s="120" t="str">
        <f aca="false">IF(Checks!$V$747="","",Checks!$V$747)&amp;IF(Checks!$AC$747="","",IF(Checks!$V$747="","",CHAR(10))&amp;"N/A just.: "&amp;Checks!$AC$747)&amp;IF(OR(Checks!$W$747&lt;&gt;"",AND(Checks!$AQ$747=1,NOT(LEFT(Checks!$AH$747,10)="N/A – RULE"))),CHAR(10)&amp;"Batch: "&amp;IF(Checks!$W$747="","____________",Checks!$W$747),"")&amp;IF(OR(Checks!$X$747&lt;&gt;"",Checks!$Y$747&lt;&gt;"",AND(Checks!$AR$747=1,NOT(LEFT(Checks!$AH$747,10)="N/A – RULE"))),CHAR(10)&amp;"Exp: "&amp;IF(Checks!$X$747="","______",Checks!$X$747)&amp;"  /  Act: "&amp;IF(Checks!$Y$747="","______",Checks!$Y$747),"")</f>
        <v/>
      </c>
      <c r="F71" s="120" t="str">
        <f aca="false">IF(AND(LEFT(Checks!$AH$747,10)="N/A – RULE",TRIM(Checks!$S$747&amp;Checks!$Z$747)=""),"","Type: "&amp;IF(TRIM(Checks!$S$747)="","______________ (see cover list)",Checks!$S$747)&amp;CHAR(10)&amp;"ID: "&amp;IF(TRIM(Checks!$Z$747)="","______________ (record's own no.)",Checks!$Z$747))&amp;IF(Checks!$AA$747="","",CHAR(10)&amp;"CA: "&amp;Checks!$AA$747)</f>
        <v>Type: ______________ (see cover list)
ID: ______________ (record's own no.)</v>
      </c>
      <c r="G71" s="120" t="str">
        <f aca="false">IF(AND(LEFT(Checks!$AH$747,10)="N/A – RULE",NOT(ISNUMBER(Checks!$AD$747)),Checks!$AE$747="",Checks!$T$747=""),"","Done: "&amp;IF(ISNUMBER(Checks!$AD$747),TEXT(Checks!$AD$747,"DD-MMM-YY HH:MM"),"____________")&amp;" "&amp;Checks!$P$747&amp;CHAR(10)&amp;"Verifier: "&amp;IF(Checks!$AE$747="","____________",Checks!$AE$747)&amp;CHAR(10)&amp;"PIC: "&amp;IF(Checks!$T$747="","____________",Checks!$T$747))</f>
        <v>Done: ____________ KUL
Verifier: ____________
PIC: ____________</v>
      </c>
      <c r="H71" s="121" t="str">
        <f aca="false">IF(Checks!$AH$747="","",Checks!$AH$747)</f>
        <v>OPEN</v>
      </c>
    </row>
    <row r="72" customFormat="false" ht="114" hidden="false" customHeight="true" outlineLevel="0" collapsed="false">
      <c r="A72" s="120" t="str">
        <f aca="false">Checks!$A$748&amp;CHAR(10)&amp;IF(Checks!$I$748="","",Checks!$I$748&amp;": ")&amp;Checks!$J$748</f>
        <v>F22-UPL-16
Signature Drinks: Signature drink &amp; garnish (BC) - on board</v>
      </c>
      <c r="B72" s="120" t="str">
        <f aca="false">SUBSTITUTE(Checks!$K$748&amp;IF(Checks!$O$748="","",IF(Checks!$K$748="","",CHAR(10))&amp;"Note: "&amp;Checks!$O$748)," (note D79)","")</f>
        <v>Available (ticked in reference)
Note: Signature drinks &amp; garnish uplifted from KUL.</v>
      </c>
      <c r="C72" s="120" t="str">
        <f aca="false">Checks!$N$748&amp;CHAR(10)&amp;IF(ISNUMBER(Checks!$R$748),TEXT(Checks!$R$748,"DD-MMM-YY HH:MM"),"")&amp;" "&amp;Checks!$P$748</f>
        <v>Required
30-Oct-26 23:20 KUL</v>
      </c>
      <c r="D72" s="120" t="str">
        <f aca="false">IF(TRIM(Checks!$U$748)&lt;&gt;"",Checks!$U$748&amp;IF(Checks!$AB$748="","",CHAR(10)&amp;"CA: "&amp;Checks!$AB$748),IF(LEFT(Checks!$AH$748,10)="N/A – RULE","","[ ] Pass"&amp;CHAR(10)&amp;"[ ] Pass after CA"&amp;CHAR(10)&amp;"[ ] Fail"&amp;IF(Checks!$AT$748=1,CHAR(10)&amp;"[ ] N/A","")&amp;CHAR(10)&amp;"CA: Open / Closed"))</f>
        <v>[ ] Pass
[ ] Pass after CA
[ ] Fail
CA: Open / Closed</v>
      </c>
      <c r="E72" s="120" t="str">
        <f aca="false">IF(Checks!$V$748="","",Checks!$V$748)&amp;IF(Checks!$AC$748="","",IF(Checks!$V$748="","",CHAR(10))&amp;"N/A just.: "&amp;Checks!$AC$748)&amp;IF(OR(Checks!$W$748&lt;&gt;"",AND(Checks!$AQ$748=1,NOT(LEFT(Checks!$AH$748,10)="N/A – RULE"))),CHAR(10)&amp;"Batch: "&amp;IF(Checks!$W$748="","____________",Checks!$W$748),"")&amp;IF(OR(Checks!$X$748&lt;&gt;"",Checks!$Y$748&lt;&gt;"",AND(Checks!$AR$748=1,NOT(LEFT(Checks!$AH$748,10)="N/A – RULE"))),CHAR(10)&amp;"Exp: "&amp;IF(Checks!$X$748="","______",Checks!$X$748)&amp;"  /  Act: "&amp;IF(Checks!$Y$748="","______",Checks!$Y$748),"")</f>
        <v/>
      </c>
      <c r="F72" s="120" t="str">
        <f aca="false">IF(AND(LEFT(Checks!$AH$748,10)="N/A – RULE",TRIM(Checks!$S$748&amp;Checks!$Z$748)=""),"","Type: "&amp;IF(TRIM(Checks!$S$748)="","______________ (see cover list)",Checks!$S$748)&amp;CHAR(10)&amp;"ID: "&amp;IF(TRIM(Checks!$Z$748)="","______________ (record's own no.)",Checks!$Z$748))&amp;IF(Checks!$AA$748="","",CHAR(10)&amp;"CA: "&amp;Checks!$AA$748)</f>
        <v>Type: ______________ (see cover list)
ID: ______________ (record's own no.)</v>
      </c>
      <c r="G72" s="120" t="str">
        <f aca="false">IF(AND(LEFT(Checks!$AH$748,10)="N/A – RULE",NOT(ISNUMBER(Checks!$AD$748)),Checks!$AE$748="",Checks!$T$748=""),"","Done: "&amp;IF(ISNUMBER(Checks!$AD$748),TEXT(Checks!$AD$748,"DD-MMM-YY HH:MM"),"____________")&amp;" "&amp;Checks!$P$748&amp;CHAR(10)&amp;"Verifier: "&amp;IF(Checks!$AE$748="","____________",Checks!$AE$748)&amp;CHAR(10)&amp;"PIC: "&amp;IF(Checks!$T$748="","____________",Checks!$T$748))</f>
        <v>Done: ____________ KUL
Verifier: ____________
PIC: ____________</v>
      </c>
      <c r="H72" s="121" t="str">
        <f aca="false">IF(Checks!$AH$748="","",Checks!$AH$748)</f>
        <v>OPEN</v>
      </c>
    </row>
    <row r="74" customFormat="false" ht="24" hidden="false" customHeight="true" outlineLevel="0" collapsed="false">
      <c r="A74" s="122" t="s">
        <v>4832</v>
      </c>
      <c r="B74" s="122"/>
      <c r="C74" s="122"/>
      <c r="D74" s="122"/>
      <c r="E74" s="122" t="s">
        <v>4833</v>
      </c>
      <c r="F74" s="122"/>
      <c r="G74" s="122"/>
      <c r="H74" s="122"/>
    </row>
    <row r="75" customFormat="false" ht="21.75" hidden="false" customHeight="true" outlineLevel="0" collapsed="false">
      <c r="A75" s="123"/>
      <c r="B75" s="123"/>
      <c r="C75" s="123"/>
      <c r="D75" s="123"/>
      <c r="E75" s="123"/>
      <c r="F75" s="123"/>
      <c r="G75" s="123"/>
      <c r="H75" s="123"/>
    </row>
    <row r="76" customFormat="false" ht="21.75" hidden="false" customHeight="true" outlineLevel="0" collapsed="false">
      <c r="A76" s="123"/>
      <c r="B76" s="123"/>
      <c r="C76" s="123"/>
      <c r="D76" s="123"/>
      <c r="E76" s="123"/>
      <c r="F76" s="123"/>
      <c r="G76" s="123"/>
      <c r="H76" s="123"/>
    </row>
    <row r="77" customFormat="false" ht="21.75" hidden="false" customHeight="true" outlineLevel="0" collapsed="false">
      <c r="A77" s="123"/>
      <c r="B77" s="123"/>
      <c r="C77" s="123"/>
      <c r="D77" s="123"/>
      <c r="E77" s="123"/>
      <c r="F77" s="123"/>
      <c r="G77" s="123"/>
      <c r="H77" s="123"/>
    </row>
    <row r="78" customFormat="false" ht="21.75" hidden="false" customHeight="true" outlineLevel="0" collapsed="false">
      <c r="A78" s="123"/>
      <c r="B78" s="123"/>
      <c r="C78" s="123"/>
      <c r="D78" s="123"/>
      <c r="E78" s="123"/>
      <c r="F78" s="123"/>
      <c r="G78" s="123"/>
      <c r="H78" s="123"/>
    </row>
    <row r="79" customFormat="false" ht="21.75" hidden="false" customHeight="true" outlineLevel="0" collapsed="false">
      <c r="A79" s="123"/>
      <c r="B79" s="123"/>
      <c r="C79" s="123"/>
      <c r="D79" s="123"/>
      <c r="E79" s="123"/>
      <c r="F79" s="123"/>
      <c r="G79" s="123"/>
      <c r="H79" s="123"/>
    </row>
    <row r="80" customFormat="false" ht="21.75" hidden="false" customHeight="true" outlineLevel="0" collapsed="false">
      <c r="A80" s="123"/>
      <c r="B80" s="123"/>
      <c r="C80" s="123"/>
      <c r="D80" s="123"/>
      <c r="E80" s="123"/>
      <c r="F80" s="123"/>
      <c r="G80" s="123"/>
      <c r="H80" s="123"/>
    </row>
    <row r="81" customFormat="false" ht="21.75" hidden="false" customHeight="true" outlineLevel="0" collapsed="false">
      <c r="A81" s="123"/>
      <c r="B81" s="123"/>
      <c r="C81" s="123"/>
      <c r="D81" s="123"/>
      <c r="E81" s="123"/>
      <c r="F81" s="123"/>
      <c r="G81" s="123"/>
      <c r="H81" s="123"/>
    </row>
    <row r="82" customFormat="false" ht="21.75" hidden="false" customHeight="true" outlineLevel="0" collapsed="false">
      <c r="A82" s="123"/>
      <c r="B82" s="123"/>
      <c r="C82" s="123"/>
      <c r="D82" s="123"/>
      <c r="E82" s="123"/>
      <c r="F82" s="123"/>
      <c r="G82" s="123"/>
      <c r="H82" s="123"/>
    </row>
    <row r="83" customFormat="false" ht="21.75" hidden="false" customHeight="true" outlineLevel="0" collapsed="false">
      <c r="A83" s="123"/>
      <c r="B83" s="123"/>
      <c r="C83" s="123"/>
      <c r="D83" s="123"/>
      <c r="E83" s="123"/>
      <c r="F83" s="123"/>
      <c r="G83" s="123"/>
      <c r="H83" s="123"/>
    </row>
    <row r="84" customFormat="false" ht="21.75" hidden="false" customHeight="true" outlineLevel="0" collapsed="false">
      <c r="A84" s="123"/>
      <c r="B84" s="123"/>
      <c r="C84" s="123"/>
      <c r="D84" s="123"/>
      <c r="E84" s="123"/>
      <c r="F84" s="123"/>
      <c r="G84" s="123"/>
      <c r="H84" s="123"/>
    </row>
  </sheetData>
  <sheetProtection sheet="true" formatCells="false" formatColumns="false" formatRows="false" autoFilter="false"/>
  <mergeCells count="45">
    <mergeCell ref="A1:H1"/>
    <mergeCell ref="B2:D2"/>
    <mergeCell ref="F2:H2"/>
    <mergeCell ref="B3:D3"/>
    <mergeCell ref="G3:H3"/>
    <mergeCell ref="B4:D4"/>
    <mergeCell ref="G4:H4"/>
    <mergeCell ref="B5:D5"/>
    <mergeCell ref="G5:H5"/>
    <mergeCell ref="B6:D6"/>
    <mergeCell ref="G6:H6"/>
    <mergeCell ref="B7:D7"/>
    <mergeCell ref="G7:H7"/>
    <mergeCell ref="B8:D8"/>
    <mergeCell ref="G8:H8"/>
    <mergeCell ref="B9:D9"/>
    <mergeCell ref="B10:D10"/>
    <mergeCell ref="B11:D11"/>
    <mergeCell ref="G11:H11"/>
    <mergeCell ref="A12:D12"/>
    <mergeCell ref="A13:H13"/>
    <mergeCell ref="C14:D14"/>
    <mergeCell ref="F14:H14"/>
    <mergeCell ref="C15:D15"/>
    <mergeCell ref="F15:H15"/>
    <mergeCell ref="C16:D16"/>
    <mergeCell ref="F16:H16"/>
    <mergeCell ref="B17:H17"/>
    <mergeCell ref="A18:B18"/>
    <mergeCell ref="C18:E18"/>
    <mergeCell ref="F18:H18"/>
    <mergeCell ref="A19:B19"/>
    <mergeCell ref="C19:E19"/>
    <mergeCell ref="F19:H19"/>
    <mergeCell ref="A20:B20"/>
    <mergeCell ref="C20:E20"/>
    <mergeCell ref="F20:H20"/>
    <mergeCell ref="A22:H22"/>
    <mergeCell ref="A32:H32"/>
    <mergeCell ref="A34:H34"/>
    <mergeCell ref="A56:H56"/>
    <mergeCell ref="A74:D74"/>
    <mergeCell ref="E74:H74"/>
    <mergeCell ref="A75:D84"/>
    <mergeCell ref="E75:H84"/>
  </mergeCells>
  <conditionalFormatting sqref="F2:H2">
    <cfRule type="expression" priority="2" aboveAverage="0" equalAverage="0" bottom="0" percent="0" rank="0" text="" dxfId="27">
      <formula>LEFT($F$2,5)="READY"</formula>
    </cfRule>
    <cfRule type="expression" priority="3" aboveAverage="0" equalAverage="0" bottom="0" percent="0" rank="0" text="" dxfId="28">
      <formula>LEFT($F$2,9)="NOT READY"</formula>
    </cfRule>
    <cfRule type="expression" priority="4" aboveAverage="0" equalAverage="0" bottom="0" percent="0" rank="0" text="" dxfId="29">
      <formula>$F$2&lt;&gt;""</formula>
    </cfRule>
  </conditionalFormatting>
  <conditionalFormatting sqref="F9">
    <cfRule type="expression" priority="5" aboveAverage="0" equalAverage="0" bottom="0" percent="0" rank="0" text="" dxfId="28">
      <formula>AND(ISNUMBER(F9),F9&gt;0)</formula>
    </cfRule>
  </conditionalFormatting>
  <conditionalFormatting sqref="G9">
    <cfRule type="expression" priority="6" aboveAverage="0" equalAverage="0" bottom="0" percent="0" rank="0" text="" dxfId="28">
      <formula>AND(ISNUMBER(G9),G9&gt;0)</formula>
    </cfRule>
  </conditionalFormatting>
  <conditionalFormatting sqref="H9">
    <cfRule type="expression" priority="7" aboveAverage="0" equalAverage="0" bottom="0" percent="0" rank="0" text="" dxfId="28">
      <formula>AND(ISNUMBER(H9),H9&gt;0)</formula>
    </cfRule>
  </conditionalFormatting>
  <conditionalFormatting sqref="H10">
    <cfRule type="expression" priority="8" aboveAverage="0" equalAverage="0" bottom="0" percent="0" rank="0" text="" dxfId="28">
      <formula>AND(ISNUMBER(H10),H10&gt;0)</formula>
    </cfRule>
  </conditionalFormatting>
  <conditionalFormatting sqref="E15">
    <cfRule type="expression" priority="9" aboveAverage="0" equalAverage="0" bottom="0" percent="0" rank="0" text="" dxfId="30">
      <formula>LEFT($E$15,11)="OUTSTANDING"</formula>
    </cfRule>
    <cfRule type="expression" priority="10" aboveAverage="0" equalAverage="0" bottom="0" percent="0" rank="0" text="" dxfId="27">
      <formula>$E$15="ON FILE"</formula>
    </cfRule>
  </conditionalFormatting>
  <conditionalFormatting sqref="E16">
    <cfRule type="expression" priority="11" aboveAverage="0" equalAverage="0" bottom="0" percent="0" rank="0" text="" dxfId="30">
      <formula>LEFT($E$16,11)="OUTSTANDING"</formula>
    </cfRule>
    <cfRule type="expression" priority="12" aboveAverage="0" equalAverage="0" bottom="0" percent="0" rank="0" text="" dxfId="27">
      <formula>$E$16="ON FILE"</formula>
    </cfRule>
  </conditionalFormatting>
  <conditionalFormatting sqref="H23:H72">
    <cfRule type="expression" priority="13" aboveAverage="0" equalAverage="0" bottom="0" percent="0" rank="0" text="" dxfId="31">
      <formula>ISNUMBER(SEARCH("CHECK WORDING",$H23))</formula>
    </cfRule>
    <cfRule type="expression" priority="14" aboveAverage="0" equalAverage="0" bottom="0" percent="0" rank="0" text="" dxfId="32">
      <formula>LEFT($H23,8)="COMPLETE"</formula>
    </cfRule>
    <cfRule type="expression" priority="15" aboveAverage="0" equalAverage="0" bottom="0" percent="0" rank="0" text="" dxfId="28">
      <formula>OR(LEFT($H23,7)="OVERDUE",LEFT($H23,4)="FAIL",LEFT($H23,7)="INVALID")</formula>
    </cfRule>
    <cfRule type="expression" priority="16" aboveAverage="0" equalAverage="0" bottom="0" percent="0" rank="0" text="" dxfId="33">
      <formula>LEFT($H23,4)="OPEN"</formula>
    </cfRule>
    <cfRule type="expression" priority="17" aboveAverage="0" equalAverage="0" bottom="0" percent="0" rank="0" text="" dxfId="34">
      <formula>LEFT($H23,3)="N/A"</formula>
    </cfRule>
  </conditionalFormatting>
  <conditionalFormatting sqref="A23:G72">
    <cfRule type="expression" priority="18" aboveAverage="0" equalAverage="0" bottom="0" percent="0" rank="0" text="" dxfId="35">
      <formula>LEFT($H23,3)="N/A"</formula>
    </cfRule>
  </conditionalFormatting>
  <conditionalFormatting sqref="D23:D72">
    <cfRule type="expression" priority="19" aboveAverage="0" equalAverage="0" bottom="0" percent="0" rank="0" text="" dxfId="28">
      <formula>LEFT($D23,4)="Fail"</formula>
    </cfRule>
  </conditionalFormatting>
  <printOptions headings="false" gridLines="false" gridLinesSet="true" horizontalCentered="true" verticalCentered="false"/>
  <pageMargins left="0.25" right="0.25" top="0.45" bottom="0.45" header="0.2" footer="0.2"/>
  <pageSetup paperSize="9" scale="100" fitToWidth="1" fitToHeight="0" pageOrder="downThenOver" orientation="landscape" blackAndWhite="false" draft="false" cellComments="none" horizontalDpi="300" verticalDpi="300" copies="1"/>
  <headerFooter differentFirst="false" differentOddEven="false">
    <oddHeader>&amp;L&amp;"Arial,Regular"&amp;8 MAGCS – Skytrax 2026 catering readiness&amp;R&amp;"Arial,Bold"&amp;8 F22 MH0002 30-Oct-26 KUL-LHR Class BC</oddHeader>
    <oddFooter>&amp;L&amp;"Arial,Bold"&amp;8 F22 MH0002 30-Oct-26 KUL-LHR Class BC&amp;C&amp;"Arial,Regular"&amp;8 Printed: ____________________&amp;R&amp;"Arial,Regular"&amp;8 F22  Page &amp;P of &amp;N</oddFooter>
  </headerFooter>
  <rowBreaks count="13" manualBreakCount="13">
    <brk id="20" man="true" max="16383" min="0"/>
    <brk id="26" man="true" max="16383" min="0"/>
    <brk id="30" man="true" max="16383" min="0"/>
    <brk id="35" man="true" max="16383" min="0"/>
    <brk id="39" man="true" max="16383" min="0"/>
    <brk id="41" man="true" max="16383" min="0"/>
    <brk id="44" man="true" max="16383" min="0"/>
    <brk id="48" man="true" max="16383" min="0"/>
    <brk id="52" man="true" max="16383" min="0"/>
    <brk id="57" man="true" max="16383" min="0"/>
    <brk id="60" man="true" max="16383" min="0"/>
    <brk id="64" man="true" max="16383" min="0"/>
    <brk id="68"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2026-09-29T20:53:29Z</dcterms:created>
  <dc:creator>openpyxl</dc:creator>
  <dc:description/>
  <dc:language>en-US</dc:language>
  <cp:lastModifiedBy/>
  <dcterms:modified xsi:type="dcterms:W3CDTF">2026-09-29T20:53:37Z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